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fileSharing userName="Jorge Neira" reservationPassword="A451"/>
  <workbookPr/>
  <bookViews>
    <workbookView xWindow="-165" yWindow="5550" windowWidth="28965" windowHeight="6195" activeTab="1"/>
  </bookViews>
  <sheets>
    <sheet name="Gráfico1" sheetId="4" r:id="rId1"/>
    <sheet name="REPORTE DE EMERGENCIAS" sheetId="1" r:id="rId2"/>
    <sheet name="Divipola" sheetId="3" r:id="rId3"/>
  </sheets>
  <definedNames>
    <definedName name="_xlnm._FilterDatabase" localSheetId="2" hidden="1">Divipola!$A$1:$F$1138</definedName>
    <definedName name="_xlnm._FilterDatabase" localSheetId="1" hidden="1">'REPORTE DE EMERGENCIAS'!$A$2:$DX$3917</definedName>
    <definedName name="_xlnm.Print_Area" localSheetId="1">'REPORTE DE EMERGENCIAS'!$A$1:$DG$2</definedName>
    <definedName name="_xlnm.Print_Titles" localSheetId="1">'REPORTE DE EMERGENCIAS'!$1:$2</definedName>
  </definedNames>
  <calcPr calcId="145621"/>
</workbook>
</file>

<file path=xl/calcChain.xml><?xml version="1.0" encoding="utf-8"?>
<calcChain xmlns="http://schemas.openxmlformats.org/spreadsheetml/2006/main">
  <c r="DC3060" i="1" l="1"/>
  <c r="DC2990" i="1"/>
  <c r="DC2295" i="1"/>
  <c r="DC2211" i="1"/>
  <c r="DE2990" i="1"/>
  <c r="DA2990" i="1"/>
  <c r="CR2990" i="1"/>
  <c r="DE2295" i="1"/>
  <c r="DE3060" i="1"/>
  <c r="CR3060" i="1"/>
  <c r="CR2211" i="1"/>
  <c r="DE2211" i="1"/>
  <c r="DA2211" i="1"/>
  <c r="E3903" i="1"/>
  <c r="E3902" i="1"/>
  <c r="DC3913" i="1"/>
  <c r="DA3913" i="1"/>
  <c r="CY3913" i="1"/>
  <c r="Y3913" i="1" s="1"/>
  <c r="CW3913" i="1"/>
  <c r="AA3913" i="1" s="1"/>
  <c r="CR3913" i="1"/>
  <c r="CP3913" i="1"/>
  <c r="CN3913" i="1"/>
  <c r="CJ3913" i="1"/>
  <c r="CH3913" i="1"/>
  <c r="CF3913" i="1"/>
  <c r="BL3913" i="1"/>
  <c r="BD3913" i="1"/>
  <c r="AZ3913" i="1"/>
  <c r="AX3913" i="1"/>
  <c r="DC3912" i="1"/>
  <c r="DA3912" i="1"/>
  <c r="Z3912" i="1" s="1"/>
  <c r="CY3912" i="1"/>
  <c r="Y3912" i="1" s="1"/>
  <c r="CW3912" i="1"/>
  <c r="AA3912" i="1" s="1"/>
  <c r="CR3912" i="1"/>
  <c r="CP3912" i="1"/>
  <c r="CN3912" i="1"/>
  <c r="CJ3912" i="1"/>
  <c r="CH3912" i="1"/>
  <c r="CF3912" i="1"/>
  <c r="BL3912" i="1"/>
  <c r="BD3912" i="1"/>
  <c r="AZ3912" i="1"/>
  <c r="AX3912" i="1"/>
  <c r="DC3911" i="1"/>
  <c r="DA3911" i="1"/>
  <c r="CY3911" i="1"/>
  <c r="Y3911" i="1" s="1"/>
  <c r="CW3911" i="1"/>
  <c r="AA3911" i="1" s="1"/>
  <c r="CR3911" i="1"/>
  <c r="CP3911" i="1"/>
  <c r="CN3911" i="1"/>
  <c r="CJ3911" i="1"/>
  <c r="CH3911" i="1"/>
  <c r="CF3911" i="1"/>
  <c r="BL3911" i="1"/>
  <c r="BD3911" i="1"/>
  <c r="AZ3911" i="1"/>
  <c r="AX3911" i="1"/>
  <c r="DC3910" i="1"/>
  <c r="DA3910" i="1"/>
  <c r="CY3910" i="1"/>
  <c r="Y3910" i="1" s="1"/>
  <c r="CW3910" i="1"/>
  <c r="AA3910" i="1" s="1"/>
  <c r="CR3910" i="1"/>
  <c r="CP3910" i="1"/>
  <c r="CN3910" i="1"/>
  <c r="CJ3910" i="1"/>
  <c r="CH3910" i="1"/>
  <c r="CF3910" i="1"/>
  <c r="BL3910" i="1"/>
  <c r="BD3910" i="1"/>
  <c r="AZ3910" i="1"/>
  <c r="AX3910" i="1"/>
  <c r="DC3909" i="1"/>
  <c r="DA3909" i="1"/>
  <c r="CY3909" i="1"/>
  <c r="Y3909" i="1" s="1"/>
  <c r="CW3909" i="1"/>
  <c r="AA3909" i="1" s="1"/>
  <c r="CR3909" i="1"/>
  <c r="CP3909" i="1"/>
  <c r="CN3909" i="1"/>
  <c r="CJ3909" i="1"/>
  <c r="CH3909" i="1"/>
  <c r="CF3909" i="1"/>
  <c r="BL3909" i="1"/>
  <c r="BD3909" i="1"/>
  <c r="AZ3909" i="1"/>
  <c r="AX3909" i="1"/>
  <c r="DC3908" i="1"/>
  <c r="DA3908" i="1"/>
  <c r="CY3908" i="1"/>
  <c r="Y3908" i="1" s="1"/>
  <c r="CW3908" i="1"/>
  <c r="AA3908" i="1" s="1"/>
  <c r="CR3908" i="1"/>
  <c r="CP3908" i="1"/>
  <c r="CN3908" i="1"/>
  <c r="CJ3908" i="1"/>
  <c r="CH3908" i="1"/>
  <c r="CF3908" i="1"/>
  <c r="BL3908" i="1"/>
  <c r="BD3908" i="1"/>
  <c r="AZ3908" i="1"/>
  <c r="AX3908" i="1"/>
  <c r="DC3907" i="1"/>
  <c r="DA3907" i="1"/>
  <c r="CY3907" i="1"/>
  <c r="Y3907" i="1" s="1"/>
  <c r="CW3907" i="1"/>
  <c r="AA3907" i="1" s="1"/>
  <c r="CR3907" i="1"/>
  <c r="CP3907" i="1"/>
  <c r="CN3907" i="1"/>
  <c r="CJ3907" i="1"/>
  <c r="CH3907" i="1"/>
  <c r="CF3907" i="1"/>
  <c r="BL3907" i="1"/>
  <c r="BD3907" i="1"/>
  <c r="AZ3907" i="1"/>
  <c r="AX3907" i="1"/>
  <c r="DC3906" i="1"/>
  <c r="DA3906" i="1"/>
  <c r="Z3906" i="1" s="1"/>
  <c r="CY3906" i="1"/>
  <c r="CW3906" i="1"/>
  <c r="AA3906" i="1" s="1"/>
  <c r="CR3906" i="1"/>
  <c r="CP3906" i="1"/>
  <c r="CN3906" i="1"/>
  <c r="CJ3906" i="1"/>
  <c r="CH3906" i="1"/>
  <c r="CF3906" i="1"/>
  <c r="BL3906" i="1"/>
  <c r="BD3906" i="1"/>
  <c r="AZ3906" i="1"/>
  <c r="AX3906" i="1"/>
  <c r="Y3906" i="1"/>
  <c r="DC3905" i="1"/>
  <c r="DA3905" i="1"/>
  <c r="Z3905" i="1" s="1"/>
  <c r="CY3905" i="1"/>
  <c r="Y3905" i="1" s="1"/>
  <c r="CW3905" i="1"/>
  <c r="AA3905" i="1" s="1"/>
  <c r="CR3905" i="1"/>
  <c r="CP3905" i="1"/>
  <c r="CN3905" i="1"/>
  <c r="CJ3905" i="1"/>
  <c r="CH3905" i="1"/>
  <c r="CF3905" i="1"/>
  <c r="BL3905" i="1"/>
  <c r="BD3905" i="1"/>
  <c r="AZ3905" i="1"/>
  <c r="AX3905" i="1"/>
  <c r="DC3903" i="1"/>
  <c r="DA3903" i="1"/>
  <c r="CY3903" i="1"/>
  <c r="Y3903" i="1" s="1"/>
  <c r="CW3903" i="1"/>
  <c r="AA3903" i="1" s="1"/>
  <c r="CR3903" i="1"/>
  <c r="CP3903" i="1"/>
  <c r="CN3903" i="1"/>
  <c r="CJ3903" i="1"/>
  <c r="CH3903" i="1"/>
  <c r="CF3903" i="1"/>
  <c r="BL3903" i="1"/>
  <c r="BD3903" i="1"/>
  <c r="AZ3903" i="1"/>
  <c r="AX3903" i="1"/>
  <c r="DC3902" i="1"/>
  <c r="DA3902" i="1"/>
  <c r="CY3902" i="1"/>
  <c r="Y3902" i="1" s="1"/>
  <c r="CW3902" i="1"/>
  <c r="AA3902" i="1" s="1"/>
  <c r="CR3902" i="1"/>
  <c r="CP3902" i="1"/>
  <c r="CN3902" i="1"/>
  <c r="CJ3902" i="1"/>
  <c r="CH3902" i="1"/>
  <c r="CF3902" i="1"/>
  <c r="BL3902" i="1"/>
  <c r="BD3902" i="1"/>
  <c r="AZ3902" i="1"/>
  <c r="AX3902" i="1"/>
  <c r="E3901" i="1"/>
  <c r="Z3913" i="1" l="1"/>
  <c r="Z3907" i="1"/>
  <c r="Z3910" i="1"/>
  <c r="CU3903" i="1"/>
  <c r="X3903" i="1" s="1"/>
  <c r="Z3903" i="1"/>
  <c r="Z3909" i="1"/>
  <c r="CU3902" i="1"/>
  <c r="X3902" i="1" s="1"/>
  <c r="Z3902" i="1"/>
  <c r="CU3912" i="1"/>
  <c r="X3912" i="1" s="1"/>
  <c r="AD3912" i="1" s="1"/>
  <c r="CU3908" i="1"/>
  <c r="X3908" i="1" s="1"/>
  <c r="Z3908" i="1"/>
  <c r="Z3911" i="1"/>
  <c r="CU3906" i="1"/>
  <c r="X3906" i="1" s="1"/>
  <c r="AD3906" i="1" s="1"/>
  <c r="CU3910" i="1"/>
  <c r="X3910" i="1" s="1"/>
  <c r="CU3907" i="1"/>
  <c r="X3907" i="1" s="1"/>
  <c r="CU3911" i="1"/>
  <c r="X3911" i="1" s="1"/>
  <c r="CU3905" i="1"/>
  <c r="X3905" i="1" s="1"/>
  <c r="AD3905" i="1" s="1"/>
  <c r="CU3909" i="1"/>
  <c r="X3909" i="1" s="1"/>
  <c r="AD3909" i="1" s="1"/>
  <c r="CU3913" i="1"/>
  <c r="X3913" i="1" s="1"/>
  <c r="E3904" i="1"/>
  <c r="AD3913" i="1" l="1"/>
  <c r="AD3907" i="1"/>
  <c r="AD3908" i="1"/>
  <c r="AD3902" i="1"/>
  <c r="AD3903" i="1"/>
  <c r="AD3910" i="1"/>
  <c r="AD3911" i="1"/>
  <c r="E3900" i="1"/>
  <c r="E3899" i="1"/>
  <c r="DC2966" i="1"/>
  <c r="DC2203" i="1"/>
  <c r="DC3103" i="1"/>
  <c r="BZ3103" i="1"/>
  <c r="BL3103" i="1"/>
  <c r="E3898" i="1" l="1"/>
  <c r="DC3707" i="1" l="1"/>
  <c r="DC2994" i="1"/>
  <c r="CY2994" i="1"/>
  <c r="E3897" i="1" l="1"/>
  <c r="E3896" i="1"/>
  <c r="E3895" i="1"/>
  <c r="E3894" i="1"/>
  <c r="E3892" i="1"/>
  <c r="E3893" i="1"/>
  <c r="E3891" i="1"/>
  <c r="E3890" i="1"/>
  <c r="E3889" i="1"/>
  <c r="E3888" i="1"/>
  <c r="E3887" i="1"/>
  <c r="E3886" i="1"/>
  <c r="E3885" i="1"/>
  <c r="E3884" i="1"/>
  <c r="DC3894" i="1"/>
  <c r="DA3894" i="1"/>
  <c r="CY3894" i="1"/>
  <c r="Y3894" i="1" s="1"/>
  <c r="CW3894" i="1"/>
  <c r="AA3894" i="1" s="1"/>
  <c r="CR3894" i="1"/>
  <c r="CP3894" i="1"/>
  <c r="CN3894" i="1"/>
  <c r="CJ3894" i="1"/>
  <c r="CH3894" i="1"/>
  <c r="CF3894" i="1"/>
  <c r="BL3894" i="1"/>
  <c r="BD3894" i="1"/>
  <c r="AZ3894" i="1"/>
  <c r="AX3894" i="1"/>
  <c r="DC3892" i="1"/>
  <c r="DA3892" i="1"/>
  <c r="CY3892" i="1"/>
  <c r="CW3892" i="1"/>
  <c r="AA3892" i="1" s="1"/>
  <c r="CR3892" i="1"/>
  <c r="CP3892" i="1"/>
  <c r="CN3892" i="1"/>
  <c r="CJ3892" i="1"/>
  <c r="CH3892" i="1"/>
  <c r="CF3892" i="1"/>
  <c r="BL3892" i="1"/>
  <c r="BD3892" i="1"/>
  <c r="AZ3892" i="1"/>
  <c r="AX3892" i="1"/>
  <c r="Y3892" i="1"/>
  <c r="DC3893" i="1"/>
  <c r="DA3893" i="1"/>
  <c r="CY3893" i="1"/>
  <c r="Y3893" i="1" s="1"/>
  <c r="CW3893" i="1"/>
  <c r="AA3893" i="1" s="1"/>
  <c r="CR3893" i="1"/>
  <c r="CP3893" i="1"/>
  <c r="CN3893" i="1"/>
  <c r="CJ3893" i="1"/>
  <c r="CH3893" i="1"/>
  <c r="CF3893" i="1"/>
  <c r="BL3893" i="1"/>
  <c r="BD3893" i="1"/>
  <c r="AZ3893" i="1"/>
  <c r="AX3893" i="1"/>
  <c r="DC3891" i="1"/>
  <c r="DA3891" i="1"/>
  <c r="CY3891" i="1"/>
  <c r="CW3891" i="1"/>
  <c r="AA3891" i="1" s="1"/>
  <c r="CR3891" i="1"/>
  <c r="CP3891" i="1"/>
  <c r="CN3891" i="1"/>
  <c r="CJ3891" i="1"/>
  <c r="CH3891" i="1"/>
  <c r="CF3891" i="1"/>
  <c r="BL3891" i="1"/>
  <c r="BD3891" i="1"/>
  <c r="AZ3891" i="1"/>
  <c r="AX3891" i="1"/>
  <c r="Y3891" i="1"/>
  <c r="DC3890" i="1"/>
  <c r="DA3890" i="1"/>
  <c r="CY3890" i="1"/>
  <c r="Y3890" i="1" s="1"/>
  <c r="CW3890" i="1"/>
  <c r="AA3890" i="1" s="1"/>
  <c r="CR3890" i="1"/>
  <c r="CP3890" i="1"/>
  <c r="CN3890" i="1"/>
  <c r="CJ3890" i="1"/>
  <c r="CH3890" i="1"/>
  <c r="CF3890" i="1"/>
  <c r="BL3890" i="1"/>
  <c r="BD3890" i="1"/>
  <c r="AZ3890" i="1"/>
  <c r="AX3890" i="1"/>
  <c r="DC3889" i="1"/>
  <c r="DA3889" i="1"/>
  <c r="CY3889" i="1"/>
  <c r="Y3889" i="1" s="1"/>
  <c r="CW3889" i="1"/>
  <c r="AA3889" i="1" s="1"/>
  <c r="CR3889" i="1"/>
  <c r="CP3889" i="1"/>
  <c r="CN3889" i="1"/>
  <c r="CJ3889" i="1"/>
  <c r="CH3889" i="1"/>
  <c r="CF3889" i="1"/>
  <c r="BL3889" i="1"/>
  <c r="BD3889" i="1"/>
  <c r="AZ3889" i="1"/>
  <c r="AX3889" i="1"/>
  <c r="DC3888" i="1"/>
  <c r="DA3888" i="1"/>
  <c r="CY3888" i="1"/>
  <c r="Y3888" i="1" s="1"/>
  <c r="CW3888" i="1"/>
  <c r="AA3888" i="1" s="1"/>
  <c r="CR3888" i="1"/>
  <c r="CP3888" i="1"/>
  <c r="CN3888" i="1"/>
  <c r="CJ3888" i="1"/>
  <c r="CH3888" i="1"/>
  <c r="CF3888" i="1"/>
  <c r="BL3888" i="1"/>
  <c r="BD3888" i="1"/>
  <c r="AZ3888" i="1"/>
  <c r="AX3888" i="1"/>
  <c r="DC3887" i="1"/>
  <c r="DA3887" i="1"/>
  <c r="CY3887" i="1"/>
  <c r="Y3887" i="1" s="1"/>
  <c r="CW3887" i="1"/>
  <c r="AA3887" i="1" s="1"/>
  <c r="CR3887" i="1"/>
  <c r="CP3887" i="1"/>
  <c r="CN3887" i="1"/>
  <c r="CJ3887" i="1"/>
  <c r="CH3887" i="1"/>
  <c r="CF3887" i="1"/>
  <c r="BL3887" i="1"/>
  <c r="BD3887" i="1"/>
  <c r="AZ3887" i="1"/>
  <c r="AX3887" i="1"/>
  <c r="DC3886" i="1"/>
  <c r="DA3886" i="1"/>
  <c r="CY3886" i="1"/>
  <c r="Y3886" i="1" s="1"/>
  <c r="CW3886" i="1"/>
  <c r="AA3886" i="1" s="1"/>
  <c r="CR3886" i="1"/>
  <c r="CP3886" i="1"/>
  <c r="CN3886" i="1"/>
  <c r="CJ3886" i="1"/>
  <c r="CH3886" i="1"/>
  <c r="CF3886" i="1"/>
  <c r="BL3886" i="1"/>
  <c r="BD3886" i="1"/>
  <c r="AZ3886" i="1"/>
  <c r="AX3886" i="1"/>
  <c r="DC3885" i="1"/>
  <c r="DA3885" i="1"/>
  <c r="CY3885" i="1"/>
  <c r="Y3885" i="1" s="1"/>
  <c r="CW3885" i="1"/>
  <c r="AA3885" i="1" s="1"/>
  <c r="CR3885" i="1"/>
  <c r="CP3885" i="1"/>
  <c r="CN3885" i="1"/>
  <c r="CJ3885" i="1"/>
  <c r="CH3885" i="1"/>
  <c r="CF3885" i="1"/>
  <c r="BL3885" i="1"/>
  <c r="BD3885" i="1"/>
  <c r="AZ3885" i="1"/>
  <c r="AX3885" i="1"/>
  <c r="DC3884" i="1"/>
  <c r="DA3884" i="1"/>
  <c r="CY3884" i="1"/>
  <c r="CW3884" i="1"/>
  <c r="AA3884" i="1" s="1"/>
  <c r="CR3884" i="1"/>
  <c r="CP3884" i="1"/>
  <c r="CN3884" i="1"/>
  <c r="CJ3884" i="1"/>
  <c r="CH3884" i="1"/>
  <c r="CF3884" i="1"/>
  <c r="BL3884" i="1"/>
  <c r="BD3884" i="1"/>
  <c r="AZ3884" i="1"/>
  <c r="AX3884" i="1"/>
  <c r="Y3884" i="1"/>
  <c r="Z3886" i="1" l="1"/>
  <c r="Z3890" i="1"/>
  <c r="CU3894" i="1"/>
  <c r="X3894" i="1" s="1"/>
  <c r="Z3894" i="1"/>
  <c r="Z3889" i="1"/>
  <c r="Z3885" i="1"/>
  <c r="CU3884" i="1"/>
  <c r="X3884" i="1" s="1"/>
  <c r="Z3884" i="1"/>
  <c r="CU3888" i="1"/>
  <c r="X3888" i="1" s="1"/>
  <c r="Z3888" i="1"/>
  <c r="CU3893" i="1"/>
  <c r="X3893" i="1" s="1"/>
  <c r="Z3893" i="1"/>
  <c r="Z3887" i="1"/>
  <c r="Z3891" i="1"/>
  <c r="Z3892" i="1"/>
  <c r="CU3885" i="1"/>
  <c r="X3885" i="1" s="1"/>
  <c r="CU3886" i="1"/>
  <c r="X3886" i="1" s="1"/>
  <c r="CU3890" i="1"/>
  <c r="X3890" i="1" s="1"/>
  <c r="CU3887" i="1"/>
  <c r="X3887" i="1" s="1"/>
  <c r="CU3891" i="1"/>
  <c r="X3891" i="1" s="1"/>
  <c r="CU3892" i="1"/>
  <c r="X3892" i="1" s="1"/>
  <c r="CU3889" i="1"/>
  <c r="X3889" i="1" s="1"/>
  <c r="E3883" i="1"/>
  <c r="E3882" i="1"/>
  <c r="E3881" i="1"/>
  <c r="E3880" i="1"/>
  <c r="AD3885" i="1" l="1"/>
  <c r="AD3886" i="1"/>
  <c r="AD3894" i="1"/>
  <c r="AD3890" i="1"/>
  <c r="AD3893" i="1"/>
  <c r="AD3889" i="1"/>
  <c r="AD3891" i="1"/>
  <c r="AD3888" i="1"/>
  <c r="AD3884" i="1"/>
  <c r="AD3887" i="1"/>
  <c r="AD3892" i="1"/>
  <c r="DE3603" i="1"/>
  <c r="CY3603" i="1"/>
  <c r="BL3603" i="1"/>
  <c r="CR3603" i="1"/>
  <c r="BZ3603" i="1"/>
  <c r="CY3554" i="1"/>
  <c r="CJ3476" i="1"/>
  <c r="CR3476" i="1"/>
  <c r="CP3476" i="1"/>
  <c r="CY3476" i="1"/>
  <c r="DC3235" i="1"/>
  <c r="CY3235" i="1"/>
  <c r="CR3235" i="1"/>
  <c r="DE2208" i="1" l="1"/>
  <c r="DC2208" i="1"/>
  <c r="DA2208" i="1"/>
  <c r="CY2208" i="1"/>
  <c r="CR2208" i="1"/>
  <c r="DE1894" i="1"/>
  <c r="DC1894" i="1"/>
  <c r="DA1894" i="1"/>
  <c r="CY1894" i="1"/>
  <c r="CR1894" i="1"/>
  <c r="DC3211" i="1"/>
  <c r="DA3211" i="1"/>
  <c r="CY3211" i="1"/>
  <c r="CR3211" i="1"/>
  <c r="DE2275" i="1"/>
  <c r="DC2275" i="1"/>
  <c r="DA2275" i="1"/>
  <c r="CY2275" i="1"/>
  <c r="CR2275" i="1"/>
  <c r="DE2883" i="1"/>
  <c r="DC2883" i="1"/>
  <c r="CY2883" i="1"/>
  <c r="CR2883" i="1"/>
  <c r="E3877" i="1"/>
  <c r="E3876" i="1"/>
  <c r="E3875" i="1"/>
  <c r="E3874" i="1"/>
  <c r="DC3898" i="1"/>
  <c r="DA3898" i="1"/>
  <c r="CY3898" i="1"/>
  <c r="Y3898" i="1" s="1"/>
  <c r="CW3898" i="1"/>
  <c r="AA3898" i="1" s="1"/>
  <c r="CR3898" i="1"/>
  <c r="CP3898" i="1"/>
  <c r="CN3898" i="1"/>
  <c r="CJ3898" i="1"/>
  <c r="CH3898" i="1"/>
  <c r="CF3898" i="1"/>
  <c r="BL3898" i="1"/>
  <c r="BD3898" i="1"/>
  <c r="AZ3898" i="1"/>
  <c r="AX3898" i="1"/>
  <c r="DC3897" i="1"/>
  <c r="DA3897" i="1"/>
  <c r="CY3897" i="1"/>
  <c r="CW3897" i="1"/>
  <c r="AA3897" i="1" s="1"/>
  <c r="CR3897" i="1"/>
  <c r="CP3897" i="1"/>
  <c r="CN3897" i="1"/>
  <c r="CJ3897" i="1"/>
  <c r="CH3897" i="1"/>
  <c r="CF3897" i="1"/>
  <c r="BL3897" i="1"/>
  <c r="BD3897" i="1"/>
  <c r="AZ3897" i="1"/>
  <c r="AX3897" i="1"/>
  <c r="Y3897" i="1"/>
  <c r="DC3896" i="1"/>
  <c r="DA3896" i="1"/>
  <c r="CY3896" i="1"/>
  <c r="CW3896" i="1"/>
  <c r="AA3896" i="1" s="1"/>
  <c r="CR3896" i="1"/>
  <c r="CP3896" i="1"/>
  <c r="CN3896" i="1"/>
  <c r="CJ3896" i="1"/>
  <c r="CH3896" i="1"/>
  <c r="CF3896" i="1"/>
  <c r="BL3896" i="1"/>
  <c r="BD3896" i="1"/>
  <c r="AZ3896" i="1"/>
  <c r="AX3896" i="1"/>
  <c r="Y3896" i="1"/>
  <c r="DC3895" i="1"/>
  <c r="DA3895" i="1"/>
  <c r="CY3895" i="1"/>
  <c r="Y3895" i="1" s="1"/>
  <c r="CW3895" i="1"/>
  <c r="AA3895" i="1" s="1"/>
  <c r="CR3895" i="1"/>
  <c r="CP3895" i="1"/>
  <c r="CN3895" i="1"/>
  <c r="CJ3895" i="1"/>
  <c r="CH3895" i="1"/>
  <c r="CF3895" i="1"/>
  <c r="BL3895" i="1"/>
  <c r="BD3895" i="1"/>
  <c r="AZ3895" i="1"/>
  <c r="AX3895" i="1"/>
  <c r="DC3883" i="1"/>
  <c r="DA3883" i="1"/>
  <c r="CY3883" i="1"/>
  <c r="Y3883" i="1" s="1"/>
  <c r="CW3883" i="1"/>
  <c r="AA3883" i="1" s="1"/>
  <c r="CR3883" i="1"/>
  <c r="CP3883" i="1"/>
  <c r="CN3883" i="1"/>
  <c r="CJ3883" i="1"/>
  <c r="CH3883" i="1"/>
  <c r="CF3883" i="1"/>
  <c r="BL3883" i="1"/>
  <c r="BD3883" i="1"/>
  <c r="AZ3883" i="1"/>
  <c r="AX3883" i="1"/>
  <c r="DC3882" i="1"/>
  <c r="DA3882" i="1"/>
  <c r="CY3882" i="1"/>
  <c r="CW3882" i="1"/>
  <c r="AA3882" i="1" s="1"/>
  <c r="CR3882" i="1"/>
  <c r="CP3882" i="1"/>
  <c r="CN3882" i="1"/>
  <c r="CJ3882" i="1"/>
  <c r="CH3882" i="1"/>
  <c r="CF3882" i="1"/>
  <c r="BL3882" i="1"/>
  <c r="BD3882" i="1"/>
  <c r="AZ3882" i="1"/>
  <c r="AX3882" i="1"/>
  <c r="Y3882" i="1"/>
  <c r="DC3881" i="1"/>
  <c r="DA3881" i="1"/>
  <c r="CY3881" i="1"/>
  <c r="Y3881" i="1" s="1"/>
  <c r="CW3881" i="1"/>
  <c r="AA3881" i="1" s="1"/>
  <c r="CR3881" i="1"/>
  <c r="CP3881" i="1"/>
  <c r="CN3881" i="1"/>
  <c r="CJ3881" i="1"/>
  <c r="CH3881" i="1"/>
  <c r="CF3881" i="1"/>
  <c r="BL3881" i="1"/>
  <c r="BD3881" i="1"/>
  <c r="AZ3881" i="1"/>
  <c r="AX3881" i="1"/>
  <c r="DC3880" i="1"/>
  <c r="DA3880" i="1"/>
  <c r="CY3880" i="1"/>
  <c r="Y3880" i="1" s="1"/>
  <c r="CW3880" i="1"/>
  <c r="AA3880" i="1" s="1"/>
  <c r="CR3880" i="1"/>
  <c r="CP3880" i="1"/>
  <c r="CN3880" i="1"/>
  <c r="CJ3880" i="1"/>
  <c r="CH3880" i="1"/>
  <c r="CF3880" i="1"/>
  <c r="BL3880" i="1"/>
  <c r="BD3880" i="1"/>
  <c r="AZ3880" i="1"/>
  <c r="AX3880" i="1"/>
  <c r="DC3877" i="1"/>
  <c r="DA3877" i="1"/>
  <c r="CY3877" i="1"/>
  <c r="CW3877" i="1"/>
  <c r="AA3877" i="1" s="1"/>
  <c r="CR3877" i="1"/>
  <c r="CP3877" i="1"/>
  <c r="CN3877" i="1"/>
  <c r="CJ3877" i="1"/>
  <c r="CH3877" i="1"/>
  <c r="CF3877" i="1"/>
  <c r="BL3877" i="1"/>
  <c r="BD3877" i="1"/>
  <c r="AZ3877" i="1"/>
  <c r="AX3877" i="1"/>
  <c r="Y3877" i="1"/>
  <c r="DC3876" i="1"/>
  <c r="DA3876" i="1"/>
  <c r="CY3876" i="1"/>
  <c r="CW3876" i="1"/>
  <c r="AA3876" i="1" s="1"/>
  <c r="CR3876" i="1"/>
  <c r="CP3876" i="1"/>
  <c r="CN3876" i="1"/>
  <c r="CJ3876" i="1"/>
  <c r="CH3876" i="1"/>
  <c r="CF3876" i="1"/>
  <c r="BL3876" i="1"/>
  <c r="BD3876" i="1"/>
  <c r="AZ3876" i="1"/>
  <c r="AX3876" i="1"/>
  <c r="Y3876" i="1"/>
  <c r="DC3875" i="1"/>
  <c r="DA3875" i="1"/>
  <c r="CY3875" i="1"/>
  <c r="Y3875" i="1" s="1"/>
  <c r="CW3875" i="1"/>
  <c r="AA3875" i="1" s="1"/>
  <c r="CR3875" i="1"/>
  <c r="CP3875" i="1"/>
  <c r="CN3875" i="1"/>
  <c r="CJ3875" i="1"/>
  <c r="CH3875" i="1"/>
  <c r="CF3875" i="1"/>
  <c r="BL3875" i="1"/>
  <c r="BD3875" i="1"/>
  <c r="AZ3875" i="1"/>
  <c r="AX3875" i="1"/>
  <c r="DC3874" i="1"/>
  <c r="DA3874" i="1"/>
  <c r="CY3874" i="1"/>
  <c r="Y3874" i="1" s="1"/>
  <c r="CW3874" i="1"/>
  <c r="AA3874" i="1" s="1"/>
  <c r="CR3874" i="1"/>
  <c r="CP3874" i="1"/>
  <c r="CN3874" i="1"/>
  <c r="CJ3874" i="1"/>
  <c r="CH3874" i="1"/>
  <c r="CF3874" i="1"/>
  <c r="BL3874" i="1"/>
  <c r="BD3874" i="1"/>
  <c r="AZ3874" i="1"/>
  <c r="AX3874" i="1"/>
  <c r="Z3874" i="1" l="1"/>
  <c r="Z3896" i="1"/>
  <c r="Z3875" i="1"/>
  <c r="Z3895" i="1"/>
  <c r="Z3881" i="1"/>
  <c r="Z3880" i="1"/>
  <c r="Z3877" i="1"/>
  <c r="Z3898" i="1"/>
  <c r="Z3882" i="1"/>
  <c r="CU3876" i="1"/>
  <c r="X3876" i="1" s="1"/>
  <c r="Z3876" i="1"/>
  <c r="CU3898" i="1"/>
  <c r="X3898" i="1" s="1"/>
  <c r="AD3898" i="1" s="1"/>
  <c r="Z3883" i="1"/>
  <c r="Z3897" i="1"/>
  <c r="CU3874" i="1"/>
  <c r="X3874" i="1" s="1"/>
  <c r="CU3880" i="1"/>
  <c r="X3880" i="1" s="1"/>
  <c r="CU3896" i="1"/>
  <c r="X3896" i="1" s="1"/>
  <c r="CU3875" i="1"/>
  <c r="X3875" i="1" s="1"/>
  <c r="CU3881" i="1"/>
  <c r="X3881" i="1" s="1"/>
  <c r="CU3897" i="1"/>
  <c r="X3897" i="1" s="1"/>
  <c r="CU3882" i="1"/>
  <c r="X3882" i="1" s="1"/>
  <c r="AD3882" i="1" s="1"/>
  <c r="CU3877" i="1"/>
  <c r="X3877" i="1" s="1"/>
  <c r="CU3883" i="1"/>
  <c r="X3883" i="1" s="1"/>
  <c r="CU3895" i="1"/>
  <c r="X3895" i="1" s="1"/>
  <c r="AD3895" i="1" s="1"/>
  <c r="E3664" i="1"/>
  <c r="E3879" i="1"/>
  <c r="E3878" i="1"/>
  <c r="AD3883" i="1" l="1"/>
  <c r="AD3881" i="1"/>
  <c r="AD3874" i="1"/>
  <c r="AD3896" i="1"/>
  <c r="AD3877" i="1"/>
  <c r="AD3875" i="1"/>
  <c r="AD3876" i="1"/>
  <c r="AD3897" i="1"/>
  <c r="AD3880" i="1"/>
  <c r="E3873" i="1"/>
  <c r="E3857" i="1"/>
  <c r="DC3901" i="1"/>
  <c r="DA3901" i="1"/>
  <c r="CY3901" i="1"/>
  <c r="Y3901" i="1" s="1"/>
  <c r="CW3901" i="1"/>
  <c r="AA3901" i="1" s="1"/>
  <c r="CR3901" i="1"/>
  <c r="CP3901" i="1"/>
  <c r="CN3901" i="1"/>
  <c r="CJ3901" i="1"/>
  <c r="CH3901" i="1"/>
  <c r="CF3901" i="1"/>
  <c r="BL3901" i="1"/>
  <c r="BD3901" i="1"/>
  <c r="AZ3901" i="1"/>
  <c r="AX3901" i="1"/>
  <c r="DC3904" i="1"/>
  <c r="DA3904" i="1"/>
  <c r="CY3904" i="1"/>
  <c r="CW3904" i="1"/>
  <c r="AA3904" i="1" s="1"/>
  <c r="CR3904" i="1"/>
  <c r="CP3904" i="1"/>
  <c r="CN3904" i="1"/>
  <c r="CJ3904" i="1"/>
  <c r="CH3904" i="1"/>
  <c r="CF3904" i="1"/>
  <c r="BL3904" i="1"/>
  <c r="BD3904" i="1"/>
  <c r="AZ3904" i="1"/>
  <c r="AX3904" i="1"/>
  <c r="Y3904" i="1"/>
  <c r="DC3900" i="1"/>
  <c r="DA3900" i="1"/>
  <c r="CY3900" i="1"/>
  <c r="CW3900" i="1"/>
  <c r="AA3900" i="1" s="1"/>
  <c r="CR3900" i="1"/>
  <c r="CP3900" i="1"/>
  <c r="CN3900" i="1"/>
  <c r="CJ3900" i="1"/>
  <c r="CH3900" i="1"/>
  <c r="CF3900" i="1"/>
  <c r="BL3900" i="1"/>
  <c r="BD3900" i="1"/>
  <c r="AZ3900" i="1"/>
  <c r="AX3900" i="1"/>
  <c r="Y3900" i="1"/>
  <c r="DC3899" i="1"/>
  <c r="DA3899" i="1"/>
  <c r="CY3899" i="1"/>
  <c r="Y3899" i="1" s="1"/>
  <c r="CW3899" i="1"/>
  <c r="AA3899" i="1" s="1"/>
  <c r="CR3899" i="1"/>
  <c r="CP3899" i="1"/>
  <c r="CN3899" i="1"/>
  <c r="CJ3899" i="1"/>
  <c r="CH3899" i="1"/>
  <c r="CF3899" i="1"/>
  <c r="BL3899" i="1"/>
  <c r="BD3899" i="1"/>
  <c r="AZ3899" i="1"/>
  <c r="AX3899" i="1"/>
  <c r="DC3664" i="1"/>
  <c r="DA3664" i="1"/>
  <c r="CY3664" i="1"/>
  <c r="Y3664" i="1" s="1"/>
  <c r="CW3664" i="1"/>
  <c r="AA3664" i="1" s="1"/>
  <c r="CR3664" i="1"/>
  <c r="CP3664" i="1"/>
  <c r="CN3664" i="1"/>
  <c r="CJ3664" i="1"/>
  <c r="CH3664" i="1"/>
  <c r="CF3664" i="1"/>
  <c r="BL3664" i="1"/>
  <c r="BD3664" i="1"/>
  <c r="AZ3664" i="1"/>
  <c r="AX3664" i="1"/>
  <c r="DC3879" i="1"/>
  <c r="DA3879" i="1"/>
  <c r="CY3879" i="1"/>
  <c r="CW3879" i="1"/>
  <c r="AA3879" i="1" s="1"/>
  <c r="CR3879" i="1"/>
  <c r="CP3879" i="1"/>
  <c r="CN3879" i="1"/>
  <c r="CJ3879" i="1"/>
  <c r="CH3879" i="1"/>
  <c r="CF3879" i="1"/>
  <c r="BL3879" i="1"/>
  <c r="BD3879" i="1"/>
  <c r="AZ3879" i="1"/>
  <c r="AX3879" i="1"/>
  <c r="Y3879" i="1"/>
  <c r="DC3878" i="1"/>
  <c r="DA3878" i="1"/>
  <c r="CY3878" i="1"/>
  <c r="Y3878" i="1" s="1"/>
  <c r="CW3878" i="1"/>
  <c r="AA3878" i="1" s="1"/>
  <c r="CR3878" i="1"/>
  <c r="CP3878" i="1"/>
  <c r="CN3878" i="1"/>
  <c r="CJ3878" i="1"/>
  <c r="CH3878" i="1"/>
  <c r="CF3878" i="1"/>
  <c r="BL3878" i="1"/>
  <c r="BD3878" i="1"/>
  <c r="AZ3878" i="1"/>
  <c r="AX3878" i="1"/>
  <c r="DC3873" i="1"/>
  <c r="DA3873" i="1"/>
  <c r="CY3873" i="1"/>
  <c r="Y3873" i="1" s="1"/>
  <c r="CW3873" i="1"/>
  <c r="AA3873" i="1" s="1"/>
  <c r="CR3873" i="1"/>
  <c r="CP3873" i="1"/>
  <c r="CN3873" i="1"/>
  <c r="CJ3873" i="1"/>
  <c r="CH3873" i="1"/>
  <c r="CF3873" i="1"/>
  <c r="BL3873" i="1"/>
  <c r="BD3873" i="1"/>
  <c r="AZ3873" i="1"/>
  <c r="AX3873" i="1"/>
  <c r="DC3857" i="1"/>
  <c r="DA3857" i="1"/>
  <c r="CY3857" i="1"/>
  <c r="Y3857" i="1" s="1"/>
  <c r="CW3857" i="1"/>
  <c r="AA3857" i="1" s="1"/>
  <c r="CR3857" i="1"/>
  <c r="CP3857" i="1"/>
  <c r="CN3857" i="1"/>
  <c r="CJ3857" i="1"/>
  <c r="CH3857" i="1"/>
  <c r="CF3857" i="1"/>
  <c r="BL3857" i="1"/>
  <c r="BD3857" i="1"/>
  <c r="AZ3857" i="1"/>
  <c r="AX3857" i="1"/>
  <c r="E3867" i="1"/>
  <c r="AZ3449" i="1"/>
  <c r="DC3456" i="1"/>
  <c r="DC3449" i="1"/>
  <c r="DC3448" i="1"/>
  <c r="DC3447" i="1"/>
  <c r="CP3456" i="1"/>
  <c r="CP3449" i="1"/>
  <c r="CP3448" i="1"/>
  <c r="CP3447" i="1"/>
  <c r="CI3456" i="1"/>
  <c r="CJ3456" i="1" s="1"/>
  <c r="CI3449" i="1"/>
  <c r="CJ3449" i="1" s="1"/>
  <c r="CI3448" i="1"/>
  <c r="CJ3448" i="1" s="1"/>
  <c r="CI3447" i="1"/>
  <c r="CJ3447" i="1" s="1"/>
  <c r="AZ3456" i="1"/>
  <c r="AZ3448" i="1"/>
  <c r="AZ3447" i="1"/>
  <c r="Z3873" i="1" l="1"/>
  <c r="Z3899" i="1"/>
  <c r="Z3900" i="1"/>
  <c r="Z3904" i="1"/>
  <c r="Z3857" i="1"/>
  <c r="CU3900" i="1"/>
  <c r="X3900" i="1" s="1"/>
  <c r="CU3901" i="1"/>
  <c r="X3901" i="1" s="1"/>
  <c r="Z3901" i="1"/>
  <c r="Z3878" i="1"/>
  <c r="CU3879" i="1"/>
  <c r="X3879" i="1" s="1"/>
  <c r="Z3664" i="1"/>
  <c r="Z3879" i="1"/>
  <c r="CU3873" i="1"/>
  <c r="X3873" i="1" s="1"/>
  <c r="AD3873" i="1" s="1"/>
  <c r="CU3899" i="1"/>
  <c r="X3899" i="1" s="1"/>
  <c r="AD3899" i="1" s="1"/>
  <c r="CU3878" i="1"/>
  <c r="X3878" i="1" s="1"/>
  <c r="CU3857" i="1"/>
  <c r="X3857" i="1" s="1"/>
  <c r="CU3664" i="1"/>
  <c r="X3664" i="1" s="1"/>
  <c r="CU3904" i="1"/>
  <c r="X3904" i="1" s="1"/>
  <c r="CY3290" i="1"/>
  <c r="DE3290" i="1"/>
  <c r="DC3028" i="1"/>
  <c r="CY3028" i="1"/>
  <c r="DC3027" i="1"/>
  <c r="CY3027" i="1"/>
  <c r="CY2954" i="1"/>
  <c r="CY3393" i="1"/>
  <c r="CW3393" i="1"/>
  <c r="BZ3393" i="1"/>
  <c r="BL3393" i="1"/>
  <c r="DC3266" i="1"/>
  <c r="DB3266" i="1"/>
  <c r="CW2953" i="1"/>
  <c r="CY2396" i="1"/>
  <c r="CR2396" i="1"/>
  <c r="DC2719" i="1"/>
  <c r="CY2719" i="1"/>
  <c r="CR2719" i="1"/>
  <c r="CP2719" i="1"/>
  <c r="AZ2719" i="1"/>
  <c r="DC2720" i="1"/>
  <c r="CY2720" i="1"/>
  <c r="CR2720" i="1"/>
  <c r="CP2720" i="1"/>
  <c r="CJ2720" i="1"/>
  <c r="AZ2720" i="1"/>
  <c r="DC2768" i="1"/>
  <c r="CY2768" i="1"/>
  <c r="CR2768" i="1"/>
  <c r="CP2768" i="1"/>
  <c r="AZ2768" i="1"/>
  <c r="DC2755" i="1"/>
  <c r="CY2755" i="1"/>
  <c r="CR2755" i="1"/>
  <c r="CP2755" i="1"/>
  <c r="AZ2755" i="1"/>
  <c r="DE2718" i="1"/>
  <c r="DC2718" i="1"/>
  <c r="CY2718" i="1"/>
  <c r="CR2718" i="1"/>
  <c r="CP2718" i="1"/>
  <c r="CJ2718" i="1"/>
  <c r="AZ2718" i="1"/>
  <c r="E3872" i="1"/>
  <c r="E3871" i="1"/>
  <c r="E3870" i="1"/>
  <c r="E3869" i="1"/>
  <c r="AD3904" i="1" l="1"/>
  <c r="AD3879" i="1"/>
  <c r="AD3901" i="1"/>
  <c r="AD3857" i="1"/>
  <c r="AD3900" i="1"/>
  <c r="AD3664" i="1"/>
  <c r="AD3878" i="1"/>
  <c r="E3866" i="1"/>
  <c r="E3856" i="1"/>
  <c r="E3865" i="1"/>
  <c r="E3864" i="1"/>
  <c r="E3863" i="1" l="1"/>
  <c r="E3862" i="1"/>
  <c r="DC3866" i="1"/>
  <c r="DA3866" i="1"/>
  <c r="CY3866" i="1"/>
  <c r="Y3866" i="1" s="1"/>
  <c r="CW3866" i="1"/>
  <c r="AA3866" i="1" s="1"/>
  <c r="CR3866" i="1"/>
  <c r="CP3866" i="1"/>
  <c r="CN3866" i="1"/>
  <c r="CJ3866" i="1"/>
  <c r="CH3866" i="1"/>
  <c r="CF3866" i="1"/>
  <c r="BL3866" i="1"/>
  <c r="BD3866" i="1"/>
  <c r="AZ3866" i="1"/>
  <c r="AX3866" i="1"/>
  <c r="DC3856" i="1"/>
  <c r="DA3856" i="1"/>
  <c r="CY3856" i="1"/>
  <c r="Y3856" i="1" s="1"/>
  <c r="CW3856" i="1"/>
  <c r="AA3856" i="1" s="1"/>
  <c r="CR3856" i="1"/>
  <c r="CP3856" i="1"/>
  <c r="CN3856" i="1"/>
  <c r="CJ3856" i="1"/>
  <c r="CH3856" i="1"/>
  <c r="CF3856" i="1"/>
  <c r="BL3856" i="1"/>
  <c r="BD3856" i="1"/>
  <c r="AZ3856" i="1"/>
  <c r="AX3856" i="1"/>
  <c r="DC3865" i="1"/>
  <c r="DA3865" i="1"/>
  <c r="CY3865" i="1"/>
  <c r="CW3865" i="1"/>
  <c r="AA3865" i="1" s="1"/>
  <c r="CR3865" i="1"/>
  <c r="CP3865" i="1"/>
  <c r="CN3865" i="1"/>
  <c r="CJ3865" i="1"/>
  <c r="CH3865" i="1"/>
  <c r="CF3865" i="1"/>
  <c r="BL3865" i="1"/>
  <c r="BD3865" i="1"/>
  <c r="AZ3865" i="1"/>
  <c r="AX3865" i="1"/>
  <c r="Y3865" i="1"/>
  <c r="DC3864" i="1"/>
  <c r="DA3864" i="1"/>
  <c r="CY3864" i="1"/>
  <c r="Y3864" i="1" s="1"/>
  <c r="CW3864" i="1"/>
  <c r="AA3864" i="1" s="1"/>
  <c r="CR3864" i="1"/>
  <c r="CP3864" i="1"/>
  <c r="CN3864" i="1"/>
  <c r="CJ3864" i="1"/>
  <c r="CH3864" i="1"/>
  <c r="CF3864" i="1"/>
  <c r="BL3864" i="1"/>
  <c r="BD3864" i="1"/>
  <c r="AZ3864" i="1"/>
  <c r="AX3864" i="1"/>
  <c r="DC3863" i="1"/>
  <c r="DA3863" i="1"/>
  <c r="CY3863" i="1"/>
  <c r="Y3863" i="1" s="1"/>
  <c r="CW3863" i="1"/>
  <c r="AA3863" i="1" s="1"/>
  <c r="CR3863" i="1"/>
  <c r="CP3863" i="1"/>
  <c r="CN3863" i="1"/>
  <c r="CJ3863" i="1"/>
  <c r="CH3863" i="1"/>
  <c r="CF3863" i="1"/>
  <c r="BL3863" i="1"/>
  <c r="BD3863" i="1"/>
  <c r="AZ3863" i="1"/>
  <c r="AX3863" i="1"/>
  <c r="DC3862" i="1"/>
  <c r="DA3862" i="1"/>
  <c r="CY3862" i="1"/>
  <c r="Y3862" i="1" s="1"/>
  <c r="CW3862" i="1"/>
  <c r="AA3862" i="1" s="1"/>
  <c r="CR3862" i="1"/>
  <c r="CP3862" i="1"/>
  <c r="CN3862" i="1"/>
  <c r="CJ3862" i="1"/>
  <c r="CH3862" i="1"/>
  <c r="CF3862" i="1"/>
  <c r="BL3862" i="1"/>
  <c r="BD3862" i="1"/>
  <c r="AZ3862" i="1"/>
  <c r="AX3862" i="1"/>
  <c r="Z3866" i="1" l="1"/>
  <c r="Z3863" i="1"/>
  <c r="Z3864" i="1"/>
  <c r="CU3862" i="1"/>
  <c r="X3862" i="1" s="1"/>
  <c r="CU3865" i="1"/>
  <c r="X3865" i="1" s="1"/>
  <c r="Z3865" i="1"/>
  <c r="Z3862" i="1"/>
  <c r="Z3856" i="1"/>
  <c r="CU3866" i="1"/>
  <c r="X3866" i="1" s="1"/>
  <c r="CU3863" i="1"/>
  <c r="X3863" i="1" s="1"/>
  <c r="CU3856" i="1"/>
  <c r="X3856" i="1" s="1"/>
  <c r="CU3864" i="1"/>
  <c r="X3864" i="1" s="1"/>
  <c r="E3533" i="1"/>
  <c r="I3713" i="1"/>
  <c r="I3666" i="1"/>
  <c r="E3868" i="1"/>
  <c r="AD3862" i="1" l="1"/>
  <c r="AD3866" i="1"/>
  <c r="AD3865" i="1"/>
  <c r="AD3864" i="1"/>
  <c r="AD3863" i="1"/>
  <c r="AD3856" i="1"/>
  <c r="DE3815" i="1"/>
  <c r="BZ3815" i="1"/>
  <c r="DC3815" i="1"/>
  <c r="DE3802" i="1"/>
  <c r="BZ3802" i="1"/>
  <c r="DC3802" i="1"/>
  <c r="DC3194" i="1"/>
  <c r="DE3681" i="1"/>
  <c r="E3681" i="1"/>
  <c r="DC3445" i="1"/>
  <c r="DB3445" i="1"/>
  <c r="DE3236" i="1"/>
  <c r="DC3236" i="1"/>
  <c r="DB3236" i="1"/>
  <c r="E3861" i="1"/>
  <c r="DC3870" i="1"/>
  <c r="DA3870" i="1"/>
  <c r="CY3870" i="1"/>
  <c r="Y3870" i="1" s="1"/>
  <c r="CW3870" i="1"/>
  <c r="AA3870" i="1" s="1"/>
  <c r="CR3870" i="1"/>
  <c r="CP3870" i="1"/>
  <c r="CN3870" i="1"/>
  <c r="CJ3870" i="1"/>
  <c r="CH3870" i="1"/>
  <c r="CF3870" i="1"/>
  <c r="BL3870" i="1"/>
  <c r="BD3870" i="1"/>
  <c r="AZ3870" i="1"/>
  <c r="AX3870" i="1"/>
  <c r="DC3869" i="1"/>
  <c r="DA3869" i="1"/>
  <c r="CY3869" i="1"/>
  <c r="CW3869" i="1"/>
  <c r="AA3869" i="1" s="1"/>
  <c r="CR3869" i="1"/>
  <c r="CP3869" i="1"/>
  <c r="CN3869" i="1"/>
  <c r="CJ3869" i="1"/>
  <c r="CH3869" i="1"/>
  <c r="CF3869" i="1"/>
  <c r="BL3869" i="1"/>
  <c r="BD3869" i="1"/>
  <c r="AZ3869" i="1"/>
  <c r="AX3869" i="1"/>
  <c r="Y3869" i="1"/>
  <c r="DC3533" i="1"/>
  <c r="DA3533" i="1"/>
  <c r="CY3533" i="1"/>
  <c r="Y3533" i="1" s="1"/>
  <c r="CW3533" i="1"/>
  <c r="AA3533" i="1" s="1"/>
  <c r="CR3533" i="1"/>
  <c r="CP3533" i="1"/>
  <c r="CN3533" i="1"/>
  <c r="CJ3533" i="1"/>
  <c r="CH3533" i="1"/>
  <c r="CF3533" i="1"/>
  <c r="BL3533" i="1"/>
  <c r="BD3533" i="1"/>
  <c r="AZ3533" i="1"/>
  <c r="AX3533" i="1"/>
  <c r="DC3868" i="1"/>
  <c r="DA3868" i="1"/>
  <c r="CY3868" i="1"/>
  <c r="Y3868" i="1" s="1"/>
  <c r="CW3868" i="1"/>
  <c r="AA3868" i="1" s="1"/>
  <c r="CR3868" i="1"/>
  <c r="CP3868" i="1"/>
  <c r="CN3868" i="1"/>
  <c r="CJ3868" i="1"/>
  <c r="CH3868" i="1"/>
  <c r="CF3868" i="1"/>
  <c r="BL3868" i="1"/>
  <c r="BD3868" i="1"/>
  <c r="AZ3868" i="1"/>
  <c r="AX3868" i="1"/>
  <c r="DC3681" i="1"/>
  <c r="DA3681" i="1"/>
  <c r="CY3681" i="1"/>
  <c r="Y3681" i="1" s="1"/>
  <c r="CW3681" i="1"/>
  <c r="AA3681" i="1" s="1"/>
  <c r="CR3681" i="1"/>
  <c r="CP3681" i="1"/>
  <c r="CN3681" i="1"/>
  <c r="CJ3681" i="1"/>
  <c r="CH3681" i="1"/>
  <c r="CF3681" i="1"/>
  <c r="BL3681" i="1"/>
  <c r="BD3681" i="1"/>
  <c r="AZ3681" i="1"/>
  <c r="AX3681" i="1"/>
  <c r="DC3861" i="1"/>
  <c r="DA3861" i="1"/>
  <c r="CY3861" i="1"/>
  <c r="Y3861" i="1" s="1"/>
  <c r="CW3861" i="1"/>
  <c r="AA3861" i="1" s="1"/>
  <c r="CR3861" i="1"/>
  <c r="CP3861" i="1"/>
  <c r="CN3861" i="1"/>
  <c r="CJ3861" i="1"/>
  <c r="CH3861" i="1"/>
  <c r="CF3861" i="1"/>
  <c r="BL3861" i="1"/>
  <c r="BD3861" i="1"/>
  <c r="AZ3861" i="1"/>
  <c r="AX3861" i="1"/>
  <c r="Z3870" i="1" l="1"/>
  <c r="CU3533" i="1"/>
  <c r="X3533" i="1" s="1"/>
  <c r="Z3533" i="1"/>
  <c r="Z3861" i="1"/>
  <c r="CU3870" i="1"/>
  <c r="X3870" i="1" s="1"/>
  <c r="CU3681" i="1"/>
  <c r="X3681" i="1" s="1"/>
  <c r="Z3681" i="1"/>
  <c r="Z3868" i="1"/>
  <c r="Z3869" i="1"/>
  <c r="CU3868" i="1"/>
  <c r="X3868" i="1" s="1"/>
  <c r="CU3861" i="1"/>
  <c r="X3861" i="1" s="1"/>
  <c r="CU3869" i="1"/>
  <c r="X3869" i="1" s="1"/>
  <c r="E3860" i="1"/>
  <c r="E3855" i="1"/>
  <c r="E3859" i="1"/>
  <c r="E3858" i="1"/>
  <c r="AD3868" i="1" l="1"/>
  <c r="AD3870" i="1"/>
  <c r="AD3861" i="1"/>
  <c r="AD3533" i="1"/>
  <c r="AD3681" i="1"/>
  <c r="AD3869" i="1"/>
  <c r="E3854" i="1"/>
  <c r="DC3915" i="1"/>
  <c r="DA3915" i="1"/>
  <c r="CY3915" i="1"/>
  <c r="Y3915" i="1" s="1"/>
  <c r="CW3915" i="1"/>
  <c r="AA3915" i="1" s="1"/>
  <c r="CR3915" i="1"/>
  <c r="CP3915" i="1"/>
  <c r="CN3915" i="1"/>
  <c r="CJ3915" i="1"/>
  <c r="CH3915" i="1"/>
  <c r="CF3915" i="1"/>
  <c r="BL3915" i="1"/>
  <c r="BD3915" i="1"/>
  <c r="AZ3915" i="1"/>
  <c r="AX3915" i="1"/>
  <c r="DC3914" i="1"/>
  <c r="DA3914" i="1"/>
  <c r="CY3914" i="1"/>
  <c r="Y3914" i="1" s="1"/>
  <c r="CW3914" i="1"/>
  <c r="AA3914" i="1" s="1"/>
  <c r="CR3914" i="1"/>
  <c r="CP3914" i="1"/>
  <c r="CN3914" i="1"/>
  <c r="CJ3914" i="1"/>
  <c r="CH3914" i="1"/>
  <c r="CF3914" i="1"/>
  <c r="BL3914" i="1"/>
  <c r="BD3914" i="1"/>
  <c r="AZ3914" i="1"/>
  <c r="AX3914" i="1"/>
  <c r="DC3867" i="1"/>
  <c r="DA3867" i="1"/>
  <c r="CY3867" i="1"/>
  <c r="Y3867" i="1" s="1"/>
  <c r="CW3867" i="1"/>
  <c r="AA3867" i="1" s="1"/>
  <c r="CR3867" i="1"/>
  <c r="CP3867" i="1"/>
  <c r="CN3867" i="1"/>
  <c r="CJ3867" i="1"/>
  <c r="CH3867" i="1"/>
  <c r="CF3867" i="1"/>
  <c r="BL3867" i="1"/>
  <c r="BD3867" i="1"/>
  <c r="AZ3867" i="1"/>
  <c r="AX3867" i="1"/>
  <c r="DC3872" i="1"/>
  <c r="DA3872" i="1"/>
  <c r="CY3872" i="1"/>
  <c r="Y3872" i="1" s="1"/>
  <c r="CW3872" i="1"/>
  <c r="AA3872" i="1" s="1"/>
  <c r="CR3872" i="1"/>
  <c r="CP3872" i="1"/>
  <c r="CN3872" i="1"/>
  <c r="CJ3872" i="1"/>
  <c r="CH3872" i="1"/>
  <c r="CF3872" i="1"/>
  <c r="BL3872" i="1"/>
  <c r="BD3872" i="1"/>
  <c r="AZ3872" i="1"/>
  <c r="AX3872" i="1"/>
  <c r="DC3871" i="1"/>
  <c r="DA3871" i="1"/>
  <c r="CY3871" i="1"/>
  <c r="Y3871" i="1" s="1"/>
  <c r="CW3871" i="1"/>
  <c r="AA3871" i="1" s="1"/>
  <c r="CR3871" i="1"/>
  <c r="CP3871" i="1"/>
  <c r="CN3871" i="1"/>
  <c r="CJ3871" i="1"/>
  <c r="CH3871" i="1"/>
  <c r="CF3871" i="1"/>
  <c r="BL3871" i="1"/>
  <c r="BD3871" i="1"/>
  <c r="AZ3871" i="1"/>
  <c r="AX3871" i="1"/>
  <c r="DC3860" i="1"/>
  <c r="DA3860" i="1"/>
  <c r="CY3860" i="1"/>
  <c r="Y3860" i="1" s="1"/>
  <c r="CW3860" i="1"/>
  <c r="AA3860" i="1" s="1"/>
  <c r="CR3860" i="1"/>
  <c r="CP3860" i="1"/>
  <c r="CN3860" i="1"/>
  <c r="CJ3860" i="1"/>
  <c r="CH3860" i="1"/>
  <c r="CF3860" i="1"/>
  <c r="BL3860" i="1"/>
  <c r="BD3860" i="1"/>
  <c r="AZ3860" i="1"/>
  <c r="AX3860" i="1"/>
  <c r="DC3855" i="1"/>
  <c r="DA3855" i="1"/>
  <c r="CY3855" i="1"/>
  <c r="Y3855" i="1" s="1"/>
  <c r="CW3855" i="1"/>
  <c r="AA3855" i="1" s="1"/>
  <c r="CR3855" i="1"/>
  <c r="CP3855" i="1"/>
  <c r="CN3855" i="1"/>
  <c r="CJ3855" i="1"/>
  <c r="CH3855" i="1"/>
  <c r="CF3855" i="1"/>
  <c r="BL3855" i="1"/>
  <c r="BD3855" i="1"/>
  <c r="AZ3855" i="1"/>
  <c r="AX3855" i="1"/>
  <c r="DC3859" i="1"/>
  <c r="DA3859" i="1"/>
  <c r="CY3859" i="1"/>
  <c r="Y3859" i="1" s="1"/>
  <c r="CW3859" i="1"/>
  <c r="AA3859" i="1" s="1"/>
  <c r="CR3859" i="1"/>
  <c r="CP3859" i="1"/>
  <c r="CN3859" i="1"/>
  <c r="CJ3859" i="1"/>
  <c r="CH3859" i="1"/>
  <c r="CF3859" i="1"/>
  <c r="BL3859" i="1"/>
  <c r="BD3859" i="1"/>
  <c r="AZ3859" i="1"/>
  <c r="AX3859" i="1"/>
  <c r="DC3858" i="1"/>
  <c r="DA3858" i="1"/>
  <c r="CY3858" i="1"/>
  <c r="Y3858" i="1" s="1"/>
  <c r="CW3858" i="1"/>
  <c r="AA3858" i="1" s="1"/>
  <c r="CR3858" i="1"/>
  <c r="CP3858" i="1"/>
  <c r="CN3858" i="1"/>
  <c r="CJ3858" i="1"/>
  <c r="CH3858" i="1"/>
  <c r="CF3858" i="1"/>
  <c r="BL3858" i="1"/>
  <c r="BD3858" i="1"/>
  <c r="AZ3858" i="1"/>
  <c r="AX3858" i="1"/>
  <c r="E3853" i="1"/>
  <c r="E3848" i="1"/>
  <c r="E3852" i="1"/>
  <c r="E3851" i="1"/>
  <c r="E3850" i="1"/>
  <c r="E3847" i="1"/>
  <c r="E3849" i="1"/>
  <c r="E3846" i="1"/>
  <c r="E3845" i="1"/>
  <c r="E3843" i="1"/>
  <c r="E3844" i="1"/>
  <c r="E3842" i="1"/>
  <c r="E3841" i="1"/>
  <c r="E3840" i="1"/>
  <c r="E3839" i="1"/>
  <c r="E3838" i="1"/>
  <c r="DC3849" i="1"/>
  <c r="DA3849" i="1"/>
  <c r="CY3849" i="1"/>
  <c r="Y3849" i="1" s="1"/>
  <c r="CW3849" i="1"/>
  <c r="AA3849" i="1" s="1"/>
  <c r="CR3849" i="1"/>
  <c r="CP3849" i="1"/>
  <c r="CN3849" i="1"/>
  <c r="CJ3849" i="1"/>
  <c r="CH3849" i="1"/>
  <c r="CF3849" i="1"/>
  <c r="BL3849" i="1"/>
  <c r="BD3849" i="1"/>
  <c r="AZ3849" i="1"/>
  <c r="AX3849" i="1"/>
  <c r="DC3846" i="1"/>
  <c r="DA3846" i="1"/>
  <c r="CY3846" i="1"/>
  <c r="Y3846" i="1" s="1"/>
  <c r="CW3846" i="1"/>
  <c r="AA3846" i="1" s="1"/>
  <c r="CR3846" i="1"/>
  <c r="CP3846" i="1"/>
  <c r="CN3846" i="1"/>
  <c r="CJ3846" i="1"/>
  <c r="CH3846" i="1"/>
  <c r="CF3846" i="1"/>
  <c r="BL3846" i="1"/>
  <c r="BD3846" i="1"/>
  <c r="AZ3846" i="1"/>
  <c r="AX3846" i="1"/>
  <c r="DC3845" i="1"/>
  <c r="DA3845" i="1"/>
  <c r="CY3845" i="1"/>
  <c r="Y3845" i="1" s="1"/>
  <c r="CW3845" i="1"/>
  <c r="AA3845" i="1" s="1"/>
  <c r="CR3845" i="1"/>
  <c r="CP3845" i="1"/>
  <c r="CN3845" i="1"/>
  <c r="CJ3845" i="1"/>
  <c r="CH3845" i="1"/>
  <c r="CF3845" i="1"/>
  <c r="BL3845" i="1"/>
  <c r="BD3845" i="1"/>
  <c r="AZ3845" i="1"/>
  <c r="AX3845" i="1"/>
  <c r="DC3843" i="1"/>
  <c r="DA3843" i="1"/>
  <c r="CY3843" i="1"/>
  <c r="Y3843" i="1" s="1"/>
  <c r="CW3843" i="1"/>
  <c r="AA3843" i="1" s="1"/>
  <c r="CR3843" i="1"/>
  <c r="CP3843" i="1"/>
  <c r="CN3843" i="1"/>
  <c r="CJ3843" i="1"/>
  <c r="CH3843" i="1"/>
  <c r="CF3843" i="1"/>
  <c r="BL3843" i="1"/>
  <c r="BD3843" i="1"/>
  <c r="AZ3843" i="1"/>
  <c r="AX3843" i="1"/>
  <c r="DC3844" i="1"/>
  <c r="DA3844" i="1"/>
  <c r="CY3844" i="1"/>
  <c r="Y3844" i="1" s="1"/>
  <c r="CW3844" i="1"/>
  <c r="AA3844" i="1" s="1"/>
  <c r="CR3844" i="1"/>
  <c r="CP3844" i="1"/>
  <c r="CN3844" i="1"/>
  <c r="CJ3844" i="1"/>
  <c r="CH3844" i="1"/>
  <c r="CF3844" i="1"/>
  <c r="BL3844" i="1"/>
  <c r="BD3844" i="1"/>
  <c r="AZ3844" i="1"/>
  <c r="AX3844" i="1"/>
  <c r="DC3842" i="1"/>
  <c r="DA3842" i="1"/>
  <c r="CY3842" i="1"/>
  <c r="Y3842" i="1" s="1"/>
  <c r="CW3842" i="1"/>
  <c r="AA3842" i="1" s="1"/>
  <c r="CR3842" i="1"/>
  <c r="CP3842" i="1"/>
  <c r="CN3842" i="1"/>
  <c r="CJ3842" i="1"/>
  <c r="CH3842" i="1"/>
  <c r="CF3842" i="1"/>
  <c r="BL3842" i="1"/>
  <c r="BD3842" i="1"/>
  <c r="AZ3842" i="1"/>
  <c r="AX3842" i="1"/>
  <c r="DC3841" i="1"/>
  <c r="DA3841" i="1"/>
  <c r="CY3841" i="1"/>
  <c r="Y3841" i="1" s="1"/>
  <c r="CW3841" i="1"/>
  <c r="AA3841" i="1" s="1"/>
  <c r="CR3841" i="1"/>
  <c r="CP3841" i="1"/>
  <c r="CN3841" i="1"/>
  <c r="CJ3841" i="1"/>
  <c r="CH3841" i="1"/>
  <c r="CF3841" i="1"/>
  <c r="BL3841" i="1"/>
  <c r="BD3841" i="1"/>
  <c r="AZ3841" i="1"/>
  <c r="AX3841" i="1"/>
  <c r="DC3840" i="1"/>
  <c r="DA3840" i="1"/>
  <c r="CY3840" i="1"/>
  <c r="Y3840" i="1" s="1"/>
  <c r="CW3840" i="1"/>
  <c r="AA3840" i="1" s="1"/>
  <c r="CR3840" i="1"/>
  <c r="CP3840" i="1"/>
  <c r="CN3840" i="1"/>
  <c r="CJ3840" i="1"/>
  <c r="CH3840" i="1"/>
  <c r="CF3840" i="1"/>
  <c r="BL3840" i="1"/>
  <c r="BD3840" i="1"/>
  <c r="AZ3840" i="1"/>
  <c r="AX3840" i="1"/>
  <c r="DC3839" i="1"/>
  <c r="DA3839" i="1"/>
  <c r="CY3839" i="1"/>
  <c r="Y3839" i="1" s="1"/>
  <c r="CW3839" i="1"/>
  <c r="AA3839" i="1" s="1"/>
  <c r="CR3839" i="1"/>
  <c r="CP3839" i="1"/>
  <c r="CN3839" i="1"/>
  <c r="CJ3839" i="1"/>
  <c r="CH3839" i="1"/>
  <c r="CF3839" i="1"/>
  <c r="BL3839" i="1"/>
  <c r="BD3839" i="1"/>
  <c r="AZ3839" i="1"/>
  <c r="AX3839" i="1"/>
  <c r="DC3838" i="1"/>
  <c r="DA3838" i="1"/>
  <c r="CY3838" i="1"/>
  <c r="Y3838" i="1" s="1"/>
  <c r="CW3838" i="1"/>
  <c r="AA3838" i="1" s="1"/>
  <c r="CR3838" i="1"/>
  <c r="CP3838" i="1"/>
  <c r="CN3838" i="1"/>
  <c r="CJ3838" i="1"/>
  <c r="CH3838" i="1"/>
  <c r="CF3838" i="1"/>
  <c r="BL3838" i="1"/>
  <c r="BD3838" i="1"/>
  <c r="AZ3838" i="1"/>
  <c r="AX3838" i="1"/>
  <c r="Z3859" i="1" l="1"/>
  <c r="Z3855" i="1"/>
  <c r="Z3871" i="1"/>
  <c r="Z3915" i="1"/>
  <c r="CU3859" i="1"/>
  <c r="X3859" i="1" s="1"/>
  <c r="AD3859" i="1" s="1"/>
  <c r="CU3855" i="1"/>
  <c r="X3855" i="1" s="1"/>
  <c r="AD3855" i="1" s="1"/>
  <c r="CU3915" i="1"/>
  <c r="X3915" i="1" s="1"/>
  <c r="CU3871" i="1"/>
  <c r="X3871" i="1" s="1"/>
  <c r="CU3867" i="1"/>
  <c r="X3867" i="1" s="1"/>
  <c r="CU3858" i="1"/>
  <c r="X3858" i="1" s="1"/>
  <c r="Z3858" i="1"/>
  <c r="CU3860" i="1"/>
  <c r="X3860" i="1" s="1"/>
  <c r="Z3860" i="1"/>
  <c r="CU3872" i="1"/>
  <c r="X3872" i="1" s="1"/>
  <c r="Z3872" i="1"/>
  <c r="Z3914" i="1"/>
  <c r="Z3867" i="1"/>
  <c r="CU3914" i="1"/>
  <c r="X3914" i="1" s="1"/>
  <c r="Z3841" i="1"/>
  <c r="Z3839" i="1"/>
  <c r="Z3844" i="1"/>
  <c r="Z3846" i="1"/>
  <c r="Z3840" i="1"/>
  <c r="Z3843" i="1"/>
  <c r="CU3849" i="1"/>
  <c r="X3849" i="1" s="1"/>
  <c r="Z3849" i="1"/>
  <c r="Z3838" i="1"/>
  <c r="CU3842" i="1"/>
  <c r="X3842" i="1" s="1"/>
  <c r="Z3842" i="1"/>
  <c r="CU3838" i="1"/>
  <c r="X3838" i="1" s="1"/>
  <c r="Z3845" i="1"/>
  <c r="CU3841" i="1"/>
  <c r="X3841" i="1" s="1"/>
  <c r="CU3846" i="1"/>
  <c r="X3846" i="1" s="1"/>
  <c r="CU3839" i="1"/>
  <c r="X3839" i="1" s="1"/>
  <c r="CU3844" i="1"/>
  <c r="X3844" i="1" s="1"/>
  <c r="CU3845" i="1"/>
  <c r="X3845" i="1" s="1"/>
  <c r="CU3840" i="1"/>
  <c r="X3840" i="1" s="1"/>
  <c r="CU3843" i="1"/>
  <c r="X3843" i="1" s="1"/>
  <c r="E3374" i="1"/>
  <c r="E3837" i="1"/>
  <c r="E3836" i="1"/>
  <c r="E3835" i="1"/>
  <c r="E3799" i="1"/>
  <c r="DC3853" i="1"/>
  <c r="DA3853" i="1"/>
  <c r="CY3853" i="1"/>
  <c r="CW3853" i="1"/>
  <c r="AA3853" i="1" s="1"/>
  <c r="CR3853" i="1"/>
  <c r="CP3853" i="1"/>
  <c r="CN3853" i="1"/>
  <c r="CJ3853" i="1"/>
  <c r="CH3853" i="1"/>
  <c r="CF3853" i="1"/>
  <c r="BL3853" i="1"/>
  <c r="BD3853" i="1"/>
  <c r="AZ3853" i="1"/>
  <c r="AX3853" i="1"/>
  <c r="Y3853" i="1"/>
  <c r="DC3848" i="1"/>
  <c r="DA3848" i="1"/>
  <c r="CY3848" i="1"/>
  <c r="CW3848" i="1"/>
  <c r="AA3848" i="1" s="1"/>
  <c r="CR3848" i="1"/>
  <c r="CP3848" i="1"/>
  <c r="CN3848" i="1"/>
  <c r="CJ3848" i="1"/>
  <c r="CH3848" i="1"/>
  <c r="CF3848" i="1"/>
  <c r="BL3848" i="1"/>
  <c r="BD3848" i="1"/>
  <c r="AZ3848" i="1"/>
  <c r="AX3848" i="1"/>
  <c r="Y3848" i="1"/>
  <c r="DC3852" i="1"/>
  <c r="DA3852" i="1"/>
  <c r="CY3852" i="1"/>
  <c r="CW3852" i="1"/>
  <c r="AA3852" i="1" s="1"/>
  <c r="CR3852" i="1"/>
  <c r="CP3852" i="1"/>
  <c r="CN3852" i="1"/>
  <c r="CJ3852" i="1"/>
  <c r="CH3852" i="1"/>
  <c r="CF3852" i="1"/>
  <c r="BL3852" i="1"/>
  <c r="BD3852" i="1"/>
  <c r="AZ3852" i="1"/>
  <c r="AX3852" i="1"/>
  <c r="Y3852" i="1"/>
  <c r="DC3851" i="1"/>
  <c r="DA3851" i="1"/>
  <c r="CY3851" i="1"/>
  <c r="Y3851" i="1" s="1"/>
  <c r="CW3851" i="1"/>
  <c r="AA3851" i="1" s="1"/>
  <c r="CR3851" i="1"/>
  <c r="CP3851" i="1"/>
  <c r="CN3851" i="1"/>
  <c r="CJ3851" i="1"/>
  <c r="CH3851" i="1"/>
  <c r="CF3851" i="1"/>
  <c r="BL3851" i="1"/>
  <c r="BD3851" i="1"/>
  <c r="AZ3851" i="1"/>
  <c r="AX3851" i="1"/>
  <c r="DC3850" i="1"/>
  <c r="DA3850" i="1"/>
  <c r="CY3850" i="1"/>
  <c r="CW3850" i="1"/>
  <c r="AA3850" i="1" s="1"/>
  <c r="CR3850" i="1"/>
  <c r="CP3850" i="1"/>
  <c r="CN3850" i="1"/>
  <c r="CJ3850" i="1"/>
  <c r="CH3850" i="1"/>
  <c r="CF3850" i="1"/>
  <c r="BL3850" i="1"/>
  <c r="BD3850" i="1"/>
  <c r="AZ3850" i="1"/>
  <c r="AX3850" i="1"/>
  <c r="Y3850" i="1"/>
  <c r="DC3847" i="1"/>
  <c r="DA3847" i="1"/>
  <c r="CY3847" i="1"/>
  <c r="CW3847" i="1"/>
  <c r="AA3847" i="1" s="1"/>
  <c r="CR3847" i="1"/>
  <c r="CP3847" i="1"/>
  <c r="CN3847" i="1"/>
  <c r="CJ3847" i="1"/>
  <c r="CH3847" i="1"/>
  <c r="CF3847" i="1"/>
  <c r="BL3847" i="1"/>
  <c r="BD3847" i="1"/>
  <c r="AZ3847" i="1"/>
  <c r="AX3847" i="1"/>
  <c r="Y3847" i="1"/>
  <c r="DC3374" i="1"/>
  <c r="DA3374" i="1"/>
  <c r="CY3374" i="1"/>
  <c r="Y3374" i="1" s="1"/>
  <c r="CW3374" i="1"/>
  <c r="AA3374" i="1" s="1"/>
  <c r="CR3374" i="1"/>
  <c r="CP3374" i="1"/>
  <c r="CN3374" i="1"/>
  <c r="CJ3374" i="1"/>
  <c r="CH3374" i="1"/>
  <c r="CF3374" i="1"/>
  <c r="BL3374" i="1"/>
  <c r="BD3374" i="1"/>
  <c r="AZ3374" i="1"/>
  <c r="AX3374" i="1"/>
  <c r="DC3837" i="1"/>
  <c r="DA3837" i="1"/>
  <c r="CY3837" i="1"/>
  <c r="CW3837" i="1"/>
  <c r="AA3837" i="1" s="1"/>
  <c r="CR3837" i="1"/>
  <c r="CP3837" i="1"/>
  <c r="CN3837" i="1"/>
  <c r="CJ3837" i="1"/>
  <c r="CH3837" i="1"/>
  <c r="CF3837" i="1"/>
  <c r="BL3837" i="1"/>
  <c r="BD3837" i="1"/>
  <c r="AZ3837" i="1"/>
  <c r="AX3837" i="1"/>
  <c r="Y3837" i="1"/>
  <c r="DC3836" i="1"/>
  <c r="DA3836" i="1"/>
  <c r="CY3836" i="1"/>
  <c r="CW3836" i="1"/>
  <c r="AA3836" i="1" s="1"/>
  <c r="CR3836" i="1"/>
  <c r="CP3836" i="1"/>
  <c r="CN3836" i="1"/>
  <c r="CJ3836" i="1"/>
  <c r="CH3836" i="1"/>
  <c r="CF3836" i="1"/>
  <c r="BL3836" i="1"/>
  <c r="BD3836" i="1"/>
  <c r="AZ3836" i="1"/>
  <c r="AX3836" i="1"/>
  <c r="Y3836" i="1"/>
  <c r="DC3835" i="1"/>
  <c r="DA3835" i="1"/>
  <c r="CY3835" i="1"/>
  <c r="CW3835" i="1"/>
  <c r="AA3835" i="1" s="1"/>
  <c r="CR3835" i="1"/>
  <c r="CP3835" i="1"/>
  <c r="CN3835" i="1"/>
  <c r="CJ3835" i="1"/>
  <c r="CH3835" i="1"/>
  <c r="CF3835" i="1"/>
  <c r="BL3835" i="1"/>
  <c r="BD3835" i="1"/>
  <c r="AZ3835" i="1"/>
  <c r="AX3835" i="1"/>
  <c r="Y3835" i="1"/>
  <c r="DC3799" i="1"/>
  <c r="DA3799" i="1"/>
  <c r="CY3799" i="1"/>
  <c r="Y3799" i="1" s="1"/>
  <c r="CW3799" i="1"/>
  <c r="AA3799" i="1" s="1"/>
  <c r="CR3799" i="1"/>
  <c r="CP3799" i="1"/>
  <c r="CN3799" i="1"/>
  <c r="CJ3799" i="1"/>
  <c r="CH3799" i="1"/>
  <c r="CF3799" i="1"/>
  <c r="BL3799" i="1"/>
  <c r="BD3799" i="1"/>
  <c r="AZ3799" i="1"/>
  <c r="AX3799" i="1"/>
  <c r="E3834" i="1"/>
  <c r="E3783" i="1"/>
  <c r="E3833" i="1"/>
  <c r="E3832" i="1"/>
  <c r="E3831" i="1"/>
  <c r="E3830" i="1"/>
  <c r="E3829" i="1"/>
  <c r="E3828" i="1"/>
  <c r="AD3915" i="1" l="1"/>
  <c r="AD3871" i="1"/>
  <c r="AD3867" i="1"/>
  <c r="AD3914" i="1"/>
  <c r="AD3872" i="1"/>
  <c r="AD3860" i="1"/>
  <c r="AD3858" i="1"/>
  <c r="AD3841" i="1"/>
  <c r="AD3844" i="1"/>
  <c r="AD3839" i="1"/>
  <c r="AD3838" i="1"/>
  <c r="AD3845" i="1"/>
  <c r="AD3849" i="1"/>
  <c r="AD3843" i="1"/>
  <c r="AD3846" i="1"/>
  <c r="AD3842" i="1"/>
  <c r="AD3840" i="1"/>
  <c r="Z3850" i="1"/>
  <c r="Z3799" i="1"/>
  <c r="Z3837" i="1"/>
  <c r="Z3852" i="1"/>
  <c r="Z3847" i="1"/>
  <c r="Z3835" i="1"/>
  <c r="Z3851" i="1"/>
  <c r="Z3374" i="1"/>
  <c r="CU3853" i="1"/>
  <c r="X3853" i="1" s="1"/>
  <c r="Z3853" i="1"/>
  <c r="CU3837" i="1"/>
  <c r="X3837" i="1" s="1"/>
  <c r="CU3850" i="1"/>
  <c r="X3850" i="1" s="1"/>
  <c r="Z3836" i="1"/>
  <c r="Z3848" i="1"/>
  <c r="CU3799" i="1"/>
  <c r="X3799" i="1" s="1"/>
  <c r="CU3374" i="1"/>
  <c r="X3374" i="1" s="1"/>
  <c r="CU3851" i="1"/>
  <c r="X3851" i="1" s="1"/>
  <c r="CU3835" i="1"/>
  <c r="X3835" i="1" s="1"/>
  <c r="CU3847" i="1"/>
  <c r="X3847" i="1" s="1"/>
  <c r="CU3852" i="1"/>
  <c r="X3852" i="1" s="1"/>
  <c r="CU3836" i="1"/>
  <c r="X3836" i="1" s="1"/>
  <c r="CU3848" i="1"/>
  <c r="X3848" i="1" s="1"/>
  <c r="DE694" i="1"/>
  <c r="AD3850" i="1" l="1"/>
  <c r="AD3851" i="1"/>
  <c r="AD3847" i="1"/>
  <c r="AD3374" i="1"/>
  <c r="AD3837" i="1"/>
  <c r="AD3852" i="1"/>
  <c r="AD3853" i="1"/>
  <c r="AD3835" i="1"/>
  <c r="AD3799" i="1"/>
  <c r="AD3848" i="1"/>
  <c r="AD3836" i="1"/>
  <c r="E3827" i="1"/>
  <c r="E3826" i="1"/>
  <c r="E3825" i="1"/>
  <c r="I3194" i="1" l="1"/>
  <c r="E3194" i="1"/>
  <c r="E3815" i="1" l="1"/>
  <c r="E3824" i="1"/>
  <c r="E3823" i="1"/>
  <c r="E3822" i="1"/>
  <c r="E3821" i="1"/>
  <c r="E3820" i="1"/>
  <c r="DC3783" i="1"/>
  <c r="DA3783" i="1"/>
  <c r="CY3783" i="1"/>
  <c r="CW3783" i="1"/>
  <c r="AA3783" i="1" s="1"/>
  <c r="CR3783" i="1"/>
  <c r="CP3783" i="1"/>
  <c r="CN3783" i="1"/>
  <c r="CJ3783" i="1"/>
  <c r="CH3783" i="1"/>
  <c r="CF3783" i="1"/>
  <c r="BL3783" i="1"/>
  <c r="BD3783" i="1"/>
  <c r="AZ3783" i="1"/>
  <c r="AX3783" i="1"/>
  <c r="Y3783" i="1"/>
  <c r="DC3833" i="1"/>
  <c r="DA3833" i="1"/>
  <c r="CY3833" i="1"/>
  <c r="Y3833" i="1" s="1"/>
  <c r="CW3833" i="1"/>
  <c r="AA3833" i="1" s="1"/>
  <c r="CR3833" i="1"/>
  <c r="CP3833" i="1"/>
  <c r="CN3833" i="1"/>
  <c r="CJ3833" i="1"/>
  <c r="CH3833" i="1"/>
  <c r="CF3833" i="1"/>
  <c r="BL3833" i="1"/>
  <c r="BD3833" i="1"/>
  <c r="AZ3833" i="1"/>
  <c r="AX3833" i="1"/>
  <c r="DC3832" i="1"/>
  <c r="DA3832" i="1"/>
  <c r="CY3832" i="1"/>
  <c r="Y3832" i="1" s="1"/>
  <c r="CW3832" i="1"/>
  <c r="AA3832" i="1" s="1"/>
  <c r="CR3832" i="1"/>
  <c r="CP3832" i="1"/>
  <c r="CN3832" i="1"/>
  <c r="CJ3832" i="1"/>
  <c r="CH3832" i="1"/>
  <c r="CF3832" i="1"/>
  <c r="BL3832" i="1"/>
  <c r="BD3832" i="1"/>
  <c r="AZ3832" i="1"/>
  <c r="AX3832" i="1"/>
  <c r="DC3831" i="1"/>
  <c r="DA3831" i="1"/>
  <c r="CY3831" i="1"/>
  <c r="CW3831" i="1"/>
  <c r="AA3831" i="1" s="1"/>
  <c r="CR3831" i="1"/>
  <c r="CP3831" i="1"/>
  <c r="CN3831" i="1"/>
  <c r="CJ3831" i="1"/>
  <c r="CH3831" i="1"/>
  <c r="CF3831" i="1"/>
  <c r="BL3831" i="1"/>
  <c r="BD3831" i="1"/>
  <c r="AZ3831" i="1"/>
  <c r="AX3831" i="1"/>
  <c r="Y3831" i="1"/>
  <c r="DC3830" i="1"/>
  <c r="DA3830" i="1"/>
  <c r="CY3830" i="1"/>
  <c r="Y3830" i="1" s="1"/>
  <c r="CW3830" i="1"/>
  <c r="AA3830" i="1" s="1"/>
  <c r="CR3830" i="1"/>
  <c r="CP3830" i="1"/>
  <c r="CN3830" i="1"/>
  <c r="CJ3830" i="1"/>
  <c r="CH3830" i="1"/>
  <c r="CF3830" i="1"/>
  <c r="BL3830" i="1"/>
  <c r="BD3830" i="1"/>
  <c r="AZ3830" i="1"/>
  <c r="AX3830" i="1"/>
  <c r="DC3829" i="1"/>
  <c r="DA3829" i="1"/>
  <c r="CY3829" i="1"/>
  <c r="Y3829" i="1" s="1"/>
  <c r="CW3829" i="1"/>
  <c r="AA3829" i="1" s="1"/>
  <c r="CR3829" i="1"/>
  <c r="CP3829" i="1"/>
  <c r="CN3829" i="1"/>
  <c r="CJ3829" i="1"/>
  <c r="CH3829" i="1"/>
  <c r="CF3829" i="1"/>
  <c r="BL3829" i="1"/>
  <c r="BD3829" i="1"/>
  <c r="AZ3829" i="1"/>
  <c r="AX3829" i="1"/>
  <c r="DC3828" i="1"/>
  <c r="DA3828" i="1"/>
  <c r="CY3828" i="1"/>
  <c r="Y3828" i="1" s="1"/>
  <c r="CW3828" i="1"/>
  <c r="AA3828" i="1" s="1"/>
  <c r="CR3828" i="1"/>
  <c r="CP3828" i="1"/>
  <c r="CN3828" i="1"/>
  <c r="CJ3828" i="1"/>
  <c r="CH3828" i="1"/>
  <c r="CF3828" i="1"/>
  <c r="BL3828" i="1"/>
  <c r="BD3828" i="1"/>
  <c r="AZ3828" i="1"/>
  <c r="AX3828" i="1"/>
  <c r="DC3827" i="1"/>
  <c r="DA3827" i="1"/>
  <c r="CY3827" i="1"/>
  <c r="Y3827" i="1" s="1"/>
  <c r="CW3827" i="1"/>
  <c r="AA3827" i="1" s="1"/>
  <c r="CR3827" i="1"/>
  <c r="CP3827" i="1"/>
  <c r="CN3827" i="1"/>
  <c r="CJ3827" i="1"/>
  <c r="CH3827" i="1"/>
  <c r="CF3827" i="1"/>
  <c r="BL3827" i="1"/>
  <c r="BD3827" i="1"/>
  <c r="AZ3827" i="1"/>
  <c r="AX3827" i="1"/>
  <c r="DC3826" i="1"/>
  <c r="DA3826" i="1"/>
  <c r="CY3826" i="1"/>
  <c r="CW3826" i="1"/>
  <c r="AA3826" i="1" s="1"/>
  <c r="CR3826" i="1"/>
  <c r="CP3826" i="1"/>
  <c r="CN3826" i="1"/>
  <c r="CJ3826" i="1"/>
  <c r="CH3826" i="1"/>
  <c r="CF3826" i="1"/>
  <c r="BL3826" i="1"/>
  <c r="BD3826" i="1"/>
  <c r="AZ3826" i="1"/>
  <c r="AX3826" i="1"/>
  <c r="Y3826" i="1"/>
  <c r="DC3825" i="1"/>
  <c r="DA3825" i="1"/>
  <c r="CY3825" i="1"/>
  <c r="CW3825" i="1"/>
  <c r="AA3825" i="1" s="1"/>
  <c r="CR3825" i="1"/>
  <c r="CP3825" i="1"/>
  <c r="CN3825" i="1"/>
  <c r="CJ3825" i="1"/>
  <c r="CH3825" i="1"/>
  <c r="CF3825" i="1"/>
  <c r="BL3825" i="1"/>
  <c r="BD3825" i="1"/>
  <c r="AZ3825" i="1"/>
  <c r="AX3825" i="1"/>
  <c r="Y3825" i="1"/>
  <c r="DA3194" i="1"/>
  <c r="CY3194" i="1"/>
  <c r="Y3194" i="1" s="1"/>
  <c r="CW3194" i="1"/>
  <c r="AA3194" i="1" s="1"/>
  <c r="CR3194" i="1"/>
  <c r="CP3194" i="1"/>
  <c r="CN3194" i="1"/>
  <c r="CJ3194" i="1"/>
  <c r="CH3194" i="1"/>
  <c r="CF3194" i="1"/>
  <c r="BL3194" i="1"/>
  <c r="BD3194" i="1"/>
  <c r="AZ3194" i="1"/>
  <c r="AX3194" i="1"/>
  <c r="DA3815" i="1"/>
  <c r="CY3815" i="1"/>
  <c r="Y3815" i="1" s="1"/>
  <c r="CW3815" i="1"/>
  <c r="AA3815" i="1" s="1"/>
  <c r="CR3815" i="1"/>
  <c r="CP3815" i="1"/>
  <c r="CN3815" i="1"/>
  <c r="CJ3815" i="1"/>
  <c r="CH3815" i="1"/>
  <c r="CF3815" i="1"/>
  <c r="BL3815" i="1"/>
  <c r="BD3815" i="1"/>
  <c r="AZ3815" i="1"/>
  <c r="AX3815" i="1"/>
  <c r="DC3824" i="1"/>
  <c r="DA3824" i="1"/>
  <c r="CY3824" i="1"/>
  <c r="Y3824" i="1" s="1"/>
  <c r="CW3824" i="1"/>
  <c r="AA3824" i="1" s="1"/>
  <c r="CR3824" i="1"/>
  <c r="CP3824" i="1"/>
  <c r="CN3824" i="1"/>
  <c r="CJ3824" i="1"/>
  <c r="CH3824" i="1"/>
  <c r="CF3824" i="1"/>
  <c r="BL3824" i="1"/>
  <c r="BD3824" i="1"/>
  <c r="AZ3824" i="1"/>
  <c r="AX3824" i="1"/>
  <c r="DC3823" i="1"/>
  <c r="DA3823" i="1"/>
  <c r="CY3823" i="1"/>
  <c r="Y3823" i="1" s="1"/>
  <c r="CW3823" i="1"/>
  <c r="AA3823" i="1" s="1"/>
  <c r="CR3823" i="1"/>
  <c r="CP3823" i="1"/>
  <c r="CN3823" i="1"/>
  <c r="CJ3823" i="1"/>
  <c r="CH3823" i="1"/>
  <c r="CF3823" i="1"/>
  <c r="BL3823" i="1"/>
  <c r="BD3823" i="1"/>
  <c r="AZ3823" i="1"/>
  <c r="AX3823" i="1"/>
  <c r="DC3822" i="1"/>
  <c r="DA3822" i="1"/>
  <c r="CY3822" i="1"/>
  <c r="CW3822" i="1"/>
  <c r="AA3822" i="1" s="1"/>
  <c r="CR3822" i="1"/>
  <c r="CP3822" i="1"/>
  <c r="CN3822" i="1"/>
  <c r="CJ3822" i="1"/>
  <c r="CH3822" i="1"/>
  <c r="CF3822" i="1"/>
  <c r="BL3822" i="1"/>
  <c r="BD3822" i="1"/>
  <c r="AZ3822" i="1"/>
  <c r="AX3822" i="1"/>
  <c r="Y3822" i="1"/>
  <c r="DC3821" i="1"/>
  <c r="DA3821" i="1"/>
  <c r="CY3821" i="1"/>
  <c r="Y3821" i="1" s="1"/>
  <c r="CW3821" i="1"/>
  <c r="AA3821" i="1" s="1"/>
  <c r="CR3821" i="1"/>
  <c r="CP3821" i="1"/>
  <c r="CN3821" i="1"/>
  <c r="CJ3821" i="1"/>
  <c r="CH3821" i="1"/>
  <c r="CF3821" i="1"/>
  <c r="BL3821" i="1"/>
  <c r="BD3821" i="1"/>
  <c r="AZ3821" i="1"/>
  <c r="AX3821" i="1"/>
  <c r="DC3820" i="1"/>
  <c r="DA3820" i="1"/>
  <c r="CY3820" i="1"/>
  <c r="Y3820" i="1" s="1"/>
  <c r="CW3820" i="1"/>
  <c r="AA3820" i="1" s="1"/>
  <c r="CR3820" i="1"/>
  <c r="CP3820" i="1"/>
  <c r="CN3820" i="1"/>
  <c r="CJ3820" i="1"/>
  <c r="CH3820" i="1"/>
  <c r="CF3820" i="1"/>
  <c r="BL3820" i="1"/>
  <c r="BD3820" i="1"/>
  <c r="AZ3820" i="1"/>
  <c r="AX3820" i="1"/>
  <c r="Z3830" i="1" l="1"/>
  <c r="Z3833" i="1"/>
  <c r="Z3821" i="1"/>
  <c r="Z3820" i="1"/>
  <c r="Z3827" i="1"/>
  <c r="Z3829" i="1"/>
  <c r="Z3824" i="1"/>
  <c r="Z3822" i="1"/>
  <c r="Z3815" i="1"/>
  <c r="Z3832" i="1"/>
  <c r="Z3194" i="1"/>
  <c r="Z3826" i="1"/>
  <c r="CU3827" i="1"/>
  <c r="X3827" i="1" s="1"/>
  <c r="CU3831" i="1"/>
  <c r="X3831" i="1" s="1"/>
  <c r="CU3823" i="1"/>
  <c r="X3823" i="1" s="1"/>
  <c r="Z3823" i="1"/>
  <c r="Z3825" i="1"/>
  <c r="Z3828" i="1"/>
  <c r="CU3833" i="1"/>
  <c r="X3833" i="1" s="1"/>
  <c r="CU3783" i="1"/>
  <c r="X3783" i="1" s="1"/>
  <c r="Z3783" i="1"/>
  <c r="Z3831" i="1"/>
  <c r="CU3822" i="1"/>
  <c r="X3822" i="1" s="1"/>
  <c r="CU3194" i="1"/>
  <c r="X3194" i="1" s="1"/>
  <c r="CU3826" i="1"/>
  <c r="X3826" i="1" s="1"/>
  <c r="CU3830" i="1"/>
  <c r="X3830" i="1" s="1"/>
  <c r="CU3820" i="1"/>
  <c r="X3820" i="1" s="1"/>
  <c r="CU3824" i="1"/>
  <c r="X3824" i="1" s="1"/>
  <c r="CU3825" i="1"/>
  <c r="X3825" i="1" s="1"/>
  <c r="CU3828" i="1"/>
  <c r="X3828" i="1" s="1"/>
  <c r="CU3832" i="1"/>
  <c r="X3832" i="1" s="1"/>
  <c r="CU3821" i="1"/>
  <c r="X3821" i="1" s="1"/>
  <c r="CU3815" i="1"/>
  <c r="X3815" i="1" s="1"/>
  <c r="CU3829" i="1"/>
  <c r="X3829" i="1" s="1"/>
  <c r="E3304" i="1"/>
  <c r="E3819" i="1"/>
  <c r="E3703" i="1"/>
  <c r="E3818" i="1"/>
  <c r="E3817" i="1"/>
  <c r="AD3826" i="1" l="1"/>
  <c r="AD3194" i="1"/>
  <c r="AD3833" i="1"/>
  <c r="AD3815" i="1"/>
  <c r="AD3830" i="1"/>
  <c r="AD3783" i="1"/>
  <c r="AD3825" i="1"/>
  <c r="AD3821" i="1"/>
  <c r="AD3824" i="1"/>
  <c r="AD3831" i="1"/>
  <c r="AD3827" i="1"/>
  <c r="AD3829" i="1"/>
  <c r="AD3832" i="1"/>
  <c r="AD3820" i="1"/>
  <c r="AD3823" i="1"/>
  <c r="AD3828" i="1"/>
  <c r="AD3822" i="1"/>
  <c r="DC3819" i="1"/>
  <c r="DA3819" i="1"/>
  <c r="CY3819" i="1"/>
  <c r="Y3819" i="1" s="1"/>
  <c r="CW3819" i="1"/>
  <c r="AA3819" i="1" s="1"/>
  <c r="CR3819" i="1"/>
  <c r="CP3819" i="1"/>
  <c r="CN3819" i="1"/>
  <c r="CJ3819" i="1"/>
  <c r="CH3819" i="1"/>
  <c r="CF3819" i="1"/>
  <c r="BL3819" i="1"/>
  <c r="BD3819" i="1"/>
  <c r="AZ3819" i="1"/>
  <c r="AX3819" i="1"/>
  <c r="DC3703" i="1"/>
  <c r="DA3703" i="1"/>
  <c r="CY3703" i="1"/>
  <c r="Y3703" i="1" s="1"/>
  <c r="CW3703" i="1"/>
  <c r="AA3703" i="1" s="1"/>
  <c r="CR3703" i="1"/>
  <c r="CP3703" i="1"/>
  <c r="CN3703" i="1"/>
  <c r="CJ3703" i="1"/>
  <c r="CH3703" i="1"/>
  <c r="CF3703" i="1"/>
  <c r="BL3703" i="1"/>
  <c r="BD3703" i="1"/>
  <c r="AZ3703" i="1"/>
  <c r="AX3703" i="1"/>
  <c r="DC3818" i="1"/>
  <c r="DA3818" i="1"/>
  <c r="CY3818" i="1"/>
  <c r="Y3818" i="1" s="1"/>
  <c r="CW3818" i="1"/>
  <c r="AA3818" i="1" s="1"/>
  <c r="CR3818" i="1"/>
  <c r="CP3818" i="1"/>
  <c r="CN3818" i="1"/>
  <c r="CJ3818" i="1"/>
  <c r="CH3818" i="1"/>
  <c r="CF3818" i="1"/>
  <c r="BL3818" i="1"/>
  <c r="BD3818" i="1"/>
  <c r="AZ3818" i="1"/>
  <c r="AX3818" i="1"/>
  <c r="DC3817" i="1"/>
  <c r="DA3817" i="1"/>
  <c r="CY3817" i="1"/>
  <c r="Y3817" i="1" s="1"/>
  <c r="CW3817" i="1"/>
  <c r="AA3817" i="1" s="1"/>
  <c r="CR3817" i="1"/>
  <c r="CP3817" i="1"/>
  <c r="CN3817" i="1"/>
  <c r="CJ3817" i="1"/>
  <c r="CH3817" i="1"/>
  <c r="CF3817" i="1"/>
  <c r="BL3817" i="1"/>
  <c r="BD3817" i="1"/>
  <c r="AZ3817" i="1"/>
  <c r="AX3817" i="1"/>
  <c r="DC3816" i="1"/>
  <c r="DA3816" i="1"/>
  <c r="CY3816" i="1"/>
  <c r="Y3816" i="1" s="1"/>
  <c r="CW3816" i="1"/>
  <c r="AA3816" i="1" s="1"/>
  <c r="CR3816" i="1"/>
  <c r="CP3816" i="1"/>
  <c r="CN3816" i="1"/>
  <c r="CJ3816" i="1"/>
  <c r="CH3816" i="1"/>
  <c r="CF3816" i="1"/>
  <c r="BL3816" i="1"/>
  <c r="BD3816" i="1"/>
  <c r="AZ3816" i="1"/>
  <c r="AX3816" i="1"/>
  <c r="DC3798" i="1"/>
  <c r="DA3798" i="1"/>
  <c r="CY3798" i="1"/>
  <c r="Y3798" i="1" s="1"/>
  <c r="CW3798" i="1"/>
  <c r="AA3798" i="1" s="1"/>
  <c r="CR3798" i="1"/>
  <c r="CP3798" i="1"/>
  <c r="CN3798" i="1"/>
  <c r="CJ3798" i="1"/>
  <c r="CH3798" i="1"/>
  <c r="CF3798" i="1"/>
  <c r="BL3798" i="1"/>
  <c r="BD3798" i="1"/>
  <c r="AZ3798" i="1"/>
  <c r="AX3798" i="1"/>
  <c r="DC3814" i="1"/>
  <c r="DA3814" i="1"/>
  <c r="CY3814" i="1"/>
  <c r="Y3814" i="1" s="1"/>
  <c r="CW3814" i="1"/>
  <c r="AA3814" i="1" s="1"/>
  <c r="CR3814" i="1"/>
  <c r="CP3814" i="1"/>
  <c r="CN3814" i="1"/>
  <c r="CJ3814" i="1"/>
  <c r="CH3814" i="1"/>
  <c r="CF3814" i="1"/>
  <c r="BL3814" i="1"/>
  <c r="BD3814" i="1"/>
  <c r="AZ3814" i="1"/>
  <c r="AX3814" i="1"/>
  <c r="DC3813" i="1"/>
  <c r="DA3813" i="1"/>
  <c r="CY3813" i="1"/>
  <c r="Y3813" i="1" s="1"/>
  <c r="CW3813" i="1"/>
  <c r="AA3813" i="1" s="1"/>
  <c r="CR3813" i="1"/>
  <c r="CP3813" i="1"/>
  <c r="CN3813" i="1"/>
  <c r="CJ3813" i="1"/>
  <c r="CH3813" i="1"/>
  <c r="CF3813" i="1"/>
  <c r="BL3813" i="1"/>
  <c r="BD3813" i="1"/>
  <c r="AZ3813" i="1"/>
  <c r="AX3813" i="1"/>
  <c r="DC3812" i="1"/>
  <c r="DA3812" i="1"/>
  <c r="CY3812" i="1"/>
  <c r="Y3812" i="1" s="1"/>
  <c r="CW3812" i="1"/>
  <c r="AA3812" i="1" s="1"/>
  <c r="CR3812" i="1"/>
  <c r="CP3812" i="1"/>
  <c r="CN3812" i="1"/>
  <c r="CJ3812" i="1"/>
  <c r="CH3812" i="1"/>
  <c r="CF3812" i="1"/>
  <c r="BL3812" i="1"/>
  <c r="BD3812" i="1"/>
  <c r="AZ3812" i="1"/>
  <c r="AX3812" i="1"/>
  <c r="DC3811" i="1"/>
  <c r="DA3811" i="1"/>
  <c r="CY3811" i="1"/>
  <c r="Y3811" i="1" s="1"/>
  <c r="CW3811" i="1"/>
  <c r="AA3811" i="1" s="1"/>
  <c r="CR3811" i="1"/>
  <c r="CP3811" i="1"/>
  <c r="CN3811" i="1"/>
  <c r="CJ3811" i="1"/>
  <c r="CH3811" i="1"/>
  <c r="CF3811" i="1"/>
  <c r="BL3811" i="1"/>
  <c r="BD3811" i="1"/>
  <c r="AZ3811" i="1"/>
  <c r="AX3811" i="1"/>
  <c r="Z3818" i="1" l="1"/>
  <c r="Z3814" i="1"/>
  <c r="Z3811" i="1"/>
  <c r="Z3798" i="1"/>
  <c r="Z3703" i="1"/>
  <c r="Z3812" i="1"/>
  <c r="CU3818" i="1"/>
  <c r="X3818" i="1" s="1"/>
  <c r="Z3819" i="1"/>
  <c r="Z3816" i="1"/>
  <c r="Z3817" i="1"/>
  <c r="Z3813" i="1"/>
  <c r="CU3798" i="1"/>
  <c r="X3798" i="1" s="1"/>
  <c r="CU3819" i="1"/>
  <c r="X3819" i="1" s="1"/>
  <c r="CU3813" i="1"/>
  <c r="X3813" i="1" s="1"/>
  <c r="CU3817" i="1"/>
  <c r="X3817" i="1" s="1"/>
  <c r="CU3812" i="1"/>
  <c r="X3812" i="1" s="1"/>
  <c r="CU3814" i="1"/>
  <c r="X3814" i="1" s="1"/>
  <c r="CU3811" i="1"/>
  <c r="X3811" i="1" s="1"/>
  <c r="CU3816" i="1"/>
  <c r="X3816" i="1" s="1"/>
  <c r="CU3703" i="1"/>
  <c r="X3703" i="1" s="1"/>
  <c r="DC3808" i="1"/>
  <c r="DA3808" i="1"/>
  <c r="CY3808" i="1"/>
  <c r="Y3808" i="1" s="1"/>
  <c r="CW3808" i="1"/>
  <c r="AA3808" i="1" s="1"/>
  <c r="CR3808" i="1"/>
  <c r="CP3808" i="1"/>
  <c r="CN3808" i="1"/>
  <c r="CJ3808" i="1"/>
  <c r="CH3808" i="1"/>
  <c r="CF3808" i="1"/>
  <c r="BL3808" i="1"/>
  <c r="BD3808" i="1"/>
  <c r="AZ3808" i="1"/>
  <c r="AX3808" i="1"/>
  <c r="DC3807" i="1"/>
  <c r="DA3807" i="1"/>
  <c r="CY3807" i="1"/>
  <c r="Y3807" i="1" s="1"/>
  <c r="CW3807" i="1"/>
  <c r="AA3807" i="1" s="1"/>
  <c r="CR3807" i="1"/>
  <c r="CP3807" i="1"/>
  <c r="CN3807" i="1"/>
  <c r="CJ3807" i="1"/>
  <c r="CH3807" i="1"/>
  <c r="CF3807" i="1"/>
  <c r="BL3807" i="1"/>
  <c r="BD3807" i="1"/>
  <c r="AZ3807" i="1"/>
  <c r="AX3807" i="1"/>
  <c r="DC3806" i="1"/>
  <c r="DA3806" i="1"/>
  <c r="CY3806" i="1"/>
  <c r="Y3806" i="1" s="1"/>
  <c r="CW3806" i="1"/>
  <c r="AA3806" i="1" s="1"/>
  <c r="CR3806" i="1"/>
  <c r="CP3806" i="1"/>
  <c r="CN3806" i="1"/>
  <c r="CJ3806" i="1"/>
  <c r="CH3806" i="1"/>
  <c r="CF3806" i="1"/>
  <c r="BL3806" i="1"/>
  <c r="BD3806" i="1"/>
  <c r="AZ3806" i="1"/>
  <c r="AX3806" i="1"/>
  <c r="DC3805" i="1"/>
  <c r="DA3805" i="1"/>
  <c r="CY3805" i="1"/>
  <c r="Y3805" i="1" s="1"/>
  <c r="CW3805" i="1"/>
  <c r="AA3805" i="1" s="1"/>
  <c r="CR3805" i="1"/>
  <c r="CP3805" i="1"/>
  <c r="CN3805" i="1"/>
  <c r="CJ3805" i="1"/>
  <c r="CH3805" i="1"/>
  <c r="CF3805" i="1"/>
  <c r="BL3805" i="1"/>
  <c r="BD3805" i="1"/>
  <c r="AZ3805" i="1"/>
  <c r="AX3805" i="1"/>
  <c r="DC3804" i="1"/>
  <c r="DA3804" i="1"/>
  <c r="CY3804" i="1"/>
  <c r="Y3804" i="1" s="1"/>
  <c r="CW3804" i="1"/>
  <c r="AA3804" i="1" s="1"/>
  <c r="CR3804" i="1"/>
  <c r="CP3804" i="1"/>
  <c r="CN3804" i="1"/>
  <c r="CJ3804" i="1"/>
  <c r="CH3804" i="1"/>
  <c r="CF3804" i="1"/>
  <c r="BL3804" i="1"/>
  <c r="BD3804" i="1"/>
  <c r="AZ3804" i="1"/>
  <c r="AX3804" i="1"/>
  <c r="DC3803" i="1"/>
  <c r="DA3803" i="1"/>
  <c r="CY3803" i="1"/>
  <c r="Y3803" i="1" s="1"/>
  <c r="CW3803" i="1"/>
  <c r="AA3803" i="1" s="1"/>
  <c r="CR3803" i="1"/>
  <c r="CP3803" i="1"/>
  <c r="CN3803" i="1"/>
  <c r="CJ3803" i="1"/>
  <c r="CH3803" i="1"/>
  <c r="CF3803" i="1"/>
  <c r="BL3803" i="1"/>
  <c r="BD3803" i="1"/>
  <c r="AZ3803" i="1"/>
  <c r="AX3803" i="1"/>
  <c r="DA3802" i="1"/>
  <c r="CY3802" i="1"/>
  <c r="Y3802" i="1" s="1"/>
  <c r="CW3802" i="1"/>
  <c r="AA3802" i="1" s="1"/>
  <c r="CR3802" i="1"/>
  <c r="CP3802" i="1"/>
  <c r="CN3802" i="1"/>
  <c r="CJ3802" i="1"/>
  <c r="CH3802" i="1"/>
  <c r="CF3802" i="1"/>
  <c r="BL3802" i="1"/>
  <c r="BD3802" i="1"/>
  <c r="AZ3802" i="1"/>
  <c r="AX3802" i="1"/>
  <c r="DC3801" i="1"/>
  <c r="DA3801" i="1"/>
  <c r="CY3801" i="1"/>
  <c r="Y3801" i="1" s="1"/>
  <c r="CW3801" i="1"/>
  <c r="AA3801" i="1" s="1"/>
  <c r="CR3801" i="1"/>
  <c r="CP3801" i="1"/>
  <c r="CN3801" i="1"/>
  <c r="CJ3801" i="1"/>
  <c r="CH3801" i="1"/>
  <c r="CF3801" i="1"/>
  <c r="BL3801" i="1"/>
  <c r="BD3801" i="1"/>
  <c r="AZ3801" i="1"/>
  <c r="AX3801" i="1"/>
  <c r="DC3800" i="1"/>
  <c r="DA3800" i="1"/>
  <c r="CY3800" i="1"/>
  <c r="Y3800" i="1" s="1"/>
  <c r="CW3800" i="1"/>
  <c r="AA3800" i="1" s="1"/>
  <c r="CR3800" i="1"/>
  <c r="CP3800" i="1"/>
  <c r="CN3800" i="1"/>
  <c r="CJ3800" i="1"/>
  <c r="CH3800" i="1"/>
  <c r="CF3800" i="1"/>
  <c r="BL3800" i="1"/>
  <c r="BD3800" i="1"/>
  <c r="AZ3800" i="1"/>
  <c r="AX3800" i="1"/>
  <c r="AD3818" i="1" l="1"/>
  <c r="AD3814" i="1"/>
  <c r="AD3798" i="1"/>
  <c r="AD3811" i="1"/>
  <c r="AD3703" i="1"/>
  <c r="AD3813" i="1"/>
  <c r="AD3816" i="1"/>
  <c r="AD3819" i="1"/>
  <c r="AD3812" i="1"/>
  <c r="AD3817" i="1"/>
  <c r="Z3804" i="1"/>
  <c r="Z3801" i="1"/>
  <c r="Z3805" i="1"/>
  <c r="Z3807" i="1"/>
  <c r="Z3806" i="1"/>
  <c r="Z3800" i="1"/>
  <c r="Z3808" i="1"/>
  <c r="Z3802" i="1"/>
  <c r="CU3807" i="1"/>
  <c r="X3807" i="1" s="1"/>
  <c r="CU3803" i="1"/>
  <c r="X3803" i="1" s="1"/>
  <c r="Z3803" i="1"/>
  <c r="CU3800" i="1"/>
  <c r="X3800" i="1" s="1"/>
  <c r="CU3808" i="1"/>
  <c r="X3808" i="1" s="1"/>
  <c r="CU3801" i="1"/>
  <c r="X3801" i="1" s="1"/>
  <c r="CU3804" i="1"/>
  <c r="X3804" i="1" s="1"/>
  <c r="CU3805" i="1"/>
  <c r="X3805" i="1" s="1"/>
  <c r="CU3802" i="1"/>
  <c r="X3802" i="1" s="1"/>
  <c r="CU3806" i="1"/>
  <c r="X3806" i="1" s="1"/>
  <c r="DC3795" i="1"/>
  <c r="DA3795" i="1"/>
  <c r="CY3795" i="1"/>
  <c r="Y3795" i="1" s="1"/>
  <c r="CW3795" i="1"/>
  <c r="AA3795" i="1" s="1"/>
  <c r="CR3795" i="1"/>
  <c r="CP3795" i="1"/>
  <c r="CN3795" i="1"/>
  <c r="CJ3795" i="1"/>
  <c r="CH3795" i="1"/>
  <c r="CF3795" i="1"/>
  <c r="BL3795" i="1"/>
  <c r="BD3795" i="1"/>
  <c r="AZ3795" i="1"/>
  <c r="AX3795" i="1"/>
  <c r="DC3794" i="1"/>
  <c r="DA3794" i="1"/>
  <c r="CY3794" i="1"/>
  <c r="Y3794" i="1" s="1"/>
  <c r="CW3794" i="1"/>
  <c r="AA3794" i="1" s="1"/>
  <c r="CR3794" i="1"/>
  <c r="CP3794" i="1"/>
  <c r="CN3794" i="1"/>
  <c r="CJ3794" i="1"/>
  <c r="CH3794" i="1"/>
  <c r="CF3794" i="1"/>
  <c r="BL3794" i="1"/>
  <c r="BD3794" i="1"/>
  <c r="AZ3794" i="1"/>
  <c r="AX3794" i="1"/>
  <c r="DC3793" i="1"/>
  <c r="DA3793" i="1"/>
  <c r="CY3793" i="1"/>
  <c r="Y3793" i="1" s="1"/>
  <c r="CW3793" i="1"/>
  <c r="AA3793" i="1" s="1"/>
  <c r="CR3793" i="1"/>
  <c r="CP3793" i="1"/>
  <c r="CN3793" i="1"/>
  <c r="CJ3793" i="1"/>
  <c r="CH3793" i="1"/>
  <c r="CF3793" i="1"/>
  <c r="BL3793" i="1"/>
  <c r="BD3793" i="1"/>
  <c r="AZ3793" i="1"/>
  <c r="AX3793" i="1"/>
  <c r="DC3792" i="1"/>
  <c r="DA3792" i="1"/>
  <c r="CY3792" i="1"/>
  <c r="Y3792" i="1" s="1"/>
  <c r="CW3792" i="1"/>
  <c r="AA3792" i="1" s="1"/>
  <c r="CR3792" i="1"/>
  <c r="CP3792" i="1"/>
  <c r="CN3792" i="1"/>
  <c r="CJ3792" i="1"/>
  <c r="CH3792" i="1"/>
  <c r="CF3792" i="1"/>
  <c r="BL3792" i="1"/>
  <c r="BD3792" i="1"/>
  <c r="AZ3792" i="1"/>
  <c r="AX3792" i="1"/>
  <c r="DC3791" i="1"/>
  <c r="DA3791" i="1"/>
  <c r="CY3791" i="1"/>
  <c r="Y3791" i="1" s="1"/>
  <c r="CW3791" i="1"/>
  <c r="AA3791" i="1" s="1"/>
  <c r="CR3791" i="1"/>
  <c r="CP3791" i="1"/>
  <c r="CN3791" i="1"/>
  <c r="CJ3791" i="1"/>
  <c r="CH3791" i="1"/>
  <c r="CF3791" i="1"/>
  <c r="BL3791" i="1"/>
  <c r="BD3791" i="1"/>
  <c r="AZ3791" i="1"/>
  <c r="AX3791" i="1"/>
  <c r="DC3790" i="1"/>
  <c r="DA3790" i="1"/>
  <c r="CY3790" i="1"/>
  <c r="Y3790" i="1" s="1"/>
  <c r="CW3790" i="1"/>
  <c r="AA3790" i="1" s="1"/>
  <c r="CR3790" i="1"/>
  <c r="CP3790" i="1"/>
  <c r="CN3790" i="1"/>
  <c r="CJ3790" i="1"/>
  <c r="CH3790" i="1"/>
  <c r="CF3790" i="1"/>
  <c r="BL3790" i="1"/>
  <c r="BD3790" i="1"/>
  <c r="AZ3790" i="1"/>
  <c r="AX3790" i="1"/>
  <c r="DC3789" i="1"/>
  <c r="DA3789" i="1"/>
  <c r="CY3789" i="1"/>
  <c r="Y3789" i="1" s="1"/>
  <c r="CW3789" i="1"/>
  <c r="AA3789" i="1" s="1"/>
  <c r="CR3789" i="1"/>
  <c r="CP3789" i="1"/>
  <c r="CN3789" i="1"/>
  <c r="CJ3789" i="1"/>
  <c r="CH3789" i="1"/>
  <c r="CF3789" i="1"/>
  <c r="BL3789" i="1"/>
  <c r="BD3789" i="1"/>
  <c r="AZ3789" i="1"/>
  <c r="AX3789" i="1"/>
  <c r="DC3788" i="1"/>
  <c r="DA3788" i="1"/>
  <c r="CY3788" i="1"/>
  <c r="Y3788" i="1" s="1"/>
  <c r="CW3788" i="1"/>
  <c r="AA3788" i="1" s="1"/>
  <c r="CR3788" i="1"/>
  <c r="CP3788" i="1"/>
  <c r="CN3788" i="1"/>
  <c r="CJ3788" i="1"/>
  <c r="CH3788" i="1"/>
  <c r="CF3788" i="1"/>
  <c r="BL3788" i="1"/>
  <c r="BD3788" i="1"/>
  <c r="AZ3788" i="1"/>
  <c r="AX3788" i="1"/>
  <c r="AD3804" i="1" l="1"/>
  <c r="AD3805" i="1"/>
  <c r="AD3801" i="1"/>
  <c r="AD3807" i="1"/>
  <c r="AD3808" i="1"/>
  <c r="AD3803" i="1"/>
  <c r="AD3802" i="1"/>
  <c r="AD3806" i="1"/>
  <c r="AD3800" i="1"/>
  <c r="Z3795" i="1"/>
  <c r="Z3791" i="1"/>
  <c r="Z3790" i="1"/>
  <c r="Z3788" i="1"/>
  <c r="Z3792" i="1"/>
  <c r="Z3789" i="1"/>
  <c r="Z3793" i="1"/>
  <c r="CU3788" i="1"/>
  <c r="X3788" i="1" s="1"/>
  <c r="CU3789" i="1"/>
  <c r="X3789" i="1" s="1"/>
  <c r="CU3790" i="1"/>
  <c r="X3790" i="1" s="1"/>
  <c r="CU3791" i="1"/>
  <c r="X3791" i="1" s="1"/>
  <c r="CU3792" i="1"/>
  <c r="X3792" i="1" s="1"/>
  <c r="CU3793" i="1"/>
  <c r="X3793" i="1" s="1"/>
  <c r="CU3794" i="1"/>
  <c r="X3794" i="1" s="1"/>
  <c r="Z3794" i="1"/>
  <c r="CU3795" i="1"/>
  <c r="X3795" i="1" s="1"/>
  <c r="DC3854" i="1"/>
  <c r="DA3854" i="1"/>
  <c r="CY3854" i="1"/>
  <c r="Y3854" i="1" s="1"/>
  <c r="CW3854" i="1"/>
  <c r="AA3854" i="1" s="1"/>
  <c r="CR3854" i="1"/>
  <c r="CP3854" i="1"/>
  <c r="CN3854" i="1"/>
  <c r="CJ3854" i="1"/>
  <c r="CH3854" i="1"/>
  <c r="CF3854" i="1"/>
  <c r="BL3854" i="1"/>
  <c r="BD3854" i="1"/>
  <c r="AZ3854" i="1"/>
  <c r="AX3854" i="1"/>
  <c r="DC3834" i="1"/>
  <c r="DA3834" i="1"/>
  <c r="CY3834" i="1"/>
  <c r="Y3834" i="1" s="1"/>
  <c r="CW3834" i="1"/>
  <c r="AA3834" i="1" s="1"/>
  <c r="CR3834" i="1"/>
  <c r="CP3834" i="1"/>
  <c r="CN3834" i="1"/>
  <c r="CJ3834" i="1"/>
  <c r="CH3834" i="1"/>
  <c r="CF3834" i="1"/>
  <c r="BL3834" i="1"/>
  <c r="BD3834" i="1"/>
  <c r="AZ3834" i="1"/>
  <c r="AX3834" i="1"/>
  <c r="DC3304" i="1"/>
  <c r="DA3304" i="1"/>
  <c r="CY3304" i="1"/>
  <c r="Y3304" i="1" s="1"/>
  <c r="CW3304" i="1"/>
  <c r="AA3304" i="1" s="1"/>
  <c r="CR3304" i="1"/>
  <c r="CP3304" i="1"/>
  <c r="CN3304" i="1"/>
  <c r="CJ3304" i="1"/>
  <c r="CH3304" i="1"/>
  <c r="CF3304" i="1"/>
  <c r="BL3304" i="1"/>
  <c r="BD3304" i="1"/>
  <c r="AZ3304" i="1"/>
  <c r="AX3304" i="1"/>
  <c r="DC3782" i="1"/>
  <c r="DA3782" i="1"/>
  <c r="CY3782" i="1"/>
  <c r="Y3782" i="1" s="1"/>
  <c r="CW3782" i="1"/>
  <c r="AA3782" i="1" s="1"/>
  <c r="CR3782" i="1"/>
  <c r="CP3782" i="1"/>
  <c r="CN3782" i="1"/>
  <c r="CJ3782" i="1"/>
  <c r="CH3782" i="1"/>
  <c r="CF3782" i="1"/>
  <c r="BL3782" i="1"/>
  <c r="BD3782" i="1"/>
  <c r="AZ3782" i="1"/>
  <c r="AX3782" i="1"/>
  <c r="DC3797" i="1"/>
  <c r="DA3797" i="1"/>
  <c r="CY3797" i="1"/>
  <c r="Y3797" i="1" s="1"/>
  <c r="CW3797" i="1"/>
  <c r="AA3797" i="1" s="1"/>
  <c r="CR3797" i="1"/>
  <c r="CP3797" i="1"/>
  <c r="CN3797" i="1"/>
  <c r="CJ3797" i="1"/>
  <c r="CH3797" i="1"/>
  <c r="CF3797" i="1"/>
  <c r="BL3797" i="1"/>
  <c r="BD3797" i="1"/>
  <c r="AZ3797" i="1"/>
  <c r="AX3797" i="1"/>
  <c r="DC3796" i="1"/>
  <c r="DA3796" i="1"/>
  <c r="CY3796" i="1"/>
  <c r="Y3796" i="1" s="1"/>
  <c r="CW3796" i="1"/>
  <c r="AA3796" i="1" s="1"/>
  <c r="CR3796" i="1"/>
  <c r="CP3796" i="1"/>
  <c r="CN3796" i="1"/>
  <c r="CJ3796" i="1"/>
  <c r="CH3796" i="1"/>
  <c r="CF3796" i="1"/>
  <c r="BL3796" i="1"/>
  <c r="BD3796" i="1"/>
  <c r="AZ3796" i="1"/>
  <c r="AX3796" i="1"/>
  <c r="DC3810" i="1"/>
  <c r="DA3810" i="1"/>
  <c r="CY3810" i="1"/>
  <c r="Y3810" i="1" s="1"/>
  <c r="CW3810" i="1"/>
  <c r="AA3810" i="1" s="1"/>
  <c r="CR3810" i="1"/>
  <c r="CP3810" i="1"/>
  <c r="CN3810" i="1"/>
  <c r="CJ3810" i="1"/>
  <c r="CH3810" i="1"/>
  <c r="CF3810" i="1"/>
  <c r="BL3810" i="1"/>
  <c r="BD3810" i="1"/>
  <c r="AZ3810" i="1"/>
  <c r="AX3810" i="1"/>
  <c r="DC3809" i="1"/>
  <c r="DA3809" i="1"/>
  <c r="CY3809" i="1"/>
  <c r="Y3809" i="1" s="1"/>
  <c r="CW3809" i="1"/>
  <c r="AA3809" i="1" s="1"/>
  <c r="CR3809" i="1"/>
  <c r="CP3809" i="1"/>
  <c r="CN3809" i="1"/>
  <c r="CJ3809" i="1"/>
  <c r="CH3809" i="1"/>
  <c r="CF3809" i="1"/>
  <c r="BL3809" i="1"/>
  <c r="BD3809" i="1"/>
  <c r="AZ3809" i="1"/>
  <c r="AX3809" i="1"/>
  <c r="DC3550" i="1"/>
  <c r="DA3550" i="1"/>
  <c r="CY3550" i="1"/>
  <c r="Y3550" i="1" s="1"/>
  <c r="CW3550" i="1"/>
  <c r="AA3550" i="1" s="1"/>
  <c r="CR3550" i="1"/>
  <c r="CP3550" i="1"/>
  <c r="CN3550" i="1"/>
  <c r="CJ3550" i="1"/>
  <c r="CH3550" i="1"/>
  <c r="CF3550" i="1"/>
  <c r="BL3550" i="1"/>
  <c r="BD3550" i="1"/>
  <c r="AZ3550" i="1"/>
  <c r="AX3550" i="1"/>
  <c r="DC3785" i="1"/>
  <c r="DA3785" i="1"/>
  <c r="CY3785" i="1"/>
  <c r="Y3785" i="1" s="1"/>
  <c r="CW3785" i="1"/>
  <c r="AA3785" i="1" s="1"/>
  <c r="CR3785" i="1"/>
  <c r="CP3785" i="1"/>
  <c r="CN3785" i="1"/>
  <c r="CJ3785" i="1"/>
  <c r="CH3785" i="1"/>
  <c r="CF3785" i="1"/>
  <c r="BL3785" i="1"/>
  <c r="BD3785" i="1"/>
  <c r="AZ3785" i="1"/>
  <c r="AX3785" i="1"/>
  <c r="DC3784" i="1"/>
  <c r="DA3784" i="1"/>
  <c r="CY3784" i="1"/>
  <c r="Y3784" i="1" s="1"/>
  <c r="CW3784" i="1"/>
  <c r="AA3784" i="1" s="1"/>
  <c r="CR3784" i="1"/>
  <c r="CP3784" i="1"/>
  <c r="CN3784" i="1"/>
  <c r="CJ3784" i="1"/>
  <c r="CH3784" i="1"/>
  <c r="CF3784" i="1"/>
  <c r="BL3784" i="1"/>
  <c r="BD3784" i="1"/>
  <c r="AZ3784" i="1"/>
  <c r="AX3784" i="1"/>
  <c r="DC3781" i="1"/>
  <c r="DA3781" i="1"/>
  <c r="CY3781" i="1"/>
  <c r="Y3781" i="1" s="1"/>
  <c r="CW3781" i="1"/>
  <c r="AA3781" i="1" s="1"/>
  <c r="CR3781" i="1"/>
  <c r="CP3781" i="1"/>
  <c r="CN3781" i="1"/>
  <c r="CJ3781" i="1"/>
  <c r="CH3781" i="1"/>
  <c r="CF3781" i="1"/>
  <c r="BL3781" i="1"/>
  <c r="BD3781" i="1"/>
  <c r="AZ3781" i="1"/>
  <c r="AX3781" i="1"/>
  <c r="DC3780" i="1"/>
  <c r="DA3780" i="1"/>
  <c r="CY3780" i="1"/>
  <c r="Y3780" i="1" s="1"/>
  <c r="CW3780" i="1"/>
  <c r="AA3780" i="1" s="1"/>
  <c r="CR3780" i="1"/>
  <c r="CP3780" i="1"/>
  <c r="CN3780" i="1"/>
  <c r="CJ3780" i="1"/>
  <c r="CH3780" i="1"/>
  <c r="CF3780" i="1"/>
  <c r="BL3780" i="1"/>
  <c r="BD3780" i="1"/>
  <c r="AZ3780" i="1"/>
  <c r="AX3780" i="1"/>
  <c r="DC3763" i="1"/>
  <c r="DA3763" i="1"/>
  <c r="CY3763" i="1"/>
  <c r="Y3763" i="1" s="1"/>
  <c r="CW3763" i="1"/>
  <c r="AA3763" i="1" s="1"/>
  <c r="CR3763" i="1"/>
  <c r="CP3763" i="1"/>
  <c r="CN3763" i="1"/>
  <c r="CJ3763" i="1"/>
  <c r="CH3763" i="1"/>
  <c r="CF3763" i="1"/>
  <c r="BL3763" i="1"/>
  <c r="BD3763" i="1"/>
  <c r="AZ3763" i="1"/>
  <c r="AX3763" i="1"/>
  <c r="DC3779" i="1"/>
  <c r="DA3779" i="1"/>
  <c r="CY3779" i="1"/>
  <c r="Y3779" i="1" s="1"/>
  <c r="CW3779" i="1"/>
  <c r="AA3779" i="1" s="1"/>
  <c r="CR3779" i="1"/>
  <c r="CP3779" i="1"/>
  <c r="CN3779" i="1"/>
  <c r="CJ3779" i="1"/>
  <c r="CH3779" i="1"/>
  <c r="CF3779" i="1"/>
  <c r="BL3779" i="1"/>
  <c r="BD3779" i="1"/>
  <c r="AZ3779" i="1"/>
  <c r="AX3779" i="1"/>
  <c r="DC3778" i="1"/>
  <c r="DA3778" i="1"/>
  <c r="CY3778" i="1"/>
  <c r="Y3778" i="1" s="1"/>
  <c r="CW3778" i="1"/>
  <c r="AA3778" i="1" s="1"/>
  <c r="CR3778" i="1"/>
  <c r="CP3778" i="1"/>
  <c r="CN3778" i="1"/>
  <c r="CJ3778" i="1"/>
  <c r="CH3778" i="1"/>
  <c r="CF3778" i="1"/>
  <c r="BL3778" i="1"/>
  <c r="BD3778" i="1"/>
  <c r="AZ3778" i="1"/>
  <c r="AX3778" i="1"/>
  <c r="DC3777" i="1"/>
  <c r="DA3777" i="1"/>
  <c r="CY3777" i="1"/>
  <c r="Y3777" i="1" s="1"/>
  <c r="CW3777" i="1"/>
  <c r="AA3777" i="1" s="1"/>
  <c r="CR3777" i="1"/>
  <c r="CP3777" i="1"/>
  <c r="CN3777" i="1"/>
  <c r="CJ3777" i="1"/>
  <c r="CH3777" i="1"/>
  <c r="CF3777" i="1"/>
  <c r="BL3777" i="1"/>
  <c r="BD3777" i="1"/>
  <c r="AZ3777" i="1"/>
  <c r="AX3777" i="1"/>
  <c r="DC3776" i="1"/>
  <c r="DA3776" i="1"/>
  <c r="CY3776" i="1"/>
  <c r="Y3776" i="1" s="1"/>
  <c r="CW3776" i="1"/>
  <c r="AA3776" i="1" s="1"/>
  <c r="CR3776" i="1"/>
  <c r="CP3776" i="1"/>
  <c r="CN3776" i="1"/>
  <c r="CJ3776" i="1"/>
  <c r="CH3776" i="1"/>
  <c r="CF3776" i="1"/>
  <c r="BL3776" i="1"/>
  <c r="BD3776" i="1"/>
  <c r="AZ3776" i="1"/>
  <c r="AX3776" i="1"/>
  <c r="DC3775" i="1"/>
  <c r="DA3775" i="1"/>
  <c r="CY3775" i="1"/>
  <c r="Y3775" i="1" s="1"/>
  <c r="CW3775" i="1"/>
  <c r="AA3775" i="1" s="1"/>
  <c r="CR3775" i="1"/>
  <c r="CP3775" i="1"/>
  <c r="CN3775" i="1"/>
  <c r="CJ3775" i="1"/>
  <c r="CH3775" i="1"/>
  <c r="CF3775" i="1"/>
  <c r="BL3775" i="1"/>
  <c r="BD3775" i="1"/>
  <c r="AZ3775" i="1"/>
  <c r="AX3775" i="1"/>
  <c r="DC3774" i="1"/>
  <c r="DA3774" i="1"/>
  <c r="CY3774" i="1"/>
  <c r="Y3774" i="1" s="1"/>
  <c r="CW3774" i="1"/>
  <c r="AA3774" i="1" s="1"/>
  <c r="CR3774" i="1"/>
  <c r="CP3774" i="1"/>
  <c r="CN3774" i="1"/>
  <c r="CJ3774" i="1"/>
  <c r="CH3774" i="1"/>
  <c r="CF3774" i="1"/>
  <c r="BL3774" i="1"/>
  <c r="BD3774" i="1"/>
  <c r="AZ3774" i="1"/>
  <c r="AX3774" i="1"/>
  <c r="DC3770" i="1"/>
  <c r="DA3770" i="1"/>
  <c r="CY3770" i="1"/>
  <c r="Y3770" i="1" s="1"/>
  <c r="CW3770" i="1"/>
  <c r="AA3770" i="1" s="1"/>
  <c r="CR3770" i="1"/>
  <c r="CP3770" i="1"/>
  <c r="CN3770" i="1"/>
  <c r="CJ3770" i="1"/>
  <c r="CH3770" i="1"/>
  <c r="CF3770" i="1"/>
  <c r="BL3770" i="1"/>
  <c r="BD3770" i="1"/>
  <c r="AZ3770" i="1"/>
  <c r="AX3770" i="1"/>
  <c r="DC3773" i="1"/>
  <c r="DA3773" i="1"/>
  <c r="CY3773" i="1"/>
  <c r="Y3773" i="1" s="1"/>
  <c r="CW3773" i="1"/>
  <c r="AA3773" i="1" s="1"/>
  <c r="CR3773" i="1"/>
  <c r="CP3773" i="1"/>
  <c r="CN3773" i="1"/>
  <c r="CJ3773" i="1"/>
  <c r="CH3773" i="1"/>
  <c r="CF3773" i="1"/>
  <c r="BL3773" i="1"/>
  <c r="BD3773" i="1"/>
  <c r="AZ3773" i="1"/>
  <c r="AX3773" i="1"/>
  <c r="DC3769" i="1"/>
  <c r="DA3769" i="1"/>
  <c r="CY3769" i="1"/>
  <c r="Y3769" i="1" s="1"/>
  <c r="CW3769" i="1"/>
  <c r="AA3769" i="1" s="1"/>
  <c r="CR3769" i="1"/>
  <c r="CP3769" i="1"/>
  <c r="CN3769" i="1"/>
  <c r="CJ3769" i="1"/>
  <c r="CH3769" i="1"/>
  <c r="CF3769" i="1"/>
  <c r="BL3769" i="1"/>
  <c r="BD3769" i="1"/>
  <c r="AZ3769" i="1"/>
  <c r="AX3769" i="1"/>
  <c r="DC3772" i="1"/>
  <c r="DA3772" i="1"/>
  <c r="CY3772" i="1"/>
  <c r="Y3772" i="1" s="1"/>
  <c r="CW3772" i="1"/>
  <c r="AA3772" i="1" s="1"/>
  <c r="CR3772" i="1"/>
  <c r="CP3772" i="1"/>
  <c r="CN3772" i="1"/>
  <c r="CJ3772" i="1"/>
  <c r="CH3772" i="1"/>
  <c r="CF3772" i="1"/>
  <c r="BL3772" i="1"/>
  <c r="BD3772" i="1"/>
  <c r="AZ3772" i="1"/>
  <c r="AX3772" i="1"/>
  <c r="DC3768" i="1"/>
  <c r="DA3768" i="1"/>
  <c r="CY3768" i="1"/>
  <c r="Y3768" i="1" s="1"/>
  <c r="CW3768" i="1"/>
  <c r="AA3768" i="1" s="1"/>
  <c r="CR3768" i="1"/>
  <c r="CP3768" i="1"/>
  <c r="CN3768" i="1"/>
  <c r="CJ3768" i="1"/>
  <c r="CH3768" i="1"/>
  <c r="CF3768" i="1"/>
  <c r="BL3768" i="1"/>
  <c r="BD3768" i="1"/>
  <c r="AZ3768" i="1"/>
  <c r="AX3768" i="1"/>
  <c r="DC3771" i="1"/>
  <c r="DA3771" i="1"/>
  <c r="CY3771" i="1"/>
  <c r="Y3771" i="1" s="1"/>
  <c r="CW3771" i="1"/>
  <c r="AA3771" i="1" s="1"/>
  <c r="CR3771" i="1"/>
  <c r="CP3771" i="1"/>
  <c r="CN3771" i="1"/>
  <c r="CJ3771" i="1"/>
  <c r="CH3771" i="1"/>
  <c r="CF3771" i="1"/>
  <c r="BL3771" i="1"/>
  <c r="BD3771" i="1"/>
  <c r="AZ3771" i="1"/>
  <c r="AX3771" i="1"/>
  <c r="DC3755" i="1"/>
  <c r="DA3755" i="1"/>
  <c r="CY3755" i="1"/>
  <c r="Y3755" i="1" s="1"/>
  <c r="CW3755" i="1"/>
  <c r="AA3755" i="1" s="1"/>
  <c r="CR3755" i="1"/>
  <c r="CP3755" i="1"/>
  <c r="CN3755" i="1"/>
  <c r="CJ3755" i="1"/>
  <c r="CH3755" i="1"/>
  <c r="CF3755" i="1"/>
  <c r="BL3755" i="1"/>
  <c r="BD3755" i="1"/>
  <c r="AZ3755" i="1"/>
  <c r="AX3755" i="1"/>
  <c r="DC3754" i="1"/>
  <c r="DA3754" i="1"/>
  <c r="CY3754" i="1"/>
  <c r="Y3754" i="1" s="1"/>
  <c r="CW3754" i="1"/>
  <c r="AA3754" i="1" s="1"/>
  <c r="CR3754" i="1"/>
  <c r="CP3754" i="1"/>
  <c r="CN3754" i="1"/>
  <c r="CJ3754" i="1"/>
  <c r="CH3754" i="1"/>
  <c r="CF3754" i="1"/>
  <c r="BL3754" i="1"/>
  <c r="BD3754" i="1"/>
  <c r="AZ3754" i="1"/>
  <c r="AX3754" i="1"/>
  <c r="DC3762" i="1"/>
  <c r="DA3762" i="1"/>
  <c r="CY3762" i="1"/>
  <c r="Y3762" i="1" s="1"/>
  <c r="CW3762" i="1"/>
  <c r="AA3762" i="1" s="1"/>
  <c r="CR3762" i="1"/>
  <c r="CP3762" i="1"/>
  <c r="CN3762" i="1"/>
  <c r="CJ3762" i="1"/>
  <c r="CH3762" i="1"/>
  <c r="CF3762" i="1"/>
  <c r="BL3762" i="1"/>
  <c r="BD3762" i="1"/>
  <c r="AZ3762" i="1"/>
  <c r="AX3762" i="1"/>
  <c r="AD3788" i="1" l="1"/>
  <c r="AD3795" i="1"/>
  <c r="AD3792" i="1"/>
  <c r="AD3789" i="1"/>
  <c r="AD3791" i="1"/>
  <c r="AD3794" i="1"/>
  <c r="AD3790" i="1"/>
  <c r="AD3793" i="1"/>
  <c r="Z3834" i="1"/>
  <c r="Z3810" i="1"/>
  <c r="Z3550" i="1"/>
  <c r="Z3797" i="1"/>
  <c r="CU3550" i="1"/>
  <c r="X3550" i="1" s="1"/>
  <c r="Z3796" i="1"/>
  <c r="Z3809" i="1"/>
  <c r="CU3810" i="1"/>
  <c r="X3810" i="1" s="1"/>
  <c r="Z3782" i="1"/>
  <c r="Z3304" i="1"/>
  <c r="CU3834" i="1"/>
  <c r="X3834" i="1" s="1"/>
  <c r="CU3854" i="1"/>
  <c r="X3854" i="1" s="1"/>
  <c r="CU3809" i="1"/>
  <c r="X3809" i="1" s="1"/>
  <c r="CU3782" i="1"/>
  <c r="X3782" i="1" s="1"/>
  <c r="CU3304" i="1"/>
  <c r="X3304" i="1" s="1"/>
  <c r="CU3797" i="1"/>
  <c r="X3797" i="1" s="1"/>
  <c r="CU3796" i="1"/>
  <c r="X3796" i="1" s="1"/>
  <c r="Z3854" i="1"/>
  <c r="Z3781" i="1"/>
  <c r="Z3763" i="1"/>
  <c r="Z3774" i="1"/>
  <c r="Z3777" i="1"/>
  <c r="CU3763" i="1"/>
  <c r="X3763" i="1" s="1"/>
  <c r="Z3771" i="1"/>
  <c r="Z3773" i="1"/>
  <c r="CU3785" i="1"/>
  <c r="X3785" i="1" s="1"/>
  <c r="Z3762" i="1"/>
  <c r="Z3768" i="1"/>
  <c r="Z3770" i="1"/>
  <c r="Z3775" i="1"/>
  <c r="Z3778" i="1"/>
  <c r="Z3780" i="1"/>
  <c r="Z3785" i="1"/>
  <c r="Z3755" i="1"/>
  <c r="Z3769" i="1"/>
  <c r="Z3754" i="1"/>
  <c r="Z3772" i="1"/>
  <c r="Z3776" i="1"/>
  <c r="Z3779" i="1"/>
  <c r="Z3784" i="1"/>
  <c r="CU3762" i="1"/>
  <c r="X3762" i="1" s="1"/>
  <c r="CU3754" i="1"/>
  <c r="X3754" i="1" s="1"/>
  <c r="CU3755" i="1"/>
  <c r="X3755" i="1" s="1"/>
  <c r="CU3771" i="1"/>
  <c r="X3771" i="1" s="1"/>
  <c r="CU3768" i="1"/>
  <c r="X3768" i="1" s="1"/>
  <c r="CU3772" i="1"/>
  <c r="X3772" i="1" s="1"/>
  <c r="CU3769" i="1"/>
  <c r="X3769" i="1" s="1"/>
  <c r="CU3773" i="1"/>
  <c r="X3773" i="1" s="1"/>
  <c r="CU3770" i="1"/>
  <c r="X3770" i="1" s="1"/>
  <c r="CU3774" i="1"/>
  <c r="X3774" i="1" s="1"/>
  <c r="CU3775" i="1"/>
  <c r="X3775" i="1" s="1"/>
  <c r="CU3776" i="1"/>
  <c r="X3776" i="1" s="1"/>
  <c r="CU3777" i="1"/>
  <c r="X3777" i="1" s="1"/>
  <c r="CU3778" i="1"/>
  <c r="X3778" i="1" s="1"/>
  <c r="CU3779" i="1"/>
  <c r="X3779" i="1" s="1"/>
  <c r="CU3784" i="1"/>
  <c r="X3784" i="1" s="1"/>
  <c r="CU3780" i="1"/>
  <c r="X3780" i="1" s="1"/>
  <c r="CU3781" i="1"/>
  <c r="X3781" i="1" s="1"/>
  <c r="AD3796" i="1" l="1"/>
  <c r="AD3834" i="1"/>
  <c r="AD3304" i="1"/>
  <c r="AD3810" i="1"/>
  <c r="AD3797" i="1"/>
  <c r="AD3854" i="1"/>
  <c r="AD3809" i="1"/>
  <c r="AD3782" i="1"/>
  <c r="AD3550" i="1"/>
  <c r="AD3784" i="1"/>
  <c r="AD3770" i="1"/>
  <c r="AD3774" i="1"/>
  <c r="AD3773" i="1"/>
  <c r="AD3785" i="1"/>
  <c r="AD3781" i="1"/>
  <c r="AD3771" i="1"/>
  <c r="AD3778" i="1"/>
  <c r="AD3775" i="1"/>
  <c r="AD3762" i="1"/>
  <c r="AD3763" i="1"/>
  <c r="AD3777" i="1"/>
  <c r="AD3776" i="1"/>
  <c r="AD3772" i="1"/>
  <c r="AD3769" i="1"/>
  <c r="AD3755" i="1"/>
  <c r="AD3780" i="1"/>
  <c r="AD3779" i="1"/>
  <c r="AD3754" i="1"/>
  <c r="AD3768" i="1"/>
  <c r="DC3259" i="1" l="1"/>
  <c r="DB3259" i="1"/>
  <c r="DC2911" i="1"/>
  <c r="DB2911" i="1"/>
  <c r="DC3231" i="1"/>
  <c r="DB3231" i="1"/>
  <c r="DC3045" i="1"/>
  <c r="DB3045" i="1"/>
  <c r="DC3265" i="1"/>
  <c r="DB3265" i="1"/>
  <c r="DC3644" i="1"/>
  <c r="DC3753" i="1"/>
  <c r="DA3753" i="1"/>
  <c r="CY3753" i="1"/>
  <c r="Y3753" i="1" s="1"/>
  <c r="CW3753" i="1"/>
  <c r="AA3753" i="1" s="1"/>
  <c r="CR3753" i="1"/>
  <c r="CP3753" i="1"/>
  <c r="CN3753" i="1"/>
  <c r="CJ3753" i="1"/>
  <c r="CH3753" i="1"/>
  <c r="CF3753" i="1"/>
  <c r="BL3753" i="1"/>
  <c r="BD3753" i="1"/>
  <c r="AZ3753" i="1"/>
  <c r="AX3753" i="1"/>
  <c r="DC3761" i="1"/>
  <c r="DA3761" i="1"/>
  <c r="CY3761" i="1"/>
  <c r="Y3761" i="1" s="1"/>
  <c r="CW3761" i="1"/>
  <c r="AA3761" i="1" s="1"/>
  <c r="CR3761" i="1"/>
  <c r="CP3761" i="1"/>
  <c r="CN3761" i="1"/>
  <c r="CJ3761" i="1"/>
  <c r="CH3761" i="1"/>
  <c r="CF3761" i="1"/>
  <c r="BL3761" i="1"/>
  <c r="BD3761" i="1"/>
  <c r="AZ3761" i="1"/>
  <c r="AX3761" i="1"/>
  <c r="DC3760" i="1"/>
  <c r="DA3760" i="1"/>
  <c r="CY3760" i="1"/>
  <c r="Y3760" i="1" s="1"/>
  <c r="CW3760" i="1"/>
  <c r="AA3760" i="1" s="1"/>
  <c r="CR3760" i="1"/>
  <c r="CP3760" i="1"/>
  <c r="CN3760" i="1"/>
  <c r="CJ3760" i="1"/>
  <c r="CH3760" i="1"/>
  <c r="CF3760" i="1"/>
  <c r="BL3760" i="1"/>
  <c r="BD3760" i="1"/>
  <c r="AZ3760" i="1"/>
  <c r="AX3760" i="1"/>
  <c r="DC3752" i="1"/>
  <c r="DA3752" i="1"/>
  <c r="CY3752" i="1"/>
  <c r="Y3752" i="1" s="1"/>
  <c r="CW3752" i="1"/>
  <c r="AA3752" i="1" s="1"/>
  <c r="CR3752" i="1"/>
  <c r="CP3752" i="1"/>
  <c r="CN3752" i="1"/>
  <c r="CJ3752" i="1"/>
  <c r="CH3752" i="1"/>
  <c r="CF3752" i="1"/>
  <c r="BL3752" i="1"/>
  <c r="BD3752" i="1"/>
  <c r="AZ3752" i="1"/>
  <c r="AX3752" i="1"/>
  <c r="DC3765" i="1"/>
  <c r="DA3765" i="1"/>
  <c r="CY3765" i="1"/>
  <c r="Y3765" i="1" s="1"/>
  <c r="CW3765" i="1"/>
  <c r="AA3765" i="1" s="1"/>
  <c r="CR3765" i="1"/>
  <c r="CP3765" i="1"/>
  <c r="CN3765" i="1"/>
  <c r="CJ3765" i="1"/>
  <c r="CH3765" i="1"/>
  <c r="CF3765" i="1"/>
  <c r="BL3765" i="1"/>
  <c r="BD3765" i="1"/>
  <c r="AZ3765" i="1"/>
  <c r="AX3765" i="1"/>
  <c r="DC3764" i="1"/>
  <c r="DA3764" i="1"/>
  <c r="CY3764" i="1"/>
  <c r="Y3764" i="1" s="1"/>
  <c r="CW3764" i="1"/>
  <c r="AA3764" i="1" s="1"/>
  <c r="CR3764" i="1"/>
  <c r="CP3764" i="1"/>
  <c r="CN3764" i="1"/>
  <c r="CJ3764" i="1"/>
  <c r="CH3764" i="1"/>
  <c r="CF3764" i="1"/>
  <c r="BL3764" i="1"/>
  <c r="BD3764" i="1"/>
  <c r="AZ3764" i="1"/>
  <c r="AX3764" i="1"/>
  <c r="DC3759" i="1"/>
  <c r="DA3759" i="1"/>
  <c r="CY3759" i="1"/>
  <c r="Y3759" i="1" s="1"/>
  <c r="CW3759" i="1"/>
  <c r="AA3759" i="1" s="1"/>
  <c r="CR3759" i="1"/>
  <c r="CP3759" i="1"/>
  <c r="CN3759" i="1"/>
  <c r="CJ3759" i="1"/>
  <c r="CH3759" i="1"/>
  <c r="CF3759" i="1"/>
  <c r="BL3759" i="1"/>
  <c r="BD3759" i="1"/>
  <c r="AZ3759" i="1"/>
  <c r="AX3759" i="1"/>
  <c r="DC3758" i="1"/>
  <c r="DA3758" i="1"/>
  <c r="CY3758" i="1"/>
  <c r="Y3758" i="1" s="1"/>
  <c r="CW3758" i="1"/>
  <c r="AA3758" i="1" s="1"/>
  <c r="CR3758" i="1"/>
  <c r="CP3758" i="1"/>
  <c r="CN3758" i="1"/>
  <c r="CJ3758" i="1"/>
  <c r="CH3758" i="1"/>
  <c r="CF3758" i="1"/>
  <c r="BL3758" i="1"/>
  <c r="BD3758" i="1"/>
  <c r="AZ3758" i="1"/>
  <c r="AX3758" i="1"/>
  <c r="DC3757" i="1"/>
  <c r="DA3757" i="1"/>
  <c r="CY3757" i="1"/>
  <c r="Y3757" i="1" s="1"/>
  <c r="CW3757" i="1"/>
  <c r="AA3757" i="1" s="1"/>
  <c r="CR3757" i="1"/>
  <c r="CP3757" i="1"/>
  <c r="CN3757" i="1"/>
  <c r="CJ3757" i="1"/>
  <c r="CH3757" i="1"/>
  <c r="CF3757" i="1"/>
  <c r="BL3757" i="1"/>
  <c r="BD3757" i="1"/>
  <c r="AZ3757" i="1"/>
  <c r="AX3757" i="1"/>
  <c r="DC3756" i="1"/>
  <c r="DA3756" i="1"/>
  <c r="CY3756" i="1"/>
  <c r="Y3756" i="1" s="1"/>
  <c r="CW3756" i="1"/>
  <c r="AA3756" i="1" s="1"/>
  <c r="CR3756" i="1"/>
  <c r="CP3756" i="1"/>
  <c r="CN3756" i="1"/>
  <c r="CJ3756" i="1"/>
  <c r="CH3756" i="1"/>
  <c r="CF3756" i="1"/>
  <c r="BL3756" i="1"/>
  <c r="BD3756" i="1"/>
  <c r="AZ3756" i="1"/>
  <c r="AX3756" i="1"/>
  <c r="DC3729" i="1"/>
  <c r="DA3729" i="1"/>
  <c r="CY3729" i="1"/>
  <c r="Y3729" i="1" s="1"/>
  <c r="CW3729" i="1"/>
  <c r="AA3729" i="1" s="1"/>
  <c r="CR3729" i="1"/>
  <c r="CP3729" i="1"/>
  <c r="CN3729" i="1"/>
  <c r="CJ3729" i="1"/>
  <c r="CH3729" i="1"/>
  <c r="CF3729" i="1"/>
  <c r="BL3729" i="1"/>
  <c r="BD3729" i="1"/>
  <c r="AZ3729" i="1"/>
  <c r="AX3729" i="1"/>
  <c r="Z3764" i="1" l="1"/>
  <c r="Z3753" i="1"/>
  <c r="Z3757" i="1"/>
  <c r="Z3752" i="1"/>
  <c r="Z3761" i="1"/>
  <c r="CU3761" i="1"/>
  <c r="X3761" i="1" s="1"/>
  <c r="Z3758" i="1"/>
  <c r="Z3760" i="1"/>
  <c r="Z3729" i="1"/>
  <c r="Z3765" i="1"/>
  <c r="CU3753" i="1"/>
  <c r="X3753" i="1" s="1"/>
  <c r="CU3756" i="1"/>
  <c r="X3756" i="1" s="1"/>
  <c r="Z3756" i="1"/>
  <c r="Z3759" i="1"/>
  <c r="CU3764" i="1"/>
  <c r="X3764" i="1" s="1"/>
  <c r="CU3757" i="1"/>
  <c r="X3757" i="1" s="1"/>
  <c r="CU3765" i="1"/>
  <c r="X3765" i="1" s="1"/>
  <c r="CU3758" i="1"/>
  <c r="X3758" i="1" s="1"/>
  <c r="CU3752" i="1"/>
  <c r="X3752" i="1" s="1"/>
  <c r="CU3729" i="1"/>
  <c r="X3729" i="1" s="1"/>
  <c r="CU3759" i="1"/>
  <c r="X3759" i="1" s="1"/>
  <c r="CU3760" i="1"/>
  <c r="X3760" i="1" s="1"/>
  <c r="AD3764" i="1" l="1"/>
  <c r="AD3753" i="1"/>
  <c r="AD3752" i="1"/>
  <c r="AD3765" i="1"/>
  <c r="AD3761" i="1"/>
  <c r="AD3757" i="1"/>
  <c r="AD3756" i="1"/>
  <c r="AD3729" i="1"/>
  <c r="AD3760" i="1"/>
  <c r="AD3759" i="1"/>
  <c r="AD3758" i="1"/>
  <c r="DC3786" i="1"/>
  <c r="DA3786" i="1"/>
  <c r="CY3786" i="1"/>
  <c r="Y3786" i="1" s="1"/>
  <c r="CW3786" i="1"/>
  <c r="AA3786" i="1" s="1"/>
  <c r="CR3786" i="1"/>
  <c r="CP3786" i="1"/>
  <c r="CN3786" i="1"/>
  <c r="CJ3786" i="1"/>
  <c r="CH3786" i="1"/>
  <c r="CF3786" i="1"/>
  <c r="BL3786" i="1"/>
  <c r="BD3786" i="1"/>
  <c r="AZ3786" i="1"/>
  <c r="AX3786" i="1"/>
  <c r="DC3767" i="1"/>
  <c r="DA3767" i="1"/>
  <c r="CY3767" i="1"/>
  <c r="Y3767" i="1" s="1"/>
  <c r="CW3767" i="1"/>
  <c r="AA3767" i="1" s="1"/>
  <c r="CR3767" i="1"/>
  <c r="CP3767" i="1"/>
  <c r="CN3767" i="1"/>
  <c r="CJ3767" i="1"/>
  <c r="CH3767" i="1"/>
  <c r="CF3767" i="1"/>
  <c r="BL3767" i="1"/>
  <c r="BD3767" i="1"/>
  <c r="AZ3767" i="1"/>
  <c r="AX3767" i="1"/>
  <c r="DC3766" i="1"/>
  <c r="DA3766" i="1"/>
  <c r="CY3766" i="1"/>
  <c r="Y3766" i="1" s="1"/>
  <c r="CW3766" i="1"/>
  <c r="AA3766" i="1" s="1"/>
  <c r="CR3766" i="1"/>
  <c r="CP3766" i="1"/>
  <c r="CN3766" i="1"/>
  <c r="CJ3766" i="1"/>
  <c r="CH3766" i="1"/>
  <c r="CF3766" i="1"/>
  <c r="BL3766" i="1"/>
  <c r="BD3766" i="1"/>
  <c r="AZ3766" i="1"/>
  <c r="AX3766" i="1"/>
  <c r="DA3236" i="1"/>
  <c r="CY3236" i="1"/>
  <c r="Y3236" i="1" s="1"/>
  <c r="CW3236" i="1"/>
  <c r="AA3236" i="1" s="1"/>
  <c r="CR3236" i="1"/>
  <c r="CP3236" i="1"/>
  <c r="CN3236" i="1"/>
  <c r="CJ3236" i="1"/>
  <c r="CH3236" i="1"/>
  <c r="CF3236" i="1"/>
  <c r="BL3236" i="1"/>
  <c r="BD3236" i="1"/>
  <c r="AZ3236" i="1"/>
  <c r="AX3236" i="1"/>
  <c r="DC3401" i="1"/>
  <c r="DA3401" i="1"/>
  <c r="CY3401" i="1"/>
  <c r="Y3401" i="1" s="1"/>
  <c r="CW3401" i="1"/>
  <c r="AA3401" i="1" s="1"/>
  <c r="CR3401" i="1"/>
  <c r="CP3401" i="1"/>
  <c r="CN3401" i="1"/>
  <c r="CJ3401" i="1"/>
  <c r="CH3401" i="1"/>
  <c r="CF3401" i="1"/>
  <c r="BL3401" i="1"/>
  <c r="BD3401" i="1"/>
  <c r="AZ3401" i="1"/>
  <c r="AX3401" i="1"/>
  <c r="Z3401" i="1" l="1"/>
  <c r="Z3236" i="1"/>
  <c r="Z3767" i="1"/>
  <c r="Z3766" i="1"/>
  <c r="Z3786" i="1"/>
  <c r="CU3401" i="1"/>
  <c r="X3401" i="1" s="1"/>
  <c r="CU3766" i="1"/>
  <c r="X3766" i="1" s="1"/>
  <c r="CU3767" i="1"/>
  <c r="X3767" i="1" s="1"/>
  <c r="CU3786" i="1"/>
  <c r="X3786" i="1" s="1"/>
  <c r="CU3236" i="1"/>
  <c r="X3236" i="1" s="1"/>
  <c r="DC3748" i="1"/>
  <c r="DA3748" i="1"/>
  <c r="CY3748" i="1"/>
  <c r="Y3748" i="1" s="1"/>
  <c r="CW3748" i="1"/>
  <c r="AA3748" i="1" s="1"/>
  <c r="CR3748" i="1"/>
  <c r="CP3748" i="1"/>
  <c r="CN3748" i="1"/>
  <c r="CJ3748" i="1"/>
  <c r="CH3748" i="1"/>
  <c r="CF3748" i="1"/>
  <c r="BL3748" i="1"/>
  <c r="BD3748" i="1"/>
  <c r="AZ3748" i="1"/>
  <c r="AX3748" i="1"/>
  <c r="DC3747" i="1"/>
  <c r="DA3747" i="1"/>
  <c r="CY3747" i="1"/>
  <c r="Y3747" i="1" s="1"/>
  <c r="CW3747" i="1"/>
  <c r="AA3747" i="1" s="1"/>
  <c r="CR3747" i="1"/>
  <c r="CP3747" i="1"/>
  <c r="CN3747" i="1"/>
  <c r="CJ3747" i="1"/>
  <c r="CH3747" i="1"/>
  <c r="CF3747" i="1"/>
  <c r="BL3747" i="1"/>
  <c r="BD3747" i="1"/>
  <c r="AZ3747" i="1"/>
  <c r="AX3747" i="1"/>
  <c r="DC3746" i="1"/>
  <c r="DA3746" i="1"/>
  <c r="CY3746" i="1"/>
  <c r="Y3746" i="1" s="1"/>
  <c r="CW3746" i="1"/>
  <c r="AA3746" i="1" s="1"/>
  <c r="CR3746" i="1"/>
  <c r="CP3746" i="1"/>
  <c r="CN3746" i="1"/>
  <c r="CJ3746" i="1"/>
  <c r="CH3746" i="1"/>
  <c r="CF3746" i="1"/>
  <c r="BL3746" i="1"/>
  <c r="BD3746" i="1"/>
  <c r="AZ3746" i="1"/>
  <c r="AX3746" i="1"/>
  <c r="DC3745" i="1"/>
  <c r="DA3745" i="1"/>
  <c r="CY3745" i="1"/>
  <c r="Y3745" i="1" s="1"/>
  <c r="CW3745" i="1"/>
  <c r="AA3745" i="1" s="1"/>
  <c r="CR3745" i="1"/>
  <c r="CP3745" i="1"/>
  <c r="CN3745" i="1"/>
  <c r="CJ3745" i="1"/>
  <c r="CH3745" i="1"/>
  <c r="CF3745" i="1"/>
  <c r="BL3745" i="1"/>
  <c r="BD3745" i="1"/>
  <c r="AZ3745" i="1"/>
  <c r="AX3745" i="1"/>
  <c r="DC3744" i="1"/>
  <c r="DA3744" i="1"/>
  <c r="CY3744" i="1"/>
  <c r="Y3744" i="1" s="1"/>
  <c r="CW3744" i="1"/>
  <c r="AA3744" i="1" s="1"/>
  <c r="CR3744" i="1"/>
  <c r="CP3744" i="1"/>
  <c r="CN3744" i="1"/>
  <c r="CJ3744" i="1"/>
  <c r="CH3744" i="1"/>
  <c r="CF3744" i="1"/>
  <c r="BL3744" i="1"/>
  <c r="BD3744" i="1"/>
  <c r="AZ3744" i="1"/>
  <c r="AX3744" i="1"/>
  <c r="DC3739" i="1"/>
  <c r="DA3739" i="1"/>
  <c r="CY3739" i="1"/>
  <c r="Y3739" i="1" s="1"/>
  <c r="CW3739" i="1"/>
  <c r="AA3739" i="1" s="1"/>
  <c r="CR3739" i="1"/>
  <c r="CP3739" i="1"/>
  <c r="CN3739" i="1"/>
  <c r="CJ3739" i="1"/>
  <c r="CH3739" i="1"/>
  <c r="CF3739" i="1"/>
  <c r="BL3739" i="1"/>
  <c r="BD3739" i="1"/>
  <c r="AZ3739" i="1"/>
  <c r="AX3739" i="1"/>
  <c r="DC3738" i="1"/>
  <c r="DA3738" i="1"/>
  <c r="CY3738" i="1"/>
  <c r="Y3738" i="1" s="1"/>
  <c r="CW3738" i="1"/>
  <c r="AA3738" i="1" s="1"/>
  <c r="CR3738" i="1"/>
  <c r="CP3738" i="1"/>
  <c r="CN3738" i="1"/>
  <c r="CJ3738" i="1"/>
  <c r="CH3738" i="1"/>
  <c r="CF3738" i="1"/>
  <c r="BL3738" i="1"/>
  <c r="BD3738" i="1"/>
  <c r="AZ3738" i="1"/>
  <c r="AX3738" i="1"/>
  <c r="AD3767" i="1" l="1"/>
  <c r="AD3401" i="1"/>
  <c r="AD3786" i="1"/>
  <c r="AD3236" i="1"/>
  <c r="AD3766" i="1"/>
  <c r="Z3738" i="1"/>
  <c r="Z3744" i="1"/>
  <c r="Z3739" i="1"/>
  <c r="Z3748" i="1"/>
  <c r="Z3747" i="1"/>
  <c r="CU3744" i="1"/>
  <c r="X3744" i="1" s="1"/>
  <c r="CU3739" i="1"/>
  <c r="X3739" i="1" s="1"/>
  <c r="Z3746" i="1"/>
  <c r="Z3745" i="1"/>
  <c r="CU3747" i="1"/>
  <c r="X3747" i="1" s="1"/>
  <c r="CU3745" i="1"/>
  <c r="X3745" i="1" s="1"/>
  <c r="CU3748" i="1"/>
  <c r="X3748" i="1" s="1"/>
  <c r="CU3738" i="1"/>
  <c r="X3738" i="1" s="1"/>
  <c r="CU3746" i="1"/>
  <c r="X3746" i="1" s="1"/>
  <c r="AD3747" i="1" l="1"/>
  <c r="AD3748" i="1"/>
  <c r="AD3738" i="1"/>
  <c r="AD3739" i="1"/>
  <c r="AD3744" i="1"/>
  <c r="AD3745" i="1"/>
  <c r="AD3746" i="1"/>
  <c r="DC3750" i="1"/>
  <c r="DA3750" i="1"/>
  <c r="CY3750" i="1"/>
  <c r="Y3750" i="1" s="1"/>
  <c r="CW3750" i="1"/>
  <c r="AA3750" i="1" s="1"/>
  <c r="CR3750" i="1"/>
  <c r="CP3750" i="1"/>
  <c r="CN3750" i="1"/>
  <c r="CJ3750" i="1"/>
  <c r="CH3750" i="1"/>
  <c r="CF3750" i="1"/>
  <c r="BL3750" i="1"/>
  <c r="BD3750" i="1"/>
  <c r="AZ3750" i="1"/>
  <c r="AX3750" i="1"/>
  <c r="DC3749" i="1"/>
  <c r="DA3749" i="1"/>
  <c r="CY3749" i="1"/>
  <c r="Y3749" i="1" s="1"/>
  <c r="CW3749" i="1"/>
  <c r="AA3749" i="1" s="1"/>
  <c r="CR3749" i="1"/>
  <c r="CP3749" i="1"/>
  <c r="CN3749" i="1"/>
  <c r="CJ3749" i="1"/>
  <c r="CH3749" i="1"/>
  <c r="CF3749" i="1"/>
  <c r="BL3749" i="1"/>
  <c r="BD3749" i="1"/>
  <c r="AZ3749" i="1"/>
  <c r="AX3749" i="1"/>
  <c r="DC3743" i="1"/>
  <c r="DA3743" i="1"/>
  <c r="CY3743" i="1"/>
  <c r="Y3743" i="1" s="1"/>
  <c r="CW3743" i="1"/>
  <c r="AA3743" i="1" s="1"/>
  <c r="CR3743" i="1"/>
  <c r="CP3743" i="1"/>
  <c r="CN3743" i="1"/>
  <c r="CJ3743" i="1"/>
  <c r="CH3743" i="1"/>
  <c r="CF3743" i="1"/>
  <c r="BL3743" i="1"/>
  <c r="BD3743" i="1"/>
  <c r="AZ3743" i="1"/>
  <c r="AX3743" i="1"/>
  <c r="DC3742" i="1"/>
  <c r="DA3742" i="1"/>
  <c r="CY3742" i="1"/>
  <c r="Y3742" i="1" s="1"/>
  <c r="CW3742" i="1"/>
  <c r="AA3742" i="1" s="1"/>
  <c r="CR3742" i="1"/>
  <c r="CP3742" i="1"/>
  <c r="CN3742" i="1"/>
  <c r="CJ3742" i="1"/>
  <c r="CH3742" i="1"/>
  <c r="CF3742" i="1"/>
  <c r="BL3742" i="1"/>
  <c r="BD3742" i="1"/>
  <c r="AZ3742" i="1"/>
  <c r="AX3742" i="1"/>
  <c r="DC3741" i="1"/>
  <c r="DA3741" i="1"/>
  <c r="CY3741" i="1"/>
  <c r="Y3741" i="1" s="1"/>
  <c r="CW3741" i="1"/>
  <c r="AA3741" i="1" s="1"/>
  <c r="CR3741" i="1"/>
  <c r="CP3741" i="1"/>
  <c r="CN3741" i="1"/>
  <c r="CJ3741" i="1"/>
  <c r="CH3741" i="1"/>
  <c r="CF3741" i="1"/>
  <c r="BL3741" i="1"/>
  <c r="BD3741" i="1"/>
  <c r="AZ3741" i="1"/>
  <c r="AX3741" i="1"/>
  <c r="DC3740" i="1"/>
  <c r="DA3740" i="1"/>
  <c r="CY3740" i="1"/>
  <c r="Y3740" i="1" s="1"/>
  <c r="CW3740" i="1"/>
  <c r="AA3740" i="1" s="1"/>
  <c r="CR3740" i="1"/>
  <c r="CP3740" i="1"/>
  <c r="CN3740" i="1"/>
  <c r="CJ3740" i="1"/>
  <c r="CH3740" i="1"/>
  <c r="CF3740" i="1"/>
  <c r="BL3740" i="1"/>
  <c r="BD3740" i="1"/>
  <c r="AZ3740" i="1"/>
  <c r="AX3740" i="1"/>
  <c r="DC3737" i="1"/>
  <c r="DA3737" i="1"/>
  <c r="CY3737" i="1"/>
  <c r="Y3737" i="1" s="1"/>
  <c r="CW3737" i="1"/>
  <c r="AA3737" i="1" s="1"/>
  <c r="CR3737" i="1"/>
  <c r="CP3737" i="1"/>
  <c r="CN3737" i="1"/>
  <c r="CJ3737" i="1"/>
  <c r="CH3737" i="1"/>
  <c r="CF3737" i="1"/>
  <c r="BL3737" i="1"/>
  <c r="BD3737" i="1"/>
  <c r="AZ3737" i="1"/>
  <c r="AX3737" i="1"/>
  <c r="DC3736" i="1"/>
  <c r="DA3736" i="1"/>
  <c r="CY3736" i="1"/>
  <c r="Y3736" i="1" s="1"/>
  <c r="CW3736" i="1"/>
  <c r="AA3736" i="1" s="1"/>
  <c r="CR3736" i="1"/>
  <c r="CP3736" i="1"/>
  <c r="CN3736" i="1"/>
  <c r="CJ3736" i="1"/>
  <c r="CH3736" i="1"/>
  <c r="CF3736" i="1"/>
  <c r="BL3736" i="1"/>
  <c r="BD3736" i="1"/>
  <c r="AZ3736" i="1"/>
  <c r="AX3736" i="1"/>
  <c r="DC3735" i="1"/>
  <c r="DA3735" i="1"/>
  <c r="CY3735" i="1"/>
  <c r="Y3735" i="1" s="1"/>
  <c r="CW3735" i="1"/>
  <c r="AA3735" i="1" s="1"/>
  <c r="CR3735" i="1"/>
  <c r="CP3735" i="1"/>
  <c r="CN3735" i="1"/>
  <c r="CJ3735" i="1"/>
  <c r="CH3735" i="1"/>
  <c r="CF3735" i="1"/>
  <c r="BL3735" i="1"/>
  <c r="BD3735" i="1"/>
  <c r="AZ3735" i="1"/>
  <c r="AX3735" i="1"/>
  <c r="Z3740" i="1" l="1"/>
  <c r="Z3741" i="1"/>
  <c r="Z3750" i="1"/>
  <c r="Z3735" i="1"/>
  <c r="Z3736" i="1"/>
  <c r="Z3737" i="1"/>
  <c r="CU3749" i="1"/>
  <c r="X3749" i="1" s="1"/>
  <c r="Z3749" i="1"/>
  <c r="CU3735" i="1"/>
  <c r="X3735" i="1" s="1"/>
  <c r="Z3742" i="1"/>
  <c r="Z3743" i="1"/>
  <c r="CU3736" i="1"/>
  <c r="X3736" i="1" s="1"/>
  <c r="CU3742" i="1"/>
  <c r="X3742" i="1" s="1"/>
  <c r="CU3737" i="1"/>
  <c r="X3737" i="1" s="1"/>
  <c r="CU3743" i="1"/>
  <c r="X3743" i="1" s="1"/>
  <c r="CU3740" i="1"/>
  <c r="X3740" i="1" s="1"/>
  <c r="CU3741" i="1"/>
  <c r="X3741" i="1" s="1"/>
  <c r="CU3750" i="1"/>
  <c r="X3750" i="1" s="1"/>
  <c r="DB3707" i="1"/>
  <c r="AD3750" i="1" l="1"/>
  <c r="AD3740" i="1"/>
  <c r="AD3737" i="1"/>
  <c r="AD3735" i="1"/>
  <c r="AD3749" i="1"/>
  <c r="AD3741" i="1"/>
  <c r="AD3743" i="1"/>
  <c r="AD3736" i="1"/>
  <c r="AD3742" i="1"/>
  <c r="DB3571" i="1" l="1"/>
  <c r="DC3732" i="1"/>
  <c r="DA3732" i="1"/>
  <c r="CY3732" i="1"/>
  <c r="Y3732" i="1" s="1"/>
  <c r="CW3732" i="1"/>
  <c r="AA3732" i="1" s="1"/>
  <c r="CR3732" i="1"/>
  <c r="CP3732" i="1"/>
  <c r="CN3732" i="1"/>
  <c r="CJ3732" i="1"/>
  <c r="CH3732" i="1"/>
  <c r="CF3732" i="1"/>
  <c r="BL3732" i="1"/>
  <c r="BD3732" i="1"/>
  <c r="AZ3732" i="1"/>
  <c r="AX3732" i="1"/>
  <c r="DC3728" i="1"/>
  <c r="DA3728" i="1"/>
  <c r="CY3728" i="1"/>
  <c r="Y3728" i="1" s="1"/>
  <c r="CW3728" i="1"/>
  <c r="AA3728" i="1" s="1"/>
  <c r="CR3728" i="1"/>
  <c r="CP3728" i="1"/>
  <c r="CN3728" i="1"/>
  <c r="CJ3728" i="1"/>
  <c r="CH3728" i="1"/>
  <c r="CF3728" i="1"/>
  <c r="BL3728" i="1"/>
  <c r="BD3728" i="1"/>
  <c r="AZ3728" i="1"/>
  <c r="AX3728" i="1"/>
  <c r="DC3731" i="1"/>
  <c r="DA3731" i="1"/>
  <c r="CY3731" i="1"/>
  <c r="Y3731" i="1" s="1"/>
  <c r="CW3731" i="1"/>
  <c r="AA3731" i="1" s="1"/>
  <c r="CR3731" i="1"/>
  <c r="CP3731" i="1"/>
  <c r="CN3731" i="1"/>
  <c r="CJ3731" i="1"/>
  <c r="CH3731" i="1"/>
  <c r="CF3731" i="1"/>
  <c r="BL3731" i="1"/>
  <c r="BD3731" i="1"/>
  <c r="AZ3731" i="1"/>
  <c r="AX3731" i="1"/>
  <c r="DC3730" i="1"/>
  <c r="DA3730" i="1"/>
  <c r="CY3730" i="1"/>
  <c r="Y3730" i="1" s="1"/>
  <c r="CW3730" i="1"/>
  <c r="AA3730" i="1" s="1"/>
  <c r="CR3730" i="1"/>
  <c r="CP3730" i="1"/>
  <c r="CN3730" i="1"/>
  <c r="CJ3730" i="1"/>
  <c r="CH3730" i="1"/>
  <c r="CF3730" i="1"/>
  <c r="BL3730" i="1"/>
  <c r="BD3730" i="1"/>
  <c r="AZ3730" i="1"/>
  <c r="AX3730" i="1"/>
  <c r="DC3727" i="1"/>
  <c r="DA3727" i="1"/>
  <c r="CY3727" i="1"/>
  <c r="Y3727" i="1" s="1"/>
  <c r="CW3727" i="1"/>
  <c r="AA3727" i="1" s="1"/>
  <c r="CR3727" i="1"/>
  <c r="CP3727" i="1"/>
  <c r="CN3727" i="1"/>
  <c r="CJ3727" i="1"/>
  <c r="CH3727" i="1"/>
  <c r="CF3727" i="1"/>
  <c r="BL3727" i="1"/>
  <c r="BD3727" i="1"/>
  <c r="AZ3727" i="1"/>
  <c r="AX3727" i="1"/>
  <c r="DC3726" i="1"/>
  <c r="DA3726" i="1"/>
  <c r="CY3726" i="1"/>
  <c r="Y3726" i="1" s="1"/>
  <c r="CW3726" i="1"/>
  <c r="AA3726" i="1" s="1"/>
  <c r="CR3726" i="1"/>
  <c r="CP3726" i="1"/>
  <c r="CN3726" i="1"/>
  <c r="CJ3726" i="1"/>
  <c r="CH3726" i="1"/>
  <c r="CF3726" i="1"/>
  <c r="BL3726" i="1"/>
  <c r="BD3726" i="1"/>
  <c r="AZ3726" i="1"/>
  <c r="AX3726" i="1"/>
  <c r="DC3725" i="1"/>
  <c r="DA3725" i="1"/>
  <c r="CY3725" i="1"/>
  <c r="Y3725" i="1" s="1"/>
  <c r="CW3725" i="1"/>
  <c r="AA3725" i="1" s="1"/>
  <c r="CR3725" i="1"/>
  <c r="CP3725" i="1"/>
  <c r="CN3725" i="1"/>
  <c r="CJ3725" i="1"/>
  <c r="CH3725" i="1"/>
  <c r="CF3725" i="1"/>
  <c r="BL3725" i="1"/>
  <c r="BD3725" i="1"/>
  <c r="AZ3725" i="1"/>
  <c r="AX3725" i="1"/>
  <c r="DC3724" i="1"/>
  <c r="DA3724" i="1"/>
  <c r="CY3724" i="1"/>
  <c r="Y3724" i="1" s="1"/>
  <c r="CW3724" i="1"/>
  <c r="AA3724" i="1" s="1"/>
  <c r="CR3724" i="1"/>
  <c r="CP3724" i="1"/>
  <c r="CN3724" i="1"/>
  <c r="CJ3724" i="1"/>
  <c r="CH3724" i="1"/>
  <c r="CF3724" i="1"/>
  <c r="BL3724" i="1"/>
  <c r="BD3724" i="1"/>
  <c r="AZ3724" i="1"/>
  <c r="AX3724" i="1"/>
  <c r="DC3723" i="1"/>
  <c r="DA3723" i="1"/>
  <c r="CY3723" i="1"/>
  <c r="Y3723" i="1" s="1"/>
  <c r="CW3723" i="1"/>
  <c r="AA3723" i="1" s="1"/>
  <c r="CR3723" i="1"/>
  <c r="CP3723" i="1"/>
  <c r="CN3723" i="1"/>
  <c r="CJ3723" i="1"/>
  <c r="CH3723" i="1"/>
  <c r="CF3723" i="1"/>
  <c r="BL3723" i="1"/>
  <c r="BD3723" i="1"/>
  <c r="AZ3723" i="1"/>
  <c r="AX3723" i="1"/>
  <c r="DC3722" i="1"/>
  <c r="DA3722" i="1"/>
  <c r="CY3722" i="1"/>
  <c r="Y3722" i="1" s="1"/>
  <c r="CW3722" i="1"/>
  <c r="AA3722" i="1" s="1"/>
  <c r="CR3722" i="1"/>
  <c r="CP3722" i="1"/>
  <c r="CN3722" i="1"/>
  <c r="CJ3722" i="1"/>
  <c r="CH3722" i="1"/>
  <c r="CF3722" i="1"/>
  <c r="BL3722" i="1"/>
  <c r="BD3722" i="1"/>
  <c r="AZ3722" i="1"/>
  <c r="AX3722" i="1"/>
  <c r="DC3716" i="1"/>
  <c r="DA3716" i="1"/>
  <c r="CY3716" i="1"/>
  <c r="Y3716" i="1" s="1"/>
  <c r="CW3716" i="1"/>
  <c r="AA3716" i="1" s="1"/>
  <c r="CR3716" i="1"/>
  <c r="CP3716" i="1"/>
  <c r="CN3716" i="1"/>
  <c r="CJ3716" i="1"/>
  <c r="CH3716" i="1"/>
  <c r="CF3716" i="1"/>
  <c r="BL3716" i="1"/>
  <c r="BD3716" i="1"/>
  <c r="AZ3716" i="1"/>
  <c r="AX3716" i="1"/>
  <c r="DC3667" i="1"/>
  <c r="DA3667" i="1"/>
  <c r="CY3667" i="1"/>
  <c r="Y3667" i="1" s="1"/>
  <c r="CW3667" i="1"/>
  <c r="AA3667" i="1" s="1"/>
  <c r="CR3667" i="1"/>
  <c r="CP3667" i="1"/>
  <c r="CN3667" i="1"/>
  <c r="CJ3667" i="1"/>
  <c r="CH3667" i="1"/>
  <c r="CF3667" i="1"/>
  <c r="BL3667" i="1"/>
  <c r="BD3667" i="1"/>
  <c r="AZ3667" i="1"/>
  <c r="AX3667" i="1"/>
  <c r="Z3732" i="1" l="1"/>
  <c r="Z3722" i="1"/>
  <c r="Z3725" i="1"/>
  <c r="Z3726" i="1"/>
  <c r="Z3724" i="1"/>
  <c r="Z3727" i="1"/>
  <c r="Z3667" i="1"/>
  <c r="Z3723" i="1"/>
  <c r="Z3728" i="1"/>
  <c r="CU3716" i="1"/>
  <c r="X3716" i="1" s="1"/>
  <c r="Z3716" i="1"/>
  <c r="CU3731" i="1"/>
  <c r="X3731" i="1" s="1"/>
  <c r="Z3731" i="1"/>
  <c r="CU3725" i="1"/>
  <c r="X3725" i="1" s="1"/>
  <c r="CU3727" i="1"/>
  <c r="X3727" i="1" s="1"/>
  <c r="CU3722" i="1"/>
  <c r="X3722" i="1" s="1"/>
  <c r="CU3723" i="1"/>
  <c r="X3723" i="1" s="1"/>
  <c r="CU3726" i="1"/>
  <c r="X3726" i="1" s="1"/>
  <c r="CU3732" i="1"/>
  <c r="X3732" i="1" s="1"/>
  <c r="CU3667" i="1"/>
  <c r="X3667" i="1" s="1"/>
  <c r="CU3724" i="1"/>
  <c r="X3724" i="1" s="1"/>
  <c r="Z3730" i="1"/>
  <c r="CU3730" i="1"/>
  <c r="X3730" i="1" s="1"/>
  <c r="CU3728" i="1"/>
  <c r="X3728" i="1" s="1"/>
  <c r="AD3725" i="1" l="1"/>
  <c r="AD3732" i="1"/>
  <c r="AD3667" i="1"/>
  <c r="AD3722" i="1"/>
  <c r="AD3726" i="1"/>
  <c r="AD3716" i="1"/>
  <c r="AD3724" i="1"/>
  <c r="AD3723" i="1"/>
  <c r="AD3730" i="1"/>
  <c r="AD3731" i="1"/>
  <c r="AD3728" i="1"/>
  <c r="AD3727" i="1"/>
  <c r="I3336" i="1" l="1"/>
  <c r="I3644" i="1"/>
  <c r="DC3733" i="1" l="1"/>
  <c r="DA3733" i="1"/>
  <c r="CY3733" i="1"/>
  <c r="Y3733" i="1" s="1"/>
  <c r="CW3733" i="1"/>
  <c r="AA3733" i="1" s="1"/>
  <c r="CR3733" i="1"/>
  <c r="CP3733" i="1"/>
  <c r="CN3733" i="1"/>
  <c r="CJ3733" i="1"/>
  <c r="CH3733" i="1"/>
  <c r="CF3733" i="1"/>
  <c r="BL3733" i="1"/>
  <c r="BD3733" i="1"/>
  <c r="AZ3733" i="1"/>
  <c r="AX3733" i="1"/>
  <c r="DC3721" i="1"/>
  <c r="DA3721" i="1"/>
  <c r="CY3721" i="1"/>
  <c r="Y3721" i="1" s="1"/>
  <c r="CW3721" i="1"/>
  <c r="AA3721" i="1" s="1"/>
  <c r="CR3721" i="1"/>
  <c r="CP3721" i="1"/>
  <c r="CN3721" i="1"/>
  <c r="CJ3721" i="1"/>
  <c r="CH3721" i="1"/>
  <c r="CF3721" i="1"/>
  <c r="BL3721" i="1"/>
  <c r="BD3721" i="1"/>
  <c r="AZ3721" i="1"/>
  <c r="AX3721" i="1"/>
  <c r="DC3720" i="1"/>
  <c r="DA3720" i="1"/>
  <c r="CY3720" i="1"/>
  <c r="Y3720" i="1" s="1"/>
  <c r="CW3720" i="1"/>
  <c r="AA3720" i="1" s="1"/>
  <c r="CR3720" i="1"/>
  <c r="CP3720" i="1"/>
  <c r="CN3720" i="1"/>
  <c r="CJ3720" i="1"/>
  <c r="CH3720" i="1"/>
  <c r="CF3720" i="1"/>
  <c r="BL3720" i="1"/>
  <c r="BD3720" i="1"/>
  <c r="AZ3720" i="1"/>
  <c r="AX3720" i="1"/>
  <c r="DC3719" i="1"/>
  <c r="DA3719" i="1"/>
  <c r="CY3719" i="1"/>
  <c r="Y3719" i="1" s="1"/>
  <c r="CW3719" i="1"/>
  <c r="AA3719" i="1" s="1"/>
  <c r="CR3719" i="1"/>
  <c r="CP3719" i="1"/>
  <c r="CN3719" i="1"/>
  <c r="CJ3719" i="1"/>
  <c r="CH3719" i="1"/>
  <c r="CF3719" i="1"/>
  <c r="BL3719" i="1"/>
  <c r="BD3719" i="1"/>
  <c r="AZ3719" i="1"/>
  <c r="AX3719" i="1"/>
  <c r="DC3718" i="1"/>
  <c r="DA3718" i="1"/>
  <c r="CY3718" i="1"/>
  <c r="Y3718" i="1" s="1"/>
  <c r="CW3718" i="1"/>
  <c r="AA3718" i="1" s="1"/>
  <c r="CR3718" i="1"/>
  <c r="CP3718" i="1"/>
  <c r="CN3718" i="1"/>
  <c r="CJ3718" i="1"/>
  <c r="CH3718" i="1"/>
  <c r="CF3718" i="1"/>
  <c r="BL3718" i="1"/>
  <c r="BD3718" i="1"/>
  <c r="AZ3718" i="1"/>
  <c r="AX3718" i="1"/>
  <c r="DC3717" i="1"/>
  <c r="DA3717" i="1"/>
  <c r="CY3717" i="1"/>
  <c r="Y3717" i="1" s="1"/>
  <c r="CW3717" i="1"/>
  <c r="AA3717" i="1" s="1"/>
  <c r="CR3717" i="1"/>
  <c r="CP3717" i="1"/>
  <c r="CN3717" i="1"/>
  <c r="CJ3717" i="1"/>
  <c r="CH3717" i="1"/>
  <c r="CF3717" i="1"/>
  <c r="BL3717" i="1"/>
  <c r="BD3717" i="1"/>
  <c r="AZ3717" i="1"/>
  <c r="AX3717" i="1"/>
  <c r="DC2603" i="1"/>
  <c r="DA2603" i="1"/>
  <c r="CY2603" i="1"/>
  <c r="Y2603" i="1" s="1"/>
  <c r="CW2603" i="1"/>
  <c r="AA2603" i="1" s="1"/>
  <c r="CR2603" i="1"/>
  <c r="CP2603" i="1"/>
  <c r="CN2603" i="1"/>
  <c r="CJ2603" i="1"/>
  <c r="CH2603" i="1"/>
  <c r="CF2603" i="1"/>
  <c r="BL2603" i="1"/>
  <c r="BD2603" i="1"/>
  <c r="AZ2603" i="1"/>
  <c r="AX2603" i="1"/>
  <c r="DC3666" i="1"/>
  <c r="DA3666" i="1"/>
  <c r="CY3666" i="1"/>
  <c r="Y3666" i="1" s="1"/>
  <c r="CW3666" i="1"/>
  <c r="AA3666" i="1" s="1"/>
  <c r="CR3666" i="1"/>
  <c r="CP3666" i="1"/>
  <c r="CN3666" i="1"/>
  <c r="CJ3666" i="1"/>
  <c r="CH3666" i="1"/>
  <c r="CF3666" i="1"/>
  <c r="BL3666" i="1"/>
  <c r="BD3666" i="1"/>
  <c r="AZ3666" i="1"/>
  <c r="AX3666" i="1"/>
  <c r="DC3713" i="1"/>
  <c r="DA3713" i="1"/>
  <c r="CY3713" i="1"/>
  <c r="Y3713" i="1" s="1"/>
  <c r="CW3713" i="1"/>
  <c r="AA3713" i="1" s="1"/>
  <c r="CR3713" i="1"/>
  <c r="CP3713" i="1"/>
  <c r="CN3713" i="1"/>
  <c r="CJ3713" i="1"/>
  <c r="CH3713" i="1"/>
  <c r="CF3713" i="1"/>
  <c r="BL3713" i="1"/>
  <c r="BD3713" i="1"/>
  <c r="AZ3713" i="1"/>
  <c r="AX3713" i="1"/>
  <c r="DC3715" i="1"/>
  <c r="DA3715" i="1"/>
  <c r="CY3715" i="1"/>
  <c r="Y3715" i="1" s="1"/>
  <c r="CW3715" i="1"/>
  <c r="AA3715" i="1" s="1"/>
  <c r="CR3715" i="1"/>
  <c r="CP3715" i="1"/>
  <c r="CN3715" i="1"/>
  <c r="CJ3715" i="1"/>
  <c r="CH3715" i="1"/>
  <c r="CF3715" i="1"/>
  <c r="BL3715" i="1"/>
  <c r="BD3715" i="1"/>
  <c r="AZ3715" i="1"/>
  <c r="AX3715" i="1"/>
  <c r="Z3720" i="1" l="1"/>
  <c r="Z3721" i="1"/>
  <c r="Z3718" i="1"/>
  <c r="Z3733" i="1"/>
  <c r="CU3719" i="1"/>
  <c r="X3719" i="1" s="1"/>
  <c r="Z3719" i="1"/>
  <c r="Z3715" i="1"/>
  <c r="Z3713" i="1"/>
  <c r="Z3666" i="1"/>
  <c r="Z2603" i="1"/>
  <c r="Z3717" i="1"/>
  <c r="CU3720" i="1"/>
  <c r="X3720" i="1" s="1"/>
  <c r="CU3715" i="1"/>
  <c r="X3715" i="1" s="1"/>
  <c r="CU3713" i="1"/>
  <c r="X3713" i="1" s="1"/>
  <c r="CU3666" i="1"/>
  <c r="X3666" i="1" s="1"/>
  <c r="CU2603" i="1"/>
  <c r="X2603" i="1" s="1"/>
  <c r="CU3717" i="1"/>
  <c r="X3717" i="1" s="1"/>
  <c r="CU3718" i="1"/>
  <c r="X3718" i="1" s="1"/>
  <c r="CU3721" i="1"/>
  <c r="X3721" i="1" s="1"/>
  <c r="CU3733" i="1"/>
  <c r="X3733" i="1" s="1"/>
  <c r="AD3666" i="1" l="1"/>
  <c r="AD3717" i="1"/>
  <c r="AD3713" i="1"/>
  <c r="AD2603" i="1"/>
  <c r="AD3715" i="1"/>
  <c r="AD3720" i="1"/>
  <c r="AD3721" i="1"/>
  <c r="AD3718" i="1"/>
  <c r="AD3733" i="1"/>
  <c r="AD3719" i="1"/>
  <c r="DC3734" i="1"/>
  <c r="DA3734" i="1"/>
  <c r="CY3734" i="1"/>
  <c r="Y3734" i="1" s="1"/>
  <c r="CW3734" i="1"/>
  <c r="AA3734" i="1" s="1"/>
  <c r="CR3734" i="1"/>
  <c r="CP3734" i="1"/>
  <c r="CN3734" i="1"/>
  <c r="CJ3734" i="1"/>
  <c r="CH3734" i="1"/>
  <c r="CF3734" i="1"/>
  <c r="BL3734" i="1"/>
  <c r="BD3734" i="1"/>
  <c r="AZ3734" i="1"/>
  <c r="AX3734" i="1"/>
  <c r="DC3712" i="1"/>
  <c r="DA3712" i="1"/>
  <c r="CY3712" i="1"/>
  <c r="Y3712" i="1" s="1"/>
  <c r="CW3712" i="1"/>
  <c r="AA3712" i="1" s="1"/>
  <c r="CR3712" i="1"/>
  <c r="CP3712" i="1"/>
  <c r="CN3712" i="1"/>
  <c r="CJ3712" i="1"/>
  <c r="CH3712" i="1"/>
  <c r="CF3712" i="1"/>
  <c r="BL3712" i="1"/>
  <c r="BD3712" i="1"/>
  <c r="AZ3712" i="1"/>
  <c r="AX3712" i="1"/>
  <c r="DC3714" i="1"/>
  <c r="DA3714" i="1"/>
  <c r="CY3714" i="1"/>
  <c r="Y3714" i="1" s="1"/>
  <c r="CW3714" i="1"/>
  <c r="AA3714" i="1" s="1"/>
  <c r="CR3714" i="1"/>
  <c r="CP3714" i="1"/>
  <c r="CN3714" i="1"/>
  <c r="CJ3714" i="1"/>
  <c r="CH3714" i="1"/>
  <c r="CF3714" i="1"/>
  <c r="BL3714" i="1"/>
  <c r="BD3714" i="1"/>
  <c r="AZ3714" i="1"/>
  <c r="AX3714" i="1"/>
  <c r="DC3711" i="1"/>
  <c r="DA3711" i="1"/>
  <c r="CY3711" i="1"/>
  <c r="Y3711" i="1" s="1"/>
  <c r="CW3711" i="1"/>
  <c r="AA3711" i="1" s="1"/>
  <c r="CR3711" i="1"/>
  <c r="CP3711" i="1"/>
  <c r="CN3711" i="1"/>
  <c r="CJ3711" i="1"/>
  <c r="CH3711" i="1"/>
  <c r="CF3711" i="1"/>
  <c r="BL3711" i="1"/>
  <c r="BD3711" i="1"/>
  <c r="AZ3711" i="1"/>
  <c r="AX3711" i="1"/>
  <c r="DC3710" i="1"/>
  <c r="DA3710" i="1"/>
  <c r="CY3710" i="1"/>
  <c r="Y3710" i="1" s="1"/>
  <c r="CW3710" i="1"/>
  <c r="AA3710" i="1" s="1"/>
  <c r="CR3710" i="1"/>
  <c r="CP3710" i="1"/>
  <c r="CN3710" i="1"/>
  <c r="CJ3710" i="1"/>
  <c r="CH3710" i="1"/>
  <c r="CF3710" i="1"/>
  <c r="BL3710" i="1"/>
  <c r="BD3710" i="1"/>
  <c r="AZ3710" i="1"/>
  <c r="AX3710" i="1"/>
  <c r="DC3709" i="1"/>
  <c r="DA3709" i="1"/>
  <c r="CY3709" i="1"/>
  <c r="Y3709" i="1" s="1"/>
  <c r="CW3709" i="1"/>
  <c r="AA3709" i="1" s="1"/>
  <c r="CR3709" i="1"/>
  <c r="CP3709" i="1"/>
  <c r="CN3709" i="1"/>
  <c r="CJ3709" i="1"/>
  <c r="CH3709" i="1"/>
  <c r="CF3709" i="1"/>
  <c r="BL3709" i="1"/>
  <c r="BD3709" i="1"/>
  <c r="AZ3709" i="1"/>
  <c r="AX3709" i="1"/>
  <c r="DC3708" i="1"/>
  <c r="DA3708" i="1"/>
  <c r="CY3708" i="1"/>
  <c r="Y3708" i="1" s="1"/>
  <c r="CW3708" i="1"/>
  <c r="AA3708" i="1" s="1"/>
  <c r="CR3708" i="1"/>
  <c r="CP3708" i="1"/>
  <c r="CN3708" i="1"/>
  <c r="CJ3708" i="1"/>
  <c r="CH3708" i="1"/>
  <c r="CF3708" i="1"/>
  <c r="BL3708" i="1"/>
  <c r="BD3708" i="1"/>
  <c r="AZ3708" i="1"/>
  <c r="AX3708" i="1"/>
  <c r="DA3707" i="1"/>
  <c r="CY3707" i="1"/>
  <c r="Y3707" i="1" s="1"/>
  <c r="CW3707" i="1"/>
  <c r="AA3707" i="1" s="1"/>
  <c r="CR3707" i="1"/>
  <c r="CP3707" i="1"/>
  <c r="CN3707" i="1"/>
  <c r="CJ3707" i="1"/>
  <c r="CH3707" i="1"/>
  <c r="CF3707" i="1"/>
  <c r="BL3707" i="1"/>
  <c r="BD3707" i="1"/>
  <c r="AZ3707" i="1"/>
  <c r="AX3707" i="1"/>
  <c r="DC3706" i="1"/>
  <c r="DA3706" i="1"/>
  <c r="CY3706" i="1"/>
  <c r="Y3706" i="1" s="1"/>
  <c r="CW3706" i="1"/>
  <c r="AA3706" i="1" s="1"/>
  <c r="CR3706" i="1"/>
  <c r="CP3706" i="1"/>
  <c r="CN3706" i="1"/>
  <c r="CJ3706" i="1"/>
  <c r="CH3706" i="1"/>
  <c r="CF3706" i="1"/>
  <c r="BL3706" i="1"/>
  <c r="BD3706" i="1"/>
  <c r="AZ3706" i="1"/>
  <c r="AX3706" i="1"/>
  <c r="DC3702" i="1"/>
  <c r="DA3702" i="1"/>
  <c r="CY3702" i="1"/>
  <c r="Y3702" i="1" s="1"/>
  <c r="CW3702" i="1"/>
  <c r="AA3702" i="1" s="1"/>
  <c r="CR3702" i="1"/>
  <c r="CP3702" i="1"/>
  <c r="CN3702" i="1"/>
  <c r="CJ3702" i="1"/>
  <c r="CH3702" i="1"/>
  <c r="CF3702" i="1"/>
  <c r="BL3702" i="1"/>
  <c r="BD3702" i="1"/>
  <c r="AZ3702" i="1"/>
  <c r="AX3702" i="1"/>
  <c r="DC3705" i="1"/>
  <c r="DA3705" i="1"/>
  <c r="CY3705" i="1"/>
  <c r="Y3705" i="1" s="1"/>
  <c r="CW3705" i="1"/>
  <c r="AA3705" i="1" s="1"/>
  <c r="CR3705" i="1"/>
  <c r="CP3705" i="1"/>
  <c r="CN3705" i="1"/>
  <c r="CJ3705" i="1"/>
  <c r="CH3705" i="1"/>
  <c r="CF3705" i="1"/>
  <c r="BL3705" i="1"/>
  <c r="BD3705" i="1"/>
  <c r="AZ3705" i="1"/>
  <c r="AX3705" i="1"/>
  <c r="DC3701" i="1"/>
  <c r="DA3701" i="1"/>
  <c r="CY3701" i="1"/>
  <c r="Y3701" i="1" s="1"/>
  <c r="CW3701" i="1"/>
  <c r="AA3701" i="1" s="1"/>
  <c r="CR3701" i="1"/>
  <c r="CP3701" i="1"/>
  <c r="CN3701" i="1"/>
  <c r="CJ3701" i="1"/>
  <c r="CH3701" i="1"/>
  <c r="CF3701" i="1"/>
  <c r="BL3701" i="1"/>
  <c r="BD3701" i="1"/>
  <c r="AZ3701" i="1"/>
  <c r="AX3701" i="1"/>
  <c r="DC3654" i="1"/>
  <c r="DA3654" i="1"/>
  <c r="CY3654" i="1"/>
  <c r="Y3654" i="1" s="1"/>
  <c r="CW3654" i="1"/>
  <c r="AA3654" i="1" s="1"/>
  <c r="CR3654" i="1"/>
  <c r="CP3654" i="1"/>
  <c r="CN3654" i="1"/>
  <c r="CJ3654" i="1"/>
  <c r="CH3654" i="1"/>
  <c r="CF3654" i="1"/>
  <c r="BL3654" i="1"/>
  <c r="BD3654" i="1"/>
  <c r="AZ3654" i="1"/>
  <c r="AX3654" i="1"/>
  <c r="DE649" i="1"/>
  <c r="DA650" i="1"/>
  <c r="DB2994" i="1"/>
  <c r="DC3571" i="1"/>
  <c r="DC3639" i="1"/>
  <c r="Z3734" i="1" l="1"/>
  <c r="Z3708" i="1"/>
  <c r="Z3705" i="1"/>
  <c r="Z3710" i="1"/>
  <c r="Z3714" i="1"/>
  <c r="Z3701" i="1"/>
  <c r="Z3707" i="1"/>
  <c r="Z3654" i="1"/>
  <c r="Z3706" i="1"/>
  <c r="Z3702" i="1"/>
  <c r="Z3709" i="1"/>
  <c r="Z3712" i="1"/>
  <c r="CU3654" i="1"/>
  <c r="X3654" i="1" s="1"/>
  <c r="CU3711" i="1"/>
  <c r="X3711" i="1" s="1"/>
  <c r="CU3705" i="1"/>
  <c r="X3705" i="1" s="1"/>
  <c r="CU3734" i="1"/>
  <c r="X3734" i="1" s="1"/>
  <c r="CU3707" i="1"/>
  <c r="X3707" i="1" s="1"/>
  <c r="Z3711" i="1"/>
  <c r="CU3712" i="1"/>
  <c r="X3712" i="1" s="1"/>
  <c r="CU3701" i="1"/>
  <c r="X3701" i="1" s="1"/>
  <c r="CU3706" i="1"/>
  <c r="X3706" i="1" s="1"/>
  <c r="AD3706" i="1" s="1"/>
  <c r="CU3710" i="1"/>
  <c r="X3710" i="1" s="1"/>
  <c r="CU3702" i="1"/>
  <c r="X3702" i="1" s="1"/>
  <c r="CU3708" i="1"/>
  <c r="X3708" i="1" s="1"/>
  <c r="CU3714" i="1"/>
  <c r="X3714" i="1" s="1"/>
  <c r="CU3709" i="1"/>
  <c r="X3709" i="1" s="1"/>
  <c r="AD3708" i="1" l="1"/>
  <c r="AD3701" i="1"/>
  <c r="AD3710" i="1"/>
  <c r="AD3734" i="1"/>
  <c r="AD3714" i="1"/>
  <c r="AD3707" i="1"/>
  <c r="AD3705" i="1"/>
  <c r="AD3709" i="1"/>
  <c r="AD3702" i="1"/>
  <c r="AD3654" i="1"/>
  <c r="AD3712" i="1"/>
  <c r="AD3711" i="1"/>
  <c r="CY808" i="1"/>
  <c r="DE677" i="1"/>
  <c r="DC3751" i="1"/>
  <c r="DA3751" i="1"/>
  <c r="CY3751" i="1"/>
  <c r="Y3751" i="1" s="1"/>
  <c r="CW3751" i="1"/>
  <c r="AA3751" i="1" s="1"/>
  <c r="CR3751" i="1"/>
  <c r="CP3751" i="1"/>
  <c r="CN3751" i="1"/>
  <c r="CJ3751" i="1"/>
  <c r="CH3751" i="1"/>
  <c r="CF3751" i="1"/>
  <c r="BL3751" i="1"/>
  <c r="BD3751" i="1"/>
  <c r="AZ3751" i="1"/>
  <c r="AX3751" i="1"/>
  <c r="DC3700" i="1"/>
  <c r="DA3700" i="1"/>
  <c r="CY3700" i="1"/>
  <c r="Y3700" i="1" s="1"/>
  <c r="CW3700" i="1"/>
  <c r="AA3700" i="1" s="1"/>
  <c r="CR3700" i="1"/>
  <c r="CP3700" i="1"/>
  <c r="CN3700" i="1"/>
  <c r="CJ3700" i="1"/>
  <c r="CH3700" i="1"/>
  <c r="CF3700" i="1"/>
  <c r="BL3700" i="1"/>
  <c r="BD3700" i="1"/>
  <c r="AZ3700" i="1"/>
  <c r="AX3700" i="1"/>
  <c r="DC3699" i="1"/>
  <c r="DA3699" i="1"/>
  <c r="CY3699" i="1"/>
  <c r="Y3699" i="1" s="1"/>
  <c r="CW3699" i="1"/>
  <c r="AA3699" i="1" s="1"/>
  <c r="CR3699" i="1"/>
  <c r="CP3699" i="1"/>
  <c r="CN3699" i="1"/>
  <c r="CJ3699" i="1"/>
  <c r="CH3699" i="1"/>
  <c r="CF3699" i="1"/>
  <c r="BL3699" i="1"/>
  <c r="BD3699" i="1"/>
  <c r="AZ3699" i="1"/>
  <c r="AX3699" i="1"/>
  <c r="DC3413" i="1"/>
  <c r="DA3413" i="1"/>
  <c r="CY3413" i="1"/>
  <c r="Y3413" i="1" s="1"/>
  <c r="CW3413" i="1"/>
  <c r="AA3413" i="1" s="1"/>
  <c r="CR3413" i="1"/>
  <c r="CP3413" i="1"/>
  <c r="CN3413" i="1"/>
  <c r="CJ3413" i="1"/>
  <c r="CH3413" i="1"/>
  <c r="CF3413" i="1"/>
  <c r="BL3413" i="1"/>
  <c r="BD3413" i="1"/>
  <c r="AZ3413" i="1"/>
  <c r="AX3413" i="1"/>
  <c r="DC3704" i="1"/>
  <c r="DA3704" i="1"/>
  <c r="CY3704" i="1"/>
  <c r="Y3704" i="1" s="1"/>
  <c r="CW3704" i="1"/>
  <c r="AA3704" i="1" s="1"/>
  <c r="CR3704" i="1"/>
  <c r="CP3704" i="1"/>
  <c r="CN3704" i="1"/>
  <c r="CJ3704" i="1"/>
  <c r="CH3704" i="1"/>
  <c r="CF3704" i="1"/>
  <c r="BL3704" i="1"/>
  <c r="BD3704" i="1"/>
  <c r="AZ3704" i="1"/>
  <c r="AX3704" i="1"/>
  <c r="DA3644" i="1"/>
  <c r="CY3644" i="1"/>
  <c r="Y3644" i="1" s="1"/>
  <c r="CW3644" i="1"/>
  <c r="AA3644" i="1" s="1"/>
  <c r="CR3644" i="1"/>
  <c r="CP3644" i="1"/>
  <c r="CN3644" i="1"/>
  <c r="CJ3644" i="1"/>
  <c r="CH3644" i="1"/>
  <c r="CF3644" i="1"/>
  <c r="BL3644" i="1"/>
  <c r="BD3644" i="1"/>
  <c r="AZ3644" i="1"/>
  <c r="AX3644" i="1"/>
  <c r="DC3472" i="1"/>
  <c r="DA3472" i="1"/>
  <c r="CY3472" i="1"/>
  <c r="Y3472" i="1" s="1"/>
  <c r="CW3472" i="1"/>
  <c r="AA3472" i="1" s="1"/>
  <c r="CR3472" i="1"/>
  <c r="CP3472" i="1"/>
  <c r="CN3472" i="1"/>
  <c r="CJ3472" i="1"/>
  <c r="CH3472" i="1"/>
  <c r="CF3472" i="1"/>
  <c r="BL3472" i="1"/>
  <c r="BD3472" i="1"/>
  <c r="AZ3472" i="1"/>
  <c r="AX3472" i="1"/>
  <c r="DC3680" i="1"/>
  <c r="DA3680" i="1"/>
  <c r="CY3680" i="1"/>
  <c r="Y3680" i="1" s="1"/>
  <c r="CW3680" i="1"/>
  <c r="AA3680" i="1" s="1"/>
  <c r="CR3680" i="1"/>
  <c r="CP3680" i="1"/>
  <c r="CN3680" i="1"/>
  <c r="CJ3680" i="1"/>
  <c r="CH3680" i="1"/>
  <c r="CF3680" i="1"/>
  <c r="BL3680" i="1"/>
  <c r="BD3680" i="1"/>
  <c r="AZ3680" i="1"/>
  <c r="AX3680" i="1"/>
  <c r="DC3695" i="1"/>
  <c r="DA3695" i="1"/>
  <c r="CY3695" i="1"/>
  <c r="Y3695" i="1" s="1"/>
  <c r="CW3695" i="1"/>
  <c r="AA3695" i="1" s="1"/>
  <c r="CR3695" i="1"/>
  <c r="CP3695" i="1"/>
  <c r="CN3695" i="1"/>
  <c r="CJ3695" i="1"/>
  <c r="CH3695" i="1"/>
  <c r="CF3695" i="1"/>
  <c r="BL3695" i="1"/>
  <c r="BD3695" i="1"/>
  <c r="AZ3695" i="1"/>
  <c r="AX3695" i="1"/>
  <c r="DC3694" i="1"/>
  <c r="DA3694" i="1"/>
  <c r="CY3694" i="1"/>
  <c r="Y3694" i="1" s="1"/>
  <c r="CW3694" i="1"/>
  <c r="AA3694" i="1" s="1"/>
  <c r="CR3694" i="1"/>
  <c r="CP3694" i="1"/>
  <c r="CN3694" i="1"/>
  <c r="CJ3694" i="1"/>
  <c r="CH3694" i="1"/>
  <c r="CF3694" i="1"/>
  <c r="BL3694" i="1"/>
  <c r="BD3694" i="1"/>
  <c r="AZ3694" i="1"/>
  <c r="AX3694" i="1"/>
  <c r="DC3693" i="1"/>
  <c r="DA3693" i="1"/>
  <c r="CY3693" i="1"/>
  <c r="Y3693" i="1" s="1"/>
  <c r="CW3693" i="1"/>
  <c r="AA3693" i="1" s="1"/>
  <c r="CR3693" i="1"/>
  <c r="CP3693" i="1"/>
  <c r="CN3693" i="1"/>
  <c r="CJ3693" i="1"/>
  <c r="CH3693" i="1"/>
  <c r="CF3693" i="1"/>
  <c r="BL3693" i="1"/>
  <c r="BD3693" i="1"/>
  <c r="AZ3693" i="1"/>
  <c r="AX3693" i="1"/>
  <c r="DC3679" i="1"/>
  <c r="DA3679" i="1"/>
  <c r="CY3679" i="1"/>
  <c r="Y3679" i="1" s="1"/>
  <c r="CW3679" i="1"/>
  <c r="AA3679" i="1" s="1"/>
  <c r="CR3679" i="1"/>
  <c r="CP3679" i="1"/>
  <c r="CN3679" i="1"/>
  <c r="CJ3679" i="1"/>
  <c r="CH3679" i="1"/>
  <c r="CF3679" i="1"/>
  <c r="BL3679" i="1"/>
  <c r="BD3679" i="1"/>
  <c r="AZ3679" i="1"/>
  <c r="AX3679" i="1"/>
  <c r="DC3692" i="1"/>
  <c r="DA3692" i="1"/>
  <c r="CY3692" i="1"/>
  <c r="Y3692" i="1" s="1"/>
  <c r="CW3692" i="1"/>
  <c r="AA3692" i="1" s="1"/>
  <c r="CR3692" i="1"/>
  <c r="CP3692" i="1"/>
  <c r="CN3692" i="1"/>
  <c r="CJ3692" i="1"/>
  <c r="CH3692" i="1"/>
  <c r="CF3692" i="1"/>
  <c r="BL3692" i="1"/>
  <c r="BD3692" i="1"/>
  <c r="AZ3692" i="1"/>
  <c r="AX3692" i="1"/>
  <c r="DC3678" i="1"/>
  <c r="DA3678" i="1"/>
  <c r="CY3678" i="1"/>
  <c r="Y3678" i="1" s="1"/>
  <c r="CW3678" i="1"/>
  <c r="AA3678" i="1" s="1"/>
  <c r="CR3678" i="1"/>
  <c r="CP3678" i="1"/>
  <c r="CN3678" i="1"/>
  <c r="CJ3678" i="1"/>
  <c r="CH3678" i="1"/>
  <c r="CF3678" i="1"/>
  <c r="BL3678" i="1"/>
  <c r="BD3678" i="1"/>
  <c r="AZ3678" i="1"/>
  <c r="AX3678" i="1"/>
  <c r="DC3677" i="1"/>
  <c r="DA3677" i="1"/>
  <c r="CY3677" i="1"/>
  <c r="Y3677" i="1" s="1"/>
  <c r="CW3677" i="1"/>
  <c r="AA3677" i="1" s="1"/>
  <c r="CR3677" i="1"/>
  <c r="CP3677" i="1"/>
  <c r="CN3677" i="1"/>
  <c r="CJ3677" i="1"/>
  <c r="CH3677" i="1"/>
  <c r="CF3677" i="1"/>
  <c r="BL3677" i="1"/>
  <c r="BD3677" i="1"/>
  <c r="AZ3677" i="1"/>
  <c r="AX3677" i="1"/>
  <c r="Z3700" i="1" l="1"/>
  <c r="Z3704" i="1"/>
  <c r="Z3699" i="1"/>
  <c r="Z3472" i="1"/>
  <c r="Z3644" i="1"/>
  <c r="Z3413" i="1"/>
  <c r="CU3751" i="1"/>
  <c r="X3751" i="1" s="1"/>
  <c r="Z3751" i="1"/>
  <c r="CU3704" i="1"/>
  <c r="X3704" i="1" s="1"/>
  <c r="CU3699" i="1"/>
  <c r="X3699" i="1" s="1"/>
  <c r="CU3472" i="1"/>
  <c r="X3472" i="1" s="1"/>
  <c r="CU3700" i="1"/>
  <c r="X3700" i="1" s="1"/>
  <c r="CU3644" i="1"/>
  <c r="X3644" i="1" s="1"/>
  <c r="CU3413" i="1"/>
  <c r="X3413" i="1" s="1"/>
  <c r="Z3677" i="1"/>
  <c r="Z3678" i="1"/>
  <c r="Z3680" i="1"/>
  <c r="CU3679" i="1"/>
  <c r="X3679" i="1" s="1"/>
  <c r="Z3679" i="1"/>
  <c r="Z3693" i="1"/>
  <c r="Z3694" i="1"/>
  <c r="Z3692" i="1"/>
  <c r="Z3695" i="1"/>
  <c r="CU3680" i="1"/>
  <c r="X3680" i="1" s="1"/>
  <c r="CU3677" i="1"/>
  <c r="X3677" i="1" s="1"/>
  <c r="CU3693" i="1"/>
  <c r="X3693" i="1" s="1"/>
  <c r="CU3694" i="1"/>
  <c r="X3694" i="1" s="1"/>
  <c r="CU3678" i="1"/>
  <c r="X3678" i="1" s="1"/>
  <c r="AD3678" i="1" s="1"/>
  <c r="CU3692" i="1"/>
  <c r="X3692" i="1" s="1"/>
  <c r="CU3695" i="1"/>
  <c r="X3695" i="1" s="1"/>
  <c r="CY3234" i="1"/>
  <c r="CP3234" i="1"/>
  <c r="CY2953" i="1"/>
  <c r="DE2822" i="1"/>
  <c r="DC3787" i="1"/>
  <c r="DA3787" i="1"/>
  <c r="CY3787" i="1"/>
  <c r="Y3787" i="1" s="1"/>
  <c r="CW3787" i="1"/>
  <c r="AA3787" i="1" s="1"/>
  <c r="CR3787" i="1"/>
  <c r="CP3787" i="1"/>
  <c r="CN3787" i="1"/>
  <c r="CJ3787" i="1"/>
  <c r="CH3787" i="1"/>
  <c r="CF3787" i="1"/>
  <c r="BL3787" i="1"/>
  <c r="BD3787" i="1"/>
  <c r="AZ3787" i="1"/>
  <c r="AX3787" i="1"/>
  <c r="DC3698" i="1"/>
  <c r="DA3698" i="1"/>
  <c r="CY3698" i="1"/>
  <c r="Y3698" i="1" s="1"/>
  <c r="CW3698" i="1"/>
  <c r="AA3698" i="1" s="1"/>
  <c r="CR3698" i="1"/>
  <c r="CP3698" i="1"/>
  <c r="CN3698" i="1"/>
  <c r="CJ3698" i="1"/>
  <c r="CH3698" i="1"/>
  <c r="CF3698" i="1"/>
  <c r="BL3698" i="1"/>
  <c r="BD3698" i="1"/>
  <c r="AZ3698" i="1"/>
  <c r="AX3698" i="1"/>
  <c r="DC3697" i="1"/>
  <c r="DA3697" i="1"/>
  <c r="CY3697" i="1"/>
  <c r="Y3697" i="1" s="1"/>
  <c r="CW3697" i="1"/>
  <c r="AA3697" i="1" s="1"/>
  <c r="CR3697" i="1"/>
  <c r="CP3697" i="1"/>
  <c r="CN3697" i="1"/>
  <c r="CJ3697" i="1"/>
  <c r="CH3697" i="1"/>
  <c r="CF3697" i="1"/>
  <c r="BL3697" i="1"/>
  <c r="BD3697" i="1"/>
  <c r="AZ3697" i="1"/>
  <c r="AX3697" i="1"/>
  <c r="DC3696" i="1"/>
  <c r="DA3696" i="1"/>
  <c r="CY3696" i="1"/>
  <c r="Y3696" i="1" s="1"/>
  <c r="CW3696" i="1"/>
  <c r="AA3696" i="1" s="1"/>
  <c r="CR3696" i="1"/>
  <c r="CP3696" i="1"/>
  <c r="CN3696" i="1"/>
  <c r="CJ3696" i="1"/>
  <c r="CH3696" i="1"/>
  <c r="CF3696" i="1"/>
  <c r="BL3696" i="1"/>
  <c r="BD3696" i="1"/>
  <c r="AZ3696" i="1"/>
  <c r="AX3696" i="1"/>
  <c r="DC3684" i="1"/>
  <c r="DA3684" i="1"/>
  <c r="CY3684" i="1"/>
  <c r="Y3684" i="1" s="1"/>
  <c r="CW3684" i="1"/>
  <c r="AA3684" i="1" s="1"/>
  <c r="CR3684" i="1"/>
  <c r="CP3684" i="1"/>
  <c r="CN3684" i="1"/>
  <c r="CJ3684" i="1"/>
  <c r="CH3684" i="1"/>
  <c r="CF3684" i="1"/>
  <c r="BL3684" i="1"/>
  <c r="BD3684" i="1"/>
  <c r="AZ3684" i="1"/>
  <c r="AX3684" i="1"/>
  <c r="DC3683" i="1"/>
  <c r="DA3683" i="1"/>
  <c r="CY3683" i="1"/>
  <c r="Y3683" i="1" s="1"/>
  <c r="CW3683" i="1"/>
  <c r="AA3683" i="1" s="1"/>
  <c r="CR3683" i="1"/>
  <c r="CP3683" i="1"/>
  <c r="CN3683" i="1"/>
  <c r="CJ3683" i="1"/>
  <c r="CH3683" i="1"/>
  <c r="CF3683" i="1"/>
  <c r="BL3683" i="1"/>
  <c r="BD3683" i="1"/>
  <c r="AZ3683" i="1"/>
  <c r="AX3683" i="1"/>
  <c r="DC3682" i="1"/>
  <c r="DA3682" i="1"/>
  <c r="CY3682" i="1"/>
  <c r="Y3682" i="1" s="1"/>
  <c r="CW3682" i="1"/>
  <c r="AA3682" i="1" s="1"/>
  <c r="CR3682" i="1"/>
  <c r="CP3682" i="1"/>
  <c r="CN3682" i="1"/>
  <c r="CJ3682" i="1"/>
  <c r="CH3682" i="1"/>
  <c r="CF3682" i="1"/>
  <c r="BL3682" i="1"/>
  <c r="BD3682" i="1"/>
  <c r="AZ3682" i="1"/>
  <c r="AX3682" i="1"/>
  <c r="DC3676" i="1"/>
  <c r="DA3676" i="1"/>
  <c r="CY3676" i="1"/>
  <c r="Y3676" i="1" s="1"/>
  <c r="CW3676" i="1"/>
  <c r="AA3676" i="1" s="1"/>
  <c r="CR3676" i="1"/>
  <c r="CP3676" i="1"/>
  <c r="CN3676" i="1"/>
  <c r="CJ3676" i="1"/>
  <c r="CH3676" i="1"/>
  <c r="CF3676" i="1"/>
  <c r="BL3676" i="1"/>
  <c r="BD3676" i="1"/>
  <c r="AZ3676" i="1"/>
  <c r="AX3676" i="1"/>
  <c r="DC3326" i="1"/>
  <c r="DA3326" i="1"/>
  <c r="CY3326" i="1"/>
  <c r="Y3326" i="1" s="1"/>
  <c r="CW3326" i="1"/>
  <c r="AA3326" i="1" s="1"/>
  <c r="CR3326" i="1"/>
  <c r="CP3326" i="1"/>
  <c r="CN3326" i="1"/>
  <c r="CJ3326" i="1"/>
  <c r="CH3326" i="1"/>
  <c r="CF3326" i="1"/>
  <c r="BL3326" i="1"/>
  <c r="BD3326" i="1"/>
  <c r="AZ3326" i="1"/>
  <c r="AX3326" i="1"/>
  <c r="DC3675" i="1"/>
  <c r="DA3675" i="1"/>
  <c r="CY3675" i="1"/>
  <c r="Y3675" i="1" s="1"/>
  <c r="CW3675" i="1"/>
  <c r="AA3675" i="1" s="1"/>
  <c r="CR3675" i="1"/>
  <c r="CP3675" i="1"/>
  <c r="CN3675" i="1"/>
  <c r="CJ3675" i="1"/>
  <c r="CH3675" i="1"/>
  <c r="CF3675" i="1"/>
  <c r="BL3675" i="1"/>
  <c r="BD3675" i="1"/>
  <c r="AZ3675" i="1"/>
  <c r="AX3675" i="1"/>
  <c r="DC3653" i="1"/>
  <c r="DA3653" i="1"/>
  <c r="CY3653" i="1"/>
  <c r="Y3653" i="1" s="1"/>
  <c r="CW3653" i="1"/>
  <c r="AA3653" i="1" s="1"/>
  <c r="CR3653" i="1"/>
  <c r="CP3653" i="1"/>
  <c r="CN3653" i="1"/>
  <c r="CJ3653" i="1"/>
  <c r="CH3653" i="1"/>
  <c r="CF3653" i="1"/>
  <c r="BL3653" i="1"/>
  <c r="BD3653" i="1"/>
  <c r="AZ3653" i="1"/>
  <c r="AX3653" i="1"/>
  <c r="DC3674" i="1"/>
  <c r="DA3674" i="1"/>
  <c r="CY3674" i="1"/>
  <c r="Y3674" i="1" s="1"/>
  <c r="CW3674" i="1"/>
  <c r="AA3674" i="1" s="1"/>
  <c r="CR3674" i="1"/>
  <c r="CP3674" i="1"/>
  <c r="CN3674" i="1"/>
  <c r="CJ3674" i="1"/>
  <c r="CH3674" i="1"/>
  <c r="CF3674" i="1"/>
  <c r="BL3674" i="1"/>
  <c r="BD3674" i="1"/>
  <c r="AZ3674" i="1"/>
  <c r="AX3674" i="1"/>
  <c r="DC3663" i="1"/>
  <c r="DA3663" i="1"/>
  <c r="CY3663" i="1"/>
  <c r="Y3663" i="1" s="1"/>
  <c r="CW3663" i="1"/>
  <c r="AA3663" i="1" s="1"/>
  <c r="CR3663" i="1"/>
  <c r="CP3663" i="1"/>
  <c r="CN3663" i="1"/>
  <c r="CJ3663" i="1"/>
  <c r="CH3663" i="1"/>
  <c r="CF3663" i="1"/>
  <c r="BL3663" i="1"/>
  <c r="BD3663" i="1"/>
  <c r="AZ3663" i="1"/>
  <c r="AX3663" i="1"/>
  <c r="DC3673" i="1"/>
  <c r="DA3673" i="1"/>
  <c r="CY3673" i="1"/>
  <c r="Y3673" i="1" s="1"/>
  <c r="CW3673" i="1"/>
  <c r="AA3673" i="1" s="1"/>
  <c r="CR3673" i="1"/>
  <c r="CP3673" i="1"/>
  <c r="CN3673" i="1"/>
  <c r="CJ3673" i="1"/>
  <c r="CH3673" i="1"/>
  <c r="CF3673" i="1"/>
  <c r="BL3673" i="1"/>
  <c r="BD3673" i="1"/>
  <c r="AZ3673" i="1"/>
  <c r="AX3673" i="1"/>
  <c r="DC3665" i="1"/>
  <c r="DA3665" i="1"/>
  <c r="CY3665" i="1"/>
  <c r="Y3665" i="1" s="1"/>
  <c r="CW3665" i="1"/>
  <c r="AA3665" i="1" s="1"/>
  <c r="CR3665" i="1"/>
  <c r="CP3665" i="1"/>
  <c r="CN3665" i="1"/>
  <c r="CJ3665" i="1"/>
  <c r="CH3665" i="1"/>
  <c r="CF3665" i="1"/>
  <c r="BL3665" i="1"/>
  <c r="BD3665" i="1"/>
  <c r="AZ3665" i="1"/>
  <c r="AX3665" i="1"/>
  <c r="AD3700" i="1" l="1"/>
  <c r="AD3472" i="1"/>
  <c r="AD3699" i="1"/>
  <c r="AD3704" i="1"/>
  <c r="AD3644" i="1"/>
  <c r="AD3751" i="1"/>
  <c r="AD3413" i="1"/>
  <c r="AD3680" i="1"/>
  <c r="AD3677" i="1"/>
  <c r="AD3695" i="1"/>
  <c r="AD3693" i="1"/>
  <c r="AD3679" i="1"/>
  <c r="AD3694" i="1"/>
  <c r="AD3692" i="1"/>
  <c r="Z3697" i="1"/>
  <c r="Z3787" i="1"/>
  <c r="Z3698" i="1"/>
  <c r="CU3697" i="1"/>
  <c r="X3697" i="1" s="1"/>
  <c r="CU3787" i="1"/>
  <c r="X3787" i="1" s="1"/>
  <c r="Z3696" i="1"/>
  <c r="CU3696" i="1"/>
  <c r="X3696" i="1" s="1"/>
  <c r="CU3698" i="1"/>
  <c r="X3698" i="1" s="1"/>
  <c r="Z3676" i="1"/>
  <c r="Z3684" i="1"/>
  <c r="Z3665" i="1"/>
  <c r="Z3674" i="1"/>
  <c r="Z3326" i="1"/>
  <c r="Z3683" i="1"/>
  <c r="Z3653" i="1"/>
  <c r="CU3682" i="1"/>
  <c r="X3682" i="1" s="1"/>
  <c r="Z3675" i="1"/>
  <c r="Z3673" i="1"/>
  <c r="CU3663" i="1"/>
  <c r="X3663" i="1" s="1"/>
  <c r="Z3663" i="1"/>
  <c r="Z3682" i="1"/>
  <c r="CU3683" i="1"/>
  <c r="X3683" i="1" s="1"/>
  <c r="CU3673" i="1"/>
  <c r="X3673" i="1" s="1"/>
  <c r="CU3675" i="1"/>
  <c r="X3675" i="1" s="1"/>
  <c r="CU3676" i="1"/>
  <c r="X3676" i="1" s="1"/>
  <c r="CU3665" i="1"/>
  <c r="X3665" i="1" s="1"/>
  <c r="CU3674" i="1"/>
  <c r="X3674" i="1" s="1"/>
  <c r="CU3684" i="1"/>
  <c r="X3684" i="1" s="1"/>
  <c r="CU3653" i="1"/>
  <c r="X3653" i="1" s="1"/>
  <c r="CU3326" i="1"/>
  <c r="X3326" i="1" s="1"/>
  <c r="DC3662" i="1"/>
  <c r="DA3662" i="1"/>
  <c r="CY3662" i="1"/>
  <c r="Y3662" i="1" s="1"/>
  <c r="CW3662" i="1"/>
  <c r="AA3662" i="1" s="1"/>
  <c r="CR3662" i="1"/>
  <c r="CP3662" i="1"/>
  <c r="CN3662" i="1"/>
  <c r="CJ3662" i="1"/>
  <c r="CH3662" i="1"/>
  <c r="CF3662" i="1"/>
  <c r="BL3662" i="1"/>
  <c r="BD3662" i="1"/>
  <c r="AZ3662" i="1"/>
  <c r="AX3662" i="1"/>
  <c r="DC3670" i="1"/>
  <c r="DA3670" i="1"/>
  <c r="CY3670" i="1"/>
  <c r="Y3670" i="1" s="1"/>
  <c r="CW3670" i="1"/>
  <c r="AA3670" i="1" s="1"/>
  <c r="CR3670" i="1"/>
  <c r="CP3670" i="1"/>
  <c r="CN3670" i="1"/>
  <c r="CJ3670" i="1"/>
  <c r="CH3670" i="1"/>
  <c r="CF3670" i="1"/>
  <c r="BL3670" i="1"/>
  <c r="BD3670" i="1"/>
  <c r="AZ3670" i="1"/>
  <c r="AX3670" i="1"/>
  <c r="DC3661" i="1"/>
  <c r="DA3661" i="1"/>
  <c r="CY3661" i="1"/>
  <c r="Y3661" i="1" s="1"/>
  <c r="CW3661" i="1"/>
  <c r="AA3661" i="1" s="1"/>
  <c r="CR3661" i="1"/>
  <c r="CP3661" i="1"/>
  <c r="CN3661" i="1"/>
  <c r="CJ3661" i="1"/>
  <c r="CH3661" i="1"/>
  <c r="CF3661" i="1"/>
  <c r="BL3661" i="1"/>
  <c r="BD3661" i="1"/>
  <c r="AZ3661" i="1"/>
  <c r="AX3661" i="1"/>
  <c r="DC3669" i="1"/>
  <c r="DA3669" i="1"/>
  <c r="CY3669" i="1"/>
  <c r="Y3669" i="1" s="1"/>
  <c r="CW3669" i="1"/>
  <c r="AA3669" i="1" s="1"/>
  <c r="CR3669" i="1"/>
  <c r="CP3669" i="1"/>
  <c r="CN3669" i="1"/>
  <c r="CJ3669" i="1"/>
  <c r="CH3669" i="1"/>
  <c r="CF3669" i="1"/>
  <c r="BL3669" i="1"/>
  <c r="BD3669" i="1"/>
  <c r="AZ3669" i="1"/>
  <c r="AX3669" i="1"/>
  <c r="DC3668" i="1"/>
  <c r="DA3668" i="1"/>
  <c r="CY3668" i="1"/>
  <c r="Y3668" i="1" s="1"/>
  <c r="CW3668" i="1"/>
  <c r="AA3668" i="1" s="1"/>
  <c r="CR3668" i="1"/>
  <c r="CP3668" i="1"/>
  <c r="CN3668" i="1"/>
  <c r="CJ3668" i="1"/>
  <c r="CH3668" i="1"/>
  <c r="CF3668" i="1"/>
  <c r="BL3668" i="1"/>
  <c r="BD3668" i="1"/>
  <c r="AZ3668" i="1"/>
  <c r="AX3668" i="1"/>
  <c r="DC3688" i="1"/>
  <c r="DA3688" i="1"/>
  <c r="CY3688" i="1"/>
  <c r="Y3688" i="1" s="1"/>
  <c r="CW3688" i="1"/>
  <c r="AA3688" i="1" s="1"/>
  <c r="CR3688" i="1"/>
  <c r="CP3688" i="1"/>
  <c r="CN3688" i="1"/>
  <c r="CJ3688" i="1"/>
  <c r="CH3688" i="1"/>
  <c r="CF3688" i="1"/>
  <c r="BL3688" i="1"/>
  <c r="BD3688" i="1"/>
  <c r="AZ3688" i="1"/>
  <c r="AX3688" i="1"/>
  <c r="DC3687" i="1"/>
  <c r="DA3687" i="1"/>
  <c r="CY3687" i="1"/>
  <c r="Y3687" i="1" s="1"/>
  <c r="CW3687" i="1"/>
  <c r="AA3687" i="1" s="1"/>
  <c r="CR3687" i="1"/>
  <c r="CP3687" i="1"/>
  <c r="CN3687" i="1"/>
  <c r="CJ3687" i="1"/>
  <c r="CH3687" i="1"/>
  <c r="CF3687" i="1"/>
  <c r="BL3687" i="1"/>
  <c r="BD3687" i="1"/>
  <c r="AZ3687" i="1"/>
  <c r="AX3687" i="1"/>
  <c r="DC3686" i="1"/>
  <c r="DA3686" i="1"/>
  <c r="CY3686" i="1"/>
  <c r="Y3686" i="1" s="1"/>
  <c r="CW3686" i="1"/>
  <c r="AA3686" i="1" s="1"/>
  <c r="CR3686" i="1"/>
  <c r="CP3686" i="1"/>
  <c r="CN3686" i="1"/>
  <c r="CJ3686" i="1"/>
  <c r="CH3686" i="1"/>
  <c r="CF3686" i="1"/>
  <c r="BL3686" i="1"/>
  <c r="BD3686" i="1"/>
  <c r="AZ3686" i="1"/>
  <c r="AX3686" i="1"/>
  <c r="DC3685" i="1"/>
  <c r="DA3685" i="1"/>
  <c r="CY3685" i="1"/>
  <c r="Y3685" i="1" s="1"/>
  <c r="CW3685" i="1"/>
  <c r="AA3685" i="1" s="1"/>
  <c r="CR3685" i="1"/>
  <c r="CP3685" i="1"/>
  <c r="CN3685" i="1"/>
  <c r="CJ3685" i="1"/>
  <c r="CH3685" i="1"/>
  <c r="CF3685" i="1"/>
  <c r="BL3685" i="1"/>
  <c r="BD3685" i="1"/>
  <c r="AZ3685" i="1"/>
  <c r="AX3685" i="1"/>
  <c r="DA3639" i="1"/>
  <c r="CY3639" i="1"/>
  <c r="Y3639" i="1" s="1"/>
  <c r="CW3639" i="1"/>
  <c r="AA3639" i="1" s="1"/>
  <c r="CR3639" i="1"/>
  <c r="CP3639" i="1"/>
  <c r="CN3639" i="1"/>
  <c r="CJ3639" i="1"/>
  <c r="CH3639" i="1"/>
  <c r="CF3639" i="1"/>
  <c r="BL3639" i="1"/>
  <c r="BD3639" i="1"/>
  <c r="AZ3639" i="1"/>
  <c r="AX3639" i="1"/>
  <c r="DC3672" i="1"/>
  <c r="DA3672" i="1"/>
  <c r="CY3672" i="1"/>
  <c r="Y3672" i="1" s="1"/>
  <c r="CW3672" i="1"/>
  <c r="AA3672" i="1" s="1"/>
  <c r="CR3672" i="1"/>
  <c r="CP3672" i="1"/>
  <c r="CN3672" i="1"/>
  <c r="CJ3672" i="1"/>
  <c r="CH3672" i="1"/>
  <c r="CF3672" i="1"/>
  <c r="BL3672" i="1"/>
  <c r="BD3672" i="1"/>
  <c r="AZ3672" i="1"/>
  <c r="AX3672" i="1"/>
  <c r="DC3671" i="1"/>
  <c r="DA3671" i="1"/>
  <c r="CY3671" i="1"/>
  <c r="Y3671" i="1" s="1"/>
  <c r="CW3671" i="1"/>
  <c r="AA3671" i="1" s="1"/>
  <c r="CR3671" i="1"/>
  <c r="CP3671" i="1"/>
  <c r="CN3671" i="1"/>
  <c r="CJ3671" i="1"/>
  <c r="CH3671" i="1"/>
  <c r="CF3671" i="1"/>
  <c r="BL3671" i="1"/>
  <c r="BD3671" i="1"/>
  <c r="AZ3671" i="1"/>
  <c r="AX3671" i="1"/>
  <c r="AD3787" i="1" l="1"/>
  <c r="AD3696" i="1"/>
  <c r="AD3697" i="1"/>
  <c r="AD3698" i="1"/>
  <c r="AD3673" i="1"/>
  <c r="AD3326" i="1"/>
  <c r="AD3676" i="1"/>
  <c r="AD3682" i="1"/>
  <c r="AD3684" i="1"/>
  <c r="AD3683" i="1"/>
  <c r="AD3653" i="1"/>
  <c r="AD3665" i="1"/>
  <c r="AD3674" i="1"/>
  <c r="AD3675" i="1"/>
  <c r="AD3663" i="1"/>
  <c r="Z3686" i="1"/>
  <c r="Z3669" i="1"/>
  <c r="Z3662" i="1"/>
  <c r="Z3671" i="1"/>
  <c r="Z3688" i="1"/>
  <c r="Z3670" i="1"/>
  <c r="Z3639" i="1"/>
  <c r="CU3639" i="1"/>
  <c r="X3639" i="1" s="1"/>
  <c r="CU3688" i="1"/>
  <c r="X3688" i="1" s="1"/>
  <c r="CU3668" i="1"/>
  <c r="X3668" i="1" s="1"/>
  <c r="Z3668" i="1"/>
  <c r="Z3661" i="1"/>
  <c r="Z3685" i="1"/>
  <c r="CU3669" i="1"/>
  <c r="X3669" i="1" s="1"/>
  <c r="CU3670" i="1"/>
  <c r="X3670" i="1" s="1"/>
  <c r="CU3662" i="1"/>
  <c r="X3662" i="1" s="1"/>
  <c r="Z3672" i="1"/>
  <c r="Z3687" i="1"/>
  <c r="CU3661" i="1"/>
  <c r="X3661" i="1" s="1"/>
  <c r="CU3671" i="1"/>
  <c r="X3671" i="1" s="1"/>
  <c r="CU3686" i="1"/>
  <c r="X3686" i="1" s="1"/>
  <c r="CU3672" i="1"/>
  <c r="X3672" i="1" s="1"/>
  <c r="CU3687" i="1"/>
  <c r="X3687" i="1" s="1"/>
  <c r="CU3685" i="1"/>
  <c r="X3685" i="1" s="1"/>
  <c r="I3501" i="1"/>
  <c r="J3501" i="1"/>
  <c r="AD3686" i="1" l="1"/>
  <c r="AD3688" i="1"/>
  <c r="AD3661" i="1"/>
  <c r="AD3670" i="1"/>
  <c r="AD3669" i="1"/>
  <c r="AD3639" i="1"/>
  <c r="AD3671" i="1"/>
  <c r="AD3662" i="1"/>
  <c r="AD3668" i="1"/>
  <c r="AD3685" i="1"/>
  <c r="AD3672" i="1"/>
  <c r="AD3687" i="1"/>
  <c r="DC3689" i="1" l="1"/>
  <c r="DA3689" i="1"/>
  <c r="CY3689" i="1"/>
  <c r="Y3689" i="1" s="1"/>
  <c r="CW3689" i="1"/>
  <c r="AA3689" i="1" s="1"/>
  <c r="CR3689" i="1"/>
  <c r="CP3689" i="1"/>
  <c r="CN3689" i="1"/>
  <c r="CJ3689" i="1"/>
  <c r="CH3689" i="1"/>
  <c r="CF3689" i="1"/>
  <c r="BL3689" i="1"/>
  <c r="BD3689" i="1"/>
  <c r="AZ3689" i="1"/>
  <c r="AX3689" i="1"/>
  <c r="DC3652" i="1"/>
  <c r="DA3652" i="1"/>
  <c r="CY3652" i="1"/>
  <c r="Y3652" i="1" s="1"/>
  <c r="CW3652" i="1"/>
  <c r="AA3652" i="1" s="1"/>
  <c r="CR3652" i="1"/>
  <c r="CP3652" i="1"/>
  <c r="CN3652" i="1"/>
  <c r="CJ3652" i="1"/>
  <c r="CH3652" i="1"/>
  <c r="CF3652" i="1"/>
  <c r="BL3652" i="1"/>
  <c r="BD3652" i="1"/>
  <c r="AZ3652" i="1"/>
  <c r="AX3652" i="1"/>
  <c r="DC3660" i="1"/>
  <c r="DA3660" i="1"/>
  <c r="CY3660" i="1"/>
  <c r="Y3660" i="1" s="1"/>
  <c r="CW3660" i="1"/>
  <c r="AA3660" i="1" s="1"/>
  <c r="CR3660" i="1"/>
  <c r="CP3660" i="1"/>
  <c r="CN3660" i="1"/>
  <c r="CJ3660" i="1"/>
  <c r="CH3660" i="1"/>
  <c r="CF3660" i="1"/>
  <c r="BL3660" i="1"/>
  <c r="BD3660" i="1"/>
  <c r="AZ3660" i="1"/>
  <c r="AX3660" i="1"/>
  <c r="DC3659" i="1"/>
  <c r="DA3659" i="1"/>
  <c r="CY3659" i="1"/>
  <c r="Y3659" i="1" s="1"/>
  <c r="CW3659" i="1"/>
  <c r="AA3659" i="1" s="1"/>
  <c r="CR3659" i="1"/>
  <c r="CP3659" i="1"/>
  <c r="CN3659" i="1"/>
  <c r="CJ3659" i="1"/>
  <c r="CH3659" i="1"/>
  <c r="CF3659" i="1"/>
  <c r="BL3659" i="1"/>
  <c r="BD3659" i="1"/>
  <c r="AZ3659" i="1"/>
  <c r="AX3659" i="1"/>
  <c r="DC3658" i="1"/>
  <c r="DA3658" i="1"/>
  <c r="CY3658" i="1"/>
  <c r="Y3658" i="1" s="1"/>
  <c r="CW3658" i="1"/>
  <c r="AA3658" i="1" s="1"/>
  <c r="CR3658" i="1"/>
  <c r="CP3658" i="1"/>
  <c r="CN3658" i="1"/>
  <c r="CJ3658" i="1"/>
  <c r="CH3658" i="1"/>
  <c r="CF3658" i="1"/>
  <c r="BL3658" i="1"/>
  <c r="BD3658" i="1"/>
  <c r="AZ3658" i="1"/>
  <c r="AX3658" i="1"/>
  <c r="DC3657" i="1"/>
  <c r="DA3657" i="1"/>
  <c r="CY3657" i="1"/>
  <c r="Y3657" i="1" s="1"/>
  <c r="CW3657" i="1"/>
  <c r="AA3657" i="1" s="1"/>
  <c r="CR3657" i="1"/>
  <c r="CP3657" i="1"/>
  <c r="CN3657" i="1"/>
  <c r="CJ3657" i="1"/>
  <c r="CH3657" i="1"/>
  <c r="CF3657" i="1"/>
  <c r="BL3657" i="1"/>
  <c r="BD3657" i="1"/>
  <c r="AZ3657" i="1"/>
  <c r="AX3657" i="1"/>
  <c r="DC3656" i="1"/>
  <c r="DA3656" i="1"/>
  <c r="CY3656" i="1"/>
  <c r="Y3656" i="1" s="1"/>
  <c r="CW3656" i="1"/>
  <c r="AA3656" i="1" s="1"/>
  <c r="CR3656" i="1"/>
  <c r="CP3656" i="1"/>
  <c r="CN3656" i="1"/>
  <c r="CJ3656" i="1"/>
  <c r="CH3656" i="1"/>
  <c r="CF3656" i="1"/>
  <c r="BL3656" i="1"/>
  <c r="BD3656" i="1"/>
  <c r="AZ3656" i="1"/>
  <c r="AX3656" i="1"/>
  <c r="DC3651" i="1"/>
  <c r="DA3651" i="1"/>
  <c r="CY3651" i="1"/>
  <c r="Y3651" i="1" s="1"/>
  <c r="CW3651" i="1"/>
  <c r="AA3651" i="1" s="1"/>
  <c r="CR3651" i="1"/>
  <c r="CP3651" i="1"/>
  <c r="CN3651" i="1"/>
  <c r="CJ3651" i="1"/>
  <c r="CH3651" i="1"/>
  <c r="CF3651" i="1"/>
  <c r="BL3651" i="1"/>
  <c r="BD3651" i="1"/>
  <c r="AZ3651" i="1"/>
  <c r="AX3651" i="1"/>
  <c r="DC3655" i="1"/>
  <c r="DA3655" i="1"/>
  <c r="CY3655" i="1"/>
  <c r="Y3655" i="1" s="1"/>
  <c r="CW3655" i="1"/>
  <c r="AA3655" i="1" s="1"/>
  <c r="CR3655" i="1"/>
  <c r="CP3655" i="1"/>
  <c r="CN3655" i="1"/>
  <c r="CJ3655" i="1"/>
  <c r="CH3655" i="1"/>
  <c r="CF3655" i="1"/>
  <c r="BL3655" i="1"/>
  <c r="BD3655" i="1"/>
  <c r="AZ3655" i="1"/>
  <c r="AX3655" i="1"/>
  <c r="DC3650" i="1"/>
  <c r="DA3650" i="1"/>
  <c r="CY3650" i="1"/>
  <c r="Y3650" i="1" s="1"/>
  <c r="CW3650" i="1"/>
  <c r="AA3650" i="1" s="1"/>
  <c r="CR3650" i="1"/>
  <c r="CP3650" i="1"/>
  <c r="CN3650" i="1"/>
  <c r="CJ3650" i="1"/>
  <c r="CH3650" i="1"/>
  <c r="CF3650" i="1"/>
  <c r="BL3650" i="1"/>
  <c r="BD3650" i="1"/>
  <c r="AZ3650" i="1"/>
  <c r="AX3650" i="1"/>
  <c r="DC3649" i="1"/>
  <c r="DA3649" i="1"/>
  <c r="CY3649" i="1"/>
  <c r="Y3649" i="1" s="1"/>
  <c r="CW3649" i="1"/>
  <c r="AA3649" i="1" s="1"/>
  <c r="CR3649" i="1"/>
  <c r="CP3649" i="1"/>
  <c r="CN3649" i="1"/>
  <c r="CJ3649" i="1"/>
  <c r="CH3649" i="1"/>
  <c r="CF3649" i="1"/>
  <c r="BL3649" i="1"/>
  <c r="BD3649" i="1"/>
  <c r="AZ3649" i="1"/>
  <c r="AX3649" i="1"/>
  <c r="DC3648" i="1"/>
  <c r="DA3648" i="1"/>
  <c r="CY3648" i="1"/>
  <c r="Y3648" i="1" s="1"/>
  <c r="CW3648" i="1"/>
  <c r="AA3648" i="1" s="1"/>
  <c r="CR3648" i="1"/>
  <c r="CP3648" i="1"/>
  <c r="CN3648" i="1"/>
  <c r="CJ3648" i="1"/>
  <c r="CH3648" i="1"/>
  <c r="CF3648" i="1"/>
  <c r="BL3648" i="1"/>
  <c r="BD3648" i="1"/>
  <c r="AZ3648" i="1"/>
  <c r="AX3648" i="1"/>
  <c r="CU3659" i="1" l="1"/>
  <c r="X3659" i="1" s="1"/>
  <c r="Z3689" i="1"/>
  <c r="CU3652" i="1"/>
  <c r="X3652" i="1" s="1"/>
  <c r="CU3658" i="1"/>
  <c r="X3658" i="1" s="1"/>
  <c r="CU3660" i="1"/>
  <c r="X3660" i="1" s="1"/>
  <c r="CU3689" i="1"/>
  <c r="X3689" i="1" s="1"/>
  <c r="AD3689" i="1" s="1"/>
  <c r="Z3651" i="1"/>
  <c r="Z3658" i="1"/>
  <c r="Z3659" i="1"/>
  <c r="Z3660" i="1"/>
  <c r="Z3652" i="1"/>
  <c r="CU3649" i="1"/>
  <c r="X3649" i="1" s="1"/>
  <c r="CU3655" i="1"/>
  <c r="X3655" i="1" s="1"/>
  <c r="CU3651" i="1"/>
  <c r="X3651" i="1" s="1"/>
  <c r="CU3656" i="1"/>
  <c r="X3656" i="1" s="1"/>
  <c r="CU3657" i="1"/>
  <c r="X3657" i="1" s="1"/>
  <c r="CU3648" i="1"/>
  <c r="X3648" i="1" s="1"/>
  <c r="CU3650" i="1"/>
  <c r="X3650" i="1" s="1"/>
  <c r="Z3648" i="1"/>
  <c r="Z3649" i="1"/>
  <c r="Z3650" i="1"/>
  <c r="Z3655" i="1"/>
  <c r="Z3656" i="1"/>
  <c r="Z3657" i="1"/>
  <c r="AD3655" i="1" l="1"/>
  <c r="AD3652" i="1"/>
  <c r="AD3659" i="1"/>
  <c r="AD3651" i="1"/>
  <c r="AD3657" i="1"/>
  <c r="AD3658" i="1"/>
  <c r="AD3648" i="1"/>
  <c r="AD3656" i="1"/>
  <c r="AD3660" i="1"/>
  <c r="AD3650" i="1"/>
  <c r="AD3649" i="1"/>
  <c r="DC3646" i="1"/>
  <c r="DA3646" i="1"/>
  <c r="CY3646" i="1"/>
  <c r="Y3646" i="1" s="1"/>
  <c r="CW3646" i="1"/>
  <c r="AA3646" i="1" s="1"/>
  <c r="CR3646" i="1"/>
  <c r="CP3646" i="1"/>
  <c r="CN3646" i="1"/>
  <c r="CJ3646" i="1"/>
  <c r="CH3646" i="1"/>
  <c r="CF3646" i="1"/>
  <c r="BL3646" i="1"/>
  <c r="BD3646" i="1"/>
  <c r="AZ3646" i="1"/>
  <c r="AX3646" i="1"/>
  <c r="DC3645" i="1"/>
  <c r="DA3645" i="1"/>
  <c r="CY3645" i="1"/>
  <c r="Y3645" i="1" s="1"/>
  <c r="CW3645" i="1"/>
  <c r="AA3645" i="1" s="1"/>
  <c r="CR3645" i="1"/>
  <c r="CP3645" i="1"/>
  <c r="CN3645" i="1"/>
  <c r="CJ3645" i="1"/>
  <c r="CH3645" i="1"/>
  <c r="CF3645" i="1"/>
  <c r="BL3645" i="1"/>
  <c r="BD3645" i="1"/>
  <c r="AZ3645" i="1"/>
  <c r="AX3645" i="1"/>
  <c r="DC3620" i="1"/>
  <c r="DA3620" i="1"/>
  <c r="CY3620" i="1"/>
  <c r="Y3620" i="1" s="1"/>
  <c r="CW3620" i="1"/>
  <c r="AA3620" i="1" s="1"/>
  <c r="CR3620" i="1"/>
  <c r="CP3620" i="1"/>
  <c r="CN3620" i="1"/>
  <c r="CJ3620" i="1"/>
  <c r="CH3620" i="1"/>
  <c r="CF3620" i="1"/>
  <c r="BL3620" i="1"/>
  <c r="BD3620" i="1"/>
  <c r="AZ3620" i="1"/>
  <c r="AX3620" i="1"/>
  <c r="DC3625" i="1"/>
  <c r="DA3625" i="1"/>
  <c r="CY3625" i="1"/>
  <c r="Y3625" i="1" s="1"/>
  <c r="CW3625" i="1"/>
  <c r="AA3625" i="1" s="1"/>
  <c r="CR3625" i="1"/>
  <c r="CP3625" i="1"/>
  <c r="CN3625" i="1"/>
  <c r="CJ3625" i="1"/>
  <c r="CH3625" i="1"/>
  <c r="CF3625" i="1"/>
  <c r="BL3625" i="1"/>
  <c r="BD3625" i="1"/>
  <c r="AZ3625" i="1"/>
  <c r="AX3625" i="1"/>
  <c r="DC3642" i="1"/>
  <c r="DA3642" i="1"/>
  <c r="CY3642" i="1"/>
  <c r="Y3642" i="1" s="1"/>
  <c r="CW3642" i="1"/>
  <c r="AA3642" i="1" s="1"/>
  <c r="CR3642" i="1"/>
  <c r="CP3642" i="1"/>
  <c r="CN3642" i="1"/>
  <c r="CJ3642" i="1"/>
  <c r="CH3642" i="1"/>
  <c r="CF3642" i="1"/>
  <c r="BL3642" i="1"/>
  <c r="BD3642" i="1"/>
  <c r="AZ3642" i="1"/>
  <c r="AX3642" i="1"/>
  <c r="DC3638" i="1"/>
  <c r="DA3638" i="1"/>
  <c r="CY3638" i="1"/>
  <c r="Y3638" i="1" s="1"/>
  <c r="CW3638" i="1"/>
  <c r="AA3638" i="1" s="1"/>
  <c r="CR3638" i="1"/>
  <c r="CP3638" i="1"/>
  <c r="CN3638" i="1"/>
  <c r="CJ3638" i="1"/>
  <c r="CH3638" i="1"/>
  <c r="CF3638" i="1"/>
  <c r="BL3638" i="1"/>
  <c r="BD3638" i="1"/>
  <c r="AZ3638" i="1"/>
  <c r="AX3638" i="1"/>
  <c r="DA2994" i="1"/>
  <c r="Y2994" i="1"/>
  <c r="CW2994" i="1"/>
  <c r="AA2994" i="1" s="1"/>
  <c r="CR2994" i="1"/>
  <c r="CP2994" i="1"/>
  <c r="CN2994" i="1"/>
  <c r="CJ2994" i="1"/>
  <c r="CH2994" i="1"/>
  <c r="CF2994" i="1"/>
  <c r="BL2994" i="1"/>
  <c r="BD2994" i="1"/>
  <c r="AZ2994" i="1"/>
  <c r="AX2994" i="1"/>
  <c r="DC3641" i="1"/>
  <c r="DA3641" i="1"/>
  <c r="CY3641" i="1"/>
  <c r="Y3641" i="1" s="1"/>
  <c r="CW3641" i="1"/>
  <c r="AA3641" i="1" s="1"/>
  <c r="CR3641" i="1"/>
  <c r="CP3641" i="1"/>
  <c r="CN3641" i="1"/>
  <c r="CJ3641" i="1"/>
  <c r="CH3641" i="1"/>
  <c r="CF3641" i="1"/>
  <c r="BL3641" i="1"/>
  <c r="BD3641" i="1"/>
  <c r="AZ3641" i="1"/>
  <c r="AX3641" i="1"/>
  <c r="Z3638" i="1" l="1"/>
  <c r="Z3620" i="1"/>
  <c r="Z2994" i="1"/>
  <c r="CU3646" i="1"/>
  <c r="X3646" i="1" s="1"/>
  <c r="Z3646" i="1"/>
  <c r="CU3641" i="1"/>
  <c r="X3641" i="1" s="1"/>
  <c r="Z3641" i="1"/>
  <c r="CU3625" i="1"/>
  <c r="X3625" i="1" s="1"/>
  <c r="Z3625" i="1"/>
  <c r="Z3642" i="1"/>
  <c r="Z3645" i="1"/>
  <c r="CU2994" i="1"/>
  <c r="X2994" i="1" s="1"/>
  <c r="CU3638" i="1"/>
  <c r="X3638" i="1" s="1"/>
  <c r="CU3642" i="1"/>
  <c r="X3642" i="1" s="1"/>
  <c r="CU3645" i="1"/>
  <c r="X3645" i="1" s="1"/>
  <c r="CU3620" i="1"/>
  <c r="X3620" i="1" s="1"/>
  <c r="DC2953" i="1"/>
  <c r="DE3234" i="1"/>
  <c r="DC2808" i="1"/>
  <c r="CY2808" i="1"/>
  <c r="CR2808" i="1"/>
  <c r="CP2808" i="1"/>
  <c r="AZ2808" i="1"/>
  <c r="DC3647" i="1"/>
  <c r="DA3647" i="1"/>
  <c r="CY3647" i="1"/>
  <c r="Y3647" i="1" s="1"/>
  <c r="CW3647" i="1"/>
  <c r="AA3647" i="1" s="1"/>
  <c r="CR3647" i="1"/>
  <c r="CP3647" i="1"/>
  <c r="CN3647" i="1"/>
  <c r="CJ3647" i="1"/>
  <c r="CH3647" i="1"/>
  <c r="CF3647" i="1"/>
  <c r="BL3647" i="1"/>
  <c r="BD3647" i="1"/>
  <c r="AZ3647" i="1"/>
  <c r="AX3647" i="1"/>
  <c r="DC3643" i="1"/>
  <c r="DA3643" i="1"/>
  <c r="CY3643" i="1"/>
  <c r="Y3643" i="1" s="1"/>
  <c r="CW3643" i="1"/>
  <c r="AA3643" i="1" s="1"/>
  <c r="CR3643" i="1"/>
  <c r="CP3643" i="1"/>
  <c r="CN3643" i="1"/>
  <c r="CJ3643" i="1"/>
  <c r="CH3643" i="1"/>
  <c r="CF3643" i="1"/>
  <c r="BL3643" i="1"/>
  <c r="BD3643" i="1"/>
  <c r="AZ3643" i="1"/>
  <c r="AX3643" i="1"/>
  <c r="DC3640" i="1"/>
  <c r="DA3640" i="1"/>
  <c r="CY3640" i="1"/>
  <c r="Y3640" i="1" s="1"/>
  <c r="CW3640" i="1"/>
  <c r="AA3640" i="1" s="1"/>
  <c r="CR3640" i="1"/>
  <c r="CP3640" i="1"/>
  <c r="CN3640" i="1"/>
  <c r="CJ3640" i="1"/>
  <c r="CH3640" i="1"/>
  <c r="CF3640" i="1"/>
  <c r="BL3640" i="1"/>
  <c r="BD3640" i="1"/>
  <c r="AZ3640" i="1"/>
  <c r="AX3640" i="1"/>
  <c r="DC3562" i="1"/>
  <c r="DA3562" i="1"/>
  <c r="CY3562" i="1"/>
  <c r="Y3562" i="1" s="1"/>
  <c r="CW3562" i="1"/>
  <c r="AA3562" i="1" s="1"/>
  <c r="CR3562" i="1"/>
  <c r="CP3562" i="1"/>
  <c r="CN3562" i="1"/>
  <c r="CJ3562" i="1"/>
  <c r="CH3562" i="1"/>
  <c r="CF3562" i="1"/>
  <c r="BL3562" i="1"/>
  <c r="BD3562" i="1"/>
  <c r="AZ3562" i="1"/>
  <c r="AX3562" i="1"/>
  <c r="DC3619" i="1"/>
  <c r="DA3619" i="1"/>
  <c r="CY3619" i="1"/>
  <c r="Y3619" i="1" s="1"/>
  <c r="CW3619" i="1"/>
  <c r="AA3619" i="1" s="1"/>
  <c r="CR3619" i="1"/>
  <c r="CP3619" i="1"/>
  <c r="CN3619" i="1"/>
  <c r="CJ3619" i="1"/>
  <c r="CH3619" i="1"/>
  <c r="CF3619" i="1"/>
  <c r="BL3619" i="1"/>
  <c r="BD3619" i="1"/>
  <c r="AZ3619" i="1"/>
  <c r="AX3619" i="1"/>
  <c r="DC3637" i="1"/>
  <c r="DA3637" i="1"/>
  <c r="CY3637" i="1"/>
  <c r="Y3637" i="1" s="1"/>
  <c r="CW3637" i="1"/>
  <c r="AA3637" i="1" s="1"/>
  <c r="CR3637" i="1"/>
  <c r="CP3637" i="1"/>
  <c r="CN3637" i="1"/>
  <c r="CJ3637" i="1"/>
  <c r="CH3637" i="1"/>
  <c r="CF3637" i="1"/>
  <c r="BL3637" i="1"/>
  <c r="BD3637" i="1"/>
  <c r="AZ3637" i="1"/>
  <c r="AX3637" i="1"/>
  <c r="DC3636" i="1"/>
  <c r="DA3636" i="1"/>
  <c r="CY3636" i="1"/>
  <c r="Y3636" i="1" s="1"/>
  <c r="CW3636" i="1"/>
  <c r="AA3636" i="1" s="1"/>
  <c r="CR3636" i="1"/>
  <c r="CP3636" i="1"/>
  <c r="CN3636" i="1"/>
  <c r="CJ3636" i="1"/>
  <c r="CH3636" i="1"/>
  <c r="CF3636" i="1"/>
  <c r="BL3636" i="1"/>
  <c r="BD3636" i="1"/>
  <c r="AZ3636" i="1"/>
  <c r="AX3636" i="1"/>
  <c r="DC3635" i="1"/>
  <c r="DA3635" i="1"/>
  <c r="CY3635" i="1"/>
  <c r="Y3635" i="1" s="1"/>
  <c r="CW3635" i="1"/>
  <c r="AA3635" i="1" s="1"/>
  <c r="CR3635" i="1"/>
  <c r="CP3635" i="1"/>
  <c r="CN3635" i="1"/>
  <c r="CJ3635" i="1"/>
  <c r="CH3635" i="1"/>
  <c r="CF3635" i="1"/>
  <c r="BL3635" i="1"/>
  <c r="BD3635" i="1"/>
  <c r="AZ3635" i="1"/>
  <c r="AX3635" i="1"/>
  <c r="AD3641" i="1" l="1"/>
  <c r="AD2994" i="1"/>
  <c r="AD3642" i="1"/>
  <c r="AD3625" i="1"/>
  <c r="AD3646" i="1"/>
  <c r="AD3620" i="1"/>
  <c r="AD3638" i="1"/>
  <c r="AD3645" i="1"/>
  <c r="Z3619" i="1"/>
  <c r="Z3636" i="1"/>
  <c r="CU3637" i="1"/>
  <c r="X3637" i="1" s="1"/>
  <c r="CU3640" i="1"/>
  <c r="X3640" i="1" s="1"/>
  <c r="Z3643" i="1"/>
  <c r="CU3635" i="1"/>
  <c r="X3635" i="1" s="1"/>
  <c r="CU3562" i="1"/>
  <c r="X3562" i="1" s="1"/>
  <c r="CU3647" i="1"/>
  <c r="X3647" i="1" s="1"/>
  <c r="Z3637" i="1"/>
  <c r="CU3619" i="1"/>
  <c r="X3619" i="1" s="1"/>
  <c r="Z3640" i="1"/>
  <c r="CU3643" i="1"/>
  <c r="X3643" i="1" s="1"/>
  <c r="Z3635" i="1"/>
  <c r="CU3636" i="1"/>
  <c r="X3636" i="1" s="1"/>
  <c r="Z3562" i="1"/>
  <c r="Z3647" i="1"/>
  <c r="I3393" i="1"/>
  <c r="AD3640" i="1" l="1"/>
  <c r="AD3619" i="1"/>
  <c r="AD3636" i="1"/>
  <c r="AD3562" i="1"/>
  <c r="AD3637" i="1"/>
  <c r="AD3643" i="1"/>
  <c r="AD3647" i="1"/>
  <c r="AD3635" i="1"/>
  <c r="DC3633" i="1"/>
  <c r="DA3633" i="1"/>
  <c r="CY3633" i="1"/>
  <c r="Y3633" i="1" s="1"/>
  <c r="CW3633" i="1"/>
  <c r="AA3633" i="1" s="1"/>
  <c r="CR3633" i="1"/>
  <c r="CP3633" i="1"/>
  <c r="CN3633" i="1"/>
  <c r="CJ3633" i="1"/>
  <c r="CH3633" i="1"/>
  <c r="CF3633" i="1"/>
  <c r="BL3633" i="1"/>
  <c r="BD3633" i="1"/>
  <c r="AZ3633" i="1"/>
  <c r="AX3633" i="1"/>
  <c r="DC3632" i="1"/>
  <c r="DA3632" i="1"/>
  <c r="CY3632" i="1"/>
  <c r="Y3632" i="1" s="1"/>
  <c r="CW3632" i="1"/>
  <c r="AA3632" i="1" s="1"/>
  <c r="CR3632" i="1"/>
  <c r="CP3632" i="1"/>
  <c r="CN3632" i="1"/>
  <c r="CJ3632" i="1"/>
  <c r="CH3632" i="1"/>
  <c r="CF3632" i="1"/>
  <c r="BL3632" i="1"/>
  <c r="BD3632" i="1"/>
  <c r="AZ3632" i="1"/>
  <c r="AX3632" i="1"/>
  <c r="DC3631" i="1"/>
  <c r="DA3631" i="1"/>
  <c r="CY3631" i="1"/>
  <c r="Y3631" i="1" s="1"/>
  <c r="CW3631" i="1"/>
  <c r="AA3631" i="1" s="1"/>
  <c r="CR3631" i="1"/>
  <c r="CP3631" i="1"/>
  <c r="CN3631" i="1"/>
  <c r="CJ3631" i="1"/>
  <c r="CH3631" i="1"/>
  <c r="CF3631" i="1"/>
  <c r="BL3631" i="1"/>
  <c r="BD3631" i="1"/>
  <c r="AZ3631" i="1"/>
  <c r="AX3631" i="1"/>
  <c r="DC3630" i="1"/>
  <c r="DA3630" i="1"/>
  <c r="CY3630" i="1"/>
  <c r="Y3630" i="1" s="1"/>
  <c r="CW3630" i="1"/>
  <c r="AA3630" i="1" s="1"/>
  <c r="CR3630" i="1"/>
  <c r="CP3630" i="1"/>
  <c r="CN3630" i="1"/>
  <c r="CJ3630" i="1"/>
  <c r="CH3630" i="1"/>
  <c r="CF3630" i="1"/>
  <c r="BL3630" i="1"/>
  <c r="BD3630" i="1"/>
  <c r="AZ3630" i="1"/>
  <c r="AX3630" i="1"/>
  <c r="DC3629" i="1"/>
  <c r="DA3629" i="1"/>
  <c r="CY3629" i="1"/>
  <c r="Y3629" i="1" s="1"/>
  <c r="CW3629" i="1"/>
  <c r="AA3629" i="1" s="1"/>
  <c r="CR3629" i="1"/>
  <c r="CP3629" i="1"/>
  <c r="CN3629" i="1"/>
  <c r="CJ3629" i="1"/>
  <c r="CH3629" i="1"/>
  <c r="CF3629" i="1"/>
  <c r="BL3629" i="1"/>
  <c r="BD3629" i="1"/>
  <c r="AZ3629" i="1"/>
  <c r="AX3629" i="1"/>
  <c r="DC3614" i="1"/>
  <c r="DA3614" i="1"/>
  <c r="CY3614" i="1"/>
  <c r="Y3614" i="1" s="1"/>
  <c r="CW3614" i="1"/>
  <c r="AA3614" i="1" s="1"/>
  <c r="CR3614" i="1"/>
  <c r="CP3614" i="1"/>
  <c r="CN3614" i="1"/>
  <c r="CJ3614" i="1"/>
  <c r="CH3614" i="1"/>
  <c r="CF3614" i="1"/>
  <c r="BL3614" i="1"/>
  <c r="BD3614" i="1"/>
  <c r="AZ3614" i="1"/>
  <c r="AX3614" i="1"/>
  <c r="DC3605" i="1"/>
  <c r="DA3605" i="1"/>
  <c r="CY3605" i="1"/>
  <c r="Y3605" i="1" s="1"/>
  <c r="CW3605" i="1"/>
  <c r="AA3605" i="1" s="1"/>
  <c r="CR3605" i="1"/>
  <c r="CP3605" i="1"/>
  <c r="CN3605" i="1"/>
  <c r="CJ3605" i="1"/>
  <c r="CH3605" i="1"/>
  <c r="CF3605" i="1"/>
  <c r="BL3605" i="1"/>
  <c r="BD3605" i="1"/>
  <c r="AZ3605" i="1"/>
  <c r="AX3605" i="1"/>
  <c r="Z3631" i="1" l="1"/>
  <c r="Z3632" i="1"/>
  <c r="Z3633" i="1"/>
  <c r="Z3629" i="1"/>
  <c r="Z3605" i="1"/>
  <c r="Z3630" i="1"/>
  <c r="Z3614" i="1"/>
  <c r="CU3614" i="1"/>
  <c r="X3614" i="1" s="1"/>
  <c r="CU3630" i="1"/>
  <c r="X3630" i="1" s="1"/>
  <c r="CU3631" i="1"/>
  <c r="X3631" i="1" s="1"/>
  <c r="CU3605" i="1"/>
  <c r="X3605" i="1" s="1"/>
  <c r="CU3633" i="1"/>
  <c r="X3633" i="1" s="1"/>
  <c r="CU3629" i="1"/>
  <c r="X3629" i="1" s="1"/>
  <c r="CU3632" i="1"/>
  <c r="X3632" i="1" s="1"/>
  <c r="AD3632" i="1" s="1"/>
  <c r="DC3634" i="1"/>
  <c r="DA3634" i="1"/>
  <c r="CY3634" i="1"/>
  <c r="Y3634" i="1" s="1"/>
  <c r="CW3634" i="1"/>
  <c r="AA3634" i="1" s="1"/>
  <c r="CR3634" i="1"/>
  <c r="CP3634" i="1"/>
  <c r="CN3634" i="1"/>
  <c r="CJ3634" i="1"/>
  <c r="CH3634" i="1"/>
  <c r="CF3634" i="1"/>
  <c r="BL3634" i="1"/>
  <c r="BD3634" i="1"/>
  <c r="AZ3634" i="1"/>
  <c r="AX3634" i="1"/>
  <c r="DC3624" i="1"/>
  <c r="DA3624" i="1"/>
  <c r="CY3624" i="1"/>
  <c r="Y3624" i="1" s="1"/>
  <c r="CW3624" i="1"/>
  <c r="AA3624" i="1" s="1"/>
  <c r="CR3624" i="1"/>
  <c r="CP3624" i="1"/>
  <c r="CN3624" i="1"/>
  <c r="CJ3624" i="1"/>
  <c r="CH3624" i="1"/>
  <c r="CF3624" i="1"/>
  <c r="BL3624" i="1"/>
  <c r="BD3624" i="1"/>
  <c r="AZ3624" i="1"/>
  <c r="AX3624" i="1"/>
  <c r="DA3571" i="1"/>
  <c r="CY3571" i="1"/>
  <c r="Y3571" i="1" s="1"/>
  <c r="CW3571" i="1"/>
  <c r="AA3571" i="1" s="1"/>
  <c r="CR3571" i="1"/>
  <c r="CP3571" i="1"/>
  <c r="CN3571" i="1"/>
  <c r="CJ3571" i="1"/>
  <c r="CH3571" i="1"/>
  <c r="CF3571" i="1"/>
  <c r="BL3571" i="1"/>
  <c r="BD3571" i="1"/>
  <c r="AZ3571" i="1"/>
  <c r="AX3571" i="1"/>
  <c r="DC3623" i="1"/>
  <c r="DA3623" i="1"/>
  <c r="CY3623" i="1"/>
  <c r="Y3623" i="1" s="1"/>
  <c r="CW3623" i="1"/>
  <c r="AA3623" i="1" s="1"/>
  <c r="CR3623" i="1"/>
  <c r="CP3623" i="1"/>
  <c r="CN3623" i="1"/>
  <c r="CJ3623" i="1"/>
  <c r="CH3623" i="1"/>
  <c r="CF3623" i="1"/>
  <c r="BL3623" i="1"/>
  <c r="BD3623" i="1"/>
  <c r="AZ3623" i="1"/>
  <c r="AX3623" i="1"/>
  <c r="DC3628" i="1"/>
  <c r="DA3628" i="1"/>
  <c r="CY3628" i="1"/>
  <c r="Y3628" i="1" s="1"/>
  <c r="CW3628" i="1"/>
  <c r="AA3628" i="1" s="1"/>
  <c r="CR3628" i="1"/>
  <c r="CP3628" i="1"/>
  <c r="CN3628" i="1"/>
  <c r="CJ3628" i="1"/>
  <c r="CH3628" i="1"/>
  <c r="CF3628" i="1"/>
  <c r="BL3628" i="1"/>
  <c r="BD3628" i="1"/>
  <c r="AZ3628" i="1"/>
  <c r="AX3628" i="1"/>
  <c r="DC3627" i="1"/>
  <c r="DA3627" i="1"/>
  <c r="CY3627" i="1"/>
  <c r="Y3627" i="1" s="1"/>
  <c r="CW3627" i="1"/>
  <c r="AA3627" i="1" s="1"/>
  <c r="CR3627" i="1"/>
  <c r="CP3627" i="1"/>
  <c r="CN3627" i="1"/>
  <c r="CJ3627" i="1"/>
  <c r="CH3627" i="1"/>
  <c r="CF3627" i="1"/>
  <c r="BL3627" i="1"/>
  <c r="BD3627" i="1"/>
  <c r="AZ3627" i="1"/>
  <c r="AX3627" i="1"/>
  <c r="DC3626" i="1"/>
  <c r="DA3626" i="1"/>
  <c r="CY3626" i="1"/>
  <c r="Y3626" i="1" s="1"/>
  <c r="CW3626" i="1"/>
  <c r="AA3626" i="1" s="1"/>
  <c r="CR3626" i="1"/>
  <c r="CP3626" i="1"/>
  <c r="CN3626" i="1"/>
  <c r="CJ3626" i="1"/>
  <c r="CH3626" i="1"/>
  <c r="CF3626" i="1"/>
  <c r="BL3626" i="1"/>
  <c r="BD3626" i="1"/>
  <c r="AZ3626" i="1"/>
  <c r="AX3626" i="1"/>
  <c r="Z3626" i="1" l="1"/>
  <c r="AD3631" i="1"/>
  <c r="AD3629" i="1"/>
  <c r="AD3633" i="1"/>
  <c r="AD3605" i="1"/>
  <c r="AD3630" i="1"/>
  <c r="AD3614" i="1"/>
  <c r="Z3634" i="1"/>
  <c r="Z3571" i="1"/>
  <c r="Z3628" i="1"/>
  <c r="CU3627" i="1"/>
  <c r="X3627" i="1" s="1"/>
  <c r="Z3627" i="1"/>
  <c r="CU3624" i="1"/>
  <c r="X3624" i="1" s="1"/>
  <c r="Z3624" i="1"/>
  <c r="Z3623" i="1"/>
  <c r="CU3634" i="1"/>
  <c r="X3634" i="1" s="1"/>
  <c r="AD3634" i="1" s="1"/>
  <c r="CU3623" i="1"/>
  <c r="X3623" i="1" s="1"/>
  <c r="CU3628" i="1"/>
  <c r="X3628" i="1" s="1"/>
  <c r="AD3628" i="1" s="1"/>
  <c r="CU3626" i="1"/>
  <c r="X3626" i="1" s="1"/>
  <c r="CU3571" i="1"/>
  <c r="X3571" i="1" s="1"/>
  <c r="I2839" i="1"/>
  <c r="AD3626" i="1" l="1"/>
  <c r="AD3571" i="1"/>
  <c r="AD3623" i="1"/>
  <c r="AD3624" i="1"/>
  <c r="AD3627" i="1"/>
  <c r="DC3618" i="1"/>
  <c r="DA3618" i="1"/>
  <c r="CY3618" i="1"/>
  <c r="Y3618" i="1" s="1"/>
  <c r="CW3618" i="1"/>
  <c r="AA3618" i="1" s="1"/>
  <c r="CR3618" i="1"/>
  <c r="CP3618" i="1"/>
  <c r="CN3618" i="1"/>
  <c r="CJ3618" i="1"/>
  <c r="CH3618" i="1"/>
  <c r="CF3618" i="1"/>
  <c r="BL3618" i="1"/>
  <c r="BD3618" i="1"/>
  <c r="AZ3618" i="1"/>
  <c r="AX3618" i="1"/>
  <c r="DC3356" i="1"/>
  <c r="DA3356" i="1"/>
  <c r="CY3356" i="1"/>
  <c r="Y3356" i="1" s="1"/>
  <c r="CW3356" i="1"/>
  <c r="AA3356" i="1" s="1"/>
  <c r="CR3356" i="1"/>
  <c r="CP3356" i="1"/>
  <c r="CN3356" i="1"/>
  <c r="CJ3356" i="1"/>
  <c r="CH3356" i="1"/>
  <c r="CF3356" i="1"/>
  <c r="BL3356" i="1"/>
  <c r="BD3356" i="1"/>
  <c r="AZ3356" i="1"/>
  <c r="AX3356" i="1"/>
  <c r="DC3603" i="1"/>
  <c r="DA3603" i="1"/>
  <c r="Y3603" i="1"/>
  <c r="CW3603" i="1"/>
  <c r="AA3603" i="1" s="1"/>
  <c r="CP3603" i="1"/>
  <c r="CN3603" i="1"/>
  <c r="CJ3603" i="1"/>
  <c r="CH3603" i="1"/>
  <c r="CF3603" i="1"/>
  <c r="BD3603" i="1"/>
  <c r="AZ3603" i="1"/>
  <c r="AX3603" i="1"/>
  <c r="DC3617" i="1"/>
  <c r="DA3617" i="1"/>
  <c r="CY3617" i="1"/>
  <c r="Y3617" i="1" s="1"/>
  <c r="CW3617" i="1"/>
  <c r="AA3617" i="1" s="1"/>
  <c r="CR3617" i="1"/>
  <c r="CP3617" i="1"/>
  <c r="CN3617" i="1"/>
  <c r="CJ3617" i="1"/>
  <c r="CH3617" i="1"/>
  <c r="CF3617" i="1"/>
  <c r="BL3617" i="1"/>
  <c r="BD3617" i="1"/>
  <c r="AZ3617" i="1"/>
  <c r="AX3617" i="1"/>
  <c r="DC3622" i="1"/>
  <c r="DA3622" i="1"/>
  <c r="CY3622" i="1"/>
  <c r="Y3622" i="1" s="1"/>
  <c r="CW3622" i="1"/>
  <c r="AA3622" i="1" s="1"/>
  <c r="CR3622" i="1"/>
  <c r="CP3622" i="1"/>
  <c r="CN3622" i="1"/>
  <c r="CJ3622" i="1"/>
  <c r="CH3622" i="1"/>
  <c r="CF3622" i="1"/>
  <c r="BL3622" i="1"/>
  <c r="BD3622" i="1"/>
  <c r="AZ3622" i="1"/>
  <c r="AX3622" i="1"/>
  <c r="DC3621" i="1"/>
  <c r="DA3621" i="1"/>
  <c r="CY3621" i="1"/>
  <c r="Y3621" i="1" s="1"/>
  <c r="CW3621" i="1"/>
  <c r="AA3621" i="1" s="1"/>
  <c r="CR3621" i="1"/>
  <c r="CP3621" i="1"/>
  <c r="CN3621" i="1"/>
  <c r="CJ3621" i="1"/>
  <c r="CH3621" i="1"/>
  <c r="CF3621" i="1"/>
  <c r="BL3621" i="1"/>
  <c r="BD3621" i="1"/>
  <c r="AZ3621" i="1"/>
  <c r="AX3621" i="1"/>
  <c r="DC3616" i="1"/>
  <c r="DA3616" i="1"/>
  <c r="CY3616" i="1"/>
  <c r="Y3616" i="1" s="1"/>
  <c r="CW3616" i="1"/>
  <c r="AA3616" i="1" s="1"/>
  <c r="CR3616" i="1"/>
  <c r="CP3616" i="1"/>
  <c r="CN3616" i="1"/>
  <c r="CJ3616" i="1"/>
  <c r="CH3616" i="1"/>
  <c r="CF3616" i="1"/>
  <c r="BL3616" i="1"/>
  <c r="BD3616" i="1"/>
  <c r="AZ3616" i="1"/>
  <c r="AX3616" i="1"/>
  <c r="DC3615" i="1"/>
  <c r="DA3615" i="1"/>
  <c r="CY3615" i="1"/>
  <c r="Y3615" i="1" s="1"/>
  <c r="CW3615" i="1"/>
  <c r="AA3615" i="1" s="1"/>
  <c r="CR3615" i="1"/>
  <c r="CP3615" i="1"/>
  <c r="CN3615" i="1"/>
  <c r="CJ3615" i="1"/>
  <c r="CH3615" i="1"/>
  <c r="CF3615" i="1"/>
  <c r="BL3615" i="1"/>
  <c r="BD3615" i="1"/>
  <c r="AZ3615" i="1"/>
  <c r="AX3615" i="1"/>
  <c r="DC3583" i="1"/>
  <c r="DA3583" i="1"/>
  <c r="CY3583" i="1"/>
  <c r="Y3583" i="1" s="1"/>
  <c r="CW3583" i="1"/>
  <c r="AA3583" i="1" s="1"/>
  <c r="CR3583" i="1"/>
  <c r="CP3583" i="1"/>
  <c r="CN3583" i="1"/>
  <c r="CJ3583" i="1"/>
  <c r="CH3583" i="1"/>
  <c r="CF3583" i="1"/>
  <c r="BL3583" i="1"/>
  <c r="BD3583" i="1"/>
  <c r="AZ3583" i="1"/>
  <c r="AX3583" i="1"/>
  <c r="DC3602" i="1"/>
  <c r="DA3602" i="1"/>
  <c r="CY3602" i="1"/>
  <c r="Y3602" i="1" s="1"/>
  <c r="CW3602" i="1"/>
  <c r="AA3602" i="1" s="1"/>
  <c r="CR3602" i="1"/>
  <c r="CP3602" i="1"/>
  <c r="CN3602" i="1"/>
  <c r="CJ3602" i="1"/>
  <c r="CH3602" i="1"/>
  <c r="CF3602" i="1"/>
  <c r="BL3602" i="1"/>
  <c r="BD3602" i="1"/>
  <c r="AZ3602" i="1"/>
  <c r="AX3602" i="1"/>
  <c r="DC3601" i="1"/>
  <c r="DA3601" i="1"/>
  <c r="CY3601" i="1"/>
  <c r="Y3601" i="1" s="1"/>
  <c r="CW3601" i="1"/>
  <c r="AA3601" i="1" s="1"/>
  <c r="CR3601" i="1"/>
  <c r="CP3601" i="1"/>
  <c r="CN3601" i="1"/>
  <c r="CJ3601" i="1"/>
  <c r="CH3601" i="1"/>
  <c r="CF3601" i="1"/>
  <c r="BL3601" i="1"/>
  <c r="BD3601" i="1"/>
  <c r="AZ3601" i="1"/>
  <c r="AX3601" i="1"/>
  <c r="DC3610" i="1"/>
  <c r="DA3610" i="1"/>
  <c r="CY3610" i="1"/>
  <c r="Y3610" i="1" s="1"/>
  <c r="CW3610" i="1"/>
  <c r="AA3610" i="1" s="1"/>
  <c r="CR3610" i="1"/>
  <c r="CP3610" i="1"/>
  <c r="CN3610" i="1"/>
  <c r="CJ3610" i="1"/>
  <c r="CH3610" i="1"/>
  <c r="CF3610" i="1"/>
  <c r="BL3610" i="1"/>
  <c r="BD3610" i="1"/>
  <c r="AZ3610" i="1"/>
  <c r="AX3610" i="1"/>
  <c r="DC3609" i="1"/>
  <c r="DA3609" i="1"/>
  <c r="CY3609" i="1"/>
  <c r="Y3609" i="1" s="1"/>
  <c r="CW3609" i="1"/>
  <c r="AA3609" i="1" s="1"/>
  <c r="CR3609" i="1"/>
  <c r="CP3609" i="1"/>
  <c r="CN3609" i="1"/>
  <c r="CJ3609" i="1"/>
  <c r="CH3609" i="1"/>
  <c r="CF3609" i="1"/>
  <c r="BL3609" i="1"/>
  <c r="BD3609" i="1"/>
  <c r="AZ3609" i="1"/>
  <c r="AX3609" i="1"/>
  <c r="DC3608" i="1"/>
  <c r="DA3608" i="1"/>
  <c r="CY3608" i="1"/>
  <c r="Y3608" i="1" s="1"/>
  <c r="CW3608" i="1"/>
  <c r="AA3608" i="1" s="1"/>
  <c r="CR3608" i="1"/>
  <c r="CP3608" i="1"/>
  <c r="CN3608" i="1"/>
  <c r="CJ3608" i="1"/>
  <c r="CH3608" i="1"/>
  <c r="CF3608" i="1"/>
  <c r="BL3608" i="1"/>
  <c r="BD3608" i="1"/>
  <c r="AZ3608" i="1"/>
  <c r="AX3608" i="1"/>
  <c r="DC3607" i="1"/>
  <c r="DA3607" i="1"/>
  <c r="CY3607" i="1"/>
  <c r="CW3607" i="1"/>
  <c r="AA3607" i="1" s="1"/>
  <c r="CR3607" i="1"/>
  <c r="CP3607" i="1"/>
  <c r="CN3607" i="1"/>
  <c r="CJ3607" i="1"/>
  <c r="CH3607" i="1"/>
  <c r="CF3607" i="1"/>
  <c r="BL3607" i="1"/>
  <c r="BD3607" i="1"/>
  <c r="AZ3607" i="1"/>
  <c r="AX3607" i="1"/>
  <c r="Y3607" i="1"/>
  <c r="DC3600" i="1"/>
  <c r="DA3600" i="1"/>
  <c r="CY3600" i="1"/>
  <c r="Y3600" i="1" s="1"/>
  <c r="CW3600" i="1"/>
  <c r="AA3600" i="1" s="1"/>
  <c r="CR3600" i="1"/>
  <c r="CP3600" i="1"/>
  <c r="CN3600" i="1"/>
  <c r="CJ3600" i="1"/>
  <c r="CH3600" i="1"/>
  <c r="CF3600" i="1"/>
  <c r="BL3600" i="1"/>
  <c r="BD3600" i="1"/>
  <c r="AZ3600" i="1"/>
  <c r="AX3600" i="1"/>
  <c r="DC3606" i="1"/>
  <c r="DA3606" i="1"/>
  <c r="CY3606" i="1"/>
  <c r="Y3606" i="1" s="1"/>
  <c r="CW3606" i="1"/>
  <c r="AA3606" i="1" s="1"/>
  <c r="CR3606" i="1"/>
  <c r="CP3606" i="1"/>
  <c r="CN3606" i="1"/>
  <c r="CJ3606" i="1"/>
  <c r="CH3606" i="1"/>
  <c r="CF3606" i="1"/>
  <c r="BL3606" i="1"/>
  <c r="BD3606" i="1"/>
  <c r="AZ3606" i="1"/>
  <c r="AX3606" i="1"/>
  <c r="DC3599" i="1"/>
  <c r="DA3599" i="1"/>
  <c r="CY3599" i="1"/>
  <c r="Y3599" i="1" s="1"/>
  <c r="CW3599" i="1"/>
  <c r="AA3599" i="1" s="1"/>
  <c r="CR3599" i="1"/>
  <c r="CP3599" i="1"/>
  <c r="CN3599" i="1"/>
  <c r="CJ3599" i="1"/>
  <c r="CH3599" i="1"/>
  <c r="CF3599" i="1"/>
  <c r="BL3599" i="1"/>
  <c r="BD3599" i="1"/>
  <c r="AZ3599" i="1"/>
  <c r="AX3599" i="1"/>
  <c r="DC3598" i="1"/>
  <c r="DA3598" i="1"/>
  <c r="CY3598" i="1"/>
  <c r="Y3598" i="1" s="1"/>
  <c r="CW3598" i="1"/>
  <c r="AA3598" i="1" s="1"/>
  <c r="CR3598" i="1"/>
  <c r="CP3598" i="1"/>
  <c r="CN3598" i="1"/>
  <c r="CJ3598" i="1"/>
  <c r="CH3598" i="1"/>
  <c r="CF3598" i="1"/>
  <c r="BL3598" i="1"/>
  <c r="BD3598" i="1"/>
  <c r="AZ3598" i="1"/>
  <c r="AX3598" i="1"/>
  <c r="DC3582" i="1"/>
  <c r="DA3582" i="1"/>
  <c r="CY3582" i="1"/>
  <c r="Y3582" i="1" s="1"/>
  <c r="CW3582" i="1"/>
  <c r="AA3582" i="1" s="1"/>
  <c r="CR3582" i="1"/>
  <c r="CP3582" i="1"/>
  <c r="CN3582" i="1"/>
  <c r="CJ3582" i="1"/>
  <c r="CH3582" i="1"/>
  <c r="CF3582" i="1"/>
  <c r="BL3582" i="1"/>
  <c r="BD3582" i="1"/>
  <c r="AZ3582" i="1"/>
  <c r="AX3582" i="1"/>
  <c r="DC3597" i="1"/>
  <c r="DA3597" i="1"/>
  <c r="CY3597" i="1"/>
  <c r="Y3597" i="1" s="1"/>
  <c r="CW3597" i="1"/>
  <c r="AA3597" i="1" s="1"/>
  <c r="CR3597" i="1"/>
  <c r="CP3597" i="1"/>
  <c r="CN3597" i="1"/>
  <c r="CJ3597" i="1"/>
  <c r="CH3597" i="1"/>
  <c r="CF3597" i="1"/>
  <c r="BL3597" i="1"/>
  <c r="BD3597" i="1"/>
  <c r="AZ3597" i="1"/>
  <c r="AX3597" i="1"/>
  <c r="DC3596" i="1"/>
  <c r="DA3596" i="1"/>
  <c r="CY3596" i="1"/>
  <c r="Y3596" i="1" s="1"/>
  <c r="CW3596" i="1"/>
  <c r="AA3596" i="1" s="1"/>
  <c r="CR3596" i="1"/>
  <c r="CP3596" i="1"/>
  <c r="CN3596" i="1"/>
  <c r="CJ3596" i="1"/>
  <c r="CH3596" i="1"/>
  <c r="CF3596" i="1"/>
  <c r="BL3596" i="1"/>
  <c r="BD3596" i="1"/>
  <c r="AZ3596" i="1"/>
  <c r="AX3596" i="1"/>
  <c r="DC3595" i="1"/>
  <c r="DA3595" i="1"/>
  <c r="CY3595" i="1"/>
  <c r="Y3595" i="1" s="1"/>
  <c r="CW3595" i="1"/>
  <c r="AA3595" i="1" s="1"/>
  <c r="CR3595" i="1"/>
  <c r="CP3595" i="1"/>
  <c r="CN3595" i="1"/>
  <c r="CJ3595" i="1"/>
  <c r="CH3595" i="1"/>
  <c r="CF3595" i="1"/>
  <c r="BL3595" i="1"/>
  <c r="BD3595" i="1"/>
  <c r="AZ3595" i="1"/>
  <c r="AX3595" i="1"/>
  <c r="DC3594" i="1"/>
  <c r="DA3594" i="1"/>
  <c r="CY3594" i="1"/>
  <c r="Y3594" i="1" s="1"/>
  <c r="CW3594" i="1"/>
  <c r="AA3594" i="1" s="1"/>
  <c r="CR3594" i="1"/>
  <c r="CP3594" i="1"/>
  <c r="CN3594" i="1"/>
  <c r="CJ3594" i="1"/>
  <c r="CH3594" i="1"/>
  <c r="CF3594" i="1"/>
  <c r="BL3594" i="1"/>
  <c r="BD3594" i="1"/>
  <c r="AZ3594" i="1"/>
  <c r="AX3594" i="1"/>
  <c r="DC3593" i="1"/>
  <c r="DA3593" i="1"/>
  <c r="CY3593" i="1"/>
  <c r="Y3593" i="1" s="1"/>
  <c r="CW3593" i="1"/>
  <c r="AA3593" i="1" s="1"/>
  <c r="CR3593" i="1"/>
  <c r="CP3593" i="1"/>
  <c r="CN3593" i="1"/>
  <c r="CJ3593" i="1"/>
  <c r="CH3593" i="1"/>
  <c r="CF3593" i="1"/>
  <c r="BL3593" i="1"/>
  <c r="BD3593" i="1"/>
  <c r="AZ3593" i="1"/>
  <c r="AX3593" i="1"/>
  <c r="DC3581" i="1"/>
  <c r="DA3581" i="1"/>
  <c r="CY3581" i="1"/>
  <c r="Y3581" i="1" s="1"/>
  <c r="CW3581" i="1"/>
  <c r="AA3581" i="1" s="1"/>
  <c r="CR3581" i="1"/>
  <c r="CP3581" i="1"/>
  <c r="CN3581" i="1"/>
  <c r="CJ3581" i="1"/>
  <c r="CH3581" i="1"/>
  <c r="CF3581" i="1"/>
  <c r="BL3581" i="1"/>
  <c r="BD3581" i="1"/>
  <c r="AZ3581" i="1"/>
  <c r="AX3581" i="1"/>
  <c r="DC3592" i="1"/>
  <c r="DA3592" i="1"/>
  <c r="CY3592" i="1"/>
  <c r="Y3592" i="1" s="1"/>
  <c r="CW3592" i="1"/>
  <c r="AA3592" i="1" s="1"/>
  <c r="CR3592" i="1"/>
  <c r="CP3592" i="1"/>
  <c r="CN3592" i="1"/>
  <c r="CJ3592" i="1"/>
  <c r="CH3592" i="1"/>
  <c r="CF3592" i="1"/>
  <c r="BL3592" i="1"/>
  <c r="BD3592" i="1"/>
  <c r="AZ3592" i="1"/>
  <c r="AX3592" i="1"/>
  <c r="CU3621" i="1" l="1"/>
  <c r="X3621" i="1" s="1"/>
  <c r="CU3622" i="1"/>
  <c r="X3622" i="1" s="1"/>
  <c r="CU3616" i="1"/>
  <c r="X3616" i="1" s="1"/>
  <c r="Z3616" i="1"/>
  <c r="Z3621" i="1"/>
  <c r="Z3622" i="1"/>
  <c r="Z3617" i="1"/>
  <c r="Z3603" i="1"/>
  <c r="Z3356" i="1"/>
  <c r="Z3618" i="1"/>
  <c r="CU3617" i="1"/>
  <c r="X3617" i="1" s="1"/>
  <c r="CU3603" i="1"/>
  <c r="X3603" i="1" s="1"/>
  <c r="CU3356" i="1"/>
  <c r="X3356" i="1" s="1"/>
  <c r="CU3618" i="1"/>
  <c r="X3618" i="1" s="1"/>
  <c r="Z3609" i="1"/>
  <c r="CU3610" i="1"/>
  <c r="X3610" i="1" s="1"/>
  <c r="CU3583" i="1"/>
  <c r="X3583" i="1" s="1"/>
  <c r="Z3594" i="1"/>
  <c r="CU3615" i="1"/>
  <c r="X3615" i="1" s="1"/>
  <c r="Z3581" i="1"/>
  <c r="Z3592" i="1"/>
  <c r="Z3610" i="1"/>
  <c r="CU3601" i="1"/>
  <c r="X3601" i="1" s="1"/>
  <c r="Z3593" i="1"/>
  <c r="Z3608" i="1"/>
  <c r="CU3609" i="1"/>
  <c r="X3609" i="1" s="1"/>
  <c r="CU3602" i="1"/>
  <c r="X3602" i="1" s="1"/>
  <c r="Z3601" i="1"/>
  <c r="CU3592" i="1"/>
  <c r="X3592" i="1" s="1"/>
  <c r="CU3581" i="1"/>
  <c r="X3581" i="1" s="1"/>
  <c r="CU3593" i="1"/>
  <c r="X3593" i="1" s="1"/>
  <c r="CU3594" i="1"/>
  <c r="X3594" i="1" s="1"/>
  <c r="Z3595" i="1"/>
  <c r="Z3596" i="1"/>
  <c r="Z3597" i="1"/>
  <c r="Z3582" i="1"/>
  <c r="Z3598" i="1"/>
  <c r="Z3599" i="1"/>
  <c r="Z3606" i="1"/>
  <c r="Z3600" i="1"/>
  <c r="Z3607" i="1"/>
  <c r="Z3602" i="1"/>
  <c r="Z3583" i="1"/>
  <c r="Z3615" i="1"/>
  <c r="CU3595" i="1"/>
  <c r="X3595" i="1" s="1"/>
  <c r="CU3596" i="1"/>
  <c r="X3596" i="1" s="1"/>
  <c r="CU3597" i="1"/>
  <c r="X3597" i="1" s="1"/>
  <c r="CU3582" i="1"/>
  <c r="X3582" i="1" s="1"/>
  <c r="CU3598" i="1"/>
  <c r="X3598" i="1" s="1"/>
  <c r="CU3599" i="1"/>
  <c r="X3599" i="1" s="1"/>
  <c r="CU3606" i="1"/>
  <c r="X3606" i="1" s="1"/>
  <c r="CU3600" i="1"/>
  <c r="X3600" i="1" s="1"/>
  <c r="CU3607" i="1"/>
  <c r="X3607" i="1" s="1"/>
  <c r="CU3608" i="1"/>
  <c r="X3608" i="1" s="1"/>
  <c r="DA3445" i="1"/>
  <c r="CY3445" i="1"/>
  <c r="Y3445" i="1" s="1"/>
  <c r="CW3445" i="1"/>
  <c r="AA3445" i="1" s="1"/>
  <c r="CR3445" i="1"/>
  <c r="CP3445" i="1"/>
  <c r="CN3445" i="1"/>
  <c r="CJ3445" i="1"/>
  <c r="CH3445" i="1"/>
  <c r="CF3445" i="1"/>
  <c r="BL3445" i="1"/>
  <c r="BD3445" i="1"/>
  <c r="AZ3445" i="1"/>
  <c r="AX3445" i="1"/>
  <c r="DC1625" i="1"/>
  <c r="DA1625" i="1"/>
  <c r="CY1625" i="1"/>
  <c r="Y1625" i="1" s="1"/>
  <c r="CW1625" i="1"/>
  <c r="AA1625" i="1" s="1"/>
  <c r="CR1625" i="1"/>
  <c r="CP1625" i="1"/>
  <c r="CN1625" i="1"/>
  <c r="CJ1625" i="1"/>
  <c r="CH1625" i="1"/>
  <c r="CF1625" i="1"/>
  <c r="BL1625" i="1"/>
  <c r="BD1625" i="1"/>
  <c r="AZ1625" i="1"/>
  <c r="AX1625" i="1"/>
  <c r="DC3604" i="1"/>
  <c r="DA3604" i="1"/>
  <c r="CY3604" i="1"/>
  <c r="Y3604" i="1" s="1"/>
  <c r="CW3604" i="1"/>
  <c r="AA3604" i="1" s="1"/>
  <c r="CR3604" i="1"/>
  <c r="CP3604" i="1"/>
  <c r="CN3604" i="1"/>
  <c r="CJ3604" i="1"/>
  <c r="CH3604" i="1"/>
  <c r="CF3604" i="1"/>
  <c r="BL3604" i="1"/>
  <c r="BD3604" i="1"/>
  <c r="AZ3604" i="1"/>
  <c r="AX3604" i="1"/>
  <c r="DC3613" i="1"/>
  <c r="DA3613" i="1"/>
  <c r="CY3613" i="1"/>
  <c r="Y3613" i="1" s="1"/>
  <c r="CW3613" i="1"/>
  <c r="AA3613" i="1" s="1"/>
  <c r="CR3613" i="1"/>
  <c r="CP3613" i="1"/>
  <c r="CN3613" i="1"/>
  <c r="CJ3613" i="1"/>
  <c r="CH3613" i="1"/>
  <c r="CF3613" i="1"/>
  <c r="BL3613" i="1"/>
  <c r="BD3613" i="1"/>
  <c r="AZ3613" i="1"/>
  <c r="AX3613" i="1"/>
  <c r="DC3612" i="1"/>
  <c r="DA3612" i="1"/>
  <c r="CY3612" i="1"/>
  <c r="Y3612" i="1" s="1"/>
  <c r="CW3612" i="1"/>
  <c r="AA3612" i="1" s="1"/>
  <c r="CR3612" i="1"/>
  <c r="CP3612" i="1"/>
  <c r="CN3612" i="1"/>
  <c r="CJ3612" i="1"/>
  <c r="CH3612" i="1"/>
  <c r="CF3612" i="1"/>
  <c r="BL3612" i="1"/>
  <c r="BD3612" i="1"/>
  <c r="AZ3612" i="1"/>
  <c r="AX3612" i="1"/>
  <c r="DC3611" i="1"/>
  <c r="DA3611" i="1"/>
  <c r="CY3611" i="1"/>
  <c r="Y3611" i="1" s="1"/>
  <c r="CW3611" i="1"/>
  <c r="AA3611" i="1" s="1"/>
  <c r="CR3611" i="1"/>
  <c r="CP3611" i="1"/>
  <c r="CN3611" i="1"/>
  <c r="CJ3611" i="1"/>
  <c r="CH3611" i="1"/>
  <c r="CF3611" i="1"/>
  <c r="BL3611" i="1"/>
  <c r="BD3611" i="1"/>
  <c r="AZ3611" i="1"/>
  <c r="AX3611" i="1"/>
  <c r="DC3591" i="1"/>
  <c r="DA3591" i="1"/>
  <c r="CY3591" i="1"/>
  <c r="Y3591" i="1" s="1"/>
  <c r="CW3591" i="1"/>
  <c r="AA3591" i="1" s="1"/>
  <c r="CR3591" i="1"/>
  <c r="CP3591" i="1"/>
  <c r="CN3591" i="1"/>
  <c r="CJ3591" i="1"/>
  <c r="CH3591" i="1"/>
  <c r="CF3591" i="1"/>
  <c r="BL3591" i="1"/>
  <c r="BD3591" i="1"/>
  <c r="AZ3591" i="1"/>
  <c r="AX3591" i="1"/>
  <c r="DC3590" i="1"/>
  <c r="DA3590" i="1"/>
  <c r="CY3590" i="1"/>
  <c r="Y3590" i="1" s="1"/>
  <c r="CW3590" i="1"/>
  <c r="AA3590" i="1" s="1"/>
  <c r="CR3590" i="1"/>
  <c r="CP3590" i="1"/>
  <c r="CN3590" i="1"/>
  <c r="CJ3590" i="1"/>
  <c r="CH3590" i="1"/>
  <c r="CF3590" i="1"/>
  <c r="BL3590" i="1"/>
  <c r="BD3590" i="1"/>
  <c r="AZ3590" i="1"/>
  <c r="AX3590" i="1"/>
  <c r="DC3589" i="1"/>
  <c r="DA3589" i="1"/>
  <c r="CY3589" i="1"/>
  <c r="Y3589" i="1" s="1"/>
  <c r="CW3589" i="1"/>
  <c r="AA3589" i="1" s="1"/>
  <c r="CR3589" i="1"/>
  <c r="CP3589" i="1"/>
  <c r="CN3589" i="1"/>
  <c r="CJ3589" i="1"/>
  <c r="CH3589" i="1"/>
  <c r="CF3589" i="1"/>
  <c r="BL3589" i="1"/>
  <c r="BD3589" i="1"/>
  <c r="AZ3589" i="1"/>
  <c r="AX3589" i="1"/>
  <c r="DC3588" i="1"/>
  <c r="DA3588" i="1"/>
  <c r="CY3588" i="1"/>
  <c r="Y3588" i="1" s="1"/>
  <c r="CW3588" i="1"/>
  <c r="AA3588" i="1" s="1"/>
  <c r="CR3588" i="1"/>
  <c r="CP3588" i="1"/>
  <c r="CN3588" i="1"/>
  <c r="CJ3588" i="1"/>
  <c r="CH3588" i="1"/>
  <c r="CF3588" i="1"/>
  <c r="BL3588" i="1"/>
  <c r="BD3588" i="1"/>
  <c r="AZ3588" i="1"/>
  <c r="AX3588" i="1"/>
  <c r="AD3621" i="1" l="1"/>
  <c r="AD3592" i="1"/>
  <c r="AD3617" i="1"/>
  <c r="AD3622" i="1"/>
  <c r="AD3603" i="1"/>
  <c r="AD3356" i="1"/>
  <c r="AD3618" i="1"/>
  <c r="AD3616" i="1"/>
  <c r="Z3445" i="1"/>
  <c r="AD3609" i="1"/>
  <c r="AD3610" i="1"/>
  <c r="AD3583" i="1"/>
  <c r="AD3607" i="1"/>
  <c r="AD3599" i="1"/>
  <c r="AD3581" i="1"/>
  <c r="AD3608" i="1"/>
  <c r="AD3596" i="1"/>
  <c r="AD3615" i="1"/>
  <c r="AD3594" i="1"/>
  <c r="AD3601" i="1"/>
  <c r="AD3600" i="1"/>
  <c r="AD3598" i="1"/>
  <c r="AD3606" i="1"/>
  <c r="AD3597" i="1"/>
  <c r="AD3602" i="1"/>
  <c r="AD3593" i="1"/>
  <c r="AD3582" i="1"/>
  <c r="AD3595" i="1"/>
  <c r="Z3604" i="1"/>
  <c r="Z3588" i="1"/>
  <c r="Z3612" i="1"/>
  <c r="Z3611" i="1"/>
  <c r="Z1625" i="1"/>
  <c r="CU3445" i="1"/>
  <c r="X3445" i="1" s="1"/>
  <c r="CU3613" i="1"/>
  <c r="X3613" i="1" s="1"/>
  <c r="Z3613" i="1"/>
  <c r="Z3589" i="1"/>
  <c r="CU3590" i="1"/>
  <c r="X3590" i="1" s="1"/>
  <c r="Z3590" i="1"/>
  <c r="Z3591" i="1"/>
  <c r="CU3591" i="1"/>
  <c r="X3591" i="1" s="1"/>
  <c r="CU3604" i="1"/>
  <c r="X3604" i="1" s="1"/>
  <c r="CU3588" i="1"/>
  <c r="X3588" i="1" s="1"/>
  <c r="CU3611" i="1"/>
  <c r="X3611" i="1" s="1"/>
  <c r="AD3611" i="1" s="1"/>
  <c r="CU3589" i="1"/>
  <c r="X3589" i="1" s="1"/>
  <c r="CU3612" i="1"/>
  <c r="X3612" i="1" s="1"/>
  <c r="CU1625" i="1"/>
  <c r="X1625" i="1" s="1"/>
  <c r="DC3580" i="1"/>
  <c r="DA3580" i="1"/>
  <c r="CY3580" i="1"/>
  <c r="Y3580" i="1" s="1"/>
  <c r="CW3580" i="1"/>
  <c r="AA3580" i="1" s="1"/>
  <c r="CR3580" i="1"/>
  <c r="CP3580" i="1"/>
  <c r="CN3580" i="1"/>
  <c r="CJ3580" i="1"/>
  <c r="CH3580" i="1"/>
  <c r="CF3580" i="1"/>
  <c r="BL3580" i="1"/>
  <c r="BD3580" i="1"/>
  <c r="AZ3580" i="1"/>
  <c r="AX3580" i="1"/>
  <c r="DC3579" i="1"/>
  <c r="DA3579" i="1"/>
  <c r="CY3579" i="1"/>
  <c r="Y3579" i="1" s="1"/>
  <c r="CW3579" i="1"/>
  <c r="AA3579" i="1" s="1"/>
  <c r="CR3579" i="1"/>
  <c r="CP3579" i="1"/>
  <c r="CN3579" i="1"/>
  <c r="CJ3579" i="1"/>
  <c r="CH3579" i="1"/>
  <c r="CF3579" i="1"/>
  <c r="BL3579" i="1"/>
  <c r="BD3579" i="1"/>
  <c r="AZ3579" i="1"/>
  <c r="AX3579" i="1"/>
  <c r="DC3578" i="1"/>
  <c r="DA3578" i="1"/>
  <c r="CY3578" i="1"/>
  <c r="Y3578" i="1" s="1"/>
  <c r="CW3578" i="1"/>
  <c r="AA3578" i="1" s="1"/>
  <c r="CR3578" i="1"/>
  <c r="CP3578" i="1"/>
  <c r="CN3578" i="1"/>
  <c r="CJ3578" i="1"/>
  <c r="CH3578" i="1"/>
  <c r="CF3578" i="1"/>
  <c r="BL3578" i="1"/>
  <c r="BD3578" i="1"/>
  <c r="AZ3578" i="1"/>
  <c r="AX3578" i="1"/>
  <c r="DC3570" i="1"/>
  <c r="DA3570" i="1"/>
  <c r="CY3570" i="1"/>
  <c r="Y3570" i="1" s="1"/>
  <c r="CW3570" i="1"/>
  <c r="AA3570" i="1" s="1"/>
  <c r="CR3570" i="1"/>
  <c r="CP3570" i="1"/>
  <c r="CN3570" i="1"/>
  <c r="CJ3570" i="1"/>
  <c r="CH3570" i="1"/>
  <c r="CF3570" i="1"/>
  <c r="BL3570" i="1"/>
  <c r="BD3570" i="1"/>
  <c r="AZ3570" i="1"/>
  <c r="AX3570" i="1"/>
  <c r="DC3577" i="1"/>
  <c r="DA3577" i="1"/>
  <c r="CY3577" i="1"/>
  <c r="Y3577" i="1" s="1"/>
  <c r="CW3577" i="1"/>
  <c r="AA3577" i="1" s="1"/>
  <c r="CR3577" i="1"/>
  <c r="CP3577" i="1"/>
  <c r="CN3577" i="1"/>
  <c r="CJ3577" i="1"/>
  <c r="CH3577" i="1"/>
  <c r="CF3577" i="1"/>
  <c r="BL3577" i="1"/>
  <c r="BD3577" i="1"/>
  <c r="AZ3577" i="1"/>
  <c r="AX3577" i="1"/>
  <c r="DC3576" i="1"/>
  <c r="DA3576" i="1"/>
  <c r="CY3576" i="1"/>
  <c r="Y3576" i="1" s="1"/>
  <c r="CW3576" i="1"/>
  <c r="AA3576" i="1" s="1"/>
  <c r="CR3576" i="1"/>
  <c r="CP3576" i="1"/>
  <c r="CN3576" i="1"/>
  <c r="CJ3576" i="1"/>
  <c r="CH3576" i="1"/>
  <c r="CF3576" i="1"/>
  <c r="BL3576" i="1"/>
  <c r="BD3576" i="1"/>
  <c r="AZ3576" i="1"/>
  <c r="AX3576" i="1"/>
  <c r="DC3575" i="1"/>
  <c r="DA3575" i="1"/>
  <c r="CY3575" i="1"/>
  <c r="Y3575" i="1" s="1"/>
  <c r="CW3575" i="1"/>
  <c r="AA3575" i="1" s="1"/>
  <c r="CR3575" i="1"/>
  <c r="CP3575" i="1"/>
  <c r="CN3575" i="1"/>
  <c r="CJ3575" i="1"/>
  <c r="CH3575" i="1"/>
  <c r="CF3575" i="1"/>
  <c r="BL3575" i="1"/>
  <c r="BD3575" i="1"/>
  <c r="AZ3575" i="1"/>
  <c r="AX3575" i="1"/>
  <c r="DC3574" i="1"/>
  <c r="DA3574" i="1"/>
  <c r="CY3574" i="1"/>
  <c r="Y3574" i="1" s="1"/>
  <c r="CW3574" i="1"/>
  <c r="AA3574" i="1" s="1"/>
  <c r="CR3574" i="1"/>
  <c r="CP3574" i="1"/>
  <c r="CN3574" i="1"/>
  <c r="CJ3574" i="1"/>
  <c r="CH3574" i="1"/>
  <c r="CF3574" i="1"/>
  <c r="BL3574" i="1"/>
  <c r="BD3574" i="1"/>
  <c r="AZ3574" i="1"/>
  <c r="AX3574" i="1"/>
  <c r="DC3573" i="1"/>
  <c r="DA3573" i="1"/>
  <c r="CY3573" i="1"/>
  <c r="Y3573" i="1" s="1"/>
  <c r="CW3573" i="1"/>
  <c r="AA3573" i="1" s="1"/>
  <c r="CR3573" i="1"/>
  <c r="CP3573" i="1"/>
  <c r="CN3573" i="1"/>
  <c r="CJ3573" i="1"/>
  <c r="CH3573" i="1"/>
  <c r="CF3573" i="1"/>
  <c r="BL3573" i="1"/>
  <c r="BD3573" i="1"/>
  <c r="AZ3573" i="1"/>
  <c r="AX3573" i="1"/>
  <c r="DC3572" i="1"/>
  <c r="DA3572" i="1"/>
  <c r="CY3572" i="1"/>
  <c r="Y3572" i="1" s="1"/>
  <c r="CW3572" i="1"/>
  <c r="AA3572" i="1" s="1"/>
  <c r="CR3572" i="1"/>
  <c r="CP3572" i="1"/>
  <c r="CN3572" i="1"/>
  <c r="CJ3572" i="1"/>
  <c r="CH3572" i="1"/>
  <c r="CF3572" i="1"/>
  <c r="BL3572" i="1"/>
  <c r="BD3572" i="1"/>
  <c r="AZ3572" i="1"/>
  <c r="AX3572" i="1"/>
  <c r="AD3445" i="1" l="1"/>
  <c r="AD3613" i="1"/>
  <c r="AD3612" i="1"/>
  <c r="AD3604" i="1"/>
  <c r="AD1625" i="1"/>
  <c r="AD3590" i="1"/>
  <c r="AD3591" i="1"/>
  <c r="AD3588" i="1"/>
  <c r="AD3589" i="1"/>
  <c r="Z3577" i="1"/>
  <c r="Z3576" i="1"/>
  <c r="Z3570" i="1"/>
  <c r="Z3574" i="1"/>
  <c r="CU3572" i="1"/>
  <c r="X3572" i="1" s="1"/>
  <c r="Z3575" i="1"/>
  <c r="Z3579" i="1"/>
  <c r="Z3573" i="1"/>
  <c r="Z3578" i="1"/>
  <c r="Z3580" i="1"/>
  <c r="CU3580" i="1"/>
  <c r="X3580" i="1" s="1"/>
  <c r="Z3572" i="1"/>
  <c r="CU3570" i="1"/>
  <c r="X3570" i="1" s="1"/>
  <c r="CU3574" i="1"/>
  <c r="X3574" i="1" s="1"/>
  <c r="CU3576" i="1"/>
  <c r="X3576" i="1" s="1"/>
  <c r="CU3578" i="1"/>
  <c r="X3578" i="1" s="1"/>
  <c r="CU3575" i="1"/>
  <c r="X3575" i="1" s="1"/>
  <c r="CU3577" i="1"/>
  <c r="X3577" i="1" s="1"/>
  <c r="CU3579" i="1"/>
  <c r="X3579" i="1" s="1"/>
  <c r="CU3573" i="1"/>
  <c r="X3573" i="1" s="1"/>
  <c r="AD3576" i="1" l="1"/>
  <c r="AD3579" i="1"/>
  <c r="AD3577" i="1"/>
  <c r="AD3570" i="1"/>
  <c r="AD3572" i="1"/>
  <c r="AD3574" i="1"/>
  <c r="AD3575" i="1"/>
  <c r="AD3573" i="1"/>
  <c r="AD3580" i="1"/>
  <c r="AD3578" i="1"/>
  <c r="DC3569" i="1" l="1"/>
  <c r="DA3569" i="1"/>
  <c r="CY3569" i="1"/>
  <c r="Y3569" i="1" s="1"/>
  <c r="CW3569" i="1"/>
  <c r="AA3569" i="1" s="1"/>
  <c r="CR3569" i="1"/>
  <c r="CP3569" i="1"/>
  <c r="CN3569" i="1"/>
  <c r="CJ3569" i="1"/>
  <c r="CH3569" i="1"/>
  <c r="CF3569" i="1"/>
  <c r="BL3569" i="1"/>
  <c r="BD3569" i="1"/>
  <c r="AZ3569" i="1"/>
  <c r="AX3569" i="1"/>
  <c r="DC3587" i="1"/>
  <c r="DA3587" i="1"/>
  <c r="CY3587" i="1"/>
  <c r="Y3587" i="1" s="1"/>
  <c r="CW3587" i="1"/>
  <c r="AA3587" i="1" s="1"/>
  <c r="CR3587" i="1"/>
  <c r="CP3587" i="1"/>
  <c r="CN3587" i="1"/>
  <c r="CJ3587" i="1"/>
  <c r="CH3587" i="1"/>
  <c r="CF3587" i="1"/>
  <c r="BL3587" i="1"/>
  <c r="BD3587" i="1"/>
  <c r="AZ3587" i="1"/>
  <c r="AX3587" i="1"/>
  <c r="DC3586" i="1"/>
  <c r="DA3586" i="1"/>
  <c r="CY3586" i="1"/>
  <c r="Y3586" i="1" s="1"/>
  <c r="CW3586" i="1"/>
  <c r="AA3586" i="1" s="1"/>
  <c r="CR3586" i="1"/>
  <c r="CP3586" i="1"/>
  <c r="CN3586" i="1"/>
  <c r="CJ3586" i="1"/>
  <c r="CH3586" i="1"/>
  <c r="CF3586" i="1"/>
  <c r="BL3586" i="1"/>
  <c r="BD3586" i="1"/>
  <c r="AZ3586" i="1"/>
  <c r="AX3586" i="1"/>
  <c r="DC3568" i="1"/>
  <c r="DA3568" i="1"/>
  <c r="CY3568" i="1"/>
  <c r="Y3568" i="1" s="1"/>
  <c r="CW3568" i="1"/>
  <c r="AA3568" i="1" s="1"/>
  <c r="CR3568" i="1"/>
  <c r="CP3568" i="1"/>
  <c r="CN3568" i="1"/>
  <c r="CJ3568" i="1"/>
  <c r="CH3568" i="1"/>
  <c r="CF3568" i="1"/>
  <c r="BL3568" i="1"/>
  <c r="BD3568" i="1"/>
  <c r="AZ3568" i="1"/>
  <c r="AX3568" i="1"/>
  <c r="DC3567" i="1"/>
  <c r="DA3567" i="1"/>
  <c r="CY3567" i="1"/>
  <c r="Y3567" i="1" s="1"/>
  <c r="CW3567" i="1"/>
  <c r="AA3567" i="1" s="1"/>
  <c r="CR3567" i="1"/>
  <c r="CP3567" i="1"/>
  <c r="CN3567" i="1"/>
  <c r="CJ3567" i="1"/>
  <c r="CH3567" i="1"/>
  <c r="CF3567" i="1"/>
  <c r="BL3567" i="1"/>
  <c r="BD3567" i="1"/>
  <c r="AZ3567" i="1"/>
  <c r="AX3567" i="1"/>
  <c r="DC3561" i="1"/>
  <c r="DA3561" i="1"/>
  <c r="CY3561" i="1"/>
  <c r="Y3561" i="1" s="1"/>
  <c r="CW3561" i="1"/>
  <c r="AA3561" i="1" s="1"/>
  <c r="CR3561" i="1"/>
  <c r="CP3561" i="1"/>
  <c r="CN3561" i="1"/>
  <c r="CJ3561" i="1"/>
  <c r="CH3561" i="1"/>
  <c r="CF3561" i="1"/>
  <c r="BL3561" i="1"/>
  <c r="BD3561" i="1"/>
  <c r="AZ3561" i="1"/>
  <c r="AX3561" i="1"/>
  <c r="DC3560" i="1"/>
  <c r="DA3560" i="1"/>
  <c r="CY3560" i="1"/>
  <c r="Y3560" i="1" s="1"/>
  <c r="CW3560" i="1"/>
  <c r="AA3560" i="1" s="1"/>
  <c r="CR3560" i="1"/>
  <c r="CP3560" i="1"/>
  <c r="CN3560" i="1"/>
  <c r="CJ3560" i="1"/>
  <c r="CH3560" i="1"/>
  <c r="CF3560" i="1"/>
  <c r="BL3560" i="1"/>
  <c r="BD3560" i="1"/>
  <c r="AZ3560" i="1"/>
  <c r="AX3560" i="1"/>
  <c r="DC3566" i="1"/>
  <c r="DA3566" i="1"/>
  <c r="CY3566" i="1"/>
  <c r="Y3566" i="1" s="1"/>
  <c r="CW3566" i="1"/>
  <c r="AA3566" i="1" s="1"/>
  <c r="CR3566" i="1"/>
  <c r="CP3566" i="1"/>
  <c r="CN3566" i="1"/>
  <c r="CJ3566" i="1"/>
  <c r="CH3566" i="1"/>
  <c r="CF3566" i="1"/>
  <c r="BL3566" i="1"/>
  <c r="BD3566" i="1"/>
  <c r="AZ3566" i="1"/>
  <c r="AX3566" i="1"/>
  <c r="DC3565" i="1"/>
  <c r="DA3565" i="1"/>
  <c r="CY3565" i="1"/>
  <c r="Y3565" i="1" s="1"/>
  <c r="CW3565" i="1"/>
  <c r="AA3565" i="1" s="1"/>
  <c r="CR3565" i="1"/>
  <c r="CP3565" i="1"/>
  <c r="CN3565" i="1"/>
  <c r="CJ3565" i="1"/>
  <c r="CH3565" i="1"/>
  <c r="CF3565" i="1"/>
  <c r="BL3565" i="1"/>
  <c r="BD3565" i="1"/>
  <c r="AZ3565" i="1"/>
  <c r="AX3565" i="1"/>
  <c r="Z3587" i="1" l="1"/>
  <c r="Z3565" i="1"/>
  <c r="Z3568" i="1"/>
  <c r="Z3569" i="1"/>
  <c r="Z3566" i="1"/>
  <c r="Z3560" i="1"/>
  <c r="Z3586" i="1"/>
  <c r="Z3567" i="1"/>
  <c r="CU3569" i="1"/>
  <c r="X3569" i="1" s="1"/>
  <c r="CU3561" i="1"/>
  <c r="X3561" i="1" s="1"/>
  <c r="Z3561" i="1"/>
  <c r="CU3567" i="1"/>
  <c r="X3567" i="1" s="1"/>
  <c r="AD3567" i="1" s="1"/>
  <c r="CU3566" i="1"/>
  <c r="X3566" i="1" s="1"/>
  <c r="CU3568" i="1"/>
  <c r="X3568" i="1" s="1"/>
  <c r="CU3560" i="1"/>
  <c r="X3560" i="1" s="1"/>
  <c r="CU3586" i="1"/>
  <c r="X3586" i="1" s="1"/>
  <c r="CU3587" i="1"/>
  <c r="X3587" i="1" s="1"/>
  <c r="CU3565" i="1"/>
  <c r="X3565" i="1" s="1"/>
  <c r="AD3568" i="1" l="1"/>
  <c r="AD3569" i="1"/>
  <c r="AD3587" i="1"/>
  <c r="AD3586" i="1"/>
  <c r="AD3560" i="1"/>
  <c r="AD3565" i="1"/>
  <c r="AD3561" i="1"/>
  <c r="AD3566" i="1"/>
  <c r="DC3429" i="1"/>
  <c r="DA3429" i="1"/>
  <c r="CY3429" i="1"/>
  <c r="Y3429" i="1" s="1"/>
  <c r="CW3429" i="1"/>
  <c r="AA3429" i="1" s="1"/>
  <c r="CR3429" i="1"/>
  <c r="CP3429" i="1"/>
  <c r="CN3429" i="1"/>
  <c r="CJ3429" i="1"/>
  <c r="CH3429" i="1"/>
  <c r="CF3429" i="1"/>
  <c r="BL3429" i="1"/>
  <c r="BD3429" i="1"/>
  <c r="AZ3429" i="1"/>
  <c r="AX3429" i="1"/>
  <c r="DC3521" i="1"/>
  <c r="DA3521" i="1"/>
  <c r="CY3521" i="1"/>
  <c r="Y3521" i="1" s="1"/>
  <c r="CW3521" i="1"/>
  <c r="AA3521" i="1" s="1"/>
  <c r="CR3521" i="1"/>
  <c r="CP3521" i="1"/>
  <c r="CN3521" i="1"/>
  <c r="CJ3521" i="1"/>
  <c r="CH3521" i="1"/>
  <c r="CF3521" i="1"/>
  <c r="BL3521" i="1"/>
  <c r="BD3521" i="1"/>
  <c r="AZ3521" i="1"/>
  <c r="AX3521" i="1"/>
  <c r="DC3585" i="1"/>
  <c r="DA3585" i="1"/>
  <c r="CY3585" i="1"/>
  <c r="Y3585" i="1" s="1"/>
  <c r="CW3585" i="1"/>
  <c r="AA3585" i="1" s="1"/>
  <c r="CR3585" i="1"/>
  <c r="CP3585" i="1"/>
  <c r="CN3585" i="1"/>
  <c r="CJ3585" i="1"/>
  <c r="CH3585" i="1"/>
  <c r="CF3585" i="1"/>
  <c r="BL3585" i="1"/>
  <c r="BD3585" i="1"/>
  <c r="AZ3585" i="1"/>
  <c r="AX3585" i="1"/>
  <c r="DC3557" i="1"/>
  <c r="DA3557" i="1"/>
  <c r="CY3557" i="1"/>
  <c r="Y3557" i="1" s="1"/>
  <c r="CW3557" i="1"/>
  <c r="AA3557" i="1" s="1"/>
  <c r="CR3557" i="1"/>
  <c r="CP3557" i="1"/>
  <c r="CN3557" i="1"/>
  <c r="CJ3557" i="1"/>
  <c r="CH3557" i="1"/>
  <c r="CF3557" i="1"/>
  <c r="BL3557" i="1"/>
  <c r="BD3557" i="1"/>
  <c r="AZ3557" i="1"/>
  <c r="AX3557" i="1"/>
  <c r="DC3564" i="1"/>
  <c r="DA3564" i="1"/>
  <c r="CY3564" i="1"/>
  <c r="Y3564" i="1" s="1"/>
  <c r="CW3564" i="1"/>
  <c r="AA3564" i="1" s="1"/>
  <c r="CR3564" i="1"/>
  <c r="CP3564" i="1"/>
  <c r="CN3564" i="1"/>
  <c r="CJ3564" i="1"/>
  <c r="CH3564" i="1"/>
  <c r="CF3564" i="1"/>
  <c r="BL3564" i="1"/>
  <c r="BD3564" i="1"/>
  <c r="AZ3564" i="1"/>
  <c r="AX3564" i="1"/>
  <c r="DC3563" i="1"/>
  <c r="DA3563" i="1"/>
  <c r="CY3563" i="1"/>
  <c r="Y3563" i="1" s="1"/>
  <c r="CW3563" i="1"/>
  <c r="AA3563" i="1" s="1"/>
  <c r="CR3563" i="1"/>
  <c r="CP3563" i="1"/>
  <c r="CN3563" i="1"/>
  <c r="CJ3563" i="1"/>
  <c r="CH3563" i="1"/>
  <c r="CF3563" i="1"/>
  <c r="BL3563" i="1"/>
  <c r="BD3563" i="1"/>
  <c r="AZ3563" i="1"/>
  <c r="AX3563" i="1"/>
  <c r="DC3559" i="1"/>
  <c r="DA3559" i="1"/>
  <c r="CY3559" i="1"/>
  <c r="Y3559" i="1" s="1"/>
  <c r="CW3559" i="1"/>
  <c r="AA3559" i="1" s="1"/>
  <c r="CR3559" i="1"/>
  <c r="CP3559" i="1"/>
  <c r="CN3559" i="1"/>
  <c r="CJ3559" i="1"/>
  <c r="CH3559" i="1"/>
  <c r="CF3559" i="1"/>
  <c r="BL3559" i="1"/>
  <c r="BD3559" i="1"/>
  <c r="AZ3559" i="1"/>
  <c r="AX3559" i="1"/>
  <c r="DC3558" i="1"/>
  <c r="DA3558" i="1"/>
  <c r="CY3558" i="1"/>
  <c r="Y3558" i="1" s="1"/>
  <c r="CW3558" i="1"/>
  <c r="AA3558" i="1" s="1"/>
  <c r="CR3558" i="1"/>
  <c r="CP3558" i="1"/>
  <c r="CN3558" i="1"/>
  <c r="CJ3558" i="1"/>
  <c r="CH3558" i="1"/>
  <c r="CF3558" i="1"/>
  <c r="BL3558" i="1"/>
  <c r="BD3558" i="1"/>
  <c r="AZ3558" i="1"/>
  <c r="AX3558" i="1"/>
  <c r="DC3556" i="1"/>
  <c r="DA3556" i="1"/>
  <c r="CY3556" i="1"/>
  <c r="Y3556" i="1" s="1"/>
  <c r="CW3556" i="1"/>
  <c r="AA3556" i="1" s="1"/>
  <c r="CR3556" i="1"/>
  <c r="CP3556" i="1"/>
  <c r="CN3556" i="1"/>
  <c r="CJ3556" i="1"/>
  <c r="CH3556" i="1"/>
  <c r="CF3556" i="1"/>
  <c r="BL3556" i="1"/>
  <c r="BD3556" i="1"/>
  <c r="AZ3556" i="1"/>
  <c r="AX3556" i="1"/>
  <c r="DC3555" i="1"/>
  <c r="DA3555" i="1"/>
  <c r="CY3555" i="1"/>
  <c r="Y3555" i="1" s="1"/>
  <c r="CW3555" i="1"/>
  <c r="AA3555" i="1" s="1"/>
  <c r="CR3555" i="1"/>
  <c r="CP3555" i="1"/>
  <c r="CN3555" i="1"/>
  <c r="CJ3555" i="1"/>
  <c r="CH3555" i="1"/>
  <c r="CF3555" i="1"/>
  <c r="BL3555" i="1"/>
  <c r="BD3555" i="1"/>
  <c r="AZ3555" i="1"/>
  <c r="AX3555" i="1"/>
  <c r="DC3554" i="1"/>
  <c r="DA3554" i="1"/>
  <c r="Y3554" i="1"/>
  <c r="CW3554" i="1"/>
  <c r="AA3554" i="1" s="1"/>
  <c r="CR3554" i="1"/>
  <c r="CP3554" i="1"/>
  <c r="CN3554" i="1"/>
  <c r="CJ3554" i="1"/>
  <c r="CH3554" i="1"/>
  <c r="CF3554" i="1"/>
  <c r="BL3554" i="1"/>
  <c r="BD3554" i="1"/>
  <c r="AZ3554" i="1"/>
  <c r="AX3554" i="1"/>
  <c r="DC3532" i="1"/>
  <c r="DA3532" i="1"/>
  <c r="CY3532" i="1"/>
  <c r="Y3532" i="1" s="1"/>
  <c r="CW3532" i="1"/>
  <c r="AA3532" i="1" s="1"/>
  <c r="CR3532" i="1"/>
  <c r="CP3532" i="1"/>
  <c r="CN3532" i="1"/>
  <c r="CJ3532" i="1"/>
  <c r="CH3532" i="1"/>
  <c r="CF3532" i="1"/>
  <c r="BL3532" i="1"/>
  <c r="BD3532" i="1"/>
  <c r="AZ3532" i="1"/>
  <c r="AX3532" i="1"/>
  <c r="DC3549" i="1"/>
  <c r="DA3549" i="1"/>
  <c r="CY3549" i="1"/>
  <c r="Y3549" i="1" s="1"/>
  <c r="CW3549" i="1"/>
  <c r="AA3549" i="1" s="1"/>
  <c r="CR3549" i="1"/>
  <c r="CP3549" i="1"/>
  <c r="CN3549" i="1"/>
  <c r="CJ3549" i="1"/>
  <c r="CH3549" i="1"/>
  <c r="CF3549" i="1"/>
  <c r="BL3549" i="1"/>
  <c r="BD3549" i="1"/>
  <c r="AZ3549" i="1"/>
  <c r="AX3549" i="1"/>
  <c r="DC3551" i="1"/>
  <c r="DA3551" i="1"/>
  <c r="CY3551" i="1"/>
  <c r="Y3551" i="1" s="1"/>
  <c r="CW3551" i="1"/>
  <c r="AA3551" i="1" s="1"/>
  <c r="CR3551" i="1"/>
  <c r="CP3551" i="1"/>
  <c r="CN3551" i="1"/>
  <c r="CJ3551" i="1"/>
  <c r="CH3551" i="1"/>
  <c r="CF3551" i="1"/>
  <c r="BL3551" i="1"/>
  <c r="BD3551" i="1"/>
  <c r="AZ3551" i="1"/>
  <c r="AX3551" i="1"/>
  <c r="DC3547" i="1"/>
  <c r="DA3547" i="1"/>
  <c r="CY3547" i="1"/>
  <c r="Y3547" i="1" s="1"/>
  <c r="CW3547" i="1"/>
  <c r="AA3547" i="1" s="1"/>
  <c r="CR3547" i="1"/>
  <c r="CP3547" i="1"/>
  <c r="CN3547" i="1"/>
  <c r="CJ3547" i="1"/>
  <c r="CH3547" i="1"/>
  <c r="CF3547" i="1"/>
  <c r="BL3547" i="1"/>
  <c r="BD3547" i="1"/>
  <c r="AZ3547" i="1"/>
  <c r="AX3547" i="1"/>
  <c r="DC3496" i="1"/>
  <c r="DA3496" i="1"/>
  <c r="CY3496" i="1"/>
  <c r="Y3496" i="1" s="1"/>
  <c r="CW3496" i="1"/>
  <c r="AA3496" i="1" s="1"/>
  <c r="CR3496" i="1"/>
  <c r="CP3496" i="1"/>
  <c r="CN3496" i="1"/>
  <c r="CJ3496" i="1"/>
  <c r="CH3496" i="1"/>
  <c r="CF3496" i="1"/>
  <c r="BL3496" i="1"/>
  <c r="BD3496" i="1"/>
  <c r="AZ3496" i="1"/>
  <c r="AX3496" i="1"/>
  <c r="DC3531" i="1"/>
  <c r="DA3531" i="1"/>
  <c r="CY3531" i="1"/>
  <c r="Y3531" i="1" s="1"/>
  <c r="CW3531" i="1"/>
  <c r="AA3531" i="1" s="1"/>
  <c r="CR3531" i="1"/>
  <c r="CP3531" i="1"/>
  <c r="CN3531" i="1"/>
  <c r="CJ3531" i="1"/>
  <c r="CH3531" i="1"/>
  <c r="CF3531" i="1"/>
  <c r="BL3531" i="1"/>
  <c r="BD3531" i="1"/>
  <c r="AZ3531" i="1"/>
  <c r="AX3531" i="1"/>
  <c r="DC3546" i="1"/>
  <c r="DA3546" i="1"/>
  <c r="CY3546" i="1"/>
  <c r="Y3546" i="1" s="1"/>
  <c r="CW3546" i="1"/>
  <c r="AA3546" i="1" s="1"/>
  <c r="CR3546" i="1"/>
  <c r="CP3546" i="1"/>
  <c r="CN3546" i="1"/>
  <c r="CJ3546" i="1"/>
  <c r="CH3546" i="1"/>
  <c r="CF3546" i="1"/>
  <c r="BL3546" i="1"/>
  <c r="BD3546" i="1"/>
  <c r="AZ3546" i="1"/>
  <c r="AX3546" i="1"/>
  <c r="DC3545" i="1"/>
  <c r="DA3545" i="1"/>
  <c r="CY3545" i="1"/>
  <c r="Y3545" i="1" s="1"/>
  <c r="CW3545" i="1"/>
  <c r="AA3545" i="1" s="1"/>
  <c r="CR3545" i="1"/>
  <c r="CP3545" i="1"/>
  <c r="CN3545" i="1"/>
  <c r="CJ3545" i="1"/>
  <c r="CH3545" i="1"/>
  <c r="CF3545" i="1"/>
  <c r="BL3545" i="1"/>
  <c r="BD3545" i="1"/>
  <c r="AZ3545" i="1"/>
  <c r="AX3545" i="1"/>
  <c r="DC3530" i="1"/>
  <c r="DA3530" i="1"/>
  <c r="CY3530" i="1"/>
  <c r="Y3530" i="1" s="1"/>
  <c r="CW3530" i="1"/>
  <c r="AA3530" i="1" s="1"/>
  <c r="CR3530" i="1"/>
  <c r="CP3530" i="1"/>
  <c r="CN3530" i="1"/>
  <c r="CJ3530" i="1"/>
  <c r="CH3530" i="1"/>
  <c r="CF3530" i="1"/>
  <c r="BL3530" i="1"/>
  <c r="BD3530" i="1"/>
  <c r="AZ3530" i="1"/>
  <c r="AX3530" i="1"/>
  <c r="DC3544" i="1"/>
  <c r="DA3544" i="1"/>
  <c r="CY3544" i="1"/>
  <c r="Y3544" i="1" s="1"/>
  <c r="CW3544" i="1"/>
  <c r="AA3544" i="1" s="1"/>
  <c r="CR3544" i="1"/>
  <c r="CP3544" i="1"/>
  <c r="CN3544" i="1"/>
  <c r="CJ3544" i="1"/>
  <c r="CH3544" i="1"/>
  <c r="CF3544" i="1"/>
  <c r="BL3544" i="1"/>
  <c r="BD3544" i="1"/>
  <c r="AZ3544" i="1"/>
  <c r="AX3544" i="1"/>
  <c r="DC3543" i="1"/>
  <c r="DA3543" i="1"/>
  <c r="CY3543" i="1"/>
  <c r="Y3543" i="1" s="1"/>
  <c r="CW3543" i="1"/>
  <c r="AA3543" i="1" s="1"/>
  <c r="CR3543" i="1"/>
  <c r="CP3543" i="1"/>
  <c r="CN3543" i="1"/>
  <c r="CJ3543" i="1"/>
  <c r="CH3543" i="1"/>
  <c r="CF3543" i="1"/>
  <c r="BL3543" i="1"/>
  <c r="BD3543" i="1"/>
  <c r="AZ3543" i="1"/>
  <c r="AX3543" i="1"/>
  <c r="DC3542" i="1"/>
  <c r="DA3542" i="1"/>
  <c r="CY3542" i="1"/>
  <c r="Y3542" i="1" s="1"/>
  <c r="CW3542" i="1"/>
  <c r="AA3542" i="1" s="1"/>
  <c r="CR3542" i="1"/>
  <c r="CP3542" i="1"/>
  <c r="CN3542" i="1"/>
  <c r="CJ3542" i="1"/>
  <c r="CH3542" i="1"/>
  <c r="CF3542" i="1"/>
  <c r="BL3542" i="1"/>
  <c r="BD3542" i="1"/>
  <c r="AZ3542" i="1"/>
  <c r="AX3542" i="1"/>
  <c r="DC3520" i="1"/>
  <c r="DA3520" i="1"/>
  <c r="CY3520" i="1"/>
  <c r="Y3520" i="1" s="1"/>
  <c r="CW3520" i="1"/>
  <c r="AA3520" i="1" s="1"/>
  <c r="CR3520" i="1"/>
  <c r="CP3520" i="1"/>
  <c r="CN3520" i="1"/>
  <c r="CJ3520" i="1"/>
  <c r="CH3520" i="1"/>
  <c r="CF3520" i="1"/>
  <c r="BL3520" i="1"/>
  <c r="BD3520" i="1"/>
  <c r="AZ3520" i="1"/>
  <c r="AX3520" i="1"/>
  <c r="DC3541" i="1"/>
  <c r="DA3541" i="1"/>
  <c r="CY3541" i="1"/>
  <c r="Y3541" i="1" s="1"/>
  <c r="CW3541" i="1"/>
  <c r="AA3541" i="1" s="1"/>
  <c r="CR3541" i="1"/>
  <c r="CP3541" i="1"/>
  <c r="CN3541" i="1"/>
  <c r="CJ3541" i="1"/>
  <c r="CH3541" i="1"/>
  <c r="CF3541" i="1"/>
  <c r="BL3541" i="1"/>
  <c r="BD3541" i="1"/>
  <c r="AZ3541" i="1"/>
  <c r="AX3541" i="1"/>
  <c r="Z3585" i="1" l="1"/>
  <c r="Z3555" i="1"/>
  <c r="Z3564" i="1"/>
  <c r="Z3559" i="1"/>
  <c r="CU3429" i="1"/>
  <c r="X3429" i="1" s="1"/>
  <c r="Z3429" i="1"/>
  <c r="Z3532" i="1"/>
  <c r="CU3549" i="1"/>
  <c r="X3549" i="1" s="1"/>
  <c r="Z3549" i="1"/>
  <c r="CU3556" i="1"/>
  <c r="X3556" i="1" s="1"/>
  <c r="Z3556" i="1"/>
  <c r="CU3563" i="1"/>
  <c r="X3563" i="1" s="1"/>
  <c r="Z3563" i="1"/>
  <c r="Z3521" i="1"/>
  <c r="Z3554" i="1"/>
  <c r="Z3558" i="1"/>
  <c r="Z3557" i="1"/>
  <c r="CU3554" i="1"/>
  <c r="X3554" i="1" s="1"/>
  <c r="CU3558" i="1"/>
  <c r="X3558" i="1" s="1"/>
  <c r="CU3557" i="1"/>
  <c r="X3557" i="1" s="1"/>
  <c r="CU3555" i="1"/>
  <c r="X3555" i="1" s="1"/>
  <c r="CU3559" i="1"/>
  <c r="X3559" i="1" s="1"/>
  <c r="CU3585" i="1"/>
  <c r="X3585" i="1" s="1"/>
  <c r="CU3521" i="1"/>
  <c r="X3521" i="1" s="1"/>
  <c r="CU3532" i="1"/>
  <c r="X3532" i="1" s="1"/>
  <c r="CU3564" i="1"/>
  <c r="X3564" i="1" s="1"/>
  <c r="Z3545" i="1"/>
  <c r="CU3551" i="1"/>
  <c r="X3551" i="1" s="1"/>
  <c r="Z3531" i="1"/>
  <c r="Z3530" i="1"/>
  <c r="CU3520" i="1"/>
  <c r="X3520" i="1" s="1"/>
  <c r="Z3520" i="1"/>
  <c r="Z3541" i="1"/>
  <c r="Z3543" i="1"/>
  <c r="Z3542" i="1"/>
  <c r="CU3545" i="1"/>
  <c r="X3545" i="1" s="1"/>
  <c r="Z3496" i="1"/>
  <c r="Z3546" i="1"/>
  <c r="CU3531" i="1"/>
  <c r="X3531" i="1" s="1"/>
  <c r="Z3547" i="1"/>
  <c r="Z3544" i="1"/>
  <c r="CU3546" i="1"/>
  <c r="X3546" i="1" s="1"/>
  <c r="CU3547" i="1"/>
  <c r="X3547" i="1" s="1"/>
  <c r="Z3551" i="1"/>
  <c r="CU3496" i="1"/>
  <c r="X3496" i="1" s="1"/>
  <c r="CU3530" i="1"/>
  <c r="X3530" i="1" s="1"/>
  <c r="CU3543" i="1"/>
  <c r="X3543" i="1" s="1"/>
  <c r="CU3541" i="1"/>
  <c r="X3541" i="1" s="1"/>
  <c r="CU3544" i="1"/>
  <c r="X3544" i="1" s="1"/>
  <c r="CU3542" i="1"/>
  <c r="X3542" i="1" s="1"/>
  <c r="DE2048" i="1"/>
  <c r="DC1926" i="1"/>
  <c r="CY1926" i="1"/>
  <c r="CR1926" i="1"/>
  <c r="CP1926" i="1"/>
  <c r="CJ1926" i="1"/>
  <c r="CH1926" i="1"/>
  <c r="AZ1926" i="1"/>
  <c r="CR2954" i="1"/>
  <c r="CP2954" i="1"/>
  <c r="CJ2954" i="1"/>
  <c r="AZ2954" i="1"/>
  <c r="DC1562" i="1"/>
  <c r="DA1562" i="1"/>
  <c r="CY1562" i="1"/>
  <c r="CP1562" i="1"/>
  <c r="DA1493" i="1"/>
  <c r="DE2201" i="1"/>
  <c r="DC2201" i="1"/>
  <c r="CY2201" i="1"/>
  <c r="CR2201" i="1"/>
  <c r="CP2201" i="1"/>
  <c r="CJ2201" i="1"/>
  <c r="AZ2201" i="1"/>
  <c r="DC1772" i="1"/>
  <c r="DC1493" i="1"/>
  <c r="DE1992" i="1"/>
  <c r="DC1992" i="1"/>
  <c r="DA1992" i="1"/>
  <c r="CR1992" i="1"/>
  <c r="CJ1992" i="1"/>
  <c r="AZ1992" i="1"/>
  <c r="AD3559" i="1" l="1"/>
  <c r="AD3532" i="1"/>
  <c r="AD3429" i="1"/>
  <c r="AD3555" i="1"/>
  <c r="AD3585" i="1"/>
  <c r="AD3564" i="1"/>
  <c r="AD3521" i="1"/>
  <c r="AD3557" i="1"/>
  <c r="AD3563" i="1"/>
  <c r="AD3549" i="1"/>
  <c r="AD3556" i="1"/>
  <c r="AD3554" i="1"/>
  <c r="AD3558" i="1"/>
  <c r="AD3547" i="1"/>
  <c r="AD3542" i="1"/>
  <c r="AD3551" i="1"/>
  <c r="AD3531" i="1"/>
  <c r="AD3546" i="1"/>
  <c r="AD3543" i="1"/>
  <c r="AD3530" i="1"/>
  <c r="AD3545" i="1"/>
  <c r="AD3520" i="1"/>
  <c r="AD3544" i="1"/>
  <c r="AD3541" i="1"/>
  <c r="AD3496" i="1"/>
  <c r="DC3584" i="1"/>
  <c r="DA3584" i="1"/>
  <c r="CY3584" i="1"/>
  <c r="Y3584" i="1" s="1"/>
  <c r="CW3584" i="1"/>
  <c r="AA3584" i="1" s="1"/>
  <c r="CR3584" i="1"/>
  <c r="CP3584" i="1"/>
  <c r="CN3584" i="1"/>
  <c r="CJ3584" i="1"/>
  <c r="CH3584" i="1"/>
  <c r="CF3584" i="1"/>
  <c r="BL3584" i="1"/>
  <c r="BD3584" i="1"/>
  <c r="AZ3584" i="1"/>
  <c r="AX3584" i="1"/>
  <c r="DC3553" i="1"/>
  <c r="DA3553" i="1"/>
  <c r="CY3553" i="1"/>
  <c r="Y3553" i="1" s="1"/>
  <c r="CW3553" i="1"/>
  <c r="AA3553" i="1" s="1"/>
  <c r="CR3553" i="1"/>
  <c r="CP3553" i="1"/>
  <c r="CN3553" i="1"/>
  <c r="CJ3553" i="1"/>
  <c r="CH3553" i="1"/>
  <c r="CF3553" i="1"/>
  <c r="BL3553" i="1"/>
  <c r="BD3553" i="1"/>
  <c r="AZ3553" i="1"/>
  <c r="AX3553" i="1"/>
  <c r="DC3548" i="1"/>
  <c r="DA3548" i="1"/>
  <c r="CY3548" i="1"/>
  <c r="Y3548" i="1" s="1"/>
  <c r="CW3548" i="1"/>
  <c r="AA3548" i="1" s="1"/>
  <c r="CR3548" i="1"/>
  <c r="CP3548" i="1"/>
  <c r="CN3548" i="1"/>
  <c r="CJ3548" i="1"/>
  <c r="CH3548" i="1"/>
  <c r="CF3548" i="1"/>
  <c r="BL3548" i="1"/>
  <c r="BD3548" i="1"/>
  <c r="AZ3548" i="1"/>
  <c r="AX3548" i="1"/>
  <c r="DC3552" i="1"/>
  <c r="DA3552" i="1"/>
  <c r="CY3552" i="1"/>
  <c r="Y3552" i="1" s="1"/>
  <c r="CW3552" i="1"/>
  <c r="AA3552" i="1" s="1"/>
  <c r="CR3552" i="1"/>
  <c r="CP3552" i="1"/>
  <c r="CN3552" i="1"/>
  <c r="CJ3552" i="1"/>
  <c r="CH3552" i="1"/>
  <c r="CF3552" i="1"/>
  <c r="BL3552" i="1"/>
  <c r="BD3552" i="1"/>
  <c r="AZ3552" i="1"/>
  <c r="AX3552" i="1"/>
  <c r="DC3540" i="1"/>
  <c r="DA3540" i="1"/>
  <c r="CY3540" i="1"/>
  <c r="Y3540" i="1" s="1"/>
  <c r="CW3540" i="1"/>
  <c r="AA3540" i="1" s="1"/>
  <c r="CR3540" i="1"/>
  <c r="CP3540" i="1"/>
  <c r="CN3540" i="1"/>
  <c r="CJ3540" i="1"/>
  <c r="CH3540" i="1"/>
  <c r="CF3540" i="1"/>
  <c r="BL3540" i="1"/>
  <c r="BD3540" i="1"/>
  <c r="AZ3540" i="1"/>
  <c r="AX3540" i="1"/>
  <c r="DC3539" i="1"/>
  <c r="DA3539" i="1"/>
  <c r="CY3539" i="1"/>
  <c r="Y3539" i="1" s="1"/>
  <c r="CW3539" i="1"/>
  <c r="AA3539" i="1" s="1"/>
  <c r="CR3539" i="1"/>
  <c r="CP3539" i="1"/>
  <c r="CN3539" i="1"/>
  <c r="CJ3539" i="1"/>
  <c r="CH3539" i="1"/>
  <c r="CF3539" i="1"/>
  <c r="BL3539" i="1"/>
  <c r="BD3539" i="1"/>
  <c r="AZ3539" i="1"/>
  <c r="AX3539" i="1"/>
  <c r="DC3538" i="1"/>
  <c r="DA3538" i="1"/>
  <c r="CY3538" i="1"/>
  <c r="Y3538" i="1" s="1"/>
  <c r="CW3538" i="1"/>
  <c r="AA3538" i="1" s="1"/>
  <c r="CR3538" i="1"/>
  <c r="CP3538" i="1"/>
  <c r="CN3538" i="1"/>
  <c r="CJ3538" i="1"/>
  <c r="CH3538" i="1"/>
  <c r="CF3538" i="1"/>
  <c r="BL3538" i="1"/>
  <c r="BD3538" i="1"/>
  <c r="AZ3538" i="1"/>
  <c r="AX3538" i="1"/>
  <c r="Z3548" i="1" l="1"/>
  <c r="CU3584" i="1"/>
  <c r="X3584" i="1" s="1"/>
  <c r="Z3584" i="1"/>
  <c r="Z3538" i="1"/>
  <c r="Z3539" i="1"/>
  <c r="Z3552" i="1"/>
  <c r="CU3552" i="1"/>
  <c r="X3552" i="1" s="1"/>
  <c r="Z3553" i="1"/>
  <c r="CU3538" i="1"/>
  <c r="X3538" i="1" s="1"/>
  <c r="CU3548" i="1"/>
  <c r="X3548" i="1" s="1"/>
  <c r="CU3539" i="1"/>
  <c r="X3539" i="1" s="1"/>
  <c r="CU3540" i="1"/>
  <c r="X3540" i="1" s="1"/>
  <c r="Z3540" i="1"/>
  <c r="CU3553" i="1"/>
  <c r="X3553" i="1" s="1"/>
  <c r="AD3584" i="1" l="1"/>
  <c r="AD3538" i="1"/>
  <c r="AD3548" i="1"/>
  <c r="AD3552" i="1"/>
  <c r="AD3539" i="1"/>
  <c r="AD3553" i="1"/>
  <c r="AD3540" i="1"/>
  <c r="DC3527" i="1"/>
  <c r="DA3527" i="1"/>
  <c r="CY3527" i="1"/>
  <c r="Y3527" i="1" s="1"/>
  <c r="CW3527" i="1"/>
  <c r="AA3527" i="1" s="1"/>
  <c r="CR3527" i="1"/>
  <c r="CP3527" i="1"/>
  <c r="CN3527" i="1"/>
  <c r="CJ3527" i="1"/>
  <c r="CH3527" i="1"/>
  <c r="CF3527" i="1"/>
  <c r="BL3527" i="1"/>
  <c r="BD3527" i="1"/>
  <c r="AZ3527" i="1"/>
  <c r="AX3527" i="1"/>
  <c r="DC3537" i="1"/>
  <c r="DA3537" i="1"/>
  <c r="CY3537" i="1"/>
  <c r="Y3537" i="1" s="1"/>
  <c r="CW3537" i="1"/>
  <c r="AA3537" i="1" s="1"/>
  <c r="CR3537" i="1"/>
  <c r="CP3537" i="1"/>
  <c r="CN3537" i="1"/>
  <c r="CJ3537" i="1"/>
  <c r="CH3537" i="1"/>
  <c r="CF3537" i="1"/>
  <c r="BL3537" i="1"/>
  <c r="BD3537" i="1"/>
  <c r="AZ3537" i="1"/>
  <c r="AX3537" i="1"/>
  <c r="DC3536" i="1"/>
  <c r="DA3536" i="1"/>
  <c r="CY3536" i="1"/>
  <c r="Y3536" i="1" s="1"/>
  <c r="CW3536" i="1"/>
  <c r="AA3536" i="1" s="1"/>
  <c r="CR3536" i="1"/>
  <c r="CP3536" i="1"/>
  <c r="CN3536" i="1"/>
  <c r="CJ3536" i="1"/>
  <c r="CH3536" i="1"/>
  <c r="CF3536" i="1"/>
  <c r="BL3536" i="1"/>
  <c r="BD3536" i="1"/>
  <c r="AZ3536" i="1"/>
  <c r="AX3536" i="1"/>
  <c r="DC3535" i="1"/>
  <c r="DA3535" i="1"/>
  <c r="CY3535" i="1"/>
  <c r="Y3535" i="1" s="1"/>
  <c r="CW3535" i="1"/>
  <c r="AA3535" i="1" s="1"/>
  <c r="CR3535" i="1"/>
  <c r="CP3535" i="1"/>
  <c r="CN3535" i="1"/>
  <c r="CJ3535" i="1"/>
  <c r="CH3535" i="1"/>
  <c r="CF3535" i="1"/>
  <c r="BL3535" i="1"/>
  <c r="BD3535" i="1"/>
  <c r="AZ3535" i="1"/>
  <c r="AX3535" i="1"/>
  <c r="DC3534" i="1"/>
  <c r="DA3534" i="1"/>
  <c r="CY3534" i="1"/>
  <c r="Y3534" i="1" s="1"/>
  <c r="CW3534" i="1"/>
  <c r="AA3534" i="1" s="1"/>
  <c r="CR3534" i="1"/>
  <c r="CP3534" i="1"/>
  <c r="CN3534" i="1"/>
  <c r="CJ3534" i="1"/>
  <c r="CH3534" i="1"/>
  <c r="CF3534" i="1"/>
  <c r="BL3534" i="1"/>
  <c r="BD3534" i="1"/>
  <c r="AZ3534" i="1"/>
  <c r="AX3534" i="1"/>
  <c r="DC3519" i="1"/>
  <c r="DA3519" i="1"/>
  <c r="CY3519" i="1"/>
  <c r="Y3519" i="1" s="1"/>
  <c r="CW3519" i="1"/>
  <c r="AA3519" i="1" s="1"/>
  <c r="CR3519" i="1"/>
  <c r="CP3519" i="1"/>
  <c r="CN3519" i="1"/>
  <c r="CJ3519" i="1"/>
  <c r="CH3519" i="1"/>
  <c r="CF3519" i="1"/>
  <c r="BL3519" i="1"/>
  <c r="BD3519" i="1"/>
  <c r="AZ3519" i="1"/>
  <c r="AX3519" i="1"/>
  <c r="DC3518" i="1"/>
  <c r="DA3518" i="1"/>
  <c r="CY3518" i="1"/>
  <c r="Y3518" i="1" s="1"/>
  <c r="CW3518" i="1"/>
  <c r="AA3518" i="1" s="1"/>
  <c r="CR3518" i="1"/>
  <c r="CP3518" i="1"/>
  <c r="CN3518" i="1"/>
  <c r="CJ3518" i="1"/>
  <c r="CH3518" i="1"/>
  <c r="CF3518" i="1"/>
  <c r="BL3518" i="1"/>
  <c r="BD3518" i="1"/>
  <c r="AZ3518" i="1"/>
  <c r="AX3518" i="1"/>
  <c r="DC3517" i="1"/>
  <c r="DA3517" i="1"/>
  <c r="CY3517" i="1"/>
  <c r="Y3517" i="1" s="1"/>
  <c r="CW3517" i="1"/>
  <c r="AA3517" i="1" s="1"/>
  <c r="CR3517" i="1"/>
  <c r="CP3517" i="1"/>
  <c r="CN3517" i="1"/>
  <c r="CJ3517" i="1"/>
  <c r="CH3517" i="1"/>
  <c r="CF3517" i="1"/>
  <c r="BL3517" i="1"/>
  <c r="BD3517" i="1"/>
  <c r="AZ3517" i="1"/>
  <c r="AX3517" i="1"/>
  <c r="DC3516" i="1"/>
  <c r="DA3516" i="1"/>
  <c r="CY3516" i="1"/>
  <c r="Y3516" i="1" s="1"/>
  <c r="CW3516" i="1"/>
  <c r="AA3516" i="1" s="1"/>
  <c r="CR3516" i="1"/>
  <c r="CP3516" i="1"/>
  <c r="CN3516" i="1"/>
  <c r="CJ3516" i="1"/>
  <c r="CH3516" i="1"/>
  <c r="CF3516" i="1"/>
  <c r="BL3516" i="1"/>
  <c r="BD3516" i="1"/>
  <c r="AZ3516" i="1"/>
  <c r="AX3516" i="1"/>
  <c r="DC3515" i="1"/>
  <c r="DA3515" i="1"/>
  <c r="CY3515" i="1"/>
  <c r="Y3515" i="1" s="1"/>
  <c r="CW3515" i="1"/>
  <c r="AA3515" i="1" s="1"/>
  <c r="CR3515" i="1"/>
  <c r="CP3515" i="1"/>
  <c r="CN3515" i="1"/>
  <c r="CJ3515" i="1"/>
  <c r="CH3515" i="1"/>
  <c r="CF3515" i="1"/>
  <c r="BL3515" i="1"/>
  <c r="BD3515" i="1"/>
  <c r="AZ3515" i="1"/>
  <c r="AX3515" i="1"/>
  <c r="DC3526" i="1"/>
  <c r="DA3526" i="1"/>
  <c r="CY3526" i="1"/>
  <c r="Y3526" i="1" s="1"/>
  <c r="CW3526" i="1"/>
  <c r="AA3526" i="1" s="1"/>
  <c r="CR3526" i="1"/>
  <c r="CP3526" i="1"/>
  <c r="CN3526" i="1"/>
  <c r="CJ3526" i="1"/>
  <c r="CH3526" i="1"/>
  <c r="CF3526" i="1"/>
  <c r="BL3526" i="1"/>
  <c r="BD3526" i="1"/>
  <c r="AZ3526" i="1"/>
  <c r="AX3526" i="1"/>
  <c r="DC3525" i="1"/>
  <c r="DA3525" i="1"/>
  <c r="CY3525" i="1"/>
  <c r="Y3525" i="1" s="1"/>
  <c r="CW3525" i="1"/>
  <c r="AA3525" i="1" s="1"/>
  <c r="CR3525" i="1"/>
  <c r="CP3525" i="1"/>
  <c r="CN3525" i="1"/>
  <c r="CJ3525" i="1"/>
  <c r="CH3525" i="1"/>
  <c r="CF3525" i="1"/>
  <c r="BL3525" i="1"/>
  <c r="BD3525" i="1"/>
  <c r="AZ3525" i="1"/>
  <c r="AX3525" i="1"/>
  <c r="DC3524" i="1"/>
  <c r="DA3524" i="1"/>
  <c r="CY3524" i="1"/>
  <c r="Y3524" i="1" s="1"/>
  <c r="CW3524" i="1"/>
  <c r="AA3524" i="1" s="1"/>
  <c r="CR3524" i="1"/>
  <c r="CP3524" i="1"/>
  <c r="CN3524" i="1"/>
  <c r="CJ3524" i="1"/>
  <c r="CH3524" i="1"/>
  <c r="CF3524" i="1"/>
  <c r="BL3524" i="1"/>
  <c r="BD3524" i="1"/>
  <c r="AZ3524" i="1"/>
  <c r="AX3524" i="1"/>
  <c r="DC3523" i="1"/>
  <c r="DA3523" i="1"/>
  <c r="CY3523" i="1"/>
  <c r="Y3523" i="1" s="1"/>
  <c r="CW3523" i="1"/>
  <c r="AA3523" i="1" s="1"/>
  <c r="CR3523" i="1"/>
  <c r="CP3523" i="1"/>
  <c r="CN3523" i="1"/>
  <c r="CJ3523" i="1"/>
  <c r="CH3523" i="1"/>
  <c r="CF3523" i="1"/>
  <c r="BL3523" i="1"/>
  <c r="BD3523" i="1"/>
  <c r="AZ3523" i="1"/>
  <c r="AX3523" i="1"/>
  <c r="DC3522" i="1"/>
  <c r="DA3522" i="1"/>
  <c r="CY3522" i="1"/>
  <c r="Y3522" i="1" s="1"/>
  <c r="CW3522" i="1"/>
  <c r="AA3522" i="1" s="1"/>
  <c r="CR3522" i="1"/>
  <c r="CP3522" i="1"/>
  <c r="CN3522" i="1"/>
  <c r="CJ3522" i="1"/>
  <c r="CH3522" i="1"/>
  <c r="CF3522" i="1"/>
  <c r="BL3522" i="1"/>
  <c r="BD3522" i="1"/>
  <c r="AZ3522" i="1"/>
  <c r="AX3522" i="1"/>
  <c r="Z3515" i="1" l="1"/>
  <c r="Z3536" i="1"/>
  <c r="CU3522" i="1"/>
  <c r="X3522" i="1" s="1"/>
  <c r="CU3534" i="1"/>
  <c r="X3534" i="1" s="1"/>
  <c r="Z3526" i="1"/>
  <c r="CU3527" i="1"/>
  <c r="X3527" i="1" s="1"/>
  <c r="Z3527" i="1"/>
  <c r="Z3537" i="1"/>
  <c r="Z3518" i="1"/>
  <c r="CU3517" i="1"/>
  <c r="X3517" i="1" s="1"/>
  <c r="Z3523" i="1"/>
  <c r="Z3516" i="1"/>
  <c r="Z3522" i="1"/>
  <c r="CU3525" i="1"/>
  <c r="X3525" i="1" s="1"/>
  <c r="Z3525" i="1"/>
  <c r="Z3519" i="1"/>
  <c r="Z3517" i="1"/>
  <c r="Z3535" i="1"/>
  <c r="Z3524" i="1"/>
  <c r="Z3534" i="1"/>
  <c r="CU3523" i="1"/>
  <c r="X3523" i="1" s="1"/>
  <c r="CU3526" i="1"/>
  <c r="X3526" i="1" s="1"/>
  <c r="CU3518" i="1"/>
  <c r="X3518" i="1" s="1"/>
  <c r="CU3535" i="1"/>
  <c r="X3535" i="1" s="1"/>
  <c r="CU3515" i="1"/>
  <c r="X3515" i="1" s="1"/>
  <c r="CU3536" i="1"/>
  <c r="X3536" i="1" s="1"/>
  <c r="CU3524" i="1"/>
  <c r="X3524" i="1" s="1"/>
  <c r="CU3516" i="1"/>
  <c r="X3516" i="1" s="1"/>
  <c r="CU3519" i="1"/>
  <c r="X3519" i="1" s="1"/>
  <c r="CU3537" i="1"/>
  <c r="X3537" i="1" s="1"/>
  <c r="DA2010" i="1"/>
  <c r="DE2010" i="1"/>
  <c r="DC3514" i="1"/>
  <c r="DA3514" i="1"/>
  <c r="CY3514" i="1"/>
  <c r="Y3514" i="1" s="1"/>
  <c r="CW3514" i="1"/>
  <c r="AA3514" i="1" s="1"/>
  <c r="CR3514" i="1"/>
  <c r="CP3514" i="1"/>
  <c r="CN3514" i="1"/>
  <c r="CJ3514" i="1"/>
  <c r="CH3514" i="1"/>
  <c r="CF3514" i="1"/>
  <c r="BL3514" i="1"/>
  <c r="BD3514" i="1"/>
  <c r="AZ3514" i="1"/>
  <c r="AX3514" i="1"/>
  <c r="DC3513" i="1"/>
  <c r="DA3513" i="1"/>
  <c r="CY3513" i="1"/>
  <c r="Y3513" i="1" s="1"/>
  <c r="CW3513" i="1"/>
  <c r="AA3513" i="1" s="1"/>
  <c r="CR3513" i="1"/>
  <c r="CP3513" i="1"/>
  <c r="CN3513" i="1"/>
  <c r="CJ3513" i="1"/>
  <c r="CH3513" i="1"/>
  <c r="CF3513" i="1"/>
  <c r="BL3513" i="1"/>
  <c r="BD3513" i="1"/>
  <c r="AZ3513" i="1"/>
  <c r="AX3513" i="1"/>
  <c r="DC3512" i="1"/>
  <c r="DA3512" i="1"/>
  <c r="CY3512" i="1"/>
  <c r="CW3512" i="1"/>
  <c r="AA3512" i="1" s="1"/>
  <c r="CR3512" i="1"/>
  <c r="CP3512" i="1"/>
  <c r="CN3512" i="1"/>
  <c r="CJ3512" i="1"/>
  <c r="CH3512" i="1"/>
  <c r="CF3512" i="1"/>
  <c r="BL3512" i="1"/>
  <c r="BD3512" i="1"/>
  <c r="AZ3512" i="1"/>
  <c r="AX3512" i="1"/>
  <c r="Y3512" i="1"/>
  <c r="DC3511" i="1"/>
  <c r="DA3511" i="1"/>
  <c r="CY3511" i="1"/>
  <c r="CW3511" i="1"/>
  <c r="AA3511" i="1" s="1"/>
  <c r="CR3511" i="1"/>
  <c r="CP3511" i="1"/>
  <c r="CN3511" i="1"/>
  <c r="CJ3511" i="1"/>
  <c r="CH3511" i="1"/>
  <c r="CF3511" i="1"/>
  <c r="BL3511" i="1"/>
  <c r="BD3511" i="1"/>
  <c r="AZ3511" i="1"/>
  <c r="AX3511" i="1"/>
  <c r="Y3511" i="1"/>
  <c r="DC3510" i="1"/>
  <c r="DA3510" i="1"/>
  <c r="CY3510" i="1"/>
  <c r="Y3510" i="1" s="1"/>
  <c r="CW3510" i="1"/>
  <c r="AA3510" i="1" s="1"/>
  <c r="CR3510" i="1"/>
  <c r="CP3510" i="1"/>
  <c r="CN3510" i="1"/>
  <c r="CJ3510" i="1"/>
  <c r="CH3510" i="1"/>
  <c r="CF3510" i="1"/>
  <c r="BL3510" i="1"/>
  <c r="BD3510" i="1"/>
  <c r="AZ3510" i="1"/>
  <c r="AX3510" i="1"/>
  <c r="DC3509" i="1"/>
  <c r="DA3509" i="1"/>
  <c r="CY3509" i="1"/>
  <c r="Y3509" i="1" s="1"/>
  <c r="CW3509" i="1"/>
  <c r="AA3509" i="1" s="1"/>
  <c r="CR3509" i="1"/>
  <c r="CP3509" i="1"/>
  <c r="CN3509" i="1"/>
  <c r="CJ3509" i="1"/>
  <c r="CH3509" i="1"/>
  <c r="CF3509" i="1"/>
  <c r="BL3509" i="1"/>
  <c r="BD3509" i="1"/>
  <c r="AZ3509" i="1"/>
  <c r="AX3509" i="1"/>
  <c r="DC3495" i="1"/>
  <c r="DA3495" i="1"/>
  <c r="CY3495" i="1"/>
  <c r="Y3495" i="1" s="1"/>
  <c r="CW3495" i="1"/>
  <c r="AA3495" i="1" s="1"/>
  <c r="CR3495" i="1"/>
  <c r="CP3495" i="1"/>
  <c r="CN3495" i="1"/>
  <c r="CJ3495" i="1"/>
  <c r="CH3495" i="1"/>
  <c r="CF3495" i="1"/>
  <c r="BL3495" i="1"/>
  <c r="BD3495" i="1"/>
  <c r="AZ3495" i="1"/>
  <c r="AX3495" i="1"/>
  <c r="DC3508" i="1"/>
  <c r="DA3508" i="1"/>
  <c r="CY3508" i="1"/>
  <c r="Y3508" i="1" s="1"/>
  <c r="CW3508" i="1"/>
  <c r="AA3508" i="1" s="1"/>
  <c r="CR3508" i="1"/>
  <c r="CP3508" i="1"/>
  <c r="CN3508" i="1"/>
  <c r="CJ3508" i="1"/>
  <c r="CH3508" i="1"/>
  <c r="CF3508" i="1"/>
  <c r="BL3508" i="1"/>
  <c r="BD3508" i="1"/>
  <c r="AZ3508" i="1"/>
  <c r="AX3508" i="1"/>
  <c r="DC3507" i="1"/>
  <c r="DA3507" i="1"/>
  <c r="CY3507" i="1"/>
  <c r="Y3507" i="1" s="1"/>
  <c r="CW3507" i="1"/>
  <c r="AA3507" i="1" s="1"/>
  <c r="CR3507" i="1"/>
  <c r="CP3507" i="1"/>
  <c r="CN3507" i="1"/>
  <c r="CJ3507" i="1"/>
  <c r="CH3507" i="1"/>
  <c r="CF3507" i="1"/>
  <c r="BL3507" i="1"/>
  <c r="BD3507" i="1"/>
  <c r="AZ3507" i="1"/>
  <c r="AX3507" i="1"/>
  <c r="DC3506" i="1"/>
  <c r="DA3506" i="1"/>
  <c r="CY3506" i="1"/>
  <c r="Y3506" i="1" s="1"/>
  <c r="CW3506" i="1"/>
  <c r="AA3506" i="1" s="1"/>
  <c r="CR3506" i="1"/>
  <c r="CP3506" i="1"/>
  <c r="CN3506" i="1"/>
  <c r="CJ3506" i="1"/>
  <c r="CH3506" i="1"/>
  <c r="CF3506" i="1"/>
  <c r="BL3506" i="1"/>
  <c r="BD3506" i="1"/>
  <c r="AZ3506" i="1"/>
  <c r="AX3506" i="1"/>
  <c r="DC3505" i="1"/>
  <c r="DA3505" i="1"/>
  <c r="CY3505" i="1"/>
  <c r="Y3505" i="1" s="1"/>
  <c r="CW3505" i="1"/>
  <c r="AA3505" i="1" s="1"/>
  <c r="CR3505" i="1"/>
  <c r="CP3505" i="1"/>
  <c r="CN3505" i="1"/>
  <c r="CJ3505" i="1"/>
  <c r="CH3505" i="1"/>
  <c r="CF3505" i="1"/>
  <c r="BL3505" i="1"/>
  <c r="BD3505" i="1"/>
  <c r="AZ3505" i="1"/>
  <c r="AX3505" i="1"/>
  <c r="DC3528" i="1"/>
  <c r="DA3528" i="1"/>
  <c r="CY3528" i="1"/>
  <c r="Y3528" i="1" s="1"/>
  <c r="CW3528" i="1"/>
  <c r="AA3528" i="1" s="1"/>
  <c r="CR3528" i="1"/>
  <c r="CP3528" i="1"/>
  <c r="CN3528" i="1"/>
  <c r="CJ3528" i="1"/>
  <c r="CH3528" i="1"/>
  <c r="CF3528" i="1"/>
  <c r="BL3528" i="1"/>
  <c r="BD3528" i="1"/>
  <c r="AZ3528" i="1"/>
  <c r="AX3528" i="1"/>
  <c r="DC3504" i="1"/>
  <c r="DA3504" i="1"/>
  <c r="CY3504" i="1"/>
  <c r="Y3504" i="1" s="1"/>
  <c r="CW3504" i="1"/>
  <c r="AA3504" i="1" s="1"/>
  <c r="CR3504" i="1"/>
  <c r="CP3504" i="1"/>
  <c r="CN3504" i="1"/>
  <c r="CJ3504" i="1"/>
  <c r="CH3504" i="1"/>
  <c r="CF3504" i="1"/>
  <c r="BL3504" i="1"/>
  <c r="BD3504" i="1"/>
  <c r="AZ3504" i="1"/>
  <c r="AX3504" i="1"/>
  <c r="DC3494" i="1"/>
  <c r="DA3494" i="1"/>
  <c r="CY3494" i="1"/>
  <c r="Y3494" i="1" s="1"/>
  <c r="CW3494" i="1"/>
  <c r="AA3494" i="1" s="1"/>
  <c r="CR3494" i="1"/>
  <c r="CP3494" i="1"/>
  <c r="CN3494" i="1"/>
  <c r="CJ3494" i="1"/>
  <c r="CH3494" i="1"/>
  <c r="CF3494" i="1"/>
  <c r="BL3494" i="1"/>
  <c r="BD3494" i="1"/>
  <c r="AZ3494" i="1"/>
  <c r="AX3494" i="1"/>
  <c r="DC3503" i="1"/>
  <c r="DA3503" i="1"/>
  <c r="CY3503" i="1"/>
  <c r="Y3503" i="1" s="1"/>
  <c r="CW3503" i="1"/>
  <c r="AA3503" i="1" s="1"/>
  <c r="CR3503" i="1"/>
  <c r="CP3503" i="1"/>
  <c r="CN3503" i="1"/>
  <c r="CJ3503" i="1"/>
  <c r="CH3503" i="1"/>
  <c r="CF3503" i="1"/>
  <c r="BL3503" i="1"/>
  <c r="BD3503" i="1"/>
  <c r="AZ3503" i="1"/>
  <c r="AX3503" i="1"/>
  <c r="DC3493" i="1"/>
  <c r="DA3493" i="1"/>
  <c r="CY3493" i="1"/>
  <c r="Y3493" i="1" s="1"/>
  <c r="CW3493" i="1"/>
  <c r="AA3493" i="1" s="1"/>
  <c r="CR3493" i="1"/>
  <c r="CP3493" i="1"/>
  <c r="CN3493" i="1"/>
  <c r="CJ3493" i="1"/>
  <c r="CH3493" i="1"/>
  <c r="CF3493" i="1"/>
  <c r="BL3493" i="1"/>
  <c r="BD3493" i="1"/>
  <c r="AZ3493" i="1"/>
  <c r="AX3493" i="1"/>
  <c r="DC3502" i="1"/>
  <c r="DA3502" i="1"/>
  <c r="CY3502" i="1"/>
  <c r="Y3502" i="1" s="1"/>
  <c r="CW3502" i="1"/>
  <c r="AA3502" i="1" s="1"/>
  <c r="CR3502" i="1"/>
  <c r="CP3502" i="1"/>
  <c r="CN3502" i="1"/>
  <c r="CJ3502" i="1"/>
  <c r="CH3502" i="1"/>
  <c r="CF3502" i="1"/>
  <c r="BL3502" i="1"/>
  <c r="BD3502" i="1"/>
  <c r="AZ3502" i="1"/>
  <c r="AX3502" i="1"/>
  <c r="DC3501" i="1"/>
  <c r="DA3501" i="1"/>
  <c r="CY3501" i="1"/>
  <c r="Y3501" i="1" s="1"/>
  <c r="CW3501" i="1"/>
  <c r="AA3501" i="1" s="1"/>
  <c r="CR3501" i="1"/>
  <c r="CP3501" i="1"/>
  <c r="CN3501" i="1"/>
  <c r="CJ3501" i="1"/>
  <c r="CH3501" i="1"/>
  <c r="CF3501" i="1"/>
  <c r="BL3501" i="1"/>
  <c r="BD3501" i="1"/>
  <c r="AZ3501" i="1"/>
  <c r="AX3501" i="1"/>
  <c r="DC3500" i="1"/>
  <c r="DA3500" i="1"/>
  <c r="CY3500" i="1"/>
  <c r="Y3500" i="1" s="1"/>
  <c r="CW3500" i="1"/>
  <c r="AA3500" i="1" s="1"/>
  <c r="CR3500" i="1"/>
  <c r="CP3500" i="1"/>
  <c r="CN3500" i="1"/>
  <c r="CJ3500" i="1"/>
  <c r="CH3500" i="1"/>
  <c r="CF3500" i="1"/>
  <c r="BL3500" i="1"/>
  <c r="BD3500" i="1"/>
  <c r="AZ3500" i="1"/>
  <c r="AX3500" i="1"/>
  <c r="DC3499" i="1"/>
  <c r="DA3499" i="1"/>
  <c r="CY3499" i="1"/>
  <c r="Y3499" i="1" s="1"/>
  <c r="CW3499" i="1"/>
  <c r="AA3499" i="1" s="1"/>
  <c r="CR3499" i="1"/>
  <c r="CP3499" i="1"/>
  <c r="CN3499" i="1"/>
  <c r="CJ3499" i="1"/>
  <c r="CH3499" i="1"/>
  <c r="CF3499" i="1"/>
  <c r="BL3499" i="1"/>
  <c r="BD3499" i="1"/>
  <c r="AZ3499" i="1"/>
  <c r="AX3499" i="1"/>
  <c r="DC3498" i="1"/>
  <c r="DA3498" i="1"/>
  <c r="CY3498" i="1"/>
  <c r="Y3498" i="1" s="1"/>
  <c r="CW3498" i="1"/>
  <c r="AA3498" i="1" s="1"/>
  <c r="CR3498" i="1"/>
  <c r="CP3498" i="1"/>
  <c r="CN3498" i="1"/>
  <c r="CJ3498" i="1"/>
  <c r="CH3498" i="1"/>
  <c r="CF3498" i="1"/>
  <c r="BL3498" i="1"/>
  <c r="BD3498" i="1"/>
  <c r="AZ3498" i="1"/>
  <c r="AX3498" i="1"/>
  <c r="AD3536" i="1" l="1"/>
  <c r="AD3515" i="1"/>
  <c r="AD3525" i="1"/>
  <c r="AD3527" i="1"/>
  <c r="AD3522" i="1"/>
  <c r="AD3518" i="1"/>
  <c r="AD3526" i="1"/>
  <c r="AD3523" i="1"/>
  <c r="AD3534" i="1"/>
  <c r="AD3537" i="1"/>
  <c r="AD3535" i="1"/>
  <c r="AD3519" i="1"/>
  <c r="AD3517" i="1"/>
  <c r="AD3524" i="1"/>
  <c r="AD3516" i="1"/>
  <c r="Z3510" i="1"/>
  <c r="Z3511" i="1"/>
  <c r="CU3514" i="1"/>
  <c r="X3514" i="1" s="1"/>
  <c r="Z3506" i="1"/>
  <c r="CU3505" i="1"/>
  <c r="X3505" i="1" s="1"/>
  <c r="Z3505" i="1"/>
  <c r="Z3508" i="1"/>
  <c r="Z3507" i="1"/>
  <c r="CU3509" i="1"/>
  <c r="X3509" i="1" s="1"/>
  <c r="Z3509" i="1"/>
  <c r="Z3512" i="1"/>
  <c r="Z3513" i="1"/>
  <c r="Z3495" i="1"/>
  <c r="Z3514" i="1"/>
  <c r="CU3508" i="1"/>
  <c r="X3508" i="1" s="1"/>
  <c r="CU3511" i="1"/>
  <c r="X3511" i="1" s="1"/>
  <c r="CU3495" i="1"/>
  <c r="X3495" i="1" s="1"/>
  <c r="CU3512" i="1"/>
  <c r="X3512" i="1" s="1"/>
  <c r="CU3513" i="1"/>
  <c r="X3513" i="1" s="1"/>
  <c r="CU3506" i="1"/>
  <c r="X3506" i="1" s="1"/>
  <c r="AD3506" i="1" s="1"/>
  <c r="CU3507" i="1"/>
  <c r="X3507" i="1" s="1"/>
  <c r="CU3510" i="1"/>
  <c r="X3510" i="1" s="1"/>
  <c r="CU3498" i="1"/>
  <c r="X3498" i="1" s="1"/>
  <c r="CU3499" i="1"/>
  <c r="X3499" i="1" s="1"/>
  <c r="CU3494" i="1"/>
  <c r="X3494" i="1" s="1"/>
  <c r="CU3528" i="1"/>
  <c r="X3528" i="1" s="1"/>
  <c r="CU3503" i="1"/>
  <c r="X3503" i="1" s="1"/>
  <c r="CU3501" i="1"/>
  <c r="X3501" i="1" s="1"/>
  <c r="CU3493" i="1"/>
  <c r="X3493" i="1" s="1"/>
  <c r="CU3500" i="1"/>
  <c r="X3500" i="1" s="1"/>
  <c r="CU3504" i="1"/>
  <c r="X3504" i="1" s="1"/>
  <c r="CU3502" i="1"/>
  <c r="X3502" i="1" s="1"/>
  <c r="Z3498" i="1"/>
  <c r="Z3499" i="1"/>
  <c r="Z3500" i="1"/>
  <c r="Z3501" i="1"/>
  <c r="Z3502" i="1"/>
  <c r="Z3493" i="1"/>
  <c r="Z3503" i="1"/>
  <c r="Z3494" i="1"/>
  <c r="Z3504" i="1"/>
  <c r="Z3528" i="1"/>
  <c r="DE1274" i="1"/>
  <c r="DC1274" i="1"/>
  <c r="DA1274" i="1"/>
  <c r="AD3495" i="1" l="1"/>
  <c r="AD3508" i="1"/>
  <c r="AD3510" i="1"/>
  <c r="AD3509" i="1"/>
  <c r="AD3511" i="1"/>
  <c r="AD3514" i="1"/>
  <c r="AD3505" i="1"/>
  <c r="AD3507" i="1"/>
  <c r="AD3513" i="1"/>
  <c r="AD3512" i="1"/>
  <c r="AD3528" i="1"/>
  <c r="AD3498" i="1"/>
  <c r="AD3502" i="1"/>
  <c r="AD3504" i="1"/>
  <c r="AD3493" i="1"/>
  <c r="AD3501" i="1"/>
  <c r="AD3494" i="1"/>
  <c r="AD3503" i="1"/>
  <c r="AD3499" i="1"/>
  <c r="AD3500" i="1"/>
  <c r="DE641" i="1"/>
  <c r="DC2154" i="1"/>
  <c r="DE2154" i="1"/>
  <c r="DC2394" i="1"/>
  <c r="DE2359" i="1"/>
  <c r="DC2359" i="1"/>
  <c r="DA2359" i="1"/>
  <c r="I3476" i="1" l="1"/>
  <c r="DC3485" i="1" l="1"/>
  <c r="DA3485" i="1"/>
  <c r="CY3485" i="1"/>
  <c r="Y3485" i="1" s="1"/>
  <c r="CW3485" i="1"/>
  <c r="AA3485" i="1" s="1"/>
  <c r="CR3485" i="1"/>
  <c r="CP3485" i="1"/>
  <c r="CN3485" i="1"/>
  <c r="CJ3485" i="1"/>
  <c r="CH3485" i="1"/>
  <c r="CF3485" i="1"/>
  <c r="BL3485" i="1"/>
  <c r="BD3485" i="1"/>
  <c r="AZ3485" i="1"/>
  <c r="AX3485" i="1"/>
  <c r="DC3490" i="1"/>
  <c r="DA3490" i="1"/>
  <c r="CY3490" i="1"/>
  <c r="Y3490" i="1" s="1"/>
  <c r="CW3490" i="1"/>
  <c r="AA3490" i="1" s="1"/>
  <c r="CR3490" i="1"/>
  <c r="CP3490" i="1"/>
  <c r="CN3490" i="1"/>
  <c r="CJ3490" i="1"/>
  <c r="CH3490" i="1"/>
  <c r="CF3490" i="1"/>
  <c r="BL3490" i="1"/>
  <c r="BD3490" i="1"/>
  <c r="AZ3490" i="1"/>
  <c r="AX3490" i="1"/>
  <c r="CU3485" i="1" l="1"/>
  <c r="X3485" i="1" s="1"/>
  <c r="CU3490" i="1"/>
  <c r="X3490" i="1" s="1"/>
  <c r="Z3490" i="1"/>
  <c r="Z3485" i="1"/>
  <c r="DC1843" i="1"/>
  <c r="AZ1843" i="1"/>
  <c r="CJ1843" i="1"/>
  <c r="CR1843" i="1"/>
  <c r="CY1843" i="1"/>
  <c r="DA694" i="1"/>
  <c r="DC694" i="1"/>
  <c r="DE2149" i="1"/>
  <c r="DA2149" i="1"/>
  <c r="DC2149" i="1"/>
  <c r="BZ2147" i="1"/>
  <c r="DA2147" i="1"/>
  <c r="CW2147" i="1"/>
  <c r="DC2147" i="1"/>
  <c r="DE1487" i="1"/>
  <c r="DA1487" i="1"/>
  <c r="DC1487" i="1"/>
  <c r="DE2031" i="1"/>
  <c r="DE1522" i="1"/>
  <c r="DA2031" i="1"/>
  <c r="DA1522" i="1"/>
  <c r="DC2031" i="1"/>
  <c r="DC1522" i="1"/>
  <c r="AB851" i="1"/>
  <c r="DC2120" i="1"/>
  <c r="CJ2120" i="1"/>
  <c r="AZ2120" i="1"/>
  <c r="DE730" i="1"/>
  <c r="DC730" i="1"/>
  <c r="DA730" i="1"/>
  <c r="DE724" i="1"/>
  <c r="DC724" i="1"/>
  <c r="DA724" i="1"/>
  <c r="DE720" i="1"/>
  <c r="DC720" i="1"/>
  <c r="DA720" i="1"/>
  <c r="DE719" i="1"/>
  <c r="DA719" i="1"/>
  <c r="DE717" i="1"/>
  <c r="DC717" i="1"/>
  <c r="DA717" i="1"/>
  <c r="DE713" i="1"/>
  <c r="DA713" i="1"/>
  <c r="DC713" i="1"/>
  <c r="AZ1871" i="1"/>
  <c r="DC1871" i="1"/>
  <c r="CY1871" i="1"/>
  <c r="CP1871" i="1"/>
  <c r="CJ1871" i="1"/>
  <c r="CY1986" i="1"/>
  <c r="CY1608" i="1"/>
  <c r="CP2147" i="1"/>
  <c r="CY2147" i="1"/>
  <c r="CY1941" i="1"/>
  <c r="BL1941" i="1"/>
  <c r="DC3471" i="1"/>
  <c r="DA3471" i="1"/>
  <c r="CY3471" i="1"/>
  <c r="Y3471" i="1" s="1"/>
  <c r="CW3471" i="1"/>
  <c r="AA3471" i="1" s="1"/>
  <c r="CR3471" i="1"/>
  <c r="CP3471" i="1"/>
  <c r="CN3471" i="1"/>
  <c r="CJ3471" i="1"/>
  <c r="CH3471" i="1"/>
  <c r="CF3471" i="1"/>
  <c r="BL3471" i="1"/>
  <c r="BD3471" i="1"/>
  <c r="AZ3471" i="1"/>
  <c r="AX3471" i="1"/>
  <c r="DC3478" i="1"/>
  <c r="DA3478" i="1"/>
  <c r="CY3478" i="1"/>
  <c r="Y3478" i="1" s="1"/>
  <c r="CW3478" i="1"/>
  <c r="AA3478" i="1" s="1"/>
  <c r="CR3478" i="1"/>
  <c r="CP3478" i="1"/>
  <c r="CN3478" i="1"/>
  <c r="CJ3478" i="1"/>
  <c r="CH3478" i="1"/>
  <c r="CF3478" i="1"/>
  <c r="BL3478" i="1"/>
  <c r="BD3478" i="1"/>
  <c r="AZ3478" i="1"/>
  <c r="AX3478" i="1"/>
  <c r="DC3489" i="1"/>
  <c r="DA3489" i="1"/>
  <c r="CY3489" i="1"/>
  <c r="Y3489" i="1" s="1"/>
  <c r="CW3489" i="1"/>
  <c r="AA3489" i="1" s="1"/>
  <c r="CR3489" i="1"/>
  <c r="CP3489" i="1"/>
  <c r="CN3489" i="1"/>
  <c r="CJ3489" i="1"/>
  <c r="CH3489" i="1"/>
  <c r="CF3489" i="1"/>
  <c r="BL3489" i="1"/>
  <c r="BD3489" i="1"/>
  <c r="AZ3489" i="1"/>
  <c r="AX3489" i="1"/>
  <c r="DC3484" i="1"/>
  <c r="DA3484" i="1"/>
  <c r="CY3484" i="1"/>
  <c r="Y3484" i="1" s="1"/>
  <c r="CW3484" i="1"/>
  <c r="AA3484" i="1" s="1"/>
  <c r="CR3484" i="1"/>
  <c r="CP3484" i="1"/>
  <c r="CN3484" i="1"/>
  <c r="CJ3484" i="1"/>
  <c r="CH3484" i="1"/>
  <c r="CF3484" i="1"/>
  <c r="BL3484" i="1"/>
  <c r="BD3484" i="1"/>
  <c r="AZ3484" i="1"/>
  <c r="AX3484" i="1"/>
  <c r="DC3488" i="1"/>
  <c r="DA3488" i="1"/>
  <c r="CY3488" i="1"/>
  <c r="Y3488" i="1" s="1"/>
  <c r="CW3488" i="1"/>
  <c r="AA3488" i="1" s="1"/>
  <c r="CR3488" i="1"/>
  <c r="CP3488" i="1"/>
  <c r="CN3488" i="1"/>
  <c r="CJ3488" i="1"/>
  <c r="CH3488" i="1"/>
  <c r="CF3488" i="1"/>
  <c r="BL3488" i="1"/>
  <c r="BD3488" i="1"/>
  <c r="AZ3488" i="1"/>
  <c r="AX3488" i="1"/>
  <c r="DC3487" i="1"/>
  <c r="DA3487" i="1"/>
  <c r="CY3487" i="1"/>
  <c r="Y3487" i="1" s="1"/>
  <c r="CW3487" i="1"/>
  <c r="AA3487" i="1" s="1"/>
  <c r="CR3487" i="1"/>
  <c r="CP3487" i="1"/>
  <c r="CN3487" i="1"/>
  <c r="CJ3487" i="1"/>
  <c r="CH3487" i="1"/>
  <c r="CF3487" i="1"/>
  <c r="BL3487" i="1"/>
  <c r="BD3487" i="1"/>
  <c r="AZ3487" i="1"/>
  <c r="AX3487" i="1"/>
  <c r="DC3470" i="1"/>
  <c r="DA3470" i="1"/>
  <c r="CY3470" i="1"/>
  <c r="Y3470" i="1" s="1"/>
  <c r="CW3470" i="1"/>
  <c r="AA3470" i="1" s="1"/>
  <c r="CR3470" i="1"/>
  <c r="CP3470" i="1"/>
  <c r="CN3470" i="1"/>
  <c r="CJ3470" i="1"/>
  <c r="CH3470" i="1"/>
  <c r="CF3470" i="1"/>
  <c r="BL3470" i="1"/>
  <c r="BD3470" i="1"/>
  <c r="AZ3470" i="1"/>
  <c r="AX3470" i="1"/>
  <c r="DC3486" i="1"/>
  <c r="DA3486" i="1"/>
  <c r="CY3486" i="1"/>
  <c r="Y3486" i="1" s="1"/>
  <c r="CW3486" i="1"/>
  <c r="AA3486" i="1" s="1"/>
  <c r="CR3486" i="1"/>
  <c r="CP3486" i="1"/>
  <c r="CN3486" i="1"/>
  <c r="CJ3486" i="1"/>
  <c r="CH3486" i="1"/>
  <c r="CF3486" i="1"/>
  <c r="BL3486" i="1"/>
  <c r="BD3486" i="1"/>
  <c r="AZ3486" i="1"/>
  <c r="AX3486" i="1"/>
  <c r="DC3477" i="1"/>
  <c r="DA3477" i="1"/>
  <c r="CY3477" i="1"/>
  <c r="Y3477" i="1" s="1"/>
  <c r="CW3477" i="1"/>
  <c r="AA3477" i="1" s="1"/>
  <c r="CR3477" i="1"/>
  <c r="CP3477" i="1"/>
  <c r="CN3477" i="1"/>
  <c r="CJ3477" i="1"/>
  <c r="CH3477" i="1"/>
  <c r="CF3477" i="1"/>
  <c r="BL3477" i="1"/>
  <c r="BD3477" i="1"/>
  <c r="AZ3477" i="1"/>
  <c r="AX3477" i="1"/>
  <c r="AD3485" i="1" l="1"/>
  <c r="AD3490" i="1"/>
  <c r="Z3489" i="1"/>
  <c r="CU3489" i="1"/>
  <c r="X3489" i="1" s="1"/>
  <c r="Z3477" i="1"/>
  <c r="Z3486" i="1"/>
  <c r="Z3487" i="1"/>
  <c r="Z3478" i="1"/>
  <c r="Z3471" i="1"/>
  <c r="CU3470" i="1"/>
  <c r="X3470" i="1" s="1"/>
  <c r="Z3470" i="1"/>
  <c r="Z3484" i="1"/>
  <c r="CU3477" i="1"/>
  <c r="X3477" i="1" s="1"/>
  <c r="CU3487" i="1"/>
  <c r="X3487" i="1" s="1"/>
  <c r="CU3488" i="1"/>
  <c r="X3488" i="1" s="1"/>
  <c r="Z3488" i="1"/>
  <c r="CU3471" i="1"/>
  <c r="X3471" i="1" s="1"/>
  <c r="CU3486" i="1"/>
  <c r="X3486" i="1" s="1"/>
  <c r="CU3484" i="1"/>
  <c r="X3484" i="1" s="1"/>
  <c r="CU3478" i="1"/>
  <c r="X3478" i="1" s="1"/>
  <c r="AD3487" i="1" l="1"/>
  <c r="AD3489" i="1"/>
  <c r="AD3484" i="1"/>
  <c r="AD3470" i="1"/>
  <c r="AD3478" i="1"/>
  <c r="AD3486" i="1"/>
  <c r="AD3477" i="1"/>
  <c r="AD3471" i="1"/>
  <c r="AD3488" i="1"/>
  <c r="DE721" i="1"/>
  <c r="DC2156" i="1"/>
  <c r="DA2156" i="1"/>
  <c r="AB2057" i="1"/>
  <c r="BZ2057" i="1"/>
  <c r="DC2057" i="1"/>
  <c r="CW2057" i="1"/>
  <c r="CN2057" i="1"/>
  <c r="CP2057" i="1"/>
  <c r="CY2057" i="1"/>
  <c r="DC3492" i="1" l="1"/>
  <c r="DA3492" i="1"/>
  <c r="CY3492" i="1"/>
  <c r="Y3492" i="1" s="1"/>
  <c r="CW3492" i="1"/>
  <c r="AA3492" i="1" s="1"/>
  <c r="CR3492" i="1"/>
  <c r="CP3492" i="1"/>
  <c r="CN3492" i="1"/>
  <c r="CJ3492" i="1"/>
  <c r="CH3492" i="1"/>
  <c r="CF3492" i="1"/>
  <c r="BL3492" i="1"/>
  <c r="BD3492" i="1"/>
  <c r="AZ3492" i="1"/>
  <c r="AX3492" i="1"/>
  <c r="DC3491" i="1"/>
  <c r="DA3491" i="1"/>
  <c r="CY3491" i="1"/>
  <c r="Y3491" i="1" s="1"/>
  <c r="CW3491" i="1"/>
  <c r="AA3491" i="1" s="1"/>
  <c r="CR3491" i="1"/>
  <c r="CP3491" i="1"/>
  <c r="CN3491" i="1"/>
  <c r="CJ3491" i="1"/>
  <c r="CH3491" i="1"/>
  <c r="CF3491" i="1"/>
  <c r="BL3491" i="1"/>
  <c r="BD3491" i="1"/>
  <c r="AZ3491" i="1"/>
  <c r="AX3491" i="1"/>
  <c r="DC3483" i="1"/>
  <c r="DA3483" i="1"/>
  <c r="CY3483" i="1"/>
  <c r="Y3483" i="1" s="1"/>
  <c r="CW3483" i="1"/>
  <c r="AA3483" i="1" s="1"/>
  <c r="CR3483" i="1"/>
  <c r="CP3483" i="1"/>
  <c r="CN3483" i="1"/>
  <c r="CJ3483" i="1"/>
  <c r="CH3483" i="1"/>
  <c r="CF3483" i="1"/>
  <c r="BL3483" i="1"/>
  <c r="BD3483" i="1"/>
  <c r="AZ3483" i="1"/>
  <c r="AX3483" i="1"/>
  <c r="DC3462" i="1"/>
  <c r="DA3462" i="1"/>
  <c r="CY3462" i="1"/>
  <c r="Y3462" i="1" s="1"/>
  <c r="CW3462" i="1"/>
  <c r="AA3462" i="1" s="1"/>
  <c r="CR3462" i="1"/>
  <c r="CP3462" i="1"/>
  <c r="CN3462" i="1"/>
  <c r="CJ3462" i="1"/>
  <c r="CH3462" i="1"/>
  <c r="CF3462" i="1"/>
  <c r="BL3462" i="1"/>
  <c r="BD3462" i="1"/>
  <c r="AZ3462" i="1"/>
  <c r="AX3462" i="1"/>
  <c r="DC3482" i="1"/>
  <c r="DA3482" i="1"/>
  <c r="CY3482" i="1"/>
  <c r="Y3482" i="1" s="1"/>
  <c r="CW3482" i="1"/>
  <c r="AA3482" i="1" s="1"/>
  <c r="CR3482" i="1"/>
  <c r="CP3482" i="1"/>
  <c r="CN3482" i="1"/>
  <c r="CJ3482" i="1"/>
  <c r="CH3482" i="1"/>
  <c r="CF3482" i="1"/>
  <c r="BL3482" i="1"/>
  <c r="BD3482" i="1"/>
  <c r="AZ3482" i="1"/>
  <c r="AX3482" i="1"/>
  <c r="DC3476" i="1"/>
  <c r="DA3476" i="1"/>
  <c r="Y3476" i="1"/>
  <c r="CW3476" i="1"/>
  <c r="AA3476" i="1" s="1"/>
  <c r="CN3476" i="1"/>
  <c r="CH3476" i="1"/>
  <c r="CF3476" i="1"/>
  <c r="BL3476" i="1"/>
  <c r="BD3476" i="1"/>
  <c r="AZ3476" i="1"/>
  <c r="AX3476" i="1"/>
  <c r="DC3481" i="1"/>
  <c r="DA3481" i="1"/>
  <c r="CY3481" i="1"/>
  <c r="Y3481" i="1" s="1"/>
  <c r="CW3481" i="1"/>
  <c r="AA3481" i="1" s="1"/>
  <c r="CR3481" i="1"/>
  <c r="CP3481" i="1"/>
  <c r="CN3481" i="1"/>
  <c r="CJ3481" i="1"/>
  <c r="CH3481" i="1"/>
  <c r="CF3481" i="1"/>
  <c r="BL3481" i="1"/>
  <c r="BD3481" i="1"/>
  <c r="AZ3481" i="1"/>
  <c r="AX3481" i="1"/>
  <c r="DC3480" i="1"/>
  <c r="DA3480" i="1"/>
  <c r="CY3480" i="1"/>
  <c r="Y3480" i="1" s="1"/>
  <c r="CW3480" i="1"/>
  <c r="AA3480" i="1" s="1"/>
  <c r="CR3480" i="1"/>
  <c r="CP3480" i="1"/>
  <c r="CN3480" i="1"/>
  <c r="CJ3480" i="1"/>
  <c r="CH3480" i="1"/>
  <c r="CF3480" i="1"/>
  <c r="BL3480" i="1"/>
  <c r="BD3480" i="1"/>
  <c r="AZ3480" i="1"/>
  <c r="AX3480" i="1"/>
  <c r="DC3479" i="1"/>
  <c r="DA3479" i="1"/>
  <c r="CY3479" i="1"/>
  <c r="Y3479" i="1" s="1"/>
  <c r="CW3479" i="1"/>
  <c r="AA3479" i="1" s="1"/>
  <c r="CR3479" i="1"/>
  <c r="CP3479" i="1"/>
  <c r="CN3479" i="1"/>
  <c r="CJ3479" i="1"/>
  <c r="CH3479" i="1"/>
  <c r="CF3479" i="1"/>
  <c r="BL3479" i="1"/>
  <c r="BD3479" i="1"/>
  <c r="AZ3479" i="1"/>
  <c r="AX3479" i="1"/>
  <c r="DC3474" i="1"/>
  <c r="DA3474" i="1"/>
  <c r="CY3474" i="1"/>
  <c r="Y3474" i="1" s="1"/>
  <c r="CW3474" i="1"/>
  <c r="AA3474" i="1" s="1"/>
  <c r="CR3474" i="1"/>
  <c r="CP3474" i="1"/>
  <c r="CN3474" i="1"/>
  <c r="CJ3474" i="1"/>
  <c r="CH3474" i="1"/>
  <c r="CF3474" i="1"/>
  <c r="BL3474" i="1"/>
  <c r="BD3474" i="1"/>
  <c r="AZ3474" i="1"/>
  <c r="AX3474" i="1"/>
  <c r="DC3461" i="1"/>
  <c r="DA3461" i="1"/>
  <c r="CY3461" i="1"/>
  <c r="Y3461" i="1" s="1"/>
  <c r="CW3461" i="1"/>
  <c r="AA3461" i="1" s="1"/>
  <c r="CR3461" i="1"/>
  <c r="CP3461" i="1"/>
  <c r="CN3461" i="1"/>
  <c r="CJ3461" i="1"/>
  <c r="CH3461" i="1"/>
  <c r="CF3461" i="1"/>
  <c r="BL3461" i="1"/>
  <c r="BD3461" i="1"/>
  <c r="AZ3461" i="1"/>
  <c r="AX3461" i="1"/>
  <c r="DC3469" i="1"/>
  <c r="DA3469" i="1"/>
  <c r="CY3469" i="1"/>
  <c r="Y3469" i="1" s="1"/>
  <c r="CW3469" i="1"/>
  <c r="AA3469" i="1" s="1"/>
  <c r="CR3469" i="1"/>
  <c r="CP3469" i="1"/>
  <c r="CN3469" i="1"/>
  <c r="CJ3469" i="1"/>
  <c r="CH3469" i="1"/>
  <c r="CF3469" i="1"/>
  <c r="BL3469" i="1"/>
  <c r="BD3469" i="1"/>
  <c r="AZ3469" i="1"/>
  <c r="AX3469" i="1"/>
  <c r="DC3473" i="1"/>
  <c r="DA3473" i="1"/>
  <c r="CY3473" i="1"/>
  <c r="Y3473" i="1" s="1"/>
  <c r="CW3473" i="1"/>
  <c r="AA3473" i="1" s="1"/>
  <c r="CR3473" i="1"/>
  <c r="CP3473" i="1"/>
  <c r="CN3473" i="1"/>
  <c r="CJ3473" i="1"/>
  <c r="CH3473" i="1"/>
  <c r="CF3473" i="1"/>
  <c r="BL3473" i="1"/>
  <c r="BD3473" i="1"/>
  <c r="AZ3473" i="1"/>
  <c r="AX3473" i="1"/>
  <c r="DC3468" i="1"/>
  <c r="DA3468" i="1"/>
  <c r="CY3468" i="1"/>
  <c r="Y3468" i="1" s="1"/>
  <c r="CW3468" i="1"/>
  <c r="AA3468" i="1" s="1"/>
  <c r="CR3468" i="1"/>
  <c r="CP3468" i="1"/>
  <c r="CN3468" i="1"/>
  <c r="CJ3468" i="1"/>
  <c r="CH3468" i="1"/>
  <c r="CF3468" i="1"/>
  <c r="BL3468" i="1"/>
  <c r="BD3468" i="1"/>
  <c r="AZ3468" i="1"/>
  <c r="AX3468" i="1"/>
  <c r="DC3467" i="1"/>
  <c r="DA3467" i="1"/>
  <c r="CY3467" i="1"/>
  <c r="Y3467" i="1" s="1"/>
  <c r="CW3467" i="1"/>
  <c r="AA3467" i="1" s="1"/>
  <c r="CR3467" i="1"/>
  <c r="CP3467" i="1"/>
  <c r="CN3467" i="1"/>
  <c r="CJ3467" i="1"/>
  <c r="CH3467" i="1"/>
  <c r="CF3467" i="1"/>
  <c r="BL3467" i="1"/>
  <c r="BD3467" i="1"/>
  <c r="AZ3467" i="1"/>
  <c r="AX3467" i="1"/>
  <c r="DC3466" i="1"/>
  <c r="DA3466" i="1"/>
  <c r="CY3466" i="1"/>
  <c r="Y3466" i="1" s="1"/>
  <c r="CW3466" i="1"/>
  <c r="AA3466" i="1" s="1"/>
  <c r="CR3466" i="1"/>
  <c r="CP3466" i="1"/>
  <c r="CN3466" i="1"/>
  <c r="CJ3466" i="1"/>
  <c r="CH3466" i="1"/>
  <c r="CF3466" i="1"/>
  <c r="BL3466" i="1"/>
  <c r="BD3466" i="1"/>
  <c r="AZ3466" i="1"/>
  <c r="AX3466" i="1"/>
  <c r="DC3460" i="1"/>
  <c r="DA3460" i="1"/>
  <c r="CY3460" i="1"/>
  <c r="Y3460" i="1" s="1"/>
  <c r="CW3460" i="1"/>
  <c r="AA3460" i="1" s="1"/>
  <c r="CR3460" i="1"/>
  <c r="CP3460" i="1"/>
  <c r="CN3460" i="1"/>
  <c r="CJ3460" i="1"/>
  <c r="CH3460" i="1"/>
  <c r="CF3460" i="1"/>
  <c r="BL3460" i="1"/>
  <c r="BD3460" i="1"/>
  <c r="AZ3460" i="1"/>
  <c r="AX3460" i="1"/>
  <c r="DC3459" i="1"/>
  <c r="DA3459" i="1"/>
  <c r="CY3459" i="1"/>
  <c r="Y3459" i="1" s="1"/>
  <c r="CW3459" i="1"/>
  <c r="AA3459" i="1" s="1"/>
  <c r="CR3459" i="1"/>
  <c r="CP3459" i="1"/>
  <c r="CN3459" i="1"/>
  <c r="CJ3459" i="1"/>
  <c r="CH3459" i="1"/>
  <c r="CF3459" i="1"/>
  <c r="BL3459" i="1"/>
  <c r="BD3459" i="1"/>
  <c r="AZ3459" i="1"/>
  <c r="AX3459" i="1"/>
  <c r="DC3465" i="1"/>
  <c r="DA3465" i="1"/>
  <c r="CY3465" i="1"/>
  <c r="Y3465" i="1" s="1"/>
  <c r="CW3465" i="1"/>
  <c r="AA3465" i="1" s="1"/>
  <c r="CR3465" i="1"/>
  <c r="CP3465" i="1"/>
  <c r="CN3465" i="1"/>
  <c r="CJ3465" i="1"/>
  <c r="CH3465" i="1"/>
  <c r="CF3465" i="1"/>
  <c r="BL3465" i="1"/>
  <c r="BD3465" i="1"/>
  <c r="AZ3465" i="1"/>
  <c r="AX3465" i="1"/>
  <c r="DC3458" i="1"/>
  <c r="DA3458" i="1"/>
  <c r="CY3458" i="1"/>
  <c r="Y3458" i="1" s="1"/>
  <c r="CW3458" i="1"/>
  <c r="AA3458" i="1" s="1"/>
  <c r="CR3458" i="1"/>
  <c r="CP3458" i="1"/>
  <c r="CN3458" i="1"/>
  <c r="CJ3458" i="1"/>
  <c r="CH3458" i="1"/>
  <c r="CF3458" i="1"/>
  <c r="BL3458" i="1"/>
  <c r="BD3458" i="1"/>
  <c r="AZ3458" i="1"/>
  <c r="AX3458" i="1"/>
  <c r="DC3464" i="1"/>
  <c r="DA3464" i="1"/>
  <c r="CY3464" i="1"/>
  <c r="Y3464" i="1" s="1"/>
  <c r="CW3464" i="1"/>
  <c r="AA3464" i="1" s="1"/>
  <c r="CR3464" i="1"/>
  <c r="CP3464" i="1"/>
  <c r="CN3464" i="1"/>
  <c r="CJ3464" i="1"/>
  <c r="CH3464" i="1"/>
  <c r="CF3464" i="1"/>
  <c r="BL3464" i="1"/>
  <c r="BD3464" i="1"/>
  <c r="AZ3464" i="1"/>
  <c r="AX3464" i="1"/>
  <c r="DC3400" i="1"/>
  <c r="DA3400" i="1"/>
  <c r="CY3400" i="1"/>
  <c r="Y3400" i="1" s="1"/>
  <c r="CW3400" i="1"/>
  <c r="AA3400" i="1" s="1"/>
  <c r="CR3400" i="1"/>
  <c r="CP3400" i="1"/>
  <c r="CN3400" i="1"/>
  <c r="CJ3400" i="1"/>
  <c r="CH3400" i="1"/>
  <c r="CF3400" i="1"/>
  <c r="BL3400" i="1"/>
  <c r="BD3400" i="1"/>
  <c r="AZ3400" i="1"/>
  <c r="AX3400" i="1"/>
  <c r="Z3462" i="1" l="1"/>
  <c r="Z3491" i="1"/>
  <c r="Z3476" i="1"/>
  <c r="Z3482" i="1"/>
  <c r="Z3492" i="1"/>
  <c r="Z3481" i="1"/>
  <c r="Z3480" i="1"/>
  <c r="Z3479" i="1"/>
  <c r="Z3483" i="1"/>
  <c r="CU3482" i="1"/>
  <c r="X3482" i="1" s="1"/>
  <c r="CU3492" i="1"/>
  <c r="X3492" i="1" s="1"/>
  <c r="CU3479" i="1"/>
  <c r="X3479" i="1" s="1"/>
  <c r="AD3479" i="1" s="1"/>
  <c r="CU3480" i="1"/>
  <c r="X3480" i="1" s="1"/>
  <c r="CU3481" i="1"/>
  <c r="X3481" i="1" s="1"/>
  <c r="CU3462" i="1"/>
  <c r="X3462" i="1" s="1"/>
  <c r="CU3483" i="1"/>
  <c r="X3483" i="1" s="1"/>
  <c r="CU3476" i="1"/>
  <c r="X3476" i="1" s="1"/>
  <c r="CU3491" i="1"/>
  <c r="X3491" i="1" s="1"/>
  <c r="Z3400" i="1"/>
  <c r="Z3474" i="1"/>
  <c r="Z3469" i="1"/>
  <c r="Z3459" i="1"/>
  <c r="Z3468" i="1"/>
  <c r="Z3466" i="1"/>
  <c r="Z3467" i="1"/>
  <c r="Z3464" i="1"/>
  <c r="Z3473" i="1"/>
  <c r="CU3465" i="1"/>
  <c r="X3465" i="1" s="1"/>
  <c r="Z3465" i="1"/>
  <c r="Z3460" i="1"/>
  <c r="CU3461" i="1"/>
  <c r="X3461" i="1" s="1"/>
  <c r="Z3461" i="1"/>
  <c r="Z3458" i="1"/>
  <c r="CU3400" i="1"/>
  <c r="X3400" i="1" s="1"/>
  <c r="CU3464" i="1"/>
  <c r="X3464" i="1" s="1"/>
  <c r="CU3459" i="1"/>
  <c r="X3459" i="1" s="1"/>
  <c r="CU3466" i="1"/>
  <c r="X3466" i="1" s="1"/>
  <c r="CU3468" i="1"/>
  <c r="X3468" i="1" s="1"/>
  <c r="CU3473" i="1"/>
  <c r="X3473" i="1" s="1"/>
  <c r="CU3474" i="1"/>
  <c r="X3474" i="1" s="1"/>
  <c r="CU3458" i="1"/>
  <c r="X3458" i="1" s="1"/>
  <c r="CU3460" i="1"/>
  <c r="X3460" i="1" s="1"/>
  <c r="CU3469" i="1"/>
  <c r="X3469" i="1" s="1"/>
  <c r="CU3467" i="1"/>
  <c r="X3467" i="1" s="1"/>
  <c r="DC3529" i="1"/>
  <c r="DA3529" i="1"/>
  <c r="CY3529" i="1"/>
  <c r="Y3529" i="1" s="1"/>
  <c r="CW3529" i="1"/>
  <c r="AA3529" i="1" s="1"/>
  <c r="CR3529" i="1"/>
  <c r="CP3529" i="1"/>
  <c r="CN3529" i="1"/>
  <c r="CJ3529" i="1"/>
  <c r="CH3529" i="1"/>
  <c r="CF3529" i="1"/>
  <c r="BL3529" i="1"/>
  <c r="BD3529" i="1"/>
  <c r="AZ3529" i="1"/>
  <c r="AX3529" i="1"/>
  <c r="DC3497" i="1"/>
  <c r="DA3497" i="1"/>
  <c r="CY3497" i="1"/>
  <c r="Y3497" i="1" s="1"/>
  <c r="CW3497" i="1"/>
  <c r="AA3497" i="1" s="1"/>
  <c r="CR3497" i="1"/>
  <c r="CP3497" i="1"/>
  <c r="CN3497" i="1"/>
  <c r="CJ3497" i="1"/>
  <c r="CH3497" i="1"/>
  <c r="CF3497" i="1"/>
  <c r="BL3497" i="1"/>
  <c r="BD3497" i="1"/>
  <c r="AZ3497" i="1"/>
  <c r="AX3497" i="1"/>
  <c r="DC3475" i="1"/>
  <c r="DA3475" i="1"/>
  <c r="CY3475" i="1"/>
  <c r="Y3475" i="1" s="1"/>
  <c r="CW3475" i="1"/>
  <c r="AA3475" i="1" s="1"/>
  <c r="CR3475" i="1"/>
  <c r="CP3475" i="1"/>
  <c r="CN3475" i="1"/>
  <c r="CJ3475" i="1"/>
  <c r="CH3475" i="1"/>
  <c r="CF3475" i="1"/>
  <c r="BL3475" i="1"/>
  <c r="BD3475" i="1"/>
  <c r="AZ3475" i="1"/>
  <c r="AX3475" i="1"/>
  <c r="DC2745" i="1"/>
  <c r="DA2745" i="1"/>
  <c r="CY2745" i="1"/>
  <c r="Y2745" i="1" s="1"/>
  <c r="CW2745" i="1"/>
  <c r="AA2745" i="1" s="1"/>
  <c r="CR2745" i="1"/>
  <c r="CP2745" i="1"/>
  <c r="CN2745" i="1"/>
  <c r="CJ2745" i="1"/>
  <c r="CH2745" i="1"/>
  <c r="CF2745" i="1"/>
  <c r="BL2745" i="1"/>
  <c r="BD2745" i="1"/>
  <c r="AZ2745" i="1"/>
  <c r="AX2745" i="1"/>
  <c r="DC2834" i="1"/>
  <c r="DA2834" i="1"/>
  <c r="CY2834" i="1"/>
  <c r="Y2834" i="1" s="1"/>
  <c r="CW2834" i="1"/>
  <c r="AA2834" i="1" s="1"/>
  <c r="CR2834" i="1"/>
  <c r="CP2834" i="1"/>
  <c r="CN2834" i="1"/>
  <c r="CJ2834" i="1"/>
  <c r="CH2834" i="1"/>
  <c r="CF2834" i="1"/>
  <c r="BL2834" i="1"/>
  <c r="BD2834" i="1"/>
  <c r="AZ2834" i="1"/>
  <c r="AX2834" i="1"/>
  <c r="AD3462" i="1" l="1"/>
  <c r="AD3483" i="1"/>
  <c r="AD3476" i="1"/>
  <c r="AD3491" i="1"/>
  <c r="AD3482" i="1"/>
  <c r="AD3480" i="1"/>
  <c r="AD3492" i="1"/>
  <c r="AD3481" i="1"/>
  <c r="AD3400" i="1"/>
  <c r="AD3459" i="1"/>
  <c r="Z3497" i="1"/>
  <c r="AD3469" i="1"/>
  <c r="AD3474" i="1"/>
  <c r="Z3475" i="1"/>
  <c r="AD3458" i="1"/>
  <c r="AD3465" i="1"/>
  <c r="AD3468" i="1"/>
  <c r="AD3467" i="1"/>
  <c r="AD3466" i="1"/>
  <c r="AD3461" i="1"/>
  <c r="AD3464" i="1"/>
  <c r="AD3460" i="1"/>
  <c r="AD3473" i="1"/>
  <c r="Z2834" i="1"/>
  <c r="Z3529" i="1"/>
  <c r="CU3497" i="1"/>
  <c r="X3497" i="1" s="1"/>
  <c r="Z2745" i="1"/>
  <c r="CU2745" i="1"/>
  <c r="X2745" i="1" s="1"/>
  <c r="CU3475" i="1"/>
  <c r="X3475" i="1" s="1"/>
  <c r="CU3529" i="1"/>
  <c r="X3529" i="1" s="1"/>
  <c r="CU2834" i="1"/>
  <c r="X2834" i="1" s="1"/>
  <c r="AC3364" i="1"/>
  <c r="AD2745" i="1" l="1"/>
  <c r="AD3529" i="1"/>
  <c r="AD3497" i="1"/>
  <c r="AD3475" i="1"/>
  <c r="AD2834" i="1"/>
  <c r="DB2211" i="1" l="1"/>
  <c r="DB1894" i="1"/>
  <c r="BZ2203" i="1"/>
  <c r="DB2203" i="1"/>
  <c r="DC3457" i="1" l="1"/>
  <c r="DA3457" i="1"/>
  <c r="CY3457" i="1"/>
  <c r="Y3457" i="1" s="1"/>
  <c r="CW3457" i="1"/>
  <c r="AA3457" i="1" s="1"/>
  <c r="CR3457" i="1"/>
  <c r="CP3457" i="1"/>
  <c r="CN3457" i="1"/>
  <c r="CJ3457" i="1"/>
  <c r="CH3457" i="1"/>
  <c r="CF3457" i="1"/>
  <c r="BL3457" i="1"/>
  <c r="BD3457" i="1"/>
  <c r="AZ3457" i="1"/>
  <c r="AX3457" i="1"/>
  <c r="DC3463" i="1"/>
  <c r="DA3463" i="1"/>
  <c r="CY3463" i="1"/>
  <c r="Y3463" i="1" s="1"/>
  <c r="CW3463" i="1"/>
  <c r="AA3463" i="1" s="1"/>
  <c r="CR3463" i="1"/>
  <c r="CP3463" i="1"/>
  <c r="CN3463" i="1"/>
  <c r="CJ3463" i="1"/>
  <c r="CH3463" i="1"/>
  <c r="CF3463" i="1"/>
  <c r="BL3463" i="1"/>
  <c r="BD3463" i="1"/>
  <c r="AZ3463" i="1"/>
  <c r="AX3463" i="1"/>
  <c r="DA3456" i="1"/>
  <c r="CY3456" i="1"/>
  <c r="Y3456" i="1" s="1"/>
  <c r="CW3456" i="1"/>
  <c r="AA3456" i="1" s="1"/>
  <c r="CR3456" i="1"/>
  <c r="CN3456" i="1"/>
  <c r="CH3456" i="1"/>
  <c r="CF3456" i="1"/>
  <c r="BL3456" i="1"/>
  <c r="BD3456" i="1"/>
  <c r="AX3456" i="1"/>
  <c r="DC3455" i="1"/>
  <c r="DA3455" i="1"/>
  <c r="CY3455" i="1"/>
  <c r="Y3455" i="1" s="1"/>
  <c r="CW3455" i="1"/>
  <c r="AA3455" i="1" s="1"/>
  <c r="CR3455" i="1"/>
  <c r="CP3455" i="1"/>
  <c r="CN3455" i="1"/>
  <c r="CJ3455" i="1"/>
  <c r="CH3455" i="1"/>
  <c r="CF3455" i="1"/>
  <c r="BL3455" i="1"/>
  <c r="BD3455" i="1"/>
  <c r="AZ3455" i="1"/>
  <c r="AX3455" i="1"/>
  <c r="DC3428" i="1"/>
  <c r="DA3428" i="1"/>
  <c r="CY3428" i="1"/>
  <c r="Y3428" i="1" s="1"/>
  <c r="CW3428" i="1"/>
  <c r="AA3428" i="1" s="1"/>
  <c r="CR3428" i="1"/>
  <c r="CP3428" i="1"/>
  <c r="CN3428" i="1"/>
  <c r="CJ3428" i="1"/>
  <c r="CH3428" i="1"/>
  <c r="CF3428" i="1"/>
  <c r="BL3428" i="1"/>
  <c r="BD3428" i="1"/>
  <c r="AZ3428" i="1"/>
  <c r="AX3428" i="1"/>
  <c r="DC3454" i="1"/>
  <c r="DA3454" i="1"/>
  <c r="CY3454" i="1"/>
  <c r="Y3454" i="1" s="1"/>
  <c r="CW3454" i="1"/>
  <c r="AA3454" i="1" s="1"/>
  <c r="CR3454" i="1"/>
  <c r="CP3454" i="1"/>
  <c r="CN3454" i="1"/>
  <c r="CJ3454" i="1"/>
  <c r="CH3454" i="1"/>
  <c r="CF3454" i="1"/>
  <c r="BL3454" i="1"/>
  <c r="BD3454" i="1"/>
  <c r="AZ3454" i="1"/>
  <c r="AX3454" i="1"/>
  <c r="DC3453" i="1"/>
  <c r="DA3453" i="1"/>
  <c r="CY3453" i="1"/>
  <c r="Y3453" i="1" s="1"/>
  <c r="CW3453" i="1"/>
  <c r="AA3453" i="1" s="1"/>
  <c r="CR3453" i="1"/>
  <c r="CP3453" i="1"/>
  <c r="CN3453" i="1"/>
  <c r="CJ3453" i="1"/>
  <c r="CH3453" i="1"/>
  <c r="CF3453" i="1"/>
  <c r="BL3453" i="1"/>
  <c r="BD3453" i="1"/>
  <c r="AZ3453" i="1"/>
  <c r="AX3453" i="1"/>
  <c r="DC3452" i="1"/>
  <c r="DA3452" i="1"/>
  <c r="CY3452" i="1"/>
  <c r="Y3452" i="1" s="1"/>
  <c r="CW3452" i="1"/>
  <c r="AA3452" i="1" s="1"/>
  <c r="CR3452" i="1"/>
  <c r="CP3452" i="1"/>
  <c r="CN3452" i="1"/>
  <c r="CJ3452" i="1"/>
  <c r="CH3452" i="1"/>
  <c r="CF3452" i="1"/>
  <c r="BL3452" i="1"/>
  <c r="BD3452" i="1"/>
  <c r="AZ3452" i="1"/>
  <c r="AX3452" i="1"/>
  <c r="DC3444" i="1"/>
  <c r="DA3444" i="1"/>
  <c r="CY3444" i="1"/>
  <c r="Y3444" i="1" s="1"/>
  <c r="CW3444" i="1"/>
  <c r="AA3444" i="1" s="1"/>
  <c r="CR3444" i="1"/>
  <c r="CP3444" i="1"/>
  <c r="CN3444" i="1"/>
  <c r="CJ3444" i="1"/>
  <c r="CH3444" i="1"/>
  <c r="CF3444" i="1"/>
  <c r="BL3444" i="1"/>
  <c r="BD3444" i="1"/>
  <c r="AZ3444" i="1"/>
  <c r="AX3444" i="1"/>
  <c r="DC3451" i="1"/>
  <c r="DA3451" i="1"/>
  <c r="CY3451" i="1"/>
  <c r="Y3451" i="1" s="1"/>
  <c r="CW3451" i="1"/>
  <c r="AA3451" i="1" s="1"/>
  <c r="CR3451" i="1"/>
  <c r="CP3451" i="1"/>
  <c r="CN3451" i="1"/>
  <c r="CJ3451" i="1"/>
  <c r="CH3451" i="1"/>
  <c r="CF3451" i="1"/>
  <c r="BL3451" i="1"/>
  <c r="BD3451" i="1"/>
  <c r="AZ3451" i="1"/>
  <c r="AX3451" i="1"/>
  <c r="DC3450" i="1"/>
  <c r="DA3450" i="1"/>
  <c r="CY3450" i="1"/>
  <c r="Y3450" i="1" s="1"/>
  <c r="CW3450" i="1"/>
  <c r="AA3450" i="1" s="1"/>
  <c r="CR3450" i="1"/>
  <c r="CP3450" i="1"/>
  <c r="CN3450" i="1"/>
  <c r="CJ3450" i="1"/>
  <c r="CH3450" i="1"/>
  <c r="CF3450" i="1"/>
  <c r="BL3450" i="1"/>
  <c r="BD3450" i="1"/>
  <c r="AZ3450" i="1"/>
  <c r="AX3450" i="1"/>
  <c r="DA3449" i="1"/>
  <c r="CY3449" i="1"/>
  <c r="Y3449" i="1" s="1"/>
  <c r="CW3449" i="1"/>
  <c r="AA3449" i="1" s="1"/>
  <c r="CR3449" i="1"/>
  <c r="CN3449" i="1"/>
  <c r="CH3449" i="1"/>
  <c r="CF3449" i="1"/>
  <c r="BL3449" i="1"/>
  <c r="BD3449" i="1"/>
  <c r="AX3449" i="1"/>
  <c r="DA3448" i="1"/>
  <c r="CY3448" i="1"/>
  <c r="Y3448" i="1" s="1"/>
  <c r="CW3448" i="1"/>
  <c r="AA3448" i="1" s="1"/>
  <c r="CR3448" i="1"/>
  <c r="CN3448" i="1"/>
  <c r="CH3448" i="1"/>
  <c r="CF3448" i="1"/>
  <c r="BL3448" i="1"/>
  <c r="BD3448" i="1"/>
  <c r="AX3448" i="1"/>
  <c r="DA3447" i="1"/>
  <c r="CY3447" i="1"/>
  <c r="Y3447" i="1" s="1"/>
  <c r="CW3447" i="1"/>
  <c r="AA3447" i="1" s="1"/>
  <c r="CR3447" i="1"/>
  <c r="CN3447" i="1"/>
  <c r="CH3447" i="1"/>
  <c r="CF3447" i="1"/>
  <c r="BL3447" i="1"/>
  <c r="BD3447" i="1"/>
  <c r="AX3447" i="1"/>
  <c r="DC3446" i="1"/>
  <c r="DA3446" i="1"/>
  <c r="CY3446" i="1"/>
  <c r="Y3446" i="1" s="1"/>
  <c r="CW3446" i="1"/>
  <c r="AA3446" i="1" s="1"/>
  <c r="CR3446" i="1"/>
  <c r="CP3446" i="1"/>
  <c r="CN3446" i="1"/>
  <c r="CJ3446" i="1"/>
  <c r="CH3446" i="1"/>
  <c r="CF3446" i="1"/>
  <c r="BL3446" i="1"/>
  <c r="BD3446" i="1"/>
  <c r="AZ3446" i="1"/>
  <c r="AX3446" i="1"/>
  <c r="Z3452" i="1" l="1"/>
  <c r="Z3463" i="1"/>
  <c r="Z3447" i="1"/>
  <c r="Z3428" i="1"/>
  <c r="Z3456" i="1"/>
  <c r="Z3448" i="1"/>
  <c r="Z3451" i="1"/>
  <c r="Z3453" i="1"/>
  <c r="CU3455" i="1"/>
  <c r="X3455" i="1" s="1"/>
  <c r="Z3455" i="1"/>
  <c r="Z3446" i="1"/>
  <c r="Z3449" i="1"/>
  <c r="Z3450" i="1"/>
  <c r="Z3454" i="1"/>
  <c r="Z3457" i="1"/>
  <c r="CU3447" i="1"/>
  <c r="X3447" i="1" s="1"/>
  <c r="CU3451" i="1"/>
  <c r="X3451" i="1" s="1"/>
  <c r="Z3444" i="1"/>
  <c r="CU3452" i="1"/>
  <c r="X3452" i="1" s="1"/>
  <c r="CU3446" i="1"/>
  <c r="X3446" i="1" s="1"/>
  <c r="CU3450" i="1"/>
  <c r="X3450" i="1" s="1"/>
  <c r="CU3453" i="1"/>
  <c r="X3453" i="1" s="1"/>
  <c r="CU3456" i="1"/>
  <c r="X3456" i="1" s="1"/>
  <c r="CU3454" i="1"/>
  <c r="X3454" i="1" s="1"/>
  <c r="CU3463" i="1"/>
  <c r="X3463" i="1" s="1"/>
  <c r="CU3448" i="1"/>
  <c r="X3448" i="1" s="1"/>
  <c r="CU3444" i="1"/>
  <c r="X3444" i="1" s="1"/>
  <c r="CU3428" i="1"/>
  <c r="X3428" i="1" s="1"/>
  <c r="CU3457" i="1"/>
  <c r="X3457" i="1" s="1"/>
  <c r="CU3449" i="1"/>
  <c r="X3449" i="1" s="1"/>
  <c r="DA2966" i="1"/>
  <c r="CY2966" i="1"/>
  <c r="Y2966" i="1" s="1"/>
  <c r="CW2966" i="1"/>
  <c r="AA2966" i="1" s="1"/>
  <c r="CR2966" i="1"/>
  <c r="CP2966" i="1"/>
  <c r="CN2966" i="1"/>
  <c r="CJ2966" i="1"/>
  <c r="CH2966" i="1"/>
  <c r="CF2966" i="1"/>
  <c r="BL2966" i="1"/>
  <c r="BD2966" i="1"/>
  <c r="AZ2966" i="1"/>
  <c r="AX2966" i="1"/>
  <c r="DC3437" i="1"/>
  <c r="DA3437" i="1"/>
  <c r="CY3437" i="1"/>
  <c r="Y3437" i="1" s="1"/>
  <c r="CW3437" i="1"/>
  <c r="AA3437" i="1" s="1"/>
  <c r="CR3437" i="1"/>
  <c r="CP3437" i="1"/>
  <c r="CN3437" i="1"/>
  <c r="CJ3437" i="1"/>
  <c r="CH3437" i="1"/>
  <c r="CF3437" i="1"/>
  <c r="BL3437" i="1"/>
  <c r="BD3437" i="1"/>
  <c r="AZ3437" i="1"/>
  <c r="AX3437" i="1"/>
  <c r="DC3443" i="1"/>
  <c r="DA3443" i="1"/>
  <c r="CY3443" i="1"/>
  <c r="Y3443" i="1" s="1"/>
  <c r="CW3443" i="1"/>
  <c r="AA3443" i="1" s="1"/>
  <c r="CR3443" i="1"/>
  <c r="CP3443" i="1"/>
  <c r="CN3443" i="1"/>
  <c r="CJ3443" i="1"/>
  <c r="CH3443" i="1"/>
  <c r="CF3443" i="1"/>
  <c r="BL3443" i="1"/>
  <c r="BD3443" i="1"/>
  <c r="AZ3443" i="1"/>
  <c r="AX3443" i="1"/>
  <c r="DC3427" i="1"/>
  <c r="DA3427" i="1"/>
  <c r="CY3427" i="1"/>
  <c r="Y3427" i="1" s="1"/>
  <c r="CW3427" i="1"/>
  <c r="AA3427" i="1" s="1"/>
  <c r="CR3427" i="1"/>
  <c r="CP3427" i="1"/>
  <c r="CN3427" i="1"/>
  <c r="CJ3427" i="1"/>
  <c r="CH3427" i="1"/>
  <c r="CF3427" i="1"/>
  <c r="BL3427" i="1"/>
  <c r="BD3427" i="1"/>
  <c r="AZ3427" i="1"/>
  <c r="AX3427" i="1"/>
  <c r="AD3451" i="1" l="1"/>
  <c r="AD3428" i="1"/>
  <c r="AD3446" i="1"/>
  <c r="AD3448" i="1"/>
  <c r="AD3463" i="1"/>
  <c r="AD3452" i="1"/>
  <c r="AD3456" i="1"/>
  <c r="AD3455" i="1"/>
  <c r="AD3450" i="1"/>
  <c r="AD3447" i="1"/>
  <c r="AD3454" i="1"/>
  <c r="AD3457" i="1"/>
  <c r="AD3453" i="1"/>
  <c r="AD3449" i="1"/>
  <c r="AD3444" i="1"/>
  <c r="Z3427" i="1"/>
  <c r="Z3443" i="1"/>
  <c r="CU3437" i="1"/>
  <c r="X3437" i="1" s="1"/>
  <c r="Z2966" i="1"/>
  <c r="Z3437" i="1"/>
  <c r="CU3443" i="1"/>
  <c r="X3443" i="1" s="1"/>
  <c r="AD3443" i="1" s="1"/>
  <c r="CU2966" i="1"/>
  <c r="X2966" i="1" s="1"/>
  <c r="CU3427" i="1"/>
  <c r="X3427" i="1" s="1"/>
  <c r="AD3427" i="1" l="1"/>
  <c r="AD3437" i="1"/>
  <c r="AD2966" i="1"/>
  <c r="DB3103" i="1"/>
  <c r="DC3436" i="1" l="1"/>
  <c r="DA3436" i="1"/>
  <c r="CY3436" i="1"/>
  <c r="Y3436" i="1" s="1"/>
  <c r="CW3436" i="1"/>
  <c r="AA3436" i="1" s="1"/>
  <c r="CR3436" i="1"/>
  <c r="CP3436" i="1"/>
  <c r="CN3436" i="1"/>
  <c r="CJ3436" i="1"/>
  <c r="CH3436" i="1"/>
  <c r="CF3436" i="1"/>
  <c r="BL3436" i="1"/>
  <c r="BD3436" i="1"/>
  <c r="AZ3436" i="1"/>
  <c r="AX3436" i="1"/>
  <c r="DC3442" i="1"/>
  <c r="DA3442" i="1"/>
  <c r="CY3442" i="1"/>
  <c r="Y3442" i="1" s="1"/>
  <c r="CW3442" i="1"/>
  <c r="AA3442" i="1" s="1"/>
  <c r="CR3442" i="1"/>
  <c r="CP3442" i="1"/>
  <c r="CN3442" i="1"/>
  <c r="CJ3442" i="1"/>
  <c r="CH3442" i="1"/>
  <c r="CF3442" i="1"/>
  <c r="BL3442" i="1"/>
  <c r="BD3442" i="1"/>
  <c r="AZ3442" i="1"/>
  <c r="AX3442" i="1"/>
  <c r="DC3366" i="1"/>
  <c r="DA3366" i="1"/>
  <c r="CY3366" i="1"/>
  <c r="Y3366" i="1" s="1"/>
  <c r="CW3366" i="1"/>
  <c r="AA3366" i="1" s="1"/>
  <c r="CR3366" i="1"/>
  <c r="CP3366" i="1"/>
  <c r="CN3366" i="1"/>
  <c r="CJ3366" i="1"/>
  <c r="CH3366" i="1"/>
  <c r="CF3366" i="1"/>
  <c r="BL3366" i="1"/>
  <c r="BD3366" i="1"/>
  <c r="AZ3366" i="1"/>
  <c r="AX3366" i="1"/>
  <c r="DC3426" i="1"/>
  <c r="DA3426" i="1"/>
  <c r="CY3426" i="1"/>
  <c r="Y3426" i="1" s="1"/>
  <c r="CW3426" i="1"/>
  <c r="AA3426" i="1" s="1"/>
  <c r="CR3426" i="1"/>
  <c r="CP3426" i="1"/>
  <c r="CN3426" i="1"/>
  <c r="CJ3426" i="1"/>
  <c r="CH3426" i="1"/>
  <c r="CF3426" i="1"/>
  <c r="BL3426" i="1"/>
  <c r="BD3426" i="1"/>
  <c r="AZ3426" i="1"/>
  <c r="AX3426" i="1"/>
  <c r="DC3435" i="1"/>
  <c r="DA3435" i="1"/>
  <c r="CY3435" i="1"/>
  <c r="Y3435" i="1" s="1"/>
  <c r="CW3435" i="1"/>
  <c r="AA3435" i="1" s="1"/>
  <c r="CR3435" i="1"/>
  <c r="CP3435" i="1"/>
  <c r="CN3435" i="1"/>
  <c r="CJ3435" i="1"/>
  <c r="CH3435" i="1"/>
  <c r="CF3435" i="1"/>
  <c r="BL3435" i="1"/>
  <c r="BD3435" i="1"/>
  <c r="AZ3435" i="1"/>
  <c r="AX3435" i="1"/>
  <c r="DC3441" i="1"/>
  <c r="DA3441" i="1"/>
  <c r="CY3441" i="1"/>
  <c r="Y3441" i="1" s="1"/>
  <c r="CW3441" i="1"/>
  <c r="AA3441" i="1" s="1"/>
  <c r="CR3441" i="1"/>
  <c r="CP3441" i="1"/>
  <c r="CN3441" i="1"/>
  <c r="CJ3441" i="1"/>
  <c r="CH3441" i="1"/>
  <c r="CF3441" i="1"/>
  <c r="BL3441" i="1"/>
  <c r="BD3441" i="1"/>
  <c r="AZ3441" i="1"/>
  <c r="AX3441" i="1"/>
  <c r="DC3440" i="1"/>
  <c r="DA3440" i="1"/>
  <c r="CY3440" i="1"/>
  <c r="Y3440" i="1" s="1"/>
  <c r="CW3440" i="1"/>
  <c r="AA3440" i="1" s="1"/>
  <c r="CR3440" i="1"/>
  <c r="CP3440" i="1"/>
  <c r="CN3440" i="1"/>
  <c r="CJ3440" i="1"/>
  <c r="CH3440" i="1"/>
  <c r="CF3440" i="1"/>
  <c r="BL3440" i="1"/>
  <c r="BD3440" i="1"/>
  <c r="AZ3440" i="1"/>
  <c r="AX3440" i="1"/>
  <c r="DC3439" i="1"/>
  <c r="DA3439" i="1"/>
  <c r="CY3439" i="1"/>
  <c r="CW3439" i="1"/>
  <c r="AA3439" i="1" s="1"/>
  <c r="CR3439" i="1"/>
  <c r="CP3439" i="1"/>
  <c r="CN3439" i="1"/>
  <c r="CJ3439" i="1"/>
  <c r="CH3439" i="1"/>
  <c r="CF3439" i="1"/>
  <c r="BL3439" i="1"/>
  <c r="BD3439" i="1"/>
  <c r="AZ3439" i="1"/>
  <c r="AX3439" i="1"/>
  <c r="Y3439" i="1"/>
  <c r="DC3438" i="1"/>
  <c r="DA3438" i="1"/>
  <c r="CY3438" i="1"/>
  <c r="Y3438" i="1" s="1"/>
  <c r="CW3438" i="1"/>
  <c r="AA3438" i="1" s="1"/>
  <c r="CR3438" i="1"/>
  <c r="CP3438" i="1"/>
  <c r="CN3438" i="1"/>
  <c r="CJ3438" i="1"/>
  <c r="CH3438" i="1"/>
  <c r="CF3438" i="1"/>
  <c r="BL3438" i="1"/>
  <c r="BD3438" i="1"/>
  <c r="AZ3438" i="1"/>
  <c r="AX3438" i="1"/>
  <c r="DC3419" i="1"/>
  <c r="DA3419" i="1"/>
  <c r="CY3419" i="1"/>
  <c r="Y3419" i="1" s="1"/>
  <c r="CW3419" i="1"/>
  <c r="AA3419" i="1" s="1"/>
  <c r="CR3419" i="1"/>
  <c r="CP3419" i="1"/>
  <c r="CN3419" i="1"/>
  <c r="CJ3419" i="1"/>
  <c r="CH3419" i="1"/>
  <c r="CF3419" i="1"/>
  <c r="BL3419" i="1"/>
  <c r="BD3419" i="1"/>
  <c r="AZ3419" i="1"/>
  <c r="AX3419" i="1"/>
  <c r="DC3412" i="1"/>
  <c r="DA3412" i="1"/>
  <c r="CY3412" i="1"/>
  <c r="Y3412" i="1" s="1"/>
  <c r="CW3412" i="1"/>
  <c r="AA3412" i="1" s="1"/>
  <c r="CR3412" i="1"/>
  <c r="CP3412" i="1"/>
  <c r="CN3412" i="1"/>
  <c r="CJ3412" i="1"/>
  <c r="CH3412" i="1"/>
  <c r="CF3412" i="1"/>
  <c r="BL3412" i="1"/>
  <c r="BD3412" i="1"/>
  <c r="AZ3412" i="1"/>
  <c r="AX3412" i="1"/>
  <c r="DC3434" i="1"/>
  <c r="DA3434" i="1"/>
  <c r="CY3434" i="1"/>
  <c r="Y3434" i="1" s="1"/>
  <c r="CW3434" i="1"/>
  <c r="AA3434" i="1" s="1"/>
  <c r="CR3434" i="1"/>
  <c r="CP3434" i="1"/>
  <c r="CN3434" i="1"/>
  <c r="CJ3434" i="1"/>
  <c r="CH3434" i="1"/>
  <c r="CF3434" i="1"/>
  <c r="BL3434" i="1"/>
  <c r="BD3434" i="1"/>
  <c r="AZ3434" i="1"/>
  <c r="AX3434" i="1"/>
  <c r="DC3411" i="1"/>
  <c r="DA3411" i="1"/>
  <c r="CY3411" i="1"/>
  <c r="Y3411" i="1" s="1"/>
  <c r="CW3411" i="1"/>
  <c r="AA3411" i="1" s="1"/>
  <c r="CR3411" i="1"/>
  <c r="CP3411" i="1"/>
  <c r="CN3411" i="1"/>
  <c r="CJ3411" i="1"/>
  <c r="CH3411" i="1"/>
  <c r="CF3411" i="1"/>
  <c r="BL3411" i="1"/>
  <c r="BD3411" i="1"/>
  <c r="AZ3411" i="1"/>
  <c r="AX3411" i="1"/>
  <c r="DC3347" i="1"/>
  <c r="DA3347" i="1"/>
  <c r="CY3347" i="1"/>
  <c r="Y3347" i="1" s="1"/>
  <c r="CW3347" i="1"/>
  <c r="AA3347" i="1" s="1"/>
  <c r="CR3347" i="1"/>
  <c r="CP3347" i="1"/>
  <c r="CN3347" i="1"/>
  <c r="CJ3347" i="1"/>
  <c r="CH3347" i="1"/>
  <c r="CF3347" i="1"/>
  <c r="BL3347" i="1"/>
  <c r="BD3347" i="1"/>
  <c r="AZ3347" i="1"/>
  <c r="AX3347" i="1"/>
  <c r="DC3282" i="1"/>
  <c r="DA3282" i="1"/>
  <c r="CY3282" i="1"/>
  <c r="Y3282" i="1" s="1"/>
  <c r="CW3282" i="1"/>
  <c r="AA3282" i="1" s="1"/>
  <c r="CR3282" i="1"/>
  <c r="CP3282" i="1"/>
  <c r="CN3282" i="1"/>
  <c r="CJ3282" i="1"/>
  <c r="CH3282" i="1"/>
  <c r="CF3282" i="1"/>
  <c r="BL3282" i="1"/>
  <c r="BD3282" i="1"/>
  <c r="AZ3282" i="1"/>
  <c r="AX3282" i="1"/>
  <c r="DC3264" i="1"/>
  <c r="DA3264" i="1"/>
  <c r="CY3264" i="1"/>
  <c r="Y3264" i="1" s="1"/>
  <c r="CW3264" i="1"/>
  <c r="AA3264" i="1" s="1"/>
  <c r="CR3264" i="1"/>
  <c r="CP3264" i="1"/>
  <c r="CN3264" i="1"/>
  <c r="CJ3264" i="1"/>
  <c r="CH3264" i="1"/>
  <c r="CF3264" i="1"/>
  <c r="BL3264" i="1"/>
  <c r="BD3264" i="1"/>
  <c r="AZ3264" i="1"/>
  <c r="AX3264" i="1"/>
  <c r="DC3433" i="1"/>
  <c r="DA3433" i="1"/>
  <c r="CY3433" i="1"/>
  <c r="Y3433" i="1" s="1"/>
  <c r="CW3433" i="1"/>
  <c r="AA3433" i="1" s="1"/>
  <c r="CR3433" i="1"/>
  <c r="CP3433" i="1"/>
  <c r="CN3433" i="1"/>
  <c r="CJ3433" i="1"/>
  <c r="CH3433" i="1"/>
  <c r="CF3433" i="1"/>
  <c r="BL3433" i="1"/>
  <c r="BD3433" i="1"/>
  <c r="AZ3433" i="1"/>
  <c r="AX3433" i="1"/>
  <c r="DC3432" i="1"/>
  <c r="DA3432" i="1"/>
  <c r="CY3432" i="1"/>
  <c r="Y3432" i="1" s="1"/>
  <c r="CW3432" i="1"/>
  <c r="AA3432" i="1" s="1"/>
  <c r="CR3432" i="1"/>
  <c r="CP3432" i="1"/>
  <c r="CN3432" i="1"/>
  <c r="CJ3432" i="1"/>
  <c r="CH3432" i="1"/>
  <c r="CF3432" i="1"/>
  <c r="BL3432" i="1"/>
  <c r="BD3432" i="1"/>
  <c r="AZ3432" i="1"/>
  <c r="AX3432" i="1"/>
  <c r="Z3436" i="1" l="1"/>
  <c r="Z3366" i="1"/>
  <c r="Z3347" i="1"/>
  <c r="Z3282" i="1"/>
  <c r="Z3433" i="1"/>
  <c r="Z3432" i="1"/>
  <c r="Z3440" i="1"/>
  <c r="Z3412" i="1"/>
  <c r="CU3264" i="1"/>
  <c r="X3264" i="1" s="1"/>
  <c r="CU3434" i="1"/>
  <c r="X3434" i="1" s="1"/>
  <c r="Z3434" i="1"/>
  <c r="Z3439" i="1"/>
  <c r="Z3419" i="1"/>
  <c r="CU3438" i="1"/>
  <c r="X3438" i="1" s="1"/>
  <c r="CU3441" i="1"/>
  <c r="X3441" i="1" s="1"/>
  <c r="Z3441" i="1"/>
  <c r="Z3442" i="1"/>
  <c r="Z3438" i="1"/>
  <c r="Z3264" i="1"/>
  <c r="Z3426" i="1"/>
  <c r="Z3411" i="1"/>
  <c r="Z3435" i="1"/>
  <c r="CU3436" i="1"/>
  <c r="X3436" i="1" s="1"/>
  <c r="CU3282" i="1"/>
  <c r="X3282" i="1" s="1"/>
  <c r="CU3433" i="1"/>
  <c r="X3433" i="1" s="1"/>
  <c r="CU3347" i="1"/>
  <c r="X3347" i="1" s="1"/>
  <c r="CU3412" i="1"/>
  <c r="X3412" i="1" s="1"/>
  <c r="CU3440" i="1"/>
  <c r="X3440" i="1" s="1"/>
  <c r="CU3426" i="1"/>
  <c r="X3426" i="1" s="1"/>
  <c r="CU3432" i="1"/>
  <c r="X3432" i="1" s="1"/>
  <c r="CU3439" i="1"/>
  <c r="X3439" i="1" s="1"/>
  <c r="CU3435" i="1"/>
  <c r="X3435" i="1" s="1"/>
  <c r="CU3411" i="1"/>
  <c r="X3411" i="1" s="1"/>
  <c r="CU3419" i="1"/>
  <c r="X3419" i="1" s="1"/>
  <c r="CU3366" i="1"/>
  <c r="X3366" i="1" s="1"/>
  <c r="CU3442" i="1"/>
  <c r="X3442" i="1" s="1"/>
  <c r="DC3424" i="1"/>
  <c r="DA3424" i="1"/>
  <c r="CY3424" i="1"/>
  <c r="Y3424" i="1" s="1"/>
  <c r="CW3424" i="1"/>
  <c r="AA3424" i="1" s="1"/>
  <c r="CR3424" i="1"/>
  <c r="CP3424" i="1"/>
  <c r="CN3424" i="1"/>
  <c r="CJ3424" i="1"/>
  <c r="CH3424" i="1"/>
  <c r="CF3424" i="1"/>
  <c r="BL3424" i="1"/>
  <c r="BD3424" i="1"/>
  <c r="AZ3424" i="1"/>
  <c r="AX3424" i="1"/>
  <c r="DC3423" i="1"/>
  <c r="DA3423" i="1"/>
  <c r="CY3423" i="1"/>
  <c r="Y3423" i="1" s="1"/>
  <c r="CW3423" i="1"/>
  <c r="AA3423" i="1" s="1"/>
  <c r="CR3423" i="1"/>
  <c r="CP3423" i="1"/>
  <c r="CN3423" i="1"/>
  <c r="CJ3423" i="1"/>
  <c r="CH3423" i="1"/>
  <c r="CF3423" i="1"/>
  <c r="BL3423" i="1"/>
  <c r="BD3423" i="1"/>
  <c r="AZ3423" i="1"/>
  <c r="AX3423" i="1"/>
  <c r="DC3422" i="1"/>
  <c r="DA3422" i="1"/>
  <c r="CY3422" i="1"/>
  <c r="Y3422" i="1" s="1"/>
  <c r="CW3422" i="1"/>
  <c r="AA3422" i="1" s="1"/>
  <c r="CR3422" i="1"/>
  <c r="CP3422" i="1"/>
  <c r="CN3422" i="1"/>
  <c r="CJ3422" i="1"/>
  <c r="CH3422" i="1"/>
  <c r="CF3422" i="1"/>
  <c r="BL3422" i="1"/>
  <c r="BD3422" i="1"/>
  <c r="AZ3422" i="1"/>
  <c r="AX3422" i="1"/>
  <c r="DC3421" i="1"/>
  <c r="DA3421" i="1"/>
  <c r="CY3421" i="1"/>
  <c r="Y3421" i="1" s="1"/>
  <c r="CW3421" i="1"/>
  <c r="AA3421" i="1" s="1"/>
  <c r="CR3421" i="1"/>
  <c r="CP3421" i="1"/>
  <c r="CN3421" i="1"/>
  <c r="CJ3421" i="1"/>
  <c r="CH3421" i="1"/>
  <c r="CF3421" i="1"/>
  <c r="BL3421" i="1"/>
  <c r="BD3421" i="1"/>
  <c r="AZ3421" i="1"/>
  <c r="AX3421" i="1"/>
  <c r="DC3420" i="1"/>
  <c r="DA3420" i="1"/>
  <c r="CY3420" i="1"/>
  <c r="Y3420" i="1" s="1"/>
  <c r="CW3420" i="1"/>
  <c r="AA3420" i="1" s="1"/>
  <c r="CR3420" i="1"/>
  <c r="CP3420" i="1"/>
  <c r="CN3420" i="1"/>
  <c r="CJ3420" i="1"/>
  <c r="CH3420" i="1"/>
  <c r="CF3420" i="1"/>
  <c r="BL3420" i="1"/>
  <c r="BD3420" i="1"/>
  <c r="AZ3420" i="1"/>
  <c r="AX3420" i="1"/>
  <c r="DC3410" i="1"/>
  <c r="DA3410" i="1"/>
  <c r="CY3410" i="1"/>
  <c r="Y3410" i="1" s="1"/>
  <c r="CW3410" i="1"/>
  <c r="AA3410" i="1" s="1"/>
  <c r="CR3410" i="1"/>
  <c r="CP3410" i="1"/>
  <c r="CN3410" i="1"/>
  <c r="CJ3410" i="1"/>
  <c r="CH3410" i="1"/>
  <c r="CF3410" i="1"/>
  <c r="BL3410" i="1"/>
  <c r="BD3410" i="1"/>
  <c r="AZ3410" i="1"/>
  <c r="AX3410" i="1"/>
  <c r="DC3409" i="1"/>
  <c r="DA3409" i="1"/>
  <c r="CY3409" i="1"/>
  <c r="Y3409" i="1" s="1"/>
  <c r="CW3409" i="1"/>
  <c r="AA3409" i="1" s="1"/>
  <c r="CR3409" i="1"/>
  <c r="CP3409" i="1"/>
  <c r="CN3409" i="1"/>
  <c r="CJ3409" i="1"/>
  <c r="CH3409" i="1"/>
  <c r="CF3409" i="1"/>
  <c r="BL3409" i="1"/>
  <c r="BD3409" i="1"/>
  <c r="AZ3409" i="1"/>
  <c r="AX3409" i="1"/>
  <c r="DC3417" i="1"/>
  <c r="DA3417" i="1"/>
  <c r="CY3417" i="1"/>
  <c r="Y3417" i="1" s="1"/>
  <c r="CW3417" i="1"/>
  <c r="AA3417" i="1" s="1"/>
  <c r="CR3417" i="1"/>
  <c r="CP3417" i="1"/>
  <c r="CN3417" i="1"/>
  <c r="CJ3417" i="1"/>
  <c r="CH3417" i="1"/>
  <c r="CF3417" i="1"/>
  <c r="BL3417" i="1"/>
  <c r="BD3417" i="1"/>
  <c r="AZ3417" i="1"/>
  <c r="AX3417" i="1"/>
  <c r="DC3416" i="1"/>
  <c r="DA3416" i="1"/>
  <c r="CY3416" i="1"/>
  <c r="Y3416" i="1" s="1"/>
  <c r="CW3416" i="1"/>
  <c r="AA3416" i="1" s="1"/>
  <c r="CR3416" i="1"/>
  <c r="CP3416" i="1"/>
  <c r="CN3416" i="1"/>
  <c r="CJ3416" i="1"/>
  <c r="CH3416" i="1"/>
  <c r="CF3416" i="1"/>
  <c r="BL3416" i="1"/>
  <c r="BD3416" i="1"/>
  <c r="AZ3416" i="1"/>
  <c r="AX3416" i="1"/>
  <c r="DC3408" i="1"/>
  <c r="DA3408" i="1"/>
  <c r="CY3408" i="1"/>
  <c r="Y3408" i="1" s="1"/>
  <c r="CW3408" i="1"/>
  <c r="AA3408" i="1" s="1"/>
  <c r="CR3408" i="1"/>
  <c r="CP3408" i="1"/>
  <c r="CN3408" i="1"/>
  <c r="CJ3408" i="1"/>
  <c r="CH3408" i="1"/>
  <c r="CF3408" i="1"/>
  <c r="BL3408" i="1"/>
  <c r="BD3408" i="1"/>
  <c r="AZ3408" i="1"/>
  <c r="AX3408" i="1"/>
  <c r="DC3415" i="1"/>
  <c r="DA3415" i="1"/>
  <c r="CY3415" i="1"/>
  <c r="Y3415" i="1" s="1"/>
  <c r="CW3415" i="1"/>
  <c r="AA3415" i="1" s="1"/>
  <c r="CR3415" i="1"/>
  <c r="CP3415" i="1"/>
  <c r="CN3415" i="1"/>
  <c r="CJ3415" i="1"/>
  <c r="CH3415" i="1"/>
  <c r="CF3415" i="1"/>
  <c r="BL3415" i="1"/>
  <c r="BD3415" i="1"/>
  <c r="AZ3415" i="1"/>
  <c r="AX3415" i="1"/>
  <c r="DC3414" i="1"/>
  <c r="DA3414" i="1"/>
  <c r="CY3414" i="1"/>
  <c r="Y3414" i="1" s="1"/>
  <c r="CW3414" i="1"/>
  <c r="AA3414" i="1" s="1"/>
  <c r="CR3414" i="1"/>
  <c r="CP3414" i="1"/>
  <c r="CN3414" i="1"/>
  <c r="CJ3414" i="1"/>
  <c r="CH3414" i="1"/>
  <c r="CF3414" i="1"/>
  <c r="BL3414" i="1"/>
  <c r="BD3414" i="1"/>
  <c r="AZ3414" i="1"/>
  <c r="AX3414" i="1"/>
  <c r="DC3407" i="1"/>
  <c r="DA3407" i="1"/>
  <c r="CY3407" i="1"/>
  <c r="Y3407" i="1" s="1"/>
  <c r="CW3407" i="1"/>
  <c r="AA3407" i="1" s="1"/>
  <c r="CR3407" i="1"/>
  <c r="CP3407" i="1"/>
  <c r="CN3407" i="1"/>
  <c r="CJ3407" i="1"/>
  <c r="CH3407" i="1"/>
  <c r="CF3407" i="1"/>
  <c r="BL3407" i="1"/>
  <c r="BD3407" i="1"/>
  <c r="AZ3407" i="1"/>
  <c r="AX3407" i="1"/>
  <c r="DC3406" i="1"/>
  <c r="DA3406" i="1"/>
  <c r="CY3406" i="1"/>
  <c r="Y3406" i="1" s="1"/>
  <c r="CW3406" i="1"/>
  <c r="AA3406" i="1" s="1"/>
  <c r="CR3406" i="1"/>
  <c r="CP3406" i="1"/>
  <c r="CN3406" i="1"/>
  <c r="CJ3406" i="1"/>
  <c r="CH3406" i="1"/>
  <c r="CF3406" i="1"/>
  <c r="BL3406" i="1"/>
  <c r="BD3406" i="1"/>
  <c r="AZ3406" i="1"/>
  <c r="AX3406" i="1"/>
  <c r="DC3399" i="1"/>
  <c r="DA3399" i="1"/>
  <c r="CY3399" i="1"/>
  <c r="Y3399" i="1" s="1"/>
  <c r="CW3399" i="1"/>
  <c r="AA3399" i="1" s="1"/>
  <c r="CR3399" i="1"/>
  <c r="CP3399" i="1"/>
  <c r="CN3399" i="1"/>
  <c r="CJ3399" i="1"/>
  <c r="CH3399" i="1"/>
  <c r="CF3399" i="1"/>
  <c r="BL3399" i="1"/>
  <c r="BD3399" i="1"/>
  <c r="AZ3399" i="1"/>
  <c r="AX3399" i="1"/>
  <c r="DC3425" i="1"/>
  <c r="DA3425" i="1"/>
  <c r="CY3425" i="1"/>
  <c r="Y3425" i="1" s="1"/>
  <c r="CW3425" i="1"/>
  <c r="AA3425" i="1" s="1"/>
  <c r="CR3425" i="1"/>
  <c r="CP3425" i="1"/>
  <c r="CN3425" i="1"/>
  <c r="CJ3425" i="1"/>
  <c r="CH3425" i="1"/>
  <c r="CF3425" i="1"/>
  <c r="BL3425" i="1"/>
  <c r="BD3425" i="1"/>
  <c r="AZ3425" i="1"/>
  <c r="AX3425" i="1"/>
  <c r="DC3418" i="1"/>
  <c r="DA3418" i="1"/>
  <c r="CY3418" i="1"/>
  <c r="Y3418" i="1" s="1"/>
  <c r="CW3418" i="1"/>
  <c r="AA3418" i="1" s="1"/>
  <c r="CR3418" i="1"/>
  <c r="CP3418" i="1"/>
  <c r="CN3418" i="1"/>
  <c r="CJ3418" i="1"/>
  <c r="CH3418" i="1"/>
  <c r="CF3418" i="1"/>
  <c r="BL3418" i="1"/>
  <c r="BD3418" i="1"/>
  <c r="AZ3418" i="1"/>
  <c r="AX3418" i="1"/>
  <c r="DC3430" i="1"/>
  <c r="DA3430" i="1"/>
  <c r="CY3430" i="1"/>
  <c r="Y3430" i="1" s="1"/>
  <c r="CW3430" i="1"/>
  <c r="AA3430" i="1" s="1"/>
  <c r="CR3430" i="1"/>
  <c r="CP3430" i="1"/>
  <c r="CN3430" i="1"/>
  <c r="CJ3430" i="1"/>
  <c r="CH3430" i="1"/>
  <c r="CF3430" i="1"/>
  <c r="BL3430" i="1"/>
  <c r="BD3430" i="1"/>
  <c r="AZ3430" i="1"/>
  <c r="AX3430" i="1"/>
  <c r="DC3393" i="1"/>
  <c r="DA3393" i="1"/>
  <c r="Y3393" i="1"/>
  <c r="AA3393" i="1"/>
  <c r="CR3393" i="1"/>
  <c r="CP3393" i="1"/>
  <c r="CN3393" i="1"/>
  <c r="CJ3393" i="1"/>
  <c r="CH3393" i="1"/>
  <c r="CF3393" i="1"/>
  <c r="BD3393" i="1"/>
  <c r="AZ3393" i="1"/>
  <c r="AX3393" i="1"/>
  <c r="DC3405" i="1"/>
  <c r="DA3405" i="1"/>
  <c r="CY3405" i="1"/>
  <c r="Y3405" i="1" s="1"/>
  <c r="CW3405" i="1"/>
  <c r="AA3405" i="1" s="1"/>
  <c r="CR3405" i="1"/>
  <c r="CP3405" i="1"/>
  <c r="CN3405" i="1"/>
  <c r="CJ3405" i="1"/>
  <c r="CH3405" i="1"/>
  <c r="CF3405" i="1"/>
  <c r="BL3405" i="1"/>
  <c r="BD3405" i="1"/>
  <c r="AZ3405" i="1"/>
  <c r="AX3405" i="1"/>
  <c r="AD3436" i="1" l="1"/>
  <c r="AD3438" i="1"/>
  <c r="AD3366" i="1"/>
  <c r="AD3347" i="1"/>
  <c r="AD3264" i="1"/>
  <c r="AD3441" i="1"/>
  <c r="AD3419" i="1"/>
  <c r="AD3439" i="1"/>
  <c r="AD3440" i="1"/>
  <c r="AD3282" i="1"/>
  <c r="AD3434" i="1"/>
  <c r="AD3433" i="1"/>
  <c r="AD3432" i="1"/>
  <c r="AD3412" i="1"/>
  <c r="AD3435" i="1"/>
  <c r="AD3442" i="1"/>
  <c r="AD3411" i="1"/>
  <c r="AD3426" i="1"/>
  <c r="Z3393" i="1"/>
  <c r="Z3408" i="1"/>
  <c r="Z3409" i="1"/>
  <c r="Z3415" i="1"/>
  <c r="CU3421" i="1"/>
  <c r="X3421" i="1" s="1"/>
  <c r="Z3406" i="1"/>
  <c r="Z3410" i="1"/>
  <c r="Z3423" i="1"/>
  <c r="Z3421" i="1"/>
  <c r="Z3422" i="1"/>
  <c r="Z3420" i="1"/>
  <c r="Z3417" i="1"/>
  <c r="CU3417" i="1"/>
  <c r="X3417" i="1" s="1"/>
  <c r="CU3414" i="1"/>
  <c r="X3414" i="1" s="1"/>
  <c r="Z3414" i="1"/>
  <c r="Z3416" i="1"/>
  <c r="Z3407" i="1"/>
  <c r="CU3424" i="1"/>
  <c r="X3424" i="1" s="1"/>
  <c r="Z3424" i="1"/>
  <c r="Z3399" i="1"/>
  <c r="CU3408" i="1"/>
  <c r="X3408" i="1" s="1"/>
  <c r="CU3410" i="1"/>
  <c r="X3410" i="1" s="1"/>
  <c r="CU3399" i="1"/>
  <c r="X3399" i="1" s="1"/>
  <c r="CU3407" i="1"/>
  <c r="X3407" i="1" s="1"/>
  <c r="CU3416" i="1"/>
  <c r="X3416" i="1" s="1"/>
  <c r="CU3420" i="1"/>
  <c r="X3420" i="1" s="1"/>
  <c r="CU3423" i="1"/>
  <c r="X3423" i="1" s="1"/>
  <c r="CU3406" i="1"/>
  <c r="X3406" i="1" s="1"/>
  <c r="CU3415" i="1"/>
  <c r="X3415" i="1" s="1"/>
  <c r="CU3409" i="1"/>
  <c r="X3409" i="1" s="1"/>
  <c r="CU3422" i="1"/>
  <c r="X3422" i="1" s="1"/>
  <c r="Z3425" i="1"/>
  <c r="Z3418" i="1"/>
  <c r="Z3405" i="1"/>
  <c r="CU3430" i="1"/>
  <c r="X3430" i="1" s="1"/>
  <c r="CU3425" i="1"/>
  <c r="X3425" i="1" s="1"/>
  <c r="Z3430" i="1"/>
  <c r="CU3418" i="1"/>
  <c r="X3418" i="1" s="1"/>
  <c r="CU3405" i="1"/>
  <c r="X3405" i="1" s="1"/>
  <c r="CU3393" i="1"/>
  <c r="X3393" i="1" s="1"/>
  <c r="W1261" i="1"/>
  <c r="AD3425" i="1" l="1"/>
  <c r="AD3421" i="1"/>
  <c r="AD3399" i="1"/>
  <c r="AD3393" i="1"/>
  <c r="AD3406" i="1"/>
  <c r="AD3408" i="1"/>
  <c r="AD3417" i="1"/>
  <c r="AD3423" i="1"/>
  <c r="AD3415" i="1"/>
  <c r="AD3410" i="1"/>
  <c r="AD3409" i="1"/>
  <c r="AD3407" i="1"/>
  <c r="AD3424" i="1"/>
  <c r="AD3414" i="1"/>
  <c r="AD3420" i="1"/>
  <c r="AD3422" i="1"/>
  <c r="AD3416" i="1"/>
  <c r="AD3405" i="1"/>
  <c r="AD3418" i="1"/>
  <c r="AD3430" i="1"/>
  <c r="CY2894" i="1"/>
  <c r="CW2894" i="1"/>
  <c r="CR2894" i="1"/>
  <c r="CP2894" i="1"/>
  <c r="BZ2894" i="1"/>
  <c r="BL2894" i="1"/>
  <c r="CY2927" i="1"/>
  <c r="CW2927" i="1"/>
  <c r="CR2927" i="1"/>
  <c r="CP2927" i="1"/>
  <c r="BZ2927" i="1"/>
  <c r="BL2927" i="1"/>
  <c r="DC3431" i="1" l="1"/>
  <c r="DA3431" i="1"/>
  <c r="CY3431" i="1"/>
  <c r="Y3431" i="1" s="1"/>
  <c r="CW3431" i="1"/>
  <c r="AA3431" i="1" s="1"/>
  <c r="CR3431" i="1"/>
  <c r="CP3431" i="1"/>
  <c r="CN3431" i="1"/>
  <c r="CJ3431" i="1"/>
  <c r="CH3431" i="1"/>
  <c r="CF3431" i="1"/>
  <c r="BL3431" i="1"/>
  <c r="BD3431" i="1"/>
  <c r="AZ3431" i="1"/>
  <c r="AX3431" i="1"/>
  <c r="DC3404" i="1"/>
  <c r="DA3404" i="1"/>
  <c r="CY3404" i="1"/>
  <c r="Y3404" i="1" s="1"/>
  <c r="CW3404" i="1"/>
  <c r="AA3404" i="1" s="1"/>
  <c r="CR3404" i="1"/>
  <c r="CP3404" i="1"/>
  <c r="CN3404" i="1"/>
  <c r="CJ3404" i="1"/>
  <c r="CH3404" i="1"/>
  <c r="CF3404" i="1"/>
  <c r="BL3404" i="1"/>
  <c r="BD3404" i="1"/>
  <c r="AZ3404" i="1"/>
  <c r="AX3404" i="1"/>
  <c r="DC3403" i="1"/>
  <c r="DA3403" i="1"/>
  <c r="CY3403" i="1"/>
  <c r="Y3403" i="1" s="1"/>
  <c r="CW3403" i="1"/>
  <c r="AA3403" i="1" s="1"/>
  <c r="CR3403" i="1"/>
  <c r="CP3403" i="1"/>
  <c r="CN3403" i="1"/>
  <c r="CJ3403" i="1"/>
  <c r="CH3403" i="1"/>
  <c r="CF3403" i="1"/>
  <c r="BL3403" i="1"/>
  <c r="BD3403" i="1"/>
  <c r="AZ3403" i="1"/>
  <c r="AX3403" i="1"/>
  <c r="DC3402" i="1"/>
  <c r="DA3402" i="1"/>
  <c r="CY3402" i="1"/>
  <c r="Y3402" i="1" s="1"/>
  <c r="CW3402" i="1"/>
  <c r="AA3402" i="1" s="1"/>
  <c r="CR3402" i="1"/>
  <c r="CP3402" i="1"/>
  <c r="CN3402" i="1"/>
  <c r="CJ3402" i="1"/>
  <c r="CH3402" i="1"/>
  <c r="CF3402" i="1"/>
  <c r="BL3402" i="1"/>
  <c r="BD3402" i="1"/>
  <c r="AZ3402" i="1"/>
  <c r="AX3402" i="1"/>
  <c r="Z3402" i="1" l="1"/>
  <c r="CU3431" i="1"/>
  <c r="X3431" i="1" s="1"/>
  <c r="Z3404" i="1"/>
  <c r="Z3431" i="1"/>
  <c r="CU3402" i="1"/>
  <c r="X3402" i="1" s="1"/>
  <c r="CU3403" i="1"/>
  <c r="X3403" i="1" s="1"/>
  <c r="Z3403" i="1"/>
  <c r="CU3404" i="1"/>
  <c r="X3404" i="1" s="1"/>
  <c r="AD3404" i="1" l="1"/>
  <c r="AD3431" i="1"/>
  <c r="AD3402" i="1"/>
  <c r="AD3403" i="1"/>
  <c r="DC2696" i="1"/>
  <c r="CY2696" i="1"/>
  <c r="CR2696" i="1"/>
  <c r="CJ2696" i="1"/>
  <c r="BZ2696" i="1"/>
  <c r="AZ2696" i="1"/>
  <c r="DC2807" i="1"/>
  <c r="CY2807" i="1"/>
  <c r="CR2807" i="1"/>
  <c r="CP2807" i="1"/>
  <c r="AZ2807" i="1"/>
  <c r="AB976" i="1" l="1"/>
  <c r="I3382" i="1" l="1"/>
  <c r="DC3394" i="1"/>
  <c r="DA3394" i="1"/>
  <c r="CY3394" i="1"/>
  <c r="Y3394" i="1" s="1"/>
  <c r="CW3394" i="1"/>
  <c r="AA3394" i="1" s="1"/>
  <c r="CR3394" i="1"/>
  <c r="CP3394" i="1"/>
  <c r="CN3394" i="1"/>
  <c r="CJ3394" i="1"/>
  <c r="CH3394" i="1"/>
  <c r="CF3394" i="1"/>
  <c r="BL3394" i="1"/>
  <c r="BD3394" i="1"/>
  <c r="AZ3394" i="1"/>
  <c r="AX3394" i="1"/>
  <c r="DC3375" i="1"/>
  <c r="DA3375" i="1"/>
  <c r="CY3375" i="1"/>
  <c r="Y3375" i="1" s="1"/>
  <c r="CW3375" i="1"/>
  <c r="AA3375" i="1" s="1"/>
  <c r="CR3375" i="1"/>
  <c r="CP3375" i="1"/>
  <c r="CN3375" i="1"/>
  <c r="CJ3375" i="1"/>
  <c r="CH3375" i="1"/>
  <c r="CF3375" i="1"/>
  <c r="BL3375" i="1"/>
  <c r="BD3375" i="1"/>
  <c r="AZ3375" i="1"/>
  <c r="AX3375" i="1"/>
  <c r="DC3384" i="1"/>
  <c r="DA3384" i="1"/>
  <c r="CY3384" i="1"/>
  <c r="Y3384" i="1" s="1"/>
  <c r="CW3384" i="1"/>
  <c r="AA3384" i="1" s="1"/>
  <c r="CR3384" i="1"/>
  <c r="CP3384" i="1"/>
  <c r="CN3384" i="1"/>
  <c r="CJ3384" i="1"/>
  <c r="CH3384" i="1"/>
  <c r="CF3384" i="1"/>
  <c r="BL3384" i="1"/>
  <c r="BD3384" i="1"/>
  <c r="AZ3384" i="1"/>
  <c r="AX3384" i="1"/>
  <c r="DC3385" i="1"/>
  <c r="DA3385" i="1"/>
  <c r="CY3385" i="1"/>
  <c r="Y3385" i="1" s="1"/>
  <c r="CW3385" i="1"/>
  <c r="AA3385" i="1" s="1"/>
  <c r="CR3385" i="1"/>
  <c r="CP3385" i="1"/>
  <c r="CN3385" i="1"/>
  <c r="CJ3385" i="1"/>
  <c r="CH3385" i="1"/>
  <c r="CF3385" i="1"/>
  <c r="BL3385" i="1"/>
  <c r="BD3385" i="1"/>
  <c r="AZ3385" i="1"/>
  <c r="AX3385" i="1"/>
  <c r="DC3381" i="1"/>
  <c r="DA3381" i="1"/>
  <c r="CY3381" i="1"/>
  <c r="Y3381" i="1" s="1"/>
  <c r="CW3381" i="1"/>
  <c r="AA3381" i="1" s="1"/>
  <c r="CR3381" i="1"/>
  <c r="CP3381" i="1"/>
  <c r="CN3381" i="1"/>
  <c r="CJ3381" i="1"/>
  <c r="CH3381" i="1"/>
  <c r="CF3381" i="1"/>
  <c r="BL3381" i="1"/>
  <c r="BD3381" i="1"/>
  <c r="AZ3381" i="1"/>
  <c r="AX3381" i="1"/>
  <c r="DC3380" i="1"/>
  <c r="DA3380" i="1"/>
  <c r="CY3380" i="1"/>
  <c r="Y3380" i="1" s="1"/>
  <c r="CW3380" i="1"/>
  <c r="AA3380" i="1" s="1"/>
  <c r="CR3380" i="1"/>
  <c r="CP3380" i="1"/>
  <c r="CN3380" i="1"/>
  <c r="CJ3380" i="1"/>
  <c r="CH3380" i="1"/>
  <c r="CF3380" i="1"/>
  <c r="BL3380" i="1"/>
  <c r="BD3380" i="1"/>
  <c r="AZ3380" i="1"/>
  <c r="AX3380" i="1"/>
  <c r="DC3390" i="1"/>
  <c r="DA3390" i="1"/>
  <c r="CY3390" i="1"/>
  <c r="Y3390" i="1" s="1"/>
  <c r="CW3390" i="1"/>
  <c r="AA3390" i="1" s="1"/>
  <c r="CR3390" i="1"/>
  <c r="CP3390" i="1"/>
  <c r="CN3390" i="1"/>
  <c r="CJ3390" i="1"/>
  <c r="CH3390" i="1"/>
  <c r="CF3390" i="1"/>
  <c r="BL3390" i="1"/>
  <c r="BD3390" i="1"/>
  <c r="AZ3390" i="1"/>
  <c r="AX3390" i="1"/>
  <c r="DC3378" i="1"/>
  <c r="DA3378" i="1"/>
  <c r="CY3378" i="1"/>
  <c r="Y3378" i="1" s="1"/>
  <c r="CW3378" i="1"/>
  <c r="AA3378" i="1" s="1"/>
  <c r="CR3378" i="1"/>
  <c r="CP3378" i="1"/>
  <c r="CN3378" i="1"/>
  <c r="CJ3378" i="1"/>
  <c r="CH3378" i="1"/>
  <c r="CF3378" i="1"/>
  <c r="BL3378" i="1"/>
  <c r="BD3378" i="1"/>
  <c r="AZ3378" i="1"/>
  <c r="AX3378" i="1"/>
  <c r="DC3377" i="1"/>
  <c r="DA3377" i="1"/>
  <c r="CY3377" i="1"/>
  <c r="Y3377" i="1" s="1"/>
  <c r="CW3377" i="1"/>
  <c r="AA3377" i="1" s="1"/>
  <c r="CR3377" i="1"/>
  <c r="CP3377" i="1"/>
  <c r="CN3377" i="1"/>
  <c r="CJ3377" i="1"/>
  <c r="CH3377" i="1"/>
  <c r="CF3377" i="1"/>
  <c r="BL3377" i="1"/>
  <c r="BD3377" i="1"/>
  <c r="AZ3377" i="1"/>
  <c r="AX3377" i="1"/>
  <c r="DC3379" i="1"/>
  <c r="DA3379" i="1"/>
  <c r="CY3379" i="1"/>
  <c r="Y3379" i="1" s="1"/>
  <c r="CW3379" i="1"/>
  <c r="AA3379" i="1" s="1"/>
  <c r="CR3379" i="1"/>
  <c r="CP3379" i="1"/>
  <c r="CN3379" i="1"/>
  <c r="CJ3379" i="1"/>
  <c r="CH3379" i="1"/>
  <c r="CF3379" i="1"/>
  <c r="BL3379" i="1"/>
  <c r="BD3379" i="1"/>
  <c r="AZ3379" i="1"/>
  <c r="AX3379" i="1"/>
  <c r="DC3376" i="1"/>
  <c r="DA3376" i="1"/>
  <c r="CY3376" i="1"/>
  <c r="Y3376" i="1" s="1"/>
  <c r="CW3376" i="1"/>
  <c r="AA3376" i="1" s="1"/>
  <c r="CR3376" i="1"/>
  <c r="CP3376" i="1"/>
  <c r="CN3376" i="1"/>
  <c r="CJ3376" i="1"/>
  <c r="CH3376" i="1"/>
  <c r="CF3376" i="1"/>
  <c r="BL3376" i="1"/>
  <c r="BD3376" i="1"/>
  <c r="AZ3376" i="1"/>
  <c r="AX3376" i="1"/>
  <c r="DC3382" i="1"/>
  <c r="DA3382" i="1"/>
  <c r="CY3382" i="1"/>
  <c r="Y3382" i="1" s="1"/>
  <c r="CW3382" i="1"/>
  <c r="AA3382" i="1" s="1"/>
  <c r="CR3382" i="1"/>
  <c r="CP3382" i="1"/>
  <c r="CN3382" i="1"/>
  <c r="CJ3382" i="1"/>
  <c r="CH3382" i="1"/>
  <c r="CF3382" i="1"/>
  <c r="BL3382" i="1"/>
  <c r="BD3382" i="1"/>
  <c r="AZ3382" i="1"/>
  <c r="AX3382" i="1"/>
  <c r="DC3383" i="1"/>
  <c r="DA3383" i="1"/>
  <c r="CY3383" i="1"/>
  <c r="Y3383" i="1" s="1"/>
  <c r="CW3383" i="1"/>
  <c r="AA3383" i="1" s="1"/>
  <c r="CR3383" i="1"/>
  <c r="CP3383" i="1"/>
  <c r="CN3383" i="1"/>
  <c r="CJ3383" i="1"/>
  <c r="CH3383" i="1"/>
  <c r="CF3383" i="1"/>
  <c r="BL3383" i="1"/>
  <c r="BD3383" i="1"/>
  <c r="AZ3383" i="1"/>
  <c r="AX3383" i="1"/>
  <c r="DC3398" i="1"/>
  <c r="DA3398" i="1"/>
  <c r="CY3398" i="1"/>
  <c r="Y3398" i="1" s="1"/>
  <c r="CW3398" i="1"/>
  <c r="AA3398" i="1" s="1"/>
  <c r="CR3398" i="1"/>
  <c r="CP3398" i="1"/>
  <c r="CN3398" i="1"/>
  <c r="CJ3398" i="1"/>
  <c r="CH3398" i="1"/>
  <c r="CF3398" i="1"/>
  <c r="BL3398" i="1"/>
  <c r="BD3398" i="1"/>
  <c r="AZ3398" i="1"/>
  <c r="AX3398" i="1"/>
  <c r="DC3397" i="1"/>
  <c r="DA3397" i="1"/>
  <c r="CY3397" i="1"/>
  <c r="Y3397" i="1" s="1"/>
  <c r="CW3397" i="1"/>
  <c r="AA3397" i="1" s="1"/>
  <c r="CR3397" i="1"/>
  <c r="CP3397" i="1"/>
  <c r="CN3397" i="1"/>
  <c r="CJ3397" i="1"/>
  <c r="CH3397" i="1"/>
  <c r="CF3397" i="1"/>
  <c r="BL3397" i="1"/>
  <c r="BD3397" i="1"/>
  <c r="AZ3397" i="1"/>
  <c r="AX3397" i="1"/>
  <c r="DC3396" i="1"/>
  <c r="DA3396" i="1"/>
  <c r="CY3396" i="1"/>
  <c r="Y3396" i="1" s="1"/>
  <c r="CW3396" i="1"/>
  <c r="AA3396" i="1" s="1"/>
  <c r="CR3396" i="1"/>
  <c r="CP3396" i="1"/>
  <c r="CN3396" i="1"/>
  <c r="CJ3396" i="1"/>
  <c r="CH3396" i="1"/>
  <c r="CF3396" i="1"/>
  <c r="BL3396" i="1"/>
  <c r="BD3396" i="1"/>
  <c r="AZ3396" i="1"/>
  <c r="AX3396" i="1"/>
  <c r="DC3392" i="1"/>
  <c r="DA3392" i="1"/>
  <c r="CY3392" i="1"/>
  <c r="Y3392" i="1" s="1"/>
  <c r="CW3392" i="1"/>
  <c r="AA3392" i="1" s="1"/>
  <c r="CR3392" i="1"/>
  <c r="CP3392" i="1"/>
  <c r="CN3392" i="1"/>
  <c r="CJ3392" i="1"/>
  <c r="CH3392" i="1"/>
  <c r="CF3392" i="1"/>
  <c r="BL3392" i="1"/>
  <c r="BD3392" i="1"/>
  <c r="AZ3392" i="1"/>
  <c r="AX3392" i="1"/>
  <c r="DC3391" i="1"/>
  <c r="DA3391" i="1"/>
  <c r="CY3391" i="1"/>
  <c r="Y3391" i="1" s="1"/>
  <c r="CW3391" i="1"/>
  <c r="AA3391" i="1" s="1"/>
  <c r="CR3391" i="1"/>
  <c r="CP3391" i="1"/>
  <c r="CN3391" i="1"/>
  <c r="CJ3391" i="1"/>
  <c r="CH3391" i="1"/>
  <c r="CF3391" i="1"/>
  <c r="BL3391" i="1"/>
  <c r="BD3391" i="1"/>
  <c r="AZ3391" i="1"/>
  <c r="AX3391" i="1"/>
  <c r="DC3395" i="1"/>
  <c r="DA3395" i="1"/>
  <c r="CY3395" i="1"/>
  <c r="Y3395" i="1" s="1"/>
  <c r="CW3395" i="1"/>
  <c r="AA3395" i="1" s="1"/>
  <c r="CR3395" i="1"/>
  <c r="CP3395" i="1"/>
  <c r="CN3395" i="1"/>
  <c r="CJ3395" i="1"/>
  <c r="CH3395" i="1"/>
  <c r="CF3395" i="1"/>
  <c r="BL3395" i="1"/>
  <c r="BD3395" i="1"/>
  <c r="AZ3395" i="1"/>
  <c r="AX3395" i="1"/>
  <c r="Z3375" i="1" l="1"/>
  <c r="Z3391" i="1"/>
  <c r="Z3383" i="1"/>
  <c r="Z3394" i="1"/>
  <c r="Z3382" i="1"/>
  <c r="Z3378" i="1"/>
  <c r="Z3385" i="1"/>
  <c r="Z3379" i="1"/>
  <c r="Z3395" i="1"/>
  <c r="Z3396" i="1"/>
  <c r="CU3397" i="1"/>
  <c r="X3397" i="1" s="1"/>
  <c r="Z3397" i="1"/>
  <c r="Z3377" i="1"/>
  <c r="Z3392" i="1"/>
  <c r="CU3380" i="1"/>
  <c r="X3380" i="1" s="1"/>
  <c r="Z3376" i="1"/>
  <c r="Z3390" i="1"/>
  <c r="CU3398" i="1"/>
  <c r="X3398" i="1" s="1"/>
  <c r="Z3398" i="1"/>
  <c r="CU3379" i="1"/>
  <c r="X3379" i="1" s="1"/>
  <c r="Z3381" i="1"/>
  <c r="Z3384" i="1"/>
  <c r="Z3380" i="1"/>
  <c r="CU3375" i="1"/>
  <c r="X3375" i="1" s="1"/>
  <c r="CU3395" i="1"/>
  <c r="X3395" i="1" s="1"/>
  <c r="CU3396" i="1"/>
  <c r="X3396" i="1" s="1"/>
  <c r="CU3376" i="1"/>
  <c r="X3376" i="1" s="1"/>
  <c r="CU3390" i="1"/>
  <c r="X3390" i="1" s="1"/>
  <c r="CU3384" i="1"/>
  <c r="X3384" i="1" s="1"/>
  <c r="CU3383" i="1"/>
  <c r="X3383" i="1" s="1"/>
  <c r="CU3377" i="1"/>
  <c r="X3377" i="1" s="1"/>
  <c r="CU3381" i="1"/>
  <c r="X3381" i="1" s="1"/>
  <c r="CU3394" i="1"/>
  <c r="X3394" i="1" s="1"/>
  <c r="CU3382" i="1"/>
  <c r="X3382" i="1" s="1"/>
  <c r="CU3378" i="1"/>
  <c r="X3378" i="1" s="1"/>
  <c r="CU3385" i="1"/>
  <c r="X3385" i="1" s="1"/>
  <c r="CU3392" i="1"/>
  <c r="X3392" i="1" s="1"/>
  <c r="CU3391" i="1"/>
  <c r="X3391" i="1" s="1"/>
  <c r="DC3389" i="1"/>
  <c r="DA3389" i="1"/>
  <c r="CY3389" i="1"/>
  <c r="Y3389" i="1" s="1"/>
  <c r="CW3389" i="1"/>
  <c r="AA3389" i="1" s="1"/>
  <c r="CR3389" i="1"/>
  <c r="CP3389" i="1"/>
  <c r="CN3389" i="1"/>
  <c r="CJ3389" i="1"/>
  <c r="CH3389" i="1"/>
  <c r="CF3389" i="1"/>
  <c r="BL3389" i="1"/>
  <c r="BD3389" i="1"/>
  <c r="AZ3389" i="1"/>
  <c r="AX3389" i="1"/>
  <c r="DC3388" i="1"/>
  <c r="DA3388" i="1"/>
  <c r="CY3388" i="1"/>
  <c r="Y3388" i="1" s="1"/>
  <c r="CW3388" i="1"/>
  <c r="AA3388" i="1" s="1"/>
  <c r="CR3388" i="1"/>
  <c r="CP3388" i="1"/>
  <c r="CN3388" i="1"/>
  <c r="CJ3388" i="1"/>
  <c r="CH3388" i="1"/>
  <c r="CF3388" i="1"/>
  <c r="BL3388" i="1"/>
  <c r="BD3388" i="1"/>
  <c r="AZ3388" i="1"/>
  <c r="AX3388" i="1"/>
  <c r="DC3387" i="1"/>
  <c r="DA3387" i="1"/>
  <c r="CY3387" i="1"/>
  <c r="Y3387" i="1" s="1"/>
  <c r="CW3387" i="1"/>
  <c r="AA3387" i="1" s="1"/>
  <c r="CR3387" i="1"/>
  <c r="CP3387" i="1"/>
  <c r="CN3387" i="1"/>
  <c r="CJ3387" i="1"/>
  <c r="CH3387" i="1"/>
  <c r="CF3387" i="1"/>
  <c r="BL3387" i="1"/>
  <c r="BD3387" i="1"/>
  <c r="AZ3387" i="1"/>
  <c r="AX3387" i="1"/>
  <c r="DC3386" i="1"/>
  <c r="DA3386" i="1"/>
  <c r="CY3386" i="1"/>
  <c r="Y3386" i="1" s="1"/>
  <c r="CW3386" i="1"/>
  <c r="AA3386" i="1" s="1"/>
  <c r="CR3386" i="1"/>
  <c r="CP3386" i="1"/>
  <c r="CN3386" i="1"/>
  <c r="CJ3386" i="1"/>
  <c r="CH3386" i="1"/>
  <c r="CF3386" i="1"/>
  <c r="BL3386" i="1"/>
  <c r="BD3386" i="1"/>
  <c r="AZ3386" i="1"/>
  <c r="AX3386" i="1"/>
  <c r="Y3211" i="1"/>
  <c r="CW3211" i="1"/>
  <c r="AA3211" i="1" s="1"/>
  <c r="CP3211" i="1"/>
  <c r="CN3211" i="1"/>
  <c r="CJ3211" i="1"/>
  <c r="CH3211" i="1"/>
  <c r="CF3211" i="1"/>
  <c r="BL3211" i="1"/>
  <c r="BD3211" i="1"/>
  <c r="AZ3211" i="1"/>
  <c r="AX3211" i="1"/>
  <c r="DA2883" i="1"/>
  <c r="Y2883" i="1"/>
  <c r="CW2883" i="1"/>
  <c r="AA2883" i="1" s="1"/>
  <c r="CP2883" i="1"/>
  <c r="CN2883" i="1"/>
  <c r="CJ2883" i="1"/>
  <c r="CH2883" i="1"/>
  <c r="CF2883" i="1"/>
  <c r="BL2883" i="1"/>
  <c r="BD2883" i="1"/>
  <c r="AZ2883" i="1"/>
  <c r="AX2883" i="1"/>
  <c r="CY2990" i="1"/>
  <c r="Y2990" i="1" s="1"/>
  <c r="CW2990" i="1"/>
  <c r="AA2990" i="1" s="1"/>
  <c r="CP2990" i="1"/>
  <c r="CN2990" i="1"/>
  <c r="CJ2990" i="1"/>
  <c r="CH2990" i="1"/>
  <c r="CF2990" i="1"/>
  <c r="BL2990" i="1"/>
  <c r="BD2990" i="1"/>
  <c r="AZ2990" i="1"/>
  <c r="AX2990" i="1"/>
  <c r="Y2208" i="1"/>
  <c r="CW2208" i="1"/>
  <c r="AA2208" i="1" s="1"/>
  <c r="CP2208" i="1"/>
  <c r="CN2208" i="1"/>
  <c r="CJ2208" i="1"/>
  <c r="CH2208" i="1"/>
  <c r="CF2208" i="1"/>
  <c r="BL2208" i="1"/>
  <c r="BD2208" i="1"/>
  <c r="AZ2208" i="1"/>
  <c r="AX2208" i="1"/>
  <c r="AD3384" i="1" l="1"/>
  <c r="AD3394" i="1"/>
  <c r="AD3391" i="1"/>
  <c r="AD3392" i="1"/>
  <c r="AD3375" i="1"/>
  <c r="AD3382" i="1"/>
  <c r="AD3383" i="1"/>
  <c r="AD3379" i="1"/>
  <c r="AD3397" i="1"/>
  <c r="AD3377" i="1"/>
  <c r="AD3385" i="1"/>
  <c r="AD3380" i="1"/>
  <c r="AD3396" i="1"/>
  <c r="AD3378" i="1"/>
  <c r="AD3376" i="1"/>
  <c r="AD3395" i="1"/>
  <c r="AD3398" i="1"/>
  <c r="AD3390" i="1"/>
  <c r="AD3381" i="1"/>
  <c r="Z3388" i="1"/>
  <c r="Z2990" i="1"/>
  <c r="Z3386" i="1"/>
  <c r="Z3387" i="1"/>
  <c r="CU3388" i="1"/>
  <c r="X3388" i="1" s="1"/>
  <c r="Z2883" i="1"/>
  <c r="Z2208" i="1"/>
  <c r="CU2883" i="1"/>
  <c r="X2883" i="1" s="1"/>
  <c r="Z3211" i="1"/>
  <c r="Z3389" i="1"/>
  <c r="CU3211" i="1"/>
  <c r="X3211" i="1" s="1"/>
  <c r="CU3389" i="1"/>
  <c r="X3389" i="1" s="1"/>
  <c r="CU3386" i="1"/>
  <c r="X3386" i="1" s="1"/>
  <c r="CU2208" i="1"/>
  <c r="X2208" i="1" s="1"/>
  <c r="CU2990" i="1"/>
  <c r="X2990" i="1" s="1"/>
  <c r="CU3387" i="1"/>
  <c r="X3387" i="1" s="1"/>
  <c r="AD3388" i="1" l="1"/>
  <c r="AD2208" i="1"/>
  <c r="AD2990" i="1"/>
  <c r="AD2883" i="1"/>
  <c r="AD3386" i="1"/>
  <c r="AD3387" i="1"/>
  <c r="AD3389" i="1"/>
  <c r="AD3211" i="1"/>
  <c r="DC3690" i="1" l="1"/>
  <c r="DA3690" i="1"/>
  <c r="CY3690" i="1"/>
  <c r="Y3690" i="1" s="1"/>
  <c r="CW3690" i="1"/>
  <c r="AA3690" i="1" s="1"/>
  <c r="CR3690" i="1"/>
  <c r="CP3690" i="1"/>
  <c r="CN3690" i="1"/>
  <c r="CJ3690" i="1"/>
  <c r="CH3690" i="1"/>
  <c r="CF3690" i="1"/>
  <c r="BL3690" i="1"/>
  <c r="BD3690" i="1"/>
  <c r="AZ3690" i="1"/>
  <c r="AX3690" i="1"/>
  <c r="DC3373" i="1"/>
  <c r="DA3373" i="1"/>
  <c r="CY3373" i="1"/>
  <c r="Y3373" i="1" s="1"/>
  <c r="CW3373" i="1"/>
  <c r="AA3373" i="1" s="1"/>
  <c r="CR3373" i="1"/>
  <c r="CP3373" i="1"/>
  <c r="CN3373" i="1"/>
  <c r="CJ3373" i="1"/>
  <c r="CH3373" i="1"/>
  <c r="CF3373" i="1"/>
  <c r="BL3373" i="1"/>
  <c r="BD3373" i="1"/>
  <c r="AZ3373" i="1"/>
  <c r="AX3373" i="1"/>
  <c r="DC3372" i="1"/>
  <c r="DA3372" i="1"/>
  <c r="CY3372" i="1"/>
  <c r="Y3372" i="1" s="1"/>
  <c r="CW3372" i="1"/>
  <c r="AA3372" i="1" s="1"/>
  <c r="CR3372" i="1"/>
  <c r="CP3372" i="1"/>
  <c r="CN3372" i="1"/>
  <c r="CJ3372" i="1"/>
  <c r="CH3372" i="1"/>
  <c r="CF3372" i="1"/>
  <c r="BL3372" i="1"/>
  <c r="BD3372" i="1"/>
  <c r="AZ3372" i="1"/>
  <c r="AX3372" i="1"/>
  <c r="DC3371" i="1"/>
  <c r="DA3371" i="1"/>
  <c r="CY3371" i="1"/>
  <c r="Y3371" i="1" s="1"/>
  <c r="CW3371" i="1"/>
  <c r="AA3371" i="1" s="1"/>
  <c r="CR3371" i="1"/>
  <c r="CP3371" i="1"/>
  <c r="CN3371" i="1"/>
  <c r="CJ3371" i="1"/>
  <c r="CH3371" i="1"/>
  <c r="CF3371" i="1"/>
  <c r="BL3371" i="1"/>
  <c r="BD3371" i="1"/>
  <c r="AZ3371" i="1"/>
  <c r="AX3371" i="1"/>
  <c r="DC3370" i="1"/>
  <c r="DA3370" i="1"/>
  <c r="CY3370" i="1"/>
  <c r="Y3370" i="1" s="1"/>
  <c r="CW3370" i="1"/>
  <c r="AA3370" i="1" s="1"/>
  <c r="CR3370" i="1"/>
  <c r="CP3370" i="1"/>
  <c r="CN3370" i="1"/>
  <c r="CJ3370" i="1"/>
  <c r="CH3370" i="1"/>
  <c r="CF3370" i="1"/>
  <c r="BL3370" i="1"/>
  <c r="BD3370" i="1"/>
  <c r="AZ3370" i="1"/>
  <c r="AX3370" i="1"/>
  <c r="DA3027" i="1"/>
  <c r="Y3027" i="1"/>
  <c r="CW3027" i="1"/>
  <c r="AA3027" i="1" s="1"/>
  <c r="CR3027" i="1"/>
  <c r="CP3027" i="1"/>
  <c r="CN3027" i="1"/>
  <c r="CJ3027" i="1"/>
  <c r="CH3027" i="1"/>
  <c r="CF3027" i="1"/>
  <c r="BL3027" i="1"/>
  <c r="BD3027" i="1"/>
  <c r="AZ3027" i="1"/>
  <c r="AX3027" i="1"/>
  <c r="DC3361" i="1"/>
  <c r="DA3361" i="1"/>
  <c r="CY3361" i="1"/>
  <c r="Y3361" i="1" s="1"/>
  <c r="CW3361" i="1"/>
  <c r="AA3361" i="1" s="1"/>
  <c r="CR3361" i="1"/>
  <c r="CP3361" i="1"/>
  <c r="CN3361" i="1"/>
  <c r="CJ3361" i="1"/>
  <c r="CH3361" i="1"/>
  <c r="CF3361" i="1"/>
  <c r="BL3361" i="1"/>
  <c r="BD3361" i="1"/>
  <c r="AZ3361" i="1"/>
  <c r="AX3361" i="1"/>
  <c r="DC3364" i="1"/>
  <c r="DA3364" i="1"/>
  <c r="CY3364" i="1"/>
  <c r="Y3364" i="1" s="1"/>
  <c r="CW3364" i="1"/>
  <c r="AA3364" i="1" s="1"/>
  <c r="CR3364" i="1"/>
  <c r="CP3364" i="1"/>
  <c r="CN3364" i="1"/>
  <c r="CJ3364" i="1"/>
  <c r="CH3364" i="1"/>
  <c r="CF3364" i="1"/>
  <c r="BL3364" i="1"/>
  <c r="BD3364" i="1"/>
  <c r="AZ3364" i="1"/>
  <c r="AX3364" i="1"/>
  <c r="DC3362" i="1"/>
  <c r="DA3362" i="1"/>
  <c r="CY3362" i="1"/>
  <c r="Y3362" i="1" s="1"/>
  <c r="CW3362" i="1"/>
  <c r="AA3362" i="1" s="1"/>
  <c r="CR3362" i="1"/>
  <c r="CP3362" i="1"/>
  <c r="CN3362" i="1"/>
  <c r="CJ3362" i="1"/>
  <c r="CH3362" i="1"/>
  <c r="CF3362" i="1"/>
  <c r="BL3362" i="1"/>
  <c r="BD3362" i="1"/>
  <c r="AZ3362" i="1"/>
  <c r="AX3362" i="1"/>
  <c r="DC3365" i="1"/>
  <c r="DA3365" i="1"/>
  <c r="CY3365" i="1"/>
  <c r="Y3365" i="1" s="1"/>
  <c r="CW3365" i="1"/>
  <c r="AA3365" i="1" s="1"/>
  <c r="CR3365" i="1"/>
  <c r="CP3365" i="1"/>
  <c r="CN3365" i="1"/>
  <c r="CJ3365" i="1"/>
  <c r="CH3365" i="1"/>
  <c r="CF3365" i="1"/>
  <c r="BL3365" i="1"/>
  <c r="BD3365" i="1"/>
  <c r="AZ3365" i="1"/>
  <c r="AX3365" i="1"/>
  <c r="DC3360" i="1"/>
  <c r="DA3360" i="1"/>
  <c r="CY3360" i="1"/>
  <c r="Y3360" i="1" s="1"/>
  <c r="CW3360" i="1"/>
  <c r="AA3360" i="1" s="1"/>
  <c r="CR3360" i="1"/>
  <c r="CP3360" i="1"/>
  <c r="CN3360" i="1"/>
  <c r="CJ3360" i="1"/>
  <c r="CH3360" i="1"/>
  <c r="CF3360" i="1"/>
  <c r="BL3360" i="1"/>
  <c r="BD3360" i="1"/>
  <c r="AZ3360" i="1"/>
  <c r="AX3360" i="1"/>
  <c r="DC3357" i="1"/>
  <c r="DA3357" i="1"/>
  <c r="CY3357" i="1"/>
  <c r="Y3357" i="1" s="1"/>
  <c r="CW3357" i="1"/>
  <c r="AA3357" i="1" s="1"/>
  <c r="CR3357" i="1"/>
  <c r="CP3357" i="1"/>
  <c r="CN3357" i="1"/>
  <c r="CJ3357" i="1"/>
  <c r="CH3357" i="1"/>
  <c r="CF3357" i="1"/>
  <c r="BL3357" i="1"/>
  <c r="BD3357" i="1"/>
  <c r="AZ3357" i="1"/>
  <c r="AX3357" i="1"/>
  <c r="DC3358" i="1"/>
  <c r="DA3358" i="1"/>
  <c r="CY3358" i="1"/>
  <c r="Y3358" i="1" s="1"/>
  <c r="CW3358" i="1"/>
  <c r="AA3358" i="1" s="1"/>
  <c r="CR3358" i="1"/>
  <c r="CP3358" i="1"/>
  <c r="CN3358" i="1"/>
  <c r="CJ3358" i="1"/>
  <c r="CH3358" i="1"/>
  <c r="CF3358" i="1"/>
  <c r="BL3358" i="1"/>
  <c r="BD3358" i="1"/>
  <c r="AZ3358" i="1"/>
  <c r="AX3358" i="1"/>
  <c r="DC3359" i="1"/>
  <c r="DA3359" i="1"/>
  <c r="CY3359" i="1"/>
  <c r="Y3359" i="1" s="1"/>
  <c r="CW3359" i="1"/>
  <c r="AA3359" i="1" s="1"/>
  <c r="CR3359" i="1"/>
  <c r="CP3359" i="1"/>
  <c r="CN3359" i="1"/>
  <c r="CJ3359" i="1"/>
  <c r="CH3359" i="1"/>
  <c r="CF3359" i="1"/>
  <c r="BL3359" i="1"/>
  <c r="BD3359" i="1"/>
  <c r="AZ3359" i="1"/>
  <c r="AX3359" i="1"/>
  <c r="DC3363" i="1"/>
  <c r="DA3363" i="1"/>
  <c r="CY3363" i="1"/>
  <c r="Y3363" i="1" s="1"/>
  <c r="CW3363" i="1"/>
  <c r="AA3363" i="1" s="1"/>
  <c r="CR3363" i="1"/>
  <c r="CP3363" i="1"/>
  <c r="CN3363" i="1"/>
  <c r="CJ3363" i="1"/>
  <c r="CH3363" i="1"/>
  <c r="CF3363" i="1"/>
  <c r="BL3363" i="1"/>
  <c r="BD3363" i="1"/>
  <c r="AZ3363" i="1"/>
  <c r="AX3363" i="1"/>
  <c r="DC3352" i="1"/>
  <c r="DA3352" i="1"/>
  <c r="CY3352" i="1"/>
  <c r="Y3352" i="1" s="1"/>
  <c r="CW3352" i="1"/>
  <c r="AA3352" i="1" s="1"/>
  <c r="CR3352" i="1"/>
  <c r="CP3352" i="1"/>
  <c r="CN3352" i="1"/>
  <c r="CJ3352" i="1"/>
  <c r="CH3352" i="1"/>
  <c r="CF3352" i="1"/>
  <c r="BL3352" i="1"/>
  <c r="BD3352" i="1"/>
  <c r="AZ3352" i="1"/>
  <c r="AX3352" i="1"/>
  <c r="DC3346" i="1"/>
  <c r="DA3346" i="1"/>
  <c r="CY3346" i="1"/>
  <c r="Y3346" i="1" s="1"/>
  <c r="CW3346" i="1"/>
  <c r="AA3346" i="1" s="1"/>
  <c r="CR3346" i="1"/>
  <c r="CP3346" i="1"/>
  <c r="CN3346" i="1"/>
  <c r="CJ3346" i="1"/>
  <c r="CH3346" i="1"/>
  <c r="CF3346" i="1"/>
  <c r="BL3346" i="1"/>
  <c r="BD3346" i="1"/>
  <c r="AZ3346" i="1"/>
  <c r="AX3346" i="1"/>
  <c r="DC3355" i="1"/>
  <c r="DA3355" i="1"/>
  <c r="CY3355" i="1"/>
  <c r="Y3355" i="1" s="1"/>
  <c r="CW3355" i="1"/>
  <c r="AA3355" i="1" s="1"/>
  <c r="CR3355" i="1"/>
  <c r="CP3355" i="1"/>
  <c r="CN3355" i="1"/>
  <c r="CJ3355" i="1"/>
  <c r="CH3355" i="1"/>
  <c r="CF3355" i="1"/>
  <c r="BL3355" i="1"/>
  <c r="BD3355" i="1"/>
  <c r="AZ3355" i="1"/>
  <c r="AX3355" i="1"/>
  <c r="DC3353" i="1"/>
  <c r="DA3353" i="1"/>
  <c r="CY3353" i="1"/>
  <c r="Y3353" i="1" s="1"/>
  <c r="CW3353" i="1"/>
  <c r="AA3353" i="1" s="1"/>
  <c r="CR3353" i="1"/>
  <c r="CP3353" i="1"/>
  <c r="CN3353" i="1"/>
  <c r="CJ3353" i="1"/>
  <c r="CH3353" i="1"/>
  <c r="CF3353" i="1"/>
  <c r="BL3353" i="1"/>
  <c r="BD3353" i="1"/>
  <c r="AZ3353" i="1"/>
  <c r="AX3353" i="1"/>
  <c r="DC3324" i="1"/>
  <c r="DA3324" i="1"/>
  <c r="CY3324" i="1"/>
  <c r="Y3324" i="1" s="1"/>
  <c r="CW3324" i="1"/>
  <c r="AA3324" i="1" s="1"/>
  <c r="CR3324" i="1"/>
  <c r="CP3324" i="1"/>
  <c r="CN3324" i="1"/>
  <c r="CJ3324" i="1"/>
  <c r="CH3324" i="1"/>
  <c r="CF3324" i="1"/>
  <c r="BL3324" i="1"/>
  <c r="BD3324" i="1"/>
  <c r="AZ3324" i="1"/>
  <c r="AX3324" i="1"/>
  <c r="DC3331" i="1"/>
  <c r="DA3331" i="1"/>
  <c r="CY3331" i="1"/>
  <c r="Y3331" i="1" s="1"/>
  <c r="CW3331" i="1"/>
  <c r="AA3331" i="1" s="1"/>
  <c r="CR3331" i="1"/>
  <c r="CP3331" i="1"/>
  <c r="CN3331" i="1"/>
  <c r="CJ3331" i="1"/>
  <c r="CH3331" i="1"/>
  <c r="CF3331" i="1"/>
  <c r="BL3331" i="1"/>
  <c r="BD3331" i="1"/>
  <c r="AZ3331" i="1"/>
  <c r="AX3331" i="1"/>
  <c r="DC3328" i="1"/>
  <c r="DA3328" i="1"/>
  <c r="CY3328" i="1"/>
  <c r="Y3328" i="1" s="1"/>
  <c r="CW3328" i="1"/>
  <c r="AA3328" i="1" s="1"/>
  <c r="CR3328" i="1"/>
  <c r="CP3328" i="1"/>
  <c r="CN3328" i="1"/>
  <c r="CJ3328" i="1"/>
  <c r="CH3328" i="1"/>
  <c r="CF3328" i="1"/>
  <c r="BL3328" i="1"/>
  <c r="BD3328" i="1"/>
  <c r="AZ3328" i="1"/>
  <c r="AX3328" i="1"/>
  <c r="DC3348" i="1"/>
  <c r="DA3348" i="1"/>
  <c r="CY3348" i="1"/>
  <c r="Y3348" i="1" s="1"/>
  <c r="CW3348" i="1"/>
  <c r="AA3348" i="1" s="1"/>
  <c r="CR3348" i="1"/>
  <c r="CP3348" i="1"/>
  <c r="CN3348" i="1"/>
  <c r="CJ3348" i="1"/>
  <c r="CH3348" i="1"/>
  <c r="CF3348" i="1"/>
  <c r="BL3348" i="1"/>
  <c r="BD3348" i="1"/>
  <c r="AZ3348" i="1"/>
  <c r="AX3348" i="1"/>
  <c r="DC3349" i="1"/>
  <c r="DA3349" i="1"/>
  <c r="CY3349" i="1"/>
  <c r="Y3349" i="1" s="1"/>
  <c r="CW3349" i="1"/>
  <c r="AA3349" i="1" s="1"/>
  <c r="CR3349" i="1"/>
  <c r="CP3349" i="1"/>
  <c r="CN3349" i="1"/>
  <c r="CJ3349" i="1"/>
  <c r="CH3349" i="1"/>
  <c r="CF3349" i="1"/>
  <c r="BL3349" i="1"/>
  <c r="BD3349" i="1"/>
  <c r="AZ3349" i="1"/>
  <c r="AX3349" i="1"/>
  <c r="DC3351" i="1"/>
  <c r="DA3351" i="1"/>
  <c r="CY3351" i="1"/>
  <c r="Y3351" i="1" s="1"/>
  <c r="CW3351" i="1"/>
  <c r="AA3351" i="1" s="1"/>
  <c r="CR3351" i="1"/>
  <c r="CP3351" i="1"/>
  <c r="CN3351" i="1"/>
  <c r="CJ3351" i="1"/>
  <c r="CH3351" i="1"/>
  <c r="CF3351" i="1"/>
  <c r="BL3351" i="1"/>
  <c r="BD3351" i="1"/>
  <c r="AZ3351" i="1"/>
  <c r="AX3351" i="1"/>
  <c r="DC3350" i="1"/>
  <c r="DA3350" i="1"/>
  <c r="CY3350" i="1"/>
  <c r="Y3350" i="1" s="1"/>
  <c r="CW3350" i="1"/>
  <c r="AA3350" i="1" s="1"/>
  <c r="CR3350" i="1"/>
  <c r="CP3350" i="1"/>
  <c r="CN3350" i="1"/>
  <c r="CJ3350" i="1"/>
  <c r="CH3350" i="1"/>
  <c r="CF3350" i="1"/>
  <c r="BL3350" i="1"/>
  <c r="BD3350" i="1"/>
  <c r="AZ3350" i="1"/>
  <c r="AX3350" i="1"/>
  <c r="Z3372" i="1" l="1"/>
  <c r="Z3373" i="1"/>
  <c r="Z3690" i="1"/>
  <c r="Z3370" i="1"/>
  <c r="Z3371" i="1"/>
  <c r="Z3027" i="1"/>
  <c r="CU3372" i="1"/>
  <c r="X3372" i="1" s="1"/>
  <c r="CU3027" i="1"/>
  <c r="X3027" i="1" s="1"/>
  <c r="CU3373" i="1"/>
  <c r="X3373" i="1" s="1"/>
  <c r="CU3690" i="1"/>
  <c r="X3690" i="1" s="1"/>
  <c r="CU3370" i="1"/>
  <c r="X3370" i="1" s="1"/>
  <c r="CU3371" i="1"/>
  <c r="X3371" i="1" s="1"/>
  <c r="Z3362" i="1"/>
  <c r="CU3349" i="1"/>
  <c r="X3349" i="1" s="1"/>
  <c r="Z3331" i="1"/>
  <c r="Z3350" i="1"/>
  <c r="CU3324" i="1"/>
  <c r="X3324" i="1" s="1"/>
  <c r="Z3349" i="1"/>
  <c r="Z3360" i="1"/>
  <c r="Z3365" i="1"/>
  <c r="Z3348" i="1"/>
  <c r="Z3357" i="1"/>
  <c r="Z3351" i="1"/>
  <c r="CU3352" i="1"/>
  <c r="X3352" i="1" s="1"/>
  <c r="Z3361" i="1"/>
  <c r="CU3328" i="1"/>
  <c r="X3328" i="1" s="1"/>
  <c r="CU3355" i="1"/>
  <c r="X3355" i="1" s="1"/>
  <c r="CU3364" i="1"/>
  <c r="X3364" i="1" s="1"/>
  <c r="CU3348" i="1"/>
  <c r="X3348" i="1" s="1"/>
  <c r="CU3353" i="1"/>
  <c r="X3353" i="1" s="1"/>
  <c r="CU3363" i="1"/>
  <c r="X3363" i="1" s="1"/>
  <c r="Z3359" i="1"/>
  <c r="CU3362" i="1"/>
  <c r="X3362" i="1" s="1"/>
  <c r="CU3351" i="1"/>
  <c r="X3351" i="1" s="1"/>
  <c r="Z3328" i="1"/>
  <c r="CU3331" i="1"/>
  <c r="X3331" i="1" s="1"/>
  <c r="CU3346" i="1"/>
  <c r="X3346" i="1" s="1"/>
  <c r="Z3358" i="1"/>
  <c r="CU3359" i="1"/>
  <c r="X3359" i="1" s="1"/>
  <c r="CU3358" i="1"/>
  <c r="X3358" i="1" s="1"/>
  <c r="CU3357" i="1"/>
  <c r="X3357" i="1" s="1"/>
  <c r="CU3360" i="1"/>
  <c r="X3360" i="1" s="1"/>
  <c r="CU3350" i="1"/>
  <c r="X3350" i="1" s="1"/>
  <c r="Z3324" i="1"/>
  <c r="Z3353" i="1"/>
  <c r="Z3355" i="1"/>
  <c r="Z3346" i="1"/>
  <c r="Z3352" i="1"/>
  <c r="Z3363" i="1"/>
  <c r="CU3365" i="1"/>
  <c r="X3365" i="1" s="1"/>
  <c r="Z3364" i="1"/>
  <c r="CU3361" i="1"/>
  <c r="X3361" i="1" s="1"/>
  <c r="DC3336" i="1"/>
  <c r="DA3336" i="1"/>
  <c r="CY3336" i="1"/>
  <c r="Y3336" i="1" s="1"/>
  <c r="CW3336" i="1"/>
  <c r="AA3336" i="1" s="1"/>
  <c r="CR3336" i="1"/>
  <c r="CP3336" i="1"/>
  <c r="CN3336" i="1"/>
  <c r="CJ3336" i="1"/>
  <c r="CH3336" i="1"/>
  <c r="CF3336" i="1"/>
  <c r="BL3336" i="1"/>
  <c r="BD3336" i="1"/>
  <c r="AZ3336" i="1"/>
  <c r="AX3336" i="1"/>
  <c r="DC3341" i="1"/>
  <c r="DA3341" i="1"/>
  <c r="CY3341" i="1"/>
  <c r="Y3341" i="1" s="1"/>
  <c r="CW3341" i="1"/>
  <c r="AA3341" i="1" s="1"/>
  <c r="CR3341" i="1"/>
  <c r="CP3341" i="1"/>
  <c r="CN3341" i="1"/>
  <c r="CJ3341" i="1"/>
  <c r="CH3341" i="1"/>
  <c r="CF3341" i="1"/>
  <c r="BL3341" i="1"/>
  <c r="BD3341" i="1"/>
  <c r="AZ3341" i="1"/>
  <c r="AX3341" i="1"/>
  <c r="DC3333" i="1"/>
  <c r="DA3333" i="1"/>
  <c r="CY3333" i="1"/>
  <c r="Y3333" i="1" s="1"/>
  <c r="CW3333" i="1"/>
  <c r="AA3333" i="1" s="1"/>
  <c r="CR3333" i="1"/>
  <c r="CP3333" i="1"/>
  <c r="CN3333" i="1"/>
  <c r="CJ3333" i="1"/>
  <c r="CH3333" i="1"/>
  <c r="CF3333" i="1"/>
  <c r="BL3333" i="1"/>
  <c r="BD3333" i="1"/>
  <c r="AZ3333" i="1"/>
  <c r="AX3333" i="1"/>
  <c r="DC3338" i="1"/>
  <c r="DA3338" i="1"/>
  <c r="CY3338" i="1"/>
  <c r="Y3338" i="1" s="1"/>
  <c r="CW3338" i="1"/>
  <c r="AA3338" i="1" s="1"/>
  <c r="CR3338" i="1"/>
  <c r="CP3338" i="1"/>
  <c r="CN3338" i="1"/>
  <c r="CJ3338" i="1"/>
  <c r="CH3338" i="1"/>
  <c r="CF3338" i="1"/>
  <c r="BL3338" i="1"/>
  <c r="BD3338" i="1"/>
  <c r="AZ3338" i="1"/>
  <c r="AX3338" i="1"/>
  <c r="DC3339" i="1"/>
  <c r="DA3339" i="1"/>
  <c r="CY3339" i="1"/>
  <c r="Y3339" i="1" s="1"/>
  <c r="CW3339" i="1"/>
  <c r="AA3339" i="1" s="1"/>
  <c r="CR3339" i="1"/>
  <c r="CP3339" i="1"/>
  <c r="CN3339" i="1"/>
  <c r="CJ3339" i="1"/>
  <c r="CH3339" i="1"/>
  <c r="CF3339" i="1"/>
  <c r="BL3339" i="1"/>
  <c r="BD3339" i="1"/>
  <c r="AZ3339" i="1"/>
  <c r="AX3339" i="1"/>
  <c r="DC3345" i="1"/>
  <c r="DA3345" i="1"/>
  <c r="CY3345" i="1"/>
  <c r="Y3345" i="1" s="1"/>
  <c r="CW3345" i="1"/>
  <c r="AA3345" i="1" s="1"/>
  <c r="CR3345" i="1"/>
  <c r="CP3345" i="1"/>
  <c r="CN3345" i="1"/>
  <c r="CJ3345" i="1"/>
  <c r="CH3345" i="1"/>
  <c r="CF3345" i="1"/>
  <c r="BL3345" i="1"/>
  <c r="BD3345" i="1"/>
  <c r="AZ3345" i="1"/>
  <c r="AX3345" i="1"/>
  <c r="DC3335" i="1"/>
  <c r="DA3335" i="1"/>
  <c r="CY3335" i="1"/>
  <c r="Y3335" i="1" s="1"/>
  <c r="CW3335" i="1"/>
  <c r="AA3335" i="1" s="1"/>
  <c r="CR3335" i="1"/>
  <c r="CP3335" i="1"/>
  <c r="CN3335" i="1"/>
  <c r="CJ3335" i="1"/>
  <c r="CH3335" i="1"/>
  <c r="CF3335" i="1"/>
  <c r="BL3335" i="1"/>
  <c r="BD3335" i="1"/>
  <c r="AZ3335" i="1"/>
  <c r="AX3335" i="1"/>
  <c r="DC3340" i="1"/>
  <c r="DA3340" i="1"/>
  <c r="CY3340" i="1"/>
  <c r="Y3340" i="1" s="1"/>
  <c r="CW3340" i="1"/>
  <c r="AA3340" i="1" s="1"/>
  <c r="CR3340" i="1"/>
  <c r="CP3340" i="1"/>
  <c r="CN3340" i="1"/>
  <c r="CJ3340" i="1"/>
  <c r="CH3340" i="1"/>
  <c r="CF3340" i="1"/>
  <c r="BL3340" i="1"/>
  <c r="BD3340" i="1"/>
  <c r="AZ3340" i="1"/>
  <c r="AX3340" i="1"/>
  <c r="DC3337" i="1"/>
  <c r="DA3337" i="1"/>
  <c r="CY3337" i="1"/>
  <c r="Y3337" i="1" s="1"/>
  <c r="CW3337" i="1"/>
  <c r="AA3337" i="1" s="1"/>
  <c r="CR3337" i="1"/>
  <c r="CP3337" i="1"/>
  <c r="CN3337" i="1"/>
  <c r="CJ3337" i="1"/>
  <c r="CH3337" i="1"/>
  <c r="CF3337" i="1"/>
  <c r="BL3337" i="1"/>
  <c r="BD3337" i="1"/>
  <c r="AZ3337" i="1"/>
  <c r="AX3337" i="1"/>
  <c r="DC3343" i="1"/>
  <c r="DA3343" i="1"/>
  <c r="CY3343" i="1"/>
  <c r="Y3343" i="1" s="1"/>
  <c r="CW3343" i="1"/>
  <c r="AA3343" i="1" s="1"/>
  <c r="CR3343" i="1"/>
  <c r="CP3343" i="1"/>
  <c r="CN3343" i="1"/>
  <c r="CJ3343" i="1"/>
  <c r="CH3343" i="1"/>
  <c r="CF3343" i="1"/>
  <c r="BL3343" i="1"/>
  <c r="BD3343" i="1"/>
  <c r="AZ3343" i="1"/>
  <c r="AX3343" i="1"/>
  <c r="DC3342" i="1"/>
  <c r="DA3342" i="1"/>
  <c r="CY3342" i="1"/>
  <c r="Y3342" i="1" s="1"/>
  <c r="CW3342" i="1"/>
  <c r="AA3342" i="1" s="1"/>
  <c r="CR3342" i="1"/>
  <c r="CP3342" i="1"/>
  <c r="CN3342" i="1"/>
  <c r="CJ3342" i="1"/>
  <c r="CH3342" i="1"/>
  <c r="CF3342" i="1"/>
  <c r="BL3342" i="1"/>
  <c r="BD3342" i="1"/>
  <c r="AZ3342" i="1"/>
  <c r="AX3342" i="1"/>
  <c r="AD3349" i="1" l="1"/>
  <c r="AD3371" i="1"/>
  <c r="AD3372" i="1"/>
  <c r="AD3373" i="1"/>
  <c r="AD3370" i="1"/>
  <c r="AD3690" i="1"/>
  <c r="AD3027" i="1"/>
  <c r="AD3350" i="1"/>
  <c r="AD3360" i="1"/>
  <c r="AD3361" i="1"/>
  <c r="AD3331" i="1"/>
  <c r="AD3355" i="1"/>
  <c r="AD3365" i="1"/>
  <c r="AD3357" i="1"/>
  <c r="AD3362" i="1"/>
  <c r="AD3352" i="1"/>
  <c r="AD3324" i="1"/>
  <c r="AD3364" i="1"/>
  <c r="AD3328" i="1"/>
  <c r="AD3363" i="1"/>
  <c r="AD3353" i="1"/>
  <c r="AD3358" i="1"/>
  <c r="AD3351" i="1"/>
  <c r="AD3348" i="1"/>
  <c r="AD3346" i="1"/>
  <c r="AD3359" i="1"/>
  <c r="Z3342" i="1"/>
  <c r="Z3335" i="1"/>
  <c r="Z3333" i="1"/>
  <c r="Z3340" i="1"/>
  <c r="Z3345" i="1"/>
  <c r="CU3337" i="1"/>
  <c r="X3337" i="1" s="1"/>
  <c r="Z3337" i="1"/>
  <c r="Z3338" i="1"/>
  <c r="CU3339" i="1"/>
  <c r="X3339" i="1" s="1"/>
  <c r="Z3339" i="1"/>
  <c r="Z3336" i="1"/>
  <c r="Z3343" i="1"/>
  <c r="CU3341" i="1"/>
  <c r="X3341" i="1" s="1"/>
  <c r="Z3341" i="1"/>
  <c r="CU3343" i="1"/>
  <c r="X3343" i="1" s="1"/>
  <c r="CU3345" i="1"/>
  <c r="X3345" i="1" s="1"/>
  <c r="CU3340" i="1"/>
  <c r="X3340" i="1" s="1"/>
  <c r="CU3338" i="1"/>
  <c r="X3338" i="1" s="1"/>
  <c r="CU3336" i="1"/>
  <c r="X3336" i="1" s="1"/>
  <c r="CU3342" i="1"/>
  <c r="X3342" i="1" s="1"/>
  <c r="CU3335" i="1"/>
  <c r="X3335" i="1" s="1"/>
  <c r="CU3333" i="1"/>
  <c r="X3333" i="1" s="1"/>
  <c r="AD3345" i="1" l="1"/>
  <c r="AD3338" i="1"/>
  <c r="AD3342" i="1"/>
  <c r="AD3335" i="1"/>
  <c r="AD3336" i="1"/>
  <c r="AD3333" i="1"/>
  <c r="AD3341" i="1"/>
  <c r="AD3339" i="1"/>
  <c r="AD3337" i="1"/>
  <c r="AD3340" i="1"/>
  <c r="AD3343" i="1"/>
  <c r="DC3354" i="1"/>
  <c r="DA3354" i="1"/>
  <c r="CY3354" i="1"/>
  <c r="Y3354" i="1" s="1"/>
  <c r="CW3354" i="1"/>
  <c r="AA3354" i="1" s="1"/>
  <c r="CR3354" i="1"/>
  <c r="CP3354" i="1"/>
  <c r="CN3354" i="1"/>
  <c r="CJ3354" i="1"/>
  <c r="CH3354" i="1"/>
  <c r="CF3354" i="1"/>
  <c r="BL3354" i="1"/>
  <c r="BD3354" i="1"/>
  <c r="AZ3354" i="1"/>
  <c r="AX3354" i="1"/>
  <c r="DC3327" i="1"/>
  <c r="DA3327" i="1"/>
  <c r="CY3327" i="1"/>
  <c r="Y3327" i="1" s="1"/>
  <c r="CW3327" i="1"/>
  <c r="AA3327" i="1" s="1"/>
  <c r="CR3327" i="1"/>
  <c r="CP3327" i="1"/>
  <c r="CN3327" i="1"/>
  <c r="CJ3327" i="1"/>
  <c r="CH3327" i="1"/>
  <c r="CF3327" i="1"/>
  <c r="BL3327" i="1"/>
  <c r="BD3327" i="1"/>
  <c r="AZ3327" i="1"/>
  <c r="AX3327" i="1"/>
  <c r="DA2203" i="1"/>
  <c r="CY2203" i="1"/>
  <c r="Y2203" i="1" s="1"/>
  <c r="CW2203" i="1"/>
  <c r="AA2203" i="1" s="1"/>
  <c r="CR2203" i="1"/>
  <c r="CP2203" i="1"/>
  <c r="CN2203" i="1"/>
  <c r="CJ2203" i="1"/>
  <c r="CH2203" i="1"/>
  <c r="CF2203" i="1"/>
  <c r="BL2203" i="1"/>
  <c r="BD2203" i="1"/>
  <c r="AZ2203" i="1"/>
  <c r="AX2203" i="1"/>
  <c r="DC2955" i="1"/>
  <c r="DA2955" i="1"/>
  <c r="CY2955" i="1"/>
  <c r="Y2955" i="1" s="1"/>
  <c r="CW2955" i="1"/>
  <c r="AA2955" i="1" s="1"/>
  <c r="CR2955" i="1"/>
  <c r="CP2955" i="1"/>
  <c r="CN2955" i="1"/>
  <c r="CJ2955" i="1"/>
  <c r="CH2955" i="1"/>
  <c r="CF2955" i="1"/>
  <c r="BL2955" i="1"/>
  <c r="BD2955" i="1"/>
  <c r="AZ2955" i="1"/>
  <c r="AX2955" i="1"/>
  <c r="DC3344" i="1"/>
  <c r="DA3344" i="1"/>
  <c r="CY3344" i="1"/>
  <c r="Y3344" i="1" s="1"/>
  <c r="CW3344" i="1"/>
  <c r="AA3344" i="1" s="1"/>
  <c r="CR3344" i="1"/>
  <c r="CP3344" i="1"/>
  <c r="CN3344" i="1"/>
  <c r="CJ3344" i="1"/>
  <c r="CH3344" i="1"/>
  <c r="CF3344" i="1"/>
  <c r="BL3344" i="1"/>
  <c r="BD3344" i="1"/>
  <c r="AZ3344" i="1"/>
  <c r="AX3344" i="1"/>
  <c r="DC3332" i="1"/>
  <c r="DA3332" i="1"/>
  <c r="CY3332" i="1"/>
  <c r="Y3332" i="1" s="1"/>
  <c r="CW3332" i="1"/>
  <c r="AA3332" i="1" s="1"/>
  <c r="CR3332" i="1"/>
  <c r="CP3332" i="1"/>
  <c r="CN3332" i="1"/>
  <c r="CJ3332" i="1"/>
  <c r="CH3332" i="1"/>
  <c r="CF3332" i="1"/>
  <c r="BL3332" i="1"/>
  <c r="BD3332" i="1"/>
  <c r="AZ3332" i="1"/>
  <c r="AX3332" i="1"/>
  <c r="DC3217" i="1"/>
  <c r="DA3217" i="1"/>
  <c r="CY3217" i="1"/>
  <c r="Y3217" i="1" s="1"/>
  <c r="CW3217" i="1"/>
  <c r="AA3217" i="1" s="1"/>
  <c r="CR3217" i="1"/>
  <c r="CP3217" i="1"/>
  <c r="CN3217" i="1"/>
  <c r="CJ3217" i="1"/>
  <c r="CH3217" i="1"/>
  <c r="CF3217" i="1"/>
  <c r="BL3217" i="1"/>
  <c r="BD3217" i="1"/>
  <c r="AZ3217" i="1"/>
  <c r="AX3217" i="1"/>
  <c r="DC3334" i="1"/>
  <c r="DA3334" i="1"/>
  <c r="CY3334" i="1"/>
  <c r="Y3334" i="1" s="1"/>
  <c r="CW3334" i="1"/>
  <c r="AA3334" i="1" s="1"/>
  <c r="CR3334" i="1"/>
  <c r="CP3334" i="1"/>
  <c r="CN3334" i="1"/>
  <c r="CJ3334" i="1"/>
  <c r="CH3334" i="1"/>
  <c r="CF3334" i="1"/>
  <c r="BL3334" i="1"/>
  <c r="BD3334" i="1"/>
  <c r="AZ3334" i="1"/>
  <c r="AX3334" i="1"/>
  <c r="DC3299" i="1"/>
  <c r="DA3299" i="1"/>
  <c r="CY3299" i="1"/>
  <c r="Y3299" i="1" s="1"/>
  <c r="CW3299" i="1"/>
  <c r="AA3299" i="1" s="1"/>
  <c r="CR3299" i="1"/>
  <c r="CP3299" i="1"/>
  <c r="CN3299" i="1"/>
  <c r="CJ3299" i="1"/>
  <c r="CH3299" i="1"/>
  <c r="CF3299" i="1"/>
  <c r="BL3299" i="1"/>
  <c r="BD3299" i="1"/>
  <c r="AZ3299" i="1"/>
  <c r="AX3299" i="1"/>
  <c r="DC3321" i="1"/>
  <c r="DA3321" i="1"/>
  <c r="CY3321" i="1"/>
  <c r="Y3321" i="1" s="1"/>
  <c r="CW3321" i="1"/>
  <c r="AA3321" i="1" s="1"/>
  <c r="CR3321" i="1"/>
  <c r="CP3321" i="1"/>
  <c r="CN3321" i="1"/>
  <c r="CJ3321" i="1"/>
  <c r="CH3321" i="1"/>
  <c r="CF3321" i="1"/>
  <c r="BL3321" i="1"/>
  <c r="BD3321" i="1"/>
  <c r="AZ3321" i="1"/>
  <c r="AX3321" i="1"/>
  <c r="DC2961" i="1"/>
  <c r="DA2961" i="1"/>
  <c r="CY2961" i="1"/>
  <c r="Y2961" i="1" s="1"/>
  <c r="CW2961" i="1"/>
  <c r="AA2961" i="1" s="1"/>
  <c r="CR2961" i="1"/>
  <c r="CP2961" i="1"/>
  <c r="CN2961" i="1"/>
  <c r="CJ2961" i="1"/>
  <c r="CH2961" i="1"/>
  <c r="CF2961" i="1"/>
  <c r="BL2961" i="1"/>
  <c r="BD2961" i="1"/>
  <c r="AZ2961" i="1"/>
  <c r="AX2961" i="1"/>
  <c r="DC3329" i="1"/>
  <c r="DA3329" i="1"/>
  <c r="CY3329" i="1"/>
  <c r="Y3329" i="1" s="1"/>
  <c r="CW3329" i="1"/>
  <c r="AA3329" i="1" s="1"/>
  <c r="CR3329" i="1"/>
  <c r="CP3329" i="1"/>
  <c r="CN3329" i="1"/>
  <c r="CJ3329" i="1"/>
  <c r="CH3329" i="1"/>
  <c r="CF3329" i="1"/>
  <c r="BL3329" i="1"/>
  <c r="BD3329" i="1"/>
  <c r="AZ3329" i="1"/>
  <c r="AX3329" i="1"/>
  <c r="DC3038" i="1"/>
  <c r="DA3038" i="1"/>
  <c r="CY3038" i="1"/>
  <c r="Y3038" i="1" s="1"/>
  <c r="CW3038" i="1"/>
  <c r="AA3038" i="1" s="1"/>
  <c r="CR3038" i="1"/>
  <c r="CP3038" i="1"/>
  <c r="CN3038" i="1"/>
  <c r="CJ3038" i="1"/>
  <c r="CH3038" i="1"/>
  <c r="CF3038" i="1"/>
  <c r="BL3038" i="1"/>
  <c r="BD3038" i="1"/>
  <c r="AZ3038" i="1"/>
  <c r="AX3038" i="1"/>
  <c r="DC3330" i="1"/>
  <c r="DA3330" i="1"/>
  <c r="CY3330" i="1"/>
  <c r="Y3330" i="1" s="1"/>
  <c r="CW3330" i="1"/>
  <c r="AA3330" i="1" s="1"/>
  <c r="CR3330" i="1"/>
  <c r="CP3330" i="1"/>
  <c r="CN3330" i="1"/>
  <c r="CJ3330" i="1"/>
  <c r="CH3330" i="1"/>
  <c r="CF3330" i="1"/>
  <c r="BL3330" i="1"/>
  <c r="BD3330" i="1"/>
  <c r="AZ3330" i="1"/>
  <c r="AX3330" i="1"/>
  <c r="DC3319" i="1"/>
  <c r="DA3319" i="1"/>
  <c r="CY3319" i="1"/>
  <c r="Y3319" i="1" s="1"/>
  <c r="CW3319" i="1"/>
  <c r="AA3319" i="1" s="1"/>
  <c r="CR3319" i="1"/>
  <c r="CP3319" i="1"/>
  <c r="CN3319" i="1"/>
  <c r="CJ3319" i="1"/>
  <c r="CH3319" i="1"/>
  <c r="CF3319" i="1"/>
  <c r="BL3319" i="1"/>
  <c r="BD3319" i="1"/>
  <c r="AZ3319" i="1"/>
  <c r="AX3319" i="1"/>
  <c r="DC3325" i="1"/>
  <c r="DA3325" i="1"/>
  <c r="CY3325" i="1"/>
  <c r="Y3325" i="1" s="1"/>
  <c r="CW3325" i="1"/>
  <c r="AA3325" i="1" s="1"/>
  <c r="CR3325" i="1"/>
  <c r="CP3325" i="1"/>
  <c r="CN3325" i="1"/>
  <c r="CJ3325" i="1"/>
  <c r="CH3325" i="1"/>
  <c r="CF3325" i="1"/>
  <c r="BL3325" i="1"/>
  <c r="BD3325" i="1"/>
  <c r="AZ3325" i="1"/>
  <c r="AX3325" i="1"/>
  <c r="DC3318" i="1"/>
  <c r="DA3318" i="1"/>
  <c r="CY3318" i="1"/>
  <c r="Y3318" i="1" s="1"/>
  <c r="CW3318" i="1"/>
  <c r="AA3318" i="1" s="1"/>
  <c r="CR3318" i="1"/>
  <c r="CP3318" i="1"/>
  <c r="CN3318" i="1"/>
  <c r="CJ3318" i="1"/>
  <c r="CH3318" i="1"/>
  <c r="CF3318" i="1"/>
  <c r="BL3318" i="1"/>
  <c r="BD3318" i="1"/>
  <c r="AZ3318" i="1"/>
  <c r="AX3318" i="1"/>
  <c r="DC3322" i="1"/>
  <c r="DA3322" i="1"/>
  <c r="CY3322" i="1"/>
  <c r="Y3322" i="1" s="1"/>
  <c r="CW3322" i="1"/>
  <c r="AA3322" i="1" s="1"/>
  <c r="CR3322" i="1"/>
  <c r="CP3322" i="1"/>
  <c r="CN3322" i="1"/>
  <c r="CJ3322" i="1"/>
  <c r="CH3322" i="1"/>
  <c r="CF3322" i="1"/>
  <c r="BL3322" i="1"/>
  <c r="BD3322" i="1"/>
  <c r="AZ3322" i="1"/>
  <c r="AX3322" i="1"/>
  <c r="DC3323" i="1"/>
  <c r="DA3323" i="1"/>
  <c r="CY3323" i="1"/>
  <c r="Y3323" i="1" s="1"/>
  <c r="CW3323" i="1"/>
  <c r="AA3323" i="1" s="1"/>
  <c r="CR3323" i="1"/>
  <c r="CP3323" i="1"/>
  <c r="CN3323" i="1"/>
  <c r="CJ3323" i="1"/>
  <c r="CH3323" i="1"/>
  <c r="CF3323" i="1"/>
  <c r="BL3323" i="1"/>
  <c r="BD3323" i="1"/>
  <c r="AZ3323" i="1"/>
  <c r="AX3323" i="1"/>
  <c r="DC3320" i="1"/>
  <c r="DA3320" i="1"/>
  <c r="CY3320" i="1"/>
  <c r="Y3320" i="1" s="1"/>
  <c r="CW3320" i="1"/>
  <c r="AA3320" i="1" s="1"/>
  <c r="CR3320" i="1"/>
  <c r="CP3320" i="1"/>
  <c r="CN3320" i="1"/>
  <c r="CJ3320" i="1"/>
  <c r="CH3320" i="1"/>
  <c r="CF3320" i="1"/>
  <c r="BL3320" i="1"/>
  <c r="BD3320" i="1"/>
  <c r="AZ3320" i="1"/>
  <c r="AX3320" i="1"/>
  <c r="CU3325" i="1" l="1"/>
  <c r="X3325" i="1" s="1"/>
  <c r="CU3330" i="1"/>
  <c r="X3330" i="1" s="1"/>
  <c r="Z2961" i="1"/>
  <c r="Z3329" i="1"/>
  <c r="Z3354" i="1"/>
  <c r="Z3038" i="1"/>
  <c r="CU3329" i="1"/>
  <c r="X3329" i="1" s="1"/>
  <c r="Z3299" i="1"/>
  <c r="Z2203" i="1"/>
  <c r="CU3322" i="1"/>
  <c r="X3322" i="1" s="1"/>
  <c r="CU3323" i="1"/>
  <c r="X3323" i="1" s="1"/>
  <c r="Z3319" i="1"/>
  <c r="Z3325" i="1"/>
  <c r="CU3319" i="1"/>
  <c r="X3319" i="1" s="1"/>
  <c r="Z3330" i="1"/>
  <c r="CU3038" i="1"/>
  <c r="X3038" i="1" s="1"/>
  <c r="Z3321" i="1"/>
  <c r="CU3299" i="1"/>
  <c r="X3299" i="1" s="1"/>
  <c r="Z3334" i="1"/>
  <c r="Z3217" i="1"/>
  <c r="Z3332" i="1"/>
  <c r="Z3344" i="1"/>
  <c r="Z2955" i="1"/>
  <c r="CU3321" i="1"/>
  <c r="X3321" i="1" s="1"/>
  <c r="CU2961" i="1"/>
  <c r="X2961" i="1" s="1"/>
  <c r="Z3327" i="1"/>
  <c r="Z3320" i="1"/>
  <c r="CU3320" i="1"/>
  <c r="X3320" i="1" s="1"/>
  <c r="Z3322" i="1"/>
  <c r="Z3318" i="1"/>
  <c r="CU3318" i="1"/>
  <c r="X3318" i="1" s="1"/>
  <c r="CU3334" i="1"/>
  <c r="X3334" i="1" s="1"/>
  <c r="CU3217" i="1"/>
  <c r="X3217" i="1" s="1"/>
  <c r="CU3332" i="1"/>
  <c r="X3332" i="1" s="1"/>
  <c r="CU3344" i="1"/>
  <c r="X3344" i="1" s="1"/>
  <c r="CU2955" i="1"/>
  <c r="X2955" i="1" s="1"/>
  <c r="CU2203" i="1"/>
  <c r="X2203" i="1" s="1"/>
  <c r="CU3327" i="1"/>
  <c r="X3327" i="1" s="1"/>
  <c r="CU3354" i="1"/>
  <c r="X3354" i="1" s="1"/>
  <c r="Z3323" i="1"/>
  <c r="DC3201" i="1"/>
  <c r="DB3201" i="1"/>
  <c r="DB2953" i="1"/>
  <c r="DC3234" i="1"/>
  <c r="DA3234" i="1"/>
  <c r="Y3234" i="1"/>
  <c r="CW3234" i="1"/>
  <c r="AA3234" i="1" s="1"/>
  <c r="CR3234" i="1"/>
  <c r="CN3234" i="1"/>
  <c r="CJ3234" i="1"/>
  <c r="CH3234" i="1"/>
  <c r="CF3234" i="1"/>
  <c r="BL3234" i="1"/>
  <c r="BD3234" i="1"/>
  <c r="AZ3234" i="1"/>
  <c r="AX3234" i="1"/>
  <c r="DC1588" i="1"/>
  <c r="DA1588" i="1"/>
  <c r="CY1588" i="1"/>
  <c r="Y1588" i="1" s="1"/>
  <c r="CW1588" i="1"/>
  <c r="AA1588" i="1" s="1"/>
  <c r="CR1588" i="1"/>
  <c r="CP1588" i="1"/>
  <c r="CN1588" i="1"/>
  <c r="CJ1588" i="1"/>
  <c r="CH1588" i="1"/>
  <c r="CF1588" i="1"/>
  <c r="BL1588" i="1"/>
  <c r="BD1588" i="1"/>
  <c r="AZ1588" i="1"/>
  <c r="AX1588" i="1"/>
  <c r="DC2069" i="1"/>
  <c r="DA2069" i="1"/>
  <c r="CY2069" i="1"/>
  <c r="Y2069" i="1" s="1"/>
  <c r="CW2069" i="1"/>
  <c r="AA2069" i="1" s="1"/>
  <c r="CR2069" i="1"/>
  <c r="CP2069" i="1"/>
  <c r="CN2069" i="1"/>
  <c r="CJ2069" i="1"/>
  <c r="CH2069" i="1"/>
  <c r="CF2069" i="1"/>
  <c r="BL2069" i="1"/>
  <c r="BD2069" i="1"/>
  <c r="AZ2069" i="1"/>
  <c r="AX2069" i="1"/>
  <c r="DC3317" i="1"/>
  <c r="DA3317" i="1"/>
  <c r="CY3317" i="1"/>
  <c r="Y3317" i="1" s="1"/>
  <c r="CW3317" i="1"/>
  <c r="AA3317" i="1" s="1"/>
  <c r="CR3317" i="1"/>
  <c r="CP3317" i="1"/>
  <c r="CN3317" i="1"/>
  <c r="CJ3317" i="1"/>
  <c r="CH3317" i="1"/>
  <c r="CF3317" i="1"/>
  <c r="BL3317" i="1"/>
  <c r="BD3317" i="1"/>
  <c r="AZ3317" i="1"/>
  <c r="AX3317" i="1"/>
  <c r="DA3265" i="1"/>
  <c r="CY3265" i="1"/>
  <c r="Y3265" i="1" s="1"/>
  <c r="CW3265" i="1"/>
  <c r="AA3265" i="1" s="1"/>
  <c r="CR3265" i="1"/>
  <c r="CP3265" i="1"/>
  <c r="CN3265" i="1"/>
  <c r="CJ3265" i="1"/>
  <c r="CH3265" i="1"/>
  <c r="CF3265" i="1"/>
  <c r="BL3265" i="1"/>
  <c r="BD3265" i="1"/>
  <c r="AZ3265" i="1"/>
  <c r="AX3265" i="1"/>
  <c r="DC3310" i="1"/>
  <c r="DA3310" i="1"/>
  <c r="CY3310" i="1"/>
  <c r="Y3310" i="1" s="1"/>
  <c r="CW3310" i="1"/>
  <c r="AA3310" i="1" s="1"/>
  <c r="CR3310" i="1"/>
  <c r="CP3310" i="1"/>
  <c r="CN3310" i="1"/>
  <c r="CJ3310" i="1"/>
  <c r="CH3310" i="1"/>
  <c r="CF3310" i="1"/>
  <c r="BL3310" i="1"/>
  <c r="BD3310" i="1"/>
  <c r="AZ3310" i="1"/>
  <c r="AX3310" i="1"/>
  <c r="DA3231" i="1"/>
  <c r="CY3231" i="1"/>
  <c r="Y3231" i="1" s="1"/>
  <c r="CW3231" i="1"/>
  <c r="AA3231" i="1" s="1"/>
  <c r="CR3231" i="1"/>
  <c r="CP3231" i="1"/>
  <c r="CN3231" i="1"/>
  <c r="CJ3231" i="1"/>
  <c r="CH3231" i="1"/>
  <c r="CF3231" i="1"/>
  <c r="BL3231" i="1"/>
  <c r="BD3231" i="1"/>
  <c r="AZ3231" i="1"/>
  <c r="AX3231" i="1"/>
  <c r="DC3308" i="1"/>
  <c r="DA3308" i="1"/>
  <c r="CY3308" i="1"/>
  <c r="Y3308" i="1" s="1"/>
  <c r="CW3308" i="1"/>
  <c r="AA3308" i="1" s="1"/>
  <c r="CR3308" i="1"/>
  <c r="CP3308" i="1"/>
  <c r="CN3308" i="1"/>
  <c r="CJ3308" i="1"/>
  <c r="CH3308" i="1"/>
  <c r="CF3308" i="1"/>
  <c r="BL3308" i="1"/>
  <c r="BD3308" i="1"/>
  <c r="AZ3308" i="1"/>
  <c r="AX3308" i="1"/>
  <c r="AD3321" i="1" l="1"/>
  <c r="AD3354" i="1"/>
  <c r="AD3344" i="1"/>
  <c r="AD3320" i="1"/>
  <c r="AD3327" i="1"/>
  <c r="AD3332" i="1"/>
  <c r="AD3330" i="1"/>
  <c r="AD3038" i="1"/>
  <c r="AD3325" i="1"/>
  <c r="AD3299" i="1"/>
  <c r="AD3323" i="1"/>
  <c r="AD2961" i="1"/>
  <c r="AD2955" i="1"/>
  <c r="AD3334" i="1"/>
  <c r="AD3329" i="1"/>
  <c r="AD3319" i="1"/>
  <c r="AD3322" i="1"/>
  <c r="AD3318" i="1"/>
  <c r="AD2203" i="1"/>
  <c r="AD3217" i="1"/>
  <c r="Z3310" i="1"/>
  <c r="Z3317" i="1"/>
  <c r="Z3231" i="1"/>
  <c r="Z2069" i="1"/>
  <c r="Z3265" i="1"/>
  <c r="Z1588" i="1"/>
  <c r="Z3308" i="1"/>
  <c r="CU1588" i="1"/>
  <c r="X1588" i="1" s="1"/>
  <c r="Z3234" i="1"/>
  <c r="CU3310" i="1"/>
  <c r="X3310" i="1" s="1"/>
  <c r="CU3308" i="1"/>
  <c r="X3308" i="1" s="1"/>
  <c r="CU3265" i="1"/>
  <c r="X3265" i="1" s="1"/>
  <c r="CU3234" i="1"/>
  <c r="X3234" i="1" s="1"/>
  <c r="CU3231" i="1"/>
  <c r="X3231" i="1" s="1"/>
  <c r="CU3317" i="1"/>
  <c r="X3317" i="1" s="1"/>
  <c r="CU2069" i="1"/>
  <c r="X2069" i="1" s="1"/>
  <c r="AD2069" i="1" s="1"/>
  <c r="DC3311" i="1"/>
  <c r="DA3311" i="1"/>
  <c r="CY3311" i="1"/>
  <c r="Y3311" i="1" s="1"/>
  <c r="CW3311" i="1"/>
  <c r="AA3311" i="1" s="1"/>
  <c r="CR3311" i="1"/>
  <c r="CP3311" i="1"/>
  <c r="CN3311" i="1"/>
  <c r="CJ3311" i="1"/>
  <c r="CH3311" i="1"/>
  <c r="CF3311" i="1"/>
  <c r="BL3311" i="1"/>
  <c r="BD3311" i="1"/>
  <c r="AZ3311" i="1"/>
  <c r="AX3311" i="1"/>
  <c r="DC3314" i="1"/>
  <c r="DA3314" i="1"/>
  <c r="CY3314" i="1"/>
  <c r="Y3314" i="1" s="1"/>
  <c r="CW3314" i="1"/>
  <c r="AA3314" i="1" s="1"/>
  <c r="CR3314" i="1"/>
  <c r="CP3314" i="1"/>
  <c r="CN3314" i="1"/>
  <c r="CJ3314" i="1"/>
  <c r="CH3314" i="1"/>
  <c r="CF3314" i="1"/>
  <c r="BL3314" i="1"/>
  <c r="BD3314" i="1"/>
  <c r="AZ3314" i="1"/>
  <c r="AX3314" i="1"/>
  <c r="DC3313" i="1"/>
  <c r="DA3313" i="1"/>
  <c r="CY3313" i="1"/>
  <c r="Y3313" i="1" s="1"/>
  <c r="CW3313" i="1"/>
  <c r="AA3313" i="1" s="1"/>
  <c r="CR3313" i="1"/>
  <c r="CP3313" i="1"/>
  <c r="CN3313" i="1"/>
  <c r="CJ3313" i="1"/>
  <c r="CH3313" i="1"/>
  <c r="CF3313" i="1"/>
  <c r="BL3313" i="1"/>
  <c r="BD3313" i="1"/>
  <c r="AZ3313" i="1"/>
  <c r="AX3313" i="1"/>
  <c r="DC3312" i="1"/>
  <c r="DA3312" i="1"/>
  <c r="CY3312" i="1"/>
  <c r="Y3312" i="1" s="1"/>
  <c r="CW3312" i="1"/>
  <c r="AA3312" i="1" s="1"/>
  <c r="CR3312" i="1"/>
  <c r="CP3312" i="1"/>
  <c r="CN3312" i="1"/>
  <c r="CJ3312" i="1"/>
  <c r="CH3312" i="1"/>
  <c r="CF3312" i="1"/>
  <c r="BL3312" i="1"/>
  <c r="BD3312" i="1"/>
  <c r="AZ3312" i="1"/>
  <c r="AX3312" i="1"/>
  <c r="DA3259" i="1"/>
  <c r="CY3259" i="1"/>
  <c r="Y3259" i="1" s="1"/>
  <c r="CW3259" i="1"/>
  <c r="AA3259" i="1" s="1"/>
  <c r="CR3259" i="1"/>
  <c r="CP3259" i="1"/>
  <c r="CN3259" i="1"/>
  <c r="CJ3259" i="1"/>
  <c r="CH3259" i="1"/>
  <c r="CF3259" i="1"/>
  <c r="BL3259" i="1"/>
  <c r="BD3259" i="1"/>
  <c r="AZ3259" i="1"/>
  <c r="AX3259" i="1"/>
  <c r="DC3316" i="1"/>
  <c r="DA3316" i="1"/>
  <c r="CY3316" i="1"/>
  <c r="Y3316" i="1" s="1"/>
  <c r="CW3316" i="1"/>
  <c r="AA3316" i="1" s="1"/>
  <c r="CR3316" i="1"/>
  <c r="CP3316" i="1"/>
  <c r="CN3316" i="1"/>
  <c r="CJ3316" i="1"/>
  <c r="CH3316" i="1"/>
  <c r="CF3316" i="1"/>
  <c r="BL3316" i="1"/>
  <c r="BD3316" i="1"/>
  <c r="AZ3316" i="1"/>
  <c r="AX3316" i="1"/>
  <c r="DC3315" i="1"/>
  <c r="DA3315" i="1"/>
  <c r="CY3315" i="1"/>
  <c r="Y3315" i="1" s="1"/>
  <c r="CW3315" i="1"/>
  <c r="AA3315" i="1" s="1"/>
  <c r="CR3315" i="1"/>
  <c r="CP3315" i="1"/>
  <c r="CN3315" i="1"/>
  <c r="CJ3315" i="1"/>
  <c r="CH3315" i="1"/>
  <c r="CF3315" i="1"/>
  <c r="BL3315" i="1"/>
  <c r="BD3315" i="1"/>
  <c r="AZ3315" i="1"/>
  <c r="AX3315" i="1"/>
  <c r="DC3309" i="1"/>
  <c r="DA3309" i="1"/>
  <c r="CY3309" i="1"/>
  <c r="Y3309" i="1" s="1"/>
  <c r="CW3309" i="1"/>
  <c r="AA3309" i="1" s="1"/>
  <c r="CR3309" i="1"/>
  <c r="CP3309" i="1"/>
  <c r="CN3309" i="1"/>
  <c r="CJ3309" i="1"/>
  <c r="CH3309" i="1"/>
  <c r="CF3309" i="1"/>
  <c r="BL3309" i="1"/>
  <c r="BD3309" i="1"/>
  <c r="AZ3309" i="1"/>
  <c r="AX3309" i="1"/>
  <c r="AD3310" i="1" l="1"/>
  <c r="AD1588" i="1"/>
  <c r="AD3317" i="1"/>
  <c r="AD3231" i="1"/>
  <c r="AD3265" i="1"/>
  <c r="AD3308" i="1"/>
  <c r="AD3234" i="1"/>
  <c r="Z3311" i="1"/>
  <c r="Z3312" i="1"/>
  <c r="Z3315" i="1"/>
  <c r="Z3313" i="1"/>
  <c r="Z3314" i="1"/>
  <c r="Z3309" i="1"/>
  <c r="Z3316" i="1"/>
  <c r="Z3259" i="1"/>
  <c r="CU3316" i="1"/>
  <c r="X3316" i="1" s="1"/>
  <c r="CU3314" i="1"/>
  <c r="X3314" i="1" s="1"/>
  <c r="CU3311" i="1"/>
  <c r="X3311" i="1" s="1"/>
  <c r="CU3309" i="1"/>
  <c r="X3309" i="1" s="1"/>
  <c r="CU3312" i="1"/>
  <c r="X3312" i="1" s="1"/>
  <c r="CU3315" i="1"/>
  <c r="X3315" i="1" s="1"/>
  <c r="CU3313" i="1"/>
  <c r="X3313" i="1" s="1"/>
  <c r="CU3259" i="1"/>
  <c r="X3259" i="1" s="1"/>
  <c r="DC3368" i="1"/>
  <c r="DA3368" i="1"/>
  <c r="CY3368" i="1"/>
  <c r="Y3368" i="1" s="1"/>
  <c r="CW3368" i="1"/>
  <c r="AA3368" i="1" s="1"/>
  <c r="CR3368" i="1"/>
  <c r="CP3368" i="1"/>
  <c r="CN3368" i="1"/>
  <c r="CJ3368" i="1"/>
  <c r="CH3368" i="1"/>
  <c r="CF3368" i="1"/>
  <c r="BL3368" i="1"/>
  <c r="BD3368" i="1"/>
  <c r="AZ3368" i="1"/>
  <c r="AX3368" i="1"/>
  <c r="DC3369" i="1"/>
  <c r="DA3369" i="1"/>
  <c r="CY3369" i="1"/>
  <c r="Y3369" i="1" s="1"/>
  <c r="CW3369" i="1"/>
  <c r="AA3369" i="1" s="1"/>
  <c r="CR3369" i="1"/>
  <c r="CP3369" i="1"/>
  <c r="CN3369" i="1"/>
  <c r="CJ3369" i="1"/>
  <c r="CH3369" i="1"/>
  <c r="CF3369" i="1"/>
  <c r="BL3369" i="1"/>
  <c r="BD3369" i="1"/>
  <c r="AZ3369" i="1"/>
  <c r="AX3369" i="1"/>
  <c r="DC3367" i="1"/>
  <c r="DA3367" i="1"/>
  <c r="CY3367" i="1"/>
  <c r="Y3367" i="1" s="1"/>
  <c r="CW3367" i="1"/>
  <c r="AA3367" i="1" s="1"/>
  <c r="CR3367" i="1"/>
  <c r="CP3367" i="1"/>
  <c r="CN3367" i="1"/>
  <c r="CJ3367" i="1"/>
  <c r="CH3367" i="1"/>
  <c r="CF3367" i="1"/>
  <c r="BL3367" i="1"/>
  <c r="BD3367" i="1"/>
  <c r="AZ3367" i="1"/>
  <c r="AX3367" i="1"/>
  <c r="DC2848" i="1"/>
  <c r="DA2848" i="1"/>
  <c r="CY2848" i="1"/>
  <c r="Y2848" i="1" s="1"/>
  <c r="CW2848" i="1"/>
  <c r="AA2848" i="1" s="1"/>
  <c r="CR2848" i="1"/>
  <c r="CP2848" i="1"/>
  <c r="CN2848" i="1"/>
  <c r="CJ2848" i="1"/>
  <c r="CH2848" i="1"/>
  <c r="CF2848" i="1"/>
  <c r="BL2848" i="1"/>
  <c r="BD2848" i="1"/>
  <c r="AZ2848" i="1"/>
  <c r="AX2848" i="1"/>
  <c r="DC3306" i="1"/>
  <c r="DA3306" i="1"/>
  <c r="CY3306" i="1"/>
  <c r="Y3306" i="1" s="1"/>
  <c r="CW3306" i="1"/>
  <c r="AA3306" i="1" s="1"/>
  <c r="CR3306" i="1"/>
  <c r="CP3306" i="1"/>
  <c r="CN3306" i="1"/>
  <c r="CJ3306" i="1"/>
  <c r="CH3306" i="1"/>
  <c r="CF3306" i="1"/>
  <c r="BL3306" i="1"/>
  <c r="BD3306" i="1"/>
  <c r="AZ3306" i="1"/>
  <c r="AX3306" i="1"/>
  <c r="DC3305" i="1"/>
  <c r="DA3305" i="1"/>
  <c r="CY3305" i="1"/>
  <c r="Y3305" i="1" s="1"/>
  <c r="CW3305" i="1"/>
  <c r="AA3305" i="1" s="1"/>
  <c r="CR3305" i="1"/>
  <c r="CP3305" i="1"/>
  <c r="CN3305" i="1"/>
  <c r="CJ3305" i="1"/>
  <c r="CH3305" i="1"/>
  <c r="CF3305" i="1"/>
  <c r="BL3305" i="1"/>
  <c r="BD3305" i="1"/>
  <c r="AZ3305" i="1"/>
  <c r="AX3305" i="1"/>
  <c r="DC3302" i="1"/>
  <c r="DA3302" i="1"/>
  <c r="CY3302" i="1"/>
  <c r="Y3302" i="1" s="1"/>
  <c r="CW3302" i="1"/>
  <c r="AA3302" i="1" s="1"/>
  <c r="CR3302" i="1"/>
  <c r="CP3302" i="1"/>
  <c r="CN3302" i="1"/>
  <c r="CJ3302" i="1"/>
  <c r="CH3302" i="1"/>
  <c r="CF3302" i="1"/>
  <c r="BL3302" i="1"/>
  <c r="BD3302" i="1"/>
  <c r="AZ3302" i="1"/>
  <c r="AX3302" i="1"/>
  <c r="DC3300" i="1"/>
  <c r="DA3300" i="1"/>
  <c r="CY3300" i="1"/>
  <c r="Y3300" i="1" s="1"/>
  <c r="CW3300" i="1"/>
  <c r="AA3300" i="1" s="1"/>
  <c r="CR3300" i="1"/>
  <c r="CP3300" i="1"/>
  <c r="CN3300" i="1"/>
  <c r="CJ3300" i="1"/>
  <c r="CH3300" i="1"/>
  <c r="CF3300" i="1"/>
  <c r="BL3300" i="1"/>
  <c r="BD3300" i="1"/>
  <c r="AZ3300" i="1"/>
  <c r="AX3300" i="1"/>
  <c r="DC3279" i="1"/>
  <c r="DA3279" i="1"/>
  <c r="CY3279" i="1"/>
  <c r="Y3279" i="1" s="1"/>
  <c r="CW3279" i="1"/>
  <c r="AA3279" i="1" s="1"/>
  <c r="CR3279" i="1"/>
  <c r="CP3279" i="1"/>
  <c r="CN3279" i="1"/>
  <c r="CJ3279" i="1"/>
  <c r="CH3279" i="1"/>
  <c r="CF3279" i="1"/>
  <c r="BL3279" i="1"/>
  <c r="BD3279" i="1"/>
  <c r="AZ3279" i="1"/>
  <c r="AX3279" i="1"/>
  <c r="DC3298" i="1"/>
  <c r="DA3298" i="1"/>
  <c r="CY3298" i="1"/>
  <c r="Y3298" i="1" s="1"/>
  <c r="CW3298" i="1"/>
  <c r="AA3298" i="1" s="1"/>
  <c r="CR3298" i="1"/>
  <c r="CP3298" i="1"/>
  <c r="CN3298" i="1"/>
  <c r="CJ3298" i="1"/>
  <c r="CH3298" i="1"/>
  <c r="CF3298" i="1"/>
  <c r="BL3298" i="1"/>
  <c r="BD3298" i="1"/>
  <c r="AZ3298" i="1"/>
  <c r="AX3298" i="1"/>
  <c r="DC3303" i="1"/>
  <c r="DA3303" i="1"/>
  <c r="CY3303" i="1"/>
  <c r="Y3303" i="1" s="1"/>
  <c r="CW3303" i="1"/>
  <c r="AA3303" i="1" s="1"/>
  <c r="CR3303" i="1"/>
  <c r="CP3303" i="1"/>
  <c r="CN3303" i="1"/>
  <c r="CJ3303" i="1"/>
  <c r="CH3303" i="1"/>
  <c r="CF3303" i="1"/>
  <c r="BL3303" i="1"/>
  <c r="BD3303" i="1"/>
  <c r="AZ3303" i="1"/>
  <c r="AX3303" i="1"/>
  <c r="DC3294" i="1"/>
  <c r="DA3294" i="1"/>
  <c r="CY3294" i="1"/>
  <c r="Y3294" i="1" s="1"/>
  <c r="CW3294" i="1"/>
  <c r="AA3294" i="1" s="1"/>
  <c r="CR3294" i="1"/>
  <c r="CP3294" i="1"/>
  <c r="CN3294" i="1"/>
  <c r="CJ3294" i="1"/>
  <c r="CH3294" i="1"/>
  <c r="CF3294" i="1"/>
  <c r="BL3294" i="1"/>
  <c r="BD3294" i="1"/>
  <c r="AZ3294" i="1"/>
  <c r="AX3294" i="1"/>
  <c r="DC3296" i="1"/>
  <c r="DA3296" i="1"/>
  <c r="CY3296" i="1"/>
  <c r="Y3296" i="1" s="1"/>
  <c r="CW3296" i="1"/>
  <c r="AA3296" i="1" s="1"/>
  <c r="CR3296" i="1"/>
  <c r="CP3296" i="1"/>
  <c r="CN3296" i="1"/>
  <c r="CJ3296" i="1"/>
  <c r="CH3296" i="1"/>
  <c r="CF3296" i="1"/>
  <c r="BL3296" i="1"/>
  <c r="BD3296" i="1"/>
  <c r="AZ3296" i="1"/>
  <c r="AX3296" i="1"/>
  <c r="DC3290" i="1"/>
  <c r="DA3290" i="1"/>
  <c r="Y3290" i="1"/>
  <c r="CW3290" i="1"/>
  <c r="AA3290" i="1" s="1"/>
  <c r="CR3290" i="1"/>
  <c r="CP3290" i="1"/>
  <c r="CN3290" i="1"/>
  <c r="CJ3290" i="1"/>
  <c r="CH3290" i="1"/>
  <c r="CF3290" i="1"/>
  <c r="BL3290" i="1"/>
  <c r="BD3290" i="1"/>
  <c r="AZ3290" i="1"/>
  <c r="AX3290" i="1"/>
  <c r="DC3295" i="1"/>
  <c r="DA3295" i="1"/>
  <c r="CY3295" i="1"/>
  <c r="Y3295" i="1" s="1"/>
  <c r="CW3295" i="1"/>
  <c r="AA3295" i="1" s="1"/>
  <c r="CR3295" i="1"/>
  <c r="CP3295" i="1"/>
  <c r="CN3295" i="1"/>
  <c r="CJ3295" i="1"/>
  <c r="CH3295" i="1"/>
  <c r="CF3295" i="1"/>
  <c r="BL3295" i="1"/>
  <c r="BD3295" i="1"/>
  <c r="AZ3295" i="1"/>
  <c r="AX3295" i="1"/>
  <c r="DC3297" i="1"/>
  <c r="DA3297" i="1"/>
  <c r="CY3297" i="1"/>
  <c r="Y3297" i="1" s="1"/>
  <c r="CW3297" i="1"/>
  <c r="AA3297" i="1" s="1"/>
  <c r="CR3297" i="1"/>
  <c r="CP3297" i="1"/>
  <c r="CN3297" i="1"/>
  <c r="CJ3297" i="1"/>
  <c r="CH3297" i="1"/>
  <c r="CF3297" i="1"/>
  <c r="BL3297" i="1"/>
  <c r="BD3297" i="1"/>
  <c r="AZ3297" i="1"/>
  <c r="AX3297" i="1"/>
  <c r="DC3301" i="1"/>
  <c r="DA3301" i="1"/>
  <c r="CY3301" i="1"/>
  <c r="Y3301" i="1" s="1"/>
  <c r="CW3301" i="1"/>
  <c r="AA3301" i="1" s="1"/>
  <c r="CR3301" i="1"/>
  <c r="CP3301" i="1"/>
  <c r="CN3301" i="1"/>
  <c r="CJ3301" i="1"/>
  <c r="CH3301" i="1"/>
  <c r="CF3301" i="1"/>
  <c r="BL3301" i="1"/>
  <c r="BD3301" i="1"/>
  <c r="AZ3301" i="1"/>
  <c r="AX3301" i="1"/>
  <c r="DC3291" i="1"/>
  <c r="DA3291" i="1"/>
  <c r="CY3291" i="1"/>
  <c r="Y3291" i="1" s="1"/>
  <c r="CW3291" i="1"/>
  <c r="AA3291" i="1" s="1"/>
  <c r="CR3291" i="1"/>
  <c r="CP3291" i="1"/>
  <c r="CN3291" i="1"/>
  <c r="CJ3291" i="1"/>
  <c r="CH3291" i="1"/>
  <c r="CF3291" i="1"/>
  <c r="BL3291" i="1"/>
  <c r="BD3291" i="1"/>
  <c r="AZ3291" i="1"/>
  <c r="AX3291" i="1"/>
  <c r="DC3289" i="1"/>
  <c r="DA3289" i="1"/>
  <c r="CY3289" i="1"/>
  <c r="Y3289" i="1" s="1"/>
  <c r="CW3289" i="1"/>
  <c r="AA3289" i="1" s="1"/>
  <c r="CR3289" i="1"/>
  <c r="CP3289" i="1"/>
  <c r="CN3289" i="1"/>
  <c r="CJ3289" i="1"/>
  <c r="CH3289" i="1"/>
  <c r="CF3289" i="1"/>
  <c r="BL3289" i="1"/>
  <c r="BD3289" i="1"/>
  <c r="AZ3289" i="1"/>
  <c r="AX3289" i="1"/>
  <c r="AD3315" i="1" l="1"/>
  <c r="AD3312" i="1"/>
  <c r="AD3313" i="1"/>
  <c r="AD3311" i="1"/>
  <c r="AD3259" i="1"/>
  <c r="AD3316" i="1"/>
  <c r="AD3314" i="1"/>
  <c r="AD3309" i="1"/>
  <c r="CU2848" i="1"/>
  <c r="X2848" i="1" s="1"/>
  <c r="Z2848" i="1"/>
  <c r="Z3367" i="1"/>
  <c r="Z3368" i="1"/>
  <c r="Z3306" i="1"/>
  <c r="CU3369" i="1"/>
  <c r="X3369" i="1" s="1"/>
  <c r="Z3369" i="1"/>
  <c r="CU3367" i="1"/>
  <c r="X3367" i="1" s="1"/>
  <c r="CU3306" i="1"/>
  <c r="X3306" i="1" s="1"/>
  <c r="CU3368" i="1"/>
  <c r="X3368" i="1" s="1"/>
  <c r="Z3305" i="1"/>
  <c r="Z3295" i="1"/>
  <c r="Z3294" i="1"/>
  <c r="Z3290" i="1"/>
  <c r="CU3291" i="1"/>
  <c r="X3291" i="1" s="1"/>
  <c r="Z3291" i="1"/>
  <c r="CU3294" i="1"/>
  <c r="X3294" i="1" s="1"/>
  <c r="Z3303" i="1"/>
  <c r="Z3302" i="1"/>
  <c r="CU3305" i="1"/>
  <c r="X3305" i="1" s="1"/>
  <c r="Z3298" i="1"/>
  <c r="Z3300" i="1"/>
  <c r="Z3301" i="1"/>
  <c r="Z3289" i="1"/>
  <c r="CU3297" i="1"/>
  <c r="X3297" i="1" s="1"/>
  <c r="Z3297" i="1"/>
  <c r="Z3296" i="1"/>
  <c r="Z3279" i="1"/>
  <c r="CU3300" i="1"/>
  <c r="X3300" i="1" s="1"/>
  <c r="CU3289" i="1"/>
  <c r="X3289" i="1" s="1"/>
  <c r="CU3301" i="1"/>
  <c r="X3301" i="1" s="1"/>
  <c r="CU3296" i="1"/>
  <c r="X3296" i="1" s="1"/>
  <c r="CU3279" i="1"/>
  <c r="X3279" i="1" s="1"/>
  <c r="CU3295" i="1"/>
  <c r="X3295" i="1" s="1"/>
  <c r="CU3303" i="1"/>
  <c r="X3303" i="1" s="1"/>
  <c r="CU3302" i="1"/>
  <c r="X3302" i="1" s="1"/>
  <c r="CU3290" i="1"/>
  <c r="X3290" i="1" s="1"/>
  <c r="CU3298" i="1"/>
  <c r="X3298" i="1" s="1"/>
  <c r="AD3367" i="1" l="1"/>
  <c r="AD3294" i="1"/>
  <c r="AD3301" i="1"/>
  <c r="AD2848" i="1"/>
  <c r="AD3368" i="1"/>
  <c r="AD3369" i="1"/>
  <c r="AD3306" i="1"/>
  <c r="AD3290" i="1"/>
  <c r="AD3302" i="1"/>
  <c r="AD3303" i="1"/>
  <c r="AD3305" i="1"/>
  <c r="AD3295" i="1"/>
  <c r="AD3279" i="1"/>
  <c r="AD3291" i="1"/>
  <c r="AD3298" i="1"/>
  <c r="AD3289" i="1"/>
  <c r="AD3300" i="1"/>
  <c r="AD3297" i="1"/>
  <c r="AD3296" i="1"/>
  <c r="I3103" i="1"/>
  <c r="DC2265" i="1" l="1"/>
  <c r="CY2265" i="1"/>
  <c r="CJ2265" i="1"/>
  <c r="AZ2265" i="1"/>
  <c r="DC3293" i="1" l="1"/>
  <c r="DA3293" i="1"/>
  <c r="CY3293" i="1"/>
  <c r="Y3293" i="1" s="1"/>
  <c r="CW3293" i="1"/>
  <c r="AA3293" i="1" s="1"/>
  <c r="CR3293" i="1"/>
  <c r="CP3293" i="1"/>
  <c r="CN3293" i="1"/>
  <c r="CJ3293" i="1"/>
  <c r="CH3293" i="1"/>
  <c r="CF3293" i="1"/>
  <c r="BL3293" i="1"/>
  <c r="BD3293" i="1"/>
  <c r="AZ3293" i="1"/>
  <c r="AX3293" i="1"/>
  <c r="DC3292" i="1"/>
  <c r="DA3292" i="1"/>
  <c r="CY3292" i="1"/>
  <c r="Y3292" i="1" s="1"/>
  <c r="CW3292" i="1"/>
  <c r="AA3292" i="1" s="1"/>
  <c r="CR3292" i="1"/>
  <c r="CP3292" i="1"/>
  <c r="CN3292" i="1"/>
  <c r="CJ3292" i="1"/>
  <c r="CH3292" i="1"/>
  <c r="CF3292" i="1"/>
  <c r="BL3292" i="1"/>
  <c r="BD3292" i="1"/>
  <c r="AZ3292" i="1"/>
  <c r="AX3292" i="1"/>
  <c r="DA3235" i="1"/>
  <c r="Y3235" i="1"/>
  <c r="CW3235" i="1"/>
  <c r="AA3235" i="1" s="1"/>
  <c r="CP3235" i="1"/>
  <c r="CN3235" i="1"/>
  <c r="CJ3235" i="1"/>
  <c r="CH3235" i="1"/>
  <c r="CF3235" i="1"/>
  <c r="BL3235" i="1"/>
  <c r="BD3235" i="1"/>
  <c r="AZ3235" i="1"/>
  <c r="AX3235" i="1"/>
  <c r="DC3287" i="1"/>
  <c r="DA3287" i="1"/>
  <c r="CY3287" i="1"/>
  <c r="Y3287" i="1" s="1"/>
  <c r="CW3287" i="1"/>
  <c r="AA3287" i="1" s="1"/>
  <c r="CR3287" i="1"/>
  <c r="CP3287" i="1"/>
  <c r="CN3287" i="1"/>
  <c r="CJ3287" i="1"/>
  <c r="CH3287" i="1"/>
  <c r="CF3287" i="1"/>
  <c r="BL3287" i="1"/>
  <c r="BD3287" i="1"/>
  <c r="AZ3287" i="1"/>
  <c r="AX3287" i="1"/>
  <c r="DC3286" i="1"/>
  <c r="DA3286" i="1"/>
  <c r="CY3286" i="1"/>
  <c r="Y3286" i="1" s="1"/>
  <c r="CW3286" i="1"/>
  <c r="AA3286" i="1" s="1"/>
  <c r="CR3286" i="1"/>
  <c r="CP3286" i="1"/>
  <c r="CN3286" i="1"/>
  <c r="CJ3286" i="1"/>
  <c r="CH3286" i="1"/>
  <c r="CF3286" i="1"/>
  <c r="BL3286" i="1"/>
  <c r="BD3286" i="1"/>
  <c r="AZ3286" i="1"/>
  <c r="AX3286" i="1"/>
  <c r="DA3266" i="1"/>
  <c r="CY3266" i="1"/>
  <c r="Y3266" i="1" s="1"/>
  <c r="CW3266" i="1"/>
  <c r="AA3266" i="1" s="1"/>
  <c r="CR3266" i="1"/>
  <c r="CP3266" i="1"/>
  <c r="CN3266" i="1"/>
  <c r="CJ3266" i="1"/>
  <c r="CH3266" i="1"/>
  <c r="CF3266" i="1"/>
  <c r="BL3266" i="1"/>
  <c r="BD3266" i="1"/>
  <c r="AZ3266" i="1"/>
  <c r="AX3266" i="1"/>
  <c r="DC3267" i="1"/>
  <c r="DA3267" i="1"/>
  <c r="CY3267" i="1"/>
  <c r="Y3267" i="1" s="1"/>
  <c r="CW3267" i="1"/>
  <c r="AA3267" i="1" s="1"/>
  <c r="CR3267" i="1"/>
  <c r="CP3267" i="1"/>
  <c r="CN3267" i="1"/>
  <c r="CJ3267" i="1"/>
  <c r="CH3267" i="1"/>
  <c r="CF3267" i="1"/>
  <c r="BL3267" i="1"/>
  <c r="BD3267" i="1"/>
  <c r="AZ3267" i="1"/>
  <c r="AX3267" i="1"/>
  <c r="DC3284" i="1"/>
  <c r="DA3284" i="1"/>
  <c r="CY3284" i="1"/>
  <c r="Y3284" i="1" s="1"/>
  <c r="CW3284" i="1"/>
  <c r="AA3284" i="1" s="1"/>
  <c r="CR3284" i="1"/>
  <c r="CP3284" i="1"/>
  <c r="CN3284" i="1"/>
  <c r="CJ3284" i="1"/>
  <c r="CH3284" i="1"/>
  <c r="CF3284" i="1"/>
  <c r="BL3284" i="1"/>
  <c r="BD3284" i="1"/>
  <c r="AZ3284" i="1"/>
  <c r="AX3284" i="1"/>
  <c r="DC3283" i="1"/>
  <c r="DA3283" i="1"/>
  <c r="CY3283" i="1"/>
  <c r="Y3283" i="1" s="1"/>
  <c r="CW3283" i="1"/>
  <c r="AA3283" i="1" s="1"/>
  <c r="CR3283" i="1"/>
  <c r="CP3283" i="1"/>
  <c r="CN3283" i="1"/>
  <c r="CJ3283" i="1"/>
  <c r="CH3283" i="1"/>
  <c r="CF3283" i="1"/>
  <c r="BL3283" i="1"/>
  <c r="BD3283" i="1"/>
  <c r="AZ3283" i="1"/>
  <c r="AX3283" i="1"/>
  <c r="DC3269" i="1"/>
  <c r="DA3269" i="1"/>
  <c r="CY3269" i="1"/>
  <c r="Y3269" i="1" s="1"/>
  <c r="CW3269" i="1"/>
  <c r="AA3269" i="1" s="1"/>
  <c r="CR3269" i="1"/>
  <c r="CP3269" i="1"/>
  <c r="CN3269" i="1"/>
  <c r="CJ3269" i="1"/>
  <c r="CH3269" i="1"/>
  <c r="CF3269" i="1"/>
  <c r="BL3269" i="1"/>
  <c r="BD3269" i="1"/>
  <c r="AZ3269" i="1"/>
  <c r="AX3269" i="1"/>
  <c r="DC3288" i="1"/>
  <c r="DA3288" i="1"/>
  <c r="CY3288" i="1"/>
  <c r="Y3288" i="1" s="1"/>
  <c r="CW3288" i="1"/>
  <c r="AA3288" i="1" s="1"/>
  <c r="CR3288" i="1"/>
  <c r="CP3288" i="1"/>
  <c r="CN3288" i="1"/>
  <c r="CJ3288" i="1"/>
  <c r="CH3288" i="1"/>
  <c r="CF3288" i="1"/>
  <c r="BL3288" i="1"/>
  <c r="BD3288" i="1"/>
  <c r="AZ3288" i="1"/>
  <c r="AX3288" i="1"/>
  <c r="DC3285" i="1"/>
  <c r="DA3285" i="1"/>
  <c r="CY3285" i="1"/>
  <c r="Y3285" i="1" s="1"/>
  <c r="CW3285" i="1"/>
  <c r="AA3285" i="1" s="1"/>
  <c r="CR3285" i="1"/>
  <c r="CP3285" i="1"/>
  <c r="CN3285" i="1"/>
  <c r="CJ3285" i="1"/>
  <c r="CH3285" i="1"/>
  <c r="CF3285" i="1"/>
  <c r="BL3285" i="1"/>
  <c r="BD3285" i="1"/>
  <c r="AZ3285" i="1"/>
  <c r="AX3285" i="1"/>
  <c r="DC3275" i="1"/>
  <c r="DA3275" i="1"/>
  <c r="CY3275" i="1"/>
  <c r="Y3275" i="1" s="1"/>
  <c r="CW3275" i="1"/>
  <c r="AA3275" i="1" s="1"/>
  <c r="CR3275" i="1"/>
  <c r="CP3275" i="1"/>
  <c r="CN3275" i="1"/>
  <c r="CJ3275" i="1"/>
  <c r="CH3275" i="1"/>
  <c r="CF3275" i="1"/>
  <c r="BL3275" i="1"/>
  <c r="BD3275" i="1"/>
  <c r="AZ3275" i="1"/>
  <c r="AX3275" i="1"/>
  <c r="Z3283" i="1" l="1"/>
  <c r="Z3288" i="1"/>
  <c r="Z3284" i="1"/>
  <c r="Z3286" i="1"/>
  <c r="Z3293" i="1"/>
  <c r="Z3287" i="1"/>
  <c r="Z3292" i="1"/>
  <c r="CU3235" i="1"/>
  <c r="X3235" i="1" s="1"/>
  <c r="Z3235" i="1"/>
  <c r="Z3285" i="1"/>
  <c r="Z3266" i="1"/>
  <c r="Z3275" i="1"/>
  <c r="Z3269" i="1"/>
  <c r="CU3267" i="1"/>
  <c r="X3267" i="1" s="1"/>
  <c r="Z3267" i="1"/>
  <c r="CU3275" i="1"/>
  <c r="X3275" i="1" s="1"/>
  <c r="CU3269" i="1"/>
  <c r="X3269" i="1" s="1"/>
  <c r="CU3266" i="1"/>
  <c r="X3266" i="1" s="1"/>
  <c r="CU3285" i="1"/>
  <c r="X3285" i="1" s="1"/>
  <c r="CU3283" i="1"/>
  <c r="X3283" i="1" s="1"/>
  <c r="CU3286" i="1"/>
  <c r="X3286" i="1" s="1"/>
  <c r="CU3292" i="1"/>
  <c r="X3292" i="1" s="1"/>
  <c r="CU3293" i="1"/>
  <c r="X3293" i="1" s="1"/>
  <c r="CU3288" i="1"/>
  <c r="X3288" i="1" s="1"/>
  <c r="CU3284" i="1"/>
  <c r="X3284" i="1" s="1"/>
  <c r="CU3287" i="1"/>
  <c r="X3287" i="1" s="1"/>
  <c r="DC3280" i="1"/>
  <c r="DA3280" i="1"/>
  <c r="CY3280" i="1"/>
  <c r="Y3280" i="1" s="1"/>
  <c r="CW3280" i="1"/>
  <c r="AA3280" i="1" s="1"/>
  <c r="CR3280" i="1"/>
  <c r="CP3280" i="1"/>
  <c r="CN3280" i="1"/>
  <c r="CJ3280" i="1"/>
  <c r="CH3280" i="1"/>
  <c r="CF3280" i="1"/>
  <c r="BL3280" i="1"/>
  <c r="BD3280" i="1"/>
  <c r="AZ3280" i="1"/>
  <c r="AX3280" i="1"/>
  <c r="DC3274" i="1"/>
  <c r="DA3274" i="1"/>
  <c r="CY3274" i="1"/>
  <c r="Y3274" i="1" s="1"/>
  <c r="CW3274" i="1"/>
  <c r="AA3274" i="1" s="1"/>
  <c r="CR3274" i="1"/>
  <c r="CP3274" i="1"/>
  <c r="CN3274" i="1"/>
  <c r="CJ3274" i="1"/>
  <c r="CH3274" i="1"/>
  <c r="CF3274" i="1"/>
  <c r="BL3274" i="1"/>
  <c r="BD3274" i="1"/>
  <c r="AZ3274" i="1"/>
  <c r="AX3274" i="1"/>
  <c r="DC3248" i="1"/>
  <c r="DA3248" i="1"/>
  <c r="CY3248" i="1"/>
  <c r="Y3248" i="1" s="1"/>
  <c r="CW3248" i="1"/>
  <c r="AA3248" i="1" s="1"/>
  <c r="CR3248" i="1"/>
  <c r="CP3248" i="1"/>
  <c r="CN3248" i="1"/>
  <c r="CJ3248" i="1"/>
  <c r="CH3248" i="1"/>
  <c r="CF3248" i="1"/>
  <c r="BL3248" i="1"/>
  <c r="BD3248" i="1"/>
  <c r="AZ3248" i="1"/>
  <c r="AX3248" i="1"/>
  <c r="DC3276" i="1"/>
  <c r="DA3276" i="1"/>
  <c r="CY3276" i="1"/>
  <c r="Y3276" i="1" s="1"/>
  <c r="CW3276" i="1"/>
  <c r="AA3276" i="1" s="1"/>
  <c r="CR3276" i="1"/>
  <c r="CP3276" i="1"/>
  <c r="CN3276" i="1"/>
  <c r="CJ3276" i="1"/>
  <c r="CH3276" i="1"/>
  <c r="CF3276" i="1"/>
  <c r="BL3276" i="1"/>
  <c r="BD3276" i="1"/>
  <c r="AZ3276" i="1"/>
  <c r="AX3276" i="1"/>
  <c r="DC3270" i="1"/>
  <c r="DA3270" i="1"/>
  <c r="CY3270" i="1"/>
  <c r="Y3270" i="1" s="1"/>
  <c r="CW3270" i="1"/>
  <c r="AA3270" i="1" s="1"/>
  <c r="CR3270" i="1"/>
  <c r="CP3270" i="1"/>
  <c r="CN3270" i="1"/>
  <c r="CJ3270" i="1"/>
  <c r="CH3270" i="1"/>
  <c r="CF3270" i="1"/>
  <c r="BL3270" i="1"/>
  <c r="BD3270" i="1"/>
  <c r="AZ3270" i="1"/>
  <c r="AX3270" i="1"/>
  <c r="DC3271" i="1"/>
  <c r="DA3271" i="1"/>
  <c r="CY3271" i="1"/>
  <c r="Y3271" i="1" s="1"/>
  <c r="CW3271" i="1"/>
  <c r="AA3271" i="1" s="1"/>
  <c r="CR3271" i="1"/>
  <c r="CP3271" i="1"/>
  <c r="CN3271" i="1"/>
  <c r="CJ3271" i="1"/>
  <c r="CH3271" i="1"/>
  <c r="CF3271" i="1"/>
  <c r="BL3271" i="1"/>
  <c r="BD3271" i="1"/>
  <c r="AZ3271" i="1"/>
  <c r="AX3271" i="1"/>
  <c r="DC3268" i="1"/>
  <c r="DA3268" i="1"/>
  <c r="CY3268" i="1"/>
  <c r="Y3268" i="1" s="1"/>
  <c r="CW3268" i="1"/>
  <c r="AA3268" i="1" s="1"/>
  <c r="CR3268" i="1"/>
  <c r="CP3268" i="1"/>
  <c r="CN3268" i="1"/>
  <c r="CJ3268" i="1"/>
  <c r="CH3268" i="1"/>
  <c r="CF3268" i="1"/>
  <c r="BL3268" i="1"/>
  <c r="BD3268" i="1"/>
  <c r="AZ3268" i="1"/>
  <c r="AX3268" i="1"/>
  <c r="DC3273" i="1"/>
  <c r="DA3273" i="1"/>
  <c r="CY3273" i="1"/>
  <c r="Y3273" i="1" s="1"/>
  <c r="CW3273" i="1"/>
  <c r="AA3273" i="1" s="1"/>
  <c r="CR3273" i="1"/>
  <c r="CP3273" i="1"/>
  <c r="CN3273" i="1"/>
  <c r="CJ3273" i="1"/>
  <c r="CH3273" i="1"/>
  <c r="CF3273" i="1"/>
  <c r="BL3273" i="1"/>
  <c r="BD3273" i="1"/>
  <c r="AZ3273" i="1"/>
  <c r="AX3273" i="1"/>
  <c r="DC3272" i="1"/>
  <c r="DA3272" i="1"/>
  <c r="CY3272" i="1"/>
  <c r="Y3272" i="1" s="1"/>
  <c r="CW3272" i="1"/>
  <c r="AA3272" i="1" s="1"/>
  <c r="CR3272" i="1"/>
  <c r="CP3272" i="1"/>
  <c r="CN3272" i="1"/>
  <c r="CJ3272" i="1"/>
  <c r="CH3272" i="1"/>
  <c r="CF3272" i="1"/>
  <c r="BL3272" i="1"/>
  <c r="BD3272" i="1"/>
  <c r="AZ3272" i="1"/>
  <c r="AX3272" i="1"/>
  <c r="AD3284" i="1" l="1"/>
  <c r="AD3266" i="1"/>
  <c r="AD3285" i="1"/>
  <c r="AD3287" i="1"/>
  <c r="AD3235" i="1"/>
  <c r="AD3283" i="1"/>
  <c r="AD3293" i="1"/>
  <c r="AD3288" i="1"/>
  <c r="AD3286" i="1"/>
  <c r="AD3292" i="1"/>
  <c r="AD3267" i="1"/>
  <c r="AD3269" i="1"/>
  <c r="AD3275" i="1"/>
  <c r="Z3273" i="1"/>
  <c r="Z3268" i="1"/>
  <c r="Z3271" i="1"/>
  <c r="Z3276" i="1"/>
  <c r="Z3270" i="1"/>
  <c r="Z3248" i="1"/>
  <c r="CU3274" i="1"/>
  <c r="X3274" i="1" s="1"/>
  <c r="Z3280" i="1"/>
  <c r="Z3272" i="1"/>
  <c r="CU3271" i="1"/>
  <c r="X3271" i="1" s="1"/>
  <c r="Z3274" i="1"/>
  <c r="CU3273" i="1"/>
  <c r="X3273" i="1" s="1"/>
  <c r="CU3270" i="1"/>
  <c r="X3270" i="1" s="1"/>
  <c r="CU3276" i="1"/>
  <c r="X3276" i="1" s="1"/>
  <c r="CU3268" i="1"/>
  <c r="X3268" i="1" s="1"/>
  <c r="CU3248" i="1"/>
  <c r="X3248" i="1" s="1"/>
  <c r="CU3272" i="1"/>
  <c r="X3272" i="1" s="1"/>
  <c r="CU3280" i="1"/>
  <c r="X3280" i="1" s="1"/>
  <c r="AD3280" i="1" l="1"/>
  <c r="AD3273" i="1"/>
  <c r="AD3276" i="1"/>
  <c r="AD3274" i="1"/>
  <c r="AD3268" i="1"/>
  <c r="AD3270" i="1"/>
  <c r="AD3271" i="1"/>
  <c r="AD3272" i="1"/>
  <c r="AD3248" i="1"/>
  <c r="DC3277" i="1"/>
  <c r="DA3277" i="1"/>
  <c r="CY3277" i="1"/>
  <c r="Y3277" i="1" s="1"/>
  <c r="CW3277" i="1"/>
  <c r="AA3277" i="1" s="1"/>
  <c r="CR3277" i="1"/>
  <c r="CP3277" i="1"/>
  <c r="CN3277" i="1"/>
  <c r="CJ3277" i="1"/>
  <c r="CH3277" i="1"/>
  <c r="CF3277" i="1"/>
  <c r="BL3277" i="1"/>
  <c r="BD3277" i="1"/>
  <c r="AZ3277" i="1"/>
  <c r="AX3277" i="1"/>
  <c r="DC3278" i="1"/>
  <c r="DA3278" i="1"/>
  <c r="CY3278" i="1"/>
  <c r="Y3278" i="1" s="1"/>
  <c r="CW3278" i="1"/>
  <c r="AA3278" i="1" s="1"/>
  <c r="CR3278" i="1"/>
  <c r="CP3278" i="1"/>
  <c r="CN3278" i="1"/>
  <c r="CJ3278" i="1"/>
  <c r="CH3278" i="1"/>
  <c r="CF3278" i="1"/>
  <c r="BL3278" i="1"/>
  <c r="BD3278" i="1"/>
  <c r="AZ3278" i="1"/>
  <c r="AX3278" i="1"/>
  <c r="DA2768" i="1"/>
  <c r="Y2768" i="1"/>
  <c r="CW2768" i="1"/>
  <c r="AA2768" i="1" s="1"/>
  <c r="CN2768" i="1"/>
  <c r="CJ2768" i="1"/>
  <c r="CH2768" i="1"/>
  <c r="CF2768" i="1"/>
  <c r="BL2768" i="1"/>
  <c r="BD2768" i="1"/>
  <c r="AX2768" i="1"/>
  <c r="DC3257" i="1"/>
  <c r="DA3257" i="1"/>
  <c r="CY3257" i="1"/>
  <c r="Y3257" i="1" s="1"/>
  <c r="CW3257" i="1"/>
  <c r="AA3257" i="1" s="1"/>
  <c r="CR3257" i="1"/>
  <c r="CP3257" i="1"/>
  <c r="CN3257" i="1"/>
  <c r="CJ3257" i="1"/>
  <c r="CH3257" i="1"/>
  <c r="CF3257" i="1"/>
  <c r="BL3257" i="1"/>
  <c r="BD3257" i="1"/>
  <c r="AZ3257" i="1"/>
  <c r="AX3257" i="1"/>
  <c r="DC3254" i="1"/>
  <c r="DA3254" i="1"/>
  <c r="CY3254" i="1"/>
  <c r="Y3254" i="1" s="1"/>
  <c r="CW3254" i="1"/>
  <c r="AA3254" i="1" s="1"/>
  <c r="CR3254" i="1"/>
  <c r="CP3254" i="1"/>
  <c r="CN3254" i="1"/>
  <c r="CJ3254" i="1"/>
  <c r="CH3254" i="1"/>
  <c r="CF3254" i="1"/>
  <c r="BL3254" i="1"/>
  <c r="BD3254" i="1"/>
  <c r="AZ3254" i="1"/>
  <c r="AX3254" i="1"/>
  <c r="DC3261" i="1"/>
  <c r="DA3261" i="1"/>
  <c r="CY3261" i="1"/>
  <c r="Y3261" i="1" s="1"/>
  <c r="CW3261" i="1"/>
  <c r="AA3261" i="1" s="1"/>
  <c r="CR3261" i="1"/>
  <c r="CP3261" i="1"/>
  <c r="CN3261" i="1"/>
  <c r="CJ3261" i="1"/>
  <c r="CH3261" i="1"/>
  <c r="CF3261" i="1"/>
  <c r="BL3261" i="1"/>
  <c r="BD3261" i="1"/>
  <c r="AZ3261" i="1"/>
  <c r="AX3261" i="1"/>
  <c r="Z3257" i="1" l="1"/>
  <c r="Z2768" i="1"/>
  <c r="Z3254" i="1"/>
  <c r="Z3277" i="1"/>
  <c r="CU3278" i="1"/>
  <c r="X3278" i="1" s="1"/>
  <c r="Z3278" i="1"/>
  <c r="CU2768" i="1"/>
  <c r="X2768" i="1" s="1"/>
  <c r="Z3261" i="1"/>
  <c r="CU3257" i="1"/>
  <c r="X3257" i="1" s="1"/>
  <c r="CU3261" i="1"/>
  <c r="X3261" i="1" s="1"/>
  <c r="CU3277" i="1"/>
  <c r="X3277" i="1" s="1"/>
  <c r="CU3254" i="1"/>
  <c r="X3254" i="1" s="1"/>
  <c r="DC3255" i="1"/>
  <c r="DA3255" i="1"/>
  <c r="CY3255" i="1"/>
  <c r="Y3255" i="1" s="1"/>
  <c r="CW3255" i="1"/>
  <c r="AA3255" i="1" s="1"/>
  <c r="CR3255" i="1"/>
  <c r="CP3255" i="1"/>
  <c r="CN3255" i="1"/>
  <c r="CJ3255" i="1"/>
  <c r="CH3255" i="1"/>
  <c r="CF3255" i="1"/>
  <c r="BL3255" i="1"/>
  <c r="BD3255" i="1"/>
  <c r="AZ3255" i="1"/>
  <c r="AX3255" i="1"/>
  <c r="DC3258" i="1"/>
  <c r="DA3258" i="1"/>
  <c r="CY3258" i="1"/>
  <c r="Y3258" i="1" s="1"/>
  <c r="CW3258" i="1"/>
  <c r="AA3258" i="1" s="1"/>
  <c r="CR3258" i="1"/>
  <c r="CP3258" i="1"/>
  <c r="CN3258" i="1"/>
  <c r="CJ3258" i="1"/>
  <c r="CH3258" i="1"/>
  <c r="CF3258" i="1"/>
  <c r="BL3258" i="1"/>
  <c r="BD3258" i="1"/>
  <c r="AZ3258" i="1"/>
  <c r="AX3258" i="1"/>
  <c r="DA3201" i="1"/>
  <c r="CY3201" i="1"/>
  <c r="Y3201" i="1" s="1"/>
  <c r="CW3201" i="1"/>
  <c r="AA3201" i="1" s="1"/>
  <c r="CR3201" i="1"/>
  <c r="CP3201" i="1"/>
  <c r="CN3201" i="1"/>
  <c r="CJ3201" i="1"/>
  <c r="CH3201" i="1"/>
  <c r="CF3201" i="1"/>
  <c r="BL3201" i="1"/>
  <c r="BD3201" i="1"/>
  <c r="AZ3201" i="1"/>
  <c r="AX3201" i="1"/>
  <c r="DC3263" i="1"/>
  <c r="DA3263" i="1"/>
  <c r="CY3263" i="1"/>
  <c r="Y3263" i="1" s="1"/>
  <c r="CW3263" i="1"/>
  <c r="AA3263" i="1" s="1"/>
  <c r="CR3263" i="1"/>
  <c r="CP3263" i="1"/>
  <c r="CN3263" i="1"/>
  <c r="CJ3263" i="1"/>
  <c r="CH3263" i="1"/>
  <c r="CF3263" i="1"/>
  <c r="BL3263" i="1"/>
  <c r="BD3263" i="1"/>
  <c r="AZ3263" i="1"/>
  <c r="AX3263" i="1"/>
  <c r="DC3260" i="1"/>
  <c r="DA3260" i="1"/>
  <c r="CY3260" i="1"/>
  <c r="Y3260" i="1" s="1"/>
  <c r="CW3260" i="1"/>
  <c r="AA3260" i="1" s="1"/>
  <c r="CR3260" i="1"/>
  <c r="CP3260" i="1"/>
  <c r="CN3260" i="1"/>
  <c r="CJ3260" i="1"/>
  <c r="CH3260" i="1"/>
  <c r="CF3260" i="1"/>
  <c r="BL3260" i="1"/>
  <c r="BD3260" i="1"/>
  <c r="AZ3260" i="1"/>
  <c r="AX3260" i="1"/>
  <c r="DC3262" i="1"/>
  <c r="DA3262" i="1"/>
  <c r="CY3262" i="1"/>
  <c r="Y3262" i="1" s="1"/>
  <c r="CW3262" i="1"/>
  <c r="AA3262" i="1" s="1"/>
  <c r="CR3262" i="1"/>
  <c r="CP3262" i="1"/>
  <c r="CN3262" i="1"/>
  <c r="CJ3262" i="1"/>
  <c r="CH3262" i="1"/>
  <c r="CF3262" i="1"/>
  <c r="BL3262" i="1"/>
  <c r="BD3262" i="1"/>
  <c r="AZ3262" i="1"/>
  <c r="AX3262" i="1"/>
  <c r="DC3256" i="1"/>
  <c r="DA3256" i="1"/>
  <c r="CY3256" i="1"/>
  <c r="Y3256" i="1" s="1"/>
  <c r="CW3256" i="1"/>
  <c r="AA3256" i="1" s="1"/>
  <c r="CR3256" i="1"/>
  <c r="CP3256" i="1"/>
  <c r="CN3256" i="1"/>
  <c r="CJ3256" i="1"/>
  <c r="CH3256" i="1"/>
  <c r="CF3256" i="1"/>
  <c r="BL3256" i="1"/>
  <c r="BD3256" i="1"/>
  <c r="AZ3256" i="1"/>
  <c r="AX3256" i="1"/>
  <c r="DE2895" i="1"/>
  <c r="DA2895" i="1"/>
  <c r="CY3088" i="1"/>
  <c r="AD2768" i="1" l="1"/>
  <c r="AD3254" i="1"/>
  <c r="AD3261" i="1"/>
  <c r="AD3257" i="1"/>
  <c r="AD3277" i="1"/>
  <c r="AD3278" i="1"/>
  <c r="Z3201" i="1"/>
  <c r="CU3255" i="1"/>
  <c r="X3255" i="1" s="1"/>
  <c r="Z3262" i="1"/>
  <c r="CU3260" i="1"/>
  <c r="X3260" i="1" s="1"/>
  <c r="Z3260" i="1"/>
  <c r="Z3255" i="1"/>
  <c r="Z3256" i="1"/>
  <c r="CU3263" i="1"/>
  <c r="X3263" i="1" s="1"/>
  <c r="Z3263" i="1"/>
  <c r="CU3258" i="1"/>
  <c r="X3258" i="1" s="1"/>
  <c r="Z3258" i="1"/>
  <c r="CU3262" i="1"/>
  <c r="X3262" i="1" s="1"/>
  <c r="CU3201" i="1"/>
  <c r="X3201" i="1" s="1"/>
  <c r="CU3256" i="1"/>
  <c r="X3256" i="1" s="1"/>
  <c r="CY2995" i="1"/>
  <c r="Y2995" i="1" s="1"/>
  <c r="BZ2995" i="1"/>
  <c r="DB2995" i="1"/>
  <c r="DC2995" i="1" s="1"/>
  <c r="DA2995" i="1"/>
  <c r="CW2995" i="1"/>
  <c r="AA2995" i="1" s="1"/>
  <c r="CR2995" i="1"/>
  <c r="CP2995" i="1"/>
  <c r="CN2995" i="1"/>
  <c r="CJ2995" i="1"/>
  <c r="CH2995" i="1"/>
  <c r="CF2995" i="1"/>
  <c r="BL2995" i="1"/>
  <c r="BD2995" i="1"/>
  <c r="AZ2995" i="1"/>
  <c r="AX2995" i="1"/>
  <c r="DC3224" i="1"/>
  <c r="DA3224" i="1"/>
  <c r="CY3224" i="1"/>
  <c r="Y3224" i="1" s="1"/>
  <c r="CW3224" i="1"/>
  <c r="AA3224" i="1" s="1"/>
  <c r="CR3224" i="1"/>
  <c r="CP3224" i="1"/>
  <c r="CN3224" i="1"/>
  <c r="CJ3224" i="1"/>
  <c r="CH3224" i="1"/>
  <c r="CF3224" i="1"/>
  <c r="BL3224" i="1"/>
  <c r="BD3224" i="1"/>
  <c r="AZ3224" i="1"/>
  <c r="AX3224" i="1"/>
  <c r="DC3244" i="1"/>
  <c r="DA3244" i="1"/>
  <c r="CY3244" i="1"/>
  <c r="Y3244" i="1" s="1"/>
  <c r="CW3244" i="1"/>
  <c r="AA3244" i="1" s="1"/>
  <c r="CR3244" i="1"/>
  <c r="CP3244" i="1"/>
  <c r="CN3244" i="1"/>
  <c r="CJ3244" i="1"/>
  <c r="CH3244" i="1"/>
  <c r="CF3244" i="1"/>
  <c r="BL3244" i="1"/>
  <c r="BD3244" i="1"/>
  <c r="AZ3244" i="1"/>
  <c r="AX3244" i="1"/>
  <c r="DC3233" i="1"/>
  <c r="DA3233" i="1"/>
  <c r="CY3233" i="1"/>
  <c r="Y3233" i="1" s="1"/>
  <c r="CW3233" i="1"/>
  <c r="AA3233" i="1" s="1"/>
  <c r="CR3233" i="1"/>
  <c r="CP3233" i="1"/>
  <c r="CN3233" i="1"/>
  <c r="CJ3233" i="1"/>
  <c r="CH3233" i="1"/>
  <c r="CF3233" i="1"/>
  <c r="BL3233" i="1"/>
  <c r="BD3233" i="1"/>
  <c r="AZ3233" i="1"/>
  <c r="AX3233" i="1"/>
  <c r="DC3252" i="1"/>
  <c r="DA3252" i="1"/>
  <c r="CY3252" i="1"/>
  <c r="Y3252" i="1" s="1"/>
  <c r="CW3252" i="1"/>
  <c r="AA3252" i="1" s="1"/>
  <c r="CR3252" i="1"/>
  <c r="CP3252" i="1"/>
  <c r="CN3252" i="1"/>
  <c r="CJ3252" i="1"/>
  <c r="CH3252" i="1"/>
  <c r="CF3252" i="1"/>
  <c r="BL3252" i="1"/>
  <c r="BD3252" i="1"/>
  <c r="AZ3252" i="1"/>
  <c r="AX3252" i="1"/>
  <c r="DC3240" i="1"/>
  <c r="DA3240" i="1"/>
  <c r="CY3240" i="1"/>
  <c r="Y3240" i="1" s="1"/>
  <c r="CW3240" i="1"/>
  <c r="AA3240" i="1" s="1"/>
  <c r="CR3240" i="1"/>
  <c r="CP3240" i="1"/>
  <c r="CN3240" i="1"/>
  <c r="CJ3240" i="1"/>
  <c r="CH3240" i="1"/>
  <c r="CF3240" i="1"/>
  <c r="BL3240" i="1"/>
  <c r="BD3240" i="1"/>
  <c r="AZ3240" i="1"/>
  <c r="AX3240" i="1"/>
  <c r="DC3245" i="1"/>
  <c r="DA3245" i="1"/>
  <c r="CY3245" i="1"/>
  <c r="Y3245" i="1" s="1"/>
  <c r="CW3245" i="1"/>
  <c r="AA3245" i="1" s="1"/>
  <c r="CR3245" i="1"/>
  <c r="CP3245" i="1"/>
  <c r="CN3245" i="1"/>
  <c r="CJ3245" i="1"/>
  <c r="CH3245" i="1"/>
  <c r="CF3245" i="1"/>
  <c r="BL3245" i="1"/>
  <c r="BD3245" i="1"/>
  <c r="AZ3245" i="1"/>
  <c r="AX3245" i="1"/>
  <c r="DC3237" i="1"/>
  <c r="DA3237" i="1"/>
  <c r="CY3237" i="1"/>
  <c r="Y3237" i="1" s="1"/>
  <c r="CW3237" i="1"/>
  <c r="AA3237" i="1" s="1"/>
  <c r="CR3237" i="1"/>
  <c r="CP3237" i="1"/>
  <c r="CN3237" i="1"/>
  <c r="CJ3237" i="1"/>
  <c r="CH3237" i="1"/>
  <c r="CF3237" i="1"/>
  <c r="BL3237" i="1"/>
  <c r="BD3237" i="1"/>
  <c r="AZ3237" i="1"/>
  <c r="AX3237" i="1"/>
  <c r="DC3239" i="1"/>
  <c r="DA3239" i="1"/>
  <c r="CY3239" i="1"/>
  <c r="Y3239" i="1" s="1"/>
  <c r="CW3239" i="1"/>
  <c r="AA3239" i="1" s="1"/>
  <c r="CR3239" i="1"/>
  <c r="CP3239" i="1"/>
  <c r="CN3239" i="1"/>
  <c r="CJ3239" i="1"/>
  <c r="CH3239" i="1"/>
  <c r="CF3239" i="1"/>
  <c r="BL3239" i="1"/>
  <c r="BD3239" i="1"/>
  <c r="AZ3239" i="1"/>
  <c r="AX3239" i="1"/>
  <c r="DC3127" i="1"/>
  <c r="DA3127" i="1"/>
  <c r="CY3127" i="1"/>
  <c r="Y3127" i="1" s="1"/>
  <c r="CW3127" i="1"/>
  <c r="AA3127" i="1" s="1"/>
  <c r="CR3127" i="1"/>
  <c r="CP3127" i="1"/>
  <c r="CN3127" i="1"/>
  <c r="CJ3127" i="1"/>
  <c r="CH3127" i="1"/>
  <c r="CF3127" i="1"/>
  <c r="BL3127" i="1"/>
  <c r="BD3127" i="1"/>
  <c r="AZ3127" i="1"/>
  <c r="AX3127" i="1"/>
  <c r="DC3247" i="1"/>
  <c r="DA3247" i="1"/>
  <c r="CY3247" i="1"/>
  <c r="Y3247" i="1" s="1"/>
  <c r="CW3247" i="1"/>
  <c r="AA3247" i="1" s="1"/>
  <c r="CR3247" i="1"/>
  <c r="CP3247" i="1"/>
  <c r="CN3247" i="1"/>
  <c r="CJ3247" i="1"/>
  <c r="CH3247" i="1"/>
  <c r="CF3247" i="1"/>
  <c r="BL3247" i="1"/>
  <c r="BD3247" i="1"/>
  <c r="AZ3247" i="1"/>
  <c r="AX3247" i="1"/>
  <c r="DC3250" i="1"/>
  <c r="DA3250" i="1"/>
  <c r="CY3250" i="1"/>
  <c r="Y3250" i="1" s="1"/>
  <c r="CW3250" i="1"/>
  <c r="AA3250" i="1" s="1"/>
  <c r="CR3250" i="1"/>
  <c r="CP3250" i="1"/>
  <c r="CN3250" i="1"/>
  <c r="CJ3250" i="1"/>
  <c r="CH3250" i="1"/>
  <c r="CF3250" i="1"/>
  <c r="BL3250" i="1"/>
  <c r="BD3250" i="1"/>
  <c r="AZ3250" i="1"/>
  <c r="AX3250" i="1"/>
  <c r="DC3241" i="1"/>
  <c r="DA3241" i="1"/>
  <c r="CY3241" i="1"/>
  <c r="Y3241" i="1" s="1"/>
  <c r="CW3241" i="1"/>
  <c r="AA3241" i="1" s="1"/>
  <c r="CR3241" i="1"/>
  <c r="CP3241" i="1"/>
  <c r="CN3241" i="1"/>
  <c r="CJ3241" i="1"/>
  <c r="CH3241" i="1"/>
  <c r="CF3241" i="1"/>
  <c r="BL3241" i="1"/>
  <c r="BD3241" i="1"/>
  <c r="AZ3241" i="1"/>
  <c r="AX3241" i="1"/>
  <c r="AD3201" i="1" l="1"/>
  <c r="AD3255" i="1"/>
  <c r="AD3262" i="1"/>
  <c r="AD3258" i="1"/>
  <c r="AD3256" i="1"/>
  <c r="AD3260" i="1"/>
  <c r="AD3263" i="1"/>
  <c r="Z3247" i="1"/>
  <c r="Z3237" i="1"/>
  <c r="Z3252" i="1"/>
  <c r="Z3244" i="1"/>
  <c r="Z3245" i="1"/>
  <c r="CU3127" i="1"/>
  <c r="X3127" i="1" s="1"/>
  <c r="Z3127" i="1"/>
  <c r="Z3224" i="1"/>
  <c r="Z3241" i="1"/>
  <c r="CU3252" i="1"/>
  <c r="X3252" i="1" s="1"/>
  <c r="Z3239" i="1"/>
  <c r="Z3233" i="1"/>
  <c r="Z3250" i="1"/>
  <c r="CU3240" i="1"/>
  <c r="X3240" i="1" s="1"/>
  <c r="Z3240" i="1"/>
  <c r="CU2995" i="1"/>
  <c r="X2995" i="1" s="1"/>
  <c r="Z2995" i="1"/>
  <c r="CU3250" i="1"/>
  <c r="X3250" i="1" s="1"/>
  <c r="CU3237" i="1"/>
  <c r="X3237" i="1" s="1"/>
  <c r="CU3244" i="1"/>
  <c r="X3244" i="1" s="1"/>
  <c r="CU3247" i="1"/>
  <c r="X3247" i="1" s="1"/>
  <c r="CU3245" i="1"/>
  <c r="X3245" i="1" s="1"/>
  <c r="CU3224" i="1"/>
  <c r="X3224" i="1" s="1"/>
  <c r="CU3241" i="1"/>
  <c r="X3241" i="1" s="1"/>
  <c r="CU3239" i="1"/>
  <c r="X3239" i="1" s="1"/>
  <c r="CU3233" i="1"/>
  <c r="X3233" i="1" s="1"/>
  <c r="I2720" i="1"/>
  <c r="I2719" i="1"/>
  <c r="I2718" i="1"/>
  <c r="AD3247" i="1" l="1"/>
  <c r="AD3244" i="1"/>
  <c r="AD3245" i="1"/>
  <c r="AD3237" i="1"/>
  <c r="AD3240" i="1"/>
  <c r="AD3252" i="1"/>
  <c r="AD3127" i="1"/>
  <c r="AD3239" i="1"/>
  <c r="AD2995" i="1"/>
  <c r="AD3241" i="1"/>
  <c r="AD3224" i="1"/>
  <c r="AD3233" i="1"/>
  <c r="AD3250" i="1"/>
  <c r="I3221" i="1" l="1"/>
  <c r="DC3243" i="1"/>
  <c r="DA3243" i="1"/>
  <c r="CY3243" i="1"/>
  <c r="Y3243" i="1" s="1"/>
  <c r="CW3243" i="1"/>
  <c r="AA3243" i="1" s="1"/>
  <c r="CR3243" i="1"/>
  <c r="CP3243" i="1"/>
  <c r="CN3243" i="1"/>
  <c r="CJ3243" i="1"/>
  <c r="CH3243" i="1"/>
  <c r="CF3243" i="1"/>
  <c r="BL3243" i="1"/>
  <c r="BD3243" i="1"/>
  <c r="AZ3243" i="1"/>
  <c r="AX3243" i="1"/>
  <c r="DC3242" i="1"/>
  <c r="DA3242" i="1"/>
  <c r="CY3242" i="1"/>
  <c r="Y3242" i="1" s="1"/>
  <c r="CW3242" i="1"/>
  <c r="AA3242" i="1" s="1"/>
  <c r="CR3242" i="1"/>
  <c r="CP3242" i="1"/>
  <c r="CN3242" i="1"/>
  <c r="CJ3242" i="1"/>
  <c r="CH3242" i="1"/>
  <c r="CF3242" i="1"/>
  <c r="BL3242" i="1"/>
  <c r="BD3242" i="1"/>
  <c r="AZ3242" i="1"/>
  <c r="AX3242" i="1"/>
  <c r="DC3238" i="1"/>
  <c r="DA3238" i="1"/>
  <c r="CY3238" i="1"/>
  <c r="Y3238" i="1" s="1"/>
  <c r="CW3238" i="1"/>
  <c r="AA3238" i="1" s="1"/>
  <c r="CR3238" i="1"/>
  <c r="CP3238" i="1"/>
  <c r="CN3238" i="1"/>
  <c r="CJ3238" i="1"/>
  <c r="CH3238" i="1"/>
  <c r="CF3238" i="1"/>
  <c r="BL3238" i="1"/>
  <c r="BD3238" i="1"/>
  <c r="AZ3238" i="1"/>
  <c r="AX3238" i="1"/>
  <c r="DC3249" i="1"/>
  <c r="DA3249" i="1"/>
  <c r="CY3249" i="1"/>
  <c r="Y3249" i="1" s="1"/>
  <c r="CW3249" i="1"/>
  <c r="AA3249" i="1" s="1"/>
  <c r="CR3249" i="1"/>
  <c r="CP3249" i="1"/>
  <c r="CN3249" i="1"/>
  <c r="CJ3249" i="1"/>
  <c r="CH3249" i="1"/>
  <c r="CF3249" i="1"/>
  <c r="BL3249" i="1"/>
  <c r="BD3249" i="1"/>
  <c r="AZ3249" i="1"/>
  <c r="AX3249" i="1"/>
  <c r="DC2715" i="1"/>
  <c r="DA2715" i="1"/>
  <c r="CY2715" i="1"/>
  <c r="Y2715" i="1" s="1"/>
  <c r="CW2715" i="1"/>
  <c r="AA2715" i="1" s="1"/>
  <c r="CR2715" i="1"/>
  <c r="CP2715" i="1"/>
  <c r="CN2715" i="1"/>
  <c r="CJ2715" i="1"/>
  <c r="CH2715" i="1"/>
  <c r="CF2715" i="1"/>
  <c r="BL2715" i="1"/>
  <c r="BD2715" i="1"/>
  <c r="AZ2715" i="1"/>
  <c r="AX2715" i="1"/>
  <c r="DC3232" i="1"/>
  <c r="DA3232" i="1"/>
  <c r="CY3232" i="1"/>
  <c r="Y3232" i="1" s="1"/>
  <c r="CW3232" i="1"/>
  <c r="AA3232" i="1" s="1"/>
  <c r="CR3232" i="1"/>
  <c r="CP3232" i="1"/>
  <c r="CN3232" i="1"/>
  <c r="CJ3232" i="1"/>
  <c r="CH3232" i="1"/>
  <c r="CF3232" i="1"/>
  <c r="BL3232" i="1"/>
  <c r="BD3232" i="1"/>
  <c r="AZ3232" i="1"/>
  <c r="AX3232" i="1"/>
  <c r="DC3229" i="1"/>
  <c r="DA3229" i="1"/>
  <c r="CY3229" i="1"/>
  <c r="Y3229" i="1" s="1"/>
  <c r="CW3229" i="1"/>
  <c r="AA3229" i="1" s="1"/>
  <c r="CR3229" i="1"/>
  <c r="CP3229" i="1"/>
  <c r="CN3229" i="1"/>
  <c r="CJ3229" i="1"/>
  <c r="CH3229" i="1"/>
  <c r="CF3229" i="1"/>
  <c r="BL3229" i="1"/>
  <c r="BD3229" i="1"/>
  <c r="AZ3229" i="1"/>
  <c r="AX3229" i="1"/>
  <c r="DC3228" i="1"/>
  <c r="DA3228" i="1"/>
  <c r="CY3228" i="1"/>
  <c r="Y3228" i="1" s="1"/>
  <c r="CW3228" i="1"/>
  <c r="AA3228" i="1" s="1"/>
  <c r="CR3228" i="1"/>
  <c r="CP3228" i="1"/>
  <c r="CN3228" i="1"/>
  <c r="CJ3228" i="1"/>
  <c r="CH3228" i="1"/>
  <c r="CF3228" i="1"/>
  <c r="BL3228" i="1"/>
  <c r="BD3228" i="1"/>
  <c r="AZ3228" i="1"/>
  <c r="AX3228" i="1"/>
  <c r="DC3220" i="1"/>
  <c r="DA3220" i="1"/>
  <c r="CY3220" i="1"/>
  <c r="Y3220" i="1" s="1"/>
  <c r="CW3220" i="1"/>
  <c r="AA3220" i="1" s="1"/>
  <c r="CR3220" i="1"/>
  <c r="CP3220" i="1"/>
  <c r="CN3220" i="1"/>
  <c r="CJ3220" i="1"/>
  <c r="CH3220" i="1"/>
  <c r="CF3220" i="1"/>
  <c r="BL3220" i="1"/>
  <c r="BD3220" i="1"/>
  <c r="AZ3220" i="1"/>
  <c r="AX3220" i="1"/>
  <c r="DC3208" i="1"/>
  <c r="DA3208" i="1"/>
  <c r="CY3208" i="1"/>
  <c r="Y3208" i="1" s="1"/>
  <c r="CW3208" i="1"/>
  <c r="AA3208" i="1" s="1"/>
  <c r="CR3208" i="1"/>
  <c r="CP3208" i="1"/>
  <c r="CN3208" i="1"/>
  <c r="CJ3208" i="1"/>
  <c r="CH3208" i="1"/>
  <c r="CF3208" i="1"/>
  <c r="BL3208" i="1"/>
  <c r="BD3208" i="1"/>
  <c r="AZ3208" i="1"/>
  <c r="AX3208" i="1"/>
  <c r="DC3209" i="1"/>
  <c r="DA3209" i="1"/>
  <c r="CY3209" i="1"/>
  <c r="Y3209" i="1" s="1"/>
  <c r="CW3209" i="1"/>
  <c r="AA3209" i="1" s="1"/>
  <c r="CR3209" i="1"/>
  <c r="CP3209" i="1"/>
  <c r="CN3209" i="1"/>
  <c r="CJ3209" i="1"/>
  <c r="CH3209" i="1"/>
  <c r="CF3209" i="1"/>
  <c r="BL3209" i="1"/>
  <c r="BD3209" i="1"/>
  <c r="AZ3209" i="1"/>
  <c r="AX3209" i="1"/>
  <c r="DC3210" i="1"/>
  <c r="DA3210" i="1"/>
  <c r="CY3210" i="1"/>
  <c r="Y3210" i="1" s="1"/>
  <c r="CW3210" i="1"/>
  <c r="AA3210" i="1" s="1"/>
  <c r="CR3210" i="1"/>
  <c r="CP3210" i="1"/>
  <c r="CN3210" i="1"/>
  <c r="CJ3210" i="1"/>
  <c r="CH3210" i="1"/>
  <c r="CF3210" i="1"/>
  <c r="BL3210" i="1"/>
  <c r="BD3210" i="1"/>
  <c r="AZ3210" i="1"/>
  <c r="AX3210" i="1"/>
  <c r="DC3221" i="1"/>
  <c r="DA3221" i="1"/>
  <c r="CY3221" i="1"/>
  <c r="Y3221" i="1" s="1"/>
  <c r="CW3221" i="1"/>
  <c r="AA3221" i="1" s="1"/>
  <c r="CR3221" i="1"/>
  <c r="CP3221" i="1"/>
  <c r="CN3221" i="1"/>
  <c r="CJ3221" i="1"/>
  <c r="CH3221" i="1"/>
  <c r="CF3221" i="1"/>
  <c r="BL3221" i="1"/>
  <c r="BD3221" i="1"/>
  <c r="AZ3221" i="1"/>
  <c r="AX3221" i="1"/>
  <c r="DC3226" i="1"/>
  <c r="DA3226" i="1"/>
  <c r="CY3226" i="1"/>
  <c r="Y3226" i="1" s="1"/>
  <c r="CW3226" i="1"/>
  <c r="AA3226" i="1" s="1"/>
  <c r="CR3226" i="1"/>
  <c r="CP3226" i="1"/>
  <c r="CN3226" i="1"/>
  <c r="CJ3226" i="1"/>
  <c r="CH3226" i="1"/>
  <c r="CF3226" i="1"/>
  <c r="BL3226" i="1"/>
  <c r="BD3226" i="1"/>
  <c r="AZ3226" i="1"/>
  <c r="AX3226" i="1"/>
  <c r="DC3219" i="1"/>
  <c r="DA3219" i="1"/>
  <c r="CY3219" i="1"/>
  <c r="Y3219" i="1" s="1"/>
  <c r="CW3219" i="1"/>
  <c r="AA3219" i="1" s="1"/>
  <c r="CR3219" i="1"/>
  <c r="CP3219" i="1"/>
  <c r="CN3219" i="1"/>
  <c r="CJ3219" i="1"/>
  <c r="CH3219" i="1"/>
  <c r="CF3219" i="1"/>
  <c r="BL3219" i="1"/>
  <c r="BD3219" i="1"/>
  <c r="AZ3219" i="1"/>
  <c r="AX3219" i="1"/>
  <c r="DC3225" i="1"/>
  <c r="DA3225" i="1"/>
  <c r="CY3225" i="1"/>
  <c r="Y3225" i="1" s="1"/>
  <c r="CW3225" i="1"/>
  <c r="AA3225" i="1" s="1"/>
  <c r="CR3225" i="1"/>
  <c r="CP3225" i="1"/>
  <c r="CN3225" i="1"/>
  <c r="CJ3225" i="1"/>
  <c r="CH3225" i="1"/>
  <c r="CF3225" i="1"/>
  <c r="BL3225" i="1"/>
  <c r="BD3225" i="1"/>
  <c r="AZ3225" i="1"/>
  <c r="AX3225" i="1"/>
  <c r="DC3227" i="1"/>
  <c r="DA3227" i="1"/>
  <c r="CY3227" i="1"/>
  <c r="Y3227" i="1" s="1"/>
  <c r="CW3227" i="1"/>
  <c r="AA3227" i="1" s="1"/>
  <c r="CR3227" i="1"/>
  <c r="CP3227" i="1"/>
  <c r="CN3227" i="1"/>
  <c r="CJ3227" i="1"/>
  <c r="CH3227" i="1"/>
  <c r="CF3227" i="1"/>
  <c r="BL3227" i="1"/>
  <c r="BD3227" i="1"/>
  <c r="AZ3227" i="1"/>
  <c r="AX3227" i="1"/>
  <c r="DC3230" i="1"/>
  <c r="DA3230" i="1"/>
  <c r="CY3230" i="1"/>
  <c r="Y3230" i="1" s="1"/>
  <c r="CW3230" i="1"/>
  <c r="AA3230" i="1" s="1"/>
  <c r="CR3230" i="1"/>
  <c r="CP3230" i="1"/>
  <c r="CN3230" i="1"/>
  <c r="CJ3230" i="1"/>
  <c r="CH3230" i="1"/>
  <c r="CF3230" i="1"/>
  <c r="BL3230" i="1"/>
  <c r="BD3230" i="1"/>
  <c r="AZ3230" i="1"/>
  <c r="AX3230" i="1"/>
  <c r="DC3222" i="1"/>
  <c r="DA3222" i="1"/>
  <c r="CY3222" i="1"/>
  <c r="Y3222" i="1" s="1"/>
  <c r="CW3222" i="1"/>
  <c r="AA3222" i="1" s="1"/>
  <c r="CR3222" i="1"/>
  <c r="CP3222" i="1"/>
  <c r="CN3222" i="1"/>
  <c r="CJ3222" i="1"/>
  <c r="CH3222" i="1"/>
  <c r="CF3222" i="1"/>
  <c r="BL3222" i="1"/>
  <c r="BD3222" i="1"/>
  <c r="AZ3222" i="1"/>
  <c r="AX3222" i="1"/>
  <c r="DC3223" i="1"/>
  <c r="DA3223" i="1"/>
  <c r="CY3223" i="1"/>
  <c r="Y3223" i="1" s="1"/>
  <c r="CW3223" i="1"/>
  <c r="AA3223" i="1" s="1"/>
  <c r="CR3223" i="1"/>
  <c r="CP3223" i="1"/>
  <c r="CN3223" i="1"/>
  <c r="CJ3223" i="1"/>
  <c r="CH3223" i="1"/>
  <c r="CF3223" i="1"/>
  <c r="BL3223" i="1"/>
  <c r="BD3223" i="1"/>
  <c r="AZ3223" i="1"/>
  <c r="AX3223" i="1"/>
  <c r="DC3218" i="1"/>
  <c r="DA3218" i="1"/>
  <c r="CY3218" i="1"/>
  <c r="Y3218" i="1" s="1"/>
  <c r="CW3218" i="1"/>
  <c r="AA3218" i="1" s="1"/>
  <c r="CR3218" i="1"/>
  <c r="CP3218" i="1"/>
  <c r="CN3218" i="1"/>
  <c r="CJ3218" i="1"/>
  <c r="CH3218" i="1"/>
  <c r="CF3218" i="1"/>
  <c r="BL3218" i="1"/>
  <c r="BD3218" i="1"/>
  <c r="AZ3218" i="1"/>
  <c r="AX3218" i="1"/>
  <c r="DC3198" i="1"/>
  <c r="DA3198" i="1"/>
  <c r="CY3198" i="1"/>
  <c r="Y3198" i="1" s="1"/>
  <c r="CW3198" i="1"/>
  <c r="AA3198" i="1" s="1"/>
  <c r="CR3198" i="1"/>
  <c r="CP3198" i="1"/>
  <c r="CN3198" i="1"/>
  <c r="CJ3198" i="1"/>
  <c r="CH3198" i="1"/>
  <c r="CF3198" i="1"/>
  <c r="BL3198" i="1"/>
  <c r="BD3198" i="1"/>
  <c r="AZ3198" i="1"/>
  <c r="AX3198" i="1"/>
  <c r="DC3212" i="1"/>
  <c r="DA3212" i="1"/>
  <c r="CY3212" i="1"/>
  <c r="Y3212" i="1" s="1"/>
  <c r="CW3212" i="1"/>
  <c r="AA3212" i="1" s="1"/>
  <c r="CR3212" i="1"/>
  <c r="CP3212" i="1"/>
  <c r="CN3212" i="1"/>
  <c r="CJ3212" i="1"/>
  <c r="CH3212" i="1"/>
  <c r="CF3212" i="1"/>
  <c r="BL3212" i="1"/>
  <c r="BD3212" i="1"/>
  <c r="AZ3212" i="1"/>
  <c r="AX3212" i="1"/>
  <c r="DC3215" i="1"/>
  <c r="DA3215" i="1"/>
  <c r="CY3215" i="1"/>
  <c r="Y3215" i="1" s="1"/>
  <c r="CW3215" i="1"/>
  <c r="AA3215" i="1" s="1"/>
  <c r="CR3215" i="1"/>
  <c r="CP3215" i="1"/>
  <c r="CN3215" i="1"/>
  <c r="CJ3215" i="1"/>
  <c r="CH3215" i="1"/>
  <c r="CF3215" i="1"/>
  <c r="BL3215" i="1"/>
  <c r="BD3215" i="1"/>
  <c r="AZ3215" i="1"/>
  <c r="AX3215" i="1"/>
  <c r="DC3214" i="1"/>
  <c r="DA3214" i="1"/>
  <c r="CY3214" i="1"/>
  <c r="Y3214" i="1" s="1"/>
  <c r="CW3214" i="1"/>
  <c r="AA3214" i="1" s="1"/>
  <c r="CR3214" i="1"/>
  <c r="CP3214" i="1"/>
  <c r="CN3214" i="1"/>
  <c r="CJ3214" i="1"/>
  <c r="CH3214" i="1"/>
  <c r="CF3214" i="1"/>
  <c r="BL3214" i="1"/>
  <c r="BD3214" i="1"/>
  <c r="AZ3214" i="1"/>
  <c r="AX3214" i="1"/>
  <c r="DC3213" i="1"/>
  <c r="DA3213" i="1"/>
  <c r="CY3213" i="1"/>
  <c r="Y3213" i="1" s="1"/>
  <c r="CW3213" i="1"/>
  <c r="AA3213" i="1" s="1"/>
  <c r="CR3213" i="1"/>
  <c r="CP3213" i="1"/>
  <c r="CN3213" i="1"/>
  <c r="CJ3213" i="1"/>
  <c r="CH3213" i="1"/>
  <c r="CF3213" i="1"/>
  <c r="BL3213" i="1"/>
  <c r="BD3213" i="1"/>
  <c r="AZ3213" i="1"/>
  <c r="AX3213" i="1"/>
  <c r="DC3216" i="1"/>
  <c r="DA3216" i="1"/>
  <c r="CY3216" i="1"/>
  <c r="Y3216" i="1" s="1"/>
  <c r="CW3216" i="1"/>
  <c r="AA3216" i="1" s="1"/>
  <c r="CR3216" i="1"/>
  <c r="CP3216" i="1"/>
  <c r="CN3216" i="1"/>
  <c r="CJ3216" i="1"/>
  <c r="CH3216" i="1"/>
  <c r="CF3216" i="1"/>
  <c r="BL3216" i="1"/>
  <c r="BD3216" i="1"/>
  <c r="AZ3216" i="1"/>
  <c r="AX3216" i="1"/>
  <c r="DC3204" i="1"/>
  <c r="DA3204" i="1"/>
  <c r="CY3204" i="1"/>
  <c r="Y3204" i="1" s="1"/>
  <c r="CW3204" i="1"/>
  <c r="AA3204" i="1" s="1"/>
  <c r="CR3204" i="1"/>
  <c r="CP3204" i="1"/>
  <c r="CN3204" i="1"/>
  <c r="CJ3204" i="1"/>
  <c r="CH3204" i="1"/>
  <c r="CF3204" i="1"/>
  <c r="BL3204" i="1"/>
  <c r="BD3204" i="1"/>
  <c r="AZ3204" i="1"/>
  <c r="AX3204" i="1"/>
  <c r="DC3205" i="1"/>
  <c r="DA3205" i="1"/>
  <c r="CY3205" i="1"/>
  <c r="Y3205" i="1" s="1"/>
  <c r="CW3205" i="1"/>
  <c r="AA3205" i="1" s="1"/>
  <c r="CR3205" i="1"/>
  <c r="CP3205" i="1"/>
  <c r="CN3205" i="1"/>
  <c r="CJ3205" i="1"/>
  <c r="CH3205" i="1"/>
  <c r="CF3205" i="1"/>
  <c r="BL3205" i="1"/>
  <c r="BD3205" i="1"/>
  <c r="AZ3205" i="1"/>
  <c r="AX3205" i="1"/>
  <c r="DC3180" i="1"/>
  <c r="DA3180" i="1"/>
  <c r="CY3180" i="1"/>
  <c r="Y3180" i="1" s="1"/>
  <c r="CW3180" i="1"/>
  <c r="AA3180" i="1" s="1"/>
  <c r="CR3180" i="1"/>
  <c r="CP3180" i="1"/>
  <c r="CN3180" i="1"/>
  <c r="CJ3180" i="1"/>
  <c r="CH3180" i="1"/>
  <c r="CF3180" i="1"/>
  <c r="BL3180" i="1"/>
  <c r="BD3180" i="1"/>
  <c r="AZ3180" i="1"/>
  <c r="AX3180" i="1"/>
  <c r="DC3207" i="1"/>
  <c r="DA3207" i="1"/>
  <c r="CY3207" i="1"/>
  <c r="Y3207" i="1" s="1"/>
  <c r="CW3207" i="1"/>
  <c r="AA3207" i="1" s="1"/>
  <c r="CR3207" i="1"/>
  <c r="CP3207" i="1"/>
  <c r="CN3207" i="1"/>
  <c r="CJ3207" i="1"/>
  <c r="CH3207" i="1"/>
  <c r="CF3207" i="1"/>
  <c r="BL3207" i="1"/>
  <c r="BD3207" i="1"/>
  <c r="AZ3207" i="1"/>
  <c r="AX3207" i="1"/>
  <c r="DC3181" i="1"/>
  <c r="DA3181" i="1"/>
  <c r="CY3181" i="1"/>
  <c r="Y3181" i="1" s="1"/>
  <c r="CW3181" i="1"/>
  <c r="AA3181" i="1" s="1"/>
  <c r="CR3181" i="1"/>
  <c r="CP3181" i="1"/>
  <c r="CN3181" i="1"/>
  <c r="CJ3181" i="1"/>
  <c r="CH3181" i="1"/>
  <c r="CF3181" i="1"/>
  <c r="BL3181" i="1"/>
  <c r="BD3181" i="1"/>
  <c r="AZ3181" i="1"/>
  <c r="AX3181" i="1"/>
  <c r="DC3202" i="1"/>
  <c r="DA3202" i="1"/>
  <c r="CY3202" i="1"/>
  <c r="Y3202" i="1" s="1"/>
  <c r="CW3202" i="1"/>
  <c r="AA3202" i="1" s="1"/>
  <c r="CR3202" i="1"/>
  <c r="CP3202" i="1"/>
  <c r="CN3202" i="1"/>
  <c r="CJ3202" i="1"/>
  <c r="CH3202" i="1"/>
  <c r="CF3202" i="1"/>
  <c r="BL3202" i="1"/>
  <c r="BD3202" i="1"/>
  <c r="AZ3202" i="1"/>
  <c r="AX3202" i="1"/>
  <c r="DC3203" i="1"/>
  <c r="DA3203" i="1"/>
  <c r="CY3203" i="1"/>
  <c r="Y3203" i="1" s="1"/>
  <c r="CW3203" i="1"/>
  <c r="AA3203" i="1" s="1"/>
  <c r="CR3203" i="1"/>
  <c r="CP3203" i="1"/>
  <c r="CN3203" i="1"/>
  <c r="CJ3203" i="1"/>
  <c r="CH3203" i="1"/>
  <c r="CF3203" i="1"/>
  <c r="BL3203" i="1"/>
  <c r="BD3203" i="1"/>
  <c r="AZ3203" i="1"/>
  <c r="AX3203" i="1"/>
  <c r="DC3196" i="1"/>
  <c r="DA3196" i="1"/>
  <c r="CY3196" i="1"/>
  <c r="Y3196" i="1" s="1"/>
  <c r="CW3196" i="1"/>
  <c r="AA3196" i="1" s="1"/>
  <c r="CR3196" i="1"/>
  <c r="CP3196" i="1"/>
  <c r="CN3196" i="1"/>
  <c r="CJ3196" i="1"/>
  <c r="CH3196" i="1"/>
  <c r="CF3196" i="1"/>
  <c r="BL3196" i="1"/>
  <c r="BD3196" i="1"/>
  <c r="AZ3196" i="1"/>
  <c r="AX3196" i="1"/>
  <c r="DC3199" i="1"/>
  <c r="DA3199" i="1"/>
  <c r="CY3199" i="1"/>
  <c r="Y3199" i="1" s="1"/>
  <c r="CW3199" i="1"/>
  <c r="AA3199" i="1" s="1"/>
  <c r="CR3199" i="1"/>
  <c r="CP3199" i="1"/>
  <c r="CN3199" i="1"/>
  <c r="CJ3199" i="1"/>
  <c r="CH3199" i="1"/>
  <c r="CF3199" i="1"/>
  <c r="BL3199" i="1"/>
  <c r="BD3199" i="1"/>
  <c r="AZ3199" i="1"/>
  <c r="AX3199" i="1"/>
  <c r="DC3197" i="1"/>
  <c r="DA3197" i="1"/>
  <c r="CY3197" i="1"/>
  <c r="Y3197" i="1" s="1"/>
  <c r="CW3197" i="1"/>
  <c r="AA3197" i="1" s="1"/>
  <c r="CR3197" i="1"/>
  <c r="CP3197" i="1"/>
  <c r="CN3197" i="1"/>
  <c r="CJ3197" i="1"/>
  <c r="CH3197" i="1"/>
  <c r="CF3197" i="1"/>
  <c r="BL3197" i="1"/>
  <c r="BD3197" i="1"/>
  <c r="AZ3197" i="1"/>
  <c r="AX3197" i="1"/>
  <c r="Z3199" i="1" l="1"/>
  <c r="CU3203" i="1"/>
  <c r="X3203" i="1" s="1"/>
  <c r="Z3207" i="1"/>
  <c r="CU3180" i="1"/>
  <c r="X3180" i="1" s="1"/>
  <c r="Z3204" i="1"/>
  <c r="CU3216" i="1"/>
  <c r="X3216" i="1" s="1"/>
  <c r="Z3215" i="1"/>
  <c r="CU3212" i="1"/>
  <c r="X3212" i="1" s="1"/>
  <c r="Z3230" i="1"/>
  <c r="CU3227" i="1"/>
  <c r="X3227" i="1" s="1"/>
  <c r="Z3226" i="1"/>
  <c r="CU3221" i="1"/>
  <c r="X3221" i="1" s="1"/>
  <c r="Z3208" i="1"/>
  <c r="CU3220" i="1"/>
  <c r="X3220" i="1" s="1"/>
  <c r="Z3229" i="1"/>
  <c r="CU3232" i="1"/>
  <c r="X3232" i="1" s="1"/>
  <c r="Z3249" i="1"/>
  <c r="CU3238" i="1"/>
  <c r="X3238" i="1" s="1"/>
  <c r="CU3242" i="1"/>
  <c r="X3242" i="1" s="1"/>
  <c r="CU3196" i="1"/>
  <c r="X3196" i="1" s="1"/>
  <c r="Z3196" i="1"/>
  <c r="Z3203" i="1"/>
  <c r="Z3180" i="1"/>
  <c r="Z3216" i="1"/>
  <c r="Z3212" i="1"/>
  <c r="Z3227" i="1"/>
  <c r="Z3221" i="1"/>
  <c r="Z3220" i="1"/>
  <c r="Z3232" i="1"/>
  <c r="Z3238" i="1"/>
  <c r="Z3242" i="1"/>
  <c r="CU3243" i="1"/>
  <c r="X3243" i="1" s="1"/>
  <c r="Z3197" i="1"/>
  <c r="CU3199" i="1"/>
  <c r="X3199" i="1" s="1"/>
  <c r="Z3181" i="1"/>
  <c r="Z3214" i="1"/>
  <c r="Z3218" i="1"/>
  <c r="Z3222" i="1"/>
  <c r="Z3219" i="1"/>
  <c r="Z3209" i="1"/>
  <c r="Z3228" i="1"/>
  <c r="Z2715" i="1"/>
  <c r="CU3197" i="1"/>
  <c r="X3197" i="1" s="1"/>
  <c r="Z3202" i="1"/>
  <c r="CU3181" i="1"/>
  <c r="X3181" i="1" s="1"/>
  <c r="Z3205" i="1"/>
  <c r="Z3213" i="1"/>
  <c r="CU3214" i="1"/>
  <c r="X3214" i="1" s="1"/>
  <c r="Z3198" i="1"/>
  <c r="CU3218" i="1"/>
  <c r="X3218" i="1" s="1"/>
  <c r="Z3223" i="1"/>
  <c r="CU3222" i="1"/>
  <c r="X3222" i="1" s="1"/>
  <c r="Z3225" i="1"/>
  <c r="CU3219" i="1"/>
  <c r="X3219" i="1" s="1"/>
  <c r="Z3210" i="1"/>
  <c r="CU3209" i="1"/>
  <c r="X3209" i="1" s="1"/>
  <c r="CU3228" i="1"/>
  <c r="X3228" i="1" s="1"/>
  <c r="CU2715" i="1"/>
  <c r="X2715" i="1" s="1"/>
  <c r="Z3243" i="1"/>
  <c r="CU3207" i="1"/>
  <c r="X3207" i="1" s="1"/>
  <c r="CU3204" i="1"/>
  <c r="X3204" i="1" s="1"/>
  <c r="CU3215" i="1"/>
  <c r="X3215" i="1" s="1"/>
  <c r="CU3230" i="1"/>
  <c r="X3230" i="1" s="1"/>
  <c r="CU3226" i="1"/>
  <c r="X3226" i="1" s="1"/>
  <c r="CU3208" i="1"/>
  <c r="X3208" i="1" s="1"/>
  <c r="CU3229" i="1"/>
  <c r="X3229" i="1" s="1"/>
  <c r="CU3249" i="1"/>
  <c r="X3249" i="1" s="1"/>
  <c r="CU3202" i="1"/>
  <c r="X3202" i="1" s="1"/>
  <c r="CU3205" i="1"/>
  <c r="X3205" i="1" s="1"/>
  <c r="CU3213" i="1"/>
  <c r="X3213" i="1" s="1"/>
  <c r="CU3198" i="1"/>
  <c r="X3198" i="1" s="1"/>
  <c r="CU3223" i="1"/>
  <c r="X3223" i="1" s="1"/>
  <c r="CU3225" i="1"/>
  <c r="X3225" i="1" s="1"/>
  <c r="CU3210" i="1"/>
  <c r="X3210" i="1" s="1"/>
  <c r="AZ2686" i="1"/>
  <c r="CJ2686" i="1"/>
  <c r="CN2686" i="1"/>
  <c r="CR2686" i="1"/>
  <c r="CP2686" i="1"/>
  <c r="CY2686" i="1"/>
  <c r="DC2812" i="1"/>
  <c r="AD3198" i="1" l="1"/>
  <c r="AD3203" i="1"/>
  <c r="AD3228" i="1"/>
  <c r="AD3222" i="1"/>
  <c r="AD3249" i="1"/>
  <c r="AD3226" i="1"/>
  <c r="AD3204" i="1"/>
  <c r="AD3181" i="1"/>
  <c r="AD3207" i="1"/>
  <c r="AD3229" i="1"/>
  <c r="AD3230" i="1"/>
  <c r="AD3238" i="1"/>
  <c r="AD3221" i="1"/>
  <c r="AD3216" i="1"/>
  <c r="AD3232" i="1"/>
  <c r="AD3227" i="1"/>
  <c r="AD3180" i="1"/>
  <c r="AD3196" i="1"/>
  <c r="AD3199" i="1"/>
  <c r="AD3220" i="1"/>
  <c r="AD3212" i="1"/>
  <c r="AD3209" i="1"/>
  <c r="AD3223" i="1"/>
  <c r="AD3202" i="1"/>
  <c r="AD3208" i="1"/>
  <c r="AD3215" i="1"/>
  <c r="AD2715" i="1"/>
  <c r="AD3242" i="1"/>
  <c r="AD3225" i="1"/>
  <c r="AD3205" i="1"/>
  <c r="AD3243" i="1"/>
  <c r="AD3219" i="1"/>
  <c r="AD3197" i="1"/>
  <c r="AD3214" i="1"/>
  <c r="AD3210" i="1"/>
  <c r="AD3213" i="1"/>
  <c r="AD3218" i="1"/>
  <c r="DC3185" i="1"/>
  <c r="DA3185" i="1"/>
  <c r="CY3185" i="1"/>
  <c r="Y3185" i="1" s="1"/>
  <c r="CW3185" i="1"/>
  <c r="AA3185" i="1" s="1"/>
  <c r="CR3185" i="1"/>
  <c r="CP3185" i="1"/>
  <c r="CN3185" i="1"/>
  <c r="CJ3185" i="1"/>
  <c r="CH3185" i="1"/>
  <c r="CF3185" i="1"/>
  <c r="BL3185" i="1"/>
  <c r="BD3185" i="1"/>
  <c r="AZ3185" i="1"/>
  <c r="AX3185" i="1"/>
  <c r="DC3200" i="1"/>
  <c r="DA3200" i="1"/>
  <c r="CY3200" i="1"/>
  <c r="Y3200" i="1" s="1"/>
  <c r="CW3200" i="1"/>
  <c r="AA3200" i="1" s="1"/>
  <c r="CR3200" i="1"/>
  <c r="CP3200" i="1"/>
  <c r="CN3200" i="1"/>
  <c r="CJ3200" i="1"/>
  <c r="CH3200" i="1"/>
  <c r="CF3200" i="1"/>
  <c r="BL3200" i="1"/>
  <c r="BD3200" i="1"/>
  <c r="AZ3200" i="1"/>
  <c r="AX3200" i="1"/>
  <c r="DC3206" i="1"/>
  <c r="DA3206" i="1"/>
  <c r="CY3206" i="1"/>
  <c r="Y3206" i="1" s="1"/>
  <c r="CW3206" i="1"/>
  <c r="AA3206" i="1" s="1"/>
  <c r="CR3206" i="1"/>
  <c r="CP3206" i="1"/>
  <c r="CN3206" i="1"/>
  <c r="CJ3206" i="1"/>
  <c r="CH3206" i="1"/>
  <c r="CF3206" i="1"/>
  <c r="BL3206" i="1"/>
  <c r="BD3206" i="1"/>
  <c r="AZ3206" i="1"/>
  <c r="AX3206" i="1"/>
  <c r="DC3144" i="1"/>
  <c r="DA3144" i="1"/>
  <c r="CY3144" i="1"/>
  <c r="Y3144" i="1" s="1"/>
  <c r="CW3144" i="1"/>
  <c r="AA3144" i="1" s="1"/>
  <c r="CR3144" i="1"/>
  <c r="CP3144" i="1"/>
  <c r="CN3144" i="1"/>
  <c r="CJ3144" i="1"/>
  <c r="CH3144" i="1"/>
  <c r="CF3144" i="1"/>
  <c r="BL3144" i="1"/>
  <c r="BD3144" i="1"/>
  <c r="AZ3144" i="1"/>
  <c r="AX3144" i="1"/>
  <c r="DC3178" i="1"/>
  <c r="DA3178" i="1"/>
  <c r="CY3178" i="1"/>
  <c r="Y3178" i="1" s="1"/>
  <c r="CW3178" i="1"/>
  <c r="AA3178" i="1" s="1"/>
  <c r="CR3178" i="1"/>
  <c r="CP3178" i="1"/>
  <c r="CN3178" i="1"/>
  <c r="CJ3178" i="1"/>
  <c r="CH3178" i="1"/>
  <c r="CF3178" i="1"/>
  <c r="BL3178" i="1"/>
  <c r="BD3178" i="1"/>
  <c r="AZ3178" i="1"/>
  <c r="AX3178" i="1"/>
  <c r="DC3195" i="1"/>
  <c r="DA3195" i="1"/>
  <c r="CY3195" i="1"/>
  <c r="Y3195" i="1" s="1"/>
  <c r="CW3195" i="1"/>
  <c r="AA3195" i="1" s="1"/>
  <c r="CR3195" i="1"/>
  <c r="CP3195" i="1"/>
  <c r="CN3195" i="1"/>
  <c r="CJ3195" i="1"/>
  <c r="CH3195" i="1"/>
  <c r="CF3195" i="1"/>
  <c r="BL3195" i="1"/>
  <c r="BD3195" i="1"/>
  <c r="AZ3195" i="1"/>
  <c r="AX3195" i="1"/>
  <c r="DC3143" i="1"/>
  <c r="DA3143" i="1"/>
  <c r="CY3143" i="1"/>
  <c r="Y3143" i="1" s="1"/>
  <c r="CW3143" i="1"/>
  <c r="AA3143" i="1" s="1"/>
  <c r="CR3143" i="1"/>
  <c r="CP3143" i="1"/>
  <c r="CN3143" i="1"/>
  <c r="CJ3143" i="1"/>
  <c r="CH3143" i="1"/>
  <c r="CF3143" i="1"/>
  <c r="BL3143" i="1"/>
  <c r="BD3143" i="1"/>
  <c r="AZ3143" i="1"/>
  <c r="AX3143" i="1"/>
  <c r="DC3193" i="1"/>
  <c r="DA3193" i="1"/>
  <c r="CY3193" i="1"/>
  <c r="Y3193" i="1" s="1"/>
  <c r="CW3193" i="1"/>
  <c r="AA3193" i="1" s="1"/>
  <c r="CR3193" i="1"/>
  <c r="CP3193" i="1"/>
  <c r="CN3193" i="1"/>
  <c r="CJ3193" i="1"/>
  <c r="CH3193" i="1"/>
  <c r="CF3193" i="1"/>
  <c r="BL3193" i="1"/>
  <c r="BD3193" i="1"/>
  <c r="AZ3193" i="1"/>
  <c r="AX3193" i="1"/>
  <c r="DC3107" i="1"/>
  <c r="DA3107" i="1"/>
  <c r="CY3107" i="1"/>
  <c r="Y3107" i="1" s="1"/>
  <c r="CW3107" i="1"/>
  <c r="AA3107" i="1" s="1"/>
  <c r="CR3107" i="1"/>
  <c r="CP3107" i="1"/>
  <c r="CN3107" i="1"/>
  <c r="CJ3107" i="1"/>
  <c r="CH3107" i="1"/>
  <c r="CF3107" i="1"/>
  <c r="BL3107" i="1"/>
  <c r="BD3107" i="1"/>
  <c r="AZ3107" i="1"/>
  <c r="AX3107" i="1"/>
  <c r="DC3192" i="1"/>
  <c r="DA3192" i="1"/>
  <c r="CY3192" i="1"/>
  <c r="Y3192" i="1" s="1"/>
  <c r="CW3192" i="1"/>
  <c r="AA3192" i="1" s="1"/>
  <c r="CR3192" i="1"/>
  <c r="CP3192" i="1"/>
  <c r="CN3192" i="1"/>
  <c r="CJ3192" i="1"/>
  <c r="CH3192" i="1"/>
  <c r="CF3192" i="1"/>
  <c r="BL3192" i="1"/>
  <c r="BD3192" i="1"/>
  <c r="AZ3192" i="1"/>
  <c r="AX3192" i="1"/>
  <c r="DC3191" i="1"/>
  <c r="DA3191" i="1"/>
  <c r="CY3191" i="1"/>
  <c r="Y3191" i="1" s="1"/>
  <c r="CW3191" i="1"/>
  <c r="AA3191" i="1" s="1"/>
  <c r="CR3191" i="1"/>
  <c r="CP3191" i="1"/>
  <c r="CN3191" i="1"/>
  <c r="CJ3191" i="1"/>
  <c r="CH3191" i="1"/>
  <c r="CF3191" i="1"/>
  <c r="BL3191" i="1"/>
  <c r="BD3191" i="1"/>
  <c r="AZ3191" i="1"/>
  <c r="AX3191" i="1"/>
  <c r="DC3189" i="1"/>
  <c r="DA3189" i="1"/>
  <c r="CY3189" i="1"/>
  <c r="Y3189" i="1" s="1"/>
  <c r="CW3189" i="1"/>
  <c r="AA3189" i="1" s="1"/>
  <c r="CR3189" i="1"/>
  <c r="CP3189" i="1"/>
  <c r="CN3189" i="1"/>
  <c r="CJ3189" i="1"/>
  <c r="CH3189" i="1"/>
  <c r="CF3189" i="1"/>
  <c r="BL3189" i="1"/>
  <c r="BD3189" i="1"/>
  <c r="AZ3189" i="1"/>
  <c r="AX3189" i="1"/>
  <c r="DC3182" i="1"/>
  <c r="DA3182" i="1"/>
  <c r="CY3182" i="1"/>
  <c r="Y3182" i="1" s="1"/>
  <c r="CW3182" i="1"/>
  <c r="AA3182" i="1" s="1"/>
  <c r="CR3182" i="1"/>
  <c r="CP3182" i="1"/>
  <c r="CN3182" i="1"/>
  <c r="CJ3182" i="1"/>
  <c r="CH3182" i="1"/>
  <c r="CF3182" i="1"/>
  <c r="BL3182" i="1"/>
  <c r="BD3182" i="1"/>
  <c r="AZ3182" i="1"/>
  <c r="AX3182" i="1"/>
  <c r="DC3184" i="1"/>
  <c r="DA3184" i="1"/>
  <c r="CY3184" i="1"/>
  <c r="Y3184" i="1" s="1"/>
  <c r="CW3184" i="1"/>
  <c r="AA3184" i="1" s="1"/>
  <c r="CR3184" i="1"/>
  <c r="CP3184" i="1"/>
  <c r="CN3184" i="1"/>
  <c r="CJ3184" i="1"/>
  <c r="CH3184" i="1"/>
  <c r="CF3184" i="1"/>
  <c r="BL3184" i="1"/>
  <c r="BD3184" i="1"/>
  <c r="AZ3184" i="1"/>
  <c r="AX3184" i="1"/>
  <c r="DC3183" i="1"/>
  <c r="DA3183" i="1"/>
  <c r="CY3183" i="1"/>
  <c r="Y3183" i="1" s="1"/>
  <c r="CW3183" i="1"/>
  <c r="AA3183" i="1" s="1"/>
  <c r="CR3183" i="1"/>
  <c r="CP3183" i="1"/>
  <c r="CN3183" i="1"/>
  <c r="CJ3183" i="1"/>
  <c r="CH3183" i="1"/>
  <c r="CF3183" i="1"/>
  <c r="BL3183" i="1"/>
  <c r="BD3183" i="1"/>
  <c r="AZ3183" i="1"/>
  <c r="AX3183" i="1"/>
  <c r="Z3185" i="1" l="1"/>
  <c r="Z3178" i="1"/>
  <c r="Z3144" i="1"/>
  <c r="CU3185" i="1"/>
  <c r="X3185" i="1" s="1"/>
  <c r="CU3143" i="1"/>
  <c r="X3143" i="1" s="1"/>
  <c r="Z3195" i="1"/>
  <c r="Z3206" i="1"/>
  <c r="CU3200" i="1"/>
  <c r="X3200" i="1" s="1"/>
  <c r="Z3200" i="1"/>
  <c r="Z3143" i="1"/>
  <c r="CU3206" i="1"/>
  <c r="X3206" i="1" s="1"/>
  <c r="AD3206" i="1" s="1"/>
  <c r="CU3178" i="1"/>
  <c r="X3178" i="1" s="1"/>
  <c r="CU3144" i="1"/>
  <c r="X3144" i="1" s="1"/>
  <c r="CU3195" i="1"/>
  <c r="X3195" i="1" s="1"/>
  <c r="Z3107" i="1"/>
  <c r="Z3182" i="1"/>
  <c r="Z3184" i="1"/>
  <c r="Z3192" i="1"/>
  <c r="Z3191" i="1"/>
  <c r="CU3182" i="1"/>
  <c r="X3182" i="1" s="1"/>
  <c r="AD3182" i="1" s="1"/>
  <c r="CU3192" i="1"/>
  <c r="X3192" i="1" s="1"/>
  <c r="Z3183" i="1"/>
  <c r="Z3189" i="1"/>
  <c r="Z3193" i="1"/>
  <c r="CU3184" i="1"/>
  <c r="X3184" i="1" s="1"/>
  <c r="CU3191" i="1"/>
  <c r="X3191" i="1" s="1"/>
  <c r="CU3107" i="1"/>
  <c r="X3107" i="1" s="1"/>
  <c r="CU3193" i="1"/>
  <c r="X3193" i="1" s="1"/>
  <c r="CU3183" i="1"/>
  <c r="X3183" i="1" s="1"/>
  <c r="CU3189" i="1"/>
  <c r="X3189" i="1" s="1"/>
  <c r="DC3086" i="1"/>
  <c r="DA3086" i="1"/>
  <c r="CY3086" i="1"/>
  <c r="Y3086" i="1" s="1"/>
  <c r="CW3086" i="1"/>
  <c r="AA3086" i="1" s="1"/>
  <c r="CR3086" i="1"/>
  <c r="CP3086" i="1"/>
  <c r="CN3086" i="1"/>
  <c r="CJ3086" i="1"/>
  <c r="CH3086" i="1"/>
  <c r="CF3086" i="1"/>
  <c r="BL3086" i="1"/>
  <c r="BD3086" i="1"/>
  <c r="AZ3086" i="1"/>
  <c r="AX3086" i="1"/>
  <c r="DC3097" i="1"/>
  <c r="DA3097" i="1"/>
  <c r="CY3097" i="1"/>
  <c r="Y3097" i="1" s="1"/>
  <c r="CW3097" i="1"/>
  <c r="AA3097" i="1" s="1"/>
  <c r="CR3097" i="1"/>
  <c r="CP3097" i="1"/>
  <c r="CN3097" i="1"/>
  <c r="CJ3097" i="1"/>
  <c r="CH3097" i="1"/>
  <c r="CF3097" i="1"/>
  <c r="BL3097" i="1"/>
  <c r="BD3097" i="1"/>
  <c r="AZ3097" i="1"/>
  <c r="AX3097" i="1"/>
  <c r="DC3125" i="1"/>
  <c r="DA3125" i="1"/>
  <c r="CY3125" i="1"/>
  <c r="Y3125" i="1" s="1"/>
  <c r="CW3125" i="1"/>
  <c r="AA3125" i="1" s="1"/>
  <c r="CR3125" i="1"/>
  <c r="CP3125" i="1"/>
  <c r="CN3125" i="1"/>
  <c r="CJ3125" i="1"/>
  <c r="CH3125" i="1"/>
  <c r="CF3125" i="1"/>
  <c r="BL3125" i="1"/>
  <c r="BD3125" i="1"/>
  <c r="AZ3125" i="1"/>
  <c r="AX3125" i="1"/>
  <c r="DC3124" i="1"/>
  <c r="DA3124" i="1"/>
  <c r="CY3124" i="1"/>
  <c r="Y3124" i="1" s="1"/>
  <c r="CW3124" i="1"/>
  <c r="AA3124" i="1" s="1"/>
  <c r="CR3124" i="1"/>
  <c r="CP3124" i="1"/>
  <c r="CN3124" i="1"/>
  <c r="CJ3124" i="1"/>
  <c r="CH3124" i="1"/>
  <c r="CF3124" i="1"/>
  <c r="BL3124" i="1"/>
  <c r="BD3124" i="1"/>
  <c r="AZ3124" i="1"/>
  <c r="AX3124" i="1"/>
  <c r="DC3123" i="1"/>
  <c r="DA3123" i="1"/>
  <c r="CY3123" i="1"/>
  <c r="Y3123" i="1" s="1"/>
  <c r="CW3123" i="1"/>
  <c r="AA3123" i="1" s="1"/>
  <c r="CR3123" i="1"/>
  <c r="CP3123" i="1"/>
  <c r="CN3123" i="1"/>
  <c r="CJ3123" i="1"/>
  <c r="CH3123" i="1"/>
  <c r="CF3123" i="1"/>
  <c r="BL3123" i="1"/>
  <c r="BD3123" i="1"/>
  <c r="AZ3123" i="1"/>
  <c r="AX3123" i="1"/>
  <c r="DC3155" i="1"/>
  <c r="DA3155" i="1"/>
  <c r="CY3155" i="1"/>
  <c r="Y3155" i="1" s="1"/>
  <c r="CW3155" i="1"/>
  <c r="AA3155" i="1" s="1"/>
  <c r="CR3155" i="1"/>
  <c r="CP3155" i="1"/>
  <c r="CN3155" i="1"/>
  <c r="CJ3155" i="1"/>
  <c r="CH3155" i="1"/>
  <c r="CF3155" i="1"/>
  <c r="BL3155" i="1"/>
  <c r="BD3155" i="1"/>
  <c r="AZ3155" i="1"/>
  <c r="AX3155" i="1"/>
  <c r="DC3154" i="1"/>
  <c r="DA3154" i="1"/>
  <c r="CY3154" i="1"/>
  <c r="Y3154" i="1" s="1"/>
  <c r="CW3154" i="1"/>
  <c r="AA3154" i="1" s="1"/>
  <c r="CR3154" i="1"/>
  <c r="CP3154" i="1"/>
  <c r="CN3154" i="1"/>
  <c r="CJ3154" i="1"/>
  <c r="CH3154" i="1"/>
  <c r="CF3154" i="1"/>
  <c r="BL3154" i="1"/>
  <c r="BD3154" i="1"/>
  <c r="AZ3154" i="1"/>
  <c r="AX3154" i="1"/>
  <c r="DC3175" i="1"/>
  <c r="DA3175" i="1"/>
  <c r="CY3175" i="1"/>
  <c r="Y3175" i="1" s="1"/>
  <c r="CW3175" i="1"/>
  <c r="AA3175" i="1" s="1"/>
  <c r="CR3175" i="1"/>
  <c r="CP3175" i="1"/>
  <c r="CN3175" i="1"/>
  <c r="CJ3175" i="1"/>
  <c r="CH3175" i="1"/>
  <c r="CF3175" i="1"/>
  <c r="BL3175" i="1"/>
  <c r="BD3175" i="1"/>
  <c r="AZ3175" i="1"/>
  <c r="AX3175" i="1"/>
  <c r="AD3185" i="1" l="1"/>
  <c r="AD3178" i="1"/>
  <c r="AD3144" i="1"/>
  <c r="AD3143" i="1"/>
  <c r="AD3195" i="1"/>
  <c r="AD3200" i="1"/>
  <c r="AD3192" i="1"/>
  <c r="AD3191" i="1"/>
  <c r="AD3184" i="1"/>
  <c r="AD3107" i="1"/>
  <c r="AD3193" i="1"/>
  <c r="AD3189" i="1"/>
  <c r="AD3183" i="1"/>
  <c r="Z3154" i="1"/>
  <c r="Z3086" i="1"/>
  <c r="Z3125" i="1"/>
  <c r="Z3175" i="1"/>
  <c r="Z3155" i="1"/>
  <c r="CU3086" i="1"/>
  <c r="X3086" i="1" s="1"/>
  <c r="AD3086" i="1" s="1"/>
  <c r="CU3155" i="1"/>
  <c r="X3155" i="1" s="1"/>
  <c r="Z3124" i="1"/>
  <c r="Z3123" i="1"/>
  <c r="Z3097" i="1"/>
  <c r="CU3175" i="1"/>
  <c r="X3175" i="1" s="1"/>
  <c r="CU3124" i="1"/>
  <c r="X3124" i="1" s="1"/>
  <c r="CU3154" i="1"/>
  <c r="X3154" i="1" s="1"/>
  <c r="CU3125" i="1"/>
  <c r="X3125" i="1" s="1"/>
  <c r="CU3097" i="1"/>
  <c r="X3097" i="1" s="1"/>
  <c r="CU3123" i="1"/>
  <c r="X3123" i="1" s="1"/>
  <c r="DA3028" i="1"/>
  <c r="Y3028" i="1"/>
  <c r="CW3028" i="1"/>
  <c r="AA3028" i="1" s="1"/>
  <c r="CR3028" i="1"/>
  <c r="CP3028" i="1"/>
  <c r="CN3028" i="1"/>
  <c r="CJ3028" i="1"/>
  <c r="CH3028" i="1"/>
  <c r="CF3028" i="1"/>
  <c r="BL3028" i="1"/>
  <c r="BD3028" i="1"/>
  <c r="AZ3028" i="1"/>
  <c r="AX3028" i="1"/>
  <c r="DC3190" i="1"/>
  <c r="DA3190" i="1"/>
  <c r="CY3190" i="1"/>
  <c r="Y3190" i="1" s="1"/>
  <c r="CW3190" i="1"/>
  <c r="AA3190" i="1" s="1"/>
  <c r="CR3190" i="1"/>
  <c r="CP3190" i="1"/>
  <c r="CN3190" i="1"/>
  <c r="CJ3190" i="1"/>
  <c r="CH3190" i="1"/>
  <c r="CF3190" i="1"/>
  <c r="BL3190" i="1"/>
  <c r="BD3190" i="1"/>
  <c r="AZ3190" i="1"/>
  <c r="AX3190" i="1"/>
  <c r="DC3188" i="1"/>
  <c r="DA3188" i="1"/>
  <c r="CY3188" i="1"/>
  <c r="Y3188" i="1" s="1"/>
  <c r="CW3188" i="1"/>
  <c r="AA3188" i="1" s="1"/>
  <c r="CR3188" i="1"/>
  <c r="CP3188" i="1"/>
  <c r="CN3188" i="1"/>
  <c r="CJ3188" i="1"/>
  <c r="CH3188" i="1"/>
  <c r="CF3188" i="1"/>
  <c r="BL3188" i="1"/>
  <c r="BD3188" i="1"/>
  <c r="AZ3188" i="1"/>
  <c r="AX3188" i="1"/>
  <c r="DC3172" i="1"/>
  <c r="DA3172" i="1"/>
  <c r="CY3172" i="1"/>
  <c r="Y3172" i="1" s="1"/>
  <c r="CW3172" i="1"/>
  <c r="AA3172" i="1" s="1"/>
  <c r="CR3172" i="1"/>
  <c r="CP3172" i="1"/>
  <c r="CN3172" i="1"/>
  <c r="CJ3172" i="1"/>
  <c r="CH3172" i="1"/>
  <c r="CF3172" i="1"/>
  <c r="BL3172" i="1"/>
  <c r="BD3172" i="1"/>
  <c r="AZ3172" i="1"/>
  <c r="AX3172" i="1"/>
  <c r="DC3177" i="1"/>
  <c r="DA3177" i="1"/>
  <c r="CY3177" i="1"/>
  <c r="Y3177" i="1" s="1"/>
  <c r="CW3177" i="1"/>
  <c r="AA3177" i="1" s="1"/>
  <c r="CR3177" i="1"/>
  <c r="CP3177" i="1"/>
  <c r="CN3177" i="1"/>
  <c r="CJ3177" i="1"/>
  <c r="CH3177" i="1"/>
  <c r="CF3177" i="1"/>
  <c r="BL3177" i="1"/>
  <c r="BD3177" i="1"/>
  <c r="AZ3177" i="1"/>
  <c r="AX3177" i="1"/>
  <c r="DC3149" i="1"/>
  <c r="DA3149" i="1"/>
  <c r="CY3149" i="1"/>
  <c r="Y3149" i="1" s="1"/>
  <c r="CW3149" i="1"/>
  <c r="AA3149" i="1" s="1"/>
  <c r="CR3149" i="1"/>
  <c r="CP3149" i="1"/>
  <c r="CN3149" i="1"/>
  <c r="CJ3149" i="1"/>
  <c r="CH3149" i="1"/>
  <c r="CF3149" i="1"/>
  <c r="BL3149" i="1"/>
  <c r="BD3149" i="1"/>
  <c r="AZ3149" i="1"/>
  <c r="AX3149" i="1"/>
  <c r="DC3152" i="1"/>
  <c r="DA3152" i="1"/>
  <c r="CY3152" i="1"/>
  <c r="Y3152" i="1" s="1"/>
  <c r="CW3152" i="1"/>
  <c r="AA3152" i="1" s="1"/>
  <c r="CR3152" i="1"/>
  <c r="CP3152" i="1"/>
  <c r="CN3152" i="1"/>
  <c r="CJ3152" i="1"/>
  <c r="CH3152" i="1"/>
  <c r="CF3152" i="1"/>
  <c r="BL3152" i="1"/>
  <c r="BD3152" i="1"/>
  <c r="AZ3152" i="1"/>
  <c r="AX3152" i="1"/>
  <c r="DC3151" i="1"/>
  <c r="DA3151" i="1"/>
  <c r="CY3151" i="1"/>
  <c r="Y3151" i="1" s="1"/>
  <c r="CW3151" i="1"/>
  <c r="AA3151" i="1" s="1"/>
  <c r="CR3151" i="1"/>
  <c r="CP3151" i="1"/>
  <c r="CN3151" i="1"/>
  <c r="CJ3151" i="1"/>
  <c r="CH3151" i="1"/>
  <c r="CF3151" i="1"/>
  <c r="BL3151" i="1"/>
  <c r="BD3151" i="1"/>
  <c r="AZ3151" i="1"/>
  <c r="AX3151" i="1"/>
  <c r="DC3122" i="1"/>
  <c r="DA3122" i="1"/>
  <c r="CY3122" i="1"/>
  <c r="Y3122" i="1" s="1"/>
  <c r="CW3122" i="1"/>
  <c r="AA3122" i="1" s="1"/>
  <c r="CR3122" i="1"/>
  <c r="CP3122" i="1"/>
  <c r="CN3122" i="1"/>
  <c r="CJ3122" i="1"/>
  <c r="CH3122" i="1"/>
  <c r="CF3122" i="1"/>
  <c r="BL3122" i="1"/>
  <c r="BD3122" i="1"/>
  <c r="AZ3122" i="1"/>
  <c r="AX3122" i="1"/>
  <c r="AD3175" i="1" l="1"/>
  <c r="AD3154" i="1"/>
  <c r="AD3125" i="1"/>
  <c r="AD3155" i="1"/>
  <c r="AD3123" i="1"/>
  <c r="AD3097" i="1"/>
  <c r="AD3124" i="1"/>
  <c r="Z3149" i="1"/>
  <c r="Z3028" i="1"/>
  <c r="Z3177" i="1"/>
  <c r="Z3172" i="1"/>
  <c r="Z3151" i="1"/>
  <c r="Z3152" i="1"/>
  <c r="Z3188" i="1"/>
  <c r="Z3122" i="1"/>
  <c r="CU3152" i="1"/>
  <c r="X3152" i="1" s="1"/>
  <c r="CU3172" i="1"/>
  <c r="X3172" i="1" s="1"/>
  <c r="Z3190" i="1"/>
  <c r="CU3151" i="1"/>
  <c r="X3151" i="1" s="1"/>
  <c r="CU3177" i="1"/>
  <c r="X3177" i="1" s="1"/>
  <c r="CU3188" i="1"/>
  <c r="X3188" i="1" s="1"/>
  <c r="CU3190" i="1"/>
  <c r="X3190" i="1" s="1"/>
  <c r="CU3028" i="1"/>
  <c r="X3028" i="1" s="1"/>
  <c r="CU3122" i="1"/>
  <c r="X3122" i="1" s="1"/>
  <c r="CU3149" i="1"/>
  <c r="X3149" i="1" s="1"/>
  <c r="DA2755" i="1"/>
  <c r="Y2755" i="1"/>
  <c r="CW2755" i="1"/>
  <c r="AA2755" i="1" s="1"/>
  <c r="CN2755" i="1"/>
  <c r="CJ2755" i="1"/>
  <c r="CH2755" i="1"/>
  <c r="CF2755" i="1"/>
  <c r="BL2755" i="1"/>
  <c r="BD2755" i="1"/>
  <c r="AX2755" i="1"/>
  <c r="DC3253" i="1"/>
  <c r="DA3253" i="1"/>
  <c r="CY3253" i="1"/>
  <c r="Y3253" i="1" s="1"/>
  <c r="CW3253" i="1"/>
  <c r="AA3253" i="1" s="1"/>
  <c r="CR3253" i="1"/>
  <c r="CP3253" i="1"/>
  <c r="CN3253" i="1"/>
  <c r="CJ3253" i="1"/>
  <c r="CH3253" i="1"/>
  <c r="CF3253" i="1"/>
  <c r="BL3253" i="1"/>
  <c r="BD3253" i="1"/>
  <c r="AZ3253" i="1"/>
  <c r="AX3253" i="1"/>
  <c r="DC3246" i="1"/>
  <c r="DA3246" i="1"/>
  <c r="CY3246" i="1"/>
  <c r="Y3246" i="1" s="1"/>
  <c r="CW3246" i="1"/>
  <c r="AA3246" i="1" s="1"/>
  <c r="CR3246" i="1"/>
  <c r="CP3246" i="1"/>
  <c r="CN3246" i="1"/>
  <c r="CJ3246" i="1"/>
  <c r="CH3246" i="1"/>
  <c r="CF3246" i="1"/>
  <c r="BL3246" i="1"/>
  <c r="BD3246" i="1"/>
  <c r="AZ3246" i="1"/>
  <c r="AX3246" i="1"/>
  <c r="DC3251" i="1"/>
  <c r="DA3251" i="1"/>
  <c r="CY3251" i="1"/>
  <c r="Y3251" i="1" s="1"/>
  <c r="CW3251" i="1"/>
  <c r="AA3251" i="1" s="1"/>
  <c r="CR3251" i="1"/>
  <c r="CP3251" i="1"/>
  <c r="CN3251" i="1"/>
  <c r="CJ3251" i="1"/>
  <c r="CH3251" i="1"/>
  <c r="CF3251" i="1"/>
  <c r="BL3251" i="1"/>
  <c r="BD3251" i="1"/>
  <c r="AZ3251" i="1"/>
  <c r="AX3251" i="1"/>
  <c r="DC3105" i="1"/>
  <c r="DA3105" i="1"/>
  <c r="CY3105" i="1"/>
  <c r="Y3105" i="1" s="1"/>
  <c r="CW3105" i="1"/>
  <c r="AA3105" i="1" s="1"/>
  <c r="CR3105" i="1"/>
  <c r="CP3105" i="1"/>
  <c r="CN3105" i="1"/>
  <c r="CJ3105" i="1"/>
  <c r="CH3105" i="1"/>
  <c r="CF3105" i="1"/>
  <c r="BL3105" i="1"/>
  <c r="BD3105" i="1"/>
  <c r="AZ3105" i="1"/>
  <c r="AX3105" i="1"/>
  <c r="DC3179" i="1"/>
  <c r="DA3179" i="1"/>
  <c r="CY3179" i="1"/>
  <c r="Y3179" i="1" s="1"/>
  <c r="CW3179" i="1"/>
  <c r="AA3179" i="1" s="1"/>
  <c r="CR3179" i="1"/>
  <c r="CP3179" i="1"/>
  <c r="CN3179" i="1"/>
  <c r="CJ3179" i="1"/>
  <c r="CH3179" i="1"/>
  <c r="CF3179" i="1"/>
  <c r="BL3179" i="1"/>
  <c r="BD3179" i="1"/>
  <c r="AZ3179" i="1"/>
  <c r="AX3179" i="1"/>
  <c r="DC3187" i="1"/>
  <c r="DA3187" i="1"/>
  <c r="CY3187" i="1"/>
  <c r="Y3187" i="1" s="1"/>
  <c r="CW3187" i="1"/>
  <c r="AA3187" i="1" s="1"/>
  <c r="CR3187" i="1"/>
  <c r="CP3187" i="1"/>
  <c r="CN3187" i="1"/>
  <c r="CJ3187" i="1"/>
  <c r="CH3187" i="1"/>
  <c r="CF3187" i="1"/>
  <c r="BL3187" i="1"/>
  <c r="BD3187" i="1"/>
  <c r="AZ3187" i="1"/>
  <c r="AX3187" i="1"/>
  <c r="DC3186" i="1"/>
  <c r="DA3186" i="1"/>
  <c r="CY3186" i="1"/>
  <c r="Y3186" i="1" s="1"/>
  <c r="CW3186" i="1"/>
  <c r="AA3186" i="1" s="1"/>
  <c r="CR3186" i="1"/>
  <c r="CP3186" i="1"/>
  <c r="CN3186" i="1"/>
  <c r="CJ3186" i="1"/>
  <c r="CH3186" i="1"/>
  <c r="CF3186" i="1"/>
  <c r="BL3186" i="1"/>
  <c r="BD3186" i="1"/>
  <c r="AZ3186" i="1"/>
  <c r="AX3186" i="1"/>
  <c r="DC3126" i="1"/>
  <c r="DA3126" i="1"/>
  <c r="CY3126" i="1"/>
  <c r="Y3126" i="1" s="1"/>
  <c r="CW3126" i="1"/>
  <c r="AA3126" i="1" s="1"/>
  <c r="CR3126" i="1"/>
  <c r="CP3126" i="1"/>
  <c r="CN3126" i="1"/>
  <c r="CJ3126" i="1"/>
  <c r="CH3126" i="1"/>
  <c r="CF3126" i="1"/>
  <c r="BL3126" i="1"/>
  <c r="BD3126" i="1"/>
  <c r="AZ3126" i="1"/>
  <c r="AX3126" i="1"/>
  <c r="DC3176" i="1"/>
  <c r="DA3176" i="1"/>
  <c r="CY3176" i="1"/>
  <c r="Y3176" i="1" s="1"/>
  <c r="CW3176" i="1"/>
  <c r="AA3176" i="1" s="1"/>
  <c r="CR3176" i="1"/>
  <c r="CP3176" i="1"/>
  <c r="CN3176" i="1"/>
  <c r="CJ3176" i="1"/>
  <c r="CH3176" i="1"/>
  <c r="CF3176" i="1"/>
  <c r="BL3176" i="1"/>
  <c r="BD3176" i="1"/>
  <c r="AZ3176" i="1"/>
  <c r="AX3176" i="1"/>
  <c r="AD3190" i="1" l="1"/>
  <c r="AD3152" i="1"/>
  <c r="AD3151" i="1"/>
  <c r="AD3122" i="1"/>
  <c r="AD3028" i="1"/>
  <c r="Z2755" i="1"/>
  <c r="AD3149" i="1"/>
  <c r="Z3176" i="1"/>
  <c r="Z3186" i="1"/>
  <c r="Z3179" i="1"/>
  <c r="AD3188" i="1"/>
  <c r="AD3172" i="1"/>
  <c r="AD3177" i="1"/>
  <c r="Z3246" i="1"/>
  <c r="Z3126" i="1"/>
  <c r="Z3187" i="1"/>
  <c r="Z3105" i="1"/>
  <c r="Z3253" i="1"/>
  <c r="Z3251" i="1"/>
  <c r="CU3176" i="1"/>
  <c r="X3176" i="1" s="1"/>
  <c r="CU3126" i="1"/>
  <c r="X3126" i="1" s="1"/>
  <c r="CU3187" i="1"/>
  <c r="X3187" i="1" s="1"/>
  <c r="CU3179" i="1"/>
  <c r="X3179" i="1" s="1"/>
  <c r="CU3251" i="1"/>
  <c r="X3251" i="1" s="1"/>
  <c r="CU3246" i="1"/>
  <c r="X3246" i="1" s="1"/>
  <c r="CU3253" i="1"/>
  <c r="X3253" i="1" s="1"/>
  <c r="CU2755" i="1"/>
  <c r="X2755" i="1" s="1"/>
  <c r="CU3186" i="1"/>
  <c r="X3186" i="1" s="1"/>
  <c r="CU3105" i="1"/>
  <c r="X3105" i="1" s="1"/>
  <c r="DC2059" i="1"/>
  <c r="BZ2059" i="1"/>
  <c r="DC3281" i="1"/>
  <c r="DA3281" i="1"/>
  <c r="CY3281" i="1"/>
  <c r="Y3281" i="1" s="1"/>
  <c r="CW3281" i="1"/>
  <c r="AA3281" i="1" s="1"/>
  <c r="CR3281" i="1"/>
  <c r="CP3281" i="1"/>
  <c r="CN3281" i="1"/>
  <c r="CJ3281" i="1"/>
  <c r="CH3281" i="1"/>
  <c r="CF3281" i="1"/>
  <c r="BL3281" i="1"/>
  <c r="BD3281" i="1"/>
  <c r="AZ3281" i="1"/>
  <c r="AX3281" i="1"/>
  <c r="DC3173" i="1"/>
  <c r="DA3173" i="1"/>
  <c r="CY3173" i="1"/>
  <c r="Y3173" i="1" s="1"/>
  <c r="CW3173" i="1"/>
  <c r="AA3173" i="1" s="1"/>
  <c r="CR3173" i="1"/>
  <c r="CP3173" i="1"/>
  <c r="CN3173" i="1"/>
  <c r="CJ3173" i="1"/>
  <c r="CH3173" i="1"/>
  <c r="CF3173" i="1"/>
  <c r="BL3173" i="1"/>
  <c r="BD3173" i="1"/>
  <c r="AZ3173" i="1"/>
  <c r="AX3173" i="1"/>
  <c r="DC3174" i="1"/>
  <c r="DA3174" i="1"/>
  <c r="CY3174" i="1"/>
  <c r="Y3174" i="1" s="1"/>
  <c r="CW3174" i="1"/>
  <c r="AA3174" i="1" s="1"/>
  <c r="CR3174" i="1"/>
  <c r="CP3174" i="1"/>
  <c r="CN3174" i="1"/>
  <c r="CJ3174" i="1"/>
  <c r="CH3174" i="1"/>
  <c r="CF3174" i="1"/>
  <c r="BL3174" i="1"/>
  <c r="BD3174" i="1"/>
  <c r="AZ3174" i="1"/>
  <c r="AX3174" i="1"/>
  <c r="DC3102" i="1"/>
  <c r="DA3102" i="1"/>
  <c r="CY3102" i="1"/>
  <c r="Y3102" i="1" s="1"/>
  <c r="CW3102" i="1"/>
  <c r="AA3102" i="1" s="1"/>
  <c r="CR3102" i="1"/>
  <c r="CP3102" i="1"/>
  <c r="CN3102" i="1"/>
  <c r="CJ3102" i="1"/>
  <c r="CH3102" i="1"/>
  <c r="CF3102" i="1"/>
  <c r="BL3102" i="1"/>
  <c r="BD3102" i="1"/>
  <c r="AZ3102" i="1"/>
  <c r="AX3102" i="1"/>
  <c r="DC3050" i="1"/>
  <c r="DA3050" i="1"/>
  <c r="CY3050" i="1"/>
  <c r="Y3050" i="1" s="1"/>
  <c r="CW3050" i="1"/>
  <c r="AA3050" i="1" s="1"/>
  <c r="CR3050" i="1"/>
  <c r="CP3050" i="1"/>
  <c r="CN3050" i="1"/>
  <c r="CJ3050" i="1"/>
  <c r="CH3050" i="1"/>
  <c r="CF3050" i="1"/>
  <c r="BL3050" i="1"/>
  <c r="BD3050" i="1"/>
  <c r="AZ3050" i="1"/>
  <c r="AX3050" i="1"/>
  <c r="AD3246" i="1" l="1"/>
  <c r="AD2755" i="1"/>
  <c r="AD3253" i="1"/>
  <c r="AD3186" i="1"/>
  <c r="AD3176" i="1"/>
  <c r="AD3179" i="1"/>
  <c r="AD3251" i="1"/>
  <c r="AD3187" i="1"/>
  <c r="AD3105" i="1"/>
  <c r="AD3126" i="1"/>
  <c r="Z3102" i="1"/>
  <c r="Z3174" i="1"/>
  <c r="Z3281" i="1"/>
  <c r="Z3050" i="1"/>
  <c r="Z3173" i="1"/>
  <c r="CU3050" i="1"/>
  <c r="X3050" i="1" s="1"/>
  <c r="CU3173" i="1"/>
  <c r="X3173" i="1" s="1"/>
  <c r="CU3102" i="1"/>
  <c r="X3102" i="1" s="1"/>
  <c r="CU3281" i="1"/>
  <c r="X3281" i="1" s="1"/>
  <c r="CU3174" i="1"/>
  <c r="X3174" i="1" s="1"/>
  <c r="DC3156" i="1"/>
  <c r="DA3156" i="1"/>
  <c r="CY3156" i="1"/>
  <c r="Y3156" i="1" s="1"/>
  <c r="CW3156" i="1"/>
  <c r="AA3156" i="1" s="1"/>
  <c r="CR3156" i="1"/>
  <c r="CP3156" i="1"/>
  <c r="CN3156" i="1"/>
  <c r="CJ3156" i="1"/>
  <c r="CH3156" i="1"/>
  <c r="CF3156" i="1"/>
  <c r="BL3156" i="1"/>
  <c r="BD3156" i="1"/>
  <c r="AZ3156" i="1"/>
  <c r="AX3156" i="1"/>
  <c r="DC3153" i="1"/>
  <c r="DA3153" i="1"/>
  <c r="CY3153" i="1"/>
  <c r="Y3153" i="1" s="1"/>
  <c r="CW3153" i="1"/>
  <c r="AA3153" i="1" s="1"/>
  <c r="CR3153" i="1"/>
  <c r="CP3153" i="1"/>
  <c r="CN3153" i="1"/>
  <c r="CJ3153" i="1"/>
  <c r="CH3153" i="1"/>
  <c r="CF3153" i="1"/>
  <c r="BL3153" i="1"/>
  <c r="BD3153" i="1"/>
  <c r="AZ3153" i="1"/>
  <c r="AX3153" i="1"/>
  <c r="DC3128" i="1"/>
  <c r="DA3128" i="1"/>
  <c r="CY3128" i="1"/>
  <c r="Y3128" i="1" s="1"/>
  <c r="CW3128" i="1"/>
  <c r="AA3128" i="1" s="1"/>
  <c r="CR3128" i="1"/>
  <c r="CP3128" i="1"/>
  <c r="CN3128" i="1"/>
  <c r="CJ3128" i="1"/>
  <c r="CH3128" i="1"/>
  <c r="CF3128" i="1"/>
  <c r="BL3128" i="1"/>
  <c r="BD3128" i="1"/>
  <c r="AZ3128" i="1"/>
  <c r="AX3128" i="1"/>
  <c r="DC3115" i="1"/>
  <c r="DA3115" i="1"/>
  <c r="CY3115" i="1"/>
  <c r="Y3115" i="1" s="1"/>
  <c r="CW3115" i="1"/>
  <c r="AA3115" i="1" s="1"/>
  <c r="CR3115" i="1"/>
  <c r="CP3115" i="1"/>
  <c r="CN3115" i="1"/>
  <c r="CJ3115" i="1"/>
  <c r="CH3115" i="1"/>
  <c r="CF3115" i="1"/>
  <c r="BL3115" i="1"/>
  <c r="BD3115" i="1"/>
  <c r="AZ3115" i="1"/>
  <c r="AX3115" i="1"/>
  <c r="DC3141" i="1"/>
  <c r="DA3141" i="1"/>
  <c r="CY3141" i="1"/>
  <c r="Y3141" i="1" s="1"/>
  <c r="CW3141" i="1"/>
  <c r="AA3141" i="1" s="1"/>
  <c r="CR3141" i="1"/>
  <c r="CP3141" i="1"/>
  <c r="CN3141" i="1"/>
  <c r="CJ3141" i="1"/>
  <c r="CH3141" i="1"/>
  <c r="CF3141" i="1"/>
  <c r="BL3141" i="1"/>
  <c r="BD3141" i="1"/>
  <c r="AZ3141" i="1"/>
  <c r="AX3141" i="1"/>
  <c r="DC3117" i="1"/>
  <c r="DA3117" i="1"/>
  <c r="CY3117" i="1"/>
  <c r="Y3117" i="1" s="1"/>
  <c r="CW3117" i="1"/>
  <c r="AA3117" i="1" s="1"/>
  <c r="CR3117" i="1"/>
  <c r="CP3117" i="1"/>
  <c r="CN3117" i="1"/>
  <c r="CJ3117" i="1"/>
  <c r="CH3117" i="1"/>
  <c r="CF3117" i="1"/>
  <c r="BL3117" i="1"/>
  <c r="BD3117" i="1"/>
  <c r="AZ3117" i="1"/>
  <c r="AX3117" i="1"/>
  <c r="DC3146" i="1"/>
  <c r="DA3146" i="1"/>
  <c r="CY3146" i="1"/>
  <c r="Y3146" i="1" s="1"/>
  <c r="CW3146" i="1"/>
  <c r="AA3146" i="1" s="1"/>
  <c r="CR3146" i="1"/>
  <c r="CP3146" i="1"/>
  <c r="CN3146" i="1"/>
  <c r="CJ3146" i="1"/>
  <c r="CH3146" i="1"/>
  <c r="CF3146" i="1"/>
  <c r="BL3146" i="1"/>
  <c r="BD3146" i="1"/>
  <c r="AZ3146" i="1"/>
  <c r="AX3146" i="1"/>
  <c r="DC3140" i="1"/>
  <c r="DA3140" i="1"/>
  <c r="CY3140" i="1"/>
  <c r="Y3140" i="1" s="1"/>
  <c r="CW3140" i="1"/>
  <c r="AA3140" i="1" s="1"/>
  <c r="CR3140" i="1"/>
  <c r="CP3140" i="1"/>
  <c r="CN3140" i="1"/>
  <c r="CJ3140" i="1"/>
  <c r="CH3140" i="1"/>
  <c r="CF3140" i="1"/>
  <c r="BL3140" i="1"/>
  <c r="BD3140" i="1"/>
  <c r="AZ3140" i="1"/>
  <c r="AX3140" i="1"/>
  <c r="DC3158" i="1"/>
  <c r="DA3158" i="1"/>
  <c r="CY3158" i="1"/>
  <c r="Y3158" i="1" s="1"/>
  <c r="CW3158" i="1"/>
  <c r="AA3158" i="1" s="1"/>
  <c r="CR3158" i="1"/>
  <c r="CP3158" i="1"/>
  <c r="CN3158" i="1"/>
  <c r="CJ3158" i="1"/>
  <c r="CH3158" i="1"/>
  <c r="CF3158" i="1"/>
  <c r="BL3158" i="1"/>
  <c r="BD3158" i="1"/>
  <c r="AZ3158" i="1"/>
  <c r="AX3158" i="1"/>
  <c r="DC3157" i="1"/>
  <c r="DA3157" i="1"/>
  <c r="CY3157" i="1"/>
  <c r="Y3157" i="1" s="1"/>
  <c r="CW3157" i="1"/>
  <c r="AA3157" i="1" s="1"/>
  <c r="CR3157" i="1"/>
  <c r="CP3157" i="1"/>
  <c r="CN3157" i="1"/>
  <c r="CJ3157" i="1"/>
  <c r="CH3157" i="1"/>
  <c r="CF3157" i="1"/>
  <c r="BL3157" i="1"/>
  <c r="BD3157" i="1"/>
  <c r="AZ3157" i="1"/>
  <c r="AX3157" i="1"/>
  <c r="DC3166" i="1"/>
  <c r="DA3166" i="1"/>
  <c r="CY3166" i="1"/>
  <c r="Y3166" i="1" s="1"/>
  <c r="CW3166" i="1"/>
  <c r="AA3166" i="1" s="1"/>
  <c r="CR3166" i="1"/>
  <c r="CP3166" i="1"/>
  <c r="CN3166" i="1"/>
  <c r="CJ3166" i="1"/>
  <c r="CH3166" i="1"/>
  <c r="CF3166" i="1"/>
  <c r="BL3166" i="1"/>
  <c r="BD3166" i="1"/>
  <c r="AZ3166" i="1"/>
  <c r="AX3166" i="1"/>
  <c r="DC3165" i="1"/>
  <c r="DA3165" i="1"/>
  <c r="CY3165" i="1"/>
  <c r="Y3165" i="1" s="1"/>
  <c r="CW3165" i="1"/>
  <c r="AA3165" i="1" s="1"/>
  <c r="CR3165" i="1"/>
  <c r="CP3165" i="1"/>
  <c r="CN3165" i="1"/>
  <c r="CJ3165" i="1"/>
  <c r="CH3165" i="1"/>
  <c r="CF3165" i="1"/>
  <c r="BL3165" i="1"/>
  <c r="BD3165" i="1"/>
  <c r="AZ3165" i="1"/>
  <c r="AX3165" i="1"/>
  <c r="DC3168" i="1"/>
  <c r="DA3168" i="1"/>
  <c r="CY3168" i="1"/>
  <c r="Y3168" i="1" s="1"/>
  <c r="CW3168" i="1"/>
  <c r="AA3168" i="1" s="1"/>
  <c r="CR3168" i="1"/>
  <c r="CP3168" i="1"/>
  <c r="CN3168" i="1"/>
  <c r="CJ3168" i="1"/>
  <c r="CH3168" i="1"/>
  <c r="CF3168" i="1"/>
  <c r="BL3168" i="1"/>
  <c r="BD3168" i="1"/>
  <c r="AZ3168" i="1"/>
  <c r="AX3168" i="1"/>
  <c r="DC3164" i="1"/>
  <c r="DA3164" i="1"/>
  <c r="CY3164" i="1"/>
  <c r="Y3164" i="1" s="1"/>
  <c r="CW3164" i="1"/>
  <c r="AA3164" i="1" s="1"/>
  <c r="CR3164" i="1"/>
  <c r="CP3164" i="1"/>
  <c r="CN3164" i="1"/>
  <c r="CJ3164" i="1"/>
  <c r="CH3164" i="1"/>
  <c r="CF3164" i="1"/>
  <c r="BL3164" i="1"/>
  <c r="BD3164" i="1"/>
  <c r="AZ3164" i="1"/>
  <c r="AX3164" i="1"/>
  <c r="DC3170" i="1"/>
  <c r="DA3170" i="1"/>
  <c r="CY3170" i="1"/>
  <c r="Y3170" i="1" s="1"/>
  <c r="CW3170" i="1"/>
  <c r="AA3170" i="1" s="1"/>
  <c r="CR3170" i="1"/>
  <c r="CP3170" i="1"/>
  <c r="CN3170" i="1"/>
  <c r="CJ3170" i="1"/>
  <c r="CH3170" i="1"/>
  <c r="CF3170" i="1"/>
  <c r="BL3170" i="1"/>
  <c r="BD3170" i="1"/>
  <c r="AZ3170" i="1"/>
  <c r="AX3170" i="1"/>
  <c r="DC3150" i="1"/>
  <c r="DA3150" i="1"/>
  <c r="CY3150" i="1"/>
  <c r="Y3150" i="1" s="1"/>
  <c r="CW3150" i="1"/>
  <c r="AA3150" i="1" s="1"/>
  <c r="CR3150" i="1"/>
  <c r="CP3150" i="1"/>
  <c r="CN3150" i="1"/>
  <c r="CJ3150" i="1"/>
  <c r="CH3150" i="1"/>
  <c r="CF3150" i="1"/>
  <c r="BL3150" i="1"/>
  <c r="BD3150" i="1"/>
  <c r="AZ3150" i="1"/>
  <c r="AX3150" i="1"/>
  <c r="DC3121" i="1"/>
  <c r="DA3121" i="1"/>
  <c r="CY3121" i="1"/>
  <c r="Y3121" i="1" s="1"/>
  <c r="CW3121" i="1"/>
  <c r="AA3121" i="1" s="1"/>
  <c r="CR3121" i="1"/>
  <c r="CP3121" i="1"/>
  <c r="CN3121" i="1"/>
  <c r="CJ3121" i="1"/>
  <c r="CH3121" i="1"/>
  <c r="CF3121" i="1"/>
  <c r="BL3121" i="1"/>
  <c r="BD3121" i="1"/>
  <c r="AZ3121" i="1"/>
  <c r="AX3121" i="1"/>
  <c r="DC3159" i="1"/>
  <c r="DA3159" i="1"/>
  <c r="CY3159" i="1"/>
  <c r="Y3159" i="1" s="1"/>
  <c r="CW3159" i="1"/>
  <c r="AA3159" i="1" s="1"/>
  <c r="CR3159" i="1"/>
  <c r="CP3159" i="1"/>
  <c r="CN3159" i="1"/>
  <c r="CJ3159" i="1"/>
  <c r="CH3159" i="1"/>
  <c r="CF3159" i="1"/>
  <c r="BL3159" i="1"/>
  <c r="BD3159" i="1"/>
  <c r="AZ3159" i="1"/>
  <c r="AX3159" i="1"/>
  <c r="DC3142" i="1"/>
  <c r="DA3142" i="1"/>
  <c r="CY3142" i="1"/>
  <c r="Y3142" i="1" s="1"/>
  <c r="CW3142" i="1"/>
  <c r="AA3142" i="1" s="1"/>
  <c r="CR3142" i="1"/>
  <c r="CP3142" i="1"/>
  <c r="CN3142" i="1"/>
  <c r="CJ3142" i="1"/>
  <c r="CH3142" i="1"/>
  <c r="CF3142" i="1"/>
  <c r="BL3142" i="1"/>
  <c r="BD3142" i="1"/>
  <c r="AZ3142" i="1"/>
  <c r="AX3142" i="1"/>
  <c r="DC3148" i="1"/>
  <c r="DA3148" i="1"/>
  <c r="CY3148" i="1"/>
  <c r="Y3148" i="1" s="1"/>
  <c r="CW3148" i="1"/>
  <c r="AA3148" i="1" s="1"/>
  <c r="CR3148" i="1"/>
  <c r="CP3148" i="1"/>
  <c r="CN3148" i="1"/>
  <c r="CJ3148" i="1"/>
  <c r="CH3148" i="1"/>
  <c r="CF3148" i="1"/>
  <c r="BL3148" i="1"/>
  <c r="BD3148" i="1"/>
  <c r="AZ3148" i="1"/>
  <c r="AX3148" i="1"/>
  <c r="DC3147" i="1"/>
  <c r="DA3147" i="1"/>
  <c r="CY3147" i="1"/>
  <c r="Y3147" i="1" s="1"/>
  <c r="CW3147" i="1"/>
  <c r="AA3147" i="1" s="1"/>
  <c r="CR3147" i="1"/>
  <c r="CP3147" i="1"/>
  <c r="CN3147" i="1"/>
  <c r="CJ3147" i="1"/>
  <c r="CH3147" i="1"/>
  <c r="CF3147" i="1"/>
  <c r="BL3147" i="1"/>
  <c r="BD3147" i="1"/>
  <c r="AZ3147" i="1"/>
  <c r="AX3147" i="1"/>
  <c r="DC3145" i="1"/>
  <c r="DA3145" i="1"/>
  <c r="CY3145" i="1"/>
  <c r="Y3145" i="1" s="1"/>
  <c r="CW3145" i="1"/>
  <c r="AA3145" i="1" s="1"/>
  <c r="CR3145" i="1"/>
  <c r="CP3145" i="1"/>
  <c r="CN3145" i="1"/>
  <c r="CJ3145" i="1"/>
  <c r="CH3145" i="1"/>
  <c r="CF3145" i="1"/>
  <c r="BL3145" i="1"/>
  <c r="BD3145" i="1"/>
  <c r="AZ3145" i="1"/>
  <c r="AX3145" i="1"/>
  <c r="AD3281" i="1" l="1"/>
  <c r="AD3102" i="1"/>
  <c r="AD3174" i="1"/>
  <c r="AD3173" i="1"/>
  <c r="AD3050" i="1"/>
  <c r="Z3140" i="1"/>
  <c r="Z3146" i="1"/>
  <c r="Z3158" i="1"/>
  <c r="Z3115" i="1"/>
  <c r="Z3157" i="1"/>
  <c r="Z3141" i="1"/>
  <c r="CU3128" i="1"/>
  <c r="X3128" i="1" s="1"/>
  <c r="Z3128" i="1"/>
  <c r="Z3117" i="1"/>
  <c r="Z3156" i="1"/>
  <c r="CU3146" i="1"/>
  <c r="X3146" i="1" s="1"/>
  <c r="Z3153" i="1"/>
  <c r="CU3153" i="1"/>
  <c r="X3153" i="1" s="1"/>
  <c r="CU3158" i="1"/>
  <c r="X3158" i="1" s="1"/>
  <c r="CU3141" i="1"/>
  <c r="X3141" i="1" s="1"/>
  <c r="CU3156" i="1"/>
  <c r="X3156" i="1" s="1"/>
  <c r="CU3157" i="1"/>
  <c r="X3157" i="1" s="1"/>
  <c r="CU3117" i="1"/>
  <c r="X3117" i="1" s="1"/>
  <c r="CU3140" i="1"/>
  <c r="X3140" i="1" s="1"/>
  <c r="CU3115" i="1"/>
  <c r="X3115" i="1" s="1"/>
  <c r="Z3159" i="1"/>
  <c r="Z3170" i="1"/>
  <c r="Z3168" i="1"/>
  <c r="Z3142" i="1"/>
  <c r="Z3145" i="1"/>
  <c r="CU3150" i="1"/>
  <c r="X3150" i="1" s="1"/>
  <c r="Z3164" i="1"/>
  <c r="Z3166" i="1"/>
  <c r="Z3165" i="1"/>
  <c r="CU3166" i="1"/>
  <c r="X3166" i="1" s="1"/>
  <c r="Z3147" i="1"/>
  <c r="Z3148" i="1"/>
  <c r="CU3159" i="1"/>
  <c r="X3159" i="1" s="1"/>
  <c r="Z3121" i="1"/>
  <c r="Z3150" i="1"/>
  <c r="CU3170" i="1"/>
  <c r="X3170" i="1" s="1"/>
  <c r="CU3147" i="1"/>
  <c r="X3147" i="1" s="1"/>
  <c r="CU3121" i="1"/>
  <c r="X3121" i="1" s="1"/>
  <c r="CU3164" i="1"/>
  <c r="X3164" i="1" s="1"/>
  <c r="CU3148" i="1"/>
  <c r="X3148" i="1" s="1"/>
  <c r="CU3168" i="1"/>
  <c r="X3168" i="1" s="1"/>
  <c r="CU3145" i="1"/>
  <c r="X3145" i="1" s="1"/>
  <c r="CU3142" i="1"/>
  <c r="X3142" i="1" s="1"/>
  <c r="CU3165" i="1"/>
  <c r="X3165" i="1" s="1"/>
  <c r="DC3160" i="1"/>
  <c r="DA3160" i="1"/>
  <c r="CY3160" i="1"/>
  <c r="Y3160" i="1" s="1"/>
  <c r="CW3160" i="1"/>
  <c r="AA3160" i="1" s="1"/>
  <c r="CR3160" i="1"/>
  <c r="CP3160" i="1"/>
  <c r="CN3160" i="1"/>
  <c r="CJ3160" i="1"/>
  <c r="CH3160" i="1"/>
  <c r="CF3160" i="1"/>
  <c r="BL3160" i="1"/>
  <c r="BD3160" i="1"/>
  <c r="AZ3160" i="1"/>
  <c r="AX3160" i="1"/>
  <c r="DC3132" i="1"/>
  <c r="DA3132" i="1"/>
  <c r="CY3132" i="1"/>
  <c r="Y3132" i="1" s="1"/>
  <c r="CW3132" i="1"/>
  <c r="AA3132" i="1" s="1"/>
  <c r="CR3132" i="1"/>
  <c r="CP3132" i="1"/>
  <c r="CN3132" i="1"/>
  <c r="CJ3132" i="1"/>
  <c r="CH3132" i="1"/>
  <c r="CF3132" i="1"/>
  <c r="BL3132" i="1"/>
  <c r="BD3132" i="1"/>
  <c r="AZ3132" i="1"/>
  <c r="AX3132" i="1"/>
  <c r="DC3131" i="1"/>
  <c r="DA3131" i="1"/>
  <c r="CY3131" i="1"/>
  <c r="Y3131" i="1" s="1"/>
  <c r="CW3131" i="1"/>
  <c r="AA3131" i="1" s="1"/>
  <c r="CR3131" i="1"/>
  <c r="CP3131" i="1"/>
  <c r="CN3131" i="1"/>
  <c r="CJ3131" i="1"/>
  <c r="CH3131" i="1"/>
  <c r="CF3131" i="1"/>
  <c r="BL3131" i="1"/>
  <c r="BD3131" i="1"/>
  <c r="AZ3131" i="1"/>
  <c r="AX3131" i="1"/>
  <c r="DC3163" i="1"/>
  <c r="DA3163" i="1"/>
  <c r="CY3163" i="1"/>
  <c r="Y3163" i="1" s="1"/>
  <c r="CW3163" i="1"/>
  <c r="AA3163" i="1" s="1"/>
  <c r="CR3163" i="1"/>
  <c r="CP3163" i="1"/>
  <c r="CN3163" i="1"/>
  <c r="CJ3163" i="1"/>
  <c r="CH3163" i="1"/>
  <c r="CF3163" i="1"/>
  <c r="BL3163" i="1"/>
  <c r="BD3163" i="1"/>
  <c r="AZ3163" i="1"/>
  <c r="AX3163" i="1"/>
  <c r="DC3162" i="1"/>
  <c r="DA3162" i="1"/>
  <c r="CY3162" i="1"/>
  <c r="Y3162" i="1" s="1"/>
  <c r="CW3162" i="1"/>
  <c r="AA3162" i="1" s="1"/>
  <c r="CR3162" i="1"/>
  <c r="CP3162" i="1"/>
  <c r="CN3162" i="1"/>
  <c r="CJ3162" i="1"/>
  <c r="CH3162" i="1"/>
  <c r="CF3162" i="1"/>
  <c r="BL3162" i="1"/>
  <c r="BD3162" i="1"/>
  <c r="AZ3162" i="1"/>
  <c r="AX3162" i="1"/>
  <c r="DC3135" i="1"/>
  <c r="DA3135" i="1"/>
  <c r="CY3135" i="1"/>
  <c r="Y3135" i="1" s="1"/>
  <c r="CW3135" i="1"/>
  <c r="AA3135" i="1" s="1"/>
  <c r="CR3135" i="1"/>
  <c r="CP3135" i="1"/>
  <c r="CN3135" i="1"/>
  <c r="CJ3135" i="1"/>
  <c r="CH3135" i="1"/>
  <c r="CF3135" i="1"/>
  <c r="BL3135" i="1"/>
  <c r="BD3135" i="1"/>
  <c r="AZ3135" i="1"/>
  <c r="AX3135" i="1"/>
  <c r="DC3134" i="1"/>
  <c r="DA3134" i="1"/>
  <c r="CY3134" i="1"/>
  <c r="Y3134" i="1" s="1"/>
  <c r="CW3134" i="1"/>
  <c r="AA3134" i="1" s="1"/>
  <c r="CR3134" i="1"/>
  <c r="CP3134" i="1"/>
  <c r="CN3134" i="1"/>
  <c r="CJ3134" i="1"/>
  <c r="CH3134" i="1"/>
  <c r="CF3134" i="1"/>
  <c r="BL3134" i="1"/>
  <c r="BD3134" i="1"/>
  <c r="AZ3134" i="1"/>
  <c r="AX3134" i="1"/>
  <c r="DC3161" i="1"/>
  <c r="DA3161" i="1"/>
  <c r="CY3161" i="1"/>
  <c r="Y3161" i="1" s="1"/>
  <c r="CW3161" i="1"/>
  <c r="AA3161" i="1" s="1"/>
  <c r="CR3161" i="1"/>
  <c r="CP3161" i="1"/>
  <c r="CN3161" i="1"/>
  <c r="CJ3161" i="1"/>
  <c r="CH3161" i="1"/>
  <c r="CF3161" i="1"/>
  <c r="BL3161" i="1"/>
  <c r="BD3161" i="1"/>
  <c r="AZ3161" i="1"/>
  <c r="AX3161" i="1"/>
  <c r="DC3133" i="1"/>
  <c r="DA3133" i="1"/>
  <c r="CY3133" i="1"/>
  <c r="Y3133" i="1" s="1"/>
  <c r="CW3133" i="1"/>
  <c r="AA3133" i="1" s="1"/>
  <c r="CR3133" i="1"/>
  <c r="CP3133" i="1"/>
  <c r="CN3133" i="1"/>
  <c r="CJ3133" i="1"/>
  <c r="CH3133" i="1"/>
  <c r="CF3133" i="1"/>
  <c r="BL3133" i="1"/>
  <c r="BD3133" i="1"/>
  <c r="AZ3133" i="1"/>
  <c r="AX3133" i="1"/>
  <c r="AD3168" i="1" l="1"/>
  <c r="AD3165" i="1"/>
  <c r="AD3158" i="1"/>
  <c r="AD3140" i="1"/>
  <c r="AD3141" i="1"/>
  <c r="AD3146" i="1"/>
  <c r="AD3156" i="1"/>
  <c r="AD3115" i="1"/>
  <c r="AD3157" i="1"/>
  <c r="AD3153" i="1"/>
  <c r="AD3128" i="1"/>
  <c r="AD3117" i="1"/>
  <c r="AD3170" i="1"/>
  <c r="AD3142" i="1"/>
  <c r="AD3159" i="1"/>
  <c r="AD3147" i="1"/>
  <c r="AD3166" i="1"/>
  <c r="AD3164" i="1"/>
  <c r="AD3145" i="1"/>
  <c r="AD3121" i="1"/>
  <c r="AD3150" i="1"/>
  <c r="AD3148" i="1"/>
  <c r="Z3133" i="1"/>
  <c r="Z3162" i="1"/>
  <c r="Z3160" i="1"/>
  <c r="Z3163" i="1"/>
  <c r="Z3135" i="1"/>
  <c r="Z3131" i="1"/>
  <c r="Z3134" i="1"/>
  <c r="Z3161" i="1"/>
  <c r="Z3132" i="1"/>
  <c r="CU3133" i="1"/>
  <c r="X3133" i="1" s="1"/>
  <c r="CU3161" i="1"/>
  <c r="X3161" i="1" s="1"/>
  <c r="CU3134" i="1"/>
  <c r="X3134" i="1" s="1"/>
  <c r="CU3135" i="1"/>
  <c r="X3135" i="1" s="1"/>
  <c r="AD3135" i="1" s="1"/>
  <c r="CU3162" i="1"/>
  <c r="X3162" i="1" s="1"/>
  <c r="AD3162" i="1" s="1"/>
  <c r="CU3163" i="1"/>
  <c r="X3163" i="1" s="1"/>
  <c r="CU3131" i="1"/>
  <c r="X3131" i="1" s="1"/>
  <c r="CU3132" i="1"/>
  <c r="X3132" i="1" s="1"/>
  <c r="AD3132" i="1" s="1"/>
  <c r="CU3160" i="1"/>
  <c r="X3160" i="1" s="1"/>
  <c r="DC3113" i="1"/>
  <c r="DA3113" i="1"/>
  <c r="CY3113" i="1"/>
  <c r="Y3113" i="1" s="1"/>
  <c r="CW3113" i="1"/>
  <c r="AA3113" i="1" s="1"/>
  <c r="CR3113" i="1"/>
  <c r="CP3113" i="1"/>
  <c r="CN3113" i="1"/>
  <c r="CJ3113" i="1"/>
  <c r="CH3113" i="1"/>
  <c r="CF3113" i="1"/>
  <c r="BL3113" i="1"/>
  <c r="BD3113" i="1"/>
  <c r="AZ3113" i="1"/>
  <c r="AX3113" i="1"/>
  <c r="DC3109" i="1"/>
  <c r="DA3109" i="1"/>
  <c r="CY3109" i="1"/>
  <c r="Y3109" i="1" s="1"/>
  <c r="CW3109" i="1"/>
  <c r="AA3109" i="1" s="1"/>
  <c r="CR3109" i="1"/>
  <c r="CP3109" i="1"/>
  <c r="CN3109" i="1"/>
  <c r="CJ3109" i="1"/>
  <c r="CH3109" i="1"/>
  <c r="CF3109" i="1"/>
  <c r="BL3109" i="1"/>
  <c r="BD3109" i="1"/>
  <c r="AZ3109" i="1"/>
  <c r="AX3109" i="1"/>
  <c r="DC3116" i="1"/>
  <c r="DA3116" i="1"/>
  <c r="CY3116" i="1"/>
  <c r="Y3116" i="1" s="1"/>
  <c r="CW3116" i="1"/>
  <c r="AA3116" i="1" s="1"/>
  <c r="CR3116" i="1"/>
  <c r="CP3116" i="1"/>
  <c r="CN3116" i="1"/>
  <c r="CJ3116" i="1"/>
  <c r="CH3116" i="1"/>
  <c r="CF3116" i="1"/>
  <c r="BL3116" i="1"/>
  <c r="BD3116" i="1"/>
  <c r="AZ3116" i="1"/>
  <c r="AX3116" i="1"/>
  <c r="DC3114" i="1"/>
  <c r="DA3114" i="1"/>
  <c r="CY3114" i="1"/>
  <c r="Y3114" i="1" s="1"/>
  <c r="CW3114" i="1"/>
  <c r="AA3114" i="1" s="1"/>
  <c r="CR3114" i="1"/>
  <c r="CP3114" i="1"/>
  <c r="CN3114" i="1"/>
  <c r="CJ3114" i="1"/>
  <c r="CH3114" i="1"/>
  <c r="CF3114" i="1"/>
  <c r="BL3114" i="1"/>
  <c r="BD3114" i="1"/>
  <c r="AZ3114" i="1"/>
  <c r="AX3114" i="1"/>
  <c r="DC3139" i="1"/>
  <c r="DA3139" i="1"/>
  <c r="CY3139" i="1"/>
  <c r="Y3139" i="1" s="1"/>
  <c r="CW3139" i="1"/>
  <c r="AA3139" i="1" s="1"/>
  <c r="CR3139" i="1"/>
  <c r="CP3139" i="1"/>
  <c r="CN3139" i="1"/>
  <c r="CJ3139" i="1"/>
  <c r="CH3139" i="1"/>
  <c r="CF3139" i="1"/>
  <c r="BL3139" i="1"/>
  <c r="BD3139" i="1"/>
  <c r="AZ3139" i="1"/>
  <c r="AX3139" i="1"/>
  <c r="DC3137" i="1"/>
  <c r="DA3137" i="1"/>
  <c r="CY3137" i="1"/>
  <c r="Y3137" i="1" s="1"/>
  <c r="CW3137" i="1"/>
  <c r="AA3137" i="1" s="1"/>
  <c r="CR3137" i="1"/>
  <c r="CP3137" i="1"/>
  <c r="CN3137" i="1"/>
  <c r="CJ3137" i="1"/>
  <c r="CH3137" i="1"/>
  <c r="CF3137" i="1"/>
  <c r="BL3137" i="1"/>
  <c r="BD3137" i="1"/>
  <c r="AZ3137" i="1"/>
  <c r="AX3137" i="1"/>
  <c r="DC3136" i="1"/>
  <c r="DA3136" i="1"/>
  <c r="CY3136" i="1"/>
  <c r="Y3136" i="1" s="1"/>
  <c r="CW3136" i="1"/>
  <c r="AA3136" i="1" s="1"/>
  <c r="CR3136" i="1"/>
  <c r="CP3136" i="1"/>
  <c r="CN3136" i="1"/>
  <c r="CJ3136" i="1"/>
  <c r="CH3136" i="1"/>
  <c r="CF3136" i="1"/>
  <c r="BL3136" i="1"/>
  <c r="BD3136" i="1"/>
  <c r="AZ3136" i="1"/>
  <c r="AX3136" i="1"/>
  <c r="DC3130" i="1"/>
  <c r="DA3130" i="1"/>
  <c r="CY3130" i="1"/>
  <c r="Y3130" i="1" s="1"/>
  <c r="CW3130" i="1"/>
  <c r="AA3130" i="1" s="1"/>
  <c r="CR3130" i="1"/>
  <c r="CP3130" i="1"/>
  <c r="CN3130" i="1"/>
  <c r="CJ3130" i="1"/>
  <c r="CH3130" i="1"/>
  <c r="CF3130" i="1"/>
  <c r="BL3130" i="1"/>
  <c r="BD3130" i="1"/>
  <c r="AZ3130" i="1"/>
  <c r="AX3130" i="1"/>
  <c r="DC3118" i="1"/>
  <c r="DA3118" i="1"/>
  <c r="CY3118" i="1"/>
  <c r="Y3118" i="1" s="1"/>
  <c r="CW3118" i="1"/>
  <c r="AA3118" i="1" s="1"/>
  <c r="CR3118" i="1"/>
  <c r="CP3118" i="1"/>
  <c r="CN3118" i="1"/>
  <c r="CJ3118" i="1"/>
  <c r="CH3118" i="1"/>
  <c r="CF3118" i="1"/>
  <c r="BL3118" i="1"/>
  <c r="BD3118" i="1"/>
  <c r="AZ3118" i="1"/>
  <c r="AX3118" i="1"/>
  <c r="DC3029" i="1"/>
  <c r="DA3029" i="1"/>
  <c r="CY3029" i="1"/>
  <c r="Y3029" i="1" s="1"/>
  <c r="CW3029" i="1"/>
  <c r="AA3029" i="1" s="1"/>
  <c r="CR3029" i="1"/>
  <c r="CP3029" i="1"/>
  <c r="CN3029" i="1"/>
  <c r="CJ3029" i="1"/>
  <c r="CH3029" i="1"/>
  <c r="CF3029" i="1"/>
  <c r="BL3029" i="1"/>
  <c r="BD3029" i="1"/>
  <c r="AZ3029" i="1"/>
  <c r="AX3029" i="1"/>
  <c r="DC3104" i="1"/>
  <c r="DA3104" i="1"/>
  <c r="CY3104" i="1"/>
  <c r="Y3104" i="1" s="1"/>
  <c r="CW3104" i="1"/>
  <c r="AA3104" i="1" s="1"/>
  <c r="CR3104" i="1"/>
  <c r="CP3104" i="1"/>
  <c r="CN3104" i="1"/>
  <c r="CJ3104" i="1"/>
  <c r="CH3104" i="1"/>
  <c r="CF3104" i="1"/>
  <c r="BL3104" i="1"/>
  <c r="BD3104" i="1"/>
  <c r="AZ3104" i="1"/>
  <c r="AX3104" i="1"/>
  <c r="DC3095" i="1"/>
  <c r="DA3095" i="1"/>
  <c r="CY3095" i="1"/>
  <c r="Y3095" i="1" s="1"/>
  <c r="CW3095" i="1"/>
  <c r="AA3095" i="1" s="1"/>
  <c r="CR3095" i="1"/>
  <c r="CP3095" i="1"/>
  <c r="CN3095" i="1"/>
  <c r="CJ3095" i="1"/>
  <c r="CH3095" i="1"/>
  <c r="CF3095" i="1"/>
  <c r="BL3095" i="1"/>
  <c r="BD3095" i="1"/>
  <c r="AZ3095" i="1"/>
  <c r="AX3095" i="1"/>
  <c r="AD3133" i="1" l="1"/>
  <c r="AD3163" i="1"/>
  <c r="AD3161" i="1"/>
  <c r="AD3160" i="1"/>
  <c r="AD3134" i="1"/>
  <c r="AD3131" i="1"/>
  <c r="Z3113" i="1"/>
  <c r="Z3116" i="1"/>
  <c r="Z3139" i="1"/>
  <c r="Z3130" i="1"/>
  <c r="Z3114" i="1"/>
  <c r="Z3104" i="1"/>
  <c r="Z3109" i="1"/>
  <c r="Z3095" i="1"/>
  <c r="CU3113" i="1"/>
  <c r="X3113" i="1" s="1"/>
  <c r="Z3137" i="1"/>
  <c r="Z3118" i="1"/>
  <c r="Z3136" i="1"/>
  <c r="Z3029" i="1"/>
  <c r="CU3104" i="1"/>
  <c r="X3104" i="1" s="1"/>
  <c r="CU3139" i="1"/>
  <c r="X3139" i="1" s="1"/>
  <c r="CU3109" i="1"/>
  <c r="X3109" i="1" s="1"/>
  <c r="CU3029" i="1"/>
  <c r="X3029" i="1" s="1"/>
  <c r="CU3136" i="1"/>
  <c r="X3136" i="1" s="1"/>
  <c r="CU3114" i="1"/>
  <c r="X3114" i="1" s="1"/>
  <c r="CU3095" i="1"/>
  <c r="X3095" i="1" s="1"/>
  <c r="CU3118" i="1"/>
  <c r="X3118" i="1" s="1"/>
  <c r="CU3130" i="1"/>
  <c r="X3130" i="1" s="1"/>
  <c r="CU3137" i="1"/>
  <c r="X3137" i="1" s="1"/>
  <c r="CU3116" i="1"/>
  <c r="X3116" i="1" s="1"/>
  <c r="CY2376" i="1"/>
  <c r="CY2382" i="1"/>
  <c r="CY2379" i="1"/>
  <c r="DC2490" i="1"/>
  <c r="CY2490" i="1"/>
  <c r="DC2656" i="1"/>
  <c r="DA2656" i="1"/>
  <c r="CY2656" i="1"/>
  <c r="CY2769" i="1"/>
  <c r="CJ2377" i="1"/>
  <c r="DE2567" i="1"/>
  <c r="DA2567" i="1"/>
  <c r="DE2410" i="1"/>
  <c r="DC2410" i="1"/>
  <c r="DA2410" i="1"/>
  <c r="CY2410" i="1"/>
  <c r="CR2410" i="1"/>
  <c r="CP2410" i="1"/>
  <c r="AZ2410" i="1"/>
  <c r="DC2395" i="1"/>
  <c r="DA2395" i="1"/>
  <c r="CY2395" i="1"/>
  <c r="CR2395" i="1"/>
  <c r="CP2395" i="1"/>
  <c r="CJ2395" i="1"/>
  <c r="AZ2395" i="1"/>
  <c r="AZ2377" i="1"/>
  <c r="CN2377" i="1"/>
  <c r="CR2377" i="1"/>
  <c r="CP2377" i="1"/>
  <c r="CY2377" i="1"/>
  <c r="CY1949" i="1"/>
  <c r="CN1949" i="1"/>
  <c r="CR1949" i="1"/>
  <c r="DE1622" i="1"/>
  <c r="DC1622" i="1"/>
  <c r="DA1622" i="1"/>
  <c r="CW2779" i="1"/>
  <c r="AD3113" i="1" l="1"/>
  <c r="AD3136" i="1"/>
  <c r="AD3116" i="1"/>
  <c r="AD3104" i="1"/>
  <c r="AD3139" i="1"/>
  <c r="AD3130" i="1"/>
  <c r="AD3114" i="1"/>
  <c r="AD3095" i="1"/>
  <c r="AD3118" i="1"/>
  <c r="AD3109" i="1"/>
  <c r="AD3137" i="1"/>
  <c r="AD3029" i="1"/>
  <c r="DC2578" i="1"/>
  <c r="CY2578" i="1"/>
  <c r="CR2578" i="1"/>
  <c r="CP2578" i="1"/>
  <c r="CJ2578" i="1"/>
  <c r="AZ2578" i="1"/>
  <c r="DC1943" i="1"/>
  <c r="CY1943" i="1"/>
  <c r="DC2509" i="1"/>
  <c r="AZ1917" i="1"/>
  <c r="DE1878" i="1"/>
  <c r="DC1878" i="1"/>
  <c r="DA1878" i="1"/>
  <c r="CY1878" i="1"/>
  <c r="CJ1878" i="1"/>
  <c r="AZ1878" i="1"/>
  <c r="DA1917" i="1"/>
  <c r="CY1917" i="1"/>
  <c r="CR1917" i="1"/>
  <c r="CP1917" i="1"/>
  <c r="DE1838" i="1"/>
  <c r="DC1838" i="1"/>
  <c r="DA1838" i="1"/>
  <c r="CY1838" i="1"/>
  <c r="CR1838" i="1"/>
  <c r="CP1838" i="1"/>
  <c r="CJ1838" i="1"/>
  <c r="DE1915" i="1"/>
  <c r="DC1915" i="1"/>
  <c r="DA1915" i="1"/>
  <c r="CY1915" i="1"/>
  <c r="CR1915" i="1"/>
  <c r="CP1915" i="1"/>
  <c r="DE1742" i="1" l="1"/>
  <c r="DC1742" i="1"/>
  <c r="DA1742" i="1"/>
  <c r="CW1742" i="1"/>
  <c r="DA2487" i="1"/>
  <c r="DC2487" i="1"/>
  <c r="CY2487" i="1"/>
  <c r="CR2487" i="1"/>
  <c r="CP2487" i="1"/>
  <c r="AZ2487" i="1"/>
  <c r="CY2709" i="1"/>
  <c r="DE2655" i="1"/>
  <c r="DC2655" i="1"/>
  <c r="DA2655" i="1"/>
  <c r="CY2655" i="1"/>
  <c r="DC3169" i="1"/>
  <c r="DA3169" i="1"/>
  <c r="CY3169" i="1"/>
  <c r="Y3169" i="1" s="1"/>
  <c r="CW3169" i="1"/>
  <c r="AA3169" i="1" s="1"/>
  <c r="CR3169" i="1"/>
  <c r="CP3169" i="1"/>
  <c r="CN3169" i="1"/>
  <c r="CJ3169" i="1"/>
  <c r="CH3169" i="1"/>
  <c r="CF3169" i="1"/>
  <c r="BL3169" i="1"/>
  <c r="BD3169" i="1"/>
  <c r="AZ3169" i="1"/>
  <c r="AX3169" i="1"/>
  <c r="DC3138" i="1"/>
  <c r="DA3138" i="1"/>
  <c r="CY3138" i="1"/>
  <c r="Y3138" i="1" s="1"/>
  <c r="CW3138" i="1"/>
  <c r="AA3138" i="1" s="1"/>
  <c r="CR3138" i="1"/>
  <c r="CP3138" i="1"/>
  <c r="CN3138" i="1"/>
  <c r="CJ3138" i="1"/>
  <c r="CH3138" i="1"/>
  <c r="CF3138" i="1"/>
  <c r="BL3138" i="1"/>
  <c r="BD3138" i="1"/>
  <c r="AZ3138" i="1"/>
  <c r="AX3138" i="1"/>
  <c r="DC3120" i="1"/>
  <c r="DA3120" i="1"/>
  <c r="CY3120" i="1"/>
  <c r="Y3120" i="1" s="1"/>
  <c r="CW3120" i="1"/>
  <c r="AA3120" i="1" s="1"/>
  <c r="CR3120" i="1"/>
  <c r="CP3120" i="1"/>
  <c r="CN3120" i="1"/>
  <c r="CJ3120" i="1"/>
  <c r="CH3120" i="1"/>
  <c r="CF3120" i="1"/>
  <c r="BL3120" i="1"/>
  <c r="BD3120" i="1"/>
  <c r="AZ3120" i="1"/>
  <c r="AX3120" i="1"/>
  <c r="DC3119" i="1"/>
  <c r="DA3119" i="1"/>
  <c r="CY3119" i="1"/>
  <c r="Y3119" i="1" s="1"/>
  <c r="CW3119" i="1"/>
  <c r="AA3119" i="1" s="1"/>
  <c r="CR3119" i="1"/>
  <c r="CP3119" i="1"/>
  <c r="CN3119" i="1"/>
  <c r="CJ3119" i="1"/>
  <c r="CH3119" i="1"/>
  <c r="CF3119" i="1"/>
  <c r="BL3119" i="1"/>
  <c r="BD3119" i="1"/>
  <c r="AZ3119" i="1"/>
  <c r="AX3119" i="1"/>
  <c r="DC3129" i="1"/>
  <c r="DA3129" i="1"/>
  <c r="CY3129" i="1"/>
  <c r="Y3129" i="1" s="1"/>
  <c r="CW3129" i="1"/>
  <c r="AA3129" i="1" s="1"/>
  <c r="CR3129" i="1"/>
  <c r="CP3129" i="1"/>
  <c r="CN3129" i="1"/>
  <c r="CJ3129" i="1"/>
  <c r="CH3129" i="1"/>
  <c r="CF3129" i="1"/>
  <c r="BL3129" i="1"/>
  <c r="BD3129" i="1"/>
  <c r="AZ3129" i="1"/>
  <c r="AX3129" i="1"/>
  <c r="DC3101" i="1"/>
  <c r="DA3101" i="1"/>
  <c r="CY3101" i="1"/>
  <c r="Y3101" i="1" s="1"/>
  <c r="CW3101" i="1"/>
  <c r="AA3101" i="1" s="1"/>
  <c r="CR3101" i="1"/>
  <c r="CP3101" i="1"/>
  <c r="CN3101" i="1"/>
  <c r="CJ3101" i="1"/>
  <c r="CH3101" i="1"/>
  <c r="CF3101" i="1"/>
  <c r="BL3101" i="1"/>
  <c r="BD3101" i="1"/>
  <c r="AZ3101" i="1"/>
  <c r="AX3101" i="1"/>
  <c r="DC3111" i="1"/>
  <c r="DA3111" i="1"/>
  <c r="CY3111" i="1"/>
  <c r="Y3111" i="1" s="1"/>
  <c r="CW3111" i="1"/>
  <c r="AA3111" i="1" s="1"/>
  <c r="CR3111" i="1"/>
  <c r="CP3111" i="1"/>
  <c r="CN3111" i="1"/>
  <c r="CJ3111" i="1"/>
  <c r="CH3111" i="1"/>
  <c r="CF3111" i="1"/>
  <c r="BL3111" i="1"/>
  <c r="BD3111" i="1"/>
  <c r="AZ3111" i="1"/>
  <c r="AX3111" i="1"/>
  <c r="DC3110" i="1"/>
  <c r="DA3110" i="1"/>
  <c r="CY3110" i="1"/>
  <c r="Y3110" i="1" s="1"/>
  <c r="CW3110" i="1"/>
  <c r="AA3110" i="1" s="1"/>
  <c r="CR3110" i="1"/>
  <c r="CP3110" i="1"/>
  <c r="CN3110" i="1"/>
  <c r="CJ3110" i="1"/>
  <c r="CH3110" i="1"/>
  <c r="CF3110" i="1"/>
  <c r="BL3110" i="1"/>
  <c r="BD3110" i="1"/>
  <c r="AZ3110" i="1"/>
  <c r="AX3110" i="1"/>
  <c r="DA3103" i="1"/>
  <c r="CY3103" i="1"/>
  <c r="Y3103" i="1" s="1"/>
  <c r="CW3103" i="1"/>
  <c r="AA3103" i="1" s="1"/>
  <c r="CR3103" i="1"/>
  <c r="CP3103" i="1"/>
  <c r="CN3103" i="1"/>
  <c r="CJ3103" i="1"/>
  <c r="CH3103" i="1"/>
  <c r="CF3103" i="1"/>
  <c r="BD3103" i="1"/>
  <c r="AZ3103" i="1"/>
  <c r="AX3103" i="1"/>
  <c r="DC3100" i="1"/>
  <c r="DA3100" i="1"/>
  <c r="CY3100" i="1"/>
  <c r="Y3100" i="1" s="1"/>
  <c r="CW3100" i="1"/>
  <c r="AA3100" i="1" s="1"/>
  <c r="CR3100" i="1"/>
  <c r="CP3100" i="1"/>
  <c r="CN3100" i="1"/>
  <c r="CJ3100" i="1"/>
  <c r="CH3100" i="1"/>
  <c r="CF3100" i="1"/>
  <c r="BL3100" i="1"/>
  <c r="BD3100" i="1"/>
  <c r="AZ3100" i="1"/>
  <c r="AX3100" i="1"/>
  <c r="DC3112" i="1"/>
  <c r="DA3112" i="1"/>
  <c r="CY3112" i="1"/>
  <c r="Y3112" i="1" s="1"/>
  <c r="CW3112" i="1"/>
  <c r="AA3112" i="1" s="1"/>
  <c r="CR3112" i="1"/>
  <c r="CP3112" i="1"/>
  <c r="CN3112" i="1"/>
  <c r="CJ3112" i="1"/>
  <c r="CH3112" i="1"/>
  <c r="CF3112" i="1"/>
  <c r="BL3112" i="1"/>
  <c r="BD3112" i="1"/>
  <c r="AZ3112" i="1"/>
  <c r="AX3112" i="1"/>
  <c r="DC3108" i="1"/>
  <c r="DA3108" i="1"/>
  <c r="CY3108" i="1"/>
  <c r="Y3108" i="1" s="1"/>
  <c r="CW3108" i="1"/>
  <c r="AA3108" i="1" s="1"/>
  <c r="CR3108" i="1"/>
  <c r="CP3108" i="1"/>
  <c r="CN3108" i="1"/>
  <c r="CJ3108" i="1"/>
  <c r="CH3108" i="1"/>
  <c r="CF3108" i="1"/>
  <c r="BL3108" i="1"/>
  <c r="BD3108" i="1"/>
  <c r="AZ3108" i="1"/>
  <c r="AX3108" i="1"/>
  <c r="DC3094" i="1"/>
  <c r="DA3094" i="1"/>
  <c r="CY3094" i="1"/>
  <c r="Y3094" i="1" s="1"/>
  <c r="CW3094" i="1"/>
  <c r="AA3094" i="1" s="1"/>
  <c r="CR3094" i="1"/>
  <c r="CP3094" i="1"/>
  <c r="CN3094" i="1"/>
  <c r="CJ3094" i="1"/>
  <c r="CH3094" i="1"/>
  <c r="CF3094" i="1"/>
  <c r="BL3094" i="1"/>
  <c r="BD3094" i="1"/>
  <c r="AZ3094" i="1"/>
  <c r="AX3094" i="1"/>
  <c r="DC3093" i="1"/>
  <c r="DA3093" i="1"/>
  <c r="CY3093" i="1"/>
  <c r="Y3093" i="1" s="1"/>
  <c r="CW3093" i="1"/>
  <c r="AA3093" i="1" s="1"/>
  <c r="CR3093" i="1"/>
  <c r="CP3093" i="1"/>
  <c r="CN3093" i="1"/>
  <c r="CJ3093" i="1"/>
  <c r="CH3093" i="1"/>
  <c r="CF3093" i="1"/>
  <c r="BL3093" i="1"/>
  <c r="BD3093" i="1"/>
  <c r="AZ3093" i="1"/>
  <c r="AX3093" i="1"/>
  <c r="DC3096" i="1"/>
  <c r="DA3096" i="1"/>
  <c r="CY3096" i="1"/>
  <c r="Y3096" i="1" s="1"/>
  <c r="CW3096" i="1"/>
  <c r="AA3096" i="1" s="1"/>
  <c r="CR3096" i="1"/>
  <c r="CP3096" i="1"/>
  <c r="CN3096" i="1"/>
  <c r="CJ3096" i="1"/>
  <c r="CH3096" i="1"/>
  <c r="CF3096" i="1"/>
  <c r="BL3096" i="1"/>
  <c r="BD3096" i="1"/>
  <c r="AZ3096" i="1"/>
  <c r="AX3096" i="1"/>
  <c r="DC3098" i="1"/>
  <c r="DA3098" i="1"/>
  <c r="CY3098" i="1"/>
  <c r="Y3098" i="1" s="1"/>
  <c r="CW3098" i="1"/>
  <c r="AA3098" i="1" s="1"/>
  <c r="CR3098" i="1"/>
  <c r="CP3098" i="1"/>
  <c r="CN3098" i="1"/>
  <c r="CJ3098" i="1"/>
  <c r="CH3098" i="1"/>
  <c r="CF3098" i="1"/>
  <c r="BL3098" i="1"/>
  <c r="BD3098" i="1"/>
  <c r="AZ3098" i="1"/>
  <c r="AX3098" i="1"/>
  <c r="DC3099" i="1"/>
  <c r="DA3099" i="1"/>
  <c r="CY3099" i="1"/>
  <c r="Y3099" i="1" s="1"/>
  <c r="CW3099" i="1"/>
  <c r="AA3099" i="1" s="1"/>
  <c r="CR3099" i="1"/>
  <c r="CP3099" i="1"/>
  <c r="CN3099" i="1"/>
  <c r="CJ3099" i="1"/>
  <c r="CH3099" i="1"/>
  <c r="CF3099" i="1"/>
  <c r="BL3099" i="1"/>
  <c r="BD3099" i="1"/>
  <c r="AZ3099" i="1"/>
  <c r="AX3099" i="1"/>
  <c r="DC3091" i="1"/>
  <c r="DA3091" i="1"/>
  <c r="CY3091" i="1"/>
  <c r="Y3091" i="1" s="1"/>
  <c r="CW3091" i="1"/>
  <c r="AA3091" i="1" s="1"/>
  <c r="CR3091" i="1"/>
  <c r="CP3091" i="1"/>
  <c r="CN3091" i="1"/>
  <c r="CJ3091" i="1"/>
  <c r="CH3091" i="1"/>
  <c r="CF3091" i="1"/>
  <c r="BL3091" i="1"/>
  <c r="BD3091" i="1"/>
  <c r="AZ3091" i="1"/>
  <c r="AX3091" i="1"/>
  <c r="DC3087" i="1"/>
  <c r="DA3087" i="1"/>
  <c r="CY3087" i="1"/>
  <c r="Y3087" i="1" s="1"/>
  <c r="CW3087" i="1"/>
  <c r="AA3087" i="1" s="1"/>
  <c r="CR3087" i="1"/>
  <c r="CP3087" i="1"/>
  <c r="CN3087" i="1"/>
  <c r="CJ3087" i="1"/>
  <c r="CH3087" i="1"/>
  <c r="CF3087" i="1"/>
  <c r="BL3087" i="1"/>
  <c r="BD3087" i="1"/>
  <c r="AZ3087" i="1"/>
  <c r="AX3087" i="1"/>
  <c r="DC3092" i="1"/>
  <c r="DA3092" i="1"/>
  <c r="CY3092" i="1"/>
  <c r="Y3092" i="1" s="1"/>
  <c r="CW3092" i="1"/>
  <c r="AA3092" i="1" s="1"/>
  <c r="CR3092" i="1"/>
  <c r="CP3092" i="1"/>
  <c r="CN3092" i="1"/>
  <c r="CJ3092" i="1"/>
  <c r="CH3092" i="1"/>
  <c r="CF3092" i="1"/>
  <c r="BL3092" i="1"/>
  <c r="BD3092" i="1"/>
  <c r="AZ3092" i="1"/>
  <c r="AX3092" i="1"/>
  <c r="DC3089" i="1"/>
  <c r="DA3089" i="1"/>
  <c r="CY3089" i="1"/>
  <c r="Y3089" i="1" s="1"/>
  <c r="CW3089" i="1"/>
  <c r="AA3089" i="1" s="1"/>
  <c r="CR3089" i="1"/>
  <c r="CP3089" i="1"/>
  <c r="CN3089" i="1"/>
  <c r="CJ3089" i="1"/>
  <c r="CH3089" i="1"/>
  <c r="CF3089" i="1"/>
  <c r="BL3089" i="1"/>
  <c r="BD3089" i="1"/>
  <c r="AZ3089" i="1"/>
  <c r="AX3089" i="1"/>
  <c r="DC3090" i="1"/>
  <c r="DA3090" i="1"/>
  <c r="CY3090" i="1"/>
  <c r="Y3090" i="1" s="1"/>
  <c r="CW3090" i="1"/>
  <c r="AA3090" i="1" s="1"/>
  <c r="CR3090" i="1"/>
  <c r="CP3090" i="1"/>
  <c r="CN3090" i="1"/>
  <c r="CJ3090" i="1"/>
  <c r="CH3090" i="1"/>
  <c r="CF3090" i="1"/>
  <c r="BL3090" i="1"/>
  <c r="BD3090" i="1"/>
  <c r="AZ3090" i="1"/>
  <c r="AX3090" i="1"/>
  <c r="DC3085" i="1"/>
  <c r="DA3085" i="1"/>
  <c r="CY3085" i="1"/>
  <c r="Y3085" i="1" s="1"/>
  <c r="CW3085" i="1"/>
  <c r="AA3085" i="1" s="1"/>
  <c r="CR3085" i="1"/>
  <c r="CP3085" i="1"/>
  <c r="CN3085" i="1"/>
  <c r="CJ3085" i="1"/>
  <c r="CH3085" i="1"/>
  <c r="CF3085" i="1"/>
  <c r="BL3085" i="1"/>
  <c r="BD3085" i="1"/>
  <c r="AZ3085" i="1"/>
  <c r="AX3085" i="1"/>
  <c r="Z3129" i="1" l="1"/>
  <c r="Z3119" i="1"/>
  <c r="Z3110" i="1"/>
  <c r="Z3138" i="1"/>
  <c r="Z3111" i="1"/>
  <c r="Z3120" i="1"/>
  <c r="Z3169" i="1"/>
  <c r="CU3111" i="1"/>
  <c r="X3111" i="1" s="1"/>
  <c r="CU3119" i="1"/>
  <c r="X3119" i="1" s="1"/>
  <c r="CU3129" i="1"/>
  <c r="X3129" i="1" s="1"/>
  <c r="Z3101" i="1"/>
  <c r="CU3101" i="1"/>
  <c r="X3101" i="1" s="1"/>
  <c r="CU3120" i="1"/>
  <c r="X3120" i="1" s="1"/>
  <c r="CU3138" i="1"/>
  <c r="X3138" i="1" s="1"/>
  <c r="CU3110" i="1"/>
  <c r="X3110" i="1" s="1"/>
  <c r="CU3169" i="1"/>
  <c r="X3169" i="1" s="1"/>
  <c r="Z3093" i="1"/>
  <c r="Z3090" i="1"/>
  <c r="CU3103" i="1"/>
  <c r="X3103" i="1" s="1"/>
  <c r="Z3103" i="1"/>
  <c r="Z3112" i="1"/>
  <c r="Z3100" i="1"/>
  <c r="Z3096" i="1"/>
  <c r="Z3091" i="1"/>
  <c r="Z3089" i="1"/>
  <c r="Z3099" i="1"/>
  <c r="CU3087" i="1"/>
  <c r="X3087" i="1" s="1"/>
  <c r="CU3108" i="1"/>
  <c r="X3108" i="1" s="1"/>
  <c r="Z3108" i="1"/>
  <c r="Z3092" i="1"/>
  <c r="CU3085" i="1"/>
  <c r="X3085" i="1" s="1"/>
  <c r="Z3085" i="1"/>
  <c r="Z3094" i="1"/>
  <c r="Z3098" i="1"/>
  <c r="Z3087" i="1"/>
  <c r="CU3089" i="1"/>
  <c r="X3089" i="1" s="1"/>
  <c r="CU3099" i="1"/>
  <c r="X3099" i="1" s="1"/>
  <c r="CU3093" i="1"/>
  <c r="X3093" i="1" s="1"/>
  <c r="CU3100" i="1"/>
  <c r="X3100" i="1" s="1"/>
  <c r="CU3092" i="1"/>
  <c r="X3092" i="1" s="1"/>
  <c r="CU3098" i="1"/>
  <c r="X3098" i="1" s="1"/>
  <c r="CU3094" i="1"/>
  <c r="X3094" i="1" s="1"/>
  <c r="CU3090" i="1"/>
  <c r="X3090" i="1" s="1"/>
  <c r="CU3091" i="1"/>
  <c r="X3091" i="1" s="1"/>
  <c r="CU3096" i="1"/>
  <c r="X3096" i="1" s="1"/>
  <c r="CU3112" i="1"/>
  <c r="X3112" i="1" s="1"/>
  <c r="DC3171" i="1"/>
  <c r="DA3171" i="1"/>
  <c r="CY3171" i="1"/>
  <c r="Y3171" i="1" s="1"/>
  <c r="CW3171" i="1"/>
  <c r="AA3171" i="1" s="1"/>
  <c r="CR3171" i="1"/>
  <c r="CP3171" i="1"/>
  <c r="CN3171" i="1"/>
  <c r="CJ3171" i="1"/>
  <c r="CH3171" i="1"/>
  <c r="CF3171" i="1"/>
  <c r="BL3171" i="1"/>
  <c r="BD3171" i="1"/>
  <c r="AZ3171" i="1"/>
  <c r="AX3171" i="1"/>
  <c r="DC3167" i="1"/>
  <c r="DA3167" i="1"/>
  <c r="CY3167" i="1"/>
  <c r="Y3167" i="1" s="1"/>
  <c r="CW3167" i="1"/>
  <c r="AA3167" i="1" s="1"/>
  <c r="CR3167" i="1"/>
  <c r="CP3167" i="1"/>
  <c r="CN3167" i="1"/>
  <c r="CJ3167" i="1"/>
  <c r="CH3167" i="1"/>
  <c r="CF3167" i="1"/>
  <c r="BL3167" i="1"/>
  <c r="BD3167" i="1"/>
  <c r="AZ3167" i="1"/>
  <c r="AX3167" i="1"/>
  <c r="DC3106" i="1"/>
  <c r="DA3106" i="1"/>
  <c r="CY3106" i="1"/>
  <c r="Y3106" i="1" s="1"/>
  <c r="CW3106" i="1"/>
  <c r="AA3106" i="1" s="1"/>
  <c r="CR3106" i="1"/>
  <c r="CP3106" i="1"/>
  <c r="CN3106" i="1"/>
  <c r="CJ3106" i="1"/>
  <c r="CH3106" i="1"/>
  <c r="CF3106" i="1"/>
  <c r="BL3106" i="1"/>
  <c r="BD3106" i="1"/>
  <c r="AZ3106" i="1"/>
  <c r="AX3106" i="1"/>
  <c r="DA2953" i="1"/>
  <c r="Y2953" i="1"/>
  <c r="AA2953" i="1"/>
  <c r="CR2953" i="1"/>
  <c r="CP2953" i="1"/>
  <c r="CN2953" i="1"/>
  <c r="CJ2953" i="1"/>
  <c r="CH2953" i="1"/>
  <c r="CF2953" i="1"/>
  <c r="BL2953" i="1"/>
  <c r="BD2953" i="1"/>
  <c r="AZ2953" i="1"/>
  <c r="AX2953" i="1"/>
  <c r="DC3084" i="1"/>
  <c r="DA3084" i="1"/>
  <c r="CY3084" i="1"/>
  <c r="Y3084" i="1" s="1"/>
  <c r="CW3084" i="1"/>
  <c r="AA3084" i="1" s="1"/>
  <c r="CR3084" i="1"/>
  <c r="CP3084" i="1"/>
  <c r="CN3084" i="1"/>
  <c r="CJ3084" i="1"/>
  <c r="CH3084" i="1"/>
  <c r="CF3084" i="1"/>
  <c r="BL3084" i="1"/>
  <c r="BD3084" i="1"/>
  <c r="AZ3084" i="1"/>
  <c r="AX3084" i="1"/>
  <c r="DC3083" i="1"/>
  <c r="DA3083" i="1"/>
  <c r="CY3083" i="1"/>
  <c r="Y3083" i="1" s="1"/>
  <c r="CW3083" i="1"/>
  <c r="AA3083" i="1" s="1"/>
  <c r="CR3083" i="1"/>
  <c r="CP3083" i="1"/>
  <c r="CN3083" i="1"/>
  <c r="CJ3083" i="1"/>
  <c r="CH3083" i="1"/>
  <c r="CF3083" i="1"/>
  <c r="BL3083" i="1"/>
  <c r="BD3083" i="1"/>
  <c r="AZ3083" i="1"/>
  <c r="AX3083" i="1"/>
  <c r="DE2352" i="1"/>
  <c r="DC2352" i="1"/>
  <c r="DA2352" i="1"/>
  <c r="CP2352" i="1"/>
  <c r="DC2747" i="1"/>
  <c r="DE2747" i="1"/>
  <c r="CY2747" i="1"/>
  <c r="CR2747" i="1"/>
  <c r="DC2406" i="1"/>
  <c r="DA2406" i="1"/>
  <c r="CY2378" i="1"/>
  <c r="CR2378" i="1"/>
  <c r="DE2408" i="1"/>
  <c r="DA2408" i="1"/>
  <c r="DC2408" i="1"/>
  <c r="DC2380" i="1"/>
  <c r="CY2380" i="1"/>
  <c r="DC1775" i="1"/>
  <c r="CY1775" i="1"/>
  <c r="CW2578" i="1"/>
  <c r="BZ2578" i="1"/>
  <c r="AD3138" i="1" l="1"/>
  <c r="AD3120" i="1"/>
  <c r="AD3110" i="1"/>
  <c r="AD3169" i="1"/>
  <c r="AD3129" i="1"/>
  <c r="AD3101" i="1"/>
  <c r="AD3119" i="1"/>
  <c r="AD3111" i="1"/>
  <c r="AD3098" i="1"/>
  <c r="AD3093" i="1"/>
  <c r="AD3112" i="1"/>
  <c r="AD3100" i="1"/>
  <c r="AD3103" i="1"/>
  <c r="AD3096" i="1"/>
  <c r="AD3090" i="1"/>
  <c r="AD3099" i="1"/>
  <c r="AD3091" i="1"/>
  <c r="AD3094" i="1"/>
  <c r="AD3085" i="1"/>
  <c r="AD3108" i="1"/>
  <c r="AD3087" i="1"/>
  <c r="AD3089" i="1"/>
  <c r="AD3092" i="1"/>
  <c r="Z3167" i="1"/>
  <c r="Z3084" i="1"/>
  <c r="Z3083" i="1"/>
  <c r="Z3106" i="1"/>
  <c r="Z2953" i="1"/>
  <c r="Z3171" i="1"/>
  <c r="CU3083" i="1"/>
  <c r="X3083" i="1" s="1"/>
  <c r="AD3083" i="1" s="1"/>
  <c r="CU3084" i="1"/>
  <c r="X3084" i="1" s="1"/>
  <c r="CU2953" i="1"/>
  <c r="X2953" i="1" s="1"/>
  <c r="CU3106" i="1"/>
  <c r="X3106" i="1" s="1"/>
  <c r="CU3167" i="1"/>
  <c r="X3167" i="1" s="1"/>
  <c r="CU3171" i="1"/>
  <c r="X3171" i="1" s="1"/>
  <c r="DC2379" i="1"/>
  <c r="DE2380" i="1"/>
  <c r="CR2380" i="1"/>
  <c r="CP2361" i="1"/>
  <c r="AZ2361" i="1"/>
  <c r="CY2361" i="1"/>
  <c r="CR2361" i="1"/>
  <c r="DE2179" i="1"/>
  <c r="DC2179" i="1"/>
  <c r="DA2179" i="1"/>
  <c r="CJ2179" i="1"/>
  <c r="BZ2179" i="1"/>
  <c r="AZ2179" i="1"/>
  <c r="DC2056" i="1"/>
  <c r="DC3074" i="1"/>
  <c r="DA3074" i="1"/>
  <c r="CY3074" i="1"/>
  <c r="Y3074" i="1" s="1"/>
  <c r="CW3074" i="1"/>
  <c r="AA3074" i="1" s="1"/>
  <c r="CR3074" i="1"/>
  <c r="CP3074" i="1"/>
  <c r="CN3074" i="1"/>
  <c r="CJ3074" i="1"/>
  <c r="CH3074" i="1"/>
  <c r="CF3074" i="1"/>
  <c r="BL3074" i="1"/>
  <c r="BD3074" i="1"/>
  <c r="AZ3074" i="1"/>
  <c r="AX3074" i="1"/>
  <c r="DC3080" i="1"/>
  <c r="DA3080" i="1"/>
  <c r="CY3080" i="1"/>
  <c r="Y3080" i="1" s="1"/>
  <c r="CW3080" i="1"/>
  <c r="AA3080" i="1" s="1"/>
  <c r="CR3080" i="1"/>
  <c r="CP3080" i="1"/>
  <c r="CN3080" i="1"/>
  <c r="CJ3080" i="1"/>
  <c r="CH3080" i="1"/>
  <c r="CF3080" i="1"/>
  <c r="BL3080" i="1"/>
  <c r="BD3080" i="1"/>
  <c r="AZ3080" i="1"/>
  <c r="AX3080" i="1"/>
  <c r="DC3077" i="1"/>
  <c r="DA3077" i="1"/>
  <c r="CY3077" i="1"/>
  <c r="Y3077" i="1" s="1"/>
  <c r="CW3077" i="1"/>
  <c r="AA3077" i="1" s="1"/>
  <c r="CR3077" i="1"/>
  <c r="CP3077" i="1"/>
  <c r="CN3077" i="1"/>
  <c r="CJ3077" i="1"/>
  <c r="CH3077" i="1"/>
  <c r="CF3077" i="1"/>
  <c r="BL3077" i="1"/>
  <c r="BD3077" i="1"/>
  <c r="AZ3077" i="1"/>
  <c r="AX3077" i="1"/>
  <c r="DC3076" i="1"/>
  <c r="DA3076" i="1"/>
  <c r="CY3076" i="1"/>
  <c r="Y3076" i="1" s="1"/>
  <c r="CW3076" i="1"/>
  <c r="AA3076" i="1" s="1"/>
  <c r="CR3076" i="1"/>
  <c r="CP3076" i="1"/>
  <c r="CN3076" i="1"/>
  <c r="CJ3076" i="1"/>
  <c r="CH3076" i="1"/>
  <c r="CF3076" i="1"/>
  <c r="BL3076" i="1"/>
  <c r="BD3076" i="1"/>
  <c r="AZ3076" i="1"/>
  <c r="AX3076" i="1"/>
  <c r="DC3078" i="1"/>
  <c r="DA3078" i="1"/>
  <c r="CY3078" i="1"/>
  <c r="Y3078" i="1" s="1"/>
  <c r="CW3078" i="1"/>
  <c r="AA3078" i="1" s="1"/>
  <c r="CR3078" i="1"/>
  <c r="CP3078" i="1"/>
  <c r="CN3078" i="1"/>
  <c r="CJ3078" i="1"/>
  <c r="CH3078" i="1"/>
  <c r="CF3078" i="1"/>
  <c r="BL3078" i="1"/>
  <c r="BD3078" i="1"/>
  <c r="AZ3078" i="1"/>
  <c r="AX3078" i="1"/>
  <c r="DC3082" i="1"/>
  <c r="DA3082" i="1"/>
  <c r="CY3082" i="1"/>
  <c r="Y3082" i="1" s="1"/>
  <c r="CW3082" i="1"/>
  <c r="AA3082" i="1" s="1"/>
  <c r="CR3082" i="1"/>
  <c r="CP3082" i="1"/>
  <c r="CN3082" i="1"/>
  <c r="CJ3082" i="1"/>
  <c r="CH3082" i="1"/>
  <c r="CF3082" i="1"/>
  <c r="BL3082" i="1"/>
  <c r="BD3082" i="1"/>
  <c r="AZ3082" i="1"/>
  <c r="AX3082" i="1"/>
  <c r="DC3079" i="1"/>
  <c r="DA3079" i="1"/>
  <c r="CY3079" i="1"/>
  <c r="Y3079" i="1" s="1"/>
  <c r="CW3079" i="1"/>
  <c r="AA3079" i="1" s="1"/>
  <c r="CR3079" i="1"/>
  <c r="CP3079" i="1"/>
  <c r="CN3079" i="1"/>
  <c r="CJ3079" i="1"/>
  <c r="CH3079" i="1"/>
  <c r="CF3079" i="1"/>
  <c r="BL3079" i="1"/>
  <c r="BD3079" i="1"/>
  <c r="AZ3079" i="1"/>
  <c r="AX3079" i="1"/>
  <c r="DC3081" i="1"/>
  <c r="DA3081" i="1"/>
  <c r="CY3081" i="1"/>
  <c r="Y3081" i="1" s="1"/>
  <c r="CW3081" i="1"/>
  <c r="AA3081" i="1" s="1"/>
  <c r="CR3081" i="1"/>
  <c r="CP3081" i="1"/>
  <c r="CN3081" i="1"/>
  <c r="CJ3081" i="1"/>
  <c r="CH3081" i="1"/>
  <c r="CF3081" i="1"/>
  <c r="BL3081" i="1"/>
  <c r="BD3081" i="1"/>
  <c r="AZ3081" i="1"/>
  <c r="AX3081" i="1"/>
  <c r="DC3059" i="1"/>
  <c r="DA3059" i="1"/>
  <c r="CY3059" i="1"/>
  <c r="Y3059" i="1" s="1"/>
  <c r="CW3059" i="1"/>
  <c r="AA3059" i="1" s="1"/>
  <c r="CR3059" i="1"/>
  <c r="CP3059" i="1"/>
  <c r="CN3059" i="1"/>
  <c r="CJ3059" i="1"/>
  <c r="CH3059" i="1"/>
  <c r="CF3059" i="1"/>
  <c r="BL3059" i="1"/>
  <c r="BD3059" i="1"/>
  <c r="AZ3059" i="1"/>
  <c r="AX3059" i="1"/>
  <c r="DA3060" i="1"/>
  <c r="CY3060" i="1"/>
  <c r="Y3060" i="1" s="1"/>
  <c r="CW3060" i="1"/>
  <c r="AA3060" i="1" s="1"/>
  <c r="CP3060" i="1"/>
  <c r="CN3060" i="1"/>
  <c r="CJ3060" i="1"/>
  <c r="CH3060" i="1"/>
  <c r="CF3060" i="1"/>
  <c r="BL3060" i="1"/>
  <c r="BD3060" i="1"/>
  <c r="AZ3060" i="1"/>
  <c r="AX3060" i="1"/>
  <c r="DC3072" i="1"/>
  <c r="DA3072" i="1"/>
  <c r="CY3072" i="1"/>
  <c r="Y3072" i="1" s="1"/>
  <c r="CW3072" i="1"/>
  <c r="AA3072" i="1" s="1"/>
  <c r="CR3072" i="1"/>
  <c r="CP3072" i="1"/>
  <c r="CN3072" i="1"/>
  <c r="CJ3072" i="1"/>
  <c r="CH3072" i="1"/>
  <c r="CF3072" i="1"/>
  <c r="BL3072" i="1"/>
  <c r="BD3072" i="1"/>
  <c r="AZ3072" i="1"/>
  <c r="AX3072" i="1"/>
  <c r="AD2953" i="1" l="1"/>
  <c r="AD3167" i="1"/>
  <c r="AD3084" i="1"/>
  <c r="AD3171" i="1"/>
  <c r="AD3106" i="1"/>
  <c r="Z3078" i="1"/>
  <c r="Z3076" i="1"/>
  <c r="Z3074" i="1"/>
  <c r="Z3059" i="1"/>
  <c r="Z3060" i="1"/>
  <c r="Z3081" i="1"/>
  <c r="Z3072" i="1"/>
  <c r="Z3082" i="1"/>
  <c r="Z3079" i="1"/>
  <c r="Z3077" i="1"/>
  <c r="Z3080" i="1"/>
  <c r="CU3074" i="1"/>
  <c r="X3074" i="1" s="1"/>
  <c r="CU3079" i="1"/>
  <c r="X3079" i="1" s="1"/>
  <c r="CU3077" i="1"/>
  <c r="X3077" i="1" s="1"/>
  <c r="CU3072" i="1"/>
  <c r="X3072" i="1" s="1"/>
  <c r="AD3072" i="1" s="1"/>
  <c r="CU3060" i="1"/>
  <c r="X3060" i="1" s="1"/>
  <c r="CU3082" i="1"/>
  <c r="X3082" i="1" s="1"/>
  <c r="CU3059" i="1"/>
  <c r="X3059" i="1" s="1"/>
  <c r="CU3078" i="1"/>
  <c r="X3078" i="1" s="1"/>
  <c r="CU3080" i="1"/>
  <c r="X3080" i="1" s="1"/>
  <c r="CU3081" i="1"/>
  <c r="X3081" i="1" s="1"/>
  <c r="CU3076" i="1"/>
  <c r="X3076" i="1" s="1"/>
  <c r="DC3070" i="1"/>
  <c r="DA3070" i="1"/>
  <c r="CY3070" i="1"/>
  <c r="Y3070" i="1" s="1"/>
  <c r="CW3070" i="1"/>
  <c r="AA3070" i="1" s="1"/>
  <c r="CR3070" i="1"/>
  <c r="CP3070" i="1"/>
  <c r="CN3070" i="1"/>
  <c r="CJ3070" i="1"/>
  <c r="CH3070" i="1"/>
  <c r="CF3070" i="1"/>
  <c r="BL3070" i="1"/>
  <c r="BD3070" i="1"/>
  <c r="AZ3070" i="1"/>
  <c r="AX3070" i="1"/>
  <c r="DC3068" i="1"/>
  <c r="DA3068" i="1"/>
  <c r="CY3068" i="1"/>
  <c r="Y3068" i="1" s="1"/>
  <c r="CW3068" i="1"/>
  <c r="AA3068" i="1" s="1"/>
  <c r="CR3068" i="1"/>
  <c r="CP3068" i="1"/>
  <c r="CN3068" i="1"/>
  <c r="CJ3068" i="1"/>
  <c r="CH3068" i="1"/>
  <c r="CF3068" i="1"/>
  <c r="BL3068" i="1"/>
  <c r="BD3068" i="1"/>
  <c r="AZ3068" i="1"/>
  <c r="AX3068" i="1"/>
  <c r="DC3063" i="1"/>
  <c r="DA3063" i="1"/>
  <c r="CY3063" i="1"/>
  <c r="Y3063" i="1" s="1"/>
  <c r="CW3063" i="1"/>
  <c r="AA3063" i="1" s="1"/>
  <c r="CR3063" i="1"/>
  <c r="CP3063" i="1"/>
  <c r="CN3063" i="1"/>
  <c r="CJ3063" i="1"/>
  <c r="CH3063" i="1"/>
  <c r="CF3063" i="1"/>
  <c r="BL3063" i="1"/>
  <c r="BD3063" i="1"/>
  <c r="AZ3063" i="1"/>
  <c r="AX3063" i="1"/>
  <c r="DC3064" i="1"/>
  <c r="DA3064" i="1"/>
  <c r="CY3064" i="1"/>
  <c r="Y3064" i="1" s="1"/>
  <c r="CW3064" i="1"/>
  <c r="AA3064" i="1" s="1"/>
  <c r="CR3064" i="1"/>
  <c r="CP3064" i="1"/>
  <c r="CN3064" i="1"/>
  <c r="CJ3064" i="1"/>
  <c r="CH3064" i="1"/>
  <c r="CF3064" i="1"/>
  <c r="BL3064" i="1"/>
  <c r="BD3064" i="1"/>
  <c r="AZ3064" i="1"/>
  <c r="AX3064" i="1"/>
  <c r="DC3057" i="1"/>
  <c r="DA3057" i="1"/>
  <c r="CY3057" i="1"/>
  <c r="Y3057" i="1" s="1"/>
  <c r="CW3057" i="1"/>
  <c r="AA3057" i="1" s="1"/>
  <c r="CR3057" i="1"/>
  <c r="CP3057" i="1"/>
  <c r="CN3057" i="1"/>
  <c r="CJ3057" i="1"/>
  <c r="CH3057" i="1"/>
  <c r="CF3057" i="1"/>
  <c r="BL3057" i="1"/>
  <c r="BD3057" i="1"/>
  <c r="AZ3057" i="1"/>
  <c r="AX3057" i="1"/>
  <c r="DC3056" i="1"/>
  <c r="DA3056" i="1"/>
  <c r="CY3056" i="1"/>
  <c r="Y3056" i="1" s="1"/>
  <c r="CW3056" i="1"/>
  <c r="AA3056" i="1" s="1"/>
  <c r="CR3056" i="1"/>
  <c r="CP3056" i="1"/>
  <c r="CN3056" i="1"/>
  <c r="CJ3056" i="1"/>
  <c r="CH3056" i="1"/>
  <c r="CF3056" i="1"/>
  <c r="BL3056" i="1"/>
  <c r="BD3056" i="1"/>
  <c r="AZ3056" i="1"/>
  <c r="AX3056" i="1"/>
  <c r="DC3062" i="1"/>
  <c r="DA3062" i="1"/>
  <c r="CY3062" i="1"/>
  <c r="Y3062" i="1" s="1"/>
  <c r="CW3062" i="1"/>
  <c r="AA3062" i="1" s="1"/>
  <c r="CR3062" i="1"/>
  <c r="CP3062" i="1"/>
  <c r="CN3062" i="1"/>
  <c r="CJ3062" i="1"/>
  <c r="CH3062" i="1"/>
  <c r="CF3062" i="1"/>
  <c r="BL3062" i="1"/>
  <c r="BD3062" i="1"/>
  <c r="AZ3062" i="1"/>
  <c r="AX3062" i="1"/>
  <c r="DC3065" i="1"/>
  <c r="DA3065" i="1"/>
  <c r="CY3065" i="1"/>
  <c r="Y3065" i="1" s="1"/>
  <c r="CW3065" i="1"/>
  <c r="AA3065" i="1" s="1"/>
  <c r="CR3065" i="1"/>
  <c r="CP3065" i="1"/>
  <c r="CN3065" i="1"/>
  <c r="CJ3065" i="1"/>
  <c r="CH3065" i="1"/>
  <c r="CF3065" i="1"/>
  <c r="BL3065" i="1"/>
  <c r="BD3065" i="1"/>
  <c r="AZ3065" i="1"/>
  <c r="AX3065" i="1"/>
  <c r="DC3071" i="1"/>
  <c r="DA3071" i="1"/>
  <c r="CY3071" i="1"/>
  <c r="Y3071" i="1" s="1"/>
  <c r="CW3071" i="1"/>
  <c r="AA3071" i="1" s="1"/>
  <c r="CR3071" i="1"/>
  <c r="CP3071" i="1"/>
  <c r="CN3071" i="1"/>
  <c r="CJ3071" i="1"/>
  <c r="CH3071" i="1"/>
  <c r="CF3071" i="1"/>
  <c r="BL3071" i="1"/>
  <c r="BD3071" i="1"/>
  <c r="AZ3071" i="1"/>
  <c r="AX3071" i="1"/>
  <c r="DC3067" i="1"/>
  <c r="DA3067" i="1"/>
  <c r="CY3067" i="1"/>
  <c r="Y3067" i="1" s="1"/>
  <c r="CW3067" i="1"/>
  <c r="AA3067" i="1" s="1"/>
  <c r="CR3067" i="1"/>
  <c r="CP3067" i="1"/>
  <c r="CN3067" i="1"/>
  <c r="CJ3067" i="1"/>
  <c r="CH3067" i="1"/>
  <c r="CF3067" i="1"/>
  <c r="BL3067" i="1"/>
  <c r="BD3067" i="1"/>
  <c r="AZ3067" i="1"/>
  <c r="AX3067" i="1"/>
  <c r="DA3045" i="1"/>
  <c r="CY3045" i="1"/>
  <c r="Y3045" i="1" s="1"/>
  <c r="CW3045" i="1"/>
  <c r="AA3045" i="1" s="1"/>
  <c r="CR3045" i="1"/>
  <c r="CP3045" i="1"/>
  <c r="CN3045" i="1"/>
  <c r="CJ3045" i="1"/>
  <c r="CH3045" i="1"/>
  <c r="CF3045" i="1"/>
  <c r="BL3045" i="1"/>
  <c r="BD3045" i="1"/>
  <c r="AZ3045" i="1"/>
  <c r="AX3045" i="1"/>
  <c r="DC3073" i="1"/>
  <c r="DA3073" i="1"/>
  <c r="CY3073" i="1"/>
  <c r="Y3073" i="1" s="1"/>
  <c r="CW3073" i="1"/>
  <c r="AA3073" i="1" s="1"/>
  <c r="CR3073" i="1"/>
  <c r="CP3073" i="1"/>
  <c r="CN3073" i="1"/>
  <c r="CJ3073" i="1"/>
  <c r="CH3073" i="1"/>
  <c r="CF3073" i="1"/>
  <c r="BL3073" i="1"/>
  <c r="BD3073" i="1"/>
  <c r="AZ3073" i="1"/>
  <c r="AX3073" i="1"/>
  <c r="AD3079" i="1" l="1"/>
  <c r="AD3077" i="1"/>
  <c r="AD3078" i="1"/>
  <c r="AD3059" i="1"/>
  <c r="AD3060" i="1"/>
  <c r="AD3076" i="1"/>
  <c r="AD3074" i="1"/>
  <c r="AD3082" i="1"/>
  <c r="AD3081" i="1"/>
  <c r="AD3080" i="1"/>
  <c r="Z3063" i="1"/>
  <c r="Z3064" i="1"/>
  <c r="Z3045" i="1"/>
  <c r="Z3062" i="1"/>
  <c r="CU3070" i="1"/>
  <c r="X3070" i="1" s="1"/>
  <c r="Z3073" i="1"/>
  <c r="Z3067" i="1"/>
  <c r="Z3071" i="1"/>
  <c r="Z3057" i="1"/>
  <c r="Z3070" i="1"/>
  <c r="CU3071" i="1"/>
  <c r="X3071" i="1" s="1"/>
  <c r="Z3065" i="1"/>
  <c r="CU3056" i="1"/>
  <c r="X3056" i="1" s="1"/>
  <c r="Z3056" i="1"/>
  <c r="CU3068" i="1"/>
  <c r="X3068" i="1" s="1"/>
  <c r="Z3068" i="1"/>
  <c r="CU3073" i="1"/>
  <c r="X3073" i="1" s="1"/>
  <c r="CU3065" i="1"/>
  <c r="X3065" i="1" s="1"/>
  <c r="CU3045" i="1"/>
  <c r="X3045" i="1" s="1"/>
  <c r="CU3062" i="1"/>
  <c r="X3062" i="1" s="1"/>
  <c r="CU3064" i="1"/>
  <c r="X3064" i="1" s="1"/>
  <c r="CU3067" i="1"/>
  <c r="X3067" i="1" s="1"/>
  <c r="CU3063" i="1"/>
  <c r="X3063" i="1" s="1"/>
  <c r="CU3057" i="1"/>
  <c r="X3057" i="1" s="1"/>
  <c r="DC3061" i="1"/>
  <c r="DA3061" i="1"/>
  <c r="CY3061" i="1"/>
  <c r="Y3061" i="1" s="1"/>
  <c r="CW3061" i="1"/>
  <c r="AA3061" i="1" s="1"/>
  <c r="CR3061" i="1"/>
  <c r="CP3061" i="1"/>
  <c r="CN3061" i="1"/>
  <c r="CJ3061" i="1"/>
  <c r="CH3061" i="1"/>
  <c r="CF3061" i="1"/>
  <c r="BL3061" i="1"/>
  <c r="BD3061" i="1"/>
  <c r="AZ3061" i="1"/>
  <c r="AX3061" i="1"/>
  <c r="DC3044" i="1"/>
  <c r="DA3044" i="1"/>
  <c r="CY3044" i="1"/>
  <c r="Y3044" i="1" s="1"/>
  <c r="CW3044" i="1"/>
  <c r="AA3044" i="1" s="1"/>
  <c r="CR3044" i="1"/>
  <c r="CP3044" i="1"/>
  <c r="CN3044" i="1"/>
  <c r="CJ3044" i="1"/>
  <c r="CH3044" i="1"/>
  <c r="CF3044" i="1"/>
  <c r="BL3044" i="1"/>
  <c r="BD3044" i="1"/>
  <c r="AZ3044" i="1"/>
  <c r="AX3044" i="1"/>
  <c r="DC3031" i="1"/>
  <c r="DA3031" i="1"/>
  <c r="CY3031" i="1"/>
  <c r="Y3031" i="1" s="1"/>
  <c r="CW3031" i="1"/>
  <c r="AA3031" i="1" s="1"/>
  <c r="CR3031" i="1"/>
  <c r="CP3031" i="1"/>
  <c r="CN3031" i="1"/>
  <c r="CJ3031" i="1"/>
  <c r="CH3031" i="1"/>
  <c r="CF3031" i="1"/>
  <c r="BL3031" i="1"/>
  <c r="BD3031" i="1"/>
  <c r="AZ3031" i="1"/>
  <c r="AX3031" i="1"/>
  <c r="DC3012" i="1"/>
  <c r="DA3012" i="1"/>
  <c r="CY3012" i="1"/>
  <c r="Y3012" i="1" s="1"/>
  <c r="CW3012" i="1"/>
  <c r="AA3012" i="1" s="1"/>
  <c r="CR3012" i="1"/>
  <c r="CP3012" i="1"/>
  <c r="CN3012" i="1"/>
  <c r="CJ3012" i="1"/>
  <c r="CH3012" i="1"/>
  <c r="CF3012" i="1"/>
  <c r="BL3012" i="1"/>
  <c r="BD3012" i="1"/>
  <c r="AZ3012" i="1"/>
  <c r="AX3012" i="1"/>
  <c r="DC3055" i="1"/>
  <c r="DA3055" i="1"/>
  <c r="CY3055" i="1"/>
  <c r="Y3055" i="1" s="1"/>
  <c r="CW3055" i="1"/>
  <c r="AA3055" i="1" s="1"/>
  <c r="CR3055" i="1"/>
  <c r="CP3055" i="1"/>
  <c r="CN3055" i="1"/>
  <c r="CJ3055" i="1"/>
  <c r="CH3055" i="1"/>
  <c r="CF3055" i="1"/>
  <c r="BL3055" i="1"/>
  <c r="BD3055" i="1"/>
  <c r="AZ3055" i="1"/>
  <c r="AX3055" i="1"/>
  <c r="DC3054" i="1"/>
  <c r="DA3054" i="1"/>
  <c r="CY3054" i="1"/>
  <c r="Y3054" i="1" s="1"/>
  <c r="CW3054" i="1"/>
  <c r="AA3054" i="1" s="1"/>
  <c r="CR3054" i="1"/>
  <c r="CP3054" i="1"/>
  <c r="CN3054" i="1"/>
  <c r="CJ3054" i="1"/>
  <c r="CH3054" i="1"/>
  <c r="CF3054" i="1"/>
  <c r="BL3054" i="1"/>
  <c r="BD3054" i="1"/>
  <c r="AZ3054" i="1"/>
  <c r="AX3054" i="1"/>
  <c r="DC3053" i="1"/>
  <c r="DA3053" i="1"/>
  <c r="CY3053" i="1"/>
  <c r="Y3053" i="1" s="1"/>
  <c r="CW3053" i="1"/>
  <c r="AA3053" i="1" s="1"/>
  <c r="CR3053" i="1"/>
  <c r="CP3053" i="1"/>
  <c r="CN3053" i="1"/>
  <c r="CJ3053" i="1"/>
  <c r="CH3053" i="1"/>
  <c r="CF3053" i="1"/>
  <c r="BL3053" i="1"/>
  <c r="BD3053" i="1"/>
  <c r="AZ3053" i="1"/>
  <c r="AX3053" i="1"/>
  <c r="DC3052" i="1"/>
  <c r="DA3052" i="1"/>
  <c r="CY3052" i="1"/>
  <c r="Y3052" i="1" s="1"/>
  <c r="CW3052" i="1"/>
  <c r="AA3052" i="1" s="1"/>
  <c r="CR3052" i="1"/>
  <c r="CP3052" i="1"/>
  <c r="CN3052" i="1"/>
  <c r="CJ3052" i="1"/>
  <c r="CH3052" i="1"/>
  <c r="CF3052" i="1"/>
  <c r="BL3052" i="1"/>
  <c r="BD3052" i="1"/>
  <c r="AZ3052" i="1"/>
  <c r="AX3052" i="1"/>
  <c r="DC3051" i="1"/>
  <c r="DA3051" i="1"/>
  <c r="CY3051" i="1"/>
  <c r="Y3051" i="1" s="1"/>
  <c r="CW3051" i="1"/>
  <c r="AA3051" i="1" s="1"/>
  <c r="CR3051" i="1"/>
  <c r="CP3051" i="1"/>
  <c r="CN3051" i="1"/>
  <c r="CJ3051" i="1"/>
  <c r="CH3051" i="1"/>
  <c r="CF3051" i="1"/>
  <c r="BL3051" i="1"/>
  <c r="BD3051" i="1"/>
  <c r="AZ3051" i="1"/>
  <c r="AX3051" i="1"/>
  <c r="DC3049" i="1"/>
  <c r="DA3049" i="1"/>
  <c r="CY3049" i="1"/>
  <c r="Y3049" i="1" s="1"/>
  <c r="CW3049" i="1"/>
  <c r="AA3049" i="1" s="1"/>
  <c r="CR3049" i="1"/>
  <c r="CP3049" i="1"/>
  <c r="CN3049" i="1"/>
  <c r="CJ3049" i="1"/>
  <c r="CH3049" i="1"/>
  <c r="CF3049" i="1"/>
  <c r="BL3049" i="1"/>
  <c r="BD3049" i="1"/>
  <c r="AZ3049" i="1"/>
  <c r="AX3049" i="1"/>
  <c r="AD3062" i="1" l="1"/>
  <c r="AD3064" i="1"/>
  <c r="AD3063" i="1"/>
  <c r="AD3067" i="1"/>
  <c r="AD3070" i="1"/>
  <c r="AD3045" i="1"/>
  <c r="AD3071" i="1"/>
  <c r="AD3073" i="1"/>
  <c r="AD3056" i="1"/>
  <c r="AD3068" i="1"/>
  <c r="AD3057" i="1"/>
  <c r="AD3065" i="1"/>
  <c r="Z3031" i="1"/>
  <c r="Z3054" i="1"/>
  <c r="Z3044" i="1"/>
  <c r="Z3055" i="1"/>
  <c r="Z3051" i="1"/>
  <c r="CU3012" i="1"/>
  <c r="X3012" i="1" s="1"/>
  <c r="Z3012" i="1"/>
  <c r="CU3031" i="1"/>
  <c r="X3031" i="1" s="1"/>
  <c r="CU3052" i="1"/>
  <c r="X3052" i="1" s="1"/>
  <c r="Z3052" i="1"/>
  <c r="Z3049" i="1"/>
  <c r="Z3053" i="1"/>
  <c r="Z3061" i="1"/>
  <c r="CU3051" i="1"/>
  <c r="X3051" i="1" s="1"/>
  <c r="CU3055" i="1"/>
  <c r="X3055" i="1" s="1"/>
  <c r="CU3049" i="1"/>
  <c r="X3049" i="1" s="1"/>
  <c r="CU3053" i="1"/>
  <c r="X3053" i="1" s="1"/>
  <c r="CU3044" i="1"/>
  <c r="X3044" i="1" s="1"/>
  <c r="CU3061" i="1"/>
  <c r="X3061" i="1" s="1"/>
  <c r="CU3054" i="1"/>
  <c r="X3054" i="1" s="1"/>
  <c r="DC3069" i="1"/>
  <c r="DA3069" i="1"/>
  <c r="CY3069" i="1"/>
  <c r="Y3069" i="1" s="1"/>
  <c r="CW3069" i="1"/>
  <c r="AA3069" i="1" s="1"/>
  <c r="CR3069" i="1"/>
  <c r="CP3069" i="1"/>
  <c r="CN3069" i="1"/>
  <c r="CJ3069" i="1"/>
  <c r="CH3069" i="1"/>
  <c r="CF3069" i="1"/>
  <c r="BL3069" i="1"/>
  <c r="BD3069" i="1"/>
  <c r="AZ3069" i="1"/>
  <c r="AX3069" i="1"/>
  <c r="DC3075" i="1"/>
  <c r="DA3075" i="1"/>
  <c r="CY3075" i="1"/>
  <c r="Y3075" i="1" s="1"/>
  <c r="CW3075" i="1"/>
  <c r="AA3075" i="1" s="1"/>
  <c r="CR3075" i="1"/>
  <c r="CP3075" i="1"/>
  <c r="CN3075" i="1"/>
  <c r="CJ3075" i="1"/>
  <c r="CH3075" i="1"/>
  <c r="CF3075" i="1"/>
  <c r="BL3075" i="1"/>
  <c r="BD3075" i="1"/>
  <c r="AZ3075" i="1"/>
  <c r="AX3075" i="1"/>
  <c r="DC2965" i="1"/>
  <c r="DA2965" i="1"/>
  <c r="CY2965" i="1"/>
  <c r="Y2965" i="1" s="1"/>
  <c r="CW2965" i="1"/>
  <c r="AA2965" i="1" s="1"/>
  <c r="CR2965" i="1"/>
  <c r="CP2965" i="1"/>
  <c r="CN2965" i="1"/>
  <c r="CJ2965" i="1"/>
  <c r="CH2965" i="1"/>
  <c r="CF2965" i="1"/>
  <c r="BL2965" i="1"/>
  <c r="BD2965" i="1"/>
  <c r="AZ2965" i="1"/>
  <c r="AX2965" i="1"/>
  <c r="DC3042" i="1"/>
  <c r="DA3042" i="1"/>
  <c r="CY3042" i="1"/>
  <c r="Y3042" i="1" s="1"/>
  <c r="CW3042" i="1"/>
  <c r="AA3042" i="1" s="1"/>
  <c r="CR3042" i="1"/>
  <c r="CP3042" i="1"/>
  <c r="CN3042" i="1"/>
  <c r="CJ3042" i="1"/>
  <c r="CH3042" i="1"/>
  <c r="CF3042" i="1"/>
  <c r="BL3042" i="1"/>
  <c r="BD3042" i="1"/>
  <c r="AZ3042" i="1"/>
  <c r="AX3042" i="1"/>
  <c r="DC3058" i="1"/>
  <c r="DA3058" i="1"/>
  <c r="CY3058" i="1"/>
  <c r="Y3058" i="1" s="1"/>
  <c r="CW3058" i="1"/>
  <c r="AA3058" i="1" s="1"/>
  <c r="CR3058" i="1"/>
  <c r="CP3058" i="1"/>
  <c r="CN3058" i="1"/>
  <c r="CJ3058" i="1"/>
  <c r="CH3058" i="1"/>
  <c r="CF3058" i="1"/>
  <c r="BL3058" i="1"/>
  <c r="BD3058" i="1"/>
  <c r="AZ3058" i="1"/>
  <c r="AX3058" i="1"/>
  <c r="DC3040" i="1"/>
  <c r="DA3040" i="1"/>
  <c r="CY3040" i="1"/>
  <c r="Y3040" i="1" s="1"/>
  <c r="CW3040" i="1"/>
  <c r="AA3040" i="1" s="1"/>
  <c r="CR3040" i="1"/>
  <c r="CP3040" i="1"/>
  <c r="CN3040" i="1"/>
  <c r="CJ3040" i="1"/>
  <c r="CH3040" i="1"/>
  <c r="CF3040" i="1"/>
  <c r="BL3040" i="1"/>
  <c r="BD3040" i="1"/>
  <c r="AZ3040" i="1"/>
  <c r="AX3040" i="1"/>
  <c r="DC3041" i="1"/>
  <c r="DA3041" i="1"/>
  <c r="CY3041" i="1"/>
  <c r="Y3041" i="1" s="1"/>
  <c r="CW3041" i="1"/>
  <c r="AA3041" i="1" s="1"/>
  <c r="CR3041" i="1"/>
  <c r="CP3041" i="1"/>
  <c r="CN3041" i="1"/>
  <c r="CJ3041" i="1"/>
  <c r="CH3041" i="1"/>
  <c r="CF3041" i="1"/>
  <c r="BL3041" i="1"/>
  <c r="BD3041" i="1"/>
  <c r="AZ3041" i="1"/>
  <c r="AX3041" i="1"/>
  <c r="DC3039" i="1"/>
  <c r="DA3039" i="1"/>
  <c r="CY3039" i="1"/>
  <c r="Y3039" i="1" s="1"/>
  <c r="CW3039" i="1"/>
  <c r="AA3039" i="1" s="1"/>
  <c r="CR3039" i="1"/>
  <c r="CP3039" i="1"/>
  <c r="CN3039" i="1"/>
  <c r="CJ3039" i="1"/>
  <c r="CH3039" i="1"/>
  <c r="CF3039" i="1"/>
  <c r="BL3039" i="1"/>
  <c r="BD3039" i="1"/>
  <c r="AZ3039" i="1"/>
  <c r="AX3039" i="1"/>
  <c r="DC3037" i="1"/>
  <c r="DA3037" i="1"/>
  <c r="CY3037" i="1"/>
  <c r="Y3037" i="1" s="1"/>
  <c r="CW3037" i="1"/>
  <c r="AA3037" i="1" s="1"/>
  <c r="CR3037" i="1"/>
  <c r="CP3037" i="1"/>
  <c r="CN3037" i="1"/>
  <c r="CJ3037" i="1"/>
  <c r="CH3037" i="1"/>
  <c r="CF3037" i="1"/>
  <c r="BL3037" i="1"/>
  <c r="BD3037" i="1"/>
  <c r="AZ3037" i="1"/>
  <c r="AX3037" i="1"/>
  <c r="DC3033" i="1"/>
  <c r="DA3033" i="1"/>
  <c r="CY3033" i="1"/>
  <c r="Y3033" i="1" s="1"/>
  <c r="CW3033" i="1"/>
  <c r="AA3033" i="1" s="1"/>
  <c r="CR3033" i="1"/>
  <c r="CP3033" i="1"/>
  <c r="CN3033" i="1"/>
  <c r="CJ3033" i="1"/>
  <c r="CH3033" i="1"/>
  <c r="CF3033" i="1"/>
  <c r="BL3033" i="1"/>
  <c r="BD3033" i="1"/>
  <c r="AZ3033" i="1"/>
  <c r="AX3033" i="1"/>
  <c r="AD3031" i="1" l="1"/>
  <c r="AD3044" i="1"/>
  <c r="AD3054" i="1"/>
  <c r="AD3049" i="1"/>
  <c r="AD3012" i="1"/>
  <c r="AD3055" i="1"/>
  <c r="AD3051" i="1"/>
  <c r="AD3061" i="1"/>
  <c r="AD3052" i="1"/>
  <c r="AD3053" i="1"/>
  <c r="Z3037" i="1"/>
  <c r="Z2965" i="1"/>
  <c r="Z3058" i="1"/>
  <c r="Z3033" i="1"/>
  <c r="CU3041" i="1"/>
  <c r="X3041" i="1" s="1"/>
  <c r="Z3041" i="1"/>
  <c r="Z3040" i="1"/>
  <c r="Z3075" i="1"/>
  <c r="Z3039" i="1"/>
  <c r="CU3042" i="1"/>
  <c r="X3042" i="1" s="1"/>
  <c r="Z3042" i="1"/>
  <c r="CU3069" i="1"/>
  <c r="X3069" i="1" s="1"/>
  <c r="Z3069" i="1"/>
  <c r="CU3037" i="1"/>
  <c r="X3037" i="1" s="1"/>
  <c r="CU2965" i="1"/>
  <c r="X2965" i="1" s="1"/>
  <c r="CU3039" i="1"/>
  <c r="X3039" i="1" s="1"/>
  <c r="CU3058" i="1"/>
  <c r="X3058" i="1" s="1"/>
  <c r="CU3075" i="1"/>
  <c r="X3075" i="1" s="1"/>
  <c r="CU3033" i="1"/>
  <c r="X3033" i="1" s="1"/>
  <c r="CU3040" i="1"/>
  <c r="X3040" i="1" s="1"/>
  <c r="AD2965" i="1" l="1"/>
  <c r="AD3039" i="1"/>
  <c r="AD3058" i="1"/>
  <c r="AD3037" i="1"/>
  <c r="AD3075" i="1"/>
  <c r="AD3041" i="1"/>
  <c r="AD3040" i="1"/>
  <c r="AD3069" i="1"/>
  <c r="AD3033" i="1"/>
  <c r="AD3042" i="1"/>
  <c r="DC3047" i="1"/>
  <c r="DA3047" i="1"/>
  <c r="CY3047" i="1"/>
  <c r="Y3047" i="1" s="1"/>
  <c r="CW3047" i="1"/>
  <c r="AA3047" i="1" s="1"/>
  <c r="CR3047" i="1"/>
  <c r="CP3047" i="1"/>
  <c r="CN3047" i="1"/>
  <c r="CJ3047" i="1"/>
  <c r="CH3047" i="1"/>
  <c r="CF3047" i="1"/>
  <c r="BL3047" i="1"/>
  <c r="BD3047" i="1"/>
  <c r="AZ3047" i="1"/>
  <c r="AX3047" i="1"/>
  <c r="DC3048" i="1"/>
  <c r="DA3048" i="1"/>
  <c r="CY3048" i="1"/>
  <c r="Y3048" i="1" s="1"/>
  <c r="CW3048" i="1"/>
  <c r="AA3048" i="1" s="1"/>
  <c r="CR3048" i="1"/>
  <c r="CP3048" i="1"/>
  <c r="CN3048" i="1"/>
  <c r="CJ3048" i="1"/>
  <c r="CH3048" i="1"/>
  <c r="CF3048" i="1"/>
  <c r="BL3048" i="1"/>
  <c r="BD3048" i="1"/>
  <c r="AZ3048" i="1"/>
  <c r="AX3048" i="1"/>
  <c r="DC3046" i="1"/>
  <c r="DA3046" i="1"/>
  <c r="CY3046" i="1"/>
  <c r="Y3046" i="1" s="1"/>
  <c r="CW3046" i="1"/>
  <c r="AA3046" i="1" s="1"/>
  <c r="CR3046" i="1"/>
  <c r="CP3046" i="1"/>
  <c r="CN3046" i="1"/>
  <c r="CJ3046" i="1"/>
  <c r="CH3046" i="1"/>
  <c r="CF3046" i="1"/>
  <c r="BL3046" i="1"/>
  <c r="BD3046" i="1"/>
  <c r="AZ3046" i="1"/>
  <c r="AX3046" i="1"/>
  <c r="DC2654" i="1"/>
  <c r="DA2654" i="1"/>
  <c r="CY2654" i="1"/>
  <c r="Y2654" i="1" s="1"/>
  <c r="CW2654" i="1"/>
  <c r="AA2654" i="1" s="1"/>
  <c r="CR2654" i="1"/>
  <c r="CP2654" i="1"/>
  <c r="CN2654" i="1"/>
  <c r="CJ2654" i="1"/>
  <c r="CH2654" i="1"/>
  <c r="CF2654" i="1"/>
  <c r="BL2654" i="1"/>
  <c r="BD2654" i="1"/>
  <c r="AZ2654" i="1"/>
  <c r="AX2654" i="1"/>
  <c r="DC3036" i="1"/>
  <c r="DA3036" i="1"/>
  <c r="CY3036" i="1"/>
  <c r="Y3036" i="1" s="1"/>
  <c r="CW3036" i="1"/>
  <c r="AA3036" i="1" s="1"/>
  <c r="CR3036" i="1"/>
  <c r="CP3036" i="1"/>
  <c r="CN3036" i="1"/>
  <c r="CJ3036" i="1"/>
  <c r="CH3036" i="1"/>
  <c r="CF3036" i="1"/>
  <c r="BL3036" i="1"/>
  <c r="BD3036" i="1"/>
  <c r="AZ3036" i="1"/>
  <c r="AX3036" i="1"/>
  <c r="DC3034" i="1"/>
  <c r="DA3034" i="1"/>
  <c r="CY3034" i="1"/>
  <c r="Y3034" i="1" s="1"/>
  <c r="CW3034" i="1"/>
  <c r="AA3034" i="1" s="1"/>
  <c r="CR3034" i="1"/>
  <c r="CP3034" i="1"/>
  <c r="CN3034" i="1"/>
  <c r="CJ3034" i="1"/>
  <c r="CH3034" i="1"/>
  <c r="CF3034" i="1"/>
  <c r="BL3034" i="1"/>
  <c r="BD3034" i="1"/>
  <c r="AZ3034" i="1"/>
  <c r="AX3034" i="1"/>
  <c r="DC3043" i="1"/>
  <c r="DA3043" i="1"/>
  <c r="CY3043" i="1"/>
  <c r="Y3043" i="1" s="1"/>
  <c r="CW3043" i="1"/>
  <c r="AA3043" i="1" s="1"/>
  <c r="CR3043" i="1"/>
  <c r="CP3043" i="1"/>
  <c r="CN3043" i="1"/>
  <c r="CJ3043" i="1"/>
  <c r="CH3043" i="1"/>
  <c r="CF3043" i="1"/>
  <c r="BL3043" i="1"/>
  <c r="BD3043" i="1"/>
  <c r="AZ3043" i="1"/>
  <c r="AX3043" i="1"/>
  <c r="DC3032" i="1"/>
  <c r="DA3032" i="1"/>
  <c r="CY3032" i="1"/>
  <c r="Y3032" i="1" s="1"/>
  <c r="CW3032" i="1"/>
  <c r="AA3032" i="1" s="1"/>
  <c r="CR3032" i="1"/>
  <c r="CP3032" i="1"/>
  <c r="CN3032" i="1"/>
  <c r="CJ3032" i="1"/>
  <c r="CH3032" i="1"/>
  <c r="CF3032" i="1"/>
  <c r="BL3032" i="1"/>
  <c r="BD3032" i="1"/>
  <c r="AZ3032" i="1"/>
  <c r="AX3032" i="1"/>
  <c r="Z3034" i="1" l="1"/>
  <c r="Z3046" i="1"/>
  <c r="Z3043" i="1"/>
  <c r="CU3047" i="1"/>
  <c r="X3047" i="1" s="1"/>
  <c r="Z3036" i="1"/>
  <c r="CU3032" i="1"/>
  <c r="X3032" i="1" s="1"/>
  <c r="Z3032" i="1"/>
  <c r="Z3047" i="1"/>
  <c r="Z2654" i="1"/>
  <c r="Z3048" i="1"/>
  <c r="CU3034" i="1"/>
  <c r="X3034" i="1" s="1"/>
  <c r="CU3046" i="1"/>
  <c r="X3046" i="1" s="1"/>
  <c r="CU3036" i="1"/>
  <c r="X3036" i="1" s="1"/>
  <c r="CU3048" i="1"/>
  <c r="X3048" i="1" s="1"/>
  <c r="CU3043" i="1"/>
  <c r="X3043" i="1" s="1"/>
  <c r="CU2654" i="1"/>
  <c r="X2654" i="1" s="1"/>
  <c r="DC3025" i="1"/>
  <c r="DA3025" i="1"/>
  <c r="CY3025" i="1"/>
  <c r="Y3025" i="1" s="1"/>
  <c r="CW3025" i="1"/>
  <c r="AA3025" i="1" s="1"/>
  <c r="CR3025" i="1"/>
  <c r="CP3025" i="1"/>
  <c r="CN3025" i="1"/>
  <c r="CJ3025" i="1"/>
  <c r="CH3025" i="1"/>
  <c r="CF3025" i="1"/>
  <c r="BL3025" i="1"/>
  <c r="BD3025" i="1"/>
  <c r="AZ3025" i="1"/>
  <c r="AX3025" i="1"/>
  <c r="DC3019" i="1"/>
  <c r="DA3019" i="1"/>
  <c r="CY3019" i="1"/>
  <c r="Y3019" i="1" s="1"/>
  <c r="CW3019" i="1"/>
  <c r="AA3019" i="1" s="1"/>
  <c r="CR3019" i="1"/>
  <c r="CP3019" i="1"/>
  <c r="CN3019" i="1"/>
  <c r="CJ3019" i="1"/>
  <c r="CH3019" i="1"/>
  <c r="CF3019" i="1"/>
  <c r="BL3019" i="1"/>
  <c r="BD3019" i="1"/>
  <c r="AZ3019" i="1"/>
  <c r="AX3019" i="1"/>
  <c r="DC3020" i="1"/>
  <c r="DA3020" i="1"/>
  <c r="CY3020" i="1"/>
  <c r="Y3020" i="1" s="1"/>
  <c r="CW3020" i="1"/>
  <c r="AA3020" i="1" s="1"/>
  <c r="CR3020" i="1"/>
  <c r="CP3020" i="1"/>
  <c r="CN3020" i="1"/>
  <c r="CJ3020" i="1"/>
  <c r="CH3020" i="1"/>
  <c r="CF3020" i="1"/>
  <c r="BL3020" i="1"/>
  <c r="BD3020" i="1"/>
  <c r="AZ3020" i="1"/>
  <c r="AX3020" i="1"/>
  <c r="DC3023" i="1"/>
  <c r="DA3023" i="1"/>
  <c r="CY3023" i="1"/>
  <c r="Y3023" i="1" s="1"/>
  <c r="CW3023" i="1"/>
  <c r="AA3023" i="1" s="1"/>
  <c r="CR3023" i="1"/>
  <c r="CP3023" i="1"/>
  <c r="CN3023" i="1"/>
  <c r="CJ3023" i="1"/>
  <c r="CH3023" i="1"/>
  <c r="CF3023" i="1"/>
  <c r="BL3023" i="1"/>
  <c r="BD3023" i="1"/>
  <c r="AZ3023" i="1"/>
  <c r="AX3023" i="1"/>
  <c r="DC3014" i="1"/>
  <c r="DA3014" i="1"/>
  <c r="CY3014" i="1"/>
  <c r="Y3014" i="1" s="1"/>
  <c r="CW3014" i="1"/>
  <c r="AA3014" i="1" s="1"/>
  <c r="CR3014" i="1"/>
  <c r="CP3014" i="1"/>
  <c r="CN3014" i="1"/>
  <c r="CJ3014" i="1"/>
  <c r="CH3014" i="1"/>
  <c r="CF3014" i="1"/>
  <c r="BL3014" i="1"/>
  <c r="BD3014" i="1"/>
  <c r="AZ3014" i="1"/>
  <c r="AX3014" i="1"/>
  <c r="DC3024" i="1"/>
  <c r="DA3024" i="1"/>
  <c r="CY3024" i="1"/>
  <c r="Y3024" i="1" s="1"/>
  <c r="CW3024" i="1"/>
  <c r="AA3024" i="1" s="1"/>
  <c r="CR3024" i="1"/>
  <c r="CP3024" i="1"/>
  <c r="CN3024" i="1"/>
  <c r="CJ3024" i="1"/>
  <c r="CH3024" i="1"/>
  <c r="CF3024" i="1"/>
  <c r="BL3024" i="1"/>
  <c r="BD3024" i="1"/>
  <c r="AZ3024" i="1"/>
  <c r="AX3024" i="1"/>
  <c r="DC2975" i="1"/>
  <c r="DA2975" i="1"/>
  <c r="CY2975" i="1"/>
  <c r="Y2975" i="1" s="1"/>
  <c r="CW2975" i="1"/>
  <c r="AA2975" i="1" s="1"/>
  <c r="CR2975" i="1"/>
  <c r="CP2975" i="1"/>
  <c r="CN2975" i="1"/>
  <c r="CJ2975" i="1"/>
  <c r="CH2975" i="1"/>
  <c r="CF2975" i="1"/>
  <c r="BL2975" i="1"/>
  <c r="BD2975" i="1"/>
  <c r="AZ2975" i="1"/>
  <c r="AX2975" i="1"/>
  <c r="DC3018" i="1"/>
  <c r="DA3018" i="1"/>
  <c r="CY3018" i="1"/>
  <c r="Y3018" i="1" s="1"/>
  <c r="CW3018" i="1"/>
  <c r="AA3018" i="1" s="1"/>
  <c r="CR3018" i="1"/>
  <c r="CP3018" i="1"/>
  <c r="CN3018" i="1"/>
  <c r="CJ3018" i="1"/>
  <c r="CH3018" i="1"/>
  <c r="CF3018" i="1"/>
  <c r="BL3018" i="1"/>
  <c r="BD3018" i="1"/>
  <c r="AZ3018" i="1"/>
  <c r="AX3018" i="1"/>
  <c r="DC3017" i="1"/>
  <c r="DA3017" i="1"/>
  <c r="CY3017" i="1"/>
  <c r="Y3017" i="1" s="1"/>
  <c r="CW3017" i="1"/>
  <c r="AA3017" i="1" s="1"/>
  <c r="CR3017" i="1"/>
  <c r="CP3017" i="1"/>
  <c r="CN3017" i="1"/>
  <c r="CJ3017" i="1"/>
  <c r="CH3017" i="1"/>
  <c r="CF3017" i="1"/>
  <c r="BL3017" i="1"/>
  <c r="BD3017" i="1"/>
  <c r="AZ3017" i="1"/>
  <c r="AX3017" i="1"/>
  <c r="AD3046" i="1" l="1"/>
  <c r="AD3032" i="1"/>
  <c r="AD3047" i="1"/>
  <c r="AD3043" i="1"/>
  <c r="AD3036" i="1"/>
  <c r="AD3034" i="1"/>
  <c r="AD2654" i="1"/>
  <c r="AD3048" i="1"/>
  <c r="Z3024" i="1"/>
  <c r="Z3018" i="1"/>
  <c r="Z3017" i="1"/>
  <c r="Z3014" i="1"/>
  <c r="Z3019" i="1"/>
  <c r="CU3017" i="1"/>
  <c r="X3017" i="1" s="1"/>
  <c r="Z2975" i="1"/>
  <c r="Z3020" i="1"/>
  <c r="Z3023" i="1"/>
  <c r="CU3020" i="1"/>
  <c r="X3020" i="1" s="1"/>
  <c r="Z3025" i="1"/>
  <c r="CU2975" i="1"/>
  <c r="X2975" i="1" s="1"/>
  <c r="CU3019" i="1"/>
  <c r="X3019" i="1" s="1"/>
  <c r="CU3024" i="1"/>
  <c r="X3024" i="1" s="1"/>
  <c r="CU3014" i="1"/>
  <c r="X3014" i="1" s="1"/>
  <c r="CU3025" i="1"/>
  <c r="X3025" i="1" s="1"/>
  <c r="CU3018" i="1"/>
  <c r="X3018" i="1" s="1"/>
  <c r="CU3023" i="1"/>
  <c r="X3023" i="1" s="1"/>
  <c r="DC1247" i="1"/>
  <c r="CY1247" i="1"/>
  <c r="DC1462" i="1"/>
  <c r="CY1462" i="1"/>
  <c r="DC1907" i="1"/>
  <c r="CY1907" i="1"/>
  <c r="CP1941" i="1"/>
  <c r="AD3023" i="1" l="1"/>
  <c r="AD3014" i="1"/>
  <c r="AD3024" i="1"/>
  <c r="AD3017" i="1"/>
  <c r="AD3018" i="1"/>
  <c r="AD3019" i="1"/>
  <c r="AD2975" i="1"/>
  <c r="AD3025" i="1"/>
  <c r="AD3020" i="1"/>
  <c r="DC3691" i="1"/>
  <c r="DA3691" i="1"/>
  <c r="CY3691" i="1"/>
  <c r="Y3691" i="1" s="1"/>
  <c r="CW3691" i="1"/>
  <c r="AA3691" i="1" s="1"/>
  <c r="CR3691" i="1"/>
  <c r="CP3691" i="1"/>
  <c r="CN3691" i="1"/>
  <c r="CJ3691" i="1"/>
  <c r="CH3691" i="1"/>
  <c r="CF3691" i="1"/>
  <c r="BL3691" i="1"/>
  <c r="BD3691" i="1"/>
  <c r="AZ3691" i="1"/>
  <c r="AX3691" i="1"/>
  <c r="DC3307" i="1"/>
  <c r="DA3307" i="1"/>
  <c r="CY3307" i="1"/>
  <c r="Y3307" i="1" s="1"/>
  <c r="CW3307" i="1"/>
  <c r="AA3307" i="1" s="1"/>
  <c r="CR3307" i="1"/>
  <c r="CP3307" i="1"/>
  <c r="CN3307" i="1"/>
  <c r="CJ3307" i="1"/>
  <c r="CH3307" i="1"/>
  <c r="CF3307" i="1"/>
  <c r="BL3307" i="1"/>
  <c r="BD3307" i="1"/>
  <c r="AZ3307" i="1"/>
  <c r="AX3307" i="1"/>
  <c r="DC2894" i="1"/>
  <c r="DA2894" i="1"/>
  <c r="Y2894" i="1"/>
  <c r="AA2894" i="1"/>
  <c r="CN2894" i="1"/>
  <c r="CJ2894" i="1"/>
  <c r="CH2894" i="1"/>
  <c r="CF2894" i="1"/>
  <c r="BD2894" i="1"/>
  <c r="AZ2894" i="1"/>
  <c r="AX2894" i="1"/>
  <c r="DC3035" i="1"/>
  <c r="DA3035" i="1"/>
  <c r="CY3035" i="1"/>
  <c r="Y3035" i="1" s="1"/>
  <c r="CW3035" i="1"/>
  <c r="AA3035" i="1" s="1"/>
  <c r="CR3035" i="1"/>
  <c r="CP3035" i="1"/>
  <c r="CN3035" i="1"/>
  <c r="CJ3035" i="1"/>
  <c r="CH3035" i="1"/>
  <c r="CF3035" i="1"/>
  <c r="BL3035" i="1"/>
  <c r="BD3035" i="1"/>
  <c r="AZ3035" i="1"/>
  <c r="AX3035" i="1"/>
  <c r="DC3066" i="1"/>
  <c r="DA3066" i="1"/>
  <c r="CY3066" i="1"/>
  <c r="Y3066" i="1" s="1"/>
  <c r="CW3066" i="1"/>
  <c r="AA3066" i="1" s="1"/>
  <c r="CR3066" i="1"/>
  <c r="CP3066" i="1"/>
  <c r="CN3066" i="1"/>
  <c r="CJ3066" i="1"/>
  <c r="CH3066" i="1"/>
  <c r="CF3066" i="1"/>
  <c r="BL3066" i="1"/>
  <c r="BD3066" i="1"/>
  <c r="AZ3066" i="1"/>
  <c r="AX3066" i="1"/>
  <c r="DC3026" i="1"/>
  <c r="DA3026" i="1"/>
  <c r="CY3026" i="1"/>
  <c r="Y3026" i="1" s="1"/>
  <c r="CW3026" i="1"/>
  <c r="AA3026" i="1" s="1"/>
  <c r="CR3026" i="1"/>
  <c r="CP3026" i="1"/>
  <c r="CN3026" i="1"/>
  <c r="CJ3026" i="1"/>
  <c r="CH3026" i="1"/>
  <c r="CF3026" i="1"/>
  <c r="BL3026" i="1"/>
  <c r="BD3026" i="1"/>
  <c r="AZ3026" i="1"/>
  <c r="AX3026" i="1"/>
  <c r="DC3030" i="1"/>
  <c r="DA3030" i="1"/>
  <c r="CY3030" i="1"/>
  <c r="Y3030" i="1" s="1"/>
  <c r="CW3030" i="1"/>
  <c r="AA3030" i="1" s="1"/>
  <c r="CR3030" i="1"/>
  <c r="CP3030" i="1"/>
  <c r="CN3030" i="1"/>
  <c r="CJ3030" i="1"/>
  <c r="CH3030" i="1"/>
  <c r="CF3030" i="1"/>
  <c r="BL3030" i="1"/>
  <c r="BD3030" i="1"/>
  <c r="AZ3030" i="1"/>
  <c r="AX3030" i="1"/>
  <c r="DC3021" i="1"/>
  <c r="DA3021" i="1"/>
  <c r="CY3021" i="1"/>
  <c r="Y3021" i="1" s="1"/>
  <c r="CW3021" i="1"/>
  <c r="AA3021" i="1" s="1"/>
  <c r="CR3021" i="1"/>
  <c r="CP3021" i="1"/>
  <c r="CN3021" i="1"/>
  <c r="CJ3021" i="1"/>
  <c r="CH3021" i="1"/>
  <c r="CF3021" i="1"/>
  <c r="BL3021" i="1"/>
  <c r="BD3021" i="1"/>
  <c r="AZ3021" i="1"/>
  <c r="AX3021" i="1"/>
  <c r="DC3022" i="1"/>
  <c r="DA3022" i="1"/>
  <c r="CY3022" i="1"/>
  <c r="Y3022" i="1" s="1"/>
  <c r="CW3022" i="1"/>
  <c r="AA3022" i="1" s="1"/>
  <c r="CR3022" i="1"/>
  <c r="CP3022" i="1"/>
  <c r="CN3022" i="1"/>
  <c r="CJ3022" i="1"/>
  <c r="CH3022" i="1"/>
  <c r="CF3022" i="1"/>
  <c r="BL3022" i="1"/>
  <c r="BD3022" i="1"/>
  <c r="AZ3022" i="1"/>
  <c r="AX3022" i="1"/>
  <c r="Z3026" i="1" l="1"/>
  <c r="Z3691" i="1"/>
  <c r="Z3022" i="1"/>
  <c r="Z3030" i="1"/>
  <c r="Z2894" i="1"/>
  <c r="Z3066" i="1"/>
  <c r="Z3035" i="1"/>
  <c r="CU3026" i="1"/>
  <c r="X3026" i="1" s="1"/>
  <c r="Z3021" i="1"/>
  <c r="CU3691" i="1"/>
  <c r="X3691" i="1" s="1"/>
  <c r="CU3307" i="1"/>
  <c r="X3307" i="1" s="1"/>
  <c r="Z3307" i="1"/>
  <c r="CU3022" i="1"/>
  <c r="X3022" i="1" s="1"/>
  <c r="CU3066" i="1"/>
  <c r="X3066" i="1" s="1"/>
  <c r="CU3030" i="1"/>
  <c r="X3030" i="1" s="1"/>
  <c r="CU3035" i="1"/>
  <c r="X3035" i="1" s="1"/>
  <c r="CU2894" i="1"/>
  <c r="X2894" i="1" s="1"/>
  <c r="CU3021" i="1"/>
  <c r="X3021" i="1" s="1"/>
  <c r="DB2812" i="1"/>
  <c r="AD3030" i="1" l="1"/>
  <c r="AD3066" i="1"/>
  <c r="AD3691" i="1"/>
  <c r="AD3026" i="1"/>
  <c r="AD2894" i="1"/>
  <c r="AD3022" i="1"/>
  <c r="AD3035" i="1"/>
  <c r="AD3021" i="1"/>
  <c r="AD3307" i="1"/>
  <c r="DC3016" i="1"/>
  <c r="DA3016" i="1"/>
  <c r="CY3016" i="1"/>
  <c r="Y3016" i="1" s="1"/>
  <c r="CW3016" i="1"/>
  <c r="AA3016" i="1" s="1"/>
  <c r="CR3016" i="1"/>
  <c r="CP3016" i="1"/>
  <c r="CN3016" i="1"/>
  <c r="CJ3016" i="1"/>
  <c r="CH3016" i="1"/>
  <c r="CF3016" i="1"/>
  <c r="BL3016" i="1"/>
  <c r="BD3016" i="1"/>
  <c r="AZ3016" i="1"/>
  <c r="AX3016" i="1"/>
  <c r="DC3088" i="1"/>
  <c r="DA3088" i="1"/>
  <c r="Y3088" i="1"/>
  <c r="CW3088" i="1"/>
  <c r="AA3088" i="1" s="1"/>
  <c r="CR3088" i="1"/>
  <c r="CP3088" i="1"/>
  <c r="CN3088" i="1"/>
  <c r="CJ3088" i="1"/>
  <c r="CH3088" i="1"/>
  <c r="CF3088" i="1"/>
  <c r="BL3088" i="1"/>
  <c r="BD3088" i="1"/>
  <c r="AZ3088" i="1"/>
  <c r="AX3088" i="1"/>
  <c r="DC2822" i="1"/>
  <c r="DA2822" i="1"/>
  <c r="CY2822" i="1"/>
  <c r="Y2822" i="1" s="1"/>
  <c r="CW2822" i="1"/>
  <c r="AA2822" i="1" s="1"/>
  <c r="CR2822" i="1"/>
  <c r="CP2822" i="1"/>
  <c r="CN2822" i="1"/>
  <c r="CJ2822" i="1"/>
  <c r="CH2822" i="1"/>
  <c r="CF2822" i="1"/>
  <c r="BL2822" i="1"/>
  <c r="BD2822" i="1"/>
  <c r="AZ2822" i="1"/>
  <c r="AX2822" i="1"/>
  <c r="DC2895" i="1"/>
  <c r="CY2895" i="1"/>
  <c r="Y2895" i="1" s="1"/>
  <c r="CW2895" i="1"/>
  <c r="AA2895" i="1" s="1"/>
  <c r="CR2895" i="1"/>
  <c r="CP2895" i="1"/>
  <c r="CN2895" i="1"/>
  <c r="CJ2895" i="1"/>
  <c r="CH2895" i="1"/>
  <c r="CF2895" i="1"/>
  <c r="BL2895" i="1"/>
  <c r="BD2895" i="1"/>
  <c r="AZ2895" i="1"/>
  <c r="AX2895" i="1"/>
  <c r="Z3088" i="1" l="1"/>
  <c r="CU3016" i="1"/>
  <c r="X3016" i="1" s="1"/>
  <c r="Z3016" i="1"/>
  <c r="Z2895" i="1"/>
  <c r="Z2822" i="1"/>
  <c r="CU2822" i="1"/>
  <c r="X2822" i="1" s="1"/>
  <c r="CU3088" i="1"/>
  <c r="X3088" i="1" s="1"/>
  <c r="CU2895" i="1"/>
  <c r="X2895" i="1" s="1"/>
  <c r="I2661" i="1"/>
  <c r="AD3088" i="1" l="1"/>
  <c r="AD3016" i="1"/>
  <c r="AD2895" i="1"/>
  <c r="AD2822" i="1"/>
  <c r="I2696" i="1"/>
  <c r="I2608" i="1"/>
  <c r="DC3015" i="1" l="1"/>
  <c r="DA3015" i="1"/>
  <c r="CY3015" i="1"/>
  <c r="Y3015" i="1" s="1"/>
  <c r="CW3015" i="1"/>
  <c r="AA3015" i="1" s="1"/>
  <c r="CR3015" i="1"/>
  <c r="CP3015" i="1"/>
  <c r="CN3015" i="1"/>
  <c r="CJ3015" i="1"/>
  <c r="CH3015" i="1"/>
  <c r="CF3015" i="1"/>
  <c r="BL3015" i="1"/>
  <c r="BD3015" i="1"/>
  <c r="AZ3015" i="1"/>
  <c r="AX3015" i="1"/>
  <c r="DC3013" i="1"/>
  <c r="DA3013" i="1"/>
  <c r="CY3013" i="1"/>
  <c r="Y3013" i="1" s="1"/>
  <c r="CW3013" i="1"/>
  <c r="AA3013" i="1" s="1"/>
  <c r="CR3013" i="1"/>
  <c r="CP3013" i="1"/>
  <c r="CN3013" i="1"/>
  <c r="CJ3013" i="1"/>
  <c r="CH3013" i="1"/>
  <c r="CF3013" i="1"/>
  <c r="BL3013" i="1"/>
  <c r="BD3013" i="1"/>
  <c r="AZ3013" i="1"/>
  <c r="AX3013" i="1"/>
  <c r="DC3009" i="1"/>
  <c r="DA3009" i="1"/>
  <c r="CY3009" i="1"/>
  <c r="Y3009" i="1" s="1"/>
  <c r="CW3009" i="1"/>
  <c r="AA3009" i="1" s="1"/>
  <c r="CR3009" i="1"/>
  <c r="CP3009" i="1"/>
  <c r="CN3009" i="1"/>
  <c r="CJ3009" i="1"/>
  <c r="CH3009" i="1"/>
  <c r="CF3009" i="1"/>
  <c r="BL3009" i="1"/>
  <c r="BD3009" i="1"/>
  <c r="AZ3009" i="1"/>
  <c r="AX3009" i="1"/>
  <c r="DC3008" i="1"/>
  <c r="DA3008" i="1"/>
  <c r="CY3008" i="1"/>
  <c r="Y3008" i="1" s="1"/>
  <c r="CW3008" i="1"/>
  <c r="AA3008" i="1" s="1"/>
  <c r="CR3008" i="1"/>
  <c r="CP3008" i="1"/>
  <c r="CN3008" i="1"/>
  <c r="CJ3008" i="1"/>
  <c r="CH3008" i="1"/>
  <c r="CF3008" i="1"/>
  <c r="BL3008" i="1"/>
  <c r="BD3008" i="1"/>
  <c r="AZ3008" i="1"/>
  <c r="AX3008" i="1"/>
  <c r="DC3002" i="1"/>
  <c r="DA3002" i="1"/>
  <c r="CY3002" i="1"/>
  <c r="Y3002" i="1" s="1"/>
  <c r="CW3002" i="1"/>
  <c r="AA3002" i="1" s="1"/>
  <c r="CR3002" i="1"/>
  <c r="CP3002" i="1"/>
  <c r="CN3002" i="1"/>
  <c r="CJ3002" i="1"/>
  <c r="CH3002" i="1"/>
  <c r="CF3002" i="1"/>
  <c r="BL3002" i="1"/>
  <c r="BD3002" i="1"/>
  <c r="AZ3002" i="1"/>
  <c r="AX3002" i="1"/>
  <c r="DC3001" i="1"/>
  <c r="DA3001" i="1"/>
  <c r="CY3001" i="1"/>
  <c r="Y3001" i="1" s="1"/>
  <c r="CW3001" i="1"/>
  <c r="AA3001" i="1" s="1"/>
  <c r="CR3001" i="1"/>
  <c r="CP3001" i="1"/>
  <c r="CN3001" i="1"/>
  <c r="CJ3001" i="1"/>
  <c r="CH3001" i="1"/>
  <c r="CF3001" i="1"/>
  <c r="BL3001" i="1"/>
  <c r="BD3001" i="1"/>
  <c r="AZ3001" i="1"/>
  <c r="AX3001" i="1"/>
  <c r="DC3003" i="1"/>
  <c r="DA3003" i="1"/>
  <c r="CY3003" i="1"/>
  <c r="Y3003" i="1" s="1"/>
  <c r="CW3003" i="1"/>
  <c r="AA3003" i="1" s="1"/>
  <c r="CR3003" i="1"/>
  <c r="CP3003" i="1"/>
  <c r="CN3003" i="1"/>
  <c r="CJ3003" i="1"/>
  <c r="CH3003" i="1"/>
  <c r="CF3003" i="1"/>
  <c r="BL3003" i="1"/>
  <c r="BD3003" i="1"/>
  <c r="AZ3003" i="1"/>
  <c r="AX3003" i="1"/>
  <c r="DC3007" i="1"/>
  <c r="DA3007" i="1"/>
  <c r="CY3007" i="1"/>
  <c r="Y3007" i="1" s="1"/>
  <c r="CW3007" i="1"/>
  <c r="AA3007" i="1" s="1"/>
  <c r="CR3007" i="1"/>
  <c r="CP3007" i="1"/>
  <c r="CN3007" i="1"/>
  <c r="CJ3007" i="1"/>
  <c r="CH3007" i="1"/>
  <c r="CF3007" i="1"/>
  <c r="BL3007" i="1"/>
  <c r="BD3007" i="1"/>
  <c r="AZ3007" i="1"/>
  <c r="AX3007" i="1"/>
  <c r="DC3006" i="1"/>
  <c r="DA3006" i="1"/>
  <c r="CY3006" i="1"/>
  <c r="Y3006" i="1" s="1"/>
  <c r="CW3006" i="1"/>
  <c r="AA3006" i="1" s="1"/>
  <c r="CR3006" i="1"/>
  <c r="CP3006" i="1"/>
  <c r="CN3006" i="1"/>
  <c r="CJ3006" i="1"/>
  <c r="CH3006" i="1"/>
  <c r="CF3006" i="1"/>
  <c r="BL3006" i="1"/>
  <c r="BD3006" i="1"/>
  <c r="AZ3006" i="1"/>
  <c r="AX3006" i="1"/>
  <c r="DC3005" i="1"/>
  <c r="DA3005" i="1"/>
  <c r="CY3005" i="1"/>
  <c r="Y3005" i="1" s="1"/>
  <c r="CW3005" i="1"/>
  <c r="AA3005" i="1" s="1"/>
  <c r="CR3005" i="1"/>
  <c r="CP3005" i="1"/>
  <c r="CN3005" i="1"/>
  <c r="CJ3005" i="1"/>
  <c r="CH3005" i="1"/>
  <c r="CF3005" i="1"/>
  <c r="BL3005" i="1"/>
  <c r="BD3005" i="1"/>
  <c r="AZ3005" i="1"/>
  <c r="AX3005" i="1"/>
  <c r="DC2986" i="1"/>
  <c r="DA2986" i="1"/>
  <c r="CY2986" i="1"/>
  <c r="Y2986" i="1" s="1"/>
  <c r="CW2986" i="1"/>
  <c r="AA2986" i="1" s="1"/>
  <c r="CR2986" i="1"/>
  <c r="CP2986" i="1"/>
  <c r="CN2986" i="1"/>
  <c r="CJ2986" i="1"/>
  <c r="CH2986" i="1"/>
  <c r="CF2986" i="1"/>
  <c r="BL2986" i="1"/>
  <c r="BD2986" i="1"/>
  <c r="AZ2986" i="1"/>
  <c r="AX2986" i="1"/>
  <c r="DC2767" i="1"/>
  <c r="DA2767" i="1"/>
  <c r="CY2767" i="1"/>
  <c r="Y2767" i="1" s="1"/>
  <c r="CW2767" i="1"/>
  <c r="AA2767" i="1" s="1"/>
  <c r="CR2767" i="1"/>
  <c r="CP2767" i="1"/>
  <c r="CN2767" i="1"/>
  <c r="CJ2767" i="1"/>
  <c r="CH2767" i="1"/>
  <c r="CF2767" i="1"/>
  <c r="BL2767" i="1"/>
  <c r="BD2767" i="1"/>
  <c r="AZ2767" i="1"/>
  <c r="AX2767" i="1"/>
  <c r="Z3013" i="1" l="1"/>
  <c r="Z2767" i="1"/>
  <c r="Z3006" i="1"/>
  <c r="Z3001" i="1"/>
  <c r="Z3008" i="1"/>
  <c r="Z3007" i="1"/>
  <c r="Z3015" i="1"/>
  <c r="Z2986" i="1"/>
  <c r="Z3002" i="1"/>
  <c r="CU2986" i="1"/>
  <c r="X2986" i="1" s="1"/>
  <c r="Z3003" i="1"/>
  <c r="Z3005" i="1"/>
  <c r="CU3003" i="1"/>
  <c r="X3003" i="1" s="1"/>
  <c r="CU3009" i="1"/>
  <c r="X3009" i="1" s="1"/>
  <c r="Z3009" i="1"/>
  <c r="CU3008" i="1"/>
  <c r="X3008" i="1" s="1"/>
  <c r="CU3006" i="1"/>
  <c r="X3006" i="1" s="1"/>
  <c r="CU3002" i="1"/>
  <c r="X3002" i="1" s="1"/>
  <c r="CU2767" i="1"/>
  <c r="X2767" i="1" s="1"/>
  <c r="CU3007" i="1"/>
  <c r="X3007" i="1" s="1"/>
  <c r="CU3013" i="1"/>
  <c r="X3013" i="1" s="1"/>
  <c r="CU3015" i="1"/>
  <c r="X3015" i="1" s="1"/>
  <c r="CU3005" i="1"/>
  <c r="X3005" i="1" s="1"/>
  <c r="CU3001" i="1"/>
  <c r="X3001" i="1" s="1"/>
  <c r="DC1410" i="1"/>
  <c r="CY1410" i="1"/>
  <c r="DC2207" i="1"/>
  <c r="CY2207" i="1"/>
  <c r="AD3006" i="1" l="1"/>
  <c r="AD3001" i="1"/>
  <c r="AD2986" i="1"/>
  <c r="AD3008" i="1"/>
  <c r="AD3013" i="1"/>
  <c r="AD2767" i="1"/>
  <c r="AD3015" i="1"/>
  <c r="AD3007" i="1"/>
  <c r="AD3002" i="1"/>
  <c r="AD3009" i="1"/>
  <c r="AD3003" i="1"/>
  <c r="AD3005" i="1"/>
  <c r="DC2039" i="1"/>
  <c r="CY2039" i="1"/>
  <c r="BZ2039" i="1"/>
  <c r="DC2213" i="1"/>
  <c r="CY2213" i="1"/>
  <c r="CR2213" i="1"/>
  <c r="CP2213" i="1"/>
  <c r="CJ2213" i="1"/>
  <c r="AZ2213" i="1"/>
  <c r="DC1570" i="1"/>
  <c r="CY1570" i="1"/>
  <c r="CR1570" i="1"/>
  <c r="CP1570" i="1"/>
  <c r="CJ1570" i="1"/>
  <c r="AZ1570" i="1"/>
  <c r="CP1360" i="1"/>
  <c r="CY2159" i="1"/>
  <c r="CY1328" i="1"/>
  <c r="DC1328" i="1"/>
  <c r="CR1328" i="1"/>
  <c r="CY2355" i="1"/>
  <c r="DC2058" i="1"/>
  <c r="CW1941" i="1"/>
  <c r="BZ1941" i="1"/>
  <c r="DC1391" i="1"/>
  <c r="CR2037" i="1"/>
  <c r="DC2037" i="1"/>
  <c r="DA2037" i="1"/>
  <c r="CY2037" i="1"/>
  <c r="CP2037" i="1"/>
  <c r="CJ2037" i="1"/>
  <c r="AZ2037" i="1"/>
  <c r="DC3000" i="1" l="1"/>
  <c r="DA3000" i="1"/>
  <c r="CY3000" i="1"/>
  <c r="Y3000" i="1" s="1"/>
  <c r="CW3000" i="1"/>
  <c r="AA3000" i="1" s="1"/>
  <c r="CR3000" i="1"/>
  <c r="CP3000" i="1"/>
  <c r="CN3000" i="1"/>
  <c r="CJ3000" i="1"/>
  <c r="CH3000" i="1"/>
  <c r="CF3000" i="1"/>
  <c r="BL3000" i="1"/>
  <c r="BD3000" i="1"/>
  <c r="AZ3000" i="1"/>
  <c r="AX3000" i="1"/>
  <c r="DC2997" i="1"/>
  <c r="DA2997" i="1"/>
  <c r="CY2997" i="1"/>
  <c r="Y2997" i="1" s="1"/>
  <c r="CW2997" i="1"/>
  <c r="AA2997" i="1" s="1"/>
  <c r="CR2997" i="1"/>
  <c r="CP2997" i="1"/>
  <c r="CN2997" i="1"/>
  <c r="CJ2997" i="1"/>
  <c r="CH2997" i="1"/>
  <c r="CF2997" i="1"/>
  <c r="BL2997" i="1"/>
  <c r="BD2997" i="1"/>
  <c r="AZ2997" i="1"/>
  <c r="AX2997" i="1"/>
  <c r="DC2981" i="1"/>
  <c r="DA2981" i="1"/>
  <c r="CY2981" i="1"/>
  <c r="Y2981" i="1" s="1"/>
  <c r="CW2981" i="1"/>
  <c r="AA2981" i="1" s="1"/>
  <c r="CR2981" i="1"/>
  <c r="CP2981" i="1"/>
  <c r="CN2981" i="1"/>
  <c r="CJ2981" i="1"/>
  <c r="CH2981" i="1"/>
  <c r="CF2981" i="1"/>
  <c r="BL2981" i="1"/>
  <c r="BD2981" i="1"/>
  <c r="AZ2981" i="1"/>
  <c r="AX2981" i="1"/>
  <c r="DC2996" i="1"/>
  <c r="DA2996" i="1"/>
  <c r="CY2996" i="1"/>
  <c r="Y2996" i="1" s="1"/>
  <c r="CW2996" i="1"/>
  <c r="AA2996" i="1" s="1"/>
  <c r="CR2996" i="1"/>
  <c r="CP2996" i="1"/>
  <c r="CN2996" i="1"/>
  <c r="CJ2996" i="1"/>
  <c r="CH2996" i="1"/>
  <c r="CF2996" i="1"/>
  <c r="BL2996" i="1"/>
  <c r="BD2996" i="1"/>
  <c r="AZ2996" i="1"/>
  <c r="AX2996" i="1"/>
  <c r="DC2988" i="1"/>
  <c r="DA2988" i="1"/>
  <c r="CY2988" i="1"/>
  <c r="Y2988" i="1" s="1"/>
  <c r="CW2988" i="1"/>
  <c r="AA2988" i="1" s="1"/>
  <c r="CR2988" i="1"/>
  <c r="CP2988" i="1"/>
  <c r="CN2988" i="1"/>
  <c r="CJ2988" i="1"/>
  <c r="CH2988" i="1"/>
  <c r="CF2988" i="1"/>
  <c r="BL2988" i="1"/>
  <c r="BD2988" i="1"/>
  <c r="AZ2988" i="1"/>
  <c r="AX2988" i="1"/>
  <c r="DC2989" i="1"/>
  <c r="DA2989" i="1"/>
  <c r="CY2989" i="1"/>
  <c r="Y2989" i="1" s="1"/>
  <c r="CW2989" i="1"/>
  <c r="AA2989" i="1" s="1"/>
  <c r="CR2989" i="1"/>
  <c r="CP2989" i="1"/>
  <c r="CN2989" i="1"/>
  <c r="CJ2989" i="1"/>
  <c r="CH2989" i="1"/>
  <c r="CF2989" i="1"/>
  <c r="BL2989" i="1"/>
  <c r="BD2989" i="1"/>
  <c r="AZ2989" i="1"/>
  <c r="AX2989" i="1"/>
  <c r="DC2992" i="1"/>
  <c r="DA2992" i="1"/>
  <c r="CY2992" i="1"/>
  <c r="Y2992" i="1" s="1"/>
  <c r="CW2992" i="1"/>
  <c r="AA2992" i="1" s="1"/>
  <c r="CR2992" i="1"/>
  <c r="CP2992" i="1"/>
  <c r="CN2992" i="1"/>
  <c r="CJ2992" i="1"/>
  <c r="CH2992" i="1"/>
  <c r="CF2992" i="1"/>
  <c r="BL2992" i="1"/>
  <c r="BD2992" i="1"/>
  <c r="AZ2992" i="1"/>
  <c r="AX2992" i="1"/>
  <c r="DC2960" i="1"/>
  <c r="DA2960" i="1"/>
  <c r="CY2960" i="1"/>
  <c r="Y2960" i="1" s="1"/>
  <c r="CW2960" i="1"/>
  <c r="AA2960" i="1" s="1"/>
  <c r="CR2960" i="1"/>
  <c r="CP2960" i="1"/>
  <c r="CN2960" i="1"/>
  <c r="CJ2960" i="1"/>
  <c r="CH2960" i="1"/>
  <c r="CF2960" i="1"/>
  <c r="BL2960" i="1"/>
  <c r="BD2960" i="1"/>
  <c r="AZ2960" i="1"/>
  <c r="AX2960" i="1"/>
  <c r="DC2970" i="1"/>
  <c r="DA2970" i="1"/>
  <c r="CY2970" i="1"/>
  <c r="Y2970" i="1" s="1"/>
  <c r="CW2970" i="1"/>
  <c r="AA2970" i="1" s="1"/>
  <c r="CR2970" i="1"/>
  <c r="CP2970" i="1"/>
  <c r="CN2970" i="1"/>
  <c r="CJ2970" i="1"/>
  <c r="CH2970" i="1"/>
  <c r="CF2970" i="1"/>
  <c r="BL2970" i="1"/>
  <c r="BD2970" i="1"/>
  <c r="AZ2970" i="1"/>
  <c r="AX2970" i="1"/>
  <c r="DC2985" i="1"/>
  <c r="DA2985" i="1"/>
  <c r="CY2985" i="1"/>
  <c r="Y2985" i="1" s="1"/>
  <c r="CW2985" i="1"/>
  <c r="AA2985" i="1" s="1"/>
  <c r="CR2985" i="1"/>
  <c r="CP2985" i="1"/>
  <c r="CN2985" i="1"/>
  <c r="CJ2985" i="1"/>
  <c r="CH2985" i="1"/>
  <c r="CF2985" i="1"/>
  <c r="BL2985" i="1"/>
  <c r="BD2985" i="1"/>
  <c r="AZ2985" i="1"/>
  <c r="AX2985" i="1"/>
  <c r="DC2980" i="1"/>
  <c r="DA2980" i="1"/>
  <c r="CY2980" i="1"/>
  <c r="Y2980" i="1" s="1"/>
  <c r="CW2980" i="1"/>
  <c r="AA2980" i="1" s="1"/>
  <c r="CR2980" i="1"/>
  <c r="CP2980" i="1"/>
  <c r="CN2980" i="1"/>
  <c r="CJ2980" i="1"/>
  <c r="CH2980" i="1"/>
  <c r="CF2980" i="1"/>
  <c r="BL2980" i="1"/>
  <c r="BD2980" i="1"/>
  <c r="AZ2980" i="1"/>
  <c r="AX2980" i="1"/>
  <c r="DC2993" i="1"/>
  <c r="DA2993" i="1"/>
  <c r="CY2993" i="1"/>
  <c r="Y2993" i="1" s="1"/>
  <c r="CW2993" i="1"/>
  <c r="AA2993" i="1" s="1"/>
  <c r="CR2993" i="1"/>
  <c r="CP2993" i="1"/>
  <c r="CN2993" i="1"/>
  <c r="CJ2993" i="1"/>
  <c r="CH2993" i="1"/>
  <c r="CF2993" i="1"/>
  <c r="BL2993" i="1"/>
  <c r="BD2993" i="1"/>
  <c r="AZ2993" i="1"/>
  <c r="AX2993" i="1"/>
  <c r="DC2987" i="1"/>
  <c r="DA2987" i="1"/>
  <c r="CY2987" i="1"/>
  <c r="Y2987" i="1" s="1"/>
  <c r="CW2987" i="1"/>
  <c r="AA2987" i="1" s="1"/>
  <c r="CR2987" i="1"/>
  <c r="CP2987" i="1"/>
  <c r="CN2987" i="1"/>
  <c r="CJ2987" i="1"/>
  <c r="CH2987" i="1"/>
  <c r="CF2987" i="1"/>
  <c r="BL2987" i="1"/>
  <c r="BD2987" i="1"/>
  <c r="AZ2987" i="1"/>
  <c r="AX2987" i="1"/>
  <c r="DC2968" i="1"/>
  <c r="DA2968" i="1"/>
  <c r="CY2968" i="1"/>
  <c r="Y2968" i="1" s="1"/>
  <c r="CW2968" i="1"/>
  <c r="AA2968" i="1" s="1"/>
  <c r="CR2968" i="1"/>
  <c r="CP2968" i="1"/>
  <c r="CN2968" i="1"/>
  <c r="CJ2968" i="1"/>
  <c r="CH2968" i="1"/>
  <c r="CF2968" i="1"/>
  <c r="BL2968" i="1"/>
  <c r="BD2968" i="1"/>
  <c r="AZ2968" i="1"/>
  <c r="AX2968" i="1"/>
  <c r="DC2976" i="1"/>
  <c r="DA2976" i="1"/>
  <c r="CY2976" i="1"/>
  <c r="Y2976" i="1" s="1"/>
  <c r="CW2976" i="1"/>
  <c r="AA2976" i="1" s="1"/>
  <c r="CR2976" i="1"/>
  <c r="CP2976" i="1"/>
  <c r="CN2976" i="1"/>
  <c r="CJ2976" i="1"/>
  <c r="CH2976" i="1"/>
  <c r="CF2976" i="1"/>
  <c r="BL2976" i="1"/>
  <c r="BD2976" i="1"/>
  <c r="AZ2976" i="1"/>
  <c r="AX2976" i="1"/>
  <c r="Z2992" i="1" l="1"/>
  <c r="Z2976" i="1"/>
  <c r="Z2981" i="1"/>
  <c r="Z3000" i="1"/>
  <c r="Z2985" i="1"/>
  <c r="Z2989" i="1"/>
  <c r="Z2980" i="1"/>
  <c r="CU3000" i="1"/>
  <c r="X3000" i="1" s="1"/>
  <c r="CU2988" i="1"/>
  <c r="X2988" i="1" s="1"/>
  <c r="Z2988" i="1"/>
  <c r="Z2987" i="1"/>
  <c r="CU2976" i="1"/>
  <c r="X2976" i="1" s="1"/>
  <c r="Z2993" i="1"/>
  <c r="CU2970" i="1"/>
  <c r="X2970" i="1" s="1"/>
  <c r="Z2970" i="1"/>
  <c r="Z2996" i="1"/>
  <c r="Z2997" i="1"/>
  <c r="Z2968" i="1"/>
  <c r="CU2987" i="1"/>
  <c r="X2987" i="1" s="1"/>
  <c r="CU2968" i="1"/>
  <c r="X2968" i="1" s="1"/>
  <c r="CU2980" i="1"/>
  <c r="X2980" i="1" s="1"/>
  <c r="CU2992" i="1"/>
  <c r="X2992" i="1" s="1"/>
  <c r="CU2981" i="1"/>
  <c r="X2981" i="1" s="1"/>
  <c r="CU2985" i="1"/>
  <c r="X2985" i="1" s="1"/>
  <c r="CU2989" i="1"/>
  <c r="X2989" i="1" s="1"/>
  <c r="CU2997" i="1"/>
  <c r="X2997" i="1" s="1"/>
  <c r="CU2993" i="1"/>
  <c r="X2993" i="1" s="1"/>
  <c r="CU2960" i="1"/>
  <c r="X2960" i="1" s="1"/>
  <c r="Z2960" i="1"/>
  <c r="CU2996" i="1"/>
  <c r="X2996" i="1" s="1"/>
  <c r="AD2997" i="1" l="1"/>
  <c r="AD2988" i="1"/>
  <c r="AD3000" i="1"/>
  <c r="AD2985" i="1"/>
  <c r="AD2992" i="1"/>
  <c r="AD2987" i="1"/>
  <c r="AD2981" i="1"/>
  <c r="AD2989" i="1"/>
  <c r="AD2976" i="1"/>
  <c r="AD2980" i="1"/>
  <c r="AD2970" i="1"/>
  <c r="AD2960" i="1"/>
  <c r="AD2996" i="1"/>
  <c r="AD2993" i="1"/>
  <c r="AD2968" i="1"/>
  <c r="DC2998" i="1"/>
  <c r="DA2998" i="1"/>
  <c r="CY2998" i="1"/>
  <c r="Y2998" i="1" s="1"/>
  <c r="CW2998" i="1"/>
  <c r="AA2998" i="1" s="1"/>
  <c r="CR2998" i="1"/>
  <c r="CP2998" i="1"/>
  <c r="CN2998" i="1"/>
  <c r="CJ2998" i="1"/>
  <c r="CH2998" i="1"/>
  <c r="CF2998" i="1"/>
  <c r="BL2998" i="1"/>
  <c r="BD2998" i="1"/>
  <c r="AZ2998" i="1"/>
  <c r="AX2998" i="1"/>
  <c r="DC2999" i="1"/>
  <c r="DA2999" i="1"/>
  <c r="CY2999" i="1"/>
  <c r="Y2999" i="1" s="1"/>
  <c r="CW2999" i="1"/>
  <c r="AA2999" i="1" s="1"/>
  <c r="CR2999" i="1"/>
  <c r="CP2999" i="1"/>
  <c r="CN2999" i="1"/>
  <c r="CJ2999" i="1"/>
  <c r="CH2999" i="1"/>
  <c r="CF2999" i="1"/>
  <c r="BL2999" i="1"/>
  <c r="BD2999" i="1"/>
  <c r="AZ2999" i="1"/>
  <c r="AX2999" i="1"/>
  <c r="DC2991" i="1"/>
  <c r="DA2991" i="1"/>
  <c r="CY2991" i="1"/>
  <c r="Y2991" i="1" s="1"/>
  <c r="CW2991" i="1"/>
  <c r="AA2991" i="1" s="1"/>
  <c r="CR2991" i="1"/>
  <c r="CP2991" i="1"/>
  <c r="CN2991" i="1"/>
  <c r="CJ2991" i="1"/>
  <c r="CH2991" i="1"/>
  <c r="CF2991" i="1"/>
  <c r="BL2991" i="1"/>
  <c r="BD2991" i="1"/>
  <c r="AZ2991" i="1"/>
  <c r="AX2991" i="1"/>
  <c r="DC2982" i="1"/>
  <c r="DA2982" i="1"/>
  <c r="CY2982" i="1"/>
  <c r="Y2982" i="1" s="1"/>
  <c r="CW2982" i="1"/>
  <c r="AA2982" i="1" s="1"/>
  <c r="CR2982" i="1"/>
  <c r="CP2982" i="1"/>
  <c r="CN2982" i="1"/>
  <c r="CJ2982" i="1"/>
  <c r="CH2982" i="1"/>
  <c r="CF2982" i="1"/>
  <c r="BL2982" i="1"/>
  <c r="BD2982" i="1"/>
  <c r="AZ2982" i="1"/>
  <c r="AX2982" i="1"/>
  <c r="DC2984" i="1"/>
  <c r="DA2984" i="1"/>
  <c r="CY2984" i="1"/>
  <c r="Y2984" i="1" s="1"/>
  <c r="CW2984" i="1"/>
  <c r="AA2984" i="1" s="1"/>
  <c r="CR2984" i="1"/>
  <c r="CP2984" i="1"/>
  <c r="CN2984" i="1"/>
  <c r="CJ2984" i="1"/>
  <c r="CH2984" i="1"/>
  <c r="CF2984" i="1"/>
  <c r="BL2984" i="1"/>
  <c r="BD2984" i="1"/>
  <c r="AZ2984" i="1"/>
  <c r="AX2984" i="1"/>
  <c r="DC2983" i="1"/>
  <c r="DA2983" i="1"/>
  <c r="CY2983" i="1"/>
  <c r="Y2983" i="1" s="1"/>
  <c r="CW2983" i="1"/>
  <c r="AA2983" i="1" s="1"/>
  <c r="CR2983" i="1"/>
  <c r="CP2983" i="1"/>
  <c r="CN2983" i="1"/>
  <c r="CJ2983" i="1"/>
  <c r="CH2983" i="1"/>
  <c r="CF2983" i="1"/>
  <c r="BL2983" i="1"/>
  <c r="BD2983" i="1"/>
  <c r="AZ2983" i="1"/>
  <c r="AX2983" i="1"/>
  <c r="DC2979" i="1"/>
  <c r="DA2979" i="1"/>
  <c r="CY2979" i="1"/>
  <c r="Y2979" i="1" s="1"/>
  <c r="CW2979" i="1"/>
  <c r="AA2979" i="1" s="1"/>
  <c r="CR2979" i="1"/>
  <c r="CP2979" i="1"/>
  <c r="CN2979" i="1"/>
  <c r="CJ2979" i="1"/>
  <c r="CH2979" i="1"/>
  <c r="CF2979" i="1"/>
  <c r="BL2979" i="1"/>
  <c r="BD2979" i="1"/>
  <c r="AZ2979" i="1"/>
  <c r="AX2979" i="1"/>
  <c r="DC2977" i="1"/>
  <c r="DA2977" i="1"/>
  <c r="CY2977" i="1"/>
  <c r="Y2977" i="1" s="1"/>
  <c r="CW2977" i="1"/>
  <c r="AA2977" i="1" s="1"/>
  <c r="CR2977" i="1"/>
  <c r="CP2977" i="1"/>
  <c r="CN2977" i="1"/>
  <c r="CJ2977" i="1"/>
  <c r="CH2977" i="1"/>
  <c r="CF2977" i="1"/>
  <c r="BL2977" i="1"/>
  <c r="BD2977" i="1"/>
  <c r="AZ2977" i="1"/>
  <c r="AX2977" i="1"/>
  <c r="DC2974" i="1"/>
  <c r="DA2974" i="1"/>
  <c r="CY2974" i="1"/>
  <c r="Y2974" i="1" s="1"/>
  <c r="CW2974" i="1"/>
  <c r="AA2974" i="1" s="1"/>
  <c r="CR2974" i="1"/>
  <c r="CP2974" i="1"/>
  <c r="CN2974" i="1"/>
  <c r="CJ2974" i="1"/>
  <c r="CH2974" i="1"/>
  <c r="CF2974" i="1"/>
  <c r="BL2974" i="1"/>
  <c r="BD2974" i="1"/>
  <c r="AZ2974" i="1"/>
  <c r="AX2974" i="1"/>
  <c r="DC2972" i="1"/>
  <c r="DA2972" i="1"/>
  <c r="CY2972" i="1"/>
  <c r="Y2972" i="1" s="1"/>
  <c r="CW2972" i="1"/>
  <c r="AA2972" i="1" s="1"/>
  <c r="CR2972" i="1"/>
  <c r="CP2972" i="1"/>
  <c r="CN2972" i="1"/>
  <c r="CJ2972" i="1"/>
  <c r="CH2972" i="1"/>
  <c r="CF2972" i="1"/>
  <c r="BL2972" i="1"/>
  <c r="BD2972" i="1"/>
  <c r="AZ2972" i="1"/>
  <c r="AX2972" i="1"/>
  <c r="DC2971" i="1"/>
  <c r="DA2971" i="1"/>
  <c r="CY2971" i="1"/>
  <c r="Y2971" i="1" s="1"/>
  <c r="CW2971" i="1"/>
  <c r="AA2971" i="1" s="1"/>
  <c r="CR2971" i="1"/>
  <c r="CP2971" i="1"/>
  <c r="CN2971" i="1"/>
  <c r="CJ2971" i="1"/>
  <c r="CH2971" i="1"/>
  <c r="CF2971" i="1"/>
  <c r="BL2971" i="1"/>
  <c r="BD2971" i="1"/>
  <c r="AZ2971" i="1"/>
  <c r="AX2971" i="1"/>
  <c r="DC2978" i="1"/>
  <c r="DA2978" i="1"/>
  <c r="CY2978" i="1"/>
  <c r="Y2978" i="1" s="1"/>
  <c r="CW2978" i="1"/>
  <c r="AA2978" i="1" s="1"/>
  <c r="CR2978" i="1"/>
  <c r="CP2978" i="1"/>
  <c r="CN2978" i="1"/>
  <c r="CJ2978" i="1"/>
  <c r="CH2978" i="1"/>
  <c r="CF2978" i="1"/>
  <c r="BL2978" i="1"/>
  <c r="BD2978" i="1"/>
  <c r="AZ2978" i="1"/>
  <c r="AX2978" i="1"/>
  <c r="DC2969" i="1"/>
  <c r="DA2969" i="1"/>
  <c r="CY2969" i="1"/>
  <c r="Y2969" i="1" s="1"/>
  <c r="CW2969" i="1"/>
  <c r="AA2969" i="1" s="1"/>
  <c r="CR2969" i="1"/>
  <c r="CP2969" i="1"/>
  <c r="CN2969" i="1"/>
  <c r="CJ2969" i="1"/>
  <c r="CH2969" i="1"/>
  <c r="CF2969" i="1"/>
  <c r="BL2969" i="1"/>
  <c r="BD2969" i="1"/>
  <c r="AZ2969" i="1"/>
  <c r="AX2969" i="1"/>
  <c r="DC2973" i="1"/>
  <c r="DA2973" i="1"/>
  <c r="CY2973" i="1"/>
  <c r="Y2973" i="1" s="1"/>
  <c r="CW2973" i="1"/>
  <c r="AA2973" i="1" s="1"/>
  <c r="CR2973" i="1"/>
  <c r="CP2973" i="1"/>
  <c r="CN2973" i="1"/>
  <c r="CJ2973" i="1"/>
  <c r="CH2973" i="1"/>
  <c r="CF2973" i="1"/>
  <c r="BL2973" i="1"/>
  <c r="BD2973" i="1"/>
  <c r="AZ2973" i="1"/>
  <c r="AX2973" i="1"/>
  <c r="DC2967" i="1"/>
  <c r="DA2967" i="1"/>
  <c r="CY2967" i="1"/>
  <c r="Y2967" i="1" s="1"/>
  <c r="CW2967" i="1"/>
  <c r="AA2967" i="1" s="1"/>
  <c r="CR2967" i="1"/>
  <c r="CP2967" i="1"/>
  <c r="CN2967" i="1"/>
  <c r="CJ2967" i="1"/>
  <c r="CH2967" i="1"/>
  <c r="CF2967" i="1"/>
  <c r="BL2967" i="1"/>
  <c r="BD2967" i="1"/>
  <c r="AZ2967" i="1"/>
  <c r="AX2967" i="1"/>
  <c r="DC2958" i="1"/>
  <c r="DA2958" i="1"/>
  <c r="CY2958" i="1"/>
  <c r="Y2958" i="1" s="1"/>
  <c r="CW2958" i="1"/>
  <c r="AA2958" i="1" s="1"/>
  <c r="CR2958" i="1"/>
  <c r="CP2958" i="1"/>
  <c r="CN2958" i="1"/>
  <c r="CJ2958" i="1"/>
  <c r="CH2958" i="1"/>
  <c r="CF2958" i="1"/>
  <c r="BL2958" i="1"/>
  <c r="BD2958" i="1"/>
  <c r="AZ2958" i="1"/>
  <c r="AX2958" i="1"/>
  <c r="DC2956" i="1"/>
  <c r="DA2956" i="1"/>
  <c r="CY2956" i="1"/>
  <c r="Y2956" i="1" s="1"/>
  <c r="CW2956" i="1"/>
  <c r="AA2956" i="1" s="1"/>
  <c r="CR2956" i="1"/>
  <c r="CP2956" i="1"/>
  <c r="CN2956" i="1"/>
  <c r="CJ2956" i="1"/>
  <c r="CH2956" i="1"/>
  <c r="CF2956" i="1"/>
  <c r="BL2956" i="1"/>
  <c r="BD2956" i="1"/>
  <c r="AZ2956" i="1"/>
  <c r="AX2956" i="1"/>
  <c r="DC2952" i="1"/>
  <c r="DA2952" i="1"/>
  <c r="CY2952" i="1"/>
  <c r="Y2952" i="1" s="1"/>
  <c r="CW2952" i="1"/>
  <c r="AA2952" i="1" s="1"/>
  <c r="CR2952" i="1"/>
  <c r="CP2952" i="1"/>
  <c r="CN2952" i="1"/>
  <c r="CJ2952" i="1"/>
  <c r="CH2952" i="1"/>
  <c r="CF2952" i="1"/>
  <c r="BL2952" i="1"/>
  <c r="BD2952" i="1"/>
  <c r="AZ2952" i="1"/>
  <c r="AX2952" i="1"/>
  <c r="DC2959" i="1"/>
  <c r="DA2959" i="1"/>
  <c r="CY2959" i="1"/>
  <c r="Y2959" i="1" s="1"/>
  <c r="CW2959" i="1"/>
  <c r="AA2959" i="1" s="1"/>
  <c r="CR2959" i="1"/>
  <c r="CP2959" i="1"/>
  <c r="CN2959" i="1"/>
  <c r="CJ2959" i="1"/>
  <c r="CH2959" i="1"/>
  <c r="CF2959" i="1"/>
  <c r="BL2959" i="1"/>
  <c r="BD2959" i="1"/>
  <c r="AZ2959" i="1"/>
  <c r="AX2959" i="1"/>
  <c r="DA2911" i="1"/>
  <c r="CY2911" i="1"/>
  <c r="Y2911" i="1" s="1"/>
  <c r="CW2911" i="1"/>
  <c r="AA2911" i="1" s="1"/>
  <c r="CR2911" i="1"/>
  <c r="CP2911" i="1"/>
  <c r="CN2911" i="1"/>
  <c r="CJ2911" i="1"/>
  <c r="CH2911" i="1"/>
  <c r="CF2911" i="1"/>
  <c r="BL2911" i="1"/>
  <c r="BD2911" i="1"/>
  <c r="AZ2911" i="1"/>
  <c r="AX2911" i="1"/>
  <c r="DC2836" i="1"/>
  <c r="DA2836" i="1"/>
  <c r="CY2836" i="1"/>
  <c r="Y2836" i="1" s="1"/>
  <c r="CW2836" i="1"/>
  <c r="AA2836" i="1" s="1"/>
  <c r="CR2836" i="1"/>
  <c r="CP2836" i="1"/>
  <c r="CN2836" i="1"/>
  <c r="CJ2836" i="1"/>
  <c r="CH2836" i="1"/>
  <c r="CF2836" i="1"/>
  <c r="BL2836" i="1"/>
  <c r="BD2836" i="1"/>
  <c r="AZ2836" i="1"/>
  <c r="AX2836" i="1"/>
  <c r="DC2954" i="1"/>
  <c r="DA2954" i="1"/>
  <c r="Y2954" i="1"/>
  <c r="CW2954" i="1"/>
  <c r="AA2954" i="1" s="1"/>
  <c r="CN2954" i="1"/>
  <c r="CH2954" i="1"/>
  <c r="CF2954" i="1"/>
  <c r="BL2954" i="1"/>
  <c r="BD2954" i="1"/>
  <c r="AX2954" i="1"/>
  <c r="Z2958" i="1" l="1"/>
  <c r="Z2974" i="1"/>
  <c r="CU2998" i="1"/>
  <c r="X2998" i="1" s="1"/>
  <c r="Z2977" i="1"/>
  <c r="Z2911" i="1"/>
  <c r="Z2991" i="1"/>
  <c r="Z2978" i="1"/>
  <c r="CU2971" i="1"/>
  <c r="X2971" i="1" s="1"/>
  <c r="Z2999" i="1"/>
  <c r="Z2979" i="1"/>
  <c r="Z2983" i="1"/>
  <c r="Z2967" i="1"/>
  <c r="CU2984" i="1"/>
  <c r="X2984" i="1" s="1"/>
  <c r="Z2954" i="1"/>
  <c r="Z2956" i="1"/>
  <c r="Z2969" i="1"/>
  <c r="Z2952" i="1"/>
  <c r="Z2973" i="1"/>
  <c r="Z2998" i="1"/>
  <c r="Z2836" i="1"/>
  <c r="Z2959" i="1"/>
  <c r="CU2967" i="1"/>
  <c r="X2967" i="1" s="1"/>
  <c r="Z2972" i="1"/>
  <c r="CU2977" i="1"/>
  <c r="X2977" i="1" s="1"/>
  <c r="Z2982" i="1"/>
  <c r="CU2999" i="1"/>
  <c r="X2999" i="1" s="1"/>
  <c r="CU2954" i="1"/>
  <c r="X2954" i="1" s="1"/>
  <c r="CU2959" i="1"/>
  <c r="X2959" i="1" s="1"/>
  <c r="Z2971" i="1"/>
  <c r="Z2984" i="1"/>
  <c r="CU2956" i="1"/>
  <c r="X2956" i="1" s="1"/>
  <c r="CU2969" i="1"/>
  <c r="X2969" i="1" s="1"/>
  <c r="CU2974" i="1"/>
  <c r="X2974" i="1" s="1"/>
  <c r="CU2911" i="1"/>
  <c r="X2911" i="1" s="1"/>
  <c r="CU2958" i="1"/>
  <c r="X2958" i="1" s="1"/>
  <c r="CU2978" i="1"/>
  <c r="X2978" i="1" s="1"/>
  <c r="CU2983" i="1"/>
  <c r="X2983" i="1" s="1"/>
  <c r="CU2991" i="1"/>
  <c r="X2991" i="1" s="1"/>
  <c r="CU2836" i="1"/>
  <c r="X2836" i="1" s="1"/>
  <c r="CU2952" i="1"/>
  <c r="X2952" i="1" s="1"/>
  <c r="CU2973" i="1"/>
  <c r="X2973" i="1" s="1"/>
  <c r="CU2972" i="1"/>
  <c r="X2972" i="1" s="1"/>
  <c r="CU2979" i="1"/>
  <c r="X2979" i="1" s="1"/>
  <c r="CU2982" i="1"/>
  <c r="X2982" i="1" s="1"/>
  <c r="DC2964" i="1"/>
  <c r="DA2964" i="1"/>
  <c r="CY2964" i="1"/>
  <c r="Y2964" i="1" s="1"/>
  <c r="CW2964" i="1"/>
  <c r="AA2964" i="1" s="1"/>
  <c r="CR2964" i="1"/>
  <c r="CP2964" i="1"/>
  <c r="CN2964" i="1"/>
  <c r="CJ2964" i="1"/>
  <c r="CH2964" i="1"/>
  <c r="CF2964" i="1"/>
  <c r="BL2964" i="1"/>
  <c r="BD2964" i="1"/>
  <c r="AZ2964" i="1"/>
  <c r="AX2964" i="1"/>
  <c r="DC2957" i="1"/>
  <c r="DA2957" i="1"/>
  <c r="CY2957" i="1"/>
  <c r="Y2957" i="1" s="1"/>
  <c r="CW2957" i="1"/>
  <c r="AA2957" i="1" s="1"/>
  <c r="CR2957" i="1"/>
  <c r="CP2957" i="1"/>
  <c r="CN2957" i="1"/>
  <c r="CJ2957" i="1"/>
  <c r="CH2957" i="1"/>
  <c r="CF2957" i="1"/>
  <c r="BL2957" i="1"/>
  <c r="BD2957" i="1"/>
  <c r="AZ2957" i="1"/>
  <c r="AX2957" i="1"/>
  <c r="DC2950" i="1"/>
  <c r="DA2950" i="1"/>
  <c r="CY2950" i="1"/>
  <c r="Y2950" i="1" s="1"/>
  <c r="CW2950" i="1"/>
  <c r="AA2950" i="1" s="1"/>
  <c r="CR2950" i="1"/>
  <c r="CP2950" i="1"/>
  <c r="CN2950" i="1"/>
  <c r="CJ2950" i="1"/>
  <c r="CH2950" i="1"/>
  <c r="CF2950" i="1"/>
  <c r="BL2950" i="1"/>
  <c r="BD2950" i="1"/>
  <c r="AZ2950" i="1"/>
  <c r="AX2950" i="1"/>
  <c r="DC2951" i="1"/>
  <c r="DA2951" i="1"/>
  <c r="CY2951" i="1"/>
  <c r="Y2951" i="1" s="1"/>
  <c r="CW2951" i="1"/>
  <c r="AA2951" i="1" s="1"/>
  <c r="CR2951" i="1"/>
  <c r="CP2951" i="1"/>
  <c r="CN2951" i="1"/>
  <c r="CJ2951" i="1"/>
  <c r="CH2951" i="1"/>
  <c r="CF2951" i="1"/>
  <c r="BL2951" i="1"/>
  <c r="BD2951" i="1"/>
  <c r="AZ2951" i="1"/>
  <c r="AX2951" i="1"/>
  <c r="DC2948" i="1"/>
  <c r="DA2948" i="1"/>
  <c r="CY2948" i="1"/>
  <c r="Y2948" i="1" s="1"/>
  <c r="CW2948" i="1"/>
  <c r="AA2948" i="1" s="1"/>
  <c r="CR2948" i="1"/>
  <c r="CP2948" i="1"/>
  <c r="CN2948" i="1"/>
  <c r="CJ2948" i="1"/>
  <c r="CH2948" i="1"/>
  <c r="CF2948" i="1"/>
  <c r="BL2948" i="1"/>
  <c r="BD2948" i="1"/>
  <c r="AZ2948" i="1"/>
  <c r="AX2948" i="1"/>
  <c r="DC2946" i="1"/>
  <c r="DA2946" i="1"/>
  <c r="CY2946" i="1"/>
  <c r="Y2946" i="1" s="1"/>
  <c r="CW2946" i="1"/>
  <c r="AA2946" i="1" s="1"/>
  <c r="CR2946" i="1"/>
  <c r="CP2946" i="1"/>
  <c r="CN2946" i="1"/>
  <c r="CJ2946" i="1"/>
  <c r="CH2946" i="1"/>
  <c r="CF2946" i="1"/>
  <c r="BL2946" i="1"/>
  <c r="BD2946" i="1"/>
  <c r="AZ2946" i="1"/>
  <c r="AX2946" i="1"/>
  <c r="DC2940" i="1"/>
  <c r="DA2940" i="1"/>
  <c r="CY2940" i="1"/>
  <c r="Y2940" i="1" s="1"/>
  <c r="CW2940" i="1"/>
  <c r="AA2940" i="1" s="1"/>
  <c r="CR2940" i="1"/>
  <c r="CP2940" i="1"/>
  <c r="CN2940" i="1"/>
  <c r="CJ2940" i="1"/>
  <c r="CH2940" i="1"/>
  <c r="CF2940" i="1"/>
  <c r="BL2940" i="1"/>
  <c r="BD2940" i="1"/>
  <c r="AZ2940" i="1"/>
  <c r="AX2940" i="1"/>
  <c r="DC2949" i="1"/>
  <c r="DA2949" i="1"/>
  <c r="CY2949" i="1"/>
  <c r="Y2949" i="1" s="1"/>
  <c r="CW2949" i="1"/>
  <c r="AA2949" i="1" s="1"/>
  <c r="CR2949" i="1"/>
  <c r="CP2949" i="1"/>
  <c r="CN2949" i="1"/>
  <c r="CJ2949" i="1"/>
  <c r="CH2949" i="1"/>
  <c r="CF2949" i="1"/>
  <c r="BL2949" i="1"/>
  <c r="BD2949" i="1"/>
  <c r="AZ2949" i="1"/>
  <c r="AX2949" i="1"/>
  <c r="DC2936" i="1"/>
  <c r="DA2936" i="1"/>
  <c r="CY2936" i="1"/>
  <c r="Y2936" i="1" s="1"/>
  <c r="CW2936" i="1"/>
  <c r="AA2936" i="1" s="1"/>
  <c r="CR2936" i="1"/>
  <c r="CP2936" i="1"/>
  <c r="CN2936" i="1"/>
  <c r="CJ2936" i="1"/>
  <c r="CH2936" i="1"/>
  <c r="CF2936" i="1"/>
  <c r="BL2936" i="1"/>
  <c r="BD2936" i="1"/>
  <c r="AZ2936" i="1"/>
  <c r="AX2936" i="1"/>
  <c r="DC2910" i="1"/>
  <c r="DA2910" i="1"/>
  <c r="CY2910" i="1"/>
  <c r="Y2910" i="1" s="1"/>
  <c r="CW2910" i="1"/>
  <c r="AA2910" i="1" s="1"/>
  <c r="CR2910" i="1"/>
  <c r="CP2910" i="1"/>
  <c r="CN2910" i="1"/>
  <c r="CJ2910" i="1"/>
  <c r="CH2910" i="1"/>
  <c r="CF2910" i="1"/>
  <c r="BL2910" i="1"/>
  <c r="BD2910" i="1"/>
  <c r="AZ2910" i="1"/>
  <c r="AX2910" i="1"/>
  <c r="DC3004" i="1"/>
  <c r="DA3004" i="1"/>
  <c r="CY3004" i="1"/>
  <c r="Y3004" i="1" s="1"/>
  <c r="CW3004" i="1"/>
  <c r="AA3004" i="1" s="1"/>
  <c r="CR3004" i="1"/>
  <c r="CP3004" i="1"/>
  <c r="CN3004" i="1"/>
  <c r="CJ3004" i="1"/>
  <c r="CH3004" i="1"/>
  <c r="CF3004" i="1"/>
  <c r="BL3004" i="1"/>
  <c r="BD3004" i="1"/>
  <c r="AZ3004" i="1"/>
  <c r="AX3004" i="1"/>
  <c r="DC2343" i="1"/>
  <c r="DA2343" i="1"/>
  <c r="CY2343" i="1"/>
  <c r="Y2343" i="1" s="1"/>
  <c r="CW2343" i="1"/>
  <c r="AA2343" i="1" s="1"/>
  <c r="CR2343" i="1"/>
  <c r="CP2343" i="1"/>
  <c r="CN2343" i="1"/>
  <c r="CJ2343" i="1"/>
  <c r="CH2343" i="1"/>
  <c r="CF2343" i="1"/>
  <c r="BL2343" i="1"/>
  <c r="BD2343" i="1"/>
  <c r="AZ2343" i="1"/>
  <c r="AX2343" i="1"/>
  <c r="DC2963" i="1"/>
  <c r="DA2963" i="1"/>
  <c r="CY2963" i="1"/>
  <c r="Y2963" i="1" s="1"/>
  <c r="CW2963" i="1"/>
  <c r="AA2963" i="1" s="1"/>
  <c r="CR2963" i="1"/>
  <c r="CP2963" i="1"/>
  <c r="CN2963" i="1"/>
  <c r="CJ2963" i="1"/>
  <c r="CH2963" i="1"/>
  <c r="CF2963" i="1"/>
  <c r="BL2963" i="1"/>
  <c r="BD2963" i="1"/>
  <c r="AZ2963" i="1"/>
  <c r="AX2963" i="1"/>
  <c r="DC2962" i="1"/>
  <c r="DA2962" i="1"/>
  <c r="CY2962" i="1"/>
  <c r="Y2962" i="1" s="1"/>
  <c r="CW2962" i="1"/>
  <c r="AA2962" i="1" s="1"/>
  <c r="CR2962" i="1"/>
  <c r="CP2962" i="1"/>
  <c r="CN2962" i="1"/>
  <c r="CJ2962" i="1"/>
  <c r="CH2962" i="1"/>
  <c r="CF2962" i="1"/>
  <c r="BL2962" i="1"/>
  <c r="BD2962" i="1"/>
  <c r="AZ2962" i="1"/>
  <c r="AX2962" i="1"/>
  <c r="DC2943" i="1"/>
  <c r="DA2943" i="1"/>
  <c r="CY2943" i="1"/>
  <c r="Y2943" i="1" s="1"/>
  <c r="CW2943" i="1"/>
  <c r="AA2943" i="1" s="1"/>
  <c r="CR2943" i="1"/>
  <c r="CP2943" i="1"/>
  <c r="CN2943" i="1"/>
  <c r="CJ2943" i="1"/>
  <c r="CH2943" i="1"/>
  <c r="CF2943" i="1"/>
  <c r="BL2943" i="1"/>
  <c r="BD2943" i="1"/>
  <c r="AZ2943" i="1"/>
  <c r="AX2943" i="1"/>
  <c r="DC2947" i="1"/>
  <c r="DA2947" i="1"/>
  <c r="CY2947" i="1"/>
  <c r="Y2947" i="1" s="1"/>
  <c r="CW2947" i="1"/>
  <c r="AA2947" i="1" s="1"/>
  <c r="CR2947" i="1"/>
  <c r="CP2947" i="1"/>
  <c r="CN2947" i="1"/>
  <c r="CJ2947" i="1"/>
  <c r="CH2947" i="1"/>
  <c r="CF2947" i="1"/>
  <c r="BL2947" i="1"/>
  <c r="BD2947" i="1"/>
  <c r="AZ2947" i="1"/>
  <c r="AX2947" i="1"/>
  <c r="DC2944" i="1"/>
  <c r="DA2944" i="1"/>
  <c r="CY2944" i="1"/>
  <c r="Y2944" i="1" s="1"/>
  <c r="CW2944" i="1"/>
  <c r="AA2944" i="1" s="1"/>
  <c r="CR2944" i="1"/>
  <c r="CP2944" i="1"/>
  <c r="CN2944" i="1"/>
  <c r="CJ2944" i="1"/>
  <c r="CH2944" i="1"/>
  <c r="CF2944" i="1"/>
  <c r="BL2944" i="1"/>
  <c r="BD2944" i="1"/>
  <c r="AZ2944" i="1"/>
  <c r="AX2944" i="1"/>
  <c r="DC2945" i="1"/>
  <c r="DA2945" i="1"/>
  <c r="CY2945" i="1"/>
  <c r="Y2945" i="1" s="1"/>
  <c r="CW2945" i="1"/>
  <c r="AA2945" i="1" s="1"/>
  <c r="CR2945" i="1"/>
  <c r="CP2945" i="1"/>
  <c r="CN2945" i="1"/>
  <c r="CJ2945" i="1"/>
  <c r="CH2945" i="1"/>
  <c r="CF2945" i="1"/>
  <c r="BL2945" i="1"/>
  <c r="BD2945" i="1"/>
  <c r="AZ2945" i="1"/>
  <c r="AX2945" i="1"/>
  <c r="AD2991" i="1" l="1"/>
  <c r="AD2982" i="1"/>
  <c r="AD2952" i="1"/>
  <c r="AD2971" i="1"/>
  <c r="AD2999" i="1"/>
  <c r="AD2984" i="1"/>
  <c r="AD2967" i="1"/>
  <c r="AD2958" i="1"/>
  <c r="AD2974" i="1"/>
  <c r="AD2998" i="1"/>
  <c r="AD2959" i="1"/>
  <c r="AD2977" i="1"/>
  <c r="AD2983" i="1"/>
  <c r="AD2911" i="1"/>
  <c r="AD2954" i="1"/>
  <c r="AD2979" i="1"/>
  <c r="AD2969" i="1"/>
  <c r="AD2973" i="1"/>
  <c r="AD2978" i="1"/>
  <c r="AD2956" i="1"/>
  <c r="AD2972" i="1"/>
  <c r="AD2836" i="1"/>
  <c r="Z3004" i="1"/>
  <c r="Z2936" i="1"/>
  <c r="Z2946" i="1"/>
  <c r="Z2940" i="1"/>
  <c r="Z2950" i="1"/>
  <c r="CU2951" i="1"/>
  <c r="X2951" i="1" s="1"/>
  <c r="Z2951" i="1"/>
  <c r="Z2957" i="1"/>
  <c r="CU2949" i="1"/>
  <c r="X2949" i="1" s="1"/>
  <c r="Z2949" i="1"/>
  <c r="Z2948" i="1"/>
  <c r="CU2936" i="1"/>
  <c r="X2936" i="1" s="1"/>
  <c r="Z2910" i="1"/>
  <c r="CU2964" i="1"/>
  <c r="X2964" i="1" s="1"/>
  <c r="Z2964" i="1"/>
  <c r="CU2946" i="1"/>
  <c r="X2946" i="1" s="1"/>
  <c r="CU2910" i="1"/>
  <c r="X2910" i="1" s="1"/>
  <c r="CU2948" i="1"/>
  <c r="X2948" i="1" s="1"/>
  <c r="CU2957" i="1"/>
  <c r="X2957" i="1" s="1"/>
  <c r="CU2940" i="1"/>
  <c r="X2940" i="1" s="1"/>
  <c r="CU2950" i="1"/>
  <c r="X2950" i="1" s="1"/>
  <c r="Z2945" i="1"/>
  <c r="Z2963" i="1"/>
  <c r="Z2962" i="1"/>
  <c r="Z2944" i="1"/>
  <c r="Z2947" i="1"/>
  <c r="CU2343" i="1"/>
  <c r="X2343" i="1" s="1"/>
  <c r="Z2343" i="1"/>
  <c r="CU2947" i="1"/>
  <c r="X2947" i="1" s="1"/>
  <c r="Z2943" i="1"/>
  <c r="CU2944" i="1"/>
  <c r="X2944" i="1" s="1"/>
  <c r="CU2963" i="1"/>
  <c r="X2963" i="1" s="1"/>
  <c r="CU2943" i="1"/>
  <c r="X2943" i="1" s="1"/>
  <c r="CU3004" i="1"/>
  <c r="X3004" i="1" s="1"/>
  <c r="CU2945" i="1"/>
  <c r="X2945" i="1" s="1"/>
  <c r="CU2962" i="1"/>
  <c r="X2962" i="1" s="1"/>
  <c r="AD2946" i="1" l="1"/>
  <c r="AD2947" i="1"/>
  <c r="AD2962" i="1"/>
  <c r="AD2940" i="1"/>
  <c r="AD2964" i="1"/>
  <c r="AD3004" i="1"/>
  <c r="AD2936" i="1"/>
  <c r="AD2951" i="1"/>
  <c r="AD2944" i="1"/>
  <c r="AD2963" i="1"/>
  <c r="AD2950" i="1"/>
  <c r="AD2948" i="1"/>
  <c r="AD2949" i="1"/>
  <c r="AD2957" i="1"/>
  <c r="AD2910" i="1"/>
  <c r="AD2945" i="1"/>
  <c r="AD2343" i="1"/>
  <c r="AD2943" i="1"/>
  <c r="DC2481" i="1"/>
  <c r="DA2481" i="1"/>
  <c r="CY2481" i="1"/>
  <c r="Y2481" i="1" s="1"/>
  <c r="CW2481" i="1"/>
  <c r="AA2481" i="1" s="1"/>
  <c r="CR2481" i="1"/>
  <c r="CP2481" i="1"/>
  <c r="CN2481" i="1"/>
  <c r="CJ2481" i="1"/>
  <c r="CH2481" i="1"/>
  <c r="CF2481" i="1"/>
  <c r="BL2481" i="1"/>
  <c r="BD2481" i="1"/>
  <c r="AZ2481" i="1"/>
  <c r="AX2481" i="1"/>
  <c r="DC2724" i="1"/>
  <c r="DA2724" i="1"/>
  <c r="CY2724" i="1"/>
  <c r="Y2724" i="1" s="1"/>
  <c r="CW2724" i="1"/>
  <c r="AA2724" i="1" s="1"/>
  <c r="CR2724" i="1"/>
  <c r="CP2724" i="1"/>
  <c r="CN2724" i="1"/>
  <c r="CJ2724" i="1"/>
  <c r="CH2724" i="1"/>
  <c r="CF2724" i="1"/>
  <c r="BL2724" i="1"/>
  <c r="BD2724" i="1"/>
  <c r="AZ2724" i="1"/>
  <c r="AX2724" i="1"/>
  <c r="DC2941" i="1"/>
  <c r="DA2941" i="1"/>
  <c r="CY2941" i="1"/>
  <c r="Y2941" i="1" s="1"/>
  <c r="CW2941" i="1"/>
  <c r="AA2941" i="1" s="1"/>
  <c r="CR2941" i="1"/>
  <c r="CP2941" i="1"/>
  <c r="CN2941" i="1"/>
  <c r="CJ2941" i="1"/>
  <c r="CH2941" i="1"/>
  <c r="CF2941" i="1"/>
  <c r="BL2941" i="1"/>
  <c r="BD2941" i="1"/>
  <c r="AZ2941" i="1"/>
  <c r="AX2941" i="1"/>
  <c r="DC2723" i="1"/>
  <c r="DA2723" i="1"/>
  <c r="CY2723" i="1"/>
  <c r="Y2723" i="1" s="1"/>
  <c r="CW2723" i="1"/>
  <c r="AA2723" i="1" s="1"/>
  <c r="CR2723" i="1"/>
  <c r="CP2723" i="1"/>
  <c r="CN2723" i="1"/>
  <c r="CJ2723" i="1"/>
  <c r="CH2723" i="1"/>
  <c r="CF2723" i="1"/>
  <c r="BL2723" i="1"/>
  <c r="BD2723" i="1"/>
  <c r="AZ2723" i="1"/>
  <c r="AX2723" i="1"/>
  <c r="DC2915" i="1"/>
  <c r="DA2915" i="1"/>
  <c r="CY2915" i="1"/>
  <c r="Y2915" i="1" s="1"/>
  <c r="CW2915" i="1"/>
  <c r="AA2915" i="1" s="1"/>
  <c r="CR2915" i="1"/>
  <c r="CP2915" i="1"/>
  <c r="CN2915" i="1"/>
  <c r="CJ2915" i="1"/>
  <c r="CH2915" i="1"/>
  <c r="CF2915" i="1"/>
  <c r="BL2915" i="1"/>
  <c r="BD2915" i="1"/>
  <c r="AZ2915" i="1"/>
  <c r="AX2915" i="1"/>
  <c r="Z2481" i="1" l="1"/>
  <c r="Z2915" i="1"/>
  <c r="CU2723" i="1"/>
  <c r="X2723" i="1" s="1"/>
  <c r="Z2723" i="1"/>
  <c r="Z2724" i="1"/>
  <c r="Z2941" i="1"/>
  <c r="CU2915" i="1"/>
  <c r="X2915" i="1" s="1"/>
  <c r="CU2724" i="1"/>
  <c r="X2724" i="1" s="1"/>
  <c r="CU2481" i="1"/>
  <c r="X2481" i="1" s="1"/>
  <c r="CU2941" i="1"/>
  <c r="X2941" i="1" s="1"/>
  <c r="W1560" i="1"/>
  <c r="DC2942" i="1"/>
  <c r="DA2942" i="1"/>
  <c r="CY2942" i="1"/>
  <c r="Y2942" i="1" s="1"/>
  <c r="CW2942" i="1"/>
  <c r="AA2942" i="1" s="1"/>
  <c r="CR2942" i="1"/>
  <c r="CP2942" i="1"/>
  <c r="CN2942" i="1"/>
  <c r="CJ2942" i="1"/>
  <c r="CH2942" i="1"/>
  <c r="CF2942" i="1"/>
  <c r="BL2942" i="1"/>
  <c r="BD2942" i="1"/>
  <c r="AZ2942" i="1"/>
  <c r="AX2942" i="1"/>
  <c r="AD2481" i="1" l="1"/>
  <c r="AD2915" i="1"/>
  <c r="AD2723" i="1"/>
  <c r="AD2941" i="1"/>
  <c r="AD2724" i="1"/>
  <c r="CU2942" i="1"/>
  <c r="X2942" i="1" s="1"/>
  <c r="Z2942" i="1"/>
  <c r="DC2930" i="1"/>
  <c r="DA2930" i="1"/>
  <c r="CY2930" i="1"/>
  <c r="Y2930" i="1" s="1"/>
  <c r="CW2930" i="1"/>
  <c r="AA2930" i="1" s="1"/>
  <c r="CR2930" i="1"/>
  <c r="CP2930" i="1"/>
  <c r="CN2930" i="1"/>
  <c r="CJ2930" i="1"/>
  <c r="CH2930" i="1"/>
  <c r="CF2930" i="1"/>
  <c r="BL2930" i="1"/>
  <c r="BD2930" i="1"/>
  <c r="AZ2930" i="1"/>
  <c r="AX2930" i="1"/>
  <c r="DC2926" i="1"/>
  <c r="DA2926" i="1"/>
  <c r="CY2926" i="1"/>
  <c r="Y2926" i="1" s="1"/>
  <c r="CW2926" i="1"/>
  <c r="AA2926" i="1" s="1"/>
  <c r="CR2926" i="1"/>
  <c r="CP2926" i="1"/>
  <c r="CN2926" i="1"/>
  <c r="CJ2926" i="1"/>
  <c r="CH2926" i="1"/>
  <c r="CF2926" i="1"/>
  <c r="BL2926" i="1"/>
  <c r="BD2926" i="1"/>
  <c r="AZ2926" i="1"/>
  <c r="AX2926" i="1"/>
  <c r="DC2890" i="1"/>
  <c r="DA2890" i="1"/>
  <c r="CY2890" i="1"/>
  <c r="Y2890" i="1" s="1"/>
  <c r="CW2890" i="1"/>
  <c r="AA2890" i="1" s="1"/>
  <c r="CR2890" i="1"/>
  <c r="CP2890" i="1"/>
  <c r="CN2890" i="1"/>
  <c r="CJ2890" i="1"/>
  <c r="CH2890" i="1"/>
  <c r="CF2890" i="1"/>
  <c r="BL2890" i="1"/>
  <c r="BD2890" i="1"/>
  <c r="AZ2890" i="1"/>
  <c r="AX2890" i="1"/>
  <c r="DC2932" i="1"/>
  <c r="DA2932" i="1"/>
  <c r="CY2932" i="1"/>
  <c r="Y2932" i="1" s="1"/>
  <c r="CW2932" i="1"/>
  <c r="AA2932" i="1" s="1"/>
  <c r="CR2932" i="1"/>
  <c r="CP2932" i="1"/>
  <c r="CN2932" i="1"/>
  <c r="CJ2932" i="1"/>
  <c r="CH2932" i="1"/>
  <c r="CF2932" i="1"/>
  <c r="BL2932" i="1"/>
  <c r="BD2932" i="1"/>
  <c r="AZ2932" i="1"/>
  <c r="AX2932" i="1"/>
  <c r="DC2937" i="1"/>
  <c r="DA2937" i="1"/>
  <c r="CY2937" i="1"/>
  <c r="Y2937" i="1" s="1"/>
  <c r="CW2937" i="1"/>
  <c r="AA2937" i="1" s="1"/>
  <c r="CR2937" i="1"/>
  <c r="CP2937" i="1"/>
  <c r="CN2937" i="1"/>
  <c r="CJ2937" i="1"/>
  <c r="CH2937" i="1"/>
  <c r="CF2937" i="1"/>
  <c r="BL2937" i="1"/>
  <c r="BD2937" i="1"/>
  <c r="AZ2937" i="1"/>
  <c r="AX2937" i="1"/>
  <c r="DC2837" i="1"/>
  <c r="DA2837" i="1"/>
  <c r="CY2837" i="1"/>
  <c r="Y2837" i="1" s="1"/>
  <c r="CW2837" i="1"/>
  <c r="AA2837" i="1" s="1"/>
  <c r="CR2837" i="1"/>
  <c r="CP2837" i="1"/>
  <c r="CN2837" i="1"/>
  <c r="CJ2837" i="1"/>
  <c r="CH2837" i="1"/>
  <c r="CF2837" i="1"/>
  <c r="BL2837" i="1"/>
  <c r="BD2837" i="1"/>
  <c r="AZ2837" i="1"/>
  <c r="AX2837" i="1"/>
  <c r="DC2891" i="1"/>
  <c r="DA2891" i="1"/>
  <c r="CY2891" i="1"/>
  <c r="Y2891" i="1" s="1"/>
  <c r="CW2891" i="1"/>
  <c r="AA2891" i="1" s="1"/>
  <c r="CR2891" i="1"/>
  <c r="CP2891" i="1"/>
  <c r="CN2891" i="1"/>
  <c r="CJ2891" i="1"/>
  <c r="CH2891" i="1"/>
  <c r="CF2891" i="1"/>
  <c r="BL2891" i="1"/>
  <c r="BD2891" i="1"/>
  <c r="AZ2891" i="1"/>
  <c r="AX2891" i="1"/>
  <c r="DC2927" i="1"/>
  <c r="DA2927" i="1"/>
  <c r="Y2927" i="1"/>
  <c r="AA2927" i="1"/>
  <c r="CN2927" i="1"/>
  <c r="CJ2927" i="1"/>
  <c r="CH2927" i="1"/>
  <c r="CF2927" i="1"/>
  <c r="BD2927" i="1"/>
  <c r="AZ2927" i="1"/>
  <c r="AX2927" i="1"/>
  <c r="DC2929" i="1"/>
  <c r="DA2929" i="1"/>
  <c r="CY2929" i="1"/>
  <c r="Y2929" i="1" s="1"/>
  <c r="CW2929" i="1"/>
  <c r="AA2929" i="1" s="1"/>
  <c r="CR2929" i="1"/>
  <c r="CP2929" i="1"/>
  <c r="CN2929" i="1"/>
  <c r="CJ2929" i="1"/>
  <c r="CH2929" i="1"/>
  <c r="CF2929" i="1"/>
  <c r="BL2929" i="1"/>
  <c r="BD2929" i="1"/>
  <c r="AZ2929" i="1"/>
  <c r="AX2929" i="1"/>
  <c r="DC2928" i="1"/>
  <c r="DA2928" i="1"/>
  <c r="CY2928" i="1"/>
  <c r="Y2928" i="1" s="1"/>
  <c r="CW2928" i="1"/>
  <c r="AA2928" i="1" s="1"/>
  <c r="CR2928" i="1"/>
  <c r="CP2928" i="1"/>
  <c r="CN2928" i="1"/>
  <c r="CJ2928" i="1"/>
  <c r="CH2928" i="1"/>
  <c r="CF2928" i="1"/>
  <c r="BL2928" i="1"/>
  <c r="BD2928" i="1"/>
  <c r="AZ2928" i="1"/>
  <c r="AX2928" i="1"/>
  <c r="DC2924" i="1"/>
  <c r="DA2924" i="1"/>
  <c r="CY2924" i="1"/>
  <c r="Y2924" i="1" s="1"/>
  <c r="CW2924" i="1"/>
  <c r="AA2924" i="1" s="1"/>
  <c r="CR2924" i="1"/>
  <c r="CP2924" i="1"/>
  <c r="CN2924" i="1"/>
  <c r="CJ2924" i="1"/>
  <c r="CH2924" i="1"/>
  <c r="CF2924" i="1"/>
  <c r="BL2924" i="1"/>
  <c r="BD2924" i="1"/>
  <c r="AZ2924" i="1"/>
  <c r="AX2924" i="1"/>
  <c r="DC2907" i="1"/>
  <c r="DA2907" i="1"/>
  <c r="CY2907" i="1"/>
  <c r="Y2907" i="1" s="1"/>
  <c r="CW2907" i="1"/>
  <c r="AA2907" i="1" s="1"/>
  <c r="CR2907" i="1"/>
  <c r="CP2907" i="1"/>
  <c r="CN2907" i="1"/>
  <c r="CJ2907" i="1"/>
  <c r="CH2907" i="1"/>
  <c r="CF2907" i="1"/>
  <c r="BL2907" i="1"/>
  <c r="BD2907" i="1"/>
  <c r="AZ2907" i="1"/>
  <c r="AX2907" i="1"/>
  <c r="DC2934" i="1"/>
  <c r="DA2934" i="1"/>
  <c r="CY2934" i="1"/>
  <c r="Y2934" i="1" s="1"/>
  <c r="CW2934" i="1"/>
  <c r="AA2934" i="1" s="1"/>
  <c r="CR2934" i="1"/>
  <c r="CP2934" i="1"/>
  <c r="CN2934" i="1"/>
  <c r="CJ2934" i="1"/>
  <c r="CH2934" i="1"/>
  <c r="CF2934" i="1"/>
  <c r="BL2934" i="1"/>
  <c r="BD2934" i="1"/>
  <c r="AZ2934" i="1"/>
  <c r="AX2934" i="1"/>
  <c r="DC2933" i="1"/>
  <c r="DA2933" i="1"/>
  <c r="CY2933" i="1"/>
  <c r="Y2933" i="1" s="1"/>
  <c r="CW2933" i="1"/>
  <c r="AA2933" i="1" s="1"/>
  <c r="CR2933" i="1"/>
  <c r="CP2933" i="1"/>
  <c r="CN2933" i="1"/>
  <c r="CJ2933" i="1"/>
  <c r="CH2933" i="1"/>
  <c r="CF2933" i="1"/>
  <c r="BL2933" i="1"/>
  <c r="BD2933" i="1"/>
  <c r="AZ2933" i="1"/>
  <c r="AX2933" i="1"/>
  <c r="AD2942" i="1" l="1"/>
  <c r="Z2932" i="1"/>
  <c r="CU2930" i="1"/>
  <c r="X2930" i="1" s="1"/>
  <c r="Z2930" i="1"/>
  <c r="Z2890" i="1"/>
  <c r="Z2907" i="1"/>
  <c r="Z2928" i="1"/>
  <c r="Z2937" i="1"/>
  <c r="Z2837" i="1"/>
  <c r="Z2927" i="1"/>
  <c r="CU2891" i="1"/>
  <c r="X2891" i="1" s="1"/>
  <c r="Z2891" i="1"/>
  <c r="Z2926" i="1"/>
  <c r="CU2933" i="1"/>
  <c r="X2933" i="1" s="1"/>
  <c r="Z2924" i="1"/>
  <c r="CU2926" i="1"/>
  <c r="X2926" i="1" s="1"/>
  <c r="Z2934" i="1"/>
  <c r="CU2890" i="1"/>
  <c r="X2890" i="1" s="1"/>
  <c r="Z2933" i="1"/>
  <c r="CU2924" i="1"/>
  <c r="X2924" i="1" s="1"/>
  <c r="CU2837" i="1"/>
  <c r="X2837" i="1" s="1"/>
  <c r="CU2928" i="1"/>
  <c r="X2928" i="1" s="1"/>
  <c r="CU2929" i="1"/>
  <c r="X2929" i="1" s="1"/>
  <c r="Z2929" i="1"/>
  <c r="CU2937" i="1"/>
  <c r="X2937" i="1" s="1"/>
  <c r="CU2907" i="1"/>
  <c r="X2907" i="1" s="1"/>
  <c r="CU2927" i="1"/>
  <c r="X2927" i="1" s="1"/>
  <c r="CU2932" i="1"/>
  <c r="X2932" i="1" s="1"/>
  <c r="CU2934" i="1"/>
  <c r="X2934" i="1" s="1"/>
  <c r="DC3010" i="1"/>
  <c r="DA3010" i="1"/>
  <c r="CY3010" i="1"/>
  <c r="Y3010" i="1" s="1"/>
  <c r="CW3010" i="1"/>
  <c r="AA3010" i="1" s="1"/>
  <c r="CR3010" i="1"/>
  <c r="CP3010" i="1"/>
  <c r="CN3010" i="1"/>
  <c r="CJ3010" i="1"/>
  <c r="CH3010" i="1"/>
  <c r="CF3010" i="1"/>
  <c r="BL3010" i="1"/>
  <c r="BD3010" i="1"/>
  <c r="AZ3010" i="1"/>
  <c r="AX3010" i="1"/>
  <c r="DC2938" i="1"/>
  <c r="DA2938" i="1"/>
  <c r="CY2938" i="1"/>
  <c r="Y2938" i="1" s="1"/>
  <c r="CW2938" i="1"/>
  <c r="AA2938" i="1" s="1"/>
  <c r="CR2938" i="1"/>
  <c r="CP2938" i="1"/>
  <c r="CN2938" i="1"/>
  <c r="CJ2938" i="1"/>
  <c r="CH2938" i="1"/>
  <c r="CF2938" i="1"/>
  <c r="BL2938" i="1"/>
  <c r="BD2938" i="1"/>
  <c r="AZ2938" i="1"/>
  <c r="AX2938" i="1"/>
  <c r="DC2939" i="1"/>
  <c r="DA2939" i="1"/>
  <c r="CY2939" i="1"/>
  <c r="Y2939" i="1" s="1"/>
  <c r="CW2939" i="1"/>
  <c r="AA2939" i="1" s="1"/>
  <c r="CR2939" i="1"/>
  <c r="CP2939" i="1"/>
  <c r="CN2939" i="1"/>
  <c r="CJ2939" i="1"/>
  <c r="CH2939" i="1"/>
  <c r="CF2939" i="1"/>
  <c r="BL2939" i="1"/>
  <c r="BD2939" i="1"/>
  <c r="AZ2939" i="1"/>
  <c r="AX2939" i="1"/>
  <c r="DC2935" i="1"/>
  <c r="DA2935" i="1"/>
  <c r="CY2935" i="1"/>
  <c r="Y2935" i="1" s="1"/>
  <c r="CW2935" i="1"/>
  <c r="AA2935" i="1" s="1"/>
  <c r="CR2935" i="1"/>
  <c r="CP2935" i="1"/>
  <c r="CN2935" i="1"/>
  <c r="CJ2935" i="1"/>
  <c r="CH2935" i="1"/>
  <c r="CF2935" i="1"/>
  <c r="BL2935" i="1"/>
  <c r="BD2935" i="1"/>
  <c r="AZ2935" i="1"/>
  <c r="AX2935" i="1"/>
  <c r="DC2914" i="1"/>
  <c r="DA2914" i="1"/>
  <c r="CY2914" i="1"/>
  <c r="Y2914" i="1" s="1"/>
  <c r="CW2914" i="1"/>
  <c r="AA2914" i="1" s="1"/>
  <c r="CR2914" i="1"/>
  <c r="CP2914" i="1"/>
  <c r="CN2914" i="1"/>
  <c r="CJ2914" i="1"/>
  <c r="CH2914" i="1"/>
  <c r="CF2914" i="1"/>
  <c r="BL2914" i="1"/>
  <c r="BD2914" i="1"/>
  <c r="AZ2914" i="1"/>
  <c r="AX2914" i="1"/>
  <c r="DC2931" i="1"/>
  <c r="DA2931" i="1"/>
  <c r="CY2931" i="1"/>
  <c r="Y2931" i="1" s="1"/>
  <c r="CW2931" i="1"/>
  <c r="AA2931" i="1" s="1"/>
  <c r="CR2931" i="1"/>
  <c r="CP2931" i="1"/>
  <c r="CN2931" i="1"/>
  <c r="CJ2931" i="1"/>
  <c r="CH2931" i="1"/>
  <c r="CF2931" i="1"/>
  <c r="BL2931" i="1"/>
  <c r="BD2931" i="1"/>
  <c r="AZ2931" i="1"/>
  <c r="AX2931" i="1"/>
  <c r="DC2769" i="1"/>
  <c r="DA2769" i="1"/>
  <c r="Y2769" i="1"/>
  <c r="CW2769" i="1"/>
  <c r="AA2769" i="1" s="1"/>
  <c r="CR2769" i="1"/>
  <c r="CP2769" i="1"/>
  <c r="CN2769" i="1"/>
  <c r="CJ2769" i="1"/>
  <c r="CH2769" i="1"/>
  <c r="CF2769" i="1"/>
  <c r="BL2769" i="1"/>
  <c r="BD2769" i="1"/>
  <c r="AZ2769" i="1"/>
  <c r="AX2769" i="1"/>
  <c r="DC2881" i="1"/>
  <c r="DA2881" i="1"/>
  <c r="CY2881" i="1"/>
  <c r="Y2881" i="1" s="1"/>
  <c r="CW2881" i="1"/>
  <c r="AA2881" i="1" s="1"/>
  <c r="CR2881" i="1"/>
  <c r="CP2881" i="1"/>
  <c r="CN2881" i="1"/>
  <c r="CJ2881" i="1"/>
  <c r="CH2881" i="1"/>
  <c r="CF2881" i="1"/>
  <c r="BL2881" i="1"/>
  <c r="BD2881" i="1"/>
  <c r="AZ2881" i="1"/>
  <c r="AX2881" i="1"/>
  <c r="DC2899" i="1"/>
  <c r="DA2899" i="1"/>
  <c r="CY2899" i="1"/>
  <c r="Y2899" i="1" s="1"/>
  <c r="CW2899" i="1"/>
  <c r="AA2899" i="1" s="1"/>
  <c r="CR2899" i="1"/>
  <c r="CP2899" i="1"/>
  <c r="CN2899" i="1"/>
  <c r="CJ2899" i="1"/>
  <c r="CH2899" i="1"/>
  <c r="CF2899" i="1"/>
  <c r="BL2899" i="1"/>
  <c r="BD2899" i="1"/>
  <c r="AZ2899" i="1"/>
  <c r="AX2899" i="1"/>
  <c r="DC2898" i="1"/>
  <c r="DA2898" i="1"/>
  <c r="CY2898" i="1"/>
  <c r="Y2898" i="1" s="1"/>
  <c r="CW2898" i="1"/>
  <c r="AA2898" i="1" s="1"/>
  <c r="CR2898" i="1"/>
  <c r="CP2898" i="1"/>
  <c r="CN2898" i="1"/>
  <c r="CJ2898" i="1"/>
  <c r="CH2898" i="1"/>
  <c r="CF2898" i="1"/>
  <c r="BL2898" i="1"/>
  <c r="BD2898" i="1"/>
  <c r="AZ2898" i="1"/>
  <c r="AX2898" i="1"/>
  <c r="DC2877" i="1"/>
  <c r="DA2877" i="1"/>
  <c r="CY2877" i="1"/>
  <c r="Y2877" i="1" s="1"/>
  <c r="CW2877" i="1"/>
  <c r="AA2877" i="1" s="1"/>
  <c r="CR2877" i="1"/>
  <c r="CP2877" i="1"/>
  <c r="CN2877" i="1"/>
  <c r="CJ2877" i="1"/>
  <c r="CH2877" i="1"/>
  <c r="CF2877" i="1"/>
  <c r="BL2877" i="1"/>
  <c r="BD2877" i="1"/>
  <c r="AZ2877" i="1"/>
  <c r="AX2877" i="1"/>
  <c r="DC2876" i="1"/>
  <c r="DA2876" i="1"/>
  <c r="CY2876" i="1"/>
  <c r="Y2876" i="1" s="1"/>
  <c r="CW2876" i="1"/>
  <c r="AA2876" i="1" s="1"/>
  <c r="CR2876" i="1"/>
  <c r="CP2876" i="1"/>
  <c r="CN2876" i="1"/>
  <c r="CJ2876" i="1"/>
  <c r="CH2876" i="1"/>
  <c r="CF2876" i="1"/>
  <c r="BL2876" i="1"/>
  <c r="BD2876" i="1"/>
  <c r="AZ2876" i="1"/>
  <c r="AX2876" i="1"/>
  <c r="DC2875" i="1"/>
  <c r="DA2875" i="1"/>
  <c r="CY2875" i="1"/>
  <c r="Y2875" i="1" s="1"/>
  <c r="CW2875" i="1"/>
  <c r="AA2875" i="1" s="1"/>
  <c r="CR2875" i="1"/>
  <c r="CP2875" i="1"/>
  <c r="CN2875" i="1"/>
  <c r="CJ2875" i="1"/>
  <c r="CH2875" i="1"/>
  <c r="CF2875" i="1"/>
  <c r="BL2875" i="1"/>
  <c r="BD2875" i="1"/>
  <c r="AZ2875" i="1"/>
  <c r="AX2875" i="1"/>
  <c r="DC2900" i="1"/>
  <c r="DA2900" i="1"/>
  <c r="CY2900" i="1"/>
  <c r="Y2900" i="1" s="1"/>
  <c r="CW2900" i="1"/>
  <c r="AA2900" i="1" s="1"/>
  <c r="CR2900" i="1"/>
  <c r="CP2900" i="1"/>
  <c r="CN2900" i="1"/>
  <c r="CJ2900" i="1"/>
  <c r="CH2900" i="1"/>
  <c r="CF2900" i="1"/>
  <c r="BL2900" i="1"/>
  <c r="BD2900" i="1"/>
  <c r="AZ2900" i="1"/>
  <c r="AX2900" i="1"/>
  <c r="DC2897" i="1"/>
  <c r="DA2897" i="1"/>
  <c r="CY2897" i="1"/>
  <c r="Y2897" i="1" s="1"/>
  <c r="CW2897" i="1"/>
  <c r="AA2897" i="1" s="1"/>
  <c r="CR2897" i="1"/>
  <c r="CP2897" i="1"/>
  <c r="CN2897" i="1"/>
  <c r="CJ2897" i="1"/>
  <c r="CH2897" i="1"/>
  <c r="CF2897" i="1"/>
  <c r="BL2897" i="1"/>
  <c r="BD2897" i="1"/>
  <c r="AZ2897" i="1"/>
  <c r="AX2897" i="1"/>
  <c r="DC2902" i="1"/>
  <c r="DA2902" i="1"/>
  <c r="CY2902" i="1"/>
  <c r="Y2902" i="1" s="1"/>
  <c r="CW2902" i="1"/>
  <c r="AA2902" i="1" s="1"/>
  <c r="CR2902" i="1"/>
  <c r="CP2902" i="1"/>
  <c r="CN2902" i="1"/>
  <c r="CJ2902" i="1"/>
  <c r="CH2902" i="1"/>
  <c r="CF2902" i="1"/>
  <c r="BL2902" i="1"/>
  <c r="BD2902" i="1"/>
  <c r="AZ2902" i="1"/>
  <c r="AX2902" i="1"/>
  <c r="DC2916" i="1"/>
  <c r="DA2916" i="1"/>
  <c r="CY2916" i="1"/>
  <c r="Y2916" i="1" s="1"/>
  <c r="CW2916" i="1"/>
  <c r="AA2916" i="1" s="1"/>
  <c r="CR2916" i="1"/>
  <c r="CP2916" i="1"/>
  <c r="CN2916" i="1"/>
  <c r="CJ2916" i="1"/>
  <c r="CH2916" i="1"/>
  <c r="CF2916" i="1"/>
  <c r="BL2916" i="1"/>
  <c r="BD2916" i="1"/>
  <c r="AZ2916" i="1"/>
  <c r="AX2916" i="1"/>
  <c r="DC2896" i="1"/>
  <c r="DA2896" i="1"/>
  <c r="CY2896" i="1"/>
  <c r="Y2896" i="1" s="1"/>
  <c r="CW2896" i="1"/>
  <c r="AA2896" i="1" s="1"/>
  <c r="CR2896" i="1"/>
  <c r="CP2896" i="1"/>
  <c r="CN2896" i="1"/>
  <c r="CJ2896" i="1"/>
  <c r="CH2896" i="1"/>
  <c r="CF2896" i="1"/>
  <c r="BL2896" i="1"/>
  <c r="BD2896" i="1"/>
  <c r="AZ2896" i="1"/>
  <c r="AX2896" i="1"/>
  <c r="DC2901" i="1"/>
  <c r="DA2901" i="1"/>
  <c r="CY2901" i="1"/>
  <c r="Y2901" i="1" s="1"/>
  <c r="CW2901" i="1"/>
  <c r="AA2901" i="1" s="1"/>
  <c r="CR2901" i="1"/>
  <c r="CP2901" i="1"/>
  <c r="CN2901" i="1"/>
  <c r="CJ2901" i="1"/>
  <c r="CH2901" i="1"/>
  <c r="CF2901" i="1"/>
  <c r="BL2901" i="1"/>
  <c r="BD2901" i="1"/>
  <c r="AZ2901" i="1"/>
  <c r="AX2901" i="1"/>
  <c r="DC2917" i="1"/>
  <c r="DA2917" i="1"/>
  <c r="CY2917" i="1"/>
  <c r="Y2917" i="1" s="1"/>
  <c r="CW2917" i="1"/>
  <c r="AA2917" i="1" s="1"/>
  <c r="CR2917" i="1"/>
  <c r="CP2917" i="1"/>
  <c r="CN2917" i="1"/>
  <c r="CJ2917" i="1"/>
  <c r="CH2917" i="1"/>
  <c r="CF2917" i="1"/>
  <c r="BL2917" i="1"/>
  <c r="BD2917" i="1"/>
  <c r="AZ2917" i="1"/>
  <c r="AX2917" i="1"/>
  <c r="DC2861" i="1"/>
  <c r="DA2861" i="1"/>
  <c r="CY2861" i="1"/>
  <c r="Y2861" i="1" s="1"/>
  <c r="CW2861" i="1"/>
  <c r="AA2861" i="1" s="1"/>
  <c r="CR2861" i="1"/>
  <c r="CP2861" i="1"/>
  <c r="CN2861" i="1"/>
  <c r="CJ2861" i="1"/>
  <c r="CH2861" i="1"/>
  <c r="CF2861" i="1"/>
  <c r="BL2861" i="1"/>
  <c r="BD2861" i="1"/>
  <c r="AZ2861" i="1"/>
  <c r="AX2861" i="1"/>
  <c r="DC2874" i="1"/>
  <c r="DA2874" i="1"/>
  <c r="CY2874" i="1"/>
  <c r="Y2874" i="1" s="1"/>
  <c r="CW2874" i="1"/>
  <c r="AA2874" i="1" s="1"/>
  <c r="CR2874" i="1"/>
  <c r="CP2874" i="1"/>
  <c r="CN2874" i="1"/>
  <c r="CJ2874" i="1"/>
  <c r="CH2874" i="1"/>
  <c r="CF2874" i="1"/>
  <c r="BL2874" i="1"/>
  <c r="BD2874" i="1"/>
  <c r="AZ2874" i="1"/>
  <c r="AX2874" i="1"/>
  <c r="DC2920" i="1"/>
  <c r="DA2920" i="1"/>
  <c r="CY2920" i="1"/>
  <c r="Y2920" i="1" s="1"/>
  <c r="CW2920" i="1"/>
  <c r="AA2920" i="1" s="1"/>
  <c r="CR2920" i="1"/>
  <c r="CP2920" i="1"/>
  <c r="CN2920" i="1"/>
  <c r="CJ2920" i="1"/>
  <c r="CH2920" i="1"/>
  <c r="CF2920" i="1"/>
  <c r="BL2920" i="1"/>
  <c r="BD2920" i="1"/>
  <c r="AZ2920" i="1"/>
  <c r="AX2920" i="1"/>
  <c r="DC2922" i="1"/>
  <c r="DA2922" i="1"/>
  <c r="CY2922" i="1"/>
  <c r="Y2922" i="1" s="1"/>
  <c r="CW2922" i="1"/>
  <c r="AA2922" i="1" s="1"/>
  <c r="CR2922" i="1"/>
  <c r="CP2922" i="1"/>
  <c r="CN2922" i="1"/>
  <c r="CJ2922" i="1"/>
  <c r="CH2922" i="1"/>
  <c r="CF2922" i="1"/>
  <c r="BL2922" i="1"/>
  <c r="BD2922" i="1"/>
  <c r="AZ2922" i="1"/>
  <c r="AX2922" i="1"/>
  <c r="DC2921" i="1"/>
  <c r="DA2921" i="1"/>
  <c r="CY2921" i="1"/>
  <c r="Y2921" i="1" s="1"/>
  <c r="CW2921" i="1"/>
  <c r="AA2921" i="1" s="1"/>
  <c r="CR2921" i="1"/>
  <c r="CP2921" i="1"/>
  <c r="CN2921" i="1"/>
  <c r="CJ2921" i="1"/>
  <c r="CH2921" i="1"/>
  <c r="CF2921" i="1"/>
  <c r="BL2921" i="1"/>
  <c r="BD2921" i="1"/>
  <c r="AZ2921" i="1"/>
  <c r="AX2921" i="1"/>
  <c r="AD2932" i="1" l="1"/>
  <c r="AD2891" i="1"/>
  <c r="AD2927" i="1"/>
  <c r="AD2907" i="1"/>
  <c r="AD2930" i="1"/>
  <c r="AD2937" i="1"/>
  <c r="AD2928" i="1"/>
  <c r="AD2924" i="1"/>
  <c r="AD2933" i="1"/>
  <c r="AD2929" i="1"/>
  <c r="AD2837" i="1"/>
  <c r="AD2926" i="1"/>
  <c r="AD2890" i="1"/>
  <c r="AD2934" i="1"/>
  <c r="Z2769" i="1"/>
  <c r="Z2938" i="1"/>
  <c r="Z2939" i="1"/>
  <c r="CU3010" i="1"/>
  <c r="X3010" i="1" s="1"/>
  <c r="Z3010" i="1"/>
  <c r="Z2931" i="1"/>
  <c r="CU2931" i="1"/>
  <c r="X2931" i="1" s="1"/>
  <c r="Z2914" i="1"/>
  <c r="Z2935" i="1"/>
  <c r="CU2938" i="1"/>
  <c r="X2938" i="1" s="1"/>
  <c r="AD2938" i="1" s="1"/>
  <c r="CU2914" i="1"/>
  <c r="X2914" i="1" s="1"/>
  <c r="CU2935" i="1"/>
  <c r="X2935" i="1" s="1"/>
  <c r="CU2769" i="1"/>
  <c r="X2769" i="1" s="1"/>
  <c r="AD2769" i="1" s="1"/>
  <c r="CU2939" i="1"/>
  <c r="X2939" i="1" s="1"/>
  <c r="Z2920" i="1"/>
  <c r="Z2916" i="1"/>
  <c r="Z2898" i="1"/>
  <c r="Z2901" i="1"/>
  <c r="Z2875" i="1"/>
  <c r="Z2921" i="1"/>
  <c r="Z2861" i="1"/>
  <c r="Z2896" i="1"/>
  <c r="Z2874" i="1"/>
  <c r="Z2897" i="1"/>
  <c r="Z2876" i="1"/>
  <c r="Z2899" i="1"/>
  <c r="CU2922" i="1"/>
  <c r="X2922" i="1" s="1"/>
  <c r="Z2922" i="1"/>
  <c r="CU2917" i="1"/>
  <c r="X2917" i="1" s="1"/>
  <c r="Z2917" i="1"/>
  <c r="CU2902" i="1"/>
  <c r="X2902" i="1" s="1"/>
  <c r="Z2902" i="1"/>
  <c r="CU2877" i="1"/>
  <c r="X2877" i="1" s="1"/>
  <c r="Z2877" i="1"/>
  <c r="CU2881" i="1"/>
  <c r="X2881" i="1" s="1"/>
  <c r="Z2881" i="1"/>
  <c r="CU2874" i="1"/>
  <c r="X2874" i="1" s="1"/>
  <c r="CU2896" i="1"/>
  <c r="X2896" i="1" s="1"/>
  <c r="CU2875" i="1"/>
  <c r="X2875" i="1" s="1"/>
  <c r="CU2899" i="1"/>
  <c r="X2899" i="1" s="1"/>
  <c r="CU2921" i="1"/>
  <c r="X2921" i="1" s="1"/>
  <c r="CU2861" i="1"/>
  <c r="X2861" i="1" s="1"/>
  <c r="CU2916" i="1"/>
  <c r="X2916" i="1" s="1"/>
  <c r="CU2876" i="1"/>
  <c r="X2876" i="1" s="1"/>
  <c r="CU2920" i="1"/>
  <c r="X2920" i="1" s="1"/>
  <c r="CU2901" i="1"/>
  <c r="X2901" i="1" s="1"/>
  <c r="CU2897" i="1"/>
  <c r="X2897" i="1" s="1"/>
  <c r="CU2900" i="1"/>
  <c r="X2900" i="1" s="1"/>
  <c r="Z2900" i="1"/>
  <c r="CU2898" i="1"/>
  <c r="X2898" i="1" s="1"/>
  <c r="DC3011" i="1"/>
  <c r="DA3011" i="1"/>
  <c r="CY3011" i="1"/>
  <c r="Y3011" i="1" s="1"/>
  <c r="CW3011" i="1"/>
  <c r="AA3011" i="1" s="1"/>
  <c r="CR3011" i="1"/>
  <c r="CP3011" i="1"/>
  <c r="CN3011" i="1"/>
  <c r="CJ3011" i="1"/>
  <c r="CH3011" i="1"/>
  <c r="CF3011" i="1"/>
  <c r="BL3011" i="1"/>
  <c r="BD3011" i="1"/>
  <c r="AZ3011" i="1"/>
  <c r="AX3011" i="1"/>
  <c r="DC2925" i="1"/>
  <c r="DA2925" i="1"/>
  <c r="CY2925" i="1"/>
  <c r="Y2925" i="1" s="1"/>
  <c r="CW2925" i="1"/>
  <c r="AA2925" i="1" s="1"/>
  <c r="CR2925" i="1"/>
  <c r="CP2925" i="1"/>
  <c r="CN2925" i="1"/>
  <c r="CJ2925" i="1"/>
  <c r="CH2925" i="1"/>
  <c r="CF2925" i="1"/>
  <c r="BL2925" i="1"/>
  <c r="BD2925" i="1"/>
  <c r="AZ2925" i="1"/>
  <c r="AX2925" i="1"/>
  <c r="DC2923" i="1"/>
  <c r="DA2923" i="1"/>
  <c r="CY2923" i="1"/>
  <c r="Y2923" i="1" s="1"/>
  <c r="CW2923" i="1"/>
  <c r="AA2923" i="1" s="1"/>
  <c r="CR2923" i="1"/>
  <c r="CP2923" i="1"/>
  <c r="CN2923" i="1"/>
  <c r="CJ2923" i="1"/>
  <c r="CH2923" i="1"/>
  <c r="CF2923" i="1"/>
  <c r="BL2923" i="1"/>
  <c r="BD2923" i="1"/>
  <c r="AZ2923" i="1"/>
  <c r="AX2923" i="1"/>
  <c r="DC2893" i="1"/>
  <c r="DA2893" i="1"/>
  <c r="CY2893" i="1"/>
  <c r="Y2893" i="1" s="1"/>
  <c r="CW2893" i="1"/>
  <c r="AA2893" i="1" s="1"/>
  <c r="CR2893" i="1"/>
  <c r="CP2893" i="1"/>
  <c r="CN2893" i="1"/>
  <c r="CJ2893" i="1"/>
  <c r="CH2893" i="1"/>
  <c r="CF2893" i="1"/>
  <c r="BL2893" i="1"/>
  <c r="BD2893" i="1"/>
  <c r="AZ2893" i="1"/>
  <c r="AX2893" i="1"/>
  <c r="DC2919" i="1"/>
  <c r="DA2919" i="1"/>
  <c r="CY2919" i="1"/>
  <c r="Y2919" i="1" s="1"/>
  <c r="CW2919" i="1"/>
  <c r="AA2919" i="1" s="1"/>
  <c r="CR2919" i="1"/>
  <c r="CP2919" i="1"/>
  <c r="CN2919" i="1"/>
  <c r="CJ2919" i="1"/>
  <c r="CH2919" i="1"/>
  <c r="CF2919" i="1"/>
  <c r="BL2919" i="1"/>
  <c r="BD2919" i="1"/>
  <c r="AZ2919" i="1"/>
  <c r="AX2919" i="1"/>
  <c r="DC2918" i="1"/>
  <c r="DA2918" i="1"/>
  <c r="CY2918" i="1"/>
  <c r="Y2918" i="1" s="1"/>
  <c r="CW2918" i="1"/>
  <c r="AA2918" i="1" s="1"/>
  <c r="CR2918" i="1"/>
  <c r="CP2918" i="1"/>
  <c r="CN2918" i="1"/>
  <c r="CJ2918" i="1"/>
  <c r="CH2918" i="1"/>
  <c r="CF2918" i="1"/>
  <c r="BL2918" i="1"/>
  <c r="BD2918" i="1"/>
  <c r="AZ2918" i="1"/>
  <c r="AX2918" i="1"/>
  <c r="AD2861" i="1" l="1"/>
  <c r="AD2935" i="1"/>
  <c r="AD3010" i="1"/>
  <c r="AD2921" i="1"/>
  <c r="AD2939" i="1"/>
  <c r="AD2931" i="1"/>
  <c r="AD2914" i="1"/>
  <c r="Z2893" i="1"/>
  <c r="Z2925" i="1"/>
  <c r="AD2920" i="1"/>
  <c r="AD2898" i="1"/>
  <c r="AD2916" i="1"/>
  <c r="AD2877" i="1"/>
  <c r="AD2875" i="1"/>
  <c r="Z3011" i="1"/>
  <c r="AD2901" i="1"/>
  <c r="AD2896" i="1"/>
  <c r="AD2874" i="1"/>
  <c r="AD2917" i="1"/>
  <c r="Z2919" i="1"/>
  <c r="AD2876" i="1"/>
  <c r="AD2899" i="1"/>
  <c r="AD2881" i="1"/>
  <c r="AD2902" i="1"/>
  <c r="AD2922" i="1"/>
  <c r="AD2900" i="1"/>
  <c r="AD2897" i="1"/>
  <c r="CU2918" i="1"/>
  <c r="X2918" i="1" s="1"/>
  <c r="Z2918" i="1"/>
  <c r="Z2923" i="1"/>
  <c r="CU2919" i="1"/>
  <c r="X2919" i="1" s="1"/>
  <c r="CU2925" i="1"/>
  <c r="X2925" i="1" s="1"/>
  <c r="CU2893" i="1"/>
  <c r="X2893" i="1" s="1"/>
  <c r="CU3011" i="1"/>
  <c r="X3011" i="1" s="1"/>
  <c r="CU2923" i="1"/>
  <c r="X2923" i="1" s="1"/>
  <c r="DC2909" i="1"/>
  <c r="DA2909" i="1"/>
  <c r="CY2909" i="1"/>
  <c r="Y2909" i="1" s="1"/>
  <c r="CW2909" i="1"/>
  <c r="AA2909" i="1" s="1"/>
  <c r="CR2909" i="1"/>
  <c r="CP2909" i="1"/>
  <c r="CN2909" i="1"/>
  <c r="CJ2909" i="1"/>
  <c r="CH2909" i="1"/>
  <c r="CF2909" i="1"/>
  <c r="BL2909" i="1"/>
  <c r="BD2909" i="1"/>
  <c r="AZ2909" i="1"/>
  <c r="AX2909" i="1"/>
  <c r="DC2913" i="1"/>
  <c r="DA2913" i="1"/>
  <c r="CY2913" i="1"/>
  <c r="Y2913" i="1" s="1"/>
  <c r="CW2913" i="1"/>
  <c r="AA2913" i="1" s="1"/>
  <c r="CR2913" i="1"/>
  <c r="CP2913" i="1"/>
  <c r="CN2913" i="1"/>
  <c r="CJ2913" i="1"/>
  <c r="CH2913" i="1"/>
  <c r="CF2913" i="1"/>
  <c r="BL2913" i="1"/>
  <c r="BD2913" i="1"/>
  <c r="AZ2913" i="1"/>
  <c r="AX2913" i="1"/>
  <c r="DC2912" i="1"/>
  <c r="DA2912" i="1"/>
  <c r="CY2912" i="1"/>
  <c r="Y2912" i="1" s="1"/>
  <c r="CW2912" i="1"/>
  <c r="AA2912" i="1" s="1"/>
  <c r="CR2912" i="1"/>
  <c r="CP2912" i="1"/>
  <c r="CN2912" i="1"/>
  <c r="CJ2912" i="1"/>
  <c r="CH2912" i="1"/>
  <c r="CF2912" i="1"/>
  <c r="BL2912" i="1"/>
  <c r="BD2912" i="1"/>
  <c r="AZ2912" i="1"/>
  <c r="AX2912" i="1"/>
  <c r="DC2906" i="1"/>
  <c r="DA2906" i="1"/>
  <c r="CY2906" i="1"/>
  <c r="Y2906" i="1" s="1"/>
  <c r="CW2906" i="1"/>
  <c r="AA2906" i="1" s="1"/>
  <c r="CR2906" i="1"/>
  <c r="CP2906" i="1"/>
  <c r="CN2906" i="1"/>
  <c r="CJ2906" i="1"/>
  <c r="CH2906" i="1"/>
  <c r="CF2906" i="1"/>
  <c r="BL2906" i="1"/>
  <c r="BD2906" i="1"/>
  <c r="AZ2906" i="1"/>
  <c r="AX2906" i="1"/>
  <c r="DC2892" i="1"/>
  <c r="DA2892" i="1"/>
  <c r="CY2892" i="1"/>
  <c r="Y2892" i="1" s="1"/>
  <c r="CW2892" i="1"/>
  <c r="AA2892" i="1" s="1"/>
  <c r="CR2892" i="1"/>
  <c r="CP2892" i="1"/>
  <c r="CN2892" i="1"/>
  <c r="CJ2892" i="1"/>
  <c r="CH2892" i="1"/>
  <c r="CF2892" i="1"/>
  <c r="BL2892" i="1"/>
  <c r="BD2892" i="1"/>
  <c r="AZ2892" i="1"/>
  <c r="AX2892" i="1"/>
  <c r="DC2880" i="1"/>
  <c r="DA2880" i="1"/>
  <c r="CY2880" i="1"/>
  <c r="Y2880" i="1" s="1"/>
  <c r="CW2880" i="1"/>
  <c r="AA2880" i="1" s="1"/>
  <c r="CR2880" i="1"/>
  <c r="CP2880" i="1"/>
  <c r="CN2880" i="1"/>
  <c r="CJ2880" i="1"/>
  <c r="CH2880" i="1"/>
  <c r="CF2880" i="1"/>
  <c r="BL2880" i="1"/>
  <c r="BD2880" i="1"/>
  <c r="AZ2880" i="1"/>
  <c r="AX2880" i="1"/>
  <c r="DC2878" i="1"/>
  <c r="DA2878" i="1"/>
  <c r="CY2878" i="1"/>
  <c r="Y2878" i="1" s="1"/>
  <c r="CW2878" i="1"/>
  <c r="AA2878" i="1" s="1"/>
  <c r="CR2878" i="1"/>
  <c r="CP2878" i="1"/>
  <c r="CN2878" i="1"/>
  <c r="CJ2878" i="1"/>
  <c r="CH2878" i="1"/>
  <c r="CF2878" i="1"/>
  <c r="BL2878" i="1"/>
  <c r="BD2878" i="1"/>
  <c r="AZ2878" i="1"/>
  <c r="AX2878" i="1"/>
  <c r="DC2853" i="1"/>
  <c r="DA2853" i="1"/>
  <c r="CY2853" i="1"/>
  <c r="Y2853" i="1" s="1"/>
  <c r="CW2853" i="1"/>
  <c r="AA2853" i="1" s="1"/>
  <c r="CR2853" i="1"/>
  <c r="CP2853" i="1"/>
  <c r="CN2853" i="1"/>
  <c r="CJ2853" i="1"/>
  <c r="CH2853" i="1"/>
  <c r="CF2853" i="1"/>
  <c r="BL2853" i="1"/>
  <c r="BD2853" i="1"/>
  <c r="AZ2853" i="1"/>
  <c r="AX2853" i="1"/>
  <c r="DC2851" i="1"/>
  <c r="DA2851" i="1"/>
  <c r="CY2851" i="1"/>
  <c r="Y2851" i="1" s="1"/>
  <c r="CW2851" i="1"/>
  <c r="AA2851" i="1" s="1"/>
  <c r="CR2851" i="1"/>
  <c r="CP2851" i="1"/>
  <c r="CN2851" i="1"/>
  <c r="CJ2851" i="1"/>
  <c r="CH2851" i="1"/>
  <c r="CF2851" i="1"/>
  <c r="BL2851" i="1"/>
  <c r="BD2851" i="1"/>
  <c r="AZ2851" i="1"/>
  <c r="AX2851" i="1"/>
  <c r="DC2852" i="1"/>
  <c r="DA2852" i="1"/>
  <c r="CY2852" i="1"/>
  <c r="Y2852" i="1" s="1"/>
  <c r="CW2852" i="1"/>
  <c r="AA2852" i="1" s="1"/>
  <c r="CR2852" i="1"/>
  <c r="CP2852" i="1"/>
  <c r="CN2852" i="1"/>
  <c r="CJ2852" i="1"/>
  <c r="CH2852" i="1"/>
  <c r="CF2852" i="1"/>
  <c r="BL2852" i="1"/>
  <c r="BD2852" i="1"/>
  <c r="AZ2852" i="1"/>
  <c r="AX2852" i="1"/>
  <c r="DC2854" i="1"/>
  <c r="DA2854" i="1"/>
  <c r="CY2854" i="1"/>
  <c r="Y2854" i="1" s="1"/>
  <c r="CW2854" i="1"/>
  <c r="AA2854" i="1" s="1"/>
  <c r="CR2854" i="1"/>
  <c r="CP2854" i="1"/>
  <c r="CN2854" i="1"/>
  <c r="CJ2854" i="1"/>
  <c r="CH2854" i="1"/>
  <c r="CF2854" i="1"/>
  <c r="BL2854" i="1"/>
  <c r="BD2854" i="1"/>
  <c r="AZ2854" i="1"/>
  <c r="AX2854" i="1"/>
  <c r="DC2863" i="1"/>
  <c r="DA2863" i="1"/>
  <c r="CY2863" i="1"/>
  <c r="Y2863" i="1" s="1"/>
  <c r="CW2863" i="1"/>
  <c r="AA2863" i="1" s="1"/>
  <c r="CR2863" i="1"/>
  <c r="CP2863" i="1"/>
  <c r="CN2863" i="1"/>
  <c r="CJ2863" i="1"/>
  <c r="CH2863" i="1"/>
  <c r="CF2863" i="1"/>
  <c r="BL2863" i="1"/>
  <c r="BD2863" i="1"/>
  <c r="AZ2863" i="1"/>
  <c r="AX2863" i="1"/>
  <c r="DC2885" i="1"/>
  <c r="DA2885" i="1"/>
  <c r="CY2885" i="1"/>
  <c r="Y2885" i="1" s="1"/>
  <c r="CW2885" i="1"/>
  <c r="AA2885" i="1" s="1"/>
  <c r="CR2885" i="1"/>
  <c r="CP2885" i="1"/>
  <c r="CN2885" i="1"/>
  <c r="CJ2885" i="1"/>
  <c r="CH2885" i="1"/>
  <c r="CF2885" i="1"/>
  <c r="BL2885" i="1"/>
  <c r="BD2885" i="1"/>
  <c r="AZ2885" i="1"/>
  <c r="AX2885" i="1"/>
  <c r="DC2850" i="1"/>
  <c r="DA2850" i="1"/>
  <c r="CY2850" i="1"/>
  <c r="Y2850" i="1" s="1"/>
  <c r="CW2850" i="1"/>
  <c r="AA2850" i="1" s="1"/>
  <c r="CR2850" i="1"/>
  <c r="CP2850" i="1"/>
  <c r="CN2850" i="1"/>
  <c r="CJ2850" i="1"/>
  <c r="CH2850" i="1"/>
  <c r="CF2850" i="1"/>
  <c r="BL2850" i="1"/>
  <c r="BD2850" i="1"/>
  <c r="AZ2850" i="1"/>
  <c r="AX2850" i="1"/>
  <c r="DC2884" i="1"/>
  <c r="DA2884" i="1"/>
  <c r="CY2884" i="1"/>
  <c r="Y2884" i="1" s="1"/>
  <c r="CW2884" i="1"/>
  <c r="AA2884" i="1" s="1"/>
  <c r="CR2884" i="1"/>
  <c r="CP2884" i="1"/>
  <c r="CN2884" i="1"/>
  <c r="CJ2884" i="1"/>
  <c r="CH2884" i="1"/>
  <c r="CF2884" i="1"/>
  <c r="BL2884" i="1"/>
  <c r="BD2884" i="1"/>
  <c r="AZ2884" i="1"/>
  <c r="AX2884" i="1"/>
  <c r="DC2886" i="1"/>
  <c r="DA2886" i="1"/>
  <c r="CY2886" i="1"/>
  <c r="Y2886" i="1" s="1"/>
  <c r="CW2886" i="1"/>
  <c r="AA2886" i="1" s="1"/>
  <c r="CR2886" i="1"/>
  <c r="CP2886" i="1"/>
  <c r="CN2886" i="1"/>
  <c r="CJ2886" i="1"/>
  <c r="CH2886" i="1"/>
  <c r="CF2886" i="1"/>
  <c r="BL2886" i="1"/>
  <c r="BD2886" i="1"/>
  <c r="AZ2886" i="1"/>
  <c r="AX2886" i="1"/>
  <c r="DC2888" i="1"/>
  <c r="DA2888" i="1"/>
  <c r="CY2888" i="1"/>
  <c r="Y2888" i="1" s="1"/>
  <c r="CW2888" i="1"/>
  <c r="AA2888" i="1" s="1"/>
  <c r="CR2888" i="1"/>
  <c r="CP2888" i="1"/>
  <c r="CN2888" i="1"/>
  <c r="CJ2888" i="1"/>
  <c r="CH2888" i="1"/>
  <c r="CF2888" i="1"/>
  <c r="BL2888" i="1"/>
  <c r="BD2888" i="1"/>
  <c r="AZ2888" i="1"/>
  <c r="AX2888" i="1"/>
  <c r="DC2889" i="1"/>
  <c r="DA2889" i="1"/>
  <c r="CY2889" i="1"/>
  <c r="Y2889" i="1" s="1"/>
  <c r="CW2889" i="1"/>
  <c r="AA2889" i="1" s="1"/>
  <c r="CR2889" i="1"/>
  <c r="CP2889" i="1"/>
  <c r="CN2889" i="1"/>
  <c r="CJ2889" i="1"/>
  <c r="CH2889" i="1"/>
  <c r="CF2889" i="1"/>
  <c r="BL2889" i="1"/>
  <c r="BD2889" i="1"/>
  <c r="AZ2889" i="1"/>
  <c r="AX2889" i="1"/>
  <c r="DC2879" i="1"/>
  <c r="DA2879" i="1"/>
  <c r="CY2879" i="1"/>
  <c r="Y2879" i="1" s="1"/>
  <c r="CW2879" i="1"/>
  <c r="AA2879" i="1" s="1"/>
  <c r="CR2879" i="1"/>
  <c r="CP2879" i="1"/>
  <c r="CN2879" i="1"/>
  <c r="CJ2879" i="1"/>
  <c r="CH2879" i="1"/>
  <c r="CF2879" i="1"/>
  <c r="BL2879" i="1"/>
  <c r="BD2879" i="1"/>
  <c r="AZ2879" i="1"/>
  <c r="AX2879" i="1"/>
  <c r="DC2887" i="1"/>
  <c r="DA2887" i="1"/>
  <c r="CY2887" i="1"/>
  <c r="Y2887" i="1" s="1"/>
  <c r="CW2887" i="1"/>
  <c r="AA2887" i="1" s="1"/>
  <c r="CR2887" i="1"/>
  <c r="CP2887" i="1"/>
  <c r="CN2887" i="1"/>
  <c r="CJ2887" i="1"/>
  <c r="CH2887" i="1"/>
  <c r="CF2887" i="1"/>
  <c r="BL2887" i="1"/>
  <c r="BD2887" i="1"/>
  <c r="AZ2887" i="1"/>
  <c r="AX2887" i="1"/>
  <c r="DC2882" i="1"/>
  <c r="DA2882" i="1"/>
  <c r="CY2882" i="1"/>
  <c r="Y2882" i="1" s="1"/>
  <c r="CW2882" i="1"/>
  <c r="AA2882" i="1" s="1"/>
  <c r="CR2882" i="1"/>
  <c r="CP2882" i="1"/>
  <c r="CN2882" i="1"/>
  <c r="CJ2882" i="1"/>
  <c r="CH2882" i="1"/>
  <c r="CF2882" i="1"/>
  <c r="BL2882" i="1"/>
  <c r="BD2882" i="1"/>
  <c r="AZ2882" i="1"/>
  <c r="AX2882" i="1"/>
  <c r="DC2870" i="1"/>
  <c r="DA2870" i="1"/>
  <c r="CY2870" i="1"/>
  <c r="Y2870" i="1" s="1"/>
  <c r="CW2870" i="1"/>
  <c r="AA2870" i="1" s="1"/>
  <c r="CR2870" i="1"/>
  <c r="CP2870" i="1"/>
  <c r="CN2870" i="1"/>
  <c r="CJ2870" i="1"/>
  <c r="CH2870" i="1"/>
  <c r="CF2870" i="1"/>
  <c r="BL2870" i="1"/>
  <c r="BD2870" i="1"/>
  <c r="AZ2870" i="1"/>
  <c r="AX2870" i="1"/>
  <c r="DC2869" i="1"/>
  <c r="DA2869" i="1"/>
  <c r="CY2869" i="1"/>
  <c r="Y2869" i="1" s="1"/>
  <c r="CW2869" i="1"/>
  <c r="AA2869" i="1" s="1"/>
  <c r="CR2869" i="1"/>
  <c r="CP2869" i="1"/>
  <c r="CN2869" i="1"/>
  <c r="CJ2869" i="1"/>
  <c r="CH2869" i="1"/>
  <c r="CF2869" i="1"/>
  <c r="BL2869" i="1"/>
  <c r="BD2869" i="1"/>
  <c r="AZ2869" i="1"/>
  <c r="AX2869" i="1"/>
  <c r="DC2867" i="1"/>
  <c r="DA2867" i="1"/>
  <c r="CY2867" i="1"/>
  <c r="Y2867" i="1" s="1"/>
  <c r="CW2867" i="1"/>
  <c r="AA2867" i="1" s="1"/>
  <c r="CR2867" i="1"/>
  <c r="CP2867" i="1"/>
  <c r="CN2867" i="1"/>
  <c r="CJ2867" i="1"/>
  <c r="CH2867" i="1"/>
  <c r="CF2867" i="1"/>
  <c r="BL2867" i="1"/>
  <c r="BD2867" i="1"/>
  <c r="AZ2867" i="1"/>
  <c r="AX2867" i="1"/>
  <c r="DC2860" i="1"/>
  <c r="DA2860" i="1"/>
  <c r="CY2860" i="1"/>
  <c r="Y2860" i="1" s="1"/>
  <c r="CW2860" i="1"/>
  <c r="AA2860" i="1" s="1"/>
  <c r="CR2860" i="1"/>
  <c r="CP2860" i="1"/>
  <c r="CN2860" i="1"/>
  <c r="CJ2860" i="1"/>
  <c r="CH2860" i="1"/>
  <c r="CF2860" i="1"/>
  <c r="BL2860" i="1"/>
  <c r="BD2860" i="1"/>
  <c r="AZ2860" i="1"/>
  <c r="AX2860" i="1"/>
  <c r="DC2859" i="1"/>
  <c r="DA2859" i="1"/>
  <c r="CY2859" i="1"/>
  <c r="Y2859" i="1" s="1"/>
  <c r="CW2859" i="1"/>
  <c r="AA2859" i="1" s="1"/>
  <c r="CR2859" i="1"/>
  <c r="CP2859" i="1"/>
  <c r="CN2859" i="1"/>
  <c r="CJ2859" i="1"/>
  <c r="CH2859" i="1"/>
  <c r="CF2859" i="1"/>
  <c r="BL2859" i="1"/>
  <c r="BD2859" i="1"/>
  <c r="AZ2859" i="1"/>
  <c r="AX2859" i="1"/>
  <c r="DC2873" i="1"/>
  <c r="DA2873" i="1"/>
  <c r="CY2873" i="1"/>
  <c r="Y2873" i="1" s="1"/>
  <c r="CW2873" i="1"/>
  <c r="AA2873" i="1" s="1"/>
  <c r="CR2873" i="1"/>
  <c r="CP2873" i="1"/>
  <c r="CN2873" i="1"/>
  <c r="CJ2873" i="1"/>
  <c r="CH2873" i="1"/>
  <c r="CF2873" i="1"/>
  <c r="BL2873" i="1"/>
  <c r="BD2873" i="1"/>
  <c r="AZ2873" i="1"/>
  <c r="AX2873" i="1"/>
  <c r="DC2866" i="1"/>
  <c r="DA2866" i="1"/>
  <c r="CY2866" i="1"/>
  <c r="Y2866" i="1" s="1"/>
  <c r="CW2866" i="1"/>
  <c r="AA2866" i="1" s="1"/>
  <c r="CR2866" i="1"/>
  <c r="CP2866" i="1"/>
  <c r="CN2866" i="1"/>
  <c r="CJ2866" i="1"/>
  <c r="CH2866" i="1"/>
  <c r="CF2866" i="1"/>
  <c r="BL2866" i="1"/>
  <c r="BD2866" i="1"/>
  <c r="AZ2866" i="1"/>
  <c r="AX2866" i="1"/>
  <c r="DC2865" i="1"/>
  <c r="DA2865" i="1"/>
  <c r="CY2865" i="1"/>
  <c r="Y2865" i="1" s="1"/>
  <c r="CW2865" i="1"/>
  <c r="AA2865" i="1" s="1"/>
  <c r="CR2865" i="1"/>
  <c r="CP2865" i="1"/>
  <c r="CN2865" i="1"/>
  <c r="CJ2865" i="1"/>
  <c r="CH2865" i="1"/>
  <c r="CF2865" i="1"/>
  <c r="BL2865" i="1"/>
  <c r="BD2865" i="1"/>
  <c r="AZ2865" i="1"/>
  <c r="AX2865" i="1"/>
  <c r="DC2864" i="1"/>
  <c r="DA2864" i="1"/>
  <c r="CY2864" i="1"/>
  <c r="Y2864" i="1" s="1"/>
  <c r="CW2864" i="1"/>
  <c r="AA2864" i="1" s="1"/>
  <c r="CR2864" i="1"/>
  <c r="CP2864" i="1"/>
  <c r="CN2864" i="1"/>
  <c r="CJ2864" i="1"/>
  <c r="CH2864" i="1"/>
  <c r="CF2864" i="1"/>
  <c r="BL2864" i="1"/>
  <c r="BD2864" i="1"/>
  <c r="AZ2864" i="1"/>
  <c r="AX2864" i="1"/>
  <c r="DC2868" i="1"/>
  <c r="DA2868" i="1"/>
  <c r="CY2868" i="1"/>
  <c r="Y2868" i="1" s="1"/>
  <c r="CW2868" i="1"/>
  <c r="AA2868" i="1" s="1"/>
  <c r="CR2868" i="1"/>
  <c r="CP2868" i="1"/>
  <c r="CN2868" i="1"/>
  <c r="CJ2868" i="1"/>
  <c r="CH2868" i="1"/>
  <c r="CF2868" i="1"/>
  <c r="BL2868" i="1"/>
  <c r="BD2868" i="1"/>
  <c r="AZ2868" i="1"/>
  <c r="AX2868" i="1"/>
  <c r="DC2857" i="1"/>
  <c r="DA2857" i="1"/>
  <c r="CY2857" i="1"/>
  <c r="Y2857" i="1" s="1"/>
  <c r="CW2857" i="1"/>
  <c r="AA2857" i="1" s="1"/>
  <c r="CR2857" i="1"/>
  <c r="CP2857" i="1"/>
  <c r="CN2857" i="1"/>
  <c r="CJ2857" i="1"/>
  <c r="CH2857" i="1"/>
  <c r="CF2857" i="1"/>
  <c r="BL2857" i="1"/>
  <c r="BD2857" i="1"/>
  <c r="AZ2857" i="1"/>
  <c r="AX2857" i="1"/>
  <c r="AD2893" i="1" l="1"/>
  <c r="AD2925" i="1"/>
  <c r="AD3011" i="1"/>
  <c r="AD2919" i="1"/>
  <c r="AD2918" i="1"/>
  <c r="AD2923" i="1"/>
  <c r="Z2892" i="1"/>
  <c r="Z2906" i="1"/>
  <c r="CU2912" i="1"/>
  <c r="X2912" i="1" s="1"/>
  <c r="Z2909" i="1"/>
  <c r="Z2912" i="1"/>
  <c r="Z2913" i="1"/>
  <c r="CU2892" i="1"/>
  <c r="X2892" i="1" s="1"/>
  <c r="CU2913" i="1"/>
  <c r="X2913" i="1" s="1"/>
  <c r="CU2909" i="1"/>
  <c r="X2909" i="1" s="1"/>
  <c r="CU2906" i="1"/>
  <c r="X2906" i="1" s="1"/>
  <c r="Z2885" i="1"/>
  <c r="Z2853" i="1"/>
  <c r="Z2863" i="1"/>
  <c r="Z2851" i="1"/>
  <c r="Z2880" i="1"/>
  <c r="Z2884" i="1"/>
  <c r="CU2852" i="1"/>
  <c r="X2852" i="1" s="1"/>
  <c r="Z2852" i="1"/>
  <c r="Z2886" i="1"/>
  <c r="CU2884" i="1"/>
  <c r="X2884" i="1" s="1"/>
  <c r="CU2880" i="1"/>
  <c r="X2880" i="1" s="1"/>
  <c r="Z2850" i="1"/>
  <c r="Z2854" i="1"/>
  <c r="Z2878" i="1"/>
  <c r="CU2863" i="1"/>
  <c r="X2863" i="1" s="1"/>
  <c r="CU2853" i="1"/>
  <c r="X2853" i="1" s="1"/>
  <c r="CU2886" i="1"/>
  <c r="X2886" i="1" s="1"/>
  <c r="CU2854" i="1"/>
  <c r="X2854" i="1" s="1"/>
  <c r="CU2878" i="1"/>
  <c r="X2878" i="1" s="1"/>
  <c r="CU2850" i="1"/>
  <c r="X2850" i="1" s="1"/>
  <c r="CU2885" i="1"/>
  <c r="X2885" i="1" s="1"/>
  <c r="CU2851" i="1"/>
  <c r="X2851" i="1" s="1"/>
  <c r="Z2889" i="1"/>
  <c r="Z2867" i="1"/>
  <c r="Z2870" i="1"/>
  <c r="CU2888" i="1"/>
  <c r="X2888" i="1" s="1"/>
  <c r="Z2882" i="1"/>
  <c r="CU2887" i="1"/>
  <c r="X2887" i="1" s="1"/>
  <c r="CU2879" i="1"/>
  <c r="X2879" i="1" s="1"/>
  <c r="Z2879" i="1"/>
  <c r="Z2869" i="1"/>
  <c r="Z2887" i="1"/>
  <c r="Z2888" i="1"/>
  <c r="CU2867" i="1"/>
  <c r="X2867" i="1" s="1"/>
  <c r="CU2889" i="1"/>
  <c r="X2889" i="1" s="1"/>
  <c r="CU2869" i="1"/>
  <c r="X2869" i="1" s="1"/>
  <c r="CU2870" i="1"/>
  <c r="X2870" i="1" s="1"/>
  <c r="CU2882" i="1"/>
  <c r="X2882" i="1" s="1"/>
  <c r="Z2860" i="1"/>
  <c r="Z2857" i="1"/>
  <c r="Z2868" i="1"/>
  <c r="Z2866" i="1"/>
  <c r="Z2873" i="1"/>
  <c r="CU2860" i="1"/>
  <c r="X2860" i="1" s="1"/>
  <c r="CU2865" i="1"/>
  <c r="X2865" i="1" s="1"/>
  <c r="Z2865" i="1"/>
  <c r="Z2859" i="1"/>
  <c r="Z2864" i="1"/>
  <c r="CU2857" i="1"/>
  <c r="X2857" i="1" s="1"/>
  <c r="CU2868" i="1"/>
  <c r="X2868" i="1" s="1"/>
  <c r="CU2866" i="1"/>
  <c r="X2866" i="1" s="1"/>
  <c r="CU2873" i="1"/>
  <c r="X2873" i="1" s="1"/>
  <c r="CU2864" i="1"/>
  <c r="X2864" i="1" s="1"/>
  <c r="CU2859" i="1"/>
  <c r="X2859" i="1" s="1"/>
  <c r="AD2863" i="1" l="1"/>
  <c r="AD2885" i="1"/>
  <c r="AD2886" i="1"/>
  <c r="AD2884" i="1"/>
  <c r="AD2906" i="1"/>
  <c r="AD2888" i="1"/>
  <c r="AD2892" i="1"/>
  <c r="AD2912" i="1"/>
  <c r="AD2909" i="1"/>
  <c r="AD2913" i="1"/>
  <c r="AD2851" i="1"/>
  <c r="AD2860" i="1"/>
  <c r="AD2880" i="1"/>
  <c r="AD2853" i="1"/>
  <c r="AD2878" i="1"/>
  <c r="AD2852" i="1"/>
  <c r="AD2887" i="1"/>
  <c r="AD2879" i="1"/>
  <c r="AD2850" i="1"/>
  <c r="AD2854" i="1"/>
  <c r="AD2867" i="1"/>
  <c r="AD2889" i="1"/>
  <c r="AD2882" i="1"/>
  <c r="AD2870" i="1"/>
  <c r="AD2869" i="1"/>
  <c r="AD2864" i="1"/>
  <c r="AD2868" i="1"/>
  <c r="AD2873" i="1"/>
  <c r="AD2857" i="1"/>
  <c r="AD2865" i="1"/>
  <c r="AD2866" i="1"/>
  <c r="AD2859" i="1"/>
  <c r="DC2905" i="1"/>
  <c r="DA2905" i="1"/>
  <c r="CY2905" i="1"/>
  <c r="Y2905" i="1" s="1"/>
  <c r="CW2905" i="1"/>
  <c r="AA2905" i="1" s="1"/>
  <c r="CR2905" i="1"/>
  <c r="CP2905" i="1"/>
  <c r="CN2905" i="1"/>
  <c r="CJ2905" i="1"/>
  <c r="CH2905" i="1"/>
  <c r="CF2905" i="1"/>
  <c r="BL2905" i="1"/>
  <c r="BD2905" i="1"/>
  <c r="AZ2905" i="1"/>
  <c r="AX2905" i="1"/>
  <c r="DC2903" i="1"/>
  <c r="DA2903" i="1"/>
  <c r="CY2903" i="1"/>
  <c r="Y2903" i="1" s="1"/>
  <c r="CW2903" i="1"/>
  <c r="AA2903" i="1" s="1"/>
  <c r="CR2903" i="1"/>
  <c r="CP2903" i="1"/>
  <c r="CN2903" i="1"/>
  <c r="CJ2903" i="1"/>
  <c r="CH2903" i="1"/>
  <c r="CF2903" i="1"/>
  <c r="BL2903" i="1"/>
  <c r="BD2903" i="1"/>
  <c r="AZ2903" i="1"/>
  <c r="AX2903" i="1"/>
  <c r="DC2862" i="1"/>
  <c r="DA2862" i="1"/>
  <c r="CY2862" i="1"/>
  <c r="Y2862" i="1" s="1"/>
  <c r="CW2862" i="1"/>
  <c r="AA2862" i="1" s="1"/>
  <c r="CR2862" i="1"/>
  <c r="CP2862" i="1"/>
  <c r="CN2862" i="1"/>
  <c r="CJ2862" i="1"/>
  <c r="CH2862" i="1"/>
  <c r="CF2862" i="1"/>
  <c r="BL2862" i="1"/>
  <c r="BD2862" i="1"/>
  <c r="AZ2862" i="1"/>
  <c r="AX2862" i="1"/>
  <c r="DC2872" i="1"/>
  <c r="DA2872" i="1"/>
  <c r="CY2872" i="1"/>
  <c r="Y2872" i="1" s="1"/>
  <c r="CW2872" i="1"/>
  <c r="AA2872" i="1" s="1"/>
  <c r="CR2872" i="1"/>
  <c r="CP2872" i="1"/>
  <c r="CN2872" i="1"/>
  <c r="CJ2872" i="1"/>
  <c r="CH2872" i="1"/>
  <c r="CF2872" i="1"/>
  <c r="BL2872" i="1"/>
  <c r="BD2872" i="1"/>
  <c r="AZ2872" i="1"/>
  <c r="AX2872" i="1"/>
  <c r="DC2871" i="1"/>
  <c r="DA2871" i="1"/>
  <c r="CY2871" i="1"/>
  <c r="Y2871" i="1" s="1"/>
  <c r="CW2871" i="1"/>
  <c r="AA2871" i="1" s="1"/>
  <c r="CR2871" i="1"/>
  <c r="CP2871" i="1"/>
  <c r="CN2871" i="1"/>
  <c r="CJ2871" i="1"/>
  <c r="CH2871" i="1"/>
  <c r="CF2871" i="1"/>
  <c r="BL2871" i="1"/>
  <c r="BD2871" i="1"/>
  <c r="AZ2871" i="1"/>
  <c r="AX2871" i="1"/>
  <c r="DC2858" i="1"/>
  <c r="DA2858" i="1"/>
  <c r="CY2858" i="1"/>
  <c r="Y2858" i="1" s="1"/>
  <c r="CW2858" i="1"/>
  <c r="AA2858" i="1" s="1"/>
  <c r="CR2858" i="1"/>
  <c r="CP2858" i="1"/>
  <c r="CN2858" i="1"/>
  <c r="CJ2858" i="1"/>
  <c r="CH2858" i="1"/>
  <c r="CF2858" i="1"/>
  <c r="BL2858" i="1"/>
  <c r="BD2858" i="1"/>
  <c r="AZ2858" i="1"/>
  <c r="AX2858" i="1"/>
  <c r="DC2847" i="1"/>
  <c r="DA2847" i="1"/>
  <c r="CY2847" i="1"/>
  <c r="Y2847" i="1" s="1"/>
  <c r="CW2847" i="1"/>
  <c r="AA2847" i="1" s="1"/>
  <c r="CR2847" i="1"/>
  <c r="CP2847" i="1"/>
  <c r="CN2847" i="1"/>
  <c r="CJ2847" i="1"/>
  <c r="CH2847" i="1"/>
  <c r="CF2847" i="1"/>
  <c r="BL2847" i="1"/>
  <c r="BD2847" i="1"/>
  <c r="AZ2847" i="1"/>
  <c r="AX2847" i="1"/>
  <c r="DC2818" i="1"/>
  <c r="DA2818" i="1"/>
  <c r="CY2818" i="1"/>
  <c r="Y2818" i="1" s="1"/>
  <c r="CW2818" i="1"/>
  <c r="AA2818" i="1" s="1"/>
  <c r="CR2818" i="1"/>
  <c r="CP2818" i="1"/>
  <c r="CN2818" i="1"/>
  <c r="CJ2818" i="1"/>
  <c r="CH2818" i="1"/>
  <c r="CF2818" i="1"/>
  <c r="BL2818" i="1"/>
  <c r="BD2818" i="1"/>
  <c r="AZ2818" i="1"/>
  <c r="AX2818" i="1"/>
  <c r="DC2855" i="1"/>
  <c r="DA2855" i="1"/>
  <c r="CY2855" i="1"/>
  <c r="Y2855" i="1" s="1"/>
  <c r="CW2855" i="1"/>
  <c r="AA2855" i="1" s="1"/>
  <c r="CR2855" i="1"/>
  <c r="CP2855" i="1"/>
  <c r="CN2855" i="1"/>
  <c r="CJ2855" i="1"/>
  <c r="CH2855" i="1"/>
  <c r="CF2855" i="1"/>
  <c r="BL2855" i="1"/>
  <c r="BD2855" i="1"/>
  <c r="AZ2855" i="1"/>
  <c r="AX2855" i="1"/>
  <c r="DC2839" i="1"/>
  <c r="DA2839" i="1"/>
  <c r="CY2839" i="1"/>
  <c r="Y2839" i="1" s="1"/>
  <c r="CW2839" i="1"/>
  <c r="AA2839" i="1" s="1"/>
  <c r="CR2839" i="1"/>
  <c r="CP2839" i="1"/>
  <c r="CN2839" i="1"/>
  <c r="CJ2839" i="1"/>
  <c r="CH2839" i="1"/>
  <c r="CF2839" i="1"/>
  <c r="BL2839" i="1"/>
  <c r="BD2839" i="1"/>
  <c r="AZ2839" i="1"/>
  <c r="AX2839" i="1"/>
  <c r="DC2840" i="1"/>
  <c r="DA2840" i="1"/>
  <c r="CY2840" i="1"/>
  <c r="Y2840" i="1" s="1"/>
  <c r="CW2840" i="1"/>
  <c r="AA2840" i="1" s="1"/>
  <c r="CR2840" i="1"/>
  <c r="CP2840" i="1"/>
  <c r="CN2840" i="1"/>
  <c r="CJ2840" i="1"/>
  <c r="CH2840" i="1"/>
  <c r="CF2840" i="1"/>
  <c r="BL2840" i="1"/>
  <c r="BD2840" i="1"/>
  <c r="AZ2840" i="1"/>
  <c r="AX2840" i="1"/>
  <c r="Z2855" i="1" l="1"/>
  <c r="Z2858" i="1"/>
  <c r="Z2905" i="1"/>
  <c r="Z2818" i="1"/>
  <c r="Z2871" i="1"/>
  <c r="Z2862" i="1"/>
  <c r="Z2840" i="1"/>
  <c r="Z2847" i="1"/>
  <c r="Z2903" i="1"/>
  <c r="CU2862" i="1"/>
  <c r="X2862" i="1" s="1"/>
  <c r="CU2839" i="1"/>
  <c r="X2839" i="1" s="1"/>
  <c r="Z2839" i="1"/>
  <c r="Z2872" i="1"/>
  <c r="CU2855" i="1"/>
  <c r="X2855" i="1" s="1"/>
  <c r="CU2858" i="1"/>
  <c r="X2858" i="1" s="1"/>
  <c r="CU2903" i="1"/>
  <c r="X2903" i="1" s="1"/>
  <c r="CU2818" i="1"/>
  <c r="X2818" i="1" s="1"/>
  <c r="CU2871" i="1"/>
  <c r="X2871" i="1" s="1"/>
  <c r="CU2840" i="1"/>
  <c r="X2840" i="1" s="1"/>
  <c r="CU2847" i="1"/>
  <c r="X2847" i="1" s="1"/>
  <c r="CU2872" i="1"/>
  <c r="X2872" i="1" s="1"/>
  <c r="CU2905" i="1"/>
  <c r="X2905" i="1" s="1"/>
  <c r="AD2862" i="1" l="1"/>
  <c r="AD2855" i="1"/>
  <c r="AD2858" i="1"/>
  <c r="AD2818" i="1"/>
  <c r="AD2871" i="1"/>
  <c r="AD2905" i="1"/>
  <c r="AD2839" i="1"/>
  <c r="AD2903" i="1"/>
  <c r="AD2847" i="1"/>
  <c r="AD2840" i="1"/>
  <c r="AD2872" i="1"/>
  <c r="DB2655" i="1"/>
  <c r="DB2059" i="1"/>
  <c r="DC2856" i="1"/>
  <c r="DA2856" i="1"/>
  <c r="CY2856" i="1"/>
  <c r="Y2856" i="1" s="1"/>
  <c r="CW2856" i="1"/>
  <c r="AA2856" i="1" s="1"/>
  <c r="CR2856" i="1"/>
  <c r="CP2856" i="1"/>
  <c r="CN2856" i="1"/>
  <c r="CJ2856" i="1"/>
  <c r="CH2856" i="1"/>
  <c r="CF2856" i="1"/>
  <c r="BL2856" i="1"/>
  <c r="BD2856" i="1"/>
  <c r="AZ2856" i="1"/>
  <c r="AX2856" i="1"/>
  <c r="DC2779" i="1"/>
  <c r="DA2779" i="1"/>
  <c r="CY2779" i="1"/>
  <c r="Y2779" i="1" s="1"/>
  <c r="AA2779" i="1"/>
  <c r="CR2779" i="1"/>
  <c r="CP2779" i="1"/>
  <c r="CN2779" i="1"/>
  <c r="CJ2779" i="1"/>
  <c r="CH2779" i="1"/>
  <c r="CF2779" i="1"/>
  <c r="BL2779" i="1"/>
  <c r="BD2779" i="1"/>
  <c r="AZ2779" i="1"/>
  <c r="AX2779" i="1"/>
  <c r="DA2059" i="1"/>
  <c r="CY2059" i="1"/>
  <c r="Y2059" i="1" s="1"/>
  <c r="CW2059" i="1"/>
  <c r="AA2059" i="1" s="1"/>
  <c r="CR2059" i="1"/>
  <c r="CP2059" i="1"/>
  <c r="CN2059" i="1"/>
  <c r="CJ2059" i="1"/>
  <c r="CH2059" i="1"/>
  <c r="CF2059" i="1"/>
  <c r="BL2059" i="1"/>
  <c r="BD2059" i="1"/>
  <c r="AZ2059" i="1"/>
  <c r="AX2059" i="1"/>
  <c r="DC2846" i="1"/>
  <c r="DA2846" i="1"/>
  <c r="CY2846" i="1"/>
  <c r="Y2846" i="1" s="1"/>
  <c r="CW2846" i="1"/>
  <c r="AA2846" i="1" s="1"/>
  <c r="CR2846" i="1"/>
  <c r="CP2846" i="1"/>
  <c r="CN2846" i="1"/>
  <c r="CJ2846" i="1"/>
  <c r="CH2846" i="1"/>
  <c r="CF2846" i="1"/>
  <c r="BL2846" i="1"/>
  <c r="BD2846" i="1"/>
  <c r="AZ2846" i="1"/>
  <c r="AX2846" i="1"/>
  <c r="DC2843" i="1"/>
  <c r="DA2843" i="1"/>
  <c r="CY2843" i="1"/>
  <c r="Y2843" i="1" s="1"/>
  <c r="CW2843" i="1"/>
  <c r="AA2843" i="1" s="1"/>
  <c r="CR2843" i="1"/>
  <c r="CP2843" i="1"/>
  <c r="CN2843" i="1"/>
  <c r="CJ2843" i="1"/>
  <c r="CH2843" i="1"/>
  <c r="CF2843" i="1"/>
  <c r="BL2843" i="1"/>
  <c r="BD2843" i="1"/>
  <c r="AZ2843" i="1"/>
  <c r="AX2843" i="1"/>
  <c r="DC2844" i="1"/>
  <c r="DA2844" i="1"/>
  <c r="CY2844" i="1"/>
  <c r="Y2844" i="1" s="1"/>
  <c r="CW2844" i="1"/>
  <c r="AA2844" i="1" s="1"/>
  <c r="CR2844" i="1"/>
  <c r="CP2844" i="1"/>
  <c r="CN2844" i="1"/>
  <c r="CJ2844" i="1"/>
  <c r="CH2844" i="1"/>
  <c r="CF2844" i="1"/>
  <c r="BL2844" i="1"/>
  <c r="BD2844" i="1"/>
  <c r="AZ2844" i="1"/>
  <c r="AX2844" i="1"/>
  <c r="DC2829" i="1"/>
  <c r="DA2829" i="1"/>
  <c r="CY2829" i="1"/>
  <c r="Y2829" i="1" s="1"/>
  <c r="CW2829" i="1"/>
  <c r="AA2829" i="1" s="1"/>
  <c r="CR2829" i="1"/>
  <c r="CP2829" i="1"/>
  <c r="CN2829" i="1"/>
  <c r="CJ2829" i="1"/>
  <c r="CH2829" i="1"/>
  <c r="CF2829" i="1"/>
  <c r="BL2829" i="1"/>
  <c r="BD2829" i="1"/>
  <c r="AZ2829" i="1"/>
  <c r="AX2829" i="1"/>
  <c r="DC2845" i="1"/>
  <c r="DA2845" i="1"/>
  <c r="CY2845" i="1"/>
  <c r="Y2845" i="1" s="1"/>
  <c r="CW2845" i="1"/>
  <c r="AA2845" i="1" s="1"/>
  <c r="CR2845" i="1"/>
  <c r="CP2845" i="1"/>
  <c r="CN2845" i="1"/>
  <c r="CJ2845" i="1"/>
  <c r="CH2845" i="1"/>
  <c r="CF2845" i="1"/>
  <c r="BL2845" i="1"/>
  <c r="BD2845" i="1"/>
  <c r="AZ2845" i="1"/>
  <c r="AX2845" i="1"/>
  <c r="DC2841" i="1"/>
  <c r="DA2841" i="1"/>
  <c r="CY2841" i="1"/>
  <c r="Y2841" i="1" s="1"/>
  <c r="CW2841" i="1"/>
  <c r="AA2841" i="1" s="1"/>
  <c r="CR2841" i="1"/>
  <c r="CP2841" i="1"/>
  <c r="CN2841" i="1"/>
  <c r="CJ2841" i="1"/>
  <c r="CH2841" i="1"/>
  <c r="CF2841" i="1"/>
  <c r="BL2841" i="1"/>
  <c r="BD2841" i="1"/>
  <c r="AZ2841" i="1"/>
  <c r="AX2841" i="1"/>
  <c r="DC2842" i="1"/>
  <c r="DA2842" i="1"/>
  <c r="CY2842" i="1"/>
  <c r="Y2842" i="1" s="1"/>
  <c r="CW2842" i="1"/>
  <c r="AA2842" i="1" s="1"/>
  <c r="CR2842" i="1"/>
  <c r="CP2842" i="1"/>
  <c r="CN2842" i="1"/>
  <c r="CJ2842" i="1"/>
  <c r="CH2842" i="1"/>
  <c r="CF2842" i="1"/>
  <c r="BL2842" i="1"/>
  <c r="BD2842" i="1"/>
  <c r="AZ2842" i="1"/>
  <c r="AX2842" i="1"/>
  <c r="DC2810" i="1"/>
  <c r="DA2810" i="1"/>
  <c r="CY2810" i="1"/>
  <c r="Y2810" i="1" s="1"/>
  <c r="CW2810" i="1"/>
  <c r="AA2810" i="1" s="1"/>
  <c r="CR2810" i="1"/>
  <c r="CP2810" i="1"/>
  <c r="CN2810" i="1"/>
  <c r="CJ2810" i="1"/>
  <c r="CH2810" i="1"/>
  <c r="CF2810" i="1"/>
  <c r="BL2810" i="1"/>
  <c r="BD2810" i="1"/>
  <c r="AZ2810" i="1"/>
  <c r="AX2810" i="1"/>
  <c r="Z2846" i="1" l="1"/>
  <c r="Z2842" i="1"/>
  <c r="Z2844" i="1"/>
  <c r="Z2779" i="1"/>
  <c r="Z2841" i="1"/>
  <c r="Z2059" i="1"/>
  <c r="Z2856" i="1"/>
  <c r="Z2810" i="1"/>
  <c r="Z2829" i="1"/>
  <c r="CU2856" i="1"/>
  <c r="X2856" i="1" s="1"/>
  <c r="CU2845" i="1"/>
  <c r="X2845" i="1" s="1"/>
  <c r="Z2845" i="1"/>
  <c r="Z2843" i="1"/>
  <c r="CU2846" i="1"/>
  <c r="X2846" i="1" s="1"/>
  <c r="CU2810" i="1"/>
  <c r="X2810" i="1" s="1"/>
  <c r="CU2829" i="1"/>
  <c r="X2829" i="1" s="1"/>
  <c r="CU2059" i="1"/>
  <c r="X2059" i="1" s="1"/>
  <c r="CU2842" i="1"/>
  <c r="X2842" i="1" s="1"/>
  <c r="CU2844" i="1"/>
  <c r="X2844" i="1" s="1"/>
  <c r="AD2844" i="1" s="1"/>
  <c r="CU2779" i="1"/>
  <c r="X2779" i="1" s="1"/>
  <c r="AD2779" i="1" s="1"/>
  <c r="CU2841" i="1"/>
  <c r="X2841" i="1" s="1"/>
  <c r="AD2841" i="1" s="1"/>
  <c r="CU2843" i="1"/>
  <c r="X2843" i="1" s="1"/>
  <c r="W1380" i="1"/>
  <c r="DC2838" i="1"/>
  <c r="DA2838" i="1"/>
  <c r="CY2838" i="1"/>
  <c r="Y2838" i="1" s="1"/>
  <c r="CW2838" i="1"/>
  <c r="AA2838" i="1" s="1"/>
  <c r="CR2838" i="1"/>
  <c r="CP2838" i="1"/>
  <c r="CN2838" i="1"/>
  <c r="CJ2838" i="1"/>
  <c r="CH2838" i="1"/>
  <c r="CF2838" i="1"/>
  <c r="BL2838" i="1"/>
  <c r="BD2838" i="1"/>
  <c r="AZ2838" i="1"/>
  <c r="AX2838" i="1"/>
  <c r="DC2835" i="1"/>
  <c r="DA2835" i="1"/>
  <c r="CY2835" i="1"/>
  <c r="Y2835" i="1" s="1"/>
  <c r="CW2835" i="1"/>
  <c r="AA2835" i="1" s="1"/>
  <c r="CR2835" i="1"/>
  <c r="CP2835" i="1"/>
  <c r="CN2835" i="1"/>
  <c r="CJ2835" i="1"/>
  <c r="CH2835" i="1"/>
  <c r="CF2835" i="1"/>
  <c r="BL2835" i="1"/>
  <c r="BD2835" i="1"/>
  <c r="AZ2835" i="1"/>
  <c r="AX2835" i="1"/>
  <c r="DC2831" i="1"/>
  <c r="DA2831" i="1"/>
  <c r="CY2831" i="1"/>
  <c r="Y2831" i="1" s="1"/>
  <c r="CW2831" i="1"/>
  <c r="AA2831" i="1" s="1"/>
  <c r="CR2831" i="1"/>
  <c r="CP2831" i="1"/>
  <c r="CN2831" i="1"/>
  <c r="CJ2831" i="1"/>
  <c r="CH2831" i="1"/>
  <c r="CF2831" i="1"/>
  <c r="BL2831" i="1"/>
  <c r="BD2831" i="1"/>
  <c r="AZ2831" i="1"/>
  <c r="AX2831" i="1"/>
  <c r="DC2828" i="1"/>
  <c r="DA2828" i="1"/>
  <c r="CY2828" i="1"/>
  <c r="Y2828" i="1" s="1"/>
  <c r="CW2828" i="1"/>
  <c r="AA2828" i="1" s="1"/>
  <c r="CR2828" i="1"/>
  <c r="CP2828" i="1"/>
  <c r="CN2828" i="1"/>
  <c r="CJ2828" i="1"/>
  <c r="CH2828" i="1"/>
  <c r="CF2828" i="1"/>
  <c r="BL2828" i="1"/>
  <c r="BD2828" i="1"/>
  <c r="AZ2828" i="1"/>
  <c r="AX2828" i="1"/>
  <c r="DC2816" i="1"/>
  <c r="DA2816" i="1"/>
  <c r="CY2816" i="1"/>
  <c r="Y2816" i="1" s="1"/>
  <c r="CW2816" i="1"/>
  <c r="AA2816" i="1" s="1"/>
  <c r="CR2816" i="1"/>
  <c r="CP2816" i="1"/>
  <c r="CN2816" i="1"/>
  <c r="CJ2816" i="1"/>
  <c r="CH2816" i="1"/>
  <c r="CF2816" i="1"/>
  <c r="BL2816" i="1"/>
  <c r="BD2816" i="1"/>
  <c r="AZ2816" i="1"/>
  <c r="AX2816" i="1"/>
  <c r="DC2815" i="1"/>
  <c r="DA2815" i="1"/>
  <c r="CY2815" i="1"/>
  <c r="Y2815" i="1" s="1"/>
  <c r="CW2815" i="1"/>
  <c r="AA2815" i="1" s="1"/>
  <c r="CR2815" i="1"/>
  <c r="CP2815" i="1"/>
  <c r="CN2815" i="1"/>
  <c r="CJ2815" i="1"/>
  <c r="CH2815" i="1"/>
  <c r="CF2815" i="1"/>
  <c r="BL2815" i="1"/>
  <c r="BD2815" i="1"/>
  <c r="AZ2815" i="1"/>
  <c r="AX2815" i="1"/>
  <c r="DC2821" i="1"/>
  <c r="DA2821" i="1"/>
  <c r="CY2821" i="1"/>
  <c r="Y2821" i="1" s="1"/>
  <c r="CW2821" i="1"/>
  <c r="AA2821" i="1" s="1"/>
  <c r="CR2821" i="1"/>
  <c r="CP2821" i="1"/>
  <c r="CN2821" i="1"/>
  <c r="CJ2821" i="1"/>
  <c r="CH2821" i="1"/>
  <c r="CF2821" i="1"/>
  <c r="BL2821" i="1"/>
  <c r="BD2821" i="1"/>
  <c r="AZ2821" i="1"/>
  <c r="AX2821" i="1"/>
  <c r="DC2833" i="1"/>
  <c r="DA2833" i="1"/>
  <c r="CY2833" i="1"/>
  <c r="Y2833" i="1" s="1"/>
  <c r="CW2833" i="1"/>
  <c r="AA2833" i="1" s="1"/>
  <c r="CR2833" i="1"/>
  <c r="CP2833" i="1"/>
  <c r="CN2833" i="1"/>
  <c r="CJ2833" i="1"/>
  <c r="CH2833" i="1"/>
  <c r="CF2833" i="1"/>
  <c r="BL2833" i="1"/>
  <c r="BD2833" i="1"/>
  <c r="AZ2833" i="1"/>
  <c r="AX2833" i="1"/>
  <c r="DC2832" i="1"/>
  <c r="DA2832" i="1"/>
  <c r="CY2832" i="1"/>
  <c r="Y2832" i="1" s="1"/>
  <c r="CW2832" i="1"/>
  <c r="AA2832" i="1" s="1"/>
  <c r="CR2832" i="1"/>
  <c r="CP2832" i="1"/>
  <c r="CN2832" i="1"/>
  <c r="CJ2832" i="1"/>
  <c r="CH2832" i="1"/>
  <c r="CF2832" i="1"/>
  <c r="BL2832" i="1"/>
  <c r="BD2832" i="1"/>
  <c r="AZ2832" i="1"/>
  <c r="AX2832" i="1"/>
  <c r="DC2830" i="1"/>
  <c r="DA2830" i="1"/>
  <c r="CY2830" i="1"/>
  <c r="Y2830" i="1" s="1"/>
  <c r="CW2830" i="1"/>
  <c r="AA2830" i="1" s="1"/>
  <c r="CR2830" i="1"/>
  <c r="CP2830" i="1"/>
  <c r="CN2830" i="1"/>
  <c r="CJ2830" i="1"/>
  <c r="CH2830" i="1"/>
  <c r="CF2830" i="1"/>
  <c r="BL2830" i="1"/>
  <c r="BD2830" i="1"/>
  <c r="AZ2830" i="1"/>
  <c r="AX2830" i="1"/>
  <c r="DC2784" i="1"/>
  <c r="DA2784" i="1"/>
  <c r="CY2784" i="1"/>
  <c r="Y2784" i="1" s="1"/>
  <c r="CW2784" i="1"/>
  <c r="AA2784" i="1" s="1"/>
  <c r="CR2784" i="1"/>
  <c r="CP2784" i="1"/>
  <c r="CN2784" i="1"/>
  <c r="CJ2784" i="1"/>
  <c r="CH2784" i="1"/>
  <c r="CF2784" i="1"/>
  <c r="BL2784" i="1"/>
  <c r="BD2784" i="1"/>
  <c r="AZ2784" i="1"/>
  <c r="AX2784" i="1"/>
  <c r="AD2843" i="1" l="1"/>
  <c r="AD2842" i="1"/>
  <c r="AD2846" i="1"/>
  <c r="AD2845" i="1"/>
  <c r="AD2829" i="1"/>
  <c r="AD2856" i="1"/>
  <c r="AD2059" i="1"/>
  <c r="AD2810" i="1"/>
  <c r="Z2815" i="1"/>
  <c r="Z2833" i="1"/>
  <c r="Z2838" i="1"/>
  <c r="Z2821" i="1"/>
  <c r="Z2835" i="1"/>
  <c r="Z2831" i="1"/>
  <c r="Z2830" i="1"/>
  <c r="Z2832" i="1"/>
  <c r="Z2828" i="1"/>
  <c r="Z2784" i="1"/>
  <c r="CU2838" i="1"/>
  <c r="X2838" i="1" s="1"/>
  <c r="CU2833" i="1"/>
  <c r="X2833" i="1" s="1"/>
  <c r="Z2816" i="1"/>
  <c r="CU2828" i="1"/>
  <c r="X2828" i="1" s="1"/>
  <c r="CU2784" i="1"/>
  <c r="X2784" i="1" s="1"/>
  <c r="CU2815" i="1"/>
  <c r="X2815" i="1" s="1"/>
  <c r="CU2835" i="1"/>
  <c r="X2835" i="1" s="1"/>
  <c r="AD2835" i="1" s="1"/>
  <c r="CU2830" i="1"/>
  <c r="X2830" i="1" s="1"/>
  <c r="CU2832" i="1"/>
  <c r="X2832" i="1" s="1"/>
  <c r="CU2816" i="1"/>
  <c r="X2816" i="1" s="1"/>
  <c r="CU2821" i="1"/>
  <c r="X2821" i="1" s="1"/>
  <c r="CU2831" i="1"/>
  <c r="X2831" i="1" s="1"/>
  <c r="AD2831" i="1" s="1"/>
  <c r="AD2838" i="1" l="1"/>
  <c r="AD2828" i="1"/>
  <c r="AD2784" i="1"/>
  <c r="AD2815" i="1"/>
  <c r="AD2833" i="1"/>
  <c r="AD2832" i="1"/>
  <c r="AD2821" i="1"/>
  <c r="AD2830" i="1"/>
  <c r="AD2816" i="1"/>
  <c r="DC2824" i="1"/>
  <c r="DA2824" i="1"/>
  <c r="CY2824" i="1"/>
  <c r="Y2824" i="1" s="1"/>
  <c r="CW2824" i="1"/>
  <c r="AA2824" i="1" s="1"/>
  <c r="CR2824" i="1"/>
  <c r="CP2824" i="1"/>
  <c r="CN2824" i="1"/>
  <c r="CJ2824" i="1"/>
  <c r="CH2824" i="1"/>
  <c r="CF2824" i="1"/>
  <c r="BL2824" i="1"/>
  <c r="BD2824" i="1"/>
  <c r="AZ2824" i="1"/>
  <c r="AX2824" i="1"/>
  <c r="DC2809" i="1"/>
  <c r="DA2809" i="1"/>
  <c r="CY2809" i="1"/>
  <c r="Y2809" i="1" s="1"/>
  <c r="CW2809" i="1"/>
  <c r="AA2809" i="1" s="1"/>
  <c r="CR2809" i="1"/>
  <c r="CP2809" i="1"/>
  <c r="CN2809" i="1"/>
  <c r="CJ2809" i="1"/>
  <c r="CH2809" i="1"/>
  <c r="CF2809" i="1"/>
  <c r="BL2809" i="1"/>
  <c r="BD2809" i="1"/>
  <c r="AZ2809" i="1"/>
  <c r="AX2809" i="1"/>
  <c r="DC2811" i="1"/>
  <c r="DA2811" i="1"/>
  <c r="CY2811" i="1"/>
  <c r="Y2811" i="1" s="1"/>
  <c r="CW2811" i="1"/>
  <c r="AA2811" i="1" s="1"/>
  <c r="CR2811" i="1"/>
  <c r="CP2811" i="1"/>
  <c r="CN2811" i="1"/>
  <c r="CJ2811" i="1"/>
  <c r="CH2811" i="1"/>
  <c r="CF2811" i="1"/>
  <c r="BL2811" i="1"/>
  <c r="BD2811" i="1"/>
  <c r="AZ2811" i="1"/>
  <c r="AX2811" i="1"/>
  <c r="DC2825" i="1"/>
  <c r="DA2825" i="1"/>
  <c r="CY2825" i="1"/>
  <c r="Y2825" i="1" s="1"/>
  <c r="CW2825" i="1"/>
  <c r="AA2825" i="1" s="1"/>
  <c r="CR2825" i="1"/>
  <c r="CP2825" i="1"/>
  <c r="CN2825" i="1"/>
  <c r="CJ2825" i="1"/>
  <c r="CH2825" i="1"/>
  <c r="CF2825" i="1"/>
  <c r="BL2825" i="1"/>
  <c r="BD2825" i="1"/>
  <c r="AZ2825" i="1"/>
  <c r="AX2825" i="1"/>
  <c r="DC2819" i="1"/>
  <c r="DA2819" i="1"/>
  <c r="CY2819" i="1"/>
  <c r="Y2819" i="1" s="1"/>
  <c r="CW2819" i="1"/>
  <c r="AA2819" i="1" s="1"/>
  <c r="CR2819" i="1"/>
  <c r="CP2819" i="1"/>
  <c r="CN2819" i="1"/>
  <c r="CJ2819" i="1"/>
  <c r="CH2819" i="1"/>
  <c r="CF2819" i="1"/>
  <c r="BL2819" i="1"/>
  <c r="BD2819" i="1"/>
  <c r="AZ2819" i="1"/>
  <c r="AX2819" i="1"/>
  <c r="DC2820" i="1"/>
  <c r="DA2820" i="1"/>
  <c r="CY2820" i="1"/>
  <c r="Y2820" i="1" s="1"/>
  <c r="CW2820" i="1"/>
  <c r="AA2820" i="1" s="1"/>
  <c r="CR2820" i="1"/>
  <c r="CP2820" i="1"/>
  <c r="CN2820" i="1"/>
  <c r="CJ2820" i="1"/>
  <c r="CH2820" i="1"/>
  <c r="CF2820" i="1"/>
  <c r="BL2820" i="1"/>
  <c r="BD2820" i="1"/>
  <c r="AZ2820" i="1"/>
  <c r="AX2820" i="1"/>
  <c r="DC2823" i="1"/>
  <c r="DA2823" i="1"/>
  <c r="CY2823" i="1"/>
  <c r="Y2823" i="1" s="1"/>
  <c r="CW2823" i="1"/>
  <c r="AA2823" i="1" s="1"/>
  <c r="CR2823" i="1"/>
  <c r="CP2823" i="1"/>
  <c r="CN2823" i="1"/>
  <c r="CJ2823" i="1"/>
  <c r="CH2823" i="1"/>
  <c r="CF2823" i="1"/>
  <c r="BL2823" i="1"/>
  <c r="BD2823" i="1"/>
  <c r="AZ2823" i="1"/>
  <c r="AX2823" i="1"/>
  <c r="Z2819" i="1" l="1"/>
  <c r="Z2809" i="1"/>
  <c r="Z2820" i="1"/>
  <c r="CU2824" i="1"/>
  <c r="X2824" i="1" s="1"/>
  <c r="Z2824" i="1"/>
  <c r="Z2823" i="1"/>
  <c r="Z2811" i="1"/>
  <c r="CU2811" i="1"/>
  <c r="X2811" i="1" s="1"/>
  <c r="Z2825" i="1"/>
  <c r="CU2820" i="1"/>
  <c r="X2820" i="1" s="1"/>
  <c r="CU2819" i="1"/>
  <c r="X2819" i="1" s="1"/>
  <c r="CU2823" i="1"/>
  <c r="X2823" i="1" s="1"/>
  <c r="CU2825" i="1"/>
  <c r="X2825" i="1" s="1"/>
  <c r="CU2809" i="1"/>
  <c r="X2809" i="1" s="1"/>
  <c r="DC2817" i="1"/>
  <c r="DA2817" i="1"/>
  <c r="CY2817" i="1"/>
  <c r="Y2817" i="1" s="1"/>
  <c r="CW2817" i="1"/>
  <c r="AA2817" i="1" s="1"/>
  <c r="CR2817" i="1"/>
  <c r="CP2817" i="1"/>
  <c r="CN2817" i="1"/>
  <c r="CJ2817" i="1"/>
  <c r="CH2817" i="1"/>
  <c r="CF2817" i="1"/>
  <c r="BL2817" i="1"/>
  <c r="BD2817" i="1"/>
  <c r="AZ2817" i="1"/>
  <c r="AX2817" i="1"/>
  <c r="DC2827" i="1"/>
  <c r="DA2827" i="1"/>
  <c r="CY2827" i="1"/>
  <c r="Y2827" i="1" s="1"/>
  <c r="CW2827" i="1"/>
  <c r="AA2827" i="1" s="1"/>
  <c r="CR2827" i="1"/>
  <c r="CP2827" i="1"/>
  <c r="CN2827" i="1"/>
  <c r="CJ2827" i="1"/>
  <c r="CH2827" i="1"/>
  <c r="CF2827" i="1"/>
  <c r="BL2827" i="1"/>
  <c r="BD2827" i="1"/>
  <c r="AZ2827" i="1"/>
  <c r="AX2827" i="1"/>
  <c r="DC2826" i="1"/>
  <c r="DA2826" i="1"/>
  <c r="CY2826" i="1"/>
  <c r="Y2826" i="1" s="1"/>
  <c r="CW2826" i="1"/>
  <c r="AA2826" i="1" s="1"/>
  <c r="CR2826" i="1"/>
  <c r="CP2826" i="1"/>
  <c r="CN2826" i="1"/>
  <c r="CJ2826" i="1"/>
  <c r="CH2826" i="1"/>
  <c r="CF2826" i="1"/>
  <c r="BL2826" i="1"/>
  <c r="BD2826" i="1"/>
  <c r="AZ2826" i="1"/>
  <c r="AX2826" i="1"/>
  <c r="DC2813" i="1"/>
  <c r="DA2813" i="1"/>
  <c r="CY2813" i="1"/>
  <c r="Y2813" i="1" s="1"/>
  <c r="CW2813" i="1"/>
  <c r="AA2813" i="1" s="1"/>
  <c r="CR2813" i="1"/>
  <c r="CP2813" i="1"/>
  <c r="CN2813" i="1"/>
  <c r="CJ2813" i="1"/>
  <c r="CH2813" i="1"/>
  <c r="CF2813" i="1"/>
  <c r="BL2813" i="1"/>
  <c r="BD2813" i="1"/>
  <c r="AZ2813" i="1"/>
  <c r="AX2813" i="1"/>
  <c r="DA2807" i="1"/>
  <c r="Y2807" i="1"/>
  <c r="CW2807" i="1"/>
  <c r="AA2807" i="1" s="1"/>
  <c r="CN2807" i="1"/>
  <c r="CJ2807" i="1"/>
  <c r="CH2807" i="1"/>
  <c r="CF2807" i="1"/>
  <c r="BL2807" i="1"/>
  <c r="BD2807" i="1"/>
  <c r="AX2807" i="1"/>
  <c r="DA2812" i="1"/>
  <c r="CY2812" i="1"/>
  <c r="Y2812" i="1" s="1"/>
  <c r="CW2812" i="1"/>
  <c r="AA2812" i="1" s="1"/>
  <c r="CR2812" i="1"/>
  <c r="CP2812" i="1"/>
  <c r="CN2812" i="1"/>
  <c r="CJ2812" i="1"/>
  <c r="CH2812" i="1"/>
  <c r="CF2812" i="1"/>
  <c r="BL2812" i="1"/>
  <c r="BD2812" i="1"/>
  <c r="AZ2812" i="1"/>
  <c r="AX2812" i="1"/>
  <c r="DC2804" i="1"/>
  <c r="DA2804" i="1"/>
  <c r="CY2804" i="1"/>
  <c r="Y2804" i="1" s="1"/>
  <c r="CW2804" i="1"/>
  <c r="AA2804" i="1" s="1"/>
  <c r="CR2804" i="1"/>
  <c r="CP2804" i="1"/>
  <c r="CN2804" i="1"/>
  <c r="CJ2804" i="1"/>
  <c r="CH2804" i="1"/>
  <c r="CF2804" i="1"/>
  <c r="BL2804" i="1"/>
  <c r="BD2804" i="1"/>
  <c r="AZ2804" i="1"/>
  <c r="AX2804" i="1"/>
  <c r="DC2805" i="1"/>
  <c r="DA2805" i="1"/>
  <c r="CY2805" i="1"/>
  <c r="Y2805" i="1" s="1"/>
  <c r="CW2805" i="1"/>
  <c r="AA2805" i="1" s="1"/>
  <c r="CR2805" i="1"/>
  <c r="CP2805" i="1"/>
  <c r="CN2805" i="1"/>
  <c r="CJ2805" i="1"/>
  <c r="CH2805" i="1"/>
  <c r="CF2805" i="1"/>
  <c r="BL2805" i="1"/>
  <c r="BD2805" i="1"/>
  <c r="AZ2805" i="1"/>
  <c r="AX2805" i="1"/>
  <c r="DC2814" i="1"/>
  <c r="DA2814" i="1"/>
  <c r="CY2814" i="1"/>
  <c r="Y2814" i="1" s="1"/>
  <c r="CW2814" i="1"/>
  <c r="AA2814" i="1" s="1"/>
  <c r="CR2814" i="1"/>
  <c r="CP2814" i="1"/>
  <c r="CN2814" i="1"/>
  <c r="CJ2814" i="1"/>
  <c r="CH2814" i="1"/>
  <c r="CF2814" i="1"/>
  <c r="BL2814" i="1"/>
  <c r="BD2814" i="1"/>
  <c r="AZ2814" i="1"/>
  <c r="AX2814" i="1"/>
  <c r="DC2802" i="1"/>
  <c r="DA2802" i="1"/>
  <c r="CY2802" i="1"/>
  <c r="Y2802" i="1" s="1"/>
  <c r="CW2802" i="1"/>
  <c r="AA2802" i="1" s="1"/>
  <c r="CR2802" i="1"/>
  <c r="CP2802" i="1"/>
  <c r="CN2802" i="1"/>
  <c r="CJ2802" i="1"/>
  <c r="CH2802" i="1"/>
  <c r="CF2802" i="1"/>
  <c r="BL2802" i="1"/>
  <c r="BD2802" i="1"/>
  <c r="AZ2802" i="1"/>
  <c r="AX2802" i="1"/>
  <c r="DC2803" i="1"/>
  <c r="DA2803" i="1"/>
  <c r="CY2803" i="1"/>
  <c r="Y2803" i="1" s="1"/>
  <c r="CW2803" i="1"/>
  <c r="AA2803" i="1" s="1"/>
  <c r="CR2803" i="1"/>
  <c r="CP2803" i="1"/>
  <c r="CN2803" i="1"/>
  <c r="CJ2803" i="1"/>
  <c r="CH2803" i="1"/>
  <c r="CF2803" i="1"/>
  <c r="BL2803" i="1"/>
  <c r="BD2803" i="1"/>
  <c r="AZ2803" i="1"/>
  <c r="AX2803" i="1"/>
  <c r="DC2806" i="1"/>
  <c r="DA2806" i="1"/>
  <c r="CY2806" i="1"/>
  <c r="Y2806" i="1" s="1"/>
  <c r="CW2806" i="1"/>
  <c r="AA2806" i="1" s="1"/>
  <c r="CR2806" i="1"/>
  <c r="CP2806" i="1"/>
  <c r="CN2806" i="1"/>
  <c r="CJ2806" i="1"/>
  <c r="CH2806" i="1"/>
  <c r="CF2806" i="1"/>
  <c r="BL2806" i="1"/>
  <c r="BD2806" i="1"/>
  <c r="AZ2806" i="1"/>
  <c r="AX2806" i="1"/>
  <c r="DC2793" i="1"/>
  <c r="DA2793" i="1"/>
  <c r="CY2793" i="1"/>
  <c r="Y2793" i="1" s="1"/>
  <c r="CW2793" i="1"/>
  <c r="AA2793" i="1" s="1"/>
  <c r="CR2793" i="1"/>
  <c r="CP2793" i="1"/>
  <c r="CN2793" i="1"/>
  <c r="CJ2793" i="1"/>
  <c r="CH2793" i="1"/>
  <c r="CF2793" i="1"/>
  <c r="BL2793" i="1"/>
  <c r="BD2793" i="1"/>
  <c r="AZ2793" i="1"/>
  <c r="AX2793" i="1"/>
  <c r="DC2791" i="1"/>
  <c r="DA2791" i="1"/>
  <c r="CY2791" i="1"/>
  <c r="Y2791" i="1" s="1"/>
  <c r="CW2791" i="1"/>
  <c r="AA2791" i="1" s="1"/>
  <c r="CR2791" i="1"/>
  <c r="CP2791" i="1"/>
  <c r="CN2791" i="1"/>
  <c r="CJ2791" i="1"/>
  <c r="CH2791" i="1"/>
  <c r="CF2791" i="1"/>
  <c r="BL2791" i="1"/>
  <c r="BD2791" i="1"/>
  <c r="AZ2791" i="1"/>
  <c r="AX2791" i="1"/>
  <c r="DC2792" i="1"/>
  <c r="DA2792" i="1"/>
  <c r="CY2792" i="1"/>
  <c r="Y2792" i="1" s="1"/>
  <c r="CW2792" i="1"/>
  <c r="AA2792" i="1" s="1"/>
  <c r="CR2792" i="1"/>
  <c r="CP2792" i="1"/>
  <c r="CN2792" i="1"/>
  <c r="CJ2792" i="1"/>
  <c r="CH2792" i="1"/>
  <c r="CF2792" i="1"/>
  <c r="BL2792" i="1"/>
  <c r="BD2792" i="1"/>
  <c r="AZ2792" i="1"/>
  <c r="AX2792" i="1"/>
  <c r="DC2774" i="1"/>
  <c r="DA2774" i="1"/>
  <c r="CY2774" i="1"/>
  <c r="Y2774" i="1" s="1"/>
  <c r="CW2774" i="1"/>
  <c r="AA2774" i="1" s="1"/>
  <c r="CR2774" i="1"/>
  <c r="CP2774" i="1"/>
  <c r="CN2774" i="1"/>
  <c r="CJ2774" i="1"/>
  <c r="CH2774" i="1"/>
  <c r="CF2774" i="1"/>
  <c r="BL2774" i="1"/>
  <c r="BD2774" i="1"/>
  <c r="AZ2774" i="1"/>
  <c r="AX2774" i="1"/>
  <c r="DC2801" i="1"/>
  <c r="DA2801" i="1"/>
  <c r="CY2801" i="1"/>
  <c r="Y2801" i="1" s="1"/>
  <c r="CW2801" i="1"/>
  <c r="AA2801" i="1" s="1"/>
  <c r="CR2801" i="1"/>
  <c r="CP2801" i="1"/>
  <c r="CN2801" i="1"/>
  <c r="CJ2801" i="1"/>
  <c r="CH2801" i="1"/>
  <c r="CF2801" i="1"/>
  <c r="BL2801" i="1"/>
  <c r="BD2801" i="1"/>
  <c r="AZ2801" i="1"/>
  <c r="AX2801" i="1"/>
  <c r="DC2800" i="1"/>
  <c r="DA2800" i="1"/>
  <c r="CY2800" i="1"/>
  <c r="Y2800" i="1" s="1"/>
  <c r="CW2800" i="1"/>
  <c r="AA2800" i="1" s="1"/>
  <c r="CR2800" i="1"/>
  <c r="CP2800" i="1"/>
  <c r="CN2800" i="1"/>
  <c r="CJ2800" i="1"/>
  <c r="CH2800" i="1"/>
  <c r="CF2800" i="1"/>
  <c r="BL2800" i="1"/>
  <c r="BD2800" i="1"/>
  <c r="AZ2800" i="1"/>
  <c r="AX2800" i="1"/>
  <c r="DC2797" i="1"/>
  <c r="DA2797" i="1"/>
  <c r="CY2797" i="1"/>
  <c r="Y2797" i="1" s="1"/>
  <c r="CW2797" i="1"/>
  <c r="AA2797" i="1" s="1"/>
  <c r="CR2797" i="1"/>
  <c r="CP2797" i="1"/>
  <c r="CN2797" i="1"/>
  <c r="CJ2797" i="1"/>
  <c r="CH2797" i="1"/>
  <c r="CF2797" i="1"/>
  <c r="BL2797" i="1"/>
  <c r="BD2797" i="1"/>
  <c r="AZ2797" i="1"/>
  <c r="AX2797" i="1"/>
  <c r="DC2785" i="1"/>
  <c r="DA2785" i="1"/>
  <c r="CY2785" i="1"/>
  <c r="Y2785" i="1" s="1"/>
  <c r="CW2785" i="1"/>
  <c r="AA2785" i="1" s="1"/>
  <c r="CR2785" i="1"/>
  <c r="CP2785" i="1"/>
  <c r="CN2785" i="1"/>
  <c r="CJ2785" i="1"/>
  <c r="CH2785" i="1"/>
  <c r="CF2785" i="1"/>
  <c r="BL2785" i="1"/>
  <c r="BD2785" i="1"/>
  <c r="AZ2785" i="1"/>
  <c r="AX2785" i="1"/>
  <c r="DC2746" i="1"/>
  <c r="DA2746" i="1"/>
  <c r="CY2746" i="1"/>
  <c r="Y2746" i="1" s="1"/>
  <c r="CW2746" i="1"/>
  <c r="AA2746" i="1" s="1"/>
  <c r="CR2746" i="1"/>
  <c r="CP2746" i="1"/>
  <c r="CN2746" i="1"/>
  <c r="CJ2746" i="1"/>
  <c r="CH2746" i="1"/>
  <c r="CF2746" i="1"/>
  <c r="BL2746" i="1"/>
  <c r="BD2746" i="1"/>
  <c r="AZ2746" i="1"/>
  <c r="AX2746" i="1"/>
  <c r="DC2799" i="1"/>
  <c r="DA2799" i="1"/>
  <c r="CY2799" i="1"/>
  <c r="Y2799" i="1" s="1"/>
  <c r="CW2799" i="1"/>
  <c r="AA2799" i="1" s="1"/>
  <c r="CR2799" i="1"/>
  <c r="CP2799" i="1"/>
  <c r="CN2799" i="1"/>
  <c r="CJ2799" i="1"/>
  <c r="CH2799" i="1"/>
  <c r="CF2799" i="1"/>
  <c r="BL2799" i="1"/>
  <c r="BD2799" i="1"/>
  <c r="AZ2799" i="1"/>
  <c r="AX2799" i="1"/>
  <c r="AD2809" i="1" l="1"/>
  <c r="AD2819" i="1"/>
  <c r="AD2823" i="1"/>
  <c r="AD2820" i="1"/>
  <c r="AD2825" i="1"/>
  <c r="AD2824" i="1"/>
  <c r="AD2811" i="1"/>
  <c r="Z2804" i="1"/>
  <c r="Z2806" i="1"/>
  <c r="Z2785" i="1"/>
  <c r="Z2793" i="1"/>
  <c r="Z2799" i="1"/>
  <c r="Z2774" i="1"/>
  <c r="Z2801" i="1"/>
  <c r="Z2813" i="1"/>
  <c r="Z2792" i="1"/>
  <c r="CU2797" i="1"/>
  <c r="X2797" i="1" s="1"/>
  <c r="Z2797" i="1"/>
  <c r="CU2805" i="1"/>
  <c r="X2805" i="1" s="1"/>
  <c r="Z2805" i="1"/>
  <c r="Z2802" i="1"/>
  <c r="Z2814" i="1"/>
  <c r="Z2812" i="1"/>
  <c r="Z2826" i="1"/>
  <c r="Z2791" i="1"/>
  <c r="Z2803" i="1"/>
  <c r="CU2814" i="1"/>
  <c r="X2814" i="1" s="1"/>
  <c r="CU2812" i="1"/>
  <c r="X2812" i="1" s="1"/>
  <c r="Z2800" i="1"/>
  <c r="CU2803" i="1"/>
  <c r="X2803" i="1" s="1"/>
  <c r="AD2803" i="1" s="1"/>
  <c r="CU2817" i="1"/>
  <c r="X2817" i="1" s="1"/>
  <c r="Z2817" i="1"/>
  <c r="CU2746" i="1"/>
  <c r="X2746" i="1" s="1"/>
  <c r="Z2746" i="1"/>
  <c r="CU2792" i="1"/>
  <c r="X2792" i="1" s="1"/>
  <c r="Z2807" i="1"/>
  <c r="Z2827" i="1"/>
  <c r="CU2801" i="1"/>
  <c r="X2801" i="1" s="1"/>
  <c r="CU2793" i="1"/>
  <c r="X2793" i="1" s="1"/>
  <c r="CU2813" i="1"/>
  <c r="X2813" i="1" s="1"/>
  <c r="CU2826" i="1"/>
  <c r="X2826" i="1" s="1"/>
  <c r="CU2799" i="1"/>
  <c r="X2799" i="1" s="1"/>
  <c r="CU2774" i="1"/>
  <c r="X2774" i="1" s="1"/>
  <c r="CU2806" i="1"/>
  <c r="X2806" i="1" s="1"/>
  <c r="CU2804" i="1"/>
  <c r="X2804" i="1" s="1"/>
  <c r="CU2827" i="1"/>
  <c r="X2827" i="1" s="1"/>
  <c r="CU2785" i="1"/>
  <c r="X2785" i="1" s="1"/>
  <c r="CU2800" i="1"/>
  <c r="X2800" i="1" s="1"/>
  <c r="CU2791" i="1"/>
  <c r="X2791" i="1" s="1"/>
  <c r="CU2802" i="1"/>
  <c r="X2802" i="1" s="1"/>
  <c r="CU2807" i="1"/>
  <c r="X2807" i="1" s="1"/>
  <c r="DC1707" i="1"/>
  <c r="DA1707" i="1"/>
  <c r="CY1707" i="1"/>
  <c r="Y1707" i="1" s="1"/>
  <c r="CW1707" i="1"/>
  <c r="AA1707" i="1" s="1"/>
  <c r="CR1707" i="1"/>
  <c r="CP1707" i="1"/>
  <c r="CN1707" i="1"/>
  <c r="CJ1707" i="1"/>
  <c r="CH1707" i="1"/>
  <c r="CF1707" i="1"/>
  <c r="BL1707" i="1"/>
  <c r="BD1707" i="1"/>
  <c r="AZ1707" i="1"/>
  <c r="AX1707" i="1"/>
  <c r="DC2770" i="1"/>
  <c r="DA2770" i="1"/>
  <c r="CY2770" i="1"/>
  <c r="Y2770" i="1" s="1"/>
  <c r="CW2770" i="1"/>
  <c r="AA2770" i="1" s="1"/>
  <c r="CR2770" i="1"/>
  <c r="CP2770" i="1"/>
  <c r="CN2770" i="1"/>
  <c r="CJ2770" i="1"/>
  <c r="CH2770" i="1"/>
  <c r="CF2770" i="1"/>
  <c r="BL2770" i="1"/>
  <c r="BD2770" i="1"/>
  <c r="AZ2770" i="1"/>
  <c r="AX2770" i="1"/>
  <c r="DC2794" i="1"/>
  <c r="DA2794" i="1"/>
  <c r="CY2794" i="1"/>
  <c r="Y2794" i="1" s="1"/>
  <c r="CW2794" i="1"/>
  <c r="AA2794" i="1" s="1"/>
  <c r="CR2794" i="1"/>
  <c r="CP2794" i="1"/>
  <c r="CN2794" i="1"/>
  <c r="CJ2794" i="1"/>
  <c r="CH2794" i="1"/>
  <c r="CF2794" i="1"/>
  <c r="BL2794" i="1"/>
  <c r="BD2794" i="1"/>
  <c r="AZ2794" i="1"/>
  <c r="AX2794" i="1"/>
  <c r="DC2796" i="1"/>
  <c r="DA2796" i="1"/>
  <c r="CY2796" i="1"/>
  <c r="Y2796" i="1" s="1"/>
  <c r="CW2796" i="1"/>
  <c r="AA2796" i="1" s="1"/>
  <c r="CR2796" i="1"/>
  <c r="CP2796" i="1"/>
  <c r="CN2796" i="1"/>
  <c r="CJ2796" i="1"/>
  <c r="CH2796" i="1"/>
  <c r="CF2796" i="1"/>
  <c r="BL2796" i="1"/>
  <c r="BD2796" i="1"/>
  <c r="AZ2796" i="1"/>
  <c r="AX2796" i="1"/>
  <c r="DC2795" i="1"/>
  <c r="DA2795" i="1"/>
  <c r="CY2795" i="1"/>
  <c r="Y2795" i="1" s="1"/>
  <c r="CW2795" i="1"/>
  <c r="AA2795" i="1" s="1"/>
  <c r="CR2795" i="1"/>
  <c r="CP2795" i="1"/>
  <c r="CN2795" i="1"/>
  <c r="CJ2795" i="1"/>
  <c r="CH2795" i="1"/>
  <c r="CF2795" i="1"/>
  <c r="BL2795" i="1"/>
  <c r="BD2795" i="1"/>
  <c r="AZ2795" i="1"/>
  <c r="AX2795" i="1"/>
  <c r="DC2798" i="1"/>
  <c r="DA2798" i="1"/>
  <c r="CY2798" i="1"/>
  <c r="Y2798" i="1" s="1"/>
  <c r="CW2798" i="1"/>
  <c r="AA2798" i="1" s="1"/>
  <c r="CR2798" i="1"/>
  <c r="CP2798" i="1"/>
  <c r="CN2798" i="1"/>
  <c r="CJ2798" i="1"/>
  <c r="CH2798" i="1"/>
  <c r="CF2798" i="1"/>
  <c r="BL2798" i="1"/>
  <c r="BD2798" i="1"/>
  <c r="AZ2798" i="1"/>
  <c r="AX2798" i="1"/>
  <c r="DC2773" i="1"/>
  <c r="DA2773" i="1"/>
  <c r="CY2773" i="1"/>
  <c r="Y2773" i="1" s="1"/>
  <c r="CW2773" i="1"/>
  <c r="AA2773" i="1" s="1"/>
  <c r="CR2773" i="1"/>
  <c r="CP2773" i="1"/>
  <c r="CN2773" i="1"/>
  <c r="CJ2773" i="1"/>
  <c r="CH2773" i="1"/>
  <c r="CF2773" i="1"/>
  <c r="BL2773" i="1"/>
  <c r="BD2773" i="1"/>
  <c r="AZ2773" i="1"/>
  <c r="AX2773" i="1"/>
  <c r="DC2786" i="1"/>
  <c r="DA2786" i="1"/>
  <c r="CY2786" i="1"/>
  <c r="Y2786" i="1" s="1"/>
  <c r="CW2786" i="1"/>
  <c r="AA2786" i="1" s="1"/>
  <c r="CR2786" i="1"/>
  <c r="CP2786" i="1"/>
  <c r="CN2786" i="1"/>
  <c r="CJ2786" i="1"/>
  <c r="CH2786" i="1"/>
  <c r="CF2786" i="1"/>
  <c r="BL2786" i="1"/>
  <c r="BD2786" i="1"/>
  <c r="AZ2786" i="1"/>
  <c r="AX2786" i="1"/>
  <c r="DC2789" i="1"/>
  <c r="DA2789" i="1"/>
  <c r="CY2789" i="1"/>
  <c r="Y2789" i="1" s="1"/>
  <c r="CW2789" i="1"/>
  <c r="AA2789" i="1" s="1"/>
  <c r="CR2789" i="1"/>
  <c r="CP2789" i="1"/>
  <c r="CN2789" i="1"/>
  <c r="CJ2789" i="1"/>
  <c r="CH2789" i="1"/>
  <c r="CF2789" i="1"/>
  <c r="BL2789" i="1"/>
  <c r="BD2789" i="1"/>
  <c r="AZ2789" i="1"/>
  <c r="AX2789" i="1"/>
  <c r="DC2790" i="1"/>
  <c r="DA2790" i="1"/>
  <c r="CY2790" i="1"/>
  <c r="Y2790" i="1" s="1"/>
  <c r="CW2790" i="1"/>
  <c r="AA2790" i="1" s="1"/>
  <c r="CR2790" i="1"/>
  <c r="CP2790" i="1"/>
  <c r="CN2790" i="1"/>
  <c r="CJ2790" i="1"/>
  <c r="CH2790" i="1"/>
  <c r="CF2790" i="1"/>
  <c r="BL2790" i="1"/>
  <c r="BD2790" i="1"/>
  <c r="AZ2790" i="1"/>
  <c r="AX2790" i="1"/>
  <c r="DC2787" i="1"/>
  <c r="DA2787" i="1"/>
  <c r="CY2787" i="1"/>
  <c r="Y2787" i="1" s="1"/>
  <c r="CW2787" i="1"/>
  <c r="AA2787" i="1" s="1"/>
  <c r="CR2787" i="1"/>
  <c r="CP2787" i="1"/>
  <c r="CN2787" i="1"/>
  <c r="CJ2787" i="1"/>
  <c r="CH2787" i="1"/>
  <c r="CF2787" i="1"/>
  <c r="BL2787" i="1"/>
  <c r="BD2787" i="1"/>
  <c r="AZ2787" i="1"/>
  <c r="AX2787" i="1"/>
  <c r="DC2783" i="1"/>
  <c r="DA2783" i="1"/>
  <c r="CY2783" i="1"/>
  <c r="Y2783" i="1" s="1"/>
  <c r="CW2783" i="1"/>
  <c r="AA2783" i="1" s="1"/>
  <c r="CR2783" i="1"/>
  <c r="CP2783" i="1"/>
  <c r="CN2783" i="1"/>
  <c r="CJ2783" i="1"/>
  <c r="CH2783" i="1"/>
  <c r="CF2783" i="1"/>
  <c r="BL2783" i="1"/>
  <c r="BD2783" i="1"/>
  <c r="AZ2783" i="1"/>
  <c r="AX2783" i="1"/>
  <c r="DC2788" i="1"/>
  <c r="DA2788" i="1"/>
  <c r="CY2788" i="1"/>
  <c r="Y2788" i="1" s="1"/>
  <c r="CW2788" i="1"/>
  <c r="AA2788" i="1" s="1"/>
  <c r="CR2788" i="1"/>
  <c r="CP2788" i="1"/>
  <c r="CN2788" i="1"/>
  <c r="CJ2788" i="1"/>
  <c r="CH2788" i="1"/>
  <c r="CF2788" i="1"/>
  <c r="BL2788" i="1"/>
  <c r="BD2788" i="1"/>
  <c r="AZ2788" i="1"/>
  <c r="AX2788" i="1"/>
  <c r="AD2804" i="1" l="1"/>
  <c r="AD2785" i="1"/>
  <c r="AD2806" i="1"/>
  <c r="AD2799" i="1"/>
  <c r="AD2746" i="1"/>
  <c r="AD2797" i="1"/>
  <c r="AD2812" i="1"/>
  <c r="AD2792" i="1"/>
  <c r="AD2774" i="1"/>
  <c r="AD2793" i="1"/>
  <c r="AD2791" i="1"/>
  <c r="AD2814" i="1"/>
  <c r="AD2802" i="1"/>
  <c r="AD2801" i="1"/>
  <c r="AD2817" i="1"/>
  <c r="AD2805" i="1"/>
  <c r="AD2827" i="1"/>
  <c r="AD2813" i="1"/>
  <c r="AD2807" i="1"/>
  <c r="AD2826" i="1"/>
  <c r="AD2800" i="1"/>
  <c r="Z2789" i="1"/>
  <c r="CU2783" i="1"/>
  <c r="X2783" i="1" s="1"/>
  <c r="Z2786" i="1"/>
  <c r="Z2783" i="1"/>
  <c r="Z2795" i="1"/>
  <c r="Z2770" i="1"/>
  <c r="Z1707" i="1"/>
  <c r="CU2794" i="1"/>
  <c r="X2794" i="1" s="1"/>
  <c r="CU2790" i="1"/>
  <c r="X2790" i="1" s="1"/>
  <c r="Z2790" i="1"/>
  <c r="Z2787" i="1"/>
  <c r="Z2798" i="1"/>
  <c r="Z2794" i="1"/>
  <c r="Z2796" i="1"/>
  <c r="Z2788" i="1"/>
  <c r="CU2773" i="1"/>
  <c r="X2773" i="1" s="1"/>
  <c r="Z2773" i="1"/>
  <c r="CU2789" i="1"/>
  <c r="X2789" i="1" s="1"/>
  <c r="CU2798" i="1"/>
  <c r="X2798" i="1" s="1"/>
  <c r="CU2786" i="1"/>
  <c r="X2786" i="1" s="1"/>
  <c r="CU2795" i="1"/>
  <c r="X2795" i="1" s="1"/>
  <c r="CU1707" i="1"/>
  <c r="X1707" i="1" s="1"/>
  <c r="CU2788" i="1"/>
  <c r="X2788" i="1" s="1"/>
  <c r="CU2787" i="1"/>
  <c r="X2787" i="1" s="1"/>
  <c r="CU2796" i="1"/>
  <c r="X2796" i="1" s="1"/>
  <c r="CU2770" i="1"/>
  <c r="X2770" i="1" s="1"/>
  <c r="DC2781" i="1"/>
  <c r="DA2781" i="1"/>
  <c r="CY2781" i="1"/>
  <c r="Y2781" i="1" s="1"/>
  <c r="CW2781" i="1"/>
  <c r="AA2781" i="1" s="1"/>
  <c r="CR2781" i="1"/>
  <c r="CP2781" i="1"/>
  <c r="CN2781" i="1"/>
  <c r="CJ2781" i="1"/>
  <c r="CH2781" i="1"/>
  <c r="CF2781" i="1"/>
  <c r="BL2781" i="1"/>
  <c r="BD2781" i="1"/>
  <c r="AZ2781" i="1"/>
  <c r="AX2781" i="1"/>
  <c r="DC2782" i="1"/>
  <c r="DA2782" i="1"/>
  <c r="CY2782" i="1"/>
  <c r="Y2782" i="1" s="1"/>
  <c r="CW2782" i="1"/>
  <c r="AA2782" i="1" s="1"/>
  <c r="CR2782" i="1"/>
  <c r="CP2782" i="1"/>
  <c r="CN2782" i="1"/>
  <c r="CJ2782" i="1"/>
  <c r="CH2782" i="1"/>
  <c r="CF2782" i="1"/>
  <c r="BL2782" i="1"/>
  <c r="BD2782" i="1"/>
  <c r="AZ2782" i="1"/>
  <c r="AX2782" i="1"/>
  <c r="DC2780" i="1"/>
  <c r="DA2780" i="1"/>
  <c r="CY2780" i="1"/>
  <c r="Y2780" i="1" s="1"/>
  <c r="CW2780" i="1"/>
  <c r="AA2780" i="1" s="1"/>
  <c r="CR2780" i="1"/>
  <c r="CP2780" i="1"/>
  <c r="CN2780" i="1"/>
  <c r="CJ2780" i="1"/>
  <c r="CH2780" i="1"/>
  <c r="CF2780" i="1"/>
  <c r="BL2780" i="1"/>
  <c r="BD2780" i="1"/>
  <c r="AZ2780" i="1"/>
  <c r="AX2780" i="1"/>
  <c r="DC2778" i="1"/>
  <c r="DA2778" i="1"/>
  <c r="CY2778" i="1"/>
  <c r="Y2778" i="1" s="1"/>
  <c r="CW2778" i="1"/>
  <c r="AA2778" i="1" s="1"/>
  <c r="CR2778" i="1"/>
  <c r="CP2778" i="1"/>
  <c r="CN2778" i="1"/>
  <c r="CJ2778" i="1"/>
  <c r="CH2778" i="1"/>
  <c r="CF2778" i="1"/>
  <c r="BL2778" i="1"/>
  <c r="BD2778" i="1"/>
  <c r="AZ2778" i="1"/>
  <c r="AX2778" i="1"/>
  <c r="DC2756" i="1"/>
  <c r="DA2756" i="1"/>
  <c r="CY2756" i="1"/>
  <c r="Y2756" i="1" s="1"/>
  <c r="CW2756" i="1"/>
  <c r="AA2756" i="1" s="1"/>
  <c r="CR2756" i="1"/>
  <c r="CP2756" i="1"/>
  <c r="CN2756" i="1"/>
  <c r="CJ2756" i="1"/>
  <c r="CH2756" i="1"/>
  <c r="CF2756" i="1"/>
  <c r="BL2756" i="1"/>
  <c r="BD2756" i="1"/>
  <c r="AZ2756" i="1"/>
  <c r="AX2756" i="1"/>
  <c r="DC2757" i="1"/>
  <c r="DA2757" i="1"/>
  <c r="CY2757" i="1"/>
  <c r="Y2757" i="1" s="1"/>
  <c r="CW2757" i="1"/>
  <c r="AA2757" i="1" s="1"/>
  <c r="CR2757" i="1"/>
  <c r="CP2757" i="1"/>
  <c r="CN2757" i="1"/>
  <c r="CJ2757" i="1"/>
  <c r="CH2757" i="1"/>
  <c r="CF2757" i="1"/>
  <c r="BL2757" i="1"/>
  <c r="BD2757" i="1"/>
  <c r="AZ2757" i="1"/>
  <c r="AX2757" i="1"/>
  <c r="AD2794" i="1" l="1"/>
  <c r="AD2787" i="1"/>
  <c r="AD2789" i="1"/>
  <c r="AD2798" i="1"/>
  <c r="AD2783" i="1"/>
  <c r="AD2786" i="1"/>
  <c r="AD2790" i="1"/>
  <c r="AD2795" i="1"/>
  <c r="AD2770" i="1"/>
  <c r="AD1707" i="1"/>
  <c r="AD2796" i="1"/>
  <c r="AD2773" i="1"/>
  <c r="AD2788" i="1"/>
  <c r="Z2780" i="1"/>
  <c r="Z2782" i="1"/>
  <c r="CU2756" i="1"/>
  <c r="X2756" i="1" s="1"/>
  <c r="Z2756" i="1"/>
  <c r="CU2778" i="1"/>
  <c r="X2778" i="1" s="1"/>
  <c r="CU2782" i="1"/>
  <c r="X2782" i="1" s="1"/>
  <c r="CU2757" i="1"/>
  <c r="X2757" i="1" s="1"/>
  <c r="Z2757" i="1"/>
  <c r="CU2780" i="1"/>
  <c r="X2780" i="1" s="1"/>
  <c r="Z2778" i="1"/>
  <c r="Z2781" i="1"/>
  <c r="CU2781" i="1"/>
  <c r="X2781" i="1" s="1"/>
  <c r="DA2265" i="1"/>
  <c r="DB2656" i="1"/>
  <c r="AD2782" i="1" l="1"/>
  <c r="AD2780" i="1"/>
  <c r="AD2756" i="1"/>
  <c r="AD2757" i="1"/>
  <c r="AD2781" i="1"/>
  <c r="AD2778" i="1"/>
  <c r="DC2849" i="1"/>
  <c r="DA2849" i="1"/>
  <c r="CY2849" i="1"/>
  <c r="Y2849" i="1" s="1"/>
  <c r="CW2849" i="1"/>
  <c r="AA2849" i="1" s="1"/>
  <c r="CR2849" i="1"/>
  <c r="CP2849" i="1"/>
  <c r="CN2849" i="1"/>
  <c r="CJ2849" i="1"/>
  <c r="CH2849" i="1"/>
  <c r="CF2849" i="1"/>
  <c r="BL2849" i="1"/>
  <c r="BD2849" i="1"/>
  <c r="AZ2849" i="1"/>
  <c r="AX2849" i="1"/>
  <c r="Y2265" i="1"/>
  <c r="CW2265" i="1"/>
  <c r="AA2265" i="1" s="1"/>
  <c r="CR2265" i="1"/>
  <c r="CP2265" i="1"/>
  <c r="CN2265" i="1"/>
  <c r="CH2265" i="1"/>
  <c r="CF2265" i="1"/>
  <c r="BL2265" i="1"/>
  <c r="BD2265" i="1"/>
  <c r="AX2265" i="1"/>
  <c r="DC2777" i="1"/>
  <c r="DA2777" i="1"/>
  <c r="CY2777" i="1"/>
  <c r="Y2777" i="1" s="1"/>
  <c r="CW2777" i="1"/>
  <c r="AA2777" i="1" s="1"/>
  <c r="CR2777" i="1"/>
  <c r="CP2777" i="1"/>
  <c r="CN2777" i="1"/>
  <c r="CJ2777" i="1"/>
  <c r="CH2777" i="1"/>
  <c r="CF2777" i="1"/>
  <c r="BL2777" i="1"/>
  <c r="BD2777" i="1"/>
  <c r="AZ2777" i="1"/>
  <c r="AX2777" i="1"/>
  <c r="DC2776" i="1"/>
  <c r="DA2776" i="1"/>
  <c r="CY2776" i="1"/>
  <c r="Y2776" i="1" s="1"/>
  <c r="CW2776" i="1"/>
  <c r="AA2776" i="1" s="1"/>
  <c r="CR2776" i="1"/>
  <c r="CP2776" i="1"/>
  <c r="CN2776" i="1"/>
  <c r="CJ2776" i="1"/>
  <c r="CH2776" i="1"/>
  <c r="CF2776" i="1"/>
  <c r="BL2776" i="1"/>
  <c r="BD2776" i="1"/>
  <c r="AZ2776" i="1"/>
  <c r="AX2776" i="1"/>
  <c r="DC2775" i="1"/>
  <c r="DA2775" i="1"/>
  <c r="CY2775" i="1"/>
  <c r="Y2775" i="1" s="1"/>
  <c r="CW2775" i="1"/>
  <c r="AA2775" i="1" s="1"/>
  <c r="CR2775" i="1"/>
  <c r="CP2775" i="1"/>
  <c r="CN2775" i="1"/>
  <c r="CJ2775" i="1"/>
  <c r="CH2775" i="1"/>
  <c r="CF2775" i="1"/>
  <c r="BL2775" i="1"/>
  <c r="BD2775" i="1"/>
  <c r="AZ2775" i="1"/>
  <c r="AX2775" i="1"/>
  <c r="DC2771" i="1"/>
  <c r="DA2771" i="1"/>
  <c r="CY2771" i="1"/>
  <c r="Y2771" i="1" s="1"/>
  <c r="CW2771" i="1"/>
  <c r="AA2771" i="1" s="1"/>
  <c r="CR2771" i="1"/>
  <c r="CP2771" i="1"/>
  <c r="CN2771" i="1"/>
  <c r="CJ2771" i="1"/>
  <c r="CH2771" i="1"/>
  <c r="CF2771" i="1"/>
  <c r="BL2771" i="1"/>
  <c r="BD2771" i="1"/>
  <c r="AZ2771" i="1"/>
  <c r="AX2771" i="1"/>
  <c r="DC2772" i="1"/>
  <c r="DA2772" i="1"/>
  <c r="CY2772" i="1"/>
  <c r="Y2772" i="1" s="1"/>
  <c r="CW2772" i="1"/>
  <c r="AA2772" i="1" s="1"/>
  <c r="CR2772" i="1"/>
  <c r="CP2772" i="1"/>
  <c r="CN2772" i="1"/>
  <c r="CJ2772" i="1"/>
  <c r="CH2772" i="1"/>
  <c r="CF2772" i="1"/>
  <c r="BL2772" i="1"/>
  <c r="BD2772" i="1"/>
  <c r="AZ2772" i="1"/>
  <c r="AX2772" i="1"/>
  <c r="DC2765" i="1"/>
  <c r="DA2765" i="1"/>
  <c r="CY2765" i="1"/>
  <c r="Y2765" i="1" s="1"/>
  <c r="CW2765" i="1"/>
  <c r="AA2765" i="1" s="1"/>
  <c r="CR2765" i="1"/>
  <c r="CP2765" i="1"/>
  <c r="CN2765" i="1"/>
  <c r="CJ2765" i="1"/>
  <c r="CH2765" i="1"/>
  <c r="CF2765" i="1"/>
  <c r="BL2765" i="1"/>
  <c r="BD2765" i="1"/>
  <c r="AZ2765" i="1"/>
  <c r="AX2765" i="1"/>
  <c r="Z2765" i="1" l="1"/>
  <c r="Z2771" i="1"/>
  <c r="Z2265" i="1"/>
  <c r="Z2772" i="1"/>
  <c r="Z2849" i="1"/>
  <c r="Z2775" i="1"/>
  <c r="Z2777" i="1"/>
  <c r="Z2776" i="1"/>
  <c r="CU2776" i="1"/>
  <c r="X2776" i="1" s="1"/>
  <c r="CU2765" i="1"/>
  <c r="X2765" i="1" s="1"/>
  <c r="CU2772" i="1"/>
  <c r="X2772" i="1" s="1"/>
  <c r="CU2775" i="1"/>
  <c r="X2775" i="1" s="1"/>
  <c r="CU2265" i="1"/>
  <c r="X2265" i="1" s="1"/>
  <c r="CU2777" i="1"/>
  <c r="X2777" i="1" s="1"/>
  <c r="CU2849" i="1"/>
  <c r="X2849" i="1" s="1"/>
  <c r="CU2771" i="1"/>
  <c r="X2771" i="1" s="1"/>
  <c r="AD2849" i="1" l="1"/>
  <c r="AD2771" i="1"/>
  <c r="AD2775" i="1"/>
  <c r="AD2265" i="1"/>
  <c r="AD2772" i="1"/>
  <c r="AD2765" i="1"/>
  <c r="AD2776" i="1"/>
  <c r="AD2777" i="1"/>
  <c r="DC2764" i="1"/>
  <c r="DA2764" i="1"/>
  <c r="CY2764" i="1"/>
  <c r="Y2764" i="1" s="1"/>
  <c r="CW2764" i="1"/>
  <c r="AA2764" i="1" s="1"/>
  <c r="CR2764" i="1"/>
  <c r="CP2764" i="1"/>
  <c r="CN2764" i="1"/>
  <c r="CJ2764" i="1"/>
  <c r="CH2764" i="1"/>
  <c r="CF2764" i="1"/>
  <c r="BL2764" i="1"/>
  <c r="BD2764" i="1"/>
  <c r="AZ2764" i="1"/>
  <c r="AX2764" i="1"/>
  <c r="DC2763" i="1"/>
  <c r="DA2763" i="1"/>
  <c r="CY2763" i="1"/>
  <c r="Y2763" i="1" s="1"/>
  <c r="CW2763" i="1"/>
  <c r="AA2763" i="1" s="1"/>
  <c r="CR2763" i="1"/>
  <c r="CP2763" i="1"/>
  <c r="CN2763" i="1"/>
  <c r="CJ2763" i="1"/>
  <c r="CH2763" i="1"/>
  <c r="CF2763" i="1"/>
  <c r="BL2763" i="1"/>
  <c r="BD2763" i="1"/>
  <c r="AZ2763" i="1"/>
  <c r="AX2763" i="1"/>
  <c r="DC2766" i="1"/>
  <c r="DA2766" i="1"/>
  <c r="CY2766" i="1"/>
  <c r="Y2766" i="1" s="1"/>
  <c r="CW2766" i="1"/>
  <c r="AA2766" i="1" s="1"/>
  <c r="CR2766" i="1"/>
  <c r="CP2766" i="1"/>
  <c r="CN2766" i="1"/>
  <c r="CJ2766" i="1"/>
  <c r="CH2766" i="1"/>
  <c r="CF2766" i="1"/>
  <c r="BL2766" i="1"/>
  <c r="BD2766" i="1"/>
  <c r="AZ2766" i="1"/>
  <c r="AX2766" i="1"/>
  <c r="DC2750" i="1"/>
  <c r="DA2750" i="1"/>
  <c r="CY2750" i="1"/>
  <c r="Y2750" i="1" s="1"/>
  <c r="CW2750" i="1"/>
  <c r="AA2750" i="1" s="1"/>
  <c r="CR2750" i="1"/>
  <c r="CP2750" i="1"/>
  <c r="CN2750" i="1"/>
  <c r="CJ2750" i="1"/>
  <c r="CH2750" i="1"/>
  <c r="CF2750" i="1"/>
  <c r="BL2750" i="1"/>
  <c r="BD2750" i="1"/>
  <c r="AZ2750" i="1"/>
  <c r="AX2750" i="1"/>
  <c r="DC2760" i="1"/>
  <c r="DA2760" i="1"/>
  <c r="CY2760" i="1"/>
  <c r="Y2760" i="1" s="1"/>
  <c r="CW2760" i="1"/>
  <c r="AA2760" i="1" s="1"/>
  <c r="CR2760" i="1"/>
  <c r="CP2760" i="1"/>
  <c r="CN2760" i="1"/>
  <c r="CJ2760" i="1"/>
  <c r="CH2760" i="1"/>
  <c r="CF2760" i="1"/>
  <c r="BL2760" i="1"/>
  <c r="BD2760" i="1"/>
  <c r="AZ2760" i="1"/>
  <c r="AX2760" i="1"/>
  <c r="DC2761" i="1"/>
  <c r="DA2761" i="1"/>
  <c r="CY2761" i="1"/>
  <c r="Y2761" i="1" s="1"/>
  <c r="CW2761" i="1"/>
  <c r="AA2761" i="1" s="1"/>
  <c r="CR2761" i="1"/>
  <c r="CP2761" i="1"/>
  <c r="CN2761" i="1"/>
  <c r="CJ2761" i="1"/>
  <c r="CH2761" i="1"/>
  <c r="CF2761" i="1"/>
  <c r="BL2761" i="1"/>
  <c r="BD2761" i="1"/>
  <c r="AZ2761" i="1"/>
  <c r="AX2761" i="1"/>
  <c r="DC2762" i="1"/>
  <c r="DA2762" i="1"/>
  <c r="CY2762" i="1"/>
  <c r="Y2762" i="1" s="1"/>
  <c r="CW2762" i="1"/>
  <c r="AA2762" i="1" s="1"/>
  <c r="CR2762" i="1"/>
  <c r="CP2762" i="1"/>
  <c r="CN2762" i="1"/>
  <c r="CJ2762" i="1"/>
  <c r="CH2762" i="1"/>
  <c r="CF2762" i="1"/>
  <c r="BL2762" i="1"/>
  <c r="BD2762" i="1"/>
  <c r="AZ2762" i="1"/>
  <c r="AX2762" i="1"/>
  <c r="DC2759" i="1"/>
  <c r="DA2759" i="1"/>
  <c r="CY2759" i="1"/>
  <c r="Y2759" i="1" s="1"/>
  <c r="CW2759" i="1"/>
  <c r="AA2759" i="1" s="1"/>
  <c r="CR2759" i="1"/>
  <c r="CP2759" i="1"/>
  <c r="CN2759" i="1"/>
  <c r="CJ2759" i="1"/>
  <c r="CH2759" i="1"/>
  <c r="CF2759" i="1"/>
  <c r="BL2759" i="1"/>
  <c r="BD2759" i="1"/>
  <c r="AZ2759" i="1"/>
  <c r="AX2759" i="1"/>
  <c r="DC2749" i="1"/>
  <c r="DA2749" i="1"/>
  <c r="CY2749" i="1"/>
  <c r="Y2749" i="1" s="1"/>
  <c r="CW2749" i="1"/>
  <c r="AA2749" i="1" s="1"/>
  <c r="CR2749" i="1"/>
  <c r="CP2749" i="1"/>
  <c r="CN2749" i="1"/>
  <c r="CJ2749" i="1"/>
  <c r="CH2749" i="1"/>
  <c r="CF2749" i="1"/>
  <c r="BL2749" i="1"/>
  <c r="BD2749" i="1"/>
  <c r="AZ2749" i="1"/>
  <c r="AX2749" i="1"/>
  <c r="DA2747" i="1"/>
  <c r="Y2747" i="1"/>
  <c r="CW2747" i="1"/>
  <c r="AA2747" i="1" s="1"/>
  <c r="CP2747" i="1"/>
  <c r="CN2747" i="1"/>
  <c r="CJ2747" i="1"/>
  <c r="CH2747" i="1"/>
  <c r="CF2747" i="1"/>
  <c r="BL2747" i="1"/>
  <c r="BD2747" i="1"/>
  <c r="AZ2747" i="1"/>
  <c r="AX2747" i="1"/>
  <c r="DC2758" i="1"/>
  <c r="DA2758" i="1"/>
  <c r="CY2758" i="1"/>
  <c r="Y2758" i="1" s="1"/>
  <c r="CW2758" i="1"/>
  <c r="AA2758" i="1" s="1"/>
  <c r="CR2758" i="1"/>
  <c r="CP2758" i="1"/>
  <c r="CN2758" i="1"/>
  <c r="CJ2758" i="1"/>
  <c r="CH2758" i="1"/>
  <c r="CF2758" i="1"/>
  <c r="BL2758" i="1"/>
  <c r="BD2758" i="1"/>
  <c r="AZ2758" i="1"/>
  <c r="AX2758" i="1"/>
  <c r="DC2752" i="1"/>
  <c r="DA2752" i="1"/>
  <c r="CY2752" i="1"/>
  <c r="Y2752" i="1" s="1"/>
  <c r="CW2752" i="1"/>
  <c r="AA2752" i="1" s="1"/>
  <c r="CR2752" i="1"/>
  <c r="CP2752" i="1"/>
  <c r="CN2752" i="1"/>
  <c r="CJ2752" i="1"/>
  <c r="CH2752" i="1"/>
  <c r="CF2752" i="1"/>
  <c r="BL2752" i="1"/>
  <c r="BD2752" i="1"/>
  <c r="AZ2752" i="1"/>
  <c r="AX2752" i="1"/>
  <c r="DC2751" i="1"/>
  <c r="DA2751" i="1"/>
  <c r="CY2751" i="1"/>
  <c r="Y2751" i="1" s="1"/>
  <c r="CW2751" i="1"/>
  <c r="AA2751" i="1" s="1"/>
  <c r="CR2751" i="1"/>
  <c r="CP2751" i="1"/>
  <c r="CN2751" i="1"/>
  <c r="CJ2751" i="1"/>
  <c r="CH2751" i="1"/>
  <c r="CF2751" i="1"/>
  <c r="BL2751" i="1"/>
  <c r="BD2751" i="1"/>
  <c r="AZ2751" i="1"/>
  <c r="AX2751" i="1"/>
  <c r="DC2754" i="1"/>
  <c r="DA2754" i="1"/>
  <c r="CY2754" i="1"/>
  <c r="Y2754" i="1" s="1"/>
  <c r="CW2754" i="1"/>
  <c r="AA2754" i="1" s="1"/>
  <c r="CR2754" i="1"/>
  <c r="CP2754" i="1"/>
  <c r="CN2754" i="1"/>
  <c r="CJ2754" i="1"/>
  <c r="CH2754" i="1"/>
  <c r="CF2754" i="1"/>
  <c r="BL2754" i="1"/>
  <c r="BD2754" i="1"/>
  <c r="AZ2754" i="1"/>
  <c r="AX2754" i="1"/>
  <c r="DC2753" i="1"/>
  <c r="DA2753" i="1"/>
  <c r="CY2753" i="1"/>
  <c r="Y2753" i="1" s="1"/>
  <c r="CW2753" i="1"/>
  <c r="AA2753" i="1" s="1"/>
  <c r="CR2753" i="1"/>
  <c r="CP2753" i="1"/>
  <c r="CN2753" i="1"/>
  <c r="CJ2753" i="1"/>
  <c r="CH2753" i="1"/>
  <c r="CF2753" i="1"/>
  <c r="BL2753" i="1"/>
  <c r="BD2753" i="1"/>
  <c r="AZ2753" i="1"/>
  <c r="AX2753" i="1"/>
  <c r="DC2739" i="1"/>
  <c r="DA2739" i="1"/>
  <c r="CY2739" i="1"/>
  <c r="Y2739" i="1" s="1"/>
  <c r="CW2739" i="1"/>
  <c r="AA2739" i="1" s="1"/>
  <c r="CR2739" i="1"/>
  <c r="CP2739" i="1"/>
  <c r="CN2739" i="1"/>
  <c r="CJ2739" i="1"/>
  <c r="CH2739" i="1"/>
  <c r="CF2739" i="1"/>
  <c r="BL2739" i="1"/>
  <c r="BD2739" i="1"/>
  <c r="AZ2739" i="1"/>
  <c r="AX2739" i="1"/>
  <c r="DC2742" i="1"/>
  <c r="DA2742" i="1"/>
  <c r="CY2742" i="1"/>
  <c r="Y2742" i="1" s="1"/>
  <c r="CW2742" i="1"/>
  <c r="AA2742" i="1" s="1"/>
  <c r="CR2742" i="1"/>
  <c r="CP2742" i="1"/>
  <c r="CN2742" i="1"/>
  <c r="CJ2742" i="1"/>
  <c r="CH2742" i="1"/>
  <c r="CF2742" i="1"/>
  <c r="BL2742" i="1"/>
  <c r="BD2742" i="1"/>
  <c r="AZ2742" i="1"/>
  <c r="AX2742" i="1"/>
  <c r="DC2737" i="1"/>
  <c r="DA2737" i="1"/>
  <c r="CY2737" i="1"/>
  <c r="Y2737" i="1" s="1"/>
  <c r="CW2737" i="1"/>
  <c r="AA2737" i="1" s="1"/>
  <c r="CR2737" i="1"/>
  <c r="CP2737" i="1"/>
  <c r="CN2737" i="1"/>
  <c r="CJ2737" i="1"/>
  <c r="CH2737" i="1"/>
  <c r="CF2737" i="1"/>
  <c r="BL2737" i="1"/>
  <c r="BD2737" i="1"/>
  <c r="AZ2737" i="1"/>
  <c r="AX2737" i="1"/>
  <c r="DC2741" i="1"/>
  <c r="DA2741" i="1"/>
  <c r="CY2741" i="1"/>
  <c r="Y2741" i="1" s="1"/>
  <c r="CW2741" i="1"/>
  <c r="AA2741" i="1" s="1"/>
  <c r="CR2741" i="1"/>
  <c r="CP2741" i="1"/>
  <c r="CN2741" i="1"/>
  <c r="CJ2741" i="1"/>
  <c r="CH2741" i="1"/>
  <c r="CF2741" i="1"/>
  <c r="BL2741" i="1"/>
  <c r="BD2741" i="1"/>
  <c r="AZ2741" i="1"/>
  <c r="AX2741" i="1"/>
  <c r="DC2748" i="1"/>
  <c r="DA2748" i="1"/>
  <c r="CY2748" i="1"/>
  <c r="Y2748" i="1" s="1"/>
  <c r="CW2748" i="1"/>
  <c r="AA2748" i="1" s="1"/>
  <c r="CR2748" i="1"/>
  <c r="CP2748" i="1"/>
  <c r="CN2748" i="1"/>
  <c r="CJ2748" i="1"/>
  <c r="CH2748" i="1"/>
  <c r="CF2748" i="1"/>
  <c r="BL2748" i="1"/>
  <c r="BD2748" i="1"/>
  <c r="AZ2748" i="1"/>
  <c r="AX2748" i="1"/>
  <c r="DC2687" i="1"/>
  <c r="DA2687" i="1"/>
  <c r="CY2687" i="1"/>
  <c r="Y2687" i="1" s="1"/>
  <c r="CW2687" i="1"/>
  <c r="AA2687" i="1" s="1"/>
  <c r="CR2687" i="1"/>
  <c r="CP2687" i="1"/>
  <c r="CN2687" i="1"/>
  <c r="CJ2687" i="1"/>
  <c r="CH2687" i="1"/>
  <c r="CF2687" i="1"/>
  <c r="BL2687" i="1"/>
  <c r="BD2687" i="1"/>
  <c r="AZ2687" i="1"/>
  <c r="AX2687" i="1"/>
  <c r="DC2744" i="1"/>
  <c r="DA2744" i="1"/>
  <c r="CY2744" i="1"/>
  <c r="Y2744" i="1" s="1"/>
  <c r="CW2744" i="1"/>
  <c r="AA2744" i="1" s="1"/>
  <c r="CR2744" i="1"/>
  <c r="CP2744" i="1"/>
  <c r="CN2744" i="1"/>
  <c r="CJ2744" i="1"/>
  <c r="CH2744" i="1"/>
  <c r="CF2744" i="1"/>
  <c r="BL2744" i="1"/>
  <c r="BD2744" i="1"/>
  <c r="AZ2744" i="1"/>
  <c r="AX2744" i="1"/>
  <c r="DC2743" i="1"/>
  <c r="DA2743" i="1"/>
  <c r="CY2743" i="1"/>
  <c r="Y2743" i="1" s="1"/>
  <c r="CW2743" i="1"/>
  <c r="AA2743" i="1" s="1"/>
  <c r="CR2743" i="1"/>
  <c r="CP2743" i="1"/>
  <c r="CN2743" i="1"/>
  <c r="CJ2743" i="1"/>
  <c r="CH2743" i="1"/>
  <c r="CF2743" i="1"/>
  <c r="BL2743" i="1"/>
  <c r="BD2743" i="1"/>
  <c r="AZ2743" i="1"/>
  <c r="AX2743" i="1"/>
  <c r="DC2722" i="1"/>
  <c r="DA2722" i="1"/>
  <c r="CY2722" i="1"/>
  <c r="Y2722" i="1" s="1"/>
  <c r="CW2722" i="1"/>
  <c r="AA2722" i="1" s="1"/>
  <c r="CR2722" i="1"/>
  <c r="CP2722" i="1"/>
  <c r="CN2722" i="1"/>
  <c r="CJ2722" i="1"/>
  <c r="CH2722" i="1"/>
  <c r="CF2722" i="1"/>
  <c r="BL2722" i="1"/>
  <c r="BD2722" i="1"/>
  <c r="AZ2722" i="1"/>
  <c r="AX2722" i="1"/>
  <c r="DC2721" i="1"/>
  <c r="DA2721" i="1"/>
  <c r="CY2721" i="1"/>
  <c r="Y2721" i="1" s="1"/>
  <c r="CW2721" i="1"/>
  <c r="AA2721" i="1" s="1"/>
  <c r="CR2721" i="1"/>
  <c r="CP2721" i="1"/>
  <c r="CN2721" i="1"/>
  <c r="CJ2721" i="1"/>
  <c r="CH2721" i="1"/>
  <c r="CF2721" i="1"/>
  <c r="BL2721" i="1"/>
  <c r="BD2721" i="1"/>
  <c r="AZ2721" i="1"/>
  <c r="AX2721" i="1"/>
  <c r="DA2718" i="1"/>
  <c r="Y2718" i="1"/>
  <c r="CW2718" i="1"/>
  <c r="AA2718" i="1" s="1"/>
  <c r="CN2718" i="1"/>
  <c r="CH2718" i="1"/>
  <c r="CF2718" i="1"/>
  <c r="BL2718" i="1"/>
  <c r="BD2718" i="1"/>
  <c r="AX2718" i="1"/>
  <c r="Z2761" i="1" l="1"/>
  <c r="Z2750" i="1"/>
  <c r="CU2750" i="1"/>
  <c r="X2750" i="1" s="1"/>
  <c r="Z2721" i="1"/>
  <c r="Z2737" i="1"/>
  <c r="Z2754" i="1"/>
  <c r="Z2747" i="1"/>
  <c r="CU2747" i="1"/>
  <c r="X2747" i="1" s="1"/>
  <c r="Z2764" i="1"/>
  <c r="CU2764" i="1"/>
  <c r="X2764" i="1" s="1"/>
  <c r="Z2763" i="1"/>
  <c r="Z2749" i="1"/>
  <c r="Z2762" i="1"/>
  <c r="CU2761" i="1"/>
  <c r="X2761" i="1" s="1"/>
  <c r="CU2763" i="1"/>
  <c r="X2763" i="1" s="1"/>
  <c r="CU2744" i="1"/>
  <c r="X2744" i="1" s="1"/>
  <c r="CU2741" i="1"/>
  <c r="X2741" i="1" s="1"/>
  <c r="CU2753" i="1"/>
  <c r="X2753" i="1" s="1"/>
  <c r="Z2758" i="1"/>
  <c r="Z2759" i="1"/>
  <c r="Z2760" i="1"/>
  <c r="Z2718" i="1"/>
  <c r="CU2722" i="1"/>
  <c r="X2722" i="1" s="1"/>
  <c r="Z2743" i="1"/>
  <c r="CU2687" i="1"/>
  <c r="X2687" i="1" s="1"/>
  <c r="Z2748" i="1"/>
  <c r="CU2742" i="1"/>
  <c r="X2742" i="1" s="1"/>
  <c r="Z2739" i="1"/>
  <c r="CU2751" i="1"/>
  <c r="X2751" i="1" s="1"/>
  <c r="CU2752" i="1"/>
  <c r="X2752" i="1" s="1"/>
  <c r="CU2718" i="1"/>
  <c r="X2718" i="1" s="1"/>
  <c r="CU2721" i="1"/>
  <c r="X2721" i="1" s="1"/>
  <c r="Z2722" i="1"/>
  <c r="Z2687" i="1"/>
  <c r="CU2737" i="1"/>
  <c r="X2737" i="1" s="1"/>
  <c r="Z2742" i="1"/>
  <c r="CU2754" i="1"/>
  <c r="X2754" i="1" s="1"/>
  <c r="Z2751" i="1"/>
  <c r="Z2752" i="1"/>
  <c r="CU2743" i="1"/>
  <c r="X2743" i="1" s="1"/>
  <c r="Z2744" i="1"/>
  <c r="CU2748" i="1"/>
  <c r="X2748" i="1" s="1"/>
  <c r="Z2741" i="1"/>
  <c r="CU2739" i="1"/>
  <c r="X2739" i="1" s="1"/>
  <c r="Z2753" i="1"/>
  <c r="CU2758" i="1"/>
  <c r="X2758" i="1" s="1"/>
  <c r="CU2749" i="1"/>
  <c r="X2749" i="1" s="1"/>
  <c r="CU2759" i="1"/>
  <c r="X2759" i="1" s="1"/>
  <c r="CU2762" i="1"/>
  <c r="X2762" i="1" s="1"/>
  <c r="CU2760" i="1"/>
  <c r="X2760" i="1" s="1"/>
  <c r="CU2766" i="1"/>
  <c r="X2766" i="1" s="1"/>
  <c r="Z2766" i="1"/>
  <c r="DC2729" i="1"/>
  <c r="DA2729" i="1"/>
  <c r="CY2729" i="1"/>
  <c r="Y2729" i="1" s="1"/>
  <c r="CW2729" i="1"/>
  <c r="AA2729" i="1" s="1"/>
  <c r="CR2729" i="1"/>
  <c r="CP2729" i="1"/>
  <c r="CN2729" i="1"/>
  <c r="CJ2729" i="1"/>
  <c r="CH2729" i="1"/>
  <c r="CF2729" i="1"/>
  <c r="BL2729" i="1"/>
  <c r="BD2729" i="1"/>
  <c r="AZ2729" i="1"/>
  <c r="AX2729" i="1"/>
  <c r="DC2740" i="1"/>
  <c r="DA2740" i="1"/>
  <c r="CY2740" i="1"/>
  <c r="Y2740" i="1" s="1"/>
  <c r="CW2740" i="1"/>
  <c r="AA2740" i="1" s="1"/>
  <c r="CR2740" i="1"/>
  <c r="CP2740" i="1"/>
  <c r="CN2740" i="1"/>
  <c r="CJ2740" i="1"/>
  <c r="CH2740" i="1"/>
  <c r="CF2740" i="1"/>
  <c r="BL2740" i="1"/>
  <c r="BD2740" i="1"/>
  <c r="AZ2740" i="1"/>
  <c r="AX2740" i="1"/>
  <c r="DC2734" i="1"/>
  <c r="DA2734" i="1"/>
  <c r="CY2734" i="1"/>
  <c r="Y2734" i="1" s="1"/>
  <c r="CW2734" i="1"/>
  <c r="AA2734" i="1" s="1"/>
  <c r="CR2734" i="1"/>
  <c r="CP2734" i="1"/>
  <c r="CN2734" i="1"/>
  <c r="CJ2734" i="1"/>
  <c r="CH2734" i="1"/>
  <c r="CF2734" i="1"/>
  <c r="BL2734" i="1"/>
  <c r="BD2734" i="1"/>
  <c r="AZ2734" i="1"/>
  <c r="AX2734" i="1"/>
  <c r="DA2720" i="1"/>
  <c r="Y2720" i="1"/>
  <c r="CW2720" i="1"/>
  <c r="AA2720" i="1" s="1"/>
  <c r="CN2720" i="1"/>
  <c r="CH2720" i="1"/>
  <c r="CF2720" i="1"/>
  <c r="BL2720" i="1"/>
  <c r="BD2720" i="1"/>
  <c r="AX2720" i="1"/>
  <c r="DC2738" i="1"/>
  <c r="DA2738" i="1"/>
  <c r="CY2738" i="1"/>
  <c r="Y2738" i="1" s="1"/>
  <c r="CW2738" i="1"/>
  <c r="AA2738" i="1" s="1"/>
  <c r="CR2738" i="1"/>
  <c r="CP2738" i="1"/>
  <c r="CN2738" i="1"/>
  <c r="CJ2738" i="1"/>
  <c r="CH2738" i="1"/>
  <c r="CF2738" i="1"/>
  <c r="BL2738" i="1"/>
  <c r="BD2738" i="1"/>
  <c r="AZ2738" i="1"/>
  <c r="AX2738" i="1"/>
  <c r="AD2761" i="1" l="1"/>
  <c r="AD2759" i="1"/>
  <c r="AD2739" i="1"/>
  <c r="AD2743" i="1"/>
  <c r="AD2754" i="1"/>
  <c r="AD2750" i="1"/>
  <c r="AD2752" i="1"/>
  <c r="AD2742" i="1"/>
  <c r="AD2760" i="1"/>
  <c r="AD2758" i="1"/>
  <c r="AD2741" i="1"/>
  <c r="AD2751" i="1"/>
  <c r="AD2747" i="1"/>
  <c r="AD2762" i="1"/>
  <c r="AD2763" i="1"/>
  <c r="AD2722" i="1"/>
  <c r="AD2748" i="1"/>
  <c r="AD2737" i="1"/>
  <c r="AD2721" i="1"/>
  <c r="AD2764" i="1"/>
  <c r="AD2687" i="1"/>
  <c r="AD2749" i="1"/>
  <c r="AD2766" i="1"/>
  <c r="AD2753" i="1"/>
  <c r="AD2744" i="1"/>
  <c r="AD2718" i="1"/>
  <c r="Z2729" i="1"/>
  <c r="Z2720" i="1"/>
  <c r="Z2738" i="1"/>
  <c r="Z2734" i="1"/>
  <c r="CU2740" i="1"/>
  <c r="X2740" i="1" s="1"/>
  <c r="CU2734" i="1"/>
  <c r="X2734" i="1" s="1"/>
  <c r="Z2740" i="1"/>
  <c r="CU2738" i="1"/>
  <c r="X2738" i="1" s="1"/>
  <c r="CU2729" i="1"/>
  <c r="X2729" i="1" s="1"/>
  <c r="CU2720" i="1"/>
  <c r="X2720" i="1" s="1"/>
  <c r="DC2731" i="1"/>
  <c r="DA2731" i="1"/>
  <c r="CY2731" i="1"/>
  <c r="Y2731" i="1" s="1"/>
  <c r="CW2731" i="1"/>
  <c r="AA2731" i="1" s="1"/>
  <c r="CR2731" i="1"/>
  <c r="CP2731" i="1"/>
  <c r="CN2731" i="1"/>
  <c r="CJ2731" i="1"/>
  <c r="CH2731" i="1"/>
  <c r="CF2731" i="1"/>
  <c r="BL2731" i="1"/>
  <c r="BD2731" i="1"/>
  <c r="AZ2731" i="1"/>
  <c r="AX2731" i="1"/>
  <c r="DC2732" i="1"/>
  <c r="DA2732" i="1"/>
  <c r="CY2732" i="1"/>
  <c r="Y2732" i="1" s="1"/>
  <c r="CW2732" i="1"/>
  <c r="AA2732" i="1" s="1"/>
  <c r="CR2732" i="1"/>
  <c r="CP2732" i="1"/>
  <c r="CN2732" i="1"/>
  <c r="CJ2732" i="1"/>
  <c r="CH2732" i="1"/>
  <c r="CF2732" i="1"/>
  <c r="BL2732" i="1"/>
  <c r="BD2732" i="1"/>
  <c r="AZ2732" i="1"/>
  <c r="AX2732" i="1"/>
  <c r="DC2725" i="1"/>
  <c r="DA2725" i="1"/>
  <c r="CY2725" i="1"/>
  <c r="Y2725" i="1" s="1"/>
  <c r="CW2725" i="1"/>
  <c r="AA2725" i="1" s="1"/>
  <c r="CR2725" i="1"/>
  <c r="CP2725" i="1"/>
  <c r="CN2725" i="1"/>
  <c r="CJ2725" i="1"/>
  <c r="CH2725" i="1"/>
  <c r="CF2725" i="1"/>
  <c r="BL2725" i="1"/>
  <c r="BD2725" i="1"/>
  <c r="AZ2725" i="1"/>
  <c r="AX2725" i="1"/>
  <c r="DC2735" i="1"/>
  <c r="DA2735" i="1"/>
  <c r="CY2735" i="1"/>
  <c r="Y2735" i="1" s="1"/>
  <c r="CW2735" i="1"/>
  <c r="AA2735" i="1" s="1"/>
  <c r="CR2735" i="1"/>
  <c r="CP2735" i="1"/>
  <c r="CN2735" i="1"/>
  <c r="CJ2735" i="1"/>
  <c r="CH2735" i="1"/>
  <c r="CF2735" i="1"/>
  <c r="BL2735" i="1"/>
  <c r="BD2735" i="1"/>
  <c r="AZ2735" i="1"/>
  <c r="AX2735" i="1"/>
  <c r="DC2717" i="1"/>
  <c r="DA2717" i="1"/>
  <c r="CY2717" i="1"/>
  <c r="Y2717" i="1" s="1"/>
  <c r="CW2717" i="1"/>
  <c r="AA2717" i="1" s="1"/>
  <c r="CR2717" i="1"/>
  <c r="CP2717" i="1"/>
  <c r="CN2717" i="1"/>
  <c r="CJ2717" i="1"/>
  <c r="CH2717" i="1"/>
  <c r="CF2717" i="1"/>
  <c r="BL2717" i="1"/>
  <c r="BD2717" i="1"/>
  <c r="AZ2717" i="1"/>
  <c r="AX2717" i="1"/>
  <c r="DC2736" i="1"/>
  <c r="DA2736" i="1"/>
  <c r="CY2736" i="1"/>
  <c r="Y2736" i="1" s="1"/>
  <c r="CW2736" i="1"/>
  <c r="AA2736" i="1" s="1"/>
  <c r="CR2736" i="1"/>
  <c r="CP2736" i="1"/>
  <c r="CN2736" i="1"/>
  <c r="CJ2736" i="1"/>
  <c r="CH2736" i="1"/>
  <c r="CF2736" i="1"/>
  <c r="BL2736" i="1"/>
  <c r="BD2736" i="1"/>
  <c r="AZ2736" i="1"/>
  <c r="AX2736" i="1"/>
  <c r="DC2716" i="1"/>
  <c r="DA2716" i="1"/>
  <c r="CY2716" i="1"/>
  <c r="Y2716" i="1" s="1"/>
  <c r="CW2716" i="1"/>
  <c r="AA2716" i="1" s="1"/>
  <c r="CR2716" i="1"/>
  <c r="CP2716" i="1"/>
  <c r="CN2716" i="1"/>
  <c r="CJ2716" i="1"/>
  <c r="CH2716" i="1"/>
  <c r="CF2716" i="1"/>
  <c r="BL2716" i="1"/>
  <c r="BD2716" i="1"/>
  <c r="AZ2716" i="1"/>
  <c r="AX2716" i="1"/>
  <c r="DC2727" i="1"/>
  <c r="DA2727" i="1"/>
  <c r="CY2727" i="1"/>
  <c r="Y2727" i="1" s="1"/>
  <c r="CW2727" i="1"/>
  <c r="AA2727" i="1" s="1"/>
  <c r="CR2727" i="1"/>
  <c r="CP2727" i="1"/>
  <c r="CN2727" i="1"/>
  <c r="CJ2727" i="1"/>
  <c r="CH2727" i="1"/>
  <c r="CF2727" i="1"/>
  <c r="BL2727" i="1"/>
  <c r="BD2727" i="1"/>
  <c r="AZ2727" i="1"/>
  <c r="AX2727" i="1"/>
  <c r="DC2726" i="1"/>
  <c r="DA2726" i="1"/>
  <c r="CY2726" i="1"/>
  <c r="Y2726" i="1" s="1"/>
  <c r="CW2726" i="1"/>
  <c r="AA2726" i="1" s="1"/>
  <c r="CR2726" i="1"/>
  <c r="CP2726" i="1"/>
  <c r="CN2726" i="1"/>
  <c r="CJ2726" i="1"/>
  <c r="CH2726" i="1"/>
  <c r="CF2726" i="1"/>
  <c r="BL2726" i="1"/>
  <c r="BD2726" i="1"/>
  <c r="AZ2726" i="1"/>
  <c r="AX2726" i="1"/>
  <c r="DC2728" i="1"/>
  <c r="DA2728" i="1"/>
  <c r="CY2728" i="1"/>
  <c r="Y2728" i="1" s="1"/>
  <c r="CW2728" i="1"/>
  <c r="AA2728" i="1" s="1"/>
  <c r="CR2728" i="1"/>
  <c r="CP2728" i="1"/>
  <c r="CN2728" i="1"/>
  <c r="CJ2728" i="1"/>
  <c r="CH2728" i="1"/>
  <c r="CF2728" i="1"/>
  <c r="BL2728" i="1"/>
  <c r="BD2728" i="1"/>
  <c r="AZ2728" i="1"/>
  <c r="AX2728" i="1"/>
  <c r="AD2729" i="1" l="1"/>
  <c r="AD2740" i="1"/>
  <c r="AD2720" i="1"/>
  <c r="AD2734" i="1"/>
  <c r="AD2738" i="1"/>
  <c r="Z2716" i="1"/>
  <c r="Z2735" i="1"/>
  <c r="CU2736" i="1"/>
  <c r="X2736" i="1" s="1"/>
  <c r="Z2725" i="1"/>
  <c r="Z2726" i="1"/>
  <c r="Z2732" i="1"/>
  <c r="Z2728" i="1"/>
  <c r="Z2736" i="1"/>
  <c r="Z2717" i="1"/>
  <c r="CU2732" i="1"/>
  <c r="X2732" i="1" s="1"/>
  <c r="Z2727" i="1"/>
  <c r="Z2731" i="1"/>
  <c r="CU2726" i="1"/>
  <c r="X2726" i="1" s="1"/>
  <c r="CU2735" i="1"/>
  <c r="X2735" i="1" s="1"/>
  <c r="CU2728" i="1"/>
  <c r="X2728" i="1" s="1"/>
  <c r="CU2716" i="1"/>
  <c r="X2716" i="1" s="1"/>
  <c r="CU2725" i="1"/>
  <c r="X2725" i="1" s="1"/>
  <c r="CU2727" i="1"/>
  <c r="X2727" i="1" s="1"/>
  <c r="CU2717" i="1"/>
  <c r="X2717" i="1" s="1"/>
  <c r="CU2731" i="1"/>
  <c r="X2731" i="1" s="1"/>
  <c r="DC2733" i="1"/>
  <c r="DA2733" i="1"/>
  <c r="CY2733" i="1"/>
  <c r="Y2733" i="1" s="1"/>
  <c r="CW2733" i="1"/>
  <c r="AA2733" i="1" s="1"/>
  <c r="CR2733" i="1"/>
  <c r="CP2733" i="1"/>
  <c r="CN2733" i="1"/>
  <c r="CJ2733" i="1"/>
  <c r="CH2733" i="1"/>
  <c r="CF2733" i="1"/>
  <c r="BL2733" i="1"/>
  <c r="BD2733" i="1"/>
  <c r="AZ2733" i="1"/>
  <c r="AX2733" i="1"/>
  <c r="DC2730" i="1"/>
  <c r="DA2730" i="1"/>
  <c r="CY2730" i="1"/>
  <c r="Y2730" i="1" s="1"/>
  <c r="CW2730" i="1"/>
  <c r="AA2730" i="1" s="1"/>
  <c r="CR2730" i="1"/>
  <c r="CP2730" i="1"/>
  <c r="CN2730" i="1"/>
  <c r="CJ2730" i="1"/>
  <c r="CH2730" i="1"/>
  <c r="CF2730" i="1"/>
  <c r="BL2730" i="1"/>
  <c r="BD2730" i="1"/>
  <c r="AZ2730" i="1"/>
  <c r="AX2730" i="1"/>
  <c r="DA2719" i="1"/>
  <c r="Y2719" i="1"/>
  <c r="CW2719" i="1"/>
  <c r="AA2719" i="1" s="1"/>
  <c r="CN2719" i="1"/>
  <c r="CJ2719" i="1"/>
  <c r="CH2719" i="1"/>
  <c r="CF2719" i="1"/>
  <c r="BL2719" i="1"/>
  <c r="BD2719" i="1"/>
  <c r="AX2719" i="1"/>
  <c r="DC2714" i="1"/>
  <c r="DA2714" i="1"/>
  <c r="CY2714" i="1"/>
  <c r="Y2714" i="1" s="1"/>
  <c r="CW2714" i="1"/>
  <c r="AA2714" i="1" s="1"/>
  <c r="CR2714" i="1"/>
  <c r="CP2714" i="1"/>
  <c r="CN2714" i="1"/>
  <c r="CJ2714" i="1"/>
  <c r="CH2714" i="1"/>
  <c r="CF2714" i="1"/>
  <c r="BL2714" i="1"/>
  <c r="BD2714" i="1"/>
  <c r="AZ2714" i="1"/>
  <c r="AX2714" i="1"/>
  <c r="DC2712" i="1"/>
  <c r="DA2712" i="1"/>
  <c r="CY2712" i="1"/>
  <c r="Y2712" i="1" s="1"/>
  <c r="CW2712" i="1"/>
  <c r="AA2712" i="1" s="1"/>
  <c r="CR2712" i="1"/>
  <c r="CP2712" i="1"/>
  <c r="CN2712" i="1"/>
  <c r="CJ2712" i="1"/>
  <c r="CH2712" i="1"/>
  <c r="CF2712" i="1"/>
  <c r="BL2712" i="1"/>
  <c r="BD2712" i="1"/>
  <c r="AZ2712" i="1"/>
  <c r="AX2712" i="1"/>
  <c r="DC2713" i="1"/>
  <c r="DA2713" i="1"/>
  <c r="CY2713" i="1"/>
  <c r="Y2713" i="1" s="1"/>
  <c r="CW2713" i="1"/>
  <c r="AA2713" i="1" s="1"/>
  <c r="CR2713" i="1"/>
  <c r="CP2713" i="1"/>
  <c r="CN2713" i="1"/>
  <c r="CJ2713" i="1"/>
  <c r="CH2713" i="1"/>
  <c r="CF2713" i="1"/>
  <c r="BL2713" i="1"/>
  <c r="BD2713" i="1"/>
  <c r="AZ2713" i="1"/>
  <c r="AX2713" i="1"/>
  <c r="AD2716" i="1" l="1"/>
  <c r="AD2735" i="1"/>
  <c r="AD2717" i="1"/>
  <c r="AD2736" i="1"/>
  <c r="AD2726" i="1"/>
  <c r="AD2732" i="1"/>
  <c r="AD2731" i="1"/>
  <c r="AD2728" i="1"/>
  <c r="AD2725" i="1"/>
  <c r="AD2727" i="1"/>
  <c r="Z2713" i="1"/>
  <c r="Z2719" i="1"/>
  <c r="Z2730" i="1"/>
  <c r="Z2712" i="1"/>
  <c r="Z2733" i="1"/>
  <c r="Z2714" i="1"/>
  <c r="CU2712" i="1"/>
  <c r="X2712" i="1" s="1"/>
  <c r="CU2719" i="1"/>
  <c r="X2719" i="1" s="1"/>
  <c r="CU2730" i="1"/>
  <c r="X2730" i="1" s="1"/>
  <c r="CU2713" i="1"/>
  <c r="X2713" i="1" s="1"/>
  <c r="CU2733" i="1"/>
  <c r="X2733" i="1" s="1"/>
  <c r="CU2714" i="1"/>
  <c r="X2714" i="1" s="1"/>
  <c r="AD2719" i="1" l="1"/>
  <c r="AD2713" i="1"/>
  <c r="AD2712" i="1"/>
  <c r="AD2730" i="1"/>
  <c r="AD2714" i="1"/>
  <c r="AD2733" i="1"/>
  <c r="CY1264" i="1" l="1"/>
  <c r="CR1264" i="1"/>
  <c r="CP1264" i="1"/>
  <c r="CJ1264" i="1"/>
  <c r="AZ1264" i="1"/>
  <c r="DC2908" i="1"/>
  <c r="DA2908" i="1"/>
  <c r="CY2908" i="1"/>
  <c r="Y2908" i="1" s="1"/>
  <c r="CW2908" i="1"/>
  <c r="AA2908" i="1" s="1"/>
  <c r="CR2908" i="1"/>
  <c r="CP2908" i="1"/>
  <c r="CN2908" i="1"/>
  <c r="CJ2908" i="1"/>
  <c r="CH2908" i="1"/>
  <c r="CF2908" i="1"/>
  <c r="BL2908" i="1"/>
  <c r="BD2908" i="1"/>
  <c r="AZ2908" i="1"/>
  <c r="AX2908" i="1"/>
  <c r="DC2904" i="1"/>
  <c r="DA2904" i="1"/>
  <c r="CY2904" i="1"/>
  <c r="Y2904" i="1" s="1"/>
  <c r="CW2904" i="1"/>
  <c r="AA2904" i="1" s="1"/>
  <c r="CR2904" i="1"/>
  <c r="CP2904" i="1"/>
  <c r="CN2904" i="1"/>
  <c r="CJ2904" i="1"/>
  <c r="CH2904" i="1"/>
  <c r="CF2904" i="1"/>
  <c r="BL2904" i="1"/>
  <c r="BD2904" i="1"/>
  <c r="AZ2904" i="1"/>
  <c r="AX2904" i="1"/>
  <c r="DA2696" i="1"/>
  <c r="Y2696" i="1"/>
  <c r="CW2696" i="1"/>
  <c r="AA2696" i="1" s="1"/>
  <c r="CP2696" i="1"/>
  <c r="CN2696" i="1"/>
  <c r="CH2696" i="1"/>
  <c r="CF2696" i="1"/>
  <c r="BL2696" i="1"/>
  <c r="BD2696" i="1"/>
  <c r="AX2696" i="1"/>
  <c r="DA2808" i="1"/>
  <c r="Y2808" i="1"/>
  <c r="CW2808" i="1"/>
  <c r="AA2808" i="1" s="1"/>
  <c r="CN2808" i="1"/>
  <c r="CJ2808" i="1"/>
  <c r="CH2808" i="1"/>
  <c r="CF2808" i="1"/>
  <c r="BL2808" i="1"/>
  <c r="BD2808" i="1"/>
  <c r="AX2808" i="1"/>
  <c r="DC2685" i="1"/>
  <c r="DA2685" i="1"/>
  <c r="CY2685" i="1"/>
  <c r="Y2685" i="1" s="1"/>
  <c r="CW2685" i="1"/>
  <c r="AA2685" i="1" s="1"/>
  <c r="CR2685" i="1"/>
  <c r="CP2685" i="1"/>
  <c r="CN2685" i="1"/>
  <c r="CJ2685" i="1"/>
  <c r="CH2685" i="1"/>
  <c r="CF2685" i="1"/>
  <c r="BL2685" i="1"/>
  <c r="BD2685" i="1"/>
  <c r="AZ2685" i="1"/>
  <c r="AX2685" i="1"/>
  <c r="DC2710" i="1"/>
  <c r="DA2710" i="1"/>
  <c r="CY2710" i="1"/>
  <c r="Y2710" i="1" s="1"/>
  <c r="CW2710" i="1"/>
  <c r="AA2710" i="1" s="1"/>
  <c r="CR2710" i="1"/>
  <c r="CP2710" i="1"/>
  <c r="CN2710" i="1"/>
  <c r="CJ2710" i="1"/>
  <c r="CH2710" i="1"/>
  <c r="CF2710" i="1"/>
  <c r="BL2710" i="1"/>
  <c r="BD2710" i="1"/>
  <c r="AZ2710" i="1"/>
  <c r="AX2710" i="1"/>
  <c r="DC2709" i="1"/>
  <c r="DA2709" i="1"/>
  <c r="Y2709" i="1"/>
  <c r="CW2709" i="1"/>
  <c r="AA2709" i="1" s="1"/>
  <c r="CR2709" i="1"/>
  <c r="CP2709" i="1"/>
  <c r="CN2709" i="1"/>
  <c r="CJ2709" i="1"/>
  <c r="CH2709" i="1"/>
  <c r="CF2709" i="1"/>
  <c r="BL2709" i="1"/>
  <c r="BD2709" i="1"/>
  <c r="AZ2709" i="1"/>
  <c r="AX2709" i="1"/>
  <c r="CX2379" i="1"/>
  <c r="CX2380" i="1"/>
  <c r="DC2699" i="1"/>
  <c r="DA2699" i="1"/>
  <c r="CY2699" i="1"/>
  <c r="Y2699" i="1" s="1"/>
  <c r="CW2699" i="1"/>
  <c r="AA2699" i="1" s="1"/>
  <c r="CR2699" i="1"/>
  <c r="CP2699" i="1"/>
  <c r="CN2699" i="1"/>
  <c r="CJ2699" i="1"/>
  <c r="CH2699" i="1"/>
  <c r="CF2699" i="1"/>
  <c r="BL2699" i="1"/>
  <c r="BD2699" i="1"/>
  <c r="AZ2699" i="1"/>
  <c r="AX2699" i="1"/>
  <c r="DC2711" i="1"/>
  <c r="DA2711" i="1"/>
  <c r="CY2711" i="1"/>
  <c r="Y2711" i="1" s="1"/>
  <c r="CW2711" i="1"/>
  <c r="AA2711" i="1" s="1"/>
  <c r="CR2711" i="1"/>
  <c r="CP2711" i="1"/>
  <c r="CN2711" i="1"/>
  <c r="CJ2711" i="1"/>
  <c r="CH2711" i="1"/>
  <c r="CF2711" i="1"/>
  <c r="BL2711" i="1"/>
  <c r="BD2711" i="1"/>
  <c r="AZ2711" i="1"/>
  <c r="AX2711" i="1"/>
  <c r="DC2701" i="1"/>
  <c r="DA2701" i="1"/>
  <c r="CY2701" i="1"/>
  <c r="Y2701" i="1" s="1"/>
  <c r="CW2701" i="1"/>
  <c r="AA2701" i="1" s="1"/>
  <c r="CR2701" i="1"/>
  <c r="CP2701" i="1"/>
  <c r="CN2701" i="1"/>
  <c r="CJ2701" i="1"/>
  <c r="CH2701" i="1"/>
  <c r="CF2701" i="1"/>
  <c r="BL2701" i="1"/>
  <c r="BD2701" i="1"/>
  <c r="AZ2701" i="1"/>
  <c r="AX2701" i="1"/>
  <c r="DC2377" i="1"/>
  <c r="DA2377" i="1"/>
  <c r="Y2377" i="1"/>
  <c r="CW2377" i="1"/>
  <c r="AA2377" i="1" s="1"/>
  <c r="CH2377" i="1"/>
  <c r="CF2377" i="1"/>
  <c r="BL2377" i="1"/>
  <c r="BD2377" i="1"/>
  <c r="AX2377" i="1"/>
  <c r="DC2707" i="1"/>
  <c r="DA2707" i="1"/>
  <c r="CY2707" i="1"/>
  <c r="Y2707" i="1" s="1"/>
  <c r="CW2707" i="1"/>
  <c r="AA2707" i="1" s="1"/>
  <c r="CR2707" i="1"/>
  <c r="CP2707" i="1"/>
  <c r="CN2707" i="1"/>
  <c r="CJ2707" i="1"/>
  <c r="CH2707" i="1"/>
  <c r="CF2707" i="1"/>
  <c r="BL2707" i="1"/>
  <c r="BD2707" i="1"/>
  <c r="AZ2707" i="1"/>
  <c r="AX2707" i="1"/>
  <c r="DC2705" i="1"/>
  <c r="DA2705" i="1"/>
  <c r="CY2705" i="1"/>
  <c r="Y2705" i="1" s="1"/>
  <c r="CW2705" i="1"/>
  <c r="AA2705" i="1" s="1"/>
  <c r="CR2705" i="1"/>
  <c r="CP2705" i="1"/>
  <c r="CN2705" i="1"/>
  <c r="CJ2705" i="1"/>
  <c r="CH2705" i="1"/>
  <c r="CF2705" i="1"/>
  <c r="BL2705" i="1"/>
  <c r="BD2705" i="1"/>
  <c r="AZ2705" i="1"/>
  <c r="AX2705" i="1"/>
  <c r="DC2694" i="1"/>
  <c r="DA2694" i="1"/>
  <c r="CY2694" i="1"/>
  <c r="Y2694" i="1" s="1"/>
  <c r="CW2694" i="1"/>
  <c r="AA2694" i="1" s="1"/>
  <c r="CR2694" i="1"/>
  <c r="CP2694" i="1"/>
  <c r="CN2694" i="1"/>
  <c r="CJ2694" i="1"/>
  <c r="CH2694" i="1"/>
  <c r="CF2694" i="1"/>
  <c r="BL2694" i="1"/>
  <c r="BD2694" i="1"/>
  <c r="AZ2694" i="1"/>
  <c r="AX2694" i="1"/>
  <c r="DC2695" i="1"/>
  <c r="DA2695" i="1"/>
  <c r="CY2695" i="1"/>
  <c r="Y2695" i="1" s="1"/>
  <c r="CW2695" i="1"/>
  <c r="AA2695" i="1" s="1"/>
  <c r="CR2695" i="1"/>
  <c r="CP2695" i="1"/>
  <c r="CN2695" i="1"/>
  <c r="CJ2695" i="1"/>
  <c r="CH2695" i="1"/>
  <c r="CF2695" i="1"/>
  <c r="BL2695" i="1"/>
  <c r="BD2695" i="1"/>
  <c r="AZ2695" i="1"/>
  <c r="AX2695" i="1"/>
  <c r="DC2693" i="1"/>
  <c r="DA2693" i="1"/>
  <c r="CY2693" i="1"/>
  <c r="Y2693" i="1" s="1"/>
  <c r="CW2693" i="1"/>
  <c r="AA2693" i="1" s="1"/>
  <c r="CR2693" i="1"/>
  <c r="CP2693" i="1"/>
  <c r="CN2693" i="1"/>
  <c r="CJ2693" i="1"/>
  <c r="CH2693" i="1"/>
  <c r="CF2693" i="1"/>
  <c r="BL2693" i="1"/>
  <c r="BD2693" i="1"/>
  <c r="AZ2693" i="1"/>
  <c r="AX2693" i="1"/>
  <c r="DC2692" i="1"/>
  <c r="DA2692" i="1"/>
  <c r="CY2692" i="1"/>
  <c r="Y2692" i="1" s="1"/>
  <c r="CW2692" i="1"/>
  <c r="AA2692" i="1" s="1"/>
  <c r="CR2692" i="1"/>
  <c r="CP2692" i="1"/>
  <c r="CN2692" i="1"/>
  <c r="CJ2692" i="1"/>
  <c r="CH2692" i="1"/>
  <c r="CF2692" i="1"/>
  <c r="BL2692" i="1"/>
  <c r="BD2692" i="1"/>
  <c r="AZ2692" i="1"/>
  <c r="AX2692" i="1"/>
  <c r="DC2698" i="1"/>
  <c r="DA2698" i="1"/>
  <c r="CY2698" i="1"/>
  <c r="Y2698" i="1" s="1"/>
  <c r="CW2698" i="1"/>
  <c r="AA2698" i="1" s="1"/>
  <c r="CR2698" i="1"/>
  <c r="CP2698" i="1"/>
  <c r="CN2698" i="1"/>
  <c r="CJ2698" i="1"/>
  <c r="CH2698" i="1"/>
  <c r="CF2698" i="1"/>
  <c r="BL2698" i="1"/>
  <c r="BD2698" i="1"/>
  <c r="AZ2698" i="1"/>
  <c r="AX2698" i="1"/>
  <c r="DC2702" i="1"/>
  <c r="DA2702" i="1"/>
  <c r="CY2702" i="1"/>
  <c r="Y2702" i="1" s="1"/>
  <c r="CW2702" i="1"/>
  <c r="AA2702" i="1" s="1"/>
  <c r="CR2702" i="1"/>
  <c r="CP2702" i="1"/>
  <c r="CN2702" i="1"/>
  <c r="CJ2702" i="1"/>
  <c r="CH2702" i="1"/>
  <c r="CF2702" i="1"/>
  <c r="BL2702" i="1"/>
  <c r="BD2702" i="1"/>
  <c r="AZ2702" i="1"/>
  <c r="AX2702" i="1"/>
  <c r="DC2703" i="1"/>
  <c r="DA2703" i="1"/>
  <c r="CY2703" i="1"/>
  <c r="Y2703" i="1" s="1"/>
  <c r="CW2703" i="1"/>
  <c r="AA2703" i="1" s="1"/>
  <c r="CR2703" i="1"/>
  <c r="CP2703" i="1"/>
  <c r="CN2703" i="1"/>
  <c r="CJ2703" i="1"/>
  <c r="CH2703" i="1"/>
  <c r="CF2703" i="1"/>
  <c r="BL2703" i="1"/>
  <c r="BD2703" i="1"/>
  <c r="AZ2703" i="1"/>
  <c r="AX2703" i="1"/>
  <c r="DC2704" i="1"/>
  <c r="DA2704" i="1"/>
  <c r="CY2704" i="1"/>
  <c r="Y2704" i="1" s="1"/>
  <c r="CW2704" i="1"/>
  <c r="AA2704" i="1" s="1"/>
  <c r="CR2704" i="1"/>
  <c r="CP2704" i="1"/>
  <c r="CN2704" i="1"/>
  <c r="CJ2704" i="1"/>
  <c r="CH2704" i="1"/>
  <c r="CF2704" i="1"/>
  <c r="BL2704" i="1"/>
  <c r="BD2704" i="1"/>
  <c r="AZ2704" i="1"/>
  <c r="AX2704" i="1"/>
  <c r="DC2700" i="1"/>
  <c r="DA2700" i="1"/>
  <c r="CY2700" i="1"/>
  <c r="Y2700" i="1" s="1"/>
  <c r="CW2700" i="1"/>
  <c r="AA2700" i="1" s="1"/>
  <c r="CR2700" i="1"/>
  <c r="CP2700" i="1"/>
  <c r="CN2700" i="1"/>
  <c r="CJ2700" i="1"/>
  <c r="CH2700" i="1"/>
  <c r="CF2700" i="1"/>
  <c r="BL2700" i="1"/>
  <c r="BD2700" i="1"/>
  <c r="AZ2700" i="1"/>
  <c r="AX2700" i="1"/>
  <c r="DC2691" i="1"/>
  <c r="DA2691" i="1"/>
  <c r="CY2691" i="1"/>
  <c r="Y2691" i="1" s="1"/>
  <c r="CW2691" i="1"/>
  <c r="AA2691" i="1" s="1"/>
  <c r="CR2691" i="1"/>
  <c r="CP2691" i="1"/>
  <c r="CN2691" i="1"/>
  <c r="CJ2691" i="1"/>
  <c r="CH2691" i="1"/>
  <c r="CF2691" i="1"/>
  <c r="BL2691" i="1"/>
  <c r="BD2691" i="1"/>
  <c r="AZ2691" i="1"/>
  <c r="AX2691" i="1"/>
  <c r="DC2689" i="1"/>
  <c r="DA2689" i="1"/>
  <c r="CY2689" i="1"/>
  <c r="Y2689" i="1" s="1"/>
  <c r="CW2689" i="1"/>
  <c r="AA2689" i="1" s="1"/>
  <c r="CR2689" i="1"/>
  <c r="CP2689" i="1"/>
  <c r="CN2689" i="1"/>
  <c r="CJ2689" i="1"/>
  <c r="CH2689" i="1"/>
  <c r="CF2689" i="1"/>
  <c r="BL2689" i="1"/>
  <c r="BD2689" i="1"/>
  <c r="AZ2689" i="1"/>
  <c r="AX2689" i="1"/>
  <c r="DC2697" i="1"/>
  <c r="DA2697" i="1"/>
  <c r="CY2697" i="1"/>
  <c r="Y2697" i="1" s="1"/>
  <c r="CW2697" i="1"/>
  <c r="AA2697" i="1" s="1"/>
  <c r="CR2697" i="1"/>
  <c r="CP2697" i="1"/>
  <c r="CN2697" i="1"/>
  <c r="CJ2697" i="1"/>
  <c r="CH2697" i="1"/>
  <c r="CF2697" i="1"/>
  <c r="BL2697" i="1"/>
  <c r="BD2697" i="1"/>
  <c r="AZ2697" i="1"/>
  <c r="AX2697" i="1"/>
  <c r="DC2706" i="1"/>
  <c r="DA2706" i="1"/>
  <c r="CY2706" i="1"/>
  <c r="Y2706" i="1" s="1"/>
  <c r="CW2706" i="1"/>
  <c r="AA2706" i="1" s="1"/>
  <c r="CR2706" i="1"/>
  <c r="CP2706" i="1"/>
  <c r="CN2706" i="1"/>
  <c r="CJ2706" i="1"/>
  <c r="CH2706" i="1"/>
  <c r="CF2706" i="1"/>
  <c r="BL2706" i="1"/>
  <c r="BD2706" i="1"/>
  <c r="AZ2706" i="1"/>
  <c r="AX2706" i="1"/>
  <c r="DC2686" i="1"/>
  <c r="DA2686" i="1"/>
  <c r="Y2686" i="1"/>
  <c r="CW2686" i="1"/>
  <c r="AA2686" i="1" s="1"/>
  <c r="CH2686" i="1"/>
  <c r="CF2686" i="1"/>
  <c r="BL2686" i="1"/>
  <c r="BD2686" i="1"/>
  <c r="AX2686" i="1"/>
  <c r="DC2688" i="1"/>
  <c r="DA2688" i="1"/>
  <c r="CY2688" i="1"/>
  <c r="Y2688" i="1" s="1"/>
  <c r="CW2688" i="1"/>
  <c r="AA2688" i="1" s="1"/>
  <c r="CR2688" i="1"/>
  <c r="CP2688" i="1"/>
  <c r="CN2688" i="1"/>
  <c r="CJ2688" i="1"/>
  <c r="CH2688" i="1"/>
  <c r="CF2688" i="1"/>
  <c r="BL2688" i="1"/>
  <c r="BD2688" i="1"/>
  <c r="AZ2688" i="1"/>
  <c r="AX2688" i="1"/>
  <c r="DC2682" i="1"/>
  <c r="DA2682" i="1"/>
  <c r="CY2682" i="1"/>
  <c r="Y2682" i="1" s="1"/>
  <c r="CW2682" i="1"/>
  <c r="AA2682" i="1" s="1"/>
  <c r="CR2682" i="1"/>
  <c r="CP2682" i="1"/>
  <c r="CN2682" i="1"/>
  <c r="CJ2682" i="1"/>
  <c r="CH2682" i="1"/>
  <c r="CF2682" i="1"/>
  <c r="BL2682" i="1"/>
  <c r="BD2682" i="1"/>
  <c r="AZ2682" i="1"/>
  <c r="AX2682" i="1"/>
  <c r="DC2671" i="1"/>
  <c r="DA2671" i="1"/>
  <c r="CY2671" i="1"/>
  <c r="Y2671" i="1" s="1"/>
  <c r="CW2671" i="1"/>
  <c r="AA2671" i="1" s="1"/>
  <c r="CR2671" i="1"/>
  <c r="CP2671" i="1"/>
  <c r="CN2671" i="1"/>
  <c r="CJ2671" i="1"/>
  <c r="CH2671" i="1"/>
  <c r="CF2671" i="1"/>
  <c r="BL2671" i="1"/>
  <c r="BD2671" i="1"/>
  <c r="AZ2671" i="1"/>
  <c r="AX2671" i="1"/>
  <c r="Z2710" i="1" l="1"/>
  <c r="Z2908" i="1"/>
  <c r="CU2908" i="1"/>
  <c r="X2908" i="1" s="1"/>
  <c r="Z2696" i="1"/>
  <c r="Z2709" i="1"/>
  <c r="Z2808" i="1"/>
  <c r="Z2685" i="1"/>
  <c r="Z2904" i="1"/>
  <c r="CU2696" i="1"/>
  <c r="X2696" i="1" s="1"/>
  <c r="CU2808" i="1"/>
  <c r="X2808" i="1" s="1"/>
  <c r="CU2709" i="1"/>
  <c r="X2709" i="1" s="1"/>
  <c r="CU2710" i="1"/>
  <c r="X2710" i="1" s="1"/>
  <c r="CU2904" i="1"/>
  <c r="X2904" i="1" s="1"/>
  <c r="CU2685" i="1"/>
  <c r="X2685" i="1" s="1"/>
  <c r="Z2695" i="1"/>
  <c r="Z2705" i="1"/>
  <c r="Z2692" i="1"/>
  <c r="Z2377" i="1"/>
  <c r="Z2711" i="1"/>
  <c r="Z2694" i="1"/>
  <c r="Z2699" i="1"/>
  <c r="Z2701" i="1"/>
  <c r="Z2707" i="1"/>
  <c r="Z2693" i="1"/>
  <c r="CU2692" i="1"/>
  <c r="X2692" i="1" s="1"/>
  <c r="CU2693" i="1"/>
  <c r="X2693" i="1" s="1"/>
  <c r="CU2695" i="1"/>
  <c r="X2695" i="1" s="1"/>
  <c r="CU2694" i="1"/>
  <c r="X2694" i="1" s="1"/>
  <c r="AD2694" i="1" s="1"/>
  <c r="CU2705" i="1"/>
  <c r="X2705" i="1" s="1"/>
  <c r="CU2707" i="1"/>
  <c r="X2707" i="1" s="1"/>
  <c r="CU2377" i="1"/>
  <c r="X2377" i="1" s="1"/>
  <c r="CU2701" i="1"/>
  <c r="X2701" i="1" s="1"/>
  <c r="CU2711" i="1"/>
  <c r="X2711" i="1" s="1"/>
  <c r="CU2699" i="1"/>
  <c r="X2699" i="1" s="1"/>
  <c r="Z2704" i="1"/>
  <c r="Z2686" i="1"/>
  <c r="Z2698" i="1"/>
  <c r="Z2706" i="1"/>
  <c r="Z2688" i="1"/>
  <c r="CU2689" i="1"/>
  <c r="X2689" i="1" s="1"/>
  <c r="Z2689" i="1"/>
  <c r="Z2671" i="1"/>
  <c r="Z2700" i="1"/>
  <c r="Z2697" i="1"/>
  <c r="Z2691" i="1"/>
  <c r="Z2702" i="1"/>
  <c r="Z2682" i="1"/>
  <c r="CU2686" i="1"/>
  <c r="X2686" i="1" s="1"/>
  <c r="CU2703" i="1"/>
  <c r="X2703" i="1" s="1"/>
  <c r="Z2703" i="1"/>
  <c r="CU2688" i="1"/>
  <c r="X2688" i="1" s="1"/>
  <c r="CU2704" i="1"/>
  <c r="X2704" i="1" s="1"/>
  <c r="CU2698" i="1"/>
  <c r="X2698" i="1" s="1"/>
  <c r="CU2671" i="1"/>
  <c r="X2671" i="1" s="1"/>
  <c r="CU2706" i="1"/>
  <c r="X2706" i="1" s="1"/>
  <c r="CU2691" i="1"/>
  <c r="X2691" i="1" s="1"/>
  <c r="CU2682" i="1"/>
  <c r="X2682" i="1" s="1"/>
  <c r="CU2697" i="1"/>
  <c r="X2697" i="1" s="1"/>
  <c r="CU2700" i="1"/>
  <c r="X2700" i="1" s="1"/>
  <c r="CU2702" i="1"/>
  <c r="X2702" i="1" s="1"/>
  <c r="DC2635" i="1"/>
  <c r="DA2635" i="1"/>
  <c r="CY2635" i="1"/>
  <c r="Y2635" i="1" s="1"/>
  <c r="CW2635" i="1"/>
  <c r="AA2635" i="1" s="1"/>
  <c r="CR2635" i="1"/>
  <c r="CP2635" i="1"/>
  <c r="CN2635" i="1"/>
  <c r="CJ2635" i="1"/>
  <c r="CH2635" i="1"/>
  <c r="CF2635" i="1"/>
  <c r="BL2635" i="1"/>
  <c r="BD2635" i="1"/>
  <c r="AZ2635" i="1"/>
  <c r="AX2635" i="1"/>
  <c r="DC2638" i="1"/>
  <c r="DA2638" i="1"/>
  <c r="CY2638" i="1"/>
  <c r="Y2638" i="1" s="1"/>
  <c r="CW2638" i="1"/>
  <c r="AA2638" i="1" s="1"/>
  <c r="CR2638" i="1"/>
  <c r="CP2638" i="1"/>
  <c r="CN2638" i="1"/>
  <c r="CJ2638" i="1"/>
  <c r="CH2638" i="1"/>
  <c r="CF2638" i="1"/>
  <c r="BL2638" i="1"/>
  <c r="BD2638" i="1"/>
  <c r="AZ2638" i="1"/>
  <c r="AX2638" i="1"/>
  <c r="DC2666" i="1"/>
  <c r="DA2666" i="1"/>
  <c r="CY2666" i="1"/>
  <c r="Y2666" i="1" s="1"/>
  <c r="CW2666" i="1"/>
  <c r="AA2666" i="1" s="1"/>
  <c r="CR2666" i="1"/>
  <c r="CP2666" i="1"/>
  <c r="CN2666" i="1"/>
  <c r="CJ2666" i="1"/>
  <c r="CH2666" i="1"/>
  <c r="CF2666" i="1"/>
  <c r="BL2666" i="1"/>
  <c r="BD2666" i="1"/>
  <c r="AZ2666" i="1"/>
  <c r="AX2666" i="1"/>
  <c r="DC2672" i="1"/>
  <c r="DA2672" i="1"/>
  <c r="CY2672" i="1"/>
  <c r="Y2672" i="1" s="1"/>
  <c r="CW2672" i="1"/>
  <c r="AA2672" i="1" s="1"/>
  <c r="CR2672" i="1"/>
  <c r="CP2672" i="1"/>
  <c r="CN2672" i="1"/>
  <c r="CJ2672" i="1"/>
  <c r="CH2672" i="1"/>
  <c r="CF2672" i="1"/>
  <c r="BL2672" i="1"/>
  <c r="BD2672" i="1"/>
  <c r="AZ2672" i="1"/>
  <c r="AX2672" i="1"/>
  <c r="Y2656" i="1"/>
  <c r="CW2656" i="1"/>
  <c r="AA2656" i="1" s="1"/>
  <c r="CR2656" i="1"/>
  <c r="CP2656" i="1"/>
  <c r="CN2656" i="1"/>
  <c r="CJ2656" i="1"/>
  <c r="CH2656" i="1"/>
  <c r="CF2656" i="1"/>
  <c r="BL2656" i="1"/>
  <c r="BD2656" i="1"/>
  <c r="AZ2656" i="1"/>
  <c r="AX2656" i="1"/>
  <c r="DC2678" i="1"/>
  <c r="DA2678" i="1"/>
  <c r="CY2678" i="1"/>
  <c r="Y2678" i="1" s="1"/>
  <c r="CW2678" i="1"/>
  <c r="AA2678" i="1" s="1"/>
  <c r="CR2678" i="1"/>
  <c r="CP2678" i="1"/>
  <c r="CN2678" i="1"/>
  <c r="CJ2678" i="1"/>
  <c r="CH2678" i="1"/>
  <c r="CF2678" i="1"/>
  <c r="BL2678" i="1"/>
  <c r="BD2678" i="1"/>
  <c r="AZ2678" i="1"/>
  <c r="AX2678" i="1"/>
  <c r="DC2677" i="1"/>
  <c r="DA2677" i="1"/>
  <c r="CY2677" i="1"/>
  <c r="Y2677" i="1" s="1"/>
  <c r="CW2677" i="1"/>
  <c r="AA2677" i="1" s="1"/>
  <c r="CR2677" i="1"/>
  <c r="CP2677" i="1"/>
  <c r="CN2677" i="1"/>
  <c r="CJ2677" i="1"/>
  <c r="CH2677" i="1"/>
  <c r="CF2677" i="1"/>
  <c r="BL2677" i="1"/>
  <c r="BD2677" i="1"/>
  <c r="AZ2677" i="1"/>
  <c r="AX2677" i="1"/>
  <c r="DC2674" i="1"/>
  <c r="DA2674" i="1"/>
  <c r="CY2674" i="1"/>
  <c r="Y2674" i="1" s="1"/>
  <c r="CW2674" i="1"/>
  <c r="AA2674" i="1" s="1"/>
  <c r="CR2674" i="1"/>
  <c r="CP2674" i="1"/>
  <c r="CN2674" i="1"/>
  <c r="CJ2674" i="1"/>
  <c r="CH2674" i="1"/>
  <c r="CF2674" i="1"/>
  <c r="BL2674" i="1"/>
  <c r="BD2674" i="1"/>
  <c r="AZ2674" i="1"/>
  <c r="AX2674" i="1"/>
  <c r="DC2676" i="1"/>
  <c r="DA2676" i="1"/>
  <c r="CY2676" i="1"/>
  <c r="Y2676" i="1" s="1"/>
  <c r="CW2676" i="1"/>
  <c r="AA2676" i="1" s="1"/>
  <c r="CR2676" i="1"/>
  <c r="CP2676" i="1"/>
  <c r="CN2676" i="1"/>
  <c r="CJ2676" i="1"/>
  <c r="CH2676" i="1"/>
  <c r="CF2676" i="1"/>
  <c r="BL2676" i="1"/>
  <c r="BD2676" i="1"/>
  <c r="AZ2676" i="1"/>
  <c r="AX2676" i="1"/>
  <c r="DC2673" i="1"/>
  <c r="DA2673" i="1"/>
  <c r="CY2673" i="1"/>
  <c r="Y2673" i="1" s="1"/>
  <c r="CW2673" i="1"/>
  <c r="AA2673" i="1" s="1"/>
  <c r="CR2673" i="1"/>
  <c r="CP2673" i="1"/>
  <c r="CN2673" i="1"/>
  <c r="CJ2673" i="1"/>
  <c r="CH2673" i="1"/>
  <c r="CF2673" i="1"/>
  <c r="BL2673" i="1"/>
  <c r="BD2673" i="1"/>
  <c r="AZ2673" i="1"/>
  <c r="AX2673" i="1"/>
  <c r="DC2668" i="1"/>
  <c r="DA2668" i="1"/>
  <c r="CY2668" i="1"/>
  <c r="Y2668" i="1" s="1"/>
  <c r="CW2668" i="1"/>
  <c r="AA2668" i="1" s="1"/>
  <c r="CR2668" i="1"/>
  <c r="CP2668" i="1"/>
  <c r="CN2668" i="1"/>
  <c r="CJ2668" i="1"/>
  <c r="CH2668" i="1"/>
  <c r="CF2668" i="1"/>
  <c r="BL2668" i="1"/>
  <c r="BD2668" i="1"/>
  <c r="AZ2668" i="1"/>
  <c r="AX2668" i="1"/>
  <c r="AD2808" i="1" l="1"/>
  <c r="AD2908" i="1"/>
  <c r="AD2710" i="1"/>
  <c r="AD2709" i="1"/>
  <c r="AD2696" i="1"/>
  <c r="AD2904" i="1"/>
  <c r="AD2704" i="1"/>
  <c r="AD2685" i="1"/>
  <c r="AD2695" i="1"/>
  <c r="AD2705" i="1"/>
  <c r="AD2692" i="1"/>
  <c r="AD2377" i="1"/>
  <c r="AD2699" i="1"/>
  <c r="AD2707" i="1"/>
  <c r="AD2711" i="1"/>
  <c r="AD2693" i="1"/>
  <c r="AD2701" i="1"/>
  <c r="AD2686" i="1"/>
  <c r="AD2689" i="1"/>
  <c r="AD2671" i="1"/>
  <c r="AD2702" i="1"/>
  <c r="AD2697" i="1"/>
  <c r="AD2706" i="1"/>
  <c r="AD2698" i="1"/>
  <c r="AD2682" i="1"/>
  <c r="AD2691" i="1"/>
  <c r="AD2688" i="1"/>
  <c r="AD2703" i="1"/>
  <c r="AD2700" i="1"/>
  <c r="Z2673" i="1"/>
  <c r="Z2666" i="1"/>
  <c r="Z2678" i="1"/>
  <c r="CU2676" i="1"/>
  <c r="X2676" i="1" s="1"/>
  <c r="Z2668" i="1"/>
  <c r="Z2677" i="1"/>
  <c r="Z2672" i="1"/>
  <c r="Z2674" i="1"/>
  <c r="Z2656" i="1"/>
  <c r="Z2635" i="1"/>
  <c r="Z2676" i="1"/>
  <c r="CU2638" i="1"/>
  <c r="X2638" i="1" s="1"/>
  <c r="Z2638" i="1"/>
  <c r="CU2672" i="1"/>
  <c r="X2672" i="1" s="1"/>
  <c r="CU2673" i="1"/>
  <c r="X2673" i="1" s="1"/>
  <c r="CU2678" i="1"/>
  <c r="X2678" i="1" s="1"/>
  <c r="CU2666" i="1"/>
  <c r="X2666" i="1" s="1"/>
  <c r="CU2668" i="1"/>
  <c r="X2668" i="1" s="1"/>
  <c r="CU2674" i="1"/>
  <c r="X2674" i="1" s="1"/>
  <c r="CU2656" i="1"/>
  <c r="X2656" i="1" s="1"/>
  <c r="CU2635" i="1"/>
  <c r="X2635" i="1" s="1"/>
  <c r="CU2677" i="1"/>
  <c r="X2677" i="1" s="1"/>
  <c r="AD2673" i="1" l="1"/>
  <c r="AD2674" i="1"/>
  <c r="AD2666" i="1"/>
  <c r="AD2678" i="1"/>
  <c r="AD2676" i="1"/>
  <c r="AD2638" i="1"/>
  <c r="AD2668" i="1"/>
  <c r="AD2635" i="1"/>
  <c r="AD2672" i="1"/>
  <c r="AD2677" i="1"/>
  <c r="AD2656" i="1"/>
  <c r="DC2690" i="1"/>
  <c r="DA2690" i="1"/>
  <c r="CY2690" i="1"/>
  <c r="Y2690" i="1" s="1"/>
  <c r="CW2690" i="1"/>
  <c r="AA2690" i="1" s="1"/>
  <c r="CR2690" i="1"/>
  <c r="CP2690" i="1"/>
  <c r="CN2690" i="1"/>
  <c r="CJ2690" i="1"/>
  <c r="CH2690" i="1"/>
  <c r="CF2690" i="1"/>
  <c r="BL2690" i="1"/>
  <c r="BD2690" i="1"/>
  <c r="AZ2690" i="1"/>
  <c r="AX2690" i="1"/>
  <c r="DC2679" i="1"/>
  <c r="DA2679" i="1"/>
  <c r="CY2679" i="1"/>
  <c r="Y2679" i="1" s="1"/>
  <c r="CW2679" i="1"/>
  <c r="AA2679" i="1" s="1"/>
  <c r="CR2679" i="1"/>
  <c r="CP2679" i="1"/>
  <c r="CN2679" i="1"/>
  <c r="CJ2679" i="1"/>
  <c r="CH2679" i="1"/>
  <c r="CF2679" i="1"/>
  <c r="BL2679" i="1"/>
  <c r="BD2679" i="1"/>
  <c r="AZ2679" i="1"/>
  <c r="AX2679" i="1"/>
  <c r="DC2681" i="1"/>
  <c r="DA2681" i="1"/>
  <c r="CY2681" i="1"/>
  <c r="Y2681" i="1" s="1"/>
  <c r="CW2681" i="1"/>
  <c r="AA2681" i="1" s="1"/>
  <c r="CR2681" i="1"/>
  <c r="CP2681" i="1"/>
  <c r="CN2681" i="1"/>
  <c r="CJ2681" i="1"/>
  <c r="CH2681" i="1"/>
  <c r="CF2681" i="1"/>
  <c r="BL2681" i="1"/>
  <c r="BD2681" i="1"/>
  <c r="AZ2681" i="1"/>
  <c r="AX2681" i="1"/>
  <c r="DC2684" i="1"/>
  <c r="DA2684" i="1"/>
  <c r="CY2684" i="1"/>
  <c r="Y2684" i="1" s="1"/>
  <c r="CW2684" i="1"/>
  <c r="AA2684" i="1" s="1"/>
  <c r="CR2684" i="1"/>
  <c r="CP2684" i="1"/>
  <c r="CN2684" i="1"/>
  <c r="CJ2684" i="1"/>
  <c r="CH2684" i="1"/>
  <c r="CF2684" i="1"/>
  <c r="BL2684" i="1"/>
  <c r="BD2684" i="1"/>
  <c r="AZ2684" i="1"/>
  <c r="AX2684" i="1"/>
  <c r="DC2675" i="1"/>
  <c r="DA2675" i="1"/>
  <c r="CY2675" i="1"/>
  <c r="Y2675" i="1" s="1"/>
  <c r="CW2675" i="1"/>
  <c r="AA2675" i="1" s="1"/>
  <c r="CR2675" i="1"/>
  <c r="CP2675" i="1"/>
  <c r="CN2675" i="1"/>
  <c r="CJ2675" i="1"/>
  <c r="CH2675" i="1"/>
  <c r="CF2675" i="1"/>
  <c r="BL2675" i="1"/>
  <c r="BD2675" i="1"/>
  <c r="AZ2675" i="1"/>
  <c r="AX2675" i="1"/>
  <c r="DC2683" i="1"/>
  <c r="DA2683" i="1"/>
  <c r="CY2683" i="1"/>
  <c r="Y2683" i="1" s="1"/>
  <c r="CW2683" i="1"/>
  <c r="AA2683" i="1" s="1"/>
  <c r="CR2683" i="1"/>
  <c r="CP2683" i="1"/>
  <c r="CN2683" i="1"/>
  <c r="CJ2683" i="1"/>
  <c r="CH2683" i="1"/>
  <c r="CF2683" i="1"/>
  <c r="BL2683" i="1"/>
  <c r="BD2683" i="1"/>
  <c r="AZ2683" i="1"/>
  <c r="AX2683" i="1"/>
  <c r="DC2680" i="1"/>
  <c r="DA2680" i="1"/>
  <c r="CY2680" i="1"/>
  <c r="Y2680" i="1" s="1"/>
  <c r="CW2680" i="1"/>
  <c r="AA2680" i="1" s="1"/>
  <c r="CR2680" i="1"/>
  <c r="CP2680" i="1"/>
  <c r="CN2680" i="1"/>
  <c r="CJ2680" i="1"/>
  <c r="CH2680" i="1"/>
  <c r="CF2680" i="1"/>
  <c r="BL2680" i="1"/>
  <c r="BD2680" i="1"/>
  <c r="AZ2680" i="1"/>
  <c r="AX2680" i="1"/>
  <c r="DC2670" i="1"/>
  <c r="DA2670" i="1"/>
  <c r="CY2670" i="1"/>
  <c r="Y2670" i="1" s="1"/>
  <c r="CW2670" i="1"/>
  <c r="AA2670" i="1" s="1"/>
  <c r="CR2670" i="1"/>
  <c r="CP2670" i="1"/>
  <c r="CN2670" i="1"/>
  <c r="CJ2670" i="1"/>
  <c r="CH2670" i="1"/>
  <c r="CF2670" i="1"/>
  <c r="BL2670" i="1"/>
  <c r="BD2670" i="1"/>
  <c r="AZ2670" i="1"/>
  <c r="AX2670" i="1"/>
  <c r="DC2669" i="1"/>
  <c r="DA2669" i="1"/>
  <c r="CY2669" i="1"/>
  <c r="Y2669" i="1" s="1"/>
  <c r="CW2669" i="1"/>
  <c r="AA2669" i="1" s="1"/>
  <c r="CR2669" i="1"/>
  <c r="CP2669" i="1"/>
  <c r="CN2669" i="1"/>
  <c r="CJ2669" i="1"/>
  <c r="CH2669" i="1"/>
  <c r="CF2669" i="1"/>
  <c r="BL2669" i="1"/>
  <c r="BD2669" i="1"/>
  <c r="AZ2669" i="1"/>
  <c r="AX2669" i="1"/>
  <c r="DC2663" i="1"/>
  <c r="DA2663" i="1"/>
  <c r="CY2663" i="1"/>
  <c r="Y2663" i="1" s="1"/>
  <c r="CW2663" i="1"/>
  <c r="AA2663" i="1" s="1"/>
  <c r="CR2663" i="1"/>
  <c r="CP2663" i="1"/>
  <c r="CN2663" i="1"/>
  <c r="CJ2663" i="1"/>
  <c r="CH2663" i="1"/>
  <c r="CF2663" i="1"/>
  <c r="BL2663" i="1"/>
  <c r="BD2663" i="1"/>
  <c r="AZ2663" i="1"/>
  <c r="AX2663" i="1"/>
  <c r="DC2664" i="1"/>
  <c r="DA2664" i="1"/>
  <c r="CY2664" i="1"/>
  <c r="Y2664" i="1" s="1"/>
  <c r="CW2664" i="1"/>
  <c r="AA2664" i="1" s="1"/>
  <c r="CR2664" i="1"/>
  <c r="CP2664" i="1"/>
  <c r="CN2664" i="1"/>
  <c r="CJ2664" i="1"/>
  <c r="CH2664" i="1"/>
  <c r="CF2664" i="1"/>
  <c r="BL2664" i="1"/>
  <c r="BD2664" i="1"/>
  <c r="AZ2664" i="1"/>
  <c r="AX2664" i="1"/>
  <c r="Z2663" i="1" l="1"/>
  <c r="CU2680" i="1"/>
  <c r="X2680" i="1" s="1"/>
  <c r="Z2690" i="1"/>
  <c r="Z2675" i="1"/>
  <c r="Z2664" i="1"/>
  <c r="Z2683" i="1"/>
  <c r="CU2690" i="1"/>
  <c r="X2690" i="1" s="1"/>
  <c r="Z2669" i="1"/>
  <c r="Z2681" i="1"/>
  <c r="CU2664" i="1"/>
  <c r="X2664" i="1" s="1"/>
  <c r="Z2670" i="1"/>
  <c r="Z2679" i="1"/>
  <c r="Z2680" i="1"/>
  <c r="CU2684" i="1"/>
  <c r="X2684" i="1" s="1"/>
  <c r="Z2684" i="1"/>
  <c r="CU2683" i="1"/>
  <c r="X2683" i="1" s="1"/>
  <c r="CU2669" i="1"/>
  <c r="X2669" i="1" s="1"/>
  <c r="CU2675" i="1"/>
  <c r="X2675" i="1" s="1"/>
  <c r="CU2681" i="1"/>
  <c r="X2681" i="1" s="1"/>
  <c r="CU2670" i="1"/>
  <c r="X2670" i="1" s="1"/>
  <c r="CU2679" i="1"/>
  <c r="X2679" i="1" s="1"/>
  <c r="CU2663" i="1"/>
  <c r="X2663" i="1" s="1"/>
  <c r="DC2647" i="1"/>
  <c r="DA2647" i="1"/>
  <c r="CY2647" i="1"/>
  <c r="Y2647" i="1" s="1"/>
  <c r="CW2647" i="1"/>
  <c r="AA2647" i="1" s="1"/>
  <c r="CR2647" i="1"/>
  <c r="CP2647" i="1"/>
  <c r="CN2647" i="1"/>
  <c r="CJ2647" i="1"/>
  <c r="CH2647" i="1"/>
  <c r="CF2647" i="1"/>
  <c r="BL2647" i="1"/>
  <c r="BD2647" i="1"/>
  <c r="AZ2647" i="1"/>
  <c r="AX2647" i="1"/>
  <c r="DC2640" i="1"/>
  <c r="DA2640" i="1"/>
  <c r="CY2640" i="1"/>
  <c r="Y2640" i="1" s="1"/>
  <c r="CW2640" i="1"/>
  <c r="AA2640" i="1" s="1"/>
  <c r="CR2640" i="1"/>
  <c r="CP2640" i="1"/>
  <c r="CN2640" i="1"/>
  <c r="CJ2640" i="1"/>
  <c r="CH2640" i="1"/>
  <c r="CF2640" i="1"/>
  <c r="BL2640" i="1"/>
  <c r="BD2640" i="1"/>
  <c r="AZ2640" i="1"/>
  <c r="AX2640" i="1"/>
  <c r="DC2639" i="1"/>
  <c r="DA2639" i="1"/>
  <c r="CY2639" i="1"/>
  <c r="Y2639" i="1" s="1"/>
  <c r="CW2639" i="1"/>
  <c r="AA2639" i="1" s="1"/>
  <c r="CR2639" i="1"/>
  <c r="CP2639" i="1"/>
  <c r="CN2639" i="1"/>
  <c r="CJ2639" i="1"/>
  <c r="CH2639" i="1"/>
  <c r="CF2639" i="1"/>
  <c r="BL2639" i="1"/>
  <c r="BD2639" i="1"/>
  <c r="AZ2639" i="1"/>
  <c r="AX2639" i="1"/>
  <c r="DC2643" i="1"/>
  <c r="DA2643" i="1"/>
  <c r="CY2643" i="1"/>
  <c r="Y2643" i="1" s="1"/>
  <c r="CW2643" i="1"/>
  <c r="AA2643" i="1" s="1"/>
  <c r="CR2643" i="1"/>
  <c r="CP2643" i="1"/>
  <c r="CN2643" i="1"/>
  <c r="CJ2643" i="1"/>
  <c r="CH2643" i="1"/>
  <c r="CF2643" i="1"/>
  <c r="BL2643" i="1"/>
  <c r="BD2643" i="1"/>
  <c r="AZ2643" i="1"/>
  <c r="AX2643" i="1"/>
  <c r="DC2645" i="1"/>
  <c r="DA2645" i="1"/>
  <c r="CY2645" i="1"/>
  <c r="Y2645" i="1" s="1"/>
  <c r="CW2645" i="1"/>
  <c r="AA2645" i="1" s="1"/>
  <c r="CR2645" i="1"/>
  <c r="CP2645" i="1"/>
  <c r="CN2645" i="1"/>
  <c r="CJ2645" i="1"/>
  <c r="CH2645" i="1"/>
  <c r="CF2645" i="1"/>
  <c r="BL2645" i="1"/>
  <c r="BD2645" i="1"/>
  <c r="AZ2645" i="1"/>
  <c r="AX2645" i="1"/>
  <c r="DC2644" i="1"/>
  <c r="DA2644" i="1"/>
  <c r="CY2644" i="1"/>
  <c r="Y2644" i="1" s="1"/>
  <c r="CW2644" i="1"/>
  <c r="AA2644" i="1" s="1"/>
  <c r="CR2644" i="1"/>
  <c r="CP2644" i="1"/>
  <c r="CN2644" i="1"/>
  <c r="CJ2644" i="1"/>
  <c r="CH2644" i="1"/>
  <c r="CF2644" i="1"/>
  <c r="BL2644" i="1"/>
  <c r="BD2644" i="1"/>
  <c r="AZ2644" i="1"/>
  <c r="AX2644" i="1"/>
  <c r="DC2642" i="1"/>
  <c r="DA2642" i="1"/>
  <c r="CY2642" i="1"/>
  <c r="Y2642" i="1" s="1"/>
  <c r="CW2642" i="1"/>
  <c r="AA2642" i="1" s="1"/>
  <c r="CR2642" i="1"/>
  <c r="CP2642" i="1"/>
  <c r="CN2642" i="1"/>
  <c r="CJ2642" i="1"/>
  <c r="CH2642" i="1"/>
  <c r="CF2642" i="1"/>
  <c r="BL2642" i="1"/>
  <c r="BD2642" i="1"/>
  <c r="AZ2642" i="1"/>
  <c r="AX2642" i="1"/>
  <c r="DC2641" i="1"/>
  <c r="DA2641" i="1"/>
  <c r="CY2641" i="1"/>
  <c r="Y2641" i="1" s="1"/>
  <c r="CW2641" i="1"/>
  <c r="AA2641" i="1" s="1"/>
  <c r="CR2641" i="1"/>
  <c r="CP2641" i="1"/>
  <c r="CN2641" i="1"/>
  <c r="CJ2641" i="1"/>
  <c r="CH2641" i="1"/>
  <c r="CF2641" i="1"/>
  <c r="BL2641" i="1"/>
  <c r="BD2641" i="1"/>
  <c r="AZ2641" i="1"/>
  <c r="AX2641" i="1"/>
  <c r="DC2637" i="1"/>
  <c r="DA2637" i="1"/>
  <c r="CY2637" i="1"/>
  <c r="Y2637" i="1" s="1"/>
  <c r="CW2637" i="1"/>
  <c r="AA2637" i="1" s="1"/>
  <c r="CR2637" i="1"/>
  <c r="CP2637" i="1"/>
  <c r="CN2637" i="1"/>
  <c r="CJ2637" i="1"/>
  <c r="CH2637" i="1"/>
  <c r="CF2637" i="1"/>
  <c r="BL2637" i="1"/>
  <c r="BD2637" i="1"/>
  <c r="AZ2637" i="1"/>
  <c r="AX2637" i="1"/>
  <c r="DC2636" i="1"/>
  <c r="DA2636" i="1"/>
  <c r="CY2636" i="1"/>
  <c r="Y2636" i="1" s="1"/>
  <c r="CW2636" i="1"/>
  <c r="AA2636" i="1" s="1"/>
  <c r="CR2636" i="1"/>
  <c r="CP2636" i="1"/>
  <c r="CN2636" i="1"/>
  <c r="CJ2636" i="1"/>
  <c r="CH2636" i="1"/>
  <c r="CF2636" i="1"/>
  <c r="BL2636" i="1"/>
  <c r="BD2636" i="1"/>
  <c r="AZ2636" i="1"/>
  <c r="AX2636" i="1"/>
  <c r="DC2633" i="1"/>
  <c r="DA2633" i="1"/>
  <c r="CY2633" i="1"/>
  <c r="Y2633" i="1" s="1"/>
  <c r="CW2633" i="1"/>
  <c r="AA2633" i="1" s="1"/>
  <c r="CR2633" i="1"/>
  <c r="CP2633" i="1"/>
  <c r="CN2633" i="1"/>
  <c r="CJ2633" i="1"/>
  <c r="CH2633" i="1"/>
  <c r="CF2633" i="1"/>
  <c r="BL2633" i="1"/>
  <c r="BD2633" i="1"/>
  <c r="AZ2633" i="1"/>
  <c r="AX2633" i="1"/>
  <c r="DC2646" i="1"/>
  <c r="DA2646" i="1"/>
  <c r="CY2646" i="1"/>
  <c r="Y2646" i="1" s="1"/>
  <c r="CW2646" i="1"/>
  <c r="AA2646" i="1" s="1"/>
  <c r="CR2646" i="1"/>
  <c r="CP2646" i="1"/>
  <c r="CN2646" i="1"/>
  <c r="CJ2646" i="1"/>
  <c r="CH2646" i="1"/>
  <c r="CF2646" i="1"/>
  <c r="BL2646" i="1"/>
  <c r="BD2646" i="1"/>
  <c r="AZ2646" i="1"/>
  <c r="AX2646" i="1"/>
  <c r="DC2651" i="1"/>
  <c r="DA2651" i="1"/>
  <c r="CY2651" i="1"/>
  <c r="Y2651" i="1" s="1"/>
  <c r="CW2651" i="1"/>
  <c r="AA2651" i="1" s="1"/>
  <c r="CR2651" i="1"/>
  <c r="CP2651" i="1"/>
  <c r="CN2651" i="1"/>
  <c r="CJ2651" i="1"/>
  <c r="CH2651" i="1"/>
  <c r="CF2651" i="1"/>
  <c r="BL2651" i="1"/>
  <c r="BD2651" i="1"/>
  <c r="AZ2651" i="1"/>
  <c r="AX2651" i="1"/>
  <c r="DC2650" i="1"/>
  <c r="DA2650" i="1"/>
  <c r="CY2650" i="1"/>
  <c r="Y2650" i="1" s="1"/>
  <c r="CW2650" i="1"/>
  <c r="AA2650" i="1" s="1"/>
  <c r="CR2650" i="1"/>
  <c r="CP2650" i="1"/>
  <c r="CN2650" i="1"/>
  <c r="CJ2650" i="1"/>
  <c r="CH2650" i="1"/>
  <c r="CF2650" i="1"/>
  <c r="BL2650" i="1"/>
  <c r="BD2650" i="1"/>
  <c r="AZ2650" i="1"/>
  <c r="AX2650" i="1"/>
  <c r="DC2648" i="1"/>
  <c r="DA2648" i="1"/>
  <c r="CY2648" i="1"/>
  <c r="Y2648" i="1" s="1"/>
  <c r="CW2648" i="1"/>
  <c r="AA2648" i="1" s="1"/>
  <c r="CR2648" i="1"/>
  <c r="CP2648" i="1"/>
  <c r="CN2648" i="1"/>
  <c r="CJ2648" i="1"/>
  <c r="CH2648" i="1"/>
  <c r="CF2648" i="1"/>
  <c r="BL2648" i="1"/>
  <c r="BD2648" i="1"/>
  <c r="AZ2648" i="1"/>
  <c r="AX2648" i="1"/>
  <c r="DC2649" i="1"/>
  <c r="DA2649" i="1"/>
  <c r="CY2649" i="1"/>
  <c r="Y2649" i="1" s="1"/>
  <c r="CW2649" i="1"/>
  <c r="AA2649" i="1" s="1"/>
  <c r="CR2649" i="1"/>
  <c r="CP2649" i="1"/>
  <c r="CN2649" i="1"/>
  <c r="CJ2649" i="1"/>
  <c r="CH2649" i="1"/>
  <c r="CF2649" i="1"/>
  <c r="BL2649" i="1"/>
  <c r="BD2649" i="1"/>
  <c r="AZ2649" i="1"/>
  <c r="AX2649" i="1"/>
  <c r="AD2690" i="1" l="1"/>
  <c r="AD2669" i="1"/>
  <c r="AD2670" i="1"/>
  <c r="AD2680" i="1"/>
  <c r="AD2683" i="1"/>
  <c r="AD2679" i="1"/>
  <c r="AD2675" i="1"/>
  <c r="AD2663" i="1"/>
  <c r="AD2664" i="1"/>
  <c r="AD2681" i="1"/>
  <c r="AD2684" i="1"/>
  <c r="CU2648" i="1"/>
  <c r="X2648" i="1" s="1"/>
  <c r="CU2646" i="1"/>
  <c r="X2646" i="1" s="1"/>
  <c r="CU2636" i="1"/>
  <c r="X2636" i="1" s="1"/>
  <c r="CU2644" i="1"/>
  <c r="X2644" i="1" s="1"/>
  <c r="CU2651" i="1"/>
  <c r="X2651" i="1" s="1"/>
  <c r="CU2641" i="1"/>
  <c r="X2641" i="1" s="1"/>
  <c r="CU2643" i="1"/>
  <c r="X2643" i="1" s="1"/>
  <c r="CU2650" i="1"/>
  <c r="X2650" i="1" s="1"/>
  <c r="CU2645" i="1"/>
  <c r="X2645" i="1" s="1"/>
  <c r="CU2640" i="1"/>
  <c r="X2640" i="1" s="1"/>
  <c r="CU2639" i="1"/>
  <c r="X2639" i="1" s="1"/>
  <c r="CU2649" i="1"/>
  <c r="X2649" i="1" s="1"/>
  <c r="CU2633" i="1"/>
  <c r="X2633" i="1" s="1"/>
  <c r="CU2642" i="1"/>
  <c r="X2642" i="1" s="1"/>
  <c r="Z2649" i="1"/>
  <c r="Z2648" i="1"/>
  <c r="Z2650" i="1"/>
  <c r="Z2651" i="1"/>
  <c r="Z2646" i="1"/>
  <c r="Z2633" i="1"/>
  <c r="Z2636" i="1"/>
  <c r="Z2637" i="1"/>
  <c r="Z2641" i="1"/>
  <c r="Z2642" i="1"/>
  <c r="Z2644" i="1"/>
  <c r="Z2645" i="1"/>
  <c r="Z2643" i="1"/>
  <c r="Z2639" i="1"/>
  <c r="Z2640" i="1"/>
  <c r="Z2647" i="1"/>
  <c r="CU2637" i="1"/>
  <c r="X2637" i="1" s="1"/>
  <c r="CU2647" i="1"/>
  <c r="X2647" i="1" s="1"/>
  <c r="DC2659" i="1"/>
  <c r="DA2659" i="1"/>
  <c r="CY2659" i="1"/>
  <c r="Y2659" i="1" s="1"/>
  <c r="CW2659" i="1"/>
  <c r="AA2659" i="1" s="1"/>
  <c r="CR2659" i="1"/>
  <c r="CP2659" i="1"/>
  <c r="CN2659" i="1"/>
  <c r="CJ2659" i="1"/>
  <c r="CH2659" i="1"/>
  <c r="CF2659" i="1"/>
  <c r="BL2659" i="1"/>
  <c r="BD2659" i="1"/>
  <c r="AZ2659" i="1"/>
  <c r="AX2659" i="1"/>
  <c r="DC2653" i="1"/>
  <c r="DA2653" i="1"/>
  <c r="CY2653" i="1"/>
  <c r="Y2653" i="1" s="1"/>
  <c r="CW2653" i="1"/>
  <c r="AA2653" i="1" s="1"/>
  <c r="CR2653" i="1"/>
  <c r="CP2653" i="1"/>
  <c r="CN2653" i="1"/>
  <c r="CJ2653" i="1"/>
  <c r="CH2653" i="1"/>
  <c r="CF2653" i="1"/>
  <c r="BL2653" i="1"/>
  <c r="BD2653" i="1"/>
  <c r="AZ2653" i="1"/>
  <c r="AX2653" i="1"/>
  <c r="DC2652" i="1"/>
  <c r="DA2652" i="1"/>
  <c r="CY2652" i="1"/>
  <c r="Y2652" i="1" s="1"/>
  <c r="CW2652" i="1"/>
  <c r="AA2652" i="1" s="1"/>
  <c r="CR2652" i="1"/>
  <c r="CP2652" i="1"/>
  <c r="CN2652" i="1"/>
  <c r="CJ2652" i="1"/>
  <c r="CH2652" i="1"/>
  <c r="CF2652" i="1"/>
  <c r="BL2652" i="1"/>
  <c r="BD2652" i="1"/>
  <c r="AZ2652" i="1"/>
  <c r="AX2652" i="1"/>
  <c r="DC2634" i="1"/>
  <c r="DA2634" i="1"/>
  <c r="CY2634" i="1"/>
  <c r="Y2634" i="1" s="1"/>
  <c r="CW2634" i="1"/>
  <c r="AA2634" i="1" s="1"/>
  <c r="CR2634" i="1"/>
  <c r="CP2634" i="1"/>
  <c r="CN2634" i="1"/>
  <c r="CJ2634" i="1"/>
  <c r="CH2634" i="1"/>
  <c r="CF2634" i="1"/>
  <c r="BL2634" i="1"/>
  <c r="BD2634" i="1"/>
  <c r="AZ2634" i="1"/>
  <c r="AX2634" i="1"/>
  <c r="DC2618" i="1"/>
  <c r="DA2618" i="1"/>
  <c r="CY2618" i="1"/>
  <c r="Y2618" i="1" s="1"/>
  <c r="CW2618" i="1"/>
  <c r="AA2618" i="1" s="1"/>
  <c r="CR2618" i="1"/>
  <c r="CP2618" i="1"/>
  <c r="CN2618" i="1"/>
  <c r="CJ2618" i="1"/>
  <c r="CH2618" i="1"/>
  <c r="CF2618" i="1"/>
  <c r="BL2618" i="1"/>
  <c r="BD2618" i="1"/>
  <c r="AZ2618" i="1"/>
  <c r="AX2618" i="1"/>
  <c r="DC2631" i="1"/>
  <c r="DA2631" i="1"/>
  <c r="CY2631" i="1"/>
  <c r="Y2631" i="1" s="1"/>
  <c r="CW2631" i="1"/>
  <c r="AA2631" i="1" s="1"/>
  <c r="CR2631" i="1"/>
  <c r="CP2631" i="1"/>
  <c r="CN2631" i="1"/>
  <c r="CJ2631" i="1"/>
  <c r="CH2631" i="1"/>
  <c r="CF2631" i="1"/>
  <c r="BL2631" i="1"/>
  <c r="BD2631" i="1"/>
  <c r="AZ2631" i="1"/>
  <c r="AX2631" i="1"/>
  <c r="DC2623" i="1"/>
  <c r="DA2623" i="1"/>
  <c r="CY2623" i="1"/>
  <c r="Y2623" i="1" s="1"/>
  <c r="CW2623" i="1"/>
  <c r="AA2623" i="1" s="1"/>
  <c r="CR2623" i="1"/>
  <c r="CP2623" i="1"/>
  <c r="CN2623" i="1"/>
  <c r="CJ2623" i="1"/>
  <c r="CH2623" i="1"/>
  <c r="CF2623" i="1"/>
  <c r="BL2623" i="1"/>
  <c r="BD2623" i="1"/>
  <c r="AZ2623" i="1"/>
  <c r="AX2623" i="1"/>
  <c r="DC2622" i="1"/>
  <c r="DA2622" i="1"/>
  <c r="CY2622" i="1"/>
  <c r="Y2622" i="1" s="1"/>
  <c r="CW2622" i="1"/>
  <c r="AA2622" i="1" s="1"/>
  <c r="CR2622" i="1"/>
  <c r="CP2622" i="1"/>
  <c r="CN2622" i="1"/>
  <c r="CJ2622" i="1"/>
  <c r="CH2622" i="1"/>
  <c r="CF2622" i="1"/>
  <c r="BL2622" i="1"/>
  <c r="BD2622" i="1"/>
  <c r="AZ2622" i="1"/>
  <c r="AX2622" i="1"/>
  <c r="DC2627" i="1"/>
  <c r="DA2627" i="1"/>
  <c r="CY2627" i="1"/>
  <c r="Y2627" i="1" s="1"/>
  <c r="CW2627" i="1"/>
  <c r="AA2627" i="1" s="1"/>
  <c r="CR2627" i="1"/>
  <c r="CP2627" i="1"/>
  <c r="CN2627" i="1"/>
  <c r="CJ2627" i="1"/>
  <c r="CH2627" i="1"/>
  <c r="CF2627" i="1"/>
  <c r="BL2627" i="1"/>
  <c r="BD2627" i="1"/>
  <c r="AZ2627" i="1"/>
  <c r="AX2627" i="1"/>
  <c r="DC2624" i="1"/>
  <c r="DA2624" i="1"/>
  <c r="CY2624" i="1"/>
  <c r="Y2624" i="1" s="1"/>
  <c r="CW2624" i="1"/>
  <c r="AA2624" i="1" s="1"/>
  <c r="CR2624" i="1"/>
  <c r="CP2624" i="1"/>
  <c r="CN2624" i="1"/>
  <c r="CJ2624" i="1"/>
  <c r="CH2624" i="1"/>
  <c r="CF2624" i="1"/>
  <c r="BL2624" i="1"/>
  <c r="BD2624" i="1"/>
  <c r="AZ2624" i="1"/>
  <c r="AX2624" i="1"/>
  <c r="DC2632" i="1"/>
  <c r="DA2632" i="1"/>
  <c r="CY2632" i="1"/>
  <c r="Y2632" i="1" s="1"/>
  <c r="CW2632" i="1"/>
  <c r="AA2632" i="1" s="1"/>
  <c r="CR2632" i="1"/>
  <c r="CP2632" i="1"/>
  <c r="CN2632" i="1"/>
  <c r="CJ2632" i="1"/>
  <c r="CH2632" i="1"/>
  <c r="CF2632" i="1"/>
  <c r="BL2632" i="1"/>
  <c r="BD2632" i="1"/>
  <c r="AZ2632" i="1"/>
  <c r="AX2632" i="1"/>
  <c r="DC2630" i="1"/>
  <c r="DA2630" i="1"/>
  <c r="CY2630" i="1"/>
  <c r="Y2630" i="1" s="1"/>
  <c r="CW2630" i="1"/>
  <c r="AA2630" i="1" s="1"/>
  <c r="CR2630" i="1"/>
  <c r="CP2630" i="1"/>
  <c r="CN2630" i="1"/>
  <c r="CJ2630" i="1"/>
  <c r="CH2630" i="1"/>
  <c r="CF2630" i="1"/>
  <c r="BL2630" i="1"/>
  <c r="BD2630" i="1"/>
  <c r="AZ2630" i="1"/>
  <c r="AX2630" i="1"/>
  <c r="DC2628" i="1"/>
  <c r="DA2628" i="1"/>
  <c r="CY2628" i="1"/>
  <c r="Y2628" i="1" s="1"/>
  <c r="CW2628" i="1"/>
  <c r="AA2628" i="1" s="1"/>
  <c r="CR2628" i="1"/>
  <c r="CP2628" i="1"/>
  <c r="CN2628" i="1"/>
  <c r="CJ2628" i="1"/>
  <c r="CH2628" i="1"/>
  <c r="CF2628" i="1"/>
  <c r="BL2628" i="1"/>
  <c r="BD2628" i="1"/>
  <c r="AZ2628" i="1"/>
  <c r="AX2628" i="1"/>
  <c r="DC2629" i="1"/>
  <c r="DA2629" i="1"/>
  <c r="CY2629" i="1"/>
  <c r="Y2629" i="1" s="1"/>
  <c r="CW2629" i="1"/>
  <c r="AA2629" i="1" s="1"/>
  <c r="CR2629" i="1"/>
  <c r="CP2629" i="1"/>
  <c r="CN2629" i="1"/>
  <c r="CJ2629" i="1"/>
  <c r="CH2629" i="1"/>
  <c r="CF2629" i="1"/>
  <c r="BL2629" i="1"/>
  <c r="BD2629" i="1"/>
  <c r="AZ2629" i="1"/>
  <c r="AX2629" i="1"/>
  <c r="CY2352" i="1"/>
  <c r="CW2352" i="1"/>
  <c r="CR2352" i="1"/>
  <c r="CN2352" i="1"/>
  <c r="CJ2352" i="1"/>
  <c r="CH2352" i="1"/>
  <c r="CF2352" i="1"/>
  <c r="BL2352" i="1"/>
  <c r="BD2352" i="1"/>
  <c r="AZ2352" i="1"/>
  <c r="AX2352" i="1"/>
  <c r="DA1943" i="1"/>
  <c r="CW1943" i="1"/>
  <c r="CR1943" i="1"/>
  <c r="CP1943" i="1"/>
  <c r="CN1943" i="1"/>
  <c r="CJ1943" i="1"/>
  <c r="CH1943" i="1"/>
  <c r="CF1943" i="1"/>
  <c r="BL1943" i="1"/>
  <c r="BD1943" i="1"/>
  <c r="AZ1943" i="1"/>
  <c r="AX1943" i="1"/>
  <c r="DB1562" i="1"/>
  <c r="CW1562" i="1"/>
  <c r="CR1562" i="1"/>
  <c r="CN1562" i="1"/>
  <c r="CJ1562" i="1"/>
  <c r="CH1562" i="1"/>
  <c r="CF1562" i="1"/>
  <c r="BL1562" i="1"/>
  <c r="BD1562" i="1"/>
  <c r="AZ1562" i="1"/>
  <c r="AX1562" i="1"/>
  <c r="DA2201" i="1"/>
  <c r="CW2201" i="1"/>
  <c r="CN2201" i="1"/>
  <c r="CH2201" i="1"/>
  <c r="CF2201" i="1"/>
  <c r="BL2201" i="1"/>
  <c r="BD2201" i="1"/>
  <c r="AX2201" i="1"/>
  <c r="CW2410" i="1"/>
  <c r="CN2410" i="1"/>
  <c r="CJ2410" i="1"/>
  <c r="CH2410" i="1"/>
  <c r="CF2410" i="1"/>
  <c r="BL2410" i="1"/>
  <c r="BD2410" i="1"/>
  <c r="AX2410" i="1"/>
  <c r="CW2395" i="1"/>
  <c r="CN2395" i="1"/>
  <c r="CH2395" i="1"/>
  <c r="CF2395" i="1"/>
  <c r="BL2395" i="1"/>
  <c r="BD2395" i="1"/>
  <c r="AX2395" i="1"/>
  <c r="DA2509" i="1"/>
  <c r="CY2509" i="1"/>
  <c r="CW2509" i="1"/>
  <c r="CR2509" i="1"/>
  <c r="CP2509" i="1"/>
  <c r="CN2509" i="1"/>
  <c r="CJ2509" i="1"/>
  <c r="CH2509" i="1"/>
  <c r="CF2509" i="1"/>
  <c r="BL2509" i="1"/>
  <c r="BD2509" i="1"/>
  <c r="AZ2509" i="1"/>
  <c r="AX2509" i="1"/>
  <c r="DA2578" i="1"/>
  <c r="CN2578" i="1"/>
  <c r="CH2578" i="1"/>
  <c r="CF2578" i="1"/>
  <c r="BL2578" i="1"/>
  <c r="BD2578" i="1"/>
  <c r="AX2578" i="1"/>
  <c r="AD2639" i="1" l="1"/>
  <c r="Z2623" i="1"/>
  <c r="AD2651" i="1"/>
  <c r="AD2648" i="1"/>
  <c r="AD2649" i="1"/>
  <c r="AD2644" i="1"/>
  <c r="AD2637" i="1"/>
  <c r="AD2636" i="1"/>
  <c r="AD2646" i="1"/>
  <c r="AD2641" i="1"/>
  <c r="AD2645" i="1"/>
  <c r="AD2640" i="1"/>
  <c r="AD2642" i="1"/>
  <c r="AD2633" i="1"/>
  <c r="AD2643" i="1"/>
  <c r="AD2647" i="1"/>
  <c r="AD2650" i="1"/>
  <c r="Z2631" i="1"/>
  <c r="Z2629" i="1"/>
  <c r="Z2624" i="1"/>
  <c r="Z2632" i="1"/>
  <c r="Z2622" i="1"/>
  <c r="Z2652" i="1"/>
  <c r="Z2653" i="1"/>
  <c r="Z2659" i="1"/>
  <c r="Z2618" i="1"/>
  <c r="CU2622" i="1"/>
  <c r="X2622" i="1" s="1"/>
  <c r="CU2630" i="1"/>
  <c r="X2630" i="1" s="1"/>
  <c r="Z2630" i="1"/>
  <c r="Z2634" i="1"/>
  <c r="CU2652" i="1"/>
  <c r="X2652" i="1" s="1"/>
  <c r="Z2627" i="1"/>
  <c r="Z2628" i="1"/>
  <c r="CU2632" i="1"/>
  <c r="X2632" i="1" s="1"/>
  <c r="CU2623" i="1"/>
  <c r="X2623" i="1" s="1"/>
  <c r="CU2629" i="1"/>
  <c r="X2629" i="1" s="1"/>
  <c r="CU2624" i="1"/>
  <c r="X2624" i="1" s="1"/>
  <c r="CU2631" i="1"/>
  <c r="X2631" i="1" s="1"/>
  <c r="CU2653" i="1"/>
  <c r="X2653" i="1" s="1"/>
  <c r="CU2628" i="1"/>
  <c r="X2628" i="1" s="1"/>
  <c r="CU2627" i="1"/>
  <c r="X2627" i="1" s="1"/>
  <c r="CU2618" i="1"/>
  <c r="X2618" i="1" s="1"/>
  <c r="CU2659" i="1"/>
  <c r="X2659" i="1" s="1"/>
  <c r="CU2634" i="1"/>
  <c r="X2634" i="1" s="1"/>
  <c r="CU1943" i="1"/>
  <c r="CU2352" i="1"/>
  <c r="CU1562" i="1"/>
  <c r="CU2410" i="1"/>
  <c r="CU2395" i="1"/>
  <c r="CU2201" i="1"/>
  <c r="CU2509" i="1"/>
  <c r="CU2578" i="1"/>
  <c r="DC2660" i="1"/>
  <c r="DA2660" i="1"/>
  <c r="CY2660" i="1"/>
  <c r="Y2660" i="1" s="1"/>
  <c r="CW2660" i="1"/>
  <c r="AA2660" i="1" s="1"/>
  <c r="CR2660" i="1"/>
  <c r="CP2660" i="1"/>
  <c r="CN2660" i="1"/>
  <c r="CJ2660" i="1"/>
  <c r="CH2660" i="1"/>
  <c r="CF2660" i="1"/>
  <c r="BL2660" i="1"/>
  <c r="BD2660" i="1"/>
  <c r="AZ2660" i="1"/>
  <c r="AX2660" i="1"/>
  <c r="DC2667" i="1"/>
  <c r="DA2667" i="1"/>
  <c r="CY2667" i="1"/>
  <c r="Y2667" i="1" s="1"/>
  <c r="CW2667" i="1"/>
  <c r="AA2667" i="1" s="1"/>
  <c r="CR2667" i="1"/>
  <c r="CP2667" i="1"/>
  <c r="CN2667" i="1"/>
  <c r="CJ2667" i="1"/>
  <c r="CH2667" i="1"/>
  <c r="CF2667" i="1"/>
  <c r="BL2667" i="1"/>
  <c r="BD2667" i="1"/>
  <c r="AZ2667" i="1"/>
  <c r="AX2667" i="1"/>
  <c r="DC2658" i="1"/>
  <c r="DA2658" i="1"/>
  <c r="CY2658" i="1"/>
  <c r="Y2658" i="1" s="1"/>
  <c r="CW2658" i="1"/>
  <c r="AA2658" i="1" s="1"/>
  <c r="CR2658" i="1"/>
  <c r="CP2658" i="1"/>
  <c r="CN2658" i="1"/>
  <c r="CJ2658" i="1"/>
  <c r="CH2658" i="1"/>
  <c r="CF2658" i="1"/>
  <c r="BL2658" i="1"/>
  <c r="BD2658" i="1"/>
  <c r="AZ2658" i="1"/>
  <c r="AX2658" i="1"/>
  <c r="DC2626" i="1"/>
  <c r="DA2626" i="1"/>
  <c r="CY2626" i="1"/>
  <c r="Y2626" i="1" s="1"/>
  <c r="CW2626" i="1"/>
  <c r="AA2626" i="1" s="1"/>
  <c r="CR2626" i="1"/>
  <c r="CP2626" i="1"/>
  <c r="CN2626" i="1"/>
  <c r="CJ2626" i="1"/>
  <c r="CH2626" i="1"/>
  <c r="CF2626" i="1"/>
  <c r="BL2626" i="1"/>
  <c r="BD2626" i="1"/>
  <c r="AZ2626" i="1"/>
  <c r="AX2626" i="1"/>
  <c r="DC2625" i="1"/>
  <c r="DA2625" i="1"/>
  <c r="CY2625" i="1"/>
  <c r="Y2625" i="1" s="1"/>
  <c r="CW2625" i="1"/>
  <c r="AA2625" i="1" s="1"/>
  <c r="CR2625" i="1"/>
  <c r="CP2625" i="1"/>
  <c r="CN2625" i="1"/>
  <c r="CJ2625" i="1"/>
  <c r="CH2625" i="1"/>
  <c r="CF2625" i="1"/>
  <c r="BL2625" i="1"/>
  <c r="BD2625" i="1"/>
  <c r="AZ2625" i="1"/>
  <c r="AX2625" i="1"/>
  <c r="DC2657" i="1"/>
  <c r="DA2657" i="1"/>
  <c r="CY2657" i="1"/>
  <c r="Y2657" i="1" s="1"/>
  <c r="CW2657" i="1"/>
  <c r="AA2657" i="1" s="1"/>
  <c r="CR2657" i="1"/>
  <c r="CP2657" i="1"/>
  <c r="CN2657" i="1"/>
  <c r="CJ2657" i="1"/>
  <c r="CH2657" i="1"/>
  <c r="CF2657" i="1"/>
  <c r="BL2657" i="1"/>
  <c r="BD2657" i="1"/>
  <c r="AZ2657" i="1"/>
  <c r="AX2657" i="1"/>
  <c r="Y2655" i="1"/>
  <c r="CW2655" i="1"/>
  <c r="AA2655" i="1" s="1"/>
  <c r="CR2655" i="1"/>
  <c r="CP2655" i="1"/>
  <c r="CN2655" i="1"/>
  <c r="CJ2655" i="1"/>
  <c r="CH2655" i="1"/>
  <c r="CF2655" i="1"/>
  <c r="BL2655" i="1"/>
  <c r="BD2655" i="1"/>
  <c r="AZ2655" i="1"/>
  <c r="AX2655" i="1"/>
  <c r="DC2567" i="1"/>
  <c r="CY2567" i="1"/>
  <c r="Y2567" i="1" s="1"/>
  <c r="CW2567" i="1"/>
  <c r="AA2567" i="1" s="1"/>
  <c r="CR2567" i="1"/>
  <c r="CP2567" i="1"/>
  <c r="CN2567" i="1"/>
  <c r="CJ2567" i="1"/>
  <c r="CH2567" i="1"/>
  <c r="CF2567" i="1"/>
  <c r="BL2567" i="1"/>
  <c r="BD2567" i="1"/>
  <c r="AZ2567" i="1"/>
  <c r="AX2567" i="1"/>
  <c r="DC2621" i="1"/>
  <c r="DA2621" i="1"/>
  <c r="CY2621" i="1"/>
  <c r="Y2621" i="1" s="1"/>
  <c r="CW2621" i="1"/>
  <c r="AA2621" i="1" s="1"/>
  <c r="CR2621" i="1"/>
  <c r="CP2621" i="1"/>
  <c r="CN2621" i="1"/>
  <c r="CJ2621" i="1"/>
  <c r="CH2621" i="1"/>
  <c r="CF2621" i="1"/>
  <c r="BL2621" i="1"/>
  <c r="BD2621" i="1"/>
  <c r="AZ2621" i="1"/>
  <c r="AX2621" i="1"/>
  <c r="DC2620" i="1"/>
  <c r="DA2620" i="1"/>
  <c r="CY2620" i="1"/>
  <c r="Y2620" i="1" s="1"/>
  <c r="CW2620" i="1"/>
  <c r="AA2620" i="1" s="1"/>
  <c r="CR2620" i="1"/>
  <c r="CP2620" i="1"/>
  <c r="CN2620" i="1"/>
  <c r="CJ2620" i="1"/>
  <c r="CH2620" i="1"/>
  <c r="CF2620" i="1"/>
  <c r="BL2620" i="1"/>
  <c r="BD2620" i="1"/>
  <c r="AZ2620" i="1"/>
  <c r="AX2620" i="1"/>
  <c r="AD2653" i="1" l="1"/>
  <c r="AD2623" i="1"/>
  <c r="Z2655" i="1"/>
  <c r="Z2625" i="1"/>
  <c r="AD2631" i="1"/>
  <c r="AD2629" i="1"/>
  <c r="AD2624" i="1"/>
  <c r="AD2622" i="1"/>
  <c r="AD2659" i="1"/>
  <c r="AD2634" i="1"/>
  <c r="AD2628" i="1"/>
  <c r="AD2618" i="1"/>
  <c r="AD2632" i="1"/>
  <c r="AD2652" i="1"/>
  <c r="AD2630" i="1"/>
  <c r="AD2627" i="1"/>
  <c r="Z2660" i="1"/>
  <c r="Z2620" i="1"/>
  <c r="Z2567" i="1"/>
  <c r="Z2667" i="1"/>
  <c r="Z2657" i="1"/>
  <c r="Z2626" i="1"/>
  <c r="CU2658" i="1"/>
  <c r="X2658" i="1" s="1"/>
  <c r="CU2626" i="1"/>
  <c r="X2626" i="1" s="1"/>
  <c r="Z2621" i="1"/>
  <c r="CU2567" i="1"/>
  <c r="X2567" i="1" s="1"/>
  <c r="CU2667" i="1"/>
  <c r="X2667" i="1" s="1"/>
  <c r="CU2620" i="1"/>
  <c r="X2620" i="1" s="1"/>
  <c r="CU2657" i="1"/>
  <c r="X2657" i="1" s="1"/>
  <c r="CU2660" i="1"/>
  <c r="X2660" i="1" s="1"/>
  <c r="CU2625" i="1"/>
  <c r="X2625" i="1" s="1"/>
  <c r="Z2658" i="1"/>
  <c r="CU2621" i="1"/>
  <c r="X2621" i="1" s="1"/>
  <c r="CU2655" i="1"/>
  <c r="X2655" i="1" s="1"/>
  <c r="DC2616" i="1"/>
  <c r="DA2616" i="1"/>
  <c r="CY2616" i="1"/>
  <c r="Y2616" i="1" s="1"/>
  <c r="CW2616" i="1"/>
  <c r="AA2616" i="1" s="1"/>
  <c r="CR2616" i="1"/>
  <c r="CP2616" i="1"/>
  <c r="CN2616" i="1"/>
  <c r="CJ2616" i="1"/>
  <c r="CH2616" i="1"/>
  <c r="CF2616" i="1"/>
  <c r="BL2616" i="1"/>
  <c r="BD2616" i="1"/>
  <c r="AZ2616" i="1"/>
  <c r="AX2616" i="1"/>
  <c r="DC2619" i="1"/>
  <c r="DA2619" i="1"/>
  <c r="CY2619" i="1"/>
  <c r="Y2619" i="1" s="1"/>
  <c r="CW2619" i="1"/>
  <c r="AA2619" i="1" s="1"/>
  <c r="CR2619" i="1"/>
  <c r="CP2619" i="1"/>
  <c r="CN2619" i="1"/>
  <c r="CJ2619" i="1"/>
  <c r="CH2619" i="1"/>
  <c r="CF2619" i="1"/>
  <c r="BL2619" i="1"/>
  <c r="BD2619" i="1"/>
  <c r="AZ2619" i="1"/>
  <c r="AX2619" i="1"/>
  <c r="DC2613" i="1"/>
  <c r="DA2613" i="1"/>
  <c r="CY2613" i="1"/>
  <c r="Y2613" i="1" s="1"/>
  <c r="CW2613" i="1"/>
  <c r="AA2613" i="1" s="1"/>
  <c r="CR2613" i="1"/>
  <c r="CP2613" i="1"/>
  <c r="CN2613" i="1"/>
  <c r="CJ2613" i="1"/>
  <c r="CH2613" i="1"/>
  <c r="CF2613" i="1"/>
  <c r="BL2613" i="1"/>
  <c r="BD2613" i="1"/>
  <c r="AZ2613" i="1"/>
  <c r="AX2613" i="1"/>
  <c r="DC2606" i="1"/>
  <c r="DA2606" i="1"/>
  <c r="CY2606" i="1"/>
  <c r="Y2606" i="1" s="1"/>
  <c r="CW2606" i="1"/>
  <c r="AA2606" i="1" s="1"/>
  <c r="CR2606" i="1"/>
  <c r="CP2606" i="1"/>
  <c r="CN2606" i="1"/>
  <c r="CJ2606" i="1"/>
  <c r="CH2606" i="1"/>
  <c r="CF2606" i="1"/>
  <c r="BL2606" i="1"/>
  <c r="BD2606" i="1"/>
  <c r="AZ2606" i="1"/>
  <c r="AX2606" i="1"/>
  <c r="DC2612" i="1"/>
  <c r="DA2612" i="1"/>
  <c r="CY2612" i="1"/>
  <c r="Y2612" i="1" s="1"/>
  <c r="CW2612" i="1"/>
  <c r="AA2612" i="1" s="1"/>
  <c r="CR2612" i="1"/>
  <c r="CP2612" i="1"/>
  <c r="CN2612" i="1"/>
  <c r="CJ2612" i="1"/>
  <c r="CH2612" i="1"/>
  <c r="CF2612" i="1"/>
  <c r="BL2612" i="1"/>
  <c r="BD2612" i="1"/>
  <c r="AZ2612" i="1"/>
  <c r="AX2612" i="1"/>
  <c r="DC2615" i="1"/>
  <c r="DA2615" i="1"/>
  <c r="CY2615" i="1"/>
  <c r="Y2615" i="1" s="1"/>
  <c r="CW2615" i="1"/>
  <c r="AA2615" i="1" s="1"/>
  <c r="CR2615" i="1"/>
  <c r="CP2615" i="1"/>
  <c r="CN2615" i="1"/>
  <c r="CJ2615" i="1"/>
  <c r="CH2615" i="1"/>
  <c r="CF2615" i="1"/>
  <c r="BL2615" i="1"/>
  <c r="BD2615" i="1"/>
  <c r="AZ2615" i="1"/>
  <c r="AX2615" i="1"/>
  <c r="DC2608" i="1"/>
  <c r="DA2608" i="1"/>
  <c r="CY2608" i="1"/>
  <c r="Y2608" i="1" s="1"/>
  <c r="CW2608" i="1"/>
  <c r="AA2608" i="1" s="1"/>
  <c r="CR2608" i="1"/>
  <c r="CP2608" i="1"/>
  <c r="CN2608" i="1"/>
  <c r="CJ2608" i="1"/>
  <c r="CH2608" i="1"/>
  <c r="CF2608" i="1"/>
  <c r="BL2608" i="1"/>
  <c r="BD2608" i="1"/>
  <c r="AZ2608" i="1"/>
  <c r="AX2608" i="1"/>
  <c r="DC2609" i="1"/>
  <c r="DA2609" i="1"/>
  <c r="CY2609" i="1"/>
  <c r="Y2609" i="1" s="1"/>
  <c r="CW2609" i="1"/>
  <c r="AA2609" i="1" s="1"/>
  <c r="CR2609" i="1"/>
  <c r="CP2609" i="1"/>
  <c r="CN2609" i="1"/>
  <c r="CJ2609" i="1"/>
  <c r="CH2609" i="1"/>
  <c r="CF2609" i="1"/>
  <c r="BL2609" i="1"/>
  <c r="BD2609" i="1"/>
  <c r="AZ2609" i="1"/>
  <c r="AX2609" i="1"/>
  <c r="DC2596" i="1"/>
  <c r="DA2596" i="1"/>
  <c r="CY2596" i="1"/>
  <c r="Y2596" i="1" s="1"/>
  <c r="CW2596" i="1"/>
  <c r="AA2596" i="1" s="1"/>
  <c r="CR2596" i="1"/>
  <c r="CP2596" i="1"/>
  <c r="CN2596" i="1"/>
  <c r="CJ2596" i="1"/>
  <c r="CH2596" i="1"/>
  <c r="CF2596" i="1"/>
  <c r="BL2596" i="1"/>
  <c r="BD2596" i="1"/>
  <c r="AZ2596" i="1"/>
  <c r="AX2596" i="1"/>
  <c r="DC2264" i="1"/>
  <c r="DA2264" i="1"/>
  <c r="CY2264" i="1"/>
  <c r="Y2264" i="1" s="1"/>
  <c r="CW2264" i="1"/>
  <c r="AA2264" i="1" s="1"/>
  <c r="CR2264" i="1"/>
  <c r="CP2264" i="1"/>
  <c r="CN2264" i="1"/>
  <c r="CJ2264" i="1"/>
  <c r="CH2264" i="1"/>
  <c r="CF2264" i="1"/>
  <c r="BL2264" i="1"/>
  <c r="BD2264" i="1"/>
  <c r="AZ2264" i="1"/>
  <c r="AX2264" i="1"/>
  <c r="DC2597" i="1"/>
  <c r="DA2597" i="1"/>
  <c r="CY2597" i="1"/>
  <c r="Y2597" i="1" s="1"/>
  <c r="CW2597" i="1"/>
  <c r="AA2597" i="1" s="1"/>
  <c r="CR2597" i="1"/>
  <c r="CP2597" i="1"/>
  <c r="CN2597" i="1"/>
  <c r="CJ2597" i="1"/>
  <c r="CH2597" i="1"/>
  <c r="CF2597" i="1"/>
  <c r="BL2597" i="1"/>
  <c r="BD2597" i="1"/>
  <c r="AZ2597" i="1"/>
  <c r="AX2597" i="1"/>
  <c r="DC2611" i="1"/>
  <c r="DA2611" i="1"/>
  <c r="CY2611" i="1"/>
  <c r="Y2611" i="1" s="1"/>
  <c r="CW2611" i="1"/>
  <c r="AA2611" i="1" s="1"/>
  <c r="CR2611" i="1"/>
  <c r="CP2611" i="1"/>
  <c r="CN2611" i="1"/>
  <c r="CJ2611" i="1"/>
  <c r="CH2611" i="1"/>
  <c r="CF2611" i="1"/>
  <c r="BL2611" i="1"/>
  <c r="BD2611" i="1"/>
  <c r="AZ2611" i="1"/>
  <c r="AX2611" i="1"/>
  <c r="DC2610" i="1"/>
  <c r="DA2610" i="1"/>
  <c r="CY2610" i="1"/>
  <c r="Y2610" i="1" s="1"/>
  <c r="CW2610" i="1"/>
  <c r="AA2610" i="1" s="1"/>
  <c r="CR2610" i="1"/>
  <c r="CP2610" i="1"/>
  <c r="CN2610" i="1"/>
  <c r="CJ2610" i="1"/>
  <c r="CH2610" i="1"/>
  <c r="CF2610" i="1"/>
  <c r="BL2610" i="1"/>
  <c r="BD2610" i="1"/>
  <c r="AZ2610" i="1"/>
  <c r="AX2610" i="1"/>
  <c r="DC2607" i="1"/>
  <c r="DA2607" i="1"/>
  <c r="CY2607" i="1"/>
  <c r="Y2607" i="1" s="1"/>
  <c r="CW2607" i="1"/>
  <c r="AA2607" i="1" s="1"/>
  <c r="CR2607" i="1"/>
  <c r="CP2607" i="1"/>
  <c r="CN2607" i="1"/>
  <c r="CJ2607" i="1"/>
  <c r="CH2607" i="1"/>
  <c r="CF2607" i="1"/>
  <c r="BL2607" i="1"/>
  <c r="BD2607" i="1"/>
  <c r="AZ2607" i="1"/>
  <c r="AX2607" i="1"/>
  <c r="DC2593" i="1"/>
  <c r="DA2593" i="1"/>
  <c r="CY2593" i="1"/>
  <c r="Y2593" i="1" s="1"/>
  <c r="CW2593" i="1"/>
  <c r="AA2593" i="1" s="1"/>
  <c r="CR2593" i="1"/>
  <c r="CP2593" i="1"/>
  <c r="CN2593" i="1"/>
  <c r="CJ2593" i="1"/>
  <c r="CH2593" i="1"/>
  <c r="CF2593" i="1"/>
  <c r="BL2593" i="1"/>
  <c r="BD2593" i="1"/>
  <c r="AZ2593" i="1"/>
  <c r="AX2593" i="1"/>
  <c r="DC2594" i="1"/>
  <c r="DA2594" i="1"/>
  <c r="CY2594" i="1"/>
  <c r="Y2594" i="1" s="1"/>
  <c r="CW2594" i="1"/>
  <c r="AA2594" i="1" s="1"/>
  <c r="CR2594" i="1"/>
  <c r="CP2594" i="1"/>
  <c r="CN2594" i="1"/>
  <c r="CJ2594" i="1"/>
  <c r="CH2594" i="1"/>
  <c r="CF2594" i="1"/>
  <c r="BL2594" i="1"/>
  <c r="BD2594" i="1"/>
  <c r="AZ2594" i="1"/>
  <c r="AX2594" i="1"/>
  <c r="DC2602" i="1"/>
  <c r="DA2602" i="1"/>
  <c r="CY2602" i="1"/>
  <c r="Y2602" i="1" s="1"/>
  <c r="CW2602" i="1"/>
  <c r="AA2602" i="1" s="1"/>
  <c r="CR2602" i="1"/>
  <c r="CP2602" i="1"/>
  <c r="CN2602" i="1"/>
  <c r="CJ2602" i="1"/>
  <c r="CH2602" i="1"/>
  <c r="CF2602" i="1"/>
  <c r="BL2602" i="1"/>
  <c r="BD2602" i="1"/>
  <c r="AZ2602" i="1"/>
  <c r="AX2602" i="1"/>
  <c r="DC2601" i="1"/>
  <c r="DA2601" i="1"/>
  <c r="CY2601" i="1"/>
  <c r="Y2601" i="1" s="1"/>
  <c r="CW2601" i="1"/>
  <c r="AA2601" i="1" s="1"/>
  <c r="CR2601" i="1"/>
  <c r="CP2601" i="1"/>
  <c r="CN2601" i="1"/>
  <c r="CJ2601" i="1"/>
  <c r="CH2601" i="1"/>
  <c r="CF2601" i="1"/>
  <c r="BL2601" i="1"/>
  <c r="BD2601" i="1"/>
  <c r="AZ2601" i="1"/>
  <c r="AX2601" i="1"/>
  <c r="DC2600" i="1"/>
  <c r="DA2600" i="1"/>
  <c r="CY2600" i="1"/>
  <c r="Y2600" i="1" s="1"/>
  <c r="CW2600" i="1"/>
  <c r="AA2600" i="1" s="1"/>
  <c r="CR2600" i="1"/>
  <c r="CP2600" i="1"/>
  <c r="CN2600" i="1"/>
  <c r="CJ2600" i="1"/>
  <c r="CH2600" i="1"/>
  <c r="CF2600" i="1"/>
  <c r="BL2600" i="1"/>
  <c r="BD2600" i="1"/>
  <c r="AZ2600" i="1"/>
  <c r="AX2600" i="1"/>
  <c r="DC2598" i="1"/>
  <c r="DA2598" i="1"/>
  <c r="CY2598" i="1"/>
  <c r="Y2598" i="1" s="1"/>
  <c r="CW2598" i="1"/>
  <c r="AA2598" i="1" s="1"/>
  <c r="CR2598" i="1"/>
  <c r="CP2598" i="1"/>
  <c r="CN2598" i="1"/>
  <c r="CJ2598" i="1"/>
  <c r="CH2598" i="1"/>
  <c r="CF2598" i="1"/>
  <c r="BL2598" i="1"/>
  <c r="BD2598" i="1"/>
  <c r="AZ2598" i="1"/>
  <c r="AX2598" i="1"/>
  <c r="DC2599" i="1"/>
  <c r="DA2599" i="1"/>
  <c r="CY2599" i="1"/>
  <c r="Y2599" i="1" s="1"/>
  <c r="CW2599" i="1"/>
  <c r="AA2599" i="1" s="1"/>
  <c r="CR2599" i="1"/>
  <c r="CP2599" i="1"/>
  <c r="CN2599" i="1"/>
  <c r="CJ2599" i="1"/>
  <c r="CH2599" i="1"/>
  <c r="CF2599" i="1"/>
  <c r="BL2599" i="1"/>
  <c r="BD2599" i="1"/>
  <c r="AZ2599" i="1"/>
  <c r="AX2599" i="1"/>
  <c r="DC2592" i="1"/>
  <c r="DA2592" i="1"/>
  <c r="CY2592" i="1"/>
  <c r="Y2592" i="1" s="1"/>
  <c r="CW2592" i="1"/>
  <c r="AA2592" i="1" s="1"/>
  <c r="CR2592" i="1"/>
  <c r="CP2592" i="1"/>
  <c r="CN2592" i="1"/>
  <c r="CJ2592" i="1"/>
  <c r="CH2592" i="1"/>
  <c r="CF2592" i="1"/>
  <c r="BL2592" i="1"/>
  <c r="BD2592" i="1"/>
  <c r="AZ2592" i="1"/>
  <c r="AX2592" i="1"/>
  <c r="AD2625" i="1" l="1"/>
  <c r="AD2620" i="1"/>
  <c r="AD2655" i="1"/>
  <c r="AD2660" i="1"/>
  <c r="AD2621" i="1"/>
  <c r="AD2567" i="1"/>
  <c r="AD2626" i="1"/>
  <c r="AD2667" i="1"/>
  <c r="AD2658" i="1"/>
  <c r="AD2657" i="1"/>
  <c r="Z2593" i="1"/>
  <c r="Z2600" i="1"/>
  <c r="Z2264" i="1"/>
  <c r="Z2592" i="1"/>
  <c r="Z2598" i="1"/>
  <c r="Z2611" i="1"/>
  <c r="Z2615" i="1"/>
  <c r="Z2606" i="1"/>
  <c r="Z2594" i="1"/>
  <c r="Z2597" i="1"/>
  <c r="CU2592" i="1"/>
  <c r="X2592" i="1" s="1"/>
  <c r="Z2610" i="1"/>
  <c r="CU2599" i="1"/>
  <c r="X2599" i="1" s="1"/>
  <c r="Z2599" i="1"/>
  <c r="CU2609" i="1"/>
  <c r="X2609" i="1" s="1"/>
  <c r="Z2608" i="1"/>
  <c r="Z2596" i="1"/>
  <c r="Z2613" i="1"/>
  <c r="CU2616" i="1"/>
  <c r="X2616" i="1" s="1"/>
  <c r="Z2616" i="1"/>
  <c r="CU2602" i="1"/>
  <c r="X2602" i="1" s="1"/>
  <c r="Z2602" i="1"/>
  <c r="Z2607" i="1"/>
  <c r="Z2612" i="1"/>
  <c r="Z2601" i="1"/>
  <c r="Z2609" i="1"/>
  <c r="CU2596" i="1"/>
  <c r="X2596" i="1" s="1"/>
  <c r="CU2610" i="1"/>
  <c r="X2610" i="1" s="1"/>
  <c r="CU2611" i="1"/>
  <c r="X2611" i="1" s="1"/>
  <c r="Z2619" i="1"/>
  <c r="CU2598" i="1"/>
  <c r="X2598" i="1" s="1"/>
  <c r="CU2594" i="1"/>
  <c r="X2594" i="1" s="1"/>
  <c r="CU2600" i="1"/>
  <c r="X2600" i="1" s="1"/>
  <c r="CU2593" i="1"/>
  <c r="X2593" i="1" s="1"/>
  <c r="CU2597" i="1"/>
  <c r="X2597" i="1" s="1"/>
  <c r="CU2608" i="1"/>
  <c r="X2608" i="1" s="1"/>
  <c r="CU2601" i="1"/>
  <c r="X2601" i="1" s="1"/>
  <c r="CU2607" i="1"/>
  <c r="X2607" i="1" s="1"/>
  <c r="CU2264" i="1"/>
  <c r="X2264" i="1" s="1"/>
  <c r="CU2615" i="1"/>
  <c r="X2615" i="1" s="1"/>
  <c r="CU2606" i="1"/>
  <c r="X2606" i="1" s="1"/>
  <c r="CU2619" i="1"/>
  <c r="X2619" i="1" s="1"/>
  <c r="CU2612" i="1"/>
  <c r="X2612" i="1" s="1"/>
  <c r="CU2613" i="1"/>
  <c r="X2613" i="1" s="1"/>
  <c r="CY1996" i="1"/>
  <c r="DE1612" i="1"/>
  <c r="DA1612" i="1"/>
  <c r="DC1612" i="1"/>
  <c r="AZ1458" i="1"/>
  <c r="DC1458" i="1"/>
  <c r="AZ1622" i="1"/>
  <c r="CJ1622" i="1"/>
  <c r="CR1622" i="1"/>
  <c r="CP1622" i="1"/>
  <c r="CY1622" i="1"/>
  <c r="DE1151" i="1"/>
  <c r="DE1744" i="1"/>
  <c r="CJ1744" i="1"/>
  <c r="CR1744" i="1"/>
  <c r="CP1744" i="1"/>
  <c r="CY1744" i="1"/>
  <c r="DC1592" i="1"/>
  <c r="AZ1592" i="1"/>
  <c r="CJ1592" i="1"/>
  <c r="CR1592" i="1"/>
  <c r="CY1592" i="1"/>
  <c r="BL2035" i="1"/>
  <c r="CJ2035" i="1"/>
  <c r="CR2035" i="1"/>
  <c r="CP2035" i="1"/>
  <c r="CY2035" i="1"/>
  <c r="DE1186" i="1"/>
  <c r="DE697" i="1"/>
  <c r="DC697" i="1"/>
  <c r="DA697" i="1"/>
  <c r="DE696" i="1"/>
  <c r="DC696" i="1"/>
  <c r="DA696" i="1"/>
  <c r="DE695" i="1"/>
  <c r="DA695" i="1"/>
  <c r="DC695" i="1"/>
  <c r="AD2264" i="1" l="1"/>
  <c r="AD2615" i="1"/>
  <c r="AD2611" i="1"/>
  <c r="AD2596" i="1"/>
  <c r="AD2612" i="1"/>
  <c r="AD2593" i="1"/>
  <c r="AD2592" i="1"/>
  <c r="AD2606" i="1"/>
  <c r="AD2597" i="1"/>
  <c r="AD2598" i="1"/>
  <c r="AD2616" i="1"/>
  <c r="AD2600" i="1"/>
  <c r="AD2619" i="1"/>
  <c r="AD2594" i="1"/>
  <c r="AD2609" i="1"/>
  <c r="AD2607" i="1"/>
  <c r="AD2613" i="1"/>
  <c r="AD2601" i="1"/>
  <c r="AD2608" i="1"/>
  <c r="AD2610" i="1"/>
  <c r="AD2602" i="1"/>
  <c r="AD2599" i="1"/>
  <c r="DC2665" i="1"/>
  <c r="DA2665" i="1"/>
  <c r="CY2665" i="1"/>
  <c r="Y2665" i="1" s="1"/>
  <c r="CW2665" i="1"/>
  <c r="AA2665" i="1" s="1"/>
  <c r="CR2665" i="1"/>
  <c r="CP2665" i="1"/>
  <c r="CN2665" i="1"/>
  <c r="CJ2665" i="1"/>
  <c r="CH2665" i="1"/>
  <c r="CF2665" i="1"/>
  <c r="BL2665" i="1"/>
  <c r="BD2665" i="1"/>
  <c r="AZ2665" i="1"/>
  <c r="AX2665" i="1"/>
  <c r="DC2661" i="1"/>
  <c r="DA2661" i="1"/>
  <c r="CY2661" i="1"/>
  <c r="Y2661" i="1" s="1"/>
  <c r="CW2661" i="1"/>
  <c r="AA2661" i="1" s="1"/>
  <c r="CR2661" i="1"/>
  <c r="CP2661" i="1"/>
  <c r="CN2661" i="1"/>
  <c r="CJ2661" i="1"/>
  <c r="CH2661" i="1"/>
  <c r="CF2661" i="1"/>
  <c r="BL2661" i="1"/>
  <c r="BD2661" i="1"/>
  <c r="AZ2661" i="1"/>
  <c r="AX2661" i="1"/>
  <c r="DC2605" i="1"/>
  <c r="DA2605" i="1"/>
  <c r="CY2605" i="1"/>
  <c r="Y2605" i="1" s="1"/>
  <c r="CW2605" i="1"/>
  <c r="AA2605" i="1" s="1"/>
  <c r="CR2605" i="1"/>
  <c r="CP2605" i="1"/>
  <c r="CN2605" i="1"/>
  <c r="CJ2605" i="1"/>
  <c r="CH2605" i="1"/>
  <c r="CF2605" i="1"/>
  <c r="BL2605" i="1"/>
  <c r="BD2605" i="1"/>
  <c r="AZ2605" i="1"/>
  <c r="AX2605" i="1"/>
  <c r="DC2604" i="1"/>
  <c r="DA2604" i="1"/>
  <c r="CY2604" i="1"/>
  <c r="Y2604" i="1" s="1"/>
  <c r="CW2604" i="1"/>
  <c r="AA2604" i="1" s="1"/>
  <c r="CR2604" i="1"/>
  <c r="CP2604" i="1"/>
  <c r="CN2604" i="1"/>
  <c r="CJ2604" i="1"/>
  <c r="CH2604" i="1"/>
  <c r="CF2604" i="1"/>
  <c r="BL2604" i="1"/>
  <c r="BD2604" i="1"/>
  <c r="AZ2604" i="1"/>
  <c r="AX2604" i="1"/>
  <c r="DC2595" i="1"/>
  <c r="DA2595" i="1"/>
  <c r="CY2595" i="1"/>
  <c r="Y2595" i="1" s="1"/>
  <c r="CW2595" i="1"/>
  <c r="AA2595" i="1" s="1"/>
  <c r="CR2595" i="1"/>
  <c r="CP2595" i="1"/>
  <c r="CN2595" i="1"/>
  <c r="CJ2595" i="1"/>
  <c r="CH2595" i="1"/>
  <c r="CF2595" i="1"/>
  <c r="BL2595" i="1"/>
  <c r="BD2595" i="1"/>
  <c r="AZ2595" i="1"/>
  <c r="AX2595" i="1"/>
  <c r="DC2617" i="1"/>
  <c r="DA2617" i="1"/>
  <c r="CY2617" i="1"/>
  <c r="Y2617" i="1" s="1"/>
  <c r="CW2617" i="1"/>
  <c r="AA2617" i="1" s="1"/>
  <c r="CR2617" i="1"/>
  <c r="CP2617" i="1"/>
  <c r="CN2617" i="1"/>
  <c r="CJ2617" i="1"/>
  <c r="CH2617" i="1"/>
  <c r="CF2617" i="1"/>
  <c r="BL2617" i="1"/>
  <c r="BD2617" i="1"/>
  <c r="AZ2617" i="1"/>
  <c r="AX2617" i="1"/>
  <c r="DC2614" i="1"/>
  <c r="DA2614" i="1"/>
  <c r="CY2614" i="1"/>
  <c r="Y2614" i="1" s="1"/>
  <c r="CW2614" i="1"/>
  <c r="AA2614" i="1" s="1"/>
  <c r="CR2614" i="1"/>
  <c r="CP2614" i="1"/>
  <c r="CN2614" i="1"/>
  <c r="CJ2614" i="1"/>
  <c r="CH2614" i="1"/>
  <c r="CF2614" i="1"/>
  <c r="BL2614" i="1"/>
  <c r="BD2614" i="1"/>
  <c r="AZ2614" i="1"/>
  <c r="AX2614" i="1"/>
  <c r="DC2583" i="1"/>
  <c r="DA2583" i="1"/>
  <c r="CY2583" i="1"/>
  <c r="Y2583" i="1" s="1"/>
  <c r="CW2583" i="1"/>
  <c r="AA2583" i="1" s="1"/>
  <c r="CR2583" i="1"/>
  <c r="CP2583" i="1"/>
  <c r="CN2583" i="1"/>
  <c r="CJ2583" i="1"/>
  <c r="CH2583" i="1"/>
  <c r="CF2583" i="1"/>
  <c r="BL2583" i="1"/>
  <c r="BD2583" i="1"/>
  <c r="AZ2583" i="1"/>
  <c r="AX2583" i="1"/>
  <c r="DC2584" i="1"/>
  <c r="DA2584" i="1"/>
  <c r="CY2584" i="1"/>
  <c r="Y2584" i="1" s="1"/>
  <c r="CW2584" i="1"/>
  <c r="AA2584" i="1" s="1"/>
  <c r="CR2584" i="1"/>
  <c r="CP2584" i="1"/>
  <c r="CN2584" i="1"/>
  <c r="CJ2584" i="1"/>
  <c r="CH2584" i="1"/>
  <c r="CF2584" i="1"/>
  <c r="BL2584" i="1"/>
  <c r="BD2584" i="1"/>
  <c r="AZ2584" i="1"/>
  <c r="AX2584" i="1"/>
  <c r="DC2591" i="1"/>
  <c r="DA2591" i="1"/>
  <c r="CY2591" i="1"/>
  <c r="Y2591" i="1" s="1"/>
  <c r="CW2591" i="1"/>
  <c r="AA2591" i="1" s="1"/>
  <c r="CR2591" i="1"/>
  <c r="CP2591" i="1"/>
  <c r="CN2591" i="1"/>
  <c r="CJ2591" i="1"/>
  <c r="CH2591" i="1"/>
  <c r="CF2591" i="1"/>
  <c r="BL2591" i="1"/>
  <c r="BD2591" i="1"/>
  <c r="AZ2591" i="1"/>
  <c r="AX2591" i="1"/>
  <c r="DC2573" i="1"/>
  <c r="DA2573" i="1"/>
  <c r="CY2573" i="1"/>
  <c r="Y2573" i="1" s="1"/>
  <c r="CW2573" i="1"/>
  <c r="AA2573" i="1" s="1"/>
  <c r="CR2573" i="1"/>
  <c r="CP2573" i="1"/>
  <c r="CN2573" i="1"/>
  <c r="CJ2573" i="1"/>
  <c r="CH2573" i="1"/>
  <c r="CF2573" i="1"/>
  <c r="BL2573" i="1"/>
  <c r="BD2573" i="1"/>
  <c r="AZ2573" i="1"/>
  <c r="AX2573" i="1"/>
  <c r="DC2587" i="1"/>
  <c r="DA2587" i="1"/>
  <c r="CY2587" i="1"/>
  <c r="Y2587" i="1" s="1"/>
  <c r="CW2587" i="1"/>
  <c r="AA2587" i="1" s="1"/>
  <c r="CR2587" i="1"/>
  <c r="CP2587" i="1"/>
  <c r="CN2587" i="1"/>
  <c r="CJ2587" i="1"/>
  <c r="CH2587" i="1"/>
  <c r="CF2587" i="1"/>
  <c r="BL2587" i="1"/>
  <c r="BD2587" i="1"/>
  <c r="AZ2587" i="1"/>
  <c r="AX2587" i="1"/>
  <c r="DC2577" i="1"/>
  <c r="DA2577" i="1"/>
  <c r="CY2577" i="1"/>
  <c r="Y2577" i="1" s="1"/>
  <c r="CW2577" i="1"/>
  <c r="AA2577" i="1" s="1"/>
  <c r="CR2577" i="1"/>
  <c r="CP2577" i="1"/>
  <c r="CN2577" i="1"/>
  <c r="CJ2577" i="1"/>
  <c r="CH2577" i="1"/>
  <c r="CF2577" i="1"/>
  <c r="BL2577" i="1"/>
  <c r="BD2577" i="1"/>
  <c r="AZ2577" i="1"/>
  <c r="AX2577" i="1"/>
  <c r="DC2540" i="1"/>
  <c r="DA2540" i="1"/>
  <c r="CY2540" i="1"/>
  <c r="Y2540" i="1" s="1"/>
  <c r="CW2540" i="1"/>
  <c r="AA2540" i="1" s="1"/>
  <c r="CR2540" i="1"/>
  <c r="CP2540" i="1"/>
  <c r="CN2540" i="1"/>
  <c r="CJ2540" i="1"/>
  <c r="CH2540" i="1"/>
  <c r="CF2540" i="1"/>
  <c r="BL2540" i="1"/>
  <c r="BD2540" i="1"/>
  <c r="AZ2540" i="1"/>
  <c r="AX2540" i="1"/>
  <c r="DC2576" i="1"/>
  <c r="DA2576" i="1"/>
  <c r="CY2576" i="1"/>
  <c r="Y2576" i="1" s="1"/>
  <c r="CW2576" i="1"/>
  <c r="AA2576" i="1" s="1"/>
  <c r="CR2576" i="1"/>
  <c r="CP2576" i="1"/>
  <c r="CN2576" i="1"/>
  <c r="CJ2576" i="1"/>
  <c r="CH2576" i="1"/>
  <c r="CF2576" i="1"/>
  <c r="BL2576" i="1"/>
  <c r="BD2576" i="1"/>
  <c r="AZ2576" i="1"/>
  <c r="AX2576" i="1"/>
  <c r="Y2578" i="1"/>
  <c r="AA2578" i="1"/>
  <c r="DC2582" i="1"/>
  <c r="DA2582" i="1"/>
  <c r="CY2582" i="1"/>
  <c r="Y2582" i="1" s="1"/>
  <c r="CW2582" i="1"/>
  <c r="AA2582" i="1" s="1"/>
  <c r="CR2582" i="1"/>
  <c r="CP2582" i="1"/>
  <c r="CN2582" i="1"/>
  <c r="CJ2582" i="1"/>
  <c r="CH2582" i="1"/>
  <c r="CF2582" i="1"/>
  <c r="BL2582" i="1"/>
  <c r="BD2582" i="1"/>
  <c r="AZ2582" i="1"/>
  <c r="AX2582" i="1"/>
  <c r="DC2579" i="1"/>
  <c r="DA2579" i="1"/>
  <c r="CY2579" i="1"/>
  <c r="Y2579" i="1" s="1"/>
  <c r="CW2579" i="1"/>
  <c r="AA2579" i="1" s="1"/>
  <c r="CR2579" i="1"/>
  <c r="CP2579" i="1"/>
  <c r="CN2579" i="1"/>
  <c r="CJ2579" i="1"/>
  <c r="CH2579" i="1"/>
  <c r="CF2579" i="1"/>
  <c r="BL2579" i="1"/>
  <c r="BD2579" i="1"/>
  <c r="AZ2579" i="1"/>
  <c r="AX2579" i="1"/>
  <c r="DC2585" i="1"/>
  <c r="DA2585" i="1"/>
  <c r="CY2585" i="1"/>
  <c r="Y2585" i="1" s="1"/>
  <c r="CW2585" i="1"/>
  <c r="AA2585" i="1" s="1"/>
  <c r="CR2585" i="1"/>
  <c r="CP2585" i="1"/>
  <c r="CN2585" i="1"/>
  <c r="CJ2585" i="1"/>
  <c r="CH2585" i="1"/>
  <c r="CF2585" i="1"/>
  <c r="BL2585" i="1"/>
  <c r="BD2585" i="1"/>
  <c r="AZ2585" i="1"/>
  <c r="AX2585" i="1"/>
  <c r="DC2586" i="1"/>
  <c r="DA2586" i="1"/>
  <c r="CY2586" i="1"/>
  <c r="Y2586" i="1" s="1"/>
  <c r="CW2586" i="1"/>
  <c r="AA2586" i="1" s="1"/>
  <c r="CR2586" i="1"/>
  <c r="CP2586" i="1"/>
  <c r="CN2586" i="1"/>
  <c r="CJ2586" i="1"/>
  <c r="CH2586" i="1"/>
  <c r="CF2586" i="1"/>
  <c r="BL2586" i="1"/>
  <c r="BD2586" i="1"/>
  <c r="AZ2586" i="1"/>
  <c r="AX2586" i="1"/>
  <c r="DC2580" i="1"/>
  <c r="DA2580" i="1"/>
  <c r="CY2580" i="1"/>
  <c r="Y2580" i="1" s="1"/>
  <c r="CW2580" i="1"/>
  <c r="AA2580" i="1" s="1"/>
  <c r="CR2580" i="1"/>
  <c r="CP2580" i="1"/>
  <c r="CN2580" i="1"/>
  <c r="CJ2580" i="1"/>
  <c r="CH2580" i="1"/>
  <c r="CF2580" i="1"/>
  <c r="BL2580" i="1"/>
  <c r="BD2580" i="1"/>
  <c r="AZ2580" i="1"/>
  <c r="AX2580" i="1"/>
  <c r="DC2581" i="1"/>
  <c r="DA2581" i="1"/>
  <c r="CY2581" i="1"/>
  <c r="Y2581" i="1" s="1"/>
  <c r="CW2581" i="1"/>
  <c r="AA2581" i="1" s="1"/>
  <c r="CR2581" i="1"/>
  <c r="CP2581" i="1"/>
  <c r="CN2581" i="1"/>
  <c r="CJ2581" i="1"/>
  <c r="CH2581" i="1"/>
  <c r="CF2581" i="1"/>
  <c r="BL2581" i="1"/>
  <c r="BD2581" i="1"/>
  <c r="AZ2581" i="1"/>
  <c r="AX2581" i="1"/>
  <c r="DC2590" i="1"/>
  <c r="DA2590" i="1"/>
  <c r="CY2590" i="1"/>
  <c r="Y2590" i="1" s="1"/>
  <c r="CW2590" i="1"/>
  <c r="AA2590" i="1" s="1"/>
  <c r="CR2590" i="1"/>
  <c r="CP2590" i="1"/>
  <c r="CN2590" i="1"/>
  <c r="CJ2590" i="1"/>
  <c r="CH2590" i="1"/>
  <c r="CF2590" i="1"/>
  <c r="BL2590" i="1"/>
  <c r="BD2590" i="1"/>
  <c r="AZ2590" i="1"/>
  <c r="AX2590" i="1"/>
  <c r="Z2614" i="1" l="1"/>
  <c r="Z2582" i="1"/>
  <c r="Z2540" i="1"/>
  <c r="Z2579" i="1"/>
  <c r="Z2577" i="1"/>
  <c r="Z2573" i="1"/>
  <c r="Z2583" i="1"/>
  <c r="Z2604" i="1"/>
  <c r="Z2605" i="1"/>
  <c r="Z2590" i="1"/>
  <c r="Z2576" i="1"/>
  <c r="Z2578" i="1"/>
  <c r="Z2584" i="1"/>
  <c r="Z2661" i="1"/>
  <c r="CU2580" i="1"/>
  <c r="X2580" i="1" s="1"/>
  <c r="CU2585" i="1"/>
  <c r="X2585" i="1" s="1"/>
  <c r="Z2581" i="1"/>
  <c r="CU2586" i="1"/>
  <c r="X2586" i="1" s="1"/>
  <c r="CU2582" i="1"/>
  <c r="X2582" i="1" s="1"/>
  <c r="CU2587" i="1"/>
  <c r="X2587" i="1" s="1"/>
  <c r="Z2587" i="1"/>
  <c r="CU2617" i="1"/>
  <c r="X2617" i="1" s="1"/>
  <c r="Z2617" i="1"/>
  <c r="Z2595" i="1"/>
  <c r="Z2585" i="1"/>
  <c r="CU2579" i="1"/>
  <c r="X2579" i="1" s="1"/>
  <c r="CU2591" i="1"/>
  <c r="X2591" i="1" s="1"/>
  <c r="Z2591" i="1"/>
  <c r="CU2665" i="1"/>
  <c r="X2665" i="1" s="1"/>
  <c r="Z2665" i="1"/>
  <c r="Z2586" i="1"/>
  <c r="X2578" i="1"/>
  <c r="CU2590" i="1"/>
  <c r="X2590" i="1" s="1"/>
  <c r="Z2580" i="1"/>
  <c r="CU2576" i="1"/>
  <c r="X2576" i="1" s="1"/>
  <c r="CU2583" i="1"/>
  <c r="X2583" i="1" s="1"/>
  <c r="CU2605" i="1"/>
  <c r="X2605" i="1" s="1"/>
  <c r="CU2581" i="1"/>
  <c r="X2581" i="1" s="1"/>
  <c r="CU2540" i="1"/>
  <c r="X2540" i="1" s="1"/>
  <c r="CU2577" i="1"/>
  <c r="X2577" i="1" s="1"/>
  <c r="CU2614" i="1"/>
  <c r="X2614" i="1" s="1"/>
  <c r="CU2661" i="1"/>
  <c r="X2661" i="1" s="1"/>
  <c r="CU2573" i="1"/>
  <c r="X2573" i="1" s="1"/>
  <c r="CU2584" i="1"/>
  <c r="X2584" i="1" s="1"/>
  <c r="CU2595" i="1"/>
  <c r="X2595" i="1" s="1"/>
  <c r="CU2604" i="1"/>
  <c r="X2604" i="1" s="1"/>
  <c r="DE1696" i="1"/>
  <c r="CY2003" i="1"/>
  <c r="CN1813" i="1"/>
  <c r="CR1813" i="1"/>
  <c r="CJ1813" i="1"/>
  <c r="AZ1813" i="1"/>
  <c r="DC1813" i="1"/>
  <c r="CY1813" i="1"/>
  <c r="CY1857" i="1"/>
  <c r="DE685" i="1"/>
  <c r="DC685" i="1"/>
  <c r="DE683" i="1"/>
  <c r="DC683" i="1"/>
  <c r="DE682" i="1"/>
  <c r="DC682" i="1"/>
  <c r="AD2579" i="1" l="1"/>
  <c r="AD2577" i="1"/>
  <c r="AD2604" i="1"/>
  <c r="AD2614" i="1"/>
  <c r="AD2587" i="1"/>
  <c r="AD2573" i="1"/>
  <c r="AD2582" i="1"/>
  <c r="AD2580" i="1"/>
  <c r="AD2585" i="1"/>
  <c r="AD2540" i="1"/>
  <c r="AD2576" i="1"/>
  <c r="AD2583" i="1"/>
  <c r="AD2578" i="1"/>
  <c r="AD2665" i="1"/>
  <c r="AD2605" i="1"/>
  <c r="AD2590" i="1"/>
  <c r="AD2591" i="1"/>
  <c r="AD2584" i="1"/>
  <c r="AD2661" i="1"/>
  <c r="AD2581" i="1"/>
  <c r="AD2617" i="1"/>
  <c r="AD2595" i="1"/>
  <c r="AD2586" i="1"/>
  <c r="CY1487" i="1"/>
  <c r="DC677" i="1"/>
  <c r="CW1996" i="1"/>
  <c r="BZ1996" i="1"/>
  <c r="I2151" i="1"/>
  <c r="I2352" i="1"/>
  <c r="U2410" i="1"/>
  <c r="I2410" i="1"/>
  <c r="J2410" i="1"/>
  <c r="DC2536" i="1" l="1"/>
  <c r="DA2536" i="1"/>
  <c r="CY2536" i="1"/>
  <c r="Y2536" i="1" s="1"/>
  <c r="CW2536" i="1"/>
  <c r="AA2536" i="1" s="1"/>
  <c r="CR2536" i="1"/>
  <c r="CP2536" i="1"/>
  <c r="CN2536" i="1"/>
  <c r="CJ2536" i="1"/>
  <c r="CH2536" i="1"/>
  <c r="CF2536" i="1"/>
  <c r="BL2536" i="1"/>
  <c r="BD2536" i="1"/>
  <c r="AZ2536" i="1"/>
  <c r="AX2536" i="1"/>
  <c r="DC2558" i="1"/>
  <c r="DA2558" i="1"/>
  <c r="CY2558" i="1"/>
  <c r="Y2558" i="1" s="1"/>
  <c r="CW2558" i="1"/>
  <c r="AA2558" i="1" s="1"/>
  <c r="CR2558" i="1"/>
  <c r="CP2558" i="1"/>
  <c r="CN2558" i="1"/>
  <c r="CJ2558" i="1"/>
  <c r="CH2558" i="1"/>
  <c r="CF2558" i="1"/>
  <c r="BL2558" i="1"/>
  <c r="BD2558" i="1"/>
  <c r="AZ2558" i="1"/>
  <c r="AX2558" i="1"/>
  <c r="DC2556" i="1"/>
  <c r="DA2556" i="1"/>
  <c r="CY2556" i="1"/>
  <c r="Y2556" i="1" s="1"/>
  <c r="CW2556" i="1"/>
  <c r="AA2556" i="1" s="1"/>
  <c r="CR2556" i="1"/>
  <c r="CP2556" i="1"/>
  <c r="CN2556" i="1"/>
  <c r="CJ2556" i="1"/>
  <c r="CH2556" i="1"/>
  <c r="CF2556" i="1"/>
  <c r="BL2556" i="1"/>
  <c r="BD2556" i="1"/>
  <c r="AZ2556" i="1"/>
  <c r="AX2556" i="1"/>
  <c r="DC2557" i="1"/>
  <c r="DA2557" i="1"/>
  <c r="CY2557" i="1"/>
  <c r="Y2557" i="1" s="1"/>
  <c r="CW2557" i="1"/>
  <c r="AA2557" i="1" s="1"/>
  <c r="CR2557" i="1"/>
  <c r="CP2557" i="1"/>
  <c r="CN2557" i="1"/>
  <c r="CJ2557" i="1"/>
  <c r="CH2557" i="1"/>
  <c r="CF2557" i="1"/>
  <c r="BL2557" i="1"/>
  <c r="BD2557" i="1"/>
  <c r="AZ2557" i="1"/>
  <c r="AX2557" i="1"/>
  <c r="DC2572" i="1"/>
  <c r="DA2572" i="1"/>
  <c r="CY2572" i="1"/>
  <c r="Y2572" i="1" s="1"/>
  <c r="CW2572" i="1"/>
  <c r="AA2572" i="1" s="1"/>
  <c r="CR2572" i="1"/>
  <c r="CP2572" i="1"/>
  <c r="CN2572" i="1"/>
  <c r="CJ2572" i="1"/>
  <c r="CH2572" i="1"/>
  <c r="CF2572" i="1"/>
  <c r="BL2572" i="1"/>
  <c r="BD2572" i="1"/>
  <c r="AZ2572" i="1"/>
  <c r="AX2572" i="1"/>
  <c r="DC2570" i="1"/>
  <c r="DA2570" i="1"/>
  <c r="CY2570" i="1"/>
  <c r="Y2570" i="1" s="1"/>
  <c r="CW2570" i="1"/>
  <c r="AA2570" i="1" s="1"/>
  <c r="CR2570" i="1"/>
  <c r="CP2570" i="1"/>
  <c r="CN2570" i="1"/>
  <c r="CJ2570" i="1"/>
  <c r="CH2570" i="1"/>
  <c r="CF2570" i="1"/>
  <c r="BL2570" i="1"/>
  <c r="BD2570" i="1"/>
  <c r="AZ2570" i="1"/>
  <c r="AX2570" i="1"/>
  <c r="DC2571" i="1"/>
  <c r="DA2571" i="1"/>
  <c r="CY2571" i="1"/>
  <c r="Y2571" i="1" s="1"/>
  <c r="CW2571" i="1"/>
  <c r="AA2571" i="1" s="1"/>
  <c r="CR2571" i="1"/>
  <c r="CP2571" i="1"/>
  <c r="CN2571" i="1"/>
  <c r="CJ2571" i="1"/>
  <c r="CH2571" i="1"/>
  <c r="CF2571" i="1"/>
  <c r="BL2571" i="1"/>
  <c r="BD2571" i="1"/>
  <c r="AZ2571" i="1"/>
  <c r="AX2571" i="1"/>
  <c r="DC2555" i="1"/>
  <c r="DA2555" i="1"/>
  <c r="CY2555" i="1"/>
  <c r="Y2555" i="1" s="1"/>
  <c r="CW2555" i="1"/>
  <c r="AA2555" i="1" s="1"/>
  <c r="CR2555" i="1"/>
  <c r="CP2555" i="1"/>
  <c r="CN2555" i="1"/>
  <c r="CJ2555" i="1"/>
  <c r="CH2555" i="1"/>
  <c r="CF2555" i="1"/>
  <c r="BL2555" i="1"/>
  <c r="BD2555" i="1"/>
  <c r="AZ2555" i="1"/>
  <c r="AX2555" i="1"/>
  <c r="DC2566" i="1"/>
  <c r="DA2566" i="1"/>
  <c r="CY2566" i="1"/>
  <c r="Y2566" i="1" s="1"/>
  <c r="CW2566" i="1"/>
  <c r="AA2566" i="1" s="1"/>
  <c r="CR2566" i="1"/>
  <c r="CP2566" i="1"/>
  <c r="CN2566" i="1"/>
  <c r="CJ2566" i="1"/>
  <c r="CH2566" i="1"/>
  <c r="CF2566" i="1"/>
  <c r="BL2566" i="1"/>
  <c r="BD2566" i="1"/>
  <c r="AZ2566" i="1"/>
  <c r="AX2566" i="1"/>
  <c r="DC2575" i="1"/>
  <c r="DA2575" i="1"/>
  <c r="CY2575" i="1"/>
  <c r="Y2575" i="1" s="1"/>
  <c r="CW2575" i="1"/>
  <c r="AA2575" i="1" s="1"/>
  <c r="CR2575" i="1"/>
  <c r="CP2575" i="1"/>
  <c r="CN2575" i="1"/>
  <c r="CJ2575" i="1"/>
  <c r="CH2575" i="1"/>
  <c r="CF2575" i="1"/>
  <c r="BL2575" i="1"/>
  <c r="BD2575" i="1"/>
  <c r="AZ2575" i="1"/>
  <c r="AX2575" i="1"/>
  <c r="DC2574" i="1"/>
  <c r="DA2574" i="1"/>
  <c r="CY2574" i="1"/>
  <c r="Y2574" i="1" s="1"/>
  <c r="CW2574" i="1"/>
  <c r="AA2574" i="1" s="1"/>
  <c r="CR2574" i="1"/>
  <c r="CP2574" i="1"/>
  <c r="CN2574" i="1"/>
  <c r="CJ2574" i="1"/>
  <c r="CH2574" i="1"/>
  <c r="CF2574" i="1"/>
  <c r="BL2574" i="1"/>
  <c r="BD2574" i="1"/>
  <c r="AZ2574" i="1"/>
  <c r="AX2574" i="1"/>
  <c r="DC2568" i="1"/>
  <c r="DA2568" i="1"/>
  <c r="CY2568" i="1"/>
  <c r="Y2568" i="1" s="1"/>
  <c r="CW2568" i="1"/>
  <c r="AA2568" i="1" s="1"/>
  <c r="CR2568" i="1"/>
  <c r="CP2568" i="1"/>
  <c r="CN2568" i="1"/>
  <c r="CJ2568" i="1"/>
  <c r="CH2568" i="1"/>
  <c r="CF2568" i="1"/>
  <c r="BL2568" i="1"/>
  <c r="BD2568" i="1"/>
  <c r="AZ2568" i="1"/>
  <c r="AX2568" i="1"/>
  <c r="DC2569" i="1"/>
  <c r="DA2569" i="1"/>
  <c r="CY2569" i="1"/>
  <c r="Y2569" i="1" s="1"/>
  <c r="CW2569" i="1"/>
  <c r="AA2569" i="1" s="1"/>
  <c r="CR2569" i="1"/>
  <c r="CP2569" i="1"/>
  <c r="CN2569" i="1"/>
  <c r="CJ2569" i="1"/>
  <c r="CH2569" i="1"/>
  <c r="CF2569" i="1"/>
  <c r="BL2569" i="1"/>
  <c r="BD2569" i="1"/>
  <c r="AZ2569" i="1"/>
  <c r="AX2569" i="1"/>
  <c r="Z2570" i="1" l="1"/>
  <c r="Z2558" i="1"/>
  <c r="Z2575" i="1"/>
  <c r="Z2571" i="1"/>
  <c r="Z2555" i="1"/>
  <c r="Z2572" i="1"/>
  <c r="CU2555" i="1"/>
  <c r="X2555" i="1" s="1"/>
  <c r="Z2569" i="1"/>
  <c r="CU2568" i="1"/>
  <c r="X2568" i="1" s="1"/>
  <c r="Z2568" i="1"/>
  <c r="Z2574" i="1"/>
  <c r="Z2566" i="1"/>
  <c r="CU2557" i="1"/>
  <c r="X2557" i="1" s="1"/>
  <c r="Z2557" i="1"/>
  <c r="Z2556" i="1"/>
  <c r="Z2536" i="1"/>
  <c r="CU2574" i="1"/>
  <c r="X2574" i="1" s="1"/>
  <c r="CU2571" i="1"/>
  <c r="X2571" i="1" s="1"/>
  <c r="CU2556" i="1"/>
  <c r="X2556" i="1" s="1"/>
  <c r="CU2569" i="1"/>
  <c r="X2569" i="1" s="1"/>
  <c r="CU2570" i="1"/>
  <c r="X2570" i="1" s="1"/>
  <c r="CU2558" i="1"/>
  <c r="X2558" i="1" s="1"/>
  <c r="AD2558" i="1" s="1"/>
  <c r="CU2575" i="1"/>
  <c r="X2575" i="1" s="1"/>
  <c r="CU2566" i="1"/>
  <c r="X2566" i="1" s="1"/>
  <c r="CU2572" i="1"/>
  <c r="X2572" i="1" s="1"/>
  <c r="CU2536" i="1"/>
  <c r="X2536" i="1" s="1"/>
  <c r="AD2570" i="1" l="1"/>
  <c r="AD2572" i="1"/>
  <c r="AD2555" i="1"/>
  <c r="AD2575" i="1"/>
  <c r="AD2571" i="1"/>
  <c r="AD2566" i="1"/>
  <c r="AD2536" i="1"/>
  <c r="AD2569" i="1"/>
  <c r="AD2557" i="1"/>
  <c r="AD2568" i="1"/>
  <c r="AD2556" i="1"/>
  <c r="AD2574" i="1"/>
  <c r="I2407" i="1" l="1"/>
  <c r="I2406" i="1"/>
  <c r="I2201" i="1"/>
  <c r="Y2352" i="1" l="1"/>
  <c r="AA2352" i="1"/>
  <c r="DC2588" i="1"/>
  <c r="DA2588" i="1"/>
  <c r="CY2588" i="1"/>
  <c r="Y2588" i="1" s="1"/>
  <c r="CW2588" i="1"/>
  <c r="AA2588" i="1" s="1"/>
  <c r="CR2588" i="1"/>
  <c r="CP2588" i="1"/>
  <c r="CN2588" i="1"/>
  <c r="CJ2588" i="1"/>
  <c r="CH2588" i="1"/>
  <c r="CF2588" i="1"/>
  <c r="BL2588" i="1"/>
  <c r="BD2588" i="1"/>
  <c r="AZ2588" i="1"/>
  <c r="AX2588" i="1"/>
  <c r="DC2589" i="1"/>
  <c r="DA2589" i="1"/>
  <c r="CY2589" i="1"/>
  <c r="Y2589" i="1" s="1"/>
  <c r="CW2589" i="1"/>
  <c r="AA2589" i="1" s="1"/>
  <c r="CR2589" i="1"/>
  <c r="CP2589" i="1"/>
  <c r="CN2589" i="1"/>
  <c r="CJ2589" i="1"/>
  <c r="CH2589" i="1"/>
  <c r="CF2589" i="1"/>
  <c r="BL2589" i="1"/>
  <c r="BD2589" i="1"/>
  <c r="AZ2589" i="1"/>
  <c r="AX2589" i="1"/>
  <c r="DC2533" i="1"/>
  <c r="DA2533" i="1"/>
  <c r="CY2533" i="1"/>
  <c r="Y2533" i="1" s="1"/>
  <c r="CW2533" i="1"/>
  <c r="AA2533" i="1" s="1"/>
  <c r="CR2533" i="1"/>
  <c r="CP2533" i="1"/>
  <c r="CN2533" i="1"/>
  <c r="CJ2533" i="1"/>
  <c r="CH2533" i="1"/>
  <c r="CF2533" i="1"/>
  <c r="BL2533" i="1"/>
  <c r="BD2533" i="1"/>
  <c r="AZ2533" i="1"/>
  <c r="AX2533" i="1"/>
  <c r="DC2542" i="1"/>
  <c r="DA2542" i="1"/>
  <c r="CY2542" i="1"/>
  <c r="Y2542" i="1" s="1"/>
  <c r="CW2542" i="1"/>
  <c r="AA2542" i="1" s="1"/>
  <c r="CR2542" i="1"/>
  <c r="CP2542" i="1"/>
  <c r="CN2542" i="1"/>
  <c r="CJ2542" i="1"/>
  <c r="CH2542" i="1"/>
  <c r="CF2542" i="1"/>
  <c r="BL2542" i="1"/>
  <c r="BD2542" i="1"/>
  <c r="AZ2542" i="1"/>
  <c r="AX2542" i="1"/>
  <c r="DC2551" i="1"/>
  <c r="DA2551" i="1"/>
  <c r="CY2551" i="1"/>
  <c r="Y2551" i="1" s="1"/>
  <c r="CW2551" i="1"/>
  <c r="AA2551" i="1" s="1"/>
  <c r="CR2551" i="1"/>
  <c r="CP2551" i="1"/>
  <c r="CN2551" i="1"/>
  <c r="CJ2551" i="1"/>
  <c r="CH2551" i="1"/>
  <c r="CF2551" i="1"/>
  <c r="BL2551" i="1"/>
  <c r="BD2551" i="1"/>
  <c r="AZ2551" i="1"/>
  <c r="AX2551" i="1"/>
  <c r="DC2565" i="1"/>
  <c r="DA2565" i="1"/>
  <c r="CY2565" i="1"/>
  <c r="Y2565" i="1" s="1"/>
  <c r="CW2565" i="1"/>
  <c r="AA2565" i="1" s="1"/>
  <c r="CR2565" i="1"/>
  <c r="CP2565" i="1"/>
  <c r="CN2565" i="1"/>
  <c r="CJ2565" i="1"/>
  <c r="CH2565" i="1"/>
  <c r="CF2565" i="1"/>
  <c r="BL2565" i="1"/>
  <c r="BD2565" i="1"/>
  <c r="AZ2565" i="1"/>
  <c r="AX2565" i="1"/>
  <c r="DC2564" i="1"/>
  <c r="DA2564" i="1"/>
  <c r="CY2564" i="1"/>
  <c r="Y2564" i="1" s="1"/>
  <c r="CW2564" i="1"/>
  <c r="AA2564" i="1" s="1"/>
  <c r="CR2564" i="1"/>
  <c r="CP2564" i="1"/>
  <c r="CN2564" i="1"/>
  <c r="CJ2564" i="1"/>
  <c r="CH2564" i="1"/>
  <c r="CF2564" i="1"/>
  <c r="BL2564" i="1"/>
  <c r="BD2564" i="1"/>
  <c r="AZ2564" i="1"/>
  <c r="AX2564" i="1"/>
  <c r="DC2559" i="1"/>
  <c r="DA2559" i="1"/>
  <c r="CY2559" i="1"/>
  <c r="Y2559" i="1" s="1"/>
  <c r="CW2559" i="1"/>
  <c r="AA2559" i="1" s="1"/>
  <c r="CR2559" i="1"/>
  <c r="CP2559" i="1"/>
  <c r="CN2559" i="1"/>
  <c r="CJ2559" i="1"/>
  <c r="CH2559" i="1"/>
  <c r="CF2559" i="1"/>
  <c r="BL2559" i="1"/>
  <c r="BD2559" i="1"/>
  <c r="AZ2559" i="1"/>
  <c r="AX2559" i="1"/>
  <c r="DC2563" i="1"/>
  <c r="DA2563" i="1"/>
  <c r="CY2563" i="1"/>
  <c r="Y2563" i="1" s="1"/>
  <c r="CW2563" i="1"/>
  <c r="AA2563" i="1" s="1"/>
  <c r="CR2563" i="1"/>
  <c r="CP2563" i="1"/>
  <c r="CN2563" i="1"/>
  <c r="CJ2563" i="1"/>
  <c r="CH2563" i="1"/>
  <c r="CF2563" i="1"/>
  <c r="BL2563" i="1"/>
  <c r="BD2563" i="1"/>
  <c r="AZ2563" i="1"/>
  <c r="AX2563" i="1"/>
  <c r="DC2562" i="1"/>
  <c r="DA2562" i="1"/>
  <c r="CY2562" i="1"/>
  <c r="Y2562" i="1" s="1"/>
  <c r="CW2562" i="1"/>
  <c r="AA2562" i="1" s="1"/>
  <c r="CR2562" i="1"/>
  <c r="CP2562" i="1"/>
  <c r="CN2562" i="1"/>
  <c r="CJ2562" i="1"/>
  <c r="CH2562" i="1"/>
  <c r="CF2562" i="1"/>
  <c r="BL2562" i="1"/>
  <c r="BD2562" i="1"/>
  <c r="AZ2562" i="1"/>
  <c r="AX2562" i="1"/>
  <c r="DC2561" i="1"/>
  <c r="DA2561" i="1"/>
  <c r="CY2561" i="1"/>
  <c r="Y2561" i="1" s="1"/>
  <c r="CW2561" i="1"/>
  <c r="AA2561" i="1" s="1"/>
  <c r="CR2561" i="1"/>
  <c r="CP2561" i="1"/>
  <c r="CN2561" i="1"/>
  <c r="CJ2561" i="1"/>
  <c r="CH2561" i="1"/>
  <c r="CF2561" i="1"/>
  <c r="BL2561" i="1"/>
  <c r="BD2561" i="1"/>
  <c r="AZ2561" i="1"/>
  <c r="AX2561" i="1"/>
  <c r="DC2553" i="1"/>
  <c r="DA2553" i="1"/>
  <c r="CY2553" i="1"/>
  <c r="Y2553" i="1" s="1"/>
  <c r="CW2553" i="1"/>
  <c r="AA2553" i="1" s="1"/>
  <c r="CR2553" i="1"/>
  <c r="CP2553" i="1"/>
  <c r="CN2553" i="1"/>
  <c r="CJ2553" i="1"/>
  <c r="CH2553" i="1"/>
  <c r="CF2553" i="1"/>
  <c r="BL2553" i="1"/>
  <c r="BD2553" i="1"/>
  <c r="AZ2553" i="1"/>
  <c r="AX2553" i="1"/>
  <c r="DC2552" i="1"/>
  <c r="DA2552" i="1"/>
  <c r="CY2552" i="1"/>
  <c r="Y2552" i="1" s="1"/>
  <c r="CW2552" i="1"/>
  <c r="AA2552" i="1" s="1"/>
  <c r="CR2552" i="1"/>
  <c r="CP2552" i="1"/>
  <c r="CN2552" i="1"/>
  <c r="CJ2552" i="1"/>
  <c r="CH2552" i="1"/>
  <c r="CF2552" i="1"/>
  <c r="BL2552" i="1"/>
  <c r="BD2552" i="1"/>
  <c r="AZ2552" i="1"/>
  <c r="AX2552" i="1"/>
  <c r="DC2508" i="1"/>
  <c r="DA2508" i="1"/>
  <c r="CY2508" i="1"/>
  <c r="Y2508" i="1" s="1"/>
  <c r="CW2508" i="1"/>
  <c r="AA2508" i="1" s="1"/>
  <c r="CR2508" i="1"/>
  <c r="CP2508" i="1"/>
  <c r="CN2508" i="1"/>
  <c r="CJ2508" i="1"/>
  <c r="CH2508" i="1"/>
  <c r="CF2508" i="1"/>
  <c r="BL2508" i="1"/>
  <c r="BD2508" i="1"/>
  <c r="AZ2508" i="1"/>
  <c r="AX2508" i="1"/>
  <c r="DC2560" i="1"/>
  <c r="DA2560" i="1"/>
  <c r="CY2560" i="1"/>
  <c r="Y2560" i="1" s="1"/>
  <c r="CW2560" i="1"/>
  <c r="AA2560" i="1" s="1"/>
  <c r="CR2560" i="1"/>
  <c r="CP2560" i="1"/>
  <c r="CN2560" i="1"/>
  <c r="CJ2560" i="1"/>
  <c r="CH2560" i="1"/>
  <c r="CF2560" i="1"/>
  <c r="BL2560" i="1"/>
  <c r="BD2560" i="1"/>
  <c r="AZ2560" i="1"/>
  <c r="AX2560" i="1"/>
  <c r="DC2554" i="1"/>
  <c r="DA2554" i="1"/>
  <c r="CY2554" i="1"/>
  <c r="Y2554" i="1" s="1"/>
  <c r="CW2554" i="1"/>
  <c r="AA2554" i="1" s="1"/>
  <c r="CR2554" i="1"/>
  <c r="CP2554" i="1"/>
  <c r="CN2554" i="1"/>
  <c r="CJ2554" i="1"/>
  <c r="CH2554" i="1"/>
  <c r="CF2554" i="1"/>
  <c r="BL2554" i="1"/>
  <c r="BD2554" i="1"/>
  <c r="AZ2554" i="1"/>
  <c r="AX2554" i="1"/>
  <c r="DC2550" i="1"/>
  <c r="DA2550" i="1"/>
  <c r="CY2550" i="1"/>
  <c r="Y2550" i="1" s="1"/>
  <c r="CW2550" i="1"/>
  <c r="AA2550" i="1" s="1"/>
  <c r="CR2550" i="1"/>
  <c r="CP2550" i="1"/>
  <c r="CN2550" i="1"/>
  <c r="CJ2550" i="1"/>
  <c r="CH2550" i="1"/>
  <c r="CF2550" i="1"/>
  <c r="BL2550" i="1"/>
  <c r="BD2550" i="1"/>
  <c r="AZ2550" i="1"/>
  <c r="AX2550" i="1"/>
  <c r="DC2530" i="1"/>
  <c r="DA2530" i="1"/>
  <c r="CY2530" i="1"/>
  <c r="Y2530" i="1" s="1"/>
  <c r="CW2530" i="1"/>
  <c r="AA2530" i="1" s="1"/>
  <c r="CR2530" i="1"/>
  <c r="CP2530" i="1"/>
  <c r="CN2530" i="1"/>
  <c r="CJ2530" i="1"/>
  <c r="CH2530" i="1"/>
  <c r="CF2530" i="1"/>
  <c r="BL2530" i="1"/>
  <c r="BD2530" i="1"/>
  <c r="AZ2530" i="1"/>
  <c r="AX2530" i="1"/>
  <c r="DC2546" i="1"/>
  <c r="DA2546" i="1"/>
  <c r="CY2546" i="1"/>
  <c r="Y2546" i="1" s="1"/>
  <c r="CW2546" i="1"/>
  <c r="AA2546" i="1" s="1"/>
  <c r="CR2546" i="1"/>
  <c r="CP2546" i="1"/>
  <c r="CN2546" i="1"/>
  <c r="CJ2546" i="1"/>
  <c r="CH2546" i="1"/>
  <c r="CF2546" i="1"/>
  <c r="BL2546" i="1"/>
  <c r="BD2546" i="1"/>
  <c r="AZ2546" i="1"/>
  <c r="AX2546" i="1"/>
  <c r="DC2531" i="1"/>
  <c r="DA2531" i="1"/>
  <c r="CY2531" i="1"/>
  <c r="Y2531" i="1" s="1"/>
  <c r="CW2531" i="1"/>
  <c r="AA2531" i="1" s="1"/>
  <c r="CR2531" i="1"/>
  <c r="CP2531" i="1"/>
  <c r="CN2531" i="1"/>
  <c r="CJ2531" i="1"/>
  <c r="CH2531" i="1"/>
  <c r="CF2531" i="1"/>
  <c r="BL2531" i="1"/>
  <c r="BD2531" i="1"/>
  <c r="AZ2531" i="1"/>
  <c r="AX2531" i="1"/>
  <c r="DC2543" i="1"/>
  <c r="DA2543" i="1"/>
  <c r="CY2543" i="1"/>
  <c r="Y2543" i="1" s="1"/>
  <c r="CW2543" i="1"/>
  <c r="AA2543" i="1" s="1"/>
  <c r="CR2543" i="1"/>
  <c r="CP2543" i="1"/>
  <c r="CN2543" i="1"/>
  <c r="CJ2543" i="1"/>
  <c r="CH2543" i="1"/>
  <c r="CF2543" i="1"/>
  <c r="BL2543" i="1"/>
  <c r="BD2543" i="1"/>
  <c r="AZ2543" i="1"/>
  <c r="AX2543" i="1"/>
  <c r="DC2545" i="1"/>
  <c r="DA2545" i="1"/>
  <c r="CY2545" i="1"/>
  <c r="Y2545" i="1" s="1"/>
  <c r="CW2545" i="1"/>
  <c r="AA2545" i="1" s="1"/>
  <c r="CR2545" i="1"/>
  <c r="CP2545" i="1"/>
  <c r="CN2545" i="1"/>
  <c r="CJ2545" i="1"/>
  <c r="CH2545" i="1"/>
  <c r="CF2545" i="1"/>
  <c r="BL2545" i="1"/>
  <c r="BD2545" i="1"/>
  <c r="AZ2545" i="1"/>
  <c r="AX2545" i="1"/>
  <c r="DC2539" i="1"/>
  <c r="DA2539" i="1"/>
  <c r="CY2539" i="1"/>
  <c r="Y2539" i="1" s="1"/>
  <c r="CW2539" i="1"/>
  <c r="AA2539" i="1" s="1"/>
  <c r="CR2539" i="1"/>
  <c r="CP2539" i="1"/>
  <c r="CN2539" i="1"/>
  <c r="CJ2539" i="1"/>
  <c r="CH2539" i="1"/>
  <c r="CF2539" i="1"/>
  <c r="BL2539" i="1"/>
  <c r="BD2539" i="1"/>
  <c r="AZ2539" i="1"/>
  <c r="AX2539" i="1"/>
  <c r="DC2532" i="1"/>
  <c r="DA2532" i="1"/>
  <c r="CY2532" i="1"/>
  <c r="Y2532" i="1" s="1"/>
  <c r="CW2532" i="1"/>
  <c r="AA2532" i="1" s="1"/>
  <c r="CR2532" i="1"/>
  <c r="CP2532" i="1"/>
  <c r="CN2532" i="1"/>
  <c r="CJ2532" i="1"/>
  <c r="CH2532" i="1"/>
  <c r="CF2532" i="1"/>
  <c r="BL2532" i="1"/>
  <c r="BD2532" i="1"/>
  <c r="AZ2532" i="1"/>
  <c r="AX2532" i="1"/>
  <c r="DC2529" i="1"/>
  <c r="DA2529" i="1"/>
  <c r="CY2529" i="1"/>
  <c r="Y2529" i="1" s="1"/>
  <c r="CW2529" i="1"/>
  <c r="AA2529" i="1" s="1"/>
  <c r="CR2529" i="1"/>
  <c r="CP2529" i="1"/>
  <c r="CN2529" i="1"/>
  <c r="CJ2529" i="1"/>
  <c r="CH2529" i="1"/>
  <c r="CF2529" i="1"/>
  <c r="BL2529" i="1"/>
  <c r="BD2529" i="1"/>
  <c r="AZ2529" i="1"/>
  <c r="AX2529" i="1"/>
  <c r="DC2541" i="1"/>
  <c r="DA2541" i="1"/>
  <c r="CY2541" i="1"/>
  <c r="Y2541" i="1" s="1"/>
  <c r="CW2541" i="1"/>
  <c r="AA2541" i="1" s="1"/>
  <c r="CR2541" i="1"/>
  <c r="CP2541" i="1"/>
  <c r="CN2541" i="1"/>
  <c r="CJ2541" i="1"/>
  <c r="CH2541" i="1"/>
  <c r="CF2541" i="1"/>
  <c r="BL2541" i="1"/>
  <c r="BD2541" i="1"/>
  <c r="AZ2541" i="1"/>
  <c r="AX2541" i="1"/>
  <c r="DC2548" i="1"/>
  <c r="DA2548" i="1"/>
  <c r="CY2548" i="1"/>
  <c r="Y2548" i="1" s="1"/>
  <c r="CW2548" i="1"/>
  <c r="AA2548" i="1" s="1"/>
  <c r="CR2548" i="1"/>
  <c r="CP2548" i="1"/>
  <c r="CN2548" i="1"/>
  <c r="CJ2548" i="1"/>
  <c r="CH2548" i="1"/>
  <c r="CF2548" i="1"/>
  <c r="BL2548" i="1"/>
  <c r="BD2548" i="1"/>
  <c r="AZ2548" i="1"/>
  <c r="AX2548" i="1"/>
  <c r="DC2547" i="1"/>
  <c r="DA2547" i="1"/>
  <c r="CY2547" i="1"/>
  <c r="Y2547" i="1" s="1"/>
  <c r="CW2547" i="1"/>
  <c r="AA2547" i="1" s="1"/>
  <c r="CR2547" i="1"/>
  <c r="CP2547" i="1"/>
  <c r="CN2547" i="1"/>
  <c r="CJ2547" i="1"/>
  <c r="CH2547" i="1"/>
  <c r="CF2547" i="1"/>
  <c r="BL2547" i="1"/>
  <c r="BD2547" i="1"/>
  <c r="AZ2547" i="1"/>
  <c r="AX2547" i="1"/>
  <c r="DC2549" i="1"/>
  <c r="DA2549" i="1"/>
  <c r="CY2549" i="1"/>
  <c r="Y2549" i="1" s="1"/>
  <c r="CW2549" i="1"/>
  <c r="AA2549" i="1" s="1"/>
  <c r="CR2549" i="1"/>
  <c r="CP2549" i="1"/>
  <c r="CN2549" i="1"/>
  <c r="CJ2549" i="1"/>
  <c r="CH2549" i="1"/>
  <c r="CF2549" i="1"/>
  <c r="BL2549" i="1"/>
  <c r="BD2549" i="1"/>
  <c r="AZ2549" i="1"/>
  <c r="AX2549" i="1"/>
  <c r="DC2407" i="1"/>
  <c r="DA2407" i="1"/>
  <c r="CY2407" i="1"/>
  <c r="Y2407" i="1" s="1"/>
  <c r="CW2407" i="1"/>
  <c r="AA2407" i="1" s="1"/>
  <c r="CR2407" i="1"/>
  <c r="CP2407" i="1"/>
  <c r="CN2407" i="1"/>
  <c r="CJ2407" i="1"/>
  <c r="CH2407" i="1"/>
  <c r="CF2407" i="1"/>
  <c r="BL2407" i="1"/>
  <c r="BD2407" i="1"/>
  <c r="AZ2407" i="1"/>
  <c r="AX2407" i="1"/>
  <c r="CY2406" i="1"/>
  <c r="Y2406" i="1" s="1"/>
  <c r="CW2406" i="1"/>
  <c r="AA2406" i="1" s="1"/>
  <c r="CR2406" i="1"/>
  <c r="CP2406" i="1"/>
  <c r="CN2406" i="1"/>
  <c r="CJ2406" i="1"/>
  <c r="CH2406" i="1"/>
  <c r="CF2406" i="1"/>
  <c r="BL2406" i="1"/>
  <c r="BD2406" i="1"/>
  <c r="AZ2406" i="1"/>
  <c r="AX2406" i="1"/>
  <c r="DC2534" i="1"/>
  <c r="DA2534" i="1"/>
  <c r="CY2534" i="1"/>
  <c r="Y2534" i="1" s="1"/>
  <c r="CW2534" i="1"/>
  <c r="AA2534" i="1" s="1"/>
  <c r="CR2534" i="1"/>
  <c r="CP2534" i="1"/>
  <c r="CN2534" i="1"/>
  <c r="CJ2534" i="1"/>
  <c r="CH2534" i="1"/>
  <c r="CF2534" i="1"/>
  <c r="BL2534" i="1"/>
  <c r="BD2534" i="1"/>
  <c r="AZ2534" i="1"/>
  <c r="AX2534" i="1"/>
  <c r="DC2535" i="1"/>
  <c r="DA2535" i="1"/>
  <c r="CY2535" i="1"/>
  <c r="Y2535" i="1" s="1"/>
  <c r="CW2535" i="1"/>
  <c r="AA2535" i="1" s="1"/>
  <c r="CR2535" i="1"/>
  <c r="CP2535" i="1"/>
  <c r="CN2535" i="1"/>
  <c r="CJ2535" i="1"/>
  <c r="CH2535" i="1"/>
  <c r="CF2535" i="1"/>
  <c r="BL2535" i="1"/>
  <c r="BD2535" i="1"/>
  <c r="AZ2535" i="1"/>
  <c r="AX2535" i="1"/>
  <c r="DC2544" i="1"/>
  <c r="DA2544" i="1"/>
  <c r="CY2544" i="1"/>
  <c r="Y2544" i="1" s="1"/>
  <c r="CW2544" i="1"/>
  <c r="AA2544" i="1" s="1"/>
  <c r="CR2544" i="1"/>
  <c r="CP2544" i="1"/>
  <c r="CN2544" i="1"/>
  <c r="CJ2544" i="1"/>
  <c r="CH2544" i="1"/>
  <c r="CF2544" i="1"/>
  <c r="BL2544" i="1"/>
  <c r="BD2544" i="1"/>
  <c r="AZ2544" i="1"/>
  <c r="AX2544" i="1"/>
  <c r="Y2487" i="1"/>
  <c r="CW2487" i="1"/>
  <c r="AA2487" i="1" s="1"/>
  <c r="CN2487" i="1"/>
  <c r="CJ2487" i="1"/>
  <c r="CH2487" i="1"/>
  <c r="CF2487" i="1"/>
  <c r="BL2487" i="1"/>
  <c r="BD2487" i="1"/>
  <c r="AX2487" i="1"/>
  <c r="DC2538" i="1"/>
  <c r="DA2538" i="1"/>
  <c r="CY2538" i="1"/>
  <c r="Y2538" i="1" s="1"/>
  <c r="CW2538" i="1"/>
  <c r="AA2538" i="1" s="1"/>
  <c r="CR2538" i="1"/>
  <c r="CP2538" i="1"/>
  <c r="CN2538" i="1"/>
  <c r="CJ2538" i="1"/>
  <c r="CH2538" i="1"/>
  <c r="CF2538" i="1"/>
  <c r="BL2538" i="1"/>
  <c r="BD2538" i="1"/>
  <c r="AZ2538" i="1"/>
  <c r="AX2538" i="1"/>
  <c r="DC2537" i="1"/>
  <c r="DA2537" i="1"/>
  <c r="CY2537" i="1"/>
  <c r="Y2537" i="1" s="1"/>
  <c r="CW2537" i="1"/>
  <c r="AA2537" i="1" s="1"/>
  <c r="CR2537" i="1"/>
  <c r="CP2537" i="1"/>
  <c r="CN2537" i="1"/>
  <c r="CJ2537" i="1"/>
  <c r="CH2537" i="1"/>
  <c r="CF2537" i="1"/>
  <c r="BL2537" i="1"/>
  <c r="BD2537" i="1"/>
  <c r="AZ2537" i="1"/>
  <c r="AX2537" i="1"/>
  <c r="Z2550" i="1" l="1"/>
  <c r="Z2537" i="1"/>
  <c r="Z2541" i="1"/>
  <c r="Z2589" i="1"/>
  <c r="Z2533" i="1"/>
  <c r="Z2543" i="1"/>
  <c r="Z2553" i="1"/>
  <c r="Z2549" i="1"/>
  <c r="Z2547" i="1"/>
  <c r="Z2529" i="1"/>
  <c r="Z2559" i="1"/>
  <c r="CU2531" i="1"/>
  <c r="X2531" i="1" s="1"/>
  <c r="Z2531" i="1"/>
  <c r="CU2565" i="1"/>
  <c r="X2565" i="1" s="1"/>
  <c r="Z2565" i="1"/>
  <c r="CU2406" i="1"/>
  <c r="X2406" i="1" s="1"/>
  <c r="Z2406" i="1"/>
  <c r="Z2542" i="1"/>
  <c r="Z2487" i="1"/>
  <c r="Z2560" i="1"/>
  <c r="CU2538" i="1"/>
  <c r="X2538" i="1" s="1"/>
  <c r="Z2538" i="1"/>
  <c r="Z2534" i="1"/>
  <c r="CU2548" i="1"/>
  <c r="X2548" i="1" s="1"/>
  <c r="Z2548" i="1"/>
  <c r="Z2545" i="1"/>
  <c r="CU2554" i="1"/>
  <c r="X2554" i="1" s="1"/>
  <c r="Z2554" i="1"/>
  <c r="Z2561" i="1"/>
  <c r="Z2564" i="1"/>
  <c r="CU2539" i="1"/>
  <c r="X2539" i="1" s="1"/>
  <c r="Z2539" i="1"/>
  <c r="Z2530" i="1"/>
  <c r="Z2552" i="1"/>
  <c r="Z2563" i="1"/>
  <c r="X2352" i="1"/>
  <c r="Z2352" i="1"/>
  <c r="Z2544" i="1"/>
  <c r="Z2407" i="1"/>
  <c r="Z2532" i="1"/>
  <c r="Z2546" i="1"/>
  <c r="CU2550" i="1"/>
  <c r="X2550" i="1" s="1"/>
  <c r="Z2508" i="1"/>
  <c r="Z2562" i="1"/>
  <c r="Z2551" i="1"/>
  <c r="Z2588" i="1"/>
  <c r="CU2487" i="1"/>
  <c r="X2487" i="1" s="1"/>
  <c r="CU2407" i="1"/>
  <c r="X2407" i="1" s="1"/>
  <c r="CU2546" i="1"/>
  <c r="X2546" i="1" s="1"/>
  <c r="CU2552" i="1"/>
  <c r="X2552" i="1" s="1"/>
  <c r="CU2535" i="1"/>
  <c r="X2535" i="1" s="1"/>
  <c r="Z2535" i="1"/>
  <c r="CU2549" i="1"/>
  <c r="X2549" i="1" s="1"/>
  <c r="CU2529" i="1"/>
  <c r="X2529" i="1" s="1"/>
  <c r="CU2543" i="1"/>
  <c r="X2543" i="1" s="1"/>
  <c r="CU2553" i="1"/>
  <c r="X2553" i="1" s="1"/>
  <c r="CU2559" i="1"/>
  <c r="X2559" i="1" s="1"/>
  <c r="CU2542" i="1"/>
  <c r="X2542" i="1" s="1"/>
  <c r="CU2589" i="1"/>
  <c r="X2589" i="1" s="1"/>
  <c r="CU2537" i="1"/>
  <c r="X2537" i="1" s="1"/>
  <c r="CU2534" i="1"/>
  <c r="X2534" i="1" s="1"/>
  <c r="CU2547" i="1"/>
  <c r="X2547" i="1" s="1"/>
  <c r="CU2532" i="1"/>
  <c r="X2532" i="1" s="1"/>
  <c r="CU2530" i="1"/>
  <c r="X2530" i="1" s="1"/>
  <c r="CU2561" i="1"/>
  <c r="X2561" i="1" s="1"/>
  <c r="CU2564" i="1"/>
  <c r="X2564" i="1" s="1"/>
  <c r="CU2533" i="1"/>
  <c r="X2533" i="1" s="1"/>
  <c r="CU2588" i="1"/>
  <c r="X2588" i="1" s="1"/>
  <c r="CU2544" i="1"/>
  <c r="X2544" i="1" s="1"/>
  <c r="CU2541" i="1"/>
  <c r="X2541" i="1" s="1"/>
  <c r="CU2545" i="1"/>
  <c r="X2545" i="1" s="1"/>
  <c r="CU2560" i="1"/>
  <c r="X2560" i="1" s="1"/>
  <c r="CU2508" i="1"/>
  <c r="X2508" i="1" s="1"/>
  <c r="CU2562" i="1"/>
  <c r="X2562" i="1" s="1"/>
  <c r="CU2563" i="1"/>
  <c r="X2563" i="1" s="1"/>
  <c r="CU2551" i="1"/>
  <c r="X2551" i="1" s="1"/>
  <c r="W2039" i="1"/>
  <c r="AD2546" i="1" l="1"/>
  <c r="AD2530" i="1"/>
  <c r="AD2545" i="1"/>
  <c r="AD2559" i="1"/>
  <c r="AD2537" i="1"/>
  <c r="AD2561" i="1"/>
  <c r="AD2549" i="1"/>
  <c r="AD2550" i="1"/>
  <c r="AD2352" i="1"/>
  <c r="AD2531" i="1"/>
  <c r="AD2541" i="1"/>
  <c r="AD2548" i="1"/>
  <c r="AD2560" i="1"/>
  <c r="AD2553" i="1"/>
  <c r="AD2554" i="1"/>
  <c r="AD2563" i="1"/>
  <c r="AD2533" i="1"/>
  <c r="AD2589" i="1"/>
  <c r="AD2543" i="1"/>
  <c r="AD2551" i="1"/>
  <c r="AD2534" i="1"/>
  <c r="AD2565" i="1"/>
  <c r="AD2588" i="1"/>
  <c r="AD2406" i="1"/>
  <c r="AD2547" i="1"/>
  <c r="AD2542" i="1"/>
  <c r="AD2529" i="1"/>
  <c r="AD2487" i="1"/>
  <c r="AD2544" i="1"/>
  <c r="AD2552" i="1"/>
  <c r="AD2539" i="1"/>
  <c r="AD2538" i="1"/>
  <c r="AD2562" i="1"/>
  <c r="AD2532" i="1"/>
  <c r="AD2508" i="1"/>
  <c r="AD2564" i="1"/>
  <c r="AD2535" i="1"/>
  <c r="AD2407" i="1"/>
  <c r="DC2503" i="1"/>
  <c r="DA2503" i="1"/>
  <c r="CY2503" i="1"/>
  <c r="Y2503" i="1" s="1"/>
  <c r="CW2503" i="1"/>
  <c r="AA2503" i="1" s="1"/>
  <c r="CR2503" i="1"/>
  <c r="CP2503" i="1"/>
  <c r="CN2503" i="1"/>
  <c r="CJ2503" i="1"/>
  <c r="CH2503" i="1"/>
  <c r="CF2503" i="1"/>
  <c r="BL2503" i="1"/>
  <c r="BD2503" i="1"/>
  <c r="AZ2503" i="1"/>
  <c r="AX2503" i="1"/>
  <c r="DC2517" i="1"/>
  <c r="DA2517" i="1"/>
  <c r="CY2517" i="1"/>
  <c r="Y2517" i="1" s="1"/>
  <c r="CW2517" i="1"/>
  <c r="AA2517" i="1" s="1"/>
  <c r="CR2517" i="1"/>
  <c r="CP2517" i="1"/>
  <c r="CN2517" i="1"/>
  <c r="CJ2517" i="1"/>
  <c r="CH2517" i="1"/>
  <c r="CF2517" i="1"/>
  <c r="BL2517" i="1"/>
  <c r="BD2517" i="1"/>
  <c r="AZ2517" i="1"/>
  <c r="AX2517" i="1"/>
  <c r="DC2511" i="1"/>
  <c r="DA2511" i="1"/>
  <c r="CY2511" i="1"/>
  <c r="Y2511" i="1" s="1"/>
  <c r="CW2511" i="1"/>
  <c r="AA2511" i="1" s="1"/>
  <c r="CR2511" i="1"/>
  <c r="CP2511" i="1"/>
  <c r="CN2511" i="1"/>
  <c r="CJ2511" i="1"/>
  <c r="CH2511" i="1"/>
  <c r="CF2511" i="1"/>
  <c r="BL2511" i="1"/>
  <c r="BD2511" i="1"/>
  <c r="AZ2511" i="1"/>
  <c r="AX2511" i="1"/>
  <c r="DC2516" i="1"/>
  <c r="DA2516" i="1"/>
  <c r="CY2516" i="1"/>
  <c r="Y2516" i="1" s="1"/>
  <c r="CW2516" i="1"/>
  <c r="AA2516" i="1" s="1"/>
  <c r="CR2516" i="1"/>
  <c r="CP2516" i="1"/>
  <c r="CN2516" i="1"/>
  <c r="CJ2516" i="1"/>
  <c r="CH2516" i="1"/>
  <c r="CF2516" i="1"/>
  <c r="BL2516" i="1"/>
  <c r="BD2516" i="1"/>
  <c r="AZ2516" i="1"/>
  <c r="AX2516" i="1"/>
  <c r="DC2494" i="1"/>
  <c r="DA2494" i="1"/>
  <c r="CY2494" i="1"/>
  <c r="Y2494" i="1" s="1"/>
  <c r="CW2494" i="1"/>
  <c r="AA2494" i="1" s="1"/>
  <c r="CR2494" i="1"/>
  <c r="CP2494" i="1"/>
  <c r="CN2494" i="1"/>
  <c r="CJ2494" i="1"/>
  <c r="CH2494" i="1"/>
  <c r="CF2494" i="1"/>
  <c r="BL2494" i="1"/>
  <c r="BD2494" i="1"/>
  <c r="AZ2494" i="1"/>
  <c r="AX2494" i="1"/>
  <c r="DC2450" i="1"/>
  <c r="DA2450" i="1"/>
  <c r="CY2450" i="1"/>
  <c r="Y2450" i="1" s="1"/>
  <c r="CW2450" i="1"/>
  <c r="AA2450" i="1" s="1"/>
  <c r="CR2450" i="1"/>
  <c r="CP2450" i="1"/>
  <c r="CN2450" i="1"/>
  <c r="CJ2450" i="1"/>
  <c r="CH2450" i="1"/>
  <c r="CF2450" i="1"/>
  <c r="BL2450" i="1"/>
  <c r="BD2450" i="1"/>
  <c r="AZ2450" i="1"/>
  <c r="AX2450" i="1"/>
  <c r="DC2445" i="1"/>
  <c r="DA2445" i="1"/>
  <c r="CY2445" i="1"/>
  <c r="Y2445" i="1" s="1"/>
  <c r="CW2445" i="1"/>
  <c r="AA2445" i="1" s="1"/>
  <c r="CR2445" i="1"/>
  <c r="CP2445" i="1"/>
  <c r="CN2445" i="1"/>
  <c r="CJ2445" i="1"/>
  <c r="CH2445" i="1"/>
  <c r="CF2445" i="1"/>
  <c r="BL2445" i="1"/>
  <c r="BD2445" i="1"/>
  <c r="AZ2445" i="1"/>
  <c r="AX2445" i="1"/>
  <c r="DC2499" i="1"/>
  <c r="DA2499" i="1"/>
  <c r="CY2499" i="1"/>
  <c r="Y2499" i="1" s="1"/>
  <c r="CW2499" i="1"/>
  <c r="AA2499" i="1" s="1"/>
  <c r="CR2499" i="1"/>
  <c r="CP2499" i="1"/>
  <c r="CN2499" i="1"/>
  <c r="CJ2499" i="1"/>
  <c r="CH2499" i="1"/>
  <c r="CF2499" i="1"/>
  <c r="BL2499" i="1"/>
  <c r="BD2499" i="1"/>
  <c r="AZ2499" i="1"/>
  <c r="AX2499" i="1"/>
  <c r="DC2449" i="1"/>
  <c r="DA2449" i="1"/>
  <c r="CY2449" i="1"/>
  <c r="Y2449" i="1" s="1"/>
  <c r="CW2449" i="1"/>
  <c r="AA2449" i="1" s="1"/>
  <c r="CR2449" i="1"/>
  <c r="CP2449" i="1"/>
  <c r="CN2449" i="1"/>
  <c r="CJ2449" i="1"/>
  <c r="CH2449" i="1"/>
  <c r="CF2449" i="1"/>
  <c r="BL2449" i="1"/>
  <c r="BD2449" i="1"/>
  <c r="AZ2449" i="1"/>
  <c r="AX2449" i="1"/>
  <c r="DC2454" i="1"/>
  <c r="DA2454" i="1"/>
  <c r="CY2454" i="1"/>
  <c r="Y2454" i="1" s="1"/>
  <c r="CW2454" i="1"/>
  <c r="AA2454" i="1" s="1"/>
  <c r="CR2454" i="1"/>
  <c r="CP2454" i="1"/>
  <c r="CN2454" i="1"/>
  <c r="CJ2454" i="1"/>
  <c r="CH2454" i="1"/>
  <c r="CF2454" i="1"/>
  <c r="BL2454" i="1"/>
  <c r="BD2454" i="1"/>
  <c r="AZ2454" i="1"/>
  <c r="AX2454" i="1"/>
  <c r="DC2496" i="1"/>
  <c r="DA2496" i="1"/>
  <c r="CY2496" i="1"/>
  <c r="Y2496" i="1" s="1"/>
  <c r="CW2496" i="1"/>
  <c r="AA2496" i="1" s="1"/>
  <c r="CR2496" i="1"/>
  <c r="CP2496" i="1"/>
  <c r="CN2496" i="1"/>
  <c r="CJ2496" i="1"/>
  <c r="CH2496" i="1"/>
  <c r="CF2496" i="1"/>
  <c r="BL2496" i="1"/>
  <c r="BD2496" i="1"/>
  <c r="AZ2496" i="1"/>
  <c r="AX2496" i="1"/>
  <c r="DC2493" i="1"/>
  <c r="DA2493" i="1"/>
  <c r="CY2493" i="1"/>
  <c r="Y2493" i="1" s="1"/>
  <c r="CW2493" i="1"/>
  <c r="AA2493" i="1" s="1"/>
  <c r="CR2493" i="1"/>
  <c r="CP2493" i="1"/>
  <c r="CN2493" i="1"/>
  <c r="CJ2493" i="1"/>
  <c r="CH2493" i="1"/>
  <c r="CF2493" i="1"/>
  <c r="BL2493" i="1"/>
  <c r="BD2493" i="1"/>
  <c r="AZ2493" i="1"/>
  <c r="AX2493" i="1"/>
  <c r="DC2505" i="1"/>
  <c r="DA2505" i="1"/>
  <c r="CY2505" i="1"/>
  <c r="Y2505" i="1" s="1"/>
  <c r="CW2505" i="1"/>
  <c r="AA2505" i="1" s="1"/>
  <c r="CR2505" i="1"/>
  <c r="CP2505" i="1"/>
  <c r="CN2505" i="1"/>
  <c r="CJ2505" i="1"/>
  <c r="CH2505" i="1"/>
  <c r="CF2505" i="1"/>
  <c r="BL2505" i="1"/>
  <c r="BD2505" i="1"/>
  <c r="AZ2505" i="1"/>
  <c r="AX2505" i="1"/>
  <c r="DC2489" i="1"/>
  <c r="DA2489" i="1"/>
  <c r="CY2489" i="1"/>
  <c r="Y2489" i="1" s="1"/>
  <c r="CW2489" i="1"/>
  <c r="AA2489" i="1" s="1"/>
  <c r="CR2489" i="1"/>
  <c r="CP2489" i="1"/>
  <c r="CN2489" i="1"/>
  <c r="CJ2489" i="1"/>
  <c r="CH2489" i="1"/>
  <c r="CF2489" i="1"/>
  <c r="BL2489" i="1"/>
  <c r="BD2489" i="1"/>
  <c r="AZ2489" i="1"/>
  <c r="AX2489" i="1"/>
  <c r="DC2473" i="1"/>
  <c r="DA2473" i="1"/>
  <c r="CY2473" i="1"/>
  <c r="Y2473" i="1" s="1"/>
  <c r="CW2473" i="1"/>
  <c r="AA2473" i="1" s="1"/>
  <c r="CR2473" i="1"/>
  <c r="CP2473" i="1"/>
  <c r="CN2473" i="1"/>
  <c r="CJ2473" i="1"/>
  <c r="CH2473" i="1"/>
  <c r="CF2473" i="1"/>
  <c r="BL2473" i="1"/>
  <c r="BD2473" i="1"/>
  <c r="AZ2473" i="1"/>
  <c r="AX2473" i="1"/>
  <c r="DC2474" i="1"/>
  <c r="DA2474" i="1"/>
  <c r="CY2474" i="1"/>
  <c r="Y2474" i="1" s="1"/>
  <c r="CW2474" i="1"/>
  <c r="AA2474" i="1" s="1"/>
  <c r="CR2474" i="1"/>
  <c r="CP2474" i="1"/>
  <c r="CN2474" i="1"/>
  <c r="CJ2474" i="1"/>
  <c r="CH2474" i="1"/>
  <c r="CF2474" i="1"/>
  <c r="BL2474" i="1"/>
  <c r="BD2474" i="1"/>
  <c r="AZ2474" i="1"/>
  <c r="AX2474" i="1"/>
  <c r="DC2475" i="1"/>
  <c r="DA2475" i="1"/>
  <c r="CY2475" i="1"/>
  <c r="Y2475" i="1" s="1"/>
  <c r="CW2475" i="1"/>
  <c r="AA2475" i="1" s="1"/>
  <c r="CR2475" i="1"/>
  <c r="CP2475" i="1"/>
  <c r="CN2475" i="1"/>
  <c r="CJ2475" i="1"/>
  <c r="CH2475" i="1"/>
  <c r="CF2475" i="1"/>
  <c r="BL2475" i="1"/>
  <c r="BD2475" i="1"/>
  <c r="AZ2475" i="1"/>
  <c r="AX2475" i="1"/>
  <c r="DC2488" i="1"/>
  <c r="DA2488" i="1"/>
  <c r="CY2488" i="1"/>
  <c r="Y2488" i="1" s="1"/>
  <c r="CW2488" i="1"/>
  <c r="AA2488" i="1" s="1"/>
  <c r="CR2488" i="1"/>
  <c r="CP2488" i="1"/>
  <c r="CN2488" i="1"/>
  <c r="CJ2488" i="1"/>
  <c r="CH2488" i="1"/>
  <c r="CF2488" i="1"/>
  <c r="BL2488" i="1"/>
  <c r="BD2488" i="1"/>
  <c r="AZ2488" i="1"/>
  <c r="AX2488" i="1"/>
  <c r="DC2486" i="1"/>
  <c r="DA2486" i="1"/>
  <c r="CY2486" i="1"/>
  <c r="Y2486" i="1" s="1"/>
  <c r="CW2486" i="1"/>
  <c r="AA2486" i="1" s="1"/>
  <c r="CR2486" i="1"/>
  <c r="CP2486" i="1"/>
  <c r="CN2486" i="1"/>
  <c r="CJ2486" i="1"/>
  <c r="CH2486" i="1"/>
  <c r="CF2486" i="1"/>
  <c r="BL2486" i="1"/>
  <c r="BD2486" i="1"/>
  <c r="AZ2486" i="1"/>
  <c r="AX2486" i="1"/>
  <c r="DC2498" i="1"/>
  <c r="DA2498" i="1"/>
  <c r="CY2498" i="1"/>
  <c r="Y2498" i="1" s="1"/>
  <c r="CW2498" i="1"/>
  <c r="AA2498" i="1" s="1"/>
  <c r="CR2498" i="1"/>
  <c r="CP2498" i="1"/>
  <c r="CN2498" i="1"/>
  <c r="CJ2498" i="1"/>
  <c r="CH2498" i="1"/>
  <c r="CF2498" i="1"/>
  <c r="BL2498" i="1"/>
  <c r="BD2498" i="1"/>
  <c r="AZ2498" i="1"/>
  <c r="AX2498" i="1"/>
  <c r="DC2506" i="1"/>
  <c r="DA2506" i="1"/>
  <c r="CY2506" i="1"/>
  <c r="Y2506" i="1" s="1"/>
  <c r="CW2506" i="1"/>
  <c r="AA2506" i="1" s="1"/>
  <c r="CR2506" i="1"/>
  <c r="CP2506" i="1"/>
  <c r="CN2506" i="1"/>
  <c r="CJ2506" i="1"/>
  <c r="CH2506" i="1"/>
  <c r="CF2506" i="1"/>
  <c r="BL2506" i="1"/>
  <c r="BD2506" i="1"/>
  <c r="AZ2506" i="1"/>
  <c r="AX2506" i="1"/>
  <c r="DA2490" i="1"/>
  <c r="Y2490" i="1"/>
  <c r="CW2490" i="1"/>
  <c r="AA2490" i="1" s="1"/>
  <c r="CR2490" i="1"/>
  <c r="CP2490" i="1"/>
  <c r="CN2490" i="1"/>
  <c r="CJ2490" i="1"/>
  <c r="CH2490" i="1"/>
  <c r="CF2490" i="1"/>
  <c r="BL2490" i="1"/>
  <c r="BD2490" i="1"/>
  <c r="AZ2490" i="1"/>
  <c r="AX2490" i="1"/>
  <c r="DC2504" i="1"/>
  <c r="DA2504" i="1"/>
  <c r="CY2504" i="1"/>
  <c r="Y2504" i="1" s="1"/>
  <c r="CW2504" i="1"/>
  <c r="AA2504" i="1" s="1"/>
  <c r="CR2504" i="1"/>
  <c r="CP2504" i="1"/>
  <c r="CN2504" i="1"/>
  <c r="CJ2504" i="1"/>
  <c r="CH2504" i="1"/>
  <c r="CF2504" i="1"/>
  <c r="BL2504" i="1"/>
  <c r="BD2504" i="1"/>
  <c r="AZ2504" i="1"/>
  <c r="AX2504" i="1"/>
  <c r="DC2501" i="1"/>
  <c r="DA2501" i="1"/>
  <c r="CY2501" i="1"/>
  <c r="Y2501" i="1" s="1"/>
  <c r="CW2501" i="1"/>
  <c r="AA2501" i="1" s="1"/>
  <c r="CR2501" i="1"/>
  <c r="CP2501" i="1"/>
  <c r="CN2501" i="1"/>
  <c r="CJ2501" i="1"/>
  <c r="CH2501" i="1"/>
  <c r="CF2501" i="1"/>
  <c r="BL2501" i="1"/>
  <c r="BD2501" i="1"/>
  <c r="AZ2501" i="1"/>
  <c r="AX2501" i="1"/>
  <c r="DC2497" i="1"/>
  <c r="DA2497" i="1"/>
  <c r="CY2497" i="1"/>
  <c r="Y2497" i="1" s="1"/>
  <c r="CW2497" i="1"/>
  <c r="AA2497" i="1" s="1"/>
  <c r="CR2497" i="1"/>
  <c r="CP2497" i="1"/>
  <c r="CN2497" i="1"/>
  <c r="CJ2497" i="1"/>
  <c r="CH2497" i="1"/>
  <c r="CF2497" i="1"/>
  <c r="BL2497" i="1"/>
  <c r="BD2497" i="1"/>
  <c r="AZ2497" i="1"/>
  <c r="AX2497" i="1"/>
  <c r="DC2500" i="1"/>
  <c r="DA2500" i="1"/>
  <c r="CY2500" i="1"/>
  <c r="Y2500" i="1" s="1"/>
  <c r="CW2500" i="1"/>
  <c r="AA2500" i="1" s="1"/>
  <c r="CR2500" i="1"/>
  <c r="CP2500" i="1"/>
  <c r="CN2500" i="1"/>
  <c r="CJ2500" i="1"/>
  <c r="CH2500" i="1"/>
  <c r="CF2500" i="1"/>
  <c r="BL2500" i="1"/>
  <c r="BD2500" i="1"/>
  <c r="AZ2500" i="1"/>
  <c r="AX2500" i="1"/>
  <c r="Z2496" i="1" l="1"/>
  <c r="Z2486" i="1"/>
  <c r="Z2505" i="1"/>
  <c r="Z2516" i="1"/>
  <c r="CU2497" i="1"/>
  <c r="X2497" i="1" s="1"/>
  <c r="CU2488" i="1"/>
  <c r="X2488" i="1" s="1"/>
  <c r="Z2450" i="1"/>
  <c r="Z2506" i="1"/>
  <c r="CU2498" i="1"/>
  <c r="X2498" i="1" s="1"/>
  <c r="Z2503" i="1"/>
  <c r="CU2500" i="1"/>
  <c r="X2500" i="1" s="1"/>
  <c r="Z2449" i="1"/>
  <c r="Z2517" i="1"/>
  <c r="CU2506" i="1"/>
  <c r="X2506" i="1" s="1"/>
  <c r="Z2489" i="1"/>
  <c r="Z2454" i="1"/>
  <c r="Z2511" i="1"/>
  <c r="Z2445" i="1"/>
  <c r="Z2500" i="1"/>
  <c r="CU2486" i="1"/>
  <c r="X2486" i="1" s="1"/>
  <c r="Z2493" i="1"/>
  <c r="Z2499" i="1"/>
  <c r="Z2494" i="1"/>
  <c r="Z2497" i="1"/>
  <c r="Z2501" i="1"/>
  <c r="Z2504" i="1"/>
  <c r="Z2490" i="1"/>
  <c r="Z2488" i="1"/>
  <c r="Z2475" i="1"/>
  <c r="Z2474" i="1"/>
  <c r="Z2473" i="1"/>
  <c r="CU2489" i="1"/>
  <c r="X2489" i="1" s="1"/>
  <c r="CU2505" i="1"/>
  <c r="X2505" i="1" s="1"/>
  <c r="CU2493" i="1"/>
  <c r="X2493" i="1" s="1"/>
  <c r="CU2496" i="1"/>
  <c r="X2496" i="1" s="1"/>
  <c r="CU2454" i="1"/>
  <c r="X2454" i="1" s="1"/>
  <c r="CU2449" i="1"/>
  <c r="X2449" i="1" s="1"/>
  <c r="CU2499" i="1"/>
  <c r="X2499" i="1" s="1"/>
  <c r="CU2445" i="1"/>
  <c r="X2445" i="1" s="1"/>
  <c r="CU2450" i="1"/>
  <c r="X2450" i="1" s="1"/>
  <c r="CU2494" i="1"/>
  <c r="X2494" i="1" s="1"/>
  <c r="CU2516" i="1"/>
  <c r="X2516" i="1" s="1"/>
  <c r="CU2511" i="1"/>
  <c r="X2511" i="1" s="1"/>
  <c r="CU2517" i="1"/>
  <c r="X2517" i="1" s="1"/>
  <c r="CU2503" i="1"/>
  <c r="X2503" i="1" s="1"/>
  <c r="CU2504" i="1"/>
  <c r="X2504" i="1" s="1"/>
  <c r="CU2490" i="1"/>
  <c r="X2490" i="1" s="1"/>
  <c r="CU2475" i="1"/>
  <c r="X2475" i="1" s="1"/>
  <c r="CU2474" i="1"/>
  <c r="X2474" i="1" s="1"/>
  <c r="CU2473" i="1"/>
  <c r="X2473" i="1" s="1"/>
  <c r="CU2501" i="1"/>
  <c r="X2501" i="1" s="1"/>
  <c r="Z2498" i="1"/>
  <c r="AD2497" i="1" l="1"/>
  <c r="AD2486" i="1"/>
  <c r="AD2511" i="1"/>
  <c r="AD2501" i="1"/>
  <c r="AD2505" i="1"/>
  <c r="AD2475" i="1"/>
  <c r="AD2496" i="1"/>
  <c r="AD2498" i="1"/>
  <c r="AD2454" i="1"/>
  <c r="AD2517" i="1"/>
  <c r="AD2488" i="1"/>
  <c r="AD2473" i="1"/>
  <c r="AD2489" i="1"/>
  <c r="AD2516" i="1"/>
  <c r="AD2449" i="1"/>
  <c r="AD2490" i="1"/>
  <c r="AD2450" i="1"/>
  <c r="AD2445" i="1"/>
  <c r="AD2506" i="1"/>
  <c r="AD2474" i="1"/>
  <c r="AD2503" i="1"/>
  <c r="AD2494" i="1"/>
  <c r="AD2499" i="1"/>
  <c r="AD2493" i="1"/>
  <c r="AD2504" i="1"/>
  <c r="AD2500" i="1"/>
  <c r="DC2174" i="1" l="1"/>
  <c r="AX2469" i="1"/>
  <c r="AZ2469" i="1"/>
  <c r="BD2469" i="1"/>
  <c r="BL2469" i="1"/>
  <c r="CF2469" i="1"/>
  <c r="CH2469" i="1"/>
  <c r="CJ2469" i="1"/>
  <c r="CN2469" i="1"/>
  <c r="CP2469" i="1"/>
  <c r="CR2469" i="1"/>
  <c r="CW2469" i="1"/>
  <c r="AA2469" i="1" s="1"/>
  <c r="CY2469" i="1"/>
  <c r="Y2469" i="1" s="1"/>
  <c r="DA2469" i="1"/>
  <c r="DC2469" i="1"/>
  <c r="DC2528" i="1"/>
  <c r="DA2528" i="1"/>
  <c r="CY2528" i="1"/>
  <c r="Y2528" i="1" s="1"/>
  <c r="CW2528" i="1"/>
  <c r="AA2528" i="1" s="1"/>
  <c r="CR2528" i="1"/>
  <c r="CP2528" i="1"/>
  <c r="CN2528" i="1"/>
  <c r="CJ2528" i="1"/>
  <c r="CH2528" i="1"/>
  <c r="CF2528" i="1"/>
  <c r="BL2528" i="1"/>
  <c r="BD2528" i="1"/>
  <c r="AZ2528" i="1"/>
  <c r="AX2528" i="1"/>
  <c r="DC2523" i="1"/>
  <c r="DA2523" i="1"/>
  <c r="CY2523" i="1"/>
  <c r="Y2523" i="1" s="1"/>
  <c r="CW2523" i="1"/>
  <c r="AA2523" i="1" s="1"/>
  <c r="CR2523" i="1"/>
  <c r="CP2523" i="1"/>
  <c r="CN2523" i="1"/>
  <c r="CJ2523" i="1"/>
  <c r="CH2523" i="1"/>
  <c r="CF2523" i="1"/>
  <c r="BL2523" i="1"/>
  <c r="BD2523" i="1"/>
  <c r="AZ2523" i="1"/>
  <c r="AX2523" i="1"/>
  <c r="DC2524" i="1"/>
  <c r="DA2524" i="1"/>
  <c r="CY2524" i="1"/>
  <c r="Y2524" i="1" s="1"/>
  <c r="CW2524" i="1"/>
  <c r="AA2524" i="1" s="1"/>
  <c r="CR2524" i="1"/>
  <c r="CP2524" i="1"/>
  <c r="CN2524" i="1"/>
  <c r="CJ2524" i="1"/>
  <c r="CH2524" i="1"/>
  <c r="CF2524" i="1"/>
  <c r="BL2524" i="1"/>
  <c r="BD2524" i="1"/>
  <c r="AZ2524" i="1"/>
  <c r="AX2524" i="1"/>
  <c r="DC2522" i="1"/>
  <c r="DA2522" i="1"/>
  <c r="CY2522" i="1"/>
  <c r="Y2522" i="1" s="1"/>
  <c r="CW2522" i="1"/>
  <c r="AA2522" i="1" s="1"/>
  <c r="CR2522" i="1"/>
  <c r="CP2522" i="1"/>
  <c r="CN2522" i="1"/>
  <c r="CJ2522" i="1"/>
  <c r="CH2522" i="1"/>
  <c r="CF2522" i="1"/>
  <c r="BL2522" i="1"/>
  <c r="BD2522" i="1"/>
  <c r="AZ2522" i="1"/>
  <c r="AX2522" i="1"/>
  <c r="DC2507" i="1"/>
  <c r="DA2507" i="1"/>
  <c r="CY2507" i="1"/>
  <c r="Y2507" i="1" s="1"/>
  <c r="CW2507" i="1"/>
  <c r="AA2507" i="1" s="1"/>
  <c r="CR2507" i="1"/>
  <c r="CP2507" i="1"/>
  <c r="CN2507" i="1"/>
  <c r="CJ2507" i="1"/>
  <c r="CH2507" i="1"/>
  <c r="CF2507" i="1"/>
  <c r="BL2507" i="1"/>
  <c r="BD2507" i="1"/>
  <c r="AZ2507" i="1"/>
  <c r="AX2507" i="1"/>
  <c r="DC2518" i="1"/>
  <c r="DA2518" i="1"/>
  <c r="CY2518" i="1"/>
  <c r="Y2518" i="1" s="1"/>
  <c r="CW2518" i="1"/>
  <c r="AA2518" i="1" s="1"/>
  <c r="CR2518" i="1"/>
  <c r="CP2518" i="1"/>
  <c r="CN2518" i="1"/>
  <c r="CJ2518" i="1"/>
  <c r="CH2518" i="1"/>
  <c r="CF2518" i="1"/>
  <c r="BL2518" i="1"/>
  <c r="BD2518" i="1"/>
  <c r="AZ2518" i="1"/>
  <c r="AX2518" i="1"/>
  <c r="DC2527" i="1"/>
  <c r="DA2527" i="1"/>
  <c r="CY2527" i="1"/>
  <c r="Y2527" i="1" s="1"/>
  <c r="CW2527" i="1"/>
  <c r="AA2527" i="1" s="1"/>
  <c r="CR2527" i="1"/>
  <c r="CP2527" i="1"/>
  <c r="CN2527" i="1"/>
  <c r="CJ2527" i="1"/>
  <c r="CH2527" i="1"/>
  <c r="CF2527" i="1"/>
  <c r="BL2527" i="1"/>
  <c r="BD2527" i="1"/>
  <c r="AZ2527" i="1"/>
  <c r="AX2527" i="1"/>
  <c r="DC2526" i="1"/>
  <c r="DA2526" i="1"/>
  <c r="CY2526" i="1"/>
  <c r="Y2526" i="1" s="1"/>
  <c r="CW2526" i="1"/>
  <c r="AA2526" i="1" s="1"/>
  <c r="CR2526" i="1"/>
  <c r="CP2526" i="1"/>
  <c r="CN2526" i="1"/>
  <c r="CJ2526" i="1"/>
  <c r="CH2526" i="1"/>
  <c r="CF2526" i="1"/>
  <c r="BL2526" i="1"/>
  <c r="BD2526" i="1"/>
  <c r="AZ2526" i="1"/>
  <c r="AX2526" i="1"/>
  <c r="DC2525" i="1"/>
  <c r="DA2525" i="1"/>
  <c r="CY2525" i="1"/>
  <c r="Y2525" i="1" s="1"/>
  <c r="CW2525" i="1"/>
  <c r="AA2525" i="1" s="1"/>
  <c r="CR2525" i="1"/>
  <c r="CP2525" i="1"/>
  <c r="CN2525" i="1"/>
  <c r="CJ2525" i="1"/>
  <c r="CH2525" i="1"/>
  <c r="CF2525" i="1"/>
  <c r="BL2525" i="1"/>
  <c r="BD2525" i="1"/>
  <c r="AZ2525" i="1"/>
  <c r="AX2525" i="1"/>
  <c r="DC2521" i="1"/>
  <c r="DA2521" i="1"/>
  <c r="CY2521" i="1"/>
  <c r="Y2521" i="1" s="1"/>
  <c r="CW2521" i="1"/>
  <c r="AA2521" i="1" s="1"/>
  <c r="CR2521" i="1"/>
  <c r="CP2521" i="1"/>
  <c r="CN2521" i="1"/>
  <c r="CJ2521" i="1"/>
  <c r="CH2521" i="1"/>
  <c r="CF2521" i="1"/>
  <c r="BL2521" i="1"/>
  <c r="BD2521" i="1"/>
  <c r="AZ2521" i="1"/>
  <c r="AX2521" i="1"/>
  <c r="DC2515" i="1"/>
  <c r="DA2515" i="1"/>
  <c r="CY2515" i="1"/>
  <c r="Y2515" i="1" s="1"/>
  <c r="CW2515" i="1"/>
  <c r="AA2515" i="1" s="1"/>
  <c r="CR2515" i="1"/>
  <c r="CP2515" i="1"/>
  <c r="CN2515" i="1"/>
  <c r="CJ2515" i="1"/>
  <c r="CH2515" i="1"/>
  <c r="CF2515" i="1"/>
  <c r="BL2515" i="1"/>
  <c r="BD2515" i="1"/>
  <c r="AZ2515" i="1"/>
  <c r="AX2515" i="1"/>
  <c r="AA2509" i="1"/>
  <c r="Y2509" i="1"/>
  <c r="DC2510" i="1"/>
  <c r="DA2510" i="1"/>
  <c r="CY2510" i="1"/>
  <c r="Y2510" i="1" s="1"/>
  <c r="CW2510" i="1"/>
  <c r="AA2510" i="1" s="1"/>
  <c r="CR2510" i="1"/>
  <c r="CP2510" i="1"/>
  <c r="CN2510" i="1"/>
  <c r="CJ2510" i="1"/>
  <c r="CH2510" i="1"/>
  <c r="CF2510" i="1"/>
  <c r="BL2510" i="1"/>
  <c r="BD2510" i="1"/>
  <c r="AZ2510" i="1"/>
  <c r="AX2510" i="1"/>
  <c r="DC2512" i="1"/>
  <c r="DA2512" i="1"/>
  <c r="CY2512" i="1"/>
  <c r="Y2512" i="1" s="1"/>
  <c r="CW2512" i="1"/>
  <c r="AA2512" i="1" s="1"/>
  <c r="CR2512" i="1"/>
  <c r="CP2512" i="1"/>
  <c r="CN2512" i="1"/>
  <c r="CJ2512" i="1"/>
  <c r="CH2512" i="1"/>
  <c r="CF2512" i="1"/>
  <c r="BL2512" i="1"/>
  <c r="BD2512" i="1"/>
  <c r="AZ2512" i="1"/>
  <c r="AX2512" i="1"/>
  <c r="DC2513" i="1"/>
  <c r="DA2513" i="1"/>
  <c r="CY2513" i="1"/>
  <c r="Y2513" i="1" s="1"/>
  <c r="CW2513" i="1"/>
  <c r="AA2513" i="1" s="1"/>
  <c r="CR2513" i="1"/>
  <c r="CP2513" i="1"/>
  <c r="CN2513" i="1"/>
  <c r="CJ2513" i="1"/>
  <c r="CH2513" i="1"/>
  <c r="CF2513" i="1"/>
  <c r="BL2513" i="1"/>
  <c r="BD2513" i="1"/>
  <c r="AZ2513" i="1"/>
  <c r="AX2513" i="1"/>
  <c r="DC2492" i="1"/>
  <c r="DA2492" i="1"/>
  <c r="CY2492" i="1"/>
  <c r="Y2492" i="1" s="1"/>
  <c r="CW2492" i="1"/>
  <c r="AA2492" i="1" s="1"/>
  <c r="CR2492" i="1"/>
  <c r="CP2492" i="1"/>
  <c r="CN2492" i="1"/>
  <c r="CJ2492" i="1"/>
  <c r="CH2492" i="1"/>
  <c r="CF2492" i="1"/>
  <c r="BL2492" i="1"/>
  <c r="BD2492" i="1"/>
  <c r="AZ2492" i="1"/>
  <c r="AX2492" i="1"/>
  <c r="DC2491" i="1"/>
  <c r="DA2491" i="1"/>
  <c r="CY2491" i="1"/>
  <c r="Y2491" i="1" s="1"/>
  <c r="CW2491" i="1"/>
  <c r="AA2491" i="1" s="1"/>
  <c r="CR2491" i="1"/>
  <c r="CP2491" i="1"/>
  <c r="CN2491" i="1"/>
  <c r="CJ2491" i="1"/>
  <c r="CH2491" i="1"/>
  <c r="CF2491" i="1"/>
  <c r="BL2491" i="1"/>
  <c r="BD2491" i="1"/>
  <c r="AZ2491" i="1"/>
  <c r="AX2491" i="1"/>
  <c r="DC2514" i="1"/>
  <c r="DA2514" i="1"/>
  <c r="CY2514" i="1"/>
  <c r="Y2514" i="1" s="1"/>
  <c r="CW2514" i="1"/>
  <c r="AA2514" i="1" s="1"/>
  <c r="CR2514" i="1"/>
  <c r="CP2514" i="1"/>
  <c r="CN2514" i="1"/>
  <c r="CJ2514" i="1"/>
  <c r="CH2514" i="1"/>
  <c r="CF2514" i="1"/>
  <c r="BL2514" i="1"/>
  <c r="BD2514" i="1"/>
  <c r="AZ2514" i="1"/>
  <c r="AX2514" i="1"/>
  <c r="DC2520" i="1"/>
  <c r="DA2520" i="1"/>
  <c r="CY2520" i="1"/>
  <c r="Y2520" i="1" s="1"/>
  <c r="CW2520" i="1"/>
  <c r="AA2520" i="1" s="1"/>
  <c r="CR2520" i="1"/>
  <c r="CP2520" i="1"/>
  <c r="CN2520" i="1"/>
  <c r="CJ2520" i="1"/>
  <c r="CH2520" i="1"/>
  <c r="CF2520" i="1"/>
  <c r="BL2520" i="1"/>
  <c r="BD2520" i="1"/>
  <c r="AZ2520" i="1"/>
  <c r="AX2520" i="1"/>
  <c r="DC2519" i="1"/>
  <c r="DA2519" i="1"/>
  <c r="CY2519" i="1"/>
  <c r="Y2519" i="1" s="1"/>
  <c r="CW2519" i="1"/>
  <c r="AA2519" i="1" s="1"/>
  <c r="CR2519" i="1"/>
  <c r="CP2519" i="1"/>
  <c r="CN2519" i="1"/>
  <c r="CJ2519" i="1"/>
  <c r="CH2519" i="1"/>
  <c r="CF2519" i="1"/>
  <c r="BL2519" i="1"/>
  <c r="BD2519" i="1"/>
  <c r="AZ2519" i="1"/>
  <c r="AX2519" i="1"/>
  <c r="DC2502" i="1"/>
  <c r="DA2502" i="1"/>
  <c r="CY2502" i="1"/>
  <c r="Y2502" i="1" s="1"/>
  <c r="CW2502" i="1"/>
  <c r="AA2502" i="1" s="1"/>
  <c r="CR2502" i="1"/>
  <c r="CP2502" i="1"/>
  <c r="CN2502" i="1"/>
  <c r="CJ2502" i="1"/>
  <c r="CH2502" i="1"/>
  <c r="CF2502" i="1"/>
  <c r="BL2502" i="1"/>
  <c r="BD2502" i="1"/>
  <c r="AZ2502" i="1"/>
  <c r="AX2502" i="1"/>
  <c r="DC2495" i="1"/>
  <c r="DA2495" i="1"/>
  <c r="CY2495" i="1"/>
  <c r="Y2495" i="1" s="1"/>
  <c r="CW2495" i="1"/>
  <c r="AA2495" i="1" s="1"/>
  <c r="CR2495" i="1"/>
  <c r="CP2495" i="1"/>
  <c r="CN2495" i="1"/>
  <c r="CJ2495" i="1"/>
  <c r="CH2495" i="1"/>
  <c r="CF2495" i="1"/>
  <c r="BL2495" i="1"/>
  <c r="BD2495" i="1"/>
  <c r="AZ2495" i="1"/>
  <c r="AX2495" i="1"/>
  <c r="DC2462" i="1"/>
  <c r="DA2462" i="1"/>
  <c r="CY2462" i="1"/>
  <c r="Y2462" i="1" s="1"/>
  <c r="CW2462" i="1"/>
  <c r="AA2462" i="1" s="1"/>
  <c r="CR2462" i="1"/>
  <c r="CP2462" i="1"/>
  <c r="CN2462" i="1"/>
  <c r="CJ2462" i="1"/>
  <c r="CH2462" i="1"/>
  <c r="CF2462" i="1"/>
  <c r="BL2462" i="1"/>
  <c r="BD2462" i="1"/>
  <c r="AZ2462" i="1"/>
  <c r="AX2462" i="1"/>
  <c r="DC2455" i="1"/>
  <c r="DA2455" i="1"/>
  <c r="CY2455" i="1"/>
  <c r="Y2455" i="1" s="1"/>
  <c r="CW2455" i="1"/>
  <c r="AA2455" i="1" s="1"/>
  <c r="CR2455" i="1"/>
  <c r="CP2455" i="1"/>
  <c r="CN2455" i="1"/>
  <c r="CJ2455" i="1"/>
  <c r="CH2455" i="1"/>
  <c r="CF2455" i="1"/>
  <c r="BL2455" i="1"/>
  <c r="BD2455" i="1"/>
  <c r="AZ2455" i="1"/>
  <c r="AX2455" i="1"/>
  <c r="DC2470" i="1"/>
  <c r="DA2470" i="1"/>
  <c r="CY2470" i="1"/>
  <c r="Y2470" i="1" s="1"/>
  <c r="CW2470" i="1"/>
  <c r="AA2470" i="1" s="1"/>
  <c r="CR2470" i="1"/>
  <c r="CP2470" i="1"/>
  <c r="CN2470" i="1"/>
  <c r="CJ2470" i="1"/>
  <c r="CH2470" i="1"/>
  <c r="CF2470" i="1"/>
  <c r="BL2470" i="1"/>
  <c r="BD2470" i="1"/>
  <c r="AZ2470" i="1"/>
  <c r="AX2470" i="1"/>
  <c r="DC2471" i="1"/>
  <c r="DA2471" i="1"/>
  <c r="CY2471" i="1"/>
  <c r="Y2471" i="1" s="1"/>
  <c r="CW2471" i="1"/>
  <c r="AA2471" i="1" s="1"/>
  <c r="CR2471" i="1"/>
  <c r="CP2471" i="1"/>
  <c r="CN2471" i="1"/>
  <c r="CJ2471" i="1"/>
  <c r="CH2471" i="1"/>
  <c r="CF2471" i="1"/>
  <c r="BL2471" i="1"/>
  <c r="BD2471" i="1"/>
  <c r="AZ2471" i="1"/>
  <c r="AX2471" i="1"/>
  <c r="DC2468" i="1"/>
  <c r="DA2468" i="1"/>
  <c r="CY2468" i="1"/>
  <c r="Y2468" i="1" s="1"/>
  <c r="CW2468" i="1"/>
  <c r="AA2468" i="1" s="1"/>
  <c r="CR2468" i="1"/>
  <c r="CP2468" i="1"/>
  <c r="CN2468" i="1"/>
  <c r="CJ2468" i="1"/>
  <c r="CH2468" i="1"/>
  <c r="CF2468" i="1"/>
  <c r="BL2468" i="1"/>
  <c r="BD2468" i="1"/>
  <c r="AZ2468" i="1"/>
  <c r="AX2468" i="1"/>
  <c r="DC2472" i="1"/>
  <c r="DA2472" i="1"/>
  <c r="CY2472" i="1"/>
  <c r="Y2472" i="1" s="1"/>
  <c r="CW2472" i="1"/>
  <c r="AA2472" i="1" s="1"/>
  <c r="CR2472" i="1"/>
  <c r="CP2472" i="1"/>
  <c r="CN2472" i="1"/>
  <c r="CJ2472" i="1"/>
  <c r="CH2472" i="1"/>
  <c r="CF2472" i="1"/>
  <c r="BL2472" i="1"/>
  <c r="BD2472" i="1"/>
  <c r="AZ2472" i="1"/>
  <c r="AX2472" i="1"/>
  <c r="DC2467" i="1"/>
  <c r="DA2467" i="1"/>
  <c r="CY2467" i="1"/>
  <c r="Y2467" i="1" s="1"/>
  <c r="CW2467" i="1"/>
  <c r="AA2467" i="1" s="1"/>
  <c r="CR2467" i="1"/>
  <c r="CP2467" i="1"/>
  <c r="CN2467" i="1"/>
  <c r="CJ2467" i="1"/>
  <c r="CH2467" i="1"/>
  <c r="CF2467" i="1"/>
  <c r="BL2467" i="1"/>
  <c r="BD2467" i="1"/>
  <c r="AZ2467" i="1"/>
  <c r="AX2467" i="1"/>
  <c r="DC2423" i="1"/>
  <c r="DA2423" i="1"/>
  <c r="CY2423" i="1"/>
  <c r="Y2423" i="1" s="1"/>
  <c r="CW2423" i="1"/>
  <c r="AA2423" i="1" s="1"/>
  <c r="CR2423" i="1"/>
  <c r="CP2423" i="1"/>
  <c r="CN2423" i="1"/>
  <c r="CJ2423" i="1"/>
  <c r="CH2423" i="1"/>
  <c r="CF2423" i="1"/>
  <c r="BL2423" i="1"/>
  <c r="BD2423" i="1"/>
  <c r="AZ2423" i="1"/>
  <c r="AX2423" i="1"/>
  <c r="DC2459" i="1"/>
  <c r="DA2459" i="1"/>
  <c r="CY2459" i="1"/>
  <c r="Y2459" i="1" s="1"/>
  <c r="CW2459" i="1"/>
  <c r="AA2459" i="1" s="1"/>
  <c r="CR2459" i="1"/>
  <c r="CP2459" i="1"/>
  <c r="CN2459" i="1"/>
  <c r="CJ2459" i="1"/>
  <c r="CH2459" i="1"/>
  <c r="CF2459" i="1"/>
  <c r="BL2459" i="1"/>
  <c r="BD2459" i="1"/>
  <c r="AZ2459" i="1"/>
  <c r="AX2459" i="1"/>
  <c r="DC2458" i="1"/>
  <c r="DA2458" i="1"/>
  <c r="CY2458" i="1"/>
  <c r="Y2458" i="1" s="1"/>
  <c r="CW2458" i="1"/>
  <c r="AA2458" i="1" s="1"/>
  <c r="CR2458" i="1"/>
  <c r="CP2458" i="1"/>
  <c r="CN2458" i="1"/>
  <c r="CJ2458" i="1"/>
  <c r="CH2458" i="1"/>
  <c r="CF2458" i="1"/>
  <c r="BL2458" i="1"/>
  <c r="BD2458" i="1"/>
  <c r="AZ2458" i="1"/>
  <c r="AX2458" i="1"/>
  <c r="DC2460" i="1"/>
  <c r="DA2460" i="1"/>
  <c r="CY2460" i="1"/>
  <c r="Y2460" i="1" s="1"/>
  <c r="CW2460" i="1"/>
  <c r="AA2460" i="1" s="1"/>
  <c r="CR2460" i="1"/>
  <c r="CP2460" i="1"/>
  <c r="CN2460" i="1"/>
  <c r="CJ2460" i="1"/>
  <c r="CH2460" i="1"/>
  <c r="CF2460" i="1"/>
  <c r="BL2460" i="1"/>
  <c r="BD2460" i="1"/>
  <c r="AZ2460" i="1"/>
  <c r="AX2460" i="1"/>
  <c r="DC2483" i="1"/>
  <c r="DA2483" i="1"/>
  <c r="CY2483" i="1"/>
  <c r="Y2483" i="1" s="1"/>
  <c r="CW2483" i="1"/>
  <c r="AA2483" i="1" s="1"/>
  <c r="CR2483" i="1"/>
  <c r="CP2483" i="1"/>
  <c r="CN2483" i="1"/>
  <c r="CJ2483" i="1"/>
  <c r="CH2483" i="1"/>
  <c r="CF2483" i="1"/>
  <c r="BL2483" i="1"/>
  <c r="BD2483" i="1"/>
  <c r="AZ2483" i="1"/>
  <c r="AX2483" i="1"/>
  <c r="DC2482" i="1"/>
  <c r="DA2482" i="1"/>
  <c r="CY2482" i="1"/>
  <c r="Y2482" i="1" s="1"/>
  <c r="CW2482" i="1"/>
  <c r="AA2482" i="1" s="1"/>
  <c r="CR2482" i="1"/>
  <c r="CP2482" i="1"/>
  <c r="CN2482" i="1"/>
  <c r="CJ2482" i="1"/>
  <c r="CH2482" i="1"/>
  <c r="CF2482" i="1"/>
  <c r="BL2482" i="1"/>
  <c r="BD2482" i="1"/>
  <c r="AZ2482" i="1"/>
  <c r="AX2482" i="1"/>
  <c r="DC2479" i="1"/>
  <c r="DA2479" i="1"/>
  <c r="CY2479" i="1"/>
  <c r="Y2479" i="1" s="1"/>
  <c r="CW2479" i="1"/>
  <c r="AA2479" i="1" s="1"/>
  <c r="CR2479" i="1"/>
  <c r="CP2479" i="1"/>
  <c r="CN2479" i="1"/>
  <c r="CJ2479" i="1"/>
  <c r="CH2479" i="1"/>
  <c r="CF2479" i="1"/>
  <c r="BL2479" i="1"/>
  <c r="BD2479" i="1"/>
  <c r="AZ2479" i="1"/>
  <c r="AX2479" i="1"/>
  <c r="DC2478" i="1"/>
  <c r="DA2478" i="1"/>
  <c r="CY2478" i="1"/>
  <c r="Y2478" i="1" s="1"/>
  <c r="CW2478" i="1"/>
  <c r="AA2478" i="1" s="1"/>
  <c r="CR2478" i="1"/>
  <c r="CP2478" i="1"/>
  <c r="CN2478" i="1"/>
  <c r="CJ2478" i="1"/>
  <c r="CH2478" i="1"/>
  <c r="CF2478" i="1"/>
  <c r="BL2478" i="1"/>
  <c r="BD2478" i="1"/>
  <c r="AZ2478" i="1"/>
  <c r="AX2478" i="1"/>
  <c r="DC2477" i="1"/>
  <c r="DA2477" i="1"/>
  <c r="CY2477" i="1"/>
  <c r="Y2477" i="1" s="1"/>
  <c r="CW2477" i="1"/>
  <c r="AA2477" i="1" s="1"/>
  <c r="CR2477" i="1"/>
  <c r="CP2477" i="1"/>
  <c r="CN2477" i="1"/>
  <c r="CJ2477" i="1"/>
  <c r="CH2477" i="1"/>
  <c r="CF2477" i="1"/>
  <c r="BL2477" i="1"/>
  <c r="BD2477" i="1"/>
  <c r="AZ2477" i="1"/>
  <c r="AX2477" i="1"/>
  <c r="DC2480" i="1"/>
  <c r="DA2480" i="1"/>
  <c r="CY2480" i="1"/>
  <c r="Y2480" i="1" s="1"/>
  <c r="CW2480" i="1"/>
  <c r="AA2480" i="1" s="1"/>
  <c r="CR2480" i="1"/>
  <c r="CP2480" i="1"/>
  <c r="CN2480" i="1"/>
  <c r="CJ2480" i="1"/>
  <c r="CH2480" i="1"/>
  <c r="CF2480" i="1"/>
  <c r="BL2480" i="1"/>
  <c r="BD2480" i="1"/>
  <c r="AZ2480" i="1"/>
  <c r="AX2480" i="1"/>
  <c r="DC2476" i="1"/>
  <c r="DA2476" i="1"/>
  <c r="CY2476" i="1"/>
  <c r="Y2476" i="1" s="1"/>
  <c r="CW2476" i="1"/>
  <c r="AA2476" i="1" s="1"/>
  <c r="CR2476" i="1"/>
  <c r="CP2476" i="1"/>
  <c r="CN2476" i="1"/>
  <c r="CJ2476" i="1"/>
  <c r="CH2476" i="1"/>
  <c r="CF2476" i="1"/>
  <c r="BL2476" i="1"/>
  <c r="BD2476" i="1"/>
  <c r="AZ2476" i="1"/>
  <c r="AX2476" i="1"/>
  <c r="DC2484" i="1"/>
  <c r="DA2484" i="1"/>
  <c r="CY2484" i="1"/>
  <c r="Y2484" i="1" s="1"/>
  <c r="CW2484" i="1"/>
  <c r="AA2484" i="1" s="1"/>
  <c r="CR2484" i="1"/>
  <c r="CP2484" i="1"/>
  <c r="CN2484" i="1"/>
  <c r="CJ2484" i="1"/>
  <c r="CH2484" i="1"/>
  <c r="CF2484" i="1"/>
  <c r="BL2484" i="1"/>
  <c r="BD2484" i="1"/>
  <c r="AZ2484" i="1"/>
  <c r="AX2484" i="1"/>
  <c r="DC2457" i="1"/>
  <c r="DA2457" i="1"/>
  <c r="CY2457" i="1"/>
  <c r="Y2457" i="1" s="1"/>
  <c r="CW2457" i="1"/>
  <c r="AA2457" i="1" s="1"/>
  <c r="CR2457" i="1"/>
  <c r="CP2457" i="1"/>
  <c r="CN2457" i="1"/>
  <c r="CJ2457" i="1"/>
  <c r="CH2457" i="1"/>
  <c r="CF2457" i="1"/>
  <c r="BL2457" i="1"/>
  <c r="BD2457" i="1"/>
  <c r="AZ2457" i="1"/>
  <c r="AX2457" i="1"/>
  <c r="Z2469" i="1" l="1"/>
  <c r="CU2469" i="1"/>
  <c r="X2469" i="1" s="1"/>
  <c r="Z2472" i="1"/>
  <c r="Z2513" i="1"/>
  <c r="Z2527" i="1"/>
  <c r="Z2524" i="1"/>
  <c r="Z2507" i="1"/>
  <c r="Z2510" i="1"/>
  <c r="Z2455" i="1"/>
  <c r="Z2522" i="1"/>
  <c r="Z2502" i="1"/>
  <c r="Z2520" i="1"/>
  <c r="Z2526" i="1"/>
  <c r="Z2492" i="1"/>
  <c r="Z2515" i="1"/>
  <c r="Z2518" i="1"/>
  <c r="Z2523" i="1"/>
  <c r="Z2470" i="1"/>
  <c r="Z2514" i="1"/>
  <c r="CU2512" i="1"/>
  <c r="X2512" i="1" s="1"/>
  <c r="Z2468" i="1"/>
  <c r="CU2502" i="1"/>
  <c r="X2502" i="1" s="1"/>
  <c r="CU2521" i="1"/>
  <c r="X2521" i="1" s="1"/>
  <c r="Z2495" i="1"/>
  <c r="Z2509" i="1"/>
  <c r="Z2528" i="1"/>
  <c r="CU2492" i="1"/>
  <c r="X2492" i="1" s="1"/>
  <c r="Z2525" i="1"/>
  <c r="CU2471" i="1"/>
  <c r="X2471" i="1" s="1"/>
  <c r="Z2471" i="1"/>
  <c r="CU2462" i="1"/>
  <c r="X2462" i="1" s="1"/>
  <c r="Z2462" i="1"/>
  <c r="Z2519" i="1"/>
  <c r="CU2491" i="1"/>
  <c r="X2491" i="1" s="1"/>
  <c r="Z2491" i="1"/>
  <c r="Z2521" i="1"/>
  <c r="Z2512" i="1"/>
  <c r="CU2510" i="1"/>
  <c r="X2510" i="1" s="1"/>
  <c r="X2509" i="1"/>
  <c r="CU2522" i="1"/>
  <c r="X2522" i="1" s="1"/>
  <c r="CU2513" i="1"/>
  <c r="X2513" i="1" s="1"/>
  <c r="CU2472" i="1"/>
  <c r="X2472" i="1" s="1"/>
  <c r="CU2495" i="1"/>
  <c r="X2495" i="1" s="1"/>
  <c r="CU2520" i="1"/>
  <c r="X2520" i="1" s="1"/>
  <c r="CU2526" i="1"/>
  <c r="X2526" i="1" s="1"/>
  <c r="CU2524" i="1"/>
  <c r="X2524" i="1" s="1"/>
  <c r="CU2468" i="1"/>
  <c r="X2468" i="1" s="1"/>
  <c r="CU2455" i="1"/>
  <c r="X2455" i="1" s="1"/>
  <c r="CU2514" i="1"/>
  <c r="X2514" i="1" s="1"/>
  <c r="CU2515" i="1"/>
  <c r="X2515" i="1" s="1"/>
  <c r="CU2527" i="1"/>
  <c r="X2527" i="1" s="1"/>
  <c r="CU2523" i="1"/>
  <c r="X2523" i="1" s="1"/>
  <c r="CU2470" i="1"/>
  <c r="X2470" i="1" s="1"/>
  <c r="CU2519" i="1"/>
  <c r="X2519" i="1" s="1"/>
  <c r="CU2525" i="1"/>
  <c r="X2525" i="1" s="1"/>
  <c r="CU2518" i="1"/>
  <c r="X2518" i="1" s="1"/>
  <c r="CU2507" i="1"/>
  <c r="X2507" i="1" s="1"/>
  <c r="CU2528" i="1"/>
  <c r="X2528" i="1" s="1"/>
  <c r="Z2460" i="1"/>
  <c r="Z2479" i="1"/>
  <c r="Z2480" i="1"/>
  <c r="Z2423" i="1"/>
  <c r="CU2477" i="1"/>
  <c r="X2477" i="1" s="1"/>
  <c r="CU2458" i="1"/>
  <c r="X2458" i="1" s="1"/>
  <c r="Z2457" i="1"/>
  <c r="Z2484" i="1"/>
  <c r="Z2483" i="1"/>
  <c r="CU2476" i="1"/>
  <c r="X2476" i="1" s="1"/>
  <c r="Z2476" i="1"/>
  <c r="Z2482" i="1"/>
  <c r="Z2478" i="1"/>
  <c r="CU2482" i="1"/>
  <c r="X2482" i="1" s="1"/>
  <c r="Z2459" i="1"/>
  <c r="Z2477" i="1"/>
  <c r="Z2458" i="1"/>
  <c r="CU2467" i="1"/>
  <c r="X2467" i="1" s="1"/>
  <c r="CU2478" i="1"/>
  <c r="X2478" i="1" s="1"/>
  <c r="CU2483" i="1"/>
  <c r="X2483" i="1" s="1"/>
  <c r="CU2484" i="1"/>
  <c r="X2484" i="1" s="1"/>
  <c r="CU2460" i="1"/>
  <c r="X2460" i="1" s="1"/>
  <c r="CU2423" i="1"/>
  <c r="X2423" i="1" s="1"/>
  <c r="Z2467" i="1"/>
  <c r="CU2480" i="1"/>
  <c r="X2480" i="1" s="1"/>
  <c r="CU2479" i="1"/>
  <c r="X2479" i="1" s="1"/>
  <c r="CU2457" i="1"/>
  <c r="X2457" i="1" s="1"/>
  <c r="CU2459" i="1"/>
  <c r="X2459" i="1" s="1"/>
  <c r="W2262" i="1"/>
  <c r="AD2483" i="1" l="1"/>
  <c r="AD2469" i="1"/>
  <c r="AD2455" i="1"/>
  <c r="AD2523" i="1"/>
  <c r="AD2513" i="1"/>
  <c r="AD2512" i="1"/>
  <c r="AD2509" i="1"/>
  <c r="AD2471" i="1"/>
  <c r="AD2519" i="1"/>
  <c r="AD2520" i="1"/>
  <c r="AD2510" i="1"/>
  <c r="AD2524" i="1"/>
  <c r="AD2522" i="1"/>
  <c r="AD2507" i="1"/>
  <c r="AD2502" i="1"/>
  <c r="AD2518" i="1"/>
  <c r="AD2527" i="1"/>
  <c r="AD2526" i="1"/>
  <c r="AD2472" i="1"/>
  <c r="AD2462" i="1"/>
  <c r="AD2470" i="1"/>
  <c r="AD2521" i="1"/>
  <c r="AD2492" i="1"/>
  <c r="AD2525" i="1"/>
  <c r="AD2515" i="1"/>
  <c r="AD2514" i="1"/>
  <c r="AD2495" i="1"/>
  <c r="AD2491" i="1"/>
  <c r="AD2468" i="1"/>
  <c r="AD2528" i="1"/>
  <c r="AD2476" i="1"/>
  <c r="AD2477" i="1"/>
  <c r="AD2479" i="1"/>
  <c r="AD2460" i="1"/>
  <c r="AD2423" i="1"/>
  <c r="AD2457" i="1"/>
  <c r="AD2480" i="1"/>
  <c r="AD2482" i="1"/>
  <c r="AD2478" i="1"/>
  <c r="AD2458" i="1"/>
  <c r="AD2484" i="1"/>
  <c r="AD2459" i="1"/>
  <c r="AD2467" i="1"/>
  <c r="I1473" i="1" l="1"/>
  <c r="I1742" i="1"/>
  <c r="I2394" i="1" l="1"/>
  <c r="I2359" i="1"/>
  <c r="I2154" i="1"/>
  <c r="AV2179" i="1" l="1"/>
  <c r="DC2485" i="1" l="1"/>
  <c r="DA2485" i="1"/>
  <c r="CY2485" i="1"/>
  <c r="Y2485" i="1" s="1"/>
  <c r="CW2485" i="1"/>
  <c r="AA2485" i="1" s="1"/>
  <c r="CR2485" i="1"/>
  <c r="CP2485" i="1"/>
  <c r="CN2485" i="1"/>
  <c r="CJ2485" i="1"/>
  <c r="CH2485" i="1"/>
  <c r="CF2485" i="1"/>
  <c r="BL2485" i="1"/>
  <c r="BD2485" i="1"/>
  <c r="AZ2485" i="1"/>
  <c r="AX2485" i="1"/>
  <c r="DC2461" i="1"/>
  <c r="DA2461" i="1"/>
  <c r="CY2461" i="1"/>
  <c r="Y2461" i="1" s="1"/>
  <c r="CW2461" i="1"/>
  <c r="AA2461" i="1" s="1"/>
  <c r="CR2461" i="1"/>
  <c r="CP2461" i="1"/>
  <c r="CN2461" i="1"/>
  <c r="CJ2461" i="1"/>
  <c r="CH2461" i="1"/>
  <c r="CF2461" i="1"/>
  <c r="BL2461" i="1"/>
  <c r="BD2461" i="1"/>
  <c r="AZ2461" i="1"/>
  <c r="AX2461" i="1"/>
  <c r="DC2463" i="1"/>
  <c r="DA2463" i="1"/>
  <c r="CY2463" i="1"/>
  <c r="Y2463" i="1" s="1"/>
  <c r="CW2463" i="1"/>
  <c r="AA2463" i="1" s="1"/>
  <c r="CR2463" i="1"/>
  <c r="CP2463" i="1"/>
  <c r="CN2463" i="1"/>
  <c r="CJ2463" i="1"/>
  <c r="CH2463" i="1"/>
  <c r="CF2463" i="1"/>
  <c r="BL2463" i="1"/>
  <c r="BD2463" i="1"/>
  <c r="AZ2463" i="1"/>
  <c r="AX2463" i="1"/>
  <c r="DC2448" i="1"/>
  <c r="DA2448" i="1"/>
  <c r="CY2448" i="1"/>
  <c r="Y2448" i="1" s="1"/>
  <c r="CW2448" i="1"/>
  <c r="AA2448" i="1" s="1"/>
  <c r="CR2448" i="1"/>
  <c r="CP2448" i="1"/>
  <c r="CN2448" i="1"/>
  <c r="CJ2448" i="1"/>
  <c r="CH2448" i="1"/>
  <c r="CF2448" i="1"/>
  <c r="BL2448" i="1"/>
  <c r="BD2448" i="1"/>
  <c r="AZ2448" i="1"/>
  <c r="AX2448" i="1"/>
  <c r="DC2456" i="1"/>
  <c r="DA2456" i="1"/>
  <c r="CY2456" i="1"/>
  <c r="Y2456" i="1" s="1"/>
  <c r="CW2456" i="1"/>
  <c r="AA2456" i="1" s="1"/>
  <c r="CR2456" i="1"/>
  <c r="CP2456" i="1"/>
  <c r="CN2456" i="1"/>
  <c r="CJ2456" i="1"/>
  <c r="CH2456" i="1"/>
  <c r="CF2456" i="1"/>
  <c r="BL2456" i="1"/>
  <c r="BD2456" i="1"/>
  <c r="AZ2456" i="1"/>
  <c r="AX2456" i="1"/>
  <c r="DC2466" i="1"/>
  <c r="DA2466" i="1"/>
  <c r="CY2466" i="1"/>
  <c r="Y2466" i="1" s="1"/>
  <c r="CW2466" i="1"/>
  <c r="AA2466" i="1" s="1"/>
  <c r="CR2466" i="1"/>
  <c r="CP2466" i="1"/>
  <c r="CN2466" i="1"/>
  <c r="CJ2466" i="1"/>
  <c r="CH2466" i="1"/>
  <c r="CF2466" i="1"/>
  <c r="BL2466" i="1"/>
  <c r="BD2466" i="1"/>
  <c r="AZ2466" i="1"/>
  <c r="AX2466" i="1"/>
  <c r="DC2464" i="1"/>
  <c r="DA2464" i="1"/>
  <c r="CY2464" i="1"/>
  <c r="Y2464" i="1" s="1"/>
  <c r="CW2464" i="1"/>
  <c r="AA2464" i="1" s="1"/>
  <c r="CR2464" i="1"/>
  <c r="CP2464" i="1"/>
  <c r="CN2464" i="1"/>
  <c r="CJ2464" i="1"/>
  <c r="CH2464" i="1"/>
  <c r="CF2464" i="1"/>
  <c r="BL2464" i="1"/>
  <c r="BD2464" i="1"/>
  <c r="AZ2464" i="1"/>
  <c r="AX2464" i="1"/>
  <c r="DC2465" i="1"/>
  <c r="DA2465" i="1"/>
  <c r="CY2465" i="1"/>
  <c r="Y2465" i="1" s="1"/>
  <c r="CW2465" i="1"/>
  <c r="AA2465" i="1" s="1"/>
  <c r="CR2465" i="1"/>
  <c r="CP2465" i="1"/>
  <c r="CN2465" i="1"/>
  <c r="CJ2465" i="1"/>
  <c r="CH2465" i="1"/>
  <c r="CF2465" i="1"/>
  <c r="BL2465" i="1"/>
  <c r="BD2465" i="1"/>
  <c r="AZ2465" i="1"/>
  <c r="AX2465" i="1"/>
  <c r="DC2451" i="1"/>
  <c r="DA2451" i="1"/>
  <c r="CY2451" i="1"/>
  <c r="Y2451" i="1" s="1"/>
  <c r="CW2451" i="1"/>
  <c r="AA2451" i="1" s="1"/>
  <c r="CR2451" i="1"/>
  <c r="CP2451" i="1"/>
  <c r="CN2451" i="1"/>
  <c r="CJ2451" i="1"/>
  <c r="CH2451" i="1"/>
  <c r="CF2451" i="1"/>
  <c r="BL2451" i="1"/>
  <c r="BD2451" i="1"/>
  <c r="AZ2451" i="1"/>
  <c r="AX2451" i="1"/>
  <c r="DC2431" i="1"/>
  <c r="DA2431" i="1"/>
  <c r="CY2431" i="1"/>
  <c r="Y2431" i="1" s="1"/>
  <c r="CW2431" i="1"/>
  <c r="AA2431" i="1" s="1"/>
  <c r="CR2431" i="1"/>
  <c r="CP2431" i="1"/>
  <c r="CN2431" i="1"/>
  <c r="CJ2431" i="1"/>
  <c r="CH2431" i="1"/>
  <c r="CF2431" i="1"/>
  <c r="BL2431" i="1"/>
  <c r="BD2431" i="1"/>
  <c r="AZ2431" i="1"/>
  <c r="AX2431" i="1"/>
  <c r="DC2447" i="1"/>
  <c r="DA2447" i="1"/>
  <c r="CY2447" i="1"/>
  <c r="Y2447" i="1" s="1"/>
  <c r="CW2447" i="1"/>
  <c r="AA2447" i="1" s="1"/>
  <c r="CR2447" i="1"/>
  <c r="CP2447" i="1"/>
  <c r="CN2447" i="1"/>
  <c r="CJ2447" i="1"/>
  <c r="CH2447" i="1"/>
  <c r="CF2447" i="1"/>
  <c r="BL2447" i="1"/>
  <c r="BD2447" i="1"/>
  <c r="AZ2447" i="1"/>
  <c r="AX2447" i="1"/>
  <c r="DC2446" i="1"/>
  <c r="DA2446" i="1"/>
  <c r="CY2446" i="1"/>
  <c r="Y2446" i="1" s="1"/>
  <c r="CW2446" i="1"/>
  <c r="AA2446" i="1" s="1"/>
  <c r="CR2446" i="1"/>
  <c r="CP2446" i="1"/>
  <c r="CN2446" i="1"/>
  <c r="CJ2446" i="1"/>
  <c r="CH2446" i="1"/>
  <c r="CF2446" i="1"/>
  <c r="BL2446" i="1"/>
  <c r="BD2446" i="1"/>
  <c r="AZ2446" i="1"/>
  <c r="AX2446" i="1"/>
  <c r="DC2452" i="1"/>
  <c r="DA2452" i="1"/>
  <c r="CY2452" i="1"/>
  <c r="Y2452" i="1" s="1"/>
  <c r="CW2452" i="1"/>
  <c r="AA2452" i="1" s="1"/>
  <c r="CR2452" i="1"/>
  <c r="CP2452" i="1"/>
  <c r="CN2452" i="1"/>
  <c r="CJ2452" i="1"/>
  <c r="CH2452" i="1"/>
  <c r="CF2452" i="1"/>
  <c r="BL2452" i="1"/>
  <c r="BD2452" i="1"/>
  <c r="AZ2452" i="1"/>
  <c r="AX2452" i="1"/>
  <c r="DC2453" i="1"/>
  <c r="DA2453" i="1"/>
  <c r="CY2453" i="1"/>
  <c r="Y2453" i="1" s="1"/>
  <c r="CW2453" i="1"/>
  <c r="AA2453" i="1" s="1"/>
  <c r="CR2453" i="1"/>
  <c r="CP2453" i="1"/>
  <c r="CN2453" i="1"/>
  <c r="CJ2453" i="1"/>
  <c r="CH2453" i="1"/>
  <c r="CF2453" i="1"/>
  <c r="BL2453" i="1"/>
  <c r="BD2453" i="1"/>
  <c r="AZ2453" i="1"/>
  <c r="AX2453" i="1"/>
  <c r="DC2010" i="1"/>
  <c r="CY2010" i="1"/>
  <c r="Y2010" i="1" s="1"/>
  <c r="CW2010" i="1"/>
  <c r="AA2010" i="1" s="1"/>
  <c r="CR2010" i="1"/>
  <c r="CP2010" i="1"/>
  <c r="CN2010" i="1"/>
  <c r="CJ2010" i="1"/>
  <c r="CH2010" i="1"/>
  <c r="CF2010" i="1"/>
  <c r="BL2010" i="1"/>
  <c r="BD2010" i="1"/>
  <c r="AZ2010" i="1"/>
  <c r="AX2010" i="1"/>
  <c r="CY1742" i="1"/>
  <c r="Y1742" i="1" s="1"/>
  <c r="AA1742" i="1"/>
  <c r="CR1742" i="1"/>
  <c r="CP1742" i="1"/>
  <c r="CN1742" i="1"/>
  <c r="CJ1742" i="1"/>
  <c r="CH1742" i="1"/>
  <c r="CF1742" i="1"/>
  <c r="BL1742" i="1"/>
  <c r="BD1742" i="1"/>
  <c r="AZ1742" i="1"/>
  <c r="AX1742" i="1"/>
  <c r="DA2154" i="1"/>
  <c r="CY2154" i="1"/>
  <c r="Y2154" i="1" s="1"/>
  <c r="CW2154" i="1"/>
  <c r="AA2154" i="1" s="1"/>
  <c r="CR2154" i="1"/>
  <c r="CP2154" i="1"/>
  <c r="CN2154" i="1"/>
  <c r="CJ2154" i="1"/>
  <c r="CH2154" i="1"/>
  <c r="CF2154" i="1"/>
  <c r="BL2154" i="1"/>
  <c r="BD2154" i="1"/>
  <c r="AZ2154" i="1"/>
  <c r="AX2154" i="1"/>
  <c r="DC2425" i="1"/>
  <c r="DA2425" i="1"/>
  <c r="CY2425" i="1"/>
  <c r="Y2425" i="1" s="1"/>
  <c r="CW2425" i="1"/>
  <c r="AA2425" i="1" s="1"/>
  <c r="CR2425" i="1"/>
  <c r="CP2425" i="1"/>
  <c r="CN2425" i="1"/>
  <c r="CJ2425" i="1"/>
  <c r="CH2425" i="1"/>
  <c r="CF2425" i="1"/>
  <c r="BL2425" i="1"/>
  <c r="BD2425" i="1"/>
  <c r="AZ2425" i="1"/>
  <c r="AX2425" i="1"/>
  <c r="DC2422" i="1"/>
  <c r="DA2422" i="1"/>
  <c r="CY2422" i="1"/>
  <c r="Y2422" i="1" s="1"/>
  <c r="CW2422" i="1"/>
  <c r="AA2422" i="1" s="1"/>
  <c r="CR2422" i="1"/>
  <c r="CP2422" i="1"/>
  <c r="CN2422" i="1"/>
  <c r="CJ2422" i="1"/>
  <c r="CH2422" i="1"/>
  <c r="CF2422" i="1"/>
  <c r="BL2422" i="1"/>
  <c r="BD2422" i="1"/>
  <c r="AZ2422" i="1"/>
  <c r="AX2422" i="1"/>
  <c r="DC2437" i="1"/>
  <c r="DA2437" i="1"/>
  <c r="CY2437" i="1"/>
  <c r="Y2437" i="1" s="1"/>
  <c r="CW2437" i="1"/>
  <c r="AA2437" i="1" s="1"/>
  <c r="CR2437" i="1"/>
  <c r="CP2437" i="1"/>
  <c r="CN2437" i="1"/>
  <c r="CJ2437" i="1"/>
  <c r="CH2437" i="1"/>
  <c r="CF2437" i="1"/>
  <c r="BL2437" i="1"/>
  <c r="BD2437" i="1"/>
  <c r="AZ2437" i="1"/>
  <c r="AX2437" i="1"/>
  <c r="DC2435" i="1"/>
  <c r="DA2435" i="1"/>
  <c r="CY2435" i="1"/>
  <c r="Y2435" i="1" s="1"/>
  <c r="CW2435" i="1"/>
  <c r="AA2435" i="1" s="1"/>
  <c r="CR2435" i="1"/>
  <c r="CP2435" i="1"/>
  <c r="CN2435" i="1"/>
  <c r="CJ2435" i="1"/>
  <c r="CH2435" i="1"/>
  <c r="CF2435" i="1"/>
  <c r="BL2435" i="1"/>
  <c r="BD2435" i="1"/>
  <c r="AZ2435" i="1"/>
  <c r="AX2435" i="1"/>
  <c r="DC2444" i="1"/>
  <c r="DA2444" i="1"/>
  <c r="CY2444" i="1"/>
  <c r="Y2444" i="1" s="1"/>
  <c r="CW2444" i="1"/>
  <c r="AA2444" i="1" s="1"/>
  <c r="CR2444" i="1"/>
  <c r="CP2444" i="1"/>
  <c r="CN2444" i="1"/>
  <c r="CJ2444" i="1"/>
  <c r="CH2444" i="1"/>
  <c r="CF2444" i="1"/>
  <c r="BL2444" i="1"/>
  <c r="BD2444" i="1"/>
  <c r="AZ2444" i="1"/>
  <c r="AX2444" i="1"/>
  <c r="DC2432" i="1"/>
  <c r="DA2432" i="1"/>
  <c r="CY2432" i="1"/>
  <c r="Y2432" i="1" s="1"/>
  <c r="CW2432" i="1"/>
  <c r="AA2432" i="1" s="1"/>
  <c r="CR2432" i="1"/>
  <c r="CP2432" i="1"/>
  <c r="CN2432" i="1"/>
  <c r="CJ2432" i="1"/>
  <c r="CH2432" i="1"/>
  <c r="CF2432" i="1"/>
  <c r="BL2432" i="1"/>
  <c r="BD2432" i="1"/>
  <c r="AZ2432" i="1"/>
  <c r="AX2432" i="1"/>
  <c r="DC2429" i="1"/>
  <c r="DA2429" i="1"/>
  <c r="CY2429" i="1"/>
  <c r="Y2429" i="1" s="1"/>
  <c r="CW2429" i="1"/>
  <c r="AA2429" i="1" s="1"/>
  <c r="CR2429" i="1"/>
  <c r="CP2429" i="1"/>
  <c r="CN2429" i="1"/>
  <c r="CJ2429" i="1"/>
  <c r="CH2429" i="1"/>
  <c r="CF2429" i="1"/>
  <c r="BL2429" i="1"/>
  <c r="BD2429" i="1"/>
  <c r="AZ2429" i="1"/>
  <c r="AX2429" i="1"/>
  <c r="DC2430" i="1"/>
  <c r="DA2430" i="1"/>
  <c r="CY2430" i="1"/>
  <c r="Y2430" i="1" s="1"/>
  <c r="CW2430" i="1"/>
  <c r="AA2430" i="1" s="1"/>
  <c r="CR2430" i="1"/>
  <c r="CP2430" i="1"/>
  <c r="CN2430" i="1"/>
  <c r="CJ2430" i="1"/>
  <c r="CH2430" i="1"/>
  <c r="CF2430" i="1"/>
  <c r="BL2430" i="1"/>
  <c r="BD2430" i="1"/>
  <c r="AZ2430" i="1"/>
  <c r="AX2430" i="1"/>
  <c r="DC2439" i="1"/>
  <c r="DA2439" i="1"/>
  <c r="CY2439" i="1"/>
  <c r="Y2439" i="1" s="1"/>
  <c r="CW2439" i="1"/>
  <c r="AA2439" i="1" s="1"/>
  <c r="CR2439" i="1"/>
  <c r="CP2439" i="1"/>
  <c r="CN2439" i="1"/>
  <c r="CJ2439" i="1"/>
  <c r="CH2439" i="1"/>
  <c r="CF2439" i="1"/>
  <c r="BL2439" i="1"/>
  <c r="BD2439" i="1"/>
  <c r="AZ2439" i="1"/>
  <c r="AX2439" i="1"/>
  <c r="DC2440" i="1"/>
  <c r="DA2440" i="1"/>
  <c r="CY2440" i="1"/>
  <c r="Y2440" i="1" s="1"/>
  <c r="CW2440" i="1"/>
  <c r="AA2440" i="1" s="1"/>
  <c r="CR2440" i="1"/>
  <c r="CP2440" i="1"/>
  <c r="CN2440" i="1"/>
  <c r="CJ2440" i="1"/>
  <c r="CH2440" i="1"/>
  <c r="CF2440" i="1"/>
  <c r="BL2440" i="1"/>
  <c r="BD2440" i="1"/>
  <c r="AZ2440" i="1"/>
  <c r="AX2440" i="1"/>
  <c r="DC2438" i="1"/>
  <c r="DA2438" i="1"/>
  <c r="CY2438" i="1"/>
  <c r="Y2438" i="1" s="1"/>
  <c r="CW2438" i="1"/>
  <c r="AA2438" i="1" s="1"/>
  <c r="CR2438" i="1"/>
  <c r="CP2438" i="1"/>
  <c r="CN2438" i="1"/>
  <c r="CJ2438" i="1"/>
  <c r="CH2438" i="1"/>
  <c r="CF2438" i="1"/>
  <c r="BL2438" i="1"/>
  <c r="BD2438" i="1"/>
  <c r="AZ2438" i="1"/>
  <c r="AX2438" i="1"/>
  <c r="DC2443" i="1"/>
  <c r="DA2443" i="1"/>
  <c r="CY2443" i="1"/>
  <c r="Y2443" i="1" s="1"/>
  <c r="CW2443" i="1"/>
  <c r="AA2443" i="1" s="1"/>
  <c r="CR2443" i="1"/>
  <c r="CP2443" i="1"/>
  <c r="CN2443" i="1"/>
  <c r="CJ2443" i="1"/>
  <c r="CH2443" i="1"/>
  <c r="CF2443" i="1"/>
  <c r="BL2443" i="1"/>
  <c r="BD2443" i="1"/>
  <c r="AZ2443" i="1"/>
  <c r="AX2443" i="1"/>
  <c r="DC2441" i="1"/>
  <c r="DA2441" i="1"/>
  <c r="CY2441" i="1"/>
  <c r="Y2441" i="1" s="1"/>
  <c r="CW2441" i="1"/>
  <c r="AA2441" i="1" s="1"/>
  <c r="CR2441" i="1"/>
  <c r="CP2441" i="1"/>
  <c r="CN2441" i="1"/>
  <c r="CJ2441" i="1"/>
  <c r="CH2441" i="1"/>
  <c r="CF2441" i="1"/>
  <c r="BL2441" i="1"/>
  <c r="BD2441" i="1"/>
  <c r="AZ2441" i="1"/>
  <c r="AX2441" i="1"/>
  <c r="DC2442" i="1"/>
  <c r="DA2442" i="1"/>
  <c r="CY2442" i="1"/>
  <c r="Y2442" i="1" s="1"/>
  <c r="CW2442" i="1"/>
  <c r="AA2442" i="1" s="1"/>
  <c r="CR2442" i="1"/>
  <c r="CP2442" i="1"/>
  <c r="CN2442" i="1"/>
  <c r="CJ2442" i="1"/>
  <c r="CH2442" i="1"/>
  <c r="CF2442" i="1"/>
  <c r="BL2442" i="1"/>
  <c r="BD2442" i="1"/>
  <c r="AZ2442" i="1"/>
  <c r="AX2442" i="1"/>
  <c r="DC2436" i="1"/>
  <c r="DA2436" i="1"/>
  <c r="CY2436" i="1"/>
  <c r="Y2436" i="1" s="1"/>
  <c r="CW2436" i="1"/>
  <c r="AA2436" i="1" s="1"/>
  <c r="CR2436" i="1"/>
  <c r="CP2436" i="1"/>
  <c r="CN2436" i="1"/>
  <c r="CJ2436" i="1"/>
  <c r="CH2436" i="1"/>
  <c r="CF2436" i="1"/>
  <c r="BL2436" i="1"/>
  <c r="BD2436" i="1"/>
  <c r="AZ2436" i="1"/>
  <c r="AX2436" i="1"/>
  <c r="DC2433" i="1"/>
  <c r="DA2433" i="1"/>
  <c r="CY2433" i="1"/>
  <c r="Y2433" i="1" s="1"/>
  <c r="CW2433" i="1"/>
  <c r="AA2433" i="1" s="1"/>
  <c r="CR2433" i="1"/>
  <c r="CP2433" i="1"/>
  <c r="CN2433" i="1"/>
  <c r="CJ2433" i="1"/>
  <c r="CH2433" i="1"/>
  <c r="CF2433" i="1"/>
  <c r="BL2433" i="1"/>
  <c r="BD2433" i="1"/>
  <c r="AZ2433" i="1"/>
  <c r="AX2433" i="1"/>
  <c r="DC2434" i="1"/>
  <c r="DA2434" i="1"/>
  <c r="CY2434" i="1"/>
  <c r="Y2434" i="1" s="1"/>
  <c r="CW2434" i="1"/>
  <c r="AA2434" i="1" s="1"/>
  <c r="CR2434" i="1"/>
  <c r="CP2434" i="1"/>
  <c r="CN2434" i="1"/>
  <c r="CJ2434" i="1"/>
  <c r="CH2434" i="1"/>
  <c r="CF2434" i="1"/>
  <c r="BL2434" i="1"/>
  <c r="BD2434" i="1"/>
  <c r="AZ2434" i="1"/>
  <c r="AX2434" i="1"/>
  <c r="DC2424" i="1"/>
  <c r="DA2424" i="1"/>
  <c r="CY2424" i="1"/>
  <c r="Y2424" i="1" s="1"/>
  <c r="CW2424" i="1"/>
  <c r="AA2424" i="1" s="1"/>
  <c r="CR2424" i="1"/>
  <c r="CP2424" i="1"/>
  <c r="CN2424" i="1"/>
  <c r="CJ2424" i="1"/>
  <c r="CH2424" i="1"/>
  <c r="CF2424" i="1"/>
  <c r="BL2424" i="1"/>
  <c r="BD2424" i="1"/>
  <c r="AZ2424" i="1"/>
  <c r="AX2424" i="1"/>
  <c r="DC2427" i="1"/>
  <c r="DA2427" i="1"/>
  <c r="CY2427" i="1"/>
  <c r="Y2427" i="1" s="1"/>
  <c r="CW2427" i="1"/>
  <c r="AA2427" i="1" s="1"/>
  <c r="CR2427" i="1"/>
  <c r="CP2427" i="1"/>
  <c r="CN2427" i="1"/>
  <c r="CJ2427" i="1"/>
  <c r="CH2427" i="1"/>
  <c r="CF2427" i="1"/>
  <c r="BL2427" i="1"/>
  <c r="BD2427" i="1"/>
  <c r="AZ2427" i="1"/>
  <c r="AX2427" i="1"/>
  <c r="DC2428" i="1"/>
  <c r="DA2428" i="1"/>
  <c r="CY2428" i="1"/>
  <c r="Y2428" i="1" s="1"/>
  <c r="CW2428" i="1"/>
  <c r="AA2428" i="1" s="1"/>
  <c r="CR2428" i="1"/>
  <c r="CP2428" i="1"/>
  <c r="CN2428" i="1"/>
  <c r="CJ2428" i="1"/>
  <c r="CH2428" i="1"/>
  <c r="CF2428" i="1"/>
  <c r="BL2428" i="1"/>
  <c r="BD2428" i="1"/>
  <c r="AZ2428" i="1"/>
  <c r="AX2428" i="1"/>
  <c r="DC2426" i="1"/>
  <c r="DA2426" i="1"/>
  <c r="CY2426" i="1"/>
  <c r="Y2426" i="1" s="1"/>
  <c r="CW2426" i="1"/>
  <c r="AA2426" i="1" s="1"/>
  <c r="CR2426" i="1"/>
  <c r="CP2426" i="1"/>
  <c r="CN2426" i="1"/>
  <c r="CJ2426" i="1"/>
  <c r="CH2426" i="1"/>
  <c r="CF2426" i="1"/>
  <c r="BL2426" i="1"/>
  <c r="BD2426" i="1"/>
  <c r="AZ2426" i="1"/>
  <c r="AX2426" i="1"/>
  <c r="DC2421" i="1"/>
  <c r="DA2421" i="1"/>
  <c r="CY2421" i="1"/>
  <c r="Y2421" i="1" s="1"/>
  <c r="CW2421" i="1"/>
  <c r="AA2421" i="1" s="1"/>
  <c r="CR2421" i="1"/>
  <c r="CP2421" i="1"/>
  <c r="CN2421" i="1"/>
  <c r="CJ2421" i="1"/>
  <c r="CH2421" i="1"/>
  <c r="CF2421" i="1"/>
  <c r="BL2421" i="1"/>
  <c r="BD2421" i="1"/>
  <c r="AZ2421" i="1"/>
  <c r="AX2421" i="1"/>
  <c r="DC2419" i="1"/>
  <c r="DA2419" i="1"/>
  <c r="CY2419" i="1"/>
  <c r="Y2419" i="1" s="1"/>
  <c r="CW2419" i="1"/>
  <c r="AA2419" i="1" s="1"/>
  <c r="CR2419" i="1"/>
  <c r="CP2419" i="1"/>
  <c r="CN2419" i="1"/>
  <c r="CJ2419" i="1"/>
  <c r="CH2419" i="1"/>
  <c r="CF2419" i="1"/>
  <c r="BL2419" i="1"/>
  <c r="BD2419" i="1"/>
  <c r="AZ2419" i="1"/>
  <c r="AX2419" i="1"/>
  <c r="Z2456" i="1" l="1"/>
  <c r="Z2425" i="1"/>
  <c r="Z2447" i="1"/>
  <c r="Z2430" i="1"/>
  <c r="Z2453" i="1"/>
  <c r="Z2443" i="1"/>
  <c r="Z2451" i="1"/>
  <c r="Z2464" i="1"/>
  <c r="Z2433" i="1"/>
  <c r="Z2429" i="1"/>
  <c r="Z2444" i="1"/>
  <c r="Z2465" i="1"/>
  <c r="CU2443" i="1"/>
  <c r="X2443" i="1" s="1"/>
  <c r="Z2442" i="1"/>
  <c r="Z2432" i="1"/>
  <c r="Z2446" i="1"/>
  <c r="Z2154" i="1"/>
  <c r="Z2421" i="1"/>
  <c r="Z2440" i="1"/>
  <c r="CU2430" i="1"/>
  <c r="X2430" i="1" s="1"/>
  <c r="Z1742" i="1"/>
  <c r="Z2448" i="1"/>
  <c r="Z2485" i="1"/>
  <c r="CU2433" i="1"/>
  <c r="X2433" i="1" s="1"/>
  <c r="Z2452" i="1"/>
  <c r="Z2436" i="1"/>
  <c r="Z2438" i="1"/>
  <c r="CU2431" i="1"/>
  <c r="X2431" i="1" s="1"/>
  <c r="Z2431" i="1"/>
  <c r="Z2466" i="1"/>
  <c r="CU2426" i="1"/>
  <c r="X2426" i="1" s="1"/>
  <c r="CU2424" i="1"/>
  <c r="X2424" i="1" s="1"/>
  <c r="CU2442" i="1"/>
  <c r="X2442" i="1" s="1"/>
  <c r="CU2440" i="1"/>
  <c r="X2440" i="1" s="1"/>
  <c r="CU2154" i="1"/>
  <c r="X2154" i="1" s="1"/>
  <c r="Z2461" i="1"/>
  <c r="Z2434" i="1"/>
  <c r="Z2441" i="1"/>
  <c r="Z2439" i="1"/>
  <c r="CU2432" i="1"/>
  <c r="X2432" i="1" s="1"/>
  <c r="Z2435" i="1"/>
  <c r="Z2437" i="1"/>
  <c r="Z2010" i="1"/>
  <c r="CU2452" i="1"/>
  <c r="X2452" i="1" s="1"/>
  <c r="CU2463" i="1"/>
  <c r="X2463" i="1" s="1"/>
  <c r="Z2463" i="1"/>
  <c r="Z2419" i="1"/>
  <c r="CU2421" i="1"/>
  <c r="X2421" i="1" s="1"/>
  <c r="Z2427" i="1"/>
  <c r="CU2434" i="1"/>
  <c r="X2434" i="1" s="1"/>
  <c r="CU2436" i="1"/>
  <c r="X2436" i="1" s="1"/>
  <c r="CU2441" i="1"/>
  <c r="X2441" i="1" s="1"/>
  <c r="CU2438" i="1"/>
  <c r="X2438" i="1" s="1"/>
  <c r="CU2439" i="1"/>
  <c r="X2439" i="1" s="1"/>
  <c r="CU2429" i="1"/>
  <c r="X2429" i="1" s="1"/>
  <c r="CU2435" i="1"/>
  <c r="X2435" i="1" s="1"/>
  <c r="Z2422" i="1"/>
  <c r="CU1742" i="1"/>
  <c r="X1742" i="1" s="1"/>
  <c r="CU2451" i="1"/>
  <c r="X2451" i="1" s="1"/>
  <c r="CU2465" i="1"/>
  <c r="X2465" i="1" s="1"/>
  <c r="CU2456" i="1"/>
  <c r="X2456" i="1" s="1"/>
  <c r="CU2461" i="1"/>
  <c r="X2461" i="1" s="1"/>
  <c r="CU2419" i="1"/>
  <c r="X2419" i="1" s="1"/>
  <c r="Z2428" i="1"/>
  <c r="CU2427" i="1"/>
  <c r="X2427" i="1" s="1"/>
  <c r="CU2437" i="1"/>
  <c r="X2437" i="1" s="1"/>
  <c r="CU2422" i="1"/>
  <c r="X2422" i="1" s="1"/>
  <c r="CU2010" i="1"/>
  <c r="X2010" i="1" s="1"/>
  <c r="CU2446" i="1"/>
  <c r="X2446" i="1" s="1"/>
  <c r="CU2464" i="1"/>
  <c r="X2464" i="1" s="1"/>
  <c r="CU2485" i="1"/>
  <c r="X2485" i="1" s="1"/>
  <c r="Z2426" i="1"/>
  <c r="CU2428" i="1"/>
  <c r="X2428" i="1" s="1"/>
  <c r="Z2424" i="1"/>
  <c r="CU2444" i="1"/>
  <c r="X2444" i="1" s="1"/>
  <c r="CU2425" i="1"/>
  <c r="X2425" i="1" s="1"/>
  <c r="CU2453" i="1"/>
  <c r="X2453" i="1" s="1"/>
  <c r="CU2447" i="1"/>
  <c r="X2447" i="1" s="1"/>
  <c r="CU2466" i="1"/>
  <c r="X2466" i="1" s="1"/>
  <c r="CU2448" i="1"/>
  <c r="X2448" i="1" s="1"/>
  <c r="I1838" i="1"/>
  <c r="AD2452" i="1" l="1"/>
  <c r="AD2440" i="1"/>
  <c r="AD2443" i="1"/>
  <c r="AD1742" i="1"/>
  <c r="AD2154" i="1"/>
  <c r="AD2448" i="1"/>
  <c r="AD2453" i="1"/>
  <c r="AD2446" i="1"/>
  <c r="AD2456" i="1"/>
  <c r="AD2421" i="1"/>
  <c r="AD2425" i="1"/>
  <c r="AD2430" i="1"/>
  <c r="AD2424" i="1"/>
  <c r="AD2451" i="1"/>
  <c r="AD2010" i="1"/>
  <c r="AD2426" i="1"/>
  <c r="AD2437" i="1"/>
  <c r="AD2461" i="1"/>
  <c r="AD2438" i="1"/>
  <c r="AD2447" i="1"/>
  <c r="AD2444" i="1"/>
  <c r="AD2464" i="1"/>
  <c r="AD2442" i="1"/>
  <c r="AD2432" i="1"/>
  <c r="AD2433" i="1"/>
  <c r="AD2427" i="1"/>
  <c r="AD2465" i="1"/>
  <c r="AD2429" i="1"/>
  <c r="AD2431" i="1"/>
  <c r="AD2428" i="1"/>
  <c r="AD2422" i="1"/>
  <c r="AD2419" i="1"/>
  <c r="AD2435" i="1"/>
  <c r="AD2466" i="1"/>
  <c r="AD2463" i="1"/>
  <c r="AD2485" i="1"/>
  <c r="AD2441" i="1"/>
  <c r="AD2436" i="1"/>
  <c r="AD2439" i="1"/>
  <c r="AD2434" i="1"/>
  <c r="DC2417" i="1"/>
  <c r="DA2417" i="1"/>
  <c r="CY2417" i="1"/>
  <c r="Y2417" i="1" s="1"/>
  <c r="CW2417" i="1"/>
  <c r="AA2417" i="1" s="1"/>
  <c r="CR2417" i="1"/>
  <c r="CP2417" i="1"/>
  <c r="CN2417" i="1"/>
  <c r="CJ2417" i="1"/>
  <c r="CH2417" i="1"/>
  <c r="CF2417" i="1"/>
  <c r="BL2417" i="1"/>
  <c r="BD2417" i="1"/>
  <c r="AZ2417" i="1"/>
  <c r="AX2417" i="1"/>
  <c r="Y2410" i="1"/>
  <c r="AA2410" i="1"/>
  <c r="DC2412" i="1"/>
  <c r="DA2412" i="1"/>
  <c r="CY2412" i="1"/>
  <c r="Y2412" i="1" s="1"/>
  <c r="CW2412" i="1"/>
  <c r="AA2412" i="1" s="1"/>
  <c r="CR2412" i="1"/>
  <c r="CP2412" i="1"/>
  <c r="CN2412" i="1"/>
  <c r="CJ2412" i="1"/>
  <c r="CH2412" i="1"/>
  <c r="CF2412" i="1"/>
  <c r="BL2412" i="1"/>
  <c r="BD2412" i="1"/>
  <c r="AZ2412" i="1"/>
  <c r="AX2412" i="1"/>
  <c r="DC2411" i="1"/>
  <c r="DA2411" i="1"/>
  <c r="CY2411" i="1"/>
  <c r="Y2411" i="1" s="1"/>
  <c r="CW2411" i="1"/>
  <c r="AA2411" i="1" s="1"/>
  <c r="CR2411" i="1"/>
  <c r="CP2411" i="1"/>
  <c r="CN2411" i="1"/>
  <c r="CJ2411" i="1"/>
  <c r="CH2411" i="1"/>
  <c r="CF2411" i="1"/>
  <c r="BL2411" i="1"/>
  <c r="BD2411" i="1"/>
  <c r="AZ2411" i="1"/>
  <c r="AX2411" i="1"/>
  <c r="DA2394" i="1"/>
  <c r="CY2394" i="1"/>
  <c r="Y2394" i="1" s="1"/>
  <c r="CW2394" i="1"/>
  <c r="AA2394" i="1" s="1"/>
  <c r="CR2394" i="1"/>
  <c r="CP2394" i="1"/>
  <c r="CN2394" i="1"/>
  <c r="CJ2394" i="1"/>
  <c r="CH2394" i="1"/>
  <c r="CF2394" i="1"/>
  <c r="BL2394" i="1"/>
  <c r="BD2394" i="1"/>
  <c r="AZ2394" i="1"/>
  <c r="AX2394" i="1"/>
  <c r="DC2409" i="1"/>
  <c r="DA2409" i="1"/>
  <c r="CY2409" i="1"/>
  <c r="Y2409" i="1" s="1"/>
  <c r="CW2409" i="1"/>
  <c r="AA2409" i="1" s="1"/>
  <c r="CR2409" i="1"/>
  <c r="CP2409" i="1"/>
  <c r="CN2409" i="1"/>
  <c r="CJ2409" i="1"/>
  <c r="CH2409" i="1"/>
  <c r="CF2409" i="1"/>
  <c r="BL2409" i="1"/>
  <c r="BD2409" i="1"/>
  <c r="AZ2409" i="1"/>
  <c r="AX2409" i="1"/>
  <c r="DC2397" i="1"/>
  <c r="DA2397" i="1"/>
  <c r="CY2397" i="1"/>
  <c r="Y2397" i="1" s="1"/>
  <c r="CW2397" i="1"/>
  <c r="AA2397" i="1" s="1"/>
  <c r="CR2397" i="1"/>
  <c r="CP2397" i="1"/>
  <c r="CN2397" i="1"/>
  <c r="CJ2397" i="1"/>
  <c r="CH2397" i="1"/>
  <c r="CF2397" i="1"/>
  <c r="BL2397" i="1"/>
  <c r="BD2397" i="1"/>
  <c r="AZ2397" i="1"/>
  <c r="AX2397" i="1"/>
  <c r="DC2399" i="1"/>
  <c r="DA2399" i="1"/>
  <c r="CY2399" i="1"/>
  <c r="Y2399" i="1" s="1"/>
  <c r="CW2399" i="1"/>
  <c r="AA2399" i="1" s="1"/>
  <c r="CR2399" i="1"/>
  <c r="CP2399" i="1"/>
  <c r="CN2399" i="1"/>
  <c r="CJ2399" i="1"/>
  <c r="CH2399" i="1"/>
  <c r="CF2399" i="1"/>
  <c r="BL2399" i="1"/>
  <c r="BD2399" i="1"/>
  <c r="AZ2399" i="1"/>
  <c r="AX2399" i="1"/>
  <c r="DC2405" i="1"/>
  <c r="DA2405" i="1"/>
  <c r="CY2405" i="1"/>
  <c r="Y2405" i="1" s="1"/>
  <c r="CW2405" i="1"/>
  <c r="AA2405" i="1" s="1"/>
  <c r="CR2405" i="1"/>
  <c r="CP2405" i="1"/>
  <c r="CN2405" i="1"/>
  <c r="CJ2405" i="1"/>
  <c r="CH2405" i="1"/>
  <c r="CF2405" i="1"/>
  <c r="BL2405" i="1"/>
  <c r="BD2405" i="1"/>
  <c r="AZ2405" i="1"/>
  <c r="AX2405" i="1"/>
  <c r="CY2408" i="1"/>
  <c r="Y2408" i="1" s="1"/>
  <c r="CW2408" i="1"/>
  <c r="AA2408" i="1" s="1"/>
  <c r="CR2408" i="1"/>
  <c r="CP2408" i="1"/>
  <c r="CN2408" i="1"/>
  <c r="CJ2408" i="1"/>
  <c r="CH2408" i="1"/>
  <c r="CF2408" i="1"/>
  <c r="BL2408" i="1"/>
  <c r="BD2408" i="1"/>
  <c r="AZ2408" i="1"/>
  <c r="AX2408" i="1"/>
  <c r="Y2395" i="1"/>
  <c r="AA2395" i="1"/>
  <c r="DC2396" i="1"/>
  <c r="DA2396" i="1"/>
  <c r="Y2396" i="1"/>
  <c r="CW2396" i="1"/>
  <c r="AA2396" i="1" s="1"/>
  <c r="CP2396" i="1"/>
  <c r="CN2396" i="1"/>
  <c r="CJ2396" i="1"/>
  <c r="CH2396" i="1"/>
  <c r="CF2396" i="1"/>
  <c r="BL2396" i="1"/>
  <c r="BD2396" i="1"/>
  <c r="AZ2396" i="1"/>
  <c r="AX2396" i="1"/>
  <c r="DC2403" i="1"/>
  <c r="DA2403" i="1"/>
  <c r="CY2403" i="1"/>
  <c r="Y2403" i="1" s="1"/>
  <c r="CW2403" i="1"/>
  <c r="AA2403" i="1" s="1"/>
  <c r="CR2403" i="1"/>
  <c r="CP2403" i="1"/>
  <c r="CN2403" i="1"/>
  <c r="CJ2403" i="1"/>
  <c r="CH2403" i="1"/>
  <c r="CF2403" i="1"/>
  <c r="BL2403" i="1"/>
  <c r="BD2403" i="1"/>
  <c r="AZ2403" i="1"/>
  <c r="AX2403" i="1"/>
  <c r="DC2404" i="1"/>
  <c r="DA2404" i="1"/>
  <c r="CY2404" i="1"/>
  <c r="Y2404" i="1" s="1"/>
  <c r="CW2404" i="1"/>
  <c r="AA2404" i="1" s="1"/>
  <c r="CR2404" i="1"/>
  <c r="CP2404" i="1"/>
  <c r="CN2404" i="1"/>
  <c r="CJ2404" i="1"/>
  <c r="CH2404" i="1"/>
  <c r="CF2404" i="1"/>
  <c r="BL2404" i="1"/>
  <c r="BD2404" i="1"/>
  <c r="AZ2404" i="1"/>
  <c r="AX2404" i="1"/>
  <c r="DC2398" i="1"/>
  <c r="DA2398" i="1"/>
  <c r="CY2398" i="1"/>
  <c r="Y2398" i="1" s="1"/>
  <c r="CW2398" i="1"/>
  <c r="AA2398" i="1" s="1"/>
  <c r="CR2398" i="1"/>
  <c r="CP2398" i="1"/>
  <c r="CN2398" i="1"/>
  <c r="CJ2398" i="1"/>
  <c r="CH2398" i="1"/>
  <c r="CF2398" i="1"/>
  <c r="BL2398" i="1"/>
  <c r="BD2398" i="1"/>
  <c r="AZ2398" i="1"/>
  <c r="AX2398" i="1"/>
  <c r="DC2391" i="1"/>
  <c r="DA2391" i="1"/>
  <c r="CY2391" i="1"/>
  <c r="Y2391" i="1" s="1"/>
  <c r="CW2391" i="1"/>
  <c r="AA2391" i="1" s="1"/>
  <c r="CR2391" i="1"/>
  <c r="CP2391" i="1"/>
  <c r="CN2391" i="1"/>
  <c r="CJ2391" i="1"/>
  <c r="CH2391" i="1"/>
  <c r="CF2391" i="1"/>
  <c r="BL2391" i="1"/>
  <c r="BD2391" i="1"/>
  <c r="AZ2391" i="1"/>
  <c r="AX2391" i="1"/>
  <c r="DC2392" i="1"/>
  <c r="DA2392" i="1"/>
  <c r="CY2392" i="1"/>
  <c r="Y2392" i="1" s="1"/>
  <c r="CW2392" i="1"/>
  <c r="AA2392" i="1" s="1"/>
  <c r="CR2392" i="1"/>
  <c r="CP2392" i="1"/>
  <c r="CN2392" i="1"/>
  <c r="CJ2392" i="1"/>
  <c r="CH2392" i="1"/>
  <c r="CF2392" i="1"/>
  <c r="BL2392" i="1"/>
  <c r="BD2392" i="1"/>
  <c r="AZ2392" i="1"/>
  <c r="AX2392" i="1"/>
  <c r="DC2413" i="1"/>
  <c r="DA2413" i="1"/>
  <c r="CY2413" i="1"/>
  <c r="Y2413" i="1" s="1"/>
  <c r="CW2413" i="1"/>
  <c r="AA2413" i="1" s="1"/>
  <c r="CR2413" i="1"/>
  <c r="CP2413" i="1"/>
  <c r="CN2413" i="1"/>
  <c r="CJ2413" i="1"/>
  <c r="CH2413" i="1"/>
  <c r="CF2413" i="1"/>
  <c r="BL2413" i="1"/>
  <c r="BD2413" i="1"/>
  <c r="AZ2413" i="1"/>
  <c r="AX2413" i="1"/>
  <c r="DC2415" i="1"/>
  <c r="DA2415" i="1"/>
  <c r="CY2415" i="1"/>
  <c r="Y2415" i="1" s="1"/>
  <c r="CW2415" i="1"/>
  <c r="AA2415" i="1" s="1"/>
  <c r="CR2415" i="1"/>
  <c r="CP2415" i="1"/>
  <c r="CN2415" i="1"/>
  <c r="CJ2415" i="1"/>
  <c r="CH2415" i="1"/>
  <c r="CF2415" i="1"/>
  <c r="BL2415" i="1"/>
  <c r="BD2415" i="1"/>
  <c r="AZ2415" i="1"/>
  <c r="AX2415" i="1"/>
  <c r="DC2418" i="1"/>
  <c r="DA2418" i="1"/>
  <c r="CY2418" i="1"/>
  <c r="Y2418" i="1" s="1"/>
  <c r="CW2418" i="1"/>
  <c r="AA2418" i="1" s="1"/>
  <c r="CR2418" i="1"/>
  <c r="CP2418" i="1"/>
  <c r="CN2418" i="1"/>
  <c r="CJ2418" i="1"/>
  <c r="CH2418" i="1"/>
  <c r="CF2418" i="1"/>
  <c r="BL2418" i="1"/>
  <c r="BD2418" i="1"/>
  <c r="AZ2418" i="1"/>
  <c r="AX2418" i="1"/>
  <c r="DC2416" i="1"/>
  <c r="DA2416" i="1"/>
  <c r="CY2416" i="1"/>
  <c r="Y2416" i="1" s="1"/>
  <c r="CW2416" i="1"/>
  <c r="AA2416" i="1" s="1"/>
  <c r="CR2416" i="1"/>
  <c r="CP2416" i="1"/>
  <c r="CN2416" i="1"/>
  <c r="CJ2416" i="1"/>
  <c r="CH2416" i="1"/>
  <c r="CF2416" i="1"/>
  <c r="BL2416" i="1"/>
  <c r="BD2416" i="1"/>
  <c r="AZ2416" i="1"/>
  <c r="AX2416" i="1"/>
  <c r="Z2392" i="1" l="1"/>
  <c r="Z2413" i="1"/>
  <c r="Z2399" i="1"/>
  <c r="Z2409" i="1"/>
  <c r="Z2412" i="1"/>
  <c r="Z2394" i="1"/>
  <c r="Z2391" i="1"/>
  <c r="Z2410" i="1"/>
  <c r="Z2397" i="1"/>
  <c r="Z2411" i="1"/>
  <c r="Z2417" i="1"/>
  <c r="CU2397" i="1"/>
  <c r="X2397" i="1" s="1"/>
  <c r="CU2409" i="1"/>
  <c r="X2409" i="1" s="1"/>
  <c r="CU2394" i="1"/>
  <c r="X2394" i="1" s="1"/>
  <c r="CU2411" i="1"/>
  <c r="X2411" i="1" s="1"/>
  <c r="X2410" i="1"/>
  <c r="CU2417" i="1"/>
  <c r="X2417" i="1" s="1"/>
  <c r="Z2416" i="1"/>
  <c r="Z2415" i="1"/>
  <c r="CU2412" i="1"/>
  <c r="X2412" i="1" s="1"/>
  <c r="Z2396" i="1"/>
  <c r="Z2408" i="1"/>
  <c r="Z2403" i="1"/>
  <c r="Z2395" i="1"/>
  <c r="CU2396" i="1"/>
  <c r="X2396" i="1" s="1"/>
  <c r="CU2408" i="1"/>
  <c r="X2408" i="1" s="1"/>
  <c r="CU2405" i="1"/>
  <c r="X2405" i="1" s="1"/>
  <c r="Z2405" i="1"/>
  <c r="CU2418" i="1"/>
  <c r="X2418" i="1" s="1"/>
  <c r="Z2418" i="1"/>
  <c r="CU2391" i="1"/>
  <c r="X2391" i="1" s="1"/>
  <c r="AD2391" i="1" s="1"/>
  <c r="CU2416" i="1"/>
  <c r="X2416" i="1" s="1"/>
  <c r="CU2413" i="1"/>
  <c r="X2413" i="1" s="1"/>
  <c r="CU2392" i="1"/>
  <c r="X2392" i="1" s="1"/>
  <c r="CU2415" i="1"/>
  <c r="X2415" i="1" s="1"/>
  <c r="AD2415" i="1" s="1"/>
  <c r="CU2403" i="1"/>
  <c r="X2403" i="1" s="1"/>
  <c r="X2395" i="1"/>
  <c r="CU2399" i="1"/>
  <c r="X2399" i="1" s="1"/>
  <c r="Z2398" i="1"/>
  <c r="Z2404" i="1"/>
  <c r="CU2404" i="1"/>
  <c r="X2404" i="1" s="1"/>
  <c r="CU2398" i="1"/>
  <c r="X2398" i="1" s="1"/>
  <c r="AX2355" i="1"/>
  <c r="AZ2355" i="1"/>
  <c r="BD2355" i="1"/>
  <c r="BL2355" i="1"/>
  <c r="CF2355" i="1"/>
  <c r="CH2355" i="1"/>
  <c r="CJ2355" i="1"/>
  <c r="CN2355" i="1"/>
  <c r="CP2355" i="1"/>
  <c r="CR2355" i="1"/>
  <c r="CW2355" i="1"/>
  <c r="AA2355" i="1" s="1"/>
  <c r="Y2355" i="1"/>
  <c r="DA2355" i="1"/>
  <c r="DC2355" i="1"/>
  <c r="BZ2056" i="1"/>
  <c r="AD2410" i="1" l="1"/>
  <c r="AD2413" i="1"/>
  <c r="AD2392" i="1"/>
  <c r="AD2416" i="1"/>
  <c r="AD2412" i="1"/>
  <c r="AD2409" i="1"/>
  <c r="AD2399" i="1"/>
  <c r="AD2394" i="1"/>
  <c r="AD2417" i="1"/>
  <c r="AD2411" i="1"/>
  <c r="AD2397" i="1"/>
  <c r="AD2418" i="1"/>
  <c r="AD2396" i="1"/>
  <c r="AD2403" i="1"/>
  <c r="AD2408" i="1"/>
  <c r="AD2395" i="1"/>
  <c r="AD2405" i="1"/>
  <c r="AD2398" i="1"/>
  <c r="AD2404" i="1"/>
  <c r="Z2355" i="1"/>
  <c r="CU2355" i="1"/>
  <c r="X2355" i="1" s="1"/>
  <c r="DC2662" i="1"/>
  <c r="DA2662" i="1"/>
  <c r="CY2662" i="1"/>
  <c r="Y2662" i="1" s="1"/>
  <c r="CW2662" i="1"/>
  <c r="AA2662" i="1" s="1"/>
  <c r="CR2662" i="1"/>
  <c r="CP2662" i="1"/>
  <c r="CN2662" i="1"/>
  <c r="CJ2662" i="1"/>
  <c r="CH2662" i="1"/>
  <c r="CF2662" i="1"/>
  <c r="BL2662" i="1"/>
  <c r="BD2662" i="1"/>
  <c r="AZ2662" i="1"/>
  <c r="AX2662" i="1"/>
  <c r="DC978" i="1"/>
  <c r="DA978" i="1"/>
  <c r="CY978" i="1"/>
  <c r="Y978" i="1" s="1"/>
  <c r="CW978" i="1"/>
  <c r="AA978" i="1" s="1"/>
  <c r="CR978" i="1"/>
  <c r="CP978" i="1"/>
  <c r="CN978" i="1"/>
  <c r="CJ978" i="1"/>
  <c r="CH978" i="1"/>
  <c r="CF978" i="1"/>
  <c r="BL978" i="1"/>
  <c r="BD978" i="1"/>
  <c r="AZ978" i="1"/>
  <c r="AX978" i="1"/>
  <c r="DC2151" i="1"/>
  <c r="DA2151" i="1"/>
  <c r="CY2151" i="1"/>
  <c r="Y2151" i="1" s="1"/>
  <c r="CW2151" i="1"/>
  <c r="AA2151" i="1" s="1"/>
  <c r="CR2151" i="1"/>
  <c r="CP2151" i="1"/>
  <c r="CN2151" i="1"/>
  <c r="CJ2151" i="1"/>
  <c r="CH2151" i="1"/>
  <c r="CF2151" i="1"/>
  <c r="BL2151" i="1"/>
  <c r="BD2151" i="1"/>
  <c r="AZ2151" i="1"/>
  <c r="AX2151" i="1"/>
  <c r="DC2420" i="1"/>
  <c r="DA2420" i="1"/>
  <c r="CY2420" i="1"/>
  <c r="Y2420" i="1" s="1"/>
  <c r="CW2420" i="1"/>
  <c r="AA2420" i="1" s="1"/>
  <c r="CR2420" i="1"/>
  <c r="CP2420" i="1"/>
  <c r="CN2420" i="1"/>
  <c r="CJ2420" i="1"/>
  <c r="CH2420" i="1"/>
  <c r="CF2420" i="1"/>
  <c r="BL2420" i="1"/>
  <c r="BD2420" i="1"/>
  <c r="AZ2420" i="1"/>
  <c r="AX2420" i="1"/>
  <c r="DC2414" i="1"/>
  <c r="DA2414" i="1"/>
  <c r="CY2414" i="1"/>
  <c r="Y2414" i="1" s="1"/>
  <c r="CW2414" i="1"/>
  <c r="AA2414" i="1" s="1"/>
  <c r="CR2414" i="1"/>
  <c r="CP2414" i="1"/>
  <c r="CN2414" i="1"/>
  <c r="CJ2414" i="1"/>
  <c r="CH2414" i="1"/>
  <c r="CF2414" i="1"/>
  <c r="BL2414" i="1"/>
  <c r="BD2414" i="1"/>
  <c r="AZ2414" i="1"/>
  <c r="AX2414" i="1"/>
  <c r="DC2402" i="1"/>
  <c r="DA2402" i="1"/>
  <c r="CY2402" i="1"/>
  <c r="Y2402" i="1" s="1"/>
  <c r="CW2402" i="1"/>
  <c r="AA2402" i="1" s="1"/>
  <c r="CR2402" i="1"/>
  <c r="CP2402" i="1"/>
  <c r="CN2402" i="1"/>
  <c r="CJ2402" i="1"/>
  <c r="CH2402" i="1"/>
  <c r="CF2402" i="1"/>
  <c r="BL2402" i="1"/>
  <c r="BD2402" i="1"/>
  <c r="AZ2402" i="1"/>
  <c r="AX2402" i="1"/>
  <c r="DC2401" i="1"/>
  <c r="DA2401" i="1"/>
  <c r="CY2401" i="1"/>
  <c r="Y2401" i="1" s="1"/>
  <c r="CW2401" i="1"/>
  <c r="AA2401" i="1" s="1"/>
  <c r="CR2401" i="1"/>
  <c r="CP2401" i="1"/>
  <c r="CN2401" i="1"/>
  <c r="CJ2401" i="1"/>
  <c r="CH2401" i="1"/>
  <c r="CF2401" i="1"/>
  <c r="BL2401" i="1"/>
  <c r="BD2401" i="1"/>
  <c r="AZ2401" i="1"/>
  <c r="AX2401" i="1"/>
  <c r="DC2400" i="1"/>
  <c r="DA2400" i="1"/>
  <c r="CY2400" i="1"/>
  <c r="Y2400" i="1" s="1"/>
  <c r="CW2400" i="1"/>
  <c r="AA2400" i="1" s="1"/>
  <c r="CR2400" i="1"/>
  <c r="CP2400" i="1"/>
  <c r="CN2400" i="1"/>
  <c r="CJ2400" i="1"/>
  <c r="CH2400" i="1"/>
  <c r="CF2400" i="1"/>
  <c r="BL2400" i="1"/>
  <c r="BD2400" i="1"/>
  <c r="AZ2400" i="1"/>
  <c r="AX2400" i="1"/>
  <c r="DC2385" i="1"/>
  <c r="DA2385" i="1"/>
  <c r="CY2385" i="1"/>
  <c r="Y2385" i="1" s="1"/>
  <c r="CW2385" i="1"/>
  <c r="AA2385" i="1" s="1"/>
  <c r="CR2385" i="1"/>
  <c r="CP2385" i="1"/>
  <c r="CN2385" i="1"/>
  <c r="CJ2385" i="1"/>
  <c r="CH2385" i="1"/>
  <c r="CF2385" i="1"/>
  <c r="BL2385" i="1"/>
  <c r="BD2385" i="1"/>
  <c r="AZ2385" i="1"/>
  <c r="AX2385" i="1"/>
  <c r="DC2388" i="1"/>
  <c r="DA2388" i="1"/>
  <c r="CY2388" i="1"/>
  <c r="Y2388" i="1" s="1"/>
  <c r="CW2388" i="1"/>
  <c r="AA2388" i="1" s="1"/>
  <c r="CR2388" i="1"/>
  <c r="CP2388" i="1"/>
  <c r="CN2388" i="1"/>
  <c r="CJ2388" i="1"/>
  <c r="CH2388" i="1"/>
  <c r="CF2388" i="1"/>
  <c r="BL2388" i="1"/>
  <c r="BD2388" i="1"/>
  <c r="AZ2388" i="1"/>
  <c r="AX2388" i="1"/>
  <c r="DC2384" i="1"/>
  <c r="DA2384" i="1"/>
  <c r="CY2384" i="1"/>
  <c r="Y2384" i="1" s="1"/>
  <c r="CW2384" i="1"/>
  <c r="AA2384" i="1" s="1"/>
  <c r="CR2384" i="1"/>
  <c r="CP2384" i="1"/>
  <c r="CN2384" i="1"/>
  <c r="CJ2384" i="1"/>
  <c r="CH2384" i="1"/>
  <c r="CF2384" i="1"/>
  <c r="BL2384" i="1"/>
  <c r="BD2384" i="1"/>
  <c r="AZ2384" i="1"/>
  <c r="AX2384" i="1"/>
  <c r="DC2389" i="1"/>
  <c r="DA2389" i="1"/>
  <c r="CY2389" i="1"/>
  <c r="Y2389" i="1" s="1"/>
  <c r="CW2389" i="1"/>
  <c r="AA2389" i="1" s="1"/>
  <c r="CR2389" i="1"/>
  <c r="CP2389" i="1"/>
  <c r="CN2389" i="1"/>
  <c r="CJ2389" i="1"/>
  <c r="CH2389" i="1"/>
  <c r="CF2389" i="1"/>
  <c r="BL2389" i="1"/>
  <c r="BD2389" i="1"/>
  <c r="AZ2389" i="1"/>
  <c r="AX2389" i="1"/>
  <c r="DC2393" i="1"/>
  <c r="DA2393" i="1"/>
  <c r="CY2393" i="1"/>
  <c r="Y2393" i="1" s="1"/>
  <c r="CW2393" i="1"/>
  <c r="AA2393" i="1" s="1"/>
  <c r="CR2393" i="1"/>
  <c r="CP2393" i="1"/>
  <c r="CN2393" i="1"/>
  <c r="CJ2393" i="1"/>
  <c r="CH2393" i="1"/>
  <c r="CF2393" i="1"/>
  <c r="BL2393" i="1"/>
  <c r="BD2393" i="1"/>
  <c r="AZ2393" i="1"/>
  <c r="AX2393" i="1"/>
  <c r="DC2390" i="1"/>
  <c r="DA2390" i="1"/>
  <c r="CY2390" i="1"/>
  <c r="Y2390" i="1" s="1"/>
  <c r="CW2390" i="1"/>
  <c r="AA2390" i="1" s="1"/>
  <c r="CR2390" i="1"/>
  <c r="CP2390" i="1"/>
  <c r="CN2390" i="1"/>
  <c r="CJ2390" i="1"/>
  <c r="CH2390" i="1"/>
  <c r="CF2390" i="1"/>
  <c r="BL2390" i="1"/>
  <c r="BD2390" i="1"/>
  <c r="AZ2390" i="1"/>
  <c r="AX2390" i="1"/>
  <c r="DC2386" i="1"/>
  <c r="DA2386" i="1"/>
  <c r="CY2386" i="1"/>
  <c r="Y2386" i="1" s="1"/>
  <c r="CW2386" i="1"/>
  <c r="AA2386" i="1" s="1"/>
  <c r="CR2386" i="1"/>
  <c r="CP2386" i="1"/>
  <c r="CN2386" i="1"/>
  <c r="CJ2386" i="1"/>
  <c r="CH2386" i="1"/>
  <c r="CF2386" i="1"/>
  <c r="BL2386" i="1"/>
  <c r="BD2386" i="1"/>
  <c r="AZ2386" i="1"/>
  <c r="AX2386" i="1"/>
  <c r="DC2387" i="1"/>
  <c r="DA2387" i="1"/>
  <c r="CY2387" i="1"/>
  <c r="Y2387" i="1" s="1"/>
  <c r="CW2387" i="1"/>
  <c r="AA2387" i="1" s="1"/>
  <c r="CR2387" i="1"/>
  <c r="CP2387" i="1"/>
  <c r="CN2387" i="1"/>
  <c r="CJ2387" i="1"/>
  <c r="CH2387" i="1"/>
  <c r="CF2387" i="1"/>
  <c r="BL2387" i="1"/>
  <c r="BD2387" i="1"/>
  <c r="AZ2387" i="1"/>
  <c r="AX2387" i="1"/>
  <c r="Z2359" i="1"/>
  <c r="CY2359" i="1"/>
  <c r="Y2359" i="1" s="1"/>
  <c r="CW2359" i="1"/>
  <c r="AA2359" i="1" s="1"/>
  <c r="CR2359" i="1"/>
  <c r="CP2359" i="1"/>
  <c r="CN2359" i="1"/>
  <c r="CJ2359" i="1"/>
  <c r="CH2359" i="1"/>
  <c r="CF2359" i="1"/>
  <c r="BL2359" i="1"/>
  <c r="BD2359" i="1"/>
  <c r="AZ2359" i="1"/>
  <c r="AX2359" i="1"/>
  <c r="DC2382" i="1"/>
  <c r="DA2382" i="1"/>
  <c r="Y2382" i="1"/>
  <c r="CW2382" i="1"/>
  <c r="AA2382" i="1" s="1"/>
  <c r="CR2382" i="1"/>
  <c r="CP2382" i="1"/>
  <c r="CN2382" i="1"/>
  <c r="CJ2382" i="1"/>
  <c r="CH2382" i="1"/>
  <c r="CF2382" i="1"/>
  <c r="BL2382" i="1"/>
  <c r="BD2382" i="1"/>
  <c r="AZ2382" i="1"/>
  <c r="AX2382" i="1"/>
  <c r="DC2378" i="1"/>
  <c r="DA2378" i="1"/>
  <c r="Y2378" i="1"/>
  <c r="CW2378" i="1"/>
  <c r="AA2378" i="1" s="1"/>
  <c r="CP2378" i="1"/>
  <c r="CN2378" i="1"/>
  <c r="CJ2378" i="1"/>
  <c r="CH2378" i="1"/>
  <c r="CF2378" i="1"/>
  <c r="BL2378" i="1"/>
  <c r="BD2378" i="1"/>
  <c r="AZ2378" i="1"/>
  <c r="AX2378" i="1"/>
  <c r="DA2380" i="1"/>
  <c r="Y2380" i="1"/>
  <c r="CW2380" i="1"/>
  <c r="AA2380" i="1" s="1"/>
  <c r="CP2380" i="1"/>
  <c r="CN2380" i="1"/>
  <c r="CJ2380" i="1"/>
  <c r="CH2380" i="1"/>
  <c r="CF2380" i="1"/>
  <c r="BL2380" i="1"/>
  <c r="BD2380" i="1"/>
  <c r="AZ2380" i="1"/>
  <c r="AX2380" i="1"/>
  <c r="DC2376" i="1"/>
  <c r="DA2376" i="1"/>
  <c r="Y2376" i="1"/>
  <c r="CW2376" i="1"/>
  <c r="AA2376" i="1" s="1"/>
  <c r="CR2376" i="1"/>
  <c r="CP2376" i="1"/>
  <c r="CN2376" i="1"/>
  <c r="CJ2376" i="1"/>
  <c r="CH2376" i="1"/>
  <c r="CF2376" i="1"/>
  <c r="BL2376" i="1"/>
  <c r="BD2376" i="1"/>
  <c r="AZ2376" i="1"/>
  <c r="AX2376" i="1"/>
  <c r="DA2379" i="1"/>
  <c r="Y2379" i="1"/>
  <c r="CW2379" i="1"/>
  <c r="AA2379" i="1" s="1"/>
  <c r="CR2379" i="1"/>
  <c r="CP2379" i="1"/>
  <c r="CN2379" i="1"/>
  <c r="CJ2379" i="1"/>
  <c r="CH2379" i="1"/>
  <c r="CF2379" i="1"/>
  <c r="BL2379" i="1"/>
  <c r="BD2379" i="1"/>
  <c r="AZ2379" i="1"/>
  <c r="AX2379" i="1"/>
  <c r="Z2376" i="1" l="1"/>
  <c r="Z2378" i="1"/>
  <c r="Z2382" i="1"/>
  <c r="AD2355" i="1"/>
  <c r="Z2379" i="1"/>
  <c r="Z2380" i="1"/>
  <c r="Z2387" i="1"/>
  <c r="Z2386" i="1"/>
  <c r="Z2385" i="1"/>
  <c r="Z2400" i="1"/>
  <c r="Z2151" i="1"/>
  <c r="Z2388" i="1"/>
  <c r="Z2402" i="1"/>
  <c r="Z2414" i="1"/>
  <c r="CU2402" i="1"/>
  <c r="X2402" i="1" s="1"/>
  <c r="Z2393" i="1"/>
  <c r="CU2385" i="1"/>
  <c r="X2385" i="1" s="1"/>
  <c r="CU2662" i="1"/>
  <c r="X2662" i="1" s="1"/>
  <c r="Z2662" i="1"/>
  <c r="CU2390" i="1"/>
  <c r="X2390" i="1" s="1"/>
  <c r="Z2390" i="1"/>
  <c r="CU2388" i="1"/>
  <c r="X2388" i="1" s="1"/>
  <c r="CU2400" i="1"/>
  <c r="X2400" i="1" s="1"/>
  <c r="CU2414" i="1"/>
  <c r="X2414" i="1" s="1"/>
  <c r="CU2420" i="1"/>
  <c r="X2420" i="1" s="1"/>
  <c r="CU2382" i="1"/>
  <c r="X2382" i="1" s="1"/>
  <c r="CU978" i="1"/>
  <c r="X978" i="1" s="1"/>
  <c r="Z978" i="1"/>
  <c r="CU2387" i="1"/>
  <c r="X2387" i="1" s="1"/>
  <c r="CU2393" i="1"/>
  <c r="X2393" i="1" s="1"/>
  <c r="CU2389" i="1"/>
  <c r="X2389" i="1" s="1"/>
  <c r="Z2389" i="1"/>
  <c r="CU2384" i="1"/>
  <c r="X2384" i="1" s="1"/>
  <c r="Z2384" i="1"/>
  <c r="CU2401" i="1"/>
  <c r="X2401" i="1" s="1"/>
  <c r="Z2401" i="1"/>
  <c r="CU2386" i="1"/>
  <c r="X2386" i="1" s="1"/>
  <c r="Z2420" i="1"/>
  <c r="CU2151" i="1"/>
  <c r="X2151" i="1" s="1"/>
  <c r="CU2359" i="1"/>
  <c r="X2359" i="1" s="1"/>
  <c r="AD2359" i="1" s="1"/>
  <c r="CU2379" i="1"/>
  <c r="X2379" i="1" s="1"/>
  <c r="CU2376" i="1"/>
  <c r="X2376" i="1" s="1"/>
  <c r="CU2380" i="1"/>
  <c r="X2380" i="1" s="1"/>
  <c r="CU2378" i="1"/>
  <c r="X2378" i="1" s="1"/>
  <c r="AD2382" i="1" l="1"/>
  <c r="AD2662" i="1"/>
  <c r="AD2376" i="1"/>
  <c r="AD2414" i="1"/>
  <c r="AD2379" i="1"/>
  <c r="AD2378" i="1"/>
  <c r="AD2385" i="1"/>
  <c r="AD2420" i="1"/>
  <c r="AD2151" i="1"/>
  <c r="AD978" i="1"/>
  <c r="AD2393" i="1"/>
  <c r="AD2380" i="1"/>
  <c r="AD2402" i="1"/>
  <c r="AD2400" i="1"/>
  <c r="AD2389" i="1"/>
  <c r="AD2386" i="1"/>
  <c r="AD2387" i="1"/>
  <c r="AD2384" i="1"/>
  <c r="AD2388" i="1"/>
  <c r="AD2390" i="1"/>
  <c r="AD2401" i="1"/>
  <c r="DC2369" i="1" l="1"/>
  <c r="DA2369" i="1"/>
  <c r="CY2369" i="1"/>
  <c r="Y2369" i="1" s="1"/>
  <c r="CW2369" i="1"/>
  <c r="AA2369" i="1" s="1"/>
  <c r="CR2369" i="1"/>
  <c r="CP2369" i="1"/>
  <c r="CN2369" i="1"/>
  <c r="CJ2369" i="1"/>
  <c r="CH2369" i="1"/>
  <c r="CF2369" i="1"/>
  <c r="BL2369" i="1"/>
  <c r="BD2369" i="1"/>
  <c r="AZ2369" i="1"/>
  <c r="AX2369" i="1"/>
  <c r="DC2370" i="1"/>
  <c r="DA2370" i="1"/>
  <c r="CY2370" i="1"/>
  <c r="Y2370" i="1" s="1"/>
  <c r="CW2370" i="1"/>
  <c r="AA2370" i="1" s="1"/>
  <c r="CR2370" i="1"/>
  <c r="CP2370" i="1"/>
  <c r="CN2370" i="1"/>
  <c r="CJ2370" i="1"/>
  <c r="CH2370" i="1"/>
  <c r="CF2370" i="1"/>
  <c r="BL2370" i="1"/>
  <c r="BD2370" i="1"/>
  <c r="AZ2370" i="1"/>
  <c r="AX2370" i="1"/>
  <c r="DC2331" i="1"/>
  <c r="DA2331" i="1"/>
  <c r="CY2331" i="1"/>
  <c r="Y2331" i="1" s="1"/>
  <c r="CW2331" i="1"/>
  <c r="AA2331" i="1" s="1"/>
  <c r="CR2331" i="1"/>
  <c r="CP2331" i="1"/>
  <c r="CN2331" i="1"/>
  <c r="CJ2331" i="1"/>
  <c r="CH2331" i="1"/>
  <c r="CF2331" i="1"/>
  <c r="BL2331" i="1"/>
  <c r="BD2331" i="1"/>
  <c r="AZ2331" i="1"/>
  <c r="AX2331" i="1"/>
  <c r="DC2330" i="1"/>
  <c r="DA2330" i="1"/>
  <c r="CY2330" i="1"/>
  <c r="Y2330" i="1" s="1"/>
  <c r="CW2330" i="1"/>
  <c r="AA2330" i="1" s="1"/>
  <c r="CR2330" i="1"/>
  <c r="CP2330" i="1"/>
  <c r="CN2330" i="1"/>
  <c r="CJ2330" i="1"/>
  <c r="CH2330" i="1"/>
  <c r="CF2330" i="1"/>
  <c r="BL2330" i="1"/>
  <c r="BD2330" i="1"/>
  <c r="AZ2330" i="1"/>
  <c r="AX2330" i="1"/>
  <c r="DC2332" i="1"/>
  <c r="DA2332" i="1"/>
  <c r="CY2332" i="1"/>
  <c r="Y2332" i="1" s="1"/>
  <c r="CW2332" i="1"/>
  <c r="AA2332" i="1" s="1"/>
  <c r="CR2332" i="1"/>
  <c r="CP2332" i="1"/>
  <c r="CN2332" i="1"/>
  <c r="CJ2332" i="1"/>
  <c r="CH2332" i="1"/>
  <c r="CF2332" i="1"/>
  <c r="BL2332" i="1"/>
  <c r="BD2332" i="1"/>
  <c r="AZ2332" i="1"/>
  <c r="AX2332" i="1"/>
  <c r="DC2337" i="1"/>
  <c r="DA2337" i="1"/>
  <c r="CY2337" i="1"/>
  <c r="Y2337" i="1" s="1"/>
  <c r="CW2337" i="1"/>
  <c r="AA2337" i="1" s="1"/>
  <c r="CR2337" i="1"/>
  <c r="CP2337" i="1"/>
  <c r="CN2337" i="1"/>
  <c r="CJ2337" i="1"/>
  <c r="CH2337" i="1"/>
  <c r="CF2337" i="1"/>
  <c r="BL2337" i="1"/>
  <c r="BD2337" i="1"/>
  <c r="AZ2337" i="1"/>
  <c r="AX2337" i="1"/>
  <c r="DC2374" i="1"/>
  <c r="DA2374" i="1"/>
  <c r="CY2374" i="1"/>
  <c r="Y2374" i="1" s="1"/>
  <c r="CW2374" i="1"/>
  <c r="AA2374" i="1" s="1"/>
  <c r="CR2374" i="1"/>
  <c r="CP2374" i="1"/>
  <c r="CN2374" i="1"/>
  <c r="CJ2374" i="1"/>
  <c r="CH2374" i="1"/>
  <c r="CF2374" i="1"/>
  <c r="BL2374" i="1"/>
  <c r="BD2374" i="1"/>
  <c r="AZ2374" i="1"/>
  <c r="AX2374" i="1"/>
  <c r="DC2381" i="1"/>
  <c r="DA2381" i="1"/>
  <c r="CY2381" i="1"/>
  <c r="Y2381" i="1" s="1"/>
  <c r="CW2381" i="1"/>
  <c r="AA2381" i="1" s="1"/>
  <c r="CR2381" i="1"/>
  <c r="CP2381" i="1"/>
  <c r="CN2381" i="1"/>
  <c r="CJ2381" i="1"/>
  <c r="CH2381" i="1"/>
  <c r="CF2381" i="1"/>
  <c r="BL2381" i="1"/>
  <c r="BD2381" i="1"/>
  <c r="AZ2381" i="1"/>
  <c r="AX2381" i="1"/>
  <c r="DC2375" i="1"/>
  <c r="DA2375" i="1"/>
  <c r="CY2375" i="1"/>
  <c r="Y2375" i="1" s="1"/>
  <c r="CW2375" i="1"/>
  <c r="AA2375" i="1" s="1"/>
  <c r="CR2375" i="1"/>
  <c r="CP2375" i="1"/>
  <c r="CN2375" i="1"/>
  <c r="CJ2375" i="1"/>
  <c r="CH2375" i="1"/>
  <c r="CF2375" i="1"/>
  <c r="BL2375" i="1"/>
  <c r="BD2375" i="1"/>
  <c r="AZ2375" i="1"/>
  <c r="AX2375" i="1"/>
  <c r="DC2383" i="1"/>
  <c r="DA2383" i="1"/>
  <c r="CY2383" i="1"/>
  <c r="Y2383" i="1" s="1"/>
  <c r="CW2383" i="1"/>
  <c r="AA2383" i="1" s="1"/>
  <c r="CR2383" i="1"/>
  <c r="CP2383" i="1"/>
  <c r="CN2383" i="1"/>
  <c r="CJ2383" i="1"/>
  <c r="CH2383" i="1"/>
  <c r="CF2383" i="1"/>
  <c r="BL2383" i="1"/>
  <c r="BD2383" i="1"/>
  <c r="AZ2383" i="1"/>
  <c r="AX2383" i="1"/>
  <c r="DC2371" i="1"/>
  <c r="DA2371" i="1"/>
  <c r="CY2371" i="1"/>
  <c r="Y2371" i="1" s="1"/>
  <c r="CW2371" i="1"/>
  <c r="AA2371" i="1" s="1"/>
  <c r="CR2371" i="1"/>
  <c r="CP2371" i="1"/>
  <c r="CN2371" i="1"/>
  <c r="CJ2371" i="1"/>
  <c r="CH2371" i="1"/>
  <c r="CF2371" i="1"/>
  <c r="BL2371" i="1"/>
  <c r="BD2371" i="1"/>
  <c r="AZ2371" i="1"/>
  <c r="AX2371" i="1"/>
  <c r="DC2372" i="1"/>
  <c r="DA2372" i="1"/>
  <c r="CY2372" i="1"/>
  <c r="Y2372" i="1" s="1"/>
  <c r="CW2372" i="1"/>
  <c r="AA2372" i="1" s="1"/>
  <c r="CR2372" i="1"/>
  <c r="CP2372" i="1"/>
  <c r="CN2372" i="1"/>
  <c r="CJ2372" i="1"/>
  <c r="CH2372" i="1"/>
  <c r="CF2372" i="1"/>
  <c r="BL2372" i="1"/>
  <c r="BD2372" i="1"/>
  <c r="AZ2372" i="1"/>
  <c r="AX2372" i="1"/>
  <c r="DC2373" i="1"/>
  <c r="DA2373" i="1"/>
  <c r="CY2373" i="1"/>
  <c r="Y2373" i="1" s="1"/>
  <c r="CW2373" i="1"/>
  <c r="AA2373" i="1" s="1"/>
  <c r="CR2373" i="1"/>
  <c r="CP2373" i="1"/>
  <c r="CN2373" i="1"/>
  <c r="CJ2373" i="1"/>
  <c r="CH2373" i="1"/>
  <c r="CF2373" i="1"/>
  <c r="BL2373" i="1"/>
  <c r="BD2373" i="1"/>
  <c r="AZ2373" i="1"/>
  <c r="AX2373" i="1"/>
  <c r="Z2372" i="1" l="1"/>
  <c r="Z2383" i="1"/>
  <c r="Z2374" i="1"/>
  <c r="Z2370" i="1"/>
  <c r="Z2373" i="1"/>
  <c r="Z2371" i="1"/>
  <c r="Z2375" i="1"/>
  <c r="Z2381" i="1"/>
  <c r="Z2369" i="1"/>
  <c r="Z2332" i="1"/>
  <c r="Z2331" i="1"/>
  <c r="CU2369" i="1"/>
  <c r="X2369" i="1" s="1"/>
  <c r="CU2337" i="1"/>
  <c r="X2337" i="1" s="1"/>
  <c r="Z2337" i="1"/>
  <c r="Z2330" i="1"/>
  <c r="CU2370" i="1"/>
  <c r="X2370" i="1" s="1"/>
  <c r="CU2332" i="1"/>
  <c r="X2332" i="1" s="1"/>
  <c r="CU2381" i="1"/>
  <c r="X2381" i="1" s="1"/>
  <c r="CU2330" i="1"/>
  <c r="X2330" i="1" s="1"/>
  <c r="CU2331" i="1"/>
  <c r="X2331" i="1" s="1"/>
  <c r="CU2374" i="1"/>
  <c r="X2374" i="1" s="1"/>
  <c r="CU2371" i="1"/>
  <c r="X2371" i="1" s="1"/>
  <c r="CU2373" i="1"/>
  <c r="X2373" i="1" s="1"/>
  <c r="CU2375" i="1"/>
  <c r="X2375" i="1" s="1"/>
  <c r="CU2372" i="1"/>
  <c r="X2372" i="1" s="1"/>
  <c r="CU2383" i="1"/>
  <c r="X2383" i="1" s="1"/>
  <c r="AD2381" i="1" l="1"/>
  <c r="AD2374" i="1"/>
  <c r="AD2383" i="1"/>
  <c r="AD2373" i="1"/>
  <c r="AD2375" i="1"/>
  <c r="AD2370" i="1"/>
  <c r="AD2369" i="1"/>
  <c r="AD2371" i="1"/>
  <c r="AD2372" i="1"/>
  <c r="AD2332" i="1"/>
  <c r="AD2330" i="1"/>
  <c r="AD2331" i="1"/>
  <c r="AD2337" i="1"/>
  <c r="DC2708" i="1"/>
  <c r="DA2708" i="1"/>
  <c r="CY2708" i="1"/>
  <c r="Y2708" i="1" s="1"/>
  <c r="CW2708" i="1"/>
  <c r="AA2708" i="1" s="1"/>
  <c r="CR2708" i="1"/>
  <c r="CP2708" i="1"/>
  <c r="CN2708" i="1"/>
  <c r="CJ2708" i="1"/>
  <c r="CH2708" i="1"/>
  <c r="CF2708" i="1"/>
  <c r="BL2708" i="1"/>
  <c r="BD2708" i="1"/>
  <c r="AZ2708" i="1"/>
  <c r="AX2708" i="1"/>
  <c r="DA1410" i="1"/>
  <c r="Y1410" i="1"/>
  <c r="CW1410" i="1"/>
  <c r="AA1410" i="1" s="1"/>
  <c r="CR1410" i="1"/>
  <c r="CP1410" i="1"/>
  <c r="CN1410" i="1"/>
  <c r="CJ1410" i="1"/>
  <c r="CH1410" i="1"/>
  <c r="CF1410" i="1"/>
  <c r="BL1410" i="1"/>
  <c r="BD1410" i="1"/>
  <c r="AZ1410" i="1"/>
  <c r="AX1410" i="1"/>
  <c r="DC2361" i="1"/>
  <c r="DA2361" i="1"/>
  <c r="Y2361" i="1"/>
  <c r="CW2361" i="1"/>
  <c r="AA2361" i="1" s="1"/>
  <c r="CN2361" i="1"/>
  <c r="CJ2361" i="1"/>
  <c r="CH2361" i="1"/>
  <c r="CF2361" i="1"/>
  <c r="BL2361" i="1"/>
  <c r="BD2361" i="1"/>
  <c r="AX2361" i="1"/>
  <c r="DC2367" i="1"/>
  <c r="DA2367" i="1"/>
  <c r="CY2367" i="1"/>
  <c r="Y2367" i="1" s="1"/>
  <c r="CW2367" i="1"/>
  <c r="AA2367" i="1" s="1"/>
  <c r="CR2367" i="1"/>
  <c r="CP2367" i="1"/>
  <c r="CN2367" i="1"/>
  <c r="CJ2367" i="1"/>
  <c r="CH2367" i="1"/>
  <c r="CF2367" i="1"/>
  <c r="BL2367" i="1"/>
  <c r="BD2367" i="1"/>
  <c r="AZ2367" i="1"/>
  <c r="AX2367" i="1"/>
  <c r="DC2363" i="1"/>
  <c r="DA2363" i="1"/>
  <c r="CY2363" i="1"/>
  <c r="Y2363" i="1" s="1"/>
  <c r="CW2363" i="1"/>
  <c r="AA2363" i="1" s="1"/>
  <c r="CR2363" i="1"/>
  <c r="CP2363" i="1"/>
  <c r="CN2363" i="1"/>
  <c r="CJ2363" i="1"/>
  <c r="CH2363" i="1"/>
  <c r="CF2363" i="1"/>
  <c r="BL2363" i="1"/>
  <c r="BD2363" i="1"/>
  <c r="AZ2363" i="1"/>
  <c r="AX2363" i="1"/>
  <c r="DC2368" i="1"/>
  <c r="DA2368" i="1"/>
  <c r="CY2368" i="1"/>
  <c r="Y2368" i="1" s="1"/>
  <c r="CW2368" i="1"/>
  <c r="AA2368" i="1" s="1"/>
  <c r="CR2368" i="1"/>
  <c r="CP2368" i="1"/>
  <c r="CN2368" i="1"/>
  <c r="CJ2368" i="1"/>
  <c r="CH2368" i="1"/>
  <c r="CF2368" i="1"/>
  <c r="BL2368" i="1"/>
  <c r="BD2368" i="1"/>
  <c r="AZ2368" i="1"/>
  <c r="AX2368" i="1"/>
  <c r="DC2333" i="1"/>
  <c r="DA2333" i="1"/>
  <c r="CY2333" i="1"/>
  <c r="CW2333" i="1"/>
  <c r="CR2333" i="1"/>
  <c r="CP2333" i="1"/>
  <c r="CN2333" i="1"/>
  <c r="CJ2333" i="1"/>
  <c r="CH2333" i="1"/>
  <c r="CF2333" i="1"/>
  <c r="BL2333" i="1"/>
  <c r="BD2333" i="1"/>
  <c r="AZ2333" i="1"/>
  <c r="AX2333" i="1"/>
  <c r="DC2362" i="1"/>
  <c r="DA2362" i="1"/>
  <c r="CY2362" i="1"/>
  <c r="Y2362" i="1" s="1"/>
  <c r="CW2362" i="1"/>
  <c r="AA2362" i="1" s="1"/>
  <c r="CR2362" i="1"/>
  <c r="CP2362" i="1"/>
  <c r="CN2362" i="1"/>
  <c r="CJ2362" i="1"/>
  <c r="CH2362" i="1"/>
  <c r="CF2362" i="1"/>
  <c r="BL2362" i="1"/>
  <c r="BD2362" i="1"/>
  <c r="AZ2362" i="1"/>
  <c r="AX2362" i="1"/>
  <c r="DC2364" i="1"/>
  <c r="DA2364" i="1"/>
  <c r="CY2364" i="1"/>
  <c r="Y2364" i="1" s="1"/>
  <c r="CW2364" i="1"/>
  <c r="AA2364" i="1" s="1"/>
  <c r="CR2364" i="1"/>
  <c r="CP2364" i="1"/>
  <c r="CN2364" i="1"/>
  <c r="CJ2364" i="1"/>
  <c r="CH2364" i="1"/>
  <c r="CF2364" i="1"/>
  <c r="BL2364" i="1"/>
  <c r="BD2364" i="1"/>
  <c r="AZ2364" i="1"/>
  <c r="AX2364" i="1"/>
  <c r="Z2362" i="1" l="1"/>
  <c r="Z2364" i="1"/>
  <c r="Z2363" i="1"/>
  <c r="Z2361" i="1"/>
  <c r="Z2368" i="1"/>
  <c r="Z2367" i="1"/>
  <c r="Z2708" i="1"/>
  <c r="Z1410" i="1"/>
  <c r="CU2708" i="1"/>
  <c r="X2708" i="1" s="1"/>
  <c r="CU2363" i="1"/>
  <c r="X2363" i="1" s="1"/>
  <c r="CU2367" i="1"/>
  <c r="X2367" i="1" s="1"/>
  <c r="CU2361" i="1"/>
  <c r="X2361" i="1" s="1"/>
  <c r="CU1410" i="1"/>
  <c r="X1410" i="1" s="1"/>
  <c r="CU2368" i="1"/>
  <c r="X2368" i="1" s="1"/>
  <c r="CU2364" i="1"/>
  <c r="X2364" i="1" s="1"/>
  <c r="CU2333" i="1"/>
  <c r="CU2362" i="1"/>
  <c r="X2362" i="1" s="1"/>
  <c r="AD2363" i="1" l="1"/>
  <c r="AD2364" i="1"/>
  <c r="AD2362" i="1"/>
  <c r="AD2708" i="1"/>
  <c r="AD2367" i="1"/>
  <c r="AD2361" i="1"/>
  <c r="AD2368" i="1"/>
  <c r="AD1410" i="1"/>
  <c r="DC3916" i="1"/>
  <c r="DA3916" i="1"/>
  <c r="CY3916" i="1"/>
  <c r="CW3916" i="1"/>
  <c r="CR3916" i="1"/>
  <c r="CP3916" i="1"/>
  <c r="CN3916" i="1"/>
  <c r="CJ3916" i="1"/>
  <c r="CH3916" i="1"/>
  <c r="CF3916" i="1"/>
  <c r="BL3916" i="1"/>
  <c r="BD3916" i="1"/>
  <c r="AZ3916" i="1"/>
  <c r="AX3916" i="1"/>
  <c r="DC2365" i="1"/>
  <c r="DA2365" i="1"/>
  <c r="CY2365" i="1"/>
  <c r="Y2365" i="1" s="1"/>
  <c r="CW2365" i="1"/>
  <c r="AA2365" i="1" s="1"/>
  <c r="CR2365" i="1"/>
  <c r="CP2365" i="1"/>
  <c r="CN2365" i="1"/>
  <c r="CJ2365" i="1"/>
  <c r="CH2365" i="1"/>
  <c r="CF2365" i="1"/>
  <c r="BL2365" i="1"/>
  <c r="BD2365" i="1"/>
  <c r="AZ2365" i="1"/>
  <c r="AX2365" i="1"/>
  <c r="DC2366" i="1"/>
  <c r="DA2366" i="1"/>
  <c r="CY2366" i="1"/>
  <c r="Y2366" i="1" s="1"/>
  <c r="CW2366" i="1"/>
  <c r="AA2366" i="1" s="1"/>
  <c r="CR2366" i="1"/>
  <c r="CP2366" i="1"/>
  <c r="CN2366" i="1"/>
  <c r="CJ2366" i="1"/>
  <c r="CH2366" i="1"/>
  <c r="CF2366" i="1"/>
  <c r="BL2366" i="1"/>
  <c r="BD2366" i="1"/>
  <c r="AZ2366" i="1"/>
  <c r="AX2366" i="1"/>
  <c r="DC2357" i="1"/>
  <c r="DA2357" i="1"/>
  <c r="CY2357" i="1"/>
  <c r="Y2357" i="1" s="1"/>
  <c r="CW2357" i="1"/>
  <c r="AA2357" i="1" s="1"/>
  <c r="CR2357" i="1"/>
  <c r="CP2357" i="1"/>
  <c r="CN2357" i="1"/>
  <c r="CJ2357" i="1"/>
  <c r="CH2357" i="1"/>
  <c r="CF2357" i="1"/>
  <c r="BL2357" i="1"/>
  <c r="BD2357" i="1"/>
  <c r="AZ2357" i="1"/>
  <c r="AX2357" i="1"/>
  <c r="DC2358" i="1"/>
  <c r="DA2358" i="1"/>
  <c r="CY2358" i="1"/>
  <c r="Y2358" i="1" s="1"/>
  <c r="CW2358" i="1"/>
  <c r="AA2358" i="1" s="1"/>
  <c r="CR2358" i="1"/>
  <c r="CP2358" i="1"/>
  <c r="CN2358" i="1"/>
  <c r="CJ2358" i="1"/>
  <c r="CH2358" i="1"/>
  <c r="CF2358" i="1"/>
  <c r="BL2358" i="1"/>
  <c r="BD2358" i="1"/>
  <c r="AZ2358" i="1"/>
  <c r="AX2358" i="1"/>
  <c r="DC2360" i="1"/>
  <c r="DA2360" i="1"/>
  <c r="CY2360" i="1"/>
  <c r="Y2360" i="1" s="1"/>
  <c r="CW2360" i="1"/>
  <c r="AA2360" i="1" s="1"/>
  <c r="CR2360" i="1"/>
  <c r="CP2360" i="1"/>
  <c r="CN2360" i="1"/>
  <c r="CJ2360" i="1"/>
  <c r="CH2360" i="1"/>
  <c r="CF2360" i="1"/>
  <c r="BL2360" i="1"/>
  <c r="BD2360" i="1"/>
  <c r="AZ2360" i="1"/>
  <c r="AX2360" i="1"/>
  <c r="DC2353" i="1"/>
  <c r="DA2353" i="1"/>
  <c r="CY2353" i="1"/>
  <c r="CW2353" i="1"/>
  <c r="CR2353" i="1"/>
  <c r="CP2353" i="1"/>
  <c r="CN2353" i="1"/>
  <c r="CJ2353" i="1"/>
  <c r="CH2353" i="1"/>
  <c r="CF2353" i="1"/>
  <c r="BL2353" i="1"/>
  <c r="BD2353" i="1"/>
  <c r="AZ2353" i="1"/>
  <c r="AX2353" i="1"/>
  <c r="DC2321" i="1"/>
  <c r="DA2321" i="1"/>
  <c r="CY2321" i="1"/>
  <c r="CW2321" i="1"/>
  <c r="CR2321" i="1"/>
  <c r="CP2321" i="1"/>
  <c r="CN2321" i="1"/>
  <c r="CJ2321" i="1"/>
  <c r="CH2321" i="1"/>
  <c r="CF2321" i="1"/>
  <c r="BL2321" i="1"/>
  <c r="BD2321" i="1"/>
  <c r="AZ2321" i="1"/>
  <c r="AX2321" i="1"/>
  <c r="DC2336" i="1"/>
  <c r="DA2336" i="1"/>
  <c r="CY2336" i="1"/>
  <c r="CW2336" i="1"/>
  <c r="CR2336" i="1"/>
  <c r="CP2336" i="1"/>
  <c r="CN2336" i="1"/>
  <c r="CJ2336" i="1"/>
  <c r="CH2336" i="1"/>
  <c r="CF2336" i="1"/>
  <c r="BL2336" i="1"/>
  <c r="BD2336" i="1"/>
  <c r="AZ2336" i="1"/>
  <c r="AX2336" i="1"/>
  <c r="DC2354" i="1"/>
  <c r="DA2354" i="1"/>
  <c r="CY2354" i="1"/>
  <c r="Y2354" i="1" s="1"/>
  <c r="CW2354" i="1"/>
  <c r="AA2354" i="1" s="1"/>
  <c r="CR2354" i="1"/>
  <c r="CP2354" i="1"/>
  <c r="CN2354" i="1"/>
  <c r="CJ2354" i="1"/>
  <c r="CH2354" i="1"/>
  <c r="CF2354" i="1"/>
  <c r="BL2354" i="1"/>
  <c r="BD2354" i="1"/>
  <c r="AZ2354" i="1"/>
  <c r="AX2354" i="1"/>
  <c r="DC2348" i="1"/>
  <c r="DA2348" i="1"/>
  <c r="CY2348" i="1"/>
  <c r="CW2348" i="1"/>
  <c r="CR2348" i="1"/>
  <c r="CP2348" i="1"/>
  <c r="CN2348" i="1"/>
  <c r="CJ2348" i="1"/>
  <c r="CH2348" i="1"/>
  <c r="CF2348" i="1"/>
  <c r="BL2348" i="1"/>
  <c r="BD2348" i="1"/>
  <c r="AZ2348" i="1"/>
  <c r="AX2348" i="1"/>
  <c r="DC2356" i="1"/>
  <c r="DA2356" i="1"/>
  <c r="CY2356" i="1"/>
  <c r="CW2356" i="1"/>
  <c r="CR2356" i="1"/>
  <c r="CP2356" i="1"/>
  <c r="CN2356" i="1"/>
  <c r="CJ2356" i="1"/>
  <c r="CH2356" i="1"/>
  <c r="CF2356" i="1"/>
  <c r="BL2356" i="1"/>
  <c r="BD2356" i="1"/>
  <c r="AZ2356" i="1"/>
  <c r="AX2356" i="1"/>
  <c r="DC2351" i="1"/>
  <c r="DA2351" i="1"/>
  <c r="CY2351" i="1"/>
  <c r="CW2351" i="1"/>
  <c r="CR2351" i="1"/>
  <c r="CP2351" i="1"/>
  <c r="CN2351" i="1"/>
  <c r="CJ2351" i="1"/>
  <c r="CH2351" i="1"/>
  <c r="CF2351" i="1"/>
  <c r="BL2351" i="1"/>
  <c r="BD2351" i="1"/>
  <c r="AZ2351" i="1"/>
  <c r="AX2351" i="1"/>
  <c r="DC2349" i="1"/>
  <c r="DA2349" i="1"/>
  <c r="CY2349" i="1"/>
  <c r="CW2349" i="1"/>
  <c r="CR2349" i="1"/>
  <c r="CP2349" i="1"/>
  <c r="CN2349" i="1"/>
  <c r="CJ2349" i="1"/>
  <c r="CH2349" i="1"/>
  <c r="CF2349" i="1"/>
  <c r="BL2349" i="1"/>
  <c r="BD2349" i="1"/>
  <c r="AZ2349" i="1"/>
  <c r="AX2349" i="1"/>
  <c r="DC2350" i="1"/>
  <c r="DA2350" i="1"/>
  <c r="CY2350" i="1"/>
  <c r="CW2350" i="1"/>
  <c r="CR2350" i="1"/>
  <c r="CP2350" i="1"/>
  <c r="CN2350" i="1"/>
  <c r="CJ2350" i="1"/>
  <c r="CH2350" i="1"/>
  <c r="CF2350" i="1"/>
  <c r="BL2350" i="1"/>
  <c r="BD2350" i="1"/>
  <c r="AZ2350" i="1"/>
  <c r="AX2350" i="1"/>
  <c r="Z2358" i="1" l="1"/>
  <c r="Z2366" i="1"/>
  <c r="Z2354" i="1"/>
  <c r="Z2360" i="1"/>
  <c r="Z2357" i="1"/>
  <c r="Z2365" i="1"/>
  <c r="CU2357" i="1"/>
  <c r="X2357" i="1" s="1"/>
  <c r="CU2348" i="1"/>
  <c r="CU2353" i="1"/>
  <c r="CU2351" i="1"/>
  <c r="CU2321" i="1"/>
  <c r="CU2358" i="1"/>
  <c r="X2358" i="1" s="1"/>
  <c r="CU3916" i="1"/>
  <c r="CU2356" i="1"/>
  <c r="CU2354" i="1"/>
  <c r="X2354" i="1" s="1"/>
  <c r="CU2360" i="1"/>
  <c r="X2360" i="1" s="1"/>
  <c r="CU2365" i="1"/>
  <c r="X2365" i="1" s="1"/>
  <c r="CU2336" i="1"/>
  <c r="CU2366" i="1"/>
  <c r="X2366" i="1" s="1"/>
  <c r="CU2349" i="1"/>
  <c r="CU2350" i="1"/>
  <c r="I1949" i="1"/>
  <c r="I1328" i="1"/>
  <c r="I2056" i="1"/>
  <c r="AD2360" i="1" l="1"/>
  <c r="AD2366" i="1"/>
  <c r="AD2357" i="1"/>
  <c r="AD2358" i="1"/>
  <c r="AD2354" i="1"/>
  <c r="AD2365" i="1"/>
  <c r="DC2347" i="1"/>
  <c r="DA2347" i="1"/>
  <c r="CY2347" i="1"/>
  <c r="Y2347" i="1" s="1"/>
  <c r="CW2347" i="1"/>
  <c r="AA2347" i="1" s="1"/>
  <c r="CR2347" i="1"/>
  <c r="CP2347" i="1"/>
  <c r="CN2347" i="1"/>
  <c r="CJ2347" i="1"/>
  <c r="CH2347" i="1"/>
  <c r="CF2347" i="1"/>
  <c r="BL2347" i="1"/>
  <c r="BD2347" i="1"/>
  <c r="AZ2347" i="1"/>
  <c r="AX2347" i="1"/>
  <c r="DC2342" i="1"/>
  <c r="DA2342" i="1"/>
  <c r="CY2342" i="1"/>
  <c r="Y2342" i="1" s="1"/>
  <c r="CW2342" i="1"/>
  <c r="AA2342" i="1" s="1"/>
  <c r="CR2342" i="1"/>
  <c r="CP2342" i="1"/>
  <c r="CN2342" i="1"/>
  <c r="CJ2342" i="1"/>
  <c r="CH2342" i="1"/>
  <c r="CF2342" i="1"/>
  <c r="BL2342" i="1"/>
  <c r="BD2342" i="1"/>
  <c r="AZ2342" i="1"/>
  <c r="AX2342" i="1"/>
  <c r="DC2329" i="1"/>
  <c r="DA2329" i="1"/>
  <c r="CY2329" i="1"/>
  <c r="Y2329" i="1" s="1"/>
  <c r="CW2329" i="1"/>
  <c r="AA2329" i="1" s="1"/>
  <c r="CR2329" i="1"/>
  <c r="CP2329" i="1"/>
  <c r="CN2329" i="1"/>
  <c r="CJ2329" i="1"/>
  <c r="CH2329" i="1"/>
  <c r="CF2329" i="1"/>
  <c r="BL2329" i="1"/>
  <c r="BD2329" i="1"/>
  <c r="AZ2329" i="1"/>
  <c r="AX2329" i="1"/>
  <c r="DC2345" i="1"/>
  <c r="DA2345" i="1"/>
  <c r="CY2345" i="1"/>
  <c r="Y2345" i="1" s="1"/>
  <c r="CW2345" i="1"/>
  <c r="AA2345" i="1" s="1"/>
  <c r="CR2345" i="1"/>
  <c r="CP2345" i="1"/>
  <c r="CN2345" i="1"/>
  <c r="CJ2345" i="1"/>
  <c r="CH2345" i="1"/>
  <c r="CF2345" i="1"/>
  <c r="BL2345" i="1"/>
  <c r="BD2345" i="1"/>
  <c r="AZ2345" i="1"/>
  <c r="AX2345" i="1"/>
  <c r="DC2344" i="1"/>
  <c r="DA2344" i="1"/>
  <c r="CY2344" i="1"/>
  <c r="Y2344" i="1" s="1"/>
  <c r="CW2344" i="1"/>
  <c r="AA2344" i="1" s="1"/>
  <c r="CR2344" i="1"/>
  <c r="CP2344" i="1"/>
  <c r="CN2344" i="1"/>
  <c r="CJ2344" i="1"/>
  <c r="CH2344" i="1"/>
  <c r="CF2344" i="1"/>
  <c r="BL2344" i="1"/>
  <c r="BD2344" i="1"/>
  <c r="AZ2344" i="1"/>
  <c r="AX2344" i="1"/>
  <c r="DC2341" i="1"/>
  <c r="DA2341" i="1"/>
  <c r="CY2341" i="1"/>
  <c r="Y2341" i="1" s="1"/>
  <c r="CW2341" i="1"/>
  <c r="AA2341" i="1" s="1"/>
  <c r="CR2341" i="1"/>
  <c r="CP2341" i="1"/>
  <c r="CN2341" i="1"/>
  <c r="CJ2341" i="1"/>
  <c r="CH2341" i="1"/>
  <c r="CF2341" i="1"/>
  <c r="BL2341" i="1"/>
  <c r="BD2341" i="1"/>
  <c r="AZ2341" i="1"/>
  <c r="AX2341" i="1"/>
  <c r="DC2346" i="1"/>
  <c r="DA2346" i="1"/>
  <c r="CY2346" i="1"/>
  <c r="Y2346" i="1" s="1"/>
  <c r="CW2346" i="1"/>
  <c r="AA2346" i="1" s="1"/>
  <c r="CR2346" i="1"/>
  <c r="CP2346" i="1"/>
  <c r="CN2346" i="1"/>
  <c r="CJ2346" i="1"/>
  <c r="CH2346" i="1"/>
  <c r="CF2346" i="1"/>
  <c r="BL2346" i="1"/>
  <c r="BD2346" i="1"/>
  <c r="AZ2346" i="1"/>
  <c r="AX2346" i="1"/>
  <c r="DC2328" i="1"/>
  <c r="DA2328" i="1"/>
  <c r="CY2328" i="1"/>
  <c r="Y2328" i="1" s="1"/>
  <c r="CW2328" i="1"/>
  <c r="AA2328" i="1" s="1"/>
  <c r="CR2328" i="1"/>
  <c r="CP2328" i="1"/>
  <c r="CN2328" i="1"/>
  <c r="CJ2328" i="1"/>
  <c r="CH2328" i="1"/>
  <c r="CF2328" i="1"/>
  <c r="BL2328" i="1"/>
  <c r="BD2328" i="1"/>
  <c r="AZ2328" i="1"/>
  <c r="AX2328" i="1"/>
  <c r="DC2334" i="1"/>
  <c r="DA2334" i="1"/>
  <c r="CY2334" i="1"/>
  <c r="Y2334" i="1" s="1"/>
  <c r="CW2334" i="1"/>
  <c r="AA2334" i="1" s="1"/>
  <c r="CR2334" i="1"/>
  <c r="CP2334" i="1"/>
  <c r="CN2334" i="1"/>
  <c r="CJ2334" i="1"/>
  <c r="CH2334" i="1"/>
  <c r="CF2334" i="1"/>
  <c r="BL2334" i="1"/>
  <c r="BD2334" i="1"/>
  <c r="AZ2334" i="1"/>
  <c r="AX2334" i="1"/>
  <c r="DC2339" i="1"/>
  <c r="DA2339" i="1"/>
  <c r="CY2339" i="1"/>
  <c r="Y2339" i="1" s="1"/>
  <c r="CW2339" i="1"/>
  <c r="AA2339" i="1" s="1"/>
  <c r="CR2339" i="1"/>
  <c r="CP2339" i="1"/>
  <c r="CN2339" i="1"/>
  <c r="CJ2339" i="1"/>
  <c r="CH2339" i="1"/>
  <c r="CF2339" i="1"/>
  <c r="BL2339" i="1"/>
  <c r="BD2339" i="1"/>
  <c r="AZ2339" i="1"/>
  <c r="AX2339" i="1"/>
  <c r="DC2335" i="1"/>
  <c r="DA2335" i="1"/>
  <c r="CY2335" i="1"/>
  <c r="Y2335" i="1" s="1"/>
  <c r="CW2335" i="1"/>
  <c r="AA2335" i="1" s="1"/>
  <c r="CR2335" i="1"/>
  <c r="CP2335" i="1"/>
  <c r="CN2335" i="1"/>
  <c r="CJ2335" i="1"/>
  <c r="CH2335" i="1"/>
  <c r="CF2335" i="1"/>
  <c r="BL2335" i="1"/>
  <c r="BD2335" i="1"/>
  <c r="AZ2335" i="1"/>
  <c r="AX2335" i="1"/>
  <c r="DC2325" i="1"/>
  <c r="DA2325" i="1"/>
  <c r="CY2325" i="1"/>
  <c r="Y2325" i="1" s="1"/>
  <c r="CW2325" i="1"/>
  <c r="AA2325" i="1" s="1"/>
  <c r="CR2325" i="1"/>
  <c r="CP2325" i="1"/>
  <c r="CN2325" i="1"/>
  <c r="CJ2325" i="1"/>
  <c r="CH2325" i="1"/>
  <c r="CF2325" i="1"/>
  <c r="BL2325" i="1"/>
  <c r="BD2325" i="1"/>
  <c r="AZ2325" i="1"/>
  <c r="AX2325" i="1"/>
  <c r="DC2338" i="1"/>
  <c r="DA2338" i="1"/>
  <c r="CY2338" i="1"/>
  <c r="Y2338" i="1" s="1"/>
  <c r="CW2338" i="1"/>
  <c r="AA2338" i="1" s="1"/>
  <c r="CR2338" i="1"/>
  <c r="CP2338" i="1"/>
  <c r="CN2338" i="1"/>
  <c r="CJ2338" i="1"/>
  <c r="CH2338" i="1"/>
  <c r="CF2338" i="1"/>
  <c r="BL2338" i="1"/>
  <c r="BD2338" i="1"/>
  <c r="AZ2338" i="1"/>
  <c r="AX2338" i="1"/>
  <c r="DC2340" i="1"/>
  <c r="DA2340" i="1"/>
  <c r="CY2340" i="1"/>
  <c r="Y2340" i="1" s="1"/>
  <c r="CW2340" i="1"/>
  <c r="AA2340" i="1" s="1"/>
  <c r="CR2340" i="1"/>
  <c r="CP2340" i="1"/>
  <c r="CN2340" i="1"/>
  <c r="CJ2340" i="1"/>
  <c r="CH2340" i="1"/>
  <c r="CF2340" i="1"/>
  <c r="BL2340" i="1"/>
  <c r="BD2340" i="1"/>
  <c r="AZ2340" i="1"/>
  <c r="AX2340" i="1"/>
  <c r="DC2309" i="1"/>
  <c r="DA2309" i="1"/>
  <c r="CY2309" i="1"/>
  <c r="Y2309" i="1" s="1"/>
  <c r="CW2309" i="1"/>
  <c r="AA2309" i="1" s="1"/>
  <c r="CR2309" i="1"/>
  <c r="CP2309" i="1"/>
  <c r="CN2309" i="1"/>
  <c r="CJ2309" i="1"/>
  <c r="CH2309" i="1"/>
  <c r="CF2309" i="1"/>
  <c r="BL2309" i="1"/>
  <c r="BD2309" i="1"/>
  <c r="AZ2309" i="1"/>
  <c r="AX2309" i="1"/>
  <c r="DC2326" i="1"/>
  <c r="DA2326" i="1"/>
  <c r="CY2326" i="1"/>
  <c r="Y2326" i="1" s="1"/>
  <c r="CW2326" i="1"/>
  <c r="AA2326" i="1" s="1"/>
  <c r="CR2326" i="1"/>
  <c r="CP2326" i="1"/>
  <c r="CN2326" i="1"/>
  <c r="CJ2326" i="1"/>
  <c r="CH2326" i="1"/>
  <c r="CF2326" i="1"/>
  <c r="BL2326" i="1"/>
  <c r="BD2326" i="1"/>
  <c r="AZ2326" i="1"/>
  <c r="AX2326" i="1"/>
  <c r="DC2320" i="1"/>
  <c r="DA2320" i="1"/>
  <c r="CY2320" i="1"/>
  <c r="Y2320" i="1" s="1"/>
  <c r="CW2320" i="1"/>
  <c r="AA2320" i="1" s="1"/>
  <c r="CR2320" i="1"/>
  <c r="CP2320" i="1"/>
  <c r="CN2320" i="1"/>
  <c r="CJ2320" i="1"/>
  <c r="CH2320" i="1"/>
  <c r="CF2320" i="1"/>
  <c r="BL2320" i="1"/>
  <c r="BD2320" i="1"/>
  <c r="AZ2320" i="1"/>
  <c r="AX2320" i="1"/>
  <c r="Z2341" i="1" l="1"/>
  <c r="Z2346" i="1"/>
  <c r="Z2329" i="1"/>
  <c r="Z2342" i="1"/>
  <c r="Z2340" i="1"/>
  <c r="Z2325" i="1"/>
  <c r="Z2335" i="1"/>
  <c r="CU2346" i="1"/>
  <c r="X2346" i="1" s="1"/>
  <c r="Z2334" i="1"/>
  <c r="Z2345" i="1"/>
  <c r="CU2338" i="1"/>
  <c r="X2338" i="1" s="1"/>
  <c r="Z2338" i="1"/>
  <c r="Z2328" i="1"/>
  <c r="CU2345" i="1"/>
  <c r="X2345" i="1" s="1"/>
  <c r="Z2344" i="1"/>
  <c r="CU2339" i="1"/>
  <c r="X2339" i="1" s="1"/>
  <c r="Z2339" i="1"/>
  <c r="Z2347" i="1"/>
  <c r="CU2334" i="1"/>
  <c r="X2334" i="1" s="1"/>
  <c r="Z2309" i="1"/>
  <c r="CU2325" i="1"/>
  <c r="X2325" i="1" s="1"/>
  <c r="CU2341" i="1"/>
  <c r="X2341" i="1" s="1"/>
  <c r="CU2342" i="1"/>
  <c r="X2342" i="1" s="1"/>
  <c r="CU2329" i="1"/>
  <c r="X2329" i="1" s="1"/>
  <c r="CU2340" i="1"/>
  <c r="X2340" i="1" s="1"/>
  <c r="CU2335" i="1"/>
  <c r="X2335" i="1" s="1"/>
  <c r="CU2328" i="1"/>
  <c r="X2328" i="1" s="1"/>
  <c r="CU2344" i="1"/>
  <c r="X2344" i="1" s="1"/>
  <c r="CU2347" i="1"/>
  <c r="X2347" i="1" s="1"/>
  <c r="Z2326" i="1"/>
  <c r="Z2320" i="1"/>
  <c r="CU2309" i="1"/>
  <c r="X2309" i="1" s="1"/>
  <c r="CU2320" i="1"/>
  <c r="X2320" i="1" s="1"/>
  <c r="CU2326" i="1"/>
  <c r="X2326" i="1" s="1"/>
  <c r="AD2326" i="1" l="1"/>
  <c r="AD2341" i="1"/>
  <c r="AD2347" i="1"/>
  <c r="AD2345" i="1"/>
  <c r="AD2346" i="1"/>
  <c r="AD2342" i="1"/>
  <c r="AD2329" i="1"/>
  <c r="AD2338" i="1"/>
  <c r="AD2335" i="1"/>
  <c r="AD2325" i="1"/>
  <c r="AD2340" i="1"/>
  <c r="AD2309" i="1"/>
  <c r="AD2328" i="1"/>
  <c r="AD2334" i="1"/>
  <c r="AD2339" i="1"/>
  <c r="AD2344" i="1"/>
  <c r="AD2320" i="1"/>
  <c r="DC2327" i="1"/>
  <c r="DA2327" i="1"/>
  <c r="CY2327" i="1"/>
  <c r="Y2327" i="1" s="1"/>
  <c r="CW2327" i="1"/>
  <c r="AA2327" i="1" s="1"/>
  <c r="CR2327" i="1"/>
  <c r="CP2327" i="1"/>
  <c r="CN2327" i="1"/>
  <c r="CJ2327" i="1"/>
  <c r="CH2327" i="1"/>
  <c r="CF2327" i="1"/>
  <c r="BL2327" i="1"/>
  <c r="BD2327" i="1"/>
  <c r="AZ2327" i="1"/>
  <c r="AX2327" i="1"/>
  <c r="DC2324" i="1"/>
  <c r="DA2324" i="1"/>
  <c r="CY2324" i="1"/>
  <c r="Y2324" i="1" s="1"/>
  <c r="CW2324" i="1"/>
  <c r="AA2324" i="1" s="1"/>
  <c r="CR2324" i="1"/>
  <c r="CP2324" i="1"/>
  <c r="CN2324" i="1"/>
  <c r="CJ2324" i="1"/>
  <c r="CH2324" i="1"/>
  <c r="CF2324" i="1"/>
  <c r="BL2324" i="1"/>
  <c r="BD2324" i="1"/>
  <c r="AZ2324" i="1"/>
  <c r="AX2324" i="1"/>
  <c r="DC2301" i="1"/>
  <c r="DA2301" i="1"/>
  <c r="CY2301" i="1"/>
  <c r="Y2301" i="1" s="1"/>
  <c r="CW2301" i="1"/>
  <c r="AA2301" i="1" s="1"/>
  <c r="CR2301" i="1"/>
  <c r="CP2301" i="1"/>
  <c r="CN2301" i="1"/>
  <c r="CJ2301" i="1"/>
  <c r="CH2301" i="1"/>
  <c r="CF2301" i="1"/>
  <c r="BL2301" i="1"/>
  <c r="BD2301" i="1"/>
  <c r="AZ2301" i="1"/>
  <c r="AX2301" i="1"/>
  <c r="DC2322" i="1"/>
  <c r="DA2322" i="1"/>
  <c r="CY2322" i="1"/>
  <c r="Y2322" i="1" s="1"/>
  <c r="CW2322" i="1"/>
  <c r="AA2322" i="1" s="1"/>
  <c r="CR2322" i="1"/>
  <c r="CP2322" i="1"/>
  <c r="CN2322" i="1"/>
  <c r="CJ2322" i="1"/>
  <c r="CH2322" i="1"/>
  <c r="CF2322" i="1"/>
  <c r="BL2322" i="1"/>
  <c r="BD2322" i="1"/>
  <c r="AZ2322" i="1"/>
  <c r="AX2322" i="1"/>
  <c r="DC2316" i="1"/>
  <c r="DA2316" i="1"/>
  <c r="CY2316" i="1"/>
  <c r="Y2316" i="1" s="1"/>
  <c r="CW2316" i="1"/>
  <c r="AA2316" i="1" s="1"/>
  <c r="CR2316" i="1"/>
  <c r="CP2316" i="1"/>
  <c r="CN2316" i="1"/>
  <c r="CJ2316" i="1"/>
  <c r="CH2316" i="1"/>
  <c r="CF2316" i="1"/>
  <c r="BL2316" i="1"/>
  <c r="BD2316" i="1"/>
  <c r="AZ2316" i="1"/>
  <c r="AX2316" i="1"/>
  <c r="DC2311" i="1"/>
  <c r="DA2311" i="1"/>
  <c r="CY2311" i="1"/>
  <c r="Y2311" i="1" s="1"/>
  <c r="CW2311" i="1"/>
  <c r="AA2311" i="1" s="1"/>
  <c r="CR2311" i="1"/>
  <c r="CP2311" i="1"/>
  <c r="CN2311" i="1"/>
  <c r="CJ2311" i="1"/>
  <c r="CH2311" i="1"/>
  <c r="CF2311" i="1"/>
  <c r="BL2311" i="1"/>
  <c r="BD2311" i="1"/>
  <c r="AZ2311" i="1"/>
  <c r="AX2311" i="1"/>
  <c r="Z2327" i="1" l="1"/>
  <c r="CU2327" i="1"/>
  <c r="X2327" i="1" s="1"/>
  <c r="Z2322" i="1"/>
  <c r="Z2316" i="1"/>
  <c r="CU2324" i="1"/>
  <c r="X2324" i="1" s="1"/>
  <c r="CU2311" i="1"/>
  <c r="X2311" i="1" s="1"/>
  <c r="Z2311" i="1"/>
  <c r="Z2324" i="1"/>
  <c r="Z2301" i="1"/>
  <c r="CU2322" i="1"/>
  <c r="X2322" i="1" s="1"/>
  <c r="CU2301" i="1"/>
  <c r="X2301" i="1" s="1"/>
  <c r="CU2316" i="1"/>
  <c r="X2316" i="1" s="1"/>
  <c r="DB2213" i="1"/>
  <c r="DB1570" i="1"/>
  <c r="DB2156" i="1"/>
  <c r="DB2039" i="1"/>
  <c r="DB2057" i="1"/>
  <c r="AD2327" i="1" l="1"/>
  <c r="AD2322" i="1"/>
  <c r="AD2324" i="1"/>
  <c r="AD2316" i="1"/>
  <c r="AD2311" i="1"/>
  <c r="AD2301" i="1"/>
  <c r="I1360" i="1"/>
  <c r="DA2207" i="1" l="1"/>
  <c r="Y2207" i="1"/>
  <c r="CW2207" i="1"/>
  <c r="AA2207" i="1" s="1"/>
  <c r="CR2207" i="1"/>
  <c r="CP2207" i="1"/>
  <c r="CN2207" i="1"/>
  <c r="CJ2207" i="1"/>
  <c r="CH2207" i="1"/>
  <c r="CF2207" i="1"/>
  <c r="BL2207" i="1"/>
  <c r="BD2207" i="1"/>
  <c r="AZ2207" i="1"/>
  <c r="AX2207" i="1"/>
  <c r="DC2318" i="1"/>
  <c r="DA2318" i="1"/>
  <c r="CY2318" i="1"/>
  <c r="Y2318" i="1" s="1"/>
  <c r="CW2318" i="1"/>
  <c r="AA2318" i="1" s="1"/>
  <c r="CR2318" i="1"/>
  <c r="CP2318" i="1"/>
  <c r="CN2318" i="1"/>
  <c r="CJ2318" i="1"/>
  <c r="CH2318" i="1"/>
  <c r="CF2318" i="1"/>
  <c r="BL2318" i="1"/>
  <c r="BD2318" i="1"/>
  <c r="AZ2318" i="1"/>
  <c r="AX2318" i="1"/>
  <c r="DC2317" i="1"/>
  <c r="DA2317" i="1"/>
  <c r="CY2317" i="1"/>
  <c r="Y2317" i="1" s="1"/>
  <c r="CW2317" i="1"/>
  <c r="AA2317" i="1" s="1"/>
  <c r="CR2317" i="1"/>
  <c r="CP2317" i="1"/>
  <c r="CN2317" i="1"/>
  <c r="CJ2317" i="1"/>
  <c r="CH2317" i="1"/>
  <c r="CF2317" i="1"/>
  <c r="BL2317" i="1"/>
  <c r="BD2317" i="1"/>
  <c r="AZ2317" i="1"/>
  <c r="AX2317" i="1"/>
  <c r="DC2306" i="1"/>
  <c r="DA2306" i="1"/>
  <c r="CY2306" i="1"/>
  <c r="Y2306" i="1" s="1"/>
  <c r="CW2306" i="1"/>
  <c r="AA2306" i="1" s="1"/>
  <c r="CR2306" i="1"/>
  <c r="CP2306" i="1"/>
  <c r="CN2306" i="1"/>
  <c r="CJ2306" i="1"/>
  <c r="CH2306" i="1"/>
  <c r="CF2306" i="1"/>
  <c r="BL2306" i="1"/>
  <c r="BD2306" i="1"/>
  <c r="AZ2306" i="1"/>
  <c r="AX2306" i="1"/>
  <c r="CU2207" i="1" l="1"/>
  <c r="X2207" i="1" s="1"/>
  <c r="Z2207" i="1"/>
  <c r="Z2318" i="1"/>
  <c r="Z2317" i="1"/>
  <c r="CU2318" i="1"/>
  <c r="X2318" i="1" s="1"/>
  <c r="Z2306" i="1"/>
  <c r="CU2317" i="1"/>
  <c r="X2317" i="1" s="1"/>
  <c r="CU2306" i="1"/>
  <c r="X2306" i="1" s="1"/>
  <c r="AD2207" i="1" l="1"/>
  <c r="AD2318" i="1"/>
  <c r="AD2317" i="1"/>
  <c r="AD2306" i="1"/>
  <c r="DC2323" i="1"/>
  <c r="DA2323" i="1"/>
  <c r="CY2323" i="1"/>
  <c r="Y2323" i="1" s="1"/>
  <c r="CW2323" i="1"/>
  <c r="AA2323" i="1" s="1"/>
  <c r="CR2323" i="1"/>
  <c r="CP2323" i="1"/>
  <c r="CN2323" i="1"/>
  <c r="CJ2323" i="1"/>
  <c r="CH2323" i="1"/>
  <c r="CF2323" i="1"/>
  <c r="BL2323" i="1"/>
  <c r="BD2323" i="1"/>
  <c r="AZ2323" i="1"/>
  <c r="AX2323" i="1"/>
  <c r="DC2313" i="1"/>
  <c r="DA2313" i="1"/>
  <c r="CY2313" i="1"/>
  <c r="Y2313" i="1" s="1"/>
  <c r="CW2313" i="1"/>
  <c r="AA2313" i="1" s="1"/>
  <c r="CR2313" i="1"/>
  <c r="CP2313" i="1"/>
  <c r="CN2313" i="1"/>
  <c r="CJ2313" i="1"/>
  <c r="CH2313" i="1"/>
  <c r="CF2313" i="1"/>
  <c r="BL2313" i="1"/>
  <c r="BD2313" i="1"/>
  <c r="AZ2313" i="1"/>
  <c r="AX2313" i="1"/>
  <c r="DC2315" i="1"/>
  <c r="DA2315" i="1"/>
  <c r="CY2315" i="1"/>
  <c r="Y2315" i="1" s="1"/>
  <c r="CW2315" i="1"/>
  <c r="AA2315" i="1" s="1"/>
  <c r="CR2315" i="1"/>
  <c r="CP2315" i="1"/>
  <c r="CN2315" i="1"/>
  <c r="CJ2315" i="1"/>
  <c r="CH2315" i="1"/>
  <c r="CF2315" i="1"/>
  <c r="BL2315" i="1"/>
  <c r="BD2315" i="1"/>
  <c r="AZ2315" i="1"/>
  <c r="AX2315" i="1"/>
  <c r="DC2314" i="1"/>
  <c r="DA2314" i="1"/>
  <c r="CY2314" i="1"/>
  <c r="Y2314" i="1" s="1"/>
  <c r="CW2314" i="1"/>
  <c r="AA2314" i="1" s="1"/>
  <c r="CR2314" i="1"/>
  <c r="CP2314" i="1"/>
  <c r="CN2314" i="1"/>
  <c r="CJ2314" i="1"/>
  <c r="CH2314" i="1"/>
  <c r="CF2314" i="1"/>
  <c r="BL2314" i="1"/>
  <c r="BD2314" i="1"/>
  <c r="AZ2314" i="1"/>
  <c r="AX2314" i="1"/>
  <c r="DC2312" i="1"/>
  <c r="DA2312" i="1"/>
  <c r="CY2312" i="1"/>
  <c r="Y2312" i="1" s="1"/>
  <c r="CW2312" i="1"/>
  <c r="AA2312" i="1" s="1"/>
  <c r="CR2312" i="1"/>
  <c r="CP2312" i="1"/>
  <c r="CN2312" i="1"/>
  <c r="CJ2312" i="1"/>
  <c r="CH2312" i="1"/>
  <c r="CF2312" i="1"/>
  <c r="BL2312" i="1"/>
  <c r="BD2312" i="1"/>
  <c r="AZ2312" i="1"/>
  <c r="AX2312" i="1"/>
  <c r="DC2287" i="1"/>
  <c r="DA2287" i="1"/>
  <c r="CY2287" i="1"/>
  <c r="Y2287" i="1" s="1"/>
  <c r="CW2287" i="1"/>
  <c r="AA2287" i="1" s="1"/>
  <c r="CR2287" i="1"/>
  <c r="CP2287" i="1"/>
  <c r="CN2287" i="1"/>
  <c r="CJ2287" i="1"/>
  <c r="CH2287" i="1"/>
  <c r="CF2287" i="1"/>
  <c r="BL2287" i="1"/>
  <c r="BD2287" i="1"/>
  <c r="AZ2287" i="1"/>
  <c r="AX2287" i="1"/>
  <c r="DC2307" i="1"/>
  <c r="DA2307" i="1"/>
  <c r="CY2307" i="1"/>
  <c r="Y2307" i="1" s="1"/>
  <c r="CW2307" i="1"/>
  <c r="AA2307" i="1" s="1"/>
  <c r="CR2307" i="1"/>
  <c r="CP2307" i="1"/>
  <c r="CN2307" i="1"/>
  <c r="CJ2307" i="1"/>
  <c r="CH2307" i="1"/>
  <c r="CF2307" i="1"/>
  <c r="BL2307" i="1"/>
  <c r="BD2307" i="1"/>
  <c r="AZ2307" i="1"/>
  <c r="AX2307" i="1"/>
  <c r="DC1949" i="1"/>
  <c r="DA1949" i="1"/>
  <c r="Y1949" i="1"/>
  <c r="CW1949" i="1"/>
  <c r="AA1949" i="1" s="1"/>
  <c r="CP1949" i="1"/>
  <c r="CJ1949" i="1"/>
  <c r="CH1949" i="1"/>
  <c r="CF1949" i="1"/>
  <c r="BL1949" i="1"/>
  <c r="BD1949" i="1"/>
  <c r="AZ1949" i="1"/>
  <c r="AX1949" i="1"/>
  <c r="DC2303" i="1"/>
  <c r="DA2303" i="1"/>
  <c r="CY2303" i="1"/>
  <c r="Y2303" i="1" s="1"/>
  <c r="CW2303" i="1"/>
  <c r="AA2303" i="1" s="1"/>
  <c r="CR2303" i="1"/>
  <c r="CP2303" i="1"/>
  <c r="CN2303" i="1"/>
  <c r="CJ2303" i="1"/>
  <c r="CH2303" i="1"/>
  <c r="CF2303" i="1"/>
  <c r="BL2303" i="1"/>
  <c r="BD2303" i="1"/>
  <c r="AZ2303" i="1"/>
  <c r="AX2303" i="1"/>
  <c r="Z2323" i="1" l="1"/>
  <c r="CU2323" i="1"/>
  <c r="X2323" i="1" s="1"/>
  <c r="Z2313" i="1"/>
  <c r="Z2315" i="1"/>
  <c r="Z2312" i="1"/>
  <c r="Z2303" i="1"/>
  <c r="Z1949" i="1"/>
  <c r="Z2287" i="1"/>
  <c r="Z2307" i="1"/>
  <c r="Z2314" i="1"/>
  <c r="CU2313" i="1"/>
  <c r="X2313" i="1" s="1"/>
  <c r="CU1949" i="1"/>
  <c r="X1949" i="1" s="1"/>
  <c r="CU2314" i="1"/>
  <c r="X2314" i="1" s="1"/>
  <c r="CU2307" i="1"/>
  <c r="X2307" i="1" s="1"/>
  <c r="CU2315" i="1"/>
  <c r="X2315" i="1" s="1"/>
  <c r="CU2303" i="1"/>
  <c r="X2303" i="1" s="1"/>
  <c r="CU2312" i="1"/>
  <c r="X2312" i="1" s="1"/>
  <c r="CU2287" i="1"/>
  <c r="X2287" i="1" s="1"/>
  <c r="AB208" i="1"/>
  <c r="AZ208" i="1"/>
  <c r="CJ208" i="1"/>
  <c r="CP208" i="1"/>
  <c r="CY208" i="1"/>
  <c r="AB669" i="1"/>
  <c r="CF669" i="1"/>
  <c r="AD2323" i="1" l="1"/>
  <c r="AD1949" i="1"/>
  <c r="AD2287" i="1"/>
  <c r="AD2313" i="1"/>
  <c r="AD2315" i="1"/>
  <c r="AD2312" i="1"/>
  <c r="AD2314" i="1"/>
  <c r="AD2303" i="1"/>
  <c r="AD2307" i="1"/>
  <c r="DC1165" i="1"/>
  <c r="CY1165" i="1"/>
  <c r="CR1165" i="1"/>
  <c r="DC1506" i="1"/>
  <c r="DC1527" i="1"/>
  <c r="CY1527" i="1"/>
  <c r="DC1526" i="1"/>
  <c r="CY1526" i="1"/>
  <c r="DC1540" i="1"/>
  <c r="CY1540" i="1"/>
  <c r="DE1525" i="1"/>
  <c r="DC1525" i="1"/>
  <c r="DA1525" i="1"/>
  <c r="CY1525" i="1"/>
  <c r="DC2308" i="1"/>
  <c r="DA2308" i="1"/>
  <c r="CY2308" i="1"/>
  <c r="Y2308" i="1" s="1"/>
  <c r="CW2308" i="1"/>
  <c r="AA2308" i="1" s="1"/>
  <c r="CR2308" i="1"/>
  <c r="CP2308" i="1"/>
  <c r="CN2308" i="1"/>
  <c r="CJ2308" i="1"/>
  <c r="CH2308" i="1"/>
  <c r="CF2308" i="1"/>
  <c r="BL2308" i="1"/>
  <c r="BD2308" i="1"/>
  <c r="AZ2308" i="1"/>
  <c r="AX2308" i="1"/>
  <c r="DC2310" i="1"/>
  <c r="DA2310" i="1"/>
  <c r="CY2310" i="1"/>
  <c r="Y2310" i="1" s="1"/>
  <c r="CW2310" i="1"/>
  <c r="AA2310" i="1" s="1"/>
  <c r="CR2310" i="1"/>
  <c r="CP2310" i="1"/>
  <c r="CN2310" i="1"/>
  <c r="CJ2310" i="1"/>
  <c r="CH2310" i="1"/>
  <c r="CF2310" i="1"/>
  <c r="BL2310" i="1"/>
  <c r="BD2310" i="1"/>
  <c r="AZ2310" i="1"/>
  <c r="AX2310" i="1"/>
  <c r="DC2296" i="1"/>
  <c r="DA2296" i="1"/>
  <c r="CY2296" i="1"/>
  <c r="Y2296" i="1" s="1"/>
  <c r="CW2296" i="1"/>
  <c r="AA2296" i="1" s="1"/>
  <c r="CR2296" i="1"/>
  <c r="CP2296" i="1"/>
  <c r="CN2296" i="1"/>
  <c r="CJ2296" i="1"/>
  <c r="CH2296" i="1"/>
  <c r="CF2296" i="1"/>
  <c r="BL2296" i="1"/>
  <c r="BD2296" i="1"/>
  <c r="AZ2296" i="1"/>
  <c r="AX2296" i="1"/>
  <c r="Z2310" i="1" l="1"/>
  <c r="Z2296" i="1"/>
  <c r="CU2308" i="1"/>
  <c r="X2308" i="1" s="1"/>
  <c r="Z2308" i="1"/>
  <c r="CU2310" i="1"/>
  <c r="X2310" i="1" s="1"/>
  <c r="CU2296" i="1"/>
  <c r="X2296" i="1" s="1"/>
  <c r="DC714" i="1"/>
  <c r="DE716" i="1"/>
  <c r="DA716" i="1"/>
  <c r="DC716" i="1"/>
  <c r="DE718" i="1"/>
  <c r="DA718" i="1"/>
  <c r="DC718" i="1"/>
  <c r="DE714" i="1"/>
  <c r="DA714" i="1"/>
  <c r="AZ1708" i="1"/>
  <c r="CJ1708" i="1"/>
  <c r="CP1708" i="1"/>
  <c r="CR1708" i="1"/>
  <c r="DE1708" i="1"/>
  <c r="DA1708" i="1"/>
  <c r="DC1708" i="1"/>
  <c r="CY1708" i="1"/>
  <c r="DC1517" i="1"/>
  <c r="DC1676" i="1"/>
  <c r="CY1676" i="1"/>
  <c r="CP1676" i="1"/>
  <c r="CJ1676" i="1"/>
  <c r="AZ1676" i="1"/>
  <c r="DC1166" i="1"/>
  <c r="DA1166" i="1"/>
  <c r="CY1166" i="1"/>
  <c r="CR1166" i="1"/>
  <c r="CP1166" i="1"/>
  <c r="AZ1166" i="1"/>
  <c r="DE473" i="1"/>
  <c r="DC473" i="1"/>
  <c r="DA473" i="1"/>
  <c r="CY1181" i="1"/>
  <c r="CR1181" i="1"/>
  <c r="CN1181" i="1"/>
  <c r="CW1986" i="1"/>
  <c r="CR1986" i="1"/>
  <c r="CP1986" i="1"/>
  <c r="CN1986" i="1"/>
  <c r="BZ1986" i="1"/>
  <c r="BL1986" i="1"/>
  <c r="AZ1986" i="1"/>
  <c r="CP1181" i="1"/>
  <c r="AD2310" i="1" l="1"/>
  <c r="AD2296" i="1"/>
  <c r="AD2308" i="1"/>
  <c r="DC1294" i="1"/>
  <c r="CY1294" i="1"/>
  <c r="CR1294" i="1"/>
  <c r="CP1294" i="1"/>
  <c r="CJ1294" i="1"/>
  <c r="AZ1294" i="1"/>
  <c r="DE1352" i="1"/>
  <c r="DA1352" i="1"/>
  <c r="DC1352" i="1"/>
  <c r="DC1650" i="1" l="1"/>
  <c r="DC1553" i="1"/>
  <c r="CY1186" i="1" l="1"/>
  <c r="CR1186" i="1"/>
  <c r="CP1186" i="1"/>
  <c r="CJ1186" i="1"/>
  <c r="AZ1186" i="1"/>
  <c r="BZ1487" i="1"/>
  <c r="CW1487" i="1"/>
  <c r="DE1213" i="1"/>
  <c r="DC1213" i="1"/>
  <c r="CR1213" i="1"/>
  <c r="CP1213" i="1"/>
  <c r="CJ1213" i="1"/>
  <c r="AZ1213" i="1"/>
  <c r="DC1471" i="1"/>
  <c r="CY1471" i="1"/>
  <c r="AZ1624" i="1"/>
  <c r="CJ1624" i="1"/>
  <c r="CP1624" i="1"/>
  <c r="CR1624" i="1"/>
  <c r="CY1624" i="1"/>
  <c r="DA1624" i="1"/>
  <c r="DC1624" i="1"/>
  <c r="AZ1711" i="1"/>
  <c r="CJ1711" i="1"/>
  <c r="CP1711" i="1"/>
  <c r="CR1711" i="1"/>
  <c r="CY1711" i="1"/>
  <c r="DC1711" i="1"/>
  <c r="DA1553" i="1"/>
  <c r="CY1553" i="1"/>
  <c r="CY1650" i="1"/>
  <c r="DC2319" i="1"/>
  <c r="DA2319" i="1"/>
  <c r="CY2319" i="1"/>
  <c r="Y2319" i="1" s="1"/>
  <c r="CW2319" i="1"/>
  <c r="AA2319" i="1" s="1"/>
  <c r="CR2319" i="1"/>
  <c r="CP2319" i="1"/>
  <c r="CN2319" i="1"/>
  <c r="CJ2319" i="1"/>
  <c r="CH2319" i="1"/>
  <c r="CF2319" i="1"/>
  <c r="BL2319" i="1"/>
  <c r="BD2319" i="1"/>
  <c r="AZ2319" i="1"/>
  <c r="AX2319" i="1"/>
  <c r="DC669" i="1"/>
  <c r="DA669" i="1"/>
  <c r="CY669" i="1"/>
  <c r="Y669" i="1" s="1"/>
  <c r="CW669" i="1"/>
  <c r="AA669" i="1" s="1"/>
  <c r="CR669" i="1"/>
  <c r="CP669" i="1"/>
  <c r="CN669" i="1"/>
  <c r="CJ669" i="1"/>
  <c r="CH669" i="1"/>
  <c r="BL669" i="1"/>
  <c r="BD669" i="1"/>
  <c r="AZ669" i="1"/>
  <c r="AX669" i="1"/>
  <c r="DC2298" i="1"/>
  <c r="DA2298" i="1"/>
  <c r="CY2298" i="1"/>
  <c r="Y2298" i="1" s="1"/>
  <c r="CW2298" i="1"/>
  <c r="AA2298" i="1" s="1"/>
  <c r="CR2298" i="1"/>
  <c r="CP2298" i="1"/>
  <c r="CN2298" i="1"/>
  <c r="CJ2298" i="1"/>
  <c r="CH2298" i="1"/>
  <c r="CF2298" i="1"/>
  <c r="BL2298" i="1"/>
  <c r="BD2298" i="1"/>
  <c r="AZ2298" i="1"/>
  <c r="AX2298" i="1"/>
  <c r="DC2304" i="1"/>
  <c r="DA2304" i="1"/>
  <c r="CY2304" i="1"/>
  <c r="Y2304" i="1" s="1"/>
  <c r="CW2304" i="1"/>
  <c r="AA2304" i="1" s="1"/>
  <c r="CR2304" i="1"/>
  <c r="CP2304" i="1"/>
  <c r="CN2304" i="1"/>
  <c r="CJ2304" i="1"/>
  <c r="CH2304" i="1"/>
  <c r="CF2304" i="1"/>
  <c r="BL2304" i="1"/>
  <c r="BD2304" i="1"/>
  <c r="AZ2304" i="1"/>
  <c r="AX2304" i="1"/>
  <c r="DC2305" i="1"/>
  <c r="DA2305" i="1"/>
  <c r="CY2305" i="1"/>
  <c r="Y2305" i="1" s="1"/>
  <c r="CW2305" i="1"/>
  <c r="AA2305" i="1" s="1"/>
  <c r="CR2305" i="1"/>
  <c r="CP2305" i="1"/>
  <c r="CN2305" i="1"/>
  <c r="CJ2305" i="1"/>
  <c r="CH2305" i="1"/>
  <c r="CF2305" i="1"/>
  <c r="BL2305" i="1"/>
  <c r="BD2305" i="1"/>
  <c r="AZ2305" i="1"/>
  <c r="AX2305" i="1"/>
  <c r="DC2291" i="1"/>
  <c r="DA2291" i="1"/>
  <c r="CY2291" i="1"/>
  <c r="Y2291" i="1" s="1"/>
  <c r="CW2291" i="1"/>
  <c r="AA2291" i="1" s="1"/>
  <c r="CR2291" i="1"/>
  <c r="CP2291" i="1"/>
  <c r="CN2291" i="1"/>
  <c r="CJ2291" i="1"/>
  <c r="CH2291" i="1"/>
  <c r="CF2291" i="1"/>
  <c r="BL2291" i="1"/>
  <c r="BD2291" i="1"/>
  <c r="AZ2291" i="1"/>
  <c r="AX2291" i="1"/>
  <c r="DA2295" i="1"/>
  <c r="CY2295" i="1"/>
  <c r="Y2295" i="1" s="1"/>
  <c r="CW2295" i="1"/>
  <c r="AA2295" i="1" s="1"/>
  <c r="CR2295" i="1"/>
  <c r="CP2295" i="1"/>
  <c r="CN2295" i="1"/>
  <c r="CJ2295" i="1"/>
  <c r="CH2295" i="1"/>
  <c r="CF2295" i="1"/>
  <c r="BL2295" i="1"/>
  <c r="BD2295" i="1"/>
  <c r="AZ2295" i="1"/>
  <c r="AX2295" i="1"/>
  <c r="DC2299" i="1"/>
  <c r="DA2299" i="1"/>
  <c r="CY2299" i="1"/>
  <c r="Y2299" i="1" s="1"/>
  <c r="CW2299" i="1"/>
  <c r="AA2299" i="1" s="1"/>
  <c r="CR2299" i="1"/>
  <c r="CP2299" i="1"/>
  <c r="CN2299" i="1"/>
  <c r="CJ2299" i="1"/>
  <c r="CH2299" i="1"/>
  <c r="CF2299" i="1"/>
  <c r="BL2299" i="1"/>
  <c r="BD2299" i="1"/>
  <c r="AZ2299" i="1"/>
  <c r="AX2299" i="1"/>
  <c r="DC2302" i="1"/>
  <c r="DA2302" i="1"/>
  <c r="CY2302" i="1"/>
  <c r="Y2302" i="1" s="1"/>
  <c r="CW2302" i="1"/>
  <c r="AA2302" i="1" s="1"/>
  <c r="CR2302" i="1"/>
  <c r="CP2302" i="1"/>
  <c r="CN2302" i="1"/>
  <c r="CJ2302" i="1"/>
  <c r="CH2302" i="1"/>
  <c r="CF2302" i="1"/>
  <c r="BL2302" i="1"/>
  <c r="BD2302" i="1"/>
  <c r="AZ2302" i="1"/>
  <c r="AX2302" i="1"/>
  <c r="DC2297" i="1"/>
  <c r="DA2297" i="1"/>
  <c r="CY2297" i="1"/>
  <c r="Y2297" i="1" s="1"/>
  <c r="CW2297" i="1"/>
  <c r="AA2297" i="1" s="1"/>
  <c r="CR2297" i="1"/>
  <c r="CP2297" i="1"/>
  <c r="CN2297" i="1"/>
  <c r="CJ2297" i="1"/>
  <c r="CH2297" i="1"/>
  <c r="CF2297" i="1"/>
  <c r="BL2297" i="1"/>
  <c r="BD2297" i="1"/>
  <c r="AZ2297" i="1"/>
  <c r="AX2297" i="1"/>
  <c r="DC2300" i="1"/>
  <c r="DA2300" i="1"/>
  <c r="CY2300" i="1"/>
  <c r="Y2300" i="1" s="1"/>
  <c r="CW2300" i="1"/>
  <c r="AA2300" i="1" s="1"/>
  <c r="CR2300" i="1"/>
  <c r="CP2300" i="1"/>
  <c r="CN2300" i="1"/>
  <c r="CJ2300" i="1"/>
  <c r="CH2300" i="1"/>
  <c r="CF2300" i="1"/>
  <c r="BL2300" i="1"/>
  <c r="BD2300" i="1"/>
  <c r="AZ2300" i="1"/>
  <c r="AX2300" i="1"/>
  <c r="DC2292" i="1"/>
  <c r="DA2292" i="1"/>
  <c r="CY2292" i="1"/>
  <c r="Y2292" i="1" s="1"/>
  <c r="CW2292" i="1"/>
  <c r="AA2292" i="1" s="1"/>
  <c r="CR2292" i="1"/>
  <c r="CP2292" i="1"/>
  <c r="CN2292" i="1"/>
  <c r="CJ2292" i="1"/>
  <c r="CH2292" i="1"/>
  <c r="CF2292" i="1"/>
  <c r="BL2292" i="1"/>
  <c r="BD2292" i="1"/>
  <c r="AZ2292" i="1"/>
  <c r="AX2292" i="1"/>
  <c r="DC2288" i="1"/>
  <c r="DA2288" i="1"/>
  <c r="CY2288" i="1"/>
  <c r="Y2288" i="1" s="1"/>
  <c r="CW2288" i="1"/>
  <c r="AA2288" i="1" s="1"/>
  <c r="CR2288" i="1"/>
  <c r="CP2288" i="1"/>
  <c r="CN2288" i="1"/>
  <c r="CJ2288" i="1"/>
  <c r="CH2288" i="1"/>
  <c r="CF2288" i="1"/>
  <c r="BL2288" i="1"/>
  <c r="BD2288" i="1"/>
  <c r="AZ2288" i="1"/>
  <c r="AX2288" i="1"/>
  <c r="DC2286" i="1"/>
  <c r="DA2286" i="1"/>
  <c r="CY2286" i="1"/>
  <c r="Y2286" i="1" s="1"/>
  <c r="CW2286" i="1"/>
  <c r="AA2286" i="1" s="1"/>
  <c r="CR2286" i="1"/>
  <c r="CP2286" i="1"/>
  <c r="CN2286" i="1"/>
  <c r="CJ2286" i="1"/>
  <c r="CH2286" i="1"/>
  <c r="CF2286" i="1"/>
  <c r="BL2286" i="1"/>
  <c r="BD2286" i="1"/>
  <c r="AZ2286" i="1"/>
  <c r="AX2286" i="1"/>
  <c r="DC2284" i="1"/>
  <c r="DA2284" i="1"/>
  <c r="CY2284" i="1"/>
  <c r="Y2284" i="1" s="1"/>
  <c r="CW2284" i="1"/>
  <c r="AA2284" i="1" s="1"/>
  <c r="CR2284" i="1"/>
  <c r="CP2284" i="1"/>
  <c r="CN2284" i="1"/>
  <c r="CJ2284" i="1"/>
  <c r="CH2284" i="1"/>
  <c r="CF2284" i="1"/>
  <c r="BL2284" i="1"/>
  <c r="BD2284" i="1"/>
  <c r="AZ2284" i="1"/>
  <c r="AX2284" i="1"/>
  <c r="Z669" i="1" l="1"/>
  <c r="Z2298" i="1"/>
  <c r="Z2305" i="1"/>
  <c r="Z2291" i="1"/>
  <c r="CU669" i="1"/>
  <c r="X669" i="1" s="1"/>
  <c r="Z2319" i="1"/>
  <c r="Z2304" i="1"/>
  <c r="Z2299" i="1"/>
  <c r="Z2295" i="1"/>
  <c r="CU2299" i="1"/>
  <c r="X2299" i="1" s="1"/>
  <c r="Z2302" i="1"/>
  <c r="Z2297" i="1"/>
  <c r="CU2300" i="1"/>
  <c r="X2300" i="1" s="1"/>
  <c r="Z2300" i="1"/>
  <c r="Z2292" i="1"/>
  <c r="Z2288" i="1"/>
  <c r="Z2284" i="1"/>
  <c r="CU2292" i="1"/>
  <c r="X2292" i="1" s="1"/>
  <c r="CU2297" i="1"/>
  <c r="X2297" i="1" s="1"/>
  <c r="CU2291" i="1"/>
  <c r="X2291" i="1" s="1"/>
  <c r="CU2304" i="1"/>
  <c r="X2304" i="1" s="1"/>
  <c r="CU2302" i="1"/>
  <c r="X2302" i="1" s="1"/>
  <c r="CU2298" i="1"/>
  <c r="X2298" i="1" s="1"/>
  <c r="CU2288" i="1"/>
  <c r="X2288" i="1" s="1"/>
  <c r="CU2295" i="1"/>
  <c r="X2295" i="1" s="1"/>
  <c r="CU2305" i="1"/>
  <c r="X2305" i="1" s="1"/>
  <c r="CU2319" i="1"/>
  <c r="X2319" i="1" s="1"/>
  <c r="CU2286" i="1"/>
  <c r="X2286" i="1" s="1"/>
  <c r="Z2286" i="1"/>
  <c r="CU2284" i="1"/>
  <c r="X2284" i="1" s="1"/>
  <c r="I2057" i="1"/>
  <c r="AD669" i="1" l="1"/>
  <c r="AD2304" i="1"/>
  <c r="AD2305" i="1"/>
  <c r="AD2298" i="1"/>
  <c r="AD2319" i="1"/>
  <c r="AD2292" i="1"/>
  <c r="AD2295" i="1"/>
  <c r="AD2291" i="1"/>
  <c r="AD2302" i="1"/>
  <c r="AD2299" i="1"/>
  <c r="AD2297" i="1"/>
  <c r="AD2300" i="1"/>
  <c r="AD2284" i="1"/>
  <c r="AD2288" i="1"/>
  <c r="AD2286" i="1"/>
  <c r="DC674" i="1" l="1"/>
  <c r="DC680" i="1"/>
  <c r="DC675" i="1" l="1"/>
  <c r="DE675" i="1"/>
  <c r="DE674" i="1"/>
  <c r="DE680" i="1"/>
  <c r="DE673" i="1"/>
  <c r="DC673" i="1"/>
  <c r="CP1811" i="1"/>
  <c r="DC2293" i="1"/>
  <c r="DA2293" i="1"/>
  <c r="CY2293" i="1"/>
  <c r="Y2293" i="1" s="1"/>
  <c r="CW2293" i="1"/>
  <c r="AA2293" i="1" s="1"/>
  <c r="CR2293" i="1"/>
  <c r="CP2293" i="1"/>
  <c r="CN2293" i="1"/>
  <c r="CJ2293" i="1"/>
  <c r="CH2293" i="1"/>
  <c r="CF2293" i="1"/>
  <c r="BL2293" i="1"/>
  <c r="BD2293" i="1"/>
  <c r="AZ2293" i="1"/>
  <c r="AX2293" i="1"/>
  <c r="DC2285" i="1"/>
  <c r="DA2285" i="1"/>
  <c r="CY2285" i="1"/>
  <c r="Y2285" i="1" s="1"/>
  <c r="CW2285" i="1"/>
  <c r="AA2285" i="1" s="1"/>
  <c r="CR2285" i="1"/>
  <c r="CP2285" i="1"/>
  <c r="CN2285" i="1"/>
  <c r="CJ2285" i="1"/>
  <c r="CH2285" i="1"/>
  <c r="CF2285" i="1"/>
  <c r="BL2285" i="1"/>
  <c r="BD2285" i="1"/>
  <c r="AZ2285" i="1"/>
  <c r="AX2285" i="1"/>
  <c r="DC2283" i="1"/>
  <c r="DA2283" i="1"/>
  <c r="CY2283" i="1"/>
  <c r="Y2283" i="1" s="1"/>
  <c r="CW2283" i="1"/>
  <c r="AA2283" i="1" s="1"/>
  <c r="CR2283" i="1"/>
  <c r="CP2283" i="1"/>
  <c r="CN2283" i="1"/>
  <c r="CJ2283" i="1"/>
  <c r="CH2283" i="1"/>
  <c r="CF2283" i="1"/>
  <c r="BL2283" i="1"/>
  <c r="BD2283" i="1"/>
  <c r="AZ2283" i="1"/>
  <c r="AX2283" i="1"/>
  <c r="DC2289" i="1"/>
  <c r="DA2289" i="1"/>
  <c r="CY2289" i="1"/>
  <c r="Y2289" i="1" s="1"/>
  <c r="CW2289" i="1"/>
  <c r="AA2289" i="1" s="1"/>
  <c r="CR2289" i="1"/>
  <c r="CP2289" i="1"/>
  <c r="CN2289" i="1"/>
  <c r="CJ2289" i="1"/>
  <c r="CH2289" i="1"/>
  <c r="CF2289" i="1"/>
  <c r="BL2289" i="1"/>
  <c r="BD2289" i="1"/>
  <c r="AZ2289" i="1"/>
  <c r="AX2289" i="1"/>
  <c r="DC2281" i="1"/>
  <c r="DA2281" i="1"/>
  <c r="CY2281" i="1"/>
  <c r="Y2281" i="1" s="1"/>
  <c r="CW2281" i="1"/>
  <c r="AA2281" i="1" s="1"/>
  <c r="CR2281" i="1"/>
  <c r="CP2281" i="1"/>
  <c r="CN2281" i="1"/>
  <c r="CJ2281" i="1"/>
  <c r="CH2281" i="1"/>
  <c r="CF2281" i="1"/>
  <c r="BL2281" i="1"/>
  <c r="BD2281" i="1"/>
  <c r="AZ2281" i="1"/>
  <c r="AX2281" i="1"/>
  <c r="DC2274" i="1"/>
  <c r="DA2274" i="1"/>
  <c r="CY2274" i="1"/>
  <c r="Y2274" i="1" s="1"/>
  <c r="CW2274" i="1"/>
  <c r="AA2274" i="1" s="1"/>
  <c r="CR2274" i="1"/>
  <c r="CP2274" i="1"/>
  <c r="CN2274" i="1"/>
  <c r="CJ2274" i="1"/>
  <c r="CH2274" i="1"/>
  <c r="CF2274" i="1"/>
  <c r="BL2274" i="1"/>
  <c r="BD2274" i="1"/>
  <c r="AZ2274" i="1"/>
  <c r="AX2274" i="1"/>
  <c r="DC2279" i="1"/>
  <c r="DA2279" i="1"/>
  <c r="CY2279" i="1"/>
  <c r="Y2279" i="1" s="1"/>
  <c r="CW2279" i="1"/>
  <c r="AA2279" i="1" s="1"/>
  <c r="CR2279" i="1"/>
  <c r="CP2279" i="1"/>
  <c r="CN2279" i="1"/>
  <c r="CJ2279" i="1"/>
  <c r="CH2279" i="1"/>
  <c r="CF2279" i="1"/>
  <c r="BL2279" i="1"/>
  <c r="BD2279" i="1"/>
  <c r="AZ2279" i="1"/>
  <c r="AX2279" i="1"/>
  <c r="DC2280" i="1"/>
  <c r="DA2280" i="1"/>
  <c r="CY2280" i="1"/>
  <c r="Y2280" i="1" s="1"/>
  <c r="CW2280" i="1"/>
  <c r="AA2280" i="1" s="1"/>
  <c r="CR2280" i="1"/>
  <c r="CP2280" i="1"/>
  <c r="CN2280" i="1"/>
  <c r="CJ2280" i="1"/>
  <c r="CH2280" i="1"/>
  <c r="CF2280" i="1"/>
  <c r="BL2280" i="1"/>
  <c r="BD2280" i="1"/>
  <c r="AZ2280" i="1"/>
  <c r="AX2280" i="1"/>
  <c r="DC2282" i="1"/>
  <c r="DA2282" i="1"/>
  <c r="CY2282" i="1"/>
  <c r="Y2282" i="1" s="1"/>
  <c r="CW2282" i="1"/>
  <c r="AA2282" i="1" s="1"/>
  <c r="CR2282" i="1"/>
  <c r="CP2282" i="1"/>
  <c r="CN2282" i="1"/>
  <c r="CJ2282" i="1"/>
  <c r="CH2282" i="1"/>
  <c r="CF2282" i="1"/>
  <c r="BL2282" i="1"/>
  <c r="BD2282" i="1"/>
  <c r="AZ2282" i="1"/>
  <c r="AX2282" i="1"/>
  <c r="DC2271" i="1"/>
  <c r="DA2271" i="1"/>
  <c r="CY2271" i="1"/>
  <c r="Y2271" i="1" s="1"/>
  <c r="CW2271" i="1"/>
  <c r="AA2271" i="1" s="1"/>
  <c r="CR2271" i="1"/>
  <c r="CP2271" i="1"/>
  <c r="CN2271" i="1"/>
  <c r="CJ2271" i="1"/>
  <c r="CH2271" i="1"/>
  <c r="CF2271" i="1"/>
  <c r="BL2271" i="1"/>
  <c r="BD2271" i="1"/>
  <c r="AZ2271" i="1"/>
  <c r="AX2271" i="1"/>
  <c r="DC2294" i="1"/>
  <c r="DA2294" i="1"/>
  <c r="CY2294" i="1"/>
  <c r="Y2294" i="1" s="1"/>
  <c r="CW2294" i="1"/>
  <c r="AA2294" i="1" s="1"/>
  <c r="CR2294" i="1"/>
  <c r="CP2294" i="1"/>
  <c r="CN2294" i="1"/>
  <c r="CJ2294" i="1"/>
  <c r="CH2294" i="1"/>
  <c r="CF2294" i="1"/>
  <c r="BL2294" i="1"/>
  <c r="BD2294" i="1"/>
  <c r="AZ2294" i="1"/>
  <c r="AX2294" i="1"/>
  <c r="DC2263" i="1"/>
  <c r="DA2263" i="1"/>
  <c r="CY2263" i="1"/>
  <c r="Y2263" i="1" s="1"/>
  <c r="CW2263" i="1"/>
  <c r="AA2263" i="1" s="1"/>
  <c r="CR2263" i="1"/>
  <c r="CP2263" i="1"/>
  <c r="CN2263" i="1"/>
  <c r="CJ2263" i="1"/>
  <c r="CH2263" i="1"/>
  <c r="CF2263" i="1"/>
  <c r="BL2263" i="1"/>
  <c r="BD2263" i="1"/>
  <c r="AZ2263" i="1"/>
  <c r="AX2263" i="1"/>
  <c r="DC2267" i="1"/>
  <c r="DA2267" i="1"/>
  <c r="CY2267" i="1"/>
  <c r="Y2267" i="1" s="1"/>
  <c r="CW2267" i="1"/>
  <c r="AA2267" i="1" s="1"/>
  <c r="CR2267" i="1"/>
  <c r="CP2267" i="1"/>
  <c r="CN2267" i="1"/>
  <c r="CJ2267" i="1"/>
  <c r="CH2267" i="1"/>
  <c r="CF2267" i="1"/>
  <c r="BL2267" i="1"/>
  <c r="BD2267" i="1"/>
  <c r="AZ2267" i="1"/>
  <c r="AX2267" i="1"/>
  <c r="DC2273" i="1"/>
  <c r="DA2273" i="1"/>
  <c r="CY2273" i="1"/>
  <c r="Y2273" i="1" s="1"/>
  <c r="CW2273" i="1"/>
  <c r="AA2273" i="1" s="1"/>
  <c r="CR2273" i="1"/>
  <c r="CP2273" i="1"/>
  <c r="CN2273" i="1"/>
  <c r="CJ2273" i="1"/>
  <c r="CH2273" i="1"/>
  <c r="CF2273" i="1"/>
  <c r="BL2273" i="1"/>
  <c r="BD2273" i="1"/>
  <c r="AZ2273" i="1"/>
  <c r="AX2273" i="1"/>
  <c r="DC2259" i="1"/>
  <c r="DA2259" i="1"/>
  <c r="CY2259" i="1"/>
  <c r="Y2259" i="1" s="1"/>
  <c r="CW2259" i="1"/>
  <c r="AA2259" i="1" s="1"/>
  <c r="CR2259" i="1"/>
  <c r="CP2259" i="1"/>
  <c r="CN2259" i="1"/>
  <c r="CJ2259" i="1"/>
  <c r="CH2259" i="1"/>
  <c r="CF2259" i="1"/>
  <c r="BL2259" i="1"/>
  <c r="BD2259" i="1"/>
  <c r="AZ2259" i="1"/>
  <c r="AX2259" i="1"/>
  <c r="DC2277" i="1"/>
  <c r="DA2277" i="1"/>
  <c r="CY2277" i="1"/>
  <c r="Y2277" i="1" s="1"/>
  <c r="CW2277" i="1"/>
  <c r="AA2277" i="1" s="1"/>
  <c r="CR2277" i="1"/>
  <c r="CP2277" i="1"/>
  <c r="CN2277" i="1"/>
  <c r="CJ2277" i="1"/>
  <c r="CH2277" i="1"/>
  <c r="CF2277" i="1"/>
  <c r="BL2277" i="1"/>
  <c r="BD2277" i="1"/>
  <c r="AZ2277" i="1"/>
  <c r="AX2277" i="1"/>
  <c r="Y2275" i="1"/>
  <c r="CW2275" i="1"/>
  <c r="AA2275" i="1" s="1"/>
  <c r="CP2275" i="1"/>
  <c r="CN2275" i="1"/>
  <c r="CJ2275" i="1"/>
  <c r="CH2275" i="1"/>
  <c r="CF2275" i="1"/>
  <c r="BL2275" i="1"/>
  <c r="BD2275" i="1"/>
  <c r="AZ2275" i="1"/>
  <c r="AX2275" i="1"/>
  <c r="Z2293" i="1" l="1"/>
  <c r="Z2289" i="1"/>
  <c r="CU2293" i="1"/>
  <c r="X2293" i="1" s="1"/>
  <c r="Z2285" i="1"/>
  <c r="CU2285" i="1"/>
  <c r="X2285" i="1" s="1"/>
  <c r="Z2283" i="1"/>
  <c r="Z2281" i="1"/>
  <c r="CU2289" i="1"/>
  <c r="X2289" i="1" s="1"/>
  <c r="CU2283" i="1"/>
  <c r="X2283" i="1" s="1"/>
  <c r="Z2282" i="1"/>
  <c r="CU2273" i="1"/>
  <c r="X2273" i="1" s="1"/>
  <c r="CU2280" i="1"/>
  <c r="X2280" i="1" s="1"/>
  <c r="Z2280" i="1"/>
  <c r="CU2279" i="1"/>
  <c r="X2279" i="1" s="1"/>
  <c r="Z2279" i="1"/>
  <c r="Z2274" i="1"/>
  <c r="CU2281" i="1"/>
  <c r="X2281" i="1" s="1"/>
  <c r="CU2282" i="1"/>
  <c r="X2282" i="1" s="1"/>
  <c r="CU2274" i="1"/>
  <c r="X2274" i="1" s="1"/>
  <c r="CU2271" i="1"/>
  <c r="X2271" i="1" s="1"/>
  <c r="Z2271" i="1"/>
  <c r="CU2263" i="1"/>
  <c r="X2263" i="1" s="1"/>
  <c r="CU2267" i="1"/>
  <c r="X2267" i="1" s="1"/>
  <c r="CU2294" i="1"/>
  <c r="X2294" i="1" s="1"/>
  <c r="Z2273" i="1"/>
  <c r="Z2267" i="1"/>
  <c r="Z2263" i="1"/>
  <c r="Z2294" i="1"/>
  <c r="CU2277" i="1"/>
  <c r="X2277" i="1" s="1"/>
  <c r="Z2259" i="1"/>
  <c r="CU2275" i="1"/>
  <c r="X2275" i="1" s="1"/>
  <c r="Z2275" i="1"/>
  <c r="Z2277" i="1"/>
  <c r="CU2259" i="1"/>
  <c r="X2259" i="1" s="1"/>
  <c r="AD2293" i="1" l="1"/>
  <c r="AD2274" i="1"/>
  <c r="AD2281" i="1"/>
  <c r="AD2285" i="1"/>
  <c r="AD2289" i="1"/>
  <c r="AD2259" i="1"/>
  <c r="AD2273" i="1"/>
  <c r="AD2283" i="1"/>
  <c r="AD2282" i="1"/>
  <c r="AD2280" i="1"/>
  <c r="AD2279" i="1"/>
  <c r="AD2271" i="1"/>
  <c r="AD2263" i="1"/>
  <c r="AD2267" i="1"/>
  <c r="AD2294" i="1"/>
  <c r="AD2275" i="1"/>
  <c r="AD2277" i="1"/>
  <c r="DE689" i="1"/>
  <c r="DE691" i="1"/>
  <c r="DC691" i="1"/>
  <c r="DA691" i="1"/>
  <c r="DC689" i="1"/>
  <c r="DE688" i="1"/>
  <c r="DA688" i="1"/>
  <c r="DC688" i="1"/>
  <c r="DE686" i="1"/>
  <c r="DA686" i="1"/>
  <c r="DC686" i="1"/>
  <c r="DC2290" i="1" l="1"/>
  <c r="DA2290" i="1"/>
  <c r="CY2290" i="1"/>
  <c r="Y2290" i="1" s="1"/>
  <c r="CW2290" i="1"/>
  <c r="AA2290" i="1" s="1"/>
  <c r="CR2290" i="1"/>
  <c r="CP2290" i="1"/>
  <c r="CN2290" i="1"/>
  <c r="CJ2290" i="1"/>
  <c r="CH2290" i="1"/>
  <c r="CF2290" i="1"/>
  <c r="BL2290" i="1"/>
  <c r="BD2290" i="1"/>
  <c r="AZ2290" i="1"/>
  <c r="AX2290" i="1"/>
  <c r="DC2278" i="1"/>
  <c r="DA2278" i="1"/>
  <c r="CY2278" i="1"/>
  <c r="Y2278" i="1" s="1"/>
  <c r="CW2278" i="1"/>
  <c r="AA2278" i="1" s="1"/>
  <c r="CR2278" i="1"/>
  <c r="CP2278" i="1"/>
  <c r="CN2278" i="1"/>
  <c r="CJ2278" i="1"/>
  <c r="CH2278" i="1"/>
  <c r="CF2278" i="1"/>
  <c r="BL2278" i="1"/>
  <c r="BD2278" i="1"/>
  <c r="AZ2278" i="1"/>
  <c r="AX2278" i="1"/>
  <c r="DC2270" i="1"/>
  <c r="DA2270" i="1"/>
  <c r="CY2270" i="1"/>
  <c r="Y2270" i="1" s="1"/>
  <c r="CW2270" i="1"/>
  <c r="AA2270" i="1" s="1"/>
  <c r="CR2270" i="1"/>
  <c r="CP2270" i="1"/>
  <c r="CN2270" i="1"/>
  <c r="CJ2270" i="1"/>
  <c r="CH2270" i="1"/>
  <c r="CF2270" i="1"/>
  <c r="BL2270" i="1"/>
  <c r="BD2270" i="1"/>
  <c r="AZ2270" i="1"/>
  <c r="AX2270" i="1"/>
  <c r="DC2260" i="1"/>
  <c r="DA2260" i="1"/>
  <c r="CY2260" i="1"/>
  <c r="Y2260" i="1" s="1"/>
  <c r="CW2260" i="1"/>
  <c r="AA2260" i="1" s="1"/>
  <c r="CR2260" i="1"/>
  <c r="CP2260" i="1"/>
  <c r="CN2260" i="1"/>
  <c r="CJ2260" i="1"/>
  <c r="CH2260" i="1"/>
  <c r="CF2260" i="1"/>
  <c r="BL2260" i="1"/>
  <c r="BD2260" i="1"/>
  <c r="AZ2260" i="1"/>
  <c r="AX2260" i="1"/>
  <c r="DC2269" i="1"/>
  <c r="DA2269" i="1"/>
  <c r="CY2269" i="1"/>
  <c r="Y2269" i="1" s="1"/>
  <c r="CW2269" i="1"/>
  <c r="AA2269" i="1" s="1"/>
  <c r="CR2269" i="1"/>
  <c r="CP2269" i="1"/>
  <c r="CN2269" i="1"/>
  <c r="CJ2269" i="1"/>
  <c r="CH2269" i="1"/>
  <c r="CF2269" i="1"/>
  <c r="BL2269" i="1"/>
  <c r="BD2269" i="1"/>
  <c r="AZ2269" i="1"/>
  <c r="AX2269" i="1"/>
  <c r="DC2250" i="1"/>
  <c r="DA2250" i="1"/>
  <c r="CY2250" i="1"/>
  <c r="Y2250" i="1" s="1"/>
  <c r="CW2250" i="1"/>
  <c r="AA2250" i="1" s="1"/>
  <c r="CR2250" i="1"/>
  <c r="CP2250" i="1"/>
  <c r="CN2250" i="1"/>
  <c r="CJ2250" i="1"/>
  <c r="CH2250" i="1"/>
  <c r="CF2250" i="1"/>
  <c r="BL2250" i="1"/>
  <c r="BD2250" i="1"/>
  <c r="AZ2250" i="1"/>
  <c r="AX2250" i="1"/>
  <c r="DC2272" i="1"/>
  <c r="DA2272" i="1"/>
  <c r="CY2272" i="1"/>
  <c r="Y2272" i="1" s="1"/>
  <c r="CW2272" i="1"/>
  <c r="AA2272" i="1" s="1"/>
  <c r="CR2272" i="1"/>
  <c r="CP2272" i="1"/>
  <c r="CN2272" i="1"/>
  <c r="CJ2272" i="1"/>
  <c r="CH2272" i="1"/>
  <c r="CF2272" i="1"/>
  <c r="BL2272" i="1"/>
  <c r="BD2272" i="1"/>
  <c r="AZ2272" i="1"/>
  <c r="AX2272" i="1"/>
  <c r="DC2266" i="1"/>
  <c r="DA2266" i="1"/>
  <c r="CY2266" i="1"/>
  <c r="Y2266" i="1" s="1"/>
  <c r="CW2266" i="1"/>
  <c r="AA2266" i="1" s="1"/>
  <c r="CR2266" i="1"/>
  <c r="CP2266" i="1"/>
  <c r="CN2266" i="1"/>
  <c r="CJ2266" i="1"/>
  <c r="CH2266" i="1"/>
  <c r="CF2266" i="1"/>
  <c r="BL2266" i="1"/>
  <c r="BD2266" i="1"/>
  <c r="AZ2266" i="1"/>
  <c r="AX2266" i="1"/>
  <c r="Z2278" i="1" l="1"/>
  <c r="Z2270" i="1"/>
  <c r="Z2290" i="1"/>
  <c r="Z2260" i="1"/>
  <c r="CU2278" i="1"/>
  <c r="X2278" i="1" s="1"/>
  <c r="Z2266" i="1"/>
  <c r="Z2272" i="1"/>
  <c r="Z2269" i="1"/>
  <c r="Z2250" i="1"/>
  <c r="CU2270" i="1"/>
  <c r="X2270" i="1" s="1"/>
  <c r="CU2290" i="1"/>
  <c r="X2290" i="1" s="1"/>
  <c r="AD2290" i="1" s="1"/>
  <c r="CU2260" i="1"/>
  <c r="X2260" i="1" s="1"/>
  <c r="CU2250" i="1"/>
  <c r="X2250" i="1" s="1"/>
  <c r="AD2250" i="1" s="1"/>
  <c r="CU2269" i="1"/>
  <c r="X2269" i="1" s="1"/>
  <c r="CU2272" i="1"/>
  <c r="X2272" i="1" s="1"/>
  <c r="AD2272" i="1" s="1"/>
  <c r="CU2266" i="1"/>
  <c r="X2266" i="1" s="1"/>
  <c r="AD2278" i="1" l="1"/>
  <c r="AD2260" i="1"/>
  <c r="AD2270" i="1"/>
  <c r="AD2266" i="1"/>
  <c r="AD2269" i="1"/>
  <c r="I2213" i="1"/>
  <c r="I2156" i="1"/>
  <c r="I2039" i="1"/>
  <c r="I1570" i="1"/>
  <c r="I1880" i="1"/>
  <c r="I2031" i="1"/>
  <c r="I1522" i="1"/>
  <c r="DC2268" i="1" l="1"/>
  <c r="DA2268" i="1"/>
  <c r="CY2268" i="1"/>
  <c r="Y2268" i="1" s="1"/>
  <c r="CW2268" i="1"/>
  <c r="AA2268" i="1" s="1"/>
  <c r="CR2268" i="1"/>
  <c r="CP2268" i="1"/>
  <c r="CN2268" i="1"/>
  <c r="CJ2268" i="1"/>
  <c r="CH2268" i="1"/>
  <c r="CF2268" i="1"/>
  <c r="BL2268" i="1"/>
  <c r="BD2268" i="1"/>
  <c r="AZ2268" i="1"/>
  <c r="AX2268" i="1"/>
  <c r="DC2276" i="1"/>
  <c r="DA2276" i="1"/>
  <c r="CY2276" i="1"/>
  <c r="Y2276" i="1" s="1"/>
  <c r="CW2276" i="1"/>
  <c r="AA2276" i="1" s="1"/>
  <c r="CR2276" i="1"/>
  <c r="CP2276" i="1"/>
  <c r="CN2276" i="1"/>
  <c r="CJ2276" i="1"/>
  <c r="CH2276" i="1"/>
  <c r="CF2276" i="1"/>
  <c r="BL2276" i="1"/>
  <c r="BD2276" i="1"/>
  <c r="AZ2276" i="1"/>
  <c r="AX2276" i="1"/>
  <c r="DA1570" i="1"/>
  <c r="Y1570" i="1"/>
  <c r="CW1570" i="1"/>
  <c r="AA1570" i="1" s="1"/>
  <c r="CN1570" i="1"/>
  <c r="CH1570" i="1"/>
  <c r="CF1570" i="1"/>
  <c r="BL1570" i="1"/>
  <c r="BD1570" i="1"/>
  <c r="AX1570" i="1"/>
  <c r="CY2031" i="1"/>
  <c r="Y2031" i="1" s="1"/>
  <c r="CW2031" i="1"/>
  <c r="AA2031" i="1" s="1"/>
  <c r="CR2031" i="1"/>
  <c r="CP2031" i="1"/>
  <c r="CN2031" i="1"/>
  <c r="CJ2031" i="1"/>
  <c r="CH2031" i="1"/>
  <c r="CF2031" i="1"/>
  <c r="BL2031" i="1"/>
  <c r="BD2031" i="1"/>
  <c r="AZ2031" i="1"/>
  <c r="AX2031" i="1"/>
  <c r="CY1522" i="1"/>
  <c r="Y1522" i="1" s="1"/>
  <c r="CW1522" i="1"/>
  <c r="AA1522" i="1" s="1"/>
  <c r="CR1522" i="1"/>
  <c r="CP1522" i="1"/>
  <c r="CN1522" i="1"/>
  <c r="CJ1522" i="1"/>
  <c r="CH1522" i="1"/>
  <c r="CF1522" i="1"/>
  <c r="BL1522" i="1"/>
  <c r="BD1522" i="1"/>
  <c r="AZ1522" i="1"/>
  <c r="AX1522" i="1"/>
  <c r="DC1994" i="1"/>
  <c r="DA1994" i="1"/>
  <c r="CY1994" i="1"/>
  <c r="Y1994" i="1" s="1"/>
  <c r="CW1994" i="1"/>
  <c r="AA1994" i="1" s="1"/>
  <c r="CR1994" i="1"/>
  <c r="CP1994" i="1"/>
  <c r="CN1994" i="1"/>
  <c r="CJ1994" i="1"/>
  <c r="CH1994" i="1"/>
  <c r="CF1994" i="1"/>
  <c r="BL1994" i="1"/>
  <c r="BD1994" i="1"/>
  <c r="AZ1994" i="1"/>
  <c r="AX1994" i="1"/>
  <c r="DC2261" i="1"/>
  <c r="DA2261" i="1"/>
  <c r="CY2261" i="1"/>
  <c r="Y2261" i="1" s="1"/>
  <c r="CW2261" i="1"/>
  <c r="AA2261" i="1" s="1"/>
  <c r="CR2261" i="1"/>
  <c r="CP2261" i="1"/>
  <c r="CN2261" i="1"/>
  <c r="CJ2261" i="1"/>
  <c r="CH2261" i="1"/>
  <c r="CF2261" i="1"/>
  <c r="BL2261" i="1"/>
  <c r="BD2261" i="1"/>
  <c r="AZ2261" i="1"/>
  <c r="AX2261" i="1"/>
  <c r="Z2268" i="1" l="1"/>
  <c r="Z2276" i="1"/>
  <c r="Z2031" i="1"/>
  <c r="CU2268" i="1"/>
  <c r="X2268" i="1" s="1"/>
  <c r="Z1570" i="1"/>
  <c r="CU1570" i="1"/>
  <c r="X1570" i="1" s="1"/>
  <c r="Z1522" i="1"/>
  <c r="CU2276" i="1"/>
  <c r="X2276" i="1" s="1"/>
  <c r="CU1522" i="1"/>
  <c r="X1522" i="1" s="1"/>
  <c r="CU2031" i="1"/>
  <c r="X2031" i="1" s="1"/>
  <c r="Z1994" i="1"/>
  <c r="Z2261" i="1"/>
  <c r="CU2261" i="1"/>
  <c r="X2261" i="1" s="1"/>
  <c r="CU1994" i="1"/>
  <c r="X1994" i="1" s="1"/>
  <c r="AD2268" i="1" l="1"/>
  <c r="AD1994" i="1"/>
  <c r="AD2031" i="1"/>
  <c r="AD2276" i="1"/>
  <c r="AD1522" i="1"/>
  <c r="AD1570" i="1"/>
  <c r="AD2261" i="1"/>
  <c r="CY1500" i="1"/>
  <c r="CY277" i="1"/>
  <c r="DC2245" i="1"/>
  <c r="DA2245" i="1"/>
  <c r="CY2245" i="1"/>
  <c r="Y2245" i="1" s="1"/>
  <c r="CW2245" i="1"/>
  <c r="AA2245" i="1" s="1"/>
  <c r="CR2245" i="1"/>
  <c r="CP2245" i="1"/>
  <c r="CN2245" i="1"/>
  <c r="CJ2245" i="1"/>
  <c r="CH2245" i="1"/>
  <c r="CF2245" i="1"/>
  <c r="BL2245" i="1"/>
  <c r="BD2245" i="1"/>
  <c r="AZ2245" i="1"/>
  <c r="AX2245" i="1"/>
  <c r="DC2251" i="1"/>
  <c r="DA2251" i="1"/>
  <c r="CY2251" i="1"/>
  <c r="Y2251" i="1" s="1"/>
  <c r="CW2251" i="1"/>
  <c r="AA2251" i="1" s="1"/>
  <c r="CR2251" i="1"/>
  <c r="CP2251" i="1"/>
  <c r="CN2251" i="1"/>
  <c r="CJ2251" i="1"/>
  <c r="CH2251" i="1"/>
  <c r="CF2251" i="1"/>
  <c r="BL2251" i="1"/>
  <c r="BD2251" i="1"/>
  <c r="AZ2251" i="1"/>
  <c r="AX2251" i="1"/>
  <c r="DC2255" i="1"/>
  <c r="DA2255" i="1"/>
  <c r="CY2255" i="1"/>
  <c r="Y2255" i="1" s="1"/>
  <c r="CW2255" i="1"/>
  <c r="AA2255" i="1" s="1"/>
  <c r="CR2255" i="1"/>
  <c r="CP2255" i="1"/>
  <c r="CN2255" i="1"/>
  <c r="CJ2255" i="1"/>
  <c r="CH2255" i="1"/>
  <c r="CF2255" i="1"/>
  <c r="BL2255" i="1"/>
  <c r="BD2255" i="1"/>
  <c r="AZ2255" i="1"/>
  <c r="AX2255" i="1"/>
  <c r="DC2258" i="1"/>
  <c r="DA2258" i="1"/>
  <c r="CY2258" i="1"/>
  <c r="Y2258" i="1" s="1"/>
  <c r="CW2258" i="1"/>
  <c r="AA2258" i="1" s="1"/>
  <c r="CR2258" i="1"/>
  <c r="CP2258" i="1"/>
  <c r="CN2258" i="1"/>
  <c r="CJ2258" i="1"/>
  <c r="CH2258" i="1"/>
  <c r="CF2258" i="1"/>
  <c r="BL2258" i="1"/>
  <c r="BD2258" i="1"/>
  <c r="AZ2258" i="1"/>
  <c r="AX2258" i="1"/>
  <c r="DC2256" i="1"/>
  <c r="DA2256" i="1"/>
  <c r="CY2256" i="1"/>
  <c r="Y2256" i="1" s="1"/>
  <c r="CW2256" i="1"/>
  <c r="AA2256" i="1" s="1"/>
  <c r="CR2256" i="1"/>
  <c r="CP2256" i="1"/>
  <c r="CN2256" i="1"/>
  <c r="CJ2256" i="1"/>
  <c r="CH2256" i="1"/>
  <c r="CF2256" i="1"/>
  <c r="BL2256" i="1"/>
  <c r="BD2256" i="1"/>
  <c r="AZ2256" i="1"/>
  <c r="AX2256" i="1"/>
  <c r="DC2254" i="1"/>
  <c r="DA2254" i="1"/>
  <c r="CY2254" i="1"/>
  <c r="Y2254" i="1" s="1"/>
  <c r="CW2254" i="1"/>
  <c r="AA2254" i="1" s="1"/>
  <c r="CR2254" i="1"/>
  <c r="CP2254" i="1"/>
  <c r="CN2254" i="1"/>
  <c r="CJ2254" i="1"/>
  <c r="CH2254" i="1"/>
  <c r="CF2254" i="1"/>
  <c r="BL2254" i="1"/>
  <c r="BD2254" i="1"/>
  <c r="AZ2254" i="1"/>
  <c r="AX2254" i="1"/>
  <c r="DC2225" i="1"/>
  <c r="DA2225" i="1"/>
  <c r="CY2225" i="1"/>
  <c r="Y2225" i="1" s="1"/>
  <c r="CW2225" i="1"/>
  <c r="AA2225" i="1" s="1"/>
  <c r="CR2225" i="1"/>
  <c r="CP2225" i="1"/>
  <c r="CN2225" i="1"/>
  <c r="CJ2225" i="1"/>
  <c r="CH2225" i="1"/>
  <c r="CF2225" i="1"/>
  <c r="BL2225" i="1"/>
  <c r="BD2225" i="1"/>
  <c r="AZ2225" i="1"/>
  <c r="AX2225" i="1"/>
  <c r="DC2238" i="1"/>
  <c r="DA2238" i="1"/>
  <c r="CY2238" i="1"/>
  <c r="Y2238" i="1" s="1"/>
  <c r="CW2238" i="1"/>
  <c r="AA2238" i="1" s="1"/>
  <c r="CR2238" i="1"/>
  <c r="CP2238" i="1"/>
  <c r="CN2238" i="1"/>
  <c r="CJ2238" i="1"/>
  <c r="CH2238" i="1"/>
  <c r="CF2238" i="1"/>
  <c r="BL2238" i="1"/>
  <c r="BD2238" i="1"/>
  <c r="AZ2238" i="1"/>
  <c r="AX2238" i="1"/>
  <c r="DC2246" i="1"/>
  <c r="DA2246" i="1"/>
  <c r="CY2246" i="1"/>
  <c r="Y2246" i="1" s="1"/>
  <c r="CW2246" i="1"/>
  <c r="AA2246" i="1" s="1"/>
  <c r="CR2246" i="1"/>
  <c r="CP2246" i="1"/>
  <c r="CN2246" i="1"/>
  <c r="CJ2246" i="1"/>
  <c r="CH2246" i="1"/>
  <c r="CF2246" i="1"/>
  <c r="BL2246" i="1"/>
  <c r="BD2246" i="1"/>
  <c r="AZ2246" i="1"/>
  <c r="AX2246" i="1"/>
  <c r="DC2243" i="1"/>
  <c r="DA2243" i="1"/>
  <c r="CY2243" i="1"/>
  <c r="Y2243" i="1" s="1"/>
  <c r="CW2243" i="1"/>
  <c r="AA2243" i="1" s="1"/>
  <c r="CR2243" i="1"/>
  <c r="CP2243" i="1"/>
  <c r="CN2243" i="1"/>
  <c r="CJ2243" i="1"/>
  <c r="CH2243" i="1"/>
  <c r="CF2243" i="1"/>
  <c r="BL2243" i="1"/>
  <c r="BD2243" i="1"/>
  <c r="AZ2243" i="1"/>
  <c r="AX2243" i="1"/>
  <c r="DC2253" i="1"/>
  <c r="DA2253" i="1"/>
  <c r="CY2253" i="1"/>
  <c r="Y2253" i="1" s="1"/>
  <c r="CW2253" i="1"/>
  <c r="AA2253" i="1" s="1"/>
  <c r="CR2253" i="1"/>
  <c r="CP2253" i="1"/>
  <c r="CN2253" i="1"/>
  <c r="CJ2253" i="1"/>
  <c r="CH2253" i="1"/>
  <c r="CF2253" i="1"/>
  <c r="BL2253" i="1"/>
  <c r="BD2253" i="1"/>
  <c r="AZ2253" i="1"/>
  <c r="AX2253" i="1"/>
  <c r="Z2245" i="1" l="1"/>
  <c r="Z2225" i="1"/>
  <c r="Z2254" i="1"/>
  <c r="CU2245" i="1"/>
  <c r="X2245" i="1" s="1"/>
  <c r="Z2256" i="1"/>
  <c r="Z2255" i="1"/>
  <c r="Z2258" i="1"/>
  <c r="CU2254" i="1"/>
  <c r="X2254" i="1" s="1"/>
  <c r="CU2251" i="1"/>
  <c r="X2251" i="1" s="1"/>
  <c r="Z2251" i="1"/>
  <c r="Z2238" i="1"/>
  <c r="Z2243" i="1"/>
  <c r="CU2246" i="1"/>
  <c r="X2246" i="1" s="1"/>
  <c r="Z2246" i="1"/>
  <c r="CU2238" i="1"/>
  <c r="X2238" i="1" s="1"/>
  <c r="CU2258" i="1"/>
  <c r="X2258" i="1" s="1"/>
  <c r="CU2225" i="1"/>
  <c r="X2225" i="1" s="1"/>
  <c r="CU2255" i="1"/>
  <c r="X2255" i="1" s="1"/>
  <c r="CU2256" i="1"/>
  <c r="X2256" i="1" s="1"/>
  <c r="Z2253" i="1"/>
  <c r="CU2253" i="1"/>
  <c r="X2253" i="1" s="1"/>
  <c r="CU2243" i="1"/>
  <c r="X2243" i="1" s="1"/>
  <c r="DC2249" i="1"/>
  <c r="DA2249" i="1"/>
  <c r="CY2249" i="1"/>
  <c r="Y2249" i="1" s="1"/>
  <c r="CW2249" i="1"/>
  <c r="AA2249" i="1" s="1"/>
  <c r="CR2249" i="1"/>
  <c r="CP2249" i="1"/>
  <c r="CN2249" i="1"/>
  <c r="CJ2249" i="1"/>
  <c r="CH2249" i="1"/>
  <c r="CF2249" i="1"/>
  <c r="BL2249" i="1"/>
  <c r="BD2249" i="1"/>
  <c r="AZ2249" i="1"/>
  <c r="AX2249" i="1"/>
  <c r="DC2234" i="1"/>
  <c r="DA2234" i="1"/>
  <c r="CY2234" i="1"/>
  <c r="Y2234" i="1" s="1"/>
  <c r="CW2234" i="1"/>
  <c r="AA2234" i="1" s="1"/>
  <c r="CR2234" i="1"/>
  <c r="CP2234" i="1"/>
  <c r="CN2234" i="1"/>
  <c r="CJ2234" i="1"/>
  <c r="CH2234" i="1"/>
  <c r="CF2234" i="1"/>
  <c r="BL2234" i="1"/>
  <c r="BD2234" i="1"/>
  <c r="AZ2234" i="1"/>
  <c r="AX2234" i="1"/>
  <c r="DC2241" i="1"/>
  <c r="DA2241" i="1"/>
  <c r="CY2241" i="1"/>
  <c r="Y2241" i="1" s="1"/>
  <c r="CW2241" i="1"/>
  <c r="AA2241" i="1" s="1"/>
  <c r="CR2241" i="1"/>
  <c r="CP2241" i="1"/>
  <c r="CN2241" i="1"/>
  <c r="CJ2241" i="1"/>
  <c r="CH2241" i="1"/>
  <c r="CF2241" i="1"/>
  <c r="BL2241" i="1"/>
  <c r="BD2241" i="1"/>
  <c r="AZ2241" i="1"/>
  <c r="AX2241" i="1"/>
  <c r="DC2257" i="1"/>
  <c r="DA2257" i="1"/>
  <c r="CY2257" i="1"/>
  <c r="Y2257" i="1" s="1"/>
  <c r="CW2257" i="1"/>
  <c r="AA2257" i="1" s="1"/>
  <c r="CR2257" i="1"/>
  <c r="CP2257" i="1"/>
  <c r="CN2257" i="1"/>
  <c r="CJ2257" i="1"/>
  <c r="CH2257" i="1"/>
  <c r="CF2257" i="1"/>
  <c r="BL2257" i="1"/>
  <c r="BD2257" i="1"/>
  <c r="AZ2257" i="1"/>
  <c r="AX2257" i="1"/>
  <c r="DC2244" i="1"/>
  <c r="DA2244" i="1"/>
  <c r="CY2244" i="1"/>
  <c r="Y2244" i="1" s="1"/>
  <c r="CW2244" i="1"/>
  <c r="AA2244" i="1" s="1"/>
  <c r="CR2244" i="1"/>
  <c r="CP2244" i="1"/>
  <c r="CN2244" i="1"/>
  <c r="CJ2244" i="1"/>
  <c r="CH2244" i="1"/>
  <c r="CF2244" i="1"/>
  <c r="BL2244" i="1"/>
  <c r="BD2244" i="1"/>
  <c r="AZ2244" i="1"/>
  <c r="AX2244" i="1"/>
  <c r="AD2238" i="1" l="1"/>
  <c r="AD2225" i="1"/>
  <c r="AD2245" i="1"/>
  <c r="AD2251" i="1"/>
  <c r="AD2258" i="1"/>
  <c r="AD2254" i="1"/>
  <c r="AD2256" i="1"/>
  <c r="AD2255" i="1"/>
  <c r="AD2246" i="1"/>
  <c r="AD2243" i="1"/>
  <c r="AD2253" i="1"/>
  <c r="Z2257" i="1"/>
  <c r="Z2234" i="1"/>
  <c r="CU2234" i="1"/>
  <c r="X2234" i="1" s="1"/>
  <c r="Z2241" i="1"/>
  <c r="CU2244" i="1"/>
  <c r="X2244" i="1" s="1"/>
  <c r="Z2244" i="1"/>
  <c r="CU2249" i="1"/>
  <c r="X2249" i="1" s="1"/>
  <c r="CU2257" i="1"/>
  <c r="X2257" i="1" s="1"/>
  <c r="Z2249" i="1"/>
  <c r="CU2241" i="1"/>
  <c r="X2241" i="1" s="1"/>
  <c r="DC2242" i="1"/>
  <c r="DA2242" i="1"/>
  <c r="CY2242" i="1"/>
  <c r="Y2242" i="1" s="1"/>
  <c r="CW2242" i="1"/>
  <c r="AA2242" i="1" s="1"/>
  <c r="CR2242" i="1"/>
  <c r="CP2242" i="1"/>
  <c r="CN2242" i="1"/>
  <c r="CJ2242" i="1"/>
  <c r="CH2242" i="1"/>
  <c r="CF2242" i="1"/>
  <c r="BL2242" i="1"/>
  <c r="BD2242" i="1"/>
  <c r="AZ2242" i="1"/>
  <c r="AX2242" i="1"/>
  <c r="DC2240" i="1"/>
  <c r="DA2240" i="1"/>
  <c r="CY2240" i="1"/>
  <c r="Y2240" i="1" s="1"/>
  <c r="CW2240" i="1"/>
  <c r="AA2240" i="1" s="1"/>
  <c r="CR2240" i="1"/>
  <c r="CP2240" i="1"/>
  <c r="CN2240" i="1"/>
  <c r="CJ2240" i="1"/>
  <c r="CH2240" i="1"/>
  <c r="CF2240" i="1"/>
  <c r="BL2240" i="1"/>
  <c r="BD2240" i="1"/>
  <c r="AZ2240" i="1"/>
  <c r="AX2240" i="1"/>
  <c r="DC2224" i="1"/>
  <c r="DA2224" i="1"/>
  <c r="CY2224" i="1"/>
  <c r="Y2224" i="1" s="1"/>
  <c r="CW2224" i="1"/>
  <c r="AA2224" i="1" s="1"/>
  <c r="CR2224" i="1"/>
  <c r="CP2224" i="1"/>
  <c r="CN2224" i="1"/>
  <c r="CJ2224" i="1"/>
  <c r="CH2224" i="1"/>
  <c r="CF2224" i="1"/>
  <c r="BL2224" i="1"/>
  <c r="BD2224" i="1"/>
  <c r="AZ2224" i="1"/>
  <c r="AX2224" i="1"/>
  <c r="DC2235" i="1"/>
  <c r="DA2235" i="1"/>
  <c r="CY2235" i="1"/>
  <c r="Y2235" i="1" s="1"/>
  <c r="CW2235" i="1"/>
  <c r="AA2235" i="1" s="1"/>
  <c r="CR2235" i="1"/>
  <c r="CP2235" i="1"/>
  <c r="CN2235" i="1"/>
  <c r="CJ2235" i="1"/>
  <c r="CH2235" i="1"/>
  <c r="CF2235" i="1"/>
  <c r="BL2235" i="1"/>
  <c r="BD2235" i="1"/>
  <c r="AZ2235" i="1"/>
  <c r="AX2235" i="1"/>
  <c r="DC2231" i="1"/>
  <c r="DA2231" i="1"/>
  <c r="CY2231" i="1"/>
  <c r="Y2231" i="1" s="1"/>
  <c r="CW2231" i="1"/>
  <c r="AA2231" i="1" s="1"/>
  <c r="CR2231" i="1"/>
  <c r="CP2231" i="1"/>
  <c r="CN2231" i="1"/>
  <c r="CJ2231" i="1"/>
  <c r="CH2231" i="1"/>
  <c r="CF2231" i="1"/>
  <c r="BL2231" i="1"/>
  <c r="BD2231" i="1"/>
  <c r="AZ2231" i="1"/>
  <c r="AX2231" i="1"/>
  <c r="DC2228" i="1"/>
  <c r="DA2228" i="1"/>
  <c r="CY2228" i="1"/>
  <c r="Y2228" i="1" s="1"/>
  <c r="CW2228" i="1"/>
  <c r="AA2228" i="1" s="1"/>
  <c r="CR2228" i="1"/>
  <c r="CP2228" i="1"/>
  <c r="CN2228" i="1"/>
  <c r="CJ2228" i="1"/>
  <c r="CH2228" i="1"/>
  <c r="CF2228" i="1"/>
  <c r="BL2228" i="1"/>
  <c r="BD2228" i="1"/>
  <c r="AZ2228" i="1"/>
  <c r="AX2228" i="1"/>
  <c r="DC2227" i="1"/>
  <c r="DA2227" i="1"/>
  <c r="CY2227" i="1"/>
  <c r="Y2227" i="1" s="1"/>
  <c r="CW2227" i="1"/>
  <c r="AA2227" i="1" s="1"/>
  <c r="CR2227" i="1"/>
  <c r="CP2227" i="1"/>
  <c r="CN2227" i="1"/>
  <c r="CJ2227" i="1"/>
  <c r="CH2227" i="1"/>
  <c r="CF2227" i="1"/>
  <c r="BL2227" i="1"/>
  <c r="BD2227" i="1"/>
  <c r="AZ2227" i="1"/>
  <c r="AX2227" i="1"/>
  <c r="DC2230" i="1"/>
  <c r="DA2230" i="1"/>
  <c r="CY2230" i="1"/>
  <c r="Y2230" i="1" s="1"/>
  <c r="CW2230" i="1"/>
  <c r="AA2230" i="1" s="1"/>
  <c r="CR2230" i="1"/>
  <c r="CP2230" i="1"/>
  <c r="CN2230" i="1"/>
  <c r="CJ2230" i="1"/>
  <c r="CH2230" i="1"/>
  <c r="CF2230" i="1"/>
  <c r="BL2230" i="1"/>
  <c r="BD2230" i="1"/>
  <c r="AZ2230" i="1"/>
  <c r="AX2230" i="1"/>
  <c r="DC2236" i="1"/>
  <c r="DA2236" i="1"/>
  <c r="CY2236" i="1"/>
  <c r="Y2236" i="1" s="1"/>
  <c r="CW2236" i="1"/>
  <c r="AA2236" i="1" s="1"/>
  <c r="CR2236" i="1"/>
  <c r="CP2236" i="1"/>
  <c r="CN2236" i="1"/>
  <c r="CJ2236" i="1"/>
  <c r="CH2236" i="1"/>
  <c r="CF2236" i="1"/>
  <c r="BL2236" i="1"/>
  <c r="BD2236" i="1"/>
  <c r="AZ2236" i="1"/>
  <c r="AX2236" i="1"/>
  <c r="DC2233" i="1"/>
  <c r="DA2233" i="1"/>
  <c r="CY2233" i="1"/>
  <c r="Y2233" i="1" s="1"/>
  <c r="CW2233" i="1"/>
  <c r="AA2233" i="1" s="1"/>
  <c r="CR2233" i="1"/>
  <c r="CP2233" i="1"/>
  <c r="CN2233" i="1"/>
  <c r="CJ2233" i="1"/>
  <c r="CH2233" i="1"/>
  <c r="CF2233" i="1"/>
  <c r="BL2233" i="1"/>
  <c r="BD2233" i="1"/>
  <c r="AZ2233" i="1"/>
  <c r="AX2233" i="1"/>
  <c r="DC2232" i="1"/>
  <c r="DA2232" i="1"/>
  <c r="CY2232" i="1"/>
  <c r="Y2232" i="1" s="1"/>
  <c r="CW2232" i="1"/>
  <c r="AA2232" i="1" s="1"/>
  <c r="CR2232" i="1"/>
  <c r="CP2232" i="1"/>
  <c r="CN2232" i="1"/>
  <c r="CJ2232" i="1"/>
  <c r="CH2232" i="1"/>
  <c r="CF2232" i="1"/>
  <c r="BL2232" i="1"/>
  <c r="BD2232" i="1"/>
  <c r="AZ2232" i="1"/>
  <c r="AX2232" i="1"/>
  <c r="DC2216" i="1"/>
  <c r="DA2216" i="1"/>
  <c r="CY2216" i="1"/>
  <c r="Y2216" i="1" s="1"/>
  <c r="CW2216" i="1"/>
  <c r="AA2216" i="1" s="1"/>
  <c r="CR2216" i="1"/>
  <c r="CP2216" i="1"/>
  <c r="CN2216" i="1"/>
  <c r="CJ2216" i="1"/>
  <c r="CH2216" i="1"/>
  <c r="CF2216" i="1"/>
  <c r="BL2216" i="1"/>
  <c r="BD2216" i="1"/>
  <c r="AZ2216" i="1"/>
  <c r="AX2216" i="1"/>
  <c r="DC2223" i="1"/>
  <c r="DA2223" i="1"/>
  <c r="CY2223" i="1"/>
  <c r="Y2223" i="1" s="1"/>
  <c r="CW2223" i="1"/>
  <c r="AA2223" i="1" s="1"/>
  <c r="CR2223" i="1"/>
  <c r="CP2223" i="1"/>
  <c r="CN2223" i="1"/>
  <c r="CJ2223" i="1"/>
  <c r="CH2223" i="1"/>
  <c r="CF2223" i="1"/>
  <c r="BL2223" i="1"/>
  <c r="BD2223" i="1"/>
  <c r="AZ2223" i="1"/>
  <c r="AX2223" i="1"/>
  <c r="DC2229" i="1"/>
  <c r="DA2229" i="1"/>
  <c r="CY2229" i="1"/>
  <c r="Y2229" i="1" s="1"/>
  <c r="CW2229" i="1"/>
  <c r="AA2229" i="1" s="1"/>
  <c r="CR2229" i="1"/>
  <c r="CP2229" i="1"/>
  <c r="CN2229" i="1"/>
  <c r="CJ2229" i="1"/>
  <c r="CH2229" i="1"/>
  <c r="CF2229" i="1"/>
  <c r="BL2229" i="1"/>
  <c r="BD2229" i="1"/>
  <c r="AZ2229" i="1"/>
  <c r="AX2229" i="1"/>
  <c r="DC2219" i="1"/>
  <c r="DA2219" i="1"/>
  <c r="CY2219" i="1"/>
  <c r="Y2219" i="1" s="1"/>
  <c r="CW2219" i="1"/>
  <c r="AA2219" i="1" s="1"/>
  <c r="CR2219" i="1"/>
  <c r="CP2219" i="1"/>
  <c r="CN2219" i="1"/>
  <c r="CJ2219" i="1"/>
  <c r="CH2219" i="1"/>
  <c r="CF2219" i="1"/>
  <c r="BL2219" i="1"/>
  <c r="BD2219" i="1"/>
  <c r="AZ2219" i="1"/>
  <c r="AX2219" i="1"/>
  <c r="DC2218" i="1"/>
  <c r="DA2218" i="1"/>
  <c r="CY2218" i="1"/>
  <c r="Y2218" i="1" s="1"/>
  <c r="CW2218" i="1"/>
  <c r="AA2218" i="1" s="1"/>
  <c r="CR2218" i="1"/>
  <c r="CP2218" i="1"/>
  <c r="CN2218" i="1"/>
  <c r="CJ2218" i="1"/>
  <c r="CH2218" i="1"/>
  <c r="CF2218" i="1"/>
  <c r="BL2218" i="1"/>
  <c r="BD2218" i="1"/>
  <c r="AZ2218" i="1"/>
  <c r="AX2218" i="1"/>
  <c r="DC2217" i="1"/>
  <c r="DA2217" i="1"/>
  <c r="CY2217" i="1"/>
  <c r="Y2217" i="1" s="1"/>
  <c r="CW2217" i="1"/>
  <c r="AA2217" i="1" s="1"/>
  <c r="CR2217" i="1"/>
  <c r="CP2217" i="1"/>
  <c r="CN2217" i="1"/>
  <c r="CJ2217" i="1"/>
  <c r="CH2217" i="1"/>
  <c r="CF2217" i="1"/>
  <c r="BL2217" i="1"/>
  <c r="BD2217" i="1"/>
  <c r="AZ2217" i="1"/>
  <c r="AX2217" i="1"/>
  <c r="DC2226" i="1"/>
  <c r="DA2226" i="1"/>
  <c r="CY2226" i="1"/>
  <c r="Y2226" i="1" s="1"/>
  <c r="CW2226" i="1"/>
  <c r="AA2226" i="1" s="1"/>
  <c r="CR2226" i="1"/>
  <c r="CP2226" i="1"/>
  <c r="CN2226" i="1"/>
  <c r="CJ2226" i="1"/>
  <c r="CH2226" i="1"/>
  <c r="CF2226" i="1"/>
  <c r="BL2226" i="1"/>
  <c r="BD2226" i="1"/>
  <c r="AZ2226" i="1"/>
  <c r="AX2226" i="1"/>
  <c r="DC2222" i="1"/>
  <c r="DA2222" i="1"/>
  <c r="CY2222" i="1"/>
  <c r="Y2222" i="1" s="1"/>
  <c r="CW2222" i="1"/>
  <c r="AA2222" i="1" s="1"/>
  <c r="CR2222" i="1"/>
  <c r="CP2222" i="1"/>
  <c r="CN2222" i="1"/>
  <c r="CJ2222" i="1"/>
  <c r="CH2222" i="1"/>
  <c r="CF2222" i="1"/>
  <c r="BL2222" i="1"/>
  <c r="BD2222" i="1"/>
  <c r="AZ2222" i="1"/>
  <c r="AX2222" i="1"/>
  <c r="DC2206" i="1"/>
  <c r="DA2206" i="1"/>
  <c r="CY2206" i="1"/>
  <c r="Y2206" i="1" s="1"/>
  <c r="CW2206" i="1"/>
  <c r="AA2206" i="1" s="1"/>
  <c r="CR2206" i="1"/>
  <c r="CP2206" i="1"/>
  <c r="CN2206" i="1"/>
  <c r="CJ2206" i="1"/>
  <c r="CH2206" i="1"/>
  <c r="CF2206" i="1"/>
  <c r="BL2206" i="1"/>
  <c r="BD2206" i="1"/>
  <c r="AZ2206" i="1"/>
  <c r="AX2206" i="1"/>
  <c r="DC2212" i="1"/>
  <c r="DA2212" i="1"/>
  <c r="CY2212" i="1"/>
  <c r="Y2212" i="1" s="1"/>
  <c r="CW2212" i="1"/>
  <c r="AA2212" i="1" s="1"/>
  <c r="CR2212" i="1"/>
  <c r="CP2212" i="1"/>
  <c r="CN2212" i="1"/>
  <c r="CJ2212" i="1"/>
  <c r="CH2212" i="1"/>
  <c r="CF2212" i="1"/>
  <c r="BL2212" i="1"/>
  <c r="BD2212" i="1"/>
  <c r="AZ2212" i="1"/>
  <c r="AX2212" i="1"/>
  <c r="DC2221" i="1"/>
  <c r="DA2221" i="1"/>
  <c r="CY2221" i="1"/>
  <c r="Y2221" i="1" s="1"/>
  <c r="CW2221" i="1"/>
  <c r="AA2221" i="1" s="1"/>
  <c r="CR2221" i="1"/>
  <c r="CP2221" i="1"/>
  <c r="CN2221" i="1"/>
  <c r="CJ2221" i="1"/>
  <c r="CH2221" i="1"/>
  <c r="CF2221" i="1"/>
  <c r="BL2221" i="1"/>
  <c r="BD2221" i="1"/>
  <c r="AZ2221" i="1"/>
  <c r="AX2221" i="1"/>
  <c r="DA2213" i="1"/>
  <c r="Y2213" i="1"/>
  <c r="CW2213" i="1"/>
  <c r="AA2213" i="1" s="1"/>
  <c r="CN2213" i="1"/>
  <c r="CH2213" i="1"/>
  <c r="CF2213" i="1"/>
  <c r="BL2213" i="1"/>
  <c r="BD2213" i="1"/>
  <c r="AX2213" i="1"/>
  <c r="DC2215" i="1"/>
  <c r="DA2215" i="1"/>
  <c r="CY2215" i="1"/>
  <c r="Y2215" i="1" s="1"/>
  <c r="CW2215" i="1"/>
  <c r="AA2215" i="1" s="1"/>
  <c r="CR2215" i="1"/>
  <c r="CP2215" i="1"/>
  <c r="CN2215" i="1"/>
  <c r="CJ2215" i="1"/>
  <c r="CH2215" i="1"/>
  <c r="CF2215" i="1"/>
  <c r="BL2215" i="1"/>
  <c r="BD2215" i="1"/>
  <c r="AZ2215" i="1"/>
  <c r="AX2215" i="1"/>
  <c r="AD2257" i="1" l="1"/>
  <c r="AD2244" i="1"/>
  <c r="AD2249" i="1"/>
  <c r="AD2234" i="1"/>
  <c r="AD2241" i="1"/>
  <c r="Z2242" i="1"/>
  <c r="Z2240" i="1"/>
  <c r="Z2224" i="1"/>
  <c r="Z2235" i="1"/>
  <c r="Z2228" i="1"/>
  <c r="Z2231" i="1"/>
  <c r="CU2224" i="1"/>
  <c r="X2224" i="1" s="1"/>
  <c r="AD2224" i="1" s="1"/>
  <c r="CU2240" i="1"/>
  <c r="X2240" i="1" s="1"/>
  <c r="CU2242" i="1"/>
  <c r="X2242" i="1" s="1"/>
  <c r="AD2242" i="1" s="1"/>
  <c r="Z2227" i="1"/>
  <c r="CU2227" i="1"/>
  <c r="X2227" i="1" s="1"/>
  <c r="CU2228" i="1"/>
  <c r="X2228" i="1" s="1"/>
  <c r="CU2231" i="1"/>
  <c r="X2231" i="1" s="1"/>
  <c r="CU2235" i="1"/>
  <c r="X2235" i="1" s="1"/>
  <c r="Z2223" i="1"/>
  <c r="Z2236" i="1"/>
  <c r="Z2229" i="1"/>
  <c r="Z2233" i="1"/>
  <c r="CU2233" i="1"/>
  <c r="X2233" i="1" s="1"/>
  <c r="Z2232" i="1"/>
  <c r="CU2236" i="1"/>
  <c r="X2236" i="1" s="1"/>
  <c r="Z2216" i="1"/>
  <c r="Z2230" i="1"/>
  <c r="CU2232" i="1"/>
  <c r="X2232" i="1" s="1"/>
  <c r="CU2230" i="1"/>
  <c r="X2230" i="1" s="1"/>
  <c r="CU2229" i="1"/>
  <c r="X2229" i="1" s="1"/>
  <c r="CU2223" i="1"/>
  <c r="X2223" i="1" s="1"/>
  <c r="CU2216" i="1"/>
  <c r="X2216" i="1" s="1"/>
  <c r="Z2226" i="1"/>
  <c r="Z2218" i="1"/>
  <c r="Z2217" i="1"/>
  <c r="Z2222" i="1"/>
  <c r="Z2219" i="1"/>
  <c r="CU2221" i="1"/>
  <c r="X2221" i="1" s="1"/>
  <c r="CU2206" i="1"/>
  <c r="X2206" i="1" s="1"/>
  <c r="CU2222" i="1"/>
  <c r="X2222" i="1" s="1"/>
  <c r="CU2226" i="1"/>
  <c r="X2226" i="1" s="1"/>
  <c r="CU2217" i="1"/>
  <c r="X2217" i="1" s="1"/>
  <c r="CU2218" i="1"/>
  <c r="X2218" i="1" s="1"/>
  <c r="CU2219" i="1"/>
  <c r="X2219" i="1" s="1"/>
  <c r="CU2213" i="1"/>
  <c r="X2213" i="1" s="1"/>
  <c r="CU2215" i="1"/>
  <c r="X2215" i="1" s="1"/>
  <c r="CU2212" i="1"/>
  <c r="X2212" i="1" s="1"/>
  <c r="Z2215" i="1"/>
  <c r="Z2213" i="1"/>
  <c r="Z2221" i="1"/>
  <c r="Z2212" i="1"/>
  <c r="Z2206" i="1"/>
  <c r="AD2213" i="1" l="1"/>
  <c r="AD2232" i="1"/>
  <c r="AD2222" i="1"/>
  <c r="AD2226" i="1"/>
  <c r="AD2240" i="1"/>
  <c r="AD2235" i="1"/>
  <c r="AD2228" i="1"/>
  <c r="AD2231" i="1"/>
  <c r="AD2227" i="1"/>
  <c r="AD2223" i="1"/>
  <c r="AD2233" i="1"/>
  <c r="AD2236" i="1"/>
  <c r="AD2230" i="1"/>
  <c r="AD2229" i="1"/>
  <c r="AD2216" i="1"/>
  <c r="AD2218" i="1"/>
  <c r="AD2217" i="1"/>
  <c r="AD2219" i="1"/>
  <c r="AD2206" i="1"/>
  <c r="AD2212" i="1"/>
  <c r="AD2221" i="1"/>
  <c r="AD2215" i="1"/>
  <c r="AY1506" i="1"/>
  <c r="AZ1506" i="1" s="1"/>
  <c r="CG1506" i="1"/>
  <c r="CH1506" i="1" s="1"/>
  <c r="CI1506" i="1"/>
  <c r="CJ1506" i="1" s="1"/>
  <c r="CO1506" i="1"/>
  <c r="CP1506" i="1" s="1"/>
  <c r="CQ1506" i="1"/>
  <c r="CR1506" i="1" s="1"/>
  <c r="CX1506" i="1"/>
  <c r="CY1506" i="1" s="1"/>
  <c r="DB1506" i="1"/>
  <c r="I1926" i="1" l="1"/>
  <c r="DC2252" i="1" l="1"/>
  <c r="DA2252" i="1"/>
  <c r="CY2252" i="1"/>
  <c r="Y2252" i="1" s="1"/>
  <c r="CW2252" i="1"/>
  <c r="AA2252" i="1" s="1"/>
  <c r="CR2252" i="1"/>
  <c r="CP2252" i="1"/>
  <c r="CN2252" i="1"/>
  <c r="CJ2252" i="1"/>
  <c r="CH2252" i="1"/>
  <c r="CF2252" i="1"/>
  <c r="BL2252" i="1"/>
  <c r="BD2252" i="1"/>
  <c r="AZ2252" i="1"/>
  <c r="AX2252" i="1"/>
  <c r="DC2239" i="1"/>
  <c r="DA2239" i="1"/>
  <c r="CY2239" i="1"/>
  <c r="Y2239" i="1" s="1"/>
  <c r="CW2239" i="1"/>
  <c r="AA2239" i="1" s="1"/>
  <c r="CR2239" i="1"/>
  <c r="CP2239" i="1"/>
  <c r="CN2239" i="1"/>
  <c r="CJ2239" i="1"/>
  <c r="CH2239" i="1"/>
  <c r="CF2239" i="1"/>
  <c r="BL2239" i="1"/>
  <c r="BD2239" i="1"/>
  <c r="AZ2239" i="1"/>
  <c r="AX2239" i="1"/>
  <c r="DC2248" i="1"/>
  <c r="DA2248" i="1"/>
  <c r="CY2248" i="1"/>
  <c r="Y2248" i="1" s="1"/>
  <c r="CW2248" i="1"/>
  <c r="AA2248" i="1" s="1"/>
  <c r="CR2248" i="1"/>
  <c r="CP2248" i="1"/>
  <c r="CN2248" i="1"/>
  <c r="CJ2248" i="1"/>
  <c r="CH2248" i="1"/>
  <c r="CF2248" i="1"/>
  <c r="BL2248" i="1"/>
  <c r="BD2248" i="1"/>
  <c r="AZ2248" i="1"/>
  <c r="AX2248" i="1"/>
  <c r="DC2247" i="1"/>
  <c r="DA2247" i="1"/>
  <c r="CY2247" i="1"/>
  <c r="Y2247" i="1" s="1"/>
  <c r="CW2247" i="1"/>
  <c r="AA2247" i="1" s="1"/>
  <c r="CR2247" i="1"/>
  <c r="CP2247" i="1"/>
  <c r="CN2247" i="1"/>
  <c r="CJ2247" i="1"/>
  <c r="CH2247" i="1"/>
  <c r="CF2247" i="1"/>
  <c r="BL2247" i="1"/>
  <c r="BD2247" i="1"/>
  <c r="AZ2247" i="1"/>
  <c r="AX2247" i="1"/>
  <c r="DC2237" i="1"/>
  <c r="DA2237" i="1"/>
  <c r="CY2237" i="1"/>
  <c r="Y2237" i="1" s="1"/>
  <c r="CW2237" i="1"/>
  <c r="AA2237" i="1" s="1"/>
  <c r="CR2237" i="1"/>
  <c r="CP2237" i="1"/>
  <c r="CN2237" i="1"/>
  <c r="CJ2237" i="1"/>
  <c r="CH2237" i="1"/>
  <c r="CF2237" i="1"/>
  <c r="BL2237" i="1"/>
  <c r="BD2237" i="1"/>
  <c r="AZ2237" i="1"/>
  <c r="AX2237" i="1"/>
  <c r="DC2220" i="1"/>
  <c r="DA2220" i="1"/>
  <c r="CY2220" i="1"/>
  <c r="Y2220" i="1" s="1"/>
  <c r="CW2220" i="1"/>
  <c r="AA2220" i="1" s="1"/>
  <c r="CR2220" i="1"/>
  <c r="CP2220" i="1"/>
  <c r="CN2220" i="1"/>
  <c r="CJ2220" i="1"/>
  <c r="CH2220" i="1"/>
  <c r="CF2220" i="1"/>
  <c r="BL2220" i="1"/>
  <c r="BD2220" i="1"/>
  <c r="AZ2220" i="1"/>
  <c r="AX2220" i="1"/>
  <c r="CY2211" i="1"/>
  <c r="Y2211" i="1" s="1"/>
  <c r="CW2211" i="1"/>
  <c r="AA2211" i="1" s="1"/>
  <c r="CP2211" i="1"/>
  <c r="CN2211" i="1"/>
  <c r="CJ2211" i="1"/>
  <c r="CH2211" i="1"/>
  <c r="CF2211" i="1"/>
  <c r="BL2211" i="1"/>
  <c r="BD2211" i="1"/>
  <c r="AZ2211" i="1"/>
  <c r="AX2211" i="1"/>
  <c r="DC2210" i="1"/>
  <c r="DA2210" i="1"/>
  <c r="CY2210" i="1"/>
  <c r="Y2210" i="1" s="1"/>
  <c r="CW2210" i="1"/>
  <c r="AA2210" i="1" s="1"/>
  <c r="CR2210" i="1"/>
  <c r="CP2210" i="1"/>
  <c r="CN2210" i="1"/>
  <c r="CJ2210" i="1"/>
  <c r="CH2210" i="1"/>
  <c r="CF2210" i="1"/>
  <c r="BL2210" i="1"/>
  <c r="BD2210" i="1"/>
  <c r="AZ2210" i="1"/>
  <c r="AX2210" i="1"/>
  <c r="DC2202" i="1"/>
  <c r="DA2202" i="1"/>
  <c r="CY2202" i="1"/>
  <c r="Y2202" i="1" s="1"/>
  <c r="CW2202" i="1"/>
  <c r="AA2202" i="1" s="1"/>
  <c r="CR2202" i="1"/>
  <c r="CP2202" i="1"/>
  <c r="CN2202" i="1"/>
  <c r="CJ2202" i="1"/>
  <c r="CH2202" i="1"/>
  <c r="CF2202" i="1"/>
  <c r="BL2202" i="1"/>
  <c r="BD2202" i="1"/>
  <c r="AZ2202" i="1"/>
  <c r="AX2202" i="1"/>
  <c r="DC2204" i="1"/>
  <c r="DA2204" i="1"/>
  <c r="CY2204" i="1"/>
  <c r="Y2204" i="1" s="1"/>
  <c r="CW2204" i="1"/>
  <c r="AA2204" i="1" s="1"/>
  <c r="CR2204" i="1"/>
  <c r="CP2204" i="1"/>
  <c r="CN2204" i="1"/>
  <c r="CJ2204" i="1"/>
  <c r="CH2204" i="1"/>
  <c r="CF2204" i="1"/>
  <c r="BL2204" i="1"/>
  <c r="BD2204" i="1"/>
  <c r="AZ2204" i="1"/>
  <c r="AX2204" i="1"/>
  <c r="Y2201" i="1"/>
  <c r="AA2201" i="1"/>
  <c r="DC2214" i="1"/>
  <c r="DA2214" i="1"/>
  <c r="CY2214" i="1"/>
  <c r="Y2214" i="1" s="1"/>
  <c r="CW2214" i="1"/>
  <c r="AA2214" i="1" s="1"/>
  <c r="CR2214" i="1"/>
  <c r="CP2214" i="1"/>
  <c r="CN2214" i="1"/>
  <c r="CJ2214" i="1"/>
  <c r="CH2214" i="1"/>
  <c r="CF2214" i="1"/>
  <c r="BL2214" i="1"/>
  <c r="BD2214" i="1"/>
  <c r="AZ2214" i="1"/>
  <c r="AX2214" i="1"/>
  <c r="DC2200" i="1"/>
  <c r="DA2200" i="1"/>
  <c r="CY2200" i="1"/>
  <c r="Y2200" i="1" s="1"/>
  <c r="CW2200" i="1"/>
  <c r="AA2200" i="1" s="1"/>
  <c r="CR2200" i="1"/>
  <c r="CP2200" i="1"/>
  <c r="CN2200" i="1"/>
  <c r="CJ2200" i="1"/>
  <c r="CH2200" i="1"/>
  <c r="CF2200" i="1"/>
  <c r="BL2200" i="1"/>
  <c r="BD2200" i="1"/>
  <c r="AZ2200" i="1"/>
  <c r="AX2200" i="1"/>
  <c r="DE722" i="1"/>
  <c r="DC711" i="1"/>
  <c r="DA722" i="1"/>
  <c r="DE729" i="1"/>
  <c r="DA729" i="1"/>
  <c r="DE711" i="1"/>
  <c r="DA711" i="1"/>
  <c r="DE710" i="1"/>
  <c r="DA710" i="1"/>
  <c r="DE664" i="1"/>
  <c r="DA664" i="1"/>
  <c r="DE652" i="1"/>
  <c r="DA652" i="1"/>
  <c r="DC652" i="1"/>
  <c r="Z2237" i="1" l="1"/>
  <c r="Z2239" i="1"/>
  <c r="Z2252" i="1"/>
  <c r="Z2247" i="1"/>
  <c r="CU2239" i="1"/>
  <c r="X2239" i="1" s="1"/>
  <c r="Z2248" i="1"/>
  <c r="CU2248" i="1"/>
  <c r="X2248" i="1" s="1"/>
  <c r="CU2237" i="1"/>
  <c r="X2237" i="1" s="1"/>
  <c r="CU2252" i="1"/>
  <c r="X2252" i="1" s="1"/>
  <c r="Z2220" i="1"/>
  <c r="CU2247" i="1"/>
  <c r="X2247" i="1" s="1"/>
  <c r="CU2211" i="1"/>
  <c r="X2211" i="1" s="1"/>
  <c r="Z2211" i="1"/>
  <c r="CU2220" i="1"/>
  <c r="X2220" i="1" s="1"/>
  <c r="Z2210" i="1"/>
  <c r="CU2210" i="1"/>
  <c r="X2210" i="1" s="1"/>
  <c r="Z2200" i="1"/>
  <c r="Z2204" i="1"/>
  <c r="Z2214" i="1"/>
  <c r="Z2202" i="1"/>
  <c r="Z2201" i="1"/>
  <c r="CU2214" i="1"/>
  <c r="X2214" i="1" s="1"/>
  <c r="X2201" i="1"/>
  <c r="CU2200" i="1"/>
  <c r="X2200" i="1" s="1"/>
  <c r="CU2204" i="1"/>
  <c r="X2204" i="1" s="1"/>
  <c r="CU2202" i="1"/>
  <c r="X2202" i="1" s="1"/>
  <c r="BZ2058" i="1"/>
  <c r="DB2058" i="1"/>
  <c r="DB2037" i="1"/>
  <c r="AD2220" i="1" l="1"/>
  <c r="AD2239" i="1"/>
  <c r="AD2237" i="1"/>
  <c r="AD2252" i="1"/>
  <c r="AD2247" i="1"/>
  <c r="AD2248" i="1"/>
  <c r="AD2211" i="1"/>
  <c r="AD2204" i="1"/>
  <c r="AD2210" i="1"/>
  <c r="AD2200" i="1"/>
  <c r="AD2202" i="1"/>
  <c r="AD2214" i="1"/>
  <c r="AD2201" i="1"/>
  <c r="I2037" i="1" l="1"/>
  <c r="J2037" i="1"/>
  <c r="AX1931" i="1" l="1"/>
  <c r="AZ1931" i="1"/>
  <c r="BD1931" i="1"/>
  <c r="BL1931" i="1"/>
  <c r="CF1931" i="1"/>
  <c r="CH1931" i="1"/>
  <c r="CJ1931" i="1"/>
  <c r="CN1931" i="1"/>
  <c r="CP1931" i="1"/>
  <c r="CR1931" i="1"/>
  <c r="CW1931" i="1"/>
  <c r="AA1931" i="1" s="1"/>
  <c r="CY1931" i="1"/>
  <c r="Y1931" i="1" s="1"/>
  <c r="DA1931" i="1"/>
  <c r="DC1931" i="1"/>
  <c r="DC2196" i="1"/>
  <c r="DA2196" i="1"/>
  <c r="CY2196" i="1"/>
  <c r="Y2196" i="1" s="1"/>
  <c r="CW2196" i="1"/>
  <c r="AA2196" i="1" s="1"/>
  <c r="CR2196" i="1"/>
  <c r="CP2196" i="1"/>
  <c r="CN2196" i="1"/>
  <c r="CJ2196" i="1"/>
  <c r="CH2196" i="1"/>
  <c r="CF2196" i="1"/>
  <c r="BL2196" i="1"/>
  <c r="BD2196" i="1"/>
  <c r="AZ2196" i="1"/>
  <c r="AX2196" i="1"/>
  <c r="DC2195" i="1"/>
  <c r="DA2195" i="1"/>
  <c r="CY2195" i="1"/>
  <c r="Y2195" i="1" s="1"/>
  <c r="CW2195" i="1"/>
  <c r="AA2195" i="1" s="1"/>
  <c r="CR2195" i="1"/>
  <c r="CP2195" i="1"/>
  <c r="CN2195" i="1"/>
  <c r="CJ2195" i="1"/>
  <c r="CH2195" i="1"/>
  <c r="CF2195" i="1"/>
  <c r="BL2195" i="1"/>
  <c r="BD2195" i="1"/>
  <c r="AZ2195" i="1"/>
  <c r="AX2195" i="1"/>
  <c r="DC2198" i="1"/>
  <c r="DA2198" i="1"/>
  <c r="CY2198" i="1"/>
  <c r="Y2198" i="1" s="1"/>
  <c r="CW2198" i="1"/>
  <c r="AA2198" i="1" s="1"/>
  <c r="CR2198" i="1"/>
  <c r="CP2198" i="1"/>
  <c r="CN2198" i="1"/>
  <c r="CJ2198" i="1"/>
  <c r="CH2198" i="1"/>
  <c r="CF2198" i="1"/>
  <c r="BL2198" i="1"/>
  <c r="BD2198" i="1"/>
  <c r="AZ2198" i="1"/>
  <c r="AX2198" i="1"/>
  <c r="DC2197" i="1"/>
  <c r="DA2197" i="1"/>
  <c r="CY2197" i="1"/>
  <c r="Y2197" i="1" s="1"/>
  <c r="CW2197" i="1"/>
  <c r="AA2197" i="1" s="1"/>
  <c r="CR2197" i="1"/>
  <c r="CP2197" i="1"/>
  <c r="CN2197" i="1"/>
  <c r="CJ2197" i="1"/>
  <c r="CH2197" i="1"/>
  <c r="CF2197" i="1"/>
  <c r="BL2197" i="1"/>
  <c r="BD2197" i="1"/>
  <c r="AZ2197" i="1"/>
  <c r="AX2197" i="1"/>
  <c r="DC2193" i="1"/>
  <c r="DA2193" i="1"/>
  <c r="CY2193" i="1"/>
  <c r="Y2193" i="1" s="1"/>
  <c r="CW2193" i="1"/>
  <c r="AA2193" i="1" s="1"/>
  <c r="CR2193" i="1"/>
  <c r="CP2193" i="1"/>
  <c r="CN2193" i="1"/>
  <c r="CJ2193" i="1"/>
  <c r="CH2193" i="1"/>
  <c r="CF2193" i="1"/>
  <c r="BL2193" i="1"/>
  <c r="BD2193" i="1"/>
  <c r="AZ2193" i="1"/>
  <c r="AX2193" i="1"/>
  <c r="DC2191" i="1"/>
  <c r="DA2191" i="1"/>
  <c r="CY2191" i="1"/>
  <c r="Y2191" i="1" s="1"/>
  <c r="CW2191" i="1"/>
  <c r="AA2191" i="1" s="1"/>
  <c r="CR2191" i="1"/>
  <c r="CP2191" i="1"/>
  <c r="CN2191" i="1"/>
  <c r="CJ2191" i="1"/>
  <c r="CH2191" i="1"/>
  <c r="CF2191" i="1"/>
  <c r="BL2191" i="1"/>
  <c r="BD2191" i="1"/>
  <c r="AZ2191" i="1"/>
  <c r="AX2191" i="1"/>
  <c r="DC2188" i="1"/>
  <c r="DA2188" i="1"/>
  <c r="CY2188" i="1"/>
  <c r="Y2188" i="1" s="1"/>
  <c r="CW2188" i="1"/>
  <c r="AA2188" i="1" s="1"/>
  <c r="CR2188" i="1"/>
  <c r="CP2188" i="1"/>
  <c r="CN2188" i="1"/>
  <c r="CJ2188" i="1"/>
  <c r="CH2188" i="1"/>
  <c r="CF2188" i="1"/>
  <c r="BL2188" i="1"/>
  <c r="BD2188" i="1"/>
  <c r="AZ2188" i="1"/>
  <c r="AX2188" i="1"/>
  <c r="DC2187" i="1"/>
  <c r="DA2187" i="1"/>
  <c r="CY2187" i="1"/>
  <c r="Y2187" i="1" s="1"/>
  <c r="CW2187" i="1"/>
  <c r="AA2187" i="1" s="1"/>
  <c r="CR2187" i="1"/>
  <c r="CP2187" i="1"/>
  <c r="CN2187" i="1"/>
  <c r="CJ2187" i="1"/>
  <c r="CH2187" i="1"/>
  <c r="CF2187" i="1"/>
  <c r="BL2187" i="1"/>
  <c r="BD2187" i="1"/>
  <c r="AZ2187" i="1"/>
  <c r="AX2187" i="1"/>
  <c r="DC2189" i="1"/>
  <c r="DA2189" i="1"/>
  <c r="CY2189" i="1"/>
  <c r="Y2189" i="1" s="1"/>
  <c r="CW2189" i="1"/>
  <c r="AA2189" i="1" s="1"/>
  <c r="CR2189" i="1"/>
  <c r="CP2189" i="1"/>
  <c r="CN2189" i="1"/>
  <c r="CJ2189" i="1"/>
  <c r="CH2189" i="1"/>
  <c r="CF2189" i="1"/>
  <c r="BL2189" i="1"/>
  <c r="BD2189" i="1"/>
  <c r="AZ2189" i="1"/>
  <c r="AX2189" i="1"/>
  <c r="DC2181" i="1"/>
  <c r="DA2181" i="1"/>
  <c r="CY2181" i="1"/>
  <c r="Y2181" i="1" s="1"/>
  <c r="CW2181" i="1"/>
  <c r="AA2181" i="1" s="1"/>
  <c r="CR2181" i="1"/>
  <c r="CP2181" i="1"/>
  <c r="CN2181" i="1"/>
  <c r="CJ2181" i="1"/>
  <c r="CH2181" i="1"/>
  <c r="CF2181" i="1"/>
  <c r="BL2181" i="1"/>
  <c r="BD2181" i="1"/>
  <c r="AZ2181" i="1"/>
  <c r="AX2181" i="1"/>
  <c r="DC2185" i="1"/>
  <c r="DA2185" i="1"/>
  <c r="CY2185" i="1"/>
  <c r="Y2185" i="1" s="1"/>
  <c r="CW2185" i="1"/>
  <c r="AA2185" i="1" s="1"/>
  <c r="CR2185" i="1"/>
  <c r="CP2185" i="1"/>
  <c r="CN2185" i="1"/>
  <c r="CJ2185" i="1"/>
  <c r="CH2185" i="1"/>
  <c r="CF2185" i="1"/>
  <c r="BL2185" i="1"/>
  <c r="BD2185" i="1"/>
  <c r="AZ2185" i="1"/>
  <c r="AX2185" i="1"/>
  <c r="DC2180" i="1"/>
  <c r="DA2180" i="1"/>
  <c r="CY2180" i="1"/>
  <c r="Y2180" i="1" s="1"/>
  <c r="CW2180" i="1"/>
  <c r="AA2180" i="1" s="1"/>
  <c r="CR2180" i="1"/>
  <c r="CP2180" i="1"/>
  <c r="CN2180" i="1"/>
  <c r="CJ2180" i="1"/>
  <c r="CH2180" i="1"/>
  <c r="CF2180" i="1"/>
  <c r="BL2180" i="1"/>
  <c r="BD2180" i="1"/>
  <c r="AZ2180" i="1"/>
  <c r="AX2180" i="1"/>
  <c r="DC2194" i="1"/>
  <c r="DA2194" i="1"/>
  <c r="CY2194" i="1"/>
  <c r="Y2194" i="1" s="1"/>
  <c r="CW2194" i="1"/>
  <c r="AA2194" i="1" s="1"/>
  <c r="CR2194" i="1"/>
  <c r="CP2194" i="1"/>
  <c r="CN2194" i="1"/>
  <c r="CJ2194" i="1"/>
  <c r="CH2194" i="1"/>
  <c r="CF2194" i="1"/>
  <c r="BL2194" i="1"/>
  <c r="BD2194" i="1"/>
  <c r="AZ2194" i="1"/>
  <c r="AX2194" i="1"/>
  <c r="DC2186" i="1"/>
  <c r="DA2186" i="1"/>
  <c r="CY2186" i="1"/>
  <c r="Y2186" i="1" s="1"/>
  <c r="CW2186" i="1"/>
  <c r="AA2186" i="1" s="1"/>
  <c r="CR2186" i="1"/>
  <c r="CP2186" i="1"/>
  <c r="CN2186" i="1"/>
  <c r="CJ2186" i="1"/>
  <c r="CH2186" i="1"/>
  <c r="CF2186" i="1"/>
  <c r="BL2186" i="1"/>
  <c r="BD2186" i="1"/>
  <c r="AZ2186" i="1"/>
  <c r="AX2186" i="1"/>
  <c r="Z2197" i="1" l="1"/>
  <c r="CU1931" i="1"/>
  <c r="X1931" i="1" s="1"/>
  <c r="Z1931" i="1"/>
  <c r="Z2195" i="1"/>
  <c r="Z2191" i="1"/>
  <c r="CU2191" i="1"/>
  <c r="X2191" i="1" s="1"/>
  <c r="Z2198" i="1"/>
  <c r="Z2193" i="1"/>
  <c r="Z2196" i="1"/>
  <c r="CU2193" i="1"/>
  <c r="X2193" i="1" s="1"/>
  <c r="CU2197" i="1"/>
  <c r="X2197" i="1" s="1"/>
  <c r="CU2198" i="1"/>
  <c r="X2198" i="1" s="1"/>
  <c r="CU2195" i="1"/>
  <c r="X2195" i="1" s="1"/>
  <c r="CU2196" i="1"/>
  <c r="X2196" i="1" s="1"/>
  <c r="Z2185" i="1"/>
  <c r="Z2187" i="1"/>
  <c r="Z2180" i="1"/>
  <c r="Z2188" i="1"/>
  <c r="Z2194" i="1"/>
  <c r="Z2189" i="1"/>
  <c r="Z2186" i="1"/>
  <c r="Z2181" i="1"/>
  <c r="CU2186" i="1"/>
  <c r="X2186" i="1" s="1"/>
  <c r="CU2194" i="1"/>
  <c r="X2194" i="1" s="1"/>
  <c r="CU2180" i="1"/>
  <c r="X2180" i="1" s="1"/>
  <c r="AD2180" i="1" s="1"/>
  <c r="CU2185" i="1"/>
  <c r="X2185" i="1" s="1"/>
  <c r="CU2181" i="1"/>
  <c r="X2181" i="1" s="1"/>
  <c r="CU2189" i="1"/>
  <c r="X2189" i="1" s="1"/>
  <c r="AD2189" i="1" s="1"/>
  <c r="CU2187" i="1"/>
  <c r="X2187" i="1" s="1"/>
  <c r="CU2188" i="1"/>
  <c r="X2188" i="1" s="1"/>
  <c r="AD2188" i="1" l="1"/>
  <c r="AD1931" i="1"/>
  <c r="AD2181" i="1"/>
  <c r="AD2197" i="1"/>
  <c r="AD2198" i="1"/>
  <c r="AD2195" i="1"/>
  <c r="AD2191" i="1"/>
  <c r="AD2196" i="1"/>
  <c r="AD2193" i="1"/>
  <c r="AD2194" i="1"/>
  <c r="AD2187" i="1"/>
  <c r="AD2185" i="1"/>
  <c r="AD2186" i="1"/>
  <c r="DC2262" i="1"/>
  <c r="DA2262" i="1"/>
  <c r="CY2262" i="1"/>
  <c r="Y2262" i="1" s="1"/>
  <c r="CW2262" i="1"/>
  <c r="AA2262" i="1" s="1"/>
  <c r="CR2262" i="1"/>
  <c r="CP2262" i="1"/>
  <c r="CN2262" i="1"/>
  <c r="CJ2262" i="1"/>
  <c r="CH2262" i="1"/>
  <c r="CF2262" i="1"/>
  <c r="BL2262" i="1"/>
  <c r="BD2262" i="1"/>
  <c r="AZ2262" i="1"/>
  <c r="AX2262" i="1"/>
  <c r="DC2205" i="1"/>
  <c r="DA2205" i="1"/>
  <c r="CY2205" i="1"/>
  <c r="Y2205" i="1" s="1"/>
  <c r="CW2205" i="1"/>
  <c r="AA2205" i="1" s="1"/>
  <c r="CR2205" i="1"/>
  <c r="CP2205" i="1"/>
  <c r="CN2205" i="1"/>
  <c r="CJ2205" i="1"/>
  <c r="CH2205" i="1"/>
  <c r="CF2205" i="1"/>
  <c r="BL2205" i="1"/>
  <c r="BD2205" i="1"/>
  <c r="AZ2205" i="1"/>
  <c r="AX2205" i="1"/>
  <c r="DC2209" i="1"/>
  <c r="DA2209" i="1"/>
  <c r="CY2209" i="1"/>
  <c r="Y2209" i="1" s="1"/>
  <c r="CW2209" i="1"/>
  <c r="AA2209" i="1" s="1"/>
  <c r="CR2209" i="1"/>
  <c r="CP2209" i="1"/>
  <c r="CN2209" i="1"/>
  <c r="CJ2209" i="1"/>
  <c r="CH2209" i="1"/>
  <c r="CF2209" i="1"/>
  <c r="BL2209" i="1"/>
  <c r="BD2209" i="1"/>
  <c r="AZ2209" i="1"/>
  <c r="AX2209" i="1"/>
  <c r="DC2199" i="1"/>
  <c r="DA2199" i="1"/>
  <c r="CY2199" i="1"/>
  <c r="Y2199" i="1" s="1"/>
  <c r="CW2199" i="1"/>
  <c r="AA2199" i="1" s="1"/>
  <c r="CR2199" i="1"/>
  <c r="CP2199" i="1"/>
  <c r="CN2199" i="1"/>
  <c r="CJ2199" i="1"/>
  <c r="CH2199" i="1"/>
  <c r="CF2199" i="1"/>
  <c r="BL2199" i="1"/>
  <c r="BD2199" i="1"/>
  <c r="AZ2199" i="1"/>
  <c r="AX2199" i="1"/>
  <c r="CY2179" i="1"/>
  <c r="Y2179" i="1" s="1"/>
  <c r="CW2179" i="1"/>
  <c r="AA2179" i="1" s="1"/>
  <c r="CR2179" i="1"/>
  <c r="CP2179" i="1"/>
  <c r="CN2179" i="1"/>
  <c r="CH2179" i="1"/>
  <c r="CF2179" i="1"/>
  <c r="BL2179" i="1"/>
  <c r="BD2179" i="1"/>
  <c r="AX2179" i="1"/>
  <c r="Z2205" i="1" l="1"/>
  <c r="CU2199" i="1"/>
  <c r="X2199" i="1" s="1"/>
  <c r="Z2199" i="1"/>
  <c r="CU2179" i="1"/>
  <c r="X2179" i="1" s="1"/>
  <c r="Z2179" i="1"/>
  <c r="Z2209" i="1"/>
  <c r="CU2209" i="1"/>
  <c r="X2209" i="1" s="1"/>
  <c r="CU2262" i="1"/>
  <c r="X2262" i="1" s="1"/>
  <c r="CU2205" i="1"/>
  <c r="X2205" i="1" s="1"/>
  <c r="Z2262" i="1"/>
  <c r="W2192" i="1"/>
  <c r="I1612" i="1"/>
  <c r="AD2205" i="1" l="1"/>
  <c r="AD2262" i="1"/>
  <c r="AD2209" i="1"/>
  <c r="AD2199" i="1"/>
  <c r="AD2179" i="1"/>
  <c r="DA677" i="1" l="1"/>
  <c r="DE657" i="1"/>
  <c r="DA657" i="1"/>
  <c r="DC657" i="1"/>
  <c r="DE655" i="1"/>
  <c r="DA655" i="1"/>
  <c r="DC655" i="1"/>
  <c r="DE654" i="1"/>
  <c r="DA654" i="1"/>
  <c r="DC654" i="1"/>
  <c r="DE651" i="1"/>
  <c r="DA651" i="1"/>
  <c r="DC651" i="1"/>
  <c r="O3917" i="1"/>
  <c r="AX2176" i="1"/>
  <c r="AZ2176" i="1"/>
  <c r="DC2192" i="1"/>
  <c r="DA2192" i="1"/>
  <c r="CY2192" i="1"/>
  <c r="Y2192" i="1" s="1"/>
  <c r="CW2192" i="1"/>
  <c r="AA2192" i="1" s="1"/>
  <c r="CR2192" i="1"/>
  <c r="CP2192" i="1"/>
  <c r="CN2192" i="1"/>
  <c r="CJ2192" i="1"/>
  <c r="CH2192" i="1"/>
  <c r="CF2192" i="1"/>
  <c r="BL2192" i="1"/>
  <c r="BD2192" i="1"/>
  <c r="AZ2192" i="1"/>
  <c r="AX2192" i="1"/>
  <c r="DC2176" i="1"/>
  <c r="DA2176" i="1"/>
  <c r="CY2176" i="1"/>
  <c r="Y2176" i="1" s="1"/>
  <c r="CW2176" i="1"/>
  <c r="AA2176" i="1" s="1"/>
  <c r="CR2176" i="1"/>
  <c r="CP2176" i="1"/>
  <c r="CN2176" i="1"/>
  <c r="CJ2176" i="1"/>
  <c r="CH2176" i="1"/>
  <c r="CF2176" i="1"/>
  <c r="BL2176" i="1"/>
  <c r="BD2176" i="1"/>
  <c r="DC2175" i="1"/>
  <c r="DA2175" i="1"/>
  <c r="CY2175" i="1"/>
  <c r="Y2175" i="1" s="1"/>
  <c r="CW2175" i="1"/>
  <c r="AA2175" i="1" s="1"/>
  <c r="CR2175" i="1"/>
  <c r="CP2175" i="1"/>
  <c r="CN2175" i="1"/>
  <c r="CJ2175" i="1"/>
  <c r="CH2175" i="1"/>
  <c r="CF2175" i="1"/>
  <c r="BL2175" i="1"/>
  <c r="BD2175" i="1"/>
  <c r="AZ2175" i="1"/>
  <c r="AX2175" i="1"/>
  <c r="DC2178" i="1"/>
  <c r="DA2178" i="1"/>
  <c r="CY2178" i="1"/>
  <c r="Y2178" i="1" s="1"/>
  <c r="CW2178" i="1"/>
  <c r="AA2178" i="1" s="1"/>
  <c r="CR2178" i="1"/>
  <c r="CP2178" i="1"/>
  <c r="CN2178" i="1"/>
  <c r="CJ2178" i="1"/>
  <c r="CH2178" i="1"/>
  <c r="CF2178" i="1"/>
  <c r="BL2178" i="1"/>
  <c r="BD2178" i="1"/>
  <c r="AZ2178" i="1"/>
  <c r="AX2178" i="1"/>
  <c r="DC2177" i="1"/>
  <c r="DA2177" i="1"/>
  <c r="CY2177" i="1"/>
  <c r="Y2177" i="1" s="1"/>
  <c r="CW2177" i="1"/>
  <c r="AA2177" i="1" s="1"/>
  <c r="CR2177" i="1"/>
  <c r="CP2177" i="1"/>
  <c r="CN2177" i="1"/>
  <c r="CJ2177" i="1"/>
  <c r="CH2177" i="1"/>
  <c r="CF2177" i="1"/>
  <c r="BL2177" i="1"/>
  <c r="BD2177" i="1"/>
  <c r="AZ2177" i="1"/>
  <c r="AX2177" i="1"/>
  <c r="DA2174" i="1"/>
  <c r="CY2174" i="1"/>
  <c r="Y2174" i="1" s="1"/>
  <c r="CW2174" i="1"/>
  <c r="AA2174" i="1" s="1"/>
  <c r="CR2174" i="1"/>
  <c r="CP2174" i="1"/>
  <c r="CN2174" i="1"/>
  <c r="CJ2174" i="1"/>
  <c r="CH2174" i="1"/>
  <c r="CF2174" i="1"/>
  <c r="BL2174" i="1"/>
  <c r="BD2174" i="1"/>
  <c r="AZ2174" i="1"/>
  <c r="AX2174" i="1"/>
  <c r="Z2192" i="1" l="1"/>
  <c r="CU2176" i="1"/>
  <c r="X2176" i="1" s="1"/>
  <c r="Z2176" i="1"/>
  <c r="Z2177" i="1"/>
  <c r="Z2175" i="1"/>
  <c r="Z2178" i="1"/>
  <c r="CU2174" i="1"/>
  <c r="X2174" i="1" s="1"/>
  <c r="Z2174" i="1"/>
  <c r="CU2177" i="1"/>
  <c r="X2177" i="1" s="1"/>
  <c r="CU2192" i="1"/>
  <c r="X2192" i="1" s="1"/>
  <c r="CU2178" i="1"/>
  <c r="X2178" i="1" s="1"/>
  <c r="CU2175" i="1"/>
  <c r="X2175" i="1" s="1"/>
  <c r="DB2149" i="1"/>
  <c r="AD2192" i="1" l="1"/>
  <c r="AD2176" i="1"/>
  <c r="AD2174" i="1"/>
  <c r="AD2175" i="1"/>
  <c r="AD2178" i="1"/>
  <c r="AD2177" i="1"/>
  <c r="DC2190" i="1" l="1"/>
  <c r="DA2190" i="1"/>
  <c r="CY2190" i="1"/>
  <c r="Y2190" i="1" s="1"/>
  <c r="CW2190" i="1"/>
  <c r="AA2190" i="1" s="1"/>
  <c r="CR2190" i="1"/>
  <c r="CP2190" i="1"/>
  <c r="CN2190" i="1"/>
  <c r="CJ2190" i="1"/>
  <c r="CH2190" i="1"/>
  <c r="CF2190" i="1"/>
  <c r="BL2190" i="1"/>
  <c r="BD2190" i="1"/>
  <c r="AZ2190" i="1"/>
  <c r="AX2190" i="1"/>
  <c r="DC2182" i="1"/>
  <c r="DA2182" i="1"/>
  <c r="CY2182" i="1"/>
  <c r="Y2182" i="1" s="1"/>
  <c r="CW2182" i="1"/>
  <c r="AA2182" i="1" s="1"/>
  <c r="CR2182" i="1"/>
  <c r="CP2182" i="1"/>
  <c r="CN2182" i="1"/>
  <c r="CJ2182" i="1"/>
  <c r="CH2182" i="1"/>
  <c r="CF2182" i="1"/>
  <c r="BL2182" i="1"/>
  <c r="BD2182" i="1"/>
  <c r="AZ2182" i="1"/>
  <c r="AX2182" i="1"/>
  <c r="DC2183" i="1"/>
  <c r="DA2183" i="1"/>
  <c r="CY2183" i="1"/>
  <c r="Y2183" i="1" s="1"/>
  <c r="CW2183" i="1"/>
  <c r="AA2183" i="1" s="1"/>
  <c r="CR2183" i="1"/>
  <c r="CP2183" i="1"/>
  <c r="CN2183" i="1"/>
  <c r="CJ2183" i="1"/>
  <c r="CH2183" i="1"/>
  <c r="CF2183" i="1"/>
  <c r="BL2183" i="1"/>
  <c r="BD2183" i="1"/>
  <c r="AZ2183" i="1"/>
  <c r="AX2183" i="1"/>
  <c r="DC2167" i="1"/>
  <c r="DA2167" i="1"/>
  <c r="CY2167" i="1"/>
  <c r="Y2167" i="1" s="1"/>
  <c r="CW2167" i="1"/>
  <c r="AA2167" i="1" s="1"/>
  <c r="CR2167" i="1"/>
  <c r="CP2167" i="1"/>
  <c r="CN2167" i="1"/>
  <c r="CJ2167" i="1"/>
  <c r="CH2167" i="1"/>
  <c r="CF2167" i="1"/>
  <c r="BL2167" i="1"/>
  <c r="BD2167" i="1"/>
  <c r="AZ2167" i="1"/>
  <c r="AX2167" i="1"/>
  <c r="DC2170" i="1"/>
  <c r="DA2170" i="1"/>
  <c r="CY2170" i="1"/>
  <c r="Y2170" i="1" s="1"/>
  <c r="CW2170" i="1"/>
  <c r="AA2170" i="1" s="1"/>
  <c r="CR2170" i="1"/>
  <c r="CP2170" i="1"/>
  <c r="CN2170" i="1"/>
  <c r="CJ2170" i="1"/>
  <c r="CH2170" i="1"/>
  <c r="CF2170" i="1"/>
  <c r="BL2170" i="1"/>
  <c r="BD2170" i="1"/>
  <c r="AZ2170" i="1"/>
  <c r="AX2170" i="1"/>
  <c r="DC2173" i="1"/>
  <c r="DA2173" i="1"/>
  <c r="CY2173" i="1"/>
  <c r="Y2173" i="1" s="1"/>
  <c r="CW2173" i="1"/>
  <c r="AA2173" i="1" s="1"/>
  <c r="CR2173" i="1"/>
  <c r="CP2173" i="1"/>
  <c r="CN2173" i="1"/>
  <c r="CJ2173" i="1"/>
  <c r="CH2173" i="1"/>
  <c r="CF2173" i="1"/>
  <c r="BL2173" i="1"/>
  <c r="BD2173" i="1"/>
  <c r="AZ2173" i="1"/>
  <c r="AX2173" i="1"/>
  <c r="DC2169" i="1"/>
  <c r="DA2169" i="1"/>
  <c r="CY2169" i="1"/>
  <c r="Y2169" i="1" s="1"/>
  <c r="CW2169" i="1"/>
  <c r="AA2169" i="1" s="1"/>
  <c r="CR2169" i="1"/>
  <c r="CP2169" i="1"/>
  <c r="CN2169" i="1"/>
  <c r="CJ2169" i="1"/>
  <c r="CH2169" i="1"/>
  <c r="CF2169" i="1"/>
  <c r="BL2169" i="1"/>
  <c r="BD2169" i="1"/>
  <c r="AZ2169" i="1"/>
  <c r="AX2169" i="1"/>
  <c r="DC2171" i="1"/>
  <c r="DA2171" i="1"/>
  <c r="CY2171" i="1"/>
  <c r="Y2171" i="1" s="1"/>
  <c r="CW2171" i="1"/>
  <c r="AA2171" i="1" s="1"/>
  <c r="CR2171" i="1"/>
  <c r="CP2171" i="1"/>
  <c r="CN2171" i="1"/>
  <c r="CJ2171" i="1"/>
  <c r="CH2171" i="1"/>
  <c r="CF2171" i="1"/>
  <c r="BL2171" i="1"/>
  <c r="BD2171" i="1"/>
  <c r="AZ2171" i="1"/>
  <c r="AX2171" i="1"/>
  <c r="DC2168" i="1"/>
  <c r="DA2168" i="1"/>
  <c r="CY2168" i="1"/>
  <c r="Y2168" i="1" s="1"/>
  <c r="CW2168" i="1"/>
  <c r="AA2168" i="1" s="1"/>
  <c r="CR2168" i="1"/>
  <c r="CP2168" i="1"/>
  <c r="CN2168" i="1"/>
  <c r="CJ2168" i="1"/>
  <c r="CH2168" i="1"/>
  <c r="CF2168" i="1"/>
  <c r="BL2168" i="1"/>
  <c r="BD2168" i="1"/>
  <c r="AZ2168" i="1"/>
  <c r="AX2168" i="1"/>
  <c r="DC2166" i="1"/>
  <c r="DA2166" i="1"/>
  <c r="CY2166" i="1"/>
  <c r="Y2166" i="1" s="1"/>
  <c r="CW2166" i="1"/>
  <c r="AA2166" i="1" s="1"/>
  <c r="CR2166" i="1"/>
  <c r="CP2166" i="1"/>
  <c r="CN2166" i="1"/>
  <c r="CJ2166" i="1"/>
  <c r="CH2166" i="1"/>
  <c r="CF2166" i="1"/>
  <c r="BL2166" i="1"/>
  <c r="BD2166" i="1"/>
  <c r="AZ2166" i="1"/>
  <c r="AX2166" i="1"/>
  <c r="DC2150" i="1"/>
  <c r="DA2150" i="1"/>
  <c r="CY2150" i="1"/>
  <c r="Y2150" i="1" s="1"/>
  <c r="CW2150" i="1"/>
  <c r="AA2150" i="1" s="1"/>
  <c r="CR2150" i="1"/>
  <c r="CP2150" i="1"/>
  <c r="CN2150" i="1"/>
  <c r="CJ2150" i="1"/>
  <c r="CH2150" i="1"/>
  <c r="CF2150" i="1"/>
  <c r="BL2150" i="1"/>
  <c r="BD2150" i="1"/>
  <c r="AZ2150" i="1"/>
  <c r="AX2150" i="1"/>
  <c r="DC2164" i="1"/>
  <c r="DA2164" i="1"/>
  <c r="CY2164" i="1"/>
  <c r="Y2164" i="1" s="1"/>
  <c r="CW2164" i="1"/>
  <c r="AA2164" i="1" s="1"/>
  <c r="CR2164" i="1"/>
  <c r="CP2164" i="1"/>
  <c r="CN2164" i="1"/>
  <c r="CJ2164" i="1"/>
  <c r="CH2164" i="1"/>
  <c r="CF2164" i="1"/>
  <c r="BL2164" i="1"/>
  <c r="BD2164" i="1"/>
  <c r="AZ2164" i="1"/>
  <c r="AX2164" i="1"/>
  <c r="DC2138" i="1"/>
  <c r="DA2138" i="1"/>
  <c r="CY2138" i="1"/>
  <c r="Y2138" i="1" s="1"/>
  <c r="CW2138" i="1"/>
  <c r="AA2138" i="1" s="1"/>
  <c r="CR2138" i="1"/>
  <c r="CP2138" i="1"/>
  <c r="CN2138" i="1"/>
  <c r="CJ2138" i="1"/>
  <c r="CH2138" i="1"/>
  <c r="CF2138" i="1"/>
  <c r="BL2138" i="1"/>
  <c r="BD2138" i="1"/>
  <c r="AZ2138" i="1"/>
  <c r="AX2138" i="1"/>
  <c r="DC2144" i="1"/>
  <c r="DA2144" i="1"/>
  <c r="CY2144" i="1"/>
  <c r="Y2144" i="1" s="1"/>
  <c r="CW2144" i="1"/>
  <c r="AA2144" i="1" s="1"/>
  <c r="CR2144" i="1"/>
  <c r="CP2144" i="1"/>
  <c r="CN2144" i="1"/>
  <c r="CJ2144" i="1"/>
  <c r="CH2144" i="1"/>
  <c r="CF2144" i="1"/>
  <c r="BL2144" i="1"/>
  <c r="BD2144" i="1"/>
  <c r="AZ2144" i="1"/>
  <c r="AX2144" i="1"/>
  <c r="Z2182" i="1" l="1"/>
  <c r="Z2169" i="1"/>
  <c r="Z2171" i="1"/>
  <c r="Z2170" i="1"/>
  <c r="Z2168" i="1"/>
  <c r="Z2173" i="1"/>
  <c r="CU2182" i="1"/>
  <c r="X2182" i="1" s="1"/>
  <c r="CU2173" i="1"/>
  <c r="X2173" i="1" s="1"/>
  <c r="Z2190" i="1"/>
  <c r="Z2166" i="1"/>
  <c r="Z2164" i="1"/>
  <c r="CU2150" i="1"/>
  <c r="X2150" i="1" s="1"/>
  <c r="Z2150" i="1"/>
  <c r="Z2138" i="1"/>
  <c r="Z2144" i="1"/>
  <c r="CU2166" i="1"/>
  <c r="X2166" i="1" s="1"/>
  <c r="CU2138" i="1"/>
  <c r="X2138" i="1" s="1"/>
  <c r="CU2168" i="1"/>
  <c r="X2168" i="1" s="1"/>
  <c r="CU2170" i="1"/>
  <c r="X2170" i="1" s="1"/>
  <c r="Z2167" i="1"/>
  <c r="CU2183" i="1"/>
  <c r="X2183" i="1" s="1"/>
  <c r="Z2183" i="1"/>
  <c r="CU2190" i="1"/>
  <c r="X2190" i="1" s="1"/>
  <c r="CU2144" i="1"/>
  <c r="X2144" i="1" s="1"/>
  <c r="CU2164" i="1"/>
  <c r="X2164" i="1" s="1"/>
  <c r="CU2171" i="1"/>
  <c r="X2171" i="1" s="1"/>
  <c r="CU2167" i="1"/>
  <c r="X2167" i="1" s="1"/>
  <c r="CU2169" i="1"/>
  <c r="X2169" i="1" s="1"/>
  <c r="DB1391" i="1"/>
  <c r="DB1493" i="1"/>
  <c r="DB1992" i="1"/>
  <c r="DB1487" i="1"/>
  <c r="DC2163" i="1"/>
  <c r="DA2163" i="1"/>
  <c r="CY2163" i="1"/>
  <c r="Y2163" i="1" s="1"/>
  <c r="CW2163" i="1"/>
  <c r="AA2163" i="1" s="1"/>
  <c r="CR2163" i="1"/>
  <c r="CP2163" i="1"/>
  <c r="CN2163" i="1"/>
  <c r="CJ2163" i="1"/>
  <c r="CH2163" i="1"/>
  <c r="CF2163" i="1"/>
  <c r="BL2163" i="1"/>
  <c r="BD2163" i="1"/>
  <c r="AZ2163" i="1"/>
  <c r="AX2163" i="1"/>
  <c r="DC2165" i="1"/>
  <c r="DA2165" i="1"/>
  <c r="CY2165" i="1"/>
  <c r="Y2165" i="1" s="1"/>
  <c r="CW2165" i="1"/>
  <c r="AA2165" i="1" s="1"/>
  <c r="CR2165" i="1"/>
  <c r="CP2165" i="1"/>
  <c r="CN2165" i="1"/>
  <c r="CJ2165" i="1"/>
  <c r="CH2165" i="1"/>
  <c r="CF2165" i="1"/>
  <c r="BL2165" i="1"/>
  <c r="BD2165" i="1"/>
  <c r="AZ2165" i="1"/>
  <c r="AX2165" i="1"/>
  <c r="DC2140" i="1"/>
  <c r="DA2140" i="1"/>
  <c r="CY2140" i="1"/>
  <c r="Y2140" i="1" s="1"/>
  <c r="CW2140" i="1"/>
  <c r="AA2140" i="1" s="1"/>
  <c r="CR2140" i="1"/>
  <c r="CP2140" i="1"/>
  <c r="CN2140" i="1"/>
  <c r="CJ2140" i="1"/>
  <c r="CH2140" i="1"/>
  <c r="CF2140" i="1"/>
  <c r="BL2140" i="1"/>
  <c r="BD2140" i="1"/>
  <c r="AZ2140" i="1"/>
  <c r="AX2140" i="1"/>
  <c r="DC2158" i="1"/>
  <c r="DA2158" i="1"/>
  <c r="CY2158" i="1"/>
  <c r="Y2158" i="1" s="1"/>
  <c r="CW2158" i="1"/>
  <c r="AA2158" i="1" s="1"/>
  <c r="CR2158" i="1"/>
  <c r="CP2158" i="1"/>
  <c r="CN2158" i="1"/>
  <c r="CJ2158" i="1"/>
  <c r="CH2158" i="1"/>
  <c r="CF2158" i="1"/>
  <c r="BL2158" i="1"/>
  <c r="BD2158" i="1"/>
  <c r="AZ2158" i="1"/>
  <c r="AX2158" i="1"/>
  <c r="DC2162" i="1"/>
  <c r="DA2162" i="1"/>
  <c r="CY2162" i="1"/>
  <c r="Y2162" i="1" s="1"/>
  <c r="CW2162" i="1"/>
  <c r="AA2162" i="1" s="1"/>
  <c r="CR2162" i="1"/>
  <c r="CP2162" i="1"/>
  <c r="CN2162" i="1"/>
  <c r="CJ2162" i="1"/>
  <c r="CH2162" i="1"/>
  <c r="CF2162" i="1"/>
  <c r="BL2162" i="1"/>
  <c r="BD2162" i="1"/>
  <c r="AZ2162" i="1"/>
  <c r="AX2162" i="1"/>
  <c r="DC2161" i="1"/>
  <c r="DA2161" i="1"/>
  <c r="CY2161" i="1"/>
  <c r="Y2161" i="1" s="1"/>
  <c r="CW2161" i="1"/>
  <c r="AA2161" i="1" s="1"/>
  <c r="CR2161" i="1"/>
  <c r="CP2161" i="1"/>
  <c r="CN2161" i="1"/>
  <c r="CJ2161" i="1"/>
  <c r="CH2161" i="1"/>
  <c r="CF2161" i="1"/>
  <c r="BL2161" i="1"/>
  <c r="BD2161" i="1"/>
  <c r="AZ2161" i="1"/>
  <c r="AX2161" i="1"/>
  <c r="DC2157" i="1"/>
  <c r="DA2157" i="1"/>
  <c r="CY2157" i="1"/>
  <c r="Y2157" i="1" s="1"/>
  <c r="CW2157" i="1"/>
  <c r="AA2157" i="1" s="1"/>
  <c r="CR2157" i="1"/>
  <c r="CP2157" i="1"/>
  <c r="CN2157" i="1"/>
  <c r="CJ2157" i="1"/>
  <c r="CH2157" i="1"/>
  <c r="CF2157" i="1"/>
  <c r="BL2157" i="1"/>
  <c r="BD2157" i="1"/>
  <c r="AZ2157" i="1"/>
  <c r="AX2157" i="1"/>
  <c r="CY2156" i="1"/>
  <c r="Y2156" i="1" s="1"/>
  <c r="CW2156" i="1"/>
  <c r="AA2156" i="1" s="1"/>
  <c r="CR2156" i="1"/>
  <c r="CP2156" i="1"/>
  <c r="CN2156" i="1"/>
  <c r="CJ2156" i="1"/>
  <c r="CH2156" i="1"/>
  <c r="CF2156" i="1"/>
  <c r="BL2156" i="1"/>
  <c r="BD2156" i="1"/>
  <c r="AZ2156" i="1"/>
  <c r="AX2156" i="1"/>
  <c r="AD2182" i="1" l="1"/>
  <c r="AD2168" i="1"/>
  <c r="AD2144" i="1"/>
  <c r="AD2171" i="1"/>
  <c r="AD2169" i="1"/>
  <c r="AD2190" i="1"/>
  <c r="AD2138" i="1"/>
  <c r="AD2170" i="1"/>
  <c r="AD2173" i="1"/>
  <c r="AD2167" i="1"/>
  <c r="AD2183" i="1"/>
  <c r="AD2166" i="1"/>
  <c r="AD2164" i="1"/>
  <c r="AD2150" i="1"/>
  <c r="Z2163" i="1"/>
  <c r="Z2140" i="1"/>
  <c r="Z2165" i="1"/>
  <c r="CU2163" i="1"/>
  <c r="X2163" i="1" s="1"/>
  <c r="CU2140" i="1"/>
  <c r="X2140" i="1" s="1"/>
  <c r="Z2158" i="1"/>
  <c r="Z2157" i="1"/>
  <c r="CU2165" i="1"/>
  <c r="X2165" i="1" s="1"/>
  <c r="CU2158" i="1"/>
  <c r="X2158" i="1" s="1"/>
  <c r="CU2162" i="1"/>
  <c r="X2162" i="1" s="1"/>
  <c r="Z2162" i="1"/>
  <c r="Z2161" i="1"/>
  <c r="Z2156" i="1"/>
  <c r="CU2161" i="1"/>
  <c r="X2161" i="1" s="1"/>
  <c r="CU2156" i="1"/>
  <c r="X2156" i="1" s="1"/>
  <c r="CU2157" i="1"/>
  <c r="X2157" i="1" s="1"/>
  <c r="AD2158" i="1" l="1"/>
  <c r="AD2140" i="1"/>
  <c r="AD2163" i="1"/>
  <c r="AD2165" i="1"/>
  <c r="AD2157" i="1"/>
  <c r="AD2156" i="1"/>
  <c r="AD2161" i="1"/>
  <c r="AD2162" i="1"/>
  <c r="DA1247" i="1"/>
  <c r="Y1247" i="1"/>
  <c r="CW1247" i="1"/>
  <c r="AA1247" i="1" s="1"/>
  <c r="CR1247" i="1"/>
  <c r="CP1247" i="1"/>
  <c r="CN1247" i="1"/>
  <c r="CJ1247" i="1"/>
  <c r="CH1247" i="1"/>
  <c r="CF1247" i="1"/>
  <c r="BL1247" i="1"/>
  <c r="BD1247" i="1"/>
  <c r="AZ1247" i="1"/>
  <c r="AX1247" i="1"/>
  <c r="DC1851" i="1"/>
  <c r="DA1851" i="1"/>
  <c r="CY1851" i="1"/>
  <c r="Y1851" i="1" s="1"/>
  <c r="CW1851" i="1"/>
  <c r="AA1851" i="1" s="1"/>
  <c r="CR1851" i="1"/>
  <c r="CP1851" i="1"/>
  <c r="CN1851" i="1"/>
  <c r="CJ1851" i="1"/>
  <c r="CH1851" i="1"/>
  <c r="CF1851" i="1"/>
  <c r="BL1851" i="1"/>
  <c r="BD1851" i="1"/>
  <c r="AZ1851" i="1"/>
  <c r="AX1851" i="1"/>
  <c r="DC2152" i="1"/>
  <c r="DA2152" i="1"/>
  <c r="CY2152" i="1"/>
  <c r="Y2152" i="1" s="1"/>
  <c r="CW2152" i="1"/>
  <c r="AA2152" i="1" s="1"/>
  <c r="CR2152" i="1"/>
  <c r="CP2152" i="1"/>
  <c r="CN2152" i="1"/>
  <c r="CJ2152" i="1"/>
  <c r="CH2152" i="1"/>
  <c r="CF2152" i="1"/>
  <c r="BL2152" i="1"/>
  <c r="BD2152" i="1"/>
  <c r="AZ2152" i="1"/>
  <c r="AX2152" i="1"/>
  <c r="DC2145" i="1"/>
  <c r="DA2145" i="1"/>
  <c r="CY2145" i="1"/>
  <c r="Y2145" i="1" s="1"/>
  <c r="CW2145" i="1"/>
  <c r="AA2145" i="1" s="1"/>
  <c r="CR2145" i="1"/>
  <c r="CP2145" i="1"/>
  <c r="CN2145" i="1"/>
  <c r="CJ2145" i="1"/>
  <c r="CH2145" i="1"/>
  <c r="CF2145" i="1"/>
  <c r="BL2145" i="1"/>
  <c r="BD2145" i="1"/>
  <c r="AZ2145" i="1"/>
  <c r="AX2145" i="1"/>
  <c r="DC2148" i="1"/>
  <c r="DA2148" i="1"/>
  <c r="CY2148" i="1"/>
  <c r="Y2148" i="1" s="1"/>
  <c r="CW2148" i="1"/>
  <c r="AA2148" i="1" s="1"/>
  <c r="CR2148" i="1"/>
  <c r="CP2148" i="1"/>
  <c r="CN2148" i="1"/>
  <c r="CJ2148" i="1"/>
  <c r="CH2148" i="1"/>
  <c r="CF2148" i="1"/>
  <c r="BL2148" i="1"/>
  <c r="BD2148" i="1"/>
  <c r="AZ2148" i="1"/>
  <c r="AX2148" i="1"/>
  <c r="CY2149" i="1"/>
  <c r="Y2149" i="1" s="1"/>
  <c r="CW2149" i="1"/>
  <c r="AA2149" i="1" s="1"/>
  <c r="CR2149" i="1"/>
  <c r="CP2149" i="1"/>
  <c r="CN2149" i="1"/>
  <c r="CJ2149" i="1"/>
  <c r="CH2149" i="1"/>
  <c r="CF2149" i="1"/>
  <c r="BL2149" i="1"/>
  <c r="BD2149" i="1"/>
  <c r="AZ2149" i="1"/>
  <c r="AX2149" i="1"/>
  <c r="Y2147" i="1"/>
  <c r="AA2147" i="1"/>
  <c r="CR2147" i="1"/>
  <c r="CN2147" i="1"/>
  <c r="CJ2147" i="1"/>
  <c r="CH2147" i="1"/>
  <c r="CF2147" i="1"/>
  <c r="BL2147" i="1"/>
  <c r="BD2147" i="1"/>
  <c r="AZ2147" i="1"/>
  <c r="AX2147" i="1"/>
  <c r="DC2146" i="1"/>
  <c r="DA2146" i="1"/>
  <c r="CY2146" i="1"/>
  <c r="Y2146" i="1" s="1"/>
  <c r="CW2146" i="1"/>
  <c r="AA2146" i="1" s="1"/>
  <c r="CR2146" i="1"/>
  <c r="CP2146" i="1"/>
  <c r="CN2146" i="1"/>
  <c r="CJ2146" i="1"/>
  <c r="CH2146" i="1"/>
  <c r="CF2146" i="1"/>
  <c r="BL2146" i="1"/>
  <c r="BD2146" i="1"/>
  <c r="AZ2146" i="1"/>
  <c r="AX2146" i="1"/>
  <c r="Z1247" i="1" l="1"/>
  <c r="CU1247" i="1"/>
  <c r="X1247" i="1" s="1"/>
  <c r="Z1851" i="1"/>
  <c r="Z2149" i="1"/>
  <c r="CU1851" i="1"/>
  <c r="X1851" i="1" s="1"/>
  <c r="CU2148" i="1"/>
  <c r="X2148" i="1" s="1"/>
  <c r="Z2147" i="1"/>
  <c r="Z2145" i="1"/>
  <c r="Z2146" i="1"/>
  <c r="Z2148" i="1"/>
  <c r="CU2146" i="1"/>
  <c r="X2146" i="1" s="1"/>
  <c r="CU2145" i="1"/>
  <c r="X2145" i="1" s="1"/>
  <c r="Z2152" i="1"/>
  <c r="CU2147" i="1"/>
  <c r="X2147" i="1" s="1"/>
  <c r="CU2152" i="1"/>
  <c r="X2152" i="1" s="1"/>
  <c r="CU2149" i="1"/>
  <c r="X2149" i="1" s="1"/>
  <c r="DC2159" i="1"/>
  <c r="DA2159" i="1"/>
  <c r="Y2159" i="1"/>
  <c r="CW2159" i="1"/>
  <c r="AA2159" i="1" s="1"/>
  <c r="CR2159" i="1"/>
  <c r="CP2159" i="1"/>
  <c r="CN2159" i="1"/>
  <c r="CJ2159" i="1"/>
  <c r="CH2159" i="1"/>
  <c r="CF2159" i="1"/>
  <c r="BL2159" i="1"/>
  <c r="BD2159" i="1"/>
  <c r="AZ2159" i="1"/>
  <c r="AX2159" i="1"/>
  <c r="DC2155" i="1"/>
  <c r="DA2155" i="1"/>
  <c r="CY2155" i="1"/>
  <c r="Y2155" i="1" s="1"/>
  <c r="CW2155" i="1"/>
  <c r="AA2155" i="1" s="1"/>
  <c r="CR2155" i="1"/>
  <c r="CP2155" i="1"/>
  <c r="CN2155" i="1"/>
  <c r="CJ2155" i="1"/>
  <c r="CH2155" i="1"/>
  <c r="CF2155" i="1"/>
  <c r="BL2155" i="1"/>
  <c r="BD2155" i="1"/>
  <c r="AZ2155" i="1"/>
  <c r="AX2155" i="1"/>
  <c r="DC2160" i="1"/>
  <c r="DA2160" i="1"/>
  <c r="CY2160" i="1"/>
  <c r="Y2160" i="1" s="1"/>
  <c r="CW2160" i="1"/>
  <c r="AA2160" i="1" s="1"/>
  <c r="CR2160" i="1"/>
  <c r="CP2160" i="1"/>
  <c r="CN2160" i="1"/>
  <c r="CJ2160" i="1"/>
  <c r="CH2160" i="1"/>
  <c r="CF2160" i="1"/>
  <c r="BL2160" i="1"/>
  <c r="BD2160" i="1"/>
  <c r="AZ2160" i="1"/>
  <c r="AX2160" i="1"/>
  <c r="DC2141" i="1"/>
  <c r="DA2141" i="1"/>
  <c r="CY2141" i="1"/>
  <c r="Y2141" i="1" s="1"/>
  <c r="CW2141" i="1"/>
  <c r="AA2141" i="1" s="1"/>
  <c r="CR2141" i="1"/>
  <c r="CP2141" i="1"/>
  <c r="CN2141" i="1"/>
  <c r="CJ2141" i="1"/>
  <c r="CH2141" i="1"/>
  <c r="CF2141" i="1"/>
  <c r="BL2141" i="1"/>
  <c r="BD2141" i="1"/>
  <c r="AZ2141" i="1"/>
  <c r="AX2141" i="1"/>
  <c r="DC2139" i="1"/>
  <c r="DA2139" i="1"/>
  <c r="CY2139" i="1"/>
  <c r="Y2139" i="1" s="1"/>
  <c r="CW2139" i="1"/>
  <c r="AA2139" i="1" s="1"/>
  <c r="CR2139" i="1"/>
  <c r="CP2139" i="1"/>
  <c r="CN2139" i="1"/>
  <c r="CJ2139" i="1"/>
  <c r="CH2139" i="1"/>
  <c r="CF2139" i="1"/>
  <c r="BL2139" i="1"/>
  <c r="BD2139" i="1"/>
  <c r="AZ2139" i="1"/>
  <c r="AX2139" i="1"/>
  <c r="DC2153" i="1"/>
  <c r="DA2153" i="1"/>
  <c r="CY2153" i="1"/>
  <c r="Y2153" i="1" s="1"/>
  <c r="CW2153" i="1"/>
  <c r="AA2153" i="1" s="1"/>
  <c r="CR2153" i="1"/>
  <c r="CP2153" i="1"/>
  <c r="CN2153" i="1"/>
  <c r="CJ2153" i="1"/>
  <c r="CH2153" i="1"/>
  <c r="CF2153" i="1"/>
  <c r="BL2153" i="1"/>
  <c r="BD2153" i="1"/>
  <c r="AZ2153" i="1"/>
  <c r="AX2153" i="1"/>
  <c r="DC1840" i="1"/>
  <c r="DA1840" i="1"/>
  <c r="CY1840" i="1"/>
  <c r="Y1840" i="1" s="1"/>
  <c r="CW1840" i="1"/>
  <c r="AA1840" i="1" s="1"/>
  <c r="CR1840" i="1"/>
  <c r="CP1840" i="1"/>
  <c r="CN1840" i="1"/>
  <c r="CJ1840" i="1"/>
  <c r="CH1840" i="1"/>
  <c r="CF1840" i="1"/>
  <c r="BL1840" i="1"/>
  <c r="BD1840" i="1"/>
  <c r="AZ1840" i="1"/>
  <c r="AX1840" i="1"/>
  <c r="DC1839" i="1"/>
  <c r="DA1839" i="1"/>
  <c r="CY1839" i="1"/>
  <c r="Y1839" i="1" s="1"/>
  <c r="CW1839" i="1"/>
  <c r="AA1839" i="1" s="1"/>
  <c r="CR1839" i="1"/>
  <c r="CP1839" i="1"/>
  <c r="CN1839" i="1"/>
  <c r="CJ1839" i="1"/>
  <c r="CH1839" i="1"/>
  <c r="CF1839" i="1"/>
  <c r="BL1839" i="1"/>
  <c r="BD1839" i="1"/>
  <c r="AZ1839" i="1"/>
  <c r="AX1839" i="1"/>
  <c r="DC2143" i="1"/>
  <c r="DA2143" i="1"/>
  <c r="CY2143" i="1"/>
  <c r="Y2143" i="1" s="1"/>
  <c r="CW2143" i="1"/>
  <c r="AA2143" i="1" s="1"/>
  <c r="CR2143" i="1"/>
  <c r="CP2143" i="1"/>
  <c r="CN2143" i="1"/>
  <c r="CJ2143" i="1"/>
  <c r="CH2143" i="1"/>
  <c r="CF2143" i="1"/>
  <c r="BL2143" i="1"/>
  <c r="BD2143" i="1"/>
  <c r="AZ2143" i="1"/>
  <c r="AX2143" i="1"/>
  <c r="DC2135" i="1"/>
  <c r="DA2135" i="1"/>
  <c r="CY2135" i="1"/>
  <c r="Y2135" i="1" s="1"/>
  <c r="CW2135" i="1"/>
  <c r="AA2135" i="1" s="1"/>
  <c r="CR2135" i="1"/>
  <c r="CP2135" i="1"/>
  <c r="CN2135" i="1"/>
  <c r="CJ2135" i="1"/>
  <c r="CH2135" i="1"/>
  <c r="CF2135" i="1"/>
  <c r="BL2135" i="1"/>
  <c r="BD2135" i="1"/>
  <c r="AZ2135" i="1"/>
  <c r="AX2135" i="1"/>
  <c r="DC2136" i="1"/>
  <c r="DA2136" i="1"/>
  <c r="CY2136" i="1"/>
  <c r="Y2136" i="1" s="1"/>
  <c r="CW2136" i="1"/>
  <c r="AA2136" i="1" s="1"/>
  <c r="CR2136" i="1"/>
  <c r="CP2136" i="1"/>
  <c r="CN2136" i="1"/>
  <c r="CJ2136" i="1"/>
  <c r="CH2136" i="1"/>
  <c r="CF2136" i="1"/>
  <c r="BL2136" i="1"/>
  <c r="BD2136" i="1"/>
  <c r="AZ2136" i="1"/>
  <c r="AX2136" i="1"/>
  <c r="DC2131" i="1"/>
  <c r="DA2131" i="1"/>
  <c r="CY2131" i="1"/>
  <c r="Y2131" i="1" s="1"/>
  <c r="CW2131" i="1"/>
  <c r="AA2131" i="1" s="1"/>
  <c r="CR2131" i="1"/>
  <c r="CP2131" i="1"/>
  <c r="CN2131" i="1"/>
  <c r="CJ2131" i="1"/>
  <c r="CH2131" i="1"/>
  <c r="CF2131" i="1"/>
  <c r="BL2131" i="1"/>
  <c r="BD2131" i="1"/>
  <c r="AZ2131" i="1"/>
  <c r="AX2131" i="1"/>
  <c r="DC2137" i="1"/>
  <c r="DA2137" i="1"/>
  <c r="CY2137" i="1"/>
  <c r="Y2137" i="1" s="1"/>
  <c r="CW2137" i="1"/>
  <c r="AA2137" i="1" s="1"/>
  <c r="CR2137" i="1"/>
  <c r="CP2137" i="1"/>
  <c r="CN2137" i="1"/>
  <c r="CJ2137" i="1"/>
  <c r="CH2137" i="1"/>
  <c r="CF2137" i="1"/>
  <c r="BL2137" i="1"/>
  <c r="BD2137" i="1"/>
  <c r="AZ2137" i="1"/>
  <c r="AX2137" i="1"/>
  <c r="AD2145" i="1" l="1"/>
  <c r="AD1851" i="1"/>
  <c r="Z2155" i="1"/>
  <c r="AD1247" i="1"/>
  <c r="AD2149" i="1"/>
  <c r="AD2148" i="1"/>
  <c r="AD2147" i="1"/>
  <c r="AD2152" i="1"/>
  <c r="AD2146" i="1"/>
  <c r="Z2160" i="1"/>
  <c r="Z2139" i="1"/>
  <c r="Z2141" i="1"/>
  <c r="Z2159" i="1"/>
  <c r="Z1840" i="1"/>
  <c r="Z2153" i="1"/>
  <c r="CU2141" i="1"/>
  <c r="X2141" i="1" s="1"/>
  <c r="Z1839" i="1"/>
  <c r="CU1839" i="1"/>
  <c r="X1839" i="1" s="1"/>
  <c r="CU2160" i="1"/>
  <c r="X2160" i="1" s="1"/>
  <c r="CU2155" i="1"/>
  <c r="X2155" i="1" s="1"/>
  <c r="CU1840" i="1"/>
  <c r="X1840" i="1" s="1"/>
  <c r="CU2139" i="1"/>
  <c r="X2139" i="1" s="1"/>
  <c r="CU2159" i="1"/>
  <c r="X2159" i="1" s="1"/>
  <c r="CU2153" i="1"/>
  <c r="X2153" i="1" s="1"/>
  <c r="Z2136" i="1"/>
  <c r="CU2131" i="1"/>
  <c r="X2131" i="1" s="1"/>
  <c r="Z2131" i="1"/>
  <c r="Z2143" i="1"/>
  <c r="Z2135" i="1"/>
  <c r="CU2143" i="1"/>
  <c r="X2143" i="1" s="1"/>
  <c r="Z2137" i="1"/>
  <c r="CU2136" i="1"/>
  <c r="X2136" i="1" s="1"/>
  <c r="CU2135" i="1"/>
  <c r="X2135" i="1" s="1"/>
  <c r="CU2137" i="1"/>
  <c r="X2137" i="1" s="1"/>
  <c r="AD2141" i="1" l="1"/>
  <c r="AD2160" i="1"/>
  <c r="AD2155" i="1"/>
  <c r="AD2135" i="1"/>
  <c r="AD1840" i="1"/>
  <c r="AD2159" i="1"/>
  <c r="AD2139" i="1"/>
  <c r="AD1839" i="1"/>
  <c r="AD2153" i="1"/>
  <c r="AD2143" i="1"/>
  <c r="AD2136" i="1"/>
  <c r="AD2131" i="1"/>
  <c r="AD2137" i="1"/>
  <c r="I1992" i="1" l="1"/>
  <c r="DC2184" i="1" l="1"/>
  <c r="DA2184" i="1"/>
  <c r="CY2184" i="1"/>
  <c r="Y2184" i="1" s="1"/>
  <c r="CW2184" i="1"/>
  <c r="AA2184" i="1" s="1"/>
  <c r="CR2184" i="1"/>
  <c r="CP2184" i="1"/>
  <c r="CN2184" i="1"/>
  <c r="CJ2184" i="1"/>
  <c r="CH2184" i="1"/>
  <c r="CF2184" i="1"/>
  <c r="BL2184" i="1"/>
  <c r="BD2184" i="1"/>
  <c r="AZ2184" i="1"/>
  <c r="AX2184" i="1"/>
  <c r="DC2172" i="1"/>
  <c r="DA2172" i="1"/>
  <c r="CY2172" i="1"/>
  <c r="Y2172" i="1" s="1"/>
  <c r="CW2172" i="1"/>
  <c r="AA2172" i="1" s="1"/>
  <c r="CR2172" i="1"/>
  <c r="CP2172" i="1"/>
  <c r="CN2172" i="1"/>
  <c r="CJ2172" i="1"/>
  <c r="CH2172" i="1"/>
  <c r="CF2172" i="1"/>
  <c r="BL2172" i="1"/>
  <c r="BD2172" i="1"/>
  <c r="AZ2172" i="1"/>
  <c r="AX2172" i="1"/>
  <c r="DC2142" i="1"/>
  <c r="DA2142" i="1"/>
  <c r="CY2142" i="1"/>
  <c r="Y2142" i="1" s="1"/>
  <c r="CW2142" i="1"/>
  <c r="AA2142" i="1" s="1"/>
  <c r="CR2142" i="1"/>
  <c r="CP2142" i="1"/>
  <c r="CN2142" i="1"/>
  <c r="CJ2142" i="1"/>
  <c r="CH2142" i="1"/>
  <c r="CF2142" i="1"/>
  <c r="BL2142" i="1"/>
  <c r="BD2142" i="1"/>
  <c r="AZ2142" i="1"/>
  <c r="AX2142" i="1"/>
  <c r="DC2129" i="1"/>
  <c r="DA2129" i="1"/>
  <c r="CY2129" i="1"/>
  <c r="Y2129" i="1" s="1"/>
  <c r="CW2129" i="1"/>
  <c r="AA2129" i="1" s="1"/>
  <c r="CR2129" i="1"/>
  <c r="CP2129" i="1"/>
  <c r="CN2129" i="1"/>
  <c r="CJ2129" i="1"/>
  <c r="CH2129" i="1"/>
  <c r="CF2129" i="1"/>
  <c r="BL2129" i="1"/>
  <c r="BD2129" i="1"/>
  <c r="AZ2129" i="1"/>
  <c r="AX2129" i="1"/>
  <c r="DC2134" i="1"/>
  <c r="DA2134" i="1"/>
  <c r="CY2134" i="1"/>
  <c r="Y2134" i="1" s="1"/>
  <c r="CW2134" i="1"/>
  <c r="AA2134" i="1" s="1"/>
  <c r="CR2134" i="1"/>
  <c r="CP2134" i="1"/>
  <c r="CN2134" i="1"/>
  <c r="CJ2134" i="1"/>
  <c r="CH2134" i="1"/>
  <c r="CF2134" i="1"/>
  <c r="BL2134" i="1"/>
  <c r="BD2134" i="1"/>
  <c r="AZ2134" i="1"/>
  <c r="AX2134" i="1"/>
  <c r="DC2119" i="1"/>
  <c r="DA2119" i="1"/>
  <c r="CY2119" i="1"/>
  <c r="Y2119" i="1" s="1"/>
  <c r="CW2119" i="1"/>
  <c r="AA2119" i="1" s="1"/>
  <c r="CR2119" i="1"/>
  <c r="CP2119" i="1"/>
  <c r="CN2119" i="1"/>
  <c r="CJ2119" i="1"/>
  <c r="CH2119" i="1"/>
  <c r="CF2119" i="1"/>
  <c r="BL2119" i="1"/>
  <c r="BD2119" i="1"/>
  <c r="AZ2119" i="1"/>
  <c r="AX2119" i="1"/>
  <c r="Z2172" i="1" l="1"/>
  <c r="Z2184" i="1"/>
  <c r="Z2129" i="1"/>
  <c r="CU2172" i="1"/>
  <c r="X2172" i="1" s="1"/>
  <c r="CU2184" i="1"/>
  <c r="X2184" i="1" s="1"/>
  <c r="Z2142" i="1"/>
  <c r="CU2142" i="1"/>
  <c r="X2142" i="1" s="1"/>
  <c r="Z2134" i="1"/>
  <c r="CU2119" i="1"/>
  <c r="X2119" i="1" s="1"/>
  <c r="Z2119" i="1"/>
  <c r="CU2134" i="1"/>
  <c r="X2134" i="1" s="1"/>
  <c r="CU2129" i="1"/>
  <c r="X2129" i="1" s="1"/>
  <c r="W1661" i="1"/>
  <c r="AD2172" i="1" l="1"/>
  <c r="AD2184" i="1"/>
  <c r="AD2134" i="1"/>
  <c r="AD2129" i="1"/>
  <c r="AD2142" i="1"/>
  <c r="AD2119" i="1"/>
  <c r="DC2105" i="1"/>
  <c r="DA2105" i="1"/>
  <c r="CY2105" i="1"/>
  <c r="Y2105" i="1" s="1"/>
  <c r="CW2105" i="1"/>
  <c r="AA2105" i="1" s="1"/>
  <c r="CR2105" i="1"/>
  <c r="CP2105" i="1"/>
  <c r="CN2105" i="1"/>
  <c r="CJ2105" i="1"/>
  <c r="CH2105" i="1"/>
  <c r="CF2105" i="1"/>
  <c r="BL2105" i="1"/>
  <c r="BD2105" i="1"/>
  <c r="AZ2105" i="1"/>
  <c r="AX2105" i="1"/>
  <c r="DC2126" i="1"/>
  <c r="DA2126" i="1"/>
  <c r="CY2126" i="1"/>
  <c r="Y2126" i="1" s="1"/>
  <c r="CW2126" i="1"/>
  <c r="AA2126" i="1" s="1"/>
  <c r="CR2126" i="1"/>
  <c r="CP2126" i="1"/>
  <c r="CN2126" i="1"/>
  <c r="CJ2126" i="1"/>
  <c r="CH2126" i="1"/>
  <c r="CF2126" i="1"/>
  <c r="BL2126" i="1"/>
  <c r="BD2126" i="1"/>
  <c r="AZ2126" i="1"/>
  <c r="AX2126" i="1"/>
  <c r="DC2104" i="1"/>
  <c r="DA2104" i="1"/>
  <c r="CY2104" i="1"/>
  <c r="Y2104" i="1" s="1"/>
  <c r="CW2104" i="1"/>
  <c r="AA2104" i="1" s="1"/>
  <c r="CR2104" i="1"/>
  <c r="CP2104" i="1"/>
  <c r="CN2104" i="1"/>
  <c r="CJ2104" i="1"/>
  <c r="CH2104" i="1"/>
  <c r="CF2104" i="1"/>
  <c r="BL2104" i="1"/>
  <c r="BD2104" i="1"/>
  <c r="AZ2104" i="1"/>
  <c r="AX2104" i="1"/>
  <c r="DC2127" i="1"/>
  <c r="DA2127" i="1"/>
  <c r="CY2127" i="1"/>
  <c r="Y2127" i="1" s="1"/>
  <c r="CW2127" i="1"/>
  <c r="AA2127" i="1" s="1"/>
  <c r="CR2127" i="1"/>
  <c r="CP2127" i="1"/>
  <c r="CN2127" i="1"/>
  <c r="CJ2127" i="1"/>
  <c r="CH2127" i="1"/>
  <c r="CF2127" i="1"/>
  <c r="BL2127" i="1"/>
  <c r="BD2127" i="1"/>
  <c r="AZ2127" i="1"/>
  <c r="AX2127" i="1"/>
  <c r="DC2121" i="1"/>
  <c r="DA2121" i="1"/>
  <c r="CY2121" i="1"/>
  <c r="Y2121" i="1" s="1"/>
  <c r="CW2121" i="1"/>
  <c r="AA2121" i="1" s="1"/>
  <c r="CR2121" i="1"/>
  <c r="CP2121" i="1"/>
  <c r="CN2121" i="1"/>
  <c r="CJ2121" i="1"/>
  <c r="CH2121" i="1"/>
  <c r="CF2121" i="1"/>
  <c r="BL2121" i="1"/>
  <c r="BD2121" i="1"/>
  <c r="AZ2121" i="1"/>
  <c r="AX2121" i="1"/>
  <c r="DC2122" i="1"/>
  <c r="DA2122" i="1"/>
  <c r="CY2122" i="1"/>
  <c r="Y2122" i="1" s="1"/>
  <c r="CW2122" i="1"/>
  <c r="AA2122" i="1" s="1"/>
  <c r="CR2122" i="1"/>
  <c r="CP2122" i="1"/>
  <c r="CN2122" i="1"/>
  <c r="CJ2122" i="1"/>
  <c r="CH2122" i="1"/>
  <c r="CF2122" i="1"/>
  <c r="BL2122" i="1"/>
  <c r="BD2122" i="1"/>
  <c r="AZ2122" i="1"/>
  <c r="AX2122" i="1"/>
  <c r="DC2123" i="1"/>
  <c r="DA2123" i="1"/>
  <c r="CY2123" i="1"/>
  <c r="Y2123" i="1" s="1"/>
  <c r="CW2123" i="1"/>
  <c r="AA2123" i="1" s="1"/>
  <c r="CR2123" i="1"/>
  <c r="CP2123" i="1"/>
  <c r="CN2123" i="1"/>
  <c r="CJ2123" i="1"/>
  <c r="CH2123" i="1"/>
  <c r="CF2123" i="1"/>
  <c r="BL2123" i="1"/>
  <c r="BD2123" i="1"/>
  <c r="AZ2123" i="1"/>
  <c r="AX2123" i="1"/>
  <c r="DC2125" i="1"/>
  <c r="DA2125" i="1"/>
  <c r="CY2125" i="1"/>
  <c r="Y2125" i="1" s="1"/>
  <c r="CW2125" i="1"/>
  <c r="AA2125" i="1" s="1"/>
  <c r="CR2125" i="1"/>
  <c r="CP2125" i="1"/>
  <c r="CN2125" i="1"/>
  <c r="CJ2125" i="1"/>
  <c r="CH2125" i="1"/>
  <c r="CF2125" i="1"/>
  <c r="BL2125" i="1"/>
  <c r="BD2125" i="1"/>
  <c r="AZ2125" i="1"/>
  <c r="AX2125" i="1"/>
  <c r="DC2124" i="1"/>
  <c r="DA2124" i="1"/>
  <c r="CY2124" i="1"/>
  <c r="Y2124" i="1" s="1"/>
  <c r="CW2124" i="1"/>
  <c r="AA2124" i="1" s="1"/>
  <c r="CR2124" i="1"/>
  <c r="CP2124" i="1"/>
  <c r="CN2124" i="1"/>
  <c r="CJ2124" i="1"/>
  <c r="CH2124" i="1"/>
  <c r="CF2124" i="1"/>
  <c r="BL2124" i="1"/>
  <c r="BD2124" i="1"/>
  <c r="AZ2124" i="1"/>
  <c r="AX2124" i="1"/>
  <c r="DC2113" i="1"/>
  <c r="DA2113" i="1"/>
  <c r="CY2113" i="1"/>
  <c r="Y2113" i="1" s="1"/>
  <c r="CW2113" i="1"/>
  <c r="AA2113" i="1" s="1"/>
  <c r="CR2113" i="1"/>
  <c r="CP2113" i="1"/>
  <c r="CN2113" i="1"/>
  <c r="CJ2113" i="1"/>
  <c r="CH2113" i="1"/>
  <c r="CF2113" i="1"/>
  <c r="BL2113" i="1"/>
  <c r="BD2113" i="1"/>
  <c r="AZ2113" i="1"/>
  <c r="AX2113" i="1"/>
  <c r="DA2120" i="1"/>
  <c r="CY2120" i="1"/>
  <c r="Y2120" i="1" s="1"/>
  <c r="CW2120" i="1"/>
  <c r="AA2120" i="1" s="1"/>
  <c r="CR2120" i="1"/>
  <c r="CP2120" i="1"/>
  <c r="CN2120" i="1"/>
  <c r="CH2120" i="1"/>
  <c r="CF2120" i="1"/>
  <c r="BL2120" i="1"/>
  <c r="BD2120" i="1"/>
  <c r="AX2120" i="1"/>
  <c r="DC2090" i="1"/>
  <c r="DA2090" i="1"/>
  <c r="CY2090" i="1"/>
  <c r="Y2090" i="1" s="1"/>
  <c r="CW2090" i="1"/>
  <c r="AA2090" i="1" s="1"/>
  <c r="CR2090" i="1"/>
  <c r="CP2090" i="1"/>
  <c r="CN2090" i="1"/>
  <c r="CJ2090" i="1"/>
  <c r="CH2090" i="1"/>
  <c r="CF2090" i="1"/>
  <c r="BL2090" i="1"/>
  <c r="BD2090" i="1"/>
  <c r="AZ2090" i="1"/>
  <c r="AX2090" i="1"/>
  <c r="DC2117" i="1"/>
  <c r="DA2117" i="1"/>
  <c r="CY2117" i="1"/>
  <c r="Y2117" i="1" s="1"/>
  <c r="CW2117" i="1"/>
  <c r="AA2117" i="1" s="1"/>
  <c r="CR2117" i="1"/>
  <c r="CP2117" i="1"/>
  <c r="CN2117" i="1"/>
  <c r="CJ2117" i="1"/>
  <c r="CH2117" i="1"/>
  <c r="CF2117" i="1"/>
  <c r="BL2117" i="1"/>
  <c r="BD2117" i="1"/>
  <c r="AZ2117" i="1"/>
  <c r="AX2117" i="1"/>
  <c r="DC2111" i="1"/>
  <c r="DA2111" i="1"/>
  <c r="CY2111" i="1"/>
  <c r="Y2111" i="1" s="1"/>
  <c r="CW2111" i="1"/>
  <c r="AA2111" i="1" s="1"/>
  <c r="CR2111" i="1"/>
  <c r="CP2111" i="1"/>
  <c r="CN2111" i="1"/>
  <c r="CJ2111" i="1"/>
  <c r="CH2111" i="1"/>
  <c r="CF2111" i="1"/>
  <c r="BL2111" i="1"/>
  <c r="BD2111" i="1"/>
  <c r="AZ2111" i="1"/>
  <c r="AX2111" i="1"/>
  <c r="DC2115" i="1"/>
  <c r="DA2115" i="1"/>
  <c r="CY2115" i="1"/>
  <c r="Y2115" i="1" s="1"/>
  <c r="CW2115" i="1"/>
  <c r="AA2115" i="1" s="1"/>
  <c r="CR2115" i="1"/>
  <c r="CP2115" i="1"/>
  <c r="CN2115" i="1"/>
  <c r="CJ2115" i="1"/>
  <c r="CH2115" i="1"/>
  <c r="CF2115" i="1"/>
  <c r="BL2115" i="1"/>
  <c r="BD2115" i="1"/>
  <c r="AZ2115" i="1"/>
  <c r="AX2115" i="1"/>
  <c r="DC2110" i="1"/>
  <c r="DA2110" i="1"/>
  <c r="CY2110" i="1"/>
  <c r="Y2110" i="1" s="1"/>
  <c r="CW2110" i="1"/>
  <c r="AA2110" i="1" s="1"/>
  <c r="CR2110" i="1"/>
  <c r="CP2110" i="1"/>
  <c r="CN2110" i="1"/>
  <c r="CJ2110" i="1"/>
  <c r="CH2110" i="1"/>
  <c r="CF2110" i="1"/>
  <c r="BL2110" i="1"/>
  <c r="BD2110" i="1"/>
  <c r="AZ2110" i="1"/>
  <c r="AX2110" i="1"/>
  <c r="DC2118" i="1"/>
  <c r="DA2118" i="1"/>
  <c r="CY2118" i="1"/>
  <c r="Y2118" i="1" s="1"/>
  <c r="CW2118" i="1"/>
  <c r="AA2118" i="1" s="1"/>
  <c r="CR2118" i="1"/>
  <c r="CP2118" i="1"/>
  <c r="CN2118" i="1"/>
  <c r="CJ2118" i="1"/>
  <c r="CH2118" i="1"/>
  <c r="CF2118" i="1"/>
  <c r="BL2118" i="1"/>
  <c r="BD2118" i="1"/>
  <c r="AZ2118" i="1"/>
  <c r="AX2118" i="1"/>
  <c r="Z2104" i="1" l="1"/>
  <c r="Z2125" i="1"/>
  <c r="Z2127" i="1"/>
  <c r="Z2111" i="1"/>
  <c r="Z2117" i="1"/>
  <c r="CU2113" i="1"/>
  <c r="X2113" i="1" s="1"/>
  <c r="Z2113" i="1"/>
  <c r="Z2118" i="1"/>
  <c r="Z2124" i="1"/>
  <c r="Z2121" i="1"/>
  <c r="Z2090" i="1"/>
  <c r="Z2110" i="1"/>
  <c r="Z2120" i="1"/>
  <c r="CU2122" i="1"/>
  <c r="X2122" i="1" s="1"/>
  <c r="Z2122" i="1"/>
  <c r="CU2111" i="1"/>
  <c r="X2111" i="1" s="1"/>
  <c r="CU2115" i="1"/>
  <c r="X2115" i="1" s="1"/>
  <c r="Z2115" i="1"/>
  <c r="CU2126" i="1"/>
  <c r="X2126" i="1" s="1"/>
  <c r="Z2126" i="1"/>
  <c r="CU2118" i="1"/>
  <c r="X2118" i="1" s="1"/>
  <c r="CU2117" i="1"/>
  <c r="X2117" i="1" s="1"/>
  <c r="CU2110" i="1"/>
  <c r="X2110" i="1" s="1"/>
  <c r="CU2090" i="1"/>
  <c r="X2090" i="1" s="1"/>
  <c r="CU2125" i="1"/>
  <c r="X2125" i="1" s="1"/>
  <c r="CU2123" i="1"/>
  <c r="X2123" i="1" s="1"/>
  <c r="Z2123" i="1"/>
  <c r="CU2127" i="1"/>
  <c r="X2127" i="1" s="1"/>
  <c r="CU2105" i="1"/>
  <c r="X2105" i="1" s="1"/>
  <c r="CU2120" i="1"/>
  <c r="X2120" i="1" s="1"/>
  <c r="CU2104" i="1"/>
  <c r="X2104" i="1" s="1"/>
  <c r="CU2124" i="1"/>
  <c r="X2124" i="1" s="1"/>
  <c r="CU2121" i="1"/>
  <c r="X2121" i="1" s="1"/>
  <c r="Z2105" i="1"/>
  <c r="DB1274" i="1"/>
  <c r="DC2130" i="1"/>
  <c r="DA2130" i="1"/>
  <c r="CY2130" i="1"/>
  <c r="Y2130" i="1" s="1"/>
  <c r="CW2130" i="1"/>
  <c r="AA2130" i="1" s="1"/>
  <c r="CR2130" i="1"/>
  <c r="CP2130" i="1"/>
  <c r="CN2130" i="1"/>
  <c r="CJ2130" i="1"/>
  <c r="CH2130" i="1"/>
  <c r="CF2130" i="1"/>
  <c r="BL2130" i="1"/>
  <c r="BD2130" i="1"/>
  <c r="AZ2130" i="1"/>
  <c r="AX2130" i="1"/>
  <c r="DC2128" i="1"/>
  <c r="DA2128" i="1"/>
  <c r="CY2128" i="1"/>
  <c r="Y2128" i="1" s="1"/>
  <c r="CW2128" i="1"/>
  <c r="AA2128" i="1" s="1"/>
  <c r="CR2128" i="1"/>
  <c r="CP2128" i="1"/>
  <c r="CN2128" i="1"/>
  <c r="CJ2128" i="1"/>
  <c r="CH2128" i="1"/>
  <c r="CF2128" i="1"/>
  <c r="BL2128" i="1"/>
  <c r="BD2128" i="1"/>
  <c r="AZ2128" i="1"/>
  <c r="AX2128" i="1"/>
  <c r="DC2132" i="1"/>
  <c r="DA2132" i="1"/>
  <c r="CY2132" i="1"/>
  <c r="Y2132" i="1" s="1"/>
  <c r="CW2132" i="1"/>
  <c r="AA2132" i="1" s="1"/>
  <c r="CR2132" i="1"/>
  <c r="CP2132" i="1"/>
  <c r="CN2132" i="1"/>
  <c r="CJ2132" i="1"/>
  <c r="CH2132" i="1"/>
  <c r="CF2132" i="1"/>
  <c r="BL2132" i="1"/>
  <c r="BD2132" i="1"/>
  <c r="AZ2132" i="1"/>
  <c r="AX2132" i="1"/>
  <c r="DC1996" i="1"/>
  <c r="DA1996" i="1"/>
  <c r="Y1996" i="1"/>
  <c r="AA1996" i="1"/>
  <c r="CR1996" i="1"/>
  <c r="CP1996" i="1"/>
  <c r="CN1996" i="1"/>
  <c r="CJ1996" i="1"/>
  <c r="CH1996" i="1"/>
  <c r="CF1996" i="1"/>
  <c r="BL1996" i="1"/>
  <c r="BD1996" i="1"/>
  <c r="AZ1996" i="1"/>
  <c r="AX1996" i="1"/>
  <c r="DC2108" i="1"/>
  <c r="DA2108" i="1"/>
  <c r="CY2108" i="1"/>
  <c r="Y2108" i="1" s="1"/>
  <c r="CW2108" i="1"/>
  <c r="AA2108" i="1" s="1"/>
  <c r="CR2108" i="1"/>
  <c r="CP2108" i="1"/>
  <c r="CN2108" i="1"/>
  <c r="CJ2108" i="1"/>
  <c r="CH2108" i="1"/>
  <c r="CF2108" i="1"/>
  <c r="BL2108" i="1"/>
  <c r="BD2108" i="1"/>
  <c r="AZ2108" i="1"/>
  <c r="AX2108" i="1"/>
  <c r="AD2104" i="1" l="1"/>
  <c r="AD2111" i="1"/>
  <c r="AD2125" i="1"/>
  <c r="AD2127" i="1"/>
  <c r="AD2118" i="1"/>
  <c r="AD2117" i="1"/>
  <c r="AD2122" i="1"/>
  <c r="AD2110" i="1"/>
  <c r="AD2113" i="1"/>
  <c r="AD2121" i="1"/>
  <c r="AD2090" i="1"/>
  <c r="AD2115" i="1"/>
  <c r="AD2126" i="1"/>
  <c r="AD2124" i="1"/>
  <c r="AD2105" i="1"/>
  <c r="AD2120" i="1"/>
  <c r="AD2123" i="1"/>
  <c r="Z1996" i="1"/>
  <c r="Z2130" i="1"/>
  <c r="Z2132" i="1"/>
  <c r="CU2108" i="1"/>
  <c r="X2108" i="1" s="1"/>
  <c r="Z2108" i="1"/>
  <c r="CU2128" i="1"/>
  <c r="X2128" i="1" s="1"/>
  <c r="Z2128" i="1"/>
  <c r="CU2130" i="1"/>
  <c r="X2130" i="1" s="1"/>
  <c r="CU1996" i="1"/>
  <c r="X1996" i="1" s="1"/>
  <c r="CU2132" i="1"/>
  <c r="X2132" i="1" s="1"/>
  <c r="W851" i="1"/>
  <c r="AD2130" i="1" l="1"/>
  <c r="AD1996" i="1"/>
  <c r="AD2128" i="1"/>
  <c r="AD2132" i="1"/>
  <c r="AD2108" i="1"/>
  <c r="DC2109" i="1" l="1"/>
  <c r="DA2109" i="1"/>
  <c r="CY2109" i="1"/>
  <c r="Y2109" i="1" s="1"/>
  <c r="CW2109" i="1"/>
  <c r="AA2109" i="1" s="1"/>
  <c r="CR2109" i="1"/>
  <c r="CP2109" i="1"/>
  <c r="CN2109" i="1"/>
  <c r="CJ2109" i="1"/>
  <c r="CH2109" i="1"/>
  <c r="CF2109" i="1"/>
  <c r="BL2109" i="1"/>
  <c r="BD2109" i="1"/>
  <c r="AZ2109" i="1"/>
  <c r="AX2109" i="1"/>
  <c r="DC2112" i="1"/>
  <c r="DA2112" i="1"/>
  <c r="CY2112" i="1"/>
  <c r="Y2112" i="1" s="1"/>
  <c r="CW2112" i="1"/>
  <c r="AA2112" i="1" s="1"/>
  <c r="CR2112" i="1"/>
  <c r="CP2112" i="1"/>
  <c r="CN2112" i="1"/>
  <c r="CJ2112" i="1"/>
  <c r="CH2112" i="1"/>
  <c r="CF2112" i="1"/>
  <c r="BL2112" i="1"/>
  <c r="BD2112" i="1"/>
  <c r="AZ2112" i="1"/>
  <c r="AX2112" i="1"/>
  <c r="DC2114" i="1"/>
  <c r="DA2114" i="1"/>
  <c r="CY2114" i="1"/>
  <c r="Y2114" i="1" s="1"/>
  <c r="CW2114" i="1"/>
  <c r="AA2114" i="1" s="1"/>
  <c r="CR2114" i="1"/>
  <c r="CP2114" i="1"/>
  <c r="CN2114" i="1"/>
  <c r="CJ2114" i="1"/>
  <c r="CH2114" i="1"/>
  <c r="CF2114" i="1"/>
  <c r="BL2114" i="1"/>
  <c r="BD2114" i="1"/>
  <c r="AZ2114" i="1"/>
  <c r="AX2114" i="1"/>
  <c r="DC2107" i="1"/>
  <c r="DA2107" i="1"/>
  <c r="CY2107" i="1"/>
  <c r="Y2107" i="1" s="1"/>
  <c r="CW2107" i="1"/>
  <c r="AA2107" i="1" s="1"/>
  <c r="CR2107" i="1"/>
  <c r="CP2107" i="1"/>
  <c r="CN2107" i="1"/>
  <c r="CJ2107" i="1"/>
  <c r="CH2107" i="1"/>
  <c r="CF2107" i="1"/>
  <c r="BL2107" i="1"/>
  <c r="BD2107" i="1"/>
  <c r="AZ2107" i="1"/>
  <c r="AX2107" i="1"/>
  <c r="DC2102" i="1"/>
  <c r="DA2102" i="1"/>
  <c r="CY2102" i="1"/>
  <c r="Y2102" i="1" s="1"/>
  <c r="CW2102" i="1"/>
  <c r="AA2102" i="1" s="1"/>
  <c r="CR2102" i="1"/>
  <c r="CP2102" i="1"/>
  <c r="CN2102" i="1"/>
  <c r="CJ2102" i="1"/>
  <c r="CH2102" i="1"/>
  <c r="CF2102" i="1"/>
  <c r="BL2102" i="1"/>
  <c r="BD2102" i="1"/>
  <c r="AZ2102" i="1"/>
  <c r="AX2102" i="1"/>
  <c r="DC2099" i="1"/>
  <c r="DA2099" i="1"/>
  <c r="CY2099" i="1"/>
  <c r="Y2099" i="1" s="1"/>
  <c r="CW2099" i="1"/>
  <c r="AA2099" i="1" s="1"/>
  <c r="CR2099" i="1"/>
  <c r="CP2099" i="1"/>
  <c r="CN2099" i="1"/>
  <c r="CJ2099" i="1"/>
  <c r="CH2099" i="1"/>
  <c r="CF2099" i="1"/>
  <c r="BL2099" i="1"/>
  <c r="BD2099" i="1"/>
  <c r="AZ2099" i="1"/>
  <c r="AX2099" i="1"/>
  <c r="Z2099" i="1" l="1"/>
  <c r="Z2107" i="1"/>
  <c r="Z2112" i="1"/>
  <c r="Z2102" i="1"/>
  <c r="Z2114" i="1"/>
  <c r="CU2114" i="1"/>
  <c r="X2114" i="1" s="1"/>
  <c r="Z2109" i="1"/>
  <c r="CU2099" i="1"/>
  <c r="X2099" i="1" s="1"/>
  <c r="CU2102" i="1"/>
  <c r="X2102" i="1" s="1"/>
  <c r="CU2112" i="1"/>
  <c r="X2112" i="1" s="1"/>
  <c r="CU2107" i="1"/>
  <c r="X2107" i="1" s="1"/>
  <c r="CU2109" i="1"/>
  <c r="X2109" i="1" s="1"/>
  <c r="AB806" i="1"/>
  <c r="AB805" i="1"/>
  <c r="AB804" i="1"/>
  <c r="AB802" i="1"/>
  <c r="AB803" i="1"/>
  <c r="AB801" i="1"/>
  <c r="AD2112" i="1" l="1"/>
  <c r="AD2109" i="1"/>
  <c r="AD2102" i="1"/>
  <c r="AD2114" i="1"/>
  <c r="AD2107" i="1"/>
  <c r="AD2099" i="1"/>
  <c r="DC2116" i="1"/>
  <c r="DA2116" i="1"/>
  <c r="CY2116" i="1"/>
  <c r="Y2116" i="1" s="1"/>
  <c r="CW2116" i="1"/>
  <c r="AA2116" i="1" s="1"/>
  <c r="CR2116" i="1"/>
  <c r="CP2116" i="1"/>
  <c r="CN2116" i="1"/>
  <c r="CJ2116" i="1"/>
  <c r="CH2116" i="1"/>
  <c r="CF2116" i="1"/>
  <c r="BL2116" i="1"/>
  <c r="BD2116" i="1"/>
  <c r="AZ2116" i="1"/>
  <c r="AX2116" i="1"/>
  <c r="DC2106" i="1"/>
  <c r="DA2106" i="1"/>
  <c r="CY2106" i="1"/>
  <c r="Y2106" i="1" s="1"/>
  <c r="CW2106" i="1"/>
  <c r="AA2106" i="1" s="1"/>
  <c r="CR2106" i="1"/>
  <c r="CP2106" i="1"/>
  <c r="CN2106" i="1"/>
  <c r="CJ2106" i="1"/>
  <c r="CH2106" i="1"/>
  <c r="CF2106" i="1"/>
  <c r="BL2106" i="1"/>
  <c r="BD2106" i="1"/>
  <c r="AZ2106" i="1"/>
  <c r="AX2106" i="1"/>
  <c r="DC2101" i="1"/>
  <c r="DA2101" i="1"/>
  <c r="CY2101" i="1"/>
  <c r="Y2101" i="1" s="1"/>
  <c r="CW2101" i="1"/>
  <c r="AA2101" i="1" s="1"/>
  <c r="CR2101" i="1"/>
  <c r="CP2101" i="1"/>
  <c r="CN2101" i="1"/>
  <c r="CJ2101" i="1"/>
  <c r="CH2101" i="1"/>
  <c r="CF2101" i="1"/>
  <c r="BL2101" i="1"/>
  <c r="BD2101" i="1"/>
  <c r="AZ2101" i="1"/>
  <c r="AX2101" i="1"/>
  <c r="DC2103" i="1"/>
  <c r="DA2103" i="1"/>
  <c r="CY2103" i="1"/>
  <c r="Y2103" i="1" s="1"/>
  <c r="CW2103" i="1"/>
  <c r="AA2103" i="1" s="1"/>
  <c r="CR2103" i="1"/>
  <c r="CP2103" i="1"/>
  <c r="CN2103" i="1"/>
  <c r="CJ2103" i="1"/>
  <c r="CH2103" i="1"/>
  <c r="CF2103" i="1"/>
  <c r="BL2103" i="1"/>
  <c r="BD2103" i="1"/>
  <c r="AZ2103" i="1"/>
  <c r="AX2103" i="1"/>
  <c r="DC2100" i="1"/>
  <c r="DA2100" i="1"/>
  <c r="CY2100" i="1"/>
  <c r="Y2100" i="1" s="1"/>
  <c r="CW2100" i="1"/>
  <c r="AA2100" i="1" s="1"/>
  <c r="CR2100" i="1"/>
  <c r="CP2100" i="1"/>
  <c r="CN2100" i="1"/>
  <c r="CJ2100" i="1"/>
  <c r="CH2100" i="1"/>
  <c r="CF2100" i="1"/>
  <c r="BL2100" i="1"/>
  <c r="BD2100" i="1"/>
  <c r="AZ2100" i="1"/>
  <c r="AX2100" i="1"/>
  <c r="DC2098" i="1"/>
  <c r="DA2098" i="1"/>
  <c r="CY2098" i="1"/>
  <c r="Y2098" i="1" s="1"/>
  <c r="CW2098" i="1"/>
  <c r="AA2098" i="1" s="1"/>
  <c r="CR2098" i="1"/>
  <c r="CP2098" i="1"/>
  <c r="CN2098" i="1"/>
  <c r="CJ2098" i="1"/>
  <c r="CH2098" i="1"/>
  <c r="CF2098" i="1"/>
  <c r="BL2098" i="1"/>
  <c r="BD2098" i="1"/>
  <c r="AZ2098" i="1"/>
  <c r="AX2098" i="1"/>
  <c r="DC2096" i="1"/>
  <c r="DA2096" i="1"/>
  <c r="CY2096" i="1"/>
  <c r="Y2096" i="1" s="1"/>
  <c r="CW2096" i="1"/>
  <c r="AA2096" i="1" s="1"/>
  <c r="CR2096" i="1"/>
  <c r="CP2096" i="1"/>
  <c r="CN2096" i="1"/>
  <c r="CJ2096" i="1"/>
  <c r="CH2096" i="1"/>
  <c r="CF2096" i="1"/>
  <c r="BL2096" i="1"/>
  <c r="BD2096" i="1"/>
  <c r="AZ2096" i="1"/>
  <c r="AX2096" i="1"/>
  <c r="DC2093" i="1"/>
  <c r="DA2093" i="1"/>
  <c r="CY2093" i="1"/>
  <c r="Y2093" i="1" s="1"/>
  <c r="CW2093" i="1"/>
  <c r="AA2093" i="1" s="1"/>
  <c r="CR2093" i="1"/>
  <c r="CP2093" i="1"/>
  <c r="CN2093" i="1"/>
  <c r="CJ2093" i="1"/>
  <c r="CH2093" i="1"/>
  <c r="CF2093" i="1"/>
  <c r="BL2093" i="1"/>
  <c r="BD2093" i="1"/>
  <c r="AZ2093" i="1"/>
  <c r="AX2093" i="1"/>
  <c r="DC2091" i="1"/>
  <c r="DA2091" i="1"/>
  <c r="CY2091" i="1"/>
  <c r="Y2091" i="1" s="1"/>
  <c r="CW2091" i="1"/>
  <c r="AA2091" i="1" s="1"/>
  <c r="CR2091" i="1"/>
  <c r="CP2091" i="1"/>
  <c r="CN2091" i="1"/>
  <c r="CJ2091" i="1"/>
  <c r="CH2091" i="1"/>
  <c r="CF2091" i="1"/>
  <c r="BL2091" i="1"/>
  <c r="BD2091" i="1"/>
  <c r="AZ2091" i="1"/>
  <c r="AX2091" i="1"/>
  <c r="DC2095" i="1"/>
  <c r="DA2095" i="1"/>
  <c r="CY2095" i="1"/>
  <c r="Y2095" i="1" s="1"/>
  <c r="CW2095" i="1"/>
  <c r="AA2095" i="1" s="1"/>
  <c r="CR2095" i="1"/>
  <c r="CP2095" i="1"/>
  <c r="CN2095" i="1"/>
  <c r="CJ2095" i="1"/>
  <c r="CH2095" i="1"/>
  <c r="CF2095" i="1"/>
  <c r="BL2095" i="1"/>
  <c r="BD2095" i="1"/>
  <c r="AZ2095" i="1"/>
  <c r="AX2095" i="1"/>
  <c r="Z2095" i="1" l="1"/>
  <c r="Z2093" i="1"/>
  <c r="Z2103" i="1"/>
  <c r="Z2106" i="1"/>
  <c r="Z2091" i="1"/>
  <c r="Z2100" i="1"/>
  <c r="Z2116" i="1"/>
  <c r="Z2098" i="1"/>
  <c r="CU2106" i="1"/>
  <c r="X2106" i="1" s="1"/>
  <c r="Z2096" i="1"/>
  <c r="Z2101" i="1"/>
  <c r="CU2095" i="1"/>
  <c r="X2095" i="1" s="1"/>
  <c r="CU2098" i="1"/>
  <c r="X2098" i="1" s="1"/>
  <c r="CU2096" i="1"/>
  <c r="X2096" i="1" s="1"/>
  <c r="CU2101" i="1"/>
  <c r="X2101" i="1" s="1"/>
  <c r="CU2091" i="1"/>
  <c r="X2091" i="1" s="1"/>
  <c r="CU2100" i="1"/>
  <c r="X2100" i="1" s="1"/>
  <c r="CU2116" i="1"/>
  <c r="X2116" i="1" s="1"/>
  <c r="CU2093" i="1"/>
  <c r="X2093" i="1" s="1"/>
  <c r="CU2103" i="1"/>
  <c r="X2103" i="1" s="1"/>
  <c r="AD2095" i="1" l="1"/>
  <c r="AD2103" i="1"/>
  <c r="AD2093" i="1"/>
  <c r="AD2116" i="1"/>
  <c r="AD2098" i="1"/>
  <c r="AD2106" i="1"/>
  <c r="AD2100" i="1"/>
  <c r="AD2091" i="1"/>
  <c r="AD2101" i="1"/>
  <c r="AD2096" i="1"/>
  <c r="DC2133" i="1" l="1"/>
  <c r="DA2133" i="1"/>
  <c r="CY2133" i="1"/>
  <c r="Y2133" i="1" s="1"/>
  <c r="CW2133" i="1"/>
  <c r="AA2133" i="1" s="1"/>
  <c r="CR2133" i="1"/>
  <c r="CP2133" i="1"/>
  <c r="CN2133" i="1"/>
  <c r="CJ2133" i="1"/>
  <c r="CH2133" i="1"/>
  <c r="CF2133" i="1"/>
  <c r="BL2133" i="1"/>
  <c r="BD2133" i="1"/>
  <c r="AZ2133" i="1"/>
  <c r="AX2133" i="1"/>
  <c r="CY1493" i="1"/>
  <c r="Y1493" i="1" s="1"/>
  <c r="CW1493" i="1"/>
  <c r="AA1493" i="1" s="1"/>
  <c r="CR1493" i="1"/>
  <c r="CP1493" i="1"/>
  <c r="CN1493" i="1"/>
  <c r="CJ1493" i="1"/>
  <c r="CH1493" i="1"/>
  <c r="CF1493" i="1"/>
  <c r="BL1493" i="1"/>
  <c r="BD1493" i="1"/>
  <c r="AZ1493" i="1"/>
  <c r="AX1493" i="1"/>
  <c r="Y1878" i="1"/>
  <c r="CW1878" i="1"/>
  <c r="AA1878" i="1" s="1"/>
  <c r="CR1878" i="1"/>
  <c r="CP1878" i="1"/>
  <c r="CN1878" i="1"/>
  <c r="CH1878" i="1"/>
  <c r="CF1878" i="1"/>
  <c r="BL1878" i="1"/>
  <c r="BD1878" i="1"/>
  <c r="AX1878" i="1"/>
  <c r="DC2097" i="1"/>
  <c r="DA2097" i="1"/>
  <c r="CY2097" i="1"/>
  <c r="Y2097" i="1" s="1"/>
  <c r="CW2097" i="1"/>
  <c r="AA2097" i="1" s="1"/>
  <c r="CR2097" i="1"/>
  <c r="CP2097" i="1"/>
  <c r="CN2097" i="1"/>
  <c r="CJ2097" i="1"/>
  <c r="CH2097" i="1"/>
  <c r="CF2097" i="1"/>
  <c r="BL2097" i="1"/>
  <c r="BD2097" i="1"/>
  <c r="AZ2097" i="1"/>
  <c r="AX2097" i="1"/>
  <c r="DC2092" i="1"/>
  <c r="DA2092" i="1"/>
  <c r="CY2092" i="1"/>
  <c r="Y2092" i="1" s="1"/>
  <c r="CW2092" i="1"/>
  <c r="AA2092" i="1" s="1"/>
  <c r="CR2092" i="1"/>
  <c r="CP2092" i="1"/>
  <c r="CN2092" i="1"/>
  <c r="CJ2092" i="1"/>
  <c r="CH2092" i="1"/>
  <c r="CF2092" i="1"/>
  <c r="BL2092" i="1"/>
  <c r="BD2092" i="1"/>
  <c r="AZ2092" i="1"/>
  <c r="AX2092" i="1"/>
  <c r="DC2094" i="1"/>
  <c r="DA2094" i="1"/>
  <c r="CY2094" i="1"/>
  <c r="Y2094" i="1" s="1"/>
  <c r="CW2094" i="1"/>
  <c r="AA2094" i="1" s="1"/>
  <c r="CR2094" i="1"/>
  <c r="CP2094" i="1"/>
  <c r="CN2094" i="1"/>
  <c r="CJ2094" i="1"/>
  <c r="CH2094" i="1"/>
  <c r="CF2094" i="1"/>
  <c r="BL2094" i="1"/>
  <c r="BD2094" i="1"/>
  <c r="AZ2094" i="1"/>
  <c r="AX2094" i="1"/>
  <c r="DC2089" i="1"/>
  <c r="DA2089" i="1"/>
  <c r="CY2089" i="1"/>
  <c r="Y2089" i="1" s="1"/>
  <c r="CW2089" i="1"/>
  <c r="AA2089" i="1" s="1"/>
  <c r="CR2089" i="1"/>
  <c r="CP2089" i="1"/>
  <c r="CN2089" i="1"/>
  <c r="CJ2089" i="1"/>
  <c r="CH2089" i="1"/>
  <c r="CF2089" i="1"/>
  <c r="BL2089" i="1"/>
  <c r="BD2089" i="1"/>
  <c r="AZ2089" i="1"/>
  <c r="AX2089" i="1"/>
  <c r="DC2028" i="1"/>
  <c r="DA2028" i="1"/>
  <c r="CY2028" i="1"/>
  <c r="Y2028" i="1" s="1"/>
  <c r="CW2028" i="1"/>
  <c r="AA2028" i="1" s="1"/>
  <c r="CR2028" i="1"/>
  <c r="CP2028" i="1"/>
  <c r="CN2028" i="1"/>
  <c r="CJ2028" i="1"/>
  <c r="CH2028" i="1"/>
  <c r="CF2028" i="1"/>
  <c r="BL2028" i="1"/>
  <c r="BD2028" i="1"/>
  <c r="AZ2028" i="1"/>
  <c r="AX2028" i="1"/>
  <c r="DC2087" i="1"/>
  <c r="DA2087" i="1"/>
  <c r="CY2087" i="1"/>
  <c r="Y2087" i="1" s="1"/>
  <c r="CW2087" i="1"/>
  <c r="AA2087" i="1" s="1"/>
  <c r="CR2087" i="1"/>
  <c r="CP2087" i="1"/>
  <c r="CN2087" i="1"/>
  <c r="CJ2087" i="1"/>
  <c r="CH2087" i="1"/>
  <c r="CF2087" i="1"/>
  <c r="BL2087" i="1"/>
  <c r="BD2087" i="1"/>
  <c r="AZ2087" i="1"/>
  <c r="AX2087" i="1"/>
  <c r="DC2085" i="1"/>
  <c r="DA2085" i="1"/>
  <c r="CY2085" i="1"/>
  <c r="Y2085" i="1" s="1"/>
  <c r="CW2085" i="1"/>
  <c r="AA2085" i="1" s="1"/>
  <c r="CR2085" i="1"/>
  <c r="CP2085" i="1"/>
  <c r="CN2085" i="1"/>
  <c r="CJ2085" i="1"/>
  <c r="CH2085" i="1"/>
  <c r="CF2085" i="1"/>
  <c r="BL2085" i="1"/>
  <c r="BD2085" i="1"/>
  <c r="AZ2085" i="1"/>
  <c r="AX2085" i="1"/>
  <c r="DC2086" i="1"/>
  <c r="DA2086" i="1"/>
  <c r="CY2086" i="1"/>
  <c r="Y2086" i="1" s="1"/>
  <c r="CW2086" i="1"/>
  <c r="AA2086" i="1" s="1"/>
  <c r="CR2086" i="1"/>
  <c r="CP2086" i="1"/>
  <c r="CN2086" i="1"/>
  <c r="CJ2086" i="1"/>
  <c r="CH2086" i="1"/>
  <c r="CF2086" i="1"/>
  <c r="BL2086" i="1"/>
  <c r="BD2086" i="1"/>
  <c r="AZ2086" i="1"/>
  <c r="AX2086" i="1"/>
  <c r="DC2088" i="1"/>
  <c r="DA2088" i="1"/>
  <c r="CY2088" i="1"/>
  <c r="Y2088" i="1" s="1"/>
  <c r="CW2088" i="1"/>
  <c r="AA2088" i="1" s="1"/>
  <c r="CR2088" i="1"/>
  <c r="CP2088" i="1"/>
  <c r="CN2088" i="1"/>
  <c r="CJ2088" i="1"/>
  <c r="CH2088" i="1"/>
  <c r="CF2088" i="1"/>
  <c r="BL2088" i="1"/>
  <c r="BD2088" i="1"/>
  <c r="AZ2088" i="1"/>
  <c r="AX2088" i="1"/>
  <c r="DC2084" i="1"/>
  <c r="DA2084" i="1"/>
  <c r="CY2084" i="1"/>
  <c r="Y2084" i="1" s="1"/>
  <c r="CW2084" i="1"/>
  <c r="AA2084" i="1" s="1"/>
  <c r="CR2084" i="1"/>
  <c r="CP2084" i="1"/>
  <c r="CN2084" i="1"/>
  <c r="CJ2084" i="1"/>
  <c r="CH2084" i="1"/>
  <c r="CF2084" i="1"/>
  <c r="BL2084" i="1"/>
  <c r="BD2084" i="1"/>
  <c r="AZ2084" i="1"/>
  <c r="AX2084" i="1"/>
  <c r="DC2083" i="1"/>
  <c r="DA2083" i="1"/>
  <c r="CY2083" i="1"/>
  <c r="Y2083" i="1" s="1"/>
  <c r="CW2083" i="1"/>
  <c r="AA2083" i="1" s="1"/>
  <c r="CR2083" i="1"/>
  <c r="CP2083" i="1"/>
  <c r="CN2083" i="1"/>
  <c r="CJ2083" i="1"/>
  <c r="CH2083" i="1"/>
  <c r="CF2083" i="1"/>
  <c r="BL2083" i="1"/>
  <c r="BD2083" i="1"/>
  <c r="AZ2083" i="1"/>
  <c r="AX2083" i="1"/>
  <c r="DC2082" i="1"/>
  <c r="DA2082" i="1"/>
  <c r="CY2082" i="1"/>
  <c r="Y2082" i="1" s="1"/>
  <c r="CW2082" i="1"/>
  <c r="AA2082" i="1" s="1"/>
  <c r="CR2082" i="1"/>
  <c r="CP2082" i="1"/>
  <c r="CN2082" i="1"/>
  <c r="CJ2082" i="1"/>
  <c r="CH2082" i="1"/>
  <c r="CF2082" i="1"/>
  <c r="BL2082" i="1"/>
  <c r="BD2082" i="1"/>
  <c r="AZ2082" i="1"/>
  <c r="AX2082" i="1"/>
  <c r="DC2055" i="1"/>
  <c r="DA2055" i="1"/>
  <c r="CY2055" i="1"/>
  <c r="Y2055" i="1" s="1"/>
  <c r="CW2055" i="1"/>
  <c r="AA2055" i="1" s="1"/>
  <c r="CR2055" i="1"/>
  <c r="CP2055" i="1"/>
  <c r="CN2055" i="1"/>
  <c r="CJ2055" i="1"/>
  <c r="CH2055" i="1"/>
  <c r="CF2055" i="1"/>
  <c r="BL2055" i="1"/>
  <c r="BD2055" i="1"/>
  <c r="AZ2055" i="1"/>
  <c r="AX2055" i="1"/>
  <c r="DC2080" i="1"/>
  <c r="DA2080" i="1"/>
  <c r="CY2080" i="1"/>
  <c r="Y2080" i="1" s="1"/>
  <c r="CW2080" i="1"/>
  <c r="AA2080" i="1" s="1"/>
  <c r="CR2080" i="1"/>
  <c r="CP2080" i="1"/>
  <c r="CN2080" i="1"/>
  <c r="CJ2080" i="1"/>
  <c r="CH2080" i="1"/>
  <c r="CF2080" i="1"/>
  <c r="BL2080" i="1"/>
  <c r="BD2080" i="1"/>
  <c r="AZ2080" i="1"/>
  <c r="AX2080" i="1"/>
  <c r="DC1814" i="1"/>
  <c r="DA1814" i="1"/>
  <c r="CY1814" i="1"/>
  <c r="Y1814" i="1" s="1"/>
  <c r="CW1814" i="1"/>
  <c r="AA1814" i="1" s="1"/>
  <c r="CR1814" i="1"/>
  <c r="CP1814" i="1"/>
  <c r="CN1814" i="1"/>
  <c r="CJ1814" i="1"/>
  <c r="CH1814" i="1"/>
  <c r="CF1814" i="1"/>
  <c r="BL1814" i="1"/>
  <c r="BD1814" i="1"/>
  <c r="AZ1814" i="1"/>
  <c r="AX1814" i="1"/>
  <c r="DC2070" i="1"/>
  <c r="DA2070" i="1"/>
  <c r="CY2070" i="1"/>
  <c r="Y2070" i="1" s="1"/>
  <c r="CW2070" i="1"/>
  <c r="AA2070" i="1" s="1"/>
  <c r="CR2070" i="1"/>
  <c r="CP2070" i="1"/>
  <c r="CN2070" i="1"/>
  <c r="CJ2070" i="1"/>
  <c r="CH2070" i="1"/>
  <c r="CF2070" i="1"/>
  <c r="BL2070" i="1"/>
  <c r="BD2070" i="1"/>
  <c r="AZ2070" i="1"/>
  <c r="AX2070" i="1"/>
  <c r="DC2076" i="1"/>
  <c r="DA2076" i="1"/>
  <c r="CY2076" i="1"/>
  <c r="Y2076" i="1" s="1"/>
  <c r="CW2076" i="1"/>
  <c r="AA2076" i="1" s="1"/>
  <c r="CR2076" i="1"/>
  <c r="CP2076" i="1"/>
  <c r="CN2076" i="1"/>
  <c r="CJ2076" i="1"/>
  <c r="CH2076" i="1"/>
  <c r="CF2076" i="1"/>
  <c r="BL2076" i="1"/>
  <c r="BD2076" i="1"/>
  <c r="AZ2076" i="1"/>
  <c r="AX2076" i="1"/>
  <c r="DC2075" i="1"/>
  <c r="DA2075" i="1"/>
  <c r="CY2075" i="1"/>
  <c r="Y2075" i="1" s="1"/>
  <c r="CW2075" i="1"/>
  <c r="AA2075" i="1" s="1"/>
  <c r="CR2075" i="1"/>
  <c r="CP2075" i="1"/>
  <c r="CN2075" i="1"/>
  <c r="CJ2075" i="1"/>
  <c r="CH2075" i="1"/>
  <c r="CF2075" i="1"/>
  <c r="BL2075" i="1"/>
  <c r="BD2075" i="1"/>
  <c r="AZ2075" i="1"/>
  <c r="AX2075" i="1"/>
  <c r="DC2053" i="1"/>
  <c r="DA2053" i="1"/>
  <c r="CY2053" i="1"/>
  <c r="Y2053" i="1" s="1"/>
  <c r="CW2053" i="1"/>
  <c r="AA2053" i="1" s="1"/>
  <c r="CR2053" i="1"/>
  <c r="CP2053" i="1"/>
  <c r="CN2053" i="1"/>
  <c r="CJ2053" i="1"/>
  <c r="CH2053" i="1"/>
  <c r="CF2053" i="1"/>
  <c r="BL2053" i="1"/>
  <c r="BD2053" i="1"/>
  <c r="AZ2053" i="1"/>
  <c r="AX2053" i="1"/>
  <c r="DC2065" i="1"/>
  <c r="DA2065" i="1"/>
  <c r="CY2065" i="1"/>
  <c r="Y2065" i="1" s="1"/>
  <c r="CW2065" i="1"/>
  <c r="AA2065" i="1" s="1"/>
  <c r="CR2065" i="1"/>
  <c r="CP2065" i="1"/>
  <c r="CN2065" i="1"/>
  <c r="CJ2065" i="1"/>
  <c r="CH2065" i="1"/>
  <c r="CF2065" i="1"/>
  <c r="BL2065" i="1"/>
  <c r="BD2065" i="1"/>
  <c r="AZ2065" i="1"/>
  <c r="AX2065" i="1"/>
  <c r="DC2081" i="1"/>
  <c r="DA2081" i="1"/>
  <c r="CY2081" i="1"/>
  <c r="Y2081" i="1" s="1"/>
  <c r="CW2081" i="1"/>
  <c r="AA2081" i="1" s="1"/>
  <c r="CR2081" i="1"/>
  <c r="CP2081" i="1"/>
  <c r="CN2081" i="1"/>
  <c r="CJ2081" i="1"/>
  <c r="CH2081" i="1"/>
  <c r="CF2081" i="1"/>
  <c r="BL2081" i="1"/>
  <c r="BD2081" i="1"/>
  <c r="AZ2081" i="1"/>
  <c r="AX2081" i="1"/>
  <c r="Z2083" i="1" l="1"/>
  <c r="Z2082" i="1"/>
  <c r="Z1878" i="1"/>
  <c r="Z1493" i="1"/>
  <c r="Z2087" i="1"/>
  <c r="Z2065" i="1"/>
  <c r="Z2088" i="1"/>
  <c r="Z2092" i="1"/>
  <c r="Z2133" i="1"/>
  <c r="Z2053" i="1"/>
  <c r="Z2076" i="1"/>
  <c r="Z1814" i="1"/>
  <c r="Z2085" i="1"/>
  <c r="CU2086" i="1"/>
  <c r="X2086" i="1" s="1"/>
  <c r="Z2086" i="1"/>
  <c r="Z2094" i="1"/>
  <c r="Z2097" i="1"/>
  <c r="Z2084" i="1"/>
  <c r="Z2028" i="1"/>
  <c r="CU2133" i="1"/>
  <c r="X2133" i="1" s="1"/>
  <c r="CU2075" i="1"/>
  <c r="X2075" i="1" s="1"/>
  <c r="Z2075" i="1"/>
  <c r="Z2055" i="1"/>
  <c r="Z2089" i="1"/>
  <c r="CU2065" i="1"/>
  <c r="X2065" i="1" s="1"/>
  <c r="CU2080" i="1"/>
  <c r="X2080" i="1" s="1"/>
  <c r="CU2089" i="1"/>
  <c r="X2089" i="1" s="1"/>
  <c r="CU2081" i="1"/>
  <c r="X2081" i="1" s="1"/>
  <c r="Z2081" i="1"/>
  <c r="Z2070" i="1"/>
  <c r="CU2082" i="1"/>
  <c r="X2082" i="1" s="1"/>
  <c r="CU2087" i="1"/>
  <c r="X2087" i="1" s="1"/>
  <c r="CU2094" i="1"/>
  <c r="X2094" i="1" s="1"/>
  <c r="CU1878" i="1"/>
  <c r="X1878" i="1" s="1"/>
  <c r="CU2053" i="1"/>
  <c r="X2053" i="1" s="1"/>
  <c r="CU1814" i="1"/>
  <c r="X1814" i="1" s="1"/>
  <c r="Z2080" i="1"/>
  <c r="CU2083" i="1"/>
  <c r="X2083" i="1" s="1"/>
  <c r="CU2088" i="1"/>
  <c r="X2088" i="1" s="1"/>
  <c r="CU2028" i="1"/>
  <c r="X2028" i="1" s="1"/>
  <c r="CU2092" i="1"/>
  <c r="X2092" i="1" s="1"/>
  <c r="CU1493" i="1"/>
  <c r="X1493" i="1" s="1"/>
  <c r="CU2070" i="1"/>
  <c r="X2070" i="1" s="1"/>
  <c r="CU2055" i="1"/>
  <c r="X2055" i="1" s="1"/>
  <c r="CU2084" i="1"/>
  <c r="X2084" i="1" s="1"/>
  <c r="CU2085" i="1"/>
  <c r="X2085" i="1" s="1"/>
  <c r="CU2097" i="1"/>
  <c r="X2097" i="1" s="1"/>
  <c r="CU2076" i="1"/>
  <c r="X2076" i="1" s="1"/>
  <c r="AB807" i="1"/>
  <c r="DC947" i="1"/>
  <c r="CW948" i="1"/>
  <c r="DC948" i="1"/>
  <c r="DE249" i="1"/>
  <c r="CW618" i="1"/>
  <c r="DE455" i="1"/>
  <c r="BZ220" i="1"/>
  <c r="CP220" i="1"/>
  <c r="CR220" i="1"/>
  <c r="DC220" i="1"/>
  <c r="CY220" i="1"/>
  <c r="CR158" i="1"/>
  <c r="CY158" i="1"/>
  <c r="DA425" i="1"/>
  <c r="I1843" i="1"/>
  <c r="I1592" i="1"/>
  <c r="I2035" i="1"/>
  <c r="AD2089" i="1" l="1"/>
  <c r="AD2080" i="1"/>
  <c r="AD1814" i="1"/>
  <c r="AD2133" i="1"/>
  <c r="AD1493" i="1"/>
  <c r="AD2083" i="1"/>
  <c r="AD1878" i="1"/>
  <c r="AD2076" i="1"/>
  <c r="AD2082" i="1"/>
  <c r="AD2092" i="1"/>
  <c r="AD2087" i="1"/>
  <c r="AD2085" i="1"/>
  <c r="AD2065" i="1"/>
  <c r="AD2084" i="1"/>
  <c r="AD2088" i="1"/>
  <c r="AD2053" i="1"/>
  <c r="AD2028" i="1"/>
  <c r="AD2086" i="1"/>
  <c r="AD2070" i="1"/>
  <c r="AD2097" i="1"/>
  <c r="AD2055" i="1"/>
  <c r="AD2094" i="1"/>
  <c r="AD2081" i="1"/>
  <c r="AD2075" i="1"/>
  <c r="Y2350" i="1" l="1"/>
  <c r="AA2350" i="1"/>
  <c r="DC2078" i="1"/>
  <c r="DA2078" i="1"/>
  <c r="CY2078" i="1"/>
  <c r="Y2078" i="1" s="1"/>
  <c r="CW2078" i="1"/>
  <c r="AA2078" i="1" s="1"/>
  <c r="CR2078" i="1"/>
  <c r="CP2078" i="1"/>
  <c r="CN2078" i="1"/>
  <c r="CJ2078" i="1"/>
  <c r="CH2078" i="1"/>
  <c r="CF2078" i="1"/>
  <c r="BL2078" i="1"/>
  <c r="BD2078" i="1"/>
  <c r="AZ2078" i="1"/>
  <c r="AX2078" i="1"/>
  <c r="Z2350" i="1" l="1"/>
  <c r="X2350" i="1"/>
  <c r="Z2078" i="1"/>
  <c r="CU2078" i="1"/>
  <c r="X2078" i="1" s="1"/>
  <c r="AD2350" i="1" l="1"/>
  <c r="AD2078" i="1"/>
  <c r="DC2077" i="1"/>
  <c r="DA2077" i="1"/>
  <c r="CY2077" i="1"/>
  <c r="Y2077" i="1" s="1"/>
  <c r="CW2077" i="1"/>
  <c r="AA2077" i="1" s="1"/>
  <c r="CR2077" i="1"/>
  <c r="CP2077" i="1"/>
  <c r="CN2077" i="1"/>
  <c r="CJ2077" i="1"/>
  <c r="CH2077" i="1"/>
  <c r="CF2077" i="1"/>
  <c r="BL2077" i="1"/>
  <c r="BD2077" i="1"/>
  <c r="AZ2077" i="1"/>
  <c r="AX2077" i="1"/>
  <c r="DC2002" i="1"/>
  <c r="DA2002" i="1"/>
  <c r="CY2002" i="1"/>
  <c r="Y2002" i="1" s="1"/>
  <c r="CW2002" i="1"/>
  <c r="AA2002" i="1" s="1"/>
  <c r="CR2002" i="1"/>
  <c r="CP2002" i="1"/>
  <c r="CN2002" i="1"/>
  <c r="CJ2002" i="1"/>
  <c r="CH2002" i="1"/>
  <c r="CF2002" i="1"/>
  <c r="BL2002" i="1"/>
  <c r="BD2002" i="1"/>
  <c r="AZ2002" i="1"/>
  <c r="AX2002" i="1"/>
  <c r="DC2003" i="1"/>
  <c r="DA2003" i="1"/>
  <c r="Y2003" i="1"/>
  <c r="CW2003" i="1"/>
  <c r="AA2003" i="1" s="1"/>
  <c r="CR2003" i="1"/>
  <c r="CP2003" i="1"/>
  <c r="CN2003" i="1"/>
  <c r="CJ2003" i="1"/>
  <c r="CH2003" i="1"/>
  <c r="CF2003" i="1"/>
  <c r="BL2003" i="1"/>
  <c r="BD2003" i="1"/>
  <c r="AZ2003" i="1"/>
  <c r="AX2003" i="1"/>
  <c r="DC2067" i="1"/>
  <c r="DA2067" i="1"/>
  <c r="CY2067" i="1"/>
  <c r="Y2067" i="1" s="1"/>
  <c r="CW2067" i="1"/>
  <c r="AA2067" i="1" s="1"/>
  <c r="CR2067" i="1"/>
  <c r="CP2067" i="1"/>
  <c r="CN2067" i="1"/>
  <c r="CJ2067" i="1"/>
  <c r="CH2067" i="1"/>
  <c r="CF2067" i="1"/>
  <c r="BL2067" i="1"/>
  <c r="BD2067" i="1"/>
  <c r="AZ2067" i="1"/>
  <c r="AX2067" i="1"/>
  <c r="DC2072" i="1"/>
  <c r="DA2072" i="1"/>
  <c r="CY2072" i="1"/>
  <c r="Y2072" i="1" s="1"/>
  <c r="CW2072" i="1"/>
  <c r="AA2072" i="1" s="1"/>
  <c r="CR2072" i="1"/>
  <c r="CP2072" i="1"/>
  <c r="CN2072" i="1"/>
  <c r="CJ2072" i="1"/>
  <c r="CH2072" i="1"/>
  <c r="CF2072" i="1"/>
  <c r="BL2072" i="1"/>
  <c r="BD2072" i="1"/>
  <c r="AZ2072" i="1"/>
  <c r="AX2072" i="1"/>
  <c r="DC2068" i="1"/>
  <c r="DA2068" i="1"/>
  <c r="CY2068" i="1"/>
  <c r="Y2068" i="1" s="1"/>
  <c r="CW2068" i="1"/>
  <c r="AA2068" i="1" s="1"/>
  <c r="CR2068" i="1"/>
  <c r="CP2068" i="1"/>
  <c r="CN2068" i="1"/>
  <c r="CJ2068" i="1"/>
  <c r="CH2068" i="1"/>
  <c r="CF2068" i="1"/>
  <c r="BL2068" i="1"/>
  <c r="BD2068" i="1"/>
  <c r="AZ2068" i="1"/>
  <c r="AX2068" i="1"/>
  <c r="DC2073" i="1"/>
  <c r="DA2073" i="1"/>
  <c r="CY2073" i="1"/>
  <c r="Y2073" i="1" s="1"/>
  <c r="CW2073" i="1"/>
  <c r="AA2073" i="1" s="1"/>
  <c r="CR2073" i="1"/>
  <c r="CP2073" i="1"/>
  <c r="CN2073" i="1"/>
  <c r="CJ2073" i="1"/>
  <c r="CH2073" i="1"/>
  <c r="CF2073" i="1"/>
  <c r="BL2073" i="1"/>
  <c r="BD2073" i="1"/>
  <c r="AZ2073" i="1"/>
  <c r="AX2073" i="1"/>
  <c r="DC2071" i="1"/>
  <c r="DA2071" i="1"/>
  <c r="CY2071" i="1"/>
  <c r="Y2071" i="1" s="1"/>
  <c r="CW2071" i="1"/>
  <c r="AA2071" i="1" s="1"/>
  <c r="CR2071" i="1"/>
  <c r="CP2071" i="1"/>
  <c r="CN2071" i="1"/>
  <c r="CJ2071" i="1"/>
  <c r="CH2071" i="1"/>
  <c r="CF2071" i="1"/>
  <c r="BL2071" i="1"/>
  <c r="BD2071" i="1"/>
  <c r="AZ2071" i="1"/>
  <c r="AX2071" i="1"/>
  <c r="Z2077" i="1" l="1"/>
  <c r="Z2072" i="1"/>
  <c r="Z2003" i="1"/>
  <c r="Z2067" i="1"/>
  <c r="Z2002" i="1"/>
  <c r="CU2077" i="1"/>
  <c r="X2077" i="1" s="1"/>
  <c r="Z2071" i="1"/>
  <c r="Z2073" i="1"/>
  <c r="Z2068" i="1"/>
  <c r="CU2002" i="1"/>
  <c r="X2002" i="1" s="1"/>
  <c r="CU2068" i="1"/>
  <c r="X2068" i="1" s="1"/>
  <c r="CU2071" i="1"/>
  <c r="X2071" i="1" s="1"/>
  <c r="CU2067" i="1"/>
  <c r="X2067" i="1" s="1"/>
  <c r="CU2073" i="1"/>
  <c r="X2073" i="1" s="1"/>
  <c r="CU2003" i="1"/>
  <c r="X2003" i="1" s="1"/>
  <c r="AD2003" i="1" s="1"/>
  <c r="CU2072" i="1"/>
  <c r="X2072" i="1" s="1"/>
  <c r="AD2077" i="1" l="1"/>
  <c r="AD2072" i="1"/>
  <c r="AD2067" i="1"/>
  <c r="AD2002" i="1"/>
  <c r="AD2071" i="1"/>
  <c r="AD2073" i="1"/>
  <c r="AD2068" i="1"/>
  <c r="I1517" i="1" l="1"/>
  <c r="I1871" i="1"/>
  <c r="K1871" i="1"/>
  <c r="W1186" i="1"/>
  <c r="DB1676" i="1" l="1"/>
  <c r="BZ1471" i="1"/>
  <c r="DC2062" i="1"/>
  <c r="DA2062" i="1"/>
  <c r="CY2062" i="1"/>
  <c r="Y2062" i="1" s="1"/>
  <c r="CW2062" i="1"/>
  <c r="AA2062" i="1" s="1"/>
  <c r="CR2062" i="1"/>
  <c r="CP2062" i="1"/>
  <c r="CN2062" i="1"/>
  <c r="CJ2062" i="1"/>
  <c r="CH2062" i="1"/>
  <c r="CF2062" i="1"/>
  <c r="BL2062" i="1"/>
  <c r="BD2062" i="1"/>
  <c r="AZ2062" i="1"/>
  <c r="AX2062" i="1"/>
  <c r="DC2063" i="1"/>
  <c r="DA2063" i="1"/>
  <c r="CY2063" i="1"/>
  <c r="Y2063" i="1" s="1"/>
  <c r="CW2063" i="1"/>
  <c r="AA2063" i="1" s="1"/>
  <c r="CR2063" i="1"/>
  <c r="CP2063" i="1"/>
  <c r="CN2063" i="1"/>
  <c r="CJ2063" i="1"/>
  <c r="CH2063" i="1"/>
  <c r="CF2063" i="1"/>
  <c r="BL2063" i="1"/>
  <c r="BD2063" i="1"/>
  <c r="AZ2063" i="1"/>
  <c r="AX2063" i="1"/>
  <c r="DC2048" i="1"/>
  <c r="DA2048" i="1"/>
  <c r="CY2048" i="1"/>
  <c r="Y2048" i="1" s="1"/>
  <c r="CW2048" i="1"/>
  <c r="AA2048" i="1" s="1"/>
  <c r="CR2048" i="1"/>
  <c r="CP2048" i="1"/>
  <c r="CN2048" i="1"/>
  <c r="CJ2048" i="1"/>
  <c r="CH2048" i="1"/>
  <c r="CF2048" i="1"/>
  <c r="BL2048" i="1"/>
  <c r="BD2048" i="1"/>
  <c r="AZ2048" i="1"/>
  <c r="AX2048" i="1"/>
  <c r="DA2056" i="1"/>
  <c r="CY2056" i="1"/>
  <c r="Y2056" i="1" s="1"/>
  <c r="CW2056" i="1"/>
  <c r="AA2056" i="1" s="1"/>
  <c r="CR2056" i="1"/>
  <c r="CP2056" i="1"/>
  <c r="CN2056" i="1"/>
  <c r="CJ2056" i="1"/>
  <c r="CH2056" i="1"/>
  <c r="CF2056" i="1"/>
  <c r="BL2056" i="1"/>
  <c r="BD2056" i="1"/>
  <c r="AZ2056" i="1"/>
  <c r="AX2056" i="1"/>
  <c r="DC2060" i="1"/>
  <c r="DA2060" i="1"/>
  <c r="CY2060" i="1"/>
  <c r="Y2060" i="1" s="1"/>
  <c r="CW2060" i="1"/>
  <c r="AA2060" i="1" s="1"/>
  <c r="CR2060" i="1"/>
  <c r="CP2060" i="1"/>
  <c r="CN2060" i="1"/>
  <c r="CJ2060" i="1"/>
  <c r="CH2060" i="1"/>
  <c r="CF2060" i="1"/>
  <c r="BL2060" i="1"/>
  <c r="BD2060" i="1"/>
  <c r="AZ2060" i="1"/>
  <c r="AX2060" i="1"/>
  <c r="DA2058" i="1"/>
  <c r="CY2058" i="1"/>
  <c r="Y2058" i="1" s="1"/>
  <c r="CW2058" i="1"/>
  <c r="AA2058" i="1" s="1"/>
  <c r="CR2058" i="1"/>
  <c r="CP2058" i="1"/>
  <c r="CN2058" i="1"/>
  <c r="CJ2058" i="1"/>
  <c r="CH2058" i="1"/>
  <c r="CF2058" i="1"/>
  <c r="BL2058" i="1"/>
  <c r="BD2058" i="1"/>
  <c r="AZ2058" i="1"/>
  <c r="AX2058" i="1"/>
  <c r="DA2057" i="1"/>
  <c r="Y2057" i="1"/>
  <c r="AA2057" i="1"/>
  <c r="CR2057" i="1"/>
  <c r="CJ2057" i="1"/>
  <c r="CH2057" i="1"/>
  <c r="CF2057" i="1"/>
  <c r="BL2057" i="1"/>
  <c r="BD2057" i="1"/>
  <c r="AZ2057" i="1"/>
  <c r="AX2057" i="1"/>
  <c r="DC2064" i="1"/>
  <c r="DA2064" i="1"/>
  <c r="CY2064" i="1"/>
  <c r="Y2064" i="1" s="1"/>
  <c r="CW2064" i="1"/>
  <c r="AA2064" i="1" s="1"/>
  <c r="CR2064" i="1"/>
  <c r="CP2064" i="1"/>
  <c r="CN2064" i="1"/>
  <c r="CJ2064" i="1"/>
  <c r="CH2064" i="1"/>
  <c r="CF2064" i="1"/>
  <c r="BL2064" i="1"/>
  <c r="BD2064" i="1"/>
  <c r="AZ2064" i="1"/>
  <c r="AX2064" i="1"/>
  <c r="DC2054" i="1"/>
  <c r="DA2054" i="1"/>
  <c r="CY2054" i="1"/>
  <c r="Y2054" i="1" s="1"/>
  <c r="CW2054" i="1"/>
  <c r="AA2054" i="1" s="1"/>
  <c r="CR2054" i="1"/>
  <c r="CP2054" i="1"/>
  <c r="CN2054" i="1"/>
  <c r="CJ2054" i="1"/>
  <c r="CH2054" i="1"/>
  <c r="CF2054" i="1"/>
  <c r="BL2054" i="1"/>
  <c r="BD2054" i="1"/>
  <c r="AZ2054" i="1"/>
  <c r="AX2054" i="1"/>
  <c r="DC2066" i="1"/>
  <c r="DA2066" i="1"/>
  <c r="CY2066" i="1"/>
  <c r="Y2066" i="1" s="1"/>
  <c r="CW2066" i="1"/>
  <c r="AA2066" i="1" s="1"/>
  <c r="CR2066" i="1"/>
  <c r="CP2066" i="1"/>
  <c r="CN2066" i="1"/>
  <c r="CJ2066" i="1"/>
  <c r="CH2066" i="1"/>
  <c r="CF2066" i="1"/>
  <c r="BL2066" i="1"/>
  <c r="BD2066" i="1"/>
  <c r="AZ2066" i="1"/>
  <c r="AX2066" i="1"/>
  <c r="DC1986" i="1"/>
  <c r="DA1986" i="1"/>
  <c r="Y1986" i="1"/>
  <c r="AA1986" i="1"/>
  <c r="CJ1986" i="1"/>
  <c r="CH1986" i="1"/>
  <c r="CF1986" i="1"/>
  <c r="BD1986" i="1"/>
  <c r="AX1986" i="1"/>
  <c r="DC2045" i="1"/>
  <c r="DA2045" i="1"/>
  <c r="CY2045" i="1"/>
  <c r="Y2045" i="1" s="1"/>
  <c r="CW2045" i="1"/>
  <c r="AA2045" i="1" s="1"/>
  <c r="CR2045" i="1"/>
  <c r="CP2045" i="1"/>
  <c r="CN2045" i="1"/>
  <c r="CJ2045" i="1"/>
  <c r="CH2045" i="1"/>
  <c r="CF2045" i="1"/>
  <c r="BL2045" i="1"/>
  <c r="BD2045" i="1"/>
  <c r="AZ2045" i="1"/>
  <c r="AX2045" i="1"/>
  <c r="DC1999" i="1"/>
  <c r="DA1999" i="1"/>
  <c r="CY1999" i="1"/>
  <c r="Y1999" i="1" s="1"/>
  <c r="CW1999" i="1"/>
  <c r="AA1999" i="1" s="1"/>
  <c r="CR1999" i="1"/>
  <c r="CP1999" i="1"/>
  <c r="CN1999" i="1"/>
  <c r="CJ1999" i="1"/>
  <c r="CH1999" i="1"/>
  <c r="CF1999" i="1"/>
  <c r="BL1999" i="1"/>
  <c r="BD1999" i="1"/>
  <c r="AZ1999" i="1"/>
  <c r="AX1999" i="1"/>
  <c r="DC2046" i="1"/>
  <c r="DA2046" i="1"/>
  <c r="CY2046" i="1"/>
  <c r="Y2046" i="1" s="1"/>
  <c r="CW2046" i="1"/>
  <c r="AA2046" i="1" s="1"/>
  <c r="CR2046" i="1"/>
  <c r="CP2046" i="1"/>
  <c r="CN2046" i="1"/>
  <c r="CJ2046" i="1"/>
  <c r="CH2046" i="1"/>
  <c r="CF2046" i="1"/>
  <c r="BL2046" i="1"/>
  <c r="BD2046" i="1"/>
  <c r="AZ2046" i="1"/>
  <c r="AX2046" i="1"/>
  <c r="DC2047" i="1"/>
  <c r="DA2047" i="1"/>
  <c r="CY2047" i="1"/>
  <c r="Y2047" i="1" s="1"/>
  <c r="CW2047" i="1"/>
  <c r="AA2047" i="1" s="1"/>
  <c r="CR2047" i="1"/>
  <c r="CP2047" i="1"/>
  <c r="CN2047" i="1"/>
  <c r="CJ2047" i="1"/>
  <c r="CH2047" i="1"/>
  <c r="CF2047" i="1"/>
  <c r="BL2047" i="1"/>
  <c r="BD2047" i="1"/>
  <c r="AZ2047" i="1"/>
  <c r="AX2047" i="1"/>
  <c r="Z2062" i="1" l="1"/>
  <c r="Z2048" i="1"/>
  <c r="Z2063" i="1"/>
  <c r="CU2062" i="1"/>
  <c r="X2062" i="1" s="1"/>
  <c r="Z2064" i="1"/>
  <c r="Z2056" i="1"/>
  <c r="CU2063" i="1"/>
  <c r="X2063" i="1" s="1"/>
  <c r="Z2054" i="1"/>
  <c r="CU2058" i="1"/>
  <c r="X2058" i="1" s="1"/>
  <c r="Z2058" i="1"/>
  <c r="Z2066" i="1"/>
  <c r="Z2060" i="1"/>
  <c r="CU2060" i="1"/>
  <c r="X2060" i="1" s="1"/>
  <c r="CU2054" i="1"/>
  <c r="X2054" i="1" s="1"/>
  <c r="CU2056" i="1"/>
  <c r="X2056" i="1" s="1"/>
  <c r="CU2064" i="1"/>
  <c r="X2064" i="1" s="1"/>
  <c r="CU2057" i="1"/>
  <c r="X2057" i="1" s="1"/>
  <c r="Z2057" i="1"/>
  <c r="CU2048" i="1"/>
  <c r="X2048" i="1" s="1"/>
  <c r="CU2066" i="1"/>
  <c r="X2066" i="1" s="1"/>
  <c r="Z1986" i="1"/>
  <c r="CU1986" i="1"/>
  <c r="X1986" i="1" s="1"/>
  <c r="Z2045" i="1"/>
  <c r="Z1999" i="1"/>
  <c r="CU1999" i="1"/>
  <c r="X1999" i="1" s="1"/>
  <c r="Z2047" i="1"/>
  <c r="Z2046" i="1"/>
  <c r="CU2047" i="1"/>
  <c r="X2047" i="1" s="1"/>
  <c r="CU2045" i="1"/>
  <c r="X2045" i="1" s="1"/>
  <c r="CU2046" i="1"/>
  <c r="X2046" i="1" s="1"/>
  <c r="DC1477" i="1"/>
  <c r="DA1477" i="1"/>
  <c r="CY1477" i="1"/>
  <c r="Y1477" i="1" s="1"/>
  <c r="CW1477" i="1"/>
  <c r="AA1477" i="1" s="1"/>
  <c r="CR1477" i="1"/>
  <c r="CP1477" i="1"/>
  <c r="CN1477" i="1"/>
  <c r="CJ1477" i="1"/>
  <c r="CH1477" i="1"/>
  <c r="CF1477" i="1"/>
  <c r="BL1477" i="1"/>
  <c r="BD1477" i="1"/>
  <c r="AZ1477" i="1"/>
  <c r="AX1477" i="1"/>
  <c r="DC1012" i="1"/>
  <c r="DA1012" i="1"/>
  <c r="CY1012" i="1"/>
  <c r="Y1012" i="1" s="1"/>
  <c r="CW1012" i="1"/>
  <c r="AA1012" i="1" s="1"/>
  <c r="CR1012" i="1"/>
  <c r="CP1012" i="1"/>
  <c r="CN1012" i="1"/>
  <c r="CJ1012" i="1"/>
  <c r="CH1012" i="1"/>
  <c r="CF1012" i="1"/>
  <c r="BL1012" i="1"/>
  <c r="BD1012" i="1"/>
  <c r="AZ1012" i="1"/>
  <c r="AX1012" i="1"/>
  <c r="DC1723" i="1"/>
  <c r="DA1723" i="1"/>
  <c r="CY1723" i="1"/>
  <c r="Y1723" i="1" s="1"/>
  <c r="CW1723" i="1"/>
  <c r="AA1723" i="1" s="1"/>
  <c r="CR1723" i="1"/>
  <c r="CP1723" i="1"/>
  <c r="CN1723" i="1"/>
  <c r="CJ1723" i="1"/>
  <c r="CH1723" i="1"/>
  <c r="CF1723" i="1"/>
  <c r="BL1723" i="1"/>
  <c r="BD1723" i="1"/>
  <c r="AZ1723" i="1"/>
  <c r="AX1723" i="1"/>
  <c r="DC2074" i="1"/>
  <c r="DA2074" i="1"/>
  <c r="CY2074" i="1"/>
  <c r="Y2074" i="1" s="1"/>
  <c r="CW2074" i="1"/>
  <c r="AA2074" i="1" s="1"/>
  <c r="CR2074" i="1"/>
  <c r="CP2074" i="1"/>
  <c r="CN2074" i="1"/>
  <c r="CJ2074" i="1"/>
  <c r="CH2074" i="1"/>
  <c r="CF2074" i="1"/>
  <c r="BL2074" i="1"/>
  <c r="BD2074" i="1"/>
  <c r="AZ2074" i="1"/>
  <c r="AX2074" i="1"/>
  <c r="DC2061" i="1"/>
  <c r="DA2061" i="1"/>
  <c r="CY2061" i="1"/>
  <c r="Y2061" i="1" s="1"/>
  <c r="CW2061" i="1"/>
  <c r="AA2061" i="1" s="1"/>
  <c r="CR2061" i="1"/>
  <c r="CP2061" i="1"/>
  <c r="CN2061" i="1"/>
  <c r="CJ2061" i="1"/>
  <c r="CH2061" i="1"/>
  <c r="CF2061" i="1"/>
  <c r="BL2061" i="1"/>
  <c r="BD2061" i="1"/>
  <c r="AZ2061" i="1"/>
  <c r="AX2061" i="1"/>
  <c r="DC1969" i="1"/>
  <c r="DA1969" i="1"/>
  <c r="CY1969" i="1"/>
  <c r="Y1969" i="1" s="1"/>
  <c r="CW1969" i="1"/>
  <c r="AA1969" i="1" s="1"/>
  <c r="CR1969" i="1"/>
  <c r="CP1969" i="1"/>
  <c r="CN1969" i="1"/>
  <c r="CJ1969" i="1"/>
  <c r="CH1969" i="1"/>
  <c r="CF1969" i="1"/>
  <c r="BL1969" i="1"/>
  <c r="BD1969" i="1"/>
  <c r="AZ1969" i="1"/>
  <c r="AX1969" i="1"/>
  <c r="DC2040" i="1"/>
  <c r="DA2040" i="1"/>
  <c r="CY2040" i="1"/>
  <c r="Y2040" i="1" s="1"/>
  <c r="CW2040" i="1"/>
  <c r="AA2040" i="1" s="1"/>
  <c r="CR2040" i="1"/>
  <c r="CP2040" i="1"/>
  <c r="CN2040" i="1"/>
  <c r="CJ2040" i="1"/>
  <c r="CH2040" i="1"/>
  <c r="CF2040" i="1"/>
  <c r="BL2040" i="1"/>
  <c r="BD2040" i="1"/>
  <c r="AZ2040" i="1"/>
  <c r="AX2040" i="1"/>
  <c r="DC2038" i="1"/>
  <c r="DA2038" i="1"/>
  <c r="CY2038" i="1"/>
  <c r="Y2038" i="1" s="1"/>
  <c r="CW2038" i="1"/>
  <c r="AA2038" i="1" s="1"/>
  <c r="CR2038" i="1"/>
  <c r="CP2038" i="1"/>
  <c r="CN2038" i="1"/>
  <c r="CJ2038" i="1"/>
  <c r="CH2038" i="1"/>
  <c r="CF2038" i="1"/>
  <c r="BL2038" i="1"/>
  <c r="BD2038" i="1"/>
  <c r="AZ2038" i="1"/>
  <c r="AX2038" i="1"/>
  <c r="Y2037" i="1"/>
  <c r="CW2037" i="1"/>
  <c r="AA2037" i="1" s="1"/>
  <c r="CN2037" i="1"/>
  <c r="CH2037" i="1"/>
  <c r="CF2037" i="1"/>
  <c r="BL2037" i="1"/>
  <c r="BD2037" i="1"/>
  <c r="AX2037" i="1"/>
  <c r="AD2063" i="1" l="1"/>
  <c r="AD2062" i="1"/>
  <c r="Z1477" i="1"/>
  <c r="AD2048" i="1"/>
  <c r="Z1012" i="1"/>
  <c r="AD2064" i="1"/>
  <c r="Z2061" i="1"/>
  <c r="AD2060" i="1"/>
  <c r="Z2074" i="1"/>
  <c r="AD2054" i="1"/>
  <c r="AD2056" i="1"/>
  <c r="AD2066" i="1"/>
  <c r="AD2058" i="1"/>
  <c r="Z1723" i="1"/>
  <c r="AD2057" i="1"/>
  <c r="AD1986" i="1"/>
  <c r="AD2045" i="1"/>
  <c r="AD1999" i="1"/>
  <c r="AD2047" i="1"/>
  <c r="AD2046" i="1"/>
  <c r="Z2037" i="1"/>
  <c r="Z2040" i="1"/>
  <c r="Z1969" i="1"/>
  <c r="Z2038" i="1"/>
  <c r="CU2037" i="1"/>
  <c r="X2037" i="1" s="1"/>
  <c r="CU1012" i="1"/>
  <c r="X1012" i="1" s="1"/>
  <c r="CU2061" i="1"/>
  <c r="X2061" i="1" s="1"/>
  <c r="CU2038" i="1"/>
  <c r="X2038" i="1" s="1"/>
  <c r="CU2040" i="1"/>
  <c r="X2040" i="1" s="1"/>
  <c r="CU1723" i="1"/>
  <c r="X1723" i="1" s="1"/>
  <c r="CU1969" i="1"/>
  <c r="X1969" i="1" s="1"/>
  <c r="AD1969" i="1" s="1"/>
  <c r="CU2074" i="1"/>
  <c r="X2074" i="1" s="1"/>
  <c r="CU1477" i="1"/>
  <c r="X1477" i="1" s="1"/>
  <c r="DC2051" i="1"/>
  <c r="DA2051" i="1"/>
  <c r="CY2051" i="1"/>
  <c r="Y2051" i="1" s="1"/>
  <c r="CW2051" i="1"/>
  <c r="AA2051" i="1" s="1"/>
  <c r="CR2051" i="1"/>
  <c r="CP2051" i="1"/>
  <c r="CN2051" i="1"/>
  <c r="CJ2051" i="1"/>
  <c r="CH2051" i="1"/>
  <c r="CF2051" i="1"/>
  <c r="BL2051" i="1"/>
  <c r="BD2051" i="1"/>
  <c r="AZ2051" i="1"/>
  <c r="AX2051" i="1"/>
  <c r="DC2033" i="1"/>
  <c r="DA2033" i="1"/>
  <c r="CY2033" i="1"/>
  <c r="Y2033" i="1" s="1"/>
  <c r="CW2033" i="1"/>
  <c r="AA2033" i="1" s="1"/>
  <c r="CR2033" i="1"/>
  <c r="CP2033" i="1"/>
  <c r="CN2033" i="1"/>
  <c r="CJ2033" i="1"/>
  <c r="CH2033" i="1"/>
  <c r="CF2033" i="1"/>
  <c r="BL2033" i="1"/>
  <c r="BD2033" i="1"/>
  <c r="AZ2033" i="1"/>
  <c r="AX2033" i="1"/>
  <c r="DC2042" i="1"/>
  <c r="DA2042" i="1"/>
  <c r="CY2042" i="1"/>
  <c r="Y2042" i="1" s="1"/>
  <c r="CW2042" i="1"/>
  <c r="AA2042" i="1" s="1"/>
  <c r="CR2042" i="1"/>
  <c r="CP2042" i="1"/>
  <c r="CN2042" i="1"/>
  <c r="CJ2042" i="1"/>
  <c r="CH2042" i="1"/>
  <c r="CF2042" i="1"/>
  <c r="BL2042" i="1"/>
  <c r="BD2042" i="1"/>
  <c r="AZ2042" i="1"/>
  <c r="AX2042" i="1"/>
  <c r="DA2039" i="1"/>
  <c r="Y2039" i="1"/>
  <c r="CW2039" i="1"/>
  <c r="AA2039" i="1" s="1"/>
  <c r="CR2039" i="1"/>
  <c r="CP2039" i="1"/>
  <c r="CN2039" i="1"/>
  <c r="CJ2039" i="1"/>
  <c r="CH2039" i="1"/>
  <c r="CF2039" i="1"/>
  <c r="BL2039" i="1"/>
  <c r="BD2039" i="1"/>
  <c r="AZ2039" i="1"/>
  <c r="AX2039" i="1"/>
  <c r="DC2019" i="1"/>
  <c r="DA2019" i="1"/>
  <c r="CY2019" i="1"/>
  <c r="Y2019" i="1" s="1"/>
  <c r="CW2019" i="1"/>
  <c r="AA2019" i="1" s="1"/>
  <c r="CR2019" i="1"/>
  <c r="CP2019" i="1"/>
  <c r="CN2019" i="1"/>
  <c r="CJ2019" i="1"/>
  <c r="CH2019" i="1"/>
  <c r="CF2019" i="1"/>
  <c r="BL2019" i="1"/>
  <c r="BD2019" i="1"/>
  <c r="AZ2019" i="1"/>
  <c r="AX2019" i="1"/>
  <c r="DC2041" i="1"/>
  <c r="DA2041" i="1"/>
  <c r="CY2041" i="1"/>
  <c r="Y2041" i="1" s="1"/>
  <c r="CW2041" i="1"/>
  <c r="AA2041" i="1" s="1"/>
  <c r="CR2041" i="1"/>
  <c r="CP2041" i="1"/>
  <c r="CN2041" i="1"/>
  <c r="CJ2041" i="1"/>
  <c r="CH2041" i="1"/>
  <c r="CF2041" i="1"/>
  <c r="BL2041" i="1"/>
  <c r="BD2041" i="1"/>
  <c r="AZ2041" i="1"/>
  <c r="AX2041" i="1"/>
  <c r="DC2043" i="1"/>
  <c r="DA2043" i="1"/>
  <c r="CY2043" i="1"/>
  <c r="Y2043" i="1" s="1"/>
  <c r="CW2043" i="1"/>
  <c r="AA2043" i="1" s="1"/>
  <c r="CR2043" i="1"/>
  <c r="CP2043" i="1"/>
  <c r="CN2043" i="1"/>
  <c r="CJ2043" i="1"/>
  <c r="CH2043" i="1"/>
  <c r="CF2043" i="1"/>
  <c r="BL2043" i="1"/>
  <c r="BD2043" i="1"/>
  <c r="AZ2043" i="1"/>
  <c r="AX2043" i="1"/>
  <c r="DC2035" i="1"/>
  <c r="DA2035" i="1"/>
  <c r="Y2035" i="1"/>
  <c r="CW2035" i="1"/>
  <c r="AA2035" i="1" s="1"/>
  <c r="CN2035" i="1"/>
  <c r="CH2035" i="1"/>
  <c r="CF2035" i="1"/>
  <c r="BD2035" i="1"/>
  <c r="AZ2035" i="1"/>
  <c r="AX2035" i="1"/>
  <c r="DC2036" i="1"/>
  <c r="DA2036" i="1"/>
  <c r="CY2036" i="1"/>
  <c r="Y2036" i="1" s="1"/>
  <c r="CW2036" i="1"/>
  <c r="AA2036" i="1" s="1"/>
  <c r="CR2036" i="1"/>
  <c r="CP2036" i="1"/>
  <c r="CN2036" i="1"/>
  <c r="CJ2036" i="1"/>
  <c r="CH2036" i="1"/>
  <c r="CF2036" i="1"/>
  <c r="BL2036" i="1"/>
  <c r="BD2036" i="1"/>
  <c r="AZ2036" i="1"/>
  <c r="AX2036" i="1"/>
  <c r="DC1990" i="1"/>
  <c r="DA1990" i="1"/>
  <c r="CY1990" i="1"/>
  <c r="Y1990" i="1" s="1"/>
  <c r="CW1990" i="1"/>
  <c r="AA1990" i="1" s="1"/>
  <c r="CR1990" i="1"/>
  <c r="CP1990" i="1"/>
  <c r="CN1990" i="1"/>
  <c r="CJ1990" i="1"/>
  <c r="CH1990" i="1"/>
  <c r="CF1990" i="1"/>
  <c r="BL1990" i="1"/>
  <c r="BD1990" i="1"/>
  <c r="AZ1990" i="1"/>
  <c r="AX1990" i="1"/>
  <c r="DC2026" i="1"/>
  <c r="DA2026" i="1"/>
  <c r="CY2026" i="1"/>
  <c r="Y2026" i="1" s="1"/>
  <c r="CW2026" i="1"/>
  <c r="AA2026" i="1" s="1"/>
  <c r="CR2026" i="1"/>
  <c r="CP2026" i="1"/>
  <c r="CN2026" i="1"/>
  <c r="CJ2026" i="1"/>
  <c r="CH2026" i="1"/>
  <c r="CF2026" i="1"/>
  <c r="BL2026" i="1"/>
  <c r="BD2026" i="1"/>
  <c r="AZ2026" i="1"/>
  <c r="AX2026" i="1"/>
  <c r="DC2027" i="1"/>
  <c r="DA2027" i="1"/>
  <c r="CY2027" i="1"/>
  <c r="Y2027" i="1" s="1"/>
  <c r="CW2027" i="1"/>
  <c r="AA2027" i="1" s="1"/>
  <c r="CR2027" i="1"/>
  <c r="CP2027" i="1"/>
  <c r="CN2027" i="1"/>
  <c r="CJ2027" i="1"/>
  <c r="CH2027" i="1"/>
  <c r="CF2027" i="1"/>
  <c r="BL2027" i="1"/>
  <c r="BD2027" i="1"/>
  <c r="AZ2027" i="1"/>
  <c r="AX2027" i="1"/>
  <c r="DC2034" i="1"/>
  <c r="DA2034" i="1"/>
  <c r="CY2034" i="1"/>
  <c r="Y2034" i="1" s="1"/>
  <c r="CW2034" i="1"/>
  <c r="AA2034" i="1" s="1"/>
  <c r="CR2034" i="1"/>
  <c r="CP2034" i="1"/>
  <c r="CN2034" i="1"/>
  <c r="CJ2034" i="1"/>
  <c r="CH2034" i="1"/>
  <c r="CF2034" i="1"/>
  <c r="BL2034" i="1"/>
  <c r="BD2034" i="1"/>
  <c r="AZ2034" i="1"/>
  <c r="AX2034" i="1"/>
  <c r="DC2025" i="1"/>
  <c r="DA2025" i="1"/>
  <c r="CY2025" i="1"/>
  <c r="Y2025" i="1" s="1"/>
  <c r="CW2025" i="1"/>
  <c r="AA2025" i="1" s="1"/>
  <c r="CR2025" i="1"/>
  <c r="CP2025" i="1"/>
  <c r="CN2025" i="1"/>
  <c r="CJ2025" i="1"/>
  <c r="CH2025" i="1"/>
  <c r="CF2025" i="1"/>
  <c r="BL2025" i="1"/>
  <c r="BD2025" i="1"/>
  <c r="AZ2025" i="1"/>
  <c r="AX2025" i="1"/>
  <c r="DC2024" i="1"/>
  <c r="DA2024" i="1"/>
  <c r="CY2024" i="1"/>
  <c r="Y2024" i="1" s="1"/>
  <c r="CW2024" i="1"/>
  <c r="AA2024" i="1" s="1"/>
  <c r="CR2024" i="1"/>
  <c r="CP2024" i="1"/>
  <c r="CN2024" i="1"/>
  <c r="CJ2024" i="1"/>
  <c r="CH2024" i="1"/>
  <c r="CF2024" i="1"/>
  <c r="BL2024" i="1"/>
  <c r="BD2024" i="1"/>
  <c r="AZ2024" i="1"/>
  <c r="AX2024" i="1"/>
  <c r="DC2023" i="1"/>
  <c r="DA2023" i="1"/>
  <c r="CY2023" i="1"/>
  <c r="Y2023" i="1" s="1"/>
  <c r="CW2023" i="1"/>
  <c r="AA2023" i="1" s="1"/>
  <c r="CR2023" i="1"/>
  <c r="CP2023" i="1"/>
  <c r="CN2023" i="1"/>
  <c r="CJ2023" i="1"/>
  <c r="CH2023" i="1"/>
  <c r="CF2023" i="1"/>
  <c r="BL2023" i="1"/>
  <c r="BD2023" i="1"/>
  <c r="AZ2023" i="1"/>
  <c r="AX2023" i="1"/>
  <c r="DC1981" i="1"/>
  <c r="DA1981" i="1"/>
  <c r="CY1981" i="1"/>
  <c r="Y1981" i="1" s="1"/>
  <c r="CW1981" i="1"/>
  <c r="AA1981" i="1" s="1"/>
  <c r="CR1981" i="1"/>
  <c r="CP1981" i="1"/>
  <c r="CN1981" i="1"/>
  <c r="CJ1981" i="1"/>
  <c r="CH1981" i="1"/>
  <c r="CF1981" i="1"/>
  <c r="BL1981" i="1"/>
  <c r="BD1981" i="1"/>
  <c r="AZ1981" i="1"/>
  <c r="AX1981" i="1"/>
  <c r="DC2005" i="1"/>
  <c r="DA2005" i="1"/>
  <c r="CY2005" i="1"/>
  <c r="Y2005" i="1" s="1"/>
  <c r="CW2005" i="1"/>
  <c r="AA2005" i="1" s="1"/>
  <c r="CR2005" i="1"/>
  <c r="CP2005" i="1"/>
  <c r="CN2005" i="1"/>
  <c r="CJ2005" i="1"/>
  <c r="CH2005" i="1"/>
  <c r="CF2005" i="1"/>
  <c r="BL2005" i="1"/>
  <c r="BD2005" i="1"/>
  <c r="AZ2005" i="1"/>
  <c r="AX2005" i="1"/>
  <c r="DC2012" i="1"/>
  <c r="DA2012" i="1"/>
  <c r="CY2012" i="1"/>
  <c r="Y2012" i="1" s="1"/>
  <c r="CW2012" i="1"/>
  <c r="AA2012" i="1" s="1"/>
  <c r="CR2012" i="1"/>
  <c r="CP2012" i="1"/>
  <c r="CN2012" i="1"/>
  <c r="CJ2012" i="1"/>
  <c r="CH2012" i="1"/>
  <c r="CF2012" i="1"/>
  <c r="BL2012" i="1"/>
  <c r="BD2012" i="1"/>
  <c r="AZ2012" i="1"/>
  <c r="AX2012" i="1"/>
  <c r="DC2020" i="1"/>
  <c r="DA2020" i="1"/>
  <c r="CY2020" i="1"/>
  <c r="Y2020" i="1" s="1"/>
  <c r="CW2020" i="1"/>
  <c r="AA2020" i="1" s="1"/>
  <c r="CR2020" i="1"/>
  <c r="CP2020" i="1"/>
  <c r="CN2020" i="1"/>
  <c r="CJ2020" i="1"/>
  <c r="CH2020" i="1"/>
  <c r="CF2020" i="1"/>
  <c r="BL2020" i="1"/>
  <c r="BD2020" i="1"/>
  <c r="AZ2020" i="1"/>
  <c r="AX2020" i="1"/>
  <c r="DC2022" i="1"/>
  <c r="DA2022" i="1"/>
  <c r="CY2022" i="1"/>
  <c r="Y2022" i="1" s="1"/>
  <c r="CW2022" i="1"/>
  <c r="AA2022" i="1" s="1"/>
  <c r="CR2022" i="1"/>
  <c r="CP2022" i="1"/>
  <c r="CN2022" i="1"/>
  <c r="CJ2022" i="1"/>
  <c r="CH2022" i="1"/>
  <c r="CF2022" i="1"/>
  <c r="BL2022" i="1"/>
  <c r="BD2022" i="1"/>
  <c r="AZ2022" i="1"/>
  <c r="AX2022" i="1"/>
  <c r="DC2018" i="1"/>
  <c r="DA2018" i="1"/>
  <c r="CY2018" i="1"/>
  <c r="Y2018" i="1" s="1"/>
  <c r="CW2018" i="1"/>
  <c r="AA2018" i="1" s="1"/>
  <c r="CR2018" i="1"/>
  <c r="CP2018" i="1"/>
  <c r="CN2018" i="1"/>
  <c r="CJ2018" i="1"/>
  <c r="CH2018" i="1"/>
  <c r="CF2018" i="1"/>
  <c r="BL2018" i="1"/>
  <c r="BD2018" i="1"/>
  <c r="AZ2018" i="1"/>
  <c r="AX2018" i="1"/>
  <c r="DC2021" i="1"/>
  <c r="DA2021" i="1"/>
  <c r="CY2021" i="1"/>
  <c r="Y2021" i="1" s="1"/>
  <c r="CW2021" i="1"/>
  <c r="AA2021" i="1" s="1"/>
  <c r="CR2021" i="1"/>
  <c r="CP2021" i="1"/>
  <c r="CN2021" i="1"/>
  <c r="CJ2021" i="1"/>
  <c r="CH2021" i="1"/>
  <c r="CF2021" i="1"/>
  <c r="BL2021" i="1"/>
  <c r="BD2021" i="1"/>
  <c r="AZ2021" i="1"/>
  <c r="AX2021" i="1"/>
  <c r="DC2029" i="1"/>
  <c r="DA2029" i="1"/>
  <c r="CY2029" i="1"/>
  <c r="Y2029" i="1" s="1"/>
  <c r="CW2029" i="1"/>
  <c r="AA2029" i="1" s="1"/>
  <c r="CR2029" i="1"/>
  <c r="CP2029" i="1"/>
  <c r="CN2029" i="1"/>
  <c r="CJ2029" i="1"/>
  <c r="CH2029" i="1"/>
  <c r="CF2029" i="1"/>
  <c r="BL2029" i="1"/>
  <c r="BD2029" i="1"/>
  <c r="AZ2029" i="1"/>
  <c r="AX2029" i="1"/>
  <c r="DC2032" i="1"/>
  <c r="DA2032" i="1"/>
  <c r="CY2032" i="1"/>
  <c r="Y2032" i="1" s="1"/>
  <c r="CW2032" i="1"/>
  <c r="AA2032" i="1" s="1"/>
  <c r="CR2032" i="1"/>
  <c r="CP2032" i="1"/>
  <c r="CN2032" i="1"/>
  <c r="CJ2032" i="1"/>
  <c r="CH2032" i="1"/>
  <c r="CF2032" i="1"/>
  <c r="BL2032" i="1"/>
  <c r="BD2032" i="1"/>
  <c r="AZ2032" i="1"/>
  <c r="AX2032" i="1"/>
  <c r="DC2015" i="1"/>
  <c r="DA2015" i="1"/>
  <c r="CY2015" i="1"/>
  <c r="Y2015" i="1" s="1"/>
  <c r="CW2015" i="1"/>
  <c r="AA2015" i="1" s="1"/>
  <c r="CR2015" i="1"/>
  <c r="CP2015" i="1"/>
  <c r="CN2015" i="1"/>
  <c r="CJ2015" i="1"/>
  <c r="CH2015" i="1"/>
  <c r="CF2015" i="1"/>
  <c r="BL2015" i="1"/>
  <c r="BD2015" i="1"/>
  <c r="AZ2015" i="1"/>
  <c r="AX2015" i="1"/>
  <c r="DC2016" i="1"/>
  <c r="DA2016" i="1"/>
  <c r="CY2016" i="1"/>
  <c r="Y2016" i="1" s="1"/>
  <c r="CW2016" i="1"/>
  <c r="AA2016" i="1" s="1"/>
  <c r="CR2016" i="1"/>
  <c r="CP2016" i="1"/>
  <c r="CN2016" i="1"/>
  <c r="CJ2016" i="1"/>
  <c r="CH2016" i="1"/>
  <c r="CF2016" i="1"/>
  <c r="BL2016" i="1"/>
  <c r="BD2016" i="1"/>
  <c r="AZ2016" i="1"/>
  <c r="AX2016" i="1"/>
  <c r="DC2030" i="1"/>
  <c r="DA2030" i="1"/>
  <c r="CY2030" i="1"/>
  <c r="Y2030" i="1" s="1"/>
  <c r="CW2030" i="1"/>
  <c r="AA2030" i="1" s="1"/>
  <c r="CR2030" i="1"/>
  <c r="CP2030" i="1"/>
  <c r="CN2030" i="1"/>
  <c r="CJ2030" i="1"/>
  <c r="CH2030" i="1"/>
  <c r="CF2030" i="1"/>
  <c r="BL2030" i="1"/>
  <c r="BD2030" i="1"/>
  <c r="AZ2030" i="1"/>
  <c r="AX2030" i="1"/>
  <c r="DC2011" i="1"/>
  <c r="DA2011" i="1"/>
  <c r="CY2011" i="1"/>
  <c r="Y2011" i="1" s="1"/>
  <c r="CW2011" i="1"/>
  <c r="AA2011" i="1" s="1"/>
  <c r="CR2011" i="1"/>
  <c r="CP2011" i="1"/>
  <c r="CN2011" i="1"/>
  <c r="CJ2011" i="1"/>
  <c r="CH2011" i="1"/>
  <c r="CF2011" i="1"/>
  <c r="BL2011" i="1"/>
  <c r="BD2011" i="1"/>
  <c r="AZ2011" i="1"/>
  <c r="AX2011" i="1"/>
  <c r="DC2000" i="1"/>
  <c r="DA2000" i="1"/>
  <c r="CY2000" i="1"/>
  <c r="Y2000" i="1" s="1"/>
  <c r="CW2000" i="1"/>
  <c r="AA2000" i="1" s="1"/>
  <c r="CR2000" i="1"/>
  <c r="CP2000" i="1"/>
  <c r="CN2000" i="1"/>
  <c r="CJ2000" i="1"/>
  <c r="CH2000" i="1"/>
  <c r="CF2000" i="1"/>
  <c r="BL2000" i="1"/>
  <c r="BD2000" i="1"/>
  <c r="AZ2000" i="1"/>
  <c r="AX2000" i="1"/>
  <c r="DC2014" i="1"/>
  <c r="DA2014" i="1"/>
  <c r="CY2014" i="1"/>
  <c r="Y2014" i="1" s="1"/>
  <c r="CW2014" i="1"/>
  <c r="AA2014" i="1" s="1"/>
  <c r="CR2014" i="1"/>
  <c r="CP2014" i="1"/>
  <c r="CN2014" i="1"/>
  <c r="CJ2014" i="1"/>
  <c r="CH2014" i="1"/>
  <c r="CF2014" i="1"/>
  <c r="BL2014" i="1"/>
  <c r="BD2014" i="1"/>
  <c r="AZ2014" i="1"/>
  <c r="AX2014" i="1"/>
  <c r="DC2017" i="1"/>
  <c r="DA2017" i="1"/>
  <c r="CY2017" i="1"/>
  <c r="Y2017" i="1" s="1"/>
  <c r="CW2017" i="1"/>
  <c r="AA2017" i="1" s="1"/>
  <c r="CR2017" i="1"/>
  <c r="CP2017" i="1"/>
  <c r="CN2017" i="1"/>
  <c r="CJ2017" i="1"/>
  <c r="CH2017" i="1"/>
  <c r="CF2017" i="1"/>
  <c r="BL2017" i="1"/>
  <c r="BD2017" i="1"/>
  <c r="AZ2017" i="1"/>
  <c r="AX2017" i="1"/>
  <c r="DC2013" i="1"/>
  <c r="DA2013" i="1"/>
  <c r="CY2013" i="1"/>
  <c r="Y2013" i="1" s="1"/>
  <c r="CW2013" i="1"/>
  <c r="AA2013" i="1" s="1"/>
  <c r="CR2013" i="1"/>
  <c r="CP2013" i="1"/>
  <c r="CN2013" i="1"/>
  <c r="CJ2013" i="1"/>
  <c r="CH2013" i="1"/>
  <c r="CF2013" i="1"/>
  <c r="BL2013" i="1"/>
  <c r="BD2013" i="1"/>
  <c r="AZ2013" i="1"/>
  <c r="AX2013" i="1"/>
  <c r="DC2007" i="1"/>
  <c r="DA2007" i="1"/>
  <c r="CY2007" i="1"/>
  <c r="Y2007" i="1" s="1"/>
  <c r="CW2007" i="1"/>
  <c r="AA2007" i="1" s="1"/>
  <c r="CR2007" i="1"/>
  <c r="CP2007" i="1"/>
  <c r="CN2007" i="1"/>
  <c r="CJ2007" i="1"/>
  <c r="CH2007" i="1"/>
  <c r="CF2007" i="1"/>
  <c r="BL2007" i="1"/>
  <c r="BD2007" i="1"/>
  <c r="AZ2007" i="1"/>
  <c r="AX2007" i="1"/>
  <c r="DC2004" i="1"/>
  <c r="DA2004" i="1"/>
  <c r="CY2004" i="1"/>
  <c r="Y2004" i="1" s="1"/>
  <c r="CW2004" i="1"/>
  <c r="AA2004" i="1" s="1"/>
  <c r="CR2004" i="1"/>
  <c r="CP2004" i="1"/>
  <c r="CN2004" i="1"/>
  <c r="CJ2004" i="1"/>
  <c r="CH2004" i="1"/>
  <c r="CF2004" i="1"/>
  <c r="BL2004" i="1"/>
  <c r="BD2004" i="1"/>
  <c r="AZ2004" i="1"/>
  <c r="AX2004" i="1"/>
  <c r="DC2008" i="1"/>
  <c r="DA2008" i="1"/>
  <c r="CY2008" i="1"/>
  <c r="Y2008" i="1" s="1"/>
  <c r="CW2008" i="1"/>
  <c r="AA2008" i="1" s="1"/>
  <c r="CR2008" i="1"/>
  <c r="CP2008" i="1"/>
  <c r="CN2008" i="1"/>
  <c r="CJ2008" i="1"/>
  <c r="CH2008" i="1"/>
  <c r="CF2008" i="1"/>
  <c r="BL2008" i="1"/>
  <c r="BD2008" i="1"/>
  <c r="AZ2008" i="1"/>
  <c r="AX2008" i="1"/>
  <c r="DC2006" i="1"/>
  <c r="DA2006" i="1"/>
  <c r="CY2006" i="1"/>
  <c r="Y2006" i="1" s="1"/>
  <c r="CW2006" i="1"/>
  <c r="AA2006" i="1" s="1"/>
  <c r="CR2006" i="1"/>
  <c r="CP2006" i="1"/>
  <c r="CN2006" i="1"/>
  <c r="CJ2006" i="1"/>
  <c r="CH2006" i="1"/>
  <c r="CF2006" i="1"/>
  <c r="BL2006" i="1"/>
  <c r="BD2006" i="1"/>
  <c r="AZ2006" i="1"/>
  <c r="AX2006" i="1"/>
  <c r="DC1993" i="1"/>
  <c r="DA1993" i="1"/>
  <c r="CY1993" i="1"/>
  <c r="Y1993" i="1" s="1"/>
  <c r="CW1993" i="1"/>
  <c r="AA1993" i="1" s="1"/>
  <c r="CR1993" i="1"/>
  <c r="CP1993" i="1"/>
  <c r="CN1993" i="1"/>
  <c r="CJ1993" i="1"/>
  <c r="CH1993" i="1"/>
  <c r="CF1993" i="1"/>
  <c r="BL1993" i="1"/>
  <c r="BD1993" i="1"/>
  <c r="AZ1993" i="1"/>
  <c r="AX1993" i="1"/>
  <c r="AD2037" i="1" l="1"/>
  <c r="AD2038" i="1"/>
  <c r="AD1477" i="1"/>
  <c r="AD1012" i="1"/>
  <c r="AD2061" i="1"/>
  <c r="AD2074" i="1"/>
  <c r="AD1723" i="1"/>
  <c r="AD2040" i="1"/>
  <c r="Z2051" i="1"/>
  <c r="Z2043" i="1"/>
  <c r="Z2033" i="1"/>
  <c r="CU2051" i="1"/>
  <c r="X2051" i="1" s="1"/>
  <c r="Z1990" i="1"/>
  <c r="Z2035" i="1"/>
  <c r="Z2041" i="1"/>
  <c r="Z2019" i="1"/>
  <c r="Z2042" i="1"/>
  <c r="Z2039" i="1"/>
  <c r="CU2019" i="1"/>
  <c r="X2019" i="1" s="1"/>
  <c r="CU2036" i="1"/>
  <c r="X2036" i="1" s="1"/>
  <c r="Z2036" i="1"/>
  <c r="Z2027" i="1"/>
  <c r="Z2026" i="1"/>
  <c r="CU2027" i="1"/>
  <c r="X2027" i="1" s="1"/>
  <c r="Z2034" i="1"/>
  <c r="CU2034" i="1"/>
  <c r="X2034" i="1" s="1"/>
  <c r="CU2043" i="1"/>
  <c r="X2043" i="1" s="1"/>
  <c r="CU2042" i="1"/>
  <c r="X2042" i="1" s="1"/>
  <c r="CU1990" i="1"/>
  <c r="X1990" i="1" s="1"/>
  <c r="CU2041" i="1"/>
  <c r="X2041" i="1" s="1"/>
  <c r="CU2033" i="1"/>
  <c r="X2033" i="1" s="1"/>
  <c r="CU2026" i="1"/>
  <c r="X2026" i="1" s="1"/>
  <c r="CU2035" i="1"/>
  <c r="X2035" i="1" s="1"/>
  <c r="CU2039" i="1"/>
  <c r="X2039" i="1" s="1"/>
  <c r="Z1981" i="1"/>
  <c r="Z2023" i="1"/>
  <c r="Z2015" i="1"/>
  <c r="Z2011" i="1"/>
  <c r="Z2016" i="1"/>
  <c r="Z2021" i="1"/>
  <c r="Z2020" i="1"/>
  <c r="Z2022" i="1"/>
  <c r="Z2030" i="1"/>
  <c r="Z2012" i="1"/>
  <c r="Z2032" i="1"/>
  <c r="CU2022" i="1"/>
  <c r="X2022" i="1" s="1"/>
  <c r="Z2029" i="1"/>
  <c r="Z2018" i="1"/>
  <c r="CU2030" i="1"/>
  <c r="X2030" i="1" s="1"/>
  <c r="CU2032" i="1"/>
  <c r="X2032" i="1" s="1"/>
  <c r="CU2025" i="1"/>
  <c r="X2025" i="1" s="1"/>
  <c r="Z2025" i="1"/>
  <c r="CU2005" i="1"/>
  <c r="X2005" i="1" s="1"/>
  <c r="Z2005" i="1"/>
  <c r="Z2024" i="1"/>
  <c r="CU2011" i="1"/>
  <c r="X2011" i="1" s="1"/>
  <c r="CU2016" i="1"/>
  <c r="X2016" i="1" s="1"/>
  <c r="CU2012" i="1"/>
  <c r="X2012" i="1" s="1"/>
  <c r="CU2023" i="1"/>
  <c r="X2023" i="1" s="1"/>
  <c r="CU2015" i="1"/>
  <c r="X2015" i="1" s="1"/>
  <c r="CU2021" i="1"/>
  <c r="X2021" i="1" s="1"/>
  <c r="CU2018" i="1"/>
  <c r="X2018" i="1" s="1"/>
  <c r="CU2024" i="1"/>
  <c r="X2024" i="1" s="1"/>
  <c r="CU2029" i="1"/>
  <c r="X2029" i="1" s="1"/>
  <c r="CU2020" i="1"/>
  <c r="X2020" i="1" s="1"/>
  <c r="CU1981" i="1"/>
  <c r="X1981" i="1" s="1"/>
  <c r="Z2014" i="1"/>
  <c r="Z2004" i="1"/>
  <c r="Z2008" i="1"/>
  <c r="Z2017" i="1"/>
  <c r="Z2006" i="1"/>
  <c r="Z2007" i="1"/>
  <c r="CU2000" i="1"/>
  <c r="X2000" i="1" s="1"/>
  <c r="Z1993" i="1"/>
  <c r="CU2007" i="1"/>
  <c r="X2007" i="1" s="1"/>
  <c r="CU1993" i="1"/>
  <c r="X1993" i="1" s="1"/>
  <c r="Z2013" i="1"/>
  <c r="Z2000" i="1"/>
  <c r="CU2006" i="1"/>
  <c r="X2006" i="1" s="1"/>
  <c r="CU2013" i="1"/>
  <c r="X2013" i="1" s="1"/>
  <c r="CU2008" i="1"/>
  <c r="X2008" i="1" s="1"/>
  <c r="CU2017" i="1"/>
  <c r="X2017" i="1" s="1"/>
  <c r="CU2004" i="1"/>
  <c r="X2004" i="1" s="1"/>
  <c r="CU2014" i="1"/>
  <c r="X2014" i="1" s="1"/>
  <c r="DE665" i="1"/>
  <c r="DC665" i="1"/>
  <c r="DA665" i="1"/>
  <c r="DE663" i="1"/>
  <c r="DC663" i="1"/>
  <c r="DA663" i="1"/>
  <c r="DE638" i="1"/>
  <c r="DC638" i="1"/>
  <c r="DE660" i="1"/>
  <c r="DA660" i="1"/>
  <c r="DC660" i="1"/>
  <c r="DE650" i="1"/>
  <c r="DC650" i="1"/>
  <c r="DB677" i="1"/>
  <c r="CZ677" i="1"/>
  <c r="AD2008" i="1" l="1"/>
  <c r="AD2017" i="1"/>
  <c r="AD2051" i="1"/>
  <c r="AD2035" i="1"/>
  <c r="AD1990" i="1"/>
  <c r="AD2042" i="1"/>
  <c r="AD2043" i="1"/>
  <c r="AD2041" i="1"/>
  <c r="AD2033" i="1"/>
  <c r="AD2019" i="1"/>
  <c r="AD2039" i="1"/>
  <c r="AD2036" i="1"/>
  <c r="AD2027" i="1"/>
  <c r="AD2026" i="1"/>
  <c r="AD2034" i="1"/>
  <c r="AD2006" i="1"/>
  <c r="AD2018" i="1"/>
  <c r="AD2029" i="1"/>
  <c r="AD2016" i="1"/>
  <c r="AD1981" i="1"/>
  <c r="AD2011" i="1"/>
  <c r="AD2020" i="1"/>
  <c r="AD2023" i="1"/>
  <c r="AD2015" i="1"/>
  <c r="AD2030" i="1"/>
  <c r="AD2032" i="1"/>
  <c r="AD2022" i="1"/>
  <c r="AD2021" i="1"/>
  <c r="AD2012" i="1"/>
  <c r="AD2025" i="1"/>
  <c r="AD2005" i="1"/>
  <c r="AD2024" i="1"/>
  <c r="AD2014" i="1"/>
  <c r="AD2004" i="1"/>
  <c r="AD2007" i="1"/>
  <c r="AD2000" i="1"/>
  <c r="AD2013" i="1"/>
  <c r="AD1993" i="1"/>
  <c r="DA638" i="1"/>
  <c r="CJ1181" i="1"/>
  <c r="DC2050" i="1"/>
  <c r="DA2050" i="1"/>
  <c r="CY2050" i="1"/>
  <c r="Y2050" i="1" s="1"/>
  <c r="CW2050" i="1"/>
  <c r="AA2050" i="1" s="1"/>
  <c r="CR2050" i="1"/>
  <c r="CP2050" i="1"/>
  <c r="CN2050" i="1"/>
  <c r="CJ2050" i="1"/>
  <c r="CH2050" i="1"/>
  <c r="CF2050" i="1"/>
  <c r="BL2050" i="1"/>
  <c r="BD2050" i="1"/>
  <c r="AZ2050" i="1"/>
  <c r="AX2050" i="1"/>
  <c r="DC1998" i="1"/>
  <c r="DA1998" i="1"/>
  <c r="CY1998" i="1"/>
  <c r="Y1998" i="1" s="1"/>
  <c r="CW1998" i="1"/>
  <c r="AA1998" i="1" s="1"/>
  <c r="CR1998" i="1"/>
  <c r="CP1998" i="1"/>
  <c r="CN1998" i="1"/>
  <c r="CJ1998" i="1"/>
  <c r="CH1998" i="1"/>
  <c r="CF1998" i="1"/>
  <c r="BL1998" i="1"/>
  <c r="BD1998" i="1"/>
  <c r="AZ1998" i="1"/>
  <c r="AX1998" i="1"/>
  <c r="Y1838" i="1"/>
  <c r="CW1838" i="1"/>
  <c r="AA1838" i="1" s="1"/>
  <c r="CN1838" i="1"/>
  <c r="CH1838" i="1"/>
  <c r="CF1838" i="1"/>
  <c r="BL1838" i="1"/>
  <c r="BD1838" i="1"/>
  <c r="AZ1838" i="1"/>
  <c r="AX1838" i="1"/>
  <c r="CY1992" i="1"/>
  <c r="Y1992" i="1" s="1"/>
  <c r="CW1992" i="1"/>
  <c r="AA1992" i="1" s="1"/>
  <c r="CP1992" i="1"/>
  <c r="CN1992" i="1"/>
  <c r="CH1992" i="1"/>
  <c r="CF1992" i="1"/>
  <c r="BL1992" i="1"/>
  <c r="BD1992" i="1"/>
  <c r="AX1992" i="1"/>
  <c r="DC2009" i="1"/>
  <c r="DA2009" i="1"/>
  <c r="CY2009" i="1"/>
  <c r="Y2009" i="1" s="1"/>
  <c r="CW2009" i="1"/>
  <c r="AA2009" i="1" s="1"/>
  <c r="CR2009" i="1"/>
  <c r="CP2009" i="1"/>
  <c r="CN2009" i="1"/>
  <c r="CJ2009" i="1"/>
  <c r="CH2009" i="1"/>
  <c r="CF2009" i="1"/>
  <c r="BL2009" i="1"/>
  <c r="BD2009" i="1"/>
  <c r="AZ2009" i="1"/>
  <c r="AX2009" i="1"/>
  <c r="DC2001" i="1"/>
  <c r="DA2001" i="1"/>
  <c r="CY2001" i="1"/>
  <c r="Y2001" i="1" s="1"/>
  <c r="CW2001" i="1"/>
  <c r="AA2001" i="1" s="1"/>
  <c r="CR2001" i="1"/>
  <c r="CP2001" i="1"/>
  <c r="CN2001" i="1"/>
  <c r="CJ2001" i="1"/>
  <c r="CH2001" i="1"/>
  <c r="CF2001" i="1"/>
  <c r="BL2001" i="1"/>
  <c r="BD2001" i="1"/>
  <c r="AZ2001" i="1"/>
  <c r="AX2001" i="1"/>
  <c r="CU2050" i="1" l="1"/>
  <c r="X2050" i="1" s="1"/>
  <c r="Z2050" i="1"/>
  <c r="Z2001" i="1"/>
  <c r="Z2009" i="1"/>
  <c r="Z1838" i="1"/>
  <c r="Z1992" i="1"/>
  <c r="Z1998" i="1"/>
  <c r="CU2009" i="1"/>
  <c r="X2009" i="1" s="1"/>
  <c r="CU1998" i="1"/>
  <c r="X1998" i="1" s="1"/>
  <c r="CU2001" i="1"/>
  <c r="X2001" i="1" s="1"/>
  <c r="CU1992" i="1"/>
  <c r="X1992" i="1" s="1"/>
  <c r="CU1838" i="1"/>
  <c r="X1838" i="1" s="1"/>
  <c r="AD2050" i="1" l="1"/>
  <c r="AD2001" i="1"/>
  <c r="AD1992" i="1"/>
  <c r="AD2009" i="1"/>
  <c r="AD1998" i="1"/>
  <c r="AD1838" i="1"/>
  <c r="DC649" i="1"/>
  <c r="DE644" i="1"/>
  <c r="DC644" i="1"/>
  <c r="DA644" i="1"/>
  <c r="DE642" i="1"/>
  <c r="DC642" i="1"/>
  <c r="DA642" i="1"/>
  <c r="DE647" i="1"/>
  <c r="DC647" i="1"/>
  <c r="DA647" i="1"/>
  <c r="DE648" i="1"/>
  <c r="DC648" i="1"/>
  <c r="DA648" i="1"/>
  <c r="DE645" i="1"/>
  <c r="DC645" i="1"/>
  <c r="DA645" i="1"/>
  <c r="DC2052" i="1" l="1"/>
  <c r="DA2052" i="1"/>
  <c r="CY2052" i="1"/>
  <c r="Y2052" i="1" s="1"/>
  <c r="CW2052" i="1"/>
  <c r="AA2052" i="1" s="1"/>
  <c r="CR2052" i="1"/>
  <c r="CP2052" i="1"/>
  <c r="CN2052" i="1"/>
  <c r="CJ2052" i="1"/>
  <c r="CH2052" i="1"/>
  <c r="CF2052" i="1"/>
  <c r="BL2052" i="1"/>
  <c r="BD2052" i="1"/>
  <c r="AZ2052" i="1"/>
  <c r="AX2052" i="1"/>
  <c r="DC2049" i="1"/>
  <c r="DA2049" i="1"/>
  <c r="CY2049" i="1"/>
  <c r="Y2049" i="1" s="1"/>
  <c r="CW2049" i="1"/>
  <c r="AA2049" i="1" s="1"/>
  <c r="CR2049" i="1"/>
  <c r="CP2049" i="1"/>
  <c r="CN2049" i="1"/>
  <c r="CJ2049" i="1"/>
  <c r="CH2049" i="1"/>
  <c r="CF2049" i="1"/>
  <c r="BL2049" i="1"/>
  <c r="BD2049" i="1"/>
  <c r="AZ2049" i="1"/>
  <c r="AX2049" i="1"/>
  <c r="DC1976" i="1"/>
  <c r="DA1976" i="1"/>
  <c r="CY1976" i="1"/>
  <c r="Y1976" i="1" s="1"/>
  <c r="CW1976" i="1"/>
  <c r="AA1976" i="1" s="1"/>
  <c r="CR1976" i="1"/>
  <c r="CP1976" i="1"/>
  <c r="CN1976" i="1"/>
  <c r="CJ1976" i="1"/>
  <c r="CH1976" i="1"/>
  <c r="CF1976" i="1"/>
  <c r="BL1976" i="1"/>
  <c r="BD1976" i="1"/>
  <c r="AZ1976" i="1"/>
  <c r="AX1976" i="1"/>
  <c r="DC1997" i="1"/>
  <c r="DA1997" i="1"/>
  <c r="CY1997" i="1"/>
  <c r="Y1997" i="1" s="1"/>
  <c r="CW1997" i="1"/>
  <c r="AA1997" i="1" s="1"/>
  <c r="CR1997" i="1"/>
  <c r="CP1997" i="1"/>
  <c r="CN1997" i="1"/>
  <c r="CJ1997" i="1"/>
  <c r="CH1997" i="1"/>
  <c r="CF1997" i="1"/>
  <c r="BL1997" i="1"/>
  <c r="BD1997" i="1"/>
  <c r="AZ1997" i="1"/>
  <c r="AX1997" i="1"/>
  <c r="DC1991" i="1"/>
  <c r="DA1991" i="1"/>
  <c r="CY1991" i="1"/>
  <c r="Y1991" i="1" s="1"/>
  <c r="CW1991" i="1"/>
  <c r="AA1991" i="1" s="1"/>
  <c r="CR1991" i="1"/>
  <c r="CP1991" i="1"/>
  <c r="CN1991" i="1"/>
  <c r="CJ1991" i="1"/>
  <c r="CH1991" i="1"/>
  <c r="CF1991" i="1"/>
  <c r="BL1991" i="1"/>
  <c r="BD1991" i="1"/>
  <c r="AZ1991" i="1"/>
  <c r="AX1991" i="1"/>
  <c r="DC1995" i="1"/>
  <c r="DA1995" i="1"/>
  <c r="CY1995" i="1"/>
  <c r="Y1995" i="1" s="1"/>
  <c r="CW1995" i="1"/>
  <c r="AA1995" i="1" s="1"/>
  <c r="CR1995" i="1"/>
  <c r="CP1995" i="1"/>
  <c r="CN1995" i="1"/>
  <c r="CJ1995" i="1"/>
  <c r="CH1995" i="1"/>
  <c r="CF1995" i="1"/>
  <c r="BL1995" i="1"/>
  <c r="BD1995" i="1"/>
  <c r="AZ1995" i="1"/>
  <c r="AX1995" i="1"/>
  <c r="DC1987" i="1"/>
  <c r="DA1987" i="1"/>
  <c r="CY1987" i="1"/>
  <c r="Y1987" i="1" s="1"/>
  <c r="CW1987" i="1"/>
  <c r="AA1987" i="1" s="1"/>
  <c r="CR1987" i="1"/>
  <c r="CP1987" i="1"/>
  <c r="CN1987" i="1"/>
  <c r="CJ1987" i="1"/>
  <c r="CH1987" i="1"/>
  <c r="CF1987" i="1"/>
  <c r="BL1987" i="1"/>
  <c r="BD1987" i="1"/>
  <c r="AZ1987" i="1"/>
  <c r="AX1987" i="1"/>
  <c r="DC1988" i="1"/>
  <c r="DA1988" i="1"/>
  <c r="CY1988" i="1"/>
  <c r="Y1988" i="1" s="1"/>
  <c r="CW1988" i="1"/>
  <c r="AA1988" i="1" s="1"/>
  <c r="CR1988" i="1"/>
  <c r="CP1988" i="1"/>
  <c r="CN1988" i="1"/>
  <c r="CJ1988" i="1"/>
  <c r="CH1988" i="1"/>
  <c r="CF1988" i="1"/>
  <c r="BL1988" i="1"/>
  <c r="BD1988" i="1"/>
  <c r="AZ1988" i="1"/>
  <c r="AX1988" i="1"/>
  <c r="DC1980" i="1"/>
  <c r="DA1980" i="1"/>
  <c r="CY1980" i="1"/>
  <c r="Y1980" i="1" s="1"/>
  <c r="CW1980" i="1"/>
  <c r="AA1980" i="1" s="1"/>
  <c r="CR1980" i="1"/>
  <c r="CP1980" i="1"/>
  <c r="CN1980" i="1"/>
  <c r="CJ1980" i="1"/>
  <c r="CH1980" i="1"/>
  <c r="CF1980" i="1"/>
  <c r="BL1980" i="1"/>
  <c r="BD1980" i="1"/>
  <c r="AZ1980" i="1"/>
  <c r="AX1980" i="1"/>
  <c r="DC1982" i="1"/>
  <c r="DA1982" i="1"/>
  <c r="CY1982" i="1"/>
  <c r="Y1982" i="1" s="1"/>
  <c r="CW1982" i="1"/>
  <c r="AA1982" i="1" s="1"/>
  <c r="CR1982" i="1"/>
  <c r="CP1982" i="1"/>
  <c r="CN1982" i="1"/>
  <c r="CJ1982" i="1"/>
  <c r="CH1982" i="1"/>
  <c r="CF1982" i="1"/>
  <c r="BL1982" i="1"/>
  <c r="BD1982" i="1"/>
  <c r="AZ1982" i="1"/>
  <c r="AX1982" i="1"/>
  <c r="DC1965" i="1"/>
  <c r="DA1965" i="1"/>
  <c r="CY1965" i="1"/>
  <c r="Y1965" i="1" s="1"/>
  <c r="CW1965" i="1"/>
  <c r="AA1965" i="1" s="1"/>
  <c r="CR1965" i="1"/>
  <c r="CP1965" i="1"/>
  <c r="CN1965" i="1"/>
  <c r="CJ1965" i="1"/>
  <c r="CH1965" i="1"/>
  <c r="CF1965" i="1"/>
  <c r="BL1965" i="1"/>
  <c r="BD1965" i="1"/>
  <c r="AZ1965" i="1"/>
  <c r="AX1965" i="1"/>
  <c r="DC1968" i="1"/>
  <c r="DA1968" i="1"/>
  <c r="CY1968" i="1"/>
  <c r="Y1968" i="1" s="1"/>
  <c r="CW1968" i="1"/>
  <c r="AA1968" i="1" s="1"/>
  <c r="CR1968" i="1"/>
  <c r="CP1968" i="1"/>
  <c r="CN1968" i="1"/>
  <c r="CJ1968" i="1"/>
  <c r="CH1968" i="1"/>
  <c r="CF1968" i="1"/>
  <c r="BL1968" i="1"/>
  <c r="BD1968" i="1"/>
  <c r="AZ1968" i="1"/>
  <c r="AX1968" i="1"/>
  <c r="DC1966" i="1"/>
  <c r="DA1966" i="1"/>
  <c r="CY1966" i="1"/>
  <c r="Y1966" i="1" s="1"/>
  <c r="CW1966" i="1"/>
  <c r="AA1966" i="1" s="1"/>
  <c r="CR1966" i="1"/>
  <c r="CP1966" i="1"/>
  <c r="CN1966" i="1"/>
  <c r="CJ1966" i="1"/>
  <c r="CH1966" i="1"/>
  <c r="CF1966" i="1"/>
  <c r="BL1966" i="1"/>
  <c r="BD1966" i="1"/>
  <c r="AZ1966" i="1"/>
  <c r="AX1966" i="1"/>
  <c r="DC1940" i="1"/>
  <c r="DA1940" i="1"/>
  <c r="CY1940" i="1"/>
  <c r="Y1940" i="1" s="1"/>
  <c r="CW1940" i="1"/>
  <c r="AA1940" i="1" s="1"/>
  <c r="CR1940" i="1"/>
  <c r="CP1940" i="1"/>
  <c r="CN1940" i="1"/>
  <c r="CJ1940" i="1"/>
  <c r="CH1940" i="1"/>
  <c r="CF1940" i="1"/>
  <c r="BL1940" i="1"/>
  <c r="BD1940" i="1"/>
  <c r="AZ1940" i="1"/>
  <c r="AX1940" i="1"/>
  <c r="DC1983" i="1"/>
  <c r="DA1983" i="1"/>
  <c r="CY1983" i="1"/>
  <c r="Y1983" i="1" s="1"/>
  <c r="CW1983" i="1"/>
  <c r="AA1983" i="1" s="1"/>
  <c r="CR1983" i="1"/>
  <c r="CP1983" i="1"/>
  <c r="CN1983" i="1"/>
  <c r="CJ1983" i="1"/>
  <c r="CH1983" i="1"/>
  <c r="CF1983" i="1"/>
  <c r="BL1983" i="1"/>
  <c r="BD1983" i="1"/>
  <c r="AZ1983" i="1"/>
  <c r="AX1983" i="1"/>
  <c r="DC1975" i="1"/>
  <c r="DA1975" i="1"/>
  <c r="CY1975" i="1"/>
  <c r="Y1975" i="1" s="1"/>
  <c r="CW1975" i="1"/>
  <c r="AA1975" i="1" s="1"/>
  <c r="CR1975" i="1"/>
  <c r="CP1975" i="1"/>
  <c r="CN1975" i="1"/>
  <c r="CJ1975" i="1"/>
  <c r="CH1975" i="1"/>
  <c r="CF1975" i="1"/>
  <c r="BL1975" i="1"/>
  <c r="BD1975" i="1"/>
  <c r="AZ1975" i="1"/>
  <c r="AX1975" i="1"/>
  <c r="Z2052" i="1" l="1"/>
  <c r="CU2052" i="1"/>
  <c r="X2052" i="1" s="1"/>
  <c r="Z1976" i="1"/>
  <c r="Z1997" i="1"/>
  <c r="Z1995" i="1"/>
  <c r="Z2049" i="1"/>
  <c r="Z1991" i="1"/>
  <c r="CU1995" i="1"/>
  <c r="X1995" i="1" s="1"/>
  <c r="CU1991" i="1"/>
  <c r="X1991" i="1" s="1"/>
  <c r="CU2049" i="1"/>
  <c r="X2049" i="1" s="1"/>
  <c r="CU1997" i="1"/>
  <c r="X1997" i="1" s="1"/>
  <c r="CU1976" i="1"/>
  <c r="X1976" i="1" s="1"/>
  <c r="Z1987" i="1"/>
  <c r="Z1988" i="1"/>
  <c r="Z1982" i="1"/>
  <c r="Z1980" i="1"/>
  <c r="CU1987" i="1"/>
  <c r="X1987" i="1" s="1"/>
  <c r="CU1980" i="1"/>
  <c r="X1980" i="1" s="1"/>
  <c r="CU1982" i="1"/>
  <c r="X1982" i="1" s="1"/>
  <c r="CU1988" i="1"/>
  <c r="X1988" i="1" s="1"/>
  <c r="Z1965" i="1"/>
  <c r="Z1966" i="1"/>
  <c r="Z1975" i="1"/>
  <c r="CU1965" i="1"/>
  <c r="X1965" i="1" s="1"/>
  <c r="Z1940" i="1"/>
  <c r="Z1983" i="1"/>
  <c r="Z1968" i="1"/>
  <c r="CU1975" i="1"/>
  <c r="X1975" i="1" s="1"/>
  <c r="CU1966" i="1"/>
  <c r="X1966" i="1" s="1"/>
  <c r="CU1983" i="1"/>
  <c r="X1983" i="1" s="1"/>
  <c r="CU1968" i="1"/>
  <c r="X1968" i="1" s="1"/>
  <c r="CU1940" i="1"/>
  <c r="X1940" i="1" s="1"/>
  <c r="AZ1181" i="1"/>
  <c r="CY1204" i="1"/>
  <c r="CY851" i="1"/>
  <c r="AZ852" i="1"/>
  <c r="CY852" i="1"/>
  <c r="DC852" i="1"/>
  <c r="DE658" i="1"/>
  <c r="DC658" i="1"/>
  <c r="DE723" i="1"/>
  <c r="DA723" i="1"/>
  <c r="DC721" i="1"/>
  <c r="DA721" i="1"/>
  <c r="DE727" i="1"/>
  <c r="DA727" i="1"/>
  <c r="DE1245" i="1"/>
  <c r="AD2052" i="1" l="1"/>
  <c r="AD1991" i="1"/>
  <c r="AD1968" i="1"/>
  <c r="AD1976" i="1"/>
  <c r="AD2049" i="1"/>
  <c r="AD1997" i="1"/>
  <c r="AD1995" i="1"/>
  <c r="AD1982" i="1"/>
  <c r="AD1987" i="1"/>
  <c r="AD1983" i="1"/>
  <c r="AD1988" i="1"/>
  <c r="AD1980" i="1"/>
  <c r="AD1966" i="1"/>
  <c r="AD1965" i="1"/>
  <c r="AD1975" i="1"/>
  <c r="AD1940" i="1"/>
  <c r="DE643" i="1" l="1"/>
  <c r="DC643" i="1"/>
  <c r="DA643" i="1"/>
  <c r="DC1985" i="1" l="1"/>
  <c r="DA1985" i="1"/>
  <c r="CY1985" i="1"/>
  <c r="Y1985" i="1" s="1"/>
  <c r="CW1985" i="1"/>
  <c r="AA1985" i="1" s="1"/>
  <c r="CR1985" i="1"/>
  <c r="CP1985" i="1"/>
  <c r="CN1985" i="1"/>
  <c r="CJ1985" i="1"/>
  <c r="CH1985" i="1"/>
  <c r="CF1985" i="1"/>
  <c r="BL1985" i="1"/>
  <c r="BD1985" i="1"/>
  <c r="AZ1985" i="1"/>
  <c r="AX1985" i="1"/>
  <c r="DC1925" i="1"/>
  <c r="DA1925" i="1"/>
  <c r="CY1925" i="1"/>
  <c r="Y1925" i="1" s="1"/>
  <c r="CW1925" i="1"/>
  <c r="AA1925" i="1" s="1"/>
  <c r="CR1925" i="1"/>
  <c r="CP1925" i="1"/>
  <c r="CN1925" i="1"/>
  <c r="CJ1925" i="1"/>
  <c r="CH1925" i="1"/>
  <c r="CF1925" i="1"/>
  <c r="BL1925" i="1"/>
  <c r="BD1925" i="1"/>
  <c r="AZ1925" i="1"/>
  <c r="AX1925" i="1"/>
  <c r="DC1979" i="1"/>
  <c r="DA1979" i="1"/>
  <c r="CY1979" i="1"/>
  <c r="Y1979" i="1" s="1"/>
  <c r="CW1979" i="1"/>
  <c r="AA1979" i="1" s="1"/>
  <c r="CR1979" i="1"/>
  <c r="CP1979" i="1"/>
  <c r="CN1979" i="1"/>
  <c r="CJ1979" i="1"/>
  <c r="CH1979" i="1"/>
  <c r="CF1979" i="1"/>
  <c r="BL1979" i="1"/>
  <c r="BD1979" i="1"/>
  <c r="AZ1979" i="1"/>
  <c r="AX1979" i="1"/>
  <c r="DC1978" i="1"/>
  <c r="DA1978" i="1"/>
  <c r="CY1978" i="1"/>
  <c r="Y1978" i="1" s="1"/>
  <c r="CW1978" i="1"/>
  <c r="AA1978" i="1" s="1"/>
  <c r="CR1978" i="1"/>
  <c r="CP1978" i="1"/>
  <c r="CN1978" i="1"/>
  <c r="CJ1978" i="1"/>
  <c r="CH1978" i="1"/>
  <c r="CF1978" i="1"/>
  <c r="BL1978" i="1"/>
  <c r="BD1978" i="1"/>
  <c r="AZ1978" i="1"/>
  <c r="AX1978" i="1"/>
  <c r="DC1977" i="1"/>
  <c r="DA1977" i="1"/>
  <c r="CY1977" i="1"/>
  <c r="Y1977" i="1" s="1"/>
  <c r="CW1977" i="1"/>
  <c r="AA1977" i="1" s="1"/>
  <c r="CR1977" i="1"/>
  <c r="CP1977" i="1"/>
  <c r="CN1977" i="1"/>
  <c r="CJ1977" i="1"/>
  <c r="CH1977" i="1"/>
  <c r="CF1977" i="1"/>
  <c r="BL1977" i="1"/>
  <c r="BD1977" i="1"/>
  <c r="AZ1977" i="1"/>
  <c r="AX1977" i="1"/>
  <c r="DC1984" i="1"/>
  <c r="DA1984" i="1"/>
  <c r="CY1984" i="1"/>
  <c r="Y1984" i="1" s="1"/>
  <c r="CW1984" i="1"/>
  <c r="AA1984" i="1" s="1"/>
  <c r="CR1984" i="1"/>
  <c r="CP1984" i="1"/>
  <c r="CN1984" i="1"/>
  <c r="CJ1984" i="1"/>
  <c r="CH1984" i="1"/>
  <c r="CF1984" i="1"/>
  <c r="BL1984" i="1"/>
  <c r="BD1984" i="1"/>
  <c r="AZ1984" i="1"/>
  <c r="AX1984" i="1"/>
  <c r="DC1964" i="1"/>
  <c r="DA1964" i="1"/>
  <c r="CY1964" i="1"/>
  <c r="Y1964" i="1" s="1"/>
  <c r="CW1964" i="1"/>
  <c r="AA1964" i="1" s="1"/>
  <c r="CR1964" i="1"/>
  <c r="CP1964" i="1"/>
  <c r="CN1964" i="1"/>
  <c r="CJ1964" i="1"/>
  <c r="CH1964" i="1"/>
  <c r="CF1964" i="1"/>
  <c r="BL1964" i="1"/>
  <c r="BD1964" i="1"/>
  <c r="AZ1964" i="1"/>
  <c r="AX1964" i="1"/>
  <c r="DC1947" i="1"/>
  <c r="DA1947" i="1"/>
  <c r="CY1947" i="1"/>
  <c r="Y1947" i="1" s="1"/>
  <c r="CW1947" i="1"/>
  <c r="AA1947" i="1" s="1"/>
  <c r="CR1947" i="1"/>
  <c r="CP1947" i="1"/>
  <c r="CN1947" i="1"/>
  <c r="CJ1947" i="1"/>
  <c r="CH1947" i="1"/>
  <c r="CF1947" i="1"/>
  <c r="BL1947" i="1"/>
  <c r="BD1947" i="1"/>
  <c r="AZ1947" i="1"/>
  <c r="AX1947" i="1"/>
  <c r="DC1944" i="1"/>
  <c r="DA1944" i="1"/>
  <c r="CY1944" i="1"/>
  <c r="Y1944" i="1" s="1"/>
  <c r="CW1944" i="1"/>
  <c r="AA1944" i="1" s="1"/>
  <c r="CR1944" i="1"/>
  <c r="CP1944" i="1"/>
  <c r="CN1944" i="1"/>
  <c r="CJ1944" i="1"/>
  <c r="CH1944" i="1"/>
  <c r="CF1944" i="1"/>
  <c r="BL1944" i="1"/>
  <c r="BD1944" i="1"/>
  <c r="AZ1944" i="1"/>
  <c r="AX1944" i="1"/>
  <c r="DC1945" i="1"/>
  <c r="DA1945" i="1"/>
  <c r="CY1945" i="1"/>
  <c r="Y1945" i="1" s="1"/>
  <c r="CW1945" i="1"/>
  <c r="AA1945" i="1" s="1"/>
  <c r="CR1945" i="1"/>
  <c r="CP1945" i="1"/>
  <c r="CN1945" i="1"/>
  <c r="CJ1945" i="1"/>
  <c r="CH1945" i="1"/>
  <c r="CF1945" i="1"/>
  <c r="BL1945" i="1"/>
  <c r="BD1945" i="1"/>
  <c r="AZ1945" i="1"/>
  <c r="AX1945" i="1"/>
  <c r="DC1973" i="1"/>
  <c r="DA1973" i="1"/>
  <c r="CY1973" i="1"/>
  <c r="Y1973" i="1" s="1"/>
  <c r="CW1973" i="1"/>
  <c r="AA1973" i="1" s="1"/>
  <c r="CR1973" i="1"/>
  <c r="CP1973" i="1"/>
  <c r="CN1973" i="1"/>
  <c r="CJ1973" i="1"/>
  <c r="CH1973" i="1"/>
  <c r="CF1973" i="1"/>
  <c r="BL1973" i="1"/>
  <c r="BD1973" i="1"/>
  <c r="AZ1973" i="1"/>
  <c r="AX1973" i="1"/>
  <c r="Z1925" i="1" l="1"/>
  <c r="Z1977" i="1"/>
  <c r="Z1984" i="1"/>
  <c r="Z1979" i="1"/>
  <c r="CU1977" i="1"/>
  <c r="X1977" i="1" s="1"/>
  <c r="Z1985" i="1"/>
  <c r="Z1978" i="1"/>
  <c r="CU1979" i="1"/>
  <c r="X1979" i="1" s="1"/>
  <c r="CU1984" i="1"/>
  <c r="X1984" i="1" s="1"/>
  <c r="CU1925" i="1"/>
  <c r="X1925" i="1" s="1"/>
  <c r="CU1978" i="1"/>
  <c r="X1978" i="1" s="1"/>
  <c r="CU1985" i="1"/>
  <c r="X1985" i="1" s="1"/>
  <c r="Z1947" i="1"/>
  <c r="Z1945" i="1"/>
  <c r="Z1973" i="1"/>
  <c r="Z1944" i="1"/>
  <c r="Z1964" i="1"/>
  <c r="CU1973" i="1"/>
  <c r="X1973" i="1" s="1"/>
  <c r="CU1964" i="1"/>
  <c r="X1964" i="1" s="1"/>
  <c r="CU1945" i="1"/>
  <c r="X1945" i="1" s="1"/>
  <c r="CU1944" i="1"/>
  <c r="X1944" i="1" s="1"/>
  <c r="CU1947" i="1"/>
  <c r="X1947" i="1" s="1"/>
  <c r="DC1245" i="1"/>
  <c r="CY1245" i="1"/>
  <c r="CR1245" i="1"/>
  <c r="CP1245" i="1"/>
  <c r="CJ1245" i="1"/>
  <c r="AZ1245" i="1"/>
  <c r="AZ1183" i="1"/>
  <c r="CJ1183" i="1"/>
  <c r="CN1183" i="1"/>
  <c r="CP1183" i="1"/>
  <c r="CR1183" i="1"/>
  <c r="CY1183" i="1"/>
  <c r="DA658" i="1"/>
  <c r="AD1984" i="1" l="1"/>
  <c r="AD1977" i="1"/>
  <c r="AD1925" i="1"/>
  <c r="AD1979" i="1"/>
  <c r="AD1985" i="1"/>
  <c r="AD1978" i="1"/>
  <c r="AD1947" i="1"/>
  <c r="AD1944" i="1"/>
  <c r="AD1945" i="1"/>
  <c r="AD1973" i="1"/>
  <c r="AD1964" i="1"/>
  <c r="DC1989" i="1"/>
  <c r="DA1989" i="1"/>
  <c r="CY1989" i="1"/>
  <c r="Y1989" i="1" s="1"/>
  <c r="CW1989" i="1"/>
  <c r="AA1989" i="1" s="1"/>
  <c r="CR1989" i="1"/>
  <c r="CP1989" i="1"/>
  <c r="CN1989" i="1"/>
  <c r="CJ1989" i="1"/>
  <c r="CH1989" i="1"/>
  <c r="CF1989" i="1"/>
  <c r="BL1989" i="1"/>
  <c r="BD1989" i="1"/>
  <c r="AZ1989" i="1"/>
  <c r="AX1989" i="1"/>
  <c r="DC1971" i="1"/>
  <c r="DA1971" i="1"/>
  <c r="CY1971" i="1"/>
  <c r="Y1971" i="1" s="1"/>
  <c r="CW1971" i="1"/>
  <c r="AA1971" i="1" s="1"/>
  <c r="CR1971" i="1"/>
  <c r="CP1971" i="1"/>
  <c r="CN1971" i="1"/>
  <c r="CJ1971" i="1"/>
  <c r="CH1971" i="1"/>
  <c r="CF1971" i="1"/>
  <c r="BL1971" i="1"/>
  <c r="BD1971" i="1"/>
  <c r="AZ1971" i="1"/>
  <c r="AX1971" i="1"/>
  <c r="DC1970" i="1"/>
  <c r="DA1970" i="1"/>
  <c r="CY1970" i="1"/>
  <c r="Y1970" i="1" s="1"/>
  <c r="CW1970" i="1"/>
  <c r="AA1970" i="1" s="1"/>
  <c r="CR1970" i="1"/>
  <c r="CP1970" i="1"/>
  <c r="CN1970" i="1"/>
  <c r="CJ1970" i="1"/>
  <c r="CH1970" i="1"/>
  <c r="CF1970" i="1"/>
  <c r="BL1970" i="1"/>
  <c r="BD1970" i="1"/>
  <c r="AZ1970" i="1"/>
  <c r="AX1970" i="1"/>
  <c r="DC1972" i="1"/>
  <c r="DA1972" i="1"/>
  <c r="CY1972" i="1"/>
  <c r="Y1972" i="1" s="1"/>
  <c r="CW1972" i="1"/>
  <c r="AA1972" i="1" s="1"/>
  <c r="CR1972" i="1"/>
  <c r="CP1972" i="1"/>
  <c r="CN1972" i="1"/>
  <c r="CJ1972" i="1"/>
  <c r="CH1972" i="1"/>
  <c r="CF1972" i="1"/>
  <c r="BL1972" i="1"/>
  <c r="BD1972" i="1"/>
  <c r="AZ1972" i="1"/>
  <c r="AX1972" i="1"/>
  <c r="DC1974" i="1"/>
  <c r="DA1974" i="1"/>
  <c r="CY1974" i="1"/>
  <c r="Y1974" i="1" s="1"/>
  <c r="CW1974" i="1"/>
  <c r="AA1974" i="1" s="1"/>
  <c r="CR1974" i="1"/>
  <c r="CP1974" i="1"/>
  <c r="CN1974" i="1"/>
  <c r="CJ1974" i="1"/>
  <c r="CH1974" i="1"/>
  <c r="CF1974" i="1"/>
  <c r="BL1974" i="1"/>
  <c r="BD1974" i="1"/>
  <c r="AZ1974" i="1"/>
  <c r="AX1974" i="1"/>
  <c r="Z1970" i="1" l="1"/>
  <c r="Z1972" i="1"/>
  <c r="CU1971" i="1"/>
  <c r="X1971" i="1" s="1"/>
  <c r="CU1989" i="1"/>
  <c r="X1989" i="1" s="1"/>
  <c r="Z1989" i="1"/>
  <c r="Z1971" i="1"/>
  <c r="Z1974" i="1"/>
  <c r="CU1972" i="1"/>
  <c r="X1972" i="1" s="1"/>
  <c r="CU1970" i="1"/>
  <c r="X1970" i="1" s="1"/>
  <c r="CU1974" i="1"/>
  <c r="X1974" i="1" s="1"/>
  <c r="AD1970" i="1" l="1"/>
  <c r="AD1971" i="1"/>
  <c r="AD1972" i="1"/>
  <c r="AD1989" i="1"/>
  <c r="AD1974" i="1"/>
  <c r="DA1813" i="1"/>
  <c r="Y1813" i="1"/>
  <c r="CW1813" i="1"/>
  <c r="AA1813" i="1" s="1"/>
  <c r="CP1813" i="1"/>
  <c r="CH1813" i="1"/>
  <c r="CF1813" i="1"/>
  <c r="BL1813" i="1"/>
  <c r="BD1813" i="1"/>
  <c r="AX1813" i="1"/>
  <c r="DC1934" i="1"/>
  <c r="DA1934" i="1"/>
  <c r="CY1934" i="1"/>
  <c r="Y1934" i="1" s="1"/>
  <c r="CW1934" i="1"/>
  <c r="AA1934" i="1" s="1"/>
  <c r="CR1934" i="1"/>
  <c r="CP1934" i="1"/>
  <c r="CN1934" i="1"/>
  <c r="CJ1934" i="1"/>
  <c r="CH1934" i="1"/>
  <c r="CF1934" i="1"/>
  <c r="BL1934" i="1"/>
  <c r="BD1934" i="1"/>
  <c r="AZ1934" i="1"/>
  <c r="AX1934" i="1"/>
  <c r="DC1935" i="1"/>
  <c r="DA1935" i="1"/>
  <c r="CY1935" i="1"/>
  <c r="Y1935" i="1" s="1"/>
  <c r="CW1935" i="1"/>
  <c r="AA1935" i="1" s="1"/>
  <c r="CR1935" i="1"/>
  <c r="CP1935" i="1"/>
  <c r="CN1935" i="1"/>
  <c r="CJ1935" i="1"/>
  <c r="CH1935" i="1"/>
  <c r="CF1935" i="1"/>
  <c r="BL1935" i="1"/>
  <c r="BD1935" i="1"/>
  <c r="AZ1935" i="1"/>
  <c r="AX1935" i="1"/>
  <c r="DC1905" i="1"/>
  <c r="DA1905" i="1"/>
  <c r="CY1905" i="1"/>
  <c r="Y1905" i="1" s="1"/>
  <c r="CW1905" i="1"/>
  <c r="AA1905" i="1" s="1"/>
  <c r="CR1905" i="1"/>
  <c r="CP1905" i="1"/>
  <c r="CN1905" i="1"/>
  <c r="CJ1905" i="1"/>
  <c r="CH1905" i="1"/>
  <c r="CF1905" i="1"/>
  <c r="BL1905" i="1"/>
  <c r="BD1905" i="1"/>
  <c r="AZ1905" i="1"/>
  <c r="AX1905" i="1"/>
  <c r="DC1933" i="1"/>
  <c r="DA1933" i="1"/>
  <c r="CY1933" i="1"/>
  <c r="Y1933" i="1" s="1"/>
  <c r="CW1933" i="1"/>
  <c r="AA1933" i="1" s="1"/>
  <c r="CR1933" i="1"/>
  <c r="CP1933" i="1"/>
  <c r="CN1933" i="1"/>
  <c r="CJ1933" i="1"/>
  <c r="CH1933" i="1"/>
  <c r="CF1933" i="1"/>
  <c r="BL1933" i="1"/>
  <c r="BD1933" i="1"/>
  <c r="AZ1933" i="1"/>
  <c r="AX1933" i="1"/>
  <c r="DC1948" i="1"/>
  <c r="DA1948" i="1"/>
  <c r="CY1948" i="1"/>
  <c r="Y1948" i="1" s="1"/>
  <c r="CW1948" i="1"/>
  <c r="AA1948" i="1" s="1"/>
  <c r="CR1948" i="1"/>
  <c r="CP1948" i="1"/>
  <c r="CN1948" i="1"/>
  <c r="CJ1948" i="1"/>
  <c r="CH1948" i="1"/>
  <c r="CF1948" i="1"/>
  <c r="BL1948" i="1"/>
  <c r="BD1948" i="1"/>
  <c r="AZ1948" i="1"/>
  <c r="AX1948" i="1"/>
  <c r="DC1960" i="1"/>
  <c r="DA1960" i="1"/>
  <c r="CY1960" i="1"/>
  <c r="Y1960" i="1" s="1"/>
  <c r="CW1960" i="1"/>
  <c r="AA1960" i="1" s="1"/>
  <c r="CR1960" i="1"/>
  <c r="CP1960" i="1"/>
  <c r="CN1960" i="1"/>
  <c r="CJ1960" i="1"/>
  <c r="CH1960" i="1"/>
  <c r="CF1960" i="1"/>
  <c r="BL1960" i="1"/>
  <c r="BD1960" i="1"/>
  <c r="AZ1960" i="1"/>
  <c r="AX1960" i="1"/>
  <c r="DC1952" i="1"/>
  <c r="DA1952" i="1"/>
  <c r="CY1952" i="1"/>
  <c r="Y1952" i="1" s="1"/>
  <c r="CW1952" i="1"/>
  <c r="AA1952" i="1" s="1"/>
  <c r="CR1952" i="1"/>
  <c r="CP1952" i="1"/>
  <c r="CN1952" i="1"/>
  <c r="CJ1952" i="1"/>
  <c r="CH1952" i="1"/>
  <c r="CF1952" i="1"/>
  <c r="BL1952" i="1"/>
  <c r="BD1952" i="1"/>
  <c r="AZ1952" i="1"/>
  <c r="AX1952" i="1"/>
  <c r="DC1953" i="1"/>
  <c r="DA1953" i="1"/>
  <c r="CY1953" i="1"/>
  <c r="Y1953" i="1" s="1"/>
  <c r="CW1953" i="1"/>
  <c r="AA1953" i="1" s="1"/>
  <c r="CR1953" i="1"/>
  <c r="CP1953" i="1"/>
  <c r="CN1953" i="1"/>
  <c r="CJ1953" i="1"/>
  <c r="CH1953" i="1"/>
  <c r="CF1953" i="1"/>
  <c r="BL1953" i="1"/>
  <c r="BD1953" i="1"/>
  <c r="AZ1953" i="1"/>
  <c r="AX1953" i="1"/>
  <c r="DC1956" i="1"/>
  <c r="DA1956" i="1"/>
  <c r="CY1956" i="1"/>
  <c r="Y1956" i="1" s="1"/>
  <c r="CW1956" i="1"/>
  <c r="AA1956" i="1" s="1"/>
  <c r="CR1956" i="1"/>
  <c r="CP1956" i="1"/>
  <c r="CN1956" i="1"/>
  <c r="CJ1956" i="1"/>
  <c r="CH1956" i="1"/>
  <c r="CF1956" i="1"/>
  <c r="BL1956" i="1"/>
  <c r="BD1956" i="1"/>
  <c r="AZ1956" i="1"/>
  <c r="AX1956" i="1"/>
  <c r="DC1958" i="1"/>
  <c r="DA1958" i="1"/>
  <c r="CY1958" i="1"/>
  <c r="Y1958" i="1" s="1"/>
  <c r="CW1958" i="1"/>
  <c r="AA1958" i="1" s="1"/>
  <c r="CR1958" i="1"/>
  <c r="CP1958" i="1"/>
  <c r="CN1958" i="1"/>
  <c r="CJ1958" i="1"/>
  <c r="CH1958" i="1"/>
  <c r="CF1958" i="1"/>
  <c r="BL1958" i="1"/>
  <c r="BD1958" i="1"/>
  <c r="AZ1958" i="1"/>
  <c r="AX1958" i="1"/>
  <c r="DC1959" i="1"/>
  <c r="DA1959" i="1"/>
  <c r="CY1959" i="1"/>
  <c r="Y1959" i="1" s="1"/>
  <c r="CW1959" i="1"/>
  <c r="AA1959" i="1" s="1"/>
  <c r="CR1959" i="1"/>
  <c r="CP1959" i="1"/>
  <c r="CN1959" i="1"/>
  <c r="CJ1959" i="1"/>
  <c r="CH1959" i="1"/>
  <c r="CF1959" i="1"/>
  <c r="BL1959" i="1"/>
  <c r="BD1959" i="1"/>
  <c r="AZ1959" i="1"/>
  <c r="AX1959" i="1"/>
  <c r="CU1813" i="1" l="1"/>
  <c r="X1813" i="1" s="1"/>
  <c r="Z1813" i="1"/>
  <c r="Z1956" i="1"/>
  <c r="CU1934" i="1"/>
  <c r="X1934" i="1" s="1"/>
  <c r="Z1953" i="1"/>
  <c r="Z1948" i="1"/>
  <c r="Z1933" i="1"/>
  <c r="Z1960" i="1"/>
  <c r="Z1935" i="1"/>
  <c r="Z1905" i="1"/>
  <c r="Z1959" i="1"/>
  <c r="Z1958" i="1"/>
  <c r="CU1953" i="1"/>
  <c r="X1953" i="1" s="1"/>
  <c r="AD1953" i="1" s="1"/>
  <c r="Z1952" i="1"/>
  <c r="Z1934" i="1"/>
  <c r="CU1958" i="1"/>
  <c r="X1958" i="1" s="1"/>
  <c r="CU1960" i="1"/>
  <c r="X1960" i="1" s="1"/>
  <c r="CU1905" i="1"/>
  <c r="X1905" i="1" s="1"/>
  <c r="CU1935" i="1"/>
  <c r="X1935" i="1" s="1"/>
  <c r="CU1956" i="1"/>
  <c r="X1956" i="1" s="1"/>
  <c r="CU1948" i="1"/>
  <c r="X1948" i="1" s="1"/>
  <c r="CU1959" i="1"/>
  <c r="X1959" i="1" s="1"/>
  <c r="CU1952" i="1"/>
  <c r="X1952" i="1" s="1"/>
  <c r="CU1933" i="1"/>
  <c r="X1933" i="1" s="1"/>
  <c r="DC1946" i="1"/>
  <c r="DA1946" i="1"/>
  <c r="CY1946" i="1"/>
  <c r="Y1946" i="1" s="1"/>
  <c r="CW1946" i="1"/>
  <c r="AA1946" i="1" s="1"/>
  <c r="CR1946" i="1"/>
  <c r="CP1946" i="1"/>
  <c r="CN1946" i="1"/>
  <c r="CJ1946" i="1"/>
  <c r="CH1946" i="1"/>
  <c r="CF1946" i="1"/>
  <c r="BL1946" i="1"/>
  <c r="BD1946" i="1"/>
  <c r="AZ1946" i="1"/>
  <c r="AX1946" i="1"/>
  <c r="Y1943" i="1"/>
  <c r="AA1943" i="1"/>
  <c r="DC1941" i="1"/>
  <c r="DA1941" i="1"/>
  <c r="Y1941" i="1"/>
  <c r="AA1941" i="1"/>
  <c r="CR1941" i="1"/>
  <c r="CN1941" i="1"/>
  <c r="CJ1941" i="1"/>
  <c r="CH1941" i="1"/>
  <c r="CF1941" i="1"/>
  <c r="BD1941" i="1"/>
  <c r="AZ1941" i="1"/>
  <c r="AX1941" i="1"/>
  <c r="DC1954" i="1"/>
  <c r="DA1954" i="1"/>
  <c r="CY1954" i="1"/>
  <c r="Y1954" i="1" s="1"/>
  <c r="CW1954" i="1"/>
  <c r="AA1954" i="1" s="1"/>
  <c r="CR1954" i="1"/>
  <c r="CP1954" i="1"/>
  <c r="CN1954" i="1"/>
  <c r="CJ1954" i="1"/>
  <c r="CH1954" i="1"/>
  <c r="CF1954" i="1"/>
  <c r="BL1954" i="1"/>
  <c r="BD1954" i="1"/>
  <c r="AZ1954" i="1"/>
  <c r="AX1954" i="1"/>
  <c r="DC1955" i="1"/>
  <c r="DA1955" i="1"/>
  <c r="CY1955" i="1"/>
  <c r="Y1955" i="1" s="1"/>
  <c r="CW1955" i="1"/>
  <c r="AA1955" i="1" s="1"/>
  <c r="CR1955" i="1"/>
  <c r="CP1955" i="1"/>
  <c r="CN1955" i="1"/>
  <c r="CJ1955" i="1"/>
  <c r="CH1955" i="1"/>
  <c r="CF1955" i="1"/>
  <c r="BL1955" i="1"/>
  <c r="BD1955" i="1"/>
  <c r="AZ1955" i="1"/>
  <c r="AX1955" i="1"/>
  <c r="DC1951" i="1"/>
  <c r="DA1951" i="1"/>
  <c r="CY1951" i="1"/>
  <c r="Y1951" i="1" s="1"/>
  <c r="CW1951" i="1"/>
  <c r="AA1951" i="1" s="1"/>
  <c r="CR1951" i="1"/>
  <c r="CP1951" i="1"/>
  <c r="CN1951" i="1"/>
  <c r="CJ1951" i="1"/>
  <c r="CH1951" i="1"/>
  <c r="CF1951" i="1"/>
  <c r="BL1951" i="1"/>
  <c r="BD1951" i="1"/>
  <c r="AZ1951" i="1"/>
  <c r="AX1951" i="1"/>
  <c r="DC1962" i="1"/>
  <c r="DA1962" i="1"/>
  <c r="CY1962" i="1"/>
  <c r="Y1962" i="1" s="1"/>
  <c r="CW1962" i="1"/>
  <c r="AA1962" i="1" s="1"/>
  <c r="CR1962" i="1"/>
  <c r="CP1962" i="1"/>
  <c r="CN1962" i="1"/>
  <c r="CJ1962" i="1"/>
  <c r="CH1962" i="1"/>
  <c r="CF1962" i="1"/>
  <c r="BL1962" i="1"/>
  <c r="BD1962" i="1"/>
  <c r="AZ1962" i="1"/>
  <c r="AX1962" i="1"/>
  <c r="DC1950" i="1"/>
  <c r="DA1950" i="1"/>
  <c r="CY1950" i="1"/>
  <c r="Y1950" i="1" s="1"/>
  <c r="CW1950" i="1"/>
  <c r="AA1950" i="1" s="1"/>
  <c r="CR1950" i="1"/>
  <c r="CP1950" i="1"/>
  <c r="CN1950" i="1"/>
  <c r="CJ1950" i="1"/>
  <c r="CH1950" i="1"/>
  <c r="CF1950" i="1"/>
  <c r="BL1950" i="1"/>
  <c r="BD1950" i="1"/>
  <c r="AZ1950" i="1"/>
  <c r="AX1950" i="1"/>
  <c r="AD1935" i="1" l="1"/>
  <c r="AD1956" i="1"/>
  <c r="AD1813" i="1"/>
  <c r="Z1946" i="1"/>
  <c r="AD1933" i="1"/>
  <c r="AD1934" i="1"/>
  <c r="AD1959" i="1"/>
  <c r="AD1905" i="1"/>
  <c r="AD1948" i="1"/>
  <c r="AD1958" i="1"/>
  <c r="AD1952" i="1"/>
  <c r="AD1960" i="1"/>
  <c r="Z1943" i="1"/>
  <c r="X1943" i="1"/>
  <c r="CU1946" i="1"/>
  <c r="X1946" i="1" s="1"/>
  <c r="Z1941" i="1"/>
  <c r="Z1955" i="1"/>
  <c r="Z1962" i="1"/>
  <c r="Z1950" i="1"/>
  <c r="CU1950" i="1"/>
  <c r="X1950" i="1" s="1"/>
  <c r="Z1951" i="1"/>
  <c r="CU1954" i="1"/>
  <c r="X1954" i="1" s="1"/>
  <c r="Z1954" i="1"/>
  <c r="CU1951" i="1"/>
  <c r="X1951" i="1" s="1"/>
  <c r="CU1962" i="1"/>
  <c r="X1962" i="1" s="1"/>
  <c r="CU1955" i="1"/>
  <c r="X1955" i="1" s="1"/>
  <c r="CU1941" i="1"/>
  <c r="X1941" i="1" s="1"/>
  <c r="AD1946" i="1" l="1"/>
  <c r="AD1943" i="1"/>
  <c r="AD1962" i="1"/>
  <c r="AD1941" i="1"/>
  <c r="AD1955" i="1"/>
  <c r="AD1950" i="1"/>
  <c r="AD1951" i="1"/>
  <c r="AD1954" i="1"/>
  <c r="DA1471" i="1"/>
  <c r="Y1471" i="1"/>
  <c r="CW1471" i="1"/>
  <c r="AA1471" i="1" s="1"/>
  <c r="CR1471" i="1"/>
  <c r="CP1471" i="1"/>
  <c r="CN1471" i="1"/>
  <c r="CJ1471" i="1"/>
  <c r="CH1471" i="1"/>
  <c r="CF1471" i="1"/>
  <c r="BL1471" i="1"/>
  <c r="BD1471" i="1"/>
  <c r="AZ1471" i="1"/>
  <c r="AX1471" i="1"/>
  <c r="DC1957" i="1"/>
  <c r="DA1957" i="1"/>
  <c r="CY1957" i="1"/>
  <c r="Y1957" i="1" s="1"/>
  <c r="CW1957" i="1"/>
  <c r="AA1957" i="1" s="1"/>
  <c r="CR1957" i="1"/>
  <c r="CP1957" i="1"/>
  <c r="CN1957" i="1"/>
  <c r="CJ1957" i="1"/>
  <c r="CH1957" i="1"/>
  <c r="CF1957" i="1"/>
  <c r="BL1957" i="1"/>
  <c r="BD1957" i="1"/>
  <c r="AZ1957" i="1"/>
  <c r="AX1957" i="1"/>
  <c r="DC1963" i="1"/>
  <c r="DA1963" i="1"/>
  <c r="CY1963" i="1"/>
  <c r="Y1963" i="1" s="1"/>
  <c r="CW1963" i="1"/>
  <c r="AA1963" i="1" s="1"/>
  <c r="CR1963" i="1"/>
  <c r="CP1963" i="1"/>
  <c r="CN1963" i="1"/>
  <c r="CJ1963" i="1"/>
  <c r="CH1963" i="1"/>
  <c r="CF1963" i="1"/>
  <c r="BL1963" i="1"/>
  <c r="BD1963" i="1"/>
  <c r="AZ1963" i="1"/>
  <c r="AX1963" i="1"/>
  <c r="DC1942" i="1"/>
  <c r="DA1942" i="1"/>
  <c r="CY1942" i="1"/>
  <c r="Y1942" i="1" s="1"/>
  <c r="CW1942" i="1"/>
  <c r="AA1942" i="1" s="1"/>
  <c r="CR1942" i="1"/>
  <c r="CP1942" i="1"/>
  <c r="CN1942" i="1"/>
  <c r="CJ1942" i="1"/>
  <c r="CH1942" i="1"/>
  <c r="CF1942" i="1"/>
  <c r="BL1942" i="1"/>
  <c r="BD1942" i="1"/>
  <c r="AZ1942" i="1"/>
  <c r="AX1942" i="1"/>
  <c r="DC1961" i="1"/>
  <c r="DA1961" i="1"/>
  <c r="CY1961" i="1"/>
  <c r="Y1961" i="1" s="1"/>
  <c r="CW1961" i="1"/>
  <c r="AA1961" i="1" s="1"/>
  <c r="CR1961" i="1"/>
  <c r="CP1961" i="1"/>
  <c r="CN1961" i="1"/>
  <c r="CJ1961" i="1"/>
  <c r="CH1961" i="1"/>
  <c r="CF1961" i="1"/>
  <c r="BL1961" i="1"/>
  <c r="BD1961" i="1"/>
  <c r="AZ1961" i="1"/>
  <c r="AX1961" i="1"/>
  <c r="DC1936" i="1"/>
  <c r="DA1936" i="1"/>
  <c r="CY1936" i="1"/>
  <c r="Y1936" i="1" s="1"/>
  <c r="CW1936" i="1"/>
  <c r="AA1936" i="1" s="1"/>
  <c r="CR1936" i="1"/>
  <c r="CP1936" i="1"/>
  <c r="CN1936" i="1"/>
  <c r="CJ1936" i="1"/>
  <c r="CH1936" i="1"/>
  <c r="CF1936" i="1"/>
  <c r="BL1936" i="1"/>
  <c r="BD1936" i="1"/>
  <c r="AZ1936" i="1"/>
  <c r="AX1936" i="1"/>
  <c r="DC1938" i="1"/>
  <c r="DA1938" i="1"/>
  <c r="CY1938" i="1"/>
  <c r="Y1938" i="1" s="1"/>
  <c r="CW1938" i="1"/>
  <c r="AA1938" i="1" s="1"/>
  <c r="CR1938" i="1"/>
  <c r="CP1938" i="1"/>
  <c r="CN1938" i="1"/>
  <c r="CJ1938" i="1"/>
  <c r="CH1938" i="1"/>
  <c r="CF1938" i="1"/>
  <c r="BL1938" i="1"/>
  <c r="BD1938" i="1"/>
  <c r="AZ1938" i="1"/>
  <c r="AX1938" i="1"/>
  <c r="DC1939" i="1"/>
  <c r="DA1939" i="1"/>
  <c r="CY1939" i="1"/>
  <c r="Y1939" i="1" s="1"/>
  <c r="CW1939" i="1"/>
  <c r="AA1939" i="1" s="1"/>
  <c r="CR1939" i="1"/>
  <c r="CP1939" i="1"/>
  <c r="CN1939" i="1"/>
  <c r="CJ1939" i="1"/>
  <c r="CH1939" i="1"/>
  <c r="CF1939" i="1"/>
  <c r="BL1939" i="1"/>
  <c r="BD1939" i="1"/>
  <c r="AZ1939" i="1"/>
  <c r="AX1939" i="1"/>
  <c r="DC1937" i="1"/>
  <c r="DA1937" i="1"/>
  <c r="CY1937" i="1"/>
  <c r="Y1937" i="1" s="1"/>
  <c r="CW1937" i="1"/>
  <c r="AA1937" i="1" s="1"/>
  <c r="CR1937" i="1"/>
  <c r="CP1937" i="1"/>
  <c r="CN1937" i="1"/>
  <c r="CJ1937" i="1"/>
  <c r="CH1937" i="1"/>
  <c r="CF1937" i="1"/>
  <c r="BL1937" i="1"/>
  <c r="BD1937" i="1"/>
  <c r="AZ1937" i="1"/>
  <c r="AX1937" i="1"/>
  <c r="DC1917" i="1"/>
  <c r="Y1917" i="1"/>
  <c r="CW1917" i="1"/>
  <c r="AA1917" i="1" s="1"/>
  <c r="CN1917" i="1"/>
  <c r="CJ1917" i="1"/>
  <c r="CH1917" i="1"/>
  <c r="CF1917" i="1"/>
  <c r="BL1917" i="1"/>
  <c r="BD1917" i="1"/>
  <c r="AX1917" i="1"/>
  <c r="DC1930" i="1"/>
  <c r="DA1930" i="1"/>
  <c r="CY1930" i="1"/>
  <c r="Y1930" i="1" s="1"/>
  <c r="CW1930" i="1"/>
  <c r="AA1930" i="1" s="1"/>
  <c r="CR1930" i="1"/>
  <c r="CP1930" i="1"/>
  <c r="CN1930" i="1"/>
  <c r="CJ1930" i="1"/>
  <c r="CH1930" i="1"/>
  <c r="CF1930" i="1"/>
  <c r="BL1930" i="1"/>
  <c r="BD1930" i="1"/>
  <c r="AZ1930" i="1"/>
  <c r="AX1930" i="1"/>
  <c r="DC1888" i="1"/>
  <c r="DA1888" i="1"/>
  <c r="CY1888" i="1"/>
  <c r="Y1888" i="1" s="1"/>
  <c r="CW1888" i="1"/>
  <c r="AA1888" i="1" s="1"/>
  <c r="CR1888" i="1"/>
  <c r="CP1888" i="1"/>
  <c r="CN1888" i="1"/>
  <c r="CJ1888" i="1"/>
  <c r="CH1888" i="1"/>
  <c r="CF1888" i="1"/>
  <c r="BL1888" i="1"/>
  <c r="BD1888" i="1"/>
  <c r="AZ1888" i="1"/>
  <c r="AX1888" i="1"/>
  <c r="DC1929" i="1"/>
  <c r="DA1929" i="1"/>
  <c r="CY1929" i="1"/>
  <c r="Y1929" i="1" s="1"/>
  <c r="CW1929" i="1"/>
  <c r="AA1929" i="1" s="1"/>
  <c r="CR1929" i="1"/>
  <c r="CP1929" i="1"/>
  <c r="CN1929" i="1"/>
  <c r="CJ1929" i="1"/>
  <c r="CH1929" i="1"/>
  <c r="CF1929" i="1"/>
  <c r="BL1929" i="1"/>
  <c r="BD1929" i="1"/>
  <c r="AZ1929" i="1"/>
  <c r="AX1929" i="1"/>
  <c r="DA1907" i="1"/>
  <c r="Y1907" i="1"/>
  <c r="CW1907" i="1"/>
  <c r="AA1907" i="1" s="1"/>
  <c r="CR1907" i="1"/>
  <c r="CP1907" i="1"/>
  <c r="CN1907" i="1"/>
  <c r="CJ1907" i="1"/>
  <c r="CH1907" i="1"/>
  <c r="CF1907" i="1"/>
  <c r="BL1907" i="1"/>
  <c r="BD1907" i="1"/>
  <c r="AZ1907" i="1"/>
  <c r="AX1907" i="1"/>
  <c r="DC1932" i="1"/>
  <c r="DA1932" i="1"/>
  <c r="CY1932" i="1"/>
  <c r="Y1932" i="1" s="1"/>
  <c r="CW1932" i="1"/>
  <c r="AA1932" i="1" s="1"/>
  <c r="CR1932" i="1"/>
  <c r="CP1932" i="1"/>
  <c r="CN1932" i="1"/>
  <c r="CJ1932" i="1"/>
  <c r="CH1932" i="1"/>
  <c r="CF1932" i="1"/>
  <c r="BL1932" i="1"/>
  <c r="BD1932" i="1"/>
  <c r="AZ1932" i="1"/>
  <c r="AX1932" i="1"/>
  <c r="I1676" i="1"/>
  <c r="Z1942" i="1" l="1"/>
  <c r="Z1471" i="1"/>
  <c r="Z1961" i="1"/>
  <c r="Z1936" i="1"/>
  <c r="Z1957" i="1"/>
  <c r="Z1938" i="1"/>
  <c r="CU1936" i="1"/>
  <c r="X1936" i="1" s="1"/>
  <c r="CU1963" i="1"/>
  <c r="X1963" i="1" s="1"/>
  <c r="Z1963" i="1"/>
  <c r="CU1937" i="1"/>
  <c r="X1937" i="1" s="1"/>
  <c r="Z1937" i="1"/>
  <c r="Z1939" i="1"/>
  <c r="CU1917" i="1"/>
  <c r="X1917" i="1" s="1"/>
  <c r="Z1917" i="1"/>
  <c r="Z1930" i="1"/>
  <c r="CU1938" i="1"/>
  <c r="X1938" i="1" s="1"/>
  <c r="CU1471" i="1"/>
  <c r="X1471" i="1" s="1"/>
  <c r="CU1930" i="1"/>
  <c r="X1930" i="1" s="1"/>
  <c r="CU1942" i="1"/>
  <c r="X1942" i="1" s="1"/>
  <c r="CU1939" i="1"/>
  <c r="X1939" i="1" s="1"/>
  <c r="CU1961" i="1"/>
  <c r="X1961" i="1" s="1"/>
  <c r="CU1957" i="1"/>
  <c r="X1957" i="1" s="1"/>
  <c r="Z1888" i="1"/>
  <c r="Z1932" i="1"/>
  <c r="CU1907" i="1"/>
  <c r="X1907" i="1" s="1"/>
  <c r="Z1907" i="1"/>
  <c r="Z1929" i="1"/>
  <c r="CU1888" i="1"/>
  <c r="X1888" i="1" s="1"/>
  <c r="CU1932" i="1"/>
  <c r="X1932" i="1" s="1"/>
  <c r="CU1929" i="1"/>
  <c r="X1929" i="1" s="1"/>
  <c r="AD1942" i="1" l="1"/>
  <c r="AD1471" i="1"/>
  <c r="AD1936" i="1"/>
  <c r="AD1957" i="1"/>
  <c r="AD1961" i="1"/>
  <c r="AD1963" i="1"/>
  <c r="AD1939" i="1"/>
  <c r="AD1932" i="1"/>
  <c r="AD1937" i="1"/>
  <c r="AD1938" i="1"/>
  <c r="AD1917" i="1"/>
  <c r="AD1930" i="1"/>
  <c r="AD1907" i="1"/>
  <c r="AD1888" i="1"/>
  <c r="AD1929" i="1"/>
  <c r="DC1923" i="1"/>
  <c r="DA1923" i="1"/>
  <c r="CY1923" i="1"/>
  <c r="Y1923" i="1" s="1"/>
  <c r="CW1923" i="1"/>
  <c r="AA1923" i="1" s="1"/>
  <c r="CR1923" i="1"/>
  <c r="CP1923" i="1"/>
  <c r="CN1923" i="1"/>
  <c r="CJ1923" i="1"/>
  <c r="CH1923" i="1"/>
  <c r="CF1923" i="1"/>
  <c r="BL1923" i="1"/>
  <c r="BD1923" i="1"/>
  <c r="AZ1923" i="1"/>
  <c r="AX1923" i="1"/>
  <c r="DC1914" i="1"/>
  <c r="DA1914" i="1"/>
  <c r="CY1914" i="1"/>
  <c r="Y1914" i="1" s="1"/>
  <c r="CW1914" i="1"/>
  <c r="AA1914" i="1" s="1"/>
  <c r="CR1914" i="1"/>
  <c r="CP1914" i="1"/>
  <c r="CN1914" i="1"/>
  <c r="CJ1914" i="1"/>
  <c r="CH1914" i="1"/>
  <c r="CF1914" i="1"/>
  <c r="BL1914" i="1"/>
  <c r="BD1914" i="1"/>
  <c r="AZ1914" i="1"/>
  <c r="AX1914" i="1"/>
  <c r="DC1902" i="1"/>
  <c r="DA1902" i="1"/>
  <c r="CY1902" i="1"/>
  <c r="Y1902" i="1" s="1"/>
  <c r="CW1902" i="1"/>
  <c r="AA1902" i="1" s="1"/>
  <c r="CR1902" i="1"/>
  <c r="CP1902" i="1"/>
  <c r="CN1902" i="1"/>
  <c r="CJ1902" i="1"/>
  <c r="CH1902" i="1"/>
  <c r="CF1902" i="1"/>
  <c r="BL1902" i="1"/>
  <c r="BD1902" i="1"/>
  <c r="AZ1902" i="1"/>
  <c r="AX1902" i="1"/>
  <c r="DC1906" i="1"/>
  <c r="DA1906" i="1"/>
  <c r="CY1906" i="1"/>
  <c r="Y1906" i="1" s="1"/>
  <c r="CW1906" i="1"/>
  <c r="AA1906" i="1" s="1"/>
  <c r="CR1906" i="1"/>
  <c r="CP1906" i="1"/>
  <c r="CN1906" i="1"/>
  <c r="CJ1906" i="1"/>
  <c r="CH1906" i="1"/>
  <c r="CF1906" i="1"/>
  <c r="BL1906" i="1"/>
  <c r="BD1906" i="1"/>
  <c r="AZ1906" i="1"/>
  <c r="AX1906" i="1"/>
  <c r="DC1910" i="1"/>
  <c r="DA1910" i="1"/>
  <c r="CY1910" i="1"/>
  <c r="Y1910" i="1" s="1"/>
  <c r="CW1910" i="1"/>
  <c r="AA1910" i="1" s="1"/>
  <c r="CR1910" i="1"/>
  <c r="CP1910" i="1"/>
  <c r="CN1910" i="1"/>
  <c r="CJ1910" i="1"/>
  <c r="CH1910" i="1"/>
  <c r="CF1910" i="1"/>
  <c r="BL1910" i="1"/>
  <c r="BD1910" i="1"/>
  <c r="AZ1910" i="1"/>
  <c r="AX1910" i="1"/>
  <c r="DC1911" i="1"/>
  <c r="DA1911" i="1"/>
  <c r="CY1911" i="1"/>
  <c r="Y1911" i="1" s="1"/>
  <c r="CW1911" i="1"/>
  <c r="AA1911" i="1" s="1"/>
  <c r="CR1911" i="1"/>
  <c r="CP1911" i="1"/>
  <c r="CN1911" i="1"/>
  <c r="CJ1911" i="1"/>
  <c r="CH1911" i="1"/>
  <c r="CF1911" i="1"/>
  <c r="BL1911" i="1"/>
  <c r="BD1911" i="1"/>
  <c r="AZ1911" i="1"/>
  <c r="AX1911" i="1"/>
  <c r="DC1889" i="1"/>
  <c r="DA1889" i="1"/>
  <c r="CY1889" i="1"/>
  <c r="Y1889" i="1" s="1"/>
  <c r="CW1889" i="1"/>
  <c r="AA1889" i="1" s="1"/>
  <c r="CR1889" i="1"/>
  <c r="CP1889" i="1"/>
  <c r="CN1889" i="1"/>
  <c r="CJ1889" i="1"/>
  <c r="CH1889" i="1"/>
  <c r="CF1889" i="1"/>
  <c r="BL1889" i="1"/>
  <c r="BD1889" i="1"/>
  <c r="AZ1889" i="1"/>
  <c r="AX1889" i="1"/>
  <c r="DC1921" i="1"/>
  <c r="DA1921" i="1"/>
  <c r="CY1921" i="1"/>
  <c r="Y1921" i="1" s="1"/>
  <c r="CW1921" i="1"/>
  <c r="AA1921" i="1" s="1"/>
  <c r="CR1921" i="1"/>
  <c r="CP1921" i="1"/>
  <c r="CN1921" i="1"/>
  <c r="CJ1921" i="1"/>
  <c r="CH1921" i="1"/>
  <c r="CF1921" i="1"/>
  <c r="BL1921" i="1"/>
  <c r="BD1921" i="1"/>
  <c r="AZ1921" i="1"/>
  <c r="AX1921" i="1"/>
  <c r="DC1918" i="1"/>
  <c r="DA1918" i="1"/>
  <c r="CY1918" i="1"/>
  <c r="Y1918" i="1" s="1"/>
  <c r="CW1918" i="1"/>
  <c r="AA1918" i="1" s="1"/>
  <c r="CR1918" i="1"/>
  <c r="CP1918" i="1"/>
  <c r="CN1918" i="1"/>
  <c r="CJ1918" i="1"/>
  <c r="CH1918" i="1"/>
  <c r="CF1918" i="1"/>
  <c r="BL1918" i="1"/>
  <c r="BD1918" i="1"/>
  <c r="AZ1918" i="1"/>
  <c r="AX1918" i="1"/>
  <c r="DC1886" i="1"/>
  <c r="DA1886" i="1"/>
  <c r="CY1886" i="1"/>
  <c r="Y1886" i="1" s="1"/>
  <c r="CW1886" i="1"/>
  <c r="AA1886" i="1" s="1"/>
  <c r="CR1886" i="1"/>
  <c r="CP1886" i="1"/>
  <c r="CN1886" i="1"/>
  <c r="CJ1886" i="1"/>
  <c r="CH1886" i="1"/>
  <c r="CF1886" i="1"/>
  <c r="BL1886" i="1"/>
  <c r="BD1886" i="1"/>
  <c r="AZ1886" i="1"/>
  <c r="AX1886" i="1"/>
  <c r="DC1922" i="1"/>
  <c r="DA1922" i="1"/>
  <c r="CY1922" i="1"/>
  <c r="Y1922" i="1" s="1"/>
  <c r="CW1922" i="1"/>
  <c r="AA1922" i="1" s="1"/>
  <c r="CR1922" i="1"/>
  <c r="CP1922" i="1"/>
  <c r="CN1922" i="1"/>
  <c r="CJ1922" i="1"/>
  <c r="CH1922" i="1"/>
  <c r="CF1922" i="1"/>
  <c r="BL1922" i="1"/>
  <c r="BD1922" i="1"/>
  <c r="AZ1922" i="1"/>
  <c r="AX1922" i="1"/>
  <c r="DC1916" i="1"/>
  <c r="DA1916" i="1"/>
  <c r="CY1916" i="1"/>
  <c r="Y1916" i="1" s="1"/>
  <c r="CW1916" i="1"/>
  <c r="AA1916" i="1" s="1"/>
  <c r="CR1916" i="1"/>
  <c r="CP1916" i="1"/>
  <c r="CN1916" i="1"/>
  <c r="CJ1916" i="1"/>
  <c r="CH1916" i="1"/>
  <c r="CF1916" i="1"/>
  <c r="BL1916" i="1"/>
  <c r="BD1916" i="1"/>
  <c r="AZ1916" i="1"/>
  <c r="AX1916" i="1"/>
  <c r="DC1913" i="1"/>
  <c r="DA1913" i="1"/>
  <c r="CY1913" i="1"/>
  <c r="Y1913" i="1" s="1"/>
  <c r="CW1913" i="1"/>
  <c r="AA1913" i="1" s="1"/>
  <c r="CR1913" i="1"/>
  <c r="CP1913" i="1"/>
  <c r="CN1913" i="1"/>
  <c r="CJ1913" i="1"/>
  <c r="CH1913" i="1"/>
  <c r="CF1913" i="1"/>
  <c r="BL1913" i="1"/>
  <c r="BD1913" i="1"/>
  <c r="AZ1913" i="1"/>
  <c r="AX1913" i="1"/>
  <c r="DC1901" i="1"/>
  <c r="DA1901" i="1"/>
  <c r="CY1901" i="1"/>
  <c r="Y1901" i="1" s="1"/>
  <c r="CW1901" i="1"/>
  <c r="AA1901" i="1" s="1"/>
  <c r="CR1901" i="1"/>
  <c r="CP1901" i="1"/>
  <c r="CN1901" i="1"/>
  <c r="CJ1901" i="1"/>
  <c r="CH1901" i="1"/>
  <c r="CF1901" i="1"/>
  <c r="BL1901" i="1"/>
  <c r="BD1901" i="1"/>
  <c r="AZ1901" i="1"/>
  <c r="AX1901" i="1"/>
  <c r="DC1904" i="1"/>
  <c r="DA1904" i="1"/>
  <c r="CY1904" i="1"/>
  <c r="Y1904" i="1" s="1"/>
  <c r="CW1904" i="1"/>
  <c r="AA1904" i="1" s="1"/>
  <c r="CR1904" i="1"/>
  <c r="CP1904" i="1"/>
  <c r="CN1904" i="1"/>
  <c r="CJ1904" i="1"/>
  <c r="CH1904" i="1"/>
  <c r="CF1904" i="1"/>
  <c r="BL1904" i="1"/>
  <c r="BD1904" i="1"/>
  <c r="AZ1904" i="1"/>
  <c r="AX1904" i="1"/>
  <c r="DC1882" i="1"/>
  <c r="DA1882" i="1"/>
  <c r="CY1882" i="1"/>
  <c r="Y1882" i="1" s="1"/>
  <c r="CW1882" i="1"/>
  <c r="AA1882" i="1" s="1"/>
  <c r="CR1882" i="1"/>
  <c r="CP1882" i="1"/>
  <c r="CN1882" i="1"/>
  <c r="CJ1882" i="1"/>
  <c r="CH1882" i="1"/>
  <c r="CF1882" i="1"/>
  <c r="BL1882" i="1"/>
  <c r="BD1882" i="1"/>
  <c r="AZ1882" i="1"/>
  <c r="AX1882" i="1"/>
  <c r="DC1903" i="1"/>
  <c r="DA1903" i="1"/>
  <c r="CY1903" i="1"/>
  <c r="Y1903" i="1" s="1"/>
  <c r="CW1903" i="1"/>
  <c r="AA1903" i="1" s="1"/>
  <c r="CR1903" i="1"/>
  <c r="CP1903" i="1"/>
  <c r="CN1903" i="1"/>
  <c r="CJ1903" i="1"/>
  <c r="CH1903" i="1"/>
  <c r="CF1903" i="1"/>
  <c r="BL1903" i="1"/>
  <c r="BD1903" i="1"/>
  <c r="AZ1903" i="1"/>
  <c r="AX1903" i="1"/>
  <c r="Z1914" i="1" l="1"/>
  <c r="Z1923" i="1"/>
  <c r="CU1914" i="1"/>
  <c r="X1914" i="1" s="1"/>
  <c r="CU1923" i="1"/>
  <c r="X1923" i="1" s="1"/>
  <c r="Z1902" i="1"/>
  <c r="Z1916" i="1"/>
  <c r="Z1921" i="1"/>
  <c r="Z1911" i="1"/>
  <c r="Z1882" i="1"/>
  <c r="Z1886" i="1"/>
  <c r="Z1903" i="1"/>
  <c r="Z1904" i="1"/>
  <c r="CU1921" i="1"/>
  <c r="X1921" i="1" s="1"/>
  <c r="Z1913" i="1"/>
  <c r="Z1918" i="1"/>
  <c r="Z1906" i="1"/>
  <c r="CU1901" i="1"/>
  <c r="X1901" i="1" s="1"/>
  <c r="Z1901" i="1"/>
  <c r="Z1910" i="1"/>
  <c r="CU1922" i="1"/>
  <c r="X1922" i="1" s="1"/>
  <c r="Z1922" i="1"/>
  <c r="Z1889" i="1"/>
  <c r="CU1911" i="1"/>
  <c r="X1911" i="1" s="1"/>
  <c r="CU1882" i="1"/>
  <c r="X1882" i="1" s="1"/>
  <c r="CU1886" i="1"/>
  <c r="X1886" i="1" s="1"/>
  <c r="CU1906" i="1"/>
  <c r="X1906" i="1" s="1"/>
  <c r="CU1904" i="1"/>
  <c r="X1904" i="1" s="1"/>
  <c r="CU1916" i="1"/>
  <c r="X1916" i="1" s="1"/>
  <c r="CU1918" i="1"/>
  <c r="X1918" i="1" s="1"/>
  <c r="CU1902" i="1"/>
  <c r="X1902" i="1" s="1"/>
  <c r="CU1903" i="1"/>
  <c r="X1903" i="1" s="1"/>
  <c r="CU1913" i="1"/>
  <c r="X1913" i="1" s="1"/>
  <c r="CU1889" i="1"/>
  <c r="X1889" i="1" s="1"/>
  <c r="CU1910" i="1"/>
  <c r="X1910" i="1" s="1"/>
  <c r="W603" i="1"/>
  <c r="I603" i="1"/>
  <c r="AD1914" i="1" l="1"/>
  <c r="AD1923" i="1"/>
  <c r="AD1901" i="1"/>
  <c r="AD1918" i="1"/>
  <c r="AD1911" i="1"/>
  <c r="AD1902" i="1"/>
  <c r="AD1921" i="1"/>
  <c r="AD1916" i="1"/>
  <c r="AD1886" i="1"/>
  <c r="AD1903" i="1"/>
  <c r="AD1882" i="1"/>
  <c r="AD1904" i="1"/>
  <c r="AD1922" i="1"/>
  <c r="AD1913" i="1"/>
  <c r="AD1910" i="1"/>
  <c r="AD1889" i="1"/>
  <c r="AD1906" i="1"/>
  <c r="DC1967" i="1"/>
  <c r="DA1967" i="1"/>
  <c r="CY1967" i="1"/>
  <c r="Y1967" i="1" s="1"/>
  <c r="CW1967" i="1"/>
  <c r="AA1967" i="1" s="1"/>
  <c r="CR1967" i="1"/>
  <c r="CP1967" i="1"/>
  <c r="CN1967" i="1"/>
  <c r="CJ1967" i="1"/>
  <c r="CH1967" i="1"/>
  <c r="CF1967" i="1"/>
  <c r="BL1967" i="1"/>
  <c r="BD1967" i="1"/>
  <c r="AZ1967" i="1"/>
  <c r="AX1967" i="1"/>
  <c r="DC1928" i="1"/>
  <c r="DA1928" i="1"/>
  <c r="CY1928" i="1"/>
  <c r="Y1928" i="1" s="1"/>
  <c r="CW1928" i="1"/>
  <c r="AA1928" i="1" s="1"/>
  <c r="CR1928" i="1"/>
  <c r="CP1928" i="1"/>
  <c r="CN1928" i="1"/>
  <c r="CJ1928" i="1"/>
  <c r="CH1928" i="1"/>
  <c r="CF1928" i="1"/>
  <c r="BL1928" i="1"/>
  <c r="BD1928" i="1"/>
  <c r="AZ1928" i="1"/>
  <c r="AX1928" i="1"/>
  <c r="DA1676" i="1"/>
  <c r="Y1676" i="1"/>
  <c r="CW1676" i="1"/>
  <c r="AA1676" i="1" s="1"/>
  <c r="CR1676" i="1"/>
  <c r="CN1676" i="1"/>
  <c r="CH1676" i="1"/>
  <c r="CF1676" i="1"/>
  <c r="BL1676" i="1"/>
  <c r="BD1676" i="1"/>
  <c r="AX1676" i="1"/>
  <c r="DC1927" i="1"/>
  <c r="DA1927" i="1"/>
  <c r="CY1927" i="1"/>
  <c r="Y1927" i="1" s="1"/>
  <c r="CW1927" i="1"/>
  <c r="AA1927" i="1" s="1"/>
  <c r="CR1927" i="1"/>
  <c r="CP1927" i="1"/>
  <c r="CN1927" i="1"/>
  <c r="CJ1927" i="1"/>
  <c r="CH1927" i="1"/>
  <c r="CF1927" i="1"/>
  <c r="BL1927" i="1"/>
  <c r="BD1927" i="1"/>
  <c r="AZ1927" i="1"/>
  <c r="AX1927" i="1"/>
  <c r="Y1915" i="1"/>
  <c r="CW1915" i="1"/>
  <c r="AA1915" i="1" s="1"/>
  <c r="CN1915" i="1"/>
  <c r="CJ1915" i="1"/>
  <c r="CH1915" i="1"/>
  <c r="CF1915" i="1"/>
  <c r="BL1915" i="1"/>
  <c r="BD1915" i="1"/>
  <c r="AZ1915" i="1"/>
  <c r="AX1915" i="1"/>
  <c r="DC1924" i="1"/>
  <c r="DA1924" i="1"/>
  <c r="CY1924" i="1"/>
  <c r="Y1924" i="1" s="1"/>
  <c r="CW1924" i="1"/>
  <c r="AA1924" i="1" s="1"/>
  <c r="CR1924" i="1"/>
  <c r="CP1924" i="1"/>
  <c r="CN1924" i="1"/>
  <c r="CJ1924" i="1"/>
  <c r="CH1924" i="1"/>
  <c r="CF1924" i="1"/>
  <c r="BL1924" i="1"/>
  <c r="BD1924" i="1"/>
  <c r="AZ1924" i="1"/>
  <c r="AX1924" i="1"/>
  <c r="DC1908" i="1"/>
  <c r="DA1908" i="1"/>
  <c r="CY1908" i="1"/>
  <c r="Y1908" i="1" s="1"/>
  <c r="CW1908" i="1"/>
  <c r="AA1908" i="1" s="1"/>
  <c r="CR1908" i="1"/>
  <c r="CP1908" i="1"/>
  <c r="CN1908" i="1"/>
  <c r="CJ1908" i="1"/>
  <c r="CH1908" i="1"/>
  <c r="CF1908" i="1"/>
  <c r="BL1908" i="1"/>
  <c r="BD1908" i="1"/>
  <c r="AZ1908" i="1"/>
  <c r="AX1908" i="1"/>
  <c r="DC1912" i="1"/>
  <c r="DA1912" i="1"/>
  <c r="CY1912" i="1"/>
  <c r="Y1912" i="1" s="1"/>
  <c r="CW1912" i="1"/>
  <c r="AA1912" i="1" s="1"/>
  <c r="CR1912" i="1"/>
  <c r="CP1912" i="1"/>
  <c r="CN1912" i="1"/>
  <c r="CJ1912" i="1"/>
  <c r="CH1912" i="1"/>
  <c r="CF1912" i="1"/>
  <c r="BL1912" i="1"/>
  <c r="BD1912" i="1"/>
  <c r="AZ1912" i="1"/>
  <c r="AX1912" i="1"/>
  <c r="DC1899" i="1"/>
  <c r="DA1899" i="1"/>
  <c r="CY1899" i="1"/>
  <c r="Y1899" i="1" s="1"/>
  <c r="CW1899" i="1"/>
  <c r="AA1899" i="1" s="1"/>
  <c r="CR1899" i="1"/>
  <c r="CP1899" i="1"/>
  <c r="CN1899" i="1"/>
  <c r="CJ1899" i="1"/>
  <c r="CH1899" i="1"/>
  <c r="CF1899" i="1"/>
  <c r="BL1899" i="1"/>
  <c r="BD1899" i="1"/>
  <c r="AZ1899" i="1"/>
  <c r="AX1899" i="1"/>
  <c r="DC1920" i="1"/>
  <c r="DA1920" i="1"/>
  <c r="CY1920" i="1"/>
  <c r="Y1920" i="1" s="1"/>
  <c r="CW1920" i="1"/>
  <c r="AA1920" i="1" s="1"/>
  <c r="CR1920" i="1"/>
  <c r="CP1920" i="1"/>
  <c r="CN1920" i="1"/>
  <c r="CJ1920" i="1"/>
  <c r="CH1920" i="1"/>
  <c r="CF1920" i="1"/>
  <c r="BL1920" i="1"/>
  <c r="BD1920" i="1"/>
  <c r="AZ1920" i="1"/>
  <c r="AX1920" i="1"/>
  <c r="DC1919" i="1"/>
  <c r="DA1919" i="1"/>
  <c r="CY1919" i="1"/>
  <c r="Y1919" i="1" s="1"/>
  <c r="CW1919" i="1"/>
  <c r="AA1919" i="1" s="1"/>
  <c r="CR1919" i="1"/>
  <c r="CP1919" i="1"/>
  <c r="CN1919" i="1"/>
  <c r="CJ1919" i="1"/>
  <c r="CH1919" i="1"/>
  <c r="CF1919" i="1"/>
  <c r="BL1919" i="1"/>
  <c r="BD1919" i="1"/>
  <c r="AZ1919" i="1"/>
  <c r="AX1919" i="1"/>
  <c r="Z1915" i="1" l="1"/>
  <c r="Z1924" i="1"/>
  <c r="Z1676" i="1"/>
  <c r="Z1927" i="1"/>
  <c r="Z1967" i="1"/>
  <c r="Z1912" i="1"/>
  <c r="Z1928" i="1"/>
  <c r="CU1967" i="1"/>
  <c r="X1967" i="1" s="1"/>
  <c r="CU1915" i="1"/>
  <c r="X1915" i="1" s="1"/>
  <c r="CU1927" i="1"/>
  <c r="X1927" i="1" s="1"/>
  <c r="CU1676" i="1"/>
  <c r="X1676" i="1" s="1"/>
  <c r="CU1924" i="1"/>
  <c r="X1924" i="1" s="1"/>
  <c r="CU1928" i="1"/>
  <c r="X1928" i="1" s="1"/>
  <c r="Z1919" i="1"/>
  <c r="Z1908" i="1"/>
  <c r="Z1920" i="1"/>
  <c r="CU1899" i="1"/>
  <c r="X1899" i="1" s="1"/>
  <c r="Z1899" i="1"/>
  <c r="CU1920" i="1"/>
  <c r="X1920" i="1" s="1"/>
  <c r="CU1912" i="1"/>
  <c r="X1912" i="1" s="1"/>
  <c r="CU1919" i="1"/>
  <c r="X1919" i="1" s="1"/>
  <c r="CU1908" i="1"/>
  <c r="X1908" i="1" s="1"/>
  <c r="DC1890" i="1"/>
  <c r="DA1890" i="1"/>
  <c r="CY1890" i="1"/>
  <c r="Y1890" i="1" s="1"/>
  <c r="CW1890" i="1"/>
  <c r="AA1890" i="1" s="1"/>
  <c r="CR1890" i="1"/>
  <c r="CP1890" i="1"/>
  <c r="CN1890" i="1"/>
  <c r="CJ1890" i="1"/>
  <c r="CH1890" i="1"/>
  <c r="CF1890" i="1"/>
  <c r="BL1890" i="1"/>
  <c r="BD1890" i="1"/>
  <c r="AZ1890" i="1"/>
  <c r="AX1890" i="1"/>
  <c r="DC1897" i="1"/>
  <c r="DA1897" i="1"/>
  <c r="CY1897" i="1"/>
  <c r="Y1897" i="1" s="1"/>
  <c r="CW1897" i="1"/>
  <c r="AA1897" i="1" s="1"/>
  <c r="CR1897" i="1"/>
  <c r="CP1897" i="1"/>
  <c r="CN1897" i="1"/>
  <c r="CJ1897" i="1"/>
  <c r="CH1897" i="1"/>
  <c r="CF1897" i="1"/>
  <c r="BL1897" i="1"/>
  <c r="BD1897" i="1"/>
  <c r="AZ1897" i="1"/>
  <c r="AX1897" i="1"/>
  <c r="DC1895" i="1"/>
  <c r="DA1895" i="1"/>
  <c r="CY1895" i="1"/>
  <c r="Y1895" i="1" s="1"/>
  <c r="CW1895" i="1"/>
  <c r="AA1895" i="1" s="1"/>
  <c r="CR1895" i="1"/>
  <c r="CP1895" i="1"/>
  <c r="CN1895" i="1"/>
  <c r="CJ1895" i="1"/>
  <c r="CH1895" i="1"/>
  <c r="CF1895" i="1"/>
  <c r="BL1895" i="1"/>
  <c r="BD1895" i="1"/>
  <c r="AZ1895" i="1"/>
  <c r="AX1895" i="1"/>
  <c r="Y1894" i="1"/>
  <c r="CW1894" i="1"/>
  <c r="AA1894" i="1" s="1"/>
  <c r="CP1894" i="1"/>
  <c r="CN1894" i="1"/>
  <c r="CJ1894" i="1"/>
  <c r="CH1894" i="1"/>
  <c r="CF1894" i="1"/>
  <c r="BL1894" i="1"/>
  <c r="BD1894" i="1"/>
  <c r="AZ1894" i="1"/>
  <c r="AX1894" i="1"/>
  <c r="DC1892" i="1"/>
  <c r="DA1892" i="1"/>
  <c r="CY1892" i="1"/>
  <c r="Y1892" i="1" s="1"/>
  <c r="CW1892" i="1"/>
  <c r="AA1892" i="1" s="1"/>
  <c r="CR1892" i="1"/>
  <c r="CP1892" i="1"/>
  <c r="CN1892" i="1"/>
  <c r="CJ1892" i="1"/>
  <c r="CH1892" i="1"/>
  <c r="CF1892" i="1"/>
  <c r="BL1892" i="1"/>
  <c r="BD1892" i="1"/>
  <c r="AZ1892" i="1"/>
  <c r="AX1892" i="1"/>
  <c r="DC1893" i="1"/>
  <c r="DA1893" i="1"/>
  <c r="CY1893" i="1"/>
  <c r="Y1893" i="1" s="1"/>
  <c r="CW1893" i="1"/>
  <c r="AA1893" i="1" s="1"/>
  <c r="CR1893" i="1"/>
  <c r="CP1893" i="1"/>
  <c r="CN1893" i="1"/>
  <c r="CJ1893" i="1"/>
  <c r="CH1893" i="1"/>
  <c r="CF1893" i="1"/>
  <c r="BL1893" i="1"/>
  <c r="BD1893" i="1"/>
  <c r="AZ1893" i="1"/>
  <c r="AX1893" i="1"/>
  <c r="DC1885" i="1"/>
  <c r="DA1885" i="1"/>
  <c r="CY1885" i="1"/>
  <c r="Y1885" i="1" s="1"/>
  <c r="CW1885" i="1"/>
  <c r="AA1885" i="1" s="1"/>
  <c r="CR1885" i="1"/>
  <c r="CP1885" i="1"/>
  <c r="CN1885" i="1"/>
  <c r="CJ1885" i="1"/>
  <c r="CH1885" i="1"/>
  <c r="CF1885" i="1"/>
  <c r="BL1885" i="1"/>
  <c r="BD1885" i="1"/>
  <c r="AZ1885" i="1"/>
  <c r="AX1885" i="1"/>
  <c r="DA1871" i="1"/>
  <c r="Y1871" i="1"/>
  <c r="CW1871" i="1"/>
  <c r="AA1871" i="1" s="1"/>
  <c r="CR1871" i="1"/>
  <c r="CN1871" i="1"/>
  <c r="CH1871" i="1"/>
  <c r="CF1871" i="1"/>
  <c r="BL1871" i="1"/>
  <c r="BD1871" i="1"/>
  <c r="AX1871" i="1"/>
  <c r="DC1716" i="1"/>
  <c r="DA1716" i="1"/>
  <c r="CY1716" i="1"/>
  <c r="Y1716" i="1" s="1"/>
  <c r="CW1716" i="1"/>
  <c r="AA1716" i="1" s="1"/>
  <c r="CR1716" i="1"/>
  <c r="CP1716" i="1"/>
  <c r="CN1716" i="1"/>
  <c r="CJ1716" i="1"/>
  <c r="CH1716" i="1"/>
  <c r="CF1716" i="1"/>
  <c r="BL1716" i="1"/>
  <c r="BD1716" i="1"/>
  <c r="AZ1716" i="1"/>
  <c r="AX1716" i="1"/>
  <c r="AD1915" i="1" l="1"/>
  <c r="AD1924" i="1"/>
  <c r="AD1967" i="1"/>
  <c r="AD1927" i="1"/>
  <c r="AD1676" i="1"/>
  <c r="AD1912" i="1"/>
  <c r="AD1928" i="1"/>
  <c r="AD1908" i="1"/>
  <c r="AD1920" i="1"/>
  <c r="AD1899" i="1"/>
  <c r="AD1919" i="1"/>
  <c r="Z1897" i="1"/>
  <c r="Z1890" i="1"/>
  <c r="Z1895" i="1"/>
  <c r="CU1897" i="1"/>
  <c r="X1897" i="1" s="1"/>
  <c r="CU1895" i="1"/>
  <c r="X1895" i="1" s="1"/>
  <c r="CU1890" i="1"/>
  <c r="X1890" i="1" s="1"/>
  <c r="Z1893" i="1"/>
  <c r="Z1716" i="1"/>
  <c r="Z1885" i="1"/>
  <c r="Z1894" i="1"/>
  <c r="CU1871" i="1"/>
  <c r="X1871" i="1" s="1"/>
  <c r="Z1871" i="1"/>
  <c r="CU1892" i="1"/>
  <c r="X1892" i="1" s="1"/>
  <c r="Z1892" i="1"/>
  <c r="CU1716" i="1"/>
  <c r="X1716" i="1" s="1"/>
  <c r="CU1893" i="1"/>
  <c r="X1893" i="1" s="1"/>
  <c r="CU1894" i="1"/>
  <c r="X1894" i="1" s="1"/>
  <c r="CU1885" i="1"/>
  <c r="X1885" i="1" s="1"/>
  <c r="AD1895" i="1" l="1"/>
  <c r="AD1890" i="1"/>
  <c r="AD1897" i="1"/>
  <c r="AD1716" i="1"/>
  <c r="AD1871" i="1"/>
  <c r="AD1893" i="1"/>
  <c r="AD1885" i="1"/>
  <c r="AD1892" i="1"/>
  <c r="AD1894" i="1"/>
  <c r="DC1754" i="1"/>
  <c r="DA1754" i="1"/>
  <c r="CY1754" i="1"/>
  <c r="Y1754" i="1" s="1"/>
  <c r="CW1754" i="1"/>
  <c r="AA1754" i="1" s="1"/>
  <c r="CR1754" i="1"/>
  <c r="CP1754" i="1"/>
  <c r="CN1754" i="1"/>
  <c r="CJ1754" i="1"/>
  <c r="CH1754" i="1"/>
  <c r="CF1754" i="1"/>
  <c r="BL1754" i="1"/>
  <c r="BD1754" i="1"/>
  <c r="AZ1754" i="1"/>
  <c r="AX1754" i="1"/>
  <c r="DC2044" i="1"/>
  <c r="DA2044" i="1"/>
  <c r="CY2044" i="1"/>
  <c r="Y2044" i="1" s="1"/>
  <c r="CW2044" i="1"/>
  <c r="AA2044" i="1" s="1"/>
  <c r="CR2044" i="1"/>
  <c r="CP2044" i="1"/>
  <c r="CN2044" i="1"/>
  <c r="CJ2044" i="1"/>
  <c r="CH2044" i="1"/>
  <c r="CF2044" i="1"/>
  <c r="BL2044" i="1"/>
  <c r="BD2044" i="1"/>
  <c r="AZ2044" i="1"/>
  <c r="AX2044" i="1"/>
  <c r="DC1909" i="1"/>
  <c r="DA1909" i="1"/>
  <c r="CY1909" i="1"/>
  <c r="Y1909" i="1" s="1"/>
  <c r="CW1909" i="1"/>
  <c r="AA1909" i="1" s="1"/>
  <c r="CR1909" i="1"/>
  <c r="CP1909" i="1"/>
  <c r="CN1909" i="1"/>
  <c r="CJ1909" i="1"/>
  <c r="CH1909" i="1"/>
  <c r="CF1909" i="1"/>
  <c r="BL1909" i="1"/>
  <c r="BD1909" i="1"/>
  <c r="AZ1909" i="1"/>
  <c r="AX1909" i="1"/>
  <c r="DC1898" i="1"/>
  <c r="DA1898" i="1"/>
  <c r="CY1898" i="1"/>
  <c r="Y1898" i="1" s="1"/>
  <c r="CW1898" i="1"/>
  <c r="AA1898" i="1" s="1"/>
  <c r="CR1898" i="1"/>
  <c r="CP1898" i="1"/>
  <c r="CN1898" i="1"/>
  <c r="CJ1898" i="1"/>
  <c r="CH1898" i="1"/>
  <c r="CF1898" i="1"/>
  <c r="BL1898" i="1"/>
  <c r="BD1898" i="1"/>
  <c r="AZ1898" i="1"/>
  <c r="AX1898" i="1"/>
  <c r="DC1896" i="1"/>
  <c r="DA1896" i="1"/>
  <c r="CY1896" i="1"/>
  <c r="Y1896" i="1" s="1"/>
  <c r="CW1896" i="1"/>
  <c r="AA1896" i="1" s="1"/>
  <c r="CR1896" i="1"/>
  <c r="CP1896" i="1"/>
  <c r="CN1896" i="1"/>
  <c r="CJ1896" i="1"/>
  <c r="CH1896" i="1"/>
  <c r="CF1896" i="1"/>
  <c r="BL1896" i="1"/>
  <c r="BD1896" i="1"/>
  <c r="AZ1896" i="1"/>
  <c r="AX1896" i="1"/>
  <c r="DC1900" i="1"/>
  <c r="DA1900" i="1"/>
  <c r="CY1900" i="1"/>
  <c r="Y1900" i="1" s="1"/>
  <c r="CW1900" i="1"/>
  <c r="AA1900" i="1" s="1"/>
  <c r="CR1900" i="1"/>
  <c r="CP1900" i="1"/>
  <c r="CN1900" i="1"/>
  <c r="CJ1900" i="1"/>
  <c r="CH1900" i="1"/>
  <c r="CF1900" i="1"/>
  <c r="BL1900" i="1"/>
  <c r="BD1900" i="1"/>
  <c r="AZ1900" i="1"/>
  <c r="AX1900" i="1"/>
  <c r="DC1865" i="1"/>
  <c r="DA1865" i="1"/>
  <c r="CY1865" i="1"/>
  <c r="Y1865" i="1" s="1"/>
  <c r="CW1865" i="1"/>
  <c r="AA1865" i="1" s="1"/>
  <c r="CR1865" i="1"/>
  <c r="CP1865" i="1"/>
  <c r="CN1865" i="1"/>
  <c r="CJ1865" i="1"/>
  <c r="CH1865" i="1"/>
  <c r="CF1865" i="1"/>
  <c r="BL1865" i="1"/>
  <c r="BD1865" i="1"/>
  <c r="AZ1865" i="1"/>
  <c r="AX1865" i="1"/>
  <c r="DC1884" i="1"/>
  <c r="DA1884" i="1"/>
  <c r="CY1884" i="1"/>
  <c r="Y1884" i="1" s="1"/>
  <c r="CW1884" i="1"/>
  <c r="AA1884" i="1" s="1"/>
  <c r="CR1884" i="1"/>
  <c r="CP1884" i="1"/>
  <c r="CN1884" i="1"/>
  <c r="CJ1884" i="1"/>
  <c r="CH1884" i="1"/>
  <c r="CF1884" i="1"/>
  <c r="BL1884" i="1"/>
  <c r="BD1884" i="1"/>
  <c r="AZ1884" i="1"/>
  <c r="AX1884" i="1"/>
  <c r="DC1887" i="1"/>
  <c r="DA1887" i="1"/>
  <c r="CY1887" i="1"/>
  <c r="Y1887" i="1" s="1"/>
  <c r="CW1887" i="1"/>
  <c r="AA1887" i="1" s="1"/>
  <c r="CR1887" i="1"/>
  <c r="CP1887" i="1"/>
  <c r="CN1887" i="1"/>
  <c r="CJ1887" i="1"/>
  <c r="CH1887" i="1"/>
  <c r="CF1887" i="1"/>
  <c r="BL1887" i="1"/>
  <c r="BD1887" i="1"/>
  <c r="AZ1887" i="1"/>
  <c r="AX1887" i="1"/>
  <c r="CU2044" i="1" l="1"/>
  <c r="X2044" i="1" s="1"/>
  <c r="Z2044" i="1"/>
  <c r="Z1909" i="1"/>
  <c r="Z1754" i="1"/>
  <c r="Z1898" i="1"/>
  <c r="CU1898" i="1"/>
  <c r="X1898" i="1" s="1"/>
  <c r="CU1754" i="1"/>
  <c r="X1754" i="1" s="1"/>
  <c r="CU1909" i="1"/>
  <c r="X1909" i="1" s="1"/>
  <c r="Z1887" i="1"/>
  <c r="Z1865" i="1"/>
  <c r="Z1900" i="1"/>
  <c r="CU1887" i="1"/>
  <c r="X1887" i="1" s="1"/>
  <c r="CU1896" i="1"/>
  <c r="X1896" i="1" s="1"/>
  <c r="Z1884" i="1"/>
  <c r="Z1896" i="1"/>
  <c r="CU1900" i="1"/>
  <c r="X1900" i="1" s="1"/>
  <c r="CU1884" i="1"/>
  <c r="X1884" i="1" s="1"/>
  <c r="CU1865" i="1"/>
  <c r="X1865" i="1" s="1"/>
  <c r="DC1873" i="1"/>
  <c r="DA1873" i="1"/>
  <c r="CY1873" i="1"/>
  <c r="Y1873" i="1" s="1"/>
  <c r="CW1873" i="1"/>
  <c r="AA1873" i="1" s="1"/>
  <c r="CR1873" i="1"/>
  <c r="CP1873" i="1"/>
  <c r="CN1873" i="1"/>
  <c r="CJ1873" i="1"/>
  <c r="CH1873" i="1"/>
  <c r="CF1873" i="1"/>
  <c r="BL1873" i="1"/>
  <c r="BD1873" i="1"/>
  <c r="AZ1873" i="1"/>
  <c r="AX1873" i="1"/>
  <c r="DC1879" i="1"/>
  <c r="DA1879" i="1"/>
  <c r="CY1879" i="1"/>
  <c r="Y1879" i="1" s="1"/>
  <c r="CW1879" i="1"/>
  <c r="AA1879" i="1" s="1"/>
  <c r="CR1879" i="1"/>
  <c r="CP1879" i="1"/>
  <c r="CN1879" i="1"/>
  <c r="CJ1879" i="1"/>
  <c r="CH1879" i="1"/>
  <c r="CF1879" i="1"/>
  <c r="BL1879" i="1"/>
  <c r="BD1879" i="1"/>
  <c r="AZ1879" i="1"/>
  <c r="AX1879" i="1"/>
  <c r="DC1876" i="1"/>
  <c r="DA1876" i="1"/>
  <c r="CY1876" i="1"/>
  <c r="Y1876" i="1" s="1"/>
  <c r="CW1876" i="1"/>
  <c r="AA1876" i="1" s="1"/>
  <c r="CR1876" i="1"/>
  <c r="CP1876" i="1"/>
  <c r="CN1876" i="1"/>
  <c r="CJ1876" i="1"/>
  <c r="CH1876" i="1"/>
  <c r="CF1876" i="1"/>
  <c r="BL1876" i="1"/>
  <c r="BD1876" i="1"/>
  <c r="AZ1876" i="1"/>
  <c r="AX1876" i="1"/>
  <c r="DC1875" i="1"/>
  <c r="DA1875" i="1"/>
  <c r="CY1875" i="1"/>
  <c r="Y1875" i="1" s="1"/>
  <c r="CW1875" i="1"/>
  <c r="AA1875" i="1" s="1"/>
  <c r="CR1875" i="1"/>
  <c r="CP1875" i="1"/>
  <c r="CN1875" i="1"/>
  <c r="CJ1875" i="1"/>
  <c r="CH1875" i="1"/>
  <c r="CF1875" i="1"/>
  <c r="BL1875" i="1"/>
  <c r="BD1875" i="1"/>
  <c r="AZ1875" i="1"/>
  <c r="AX1875" i="1"/>
  <c r="DC1872" i="1"/>
  <c r="DA1872" i="1"/>
  <c r="CY1872" i="1"/>
  <c r="Y1872" i="1" s="1"/>
  <c r="CW1872" i="1"/>
  <c r="AA1872" i="1" s="1"/>
  <c r="CR1872" i="1"/>
  <c r="CP1872" i="1"/>
  <c r="CN1872" i="1"/>
  <c r="CJ1872" i="1"/>
  <c r="CH1872" i="1"/>
  <c r="CF1872" i="1"/>
  <c r="BL1872" i="1"/>
  <c r="BD1872" i="1"/>
  <c r="AZ1872" i="1"/>
  <c r="AX1872" i="1"/>
  <c r="DC1881" i="1"/>
  <c r="DA1881" i="1"/>
  <c r="CY1881" i="1"/>
  <c r="Y1881" i="1" s="1"/>
  <c r="CW1881" i="1"/>
  <c r="AA1881" i="1" s="1"/>
  <c r="CR1881" i="1"/>
  <c r="CP1881" i="1"/>
  <c r="CN1881" i="1"/>
  <c r="CJ1881" i="1"/>
  <c r="CH1881" i="1"/>
  <c r="CF1881" i="1"/>
  <c r="BL1881" i="1"/>
  <c r="BD1881" i="1"/>
  <c r="AZ1881" i="1"/>
  <c r="AX1881" i="1"/>
  <c r="DC1869" i="1"/>
  <c r="DA1869" i="1"/>
  <c r="CY1869" i="1"/>
  <c r="Y1869" i="1" s="1"/>
  <c r="CW1869" i="1"/>
  <c r="AA1869" i="1" s="1"/>
  <c r="CR1869" i="1"/>
  <c r="CP1869" i="1"/>
  <c r="CN1869" i="1"/>
  <c r="CJ1869" i="1"/>
  <c r="CH1869" i="1"/>
  <c r="CF1869" i="1"/>
  <c r="BL1869" i="1"/>
  <c r="BD1869" i="1"/>
  <c r="AZ1869" i="1"/>
  <c r="AX1869" i="1"/>
  <c r="DC1868" i="1"/>
  <c r="DA1868" i="1"/>
  <c r="CY1868" i="1"/>
  <c r="Y1868" i="1" s="1"/>
  <c r="CW1868" i="1"/>
  <c r="AA1868" i="1" s="1"/>
  <c r="CR1868" i="1"/>
  <c r="CP1868" i="1"/>
  <c r="CN1868" i="1"/>
  <c r="CJ1868" i="1"/>
  <c r="CH1868" i="1"/>
  <c r="CF1868" i="1"/>
  <c r="BL1868" i="1"/>
  <c r="BD1868" i="1"/>
  <c r="AZ1868" i="1"/>
  <c r="AX1868" i="1"/>
  <c r="DC1836" i="1"/>
  <c r="DA1836" i="1"/>
  <c r="CY1836" i="1"/>
  <c r="Y1836" i="1" s="1"/>
  <c r="CW1836" i="1"/>
  <c r="AA1836" i="1" s="1"/>
  <c r="CR1836" i="1"/>
  <c r="CP1836" i="1"/>
  <c r="CN1836" i="1"/>
  <c r="CJ1836" i="1"/>
  <c r="CH1836" i="1"/>
  <c r="CF1836" i="1"/>
  <c r="BL1836" i="1"/>
  <c r="BD1836" i="1"/>
  <c r="AZ1836" i="1"/>
  <c r="AX1836" i="1"/>
  <c r="DC1874" i="1"/>
  <c r="DA1874" i="1"/>
  <c r="CY1874" i="1"/>
  <c r="Y1874" i="1" s="1"/>
  <c r="CW1874" i="1"/>
  <c r="AA1874" i="1" s="1"/>
  <c r="CR1874" i="1"/>
  <c r="CP1874" i="1"/>
  <c r="CN1874" i="1"/>
  <c r="CJ1874" i="1"/>
  <c r="CH1874" i="1"/>
  <c r="CF1874" i="1"/>
  <c r="BL1874" i="1"/>
  <c r="BD1874" i="1"/>
  <c r="AZ1874" i="1"/>
  <c r="AX1874" i="1"/>
  <c r="DA1926" i="1"/>
  <c r="Y1926" i="1"/>
  <c r="CW1926" i="1"/>
  <c r="AA1926" i="1" s="1"/>
  <c r="CN1926" i="1"/>
  <c r="CF1926" i="1"/>
  <c r="BL1926" i="1"/>
  <c r="BD1926" i="1"/>
  <c r="AX1926" i="1"/>
  <c r="DC1867" i="1"/>
  <c r="DA1867" i="1"/>
  <c r="CY1867" i="1"/>
  <c r="Y1867" i="1" s="1"/>
  <c r="CW1867" i="1"/>
  <c r="AA1867" i="1" s="1"/>
  <c r="CR1867" i="1"/>
  <c r="CP1867" i="1"/>
  <c r="CN1867" i="1"/>
  <c r="CJ1867" i="1"/>
  <c r="CH1867" i="1"/>
  <c r="CF1867" i="1"/>
  <c r="BL1867" i="1"/>
  <c r="BD1867" i="1"/>
  <c r="AZ1867" i="1"/>
  <c r="AX1867" i="1"/>
  <c r="DC1579" i="1"/>
  <c r="DA1579" i="1"/>
  <c r="CY1579" i="1"/>
  <c r="Y1579" i="1" s="1"/>
  <c r="CW1579" i="1"/>
  <c r="AA1579" i="1" s="1"/>
  <c r="CR1579" i="1"/>
  <c r="CP1579" i="1"/>
  <c r="CN1579" i="1"/>
  <c r="CJ1579" i="1"/>
  <c r="CH1579" i="1"/>
  <c r="CF1579" i="1"/>
  <c r="BL1579" i="1"/>
  <c r="BD1579" i="1"/>
  <c r="AZ1579" i="1"/>
  <c r="AX1579" i="1"/>
  <c r="DC1891" i="1"/>
  <c r="DA1891" i="1"/>
  <c r="CY1891" i="1"/>
  <c r="Y1891" i="1" s="1"/>
  <c r="CW1891" i="1"/>
  <c r="AA1891" i="1" s="1"/>
  <c r="CR1891" i="1"/>
  <c r="CP1891" i="1"/>
  <c r="CN1891" i="1"/>
  <c r="CJ1891" i="1"/>
  <c r="CH1891" i="1"/>
  <c r="CF1891" i="1"/>
  <c r="BL1891" i="1"/>
  <c r="BD1891" i="1"/>
  <c r="AZ1891" i="1"/>
  <c r="AX1891" i="1"/>
  <c r="DC1866" i="1"/>
  <c r="DA1866" i="1"/>
  <c r="CY1866" i="1"/>
  <c r="Y1866" i="1" s="1"/>
  <c r="CW1866" i="1"/>
  <c r="AA1866" i="1" s="1"/>
  <c r="CR1866" i="1"/>
  <c r="CP1866" i="1"/>
  <c r="CN1866" i="1"/>
  <c r="CJ1866" i="1"/>
  <c r="CH1866" i="1"/>
  <c r="CF1866" i="1"/>
  <c r="BL1866" i="1"/>
  <c r="BD1866" i="1"/>
  <c r="AZ1866" i="1"/>
  <c r="AX1866" i="1"/>
  <c r="AD2044" i="1" l="1"/>
  <c r="AD1887" i="1"/>
  <c r="AD1754" i="1"/>
  <c r="AD1909" i="1"/>
  <c r="AD1898" i="1"/>
  <c r="AD1865" i="1"/>
  <c r="AD1900" i="1"/>
  <c r="AD1896" i="1"/>
  <c r="AD1884" i="1"/>
  <c r="Z1873" i="1"/>
  <c r="Z1872" i="1"/>
  <c r="Z1879" i="1"/>
  <c r="CU1873" i="1"/>
  <c r="X1873" i="1" s="1"/>
  <c r="Z1926" i="1"/>
  <c r="Z1836" i="1"/>
  <c r="Z1875" i="1"/>
  <c r="Z1868" i="1"/>
  <c r="Z1874" i="1"/>
  <c r="Z1869" i="1"/>
  <c r="CU1836" i="1"/>
  <c r="X1836" i="1" s="1"/>
  <c r="Z1881" i="1"/>
  <c r="CU1872" i="1"/>
  <c r="X1872" i="1" s="1"/>
  <c r="Z1876" i="1"/>
  <c r="CU1867" i="1"/>
  <c r="X1867" i="1" s="1"/>
  <c r="Z1867" i="1"/>
  <c r="CU1579" i="1"/>
  <c r="X1579" i="1" s="1"/>
  <c r="Z1579" i="1"/>
  <c r="Z1891" i="1"/>
  <c r="CU1891" i="1"/>
  <c r="X1891" i="1" s="1"/>
  <c r="CU1881" i="1"/>
  <c r="X1881" i="1" s="1"/>
  <c r="CU1926" i="1"/>
  <c r="X1926" i="1" s="1"/>
  <c r="CU1868" i="1"/>
  <c r="X1868" i="1" s="1"/>
  <c r="CU1879" i="1"/>
  <c r="X1879" i="1" s="1"/>
  <c r="CU1874" i="1"/>
  <c r="X1874" i="1" s="1"/>
  <c r="CU1869" i="1"/>
  <c r="X1869" i="1" s="1"/>
  <c r="CU1875" i="1"/>
  <c r="X1875" i="1" s="1"/>
  <c r="CU1876" i="1"/>
  <c r="X1876" i="1" s="1"/>
  <c r="CU1866" i="1"/>
  <c r="X1866" i="1" s="1"/>
  <c r="Z1866" i="1"/>
  <c r="AD1873" i="1" l="1"/>
  <c r="AD1879" i="1"/>
  <c r="AD1868" i="1"/>
  <c r="AD1872" i="1"/>
  <c r="AD1875" i="1"/>
  <c r="AD1869" i="1"/>
  <c r="AD1926" i="1"/>
  <c r="AD1836" i="1"/>
  <c r="AD1874" i="1"/>
  <c r="AD1876" i="1"/>
  <c r="AD1881" i="1"/>
  <c r="AD1867" i="1"/>
  <c r="AD1579" i="1"/>
  <c r="AD1891" i="1"/>
  <c r="AD1866" i="1"/>
  <c r="CP1880" i="1"/>
  <c r="DC1883" i="1" l="1"/>
  <c r="DA1883" i="1"/>
  <c r="CY1883" i="1"/>
  <c r="Y1883" i="1" s="1"/>
  <c r="CW1883" i="1"/>
  <c r="AA1883" i="1" s="1"/>
  <c r="CR1883" i="1"/>
  <c r="CP1883" i="1"/>
  <c r="CN1883" i="1"/>
  <c r="CJ1883" i="1"/>
  <c r="CH1883" i="1"/>
  <c r="CF1883" i="1"/>
  <c r="BL1883" i="1"/>
  <c r="BD1883" i="1"/>
  <c r="AZ1883" i="1"/>
  <c r="AX1883" i="1"/>
  <c r="DC1857" i="1"/>
  <c r="DA1857" i="1"/>
  <c r="CW1857" i="1"/>
  <c r="AA1857" i="1" s="1"/>
  <c r="CR1857" i="1"/>
  <c r="CP1857" i="1"/>
  <c r="CN1857" i="1"/>
  <c r="CJ1857" i="1"/>
  <c r="CH1857" i="1"/>
  <c r="CF1857" i="1"/>
  <c r="BL1857" i="1"/>
  <c r="BD1857" i="1"/>
  <c r="AZ1857" i="1"/>
  <c r="AX1857" i="1"/>
  <c r="Y1857" i="1"/>
  <c r="DC1863" i="1"/>
  <c r="DA1863" i="1"/>
  <c r="CY1863" i="1"/>
  <c r="Y1863" i="1" s="1"/>
  <c r="CW1863" i="1"/>
  <c r="AA1863" i="1" s="1"/>
  <c r="CR1863" i="1"/>
  <c r="CP1863" i="1"/>
  <c r="CN1863" i="1"/>
  <c r="CJ1863" i="1"/>
  <c r="CH1863" i="1"/>
  <c r="CF1863" i="1"/>
  <c r="BL1863" i="1"/>
  <c r="BD1863" i="1"/>
  <c r="AZ1863" i="1"/>
  <c r="AX1863" i="1"/>
  <c r="DC1870" i="1"/>
  <c r="DA1870" i="1"/>
  <c r="CY1870" i="1"/>
  <c r="CW1870" i="1"/>
  <c r="AA1870" i="1" s="1"/>
  <c r="CR1870" i="1"/>
  <c r="CP1870" i="1"/>
  <c r="CN1870" i="1"/>
  <c r="CJ1870" i="1"/>
  <c r="CH1870" i="1"/>
  <c r="CF1870" i="1"/>
  <c r="BL1870" i="1"/>
  <c r="BD1870" i="1"/>
  <c r="AZ1870" i="1"/>
  <c r="AX1870" i="1"/>
  <c r="Y1870" i="1"/>
  <c r="DC1852" i="1"/>
  <c r="DA1852" i="1"/>
  <c r="CY1852" i="1"/>
  <c r="Y1852" i="1" s="1"/>
  <c r="CW1852" i="1"/>
  <c r="AA1852" i="1" s="1"/>
  <c r="CR1852" i="1"/>
  <c r="CP1852" i="1"/>
  <c r="CN1852" i="1"/>
  <c r="CJ1852" i="1"/>
  <c r="CH1852" i="1"/>
  <c r="CF1852" i="1"/>
  <c r="BL1852" i="1"/>
  <c r="BD1852" i="1"/>
  <c r="AZ1852" i="1"/>
  <c r="AX1852" i="1"/>
  <c r="DC1864" i="1"/>
  <c r="DA1864" i="1"/>
  <c r="CY1864" i="1"/>
  <c r="Y1864" i="1" s="1"/>
  <c r="CW1864" i="1"/>
  <c r="AA1864" i="1" s="1"/>
  <c r="CR1864" i="1"/>
  <c r="CP1864" i="1"/>
  <c r="CN1864" i="1"/>
  <c r="CJ1864" i="1"/>
  <c r="CH1864" i="1"/>
  <c r="CF1864" i="1"/>
  <c r="BL1864" i="1"/>
  <c r="BD1864" i="1"/>
  <c r="AZ1864" i="1"/>
  <c r="AX1864" i="1"/>
  <c r="DC1574" i="1"/>
  <c r="DA1574" i="1"/>
  <c r="CY1574" i="1"/>
  <c r="Y1574" i="1" s="1"/>
  <c r="CW1574" i="1"/>
  <c r="AA1574" i="1" s="1"/>
  <c r="CR1574" i="1"/>
  <c r="CP1574" i="1"/>
  <c r="CN1574" i="1"/>
  <c r="CJ1574" i="1"/>
  <c r="CH1574" i="1"/>
  <c r="CF1574" i="1"/>
  <c r="BL1574" i="1"/>
  <c r="BD1574" i="1"/>
  <c r="AZ1574" i="1"/>
  <c r="AX1574" i="1"/>
  <c r="DC1877" i="1"/>
  <c r="DA1877" i="1"/>
  <c r="CY1877" i="1"/>
  <c r="Y1877" i="1" s="1"/>
  <c r="CW1877" i="1"/>
  <c r="AA1877" i="1" s="1"/>
  <c r="CR1877" i="1"/>
  <c r="CP1877" i="1"/>
  <c r="CN1877" i="1"/>
  <c r="CJ1877" i="1"/>
  <c r="CH1877" i="1"/>
  <c r="CF1877" i="1"/>
  <c r="BL1877" i="1"/>
  <c r="BD1877" i="1"/>
  <c r="AZ1877" i="1"/>
  <c r="AX1877" i="1"/>
  <c r="DC1849" i="1"/>
  <c r="DA1849" i="1"/>
  <c r="CY1849" i="1"/>
  <c r="Y1849" i="1" s="1"/>
  <c r="CW1849" i="1"/>
  <c r="AA1849" i="1" s="1"/>
  <c r="CR1849" i="1"/>
  <c r="CP1849" i="1"/>
  <c r="CN1849" i="1"/>
  <c r="CJ1849" i="1"/>
  <c r="CH1849" i="1"/>
  <c r="CF1849" i="1"/>
  <c r="BL1849" i="1"/>
  <c r="BD1849" i="1"/>
  <c r="AZ1849" i="1"/>
  <c r="AX1849" i="1"/>
  <c r="DC1858" i="1"/>
  <c r="DA1858" i="1"/>
  <c r="CY1858" i="1"/>
  <c r="CW1858" i="1"/>
  <c r="AA1858" i="1" s="1"/>
  <c r="CR1858" i="1"/>
  <c r="CP1858" i="1"/>
  <c r="CN1858" i="1"/>
  <c r="CJ1858" i="1"/>
  <c r="CH1858" i="1"/>
  <c r="CF1858" i="1"/>
  <c r="BL1858" i="1"/>
  <c r="BD1858" i="1"/>
  <c r="AZ1858" i="1"/>
  <c r="AX1858" i="1"/>
  <c r="Y1858" i="1"/>
  <c r="DC1846" i="1"/>
  <c r="DA1846" i="1"/>
  <c r="CY1846" i="1"/>
  <c r="Y1846" i="1" s="1"/>
  <c r="CW1846" i="1"/>
  <c r="AA1846" i="1" s="1"/>
  <c r="CR1846" i="1"/>
  <c r="CP1846" i="1"/>
  <c r="CN1846" i="1"/>
  <c r="CJ1846" i="1"/>
  <c r="CH1846" i="1"/>
  <c r="CF1846" i="1"/>
  <c r="BL1846" i="1"/>
  <c r="BD1846" i="1"/>
  <c r="AZ1846" i="1"/>
  <c r="AX1846" i="1"/>
  <c r="DC1859" i="1"/>
  <c r="DA1859" i="1"/>
  <c r="CY1859" i="1"/>
  <c r="Y1859" i="1" s="1"/>
  <c r="CW1859" i="1"/>
  <c r="AA1859" i="1" s="1"/>
  <c r="CR1859" i="1"/>
  <c r="CP1859" i="1"/>
  <c r="CN1859" i="1"/>
  <c r="CJ1859" i="1"/>
  <c r="CH1859" i="1"/>
  <c r="CF1859" i="1"/>
  <c r="BL1859" i="1"/>
  <c r="BD1859" i="1"/>
  <c r="AZ1859" i="1"/>
  <c r="AX1859" i="1"/>
  <c r="DC1848" i="1"/>
  <c r="DA1848" i="1"/>
  <c r="CY1848" i="1"/>
  <c r="CW1848" i="1"/>
  <c r="AA1848" i="1" s="1"/>
  <c r="CR1848" i="1"/>
  <c r="CP1848" i="1"/>
  <c r="CN1848" i="1"/>
  <c r="CJ1848" i="1"/>
  <c r="CH1848" i="1"/>
  <c r="CF1848" i="1"/>
  <c r="BL1848" i="1"/>
  <c r="BD1848" i="1"/>
  <c r="AZ1848" i="1"/>
  <c r="AX1848" i="1"/>
  <c r="Y1848" i="1"/>
  <c r="DC1850" i="1"/>
  <c r="DA1850" i="1"/>
  <c r="CY1850" i="1"/>
  <c r="Y1850" i="1" s="1"/>
  <c r="CW1850" i="1"/>
  <c r="AA1850" i="1" s="1"/>
  <c r="CR1850" i="1"/>
  <c r="CP1850" i="1"/>
  <c r="CN1850" i="1"/>
  <c r="CJ1850" i="1"/>
  <c r="CH1850" i="1"/>
  <c r="CF1850" i="1"/>
  <c r="BL1850" i="1"/>
  <c r="BD1850" i="1"/>
  <c r="AZ1850" i="1"/>
  <c r="AX1850" i="1"/>
  <c r="DC1855" i="1"/>
  <c r="DA1855" i="1"/>
  <c r="CY1855" i="1"/>
  <c r="Y1855" i="1" s="1"/>
  <c r="CW1855" i="1"/>
  <c r="AA1855" i="1" s="1"/>
  <c r="CR1855" i="1"/>
  <c r="CP1855" i="1"/>
  <c r="CN1855" i="1"/>
  <c r="CJ1855" i="1"/>
  <c r="CH1855" i="1"/>
  <c r="CF1855" i="1"/>
  <c r="BL1855" i="1"/>
  <c r="BD1855" i="1"/>
  <c r="AZ1855" i="1"/>
  <c r="AX1855" i="1"/>
  <c r="DC1842" i="1"/>
  <c r="DA1842" i="1"/>
  <c r="CY1842" i="1"/>
  <c r="Y1842" i="1" s="1"/>
  <c r="CW1842" i="1"/>
  <c r="AA1842" i="1" s="1"/>
  <c r="CR1842" i="1"/>
  <c r="CP1842" i="1"/>
  <c r="CN1842" i="1"/>
  <c r="CJ1842" i="1"/>
  <c r="CH1842" i="1"/>
  <c r="CF1842" i="1"/>
  <c r="BL1842" i="1"/>
  <c r="BD1842" i="1"/>
  <c r="AZ1842" i="1"/>
  <c r="AX1842" i="1"/>
  <c r="DC1837" i="1"/>
  <c r="DA1837" i="1"/>
  <c r="CY1837" i="1"/>
  <c r="Y1837" i="1" s="1"/>
  <c r="CW1837" i="1"/>
  <c r="AA1837" i="1" s="1"/>
  <c r="CR1837" i="1"/>
  <c r="CP1837" i="1"/>
  <c r="CN1837" i="1"/>
  <c r="CJ1837" i="1"/>
  <c r="CH1837" i="1"/>
  <c r="CF1837" i="1"/>
  <c r="BL1837" i="1"/>
  <c r="BD1837" i="1"/>
  <c r="AZ1837" i="1"/>
  <c r="AX1837" i="1"/>
  <c r="DC1853" i="1"/>
  <c r="DA1853" i="1"/>
  <c r="CY1853" i="1"/>
  <c r="Y1853" i="1" s="1"/>
  <c r="CW1853" i="1"/>
  <c r="AA1853" i="1" s="1"/>
  <c r="CR1853" i="1"/>
  <c r="CP1853" i="1"/>
  <c r="CN1853" i="1"/>
  <c r="CJ1853" i="1"/>
  <c r="CH1853" i="1"/>
  <c r="CF1853" i="1"/>
  <c r="BL1853" i="1"/>
  <c r="BD1853" i="1"/>
  <c r="AZ1853" i="1"/>
  <c r="AX1853" i="1"/>
  <c r="AX2079" i="1"/>
  <c r="AZ2079" i="1"/>
  <c r="BD2079" i="1"/>
  <c r="BL2079" i="1"/>
  <c r="CF2079" i="1"/>
  <c r="CH2079" i="1"/>
  <c r="CJ2079" i="1"/>
  <c r="CN2079" i="1"/>
  <c r="CP2079" i="1"/>
  <c r="CR2079" i="1"/>
  <c r="CW2079" i="1"/>
  <c r="AA2079" i="1" s="1"/>
  <c r="CY2079" i="1"/>
  <c r="Y2079" i="1" s="1"/>
  <c r="DA2079" i="1"/>
  <c r="DC2079" i="1"/>
  <c r="AA3916" i="1"/>
  <c r="Y3916" i="1"/>
  <c r="F3917" i="1"/>
  <c r="G3917" i="1"/>
  <c r="H3917" i="1"/>
  <c r="K3917" i="1"/>
  <c r="M3917" i="1"/>
  <c r="N3917" i="1"/>
  <c r="P3917" i="1"/>
  <c r="Q3917" i="1"/>
  <c r="R3917" i="1"/>
  <c r="S3917" i="1"/>
  <c r="T3917" i="1"/>
  <c r="U3917" i="1"/>
  <c r="V3917" i="1"/>
  <c r="AC3917" i="1"/>
  <c r="AE3917" i="1"/>
  <c r="AM3917" i="1"/>
  <c r="AN3917" i="1"/>
  <c r="AO3917" i="1"/>
  <c r="AP3917" i="1"/>
  <c r="AQ3917" i="1"/>
  <c r="AR3917" i="1"/>
  <c r="AS3917" i="1"/>
  <c r="AT3917" i="1"/>
  <c r="AU3917" i="1"/>
  <c r="AV3917" i="1"/>
  <c r="AW3917" i="1"/>
  <c r="AY3917" i="1"/>
  <c r="BA3917" i="1"/>
  <c r="BB3917" i="1"/>
  <c r="BC3917" i="1"/>
  <c r="BE3917" i="1"/>
  <c r="BF3917" i="1"/>
  <c r="BG3917" i="1"/>
  <c r="BH3917" i="1"/>
  <c r="BI3917" i="1"/>
  <c r="BJ3917" i="1"/>
  <c r="BK3917" i="1"/>
  <c r="BM3917" i="1"/>
  <c r="BN3917" i="1"/>
  <c r="BO3917" i="1"/>
  <c r="BP3917" i="1"/>
  <c r="BQ3917" i="1"/>
  <c r="BR3917" i="1"/>
  <c r="BS3917" i="1"/>
  <c r="BT3917" i="1"/>
  <c r="BU3917" i="1"/>
  <c r="BV3917" i="1"/>
  <c r="BW3917" i="1"/>
  <c r="BX3917" i="1"/>
  <c r="BY3917" i="1"/>
  <c r="CA3917" i="1"/>
  <c r="CB3917" i="1"/>
  <c r="CC3917" i="1"/>
  <c r="CD3917" i="1"/>
  <c r="CE3917" i="1"/>
  <c r="CG3917" i="1"/>
  <c r="CI3917" i="1"/>
  <c r="CK3917" i="1"/>
  <c r="CL3917" i="1"/>
  <c r="CM3917" i="1"/>
  <c r="CO3917" i="1"/>
  <c r="CQ3917" i="1"/>
  <c r="CS3917" i="1"/>
  <c r="CT3917" i="1"/>
  <c r="CV3917" i="1"/>
  <c r="CX3917" i="1"/>
  <c r="Z1883" i="1" l="1"/>
  <c r="Z1863" i="1"/>
  <c r="CU2079" i="1"/>
  <c r="X2079" i="1" s="1"/>
  <c r="X3916" i="1"/>
  <c r="Z1864" i="1"/>
  <c r="Z1870" i="1"/>
  <c r="Z1852" i="1"/>
  <c r="Z1574" i="1"/>
  <c r="CU1883" i="1"/>
  <c r="X1883" i="1" s="1"/>
  <c r="AD1883" i="1" s="1"/>
  <c r="Z1857" i="1"/>
  <c r="Z3916" i="1"/>
  <c r="Z2079" i="1"/>
  <c r="CU1574" i="1"/>
  <c r="X1574" i="1" s="1"/>
  <c r="CU1864" i="1"/>
  <c r="X1864" i="1" s="1"/>
  <c r="CU1852" i="1"/>
  <c r="X1852" i="1" s="1"/>
  <c r="CU1870" i="1"/>
  <c r="X1870" i="1" s="1"/>
  <c r="CU1863" i="1"/>
  <c r="X1863" i="1" s="1"/>
  <c r="CU1857" i="1"/>
  <c r="X1857" i="1" s="1"/>
  <c r="Z1849" i="1"/>
  <c r="Z1877" i="1"/>
  <c r="CU1849" i="1"/>
  <c r="X1849" i="1" s="1"/>
  <c r="CU1877" i="1"/>
  <c r="X1877" i="1" s="1"/>
  <c r="Z1853" i="1"/>
  <c r="Z1846" i="1"/>
  <c r="CU1837" i="1"/>
  <c r="X1837" i="1" s="1"/>
  <c r="CU1850" i="1"/>
  <c r="X1850" i="1" s="1"/>
  <c r="CU1858" i="1"/>
  <c r="X1858" i="1" s="1"/>
  <c r="Z1842" i="1"/>
  <c r="Z1848" i="1"/>
  <c r="CU1853" i="1"/>
  <c r="X1853" i="1" s="1"/>
  <c r="Z1855" i="1"/>
  <c r="Z1859" i="1"/>
  <c r="CU1846" i="1"/>
  <c r="X1846" i="1" s="1"/>
  <c r="CU1855" i="1"/>
  <c r="X1855" i="1" s="1"/>
  <c r="CU1859" i="1"/>
  <c r="X1859" i="1" s="1"/>
  <c r="Z1837" i="1"/>
  <c r="CU1842" i="1"/>
  <c r="X1842" i="1" s="1"/>
  <c r="Z1850" i="1"/>
  <c r="CU1848" i="1"/>
  <c r="X1848" i="1" s="1"/>
  <c r="Z1858" i="1"/>
  <c r="AD3916" i="1" l="1"/>
  <c r="AD1863" i="1"/>
  <c r="AD2079" i="1"/>
  <c r="AD1870" i="1"/>
  <c r="AD1864" i="1"/>
  <c r="AD1574" i="1"/>
  <c r="AD1857" i="1"/>
  <c r="AD1852" i="1"/>
  <c r="AD1849" i="1"/>
  <c r="AD1855" i="1"/>
  <c r="AD1853" i="1"/>
  <c r="AD1877" i="1"/>
  <c r="AD1837" i="1"/>
  <c r="AD1858" i="1"/>
  <c r="AD1846" i="1"/>
  <c r="AD1850" i="1"/>
  <c r="AD1859" i="1"/>
  <c r="AD1842" i="1"/>
  <c r="AD1848" i="1"/>
  <c r="DC1844" i="1"/>
  <c r="DA1844" i="1"/>
  <c r="CY1844" i="1"/>
  <c r="Y1844" i="1" s="1"/>
  <c r="CW1844" i="1"/>
  <c r="AA1844" i="1" s="1"/>
  <c r="CR1844" i="1"/>
  <c r="CP1844" i="1"/>
  <c r="CN1844" i="1"/>
  <c r="CJ1844" i="1"/>
  <c r="CH1844" i="1"/>
  <c r="CF1844" i="1"/>
  <c r="BL1844" i="1"/>
  <c r="BD1844" i="1"/>
  <c r="AZ1844" i="1"/>
  <c r="AX1844" i="1"/>
  <c r="DA1843" i="1"/>
  <c r="Y1843" i="1"/>
  <c r="CW1843" i="1"/>
  <c r="AA1843" i="1" s="1"/>
  <c r="CP1843" i="1"/>
  <c r="CN1843" i="1"/>
  <c r="CH1843" i="1"/>
  <c r="CF1843" i="1"/>
  <c r="BL1843" i="1"/>
  <c r="BD1843" i="1"/>
  <c r="AX1843" i="1"/>
  <c r="DC1847" i="1"/>
  <c r="DA1847" i="1"/>
  <c r="CY1847" i="1"/>
  <c r="Y1847" i="1" s="1"/>
  <c r="CW1847" i="1"/>
  <c r="AA1847" i="1" s="1"/>
  <c r="CR1847" i="1"/>
  <c r="CP1847" i="1"/>
  <c r="CN1847" i="1"/>
  <c r="CJ1847" i="1"/>
  <c r="CH1847" i="1"/>
  <c r="CF1847" i="1"/>
  <c r="BL1847" i="1"/>
  <c r="BD1847" i="1"/>
  <c r="AZ1847" i="1"/>
  <c r="AX1847" i="1"/>
  <c r="DC1841" i="1"/>
  <c r="DA1841" i="1"/>
  <c r="CY1841" i="1"/>
  <c r="Y1841" i="1" s="1"/>
  <c r="CW1841" i="1"/>
  <c r="AA1841" i="1" s="1"/>
  <c r="CR1841" i="1"/>
  <c r="CP1841" i="1"/>
  <c r="CN1841" i="1"/>
  <c r="CJ1841" i="1"/>
  <c r="CH1841" i="1"/>
  <c r="CF1841" i="1"/>
  <c r="BL1841" i="1"/>
  <c r="BD1841" i="1"/>
  <c r="AZ1841" i="1"/>
  <c r="AX1841" i="1"/>
  <c r="DC1835" i="1"/>
  <c r="DA1835" i="1"/>
  <c r="CY1835" i="1"/>
  <c r="Y1835" i="1" s="1"/>
  <c r="CW1835" i="1"/>
  <c r="AA1835" i="1" s="1"/>
  <c r="CR1835" i="1"/>
  <c r="CP1835" i="1"/>
  <c r="CN1835" i="1"/>
  <c r="CJ1835" i="1"/>
  <c r="CH1835" i="1"/>
  <c r="CF1835" i="1"/>
  <c r="BL1835" i="1"/>
  <c r="BD1835" i="1"/>
  <c r="AZ1835" i="1"/>
  <c r="AX1835" i="1"/>
  <c r="DC1834" i="1"/>
  <c r="DA1834" i="1"/>
  <c r="CY1834" i="1"/>
  <c r="Y1834" i="1" s="1"/>
  <c r="CW1834" i="1"/>
  <c r="AA1834" i="1" s="1"/>
  <c r="CR1834" i="1"/>
  <c r="CP1834" i="1"/>
  <c r="CN1834" i="1"/>
  <c r="CJ1834" i="1"/>
  <c r="CH1834" i="1"/>
  <c r="CF1834" i="1"/>
  <c r="BL1834" i="1"/>
  <c r="BD1834" i="1"/>
  <c r="AZ1834" i="1"/>
  <c r="AX1834" i="1"/>
  <c r="DC1833" i="1"/>
  <c r="DA1833" i="1"/>
  <c r="CY1833" i="1"/>
  <c r="Y1833" i="1" s="1"/>
  <c r="CW1833" i="1"/>
  <c r="AA1833" i="1" s="1"/>
  <c r="CR1833" i="1"/>
  <c r="CP1833" i="1"/>
  <c r="CN1833" i="1"/>
  <c r="CJ1833" i="1"/>
  <c r="CH1833" i="1"/>
  <c r="CF1833" i="1"/>
  <c r="BL1833" i="1"/>
  <c r="BD1833" i="1"/>
  <c r="AZ1833" i="1"/>
  <c r="AX1833" i="1"/>
  <c r="DC1826" i="1"/>
  <c r="DA1826" i="1"/>
  <c r="CY1826" i="1"/>
  <c r="Y1826" i="1" s="1"/>
  <c r="CW1826" i="1"/>
  <c r="AA1826" i="1" s="1"/>
  <c r="CR1826" i="1"/>
  <c r="CP1826" i="1"/>
  <c r="CN1826" i="1"/>
  <c r="CJ1826" i="1"/>
  <c r="CH1826" i="1"/>
  <c r="CF1826" i="1"/>
  <c r="BL1826" i="1"/>
  <c r="BD1826" i="1"/>
  <c r="AZ1826" i="1"/>
  <c r="AX1826" i="1"/>
  <c r="DC1832" i="1"/>
  <c r="DA1832" i="1"/>
  <c r="CY1832" i="1"/>
  <c r="Y1832" i="1" s="1"/>
  <c r="CW1832" i="1"/>
  <c r="AA1832" i="1" s="1"/>
  <c r="CR1832" i="1"/>
  <c r="CP1832" i="1"/>
  <c r="CN1832" i="1"/>
  <c r="CJ1832" i="1"/>
  <c r="CH1832" i="1"/>
  <c r="CF1832" i="1"/>
  <c r="BL1832" i="1"/>
  <c r="BD1832" i="1"/>
  <c r="AZ1832" i="1"/>
  <c r="AX1832" i="1"/>
  <c r="DC1818" i="1"/>
  <c r="DA1818" i="1"/>
  <c r="CY1818" i="1"/>
  <c r="Y1818" i="1" s="1"/>
  <c r="CW1818" i="1"/>
  <c r="AA1818" i="1" s="1"/>
  <c r="CR1818" i="1"/>
  <c r="CP1818" i="1"/>
  <c r="CN1818" i="1"/>
  <c r="CJ1818" i="1"/>
  <c r="CH1818" i="1"/>
  <c r="CF1818" i="1"/>
  <c r="BL1818" i="1"/>
  <c r="BD1818" i="1"/>
  <c r="AZ1818" i="1"/>
  <c r="AX1818" i="1"/>
  <c r="DC1827" i="1"/>
  <c r="DA1827" i="1"/>
  <c r="CY1827" i="1"/>
  <c r="Y1827" i="1" s="1"/>
  <c r="CW1827" i="1"/>
  <c r="AA1827" i="1" s="1"/>
  <c r="CR1827" i="1"/>
  <c r="CP1827" i="1"/>
  <c r="CN1827" i="1"/>
  <c r="CJ1827" i="1"/>
  <c r="CH1827" i="1"/>
  <c r="CF1827" i="1"/>
  <c r="BL1827" i="1"/>
  <c r="BD1827" i="1"/>
  <c r="AZ1827" i="1"/>
  <c r="AX1827" i="1"/>
  <c r="DC1825" i="1"/>
  <c r="DA1825" i="1"/>
  <c r="CY1825" i="1"/>
  <c r="Y1825" i="1" s="1"/>
  <c r="CW1825" i="1"/>
  <c r="AA1825" i="1" s="1"/>
  <c r="CR1825" i="1"/>
  <c r="CP1825" i="1"/>
  <c r="CN1825" i="1"/>
  <c r="CJ1825" i="1"/>
  <c r="CH1825" i="1"/>
  <c r="CF1825" i="1"/>
  <c r="BL1825" i="1"/>
  <c r="BD1825" i="1"/>
  <c r="AZ1825" i="1"/>
  <c r="AX1825" i="1"/>
  <c r="DC1824" i="1"/>
  <c r="DA1824" i="1"/>
  <c r="CY1824" i="1"/>
  <c r="Y1824" i="1" s="1"/>
  <c r="CW1824" i="1"/>
  <c r="AA1824" i="1" s="1"/>
  <c r="CR1824" i="1"/>
  <c r="CP1824" i="1"/>
  <c r="CN1824" i="1"/>
  <c r="CJ1824" i="1"/>
  <c r="CH1824" i="1"/>
  <c r="CF1824" i="1"/>
  <c r="BL1824" i="1"/>
  <c r="BD1824" i="1"/>
  <c r="AZ1824" i="1"/>
  <c r="AX1824" i="1"/>
  <c r="DC1821" i="1"/>
  <c r="DA1821" i="1"/>
  <c r="CY1821" i="1"/>
  <c r="Y1821" i="1" s="1"/>
  <c r="CW1821" i="1"/>
  <c r="AA1821" i="1" s="1"/>
  <c r="CR1821" i="1"/>
  <c r="CP1821" i="1"/>
  <c r="CN1821" i="1"/>
  <c r="CJ1821" i="1"/>
  <c r="CH1821" i="1"/>
  <c r="CF1821" i="1"/>
  <c r="BL1821" i="1"/>
  <c r="BD1821" i="1"/>
  <c r="AZ1821" i="1"/>
  <c r="AX1821" i="1"/>
  <c r="DC1830" i="1"/>
  <c r="DA1830" i="1"/>
  <c r="CY1830" i="1"/>
  <c r="Y1830" i="1" s="1"/>
  <c r="CW1830" i="1"/>
  <c r="AA1830" i="1" s="1"/>
  <c r="CR1830" i="1"/>
  <c r="CP1830" i="1"/>
  <c r="CN1830" i="1"/>
  <c r="CJ1830" i="1"/>
  <c r="CH1830" i="1"/>
  <c r="CF1830" i="1"/>
  <c r="BL1830" i="1"/>
  <c r="BD1830" i="1"/>
  <c r="AZ1830" i="1"/>
  <c r="AX1830" i="1"/>
  <c r="DC1829" i="1"/>
  <c r="DA1829" i="1"/>
  <c r="CY1829" i="1"/>
  <c r="Y1829" i="1" s="1"/>
  <c r="CW1829" i="1"/>
  <c r="AA1829" i="1" s="1"/>
  <c r="CR1829" i="1"/>
  <c r="CP1829" i="1"/>
  <c r="CN1829" i="1"/>
  <c r="CJ1829" i="1"/>
  <c r="CH1829" i="1"/>
  <c r="CF1829" i="1"/>
  <c r="BL1829" i="1"/>
  <c r="BD1829" i="1"/>
  <c r="AZ1829" i="1"/>
  <c r="AX1829" i="1"/>
  <c r="DC1831" i="1"/>
  <c r="DA1831" i="1"/>
  <c r="CY1831" i="1"/>
  <c r="Y1831" i="1" s="1"/>
  <c r="CW1831" i="1"/>
  <c r="AA1831" i="1" s="1"/>
  <c r="CR1831" i="1"/>
  <c r="CP1831" i="1"/>
  <c r="CN1831" i="1"/>
  <c r="CJ1831" i="1"/>
  <c r="CH1831" i="1"/>
  <c r="CF1831" i="1"/>
  <c r="BL1831" i="1"/>
  <c r="BD1831" i="1"/>
  <c r="AZ1831" i="1"/>
  <c r="AX1831" i="1"/>
  <c r="DC1819" i="1"/>
  <c r="DA1819" i="1"/>
  <c r="CY1819" i="1"/>
  <c r="Y1819" i="1" s="1"/>
  <c r="CW1819" i="1"/>
  <c r="AA1819" i="1" s="1"/>
  <c r="CR1819" i="1"/>
  <c r="CP1819" i="1"/>
  <c r="CN1819" i="1"/>
  <c r="CJ1819" i="1"/>
  <c r="CH1819" i="1"/>
  <c r="CF1819" i="1"/>
  <c r="BL1819" i="1"/>
  <c r="BD1819" i="1"/>
  <c r="AZ1819" i="1"/>
  <c r="AX1819" i="1"/>
  <c r="DC1822" i="1"/>
  <c r="DA1822" i="1"/>
  <c r="CY1822" i="1"/>
  <c r="Y1822" i="1" s="1"/>
  <c r="CW1822" i="1"/>
  <c r="AA1822" i="1" s="1"/>
  <c r="CR1822" i="1"/>
  <c r="CP1822" i="1"/>
  <c r="CN1822" i="1"/>
  <c r="CJ1822" i="1"/>
  <c r="CH1822" i="1"/>
  <c r="CF1822" i="1"/>
  <c r="BL1822" i="1"/>
  <c r="BD1822" i="1"/>
  <c r="AZ1822" i="1"/>
  <c r="AX1822" i="1"/>
  <c r="Z1847" i="1" l="1"/>
  <c r="Z1835" i="1"/>
  <c r="Z1843" i="1"/>
  <c r="Z1826" i="1"/>
  <c r="Z1832" i="1"/>
  <c r="Z1833" i="1"/>
  <c r="Z1841" i="1"/>
  <c r="Z1844" i="1"/>
  <c r="Z1834" i="1"/>
  <c r="CU1833" i="1"/>
  <c r="X1833" i="1" s="1"/>
  <c r="CU1843" i="1"/>
  <c r="X1843" i="1" s="1"/>
  <c r="CU1834" i="1"/>
  <c r="X1834" i="1" s="1"/>
  <c r="CU1826" i="1"/>
  <c r="X1826" i="1" s="1"/>
  <c r="CU1835" i="1"/>
  <c r="X1835" i="1" s="1"/>
  <c r="CU1847" i="1"/>
  <c r="X1847" i="1" s="1"/>
  <c r="CU1844" i="1"/>
  <c r="X1844" i="1" s="1"/>
  <c r="CU1832" i="1"/>
  <c r="X1832" i="1" s="1"/>
  <c r="CU1841" i="1"/>
  <c r="X1841" i="1" s="1"/>
  <c r="Z1822" i="1"/>
  <c r="Z1830" i="1"/>
  <c r="Z1821" i="1"/>
  <c r="Z1827" i="1"/>
  <c r="CU1818" i="1"/>
  <c r="X1818" i="1" s="1"/>
  <c r="Z1818" i="1"/>
  <c r="Z1819" i="1"/>
  <c r="Z1829" i="1"/>
  <c r="Z1825" i="1"/>
  <c r="CU1824" i="1"/>
  <c r="X1824" i="1" s="1"/>
  <c r="Z1824" i="1"/>
  <c r="CU1831" i="1"/>
  <c r="X1831" i="1" s="1"/>
  <c r="Z1831" i="1"/>
  <c r="CU1821" i="1"/>
  <c r="X1821" i="1" s="1"/>
  <c r="CU1827" i="1"/>
  <c r="X1827" i="1" s="1"/>
  <c r="CU1822" i="1"/>
  <c r="X1822" i="1" s="1"/>
  <c r="CU1829" i="1"/>
  <c r="X1829" i="1" s="1"/>
  <c r="CU1825" i="1"/>
  <c r="X1825" i="1" s="1"/>
  <c r="CU1819" i="1"/>
  <c r="X1819" i="1" s="1"/>
  <c r="CU1830" i="1"/>
  <c r="X1830" i="1" s="1"/>
  <c r="AD1847" i="1" l="1"/>
  <c r="AD1843" i="1"/>
  <c r="AD1833" i="1"/>
  <c r="AD1835" i="1"/>
  <c r="AD1826" i="1"/>
  <c r="AD1844" i="1"/>
  <c r="AD1832" i="1"/>
  <c r="AD1841" i="1"/>
  <c r="AD1834" i="1"/>
  <c r="AD1830" i="1"/>
  <c r="AD1825" i="1"/>
  <c r="AD1822" i="1"/>
  <c r="AD1819" i="1"/>
  <c r="AD1827" i="1"/>
  <c r="AD1831" i="1"/>
  <c r="AD1818" i="1"/>
  <c r="AD1821" i="1"/>
  <c r="AD1829" i="1"/>
  <c r="AD1824" i="1"/>
  <c r="DC1862" i="1" l="1"/>
  <c r="DA1862" i="1"/>
  <c r="CY1862" i="1"/>
  <c r="Y1862" i="1" s="1"/>
  <c r="CW1862" i="1"/>
  <c r="AA1862" i="1" s="1"/>
  <c r="CR1862" i="1"/>
  <c r="CP1862" i="1"/>
  <c r="CN1862" i="1"/>
  <c r="CJ1862" i="1"/>
  <c r="CH1862" i="1"/>
  <c r="CF1862" i="1"/>
  <c r="BL1862" i="1"/>
  <c r="BD1862" i="1"/>
  <c r="AZ1862" i="1"/>
  <c r="AX1862" i="1"/>
  <c r="DC1861" i="1"/>
  <c r="DA1861" i="1"/>
  <c r="CY1861" i="1"/>
  <c r="Y1861" i="1" s="1"/>
  <c r="CW1861" i="1"/>
  <c r="AA1861" i="1" s="1"/>
  <c r="CR1861" i="1"/>
  <c r="CP1861" i="1"/>
  <c r="CN1861" i="1"/>
  <c r="CJ1861" i="1"/>
  <c r="CH1861" i="1"/>
  <c r="CF1861" i="1"/>
  <c r="BL1861" i="1"/>
  <c r="BD1861" i="1"/>
  <c r="AZ1861" i="1"/>
  <c r="AX1861" i="1"/>
  <c r="DC1845" i="1"/>
  <c r="DA1845" i="1"/>
  <c r="CY1845" i="1"/>
  <c r="Y1845" i="1" s="1"/>
  <c r="CW1845" i="1"/>
  <c r="AA1845" i="1" s="1"/>
  <c r="CR1845" i="1"/>
  <c r="CP1845" i="1"/>
  <c r="CN1845" i="1"/>
  <c r="CJ1845" i="1"/>
  <c r="CH1845" i="1"/>
  <c r="CF1845" i="1"/>
  <c r="BL1845" i="1"/>
  <c r="BD1845" i="1"/>
  <c r="AZ1845" i="1"/>
  <c r="AX1845" i="1"/>
  <c r="DC1823" i="1"/>
  <c r="DA1823" i="1"/>
  <c r="CY1823" i="1"/>
  <c r="Y1823" i="1" s="1"/>
  <c r="CW1823" i="1"/>
  <c r="AA1823" i="1" s="1"/>
  <c r="CR1823" i="1"/>
  <c r="CP1823" i="1"/>
  <c r="CN1823" i="1"/>
  <c r="CJ1823" i="1"/>
  <c r="CH1823" i="1"/>
  <c r="CF1823" i="1"/>
  <c r="BL1823" i="1"/>
  <c r="BD1823" i="1"/>
  <c r="AZ1823" i="1"/>
  <c r="AX1823" i="1"/>
  <c r="DC1820" i="1"/>
  <c r="DA1820" i="1"/>
  <c r="CY1820" i="1"/>
  <c r="Y1820" i="1" s="1"/>
  <c r="CW1820" i="1"/>
  <c r="AA1820" i="1" s="1"/>
  <c r="CR1820" i="1"/>
  <c r="CP1820" i="1"/>
  <c r="CN1820" i="1"/>
  <c r="CJ1820" i="1"/>
  <c r="CH1820" i="1"/>
  <c r="CF1820" i="1"/>
  <c r="BL1820" i="1"/>
  <c r="BD1820" i="1"/>
  <c r="AZ1820" i="1"/>
  <c r="AX1820" i="1"/>
  <c r="DC1828" i="1"/>
  <c r="DA1828" i="1"/>
  <c r="CY1828" i="1"/>
  <c r="Y1828" i="1" s="1"/>
  <c r="CW1828" i="1"/>
  <c r="AA1828" i="1" s="1"/>
  <c r="CR1828" i="1"/>
  <c r="CP1828" i="1"/>
  <c r="CN1828" i="1"/>
  <c r="CJ1828" i="1"/>
  <c r="CH1828" i="1"/>
  <c r="CF1828" i="1"/>
  <c r="BL1828" i="1"/>
  <c r="BD1828" i="1"/>
  <c r="AZ1828" i="1"/>
  <c r="AX1828" i="1"/>
  <c r="DC1806" i="1"/>
  <c r="DA1806" i="1"/>
  <c r="CY1806" i="1"/>
  <c r="Y1806" i="1" s="1"/>
  <c r="CW1806" i="1"/>
  <c r="AA1806" i="1" s="1"/>
  <c r="CR1806" i="1"/>
  <c r="CP1806" i="1"/>
  <c r="CN1806" i="1"/>
  <c r="CJ1806" i="1"/>
  <c r="CH1806" i="1"/>
  <c r="CF1806" i="1"/>
  <c r="BL1806" i="1"/>
  <c r="BD1806" i="1"/>
  <c r="AZ1806" i="1"/>
  <c r="AX1806" i="1"/>
  <c r="DC1804" i="1"/>
  <c r="DA1804" i="1"/>
  <c r="CY1804" i="1"/>
  <c r="Y1804" i="1" s="1"/>
  <c r="CW1804" i="1"/>
  <c r="AA1804" i="1" s="1"/>
  <c r="CR1804" i="1"/>
  <c r="CP1804" i="1"/>
  <c r="CN1804" i="1"/>
  <c r="CJ1804" i="1"/>
  <c r="CH1804" i="1"/>
  <c r="CF1804" i="1"/>
  <c r="BL1804" i="1"/>
  <c r="BD1804" i="1"/>
  <c r="AZ1804" i="1"/>
  <c r="AX1804" i="1"/>
  <c r="DC1803" i="1"/>
  <c r="DA1803" i="1"/>
  <c r="CY1803" i="1"/>
  <c r="Y1803" i="1" s="1"/>
  <c r="CW1803" i="1"/>
  <c r="AA1803" i="1" s="1"/>
  <c r="CR1803" i="1"/>
  <c r="CP1803" i="1"/>
  <c r="CN1803" i="1"/>
  <c r="CJ1803" i="1"/>
  <c r="CH1803" i="1"/>
  <c r="CF1803" i="1"/>
  <c r="BL1803" i="1"/>
  <c r="BD1803" i="1"/>
  <c r="AZ1803" i="1"/>
  <c r="AX1803" i="1"/>
  <c r="DC1812" i="1"/>
  <c r="DA1812" i="1"/>
  <c r="CY1812" i="1"/>
  <c r="Y1812" i="1" s="1"/>
  <c r="CW1812" i="1"/>
  <c r="AA1812" i="1" s="1"/>
  <c r="CR1812" i="1"/>
  <c r="CP1812" i="1"/>
  <c r="CN1812" i="1"/>
  <c r="CJ1812" i="1"/>
  <c r="CH1812" i="1"/>
  <c r="CF1812" i="1"/>
  <c r="BL1812" i="1"/>
  <c r="BD1812" i="1"/>
  <c r="AZ1812" i="1"/>
  <c r="AX1812" i="1"/>
  <c r="DC1807" i="1"/>
  <c r="DA1807" i="1"/>
  <c r="CY1807" i="1"/>
  <c r="Y1807" i="1" s="1"/>
  <c r="CW1807" i="1"/>
  <c r="AA1807" i="1" s="1"/>
  <c r="CR1807" i="1"/>
  <c r="CP1807" i="1"/>
  <c r="CN1807" i="1"/>
  <c r="CJ1807" i="1"/>
  <c r="CH1807" i="1"/>
  <c r="CF1807" i="1"/>
  <c r="BL1807" i="1"/>
  <c r="BD1807" i="1"/>
  <c r="AZ1807" i="1"/>
  <c r="AX1807" i="1"/>
  <c r="DC1816" i="1"/>
  <c r="DA1816" i="1"/>
  <c r="CY1816" i="1"/>
  <c r="Y1816" i="1" s="1"/>
  <c r="CW1816" i="1"/>
  <c r="AA1816" i="1" s="1"/>
  <c r="CR1816" i="1"/>
  <c r="CP1816" i="1"/>
  <c r="CN1816" i="1"/>
  <c r="CJ1816" i="1"/>
  <c r="CH1816" i="1"/>
  <c r="CF1816" i="1"/>
  <c r="BL1816" i="1"/>
  <c r="BD1816" i="1"/>
  <c r="AZ1816" i="1"/>
  <c r="AX1816" i="1"/>
  <c r="DC1817" i="1"/>
  <c r="DA1817" i="1"/>
  <c r="CY1817" i="1"/>
  <c r="Y1817" i="1" s="1"/>
  <c r="CW1817" i="1"/>
  <c r="AA1817" i="1" s="1"/>
  <c r="CR1817" i="1"/>
  <c r="CP1817" i="1"/>
  <c r="CN1817" i="1"/>
  <c r="CJ1817" i="1"/>
  <c r="CH1817" i="1"/>
  <c r="CF1817" i="1"/>
  <c r="BL1817" i="1"/>
  <c r="BD1817" i="1"/>
  <c r="AZ1817" i="1"/>
  <c r="AX1817" i="1"/>
  <c r="DC1809" i="1"/>
  <c r="DA1809" i="1"/>
  <c r="CY1809" i="1"/>
  <c r="Y1809" i="1" s="1"/>
  <c r="CW1809" i="1"/>
  <c r="AA1809" i="1" s="1"/>
  <c r="CR1809" i="1"/>
  <c r="CP1809" i="1"/>
  <c r="CN1809" i="1"/>
  <c r="CJ1809" i="1"/>
  <c r="CH1809" i="1"/>
  <c r="CF1809" i="1"/>
  <c r="BL1809" i="1"/>
  <c r="BD1809" i="1"/>
  <c r="AZ1809" i="1"/>
  <c r="AX1809" i="1"/>
  <c r="DC1608" i="1"/>
  <c r="DA1608" i="1"/>
  <c r="Y1608" i="1"/>
  <c r="CW1608" i="1"/>
  <c r="AA1608" i="1" s="1"/>
  <c r="CR1608" i="1"/>
  <c r="CP1608" i="1"/>
  <c r="CN1608" i="1"/>
  <c r="CJ1608" i="1"/>
  <c r="CH1608" i="1"/>
  <c r="CF1608" i="1"/>
  <c r="BL1608" i="1"/>
  <c r="BD1608" i="1"/>
  <c r="AZ1608" i="1"/>
  <c r="AX1608" i="1"/>
  <c r="DC1808" i="1"/>
  <c r="DA1808" i="1"/>
  <c r="CY1808" i="1"/>
  <c r="Y1808" i="1" s="1"/>
  <c r="CW1808" i="1"/>
  <c r="AA1808" i="1" s="1"/>
  <c r="CR1808" i="1"/>
  <c r="CP1808" i="1"/>
  <c r="CN1808" i="1"/>
  <c r="CJ1808" i="1"/>
  <c r="CH1808" i="1"/>
  <c r="CF1808" i="1"/>
  <c r="BL1808" i="1"/>
  <c r="BD1808" i="1"/>
  <c r="AZ1808" i="1"/>
  <c r="AX1808" i="1"/>
  <c r="Z1828" i="1" l="1"/>
  <c r="Z1862" i="1"/>
  <c r="Z1816" i="1"/>
  <c r="Z1806" i="1"/>
  <c r="Z1861" i="1"/>
  <c r="Z1817" i="1"/>
  <c r="Z1812" i="1"/>
  <c r="Z1807" i="1"/>
  <c r="Z1804" i="1"/>
  <c r="Z1845" i="1"/>
  <c r="Z1803" i="1"/>
  <c r="CU1820" i="1"/>
  <c r="X1820" i="1" s="1"/>
  <c r="Z1820" i="1"/>
  <c r="Z1823" i="1"/>
  <c r="CU1816" i="1"/>
  <c r="X1816" i="1" s="1"/>
  <c r="Z1608" i="1"/>
  <c r="Z1809" i="1"/>
  <c r="CU1807" i="1"/>
  <c r="X1807" i="1" s="1"/>
  <c r="CU1804" i="1"/>
  <c r="X1804" i="1" s="1"/>
  <c r="CU1845" i="1"/>
  <c r="X1845" i="1" s="1"/>
  <c r="CU1817" i="1"/>
  <c r="X1817" i="1" s="1"/>
  <c r="CU1812" i="1"/>
  <c r="X1812" i="1" s="1"/>
  <c r="CU1806" i="1"/>
  <c r="X1806" i="1" s="1"/>
  <c r="CU1861" i="1"/>
  <c r="X1861" i="1" s="1"/>
  <c r="CU1862" i="1"/>
  <c r="X1862" i="1" s="1"/>
  <c r="CU1823" i="1"/>
  <c r="X1823" i="1" s="1"/>
  <c r="CU1803" i="1"/>
  <c r="X1803" i="1" s="1"/>
  <c r="CU1828" i="1"/>
  <c r="X1828" i="1" s="1"/>
  <c r="CU1608" i="1"/>
  <c r="X1608" i="1" s="1"/>
  <c r="Z1808" i="1"/>
  <c r="CU1809" i="1"/>
  <c r="X1809" i="1" s="1"/>
  <c r="CU1808" i="1"/>
  <c r="X1808" i="1" s="1"/>
  <c r="AD1828" i="1" l="1"/>
  <c r="AD1862" i="1"/>
  <c r="AD1806" i="1"/>
  <c r="AD1808" i="1"/>
  <c r="AD1861" i="1"/>
  <c r="AD1816" i="1"/>
  <c r="AD1804" i="1"/>
  <c r="AD1817" i="1"/>
  <c r="AD1812" i="1"/>
  <c r="AD1807" i="1"/>
  <c r="AD1803" i="1"/>
  <c r="AD1845" i="1"/>
  <c r="AD1823" i="1"/>
  <c r="AD1820" i="1"/>
  <c r="AD1608" i="1"/>
  <c r="AD1809" i="1"/>
  <c r="DC1880" i="1"/>
  <c r="DA1880" i="1"/>
  <c r="CY1880" i="1"/>
  <c r="Y1880" i="1" s="1"/>
  <c r="CW1880" i="1"/>
  <c r="AA1880" i="1" s="1"/>
  <c r="CR1880" i="1"/>
  <c r="CN1880" i="1"/>
  <c r="CJ1880" i="1"/>
  <c r="CH1880" i="1"/>
  <c r="CF1880" i="1"/>
  <c r="BL1880" i="1"/>
  <c r="BD1880" i="1"/>
  <c r="AZ1880" i="1"/>
  <c r="AX1880" i="1"/>
  <c r="DC1856" i="1"/>
  <c r="DA1856" i="1"/>
  <c r="CY1856" i="1"/>
  <c r="Y1856" i="1" s="1"/>
  <c r="CW1856" i="1"/>
  <c r="AA1856" i="1" s="1"/>
  <c r="CR1856" i="1"/>
  <c r="CP1856" i="1"/>
  <c r="CN1856" i="1"/>
  <c r="CJ1856" i="1"/>
  <c r="CH1856" i="1"/>
  <c r="CF1856" i="1"/>
  <c r="BL1856" i="1"/>
  <c r="BD1856" i="1"/>
  <c r="AZ1856" i="1"/>
  <c r="AX1856" i="1"/>
  <c r="DC1860" i="1"/>
  <c r="DA1860" i="1"/>
  <c r="CY1860" i="1"/>
  <c r="Y1860" i="1" s="1"/>
  <c r="CW1860" i="1"/>
  <c r="AA1860" i="1" s="1"/>
  <c r="CR1860" i="1"/>
  <c r="CP1860" i="1"/>
  <c r="CN1860" i="1"/>
  <c r="CJ1860" i="1"/>
  <c r="CH1860" i="1"/>
  <c r="CF1860" i="1"/>
  <c r="BL1860" i="1"/>
  <c r="BD1860" i="1"/>
  <c r="AZ1860" i="1"/>
  <c r="AX1860" i="1"/>
  <c r="DC1854" i="1"/>
  <c r="DA1854" i="1"/>
  <c r="CY1854" i="1"/>
  <c r="Y1854" i="1" s="1"/>
  <c r="CW1854" i="1"/>
  <c r="AA1854" i="1" s="1"/>
  <c r="CR1854" i="1"/>
  <c r="CP1854" i="1"/>
  <c r="CN1854" i="1"/>
  <c r="CJ1854" i="1"/>
  <c r="CH1854" i="1"/>
  <c r="CF1854" i="1"/>
  <c r="BL1854" i="1"/>
  <c r="BD1854" i="1"/>
  <c r="AZ1854" i="1"/>
  <c r="AX1854" i="1"/>
  <c r="DC1805" i="1"/>
  <c r="DA1805" i="1"/>
  <c r="CY1805" i="1"/>
  <c r="Y1805" i="1" s="1"/>
  <c r="CW1805" i="1"/>
  <c r="AA1805" i="1" s="1"/>
  <c r="CR1805" i="1"/>
  <c r="CP1805" i="1"/>
  <c r="CN1805" i="1"/>
  <c r="CJ1805" i="1"/>
  <c r="CH1805" i="1"/>
  <c r="CF1805" i="1"/>
  <c r="BL1805" i="1"/>
  <c r="BD1805" i="1"/>
  <c r="AZ1805" i="1"/>
  <c r="AX1805" i="1"/>
  <c r="DC1811" i="1"/>
  <c r="DA1811" i="1"/>
  <c r="CY1811" i="1"/>
  <c r="Y1811" i="1" s="1"/>
  <c r="CW1811" i="1"/>
  <c r="AA1811" i="1" s="1"/>
  <c r="CR1811" i="1"/>
  <c r="CN1811" i="1"/>
  <c r="CJ1811" i="1"/>
  <c r="CH1811" i="1"/>
  <c r="CF1811" i="1"/>
  <c r="BL1811" i="1"/>
  <c r="BD1811" i="1"/>
  <c r="AZ1811" i="1"/>
  <c r="AX1811" i="1"/>
  <c r="DC1815" i="1"/>
  <c r="DA1815" i="1"/>
  <c r="CY1815" i="1"/>
  <c r="Y1815" i="1" s="1"/>
  <c r="CW1815" i="1"/>
  <c r="AA1815" i="1" s="1"/>
  <c r="CR1815" i="1"/>
  <c r="CP1815" i="1"/>
  <c r="CN1815" i="1"/>
  <c r="CJ1815" i="1"/>
  <c r="CH1815" i="1"/>
  <c r="CF1815" i="1"/>
  <c r="BL1815" i="1"/>
  <c r="BD1815" i="1"/>
  <c r="AZ1815" i="1"/>
  <c r="AX1815" i="1"/>
  <c r="DC1810" i="1"/>
  <c r="DA1810" i="1"/>
  <c r="CY1810" i="1"/>
  <c r="Y1810" i="1" s="1"/>
  <c r="CW1810" i="1"/>
  <c r="AA1810" i="1" s="1"/>
  <c r="CR1810" i="1"/>
  <c r="CP1810" i="1"/>
  <c r="CN1810" i="1"/>
  <c r="CJ1810" i="1"/>
  <c r="CH1810" i="1"/>
  <c r="CF1810" i="1"/>
  <c r="BL1810" i="1"/>
  <c r="BD1810" i="1"/>
  <c r="AZ1810" i="1"/>
  <c r="AX1810" i="1"/>
  <c r="CU1880" i="1" l="1"/>
  <c r="X1880" i="1" s="1"/>
  <c r="Z1880" i="1"/>
  <c r="CU1860" i="1"/>
  <c r="X1860" i="1" s="1"/>
  <c r="Z1860" i="1"/>
  <c r="Z1805" i="1"/>
  <c r="Z1854" i="1"/>
  <c r="Z1856" i="1"/>
  <c r="Z1811" i="1"/>
  <c r="CU1815" i="1"/>
  <c r="X1815" i="1" s="1"/>
  <c r="Z1815" i="1"/>
  <c r="CU1856" i="1"/>
  <c r="X1856" i="1" s="1"/>
  <c r="CU1811" i="1"/>
  <c r="X1811" i="1" s="1"/>
  <c r="CU1805" i="1"/>
  <c r="X1805" i="1" s="1"/>
  <c r="CU1854" i="1"/>
  <c r="X1854" i="1" s="1"/>
  <c r="CU1810" i="1"/>
  <c r="X1810" i="1" s="1"/>
  <c r="Z1810" i="1"/>
  <c r="AD1811" i="1" l="1"/>
  <c r="AD1860" i="1"/>
  <c r="AD1854" i="1"/>
  <c r="AD1880" i="1"/>
  <c r="AD1856" i="1"/>
  <c r="AD1805" i="1"/>
  <c r="AD1810" i="1"/>
  <c r="AD1815" i="1"/>
  <c r="DC1791" i="1" l="1"/>
  <c r="DA1791" i="1"/>
  <c r="CY1791" i="1"/>
  <c r="Y1791" i="1" s="1"/>
  <c r="CW1791" i="1"/>
  <c r="AA1791" i="1" s="1"/>
  <c r="CR1791" i="1"/>
  <c r="CP1791" i="1"/>
  <c r="CN1791" i="1"/>
  <c r="CJ1791" i="1"/>
  <c r="CH1791" i="1"/>
  <c r="CF1791" i="1"/>
  <c r="BL1791" i="1"/>
  <c r="BD1791" i="1"/>
  <c r="AZ1791" i="1"/>
  <c r="AX1791" i="1"/>
  <c r="DC1794" i="1"/>
  <c r="DA1794" i="1"/>
  <c r="CY1794" i="1"/>
  <c r="Y1794" i="1" s="1"/>
  <c r="CW1794" i="1"/>
  <c r="AA1794" i="1" s="1"/>
  <c r="CR1794" i="1"/>
  <c r="CP1794" i="1"/>
  <c r="CN1794" i="1"/>
  <c r="CJ1794" i="1"/>
  <c r="CH1794" i="1"/>
  <c r="CF1794" i="1"/>
  <c r="BL1794" i="1"/>
  <c r="BD1794" i="1"/>
  <c r="AZ1794" i="1"/>
  <c r="AX1794" i="1"/>
  <c r="DA1328" i="1"/>
  <c r="Y1328" i="1"/>
  <c r="CW1328" i="1"/>
  <c r="AA1328" i="1" s="1"/>
  <c r="CP1328" i="1"/>
  <c r="CN1328" i="1"/>
  <c r="CJ1328" i="1"/>
  <c r="CH1328" i="1"/>
  <c r="CF1328" i="1"/>
  <c r="BL1328" i="1"/>
  <c r="BD1328" i="1"/>
  <c r="AZ1328" i="1"/>
  <c r="AX1328" i="1"/>
  <c r="DC1796" i="1"/>
  <c r="DA1796" i="1"/>
  <c r="CY1796" i="1"/>
  <c r="Y1796" i="1" s="1"/>
  <c r="CW1796" i="1"/>
  <c r="AA1796" i="1" s="1"/>
  <c r="CR1796" i="1"/>
  <c r="CP1796" i="1"/>
  <c r="CN1796" i="1"/>
  <c r="CJ1796" i="1"/>
  <c r="CH1796" i="1"/>
  <c r="CF1796" i="1"/>
  <c r="BL1796" i="1"/>
  <c r="BD1796" i="1"/>
  <c r="AZ1796" i="1"/>
  <c r="AX1796" i="1"/>
  <c r="DC1792" i="1"/>
  <c r="DA1792" i="1"/>
  <c r="CY1792" i="1"/>
  <c r="Y1792" i="1" s="1"/>
  <c r="CW1792" i="1"/>
  <c r="AA1792" i="1" s="1"/>
  <c r="CR1792" i="1"/>
  <c r="CP1792" i="1"/>
  <c r="CN1792" i="1"/>
  <c r="CJ1792" i="1"/>
  <c r="CH1792" i="1"/>
  <c r="CF1792" i="1"/>
  <c r="BL1792" i="1"/>
  <c r="BD1792" i="1"/>
  <c r="AZ1792" i="1"/>
  <c r="AX1792" i="1"/>
  <c r="DC1798" i="1"/>
  <c r="DA1798" i="1"/>
  <c r="CY1798" i="1"/>
  <c r="Y1798" i="1" s="1"/>
  <c r="CW1798" i="1"/>
  <c r="AA1798" i="1" s="1"/>
  <c r="CR1798" i="1"/>
  <c r="CP1798" i="1"/>
  <c r="CN1798" i="1"/>
  <c r="CJ1798" i="1"/>
  <c r="CH1798" i="1"/>
  <c r="CF1798" i="1"/>
  <c r="BL1798" i="1"/>
  <c r="BD1798" i="1"/>
  <c r="AZ1798" i="1"/>
  <c r="AX1798" i="1"/>
  <c r="DC1795" i="1"/>
  <c r="DA1795" i="1"/>
  <c r="CY1795" i="1"/>
  <c r="Y1795" i="1" s="1"/>
  <c r="CW1795" i="1"/>
  <c r="AA1795" i="1" s="1"/>
  <c r="CR1795" i="1"/>
  <c r="CP1795" i="1"/>
  <c r="CN1795" i="1"/>
  <c r="CJ1795" i="1"/>
  <c r="CH1795" i="1"/>
  <c r="CF1795" i="1"/>
  <c r="BL1795" i="1"/>
  <c r="BD1795" i="1"/>
  <c r="AZ1795" i="1"/>
  <c r="AX1795" i="1"/>
  <c r="DC1790" i="1"/>
  <c r="DA1790" i="1"/>
  <c r="CY1790" i="1"/>
  <c r="Y1790" i="1" s="1"/>
  <c r="CW1790" i="1"/>
  <c r="AA1790" i="1" s="1"/>
  <c r="CR1790" i="1"/>
  <c r="CP1790" i="1"/>
  <c r="CN1790" i="1"/>
  <c r="CJ1790" i="1"/>
  <c r="CH1790" i="1"/>
  <c r="CF1790" i="1"/>
  <c r="BL1790" i="1"/>
  <c r="BD1790" i="1"/>
  <c r="AZ1790" i="1"/>
  <c r="AX1790" i="1"/>
  <c r="DC1789" i="1"/>
  <c r="DA1789" i="1"/>
  <c r="CY1789" i="1"/>
  <c r="Y1789" i="1" s="1"/>
  <c r="CW1789" i="1"/>
  <c r="AA1789" i="1" s="1"/>
  <c r="CR1789" i="1"/>
  <c r="CP1789" i="1"/>
  <c r="CN1789" i="1"/>
  <c r="CJ1789" i="1"/>
  <c r="CH1789" i="1"/>
  <c r="CF1789" i="1"/>
  <c r="BL1789" i="1"/>
  <c r="BD1789" i="1"/>
  <c r="AZ1789" i="1"/>
  <c r="AX1789" i="1"/>
  <c r="DC1781" i="1"/>
  <c r="DA1781" i="1"/>
  <c r="CY1781" i="1"/>
  <c r="Y1781" i="1" s="1"/>
  <c r="CW1781" i="1"/>
  <c r="AA1781" i="1" s="1"/>
  <c r="CR1781" i="1"/>
  <c r="CP1781" i="1"/>
  <c r="CN1781" i="1"/>
  <c r="CJ1781" i="1"/>
  <c r="CH1781" i="1"/>
  <c r="CF1781" i="1"/>
  <c r="BL1781" i="1"/>
  <c r="BD1781" i="1"/>
  <c r="AZ1781" i="1"/>
  <c r="AX1781" i="1"/>
  <c r="DC1782" i="1"/>
  <c r="DA1782" i="1"/>
  <c r="CY1782" i="1"/>
  <c r="Y1782" i="1" s="1"/>
  <c r="CW1782" i="1"/>
  <c r="AA1782" i="1" s="1"/>
  <c r="CR1782" i="1"/>
  <c r="CP1782" i="1"/>
  <c r="CN1782" i="1"/>
  <c r="CJ1782" i="1"/>
  <c r="CH1782" i="1"/>
  <c r="CF1782" i="1"/>
  <c r="BL1782" i="1"/>
  <c r="BD1782" i="1"/>
  <c r="AZ1782" i="1"/>
  <c r="AX1782" i="1"/>
  <c r="DC1776" i="1"/>
  <c r="DA1776" i="1"/>
  <c r="CY1776" i="1"/>
  <c r="Y1776" i="1" s="1"/>
  <c r="CW1776" i="1"/>
  <c r="AA1776" i="1" s="1"/>
  <c r="CR1776" i="1"/>
  <c r="CP1776" i="1"/>
  <c r="CN1776" i="1"/>
  <c r="CJ1776" i="1"/>
  <c r="CH1776" i="1"/>
  <c r="CF1776" i="1"/>
  <c r="BL1776" i="1"/>
  <c r="BD1776" i="1"/>
  <c r="AZ1776" i="1"/>
  <c r="AX1776" i="1"/>
  <c r="DC1787" i="1"/>
  <c r="DA1787" i="1"/>
  <c r="CY1787" i="1"/>
  <c r="Y1787" i="1" s="1"/>
  <c r="CW1787" i="1"/>
  <c r="AA1787" i="1" s="1"/>
  <c r="CR1787" i="1"/>
  <c r="CP1787" i="1"/>
  <c r="CN1787" i="1"/>
  <c r="CJ1787" i="1"/>
  <c r="CH1787" i="1"/>
  <c r="CF1787" i="1"/>
  <c r="BL1787" i="1"/>
  <c r="BD1787" i="1"/>
  <c r="AZ1787" i="1"/>
  <c r="AX1787" i="1"/>
  <c r="DC1785" i="1"/>
  <c r="DA1785" i="1"/>
  <c r="CY1785" i="1"/>
  <c r="Y1785" i="1" s="1"/>
  <c r="CW1785" i="1"/>
  <c r="AA1785" i="1" s="1"/>
  <c r="CR1785" i="1"/>
  <c r="CP1785" i="1"/>
  <c r="CN1785" i="1"/>
  <c r="CJ1785" i="1"/>
  <c r="CH1785" i="1"/>
  <c r="CF1785" i="1"/>
  <c r="BL1785" i="1"/>
  <c r="BD1785" i="1"/>
  <c r="AZ1785" i="1"/>
  <c r="AX1785" i="1"/>
  <c r="DC1783" i="1"/>
  <c r="DA1783" i="1"/>
  <c r="CY1783" i="1"/>
  <c r="Y1783" i="1" s="1"/>
  <c r="CW1783" i="1"/>
  <c r="AA1783" i="1" s="1"/>
  <c r="CR1783" i="1"/>
  <c r="CP1783" i="1"/>
  <c r="CN1783" i="1"/>
  <c r="CJ1783" i="1"/>
  <c r="CH1783" i="1"/>
  <c r="CF1783" i="1"/>
  <c r="BL1783" i="1"/>
  <c r="BD1783" i="1"/>
  <c r="AZ1783" i="1"/>
  <c r="AX1783" i="1"/>
  <c r="DC1788" i="1"/>
  <c r="DA1788" i="1"/>
  <c r="CY1788" i="1"/>
  <c r="Y1788" i="1" s="1"/>
  <c r="CW1788" i="1"/>
  <c r="AA1788" i="1" s="1"/>
  <c r="CR1788" i="1"/>
  <c r="CP1788" i="1"/>
  <c r="CN1788" i="1"/>
  <c r="CJ1788" i="1"/>
  <c r="CH1788" i="1"/>
  <c r="CF1788" i="1"/>
  <c r="BL1788" i="1"/>
  <c r="BD1788" i="1"/>
  <c r="AZ1788" i="1"/>
  <c r="AX1788" i="1"/>
  <c r="DC1784" i="1"/>
  <c r="DA1784" i="1"/>
  <c r="CY1784" i="1"/>
  <c r="Y1784" i="1" s="1"/>
  <c r="CW1784" i="1"/>
  <c r="AA1784" i="1" s="1"/>
  <c r="CR1784" i="1"/>
  <c r="CP1784" i="1"/>
  <c r="CN1784" i="1"/>
  <c r="CJ1784" i="1"/>
  <c r="CH1784" i="1"/>
  <c r="CF1784" i="1"/>
  <c r="BL1784" i="1"/>
  <c r="BD1784" i="1"/>
  <c r="AZ1784" i="1"/>
  <c r="AX1784" i="1"/>
  <c r="DC1786" i="1"/>
  <c r="DA1786" i="1"/>
  <c r="CY1786" i="1"/>
  <c r="Y1786" i="1" s="1"/>
  <c r="CW1786" i="1"/>
  <c r="AA1786" i="1" s="1"/>
  <c r="CR1786" i="1"/>
  <c r="CP1786" i="1"/>
  <c r="CN1786" i="1"/>
  <c r="CJ1786" i="1"/>
  <c r="CH1786" i="1"/>
  <c r="CF1786" i="1"/>
  <c r="BL1786" i="1"/>
  <c r="BD1786" i="1"/>
  <c r="AZ1786" i="1"/>
  <c r="AX1786" i="1"/>
  <c r="DC1779" i="1"/>
  <c r="DA1779" i="1"/>
  <c r="CY1779" i="1"/>
  <c r="Y1779" i="1" s="1"/>
  <c r="CW1779" i="1"/>
  <c r="AA1779" i="1" s="1"/>
  <c r="CR1779" i="1"/>
  <c r="CP1779" i="1"/>
  <c r="CN1779" i="1"/>
  <c r="CJ1779" i="1"/>
  <c r="CH1779" i="1"/>
  <c r="CF1779" i="1"/>
  <c r="BL1779" i="1"/>
  <c r="BD1779" i="1"/>
  <c r="AZ1779" i="1"/>
  <c r="AX1779" i="1"/>
  <c r="DC1773" i="1"/>
  <c r="DA1773" i="1"/>
  <c r="CY1773" i="1"/>
  <c r="Y1773" i="1" s="1"/>
  <c r="CW1773" i="1"/>
  <c r="AA1773" i="1" s="1"/>
  <c r="CR1773" i="1"/>
  <c r="CP1773" i="1"/>
  <c r="CN1773" i="1"/>
  <c r="CJ1773" i="1"/>
  <c r="CH1773" i="1"/>
  <c r="CF1773" i="1"/>
  <c r="BL1773" i="1"/>
  <c r="BD1773" i="1"/>
  <c r="AZ1773" i="1"/>
  <c r="AX1773" i="1"/>
  <c r="DC1774" i="1"/>
  <c r="DA1774" i="1"/>
  <c r="CY1774" i="1"/>
  <c r="Y1774" i="1" s="1"/>
  <c r="CW1774" i="1"/>
  <c r="AA1774" i="1" s="1"/>
  <c r="CR1774" i="1"/>
  <c r="CP1774" i="1"/>
  <c r="CN1774" i="1"/>
  <c r="CJ1774" i="1"/>
  <c r="CH1774" i="1"/>
  <c r="CF1774" i="1"/>
  <c r="BL1774" i="1"/>
  <c r="BD1774" i="1"/>
  <c r="AZ1774" i="1"/>
  <c r="AX1774" i="1"/>
  <c r="Z1791" i="1" l="1"/>
  <c r="Z1794" i="1"/>
  <c r="Z1792" i="1"/>
  <c r="Z1796" i="1"/>
  <c r="Z1798" i="1"/>
  <c r="Z1795" i="1"/>
  <c r="CU1328" i="1"/>
  <c r="X1328" i="1" s="1"/>
  <c r="Z1328" i="1"/>
  <c r="Z1789" i="1"/>
  <c r="Z1787" i="1"/>
  <c r="CU1790" i="1"/>
  <c r="X1790" i="1" s="1"/>
  <c r="Z1790" i="1"/>
  <c r="Z1788" i="1"/>
  <c r="Z1785" i="1"/>
  <c r="Z1781" i="1"/>
  <c r="Z1782" i="1"/>
  <c r="CU1776" i="1"/>
  <c r="X1776" i="1" s="1"/>
  <c r="Z1776" i="1"/>
  <c r="Z1786" i="1"/>
  <c r="Z1783" i="1"/>
  <c r="Z1773" i="1"/>
  <c r="CU1784" i="1"/>
  <c r="X1784" i="1" s="1"/>
  <c r="Z1784" i="1"/>
  <c r="Z1779" i="1"/>
  <c r="CU1774" i="1"/>
  <c r="X1774" i="1" s="1"/>
  <c r="CU1786" i="1"/>
  <c r="X1786" i="1" s="1"/>
  <c r="CU1787" i="1"/>
  <c r="X1787" i="1" s="1"/>
  <c r="CU1789" i="1"/>
  <c r="X1789" i="1" s="1"/>
  <c r="CU1795" i="1"/>
  <c r="X1795" i="1" s="1"/>
  <c r="CU1796" i="1"/>
  <c r="X1796" i="1" s="1"/>
  <c r="Z1774" i="1"/>
  <c r="CU1788" i="1"/>
  <c r="X1788" i="1" s="1"/>
  <c r="CU1782" i="1"/>
  <c r="X1782" i="1" s="1"/>
  <c r="CU1798" i="1"/>
  <c r="X1798" i="1" s="1"/>
  <c r="CU1794" i="1"/>
  <c r="X1794" i="1" s="1"/>
  <c r="CU1783" i="1"/>
  <c r="X1783" i="1" s="1"/>
  <c r="CU1785" i="1"/>
  <c r="X1785" i="1" s="1"/>
  <c r="CU1781" i="1"/>
  <c r="X1781" i="1" s="1"/>
  <c r="CU1792" i="1"/>
  <c r="X1792" i="1" s="1"/>
  <c r="CU1791" i="1"/>
  <c r="X1791" i="1" s="1"/>
  <c r="CU1773" i="1"/>
  <c r="X1773" i="1" s="1"/>
  <c r="CU1779" i="1"/>
  <c r="X1779" i="1" s="1"/>
  <c r="AD1791" i="1" l="1"/>
  <c r="AD1796" i="1"/>
  <c r="AD1794" i="1"/>
  <c r="AD1792" i="1"/>
  <c r="AD1781" i="1"/>
  <c r="AD1798" i="1"/>
  <c r="AD1785" i="1"/>
  <c r="AD1789" i="1"/>
  <c r="AD1795" i="1"/>
  <c r="AD1779" i="1"/>
  <c r="AD1328" i="1"/>
  <c r="AD1787" i="1"/>
  <c r="AD1790" i="1"/>
  <c r="AD1782" i="1"/>
  <c r="AD1776" i="1"/>
  <c r="AD1788" i="1"/>
  <c r="AD1783" i="1"/>
  <c r="AD1786" i="1"/>
  <c r="AD1784" i="1"/>
  <c r="AD1773" i="1"/>
  <c r="AD1774" i="1"/>
  <c r="DC1802" i="1" l="1"/>
  <c r="DA1802" i="1"/>
  <c r="CY1802" i="1"/>
  <c r="Y1802" i="1" s="1"/>
  <c r="CW1802" i="1"/>
  <c r="AA1802" i="1" s="1"/>
  <c r="CR1802" i="1"/>
  <c r="CP1802" i="1"/>
  <c r="CN1802" i="1"/>
  <c r="CJ1802" i="1"/>
  <c r="CH1802" i="1"/>
  <c r="CF1802" i="1"/>
  <c r="BL1802" i="1"/>
  <c r="BD1802" i="1"/>
  <c r="AZ1802" i="1"/>
  <c r="AX1802" i="1"/>
  <c r="DA1775" i="1"/>
  <c r="Y1775" i="1"/>
  <c r="CW1775" i="1"/>
  <c r="AA1775" i="1" s="1"/>
  <c r="CR1775" i="1"/>
  <c r="CP1775" i="1"/>
  <c r="CN1775" i="1"/>
  <c r="CJ1775" i="1"/>
  <c r="CH1775" i="1"/>
  <c r="CF1775" i="1"/>
  <c r="BL1775" i="1"/>
  <c r="BD1775" i="1"/>
  <c r="AZ1775" i="1"/>
  <c r="AX1775" i="1"/>
  <c r="DC1799" i="1"/>
  <c r="DA1799" i="1"/>
  <c r="CY1799" i="1"/>
  <c r="Y1799" i="1" s="1"/>
  <c r="CW1799" i="1"/>
  <c r="AA1799" i="1" s="1"/>
  <c r="CR1799" i="1"/>
  <c r="CP1799" i="1"/>
  <c r="CN1799" i="1"/>
  <c r="CJ1799" i="1"/>
  <c r="CH1799" i="1"/>
  <c r="CF1799" i="1"/>
  <c r="BL1799" i="1"/>
  <c r="BD1799" i="1"/>
  <c r="AZ1799" i="1"/>
  <c r="AX1799" i="1"/>
  <c r="DC1766" i="1"/>
  <c r="DA1766" i="1"/>
  <c r="CY1766" i="1"/>
  <c r="Y1766" i="1" s="1"/>
  <c r="CW1766" i="1"/>
  <c r="AA1766" i="1" s="1"/>
  <c r="CR1766" i="1"/>
  <c r="CP1766" i="1"/>
  <c r="CN1766" i="1"/>
  <c r="CJ1766" i="1"/>
  <c r="CH1766" i="1"/>
  <c r="CF1766" i="1"/>
  <c r="BL1766" i="1"/>
  <c r="BD1766" i="1"/>
  <c r="AZ1766" i="1"/>
  <c r="AX1766" i="1"/>
  <c r="DC1793" i="1"/>
  <c r="DA1793" i="1"/>
  <c r="CY1793" i="1"/>
  <c r="Y1793" i="1" s="1"/>
  <c r="CW1793" i="1"/>
  <c r="AA1793" i="1" s="1"/>
  <c r="CR1793" i="1"/>
  <c r="CP1793" i="1"/>
  <c r="CN1793" i="1"/>
  <c r="CJ1793" i="1"/>
  <c r="CH1793" i="1"/>
  <c r="CF1793" i="1"/>
  <c r="BL1793" i="1"/>
  <c r="BD1793" i="1"/>
  <c r="AZ1793" i="1"/>
  <c r="AX1793" i="1"/>
  <c r="DC1797" i="1"/>
  <c r="DA1797" i="1"/>
  <c r="CY1797" i="1"/>
  <c r="Y1797" i="1" s="1"/>
  <c r="CW1797" i="1"/>
  <c r="AA1797" i="1" s="1"/>
  <c r="CR1797" i="1"/>
  <c r="CP1797" i="1"/>
  <c r="CN1797" i="1"/>
  <c r="CJ1797" i="1"/>
  <c r="CH1797" i="1"/>
  <c r="CF1797" i="1"/>
  <c r="BL1797" i="1"/>
  <c r="BD1797" i="1"/>
  <c r="AZ1797" i="1"/>
  <c r="AX1797" i="1"/>
  <c r="DC1771" i="1"/>
  <c r="DA1771" i="1"/>
  <c r="CY1771" i="1"/>
  <c r="Y1771" i="1" s="1"/>
  <c r="CW1771" i="1"/>
  <c r="AA1771" i="1" s="1"/>
  <c r="CR1771" i="1"/>
  <c r="CP1771" i="1"/>
  <c r="CN1771" i="1"/>
  <c r="CJ1771" i="1"/>
  <c r="CH1771" i="1"/>
  <c r="CF1771" i="1"/>
  <c r="BL1771" i="1"/>
  <c r="BD1771" i="1"/>
  <c r="AZ1771" i="1"/>
  <c r="AX1771" i="1"/>
  <c r="DC1780" i="1"/>
  <c r="DA1780" i="1"/>
  <c r="CY1780" i="1"/>
  <c r="Y1780" i="1" s="1"/>
  <c r="CW1780" i="1"/>
  <c r="AA1780" i="1" s="1"/>
  <c r="CR1780" i="1"/>
  <c r="CP1780" i="1"/>
  <c r="CN1780" i="1"/>
  <c r="CJ1780" i="1"/>
  <c r="CH1780" i="1"/>
  <c r="CF1780" i="1"/>
  <c r="BL1780" i="1"/>
  <c r="BD1780" i="1"/>
  <c r="AZ1780" i="1"/>
  <c r="AX1780" i="1"/>
  <c r="DC1778" i="1"/>
  <c r="DA1778" i="1"/>
  <c r="CY1778" i="1"/>
  <c r="Y1778" i="1" s="1"/>
  <c r="CW1778" i="1"/>
  <c r="AA1778" i="1" s="1"/>
  <c r="CR1778" i="1"/>
  <c r="CP1778" i="1"/>
  <c r="CN1778" i="1"/>
  <c r="CJ1778" i="1"/>
  <c r="CH1778" i="1"/>
  <c r="CF1778" i="1"/>
  <c r="BL1778" i="1"/>
  <c r="BD1778" i="1"/>
  <c r="AZ1778" i="1"/>
  <c r="AX1778" i="1"/>
  <c r="DC1777" i="1"/>
  <c r="DA1777" i="1"/>
  <c r="CY1777" i="1"/>
  <c r="Y1777" i="1" s="1"/>
  <c r="CW1777" i="1"/>
  <c r="AA1777" i="1" s="1"/>
  <c r="CR1777" i="1"/>
  <c r="CP1777" i="1"/>
  <c r="CN1777" i="1"/>
  <c r="CJ1777" i="1"/>
  <c r="CH1777" i="1"/>
  <c r="CF1777" i="1"/>
  <c r="BL1777" i="1"/>
  <c r="BD1777" i="1"/>
  <c r="AZ1777" i="1"/>
  <c r="AX1777" i="1"/>
  <c r="DC1756" i="1"/>
  <c r="DA1756" i="1"/>
  <c r="CY1756" i="1"/>
  <c r="Y1756" i="1" s="1"/>
  <c r="CW1756" i="1"/>
  <c r="AA1756" i="1" s="1"/>
  <c r="CR1756" i="1"/>
  <c r="CP1756" i="1"/>
  <c r="CN1756" i="1"/>
  <c r="CJ1756" i="1"/>
  <c r="CH1756" i="1"/>
  <c r="CF1756" i="1"/>
  <c r="BL1756" i="1"/>
  <c r="BD1756" i="1"/>
  <c r="AZ1756" i="1"/>
  <c r="AX1756" i="1"/>
  <c r="DC1768" i="1"/>
  <c r="DA1768" i="1"/>
  <c r="CY1768" i="1"/>
  <c r="Y1768" i="1" s="1"/>
  <c r="CW1768" i="1"/>
  <c r="AA1768" i="1" s="1"/>
  <c r="CR1768" i="1"/>
  <c r="CP1768" i="1"/>
  <c r="CN1768" i="1"/>
  <c r="CJ1768" i="1"/>
  <c r="CH1768" i="1"/>
  <c r="CF1768" i="1"/>
  <c r="BL1768" i="1"/>
  <c r="BD1768" i="1"/>
  <c r="AZ1768" i="1"/>
  <c r="AX1768" i="1"/>
  <c r="DC1767" i="1"/>
  <c r="DA1767" i="1"/>
  <c r="CY1767" i="1"/>
  <c r="Y1767" i="1" s="1"/>
  <c r="CW1767" i="1"/>
  <c r="AA1767" i="1" s="1"/>
  <c r="CR1767" i="1"/>
  <c r="CP1767" i="1"/>
  <c r="CN1767" i="1"/>
  <c r="CJ1767" i="1"/>
  <c r="CH1767" i="1"/>
  <c r="CF1767" i="1"/>
  <c r="BL1767" i="1"/>
  <c r="BD1767" i="1"/>
  <c r="AZ1767" i="1"/>
  <c r="AX1767" i="1"/>
  <c r="DC1762" i="1"/>
  <c r="DA1762" i="1"/>
  <c r="CY1762" i="1"/>
  <c r="Y1762" i="1" s="1"/>
  <c r="CW1762" i="1"/>
  <c r="AA1762" i="1" s="1"/>
  <c r="CR1762" i="1"/>
  <c r="CP1762" i="1"/>
  <c r="CN1762" i="1"/>
  <c r="CJ1762" i="1"/>
  <c r="CH1762" i="1"/>
  <c r="CF1762" i="1"/>
  <c r="BL1762" i="1"/>
  <c r="BD1762" i="1"/>
  <c r="AZ1762" i="1"/>
  <c r="AX1762" i="1"/>
  <c r="Z1802" i="1" l="1"/>
  <c r="Z1793" i="1"/>
  <c r="Z1766" i="1"/>
  <c r="CU1799" i="1"/>
  <c r="X1799" i="1" s="1"/>
  <c r="Z1799" i="1"/>
  <c r="Z1797" i="1"/>
  <c r="Z1775" i="1"/>
  <c r="CU1777" i="1"/>
  <c r="X1777" i="1" s="1"/>
  <c r="Z1780" i="1"/>
  <c r="Z1768" i="1"/>
  <c r="Z1767" i="1"/>
  <c r="Z1778" i="1"/>
  <c r="CU1771" i="1"/>
  <c r="X1771" i="1" s="1"/>
  <c r="Z1777" i="1"/>
  <c r="Z1756" i="1"/>
  <c r="Z1771" i="1"/>
  <c r="CU1756" i="1"/>
  <c r="X1756" i="1" s="1"/>
  <c r="CU1780" i="1"/>
  <c r="X1780" i="1" s="1"/>
  <c r="CU1766" i="1"/>
  <c r="X1766" i="1" s="1"/>
  <c r="CU1767" i="1"/>
  <c r="X1767" i="1" s="1"/>
  <c r="CU1778" i="1"/>
  <c r="X1778" i="1" s="1"/>
  <c r="CU1797" i="1"/>
  <c r="X1797" i="1" s="1"/>
  <c r="CU1775" i="1"/>
  <c r="X1775" i="1" s="1"/>
  <c r="CU1802" i="1"/>
  <c r="X1802" i="1" s="1"/>
  <c r="CU1768" i="1"/>
  <c r="X1768" i="1" s="1"/>
  <c r="CU1793" i="1"/>
  <c r="X1793" i="1" s="1"/>
  <c r="AD1793" i="1" s="1"/>
  <c r="Z1762" i="1"/>
  <c r="CU1762" i="1"/>
  <c r="X1762" i="1" s="1"/>
  <c r="DC1770" i="1"/>
  <c r="DA1770" i="1"/>
  <c r="CY1770" i="1"/>
  <c r="Y1770" i="1" s="1"/>
  <c r="CW1770" i="1"/>
  <c r="AA1770" i="1" s="1"/>
  <c r="CR1770" i="1"/>
  <c r="CP1770" i="1"/>
  <c r="CN1770" i="1"/>
  <c r="CJ1770" i="1"/>
  <c r="CH1770" i="1"/>
  <c r="CF1770" i="1"/>
  <c r="BL1770" i="1"/>
  <c r="BD1770" i="1"/>
  <c r="AZ1770" i="1"/>
  <c r="AX1770" i="1"/>
  <c r="DC1765" i="1"/>
  <c r="DA1765" i="1"/>
  <c r="CY1765" i="1"/>
  <c r="Y1765" i="1" s="1"/>
  <c r="CW1765" i="1"/>
  <c r="AA1765" i="1" s="1"/>
  <c r="CR1765" i="1"/>
  <c r="CP1765" i="1"/>
  <c r="CN1765" i="1"/>
  <c r="CJ1765" i="1"/>
  <c r="CH1765" i="1"/>
  <c r="CF1765" i="1"/>
  <c r="BL1765" i="1"/>
  <c r="BD1765" i="1"/>
  <c r="AZ1765" i="1"/>
  <c r="AX1765" i="1"/>
  <c r="DC1769" i="1"/>
  <c r="DA1769" i="1"/>
  <c r="CY1769" i="1"/>
  <c r="Y1769" i="1" s="1"/>
  <c r="CW1769" i="1"/>
  <c r="AA1769" i="1" s="1"/>
  <c r="CR1769" i="1"/>
  <c r="CP1769" i="1"/>
  <c r="CN1769" i="1"/>
  <c r="CJ1769" i="1"/>
  <c r="CH1769" i="1"/>
  <c r="CF1769" i="1"/>
  <c r="BL1769" i="1"/>
  <c r="BD1769" i="1"/>
  <c r="AZ1769" i="1"/>
  <c r="AX1769" i="1"/>
  <c r="AD1766" i="1" l="1"/>
  <c r="AD1797" i="1"/>
  <c r="AD1802" i="1"/>
  <c r="AD1799" i="1"/>
  <c r="AD1775" i="1"/>
  <c r="AD1771" i="1"/>
  <c r="AD1778" i="1"/>
  <c r="AD1780" i="1"/>
  <c r="AD1777" i="1"/>
  <c r="AD1767" i="1"/>
  <c r="AD1768" i="1"/>
  <c r="AD1756" i="1"/>
  <c r="AD1762" i="1"/>
  <c r="Z1769" i="1"/>
  <c r="CU1765" i="1"/>
  <c r="X1765" i="1" s="1"/>
  <c r="Z1765" i="1"/>
  <c r="Z1770" i="1"/>
  <c r="CU1770" i="1"/>
  <c r="X1770" i="1" s="1"/>
  <c r="CU1769" i="1"/>
  <c r="X1769" i="1" s="1"/>
  <c r="DC1761" i="1"/>
  <c r="DA1761" i="1"/>
  <c r="CY1761" i="1"/>
  <c r="Y1761" i="1" s="1"/>
  <c r="CW1761" i="1"/>
  <c r="AA1761" i="1" s="1"/>
  <c r="CR1761" i="1"/>
  <c r="CP1761" i="1"/>
  <c r="CN1761" i="1"/>
  <c r="CJ1761" i="1"/>
  <c r="CH1761" i="1"/>
  <c r="CF1761" i="1"/>
  <c r="BL1761" i="1"/>
  <c r="BD1761" i="1"/>
  <c r="AZ1761" i="1"/>
  <c r="AX1761" i="1"/>
  <c r="DC1293" i="1"/>
  <c r="DA1293" i="1"/>
  <c r="CY1293" i="1"/>
  <c r="Y1293" i="1" s="1"/>
  <c r="CW1293" i="1"/>
  <c r="AA1293" i="1" s="1"/>
  <c r="CR1293" i="1"/>
  <c r="CP1293" i="1"/>
  <c r="CN1293" i="1"/>
  <c r="CJ1293" i="1"/>
  <c r="CH1293" i="1"/>
  <c r="CF1293" i="1"/>
  <c r="BL1293" i="1"/>
  <c r="BD1293" i="1"/>
  <c r="AZ1293" i="1"/>
  <c r="AX1293" i="1"/>
  <c r="DC1704" i="1"/>
  <c r="DA1704" i="1"/>
  <c r="CY1704" i="1"/>
  <c r="Y1704" i="1" s="1"/>
  <c r="CW1704" i="1"/>
  <c r="AA1704" i="1" s="1"/>
  <c r="CR1704" i="1"/>
  <c r="CP1704" i="1"/>
  <c r="CN1704" i="1"/>
  <c r="CJ1704" i="1"/>
  <c r="CH1704" i="1"/>
  <c r="CF1704" i="1"/>
  <c r="BL1704" i="1"/>
  <c r="BD1704" i="1"/>
  <c r="AZ1704" i="1"/>
  <c r="AX1704" i="1"/>
  <c r="DC1763" i="1"/>
  <c r="DA1763" i="1"/>
  <c r="CY1763" i="1"/>
  <c r="Y1763" i="1" s="1"/>
  <c r="CW1763" i="1"/>
  <c r="AA1763" i="1" s="1"/>
  <c r="CR1763" i="1"/>
  <c r="CP1763" i="1"/>
  <c r="CN1763" i="1"/>
  <c r="CJ1763" i="1"/>
  <c r="CH1763" i="1"/>
  <c r="CF1763" i="1"/>
  <c r="BL1763" i="1"/>
  <c r="BD1763" i="1"/>
  <c r="AZ1763" i="1"/>
  <c r="AX1763" i="1"/>
  <c r="DC1753" i="1"/>
  <c r="DA1753" i="1"/>
  <c r="CY1753" i="1"/>
  <c r="Y1753" i="1" s="1"/>
  <c r="CW1753" i="1"/>
  <c r="AA1753" i="1" s="1"/>
  <c r="CR1753" i="1"/>
  <c r="CP1753" i="1"/>
  <c r="CN1753" i="1"/>
  <c r="CJ1753" i="1"/>
  <c r="CH1753" i="1"/>
  <c r="CF1753" i="1"/>
  <c r="BL1753" i="1"/>
  <c r="BD1753" i="1"/>
  <c r="AZ1753" i="1"/>
  <c r="AX1753" i="1"/>
  <c r="DC1751" i="1"/>
  <c r="DA1751" i="1"/>
  <c r="CY1751" i="1"/>
  <c r="Y1751" i="1" s="1"/>
  <c r="CW1751" i="1"/>
  <c r="AA1751" i="1" s="1"/>
  <c r="CR1751" i="1"/>
  <c r="CP1751" i="1"/>
  <c r="CN1751" i="1"/>
  <c r="CJ1751" i="1"/>
  <c r="CH1751" i="1"/>
  <c r="CF1751" i="1"/>
  <c r="BL1751" i="1"/>
  <c r="BD1751" i="1"/>
  <c r="AZ1751" i="1"/>
  <c r="AX1751" i="1"/>
  <c r="DC1666" i="1"/>
  <c r="DA1666" i="1"/>
  <c r="CY1666" i="1"/>
  <c r="Y1666" i="1" s="1"/>
  <c r="CW1666" i="1"/>
  <c r="AA1666" i="1" s="1"/>
  <c r="CR1666" i="1"/>
  <c r="CP1666" i="1"/>
  <c r="CN1666" i="1"/>
  <c r="CJ1666" i="1"/>
  <c r="CH1666" i="1"/>
  <c r="CF1666" i="1"/>
  <c r="BL1666" i="1"/>
  <c r="BD1666" i="1"/>
  <c r="AZ1666" i="1"/>
  <c r="AX1666" i="1"/>
  <c r="DC1759" i="1"/>
  <c r="DA1759" i="1"/>
  <c r="CY1759" i="1"/>
  <c r="Y1759" i="1" s="1"/>
  <c r="CW1759" i="1"/>
  <c r="AA1759" i="1" s="1"/>
  <c r="CR1759" i="1"/>
  <c r="CP1759" i="1"/>
  <c r="CN1759" i="1"/>
  <c r="CJ1759" i="1"/>
  <c r="CH1759" i="1"/>
  <c r="CF1759" i="1"/>
  <c r="BL1759" i="1"/>
  <c r="BD1759" i="1"/>
  <c r="AZ1759" i="1"/>
  <c r="AX1759" i="1"/>
  <c r="DC1760" i="1"/>
  <c r="DA1760" i="1"/>
  <c r="CY1760" i="1"/>
  <c r="Y1760" i="1" s="1"/>
  <c r="CW1760" i="1"/>
  <c r="AA1760" i="1" s="1"/>
  <c r="CR1760" i="1"/>
  <c r="CP1760" i="1"/>
  <c r="CN1760" i="1"/>
  <c r="CJ1760" i="1"/>
  <c r="CH1760" i="1"/>
  <c r="CF1760" i="1"/>
  <c r="BL1760" i="1"/>
  <c r="BD1760" i="1"/>
  <c r="AZ1760" i="1"/>
  <c r="AX1760" i="1"/>
  <c r="DC1764" i="1"/>
  <c r="DA1764" i="1"/>
  <c r="CY1764" i="1"/>
  <c r="Y1764" i="1" s="1"/>
  <c r="CW1764" i="1"/>
  <c r="AA1764" i="1" s="1"/>
  <c r="CR1764" i="1"/>
  <c r="CP1764" i="1"/>
  <c r="CN1764" i="1"/>
  <c r="CJ1764" i="1"/>
  <c r="CH1764" i="1"/>
  <c r="CF1764" i="1"/>
  <c r="BL1764" i="1"/>
  <c r="BD1764" i="1"/>
  <c r="AZ1764" i="1"/>
  <c r="AX1764" i="1"/>
  <c r="DA1772" i="1"/>
  <c r="CY1772" i="1"/>
  <c r="Y1772" i="1" s="1"/>
  <c r="CW1772" i="1"/>
  <c r="AA1772" i="1" s="1"/>
  <c r="CR1772" i="1"/>
  <c r="CP1772" i="1"/>
  <c r="CN1772" i="1"/>
  <c r="CJ1772" i="1"/>
  <c r="CH1772" i="1"/>
  <c r="CF1772" i="1"/>
  <c r="BL1772" i="1"/>
  <c r="BD1772" i="1"/>
  <c r="AZ1772" i="1"/>
  <c r="AX1772" i="1"/>
  <c r="DC1757" i="1"/>
  <c r="DA1757" i="1"/>
  <c r="CY1757" i="1"/>
  <c r="Y1757" i="1" s="1"/>
  <c r="CW1757" i="1"/>
  <c r="AA1757" i="1" s="1"/>
  <c r="CR1757" i="1"/>
  <c r="CP1757" i="1"/>
  <c r="CN1757" i="1"/>
  <c r="CJ1757" i="1"/>
  <c r="CH1757" i="1"/>
  <c r="CF1757" i="1"/>
  <c r="BL1757" i="1"/>
  <c r="BD1757" i="1"/>
  <c r="AZ1757" i="1"/>
  <c r="AX1757" i="1"/>
  <c r="DC1758" i="1"/>
  <c r="DA1758" i="1"/>
  <c r="CY1758" i="1"/>
  <c r="Y1758" i="1" s="1"/>
  <c r="CW1758" i="1"/>
  <c r="AA1758" i="1" s="1"/>
  <c r="CR1758" i="1"/>
  <c r="CP1758" i="1"/>
  <c r="CN1758" i="1"/>
  <c r="CJ1758" i="1"/>
  <c r="CH1758" i="1"/>
  <c r="CF1758" i="1"/>
  <c r="BL1758" i="1"/>
  <c r="BD1758" i="1"/>
  <c r="AZ1758" i="1"/>
  <c r="AX1758" i="1"/>
  <c r="DC1741" i="1"/>
  <c r="DA1741" i="1"/>
  <c r="CY1741" i="1"/>
  <c r="Y1741" i="1" s="1"/>
  <c r="CW1741" i="1"/>
  <c r="AA1741" i="1" s="1"/>
  <c r="CR1741" i="1"/>
  <c r="CP1741" i="1"/>
  <c r="CN1741" i="1"/>
  <c r="CJ1741" i="1"/>
  <c r="CH1741" i="1"/>
  <c r="CF1741" i="1"/>
  <c r="BL1741" i="1"/>
  <c r="BD1741" i="1"/>
  <c r="AZ1741" i="1"/>
  <c r="AX1741" i="1"/>
  <c r="DC1743" i="1"/>
  <c r="DA1743" i="1"/>
  <c r="CY1743" i="1"/>
  <c r="Y1743" i="1" s="1"/>
  <c r="CW1743" i="1"/>
  <c r="AA1743" i="1" s="1"/>
  <c r="CR1743" i="1"/>
  <c r="CP1743" i="1"/>
  <c r="CN1743" i="1"/>
  <c r="CJ1743" i="1"/>
  <c r="CH1743" i="1"/>
  <c r="CF1743" i="1"/>
  <c r="BL1743" i="1"/>
  <c r="BD1743" i="1"/>
  <c r="AZ1743" i="1"/>
  <c r="AX1743" i="1"/>
  <c r="DC1744" i="1"/>
  <c r="DA1744" i="1"/>
  <c r="Y1744" i="1"/>
  <c r="CW1744" i="1"/>
  <c r="AA1744" i="1" s="1"/>
  <c r="CN1744" i="1"/>
  <c r="CH1744" i="1"/>
  <c r="CF1744" i="1"/>
  <c r="BL1744" i="1"/>
  <c r="BD1744" i="1"/>
  <c r="AZ1744" i="1"/>
  <c r="AX1744" i="1"/>
  <c r="AD1765" i="1" l="1"/>
  <c r="AD1770" i="1"/>
  <c r="AD1769" i="1"/>
  <c r="Z1293" i="1"/>
  <c r="Z1763" i="1"/>
  <c r="Z1704" i="1"/>
  <c r="CU1293" i="1"/>
  <c r="X1293" i="1" s="1"/>
  <c r="Z1761" i="1"/>
  <c r="Z1753" i="1"/>
  <c r="CU1763" i="1"/>
  <c r="X1763" i="1" s="1"/>
  <c r="CU1761" i="1"/>
  <c r="X1761" i="1" s="1"/>
  <c r="CU1704" i="1"/>
  <c r="X1704" i="1" s="1"/>
  <c r="Z1757" i="1"/>
  <c r="Z1759" i="1"/>
  <c r="Z1744" i="1"/>
  <c r="Z1758" i="1"/>
  <c r="Z1743" i="1"/>
  <c r="CU1666" i="1"/>
  <c r="X1666" i="1" s="1"/>
  <c r="CU1741" i="1"/>
  <c r="X1741" i="1" s="1"/>
  <c r="Z1741" i="1"/>
  <c r="Z1760" i="1"/>
  <c r="CU1764" i="1"/>
  <c r="X1764" i="1" s="1"/>
  <c r="Z1764" i="1"/>
  <c r="Z1751" i="1"/>
  <c r="Z1666" i="1"/>
  <c r="Z1772" i="1"/>
  <c r="CU1743" i="1"/>
  <c r="X1743" i="1" s="1"/>
  <c r="CU1772" i="1"/>
  <c r="X1772" i="1" s="1"/>
  <c r="CU1753" i="1"/>
  <c r="X1753" i="1" s="1"/>
  <c r="CU1758" i="1"/>
  <c r="X1758" i="1" s="1"/>
  <c r="CU1760" i="1"/>
  <c r="X1760" i="1" s="1"/>
  <c r="CU1751" i="1"/>
  <c r="X1751" i="1" s="1"/>
  <c r="CU1744" i="1"/>
  <c r="X1744" i="1" s="1"/>
  <c r="CU1757" i="1"/>
  <c r="X1757" i="1" s="1"/>
  <c r="CU1759" i="1"/>
  <c r="X1759" i="1" s="1"/>
  <c r="AD1763" i="1" l="1"/>
  <c r="AD1293" i="1"/>
  <c r="AD1704" i="1"/>
  <c r="AD1761" i="1"/>
  <c r="AD1759" i="1"/>
  <c r="AD1743" i="1"/>
  <c r="AD1758" i="1"/>
  <c r="AD1753" i="1"/>
  <c r="AD1757" i="1"/>
  <c r="AD1666" i="1"/>
  <c r="AD1764" i="1"/>
  <c r="AD1744" i="1"/>
  <c r="AD1741" i="1"/>
  <c r="AD1760" i="1"/>
  <c r="AD1772" i="1"/>
  <c r="AD1751" i="1"/>
  <c r="DC1736" i="1"/>
  <c r="DA1736" i="1"/>
  <c r="CY1736" i="1"/>
  <c r="Y1736" i="1" s="1"/>
  <c r="CW1736" i="1"/>
  <c r="AA1736" i="1" s="1"/>
  <c r="CR1736" i="1"/>
  <c r="CP1736" i="1"/>
  <c r="CN1736" i="1"/>
  <c r="CJ1736" i="1"/>
  <c r="CH1736" i="1"/>
  <c r="CF1736" i="1"/>
  <c r="BL1736" i="1"/>
  <c r="BD1736" i="1"/>
  <c r="AZ1736" i="1"/>
  <c r="AX1736" i="1"/>
  <c r="DC1725" i="1"/>
  <c r="DA1725" i="1"/>
  <c r="CY1725" i="1"/>
  <c r="Y1725" i="1" s="1"/>
  <c r="CW1725" i="1"/>
  <c r="AA1725" i="1" s="1"/>
  <c r="CR1725" i="1"/>
  <c r="CP1725" i="1"/>
  <c r="CN1725" i="1"/>
  <c r="CJ1725" i="1"/>
  <c r="CH1725" i="1"/>
  <c r="CF1725" i="1"/>
  <c r="BL1725" i="1"/>
  <c r="BD1725" i="1"/>
  <c r="AZ1725" i="1"/>
  <c r="AX1725" i="1"/>
  <c r="DC1727" i="1"/>
  <c r="DA1727" i="1"/>
  <c r="CY1727" i="1"/>
  <c r="Y1727" i="1" s="1"/>
  <c r="CW1727" i="1"/>
  <c r="AA1727" i="1" s="1"/>
  <c r="CR1727" i="1"/>
  <c r="CP1727" i="1"/>
  <c r="CN1727" i="1"/>
  <c r="CJ1727" i="1"/>
  <c r="CH1727" i="1"/>
  <c r="CF1727" i="1"/>
  <c r="BL1727" i="1"/>
  <c r="BD1727" i="1"/>
  <c r="AZ1727" i="1"/>
  <c r="AX1727" i="1"/>
  <c r="DC1739" i="1"/>
  <c r="DA1739" i="1"/>
  <c r="CY1739" i="1"/>
  <c r="Y1739" i="1" s="1"/>
  <c r="CW1739" i="1"/>
  <c r="AA1739" i="1" s="1"/>
  <c r="CR1739" i="1"/>
  <c r="CP1739" i="1"/>
  <c r="CN1739" i="1"/>
  <c r="CJ1739" i="1"/>
  <c r="CH1739" i="1"/>
  <c r="CF1739" i="1"/>
  <c r="BL1739" i="1"/>
  <c r="BD1739" i="1"/>
  <c r="AZ1739" i="1"/>
  <c r="AX1739" i="1"/>
  <c r="DC1752" i="1"/>
  <c r="DA1752" i="1"/>
  <c r="CY1752" i="1"/>
  <c r="Y1752" i="1" s="1"/>
  <c r="CW1752" i="1"/>
  <c r="AA1752" i="1" s="1"/>
  <c r="CR1752" i="1"/>
  <c r="CP1752" i="1"/>
  <c r="CN1752" i="1"/>
  <c r="CJ1752" i="1"/>
  <c r="CH1752" i="1"/>
  <c r="CF1752" i="1"/>
  <c r="BL1752" i="1"/>
  <c r="BD1752" i="1"/>
  <c r="AZ1752" i="1"/>
  <c r="AX1752" i="1"/>
  <c r="DC1735" i="1"/>
  <c r="DA1735" i="1"/>
  <c r="CY1735" i="1"/>
  <c r="Y1735" i="1" s="1"/>
  <c r="CW1735" i="1"/>
  <c r="AA1735" i="1" s="1"/>
  <c r="CR1735" i="1"/>
  <c r="CP1735" i="1"/>
  <c r="CN1735" i="1"/>
  <c r="CJ1735" i="1"/>
  <c r="CH1735" i="1"/>
  <c r="CF1735" i="1"/>
  <c r="BL1735" i="1"/>
  <c r="BD1735" i="1"/>
  <c r="AZ1735" i="1"/>
  <c r="AX1735" i="1"/>
  <c r="DC1746" i="1"/>
  <c r="DA1746" i="1"/>
  <c r="CY1746" i="1"/>
  <c r="Y1746" i="1" s="1"/>
  <c r="CW1746" i="1"/>
  <c r="AA1746" i="1" s="1"/>
  <c r="CR1746" i="1"/>
  <c r="CP1746" i="1"/>
  <c r="CN1746" i="1"/>
  <c r="CJ1746" i="1"/>
  <c r="CH1746" i="1"/>
  <c r="CF1746" i="1"/>
  <c r="BL1746" i="1"/>
  <c r="BD1746" i="1"/>
  <c r="AZ1746" i="1"/>
  <c r="AX1746" i="1"/>
  <c r="DC1740" i="1"/>
  <c r="DA1740" i="1"/>
  <c r="CY1740" i="1"/>
  <c r="Y1740" i="1" s="1"/>
  <c r="CW1740" i="1"/>
  <c r="AA1740" i="1" s="1"/>
  <c r="CR1740" i="1"/>
  <c r="CP1740" i="1"/>
  <c r="CN1740" i="1"/>
  <c r="CJ1740" i="1"/>
  <c r="CH1740" i="1"/>
  <c r="CF1740" i="1"/>
  <c r="BL1740" i="1"/>
  <c r="BD1740" i="1"/>
  <c r="AZ1740" i="1"/>
  <c r="AX1740" i="1"/>
  <c r="DC1748" i="1"/>
  <c r="DA1748" i="1"/>
  <c r="CY1748" i="1"/>
  <c r="Y1748" i="1" s="1"/>
  <c r="CW1748" i="1"/>
  <c r="AA1748" i="1" s="1"/>
  <c r="CR1748" i="1"/>
  <c r="CP1748" i="1"/>
  <c r="CN1748" i="1"/>
  <c r="CJ1748" i="1"/>
  <c r="CH1748" i="1"/>
  <c r="CF1748" i="1"/>
  <c r="BL1748" i="1"/>
  <c r="BD1748" i="1"/>
  <c r="AZ1748" i="1"/>
  <c r="AX1748" i="1"/>
  <c r="DC1728" i="1"/>
  <c r="DA1728" i="1"/>
  <c r="CY1728" i="1"/>
  <c r="Y1728" i="1" s="1"/>
  <c r="CW1728" i="1"/>
  <c r="AA1728" i="1" s="1"/>
  <c r="CR1728" i="1"/>
  <c r="CP1728" i="1"/>
  <c r="CN1728" i="1"/>
  <c r="CJ1728" i="1"/>
  <c r="CH1728" i="1"/>
  <c r="CF1728" i="1"/>
  <c r="BL1728" i="1"/>
  <c r="BD1728" i="1"/>
  <c r="AZ1728" i="1"/>
  <c r="AX1728" i="1"/>
  <c r="DC1737" i="1"/>
  <c r="DA1737" i="1"/>
  <c r="CY1737" i="1"/>
  <c r="Y1737" i="1" s="1"/>
  <c r="CW1737" i="1"/>
  <c r="AA1737" i="1" s="1"/>
  <c r="CR1737" i="1"/>
  <c r="CP1737" i="1"/>
  <c r="CN1737" i="1"/>
  <c r="CJ1737" i="1"/>
  <c r="CH1737" i="1"/>
  <c r="CF1737" i="1"/>
  <c r="BL1737" i="1"/>
  <c r="BD1737" i="1"/>
  <c r="AZ1737" i="1"/>
  <c r="AX1737" i="1"/>
  <c r="DC1800" i="1"/>
  <c r="DA1800" i="1"/>
  <c r="CY1800" i="1"/>
  <c r="Y1800" i="1" s="1"/>
  <c r="CW1800" i="1"/>
  <c r="AA1800" i="1" s="1"/>
  <c r="CR1800" i="1"/>
  <c r="CP1800" i="1"/>
  <c r="CN1800" i="1"/>
  <c r="CJ1800" i="1"/>
  <c r="CH1800" i="1"/>
  <c r="CF1800" i="1"/>
  <c r="BL1800" i="1"/>
  <c r="BD1800" i="1"/>
  <c r="AZ1800" i="1"/>
  <c r="AX1800" i="1"/>
  <c r="DC1010" i="1"/>
  <c r="DA1010" i="1"/>
  <c r="CY1010" i="1"/>
  <c r="Y1010" i="1" s="1"/>
  <c r="CW1010" i="1"/>
  <c r="AA1010" i="1" s="1"/>
  <c r="CR1010" i="1"/>
  <c r="CP1010" i="1"/>
  <c r="CN1010" i="1"/>
  <c r="CJ1010" i="1"/>
  <c r="CH1010" i="1"/>
  <c r="CF1010" i="1"/>
  <c r="BL1010" i="1"/>
  <c r="BD1010" i="1"/>
  <c r="AZ1010" i="1"/>
  <c r="AX1010" i="1"/>
  <c r="DC1638" i="1"/>
  <c r="DA1638" i="1"/>
  <c r="CY1638" i="1"/>
  <c r="Y1638" i="1" s="1"/>
  <c r="CW1638" i="1"/>
  <c r="AA1638" i="1" s="1"/>
  <c r="CR1638" i="1"/>
  <c r="CP1638" i="1"/>
  <c r="CN1638" i="1"/>
  <c r="CJ1638" i="1"/>
  <c r="CH1638" i="1"/>
  <c r="CF1638" i="1"/>
  <c r="BL1638" i="1"/>
  <c r="BD1638" i="1"/>
  <c r="AZ1638" i="1"/>
  <c r="AX1638" i="1"/>
  <c r="DC1755" i="1"/>
  <c r="DA1755" i="1"/>
  <c r="CY1755" i="1"/>
  <c r="Y1755" i="1" s="1"/>
  <c r="CW1755" i="1"/>
  <c r="AA1755" i="1" s="1"/>
  <c r="CR1755" i="1"/>
  <c r="CP1755" i="1"/>
  <c r="CN1755" i="1"/>
  <c r="CJ1755" i="1"/>
  <c r="CH1755" i="1"/>
  <c r="CF1755" i="1"/>
  <c r="BL1755" i="1"/>
  <c r="BD1755" i="1"/>
  <c r="AZ1755" i="1"/>
  <c r="AX1755" i="1"/>
  <c r="DC1747" i="1"/>
  <c r="DA1747" i="1"/>
  <c r="CY1747" i="1"/>
  <c r="Y1747" i="1" s="1"/>
  <c r="CW1747" i="1"/>
  <c r="AA1747" i="1" s="1"/>
  <c r="CR1747" i="1"/>
  <c r="CP1747" i="1"/>
  <c r="CN1747" i="1"/>
  <c r="CJ1747" i="1"/>
  <c r="CH1747" i="1"/>
  <c r="CF1747" i="1"/>
  <c r="BL1747" i="1"/>
  <c r="BD1747" i="1"/>
  <c r="AZ1747" i="1"/>
  <c r="AX1747" i="1"/>
  <c r="DC1733" i="1"/>
  <c r="DA1733" i="1"/>
  <c r="CY1733" i="1"/>
  <c r="Y1733" i="1" s="1"/>
  <c r="CW1733" i="1"/>
  <c r="AA1733" i="1" s="1"/>
  <c r="CR1733" i="1"/>
  <c r="CP1733" i="1"/>
  <c r="CN1733" i="1"/>
  <c r="CJ1733" i="1"/>
  <c r="CH1733" i="1"/>
  <c r="CF1733" i="1"/>
  <c r="BL1733" i="1"/>
  <c r="BD1733" i="1"/>
  <c r="AZ1733" i="1"/>
  <c r="AX1733" i="1"/>
  <c r="DC1734" i="1"/>
  <c r="DA1734" i="1"/>
  <c r="CY1734" i="1"/>
  <c r="Y1734" i="1" s="1"/>
  <c r="CW1734" i="1"/>
  <c r="AA1734" i="1" s="1"/>
  <c r="CR1734" i="1"/>
  <c r="CP1734" i="1"/>
  <c r="CN1734" i="1"/>
  <c r="CJ1734" i="1"/>
  <c r="CH1734" i="1"/>
  <c r="CF1734" i="1"/>
  <c r="BL1734" i="1"/>
  <c r="BD1734" i="1"/>
  <c r="AZ1734" i="1"/>
  <c r="AX1734" i="1"/>
  <c r="DC1750" i="1"/>
  <c r="DA1750" i="1"/>
  <c r="CY1750" i="1"/>
  <c r="Y1750" i="1" s="1"/>
  <c r="CW1750" i="1"/>
  <c r="AA1750" i="1" s="1"/>
  <c r="CR1750" i="1"/>
  <c r="CP1750" i="1"/>
  <c r="CN1750" i="1"/>
  <c r="CJ1750" i="1"/>
  <c r="CH1750" i="1"/>
  <c r="CF1750" i="1"/>
  <c r="BL1750" i="1"/>
  <c r="BD1750" i="1"/>
  <c r="AZ1750" i="1"/>
  <c r="AX1750" i="1"/>
  <c r="DC1749" i="1"/>
  <c r="DA1749" i="1"/>
  <c r="CY1749" i="1"/>
  <c r="Y1749" i="1" s="1"/>
  <c r="CW1749" i="1"/>
  <c r="AA1749" i="1" s="1"/>
  <c r="CR1749" i="1"/>
  <c r="CP1749" i="1"/>
  <c r="CN1749" i="1"/>
  <c r="CJ1749" i="1"/>
  <c r="CH1749" i="1"/>
  <c r="CF1749" i="1"/>
  <c r="BL1749" i="1"/>
  <c r="BD1749" i="1"/>
  <c r="AZ1749" i="1"/>
  <c r="AX1749" i="1"/>
  <c r="DC1738" i="1"/>
  <c r="DA1738" i="1"/>
  <c r="CY1738" i="1"/>
  <c r="Y1738" i="1" s="1"/>
  <c r="CW1738" i="1"/>
  <c r="AA1738" i="1" s="1"/>
  <c r="CR1738" i="1"/>
  <c r="CP1738" i="1"/>
  <c r="CN1738" i="1"/>
  <c r="CJ1738" i="1"/>
  <c r="CH1738" i="1"/>
  <c r="CF1738" i="1"/>
  <c r="BL1738" i="1"/>
  <c r="BD1738" i="1"/>
  <c r="AZ1738" i="1"/>
  <c r="AX1738" i="1"/>
  <c r="Z1800" i="1" l="1"/>
  <c r="Z1734" i="1"/>
  <c r="Z1750" i="1"/>
  <c r="Z1749" i="1"/>
  <c r="Z1733" i="1"/>
  <c r="Z1010" i="1"/>
  <c r="Z1747" i="1"/>
  <c r="Z1755" i="1"/>
  <c r="Z1638" i="1"/>
  <c r="Z1725" i="1"/>
  <c r="CU1737" i="1"/>
  <c r="X1737" i="1" s="1"/>
  <c r="Z1740" i="1"/>
  <c r="CU1746" i="1"/>
  <c r="X1746" i="1" s="1"/>
  <c r="Z1752" i="1"/>
  <c r="CU1739" i="1"/>
  <c r="X1739" i="1" s="1"/>
  <c r="Z1736" i="1"/>
  <c r="Z1728" i="1"/>
  <c r="Z1735" i="1"/>
  <c r="Z1727" i="1"/>
  <c r="Z1738" i="1"/>
  <c r="CU1748" i="1"/>
  <c r="X1748" i="1" s="1"/>
  <c r="CU1725" i="1"/>
  <c r="X1725" i="1" s="1"/>
  <c r="Z1737" i="1"/>
  <c r="CU1728" i="1"/>
  <c r="X1728" i="1" s="1"/>
  <c r="Z1746" i="1"/>
  <c r="CU1735" i="1"/>
  <c r="X1735" i="1" s="1"/>
  <c r="Z1739" i="1"/>
  <c r="CU1727" i="1"/>
  <c r="X1727" i="1" s="1"/>
  <c r="CU1755" i="1"/>
  <c r="X1755" i="1" s="1"/>
  <c r="Z1748" i="1"/>
  <c r="CU1740" i="1"/>
  <c r="X1740" i="1" s="1"/>
  <c r="CU1752" i="1"/>
  <c r="X1752" i="1" s="1"/>
  <c r="CU1736" i="1"/>
  <c r="X1736" i="1" s="1"/>
  <c r="CU1750" i="1"/>
  <c r="X1750" i="1" s="1"/>
  <c r="CU1800" i="1"/>
  <c r="X1800" i="1" s="1"/>
  <c r="CU1738" i="1"/>
  <c r="X1738" i="1" s="1"/>
  <c r="CU1749" i="1"/>
  <c r="X1749" i="1" s="1"/>
  <c r="CU1747" i="1"/>
  <c r="X1747" i="1" s="1"/>
  <c r="CU1734" i="1"/>
  <c r="X1734" i="1" s="1"/>
  <c r="CU1638" i="1"/>
  <c r="X1638" i="1" s="1"/>
  <c r="CU1733" i="1"/>
  <c r="X1733" i="1" s="1"/>
  <c r="CU1010" i="1"/>
  <c r="X1010" i="1" s="1"/>
  <c r="AD1800" i="1" l="1"/>
  <c r="AD1755" i="1"/>
  <c r="AD1747" i="1"/>
  <c r="AD1750" i="1"/>
  <c r="AD1734" i="1"/>
  <c r="AD1749" i="1"/>
  <c r="AD1010" i="1"/>
  <c r="AD1733" i="1"/>
  <c r="AD1638" i="1"/>
  <c r="AD1725" i="1"/>
  <c r="AD1737" i="1"/>
  <c r="AD1752" i="1"/>
  <c r="AD1736" i="1"/>
  <c r="AD1739" i="1"/>
  <c r="AD1746" i="1"/>
  <c r="AD1740" i="1"/>
  <c r="AD1728" i="1"/>
  <c r="AD1727" i="1"/>
  <c r="AD1735" i="1"/>
  <c r="AD1738" i="1"/>
  <c r="AD1748" i="1"/>
  <c r="DC1801" i="1"/>
  <c r="DA1801" i="1"/>
  <c r="CY1801" i="1"/>
  <c r="Y1801" i="1" s="1"/>
  <c r="CW1801" i="1"/>
  <c r="AA1801" i="1" s="1"/>
  <c r="CR1801" i="1"/>
  <c r="CP1801" i="1"/>
  <c r="CN1801" i="1"/>
  <c r="CJ1801" i="1"/>
  <c r="CH1801" i="1"/>
  <c r="CF1801" i="1"/>
  <c r="BL1801" i="1"/>
  <c r="BD1801" i="1"/>
  <c r="AZ1801" i="1"/>
  <c r="AX1801" i="1"/>
  <c r="DC1713" i="1"/>
  <c r="DA1713" i="1"/>
  <c r="CY1713" i="1"/>
  <c r="Y1713" i="1" s="1"/>
  <c r="CW1713" i="1"/>
  <c r="AA1713" i="1" s="1"/>
  <c r="CR1713" i="1"/>
  <c r="CP1713" i="1"/>
  <c r="CN1713" i="1"/>
  <c r="CJ1713" i="1"/>
  <c r="CH1713" i="1"/>
  <c r="CF1713" i="1"/>
  <c r="BL1713" i="1"/>
  <c r="BD1713" i="1"/>
  <c r="AZ1713" i="1"/>
  <c r="AX1713" i="1"/>
  <c r="DC1641" i="1"/>
  <c r="DA1641" i="1"/>
  <c r="CY1641" i="1"/>
  <c r="Y1641" i="1" s="1"/>
  <c r="CW1641" i="1"/>
  <c r="AA1641" i="1" s="1"/>
  <c r="CR1641" i="1"/>
  <c r="CP1641" i="1"/>
  <c r="CN1641" i="1"/>
  <c r="CJ1641" i="1"/>
  <c r="CH1641" i="1"/>
  <c r="CF1641" i="1"/>
  <c r="BL1641" i="1"/>
  <c r="BD1641" i="1"/>
  <c r="AZ1641" i="1"/>
  <c r="AX1641" i="1"/>
  <c r="DC1591" i="1"/>
  <c r="DA1591" i="1"/>
  <c r="CY1591" i="1"/>
  <c r="Y1591" i="1" s="1"/>
  <c r="CW1591" i="1"/>
  <c r="AA1591" i="1" s="1"/>
  <c r="CR1591" i="1"/>
  <c r="CP1591" i="1"/>
  <c r="CN1591" i="1"/>
  <c r="CJ1591" i="1"/>
  <c r="CH1591" i="1"/>
  <c r="CF1591" i="1"/>
  <c r="BL1591" i="1"/>
  <c r="BD1591" i="1"/>
  <c r="AZ1591" i="1"/>
  <c r="AX1591" i="1"/>
  <c r="DC1745" i="1"/>
  <c r="DA1745" i="1"/>
  <c r="CY1745" i="1"/>
  <c r="Y1745" i="1" s="1"/>
  <c r="CW1745" i="1"/>
  <c r="AA1745" i="1" s="1"/>
  <c r="CR1745" i="1"/>
  <c r="CP1745" i="1"/>
  <c r="CN1745" i="1"/>
  <c r="CJ1745" i="1"/>
  <c r="CH1745" i="1"/>
  <c r="CF1745" i="1"/>
  <c r="BL1745" i="1"/>
  <c r="BD1745" i="1"/>
  <c r="AZ1745" i="1"/>
  <c r="AX1745" i="1"/>
  <c r="DC1719" i="1"/>
  <c r="DA1719" i="1"/>
  <c r="CY1719" i="1"/>
  <c r="Y1719" i="1" s="1"/>
  <c r="CW1719" i="1"/>
  <c r="AA1719" i="1" s="1"/>
  <c r="CR1719" i="1"/>
  <c r="CP1719" i="1"/>
  <c r="CN1719" i="1"/>
  <c r="CJ1719" i="1"/>
  <c r="CH1719" i="1"/>
  <c r="CF1719" i="1"/>
  <c r="BL1719" i="1"/>
  <c r="BD1719" i="1"/>
  <c r="AZ1719" i="1"/>
  <c r="AX1719" i="1"/>
  <c r="DC1694" i="1"/>
  <c r="DA1694" i="1"/>
  <c r="CY1694" i="1"/>
  <c r="Y1694" i="1" s="1"/>
  <c r="CW1694" i="1"/>
  <c r="AA1694" i="1" s="1"/>
  <c r="CR1694" i="1"/>
  <c r="CP1694" i="1"/>
  <c r="CN1694" i="1"/>
  <c r="CJ1694" i="1"/>
  <c r="CH1694" i="1"/>
  <c r="CF1694" i="1"/>
  <c r="BL1694" i="1"/>
  <c r="BD1694" i="1"/>
  <c r="AZ1694" i="1"/>
  <c r="AX1694" i="1"/>
  <c r="DC1732" i="1"/>
  <c r="DA1732" i="1"/>
  <c r="CY1732" i="1"/>
  <c r="Y1732" i="1" s="1"/>
  <c r="CW1732" i="1"/>
  <c r="AA1732" i="1" s="1"/>
  <c r="CR1732" i="1"/>
  <c r="CP1732" i="1"/>
  <c r="CN1732" i="1"/>
  <c r="CJ1732" i="1"/>
  <c r="CH1732" i="1"/>
  <c r="CF1732" i="1"/>
  <c r="BL1732" i="1"/>
  <c r="BD1732" i="1"/>
  <c r="AZ1732" i="1"/>
  <c r="AX1732" i="1"/>
  <c r="DC1731" i="1"/>
  <c r="DA1731" i="1"/>
  <c r="CY1731" i="1"/>
  <c r="Y1731" i="1" s="1"/>
  <c r="CW1731" i="1"/>
  <c r="AA1731" i="1" s="1"/>
  <c r="CR1731" i="1"/>
  <c r="CP1731" i="1"/>
  <c r="CN1731" i="1"/>
  <c r="CJ1731" i="1"/>
  <c r="CH1731" i="1"/>
  <c r="CF1731" i="1"/>
  <c r="BL1731" i="1"/>
  <c r="BD1731" i="1"/>
  <c r="AZ1731" i="1"/>
  <c r="AX1731" i="1"/>
  <c r="DC1729" i="1"/>
  <c r="DA1729" i="1"/>
  <c r="CY1729" i="1"/>
  <c r="Y1729" i="1" s="1"/>
  <c r="CW1729" i="1"/>
  <c r="AA1729" i="1" s="1"/>
  <c r="CR1729" i="1"/>
  <c r="CP1729" i="1"/>
  <c r="CN1729" i="1"/>
  <c r="CJ1729" i="1"/>
  <c r="CH1729" i="1"/>
  <c r="CF1729" i="1"/>
  <c r="BL1729" i="1"/>
  <c r="BD1729" i="1"/>
  <c r="AZ1729" i="1"/>
  <c r="AX1729" i="1"/>
  <c r="Z1801" i="1" l="1"/>
  <c r="Z1591" i="1"/>
  <c r="Z1641" i="1"/>
  <c r="Z1713" i="1"/>
  <c r="CU1591" i="1"/>
  <c r="X1591" i="1" s="1"/>
  <c r="CU1641" i="1"/>
  <c r="X1641" i="1" s="1"/>
  <c r="CU1713" i="1"/>
  <c r="X1713" i="1" s="1"/>
  <c r="CU1801" i="1"/>
  <c r="X1801" i="1" s="1"/>
  <c r="Z1694" i="1"/>
  <c r="CU1719" i="1"/>
  <c r="X1719" i="1" s="1"/>
  <c r="CU1745" i="1"/>
  <c r="X1745" i="1" s="1"/>
  <c r="CU1694" i="1"/>
  <c r="X1694" i="1" s="1"/>
  <c r="Z1719" i="1"/>
  <c r="Z1745" i="1"/>
  <c r="Z1732" i="1"/>
  <c r="Z1731" i="1"/>
  <c r="Z1729" i="1"/>
  <c r="CU1729" i="1"/>
  <c r="X1729" i="1" s="1"/>
  <c r="CU1732" i="1"/>
  <c r="X1732" i="1" s="1"/>
  <c r="CU1731" i="1"/>
  <c r="X1731" i="1" s="1"/>
  <c r="DC1712" i="1"/>
  <c r="DA1712" i="1"/>
  <c r="CY1712" i="1"/>
  <c r="Y1712" i="1" s="1"/>
  <c r="CW1712" i="1"/>
  <c r="AA1712" i="1" s="1"/>
  <c r="CR1712" i="1"/>
  <c r="CP1712" i="1"/>
  <c r="CN1712" i="1"/>
  <c r="CJ1712" i="1"/>
  <c r="CH1712" i="1"/>
  <c r="CF1712" i="1"/>
  <c r="BL1712" i="1"/>
  <c r="BD1712" i="1"/>
  <c r="AZ1712" i="1"/>
  <c r="AX1712" i="1"/>
  <c r="DC1721" i="1"/>
  <c r="DA1721" i="1"/>
  <c r="CY1721" i="1"/>
  <c r="Y1721" i="1" s="1"/>
  <c r="CW1721" i="1"/>
  <c r="AA1721" i="1" s="1"/>
  <c r="CR1721" i="1"/>
  <c r="CP1721" i="1"/>
  <c r="CN1721" i="1"/>
  <c r="CJ1721" i="1"/>
  <c r="CH1721" i="1"/>
  <c r="CF1721" i="1"/>
  <c r="BL1721" i="1"/>
  <c r="BD1721" i="1"/>
  <c r="AZ1721" i="1"/>
  <c r="AX1721" i="1"/>
  <c r="DC1698" i="1"/>
  <c r="DA1698" i="1"/>
  <c r="CY1698" i="1"/>
  <c r="Y1698" i="1" s="1"/>
  <c r="CW1698" i="1"/>
  <c r="AA1698" i="1" s="1"/>
  <c r="CR1698" i="1"/>
  <c r="CP1698" i="1"/>
  <c r="CN1698" i="1"/>
  <c r="CJ1698" i="1"/>
  <c r="CH1698" i="1"/>
  <c r="CF1698" i="1"/>
  <c r="BL1698" i="1"/>
  <c r="BD1698" i="1"/>
  <c r="AZ1698" i="1"/>
  <c r="AX1698" i="1"/>
  <c r="DC1714" i="1"/>
  <c r="DA1714" i="1"/>
  <c r="CY1714" i="1"/>
  <c r="Y1714" i="1" s="1"/>
  <c r="CW1714" i="1"/>
  <c r="AA1714" i="1" s="1"/>
  <c r="CR1714" i="1"/>
  <c r="CP1714" i="1"/>
  <c r="CN1714" i="1"/>
  <c r="CJ1714" i="1"/>
  <c r="CH1714" i="1"/>
  <c r="CF1714" i="1"/>
  <c r="BL1714" i="1"/>
  <c r="BD1714" i="1"/>
  <c r="AZ1714" i="1"/>
  <c r="AX1714" i="1"/>
  <c r="DC1715" i="1"/>
  <c r="DA1715" i="1"/>
  <c r="CY1715" i="1"/>
  <c r="Y1715" i="1" s="1"/>
  <c r="CW1715" i="1"/>
  <c r="AA1715" i="1" s="1"/>
  <c r="CR1715" i="1"/>
  <c r="CP1715" i="1"/>
  <c r="CN1715" i="1"/>
  <c r="CJ1715" i="1"/>
  <c r="CH1715" i="1"/>
  <c r="CF1715" i="1"/>
  <c r="BL1715" i="1"/>
  <c r="BD1715" i="1"/>
  <c r="AZ1715" i="1"/>
  <c r="AX1715" i="1"/>
  <c r="AD1731" i="1" l="1"/>
  <c r="AD1732" i="1"/>
  <c r="AD1641" i="1"/>
  <c r="AD1801" i="1"/>
  <c r="AD1713" i="1"/>
  <c r="AD1694" i="1"/>
  <c r="AD1719" i="1"/>
  <c r="AD1745" i="1"/>
  <c r="AD1591" i="1"/>
  <c r="AD1729" i="1"/>
  <c r="Z1712" i="1"/>
  <c r="Z1721" i="1"/>
  <c r="Z1698" i="1"/>
  <c r="Z1714" i="1"/>
  <c r="Z1715" i="1"/>
  <c r="CU1715" i="1"/>
  <c r="X1715" i="1" s="1"/>
  <c r="CU1714" i="1"/>
  <c r="X1714" i="1" s="1"/>
  <c r="CU1698" i="1"/>
  <c r="X1698" i="1" s="1"/>
  <c r="CU1721" i="1"/>
  <c r="X1721" i="1" s="1"/>
  <c r="CU1712" i="1"/>
  <c r="X1712" i="1" s="1"/>
  <c r="DC1699" i="1"/>
  <c r="DA1699" i="1"/>
  <c r="CY1699" i="1"/>
  <c r="Y1699" i="1" s="1"/>
  <c r="CW1699" i="1"/>
  <c r="AA1699" i="1" s="1"/>
  <c r="CR1699" i="1"/>
  <c r="CP1699" i="1"/>
  <c r="CN1699" i="1"/>
  <c r="CJ1699" i="1"/>
  <c r="CH1699" i="1"/>
  <c r="CF1699" i="1"/>
  <c r="BL1699" i="1"/>
  <c r="BD1699" i="1"/>
  <c r="AZ1699" i="1"/>
  <c r="AX1699" i="1"/>
  <c r="DC1700" i="1"/>
  <c r="DA1700" i="1"/>
  <c r="CY1700" i="1"/>
  <c r="Y1700" i="1" s="1"/>
  <c r="CW1700" i="1"/>
  <c r="AA1700" i="1" s="1"/>
  <c r="CR1700" i="1"/>
  <c r="CP1700" i="1"/>
  <c r="CN1700" i="1"/>
  <c r="CJ1700" i="1"/>
  <c r="CH1700" i="1"/>
  <c r="CF1700" i="1"/>
  <c r="BL1700" i="1"/>
  <c r="BD1700" i="1"/>
  <c r="AZ1700" i="1"/>
  <c r="AX1700" i="1"/>
  <c r="DC1697" i="1"/>
  <c r="DA1697" i="1"/>
  <c r="CY1697" i="1"/>
  <c r="Y1697" i="1" s="1"/>
  <c r="CW1697" i="1"/>
  <c r="AA1697" i="1" s="1"/>
  <c r="CR1697" i="1"/>
  <c r="CP1697" i="1"/>
  <c r="CN1697" i="1"/>
  <c r="CJ1697" i="1"/>
  <c r="CH1697" i="1"/>
  <c r="CF1697" i="1"/>
  <c r="BL1697" i="1"/>
  <c r="BD1697" i="1"/>
  <c r="AZ1697" i="1"/>
  <c r="AX1697" i="1"/>
  <c r="DC1709" i="1"/>
  <c r="DA1709" i="1"/>
  <c r="CY1709" i="1"/>
  <c r="Y1709" i="1" s="1"/>
  <c r="CW1709" i="1"/>
  <c r="AA1709" i="1" s="1"/>
  <c r="CR1709" i="1"/>
  <c r="CP1709" i="1"/>
  <c r="CN1709" i="1"/>
  <c r="CJ1709" i="1"/>
  <c r="CH1709" i="1"/>
  <c r="CF1709" i="1"/>
  <c r="BL1709" i="1"/>
  <c r="BD1709" i="1"/>
  <c r="AZ1709" i="1"/>
  <c r="AX1709" i="1"/>
  <c r="DC1702" i="1"/>
  <c r="DA1702" i="1"/>
  <c r="CY1702" i="1"/>
  <c r="Y1702" i="1" s="1"/>
  <c r="CW1702" i="1"/>
  <c r="AA1702" i="1" s="1"/>
  <c r="CR1702" i="1"/>
  <c r="CP1702" i="1"/>
  <c r="CN1702" i="1"/>
  <c r="CJ1702" i="1"/>
  <c r="CH1702" i="1"/>
  <c r="CF1702" i="1"/>
  <c r="BL1702" i="1"/>
  <c r="BD1702" i="1"/>
  <c r="AZ1702" i="1"/>
  <c r="AX1702" i="1"/>
  <c r="DC1660" i="1"/>
  <c r="DA1660" i="1"/>
  <c r="CY1660" i="1"/>
  <c r="Y1660" i="1" s="1"/>
  <c r="CW1660" i="1"/>
  <c r="AA1660" i="1" s="1"/>
  <c r="CR1660" i="1"/>
  <c r="CP1660" i="1"/>
  <c r="CN1660" i="1"/>
  <c r="CJ1660" i="1"/>
  <c r="CH1660" i="1"/>
  <c r="CF1660" i="1"/>
  <c r="BL1660" i="1"/>
  <c r="BD1660" i="1"/>
  <c r="AZ1660" i="1"/>
  <c r="AX1660" i="1"/>
  <c r="DC1706" i="1"/>
  <c r="DA1706" i="1"/>
  <c r="CY1706" i="1"/>
  <c r="Y1706" i="1" s="1"/>
  <c r="CW1706" i="1"/>
  <c r="AA1706" i="1" s="1"/>
  <c r="CR1706" i="1"/>
  <c r="CP1706" i="1"/>
  <c r="CN1706" i="1"/>
  <c r="CJ1706" i="1"/>
  <c r="CH1706" i="1"/>
  <c r="CF1706" i="1"/>
  <c r="BL1706" i="1"/>
  <c r="BD1706" i="1"/>
  <c r="AZ1706" i="1"/>
  <c r="AX1706" i="1"/>
  <c r="DC1696" i="1"/>
  <c r="DA1696" i="1"/>
  <c r="CY1696" i="1"/>
  <c r="Y1696" i="1" s="1"/>
  <c r="CW1696" i="1"/>
  <c r="AA1696" i="1" s="1"/>
  <c r="CR1696" i="1"/>
  <c r="CP1696" i="1"/>
  <c r="CN1696" i="1"/>
  <c r="CJ1696" i="1"/>
  <c r="CH1696" i="1"/>
  <c r="CF1696" i="1"/>
  <c r="BL1696" i="1"/>
  <c r="BD1696" i="1"/>
  <c r="AZ1696" i="1"/>
  <c r="AX1696" i="1"/>
  <c r="DC1680" i="1"/>
  <c r="DA1680" i="1"/>
  <c r="CY1680" i="1"/>
  <c r="Y1680" i="1" s="1"/>
  <c r="CW1680" i="1"/>
  <c r="AA1680" i="1" s="1"/>
  <c r="CR1680" i="1"/>
  <c r="CP1680" i="1"/>
  <c r="CN1680" i="1"/>
  <c r="CJ1680" i="1"/>
  <c r="CH1680" i="1"/>
  <c r="CF1680" i="1"/>
  <c r="BL1680" i="1"/>
  <c r="BD1680" i="1"/>
  <c r="AZ1680" i="1"/>
  <c r="AX1680" i="1"/>
  <c r="DC1664" i="1"/>
  <c r="DA1664" i="1"/>
  <c r="CY1664" i="1"/>
  <c r="Y1664" i="1" s="1"/>
  <c r="CW1664" i="1"/>
  <c r="AA1664" i="1" s="1"/>
  <c r="CR1664" i="1"/>
  <c r="CP1664" i="1"/>
  <c r="CN1664" i="1"/>
  <c r="CJ1664" i="1"/>
  <c r="CH1664" i="1"/>
  <c r="CF1664" i="1"/>
  <c r="BL1664" i="1"/>
  <c r="BD1664" i="1"/>
  <c r="AZ1664" i="1"/>
  <c r="AX1664" i="1"/>
  <c r="DC1678" i="1"/>
  <c r="DA1678" i="1"/>
  <c r="CY1678" i="1"/>
  <c r="Y1678" i="1" s="1"/>
  <c r="CW1678" i="1"/>
  <c r="AA1678" i="1" s="1"/>
  <c r="CR1678" i="1"/>
  <c r="CP1678" i="1"/>
  <c r="CN1678" i="1"/>
  <c r="CJ1678" i="1"/>
  <c r="CH1678" i="1"/>
  <c r="CF1678" i="1"/>
  <c r="BL1678" i="1"/>
  <c r="BD1678" i="1"/>
  <c r="AZ1678" i="1"/>
  <c r="AX1678" i="1"/>
  <c r="DC1675" i="1"/>
  <c r="DA1675" i="1"/>
  <c r="CY1675" i="1"/>
  <c r="Y1675" i="1" s="1"/>
  <c r="CW1675" i="1"/>
  <c r="AA1675" i="1" s="1"/>
  <c r="CR1675" i="1"/>
  <c r="CP1675" i="1"/>
  <c r="CN1675" i="1"/>
  <c r="CJ1675" i="1"/>
  <c r="CH1675" i="1"/>
  <c r="CF1675" i="1"/>
  <c r="BL1675" i="1"/>
  <c r="BD1675" i="1"/>
  <c r="AZ1675" i="1"/>
  <c r="AX1675" i="1"/>
  <c r="DC1684" i="1"/>
  <c r="DA1684" i="1"/>
  <c r="CY1684" i="1"/>
  <c r="Y1684" i="1" s="1"/>
  <c r="CW1684" i="1"/>
  <c r="AA1684" i="1" s="1"/>
  <c r="CR1684" i="1"/>
  <c r="CP1684" i="1"/>
  <c r="CN1684" i="1"/>
  <c r="CJ1684" i="1"/>
  <c r="CH1684" i="1"/>
  <c r="CF1684" i="1"/>
  <c r="BL1684" i="1"/>
  <c r="BD1684" i="1"/>
  <c r="AZ1684" i="1"/>
  <c r="AX1684" i="1"/>
  <c r="DC1687" i="1"/>
  <c r="DA1687" i="1"/>
  <c r="CY1687" i="1"/>
  <c r="Y1687" i="1" s="1"/>
  <c r="CW1687" i="1"/>
  <c r="AA1687" i="1" s="1"/>
  <c r="CR1687" i="1"/>
  <c r="CP1687" i="1"/>
  <c r="CN1687" i="1"/>
  <c r="CJ1687" i="1"/>
  <c r="CH1687" i="1"/>
  <c r="CF1687" i="1"/>
  <c r="BL1687" i="1"/>
  <c r="BD1687" i="1"/>
  <c r="AZ1687" i="1"/>
  <c r="AX1687" i="1"/>
  <c r="DC1685" i="1"/>
  <c r="DA1685" i="1"/>
  <c r="CY1685" i="1"/>
  <c r="Y1685" i="1" s="1"/>
  <c r="CW1685" i="1"/>
  <c r="AA1685" i="1" s="1"/>
  <c r="CR1685" i="1"/>
  <c r="CP1685" i="1"/>
  <c r="CN1685" i="1"/>
  <c r="CJ1685" i="1"/>
  <c r="CH1685" i="1"/>
  <c r="CF1685" i="1"/>
  <c r="BL1685" i="1"/>
  <c r="BD1685" i="1"/>
  <c r="AZ1685" i="1"/>
  <c r="AX1685" i="1"/>
  <c r="DC1683" i="1"/>
  <c r="DA1683" i="1"/>
  <c r="CY1683" i="1"/>
  <c r="Y1683" i="1" s="1"/>
  <c r="CW1683" i="1"/>
  <c r="AA1683" i="1" s="1"/>
  <c r="CR1683" i="1"/>
  <c r="CP1683" i="1"/>
  <c r="CN1683" i="1"/>
  <c r="CJ1683" i="1"/>
  <c r="CH1683" i="1"/>
  <c r="CF1683" i="1"/>
  <c r="BL1683" i="1"/>
  <c r="BD1683" i="1"/>
  <c r="AZ1683" i="1"/>
  <c r="AX1683" i="1"/>
  <c r="AD1714" i="1" l="1"/>
  <c r="AD1721" i="1"/>
  <c r="AD1712" i="1"/>
  <c r="AD1715" i="1"/>
  <c r="AD1698" i="1"/>
  <c r="Z1699" i="1"/>
  <c r="Z1696" i="1"/>
  <c r="Z1660" i="1"/>
  <c r="Z1697" i="1"/>
  <c r="Z1700" i="1"/>
  <c r="CU1699" i="1"/>
  <c r="X1699" i="1" s="1"/>
  <c r="Z1702" i="1"/>
  <c r="CU1709" i="1"/>
  <c r="X1709" i="1" s="1"/>
  <c r="Z1709" i="1"/>
  <c r="Z1664" i="1"/>
  <c r="CU1660" i="1"/>
  <c r="X1660" i="1" s="1"/>
  <c r="Z1678" i="1"/>
  <c r="CU1702" i="1"/>
  <c r="X1702" i="1" s="1"/>
  <c r="CU1700" i="1"/>
  <c r="X1700" i="1" s="1"/>
  <c r="CU1696" i="1"/>
  <c r="X1696" i="1" s="1"/>
  <c r="CU1706" i="1"/>
  <c r="X1706" i="1" s="1"/>
  <c r="Z1706" i="1"/>
  <c r="CU1697" i="1"/>
  <c r="X1697" i="1" s="1"/>
  <c r="Z1684" i="1"/>
  <c r="Z1683" i="1"/>
  <c r="CU1680" i="1"/>
  <c r="X1680" i="1" s="1"/>
  <c r="Z1685" i="1"/>
  <c r="Z1675" i="1"/>
  <c r="Z1680" i="1"/>
  <c r="Z1687" i="1"/>
  <c r="CU1684" i="1"/>
  <c r="X1684" i="1" s="1"/>
  <c r="CU1685" i="1"/>
  <c r="X1685" i="1" s="1"/>
  <c r="CU1678" i="1"/>
  <c r="X1678" i="1" s="1"/>
  <c r="CU1687" i="1"/>
  <c r="X1687" i="1" s="1"/>
  <c r="CU1664" i="1"/>
  <c r="X1664" i="1" s="1"/>
  <c r="CU1683" i="1"/>
  <c r="X1683" i="1" s="1"/>
  <c r="CU1675" i="1"/>
  <c r="X1675" i="1" s="1"/>
  <c r="AD1687" i="1" l="1"/>
  <c r="AD1699" i="1"/>
  <c r="AD1700" i="1"/>
  <c r="AD1697" i="1"/>
  <c r="AD1660" i="1"/>
  <c r="AD1709" i="1"/>
  <c r="AD1696" i="1"/>
  <c r="AD1702" i="1"/>
  <c r="AD1664" i="1"/>
  <c r="AD1678" i="1"/>
  <c r="AD1706" i="1"/>
  <c r="AD1684" i="1"/>
  <c r="AD1680" i="1"/>
  <c r="AD1683" i="1"/>
  <c r="AD1685" i="1"/>
  <c r="AD1675" i="1"/>
  <c r="DC1695" i="1"/>
  <c r="DA1695" i="1"/>
  <c r="CY1695" i="1"/>
  <c r="Y1695" i="1" s="1"/>
  <c r="CW1695" i="1"/>
  <c r="AA1695" i="1" s="1"/>
  <c r="CR1695" i="1"/>
  <c r="CP1695" i="1"/>
  <c r="CN1695" i="1"/>
  <c r="CJ1695" i="1"/>
  <c r="CH1695" i="1"/>
  <c r="CF1695" i="1"/>
  <c r="BL1695" i="1"/>
  <c r="BD1695" i="1"/>
  <c r="AZ1695" i="1"/>
  <c r="AX1695" i="1"/>
  <c r="DC1717" i="1"/>
  <c r="DA1717" i="1"/>
  <c r="CY1717" i="1"/>
  <c r="Y1717" i="1" s="1"/>
  <c r="CW1717" i="1"/>
  <c r="AA1717" i="1" s="1"/>
  <c r="CR1717" i="1"/>
  <c r="CP1717" i="1"/>
  <c r="CN1717" i="1"/>
  <c r="CJ1717" i="1"/>
  <c r="CH1717" i="1"/>
  <c r="CF1717" i="1"/>
  <c r="BL1717" i="1"/>
  <c r="BD1717" i="1"/>
  <c r="AZ1717" i="1"/>
  <c r="AX1717" i="1"/>
  <c r="DC1718" i="1"/>
  <c r="DA1718" i="1"/>
  <c r="CY1718" i="1"/>
  <c r="Y1718" i="1" s="1"/>
  <c r="CW1718" i="1"/>
  <c r="AA1718" i="1" s="1"/>
  <c r="CR1718" i="1"/>
  <c r="CP1718" i="1"/>
  <c r="CN1718" i="1"/>
  <c r="CJ1718" i="1"/>
  <c r="CH1718" i="1"/>
  <c r="CF1718" i="1"/>
  <c r="BL1718" i="1"/>
  <c r="BD1718" i="1"/>
  <c r="AZ1718" i="1"/>
  <c r="AX1718" i="1"/>
  <c r="DC1720" i="1"/>
  <c r="DA1720" i="1"/>
  <c r="CY1720" i="1"/>
  <c r="Y1720" i="1" s="1"/>
  <c r="CW1720" i="1"/>
  <c r="AA1720" i="1" s="1"/>
  <c r="CR1720" i="1"/>
  <c r="CP1720" i="1"/>
  <c r="CN1720" i="1"/>
  <c r="CJ1720" i="1"/>
  <c r="CH1720" i="1"/>
  <c r="CF1720" i="1"/>
  <c r="BL1720" i="1"/>
  <c r="BD1720" i="1"/>
  <c r="AZ1720" i="1"/>
  <c r="AX1720" i="1"/>
  <c r="DC1724" i="1"/>
  <c r="DA1724" i="1"/>
  <c r="CY1724" i="1"/>
  <c r="Y1724" i="1" s="1"/>
  <c r="CW1724" i="1"/>
  <c r="AA1724" i="1" s="1"/>
  <c r="CR1724" i="1"/>
  <c r="CP1724" i="1"/>
  <c r="CN1724" i="1"/>
  <c r="CJ1724" i="1"/>
  <c r="CH1724" i="1"/>
  <c r="CF1724" i="1"/>
  <c r="BL1724" i="1"/>
  <c r="BD1724" i="1"/>
  <c r="AZ1724" i="1"/>
  <c r="AX1724" i="1"/>
  <c r="DC1722" i="1"/>
  <c r="DA1722" i="1"/>
  <c r="CY1722" i="1"/>
  <c r="Y1722" i="1" s="1"/>
  <c r="CW1722" i="1"/>
  <c r="AA1722" i="1" s="1"/>
  <c r="CR1722" i="1"/>
  <c r="CP1722" i="1"/>
  <c r="CN1722" i="1"/>
  <c r="CJ1722" i="1"/>
  <c r="CH1722" i="1"/>
  <c r="CF1722" i="1"/>
  <c r="BL1722" i="1"/>
  <c r="BD1722" i="1"/>
  <c r="AZ1722" i="1"/>
  <c r="AX1722" i="1"/>
  <c r="Y1708" i="1"/>
  <c r="CW1708" i="1"/>
  <c r="AA1708" i="1" s="1"/>
  <c r="CN1708" i="1"/>
  <c r="CH1708" i="1"/>
  <c r="CF1708" i="1"/>
  <c r="BL1708" i="1"/>
  <c r="BD1708" i="1"/>
  <c r="AX1708" i="1"/>
  <c r="DC1703" i="1"/>
  <c r="DA1703" i="1"/>
  <c r="CY1703" i="1"/>
  <c r="Y1703" i="1" s="1"/>
  <c r="CW1703" i="1"/>
  <c r="AA1703" i="1" s="1"/>
  <c r="CR1703" i="1"/>
  <c r="CP1703" i="1"/>
  <c r="CN1703" i="1"/>
  <c r="CJ1703" i="1"/>
  <c r="CH1703" i="1"/>
  <c r="CF1703" i="1"/>
  <c r="BL1703" i="1"/>
  <c r="BD1703" i="1"/>
  <c r="AZ1703" i="1"/>
  <c r="AX1703" i="1"/>
  <c r="DC1677" i="1"/>
  <c r="DA1677" i="1"/>
  <c r="CY1677" i="1"/>
  <c r="Y1677" i="1" s="1"/>
  <c r="CW1677" i="1"/>
  <c r="AA1677" i="1" s="1"/>
  <c r="CR1677" i="1"/>
  <c r="CP1677" i="1"/>
  <c r="CN1677" i="1"/>
  <c r="CJ1677" i="1"/>
  <c r="CH1677" i="1"/>
  <c r="CF1677" i="1"/>
  <c r="BL1677" i="1"/>
  <c r="BD1677" i="1"/>
  <c r="AZ1677" i="1"/>
  <c r="AX1677" i="1"/>
  <c r="DA1711" i="1"/>
  <c r="Y1711" i="1"/>
  <c r="CW1711" i="1"/>
  <c r="AA1711" i="1" s="1"/>
  <c r="CN1711" i="1"/>
  <c r="CH1711" i="1"/>
  <c r="CF1711" i="1"/>
  <c r="BL1711" i="1"/>
  <c r="BD1711" i="1"/>
  <c r="AX1711" i="1"/>
  <c r="DC1710" i="1"/>
  <c r="DA1710" i="1"/>
  <c r="CY1710" i="1"/>
  <c r="Y1710" i="1" s="1"/>
  <c r="CW1710" i="1"/>
  <c r="AA1710" i="1" s="1"/>
  <c r="CR1710" i="1"/>
  <c r="CP1710" i="1"/>
  <c r="CN1710" i="1"/>
  <c r="CJ1710" i="1"/>
  <c r="CH1710" i="1"/>
  <c r="CF1710" i="1"/>
  <c r="BL1710" i="1"/>
  <c r="BD1710" i="1"/>
  <c r="AZ1710" i="1"/>
  <c r="AX1710" i="1"/>
  <c r="DC1701" i="1"/>
  <c r="DA1701" i="1"/>
  <c r="CY1701" i="1"/>
  <c r="Y1701" i="1" s="1"/>
  <c r="CW1701" i="1"/>
  <c r="AA1701" i="1" s="1"/>
  <c r="CR1701" i="1"/>
  <c r="CP1701" i="1"/>
  <c r="CN1701" i="1"/>
  <c r="CJ1701" i="1"/>
  <c r="CH1701" i="1"/>
  <c r="CF1701" i="1"/>
  <c r="BL1701" i="1"/>
  <c r="BD1701" i="1"/>
  <c r="AZ1701" i="1"/>
  <c r="AX1701" i="1"/>
  <c r="DC1705" i="1"/>
  <c r="DA1705" i="1"/>
  <c r="CY1705" i="1"/>
  <c r="Y1705" i="1" s="1"/>
  <c r="CW1705" i="1"/>
  <c r="AA1705" i="1" s="1"/>
  <c r="CR1705" i="1"/>
  <c r="CP1705" i="1"/>
  <c r="CN1705" i="1"/>
  <c r="CJ1705" i="1"/>
  <c r="CH1705" i="1"/>
  <c r="CF1705" i="1"/>
  <c r="BL1705" i="1"/>
  <c r="BD1705" i="1"/>
  <c r="AZ1705" i="1"/>
  <c r="AX1705" i="1"/>
  <c r="DC1686" i="1"/>
  <c r="DA1686" i="1"/>
  <c r="CY1686" i="1"/>
  <c r="Y1686" i="1" s="1"/>
  <c r="CW1686" i="1"/>
  <c r="AA1686" i="1" s="1"/>
  <c r="CR1686" i="1"/>
  <c r="CP1686" i="1"/>
  <c r="CN1686" i="1"/>
  <c r="CJ1686" i="1"/>
  <c r="CH1686" i="1"/>
  <c r="CF1686" i="1"/>
  <c r="BL1686" i="1"/>
  <c r="BD1686" i="1"/>
  <c r="AZ1686" i="1"/>
  <c r="AX1686" i="1"/>
  <c r="DC1688" i="1"/>
  <c r="DA1688" i="1"/>
  <c r="CY1688" i="1"/>
  <c r="Y1688" i="1" s="1"/>
  <c r="CW1688" i="1"/>
  <c r="AA1688" i="1" s="1"/>
  <c r="CR1688" i="1"/>
  <c r="CP1688" i="1"/>
  <c r="CN1688" i="1"/>
  <c r="CJ1688" i="1"/>
  <c r="CH1688" i="1"/>
  <c r="CF1688" i="1"/>
  <c r="BL1688" i="1"/>
  <c r="BD1688" i="1"/>
  <c r="AZ1688" i="1"/>
  <c r="AX1688" i="1"/>
  <c r="DC1689" i="1"/>
  <c r="DA1689" i="1"/>
  <c r="CY1689" i="1"/>
  <c r="Y1689" i="1" s="1"/>
  <c r="CW1689" i="1"/>
  <c r="AA1689" i="1" s="1"/>
  <c r="CR1689" i="1"/>
  <c r="CP1689" i="1"/>
  <c r="CN1689" i="1"/>
  <c r="CJ1689" i="1"/>
  <c r="CH1689" i="1"/>
  <c r="CF1689" i="1"/>
  <c r="BL1689" i="1"/>
  <c r="BD1689" i="1"/>
  <c r="AZ1689" i="1"/>
  <c r="AX1689" i="1"/>
  <c r="DC1693" i="1"/>
  <c r="DA1693" i="1"/>
  <c r="CY1693" i="1"/>
  <c r="Y1693" i="1" s="1"/>
  <c r="CW1693" i="1"/>
  <c r="AA1693" i="1" s="1"/>
  <c r="CR1693" i="1"/>
  <c r="CP1693" i="1"/>
  <c r="CN1693" i="1"/>
  <c r="CJ1693" i="1"/>
  <c r="CH1693" i="1"/>
  <c r="CF1693" i="1"/>
  <c r="BL1693" i="1"/>
  <c r="BD1693" i="1"/>
  <c r="AZ1693" i="1"/>
  <c r="AX1693" i="1"/>
  <c r="DC1668" i="1"/>
  <c r="DA1668" i="1"/>
  <c r="CY1668" i="1"/>
  <c r="Y1668" i="1" s="1"/>
  <c r="CW1668" i="1"/>
  <c r="AA1668" i="1" s="1"/>
  <c r="CR1668" i="1"/>
  <c r="CP1668" i="1"/>
  <c r="CN1668" i="1"/>
  <c r="CJ1668" i="1"/>
  <c r="CH1668" i="1"/>
  <c r="CF1668" i="1"/>
  <c r="BL1668" i="1"/>
  <c r="BD1668" i="1"/>
  <c r="AZ1668" i="1"/>
  <c r="AX1668" i="1"/>
  <c r="DC1690" i="1"/>
  <c r="DA1690" i="1"/>
  <c r="CY1690" i="1"/>
  <c r="Y1690" i="1" s="1"/>
  <c r="CW1690" i="1"/>
  <c r="AA1690" i="1" s="1"/>
  <c r="CR1690" i="1"/>
  <c r="CP1690" i="1"/>
  <c r="CN1690" i="1"/>
  <c r="CJ1690" i="1"/>
  <c r="CH1690" i="1"/>
  <c r="CF1690" i="1"/>
  <c r="BL1690" i="1"/>
  <c r="BD1690" i="1"/>
  <c r="AZ1690" i="1"/>
  <c r="AX1690" i="1"/>
  <c r="DC1692" i="1"/>
  <c r="DA1692" i="1"/>
  <c r="CY1692" i="1"/>
  <c r="Y1692" i="1" s="1"/>
  <c r="CW1692" i="1"/>
  <c r="AA1692" i="1" s="1"/>
  <c r="CR1692" i="1"/>
  <c r="CP1692" i="1"/>
  <c r="CN1692" i="1"/>
  <c r="CJ1692" i="1"/>
  <c r="CH1692" i="1"/>
  <c r="CF1692" i="1"/>
  <c r="BL1692" i="1"/>
  <c r="BD1692" i="1"/>
  <c r="AZ1692" i="1"/>
  <c r="AX1692" i="1"/>
  <c r="DA1650" i="1"/>
  <c r="Y1650" i="1"/>
  <c r="CW1650" i="1"/>
  <c r="AA1650" i="1" s="1"/>
  <c r="CR1650" i="1"/>
  <c r="CP1650" i="1"/>
  <c r="CN1650" i="1"/>
  <c r="CJ1650" i="1"/>
  <c r="CH1650" i="1"/>
  <c r="CF1650" i="1"/>
  <c r="BL1650" i="1"/>
  <c r="BD1650" i="1"/>
  <c r="AZ1650" i="1"/>
  <c r="AX1650" i="1"/>
  <c r="DC1682" i="1"/>
  <c r="DA1682" i="1"/>
  <c r="CY1682" i="1"/>
  <c r="Y1682" i="1" s="1"/>
  <c r="CW1682" i="1"/>
  <c r="AA1682" i="1" s="1"/>
  <c r="CR1682" i="1"/>
  <c r="CP1682" i="1"/>
  <c r="CN1682" i="1"/>
  <c r="CJ1682" i="1"/>
  <c r="CH1682" i="1"/>
  <c r="CF1682" i="1"/>
  <c r="BL1682" i="1"/>
  <c r="BD1682" i="1"/>
  <c r="AZ1682" i="1"/>
  <c r="AX1682" i="1"/>
  <c r="DC1681" i="1"/>
  <c r="DA1681" i="1"/>
  <c r="CY1681" i="1"/>
  <c r="Y1681" i="1" s="1"/>
  <c r="CW1681" i="1"/>
  <c r="AA1681" i="1" s="1"/>
  <c r="CR1681" i="1"/>
  <c r="CP1681" i="1"/>
  <c r="CN1681" i="1"/>
  <c r="CJ1681" i="1"/>
  <c r="CH1681" i="1"/>
  <c r="CF1681" i="1"/>
  <c r="BL1681" i="1"/>
  <c r="BD1681" i="1"/>
  <c r="AZ1681" i="1"/>
  <c r="AX1681" i="1"/>
  <c r="DC1679" i="1"/>
  <c r="DA1679" i="1"/>
  <c r="CY1679" i="1"/>
  <c r="Y1679" i="1" s="1"/>
  <c r="CW1679" i="1"/>
  <c r="AA1679" i="1" s="1"/>
  <c r="CR1679" i="1"/>
  <c r="CP1679" i="1"/>
  <c r="CN1679" i="1"/>
  <c r="CJ1679" i="1"/>
  <c r="CH1679" i="1"/>
  <c r="CF1679" i="1"/>
  <c r="BL1679" i="1"/>
  <c r="BD1679" i="1"/>
  <c r="AZ1679" i="1"/>
  <c r="AX1679" i="1"/>
  <c r="DC1726" i="1"/>
  <c r="DA1726" i="1"/>
  <c r="CY1726" i="1"/>
  <c r="Y1726" i="1" s="1"/>
  <c r="CW1726" i="1"/>
  <c r="AA1726" i="1" s="1"/>
  <c r="CR1726" i="1"/>
  <c r="CP1726" i="1"/>
  <c r="CN1726" i="1"/>
  <c r="CJ1726" i="1"/>
  <c r="CH1726" i="1"/>
  <c r="CF1726" i="1"/>
  <c r="BL1726" i="1"/>
  <c r="BD1726" i="1"/>
  <c r="AZ1726" i="1"/>
  <c r="AX1726" i="1"/>
  <c r="DC1730" i="1"/>
  <c r="DA1730" i="1"/>
  <c r="CY1730" i="1"/>
  <c r="Y1730" i="1" s="1"/>
  <c r="CW1730" i="1"/>
  <c r="AA1730" i="1" s="1"/>
  <c r="CR1730" i="1"/>
  <c r="CP1730" i="1"/>
  <c r="CN1730" i="1"/>
  <c r="CJ1730" i="1"/>
  <c r="CH1730" i="1"/>
  <c r="CF1730" i="1"/>
  <c r="BL1730" i="1"/>
  <c r="BD1730" i="1"/>
  <c r="AZ1730" i="1"/>
  <c r="AX1730" i="1"/>
  <c r="Z1722" i="1" l="1"/>
  <c r="Z1720" i="1"/>
  <c r="Z1701" i="1"/>
  <c r="Z1710" i="1"/>
  <c r="Z1686" i="1"/>
  <c r="Z1718" i="1"/>
  <c r="CU1701" i="1"/>
  <c r="X1701" i="1" s="1"/>
  <c r="Z1677" i="1"/>
  <c r="Z1717" i="1"/>
  <c r="Z1711" i="1"/>
  <c r="Z1708" i="1"/>
  <c r="CU1703" i="1"/>
  <c r="X1703" i="1" s="1"/>
  <c r="Z1703" i="1"/>
  <c r="Z1724" i="1"/>
  <c r="Z1688" i="1"/>
  <c r="Z1705" i="1"/>
  <c r="CU1695" i="1"/>
  <c r="X1695" i="1" s="1"/>
  <c r="Z1695" i="1"/>
  <c r="CU1720" i="1"/>
  <c r="X1720" i="1" s="1"/>
  <c r="Z1690" i="1"/>
  <c r="Z1682" i="1"/>
  <c r="Z1650" i="1"/>
  <c r="CU1693" i="1"/>
  <c r="X1693" i="1" s="1"/>
  <c r="Z1693" i="1"/>
  <c r="Z1679" i="1"/>
  <c r="Z1730" i="1"/>
  <c r="CU1686" i="1"/>
  <c r="X1686" i="1" s="1"/>
  <c r="CU1711" i="1"/>
  <c r="X1711" i="1" s="1"/>
  <c r="CU1722" i="1"/>
  <c r="X1722" i="1" s="1"/>
  <c r="CU1717" i="1"/>
  <c r="X1717" i="1" s="1"/>
  <c r="CU1705" i="1"/>
  <c r="X1705" i="1" s="1"/>
  <c r="CU1677" i="1"/>
  <c r="X1677" i="1" s="1"/>
  <c r="CU1724" i="1"/>
  <c r="X1724" i="1" s="1"/>
  <c r="Z1726" i="1"/>
  <c r="CU1710" i="1"/>
  <c r="X1710" i="1" s="1"/>
  <c r="CU1708" i="1"/>
  <c r="X1708" i="1" s="1"/>
  <c r="CU1718" i="1"/>
  <c r="X1718" i="1" s="1"/>
  <c r="CU1730" i="1"/>
  <c r="X1730" i="1" s="1"/>
  <c r="CU1692" i="1"/>
  <c r="X1692" i="1" s="1"/>
  <c r="Z1692" i="1"/>
  <c r="Z1689" i="1"/>
  <c r="Z1668" i="1"/>
  <c r="CU1681" i="1"/>
  <c r="X1681" i="1" s="1"/>
  <c r="Z1681" i="1"/>
  <c r="CU1650" i="1"/>
  <c r="X1650" i="1" s="1"/>
  <c r="CU1668" i="1"/>
  <c r="X1668" i="1" s="1"/>
  <c r="CU1726" i="1"/>
  <c r="X1726" i="1" s="1"/>
  <c r="CU1682" i="1"/>
  <c r="X1682" i="1" s="1"/>
  <c r="CU1689" i="1"/>
  <c r="X1689" i="1" s="1"/>
  <c r="CU1679" i="1"/>
  <c r="X1679" i="1" s="1"/>
  <c r="CU1690" i="1"/>
  <c r="X1690" i="1" s="1"/>
  <c r="CU1688" i="1"/>
  <c r="X1688" i="1" s="1"/>
  <c r="DB1540" i="1"/>
  <c r="DB1525" i="1"/>
  <c r="AD1701" i="1" l="1"/>
  <c r="AD1726" i="1"/>
  <c r="AD1722" i="1"/>
  <c r="AD1720" i="1"/>
  <c r="AD1710" i="1"/>
  <c r="AD1703" i="1"/>
  <c r="AD1717" i="1"/>
  <c r="AD1695" i="1"/>
  <c r="AD1688" i="1"/>
  <c r="AD1686" i="1"/>
  <c r="AD1718" i="1"/>
  <c r="AD1711" i="1"/>
  <c r="AD1708" i="1"/>
  <c r="AD1677" i="1"/>
  <c r="AD1690" i="1"/>
  <c r="AD1682" i="1"/>
  <c r="AD1724" i="1"/>
  <c r="AD1705" i="1"/>
  <c r="AD1689" i="1"/>
  <c r="AD1650" i="1"/>
  <c r="AD1681" i="1"/>
  <c r="AD1730" i="1"/>
  <c r="AD1693" i="1"/>
  <c r="AD1679" i="1"/>
  <c r="AD1692" i="1"/>
  <c r="AD1668" i="1"/>
  <c r="DB1527" i="1"/>
  <c r="DB1526" i="1"/>
  <c r="DC1667" i="1" l="1"/>
  <c r="DA1667" i="1"/>
  <c r="CY1667" i="1"/>
  <c r="Y1667" i="1" s="1"/>
  <c r="CW1667" i="1"/>
  <c r="AA1667" i="1" s="1"/>
  <c r="CR1667" i="1"/>
  <c r="CP1667" i="1"/>
  <c r="CN1667" i="1"/>
  <c r="CJ1667" i="1"/>
  <c r="CH1667" i="1"/>
  <c r="CF1667" i="1"/>
  <c r="BL1667" i="1"/>
  <c r="BD1667" i="1"/>
  <c r="AZ1667" i="1"/>
  <c r="AX1667" i="1"/>
  <c r="DC1691" i="1"/>
  <c r="DA1691" i="1"/>
  <c r="CY1691" i="1"/>
  <c r="Y1691" i="1" s="1"/>
  <c r="CW1691" i="1"/>
  <c r="AA1691" i="1" s="1"/>
  <c r="CR1691" i="1"/>
  <c r="CP1691" i="1"/>
  <c r="CN1691" i="1"/>
  <c r="CJ1691" i="1"/>
  <c r="CH1691" i="1"/>
  <c r="CF1691" i="1"/>
  <c r="BL1691" i="1"/>
  <c r="BD1691" i="1"/>
  <c r="AZ1691" i="1"/>
  <c r="AX1691" i="1"/>
  <c r="DC1671" i="1"/>
  <c r="DA1671" i="1"/>
  <c r="CY1671" i="1"/>
  <c r="Y1671" i="1" s="1"/>
  <c r="CW1671" i="1"/>
  <c r="AA1671" i="1" s="1"/>
  <c r="CR1671" i="1"/>
  <c r="CP1671" i="1"/>
  <c r="CN1671" i="1"/>
  <c r="CJ1671" i="1"/>
  <c r="CH1671" i="1"/>
  <c r="CF1671" i="1"/>
  <c r="BL1671" i="1"/>
  <c r="BD1671" i="1"/>
  <c r="AZ1671" i="1"/>
  <c r="AX1671" i="1"/>
  <c r="DC1670" i="1"/>
  <c r="DA1670" i="1"/>
  <c r="CY1670" i="1"/>
  <c r="Y1670" i="1" s="1"/>
  <c r="CW1670" i="1"/>
  <c r="AA1670" i="1" s="1"/>
  <c r="CR1670" i="1"/>
  <c r="CP1670" i="1"/>
  <c r="CN1670" i="1"/>
  <c r="CJ1670" i="1"/>
  <c r="CH1670" i="1"/>
  <c r="CF1670" i="1"/>
  <c r="BL1670" i="1"/>
  <c r="BD1670" i="1"/>
  <c r="AZ1670" i="1"/>
  <c r="AX1670" i="1"/>
  <c r="DC1674" i="1"/>
  <c r="DA1674" i="1"/>
  <c r="CY1674" i="1"/>
  <c r="Y1674" i="1" s="1"/>
  <c r="CW1674" i="1"/>
  <c r="AA1674" i="1" s="1"/>
  <c r="CR1674" i="1"/>
  <c r="CP1674" i="1"/>
  <c r="CN1674" i="1"/>
  <c r="CJ1674" i="1"/>
  <c r="CH1674" i="1"/>
  <c r="CF1674" i="1"/>
  <c r="BL1674" i="1"/>
  <c r="BD1674" i="1"/>
  <c r="AZ1674" i="1"/>
  <c r="AX1674" i="1"/>
  <c r="DC1658" i="1"/>
  <c r="DA1658" i="1"/>
  <c r="CY1658" i="1"/>
  <c r="Y1658" i="1" s="1"/>
  <c r="CW1658" i="1"/>
  <c r="AA1658" i="1" s="1"/>
  <c r="CR1658" i="1"/>
  <c r="CP1658" i="1"/>
  <c r="CN1658" i="1"/>
  <c r="CJ1658" i="1"/>
  <c r="CH1658" i="1"/>
  <c r="CF1658" i="1"/>
  <c r="BL1658" i="1"/>
  <c r="BD1658" i="1"/>
  <c r="AZ1658" i="1"/>
  <c r="AX1658" i="1"/>
  <c r="DC1657" i="1"/>
  <c r="DA1657" i="1"/>
  <c r="CY1657" i="1"/>
  <c r="Y1657" i="1" s="1"/>
  <c r="CW1657" i="1"/>
  <c r="AA1657" i="1" s="1"/>
  <c r="CR1657" i="1"/>
  <c r="CP1657" i="1"/>
  <c r="CN1657" i="1"/>
  <c r="CJ1657" i="1"/>
  <c r="CH1657" i="1"/>
  <c r="CF1657" i="1"/>
  <c r="BL1657" i="1"/>
  <c r="BD1657" i="1"/>
  <c r="AZ1657" i="1"/>
  <c r="AX1657" i="1"/>
  <c r="DC1669" i="1"/>
  <c r="DA1669" i="1"/>
  <c r="CY1669" i="1"/>
  <c r="Y1669" i="1" s="1"/>
  <c r="CW1669" i="1"/>
  <c r="AA1669" i="1" s="1"/>
  <c r="CR1669" i="1"/>
  <c r="CP1669" i="1"/>
  <c r="CN1669" i="1"/>
  <c r="CJ1669" i="1"/>
  <c r="CH1669" i="1"/>
  <c r="CF1669" i="1"/>
  <c r="BL1669" i="1"/>
  <c r="BD1669" i="1"/>
  <c r="AZ1669" i="1"/>
  <c r="AX1669" i="1"/>
  <c r="DC1673" i="1"/>
  <c r="DA1673" i="1"/>
  <c r="CY1673" i="1"/>
  <c r="Y1673" i="1" s="1"/>
  <c r="CW1673" i="1"/>
  <c r="AA1673" i="1" s="1"/>
  <c r="CR1673" i="1"/>
  <c r="CP1673" i="1"/>
  <c r="CN1673" i="1"/>
  <c r="CJ1673" i="1"/>
  <c r="CH1673" i="1"/>
  <c r="CF1673" i="1"/>
  <c r="BL1673" i="1"/>
  <c r="BD1673" i="1"/>
  <c r="AZ1673" i="1"/>
  <c r="AX1673" i="1"/>
  <c r="DC1672" i="1"/>
  <c r="DA1672" i="1"/>
  <c r="CY1672" i="1"/>
  <c r="Y1672" i="1" s="1"/>
  <c r="CW1672" i="1"/>
  <c r="AA1672" i="1" s="1"/>
  <c r="CR1672" i="1"/>
  <c r="CP1672" i="1"/>
  <c r="CN1672" i="1"/>
  <c r="CJ1672" i="1"/>
  <c r="CH1672" i="1"/>
  <c r="CF1672" i="1"/>
  <c r="BL1672" i="1"/>
  <c r="BD1672" i="1"/>
  <c r="AZ1672" i="1"/>
  <c r="AX1672" i="1"/>
  <c r="DC1656" i="1"/>
  <c r="DA1656" i="1"/>
  <c r="CY1656" i="1"/>
  <c r="Y1656" i="1" s="1"/>
  <c r="CW1656" i="1"/>
  <c r="AA1656" i="1" s="1"/>
  <c r="CR1656" i="1"/>
  <c r="CP1656" i="1"/>
  <c r="CN1656" i="1"/>
  <c r="CJ1656" i="1"/>
  <c r="CH1656" i="1"/>
  <c r="CF1656" i="1"/>
  <c r="BL1656" i="1"/>
  <c r="BD1656" i="1"/>
  <c r="AZ1656" i="1"/>
  <c r="AX1656" i="1"/>
  <c r="DC1663" i="1"/>
  <c r="DA1663" i="1"/>
  <c r="CY1663" i="1"/>
  <c r="Y1663" i="1" s="1"/>
  <c r="CW1663" i="1"/>
  <c r="AA1663" i="1" s="1"/>
  <c r="CR1663" i="1"/>
  <c r="CP1663" i="1"/>
  <c r="CN1663" i="1"/>
  <c r="CJ1663" i="1"/>
  <c r="CH1663" i="1"/>
  <c r="CF1663" i="1"/>
  <c r="BL1663" i="1"/>
  <c r="BD1663" i="1"/>
  <c r="AZ1663" i="1"/>
  <c r="AX1663" i="1"/>
  <c r="DC1665" i="1"/>
  <c r="DA1665" i="1"/>
  <c r="CY1665" i="1"/>
  <c r="Y1665" i="1" s="1"/>
  <c r="CW1665" i="1"/>
  <c r="AA1665" i="1" s="1"/>
  <c r="CR1665" i="1"/>
  <c r="CP1665" i="1"/>
  <c r="CN1665" i="1"/>
  <c r="CJ1665" i="1"/>
  <c r="CH1665" i="1"/>
  <c r="CF1665" i="1"/>
  <c r="BL1665" i="1"/>
  <c r="BD1665" i="1"/>
  <c r="AZ1665" i="1"/>
  <c r="AX1665" i="1"/>
  <c r="Z1671" i="1" l="1"/>
  <c r="Z1667" i="1"/>
  <c r="Z1670" i="1"/>
  <c r="CU1691" i="1"/>
  <c r="X1691" i="1" s="1"/>
  <c r="Z1691" i="1"/>
  <c r="CU1671" i="1"/>
  <c r="X1671" i="1" s="1"/>
  <c r="CU1670" i="1"/>
  <c r="X1670" i="1" s="1"/>
  <c r="CU1667" i="1"/>
  <c r="X1667" i="1" s="1"/>
  <c r="Z1665" i="1"/>
  <c r="CU1657" i="1"/>
  <c r="X1657" i="1" s="1"/>
  <c r="Z1657" i="1"/>
  <c r="Z1669" i="1"/>
  <c r="Z1673" i="1"/>
  <c r="Z1674" i="1"/>
  <c r="Z1658" i="1"/>
  <c r="Z1663" i="1"/>
  <c r="Z1672" i="1"/>
  <c r="CU1672" i="1"/>
  <c r="X1672" i="1" s="1"/>
  <c r="Z1656" i="1"/>
  <c r="CU1665" i="1"/>
  <c r="X1665" i="1" s="1"/>
  <c r="CU1658" i="1"/>
  <c r="X1658" i="1" s="1"/>
  <c r="CU1663" i="1"/>
  <c r="X1663" i="1" s="1"/>
  <c r="CU1673" i="1"/>
  <c r="X1673" i="1" s="1"/>
  <c r="CU1674" i="1"/>
  <c r="X1674" i="1" s="1"/>
  <c r="CU1656" i="1"/>
  <c r="X1656" i="1" s="1"/>
  <c r="CU1669" i="1"/>
  <c r="X1669" i="1" s="1"/>
  <c r="AD1667" i="1" l="1"/>
  <c r="AD1671" i="1"/>
  <c r="AD1691" i="1"/>
  <c r="AD1658" i="1"/>
  <c r="AD1670" i="1"/>
  <c r="AD1665" i="1"/>
  <c r="AD1669" i="1"/>
  <c r="AD1674" i="1"/>
  <c r="AD1672" i="1"/>
  <c r="AD1673" i="1"/>
  <c r="AD1657" i="1"/>
  <c r="AD1656" i="1"/>
  <c r="AD1663" i="1"/>
  <c r="DC1662" i="1" l="1"/>
  <c r="DA1662" i="1"/>
  <c r="CY1662" i="1"/>
  <c r="Y1662" i="1" s="1"/>
  <c r="CW1662" i="1"/>
  <c r="AA1662" i="1" s="1"/>
  <c r="CR1662" i="1"/>
  <c r="CP1662" i="1"/>
  <c r="CN1662" i="1"/>
  <c r="CJ1662" i="1"/>
  <c r="CH1662" i="1"/>
  <c r="CF1662" i="1"/>
  <c r="BL1662" i="1"/>
  <c r="BD1662" i="1"/>
  <c r="AZ1662" i="1"/>
  <c r="AX1662" i="1"/>
  <c r="DC1436" i="1"/>
  <c r="DA1436" i="1"/>
  <c r="CY1436" i="1"/>
  <c r="Y1436" i="1" s="1"/>
  <c r="CW1436" i="1"/>
  <c r="AA1436" i="1" s="1"/>
  <c r="CR1436" i="1"/>
  <c r="CP1436" i="1"/>
  <c r="CN1436" i="1"/>
  <c r="CJ1436" i="1"/>
  <c r="CH1436" i="1"/>
  <c r="CF1436" i="1"/>
  <c r="BL1436" i="1"/>
  <c r="BD1436" i="1"/>
  <c r="AZ1436" i="1"/>
  <c r="AX1436" i="1"/>
  <c r="DC1661" i="1"/>
  <c r="DA1661" i="1"/>
  <c r="CY1661" i="1"/>
  <c r="Y1661" i="1" s="1"/>
  <c r="CW1661" i="1"/>
  <c r="AA1661" i="1" s="1"/>
  <c r="CR1661" i="1"/>
  <c r="CP1661" i="1"/>
  <c r="CN1661" i="1"/>
  <c r="CJ1661" i="1"/>
  <c r="CH1661" i="1"/>
  <c r="CF1661" i="1"/>
  <c r="BL1661" i="1"/>
  <c r="BD1661" i="1"/>
  <c r="AZ1661" i="1"/>
  <c r="AX1661" i="1"/>
  <c r="Y1622" i="1"/>
  <c r="CW1622" i="1"/>
  <c r="AA1622" i="1" s="1"/>
  <c r="CN1622" i="1"/>
  <c r="CH1622" i="1"/>
  <c r="CF1622" i="1"/>
  <c r="BL1622" i="1"/>
  <c r="BD1622" i="1"/>
  <c r="AX1622" i="1"/>
  <c r="DC1655" i="1"/>
  <c r="DA1655" i="1"/>
  <c r="CY1655" i="1"/>
  <c r="Y1655" i="1" s="1"/>
  <c r="CW1655" i="1"/>
  <c r="AA1655" i="1" s="1"/>
  <c r="CR1655" i="1"/>
  <c r="CP1655" i="1"/>
  <c r="CN1655" i="1"/>
  <c r="CJ1655" i="1"/>
  <c r="CH1655" i="1"/>
  <c r="CF1655" i="1"/>
  <c r="BL1655" i="1"/>
  <c r="BD1655" i="1"/>
  <c r="AZ1655" i="1"/>
  <c r="AX1655" i="1"/>
  <c r="DC1653" i="1"/>
  <c r="DA1653" i="1"/>
  <c r="CY1653" i="1"/>
  <c r="Y1653" i="1" s="1"/>
  <c r="CW1653" i="1"/>
  <c r="AA1653" i="1" s="1"/>
  <c r="CR1653" i="1"/>
  <c r="CP1653" i="1"/>
  <c r="CN1653" i="1"/>
  <c r="CJ1653" i="1"/>
  <c r="CH1653" i="1"/>
  <c r="CF1653" i="1"/>
  <c r="BL1653" i="1"/>
  <c r="BD1653" i="1"/>
  <c r="AZ1653" i="1"/>
  <c r="AX1653" i="1"/>
  <c r="Z1662" i="1" l="1"/>
  <c r="Z1661" i="1"/>
  <c r="CU1436" i="1"/>
  <c r="X1436" i="1" s="1"/>
  <c r="Z1436" i="1"/>
  <c r="Z1655" i="1"/>
  <c r="CU1661" i="1"/>
  <c r="X1661" i="1" s="1"/>
  <c r="CU1662" i="1"/>
  <c r="X1662" i="1" s="1"/>
  <c r="Z1622" i="1"/>
  <c r="Z1653" i="1"/>
  <c r="CU1653" i="1"/>
  <c r="X1653" i="1" s="1"/>
  <c r="CU1655" i="1"/>
  <c r="X1655" i="1" s="1"/>
  <c r="CU1622" i="1"/>
  <c r="X1622" i="1" s="1"/>
  <c r="I1527" i="1"/>
  <c r="I1540" i="1"/>
  <c r="I1525" i="1"/>
  <c r="AD1622" i="1" l="1"/>
  <c r="AD1662" i="1"/>
  <c r="AD1436" i="1"/>
  <c r="AD1661" i="1"/>
  <c r="AD1653" i="1"/>
  <c r="AD1655" i="1"/>
  <c r="DC1659" i="1" l="1"/>
  <c r="DA1659" i="1"/>
  <c r="CY1659" i="1"/>
  <c r="Y1659" i="1" s="1"/>
  <c r="CW1659" i="1"/>
  <c r="AA1659" i="1" s="1"/>
  <c r="CR1659" i="1"/>
  <c r="CP1659" i="1"/>
  <c r="CN1659" i="1"/>
  <c r="CJ1659" i="1"/>
  <c r="CH1659" i="1"/>
  <c r="CF1659" i="1"/>
  <c r="BL1659" i="1"/>
  <c r="BD1659" i="1"/>
  <c r="AZ1659" i="1"/>
  <c r="AX1659" i="1"/>
  <c r="DC1329" i="1"/>
  <c r="DA1329" i="1"/>
  <c r="CY1329" i="1"/>
  <c r="Y1329" i="1" s="1"/>
  <c r="CW1329" i="1"/>
  <c r="AA1329" i="1" s="1"/>
  <c r="CR1329" i="1"/>
  <c r="CP1329" i="1"/>
  <c r="CN1329" i="1"/>
  <c r="CJ1329" i="1"/>
  <c r="CH1329" i="1"/>
  <c r="CF1329" i="1"/>
  <c r="BL1329" i="1"/>
  <c r="BD1329" i="1"/>
  <c r="AZ1329" i="1"/>
  <c r="AX1329" i="1"/>
  <c r="DC1654" i="1"/>
  <c r="DA1654" i="1"/>
  <c r="CY1654" i="1"/>
  <c r="Y1654" i="1" s="1"/>
  <c r="CW1654" i="1"/>
  <c r="AA1654" i="1" s="1"/>
  <c r="CR1654" i="1"/>
  <c r="CP1654" i="1"/>
  <c r="CN1654" i="1"/>
  <c r="CJ1654" i="1"/>
  <c r="CH1654" i="1"/>
  <c r="CF1654" i="1"/>
  <c r="BL1654" i="1"/>
  <c r="BD1654" i="1"/>
  <c r="AZ1654" i="1"/>
  <c r="AX1654" i="1"/>
  <c r="DA1527" i="1"/>
  <c r="Y1527" i="1"/>
  <c r="CW1527" i="1"/>
  <c r="AA1527" i="1" s="1"/>
  <c r="CR1527" i="1"/>
  <c r="CP1527" i="1"/>
  <c r="CN1527" i="1"/>
  <c r="CJ1527" i="1"/>
  <c r="CH1527" i="1"/>
  <c r="CF1527" i="1"/>
  <c r="BL1527" i="1"/>
  <c r="BD1527" i="1"/>
  <c r="AZ1527" i="1"/>
  <c r="AX1527" i="1"/>
  <c r="DA1526" i="1"/>
  <c r="Y1526" i="1"/>
  <c r="CW1526" i="1"/>
  <c r="AA1526" i="1" s="1"/>
  <c r="CR1526" i="1"/>
  <c r="CP1526" i="1"/>
  <c r="CN1526" i="1"/>
  <c r="CJ1526" i="1"/>
  <c r="CH1526" i="1"/>
  <c r="CF1526" i="1"/>
  <c r="BL1526" i="1"/>
  <c r="BD1526" i="1"/>
  <c r="AZ1526" i="1"/>
  <c r="AX1526" i="1"/>
  <c r="DA1540" i="1"/>
  <c r="Y1540" i="1"/>
  <c r="CW1540" i="1"/>
  <c r="AA1540" i="1" s="1"/>
  <c r="CR1540" i="1"/>
  <c r="CP1540" i="1"/>
  <c r="CN1540" i="1"/>
  <c r="CJ1540" i="1"/>
  <c r="CH1540" i="1"/>
  <c r="CF1540" i="1"/>
  <c r="BL1540" i="1"/>
  <c r="BD1540" i="1"/>
  <c r="AZ1540" i="1"/>
  <c r="AX1540" i="1"/>
  <c r="DC1649" i="1"/>
  <c r="DA1649" i="1"/>
  <c r="CY1649" i="1"/>
  <c r="Y1649" i="1" s="1"/>
  <c r="CW1649" i="1"/>
  <c r="AA1649" i="1" s="1"/>
  <c r="CR1649" i="1"/>
  <c r="CP1649" i="1"/>
  <c r="CN1649" i="1"/>
  <c r="CJ1649" i="1"/>
  <c r="CH1649" i="1"/>
  <c r="CF1649" i="1"/>
  <c r="BL1649" i="1"/>
  <c r="BD1649" i="1"/>
  <c r="AZ1649" i="1"/>
  <c r="AX1649" i="1"/>
  <c r="DC1637" i="1"/>
  <c r="DA1637" i="1"/>
  <c r="CY1637" i="1"/>
  <c r="Y1637" i="1" s="1"/>
  <c r="CW1637" i="1"/>
  <c r="AA1637" i="1" s="1"/>
  <c r="CR1637" i="1"/>
  <c r="CP1637" i="1"/>
  <c r="CN1637" i="1"/>
  <c r="CJ1637" i="1"/>
  <c r="CH1637" i="1"/>
  <c r="CF1637" i="1"/>
  <c r="BL1637" i="1"/>
  <c r="BD1637" i="1"/>
  <c r="AZ1637" i="1"/>
  <c r="AX1637" i="1"/>
  <c r="DC1627" i="1"/>
  <c r="DA1627" i="1"/>
  <c r="CY1627" i="1"/>
  <c r="Y1627" i="1" s="1"/>
  <c r="CW1627" i="1"/>
  <c r="AA1627" i="1" s="1"/>
  <c r="CR1627" i="1"/>
  <c r="CP1627" i="1"/>
  <c r="CN1627" i="1"/>
  <c r="CJ1627" i="1"/>
  <c r="CH1627" i="1"/>
  <c r="CF1627" i="1"/>
  <c r="BL1627" i="1"/>
  <c r="BD1627" i="1"/>
  <c r="AZ1627" i="1"/>
  <c r="AX1627" i="1"/>
  <c r="DC1633" i="1"/>
  <c r="DA1633" i="1"/>
  <c r="CY1633" i="1"/>
  <c r="Y1633" i="1" s="1"/>
  <c r="CW1633" i="1"/>
  <c r="AA1633" i="1" s="1"/>
  <c r="CR1633" i="1"/>
  <c r="CP1633" i="1"/>
  <c r="CN1633" i="1"/>
  <c r="CJ1633" i="1"/>
  <c r="CH1633" i="1"/>
  <c r="CF1633" i="1"/>
  <c r="BL1633" i="1"/>
  <c r="BD1633" i="1"/>
  <c r="AZ1633" i="1"/>
  <c r="AX1633" i="1"/>
  <c r="DC1628" i="1"/>
  <c r="DA1628" i="1"/>
  <c r="CY1628" i="1"/>
  <c r="Y1628" i="1" s="1"/>
  <c r="CW1628" i="1"/>
  <c r="AA1628" i="1" s="1"/>
  <c r="CR1628" i="1"/>
  <c r="CP1628" i="1"/>
  <c r="CN1628" i="1"/>
  <c r="CJ1628" i="1"/>
  <c r="CH1628" i="1"/>
  <c r="CF1628" i="1"/>
  <c r="BL1628" i="1"/>
  <c r="BD1628" i="1"/>
  <c r="AZ1628" i="1"/>
  <c r="AX1628" i="1"/>
  <c r="DC1652" i="1"/>
  <c r="DA1652" i="1"/>
  <c r="CY1652" i="1"/>
  <c r="Y1652" i="1" s="1"/>
  <c r="CW1652" i="1"/>
  <c r="AA1652" i="1" s="1"/>
  <c r="CR1652" i="1"/>
  <c r="CP1652" i="1"/>
  <c r="CN1652" i="1"/>
  <c r="CJ1652" i="1"/>
  <c r="CH1652" i="1"/>
  <c r="CF1652" i="1"/>
  <c r="BL1652" i="1"/>
  <c r="BD1652" i="1"/>
  <c r="AZ1652" i="1"/>
  <c r="AX1652" i="1"/>
  <c r="DC1651" i="1"/>
  <c r="DA1651" i="1"/>
  <c r="CY1651" i="1"/>
  <c r="Y1651" i="1" s="1"/>
  <c r="CW1651" i="1"/>
  <c r="AA1651" i="1" s="1"/>
  <c r="CR1651" i="1"/>
  <c r="CP1651" i="1"/>
  <c r="CN1651" i="1"/>
  <c r="CJ1651" i="1"/>
  <c r="CH1651" i="1"/>
  <c r="CF1651" i="1"/>
  <c r="BL1651" i="1"/>
  <c r="BD1651" i="1"/>
  <c r="AZ1651" i="1"/>
  <c r="AX1651" i="1"/>
  <c r="Z1329" i="1" l="1"/>
  <c r="Z1659" i="1"/>
  <c r="Z1637" i="1"/>
  <c r="Z1540" i="1"/>
  <c r="CU1540" i="1"/>
  <c r="X1540" i="1" s="1"/>
  <c r="Z1527" i="1"/>
  <c r="Z1649" i="1"/>
  <c r="Z1633" i="1"/>
  <c r="Z1526" i="1"/>
  <c r="Z1627" i="1"/>
  <c r="Z1654" i="1"/>
  <c r="Z1652" i="1"/>
  <c r="Z1628" i="1"/>
  <c r="Z1651" i="1"/>
  <c r="CU1633" i="1"/>
  <c r="X1633" i="1" s="1"/>
  <c r="CU1649" i="1"/>
  <c r="X1649" i="1" s="1"/>
  <c r="CU1527" i="1"/>
  <c r="X1527" i="1" s="1"/>
  <c r="CU1329" i="1"/>
  <c r="X1329" i="1" s="1"/>
  <c r="CU1627" i="1"/>
  <c r="X1627" i="1" s="1"/>
  <c r="CU1654" i="1"/>
  <c r="X1654" i="1" s="1"/>
  <c r="CU1659" i="1"/>
  <c r="X1659" i="1" s="1"/>
  <c r="CU1637" i="1"/>
  <c r="X1637" i="1" s="1"/>
  <c r="CU1526" i="1"/>
  <c r="X1526" i="1" s="1"/>
  <c r="CU1651" i="1"/>
  <c r="X1651" i="1" s="1"/>
  <c r="CU1652" i="1"/>
  <c r="X1652" i="1" s="1"/>
  <c r="CU1628" i="1"/>
  <c r="X1628" i="1" s="1"/>
  <c r="DC1648" i="1"/>
  <c r="DA1648" i="1"/>
  <c r="CY1648" i="1"/>
  <c r="Y1648" i="1" s="1"/>
  <c r="CW1648" i="1"/>
  <c r="AA1648" i="1" s="1"/>
  <c r="CR1648" i="1"/>
  <c r="CP1648" i="1"/>
  <c r="CN1648" i="1"/>
  <c r="CJ1648" i="1"/>
  <c r="CH1648" i="1"/>
  <c r="CF1648" i="1"/>
  <c r="BL1648" i="1"/>
  <c r="BD1648" i="1"/>
  <c r="AZ1648" i="1"/>
  <c r="AX1648" i="1"/>
  <c r="DC1645" i="1"/>
  <c r="DA1645" i="1"/>
  <c r="CY1645" i="1"/>
  <c r="Y1645" i="1" s="1"/>
  <c r="CW1645" i="1"/>
  <c r="AA1645" i="1" s="1"/>
  <c r="CR1645" i="1"/>
  <c r="CP1645" i="1"/>
  <c r="CN1645" i="1"/>
  <c r="CJ1645" i="1"/>
  <c r="CH1645" i="1"/>
  <c r="CF1645" i="1"/>
  <c r="BL1645" i="1"/>
  <c r="BD1645" i="1"/>
  <c r="AZ1645" i="1"/>
  <c r="AX1645" i="1"/>
  <c r="DC1644" i="1"/>
  <c r="DA1644" i="1"/>
  <c r="CY1644" i="1"/>
  <c r="Y1644" i="1" s="1"/>
  <c r="CW1644" i="1"/>
  <c r="AA1644" i="1" s="1"/>
  <c r="CR1644" i="1"/>
  <c r="CP1644" i="1"/>
  <c r="CN1644" i="1"/>
  <c r="CJ1644" i="1"/>
  <c r="CH1644" i="1"/>
  <c r="CF1644" i="1"/>
  <c r="BL1644" i="1"/>
  <c r="BD1644" i="1"/>
  <c r="AZ1644" i="1"/>
  <c r="AX1644" i="1"/>
  <c r="DC1643" i="1"/>
  <c r="DA1643" i="1"/>
  <c r="CY1643" i="1"/>
  <c r="Y1643" i="1" s="1"/>
  <c r="CW1643" i="1"/>
  <c r="AA1643" i="1" s="1"/>
  <c r="CR1643" i="1"/>
  <c r="CP1643" i="1"/>
  <c r="CN1643" i="1"/>
  <c r="CJ1643" i="1"/>
  <c r="CH1643" i="1"/>
  <c r="CF1643" i="1"/>
  <c r="BL1643" i="1"/>
  <c r="BD1643" i="1"/>
  <c r="AZ1643" i="1"/>
  <c r="AX1643" i="1"/>
  <c r="DC1642" i="1"/>
  <c r="DA1642" i="1"/>
  <c r="CY1642" i="1"/>
  <c r="Y1642" i="1" s="1"/>
  <c r="CW1642" i="1"/>
  <c r="AA1642" i="1" s="1"/>
  <c r="CR1642" i="1"/>
  <c r="CP1642" i="1"/>
  <c r="CN1642" i="1"/>
  <c r="CJ1642" i="1"/>
  <c r="CH1642" i="1"/>
  <c r="CF1642" i="1"/>
  <c r="BL1642" i="1"/>
  <c r="BD1642" i="1"/>
  <c r="AZ1642" i="1"/>
  <c r="AX1642" i="1"/>
  <c r="DC1631" i="1"/>
  <c r="DA1631" i="1"/>
  <c r="CY1631" i="1"/>
  <c r="Y1631" i="1" s="1"/>
  <c r="CW1631" i="1"/>
  <c r="AA1631" i="1" s="1"/>
  <c r="CR1631" i="1"/>
  <c r="CP1631" i="1"/>
  <c r="CN1631" i="1"/>
  <c r="CJ1631" i="1"/>
  <c r="CH1631" i="1"/>
  <c r="CF1631" i="1"/>
  <c r="BL1631" i="1"/>
  <c r="BD1631" i="1"/>
  <c r="AZ1631" i="1"/>
  <c r="AX1631" i="1"/>
  <c r="DC1636" i="1"/>
  <c r="DA1636" i="1"/>
  <c r="CY1636" i="1"/>
  <c r="Y1636" i="1" s="1"/>
  <c r="CW1636" i="1"/>
  <c r="AA1636" i="1" s="1"/>
  <c r="CR1636" i="1"/>
  <c r="CP1636" i="1"/>
  <c r="CN1636" i="1"/>
  <c r="CJ1636" i="1"/>
  <c r="CH1636" i="1"/>
  <c r="CF1636" i="1"/>
  <c r="BL1636" i="1"/>
  <c r="BD1636" i="1"/>
  <c r="AZ1636" i="1"/>
  <c r="AX1636" i="1"/>
  <c r="DC1615" i="1"/>
  <c r="DA1615" i="1"/>
  <c r="CY1615" i="1"/>
  <c r="Y1615" i="1" s="1"/>
  <c r="CW1615" i="1"/>
  <c r="AA1615" i="1" s="1"/>
  <c r="CR1615" i="1"/>
  <c r="CP1615" i="1"/>
  <c r="CN1615" i="1"/>
  <c r="CJ1615" i="1"/>
  <c r="CH1615" i="1"/>
  <c r="CF1615" i="1"/>
  <c r="BL1615" i="1"/>
  <c r="BD1615" i="1"/>
  <c r="AZ1615" i="1"/>
  <c r="AX1615" i="1"/>
  <c r="DC1600" i="1"/>
  <c r="DA1600" i="1"/>
  <c r="CY1600" i="1"/>
  <c r="Y1600" i="1" s="1"/>
  <c r="CW1600" i="1"/>
  <c r="AA1600" i="1" s="1"/>
  <c r="CR1600" i="1"/>
  <c r="CP1600" i="1"/>
  <c r="CN1600" i="1"/>
  <c r="CJ1600" i="1"/>
  <c r="CH1600" i="1"/>
  <c r="CF1600" i="1"/>
  <c r="BL1600" i="1"/>
  <c r="BD1600" i="1"/>
  <c r="AZ1600" i="1"/>
  <c r="AX1600" i="1"/>
  <c r="DC1630" i="1"/>
  <c r="DA1630" i="1"/>
  <c r="CY1630" i="1"/>
  <c r="Y1630" i="1" s="1"/>
  <c r="CW1630" i="1"/>
  <c r="AA1630" i="1" s="1"/>
  <c r="CR1630" i="1"/>
  <c r="CP1630" i="1"/>
  <c r="CN1630" i="1"/>
  <c r="CJ1630" i="1"/>
  <c r="CH1630" i="1"/>
  <c r="CF1630" i="1"/>
  <c r="BL1630" i="1"/>
  <c r="BD1630" i="1"/>
  <c r="AZ1630" i="1"/>
  <c r="AX1630" i="1"/>
  <c r="DC1632" i="1"/>
  <c r="DA1632" i="1"/>
  <c r="CY1632" i="1"/>
  <c r="Y1632" i="1" s="1"/>
  <c r="CW1632" i="1"/>
  <c r="AA1632" i="1" s="1"/>
  <c r="CR1632" i="1"/>
  <c r="CP1632" i="1"/>
  <c r="CN1632" i="1"/>
  <c r="CJ1632" i="1"/>
  <c r="CH1632" i="1"/>
  <c r="CF1632" i="1"/>
  <c r="BL1632" i="1"/>
  <c r="BD1632" i="1"/>
  <c r="AZ1632" i="1"/>
  <c r="AX1632" i="1"/>
  <c r="DC1618" i="1"/>
  <c r="DA1618" i="1"/>
  <c r="CY1618" i="1"/>
  <c r="Y1618" i="1" s="1"/>
  <c r="CW1618" i="1"/>
  <c r="AA1618" i="1" s="1"/>
  <c r="CR1618" i="1"/>
  <c r="CP1618" i="1"/>
  <c r="CN1618" i="1"/>
  <c r="CJ1618" i="1"/>
  <c r="CH1618" i="1"/>
  <c r="CF1618" i="1"/>
  <c r="BL1618" i="1"/>
  <c r="BD1618" i="1"/>
  <c r="AZ1618" i="1"/>
  <c r="AX1618" i="1"/>
  <c r="DC1634" i="1"/>
  <c r="DA1634" i="1"/>
  <c r="CY1634" i="1"/>
  <c r="Y1634" i="1" s="1"/>
  <c r="CW1634" i="1"/>
  <c r="AA1634" i="1" s="1"/>
  <c r="CR1634" i="1"/>
  <c r="CP1634" i="1"/>
  <c r="CN1634" i="1"/>
  <c r="CJ1634" i="1"/>
  <c r="CH1634" i="1"/>
  <c r="CF1634" i="1"/>
  <c r="BL1634" i="1"/>
  <c r="BD1634" i="1"/>
  <c r="AZ1634" i="1"/>
  <c r="AX1634" i="1"/>
  <c r="CY1612" i="1"/>
  <c r="Y1612" i="1" s="1"/>
  <c r="CW1612" i="1"/>
  <c r="AA1612" i="1" s="1"/>
  <c r="CR1612" i="1"/>
  <c r="CP1612" i="1"/>
  <c r="CN1612" i="1"/>
  <c r="CJ1612" i="1"/>
  <c r="CH1612" i="1"/>
  <c r="CF1612" i="1"/>
  <c r="BL1612" i="1"/>
  <c r="BD1612" i="1"/>
  <c r="AZ1612" i="1"/>
  <c r="AX1612" i="1"/>
  <c r="DC1629" i="1"/>
  <c r="DA1629" i="1"/>
  <c r="CY1629" i="1"/>
  <c r="Y1629" i="1" s="1"/>
  <c r="CW1629" i="1"/>
  <c r="AA1629" i="1" s="1"/>
  <c r="CR1629" i="1"/>
  <c r="CP1629" i="1"/>
  <c r="CN1629" i="1"/>
  <c r="CJ1629" i="1"/>
  <c r="CH1629" i="1"/>
  <c r="CF1629" i="1"/>
  <c r="BL1629" i="1"/>
  <c r="BD1629" i="1"/>
  <c r="AZ1629" i="1"/>
  <c r="AX1629" i="1"/>
  <c r="DC1616" i="1"/>
  <c r="DA1616" i="1"/>
  <c r="CY1616" i="1"/>
  <c r="Y1616" i="1" s="1"/>
  <c r="CW1616" i="1"/>
  <c r="AA1616" i="1" s="1"/>
  <c r="CR1616" i="1"/>
  <c r="CP1616" i="1"/>
  <c r="CN1616" i="1"/>
  <c r="CJ1616" i="1"/>
  <c r="CH1616" i="1"/>
  <c r="CF1616" i="1"/>
  <c r="BL1616" i="1"/>
  <c r="BD1616" i="1"/>
  <c r="AZ1616" i="1"/>
  <c r="AX1616" i="1"/>
  <c r="DC1626" i="1"/>
  <c r="DA1626" i="1"/>
  <c r="CY1626" i="1"/>
  <c r="Y1626" i="1" s="1"/>
  <c r="CW1626" i="1"/>
  <c r="AA1626" i="1" s="1"/>
  <c r="CR1626" i="1"/>
  <c r="CP1626" i="1"/>
  <c r="CN1626" i="1"/>
  <c r="CJ1626" i="1"/>
  <c r="CH1626" i="1"/>
  <c r="CF1626" i="1"/>
  <c r="BL1626" i="1"/>
  <c r="BD1626" i="1"/>
  <c r="AZ1626" i="1"/>
  <c r="AX1626" i="1"/>
  <c r="AD1329" i="1" l="1"/>
  <c r="AD1527" i="1"/>
  <c r="Z1643" i="1"/>
  <c r="AD1659" i="1"/>
  <c r="AD1637" i="1"/>
  <c r="AD1540" i="1"/>
  <c r="AD1649" i="1"/>
  <c r="AD1654" i="1"/>
  <c r="AD1633" i="1"/>
  <c r="AD1652" i="1"/>
  <c r="AD1627" i="1"/>
  <c r="AD1526" i="1"/>
  <c r="AD1628" i="1"/>
  <c r="AD1651" i="1"/>
  <c r="Z1631" i="1"/>
  <c r="CU1648" i="1"/>
  <c r="X1648" i="1" s="1"/>
  <c r="Z1648" i="1"/>
  <c r="Z1645" i="1"/>
  <c r="Z1644" i="1"/>
  <c r="Z1642" i="1"/>
  <c r="CU1643" i="1"/>
  <c r="X1643" i="1" s="1"/>
  <c r="CU1631" i="1"/>
  <c r="X1631" i="1" s="1"/>
  <c r="CU1645" i="1"/>
  <c r="X1645" i="1" s="1"/>
  <c r="CU1642" i="1"/>
  <c r="X1642" i="1" s="1"/>
  <c r="CU1644" i="1"/>
  <c r="X1644" i="1" s="1"/>
  <c r="Z1612" i="1"/>
  <c r="Z1630" i="1"/>
  <c r="Z1629" i="1"/>
  <c r="Z1636" i="1"/>
  <c r="CU1615" i="1"/>
  <c r="X1615" i="1" s="1"/>
  <c r="Z1626" i="1"/>
  <c r="Z1634" i="1"/>
  <c r="CU1632" i="1"/>
  <c r="X1632" i="1" s="1"/>
  <c r="CU1629" i="1"/>
  <c r="X1629" i="1" s="1"/>
  <c r="Z1632" i="1"/>
  <c r="Z1616" i="1"/>
  <c r="Z1618" i="1"/>
  <c r="Z1600" i="1"/>
  <c r="Z1615" i="1"/>
  <c r="CU1626" i="1"/>
  <c r="X1626" i="1" s="1"/>
  <c r="CU1634" i="1"/>
  <c r="X1634" i="1" s="1"/>
  <c r="CU1616" i="1"/>
  <c r="X1616" i="1" s="1"/>
  <c r="CU1618" i="1"/>
  <c r="X1618" i="1" s="1"/>
  <c r="CU1600" i="1"/>
  <c r="X1600" i="1" s="1"/>
  <c r="CU1612" i="1"/>
  <c r="X1612" i="1" s="1"/>
  <c r="CU1630" i="1"/>
  <c r="X1630" i="1" s="1"/>
  <c r="CU1636" i="1"/>
  <c r="X1636" i="1" s="1"/>
  <c r="DC1620" i="1"/>
  <c r="DA1620" i="1"/>
  <c r="CY1620" i="1"/>
  <c r="Y1620" i="1" s="1"/>
  <c r="CW1620" i="1"/>
  <c r="AA1620" i="1" s="1"/>
  <c r="CR1620" i="1"/>
  <c r="CP1620" i="1"/>
  <c r="CN1620" i="1"/>
  <c r="CJ1620" i="1"/>
  <c r="CH1620" i="1"/>
  <c r="CF1620" i="1"/>
  <c r="BL1620" i="1"/>
  <c r="BD1620" i="1"/>
  <c r="AZ1620" i="1"/>
  <c r="AX1620" i="1"/>
  <c r="DC1621" i="1"/>
  <c r="DA1621" i="1"/>
  <c r="CY1621" i="1"/>
  <c r="Y1621" i="1" s="1"/>
  <c r="CW1621" i="1"/>
  <c r="AA1621" i="1" s="1"/>
  <c r="CR1621" i="1"/>
  <c r="CP1621" i="1"/>
  <c r="CN1621" i="1"/>
  <c r="CJ1621" i="1"/>
  <c r="CH1621" i="1"/>
  <c r="CF1621" i="1"/>
  <c r="BL1621" i="1"/>
  <c r="BD1621" i="1"/>
  <c r="AZ1621" i="1"/>
  <c r="AX1621" i="1"/>
  <c r="DC1619" i="1"/>
  <c r="DA1619" i="1"/>
  <c r="CY1619" i="1"/>
  <c r="Y1619" i="1" s="1"/>
  <c r="CW1619" i="1"/>
  <c r="AA1619" i="1" s="1"/>
  <c r="CR1619" i="1"/>
  <c r="CP1619" i="1"/>
  <c r="CN1619" i="1"/>
  <c r="CJ1619" i="1"/>
  <c r="CH1619" i="1"/>
  <c r="CF1619" i="1"/>
  <c r="BL1619" i="1"/>
  <c r="BD1619" i="1"/>
  <c r="AZ1619" i="1"/>
  <c r="AX1619" i="1"/>
  <c r="DC1617" i="1"/>
  <c r="DA1617" i="1"/>
  <c r="CY1617" i="1"/>
  <c r="Y1617" i="1" s="1"/>
  <c r="CW1617" i="1"/>
  <c r="AA1617" i="1" s="1"/>
  <c r="CR1617" i="1"/>
  <c r="CP1617" i="1"/>
  <c r="CN1617" i="1"/>
  <c r="CJ1617" i="1"/>
  <c r="CH1617" i="1"/>
  <c r="CF1617" i="1"/>
  <c r="BL1617" i="1"/>
  <c r="BD1617" i="1"/>
  <c r="AZ1617" i="1"/>
  <c r="AX1617" i="1"/>
  <c r="DC1623" i="1"/>
  <c r="DA1623" i="1"/>
  <c r="CY1623" i="1"/>
  <c r="Y1623" i="1" s="1"/>
  <c r="CW1623" i="1"/>
  <c r="AA1623" i="1" s="1"/>
  <c r="CR1623" i="1"/>
  <c r="CP1623" i="1"/>
  <c r="CN1623" i="1"/>
  <c r="CJ1623" i="1"/>
  <c r="CH1623" i="1"/>
  <c r="CF1623" i="1"/>
  <c r="BL1623" i="1"/>
  <c r="BD1623" i="1"/>
  <c r="AZ1623" i="1"/>
  <c r="AX1623" i="1"/>
  <c r="Y1624" i="1"/>
  <c r="CW1624" i="1"/>
  <c r="AA1624" i="1" s="1"/>
  <c r="CN1624" i="1"/>
  <c r="CH1624" i="1"/>
  <c r="CF1624" i="1"/>
  <c r="BL1624" i="1"/>
  <c r="BD1624" i="1"/>
  <c r="AX1624" i="1"/>
  <c r="DC1605" i="1"/>
  <c r="DA1605" i="1"/>
  <c r="CY1605" i="1"/>
  <c r="Y1605" i="1" s="1"/>
  <c r="CW1605" i="1"/>
  <c r="AA1605" i="1" s="1"/>
  <c r="CR1605" i="1"/>
  <c r="CP1605" i="1"/>
  <c r="CN1605" i="1"/>
  <c r="CJ1605" i="1"/>
  <c r="CH1605" i="1"/>
  <c r="CF1605" i="1"/>
  <c r="BL1605" i="1"/>
  <c r="BD1605" i="1"/>
  <c r="AZ1605" i="1"/>
  <c r="AX1605" i="1"/>
  <c r="DC1594" i="1"/>
  <c r="DA1594" i="1"/>
  <c r="CY1594" i="1"/>
  <c r="Y1594" i="1" s="1"/>
  <c r="CW1594" i="1"/>
  <c r="AA1594" i="1" s="1"/>
  <c r="CR1594" i="1"/>
  <c r="CP1594" i="1"/>
  <c r="CN1594" i="1"/>
  <c r="CJ1594" i="1"/>
  <c r="CH1594" i="1"/>
  <c r="CF1594" i="1"/>
  <c r="BL1594" i="1"/>
  <c r="BD1594" i="1"/>
  <c r="AZ1594" i="1"/>
  <c r="AX1594" i="1"/>
  <c r="DC1603" i="1"/>
  <c r="DA1603" i="1"/>
  <c r="CY1603" i="1"/>
  <c r="Y1603" i="1" s="1"/>
  <c r="CW1603" i="1"/>
  <c r="AA1603" i="1" s="1"/>
  <c r="CR1603" i="1"/>
  <c r="CP1603" i="1"/>
  <c r="CN1603" i="1"/>
  <c r="CJ1603" i="1"/>
  <c r="CH1603" i="1"/>
  <c r="CF1603" i="1"/>
  <c r="BL1603" i="1"/>
  <c r="BD1603" i="1"/>
  <c r="AZ1603" i="1"/>
  <c r="AX1603" i="1"/>
  <c r="DC1613" i="1"/>
  <c r="DA1613" i="1"/>
  <c r="CY1613" i="1"/>
  <c r="Y1613" i="1" s="1"/>
  <c r="CW1613" i="1"/>
  <c r="AA1613" i="1" s="1"/>
  <c r="CR1613" i="1"/>
  <c r="CP1613" i="1"/>
  <c r="CN1613" i="1"/>
  <c r="CJ1613" i="1"/>
  <c r="CH1613" i="1"/>
  <c r="CF1613" i="1"/>
  <c r="BL1613" i="1"/>
  <c r="BD1613" i="1"/>
  <c r="AZ1613" i="1"/>
  <c r="AX1613" i="1"/>
  <c r="DC1611" i="1"/>
  <c r="DA1611" i="1"/>
  <c r="CY1611" i="1"/>
  <c r="Y1611" i="1" s="1"/>
  <c r="CW1611" i="1"/>
  <c r="AA1611" i="1" s="1"/>
  <c r="CR1611" i="1"/>
  <c r="CP1611" i="1"/>
  <c r="CN1611" i="1"/>
  <c r="CJ1611" i="1"/>
  <c r="CH1611" i="1"/>
  <c r="CF1611" i="1"/>
  <c r="BL1611" i="1"/>
  <c r="BD1611" i="1"/>
  <c r="AZ1611" i="1"/>
  <c r="AX1611" i="1"/>
  <c r="DC1609" i="1"/>
  <c r="DA1609" i="1"/>
  <c r="CY1609" i="1"/>
  <c r="Y1609" i="1" s="1"/>
  <c r="CW1609" i="1"/>
  <c r="AA1609" i="1" s="1"/>
  <c r="CR1609" i="1"/>
  <c r="CP1609" i="1"/>
  <c r="CN1609" i="1"/>
  <c r="CJ1609" i="1"/>
  <c r="CH1609" i="1"/>
  <c r="CF1609" i="1"/>
  <c r="BL1609" i="1"/>
  <c r="BD1609" i="1"/>
  <c r="AZ1609" i="1"/>
  <c r="AX1609" i="1"/>
  <c r="DC1610" i="1"/>
  <c r="DA1610" i="1"/>
  <c r="CY1610" i="1"/>
  <c r="Y1610" i="1" s="1"/>
  <c r="CW1610" i="1"/>
  <c r="AA1610" i="1" s="1"/>
  <c r="CR1610" i="1"/>
  <c r="CP1610" i="1"/>
  <c r="CN1610" i="1"/>
  <c r="CJ1610" i="1"/>
  <c r="CH1610" i="1"/>
  <c r="CF1610" i="1"/>
  <c r="BL1610" i="1"/>
  <c r="BD1610" i="1"/>
  <c r="AZ1610" i="1"/>
  <c r="AX1610" i="1"/>
  <c r="DC1602" i="1"/>
  <c r="DA1602" i="1"/>
  <c r="CY1602" i="1"/>
  <c r="Y1602" i="1" s="1"/>
  <c r="CW1602" i="1"/>
  <c r="AA1602" i="1" s="1"/>
  <c r="CR1602" i="1"/>
  <c r="CP1602" i="1"/>
  <c r="CN1602" i="1"/>
  <c r="CJ1602" i="1"/>
  <c r="CH1602" i="1"/>
  <c r="CF1602" i="1"/>
  <c r="BL1602" i="1"/>
  <c r="BD1602" i="1"/>
  <c r="AZ1602" i="1"/>
  <c r="AX1602" i="1"/>
  <c r="DC1607" i="1"/>
  <c r="DA1607" i="1"/>
  <c r="CY1607" i="1"/>
  <c r="Y1607" i="1" s="1"/>
  <c r="CW1607" i="1"/>
  <c r="AA1607" i="1" s="1"/>
  <c r="CR1607" i="1"/>
  <c r="CP1607" i="1"/>
  <c r="CN1607" i="1"/>
  <c r="CJ1607" i="1"/>
  <c r="CH1607" i="1"/>
  <c r="CF1607" i="1"/>
  <c r="BL1607" i="1"/>
  <c r="BD1607" i="1"/>
  <c r="AZ1607" i="1"/>
  <c r="AX1607" i="1"/>
  <c r="DC1606" i="1"/>
  <c r="DA1606" i="1"/>
  <c r="CY1606" i="1"/>
  <c r="Y1606" i="1" s="1"/>
  <c r="CW1606" i="1"/>
  <c r="AA1606" i="1" s="1"/>
  <c r="CR1606" i="1"/>
  <c r="CP1606" i="1"/>
  <c r="CN1606" i="1"/>
  <c r="CJ1606" i="1"/>
  <c r="CH1606" i="1"/>
  <c r="CF1606" i="1"/>
  <c r="BL1606" i="1"/>
  <c r="BD1606" i="1"/>
  <c r="AZ1606" i="1"/>
  <c r="AX1606" i="1"/>
  <c r="DC1601" i="1"/>
  <c r="DA1601" i="1"/>
  <c r="CY1601" i="1"/>
  <c r="Y1601" i="1" s="1"/>
  <c r="CW1601" i="1"/>
  <c r="AA1601" i="1" s="1"/>
  <c r="CR1601" i="1"/>
  <c r="CP1601" i="1"/>
  <c r="CN1601" i="1"/>
  <c r="CJ1601" i="1"/>
  <c r="CH1601" i="1"/>
  <c r="CF1601" i="1"/>
  <c r="BL1601" i="1"/>
  <c r="BD1601" i="1"/>
  <c r="AZ1601" i="1"/>
  <c r="AX1601" i="1"/>
  <c r="DC1572" i="1"/>
  <c r="DA1572" i="1"/>
  <c r="CY1572" i="1"/>
  <c r="Y1572" i="1" s="1"/>
  <c r="CW1572" i="1"/>
  <c r="AA1572" i="1" s="1"/>
  <c r="CR1572" i="1"/>
  <c r="CP1572" i="1"/>
  <c r="CN1572" i="1"/>
  <c r="CJ1572" i="1"/>
  <c r="CH1572" i="1"/>
  <c r="CF1572" i="1"/>
  <c r="BL1572" i="1"/>
  <c r="BD1572" i="1"/>
  <c r="AZ1572" i="1"/>
  <c r="AX1572" i="1"/>
  <c r="DC1614" i="1"/>
  <c r="DA1614" i="1"/>
  <c r="CY1614" i="1"/>
  <c r="Y1614" i="1" s="1"/>
  <c r="CW1614" i="1"/>
  <c r="AA1614" i="1" s="1"/>
  <c r="CR1614" i="1"/>
  <c r="CP1614" i="1"/>
  <c r="CN1614" i="1"/>
  <c r="CJ1614" i="1"/>
  <c r="CH1614" i="1"/>
  <c r="CF1614" i="1"/>
  <c r="BL1614" i="1"/>
  <c r="BD1614" i="1"/>
  <c r="AZ1614" i="1"/>
  <c r="AX1614" i="1"/>
  <c r="DC1599" i="1"/>
  <c r="DA1599" i="1"/>
  <c r="CY1599" i="1"/>
  <c r="Y1599" i="1" s="1"/>
  <c r="CW1599" i="1"/>
  <c r="AA1599" i="1" s="1"/>
  <c r="CR1599" i="1"/>
  <c r="CP1599" i="1"/>
  <c r="CN1599" i="1"/>
  <c r="CJ1599" i="1"/>
  <c r="CH1599" i="1"/>
  <c r="CF1599" i="1"/>
  <c r="BL1599" i="1"/>
  <c r="BD1599" i="1"/>
  <c r="AZ1599" i="1"/>
  <c r="AX1599" i="1"/>
  <c r="DC1451" i="1"/>
  <c r="DA1451" i="1"/>
  <c r="CY1451" i="1"/>
  <c r="Y1451" i="1" s="1"/>
  <c r="CW1451" i="1"/>
  <c r="AA1451" i="1" s="1"/>
  <c r="CR1451" i="1"/>
  <c r="CP1451" i="1"/>
  <c r="CN1451" i="1"/>
  <c r="CJ1451" i="1"/>
  <c r="CH1451" i="1"/>
  <c r="CF1451" i="1"/>
  <c r="BL1451" i="1"/>
  <c r="BD1451" i="1"/>
  <c r="AZ1451" i="1"/>
  <c r="AX1451" i="1"/>
  <c r="DC1604" i="1"/>
  <c r="DA1604" i="1"/>
  <c r="CY1604" i="1"/>
  <c r="Y1604" i="1" s="1"/>
  <c r="CW1604" i="1"/>
  <c r="AA1604" i="1" s="1"/>
  <c r="CR1604" i="1"/>
  <c r="CP1604" i="1"/>
  <c r="CN1604" i="1"/>
  <c r="CJ1604" i="1"/>
  <c r="CH1604" i="1"/>
  <c r="CF1604" i="1"/>
  <c r="BL1604" i="1"/>
  <c r="BD1604" i="1"/>
  <c r="AZ1604" i="1"/>
  <c r="AX1604" i="1"/>
  <c r="DC1557" i="1"/>
  <c r="DA1557" i="1"/>
  <c r="CY1557" i="1"/>
  <c r="Y1557" i="1" s="1"/>
  <c r="CW1557" i="1"/>
  <c r="AA1557" i="1" s="1"/>
  <c r="CR1557" i="1"/>
  <c r="CP1557" i="1"/>
  <c r="CN1557" i="1"/>
  <c r="CJ1557" i="1"/>
  <c r="CH1557" i="1"/>
  <c r="CF1557" i="1"/>
  <c r="BL1557" i="1"/>
  <c r="BD1557" i="1"/>
  <c r="AZ1557" i="1"/>
  <c r="AX1557" i="1"/>
  <c r="DC1597" i="1"/>
  <c r="DA1597" i="1"/>
  <c r="CY1597" i="1"/>
  <c r="Y1597" i="1" s="1"/>
  <c r="CW1597" i="1"/>
  <c r="AA1597" i="1" s="1"/>
  <c r="CR1597" i="1"/>
  <c r="CP1597" i="1"/>
  <c r="CN1597" i="1"/>
  <c r="CJ1597" i="1"/>
  <c r="CH1597" i="1"/>
  <c r="CF1597" i="1"/>
  <c r="BL1597" i="1"/>
  <c r="BD1597" i="1"/>
  <c r="AZ1597" i="1"/>
  <c r="AX1597" i="1"/>
  <c r="DC1598" i="1"/>
  <c r="DA1598" i="1"/>
  <c r="CY1598" i="1"/>
  <c r="Y1598" i="1" s="1"/>
  <c r="CW1598" i="1"/>
  <c r="AA1598" i="1" s="1"/>
  <c r="CR1598" i="1"/>
  <c r="CP1598" i="1"/>
  <c r="CN1598" i="1"/>
  <c r="CJ1598" i="1"/>
  <c r="CH1598" i="1"/>
  <c r="CF1598" i="1"/>
  <c r="BL1598" i="1"/>
  <c r="BD1598" i="1"/>
  <c r="AZ1598" i="1"/>
  <c r="AX1598" i="1"/>
  <c r="AD1642" i="1" l="1"/>
  <c r="AD1643" i="1"/>
  <c r="AD1615" i="1"/>
  <c r="AD1645" i="1"/>
  <c r="AD1648" i="1"/>
  <c r="AD1631" i="1"/>
  <c r="AD1644" i="1"/>
  <c r="AD1630" i="1"/>
  <c r="AD1612" i="1"/>
  <c r="AD1636" i="1"/>
  <c r="AD1629" i="1"/>
  <c r="AD1600" i="1"/>
  <c r="AD1616" i="1"/>
  <c r="AD1634" i="1"/>
  <c r="AD1626" i="1"/>
  <c r="AD1618" i="1"/>
  <c r="AD1632" i="1"/>
  <c r="Z1621" i="1"/>
  <c r="Z1610" i="1"/>
  <c r="Z1609" i="1"/>
  <c r="Z1605" i="1"/>
  <c r="Z1623" i="1"/>
  <c r="Z1611" i="1"/>
  <c r="Z1613" i="1"/>
  <c r="Z1614" i="1"/>
  <c r="Z1606" i="1"/>
  <c r="Z1602" i="1"/>
  <c r="Z1572" i="1"/>
  <c r="Z1607" i="1"/>
  <c r="CU1623" i="1"/>
  <c r="X1623" i="1" s="1"/>
  <c r="CU1603" i="1"/>
  <c r="X1603" i="1" s="1"/>
  <c r="Z1603" i="1"/>
  <c r="Z1624" i="1"/>
  <c r="CU1619" i="1"/>
  <c r="X1619" i="1" s="1"/>
  <c r="CU1594" i="1"/>
  <c r="X1594" i="1" s="1"/>
  <c r="Z1594" i="1"/>
  <c r="Z1617" i="1"/>
  <c r="Z1601" i="1"/>
  <c r="Z1599" i="1"/>
  <c r="Z1619" i="1"/>
  <c r="CU1620" i="1"/>
  <c r="X1620" i="1" s="1"/>
  <c r="Z1620" i="1"/>
  <c r="CU1610" i="1"/>
  <c r="X1610" i="1" s="1"/>
  <c r="CU1609" i="1"/>
  <c r="X1609" i="1" s="1"/>
  <c r="CU1611" i="1"/>
  <c r="X1611" i="1" s="1"/>
  <c r="CU1613" i="1"/>
  <c r="X1613" i="1" s="1"/>
  <c r="CU1602" i="1"/>
  <c r="X1602" i="1" s="1"/>
  <c r="CU1614" i="1"/>
  <c r="X1614" i="1" s="1"/>
  <c r="CU1572" i="1"/>
  <c r="X1572" i="1" s="1"/>
  <c r="CU1601" i="1"/>
  <c r="X1601" i="1" s="1"/>
  <c r="CU1606" i="1"/>
  <c r="X1606" i="1" s="1"/>
  <c r="CU1607" i="1"/>
  <c r="X1607" i="1" s="1"/>
  <c r="CU1605" i="1"/>
  <c r="X1605" i="1" s="1"/>
  <c r="CU1624" i="1"/>
  <c r="X1624" i="1" s="1"/>
  <c r="CU1617" i="1"/>
  <c r="X1617" i="1" s="1"/>
  <c r="CU1621" i="1"/>
  <c r="X1621" i="1" s="1"/>
  <c r="Z1451" i="1"/>
  <c r="Z1604" i="1"/>
  <c r="Z1557" i="1"/>
  <c r="Z1598" i="1"/>
  <c r="Z1597" i="1"/>
  <c r="CU1557" i="1"/>
  <c r="X1557" i="1" s="1"/>
  <c r="CU1599" i="1"/>
  <c r="X1599" i="1" s="1"/>
  <c r="CU1598" i="1"/>
  <c r="X1598" i="1" s="1"/>
  <c r="CU1597" i="1"/>
  <c r="X1597" i="1" s="1"/>
  <c r="CU1604" i="1"/>
  <c r="X1604" i="1" s="1"/>
  <c r="CU1451" i="1"/>
  <c r="X1451" i="1" s="1"/>
  <c r="DC1516" i="1"/>
  <c r="DA1516" i="1"/>
  <c r="CY1516" i="1"/>
  <c r="Y1516" i="1" s="1"/>
  <c r="CW1516" i="1"/>
  <c r="AA1516" i="1" s="1"/>
  <c r="CR1516" i="1"/>
  <c r="CP1516" i="1"/>
  <c r="CN1516" i="1"/>
  <c r="CJ1516" i="1"/>
  <c r="CH1516" i="1"/>
  <c r="CF1516" i="1"/>
  <c r="BL1516" i="1"/>
  <c r="BD1516" i="1"/>
  <c r="AZ1516" i="1"/>
  <c r="AX1516" i="1"/>
  <c r="DC1542" i="1"/>
  <c r="DA1542" i="1"/>
  <c r="CY1542" i="1"/>
  <c r="Y1542" i="1" s="1"/>
  <c r="CW1542" i="1"/>
  <c r="AA1542" i="1" s="1"/>
  <c r="CR1542" i="1"/>
  <c r="CP1542" i="1"/>
  <c r="CN1542" i="1"/>
  <c r="CJ1542" i="1"/>
  <c r="CH1542" i="1"/>
  <c r="CF1542" i="1"/>
  <c r="BL1542" i="1"/>
  <c r="BD1542" i="1"/>
  <c r="AZ1542" i="1"/>
  <c r="AX1542" i="1"/>
  <c r="DC1564" i="1"/>
  <c r="DA1564" i="1"/>
  <c r="CY1564" i="1"/>
  <c r="Y1564" i="1" s="1"/>
  <c r="CW1564" i="1"/>
  <c r="AA1564" i="1" s="1"/>
  <c r="CR1564" i="1"/>
  <c r="CP1564" i="1"/>
  <c r="CN1564" i="1"/>
  <c r="CJ1564" i="1"/>
  <c r="CH1564" i="1"/>
  <c r="CF1564" i="1"/>
  <c r="BL1564" i="1"/>
  <c r="BD1564" i="1"/>
  <c r="AZ1564" i="1"/>
  <c r="AX1564" i="1"/>
  <c r="DC1596" i="1"/>
  <c r="DA1596" i="1"/>
  <c r="CY1596" i="1"/>
  <c r="Y1596" i="1" s="1"/>
  <c r="CW1596" i="1"/>
  <c r="AA1596" i="1" s="1"/>
  <c r="CR1596" i="1"/>
  <c r="CP1596" i="1"/>
  <c r="CN1596" i="1"/>
  <c r="CJ1596" i="1"/>
  <c r="CH1596" i="1"/>
  <c r="CF1596" i="1"/>
  <c r="BL1596" i="1"/>
  <c r="BD1596" i="1"/>
  <c r="AZ1596" i="1"/>
  <c r="AX1596" i="1"/>
  <c r="Y1525" i="1"/>
  <c r="CW1525" i="1"/>
  <c r="AA1525" i="1" s="1"/>
  <c r="CR1525" i="1"/>
  <c r="CP1525" i="1"/>
  <c r="CN1525" i="1"/>
  <c r="CJ1525" i="1"/>
  <c r="CH1525" i="1"/>
  <c r="CF1525" i="1"/>
  <c r="BL1525" i="1"/>
  <c r="BD1525" i="1"/>
  <c r="AZ1525" i="1"/>
  <c r="AX1525" i="1"/>
  <c r="DC1593" i="1"/>
  <c r="DA1593" i="1"/>
  <c r="CY1593" i="1"/>
  <c r="Y1593" i="1" s="1"/>
  <c r="CW1593" i="1"/>
  <c r="AA1593" i="1" s="1"/>
  <c r="CR1593" i="1"/>
  <c r="CP1593" i="1"/>
  <c r="CN1593" i="1"/>
  <c r="CJ1593" i="1"/>
  <c r="CH1593" i="1"/>
  <c r="CF1593" i="1"/>
  <c r="BL1593" i="1"/>
  <c r="BD1593" i="1"/>
  <c r="AZ1593" i="1"/>
  <c r="AX1593" i="1"/>
  <c r="AD1621" i="1" l="1"/>
  <c r="AD1619" i="1"/>
  <c r="AD1623" i="1"/>
  <c r="AD1620" i="1"/>
  <c r="AD1610" i="1"/>
  <c r="AD1609" i="1"/>
  <c r="AD1613" i="1"/>
  <c r="AD1605" i="1"/>
  <c r="AD1611" i="1"/>
  <c r="AD1606" i="1"/>
  <c r="AD1614" i="1"/>
  <c r="AD1602" i="1"/>
  <c r="AD1624" i="1"/>
  <c r="AD1451" i="1"/>
  <c r="AD1617" i="1"/>
  <c r="AD1594" i="1"/>
  <c r="AD1603" i="1"/>
  <c r="AD1599" i="1"/>
  <c r="AD1607" i="1"/>
  <c r="AD1572" i="1"/>
  <c r="AD1601" i="1"/>
  <c r="AD1598" i="1"/>
  <c r="AD1604" i="1"/>
  <c r="AD1557" i="1"/>
  <c r="AD1597" i="1"/>
  <c r="CU1564" i="1"/>
  <c r="X1564" i="1" s="1"/>
  <c r="CU1516" i="1"/>
  <c r="X1516" i="1" s="1"/>
  <c r="CU1596" i="1"/>
  <c r="X1596" i="1" s="1"/>
  <c r="Z1593" i="1"/>
  <c r="Z1525" i="1"/>
  <c r="CU1542" i="1"/>
  <c r="X1542" i="1" s="1"/>
  <c r="CU1593" i="1"/>
  <c r="X1593" i="1" s="1"/>
  <c r="CU1525" i="1"/>
  <c r="X1525" i="1" s="1"/>
  <c r="Z1596" i="1"/>
  <c r="Z1564" i="1"/>
  <c r="Z1542" i="1"/>
  <c r="Z1516" i="1"/>
  <c r="AD1525" i="1" l="1"/>
  <c r="AD1516" i="1"/>
  <c r="AD1564" i="1"/>
  <c r="AD1593" i="1"/>
  <c r="AD1596" i="1"/>
  <c r="AD1542" i="1"/>
  <c r="DC1595" i="1"/>
  <c r="DA1595" i="1"/>
  <c r="CY1595" i="1"/>
  <c r="Y1595" i="1" s="1"/>
  <c r="CW1595" i="1"/>
  <c r="AA1595" i="1" s="1"/>
  <c r="CR1595" i="1"/>
  <c r="CP1595" i="1"/>
  <c r="CN1595" i="1"/>
  <c r="CJ1595" i="1"/>
  <c r="CH1595" i="1"/>
  <c r="CF1595" i="1"/>
  <c r="BL1595" i="1"/>
  <c r="BD1595" i="1"/>
  <c r="AZ1595" i="1"/>
  <c r="AX1595" i="1"/>
  <c r="DC1504" i="1"/>
  <c r="DA1504" i="1"/>
  <c r="CY1504" i="1"/>
  <c r="Y1504" i="1" s="1"/>
  <c r="CW1504" i="1"/>
  <c r="AA1504" i="1" s="1"/>
  <c r="CR1504" i="1"/>
  <c r="CP1504" i="1"/>
  <c r="CN1504" i="1"/>
  <c r="CJ1504" i="1"/>
  <c r="CH1504" i="1"/>
  <c r="CF1504" i="1"/>
  <c r="BL1504" i="1"/>
  <c r="BD1504" i="1"/>
  <c r="AZ1504" i="1"/>
  <c r="AX1504" i="1"/>
  <c r="DC1167" i="1"/>
  <c r="DA1167" i="1"/>
  <c r="CY1167" i="1"/>
  <c r="Y1167" i="1" s="1"/>
  <c r="CW1167" i="1"/>
  <c r="AA1167" i="1" s="1"/>
  <c r="CR1167" i="1"/>
  <c r="CP1167" i="1"/>
  <c r="CN1167" i="1"/>
  <c r="CJ1167" i="1"/>
  <c r="CH1167" i="1"/>
  <c r="CF1167" i="1"/>
  <c r="BL1167" i="1"/>
  <c r="BD1167" i="1"/>
  <c r="AZ1167" i="1"/>
  <c r="AX1167" i="1"/>
  <c r="DC1414" i="1"/>
  <c r="DA1414" i="1"/>
  <c r="CY1414" i="1"/>
  <c r="Y1414" i="1" s="1"/>
  <c r="CW1414" i="1"/>
  <c r="AA1414" i="1" s="1"/>
  <c r="CR1414" i="1"/>
  <c r="CP1414" i="1"/>
  <c r="CN1414" i="1"/>
  <c r="CJ1414" i="1"/>
  <c r="CH1414" i="1"/>
  <c r="CF1414" i="1"/>
  <c r="BL1414" i="1"/>
  <c r="BD1414" i="1"/>
  <c r="AZ1414" i="1"/>
  <c r="AX1414" i="1"/>
  <c r="DC1585" i="1"/>
  <c r="DA1585" i="1"/>
  <c r="CY1585" i="1"/>
  <c r="Y1585" i="1" s="1"/>
  <c r="CW1585" i="1"/>
  <c r="AA1585" i="1" s="1"/>
  <c r="CR1585" i="1"/>
  <c r="CP1585" i="1"/>
  <c r="CN1585" i="1"/>
  <c r="CJ1585" i="1"/>
  <c r="CH1585" i="1"/>
  <c r="CF1585" i="1"/>
  <c r="BL1585" i="1"/>
  <c r="BD1585" i="1"/>
  <c r="AZ1585" i="1"/>
  <c r="AX1585" i="1"/>
  <c r="DA1592" i="1"/>
  <c r="Y1592" i="1"/>
  <c r="CW1592" i="1"/>
  <c r="AA1592" i="1" s="1"/>
  <c r="CP1592" i="1"/>
  <c r="CN1592" i="1"/>
  <c r="CH1592" i="1"/>
  <c r="CF1592" i="1"/>
  <c r="BL1592" i="1"/>
  <c r="BD1592" i="1"/>
  <c r="AX1592" i="1"/>
  <c r="DC1589" i="1"/>
  <c r="DA1589" i="1"/>
  <c r="CY1589" i="1"/>
  <c r="Y1589" i="1" s="1"/>
  <c r="CW1589" i="1"/>
  <c r="AA1589" i="1" s="1"/>
  <c r="CR1589" i="1"/>
  <c r="CP1589" i="1"/>
  <c r="CN1589" i="1"/>
  <c r="CJ1589" i="1"/>
  <c r="CH1589" i="1"/>
  <c r="CF1589" i="1"/>
  <c r="BL1589" i="1"/>
  <c r="BD1589" i="1"/>
  <c r="AZ1589" i="1"/>
  <c r="AX1589" i="1"/>
  <c r="DC1590" i="1"/>
  <c r="DA1590" i="1"/>
  <c r="CY1590" i="1"/>
  <c r="Y1590" i="1" s="1"/>
  <c r="CW1590" i="1"/>
  <c r="AA1590" i="1" s="1"/>
  <c r="CR1590" i="1"/>
  <c r="CP1590" i="1"/>
  <c r="CN1590" i="1"/>
  <c r="CJ1590" i="1"/>
  <c r="CH1590" i="1"/>
  <c r="CF1590" i="1"/>
  <c r="BL1590" i="1"/>
  <c r="BD1590" i="1"/>
  <c r="AZ1590" i="1"/>
  <c r="AX1590" i="1"/>
  <c r="DC1576" i="1"/>
  <c r="DA1576" i="1"/>
  <c r="CY1576" i="1"/>
  <c r="Y1576" i="1" s="1"/>
  <c r="CW1576" i="1"/>
  <c r="AA1576" i="1" s="1"/>
  <c r="CR1576" i="1"/>
  <c r="CP1576" i="1"/>
  <c r="CN1576" i="1"/>
  <c r="CJ1576" i="1"/>
  <c r="CH1576" i="1"/>
  <c r="CF1576" i="1"/>
  <c r="BL1576" i="1"/>
  <c r="BD1576" i="1"/>
  <c r="AZ1576" i="1"/>
  <c r="AX1576" i="1"/>
  <c r="Z1167" i="1" l="1"/>
  <c r="Z1595" i="1"/>
  <c r="CU1595" i="1"/>
  <c r="X1595" i="1" s="1"/>
  <c r="Z1504" i="1"/>
  <c r="Z1414" i="1"/>
  <c r="CU1414" i="1"/>
  <c r="X1414" i="1" s="1"/>
  <c r="CU1167" i="1"/>
  <c r="X1167" i="1" s="1"/>
  <c r="CU1504" i="1"/>
  <c r="X1504" i="1" s="1"/>
  <c r="Z1589" i="1"/>
  <c r="Z1585" i="1"/>
  <c r="CU1585" i="1"/>
  <c r="X1585" i="1" s="1"/>
  <c r="Z1576" i="1"/>
  <c r="Z1592" i="1"/>
  <c r="Z1590" i="1"/>
  <c r="CU1576" i="1"/>
  <c r="X1576" i="1" s="1"/>
  <c r="CU1590" i="1"/>
  <c r="X1590" i="1" s="1"/>
  <c r="CU1589" i="1"/>
  <c r="X1589" i="1" s="1"/>
  <c r="CU1592" i="1"/>
  <c r="X1592" i="1" s="1"/>
  <c r="DB948" i="1"/>
  <c r="DC1097" i="1"/>
  <c r="DA1097" i="1"/>
  <c r="CY1097" i="1"/>
  <c r="Y1097" i="1" s="1"/>
  <c r="CW1097" i="1"/>
  <c r="AA1097" i="1" s="1"/>
  <c r="CR1097" i="1"/>
  <c r="CP1097" i="1"/>
  <c r="CN1097" i="1"/>
  <c r="CJ1097" i="1"/>
  <c r="CH1097" i="1"/>
  <c r="CF1097" i="1"/>
  <c r="BL1097" i="1"/>
  <c r="BD1097" i="1"/>
  <c r="AZ1097" i="1"/>
  <c r="AX1097" i="1"/>
  <c r="DC1640" i="1"/>
  <c r="DA1640" i="1"/>
  <c r="CY1640" i="1"/>
  <c r="Y1640" i="1" s="1"/>
  <c r="CW1640" i="1"/>
  <c r="AA1640" i="1" s="1"/>
  <c r="CR1640" i="1"/>
  <c r="CP1640" i="1"/>
  <c r="CN1640" i="1"/>
  <c r="CJ1640" i="1"/>
  <c r="CH1640" i="1"/>
  <c r="CF1640" i="1"/>
  <c r="BL1640" i="1"/>
  <c r="BD1640" i="1"/>
  <c r="AZ1640" i="1"/>
  <c r="AX1640" i="1"/>
  <c r="DC1342" i="1"/>
  <c r="DA1342" i="1"/>
  <c r="CY1342" i="1"/>
  <c r="Y1342" i="1" s="1"/>
  <c r="CW1342" i="1"/>
  <c r="AA1342" i="1" s="1"/>
  <c r="CR1342" i="1"/>
  <c r="CP1342" i="1"/>
  <c r="CN1342" i="1"/>
  <c r="CJ1342" i="1"/>
  <c r="CH1342" i="1"/>
  <c r="CF1342" i="1"/>
  <c r="BL1342" i="1"/>
  <c r="BD1342" i="1"/>
  <c r="AZ1342" i="1"/>
  <c r="AX1342" i="1"/>
  <c r="DC1639" i="1"/>
  <c r="DA1639" i="1"/>
  <c r="CY1639" i="1"/>
  <c r="Y1639" i="1" s="1"/>
  <c r="CW1639" i="1"/>
  <c r="AA1639" i="1" s="1"/>
  <c r="CR1639" i="1"/>
  <c r="CP1639" i="1"/>
  <c r="CN1639" i="1"/>
  <c r="CJ1639" i="1"/>
  <c r="CH1639" i="1"/>
  <c r="CF1639" i="1"/>
  <c r="BL1639" i="1"/>
  <c r="BD1639" i="1"/>
  <c r="AZ1639" i="1"/>
  <c r="AX1639" i="1"/>
  <c r="DC1635" i="1"/>
  <c r="DA1635" i="1"/>
  <c r="CY1635" i="1"/>
  <c r="Y1635" i="1" s="1"/>
  <c r="CW1635" i="1"/>
  <c r="AA1635" i="1" s="1"/>
  <c r="CR1635" i="1"/>
  <c r="CP1635" i="1"/>
  <c r="CN1635" i="1"/>
  <c r="CJ1635" i="1"/>
  <c r="CH1635" i="1"/>
  <c r="CF1635" i="1"/>
  <c r="BL1635" i="1"/>
  <c r="BD1635" i="1"/>
  <c r="AZ1635" i="1"/>
  <c r="AX1635" i="1"/>
  <c r="DC1647" i="1"/>
  <c r="DA1647" i="1"/>
  <c r="CY1647" i="1"/>
  <c r="Y1647" i="1" s="1"/>
  <c r="CW1647" i="1"/>
  <c r="AA1647" i="1" s="1"/>
  <c r="CR1647" i="1"/>
  <c r="CP1647" i="1"/>
  <c r="CN1647" i="1"/>
  <c r="CJ1647" i="1"/>
  <c r="CH1647" i="1"/>
  <c r="CF1647" i="1"/>
  <c r="BL1647" i="1"/>
  <c r="BD1647" i="1"/>
  <c r="AZ1647" i="1"/>
  <c r="AX1647" i="1"/>
  <c r="DC1646" i="1"/>
  <c r="DA1646" i="1"/>
  <c r="CY1646" i="1"/>
  <c r="Y1646" i="1" s="1"/>
  <c r="CW1646" i="1"/>
  <c r="AA1646" i="1" s="1"/>
  <c r="CR1646" i="1"/>
  <c r="CP1646" i="1"/>
  <c r="CN1646" i="1"/>
  <c r="CJ1646" i="1"/>
  <c r="CH1646" i="1"/>
  <c r="CF1646" i="1"/>
  <c r="BL1646" i="1"/>
  <c r="BD1646" i="1"/>
  <c r="AZ1646" i="1"/>
  <c r="AX1646" i="1"/>
  <c r="DA948" i="1"/>
  <c r="CY948" i="1"/>
  <c r="Y948" i="1" s="1"/>
  <c r="AA948" i="1"/>
  <c r="CR948" i="1"/>
  <c r="CP948" i="1"/>
  <c r="CN948" i="1"/>
  <c r="CJ948" i="1"/>
  <c r="CH948" i="1"/>
  <c r="CF948" i="1"/>
  <c r="BL948" i="1"/>
  <c r="BD948" i="1"/>
  <c r="AZ948" i="1"/>
  <c r="AX948" i="1"/>
  <c r="DB1458" i="1"/>
  <c r="DB473" i="1"/>
  <c r="AD1167" i="1" l="1"/>
  <c r="CU1640" i="1"/>
  <c r="X1640" i="1" s="1"/>
  <c r="AD1595" i="1"/>
  <c r="AD1504" i="1"/>
  <c r="AD1414" i="1"/>
  <c r="AD1589" i="1"/>
  <c r="AD1585" i="1"/>
  <c r="AD1590" i="1"/>
  <c r="AD1592" i="1"/>
  <c r="AD1576" i="1"/>
  <c r="Z1646" i="1"/>
  <c r="Z1647" i="1"/>
  <c r="Z1635" i="1"/>
  <c r="Z1639" i="1"/>
  <c r="Z1342" i="1"/>
  <c r="CU1097" i="1"/>
  <c r="X1097" i="1" s="1"/>
  <c r="CU1646" i="1"/>
  <c r="X1646" i="1" s="1"/>
  <c r="CU1647" i="1"/>
  <c r="X1647" i="1" s="1"/>
  <c r="CU1635" i="1"/>
  <c r="X1635" i="1" s="1"/>
  <c r="CU1639" i="1"/>
  <c r="X1639" i="1" s="1"/>
  <c r="CU1342" i="1"/>
  <c r="X1342" i="1" s="1"/>
  <c r="Z1640" i="1"/>
  <c r="Z1097" i="1"/>
  <c r="CU948" i="1"/>
  <c r="X948" i="1" s="1"/>
  <c r="Z948" i="1"/>
  <c r="CY1352" i="1"/>
  <c r="Y1352" i="1" s="1"/>
  <c r="CW1352" i="1"/>
  <c r="AA1352" i="1" s="1"/>
  <c r="CR1352" i="1"/>
  <c r="CP1352" i="1"/>
  <c r="CN1352" i="1"/>
  <c r="CJ1352" i="1"/>
  <c r="CH1352" i="1"/>
  <c r="CF1352" i="1"/>
  <c r="BL1352" i="1"/>
  <c r="BD1352" i="1"/>
  <c r="AZ1352" i="1"/>
  <c r="AX1352" i="1"/>
  <c r="Y1562" i="1"/>
  <c r="AA1562" i="1"/>
  <c r="DC1587" i="1"/>
  <c r="DA1587" i="1"/>
  <c r="CY1587" i="1"/>
  <c r="Y1587" i="1" s="1"/>
  <c r="CW1587" i="1"/>
  <c r="AA1587" i="1" s="1"/>
  <c r="CR1587" i="1"/>
  <c r="CP1587" i="1"/>
  <c r="CN1587" i="1"/>
  <c r="CJ1587" i="1"/>
  <c r="CH1587" i="1"/>
  <c r="CF1587" i="1"/>
  <c r="BL1587" i="1"/>
  <c r="BD1587" i="1"/>
  <c r="AZ1587" i="1"/>
  <c r="AX1587" i="1"/>
  <c r="DC1582" i="1"/>
  <c r="DA1582" i="1"/>
  <c r="CY1582" i="1"/>
  <c r="Y1582" i="1" s="1"/>
  <c r="CW1582" i="1"/>
  <c r="AA1582" i="1" s="1"/>
  <c r="CR1582" i="1"/>
  <c r="CP1582" i="1"/>
  <c r="CN1582" i="1"/>
  <c r="CJ1582" i="1"/>
  <c r="CH1582" i="1"/>
  <c r="CF1582" i="1"/>
  <c r="BL1582" i="1"/>
  <c r="BD1582" i="1"/>
  <c r="AZ1582" i="1"/>
  <c r="AX1582" i="1"/>
  <c r="DC1573" i="1"/>
  <c r="DA1573" i="1"/>
  <c r="CY1573" i="1"/>
  <c r="Y1573" i="1" s="1"/>
  <c r="CW1573" i="1"/>
  <c r="AA1573" i="1" s="1"/>
  <c r="CR1573" i="1"/>
  <c r="CP1573" i="1"/>
  <c r="CN1573" i="1"/>
  <c r="CJ1573" i="1"/>
  <c r="CH1573" i="1"/>
  <c r="CF1573" i="1"/>
  <c r="BL1573" i="1"/>
  <c r="BD1573" i="1"/>
  <c r="AZ1573" i="1"/>
  <c r="AX1573" i="1"/>
  <c r="DC1571" i="1"/>
  <c r="DA1571" i="1"/>
  <c r="CY1571" i="1"/>
  <c r="Y1571" i="1" s="1"/>
  <c r="CW1571" i="1"/>
  <c r="AA1571" i="1" s="1"/>
  <c r="CR1571" i="1"/>
  <c r="CP1571" i="1"/>
  <c r="CN1571" i="1"/>
  <c r="CJ1571" i="1"/>
  <c r="CH1571" i="1"/>
  <c r="CF1571" i="1"/>
  <c r="BL1571" i="1"/>
  <c r="BD1571" i="1"/>
  <c r="AZ1571" i="1"/>
  <c r="AX1571" i="1"/>
  <c r="DC1584" i="1"/>
  <c r="DA1584" i="1"/>
  <c r="CY1584" i="1"/>
  <c r="Y1584" i="1" s="1"/>
  <c r="CW1584" i="1"/>
  <c r="AA1584" i="1" s="1"/>
  <c r="CR1584" i="1"/>
  <c r="CP1584" i="1"/>
  <c r="CN1584" i="1"/>
  <c r="CJ1584" i="1"/>
  <c r="CH1584" i="1"/>
  <c r="CF1584" i="1"/>
  <c r="BL1584" i="1"/>
  <c r="BD1584" i="1"/>
  <c r="AZ1584" i="1"/>
  <c r="AX1584" i="1"/>
  <c r="AD1640" i="1" l="1"/>
  <c r="AD1647" i="1"/>
  <c r="AD1342" i="1"/>
  <c r="AD1646" i="1"/>
  <c r="AD1097" i="1"/>
  <c r="AD1639" i="1"/>
  <c r="AD1635" i="1"/>
  <c r="AD948" i="1"/>
  <c r="CU1352" i="1"/>
  <c r="X1352" i="1" s="1"/>
  <c r="Z1352" i="1"/>
  <c r="Z1571" i="1"/>
  <c r="CU1582" i="1"/>
  <c r="X1582" i="1" s="1"/>
  <c r="Z1584" i="1"/>
  <c r="CU1587" i="1"/>
  <c r="X1587" i="1" s="1"/>
  <c r="CU1573" i="1"/>
  <c r="X1573" i="1" s="1"/>
  <c r="X1562" i="1"/>
  <c r="Z1573" i="1"/>
  <c r="Z1582" i="1"/>
  <c r="Z1587" i="1"/>
  <c r="Z1562" i="1"/>
  <c r="CU1584" i="1"/>
  <c r="X1584" i="1" s="1"/>
  <c r="CU1571" i="1"/>
  <c r="X1571" i="1" s="1"/>
  <c r="AD1352" i="1" l="1"/>
  <c r="AD1571" i="1"/>
  <c r="AD1587" i="1"/>
  <c r="AD1584" i="1"/>
  <c r="AD1562" i="1"/>
  <c r="AD1582" i="1"/>
  <c r="AD1573" i="1"/>
  <c r="Y1553" i="1"/>
  <c r="CW1553" i="1"/>
  <c r="AA1553" i="1" s="1"/>
  <c r="CR1553" i="1"/>
  <c r="CP1553" i="1"/>
  <c r="CN1553" i="1"/>
  <c r="CJ1553" i="1"/>
  <c r="CH1553" i="1"/>
  <c r="CF1553" i="1"/>
  <c r="BL1553" i="1"/>
  <c r="BD1553" i="1"/>
  <c r="AZ1553" i="1"/>
  <c r="AX1553" i="1"/>
  <c r="DC1578" i="1"/>
  <c r="DA1578" i="1"/>
  <c r="CY1578" i="1"/>
  <c r="Y1578" i="1" s="1"/>
  <c r="CW1578" i="1"/>
  <c r="AA1578" i="1" s="1"/>
  <c r="CR1578" i="1"/>
  <c r="CP1578" i="1"/>
  <c r="CN1578" i="1"/>
  <c r="CJ1578" i="1"/>
  <c r="CH1578" i="1"/>
  <c r="CF1578" i="1"/>
  <c r="BL1578" i="1"/>
  <c r="BD1578" i="1"/>
  <c r="AZ1578" i="1"/>
  <c r="AX1578" i="1"/>
  <c r="DC1577" i="1"/>
  <c r="DA1577" i="1"/>
  <c r="CY1577" i="1"/>
  <c r="Y1577" i="1" s="1"/>
  <c r="CW1577" i="1"/>
  <c r="AA1577" i="1" s="1"/>
  <c r="CR1577" i="1"/>
  <c r="CP1577" i="1"/>
  <c r="CN1577" i="1"/>
  <c r="CJ1577" i="1"/>
  <c r="CH1577" i="1"/>
  <c r="CF1577" i="1"/>
  <c r="BL1577" i="1"/>
  <c r="BD1577" i="1"/>
  <c r="AZ1577" i="1"/>
  <c r="AX1577" i="1"/>
  <c r="DC1580" i="1"/>
  <c r="DA1580" i="1"/>
  <c r="CY1580" i="1"/>
  <c r="Y1580" i="1" s="1"/>
  <c r="CW1580" i="1"/>
  <c r="AA1580" i="1" s="1"/>
  <c r="CR1580" i="1"/>
  <c r="CP1580" i="1"/>
  <c r="CN1580" i="1"/>
  <c r="CJ1580" i="1"/>
  <c r="CH1580" i="1"/>
  <c r="CF1580" i="1"/>
  <c r="BL1580" i="1"/>
  <c r="BD1580" i="1"/>
  <c r="AZ1580" i="1"/>
  <c r="AX1580" i="1"/>
  <c r="DC1581" i="1"/>
  <c r="DA1581" i="1"/>
  <c r="CY1581" i="1"/>
  <c r="Y1581" i="1" s="1"/>
  <c r="CW1581" i="1"/>
  <c r="AA1581" i="1" s="1"/>
  <c r="CR1581" i="1"/>
  <c r="CP1581" i="1"/>
  <c r="CN1581" i="1"/>
  <c r="CJ1581" i="1"/>
  <c r="CH1581" i="1"/>
  <c r="CF1581" i="1"/>
  <c r="BL1581" i="1"/>
  <c r="BD1581" i="1"/>
  <c r="AZ1581" i="1"/>
  <c r="AX1581" i="1"/>
  <c r="DC1561" i="1"/>
  <c r="DA1561" i="1"/>
  <c r="CY1561" i="1"/>
  <c r="Y1561" i="1" s="1"/>
  <c r="CW1561" i="1"/>
  <c r="AA1561" i="1" s="1"/>
  <c r="CR1561" i="1"/>
  <c r="CP1561" i="1"/>
  <c r="CN1561" i="1"/>
  <c r="CJ1561" i="1"/>
  <c r="CH1561" i="1"/>
  <c r="CF1561" i="1"/>
  <c r="BL1561" i="1"/>
  <c r="BD1561" i="1"/>
  <c r="AZ1561" i="1"/>
  <c r="AX1561" i="1"/>
  <c r="DC1586" i="1"/>
  <c r="DA1586" i="1"/>
  <c r="CY1586" i="1"/>
  <c r="Y1586" i="1" s="1"/>
  <c r="CW1586" i="1"/>
  <c r="AA1586" i="1" s="1"/>
  <c r="CR1586" i="1"/>
  <c r="CP1586" i="1"/>
  <c r="CN1586" i="1"/>
  <c r="CJ1586" i="1"/>
  <c r="CH1586" i="1"/>
  <c r="CF1586" i="1"/>
  <c r="BL1586" i="1"/>
  <c r="BD1586" i="1"/>
  <c r="AZ1586" i="1"/>
  <c r="AX1586" i="1"/>
  <c r="DC1569" i="1"/>
  <c r="DA1569" i="1"/>
  <c r="CY1569" i="1"/>
  <c r="Y1569" i="1" s="1"/>
  <c r="CW1569" i="1"/>
  <c r="AA1569" i="1" s="1"/>
  <c r="CR1569" i="1"/>
  <c r="CP1569" i="1"/>
  <c r="CN1569" i="1"/>
  <c r="CJ1569" i="1"/>
  <c r="CH1569" i="1"/>
  <c r="CF1569" i="1"/>
  <c r="BL1569" i="1"/>
  <c r="BD1569" i="1"/>
  <c r="AZ1569" i="1"/>
  <c r="AX1569" i="1"/>
  <c r="DC1565" i="1"/>
  <c r="DA1565" i="1"/>
  <c r="CY1565" i="1"/>
  <c r="Y1565" i="1" s="1"/>
  <c r="CW1565" i="1"/>
  <c r="AA1565" i="1" s="1"/>
  <c r="CR1565" i="1"/>
  <c r="CP1565" i="1"/>
  <c r="CN1565" i="1"/>
  <c r="CJ1565" i="1"/>
  <c r="CH1565" i="1"/>
  <c r="CF1565" i="1"/>
  <c r="BL1565" i="1"/>
  <c r="BD1565" i="1"/>
  <c r="AZ1565" i="1"/>
  <c r="AX1565" i="1"/>
  <c r="DC1563" i="1"/>
  <c r="DA1563" i="1"/>
  <c r="CY1563" i="1"/>
  <c r="Y1563" i="1" s="1"/>
  <c r="CW1563" i="1"/>
  <c r="AA1563" i="1" s="1"/>
  <c r="CR1563" i="1"/>
  <c r="CP1563" i="1"/>
  <c r="CN1563" i="1"/>
  <c r="CJ1563" i="1"/>
  <c r="CH1563" i="1"/>
  <c r="CF1563" i="1"/>
  <c r="BL1563" i="1"/>
  <c r="BD1563" i="1"/>
  <c r="AZ1563" i="1"/>
  <c r="AX1563" i="1"/>
  <c r="DC1567" i="1"/>
  <c r="DA1567" i="1"/>
  <c r="CY1567" i="1"/>
  <c r="Y1567" i="1" s="1"/>
  <c r="CW1567" i="1"/>
  <c r="AA1567" i="1" s="1"/>
  <c r="CR1567" i="1"/>
  <c r="CP1567" i="1"/>
  <c r="CN1567" i="1"/>
  <c r="CJ1567" i="1"/>
  <c r="CH1567" i="1"/>
  <c r="CF1567" i="1"/>
  <c r="BL1567" i="1"/>
  <c r="BD1567" i="1"/>
  <c r="AZ1567" i="1"/>
  <c r="AX1567" i="1"/>
  <c r="DC1568" i="1"/>
  <c r="DA1568" i="1"/>
  <c r="CY1568" i="1"/>
  <c r="Y1568" i="1" s="1"/>
  <c r="CW1568" i="1"/>
  <c r="AA1568" i="1" s="1"/>
  <c r="CR1568" i="1"/>
  <c r="CP1568" i="1"/>
  <c r="CN1568" i="1"/>
  <c r="CJ1568" i="1"/>
  <c r="CH1568" i="1"/>
  <c r="CF1568" i="1"/>
  <c r="BL1568" i="1"/>
  <c r="BD1568" i="1"/>
  <c r="AZ1568" i="1"/>
  <c r="AX1568" i="1"/>
  <c r="CU1581" i="1" l="1"/>
  <c r="X1581" i="1" s="1"/>
  <c r="CU1578" i="1"/>
  <c r="X1578" i="1" s="1"/>
  <c r="CU1553" i="1"/>
  <c r="X1553" i="1" s="1"/>
  <c r="CU1577" i="1"/>
  <c r="X1577" i="1" s="1"/>
  <c r="CU1561" i="1"/>
  <c r="X1561" i="1" s="1"/>
  <c r="CU1580" i="1"/>
  <c r="X1580" i="1" s="1"/>
  <c r="CU1586" i="1"/>
  <c r="X1586" i="1" s="1"/>
  <c r="Z1568" i="1"/>
  <c r="Z1563" i="1"/>
  <c r="Z1565" i="1"/>
  <c r="CU1569" i="1"/>
  <c r="X1569" i="1" s="1"/>
  <c r="Z1567" i="1"/>
  <c r="CU1567" i="1"/>
  <c r="X1567" i="1" s="1"/>
  <c r="Z1561" i="1"/>
  <c r="Z1581" i="1"/>
  <c r="Z1580" i="1"/>
  <c r="Z1577" i="1"/>
  <c r="Z1578" i="1"/>
  <c r="Z1553" i="1"/>
  <c r="CU1568" i="1"/>
  <c r="X1568" i="1" s="1"/>
  <c r="CU1565" i="1"/>
  <c r="X1565" i="1" s="1"/>
  <c r="Z1569" i="1"/>
  <c r="Z1586" i="1"/>
  <c r="CU1563" i="1"/>
  <c r="X1563" i="1" s="1"/>
  <c r="AX1558" i="1"/>
  <c r="AZ1558" i="1"/>
  <c r="BD1558" i="1"/>
  <c r="BL1558" i="1"/>
  <c r="CF1558" i="1"/>
  <c r="CH1558" i="1"/>
  <c r="CJ1558" i="1"/>
  <c r="CN1558" i="1"/>
  <c r="CP1558" i="1"/>
  <c r="CR1558" i="1"/>
  <c r="CW1558" i="1"/>
  <c r="AA1558" i="1" s="1"/>
  <c r="CY1558" i="1"/>
  <c r="Y1558" i="1" s="1"/>
  <c r="DA1558" i="1"/>
  <c r="DC1558" i="1"/>
  <c r="DC1583" i="1"/>
  <c r="DA1583" i="1"/>
  <c r="CY1583" i="1"/>
  <c r="Y1583" i="1" s="1"/>
  <c r="CW1583" i="1"/>
  <c r="AA1583" i="1" s="1"/>
  <c r="CR1583" i="1"/>
  <c r="CP1583" i="1"/>
  <c r="CN1583" i="1"/>
  <c r="CJ1583" i="1"/>
  <c r="CH1583" i="1"/>
  <c r="CF1583" i="1"/>
  <c r="BL1583" i="1"/>
  <c r="BD1583" i="1"/>
  <c r="AZ1583" i="1"/>
  <c r="AX1583" i="1"/>
  <c r="DC1566" i="1"/>
  <c r="DA1566" i="1"/>
  <c r="CY1566" i="1"/>
  <c r="Y1566" i="1" s="1"/>
  <c r="CW1566" i="1"/>
  <c r="AA1566" i="1" s="1"/>
  <c r="CR1566" i="1"/>
  <c r="CP1566" i="1"/>
  <c r="CN1566" i="1"/>
  <c r="CJ1566" i="1"/>
  <c r="CH1566" i="1"/>
  <c r="CF1566" i="1"/>
  <c r="BL1566" i="1"/>
  <c r="BD1566" i="1"/>
  <c r="AZ1566" i="1"/>
  <c r="AX1566" i="1"/>
  <c r="DC1575" i="1"/>
  <c r="DA1575" i="1"/>
  <c r="CY1575" i="1"/>
  <c r="Y1575" i="1" s="1"/>
  <c r="CW1575" i="1"/>
  <c r="AA1575" i="1" s="1"/>
  <c r="CR1575" i="1"/>
  <c r="CP1575" i="1"/>
  <c r="CN1575" i="1"/>
  <c r="CJ1575" i="1"/>
  <c r="CH1575" i="1"/>
  <c r="CF1575" i="1"/>
  <c r="BL1575" i="1"/>
  <c r="BD1575" i="1"/>
  <c r="AZ1575" i="1"/>
  <c r="AX1575" i="1"/>
  <c r="AD1565" i="1" l="1"/>
  <c r="AD1586" i="1"/>
  <c r="AD1553" i="1"/>
  <c r="AD1581" i="1"/>
  <c r="AD1578" i="1"/>
  <c r="AD1561" i="1"/>
  <c r="AD1577" i="1"/>
  <c r="Z1583" i="1"/>
  <c r="AD1580" i="1"/>
  <c r="AD1563" i="1"/>
  <c r="AD1567" i="1"/>
  <c r="AD1569" i="1"/>
  <c r="AD1568" i="1"/>
  <c r="CU1558" i="1"/>
  <c r="X1558" i="1" s="1"/>
  <c r="Z1558" i="1"/>
  <c r="CU1575" i="1"/>
  <c r="X1575" i="1" s="1"/>
  <c r="CU1566" i="1"/>
  <c r="X1566" i="1" s="1"/>
  <c r="CU1583" i="1"/>
  <c r="X1583" i="1" s="1"/>
  <c r="Z1575" i="1"/>
  <c r="Z1566" i="1"/>
  <c r="AD1583" i="1" l="1"/>
  <c r="AD1558" i="1"/>
  <c r="AD1566" i="1"/>
  <c r="AD1575" i="1"/>
  <c r="DC1555" i="1"/>
  <c r="DA1555" i="1"/>
  <c r="CY1555" i="1"/>
  <c r="Y1555" i="1" s="1"/>
  <c r="CW1555" i="1"/>
  <c r="AA1555" i="1" s="1"/>
  <c r="CR1555" i="1"/>
  <c r="CP1555" i="1"/>
  <c r="CN1555" i="1"/>
  <c r="CJ1555" i="1"/>
  <c r="CH1555" i="1"/>
  <c r="CF1555" i="1"/>
  <c r="BL1555" i="1"/>
  <c r="BD1555" i="1"/>
  <c r="AZ1555" i="1"/>
  <c r="AX1555" i="1"/>
  <c r="DC1541" i="1"/>
  <c r="DA1541" i="1"/>
  <c r="CY1541" i="1"/>
  <c r="Y1541" i="1" s="1"/>
  <c r="CW1541" i="1"/>
  <c r="AA1541" i="1" s="1"/>
  <c r="CR1541" i="1"/>
  <c r="CP1541" i="1"/>
  <c r="CN1541" i="1"/>
  <c r="CJ1541" i="1"/>
  <c r="CH1541" i="1"/>
  <c r="CF1541" i="1"/>
  <c r="BL1541" i="1"/>
  <c r="BD1541" i="1"/>
  <c r="AZ1541" i="1"/>
  <c r="AX1541" i="1"/>
  <c r="DC1538" i="1"/>
  <c r="DA1538" i="1"/>
  <c r="CY1538" i="1"/>
  <c r="Y1538" i="1" s="1"/>
  <c r="CW1538" i="1"/>
  <c r="AA1538" i="1" s="1"/>
  <c r="CR1538" i="1"/>
  <c r="CP1538" i="1"/>
  <c r="CN1538" i="1"/>
  <c r="CJ1538" i="1"/>
  <c r="CH1538" i="1"/>
  <c r="CF1538" i="1"/>
  <c r="BL1538" i="1"/>
  <c r="BD1538" i="1"/>
  <c r="AZ1538" i="1"/>
  <c r="AX1538" i="1"/>
  <c r="DC1537" i="1"/>
  <c r="DA1537" i="1"/>
  <c r="CY1537" i="1"/>
  <c r="Y1537" i="1" s="1"/>
  <c r="CW1537" i="1"/>
  <c r="AA1537" i="1" s="1"/>
  <c r="CR1537" i="1"/>
  <c r="CP1537" i="1"/>
  <c r="CN1537" i="1"/>
  <c r="CJ1537" i="1"/>
  <c r="CH1537" i="1"/>
  <c r="CF1537" i="1"/>
  <c r="BL1537" i="1"/>
  <c r="BD1537" i="1"/>
  <c r="AZ1537" i="1"/>
  <c r="AX1537" i="1"/>
  <c r="DC1552" i="1"/>
  <c r="DA1552" i="1"/>
  <c r="CY1552" i="1"/>
  <c r="Y1552" i="1" s="1"/>
  <c r="CW1552" i="1"/>
  <c r="AA1552" i="1" s="1"/>
  <c r="CR1552" i="1"/>
  <c r="CP1552" i="1"/>
  <c r="CN1552" i="1"/>
  <c r="CJ1552" i="1"/>
  <c r="CH1552" i="1"/>
  <c r="CF1552" i="1"/>
  <c r="BL1552" i="1"/>
  <c r="BD1552" i="1"/>
  <c r="AZ1552" i="1"/>
  <c r="AX1552" i="1"/>
  <c r="DC1545" i="1"/>
  <c r="DA1545" i="1"/>
  <c r="CY1545" i="1"/>
  <c r="Y1545" i="1" s="1"/>
  <c r="CW1545" i="1"/>
  <c r="AA1545" i="1" s="1"/>
  <c r="CR1545" i="1"/>
  <c r="CP1545" i="1"/>
  <c r="CN1545" i="1"/>
  <c r="CJ1545" i="1"/>
  <c r="CH1545" i="1"/>
  <c r="CF1545" i="1"/>
  <c r="BL1545" i="1"/>
  <c r="BD1545" i="1"/>
  <c r="AZ1545" i="1"/>
  <c r="AX1545" i="1"/>
  <c r="DC1546" i="1"/>
  <c r="DA1546" i="1"/>
  <c r="CY1546" i="1"/>
  <c r="Y1546" i="1" s="1"/>
  <c r="CW1546" i="1"/>
  <c r="AA1546" i="1" s="1"/>
  <c r="CR1546" i="1"/>
  <c r="CP1546" i="1"/>
  <c r="CN1546" i="1"/>
  <c r="CJ1546" i="1"/>
  <c r="CH1546" i="1"/>
  <c r="CF1546" i="1"/>
  <c r="BL1546" i="1"/>
  <c r="BD1546" i="1"/>
  <c r="AZ1546" i="1"/>
  <c r="AX1546" i="1"/>
  <c r="DC1551" i="1"/>
  <c r="DA1551" i="1"/>
  <c r="CY1551" i="1"/>
  <c r="Y1551" i="1" s="1"/>
  <c r="CW1551" i="1"/>
  <c r="AA1551" i="1" s="1"/>
  <c r="CR1551" i="1"/>
  <c r="CP1551" i="1"/>
  <c r="CN1551" i="1"/>
  <c r="CJ1551" i="1"/>
  <c r="CH1551" i="1"/>
  <c r="CF1551" i="1"/>
  <c r="BL1551" i="1"/>
  <c r="BD1551" i="1"/>
  <c r="AZ1551" i="1"/>
  <c r="AX1551" i="1"/>
  <c r="DC1536" i="1"/>
  <c r="DA1536" i="1"/>
  <c r="CY1536" i="1"/>
  <c r="Y1536" i="1" s="1"/>
  <c r="CW1536" i="1"/>
  <c r="AA1536" i="1" s="1"/>
  <c r="CR1536" i="1"/>
  <c r="CP1536" i="1"/>
  <c r="CN1536" i="1"/>
  <c r="CJ1536" i="1"/>
  <c r="CH1536" i="1"/>
  <c r="CF1536" i="1"/>
  <c r="BL1536" i="1"/>
  <c r="BD1536" i="1"/>
  <c r="AZ1536" i="1"/>
  <c r="AX1536" i="1"/>
  <c r="DC1543" i="1"/>
  <c r="DA1543" i="1"/>
  <c r="CY1543" i="1"/>
  <c r="Y1543" i="1" s="1"/>
  <c r="CW1543" i="1"/>
  <c r="AA1543" i="1" s="1"/>
  <c r="CR1543" i="1"/>
  <c r="CP1543" i="1"/>
  <c r="CN1543" i="1"/>
  <c r="CJ1543" i="1"/>
  <c r="CH1543" i="1"/>
  <c r="CF1543" i="1"/>
  <c r="BL1543" i="1"/>
  <c r="BD1543" i="1"/>
  <c r="AZ1543" i="1"/>
  <c r="AX1543" i="1"/>
  <c r="DC1544" i="1"/>
  <c r="DA1544" i="1"/>
  <c r="CY1544" i="1"/>
  <c r="Y1544" i="1" s="1"/>
  <c r="CW1544" i="1"/>
  <c r="AA1544" i="1" s="1"/>
  <c r="CR1544" i="1"/>
  <c r="CP1544" i="1"/>
  <c r="CN1544" i="1"/>
  <c r="CJ1544" i="1"/>
  <c r="CH1544" i="1"/>
  <c r="CF1544" i="1"/>
  <c r="BL1544" i="1"/>
  <c r="BD1544" i="1"/>
  <c r="AZ1544" i="1"/>
  <c r="AX1544" i="1"/>
  <c r="DC1512" i="1"/>
  <c r="DA1512" i="1"/>
  <c r="CY1512" i="1"/>
  <c r="Y1512" i="1" s="1"/>
  <c r="CW1512" i="1"/>
  <c r="AA1512" i="1" s="1"/>
  <c r="CR1512" i="1"/>
  <c r="CP1512" i="1"/>
  <c r="CN1512" i="1"/>
  <c r="CJ1512" i="1"/>
  <c r="CH1512" i="1"/>
  <c r="CF1512" i="1"/>
  <c r="BL1512" i="1"/>
  <c r="BD1512" i="1"/>
  <c r="AZ1512" i="1"/>
  <c r="AX1512" i="1"/>
  <c r="DC1531" i="1"/>
  <c r="DA1531" i="1"/>
  <c r="CY1531" i="1"/>
  <c r="Y1531" i="1" s="1"/>
  <c r="CW1531" i="1"/>
  <c r="AA1531" i="1" s="1"/>
  <c r="CR1531" i="1"/>
  <c r="CP1531" i="1"/>
  <c r="CN1531" i="1"/>
  <c r="CJ1531" i="1"/>
  <c r="CH1531" i="1"/>
  <c r="CF1531" i="1"/>
  <c r="BL1531" i="1"/>
  <c r="BD1531" i="1"/>
  <c r="AZ1531" i="1"/>
  <c r="AX1531" i="1"/>
  <c r="DC1492" i="1"/>
  <c r="DA1492" i="1"/>
  <c r="CY1492" i="1"/>
  <c r="Y1492" i="1" s="1"/>
  <c r="CW1492" i="1"/>
  <c r="AA1492" i="1" s="1"/>
  <c r="CR1492" i="1"/>
  <c r="CP1492" i="1"/>
  <c r="CN1492" i="1"/>
  <c r="CJ1492" i="1"/>
  <c r="CH1492" i="1"/>
  <c r="CF1492" i="1"/>
  <c r="BL1492" i="1"/>
  <c r="BD1492" i="1"/>
  <c r="AZ1492" i="1"/>
  <c r="AX1492" i="1"/>
  <c r="DC1556" i="1"/>
  <c r="DA1556" i="1"/>
  <c r="CY1556" i="1"/>
  <c r="Y1556" i="1" s="1"/>
  <c r="CW1556" i="1"/>
  <c r="AA1556" i="1" s="1"/>
  <c r="CR1556" i="1"/>
  <c r="CP1556" i="1"/>
  <c r="CN1556" i="1"/>
  <c r="CJ1556" i="1"/>
  <c r="CH1556" i="1"/>
  <c r="CF1556" i="1"/>
  <c r="BL1556" i="1"/>
  <c r="BD1556" i="1"/>
  <c r="AZ1556" i="1"/>
  <c r="AX1556" i="1"/>
  <c r="DC1514" i="1"/>
  <c r="DA1514" i="1"/>
  <c r="CY1514" i="1"/>
  <c r="Y1514" i="1" s="1"/>
  <c r="CW1514" i="1"/>
  <c r="AA1514" i="1" s="1"/>
  <c r="CR1514" i="1"/>
  <c r="CP1514" i="1"/>
  <c r="CN1514" i="1"/>
  <c r="CJ1514" i="1"/>
  <c r="CH1514" i="1"/>
  <c r="CF1514" i="1"/>
  <c r="BL1514" i="1"/>
  <c r="BD1514" i="1"/>
  <c r="AZ1514" i="1"/>
  <c r="AX1514" i="1"/>
  <c r="DC1550" i="1"/>
  <c r="DA1550" i="1"/>
  <c r="CY1550" i="1"/>
  <c r="Y1550" i="1" s="1"/>
  <c r="CW1550" i="1"/>
  <c r="AA1550" i="1" s="1"/>
  <c r="CR1550" i="1"/>
  <c r="CP1550" i="1"/>
  <c r="CN1550" i="1"/>
  <c r="CJ1550" i="1"/>
  <c r="CH1550" i="1"/>
  <c r="CF1550" i="1"/>
  <c r="BL1550" i="1"/>
  <c r="BD1550" i="1"/>
  <c r="AZ1550" i="1"/>
  <c r="AX1550" i="1"/>
  <c r="DC1554" i="1"/>
  <c r="DA1554" i="1"/>
  <c r="CY1554" i="1"/>
  <c r="Y1554" i="1" s="1"/>
  <c r="CW1554" i="1"/>
  <c r="AA1554" i="1" s="1"/>
  <c r="CR1554" i="1"/>
  <c r="CP1554" i="1"/>
  <c r="CN1554" i="1"/>
  <c r="CJ1554" i="1"/>
  <c r="CH1554" i="1"/>
  <c r="CF1554" i="1"/>
  <c r="BL1554" i="1"/>
  <c r="BD1554" i="1"/>
  <c r="AZ1554" i="1"/>
  <c r="AX1554" i="1"/>
  <c r="DC1539" i="1"/>
  <c r="DA1539" i="1"/>
  <c r="CY1539" i="1"/>
  <c r="Y1539" i="1" s="1"/>
  <c r="CW1539" i="1"/>
  <c r="AA1539" i="1" s="1"/>
  <c r="CR1539" i="1"/>
  <c r="CP1539" i="1"/>
  <c r="CN1539" i="1"/>
  <c r="CJ1539" i="1"/>
  <c r="CH1539" i="1"/>
  <c r="CF1539" i="1"/>
  <c r="BL1539" i="1"/>
  <c r="BD1539" i="1"/>
  <c r="AZ1539" i="1"/>
  <c r="AX1539" i="1"/>
  <c r="DC1549" i="1"/>
  <c r="DA1549" i="1"/>
  <c r="CY1549" i="1"/>
  <c r="Y1549" i="1" s="1"/>
  <c r="CW1549" i="1"/>
  <c r="AA1549" i="1" s="1"/>
  <c r="CR1549" i="1"/>
  <c r="CP1549" i="1"/>
  <c r="CN1549" i="1"/>
  <c r="CJ1549" i="1"/>
  <c r="CH1549" i="1"/>
  <c r="CF1549" i="1"/>
  <c r="BL1549" i="1"/>
  <c r="BD1549" i="1"/>
  <c r="AZ1549" i="1"/>
  <c r="AX1549" i="1"/>
  <c r="DC1547" i="1"/>
  <c r="DA1547" i="1"/>
  <c r="CY1547" i="1"/>
  <c r="Y1547" i="1" s="1"/>
  <c r="CW1547" i="1"/>
  <c r="AA1547" i="1" s="1"/>
  <c r="CR1547" i="1"/>
  <c r="CP1547" i="1"/>
  <c r="CN1547" i="1"/>
  <c r="CJ1547" i="1"/>
  <c r="CH1547" i="1"/>
  <c r="CF1547" i="1"/>
  <c r="BL1547" i="1"/>
  <c r="BD1547" i="1"/>
  <c r="AZ1547" i="1"/>
  <c r="AX1547" i="1"/>
  <c r="DC1491" i="1"/>
  <c r="DA1491" i="1"/>
  <c r="CY1491" i="1"/>
  <c r="Y1491" i="1" s="1"/>
  <c r="CW1491" i="1"/>
  <c r="AA1491" i="1" s="1"/>
  <c r="CR1491" i="1"/>
  <c r="CP1491" i="1"/>
  <c r="CN1491" i="1"/>
  <c r="CJ1491" i="1"/>
  <c r="CH1491" i="1"/>
  <c r="CF1491" i="1"/>
  <c r="BL1491" i="1"/>
  <c r="BD1491" i="1"/>
  <c r="AZ1491" i="1"/>
  <c r="AX1491" i="1"/>
  <c r="DC1548" i="1"/>
  <c r="DA1548" i="1"/>
  <c r="CY1548" i="1"/>
  <c r="Y1548" i="1" s="1"/>
  <c r="CW1548" i="1"/>
  <c r="AA1548" i="1" s="1"/>
  <c r="CR1548" i="1"/>
  <c r="CP1548" i="1"/>
  <c r="CN1548" i="1"/>
  <c r="CJ1548" i="1"/>
  <c r="CH1548" i="1"/>
  <c r="CF1548" i="1"/>
  <c r="BL1548" i="1"/>
  <c r="BD1548" i="1"/>
  <c r="AZ1548" i="1"/>
  <c r="AX1548" i="1"/>
  <c r="DC1534" i="1"/>
  <c r="DA1534" i="1"/>
  <c r="CY1534" i="1"/>
  <c r="Y1534" i="1" s="1"/>
  <c r="CW1534" i="1"/>
  <c r="AA1534" i="1" s="1"/>
  <c r="CR1534" i="1"/>
  <c r="CP1534" i="1"/>
  <c r="CN1534" i="1"/>
  <c r="CJ1534" i="1"/>
  <c r="CH1534" i="1"/>
  <c r="CF1534" i="1"/>
  <c r="BL1534" i="1"/>
  <c r="BD1534" i="1"/>
  <c r="AZ1534" i="1"/>
  <c r="AX1534" i="1"/>
  <c r="DC1519" i="1"/>
  <c r="DA1519" i="1"/>
  <c r="CY1519" i="1"/>
  <c r="Y1519" i="1" s="1"/>
  <c r="CW1519" i="1"/>
  <c r="AA1519" i="1" s="1"/>
  <c r="CR1519" i="1"/>
  <c r="CP1519" i="1"/>
  <c r="CN1519" i="1"/>
  <c r="CJ1519" i="1"/>
  <c r="CH1519" i="1"/>
  <c r="CF1519" i="1"/>
  <c r="BL1519" i="1"/>
  <c r="BD1519" i="1"/>
  <c r="AZ1519" i="1"/>
  <c r="AX1519" i="1"/>
  <c r="DC1520" i="1"/>
  <c r="DA1520" i="1"/>
  <c r="CY1520" i="1"/>
  <c r="Y1520" i="1" s="1"/>
  <c r="CW1520" i="1"/>
  <c r="AA1520" i="1" s="1"/>
  <c r="CR1520" i="1"/>
  <c r="CP1520" i="1"/>
  <c r="CN1520" i="1"/>
  <c r="CJ1520" i="1"/>
  <c r="CH1520" i="1"/>
  <c r="CF1520" i="1"/>
  <c r="BL1520" i="1"/>
  <c r="BD1520" i="1"/>
  <c r="AZ1520" i="1"/>
  <c r="AX1520" i="1"/>
  <c r="DC1532" i="1"/>
  <c r="DA1532" i="1"/>
  <c r="CY1532" i="1"/>
  <c r="Y1532" i="1" s="1"/>
  <c r="CW1532" i="1"/>
  <c r="AA1532" i="1" s="1"/>
  <c r="CR1532" i="1"/>
  <c r="CP1532" i="1"/>
  <c r="CN1532" i="1"/>
  <c r="CJ1532" i="1"/>
  <c r="CH1532" i="1"/>
  <c r="CF1532" i="1"/>
  <c r="BL1532" i="1"/>
  <c r="BD1532" i="1"/>
  <c r="AZ1532" i="1"/>
  <c r="AX1532" i="1"/>
  <c r="DA1517" i="1"/>
  <c r="CY1517" i="1"/>
  <c r="Y1517" i="1" s="1"/>
  <c r="CW1517" i="1"/>
  <c r="AA1517" i="1" s="1"/>
  <c r="CR1517" i="1"/>
  <c r="CP1517" i="1"/>
  <c r="CN1517" i="1"/>
  <c r="CJ1517" i="1"/>
  <c r="CH1517" i="1"/>
  <c r="CF1517" i="1"/>
  <c r="BL1517" i="1"/>
  <c r="BD1517" i="1"/>
  <c r="AZ1517" i="1"/>
  <c r="AX1517" i="1"/>
  <c r="DC1529" i="1"/>
  <c r="DA1529" i="1"/>
  <c r="CY1529" i="1"/>
  <c r="Y1529" i="1" s="1"/>
  <c r="CW1529" i="1"/>
  <c r="AA1529" i="1" s="1"/>
  <c r="CR1529" i="1"/>
  <c r="CP1529" i="1"/>
  <c r="CN1529" i="1"/>
  <c r="CJ1529" i="1"/>
  <c r="CH1529" i="1"/>
  <c r="CF1529" i="1"/>
  <c r="BL1529" i="1"/>
  <c r="BD1529" i="1"/>
  <c r="AZ1529" i="1"/>
  <c r="AX1529" i="1"/>
  <c r="DC1528" i="1"/>
  <c r="DA1528" i="1"/>
  <c r="CY1528" i="1"/>
  <c r="Y1528" i="1" s="1"/>
  <c r="CW1528" i="1"/>
  <c r="AA1528" i="1" s="1"/>
  <c r="CR1528" i="1"/>
  <c r="CP1528" i="1"/>
  <c r="CN1528" i="1"/>
  <c r="CJ1528" i="1"/>
  <c r="CH1528" i="1"/>
  <c r="CF1528" i="1"/>
  <c r="BL1528" i="1"/>
  <c r="BD1528" i="1"/>
  <c r="AZ1528" i="1"/>
  <c r="AX1528" i="1"/>
  <c r="DC1511" i="1"/>
  <c r="DA1511" i="1"/>
  <c r="CY1511" i="1"/>
  <c r="Y1511" i="1" s="1"/>
  <c r="CW1511" i="1"/>
  <c r="AA1511" i="1" s="1"/>
  <c r="CR1511" i="1"/>
  <c r="CP1511" i="1"/>
  <c r="CN1511" i="1"/>
  <c r="CJ1511" i="1"/>
  <c r="CH1511" i="1"/>
  <c r="CF1511" i="1"/>
  <c r="BL1511" i="1"/>
  <c r="BD1511" i="1"/>
  <c r="AZ1511" i="1"/>
  <c r="AX1511" i="1"/>
  <c r="DC1524" i="1"/>
  <c r="DA1524" i="1"/>
  <c r="CY1524" i="1"/>
  <c r="Y1524" i="1" s="1"/>
  <c r="CW1524" i="1"/>
  <c r="AA1524" i="1" s="1"/>
  <c r="CR1524" i="1"/>
  <c r="CP1524" i="1"/>
  <c r="CN1524" i="1"/>
  <c r="CJ1524" i="1"/>
  <c r="CH1524" i="1"/>
  <c r="CF1524" i="1"/>
  <c r="BL1524" i="1"/>
  <c r="BD1524" i="1"/>
  <c r="AZ1524" i="1"/>
  <c r="AX1524" i="1"/>
  <c r="DC1484" i="1"/>
  <c r="DA1484" i="1"/>
  <c r="CY1484" i="1"/>
  <c r="Y1484" i="1" s="1"/>
  <c r="CW1484" i="1"/>
  <c r="AA1484" i="1" s="1"/>
  <c r="CR1484" i="1"/>
  <c r="CP1484" i="1"/>
  <c r="CN1484" i="1"/>
  <c r="CJ1484" i="1"/>
  <c r="CH1484" i="1"/>
  <c r="CF1484" i="1"/>
  <c r="BL1484" i="1"/>
  <c r="BD1484" i="1"/>
  <c r="AZ1484" i="1"/>
  <c r="AX1484" i="1"/>
  <c r="DC1515" i="1"/>
  <c r="DA1515" i="1"/>
  <c r="CY1515" i="1"/>
  <c r="Y1515" i="1" s="1"/>
  <c r="CW1515" i="1"/>
  <c r="AA1515" i="1" s="1"/>
  <c r="CR1515" i="1"/>
  <c r="CP1515" i="1"/>
  <c r="CN1515" i="1"/>
  <c r="CJ1515" i="1"/>
  <c r="CH1515" i="1"/>
  <c r="CF1515" i="1"/>
  <c r="BL1515" i="1"/>
  <c r="BD1515" i="1"/>
  <c r="AZ1515" i="1"/>
  <c r="AX1515" i="1"/>
  <c r="DC1533" i="1"/>
  <c r="DA1533" i="1"/>
  <c r="CY1533" i="1"/>
  <c r="Y1533" i="1" s="1"/>
  <c r="CW1533" i="1"/>
  <c r="AA1533" i="1" s="1"/>
  <c r="CR1533" i="1"/>
  <c r="CP1533" i="1"/>
  <c r="CN1533" i="1"/>
  <c r="CJ1533" i="1"/>
  <c r="CH1533" i="1"/>
  <c r="CF1533" i="1"/>
  <c r="BL1533" i="1"/>
  <c r="BD1533" i="1"/>
  <c r="AZ1533" i="1"/>
  <c r="AX1533" i="1"/>
  <c r="DC1535" i="1"/>
  <c r="DA1535" i="1"/>
  <c r="CY1535" i="1"/>
  <c r="Y1535" i="1" s="1"/>
  <c r="CW1535" i="1"/>
  <c r="AA1535" i="1" s="1"/>
  <c r="CR1535" i="1"/>
  <c r="CP1535" i="1"/>
  <c r="CN1535" i="1"/>
  <c r="CJ1535" i="1"/>
  <c r="CH1535" i="1"/>
  <c r="CF1535" i="1"/>
  <c r="BL1535" i="1"/>
  <c r="BD1535" i="1"/>
  <c r="AZ1535" i="1"/>
  <c r="AX1535" i="1"/>
  <c r="DC1530" i="1"/>
  <c r="DA1530" i="1"/>
  <c r="CY1530" i="1"/>
  <c r="Y1530" i="1" s="1"/>
  <c r="CW1530" i="1"/>
  <c r="AA1530" i="1" s="1"/>
  <c r="CR1530" i="1"/>
  <c r="CP1530" i="1"/>
  <c r="CN1530" i="1"/>
  <c r="CJ1530" i="1"/>
  <c r="CH1530" i="1"/>
  <c r="CF1530" i="1"/>
  <c r="BL1530" i="1"/>
  <c r="BD1530" i="1"/>
  <c r="AZ1530" i="1"/>
  <c r="AX1530" i="1"/>
  <c r="Z1550" i="1" l="1"/>
  <c r="Z1541" i="1"/>
  <c r="Z1537" i="1"/>
  <c r="Z1555" i="1"/>
  <c r="Z1491" i="1"/>
  <c r="Z1547" i="1"/>
  <c r="Z1538" i="1"/>
  <c r="Z1552" i="1"/>
  <c r="CU1537" i="1"/>
  <c r="X1537" i="1" s="1"/>
  <c r="Z1536" i="1"/>
  <c r="Z1543" i="1"/>
  <c r="Z1531" i="1"/>
  <c r="Z1492" i="1"/>
  <c r="Z1544" i="1"/>
  <c r="CU1541" i="1"/>
  <c r="X1541" i="1" s="1"/>
  <c r="Z1546" i="1"/>
  <c r="CU1552" i="1"/>
  <c r="X1552" i="1" s="1"/>
  <c r="CU1555" i="1"/>
  <c r="X1555" i="1" s="1"/>
  <c r="Z1512" i="1"/>
  <c r="Z1551" i="1"/>
  <c r="CU1538" i="1"/>
  <c r="X1538" i="1" s="1"/>
  <c r="Z1545" i="1"/>
  <c r="CU1492" i="1"/>
  <c r="X1492" i="1" s="1"/>
  <c r="CU1512" i="1"/>
  <c r="X1512" i="1" s="1"/>
  <c r="CU1536" i="1"/>
  <c r="X1536" i="1" s="1"/>
  <c r="CU1546" i="1"/>
  <c r="X1546" i="1" s="1"/>
  <c r="CU1545" i="1"/>
  <c r="X1545" i="1" s="1"/>
  <c r="CU1531" i="1"/>
  <c r="X1531" i="1" s="1"/>
  <c r="CU1544" i="1"/>
  <c r="X1544" i="1" s="1"/>
  <c r="CU1551" i="1"/>
  <c r="X1551" i="1" s="1"/>
  <c r="CU1543" i="1"/>
  <c r="X1543" i="1" s="1"/>
  <c r="Z1548" i="1"/>
  <c r="Z1556" i="1"/>
  <c r="Z1532" i="1"/>
  <c r="Z1519" i="1"/>
  <c r="Z1520" i="1"/>
  <c r="CU1556" i="1"/>
  <c r="X1556" i="1" s="1"/>
  <c r="Z1517" i="1"/>
  <c r="Z1534" i="1"/>
  <c r="Z1549" i="1"/>
  <c r="CU1539" i="1"/>
  <c r="X1539" i="1" s="1"/>
  <c r="CU1520" i="1"/>
  <c r="X1520" i="1" s="1"/>
  <c r="Z1554" i="1"/>
  <c r="Z1514" i="1"/>
  <c r="Z1539" i="1"/>
  <c r="CU1491" i="1"/>
  <c r="X1491" i="1" s="1"/>
  <c r="Z1535" i="1"/>
  <c r="CU1534" i="1"/>
  <c r="X1534" i="1" s="1"/>
  <c r="CU1547" i="1"/>
  <c r="X1547" i="1" s="1"/>
  <c r="CU1550" i="1"/>
  <c r="X1550" i="1" s="1"/>
  <c r="CU1532" i="1"/>
  <c r="X1532" i="1" s="1"/>
  <c r="CU1548" i="1"/>
  <c r="X1548" i="1" s="1"/>
  <c r="CU1549" i="1"/>
  <c r="X1549" i="1" s="1"/>
  <c r="Z1528" i="1"/>
  <c r="CU1517" i="1"/>
  <c r="X1517" i="1" s="1"/>
  <c r="CU1519" i="1"/>
  <c r="X1519" i="1" s="1"/>
  <c r="CU1554" i="1"/>
  <c r="X1554" i="1" s="1"/>
  <c r="CU1514" i="1"/>
  <c r="X1514" i="1" s="1"/>
  <c r="CU1529" i="1"/>
  <c r="X1529" i="1" s="1"/>
  <c r="Z1484" i="1"/>
  <c r="Z1511" i="1"/>
  <c r="Z1529" i="1"/>
  <c r="Z1515" i="1"/>
  <c r="Z1530" i="1"/>
  <c r="Z1533" i="1"/>
  <c r="Z1524" i="1"/>
  <c r="CU1524" i="1"/>
  <c r="X1524" i="1" s="1"/>
  <c r="CU1535" i="1"/>
  <c r="X1535" i="1" s="1"/>
  <c r="CU1515" i="1"/>
  <c r="X1515" i="1" s="1"/>
  <c r="CU1511" i="1"/>
  <c r="X1511" i="1" s="1"/>
  <c r="CU1530" i="1"/>
  <c r="X1530" i="1" s="1"/>
  <c r="CU1533" i="1"/>
  <c r="X1533" i="1" s="1"/>
  <c r="CU1484" i="1"/>
  <c r="X1484" i="1" s="1"/>
  <c r="CU1528" i="1"/>
  <c r="X1528" i="1" s="1"/>
  <c r="I1487" i="1"/>
  <c r="AD1550" i="1" l="1"/>
  <c r="AD1491" i="1"/>
  <c r="AD1541" i="1"/>
  <c r="AD1555" i="1"/>
  <c r="AD1545" i="1"/>
  <c r="AD1547" i="1"/>
  <c r="AD1538" i="1"/>
  <c r="AD1537" i="1"/>
  <c r="AD1548" i="1"/>
  <c r="AD1552" i="1"/>
  <c r="AD1551" i="1"/>
  <c r="AD1544" i="1"/>
  <c r="AD1536" i="1"/>
  <c r="AD1512" i="1"/>
  <c r="AD1546" i="1"/>
  <c r="AD1543" i="1"/>
  <c r="AD1492" i="1"/>
  <c r="AD1531" i="1"/>
  <c r="AD1556" i="1"/>
  <c r="AD1520" i="1"/>
  <c r="AD1534" i="1"/>
  <c r="AD1517" i="1"/>
  <c r="AD1532" i="1"/>
  <c r="AD1519" i="1"/>
  <c r="AD1539" i="1"/>
  <c r="AD1554" i="1"/>
  <c r="AD1549" i="1"/>
  <c r="AD1514" i="1"/>
  <c r="AD1535" i="1"/>
  <c r="AD1530" i="1"/>
  <c r="AD1528" i="1"/>
  <c r="AD1529" i="1"/>
  <c r="AD1484" i="1"/>
  <c r="AD1511" i="1"/>
  <c r="AD1533" i="1"/>
  <c r="AD1515" i="1"/>
  <c r="AD1524" i="1"/>
  <c r="DC1359" i="1"/>
  <c r="DA1359" i="1"/>
  <c r="CY1359" i="1"/>
  <c r="Y1359" i="1" s="1"/>
  <c r="CW1359" i="1"/>
  <c r="AA1359" i="1" s="1"/>
  <c r="CR1359" i="1"/>
  <c r="CP1359" i="1"/>
  <c r="CN1359" i="1"/>
  <c r="CJ1359" i="1"/>
  <c r="CH1359" i="1"/>
  <c r="CF1359" i="1"/>
  <c r="BL1359" i="1"/>
  <c r="BD1359" i="1"/>
  <c r="AZ1359" i="1"/>
  <c r="AX1359" i="1"/>
  <c r="DC1353" i="1"/>
  <c r="DA1353" i="1"/>
  <c r="CY1353" i="1"/>
  <c r="Y1353" i="1" s="1"/>
  <c r="CW1353" i="1"/>
  <c r="AA1353" i="1" s="1"/>
  <c r="CR1353" i="1"/>
  <c r="CP1353" i="1"/>
  <c r="CN1353" i="1"/>
  <c r="CJ1353" i="1"/>
  <c r="CH1353" i="1"/>
  <c r="CF1353" i="1"/>
  <c r="BL1353" i="1"/>
  <c r="BD1353" i="1"/>
  <c r="AZ1353" i="1"/>
  <c r="AX1353" i="1"/>
  <c r="DC1500" i="1"/>
  <c r="DA1500" i="1"/>
  <c r="Y1500" i="1"/>
  <c r="CW1500" i="1"/>
  <c r="AA1500" i="1" s="1"/>
  <c r="CR1500" i="1"/>
  <c r="CP1500" i="1"/>
  <c r="CN1500" i="1"/>
  <c r="CJ1500" i="1"/>
  <c r="CH1500" i="1"/>
  <c r="CF1500" i="1"/>
  <c r="BL1500" i="1"/>
  <c r="BD1500" i="1"/>
  <c r="AZ1500" i="1"/>
  <c r="AX1500" i="1"/>
  <c r="DC1559" i="1"/>
  <c r="DA1559" i="1"/>
  <c r="CY1559" i="1"/>
  <c r="Y1559" i="1" s="1"/>
  <c r="CW1559" i="1"/>
  <c r="AA1559" i="1" s="1"/>
  <c r="CR1559" i="1"/>
  <c r="CP1559" i="1"/>
  <c r="CN1559" i="1"/>
  <c r="CJ1559" i="1"/>
  <c r="CH1559" i="1"/>
  <c r="CF1559" i="1"/>
  <c r="BL1559" i="1"/>
  <c r="BD1559" i="1"/>
  <c r="AZ1559" i="1"/>
  <c r="AX1559" i="1"/>
  <c r="DC1560" i="1"/>
  <c r="DA1560" i="1"/>
  <c r="CY1560" i="1"/>
  <c r="Y1560" i="1" s="1"/>
  <c r="CW1560" i="1"/>
  <c r="AA1560" i="1" s="1"/>
  <c r="CR1560" i="1"/>
  <c r="CP1560" i="1"/>
  <c r="CN1560" i="1"/>
  <c r="CJ1560" i="1"/>
  <c r="CH1560" i="1"/>
  <c r="CF1560" i="1"/>
  <c r="BL1560" i="1"/>
  <c r="BD1560" i="1"/>
  <c r="AZ1560" i="1"/>
  <c r="AX1560" i="1"/>
  <c r="DA1506" i="1"/>
  <c r="Y1506" i="1"/>
  <c r="CW1506" i="1"/>
  <c r="AA1506" i="1" s="1"/>
  <c r="CN1506" i="1"/>
  <c r="CF1506" i="1"/>
  <c r="BL1506" i="1"/>
  <c r="BD1506" i="1"/>
  <c r="AX1506" i="1"/>
  <c r="DC1510" i="1"/>
  <c r="DA1510" i="1"/>
  <c r="CY1510" i="1"/>
  <c r="Y1510" i="1" s="1"/>
  <c r="CW1510" i="1"/>
  <c r="AA1510" i="1" s="1"/>
  <c r="CR1510" i="1"/>
  <c r="CP1510" i="1"/>
  <c r="CN1510" i="1"/>
  <c r="CJ1510" i="1"/>
  <c r="CH1510" i="1"/>
  <c r="CF1510" i="1"/>
  <c r="BL1510" i="1"/>
  <c r="BD1510" i="1"/>
  <c r="AZ1510" i="1"/>
  <c r="AX1510" i="1"/>
  <c r="DC1490" i="1"/>
  <c r="DA1490" i="1"/>
  <c r="CY1490" i="1"/>
  <c r="Y1490" i="1" s="1"/>
  <c r="CW1490" i="1"/>
  <c r="AA1490" i="1" s="1"/>
  <c r="CR1490" i="1"/>
  <c r="CP1490" i="1"/>
  <c r="CN1490" i="1"/>
  <c r="CJ1490" i="1"/>
  <c r="CH1490" i="1"/>
  <c r="CF1490" i="1"/>
  <c r="BL1490" i="1"/>
  <c r="BD1490" i="1"/>
  <c r="AZ1490" i="1"/>
  <c r="AX1490" i="1"/>
  <c r="DC1449" i="1"/>
  <c r="DA1449" i="1"/>
  <c r="CY1449" i="1"/>
  <c r="Y1449" i="1" s="1"/>
  <c r="CW1449" i="1"/>
  <c r="AA1449" i="1" s="1"/>
  <c r="CR1449" i="1"/>
  <c r="CP1449" i="1"/>
  <c r="CN1449" i="1"/>
  <c r="CJ1449" i="1"/>
  <c r="CH1449" i="1"/>
  <c r="CF1449" i="1"/>
  <c r="BL1449" i="1"/>
  <c r="BD1449" i="1"/>
  <c r="AZ1449" i="1"/>
  <c r="AX1449" i="1"/>
  <c r="DC1450" i="1"/>
  <c r="DA1450" i="1"/>
  <c r="CY1450" i="1"/>
  <c r="Y1450" i="1" s="1"/>
  <c r="CW1450" i="1"/>
  <c r="AA1450" i="1" s="1"/>
  <c r="CR1450" i="1"/>
  <c r="CP1450" i="1"/>
  <c r="CN1450" i="1"/>
  <c r="CJ1450" i="1"/>
  <c r="CH1450" i="1"/>
  <c r="CF1450" i="1"/>
  <c r="BL1450" i="1"/>
  <c r="BD1450" i="1"/>
  <c r="AZ1450" i="1"/>
  <c r="AX1450" i="1"/>
  <c r="DC1479" i="1"/>
  <c r="DA1479" i="1"/>
  <c r="CY1479" i="1"/>
  <c r="Y1479" i="1" s="1"/>
  <c r="CW1479" i="1"/>
  <c r="AA1479" i="1" s="1"/>
  <c r="CR1479" i="1"/>
  <c r="CP1479" i="1"/>
  <c r="CN1479" i="1"/>
  <c r="CJ1479" i="1"/>
  <c r="CH1479" i="1"/>
  <c r="CF1479" i="1"/>
  <c r="BL1479" i="1"/>
  <c r="BD1479" i="1"/>
  <c r="AZ1479" i="1"/>
  <c r="AX1479" i="1"/>
  <c r="DC1499" i="1"/>
  <c r="DA1499" i="1"/>
  <c r="CY1499" i="1"/>
  <c r="Y1499" i="1" s="1"/>
  <c r="CW1499" i="1"/>
  <c r="AA1499" i="1" s="1"/>
  <c r="CR1499" i="1"/>
  <c r="CP1499" i="1"/>
  <c r="CN1499" i="1"/>
  <c r="CJ1499" i="1"/>
  <c r="CH1499" i="1"/>
  <c r="CF1499" i="1"/>
  <c r="BL1499" i="1"/>
  <c r="BD1499" i="1"/>
  <c r="AZ1499" i="1"/>
  <c r="AX1499" i="1"/>
  <c r="DC1498" i="1"/>
  <c r="DA1498" i="1"/>
  <c r="CY1498" i="1"/>
  <c r="Y1498" i="1" s="1"/>
  <c r="CW1498" i="1"/>
  <c r="AA1498" i="1" s="1"/>
  <c r="CR1498" i="1"/>
  <c r="CP1498" i="1"/>
  <c r="CN1498" i="1"/>
  <c r="CJ1498" i="1"/>
  <c r="CH1498" i="1"/>
  <c r="CF1498" i="1"/>
  <c r="BL1498" i="1"/>
  <c r="BD1498" i="1"/>
  <c r="AZ1498" i="1"/>
  <c r="AX1498" i="1"/>
  <c r="Z1500" i="1" l="1"/>
  <c r="Z1353" i="1"/>
  <c r="CU1559" i="1"/>
  <c r="X1559" i="1" s="1"/>
  <c r="Z1359" i="1"/>
  <c r="Z1559" i="1"/>
  <c r="Z1560" i="1"/>
  <c r="Z1506" i="1"/>
  <c r="CU1500" i="1"/>
  <c r="X1500" i="1" s="1"/>
  <c r="CU1353" i="1"/>
  <c r="X1353" i="1" s="1"/>
  <c r="CU1560" i="1"/>
  <c r="X1560" i="1" s="1"/>
  <c r="AD1560" i="1" s="1"/>
  <c r="CU1359" i="1"/>
  <c r="X1359" i="1" s="1"/>
  <c r="Z1499" i="1"/>
  <c r="Z1449" i="1"/>
  <c r="Z1510" i="1"/>
  <c r="Z1490" i="1"/>
  <c r="CU1450" i="1"/>
  <c r="X1450" i="1" s="1"/>
  <c r="Z1450" i="1"/>
  <c r="CU1498" i="1"/>
  <c r="X1498" i="1" s="1"/>
  <c r="Z1498" i="1"/>
  <c r="Z1479" i="1"/>
  <c r="CU1449" i="1"/>
  <c r="X1449" i="1" s="1"/>
  <c r="CU1506" i="1"/>
  <c r="X1506" i="1" s="1"/>
  <c r="CU1499" i="1"/>
  <c r="X1499" i="1" s="1"/>
  <c r="CU1490" i="1"/>
  <c r="X1490" i="1" s="1"/>
  <c r="CU1479" i="1"/>
  <c r="X1479" i="1" s="1"/>
  <c r="CU1510" i="1"/>
  <c r="X1510" i="1" s="1"/>
  <c r="AD1559" i="1" l="1"/>
  <c r="AD1359" i="1"/>
  <c r="AD1500" i="1"/>
  <c r="AD1353" i="1"/>
  <c r="AD1506" i="1"/>
  <c r="AD1490" i="1"/>
  <c r="AD1498" i="1"/>
  <c r="AD1499" i="1"/>
  <c r="AD1450" i="1"/>
  <c r="AD1510" i="1"/>
  <c r="AD1449" i="1"/>
  <c r="AD1479" i="1"/>
  <c r="DC1503" i="1"/>
  <c r="DA1503" i="1"/>
  <c r="CY1503" i="1"/>
  <c r="Y1503" i="1" s="1"/>
  <c r="CW1503" i="1"/>
  <c r="AA1503" i="1" s="1"/>
  <c r="CR1503" i="1"/>
  <c r="CP1503" i="1"/>
  <c r="CN1503" i="1"/>
  <c r="CJ1503" i="1"/>
  <c r="CH1503" i="1"/>
  <c r="CF1503" i="1"/>
  <c r="BL1503" i="1"/>
  <c r="BD1503" i="1"/>
  <c r="AZ1503" i="1"/>
  <c r="AX1503" i="1"/>
  <c r="DC1507" i="1"/>
  <c r="DA1507" i="1"/>
  <c r="CY1507" i="1"/>
  <c r="Y1507" i="1" s="1"/>
  <c r="CW1507" i="1"/>
  <c r="AA1507" i="1" s="1"/>
  <c r="CR1507" i="1"/>
  <c r="CP1507" i="1"/>
  <c r="CN1507" i="1"/>
  <c r="CJ1507" i="1"/>
  <c r="CH1507" i="1"/>
  <c r="CF1507" i="1"/>
  <c r="BL1507" i="1"/>
  <c r="BD1507" i="1"/>
  <c r="AZ1507" i="1"/>
  <c r="AX1507" i="1"/>
  <c r="DC1475" i="1"/>
  <c r="DA1475" i="1"/>
  <c r="CY1475" i="1"/>
  <c r="Y1475" i="1" s="1"/>
  <c r="CW1475" i="1"/>
  <c r="AA1475" i="1" s="1"/>
  <c r="CR1475" i="1"/>
  <c r="CP1475" i="1"/>
  <c r="CN1475" i="1"/>
  <c r="CJ1475" i="1"/>
  <c r="CH1475" i="1"/>
  <c r="CF1475" i="1"/>
  <c r="BL1475" i="1"/>
  <c r="BD1475" i="1"/>
  <c r="AZ1475" i="1"/>
  <c r="AX1475" i="1"/>
  <c r="DC1505" i="1"/>
  <c r="DA1505" i="1"/>
  <c r="CY1505" i="1"/>
  <c r="Y1505" i="1" s="1"/>
  <c r="CW1505" i="1"/>
  <c r="AA1505" i="1" s="1"/>
  <c r="CR1505" i="1"/>
  <c r="CP1505" i="1"/>
  <c r="CN1505" i="1"/>
  <c r="CJ1505" i="1"/>
  <c r="CH1505" i="1"/>
  <c r="CF1505" i="1"/>
  <c r="BL1505" i="1"/>
  <c r="BD1505" i="1"/>
  <c r="AZ1505" i="1"/>
  <c r="AX1505" i="1"/>
  <c r="DC1489" i="1"/>
  <c r="DA1489" i="1"/>
  <c r="CY1489" i="1"/>
  <c r="Y1489" i="1" s="1"/>
  <c r="CW1489" i="1"/>
  <c r="AA1489" i="1" s="1"/>
  <c r="CR1489" i="1"/>
  <c r="CP1489" i="1"/>
  <c r="CN1489" i="1"/>
  <c r="CJ1489" i="1"/>
  <c r="CH1489" i="1"/>
  <c r="CF1489" i="1"/>
  <c r="BL1489" i="1"/>
  <c r="BD1489" i="1"/>
  <c r="AZ1489" i="1"/>
  <c r="AX1489" i="1"/>
  <c r="DC1474" i="1"/>
  <c r="DA1474" i="1"/>
  <c r="CY1474" i="1"/>
  <c r="Y1474" i="1" s="1"/>
  <c r="CW1474" i="1"/>
  <c r="AA1474" i="1" s="1"/>
  <c r="CR1474" i="1"/>
  <c r="CP1474" i="1"/>
  <c r="CN1474" i="1"/>
  <c r="CJ1474" i="1"/>
  <c r="CH1474" i="1"/>
  <c r="CF1474" i="1"/>
  <c r="BL1474" i="1"/>
  <c r="BD1474" i="1"/>
  <c r="AZ1474" i="1"/>
  <c r="AX1474" i="1"/>
  <c r="DC1483" i="1"/>
  <c r="DA1483" i="1"/>
  <c r="CY1483" i="1"/>
  <c r="Y1483" i="1" s="1"/>
  <c r="CW1483" i="1"/>
  <c r="AA1483" i="1" s="1"/>
  <c r="CR1483" i="1"/>
  <c r="CP1483" i="1"/>
  <c r="CN1483" i="1"/>
  <c r="CJ1483" i="1"/>
  <c r="CH1483" i="1"/>
  <c r="CF1483" i="1"/>
  <c r="BL1483" i="1"/>
  <c r="BD1483" i="1"/>
  <c r="AZ1483" i="1"/>
  <c r="AX1483" i="1"/>
  <c r="Y1487" i="1"/>
  <c r="AA1487" i="1"/>
  <c r="CR1487" i="1"/>
  <c r="CP1487" i="1"/>
  <c r="CN1487" i="1"/>
  <c r="CJ1487" i="1"/>
  <c r="CH1487" i="1"/>
  <c r="CF1487" i="1"/>
  <c r="BL1487" i="1"/>
  <c r="BD1487" i="1"/>
  <c r="AZ1487" i="1"/>
  <c r="AX1487" i="1"/>
  <c r="DC1502" i="1"/>
  <c r="DA1502" i="1"/>
  <c r="CY1502" i="1"/>
  <c r="Y1502" i="1" s="1"/>
  <c r="CW1502" i="1"/>
  <c r="AA1502" i="1" s="1"/>
  <c r="CR1502" i="1"/>
  <c r="CP1502" i="1"/>
  <c r="CN1502" i="1"/>
  <c r="CJ1502" i="1"/>
  <c r="CH1502" i="1"/>
  <c r="CF1502" i="1"/>
  <c r="BL1502" i="1"/>
  <c r="BD1502" i="1"/>
  <c r="AZ1502" i="1"/>
  <c r="AX1502" i="1"/>
  <c r="DC1501" i="1"/>
  <c r="DA1501" i="1"/>
  <c r="CY1501" i="1"/>
  <c r="Y1501" i="1" s="1"/>
  <c r="CW1501" i="1"/>
  <c r="AA1501" i="1" s="1"/>
  <c r="CR1501" i="1"/>
  <c r="CP1501" i="1"/>
  <c r="CN1501" i="1"/>
  <c r="CJ1501" i="1"/>
  <c r="CH1501" i="1"/>
  <c r="CF1501" i="1"/>
  <c r="BL1501" i="1"/>
  <c r="BD1501" i="1"/>
  <c r="AZ1501" i="1"/>
  <c r="AX1501" i="1"/>
  <c r="DC1521" i="1"/>
  <c r="DA1521" i="1"/>
  <c r="CY1521" i="1"/>
  <c r="Y1521" i="1" s="1"/>
  <c r="CW1521" i="1"/>
  <c r="AA1521" i="1" s="1"/>
  <c r="CR1521" i="1"/>
  <c r="CP1521" i="1"/>
  <c r="CN1521" i="1"/>
  <c r="CJ1521" i="1"/>
  <c r="CH1521" i="1"/>
  <c r="CF1521" i="1"/>
  <c r="BL1521" i="1"/>
  <c r="BD1521" i="1"/>
  <c r="AZ1521" i="1"/>
  <c r="AX1521" i="1"/>
  <c r="DC1509" i="1"/>
  <c r="DA1509" i="1"/>
  <c r="CY1509" i="1"/>
  <c r="Y1509" i="1" s="1"/>
  <c r="CW1509" i="1"/>
  <c r="AA1509" i="1" s="1"/>
  <c r="CR1509" i="1"/>
  <c r="CP1509" i="1"/>
  <c r="CN1509" i="1"/>
  <c r="CJ1509" i="1"/>
  <c r="CH1509" i="1"/>
  <c r="CF1509" i="1"/>
  <c r="BL1509" i="1"/>
  <c r="BD1509" i="1"/>
  <c r="AZ1509" i="1"/>
  <c r="AX1509" i="1"/>
  <c r="DC1497" i="1"/>
  <c r="DA1497" i="1"/>
  <c r="CY1497" i="1"/>
  <c r="Y1497" i="1" s="1"/>
  <c r="CW1497" i="1"/>
  <c r="AA1497" i="1" s="1"/>
  <c r="CR1497" i="1"/>
  <c r="CP1497" i="1"/>
  <c r="CN1497" i="1"/>
  <c r="CJ1497" i="1"/>
  <c r="CH1497" i="1"/>
  <c r="CF1497" i="1"/>
  <c r="BL1497" i="1"/>
  <c r="BD1497" i="1"/>
  <c r="AZ1497" i="1"/>
  <c r="AX1497" i="1"/>
  <c r="DC1496" i="1"/>
  <c r="DA1496" i="1"/>
  <c r="CY1496" i="1"/>
  <c r="Y1496" i="1" s="1"/>
  <c r="CW1496" i="1"/>
  <c r="AA1496" i="1" s="1"/>
  <c r="CR1496" i="1"/>
  <c r="CP1496" i="1"/>
  <c r="CN1496" i="1"/>
  <c r="CJ1496" i="1"/>
  <c r="CH1496" i="1"/>
  <c r="CF1496" i="1"/>
  <c r="BL1496" i="1"/>
  <c r="BD1496" i="1"/>
  <c r="AZ1496" i="1"/>
  <c r="AX1496" i="1"/>
  <c r="DC1495" i="1"/>
  <c r="DA1495" i="1"/>
  <c r="CY1495" i="1"/>
  <c r="Y1495" i="1" s="1"/>
  <c r="CW1495" i="1"/>
  <c r="AA1495" i="1" s="1"/>
  <c r="CR1495" i="1"/>
  <c r="CP1495" i="1"/>
  <c r="CN1495" i="1"/>
  <c r="CJ1495" i="1"/>
  <c r="CH1495" i="1"/>
  <c r="CF1495" i="1"/>
  <c r="BL1495" i="1"/>
  <c r="BD1495" i="1"/>
  <c r="AZ1495" i="1"/>
  <c r="AX1495" i="1"/>
  <c r="DC1494" i="1"/>
  <c r="DA1494" i="1"/>
  <c r="CY1494" i="1"/>
  <c r="Y1494" i="1" s="1"/>
  <c r="CW1494" i="1"/>
  <c r="AA1494" i="1" s="1"/>
  <c r="CR1494" i="1"/>
  <c r="CP1494" i="1"/>
  <c r="CN1494" i="1"/>
  <c r="CJ1494" i="1"/>
  <c r="CH1494" i="1"/>
  <c r="CF1494" i="1"/>
  <c r="BL1494" i="1"/>
  <c r="BD1494" i="1"/>
  <c r="AZ1494" i="1"/>
  <c r="AX1494" i="1"/>
  <c r="DC1485" i="1"/>
  <c r="DA1485" i="1"/>
  <c r="CY1485" i="1"/>
  <c r="Y1485" i="1" s="1"/>
  <c r="CW1485" i="1"/>
  <c r="AA1485" i="1" s="1"/>
  <c r="CR1485" i="1"/>
  <c r="CP1485" i="1"/>
  <c r="CN1485" i="1"/>
  <c r="CJ1485" i="1"/>
  <c r="CH1485" i="1"/>
  <c r="CF1485" i="1"/>
  <c r="BL1485" i="1"/>
  <c r="BD1485" i="1"/>
  <c r="AZ1485" i="1"/>
  <c r="AX1485" i="1"/>
  <c r="DC1482" i="1"/>
  <c r="DA1482" i="1"/>
  <c r="CY1482" i="1"/>
  <c r="Y1482" i="1" s="1"/>
  <c r="CW1482" i="1"/>
  <c r="AA1482" i="1" s="1"/>
  <c r="CR1482" i="1"/>
  <c r="CP1482" i="1"/>
  <c r="CN1482" i="1"/>
  <c r="CJ1482" i="1"/>
  <c r="CH1482" i="1"/>
  <c r="CF1482" i="1"/>
  <c r="BL1482" i="1"/>
  <c r="BD1482" i="1"/>
  <c r="AZ1482" i="1"/>
  <c r="AX1482" i="1"/>
  <c r="DC1486" i="1"/>
  <c r="DA1486" i="1"/>
  <c r="CY1486" i="1"/>
  <c r="Y1486" i="1" s="1"/>
  <c r="CW1486" i="1"/>
  <c r="AA1486" i="1" s="1"/>
  <c r="CR1486" i="1"/>
  <c r="CP1486" i="1"/>
  <c r="CN1486" i="1"/>
  <c r="CJ1486" i="1"/>
  <c r="CH1486" i="1"/>
  <c r="CF1486" i="1"/>
  <c r="BL1486" i="1"/>
  <c r="BD1486" i="1"/>
  <c r="AZ1486" i="1"/>
  <c r="AX1486" i="1"/>
  <c r="DC1480" i="1"/>
  <c r="DA1480" i="1"/>
  <c r="CY1480" i="1"/>
  <c r="Y1480" i="1" s="1"/>
  <c r="CW1480" i="1"/>
  <c r="AA1480" i="1" s="1"/>
  <c r="CR1480" i="1"/>
  <c r="CP1480" i="1"/>
  <c r="CN1480" i="1"/>
  <c r="CJ1480" i="1"/>
  <c r="CH1480" i="1"/>
  <c r="CF1480" i="1"/>
  <c r="BL1480" i="1"/>
  <c r="BD1480" i="1"/>
  <c r="AZ1480" i="1"/>
  <c r="AX1480" i="1"/>
  <c r="DC1478" i="1"/>
  <c r="DA1478" i="1"/>
  <c r="CY1478" i="1"/>
  <c r="Y1478" i="1" s="1"/>
  <c r="CW1478" i="1"/>
  <c r="AA1478" i="1" s="1"/>
  <c r="CR1478" i="1"/>
  <c r="CP1478" i="1"/>
  <c r="CN1478" i="1"/>
  <c r="CJ1478" i="1"/>
  <c r="CH1478" i="1"/>
  <c r="CF1478" i="1"/>
  <c r="BL1478" i="1"/>
  <c r="BD1478" i="1"/>
  <c r="AZ1478" i="1"/>
  <c r="AX1478" i="1"/>
  <c r="DC1160" i="1"/>
  <c r="DA1160" i="1"/>
  <c r="CY1160" i="1"/>
  <c r="Y1160" i="1" s="1"/>
  <c r="CW1160" i="1"/>
  <c r="AA1160" i="1" s="1"/>
  <c r="CR1160" i="1"/>
  <c r="CP1160" i="1"/>
  <c r="CN1160" i="1"/>
  <c r="CJ1160" i="1"/>
  <c r="CH1160" i="1"/>
  <c r="CF1160" i="1"/>
  <c r="BL1160" i="1"/>
  <c r="BD1160" i="1"/>
  <c r="AZ1160" i="1"/>
  <c r="AX1160" i="1"/>
  <c r="Z1501" i="1" l="1"/>
  <c r="Z1507" i="1"/>
  <c r="Z1503" i="1"/>
  <c r="CU1496" i="1"/>
  <c r="X1496" i="1" s="1"/>
  <c r="CU1507" i="1"/>
  <c r="X1507" i="1" s="1"/>
  <c r="CU1497" i="1"/>
  <c r="X1497" i="1" s="1"/>
  <c r="CU1495" i="1"/>
  <c r="X1495" i="1" s="1"/>
  <c r="CU1521" i="1"/>
  <c r="X1521" i="1" s="1"/>
  <c r="CU1503" i="1"/>
  <c r="X1503" i="1" s="1"/>
  <c r="CU1494" i="1"/>
  <c r="X1494" i="1" s="1"/>
  <c r="CU1509" i="1"/>
  <c r="X1509" i="1" s="1"/>
  <c r="Z1475" i="1"/>
  <c r="Z1502" i="1"/>
  <c r="Z1483" i="1"/>
  <c r="Z1474" i="1"/>
  <c r="Z1505" i="1"/>
  <c r="Z1487" i="1"/>
  <c r="Z1489" i="1"/>
  <c r="CU1501" i="1"/>
  <c r="X1501" i="1" s="1"/>
  <c r="CU1483" i="1"/>
  <c r="X1483" i="1" s="1"/>
  <c r="CU1474" i="1"/>
  <c r="X1474" i="1" s="1"/>
  <c r="CU1487" i="1"/>
  <c r="X1487" i="1" s="1"/>
  <c r="CU1489" i="1"/>
  <c r="X1489" i="1" s="1"/>
  <c r="CU1475" i="1"/>
  <c r="X1475" i="1" s="1"/>
  <c r="CU1502" i="1"/>
  <c r="X1502" i="1" s="1"/>
  <c r="CU1505" i="1"/>
  <c r="X1505" i="1" s="1"/>
  <c r="CU1486" i="1"/>
  <c r="X1486" i="1" s="1"/>
  <c r="CU1485" i="1"/>
  <c r="X1485" i="1" s="1"/>
  <c r="CU1482" i="1"/>
  <c r="X1482" i="1" s="1"/>
  <c r="Z1160" i="1"/>
  <c r="CU1480" i="1"/>
  <c r="X1480" i="1" s="1"/>
  <c r="CU1478" i="1"/>
  <c r="X1478" i="1" s="1"/>
  <c r="Z1478" i="1"/>
  <c r="Z1480" i="1"/>
  <c r="Z1486" i="1"/>
  <c r="Z1482" i="1"/>
  <c r="Z1494" i="1"/>
  <c r="Z1495" i="1"/>
  <c r="Z1496" i="1"/>
  <c r="Z1497" i="1"/>
  <c r="Z1509" i="1"/>
  <c r="Z1521" i="1"/>
  <c r="CU1160" i="1"/>
  <c r="X1160" i="1" s="1"/>
  <c r="Z1485" i="1"/>
  <c r="I1165" i="1"/>
  <c r="AD1497" i="1" l="1"/>
  <c r="AD1483" i="1"/>
  <c r="AD1505" i="1"/>
  <c r="AD1507" i="1"/>
  <c r="AD1501" i="1"/>
  <c r="AD1495" i="1"/>
  <c r="AD1521" i="1"/>
  <c r="AD1503" i="1"/>
  <c r="AD1509" i="1"/>
  <c r="AD1496" i="1"/>
  <c r="AD1494" i="1"/>
  <c r="AD1475" i="1"/>
  <c r="AD1474" i="1"/>
  <c r="AD1502" i="1"/>
  <c r="AD1487" i="1"/>
  <c r="AD1489" i="1"/>
  <c r="AD1486" i="1"/>
  <c r="AD1485" i="1"/>
  <c r="AD1482" i="1"/>
  <c r="AD1160" i="1"/>
  <c r="AD1478" i="1"/>
  <c r="AD1480" i="1"/>
  <c r="DC1518" i="1"/>
  <c r="DA1518" i="1"/>
  <c r="CY1518" i="1"/>
  <c r="Y1518" i="1" s="1"/>
  <c r="CW1518" i="1"/>
  <c r="AA1518" i="1" s="1"/>
  <c r="CR1518" i="1"/>
  <c r="CP1518" i="1"/>
  <c r="CN1518" i="1"/>
  <c r="CJ1518" i="1"/>
  <c r="CH1518" i="1"/>
  <c r="CF1518" i="1"/>
  <c r="BL1518" i="1"/>
  <c r="BD1518" i="1"/>
  <c r="AZ1518" i="1"/>
  <c r="AX1518" i="1"/>
  <c r="DC1513" i="1"/>
  <c r="DA1513" i="1"/>
  <c r="CY1513" i="1"/>
  <c r="Y1513" i="1" s="1"/>
  <c r="CW1513" i="1"/>
  <c r="AA1513" i="1" s="1"/>
  <c r="CR1513" i="1"/>
  <c r="CP1513" i="1"/>
  <c r="CN1513" i="1"/>
  <c r="CJ1513" i="1"/>
  <c r="CH1513" i="1"/>
  <c r="CF1513" i="1"/>
  <c r="BL1513" i="1"/>
  <c r="BD1513" i="1"/>
  <c r="AZ1513" i="1"/>
  <c r="AX1513" i="1"/>
  <c r="DC1523" i="1"/>
  <c r="DA1523" i="1"/>
  <c r="CY1523" i="1"/>
  <c r="Y1523" i="1" s="1"/>
  <c r="CW1523" i="1"/>
  <c r="AA1523" i="1" s="1"/>
  <c r="CR1523" i="1"/>
  <c r="CP1523" i="1"/>
  <c r="CN1523" i="1"/>
  <c r="CJ1523" i="1"/>
  <c r="CH1523" i="1"/>
  <c r="CF1523" i="1"/>
  <c r="BL1523" i="1"/>
  <c r="BD1523" i="1"/>
  <c r="AZ1523" i="1"/>
  <c r="AX1523" i="1"/>
  <c r="DC1508" i="1"/>
  <c r="DA1508" i="1"/>
  <c r="CY1508" i="1"/>
  <c r="Y1508" i="1" s="1"/>
  <c r="CW1508" i="1"/>
  <c r="AA1508" i="1" s="1"/>
  <c r="CR1508" i="1"/>
  <c r="CP1508" i="1"/>
  <c r="CN1508" i="1"/>
  <c r="CJ1508" i="1"/>
  <c r="CH1508" i="1"/>
  <c r="CF1508" i="1"/>
  <c r="BL1508" i="1"/>
  <c r="BD1508" i="1"/>
  <c r="AZ1508" i="1"/>
  <c r="AX1508" i="1"/>
  <c r="CY473" i="1"/>
  <c r="Y473" i="1" s="1"/>
  <c r="CW473" i="1"/>
  <c r="AA473" i="1" s="1"/>
  <c r="CR473" i="1"/>
  <c r="CP473" i="1"/>
  <c r="CN473" i="1"/>
  <c r="CJ473" i="1"/>
  <c r="CH473" i="1"/>
  <c r="CF473" i="1"/>
  <c r="BL473" i="1"/>
  <c r="BD473" i="1"/>
  <c r="AZ473" i="1"/>
  <c r="AX473" i="1"/>
  <c r="DC1200" i="1"/>
  <c r="DA1200" i="1"/>
  <c r="CY1200" i="1"/>
  <c r="Y1200" i="1" s="1"/>
  <c r="CW1200" i="1"/>
  <c r="AA1200" i="1" s="1"/>
  <c r="CR1200" i="1"/>
  <c r="CP1200" i="1"/>
  <c r="CN1200" i="1"/>
  <c r="CJ1200" i="1"/>
  <c r="CH1200" i="1"/>
  <c r="CF1200" i="1"/>
  <c r="BL1200" i="1"/>
  <c r="BD1200" i="1"/>
  <c r="AZ1200" i="1"/>
  <c r="AX1200" i="1"/>
  <c r="DC1476" i="1"/>
  <c r="DA1476" i="1"/>
  <c r="CY1476" i="1"/>
  <c r="Y1476" i="1" s="1"/>
  <c r="CW1476" i="1"/>
  <c r="AA1476" i="1" s="1"/>
  <c r="CR1476" i="1"/>
  <c r="CP1476" i="1"/>
  <c r="CN1476" i="1"/>
  <c r="CJ1476" i="1"/>
  <c r="CH1476" i="1"/>
  <c r="CF1476" i="1"/>
  <c r="BL1476" i="1"/>
  <c r="BD1476" i="1"/>
  <c r="AZ1476" i="1"/>
  <c r="AX1476" i="1"/>
  <c r="DA1458" i="1"/>
  <c r="CY1458" i="1"/>
  <c r="Y1458" i="1" s="1"/>
  <c r="CW1458" i="1"/>
  <c r="AA1458" i="1" s="1"/>
  <c r="CR1458" i="1"/>
  <c r="CP1458" i="1"/>
  <c r="CN1458" i="1"/>
  <c r="CJ1458" i="1"/>
  <c r="CH1458" i="1"/>
  <c r="CF1458" i="1"/>
  <c r="BL1458" i="1"/>
  <c r="BD1458" i="1"/>
  <c r="AX1458" i="1"/>
  <c r="DA1462" i="1"/>
  <c r="Y1462" i="1"/>
  <c r="CW1462" i="1"/>
  <c r="AA1462" i="1" s="1"/>
  <c r="CR1462" i="1"/>
  <c r="CP1462" i="1"/>
  <c r="CN1462" i="1"/>
  <c r="CJ1462" i="1"/>
  <c r="CH1462" i="1"/>
  <c r="CF1462" i="1"/>
  <c r="BL1462" i="1"/>
  <c r="BD1462" i="1"/>
  <c r="AZ1462" i="1"/>
  <c r="AX1462" i="1"/>
  <c r="DC1457" i="1"/>
  <c r="DA1457" i="1"/>
  <c r="CY1457" i="1"/>
  <c r="Y1457" i="1" s="1"/>
  <c r="CW1457" i="1"/>
  <c r="AA1457" i="1" s="1"/>
  <c r="CR1457" i="1"/>
  <c r="CP1457" i="1"/>
  <c r="CN1457" i="1"/>
  <c r="CJ1457" i="1"/>
  <c r="CH1457" i="1"/>
  <c r="CF1457" i="1"/>
  <c r="BL1457" i="1"/>
  <c r="BD1457" i="1"/>
  <c r="AZ1457" i="1"/>
  <c r="AX1457" i="1"/>
  <c r="DC1470" i="1"/>
  <c r="DA1470" i="1"/>
  <c r="CY1470" i="1"/>
  <c r="Y1470" i="1" s="1"/>
  <c r="CW1470" i="1"/>
  <c r="AA1470" i="1" s="1"/>
  <c r="CR1470" i="1"/>
  <c r="CP1470" i="1"/>
  <c r="CN1470" i="1"/>
  <c r="CJ1470" i="1"/>
  <c r="CH1470" i="1"/>
  <c r="CF1470" i="1"/>
  <c r="BL1470" i="1"/>
  <c r="BD1470" i="1"/>
  <c r="AZ1470" i="1"/>
  <c r="AX1470" i="1"/>
  <c r="DC1461" i="1"/>
  <c r="DA1461" i="1"/>
  <c r="CY1461" i="1"/>
  <c r="Y1461" i="1" s="1"/>
  <c r="CW1461" i="1"/>
  <c r="AA1461" i="1" s="1"/>
  <c r="CR1461" i="1"/>
  <c r="CP1461" i="1"/>
  <c r="CN1461" i="1"/>
  <c r="CJ1461" i="1"/>
  <c r="CH1461" i="1"/>
  <c r="CF1461" i="1"/>
  <c r="BL1461" i="1"/>
  <c r="BD1461" i="1"/>
  <c r="AZ1461" i="1"/>
  <c r="AX1461" i="1"/>
  <c r="Z1523" i="1" l="1"/>
  <c r="Z473" i="1"/>
  <c r="Z1200" i="1"/>
  <c r="Z1476" i="1"/>
  <c r="Z1462" i="1"/>
  <c r="CU1476" i="1"/>
  <c r="X1476" i="1" s="1"/>
  <c r="Z1518" i="1"/>
  <c r="Z1513" i="1"/>
  <c r="Z1508" i="1"/>
  <c r="CU1523" i="1"/>
  <c r="X1523" i="1" s="1"/>
  <c r="CU473" i="1"/>
  <c r="X473" i="1" s="1"/>
  <c r="CU1470" i="1"/>
  <c r="X1470" i="1" s="1"/>
  <c r="Z1470" i="1"/>
  <c r="Z1458" i="1"/>
  <c r="CU1508" i="1"/>
  <c r="X1508" i="1" s="1"/>
  <c r="CU1518" i="1"/>
  <c r="X1518" i="1" s="1"/>
  <c r="Z1461" i="1"/>
  <c r="Z1457" i="1"/>
  <c r="CU1200" i="1"/>
  <c r="X1200" i="1" s="1"/>
  <c r="CU1513" i="1"/>
  <c r="X1513" i="1" s="1"/>
  <c r="CU1462" i="1"/>
  <c r="X1462" i="1" s="1"/>
  <c r="CU1461" i="1"/>
  <c r="X1461" i="1" s="1"/>
  <c r="CU1458" i="1"/>
  <c r="X1458" i="1" s="1"/>
  <c r="CU1457" i="1"/>
  <c r="X1457" i="1" s="1"/>
  <c r="DC1488" i="1"/>
  <c r="DA1488" i="1"/>
  <c r="CY1488" i="1"/>
  <c r="Y1488" i="1" s="1"/>
  <c r="CW1488" i="1"/>
  <c r="AA1488" i="1" s="1"/>
  <c r="CR1488" i="1"/>
  <c r="CP1488" i="1"/>
  <c r="CN1488" i="1"/>
  <c r="CJ1488" i="1"/>
  <c r="CH1488" i="1"/>
  <c r="CF1488" i="1"/>
  <c r="BL1488" i="1"/>
  <c r="BD1488" i="1"/>
  <c r="AZ1488" i="1"/>
  <c r="AX1488" i="1"/>
  <c r="DC1438" i="1"/>
  <c r="DA1438" i="1"/>
  <c r="CY1438" i="1"/>
  <c r="Y1438" i="1" s="1"/>
  <c r="CW1438" i="1"/>
  <c r="AA1438" i="1" s="1"/>
  <c r="CR1438" i="1"/>
  <c r="CP1438" i="1"/>
  <c r="CN1438" i="1"/>
  <c r="CJ1438" i="1"/>
  <c r="CH1438" i="1"/>
  <c r="CF1438" i="1"/>
  <c r="BL1438" i="1"/>
  <c r="BD1438" i="1"/>
  <c r="AZ1438" i="1"/>
  <c r="AX1438" i="1"/>
  <c r="DC1463" i="1"/>
  <c r="DA1463" i="1"/>
  <c r="CY1463" i="1"/>
  <c r="Y1463" i="1" s="1"/>
  <c r="CW1463" i="1"/>
  <c r="AA1463" i="1" s="1"/>
  <c r="CR1463" i="1"/>
  <c r="CP1463" i="1"/>
  <c r="CN1463" i="1"/>
  <c r="CJ1463" i="1"/>
  <c r="CH1463" i="1"/>
  <c r="CF1463" i="1"/>
  <c r="BL1463" i="1"/>
  <c r="BD1463" i="1"/>
  <c r="AZ1463" i="1"/>
  <c r="AX1463" i="1"/>
  <c r="DC1468" i="1"/>
  <c r="DA1468" i="1"/>
  <c r="CY1468" i="1"/>
  <c r="Y1468" i="1" s="1"/>
  <c r="CW1468" i="1"/>
  <c r="AA1468" i="1" s="1"/>
  <c r="CR1468" i="1"/>
  <c r="CP1468" i="1"/>
  <c r="CN1468" i="1"/>
  <c r="CJ1468" i="1"/>
  <c r="CH1468" i="1"/>
  <c r="CF1468" i="1"/>
  <c r="BL1468" i="1"/>
  <c r="BD1468" i="1"/>
  <c r="AZ1468" i="1"/>
  <c r="AX1468" i="1"/>
  <c r="DC1466" i="1"/>
  <c r="DA1466" i="1"/>
  <c r="CY1466" i="1"/>
  <c r="Y1466" i="1" s="1"/>
  <c r="CW1466" i="1"/>
  <c r="AA1466" i="1" s="1"/>
  <c r="CR1466" i="1"/>
  <c r="CP1466" i="1"/>
  <c r="CN1466" i="1"/>
  <c r="CJ1466" i="1"/>
  <c r="CH1466" i="1"/>
  <c r="CF1466" i="1"/>
  <c r="BL1466" i="1"/>
  <c r="BD1466" i="1"/>
  <c r="AZ1466" i="1"/>
  <c r="AX1466" i="1"/>
  <c r="DC1469" i="1"/>
  <c r="DA1469" i="1"/>
  <c r="CY1469" i="1"/>
  <c r="Y1469" i="1" s="1"/>
  <c r="CW1469" i="1"/>
  <c r="AA1469" i="1" s="1"/>
  <c r="CR1469" i="1"/>
  <c r="CP1469" i="1"/>
  <c r="CN1469" i="1"/>
  <c r="CJ1469" i="1"/>
  <c r="CH1469" i="1"/>
  <c r="CF1469" i="1"/>
  <c r="BL1469" i="1"/>
  <c r="BD1469" i="1"/>
  <c r="AZ1469" i="1"/>
  <c r="AX1469" i="1"/>
  <c r="DC1464" i="1"/>
  <c r="DA1464" i="1"/>
  <c r="CY1464" i="1"/>
  <c r="Y1464" i="1" s="1"/>
  <c r="CW1464" i="1"/>
  <c r="AA1464" i="1" s="1"/>
  <c r="CR1464" i="1"/>
  <c r="CP1464" i="1"/>
  <c r="CN1464" i="1"/>
  <c r="CJ1464" i="1"/>
  <c r="CH1464" i="1"/>
  <c r="CF1464" i="1"/>
  <c r="BL1464" i="1"/>
  <c r="BD1464" i="1"/>
  <c r="AZ1464" i="1"/>
  <c r="AX1464" i="1"/>
  <c r="DC1467" i="1"/>
  <c r="DA1467" i="1"/>
  <c r="CY1467" i="1"/>
  <c r="Y1467" i="1" s="1"/>
  <c r="CW1467" i="1"/>
  <c r="AA1467" i="1" s="1"/>
  <c r="CR1467" i="1"/>
  <c r="CP1467" i="1"/>
  <c r="CN1467" i="1"/>
  <c r="CJ1467" i="1"/>
  <c r="CH1467" i="1"/>
  <c r="CF1467" i="1"/>
  <c r="BL1467" i="1"/>
  <c r="BD1467" i="1"/>
  <c r="AZ1467" i="1"/>
  <c r="AX1467" i="1"/>
  <c r="DC1465" i="1"/>
  <c r="DA1465" i="1"/>
  <c r="CY1465" i="1"/>
  <c r="Y1465" i="1" s="1"/>
  <c r="CW1465" i="1"/>
  <c r="AA1465" i="1" s="1"/>
  <c r="CR1465" i="1"/>
  <c r="CP1465" i="1"/>
  <c r="CN1465" i="1"/>
  <c r="CJ1465" i="1"/>
  <c r="CH1465" i="1"/>
  <c r="CF1465" i="1"/>
  <c r="BL1465" i="1"/>
  <c r="BD1465" i="1"/>
  <c r="AZ1465" i="1"/>
  <c r="AX1465" i="1"/>
  <c r="DC1456" i="1"/>
  <c r="DA1456" i="1"/>
  <c r="CY1456" i="1"/>
  <c r="Y1456" i="1" s="1"/>
  <c r="CW1456" i="1"/>
  <c r="AA1456" i="1" s="1"/>
  <c r="CR1456" i="1"/>
  <c r="CP1456" i="1"/>
  <c r="CN1456" i="1"/>
  <c r="CJ1456" i="1"/>
  <c r="CH1456" i="1"/>
  <c r="CF1456" i="1"/>
  <c r="BL1456" i="1"/>
  <c r="BD1456" i="1"/>
  <c r="AZ1456" i="1"/>
  <c r="AX1456" i="1"/>
  <c r="DC1455" i="1"/>
  <c r="DA1455" i="1"/>
  <c r="CY1455" i="1"/>
  <c r="Y1455" i="1" s="1"/>
  <c r="CW1455" i="1"/>
  <c r="AA1455" i="1" s="1"/>
  <c r="CR1455" i="1"/>
  <c r="CP1455" i="1"/>
  <c r="CN1455" i="1"/>
  <c r="CJ1455" i="1"/>
  <c r="CH1455" i="1"/>
  <c r="CF1455" i="1"/>
  <c r="BL1455" i="1"/>
  <c r="BD1455" i="1"/>
  <c r="AZ1455" i="1"/>
  <c r="AX1455" i="1"/>
  <c r="DC1454" i="1"/>
  <c r="DA1454" i="1"/>
  <c r="CY1454" i="1"/>
  <c r="Y1454" i="1" s="1"/>
  <c r="CW1454" i="1"/>
  <c r="AA1454" i="1" s="1"/>
  <c r="CR1454" i="1"/>
  <c r="CP1454" i="1"/>
  <c r="CN1454" i="1"/>
  <c r="CJ1454" i="1"/>
  <c r="CH1454" i="1"/>
  <c r="CF1454" i="1"/>
  <c r="BL1454" i="1"/>
  <c r="BD1454" i="1"/>
  <c r="AZ1454" i="1"/>
  <c r="AX1454" i="1"/>
  <c r="DC1453" i="1"/>
  <c r="DA1453" i="1"/>
  <c r="CY1453" i="1"/>
  <c r="Y1453" i="1" s="1"/>
  <c r="CW1453" i="1"/>
  <c r="AA1453" i="1" s="1"/>
  <c r="CR1453" i="1"/>
  <c r="CP1453" i="1"/>
  <c r="CN1453" i="1"/>
  <c r="CJ1453" i="1"/>
  <c r="CH1453" i="1"/>
  <c r="CF1453" i="1"/>
  <c r="BL1453" i="1"/>
  <c r="BD1453" i="1"/>
  <c r="AZ1453" i="1"/>
  <c r="AX1453" i="1"/>
  <c r="DC1447" i="1"/>
  <c r="DA1447" i="1"/>
  <c r="CY1447" i="1"/>
  <c r="Y1447" i="1" s="1"/>
  <c r="CW1447" i="1"/>
  <c r="AA1447" i="1" s="1"/>
  <c r="CR1447" i="1"/>
  <c r="CP1447" i="1"/>
  <c r="CN1447" i="1"/>
  <c r="CJ1447" i="1"/>
  <c r="CH1447" i="1"/>
  <c r="CF1447" i="1"/>
  <c r="BL1447" i="1"/>
  <c r="BD1447" i="1"/>
  <c r="AZ1447" i="1"/>
  <c r="AX1447" i="1"/>
  <c r="DC1448" i="1"/>
  <c r="DA1448" i="1"/>
  <c r="CY1448" i="1"/>
  <c r="Y1448" i="1" s="1"/>
  <c r="CW1448" i="1"/>
  <c r="AA1448" i="1" s="1"/>
  <c r="CR1448" i="1"/>
  <c r="CP1448" i="1"/>
  <c r="CN1448" i="1"/>
  <c r="CJ1448" i="1"/>
  <c r="CH1448" i="1"/>
  <c r="CF1448" i="1"/>
  <c r="BL1448" i="1"/>
  <c r="BD1448" i="1"/>
  <c r="AZ1448" i="1"/>
  <c r="AX1448" i="1"/>
  <c r="DC1442" i="1"/>
  <c r="DA1442" i="1"/>
  <c r="CY1442" i="1"/>
  <c r="Y1442" i="1" s="1"/>
  <c r="CW1442" i="1"/>
  <c r="AA1442" i="1" s="1"/>
  <c r="CR1442" i="1"/>
  <c r="CP1442" i="1"/>
  <c r="CN1442" i="1"/>
  <c r="CJ1442" i="1"/>
  <c r="CH1442" i="1"/>
  <c r="CF1442" i="1"/>
  <c r="BL1442" i="1"/>
  <c r="BD1442" i="1"/>
  <c r="AZ1442" i="1"/>
  <c r="AX1442" i="1"/>
  <c r="DC1460" i="1"/>
  <c r="DA1460" i="1"/>
  <c r="CY1460" i="1"/>
  <c r="Y1460" i="1" s="1"/>
  <c r="CW1460" i="1"/>
  <c r="AA1460" i="1" s="1"/>
  <c r="CR1460" i="1"/>
  <c r="CP1460" i="1"/>
  <c r="CN1460" i="1"/>
  <c r="CJ1460" i="1"/>
  <c r="CH1460" i="1"/>
  <c r="CF1460" i="1"/>
  <c r="BL1460" i="1"/>
  <c r="BD1460" i="1"/>
  <c r="AZ1460" i="1"/>
  <c r="AX1460" i="1"/>
  <c r="DC1452" i="1"/>
  <c r="DA1452" i="1"/>
  <c r="CY1452" i="1"/>
  <c r="Y1452" i="1" s="1"/>
  <c r="CW1452" i="1"/>
  <c r="AA1452" i="1" s="1"/>
  <c r="CR1452" i="1"/>
  <c r="CP1452" i="1"/>
  <c r="CN1452" i="1"/>
  <c r="CJ1452" i="1"/>
  <c r="CH1452" i="1"/>
  <c r="CF1452" i="1"/>
  <c r="BL1452" i="1"/>
  <c r="BD1452" i="1"/>
  <c r="AZ1452" i="1"/>
  <c r="AX1452" i="1"/>
  <c r="DC1182" i="1"/>
  <c r="DA1182" i="1"/>
  <c r="CY1182" i="1"/>
  <c r="Y1182" i="1" s="1"/>
  <c r="CW1182" i="1"/>
  <c r="AA1182" i="1" s="1"/>
  <c r="CR1182" i="1"/>
  <c r="CP1182" i="1"/>
  <c r="CN1182" i="1"/>
  <c r="CJ1182" i="1"/>
  <c r="CH1182" i="1"/>
  <c r="CF1182" i="1"/>
  <c r="BL1182" i="1"/>
  <c r="BD1182" i="1"/>
  <c r="AZ1182" i="1"/>
  <c r="AX1182" i="1"/>
  <c r="DC1459" i="1"/>
  <c r="DA1459" i="1"/>
  <c r="CY1459" i="1"/>
  <c r="Y1459" i="1" s="1"/>
  <c r="CW1459" i="1"/>
  <c r="AA1459" i="1" s="1"/>
  <c r="CR1459" i="1"/>
  <c r="CP1459" i="1"/>
  <c r="CN1459" i="1"/>
  <c r="CJ1459" i="1"/>
  <c r="CH1459" i="1"/>
  <c r="CF1459" i="1"/>
  <c r="BL1459" i="1"/>
  <c r="BD1459" i="1"/>
  <c r="AZ1459" i="1"/>
  <c r="AX1459" i="1"/>
  <c r="AD1523" i="1" l="1"/>
  <c r="AD1518" i="1"/>
  <c r="AD473" i="1"/>
  <c r="AD1200" i="1"/>
  <c r="AD1476" i="1"/>
  <c r="AD1462" i="1"/>
  <c r="AD1513" i="1"/>
  <c r="AD1458" i="1"/>
  <c r="AD1508" i="1"/>
  <c r="AD1461" i="1"/>
  <c r="AD1470" i="1"/>
  <c r="AD1457" i="1"/>
  <c r="Z1438" i="1"/>
  <c r="Z1463" i="1"/>
  <c r="Z1466" i="1"/>
  <c r="Z1464" i="1"/>
  <c r="Z1468" i="1"/>
  <c r="Z1454" i="1"/>
  <c r="Z1455" i="1"/>
  <c r="Z1453" i="1"/>
  <c r="Z1469" i="1"/>
  <c r="Z1465" i="1"/>
  <c r="Z1488" i="1"/>
  <c r="CU1456" i="1"/>
  <c r="X1456" i="1" s="1"/>
  <c r="Z1456" i="1"/>
  <c r="Z1467" i="1"/>
  <c r="CU1488" i="1"/>
  <c r="X1488" i="1" s="1"/>
  <c r="CU1464" i="1"/>
  <c r="X1464" i="1" s="1"/>
  <c r="CU1463" i="1"/>
  <c r="X1463" i="1" s="1"/>
  <c r="Z1459" i="1"/>
  <c r="Z1182" i="1"/>
  <c r="Z1442" i="1"/>
  <c r="CU1447" i="1"/>
  <c r="X1447" i="1" s="1"/>
  <c r="Z1447" i="1"/>
  <c r="CU1455" i="1"/>
  <c r="X1455" i="1" s="1"/>
  <c r="CU1467" i="1"/>
  <c r="X1467" i="1" s="1"/>
  <c r="CU1468" i="1"/>
  <c r="X1468" i="1" s="1"/>
  <c r="CU1453" i="1"/>
  <c r="X1453" i="1" s="1"/>
  <c r="CU1469" i="1"/>
  <c r="X1469" i="1" s="1"/>
  <c r="CU1438" i="1"/>
  <c r="X1438" i="1" s="1"/>
  <c r="CU1460" i="1"/>
  <c r="X1460" i="1" s="1"/>
  <c r="Z1460" i="1"/>
  <c r="CU1454" i="1"/>
  <c r="X1454" i="1" s="1"/>
  <c r="CU1465" i="1"/>
  <c r="X1465" i="1" s="1"/>
  <c r="CU1466" i="1"/>
  <c r="X1466" i="1" s="1"/>
  <c r="Z1452" i="1"/>
  <c r="Z1448" i="1"/>
  <c r="CU1452" i="1"/>
  <c r="X1452" i="1" s="1"/>
  <c r="CU1448" i="1"/>
  <c r="X1448" i="1" s="1"/>
  <c r="CU1459" i="1"/>
  <c r="X1459" i="1" s="1"/>
  <c r="CU1442" i="1"/>
  <c r="X1442" i="1" s="1"/>
  <c r="CU1182" i="1"/>
  <c r="X1182" i="1" s="1"/>
  <c r="DC1445" i="1"/>
  <c r="DA1445" i="1"/>
  <c r="CY1445" i="1"/>
  <c r="Y1445" i="1" s="1"/>
  <c r="CW1445" i="1"/>
  <c r="AA1445" i="1" s="1"/>
  <c r="CR1445" i="1"/>
  <c r="CP1445" i="1"/>
  <c r="CN1445" i="1"/>
  <c r="CJ1445" i="1"/>
  <c r="CH1445" i="1"/>
  <c r="CF1445" i="1"/>
  <c r="BL1445" i="1"/>
  <c r="BD1445" i="1"/>
  <c r="AZ1445" i="1"/>
  <c r="AX1445" i="1"/>
  <c r="DC1446" i="1"/>
  <c r="DA1446" i="1"/>
  <c r="CY1446" i="1"/>
  <c r="Y1446" i="1" s="1"/>
  <c r="CW1446" i="1"/>
  <c r="AA1446" i="1" s="1"/>
  <c r="CR1446" i="1"/>
  <c r="CP1446" i="1"/>
  <c r="CN1446" i="1"/>
  <c r="CJ1446" i="1"/>
  <c r="CH1446" i="1"/>
  <c r="CF1446" i="1"/>
  <c r="BL1446" i="1"/>
  <c r="BD1446" i="1"/>
  <c r="AZ1446" i="1"/>
  <c r="AX1446" i="1"/>
  <c r="DC1428" i="1"/>
  <c r="DA1428" i="1"/>
  <c r="CY1428" i="1"/>
  <c r="Y1428" i="1" s="1"/>
  <c r="CW1428" i="1"/>
  <c r="AA1428" i="1" s="1"/>
  <c r="CR1428" i="1"/>
  <c r="CP1428" i="1"/>
  <c r="CN1428" i="1"/>
  <c r="CJ1428" i="1"/>
  <c r="CH1428" i="1"/>
  <c r="CF1428" i="1"/>
  <c r="BL1428" i="1"/>
  <c r="BD1428" i="1"/>
  <c r="AZ1428" i="1"/>
  <c r="AX1428" i="1"/>
  <c r="DC1434" i="1"/>
  <c r="DA1434" i="1"/>
  <c r="CY1434" i="1"/>
  <c r="Y1434" i="1" s="1"/>
  <c r="CW1434" i="1"/>
  <c r="AA1434" i="1" s="1"/>
  <c r="CR1434" i="1"/>
  <c r="CP1434" i="1"/>
  <c r="CN1434" i="1"/>
  <c r="CJ1434" i="1"/>
  <c r="CH1434" i="1"/>
  <c r="CF1434" i="1"/>
  <c r="BL1434" i="1"/>
  <c r="BD1434" i="1"/>
  <c r="AZ1434" i="1"/>
  <c r="AX1434" i="1"/>
  <c r="DC1435" i="1"/>
  <c r="DA1435" i="1"/>
  <c r="CY1435" i="1"/>
  <c r="Y1435" i="1" s="1"/>
  <c r="CW1435" i="1"/>
  <c r="AA1435" i="1" s="1"/>
  <c r="CR1435" i="1"/>
  <c r="CP1435" i="1"/>
  <c r="CN1435" i="1"/>
  <c r="CJ1435" i="1"/>
  <c r="CH1435" i="1"/>
  <c r="CF1435" i="1"/>
  <c r="BL1435" i="1"/>
  <c r="BD1435" i="1"/>
  <c r="AZ1435" i="1"/>
  <c r="AX1435" i="1"/>
  <c r="DC1433" i="1"/>
  <c r="DA1433" i="1"/>
  <c r="CY1433" i="1"/>
  <c r="Y1433" i="1" s="1"/>
  <c r="CW1433" i="1"/>
  <c r="AA1433" i="1" s="1"/>
  <c r="CR1433" i="1"/>
  <c r="CP1433" i="1"/>
  <c r="CN1433" i="1"/>
  <c r="CJ1433" i="1"/>
  <c r="CH1433" i="1"/>
  <c r="CF1433" i="1"/>
  <c r="BL1433" i="1"/>
  <c r="BD1433" i="1"/>
  <c r="AZ1433" i="1"/>
  <c r="AX1433" i="1"/>
  <c r="DC1443" i="1"/>
  <c r="DA1443" i="1"/>
  <c r="CY1443" i="1"/>
  <c r="Y1443" i="1" s="1"/>
  <c r="CW1443" i="1"/>
  <c r="AA1443" i="1" s="1"/>
  <c r="CR1443" i="1"/>
  <c r="CP1443" i="1"/>
  <c r="CN1443" i="1"/>
  <c r="CJ1443" i="1"/>
  <c r="CH1443" i="1"/>
  <c r="CF1443" i="1"/>
  <c r="BL1443" i="1"/>
  <c r="BD1443" i="1"/>
  <c r="AZ1443" i="1"/>
  <c r="AX1443" i="1"/>
  <c r="DC1444" i="1"/>
  <c r="DA1444" i="1"/>
  <c r="CY1444" i="1"/>
  <c r="Y1444" i="1" s="1"/>
  <c r="CW1444" i="1"/>
  <c r="AA1444" i="1" s="1"/>
  <c r="CR1444" i="1"/>
  <c r="CP1444" i="1"/>
  <c r="CN1444" i="1"/>
  <c r="CJ1444" i="1"/>
  <c r="CH1444" i="1"/>
  <c r="CF1444" i="1"/>
  <c r="BL1444" i="1"/>
  <c r="BD1444" i="1"/>
  <c r="AZ1444" i="1"/>
  <c r="AX1444" i="1"/>
  <c r="AD1466" i="1" l="1"/>
  <c r="AD1438" i="1"/>
  <c r="AD1463" i="1"/>
  <c r="AD1464" i="1"/>
  <c r="AD1468" i="1"/>
  <c r="AD1454" i="1"/>
  <c r="AD1465" i="1"/>
  <c r="AD1469" i="1"/>
  <c r="AD1455" i="1"/>
  <c r="AD1453" i="1"/>
  <c r="AD1467" i="1"/>
  <c r="AD1488" i="1"/>
  <c r="AD1456" i="1"/>
  <c r="AD1182" i="1"/>
  <c r="AD1459" i="1"/>
  <c r="AD1442" i="1"/>
  <c r="AD1460" i="1"/>
  <c r="AD1447" i="1"/>
  <c r="AD1448" i="1"/>
  <c r="AD1452" i="1"/>
  <c r="Z1445" i="1"/>
  <c r="Z1446" i="1"/>
  <c r="Z1428" i="1"/>
  <c r="Z1434" i="1"/>
  <c r="CU1435" i="1"/>
  <c r="X1435" i="1" s="1"/>
  <c r="Z1435" i="1"/>
  <c r="CU1434" i="1"/>
  <c r="X1434" i="1" s="1"/>
  <c r="CU1428" i="1"/>
  <c r="X1428" i="1" s="1"/>
  <c r="CU1443" i="1"/>
  <c r="X1443" i="1" s="1"/>
  <c r="Z1443" i="1"/>
  <c r="CU1433" i="1"/>
  <c r="X1433" i="1" s="1"/>
  <c r="Z1433" i="1"/>
  <c r="CU1444" i="1"/>
  <c r="X1444" i="1" s="1"/>
  <c r="Z1444" i="1"/>
  <c r="CU1445" i="1"/>
  <c r="X1445" i="1" s="1"/>
  <c r="CU1446" i="1"/>
  <c r="X1446" i="1" s="1"/>
  <c r="I1294" i="1"/>
  <c r="AD1445" i="1" l="1"/>
  <c r="AD1428" i="1"/>
  <c r="AD1435" i="1"/>
  <c r="AD1446" i="1"/>
  <c r="AD1434" i="1"/>
  <c r="AD1433" i="1"/>
  <c r="AD1444" i="1"/>
  <c r="AD1443" i="1"/>
  <c r="DC1439" i="1" l="1"/>
  <c r="DA1439" i="1"/>
  <c r="CY1439" i="1"/>
  <c r="Y1439" i="1" s="1"/>
  <c r="CW1439" i="1"/>
  <c r="AA1439" i="1" s="1"/>
  <c r="CR1439" i="1"/>
  <c r="CP1439" i="1"/>
  <c r="CN1439" i="1"/>
  <c r="CJ1439" i="1"/>
  <c r="CH1439" i="1"/>
  <c r="CF1439" i="1"/>
  <c r="BL1439" i="1"/>
  <c r="BD1439" i="1"/>
  <c r="AZ1439" i="1"/>
  <c r="AX1439" i="1"/>
  <c r="DC1425" i="1"/>
  <c r="DA1425" i="1"/>
  <c r="CY1425" i="1"/>
  <c r="Y1425" i="1" s="1"/>
  <c r="CW1425" i="1"/>
  <c r="AA1425" i="1" s="1"/>
  <c r="CR1425" i="1"/>
  <c r="CP1425" i="1"/>
  <c r="CN1425" i="1"/>
  <c r="CJ1425" i="1"/>
  <c r="CH1425" i="1"/>
  <c r="CF1425" i="1"/>
  <c r="BL1425" i="1"/>
  <c r="BD1425" i="1"/>
  <c r="AZ1425" i="1"/>
  <c r="AX1425" i="1"/>
  <c r="DC1437" i="1"/>
  <c r="DA1437" i="1"/>
  <c r="CY1437" i="1"/>
  <c r="Y1437" i="1" s="1"/>
  <c r="CW1437" i="1"/>
  <c r="AA1437" i="1" s="1"/>
  <c r="CR1437" i="1"/>
  <c r="CP1437" i="1"/>
  <c r="CN1437" i="1"/>
  <c r="CJ1437" i="1"/>
  <c r="CH1437" i="1"/>
  <c r="CF1437" i="1"/>
  <c r="BL1437" i="1"/>
  <c r="BD1437" i="1"/>
  <c r="AZ1437" i="1"/>
  <c r="AX1437" i="1"/>
  <c r="DC1259" i="1"/>
  <c r="DA1259" i="1"/>
  <c r="CY1259" i="1"/>
  <c r="Y1259" i="1" s="1"/>
  <c r="CW1259" i="1"/>
  <c r="AA1259" i="1" s="1"/>
  <c r="CR1259" i="1"/>
  <c r="CP1259" i="1"/>
  <c r="CN1259" i="1"/>
  <c r="CJ1259" i="1"/>
  <c r="CH1259" i="1"/>
  <c r="CF1259" i="1"/>
  <c r="BL1259" i="1"/>
  <c r="BD1259" i="1"/>
  <c r="AZ1259" i="1"/>
  <c r="AX1259" i="1"/>
  <c r="DC1260" i="1"/>
  <c r="DA1260" i="1"/>
  <c r="CY1260" i="1"/>
  <c r="Y1260" i="1" s="1"/>
  <c r="CW1260" i="1"/>
  <c r="AA1260" i="1" s="1"/>
  <c r="CR1260" i="1"/>
  <c r="CP1260" i="1"/>
  <c r="CN1260" i="1"/>
  <c r="CJ1260" i="1"/>
  <c r="CH1260" i="1"/>
  <c r="CF1260" i="1"/>
  <c r="BL1260" i="1"/>
  <c r="BD1260" i="1"/>
  <c r="AZ1260" i="1"/>
  <c r="AX1260" i="1"/>
  <c r="DC1431" i="1"/>
  <c r="DA1431" i="1"/>
  <c r="CY1431" i="1"/>
  <c r="Y1431" i="1" s="1"/>
  <c r="CW1431" i="1"/>
  <c r="AA1431" i="1" s="1"/>
  <c r="CR1431" i="1"/>
  <c r="CP1431" i="1"/>
  <c r="CN1431" i="1"/>
  <c r="CJ1431" i="1"/>
  <c r="CH1431" i="1"/>
  <c r="CF1431" i="1"/>
  <c r="BL1431" i="1"/>
  <c r="BD1431" i="1"/>
  <c r="AZ1431" i="1"/>
  <c r="AX1431" i="1"/>
  <c r="Z1439" i="1" l="1"/>
  <c r="CU1439" i="1"/>
  <c r="X1439" i="1" s="1"/>
  <c r="Z1437" i="1"/>
  <c r="Z1425" i="1"/>
  <c r="Z1259" i="1"/>
  <c r="CU1260" i="1"/>
  <c r="X1260" i="1" s="1"/>
  <c r="Z1260" i="1"/>
  <c r="CU1425" i="1"/>
  <c r="X1425" i="1" s="1"/>
  <c r="CU1431" i="1"/>
  <c r="X1431" i="1" s="1"/>
  <c r="Z1431" i="1"/>
  <c r="CU1437" i="1"/>
  <c r="X1437" i="1" s="1"/>
  <c r="CU1259" i="1"/>
  <c r="X1259" i="1" s="1"/>
  <c r="DC1473" i="1"/>
  <c r="DA1473" i="1"/>
  <c r="CY1473" i="1"/>
  <c r="Y1473" i="1" s="1"/>
  <c r="CW1473" i="1"/>
  <c r="AA1473" i="1" s="1"/>
  <c r="CR1473" i="1"/>
  <c r="CP1473" i="1"/>
  <c r="CN1473" i="1"/>
  <c r="CJ1473" i="1"/>
  <c r="CH1473" i="1"/>
  <c r="CF1473" i="1"/>
  <c r="BL1473" i="1"/>
  <c r="BD1473" i="1"/>
  <c r="AZ1473" i="1"/>
  <c r="AX1473" i="1"/>
  <c r="DC1481" i="1"/>
  <c r="DA1481" i="1"/>
  <c r="CY1481" i="1"/>
  <c r="Y1481" i="1" s="1"/>
  <c r="CW1481" i="1"/>
  <c r="AA1481" i="1" s="1"/>
  <c r="CR1481" i="1"/>
  <c r="CP1481" i="1"/>
  <c r="CN1481" i="1"/>
  <c r="CJ1481" i="1"/>
  <c r="CH1481" i="1"/>
  <c r="CF1481" i="1"/>
  <c r="BL1481" i="1"/>
  <c r="BD1481" i="1"/>
  <c r="AZ1481" i="1"/>
  <c r="AX1481" i="1"/>
  <c r="DC1472" i="1"/>
  <c r="DA1472" i="1"/>
  <c r="CY1472" i="1"/>
  <c r="Y1472" i="1" s="1"/>
  <c r="CW1472" i="1"/>
  <c r="AA1472" i="1" s="1"/>
  <c r="CR1472" i="1"/>
  <c r="CP1472" i="1"/>
  <c r="CN1472" i="1"/>
  <c r="CJ1472" i="1"/>
  <c r="CH1472" i="1"/>
  <c r="CF1472" i="1"/>
  <c r="BL1472" i="1"/>
  <c r="BD1472" i="1"/>
  <c r="AZ1472" i="1"/>
  <c r="AX1472" i="1"/>
  <c r="DC1441" i="1"/>
  <c r="DA1441" i="1"/>
  <c r="CY1441" i="1"/>
  <c r="Y1441" i="1" s="1"/>
  <c r="CW1441" i="1"/>
  <c r="AA1441" i="1" s="1"/>
  <c r="CR1441" i="1"/>
  <c r="CP1441" i="1"/>
  <c r="CN1441" i="1"/>
  <c r="CJ1441" i="1"/>
  <c r="CH1441" i="1"/>
  <c r="CF1441" i="1"/>
  <c r="BL1441" i="1"/>
  <c r="BD1441" i="1"/>
  <c r="AZ1441" i="1"/>
  <c r="AX1441" i="1"/>
  <c r="DC1440" i="1"/>
  <c r="DA1440" i="1"/>
  <c r="CY1440" i="1"/>
  <c r="Y1440" i="1" s="1"/>
  <c r="CW1440" i="1"/>
  <c r="AA1440" i="1" s="1"/>
  <c r="CR1440" i="1"/>
  <c r="CP1440" i="1"/>
  <c r="CN1440" i="1"/>
  <c r="CJ1440" i="1"/>
  <c r="CH1440" i="1"/>
  <c r="CF1440" i="1"/>
  <c r="BL1440" i="1"/>
  <c r="BD1440" i="1"/>
  <c r="AZ1440" i="1"/>
  <c r="AX1440" i="1"/>
  <c r="DC1430" i="1"/>
  <c r="DA1430" i="1"/>
  <c r="CY1430" i="1"/>
  <c r="Y1430" i="1" s="1"/>
  <c r="CW1430" i="1"/>
  <c r="AA1430" i="1" s="1"/>
  <c r="CR1430" i="1"/>
  <c r="CP1430" i="1"/>
  <c r="CN1430" i="1"/>
  <c r="CJ1430" i="1"/>
  <c r="CH1430" i="1"/>
  <c r="CF1430" i="1"/>
  <c r="BL1430" i="1"/>
  <c r="BD1430" i="1"/>
  <c r="AZ1430" i="1"/>
  <c r="AX1430" i="1"/>
  <c r="DC1429" i="1"/>
  <c r="DA1429" i="1"/>
  <c r="CY1429" i="1"/>
  <c r="Y1429" i="1" s="1"/>
  <c r="CW1429" i="1"/>
  <c r="AA1429" i="1" s="1"/>
  <c r="CR1429" i="1"/>
  <c r="CP1429" i="1"/>
  <c r="CN1429" i="1"/>
  <c r="CJ1429" i="1"/>
  <c r="CH1429" i="1"/>
  <c r="CF1429" i="1"/>
  <c r="BL1429" i="1"/>
  <c r="BD1429" i="1"/>
  <c r="AZ1429" i="1"/>
  <c r="AX1429" i="1"/>
  <c r="DC1412" i="1"/>
  <c r="DA1412" i="1"/>
  <c r="CY1412" i="1"/>
  <c r="Y1412" i="1" s="1"/>
  <c r="CW1412" i="1"/>
  <c r="AA1412" i="1" s="1"/>
  <c r="CR1412" i="1"/>
  <c r="CP1412" i="1"/>
  <c r="CN1412" i="1"/>
  <c r="CJ1412" i="1"/>
  <c r="CH1412" i="1"/>
  <c r="CF1412" i="1"/>
  <c r="BL1412" i="1"/>
  <c r="BD1412" i="1"/>
  <c r="AZ1412" i="1"/>
  <c r="AX1412" i="1"/>
  <c r="DC1424" i="1"/>
  <c r="DA1424" i="1"/>
  <c r="CY1424" i="1"/>
  <c r="Y1424" i="1" s="1"/>
  <c r="CW1424" i="1"/>
  <c r="AA1424" i="1" s="1"/>
  <c r="CR1424" i="1"/>
  <c r="CP1424" i="1"/>
  <c r="CN1424" i="1"/>
  <c r="CJ1424" i="1"/>
  <c r="CH1424" i="1"/>
  <c r="CF1424" i="1"/>
  <c r="BL1424" i="1"/>
  <c r="BD1424" i="1"/>
  <c r="AZ1424" i="1"/>
  <c r="AX1424" i="1"/>
  <c r="DC1388" i="1"/>
  <c r="DA1388" i="1"/>
  <c r="CY1388" i="1"/>
  <c r="Y1388" i="1" s="1"/>
  <c r="CW1388" i="1"/>
  <c r="AA1388" i="1" s="1"/>
  <c r="CR1388" i="1"/>
  <c r="CP1388" i="1"/>
  <c r="CN1388" i="1"/>
  <c r="CJ1388" i="1"/>
  <c r="CH1388" i="1"/>
  <c r="CF1388" i="1"/>
  <c r="BL1388" i="1"/>
  <c r="BD1388" i="1"/>
  <c r="AZ1388" i="1"/>
  <c r="AX1388" i="1"/>
  <c r="DC1373" i="1"/>
  <c r="DA1373" i="1"/>
  <c r="CY1373" i="1"/>
  <c r="Y1373" i="1" s="1"/>
  <c r="CW1373" i="1"/>
  <c r="AA1373" i="1" s="1"/>
  <c r="CR1373" i="1"/>
  <c r="CP1373" i="1"/>
  <c r="CN1373" i="1"/>
  <c r="CJ1373" i="1"/>
  <c r="CH1373" i="1"/>
  <c r="CF1373" i="1"/>
  <c r="BL1373" i="1"/>
  <c r="BD1373" i="1"/>
  <c r="AZ1373" i="1"/>
  <c r="AX1373" i="1"/>
  <c r="DC1384" i="1"/>
  <c r="DA1384" i="1"/>
  <c r="CY1384" i="1"/>
  <c r="Y1384" i="1" s="1"/>
  <c r="CW1384" i="1"/>
  <c r="AA1384" i="1" s="1"/>
  <c r="CR1384" i="1"/>
  <c r="CP1384" i="1"/>
  <c r="CN1384" i="1"/>
  <c r="CJ1384" i="1"/>
  <c r="CH1384" i="1"/>
  <c r="CF1384" i="1"/>
  <c r="BL1384" i="1"/>
  <c r="BD1384" i="1"/>
  <c r="AZ1384" i="1"/>
  <c r="AX1384" i="1"/>
  <c r="DC1399" i="1"/>
  <c r="DA1399" i="1"/>
  <c r="CY1399" i="1"/>
  <c r="Y1399" i="1" s="1"/>
  <c r="CW1399" i="1"/>
  <c r="AA1399" i="1" s="1"/>
  <c r="CR1399" i="1"/>
  <c r="CP1399" i="1"/>
  <c r="CN1399" i="1"/>
  <c r="CJ1399" i="1"/>
  <c r="CH1399" i="1"/>
  <c r="CF1399" i="1"/>
  <c r="BL1399" i="1"/>
  <c r="BD1399" i="1"/>
  <c r="AZ1399" i="1"/>
  <c r="AX1399" i="1"/>
  <c r="DC1417" i="1"/>
  <c r="DA1417" i="1"/>
  <c r="CY1417" i="1"/>
  <c r="Y1417" i="1" s="1"/>
  <c r="CW1417" i="1"/>
  <c r="AA1417" i="1" s="1"/>
  <c r="CR1417" i="1"/>
  <c r="CP1417" i="1"/>
  <c r="CN1417" i="1"/>
  <c r="CJ1417" i="1"/>
  <c r="CH1417" i="1"/>
  <c r="CF1417" i="1"/>
  <c r="BL1417" i="1"/>
  <c r="BD1417" i="1"/>
  <c r="AZ1417" i="1"/>
  <c r="AX1417" i="1"/>
  <c r="DC1418" i="1"/>
  <c r="DA1418" i="1"/>
  <c r="CY1418" i="1"/>
  <c r="Y1418" i="1" s="1"/>
  <c r="CW1418" i="1"/>
  <c r="AA1418" i="1" s="1"/>
  <c r="CR1418" i="1"/>
  <c r="CP1418" i="1"/>
  <c r="CN1418" i="1"/>
  <c r="CJ1418" i="1"/>
  <c r="CH1418" i="1"/>
  <c r="CF1418" i="1"/>
  <c r="BL1418" i="1"/>
  <c r="BD1418" i="1"/>
  <c r="AZ1418" i="1"/>
  <c r="AX1418" i="1"/>
  <c r="DC1405" i="1"/>
  <c r="DA1405" i="1"/>
  <c r="CY1405" i="1"/>
  <c r="Y1405" i="1" s="1"/>
  <c r="CW1405" i="1"/>
  <c r="AA1405" i="1" s="1"/>
  <c r="CR1405" i="1"/>
  <c r="CP1405" i="1"/>
  <c r="CN1405" i="1"/>
  <c r="CJ1405" i="1"/>
  <c r="CH1405" i="1"/>
  <c r="CF1405" i="1"/>
  <c r="BL1405" i="1"/>
  <c r="BD1405" i="1"/>
  <c r="AZ1405" i="1"/>
  <c r="AX1405" i="1"/>
  <c r="DC1427" i="1"/>
  <c r="DA1427" i="1"/>
  <c r="CY1427" i="1"/>
  <c r="Y1427" i="1" s="1"/>
  <c r="CW1427" i="1"/>
  <c r="AA1427" i="1" s="1"/>
  <c r="CR1427" i="1"/>
  <c r="CP1427" i="1"/>
  <c r="CN1427" i="1"/>
  <c r="CJ1427" i="1"/>
  <c r="CH1427" i="1"/>
  <c r="CF1427" i="1"/>
  <c r="BL1427" i="1"/>
  <c r="BD1427" i="1"/>
  <c r="AZ1427" i="1"/>
  <c r="AX1427" i="1"/>
  <c r="DC1421" i="1"/>
  <c r="DA1421" i="1"/>
  <c r="CY1421" i="1"/>
  <c r="Y1421" i="1" s="1"/>
  <c r="CW1421" i="1"/>
  <c r="AA1421" i="1" s="1"/>
  <c r="CR1421" i="1"/>
  <c r="CP1421" i="1"/>
  <c r="CN1421" i="1"/>
  <c r="CJ1421" i="1"/>
  <c r="CH1421" i="1"/>
  <c r="CF1421" i="1"/>
  <c r="BL1421" i="1"/>
  <c r="BD1421" i="1"/>
  <c r="AZ1421" i="1"/>
  <c r="AX1421" i="1"/>
  <c r="DC1432" i="1"/>
  <c r="DA1432" i="1"/>
  <c r="CY1432" i="1"/>
  <c r="Y1432" i="1" s="1"/>
  <c r="CW1432" i="1"/>
  <c r="AA1432" i="1" s="1"/>
  <c r="CR1432" i="1"/>
  <c r="CP1432" i="1"/>
  <c r="CN1432" i="1"/>
  <c r="CJ1432" i="1"/>
  <c r="CH1432" i="1"/>
  <c r="CF1432" i="1"/>
  <c r="BL1432" i="1"/>
  <c r="BD1432" i="1"/>
  <c r="AZ1432" i="1"/>
  <c r="AX1432" i="1"/>
  <c r="AD1437" i="1" l="1"/>
  <c r="Z1481" i="1"/>
  <c r="Z1473" i="1"/>
  <c r="AD1439" i="1"/>
  <c r="AD1259" i="1"/>
  <c r="AD1425" i="1"/>
  <c r="AD1260" i="1"/>
  <c r="Z1430" i="1"/>
  <c r="AD1431" i="1"/>
  <c r="Z1441" i="1"/>
  <c r="Z1440" i="1"/>
  <c r="Z1472" i="1"/>
  <c r="Z1412" i="1"/>
  <c r="Z1424" i="1"/>
  <c r="CU1429" i="1"/>
  <c r="X1429" i="1" s="1"/>
  <c r="Z1429" i="1"/>
  <c r="CU1430" i="1"/>
  <c r="X1430" i="1" s="1"/>
  <c r="CU1472" i="1"/>
  <c r="X1472" i="1" s="1"/>
  <c r="CU1424" i="1"/>
  <c r="X1424" i="1" s="1"/>
  <c r="CU1440" i="1"/>
  <c r="X1440" i="1" s="1"/>
  <c r="CU1481" i="1"/>
  <c r="X1481" i="1" s="1"/>
  <c r="CU1412" i="1"/>
  <c r="X1412" i="1" s="1"/>
  <c r="CU1441" i="1"/>
  <c r="X1441" i="1" s="1"/>
  <c r="CU1473" i="1"/>
  <c r="X1473" i="1" s="1"/>
  <c r="Z1384" i="1"/>
  <c r="Z1417" i="1"/>
  <c r="Z1373" i="1"/>
  <c r="Z1405" i="1"/>
  <c r="Z1427" i="1"/>
  <c r="Z1418" i="1"/>
  <c r="Z1421" i="1"/>
  <c r="Z1399" i="1"/>
  <c r="CU1384" i="1"/>
  <c r="X1384" i="1" s="1"/>
  <c r="CU1432" i="1"/>
  <c r="X1432" i="1" s="1"/>
  <c r="Z1432" i="1"/>
  <c r="Z1388" i="1"/>
  <c r="CU1405" i="1"/>
  <c r="X1405" i="1" s="1"/>
  <c r="CU1399" i="1"/>
  <c r="X1399" i="1" s="1"/>
  <c r="CU1421" i="1"/>
  <c r="X1421" i="1" s="1"/>
  <c r="CU1418" i="1"/>
  <c r="X1418" i="1" s="1"/>
  <c r="CU1373" i="1"/>
  <c r="X1373" i="1" s="1"/>
  <c r="CU1427" i="1"/>
  <c r="X1427" i="1" s="1"/>
  <c r="CU1417" i="1"/>
  <c r="X1417" i="1" s="1"/>
  <c r="CU1388" i="1"/>
  <c r="X1388" i="1" s="1"/>
  <c r="DE659" i="1"/>
  <c r="DA659" i="1"/>
  <c r="DC659" i="1"/>
  <c r="AD1473" i="1" l="1"/>
  <c r="AD1481" i="1"/>
  <c r="AD1440" i="1"/>
  <c r="AD1430" i="1"/>
  <c r="AD1472" i="1"/>
  <c r="AD1441" i="1"/>
  <c r="AD1429" i="1"/>
  <c r="AD1412" i="1"/>
  <c r="AD1427" i="1"/>
  <c r="AD1424" i="1"/>
  <c r="AD1399" i="1"/>
  <c r="AD1373" i="1"/>
  <c r="AD1388" i="1"/>
  <c r="AD1384" i="1"/>
  <c r="AD1417" i="1"/>
  <c r="AD1405" i="1"/>
  <c r="AD1432" i="1"/>
  <c r="AD1418" i="1"/>
  <c r="AD1421" i="1"/>
  <c r="I1222" i="1"/>
  <c r="DC1413" i="1" l="1"/>
  <c r="DA1413" i="1"/>
  <c r="CY1413" i="1"/>
  <c r="Y1413" i="1" s="1"/>
  <c r="CW1413" i="1"/>
  <c r="AA1413" i="1" s="1"/>
  <c r="CR1413" i="1"/>
  <c r="CP1413" i="1"/>
  <c r="CN1413" i="1"/>
  <c r="CJ1413" i="1"/>
  <c r="CH1413" i="1"/>
  <c r="CF1413" i="1"/>
  <c r="BL1413" i="1"/>
  <c r="BD1413" i="1"/>
  <c r="AZ1413" i="1"/>
  <c r="AX1413" i="1"/>
  <c r="DC1397" i="1"/>
  <c r="DA1397" i="1"/>
  <c r="CY1397" i="1"/>
  <c r="Y1397" i="1" s="1"/>
  <c r="CW1397" i="1"/>
  <c r="AA1397" i="1" s="1"/>
  <c r="CR1397" i="1"/>
  <c r="CP1397" i="1"/>
  <c r="CN1397" i="1"/>
  <c r="CJ1397" i="1"/>
  <c r="CH1397" i="1"/>
  <c r="CF1397" i="1"/>
  <c r="BL1397" i="1"/>
  <c r="BD1397" i="1"/>
  <c r="AZ1397" i="1"/>
  <c r="AX1397" i="1"/>
  <c r="DC854" i="1"/>
  <c r="DA854" i="1"/>
  <c r="CY854" i="1"/>
  <c r="Y854" i="1" s="1"/>
  <c r="CW854" i="1"/>
  <c r="AA854" i="1" s="1"/>
  <c r="CR854" i="1"/>
  <c r="CP854" i="1"/>
  <c r="CN854" i="1"/>
  <c r="CJ854" i="1"/>
  <c r="CH854" i="1"/>
  <c r="CF854" i="1"/>
  <c r="BL854" i="1"/>
  <c r="BD854" i="1"/>
  <c r="AZ854" i="1"/>
  <c r="AX854" i="1"/>
  <c r="DC1406" i="1"/>
  <c r="DA1406" i="1"/>
  <c r="CY1406" i="1"/>
  <c r="Y1406" i="1" s="1"/>
  <c r="CW1406" i="1"/>
  <c r="AA1406" i="1" s="1"/>
  <c r="CR1406" i="1"/>
  <c r="CP1406" i="1"/>
  <c r="CN1406" i="1"/>
  <c r="CJ1406" i="1"/>
  <c r="CH1406" i="1"/>
  <c r="CF1406" i="1"/>
  <c r="BL1406" i="1"/>
  <c r="BD1406" i="1"/>
  <c r="AZ1406" i="1"/>
  <c r="AX1406" i="1"/>
  <c r="DC1409" i="1"/>
  <c r="DA1409" i="1"/>
  <c r="CY1409" i="1"/>
  <c r="Y1409" i="1" s="1"/>
  <c r="CW1409" i="1"/>
  <c r="AA1409" i="1" s="1"/>
  <c r="CR1409" i="1"/>
  <c r="CP1409" i="1"/>
  <c r="CN1409" i="1"/>
  <c r="CJ1409" i="1"/>
  <c r="CH1409" i="1"/>
  <c r="CF1409" i="1"/>
  <c r="BL1409" i="1"/>
  <c r="BD1409" i="1"/>
  <c r="AZ1409" i="1"/>
  <c r="AX1409" i="1"/>
  <c r="DC1408" i="1"/>
  <c r="DA1408" i="1"/>
  <c r="CY1408" i="1"/>
  <c r="Y1408" i="1" s="1"/>
  <c r="CW1408" i="1"/>
  <c r="AA1408" i="1" s="1"/>
  <c r="CR1408" i="1"/>
  <c r="CP1408" i="1"/>
  <c r="CN1408" i="1"/>
  <c r="CJ1408" i="1"/>
  <c r="CH1408" i="1"/>
  <c r="CF1408" i="1"/>
  <c r="BL1408" i="1"/>
  <c r="BD1408" i="1"/>
  <c r="AZ1408" i="1"/>
  <c r="AX1408" i="1"/>
  <c r="DC1403" i="1"/>
  <c r="DA1403" i="1"/>
  <c r="CY1403" i="1"/>
  <c r="Y1403" i="1" s="1"/>
  <c r="CW1403" i="1"/>
  <c r="AA1403" i="1" s="1"/>
  <c r="CR1403" i="1"/>
  <c r="CP1403" i="1"/>
  <c r="CN1403" i="1"/>
  <c r="CJ1403" i="1"/>
  <c r="CH1403" i="1"/>
  <c r="CF1403" i="1"/>
  <c r="BL1403" i="1"/>
  <c r="BD1403" i="1"/>
  <c r="AZ1403" i="1"/>
  <c r="AX1403" i="1"/>
  <c r="DC1404" i="1"/>
  <c r="DA1404" i="1"/>
  <c r="CY1404" i="1"/>
  <c r="Y1404" i="1" s="1"/>
  <c r="CW1404" i="1"/>
  <c r="AA1404" i="1" s="1"/>
  <c r="CR1404" i="1"/>
  <c r="CP1404" i="1"/>
  <c r="CN1404" i="1"/>
  <c r="CJ1404" i="1"/>
  <c r="CH1404" i="1"/>
  <c r="CF1404" i="1"/>
  <c r="BL1404" i="1"/>
  <c r="BD1404" i="1"/>
  <c r="AZ1404" i="1"/>
  <c r="AX1404" i="1"/>
  <c r="DC1394" i="1"/>
  <c r="DA1394" i="1"/>
  <c r="CY1394" i="1"/>
  <c r="Y1394" i="1" s="1"/>
  <c r="CW1394" i="1"/>
  <c r="AA1394" i="1" s="1"/>
  <c r="CR1394" i="1"/>
  <c r="CP1394" i="1"/>
  <c r="CN1394" i="1"/>
  <c r="CJ1394" i="1"/>
  <c r="CH1394" i="1"/>
  <c r="CF1394" i="1"/>
  <c r="BL1394" i="1"/>
  <c r="BD1394" i="1"/>
  <c r="AZ1394" i="1"/>
  <c r="AX1394" i="1"/>
  <c r="DC1395" i="1"/>
  <c r="DA1395" i="1"/>
  <c r="CY1395" i="1"/>
  <c r="Y1395" i="1" s="1"/>
  <c r="CW1395" i="1"/>
  <c r="AA1395" i="1" s="1"/>
  <c r="CR1395" i="1"/>
  <c r="CP1395" i="1"/>
  <c r="CN1395" i="1"/>
  <c r="CJ1395" i="1"/>
  <c r="CH1395" i="1"/>
  <c r="CF1395" i="1"/>
  <c r="BL1395" i="1"/>
  <c r="BD1395" i="1"/>
  <c r="AZ1395" i="1"/>
  <c r="AX1395" i="1"/>
  <c r="DC1422" i="1"/>
  <c r="DA1422" i="1"/>
  <c r="CY1422" i="1"/>
  <c r="Y1422" i="1" s="1"/>
  <c r="CW1422" i="1"/>
  <c r="AA1422" i="1" s="1"/>
  <c r="CR1422" i="1"/>
  <c r="CP1422" i="1"/>
  <c r="CN1422" i="1"/>
  <c r="CJ1422" i="1"/>
  <c r="CH1422" i="1"/>
  <c r="CF1422" i="1"/>
  <c r="BL1422" i="1"/>
  <c r="BD1422" i="1"/>
  <c r="AZ1422" i="1"/>
  <c r="AX1422" i="1"/>
  <c r="DC1372" i="1"/>
  <c r="DA1372" i="1"/>
  <c r="CY1372" i="1"/>
  <c r="Y1372" i="1" s="1"/>
  <c r="CW1372" i="1"/>
  <c r="AA1372" i="1" s="1"/>
  <c r="CR1372" i="1"/>
  <c r="CP1372" i="1"/>
  <c r="CN1372" i="1"/>
  <c r="CJ1372" i="1"/>
  <c r="CH1372" i="1"/>
  <c r="CF1372" i="1"/>
  <c r="BL1372" i="1"/>
  <c r="BD1372" i="1"/>
  <c r="AZ1372" i="1"/>
  <c r="AX1372" i="1"/>
  <c r="DC1420" i="1"/>
  <c r="DA1420" i="1"/>
  <c r="CY1420" i="1"/>
  <c r="Y1420" i="1" s="1"/>
  <c r="CW1420" i="1"/>
  <c r="AA1420" i="1" s="1"/>
  <c r="CR1420" i="1"/>
  <c r="CP1420" i="1"/>
  <c r="CN1420" i="1"/>
  <c r="CJ1420" i="1"/>
  <c r="CH1420" i="1"/>
  <c r="CF1420" i="1"/>
  <c r="BL1420" i="1"/>
  <c r="BD1420" i="1"/>
  <c r="AZ1420" i="1"/>
  <c r="AX1420" i="1"/>
  <c r="DC1415" i="1"/>
  <c r="DA1415" i="1"/>
  <c r="CY1415" i="1"/>
  <c r="Y1415" i="1" s="1"/>
  <c r="CW1415" i="1"/>
  <c r="AA1415" i="1" s="1"/>
  <c r="CR1415" i="1"/>
  <c r="CP1415" i="1"/>
  <c r="CN1415" i="1"/>
  <c r="CJ1415" i="1"/>
  <c r="CH1415" i="1"/>
  <c r="CF1415" i="1"/>
  <c r="BL1415" i="1"/>
  <c r="BD1415" i="1"/>
  <c r="AZ1415" i="1"/>
  <c r="AX1415" i="1"/>
  <c r="DC1400" i="1"/>
  <c r="DA1400" i="1"/>
  <c r="CY1400" i="1"/>
  <c r="Y1400" i="1" s="1"/>
  <c r="CW1400" i="1"/>
  <c r="AA1400" i="1" s="1"/>
  <c r="CR1400" i="1"/>
  <c r="CP1400" i="1"/>
  <c r="CN1400" i="1"/>
  <c r="CJ1400" i="1"/>
  <c r="CH1400" i="1"/>
  <c r="CF1400" i="1"/>
  <c r="BL1400" i="1"/>
  <c r="BD1400" i="1"/>
  <c r="AZ1400" i="1"/>
  <c r="AX1400" i="1"/>
  <c r="DC1401" i="1"/>
  <c r="DA1401" i="1"/>
  <c r="CY1401" i="1"/>
  <c r="Y1401" i="1" s="1"/>
  <c r="CW1401" i="1"/>
  <c r="AA1401" i="1" s="1"/>
  <c r="CR1401" i="1"/>
  <c r="CP1401" i="1"/>
  <c r="CN1401" i="1"/>
  <c r="CJ1401" i="1"/>
  <c r="CH1401" i="1"/>
  <c r="CF1401" i="1"/>
  <c r="BL1401" i="1"/>
  <c r="BD1401" i="1"/>
  <c r="AZ1401" i="1"/>
  <c r="AX1401" i="1"/>
  <c r="DC1396" i="1"/>
  <c r="DA1396" i="1"/>
  <c r="CY1396" i="1"/>
  <c r="Y1396" i="1" s="1"/>
  <c r="CW1396" i="1"/>
  <c r="AA1396" i="1" s="1"/>
  <c r="CR1396" i="1"/>
  <c r="CP1396" i="1"/>
  <c r="CN1396" i="1"/>
  <c r="CJ1396" i="1"/>
  <c r="CH1396" i="1"/>
  <c r="CF1396" i="1"/>
  <c r="BL1396" i="1"/>
  <c r="BD1396" i="1"/>
  <c r="AZ1396" i="1"/>
  <c r="AX1396" i="1"/>
  <c r="DC1402" i="1"/>
  <c r="DA1402" i="1"/>
  <c r="CY1402" i="1"/>
  <c r="Y1402" i="1" s="1"/>
  <c r="CW1402" i="1"/>
  <c r="AA1402" i="1" s="1"/>
  <c r="CR1402" i="1"/>
  <c r="CP1402" i="1"/>
  <c r="CN1402" i="1"/>
  <c r="CJ1402" i="1"/>
  <c r="CH1402" i="1"/>
  <c r="CF1402" i="1"/>
  <c r="BL1402" i="1"/>
  <c r="BD1402" i="1"/>
  <c r="AZ1402" i="1"/>
  <c r="AX1402" i="1"/>
  <c r="DC1383" i="1"/>
  <c r="DA1383" i="1"/>
  <c r="CY1383" i="1"/>
  <c r="Y1383" i="1" s="1"/>
  <c r="CW1383" i="1"/>
  <c r="AA1383" i="1" s="1"/>
  <c r="CR1383" i="1"/>
  <c r="CP1383" i="1"/>
  <c r="CN1383" i="1"/>
  <c r="CJ1383" i="1"/>
  <c r="CH1383" i="1"/>
  <c r="CF1383" i="1"/>
  <c r="BL1383" i="1"/>
  <c r="BD1383" i="1"/>
  <c r="AZ1383" i="1"/>
  <c r="AX1383" i="1"/>
  <c r="DC1392" i="1"/>
  <c r="DA1392" i="1"/>
  <c r="CY1392" i="1"/>
  <c r="Y1392" i="1" s="1"/>
  <c r="CW1392" i="1"/>
  <c r="AA1392" i="1" s="1"/>
  <c r="CR1392" i="1"/>
  <c r="CP1392" i="1"/>
  <c r="CN1392" i="1"/>
  <c r="CJ1392" i="1"/>
  <c r="CH1392" i="1"/>
  <c r="CF1392" i="1"/>
  <c r="BL1392" i="1"/>
  <c r="BD1392" i="1"/>
  <c r="AZ1392" i="1"/>
  <c r="AX1392" i="1"/>
  <c r="DC1381" i="1"/>
  <c r="DA1381" i="1"/>
  <c r="CY1381" i="1"/>
  <c r="Y1381" i="1" s="1"/>
  <c r="CW1381" i="1"/>
  <c r="AA1381" i="1" s="1"/>
  <c r="CR1381" i="1"/>
  <c r="CP1381" i="1"/>
  <c r="CN1381" i="1"/>
  <c r="CJ1381" i="1"/>
  <c r="CH1381" i="1"/>
  <c r="CF1381" i="1"/>
  <c r="BL1381" i="1"/>
  <c r="BD1381" i="1"/>
  <c r="AZ1381" i="1"/>
  <c r="AX1381" i="1"/>
  <c r="DC1382" i="1"/>
  <c r="DA1382" i="1"/>
  <c r="CY1382" i="1"/>
  <c r="Y1382" i="1" s="1"/>
  <c r="CW1382" i="1"/>
  <c r="AA1382" i="1" s="1"/>
  <c r="CR1382" i="1"/>
  <c r="CP1382" i="1"/>
  <c r="CN1382" i="1"/>
  <c r="CJ1382" i="1"/>
  <c r="CH1382" i="1"/>
  <c r="CF1382" i="1"/>
  <c r="BL1382" i="1"/>
  <c r="BD1382" i="1"/>
  <c r="AZ1382" i="1"/>
  <c r="AX1382" i="1"/>
  <c r="DC1389" i="1"/>
  <c r="DA1389" i="1"/>
  <c r="CY1389" i="1"/>
  <c r="Y1389" i="1" s="1"/>
  <c r="CW1389" i="1"/>
  <c r="AA1389" i="1" s="1"/>
  <c r="CR1389" i="1"/>
  <c r="CP1389" i="1"/>
  <c r="CN1389" i="1"/>
  <c r="CJ1389" i="1"/>
  <c r="CH1389" i="1"/>
  <c r="CF1389" i="1"/>
  <c r="BL1389" i="1"/>
  <c r="BD1389" i="1"/>
  <c r="AZ1389" i="1"/>
  <c r="AX1389" i="1"/>
  <c r="DC1387" i="1"/>
  <c r="DA1387" i="1"/>
  <c r="CY1387" i="1"/>
  <c r="Y1387" i="1" s="1"/>
  <c r="CW1387" i="1"/>
  <c r="AA1387" i="1" s="1"/>
  <c r="CR1387" i="1"/>
  <c r="CP1387" i="1"/>
  <c r="CN1387" i="1"/>
  <c r="CJ1387" i="1"/>
  <c r="CH1387" i="1"/>
  <c r="CF1387" i="1"/>
  <c r="BL1387" i="1"/>
  <c r="BD1387" i="1"/>
  <c r="AZ1387" i="1"/>
  <c r="AX1387" i="1"/>
  <c r="DC1371" i="1"/>
  <c r="DA1371" i="1"/>
  <c r="CY1371" i="1"/>
  <c r="Y1371" i="1" s="1"/>
  <c r="CW1371" i="1"/>
  <c r="AA1371" i="1" s="1"/>
  <c r="CR1371" i="1"/>
  <c r="CP1371" i="1"/>
  <c r="CN1371" i="1"/>
  <c r="CJ1371" i="1"/>
  <c r="CH1371" i="1"/>
  <c r="CF1371" i="1"/>
  <c r="BL1371" i="1"/>
  <c r="BD1371" i="1"/>
  <c r="AZ1371" i="1"/>
  <c r="AX1371" i="1"/>
  <c r="DC1385" i="1"/>
  <c r="DA1385" i="1"/>
  <c r="CY1385" i="1"/>
  <c r="Y1385" i="1" s="1"/>
  <c r="CW1385" i="1"/>
  <c r="AA1385" i="1" s="1"/>
  <c r="CR1385" i="1"/>
  <c r="CP1385" i="1"/>
  <c r="CN1385" i="1"/>
  <c r="CJ1385" i="1"/>
  <c r="CH1385" i="1"/>
  <c r="CF1385" i="1"/>
  <c r="BL1385" i="1"/>
  <c r="BD1385" i="1"/>
  <c r="AZ1385" i="1"/>
  <c r="AX1385" i="1"/>
  <c r="DC1370" i="1"/>
  <c r="DA1370" i="1"/>
  <c r="CY1370" i="1"/>
  <c r="Y1370" i="1" s="1"/>
  <c r="CW1370" i="1"/>
  <c r="AA1370" i="1" s="1"/>
  <c r="CR1370" i="1"/>
  <c r="CP1370" i="1"/>
  <c r="CN1370" i="1"/>
  <c r="CJ1370" i="1"/>
  <c r="CH1370" i="1"/>
  <c r="CF1370" i="1"/>
  <c r="BL1370" i="1"/>
  <c r="BD1370" i="1"/>
  <c r="AZ1370" i="1"/>
  <c r="AX1370" i="1"/>
  <c r="DC1369" i="1"/>
  <c r="DA1369" i="1"/>
  <c r="CY1369" i="1"/>
  <c r="Y1369" i="1" s="1"/>
  <c r="CW1369" i="1"/>
  <c r="AA1369" i="1" s="1"/>
  <c r="CR1369" i="1"/>
  <c r="CP1369" i="1"/>
  <c r="CN1369" i="1"/>
  <c r="CJ1369" i="1"/>
  <c r="CH1369" i="1"/>
  <c r="CF1369" i="1"/>
  <c r="BL1369" i="1"/>
  <c r="BD1369" i="1"/>
  <c r="AZ1369" i="1"/>
  <c r="AX1369" i="1"/>
  <c r="DC1363" i="1"/>
  <c r="DA1363" i="1"/>
  <c r="CY1363" i="1"/>
  <c r="Y1363" i="1" s="1"/>
  <c r="CW1363" i="1"/>
  <c r="AA1363" i="1" s="1"/>
  <c r="CR1363" i="1"/>
  <c r="CP1363" i="1"/>
  <c r="CN1363" i="1"/>
  <c r="CJ1363" i="1"/>
  <c r="CH1363" i="1"/>
  <c r="CF1363" i="1"/>
  <c r="BL1363" i="1"/>
  <c r="BD1363" i="1"/>
  <c r="AZ1363" i="1"/>
  <c r="AX1363" i="1"/>
  <c r="DC1364" i="1"/>
  <c r="DA1364" i="1"/>
  <c r="CY1364" i="1"/>
  <c r="Y1364" i="1" s="1"/>
  <c r="CW1364" i="1"/>
  <c r="AA1364" i="1" s="1"/>
  <c r="CR1364" i="1"/>
  <c r="CP1364" i="1"/>
  <c r="CN1364" i="1"/>
  <c r="CJ1364" i="1"/>
  <c r="CH1364" i="1"/>
  <c r="CF1364" i="1"/>
  <c r="BL1364" i="1"/>
  <c r="BD1364" i="1"/>
  <c r="AZ1364" i="1"/>
  <c r="AX1364" i="1"/>
  <c r="DC1374" i="1"/>
  <c r="DA1374" i="1"/>
  <c r="CY1374" i="1"/>
  <c r="Y1374" i="1" s="1"/>
  <c r="CW1374" i="1"/>
  <c r="AA1374" i="1" s="1"/>
  <c r="CR1374" i="1"/>
  <c r="CP1374" i="1"/>
  <c r="CN1374" i="1"/>
  <c r="CJ1374" i="1"/>
  <c r="CH1374" i="1"/>
  <c r="CF1374" i="1"/>
  <c r="BL1374" i="1"/>
  <c r="BD1374" i="1"/>
  <c r="AZ1374" i="1"/>
  <c r="AX1374" i="1"/>
  <c r="CU1413" i="1" l="1"/>
  <c r="X1413" i="1" s="1"/>
  <c r="Z1413" i="1"/>
  <c r="Z1372" i="1"/>
  <c r="CU1397" i="1"/>
  <c r="X1397" i="1" s="1"/>
  <c r="Z1397" i="1"/>
  <c r="Z854" i="1"/>
  <c r="Z1406" i="1"/>
  <c r="Z1409" i="1"/>
  <c r="Z1422" i="1"/>
  <c r="CU1406" i="1"/>
  <c r="X1406" i="1" s="1"/>
  <c r="CU854" i="1"/>
  <c r="X854" i="1" s="1"/>
  <c r="Z1415" i="1"/>
  <c r="Z1403" i="1"/>
  <c r="Z1404" i="1"/>
  <c r="CU1395" i="1"/>
  <c r="X1395" i="1" s="1"/>
  <c r="Z1395" i="1"/>
  <c r="Z1408" i="1"/>
  <c r="CU1403" i="1"/>
  <c r="X1403" i="1" s="1"/>
  <c r="CU1404" i="1"/>
  <c r="X1404" i="1" s="1"/>
  <c r="CU1408" i="1"/>
  <c r="X1408" i="1" s="1"/>
  <c r="CU1394" i="1"/>
  <c r="X1394" i="1" s="1"/>
  <c r="Z1394" i="1"/>
  <c r="CU1409" i="1"/>
  <c r="X1409" i="1" s="1"/>
  <c r="CU1422" i="1"/>
  <c r="X1422" i="1" s="1"/>
  <c r="Z1420" i="1"/>
  <c r="CU1372" i="1"/>
  <c r="X1372" i="1" s="1"/>
  <c r="CU1415" i="1"/>
  <c r="X1415" i="1" s="1"/>
  <c r="CU1420" i="1"/>
  <c r="X1420" i="1" s="1"/>
  <c r="Z1402" i="1"/>
  <c r="Z1396" i="1"/>
  <c r="Z1400" i="1"/>
  <c r="CU1401" i="1"/>
  <c r="X1401" i="1" s="1"/>
  <c r="Z1401" i="1"/>
  <c r="CU1396" i="1"/>
  <c r="X1396" i="1" s="1"/>
  <c r="CU1400" i="1"/>
  <c r="X1400" i="1" s="1"/>
  <c r="CU1402" i="1"/>
  <c r="X1402" i="1" s="1"/>
  <c r="CU1383" i="1"/>
  <c r="X1383" i="1" s="1"/>
  <c r="Z1383" i="1"/>
  <c r="Z1385" i="1"/>
  <c r="Z1387" i="1"/>
  <c r="Z1364" i="1"/>
  <c r="Z1371" i="1"/>
  <c r="Z1374" i="1"/>
  <c r="Z1382" i="1"/>
  <c r="Z1363" i="1"/>
  <c r="Z1370" i="1"/>
  <c r="CU1389" i="1"/>
  <c r="X1389" i="1" s="1"/>
  <c r="Z1389" i="1"/>
  <c r="Z1381" i="1"/>
  <c r="Z1392" i="1"/>
  <c r="CU1370" i="1"/>
  <c r="X1370" i="1" s="1"/>
  <c r="CU1369" i="1"/>
  <c r="X1369" i="1" s="1"/>
  <c r="Z1369" i="1"/>
  <c r="CU1387" i="1"/>
  <c r="X1387" i="1" s="1"/>
  <c r="CU1363" i="1"/>
  <c r="X1363" i="1" s="1"/>
  <c r="CU1371" i="1"/>
  <c r="X1371" i="1" s="1"/>
  <c r="CU1381" i="1"/>
  <c r="X1381" i="1" s="1"/>
  <c r="CU1392" i="1"/>
  <c r="X1392" i="1" s="1"/>
  <c r="CU1374" i="1"/>
  <c r="X1374" i="1" s="1"/>
  <c r="CU1364" i="1"/>
  <c r="X1364" i="1" s="1"/>
  <c r="CU1385" i="1"/>
  <c r="X1385" i="1" s="1"/>
  <c r="CU1382" i="1"/>
  <c r="X1382" i="1" s="1"/>
  <c r="DC1398" i="1"/>
  <c r="DA1398" i="1"/>
  <c r="CY1398" i="1"/>
  <c r="Y1398" i="1" s="1"/>
  <c r="CW1398" i="1"/>
  <c r="AA1398" i="1" s="1"/>
  <c r="CR1398" i="1"/>
  <c r="CP1398" i="1"/>
  <c r="CN1398" i="1"/>
  <c r="CJ1398" i="1"/>
  <c r="CH1398" i="1"/>
  <c r="CF1398" i="1"/>
  <c r="BL1398" i="1"/>
  <c r="BD1398" i="1"/>
  <c r="AZ1398" i="1"/>
  <c r="AX1398" i="1"/>
  <c r="DC1386" i="1"/>
  <c r="DA1386" i="1"/>
  <c r="CY1386" i="1"/>
  <c r="Y1386" i="1" s="1"/>
  <c r="CW1386" i="1"/>
  <c r="AA1386" i="1" s="1"/>
  <c r="CR1386" i="1"/>
  <c r="CP1386" i="1"/>
  <c r="CN1386" i="1"/>
  <c r="CJ1386" i="1"/>
  <c r="CH1386" i="1"/>
  <c r="CF1386" i="1"/>
  <c r="BL1386" i="1"/>
  <c r="BD1386" i="1"/>
  <c r="AZ1386" i="1"/>
  <c r="AX1386" i="1"/>
  <c r="DC1393" i="1"/>
  <c r="DA1393" i="1"/>
  <c r="CY1393" i="1"/>
  <c r="Y1393" i="1" s="1"/>
  <c r="CW1393" i="1"/>
  <c r="AA1393" i="1" s="1"/>
  <c r="CR1393" i="1"/>
  <c r="CP1393" i="1"/>
  <c r="CN1393" i="1"/>
  <c r="CJ1393" i="1"/>
  <c r="CH1393" i="1"/>
  <c r="CF1393" i="1"/>
  <c r="BL1393" i="1"/>
  <c r="BD1393" i="1"/>
  <c r="AZ1393" i="1"/>
  <c r="AX1393" i="1"/>
  <c r="DC1390" i="1"/>
  <c r="DA1390" i="1"/>
  <c r="CY1390" i="1"/>
  <c r="Y1390" i="1" s="1"/>
  <c r="CW1390" i="1"/>
  <c r="AA1390" i="1" s="1"/>
  <c r="CR1390" i="1"/>
  <c r="CP1390" i="1"/>
  <c r="CN1390" i="1"/>
  <c r="CJ1390" i="1"/>
  <c r="CH1390" i="1"/>
  <c r="CF1390" i="1"/>
  <c r="BL1390" i="1"/>
  <c r="BD1390" i="1"/>
  <c r="AZ1390" i="1"/>
  <c r="AX1390" i="1"/>
  <c r="DC1376" i="1"/>
  <c r="DA1376" i="1"/>
  <c r="CY1376" i="1"/>
  <c r="Y1376" i="1" s="1"/>
  <c r="CW1376" i="1"/>
  <c r="AA1376" i="1" s="1"/>
  <c r="CR1376" i="1"/>
  <c r="CP1376" i="1"/>
  <c r="CN1376" i="1"/>
  <c r="CJ1376" i="1"/>
  <c r="CH1376" i="1"/>
  <c r="CF1376" i="1"/>
  <c r="BL1376" i="1"/>
  <c r="BD1376" i="1"/>
  <c r="AZ1376" i="1"/>
  <c r="AX1376" i="1"/>
  <c r="DC1375" i="1"/>
  <c r="DA1375" i="1"/>
  <c r="CY1375" i="1"/>
  <c r="Y1375" i="1" s="1"/>
  <c r="CW1375" i="1"/>
  <c r="AA1375" i="1" s="1"/>
  <c r="CR1375" i="1"/>
  <c r="CP1375" i="1"/>
  <c r="CN1375" i="1"/>
  <c r="CJ1375" i="1"/>
  <c r="CH1375" i="1"/>
  <c r="CF1375" i="1"/>
  <c r="BL1375" i="1"/>
  <c r="BD1375" i="1"/>
  <c r="AZ1375" i="1"/>
  <c r="AX1375" i="1"/>
  <c r="DC1379" i="1"/>
  <c r="DA1379" i="1"/>
  <c r="CY1379" i="1"/>
  <c r="Y1379" i="1" s="1"/>
  <c r="CW1379" i="1"/>
  <c r="AA1379" i="1" s="1"/>
  <c r="CR1379" i="1"/>
  <c r="CP1379" i="1"/>
  <c r="CN1379" i="1"/>
  <c r="CJ1379" i="1"/>
  <c r="CH1379" i="1"/>
  <c r="CF1379" i="1"/>
  <c r="BL1379" i="1"/>
  <c r="BD1379" i="1"/>
  <c r="AZ1379" i="1"/>
  <c r="AX1379" i="1"/>
  <c r="DC1377" i="1"/>
  <c r="DA1377" i="1"/>
  <c r="CY1377" i="1"/>
  <c r="Y1377" i="1" s="1"/>
  <c r="CW1377" i="1"/>
  <c r="AA1377" i="1" s="1"/>
  <c r="CR1377" i="1"/>
  <c r="CP1377" i="1"/>
  <c r="CN1377" i="1"/>
  <c r="CJ1377" i="1"/>
  <c r="CH1377" i="1"/>
  <c r="CF1377" i="1"/>
  <c r="BL1377" i="1"/>
  <c r="BD1377" i="1"/>
  <c r="AZ1377" i="1"/>
  <c r="AX1377" i="1"/>
  <c r="DC1378" i="1"/>
  <c r="DA1378" i="1"/>
  <c r="CY1378" i="1"/>
  <c r="Y1378" i="1" s="1"/>
  <c r="CW1378" i="1"/>
  <c r="AA1378" i="1" s="1"/>
  <c r="CR1378" i="1"/>
  <c r="CP1378" i="1"/>
  <c r="CN1378" i="1"/>
  <c r="CJ1378" i="1"/>
  <c r="CH1378" i="1"/>
  <c r="CF1378" i="1"/>
  <c r="BL1378" i="1"/>
  <c r="BD1378" i="1"/>
  <c r="AZ1378" i="1"/>
  <c r="AX1378" i="1"/>
  <c r="AD1396" i="1" l="1"/>
  <c r="AD1400" i="1"/>
  <c r="AD1413" i="1"/>
  <c r="AD1372" i="1"/>
  <c r="AD1397" i="1"/>
  <c r="AD854" i="1"/>
  <c r="AD1406" i="1"/>
  <c r="AD1415" i="1"/>
  <c r="AD1409" i="1"/>
  <c r="AD1422" i="1"/>
  <c r="AD1403" i="1"/>
  <c r="Z1398" i="1"/>
  <c r="AD1408" i="1"/>
  <c r="AD1404" i="1"/>
  <c r="AD1420" i="1"/>
  <c r="AD1395" i="1"/>
  <c r="AD1394" i="1"/>
  <c r="AD1402" i="1"/>
  <c r="AD1401" i="1"/>
  <c r="Z1390" i="1"/>
  <c r="Z1393" i="1"/>
  <c r="CU1386" i="1"/>
  <c r="X1386" i="1" s="1"/>
  <c r="AD1383" i="1"/>
  <c r="CU1398" i="1"/>
  <c r="X1398" i="1" s="1"/>
  <c r="Z1386" i="1"/>
  <c r="AD1371" i="1"/>
  <c r="AD1385" i="1"/>
  <c r="AD1374" i="1"/>
  <c r="AD1389" i="1"/>
  <c r="AD1364" i="1"/>
  <c r="AD1387" i="1"/>
  <c r="AD1382" i="1"/>
  <c r="AD1381" i="1"/>
  <c r="AD1369" i="1"/>
  <c r="AD1370" i="1"/>
  <c r="AD1363" i="1"/>
  <c r="AD1392" i="1"/>
  <c r="Z1376" i="1"/>
  <c r="CU1390" i="1"/>
  <c r="X1390" i="1" s="1"/>
  <c r="Z1379" i="1"/>
  <c r="CU1393" i="1"/>
  <c r="X1393" i="1" s="1"/>
  <c r="Z1375" i="1"/>
  <c r="CU1375" i="1"/>
  <c r="X1375" i="1" s="1"/>
  <c r="CU1376" i="1"/>
  <c r="X1376" i="1" s="1"/>
  <c r="Z1377" i="1"/>
  <c r="CU1377" i="1"/>
  <c r="X1377" i="1" s="1"/>
  <c r="Z1378" i="1"/>
  <c r="CU1379" i="1"/>
  <c r="X1379" i="1" s="1"/>
  <c r="CU1378" i="1"/>
  <c r="X1378" i="1" s="1"/>
  <c r="DC1411" i="1"/>
  <c r="DA1411" i="1"/>
  <c r="CY1411" i="1"/>
  <c r="Y1411" i="1" s="1"/>
  <c r="CW1411" i="1"/>
  <c r="AA1411" i="1" s="1"/>
  <c r="CR1411" i="1"/>
  <c r="CP1411" i="1"/>
  <c r="CN1411" i="1"/>
  <c r="CJ1411" i="1"/>
  <c r="CH1411" i="1"/>
  <c r="CF1411" i="1"/>
  <c r="BL1411" i="1"/>
  <c r="BD1411" i="1"/>
  <c r="AZ1411" i="1"/>
  <c r="AX1411" i="1"/>
  <c r="DC1407" i="1"/>
  <c r="DA1407" i="1"/>
  <c r="CY1407" i="1"/>
  <c r="Y1407" i="1" s="1"/>
  <c r="CW1407" i="1"/>
  <c r="AA1407" i="1" s="1"/>
  <c r="CR1407" i="1"/>
  <c r="CP1407" i="1"/>
  <c r="CN1407" i="1"/>
  <c r="CJ1407" i="1"/>
  <c r="CH1407" i="1"/>
  <c r="CF1407" i="1"/>
  <c r="BL1407" i="1"/>
  <c r="BD1407" i="1"/>
  <c r="AZ1407" i="1"/>
  <c r="AX1407" i="1"/>
  <c r="DA1391" i="1"/>
  <c r="CY1391" i="1"/>
  <c r="Y1391" i="1" s="1"/>
  <c r="CW1391" i="1"/>
  <c r="AA1391" i="1" s="1"/>
  <c r="CR1391" i="1"/>
  <c r="CP1391" i="1"/>
  <c r="CN1391" i="1"/>
  <c r="CJ1391" i="1"/>
  <c r="CH1391" i="1"/>
  <c r="CF1391" i="1"/>
  <c r="BL1391" i="1"/>
  <c r="BD1391" i="1"/>
  <c r="AZ1391" i="1"/>
  <c r="AX1391" i="1"/>
  <c r="DC1380" i="1"/>
  <c r="DA1380" i="1"/>
  <c r="CY1380" i="1"/>
  <c r="Y1380" i="1" s="1"/>
  <c r="CW1380" i="1"/>
  <c r="AA1380" i="1" s="1"/>
  <c r="CR1380" i="1"/>
  <c r="CP1380" i="1"/>
  <c r="CN1380" i="1"/>
  <c r="CJ1380" i="1"/>
  <c r="CH1380" i="1"/>
  <c r="CF1380" i="1"/>
  <c r="BL1380" i="1"/>
  <c r="BD1380" i="1"/>
  <c r="AZ1380" i="1"/>
  <c r="AX1380" i="1"/>
  <c r="DA1294" i="1"/>
  <c r="Y1294" i="1"/>
  <c r="CW1294" i="1"/>
  <c r="AA1294" i="1" s="1"/>
  <c r="CN1294" i="1"/>
  <c r="CH1294" i="1"/>
  <c r="CF1294" i="1"/>
  <c r="BL1294" i="1"/>
  <c r="BD1294" i="1"/>
  <c r="AX1294" i="1"/>
  <c r="DC1368" i="1"/>
  <c r="DA1368" i="1"/>
  <c r="CY1368" i="1"/>
  <c r="Y1368" i="1" s="1"/>
  <c r="CW1368" i="1"/>
  <c r="AA1368" i="1" s="1"/>
  <c r="CR1368" i="1"/>
  <c r="CP1368" i="1"/>
  <c r="CN1368" i="1"/>
  <c r="CJ1368" i="1"/>
  <c r="CH1368" i="1"/>
  <c r="CF1368" i="1"/>
  <c r="BL1368" i="1"/>
  <c r="BD1368" i="1"/>
  <c r="AZ1368" i="1"/>
  <c r="AX1368" i="1"/>
  <c r="DC1366" i="1"/>
  <c r="DA1366" i="1"/>
  <c r="CY1366" i="1"/>
  <c r="Y1366" i="1" s="1"/>
  <c r="CW1366" i="1"/>
  <c r="AA1366" i="1" s="1"/>
  <c r="CR1366" i="1"/>
  <c r="CP1366" i="1"/>
  <c r="CN1366" i="1"/>
  <c r="CJ1366" i="1"/>
  <c r="CH1366" i="1"/>
  <c r="CF1366" i="1"/>
  <c r="BL1366" i="1"/>
  <c r="BD1366" i="1"/>
  <c r="AZ1366" i="1"/>
  <c r="AX1366" i="1"/>
  <c r="DC1367" i="1"/>
  <c r="DA1367" i="1"/>
  <c r="CY1367" i="1"/>
  <c r="Y1367" i="1" s="1"/>
  <c r="CW1367" i="1"/>
  <c r="AA1367" i="1" s="1"/>
  <c r="CR1367" i="1"/>
  <c r="CP1367" i="1"/>
  <c r="CN1367" i="1"/>
  <c r="CJ1367" i="1"/>
  <c r="CH1367" i="1"/>
  <c r="CF1367" i="1"/>
  <c r="BL1367" i="1"/>
  <c r="BD1367" i="1"/>
  <c r="AZ1367" i="1"/>
  <c r="AX1367" i="1"/>
  <c r="DC1354" i="1"/>
  <c r="DA1354" i="1"/>
  <c r="CY1354" i="1"/>
  <c r="Y1354" i="1" s="1"/>
  <c r="CW1354" i="1"/>
  <c r="AA1354" i="1" s="1"/>
  <c r="CR1354" i="1"/>
  <c r="CP1354" i="1"/>
  <c r="CN1354" i="1"/>
  <c r="CJ1354" i="1"/>
  <c r="CH1354" i="1"/>
  <c r="CF1354" i="1"/>
  <c r="BL1354" i="1"/>
  <c r="BD1354" i="1"/>
  <c r="AZ1354" i="1"/>
  <c r="AX1354" i="1"/>
  <c r="DC1330" i="1"/>
  <c r="DA1330" i="1"/>
  <c r="CY1330" i="1"/>
  <c r="Y1330" i="1" s="1"/>
  <c r="CW1330" i="1"/>
  <c r="AA1330" i="1" s="1"/>
  <c r="CR1330" i="1"/>
  <c r="CP1330" i="1"/>
  <c r="CN1330" i="1"/>
  <c r="CJ1330" i="1"/>
  <c r="CH1330" i="1"/>
  <c r="CF1330" i="1"/>
  <c r="BL1330" i="1"/>
  <c r="BD1330" i="1"/>
  <c r="AZ1330" i="1"/>
  <c r="AX1330" i="1"/>
  <c r="DC1327" i="1"/>
  <c r="DA1327" i="1"/>
  <c r="CY1327" i="1"/>
  <c r="Y1327" i="1" s="1"/>
  <c r="CW1327" i="1"/>
  <c r="AA1327" i="1" s="1"/>
  <c r="CR1327" i="1"/>
  <c r="CP1327" i="1"/>
  <c r="CN1327" i="1"/>
  <c r="CJ1327" i="1"/>
  <c r="CH1327" i="1"/>
  <c r="CF1327" i="1"/>
  <c r="BL1327" i="1"/>
  <c r="BD1327" i="1"/>
  <c r="AZ1327" i="1"/>
  <c r="AX1327" i="1"/>
  <c r="DC1365" i="1"/>
  <c r="DA1365" i="1"/>
  <c r="CY1365" i="1"/>
  <c r="Y1365" i="1" s="1"/>
  <c r="CW1365" i="1"/>
  <c r="AA1365" i="1" s="1"/>
  <c r="CR1365" i="1"/>
  <c r="CP1365" i="1"/>
  <c r="CN1365" i="1"/>
  <c r="CJ1365" i="1"/>
  <c r="CH1365" i="1"/>
  <c r="CF1365" i="1"/>
  <c r="BL1365" i="1"/>
  <c r="BD1365" i="1"/>
  <c r="AZ1365" i="1"/>
  <c r="AX1365" i="1"/>
  <c r="DC1362" i="1"/>
  <c r="DA1362" i="1"/>
  <c r="CY1362" i="1"/>
  <c r="Y1362" i="1" s="1"/>
  <c r="CW1362" i="1"/>
  <c r="AA1362" i="1" s="1"/>
  <c r="CR1362" i="1"/>
  <c r="CP1362" i="1"/>
  <c r="CN1362" i="1"/>
  <c r="CJ1362" i="1"/>
  <c r="CH1362" i="1"/>
  <c r="CF1362" i="1"/>
  <c r="BL1362" i="1"/>
  <c r="BD1362" i="1"/>
  <c r="AZ1362" i="1"/>
  <c r="AX1362" i="1"/>
  <c r="AD1390" i="1" l="1"/>
  <c r="AD1398" i="1"/>
  <c r="AD1393" i="1"/>
  <c r="AD1386" i="1"/>
  <c r="AD1376" i="1"/>
  <c r="AD1379" i="1"/>
  <c r="AD1375" i="1"/>
  <c r="AD1378" i="1"/>
  <c r="AD1377" i="1"/>
  <c r="CU1362" i="1"/>
  <c r="X1362" i="1" s="1"/>
  <c r="CU1365" i="1"/>
  <c r="X1365" i="1" s="1"/>
  <c r="CU1327" i="1"/>
  <c r="X1327" i="1" s="1"/>
  <c r="CU1330" i="1"/>
  <c r="X1330" i="1" s="1"/>
  <c r="CU1354" i="1"/>
  <c r="X1354" i="1" s="1"/>
  <c r="CU1367" i="1"/>
  <c r="X1367" i="1" s="1"/>
  <c r="CU1366" i="1"/>
  <c r="X1366" i="1" s="1"/>
  <c r="CU1368" i="1"/>
  <c r="X1368" i="1" s="1"/>
  <c r="CU1294" i="1"/>
  <c r="X1294" i="1" s="1"/>
  <c r="CU1380" i="1"/>
  <c r="X1380" i="1" s="1"/>
  <c r="CU1391" i="1"/>
  <c r="X1391" i="1" s="1"/>
  <c r="CU1407" i="1"/>
  <c r="X1407" i="1" s="1"/>
  <c r="CU1411" i="1"/>
  <c r="X1411" i="1" s="1"/>
  <c r="Z1362" i="1"/>
  <c r="Z1365" i="1"/>
  <c r="Z1327" i="1"/>
  <c r="Z1330" i="1"/>
  <c r="Z1354" i="1"/>
  <c r="Z1367" i="1"/>
  <c r="Z1366" i="1"/>
  <c r="Z1368" i="1"/>
  <c r="Z1294" i="1"/>
  <c r="Z1380" i="1"/>
  <c r="Z1391" i="1"/>
  <c r="Z1407" i="1"/>
  <c r="Z1411" i="1"/>
  <c r="DC1357" i="1"/>
  <c r="DA1357" i="1"/>
  <c r="CY1357" i="1"/>
  <c r="Y1357" i="1" s="1"/>
  <c r="CW1357" i="1"/>
  <c r="AA1357" i="1" s="1"/>
  <c r="CR1357" i="1"/>
  <c r="CP1357" i="1"/>
  <c r="CN1357" i="1"/>
  <c r="CJ1357" i="1"/>
  <c r="CH1357" i="1"/>
  <c r="CF1357" i="1"/>
  <c r="BL1357" i="1"/>
  <c r="BD1357" i="1"/>
  <c r="AZ1357" i="1"/>
  <c r="AX1357" i="1"/>
  <c r="DC1351" i="1"/>
  <c r="DA1351" i="1"/>
  <c r="CY1351" i="1"/>
  <c r="Y1351" i="1" s="1"/>
  <c r="CW1351" i="1"/>
  <c r="AA1351" i="1" s="1"/>
  <c r="CR1351" i="1"/>
  <c r="CP1351" i="1"/>
  <c r="CN1351" i="1"/>
  <c r="CJ1351" i="1"/>
  <c r="CH1351" i="1"/>
  <c r="CF1351" i="1"/>
  <c r="BL1351" i="1"/>
  <c r="BD1351" i="1"/>
  <c r="AZ1351" i="1"/>
  <c r="AX1351" i="1"/>
  <c r="DC1310" i="1"/>
  <c r="DA1310" i="1"/>
  <c r="CY1310" i="1"/>
  <c r="Y1310" i="1" s="1"/>
  <c r="CW1310" i="1"/>
  <c r="AA1310" i="1" s="1"/>
  <c r="CR1310" i="1"/>
  <c r="CP1310" i="1"/>
  <c r="CN1310" i="1"/>
  <c r="CJ1310" i="1"/>
  <c r="CH1310" i="1"/>
  <c r="CF1310" i="1"/>
  <c r="BL1310" i="1"/>
  <c r="BD1310" i="1"/>
  <c r="AZ1310" i="1"/>
  <c r="AX1310" i="1"/>
  <c r="DC747" i="1"/>
  <c r="DA747" i="1"/>
  <c r="CY747" i="1"/>
  <c r="Y747" i="1" s="1"/>
  <c r="CW747" i="1"/>
  <c r="AA747" i="1" s="1"/>
  <c r="CR747" i="1"/>
  <c r="CP747" i="1"/>
  <c r="CN747" i="1"/>
  <c r="CJ747" i="1"/>
  <c r="CH747" i="1"/>
  <c r="CF747" i="1"/>
  <c r="BL747" i="1"/>
  <c r="BD747" i="1"/>
  <c r="AZ747" i="1"/>
  <c r="AX747" i="1"/>
  <c r="DC1339" i="1"/>
  <c r="DA1339" i="1"/>
  <c r="CY1339" i="1"/>
  <c r="Y1339" i="1" s="1"/>
  <c r="CW1339" i="1"/>
  <c r="AA1339" i="1" s="1"/>
  <c r="CR1339" i="1"/>
  <c r="CP1339" i="1"/>
  <c r="CN1339" i="1"/>
  <c r="CJ1339" i="1"/>
  <c r="CH1339" i="1"/>
  <c r="CF1339" i="1"/>
  <c r="BL1339" i="1"/>
  <c r="BD1339" i="1"/>
  <c r="AZ1339" i="1"/>
  <c r="AX1339" i="1"/>
  <c r="DC1349" i="1"/>
  <c r="DA1349" i="1"/>
  <c r="CY1349" i="1"/>
  <c r="Y1349" i="1" s="1"/>
  <c r="CW1349" i="1"/>
  <c r="AA1349" i="1" s="1"/>
  <c r="CR1349" i="1"/>
  <c r="CP1349" i="1"/>
  <c r="CN1349" i="1"/>
  <c r="CJ1349" i="1"/>
  <c r="CH1349" i="1"/>
  <c r="CF1349" i="1"/>
  <c r="BL1349" i="1"/>
  <c r="BD1349" i="1"/>
  <c r="AZ1349" i="1"/>
  <c r="AX1349" i="1"/>
  <c r="DC1350" i="1"/>
  <c r="DA1350" i="1"/>
  <c r="CY1350" i="1"/>
  <c r="Y1350" i="1" s="1"/>
  <c r="CW1350" i="1"/>
  <c r="AA1350" i="1" s="1"/>
  <c r="CR1350" i="1"/>
  <c r="CP1350" i="1"/>
  <c r="CN1350" i="1"/>
  <c r="CJ1350" i="1"/>
  <c r="CH1350" i="1"/>
  <c r="CF1350" i="1"/>
  <c r="BL1350" i="1"/>
  <c r="BD1350" i="1"/>
  <c r="AZ1350" i="1"/>
  <c r="AX1350" i="1"/>
  <c r="DC1347" i="1"/>
  <c r="DA1347" i="1"/>
  <c r="CY1347" i="1"/>
  <c r="Y1347" i="1" s="1"/>
  <c r="CW1347" i="1"/>
  <c r="AA1347" i="1" s="1"/>
  <c r="CR1347" i="1"/>
  <c r="CP1347" i="1"/>
  <c r="CN1347" i="1"/>
  <c r="CJ1347" i="1"/>
  <c r="CH1347" i="1"/>
  <c r="CF1347" i="1"/>
  <c r="BL1347" i="1"/>
  <c r="BD1347" i="1"/>
  <c r="AZ1347" i="1"/>
  <c r="AX1347" i="1"/>
  <c r="DC1348" i="1"/>
  <c r="DA1348" i="1"/>
  <c r="CY1348" i="1"/>
  <c r="Y1348" i="1" s="1"/>
  <c r="CW1348" i="1"/>
  <c r="AA1348" i="1" s="1"/>
  <c r="CR1348" i="1"/>
  <c r="CP1348" i="1"/>
  <c r="CN1348" i="1"/>
  <c r="CJ1348" i="1"/>
  <c r="CH1348" i="1"/>
  <c r="CF1348" i="1"/>
  <c r="BL1348" i="1"/>
  <c r="BD1348" i="1"/>
  <c r="AZ1348" i="1"/>
  <c r="AX1348" i="1"/>
  <c r="DC1360" i="1"/>
  <c r="DA1360" i="1"/>
  <c r="CY1360" i="1"/>
  <c r="Y1360" i="1" s="1"/>
  <c r="CW1360" i="1"/>
  <c r="AA1360" i="1" s="1"/>
  <c r="CR1360" i="1"/>
  <c r="CN1360" i="1"/>
  <c r="CJ1360" i="1"/>
  <c r="CH1360" i="1"/>
  <c r="CF1360" i="1"/>
  <c r="BL1360" i="1"/>
  <c r="BD1360" i="1"/>
  <c r="AZ1360" i="1"/>
  <c r="AX1360" i="1"/>
  <c r="DC1361" i="1"/>
  <c r="DA1361" i="1"/>
  <c r="CY1361" i="1"/>
  <c r="Y1361" i="1" s="1"/>
  <c r="CW1361" i="1"/>
  <c r="AA1361" i="1" s="1"/>
  <c r="CR1361" i="1"/>
  <c r="CP1361" i="1"/>
  <c r="CN1361" i="1"/>
  <c r="CJ1361" i="1"/>
  <c r="CH1361" i="1"/>
  <c r="CF1361" i="1"/>
  <c r="BL1361" i="1"/>
  <c r="BD1361" i="1"/>
  <c r="AZ1361" i="1"/>
  <c r="AX1361" i="1"/>
  <c r="DC1345" i="1"/>
  <c r="DA1345" i="1"/>
  <c r="CY1345" i="1"/>
  <c r="Y1345" i="1" s="1"/>
  <c r="CW1345" i="1"/>
  <c r="AA1345" i="1" s="1"/>
  <c r="CR1345" i="1"/>
  <c r="CP1345" i="1"/>
  <c r="CN1345" i="1"/>
  <c r="CJ1345" i="1"/>
  <c r="CH1345" i="1"/>
  <c r="CF1345" i="1"/>
  <c r="BL1345" i="1"/>
  <c r="BD1345" i="1"/>
  <c r="AZ1345" i="1"/>
  <c r="AX1345" i="1"/>
  <c r="DC1346" i="1"/>
  <c r="DA1346" i="1"/>
  <c r="CY1346" i="1"/>
  <c r="Y1346" i="1" s="1"/>
  <c r="CW1346" i="1"/>
  <c r="AA1346" i="1" s="1"/>
  <c r="CR1346" i="1"/>
  <c r="CP1346" i="1"/>
  <c r="CN1346" i="1"/>
  <c r="CJ1346" i="1"/>
  <c r="CH1346" i="1"/>
  <c r="CF1346" i="1"/>
  <c r="BL1346" i="1"/>
  <c r="BD1346" i="1"/>
  <c r="AZ1346" i="1"/>
  <c r="AX1346" i="1"/>
  <c r="DC1355" i="1"/>
  <c r="DA1355" i="1"/>
  <c r="CY1355" i="1"/>
  <c r="Y1355" i="1" s="1"/>
  <c r="CW1355" i="1"/>
  <c r="AA1355" i="1" s="1"/>
  <c r="CR1355" i="1"/>
  <c r="CP1355" i="1"/>
  <c r="CN1355" i="1"/>
  <c r="CJ1355" i="1"/>
  <c r="CH1355" i="1"/>
  <c r="CF1355" i="1"/>
  <c r="BL1355" i="1"/>
  <c r="BD1355" i="1"/>
  <c r="AZ1355" i="1"/>
  <c r="AX1355" i="1"/>
  <c r="DC1356" i="1"/>
  <c r="DA1356" i="1"/>
  <c r="CY1356" i="1"/>
  <c r="Y1356" i="1" s="1"/>
  <c r="CW1356" i="1"/>
  <c r="AA1356" i="1" s="1"/>
  <c r="CR1356" i="1"/>
  <c r="CP1356" i="1"/>
  <c r="CN1356" i="1"/>
  <c r="CJ1356" i="1"/>
  <c r="CH1356" i="1"/>
  <c r="CF1356" i="1"/>
  <c r="BL1356" i="1"/>
  <c r="BD1356" i="1"/>
  <c r="AZ1356" i="1"/>
  <c r="AX1356" i="1"/>
  <c r="DC1358" i="1"/>
  <c r="DA1358" i="1"/>
  <c r="CY1358" i="1"/>
  <c r="Y1358" i="1" s="1"/>
  <c r="CW1358" i="1"/>
  <c r="AA1358" i="1" s="1"/>
  <c r="CR1358" i="1"/>
  <c r="CP1358" i="1"/>
  <c r="CN1358" i="1"/>
  <c r="CJ1358" i="1"/>
  <c r="CH1358" i="1"/>
  <c r="CF1358" i="1"/>
  <c r="BL1358" i="1"/>
  <c r="BD1358" i="1"/>
  <c r="AZ1358" i="1"/>
  <c r="AX1358" i="1"/>
  <c r="DC1269" i="1"/>
  <c r="DA1269" i="1"/>
  <c r="CY1269" i="1"/>
  <c r="Y1269" i="1" s="1"/>
  <c r="CW1269" i="1"/>
  <c r="AA1269" i="1" s="1"/>
  <c r="CR1269" i="1"/>
  <c r="CP1269" i="1"/>
  <c r="CN1269" i="1"/>
  <c r="CJ1269" i="1"/>
  <c r="CH1269" i="1"/>
  <c r="CF1269" i="1"/>
  <c r="BL1269" i="1"/>
  <c r="BD1269" i="1"/>
  <c r="AZ1269" i="1"/>
  <c r="AX1269" i="1"/>
  <c r="DC1270" i="1"/>
  <c r="DA1270" i="1"/>
  <c r="CY1270" i="1"/>
  <c r="Y1270" i="1" s="1"/>
  <c r="CW1270" i="1"/>
  <c r="AA1270" i="1" s="1"/>
  <c r="CR1270" i="1"/>
  <c r="CP1270" i="1"/>
  <c r="CN1270" i="1"/>
  <c r="CJ1270" i="1"/>
  <c r="CH1270" i="1"/>
  <c r="CF1270" i="1"/>
  <c r="BL1270" i="1"/>
  <c r="BD1270" i="1"/>
  <c r="AZ1270" i="1"/>
  <c r="AX1270" i="1"/>
  <c r="DC1268" i="1"/>
  <c r="DA1268" i="1"/>
  <c r="CY1268" i="1"/>
  <c r="Y1268" i="1" s="1"/>
  <c r="CW1268" i="1"/>
  <c r="AA1268" i="1" s="1"/>
  <c r="CR1268" i="1"/>
  <c r="CP1268" i="1"/>
  <c r="CN1268" i="1"/>
  <c r="CJ1268" i="1"/>
  <c r="CH1268" i="1"/>
  <c r="CF1268" i="1"/>
  <c r="BL1268" i="1"/>
  <c r="BD1268" i="1"/>
  <c r="AZ1268" i="1"/>
  <c r="AX1268" i="1"/>
  <c r="DC1267" i="1"/>
  <c r="DA1267" i="1"/>
  <c r="CY1267" i="1"/>
  <c r="Y1267" i="1" s="1"/>
  <c r="CW1267" i="1"/>
  <c r="AA1267" i="1" s="1"/>
  <c r="CR1267" i="1"/>
  <c r="CP1267" i="1"/>
  <c r="CN1267" i="1"/>
  <c r="CJ1267" i="1"/>
  <c r="CH1267" i="1"/>
  <c r="CF1267" i="1"/>
  <c r="BL1267" i="1"/>
  <c r="BD1267" i="1"/>
  <c r="AZ1267" i="1"/>
  <c r="AX1267" i="1"/>
  <c r="DC1295" i="1"/>
  <c r="DA1295" i="1"/>
  <c r="CY1295" i="1"/>
  <c r="Y1295" i="1" s="1"/>
  <c r="CW1295" i="1"/>
  <c r="AA1295" i="1" s="1"/>
  <c r="CR1295" i="1"/>
  <c r="CP1295" i="1"/>
  <c r="CN1295" i="1"/>
  <c r="CJ1295" i="1"/>
  <c r="CH1295" i="1"/>
  <c r="CF1295" i="1"/>
  <c r="BL1295" i="1"/>
  <c r="BD1295" i="1"/>
  <c r="AZ1295" i="1"/>
  <c r="AX1295" i="1"/>
  <c r="DC1297" i="1"/>
  <c r="DA1297" i="1"/>
  <c r="CY1297" i="1"/>
  <c r="Y1297" i="1" s="1"/>
  <c r="CW1297" i="1"/>
  <c r="AA1297" i="1" s="1"/>
  <c r="CR1297" i="1"/>
  <c r="CP1297" i="1"/>
  <c r="CN1297" i="1"/>
  <c r="CJ1297" i="1"/>
  <c r="CH1297" i="1"/>
  <c r="CF1297" i="1"/>
  <c r="BL1297" i="1"/>
  <c r="BD1297" i="1"/>
  <c r="AZ1297" i="1"/>
  <c r="AX1297" i="1"/>
  <c r="DC1296" i="1"/>
  <c r="DA1296" i="1"/>
  <c r="CY1296" i="1"/>
  <c r="Y1296" i="1" s="1"/>
  <c r="CW1296" i="1"/>
  <c r="AA1296" i="1" s="1"/>
  <c r="CR1296" i="1"/>
  <c r="CP1296" i="1"/>
  <c r="CN1296" i="1"/>
  <c r="CJ1296" i="1"/>
  <c r="CH1296" i="1"/>
  <c r="CF1296" i="1"/>
  <c r="BL1296" i="1"/>
  <c r="BD1296" i="1"/>
  <c r="AZ1296" i="1"/>
  <c r="AX1296" i="1"/>
  <c r="DC1308" i="1"/>
  <c r="DA1308" i="1"/>
  <c r="CY1308" i="1"/>
  <c r="Y1308" i="1" s="1"/>
  <c r="CW1308" i="1"/>
  <c r="AA1308" i="1" s="1"/>
  <c r="CR1308" i="1"/>
  <c r="CP1308" i="1"/>
  <c r="CN1308" i="1"/>
  <c r="CJ1308" i="1"/>
  <c r="CH1308" i="1"/>
  <c r="CF1308" i="1"/>
  <c r="BL1308" i="1"/>
  <c r="BD1308" i="1"/>
  <c r="AZ1308" i="1"/>
  <c r="AX1308" i="1"/>
  <c r="DC1309" i="1"/>
  <c r="DA1309" i="1"/>
  <c r="CY1309" i="1"/>
  <c r="Y1309" i="1" s="1"/>
  <c r="CW1309" i="1"/>
  <c r="AA1309" i="1" s="1"/>
  <c r="CR1309" i="1"/>
  <c r="CP1309" i="1"/>
  <c r="CN1309" i="1"/>
  <c r="CJ1309" i="1"/>
  <c r="CH1309" i="1"/>
  <c r="CF1309" i="1"/>
  <c r="BL1309" i="1"/>
  <c r="BD1309" i="1"/>
  <c r="AZ1309" i="1"/>
  <c r="AX1309" i="1"/>
  <c r="DC1332" i="1"/>
  <c r="DA1332" i="1"/>
  <c r="CY1332" i="1"/>
  <c r="Y1332" i="1" s="1"/>
  <c r="CW1332" i="1"/>
  <c r="AA1332" i="1" s="1"/>
  <c r="CR1332" i="1"/>
  <c r="CP1332" i="1"/>
  <c r="CN1332" i="1"/>
  <c r="CJ1332" i="1"/>
  <c r="CH1332" i="1"/>
  <c r="CF1332" i="1"/>
  <c r="BL1332" i="1"/>
  <c r="BD1332" i="1"/>
  <c r="AZ1332" i="1"/>
  <c r="AX1332" i="1"/>
  <c r="DC1335" i="1"/>
  <c r="DA1335" i="1"/>
  <c r="CY1335" i="1"/>
  <c r="Y1335" i="1" s="1"/>
  <c r="CW1335" i="1"/>
  <c r="AA1335" i="1" s="1"/>
  <c r="CR1335" i="1"/>
  <c r="CP1335" i="1"/>
  <c r="CN1335" i="1"/>
  <c r="CJ1335" i="1"/>
  <c r="CH1335" i="1"/>
  <c r="CF1335" i="1"/>
  <c r="BL1335" i="1"/>
  <c r="BD1335" i="1"/>
  <c r="AZ1335" i="1"/>
  <c r="AX1335" i="1"/>
  <c r="DC1344" i="1"/>
  <c r="DA1344" i="1"/>
  <c r="CY1344" i="1"/>
  <c r="Y1344" i="1" s="1"/>
  <c r="CW1344" i="1"/>
  <c r="AA1344" i="1" s="1"/>
  <c r="CR1344" i="1"/>
  <c r="CP1344" i="1"/>
  <c r="CN1344" i="1"/>
  <c r="CJ1344" i="1"/>
  <c r="CH1344" i="1"/>
  <c r="CF1344" i="1"/>
  <c r="BL1344" i="1"/>
  <c r="BD1344" i="1"/>
  <c r="AZ1344" i="1"/>
  <c r="AX1344" i="1"/>
  <c r="DC1343" i="1"/>
  <c r="DA1343" i="1"/>
  <c r="CY1343" i="1"/>
  <c r="Y1343" i="1" s="1"/>
  <c r="CW1343" i="1"/>
  <c r="AA1343" i="1" s="1"/>
  <c r="CR1343" i="1"/>
  <c r="CP1343" i="1"/>
  <c r="CN1343" i="1"/>
  <c r="CJ1343" i="1"/>
  <c r="CH1343" i="1"/>
  <c r="CF1343" i="1"/>
  <c r="BL1343" i="1"/>
  <c r="BD1343" i="1"/>
  <c r="AZ1343" i="1"/>
  <c r="AX1343" i="1"/>
  <c r="DC1340" i="1"/>
  <c r="DA1340" i="1"/>
  <c r="CY1340" i="1"/>
  <c r="Y1340" i="1" s="1"/>
  <c r="CW1340" i="1"/>
  <c r="AA1340" i="1" s="1"/>
  <c r="CR1340" i="1"/>
  <c r="CP1340" i="1"/>
  <c r="CN1340" i="1"/>
  <c r="CJ1340" i="1"/>
  <c r="CH1340" i="1"/>
  <c r="CF1340" i="1"/>
  <c r="BL1340" i="1"/>
  <c r="BD1340" i="1"/>
  <c r="AZ1340" i="1"/>
  <c r="AX1340" i="1"/>
  <c r="DC1341" i="1"/>
  <c r="DA1341" i="1"/>
  <c r="CY1341" i="1"/>
  <c r="Y1341" i="1" s="1"/>
  <c r="CW1341" i="1"/>
  <c r="AA1341" i="1" s="1"/>
  <c r="CR1341" i="1"/>
  <c r="CP1341" i="1"/>
  <c r="CN1341" i="1"/>
  <c r="CJ1341" i="1"/>
  <c r="CH1341" i="1"/>
  <c r="CF1341" i="1"/>
  <c r="BL1341" i="1"/>
  <c r="BD1341" i="1"/>
  <c r="AZ1341" i="1"/>
  <c r="AX1341" i="1"/>
  <c r="DC1336" i="1"/>
  <c r="DA1336" i="1"/>
  <c r="CY1336" i="1"/>
  <c r="Y1336" i="1" s="1"/>
  <c r="CW1336" i="1"/>
  <c r="AA1336" i="1" s="1"/>
  <c r="CR1336" i="1"/>
  <c r="CP1336" i="1"/>
  <c r="CN1336" i="1"/>
  <c r="CJ1336" i="1"/>
  <c r="CH1336" i="1"/>
  <c r="CF1336" i="1"/>
  <c r="BL1336" i="1"/>
  <c r="BD1336" i="1"/>
  <c r="AZ1336" i="1"/>
  <c r="AX1336" i="1"/>
  <c r="AD1380" i="1" l="1"/>
  <c r="AD1411" i="1"/>
  <c r="AD1294" i="1"/>
  <c r="AD1354" i="1"/>
  <c r="AD1362" i="1"/>
  <c r="AD1367" i="1"/>
  <c r="AD1365" i="1"/>
  <c r="AD1391" i="1"/>
  <c r="AD1366" i="1"/>
  <c r="AD1327" i="1"/>
  <c r="AD1407" i="1"/>
  <c r="AD1368" i="1"/>
  <c r="AD1330" i="1"/>
  <c r="Z1357" i="1"/>
  <c r="Z1310" i="1"/>
  <c r="Z1351" i="1"/>
  <c r="Z747" i="1"/>
  <c r="CU1351" i="1"/>
  <c r="X1351" i="1" s="1"/>
  <c r="Z1349" i="1"/>
  <c r="Z1339" i="1"/>
  <c r="Z1355" i="1"/>
  <c r="Z1360" i="1"/>
  <c r="Z1350" i="1"/>
  <c r="CU1346" i="1"/>
  <c r="X1346" i="1" s="1"/>
  <c r="Z1346" i="1"/>
  <c r="CU1348" i="1"/>
  <c r="X1348" i="1" s="1"/>
  <c r="Z1348" i="1"/>
  <c r="Z1356" i="1"/>
  <c r="Z1361" i="1"/>
  <c r="CU1349" i="1"/>
  <c r="X1349" i="1" s="1"/>
  <c r="CU1358" i="1"/>
  <c r="X1358" i="1" s="1"/>
  <c r="Z1358" i="1"/>
  <c r="Z1345" i="1"/>
  <c r="Z1347" i="1"/>
  <c r="CU1355" i="1"/>
  <c r="X1355" i="1" s="1"/>
  <c r="CU1360" i="1"/>
  <c r="X1360" i="1" s="1"/>
  <c r="CU1350" i="1"/>
  <c r="X1350" i="1" s="1"/>
  <c r="CU1310" i="1"/>
  <c r="X1310" i="1" s="1"/>
  <c r="CU1357" i="1"/>
  <c r="X1357" i="1" s="1"/>
  <c r="CU1356" i="1"/>
  <c r="X1356" i="1" s="1"/>
  <c r="CU1345" i="1"/>
  <c r="X1345" i="1" s="1"/>
  <c r="CU1347" i="1"/>
  <c r="X1347" i="1" s="1"/>
  <c r="CU1339" i="1"/>
  <c r="X1339" i="1" s="1"/>
  <c r="CU1361" i="1"/>
  <c r="X1361" i="1" s="1"/>
  <c r="CU747" i="1"/>
  <c r="X747" i="1" s="1"/>
  <c r="Z1267" i="1"/>
  <c r="Z1309" i="1"/>
  <c r="Z1343" i="1"/>
  <c r="Z1269" i="1"/>
  <c r="Z1270" i="1"/>
  <c r="Z1295" i="1"/>
  <c r="Z1297" i="1"/>
  <c r="Z1341" i="1"/>
  <c r="Z1308" i="1"/>
  <c r="CU1341" i="1"/>
  <c r="X1341" i="1" s="1"/>
  <c r="Z1340" i="1"/>
  <c r="Z1344" i="1"/>
  <c r="CU1297" i="1"/>
  <c r="X1297" i="1" s="1"/>
  <c r="Z1296" i="1"/>
  <c r="Z1268" i="1"/>
  <c r="CU1270" i="1"/>
  <c r="X1270" i="1" s="1"/>
  <c r="Z1336" i="1"/>
  <c r="CU1335" i="1"/>
  <c r="X1335" i="1" s="1"/>
  <c r="Z1335" i="1"/>
  <c r="Z1332" i="1"/>
  <c r="CU1340" i="1"/>
  <c r="X1340" i="1" s="1"/>
  <c r="CU1332" i="1"/>
  <c r="X1332" i="1" s="1"/>
  <c r="CU1295" i="1"/>
  <c r="X1295" i="1" s="1"/>
  <c r="CU1269" i="1"/>
  <c r="X1269" i="1" s="1"/>
  <c r="CU1343" i="1"/>
  <c r="X1343" i="1" s="1"/>
  <c r="CU1309" i="1"/>
  <c r="X1309" i="1" s="1"/>
  <c r="CU1308" i="1"/>
  <c r="X1308" i="1" s="1"/>
  <c r="CU1267" i="1"/>
  <c r="X1267" i="1" s="1"/>
  <c r="CU1336" i="1"/>
  <c r="X1336" i="1" s="1"/>
  <c r="CU1344" i="1"/>
  <c r="X1344" i="1" s="1"/>
  <c r="CU1296" i="1"/>
  <c r="X1296" i="1" s="1"/>
  <c r="CU1268" i="1"/>
  <c r="X1268" i="1" s="1"/>
  <c r="DA649" i="1"/>
  <c r="DE553" i="1"/>
  <c r="AZ553" i="1"/>
  <c r="CP553" i="1"/>
  <c r="DC553" i="1"/>
  <c r="CY553" i="1"/>
  <c r="AZ677" i="1"/>
  <c r="CJ677" i="1"/>
  <c r="CN677" i="1"/>
  <c r="CP677" i="1"/>
  <c r="CY677" i="1"/>
  <c r="AD1309" i="1" l="1"/>
  <c r="AD1310" i="1"/>
  <c r="AD1349" i="1"/>
  <c r="AD1269" i="1"/>
  <c r="AD1357" i="1"/>
  <c r="AD747" i="1"/>
  <c r="AD1351" i="1"/>
  <c r="AD1339" i="1"/>
  <c r="AD1358" i="1"/>
  <c r="AD1347" i="1"/>
  <c r="AD1355" i="1"/>
  <c r="AD1346" i="1"/>
  <c r="AD1360" i="1"/>
  <c r="AD1356" i="1"/>
  <c r="AD1350" i="1"/>
  <c r="AD1348" i="1"/>
  <c r="AD1361" i="1"/>
  <c r="AD1345" i="1"/>
  <c r="AD1296" i="1"/>
  <c r="AD1267" i="1"/>
  <c r="AD1343" i="1"/>
  <c r="AD1295" i="1"/>
  <c r="AD1335" i="1"/>
  <c r="AD1340" i="1"/>
  <c r="AD1297" i="1"/>
  <c r="AD1268" i="1"/>
  <c r="AD1270" i="1"/>
  <c r="AD1308" i="1"/>
  <c r="AD1344" i="1"/>
  <c r="AD1332" i="1"/>
  <c r="AD1341" i="1"/>
  <c r="AD1336" i="1"/>
  <c r="DC1331" i="1"/>
  <c r="DA1331" i="1"/>
  <c r="CY1331" i="1"/>
  <c r="Y1331" i="1" s="1"/>
  <c r="CW1331" i="1"/>
  <c r="AA1331" i="1" s="1"/>
  <c r="CR1331" i="1"/>
  <c r="CP1331" i="1"/>
  <c r="CN1331" i="1"/>
  <c r="CJ1331" i="1"/>
  <c r="CH1331" i="1"/>
  <c r="CF1331" i="1"/>
  <c r="BL1331" i="1"/>
  <c r="BD1331" i="1"/>
  <c r="AZ1331" i="1"/>
  <c r="AX1331" i="1"/>
  <c r="DC1317" i="1"/>
  <c r="DA1317" i="1"/>
  <c r="CY1317" i="1"/>
  <c r="Y1317" i="1" s="1"/>
  <c r="CW1317" i="1"/>
  <c r="AA1317" i="1" s="1"/>
  <c r="CR1317" i="1"/>
  <c r="CP1317" i="1"/>
  <c r="CN1317" i="1"/>
  <c r="CJ1317" i="1"/>
  <c r="CH1317" i="1"/>
  <c r="CF1317" i="1"/>
  <c r="BL1317" i="1"/>
  <c r="BD1317" i="1"/>
  <c r="AZ1317" i="1"/>
  <c r="AX1317" i="1"/>
  <c r="DC1316" i="1"/>
  <c r="DA1316" i="1"/>
  <c r="CY1316" i="1"/>
  <c r="Y1316" i="1" s="1"/>
  <c r="CW1316" i="1"/>
  <c r="AA1316" i="1" s="1"/>
  <c r="CR1316" i="1"/>
  <c r="CP1316" i="1"/>
  <c r="CN1316" i="1"/>
  <c r="CJ1316" i="1"/>
  <c r="CH1316" i="1"/>
  <c r="CF1316" i="1"/>
  <c r="BL1316" i="1"/>
  <c r="BD1316" i="1"/>
  <c r="AZ1316" i="1"/>
  <c r="AX1316" i="1"/>
  <c r="DC1337" i="1"/>
  <c r="DA1337" i="1"/>
  <c r="CY1337" i="1"/>
  <c r="Y1337" i="1" s="1"/>
  <c r="CW1337" i="1"/>
  <c r="AA1337" i="1" s="1"/>
  <c r="CR1337" i="1"/>
  <c r="CP1337" i="1"/>
  <c r="CN1337" i="1"/>
  <c r="CJ1337" i="1"/>
  <c r="CH1337" i="1"/>
  <c r="CF1337" i="1"/>
  <c r="BL1337" i="1"/>
  <c r="BD1337" i="1"/>
  <c r="AZ1337" i="1"/>
  <c r="AX1337" i="1"/>
  <c r="DC1333" i="1"/>
  <c r="DA1333" i="1"/>
  <c r="CY1333" i="1"/>
  <c r="Y1333" i="1" s="1"/>
  <c r="CW1333" i="1"/>
  <c r="AA1333" i="1" s="1"/>
  <c r="CR1333" i="1"/>
  <c r="CP1333" i="1"/>
  <c r="CN1333" i="1"/>
  <c r="CJ1333" i="1"/>
  <c r="CH1333" i="1"/>
  <c r="CF1333" i="1"/>
  <c r="BL1333" i="1"/>
  <c r="BD1333" i="1"/>
  <c r="AZ1333" i="1"/>
  <c r="AX1333" i="1"/>
  <c r="DC1334" i="1"/>
  <c r="DA1334" i="1"/>
  <c r="CY1334" i="1"/>
  <c r="Y1334" i="1" s="1"/>
  <c r="CW1334" i="1"/>
  <c r="AA1334" i="1" s="1"/>
  <c r="CR1334" i="1"/>
  <c r="CP1334" i="1"/>
  <c r="CN1334" i="1"/>
  <c r="CJ1334" i="1"/>
  <c r="CH1334" i="1"/>
  <c r="CF1334" i="1"/>
  <c r="BL1334" i="1"/>
  <c r="BD1334" i="1"/>
  <c r="AZ1334" i="1"/>
  <c r="AX1334" i="1"/>
  <c r="DC1311" i="1"/>
  <c r="DA1311" i="1"/>
  <c r="CY1311" i="1"/>
  <c r="Y1311" i="1" s="1"/>
  <c r="CW1311" i="1"/>
  <c r="AA1311" i="1" s="1"/>
  <c r="CR1311" i="1"/>
  <c r="CP1311" i="1"/>
  <c r="CN1311" i="1"/>
  <c r="CJ1311" i="1"/>
  <c r="CH1311" i="1"/>
  <c r="CF1311" i="1"/>
  <c r="BL1311" i="1"/>
  <c r="BD1311" i="1"/>
  <c r="AZ1311" i="1"/>
  <c r="AX1311" i="1"/>
  <c r="DC1326" i="1"/>
  <c r="DA1326" i="1"/>
  <c r="CY1326" i="1"/>
  <c r="Y1326" i="1" s="1"/>
  <c r="CW1326" i="1"/>
  <c r="AA1326" i="1" s="1"/>
  <c r="CR1326" i="1"/>
  <c r="CP1326" i="1"/>
  <c r="CN1326" i="1"/>
  <c r="CJ1326" i="1"/>
  <c r="CH1326" i="1"/>
  <c r="CF1326" i="1"/>
  <c r="BL1326" i="1"/>
  <c r="BD1326" i="1"/>
  <c r="AZ1326" i="1"/>
  <c r="AX1326" i="1"/>
  <c r="DC1323" i="1"/>
  <c r="DA1323" i="1"/>
  <c r="CY1323" i="1"/>
  <c r="Y1323" i="1" s="1"/>
  <c r="CW1323" i="1"/>
  <c r="AA1323" i="1" s="1"/>
  <c r="CR1323" i="1"/>
  <c r="CP1323" i="1"/>
  <c r="CN1323" i="1"/>
  <c r="CJ1323" i="1"/>
  <c r="CH1323" i="1"/>
  <c r="CF1323" i="1"/>
  <c r="BL1323" i="1"/>
  <c r="BD1323" i="1"/>
  <c r="AZ1323" i="1"/>
  <c r="AX1323" i="1"/>
  <c r="DC1321" i="1"/>
  <c r="DA1321" i="1"/>
  <c r="CY1321" i="1"/>
  <c r="Y1321" i="1" s="1"/>
  <c r="CW1321" i="1"/>
  <c r="AA1321" i="1" s="1"/>
  <c r="CR1321" i="1"/>
  <c r="CP1321" i="1"/>
  <c r="CN1321" i="1"/>
  <c r="CJ1321" i="1"/>
  <c r="CH1321" i="1"/>
  <c r="CF1321" i="1"/>
  <c r="BL1321" i="1"/>
  <c r="BD1321" i="1"/>
  <c r="AZ1321" i="1"/>
  <c r="AX1321" i="1"/>
  <c r="DC1322" i="1"/>
  <c r="DA1322" i="1"/>
  <c r="CY1322" i="1"/>
  <c r="Y1322" i="1" s="1"/>
  <c r="CW1322" i="1"/>
  <c r="AA1322" i="1" s="1"/>
  <c r="CR1322" i="1"/>
  <c r="CP1322" i="1"/>
  <c r="CN1322" i="1"/>
  <c r="CJ1322" i="1"/>
  <c r="CH1322" i="1"/>
  <c r="CF1322" i="1"/>
  <c r="BL1322" i="1"/>
  <c r="BD1322" i="1"/>
  <c r="AZ1322" i="1"/>
  <c r="AX1322" i="1"/>
  <c r="DC1324" i="1"/>
  <c r="DA1324" i="1"/>
  <c r="CY1324" i="1"/>
  <c r="Y1324" i="1" s="1"/>
  <c r="CW1324" i="1"/>
  <c r="AA1324" i="1" s="1"/>
  <c r="CR1324" i="1"/>
  <c r="CP1324" i="1"/>
  <c r="CN1324" i="1"/>
  <c r="CJ1324" i="1"/>
  <c r="CH1324" i="1"/>
  <c r="CF1324" i="1"/>
  <c r="BL1324" i="1"/>
  <c r="BD1324" i="1"/>
  <c r="AZ1324" i="1"/>
  <c r="AX1324" i="1"/>
  <c r="DC1325" i="1"/>
  <c r="DA1325" i="1"/>
  <c r="CY1325" i="1"/>
  <c r="Y1325" i="1" s="1"/>
  <c r="CW1325" i="1"/>
  <c r="AA1325" i="1" s="1"/>
  <c r="CR1325" i="1"/>
  <c r="CP1325" i="1"/>
  <c r="CN1325" i="1"/>
  <c r="CJ1325" i="1"/>
  <c r="CH1325" i="1"/>
  <c r="CF1325" i="1"/>
  <c r="BL1325" i="1"/>
  <c r="BD1325" i="1"/>
  <c r="AZ1325" i="1"/>
  <c r="AX1325" i="1"/>
  <c r="DC1312" i="1"/>
  <c r="DA1312" i="1"/>
  <c r="CY1312" i="1"/>
  <c r="Y1312" i="1" s="1"/>
  <c r="CW1312" i="1"/>
  <c r="AA1312" i="1" s="1"/>
  <c r="CR1312" i="1"/>
  <c r="CP1312" i="1"/>
  <c r="CN1312" i="1"/>
  <c r="CJ1312" i="1"/>
  <c r="CH1312" i="1"/>
  <c r="CF1312" i="1"/>
  <c r="BL1312" i="1"/>
  <c r="BD1312" i="1"/>
  <c r="AZ1312" i="1"/>
  <c r="AX1312" i="1"/>
  <c r="DC1305" i="1"/>
  <c r="DA1305" i="1"/>
  <c r="CY1305" i="1"/>
  <c r="Y1305" i="1" s="1"/>
  <c r="CW1305" i="1"/>
  <c r="AA1305" i="1" s="1"/>
  <c r="CR1305" i="1"/>
  <c r="CP1305" i="1"/>
  <c r="CN1305" i="1"/>
  <c r="CJ1305" i="1"/>
  <c r="CH1305" i="1"/>
  <c r="CF1305" i="1"/>
  <c r="BL1305" i="1"/>
  <c r="BD1305" i="1"/>
  <c r="AZ1305" i="1"/>
  <c r="AX1305" i="1"/>
  <c r="DC1320" i="1"/>
  <c r="DA1320" i="1"/>
  <c r="CY1320" i="1"/>
  <c r="Y1320" i="1" s="1"/>
  <c r="CW1320" i="1"/>
  <c r="AA1320" i="1" s="1"/>
  <c r="CR1320" i="1"/>
  <c r="CP1320" i="1"/>
  <c r="CN1320" i="1"/>
  <c r="CJ1320" i="1"/>
  <c r="CH1320" i="1"/>
  <c r="CF1320" i="1"/>
  <c r="BL1320" i="1"/>
  <c r="BD1320" i="1"/>
  <c r="AZ1320" i="1"/>
  <c r="AX1320" i="1"/>
  <c r="DC1307" i="1"/>
  <c r="DA1307" i="1"/>
  <c r="CY1307" i="1"/>
  <c r="Y1307" i="1" s="1"/>
  <c r="CW1307" i="1"/>
  <c r="AA1307" i="1" s="1"/>
  <c r="CR1307" i="1"/>
  <c r="CP1307" i="1"/>
  <c r="CN1307" i="1"/>
  <c r="CJ1307" i="1"/>
  <c r="CH1307" i="1"/>
  <c r="CF1307" i="1"/>
  <c r="BL1307" i="1"/>
  <c r="BD1307" i="1"/>
  <c r="AZ1307" i="1"/>
  <c r="AX1307" i="1"/>
  <c r="DC1315" i="1"/>
  <c r="DA1315" i="1"/>
  <c r="CY1315" i="1"/>
  <c r="Y1315" i="1" s="1"/>
  <c r="CW1315" i="1"/>
  <c r="AA1315" i="1" s="1"/>
  <c r="CR1315" i="1"/>
  <c r="CP1315" i="1"/>
  <c r="CN1315" i="1"/>
  <c r="CJ1315" i="1"/>
  <c r="CH1315" i="1"/>
  <c r="CF1315" i="1"/>
  <c r="BL1315" i="1"/>
  <c r="BD1315" i="1"/>
  <c r="AZ1315" i="1"/>
  <c r="AX1315" i="1"/>
  <c r="DC1319" i="1"/>
  <c r="DA1319" i="1"/>
  <c r="CY1319" i="1"/>
  <c r="Y1319" i="1" s="1"/>
  <c r="CW1319" i="1"/>
  <c r="AA1319" i="1" s="1"/>
  <c r="CR1319" i="1"/>
  <c r="CP1319" i="1"/>
  <c r="CN1319" i="1"/>
  <c r="CJ1319" i="1"/>
  <c r="CH1319" i="1"/>
  <c r="CF1319" i="1"/>
  <c r="BL1319" i="1"/>
  <c r="BD1319" i="1"/>
  <c r="AZ1319" i="1"/>
  <c r="AX1319" i="1"/>
  <c r="DC1318" i="1"/>
  <c r="DA1318" i="1"/>
  <c r="CY1318" i="1"/>
  <c r="Y1318" i="1" s="1"/>
  <c r="CW1318" i="1"/>
  <c r="AA1318" i="1" s="1"/>
  <c r="CR1318" i="1"/>
  <c r="CP1318" i="1"/>
  <c r="CN1318" i="1"/>
  <c r="CJ1318" i="1"/>
  <c r="CH1318" i="1"/>
  <c r="CF1318" i="1"/>
  <c r="BL1318" i="1"/>
  <c r="BD1318" i="1"/>
  <c r="AZ1318" i="1"/>
  <c r="AX1318" i="1"/>
  <c r="DC1306" i="1"/>
  <c r="DA1306" i="1"/>
  <c r="CY1306" i="1"/>
  <c r="Y1306" i="1" s="1"/>
  <c r="CW1306" i="1"/>
  <c r="AA1306" i="1" s="1"/>
  <c r="CR1306" i="1"/>
  <c r="CP1306" i="1"/>
  <c r="CN1306" i="1"/>
  <c r="CJ1306" i="1"/>
  <c r="CH1306" i="1"/>
  <c r="CF1306" i="1"/>
  <c r="BL1306" i="1"/>
  <c r="BD1306" i="1"/>
  <c r="AZ1306" i="1"/>
  <c r="AX1306" i="1"/>
  <c r="DC1313" i="1"/>
  <c r="DA1313" i="1"/>
  <c r="CY1313" i="1"/>
  <c r="Y1313" i="1" s="1"/>
  <c r="CW1313" i="1"/>
  <c r="AA1313" i="1" s="1"/>
  <c r="CR1313" i="1"/>
  <c r="CP1313" i="1"/>
  <c r="CN1313" i="1"/>
  <c r="CJ1313" i="1"/>
  <c r="CH1313" i="1"/>
  <c r="CF1313" i="1"/>
  <c r="BL1313" i="1"/>
  <c r="BD1313" i="1"/>
  <c r="AZ1313" i="1"/>
  <c r="AX1313" i="1"/>
  <c r="DC1304" i="1"/>
  <c r="DA1304" i="1"/>
  <c r="CY1304" i="1"/>
  <c r="Y1304" i="1" s="1"/>
  <c r="CW1304" i="1"/>
  <c r="AA1304" i="1" s="1"/>
  <c r="CR1304" i="1"/>
  <c r="CP1304" i="1"/>
  <c r="CN1304" i="1"/>
  <c r="CJ1304" i="1"/>
  <c r="CH1304" i="1"/>
  <c r="CF1304" i="1"/>
  <c r="BL1304" i="1"/>
  <c r="BD1304" i="1"/>
  <c r="AZ1304" i="1"/>
  <c r="AX1304" i="1"/>
  <c r="DC1299" i="1"/>
  <c r="DA1299" i="1"/>
  <c r="CY1299" i="1"/>
  <c r="Y1299" i="1" s="1"/>
  <c r="CW1299" i="1"/>
  <c r="AA1299" i="1" s="1"/>
  <c r="CR1299" i="1"/>
  <c r="CP1299" i="1"/>
  <c r="CN1299" i="1"/>
  <c r="CJ1299" i="1"/>
  <c r="CH1299" i="1"/>
  <c r="CF1299" i="1"/>
  <c r="BL1299" i="1"/>
  <c r="BD1299" i="1"/>
  <c r="AZ1299" i="1"/>
  <c r="AX1299" i="1"/>
  <c r="DC1303" i="1"/>
  <c r="DA1303" i="1"/>
  <c r="CY1303" i="1"/>
  <c r="Y1303" i="1" s="1"/>
  <c r="CW1303" i="1"/>
  <c r="AA1303" i="1" s="1"/>
  <c r="CR1303" i="1"/>
  <c r="CP1303" i="1"/>
  <c r="CN1303" i="1"/>
  <c r="CJ1303" i="1"/>
  <c r="CH1303" i="1"/>
  <c r="CF1303" i="1"/>
  <c r="BL1303" i="1"/>
  <c r="BD1303" i="1"/>
  <c r="AZ1303" i="1"/>
  <c r="AX1303" i="1"/>
  <c r="DC1301" i="1"/>
  <c r="DA1301" i="1"/>
  <c r="CY1301" i="1"/>
  <c r="Y1301" i="1" s="1"/>
  <c r="CW1301" i="1"/>
  <c r="AA1301" i="1" s="1"/>
  <c r="CR1301" i="1"/>
  <c r="CP1301" i="1"/>
  <c r="CN1301" i="1"/>
  <c r="CJ1301" i="1"/>
  <c r="CH1301" i="1"/>
  <c r="CF1301" i="1"/>
  <c r="BL1301" i="1"/>
  <c r="BD1301" i="1"/>
  <c r="AZ1301" i="1"/>
  <c r="AX1301" i="1"/>
  <c r="DC1264" i="1"/>
  <c r="DA1264" i="1"/>
  <c r="Y1264" i="1"/>
  <c r="CW1264" i="1"/>
  <c r="AA1264" i="1" s="1"/>
  <c r="CN1264" i="1"/>
  <c r="CH1264" i="1"/>
  <c r="CF1264" i="1"/>
  <c r="BL1264" i="1"/>
  <c r="BD1264" i="1"/>
  <c r="AX1264" i="1"/>
  <c r="DC1314" i="1"/>
  <c r="DA1314" i="1"/>
  <c r="CY1314" i="1"/>
  <c r="Y1314" i="1" s="1"/>
  <c r="CW1314" i="1"/>
  <c r="AA1314" i="1" s="1"/>
  <c r="CR1314" i="1"/>
  <c r="CP1314" i="1"/>
  <c r="CN1314" i="1"/>
  <c r="CJ1314" i="1"/>
  <c r="CH1314" i="1"/>
  <c r="CF1314" i="1"/>
  <c r="BL1314" i="1"/>
  <c r="BD1314" i="1"/>
  <c r="AZ1314" i="1"/>
  <c r="AX1314" i="1"/>
  <c r="DC1300" i="1"/>
  <c r="DA1300" i="1"/>
  <c r="CY1300" i="1"/>
  <c r="Y1300" i="1" s="1"/>
  <c r="CW1300" i="1"/>
  <c r="AA1300" i="1" s="1"/>
  <c r="CR1300" i="1"/>
  <c r="CP1300" i="1"/>
  <c r="CN1300" i="1"/>
  <c r="CJ1300" i="1"/>
  <c r="CH1300" i="1"/>
  <c r="CF1300" i="1"/>
  <c r="BL1300" i="1"/>
  <c r="BD1300" i="1"/>
  <c r="AZ1300" i="1"/>
  <c r="AX1300" i="1"/>
  <c r="DC1251" i="1"/>
  <c r="DA1251" i="1"/>
  <c r="CY1251" i="1"/>
  <c r="Y1251" i="1" s="1"/>
  <c r="CW1251" i="1"/>
  <c r="AA1251" i="1" s="1"/>
  <c r="CR1251" i="1"/>
  <c r="CP1251" i="1"/>
  <c r="CN1251" i="1"/>
  <c r="CJ1251" i="1"/>
  <c r="CH1251" i="1"/>
  <c r="CF1251" i="1"/>
  <c r="BL1251" i="1"/>
  <c r="BD1251" i="1"/>
  <c r="AZ1251" i="1"/>
  <c r="AX1251" i="1"/>
  <c r="DC1277" i="1"/>
  <c r="DA1277" i="1"/>
  <c r="CY1277" i="1"/>
  <c r="Y1277" i="1" s="1"/>
  <c r="CW1277" i="1"/>
  <c r="AA1277" i="1" s="1"/>
  <c r="CR1277" i="1"/>
  <c r="CP1277" i="1"/>
  <c r="CN1277" i="1"/>
  <c r="CJ1277" i="1"/>
  <c r="CH1277" i="1"/>
  <c r="CF1277" i="1"/>
  <c r="BL1277" i="1"/>
  <c r="BD1277" i="1"/>
  <c r="AZ1277" i="1"/>
  <c r="AX1277" i="1"/>
  <c r="CY1274" i="1"/>
  <c r="Y1274" i="1" s="1"/>
  <c r="CW1274" i="1"/>
  <c r="AA1274" i="1" s="1"/>
  <c r="CR1274" i="1"/>
  <c r="CP1274" i="1"/>
  <c r="CN1274" i="1"/>
  <c r="CJ1274" i="1"/>
  <c r="CH1274" i="1"/>
  <c r="CF1274" i="1"/>
  <c r="BL1274" i="1"/>
  <c r="BD1274" i="1"/>
  <c r="AZ1274" i="1"/>
  <c r="AX1274" i="1"/>
  <c r="DC1275" i="1"/>
  <c r="DA1275" i="1"/>
  <c r="CY1275" i="1"/>
  <c r="Y1275" i="1" s="1"/>
  <c r="CW1275" i="1"/>
  <c r="AA1275" i="1" s="1"/>
  <c r="CR1275" i="1"/>
  <c r="CP1275" i="1"/>
  <c r="CN1275" i="1"/>
  <c r="CJ1275" i="1"/>
  <c r="CH1275" i="1"/>
  <c r="CF1275" i="1"/>
  <c r="BL1275" i="1"/>
  <c r="BD1275" i="1"/>
  <c r="AZ1275" i="1"/>
  <c r="AX1275" i="1"/>
  <c r="DC1276" i="1"/>
  <c r="DA1276" i="1"/>
  <c r="CY1276" i="1"/>
  <c r="Y1276" i="1" s="1"/>
  <c r="CW1276" i="1"/>
  <c r="AA1276" i="1" s="1"/>
  <c r="CR1276" i="1"/>
  <c r="CP1276" i="1"/>
  <c r="CN1276" i="1"/>
  <c r="CJ1276" i="1"/>
  <c r="CH1276" i="1"/>
  <c r="CF1276" i="1"/>
  <c r="BL1276" i="1"/>
  <c r="BD1276" i="1"/>
  <c r="AZ1276" i="1"/>
  <c r="AX1276" i="1"/>
  <c r="DC1278" i="1"/>
  <c r="DA1278" i="1"/>
  <c r="CY1278" i="1"/>
  <c r="Y1278" i="1" s="1"/>
  <c r="CW1278" i="1"/>
  <c r="AA1278" i="1" s="1"/>
  <c r="CR1278" i="1"/>
  <c r="CP1278" i="1"/>
  <c r="CN1278" i="1"/>
  <c r="CJ1278" i="1"/>
  <c r="CH1278" i="1"/>
  <c r="CF1278" i="1"/>
  <c r="BL1278" i="1"/>
  <c r="BD1278" i="1"/>
  <c r="AZ1278" i="1"/>
  <c r="AX1278" i="1"/>
  <c r="DC1252" i="1"/>
  <c r="DA1252" i="1"/>
  <c r="CY1252" i="1"/>
  <c r="Y1252" i="1" s="1"/>
  <c r="CW1252" i="1"/>
  <c r="AA1252" i="1" s="1"/>
  <c r="CR1252" i="1"/>
  <c r="CP1252" i="1"/>
  <c r="CN1252" i="1"/>
  <c r="CJ1252" i="1"/>
  <c r="CH1252" i="1"/>
  <c r="CF1252" i="1"/>
  <c r="BL1252" i="1"/>
  <c r="BD1252" i="1"/>
  <c r="AZ1252" i="1"/>
  <c r="AX1252" i="1"/>
  <c r="DA1245" i="1"/>
  <c r="Y1245" i="1"/>
  <c r="CW1245" i="1"/>
  <c r="AA1245" i="1" s="1"/>
  <c r="CN1245" i="1"/>
  <c r="CH1245" i="1"/>
  <c r="CF1245" i="1"/>
  <c r="BL1245" i="1"/>
  <c r="BD1245" i="1"/>
  <c r="AX1245" i="1"/>
  <c r="DC1253" i="1"/>
  <c r="DA1253" i="1"/>
  <c r="CY1253" i="1"/>
  <c r="Y1253" i="1" s="1"/>
  <c r="CW1253" i="1"/>
  <c r="AA1253" i="1" s="1"/>
  <c r="CR1253" i="1"/>
  <c r="CP1253" i="1"/>
  <c r="CN1253" i="1"/>
  <c r="CJ1253" i="1"/>
  <c r="CH1253" i="1"/>
  <c r="CF1253" i="1"/>
  <c r="BL1253" i="1"/>
  <c r="BD1253" i="1"/>
  <c r="AZ1253" i="1"/>
  <c r="AX1253" i="1"/>
  <c r="DC1197" i="1"/>
  <c r="DA1197" i="1"/>
  <c r="CY1197" i="1"/>
  <c r="Y1197" i="1" s="1"/>
  <c r="CW1197" i="1"/>
  <c r="AA1197" i="1" s="1"/>
  <c r="CR1197" i="1"/>
  <c r="CP1197" i="1"/>
  <c r="CN1197" i="1"/>
  <c r="CJ1197" i="1"/>
  <c r="CH1197" i="1"/>
  <c r="CF1197" i="1"/>
  <c r="BL1197" i="1"/>
  <c r="BD1197" i="1"/>
  <c r="AZ1197" i="1"/>
  <c r="AX1197" i="1"/>
  <c r="DC1196" i="1"/>
  <c r="DA1196" i="1"/>
  <c r="CY1196" i="1"/>
  <c r="Y1196" i="1" s="1"/>
  <c r="CW1196" i="1"/>
  <c r="AA1196" i="1" s="1"/>
  <c r="CR1196" i="1"/>
  <c r="CP1196" i="1"/>
  <c r="CN1196" i="1"/>
  <c r="CJ1196" i="1"/>
  <c r="CH1196" i="1"/>
  <c r="CF1196" i="1"/>
  <c r="BL1196" i="1"/>
  <c r="BD1196" i="1"/>
  <c r="AZ1196" i="1"/>
  <c r="AX1196" i="1"/>
  <c r="DC1186" i="1"/>
  <c r="DA1186" i="1"/>
  <c r="Y1186" i="1"/>
  <c r="CW1186" i="1"/>
  <c r="AA1186" i="1" s="1"/>
  <c r="CN1186" i="1"/>
  <c r="CH1186" i="1"/>
  <c r="CF1186" i="1"/>
  <c r="BL1186" i="1"/>
  <c r="BD1186" i="1"/>
  <c r="AX1186" i="1"/>
  <c r="DC1302" i="1"/>
  <c r="DA1302" i="1"/>
  <c r="CY1302" i="1"/>
  <c r="Y1302" i="1" s="1"/>
  <c r="CW1302" i="1"/>
  <c r="AA1302" i="1" s="1"/>
  <c r="CR1302" i="1"/>
  <c r="CP1302" i="1"/>
  <c r="CN1302" i="1"/>
  <c r="CJ1302" i="1"/>
  <c r="CH1302" i="1"/>
  <c r="CF1302" i="1"/>
  <c r="BL1302" i="1"/>
  <c r="BD1302" i="1"/>
  <c r="AZ1302" i="1"/>
  <c r="AX1302" i="1"/>
  <c r="DC1271" i="1"/>
  <c r="DA1271" i="1"/>
  <c r="CY1271" i="1"/>
  <c r="Y1271" i="1" s="1"/>
  <c r="CW1271" i="1"/>
  <c r="AA1271" i="1" s="1"/>
  <c r="CR1271" i="1"/>
  <c r="CP1271" i="1"/>
  <c r="CN1271" i="1"/>
  <c r="CJ1271" i="1"/>
  <c r="CH1271" i="1"/>
  <c r="CF1271" i="1"/>
  <c r="BL1271" i="1"/>
  <c r="BD1271" i="1"/>
  <c r="AZ1271" i="1"/>
  <c r="AX1271" i="1"/>
  <c r="DC1266" i="1"/>
  <c r="DA1266" i="1"/>
  <c r="CY1266" i="1"/>
  <c r="Y1266" i="1" s="1"/>
  <c r="CW1266" i="1"/>
  <c r="AA1266" i="1" s="1"/>
  <c r="CR1266" i="1"/>
  <c r="CP1266" i="1"/>
  <c r="CN1266" i="1"/>
  <c r="CJ1266" i="1"/>
  <c r="CH1266" i="1"/>
  <c r="CF1266" i="1"/>
  <c r="BL1266" i="1"/>
  <c r="BD1266" i="1"/>
  <c r="AZ1266" i="1"/>
  <c r="AX1266" i="1"/>
  <c r="DC1262" i="1"/>
  <c r="DA1262" i="1"/>
  <c r="CY1262" i="1"/>
  <c r="Y1262" i="1" s="1"/>
  <c r="CW1262" i="1"/>
  <c r="AA1262" i="1" s="1"/>
  <c r="CR1262" i="1"/>
  <c r="CP1262" i="1"/>
  <c r="CN1262" i="1"/>
  <c r="CJ1262" i="1"/>
  <c r="CH1262" i="1"/>
  <c r="CF1262" i="1"/>
  <c r="BL1262" i="1"/>
  <c r="BD1262" i="1"/>
  <c r="AZ1262" i="1"/>
  <c r="AX1262" i="1"/>
  <c r="DC1273" i="1"/>
  <c r="DA1273" i="1"/>
  <c r="CY1273" i="1"/>
  <c r="Y1273" i="1" s="1"/>
  <c r="CW1273" i="1"/>
  <c r="AA1273" i="1" s="1"/>
  <c r="CR1273" i="1"/>
  <c r="CP1273" i="1"/>
  <c r="CN1273" i="1"/>
  <c r="CJ1273" i="1"/>
  <c r="CH1273" i="1"/>
  <c r="CF1273" i="1"/>
  <c r="BL1273" i="1"/>
  <c r="BD1273" i="1"/>
  <c r="AZ1273" i="1"/>
  <c r="AX1273" i="1"/>
  <c r="DC1272" i="1"/>
  <c r="DA1272" i="1"/>
  <c r="CY1272" i="1"/>
  <c r="Y1272" i="1" s="1"/>
  <c r="CW1272" i="1"/>
  <c r="AA1272" i="1" s="1"/>
  <c r="CR1272" i="1"/>
  <c r="CP1272" i="1"/>
  <c r="CN1272" i="1"/>
  <c r="CJ1272" i="1"/>
  <c r="CH1272" i="1"/>
  <c r="CF1272" i="1"/>
  <c r="BL1272" i="1"/>
  <c r="BD1272" i="1"/>
  <c r="AZ1272" i="1"/>
  <c r="AX1272" i="1"/>
  <c r="Z1337" i="1" l="1"/>
  <c r="Z1317" i="1"/>
  <c r="Z1314" i="1"/>
  <c r="Z1333" i="1"/>
  <c r="Z1276" i="1"/>
  <c r="Z1277" i="1"/>
  <c r="Z1312" i="1"/>
  <c r="Z1321" i="1"/>
  <c r="Z1334" i="1"/>
  <c r="Z1301" i="1"/>
  <c r="Z1304" i="1"/>
  <c r="Z1320" i="1"/>
  <c r="Z1325" i="1"/>
  <c r="Z1326" i="1"/>
  <c r="Z1251" i="1"/>
  <c r="Z1264" i="1"/>
  <c r="Z1303" i="1"/>
  <c r="Z1318" i="1"/>
  <c r="Z1315" i="1"/>
  <c r="Z1324" i="1"/>
  <c r="Z1311" i="1"/>
  <c r="Z1274" i="1"/>
  <c r="Z1275" i="1"/>
  <c r="Z1319" i="1"/>
  <c r="Z1305" i="1"/>
  <c r="Z1322" i="1"/>
  <c r="Z1323" i="1"/>
  <c r="CU1337" i="1"/>
  <c r="X1337" i="1" s="1"/>
  <c r="Z1331" i="1"/>
  <c r="Z1300" i="1"/>
  <c r="Z1299" i="1"/>
  <c r="Z1306" i="1"/>
  <c r="Z1307" i="1"/>
  <c r="CU1278" i="1"/>
  <c r="X1278" i="1" s="1"/>
  <c r="Z1272" i="1"/>
  <c r="Z1273" i="1"/>
  <c r="Z1262" i="1"/>
  <c r="Z1266" i="1"/>
  <c r="Z1271" i="1"/>
  <c r="Z1302" i="1"/>
  <c r="Z1186" i="1"/>
  <c r="Z1196" i="1"/>
  <c r="Z1197" i="1"/>
  <c r="Z1253" i="1"/>
  <c r="Z1245" i="1"/>
  <c r="Z1252" i="1"/>
  <c r="Z1278" i="1"/>
  <c r="CU1272" i="1"/>
  <c r="X1272" i="1" s="1"/>
  <c r="CU1273" i="1"/>
  <c r="X1273" i="1" s="1"/>
  <c r="CU1266" i="1"/>
  <c r="X1266" i="1" s="1"/>
  <c r="CU1271" i="1"/>
  <c r="X1271" i="1" s="1"/>
  <c r="CU1302" i="1"/>
  <c r="X1302" i="1" s="1"/>
  <c r="CU1186" i="1"/>
  <c r="X1186" i="1" s="1"/>
  <c r="CU1196" i="1"/>
  <c r="X1196" i="1" s="1"/>
  <c r="CU1197" i="1"/>
  <c r="X1197" i="1" s="1"/>
  <c r="CU1253" i="1"/>
  <c r="X1253" i="1" s="1"/>
  <c r="CU1245" i="1"/>
  <c r="X1245" i="1" s="1"/>
  <c r="CU1252" i="1"/>
  <c r="X1252" i="1" s="1"/>
  <c r="CU1316" i="1"/>
  <c r="X1316" i="1" s="1"/>
  <c r="Z1316" i="1"/>
  <c r="CU1333" i="1"/>
  <c r="X1333" i="1" s="1"/>
  <c r="CU1317" i="1"/>
  <c r="X1317" i="1" s="1"/>
  <c r="CU1331" i="1"/>
  <c r="X1331" i="1" s="1"/>
  <c r="Z1313" i="1"/>
  <c r="CU1262" i="1"/>
  <c r="X1262" i="1" s="1"/>
  <c r="CU1276" i="1"/>
  <c r="X1276" i="1" s="1"/>
  <c r="CU1274" i="1"/>
  <c r="X1274" i="1" s="1"/>
  <c r="CU1251" i="1"/>
  <c r="X1251" i="1" s="1"/>
  <c r="CU1314" i="1"/>
  <c r="X1314" i="1" s="1"/>
  <c r="CU1303" i="1"/>
  <c r="X1303" i="1" s="1"/>
  <c r="CU1304" i="1"/>
  <c r="X1304" i="1" s="1"/>
  <c r="CU1306" i="1"/>
  <c r="X1306" i="1" s="1"/>
  <c r="CU1319" i="1"/>
  <c r="X1319" i="1" s="1"/>
  <c r="CU1315" i="1"/>
  <c r="X1315" i="1" s="1"/>
  <c r="CU1320" i="1"/>
  <c r="X1320" i="1" s="1"/>
  <c r="CU1312" i="1"/>
  <c r="X1312" i="1" s="1"/>
  <c r="CU1324" i="1"/>
  <c r="X1324" i="1" s="1"/>
  <c r="CU1321" i="1"/>
  <c r="X1321" i="1" s="1"/>
  <c r="CU1323" i="1"/>
  <c r="X1323" i="1" s="1"/>
  <c r="CU1311" i="1"/>
  <c r="X1311" i="1" s="1"/>
  <c r="CU1275" i="1"/>
  <c r="X1275" i="1" s="1"/>
  <c r="CU1277" i="1"/>
  <c r="X1277" i="1" s="1"/>
  <c r="CU1300" i="1"/>
  <c r="X1300" i="1" s="1"/>
  <c r="CU1264" i="1"/>
  <c r="X1264" i="1" s="1"/>
  <c r="CU1301" i="1"/>
  <c r="X1301" i="1" s="1"/>
  <c r="CU1299" i="1"/>
  <c r="X1299" i="1" s="1"/>
  <c r="CU1313" i="1"/>
  <c r="X1313" i="1" s="1"/>
  <c r="CU1318" i="1"/>
  <c r="X1318" i="1" s="1"/>
  <c r="CU1307" i="1"/>
  <c r="X1307" i="1" s="1"/>
  <c r="CU1305" i="1"/>
  <c r="X1305" i="1" s="1"/>
  <c r="CU1325" i="1"/>
  <c r="X1325" i="1" s="1"/>
  <c r="CU1322" i="1"/>
  <c r="X1322" i="1" s="1"/>
  <c r="CU1326" i="1"/>
  <c r="X1326" i="1" s="1"/>
  <c r="CU1334" i="1"/>
  <c r="X1334" i="1" s="1"/>
  <c r="AD1326" i="1" l="1"/>
  <c r="AD1252" i="1"/>
  <c r="AD1325" i="1"/>
  <c r="AD1264" i="1"/>
  <c r="AD1301" i="1"/>
  <c r="AD1331" i="1"/>
  <c r="AD1275" i="1"/>
  <c r="AD1337" i="1"/>
  <c r="AD1307" i="1"/>
  <c r="AD1317" i="1"/>
  <c r="AD1334" i="1"/>
  <c r="AD1277" i="1"/>
  <c r="AD1196" i="1"/>
  <c r="AD1305" i="1"/>
  <c r="AD1276" i="1"/>
  <c r="AD1318" i="1"/>
  <c r="AD1322" i="1"/>
  <c r="AD1312" i="1"/>
  <c r="AD1299" i="1"/>
  <c r="AD1333" i="1"/>
  <c r="AD1316" i="1"/>
  <c r="AD1321" i="1"/>
  <c r="AD1306" i="1"/>
  <c r="AD1314" i="1"/>
  <c r="AD1262" i="1"/>
  <c r="AD1320" i="1"/>
  <c r="AD1304" i="1"/>
  <c r="AD1251" i="1"/>
  <c r="AD1266" i="1"/>
  <c r="AD1323" i="1"/>
  <c r="AD1319" i="1"/>
  <c r="AD1278" i="1"/>
  <c r="AD1300" i="1"/>
  <c r="AD1311" i="1"/>
  <c r="AD1324" i="1"/>
  <c r="AD1315" i="1"/>
  <c r="AD1303" i="1"/>
  <c r="AD1274" i="1"/>
  <c r="AD1245" i="1"/>
  <c r="AD1197" i="1"/>
  <c r="AD1271" i="1"/>
  <c r="AD1313" i="1"/>
  <c r="AD1253" i="1"/>
  <c r="AD1302" i="1"/>
  <c r="AD1272" i="1"/>
  <c r="AD1186" i="1"/>
  <c r="AD1273" i="1"/>
  <c r="I1091" i="1"/>
  <c r="I1115" i="1"/>
  <c r="DC611" i="1" l="1"/>
  <c r="DC664" i="1" l="1"/>
  <c r="DE662" i="1"/>
  <c r="DC662" i="1"/>
  <c r="DA662" i="1"/>
  <c r="DE661" i="1"/>
  <c r="DA661" i="1"/>
  <c r="DC661" i="1"/>
  <c r="DC653" i="1"/>
  <c r="DE653" i="1"/>
  <c r="DA653" i="1"/>
  <c r="DC641" i="1"/>
  <c r="DA641" i="1"/>
  <c r="DC640" i="1"/>
  <c r="DE640" i="1"/>
  <c r="DA640" i="1"/>
  <c r="DE639" i="1"/>
  <c r="DA639" i="1"/>
  <c r="DC1423" i="1" l="1"/>
  <c r="DA1423" i="1"/>
  <c r="CY1423" i="1"/>
  <c r="Y1423" i="1" s="1"/>
  <c r="CW1423" i="1"/>
  <c r="AA1423" i="1" s="1"/>
  <c r="CR1423" i="1"/>
  <c r="CP1423" i="1"/>
  <c r="CN1423" i="1"/>
  <c r="CJ1423" i="1"/>
  <c r="CH1423" i="1"/>
  <c r="CF1423" i="1"/>
  <c r="BL1423" i="1"/>
  <c r="BD1423" i="1"/>
  <c r="AZ1423" i="1"/>
  <c r="AX1423" i="1"/>
  <c r="DC1426" i="1"/>
  <c r="DA1426" i="1"/>
  <c r="CY1426" i="1"/>
  <c r="Y1426" i="1" s="1"/>
  <c r="CW1426" i="1"/>
  <c r="AA1426" i="1" s="1"/>
  <c r="CR1426" i="1"/>
  <c r="CP1426" i="1"/>
  <c r="CN1426" i="1"/>
  <c r="CJ1426" i="1"/>
  <c r="CH1426" i="1"/>
  <c r="CF1426" i="1"/>
  <c r="BL1426" i="1"/>
  <c r="BD1426" i="1"/>
  <c r="AZ1426" i="1"/>
  <c r="AX1426" i="1"/>
  <c r="DC1419" i="1"/>
  <c r="DA1419" i="1"/>
  <c r="CY1419" i="1"/>
  <c r="Y1419" i="1" s="1"/>
  <c r="CW1419" i="1"/>
  <c r="AA1419" i="1" s="1"/>
  <c r="CR1419" i="1"/>
  <c r="CP1419" i="1"/>
  <c r="CN1419" i="1"/>
  <c r="CJ1419" i="1"/>
  <c r="CH1419" i="1"/>
  <c r="CF1419" i="1"/>
  <c r="BL1419" i="1"/>
  <c r="BD1419" i="1"/>
  <c r="AZ1419" i="1"/>
  <c r="AX1419" i="1"/>
  <c r="DC1416" i="1"/>
  <c r="DA1416" i="1"/>
  <c r="CY1416" i="1"/>
  <c r="Y1416" i="1" s="1"/>
  <c r="CW1416" i="1"/>
  <c r="AA1416" i="1" s="1"/>
  <c r="CR1416" i="1"/>
  <c r="CP1416" i="1"/>
  <c r="CN1416" i="1"/>
  <c r="CJ1416" i="1"/>
  <c r="CH1416" i="1"/>
  <c r="CF1416" i="1"/>
  <c r="BL1416" i="1"/>
  <c r="BD1416" i="1"/>
  <c r="AZ1416" i="1"/>
  <c r="AX1416" i="1"/>
  <c r="DC1338" i="1"/>
  <c r="DA1338" i="1"/>
  <c r="CY1338" i="1"/>
  <c r="Y1338" i="1" s="1"/>
  <c r="CW1338" i="1"/>
  <c r="AA1338" i="1" s="1"/>
  <c r="CR1338" i="1"/>
  <c r="CP1338" i="1"/>
  <c r="CN1338" i="1"/>
  <c r="CJ1338" i="1"/>
  <c r="CH1338" i="1"/>
  <c r="CF1338" i="1"/>
  <c r="BL1338" i="1"/>
  <c r="BD1338" i="1"/>
  <c r="AZ1338" i="1"/>
  <c r="AX1338" i="1"/>
  <c r="DC1284" i="1"/>
  <c r="DA1284" i="1"/>
  <c r="CY1284" i="1"/>
  <c r="Y1284" i="1" s="1"/>
  <c r="CW1284" i="1"/>
  <c r="AA1284" i="1" s="1"/>
  <c r="CR1284" i="1"/>
  <c r="CP1284" i="1"/>
  <c r="CN1284" i="1"/>
  <c r="CJ1284" i="1"/>
  <c r="CH1284" i="1"/>
  <c r="CF1284" i="1"/>
  <c r="BL1284" i="1"/>
  <c r="BD1284" i="1"/>
  <c r="AZ1284" i="1"/>
  <c r="AX1284" i="1"/>
  <c r="DC1115" i="1"/>
  <c r="DA1115" i="1"/>
  <c r="CY1115" i="1"/>
  <c r="Y1115" i="1" s="1"/>
  <c r="CW1115" i="1"/>
  <c r="AA1115" i="1" s="1"/>
  <c r="CR1115" i="1"/>
  <c r="CP1115" i="1"/>
  <c r="CN1115" i="1"/>
  <c r="CJ1115" i="1"/>
  <c r="CH1115" i="1"/>
  <c r="CF1115" i="1"/>
  <c r="BL1115" i="1"/>
  <c r="BD1115" i="1"/>
  <c r="AZ1115" i="1"/>
  <c r="AX1115" i="1"/>
  <c r="DC1298" i="1"/>
  <c r="DA1298" i="1"/>
  <c r="CY1298" i="1"/>
  <c r="Y1298" i="1" s="1"/>
  <c r="CW1298" i="1"/>
  <c r="AA1298" i="1" s="1"/>
  <c r="CR1298" i="1"/>
  <c r="CP1298" i="1"/>
  <c r="CN1298" i="1"/>
  <c r="CJ1298" i="1"/>
  <c r="CH1298" i="1"/>
  <c r="CF1298" i="1"/>
  <c r="BL1298" i="1"/>
  <c r="BD1298" i="1"/>
  <c r="AZ1298" i="1"/>
  <c r="AX1298" i="1"/>
  <c r="DC1292" i="1"/>
  <c r="DA1292" i="1"/>
  <c r="CY1292" i="1"/>
  <c r="Y1292" i="1" s="1"/>
  <c r="CW1292" i="1"/>
  <c r="AA1292" i="1" s="1"/>
  <c r="CR1292" i="1"/>
  <c r="CP1292" i="1"/>
  <c r="CN1292" i="1"/>
  <c r="CJ1292" i="1"/>
  <c r="CH1292" i="1"/>
  <c r="CF1292" i="1"/>
  <c r="BL1292" i="1"/>
  <c r="BD1292" i="1"/>
  <c r="AZ1292" i="1"/>
  <c r="AX1292" i="1"/>
  <c r="DC1265" i="1"/>
  <c r="DA1265" i="1"/>
  <c r="CY1265" i="1"/>
  <c r="Y1265" i="1" s="1"/>
  <c r="CW1265" i="1"/>
  <c r="AA1265" i="1" s="1"/>
  <c r="CR1265" i="1"/>
  <c r="CP1265" i="1"/>
  <c r="CN1265" i="1"/>
  <c r="CJ1265" i="1"/>
  <c r="CH1265" i="1"/>
  <c r="CF1265" i="1"/>
  <c r="BL1265" i="1"/>
  <c r="BD1265" i="1"/>
  <c r="AZ1265" i="1"/>
  <c r="AX1265" i="1"/>
  <c r="DC1280" i="1"/>
  <c r="DA1280" i="1"/>
  <c r="CY1280" i="1"/>
  <c r="Y1280" i="1" s="1"/>
  <c r="CW1280" i="1"/>
  <c r="AA1280" i="1" s="1"/>
  <c r="CR1280" i="1"/>
  <c r="CP1280" i="1"/>
  <c r="CN1280" i="1"/>
  <c r="CJ1280" i="1"/>
  <c r="CH1280" i="1"/>
  <c r="CF1280" i="1"/>
  <c r="BL1280" i="1"/>
  <c r="BD1280" i="1"/>
  <c r="AZ1280" i="1"/>
  <c r="AX1280" i="1"/>
  <c r="DC1279" i="1"/>
  <c r="DA1279" i="1"/>
  <c r="CY1279" i="1"/>
  <c r="Y1279" i="1" s="1"/>
  <c r="CW1279" i="1"/>
  <c r="AA1279" i="1" s="1"/>
  <c r="CR1279" i="1"/>
  <c r="CP1279" i="1"/>
  <c r="CN1279" i="1"/>
  <c r="CJ1279" i="1"/>
  <c r="CH1279" i="1"/>
  <c r="CF1279" i="1"/>
  <c r="BL1279" i="1"/>
  <c r="BD1279" i="1"/>
  <c r="AZ1279" i="1"/>
  <c r="AX1279" i="1"/>
  <c r="DC1289" i="1"/>
  <c r="DA1289" i="1"/>
  <c r="CY1289" i="1"/>
  <c r="Y1289" i="1" s="1"/>
  <c r="CW1289" i="1"/>
  <c r="AA1289" i="1" s="1"/>
  <c r="CR1289" i="1"/>
  <c r="CP1289" i="1"/>
  <c r="CN1289" i="1"/>
  <c r="CJ1289" i="1"/>
  <c r="CH1289" i="1"/>
  <c r="CF1289" i="1"/>
  <c r="BL1289" i="1"/>
  <c r="BD1289" i="1"/>
  <c r="AZ1289" i="1"/>
  <c r="AX1289" i="1"/>
  <c r="DC1288" i="1"/>
  <c r="DA1288" i="1"/>
  <c r="CY1288" i="1"/>
  <c r="Y1288" i="1" s="1"/>
  <c r="CW1288" i="1"/>
  <c r="AA1288" i="1" s="1"/>
  <c r="CR1288" i="1"/>
  <c r="CP1288" i="1"/>
  <c r="CN1288" i="1"/>
  <c r="CJ1288" i="1"/>
  <c r="CH1288" i="1"/>
  <c r="CF1288" i="1"/>
  <c r="BL1288" i="1"/>
  <c r="BD1288" i="1"/>
  <c r="AZ1288" i="1"/>
  <c r="AX1288" i="1"/>
  <c r="DC1285" i="1"/>
  <c r="DA1285" i="1"/>
  <c r="CY1285" i="1"/>
  <c r="Y1285" i="1" s="1"/>
  <c r="CW1285" i="1"/>
  <c r="AA1285" i="1" s="1"/>
  <c r="CR1285" i="1"/>
  <c r="CP1285" i="1"/>
  <c r="CN1285" i="1"/>
  <c r="CJ1285" i="1"/>
  <c r="CH1285" i="1"/>
  <c r="CF1285" i="1"/>
  <c r="BL1285" i="1"/>
  <c r="BD1285" i="1"/>
  <c r="AZ1285" i="1"/>
  <c r="AX1285" i="1"/>
  <c r="DC1283" i="1"/>
  <c r="DA1283" i="1"/>
  <c r="CY1283" i="1"/>
  <c r="Y1283" i="1" s="1"/>
  <c r="CW1283" i="1"/>
  <c r="AA1283" i="1" s="1"/>
  <c r="CR1283" i="1"/>
  <c r="CP1283" i="1"/>
  <c r="CN1283" i="1"/>
  <c r="CJ1283" i="1"/>
  <c r="CH1283" i="1"/>
  <c r="CF1283" i="1"/>
  <c r="BL1283" i="1"/>
  <c r="BD1283" i="1"/>
  <c r="AZ1283" i="1"/>
  <c r="AX1283" i="1"/>
  <c r="DC1282" i="1"/>
  <c r="DA1282" i="1"/>
  <c r="CY1282" i="1"/>
  <c r="Y1282" i="1" s="1"/>
  <c r="CW1282" i="1"/>
  <c r="AA1282" i="1" s="1"/>
  <c r="CR1282" i="1"/>
  <c r="CP1282" i="1"/>
  <c r="CN1282" i="1"/>
  <c r="CJ1282" i="1"/>
  <c r="CH1282" i="1"/>
  <c r="CF1282" i="1"/>
  <c r="BL1282" i="1"/>
  <c r="BD1282" i="1"/>
  <c r="AZ1282" i="1"/>
  <c r="AX1282" i="1"/>
  <c r="DC1290" i="1"/>
  <c r="DA1290" i="1"/>
  <c r="CY1290" i="1"/>
  <c r="Y1290" i="1" s="1"/>
  <c r="CW1290" i="1"/>
  <c r="AA1290" i="1" s="1"/>
  <c r="CR1290" i="1"/>
  <c r="CP1290" i="1"/>
  <c r="CN1290" i="1"/>
  <c r="CJ1290" i="1"/>
  <c r="CH1290" i="1"/>
  <c r="CF1290" i="1"/>
  <c r="BL1290" i="1"/>
  <c r="BD1290" i="1"/>
  <c r="AZ1290" i="1"/>
  <c r="AX1290" i="1"/>
  <c r="DC1281" i="1"/>
  <c r="DA1281" i="1"/>
  <c r="CY1281" i="1"/>
  <c r="Y1281" i="1" s="1"/>
  <c r="CW1281" i="1"/>
  <c r="AA1281" i="1" s="1"/>
  <c r="CR1281" i="1"/>
  <c r="CP1281" i="1"/>
  <c r="CN1281" i="1"/>
  <c r="CJ1281" i="1"/>
  <c r="CH1281" i="1"/>
  <c r="CF1281" i="1"/>
  <c r="BL1281" i="1"/>
  <c r="BD1281" i="1"/>
  <c r="AZ1281" i="1"/>
  <c r="AX1281" i="1"/>
  <c r="DC1287" i="1"/>
  <c r="DA1287" i="1"/>
  <c r="CY1287" i="1"/>
  <c r="Y1287" i="1" s="1"/>
  <c r="CW1287" i="1"/>
  <c r="AA1287" i="1" s="1"/>
  <c r="CR1287" i="1"/>
  <c r="CP1287" i="1"/>
  <c r="CN1287" i="1"/>
  <c r="CJ1287" i="1"/>
  <c r="CH1287" i="1"/>
  <c r="CF1287" i="1"/>
  <c r="BL1287" i="1"/>
  <c r="BD1287" i="1"/>
  <c r="AZ1287" i="1"/>
  <c r="AX1287" i="1"/>
  <c r="DC1291" i="1"/>
  <c r="DA1291" i="1"/>
  <c r="CY1291" i="1"/>
  <c r="Y1291" i="1" s="1"/>
  <c r="CW1291" i="1"/>
  <c r="AA1291" i="1" s="1"/>
  <c r="CR1291" i="1"/>
  <c r="CP1291" i="1"/>
  <c r="CN1291" i="1"/>
  <c r="CJ1291" i="1"/>
  <c r="CH1291" i="1"/>
  <c r="CF1291" i="1"/>
  <c r="BL1291" i="1"/>
  <c r="BD1291" i="1"/>
  <c r="AZ1291" i="1"/>
  <c r="AX1291" i="1"/>
  <c r="DC1248" i="1"/>
  <c r="DA1248" i="1"/>
  <c r="CY1248" i="1"/>
  <c r="Y1248" i="1" s="1"/>
  <c r="CW1248" i="1"/>
  <c r="AA1248" i="1" s="1"/>
  <c r="CR1248" i="1"/>
  <c r="CP1248" i="1"/>
  <c r="CN1248" i="1"/>
  <c r="CJ1248" i="1"/>
  <c r="CH1248" i="1"/>
  <c r="CF1248" i="1"/>
  <c r="BL1248" i="1"/>
  <c r="BD1248" i="1"/>
  <c r="AZ1248" i="1"/>
  <c r="AX1248" i="1"/>
  <c r="W3917" i="1"/>
  <c r="AZ611" i="1"/>
  <c r="Z1419" i="1" l="1"/>
  <c r="Z1416" i="1"/>
  <c r="Z1426" i="1"/>
  <c r="CU1426" i="1"/>
  <c r="X1426" i="1" s="1"/>
  <c r="Z1423" i="1"/>
  <c r="Z1298" i="1"/>
  <c r="Z1115" i="1"/>
  <c r="Z1280" i="1"/>
  <c r="CU1284" i="1"/>
  <c r="X1284" i="1" s="1"/>
  <c r="Z1284" i="1"/>
  <c r="Z1338" i="1"/>
  <c r="Z1265" i="1"/>
  <c r="Z1281" i="1"/>
  <c r="Z1283" i="1"/>
  <c r="Z1279" i="1"/>
  <c r="Z1291" i="1"/>
  <c r="Z1290" i="1"/>
  <c r="Z1288" i="1"/>
  <c r="Z1248" i="1"/>
  <c r="Z1287" i="1"/>
  <c r="Z1289" i="1"/>
  <c r="CU1288" i="1"/>
  <c r="X1288" i="1" s="1"/>
  <c r="CU1290" i="1"/>
  <c r="X1290" i="1" s="1"/>
  <c r="Z1282" i="1"/>
  <c r="Z1285" i="1"/>
  <c r="CU1265" i="1"/>
  <c r="X1265" i="1" s="1"/>
  <c r="Z1292" i="1"/>
  <c r="CU1287" i="1"/>
  <c r="X1287" i="1" s="1"/>
  <c r="CU1248" i="1"/>
  <c r="X1248" i="1" s="1"/>
  <c r="CU1281" i="1"/>
  <c r="X1281" i="1" s="1"/>
  <c r="CU1285" i="1"/>
  <c r="X1285" i="1" s="1"/>
  <c r="CU1280" i="1"/>
  <c r="X1280" i="1" s="1"/>
  <c r="CU1115" i="1"/>
  <c r="X1115" i="1" s="1"/>
  <c r="CU1419" i="1"/>
  <c r="X1419" i="1" s="1"/>
  <c r="CU1291" i="1"/>
  <c r="X1291" i="1" s="1"/>
  <c r="CU1282" i="1"/>
  <c r="X1282" i="1" s="1"/>
  <c r="CU1289" i="1"/>
  <c r="X1289" i="1" s="1"/>
  <c r="CU1292" i="1"/>
  <c r="X1292" i="1" s="1"/>
  <c r="CU1338" i="1"/>
  <c r="X1338" i="1" s="1"/>
  <c r="CU1423" i="1"/>
  <c r="X1423" i="1" s="1"/>
  <c r="CU1283" i="1"/>
  <c r="X1283" i="1" s="1"/>
  <c r="CU1279" i="1"/>
  <c r="X1279" i="1" s="1"/>
  <c r="CU1298" i="1"/>
  <c r="X1298" i="1" s="1"/>
  <c r="CU1416" i="1"/>
  <c r="X1416" i="1" s="1"/>
  <c r="DC1263" i="1"/>
  <c r="DA1263" i="1"/>
  <c r="CY1263" i="1"/>
  <c r="Y1263" i="1" s="1"/>
  <c r="CW1263" i="1"/>
  <c r="AA1263" i="1" s="1"/>
  <c r="CR1263" i="1"/>
  <c r="CP1263" i="1"/>
  <c r="CN1263" i="1"/>
  <c r="CJ1263" i="1"/>
  <c r="CH1263" i="1"/>
  <c r="CF1263" i="1"/>
  <c r="BL1263" i="1"/>
  <c r="BD1263" i="1"/>
  <c r="AZ1263" i="1"/>
  <c r="AX1263" i="1"/>
  <c r="DC1286" i="1"/>
  <c r="DA1286" i="1"/>
  <c r="CY1286" i="1"/>
  <c r="Y1286" i="1" s="1"/>
  <c r="CW1286" i="1"/>
  <c r="AA1286" i="1" s="1"/>
  <c r="CR1286" i="1"/>
  <c r="CP1286" i="1"/>
  <c r="CN1286" i="1"/>
  <c r="CJ1286" i="1"/>
  <c r="CH1286" i="1"/>
  <c r="CF1286" i="1"/>
  <c r="BL1286" i="1"/>
  <c r="BD1286" i="1"/>
  <c r="AZ1286" i="1"/>
  <c r="AX1286" i="1"/>
  <c r="DC1261" i="1"/>
  <c r="DA1261" i="1"/>
  <c r="CY1261" i="1"/>
  <c r="Y1261" i="1" s="1"/>
  <c r="CW1261" i="1"/>
  <c r="AA1261" i="1" s="1"/>
  <c r="CR1261" i="1"/>
  <c r="CP1261" i="1"/>
  <c r="CN1261" i="1"/>
  <c r="CJ1261" i="1"/>
  <c r="CH1261" i="1"/>
  <c r="CF1261" i="1"/>
  <c r="BL1261" i="1"/>
  <c r="BD1261" i="1"/>
  <c r="AZ1261" i="1"/>
  <c r="AX1261" i="1"/>
  <c r="DC1243" i="1"/>
  <c r="DA1243" i="1"/>
  <c r="CY1243" i="1"/>
  <c r="Y1243" i="1" s="1"/>
  <c r="CW1243" i="1"/>
  <c r="AA1243" i="1" s="1"/>
  <c r="CR1243" i="1"/>
  <c r="CP1243" i="1"/>
  <c r="CN1243" i="1"/>
  <c r="CJ1243" i="1"/>
  <c r="CH1243" i="1"/>
  <c r="CF1243" i="1"/>
  <c r="BL1243" i="1"/>
  <c r="BD1243" i="1"/>
  <c r="AZ1243" i="1"/>
  <c r="AX1243" i="1"/>
  <c r="DC1254" i="1"/>
  <c r="DA1254" i="1"/>
  <c r="CY1254" i="1"/>
  <c r="Y1254" i="1" s="1"/>
  <c r="CW1254" i="1"/>
  <c r="AA1254" i="1" s="1"/>
  <c r="CR1254" i="1"/>
  <c r="CP1254" i="1"/>
  <c r="CN1254" i="1"/>
  <c r="CJ1254" i="1"/>
  <c r="CH1254" i="1"/>
  <c r="CF1254" i="1"/>
  <c r="BL1254" i="1"/>
  <c r="BD1254" i="1"/>
  <c r="AZ1254" i="1"/>
  <c r="AX1254" i="1"/>
  <c r="DC1249" i="1"/>
  <c r="DA1249" i="1"/>
  <c r="CY1249" i="1"/>
  <c r="Y1249" i="1" s="1"/>
  <c r="CW1249" i="1"/>
  <c r="AA1249" i="1" s="1"/>
  <c r="CR1249" i="1"/>
  <c r="CP1249" i="1"/>
  <c r="CN1249" i="1"/>
  <c r="CJ1249" i="1"/>
  <c r="CH1249" i="1"/>
  <c r="CF1249" i="1"/>
  <c r="BL1249" i="1"/>
  <c r="BD1249" i="1"/>
  <c r="AZ1249" i="1"/>
  <c r="AX1249" i="1"/>
  <c r="DC1246" i="1"/>
  <c r="DA1246" i="1"/>
  <c r="CY1246" i="1"/>
  <c r="Y1246" i="1" s="1"/>
  <c r="CW1246" i="1"/>
  <c r="AA1246" i="1" s="1"/>
  <c r="CR1246" i="1"/>
  <c r="CP1246" i="1"/>
  <c r="CN1246" i="1"/>
  <c r="CJ1246" i="1"/>
  <c r="CH1246" i="1"/>
  <c r="CF1246" i="1"/>
  <c r="BL1246" i="1"/>
  <c r="BD1246" i="1"/>
  <c r="AZ1246" i="1"/>
  <c r="AX1246" i="1"/>
  <c r="DC1258" i="1"/>
  <c r="DA1258" i="1"/>
  <c r="CY1258" i="1"/>
  <c r="Y1258" i="1" s="1"/>
  <c r="CW1258" i="1"/>
  <c r="AA1258" i="1" s="1"/>
  <c r="CR1258" i="1"/>
  <c r="CP1258" i="1"/>
  <c r="CN1258" i="1"/>
  <c r="CJ1258" i="1"/>
  <c r="CH1258" i="1"/>
  <c r="CF1258" i="1"/>
  <c r="BL1258" i="1"/>
  <c r="BD1258" i="1"/>
  <c r="AZ1258" i="1"/>
  <c r="AX1258" i="1"/>
  <c r="DC1257" i="1"/>
  <c r="DA1257" i="1"/>
  <c r="CY1257" i="1"/>
  <c r="Y1257" i="1" s="1"/>
  <c r="CW1257" i="1"/>
  <c r="AA1257" i="1" s="1"/>
  <c r="CR1257" i="1"/>
  <c r="CP1257" i="1"/>
  <c r="CN1257" i="1"/>
  <c r="CJ1257" i="1"/>
  <c r="CH1257" i="1"/>
  <c r="CF1257" i="1"/>
  <c r="BL1257" i="1"/>
  <c r="BD1257" i="1"/>
  <c r="AZ1257" i="1"/>
  <c r="AX1257" i="1"/>
  <c r="DC1242" i="1"/>
  <c r="DA1242" i="1"/>
  <c r="CY1242" i="1"/>
  <c r="Y1242" i="1" s="1"/>
  <c r="CW1242" i="1"/>
  <c r="AA1242" i="1" s="1"/>
  <c r="CR1242" i="1"/>
  <c r="CP1242" i="1"/>
  <c r="CN1242" i="1"/>
  <c r="CJ1242" i="1"/>
  <c r="CH1242" i="1"/>
  <c r="CF1242" i="1"/>
  <c r="BL1242" i="1"/>
  <c r="BD1242" i="1"/>
  <c r="AZ1242" i="1"/>
  <c r="AX1242" i="1"/>
  <c r="DC1230" i="1"/>
  <c r="DA1230" i="1"/>
  <c r="CY1230" i="1"/>
  <c r="Y1230" i="1" s="1"/>
  <c r="CW1230" i="1"/>
  <c r="AA1230" i="1" s="1"/>
  <c r="CR1230" i="1"/>
  <c r="CP1230" i="1"/>
  <c r="CN1230" i="1"/>
  <c r="CJ1230" i="1"/>
  <c r="CH1230" i="1"/>
  <c r="CF1230" i="1"/>
  <c r="BL1230" i="1"/>
  <c r="BD1230" i="1"/>
  <c r="AZ1230" i="1"/>
  <c r="AX1230" i="1"/>
  <c r="DC1216" i="1"/>
  <c r="DA1216" i="1"/>
  <c r="CY1216" i="1"/>
  <c r="Y1216" i="1" s="1"/>
  <c r="CW1216" i="1"/>
  <c r="AA1216" i="1" s="1"/>
  <c r="CR1216" i="1"/>
  <c r="CP1216" i="1"/>
  <c r="CN1216" i="1"/>
  <c r="CJ1216" i="1"/>
  <c r="CH1216" i="1"/>
  <c r="CF1216" i="1"/>
  <c r="BL1216" i="1"/>
  <c r="BD1216" i="1"/>
  <c r="AZ1216" i="1"/>
  <c r="AX1216" i="1"/>
  <c r="DC1227" i="1"/>
  <c r="DA1227" i="1"/>
  <c r="CY1227" i="1"/>
  <c r="Y1227" i="1" s="1"/>
  <c r="CW1227" i="1"/>
  <c r="AA1227" i="1" s="1"/>
  <c r="CR1227" i="1"/>
  <c r="CP1227" i="1"/>
  <c r="CN1227" i="1"/>
  <c r="CJ1227" i="1"/>
  <c r="CH1227" i="1"/>
  <c r="CF1227" i="1"/>
  <c r="BL1227" i="1"/>
  <c r="BD1227" i="1"/>
  <c r="AZ1227" i="1"/>
  <c r="AX1227" i="1"/>
  <c r="DC1228" i="1"/>
  <c r="DA1228" i="1"/>
  <c r="CY1228" i="1"/>
  <c r="Y1228" i="1" s="1"/>
  <c r="CW1228" i="1"/>
  <c r="AA1228" i="1" s="1"/>
  <c r="CR1228" i="1"/>
  <c r="CP1228" i="1"/>
  <c r="CN1228" i="1"/>
  <c r="CJ1228" i="1"/>
  <c r="CH1228" i="1"/>
  <c r="CF1228" i="1"/>
  <c r="BL1228" i="1"/>
  <c r="BD1228" i="1"/>
  <c r="AZ1228" i="1"/>
  <c r="AX1228" i="1"/>
  <c r="DC1234" i="1"/>
  <c r="DA1234" i="1"/>
  <c r="CY1234" i="1"/>
  <c r="Y1234" i="1" s="1"/>
  <c r="CW1234" i="1"/>
  <c r="AA1234" i="1" s="1"/>
  <c r="CR1234" i="1"/>
  <c r="CP1234" i="1"/>
  <c r="CN1234" i="1"/>
  <c r="CJ1234" i="1"/>
  <c r="CH1234" i="1"/>
  <c r="CF1234" i="1"/>
  <c r="BL1234" i="1"/>
  <c r="BD1234" i="1"/>
  <c r="AZ1234" i="1"/>
  <c r="AX1234" i="1"/>
  <c r="DC1255" i="1"/>
  <c r="DA1255" i="1"/>
  <c r="CY1255" i="1"/>
  <c r="Y1255" i="1" s="1"/>
  <c r="CW1255" i="1"/>
  <c r="AA1255" i="1" s="1"/>
  <c r="CR1255" i="1"/>
  <c r="CP1255" i="1"/>
  <c r="CN1255" i="1"/>
  <c r="CJ1255" i="1"/>
  <c r="CH1255" i="1"/>
  <c r="CF1255" i="1"/>
  <c r="BL1255" i="1"/>
  <c r="BD1255" i="1"/>
  <c r="AZ1255" i="1"/>
  <c r="AX1255" i="1"/>
  <c r="DC1256" i="1"/>
  <c r="DA1256" i="1"/>
  <c r="CY1256" i="1"/>
  <c r="Y1256" i="1" s="1"/>
  <c r="CW1256" i="1"/>
  <c r="AA1256" i="1" s="1"/>
  <c r="CR1256" i="1"/>
  <c r="CP1256" i="1"/>
  <c r="CN1256" i="1"/>
  <c r="CJ1256" i="1"/>
  <c r="CH1256" i="1"/>
  <c r="CF1256" i="1"/>
  <c r="BL1256" i="1"/>
  <c r="BD1256" i="1"/>
  <c r="AZ1256" i="1"/>
  <c r="AX1256" i="1"/>
  <c r="DC1250" i="1"/>
  <c r="DA1250" i="1"/>
  <c r="CY1250" i="1"/>
  <c r="Y1250" i="1" s="1"/>
  <c r="CW1250" i="1"/>
  <c r="AA1250" i="1" s="1"/>
  <c r="CR1250" i="1"/>
  <c r="CP1250" i="1"/>
  <c r="CN1250" i="1"/>
  <c r="CJ1250" i="1"/>
  <c r="CH1250" i="1"/>
  <c r="CF1250" i="1"/>
  <c r="BL1250" i="1"/>
  <c r="BD1250" i="1"/>
  <c r="AZ1250" i="1"/>
  <c r="AX1250" i="1"/>
  <c r="DC1244" i="1"/>
  <c r="DA1244" i="1"/>
  <c r="CY1244" i="1"/>
  <c r="Y1244" i="1" s="1"/>
  <c r="CW1244" i="1"/>
  <c r="AA1244" i="1" s="1"/>
  <c r="CR1244" i="1"/>
  <c r="CP1244" i="1"/>
  <c r="CN1244" i="1"/>
  <c r="CJ1244" i="1"/>
  <c r="CH1244" i="1"/>
  <c r="CF1244" i="1"/>
  <c r="BL1244" i="1"/>
  <c r="BD1244" i="1"/>
  <c r="AZ1244" i="1"/>
  <c r="AX1244" i="1"/>
  <c r="DC1240" i="1"/>
  <c r="DA1240" i="1"/>
  <c r="CY1240" i="1"/>
  <c r="Y1240" i="1" s="1"/>
  <c r="CW1240" i="1"/>
  <c r="AA1240" i="1" s="1"/>
  <c r="CR1240" i="1"/>
  <c r="CP1240" i="1"/>
  <c r="CN1240" i="1"/>
  <c r="CJ1240" i="1"/>
  <c r="CH1240" i="1"/>
  <c r="CF1240" i="1"/>
  <c r="BL1240" i="1"/>
  <c r="BD1240" i="1"/>
  <c r="AZ1240" i="1"/>
  <c r="AX1240" i="1"/>
  <c r="DC1239" i="1"/>
  <c r="DA1239" i="1"/>
  <c r="CY1239" i="1"/>
  <c r="Y1239" i="1" s="1"/>
  <c r="CW1239" i="1"/>
  <c r="AA1239" i="1" s="1"/>
  <c r="CR1239" i="1"/>
  <c r="CP1239" i="1"/>
  <c r="CN1239" i="1"/>
  <c r="CJ1239" i="1"/>
  <c r="CH1239" i="1"/>
  <c r="CF1239" i="1"/>
  <c r="BL1239" i="1"/>
  <c r="BD1239" i="1"/>
  <c r="AZ1239" i="1"/>
  <c r="AX1239" i="1"/>
  <c r="DC1241" i="1"/>
  <c r="DA1241" i="1"/>
  <c r="CY1241" i="1"/>
  <c r="Y1241" i="1" s="1"/>
  <c r="CW1241" i="1"/>
  <c r="AA1241" i="1" s="1"/>
  <c r="CR1241" i="1"/>
  <c r="CP1241" i="1"/>
  <c r="CN1241" i="1"/>
  <c r="CJ1241" i="1"/>
  <c r="CH1241" i="1"/>
  <c r="CF1241" i="1"/>
  <c r="BL1241" i="1"/>
  <c r="BD1241" i="1"/>
  <c r="AZ1241" i="1"/>
  <c r="AX1241" i="1"/>
  <c r="DC1233" i="1"/>
  <c r="DA1233" i="1"/>
  <c r="CY1233" i="1"/>
  <c r="Y1233" i="1" s="1"/>
  <c r="CW1233" i="1"/>
  <c r="AA1233" i="1" s="1"/>
  <c r="CR1233" i="1"/>
  <c r="CP1233" i="1"/>
  <c r="CN1233" i="1"/>
  <c r="CJ1233" i="1"/>
  <c r="CH1233" i="1"/>
  <c r="CF1233" i="1"/>
  <c r="BL1233" i="1"/>
  <c r="BD1233" i="1"/>
  <c r="AZ1233" i="1"/>
  <c r="AX1233" i="1"/>
  <c r="DC1231" i="1"/>
  <c r="DA1231" i="1"/>
  <c r="CY1231" i="1"/>
  <c r="Y1231" i="1" s="1"/>
  <c r="CW1231" i="1"/>
  <c r="AA1231" i="1" s="1"/>
  <c r="CR1231" i="1"/>
  <c r="CP1231" i="1"/>
  <c r="CN1231" i="1"/>
  <c r="CJ1231" i="1"/>
  <c r="CH1231" i="1"/>
  <c r="CF1231" i="1"/>
  <c r="BL1231" i="1"/>
  <c r="BD1231" i="1"/>
  <c r="AZ1231" i="1"/>
  <c r="AX1231" i="1"/>
  <c r="DC1235" i="1"/>
  <c r="DA1235" i="1"/>
  <c r="CY1235" i="1"/>
  <c r="Y1235" i="1" s="1"/>
  <c r="CW1235" i="1"/>
  <c r="AA1235" i="1" s="1"/>
  <c r="CR1235" i="1"/>
  <c r="CP1235" i="1"/>
  <c r="CN1235" i="1"/>
  <c r="CJ1235" i="1"/>
  <c r="CH1235" i="1"/>
  <c r="CF1235" i="1"/>
  <c r="BL1235" i="1"/>
  <c r="BD1235" i="1"/>
  <c r="AZ1235" i="1"/>
  <c r="AX1235" i="1"/>
  <c r="DC1238" i="1"/>
  <c r="DA1238" i="1"/>
  <c r="CY1238" i="1"/>
  <c r="Y1238" i="1" s="1"/>
  <c r="CW1238" i="1"/>
  <c r="AA1238" i="1" s="1"/>
  <c r="CR1238" i="1"/>
  <c r="CP1238" i="1"/>
  <c r="CN1238" i="1"/>
  <c r="CJ1238" i="1"/>
  <c r="CH1238" i="1"/>
  <c r="CF1238" i="1"/>
  <c r="BL1238" i="1"/>
  <c r="BD1238" i="1"/>
  <c r="AZ1238" i="1"/>
  <c r="AX1238" i="1"/>
  <c r="DC1237" i="1"/>
  <c r="DA1237" i="1"/>
  <c r="CY1237" i="1"/>
  <c r="Y1237" i="1" s="1"/>
  <c r="CW1237" i="1"/>
  <c r="AA1237" i="1" s="1"/>
  <c r="CR1237" i="1"/>
  <c r="CP1237" i="1"/>
  <c r="CN1237" i="1"/>
  <c r="CJ1237" i="1"/>
  <c r="CH1237" i="1"/>
  <c r="CF1237" i="1"/>
  <c r="BL1237" i="1"/>
  <c r="BD1237" i="1"/>
  <c r="AZ1237" i="1"/>
  <c r="AX1237" i="1"/>
  <c r="DC1236" i="1"/>
  <c r="DA1236" i="1"/>
  <c r="CY1236" i="1"/>
  <c r="Y1236" i="1" s="1"/>
  <c r="CW1236" i="1"/>
  <c r="AA1236" i="1" s="1"/>
  <c r="CR1236" i="1"/>
  <c r="CP1236" i="1"/>
  <c r="CN1236" i="1"/>
  <c r="CJ1236" i="1"/>
  <c r="CH1236" i="1"/>
  <c r="CF1236" i="1"/>
  <c r="BL1236" i="1"/>
  <c r="BD1236" i="1"/>
  <c r="AZ1236" i="1"/>
  <c r="AX1236" i="1"/>
  <c r="DC1225" i="1"/>
  <c r="DA1225" i="1"/>
  <c r="CY1225" i="1"/>
  <c r="Y1225" i="1" s="1"/>
  <c r="CW1225" i="1"/>
  <c r="AA1225" i="1" s="1"/>
  <c r="CR1225" i="1"/>
  <c r="CP1225" i="1"/>
  <c r="CN1225" i="1"/>
  <c r="CJ1225" i="1"/>
  <c r="CH1225" i="1"/>
  <c r="CF1225" i="1"/>
  <c r="BL1225" i="1"/>
  <c r="BD1225" i="1"/>
  <c r="AZ1225" i="1"/>
  <c r="AX1225" i="1"/>
  <c r="DC1229" i="1"/>
  <c r="DA1229" i="1"/>
  <c r="CY1229" i="1"/>
  <c r="Y1229" i="1" s="1"/>
  <c r="CW1229" i="1"/>
  <c r="AA1229" i="1" s="1"/>
  <c r="CR1229" i="1"/>
  <c r="CP1229" i="1"/>
  <c r="CN1229" i="1"/>
  <c r="CJ1229" i="1"/>
  <c r="CH1229" i="1"/>
  <c r="CF1229" i="1"/>
  <c r="BL1229" i="1"/>
  <c r="BD1229" i="1"/>
  <c r="AZ1229" i="1"/>
  <c r="AX1229" i="1"/>
  <c r="DC1195" i="1"/>
  <c r="DA1195" i="1"/>
  <c r="CY1195" i="1"/>
  <c r="Y1195" i="1" s="1"/>
  <c r="CW1195" i="1"/>
  <c r="AA1195" i="1" s="1"/>
  <c r="CR1195" i="1"/>
  <c r="CP1195" i="1"/>
  <c r="CN1195" i="1"/>
  <c r="CJ1195" i="1"/>
  <c r="CH1195" i="1"/>
  <c r="CF1195" i="1"/>
  <c r="BL1195" i="1"/>
  <c r="BD1195" i="1"/>
  <c r="AZ1195" i="1"/>
  <c r="AX1195" i="1"/>
  <c r="DC1226" i="1"/>
  <c r="DA1226" i="1"/>
  <c r="CY1226" i="1"/>
  <c r="Y1226" i="1" s="1"/>
  <c r="CW1226" i="1"/>
  <c r="AA1226" i="1" s="1"/>
  <c r="CR1226" i="1"/>
  <c r="CP1226" i="1"/>
  <c r="CN1226" i="1"/>
  <c r="CJ1226" i="1"/>
  <c r="CH1226" i="1"/>
  <c r="CF1226" i="1"/>
  <c r="BL1226" i="1"/>
  <c r="BD1226" i="1"/>
  <c r="AZ1226" i="1"/>
  <c r="AX1226" i="1"/>
  <c r="AD1419" i="1" l="1"/>
  <c r="AD1290" i="1"/>
  <c r="AD1285" i="1"/>
  <c r="AD1426" i="1"/>
  <c r="AD1298" i="1"/>
  <c r="AD1416" i="1"/>
  <c r="AD1287" i="1"/>
  <c r="AD1423" i="1"/>
  <c r="AD1280" i="1"/>
  <c r="AD1292" i="1"/>
  <c r="AD1338" i="1"/>
  <c r="AD1115" i="1"/>
  <c r="AD1284" i="1"/>
  <c r="AD1265" i="1"/>
  <c r="AD1288" i="1"/>
  <c r="AD1281" i="1"/>
  <c r="AD1283" i="1"/>
  <c r="AD1248" i="1"/>
  <c r="AD1279" i="1"/>
  <c r="AD1289" i="1"/>
  <c r="AD1291" i="1"/>
  <c r="AD1282" i="1"/>
  <c r="Z1230" i="1"/>
  <c r="Z1249" i="1"/>
  <c r="Z1286" i="1"/>
  <c r="Z1250" i="1"/>
  <c r="CU1228" i="1"/>
  <c r="X1228" i="1" s="1"/>
  <c r="Z1228" i="1"/>
  <c r="CU1235" i="1"/>
  <c r="X1235" i="1" s="1"/>
  <c r="Z1235" i="1"/>
  <c r="Z1254" i="1"/>
  <c r="CU1250" i="1"/>
  <c r="X1250" i="1" s="1"/>
  <c r="CU1239" i="1"/>
  <c r="X1239" i="1" s="1"/>
  <c r="Z1239" i="1"/>
  <c r="Z1216" i="1"/>
  <c r="Z1242" i="1"/>
  <c r="Z1246" i="1"/>
  <c r="Z1243" i="1"/>
  <c r="CU1286" i="1"/>
  <c r="X1286" i="1" s="1"/>
  <c r="CU1237" i="1"/>
  <c r="X1237" i="1" s="1"/>
  <c r="Z1237" i="1"/>
  <c r="Z1233" i="1"/>
  <c r="CU1255" i="1"/>
  <c r="X1255" i="1" s="1"/>
  <c r="Z1255" i="1"/>
  <c r="CU1258" i="1"/>
  <c r="X1258" i="1" s="1"/>
  <c r="Z1258" i="1"/>
  <c r="Z1236" i="1"/>
  <c r="Z1231" i="1"/>
  <c r="Z1240" i="1"/>
  <c r="Z1256" i="1"/>
  <c r="Z1227" i="1"/>
  <c r="CU1257" i="1"/>
  <c r="X1257" i="1" s="1"/>
  <c r="Z1257" i="1"/>
  <c r="CU1263" i="1"/>
  <c r="X1263" i="1" s="1"/>
  <c r="Z1263" i="1"/>
  <c r="Z1238" i="1"/>
  <c r="Z1241" i="1"/>
  <c r="Z1244" i="1"/>
  <c r="Z1234" i="1"/>
  <c r="CU1246" i="1"/>
  <c r="X1246" i="1" s="1"/>
  <c r="Z1261" i="1"/>
  <c r="CU1236" i="1"/>
  <c r="X1236" i="1" s="1"/>
  <c r="CU1238" i="1"/>
  <c r="X1238" i="1" s="1"/>
  <c r="CU1231" i="1"/>
  <c r="X1231" i="1" s="1"/>
  <c r="CU1241" i="1"/>
  <c r="X1241" i="1" s="1"/>
  <c r="CU1240" i="1"/>
  <c r="X1240" i="1" s="1"/>
  <c r="CU1244" i="1"/>
  <c r="X1244" i="1" s="1"/>
  <c r="CU1256" i="1"/>
  <c r="X1256" i="1" s="1"/>
  <c r="CU1234" i="1"/>
  <c r="X1234" i="1" s="1"/>
  <c r="CU1216" i="1"/>
  <c r="X1216" i="1" s="1"/>
  <c r="CU1230" i="1"/>
  <c r="X1230" i="1" s="1"/>
  <c r="CU1254" i="1"/>
  <c r="X1254" i="1" s="1"/>
  <c r="CU1243" i="1"/>
  <c r="X1243" i="1" s="1"/>
  <c r="CU1227" i="1"/>
  <c r="X1227" i="1" s="1"/>
  <c r="CU1242" i="1"/>
  <c r="X1242" i="1" s="1"/>
  <c r="CU1261" i="1"/>
  <c r="X1261" i="1" s="1"/>
  <c r="CU1233" i="1"/>
  <c r="X1233" i="1" s="1"/>
  <c r="CU1249" i="1"/>
  <c r="X1249" i="1" s="1"/>
  <c r="Z1225" i="1"/>
  <c r="CU1225" i="1"/>
  <c r="X1225" i="1" s="1"/>
  <c r="Z1226" i="1"/>
  <c r="Z1229" i="1"/>
  <c r="Z1195" i="1"/>
  <c r="CU1226" i="1"/>
  <c r="X1226" i="1" s="1"/>
  <c r="CU1195" i="1"/>
  <c r="X1195" i="1" s="1"/>
  <c r="CU1229" i="1"/>
  <c r="X1229" i="1" s="1"/>
  <c r="AD1243" i="1" l="1"/>
  <c r="AD1216" i="1"/>
  <c r="AD1238" i="1"/>
  <c r="AD1286" i="1"/>
  <c r="AD1236" i="1"/>
  <c r="AD1230" i="1"/>
  <c r="AD1246" i="1"/>
  <c r="AD1257" i="1"/>
  <c r="AD1249" i="1"/>
  <c r="AD1242" i="1"/>
  <c r="AD1227" i="1"/>
  <c r="AD1255" i="1"/>
  <c r="AD1250" i="1"/>
  <c r="AD1228" i="1"/>
  <c r="AD1263" i="1"/>
  <c r="AD1239" i="1"/>
  <c r="AD1254" i="1"/>
  <c r="AD1234" i="1"/>
  <c r="AD1256" i="1"/>
  <c r="AD1258" i="1"/>
  <c r="AD1241" i="1"/>
  <c r="AD1240" i="1"/>
  <c r="AD1235" i="1"/>
  <c r="AD1244" i="1"/>
  <c r="AD1231" i="1"/>
  <c r="AD1237" i="1"/>
  <c r="AD1225" i="1"/>
  <c r="AD1233" i="1"/>
  <c r="AD1195" i="1"/>
  <c r="AD1261" i="1"/>
  <c r="AD1226" i="1"/>
  <c r="AD1229" i="1"/>
  <c r="DC1201" i="1"/>
  <c r="DA1201" i="1"/>
  <c r="CY1201" i="1"/>
  <c r="Y1201" i="1" s="1"/>
  <c r="CW1201" i="1"/>
  <c r="AA1201" i="1" s="1"/>
  <c r="CR1201" i="1"/>
  <c r="CP1201" i="1"/>
  <c r="CN1201" i="1"/>
  <c r="CJ1201" i="1"/>
  <c r="CH1201" i="1"/>
  <c r="CF1201" i="1"/>
  <c r="BL1201" i="1"/>
  <c r="BD1201" i="1"/>
  <c r="AZ1201" i="1"/>
  <c r="AX1201" i="1"/>
  <c r="DC1209" i="1"/>
  <c r="DA1209" i="1"/>
  <c r="CY1209" i="1"/>
  <c r="Y1209" i="1" s="1"/>
  <c r="CW1209" i="1"/>
  <c r="AA1209" i="1" s="1"/>
  <c r="CR1209" i="1"/>
  <c r="CP1209" i="1"/>
  <c r="CN1209" i="1"/>
  <c r="CJ1209" i="1"/>
  <c r="CH1209" i="1"/>
  <c r="CF1209" i="1"/>
  <c r="BL1209" i="1"/>
  <c r="BD1209" i="1"/>
  <c r="AZ1209" i="1"/>
  <c r="AX1209" i="1"/>
  <c r="DC1207" i="1"/>
  <c r="DA1207" i="1"/>
  <c r="CY1207" i="1"/>
  <c r="Y1207" i="1" s="1"/>
  <c r="CW1207" i="1"/>
  <c r="AA1207" i="1" s="1"/>
  <c r="CR1207" i="1"/>
  <c r="CP1207" i="1"/>
  <c r="CN1207" i="1"/>
  <c r="CJ1207" i="1"/>
  <c r="CH1207" i="1"/>
  <c r="CF1207" i="1"/>
  <c r="BL1207" i="1"/>
  <c r="BD1207" i="1"/>
  <c r="AZ1207" i="1"/>
  <c r="AX1207" i="1"/>
  <c r="DC1184" i="1"/>
  <c r="DA1184" i="1"/>
  <c r="CY1184" i="1"/>
  <c r="Y1184" i="1" s="1"/>
  <c r="CW1184" i="1"/>
  <c r="AA1184" i="1" s="1"/>
  <c r="CR1184" i="1"/>
  <c r="CP1184" i="1"/>
  <c r="CN1184" i="1"/>
  <c r="CJ1184" i="1"/>
  <c r="CH1184" i="1"/>
  <c r="CF1184" i="1"/>
  <c r="BL1184" i="1"/>
  <c r="BD1184" i="1"/>
  <c r="AZ1184" i="1"/>
  <c r="AX1184" i="1"/>
  <c r="DC1185" i="1"/>
  <c r="DA1185" i="1"/>
  <c r="CY1185" i="1"/>
  <c r="Y1185" i="1" s="1"/>
  <c r="CW1185" i="1"/>
  <c r="AA1185" i="1" s="1"/>
  <c r="CR1185" i="1"/>
  <c r="CP1185" i="1"/>
  <c r="CN1185" i="1"/>
  <c r="CJ1185" i="1"/>
  <c r="CH1185" i="1"/>
  <c r="CF1185" i="1"/>
  <c r="BL1185" i="1"/>
  <c r="BD1185" i="1"/>
  <c r="AZ1185" i="1"/>
  <c r="AX1185" i="1"/>
  <c r="DC1211" i="1"/>
  <c r="DA1211" i="1"/>
  <c r="CY1211" i="1"/>
  <c r="Y1211" i="1" s="1"/>
  <c r="CW1211" i="1"/>
  <c r="AA1211" i="1" s="1"/>
  <c r="CR1211" i="1"/>
  <c r="CP1211" i="1"/>
  <c r="CN1211" i="1"/>
  <c r="CJ1211" i="1"/>
  <c r="CH1211" i="1"/>
  <c r="CF1211" i="1"/>
  <c r="BL1211" i="1"/>
  <c r="BD1211" i="1"/>
  <c r="AZ1211" i="1"/>
  <c r="AX1211" i="1"/>
  <c r="DC1212" i="1"/>
  <c r="DA1212" i="1"/>
  <c r="CY1212" i="1"/>
  <c r="Y1212" i="1" s="1"/>
  <c r="CW1212" i="1"/>
  <c r="AA1212" i="1" s="1"/>
  <c r="CR1212" i="1"/>
  <c r="CP1212" i="1"/>
  <c r="CN1212" i="1"/>
  <c r="CJ1212" i="1"/>
  <c r="CH1212" i="1"/>
  <c r="CF1212" i="1"/>
  <c r="BL1212" i="1"/>
  <c r="BD1212" i="1"/>
  <c r="AZ1212" i="1"/>
  <c r="AX1212" i="1"/>
  <c r="DC1210" i="1"/>
  <c r="DA1210" i="1"/>
  <c r="CY1210" i="1"/>
  <c r="Y1210" i="1" s="1"/>
  <c r="CW1210" i="1"/>
  <c r="AA1210" i="1" s="1"/>
  <c r="CR1210" i="1"/>
  <c r="CP1210" i="1"/>
  <c r="CN1210" i="1"/>
  <c r="CJ1210" i="1"/>
  <c r="CH1210" i="1"/>
  <c r="CF1210" i="1"/>
  <c r="BL1210" i="1"/>
  <c r="BD1210" i="1"/>
  <c r="AZ1210" i="1"/>
  <c r="AX1210" i="1"/>
  <c r="DC1224" i="1"/>
  <c r="DA1224" i="1"/>
  <c r="CY1224" i="1"/>
  <c r="Y1224" i="1" s="1"/>
  <c r="CW1224" i="1"/>
  <c r="AA1224" i="1" s="1"/>
  <c r="CR1224" i="1"/>
  <c r="CP1224" i="1"/>
  <c r="CN1224" i="1"/>
  <c r="CJ1224" i="1"/>
  <c r="CH1224" i="1"/>
  <c r="CF1224" i="1"/>
  <c r="BL1224" i="1"/>
  <c r="BD1224" i="1"/>
  <c r="AZ1224" i="1"/>
  <c r="AX1224" i="1"/>
  <c r="DC1208" i="1"/>
  <c r="DA1208" i="1"/>
  <c r="CY1208" i="1"/>
  <c r="Y1208" i="1" s="1"/>
  <c r="CW1208" i="1"/>
  <c r="AA1208" i="1" s="1"/>
  <c r="CR1208" i="1"/>
  <c r="CP1208" i="1"/>
  <c r="CN1208" i="1"/>
  <c r="CJ1208" i="1"/>
  <c r="CH1208" i="1"/>
  <c r="CF1208" i="1"/>
  <c r="BL1208" i="1"/>
  <c r="BD1208" i="1"/>
  <c r="AZ1208" i="1"/>
  <c r="AX1208" i="1"/>
  <c r="DC1221" i="1"/>
  <c r="DA1221" i="1"/>
  <c r="CY1221" i="1"/>
  <c r="Y1221" i="1" s="1"/>
  <c r="CW1221" i="1"/>
  <c r="AA1221" i="1" s="1"/>
  <c r="CR1221" i="1"/>
  <c r="CP1221" i="1"/>
  <c r="CN1221" i="1"/>
  <c r="CJ1221" i="1"/>
  <c r="CH1221" i="1"/>
  <c r="CF1221" i="1"/>
  <c r="BL1221" i="1"/>
  <c r="BD1221" i="1"/>
  <c r="AZ1221" i="1"/>
  <c r="AX1221" i="1"/>
  <c r="DC1222" i="1"/>
  <c r="DA1222" i="1"/>
  <c r="CY1222" i="1"/>
  <c r="Y1222" i="1" s="1"/>
  <c r="CW1222" i="1"/>
  <c r="AA1222" i="1" s="1"/>
  <c r="CR1222" i="1"/>
  <c r="CP1222" i="1"/>
  <c r="CN1222" i="1"/>
  <c r="CJ1222" i="1"/>
  <c r="CH1222" i="1"/>
  <c r="CF1222" i="1"/>
  <c r="BL1222" i="1"/>
  <c r="BD1222" i="1"/>
  <c r="AZ1222" i="1"/>
  <c r="AX1222" i="1"/>
  <c r="Z1207" i="1" l="1"/>
  <c r="Z1201" i="1"/>
  <c r="Z1211" i="1"/>
  <c r="Z1222" i="1"/>
  <c r="Z1224" i="1"/>
  <c r="CU1184" i="1"/>
  <c r="X1184" i="1" s="1"/>
  <c r="CU1201" i="1"/>
  <c r="X1201" i="1" s="1"/>
  <c r="Z1221" i="1"/>
  <c r="CU1210" i="1"/>
  <c r="X1210" i="1" s="1"/>
  <c r="Z1210" i="1"/>
  <c r="Z1184" i="1"/>
  <c r="Z1185" i="1"/>
  <c r="Z1208" i="1"/>
  <c r="Z1212" i="1"/>
  <c r="Z1209" i="1"/>
  <c r="CU1211" i="1"/>
  <c r="X1211" i="1" s="1"/>
  <c r="CU1207" i="1"/>
  <c r="X1207" i="1" s="1"/>
  <c r="CU1222" i="1"/>
  <c r="X1222" i="1" s="1"/>
  <c r="CU1221" i="1"/>
  <c r="X1221" i="1" s="1"/>
  <c r="CU1208" i="1"/>
  <c r="X1208" i="1" s="1"/>
  <c r="CU1224" i="1"/>
  <c r="X1224" i="1" s="1"/>
  <c r="CU1185" i="1"/>
  <c r="X1185" i="1" s="1"/>
  <c r="CU1209" i="1"/>
  <c r="X1209" i="1" s="1"/>
  <c r="CU1212" i="1"/>
  <c r="X1212" i="1" s="1"/>
  <c r="AD1185" i="1" l="1"/>
  <c r="AD1211" i="1"/>
  <c r="AD1201" i="1"/>
  <c r="AD1224" i="1"/>
  <c r="AD1207" i="1"/>
  <c r="AD1184" i="1"/>
  <c r="AD1222" i="1"/>
  <c r="AD1209" i="1"/>
  <c r="AD1212" i="1"/>
  <c r="AD1210" i="1"/>
  <c r="AD1208" i="1"/>
  <c r="AD1221" i="1"/>
  <c r="DC1219" i="1"/>
  <c r="DA1219" i="1"/>
  <c r="CY1219" i="1"/>
  <c r="Y1219" i="1" s="1"/>
  <c r="CW1219" i="1"/>
  <c r="AA1219" i="1" s="1"/>
  <c r="CR1219" i="1"/>
  <c r="CP1219" i="1"/>
  <c r="CN1219" i="1"/>
  <c r="CJ1219" i="1"/>
  <c r="CH1219" i="1"/>
  <c r="CF1219" i="1"/>
  <c r="BL1219" i="1"/>
  <c r="BD1219" i="1"/>
  <c r="AZ1219" i="1"/>
  <c r="AX1219" i="1"/>
  <c r="DC1217" i="1"/>
  <c r="DA1217" i="1"/>
  <c r="CY1217" i="1"/>
  <c r="Y1217" i="1" s="1"/>
  <c r="CW1217" i="1"/>
  <c r="AA1217" i="1" s="1"/>
  <c r="CR1217" i="1"/>
  <c r="CP1217" i="1"/>
  <c r="CN1217" i="1"/>
  <c r="CJ1217" i="1"/>
  <c r="CH1217" i="1"/>
  <c r="CF1217" i="1"/>
  <c r="BL1217" i="1"/>
  <c r="BD1217" i="1"/>
  <c r="AZ1217" i="1"/>
  <c r="AX1217" i="1"/>
  <c r="DC1215" i="1"/>
  <c r="DA1215" i="1"/>
  <c r="CY1215" i="1"/>
  <c r="Y1215" i="1" s="1"/>
  <c r="CW1215" i="1"/>
  <c r="AA1215" i="1" s="1"/>
  <c r="CR1215" i="1"/>
  <c r="CP1215" i="1"/>
  <c r="CN1215" i="1"/>
  <c r="CJ1215" i="1"/>
  <c r="CH1215" i="1"/>
  <c r="CF1215" i="1"/>
  <c r="BL1215" i="1"/>
  <c r="BD1215" i="1"/>
  <c r="AZ1215" i="1"/>
  <c r="AX1215" i="1"/>
  <c r="DC1203" i="1"/>
  <c r="DA1203" i="1"/>
  <c r="CY1203" i="1"/>
  <c r="Y1203" i="1" s="1"/>
  <c r="CW1203" i="1"/>
  <c r="AA1203" i="1" s="1"/>
  <c r="CR1203" i="1"/>
  <c r="CP1203" i="1"/>
  <c r="CN1203" i="1"/>
  <c r="CJ1203" i="1"/>
  <c r="CH1203" i="1"/>
  <c r="CF1203" i="1"/>
  <c r="BL1203" i="1"/>
  <c r="BD1203" i="1"/>
  <c r="AZ1203" i="1"/>
  <c r="AX1203" i="1"/>
  <c r="DC1206" i="1"/>
  <c r="DA1206" i="1"/>
  <c r="CY1206" i="1"/>
  <c r="Y1206" i="1" s="1"/>
  <c r="CW1206" i="1"/>
  <c r="AA1206" i="1" s="1"/>
  <c r="CR1206" i="1"/>
  <c r="CP1206" i="1"/>
  <c r="CN1206" i="1"/>
  <c r="CJ1206" i="1"/>
  <c r="CH1206" i="1"/>
  <c r="CF1206" i="1"/>
  <c r="BL1206" i="1"/>
  <c r="BD1206" i="1"/>
  <c r="AZ1206" i="1"/>
  <c r="AX1206" i="1"/>
  <c r="DC1205" i="1"/>
  <c r="DA1205" i="1"/>
  <c r="CY1205" i="1"/>
  <c r="Y1205" i="1" s="1"/>
  <c r="CW1205" i="1"/>
  <c r="AA1205" i="1" s="1"/>
  <c r="CR1205" i="1"/>
  <c r="CP1205" i="1"/>
  <c r="CN1205" i="1"/>
  <c r="CJ1205" i="1"/>
  <c r="CH1205" i="1"/>
  <c r="CF1205" i="1"/>
  <c r="BL1205" i="1"/>
  <c r="BD1205" i="1"/>
  <c r="AZ1205" i="1"/>
  <c r="AX1205" i="1"/>
  <c r="DC1202" i="1"/>
  <c r="DA1202" i="1"/>
  <c r="CY1202" i="1"/>
  <c r="Y1202" i="1" s="1"/>
  <c r="CW1202" i="1"/>
  <c r="AA1202" i="1" s="1"/>
  <c r="CR1202" i="1"/>
  <c r="CP1202" i="1"/>
  <c r="CN1202" i="1"/>
  <c r="CJ1202" i="1"/>
  <c r="CH1202" i="1"/>
  <c r="CF1202" i="1"/>
  <c r="BL1202" i="1"/>
  <c r="BD1202" i="1"/>
  <c r="AZ1202" i="1"/>
  <c r="AX1202" i="1"/>
  <c r="Z1203" i="1" l="1"/>
  <c r="Z1219" i="1"/>
  <c r="Z1215" i="1"/>
  <c r="CU1217" i="1"/>
  <c r="X1217" i="1" s="1"/>
  <c r="Z1217" i="1"/>
  <c r="Z1205" i="1"/>
  <c r="Z1206" i="1"/>
  <c r="CU1205" i="1"/>
  <c r="X1205" i="1" s="1"/>
  <c r="CU1203" i="1"/>
  <c r="X1203" i="1" s="1"/>
  <c r="CU1215" i="1"/>
  <c r="X1215" i="1" s="1"/>
  <c r="CU1206" i="1"/>
  <c r="X1206" i="1" s="1"/>
  <c r="CU1219" i="1"/>
  <c r="X1219" i="1" s="1"/>
  <c r="Z1202" i="1"/>
  <c r="CU1202" i="1"/>
  <c r="X1202" i="1" s="1"/>
  <c r="AD1206" i="1" l="1"/>
  <c r="AD1219" i="1"/>
  <c r="AD1205" i="1"/>
  <c r="AD1215" i="1"/>
  <c r="AD1203" i="1"/>
  <c r="AD1217" i="1"/>
  <c r="AD1202" i="1"/>
  <c r="DA834" i="1"/>
  <c r="DB834" i="1"/>
  <c r="DC834" i="1"/>
  <c r="DE834" i="1"/>
  <c r="CY834" i="1"/>
  <c r="DC1214" i="1" l="1"/>
  <c r="DA1214" i="1"/>
  <c r="CY1214" i="1"/>
  <c r="Y1214" i="1" s="1"/>
  <c r="CW1214" i="1"/>
  <c r="AA1214" i="1" s="1"/>
  <c r="CR1214" i="1"/>
  <c r="CP1214" i="1"/>
  <c r="CN1214" i="1"/>
  <c r="CJ1214" i="1"/>
  <c r="CH1214" i="1"/>
  <c r="CF1214" i="1"/>
  <c r="BL1214" i="1"/>
  <c r="BD1214" i="1"/>
  <c r="AZ1214" i="1"/>
  <c r="AX1214" i="1"/>
  <c r="DC1218" i="1"/>
  <c r="DA1218" i="1"/>
  <c r="CY1218" i="1"/>
  <c r="Y1218" i="1" s="1"/>
  <c r="CW1218" i="1"/>
  <c r="AA1218" i="1" s="1"/>
  <c r="CR1218" i="1"/>
  <c r="CP1218" i="1"/>
  <c r="CN1218" i="1"/>
  <c r="CJ1218" i="1"/>
  <c r="CH1218" i="1"/>
  <c r="CF1218" i="1"/>
  <c r="BL1218" i="1"/>
  <c r="BD1218" i="1"/>
  <c r="AZ1218" i="1"/>
  <c r="AX1218" i="1"/>
  <c r="DC1220" i="1"/>
  <c r="DA1220" i="1"/>
  <c r="CY1220" i="1"/>
  <c r="Y1220" i="1" s="1"/>
  <c r="CW1220" i="1"/>
  <c r="AA1220" i="1" s="1"/>
  <c r="CR1220" i="1"/>
  <c r="CP1220" i="1"/>
  <c r="CN1220" i="1"/>
  <c r="CJ1220" i="1"/>
  <c r="CH1220" i="1"/>
  <c r="CF1220" i="1"/>
  <c r="BL1220" i="1"/>
  <c r="BD1220" i="1"/>
  <c r="AZ1220" i="1"/>
  <c r="AX1220" i="1"/>
  <c r="DC1223" i="1"/>
  <c r="DA1223" i="1"/>
  <c r="CY1223" i="1"/>
  <c r="Y1223" i="1" s="1"/>
  <c r="CW1223" i="1"/>
  <c r="AA1223" i="1" s="1"/>
  <c r="CR1223" i="1"/>
  <c r="CP1223" i="1"/>
  <c r="CN1223" i="1"/>
  <c r="CJ1223" i="1"/>
  <c r="CH1223" i="1"/>
  <c r="CF1223" i="1"/>
  <c r="BL1223" i="1"/>
  <c r="BD1223" i="1"/>
  <c r="AZ1223" i="1"/>
  <c r="AX1223" i="1"/>
  <c r="Z1223" i="1" l="1"/>
  <c r="Z1218" i="1"/>
  <c r="Z1220" i="1"/>
  <c r="CU1220" i="1"/>
  <c r="X1220" i="1" s="1"/>
  <c r="CU1218" i="1"/>
  <c r="X1218" i="1" s="1"/>
  <c r="CU1214" i="1"/>
  <c r="X1214" i="1" s="1"/>
  <c r="Z1214" i="1"/>
  <c r="CU1223" i="1"/>
  <c r="X1223" i="1" s="1"/>
  <c r="DC1192" i="1"/>
  <c r="DA1192" i="1"/>
  <c r="CY1192" i="1"/>
  <c r="Y1192" i="1" s="1"/>
  <c r="CW1192" i="1"/>
  <c r="AA1192" i="1" s="1"/>
  <c r="CR1192" i="1"/>
  <c r="CP1192" i="1"/>
  <c r="CN1192" i="1"/>
  <c r="CJ1192" i="1"/>
  <c r="CH1192" i="1"/>
  <c r="CF1192" i="1"/>
  <c r="BL1192" i="1"/>
  <c r="BD1192" i="1"/>
  <c r="AZ1192" i="1"/>
  <c r="AX1192" i="1"/>
  <c r="DC1169" i="1"/>
  <c r="DA1169" i="1"/>
  <c r="CY1169" i="1"/>
  <c r="Y1169" i="1" s="1"/>
  <c r="CW1169" i="1"/>
  <c r="AA1169" i="1" s="1"/>
  <c r="CR1169" i="1"/>
  <c r="CP1169" i="1"/>
  <c r="CN1169" i="1"/>
  <c r="CJ1169" i="1"/>
  <c r="CH1169" i="1"/>
  <c r="CF1169" i="1"/>
  <c r="BL1169" i="1"/>
  <c r="BD1169" i="1"/>
  <c r="AZ1169" i="1"/>
  <c r="AX1169" i="1"/>
  <c r="DC1199" i="1"/>
  <c r="DA1199" i="1"/>
  <c r="CY1199" i="1"/>
  <c r="Y1199" i="1" s="1"/>
  <c r="CW1199" i="1"/>
  <c r="AA1199" i="1" s="1"/>
  <c r="CR1199" i="1"/>
  <c r="CP1199" i="1"/>
  <c r="CN1199" i="1"/>
  <c r="CJ1199" i="1"/>
  <c r="CH1199" i="1"/>
  <c r="CF1199" i="1"/>
  <c r="BL1199" i="1"/>
  <c r="BD1199" i="1"/>
  <c r="AZ1199" i="1"/>
  <c r="AX1199" i="1"/>
  <c r="DC1191" i="1"/>
  <c r="DA1191" i="1"/>
  <c r="CY1191" i="1"/>
  <c r="Y1191" i="1" s="1"/>
  <c r="CW1191" i="1"/>
  <c r="AA1191" i="1" s="1"/>
  <c r="CR1191" i="1"/>
  <c r="CP1191" i="1"/>
  <c r="CN1191" i="1"/>
  <c r="CJ1191" i="1"/>
  <c r="CH1191" i="1"/>
  <c r="CF1191" i="1"/>
  <c r="BL1191" i="1"/>
  <c r="BD1191" i="1"/>
  <c r="AZ1191" i="1"/>
  <c r="AX1191" i="1"/>
  <c r="AD1220" i="1" l="1"/>
  <c r="AD1223" i="1"/>
  <c r="AD1218" i="1"/>
  <c r="AD1214" i="1"/>
  <c r="Z1192" i="1"/>
  <c r="CU1192" i="1"/>
  <c r="X1192" i="1" s="1"/>
  <c r="Z1169" i="1"/>
  <c r="CU1191" i="1"/>
  <c r="X1191" i="1" s="1"/>
  <c r="Z1199" i="1"/>
  <c r="Z1191" i="1"/>
  <c r="CU1199" i="1"/>
  <c r="X1199" i="1" s="1"/>
  <c r="CU1169" i="1"/>
  <c r="X1169" i="1" s="1"/>
  <c r="I573" i="1"/>
  <c r="AD1192" i="1" l="1"/>
  <c r="AD1199" i="1"/>
  <c r="AD1169" i="1"/>
  <c r="AD1191" i="1"/>
  <c r="DC1193" i="1" l="1"/>
  <c r="DA1193" i="1"/>
  <c r="CY1193" i="1"/>
  <c r="Y1193" i="1" s="1"/>
  <c r="CW1193" i="1"/>
  <c r="AA1193" i="1" s="1"/>
  <c r="CR1193" i="1"/>
  <c r="CP1193" i="1"/>
  <c r="CN1193" i="1"/>
  <c r="CJ1193" i="1"/>
  <c r="CH1193" i="1"/>
  <c r="CF1193" i="1"/>
  <c r="BL1193" i="1"/>
  <c r="BD1193" i="1"/>
  <c r="AZ1193" i="1"/>
  <c r="AX1193" i="1"/>
  <c r="DC1089" i="1"/>
  <c r="DA1089" i="1"/>
  <c r="CY1089" i="1"/>
  <c r="Y1089" i="1" s="1"/>
  <c r="CW1089" i="1"/>
  <c r="AA1089" i="1" s="1"/>
  <c r="CR1089" i="1"/>
  <c r="CP1089" i="1"/>
  <c r="CN1089" i="1"/>
  <c r="CJ1089" i="1"/>
  <c r="CH1089" i="1"/>
  <c r="CF1089" i="1"/>
  <c r="BL1089" i="1"/>
  <c r="BD1089" i="1"/>
  <c r="AZ1089" i="1"/>
  <c r="AX1089" i="1"/>
  <c r="DC1181" i="1"/>
  <c r="DA1181" i="1"/>
  <c r="Y1181" i="1"/>
  <c r="CW1181" i="1"/>
  <c r="AA1181" i="1" s="1"/>
  <c r="CH1181" i="1"/>
  <c r="CF1181" i="1"/>
  <c r="BL1181" i="1"/>
  <c r="BD1181" i="1"/>
  <c r="AX1181" i="1"/>
  <c r="DC1204" i="1"/>
  <c r="DA1204" i="1"/>
  <c r="Y1204" i="1"/>
  <c r="CW1204" i="1"/>
  <c r="AA1204" i="1" s="1"/>
  <c r="CR1204" i="1"/>
  <c r="CP1204" i="1"/>
  <c r="CN1204" i="1"/>
  <c r="CJ1204" i="1"/>
  <c r="CH1204" i="1"/>
  <c r="CF1204" i="1"/>
  <c r="BL1204" i="1"/>
  <c r="BD1204" i="1"/>
  <c r="AZ1204" i="1"/>
  <c r="AX1204" i="1"/>
  <c r="DC573" i="1"/>
  <c r="DA573" i="1"/>
  <c r="CY573" i="1"/>
  <c r="Y573" i="1" s="1"/>
  <c r="CW573" i="1"/>
  <c r="AA573" i="1" s="1"/>
  <c r="CR573" i="1"/>
  <c r="CP573" i="1"/>
  <c r="CN573" i="1"/>
  <c r="CJ573" i="1"/>
  <c r="CH573" i="1"/>
  <c r="CF573" i="1"/>
  <c r="BL573" i="1"/>
  <c r="BD573" i="1"/>
  <c r="AZ573" i="1"/>
  <c r="AX573" i="1"/>
  <c r="DC1176" i="1"/>
  <c r="DA1176" i="1"/>
  <c r="CY1176" i="1"/>
  <c r="Y1176" i="1" s="1"/>
  <c r="CW1176" i="1"/>
  <c r="AA1176" i="1" s="1"/>
  <c r="CR1176" i="1"/>
  <c r="CP1176" i="1"/>
  <c r="CN1176" i="1"/>
  <c r="CJ1176" i="1"/>
  <c r="CH1176" i="1"/>
  <c r="CF1176" i="1"/>
  <c r="BL1176" i="1"/>
  <c r="BD1176" i="1"/>
  <c r="AZ1176" i="1"/>
  <c r="AX1176" i="1"/>
  <c r="DC1174" i="1"/>
  <c r="DA1174" i="1"/>
  <c r="CY1174" i="1"/>
  <c r="Y1174" i="1" s="1"/>
  <c r="CW1174" i="1"/>
  <c r="AA1174" i="1" s="1"/>
  <c r="CR1174" i="1"/>
  <c r="CP1174" i="1"/>
  <c r="CN1174" i="1"/>
  <c r="CJ1174" i="1"/>
  <c r="CH1174" i="1"/>
  <c r="CF1174" i="1"/>
  <c r="BL1174" i="1"/>
  <c r="BD1174" i="1"/>
  <c r="AZ1174" i="1"/>
  <c r="AX1174" i="1"/>
  <c r="DC1164" i="1"/>
  <c r="DA1164" i="1"/>
  <c r="CY1164" i="1"/>
  <c r="Y1164" i="1" s="1"/>
  <c r="CW1164" i="1"/>
  <c r="AA1164" i="1" s="1"/>
  <c r="CR1164" i="1"/>
  <c r="CP1164" i="1"/>
  <c r="CN1164" i="1"/>
  <c r="CJ1164" i="1"/>
  <c r="CH1164" i="1"/>
  <c r="CF1164" i="1"/>
  <c r="BL1164" i="1"/>
  <c r="BD1164" i="1"/>
  <c r="AZ1164" i="1"/>
  <c r="AX1164" i="1"/>
  <c r="DC1179" i="1"/>
  <c r="DA1179" i="1"/>
  <c r="CY1179" i="1"/>
  <c r="Y1179" i="1" s="1"/>
  <c r="CW1179" i="1"/>
  <c r="AA1179" i="1" s="1"/>
  <c r="CR1179" i="1"/>
  <c r="CP1179" i="1"/>
  <c r="CN1179" i="1"/>
  <c r="CJ1179" i="1"/>
  <c r="CH1179" i="1"/>
  <c r="CF1179" i="1"/>
  <c r="BL1179" i="1"/>
  <c r="BD1179" i="1"/>
  <c r="AZ1179" i="1"/>
  <c r="AX1179" i="1"/>
  <c r="DC1178" i="1"/>
  <c r="DA1178" i="1"/>
  <c r="CY1178" i="1"/>
  <c r="Y1178" i="1" s="1"/>
  <c r="CW1178" i="1"/>
  <c r="AA1178" i="1" s="1"/>
  <c r="CR1178" i="1"/>
  <c r="CP1178" i="1"/>
  <c r="CN1178" i="1"/>
  <c r="CJ1178" i="1"/>
  <c r="CH1178" i="1"/>
  <c r="CF1178" i="1"/>
  <c r="BL1178" i="1"/>
  <c r="BD1178" i="1"/>
  <c r="AZ1178" i="1"/>
  <c r="AX1178" i="1"/>
  <c r="DC1187" i="1"/>
  <c r="DA1187" i="1"/>
  <c r="CY1187" i="1"/>
  <c r="Y1187" i="1" s="1"/>
  <c r="CW1187" i="1"/>
  <c r="AA1187" i="1" s="1"/>
  <c r="CR1187" i="1"/>
  <c r="CP1187" i="1"/>
  <c r="CN1187" i="1"/>
  <c r="CJ1187" i="1"/>
  <c r="CH1187" i="1"/>
  <c r="CF1187" i="1"/>
  <c r="BL1187" i="1"/>
  <c r="BD1187" i="1"/>
  <c r="AZ1187" i="1"/>
  <c r="AX1187" i="1"/>
  <c r="DC1189" i="1"/>
  <c r="DA1189" i="1"/>
  <c r="CY1189" i="1"/>
  <c r="Y1189" i="1" s="1"/>
  <c r="CW1189" i="1"/>
  <c r="AA1189" i="1" s="1"/>
  <c r="CR1189" i="1"/>
  <c r="CP1189" i="1"/>
  <c r="CN1189" i="1"/>
  <c r="CJ1189" i="1"/>
  <c r="CH1189" i="1"/>
  <c r="CF1189" i="1"/>
  <c r="BL1189" i="1"/>
  <c r="BD1189" i="1"/>
  <c r="AZ1189" i="1"/>
  <c r="AX1189" i="1"/>
  <c r="DC1175" i="1"/>
  <c r="DA1175" i="1"/>
  <c r="CY1175" i="1"/>
  <c r="Y1175" i="1" s="1"/>
  <c r="CW1175" i="1"/>
  <c r="AA1175" i="1" s="1"/>
  <c r="CR1175" i="1"/>
  <c r="CP1175" i="1"/>
  <c r="CN1175" i="1"/>
  <c r="CJ1175" i="1"/>
  <c r="CH1175" i="1"/>
  <c r="CF1175" i="1"/>
  <c r="BL1175" i="1"/>
  <c r="BD1175" i="1"/>
  <c r="AZ1175" i="1"/>
  <c r="AX1175" i="1"/>
  <c r="DC1177" i="1"/>
  <c r="DA1177" i="1"/>
  <c r="CY1177" i="1"/>
  <c r="Y1177" i="1" s="1"/>
  <c r="CW1177" i="1"/>
  <c r="AA1177" i="1" s="1"/>
  <c r="CR1177" i="1"/>
  <c r="CP1177" i="1"/>
  <c r="CN1177" i="1"/>
  <c r="CJ1177" i="1"/>
  <c r="CH1177" i="1"/>
  <c r="CF1177" i="1"/>
  <c r="BL1177" i="1"/>
  <c r="BD1177" i="1"/>
  <c r="AZ1177" i="1"/>
  <c r="AX1177" i="1"/>
  <c r="DC1170" i="1"/>
  <c r="DA1170" i="1"/>
  <c r="CY1170" i="1"/>
  <c r="Y1170" i="1" s="1"/>
  <c r="CW1170" i="1"/>
  <c r="AA1170" i="1" s="1"/>
  <c r="CR1170" i="1"/>
  <c r="CP1170" i="1"/>
  <c r="CN1170" i="1"/>
  <c r="CJ1170" i="1"/>
  <c r="CH1170" i="1"/>
  <c r="CF1170" i="1"/>
  <c r="BL1170" i="1"/>
  <c r="BD1170" i="1"/>
  <c r="AZ1170" i="1"/>
  <c r="AX1170" i="1"/>
  <c r="DC1171" i="1"/>
  <c r="DA1171" i="1"/>
  <c r="CY1171" i="1"/>
  <c r="Y1171" i="1" s="1"/>
  <c r="CW1171" i="1"/>
  <c r="AA1171" i="1" s="1"/>
  <c r="CR1171" i="1"/>
  <c r="CP1171" i="1"/>
  <c r="CN1171" i="1"/>
  <c r="CJ1171" i="1"/>
  <c r="CH1171" i="1"/>
  <c r="CF1171" i="1"/>
  <c r="BL1171" i="1"/>
  <c r="BD1171" i="1"/>
  <c r="AZ1171" i="1"/>
  <c r="AX1171" i="1"/>
  <c r="DC1168" i="1"/>
  <c r="DA1168" i="1"/>
  <c r="CY1168" i="1"/>
  <c r="Y1168" i="1" s="1"/>
  <c r="CW1168" i="1"/>
  <c r="AA1168" i="1" s="1"/>
  <c r="CR1168" i="1"/>
  <c r="CP1168" i="1"/>
  <c r="CN1168" i="1"/>
  <c r="CJ1168" i="1"/>
  <c r="CH1168" i="1"/>
  <c r="CF1168" i="1"/>
  <c r="BL1168" i="1"/>
  <c r="BD1168" i="1"/>
  <c r="AZ1168" i="1"/>
  <c r="AX1168" i="1"/>
  <c r="DC1183" i="1"/>
  <c r="DA1183" i="1"/>
  <c r="Y1183" i="1"/>
  <c r="CW1183" i="1"/>
  <c r="AA1183" i="1" s="1"/>
  <c r="CH1183" i="1"/>
  <c r="CF1183" i="1"/>
  <c r="BL1183" i="1"/>
  <c r="BD1183" i="1"/>
  <c r="AX1183" i="1"/>
  <c r="DC1173" i="1"/>
  <c r="DA1173" i="1"/>
  <c r="CY1173" i="1"/>
  <c r="Y1173" i="1" s="1"/>
  <c r="CW1173" i="1"/>
  <c r="AA1173" i="1" s="1"/>
  <c r="CR1173" i="1"/>
  <c r="CP1173" i="1"/>
  <c r="CN1173" i="1"/>
  <c r="CJ1173" i="1"/>
  <c r="CH1173" i="1"/>
  <c r="CF1173" i="1"/>
  <c r="BL1173" i="1"/>
  <c r="BD1173" i="1"/>
  <c r="AZ1173" i="1"/>
  <c r="AX1173" i="1"/>
  <c r="DC1188" i="1"/>
  <c r="DA1188" i="1"/>
  <c r="CY1188" i="1"/>
  <c r="Y1188" i="1" s="1"/>
  <c r="CW1188" i="1"/>
  <c r="AA1188" i="1" s="1"/>
  <c r="CR1188" i="1"/>
  <c r="CP1188" i="1"/>
  <c r="CN1188" i="1"/>
  <c r="CJ1188" i="1"/>
  <c r="CH1188" i="1"/>
  <c r="CF1188" i="1"/>
  <c r="BL1188" i="1"/>
  <c r="BD1188" i="1"/>
  <c r="AZ1188" i="1"/>
  <c r="AX1188" i="1"/>
  <c r="DC1190" i="1"/>
  <c r="DA1190" i="1"/>
  <c r="CY1190" i="1"/>
  <c r="Y1190" i="1" s="1"/>
  <c r="CW1190" i="1"/>
  <c r="AA1190" i="1" s="1"/>
  <c r="CR1190" i="1"/>
  <c r="CP1190" i="1"/>
  <c r="CN1190" i="1"/>
  <c r="CJ1190" i="1"/>
  <c r="CH1190" i="1"/>
  <c r="CF1190" i="1"/>
  <c r="BL1190" i="1"/>
  <c r="BD1190" i="1"/>
  <c r="AZ1190" i="1"/>
  <c r="AX1190" i="1"/>
  <c r="DC1180" i="1"/>
  <c r="DA1180" i="1"/>
  <c r="CY1180" i="1"/>
  <c r="Y1180" i="1" s="1"/>
  <c r="CW1180" i="1"/>
  <c r="AA1180" i="1" s="1"/>
  <c r="CR1180" i="1"/>
  <c r="CP1180" i="1"/>
  <c r="CN1180" i="1"/>
  <c r="CJ1180" i="1"/>
  <c r="CH1180" i="1"/>
  <c r="CF1180" i="1"/>
  <c r="BL1180" i="1"/>
  <c r="BD1180" i="1"/>
  <c r="AZ1180" i="1"/>
  <c r="AX1180" i="1"/>
  <c r="Z1181" i="1" l="1"/>
  <c r="Z1089" i="1"/>
  <c r="Z1176" i="1"/>
  <c r="CU1204" i="1"/>
  <c r="X1204" i="1" s="1"/>
  <c r="Z1204" i="1"/>
  <c r="Z573" i="1"/>
  <c r="Z1193" i="1"/>
  <c r="Z1179" i="1"/>
  <c r="CU1176" i="1"/>
  <c r="X1176" i="1" s="1"/>
  <c r="CU1089" i="1"/>
  <c r="X1089" i="1" s="1"/>
  <c r="CU573" i="1"/>
  <c r="X573" i="1" s="1"/>
  <c r="CU1193" i="1"/>
  <c r="X1193" i="1" s="1"/>
  <c r="CU1181" i="1"/>
  <c r="X1181" i="1" s="1"/>
  <c r="Z1189" i="1"/>
  <c r="Z1171" i="1"/>
  <c r="Z1164" i="1"/>
  <c r="Z1190" i="1"/>
  <c r="Z1178" i="1"/>
  <c r="CU1173" i="1"/>
  <c r="X1173" i="1" s="1"/>
  <c r="Z1170" i="1"/>
  <c r="Z1174" i="1"/>
  <c r="Z1180" i="1"/>
  <c r="Z1168" i="1"/>
  <c r="CU1178" i="1"/>
  <c r="X1178" i="1" s="1"/>
  <c r="Z1183" i="1"/>
  <c r="Z1175" i="1"/>
  <c r="Z1173" i="1"/>
  <c r="CU1177" i="1"/>
  <c r="X1177" i="1" s="1"/>
  <c r="Z1177" i="1"/>
  <c r="Z1188" i="1"/>
  <c r="Z1187" i="1"/>
  <c r="CU1175" i="1"/>
  <c r="X1175" i="1" s="1"/>
  <c r="CU1180" i="1"/>
  <c r="X1180" i="1" s="1"/>
  <c r="CU1171" i="1"/>
  <c r="X1171" i="1" s="1"/>
  <c r="CU1189" i="1"/>
  <c r="X1189" i="1" s="1"/>
  <c r="CU1164" i="1"/>
  <c r="X1164" i="1" s="1"/>
  <c r="CU1190" i="1"/>
  <c r="X1190" i="1" s="1"/>
  <c r="CU1183" i="1"/>
  <c r="X1183" i="1" s="1"/>
  <c r="CU1168" i="1"/>
  <c r="X1168" i="1" s="1"/>
  <c r="CU1179" i="1"/>
  <c r="X1179" i="1" s="1"/>
  <c r="CU1188" i="1"/>
  <c r="X1188" i="1" s="1"/>
  <c r="CU1170" i="1"/>
  <c r="X1170" i="1" s="1"/>
  <c r="CU1187" i="1"/>
  <c r="X1187" i="1" s="1"/>
  <c r="CU1174" i="1"/>
  <c r="X1174" i="1" s="1"/>
  <c r="DC1194" i="1"/>
  <c r="DA1194" i="1"/>
  <c r="CY1194" i="1"/>
  <c r="Y1194" i="1" s="1"/>
  <c r="CW1194" i="1"/>
  <c r="AA1194" i="1" s="1"/>
  <c r="CR1194" i="1"/>
  <c r="CP1194" i="1"/>
  <c r="CN1194" i="1"/>
  <c r="CJ1194" i="1"/>
  <c r="CH1194" i="1"/>
  <c r="CF1194" i="1"/>
  <c r="BL1194" i="1"/>
  <c r="BD1194" i="1"/>
  <c r="AZ1194" i="1"/>
  <c r="AX1194" i="1"/>
  <c r="DC1147" i="1"/>
  <c r="DA1147" i="1"/>
  <c r="CY1147" i="1"/>
  <c r="Y1147" i="1" s="1"/>
  <c r="CW1147" i="1"/>
  <c r="AA1147" i="1" s="1"/>
  <c r="CR1147" i="1"/>
  <c r="CP1147" i="1"/>
  <c r="CN1147" i="1"/>
  <c r="CJ1147" i="1"/>
  <c r="CH1147" i="1"/>
  <c r="CF1147" i="1"/>
  <c r="BL1147" i="1"/>
  <c r="BD1147" i="1"/>
  <c r="AZ1147" i="1"/>
  <c r="AX1147" i="1"/>
  <c r="DC1151" i="1"/>
  <c r="DA1151" i="1"/>
  <c r="CY1151" i="1"/>
  <c r="Y1151" i="1" s="1"/>
  <c r="CW1151" i="1"/>
  <c r="AA1151" i="1" s="1"/>
  <c r="CR1151" i="1"/>
  <c r="CP1151" i="1"/>
  <c r="CN1151" i="1"/>
  <c r="CJ1151" i="1"/>
  <c r="CH1151" i="1"/>
  <c r="CF1151" i="1"/>
  <c r="BL1151" i="1"/>
  <c r="BD1151" i="1"/>
  <c r="AZ1151" i="1"/>
  <c r="AX1151" i="1"/>
  <c r="DA1165" i="1"/>
  <c r="Y1165" i="1"/>
  <c r="CW1165" i="1"/>
  <c r="AA1165" i="1" s="1"/>
  <c r="CP1165" i="1"/>
  <c r="CN1165" i="1"/>
  <c r="CJ1165" i="1"/>
  <c r="CH1165" i="1"/>
  <c r="CF1165" i="1"/>
  <c r="BL1165" i="1"/>
  <c r="BD1165" i="1"/>
  <c r="AZ1165" i="1"/>
  <c r="AX1165" i="1"/>
  <c r="DC1145" i="1"/>
  <c r="DA1145" i="1"/>
  <c r="CY1145" i="1"/>
  <c r="Y1145" i="1" s="1"/>
  <c r="CW1145" i="1"/>
  <c r="AA1145" i="1" s="1"/>
  <c r="CR1145" i="1"/>
  <c r="CP1145" i="1"/>
  <c r="CN1145" i="1"/>
  <c r="CJ1145" i="1"/>
  <c r="CH1145" i="1"/>
  <c r="CF1145" i="1"/>
  <c r="BL1145" i="1"/>
  <c r="BD1145" i="1"/>
  <c r="AZ1145" i="1"/>
  <c r="AX1145" i="1"/>
  <c r="DC1074" i="1"/>
  <c r="DA1074" i="1"/>
  <c r="CY1074" i="1"/>
  <c r="Y1074" i="1" s="1"/>
  <c r="CW1074" i="1"/>
  <c r="AA1074" i="1" s="1"/>
  <c r="CR1074" i="1"/>
  <c r="CP1074" i="1"/>
  <c r="CN1074" i="1"/>
  <c r="CJ1074" i="1"/>
  <c r="CH1074" i="1"/>
  <c r="CF1074" i="1"/>
  <c r="BL1074" i="1"/>
  <c r="BD1074" i="1"/>
  <c r="AZ1074" i="1"/>
  <c r="AX1074" i="1"/>
  <c r="DC1159" i="1"/>
  <c r="DA1159" i="1"/>
  <c r="CY1159" i="1"/>
  <c r="Y1159" i="1" s="1"/>
  <c r="CW1159" i="1"/>
  <c r="AA1159" i="1" s="1"/>
  <c r="CR1159" i="1"/>
  <c r="CP1159" i="1"/>
  <c r="CN1159" i="1"/>
  <c r="CJ1159" i="1"/>
  <c r="CH1159" i="1"/>
  <c r="CF1159" i="1"/>
  <c r="BL1159" i="1"/>
  <c r="BD1159" i="1"/>
  <c r="AZ1159" i="1"/>
  <c r="AX1159" i="1"/>
  <c r="Y1166" i="1"/>
  <c r="CW1166" i="1"/>
  <c r="AA1166" i="1" s="1"/>
  <c r="CN1166" i="1"/>
  <c r="CJ1166" i="1"/>
  <c r="CH1166" i="1"/>
  <c r="CF1166" i="1"/>
  <c r="BL1166" i="1"/>
  <c r="BD1166" i="1"/>
  <c r="AX1166" i="1"/>
  <c r="DC1172" i="1"/>
  <c r="DA1172" i="1"/>
  <c r="CY1172" i="1"/>
  <c r="Y1172" i="1" s="1"/>
  <c r="CW1172" i="1"/>
  <c r="AA1172" i="1" s="1"/>
  <c r="CR1172" i="1"/>
  <c r="CP1172" i="1"/>
  <c r="CN1172" i="1"/>
  <c r="CJ1172" i="1"/>
  <c r="CH1172" i="1"/>
  <c r="CF1172" i="1"/>
  <c r="BL1172" i="1"/>
  <c r="BD1172" i="1"/>
  <c r="AZ1172" i="1"/>
  <c r="AX1172" i="1"/>
  <c r="DC1148" i="1"/>
  <c r="DA1148" i="1"/>
  <c r="CY1148" i="1"/>
  <c r="Y1148" i="1" s="1"/>
  <c r="CW1148" i="1"/>
  <c r="AA1148" i="1" s="1"/>
  <c r="CR1148" i="1"/>
  <c r="CP1148" i="1"/>
  <c r="CN1148" i="1"/>
  <c r="CJ1148" i="1"/>
  <c r="CH1148" i="1"/>
  <c r="CF1148" i="1"/>
  <c r="BL1148" i="1"/>
  <c r="BD1148" i="1"/>
  <c r="AZ1148" i="1"/>
  <c r="AX1148" i="1"/>
  <c r="DC1139" i="1"/>
  <c r="DA1139" i="1"/>
  <c r="CY1139" i="1"/>
  <c r="Y1139" i="1" s="1"/>
  <c r="CW1139" i="1"/>
  <c r="AA1139" i="1" s="1"/>
  <c r="CR1139" i="1"/>
  <c r="CP1139" i="1"/>
  <c r="CN1139" i="1"/>
  <c r="CJ1139" i="1"/>
  <c r="CH1139" i="1"/>
  <c r="CF1139" i="1"/>
  <c r="BL1139" i="1"/>
  <c r="BD1139" i="1"/>
  <c r="AZ1139" i="1"/>
  <c r="AX1139" i="1"/>
  <c r="DC1081" i="1"/>
  <c r="DA1081" i="1"/>
  <c r="CY1081" i="1"/>
  <c r="Y1081" i="1" s="1"/>
  <c r="CW1081" i="1"/>
  <c r="AA1081" i="1" s="1"/>
  <c r="CR1081" i="1"/>
  <c r="CP1081" i="1"/>
  <c r="CN1081" i="1"/>
  <c r="CJ1081" i="1"/>
  <c r="CH1081" i="1"/>
  <c r="CF1081" i="1"/>
  <c r="BL1081" i="1"/>
  <c r="BD1081" i="1"/>
  <c r="AZ1081" i="1"/>
  <c r="AX1081" i="1"/>
  <c r="DC1152" i="1"/>
  <c r="DA1152" i="1"/>
  <c r="CY1152" i="1"/>
  <c r="Y1152" i="1" s="1"/>
  <c r="CW1152" i="1"/>
  <c r="AA1152" i="1" s="1"/>
  <c r="CR1152" i="1"/>
  <c r="CP1152" i="1"/>
  <c r="CN1152" i="1"/>
  <c r="CJ1152" i="1"/>
  <c r="CH1152" i="1"/>
  <c r="CF1152" i="1"/>
  <c r="BL1152" i="1"/>
  <c r="BD1152" i="1"/>
  <c r="AZ1152" i="1"/>
  <c r="AX1152" i="1"/>
  <c r="DC1142" i="1"/>
  <c r="DA1142" i="1"/>
  <c r="CY1142" i="1"/>
  <c r="Y1142" i="1" s="1"/>
  <c r="CW1142" i="1"/>
  <c r="AA1142" i="1" s="1"/>
  <c r="CR1142" i="1"/>
  <c r="CP1142" i="1"/>
  <c r="CN1142" i="1"/>
  <c r="CJ1142" i="1"/>
  <c r="CH1142" i="1"/>
  <c r="CF1142" i="1"/>
  <c r="BL1142" i="1"/>
  <c r="BD1142" i="1"/>
  <c r="AZ1142" i="1"/>
  <c r="AX1142" i="1"/>
  <c r="DC1162" i="1"/>
  <c r="DA1162" i="1"/>
  <c r="CY1162" i="1"/>
  <c r="Y1162" i="1" s="1"/>
  <c r="CW1162" i="1"/>
  <c r="AA1162" i="1" s="1"/>
  <c r="CR1162" i="1"/>
  <c r="CP1162" i="1"/>
  <c r="CN1162" i="1"/>
  <c r="CJ1162" i="1"/>
  <c r="CH1162" i="1"/>
  <c r="CF1162" i="1"/>
  <c r="BL1162" i="1"/>
  <c r="BD1162" i="1"/>
  <c r="AZ1162" i="1"/>
  <c r="AX1162" i="1"/>
  <c r="DC1161" i="1"/>
  <c r="DA1161" i="1"/>
  <c r="CY1161" i="1"/>
  <c r="Y1161" i="1" s="1"/>
  <c r="CW1161" i="1"/>
  <c r="AA1161" i="1" s="1"/>
  <c r="CR1161" i="1"/>
  <c r="CP1161" i="1"/>
  <c r="CN1161" i="1"/>
  <c r="CJ1161" i="1"/>
  <c r="CH1161" i="1"/>
  <c r="CF1161" i="1"/>
  <c r="BL1161" i="1"/>
  <c r="BD1161" i="1"/>
  <c r="AZ1161" i="1"/>
  <c r="AX1161" i="1"/>
  <c r="DC1163" i="1"/>
  <c r="DA1163" i="1"/>
  <c r="CY1163" i="1"/>
  <c r="Y1163" i="1" s="1"/>
  <c r="CW1163" i="1"/>
  <c r="AA1163" i="1" s="1"/>
  <c r="CR1163" i="1"/>
  <c r="CP1163" i="1"/>
  <c r="CN1163" i="1"/>
  <c r="CJ1163" i="1"/>
  <c r="CH1163" i="1"/>
  <c r="CF1163" i="1"/>
  <c r="BL1163" i="1"/>
  <c r="BD1163" i="1"/>
  <c r="AZ1163" i="1"/>
  <c r="AX1163" i="1"/>
  <c r="DC1143" i="1"/>
  <c r="DA1143" i="1"/>
  <c r="CY1143" i="1"/>
  <c r="Y1143" i="1" s="1"/>
  <c r="CW1143" i="1"/>
  <c r="AA1143" i="1" s="1"/>
  <c r="CR1143" i="1"/>
  <c r="CP1143" i="1"/>
  <c r="CN1143" i="1"/>
  <c r="CJ1143" i="1"/>
  <c r="CH1143" i="1"/>
  <c r="CF1143" i="1"/>
  <c r="BL1143" i="1"/>
  <c r="BD1143" i="1"/>
  <c r="AZ1143" i="1"/>
  <c r="AX1143" i="1"/>
  <c r="DC1155" i="1"/>
  <c r="DA1155" i="1"/>
  <c r="CY1155" i="1"/>
  <c r="Y1155" i="1" s="1"/>
  <c r="CW1155" i="1"/>
  <c r="AA1155" i="1" s="1"/>
  <c r="CR1155" i="1"/>
  <c r="CP1155" i="1"/>
  <c r="CN1155" i="1"/>
  <c r="CJ1155" i="1"/>
  <c r="CH1155" i="1"/>
  <c r="CF1155" i="1"/>
  <c r="BL1155" i="1"/>
  <c r="BD1155" i="1"/>
  <c r="AZ1155" i="1"/>
  <c r="AX1155" i="1"/>
  <c r="DC1154" i="1"/>
  <c r="DA1154" i="1"/>
  <c r="CY1154" i="1"/>
  <c r="Y1154" i="1" s="1"/>
  <c r="CW1154" i="1"/>
  <c r="AA1154" i="1" s="1"/>
  <c r="CR1154" i="1"/>
  <c r="CP1154" i="1"/>
  <c r="CN1154" i="1"/>
  <c r="CJ1154" i="1"/>
  <c r="CH1154" i="1"/>
  <c r="CF1154" i="1"/>
  <c r="BL1154" i="1"/>
  <c r="BD1154" i="1"/>
  <c r="AZ1154" i="1"/>
  <c r="AX1154" i="1"/>
  <c r="DC1153" i="1"/>
  <c r="DA1153" i="1"/>
  <c r="CY1153" i="1"/>
  <c r="Y1153" i="1" s="1"/>
  <c r="CW1153" i="1"/>
  <c r="AA1153" i="1" s="1"/>
  <c r="CR1153" i="1"/>
  <c r="CP1153" i="1"/>
  <c r="CN1153" i="1"/>
  <c r="CJ1153" i="1"/>
  <c r="CH1153" i="1"/>
  <c r="CF1153" i="1"/>
  <c r="BL1153" i="1"/>
  <c r="BD1153" i="1"/>
  <c r="AZ1153" i="1"/>
  <c r="AX1153" i="1"/>
  <c r="DC1158" i="1"/>
  <c r="DA1158" i="1"/>
  <c r="CY1158" i="1"/>
  <c r="Y1158" i="1" s="1"/>
  <c r="CW1158" i="1"/>
  <c r="AA1158" i="1" s="1"/>
  <c r="CR1158" i="1"/>
  <c r="CP1158" i="1"/>
  <c r="CN1158" i="1"/>
  <c r="CJ1158" i="1"/>
  <c r="CH1158" i="1"/>
  <c r="CF1158" i="1"/>
  <c r="BL1158" i="1"/>
  <c r="BD1158" i="1"/>
  <c r="AZ1158" i="1"/>
  <c r="AX1158" i="1"/>
  <c r="DC1157" i="1"/>
  <c r="DA1157" i="1"/>
  <c r="CY1157" i="1"/>
  <c r="Y1157" i="1" s="1"/>
  <c r="CW1157" i="1"/>
  <c r="AA1157" i="1" s="1"/>
  <c r="CR1157" i="1"/>
  <c r="CP1157" i="1"/>
  <c r="CN1157" i="1"/>
  <c r="CJ1157" i="1"/>
  <c r="CH1157" i="1"/>
  <c r="CF1157" i="1"/>
  <c r="BL1157" i="1"/>
  <c r="BD1157" i="1"/>
  <c r="AZ1157" i="1"/>
  <c r="AX1157" i="1"/>
  <c r="DC1144" i="1"/>
  <c r="DA1144" i="1"/>
  <c r="CY1144" i="1"/>
  <c r="Y1144" i="1" s="1"/>
  <c r="CW1144" i="1"/>
  <c r="AA1144" i="1" s="1"/>
  <c r="CR1144" i="1"/>
  <c r="CP1144" i="1"/>
  <c r="CN1144" i="1"/>
  <c r="CJ1144" i="1"/>
  <c r="CH1144" i="1"/>
  <c r="CF1144" i="1"/>
  <c r="BL1144" i="1"/>
  <c r="BD1144" i="1"/>
  <c r="AZ1144" i="1"/>
  <c r="AX1144" i="1"/>
  <c r="DC1094" i="1"/>
  <c r="DA1094" i="1"/>
  <c r="CY1094" i="1"/>
  <c r="Y1094" i="1" s="1"/>
  <c r="CW1094" i="1"/>
  <c r="AA1094" i="1" s="1"/>
  <c r="CR1094" i="1"/>
  <c r="CP1094" i="1"/>
  <c r="CN1094" i="1"/>
  <c r="CJ1094" i="1"/>
  <c r="CH1094" i="1"/>
  <c r="CF1094" i="1"/>
  <c r="BL1094" i="1"/>
  <c r="BD1094" i="1"/>
  <c r="AZ1094" i="1"/>
  <c r="AX1094" i="1"/>
  <c r="DC1156" i="1"/>
  <c r="DA1156" i="1"/>
  <c r="CY1156" i="1"/>
  <c r="Y1156" i="1" s="1"/>
  <c r="CW1156" i="1"/>
  <c r="AA1156" i="1" s="1"/>
  <c r="CR1156" i="1"/>
  <c r="CP1156" i="1"/>
  <c r="CN1156" i="1"/>
  <c r="CJ1156" i="1"/>
  <c r="CH1156" i="1"/>
  <c r="CF1156" i="1"/>
  <c r="BL1156" i="1"/>
  <c r="BD1156" i="1"/>
  <c r="AZ1156" i="1"/>
  <c r="AX1156" i="1"/>
  <c r="DC1146" i="1"/>
  <c r="DA1146" i="1"/>
  <c r="CY1146" i="1"/>
  <c r="Y1146" i="1" s="1"/>
  <c r="CW1146" i="1"/>
  <c r="AA1146" i="1" s="1"/>
  <c r="CR1146" i="1"/>
  <c r="CP1146" i="1"/>
  <c r="CN1146" i="1"/>
  <c r="CJ1146" i="1"/>
  <c r="CH1146" i="1"/>
  <c r="CF1146" i="1"/>
  <c r="BL1146" i="1"/>
  <c r="BD1146" i="1"/>
  <c r="AZ1146" i="1"/>
  <c r="AX1146" i="1"/>
  <c r="DC1150" i="1"/>
  <c r="DA1150" i="1"/>
  <c r="CY1150" i="1"/>
  <c r="Y1150" i="1" s="1"/>
  <c r="CW1150" i="1"/>
  <c r="AA1150" i="1" s="1"/>
  <c r="CR1150" i="1"/>
  <c r="CP1150" i="1"/>
  <c r="CN1150" i="1"/>
  <c r="CJ1150" i="1"/>
  <c r="CH1150" i="1"/>
  <c r="CF1150" i="1"/>
  <c r="BL1150" i="1"/>
  <c r="BD1150" i="1"/>
  <c r="AZ1150" i="1"/>
  <c r="AX1150" i="1"/>
  <c r="DC1149" i="1"/>
  <c r="DA1149" i="1"/>
  <c r="CY1149" i="1"/>
  <c r="Y1149" i="1" s="1"/>
  <c r="CW1149" i="1"/>
  <c r="AA1149" i="1" s="1"/>
  <c r="CR1149" i="1"/>
  <c r="CP1149" i="1"/>
  <c r="CN1149" i="1"/>
  <c r="CJ1149" i="1"/>
  <c r="CH1149" i="1"/>
  <c r="CF1149" i="1"/>
  <c r="BL1149" i="1"/>
  <c r="BD1149" i="1"/>
  <c r="AZ1149" i="1"/>
  <c r="AX1149" i="1"/>
  <c r="DC1141" i="1"/>
  <c r="DA1141" i="1"/>
  <c r="CY1141" i="1"/>
  <c r="Y1141" i="1" s="1"/>
  <c r="CW1141" i="1"/>
  <c r="AA1141" i="1" s="1"/>
  <c r="CR1141" i="1"/>
  <c r="CP1141" i="1"/>
  <c r="CN1141" i="1"/>
  <c r="CJ1141" i="1"/>
  <c r="CH1141" i="1"/>
  <c r="CF1141" i="1"/>
  <c r="BL1141" i="1"/>
  <c r="BD1141" i="1"/>
  <c r="AZ1141" i="1"/>
  <c r="AX1141" i="1"/>
  <c r="DC1125" i="1"/>
  <c r="DA1125" i="1"/>
  <c r="CY1125" i="1"/>
  <c r="Y1125" i="1" s="1"/>
  <c r="CW1125" i="1"/>
  <c r="AA1125" i="1" s="1"/>
  <c r="CR1125" i="1"/>
  <c r="CP1125" i="1"/>
  <c r="CN1125" i="1"/>
  <c r="CJ1125" i="1"/>
  <c r="CH1125" i="1"/>
  <c r="CF1125" i="1"/>
  <c r="BL1125" i="1"/>
  <c r="BD1125" i="1"/>
  <c r="AZ1125" i="1"/>
  <c r="AX1125" i="1"/>
  <c r="AD1181" i="1" l="1"/>
  <c r="AD1089" i="1"/>
  <c r="AD1176" i="1"/>
  <c r="Z1161" i="1"/>
  <c r="AD1204" i="1"/>
  <c r="AD573" i="1"/>
  <c r="AD1193" i="1"/>
  <c r="AD1178" i="1"/>
  <c r="AD1179" i="1"/>
  <c r="AD1173" i="1"/>
  <c r="AD1189" i="1"/>
  <c r="AD1164" i="1"/>
  <c r="AD1171" i="1"/>
  <c r="AD1175" i="1"/>
  <c r="AD1174" i="1"/>
  <c r="AD1180" i="1"/>
  <c r="AD1187" i="1"/>
  <c r="AD1190" i="1"/>
  <c r="AD1188" i="1"/>
  <c r="AD1177" i="1"/>
  <c r="AD1170" i="1"/>
  <c r="AD1168" i="1"/>
  <c r="AD1183" i="1"/>
  <c r="Z1151" i="1"/>
  <c r="Z1165" i="1"/>
  <c r="CU1194" i="1"/>
  <c r="X1194" i="1" s="1"/>
  <c r="Z1172" i="1"/>
  <c r="Z1162" i="1"/>
  <c r="Z1159" i="1"/>
  <c r="Z1145" i="1"/>
  <c r="Z1147" i="1"/>
  <c r="Z1148" i="1"/>
  <c r="Z1142" i="1"/>
  <c r="Z1081" i="1"/>
  <c r="Z1163" i="1"/>
  <c r="Z1144" i="1"/>
  <c r="Z1152" i="1"/>
  <c r="Z1139" i="1"/>
  <c r="Z1166" i="1"/>
  <c r="Z1074" i="1"/>
  <c r="Z1194" i="1"/>
  <c r="CU1146" i="1"/>
  <c r="X1146" i="1" s="1"/>
  <c r="Z1094" i="1"/>
  <c r="Z1125" i="1"/>
  <c r="CU1154" i="1"/>
  <c r="X1154" i="1" s="1"/>
  <c r="Z1143" i="1"/>
  <c r="Z1141" i="1"/>
  <c r="Z1156" i="1"/>
  <c r="Z1157" i="1"/>
  <c r="CU1152" i="1"/>
  <c r="X1152" i="1" s="1"/>
  <c r="CU1074" i="1"/>
  <c r="X1074" i="1" s="1"/>
  <c r="CU1158" i="1"/>
  <c r="X1158" i="1" s="1"/>
  <c r="CU1153" i="1"/>
  <c r="X1153" i="1" s="1"/>
  <c r="CU1142" i="1"/>
  <c r="X1142" i="1" s="1"/>
  <c r="CU1081" i="1"/>
  <c r="X1081" i="1" s="1"/>
  <c r="CU1159" i="1"/>
  <c r="X1159" i="1" s="1"/>
  <c r="CU1165" i="1"/>
  <c r="X1165" i="1" s="1"/>
  <c r="CU1149" i="1"/>
  <c r="X1149" i="1" s="1"/>
  <c r="CU1150" i="1"/>
  <c r="X1150" i="1" s="1"/>
  <c r="CU1155" i="1"/>
  <c r="X1155" i="1" s="1"/>
  <c r="Z1149" i="1"/>
  <c r="Z1150" i="1"/>
  <c r="Z1146" i="1"/>
  <c r="CU1156" i="1"/>
  <c r="X1156" i="1" s="1"/>
  <c r="CU1094" i="1"/>
  <c r="X1094" i="1" s="1"/>
  <c r="CU1144" i="1"/>
  <c r="X1144" i="1" s="1"/>
  <c r="Z1158" i="1"/>
  <c r="CU1148" i="1"/>
  <c r="X1148" i="1" s="1"/>
  <c r="CU1166" i="1"/>
  <c r="X1166" i="1" s="1"/>
  <c r="CU1125" i="1"/>
  <c r="X1125" i="1" s="1"/>
  <c r="CU1141" i="1"/>
  <c r="X1141" i="1" s="1"/>
  <c r="CU1157" i="1"/>
  <c r="X1157" i="1" s="1"/>
  <c r="Z1153" i="1"/>
  <c r="Z1154" i="1"/>
  <c r="Z1155" i="1"/>
  <c r="CU1143" i="1"/>
  <c r="X1143" i="1" s="1"/>
  <c r="CU1163" i="1"/>
  <c r="X1163" i="1" s="1"/>
  <c r="CU1147" i="1"/>
  <c r="X1147" i="1" s="1"/>
  <c r="CU1162" i="1"/>
  <c r="X1162" i="1" s="1"/>
  <c r="CU1139" i="1"/>
  <c r="X1139" i="1" s="1"/>
  <c r="CU1172" i="1"/>
  <c r="X1172" i="1" s="1"/>
  <c r="CU1145" i="1"/>
  <c r="X1145" i="1" s="1"/>
  <c r="CU1151" i="1"/>
  <c r="X1151" i="1" s="1"/>
  <c r="CU1161" i="1"/>
  <c r="X1161" i="1" s="1"/>
  <c r="DA1213" i="1"/>
  <c r="CY1213" i="1"/>
  <c r="Y1213" i="1" s="1"/>
  <c r="CW1213" i="1"/>
  <c r="AA1213" i="1" s="1"/>
  <c r="CN1213" i="1"/>
  <c r="CH1213" i="1"/>
  <c r="CF1213" i="1"/>
  <c r="BL1213" i="1"/>
  <c r="BD1213" i="1"/>
  <c r="AX1213" i="1"/>
  <c r="DC1198" i="1"/>
  <c r="DA1198" i="1"/>
  <c r="CY1198" i="1"/>
  <c r="Y1198" i="1" s="1"/>
  <c r="CW1198" i="1"/>
  <c r="AA1198" i="1" s="1"/>
  <c r="CR1198" i="1"/>
  <c r="CP1198" i="1"/>
  <c r="CN1198" i="1"/>
  <c r="CJ1198" i="1"/>
  <c r="CH1198" i="1"/>
  <c r="CF1198" i="1"/>
  <c r="BL1198" i="1"/>
  <c r="BD1198" i="1"/>
  <c r="AZ1198" i="1"/>
  <c r="AX1198" i="1"/>
  <c r="DC1112" i="1"/>
  <c r="DA1112" i="1"/>
  <c r="CY1112" i="1"/>
  <c r="Y1112" i="1" s="1"/>
  <c r="CW1112" i="1"/>
  <c r="AA1112" i="1" s="1"/>
  <c r="CR1112" i="1"/>
  <c r="CP1112" i="1"/>
  <c r="CN1112" i="1"/>
  <c r="CJ1112" i="1"/>
  <c r="CH1112" i="1"/>
  <c r="CF1112" i="1"/>
  <c r="BL1112" i="1"/>
  <c r="BD1112" i="1"/>
  <c r="AZ1112" i="1"/>
  <c r="AX1112" i="1"/>
  <c r="DC1136" i="1"/>
  <c r="DA1136" i="1"/>
  <c r="CY1136" i="1"/>
  <c r="Y1136" i="1" s="1"/>
  <c r="CW1136" i="1"/>
  <c r="AA1136" i="1" s="1"/>
  <c r="CR1136" i="1"/>
  <c r="CP1136" i="1"/>
  <c r="CN1136" i="1"/>
  <c r="CJ1136" i="1"/>
  <c r="CH1136" i="1"/>
  <c r="CF1136" i="1"/>
  <c r="BL1136" i="1"/>
  <c r="BD1136" i="1"/>
  <c r="AZ1136" i="1"/>
  <c r="AX1136" i="1"/>
  <c r="DC1135" i="1"/>
  <c r="DA1135" i="1"/>
  <c r="CY1135" i="1"/>
  <c r="Y1135" i="1" s="1"/>
  <c r="CW1135" i="1"/>
  <c r="AA1135" i="1" s="1"/>
  <c r="CR1135" i="1"/>
  <c r="CP1135" i="1"/>
  <c r="CN1135" i="1"/>
  <c r="CJ1135" i="1"/>
  <c r="CH1135" i="1"/>
  <c r="CF1135" i="1"/>
  <c r="BL1135" i="1"/>
  <c r="BD1135" i="1"/>
  <c r="AZ1135" i="1"/>
  <c r="AX1135" i="1"/>
  <c r="DC1134" i="1"/>
  <c r="DA1134" i="1"/>
  <c r="CY1134" i="1"/>
  <c r="Y1134" i="1" s="1"/>
  <c r="CW1134" i="1"/>
  <c r="AA1134" i="1" s="1"/>
  <c r="CR1134" i="1"/>
  <c r="CP1134" i="1"/>
  <c r="CN1134" i="1"/>
  <c r="CJ1134" i="1"/>
  <c r="CH1134" i="1"/>
  <c r="CF1134" i="1"/>
  <c r="BL1134" i="1"/>
  <c r="BD1134" i="1"/>
  <c r="AZ1134" i="1"/>
  <c r="AX1134" i="1"/>
  <c r="DC1140" i="1"/>
  <c r="DA1140" i="1"/>
  <c r="CY1140" i="1"/>
  <c r="Y1140" i="1" s="1"/>
  <c r="CW1140" i="1"/>
  <c r="AA1140" i="1" s="1"/>
  <c r="CR1140" i="1"/>
  <c r="CP1140" i="1"/>
  <c r="CN1140" i="1"/>
  <c r="CJ1140" i="1"/>
  <c r="CH1140" i="1"/>
  <c r="CF1140" i="1"/>
  <c r="BL1140" i="1"/>
  <c r="BD1140" i="1"/>
  <c r="AZ1140" i="1"/>
  <c r="AX1140" i="1"/>
  <c r="DC1137" i="1"/>
  <c r="DA1137" i="1"/>
  <c r="CY1137" i="1"/>
  <c r="Y1137" i="1" s="1"/>
  <c r="CW1137" i="1"/>
  <c r="AA1137" i="1" s="1"/>
  <c r="CR1137" i="1"/>
  <c r="CP1137" i="1"/>
  <c r="CN1137" i="1"/>
  <c r="CJ1137" i="1"/>
  <c r="CH1137" i="1"/>
  <c r="CF1137" i="1"/>
  <c r="BL1137" i="1"/>
  <c r="BD1137" i="1"/>
  <c r="AZ1137" i="1"/>
  <c r="AX1137" i="1"/>
  <c r="DC1138" i="1"/>
  <c r="DA1138" i="1"/>
  <c r="CY1138" i="1"/>
  <c r="Y1138" i="1" s="1"/>
  <c r="CW1138" i="1"/>
  <c r="AA1138" i="1" s="1"/>
  <c r="CR1138" i="1"/>
  <c r="CP1138" i="1"/>
  <c r="CN1138" i="1"/>
  <c r="CJ1138" i="1"/>
  <c r="CH1138" i="1"/>
  <c r="CF1138" i="1"/>
  <c r="BL1138" i="1"/>
  <c r="BD1138" i="1"/>
  <c r="AZ1138" i="1"/>
  <c r="AX1138" i="1"/>
  <c r="DC1122" i="1"/>
  <c r="DA1122" i="1"/>
  <c r="CY1122" i="1"/>
  <c r="Y1122" i="1" s="1"/>
  <c r="CW1122" i="1"/>
  <c r="AA1122" i="1" s="1"/>
  <c r="CR1122" i="1"/>
  <c r="CP1122" i="1"/>
  <c r="CN1122" i="1"/>
  <c r="CJ1122" i="1"/>
  <c r="CH1122" i="1"/>
  <c r="CF1122" i="1"/>
  <c r="BL1122" i="1"/>
  <c r="BD1122" i="1"/>
  <c r="AZ1122" i="1"/>
  <c r="AX1122" i="1"/>
  <c r="DC1123" i="1"/>
  <c r="DA1123" i="1"/>
  <c r="CY1123" i="1"/>
  <c r="Y1123" i="1" s="1"/>
  <c r="CW1123" i="1"/>
  <c r="AA1123" i="1" s="1"/>
  <c r="CR1123" i="1"/>
  <c r="CP1123" i="1"/>
  <c r="CN1123" i="1"/>
  <c r="CJ1123" i="1"/>
  <c r="CH1123" i="1"/>
  <c r="CF1123" i="1"/>
  <c r="BL1123" i="1"/>
  <c r="BD1123" i="1"/>
  <c r="AZ1123" i="1"/>
  <c r="AX1123" i="1"/>
  <c r="AD1151" i="1" l="1"/>
  <c r="AD1161" i="1"/>
  <c r="AD1165" i="1"/>
  <c r="AD1194" i="1"/>
  <c r="AD1074" i="1"/>
  <c r="AD1147" i="1"/>
  <c r="AD1172" i="1"/>
  <c r="AD1166" i="1"/>
  <c r="AD1145" i="1"/>
  <c r="AD1162" i="1"/>
  <c r="AD1144" i="1"/>
  <c r="AD1159" i="1"/>
  <c r="AD1146" i="1"/>
  <c r="Z1213" i="1"/>
  <c r="AD1081" i="1"/>
  <c r="AD1139" i="1"/>
  <c r="AD1148" i="1"/>
  <c r="AD1142" i="1"/>
  <c r="AD1163" i="1"/>
  <c r="AD1158" i="1"/>
  <c r="AD1156" i="1"/>
  <c r="AD1125" i="1"/>
  <c r="AD1094" i="1"/>
  <c r="AD1149" i="1"/>
  <c r="AD1141" i="1"/>
  <c r="Z1198" i="1"/>
  <c r="AD1143" i="1"/>
  <c r="AD1152" i="1"/>
  <c r="AD1153" i="1"/>
  <c r="AD1154" i="1"/>
  <c r="AD1157" i="1"/>
  <c r="AD1155" i="1"/>
  <c r="AD1150" i="1"/>
  <c r="Z1135" i="1"/>
  <c r="Z1134" i="1"/>
  <c r="Z1112" i="1"/>
  <c r="CU1135" i="1"/>
  <c r="X1135" i="1" s="1"/>
  <c r="CU1198" i="1"/>
  <c r="X1198" i="1" s="1"/>
  <c r="CU1213" i="1"/>
  <c r="X1213" i="1" s="1"/>
  <c r="CU1136" i="1"/>
  <c r="X1136" i="1" s="1"/>
  <c r="Z1136" i="1"/>
  <c r="CU1134" i="1"/>
  <c r="X1134" i="1" s="1"/>
  <c r="CU1112" i="1"/>
  <c r="X1112" i="1" s="1"/>
  <c r="Z1138" i="1"/>
  <c r="Z1122" i="1"/>
  <c r="Z1140" i="1"/>
  <c r="Z1123" i="1"/>
  <c r="Z1137" i="1"/>
  <c r="CU1140" i="1"/>
  <c r="X1140" i="1" s="1"/>
  <c r="CU1138" i="1"/>
  <c r="X1138" i="1" s="1"/>
  <c r="CU1123" i="1"/>
  <c r="X1123" i="1" s="1"/>
  <c r="CU1137" i="1"/>
  <c r="X1137" i="1" s="1"/>
  <c r="CU1122" i="1"/>
  <c r="X1122" i="1" s="1"/>
  <c r="DC1130" i="1"/>
  <c r="DA1130" i="1"/>
  <c r="CY1130" i="1"/>
  <c r="Y1130" i="1" s="1"/>
  <c r="CW1130" i="1"/>
  <c r="AA1130" i="1" s="1"/>
  <c r="CR1130" i="1"/>
  <c r="CP1130" i="1"/>
  <c r="CN1130" i="1"/>
  <c r="CJ1130" i="1"/>
  <c r="CH1130" i="1"/>
  <c r="CF1130" i="1"/>
  <c r="BL1130" i="1"/>
  <c r="BD1130" i="1"/>
  <c r="AZ1130" i="1"/>
  <c r="AX1130" i="1"/>
  <c r="DC1044" i="1"/>
  <c r="DA1044" i="1"/>
  <c r="CY1044" i="1"/>
  <c r="Y1044" i="1" s="1"/>
  <c r="CW1044" i="1"/>
  <c r="AA1044" i="1" s="1"/>
  <c r="CR1044" i="1"/>
  <c r="CP1044" i="1"/>
  <c r="CN1044" i="1"/>
  <c r="CJ1044" i="1"/>
  <c r="CH1044" i="1"/>
  <c r="CF1044" i="1"/>
  <c r="BL1044" i="1"/>
  <c r="BD1044" i="1"/>
  <c r="AZ1044" i="1"/>
  <c r="AX1044" i="1"/>
  <c r="DC1131" i="1"/>
  <c r="DA1131" i="1"/>
  <c r="CY1131" i="1"/>
  <c r="Y1131" i="1" s="1"/>
  <c r="CW1131" i="1"/>
  <c r="AA1131" i="1" s="1"/>
  <c r="CR1131" i="1"/>
  <c r="CP1131" i="1"/>
  <c r="CN1131" i="1"/>
  <c r="CJ1131" i="1"/>
  <c r="CH1131" i="1"/>
  <c r="CF1131" i="1"/>
  <c r="BL1131" i="1"/>
  <c r="BD1131" i="1"/>
  <c r="AZ1131" i="1"/>
  <c r="AX1131" i="1"/>
  <c r="DC1127" i="1"/>
  <c r="DA1127" i="1"/>
  <c r="CY1127" i="1"/>
  <c r="Y1127" i="1" s="1"/>
  <c r="CW1127" i="1"/>
  <c r="AA1127" i="1" s="1"/>
  <c r="CR1127" i="1"/>
  <c r="CP1127" i="1"/>
  <c r="CN1127" i="1"/>
  <c r="CJ1127" i="1"/>
  <c r="CH1127" i="1"/>
  <c r="CF1127" i="1"/>
  <c r="BL1127" i="1"/>
  <c r="BD1127" i="1"/>
  <c r="AZ1127" i="1"/>
  <c r="AX1127" i="1"/>
  <c r="DC1132" i="1"/>
  <c r="DA1132" i="1"/>
  <c r="CY1132" i="1"/>
  <c r="Y1132" i="1" s="1"/>
  <c r="CW1132" i="1"/>
  <c r="AA1132" i="1" s="1"/>
  <c r="CR1132" i="1"/>
  <c r="CP1132" i="1"/>
  <c r="CN1132" i="1"/>
  <c r="CJ1132" i="1"/>
  <c r="CH1132" i="1"/>
  <c r="CF1132" i="1"/>
  <c r="BL1132" i="1"/>
  <c r="BD1132" i="1"/>
  <c r="AZ1132" i="1"/>
  <c r="AX1132" i="1"/>
  <c r="DC1116" i="1"/>
  <c r="DA1116" i="1"/>
  <c r="CY1116" i="1"/>
  <c r="Y1116" i="1" s="1"/>
  <c r="CW1116" i="1"/>
  <c r="AA1116" i="1" s="1"/>
  <c r="CR1116" i="1"/>
  <c r="CP1116" i="1"/>
  <c r="CN1116" i="1"/>
  <c r="CJ1116" i="1"/>
  <c r="CH1116" i="1"/>
  <c r="CF1116" i="1"/>
  <c r="BL1116" i="1"/>
  <c r="BD1116" i="1"/>
  <c r="AZ1116" i="1"/>
  <c r="AX1116" i="1"/>
  <c r="DC1114" i="1"/>
  <c r="DA1114" i="1"/>
  <c r="CY1114" i="1"/>
  <c r="Y1114" i="1" s="1"/>
  <c r="CW1114" i="1"/>
  <c r="AA1114" i="1" s="1"/>
  <c r="CR1114" i="1"/>
  <c r="CP1114" i="1"/>
  <c r="CN1114" i="1"/>
  <c r="CJ1114" i="1"/>
  <c r="CH1114" i="1"/>
  <c r="CF1114" i="1"/>
  <c r="BL1114" i="1"/>
  <c r="BD1114" i="1"/>
  <c r="AZ1114" i="1"/>
  <c r="AX1114" i="1"/>
  <c r="DC1007" i="1"/>
  <c r="DA1007" i="1"/>
  <c r="CY1007" i="1"/>
  <c r="Y1007" i="1" s="1"/>
  <c r="CW1007" i="1"/>
  <c r="AA1007" i="1" s="1"/>
  <c r="CR1007" i="1"/>
  <c r="CP1007" i="1"/>
  <c r="CN1007" i="1"/>
  <c r="CJ1007" i="1"/>
  <c r="CH1007" i="1"/>
  <c r="CF1007" i="1"/>
  <c r="BL1007" i="1"/>
  <c r="BD1007" i="1"/>
  <c r="AZ1007" i="1"/>
  <c r="AX1007" i="1"/>
  <c r="DC1129" i="1"/>
  <c r="DA1129" i="1"/>
  <c r="CY1129" i="1"/>
  <c r="Y1129" i="1" s="1"/>
  <c r="CW1129" i="1"/>
  <c r="AA1129" i="1" s="1"/>
  <c r="CR1129" i="1"/>
  <c r="CP1129" i="1"/>
  <c r="CN1129" i="1"/>
  <c r="CJ1129" i="1"/>
  <c r="CH1129" i="1"/>
  <c r="CF1129" i="1"/>
  <c r="BL1129" i="1"/>
  <c r="BD1129" i="1"/>
  <c r="AZ1129" i="1"/>
  <c r="AX1129" i="1"/>
  <c r="DC1128" i="1"/>
  <c r="DA1128" i="1"/>
  <c r="CY1128" i="1"/>
  <c r="Y1128" i="1" s="1"/>
  <c r="CW1128" i="1"/>
  <c r="AA1128" i="1" s="1"/>
  <c r="CR1128" i="1"/>
  <c r="CP1128" i="1"/>
  <c r="CN1128" i="1"/>
  <c r="CJ1128" i="1"/>
  <c r="CH1128" i="1"/>
  <c r="CF1128" i="1"/>
  <c r="BL1128" i="1"/>
  <c r="BD1128" i="1"/>
  <c r="AZ1128" i="1"/>
  <c r="AX1128" i="1"/>
  <c r="DC1124" i="1"/>
  <c r="DA1124" i="1"/>
  <c r="CY1124" i="1"/>
  <c r="Y1124" i="1" s="1"/>
  <c r="CW1124" i="1"/>
  <c r="AA1124" i="1" s="1"/>
  <c r="CR1124" i="1"/>
  <c r="CP1124" i="1"/>
  <c r="CN1124" i="1"/>
  <c r="CJ1124" i="1"/>
  <c r="CH1124" i="1"/>
  <c r="CF1124" i="1"/>
  <c r="BL1124" i="1"/>
  <c r="BD1124" i="1"/>
  <c r="AZ1124" i="1"/>
  <c r="AX1124" i="1"/>
  <c r="DC1121" i="1"/>
  <c r="DA1121" i="1"/>
  <c r="CY1121" i="1"/>
  <c r="Y1121" i="1" s="1"/>
  <c r="CW1121" i="1"/>
  <c r="AA1121" i="1" s="1"/>
  <c r="CR1121" i="1"/>
  <c r="CP1121" i="1"/>
  <c r="CN1121" i="1"/>
  <c r="CJ1121" i="1"/>
  <c r="CH1121" i="1"/>
  <c r="CF1121" i="1"/>
  <c r="BL1121" i="1"/>
  <c r="BD1121" i="1"/>
  <c r="AZ1121" i="1"/>
  <c r="AX1121" i="1"/>
  <c r="DC1102" i="1"/>
  <c r="DA1102" i="1"/>
  <c r="CY1102" i="1"/>
  <c r="Y1102" i="1" s="1"/>
  <c r="CW1102" i="1"/>
  <c r="AA1102" i="1" s="1"/>
  <c r="CR1102" i="1"/>
  <c r="CP1102" i="1"/>
  <c r="CN1102" i="1"/>
  <c r="CJ1102" i="1"/>
  <c r="CH1102" i="1"/>
  <c r="CF1102" i="1"/>
  <c r="BL1102" i="1"/>
  <c r="BD1102" i="1"/>
  <c r="AZ1102" i="1"/>
  <c r="AX1102" i="1"/>
  <c r="DC1126" i="1"/>
  <c r="DA1126" i="1"/>
  <c r="CY1126" i="1"/>
  <c r="Y1126" i="1" s="1"/>
  <c r="CW1126" i="1"/>
  <c r="AA1126" i="1" s="1"/>
  <c r="CR1126" i="1"/>
  <c r="CP1126" i="1"/>
  <c r="CN1126" i="1"/>
  <c r="CJ1126" i="1"/>
  <c r="CH1126" i="1"/>
  <c r="CF1126" i="1"/>
  <c r="BL1126" i="1"/>
  <c r="BD1126" i="1"/>
  <c r="AZ1126" i="1"/>
  <c r="AX1126" i="1"/>
  <c r="DC1092" i="1"/>
  <c r="DA1092" i="1"/>
  <c r="CY1092" i="1"/>
  <c r="Y1092" i="1" s="1"/>
  <c r="CW1092" i="1"/>
  <c r="AA1092" i="1" s="1"/>
  <c r="CR1092" i="1"/>
  <c r="CP1092" i="1"/>
  <c r="CN1092" i="1"/>
  <c r="CJ1092" i="1"/>
  <c r="CH1092" i="1"/>
  <c r="CF1092" i="1"/>
  <c r="BL1092" i="1"/>
  <c r="BD1092" i="1"/>
  <c r="AZ1092" i="1"/>
  <c r="AX1092" i="1"/>
  <c r="DC1133" i="1"/>
  <c r="DA1133" i="1"/>
  <c r="CY1133" i="1"/>
  <c r="Y1133" i="1" s="1"/>
  <c r="CW1133" i="1"/>
  <c r="AA1133" i="1" s="1"/>
  <c r="CR1133" i="1"/>
  <c r="CP1133" i="1"/>
  <c r="CN1133" i="1"/>
  <c r="CJ1133" i="1"/>
  <c r="CH1133" i="1"/>
  <c r="CF1133" i="1"/>
  <c r="BL1133" i="1"/>
  <c r="BD1133" i="1"/>
  <c r="AZ1133" i="1"/>
  <c r="AX1133" i="1"/>
  <c r="DC1091" i="1"/>
  <c r="DA1091" i="1"/>
  <c r="CY1091" i="1"/>
  <c r="Y1091" i="1" s="1"/>
  <c r="CW1091" i="1"/>
  <c r="AA1091" i="1" s="1"/>
  <c r="CR1091" i="1"/>
  <c r="CP1091" i="1"/>
  <c r="CN1091" i="1"/>
  <c r="CJ1091" i="1"/>
  <c r="CH1091" i="1"/>
  <c r="CF1091" i="1"/>
  <c r="BL1091" i="1"/>
  <c r="BD1091" i="1"/>
  <c r="AZ1091" i="1"/>
  <c r="AX1091" i="1"/>
  <c r="DC1110" i="1"/>
  <c r="DA1110" i="1"/>
  <c r="CY1110" i="1"/>
  <c r="Y1110" i="1" s="1"/>
  <c r="CW1110" i="1"/>
  <c r="AA1110" i="1" s="1"/>
  <c r="CR1110" i="1"/>
  <c r="CP1110" i="1"/>
  <c r="CN1110" i="1"/>
  <c r="CJ1110" i="1"/>
  <c r="CH1110" i="1"/>
  <c r="CF1110" i="1"/>
  <c r="BL1110" i="1"/>
  <c r="BD1110" i="1"/>
  <c r="AZ1110" i="1"/>
  <c r="AX1110" i="1"/>
  <c r="DC1109" i="1"/>
  <c r="DA1109" i="1"/>
  <c r="CY1109" i="1"/>
  <c r="Y1109" i="1" s="1"/>
  <c r="CW1109" i="1"/>
  <c r="AA1109" i="1" s="1"/>
  <c r="CR1109" i="1"/>
  <c r="CP1109" i="1"/>
  <c r="CN1109" i="1"/>
  <c r="CJ1109" i="1"/>
  <c r="CH1109" i="1"/>
  <c r="CF1109" i="1"/>
  <c r="BL1109" i="1"/>
  <c r="BD1109" i="1"/>
  <c r="AZ1109" i="1"/>
  <c r="AX1109" i="1"/>
  <c r="DC1113" i="1"/>
  <c r="DA1113" i="1"/>
  <c r="CY1113" i="1"/>
  <c r="Y1113" i="1" s="1"/>
  <c r="CW1113" i="1"/>
  <c r="AA1113" i="1" s="1"/>
  <c r="CR1113" i="1"/>
  <c r="CP1113" i="1"/>
  <c r="CN1113" i="1"/>
  <c r="CJ1113" i="1"/>
  <c r="CH1113" i="1"/>
  <c r="CF1113" i="1"/>
  <c r="BL1113" i="1"/>
  <c r="BD1113" i="1"/>
  <c r="AZ1113" i="1"/>
  <c r="AX1113" i="1"/>
  <c r="DC1107" i="1"/>
  <c r="DA1107" i="1"/>
  <c r="CY1107" i="1"/>
  <c r="Y1107" i="1" s="1"/>
  <c r="CW1107" i="1"/>
  <c r="AA1107" i="1" s="1"/>
  <c r="CR1107" i="1"/>
  <c r="CP1107" i="1"/>
  <c r="CN1107" i="1"/>
  <c r="CJ1107" i="1"/>
  <c r="CH1107" i="1"/>
  <c r="CF1107" i="1"/>
  <c r="BL1107" i="1"/>
  <c r="BD1107" i="1"/>
  <c r="AZ1107" i="1"/>
  <c r="AX1107" i="1"/>
  <c r="DC1108" i="1"/>
  <c r="DA1108" i="1"/>
  <c r="CY1108" i="1"/>
  <c r="Y1108" i="1" s="1"/>
  <c r="CW1108" i="1"/>
  <c r="AA1108" i="1" s="1"/>
  <c r="CR1108" i="1"/>
  <c r="CP1108" i="1"/>
  <c r="CN1108" i="1"/>
  <c r="CJ1108" i="1"/>
  <c r="CH1108" i="1"/>
  <c r="CF1108" i="1"/>
  <c r="BL1108" i="1"/>
  <c r="BD1108" i="1"/>
  <c r="AZ1108" i="1"/>
  <c r="AX1108" i="1"/>
  <c r="DC1106" i="1"/>
  <c r="DA1106" i="1"/>
  <c r="CY1106" i="1"/>
  <c r="Y1106" i="1" s="1"/>
  <c r="CW1106" i="1"/>
  <c r="AA1106" i="1" s="1"/>
  <c r="CR1106" i="1"/>
  <c r="CP1106" i="1"/>
  <c r="CN1106" i="1"/>
  <c r="CJ1106" i="1"/>
  <c r="CH1106" i="1"/>
  <c r="CF1106" i="1"/>
  <c r="BL1106" i="1"/>
  <c r="BD1106" i="1"/>
  <c r="AZ1106" i="1"/>
  <c r="AX1106" i="1"/>
  <c r="DC1111" i="1"/>
  <c r="DA1111" i="1"/>
  <c r="CY1111" i="1"/>
  <c r="Y1111" i="1" s="1"/>
  <c r="CW1111" i="1"/>
  <c r="AA1111" i="1" s="1"/>
  <c r="CR1111" i="1"/>
  <c r="CP1111" i="1"/>
  <c r="CN1111" i="1"/>
  <c r="CJ1111" i="1"/>
  <c r="CH1111" i="1"/>
  <c r="CF1111" i="1"/>
  <c r="BL1111" i="1"/>
  <c r="BD1111" i="1"/>
  <c r="AZ1111" i="1"/>
  <c r="AX1111" i="1"/>
  <c r="DC995" i="1"/>
  <c r="DA995" i="1"/>
  <c r="CY995" i="1"/>
  <c r="Y995" i="1" s="1"/>
  <c r="CW995" i="1"/>
  <c r="AA995" i="1" s="1"/>
  <c r="CR995" i="1"/>
  <c r="CP995" i="1"/>
  <c r="CN995" i="1"/>
  <c r="CJ995" i="1"/>
  <c r="CH995" i="1"/>
  <c r="CF995" i="1"/>
  <c r="BL995" i="1"/>
  <c r="BD995" i="1"/>
  <c r="AZ995" i="1"/>
  <c r="AX995" i="1"/>
  <c r="DC987" i="1"/>
  <c r="DA987" i="1"/>
  <c r="CY987" i="1"/>
  <c r="Y987" i="1" s="1"/>
  <c r="CW987" i="1"/>
  <c r="AA987" i="1" s="1"/>
  <c r="CR987" i="1"/>
  <c r="CP987" i="1"/>
  <c r="CN987" i="1"/>
  <c r="CJ987" i="1"/>
  <c r="CH987" i="1"/>
  <c r="CF987" i="1"/>
  <c r="BL987" i="1"/>
  <c r="BD987" i="1"/>
  <c r="AZ987" i="1"/>
  <c r="AX987" i="1"/>
  <c r="DC1117" i="1"/>
  <c r="DA1117" i="1"/>
  <c r="CY1117" i="1"/>
  <c r="Y1117" i="1" s="1"/>
  <c r="CW1117" i="1"/>
  <c r="AA1117" i="1" s="1"/>
  <c r="CR1117" i="1"/>
  <c r="CP1117" i="1"/>
  <c r="CN1117" i="1"/>
  <c r="CJ1117" i="1"/>
  <c r="CH1117" i="1"/>
  <c r="CF1117" i="1"/>
  <c r="BL1117" i="1"/>
  <c r="BD1117" i="1"/>
  <c r="AZ1117" i="1"/>
  <c r="AX1117" i="1"/>
  <c r="DC1120" i="1"/>
  <c r="DA1120" i="1"/>
  <c r="CY1120" i="1"/>
  <c r="Y1120" i="1" s="1"/>
  <c r="CW1120" i="1"/>
  <c r="AA1120" i="1" s="1"/>
  <c r="CR1120" i="1"/>
  <c r="CP1120" i="1"/>
  <c r="CN1120" i="1"/>
  <c r="CJ1120" i="1"/>
  <c r="CH1120" i="1"/>
  <c r="CF1120" i="1"/>
  <c r="BL1120" i="1"/>
  <c r="BD1120" i="1"/>
  <c r="AZ1120" i="1"/>
  <c r="AX1120" i="1"/>
  <c r="DC1101" i="1"/>
  <c r="DA1101" i="1"/>
  <c r="CY1101" i="1"/>
  <c r="Y1101" i="1" s="1"/>
  <c r="CW1101" i="1"/>
  <c r="AA1101" i="1" s="1"/>
  <c r="CR1101" i="1"/>
  <c r="CP1101" i="1"/>
  <c r="CN1101" i="1"/>
  <c r="CJ1101" i="1"/>
  <c r="CH1101" i="1"/>
  <c r="CF1101" i="1"/>
  <c r="BL1101" i="1"/>
  <c r="BD1101" i="1"/>
  <c r="AZ1101" i="1"/>
  <c r="AX1101" i="1"/>
  <c r="DC1100" i="1"/>
  <c r="DA1100" i="1"/>
  <c r="CY1100" i="1"/>
  <c r="Y1100" i="1" s="1"/>
  <c r="CW1100" i="1"/>
  <c r="AA1100" i="1" s="1"/>
  <c r="CR1100" i="1"/>
  <c r="CP1100" i="1"/>
  <c r="CN1100" i="1"/>
  <c r="CJ1100" i="1"/>
  <c r="CH1100" i="1"/>
  <c r="CF1100" i="1"/>
  <c r="BL1100" i="1"/>
  <c r="BD1100" i="1"/>
  <c r="AZ1100" i="1"/>
  <c r="AX1100" i="1"/>
  <c r="DC1119" i="1"/>
  <c r="DA1119" i="1"/>
  <c r="CY1119" i="1"/>
  <c r="Y1119" i="1" s="1"/>
  <c r="CW1119" i="1"/>
  <c r="AA1119" i="1" s="1"/>
  <c r="CR1119" i="1"/>
  <c r="CP1119" i="1"/>
  <c r="CN1119" i="1"/>
  <c r="CJ1119" i="1"/>
  <c r="CH1119" i="1"/>
  <c r="CF1119" i="1"/>
  <c r="BL1119" i="1"/>
  <c r="BD1119" i="1"/>
  <c r="AZ1119" i="1"/>
  <c r="AX1119" i="1"/>
  <c r="AD1123" i="1" l="1"/>
  <c r="AD1213" i="1"/>
  <c r="AD1198" i="1"/>
  <c r="AD1122" i="1"/>
  <c r="AD1112" i="1"/>
  <c r="AD1135" i="1"/>
  <c r="AD1134" i="1"/>
  <c r="AD1136" i="1"/>
  <c r="AD1138" i="1"/>
  <c r="AD1140" i="1"/>
  <c r="AD1137" i="1"/>
  <c r="Z1114" i="1"/>
  <c r="Z1127" i="1"/>
  <c r="CU1116" i="1"/>
  <c r="X1116" i="1" s="1"/>
  <c r="Z1116" i="1"/>
  <c r="Z1131" i="1"/>
  <c r="CU1131" i="1"/>
  <c r="X1131" i="1" s="1"/>
  <c r="Z1132" i="1"/>
  <c r="CU1114" i="1"/>
  <c r="X1114" i="1" s="1"/>
  <c r="CU1127" i="1"/>
  <c r="X1127" i="1" s="1"/>
  <c r="Z1130" i="1"/>
  <c r="CU1132" i="1"/>
  <c r="X1132" i="1" s="1"/>
  <c r="Z1044" i="1"/>
  <c r="CU1044" i="1"/>
  <c r="X1044" i="1" s="1"/>
  <c r="CU1130" i="1"/>
  <c r="X1130" i="1" s="1"/>
  <c r="Z1007" i="1"/>
  <c r="Z1129" i="1"/>
  <c r="Z1126" i="1"/>
  <c r="Z1121" i="1"/>
  <c r="Z1091" i="1"/>
  <c r="Z1133" i="1"/>
  <c r="Z1124" i="1"/>
  <c r="CU1091" i="1"/>
  <c r="X1091" i="1" s="1"/>
  <c r="CU1133" i="1"/>
  <c r="X1133" i="1" s="1"/>
  <c r="Z1092" i="1"/>
  <c r="Z1128" i="1"/>
  <c r="CU1092" i="1"/>
  <c r="X1092" i="1" s="1"/>
  <c r="CU1126" i="1"/>
  <c r="X1126" i="1" s="1"/>
  <c r="Z1102" i="1"/>
  <c r="CU1102" i="1"/>
  <c r="X1102" i="1" s="1"/>
  <c r="CU1121" i="1"/>
  <c r="X1121" i="1" s="1"/>
  <c r="CU1124" i="1"/>
  <c r="X1124" i="1" s="1"/>
  <c r="CU1128" i="1"/>
  <c r="X1128" i="1" s="1"/>
  <c r="CU1129" i="1"/>
  <c r="X1129" i="1" s="1"/>
  <c r="CU1007" i="1"/>
  <c r="X1007" i="1" s="1"/>
  <c r="Z1110" i="1"/>
  <c r="Z1109" i="1"/>
  <c r="Z1117" i="1"/>
  <c r="Z995" i="1"/>
  <c r="Z1101" i="1"/>
  <c r="Z1108" i="1"/>
  <c r="Z1120" i="1"/>
  <c r="Z1113" i="1"/>
  <c r="Z1107" i="1"/>
  <c r="Z1119" i="1"/>
  <c r="CU1100" i="1"/>
  <c r="X1100" i="1" s="1"/>
  <c r="Z987" i="1"/>
  <c r="CU1111" i="1"/>
  <c r="X1111" i="1" s="1"/>
  <c r="CU1120" i="1"/>
  <c r="X1120" i="1" s="1"/>
  <c r="Z1106" i="1"/>
  <c r="CU1113" i="1"/>
  <c r="X1113" i="1" s="1"/>
  <c r="Z1100" i="1"/>
  <c r="Z1111" i="1"/>
  <c r="CU1119" i="1"/>
  <c r="X1119" i="1" s="1"/>
  <c r="CU1101" i="1"/>
  <c r="X1101" i="1" s="1"/>
  <c r="CU987" i="1"/>
  <c r="X987" i="1" s="1"/>
  <c r="CU1108" i="1"/>
  <c r="X1108" i="1" s="1"/>
  <c r="CU1110" i="1"/>
  <c r="X1110" i="1" s="1"/>
  <c r="CU995" i="1"/>
  <c r="X995" i="1" s="1"/>
  <c r="CU1107" i="1"/>
  <c r="X1107" i="1" s="1"/>
  <c r="CU1117" i="1"/>
  <c r="X1117" i="1" s="1"/>
  <c r="CU1106" i="1"/>
  <c r="X1106" i="1" s="1"/>
  <c r="CU1109" i="1"/>
  <c r="X1109" i="1" s="1"/>
  <c r="AD995" i="1" l="1"/>
  <c r="AD1127" i="1"/>
  <c r="AD1114" i="1"/>
  <c r="AD1131" i="1"/>
  <c r="AD1116" i="1"/>
  <c r="AD1044" i="1"/>
  <c r="AD1132" i="1"/>
  <c r="AD1130" i="1"/>
  <c r="AD1126" i="1"/>
  <c r="AD1133" i="1"/>
  <c r="AD1091" i="1"/>
  <c r="AD1121" i="1"/>
  <c r="AD1124" i="1"/>
  <c r="AD1007" i="1"/>
  <c r="AD1128" i="1"/>
  <c r="AD1092" i="1"/>
  <c r="AD1129" i="1"/>
  <c r="AD1102" i="1"/>
  <c r="AD1109" i="1"/>
  <c r="AD1110" i="1"/>
  <c r="AD1101" i="1"/>
  <c r="AD1113" i="1"/>
  <c r="AD1111" i="1"/>
  <c r="AD1117" i="1"/>
  <c r="AD1108" i="1"/>
  <c r="AD987" i="1"/>
  <c r="AD1120" i="1"/>
  <c r="AD1106" i="1"/>
  <c r="AD1107" i="1"/>
  <c r="AD1119" i="1"/>
  <c r="AD1100" i="1"/>
  <c r="CZ694" i="1"/>
  <c r="DB694" i="1"/>
  <c r="DB697" i="1"/>
  <c r="DB696" i="1"/>
  <c r="DB695" i="1"/>
  <c r="DB688" i="1"/>
  <c r="DB686" i="1"/>
  <c r="DB683" i="1"/>
  <c r="DB682" i="1"/>
  <c r="DB680" i="1"/>
  <c r="DB675" i="1"/>
  <c r="DB674" i="1"/>
  <c r="DB724" i="1"/>
  <c r="DB714" i="1"/>
  <c r="CZ664" i="1"/>
  <c r="DB664" i="1"/>
  <c r="DB652" i="1"/>
  <c r="DC1098" i="1"/>
  <c r="DA1098" i="1"/>
  <c r="CY1098" i="1"/>
  <c r="Y1098" i="1" s="1"/>
  <c r="CW1098" i="1"/>
  <c r="AA1098" i="1" s="1"/>
  <c r="CR1098" i="1"/>
  <c r="CP1098" i="1"/>
  <c r="CN1098" i="1"/>
  <c r="CJ1098" i="1"/>
  <c r="CH1098" i="1"/>
  <c r="CF1098" i="1"/>
  <c r="BL1098" i="1"/>
  <c r="BD1098" i="1"/>
  <c r="AZ1098" i="1"/>
  <c r="AX1098" i="1"/>
  <c r="DC1099" i="1"/>
  <c r="DA1099" i="1"/>
  <c r="CY1099" i="1"/>
  <c r="Y1099" i="1" s="1"/>
  <c r="CW1099" i="1"/>
  <c r="AA1099" i="1" s="1"/>
  <c r="CR1099" i="1"/>
  <c r="CP1099" i="1"/>
  <c r="CN1099" i="1"/>
  <c r="CJ1099" i="1"/>
  <c r="CH1099" i="1"/>
  <c r="CF1099" i="1"/>
  <c r="BL1099" i="1"/>
  <c r="BD1099" i="1"/>
  <c r="AZ1099" i="1"/>
  <c r="AX1099" i="1"/>
  <c r="DC1103" i="1"/>
  <c r="DA1103" i="1"/>
  <c r="CY1103" i="1"/>
  <c r="Y1103" i="1" s="1"/>
  <c r="CW1103" i="1"/>
  <c r="AA1103" i="1" s="1"/>
  <c r="CR1103" i="1"/>
  <c r="CP1103" i="1"/>
  <c r="CN1103" i="1"/>
  <c r="CJ1103" i="1"/>
  <c r="CH1103" i="1"/>
  <c r="CF1103" i="1"/>
  <c r="BL1103" i="1"/>
  <c r="BD1103" i="1"/>
  <c r="AZ1103" i="1"/>
  <c r="AX1103" i="1"/>
  <c r="DC1083" i="1"/>
  <c r="DA1083" i="1"/>
  <c r="CY1083" i="1"/>
  <c r="Y1083" i="1" s="1"/>
  <c r="CW1083" i="1"/>
  <c r="AA1083" i="1" s="1"/>
  <c r="CR1083" i="1"/>
  <c r="CP1083" i="1"/>
  <c r="CN1083" i="1"/>
  <c r="CJ1083" i="1"/>
  <c r="CH1083" i="1"/>
  <c r="CF1083" i="1"/>
  <c r="BL1083" i="1"/>
  <c r="BD1083" i="1"/>
  <c r="AZ1083" i="1"/>
  <c r="AX1083" i="1"/>
  <c r="DC1093" i="1"/>
  <c r="DA1093" i="1"/>
  <c r="CY1093" i="1"/>
  <c r="Y1093" i="1" s="1"/>
  <c r="CW1093" i="1"/>
  <c r="AA1093" i="1" s="1"/>
  <c r="CR1093" i="1"/>
  <c r="CP1093" i="1"/>
  <c r="CN1093" i="1"/>
  <c r="CJ1093" i="1"/>
  <c r="CH1093" i="1"/>
  <c r="CF1093" i="1"/>
  <c r="BL1093" i="1"/>
  <c r="BD1093" i="1"/>
  <c r="AZ1093" i="1"/>
  <c r="AX1093" i="1"/>
  <c r="DC1082" i="1"/>
  <c r="DA1082" i="1"/>
  <c r="CY1082" i="1"/>
  <c r="Y1082" i="1" s="1"/>
  <c r="CW1082" i="1"/>
  <c r="AA1082" i="1" s="1"/>
  <c r="CR1082" i="1"/>
  <c r="CP1082" i="1"/>
  <c r="CN1082" i="1"/>
  <c r="CJ1082" i="1"/>
  <c r="CH1082" i="1"/>
  <c r="CF1082" i="1"/>
  <c r="BL1082" i="1"/>
  <c r="BD1082" i="1"/>
  <c r="AZ1082" i="1"/>
  <c r="AX1082" i="1"/>
  <c r="CZ3917" i="1" l="1"/>
  <c r="Z1083" i="1"/>
  <c r="Z1098" i="1"/>
  <c r="Z1093" i="1"/>
  <c r="Z1099" i="1"/>
  <c r="Z1082" i="1"/>
  <c r="Z1103" i="1"/>
  <c r="CU1082" i="1"/>
  <c r="X1082" i="1" s="1"/>
  <c r="CU1093" i="1"/>
  <c r="X1093" i="1" s="1"/>
  <c r="CU1083" i="1"/>
  <c r="X1083" i="1" s="1"/>
  <c r="CU1103" i="1"/>
  <c r="X1103" i="1" s="1"/>
  <c r="CU1099" i="1"/>
  <c r="X1099" i="1" s="1"/>
  <c r="CU1098" i="1"/>
  <c r="X1098" i="1" s="1"/>
  <c r="AD1083" i="1" l="1"/>
  <c r="AD1099" i="1"/>
  <c r="AD1093" i="1"/>
  <c r="AD1098" i="1"/>
  <c r="AD1082" i="1"/>
  <c r="AD1103" i="1"/>
  <c r="DC1096" i="1"/>
  <c r="DA1096" i="1"/>
  <c r="CY1096" i="1"/>
  <c r="Y1096" i="1" s="1"/>
  <c r="CW1096" i="1"/>
  <c r="AA1096" i="1" s="1"/>
  <c r="CR1096" i="1"/>
  <c r="CP1096" i="1"/>
  <c r="CN1096" i="1"/>
  <c r="CJ1096" i="1"/>
  <c r="CH1096" i="1"/>
  <c r="CF1096" i="1"/>
  <c r="BL1096" i="1"/>
  <c r="BD1096" i="1"/>
  <c r="AZ1096" i="1"/>
  <c r="AX1096" i="1"/>
  <c r="DC1095" i="1"/>
  <c r="DA1095" i="1"/>
  <c r="CY1095" i="1"/>
  <c r="Y1095" i="1" s="1"/>
  <c r="CW1095" i="1"/>
  <c r="AA1095" i="1" s="1"/>
  <c r="CR1095" i="1"/>
  <c r="CP1095" i="1"/>
  <c r="CN1095" i="1"/>
  <c r="CJ1095" i="1"/>
  <c r="CH1095" i="1"/>
  <c r="CF1095" i="1"/>
  <c r="BL1095" i="1"/>
  <c r="BD1095" i="1"/>
  <c r="AZ1095" i="1"/>
  <c r="AX1095" i="1"/>
  <c r="DC1105" i="1"/>
  <c r="DA1105" i="1"/>
  <c r="CY1105" i="1"/>
  <c r="Y1105" i="1" s="1"/>
  <c r="CW1105" i="1"/>
  <c r="AA1105" i="1" s="1"/>
  <c r="CR1105" i="1"/>
  <c r="CP1105" i="1"/>
  <c r="CN1105" i="1"/>
  <c r="CJ1105" i="1"/>
  <c r="CH1105" i="1"/>
  <c r="CF1105" i="1"/>
  <c r="BL1105" i="1"/>
  <c r="BD1105" i="1"/>
  <c r="AZ1105" i="1"/>
  <c r="AX1105" i="1"/>
  <c r="DC1087" i="1"/>
  <c r="DA1087" i="1"/>
  <c r="CY1087" i="1"/>
  <c r="Y1087" i="1" s="1"/>
  <c r="CW1087" i="1"/>
  <c r="AA1087" i="1" s="1"/>
  <c r="CR1087" i="1"/>
  <c r="CP1087" i="1"/>
  <c r="CN1087" i="1"/>
  <c r="CJ1087" i="1"/>
  <c r="CH1087" i="1"/>
  <c r="CF1087" i="1"/>
  <c r="BL1087" i="1"/>
  <c r="BD1087" i="1"/>
  <c r="AZ1087" i="1"/>
  <c r="AX1087" i="1"/>
  <c r="DC1088" i="1"/>
  <c r="DA1088" i="1"/>
  <c r="CY1088" i="1"/>
  <c r="Y1088" i="1" s="1"/>
  <c r="CW1088" i="1"/>
  <c r="AA1088" i="1" s="1"/>
  <c r="CR1088" i="1"/>
  <c r="CP1088" i="1"/>
  <c r="CN1088" i="1"/>
  <c r="CJ1088" i="1"/>
  <c r="CH1088" i="1"/>
  <c r="CF1088" i="1"/>
  <c r="BL1088" i="1"/>
  <c r="BD1088" i="1"/>
  <c r="AZ1088" i="1"/>
  <c r="AX1088" i="1"/>
  <c r="DC1090" i="1"/>
  <c r="DA1090" i="1"/>
  <c r="CY1090" i="1"/>
  <c r="Y1090" i="1" s="1"/>
  <c r="CW1090" i="1"/>
  <c r="AA1090" i="1" s="1"/>
  <c r="CR1090" i="1"/>
  <c r="CP1090" i="1"/>
  <c r="CN1090" i="1"/>
  <c r="CJ1090" i="1"/>
  <c r="CH1090" i="1"/>
  <c r="CF1090" i="1"/>
  <c r="BL1090" i="1"/>
  <c r="BD1090" i="1"/>
  <c r="AZ1090" i="1"/>
  <c r="AX1090" i="1"/>
  <c r="DC1104" i="1"/>
  <c r="DA1104" i="1"/>
  <c r="CY1104" i="1"/>
  <c r="Y1104" i="1" s="1"/>
  <c r="CW1104" i="1"/>
  <c r="AA1104" i="1" s="1"/>
  <c r="CR1104" i="1"/>
  <c r="CP1104" i="1"/>
  <c r="CN1104" i="1"/>
  <c r="CJ1104" i="1"/>
  <c r="CH1104" i="1"/>
  <c r="CF1104" i="1"/>
  <c r="BL1104" i="1"/>
  <c r="BD1104" i="1"/>
  <c r="AZ1104" i="1"/>
  <c r="AX1104" i="1"/>
  <c r="DC1118" i="1"/>
  <c r="DA1118" i="1"/>
  <c r="CY1118" i="1"/>
  <c r="Y1118" i="1" s="1"/>
  <c r="CW1118" i="1"/>
  <c r="AA1118" i="1" s="1"/>
  <c r="CR1118" i="1"/>
  <c r="CP1118" i="1"/>
  <c r="CN1118" i="1"/>
  <c r="CJ1118" i="1"/>
  <c r="CH1118" i="1"/>
  <c r="CF1118" i="1"/>
  <c r="BL1118" i="1"/>
  <c r="BD1118" i="1"/>
  <c r="AZ1118" i="1"/>
  <c r="AX1118" i="1"/>
  <c r="DC1080" i="1"/>
  <c r="DA1080" i="1"/>
  <c r="CY1080" i="1"/>
  <c r="Y1080" i="1" s="1"/>
  <c r="CW1080" i="1"/>
  <c r="AA1080" i="1" s="1"/>
  <c r="CR1080" i="1"/>
  <c r="CP1080" i="1"/>
  <c r="CN1080" i="1"/>
  <c r="CJ1080" i="1"/>
  <c r="CH1080" i="1"/>
  <c r="CF1080" i="1"/>
  <c r="BL1080" i="1"/>
  <c r="BD1080" i="1"/>
  <c r="AZ1080" i="1"/>
  <c r="AX1080" i="1"/>
  <c r="DC1086" i="1"/>
  <c r="DA1086" i="1"/>
  <c r="CY1086" i="1"/>
  <c r="Y1086" i="1" s="1"/>
  <c r="CW1086" i="1"/>
  <c r="AA1086" i="1" s="1"/>
  <c r="CR1086" i="1"/>
  <c r="CP1086" i="1"/>
  <c r="CN1086" i="1"/>
  <c r="CJ1086" i="1"/>
  <c r="CH1086" i="1"/>
  <c r="CF1086" i="1"/>
  <c r="BL1086" i="1"/>
  <c r="BD1086" i="1"/>
  <c r="AZ1086" i="1"/>
  <c r="AX1086" i="1"/>
  <c r="DC1084" i="1"/>
  <c r="DA1084" i="1"/>
  <c r="CY1084" i="1"/>
  <c r="Y1084" i="1" s="1"/>
  <c r="CW1084" i="1"/>
  <c r="AA1084" i="1" s="1"/>
  <c r="CR1084" i="1"/>
  <c r="CP1084" i="1"/>
  <c r="CN1084" i="1"/>
  <c r="CJ1084" i="1"/>
  <c r="CH1084" i="1"/>
  <c r="CF1084" i="1"/>
  <c r="BL1084" i="1"/>
  <c r="BD1084" i="1"/>
  <c r="AZ1084" i="1"/>
  <c r="AX1084" i="1"/>
  <c r="DC1079" i="1"/>
  <c r="DA1079" i="1"/>
  <c r="CY1079" i="1"/>
  <c r="Y1079" i="1" s="1"/>
  <c r="CW1079" i="1"/>
  <c r="AA1079" i="1" s="1"/>
  <c r="CR1079" i="1"/>
  <c r="CP1079" i="1"/>
  <c r="CN1079" i="1"/>
  <c r="CJ1079" i="1"/>
  <c r="CH1079" i="1"/>
  <c r="CF1079" i="1"/>
  <c r="BL1079" i="1"/>
  <c r="BD1079" i="1"/>
  <c r="AZ1079" i="1"/>
  <c r="AX1079" i="1"/>
  <c r="DC1076" i="1"/>
  <c r="DA1076" i="1"/>
  <c r="CY1076" i="1"/>
  <c r="Y1076" i="1" s="1"/>
  <c r="CW1076" i="1"/>
  <c r="AA1076" i="1" s="1"/>
  <c r="CR1076" i="1"/>
  <c r="CP1076" i="1"/>
  <c r="CN1076" i="1"/>
  <c r="CJ1076" i="1"/>
  <c r="CH1076" i="1"/>
  <c r="CF1076" i="1"/>
  <c r="BL1076" i="1"/>
  <c r="BD1076" i="1"/>
  <c r="AZ1076" i="1"/>
  <c r="AX1076" i="1"/>
  <c r="DC1070" i="1"/>
  <c r="DA1070" i="1"/>
  <c r="CY1070" i="1"/>
  <c r="Y1070" i="1" s="1"/>
  <c r="CW1070" i="1"/>
  <c r="AA1070" i="1" s="1"/>
  <c r="CR1070" i="1"/>
  <c r="CP1070" i="1"/>
  <c r="CN1070" i="1"/>
  <c r="CJ1070" i="1"/>
  <c r="CH1070" i="1"/>
  <c r="CF1070" i="1"/>
  <c r="BL1070" i="1"/>
  <c r="BD1070" i="1"/>
  <c r="AZ1070" i="1"/>
  <c r="AX1070" i="1"/>
  <c r="DC1085" i="1"/>
  <c r="DA1085" i="1"/>
  <c r="CY1085" i="1"/>
  <c r="Y1085" i="1" s="1"/>
  <c r="CW1085" i="1"/>
  <c r="AA1085" i="1" s="1"/>
  <c r="CR1085" i="1"/>
  <c r="CP1085" i="1"/>
  <c r="CN1085" i="1"/>
  <c r="CJ1085" i="1"/>
  <c r="CH1085" i="1"/>
  <c r="CF1085" i="1"/>
  <c r="BL1085" i="1"/>
  <c r="BD1085" i="1"/>
  <c r="AZ1085" i="1"/>
  <c r="AX1085" i="1"/>
  <c r="DC1077" i="1"/>
  <c r="DA1077" i="1"/>
  <c r="CY1077" i="1"/>
  <c r="Y1077" i="1" s="1"/>
  <c r="CW1077" i="1"/>
  <c r="AA1077" i="1" s="1"/>
  <c r="CR1077" i="1"/>
  <c r="CP1077" i="1"/>
  <c r="CN1077" i="1"/>
  <c r="CJ1077" i="1"/>
  <c r="CH1077" i="1"/>
  <c r="CF1077" i="1"/>
  <c r="BL1077" i="1"/>
  <c r="BD1077" i="1"/>
  <c r="AZ1077" i="1"/>
  <c r="AX1077" i="1"/>
  <c r="Z1095" i="1" l="1"/>
  <c r="Z1090" i="1"/>
  <c r="Z1087" i="1"/>
  <c r="CU1087" i="1"/>
  <c r="X1087" i="1" s="1"/>
  <c r="CU1118" i="1"/>
  <c r="X1118" i="1" s="1"/>
  <c r="Z1118" i="1"/>
  <c r="Z1084" i="1"/>
  <c r="Z1080" i="1"/>
  <c r="Z1088" i="1"/>
  <c r="Z1096" i="1"/>
  <c r="Z1086" i="1"/>
  <c r="Z1104" i="1"/>
  <c r="Z1105" i="1"/>
  <c r="Z1076" i="1"/>
  <c r="CU1090" i="1"/>
  <c r="X1090" i="1" s="1"/>
  <c r="CU1095" i="1"/>
  <c r="X1095" i="1" s="1"/>
  <c r="CU1084" i="1"/>
  <c r="X1084" i="1" s="1"/>
  <c r="CU1080" i="1"/>
  <c r="X1080" i="1" s="1"/>
  <c r="CU1088" i="1"/>
  <c r="X1088" i="1" s="1"/>
  <c r="CU1096" i="1"/>
  <c r="X1096" i="1" s="1"/>
  <c r="CU1086" i="1"/>
  <c r="X1086" i="1" s="1"/>
  <c r="CU1104" i="1"/>
  <c r="X1104" i="1" s="1"/>
  <c r="CU1105" i="1"/>
  <c r="X1105" i="1" s="1"/>
  <c r="CU1076" i="1"/>
  <c r="X1076" i="1" s="1"/>
  <c r="Z1077" i="1"/>
  <c r="Z1070" i="1"/>
  <c r="Z1085" i="1"/>
  <c r="Z1079" i="1"/>
  <c r="CU1077" i="1"/>
  <c r="X1077" i="1" s="1"/>
  <c r="CU1070" i="1"/>
  <c r="X1070" i="1" s="1"/>
  <c r="CU1085" i="1"/>
  <c r="X1085" i="1" s="1"/>
  <c r="CU1079" i="1"/>
  <c r="X1079" i="1" s="1"/>
  <c r="DC1042" i="1"/>
  <c r="DA1042" i="1"/>
  <c r="CY1042" i="1"/>
  <c r="Y1042" i="1" s="1"/>
  <c r="CW1042" i="1"/>
  <c r="AA1042" i="1" s="1"/>
  <c r="CR1042" i="1"/>
  <c r="CP1042" i="1"/>
  <c r="CN1042" i="1"/>
  <c r="CJ1042" i="1"/>
  <c r="CH1042" i="1"/>
  <c r="CF1042" i="1"/>
  <c r="BL1042" i="1"/>
  <c r="BD1042" i="1"/>
  <c r="AZ1042" i="1"/>
  <c r="AX1042" i="1"/>
  <c r="DC1068" i="1"/>
  <c r="DA1068" i="1"/>
  <c r="CY1068" i="1"/>
  <c r="Y1068" i="1" s="1"/>
  <c r="CW1068" i="1"/>
  <c r="AA1068" i="1" s="1"/>
  <c r="CR1068" i="1"/>
  <c r="CP1068" i="1"/>
  <c r="CN1068" i="1"/>
  <c r="CJ1068" i="1"/>
  <c r="CH1068" i="1"/>
  <c r="CF1068" i="1"/>
  <c r="BL1068" i="1"/>
  <c r="BD1068" i="1"/>
  <c r="AZ1068" i="1"/>
  <c r="AX1068" i="1"/>
  <c r="DC1067" i="1"/>
  <c r="DA1067" i="1"/>
  <c r="CY1067" i="1"/>
  <c r="Y1067" i="1" s="1"/>
  <c r="CW1067" i="1"/>
  <c r="AA1067" i="1" s="1"/>
  <c r="CR1067" i="1"/>
  <c r="CP1067" i="1"/>
  <c r="CN1067" i="1"/>
  <c r="CJ1067" i="1"/>
  <c r="CH1067" i="1"/>
  <c r="CF1067" i="1"/>
  <c r="BL1067" i="1"/>
  <c r="BD1067" i="1"/>
  <c r="AZ1067" i="1"/>
  <c r="AX1067" i="1"/>
  <c r="DC1069" i="1"/>
  <c r="DA1069" i="1"/>
  <c r="CY1069" i="1"/>
  <c r="Y1069" i="1" s="1"/>
  <c r="CW1069" i="1"/>
  <c r="AA1069" i="1" s="1"/>
  <c r="CR1069" i="1"/>
  <c r="CP1069" i="1"/>
  <c r="CN1069" i="1"/>
  <c r="CJ1069" i="1"/>
  <c r="CH1069" i="1"/>
  <c r="CF1069" i="1"/>
  <c r="BL1069" i="1"/>
  <c r="BD1069" i="1"/>
  <c r="AZ1069" i="1"/>
  <c r="AX1069" i="1"/>
  <c r="DC1066" i="1"/>
  <c r="DA1066" i="1"/>
  <c r="CY1066" i="1"/>
  <c r="Y1066" i="1" s="1"/>
  <c r="CW1066" i="1"/>
  <c r="AA1066" i="1" s="1"/>
  <c r="CR1066" i="1"/>
  <c r="CP1066" i="1"/>
  <c r="CN1066" i="1"/>
  <c r="CJ1066" i="1"/>
  <c r="CH1066" i="1"/>
  <c r="CF1066" i="1"/>
  <c r="BL1066" i="1"/>
  <c r="BD1066" i="1"/>
  <c r="AZ1066" i="1"/>
  <c r="AX1066" i="1"/>
  <c r="DC1072" i="1"/>
  <c r="DA1072" i="1"/>
  <c r="CY1072" i="1"/>
  <c r="Y1072" i="1" s="1"/>
  <c r="CW1072" i="1"/>
  <c r="AA1072" i="1" s="1"/>
  <c r="CR1072" i="1"/>
  <c r="CP1072" i="1"/>
  <c r="CN1072" i="1"/>
  <c r="CJ1072" i="1"/>
  <c r="CH1072" i="1"/>
  <c r="CF1072" i="1"/>
  <c r="BL1072" i="1"/>
  <c r="BD1072" i="1"/>
  <c r="AZ1072" i="1"/>
  <c r="AX1072" i="1"/>
  <c r="DC1064" i="1"/>
  <c r="DA1064" i="1"/>
  <c r="CY1064" i="1"/>
  <c r="Y1064" i="1" s="1"/>
  <c r="CW1064" i="1"/>
  <c r="AA1064" i="1" s="1"/>
  <c r="CR1064" i="1"/>
  <c r="CP1064" i="1"/>
  <c r="CN1064" i="1"/>
  <c r="CJ1064" i="1"/>
  <c r="CH1064" i="1"/>
  <c r="CF1064" i="1"/>
  <c r="BL1064" i="1"/>
  <c r="BD1064" i="1"/>
  <c r="AZ1064" i="1"/>
  <c r="AX1064" i="1"/>
  <c r="DC1065" i="1"/>
  <c r="DA1065" i="1"/>
  <c r="CY1065" i="1"/>
  <c r="Y1065" i="1" s="1"/>
  <c r="CW1065" i="1"/>
  <c r="AA1065" i="1" s="1"/>
  <c r="CR1065" i="1"/>
  <c r="CP1065" i="1"/>
  <c r="CN1065" i="1"/>
  <c r="CJ1065" i="1"/>
  <c r="CH1065" i="1"/>
  <c r="CF1065" i="1"/>
  <c r="BL1065" i="1"/>
  <c r="BD1065" i="1"/>
  <c r="AZ1065" i="1"/>
  <c r="AX1065" i="1"/>
  <c r="DC1071" i="1"/>
  <c r="DA1071" i="1"/>
  <c r="CY1071" i="1"/>
  <c r="Y1071" i="1" s="1"/>
  <c r="CW1071" i="1"/>
  <c r="AA1071" i="1" s="1"/>
  <c r="CR1071" i="1"/>
  <c r="CP1071" i="1"/>
  <c r="CN1071" i="1"/>
  <c r="CJ1071" i="1"/>
  <c r="CH1071" i="1"/>
  <c r="CF1071" i="1"/>
  <c r="BL1071" i="1"/>
  <c r="BD1071" i="1"/>
  <c r="AZ1071" i="1"/>
  <c r="AX1071" i="1"/>
  <c r="AD1090" i="1" l="1"/>
  <c r="AD1077" i="1"/>
  <c r="AD1070" i="1"/>
  <c r="AD1087" i="1"/>
  <c r="AD1095" i="1"/>
  <c r="AD1118" i="1"/>
  <c r="AD1080" i="1"/>
  <c r="AD1104" i="1"/>
  <c r="AD1096" i="1"/>
  <c r="AD1105" i="1"/>
  <c r="AD1084" i="1"/>
  <c r="AD1076" i="1"/>
  <c r="AD1086" i="1"/>
  <c r="AD1088" i="1"/>
  <c r="AD1079" i="1"/>
  <c r="AD1085" i="1"/>
  <c r="Z1042" i="1"/>
  <c r="CU1072" i="1"/>
  <c r="X1072" i="1" s="1"/>
  <c r="Z1066" i="1"/>
  <c r="CU1068" i="1"/>
  <c r="X1068" i="1" s="1"/>
  <c r="Z1065" i="1"/>
  <c r="CU1071" i="1"/>
  <c r="X1071" i="1" s="1"/>
  <c r="Z1064" i="1"/>
  <c r="CU1069" i="1"/>
  <c r="X1069" i="1" s="1"/>
  <c r="Z1067" i="1"/>
  <c r="CU1066" i="1"/>
  <c r="X1066" i="1" s="1"/>
  <c r="Z1069" i="1"/>
  <c r="CU1042" i="1"/>
  <c r="X1042" i="1" s="1"/>
  <c r="Z1072" i="1"/>
  <c r="CU1067" i="1"/>
  <c r="X1067" i="1" s="1"/>
  <c r="Z1068" i="1"/>
  <c r="Z1071" i="1"/>
  <c r="CU1064" i="1"/>
  <c r="X1064" i="1" s="1"/>
  <c r="CU1065" i="1"/>
  <c r="X1065" i="1" s="1"/>
  <c r="DC1049" i="1"/>
  <c r="DA1049" i="1"/>
  <c r="CY1049" i="1"/>
  <c r="Y1049" i="1" s="1"/>
  <c r="CW1049" i="1"/>
  <c r="AA1049" i="1" s="1"/>
  <c r="CR1049" i="1"/>
  <c r="CP1049" i="1"/>
  <c r="CN1049" i="1"/>
  <c r="CJ1049" i="1"/>
  <c r="CH1049" i="1"/>
  <c r="CF1049" i="1"/>
  <c r="BL1049" i="1"/>
  <c r="BD1049" i="1"/>
  <c r="AZ1049" i="1"/>
  <c r="AX1049" i="1"/>
  <c r="DC1062" i="1"/>
  <c r="DA1062" i="1"/>
  <c r="CY1062" i="1"/>
  <c r="Y1062" i="1" s="1"/>
  <c r="CW1062" i="1"/>
  <c r="AA1062" i="1" s="1"/>
  <c r="CR1062" i="1"/>
  <c r="CP1062" i="1"/>
  <c r="CN1062" i="1"/>
  <c r="CJ1062" i="1"/>
  <c r="CH1062" i="1"/>
  <c r="CF1062" i="1"/>
  <c r="BL1062" i="1"/>
  <c r="BD1062" i="1"/>
  <c r="AZ1062" i="1"/>
  <c r="AX1062" i="1"/>
  <c r="DC1056" i="1"/>
  <c r="DA1056" i="1"/>
  <c r="CY1056" i="1"/>
  <c r="Y1056" i="1" s="1"/>
  <c r="CW1056" i="1"/>
  <c r="AA1056" i="1" s="1"/>
  <c r="CR1056" i="1"/>
  <c r="CP1056" i="1"/>
  <c r="CN1056" i="1"/>
  <c r="CJ1056" i="1"/>
  <c r="CH1056" i="1"/>
  <c r="CF1056" i="1"/>
  <c r="BL1056" i="1"/>
  <c r="BD1056" i="1"/>
  <c r="AZ1056" i="1"/>
  <c r="AX1056" i="1"/>
  <c r="DC1052" i="1"/>
  <c r="DA1052" i="1"/>
  <c r="CY1052" i="1"/>
  <c r="Y1052" i="1" s="1"/>
  <c r="CW1052" i="1"/>
  <c r="AA1052" i="1" s="1"/>
  <c r="CR1052" i="1"/>
  <c r="CP1052" i="1"/>
  <c r="CN1052" i="1"/>
  <c r="CJ1052" i="1"/>
  <c r="CH1052" i="1"/>
  <c r="CF1052" i="1"/>
  <c r="BL1052" i="1"/>
  <c r="BD1052" i="1"/>
  <c r="AZ1052" i="1"/>
  <c r="AX1052" i="1"/>
  <c r="DC1051" i="1"/>
  <c r="DA1051" i="1"/>
  <c r="CY1051" i="1"/>
  <c r="Y1051" i="1" s="1"/>
  <c r="CW1051" i="1"/>
  <c r="AA1051" i="1" s="1"/>
  <c r="CR1051" i="1"/>
  <c r="CP1051" i="1"/>
  <c r="CN1051" i="1"/>
  <c r="CJ1051" i="1"/>
  <c r="CH1051" i="1"/>
  <c r="CF1051" i="1"/>
  <c r="BL1051" i="1"/>
  <c r="BD1051" i="1"/>
  <c r="AZ1051" i="1"/>
  <c r="AX1051" i="1"/>
  <c r="DC1059" i="1"/>
  <c r="DA1059" i="1"/>
  <c r="CY1059" i="1"/>
  <c r="Y1059" i="1" s="1"/>
  <c r="CW1059" i="1"/>
  <c r="AA1059" i="1" s="1"/>
  <c r="CR1059" i="1"/>
  <c r="CP1059" i="1"/>
  <c r="CN1059" i="1"/>
  <c r="CJ1059" i="1"/>
  <c r="CH1059" i="1"/>
  <c r="CF1059" i="1"/>
  <c r="BL1059" i="1"/>
  <c r="BD1059" i="1"/>
  <c r="AZ1059" i="1"/>
  <c r="AX1059" i="1"/>
  <c r="DC1055" i="1"/>
  <c r="DA1055" i="1"/>
  <c r="CY1055" i="1"/>
  <c r="Y1055" i="1" s="1"/>
  <c r="CW1055" i="1"/>
  <c r="AA1055" i="1" s="1"/>
  <c r="CR1055" i="1"/>
  <c r="CP1055" i="1"/>
  <c r="CN1055" i="1"/>
  <c r="CJ1055" i="1"/>
  <c r="CH1055" i="1"/>
  <c r="CF1055" i="1"/>
  <c r="BL1055" i="1"/>
  <c r="BD1055" i="1"/>
  <c r="AZ1055" i="1"/>
  <c r="AX1055" i="1"/>
  <c r="DC1054" i="1"/>
  <c r="DA1054" i="1"/>
  <c r="CY1054" i="1"/>
  <c r="Y1054" i="1" s="1"/>
  <c r="CW1054" i="1"/>
  <c r="AA1054" i="1" s="1"/>
  <c r="CR1054" i="1"/>
  <c r="CP1054" i="1"/>
  <c r="CN1054" i="1"/>
  <c r="CJ1054" i="1"/>
  <c r="CH1054" i="1"/>
  <c r="CF1054" i="1"/>
  <c r="BL1054" i="1"/>
  <c r="BD1054" i="1"/>
  <c r="AZ1054" i="1"/>
  <c r="AX1054" i="1"/>
  <c r="DC1053" i="1"/>
  <c r="DA1053" i="1"/>
  <c r="CY1053" i="1"/>
  <c r="Y1053" i="1" s="1"/>
  <c r="CW1053" i="1"/>
  <c r="AA1053" i="1" s="1"/>
  <c r="CR1053" i="1"/>
  <c r="CP1053" i="1"/>
  <c r="CN1053" i="1"/>
  <c r="CJ1053" i="1"/>
  <c r="CH1053" i="1"/>
  <c r="CF1053" i="1"/>
  <c r="BL1053" i="1"/>
  <c r="BD1053" i="1"/>
  <c r="AZ1053" i="1"/>
  <c r="AX1053" i="1"/>
  <c r="DC1057" i="1"/>
  <c r="DA1057" i="1"/>
  <c r="CY1057" i="1"/>
  <c r="Y1057" i="1" s="1"/>
  <c r="CW1057" i="1"/>
  <c r="AA1057" i="1" s="1"/>
  <c r="CR1057" i="1"/>
  <c r="CP1057" i="1"/>
  <c r="CN1057" i="1"/>
  <c r="CJ1057" i="1"/>
  <c r="CH1057" i="1"/>
  <c r="CF1057" i="1"/>
  <c r="BL1057" i="1"/>
  <c r="BD1057" i="1"/>
  <c r="AZ1057" i="1"/>
  <c r="AX1057" i="1"/>
  <c r="DC1058" i="1"/>
  <c r="DA1058" i="1"/>
  <c r="CY1058" i="1"/>
  <c r="Y1058" i="1" s="1"/>
  <c r="CW1058" i="1"/>
  <c r="AA1058" i="1" s="1"/>
  <c r="CR1058" i="1"/>
  <c r="CP1058" i="1"/>
  <c r="CN1058" i="1"/>
  <c r="CJ1058" i="1"/>
  <c r="CH1058" i="1"/>
  <c r="CF1058" i="1"/>
  <c r="BL1058" i="1"/>
  <c r="BD1058" i="1"/>
  <c r="AZ1058" i="1"/>
  <c r="AX1058" i="1"/>
  <c r="AD1067" i="1" l="1"/>
  <c r="AD1042" i="1"/>
  <c r="AD1066" i="1"/>
  <c r="AD1072" i="1"/>
  <c r="AD1068" i="1"/>
  <c r="AD1065" i="1"/>
  <c r="AD1071" i="1"/>
  <c r="AD1064" i="1"/>
  <c r="AD1069" i="1"/>
  <c r="Z1049" i="1"/>
  <c r="CU1049" i="1"/>
  <c r="X1049" i="1" s="1"/>
  <c r="Z1051" i="1"/>
  <c r="Z1052" i="1"/>
  <c r="Z1056" i="1"/>
  <c r="Z1062" i="1"/>
  <c r="CU1051" i="1"/>
  <c r="X1051" i="1" s="1"/>
  <c r="CU1052" i="1"/>
  <c r="X1052" i="1" s="1"/>
  <c r="CU1056" i="1"/>
  <c r="X1056" i="1" s="1"/>
  <c r="CU1062" i="1"/>
  <c r="X1062" i="1" s="1"/>
  <c r="Z1058" i="1"/>
  <c r="CU1054" i="1"/>
  <c r="X1054" i="1" s="1"/>
  <c r="CU1053" i="1"/>
  <c r="X1053" i="1" s="1"/>
  <c r="CU1057" i="1"/>
  <c r="X1057" i="1" s="1"/>
  <c r="CU1059" i="1"/>
  <c r="X1059" i="1" s="1"/>
  <c r="CU1058" i="1"/>
  <c r="X1058" i="1" s="1"/>
  <c r="Z1057" i="1"/>
  <c r="Z1053" i="1"/>
  <c r="Z1054" i="1"/>
  <c r="Z1055" i="1"/>
  <c r="Z1059" i="1"/>
  <c r="CU1055" i="1"/>
  <c r="X1055" i="1" s="1"/>
  <c r="I915" i="1"/>
  <c r="AD1056" i="1" l="1"/>
  <c r="AD1051" i="1"/>
  <c r="AD1062" i="1"/>
  <c r="AD1052" i="1"/>
  <c r="AD1049" i="1"/>
  <c r="AD1055" i="1"/>
  <c r="AD1054" i="1"/>
  <c r="AD1058" i="1"/>
  <c r="AD1059" i="1"/>
  <c r="AD1053" i="1"/>
  <c r="AD1057" i="1"/>
  <c r="DC1060" i="1"/>
  <c r="DA1060" i="1"/>
  <c r="CY1060" i="1"/>
  <c r="Y1060" i="1" s="1"/>
  <c r="CW1060" i="1"/>
  <c r="AA1060" i="1" s="1"/>
  <c r="CR1060" i="1"/>
  <c r="CP1060" i="1"/>
  <c r="CN1060" i="1"/>
  <c r="CJ1060" i="1"/>
  <c r="CH1060" i="1"/>
  <c r="CF1060" i="1"/>
  <c r="BL1060" i="1"/>
  <c r="BD1060" i="1"/>
  <c r="AZ1060" i="1"/>
  <c r="AX1060" i="1"/>
  <c r="DC1063" i="1"/>
  <c r="DA1063" i="1"/>
  <c r="CY1063" i="1"/>
  <c r="Y1063" i="1" s="1"/>
  <c r="CW1063" i="1"/>
  <c r="AA1063" i="1" s="1"/>
  <c r="CR1063" i="1"/>
  <c r="CP1063" i="1"/>
  <c r="CN1063" i="1"/>
  <c r="CJ1063" i="1"/>
  <c r="CH1063" i="1"/>
  <c r="CF1063" i="1"/>
  <c r="BL1063" i="1"/>
  <c r="BD1063" i="1"/>
  <c r="AZ1063" i="1"/>
  <c r="AX1063" i="1"/>
  <c r="DC1061" i="1"/>
  <c r="DA1061" i="1"/>
  <c r="CY1061" i="1"/>
  <c r="Y1061" i="1" s="1"/>
  <c r="CW1061" i="1"/>
  <c r="AA1061" i="1" s="1"/>
  <c r="CR1061" i="1"/>
  <c r="CP1061" i="1"/>
  <c r="CN1061" i="1"/>
  <c r="CJ1061" i="1"/>
  <c r="CH1061" i="1"/>
  <c r="CF1061" i="1"/>
  <c r="BL1061" i="1"/>
  <c r="BD1061" i="1"/>
  <c r="AZ1061" i="1"/>
  <c r="AX1061" i="1"/>
  <c r="DC915" i="1"/>
  <c r="DA915" i="1"/>
  <c r="CY915" i="1"/>
  <c r="Y915" i="1" s="1"/>
  <c r="CW915" i="1"/>
  <c r="AA915" i="1" s="1"/>
  <c r="CR915" i="1"/>
  <c r="CP915" i="1"/>
  <c r="CN915" i="1"/>
  <c r="CJ915" i="1"/>
  <c r="CH915" i="1"/>
  <c r="CF915" i="1"/>
  <c r="BL915" i="1"/>
  <c r="BD915" i="1"/>
  <c r="AZ915" i="1"/>
  <c r="AX915" i="1"/>
  <c r="DC1073" i="1"/>
  <c r="DA1073" i="1"/>
  <c r="CY1073" i="1"/>
  <c r="Y1073" i="1" s="1"/>
  <c r="CW1073" i="1"/>
  <c r="AA1073" i="1" s="1"/>
  <c r="CR1073" i="1"/>
  <c r="CP1073" i="1"/>
  <c r="CN1073" i="1"/>
  <c r="CJ1073" i="1"/>
  <c r="CH1073" i="1"/>
  <c r="CF1073" i="1"/>
  <c r="BL1073" i="1"/>
  <c r="BD1073" i="1"/>
  <c r="AZ1073" i="1"/>
  <c r="AX1073" i="1"/>
  <c r="DC1033" i="1"/>
  <c r="DA1033" i="1"/>
  <c r="CY1033" i="1"/>
  <c r="Y1033" i="1" s="1"/>
  <c r="CW1033" i="1"/>
  <c r="AA1033" i="1" s="1"/>
  <c r="CR1033" i="1"/>
  <c r="CP1033" i="1"/>
  <c r="CN1033" i="1"/>
  <c r="CJ1033" i="1"/>
  <c r="CH1033" i="1"/>
  <c r="CF1033" i="1"/>
  <c r="BL1033" i="1"/>
  <c r="BD1033" i="1"/>
  <c r="AZ1033" i="1"/>
  <c r="AX1033" i="1"/>
  <c r="DC1043" i="1"/>
  <c r="DA1043" i="1"/>
  <c r="CY1043" i="1"/>
  <c r="Y1043" i="1" s="1"/>
  <c r="CW1043" i="1"/>
  <c r="AA1043" i="1" s="1"/>
  <c r="CR1043" i="1"/>
  <c r="CP1043" i="1"/>
  <c r="CN1043" i="1"/>
  <c r="CJ1043" i="1"/>
  <c r="CH1043" i="1"/>
  <c r="CF1043" i="1"/>
  <c r="BL1043" i="1"/>
  <c r="BD1043" i="1"/>
  <c r="AZ1043" i="1"/>
  <c r="AX1043" i="1"/>
  <c r="DC1040" i="1"/>
  <c r="DA1040" i="1"/>
  <c r="CY1040" i="1"/>
  <c r="Y1040" i="1" s="1"/>
  <c r="CW1040" i="1"/>
  <c r="AA1040" i="1" s="1"/>
  <c r="CR1040" i="1"/>
  <c r="CP1040" i="1"/>
  <c r="CN1040" i="1"/>
  <c r="CJ1040" i="1"/>
  <c r="CH1040" i="1"/>
  <c r="CF1040" i="1"/>
  <c r="BL1040" i="1"/>
  <c r="BD1040" i="1"/>
  <c r="AZ1040" i="1"/>
  <c r="AX1040" i="1"/>
  <c r="DC1046" i="1"/>
  <c r="DA1046" i="1"/>
  <c r="CY1046" i="1"/>
  <c r="Y1046" i="1" s="1"/>
  <c r="CW1046" i="1"/>
  <c r="AA1046" i="1" s="1"/>
  <c r="CR1046" i="1"/>
  <c r="CP1046" i="1"/>
  <c r="CN1046" i="1"/>
  <c r="CJ1046" i="1"/>
  <c r="CH1046" i="1"/>
  <c r="CF1046" i="1"/>
  <c r="BL1046" i="1"/>
  <c r="BD1046" i="1"/>
  <c r="AZ1046" i="1"/>
  <c r="AX1046" i="1"/>
  <c r="DC1048" i="1"/>
  <c r="DA1048" i="1"/>
  <c r="CY1048" i="1"/>
  <c r="Y1048" i="1" s="1"/>
  <c r="CW1048" i="1"/>
  <c r="AA1048" i="1" s="1"/>
  <c r="CR1048" i="1"/>
  <c r="CP1048" i="1"/>
  <c r="CN1048" i="1"/>
  <c r="CJ1048" i="1"/>
  <c r="CH1048" i="1"/>
  <c r="CF1048" i="1"/>
  <c r="BL1048" i="1"/>
  <c r="BD1048" i="1"/>
  <c r="AZ1048" i="1"/>
  <c r="AX1048" i="1"/>
  <c r="DC1045" i="1"/>
  <c r="DA1045" i="1"/>
  <c r="CY1045" i="1"/>
  <c r="Y1045" i="1" s="1"/>
  <c r="CW1045" i="1"/>
  <c r="AA1045" i="1" s="1"/>
  <c r="CR1045" i="1"/>
  <c r="CP1045" i="1"/>
  <c r="CN1045" i="1"/>
  <c r="CJ1045" i="1"/>
  <c r="CH1045" i="1"/>
  <c r="CF1045" i="1"/>
  <c r="BL1045" i="1"/>
  <c r="BD1045" i="1"/>
  <c r="AZ1045" i="1"/>
  <c r="AX1045" i="1"/>
  <c r="DC1019" i="1"/>
  <c r="DA1019" i="1"/>
  <c r="CY1019" i="1"/>
  <c r="Y1019" i="1" s="1"/>
  <c r="CW1019" i="1"/>
  <c r="AA1019" i="1" s="1"/>
  <c r="CR1019" i="1"/>
  <c r="CP1019" i="1"/>
  <c r="CN1019" i="1"/>
  <c r="CJ1019" i="1"/>
  <c r="CH1019" i="1"/>
  <c r="CF1019" i="1"/>
  <c r="BL1019" i="1"/>
  <c r="BD1019" i="1"/>
  <c r="AZ1019" i="1"/>
  <c r="AX1019" i="1"/>
  <c r="DC1003" i="1"/>
  <c r="DA1003" i="1"/>
  <c r="CY1003" i="1"/>
  <c r="Y1003" i="1" s="1"/>
  <c r="CW1003" i="1"/>
  <c r="AA1003" i="1" s="1"/>
  <c r="CR1003" i="1"/>
  <c r="CP1003" i="1"/>
  <c r="CN1003" i="1"/>
  <c r="CJ1003" i="1"/>
  <c r="CH1003" i="1"/>
  <c r="CF1003" i="1"/>
  <c r="BL1003" i="1"/>
  <c r="BD1003" i="1"/>
  <c r="AZ1003" i="1"/>
  <c r="AX1003" i="1"/>
  <c r="DC1002" i="1"/>
  <c r="DA1002" i="1"/>
  <c r="CY1002" i="1"/>
  <c r="Y1002" i="1" s="1"/>
  <c r="CW1002" i="1"/>
  <c r="AA1002" i="1" s="1"/>
  <c r="CR1002" i="1"/>
  <c r="CP1002" i="1"/>
  <c r="CN1002" i="1"/>
  <c r="CJ1002" i="1"/>
  <c r="CH1002" i="1"/>
  <c r="CF1002" i="1"/>
  <c r="BL1002" i="1"/>
  <c r="BD1002" i="1"/>
  <c r="AZ1002" i="1"/>
  <c r="AX1002" i="1"/>
  <c r="DC994" i="1"/>
  <c r="DA994" i="1"/>
  <c r="CY994" i="1"/>
  <c r="Y994" i="1" s="1"/>
  <c r="CW994" i="1"/>
  <c r="AA994" i="1" s="1"/>
  <c r="CR994" i="1"/>
  <c r="CP994" i="1"/>
  <c r="CN994" i="1"/>
  <c r="CJ994" i="1"/>
  <c r="CH994" i="1"/>
  <c r="CF994" i="1"/>
  <c r="BL994" i="1"/>
  <c r="BD994" i="1"/>
  <c r="AZ994" i="1"/>
  <c r="AX994" i="1"/>
  <c r="DC1018" i="1"/>
  <c r="DA1018" i="1"/>
  <c r="CY1018" i="1"/>
  <c r="Y1018" i="1" s="1"/>
  <c r="CW1018" i="1"/>
  <c r="AA1018" i="1" s="1"/>
  <c r="CR1018" i="1"/>
  <c r="CP1018" i="1"/>
  <c r="CN1018" i="1"/>
  <c r="CJ1018" i="1"/>
  <c r="CH1018" i="1"/>
  <c r="CF1018" i="1"/>
  <c r="BL1018" i="1"/>
  <c r="BD1018" i="1"/>
  <c r="AZ1018" i="1"/>
  <c r="AX1018" i="1"/>
  <c r="DC984" i="1"/>
  <c r="DA984" i="1"/>
  <c r="CY984" i="1"/>
  <c r="Y984" i="1" s="1"/>
  <c r="CW984" i="1"/>
  <c r="AA984" i="1" s="1"/>
  <c r="CR984" i="1"/>
  <c r="CP984" i="1"/>
  <c r="CN984" i="1"/>
  <c r="CJ984" i="1"/>
  <c r="CH984" i="1"/>
  <c r="CF984" i="1"/>
  <c r="BL984" i="1"/>
  <c r="BD984" i="1"/>
  <c r="AZ984" i="1"/>
  <c r="AX984" i="1"/>
  <c r="DC1017" i="1"/>
  <c r="DA1017" i="1"/>
  <c r="CY1017" i="1"/>
  <c r="Y1017" i="1" s="1"/>
  <c r="CW1017" i="1"/>
  <c r="AA1017" i="1" s="1"/>
  <c r="CR1017" i="1"/>
  <c r="CP1017" i="1"/>
  <c r="CN1017" i="1"/>
  <c r="CJ1017" i="1"/>
  <c r="CH1017" i="1"/>
  <c r="CF1017" i="1"/>
  <c r="BL1017" i="1"/>
  <c r="BD1017" i="1"/>
  <c r="AZ1017" i="1"/>
  <c r="AX1017" i="1"/>
  <c r="DC1001" i="1"/>
  <c r="DA1001" i="1"/>
  <c r="CY1001" i="1"/>
  <c r="Y1001" i="1" s="1"/>
  <c r="CW1001" i="1"/>
  <c r="AA1001" i="1" s="1"/>
  <c r="CR1001" i="1"/>
  <c r="CP1001" i="1"/>
  <c r="CN1001" i="1"/>
  <c r="CJ1001" i="1"/>
  <c r="CH1001" i="1"/>
  <c r="CF1001" i="1"/>
  <c r="BL1001" i="1"/>
  <c r="BD1001" i="1"/>
  <c r="AZ1001" i="1"/>
  <c r="AX1001" i="1"/>
  <c r="DC992" i="1"/>
  <c r="DA992" i="1"/>
  <c r="CY992" i="1"/>
  <c r="Y992" i="1" s="1"/>
  <c r="CW992" i="1"/>
  <c r="AA992" i="1" s="1"/>
  <c r="CR992" i="1"/>
  <c r="CP992" i="1"/>
  <c r="CN992" i="1"/>
  <c r="CJ992" i="1"/>
  <c r="CH992" i="1"/>
  <c r="CF992" i="1"/>
  <c r="BL992" i="1"/>
  <c r="BD992" i="1"/>
  <c r="AZ992" i="1"/>
  <c r="AX992" i="1"/>
  <c r="DC1000" i="1"/>
  <c r="DA1000" i="1"/>
  <c r="CY1000" i="1"/>
  <c r="Y1000" i="1" s="1"/>
  <c r="CW1000" i="1"/>
  <c r="AA1000" i="1" s="1"/>
  <c r="CR1000" i="1"/>
  <c r="CP1000" i="1"/>
  <c r="CN1000" i="1"/>
  <c r="CJ1000" i="1"/>
  <c r="CH1000" i="1"/>
  <c r="CF1000" i="1"/>
  <c r="BL1000" i="1"/>
  <c r="BD1000" i="1"/>
  <c r="AZ1000" i="1"/>
  <c r="AX1000" i="1"/>
  <c r="DC1016" i="1"/>
  <c r="DA1016" i="1"/>
  <c r="CY1016" i="1"/>
  <c r="Y1016" i="1" s="1"/>
  <c r="CW1016" i="1"/>
  <c r="AA1016" i="1" s="1"/>
  <c r="CR1016" i="1"/>
  <c r="CP1016" i="1"/>
  <c r="CN1016" i="1"/>
  <c r="CJ1016" i="1"/>
  <c r="CH1016" i="1"/>
  <c r="CF1016" i="1"/>
  <c r="BL1016" i="1"/>
  <c r="BD1016" i="1"/>
  <c r="AZ1016" i="1"/>
  <c r="AX1016" i="1"/>
  <c r="DC1047" i="1"/>
  <c r="DA1047" i="1"/>
  <c r="CY1047" i="1"/>
  <c r="Y1047" i="1" s="1"/>
  <c r="CW1047" i="1"/>
  <c r="AA1047" i="1" s="1"/>
  <c r="CR1047" i="1"/>
  <c r="CP1047" i="1"/>
  <c r="CN1047" i="1"/>
  <c r="CJ1047" i="1"/>
  <c r="CH1047" i="1"/>
  <c r="CF1047" i="1"/>
  <c r="BL1047" i="1"/>
  <c r="BD1047" i="1"/>
  <c r="AZ1047" i="1"/>
  <c r="AX1047" i="1"/>
  <c r="DC1015" i="1"/>
  <c r="DA1015" i="1"/>
  <c r="CY1015" i="1"/>
  <c r="Y1015" i="1" s="1"/>
  <c r="CW1015" i="1"/>
  <c r="AA1015" i="1" s="1"/>
  <c r="CR1015" i="1"/>
  <c r="CP1015" i="1"/>
  <c r="CN1015" i="1"/>
  <c r="CJ1015" i="1"/>
  <c r="CH1015" i="1"/>
  <c r="CF1015" i="1"/>
  <c r="BL1015" i="1"/>
  <c r="BD1015" i="1"/>
  <c r="AZ1015" i="1"/>
  <c r="AX1015" i="1"/>
  <c r="DC983" i="1"/>
  <c r="DA983" i="1"/>
  <c r="CY983" i="1"/>
  <c r="Y983" i="1" s="1"/>
  <c r="CW983" i="1"/>
  <c r="AA983" i="1" s="1"/>
  <c r="CR983" i="1"/>
  <c r="CP983" i="1"/>
  <c r="CN983" i="1"/>
  <c r="CJ983" i="1"/>
  <c r="CH983" i="1"/>
  <c r="CF983" i="1"/>
  <c r="BL983" i="1"/>
  <c r="BD983" i="1"/>
  <c r="AZ983" i="1"/>
  <c r="AX983" i="1"/>
  <c r="DC1026" i="1"/>
  <c r="DA1026" i="1"/>
  <c r="CY1026" i="1"/>
  <c r="Y1026" i="1" s="1"/>
  <c r="CW1026" i="1"/>
  <c r="AA1026" i="1" s="1"/>
  <c r="CR1026" i="1"/>
  <c r="CP1026" i="1"/>
  <c r="CN1026" i="1"/>
  <c r="CJ1026" i="1"/>
  <c r="CH1026" i="1"/>
  <c r="CF1026" i="1"/>
  <c r="BL1026" i="1"/>
  <c r="BD1026" i="1"/>
  <c r="AZ1026" i="1"/>
  <c r="AX1026" i="1"/>
  <c r="DC1028" i="1"/>
  <c r="DA1028" i="1"/>
  <c r="CY1028" i="1"/>
  <c r="Y1028" i="1" s="1"/>
  <c r="CW1028" i="1"/>
  <c r="AA1028" i="1" s="1"/>
  <c r="CR1028" i="1"/>
  <c r="CP1028" i="1"/>
  <c r="CN1028" i="1"/>
  <c r="CJ1028" i="1"/>
  <c r="CH1028" i="1"/>
  <c r="CF1028" i="1"/>
  <c r="BL1028" i="1"/>
  <c r="BD1028" i="1"/>
  <c r="AZ1028" i="1"/>
  <c r="AX1028" i="1"/>
  <c r="DC1027" i="1"/>
  <c r="DA1027" i="1"/>
  <c r="CY1027" i="1"/>
  <c r="Y1027" i="1" s="1"/>
  <c r="CW1027" i="1"/>
  <c r="AA1027" i="1" s="1"/>
  <c r="CR1027" i="1"/>
  <c r="CP1027" i="1"/>
  <c r="CN1027" i="1"/>
  <c r="CJ1027" i="1"/>
  <c r="CH1027" i="1"/>
  <c r="CF1027" i="1"/>
  <c r="BL1027" i="1"/>
  <c r="BD1027" i="1"/>
  <c r="AZ1027" i="1"/>
  <c r="AX1027" i="1"/>
  <c r="DC1025" i="1"/>
  <c r="DA1025" i="1"/>
  <c r="CY1025" i="1"/>
  <c r="Y1025" i="1" s="1"/>
  <c r="CW1025" i="1"/>
  <c r="AA1025" i="1" s="1"/>
  <c r="CR1025" i="1"/>
  <c r="CP1025" i="1"/>
  <c r="CN1025" i="1"/>
  <c r="CJ1025" i="1"/>
  <c r="CH1025" i="1"/>
  <c r="CF1025" i="1"/>
  <c r="BL1025" i="1"/>
  <c r="BD1025" i="1"/>
  <c r="AZ1025" i="1"/>
  <c r="AX1025" i="1"/>
  <c r="Z915" i="1" l="1"/>
  <c r="Z1060" i="1"/>
  <c r="Z1063" i="1"/>
  <c r="CU915" i="1"/>
  <c r="X915" i="1" s="1"/>
  <c r="Z1061" i="1"/>
  <c r="Z1002" i="1"/>
  <c r="Z1003" i="1"/>
  <c r="CU1063" i="1"/>
  <c r="X1063" i="1" s="1"/>
  <c r="Z1073" i="1"/>
  <c r="CU1061" i="1"/>
  <c r="X1061" i="1" s="1"/>
  <c r="CU1073" i="1"/>
  <c r="X1073" i="1" s="1"/>
  <c r="CU1060" i="1"/>
  <c r="X1060" i="1" s="1"/>
  <c r="Z1027" i="1"/>
  <c r="Z1028" i="1"/>
  <c r="Z1026" i="1"/>
  <c r="Z1016" i="1"/>
  <c r="Z1047" i="1"/>
  <c r="Z1000" i="1"/>
  <c r="Z1033" i="1"/>
  <c r="Z1040" i="1"/>
  <c r="Z1001" i="1"/>
  <c r="Z994" i="1"/>
  <c r="Z1045" i="1"/>
  <c r="Z983" i="1"/>
  <c r="Z1017" i="1"/>
  <c r="CU984" i="1"/>
  <c r="X984" i="1" s="1"/>
  <c r="Z1019" i="1"/>
  <c r="CU1048" i="1"/>
  <c r="X1048" i="1" s="1"/>
  <c r="CU1027" i="1"/>
  <c r="X1027" i="1" s="1"/>
  <c r="CU992" i="1"/>
  <c r="X992" i="1" s="1"/>
  <c r="Z992" i="1"/>
  <c r="Z1043" i="1"/>
  <c r="CU1025" i="1"/>
  <c r="X1025" i="1" s="1"/>
  <c r="Z1025" i="1"/>
  <c r="Z1018" i="1"/>
  <c r="CU1003" i="1"/>
  <c r="X1003" i="1" s="1"/>
  <c r="Z1046" i="1"/>
  <c r="CU1043" i="1"/>
  <c r="X1043" i="1" s="1"/>
  <c r="CU1015" i="1"/>
  <c r="X1015" i="1" s="1"/>
  <c r="Z1015" i="1"/>
  <c r="Z984" i="1"/>
  <c r="Z1048" i="1"/>
  <c r="CU1047" i="1"/>
  <c r="X1047" i="1" s="1"/>
  <c r="CU1001" i="1"/>
  <c r="X1001" i="1" s="1"/>
  <c r="CU1018" i="1"/>
  <c r="X1018" i="1" s="1"/>
  <c r="CU1026" i="1"/>
  <c r="X1026" i="1" s="1"/>
  <c r="CU1016" i="1"/>
  <c r="X1016" i="1" s="1"/>
  <c r="CU1017" i="1"/>
  <c r="X1017" i="1" s="1"/>
  <c r="CU994" i="1"/>
  <c r="X994" i="1" s="1"/>
  <c r="CU983" i="1"/>
  <c r="X983" i="1" s="1"/>
  <c r="CU1000" i="1"/>
  <c r="X1000" i="1" s="1"/>
  <c r="CU1002" i="1"/>
  <c r="X1002" i="1" s="1"/>
  <c r="CU1045" i="1"/>
  <c r="X1045" i="1" s="1"/>
  <c r="CU1040" i="1"/>
  <c r="X1040" i="1" s="1"/>
  <c r="CU1028" i="1"/>
  <c r="X1028" i="1" s="1"/>
  <c r="CU1019" i="1"/>
  <c r="X1019" i="1" s="1"/>
  <c r="CU1046" i="1"/>
  <c r="X1046" i="1" s="1"/>
  <c r="CU1033" i="1"/>
  <c r="X1033" i="1" s="1"/>
  <c r="AD1061" i="1" l="1"/>
  <c r="AD1060" i="1"/>
  <c r="AD915" i="1"/>
  <c r="AD1063" i="1"/>
  <c r="AD1002" i="1"/>
  <c r="AD1027" i="1"/>
  <c r="AD1016" i="1"/>
  <c r="AD1026" i="1"/>
  <c r="AD1003" i="1"/>
  <c r="AD1073" i="1"/>
  <c r="AD1046" i="1"/>
  <c r="AD984" i="1"/>
  <c r="AD1028" i="1"/>
  <c r="AD1019" i="1"/>
  <c r="AD1045" i="1"/>
  <c r="AD1017" i="1"/>
  <c r="AD1001" i="1"/>
  <c r="AD1015" i="1"/>
  <c r="AD1025" i="1"/>
  <c r="AD1033" i="1"/>
  <c r="AD1000" i="1"/>
  <c r="AD1043" i="1"/>
  <c r="AD992" i="1"/>
  <c r="AD1048" i="1"/>
  <c r="AD1040" i="1"/>
  <c r="AD983" i="1"/>
  <c r="AD994" i="1"/>
  <c r="AD1018" i="1"/>
  <c r="AD1047" i="1"/>
  <c r="DC1078" i="1"/>
  <c r="DA1078" i="1"/>
  <c r="CY1078" i="1"/>
  <c r="Y1078" i="1" s="1"/>
  <c r="CW1078" i="1"/>
  <c r="AA1078" i="1" s="1"/>
  <c r="CR1078" i="1"/>
  <c r="CP1078" i="1"/>
  <c r="CN1078" i="1"/>
  <c r="CJ1078" i="1"/>
  <c r="CH1078" i="1"/>
  <c r="CF1078" i="1"/>
  <c r="BL1078" i="1"/>
  <c r="BD1078" i="1"/>
  <c r="AZ1078" i="1"/>
  <c r="AX1078" i="1"/>
  <c r="DC1050" i="1"/>
  <c r="DA1050" i="1"/>
  <c r="CY1050" i="1"/>
  <c r="Y1050" i="1" s="1"/>
  <c r="CW1050" i="1"/>
  <c r="AA1050" i="1" s="1"/>
  <c r="CR1050" i="1"/>
  <c r="CP1050" i="1"/>
  <c r="CN1050" i="1"/>
  <c r="CJ1050" i="1"/>
  <c r="CH1050" i="1"/>
  <c r="CF1050" i="1"/>
  <c r="BL1050" i="1"/>
  <c r="BD1050" i="1"/>
  <c r="AZ1050" i="1"/>
  <c r="AX1050" i="1"/>
  <c r="DC742" i="1"/>
  <c r="DA742" i="1"/>
  <c r="CY742" i="1"/>
  <c r="Y742" i="1" s="1"/>
  <c r="CW742" i="1"/>
  <c r="AA742" i="1" s="1"/>
  <c r="CR742" i="1"/>
  <c r="CP742" i="1"/>
  <c r="CN742" i="1"/>
  <c r="CJ742" i="1"/>
  <c r="CH742" i="1"/>
  <c r="CF742" i="1"/>
  <c r="BL742" i="1"/>
  <c r="BD742" i="1"/>
  <c r="AZ742" i="1"/>
  <c r="AX742" i="1"/>
  <c r="DC741" i="1"/>
  <c r="DA741" i="1"/>
  <c r="CY741" i="1"/>
  <c r="Y741" i="1" s="1"/>
  <c r="CW741" i="1"/>
  <c r="AA741" i="1" s="1"/>
  <c r="CR741" i="1"/>
  <c r="CP741" i="1"/>
  <c r="CN741" i="1"/>
  <c r="CJ741" i="1"/>
  <c r="CH741" i="1"/>
  <c r="CF741" i="1"/>
  <c r="BL741" i="1"/>
  <c r="BD741" i="1"/>
  <c r="AZ741" i="1"/>
  <c r="AX741" i="1"/>
  <c r="DC822" i="1"/>
  <c r="DA822" i="1"/>
  <c r="CY822" i="1"/>
  <c r="Y822" i="1" s="1"/>
  <c r="CW822" i="1"/>
  <c r="AA822" i="1" s="1"/>
  <c r="CR822" i="1"/>
  <c r="CP822" i="1"/>
  <c r="CN822" i="1"/>
  <c r="CJ822" i="1"/>
  <c r="CH822" i="1"/>
  <c r="CF822" i="1"/>
  <c r="BL822" i="1"/>
  <c r="BD822" i="1"/>
  <c r="AZ822" i="1"/>
  <c r="AX822" i="1"/>
  <c r="DC733" i="1"/>
  <c r="DA733" i="1"/>
  <c r="CY733" i="1"/>
  <c r="Y733" i="1" s="1"/>
  <c r="CW733" i="1"/>
  <c r="AA733" i="1" s="1"/>
  <c r="CR733" i="1"/>
  <c r="CP733" i="1"/>
  <c r="CN733" i="1"/>
  <c r="CJ733" i="1"/>
  <c r="CH733" i="1"/>
  <c r="CF733" i="1"/>
  <c r="BL733" i="1"/>
  <c r="BD733" i="1"/>
  <c r="AZ733" i="1"/>
  <c r="AX733" i="1"/>
  <c r="DC821" i="1"/>
  <c r="DA821" i="1"/>
  <c r="CY821" i="1"/>
  <c r="Y821" i="1" s="1"/>
  <c r="CW821" i="1"/>
  <c r="AA821" i="1" s="1"/>
  <c r="CR821" i="1"/>
  <c r="CP821" i="1"/>
  <c r="CN821" i="1"/>
  <c r="CJ821" i="1"/>
  <c r="CH821" i="1"/>
  <c r="CF821" i="1"/>
  <c r="BL821" i="1"/>
  <c r="BD821" i="1"/>
  <c r="AZ821" i="1"/>
  <c r="AX821" i="1"/>
  <c r="DC636" i="1"/>
  <c r="DA636" i="1"/>
  <c r="CY636" i="1"/>
  <c r="Y636" i="1" s="1"/>
  <c r="CW636" i="1"/>
  <c r="AA636" i="1" s="1"/>
  <c r="CR636" i="1"/>
  <c r="CP636" i="1"/>
  <c r="CN636" i="1"/>
  <c r="CJ636" i="1"/>
  <c r="CH636" i="1"/>
  <c r="CF636" i="1"/>
  <c r="BL636" i="1"/>
  <c r="BD636" i="1"/>
  <c r="AZ636" i="1"/>
  <c r="AX636" i="1"/>
  <c r="DC561" i="1"/>
  <c r="DA561" i="1"/>
  <c r="CY561" i="1"/>
  <c r="Y561" i="1" s="1"/>
  <c r="CW561" i="1"/>
  <c r="AA561" i="1" s="1"/>
  <c r="CR561" i="1"/>
  <c r="CP561" i="1"/>
  <c r="CN561" i="1"/>
  <c r="CJ561" i="1"/>
  <c r="CH561" i="1"/>
  <c r="CF561" i="1"/>
  <c r="BL561" i="1"/>
  <c r="BD561" i="1"/>
  <c r="AZ561" i="1"/>
  <c r="AX561" i="1"/>
  <c r="DC536" i="1"/>
  <c r="DA536" i="1"/>
  <c r="CY536" i="1"/>
  <c r="Y536" i="1" s="1"/>
  <c r="CW536" i="1"/>
  <c r="AA536" i="1" s="1"/>
  <c r="CR536" i="1"/>
  <c r="CP536" i="1"/>
  <c r="CN536" i="1"/>
  <c r="CJ536" i="1"/>
  <c r="CH536" i="1"/>
  <c r="CF536" i="1"/>
  <c r="BL536" i="1"/>
  <c r="BD536" i="1"/>
  <c r="AZ536" i="1"/>
  <c r="AX536" i="1"/>
  <c r="DC842" i="1"/>
  <c r="DA842" i="1"/>
  <c r="CY842" i="1"/>
  <c r="Y842" i="1" s="1"/>
  <c r="CW842" i="1"/>
  <c r="AA842" i="1" s="1"/>
  <c r="CR842" i="1"/>
  <c r="CP842" i="1"/>
  <c r="CN842" i="1"/>
  <c r="CJ842" i="1"/>
  <c r="CH842" i="1"/>
  <c r="CF842" i="1"/>
  <c r="BL842" i="1"/>
  <c r="BD842" i="1"/>
  <c r="AZ842" i="1"/>
  <c r="AX842" i="1"/>
  <c r="DC740" i="1"/>
  <c r="DA740" i="1"/>
  <c r="CY740" i="1"/>
  <c r="Y740" i="1" s="1"/>
  <c r="CW740" i="1"/>
  <c r="AA740" i="1" s="1"/>
  <c r="CR740" i="1"/>
  <c r="CP740" i="1"/>
  <c r="CN740" i="1"/>
  <c r="CJ740" i="1"/>
  <c r="CH740" i="1"/>
  <c r="CF740" i="1"/>
  <c r="BL740" i="1"/>
  <c r="BD740" i="1"/>
  <c r="AZ740" i="1"/>
  <c r="AX740" i="1"/>
  <c r="DC780" i="1"/>
  <c r="DA780" i="1"/>
  <c r="CY780" i="1"/>
  <c r="Y780" i="1" s="1"/>
  <c r="CW780" i="1"/>
  <c r="AA780" i="1" s="1"/>
  <c r="CR780" i="1"/>
  <c r="CP780" i="1"/>
  <c r="CN780" i="1"/>
  <c r="CJ780" i="1"/>
  <c r="CH780" i="1"/>
  <c r="CF780" i="1"/>
  <c r="BL780" i="1"/>
  <c r="BD780" i="1"/>
  <c r="AZ780" i="1"/>
  <c r="AX780" i="1"/>
  <c r="DC966" i="1"/>
  <c r="DA966" i="1"/>
  <c r="CY966" i="1"/>
  <c r="Y966" i="1" s="1"/>
  <c r="CW966" i="1"/>
  <c r="AA966" i="1" s="1"/>
  <c r="CR966" i="1"/>
  <c r="CP966" i="1"/>
  <c r="CN966" i="1"/>
  <c r="CJ966" i="1"/>
  <c r="CH966" i="1"/>
  <c r="CF966" i="1"/>
  <c r="BL966" i="1"/>
  <c r="BD966" i="1"/>
  <c r="AZ966" i="1"/>
  <c r="AX966" i="1"/>
  <c r="DC739" i="1"/>
  <c r="DA739" i="1"/>
  <c r="CY739" i="1"/>
  <c r="Y739" i="1" s="1"/>
  <c r="CW739" i="1"/>
  <c r="AA739" i="1" s="1"/>
  <c r="CR739" i="1"/>
  <c r="CP739" i="1"/>
  <c r="CN739" i="1"/>
  <c r="CJ739" i="1"/>
  <c r="CH739" i="1"/>
  <c r="CF739" i="1"/>
  <c r="BL739" i="1"/>
  <c r="BD739" i="1"/>
  <c r="AZ739" i="1"/>
  <c r="AX739" i="1"/>
  <c r="DC732" i="1"/>
  <c r="DA732" i="1"/>
  <c r="CY732" i="1"/>
  <c r="Y732" i="1" s="1"/>
  <c r="CW732" i="1"/>
  <c r="AA732" i="1" s="1"/>
  <c r="CR732" i="1"/>
  <c r="CP732" i="1"/>
  <c r="CN732" i="1"/>
  <c r="CJ732" i="1"/>
  <c r="CH732" i="1"/>
  <c r="CF732" i="1"/>
  <c r="BL732" i="1"/>
  <c r="BD732" i="1"/>
  <c r="AZ732" i="1"/>
  <c r="AX732" i="1"/>
  <c r="DC956" i="1"/>
  <c r="DA956" i="1"/>
  <c r="CY956" i="1"/>
  <c r="Y956" i="1" s="1"/>
  <c r="CW956" i="1"/>
  <c r="AA956" i="1" s="1"/>
  <c r="CR956" i="1"/>
  <c r="CP956" i="1"/>
  <c r="CN956" i="1"/>
  <c r="CJ956" i="1"/>
  <c r="CH956" i="1"/>
  <c r="CF956" i="1"/>
  <c r="BL956" i="1"/>
  <c r="BD956" i="1"/>
  <c r="AZ956" i="1"/>
  <c r="AX956" i="1"/>
  <c r="DC942" i="1"/>
  <c r="DA942" i="1"/>
  <c r="CY942" i="1"/>
  <c r="Y942" i="1" s="1"/>
  <c r="CW942" i="1"/>
  <c r="AA942" i="1" s="1"/>
  <c r="CR942" i="1"/>
  <c r="CP942" i="1"/>
  <c r="CN942" i="1"/>
  <c r="CJ942" i="1"/>
  <c r="CH942" i="1"/>
  <c r="CF942" i="1"/>
  <c r="BL942" i="1"/>
  <c r="BD942" i="1"/>
  <c r="AZ942" i="1"/>
  <c r="AX942" i="1"/>
  <c r="DC929" i="1"/>
  <c r="DA929" i="1"/>
  <c r="CY929" i="1"/>
  <c r="Y929" i="1" s="1"/>
  <c r="CW929" i="1"/>
  <c r="AA929" i="1" s="1"/>
  <c r="CR929" i="1"/>
  <c r="CP929" i="1"/>
  <c r="CN929" i="1"/>
  <c r="CJ929" i="1"/>
  <c r="CH929" i="1"/>
  <c r="CF929" i="1"/>
  <c r="BL929" i="1"/>
  <c r="BD929" i="1"/>
  <c r="AZ929" i="1"/>
  <c r="AX929" i="1"/>
  <c r="DC941" i="1"/>
  <c r="DA941" i="1"/>
  <c r="CY941" i="1"/>
  <c r="Y941" i="1" s="1"/>
  <c r="CW941" i="1"/>
  <c r="AA941" i="1" s="1"/>
  <c r="CR941" i="1"/>
  <c r="CP941" i="1"/>
  <c r="CN941" i="1"/>
  <c r="CJ941" i="1"/>
  <c r="CH941" i="1"/>
  <c r="CF941" i="1"/>
  <c r="BL941" i="1"/>
  <c r="BD941" i="1"/>
  <c r="AZ941" i="1"/>
  <c r="AX941" i="1"/>
  <c r="DC918" i="1"/>
  <c r="DA918" i="1"/>
  <c r="CY918" i="1"/>
  <c r="Y918" i="1" s="1"/>
  <c r="CW918" i="1"/>
  <c r="AA918" i="1" s="1"/>
  <c r="CR918" i="1"/>
  <c r="CP918" i="1"/>
  <c r="CN918" i="1"/>
  <c r="CJ918" i="1"/>
  <c r="CH918" i="1"/>
  <c r="CF918" i="1"/>
  <c r="BL918" i="1"/>
  <c r="BD918" i="1"/>
  <c r="AZ918" i="1"/>
  <c r="AX918" i="1"/>
  <c r="DC867" i="1"/>
  <c r="DA867" i="1"/>
  <c r="CY867" i="1"/>
  <c r="Y867" i="1" s="1"/>
  <c r="CW867" i="1"/>
  <c r="AA867" i="1" s="1"/>
  <c r="CR867" i="1"/>
  <c r="CP867" i="1"/>
  <c r="CN867" i="1"/>
  <c r="CJ867" i="1"/>
  <c r="CH867" i="1"/>
  <c r="CF867" i="1"/>
  <c r="BL867" i="1"/>
  <c r="BD867" i="1"/>
  <c r="AZ867" i="1"/>
  <c r="AX867" i="1"/>
  <c r="DC848" i="1"/>
  <c r="DA848" i="1"/>
  <c r="CY848" i="1"/>
  <c r="Y848" i="1" s="1"/>
  <c r="CW848" i="1"/>
  <c r="AA848" i="1" s="1"/>
  <c r="CR848" i="1"/>
  <c r="CP848" i="1"/>
  <c r="CN848" i="1"/>
  <c r="CJ848" i="1"/>
  <c r="CH848" i="1"/>
  <c r="CF848" i="1"/>
  <c r="BL848" i="1"/>
  <c r="BD848" i="1"/>
  <c r="AZ848" i="1"/>
  <c r="AX848" i="1"/>
  <c r="DC847" i="1"/>
  <c r="DA847" i="1"/>
  <c r="CY847" i="1"/>
  <c r="Y847" i="1" s="1"/>
  <c r="CW847" i="1"/>
  <c r="AA847" i="1" s="1"/>
  <c r="CR847" i="1"/>
  <c r="CP847" i="1"/>
  <c r="CN847" i="1"/>
  <c r="CJ847" i="1"/>
  <c r="CH847" i="1"/>
  <c r="CF847" i="1"/>
  <c r="BL847" i="1"/>
  <c r="BD847" i="1"/>
  <c r="AZ847" i="1"/>
  <c r="AX847" i="1"/>
  <c r="DC846" i="1"/>
  <c r="DA846" i="1"/>
  <c r="CY846" i="1"/>
  <c r="Y846" i="1" s="1"/>
  <c r="CW846" i="1"/>
  <c r="AA846" i="1" s="1"/>
  <c r="CR846" i="1"/>
  <c r="CP846" i="1"/>
  <c r="CN846" i="1"/>
  <c r="CJ846" i="1"/>
  <c r="CH846" i="1"/>
  <c r="CF846" i="1"/>
  <c r="BL846" i="1"/>
  <c r="BD846" i="1"/>
  <c r="AZ846" i="1"/>
  <c r="AX846" i="1"/>
  <c r="DC845" i="1"/>
  <c r="DA845" i="1"/>
  <c r="CY845" i="1"/>
  <c r="Y845" i="1" s="1"/>
  <c r="CW845" i="1"/>
  <c r="AA845" i="1" s="1"/>
  <c r="CR845" i="1"/>
  <c r="CP845" i="1"/>
  <c r="CN845" i="1"/>
  <c r="CJ845" i="1"/>
  <c r="CH845" i="1"/>
  <c r="CF845" i="1"/>
  <c r="BL845" i="1"/>
  <c r="BD845" i="1"/>
  <c r="AZ845" i="1"/>
  <c r="AX845" i="1"/>
  <c r="DC844" i="1"/>
  <c r="DA844" i="1"/>
  <c r="CY844" i="1"/>
  <c r="Y844" i="1" s="1"/>
  <c r="CW844" i="1"/>
  <c r="AA844" i="1" s="1"/>
  <c r="CR844" i="1"/>
  <c r="CP844" i="1"/>
  <c r="CN844" i="1"/>
  <c r="CJ844" i="1"/>
  <c r="CH844" i="1"/>
  <c r="CF844" i="1"/>
  <c r="BL844" i="1"/>
  <c r="BD844" i="1"/>
  <c r="AZ844" i="1"/>
  <c r="AX844" i="1"/>
  <c r="DC843" i="1"/>
  <c r="DA843" i="1"/>
  <c r="CY843" i="1"/>
  <c r="Y843" i="1" s="1"/>
  <c r="CW843" i="1"/>
  <c r="AA843" i="1" s="1"/>
  <c r="CR843" i="1"/>
  <c r="CP843" i="1"/>
  <c r="CN843" i="1"/>
  <c r="CJ843" i="1"/>
  <c r="CH843" i="1"/>
  <c r="CF843" i="1"/>
  <c r="BL843" i="1"/>
  <c r="BD843" i="1"/>
  <c r="AZ843" i="1"/>
  <c r="AX843" i="1"/>
  <c r="DC829" i="1"/>
  <c r="DA829" i="1"/>
  <c r="CY829" i="1"/>
  <c r="Y829" i="1" s="1"/>
  <c r="CW829" i="1"/>
  <c r="AA829" i="1" s="1"/>
  <c r="CR829" i="1"/>
  <c r="CP829" i="1"/>
  <c r="CN829" i="1"/>
  <c r="CJ829" i="1"/>
  <c r="CH829" i="1"/>
  <c r="CF829" i="1"/>
  <c r="BL829" i="1"/>
  <c r="BD829" i="1"/>
  <c r="AZ829" i="1"/>
  <c r="AX829" i="1"/>
  <c r="DC828" i="1"/>
  <c r="DA828" i="1"/>
  <c r="CY828" i="1"/>
  <c r="Y828" i="1" s="1"/>
  <c r="CW828" i="1"/>
  <c r="AA828" i="1" s="1"/>
  <c r="CR828" i="1"/>
  <c r="CP828" i="1"/>
  <c r="CN828" i="1"/>
  <c r="CJ828" i="1"/>
  <c r="CH828" i="1"/>
  <c r="CF828" i="1"/>
  <c r="BL828" i="1"/>
  <c r="BD828" i="1"/>
  <c r="AZ828" i="1"/>
  <c r="AX828" i="1"/>
  <c r="DC827" i="1"/>
  <c r="DA827" i="1"/>
  <c r="CY827" i="1"/>
  <c r="Y827" i="1" s="1"/>
  <c r="CW827" i="1"/>
  <c r="AA827" i="1" s="1"/>
  <c r="CR827" i="1"/>
  <c r="CP827" i="1"/>
  <c r="CN827" i="1"/>
  <c r="CJ827" i="1"/>
  <c r="CH827" i="1"/>
  <c r="CF827" i="1"/>
  <c r="BL827" i="1"/>
  <c r="BD827" i="1"/>
  <c r="AZ827" i="1"/>
  <c r="AX827" i="1"/>
  <c r="DC826" i="1"/>
  <c r="DA826" i="1"/>
  <c r="CY826" i="1"/>
  <c r="Y826" i="1" s="1"/>
  <c r="CW826" i="1"/>
  <c r="AA826" i="1" s="1"/>
  <c r="CR826" i="1"/>
  <c r="CP826" i="1"/>
  <c r="CN826" i="1"/>
  <c r="CJ826" i="1"/>
  <c r="CH826" i="1"/>
  <c r="CF826" i="1"/>
  <c r="BL826" i="1"/>
  <c r="BD826" i="1"/>
  <c r="AZ826" i="1"/>
  <c r="AX826" i="1"/>
  <c r="DC825" i="1"/>
  <c r="DA825" i="1"/>
  <c r="CY825" i="1"/>
  <c r="Y825" i="1" s="1"/>
  <c r="CW825" i="1"/>
  <c r="AA825" i="1" s="1"/>
  <c r="CR825" i="1"/>
  <c r="CP825" i="1"/>
  <c r="CN825" i="1"/>
  <c r="CJ825" i="1"/>
  <c r="CH825" i="1"/>
  <c r="CF825" i="1"/>
  <c r="BL825" i="1"/>
  <c r="BD825" i="1"/>
  <c r="AZ825" i="1"/>
  <c r="AX825" i="1"/>
  <c r="DC824" i="1"/>
  <c r="DA824" i="1"/>
  <c r="CY824" i="1"/>
  <c r="Y824" i="1" s="1"/>
  <c r="CW824" i="1"/>
  <c r="AA824" i="1" s="1"/>
  <c r="CR824" i="1"/>
  <c r="CP824" i="1"/>
  <c r="CN824" i="1"/>
  <c r="CJ824" i="1"/>
  <c r="CH824" i="1"/>
  <c r="CF824" i="1"/>
  <c r="BL824" i="1"/>
  <c r="BD824" i="1"/>
  <c r="AZ824" i="1"/>
  <c r="AX824" i="1"/>
  <c r="DC799" i="1"/>
  <c r="DA799" i="1"/>
  <c r="CY799" i="1"/>
  <c r="Y799" i="1" s="1"/>
  <c r="CW799" i="1"/>
  <c r="AA799" i="1" s="1"/>
  <c r="CR799" i="1"/>
  <c r="CP799" i="1"/>
  <c r="CN799" i="1"/>
  <c r="CJ799" i="1"/>
  <c r="CH799" i="1"/>
  <c r="CF799" i="1"/>
  <c r="BL799" i="1"/>
  <c r="BD799" i="1"/>
  <c r="AZ799" i="1"/>
  <c r="AX799" i="1"/>
  <c r="DC782" i="1"/>
  <c r="DA782" i="1"/>
  <c r="CY782" i="1"/>
  <c r="Y782" i="1" s="1"/>
  <c r="CW782" i="1"/>
  <c r="AA782" i="1" s="1"/>
  <c r="CR782" i="1"/>
  <c r="CP782" i="1"/>
  <c r="CN782" i="1"/>
  <c r="CJ782" i="1"/>
  <c r="CH782" i="1"/>
  <c r="CF782" i="1"/>
  <c r="BL782" i="1"/>
  <c r="BD782" i="1"/>
  <c r="AZ782" i="1"/>
  <c r="AX782" i="1"/>
  <c r="DC744" i="1"/>
  <c r="DA744" i="1"/>
  <c r="CY744" i="1"/>
  <c r="Y744" i="1" s="1"/>
  <c r="CW744" i="1"/>
  <c r="AA744" i="1" s="1"/>
  <c r="CR744" i="1"/>
  <c r="CP744" i="1"/>
  <c r="CN744" i="1"/>
  <c r="CJ744" i="1"/>
  <c r="CH744" i="1"/>
  <c r="CF744" i="1"/>
  <c r="BL744" i="1"/>
  <c r="BD744" i="1"/>
  <c r="AZ744" i="1"/>
  <c r="AX744" i="1"/>
  <c r="DC743" i="1"/>
  <c r="DA743" i="1"/>
  <c r="CY743" i="1"/>
  <c r="Y743" i="1" s="1"/>
  <c r="CW743" i="1"/>
  <c r="AA743" i="1" s="1"/>
  <c r="CR743" i="1"/>
  <c r="CP743" i="1"/>
  <c r="CN743" i="1"/>
  <c r="CJ743" i="1"/>
  <c r="CH743" i="1"/>
  <c r="CF743" i="1"/>
  <c r="BL743" i="1"/>
  <c r="BD743" i="1"/>
  <c r="AZ743" i="1"/>
  <c r="AX743" i="1"/>
  <c r="DC637" i="1"/>
  <c r="DA637" i="1"/>
  <c r="CY637" i="1"/>
  <c r="Y637" i="1" s="1"/>
  <c r="CW637" i="1"/>
  <c r="AA637" i="1" s="1"/>
  <c r="CR637" i="1"/>
  <c r="CP637" i="1"/>
  <c r="CN637" i="1"/>
  <c r="CJ637" i="1"/>
  <c r="CH637" i="1"/>
  <c r="CF637" i="1"/>
  <c r="BL637" i="1"/>
  <c r="BD637" i="1"/>
  <c r="AZ637" i="1"/>
  <c r="AX637" i="1"/>
  <c r="DC615" i="1"/>
  <c r="DA615" i="1"/>
  <c r="CY615" i="1"/>
  <c r="Y615" i="1" s="1"/>
  <c r="CW615" i="1"/>
  <c r="AA615" i="1" s="1"/>
  <c r="CR615" i="1"/>
  <c r="CP615" i="1"/>
  <c r="CN615" i="1"/>
  <c r="CJ615" i="1"/>
  <c r="CH615" i="1"/>
  <c r="CF615" i="1"/>
  <c r="BL615" i="1"/>
  <c r="BD615" i="1"/>
  <c r="AZ615" i="1"/>
  <c r="AX615" i="1"/>
  <c r="DC614" i="1"/>
  <c r="DA614" i="1"/>
  <c r="CY614" i="1"/>
  <c r="Y614" i="1" s="1"/>
  <c r="CW614" i="1"/>
  <c r="AA614" i="1" s="1"/>
  <c r="CR614" i="1"/>
  <c r="CP614" i="1"/>
  <c r="CN614" i="1"/>
  <c r="CJ614" i="1"/>
  <c r="CH614" i="1"/>
  <c r="CF614" i="1"/>
  <c r="BL614" i="1"/>
  <c r="BD614" i="1"/>
  <c r="AZ614" i="1"/>
  <c r="AX614" i="1"/>
  <c r="DC613" i="1"/>
  <c r="DA613" i="1"/>
  <c r="CY613" i="1"/>
  <c r="Y613" i="1" s="1"/>
  <c r="CW613" i="1"/>
  <c r="AA613" i="1" s="1"/>
  <c r="CR613" i="1"/>
  <c r="CP613" i="1"/>
  <c r="CN613" i="1"/>
  <c r="CJ613" i="1"/>
  <c r="CH613" i="1"/>
  <c r="CF613" i="1"/>
  <c r="BL613" i="1"/>
  <c r="BD613" i="1"/>
  <c r="AZ613" i="1"/>
  <c r="AX613" i="1"/>
  <c r="DC590" i="1"/>
  <c r="DA590" i="1"/>
  <c r="CY590" i="1"/>
  <c r="Y590" i="1" s="1"/>
  <c r="CW590" i="1"/>
  <c r="AA590" i="1" s="1"/>
  <c r="CR590" i="1"/>
  <c r="CP590" i="1"/>
  <c r="CN590" i="1"/>
  <c r="CJ590" i="1"/>
  <c r="CH590" i="1"/>
  <c r="CF590" i="1"/>
  <c r="BL590" i="1"/>
  <c r="BD590" i="1"/>
  <c r="AZ590" i="1"/>
  <c r="AX590" i="1"/>
  <c r="DC589" i="1"/>
  <c r="DA589" i="1"/>
  <c r="CY589" i="1"/>
  <c r="Y589" i="1" s="1"/>
  <c r="CW589" i="1"/>
  <c r="AA589" i="1" s="1"/>
  <c r="CR589" i="1"/>
  <c r="CP589" i="1"/>
  <c r="CN589" i="1"/>
  <c r="CJ589" i="1"/>
  <c r="CH589" i="1"/>
  <c r="CF589" i="1"/>
  <c r="BL589" i="1"/>
  <c r="BD589" i="1"/>
  <c r="AZ589" i="1"/>
  <c r="AX589" i="1"/>
  <c r="DC588" i="1"/>
  <c r="DA588" i="1"/>
  <c r="CY588" i="1"/>
  <c r="Y588" i="1" s="1"/>
  <c r="CW588" i="1"/>
  <c r="AA588" i="1" s="1"/>
  <c r="CR588" i="1"/>
  <c r="CP588" i="1"/>
  <c r="CN588" i="1"/>
  <c r="CJ588" i="1"/>
  <c r="CH588" i="1"/>
  <c r="CF588" i="1"/>
  <c r="BL588" i="1"/>
  <c r="BD588" i="1"/>
  <c r="AZ588" i="1"/>
  <c r="AX588" i="1"/>
  <c r="DC548" i="1"/>
  <c r="DA548" i="1"/>
  <c r="CY548" i="1"/>
  <c r="Y548" i="1" s="1"/>
  <c r="CW548" i="1"/>
  <c r="AA548" i="1" s="1"/>
  <c r="CR548" i="1"/>
  <c r="CP548" i="1"/>
  <c r="CN548" i="1"/>
  <c r="CJ548" i="1"/>
  <c r="CH548" i="1"/>
  <c r="CF548" i="1"/>
  <c r="BL548" i="1"/>
  <c r="BD548" i="1"/>
  <c r="AZ548" i="1"/>
  <c r="AX548" i="1"/>
  <c r="DC547" i="1"/>
  <c r="DA547" i="1"/>
  <c r="CY547" i="1"/>
  <c r="Y547" i="1" s="1"/>
  <c r="CW547" i="1"/>
  <c r="AA547" i="1" s="1"/>
  <c r="CR547" i="1"/>
  <c r="CP547" i="1"/>
  <c r="CN547" i="1"/>
  <c r="CJ547" i="1"/>
  <c r="CH547" i="1"/>
  <c r="CF547" i="1"/>
  <c r="BL547" i="1"/>
  <c r="BD547" i="1"/>
  <c r="AZ547" i="1"/>
  <c r="AX547" i="1"/>
  <c r="DC522" i="1"/>
  <c r="DA522" i="1"/>
  <c r="CY522" i="1"/>
  <c r="Y522" i="1" s="1"/>
  <c r="CW522" i="1"/>
  <c r="AA522" i="1" s="1"/>
  <c r="CR522" i="1"/>
  <c r="CP522" i="1"/>
  <c r="CN522" i="1"/>
  <c r="CJ522" i="1"/>
  <c r="CH522" i="1"/>
  <c r="CF522" i="1"/>
  <c r="BL522" i="1"/>
  <c r="BD522" i="1"/>
  <c r="AZ522" i="1"/>
  <c r="AX522" i="1"/>
  <c r="DC521" i="1"/>
  <c r="DA521" i="1"/>
  <c r="CY521" i="1"/>
  <c r="Y521" i="1" s="1"/>
  <c r="CW521" i="1"/>
  <c r="AA521" i="1" s="1"/>
  <c r="CR521" i="1"/>
  <c r="CP521" i="1"/>
  <c r="CN521" i="1"/>
  <c r="CJ521" i="1"/>
  <c r="CH521" i="1"/>
  <c r="CF521" i="1"/>
  <c r="BL521" i="1"/>
  <c r="BD521" i="1"/>
  <c r="AZ521" i="1"/>
  <c r="AX521" i="1"/>
  <c r="DC503" i="1"/>
  <c r="DA503" i="1"/>
  <c r="CY503" i="1"/>
  <c r="Y503" i="1" s="1"/>
  <c r="CW503" i="1"/>
  <c r="AA503" i="1" s="1"/>
  <c r="CR503" i="1"/>
  <c r="CP503" i="1"/>
  <c r="CN503" i="1"/>
  <c r="CJ503" i="1"/>
  <c r="CH503" i="1"/>
  <c r="CF503" i="1"/>
  <c r="BL503" i="1"/>
  <c r="BD503" i="1"/>
  <c r="AZ503" i="1"/>
  <c r="AX503" i="1"/>
  <c r="DC502" i="1"/>
  <c r="DA502" i="1"/>
  <c r="CY502" i="1"/>
  <c r="Y502" i="1" s="1"/>
  <c r="CW502" i="1"/>
  <c r="AA502" i="1" s="1"/>
  <c r="CR502" i="1"/>
  <c r="CP502" i="1"/>
  <c r="CN502" i="1"/>
  <c r="CJ502" i="1"/>
  <c r="CH502" i="1"/>
  <c r="CF502" i="1"/>
  <c r="BL502" i="1"/>
  <c r="BD502" i="1"/>
  <c r="AZ502" i="1"/>
  <c r="AX502" i="1"/>
  <c r="Z536" i="1" l="1"/>
  <c r="Z636" i="1"/>
  <c r="Z741" i="1"/>
  <c r="Z739" i="1"/>
  <c r="Z842" i="1"/>
  <c r="Z732" i="1"/>
  <c r="Z966" i="1"/>
  <c r="Z733" i="1"/>
  <c r="Z822" i="1"/>
  <c r="Z1050" i="1"/>
  <c r="Z740" i="1"/>
  <c r="Z1078" i="1"/>
  <c r="Z561" i="1"/>
  <c r="Z780" i="1"/>
  <c r="Z821" i="1"/>
  <c r="Z742" i="1"/>
  <c r="CU732" i="1"/>
  <c r="X732" i="1" s="1"/>
  <c r="CU740" i="1"/>
  <c r="X740" i="1" s="1"/>
  <c r="CU636" i="1"/>
  <c r="X636" i="1" s="1"/>
  <c r="CU1050" i="1"/>
  <c r="X1050" i="1" s="1"/>
  <c r="CU966" i="1"/>
  <c r="X966" i="1" s="1"/>
  <c r="CU536" i="1"/>
  <c r="X536" i="1" s="1"/>
  <c r="Z547" i="1"/>
  <c r="CU941" i="1"/>
  <c r="X941" i="1" s="1"/>
  <c r="Z827" i="1"/>
  <c r="Z929" i="1"/>
  <c r="Z848" i="1"/>
  <c r="Z941" i="1"/>
  <c r="Z844" i="1"/>
  <c r="Z956" i="1"/>
  <c r="CU521" i="1"/>
  <c r="X521" i="1" s="1"/>
  <c r="Z521" i="1"/>
  <c r="CU588" i="1"/>
  <c r="X588" i="1" s="1"/>
  <c r="Z588" i="1"/>
  <c r="CU614" i="1"/>
  <c r="X614" i="1" s="1"/>
  <c r="Z614" i="1"/>
  <c r="CU744" i="1"/>
  <c r="X744" i="1" s="1"/>
  <c r="Z744" i="1"/>
  <c r="CU825" i="1"/>
  <c r="X825" i="1" s="1"/>
  <c r="Z825" i="1"/>
  <c r="CU829" i="1"/>
  <c r="X829" i="1" s="1"/>
  <c r="Z829" i="1"/>
  <c r="Z847" i="1"/>
  <c r="Z918" i="1"/>
  <c r="Z503" i="1"/>
  <c r="Z548" i="1"/>
  <c r="Z613" i="1"/>
  <c r="Z743" i="1"/>
  <c r="Z824" i="1"/>
  <c r="Z828" i="1"/>
  <c r="Z845" i="1"/>
  <c r="Z867" i="1"/>
  <c r="Z846" i="1"/>
  <c r="Z942" i="1"/>
  <c r="CU548" i="1"/>
  <c r="X548" i="1" s="1"/>
  <c r="CU613" i="1"/>
  <c r="X613" i="1" s="1"/>
  <c r="CU828" i="1"/>
  <c r="X828" i="1" s="1"/>
  <c r="CU502" i="1"/>
  <c r="X502" i="1" s="1"/>
  <c r="Z502" i="1"/>
  <c r="CU547" i="1"/>
  <c r="X547" i="1" s="1"/>
  <c r="CU590" i="1"/>
  <c r="X590" i="1" s="1"/>
  <c r="Z590" i="1"/>
  <c r="CU637" i="1"/>
  <c r="X637" i="1" s="1"/>
  <c r="Z637" i="1"/>
  <c r="CU799" i="1"/>
  <c r="X799" i="1" s="1"/>
  <c r="Z799" i="1"/>
  <c r="CU827" i="1"/>
  <c r="X827" i="1" s="1"/>
  <c r="CU867" i="1"/>
  <c r="X867" i="1" s="1"/>
  <c r="CU942" i="1"/>
  <c r="X942" i="1" s="1"/>
  <c r="CU503" i="1"/>
  <c r="X503" i="1" s="1"/>
  <c r="CU824" i="1"/>
  <c r="X824" i="1" s="1"/>
  <c r="CU847" i="1"/>
  <c r="X847" i="1" s="1"/>
  <c r="CU522" i="1"/>
  <c r="X522" i="1" s="1"/>
  <c r="Z522" i="1"/>
  <c r="CU589" i="1"/>
  <c r="X589" i="1" s="1"/>
  <c r="Z589" i="1"/>
  <c r="CU615" i="1"/>
  <c r="X615" i="1" s="1"/>
  <c r="Z615" i="1"/>
  <c r="CU782" i="1"/>
  <c r="X782" i="1" s="1"/>
  <c r="Z782" i="1"/>
  <c r="CU826" i="1"/>
  <c r="X826" i="1" s="1"/>
  <c r="Z826" i="1"/>
  <c r="Z843" i="1"/>
  <c r="CU743" i="1"/>
  <c r="X743" i="1" s="1"/>
  <c r="CU843" i="1"/>
  <c r="X843" i="1" s="1"/>
  <c r="CU844" i="1"/>
  <c r="X844" i="1" s="1"/>
  <c r="CU845" i="1"/>
  <c r="X845" i="1" s="1"/>
  <c r="CU846" i="1"/>
  <c r="X846" i="1" s="1"/>
  <c r="CU848" i="1"/>
  <c r="X848" i="1" s="1"/>
  <c r="CU918" i="1"/>
  <c r="X918" i="1" s="1"/>
  <c r="CU929" i="1"/>
  <c r="X929" i="1" s="1"/>
  <c r="CU956" i="1"/>
  <c r="X956" i="1" s="1"/>
  <c r="CU739" i="1"/>
  <c r="X739" i="1" s="1"/>
  <c r="CU780" i="1"/>
  <c r="X780" i="1" s="1"/>
  <c r="CU842" i="1"/>
  <c r="X842" i="1" s="1"/>
  <c r="CU561" i="1"/>
  <c r="X561" i="1" s="1"/>
  <c r="CU821" i="1"/>
  <c r="X821" i="1" s="1"/>
  <c r="CU741" i="1"/>
  <c r="X741" i="1" s="1"/>
  <c r="CU1078" i="1"/>
  <c r="X1078" i="1" s="1"/>
  <c r="CU742" i="1"/>
  <c r="X742" i="1" s="1"/>
  <c r="CU733" i="1"/>
  <c r="X733" i="1" s="1"/>
  <c r="CU822" i="1"/>
  <c r="X822" i="1" s="1"/>
  <c r="DC535" i="1"/>
  <c r="DA535" i="1"/>
  <c r="CY535" i="1"/>
  <c r="Y535" i="1" s="1"/>
  <c r="CW535" i="1"/>
  <c r="AA535" i="1" s="1"/>
  <c r="CR535" i="1"/>
  <c r="CP535" i="1"/>
  <c r="CN535" i="1"/>
  <c r="CJ535" i="1"/>
  <c r="CH535" i="1"/>
  <c r="CF535" i="1"/>
  <c r="BL535" i="1"/>
  <c r="BD535" i="1"/>
  <c r="AZ535" i="1"/>
  <c r="AX535" i="1"/>
  <c r="DC891" i="1"/>
  <c r="DA891" i="1"/>
  <c r="CY891" i="1"/>
  <c r="Y891" i="1" s="1"/>
  <c r="CW891" i="1"/>
  <c r="AA891" i="1" s="1"/>
  <c r="CR891" i="1"/>
  <c r="CP891" i="1"/>
  <c r="CN891" i="1"/>
  <c r="CJ891" i="1"/>
  <c r="CH891" i="1"/>
  <c r="CF891" i="1"/>
  <c r="BL891" i="1"/>
  <c r="BD891" i="1"/>
  <c r="AZ891" i="1"/>
  <c r="AX891" i="1"/>
  <c r="DC779" i="1"/>
  <c r="DA779" i="1"/>
  <c r="CY779" i="1"/>
  <c r="Y779" i="1" s="1"/>
  <c r="CW779" i="1"/>
  <c r="AA779" i="1" s="1"/>
  <c r="CR779" i="1"/>
  <c r="CP779" i="1"/>
  <c r="CN779" i="1"/>
  <c r="CJ779" i="1"/>
  <c r="CH779" i="1"/>
  <c r="CF779" i="1"/>
  <c r="BL779" i="1"/>
  <c r="BD779" i="1"/>
  <c r="AZ779" i="1"/>
  <c r="AX779" i="1"/>
  <c r="DC778" i="1"/>
  <c r="DA778" i="1"/>
  <c r="CY778" i="1"/>
  <c r="Y778" i="1" s="1"/>
  <c r="CW778" i="1"/>
  <c r="AA778" i="1" s="1"/>
  <c r="CR778" i="1"/>
  <c r="CP778" i="1"/>
  <c r="CN778" i="1"/>
  <c r="CJ778" i="1"/>
  <c r="CH778" i="1"/>
  <c r="CF778" i="1"/>
  <c r="BL778" i="1"/>
  <c r="BD778" i="1"/>
  <c r="AZ778" i="1"/>
  <c r="AX778" i="1"/>
  <c r="DC798" i="1"/>
  <c r="DA798" i="1"/>
  <c r="CY798" i="1"/>
  <c r="Y798" i="1" s="1"/>
  <c r="CW798" i="1"/>
  <c r="AA798" i="1" s="1"/>
  <c r="CR798" i="1"/>
  <c r="CP798" i="1"/>
  <c r="CN798" i="1"/>
  <c r="CJ798" i="1"/>
  <c r="CH798" i="1"/>
  <c r="CF798" i="1"/>
  <c r="BL798" i="1"/>
  <c r="BD798" i="1"/>
  <c r="AZ798" i="1"/>
  <c r="AX798" i="1"/>
  <c r="DC777" i="1"/>
  <c r="DA777" i="1"/>
  <c r="CY777" i="1"/>
  <c r="Y777" i="1" s="1"/>
  <c r="CW777" i="1"/>
  <c r="AA777" i="1" s="1"/>
  <c r="CR777" i="1"/>
  <c r="CP777" i="1"/>
  <c r="CN777" i="1"/>
  <c r="CJ777" i="1"/>
  <c r="CH777" i="1"/>
  <c r="CF777" i="1"/>
  <c r="BL777" i="1"/>
  <c r="BD777" i="1"/>
  <c r="AZ777" i="1"/>
  <c r="AX777" i="1"/>
  <c r="DC587" i="1"/>
  <c r="DA587" i="1"/>
  <c r="CY587" i="1"/>
  <c r="Y587" i="1" s="1"/>
  <c r="CW587" i="1"/>
  <c r="AA587" i="1" s="1"/>
  <c r="CR587" i="1"/>
  <c r="CP587" i="1"/>
  <c r="CN587" i="1"/>
  <c r="CJ587" i="1"/>
  <c r="CH587" i="1"/>
  <c r="CF587" i="1"/>
  <c r="BL587" i="1"/>
  <c r="BD587" i="1"/>
  <c r="AZ587" i="1"/>
  <c r="AX587" i="1"/>
  <c r="DC520" i="1"/>
  <c r="DA520" i="1"/>
  <c r="CY520" i="1"/>
  <c r="Y520" i="1" s="1"/>
  <c r="CW520" i="1"/>
  <c r="AA520" i="1" s="1"/>
  <c r="CR520" i="1"/>
  <c r="CP520" i="1"/>
  <c r="CN520" i="1"/>
  <c r="CJ520" i="1"/>
  <c r="CH520" i="1"/>
  <c r="CF520" i="1"/>
  <c r="BL520" i="1"/>
  <c r="BD520" i="1"/>
  <c r="AZ520" i="1"/>
  <c r="AX520" i="1"/>
  <c r="DC819" i="1"/>
  <c r="DA819" i="1"/>
  <c r="CY819" i="1"/>
  <c r="Y819" i="1" s="1"/>
  <c r="CW819" i="1"/>
  <c r="AA819" i="1" s="1"/>
  <c r="CR819" i="1"/>
  <c r="CP819" i="1"/>
  <c r="CN819" i="1"/>
  <c r="CJ819" i="1"/>
  <c r="CH819" i="1"/>
  <c r="CF819" i="1"/>
  <c r="BL819" i="1"/>
  <c r="BD819" i="1"/>
  <c r="AZ819" i="1"/>
  <c r="AX819" i="1"/>
  <c r="DC731" i="1"/>
  <c r="DA731" i="1"/>
  <c r="CY731" i="1"/>
  <c r="Y731" i="1" s="1"/>
  <c r="CW731" i="1"/>
  <c r="AA731" i="1" s="1"/>
  <c r="CR731" i="1"/>
  <c r="CP731" i="1"/>
  <c r="CN731" i="1"/>
  <c r="CJ731" i="1"/>
  <c r="CH731" i="1"/>
  <c r="CF731" i="1"/>
  <c r="BL731" i="1"/>
  <c r="BD731" i="1"/>
  <c r="AZ731" i="1"/>
  <c r="AX731" i="1"/>
  <c r="DC738" i="1"/>
  <c r="DA738" i="1"/>
  <c r="CY738" i="1"/>
  <c r="Y738" i="1" s="1"/>
  <c r="CW738" i="1"/>
  <c r="AA738" i="1" s="1"/>
  <c r="CR738" i="1"/>
  <c r="CP738" i="1"/>
  <c r="CN738" i="1"/>
  <c r="CJ738" i="1"/>
  <c r="CH738" i="1"/>
  <c r="CF738" i="1"/>
  <c r="BL738" i="1"/>
  <c r="BD738" i="1"/>
  <c r="AZ738" i="1"/>
  <c r="AX738" i="1"/>
  <c r="DC546" i="1"/>
  <c r="DA546" i="1"/>
  <c r="CY546" i="1"/>
  <c r="Y546" i="1" s="1"/>
  <c r="CW546" i="1"/>
  <c r="AA546" i="1" s="1"/>
  <c r="CR546" i="1"/>
  <c r="CP546" i="1"/>
  <c r="CN546" i="1"/>
  <c r="CJ546" i="1"/>
  <c r="CH546" i="1"/>
  <c r="CF546" i="1"/>
  <c r="BL546" i="1"/>
  <c r="BD546" i="1"/>
  <c r="AZ546" i="1"/>
  <c r="AX546" i="1"/>
  <c r="DC1035" i="1"/>
  <c r="DA1035" i="1"/>
  <c r="CY1035" i="1"/>
  <c r="Y1035" i="1" s="1"/>
  <c r="CW1035" i="1"/>
  <c r="AA1035" i="1" s="1"/>
  <c r="CR1035" i="1"/>
  <c r="CP1035" i="1"/>
  <c r="CN1035" i="1"/>
  <c r="CJ1035" i="1"/>
  <c r="CH1035" i="1"/>
  <c r="CF1035" i="1"/>
  <c r="BL1035" i="1"/>
  <c r="BD1035" i="1"/>
  <c r="AZ1035" i="1"/>
  <c r="AX1035" i="1"/>
  <c r="DC1037" i="1"/>
  <c r="DA1037" i="1"/>
  <c r="CY1037" i="1"/>
  <c r="Y1037" i="1" s="1"/>
  <c r="CW1037" i="1"/>
  <c r="AA1037" i="1" s="1"/>
  <c r="CR1037" i="1"/>
  <c r="CP1037" i="1"/>
  <c r="CN1037" i="1"/>
  <c r="CJ1037" i="1"/>
  <c r="CH1037" i="1"/>
  <c r="CF1037" i="1"/>
  <c r="BL1037" i="1"/>
  <c r="BD1037" i="1"/>
  <c r="AZ1037" i="1"/>
  <c r="AX1037" i="1"/>
  <c r="DC1038" i="1"/>
  <c r="DA1038" i="1"/>
  <c r="CY1038" i="1"/>
  <c r="Y1038" i="1" s="1"/>
  <c r="CW1038" i="1"/>
  <c r="AA1038" i="1" s="1"/>
  <c r="CR1038" i="1"/>
  <c r="CP1038" i="1"/>
  <c r="CN1038" i="1"/>
  <c r="CJ1038" i="1"/>
  <c r="CH1038" i="1"/>
  <c r="CF1038" i="1"/>
  <c r="BL1038" i="1"/>
  <c r="BD1038" i="1"/>
  <c r="AZ1038" i="1"/>
  <c r="AX1038" i="1"/>
  <c r="DC1031" i="1"/>
  <c r="DA1031" i="1"/>
  <c r="CY1031" i="1"/>
  <c r="Y1031" i="1" s="1"/>
  <c r="CW1031" i="1"/>
  <c r="AA1031" i="1" s="1"/>
  <c r="CR1031" i="1"/>
  <c r="CP1031" i="1"/>
  <c r="CN1031" i="1"/>
  <c r="CJ1031" i="1"/>
  <c r="CH1031" i="1"/>
  <c r="CF1031" i="1"/>
  <c r="BL1031" i="1"/>
  <c r="BD1031" i="1"/>
  <c r="AZ1031" i="1"/>
  <c r="AX1031" i="1"/>
  <c r="DC1036" i="1"/>
  <c r="DA1036" i="1"/>
  <c r="CY1036" i="1"/>
  <c r="Y1036" i="1" s="1"/>
  <c r="CW1036" i="1"/>
  <c r="AA1036" i="1" s="1"/>
  <c r="CR1036" i="1"/>
  <c r="CP1036" i="1"/>
  <c r="CN1036" i="1"/>
  <c r="CJ1036" i="1"/>
  <c r="CH1036" i="1"/>
  <c r="CF1036" i="1"/>
  <c r="BL1036" i="1"/>
  <c r="BD1036" i="1"/>
  <c r="AZ1036" i="1"/>
  <c r="AX1036" i="1"/>
  <c r="DC1029" i="1"/>
  <c r="DA1029" i="1"/>
  <c r="CY1029" i="1"/>
  <c r="Y1029" i="1" s="1"/>
  <c r="CW1029" i="1"/>
  <c r="AA1029" i="1" s="1"/>
  <c r="CR1029" i="1"/>
  <c r="CP1029" i="1"/>
  <c r="CN1029" i="1"/>
  <c r="CJ1029" i="1"/>
  <c r="CH1029" i="1"/>
  <c r="CF1029" i="1"/>
  <c r="BL1029" i="1"/>
  <c r="BD1029" i="1"/>
  <c r="AZ1029" i="1"/>
  <c r="AX1029" i="1"/>
  <c r="DC1030" i="1"/>
  <c r="DA1030" i="1"/>
  <c r="CY1030" i="1"/>
  <c r="Y1030" i="1" s="1"/>
  <c r="CW1030" i="1"/>
  <c r="AA1030" i="1" s="1"/>
  <c r="CR1030" i="1"/>
  <c r="CP1030" i="1"/>
  <c r="CN1030" i="1"/>
  <c r="CJ1030" i="1"/>
  <c r="CH1030" i="1"/>
  <c r="CF1030" i="1"/>
  <c r="BL1030" i="1"/>
  <c r="BD1030" i="1"/>
  <c r="AZ1030" i="1"/>
  <c r="AX1030" i="1"/>
  <c r="DC1024" i="1"/>
  <c r="DA1024" i="1"/>
  <c r="CY1024" i="1"/>
  <c r="Y1024" i="1" s="1"/>
  <c r="CW1024" i="1"/>
  <c r="AA1024" i="1" s="1"/>
  <c r="CR1024" i="1"/>
  <c r="CP1024" i="1"/>
  <c r="CN1024" i="1"/>
  <c r="CJ1024" i="1"/>
  <c r="CH1024" i="1"/>
  <c r="CF1024" i="1"/>
  <c r="BL1024" i="1"/>
  <c r="BD1024" i="1"/>
  <c r="AZ1024" i="1"/>
  <c r="AX1024" i="1"/>
  <c r="DC1039" i="1"/>
  <c r="DA1039" i="1"/>
  <c r="CY1039" i="1"/>
  <c r="Y1039" i="1" s="1"/>
  <c r="CW1039" i="1"/>
  <c r="AA1039" i="1" s="1"/>
  <c r="CR1039" i="1"/>
  <c r="CP1039" i="1"/>
  <c r="CN1039" i="1"/>
  <c r="CJ1039" i="1"/>
  <c r="CH1039" i="1"/>
  <c r="CF1039" i="1"/>
  <c r="BL1039" i="1"/>
  <c r="BD1039" i="1"/>
  <c r="AZ1039" i="1"/>
  <c r="AX1039" i="1"/>
  <c r="AD739" i="1" l="1"/>
  <c r="AD636" i="1"/>
  <c r="AD741" i="1"/>
  <c r="AD842" i="1"/>
  <c r="AD536" i="1"/>
  <c r="AD733" i="1"/>
  <c r="AD742" i="1"/>
  <c r="AD740" i="1"/>
  <c r="AD614" i="1"/>
  <c r="AD821" i="1"/>
  <c r="AD966" i="1"/>
  <c r="AD732" i="1"/>
  <c r="AD941" i="1"/>
  <c r="AD1078" i="1"/>
  <c r="AD822" i="1"/>
  <c r="AD929" i="1"/>
  <c r="AD828" i="1"/>
  <c r="AD1050" i="1"/>
  <c r="AD780" i="1"/>
  <c r="AD561" i="1"/>
  <c r="AD846" i="1"/>
  <c r="AD547" i="1"/>
  <c r="AD824" i="1"/>
  <c r="AD844" i="1"/>
  <c r="AD503" i="1"/>
  <c r="AD744" i="1"/>
  <c r="AD827" i="1"/>
  <c r="AD956" i="1"/>
  <c r="AD848" i="1"/>
  <c r="AD826" i="1"/>
  <c r="AD782" i="1"/>
  <c r="AD589" i="1"/>
  <c r="AD637" i="1"/>
  <c r="AD867" i="1"/>
  <c r="AD743" i="1"/>
  <c r="AD843" i="1"/>
  <c r="AD590" i="1"/>
  <c r="AD847" i="1"/>
  <c r="AD825" i="1"/>
  <c r="AD521" i="1"/>
  <c r="AD548" i="1"/>
  <c r="AD942" i="1"/>
  <c r="AD613" i="1"/>
  <c r="AD829" i="1"/>
  <c r="AD588" i="1"/>
  <c r="AD918" i="1"/>
  <c r="AD845" i="1"/>
  <c r="AD615" i="1"/>
  <c r="AD522" i="1"/>
  <c r="AD799" i="1"/>
  <c r="AD502" i="1"/>
  <c r="Z779" i="1"/>
  <c r="Z891" i="1"/>
  <c r="Z777" i="1"/>
  <c r="CU891" i="1"/>
  <c r="X891" i="1" s="1"/>
  <c r="Z535" i="1"/>
  <c r="Z520" i="1"/>
  <c r="CU779" i="1"/>
  <c r="X779" i="1" s="1"/>
  <c r="Z819" i="1"/>
  <c r="CU535" i="1"/>
  <c r="X535" i="1" s="1"/>
  <c r="Z731" i="1"/>
  <c r="Z546" i="1"/>
  <c r="Z778" i="1"/>
  <c r="Z798" i="1"/>
  <c r="CU546" i="1"/>
  <c r="X546" i="1" s="1"/>
  <c r="Z587" i="1"/>
  <c r="CU778" i="1"/>
  <c r="X778" i="1" s="1"/>
  <c r="Z738" i="1"/>
  <c r="CU520" i="1"/>
  <c r="X520" i="1" s="1"/>
  <c r="CU731" i="1"/>
  <c r="X731" i="1" s="1"/>
  <c r="CU777" i="1"/>
  <c r="X777" i="1" s="1"/>
  <c r="CU819" i="1"/>
  <c r="X819" i="1" s="1"/>
  <c r="CU798" i="1"/>
  <c r="X798" i="1" s="1"/>
  <c r="CU738" i="1"/>
  <c r="X738" i="1" s="1"/>
  <c r="CU587" i="1"/>
  <c r="X587" i="1" s="1"/>
  <c r="Z1035" i="1"/>
  <c r="Z1037" i="1"/>
  <c r="CU1035" i="1"/>
  <c r="X1035" i="1" s="1"/>
  <c r="Z1030" i="1"/>
  <c r="Z1039" i="1"/>
  <c r="Z1036" i="1"/>
  <c r="Z1029" i="1"/>
  <c r="CU1038" i="1"/>
  <c r="X1038" i="1" s="1"/>
  <c r="Z1038" i="1"/>
  <c r="Z1024" i="1"/>
  <c r="CU1031" i="1"/>
  <c r="X1031" i="1" s="1"/>
  <c r="Z1031" i="1"/>
  <c r="CU1039" i="1"/>
  <c r="X1039" i="1" s="1"/>
  <c r="CU1029" i="1"/>
  <c r="X1029" i="1" s="1"/>
  <c r="CU1037" i="1"/>
  <c r="X1037" i="1" s="1"/>
  <c r="CU1030" i="1"/>
  <c r="X1030" i="1" s="1"/>
  <c r="CU1024" i="1"/>
  <c r="X1024" i="1" s="1"/>
  <c r="CU1036" i="1"/>
  <c r="X1036" i="1" s="1"/>
  <c r="AD891" i="1" l="1"/>
  <c r="AD1024" i="1"/>
  <c r="AD777" i="1"/>
  <c r="AD779" i="1"/>
  <c r="AD520" i="1"/>
  <c r="AD738" i="1"/>
  <c r="AD731" i="1"/>
  <c r="AD546" i="1"/>
  <c r="AD535" i="1"/>
  <c r="AD819" i="1"/>
  <c r="AD587" i="1"/>
  <c r="AD798" i="1"/>
  <c r="AD778" i="1"/>
  <c r="AD1035" i="1"/>
  <c r="AD1030" i="1"/>
  <c r="AD1037" i="1"/>
  <c r="AD1039" i="1"/>
  <c r="AD1031" i="1"/>
  <c r="AD1036" i="1"/>
  <c r="AD1038" i="1"/>
  <c r="AD1029" i="1"/>
  <c r="CH694" i="1"/>
  <c r="CN694" i="1"/>
  <c r="AZ694" i="1"/>
  <c r="CR694" i="1"/>
  <c r="CP694" i="1"/>
  <c r="CY694" i="1"/>
  <c r="AZ26" i="1"/>
  <c r="DC26" i="1"/>
  <c r="CY26" i="1"/>
  <c r="DC219" i="1"/>
  <c r="DE225" i="1"/>
  <c r="DE224" i="1"/>
  <c r="DE223" i="1"/>
  <c r="DE222" i="1"/>
  <c r="DE221" i="1"/>
  <c r="DC775" i="1" l="1"/>
  <c r="DA775" i="1"/>
  <c r="CY775" i="1"/>
  <c r="Y775" i="1" s="1"/>
  <c r="CW775" i="1"/>
  <c r="AA775" i="1" s="1"/>
  <c r="CR775" i="1"/>
  <c r="CP775" i="1"/>
  <c r="CN775" i="1"/>
  <c r="CJ775" i="1"/>
  <c r="CH775" i="1"/>
  <c r="CF775" i="1"/>
  <c r="BL775" i="1"/>
  <c r="BD775" i="1"/>
  <c r="AZ775" i="1"/>
  <c r="AX775" i="1"/>
  <c r="DC773" i="1"/>
  <c r="DA773" i="1"/>
  <c r="CY773" i="1"/>
  <c r="Y773" i="1" s="1"/>
  <c r="CW773" i="1"/>
  <c r="AA773" i="1" s="1"/>
  <c r="CR773" i="1"/>
  <c r="CP773" i="1"/>
  <c r="CN773" i="1"/>
  <c r="CJ773" i="1"/>
  <c r="CH773" i="1"/>
  <c r="CF773" i="1"/>
  <c r="BL773" i="1"/>
  <c r="BD773" i="1"/>
  <c r="AZ773" i="1"/>
  <c r="AX773" i="1"/>
  <c r="DC774" i="1"/>
  <c r="DA774" i="1"/>
  <c r="CY774" i="1"/>
  <c r="Y774" i="1" s="1"/>
  <c r="CW774" i="1"/>
  <c r="AA774" i="1" s="1"/>
  <c r="CR774" i="1"/>
  <c r="CP774" i="1"/>
  <c r="CN774" i="1"/>
  <c r="CJ774" i="1"/>
  <c r="CH774" i="1"/>
  <c r="CF774" i="1"/>
  <c r="BL774" i="1"/>
  <c r="BD774" i="1"/>
  <c r="AZ774" i="1"/>
  <c r="AX774" i="1"/>
  <c r="DC1075" i="1"/>
  <c r="DA1075" i="1"/>
  <c r="CY1075" i="1"/>
  <c r="Y1075" i="1" s="1"/>
  <c r="CW1075" i="1"/>
  <c r="AA1075" i="1" s="1"/>
  <c r="CR1075" i="1"/>
  <c r="CP1075" i="1"/>
  <c r="CN1075" i="1"/>
  <c r="CJ1075" i="1"/>
  <c r="CH1075" i="1"/>
  <c r="CF1075" i="1"/>
  <c r="BL1075" i="1"/>
  <c r="BD1075" i="1"/>
  <c r="AZ1075" i="1"/>
  <c r="AX1075" i="1"/>
  <c r="DC1041" i="1"/>
  <c r="DA1041" i="1"/>
  <c r="CY1041" i="1"/>
  <c r="Y1041" i="1" s="1"/>
  <c r="CW1041" i="1"/>
  <c r="AA1041" i="1" s="1"/>
  <c r="CR1041" i="1"/>
  <c r="CP1041" i="1"/>
  <c r="CN1041" i="1"/>
  <c r="CJ1041" i="1"/>
  <c r="CH1041" i="1"/>
  <c r="CF1041" i="1"/>
  <c r="BL1041" i="1"/>
  <c r="BD1041" i="1"/>
  <c r="AZ1041" i="1"/>
  <c r="AX1041" i="1"/>
  <c r="CY720" i="1"/>
  <c r="Y720" i="1" s="1"/>
  <c r="CW720" i="1"/>
  <c r="AA720" i="1" s="1"/>
  <c r="CR720" i="1"/>
  <c r="CP720" i="1"/>
  <c r="CN720" i="1"/>
  <c r="CJ720" i="1"/>
  <c r="CH720" i="1"/>
  <c r="CF720" i="1"/>
  <c r="BL720" i="1"/>
  <c r="BD720" i="1"/>
  <c r="AZ720" i="1"/>
  <c r="AX720" i="1"/>
  <c r="DC726" i="1"/>
  <c r="DA726" i="1"/>
  <c r="CY726" i="1"/>
  <c r="Y726" i="1" s="1"/>
  <c r="CW726" i="1"/>
  <c r="AA726" i="1" s="1"/>
  <c r="CR726" i="1"/>
  <c r="CP726" i="1"/>
  <c r="CN726" i="1"/>
  <c r="CJ726" i="1"/>
  <c r="CH726" i="1"/>
  <c r="CF726" i="1"/>
  <c r="BL726" i="1"/>
  <c r="BD726" i="1"/>
  <c r="AZ726" i="1"/>
  <c r="AX726" i="1"/>
  <c r="DC712" i="1"/>
  <c r="DA712" i="1"/>
  <c r="CY712" i="1"/>
  <c r="Y712" i="1" s="1"/>
  <c r="CW712" i="1"/>
  <c r="AA712" i="1" s="1"/>
  <c r="CR712" i="1"/>
  <c r="CP712" i="1"/>
  <c r="CN712" i="1"/>
  <c r="CJ712" i="1"/>
  <c r="CH712" i="1"/>
  <c r="CF712" i="1"/>
  <c r="BL712" i="1"/>
  <c r="BD712" i="1"/>
  <c r="AZ712" i="1"/>
  <c r="AX712" i="1"/>
  <c r="DC725" i="1"/>
  <c r="DA725" i="1"/>
  <c r="CY725" i="1"/>
  <c r="Y725" i="1" s="1"/>
  <c r="CW725" i="1"/>
  <c r="AA725" i="1" s="1"/>
  <c r="CR725" i="1"/>
  <c r="CP725" i="1"/>
  <c r="CN725" i="1"/>
  <c r="CJ725" i="1"/>
  <c r="CH725" i="1"/>
  <c r="CF725" i="1"/>
  <c r="BL725" i="1"/>
  <c r="BD725" i="1"/>
  <c r="AZ725" i="1"/>
  <c r="AX725" i="1"/>
  <c r="DC728" i="1"/>
  <c r="DA728" i="1"/>
  <c r="CY728" i="1"/>
  <c r="Y728" i="1" s="1"/>
  <c r="CW728" i="1"/>
  <c r="AA728" i="1" s="1"/>
  <c r="CR728" i="1"/>
  <c r="CP728" i="1"/>
  <c r="CN728" i="1"/>
  <c r="CJ728" i="1"/>
  <c r="CH728" i="1"/>
  <c r="CF728" i="1"/>
  <c r="BL728" i="1"/>
  <c r="BD728" i="1"/>
  <c r="AZ728" i="1"/>
  <c r="AX728" i="1"/>
  <c r="DC1032" i="1"/>
  <c r="DA1032" i="1"/>
  <c r="CY1032" i="1"/>
  <c r="Y1032" i="1" s="1"/>
  <c r="CW1032" i="1"/>
  <c r="AA1032" i="1" s="1"/>
  <c r="CR1032" i="1"/>
  <c r="CP1032" i="1"/>
  <c r="CN1032" i="1"/>
  <c r="CJ1032" i="1"/>
  <c r="CH1032" i="1"/>
  <c r="CF1032" i="1"/>
  <c r="BL1032" i="1"/>
  <c r="BD1032" i="1"/>
  <c r="AZ1032" i="1"/>
  <c r="AX1032" i="1"/>
  <c r="DC990" i="1"/>
  <c r="DA990" i="1"/>
  <c r="CY990" i="1"/>
  <c r="Y990" i="1" s="1"/>
  <c r="CW990" i="1"/>
  <c r="AA990" i="1" s="1"/>
  <c r="CR990" i="1"/>
  <c r="CP990" i="1"/>
  <c r="CN990" i="1"/>
  <c r="CJ990" i="1"/>
  <c r="CH990" i="1"/>
  <c r="CF990" i="1"/>
  <c r="BL990" i="1"/>
  <c r="BD990" i="1"/>
  <c r="AZ990" i="1"/>
  <c r="AX990" i="1"/>
  <c r="Z775" i="1" l="1"/>
  <c r="Z774" i="1"/>
  <c r="Z728" i="1"/>
  <c r="Z725" i="1"/>
  <c r="Z712" i="1"/>
  <c r="Z990" i="1"/>
  <c r="Z1032" i="1"/>
  <c r="Z1041" i="1"/>
  <c r="CU775" i="1"/>
  <c r="X775" i="1" s="1"/>
  <c r="Z720" i="1"/>
  <c r="CU1032" i="1"/>
  <c r="X1032" i="1" s="1"/>
  <c r="Z773" i="1"/>
  <c r="CU726" i="1"/>
  <c r="X726" i="1" s="1"/>
  <c r="Z726" i="1"/>
  <c r="CU1075" i="1"/>
  <c r="X1075" i="1" s="1"/>
  <c r="Z1075" i="1"/>
  <c r="CU990" i="1"/>
  <c r="X990" i="1" s="1"/>
  <c r="CU725" i="1"/>
  <c r="X725" i="1" s="1"/>
  <c r="CU1041" i="1"/>
  <c r="X1041" i="1" s="1"/>
  <c r="CU774" i="1"/>
  <c r="X774" i="1" s="1"/>
  <c r="CU712" i="1"/>
  <c r="X712" i="1" s="1"/>
  <c r="CU773" i="1"/>
  <c r="X773" i="1" s="1"/>
  <c r="CU728" i="1"/>
  <c r="X728" i="1" s="1"/>
  <c r="CU720" i="1"/>
  <c r="X720" i="1" s="1"/>
  <c r="L921" i="1"/>
  <c r="L3917" i="1" s="1"/>
  <c r="J921" i="1"/>
  <c r="J3917" i="1" s="1"/>
  <c r="I921" i="1"/>
  <c r="AD728" i="1" l="1"/>
  <c r="AD775" i="1"/>
  <c r="AD774" i="1"/>
  <c r="AD725" i="1"/>
  <c r="AD726" i="1"/>
  <c r="AD1032" i="1"/>
  <c r="AD712" i="1"/>
  <c r="AD990" i="1"/>
  <c r="AD1041" i="1"/>
  <c r="AD1075" i="1"/>
  <c r="AD720" i="1"/>
  <c r="AD773" i="1"/>
  <c r="DC1034" i="1"/>
  <c r="DA1034" i="1"/>
  <c r="CY1034" i="1"/>
  <c r="Y1034" i="1" s="1"/>
  <c r="CW1034" i="1"/>
  <c r="AA1034" i="1" s="1"/>
  <c r="CR1034" i="1"/>
  <c r="CP1034" i="1"/>
  <c r="CN1034" i="1"/>
  <c r="CJ1034" i="1"/>
  <c r="CH1034" i="1"/>
  <c r="CF1034" i="1"/>
  <c r="BL1034" i="1"/>
  <c r="BD1034" i="1"/>
  <c r="AZ1034" i="1"/>
  <c r="AX1034" i="1"/>
  <c r="DC1006" i="1"/>
  <c r="DA1006" i="1"/>
  <c r="CY1006" i="1"/>
  <c r="Y1006" i="1" s="1"/>
  <c r="CW1006" i="1"/>
  <c r="AA1006" i="1" s="1"/>
  <c r="CR1006" i="1"/>
  <c r="CP1006" i="1"/>
  <c r="CN1006" i="1"/>
  <c r="CJ1006" i="1"/>
  <c r="CH1006" i="1"/>
  <c r="CF1006" i="1"/>
  <c r="BL1006" i="1"/>
  <c r="BD1006" i="1"/>
  <c r="AZ1006" i="1"/>
  <c r="AX1006" i="1"/>
  <c r="DC1005" i="1"/>
  <c r="DA1005" i="1"/>
  <c r="CY1005" i="1"/>
  <c r="Y1005" i="1" s="1"/>
  <c r="CW1005" i="1"/>
  <c r="AA1005" i="1" s="1"/>
  <c r="CR1005" i="1"/>
  <c r="CP1005" i="1"/>
  <c r="CN1005" i="1"/>
  <c r="CJ1005" i="1"/>
  <c r="CH1005" i="1"/>
  <c r="CF1005" i="1"/>
  <c r="BL1005" i="1"/>
  <c r="BD1005" i="1"/>
  <c r="AZ1005" i="1"/>
  <c r="AX1005" i="1"/>
  <c r="DC998" i="1"/>
  <c r="DA998" i="1"/>
  <c r="CY998" i="1"/>
  <c r="Y998" i="1" s="1"/>
  <c r="CW998" i="1"/>
  <c r="AA998" i="1" s="1"/>
  <c r="CR998" i="1"/>
  <c r="CP998" i="1"/>
  <c r="CN998" i="1"/>
  <c r="CJ998" i="1"/>
  <c r="CH998" i="1"/>
  <c r="CF998" i="1"/>
  <c r="BL998" i="1"/>
  <c r="BD998" i="1"/>
  <c r="AZ998" i="1"/>
  <c r="AX998" i="1"/>
  <c r="DC997" i="1"/>
  <c r="DA997" i="1"/>
  <c r="CY997" i="1"/>
  <c r="Y997" i="1" s="1"/>
  <c r="CW997" i="1"/>
  <c r="AA997" i="1" s="1"/>
  <c r="CR997" i="1"/>
  <c r="CP997" i="1"/>
  <c r="CN997" i="1"/>
  <c r="CJ997" i="1"/>
  <c r="CH997" i="1"/>
  <c r="CF997" i="1"/>
  <c r="BL997" i="1"/>
  <c r="BD997" i="1"/>
  <c r="AZ997" i="1"/>
  <c r="AX997" i="1"/>
  <c r="DC999" i="1"/>
  <c r="DA999" i="1"/>
  <c r="CY999" i="1"/>
  <c r="Y999" i="1" s="1"/>
  <c r="CW999" i="1"/>
  <c r="AA999" i="1" s="1"/>
  <c r="CR999" i="1"/>
  <c r="CP999" i="1"/>
  <c r="CN999" i="1"/>
  <c r="CJ999" i="1"/>
  <c r="CH999" i="1"/>
  <c r="CF999" i="1"/>
  <c r="BL999" i="1"/>
  <c r="BD999" i="1"/>
  <c r="AZ999" i="1"/>
  <c r="AX999" i="1"/>
  <c r="DC1009" i="1"/>
  <c r="DA1009" i="1"/>
  <c r="CY1009" i="1"/>
  <c r="Y1009" i="1" s="1"/>
  <c r="CW1009" i="1"/>
  <c r="AA1009" i="1" s="1"/>
  <c r="CR1009" i="1"/>
  <c r="CP1009" i="1"/>
  <c r="CN1009" i="1"/>
  <c r="CJ1009" i="1"/>
  <c r="CH1009" i="1"/>
  <c r="CF1009" i="1"/>
  <c r="BL1009" i="1"/>
  <c r="BD1009" i="1"/>
  <c r="AZ1009" i="1"/>
  <c r="AX1009" i="1"/>
  <c r="DC1008" i="1"/>
  <c r="DA1008" i="1"/>
  <c r="CY1008" i="1"/>
  <c r="Y1008" i="1" s="1"/>
  <c r="CW1008" i="1"/>
  <c r="AA1008" i="1" s="1"/>
  <c r="CR1008" i="1"/>
  <c r="CP1008" i="1"/>
  <c r="CN1008" i="1"/>
  <c r="CJ1008" i="1"/>
  <c r="CH1008" i="1"/>
  <c r="CF1008" i="1"/>
  <c r="BL1008" i="1"/>
  <c r="BD1008" i="1"/>
  <c r="AZ1008" i="1"/>
  <c r="AX1008" i="1"/>
  <c r="DC1004" i="1"/>
  <c r="DA1004" i="1"/>
  <c r="CY1004" i="1"/>
  <c r="Y1004" i="1" s="1"/>
  <c r="CW1004" i="1"/>
  <c r="AA1004" i="1" s="1"/>
  <c r="CR1004" i="1"/>
  <c r="CP1004" i="1"/>
  <c r="CN1004" i="1"/>
  <c r="CJ1004" i="1"/>
  <c r="CH1004" i="1"/>
  <c r="CF1004" i="1"/>
  <c r="BL1004" i="1"/>
  <c r="BD1004" i="1"/>
  <c r="AZ1004" i="1"/>
  <c r="AX1004" i="1"/>
  <c r="DC991" i="1"/>
  <c r="DA991" i="1"/>
  <c r="CY991" i="1"/>
  <c r="Y991" i="1" s="1"/>
  <c r="CW991" i="1"/>
  <c r="AA991" i="1" s="1"/>
  <c r="CR991" i="1"/>
  <c r="CP991" i="1"/>
  <c r="CN991" i="1"/>
  <c r="CJ991" i="1"/>
  <c r="CH991" i="1"/>
  <c r="CF991" i="1"/>
  <c r="BL991" i="1"/>
  <c r="BD991" i="1"/>
  <c r="AZ991" i="1"/>
  <c r="AX991" i="1"/>
  <c r="DC996" i="1"/>
  <c r="DA996" i="1"/>
  <c r="CY996" i="1"/>
  <c r="Y996" i="1" s="1"/>
  <c r="CW996" i="1"/>
  <c r="AA996" i="1" s="1"/>
  <c r="CR996" i="1"/>
  <c r="CP996" i="1"/>
  <c r="CN996" i="1"/>
  <c r="CJ996" i="1"/>
  <c r="CH996" i="1"/>
  <c r="CF996" i="1"/>
  <c r="BL996" i="1"/>
  <c r="BD996" i="1"/>
  <c r="AZ996" i="1"/>
  <c r="AX996" i="1"/>
  <c r="DC993" i="1"/>
  <c r="DA993" i="1"/>
  <c r="CY993" i="1"/>
  <c r="Y993" i="1" s="1"/>
  <c r="CW993" i="1"/>
  <c r="AA993" i="1" s="1"/>
  <c r="CR993" i="1"/>
  <c r="CP993" i="1"/>
  <c r="CN993" i="1"/>
  <c r="CJ993" i="1"/>
  <c r="CH993" i="1"/>
  <c r="CF993" i="1"/>
  <c r="BL993" i="1"/>
  <c r="BD993" i="1"/>
  <c r="AZ993" i="1"/>
  <c r="AX993" i="1"/>
  <c r="DC989" i="1"/>
  <c r="DA989" i="1"/>
  <c r="CY989" i="1"/>
  <c r="Y989" i="1" s="1"/>
  <c r="CW989" i="1"/>
  <c r="AA989" i="1" s="1"/>
  <c r="CR989" i="1"/>
  <c r="CP989" i="1"/>
  <c r="CN989" i="1"/>
  <c r="CJ989" i="1"/>
  <c r="CH989" i="1"/>
  <c r="CF989" i="1"/>
  <c r="BL989" i="1"/>
  <c r="BD989" i="1"/>
  <c r="AZ989" i="1"/>
  <c r="AX989" i="1"/>
  <c r="DC570" i="1"/>
  <c r="DA570" i="1"/>
  <c r="CY570" i="1"/>
  <c r="Y570" i="1" s="1"/>
  <c r="CW570" i="1"/>
  <c r="AA570" i="1" s="1"/>
  <c r="CR570" i="1"/>
  <c r="CP570" i="1"/>
  <c r="CN570" i="1"/>
  <c r="CJ570" i="1"/>
  <c r="CH570" i="1"/>
  <c r="CF570" i="1"/>
  <c r="BL570" i="1"/>
  <c r="BD570" i="1"/>
  <c r="AZ570" i="1"/>
  <c r="AX570" i="1"/>
  <c r="DC981" i="1"/>
  <c r="DA981" i="1"/>
  <c r="CY981" i="1"/>
  <c r="Y981" i="1" s="1"/>
  <c r="CW981" i="1"/>
  <c r="AA981" i="1" s="1"/>
  <c r="CR981" i="1"/>
  <c r="CP981" i="1"/>
  <c r="CN981" i="1"/>
  <c r="CJ981" i="1"/>
  <c r="CH981" i="1"/>
  <c r="CF981" i="1"/>
  <c r="BL981" i="1"/>
  <c r="BD981" i="1"/>
  <c r="AZ981" i="1"/>
  <c r="AX981" i="1"/>
  <c r="DC986" i="1"/>
  <c r="DA986" i="1"/>
  <c r="CY986" i="1"/>
  <c r="Y986" i="1" s="1"/>
  <c r="CW986" i="1"/>
  <c r="AA986" i="1" s="1"/>
  <c r="CR986" i="1"/>
  <c r="CP986" i="1"/>
  <c r="CN986" i="1"/>
  <c r="CJ986" i="1"/>
  <c r="CH986" i="1"/>
  <c r="CF986" i="1"/>
  <c r="BL986" i="1"/>
  <c r="BD986" i="1"/>
  <c r="AZ986" i="1"/>
  <c r="AX986" i="1"/>
  <c r="DC982" i="1"/>
  <c r="DA982" i="1"/>
  <c r="CY982" i="1"/>
  <c r="Y982" i="1" s="1"/>
  <c r="CW982" i="1"/>
  <c r="AA982" i="1" s="1"/>
  <c r="CR982" i="1"/>
  <c r="CP982" i="1"/>
  <c r="CN982" i="1"/>
  <c r="CJ982" i="1"/>
  <c r="CH982" i="1"/>
  <c r="CF982" i="1"/>
  <c r="BL982" i="1"/>
  <c r="BD982" i="1"/>
  <c r="AZ982" i="1"/>
  <c r="AX982" i="1"/>
  <c r="DC985" i="1"/>
  <c r="DA985" i="1"/>
  <c r="CY985" i="1"/>
  <c r="Y985" i="1" s="1"/>
  <c r="CW985" i="1"/>
  <c r="AA985" i="1" s="1"/>
  <c r="CR985" i="1"/>
  <c r="CP985" i="1"/>
  <c r="CN985" i="1"/>
  <c r="CJ985" i="1"/>
  <c r="CH985" i="1"/>
  <c r="CF985" i="1"/>
  <c r="BL985" i="1"/>
  <c r="BD985" i="1"/>
  <c r="AZ985" i="1"/>
  <c r="AX985" i="1"/>
  <c r="DC973" i="1"/>
  <c r="DA973" i="1"/>
  <c r="CY973" i="1"/>
  <c r="Y973" i="1" s="1"/>
  <c r="CW973" i="1"/>
  <c r="AA973" i="1" s="1"/>
  <c r="CR973" i="1"/>
  <c r="CP973" i="1"/>
  <c r="CN973" i="1"/>
  <c r="CJ973" i="1"/>
  <c r="CH973" i="1"/>
  <c r="CF973" i="1"/>
  <c r="BL973" i="1"/>
  <c r="BD973" i="1"/>
  <c r="AZ973" i="1"/>
  <c r="AX973" i="1"/>
  <c r="DC1011" i="1"/>
  <c r="DA1011" i="1"/>
  <c r="CY1011" i="1"/>
  <c r="Y1011" i="1" s="1"/>
  <c r="CW1011" i="1"/>
  <c r="AA1011" i="1" s="1"/>
  <c r="CR1011" i="1"/>
  <c r="CP1011" i="1"/>
  <c r="CN1011" i="1"/>
  <c r="CJ1011" i="1"/>
  <c r="CH1011" i="1"/>
  <c r="CF1011" i="1"/>
  <c r="BL1011" i="1"/>
  <c r="BD1011" i="1"/>
  <c r="AZ1011" i="1"/>
  <c r="AX1011" i="1"/>
  <c r="DC1014" i="1"/>
  <c r="DA1014" i="1"/>
  <c r="CY1014" i="1"/>
  <c r="Y1014" i="1" s="1"/>
  <c r="CW1014" i="1"/>
  <c r="AA1014" i="1" s="1"/>
  <c r="CR1014" i="1"/>
  <c r="CP1014" i="1"/>
  <c r="CN1014" i="1"/>
  <c r="CJ1014" i="1"/>
  <c r="CH1014" i="1"/>
  <c r="CF1014" i="1"/>
  <c r="BL1014" i="1"/>
  <c r="BD1014" i="1"/>
  <c r="AZ1014" i="1"/>
  <c r="AX1014" i="1"/>
  <c r="DC975" i="1"/>
  <c r="DA975" i="1"/>
  <c r="CY975" i="1"/>
  <c r="Y975" i="1" s="1"/>
  <c r="CW975" i="1"/>
  <c r="AA975" i="1" s="1"/>
  <c r="CR975" i="1"/>
  <c r="CP975" i="1"/>
  <c r="CN975" i="1"/>
  <c r="CJ975" i="1"/>
  <c r="CH975" i="1"/>
  <c r="CF975" i="1"/>
  <c r="BL975" i="1"/>
  <c r="BD975" i="1"/>
  <c r="AZ975" i="1"/>
  <c r="AX975" i="1"/>
  <c r="DC979" i="1"/>
  <c r="DA979" i="1"/>
  <c r="CY979" i="1"/>
  <c r="Y979" i="1" s="1"/>
  <c r="CW979" i="1"/>
  <c r="AA979" i="1" s="1"/>
  <c r="CR979" i="1"/>
  <c r="CP979" i="1"/>
  <c r="CN979" i="1"/>
  <c r="CJ979" i="1"/>
  <c r="CH979" i="1"/>
  <c r="CF979" i="1"/>
  <c r="BL979" i="1"/>
  <c r="BD979" i="1"/>
  <c r="AZ979" i="1"/>
  <c r="AX979" i="1"/>
  <c r="DC974" i="1"/>
  <c r="DA974" i="1"/>
  <c r="CY974" i="1"/>
  <c r="Y974" i="1" s="1"/>
  <c r="CW974" i="1"/>
  <c r="AA974" i="1" s="1"/>
  <c r="CR974" i="1"/>
  <c r="CP974" i="1"/>
  <c r="CN974" i="1"/>
  <c r="CJ974" i="1"/>
  <c r="CH974" i="1"/>
  <c r="CF974" i="1"/>
  <c r="BL974" i="1"/>
  <c r="BD974" i="1"/>
  <c r="AZ974" i="1"/>
  <c r="AX974" i="1"/>
  <c r="DC670" i="1"/>
  <c r="DA670" i="1"/>
  <c r="CY670" i="1"/>
  <c r="Y670" i="1" s="1"/>
  <c r="CW670" i="1"/>
  <c r="AA670" i="1" s="1"/>
  <c r="CR670" i="1"/>
  <c r="CP670" i="1"/>
  <c r="CN670" i="1"/>
  <c r="CJ670" i="1"/>
  <c r="CH670" i="1"/>
  <c r="CF670" i="1"/>
  <c r="BL670" i="1"/>
  <c r="BD670" i="1"/>
  <c r="AZ670" i="1"/>
  <c r="AX670" i="1"/>
  <c r="DC671" i="1"/>
  <c r="DA671" i="1"/>
  <c r="CY671" i="1"/>
  <c r="Y671" i="1" s="1"/>
  <c r="CW671" i="1"/>
  <c r="AA671" i="1" s="1"/>
  <c r="CR671" i="1"/>
  <c r="CP671" i="1"/>
  <c r="CN671" i="1"/>
  <c r="CJ671" i="1"/>
  <c r="CH671" i="1"/>
  <c r="CF671" i="1"/>
  <c r="BL671" i="1"/>
  <c r="BD671" i="1"/>
  <c r="AZ671" i="1"/>
  <c r="AX671" i="1"/>
  <c r="DC668" i="1"/>
  <c r="DA668" i="1"/>
  <c r="CY668" i="1"/>
  <c r="Y668" i="1" s="1"/>
  <c r="CW668" i="1"/>
  <c r="AA668" i="1" s="1"/>
  <c r="CR668" i="1"/>
  <c r="CP668" i="1"/>
  <c r="CN668" i="1"/>
  <c r="CJ668" i="1"/>
  <c r="CH668" i="1"/>
  <c r="CF668" i="1"/>
  <c r="BL668" i="1"/>
  <c r="BD668" i="1"/>
  <c r="AZ668" i="1"/>
  <c r="AX668" i="1"/>
  <c r="DC756" i="1"/>
  <c r="DA756" i="1"/>
  <c r="CY756" i="1"/>
  <c r="Y756" i="1" s="1"/>
  <c r="CW756" i="1"/>
  <c r="AA756" i="1" s="1"/>
  <c r="CR756" i="1"/>
  <c r="CP756" i="1"/>
  <c r="CN756" i="1"/>
  <c r="CJ756" i="1"/>
  <c r="CH756" i="1"/>
  <c r="CF756" i="1"/>
  <c r="BL756" i="1"/>
  <c r="BD756" i="1"/>
  <c r="AZ756" i="1"/>
  <c r="AX756" i="1"/>
  <c r="DC755" i="1"/>
  <c r="DA755" i="1"/>
  <c r="CY755" i="1"/>
  <c r="Y755" i="1" s="1"/>
  <c r="CW755" i="1"/>
  <c r="AA755" i="1" s="1"/>
  <c r="CR755" i="1"/>
  <c r="CP755" i="1"/>
  <c r="CN755" i="1"/>
  <c r="CJ755" i="1"/>
  <c r="CH755" i="1"/>
  <c r="CF755" i="1"/>
  <c r="BL755" i="1"/>
  <c r="BD755" i="1"/>
  <c r="AZ755" i="1"/>
  <c r="AX755" i="1"/>
  <c r="DC769" i="1"/>
  <c r="DA769" i="1"/>
  <c r="CY769" i="1"/>
  <c r="Y769" i="1" s="1"/>
  <c r="CW769" i="1"/>
  <c r="AA769" i="1" s="1"/>
  <c r="CR769" i="1"/>
  <c r="CP769" i="1"/>
  <c r="CN769" i="1"/>
  <c r="CJ769" i="1"/>
  <c r="CH769" i="1"/>
  <c r="CF769" i="1"/>
  <c r="BL769" i="1"/>
  <c r="BD769" i="1"/>
  <c r="AZ769" i="1"/>
  <c r="AX769" i="1"/>
  <c r="DC980" i="1"/>
  <c r="DA980" i="1"/>
  <c r="CY980" i="1"/>
  <c r="Y980" i="1" s="1"/>
  <c r="CW980" i="1"/>
  <c r="AA980" i="1" s="1"/>
  <c r="CR980" i="1"/>
  <c r="CP980" i="1"/>
  <c r="CN980" i="1"/>
  <c r="CJ980" i="1"/>
  <c r="CH980" i="1"/>
  <c r="CF980" i="1"/>
  <c r="BL980" i="1"/>
  <c r="BD980" i="1"/>
  <c r="AZ980" i="1"/>
  <c r="AX980" i="1"/>
  <c r="Z1005" i="1" l="1"/>
  <c r="Z1006" i="1"/>
  <c r="Z1034" i="1"/>
  <c r="Z991" i="1"/>
  <c r="Z1008" i="1"/>
  <c r="Z997" i="1"/>
  <c r="Z999" i="1"/>
  <c r="Z998" i="1"/>
  <c r="CU1005" i="1"/>
  <c r="X1005" i="1" s="1"/>
  <c r="CU1034" i="1"/>
  <c r="X1034" i="1" s="1"/>
  <c r="CU1004" i="1"/>
  <c r="X1004" i="1" s="1"/>
  <c r="Z1004" i="1"/>
  <c r="Z1009" i="1"/>
  <c r="CU993" i="1"/>
  <c r="X993" i="1" s="1"/>
  <c r="Z993" i="1"/>
  <c r="Z996" i="1"/>
  <c r="Z982" i="1"/>
  <c r="Z986" i="1"/>
  <c r="Z989" i="1"/>
  <c r="Z973" i="1"/>
  <c r="CU981" i="1"/>
  <c r="X981" i="1" s="1"/>
  <c r="Z981" i="1"/>
  <c r="CU985" i="1"/>
  <c r="X985" i="1" s="1"/>
  <c r="Z985" i="1"/>
  <c r="Z570" i="1"/>
  <c r="CU982" i="1"/>
  <c r="X982" i="1" s="1"/>
  <c r="CU991" i="1"/>
  <c r="X991" i="1" s="1"/>
  <c r="CU999" i="1"/>
  <c r="X999" i="1" s="1"/>
  <c r="CU570" i="1"/>
  <c r="X570" i="1" s="1"/>
  <c r="CU996" i="1"/>
  <c r="X996" i="1" s="1"/>
  <c r="CU1008" i="1"/>
  <c r="X1008" i="1" s="1"/>
  <c r="CU1009" i="1"/>
  <c r="X1009" i="1" s="1"/>
  <c r="CU1006" i="1"/>
  <c r="X1006" i="1" s="1"/>
  <c r="Z1011" i="1"/>
  <c r="CU973" i="1"/>
  <c r="X973" i="1" s="1"/>
  <c r="CU986" i="1"/>
  <c r="X986" i="1" s="1"/>
  <c r="CU989" i="1"/>
  <c r="X989" i="1" s="1"/>
  <c r="CU997" i="1"/>
  <c r="X997" i="1" s="1"/>
  <c r="CU998" i="1"/>
  <c r="X998" i="1" s="1"/>
  <c r="CU769" i="1"/>
  <c r="X769" i="1" s="1"/>
  <c r="CU974" i="1"/>
  <c r="X974" i="1" s="1"/>
  <c r="Z979" i="1"/>
  <c r="CU671" i="1"/>
  <c r="X671" i="1" s="1"/>
  <c r="CU668" i="1"/>
  <c r="X668" i="1" s="1"/>
  <c r="CU980" i="1"/>
  <c r="X980" i="1" s="1"/>
  <c r="CU756" i="1"/>
  <c r="X756" i="1" s="1"/>
  <c r="CU1014" i="1"/>
  <c r="X1014" i="1" s="1"/>
  <c r="CU1011" i="1"/>
  <c r="X1011" i="1" s="1"/>
  <c r="CU755" i="1"/>
  <c r="X755" i="1" s="1"/>
  <c r="CU670" i="1"/>
  <c r="X670" i="1" s="1"/>
  <c r="CU979" i="1"/>
  <c r="X979" i="1" s="1"/>
  <c r="Z1014" i="1"/>
  <c r="CU975" i="1"/>
  <c r="X975" i="1" s="1"/>
  <c r="Z980" i="1"/>
  <c r="Z769" i="1"/>
  <c r="Z755" i="1"/>
  <c r="Z756" i="1"/>
  <c r="Z668" i="1"/>
  <c r="Z671" i="1"/>
  <c r="Z670" i="1"/>
  <c r="Z974" i="1"/>
  <c r="Z975" i="1"/>
  <c r="I628" i="1"/>
  <c r="I626" i="1"/>
  <c r="I625" i="1"/>
  <c r="AD979" i="1" l="1"/>
  <c r="AD1005" i="1"/>
  <c r="AD997" i="1"/>
  <c r="AD1034" i="1"/>
  <c r="AD1011" i="1"/>
  <c r="AD1006" i="1"/>
  <c r="AD999" i="1"/>
  <c r="AD1008" i="1"/>
  <c r="AD991" i="1"/>
  <c r="AD998" i="1"/>
  <c r="AD1004" i="1"/>
  <c r="AD1009" i="1"/>
  <c r="AD996" i="1"/>
  <c r="AD993" i="1"/>
  <c r="AD982" i="1"/>
  <c r="AD986" i="1"/>
  <c r="AD570" i="1"/>
  <c r="AD985" i="1"/>
  <c r="AD989" i="1"/>
  <c r="AD981" i="1"/>
  <c r="AD973" i="1"/>
  <c r="AD671" i="1"/>
  <c r="AD755" i="1"/>
  <c r="AD756" i="1"/>
  <c r="AD974" i="1"/>
  <c r="AD769" i="1"/>
  <c r="AD975" i="1"/>
  <c r="AD980" i="1"/>
  <c r="AD670" i="1"/>
  <c r="AD668" i="1"/>
  <c r="AD1014" i="1"/>
  <c r="DB659" i="1" l="1"/>
  <c r="DB655" i="1"/>
  <c r="DB643" i="1"/>
  <c r="DB638" i="1"/>
  <c r="DC1232" i="1"/>
  <c r="DA1232" i="1"/>
  <c r="CY1232" i="1"/>
  <c r="Y1232" i="1" s="1"/>
  <c r="CW1232" i="1"/>
  <c r="AA1232" i="1" s="1"/>
  <c r="CR1232" i="1"/>
  <c r="CP1232" i="1"/>
  <c r="CN1232" i="1"/>
  <c r="CJ1232" i="1"/>
  <c r="CH1232" i="1"/>
  <c r="CF1232" i="1"/>
  <c r="BL1232" i="1"/>
  <c r="BD1232" i="1"/>
  <c r="AZ1232" i="1"/>
  <c r="AX1232" i="1"/>
  <c r="DC1023" i="1"/>
  <c r="DA1023" i="1"/>
  <c r="CY1023" i="1"/>
  <c r="Y1023" i="1" s="1"/>
  <c r="CW1023" i="1"/>
  <c r="AA1023" i="1" s="1"/>
  <c r="CR1023" i="1"/>
  <c r="CP1023" i="1"/>
  <c r="CN1023" i="1"/>
  <c r="CJ1023" i="1"/>
  <c r="CH1023" i="1"/>
  <c r="CF1023" i="1"/>
  <c r="BL1023" i="1"/>
  <c r="BD1023" i="1"/>
  <c r="AZ1023" i="1"/>
  <c r="AX1023" i="1"/>
  <c r="DC1022" i="1"/>
  <c r="DA1022" i="1"/>
  <c r="CY1022" i="1"/>
  <c r="Y1022" i="1" s="1"/>
  <c r="CW1022" i="1"/>
  <c r="AA1022" i="1" s="1"/>
  <c r="CR1022" i="1"/>
  <c r="CP1022" i="1"/>
  <c r="CN1022" i="1"/>
  <c r="CJ1022" i="1"/>
  <c r="CH1022" i="1"/>
  <c r="CF1022" i="1"/>
  <c r="BL1022" i="1"/>
  <c r="BD1022" i="1"/>
  <c r="AZ1022" i="1"/>
  <c r="AX1022" i="1"/>
  <c r="DC1021" i="1"/>
  <c r="DA1021" i="1"/>
  <c r="CY1021" i="1"/>
  <c r="Y1021" i="1" s="1"/>
  <c r="CW1021" i="1"/>
  <c r="AA1021" i="1" s="1"/>
  <c r="CR1021" i="1"/>
  <c r="CP1021" i="1"/>
  <c r="CN1021" i="1"/>
  <c r="CJ1021" i="1"/>
  <c r="CH1021" i="1"/>
  <c r="CF1021" i="1"/>
  <c r="BL1021" i="1"/>
  <c r="BD1021" i="1"/>
  <c r="AZ1021" i="1"/>
  <c r="AX1021" i="1"/>
  <c r="DC1020" i="1"/>
  <c r="DA1020" i="1"/>
  <c r="CY1020" i="1"/>
  <c r="Y1020" i="1" s="1"/>
  <c r="CW1020" i="1"/>
  <c r="AA1020" i="1" s="1"/>
  <c r="CR1020" i="1"/>
  <c r="CP1020" i="1"/>
  <c r="CN1020" i="1"/>
  <c r="CJ1020" i="1"/>
  <c r="CH1020" i="1"/>
  <c r="CF1020" i="1"/>
  <c r="BL1020" i="1"/>
  <c r="BD1020" i="1"/>
  <c r="AZ1020" i="1"/>
  <c r="AX1020" i="1"/>
  <c r="DC1013" i="1"/>
  <c r="DA1013" i="1"/>
  <c r="CY1013" i="1"/>
  <c r="Y1013" i="1" s="1"/>
  <c r="CW1013" i="1"/>
  <c r="AA1013" i="1" s="1"/>
  <c r="CR1013" i="1"/>
  <c r="CP1013" i="1"/>
  <c r="CN1013" i="1"/>
  <c r="CJ1013" i="1"/>
  <c r="CH1013" i="1"/>
  <c r="CF1013" i="1"/>
  <c r="BL1013" i="1"/>
  <c r="BD1013" i="1"/>
  <c r="AZ1013" i="1"/>
  <c r="AX1013" i="1"/>
  <c r="DC627" i="1"/>
  <c r="DA627" i="1"/>
  <c r="CY627" i="1"/>
  <c r="Y627" i="1" s="1"/>
  <c r="CW627" i="1"/>
  <c r="AA627" i="1" s="1"/>
  <c r="CR627" i="1"/>
  <c r="CP627" i="1"/>
  <c r="CN627" i="1"/>
  <c r="CJ627" i="1"/>
  <c r="CH627" i="1"/>
  <c r="CF627" i="1"/>
  <c r="BL627" i="1"/>
  <c r="BD627" i="1"/>
  <c r="AZ627" i="1"/>
  <c r="AX627" i="1"/>
  <c r="DC628" i="1"/>
  <c r="DA628" i="1"/>
  <c r="CY628" i="1"/>
  <c r="Y628" i="1" s="1"/>
  <c r="CW628" i="1"/>
  <c r="AA628" i="1" s="1"/>
  <c r="CR628" i="1"/>
  <c r="CP628" i="1"/>
  <c r="CN628" i="1"/>
  <c r="CJ628" i="1"/>
  <c r="CH628" i="1"/>
  <c r="CF628" i="1"/>
  <c r="BL628" i="1"/>
  <c r="BD628" i="1"/>
  <c r="AZ628" i="1"/>
  <c r="AX628" i="1"/>
  <c r="DC626" i="1"/>
  <c r="DA626" i="1"/>
  <c r="CY626" i="1"/>
  <c r="Y626" i="1" s="1"/>
  <c r="CW626" i="1"/>
  <c r="AA626" i="1" s="1"/>
  <c r="CR626" i="1"/>
  <c r="CP626" i="1"/>
  <c r="CN626" i="1"/>
  <c r="CJ626" i="1"/>
  <c r="CH626" i="1"/>
  <c r="CF626" i="1"/>
  <c r="BL626" i="1"/>
  <c r="BD626" i="1"/>
  <c r="AZ626" i="1"/>
  <c r="AX626" i="1"/>
  <c r="DC625" i="1"/>
  <c r="DA625" i="1"/>
  <c r="CY625" i="1"/>
  <c r="Y625" i="1" s="1"/>
  <c r="CW625" i="1"/>
  <c r="AA625" i="1" s="1"/>
  <c r="CR625" i="1"/>
  <c r="CP625" i="1"/>
  <c r="CN625" i="1"/>
  <c r="CJ625" i="1"/>
  <c r="CH625" i="1"/>
  <c r="CF625" i="1"/>
  <c r="BL625" i="1"/>
  <c r="BD625" i="1"/>
  <c r="AZ625" i="1"/>
  <c r="AX625" i="1"/>
  <c r="DC988" i="1"/>
  <c r="DA988" i="1"/>
  <c r="CY988" i="1"/>
  <c r="Y988" i="1" s="1"/>
  <c r="CW988" i="1"/>
  <c r="AA988" i="1" s="1"/>
  <c r="CR988" i="1"/>
  <c r="CP988" i="1"/>
  <c r="CN988" i="1"/>
  <c r="CJ988" i="1"/>
  <c r="CH988" i="1"/>
  <c r="CF988" i="1"/>
  <c r="BL988" i="1"/>
  <c r="BD988" i="1"/>
  <c r="AZ988" i="1"/>
  <c r="AX988" i="1"/>
  <c r="DC976" i="1"/>
  <c r="DA976" i="1"/>
  <c r="CY976" i="1"/>
  <c r="Y976" i="1" s="1"/>
  <c r="CW976" i="1"/>
  <c r="AA976" i="1" s="1"/>
  <c r="CR976" i="1"/>
  <c r="CP976" i="1"/>
  <c r="CN976" i="1"/>
  <c r="CJ976" i="1"/>
  <c r="CH976" i="1"/>
  <c r="CF976" i="1"/>
  <c r="BL976" i="1"/>
  <c r="BD976" i="1"/>
  <c r="AZ976" i="1"/>
  <c r="AX976" i="1"/>
  <c r="DC977" i="1"/>
  <c r="DA977" i="1"/>
  <c r="CY977" i="1"/>
  <c r="Y977" i="1" s="1"/>
  <c r="CW977" i="1"/>
  <c r="AA977" i="1" s="1"/>
  <c r="CR977" i="1"/>
  <c r="CP977" i="1"/>
  <c r="CN977" i="1"/>
  <c r="CJ977" i="1"/>
  <c r="CH977" i="1"/>
  <c r="CF977" i="1"/>
  <c r="BL977" i="1"/>
  <c r="BD977" i="1"/>
  <c r="AZ977" i="1"/>
  <c r="AX977" i="1"/>
  <c r="DC963" i="1"/>
  <c r="DA963" i="1"/>
  <c r="CY963" i="1"/>
  <c r="Y963" i="1" s="1"/>
  <c r="CW963" i="1"/>
  <c r="AA963" i="1" s="1"/>
  <c r="CR963" i="1"/>
  <c r="CP963" i="1"/>
  <c r="CN963" i="1"/>
  <c r="CJ963" i="1"/>
  <c r="CH963" i="1"/>
  <c r="CF963" i="1"/>
  <c r="BL963" i="1"/>
  <c r="BD963" i="1"/>
  <c r="AZ963" i="1"/>
  <c r="AX963" i="1"/>
  <c r="DC964" i="1"/>
  <c r="DA964" i="1"/>
  <c r="CY964" i="1"/>
  <c r="Y964" i="1" s="1"/>
  <c r="CW964" i="1"/>
  <c r="AA964" i="1" s="1"/>
  <c r="CR964" i="1"/>
  <c r="CP964" i="1"/>
  <c r="CN964" i="1"/>
  <c r="CJ964" i="1"/>
  <c r="CH964" i="1"/>
  <c r="CF964" i="1"/>
  <c r="BL964" i="1"/>
  <c r="BD964" i="1"/>
  <c r="AZ964" i="1"/>
  <c r="AX964" i="1"/>
  <c r="DC965" i="1"/>
  <c r="DA965" i="1"/>
  <c r="CY965" i="1"/>
  <c r="Y965" i="1" s="1"/>
  <c r="CW965" i="1"/>
  <c r="AA965" i="1" s="1"/>
  <c r="CR965" i="1"/>
  <c r="CP965" i="1"/>
  <c r="CN965" i="1"/>
  <c r="CJ965" i="1"/>
  <c r="CH965" i="1"/>
  <c r="CF965" i="1"/>
  <c r="BL965" i="1"/>
  <c r="BD965" i="1"/>
  <c r="AZ965" i="1"/>
  <c r="AX965" i="1"/>
  <c r="DC894" i="1"/>
  <c r="DA894" i="1"/>
  <c r="CY894" i="1"/>
  <c r="Y894" i="1" s="1"/>
  <c r="CW894" i="1"/>
  <c r="AA894" i="1" s="1"/>
  <c r="CR894" i="1"/>
  <c r="CP894" i="1"/>
  <c r="CN894" i="1"/>
  <c r="CJ894" i="1"/>
  <c r="CH894" i="1"/>
  <c r="CF894" i="1"/>
  <c r="BL894" i="1"/>
  <c r="BD894" i="1"/>
  <c r="AZ894" i="1"/>
  <c r="AX894" i="1"/>
  <c r="DC841" i="1"/>
  <c r="DA841" i="1"/>
  <c r="CY841" i="1"/>
  <c r="Y841" i="1" s="1"/>
  <c r="CW841" i="1"/>
  <c r="AA841" i="1" s="1"/>
  <c r="CR841" i="1"/>
  <c r="CP841" i="1"/>
  <c r="CN841" i="1"/>
  <c r="CJ841" i="1"/>
  <c r="CH841" i="1"/>
  <c r="CF841" i="1"/>
  <c r="BL841" i="1"/>
  <c r="BD841" i="1"/>
  <c r="AZ841" i="1"/>
  <c r="AX841" i="1"/>
  <c r="DC840" i="1"/>
  <c r="DA840" i="1"/>
  <c r="CY840" i="1"/>
  <c r="Y840" i="1" s="1"/>
  <c r="CW840" i="1"/>
  <c r="AA840" i="1" s="1"/>
  <c r="CR840" i="1"/>
  <c r="CP840" i="1"/>
  <c r="CN840" i="1"/>
  <c r="CJ840" i="1"/>
  <c r="CH840" i="1"/>
  <c r="CF840" i="1"/>
  <c r="BL840" i="1"/>
  <c r="BD840" i="1"/>
  <c r="AZ840" i="1"/>
  <c r="AX840" i="1"/>
  <c r="DC818" i="1"/>
  <c r="DA818" i="1"/>
  <c r="CY818" i="1"/>
  <c r="Y818" i="1" s="1"/>
  <c r="CW818" i="1"/>
  <c r="AA818" i="1" s="1"/>
  <c r="CR818" i="1"/>
  <c r="CP818" i="1"/>
  <c r="CN818" i="1"/>
  <c r="CJ818" i="1"/>
  <c r="CH818" i="1"/>
  <c r="CF818" i="1"/>
  <c r="BL818" i="1"/>
  <c r="BD818" i="1"/>
  <c r="AZ818" i="1"/>
  <c r="AX818" i="1"/>
  <c r="DC917" i="1"/>
  <c r="DA917" i="1"/>
  <c r="CY917" i="1"/>
  <c r="Y917" i="1" s="1"/>
  <c r="CW917" i="1"/>
  <c r="AA917" i="1" s="1"/>
  <c r="CR917" i="1"/>
  <c r="CP917" i="1"/>
  <c r="CN917" i="1"/>
  <c r="CJ917" i="1"/>
  <c r="CH917" i="1"/>
  <c r="CF917" i="1"/>
  <c r="BL917" i="1"/>
  <c r="BD917" i="1"/>
  <c r="AZ917" i="1"/>
  <c r="AX917" i="1"/>
  <c r="DC817" i="1"/>
  <c r="DA817" i="1"/>
  <c r="CY817" i="1"/>
  <c r="Y817" i="1" s="1"/>
  <c r="CW817" i="1"/>
  <c r="AA817" i="1" s="1"/>
  <c r="CR817" i="1"/>
  <c r="CP817" i="1"/>
  <c r="CN817" i="1"/>
  <c r="CJ817" i="1"/>
  <c r="CH817" i="1"/>
  <c r="CF817" i="1"/>
  <c r="BL817" i="1"/>
  <c r="BD817" i="1"/>
  <c r="AZ817" i="1"/>
  <c r="AX817" i="1"/>
  <c r="DC632" i="1"/>
  <c r="DA632" i="1"/>
  <c r="CY632" i="1"/>
  <c r="Y632" i="1" s="1"/>
  <c r="CW632" i="1"/>
  <c r="AA632" i="1" s="1"/>
  <c r="CR632" i="1"/>
  <c r="CP632" i="1"/>
  <c r="CN632" i="1"/>
  <c r="CJ632" i="1"/>
  <c r="CH632" i="1"/>
  <c r="CF632" i="1"/>
  <c r="BL632" i="1"/>
  <c r="BD632" i="1"/>
  <c r="AZ632" i="1"/>
  <c r="AX632" i="1"/>
  <c r="DC583" i="1"/>
  <c r="DA583" i="1"/>
  <c r="CY583" i="1"/>
  <c r="Y583" i="1" s="1"/>
  <c r="CW583" i="1"/>
  <c r="AA583" i="1" s="1"/>
  <c r="CR583" i="1"/>
  <c r="CP583" i="1"/>
  <c r="CN583" i="1"/>
  <c r="CJ583" i="1"/>
  <c r="CH583" i="1"/>
  <c r="CF583" i="1"/>
  <c r="BL583" i="1"/>
  <c r="BD583" i="1"/>
  <c r="AZ583" i="1"/>
  <c r="AX583" i="1"/>
  <c r="DC559" i="1"/>
  <c r="DA559" i="1"/>
  <c r="CY559" i="1"/>
  <c r="Y559" i="1" s="1"/>
  <c r="CW559" i="1"/>
  <c r="AA559" i="1" s="1"/>
  <c r="CR559" i="1"/>
  <c r="CP559" i="1"/>
  <c r="CN559" i="1"/>
  <c r="CJ559" i="1"/>
  <c r="CH559" i="1"/>
  <c r="CF559" i="1"/>
  <c r="BL559" i="1"/>
  <c r="BD559" i="1"/>
  <c r="AZ559" i="1"/>
  <c r="AX559" i="1"/>
  <c r="DC543" i="1"/>
  <c r="DA543" i="1"/>
  <c r="CY543" i="1"/>
  <c r="Y543" i="1" s="1"/>
  <c r="CW543" i="1"/>
  <c r="AA543" i="1" s="1"/>
  <c r="CR543" i="1"/>
  <c r="CP543" i="1"/>
  <c r="CN543" i="1"/>
  <c r="CJ543" i="1"/>
  <c r="CH543" i="1"/>
  <c r="CF543" i="1"/>
  <c r="BL543" i="1"/>
  <c r="BD543" i="1"/>
  <c r="AZ543" i="1"/>
  <c r="AX543" i="1"/>
  <c r="DC972" i="1"/>
  <c r="DA972" i="1"/>
  <c r="CY972" i="1"/>
  <c r="Y972" i="1" s="1"/>
  <c r="CW972" i="1"/>
  <c r="AA972" i="1" s="1"/>
  <c r="CR972" i="1"/>
  <c r="CP972" i="1"/>
  <c r="CN972" i="1"/>
  <c r="CJ972" i="1"/>
  <c r="CH972" i="1"/>
  <c r="CF972" i="1"/>
  <c r="BL972" i="1"/>
  <c r="BD972" i="1"/>
  <c r="AZ972" i="1"/>
  <c r="AX972" i="1"/>
  <c r="DC968" i="1"/>
  <c r="DA968" i="1"/>
  <c r="CY968" i="1"/>
  <c r="Y968" i="1" s="1"/>
  <c r="CW968" i="1"/>
  <c r="AA968" i="1" s="1"/>
  <c r="CR968" i="1"/>
  <c r="CP968" i="1"/>
  <c r="CN968" i="1"/>
  <c r="CJ968" i="1"/>
  <c r="CH968" i="1"/>
  <c r="CF968" i="1"/>
  <c r="BL968" i="1"/>
  <c r="BD968" i="1"/>
  <c r="AZ968" i="1"/>
  <c r="AX968" i="1"/>
  <c r="DC967" i="1"/>
  <c r="DA967" i="1"/>
  <c r="CY967" i="1"/>
  <c r="Y967" i="1" s="1"/>
  <c r="CW967" i="1"/>
  <c r="AA967" i="1" s="1"/>
  <c r="CR967" i="1"/>
  <c r="CP967" i="1"/>
  <c r="CN967" i="1"/>
  <c r="CJ967" i="1"/>
  <c r="CH967" i="1"/>
  <c r="CF967" i="1"/>
  <c r="BL967" i="1"/>
  <c r="BD967" i="1"/>
  <c r="AZ967" i="1"/>
  <c r="AX967" i="1"/>
  <c r="DC971" i="1"/>
  <c r="DA971" i="1"/>
  <c r="CY971" i="1"/>
  <c r="Y971" i="1" s="1"/>
  <c r="CW971" i="1"/>
  <c r="AA971" i="1" s="1"/>
  <c r="CR971" i="1"/>
  <c r="CP971" i="1"/>
  <c r="CN971" i="1"/>
  <c r="CJ971" i="1"/>
  <c r="CH971" i="1"/>
  <c r="CF971" i="1"/>
  <c r="BL971" i="1"/>
  <c r="BD971" i="1"/>
  <c r="AZ971" i="1"/>
  <c r="AX971" i="1"/>
  <c r="DC970" i="1"/>
  <c r="DA970" i="1"/>
  <c r="CY970" i="1"/>
  <c r="Y970" i="1" s="1"/>
  <c r="CW970" i="1"/>
  <c r="AA970" i="1" s="1"/>
  <c r="CR970" i="1"/>
  <c r="CP970" i="1"/>
  <c r="CN970" i="1"/>
  <c r="CJ970" i="1"/>
  <c r="CH970" i="1"/>
  <c r="CF970" i="1"/>
  <c r="BL970" i="1"/>
  <c r="BD970" i="1"/>
  <c r="AZ970" i="1"/>
  <c r="AX970" i="1"/>
  <c r="DC969" i="1"/>
  <c r="DA969" i="1"/>
  <c r="CY969" i="1"/>
  <c r="Y969" i="1" s="1"/>
  <c r="CW969" i="1"/>
  <c r="AA969" i="1" s="1"/>
  <c r="CR969" i="1"/>
  <c r="CP969" i="1"/>
  <c r="CN969" i="1"/>
  <c r="CJ969" i="1"/>
  <c r="CH969" i="1"/>
  <c r="CF969" i="1"/>
  <c r="BL969" i="1"/>
  <c r="BD969" i="1"/>
  <c r="AZ969" i="1"/>
  <c r="AX969" i="1"/>
  <c r="Z1232" i="1" l="1"/>
  <c r="Z1013" i="1"/>
  <c r="Z1023" i="1"/>
  <c r="CU1020" i="1"/>
  <c r="X1020" i="1" s="1"/>
  <c r="Z1020" i="1"/>
  <c r="Z1022" i="1"/>
  <c r="Z625" i="1"/>
  <c r="Z627" i="1"/>
  <c r="Z626" i="1"/>
  <c r="Z1021" i="1"/>
  <c r="CU1021" i="1"/>
  <c r="X1021" i="1" s="1"/>
  <c r="CU1023" i="1"/>
  <c r="X1023" i="1" s="1"/>
  <c r="CU1013" i="1"/>
  <c r="X1013" i="1" s="1"/>
  <c r="CU1022" i="1"/>
  <c r="X1022" i="1" s="1"/>
  <c r="CU1232" i="1"/>
  <c r="X1232" i="1" s="1"/>
  <c r="Z988" i="1"/>
  <c r="Z976" i="1"/>
  <c r="Z628" i="1"/>
  <c r="CU626" i="1"/>
  <c r="X626" i="1" s="1"/>
  <c r="CU988" i="1"/>
  <c r="X988" i="1" s="1"/>
  <c r="CU627" i="1"/>
  <c r="X627" i="1" s="1"/>
  <c r="CU628" i="1"/>
  <c r="X628" i="1" s="1"/>
  <c r="CU625" i="1"/>
  <c r="X625" i="1" s="1"/>
  <c r="CU977" i="1"/>
  <c r="X977" i="1" s="1"/>
  <c r="Z977" i="1"/>
  <c r="CU976" i="1"/>
  <c r="X976" i="1" s="1"/>
  <c r="Z964" i="1"/>
  <c r="Z965" i="1"/>
  <c r="CU963" i="1"/>
  <c r="X963" i="1" s="1"/>
  <c r="Z963" i="1"/>
  <c r="CU965" i="1"/>
  <c r="X965" i="1" s="1"/>
  <c r="CU964" i="1"/>
  <c r="X964" i="1" s="1"/>
  <c r="Z894" i="1"/>
  <c r="CU894" i="1"/>
  <c r="X894" i="1" s="1"/>
  <c r="Z971" i="1"/>
  <c r="Z969" i="1"/>
  <c r="Z968" i="1"/>
  <c r="Z583" i="1"/>
  <c r="Z840" i="1"/>
  <c r="Z841" i="1"/>
  <c r="Z543" i="1"/>
  <c r="Z817" i="1"/>
  <c r="Z917" i="1"/>
  <c r="Z967" i="1"/>
  <c r="Z559" i="1"/>
  <c r="Z818" i="1"/>
  <c r="Z970" i="1"/>
  <c r="Z972" i="1"/>
  <c r="Z632" i="1"/>
  <c r="CU969" i="1"/>
  <c r="X969" i="1" s="1"/>
  <c r="CU970" i="1"/>
  <c r="X970" i="1" s="1"/>
  <c r="CU971" i="1"/>
  <c r="X971" i="1" s="1"/>
  <c r="CU967" i="1"/>
  <c r="X967" i="1" s="1"/>
  <c r="CU968" i="1"/>
  <c r="X968" i="1" s="1"/>
  <c r="CU972" i="1"/>
  <c r="X972" i="1" s="1"/>
  <c r="CU543" i="1"/>
  <c r="X543" i="1" s="1"/>
  <c r="CU559" i="1"/>
  <c r="X559" i="1" s="1"/>
  <c r="CU583" i="1"/>
  <c r="X583" i="1" s="1"/>
  <c r="CU632" i="1"/>
  <c r="X632" i="1" s="1"/>
  <c r="CU817" i="1"/>
  <c r="X817" i="1" s="1"/>
  <c r="CU917" i="1"/>
  <c r="X917" i="1" s="1"/>
  <c r="CU818" i="1"/>
  <c r="X818" i="1" s="1"/>
  <c r="CU840" i="1"/>
  <c r="X840" i="1" s="1"/>
  <c r="CU841" i="1"/>
  <c r="X841" i="1" s="1"/>
  <c r="DC612" i="1"/>
  <c r="DA612" i="1"/>
  <c r="CY612" i="1"/>
  <c r="Y612" i="1" s="1"/>
  <c r="CW612" i="1"/>
  <c r="AA612" i="1" s="1"/>
  <c r="CR612" i="1"/>
  <c r="CP612" i="1"/>
  <c r="CN612" i="1"/>
  <c r="CJ612" i="1"/>
  <c r="CH612" i="1"/>
  <c r="CF612" i="1"/>
  <c r="BL612" i="1"/>
  <c r="BD612" i="1"/>
  <c r="AZ612" i="1"/>
  <c r="AX612" i="1"/>
  <c r="DC633" i="1"/>
  <c r="DA633" i="1"/>
  <c r="CY633" i="1"/>
  <c r="Y633" i="1" s="1"/>
  <c r="CW633" i="1"/>
  <c r="AA633" i="1" s="1"/>
  <c r="CR633" i="1"/>
  <c r="CP633" i="1"/>
  <c r="CN633" i="1"/>
  <c r="CJ633" i="1"/>
  <c r="CH633" i="1"/>
  <c r="CF633" i="1"/>
  <c r="BL633" i="1"/>
  <c r="BD633" i="1"/>
  <c r="AZ633" i="1"/>
  <c r="AX633" i="1"/>
  <c r="DC584" i="1"/>
  <c r="DA584" i="1"/>
  <c r="CY584" i="1"/>
  <c r="Y584" i="1" s="1"/>
  <c r="CW584" i="1"/>
  <c r="AA584" i="1" s="1"/>
  <c r="CR584" i="1"/>
  <c r="CP584" i="1"/>
  <c r="CN584" i="1"/>
  <c r="CJ584" i="1"/>
  <c r="CH584" i="1"/>
  <c r="CF584" i="1"/>
  <c r="BL584" i="1"/>
  <c r="BD584" i="1"/>
  <c r="AZ584" i="1"/>
  <c r="AX584" i="1"/>
  <c r="DC574" i="1"/>
  <c r="DA574" i="1"/>
  <c r="CY574" i="1"/>
  <c r="Y574" i="1" s="1"/>
  <c r="CW574" i="1"/>
  <c r="AA574" i="1" s="1"/>
  <c r="CR574" i="1"/>
  <c r="CP574" i="1"/>
  <c r="CN574" i="1"/>
  <c r="CJ574" i="1"/>
  <c r="CH574" i="1"/>
  <c r="CF574" i="1"/>
  <c r="BL574" i="1"/>
  <c r="BD574" i="1"/>
  <c r="AZ574" i="1"/>
  <c r="AX574" i="1"/>
  <c r="DC560" i="1"/>
  <c r="DA560" i="1"/>
  <c r="CY560" i="1"/>
  <c r="Y560" i="1" s="1"/>
  <c r="CW560" i="1"/>
  <c r="AA560" i="1" s="1"/>
  <c r="CR560" i="1"/>
  <c r="CP560" i="1"/>
  <c r="CN560" i="1"/>
  <c r="CJ560" i="1"/>
  <c r="CH560" i="1"/>
  <c r="CF560" i="1"/>
  <c r="BL560" i="1"/>
  <c r="BD560" i="1"/>
  <c r="AZ560" i="1"/>
  <c r="AX560" i="1"/>
  <c r="DC544" i="1"/>
  <c r="DA544" i="1"/>
  <c r="CY544" i="1"/>
  <c r="Y544" i="1" s="1"/>
  <c r="CW544" i="1"/>
  <c r="AA544" i="1" s="1"/>
  <c r="CR544" i="1"/>
  <c r="CP544" i="1"/>
  <c r="CN544" i="1"/>
  <c r="CJ544" i="1"/>
  <c r="CH544" i="1"/>
  <c r="CF544" i="1"/>
  <c r="BL544" i="1"/>
  <c r="BD544" i="1"/>
  <c r="AZ544" i="1"/>
  <c r="AX544" i="1"/>
  <c r="DC500" i="1"/>
  <c r="DA500" i="1"/>
  <c r="CY500" i="1"/>
  <c r="Y500" i="1" s="1"/>
  <c r="CW500" i="1"/>
  <c r="AA500" i="1" s="1"/>
  <c r="CR500" i="1"/>
  <c r="CP500" i="1"/>
  <c r="CN500" i="1"/>
  <c r="CJ500" i="1"/>
  <c r="CH500" i="1"/>
  <c r="CF500" i="1"/>
  <c r="BL500" i="1"/>
  <c r="BD500" i="1"/>
  <c r="AZ500" i="1"/>
  <c r="AX500" i="1"/>
  <c r="DC953" i="1"/>
  <c r="DA953" i="1"/>
  <c r="CY953" i="1"/>
  <c r="Y953" i="1" s="1"/>
  <c r="CW953" i="1"/>
  <c r="AA953" i="1" s="1"/>
  <c r="CR953" i="1"/>
  <c r="CP953" i="1"/>
  <c r="CN953" i="1"/>
  <c r="CJ953" i="1"/>
  <c r="CH953" i="1"/>
  <c r="CF953" i="1"/>
  <c r="BL953" i="1"/>
  <c r="BD953" i="1"/>
  <c r="AZ953" i="1"/>
  <c r="AX953" i="1"/>
  <c r="DC952" i="1"/>
  <c r="DA952" i="1"/>
  <c r="CY952" i="1"/>
  <c r="Y952" i="1" s="1"/>
  <c r="CW952" i="1"/>
  <c r="AA952" i="1" s="1"/>
  <c r="CR952" i="1"/>
  <c r="CP952" i="1"/>
  <c r="CN952" i="1"/>
  <c r="CJ952" i="1"/>
  <c r="CH952" i="1"/>
  <c r="CF952" i="1"/>
  <c r="BL952" i="1"/>
  <c r="BD952" i="1"/>
  <c r="AZ952" i="1"/>
  <c r="AX952" i="1"/>
  <c r="DC954" i="1"/>
  <c r="DA954" i="1"/>
  <c r="CY954" i="1"/>
  <c r="Y954" i="1" s="1"/>
  <c r="CW954" i="1"/>
  <c r="AA954" i="1" s="1"/>
  <c r="CR954" i="1"/>
  <c r="CP954" i="1"/>
  <c r="CN954" i="1"/>
  <c r="CJ954" i="1"/>
  <c r="CH954" i="1"/>
  <c r="CF954" i="1"/>
  <c r="BL954" i="1"/>
  <c r="BD954" i="1"/>
  <c r="AZ954" i="1"/>
  <c r="AX954" i="1"/>
  <c r="DC951" i="1"/>
  <c r="DA951" i="1"/>
  <c r="CY951" i="1"/>
  <c r="Y951" i="1" s="1"/>
  <c r="CW951" i="1"/>
  <c r="AA951" i="1" s="1"/>
  <c r="CR951" i="1"/>
  <c r="CP951" i="1"/>
  <c r="CN951" i="1"/>
  <c r="CJ951" i="1"/>
  <c r="CH951" i="1"/>
  <c r="CF951" i="1"/>
  <c r="BL951" i="1"/>
  <c r="BD951" i="1"/>
  <c r="AZ951" i="1"/>
  <c r="AX951" i="1"/>
  <c r="AD840" i="1" l="1"/>
  <c r="AD1232" i="1"/>
  <c r="AD1021" i="1"/>
  <c r="AD1013" i="1"/>
  <c r="AD1023" i="1"/>
  <c r="AD1020" i="1"/>
  <c r="AD1022" i="1"/>
  <c r="AD625" i="1"/>
  <c r="AD627" i="1"/>
  <c r="AD626" i="1"/>
  <c r="AD976" i="1"/>
  <c r="AD628" i="1"/>
  <c r="AD988" i="1"/>
  <c r="AD977" i="1"/>
  <c r="AD964" i="1"/>
  <c r="AD963" i="1"/>
  <c r="AD965" i="1"/>
  <c r="AD894" i="1"/>
  <c r="AD968" i="1"/>
  <c r="AD632" i="1"/>
  <c r="AD917" i="1"/>
  <c r="AD967" i="1"/>
  <c r="AD583" i="1"/>
  <c r="AD969" i="1"/>
  <c r="AD971" i="1"/>
  <c r="AD841" i="1"/>
  <c r="AD543" i="1"/>
  <c r="AD817" i="1"/>
  <c r="Z544" i="1"/>
  <c r="Z633" i="1"/>
  <c r="Z574" i="1"/>
  <c r="Z500" i="1"/>
  <c r="Z584" i="1"/>
  <c r="CU633" i="1"/>
  <c r="X633" i="1" s="1"/>
  <c r="AD972" i="1"/>
  <c r="AD970" i="1"/>
  <c r="CU584" i="1"/>
  <c r="X584" i="1" s="1"/>
  <c r="Z560" i="1"/>
  <c r="CU574" i="1"/>
  <c r="X574" i="1" s="1"/>
  <c r="Z612" i="1"/>
  <c r="AD818" i="1"/>
  <c r="AD559" i="1"/>
  <c r="CU500" i="1"/>
  <c r="X500" i="1" s="1"/>
  <c r="CU544" i="1"/>
  <c r="X544" i="1" s="1"/>
  <c r="CU560" i="1"/>
  <c r="X560" i="1" s="1"/>
  <c r="CU612" i="1"/>
  <c r="X612" i="1" s="1"/>
  <c r="Z954" i="1"/>
  <c r="Z953" i="1"/>
  <c r="Z951" i="1"/>
  <c r="Z952" i="1"/>
  <c r="CU954" i="1"/>
  <c r="X954" i="1" s="1"/>
  <c r="CU953" i="1"/>
  <c r="X953" i="1" s="1"/>
  <c r="CU951" i="1"/>
  <c r="X951" i="1" s="1"/>
  <c r="CU952" i="1"/>
  <c r="X952" i="1" s="1"/>
  <c r="AD584" i="1" l="1"/>
  <c r="AD953" i="1"/>
  <c r="AD574" i="1"/>
  <c r="AD560" i="1"/>
  <c r="AD500" i="1"/>
  <c r="AD633" i="1"/>
  <c r="AD612" i="1"/>
  <c r="AD544" i="1"/>
  <c r="AD954" i="1"/>
  <c r="AD951" i="1"/>
  <c r="AD952" i="1"/>
  <c r="AX730" i="1" l="1"/>
  <c r="AZ730" i="1"/>
  <c r="BD730" i="1"/>
  <c r="BL730" i="1"/>
  <c r="CF730" i="1"/>
  <c r="CH730" i="1"/>
  <c r="CJ730" i="1"/>
  <c r="CN730" i="1"/>
  <c r="CP730" i="1"/>
  <c r="CR730" i="1"/>
  <c r="CW730" i="1"/>
  <c r="AA730" i="1" s="1"/>
  <c r="CY730" i="1"/>
  <c r="Y730" i="1" s="1"/>
  <c r="Z730" i="1" l="1"/>
  <c r="CU730" i="1"/>
  <c r="X730" i="1" s="1"/>
  <c r="DC962" i="1"/>
  <c r="DA962" i="1"/>
  <c r="CY962" i="1"/>
  <c r="Y962" i="1" s="1"/>
  <c r="CW962" i="1"/>
  <c r="AA962" i="1" s="1"/>
  <c r="CR962" i="1"/>
  <c r="CP962" i="1"/>
  <c r="CN962" i="1"/>
  <c r="CJ962" i="1"/>
  <c r="CH962" i="1"/>
  <c r="CF962" i="1"/>
  <c r="BL962" i="1"/>
  <c r="BD962" i="1"/>
  <c r="AZ962" i="1"/>
  <c r="AX962" i="1"/>
  <c r="DC959" i="1"/>
  <c r="DA959" i="1"/>
  <c r="CY959" i="1"/>
  <c r="Y959" i="1" s="1"/>
  <c r="CW959" i="1"/>
  <c r="AA959" i="1" s="1"/>
  <c r="CR959" i="1"/>
  <c r="CP959" i="1"/>
  <c r="CN959" i="1"/>
  <c r="CJ959" i="1"/>
  <c r="CH959" i="1"/>
  <c r="CF959" i="1"/>
  <c r="BL959" i="1"/>
  <c r="BD959" i="1"/>
  <c r="AZ959" i="1"/>
  <c r="AX959" i="1"/>
  <c r="CY716" i="1"/>
  <c r="Y716" i="1" s="1"/>
  <c r="CW716" i="1"/>
  <c r="AA716" i="1" s="1"/>
  <c r="CR716" i="1"/>
  <c r="CP716" i="1"/>
  <c r="CN716" i="1"/>
  <c r="CJ716" i="1"/>
  <c r="CH716" i="1"/>
  <c r="CF716" i="1"/>
  <c r="BL716" i="1"/>
  <c r="BD716" i="1"/>
  <c r="AZ716" i="1"/>
  <c r="AX716" i="1"/>
  <c r="CY718" i="1"/>
  <c r="Y718" i="1" s="1"/>
  <c r="CW718" i="1"/>
  <c r="AA718" i="1" s="1"/>
  <c r="CR718" i="1"/>
  <c r="CP718" i="1"/>
  <c r="CN718" i="1"/>
  <c r="CJ718" i="1"/>
  <c r="CH718" i="1"/>
  <c r="CF718" i="1"/>
  <c r="BL718" i="1"/>
  <c r="BD718" i="1"/>
  <c r="AZ718" i="1"/>
  <c r="AX718" i="1"/>
  <c r="DA715" i="1"/>
  <c r="CY715" i="1"/>
  <c r="Y715" i="1" s="1"/>
  <c r="CW715" i="1"/>
  <c r="AA715" i="1" s="1"/>
  <c r="CR715" i="1"/>
  <c r="CP715" i="1"/>
  <c r="CN715" i="1"/>
  <c r="CJ715" i="1"/>
  <c r="CH715" i="1"/>
  <c r="CF715" i="1"/>
  <c r="BL715" i="1"/>
  <c r="BD715" i="1"/>
  <c r="AZ715" i="1"/>
  <c r="AX715" i="1"/>
  <c r="CY713" i="1"/>
  <c r="Y713" i="1" s="1"/>
  <c r="CW713" i="1"/>
  <c r="AA713" i="1" s="1"/>
  <c r="CR713" i="1"/>
  <c r="CP713" i="1"/>
  <c r="CN713" i="1"/>
  <c r="CJ713" i="1"/>
  <c r="CH713" i="1"/>
  <c r="CF713" i="1"/>
  <c r="BL713" i="1"/>
  <c r="BD713" i="1"/>
  <c r="AZ713" i="1"/>
  <c r="AX713" i="1"/>
  <c r="DC705" i="1"/>
  <c r="DA705" i="1"/>
  <c r="CY705" i="1"/>
  <c r="Y705" i="1" s="1"/>
  <c r="CW705" i="1"/>
  <c r="AA705" i="1" s="1"/>
  <c r="CR705" i="1"/>
  <c r="CP705" i="1"/>
  <c r="CN705" i="1"/>
  <c r="CJ705" i="1"/>
  <c r="CH705" i="1"/>
  <c r="CF705" i="1"/>
  <c r="BL705" i="1"/>
  <c r="BD705" i="1"/>
  <c r="AZ705" i="1"/>
  <c r="AX705" i="1"/>
  <c r="DC702" i="1"/>
  <c r="DA702" i="1"/>
  <c r="CY702" i="1"/>
  <c r="Y702" i="1" s="1"/>
  <c r="CW702" i="1"/>
  <c r="AA702" i="1" s="1"/>
  <c r="CR702" i="1"/>
  <c r="CP702" i="1"/>
  <c r="CN702" i="1"/>
  <c r="CJ702" i="1"/>
  <c r="CH702" i="1"/>
  <c r="CF702" i="1"/>
  <c r="BL702" i="1"/>
  <c r="BD702" i="1"/>
  <c r="AZ702" i="1"/>
  <c r="AX702" i="1"/>
  <c r="DC707" i="1"/>
  <c r="DA707" i="1"/>
  <c r="CY707" i="1"/>
  <c r="Y707" i="1" s="1"/>
  <c r="CW707" i="1"/>
  <c r="AA707" i="1" s="1"/>
  <c r="CR707" i="1"/>
  <c r="CP707" i="1"/>
  <c r="CN707" i="1"/>
  <c r="CJ707" i="1"/>
  <c r="CH707" i="1"/>
  <c r="CF707" i="1"/>
  <c r="BL707" i="1"/>
  <c r="BD707" i="1"/>
  <c r="AZ707" i="1"/>
  <c r="AX707" i="1"/>
  <c r="DC703" i="1"/>
  <c r="DA703" i="1"/>
  <c r="CY703" i="1"/>
  <c r="Y703" i="1" s="1"/>
  <c r="CW703" i="1"/>
  <c r="AA703" i="1" s="1"/>
  <c r="CR703" i="1"/>
  <c r="CP703" i="1"/>
  <c r="CN703" i="1"/>
  <c r="CJ703" i="1"/>
  <c r="CH703" i="1"/>
  <c r="CF703" i="1"/>
  <c r="BL703" i="1"/>
  <c r="BD703" i="1"/>
  <c r="AZ703" i="1"/>
  <c r="AX703" i="1"/>
  <c r="DC704" i="1"/>
  <c r="DA704" i="1"/>
  <c r="CY704" i="1"/>
  <c r="Y704" i="1" s="1"/>
  <c r="CW704" i="1"/>
  <c r="AA704" i="1" s="1"/>
  <c r="CR704" i="1"/>
  <c r="CP704" i="1"/>
  <c r="CN704" i="1"/>
  <c r="CJ704" i="1"/>
  <c r="CH704" i="1"/>
  <c r="CF704" i="1"/>
  <c r="BL704" i="1"/>
  <c r="BD704" i="1"/>
  <c r="AZ704" i="1"/>
  <c r="AX704" i="1"/>
  <c r="DA947" i="1"/>
  <c r="CY947" i="1"/>
  <c r="CW947" i="1"/>
  <c r="CR947" i="1"/>
  <c r="CP947" i="1"/>
  <c r="CN947" i="1"/>
  <c r="CJ947" i="1"/>
  <c r="CH947" i="1"/>
  <c r="CF947" i="1"/>
  <c r="BL947" i="1"/>
  <c r="BD947" i="1"/>
  <c r="AZ947" i="1"/>
  <c r="AX947" i="1"/>
  <c r="DC890" i="1"/>
  <c r="DA890" i="1"/>
  <c r="CY890" i="1"/>
  <c r="Y890" i="1" s="1"/>
  <c r="CW890" i="1"/>
  <c r="AA890" i="1" s="1"/>
  <c r="CR890" i="1"/>
  <c r="CP890" i="1"/>
  <c r="CN890" i="1"/>
  <c r="CJ890" i="1"/>
  <c r="CH890" i="1"/>
  <c r="CF890" i="1"/>
  <c r="BL890" i="1"/>
  <c r="BD890" i="1"/>
  <c r="AZ890" i="1"/>
  <c r="AX890" i="1"/>
  <c r="DC928" i="1"/>
  <c r="DA928" i="1"/>
  <c r="CY928" i="1"/>
  <c r="Y928" i="1" s="1"/>
  <c r="CW928" i="1"/>
  <c r="AA928" i="1" s="1"/>
  <c r="CR928" i="1"/>
  <c r="CP928" i="1"/>
  <c r="CN928" i="1"/>
  <c r="CJ928" i="1"/>
  <c r="CH928" i="1"/>
  <c r="CF928" i="1"/>
  <c r="BL928" i="1"/>
  <c r="BD928" i="1"/>
  <c r="AZ928" i="1"/>
  <c r="AX928" i="1"/>
  <c r="DC927" i="1"/>
  <c r="DA927" i="1"/>
  <c r="CY927" i="1"/>
  <c r="Y927" i="1" s="1"/>
  <c r="CW927" i="1"/>
  <c r="AA927" i="1" s="1"/>
  <c r="CR927" i="1"/>
  <c r="CP927" i="1"/>
  <c r="CN927" i="1"/>
  <c r="CJ927" i="1"/>
  <c r="CH927" i="1"/>
  <c r="CF927" i="1"/>
  <c r="BL927" i="1"/>
  <c r="BD927" i="1"/>
  <c r="AZ927" i="1"/>
  <c r="AX927" i="1"/>
  <c r="DC737" i="1"/>
  <c r="DA737" i="1"/>
  <c r="CY737" i="1"/>
  <c r="Y737" i="1" s="1"/>
  <c r="CW737" i="1"/>
  <c r="AA737" i="1" s="1"/>
  <c r="CR737" i="1"/>
  <c r="CP737" i="1"/>
  <c r="CN737" i="1"/>
  <c r="CJ737" i="1"/>
  <c r="CH737" i="1"/>
  <c r="CF737" i="1"/>
  <c r="BL737" i="1"/>
  <c r="BD737" i="1"/>
  <c r="AZ737" i="1"/>
  <c r="AX737" i="1"/>
  <c r="DC957" i="1"/>
  <c r="DA957" i="1"/>
  <c r="CY957" i="1"/>
  <c r="Y957" i="1" s="1"/>
  <c r="CW957" i="1"/>
  <c r="AA957" i="1" s="1"/>
  <c r="CR957" i="1"/>
  <c r="CP957" i="1"/>
  <c r="CN957" i="1"/>
  <c r="CJ957" i="1"/>
  <c r="CH957" i="1"/>
  <c r="CF957" i="1"/>
  <c r="BL957" i="1"/>
  <c r="BD957" i="1"/>
  <c r="AZ957" i="1"/>
  <c r="AX957" i="1"/>
  <c r="DC955" i="1"/>
  <c r="DA955" i="1"/>
  <c r="CY955" i="1"/>
  <c r="Y955" i="1" s="1"/>
  <c r="CW955" i="1"/>
  <c r="AA955" i="1" s="1"/>
  <c r="CR955" i="1"/>
  <c r="CP955" i="1"/>
  <c r="CN955" i="1"/>
  <c r="CJ955" i="1"/>
  <c r="CH955" i="1"/>
  <c r="CF955" i="1"/>
  <c r="BL955" i="1"/>
  <c r="BD955" i="1"/>
  <c r="AZ955" i="1"/>
  <c r="AX955" i="1"/>
  <c r="DC958" i="1"/>
  <c r="DA958" i="1"/>
  <c r="CY958" i="1"/>
  <c r="Y958" i="1" s="1"/>
  <c r="CW958" i="1"/>
  <c r="AA958" i="1" s="1"/>
  <c r="CR958" i="1"/>
  <c r="CP958" i="1"/>
  <c r="CN958" i="1"/>
  <c r="CJ958" i="1"/>
  <c r="CH958" i="1"/>
  <c r="CF958" i="1"/>
  <c r="BL958" i="1"/>
  <c r="BD958" i="1"/>
  <c r="AZ958" i="1"/>
  <c r="AX958" i="1"/>
  <c r="DC961" i="1"/>
  <c r="DA961" i="1"/>
  <c r="CY961" i="1"/>
  <c r="Y961" i="1" s="1"/>
  <c r="CW961" i="1"/>
  <c r="AA961" i="1" s="1"/>
  <c r="CR961" i="1"/>
  <c r="CP961" i="1"/>
  <c r="CN961" i="1"/>
  <c r="CJ961" i="1"/>
  <c r="CH961" i="1"/>
  <c r="CF961" i="1"/>
  <c r="BL961" i="1"/>
  <c r="BD961" i="1"/>
  <c r="AZ961" i="1"/>
  <c r="AX961" i="1"/>
  <c r="DC960" i="1"/>
  <c r="DA960" i="1"/>
  <c r="CY960" i="1"/>
  <c r="Y960" i="1" s="1"/>
  <c r="CW960" i="1"/>
  <c r="AA960" i="1" s="1"/>
  <c r="CR960" i="1"/>
  <c r="CP960" i="1"/>
  <c r="CN960" i="1"/>
  <c r="CJ960" i="1"/>
  <c r="CH960" i="1"/>
  <c r="CF960" i="1"/>
  <c r="BL960" i="1"/>
  <c r="BD960" i="1"/>
  <c r="AZ960" i="1"/>
  <c r="AX960" i="1"/>
  <c r="DC722" i="1"/>
  <c r="CY722" i="1"/>
  <c r="Y722" i="1" s="1"/>
  <c r="CW722" i="1"/>
  <c r="AA722" i="1" s="1"/>
  <c r="CR722" i="1"/>
  <c r="CP722" i="1"/>
  <c r="CN722" i="1"/>
  <c r="CJ722" i="1"/>
  <c r="CH722" i="1"/>
  <c r="CF722" i="1"/>
  <c r="BL722" i="1"/>
  <c r="BD722" i="1"/>
  <c r="AZ722" i="1"/>
  <c r="AX722" i="1"/>
  <c r="DC729" i="1"/>
  <c r="CY729" i="1"/>
  <c r="Y729" i="1" s="1"/>
  <c r="CW729" i="1"/>
  <c r="AA729" i="1" s="1"/>
  <c r="CR729" i="1"/>
  <c r="CP729" i="1"/>
  <c r="CN729" i="1"/>
  <c r="CJ729" i="1"/>
  <c r="CH729" i="1"/>
  <c r="CF729" i="1"/>
  <c r="BL729" i="1"/>
  <c r="BD729" i="1"/>
  <c r="AZ729" i="1"/>
  <c r="AX729" i="1"/>
  <c r="AD730" i="1" l="1"/>
  <c r="Z960" i="1"/>
  <c r="Z958" i="1"/>
  <c r="Z957" i="1"/>
  <c r="Z927" i="1"/>
  <c r="Z890" i="1"/>
  <c r="Z716" i="1"/>
  <c r="CU955" i="1"/>
  <c r="X955" i="1" s="1"/>
  <c r="Z955" i="1"/>
  <c r="CU928" i="1"/>
  <c r="X928" i="1" s="1"/>
  <c r="Z928" i="1"/>
  <c r="CU959" i="1"/>
  <c r="X959" i="1" s="1"/>
  <c r="Z962" i="1"/>
  <c r="CU713" i="1"/>
  <c r="X713" i="1" s="1"/>
  <c r="Z715" i="1"/>
  <c r="Z729" i="1"/>
  <c r="Z704" i="1"/>
  <c r="Z705" i="1"/>
  <c r="CU703" i="1"/>
  <c r="X703" i="1" s="1"/>
  <c r="Z707" i="1"/>
  <c r="CU961" i="1"/>
  <c r="X961" i="1" s="1"/>
  <c r="CU958" i="1"/>
  <c r="X958" i="1" s="1"/>
  <c r="CU737" i="1"/>
  <c r="X737" i="1" s="1"/>
  <c r="CU927" i="1"/>
  <c r="X927" i="1" s="1"/>
  <c r="CU947" i="1"/>
  <c r="CU718" i="1"/>
  <c r="X718" i="1" s="1"/>
  <c r="CU960" i="1"/>
  <c r="X960" i="1" s="1"/>
  <c r="CU957" i="1"/>
  <c r="X957" i="1" s="1"/>
  <c r="CU890" i="1"/>
  <c r="X890" i="1" s="1"/>
  <c r="CU715" i="1"/>
  <c r="X715" i="1" s="1"/>
  <c r="Z718" i="1"/>
  <c r="CU962" i="1"/>
  <c r="X962" i="1" s="1"/>
  <c r="Z961" i="1"/>
  <c r="Z737" i="1"/>
  <c r="Z713" i="1"/>
  <c r="CU716" i="1"/>
  <c r="X716" i="1" s="1"/>
  <c r="Z959" i="1"/>
  <c r="CU702" i="1"/>
  <c r="X702" i="1" s="1"/>
  <c r="CU707" i="1"/>
  <c r="X707" i="1" s="1"/>
  <c r="Z702" i="1"/>
  <c r="CU704" i="1"/>
  <c r="X704" i="1" s="1"/>
  <c r="Z703" i="1"/>
  <c r="CU705" i="1"/>
  <c r="X705" i="1" s="1"/>
  <c r="CU729" i="1"/>
  <c r="X729" i="1" s="1"/>
  <c r="CU722" i="1"/>
  <c r="X722" i="1" s="1"/>
  <c r="Z722" i="1"/>
  <c r="DC946" i="1"/>
  <c r="DA946" i="1"/>
  <c r="CY946" i="1"/>
  <c r="Y946" i="1" s="1"/>
  <c r="CW946" i="1"/>
  <c r="AA946" i="1" s="1"/>
  <c r="CR946" i="1"/>
  <c r="CP946" i="1"/>
  <c r="CN946" i="1"/>
  <c r="CJ946" i="1"/>
  <c r="CH946" i="1"/>
  <c r="CF946" i="1"/>
  <c r="BL946" i="1"/>
  <c r="BD946" i="1"/>
  <c r="AZ946" i="1"/>
  <c r="AX946" i="1"/>
  <c r="DC940" i="1"/>
  <c r="DA940" i="1"/>
  <c r="CY940" i="1"/>
  <c r="Y940" i="1" s="1"/>
  <c r="CW940" i="1"/>
  <c r="AA940" i="1" s="1"/>
  <c r="CR940" i="1"/>
  <c r="CP940" i="1"/>
  <c r="CN940" i="1"/>
  <c r="CJ940" i="1"/>
  <c r="CH940" i="1"/>
  <c r="CF940" i="1"/>
  <c r="BL940" i="1"/>
  <c r="BD940" i="1"/>
  <c r="AZ940" i="1"/>
  <c r="AX940" i="1"/>
  <c r="DC939" i="1"/>
  <c r="DA939" i="1"/>
  <c r="CY939" i="1"/>
  <c r="Y939" i="1" s="1"/>
  <c r="CW939" i="1"/>
  <c r="AA939" i="1" s="1"/>
  <c r="CR939" i="1"/>
  <c r="CP939" i="1"/>
  <c r="CN939" i="1"/>
  <c r="CJ939" i="1"/>
  <c r="CH939" i="1"/>
  <c r="CF939" i="1"/>
  <c r="BL939" i="1"/>
  <c r="BD939" i="1"/>
  <c r="AZ939" i="1"/>
  <c r="AX939" i="1"/>
  <c r="DC945" i="1"/>
  <c r="DA945" i="1"/>
  <c r="CY945" i="1"/>
  <c r="Y945" i="1" s="1"/>
  <c r="CW945" i="1"/>
  <c r="AA945" i="1" s="1"/>
  <c r="CR945" i="1"/>
  <c r="CP945" i="1"/>
  <c r="CN945" i="1"/>
  <c r="CJ945" i="1"/>
  <c r="CH945" i="1"/>
  <c r="CF945" i="1"/>
  <c r="BL945" i="1"/>
  <c r="BD945" i="1"/>
  <c r="AZ945" i="1"/>
  <c r="AX945" i="1"/>
  <c r="DC943" i="1"/>
  <c r="DA943" i="1"/>
  <c r="CY943" i="1"/>
  <c r="Y943" i="1" s="1"/>
  <c r="CW943" i="1"/>
  <c r="AA943" i="1" s="1"/>
  <c r="CR943" i="1"/>
  <c r="CP943" i="1"/>
  <c r="CN943" i="1"/>
  <c r="CJ943" i="1"/>
  <c r="CH943" i="1"/>
  <c r="CF943" i="1"/>
  <c r="BL943" i="1"/>
  <c r="BD943" i="1"/>
  <c r="AZ943" i="1"/>
  <c r="AX943" i="1"/>
  <c r="DC944" i="1"/>
  <c r="DA944" i="1"/>
  <c r="CY944" i="1"/>
  <c r="Y944" i="1" s="1"/>
  <c r="CW944" i="1"/>
  <c r="AA944" i="1" s="1"/>
  <c r="CR944" i="1"/>
  <c r="CP944" i="1"/>
  <c r="CN944" i="1"/>
  <c r="CJ944" i="1"/>
  <c r="CH944" i="1"/>
  <c r="CF944" i="1"/>
  <c r="BL944" i="1"/>
  <c r="BD944" i="1"/>
  <c r="AZ944" i="1"/>
  <c r="AX944" i="1"/>
  <c r="DC949" i="1"/>
  <c r="DA949" i="1"/>
  <c r="CY949" i="1"/>
  <c r="Y949" i="1" s="1"/>
  <c r="CW949" i="1"/>
  <c r="AA949" i="1" s="1"/>
  <c r="CR949" i="1"/>
  <c r="CP949" i="1"/>
  <c r="CN949" i="1"/>
  <c r="CJ949" i="1"/>
  <c r="CH949" i="1"/>
  <c r="CF949" i="1"/>
  <c r="BL949" i="1"/>
  <c r="BD949" i="1"/>
  <c r="AZ949" i="1"/>
  <c r="AX949" i="1"/>
  <c r="AD707" i="1" l="1"/>
  <c r="AD890" i="1"/>
  <c r="AD962" i="1"/>
  <c r="AD715" i="1"/>
  <c r="AD716" i="1"/>
  <c r="AD959" i="1"/>
  <c r="AD957" i="1"/>
  <c r="AD955" i="1"/>
  <c r="AD960" i="1"/>
  <c r="AD928" i="1"/>
  <c r="AD958" i="1"/>
  <c r="AD927" i="1"/>
  <c r="AD705" i="1"/>
  <c r="AD713" i="1"/>
  <c r="AD718" i="1"/>
  <c r="AD729" i="1"/>
  <c r="AD704" i="1"/>
  <c r="AD703" i="1"/>
  <c r="AD961" i="1"/>
  <c r="AD737" i="1"/>
  <c r="AD702" i="1"/>
  <c r="AD722" i="1"/>
  <c r="Z945" i="1"/>
  <c r="Z940" i="1"/>
  <c r="Z946" i="1"/>
  <c r="Z943" i="1"/>
  <c r="Z949" i="1"/>
  <c r="Z939" i="1"/>
  <c r="Z944" i="1"/>
  <c r="CU946" i="1"/>
  <c r="X946" i="1" s="1"/>
  <c r="CU949" i="1"/>
  <c r="X949" i="1" s="1"/>
  <c r="CU944" i="1"/>
  <c r="X944" i="1" s="1"/>
  <c r="CU943" i="1"/>
  <c r="X943" i="1" s="1"/>
  <c r="CU945" i="1"/>
  <c r="X945" i="1" s="1"/>
  <c r="CU939" i="1"/>
  <c r="X939" i="1" s="1"/>
  <c r="CU940" i="1"/>
  <c r="X940" i="1" s="1"/>
  <c r="DB663" i="1"/>
  <c r="DB658" i="1"/>
  <c r="DB653" i="1"/>
  <c r="DB651" i="1"/>
  <c r="DB648" i="1"/>
  <c r="DB645" i="1"/>
  <c r="DB641" i="1"/>
  <c r="DB665" i="1"/>
  <c r="DB647" i="1"/>
  <c r="DB662" i="1"/>
  <c r="DB660" i="1"/>
  <c r="DB657" i="1"/>
  <c r="DB654" i="1"/>
  <c r="DB650" i="1"/>
  <c r="DB644" i="1"/>
  <c r="DB640" i="1"/>
  <c r="AD945" i="1" l="1"/>
  <c r="AD946" i="1"/>
  <c r="AD939" i="1"/>
  <c r="AD940" i="1"/>
  <c r="AD943" i="1"/>
  <c r="AD949" i="1"/>
  <c r="AD944" i="1"/>
  <c r="DC719" i="1"/>
  <c r="CY719" i="1"/>
  <c r="Y719" i="1" s="1"/>
  <c r="CW719" i="1"/>
  <c r="AA719" i="1" s="1"/>
  <c r="CR719" i="1"/>
  <c r="CP719" i="1"/>
  <c r="CN719" i="1"/>
  <c r="CJ719" i="1"/>
  <c r="CH719" i="1"/>
  <c r="CF719" i="1"/>
  <c r="BL719" i="1"/>
  <c r="BD719" i="1"/>
  <c r="AZ719" i="1"/>
  <c r="AX719" i="1"/>
  <c r="CY714" i="1"/>
  <c r="Y714" i="1" s="1"/>
  <c r="CW714" i="1"/>
  <c r="AA714" i="1" s="1"/>
  <c r="CR714" i="1"/>
  <c r="CP714" i="1"/>
  <c r="CN714" i="1"/>
  <c r="CJ714" i="1"/>
  <c r="CH714" i="1"/>
  <c r="CF714" i="1"/>
  <c r="BL714" i="1"/>
  <c r="BD714" i="1"/>
  <c r="AZ714" i="1"/>
  <c r="AX714" i="1"/>
  <c r="CY717" i="1"/>
  <c r="Y717" i="1" s="1"/>
  <c r="CW717" i="1"/>
  <c r="AA717" i="1" s="1"/>
  <c r="CR717" i="1"/>
  <c r="CP717" i="1"/>
  <c r="CN717" i="1"/>
  <c r="CJ717" i="1"/>
  <c r="CH717" i="1"/>
  <c r="CF717" i="1"/>
  <c r="BL717" i="1"/>
  <c r="BD717" i="1"/>
  <c r="AZ717" i="1"/>
  <c r="AX717" i="1"/>
  <c r="DA683" i="1"/>
  <c r="CY683" i="1"/>
  <c r="Y683" i="1" s="1"/>
  <c r="CW683" i="1"/>
  <c r="AA683" i="1" s="1"/>
  <c r="CR683" i="1"/>
  <c r="CP683" i="1"/>
  <c r="CN683" i="1"/>
  <c r="CJ683" i="1"/>
  <c r="CH683" i="1"/>
  <c r="CF683" i="1"/>
  <c r="BL683" i="1"/>
  <c r="BD683" i="1"/>
  <c r="AZ683" i="1"/>
  <c r="AX683" i="1"/>
  <c r="DC938" i="1"/>
  <c r="DA938" i="1"/>
  <c r="CY938" i="1"/>
  <c r="Y938" i="1" s="1"/>
  <c r="CW938" i="1"/>
  <c r="AA938" i="1" s="1"/>
  <c r="CR938" i="1"/>
  <c r="CP938" i="1"/>
  <c r="CN938" i="1"/>
  <c r="CJ938" i="1"/>
  <c r="CH938" i="1"/>
  <c r="CF938" i="1"/>
  <c r="BL938" i="1"/>
  <c r="BD938" i="1"/>
  <c r="AZ938" i="1"/>
  <c r="AX938" i="1"/>
  <c r="DC950" i="1"/>
  <c r="DA950" i="1"/>
  <c r="CY950" i="1"/>
  <c r="Y950" i="1" s="1"/>
  <c r="CW950" i="1"/>
  <c r="AA950" i="1" s="1"/>
  <c r="CR950" i="1"/>
  <c r="CP950" i="1"/>
  <c r="CN950" i="1"/>
  <c r="CJ950" i="1"/>
  <c r="CH950" i="1"/>
  <c r="CF950" i="1"/>
  <c r="BL950" i="1"/>
  <c r="BD950" i="1"/>
  <c r="AZ950" i="1"/>
  <c r="AX950" i="1"/>
  <c r="CY721" i="1"/>
  <c r="Y721" i="1" s="1"/>
  <c r="CW721" i="1"/>
  <c r="AA721" i="1" s="1"/>
  <c r="CR721" i="1"/>
  <c r="CP721" i="1"/>
  <c r="CN721" i="1"/>
  <c r="CJ721" i="1"/>
  <c r="CH721" i="1"/>
  <c r="CF721" i="1"/>
  <c r="BL721" i="1"/>
  <c r="BD721" i="1"/>
  <c r="AZ721" i="1"/>
  <c r="AX721" i="1"/>
  <c r="DC723" i="1"/>
  <c r="CY723" i="1"/>
  <c r="Y723" i="1" s="1"/>
  <c r="CW723" i="1"/>
  <c r="AA723" i="1" s="1"/>
  <c r="CR723" i="1"/>
  <c r="CP723" i="1"/>
  <c r="CN723" i="1"/>
  <c r="CJ723" i="1"/>
  <c r="CH723" i="1"/>
  <c r="CF723" i="1"/>
  <c r="BL723" i="1"/>
  <c r="BD723" i="1"/>
  <c r="AZ723" i="1"/>
  <c r="AX723" i="1"/>
  <c r="DC727" i="1"/>
  <c r="CY727" i="1"/>
  <c r="Y727" i="1" s="1"/>
  <c r="CW727" i="1"/>
  <c r="AA727" i="1" s="1"/>
  <c r="CR727" i="1"/>
  <c r="CP727" i="1"/>
  <c r="CN727" i="1"/>
  <c r="CJ727" i="1"/>
  <c r="CH727" i="1"/>
  <c r="CF727" i="1"/>
  <c r="BL727" i="1"/>
  <c r="BD727" i="1"/>
  <c r="AZ727" i="1"/>
  <c r="AX727" i="1"/>
  <c r="DC908" i="1"/>
  <c r="DA908" i="1"/>
  <c r="CY908" i="1"/>
  <c r="Y908" i="1" s="1"/>
  <c r="CW908" i="1"/>
  <c r="AA908" i="1" s="1"/>
  <c r="CR908" i="1"/>
  <c r="CP908" i="1"/>
  <c r="CN908" i="1"/>
  <c r="CJ908" i="1"/>
  <c r="CH908" i="1"/>
  <c r="CF908" i="1"/>
  <c r="BL908" i="1"/>
  <c r="BD908" i="1"/>
  <c r="AZ908" i="1"/>
  <c r="AX908" i="1"/>
  <c r="DC933" i="1"/>
  <c r="DA933" i="1"/>
  <c r="CY933" i="1"/>
  <c r="Y933" i="1" s="1"/>
  <c r="CW933" i="1"/>
  <c r="AA933" i="1" s="1"/>
  <c r="CR933" i="1"/>
  <c r="CP933" i="1"/>
  <c r="CN933" i="1"/>
  <c r="CJ933" i="1"/>
  <c r="CH933" i="1"/>
  <c r="CF933" i="1"/>
  <c r="BL933" i="1"/>
  <c r="BD933" i="1"/>
  <c r="AZ933" i="1"/>
  <c r="AX933" i="1"/>
  <c r="DC925" i="1"/>
  <c r="DA925" i="1"/>
  <c r="CY925" i="1"/>
  <c r="Y925" i="1" s="1"/>
  <c r="CW925" i="1"/>
  <c r="AA925" i="1" s="1"/>
  <c r="CR925" i="1"/>
  <c r="CP925" i="1"/>
  <c r="CN925" i="1"/>
  <c r="CJ925" i="1"/>
  <c r="CH925" i="1"/>
  <c r="CF925" i="1"/>
  <c r="BL925" i="1"/>
  <c r="BD925" i="1"/>
  <c r="AZ925" i="1"/>
  <c r="AX925" i="1"/>
  <c r="DC926" i="1"/>
  <c r="DA926" i="1"/>
  <c r="CY926" i="1"/>
  <c r="Y926" i="1" s="1"/>
  <c r="CW926" i="1"/>
  <c r="AA926" i="1" s="1"/>
  <c r="CR926" i="1"/>
  <c r="CP926" i="1"/>
  <c r="CN926" i="1"/>
  <c r="CJ926" i="1"/>
  <c r="CH926" i="1"/>
  <c r="CF926" i="1"/>
  <c r="BL926" i="1"/>
  <c r="BD926" i="1"/>
  <c r="AZ926" i="1"/>
  <c r="AX926" i="1"/>
  <c r="DC935" i="1"/>
  <c r="DA935" i="1"/>
  <c r="CY935" i="1"/>
  <c r="Y935" i="1" s="1"/>
  <c r="CW935" i="1"/>
  <c r="AA935" i="1" s="1"/>
  <c r="CR935" i="1"/>
  <c r="CP935" i="1"/>
  <c r="CN935" i="1"/>
  <c r="CJ935" i="1"/>
  <c r="CH935" i="1"/>
  <c r="CF935" i="1"/>
  <c r="BL935" i="1"/>
  <c r="BD935" i="1"/>
  <c r="AZ935" i="1"/>
  <c r="AX935" i="1"/>
  <c r="DC934" i="1"/>
  <c r="DA934" i="1"/>
  <c r="CY934" i="1"/>
  <c r="Y934" i="1" s="1"/>
  <c r="CW934" i="1"/>
  <c r="AA934" i="1" s="1"/>
  <c r="CR934" i="1"/>
  <c r="CP934" i="1"/>
  <c r="CN934" i="1"/>
  <c r="CJ934" i="1"/>
  <c r="CH934" i="1"/>
  <c r="CF934" i="1"/>
  <c r="BL934" i="1"/>
  <c r="BD934" i="1"/>
  <c r="AZ934" i="1"/>
  <c r="AX934" i="1"/>
  <c r="DC924" i="1"/>
  <c r="DA924" i="1"/>
  <c r="CY924" i="1"/>
  <c r="Y924" i="1" s="1"/>
  <c r="CW924" i="1"/>
  <c r="AA924" i="1" s="1"/>
  <c r="CR924" i="1"/>
  <c r="CP924" i="1"/>
  <c r="CN924" i="1"/>
  <c r="CJ924" i="1"/>
  <c r="CH924" i="1"/>
  <c r="CF924" i="1"/>
  <c r="BL924" i="1"/>
  <c r="BD924" i="1"/>
  <c r="AZ924" i="1"/>
  <c r="AX924" i="1"/>
  <c r="DC910" i="1"/>
  <c r="DA910" i="1"/>
  <c r="CY910" i="1"/>
  <c r="Y910" i="1" s="1"/>
  <c r="CW910" i="1"/>
  <c r="AA910" i="1" s="1"/>
  <c r="CR910" i="1"/>
  <c r="CP910" i="1"/>
  <c r="CN910" i="1"/>
  <c r="CJ910" i="1"/>
  <c r="CH910" i="1"/>
  <c r="CF910" i="1"/>
  <c r="BL910" i="1"/>
  <c r="BD910" i="1"/>
  <c r="AZ910" i="1"/>
  <c r="AX910" i="1"/>
  <c r="DC919" i="1"/>
  <c r="DA919" i="1"/>
  <c r="CY919" i="1"/>
  <c r="Y919" i="1" s="1"/>
  <c r="CW919" i="1"/>
  <c r="AA919" i="1" s="1"/>
  <c r="CR919" i="1"/>
  <c r="CP919" i="1"/>
  <c r="CN919" i="1"/>
  <c r="CJ919" i="1"/>
  <c r="CH919" i="1"/>
  <c r="CF919" i="1"/>
  <c r="BL919" i="1"/>
  <c r="BD919" i="1"/>
  <c r="AZ919" i="1"/>
  <c r="AX919" i="1"/>
  <c r="DC922" i="1"/>
  <c r="DA922" i="1"/>
  <c r="CY922" i="1"/>
  <c r="Y922" i="1" s="1"/>
  <c r="CW922" i="1"/>
  <c r="AA922" i="1" s="1"/>
  <c r="CR922" i="1"/>
  <c r="CP922" i="1"/>
  <c r="CN922" i="1"/>
  <c r="CJ922" i="1"/>
  <c r="CH922" i="1"/>
  <c r="CF922" i="1"/>
  <c r="BL922" i="1"/>
  <c r="BD922" i="1"/>
  <c r="AZ922" i="1"/>
  <c r="AX922" i="1"/>
  <c r="DC920" i="1"/>
  <c r="DA920" i="1"/>
  <c r="CY920" i="1"/>
  <c r="Y920" i="1" s="1"/>
  <c r="CW920" i="1"/>
  <c r="AA920" i="1" s="1"/>
  <c r="CR920" i="1"/>
  <c r="CP920" i="1"/>
  <c r="CN920" i="1"/>
  <c r="CJ920" i="1"/>
  <c r="CH920" i="1"/>
  <c r="CF920" i="1"/>
  <c r="BL920" i="1"/>
  <c r="BD920" i="1"/>
  <c r="AZ920" i="1"/>
  <c r="AX920" i="1"/>
  <c r="DC921" i="1"/>
  <c r="DA921" i="1"/>
  <c r="CY921" i="1"/>
  <c r="Y921" i="1" s="1"/>
  <c r="CW921" i="1"/>
  <c r="AA921" i="1" s="1"/>
  <c r="CR921" i="1"/>
  <c r="CP921" i="1"/>
  <c r="CN921" i="1"/>
  <c r="CJ921" i="1"/>
  <c r="CH921" i="1"/>
  <c r="CF921" i="1"/>
  <c r="BL921" i="1"/>
  <c r="BD921" i="1"/>
  <c r="AZ921" i="1"/>
  <c r="AX921" i="1"/>
  <c r="DC916" i="1"/>
  <c r="DA916" i="1"/>
  <c r="CY916" i="1"/>
  <c r="Y916" i="1" s="1"/>
  <c r="CW916" i="1"/>
  <c r="AA916" i="1" s="1"/>
  <c r="CR916" i="1"/>
  <c r="CP916" i="1"/>
  <c r="CN916" i="1"/>
  <c r="CJ916" i="1"/>
  <c r="CH916" i="1"/>
  <c r="CF916" i="1"/>
  <c r="BL916" i="1"/>
  <c r="BD916" i="1"/>
  <c r="AZ916" i="1"/>
  <c r="AX916" i="1"/>
  <c r="DC914" i="1"/>
  <c r="DA914" i="1"/>
  <c r="CY914" i="1"/>
  <c r="Y914" i="1" s="1"/>
  <c r="CW914" i="1"/>
  <c r="AA914" i="1" s="1"/>
  <c r="CR914" i="1"/>
  <c r="CP914" i="1"/>
  <c r="CN914" i="1"/>
  <c r="CJ914" i="1"/>
  <c r="CH914" i="1"/>
  <c r="CF914" i="1"/>
  <c r="BL914" i="1"/>
  <c r="BD914" i="1"/>
  <c r="AZ914" i="1"/>
  <c r="AX914" i="1"/>
  <c r="DC913" i="1"/>
  <c r="DA913" i="1"/>
  <c r="CY913" i="1"/>
  <c r="Y913" i="1" s="1"/>
  <c r="CW913" i="1"/>
  <c r="AA913" i="1" s="1"/>
  <c r="CR913" i="1"/>
  <c r="CP913" i="1"/>
  <c r="CN913" i="1"/>
  <c r="CJ913" i="1"/>
  <c r="CH913" i="1"/>
  <c r="CF913" i="1"/>
  <c r="BL913" i="1"/>
  <c r="BD913" i="1"/>
  <c r="AZ913" i="1"/>
  <c r="AX913" i="1"/>
  <c r="DC909" i="1"/>
  <c r="DA909" i="1"/>
  <c r="CY909" i="1"/>
  <c r="Y909" i="1" s="1"/>
  <c r="CW909" i="1"/>
  <c r="AA909" i="1" s="1"/>
  <c r="CR909" i="1"/>
  <c r="CP909" i="1"/>
  <c r="CN909" i="1"/>
  <c r="CJ909" i="1"/>
  <c r="CH909" i="1"/>
  <c r="CF909" i="1"/>
  <c r="BL909" i="1"/>
  <c r="BD909" i="1"/>
  <c r="AZ909" i="1"/>
  <c r="AX909" i="1"/>
  <c r="DC912" i="1"/>
  <c r="DA912" i="1"/>
  <c r="CY912" i="1"/>
  <c r="Y912" i="1" s="1"/>
  <c r="CW912" i="1"/>
  <c r="AA912" i="1" s="1"/>
  <c r="CR912" i="1"/>
  <c r="CP912" i="1"/>
  <c r="CN912" i="1"/>
  <c r="CJ912" i="1"/>
  <c r="CH912" i="1"/>
  <c r="CF912" i="1"/>
  <c r="BL912" i="1"/>
  <c r="BD912" i="1"/>
  <c r="AZ912" i="1"/>
  <c r="AX912" i="1"/>
  <c r="DC911" i="1"/>
  <c r="DA911" i="1"/>
  <c r="CY911" i="1"/>
  <c r="Y911" i="1" s="1"/>
  <c r="CW911" i="1"/>
  <c r="AA911" i="1" s="1"/>
  <c r="CR911" i="1"/>
  <c r="CP911" i="1"/>
  <c r="CN911" i="1"/>
  <c r="CJ911" i="1"/>
  <c r="CH911" i="1"/>
  <c r="CF911" i="1"/>
  <c r="BL911" i="1"/>
  <c r="BD911" i="1"/>
  <c r="AZ911" i="1"/>
  <c r="AX911" i="1"/>
  <c r="Z908" i="1" l="1"/>
  <c r="CU721" i="1"/>
  <c r="X721" i="1" s="1"/>
  <c r="Z950" i="1"/>
  <c r="CU717" i="1"/>
  <c r="X717" i="1" s="1"/>
  <c r="Z714" i="1"/>
  <c r="CU926" i="1"/>
  <c r="X926" i="1" s="1"/>
  <c r="Z925" i="1"/>
  <c r="CU933" i="1"/>
  <c r="X933" i="1" s="1"/>
  <c r="Z926" i="1"/>
  <c r="Z933" i="1"/>
  <c r="CU723" i="1"/>
  <c r="X723" i="1" s="1"/>
  <c r="Z721" i="1"/>
  <c r="CU683" i="1"/>
  <c r="X683" i="1" s="1"/>
  <c r="Z717" i="1"/>
  <c r="CU727" i="1"/>
  <c r="X727" i="1" s="1"/>
  <c r="Z723" i="1"/>
  <c r="CU938" i="1"/>
  <c r="X938" i="1" s="1"/>
  <c r="Z683" i="1"/>
  <c r="CU719" i="1"/>
  <c r="X719" i="1" s="1"/>
  <c r="CU925" i="1"/>
  <c r="X925" i="1" s="1"/>
  <c r="CU908" i="1"/>
  <c r="X908" i="1" s="1"/>
  <c r="Z727" i="1"/>
  <c r="CU950" i="1"/>
  <c r="X950" i="1" s="1"/>
  <c r="Z938" i="1"/>
  <c r="CU714" i="1"/>
  <c r="X714" i="1" s="1"/>
  <c r="AD714" i="1" s="1"/>
  <c r="Z719" i="1"/>
  <c r="Z910" i="1"/>
  <c r="CU914" i="1"/>
  <c r="X914" i="1" s="1"/>
  <c r="Z914" i="1"/>
  <c r="Z921" i="1"/>
  <c r="Z920" i="1"/>
  <c r="Z924" i="1"/>
  <c r="Z916" i="1"/>
  <c r="CU921" i="1"/>
  <c r="X921" i="1" s="1"/>
  <c r="Z919" i="1"/>
  <c r="Z934" i="1"/>
  <c r="CU916" i="1"/>
  <c r="X916" i="1" s="1"/>
  <c r="Z922" i="1"/>
  <c r="Z935" i="1"/>
  <c r="CU920" i="1"/>
  <c r="X920" i="1" s="1"/>
  <c r="CU919" i="1"/>
  <c r="X919" i="1" s="1"/>
  <c r="CU910" i="1"/>
  <c r="X910" i="1" s="1"/>
  <c r="CU924" i="1"/>
  <c r="X924" i="1" s="1"/>
  <c r="CU934" i="1"/>
  <c r="X934" i="1" s="1"/>
  <c r="CU935" i="1"/>
  <c r="X935" i="1" s="1"/>
  <c r="Z909" i="1"/>
  <c r="Z913" i="1"/>
  <c r="CU922" i="1"/>
  <c r="X922" i="1" s="1"/>
  <c r="CU911" i="1"/>
  <c r="X911" i="1" s="1"/>
  <c r="CU909" i="1"/>
  <c r="X909" i="1" s="1"/>
  <c r="CU913" i="1"/>
  <c r="X913" i="1" s="1"/>
  <c r="CU912" i="1"/>
  <c r="X912" i="1" s="1"/>
  <c r="Z912" i="1"/>
  <c r="Z911" i="1"/>
  <c r="AD909" i="1" l="1"/>
  <c r="AD721" i="1"/>
  <c r="AD908" i="1"/>
  <c r="AD938" i="1"/>
  <c r="AD950" i="1"/>
  <c r="AD926" i="1"/>
  <c r="AD719" i="1"/>
  <c r="AD727" i="1"/>
  <c r="AD717" i="1"/>
  <c r="AD925" i="1"/>
  <c r="AD933" i="1"/>
  <c r="AD683" i="1"/>
  <c r="AD723" i="1"/>
  <c r="AD910" i="1"/>
  <c r="AD919" i="1"/>
  <c r="AD921" i="1"/>
  <c r="AD935" i="1"/>
  <c r="AD914" i="1"/>
  <c r="AD934" i="1"/>
  <c r="AD916" i="1"/>
  <c r="AD920" i="1"/>
  <c r="AD911" i="1"/>
  <c r="AD922" i="1"/>
  <c r="AD913" i="1"/>
  <c r="AD924" i="1"/>
  <c r="AD912" i="1"/>
  <c r="CY711" i="1"/>
  <c r="Y711" i="1" s="1"/>
  <c r="CW711" i="1"/>
  <c r="AA711" i="1" s="1"/>
  <c r="CR711" i="1"/>
  <c r="CP711" i="1"/>
  <c r="CN711" i="1"/>
  <c r="CJ711" i="1"/>
  <c r="CH711" i="1"/>
  <c r="CF711" i="1"/>
  <c r="BL711" i="1"/>
  <c r="BD711" i="1"/>
  <c r="AZ711" i="1"/>
  <c r="AX711" i="1"/>
  <c r="DC930" i="1"/>
  <c r="DA930" i="1"/>
  <c r="CY930" i="1"/>
  <c r="Y930" i="1" s="1"/>
  <c r="CW930" i="1"/>
  <c r="AA930" i="1" s="1"/>
  <c r="CR930" i="1"/>
  <c r="CP930" i="1"/>
  <c r="CN930" i="1"/>
  <c r="CJ930" i="1"/>
  <c r="CH930" i="1"/>
  <c r="CF930" i="1"/>
  <c r="BL930" i="1"/>
  <c r="BD930" i="1"/>
  <c r="AZ930" i="1"/>
  <c r="AX930" i="1"/>
  <c r="DC936" i="1"/>
  <c r="DA936" i="1"/>
  <c r="CY936" i="1"/>
  <c r="Y936" i="1" s="1"/>
  <c r="CW936" i="1"/>
  <c r="AA936" i="1" s="1"/>
  <c r="CR936" i="1"/>
  <c r="CP936" i="1"/>
  <c r="CN936" i="1"/>
  <c r="CJ936" i="1"/>
  <c r="CH936" i="1"/>
  <c r="CF936" i="1"/>
  <c r="BL936" i="1"/>
  <c r="BD936" i="1"/>
  <c r="AZ936" i="1"/>
  <c r="AX936" i="1"/>
  <c r="DC937" i="1"/>
  <c r="DA937" i="1"/>
  <c r="CY937" i="1"/>
  <c r="Y937" i="1" s="1"/>
  <c r="CW937" i="1"/>
  <c r="AA937" i="1" s="1"/>
  <c r="CR937" i="1"/>
  <c r="CP937" i="1"/>
  <c r="CN937" i="1"/>
  <c r="CJ937" i="1"/>
  <c r="CH937" i="1"/>
  <c r="CF937" i="1"/>
  <c r="BL937" i="1"/>
  <c r="BD937" i="1"/>
  <c r="AZ937" i="1"/>
  <c r="AX937" i="1"/>
  <c r="DC931" i="1"/>
  <c r="DA931" i="1"/>
  <c r="CY931" i="1"/>
  <c r="Y931" i="1" s="1"/>
  <c r="CW931" i="1"/>
  <c r="AA931" i="1" s="1"/>
  <c r="CR931" i="1"/>
  <c r="CP931" i="1"/>
  <c r="CN931" i="1"/>
  <c r="CJ931" i="1"/>
  <c r="CH931" i="1"/>
  <c r="CF931" i="1"/>
  <c r="BL931" i="1"/>
  <c r="BD931" i="1"/>
  <c r="AZ931" i="1"/>
  <c r="AX931" i="1"/>
  <c r="DC932" i="1"/>
  <c r="DA932" i="1"/>
  <c r="CY932" i="1"/>
  <c r="Y932" i="1" s="1"/>
  <c r="CW932" i="1"/>
  <c r="AA932" i="1" s="1"/>
  <c r="CR932" i="1"/>
  <c r="CP932" i="1"/>
  <c r="CN932" i="1"/>
  <c r="CJ932" i="1"/>
  <c r="CH932" i="1"/>
  <c r="CF932" i="1"/>
  <c r="BL932" i="1"/>
  <c r="BD932" i="1"/>
  <c r="AZ932" i="1"/>
  <c r="AX932" i="1"/>
  <c r="DC923" i="1"/>
  <c r="DA923" i="1"/>
  <c r="CY923" i="1"/>
  <c r="Y923" i="1" s="1"/>
  <c r="CW923" i="1"/>
  <c r="AA923" i="1" s="1"/>
  <c r="CR923" i="1"/>
  <c r="CP923" i="1"/>
  <c r="CN923" i="1"/>
  <c r="CJ923" i="1"/>
  <c r="CH923" i="1"/>
  <c r="CF923" i="1"/>
  <c r="BL923" i="1"/>
  <c r="BD923" i="1"/>
  <c r="AZ923" i="1"/>
  <c r="AX923" i="1"/>
  <c r="DC900" i="1"/>
  <c r="DA900" i="1"/>
  <c r="CY900" i="1"/>
  <c r="Y900" i="1" s="1"/>
  <c r="CW900" i="1"/>
  <c r="AA900" i="1" s="1"/>
  <c r="CR900" i="1"/>
  <c r="CP900" i="1"/>
  <c r="CN900" i="1"/>
  <c r="CJ900" i="1"/>
  <c r="CH900" i="1"/>
  <c r="CF900" i="1"/>
  <c r="BL900" i="1"/>
  <c r="BD900" i="1"/>
  <c r="AZ900" i="1"/>
  <c r="AX900" i="1"/>
  <c r="DC905" i="1"/>
  <c r="DA905" i="1"/>
  <c r="CY905" i="1"/>
  <c r="Y905" i="1" s="1"/>
  <c r="CW905" i="1"/>
  <c r="AA905" i="1" s="1"/>
  <c r="CR905" i="1"/>
  <c r="CP905" i="1"/>
  <c r="CN905" i="1"/>
  <c r="CJ905" i="1"/>
  <c r="CH905" i="1"/>
  <c r="CF905" i="1"/>
  <c r="BL905" i="1"/>
  <c r="BD905" i="1"/>
  <c r="AZ905" i="1"/>
  <c r="AX905" i="1"/>
  <c r="DC906" i="1"/>
  <c r="DA906" i="1"/>
  <c r="CY906" i="1"/>
  <c r="Y906" i="1" s="1"/>
  <c r="CW906" i="1"/>
  <c r="AA906" i="1" s="1"/>
  <c r="CR906" i="1"/>
  <c r="CP906" i="1"/>
  <c r="CN906" i="1"/>
  <c r="CJ906" i="1"/>
  <c r="CH906" i="1"/>
  <c r="CF906" i="1"/>
  <c r="BL906" i="1"/>
  <c r="BD906" i="1"/>
  <c r="AZ906" i="1"/>
  <c r="AX906" i="1"/>
  <c r="DC897" i="1"/>
  <c r="DA897" i="1"/>
  <c r="CY897" i="1"/>
  <c r="Y897" i="1" s="1"/>
  <c r="CW897" i="1"/>
  <c r="AA897" i="1" s="1"/>
  <c r="CR897" i="1"/>
  <c r="CP897" i="1"/>
  <c r="CN897" i="1"/>
  <c r="CJ897" i="1"/>
  <c r="CH897" i="1"/>
  <c r="CF897" i="1"/>
  <c r="BL897" i="1"/>
  <c r="BD897" i="1"/>
  <c r="AZ897" i="1"/>
  <c r="AX897" i="1"/>
  <c r="DC907" i="1"/>
  <c r="DA907" i="1"/>
  <c r="CY907" i="1"/>
  <c r="Y907" i="1" s="1"/>
  <c r="CW907" i="1"/>
  <c r="AA907" i="1" s="1"/>
  <c r="CR907" i="1"/>
  <c r="CP907" i="1"/>
  <c r="CN907" i="1"/>
  <c r="CJ907" i="1"/>
  <c r="CH907" i="1"/>
  <c r="CF907" i="1"/>
  <c r="BL907" i="1"/>
  <c r="BD907" i="1"/>
  <c r="AZ907" i="1"/>
  <c r="AX907" i="1"/>
  <c r="DC904" i="1"/>
  <c r="DA904" i="1"/>
  <c r="CY904" i="1"/>
  <c r="Y904" i="1" s="1"/>
  <c r="CW904" i="1"/>
  <c r="AA904" i="1" s="1"/>
  <c r="CR904" i="1"/>
  <c r="CP904" i="1"/>
  <c r="CN904" i="1"/>
  <c r="CJ904" i="1"/>
  <c r="CH904" i="1"/>
  <c r="CF904" i="1"/>
  <c r="BL904" i="1"/>
  <c r="BD904" i="1"/>
  <c r="AZ904" i="1"/>
  <c r="AX904" i="1"/>
  <c r="DC903" i="1"/>
  <c r="DA903" i="1"/>
  <c r="CY903" i="1"/>
  <c r="Y903" i="1" s="1"/>
  <c r="CW903" i="1"/>
  <c r="AA903" i="1" s="1"/>
  <c r="CR903" i="1"/>
  <c r="CP903" i="1"/>
  <c r="CN903" i="1"/>
  <c r="CJ903" i="1"/>
  <c r="CH903" i="1"/>
  <c r="CF903" i="1"/>
  <c r="BL903" i="1"/>
  <c r="BD903" i="1"/>
  <c r="AZ903" i="1"/>
  <c r="AX903" i="1"/>
  <c r="DC898" i="1"/>
  <c r="DA898" i="1"/>
  <c r="CY898" i="1"/>
  <c r="Y898" i="1" s="1"/>
  <c r="CW898" i="1"/>
  <c r="AA898" i="1" s="1"/>
  <c r="CR898" i="1"/>
  <c r="CP898" i="1"/>
  <c r="CN898" i="1"/>
  <c r="CJ898" i="1"/>
  <c r="CH898" i="1"/>
  <c r="CF898" i="1"/>
  <c r="BL898" i="1"/>
  <c r="BD898" i="1"/>
  <c r="AZ898" i="1"/>
  <c r="AX898" i="1"/>
  <c r="DC862" i="1"/>
  <c r="DA862" i="1"/>
  <c r="CY862" i="1"/>
  <c r="Y862" i="1" s="1"/>
  <c r="CW862" i="1"/>
  <c r="AA862" i="1" s="1"/>
  <c r="CR862" i="1"/>
  <c r="CP862" i="1"/>
  <c r="CN862" i="1"/>
  <c r="CJ862" i="1"/>
  <c r="CH862" i="1"/>
  <c r="CF862" i="1"/>
  <c r="BL862" i="1"/>
  <c r="BD862" i="1"/>
  <c r="AZ862" i="1"/>
  <c r="AX862" i="1"/>
  <c r="DC881" i="1"/>
  <c r="DA881" i="1"/>
  <c r="CY881" i="1"/>
  <c r="Y881" i="1" s="1"/>
  <c r="CW881" i="1"/>
  <c r="AA881" i="1" s="1"/>
  <c r="CR881" i="1"/>
  <c r="CP881" i="1"/>
  <c r="CN881" i="1"/>
  <c r="CJ881" i="1"/>
  <c r="CH881" i="1"/>
  <c r="CF881" i="1"/>
  <c r="BL881" i="1"/>
  <c r="BD881" i="1"/>
  <c r="AZ881" i="1"/>
  <c r="AX881" i="1"/>
  <c r="DC861" i="1"/>
  <c r="DA861" i="1"/>
  <c r="CY861" i="1"/>
  <c r="Y861" i="1" s="1"/>
  <c r="CW861" i="1"/>
  <c r="AA861" i="1" s="1"/>
  <c r="CR861" i="1"/>
  <c r="CP861" i="1"/>
  <c r="CN861" i="1"/>
  <c r="CJ861" i="1"/>
  <c r="CH861" i="1"/>
  <c r="CF861" i="1"/>
  <c r="BL861" i="1"/>
  <c r="BD861" i="1"/>
  <c r="AZ861" i="1"/>
  <c r="AX861" i="1"/>
  <c r="DC860" i="1"/>
  <c r="DA860" i="1"/>
  <c r="CY860" i="1"/>
  <c r="Y860" i="1" s="1"/>
  <c r="CW860" i="1"/>
  <c r="AA860" i="1" s="1"/>
  <c r="CR860" i="1"/>
  <c r="CP860" i="1"/>
  <c r="CN860" i="1"/>
  <c r="CJ860" i="1"/>
  <c r="CH860" i="1"/>
  <c r="CF860" i="1"/>
  <c r="BL860" i="1"/>
  <c r="BD860" i="1"/>
  <c r="AZ860" i="1"/>
  <c r="AX860" i="1"/>
  <c r="DC859" i="1"/>
  <c r="DA859" i="1"/>
  <c r="CY859" i="1"/>
  <c r="Y859" i="1" s="1"/>
  <c r="CW859" i="1"/>
  <c r="AA859" i="1" s="1"/>
  <c r="CR859" i="1"/>
  <c r="CP859" i="1"/>
  <c r="CN859" i="1"/>
  <c r="CJ859" i="1"/>
  <c r="CH859" i="1"/>
  <c r="CF859" i="1"/>
  <c r="BL859" i="1"/>
  <c r="BD859" i="1"/>
  <c r="AZ859" i="1"/>
  <c r="AX859" i="1"/>
  <c r="DC857" i="1"/>
  <c r="DA857" i="1"/>
  <c r="CY857" i="1"/>
  <c r="Y857" i="1" s="1"/>
  <c r="CW857" i="1"/>
  <c r="AA857" i="1" s="1"/>
  <c r="CR857" i="1"/>
  <c r="CP857" i="1"/>
  <c r="CN857" i="1"/>
  <c r="CJ857" i="1"/>
  <c r="CH857" i="1"/>
  <c r="CF857" i="1"/>
  <c r="BL857" i="1"/>
  <c r="BD857" i="1"/>
  <c r="AZ857" i="1"/>
  <c r="AX857" i="1"/>
  <c r="DC856" i="1"/>
  <c r="DA856" i="1"/>
  <c r="CY856" i="1"/>
  <c r="Y856" i="1" s="1"/>
  <c r="CW856" i="1"/>
  <c r="AA856" i="1" s="1"/>
  <c r="CR856" i="1"/>
  <c r="CP856" i="1"/>
  <c r="CN856" i="1"/>
  <c r="CJ856" i="1"/>
  <c r="CH856" i="1"/>
  <c r="CF856" i="1"/>
  <c r="BL856" i="1"/>
  <c r="BD856" i="1"/>
  <c r="AZ856" i="1"/>
  <c r="AX856" i="1"/>
  <c r="DC855" i="1"/>
  <c r="DA855" i="1"/>
  <c r="CY855" i="1"/>
  <c r="Y855" i="1" s="1"/>
  <c r="CW855" i="1"/>
  <c r="AA855" i="1" s="1"/>
  <c r="CR855" i="1"/>
  <c r="CP855" i="1"/>
  <c r="CN855" i="1"/>
  <c r="CJ855" i="1"/>
  <c r="CH855" i="1"/>
  <c r="CF855" i="1"/>
  <c r="BL855" i="1"/>
  <c r="BD855" i="1"/>
  <c r="AZ855" i="1"/>
  <c r="AX855" i="1"/>
  <c r="DC901" i="1"/>
  <c r="DA901" i="1"/>
  <c r="CY901" i="1"/>
  <c r="Y901" i="1" s="1"/>
  <c r="CW901" i="1"/>
  <c r="AA901" i="1" s="1"/>
  <c r="CR901" i="1"/>
  <c r="CP901" i="1"/>
  <c r="CN901" i="1"/>
  <c r="CJ901" i="1"/>
  <c r="CH901" i="1"/>
  <c r="CF901" i="1"/>
  <c r="BL901" i="1"/>
  <c r="BD901" i="1"/>
  <c r="AZ901" i="1"/>
  <c r="AX901" i="1"/>
  <c r="Z932" i="1" l="1"/>
  <c r="Z930" i="1"/>
  <c r="CU931" i="1"/>
  <c r="X931" i="1" s="1"/>
  <c r="Z937" i="1"/>
  <c r="CU711" i="1"/>
  <c r="X711" i="1" s="1"/>
  <c r="Z898" i="1"/>
  <c r="Z904" i="1"/>
  <c r="Z906" i="1"/>
  <c r="CU900" i="1"/>
  <c r="X900" i="1" s="1"/>
  <c r="CU903" i="1"/>
  <c r="X903" i="1" s="1"/>
  <c r="CU897" i="1"/>
  <c r="X897" i="1" s="1"/>
  <c r="Z857" i="1"/>
  <c r="Z881" i="1"/>
  <c r="Z855" i="1"/>
  <c r="Z860" i="1"/>
  <c r="CU901" i="1"/>
  <c r="X901" i="1" s="1"/>
  <c r="CU859" i="1"/>
  <c r="X859" i="1" s="1"/>
  <c r="CU862" i="1"/>
  <c r="X862" i="1" s="1"/>
  <c r="CU907" i="1"/>
  <c r="X907" i="1" s="1"/>
  <c r="CU905" i="1"/>
  <c r="X905" i="1" s="1"/>
  <c r="CU923" i="1"/>
  <c r="X923" i="1" s="1"/>
  <c r="CU936" i="1"/>
  <c r="X936" i="1" s="1"/>
  <c r="Z856" i="1"/>
  <c r="Z861" i="1"/>
  <c r="CU904" i="1"/>
  <c r="X904" i="1" s="1"/>
  <c r="Z907" i="1"/>
  <c r="CU906" i="1"/>
  <c r="X906" i="1" s="1"/>
  <c r="Z905" i="1"/>
  <c r="Z923" i="1"/>
  <c r="CU937" i="1"/>
  <c r="X937" i="1" s="1"/>
  <c r="Z936" i="1"/>
  <c r="Z901" i="1"/>
  <c r="Z859" i="1"/>
  <c r="Z862" i="1"/>
  <c r="CU898" i="1"/>
  <c r="X898" i="1" s="1"/>
  <c r="Z903" i="1"/>
  <c r="Z897" i="1"/>
  <c r="Z900" i="1"/>
  <c r="CU932" i="1"/>
  <c r="X932" i="1" s="1"/>
  <c r="Z931" i="1"/>
  <c r="CU930" i="1"/>
  <c r="X930" i="1" s="1"/>
  <c r="Z711" i="1"/>
  <c r="CU856" i="1"/>
  <c r="X856" i="1" s="1"/>
  <c r="CU861" i="1"/>
  <c r="X861" i="1" s="1"/>
  <c r="CU855" i="1"/>
  <c r="X855" i="1" s="1"/>
  <c r="CU860" i="1"/>
  <c r="X860" i="1" s="1"/>
  <c r="CU857" i="1"/>
  <c r="X857" i="1" s="1"/>
  <c r="CU881" i="1"/>
  <c r="X881" i="1" s="1"/>
  <c r="DC899" i="1"/>
  <c r="DA899" i="1"/>
  <c r="CY899" i="1"/>
  <c r="Y899" i="1" s="1"/>
  <c r="CW899" i="1"/>
  <c r="AA899" i="1" s="1"/>
  <c r="CR899" i="1"/>
  <c r="CP899" i="1"/>
  <c r="CN899" i="1"/>
  <c r="CJ899" i="1"/>
  <c r="CH899" i="1"/>
  <c r="CF899" i="1"/>
  <c r="BL899" i="1"/>
  <c r="BD899" i="1"/>
  <c r="AZ899" i="1"/>
  <c r="AX899" i="1"/>
  <c r="DC866" i="1"/>
  <c r="DA866" i="1"/>
  <c r="CY866" i="1"/>
  <c r="Y866" i="1" s="1"/>
  <c r="CW866" i="1"/>
  <c r="AA866" i="1" s="1"/>
  <c r="CR866" i="1"/>
  <c r="CP866" i="1"/>
  <c r="CN866" i="1"/>
  <c r="CJ866" i="1"/>
  <c r="CH866" i="1"/>
  <c r="CF866" i="1"/>
  <c r="BL866" i="1"/>
  <c r="BD866" i="1"/>
  <c r="AZ866" i="1"/>
  <c r="AX866" i="1"/>
  <c r="DC865" i="1"/>
  <c r="DA865" i="1"/>
  <c r="CY865" i="1"/>
  <c r="Y865" i="1" s="1"/>
  <c r="CW865" i="1"/>
  <c r="AA865" i="1" s="1"/>
  <c r="CR865" i="1"/>
  <c r="CP865" i="1"/>
  <c r="CN865" i="1"/>
  <c r="CJ865" i="1"/>
  <c r="CH865" i="1"/>
  <c r="CF865" i="1"/>
  <c r="BL865" i="1"/>
  <c r="BD865" i="1"/>
  <c r="AZ865" i="1"/>
  <c r="AX865" i="1"/>
  <c r="AD932" i="1" l="1"/>
  <c r="AD923" i="1"/>
  <c r="AD711" i="1"/>
  <c r="AD931" i="1"/>
  <c r="AD898" i="1"/>
  <c r="AD930" i="1"/>
  <c r="AD903" i="1"/>
  <c r="AD904" i="1"/>
  <c r="AD907" i="1"/>
  <c r="AD937" i="1"/>
  <c r="AD857" i="1"/>
  <c r="AD906" i="1"/>
  <c r="AD900" i="1"/>
  <c r="AD897" i="1"/>
  <c r="AD936" i="1"/>
  <c r="AD905" i="1"/>
  <c r="AD881" i="1"/>
  <c r="AD855" i="1"/>
  <c r="AD860" i="1"/>
  <c r="AD862" i="1"/>
  <c r="AD861" i="1"/>
  <c r="AD859" i="1"/>
  <c r="AD856" i="1"/>
  <c r="AD901" i="1"/>
  <c r="CU866" i="1"/>
  <c r="X866" i="1" s="1"/>
  <c r="Z899" i="1"/>
  <c r="CU865" i="1"/>
  <c r="X865" i="1" s="1"/>
  <c r="Z866" i="1"/>
  <c r="Z865" i="1"/>
  <c r="CU899" i="1"/>
  <c r="X899" i="1" s="1"/>
  <c r="CY249" i="1"/>
  <c r="AD899" i="1" l="1"/>
  <c r="AD866" i="1"/>
  <c r="AD865" i="1"/>
  <c r="DC889" i="1"/>
  <c r="DA889" i="1"/>
  <c r="CY889" i="1"/>
  <c r="Y889" i="1" s="1"/>
  <c r="CW889" i="1"/>
  <c r="AA889" i="1" s="1"/>
  <c r="CR889" i="1"/>
  <c r="CP889" i="1"/>
  <c r="CN889" i="1"/>
  <c r="CJ889" i="1"/>
  <c r="CH889" i="1"/>
  <c r="CF889" i="1"/>
  <c r="BL889" i="1"/>
  <c r="BD889" i="1"/>
  <c r="AZ889" i="1"/>
  <c r="AX889" i="1"/>
  <c r="DC895" i="1"/>
  <c r="DA895" i="1"/>
  <c r="CY895" i="1"/>
  <c r="Y895" i="1" s="1"/>
  <c r="CW895" i="1"/>
  <c r="AA895" i="1" s="1"/>
  <c r="CR895" i="1"/>
  <c r="CP895" i="1"/>
  <c r="CN895" i="1"/>
  <c r="CJ895" i="1"/>
  <c r="CH895" i="1"/>
  <c r="CF895" i="1"/>
  <c r="BL895" i="1"/>
  <c r="BD895" i="1"/>
  <c r="AZ895" i="1"/>
  <c r="AX895" i="1"/>
  <c r="DC887" i="1"/>
  <c r="DA887" i="1"/>
  <c r="CY887" i="1"/>
  <c r="Y887" i="1" s="1"/>
  <c r="CW887" i="1"/>
  <c r="AA887" i="1" s="1"/>
  <c r="CR887" i="1"/>
  <c r="CP887" i="1"/>
  <c r="CN887" i="1"/>
  <c r="CJ887" i="1"/>
  <c r="CH887" i="1"/>
  <c r="CF887" i="1"/>
  <c r="BL887" i="1"/>
  <c r="BD887" i="1"/>
  <c r="AZ887" i="1"/>
  <c r="AX887" i="1"/>
  <c r="DC884" i="1"/>
  <c r="DA884" i="1"/>
  <c r="CY884" i="1"/>
  <c r="Y884" i="1" s="1"/>
  <c r="CW884" i="1"/>
  <c r="AA884" i="1" s="1"/>
  <c r="CR884" i="1"/>
  <c r="CP884" i="1"/>
  <c r="CN884" i="1"/>
  <c r="CJ884" i="1"/>
  <c r="CH884" i="1"/>
  <c r="CF884" i="1"/>
  <c r="BL884" i="1"/>
  <c r="BD884" i="1"/>
  <c r="AZ884" i="1"/>
  <c r="AX884" i="1"/>
  <c r="DC893" i="1"/>
  <c r="DA893" i="1"/>
  <c r="CY893" i="1"/>
  <c r="Y893" i="1" s="1"/>
  <c r="CW893" i="1"/>
  <c r="AA893" i="1" s="1"/>
  <c r="CR893" i="1"/>
  <c r="CP893" i="1"/>
  <c r="CN893" i="1"/>
  <c r="CJ893" i="1"/>
  <c r="CH893" i="1"/>
  <c r="CF893" i="1"/>
  <c r="BL893" i="1"/>
  <c r="BD893" i="1"/>
  <c r="AZ893" i="1"/>
  <c r="AX893" i="1"/>
  <c r="DC883" i="1"/>
  <c r="DA883" i="1"/>
  <c r="CY883" i="1"/>
  <c r="Y883" i="1" s="1"/>
  <c r="CW883" i="1"/>
  <c r="AA883" i="1" s="1"/>
  <c r="CR883" i="1"/>
  <c r="CP883" i="1"/>
  <c r="CN883" i="1"/>
  <c r="CJ883" i="1"/>
  <c r="CH883" i="1"/>
  <c r="CF883" i="1"/>
  <c r="BL883" i="1"/>
  <c r="BD883" i="1"/>
  <c r="AZ883" i="1"/>
  <c r="AX883" i="1"/>
  <c r="DC896" i="1"/>
  <c r="DA896" i="1"/>
  <c r="CY896" i="1"/>
  <c r="Y896" i="1" s="1"/>
  <c r="CW896" i="1"/>
  <c r="AA896" i="1" s="1"/>
  <c r="CR896" i="1"/>
  <c r="CP896" i="1"/>
  <c r="CN896" i="1"/>
  <c r="CJ896" i="1"/>
  <c r="CH896" i="1"/>
  <c r="CF896" i="1"/>
  <c r="BL896" i="1"/>
  <c r="BD896" i="1"/>
  <c r="AZ896" i="1"/>
  <c r="AX896" i="1"/>
  <c r="DC888" i="1"/>
  <c r="DA888" i="1"/>
  <c r="CY888" i="1"/>
  <c r="Y888" i="1" s="1"/>
  <c r="CW888" i="1"/>
  <c r="AA888" i="1" s="1"/>
  <c r="CR888" i="1"/>
  <c r="CP888" i="1"/>
  <c r="CN888" i="1"/>
  <c r="CJ888" i="1"/>
  <c r="CH888" i="1"/>
  <c r="CF888" i="1"/>
  <c r="BL888" i="1"/>
  <c r="BD888" i="1"/>
  <c r="AZ888" i="1"/>
  <c r="AX888" i="1"/>
  <c r="DC892" i="1"/>
  <c r="DA892" i="1"/>
  <c r="CY892" i="1"/>
  <c r="Y892" i="1" s="1"/>
  <c r="CW892" i="1"/>
  <c r="AA892" i="1" s="1"/>
  <c r="CR892" i="1"/>
  <c r="CP892" i="1"/>
  <c r="CN892" i="1"/>
  <c r="CJ892" i="1"/>
  <c r="CH892" i="1"/>
  <c r="CF892" i="1"/>
  <c r="BL892" i="1"/>
  <c r="BD892" i="1"/>
  <c r="AZ892" i="1"/>
  <c r="AX892" i="1"/>
  <c r="DC886" i="1"/>
  <c r="DA886" i="1"/>
  <c r="CY886" i="1"/>
  <c r="Y886" i="1" s="1"/>
  <c r="CW886" i="1"/>
  <c r="AA886" i="1" s="1"/>
  <c r="CR886" i="1"/>
  <c r="CP886" i="1"/>
  <c r="CN886" i="1"/>
  <c r="CJ886" i="1"/>
  <c r="CH886" i="1"/>
  <c r="CF886" i="1"/>
  <c r="BL886" i="1"/>
  <c r="BD886" i="1"/>
  <c r="AZ886" i="1"/>
  <c r="AX886" i="1"/>
  <c r="DC876" i="1"/>
  <c r="DA876" i="1"/>
  <c r="CY876" i="1"/>
  <c r="Y876" i="1" s="1"/>
  <c r="CW876" i="1"/>
  <c r="AA876" i="1" s="1"/>
  <c r="CR876" i="1"/>
  <c r="CP876" i="1"/>
  <c r="CN876" i="1"/>
  <c r="CJ876" i="1"/>
  <c r="CH876" i="1"/>
  <c r="CF876" i="1"/>
  <c r="BL876" i="1"/>
  <c r="BD876" i="1"/>
  <c r="AZ876" i="1"/>
  <c r="AX876" i="1"/>
  <c r="DC880" i="1"/>
  <c r="DA880" i="1"/>
  <c r="CY880" i="1"/>
  <c r="Y880" i="1" s="1"/>
  <c r="CW880" i="1"/>
  <c r="AA880" i="1" s="1"/>
  <c r="CR880" i="1"/>
  <c r="CP880" i="1"/>
  <c r="CN880" i="1"/>
  <c r="CJ880" i="1"/>
  <c r="CH880" i="1"/>
  <c r="CF880" i="1"/>
  <c r="BL880" i="1"/>
  <c r="BD880" i="1"/>
  <c r="AZ880" i="1"/>
  <c r="AX880" i="1"/>
  <c r="DC885" i="1"/>
  <c r="DA885" i="1"/>
  <c r="CY885" i="1"/>
  <c r="Y885" i="1" s="1"/>
  <c r="CW885" i="1"/>
  <c r="AA885" i="1" s="1"/>
  <c r="CR885" i="1"/>
  <c r="CP885" i="1"/>
  <c r="CN885" i="1"/>
  <c r="CJ885" i="1"/>
  <c r="CH885" i="1"/>
  <c r="CF885" i="1"/>
  <c r="BL885" i="1"/>
  <c r="BD885" i="1"/>
  <c r="AZ885" i="1"/>
  <c r="AX885" i="1"/>
  <c r="DC882" i="1"/>
  <c r="DA882" i="1"/>
  <c r="CY882" i="1"/>
  <c r="Y882" i="1" s="1"/>
  <c r="CW882" i="1"/>
  <c r="AA882" i="1" s="1"/>
  <c r="CR882" i="1"/>
  <c r="CP882" i="1"/>
  <c r="CN882" i="1"/>
  <c r="CJ882" i="1"/>
  <c r="CH882" i="1"/>
  <c r="CF882" i="1"/>
  <c r="BL882" i="1"/>
  <c r="BD882" i="1"/>
  <c r="AZ882" i="1"/>
  <c r="AX882" i="1"/>
  <c r="DC878" i="1"/>
  <c r="DA878" i="1"/>
  <c r="CY878" i="1"/>
  <c r="Y878" i="1" s="1"/>
  <c r="CW878" i="1"/>
  <c r="AA878" i="1" s="1"/>
  <c r="CR878" i="1"/>
  <c r="CP878" i="1"/>
  <c r="CN878" i="1"/>
  <c r="CJ878" i="1"/>
  <c r="CH878" i="1"/>
  <c r="CF878" i="1"/>
  <c r="BL878" i="1"/>
  <c r="BD878" i="1"/>
  <c r="AZ878" i="1"/>
  <c r="AX878" i="1"/>
  <c r="DC879" i="1"/>
  <c r="DA879" i="1"/>
  <c r="CY879" i="1"/>
  <c r="Y879" i="1" s="1"/>
  <c r="CW879" i="1"/>
  <c r="AA879" i="1" s="1"/>
  <c r="CR879" i="1"/>
  <c r="CP879" i="1"/>
  <c r="CN879" i="1"/>
  <c r="CJ879" i="1"/>
  <c r="CH879" i="1"/>
  <c r="CF879" i="1"/>
  <c r="BL879" i="1"/>
  <c r="BD879" i="1"/>
  <c r="AZ879" i="1"/>
  <c r="AX879" i="1"/>
  <c r="DC875" i="1"/>
  <c r="DA875" i="1"/>
  <c r="CY875" i="1"/>
  <c r="Y875" i="1" s="1"/>
  <c r="CW875" i="1"/>
  <c r="AA875" i="1" s="1"/>
  <c r="CR875" i="1"/>
  <c r="CP875" i="1"/>
  <c r="CN875" i="1"/>
  <c r="CJ875" i="1"/>
  <c r="CH875" i="1"/>
  <c r="CF875" i="1"/>
  <c r="BL875" i="1"/>
  <c r="BD875" i="1"/>
  <c r="AZ875" i="1"/>
  <c r="AX875" i="1"/>
  <c r="DC877" i="1"/>
  <c r="DA877" i="1"/>
  <c r="CY877" i="1"/>
  <c r="Y877" i="1" s="1"/>
  <c r="CW877" i="1"/>
  <c r="AA877" i="1" s="1"/>
  <c r="CR877" i="1"/>
  <c r="CP877" i="1"/>
  <c r="CN877" i="1"/>
  <c r="CJ877" i="1"/>
  <c r="CH877" i="1"/>
  <c r="CF877" i="1"/>
  <c r="BL877" i="1"/>
  <c r="BD877" i="1"/>
  <c r="AZ877" i="1"/>
  <c r="AX877" i="1"/>
  <c r="CU892" i="1" l="1"/>
  <c r="X892" i="1" s="1"/>
  <c r="Z888" i="1"/>
  <c r="CU883" i="1"/>
  <c r="X883" i="1" s="1"/>
  <c r="Z893" i="1"/>
  <c r="CU887" i="1"/>
  <c r="X887" i="1" s="1"/>
  <c r="Z895" i="1"/>
  <c r="Z892" i="1"/>
  <c r="Z883" i="1"/>
  <c r="Z887" i="1"/>
  <c r="CU896" i="1"/>
  <c r="X896" i="1" s="1"/>
  <c r="CU875" i="1"/>
  <c r="X875" i="1" s="1"/>
  <c r="Z879" i="1"/>
  <c r="Z885" i="1"/>
  <c r="CU876" i="1"/>
  <c r="X876" i="1" s="1"/>
  <c r="Z886" i="1"/>
  <c r="CU888" i="1"/>
  <c r="X888" i="1" s="1"/>
  <c r="Z896" i="1"/>
  <c r="CU893" i="1"/>
  <c r="X893" i="1" s="1"/>
  <c r="Z884" i="1"/>
  <c r="CU895" i="1"/>
  <c r="X895" i="1" s="1"/>
  <c r="Z889" i="1"/>
  <c r="CU886" i="1"/>
  <c r="X886" i="1" s="1"/>
  <c r="CU884" i="1"/>
  <c r="X884" i="1" s="1"/>
  <c r="CU889" i="1"/>
  <c r="X889" i="1" s="1"/>
  <c r="Z882" i="1"/>
  <c r="Z880" i="1"/>
  <c r="Z875" i="1"/>
  <c r="CU882" i="1"/>
  <c r="X882" i="1" s="1"/>
  <c r="CU880" i="1"/>
  <c r="X880" i="1" s="1"/>
  <c r="Z876" i="1"/>
  <c r="CU878" i="1"/>
  <c r="X878" i="1" s="1"/>
  <c r="Z877" i="1"/>
  <c r="Z878" i="1"/>
  <c r="CU885" i="1"/>
  <c r="X885" i="1" s="1"/>
  <c r="CU877" i="1"/>
  <c r="X877" i="1" s="1"/>
  <c r="CU879" i="1"/>
  <c r="X879" i="1" s="1"/>
  <c r="AD889" i="1" l="1"/>
  <c r="AD884" i="1"/>
  <c r="AD883" i="1"/>
  <c r="AD887" i="1"/>
  <c r="AD892" i="1"/>
  <c r="AD893" i="1"/>
  <c r="AD888" i="1"/>
  <c r="AD895" i="1"/>
  <c r="AD877" i="1"/>
  <c r="AD879" i="1"/>
  <c r="AD876" i="1"/>
  <c r="AD875" i="1"/>
  <c r="AD882" i="1"/>
  <c r="AD885" i="1"/>
  <c r="AD878" i="1"/>
  <c r="AD886" i="1"/>
  <c r="AD896" i="1"/>
  <c r="AD880" i="1"/>
  <c r="CY648" i="1" l="1"/>
  <c r="Y648" i="1" s="1"/>
  <c r="CW648" i="1"/>
  <c r="AA648" i="1" s="1"/>
  <c r="CR648" i="1"/>
  <c r="CP648" i="1"/>
  <c r="CN648" i="1"/>
  <c r="CJ648" i="1"/>
  <c r="CH648" i="1"/>
  <c r="CF648" i="1"/>
  <c r="BL648" i="1"/>
  <c r="BD648" i="1"/>
  <c r="AZ648" i="1"/>
  <c r="AX648" i="1"/>
  <c r="CY655" i="1"/>
  <c r="Y655" i="1" s="1"/>
  <c r="CW655" i="1"/>
  <c r="AA655" i="1" s="1"/>
  <c r="CR655" i="1"/>
  <c r="CP655" i="1"/>
  <c r="CN655" i="1"/>
  <c r="CJ655" i="1"/>
  <c r="CH655" i="1"/>
  <c r="CF655" i="1"/>
  <c r="BL655" i="1"/>
  <c r="BD655" i="1"/>
  <c r="AZ655" i="1"/>
  <c r="AX655" i="1"/>
  <c r="CY660" i="1"/>
  <c r="Y660" i="1" s="1"/>
  <c r="CW660" i="1"/>
  <c r="AA660" i="1" s="1"/>
  <c r="CR660" i="1"/>
  <c r="CP660" i="1"/>
  <c r="CN660" i="1"/>
  <c r="CJ660" i="1"/>
  <c r="CH660" i="1"/>
  <c r="CF660" i="1"/>
  <c r="BL660" i="1"/>
  <c r="BD660" i="1"/>
  <c r="AZ660" i="1"/>
  <c r="AX660" i="1"/>
  <c r="CY644" i="1"/>
  <c r="Y644" i="1" s="1"/>
  <c r="CW644" i="1"/>
  <c r="AA644" i="1" s="1"/>
  <c r="CR644" i="1"/>
  <c r="CP644" i="1"/>
  <c r="CN644" i="1"/>
  <c r="CJ644" i="1"/>
  <c r="CH644" i="1"/>
  <c r="CF644" i="1"/>
  <c r="BL644" i="1"/>
  <c r="BD644" i="1"/>
  <c r="AZ644" i="1"/>
  <c r="AX644" i="1"/>
  <c r="CY641" i="1"/>
  <c r="Y641" i="1" s="1"/>
  <c r="CW641" i="1"/>
  <c r="AA641" i="1" s="1"/>
  <c r="CR641" i="1"/>
  <c r="CP641" i="1"/>
  <c r="CN641" i="1"/>
  <c r="CJ641" i="1"/>
  <c r="CH641" i="1"/>
  <c r="CF641" i="1"/>
  <c r="BL641" i="1"/>
  <c r="BD641" i="1"/>
  <c r="AZ641" i="1"/>
  <c r="AX641" i="1"/>
  <c r="DC871" i="1"/>
  <c r="DA871" i="1"/>
  <c r="CY871" i="1"/>
  <c r="Y871" i="1" s="1"/>
  <c r="CW871" i="1"/>
  <c r="AA871" i="1" s="1"/>
  <c r="CR871" i="1"/>
  <c r="CP871" i="1"/>
  <c r="CN871" i="1"/>
  <c r="CJ871" i="1"/>
  <c r="CH871" i="1"/>
  <c r="CF871" i="1"/>
  <c r="BL871" i="1"/>
  <c r="BD871" i="1"/>
  <c r="AZ871" i="1"/>
  <c r="AX871" i="1"/>
  <c r="DC872" i="1"/>
  <c r="DA872" i="1"/>
  <c r="CY872" i="1"/>
  <c r="Y872" i="1" s="1"/>
  <c r="CW872" i="1"/>
  <c r="AA872" i="1" s="1"/>
  <c r="CR872" i="1"/>
  <c r="CP872" i="1"/>
  <c r="CN872" i="1"/>
  <c r="CJ872" i="1"/>
  <c r="CH872" i="1"/>
  <c r="CF872" i="1"/>
  <c r="BL872" i="1"/>
  <c r="BD872" i="1"/>
  <c r="AZ872" i="1"/>
  <c r="AX872" i="1"/>
  <c r="DC858" i="1"/>
  <c r="DA858" i="1"/>
  <c r="CY858" i="1"/>
  <c r="Y858" i="1" s="1"/>
  <c r="CW858" i="1"/>
  <c r="AA858" i="1" s="1"/>
  <c r="CR858" i="1"/>
  <c r="CP858" i="1"/>
  <c r="CN858" i="1"/>
  <c r="CJ858" i="1"/>
  <c r="CH858" i="1"/>
  <c r="CF858" i="1"/>
  <c r="BL858" i="1"/>
  <c r="BD858" i="1"/>
  <c r="AZ858" i="1"/>
  <c r="AX858" i="1"/>
  <c r="DC868" i="1"/>
  <c r="DA868" i="1"/>
  <c r="CY868" i="1"/>
  <c r="Y868" i="1" s="1"/>
  <c r="CW868" i="1"/>
  <c r="AA868" i="1" s="1"/>
  <c r="CR868" i="1"/>
  <c r="CP868" i="1"/>
  <c r="CN868" i="1"/>
  <c r="CJ868" i="1"/>
  <c r="CH868" i="1"/>
  <c r="CF868" i="1"/>
  <c r="BL868" i="1"/>
  <c r="BD868" i="1"/>
  <c r="AZ868" i="1"/>
  <c r="AX868" i="1"/>
  <c r="DC874" i="1"/>
  <c r="DA874" i="1"/>
  <c r="CY874" i="1"/>
  <c r="Y874" i="1" s="1"/>
  <c r="CW874" i="1"/>
  <c r="AA874" i="1" s="1"/>
  <c r="CR874" i="1"/>
  <c r="CP874" i="1"/>
  <c r="CN874" i="1"/>
  <c r="CJ874" i="1"/>
  <c r="CH874" i="1"/>
  <c r="CF874" i="1"/>
  <c r="BL874" i="1"/>
  <c r="BD874" i="1"/>
  <c r="AZ874" i="1"/>
  <c r="AX874" i="1"/>
  <c r="DC873" i="1"/>
  <c r="DA873" i="1"/>
  <c r="CY873" i="1"/>
  <c r="Y873" i="1" s="1"/>
  <c r="CW873" i="1"/>
  <c r="AA873" i="1" s="1"/>
  <c r="CR873" i="1"/>
  <c r="CP873" i="1"/>
  <c r="CN873" i="1"/>
  <c r="CJ873" i="1"/>
  <c r="CH873" i="1"/>
  <c r="CF873" i="1"/>
  <c r="BL873" i="1"/>
  <c r="BD873" i="1"/>
  <c r="AZ873" i="1"/>
  <c r="AX873" i="1"/>
  <c r="DC870" i="1"/>
  <c r="DA870" i="1"/>
  <c r="CY870" i="1"/>
  <c r="Y870" i="1" s="1"/>
  <c r="CW870" i="1"/>
  <c r="AA870" i="1" s="1"/>
  <c r="CR870" i="1"/>
  <c r="CP870" i="1"/>
  <c r="CN870" i="1"/>
  <c r="CJ870" i="1"/>
  <c r="CH870" i="1"/>
  <c r="CF870" i="1"/>
  <c r="BL870" i="1"/>
  <c r="BD870" i="1"/>
  <c r="AZ870" i="1"/>
  <c r="AX870" i="1"/>
  <c r="DC869" i="1"/>
  <c r="DA869" i="1"/>
  <c r="CY869" i="1"/>
  <c r="Y869" i="1" s="1"/>
  <c r="CW869" i="1"/>
  <c r="AA869" i="1" s="1"/>
  <c r="CR869" i="1"/>
  <c r="CP869" i="1"/>
  <c r="CN869" i="1"/>
  <c r="CJ869" i="1"/>
  <c r="CH869" i="1"/>
  <c r="CF869" i="1"/>
  <c r="BL869" i="1"/>
  <c r="BD869" i="1"/>
  <c r="AZ869" i="1"/>
  <c r="AX869" i="1"/>
  <c r="DC864" i="1"/>
  <c r="DA864" i="1"/>
  <c r="CY864" i="1"/>
  <c r="Y864" i="1" s="1"/>
  <c r="CW864" i="1"/>
  <c r="AA864" i="1" s="1"/>
  <c r="CR864" i="1"/>
  <c r="CP864" i="1"/>
  <c r="CN864" i="1"/>
  <c r="CJ864" i="1"/>
  <c r="CH864" i="1"/>
  <c r="CF864" i="1"/>
  <c r="BL864" i="1"/>
  <c r="BD864" i="1"/>
  <c r="AZ864" i="1"/>
  <c r="AX864" i="1"/>
  <c r="DC863" i="1"/>
  <c r="DA863" i="1"/>
  <c r="CY863" i="1"/>
  <c r="Y863" i="1" s="1"/>
  <c r="CW863" i="1"/>
  <c r="AA863" i="1" s="1"/>
  <c r="CR863" i="1"/>
  <c r="CP863" i="1"/>
  <c r="CN863" i="1"/>
  <c r="CJ863" i="1"/>
  <c r="CH863" i="1"/>
  <c r="CF863" i="1"/>
  <c r="BL863" i="1"/>
  <c r="BD863" i="1"/>
  <c r="AZ863" i="1"/>
  <c r="AX863" i="1"/>
  <c r="DC646" i="1"/>
  <c r="DA646" i="1"/>
  <c r="CY646" i="1"/>
  <c r="Y646" i="1" s="1"/>
  <c r="CW646" i="1"/>
  <c r="AA646" i="1" s="1"/>
  <c r="CR646" i="1"/>
  <c r="CP646" i="1"/>
  <c r="CN646" i="1"/>
  <c r="CJ646" i="1"/>
  <c r="CH646" i="1"/>
  <c r="CF646" i="1"/>
  <c r="BL646" i="1"/>
  <c r="BD646" i="1"/>
  <c r="AZ646" i="1"/>
  <c r="AX646" i="1"/>
  <c r="DC807" i="1"/>
  <c r="DA807" i="1"/>
  <c r="CY807" i="1"/>
  <c r="Y807" i="1" s="1"/>
  <c r="CW807" i="1"/>
  <c r="AA807" i="1" s="1"/>
  <c r="CR807" i="1"/>
  <c r="CP807" i="1"/>
  <c r="CN807" i="1"/>
  <c r="CJ807" i="1"/>
  <c r="CH807" i="1"/>
  <c r="CF807" i="1"/>
  <c r="BL807" i="1"/>
  <c r="BD807" i="1"/>
  <c r="AZ807" i="1"/>
  <c r="AX807" i="1"/>
  <c r="DC806" i="1"/>
  <c r="DA806" i="1"/>
  <c r="CY806" i="1"/>
  <c r="Y806" i="1" s="1"/>
  <c r="CW806" i="1"/>
  <c r="AA806" i="1" s="1"/>
  <c r="CR806" i="1"/>
  <c r="CP806" i="1"/>
  <c r="CN806" i="1"/>
  <c r="CJ806" i="1"/>
  <c r="CH806" i="1"/>
  <c r="CF806" i="1"/>
  <c r="BL806" i="1"/>
  <c r="BD806" i="1"/>
  <c r="AZ806" i="1"/>
  <c r="AX806" i="1"/>
  <c r="DC805" i="1"/>
  <c r="DA805" i="1"/>
  <c r="CY805" i="1"/>
  <c r="Y805" i="1" s="1"/>
  <c r="CW805" i="1"/>
  <c r="AA805" i="1" s="1"/>
  <c r="CR805" i="1"/>
  <c r="CP805" i="1"/>
  <c r="CN805" i="1"/>
  <c r="CJ805" i="1"/>
  <c r="CH805" i="1"/>
  <c r="CF805" i="1"/>
  <c r="BL805" i="1"/>
  <c r="BD805" i="1"/>
  <c r="AZ805" i="1"/>
  <c r="AX805" i="1"/>
  <c r="DC804" i="1"/>
  <c r="DA804" i="1"/>
  <c r="CY804" i="1"/>
  <c r="Y804" i="1" s="1"/>
  <c r="CW804" i="1"/>
  <c r="CR804" i="1"/>
  <c r="CP804" i="1"/>
  <c r="CN804" i="1"/>
  <c r="CJ804" i="1"/>
  <c r="CH804" i="1"/>
  <c r="CF804" i="1"/>
  <c r="BL804" i="1"/>
  <c r="BD804" i="1"/>
  <c r="AZ804" i="1"/>
  <c r="AX804" i="1"/>
  <c r="DC803" i="1"/>
  <c r="DA803" i="1"/>
  <c r="CY803" i="1"/>
  <c r="Y803" i="1" s="1"/>
  <c r="CW803" i="1"/>
  <c r="AA803" i="1" s="1"/>
  <c r="CR803" i="1"/>
  <c r="CP803" i="1"/>
  <c r="CN803" i="1"/>
  <c r="CJ803" i="1"/>
  <c r="CH803" i="1"/>
  <c r="CF803" i="1"/>
  <c r="BL803" i="1"/>
  <c r="BD803" i="1"/>
  <c r="AZ803" i="1"/>
  <c r="AX803" i="1"/>
  <c r="DC802" i="1"/>
  <c r="DA802" i="1"/>
  <c r="CY802" i="1"/>
  <c r="Y802" i="1" s="1"/>
  <c r="CW802" i="1"/>
  <c r="AA802" i="1" s="1"/>
  <c r="CR802" i="1"/>
  <c r="CP802" i="1"/>
  <c r="CN802" i="1"/>
  <c r="CJ802" i="1"/>
  <c r="CH802" i="1"/>
  <c r="CF802" i="1"/>
  <c r="BL802" i="1"/>
  <c r="BD802" i="1"/>
  <c r="AZ802" i="1"/>
  <c r="AX802" i="1"/>
  <c r="DC801" i="1"/>
  <c r="DA801" i="1"/>
  <c r="CY801" i="1"/>
  <c r="Y801" i="1" s="1"/>
  <c r="CW801" i="1"/>
  <c r="AA801" i="1" s="1"/>
  <c r="CR801" i="1"/>
  <c r="CP801" i="1"/>
  <c r="CN801" i="1"/>
  <c r="CJ801" i="1"/>
  <c r="CH801" i="1"/>
  <c r="CF801" i="1"/>
  <c r="BL801" i="1"/>
  <c r="BD801" i="1"/>
  <c r="AZ801" i="1"/>
  <c r="AX801" i="1"/>
  <c r="CU871" i="1" l="1"/>
  <c r="X871" i="1" s="1"/>
  <c r="CU655" i="1"/>
  <c r="X655" i="1" s="1"/>
  <c r="Z864" i="1"/>
  <c r="Z872" i="1"/>
  <c r="Z660" i="1"/>
  <c r="CU803" i="1"/>
  <c r="X803" i="1" s="1"/>
  <c r="Z804" i="1"/>
  <c r="CU805" i="1"/>
  <c r="X805" i="1" s="1"/>
  <c r="Z806" i="1"/>
  <c r="Z863" i="1"/>
  <c r="CU872" i="1"/>
  <c r="X872" i="1" s="1"/>
  <c r="Z644" i="1"/>
  <c r="CU660" i="1"/>
  <c r="X660" i="1" s="1"/>
  <c r="Z802" i="1"/>
  <c r="Z801" i="1"/>
  <c r="Z807" i="1"/>
  <c r="Z871" i="1"/>
  <c r="CU641" i="1"/>
  <c r="X641" i="1" s="1"/>
  <c r="Z655" i="1"/>
  <c r="CU648" i="1"/>
  <c r="X648" i="1" s="1"/>
  <c r="Z646" i="1"/>
  <c r="Z641" i="1"/>
  <c r="CU644" i="1"/>
  <c r="X644" i="1" s="1"/>
  <c r="Z648" i="1"/>
  <c r="Z874" i="1"/>
  <c r="Z869" i="1"/>
  <c r="Z868" i="1"/>
  <c r="Z858" i="1"/>
  <c r="Z870" i="1"/>
  <c r="CU869" i="1"/>
  <c r="X869" i="1" s="1"/>
  <c r="CU868" i="1"/>
  <c r="X868" i="1" s="1"/>
  <c r="CU858" i="1"/>
  <c r="X858" i="1" s="1"/>
  <c r="Z873" i="1"/>
  <c r="CU874" i="1"/>
  <c r="X874" i="1" s="1"/>
  <c r="CU873" i="1"/>
  <c r="X873" i="1" s="1"/>
  <c r="CU870" i="1"/>
  <c r="X870" i="1" s="1"/>
  <c r="CU802" i="1"/>
  <c r="X802" i="1" s="1"/>
  <c r="Z803" i="1"/>
  <c r="Z805" i="1"/>
  <c r="CU646" i="1"/>
  <c r="X646" i="1" s="1"/>
  <c r="CU801" i="1"/>
  <c r="X801" i="1" s="1"/>
  <c r="CU807" i="1"/>
  <c r="X807" i="1" s="1"/>
  <c r="CU864" i="1"/>
  <c r="X864" i="1" s="1"/>
  <c r="CU804" i="1"/>
  <c r="X804" i="1" s="1"/>
  <c r="CU806" i="1"/>
  <c r="X806" i="1" s="1"/>
  <c r="CU863" i="1"/>
  <c r="X863" i="1" s="1"/>
  <c r="AD802" i="1" l="1"/>
  <c r="AD646" i="1"/>
  <c r="AD803" i="1"/>
  <c r="AD869" i="1"/>
  <c r="AD644" i="1"/>
  <c r="AD806" i="1"/>
  <c r="AD807" i="1"/>
  <c r="AD801" i="1"/>
  <c r="AD872" i="1"/>
  <c r="AD864" i="1"/>
  <c r="AD863" i="1"/>
  <c r="AD871" i="1"/>
  <c r="AD660" i="1"/>
  <c r="AD641" i="1"/>
  <c r="AD655" i="1"/>
  <c r="AD873" i="1"/>
  <c r="AD805" i="1"/>
  <c r="AD648" i="1"/>
  <c r="AD804" i="1"/>
  <c r="AD874" i="1"/>
  <c r="AD870" i="1"/>
  <c r="AD868" i="1"/>
  <c r="AD858" i="1"/>
  <c r="DA685" i="1"/>
  <c r="CY685" i="1"/>
  <c r="Y685" i="1" s="1"/>
  <c r="CW685" i="1"/>
  <c r="AA685" i="1" s="1"/>
  <c r="CR685" i="1"/>
  <c r="CP685" i="1"/>
  <c r="CN685" i="1"/>
  <c r="CJ685" i="1"/>
  <c r="CH685" i="1"/>
  <c r="CF685" i="1"/>
  <c r="BL685" i="1"/>
  <c r="BD685" i="1"/>
  <c r="AZ685" i="1"/>
  <c r="AX685" i="1"/>
  <c r="DC849" i="1"/>
  <c r="DA849" i="1"/>
  <c r="CY849" i="1"/>
  <c r="Y849" i="1" s="1"/>
  <c r="CW849" i="1"/>
  <c r="AA849" i="1" s="1"/>
  <c r="CR849" i="1"/>
  <c r="CP849" i="1"/>
  <c r="CN849" i="1"/>
  <c r="CJ849" i="1"/>
  <c r="CH849" i="1"/>
  <c r="CF849" i="1"/>
  <c r="BL849" i="1"/>
  <c r="BD849" i="1"/>
  <c r="AZ849" i="1"/>
  <c r="AX849" i="1"/>
  <c r="DC850" i="1"/>
  <c r="DA850" i="1"/>
  <c r="CY850" i="1"/>
  <c r="Y850" i="1" s="1"/>
  <c r="CW850" i="1"/>
  <c r="AA850" i="1" s="1"/>
  <c r="CR850" i="1"/>
  <c r="CP850" i="1"/>
  <c r="CN850" i="1"/>
  <c r="CJ850" i="1"/>
  <c r="CH850" i="1"/>
  <c r="CF850" i="1"/>
  <c r="BL850" i="1"/>
  <c r="BD850" i="1"/>
  <c r="AZ850" i="1"/>
  <c r="AX850" i="1"/>
  <c r="DC839" i="1"/>
  <c r="DA839" i="1"/>
  <c r="CY839" i="1"/>
  <c r="Y839" i="1" s="1"/>
  <c r="CW839" i="1"/>
  <c r="AA839" i="1" s="1"/>
  <c r="CR839" i="1"/>
  <c r="CP839" i="1"/>
  <c r="CN839" i="1"/>
  <c r="CJ839" i="1"/>
  <c r="CH839" i="1"/>
  <c r="CF839" i="1"/>
  <c r="BL839" i="1"/>
  <c r="BD839" i="1"/>
  <c r="AZ839" i="1"/>
  <c r="AX839" i="1"/>
  <c r="DC837" i="1"/>
  <c r="DA837" i="1"/>
  <c r="CY837" i="1"/>
  <c r="Y837" i="1" s="1"/>
  <c r="CW837" i="1"/>
  <c r="AA837" i="1" s="1"/>
  <c r="CR837" i="1"/>
  <c r="CP837" i="1"/>
  <c r="CN837" i="1"/>
  <c r="CJ837" i="1"/>
  <c r="CH837" i="1"/>
  <c r="CF837" i="1"/>
  <c r="BL837" i="1"/>
  <c r="BD837" i="1"/>
  <c r="AZ837" i="1"/>
  <c r="AX837" i="1"/>
  <c r="DC836" i="1"/>
  <c r="DA836" i="1"/>
  <c r="CY836" i="1"/>
  <c r="Y836" i="1" s="1"/>
  <c r="CW836" i="1"/>
  <c r="AA836" i="1" s="1"/>
  <c r="CR836" i="1"/>
  <c r="CP836" i="1"/>
  <c r="CN836" i="1"/>
  <c r="CJ836" i="1"/>
  <c r="CH836" i="1"/>
  <c r="CF836" i="1"/>
  <c r="BL836" i="1"/>
  <c r="BD836" i="1"/>
  <c r="AZ836" i="1"/>
  <c r="AX836" i="1"/>
  <c r="DC832" i="1"/>
  <c r="DA832" i="1"/>
  <c r="CY832" i="1"/>
  <c r="Y832" i="1" s="1"/>
  <c r="CW832" i="1"/>
  <c r="AA832" i="1" s="1"/>
  <c r="CR832" i="1"/>
  <c r="CP832" i="1"/>
  <c r="CN832" i="1"/>
  <c r="CJ832" i="1"/>
  <c r="CH832" i="1"/>
  <c r="CF832" i="1"/>
  <c r="BL832" i="1"/>
  <c r="BD832" i="1"/>
  <c r="AZ832" i="1"/>
  <c r="AX832" i="1"/>
  <c r="Y834" i="1"/>
  <c r="CW834" i="1"/>
  <c r="AA834" i="1" s="1"/>
  <c r="CR834" i="1"/>
  <c r="CP834" i="1"/>
  <c r="CN834" i="1"/>
  <c r="CJ834" i="1"/>
  <c r="CH834" i="1"/>
  <c r="CF834" i="1"/>
  <c r="BL834" i="1"/>
  <c r="BD834" i="1"/>
  <c r="AZ834" i="1"/>
  <c r="AX834" i="1"/>
  <c r="DC833" i="1"/>
  <c r="DA833" i="1"/>
  <c r="CY833" i="1"/>
  <c r="Y833" i="1" s="1"/>
  <c r="CW833" i="1"/>
  <c r="AA833" i="1" s="1"/>
  <c r="CR833" i="1"/>
  <c r="CP833" i="1"/>
  <c r="CN833" i="1"/>
  <c r="CJ833" i="1"/>
  <c r="CH833" i="1"/>
  <c r="CF833" i="1"/>
  <c r="BL833" i="1"/>
  <c r="BD833" i="1"/>
  <c r="AZ833" i="1"/>
  <c r="AX833" i="1"/>
  <c r="DC835" i="1"/>
  <c r="DA835" i="1"/>
  <c r="CY835" i="1"/>
  <c r="Y835" i="1" s="1"/>
  <c r="CW835" i="1"/>
  <c r="AA835" i="1" s="1"/>
  <c r="CR835" i="1"/>
  <c r="CP835" i="1"/>
  <c r="CN835" i="1"/>
  <c r="CJ835" i="1"/>
  <c r="CH835" i="1"/>
  <c r="CF835" i="1"/>
  <c r="BL835" i="1"/>
  <c r="BD835" i="1"/>
  <c r="AZ835" i="1"/>
  <c r="AX835" i="1"/>
  <c r="DC815" i="1"/>
  <c r="DA815" i="1"/>
  <c r="CY815" i="1"/>
  <c r="Y815" i="1" s="1"/>
  <c r="CW815" i="1"/>
  <c r="AA815" i="1" s="1"/>
  <c r="CR815" i="1"/>
  <c r="CP815" i="1"/>
  <c r="CN815" i="1"/>
  <c r="CJ815" i="1"/>
  <c r="CH815" i="1"/>
  <c r="CF815" i="1"/>
  <c r="BL815" i="1"/>
  <c r="BD815" i="1"/>
  <c r="AZ815" i="1"/>
  <c r="AX815" i="1"/>
  <c r="DC813" i="1"/>
  <c r="DA813" i="1"/>
  <c r="CY813" i="1"/>
  <c r="Y813" i="1" s="1"/>
  <c r="CW813" i="1"/>
  <c r="AA813" i="1" s="1"/>
  <c r="CR813" i="1"/>
  <c r="CP813" i="1"/>
  <c r="CN813" i="1"/>
  <c r="CJ813" i="1"/>
  <c r="CH813" i="1"/>
  <c r="CF813" i="1"/>
  <c r="BL813" i="1"/>
  <c r="BD813" i="1"/>
  <c r="AZ813" i="1"/>
  <c r="AX813" i="1"/>
  <c r="DC814" i="1"/>
  <c r="DA814" i="1"/>
  <c r="CY814" i="1"/>
  <c r="Y814" i="1" s="1"/>
  <c r="CW814" i="1"/>
  <c r="AA814" i="1" s="1"/>
  <c r="CR814" i="1"/>
  <c r="CP814" i="1"/>
  <c r="CN814" i="1"/>
  <c r="CJ814" i="1"/>
  <c r="CH814" i="1"/>
  <c r="CF814" i="1"/>
  <c r="BL814" i="1"/>
  <c r="BD814" i="1"/>
  <c r="AZ814" i="1"/>
  <c r="AX814" i="1"/>
  <c r="DC830" i="1"/>
  <c r="DA830" i="1"/>
  <c r="CY830" i="1"/>
  <c r="Y830" i="1" s="1"/>
  <c r="CW830" i="1"/>
  <c r="AA830" i="1" s="1"/>
  <c r="CR830" i="1"/>
  <c r="CP830" i="1"/>
  <c r="CN830" i="1"/>
  <c r="CJ830" i="1"/>
  <c r="CH830" i="1"/>
  <c r="CF830" i="1"/>
  <c r="BL830" i="1"/>
  <c r="BD830" i="1"/>
  <c r="AZ830" i="1"/>
  <c r="AX830" i="1"/>
  <c r="DC816" i="1"/>
  <c r="DA816" i="1"/>
  <c r="CY816" i="1"/>
  <c r="Y816" i="1" s="1"/>
  <c r="CW816" i="1"/>
  <c r="AA816" i="1" s="1"/>
  <c r="CR816" i="1"/>
  <c r="CP816" i="1"/>
  <c r="CN816" i="1"/>
  <c r="CJ816" i="1"/>
  <c r="CH816" i="1"/>
  <c r="CF816" i="1"/>
  <c r="BL816" i="1"/>
  <c r="BD816" i="1"/>
  <c r="AZ816" i="1"/>
  <c r="AX816" i="1"/>
  <c r="DC823" i="1"/>
  <c r="DA823" i="1"/>
  <c r="CY823" i="1"/>
  <c r="Y823" i="1" s="1"/>
  <c r="CW823" i="1"/>
  <c r="AA823" i="1" s="1"/>
  <c r="CR823" i="1"/>
  <c r="CP823" i="1"/>
  <c r="CN823" i="1"/>
  <c r="CJ823" i="1"/>
  <c r="CH823" i="1"/>
  <c r="CF823" i="1"/>
  <c r="BL823" i="1"/>
  <c r="BD823" i="1"/>
  <c r="AZ823" i="1"/>
  <c r="AX823" i="1"/>
  <c r="DC820" i="1"/>
  <c r="DA820" i="1"/>
  <c r="CY820" i="1"/>
  <c r="Y820" i="1" s="1"/>
  <c r="CW820" i="1"/>
  <c r="AA820" i="1" s="1"/>
  <c r="CR820" i="1"/>
  <c r="CP820" i="1"/>
  <c r="CN820" i="1"/>
  <c r="CJ820" i="1"/>
  <c r="CH820" i="1"/>
  <c r="CF820" i="1"/>
  <c r="BL820" i="1"/>
  <c r="BD820" i="1"/>
  <c r="AZ820" i="1"/>
  <c r="AX820" i="1"/>
  <c r="DC831" i="1"/>
  <c r="DA831" i="1"/>
  <c r="CY831" i="1"/>
  <c r="Y831" i="1" s="1"/>
  <c r="CW831" i="1"/>
  <c r="AA831" i="1" s="1"/>
  <c r="CR831" i="1"/>
  <c r="CP831" i="1"/>
  <c r="CN831" i="1"/>
  <c r="CJ831" i="1"/>
  <c r="CH831" i="1"/>
  <c r="CF831" i="1"/>
  <c r="BL831" i="1"/>
  <c r="BD831" i="1"/>
  <c r="AZ831" i="1"/>
  <c r="AX831" i="1"/>
  <c r="DC796" i="1"/>
  <c r="DA796" i="1"/>
  <c r="CY796" i="1"/>
  <c r="Y796" i="1" s="1"/>
  <c r="CW796" i="1"/>
  <c r="AA796" i="1" s="1"/>
  <c r="CR796" i="1"/>
  <c r="CP796" i="1"/>
  <c r="CN796" i="1"/>
  <c r="CJ796" i="1"/>
  <c r="CH796" i="1"/>
  <c r="CF796" i="1"/>
  <c r="BL796" i="1"/>
  <c r="BD796" i="1"/>
  <c r="AZ796" i="1"/>
  <c r="AX796" i="1"/>
  <c r="DC809" i="1"/>
  <c r="DA809" i="1"/>
  <c r="CY809" i="1"/>
  <c r="Y809" i="1" s="1"/>
  <c r="CW809" i="1"/>
  <c r="AA809" i="1" s="1"/>
  <c r="CR809" i="1"/>
  <c r="CP809" i="1"/>
  <c r="CN809" i="1"/>
  <c r="CJ809" i="1"/>
  <c r="CH809" i="1"/>
  <c r="CF809" i="1"/>
  <c r="BL809" i="1"/>
  <c r="BD809" i="1"/>
  <c r="AZ809" i="1"/>
  <c r="AX809" i="1"/>
  <c r="DC800" i="1"/>
  <c r="DA800" i="1"/>
  <c r="CY800" i="1"/>
  <c r="Y800" i="1" s="1"/>
  <c r="CW800" i="1"/>
  <c r="AA800" i="1" s="1"/>
  <c r="CR800" i="1"/>
  <c r="CP800" i="1"/>
  <c r="CN800" i="1"/>
  <c r="CJ800" i="1"/>
  <c r="CH800" i="1"/>
  <c r="CF800" i="1"/>
  <c r="BL800" i="1"/>
  <c r="BD800" i="1"/>
  <c r="AZ800" i="1"/>
  <c r="AX800" i="1"/>
  <c r="DC797" i="1"/>
  <c r="DA797" i="1"/>
  <c r="CY797" i="1"/>
  <c r="Y797" i="1" s="1"/>
  <c r="CW797" i="1"/>
  <c r="AA797" i="1" s="1"/>
  <c r="CR797" i="1"/>
  <c r="CP797" i="1"/>
  <c r="CN797" i="1"/>
  <c r="CJ797" i="1"/>
  <c r="CH797" i="1"/>
  <c r="CF797" i="1"/>
  <c r="BL797" i="1"/>
  <c r="BD797" i="1"/>
  <c r="AZ797" i="1"/>
  <c r="AX797" i="1"/>
  <c r="DC810" i="1"/>
  <c r="DA810" i="1"/>
  <c r="CY810" i="1"/>
  <c r="Y810" i="1" s="1"/>
  <c r="CW810" i="1"/>
  <c r="AA810" i="1" s="1"/>
  <c r="CR810" i="1"/>
  <c r="CP810" i="1"/>
  <c r="CN810" i="1"/>
  <c r="CJ810" i="1"/>
  <c r="CH810" i="1"/>
  <c r="CF810" i="1"/>
  <c r="BL810" i="1"/>
  <c r="BD810" i="1"/>
  <c r="AZ810" i="1"/>
  <c r="AX810" i="1"/>
  <c r="DC811" i="1"/>
  <c r="DA811" i="1"/>
  <c r="CY811" i="1"/>
  <c r="Y811" i="1" s="1"/>
  <c r="CW811" i="1"/>
  <c r="AA811" i="1" s="1"/>
  <c r="CR811" i="1"/>
  <c r="CP811" i="1"/>
  <c r="CN811" i="1"/>
  <c r="CJ811" i="1"/>
  <c r="CH811" i="1"/>
  <c r="CF811" i="1"/>
  <c r="BL811" i="1"/>
  <c r="BD811" i="1"/>
  <c r="AZ811" i="1"/>
  <c r="AX811" i="1"/>
  <c r="DC812" i="1"/>
  <c r="DA812" i="1"/>
  <c r="CY812" i="1"/>
  <c r="Y812" i="1" s="1"/>
  <c r="CW812" i="1"/>
  <c r="AA812" i="1" s="1"/>
  <c r="CR812" i="1"/>
  <c r="CP812" i="1"/>
  <c r="CN812" i="1"/>
  <c r="CJ812" i="1"/>
  <c r="CH812" i="1"/>
  <c r="CF812" i="1"/>
  <c r="BL812" i="1"/>
  <c r="BD812" i="1"/>
  <c r="AZ812" i="1"/>
  <c r="AX812" i="1"/>
  <c r="Z685" i="1" l="1"/>
  <c r="Z849" i="1"/>
  <c r="CU685" i="1"/>
  <c r="X685" i="1" s="1"/>
  <c r="Z839" i="1"/>
  <c r="CU839" i="1"/>
  <c r="X839" i="1" s="1"/>
  <c r="CU849" i="1"/>
  <c r="X849" i="1" s="1"/>
  <c r="Z837" i="1"/>
  <c r="CU850" i="1"/>
  <c r="X850" i="1" s="1"/>
  <c r="Z850" i="1"/>
  <c r="CU837" i="1"/>
  <c r="X837" i="1" s="1"/>
  <c r="Z820" i="1"/>
  <c r="Z815" i="1"/>
  <c r="Z814" i="1"/>
  <c r="CU832" i="1"/>
  <c r="X832" i="1" s="1"/>
  <c r="CU809" i="1"/>
  <c r="X809" i="1" s="1"/>
  <c r="CU813" i="1"/>
  <c r="X813" i="1" s="1"/>
  <c r="CU797" i="1"/>
  <c r="X797" i="1" s="1"/>
  <c r="Z796" i="1"/>
  <c r="Z811" i="1"/>
  <c r="Z800" i="1"/>
  <c r="Z830" i="1"/>
  <c r="Z834" i="1"/>
  <c r="CU810" i="1"/>
  <c r="X810" i="1" s="1"/>
  <c r="CU836" i="1"/>
  <c r="X836" i="1" s="1"/>
  <c r="Z810" i="1"/>
  <c r="Z816" i="1"/>
  <c r="Z835" i="1"/>
  <c r="Z836" i="1"/>
  <c r="Z812" i="1"/>
  <c r="Z797" i="1"/>
  <c r="Z809" i="1"/>
  <c r="CU796" i="1"/>
  <c r="X796" i="1" s="1"/>
  <c r="Z831" i="1"/>
  <c r="Z823" i="1"/>
  <c r="CU814" i="1"/>
  <c r="X814" i="1" s="1"/>
  <c r="Z813" i="1"/>
  <c r="Z833" i="1"/>
  <c r="Z832" i="1"/>
  <c r="CU812" i="1"/>
  <c r="X812" i="1" s="1"/>
  <c r="CU831" i="1"/>
  <c r="X831" i="1" s="1"/>
  <c r="CU820" i="1"/>
  <c r="X820" i="1" s="1"/>
  <c r="CU816" i="1"/>
  <c r="X816" i="1" s="1"/>
  <c r="CU815" i="1"/>
  <c r="X815" i="1" s="1"/>
  <c r="CU833" i="1"/>
  <c r="X833" i="1" s="1"/>
  <c r="CU811" i="1"/>
  <c r="X811" i="1" s="1"/>
  <c r="CU800" i="1"/>
  <c r="X800" i="1" s="1"/>
  <c r="CU823" i="1"/>
  <c r="X823" i="1" s="1"/>
  <c r="CU830" i="1"/>
  <c r="X830" i="1" s="1"/>
  <c r="CU835" i="1"/>
  <c r="X835" i="1" s="1"/>
  <c r="CU834" i="1"/>
  <c r="X834" i="1" s="1"/>
  <c r="AD849" i="1" l="1"/>
  <c r="AD685" i="1"/>
  <c r="AD839" i="1"/>
  <c r="AD850" i="1"/>
  <c r="AD837" i="1"/>
  <c r="AD815" i="1"/>
  <c r="AD820" i="1"/>
  <c r="AD814" i="1"/>
  <c r="AD796" i="1"/>
  <c r="AD800" i="1"/>
  <c r="AD813" i="1"/>
  <c r="AD834" i="1"/>
  <c r="AD811" i="1"/>
  <c r="AD809" i="1"/>
  <c r="AD832" i="1"/>
  <c r="AD836" i="1"/>
  <c r="AD797" i="1"/>
  <c r="AD830" i="1"/>
  <c r="AD823" i="1"/>
  <c r="AD835" i="1"/>
  <c r="AD833" i="1"/>
  <c r="AD831" i="1"/>
  <c r="AD812" i="1"/>
  <c r="AD810" i="1"/>
  <c r="AD816" i="1"/>
  <c r="DA852" i="1"/>
  <c r="Y852" i="1"/>
  <c r="CW852" i="1"/>
  <c r="AA852" i="1" s="1"/>
  <c r="CR852" i="1"/>
  <c r="CP852" i="1"/>
  <c r="CN852" i="1"/>
  <c r="CJ852" i="1"/>
  <c r="CH852" i="1"/>
  <c r="CF852" i="1"/>
  <c r="BL852" i="1"/>
  <c r="BD852" i="1"/>
  <c r="AX852" i="1"/>
  <c r="DC851" i="1"/>
  <c r="DA851" i="1"/>
  <c r="Y851" i="1"/>
  <c r="CW851" i="1"/>
  <c r="AA851" i="1" s="1"/>
  <c r="CR851" i="1"/>
  <c r="CP851" i="1"/>
  <c r="CN851" i="1"/>
  <c r="CJ851" i="1"/>
  <c r="CH851" i="1"/>
  <c r="CF851" i="1"/>
  <c r="BL851" i="1"/>
  <c r="BD851" i="1"/>
  <c r="AZ851" i="1"/>
  <c r="AX851" i="1"/>
  <c r="DC853" i="1"/>
  <c r="DA853" i="1"/>
  <c r="CY853" i="1"/>
  <c r="Y853" i="1" s="1"/>
  <c r="CW853" i="1"/>
  <c r="AA853" i="1" s="1"/>
  <c r="CR853" i="1"/>
  <c r="CP853" i="1"/>
  <c r="CN853" i="1"/>
  <c r="CJ853" i="1"/>
  <c r="CH853" i="1"/>
  <c r="CF853" i="1"/>
  <c r="BL853" i="1"/>
  <c r="BD853" i="1"/>
  <c r="AZ853" i="1"/>
  <c r="AX853" i="1"/>
  <c r="DC788" i="1"/>
  <c r="DA788" i="1"/>
  <c r="CY788" i="1"/>
  <c r="Y788" i="1" s="1"/>
  <c r="CW788" i="1"/>
  <c r="AA788" i="1" s="1"/>
  <c r="CR788" i="1"/>
  <c r="CP788" i="1"/>
  <c r="CN788" i="1"/>
  <c r="CJ788" i="1"/>
  <c r="CH788" i="1"/>
  <c r="CF788" i="1"/>
  <c r="BL788" i="1"/>
  <c r="BD788" i="1"/>
  <c r="AZ788" i="1"/>
  <c r="AX788" i="1"/>
  <c r="DC789" i="1"/>
  <c r="DA789" i="1"/>
  <c r="CY789" i="1"/>
  <c r="Y789" i="1" s="1"/>
  <c r="CW789" i="1"/>
  <c r="AA789" i="1" s="1"/>
  <c r="CR789" i="1"/>
  <c r="CP789" i="1"/>
  <c r="CN789" i="1"/>
  <c r="CJ789" i="1"/>
  <c r="CH789" i="1"/>
  <c r="CF789" i="1"/>
  <c r="BL789" i="1"/>
  <c r="BD789" i="1"/>
  <c r="AZ789" i="1"/>
  <c r="AX789" i="1"/>
  <c r="DC787" i="1"/>
  <c r="DA787" i="1"/>
  <c r="CY787" i="1"/>
  <c r="Y787" i="1" s="1"/>
  <c r="CW787" i="1"/>
  <c r="AA787" i="1" s="1"/>
  <c r="CR787" i="1"/>
  <c r="CP787" i="1"/>
  <c r="CN787" i="1"/>
  <c r="CJ787" i="1"/>
  <c r="CH787" i="1"/>
  <c r="CF787" i="1"/>
  <c r="BL787" i="1"/>
  <c r="BD787" i="1"/>
  <c r="AZ787" i="1"/>
  <c r="AX787" i="1"/>
  <c r="DC781" i="1"/>
  <c r="DA781" i="1"/>
  <c r="CY781" i="1"/>
  <c r="Y781" i="1" s="1"/>
  <c r="CW781" i="1"/>
  <c r="AA781" i="1" s="1"/>
  <c r="CR781" i="1"/>
  <c r="CP781" i="1"/>
  <c r="CN781" i="1"/>
  <c r="CJ781" i="1"/>
  <c r="CH781" i="1"/>
  <c r="CF781" i="1"/>
  <c r="BL781" i="1"/>
  <c r="BD781" i="1"/>
  <c r="AZ781" i="1"/>
  <c r="AX781" i="1"/>
  <c r="DC776" i="1"/>
  <c r="DA776" i="1"/>
  <c r="CY776" i="1"/>
  <c r="Y776" i="1" s="1"/>
  <c r="CW776" i="1"/>
  <c r="AA776" i="1" s="1"/>
  <c r="CR776" i="1"/>
  <c r="CP776" i="1"/>
  <c r="CN776" i="1"/>
  <c r="CJ776" i="1"/>
  <c r="CH776" i="1"/>
  <c r="CF776" i="1"/>
  <c r="BL776" i="1"/>
  <c r="BD776" i="1"/>
  <c r="AZ776" i="1"/>
  <c r="AX776" i="1"/>
  <c r="DC785" i="1"/>
  <c r="DA785" i="1"/>
  <c r="CY785" i="1"/>
  <c r="Y785" i="1" s="1"/>
  <c r="CW785" i="1"/>
  <c r="AA785" i="1" s="1"/>
  <c r="CR785" i="1"/>
  <c r="CP785" i="1"/>
  <c r="CN785" i="1"/>
  <c r="CJ785" i="1"/>
  <c r="CH785" i="1"/>
  <c r="CF785" i="1"/>
  <c r="BL785" i="1"/>
  <c r="BD785" i="1"/>
  <c r="AZ785" i="1"/>
  <c r="AX785" i="1"/>
  <c r="DC786" i="1"/>
  <c r="DA786" i="1"/>
  <c r="CY786" i="1"/>
  <c r="Y786" i="1" s="1"/>
  <c r="CW786" i="1"/>
  <c r="AA786" i="1" s="1"/>
  <c r="CR786" i="1"/>
  <c r="CP786" i="1"/>
  <c r="CN786" i="1"/>
  <c r="CJ786" i="1"/>
  <c r="CH786" i="1"/>
  <c r="CF786" i="1"/>
  <c r="BL786" i="1"/>
  <c r="BD786" i="1"/>
  <c r="AZ786" i="1"/>
  <c r="AX786" i="1"/>
  <c r="DC783" i="1"/>
  <c r="DA783" i="1"/>
  <c r="CY783" i="1"/>
  <c r="Y783" i="1" s="1"/>
  <c r="CW783" i="1"/>
  <c r="AA783" i="1" s="1"/>
  <c r="CR783" i="1"/>
  <c r="CP783" i="1"/>
  <c r="CN783" i="1"/>
  <c r="CJ783" i="1"/>
  <c r="CH783" i="1"/>
  <c r="CF783" i="1"/>
  <c r="BL783" i="1"/>
  <c r="BD783" i="1"/>
  <c r="AZ783" i="1"/>
  <c r="AX783" i="1"/>
  <c r="DC784" i="1"/>
  <c r="DA784" i="1"/>
  <c r="CY784" i="1"/>
  <c r="Y784" i="1" s="1"/>
  <c r="CW784" i="1"/>
  <c r="AA784" i="1" s="1"/>
  <c r="CR784" i="1"/>
  <c r="CP784" i="1"/>
  <c r="CN784" i="1"/>
  <c r="CJ784" i="1"/>
  <c r="CH784" i="1"/>
  <c r="CF784" i="1"/>
  <c r="BL784" i="1"/>
  <c r="BD784" i="1"/>
  <c r="AZ784" i="1"/>
  <c r="AX784" i="1"/>
  <c r="DC795" i="1"/>
  <c r="DA795" i="1"/>
  <c r="CY795" i="1"/>
  <c r="Y795" i="1" s="1"/>
  <c r="CW795" i="1"/>
  <c r="AA795" i="1" s="1"/>
  <c r="CR795" i="1"/>
  <c r="CP795" i="1"/>
  <c r="CN795" i="1"/>
  <c r="CJ795" i="1"/>
  <c r="CH795" i="1"/>
  <c r="CF795" i="1"/>
  <c r="BL795" i="1"/>
  <c r="BD795" i="1"/>
  <c r="AZ795" i="1"/>
  <c r="AX795" i="1"/>
  <c r="DC793" i="1"/>
  <c r="DA793" i="1"/>
  <c r="CY793" i="1"/>
  <c r="Y793" i="1" s="1"/>
  <c r="CW793" i="1"/>
  <c r="AA793" i="1" s="1"/>
  <c r="CR793" i="1"/>
  <c r="CP793" i="1"/>
  <c r="CN793" i="1"/>
  <c r="CJ793" i="1"/>
  <c r="CH793" i="1"/>
  <c r="CF793" i="1"/>
  <c r="BL793" i="1"/>
  <c r="BD793" i="1"/>
  <c r="AZ793" i="1"/>
  <c r="AX793" i="1"/>
  <c r="DC792" i="1"/>
  <c r="DA792" i="1"/>
  <c r="CY792" i="1"/>
  <c r="Y792" i="1" s="1"/>
  <c r="CW792" i="1"/>
  <c r="AA792" i="1" s="1"/>
  <c r="CR792" i="1"/>
  <c r="CP792" i="1"/>
  <c r="CN792" i="1"/>
  <c r="CJ792" i="1"/>
  <c r="CH792" i="1"/>
  <c r="CF792" i="1"/>
  <c r="BL792" i="1"/>
  <c r="BD792" i="1"/>
  <c r="AZ792" i="1"/>
  <c r="AX792" i="1"/>
  <c r="DC794" i="1"/>
  <c r="DA794" i="1"/>
  <c r="CY794" i="1"/>
  <c r="Y794" i="1" s="1"/>
  <c r="CW794" i="1"/>
  <c r="AA794" i="1" s="1"/>
  <c r="CR794" i="1"/>
  <c r="CP794" i="1"/>
  <c r="CN794" i="1"/>
  <c r="CJ794" i="1"/>
  <c r="CH794" i="1"/>
  <c r="CF794" i="1"/>
  <c r="BL794" i="1"/>
  <c r="BD794" i="1"/>
  <c r="AZ794" i="1"/>
  <c r="AX794" i="1"/>
  <c r="DC791" i="1"/>
  <c r="DA791" i="1"/>
  <c r="CY791" i="1"/>
  <c r="Y791" i="1" s="1"/>
  <c r="CW791" i="1"/>
  <c r="AA791" i="1" s="1"/>
  <c r="CR791" i="1"/>
  <c r="CP791" i="1"/>
  <c r="CN791" i="1"/>
  <c r="CJ791" i="1"/>
  <c r="CH791" i="1"/>
  <c r="CF791" i="1"/>
  <c r="BL791" i="1"/>
  <c r="BD791" i="1"/>
  <c r="AZ791" i="1"/>
  <c r="AX791" i="1"/>
  <c r="DC790" i="1"/>
  <c r="DA790" i="1"/>
  <c r="CY790" i="1"/>
  <c r="Y790" i="1" s="1"/>
  <c r="CW790" i="1"/>
  <c r="AA790" i="1" s="1"/>
  <c r="CR790" i="1"/>
  <c r="CP790" i="1"/>
  <c r="CN790" i="1"/>
  <c r="CJ790" i="1"/>
  <c r="CH790" i="1"/>
  <c r="CF790" i="1"/>
  <c r="BL790" i="1"/>
  <c r="BD790" i="1"/>
  <c r="AZ790" i="1"/>
  <c r="AX790" i="1"/>
  <c r="Z781" i="1" l="1"/>
  <c r="Z788" i="1"/>
  <c r="Z791" i="1"/>
  <c r="Z795" i="1"/>
  <c r="Z792" i="1"/>
  <c r="Z784" i="1"/>
  <c r="Z787" i="1"/>
  <c r="Z790" i="1"/>
  <c r="Z793" i="1"/>
  <c r="Z776" i="1"/>
  <c r="Z789" i="1"/>
  <c r="Z853" i="1"/>
  <c r="Z785" i="1"/>
  <c r="Z852" i="1"/>
  <c r="Z794" i="1"/>
  <c r="Z783" i="1"/>
  <c r="Z786" i="1"/>
  <c r="Z851" i="1"/>
  <c r="CU790" i="1"/>
  <c r="X790" i="1" s="1"/>
  <c r="CU791" i="1"/>
  <c r="X791" i="1" s="1"/>
  <c r="CU794" i="1"/>
  <c r="X794" i="1" s="1"/>
  <c r="CU792" i="1"/>
  <c r="X792" i="1" s="1"/>
  <c r="CU793" i="1"/>
  <c r="X793" i="1" s="1"/>
  <c r="CU795" i="1"/>
  <c r="X795" i="1" s="1"/>
  <c r="CU784" i="1"/>
  <c r="X784" i="1" s="1"/>
  <c r="CU783" i="1"/>
  <c r="X783" i="1" s="1"/>
  <c r="CU786" i="1"/>
  <c r="X786" i="1" s="1"/>
  <c r="CU785" i="1"/>
  <c r="X785" i="1" s="1"/>
  <c r="CU776" i="1"/>
  <c r="X776" i="1" s="1"/>
  <c r="CU781" i="1"/>
  <c r="X781" i="1" s="1"/>
  <c r="CU787" i="1"/>
  <c r="X787" i="1" s="1"/>
  <c r="CU789" i="1"/>
  <c r="X789" i="1" s="1"/>
  <c r="CU788" i="1"/>
  <c r="X788" i="1" s="1"/>
  <c r="CU853" i="1"/>
  <c r="X853" i="1" s="1"/>
  <c r="CU851" i="1"/>
  <c r="X851" i="1" s="1"/>
  <c r="CU852" i="1"/>
  <c r="X852" i="1" s="1"/>
  <c r="DA680" i="1"/>
  <c r="CY680" i="1"/>
  <c r="Y680" i="1" s="1"/>
  <c r="CW680" i="1"/>
  <c r="AA680" i="1" s="1"/>
  <c r="CR680" i="1"/>
  <c r="CP680" i="1"/>
  <c r="CN680" i="1"/>
  <c r="CJ680" i="1"/>
  <c r="CH680" i="1"/>
  <c r="CF680" i="1"/>
  <c r="BL680" i="1"/>
  <c r="BD680" i="1"/>
  <c r="AZ680" i="1"/>
  <c r="AX680" i="1"/>
  <c r="DC679" i="1"/>
  <c r="DA679" i="1"/>
  <c r="CY679" i="1"/>
  <c r="Y679" i="1" s="1"/>
  <c r="CW679" i="1"/>
  <c r="AA679" i="1" s="1"/>
  <c r="CR679" i="1"/>
  <c r="CP679" i="1"/>
  <c r="CN679" i="1"/>
  <c r="CJ679" i="1"/>
  <c r="CH679" i="1"/>
  <c r="CF679" i="1"/>
  <c r="BL679" i="1"/>
  <c r="BD679" i="1"/>
  <c r="AZ679" i="1"/>
  <c r="AX679" i="1"/>
  <c r="DC693" i="1"/>
  <c r="DA693" i="1"/>
  <c r="CY693" i="1"/>
  <c r="Y693" i="1" s="1"/>
  <c r="CW693" i="1"/>
  <c r="AA693" i="1" s="1"/>
  <c r="CR693" i="1"/>
  <c r="CP693" i="1"/>
  <c r="CN693" i="1"/>
  <c r="CJ693" i="1"/>
  <c r="CH693" i="1"/>
  <c r="CF693" i="1"/>
  <c r="BL693" i="1"/>
  <c r="BD693" i="1"/>
  <c r="AZ693" i="1"/>
  <c r="AX693" i="1"/>
  <c r="DC687" i="1"/>
  <c r="DA687" i="1"/>
  <c r="CY687" i="1"/>
  <c r="Y687" i="1" s="1"/>
  <c r="CW687" i="1"/>
  <c r="AA687" i="1" s="1"/>
  <c r="CR687" i="1"/>
  <c r="CP687" i="1"/>
  <c r="CN687" i="1"/>
  <c r="CJ687" i="1"/>
  <c r="CH687" i="1"/>
  <c r="CF687" i="1"/>
  <c r="BL687" i="1"/>
  <c r="BD687" i="1"/>
  <c r="AZ687" i="1"/>
  <c r="AX687" i="1"/>
  <c r="CY691" i="1"/>
  <c r="Y691" i="1" s="1"/>
  <c r="CW691" i="1"/>
  <c r="AA691" i="1" s="1"/>
  <c r="CR691" i="1"/>
  <c r="CP691" i="1"/>
  <c r="CN691" i="1"/>
  <c r="CJ691" i="1"/>
  <c r="CH691" i="1"/>
  <c r="CF691" i="1"/>
  <c r="BL691" i="1"/>
  <c r="BD691" i="1"/>
  <c r="AZ691" i="1"/>
  <c r="AX691" i="1"/>
  <c r="DA682" i="1"/>
  <c r="CY682" i="1"/>
  <c r="Y682" i="1" s="1"/>
  <c r="CW682" i="1"/>
  <c r="AA682" i="1" s="1"/>
  <c r="CR682" i="1"/>
  <c r="CP682" i="1"/>
  <c r="CN682" i="1"/>
  <c r="CJ682" i="1"/>
  <c r="CH682" i="1"/>
  <c r="CF682" i="1"/>
  <c r="BL682" i="1"/>
  <c r="BD682" i="1"/>
  <c r="AZ682" i="1"/>
  <c r="AX682" i="1"/>
  <c r="DA689" i="1"/>
  <c r="CY689" i="1"/>
  <c r="Y689" i="1" s="1"/>
  <c r="CW689" i="1"/>
  <c r="AA689" i="1" s="1"/>
  <c r="CR689" i="1"/>
  <c r="CP689" i="1"/>
  <c r="CN689" i="1"/>
  <c r="CJ689" i="1"/>
  <c r="CH689" i="1"/>
  <c r="CF689" i="1"/>
  <c r="BL689" i="1"/>
  <c r="BD689" i="1"/>
  <c r="AZ689" i="1"/>
  <c r="AX689" i="1"/>
  <c r="DA675" i="1"/>
  <c r="CY675" i="1"/>
  <c r="Y675" i="1" s="1"/>
  <c r="CW675" i="1"/>
  <c r="AA675" i="1" s="1"/>
  <c r="CR675" i="1"/>
  <c r="CP675" i="1"/>
  <c r="CN675" i="1"/>
  <c r="CJ675" i="1"/>
  <c r="CH675" i="1"/>
  <c r="CF675" i="1"/>
  <c r="BL675" i="1"/>
  <c r="BD675" i="1"/>
  <c r="AZ675" i="1"/>
  <c r="AX675" i="1"/>
  <c r="DC672" i="1"/>
  <c r="DA672" i="1"/>
  <c r="CY672" i="1"/>
  <c r="Y672" i="1" s="1"/>
  <c r="CW672" i="1"/>
  <c r="AA672" i="1" s="1"/>
  <c r="CR672" i="1"/>
  <c r="CP672" i="1"/>
  <c r="CN672" i="1"/>
  <c r="CJ672" i="1"/>
  <c r="CH672" i="1"/>
  <c r="CF672" i="1"/>
  <c r="BL672" i="1"/>
  <c r="BD672" i="1"/>
  <c r="AZ672" i="1"/>
  <c r="AX672" i="1"/>
  <c r="DC761" i="1"/>
  <c r="DA761" i="1"/>
  <c r="CY761" i="1"/>
  <c r="Y761" i="1" s="1"/>
  <c r="CW761" i="1"/>
  <c r="AA761" i="1" s="1"/>
  <c r="CR761" i="1"/>
  <c r="CP761" i="1"/>
  <c r="CN761" i="1"/>
  <c r="CJ761" i="1"/>
  <c r="CH761" i="1"/>
  <c r="CF761" i="1"/>
  <c r="BL761" i="1"/>
  <c r="BD761" i="1"/>
  <c r="AZ761" i="1"/>
  <c r="AX761" i="1"/>
  <c r="DC771" i="1"/>
  <c r="DA771" i="1"/>
  <c r="CY771" i="1"/>
  <c r="Y771" i="1" s="1"/>
  <c r="CW771" i="1"/>
  <c r="AA771" i="1" s="1"/>
  <c r="CR771" i="1"/>
  <c r="CP771" i="1"/>
  <c r="CN771" i="1"/>
  <c r="CJ771" i="1"/>
  <c r="CH771" i="1"/>
  <c r="CF771" i="1"/>
  <c r="BL771" i="1"/>
  <c r="BD771" i="1"/>
  <c r="AZ771" i="1"/>
  <c r="AX771" i="1"/>
  <c r="DC760" i="1"/>
  <c r="DA760" i="1"/>
  <c r="CY760" i="1"/>
  <c r="Y760" i="1" s="1"/>
  <c r="CW760" i="1"/>
  <c r="AA760" i="1" s="1"/>
  <c r="CR760" i="1"/>
  <c r="CP760" i="1"/>
  <c r="CN760" i="1"/>
  <c r="CJ760" i="1"/>
  <c r="CH760" i="1"/>
  <c r="CF760" i="1"/>
  <c r="BL760" i="1"/>
  <c r="BD760" i="1"/>
  <c r="AZ760" i="1"/>
  <c r="AX760" i="1"/>
  <c r="DC762" i="1"/>
  <c r="DA762" i="1"/>
  <c r="CY762" i="1"/>
  <c r="Y762" i="1" s="1"/>
  <c r="CW762" i="1"/>
  <c r="AA762" i="1" s="1"/>
  <c r="CR762" i="1"/>
  <c r="CP762" i="1"/>
  <c r="CN762" i="1"/>
  <c r="CJ762" i="1"/>
  <c r="CH762" i="1"/>
  <c r="CF762" i="1"/>
  <c r="BL762" i="1"/>
  <c r="BD762" i="1"/>
  <c r="AZ762" i="1"/>
  <c r="AX762" i="1"/>
  <c r="DC763" i="1"/>
  <c r="DA763" i="1"/>
  <c r="CY763" i="1"/>
  <c r="Y763" i="1" s="1"/>
  <c r="CW763" i="1"/>
  <c r="AA763" i="1" s="1"/>
  <c r="CR763" i="1"/>
  <c r="CP763" i="1"/>
  <c r="CN763" i="1"/>
  <c r="CJ763" i="1"/>
  <c r="CH763" i="1"/>
  <c r="CF763" i="1"/>
  <c r="BL763" i="1"/>
  <c r="BD763" i="1"/>
  <c r="AZ763" i="1"/>
  <c r="AX763" i="1"/>
  <c r="DC766" i="1"/>
  <c r="DA766" i="1"/>
  <c r="CY766" i="1"/>
  <c r="Y766" i="1" s="1"/>
  <c r="CW766" i="1"/>
  <c r="AA766" i="1" s="1"/>
  <c r="CR766" i="1"/>
  <c r="CP766" i="1"/>
  <c r="CN766" i="1"/>
  <c r="CJ766" i="1"/>
  <c r="CH766" i="1"/>
  <c r="CF766" i="1"/>
  <c r="BL766" i="1"/>
  <c r="BD766" i="1"/>
  <c r="AZ766" i="1"/>
  <c r="AX766" i="1"/>
  <c r="DC768" i="1"/>
  <c r="DA768" i="1"/>
  <c r="CY768" i="1"/>
  <c r="Y768" i="1" s="1"/>
  <c r="CW768" i="1"/>
  <c r="AA768" i="1" s="1"/>
  <c r="CR768" i="1"/>
  <c r="CP768" i="1"/>
  <c r="CN768" i="1"/>
  <c r="CJ768" i="1"/>
  <c r="CH768" i="1"/>
  <c r="CF768" i="1"/>
  <c r="BL768" i="1"/>
  <c r="BD768" i="1"/>
  <c r="AZ768" i="1"/>
  <c r="AX768" i="1"/>
  <c r="DC767" i="1"/>
  <c r="DA767" i="1"/>
  <c r="CY767" i="1"/>
  <c r="Y767" i="1" s="1"/>
  <c r="CW767" i="1"/>
  <c r="AA767" i="1" s="1"/>
  <c r="CR767" i="1"/>
  <c r="CP767" i="1"/>
  <c r="CN767" i="1"/>
  <c r="CJ767" i="1"/>
  <c r="CH767" i="1"/>
  <c r="CF767" i="1"/>
  <c r="BL767" i="1"/>
  <c r="BD767" i="1"/>
  <c r="AZ767" i="1"/>
  <c r="AX767" i="1"/>
  <c r="DC764" i="1"/>
  <c r="DA764" i="1"/>
  <c r="CY764" i="1"/>
  <c r="Y764" i="1" s="1"/>
  <c r="CW764" i="1"/>
  <c r="AA764" i="1" s="1"/>
  <c r="CR764" i="1"/>
  <c r="CP764" i="1"/>
  <c r="CN764" i="1"/>
  <c r="CJ764" i="1"/>
  <c r="CH764" i="1"/>
  <c r="CF764" i="1"/>
  <c r="BL764" i="1"/>
  <c r="BD764" i="1"/>
  <c r="AZ764" i="1"/>
  <c r="AX764" i="1"/>
  <c r="DC765" i="1"/>
  <c r="DA765" i="1"/>
  <c r="CY765" i="1"/>
  <c r="Y765" i="1" s="1"/>
  <c r="CW765" i="1"/>
  <c r="AA765" i="1" s="1"/>
  <c r="CR765" i="1"/>
  <c r="CP765" i="1"/>
  <c r="CN765" i="1"/>
  <c r="CJ765" i="1"/>
  <c r="CH765" i="1"/>
  <c r="CF765" i="1"/>
  <c r="BL765" i="1"/>
  <c r="BD765" i="1"/>
  <c r="AZ765" i="1"/>
  <c r="AX765" i="1"/>
  <c r="DC770" i="1"/>
  <c r="DA770" i="1"/>
  <c r="CY770" i="1"/>
  <c r="Y770" i="1" s="1"/>
  <c r="CW770" i="1"/>
  <c r="AA770" i="1" s="1"/>
  <c r="CR770" i="1"/>
  <c r="CP770" i="1"/>
  <c r="CN770" i="1"/>
  <c r="CJ770" i="1"/>
  <c r="CH770" i="1"/>
  <c r="CF770" i="1"/>
  <c r="BL770" i="1"/>
  <c r="BD770" i="1"/>
  <c r="AZ770" i="1"/>
  <c r="AX770" i="1"/>
  <c r="DC772" i="1"/>
  <c r="DA772" i="1"/>
  <c r="CY772" i="1"/>
  <c r="Y772" i="1" s="1"/>
  <c r="CW772" i="1"/>
  <c r="AA772" i="1" s="1"/>
  <c r="CR772" i="1"/>
  <c r="CP772" i="1"/>
  <c r="CN772" i="1"/>
  <c r="CJ772" i="1"/>
  <c r="CH772" i="1"/>
  <c r="CF772" i="1"/>
  <c r="BL772" i="1"/>
  <c r="BD772" i="1"/>
  <c r="AZ772" i="1"/>
  <c r="AX772" i="1"/>
  <c r="AD781" i="1" l="1"/>
  <c r="AD788" i="1"/>
  <c r="AD853" i="1"/>
  <c r="AD785" i="1"/>
  <c r="AD791" i="1"/>
  <c r="AD852" i="1"/>
  <c r="AD787" i="1"/>
  <c r="AD851" i="1"/>
  <c r="AD783" i="1"/>
  <c r="AD795" i="1"/>
  <c r="AD792" i="1"/>
  <c r="AD784" i="1"/>
  <c r="AD794" i="1"/>
  <c r="AD789" i="1"/>
  <c r="AD776" i="1"/>
  <c r="AD793" i="1"/>
  <c r="AD790" i="1"/>
  <c r="AD786" i="1"/>
  <c r="Z689" i="1"/>
  <c r="Z693" i="1"/>
  <c r="Z672" i="1"/>
  <c r="Z691" i="1"/>
  <c r="Z680" i="1"/>
  <c r="Z675" i="1"/>
  <c r="Z687" i="1"/>
  <c r="Z682" i="1"/>
  <c r="Z679" i="1"/>
  <c r="Z768" i="1"/>
  <c r="Z762" i="1"/>
  <c r="CU672" i="1"/>
  <c r="X672" i="1" s="1"/>
  <c r="CU675" i="1"/>
  <c r="X675" i="1" s="1"/>
  <c r="CU689" i="1"/>
  <c r="X689" i="1" s="1"/>
  <c r="CU682" i="1"/>
  <c r="X682" i="1" s="1"/>
  <c r="CU691" i="1"/>
  <c r="X691" i="1" s="1"/>
  <c r="CU687" i="1"/>
  <c r="X687" i="1" s="1"/>
  <c r="CU693" i="1"/>
  <c r="X693" i="1" s="1"/>
  <c r="CU679" i="1"/>
  <c r="X679" i="1" s="1"/>
  <c r="CU680" i="1"/>
  <c r="X680" i="1" s="1"/>
  <c r="Z772" i="1"/>
  <c r="CU760" i="1"/>
  <c r="X760" i="1" s="1"/>
  <c r="Z760" i="1"/>
  <c r="CU768" i="1"/>
  <c r="X768" i="1" s="1"/>
  <c r="CU762" i="1"/>
  <c r="X762" i="1" s="1"/>
  <c r="Z765" i="1"/>
  <c r="CU767" i="1"/>
  <c r="X767" i="1" s="1"/>
  <c r="Z767" i="1"/>
  <c r="CU763" i="1"/>
  <c r="X763" i="1" s="1"/>
  <c r="Z763" i="1"/>
  <c r="CU771" i="1"/>
  <c r="X771" i="1" s="1"/>
  <c r="Z771" i="1"/>
  <c r="Z770" i="1"/>
  <c r="Z764" i="1"/>
  <c r="CU766" i="1"/>
  <c r="X766" i="1" s="1"/>
  <c r="Z766" i="1"/>
  <c r="CU761" i="1"/>
  <c r="X761" i="1" s="1"/>
  <c r="Z761" i="1"/>
  <c r="CU772" i="1"/>
  <c r="X772" i="1" s="1"/>
  <c r="CU770" i="1"/>
  <c r="X770" i="1" s="1"/>
  <c r="CU765" i="1"/>
  <c r="X765" i="1" s="1"/>
  <c r="CU764" i="1"/>
  <c r="X764" i="1" s="1"/>
  <c r="AD693" i="1" l="1"/>
  <c r="AD682" i="1"/>
  <c r="AD689" i="1"/>
  <c r="AD691" i="1"/>
  <c r="AD675" i="1"/>
  <c r="AD672" i="1"/>
  <c r="AD772" i="1"/>
  <c r="AD762" i="1"/>
  <c r="AD680" i="1"/>
  <c r="AD679" i="1"/>
  <c r="AD687" i="1"/>
  <c r="AD771" i="1"/>
  <c r="AD767" i="1"/>
  <c r="AD768" i="1"/>
  <c r="AD760" i="1"/>
  <c r="AD761" i="1"/>
  <c r="AD766" i="1"/>
  <c r="AD765" i="1"/>
  <c r="AD763" i="1"/>
  <c r="AD764" i="1"/>
  <c r="AD770" i="1"/>
  <c r="I541" i="1"/>
  <c r="I542" i="1"/>
  <c r="DC513" i="1" l="1"/>
  <c r="DA513" i="1"/>
  <c r="CY513" i="1"/>
  <c r="Y513" i="1" s="1"/>
  <c r="CW513" i="1"/>
  <c r="AA513" i="1" s="1"/>
  <c r="CR513" i="1"/>
  <c r="CP513" i="1"/>
  <c r="CN513" i="1"/>
  <c r="CJ513" i="1"/>
  <c r="CH513" i="1"/>
  <c r="CF513" i="1"/>
  <c r="BL513" i="1"/>
  <c r="BD513" i="1"/>
  <c r="AZ513" i="1"/>
  <c r="AX513" i="1"/>
  <c r="DC630" i="1"/>
  <c r="DA630" i="1"/>
  <c r="CY630" i="1"/>
  <c r="Y630" i="1" s="1"/>
  <c r="CW630" i="1"/>
  <c r="AA630" i="1" s="1"/>
  <c r="CR630" i="1"/>
  <c r="CP630" i="1"/>
  <c r="CN630" i="1"/>
  <c r="CJ630" i="1"/>
  <c r="CH630" i="1"/>
  <c r="CF630" i="1"/>
  <c r="BL630" i="1"/>
  <c r="BD630" i="1"/>
  <c r="AZ630" i="1"/>
  <c r="AX630" i="1"/>
  <c r="CY662" i="1"/>
  <c r="Y662" i="1" s="1"/>
  <c r="CW662" i="1"/>
  <c r="AA662" i="1" s="1"/>
  <c r="CR662" i="1"/>
  <c r="CP662" i="1"/>
  <c r="CN662" i="1"/>
  <c r="CJ662" i="1"/>
  <c r="CH662" i="1"/>
  <c r="CF662" i="1"/>
  <c r="BL662" i="1"/>
  <c r="BD662" i="1"/>
  <c r="AZ662" i="1"/>
  <c r="AX662" i="1"/>
  <c r="CY696" i="1"/>
  <c r="Y696" i="1" s="1"/>
  <c r="CW696" i="1"/>
  <c r="AA696" i="1" s="1"/>
  <c r="CR696" i="1"/>
  <c r="CP696" i="1"/>
  <c r="CN696" i="1"/>
  <c r="CJ696" i="1"/>
  <c r="CH696" i="1"/>
  <c r="CF696" i="1"/>
  <c r="BL696" i="1"/>
  <c r="BD696" i="1"/>
  <c r="AZ696" i="1"/>
  <c r="AX696" i="1"/>
  <c r="CY697" i="1"/>
  <c r="Y697" i="1" s="1"/>
  <c r="CW697" i="1"/>
  <c r="AA697" i="1" s="1"/>
  <c r="CR697" i="1"/>
  <c r="CP697" i="1"/>
  <c r="CN697" i="1"/>
  <c r="CJ697" i="1"/>
  <c r="CH697" i="1"/>
  <c r="CF697" i="1"/>
  <c r="BL697" i="1"/>
  <c r="BD697" i="1"/>
  <c r="AZ697" i="1"/>
  <c r="AX697" i="1"/>
  <c r="DC618" i="1"/>
  <c r="DA618" i="1"/>
  <c r="CY618" i="1"/>
  <c r="Y618" i="1" s="1"/>
  <c r="AA618" i="1"/>
  <c r="CR618" i="1"/>
  <c r="CP618" i="1"/>
  <c r="CN618" i="1"/>
  <c r="CJ618" i="1"/>
  <c r="CH618" i="1"/>
  <c r="CF618" i="1"/>
  <c r="BL618" i="1"/>
  <c r="BD618" i="1"/>
  <c r="AZ618" i="1"/>
  <c r="AX618" i="1"/>
  <c r="DC754" i="1"/>
  <c r="DA754" i="1"/>
  <c r="CY754" i="1"/>
  <c r="Y754" i="1" s="1"/>
  <c r="CW754" i="1"/>
  <c r="AA754" i="1" s="1"/>
  <c r="CR754" i="1"/>
  <c r="CP754" i="1"/>
  <c r="CN754" i="1"/>
  <c r="CJ754" i="1"/>
  <c r="CH754" i="1"/>
  <c r="CF754" i="1"/>
  <c r="BL754" i="1"/>
  <c r="BD754" i="1"/>
  <c r="AZ754" i="1"/>
  <c r="AX754" i="1"/>
  <c r="DC758" i="1"/>
  <c r="DA758" i="1"/>
  <c r="CY758" i="1"/>
  <c r="Y758" i="1" s="1"/>
  <c r="CW758" i="1"/>
  <c r="AA758" i="1" s="1"/>
  <c r="CR758" i="1"/>
  <c r="CP758" i="1"/>
  <c r="CN758" i="1"/>
  <c r="CJ758" i="1"/>
  <c r="CH758" i="1"/>
  <c r="CF758" i="1"/>
  <c r="BL758" i="1"/>
  <c r="BD758" i="1"/>
  <c r="AZ758" i="1"/>
  <c r="AX758" i="1"/>
  <c r="DC757" i="1"/>
  <c r="DA757" i="1"/>
  <c r="CY757" i="1"/>
  <c r="Y757" i="1" s="1"/>
  <c r="CW757" i="1"/>
  <c r="AA757" i="1" s="1"/>
  <c r="CR757" i="1"/>
  <c r="CP757" i="1"/>
  <c r="CN757" i="1"/>
  <c r="CJ757" i="1"/>
  <c r="CH757" i="1"/>
  <c r="CF757" i="1"/>
  <c r="BL757" i="1"/>
  <c r="BD757" i="1"/>
  <c r="AZ757" i="1"/>
  <c r="AX757" i="1"/>
  <c r="DC751" i="1"/>
  <c r="DA751" i="1"/>
  <c r="CY751" i="1"/>
  <c r="Y751" i="1" s="1"/>
  <c r="CW751" i="1"/>
  <c r="AA751" i="1" s="1"/>
  <c r="CR751" i="1"/>
  <c r="CP751" i="1"/>
  <c r="CN751" i="1"/>
  <c r="CJ751" i="1"/>
  <c r="CH751" i="1"/>
  <c r="CF751" i="1"/>
  <c r="BL751" i="1"/>
  <c r="BD751" i="1"/>
  <c r="AZ751" i="1"/>
  <c r="AX751" i="1"/>
  <c r="DC752" i="1"/>
  <c r="DA752" i="1"/>
  <c r="CY752" i="1"/>
  <c r="Y752" i="1" s="1"/>
  <c r="CW752" i="1"/>
  <c r="AA752" i="1" s="1"/>
  <c r="CR752" i="1"/>
  <c r="CP752" i="1"/>
  <c r="CN752" i="1"/>
  <c r="CJ752" i="1"/>
  <c r="CH752" i="1"/>
  <c r="CF752" i="1"/>
  <c r="BL752" i="1"/>
  <c r="BD752" i="1"/>
  <c r="AZ752" i="1"/>
  <c r="AX752" i="1"/>
  <c r="Z697" i="1" l="1"/>
  <c r="Z662" i="1"/>
  <c r="Z630" i="1"/>
  <c r="Z618" i="1"/>
  <c r="Z754" i="1"/>
  <c r="Z751" i="1"/>
  <c r="Z757" i="1"/>
  <c r="CU696" i="1"/>
  <c r="X696" i="1" s="1"/>
  <c r="Z696" i="1"/>
  <c r="CU513" i="1"/>
  <c r="X513" i="1" s="1"/>
  <c r="Z513" i="1"/>
  <c r="Z758" i="1"/>
  <c r="Z752" i="1"/>
  <c r="CU752" i="1"/>
  <c r="X752" i="1" s="1"/>
  <c r="CU662" i="1"/>
  <c r="X662" i="1" s="1"/>
  <c r="CU751" i="1"/>
  <c r="X751" i="1" s="1"/>
  <c r="CU754" i="1"/>
  <c r="X754" i="1" s="1"/>
  <c r="CU697" i="1"/>
  <c r="X697" i="1" s="1"/>
  <c r="CU630" i="1"/>
  <c r="X630" i="1" s="1"/>
  <c r="CU757" i="1"/>
  <c r="X757" i="1" s="1"/>
  <c r="CU758" i="1"/>
  <c r="X758" i="1" s="1"/>
  <c r="CU618" i="1"/>
  <c r="X618" i="1" s="1"/>
  <c r="DB611" i="1"/>
  <c r="BZ3917" i="1"/>
  <c r="DB220" i="1"/>
  <c r="CY686" i="1"/>
  <c r="Y686" i="1" s="1"/>
  <c r="CW686" i="1"/>
  <c r="AA686" i="1" s="1"/>
  <c r="CR686" i="1"/>
  <c r="CP686" i="1"/>
  <c r="CN686" i="1"/>
  <c r="CJ686" i="1"/>
  <c r="CH686" i="1"/>
  <c r="CF686" i="1"/>
  <c r="BL686" i="1"/>
  <c r="BD686" i="1"/>
  <c r="AZ686" i="1"/>
  <c r="AX686" i="1"/>
  <c r="DC678" i="1"/>
  <c r="DA678" i="1"/>
  <c r="CY678" i="1"/>
  <c r="Y678" i="1" s="1"/>
  <c r="CW678" i="1"/>
  <c r="AA678" i="1" s="1"/>
  <c r="CR678" i="1"/>
  <c r="CP678" i="1"/>
  <c r="CN678" i="1"/>
  <c r="CJ678" i="1"/>
  <c r="CH678" i="1"/>
  <c r="CF678" i="1"/>
  <c r="BL678" i="1"/>
  <c r="BD678" i="1"/>
  <c r="AZ678" i="1"/>
  <c r="AX678" i="1"/>
  <c r="DC838" i="1"/>
  <c r="DA838" i="1"/>
  <c r="CY838" i="1"/>
  <c r="Y838" i="1" s="1"/>
  <c r="CW838" i="1"/>
  <c r="AA838" i="1" s="1"/>
  <c r="CR838" i="1"/>
  <c r="CP838" i="1"/>
  <c r="CN838" i="1"/>
  <c r="CJ838" i="1"/>
  <c r="CH838" i="1"/>
  <c r="CF838" i="1"/>
  <c r="BL838" i="1"/>
  <c r="BD838" i="1"/>
  <c r="AZ838" i="1"/>
  <c r="AX838" i="1"/>
  <c r="DC750" i="1"/>
  <c r="DA750" i="1"/>
  <c r="CY750" i="1"/>
  <c r="Y750" i="1" s="1"/>
  <c r="CW750" i="1"/>
  <c r="AA750" i="1" s="1"/>
  <c r="CR750" i="1"/>
  <c r="CP750" i="1"/>
  <c r="CN750" i="1"/>
  <c r="CJ750" i="1"/>
  <c r="CH750" i="1"/>
  <c r="CF750" i="1"/>
  <c r="BL750" i="1"/>
  <c r="BD750" i="1"/>
  <c r="AZ750" i="1"/>
  <c r="AX750" i="1"/>
  <c r="DC759" i="1"/>
  <c r="DA759" i="1"/>
  <c r="CY759" i="1"/>
  <c r="Y759" i="1" s="1"/>
  <c r="CW759" i="1"/>
  <c r="AA759" i="1" s="1"/>
  <c r="CR759" i="1"/>
  <c r="CP759" i="1"/>
  <c r="CN759" i="1"/>
  <c r="CJ759" i="1"/>
  <c r="CH759" i="1"/>
  <c r="CF759" i="1"/>
  <c r="BL759" i="1"/>
  <c r="BD759" i="1"/>
  <c r="AZ759" i="1"/>
  <c r="AX759" i="1"/>
  <c r="DC753" i="1"/>
  <c r="DA753" i="1"/>
  <c r="CY753" i="1"/>
  <c r="Y753" i="1" s="1"/>
  <c r="CW753" i="1"/>
  <c r="AA753" i="1" s="1"/>
  <c r="CR753" i="1"/>
  <c r="CP753" i="1"/>
  <c r="CN753" i="1"/>
  <c r="CJ753" i="1"/>
  <c r="CH753" i="1"/>
  <c r="CF753" i="1"/>
  <c r="BL753" i="1"/>
  <c r="BD753" i="1"/>
  <c r="AZ753" i="1"/>
  <c r="AX753" i="1"/>
  <c r="DC808" i="1"/>
  <c r="DA808" i="1"/>
  <c r="Y808" i="1"/>
  <c r="CW808" i="1"/>
  <c r="AA808" i="1" s="1"/>
  <c r="CR808" i="1"/>
  <c r="CP808" i="1"/>
  <c r="CN808" i="1"/>
  <c r="CJ808" i="1"/>
  <c r="CH808" i="1"/>
  <c r="CF808" i="1"/>
  <c r="BL808" i="1"/>
  <c r="BD808" i="1"/>
  <c r="AZ808" i="1"/>
  <c r="AX808" i="1"/>
  <c r="DA611" i="1"/>
  <c r="CY611" i="1"/>
  <c r="Y611" i="1" s="1"/>
  <c r="CW611" i="1"/>
  <c r="AA611" i="1" s="1"/>
  <c r="CR611" i="1"/>
  <c r="CP611" i="1"/>
  <c r="CN611" i="1"/>
  <c r="CJ611" i="1"/>
  <c r="CH611" i="1"/>
  <c r="CF611" i="1"/>
  <c r="BL611" i="1"/>
  <c r="BD611" i="1"/>
  <c r="AX611" i="1"/>
  <c r="DC455" i="1"/>
  <c r="DA455" i="1"/>
  <c r="CY455" i="1"/>
  <c r="Y455" i="1" s="1"/>
  <c r="CW455" i="1"/>
  <c r="AA455" i="1" s="1"/>
  <c r="CR455" i="1"/>
  <c r="CP455" i="1"/>
  <c r="CN455" i="1"/>
  <c r="CJ455" i="1"/>
  <c r="CH455" i="1"/>
  <c r="CF455" i="1"/>
  <c r="BL455" i="1"/>
  <c r="BD455" i="1"/>
  <c r="AZ455" i="1"/>
  <c r="AX455" i="1"/>
  <c r="DA220" i="1"/>
  <c r="Y220" i="1"/>
  <c r="CW220" i="1"/>
  <c r="AA220" i="1" s="1"/>
  <c r="CN220" i="1"/>
  <c r="CJ220" i="1"/>
  <c r="CH220" i="1"/>
  <c r="CF220" i="1"/>
  <c r="BL220" i="1"/>
  <c r="BD220" i="1"/>
  <c r="AZ220" i="1"/>
  <c r="AX220" i="1"/>
  <c r="DC748" i="1"/>
  <c r="DA748" i="1"/>
  <c r="CY748" i="1"/>
  <c r="Y748" i="1" s="1"/>
  <c r="CW748" i="1"/>
  <c r="AA748" i="1" s="1"/>
  <c r="CR748" i="1"/>
  <c r="CP748" i="1"/>
  <c r="CN748" i="1"/>
  <c r="CJ748" i="1"/>
  <c r="CH748" i="1"/>
  <c r="CF748" i="1"/>
  <c r="BL748" i="1"/>
  <c r="BD748" i="1"/>
  <c r="AZ748" i="1"/>
  <c r="AX748" i="1"/>
  <c r="DC749" i="1"/>
  <c r="DA749" i="1"/>
  <c r="CY749" i="1"/>
  <c r="Y749" i="1" s="1"/>
  <c r="CW749" i="1"/>
  <c r="AA749" i="1" s="1"/>
  <c r="CR749" i="1"/>
  <c r="CP749" i="1"/>
  <c r="CN749" i="1"/>
  <c r="CJ749" i="1"/>
  <c r="CH749" i="1"/>
  <c r="CF749" i="1"/>
  <c r="BL749" i="1"/>
  <c r="BD749" i="1"/>
  <c r="AZ749" i="1"/>
  <c r="AX749" i="1"/>
  <c r="DC736" i="1"/>
  <c r="DA736" i="1"/>
  <c r="CY736" i="1"/>
  <c r="Y736" i="1" s="1"/>
  <c r="CW736" i="1"/>
  <c r="AA736" i="1" s="1"/>
  <c r="CR736" i="1"/>
  <c r="CP736" i="1"/>
  <c r="CN736" i="1"/>
  <c r="CJ736" i="1"/>
  <c r="CH736" i="1"/>
  <c r="CF736" i="1"/>
  <c r="BL736" i="1"/>
  <c r="BD736" i="1"/>
  <c r="AZ736" i="1"/>
  <c r="AX736" i="1"/>
  <c r="DC746" i="1"/>
  <c r="DA746" i="1"/>
  <c r="CY746" i="1"/>
  <c r="Y746" i="1" s="1"/>
  <c r="CW746" i="1"/>
  <c r="AA746" i="1" s="1"/>
  <c r="CR746" i="1"/>
  <c r="CP746" i="1"/>
  <c r="CN746" i="1"/>
  <c r="CJ746" i="1"/>
  <c r="CH746" i="1"/>
  <c r="CF746" i="1"/>
  <c r="BL746" i="1"/>
  <c r="BD746" i="1"/>
  <c r="AZ746" i="1"/>
  <c r="AX746" i="1"/>
  <c r="AX673" i="1"/>
  <c r="AZ673" i="1"/>
  <c r="BD673" i="1"/>
  <c r="BL673" i="1"/>
  <c r="CF673" i="1"/>
  <c r="CH673" i="1"/>
  <c r="CJ673" i="1"/>
  <c r="CN673" i="1"/>
  <c r="CP673" i="1"/>
  <c r="CR673" i="1"/>
  <c r="CW673" i="1"/>
  <c r="AA673" i="1" s="1"/>
  <c r="CY673" i="1"/>
  <c r="Y673" i="1" s="1"/>
  <c r="DA673" i="1"/>
  <c r="AX684" i="1"/>
  <c r="AZ684" i="1"/>
  <c r="BD684" i="1"/>
  <c r="BL684" i="1"/>
  <c r="CF684" i="1"/>
  <c r="CH684" i="1"/>
  <c r="CJ684" i="1"/>
  <c r="CN684" i="1"/>
  <c r="CP684" i="1"/>
  <c r="CR684" i="1"/>
  <c r="CW684" i="1"/>
  <c r="AA684" i="1" s="1"/>
  <c r="CY684" i="1"/>
  <c r="Y684" i="1" s="1"/>
  <c r="DA684" i="1"/>
  <c r="DC684" i="1"/>
  <c r="AX902" i="1"/>
  <c r="AZ902" i="1"/>
  <c r="BD902" i="1"/>
  <c r="BL902" i="1"/>
  <c r="CF902" i="1"/>
  <c r="CH902" i="1"/>
  <c r="CJ902" i="1"/>
  <c r="CN902" i="1"/>
  <c r="CP902" i="1"/>
  <c r="CR902" i="1"/>
  <c r="CW902" i="1"/>
  <c r="AA902" i="1" s="1"/>
  <c r="CY902" i="1"/>
  <c r="Y902" i="1" s="1"/>
  <c r="DA902" i="1"/>
  <c r="DC902" i="1"/>
  <c r="AA947" i="1"/>
  <c r="Y947" i="1"/>
  <c r="AD697" i="1" l="1"/>
  <c r="Z220" i="1"/>
  <c r="AD696" i="1"/>
  <c r="AD662" i="1"/>
  <c r="AD618" i="1"/>
  <c r="AD630" i="1"/>
  <c r="AD513" i="1"/>
  <c r="AD754" i="1"/>
  <c r="AD757" i="1"/>
  <c r="AD758" i="1"/>
  <c r="AD751" i="1"/>
  <c r="X947" i="1"/>
  <c r="AD752" i="1"/>
  <c r="Z678" i="1"/>
  <c r="Z686" i="1"/>
  <c r="Z750" i="1"/>
  <c r="Z611" i="1"/>
  <c r="CU902" i="1"/>
  <c r="X902" i="1" s="1"/>
  <c r="Z759" i="1"/>
  <c r="Z455" i="1"/>
  <c r="Z808" i="1"/>
  <c r="Z753" i="1"/>
  <c r="Z838" i="1"/>
  <c r="Z749" i="1"/>
  <c r="Z947" i="1"/>
  <c r="Z902" i="1"/>
  <c r="CU673" i="1"/>
  <c r="X673" i="1" s="1"/>
  <c r="Z746" i="1"/>
  <c r="Z736" i="1"/>
  <c r="Z748" i="1"/>
  <c r="CU686" i="1"/>
  <c r="X686" i="1" s="1"/>
  <c r="CU220" i="1"/>
  <c r="X220" i="1" s="1"/>
  <c r="CU455" i="1"/>
  <c r="X455" i="1" s="1"/>
  <c r="CU611" i="1"/>
  <c r="X611" i="1" s="1"/>
  <c r="CU808" i="1"/>
  <c r="X808" i="1" s="1"/>
  <c r="CU753" i="1"/>
  <c r="X753" i="1" s="1"/>
  <c r="CU759" i="1"/>
  <c r="X759" i="1" s="1"/>
  <c r="CU750" i="1"/>
  <c r="X750" i="1" s="1"/>
  <c r="CU838" i="1"/>
  <c r="X838" i="1" s="1"/>
  <c r="CU678" i="1"/>
  <c r="X678" i="1" s="1"/>
  <c r="CU684" i="1"/>
  <c r="X684" i="1" s="1"/>
  <c r="CU746" i="1"/>
  <c r="X746" i="1" s="1"/>
  <c r="CU736" i="1"/>
  <c r="X736" i="1" s="1"/>
  <c r="CU749" i="1"/>
  <c r="X749" i="1" s="1"/>
  <c r="CU748" i="1"/>
  <c r="X748" i="1" s="1"/>
  <c r="Z684" i="1"/>
  <c r="Z673" i="1"/>
  <c r="DC667" i="1"/>
  <c r="DA667" i="1"/>
  <c r="CY667" i="1"/>
  <c r="Y667" i="1" s="1"/>
  <c r="CW667" i="1"/>
  <c r="AA667" i="1" s="1"/>
  <c r="CR667" i="1"/>
  <c r="CP667" i="1"/>
  <c r="CN667" i="1"/>
  <c r="CJ667" i="1"/>
  <c r="CH667" i="1"/>
  <c r="CF667" i="1"/>
  <c r="BL667" i="1"/>
  <c r="BD667" i="1"/>
  <c r="AZ667" i="1"/>
  <c r="AX667" i="1"/>
  <c r="DC745" i="1"/>
  <c r="DA745" i="1"/>
  <c r="CY745" i="1"/>
  <c r="Y745" i="1" s="1"/>
  <c r="CW745" i="1"/>
  <c r="AA745" i="1" s="1"/>
  <c r="CR745" i="1"/>
  <c r="CP745" i="1"/>
  <c r="CN745" i="1"/>
  <c r="CJ745" i="1"/>
  <c r="CH745" i="1"/>
  <c r="CF745" i="1"/>
  <c r="BL745" i="1"/>
  <c r="BD745" i="1"/>
  <c r="AZ745" i="1"/>
  <c r="AX745" i="1"/>
  <c r="AD220" i="1" l="1"/>
  <c r="AD947" i="1"/>
  <c r="AD902" i="1"/>
  <c r="AD678" i="1"/>
  <c r="AD838" i="1"/>
  <c r="AD686" i="1"/>
  <c r="AD750" i="1"/>
  <c r="AD808" i="1"/>
  <c r="AD611" i="1"/>
  <c r="AD455" i="1"/>
  <c r="AD759" i="1"/>
  <c r="AD746" i="1"/>
  <c r="AD749" i="1"/>
  <c r="AD736" i="1"/>
  <c r="AD753" i="1"/>
  <c r="AD673" i="1"/>
  <c r="AD684" i="1"/>
  <c r="AD748" i="1"/>
  <c r="Z667" i="1"/>
  <c r="CU667" i="1"/>
  <c r="X667" i="1" s="1"/>
  <c r="Z745" i="1"/>
  <c r="CU745" i="1"/>
  <c r="X745" i="1" s="1"/>
  <c r="AD745" i="1" l="1"/>
  <c r="AD667" i="1"/>
  <c r="DC666" i="1" l="1"/>
  <c r="DA666" i="1"/>
  <c r="CY666" i="1"/>
  <c r="Y666" i="1" s="1"/>
  <c r="CW666" i="1"/>
  <c r="AA666" i="1" s="1"/>
  <c r="CR666" i="1"/>
  <c r="CP666" i="1"/>
  <c r="CN666" i="1"/>
  <c r="CJ666" i="1"/>
  <c r="CH666" i="1"/>
  <c r="CF666" i="1"/>
  <c r="BL666" i="1"/>
  <c r="BD666" i="1"/>
  <c r="AZ666" i="1"/>
  <c r="AX666" i="1"/>
  <c r="DC619" i="1"/>
  <c r="DA619" i="1"/>
  <c r="CY619" i="1"/>
  <c r="Y619" i="1" s="1"/>
  <c r="CW619" i="1"/>
  <c r="AA619" i="1" s="1"/>
  <c r="CR619" i="1"/>
  <c r="CP619" i="1"/>
  <c r="CN619" i="1"/>
  <c r="CJ619" i="1"/>
  <c r="CH619" i="1"/>
  <c r="CF619" i="1"/>
  <c r="BL619" i="1"/>
  <c r="BD619" i="1"/>
  <c r="AZ619" i="1"/>
  <c r="AX619" i="1"/>
  <c r="DC735" i="1"/>
  <c r="DA735" i="1"/>
  <c r="CY735" i="1"/>
  <c r="Y735" i="1" s="1"/>
  <c r="CW735" i="1"/>
  <c r="AA735" i="1" s="1"/>
  <c r="CR735" i="1"/>
  <c r="CP735" i="1"/>
  <c r="CN735" i="1"/>
  <c r="CJ735" i="1"/>
  <c r="CH735" i="1"/>
  <c r="CF735" i="1"/>
  <c r="BL735" i="1"/>
  <c r="BD735" i="1"/>
  <c r="AZ735" i="1"/>
  <c r="AX735" i="1"/>
  <c r="DC734" i="1"/>
  <c r="DA734" i="1"/>
  <c r="CY734" i="1"/>
  <c r="Y734" i="1" s="1"/>
  <c r="CW734" i="1"/>
  <c r="AA734" i="1" s="1"/>
  <c r="CR734" i="1"/>
  <c r="CP734" i="1"/>
  <c r="CN734" i="1"/>
  <c r="CJ734" i="1"/>
  <c r="CH734" i="1"/>
  <c r="CF734" i="1"/>
  <c r="BL734" i="1"/>
  <c r="BD734" i="1"/>
  <c r="AZ734" i="1"/>
  <c r="AX734" i="1"/>
  <c r="DC631" i="1"/>
  <c r="DA631" i="1"/>
  <c r="CY631" i="1"/>
  <c r="Y631" i="1" s="1"/>
  <c r="CW631" i="1"/>
  <c r="AA631" i="1" s="1"/>
  <c r="CR631" i="1"/>
  <c r="CP631" i="1"/>
  <c r="CN631" i="1"/>
  <c r="CJ631" i="1"/>
  <c r="CH631" i="1"/>
  <c r="CF631" i="1"/>
  <c r="BL631" i="1"/>
  <c r="BD631" i="1"/>
  <c r="AZ631" i="1"/>
  <c r="AX631" i="1"/>
  <c r="DC700" i="1"/>
  <c r="DA700" i="1"/>
  <c r="CY700" i="1"/>
  <c r="Y700" i="1" s="1"/>
  <c r="CW700" i="1"/>
  <c r="AA700" i="1" s="1"/>
  <c r="CR700" i="1"/>
  <c r="CP700" i="1"/>
  <c r="CN700" i="1"/>
  <c r="CJ700" i="1"/>
  <c r="CH700" i="1"/>
  <c r="CF700" i="1"/>
  <c r="BL700" i="1"/>
  <c r="BD700" i="1"/>
  <c r="AZ700" i="1"/>
  <c r="AX700" i="1"/>
  <c r="DC706" i="1"/>
  <c r="DA706" i="1"/>
  <c r="CY706" i="1"/>
  <c r="Y706" i="1" s="1"/>
  <c r="CW706" i="1"/>
  <c r="AA706" i="1" s="1"/>
  <c r="CR706" i="1"/>
  <c r="CP706" i="1"/>
  <c r="CN706" i="1"/>
  <c r="CJ706" i="1"/>
  <c r="CH706" i="1"/>
  <c r="CF706" i="1"/>
  <c r="BL706" i="1"/>
  <c r="BD706" i="1"/>
  <c r="AZ706" i="1"/>
  <c r="AX706" i="1"/>
  <c r="DC701" i="1"/>
  <c r="DA701" i="1"/>
  <c r="CY701" i="1"/>
  <c r="Y701" i="1" s="1"/>
  <c r="CW701" i="1"/>
  <c r="AA701" i="1" s="1"/>
  <c r="CR701" i="1"/>
  <c r="CP701" i="1"/>
  <c r="CN701" i="1"/>
  <c r="CJ701" i="1"/>
  <c r="CH701" i="1"/>
  <c r="CF701" i="1"/>
  <c r="BL701" i="1"/>
  <c r="BD701" i="1"/>
  <c r="AZ701" i="1"/>
  <c r="AX701" i="1"/>
  <c r="AX708" i="1"/>
  <c r="AZ708" i="1"/>
  <c r="BD708" i="1"/>
  <c r="BL708" i="1"/>
  <c r="CF708" i="1"/>
  <c r="CH708" i="1"/>
  <c r="CJ708" i="1"/>
  <c r="CN708" i="1"/>
  <c r="CP708" i="1"/>
  <c r="CR708" i="1"/>
  <c r="CW708" i="1"/>
  <c r="AA708" i="1" s="1"/>
  <c r="CY708" i="1"/>
  <c r="Y708" i="1" s="1"/>
  <c r="DA708" i="1"/>
  <c r="DC708" i="1"/>
  <c r="CY645" i="1"/>
  <c r="Y645" i="1" s="1"/>
  <c r="CW645" i="1"/>
  <c r="AA645" i="1" s="1"/>
  <c r="CR645" i="1"/>
  <c r="CP645" i="1"/>
  <c r="CN645" i="1"/>
  <c r="CJ645" i="1"/>
  <c r="CH645" i="1"/>
  <c r="CF645" i="1"/>
  <c r="BL645" i="1"/>
  <c r="BD645" i="1"/>
  <c r="AZ645" i="1"/>
  <c r="AX645" i="1"/>
  <c r="CY643" i="1"/>
  <c r="Y643" i="1" s="1"/>
  <c r="CW643" i="1"/>
  <c r="AA643" i="1" s="1"/>
  <c r="CR643" i="1"/>
  <c r="CP643" i="1"/>
  <c r="CN643" i="1"/>
  <c r="CJ643" i="1"/>
  <c r="CH643" i="1"/>
  <c r="CF643" i="1"/>
  <c r="BL643" i="1"/>
  <c r="BD643" i="1"/>
  <c r="AZ643" i="1"/>
  <c r="AX643" i="1"/>
  <c r="CY642" i="1"/>
  <c r="Y642" i="1" s="1"/>
  <c r="CW642" i="1"/>
  <c r="AA642" i="1" s="1"/>
  <c r="CR642" i="1"/>
  <c r="CP642" i="1"/>
  <c r="CN642" i="1"/>
  <c r="CJ642" i="1"/>
  <c r="CH642" i="1"/>
  <c r="CF642" i="1"/>
  <c r="BL642" i="1"/>
  <c r="BD642" i="1"/>
  <c r="AZ642" i="1"/>
  <c r="AX642" i="1"/>
  <c r="CY640" i="1"/>
  <c r="Y640" i="1" s="1"/>
  <c r="CW640" i="1"/>
  <c r="AA640" i="1" s="1"/>
  <c r="CR640" i="1"/>
  <c r="CP640" i="1"/>
  <c r="CN640" i="1"/>
  <c r="CJ640" i="1"/>
  <c r="CH640" i="1"/>
  <c r="CF640" i="1"/>
  <c r="BL640" i="1"/>
  <c r="BD640" i="1"/>
  <c r="AZ640" i="1"/>
  <c r="AX640" i="1"/>
  <c r="CY649" i="1"/>
  <c r="Y649" i="1" s="1"/>
  <c r="CW649" i="1"/>
  <c r="AA649" i="1" s="1"/>
  <c r="CR649" i="1"/>
  <c r="CP649" i="1"/>
  <c r="CN649" i="1"/>
  <c r="CJ649" i="1"/>
  <c r="CH649" i="1"/>
  <c r="CF649" i="1"/>
  <c r="BL649" i="1"/>
  <c r="BD649" i="1"/>
  <c r="AZ649" i="1"/>
  <c r="AX649" i="1"/>
  <c r="DC710" i="1"/>
  <c r="CY710" i="1"/>
  <c r="Y710" i="1" s="1"/>
  <c r="CW710" i="1"/>
  <c r="AA710" i="1" s="1"/>
  <c r="CR710" i="1"/>
  <c r="CP710" i="1"/>
  <c r="CN710" i="1"/>
  <c r="CJ710" i="1"/>
  <c r="CH710" i="1"/>
  <c r="CF710" i="1"/>
  <c r="BL710" i="1"/>
  <c r="BD710" i="1"/>
  <c r="AZ710" i="1"/>
  <c r="AX710" i="1"/>
  <c r="CY724" i="1"/>
  <c r="Y724" i="1" s="1"/>
  <c r="CW724" i="1"/>
  <c r="AA724" i="1" s="1"/>
  <c r="CR724" i="1"/>
  <c r="CP724" i="1"/>
  <c r="CN724" i="1"/>
  <c r="CJ724" i="1"/>
  <c r="CH724" i="1"/>
  <c r="CF724" i="1"/>
  <c r="BL724" i="1"/>
  <c r="BD724" i="1"/>
  <c r="AZ724" i="1"/>
  <c r="AX724" i="1"/>
  <c r="CY695" i="1"/>
  <c r="Y695" i="1" s="1"/>
  <c r="CW695" i="1"/>
  <c r="AA695" i="1" s="1"/>
  <c r="CR695" i="1"/>
  <c r="CP695" i="1"/>
  <c r="CN695" i="1"/>
  <c r="CJ695" i="1"/>
  <c r="CH695" i="1"/>
  <c r="CF695" i="1"/>
  <c r="BL695" i="1"/>
  <c r="BD695" i="1"/>
  <c r="AZ695" i="1"/>
  <c r="AX695" i="1"/>
  <c r="DA674" i="1"/>
  <c r="CY674" i="1"/>
  <c r="Y674" i="1" s="1"/>
  <c r="CW674" i="1"/>
  <c r="AA674" i="1" s="1"/>
  <c r="CR674" i="1"/>
  <c r="CP674" i="1"/>
  <c r="CN674" i="1"/>
  <c r="CJ674" i="1"/>
  <c r="CH674" i="1"/>
  <c r="CF674" i="1"/>
  <c r="BL674" i="1"/>
  <c r="BD674" i="1"/>
  <c r="AZ674" i="1"/>
  <c r="AX674" i="1"/>
  <c r="DC690" i="1"/>
  <c r="DA690" i="1"/>
  <c r="CY690" i="1"/>
  <c r="Y690" i="1" s="1"/>
  <c r="CW690" i="1"/>
  <c r="AA690" i="1" s="1"/>
  <c r="CR690" i="1"/>
  <c r="CP690" i="1"/>
  <c r="CN690" i="1"/>
  <c r="CJ690" i="1"/>
  <c r="CH690" i="1"/>
  <c r="CF690" i="1"/>
  <c r="BL690" i="1"/>
  <c r="BD690" i="1"/>
  <c r="AZ690" i="1"/>
  <c r="AX690" i="1"/>
  <c r="DC676" i="1"/>
  <c r="DA676" i="1"/>
  <c r="CY676" i="1"/>
  <c r="Y676" i="1" s="1"/>
  <c r="CW676" i="1"/>
  <c r="AA676" i="1" s="1"/>
  <c r="CR676" i="1"/>
  <c r="CP676" i="1"/>
  <c r="CN676" i="1"/>
  <c r="CJ676" i="1"/>
  <c r="CH676" i="1"/>
  <c r="CF676" i="1"/>
  <c r="BL676" i="1"/>
  <c r="BD676" i="1"/>
  <c r="AZ676" i="1"/>
  <c r="AX676" i="1"/>
  <c r="DC681" i="1"/>
  <c r="DA681" i="1"/>
  <c r="CY681" i="1"/>
  <c r="Y681" i="1" s="1"/>
  <c r="CW681" i="1"/>
  <c r="AA681" i="1" s="1"/>
  <c r="CR681" i="1"/>
  <c r="CP681" i="1"/>
  <c r="CN681" i="1"/>
  <c r="CJ681" i="1"/>
  <c r="CH681" i="1"/>
  <c r="CF681" i="1"/>
  <c r="BL681" i="1"/>
  <c r="BD681" i="1"/>
  <c r="AZ681" i="1"/>
  <c r="AX681" i="1"/>
  <c r="Y694" i="1"/>
  <c r="CW694" i="1"/>
  <c r="AA694" i="1" s="1"/>
  <c r="CJ694" i="1"/>
  <c r="CF694" i="1"/>
  <c r="BL694" i="1"/>
  <c r="BD694" i="1"/>
  <c r="AX694" i="1"/>
  <c r="Y677" i="1"/>
  <c r="CW677" i="1"/>
  <c r="AA677" i="1" s="1"/>
  <c r="CR677" i="1"/>
  <c r="CH677" i="1"/>
  <c r="CF677" i="1"/>
  <c r="BL677" i="1"/>
  <c r="BD677" i="1"/>
  <c r="AX677" i="1"/>
  <c r="DC692" i="1"/>
  <c r="DA692" i="1"/>
  <c r="CY692" i="1"/>
  <c r="Y692" i="1" s="1"/>
  <c r="CW692" i="1"/>
  <c r="AA692" i="1" s="1"/>
  <c r="CR692" i="1"/>
  <c r="CP692" i="1"/>
  <c r="CN692" i="1"/>
  <c r="CJ692" i="1"/>
  <c r="CH692" i="1"/>
  <c r="CF692" i="1"/>
  <c r="BL692" i="1"/>
  <c r="BD692" i="1"/>
  <c r="AZ692" i="1"/>
  <c r="AX692" i="1"/>
  <c r="CY688" i="1"/>
  <c r="Y688" i="1" s="1"/>
  <c r="CW688" i="1"/>
  <c r="AA688" i="1" s="1"/>
  <c r="CR688" i="1"/>
  <c r="CP688" i="1"/>
  <c r="CN688" i="1"/>
  <c r="CJ688" i="1"/>
  <c r="CH688" i="1"/>
  <c r="CF688" i="1"/>
  <c r="BL688" i="1"/>
  <c r="BD688" i="1"/>
  <c r="AZ688" i="1"/>
  <c r="AX688" i="1"/>
  <c r="DC698" i="1"/>
  <c r="DA698" i="1"/>
  <c r="CY698" i="1"/>
  <c r="Y698" i="1" s="1"/>
  <c r="CW698" i="1"/>
  <c r="AA698" i="1" s="1"/>
  <c r="CR698" i="1"/>
  <c r="CP698" i="1"/>
  <c r="CN698" i="1"/>
  <c r="CJ698" i="1"/>
  <c r="CH698" i="1"/>
  <c r="CF698" i="1"/>
  <c r="BL698" i="1"/>
  <c r="BD698" i="1"/>
  <c r="AZ698" i="1"/>
  <c r="AX698" i="1"/>
  <c r="DC629" i="1"/>
  <c r="DA629" i="1"/>
  <c r="CY629" i="1"/>
  <c r="Y629" i="1" s="1"/>
  <c r="CW629" i="1"/>
  <c r="AA629" i="1" s="1"/>
  <c r="CR629" i="1"/>
  <c r="CP629" i="1"/>
  <c r="CN629" i="1"/>
  <c r="CJ629" i="1"/>
  <c r="CH629" i="1"/>
  <c r="CF629" i="1"/>
  <c r="BL629" i="1"/>
  <c r="BD629" i="1"/>
  <c r="AZ629" i="1"/>
  <c r="AX629" i="1"/>
  <c r="DC709" i="1"/>
  <c r="DA709" i="1"/>
  <c r="CY709" i="1"/>
  <c r="Y709" i="1" s="1"/>
  <c r="CW709" i="1"/>
  <c r="AA709" i="1" s="1"/>
  <c r="CR709" i="1"/>
  <c r="CP709" i="1"/>
  <c r="CN709" i="1"/>
  <c r="CJ709" i="1"/>
  <c r="CH709" i="1"/>
  <c r="CF709" i="1"/>
  <c r="BL709" i="1"/>
  <c r="BD709" i="1"/>
  <c r="AZ709" i="1"/>
  <c r="AX709" i="1"/>
  <c r="DC634" i="1"/>
  <c r="DA634" i="1"/>
  <c r="CY634" i="1"/>
  <c r="Y634" i="1" s="1"/>
  <c r="CW634" i="1"/>
  <c r="AA634" i="1" s="1"/>
  <c r="CR634" i="1"/>
  <c r="CP634" i="1"/>
  <c r="CN634" i="1"/>
  <c r="CJ634" i="1"/>
  <c r="CH634" i="1"/>
  <c r="CF634" i="1"/>
  <c r="BL634" i="1"/>
  <c r="BD634" i="1"/>
  <c r="AZ634" i="1"/>
  <c r="AX634" i="1"/>
  <c r="DC635" i="1"/>
  <c r="DA635" i="1"/>
  <c r="CY635" i="1"/>
  <c r="Y635" i="1" s="1"/>
  <c r="CW635" i="1"/>
  <c r="AA635" i="1" s="1"/>
  <c r="CR635" i="1"/>
  <c r="CP635" i="1"/>
  <c r="CN635" i="1"/>
  <c r="CJ635" i="1"/>
  <c r="CH635" i="1"/>
  <c r="CF635" i="1"/>
  <c r="BL635" i="1"/>
  <c r="BD635" i="1"/>
  <c r="AZ635" i="1"/>
  <c r="AX635" i="1"/>
  <c r="DC699" i="1"/>
  <c r="DA699" i="1"/>
  <c r="CY699" i="1"/>
  <c r="Y699" i="1" s="1"/>
  <c r="CW699" i="1"/>
  <c r="AA699" i="1" s="1"/>
  <c r="CR699" i="1"/>
  <c r="CP699" i="1"/>
  <c r="CN699" i="1"/>
  <c r="CJ699" i="1"/>
  <c r="CH699" i="1"/>
  <c r="CF699" i="1"/>
  <c r="BL699" i="1"/>
  <c r="BD699" i="1"/>
  <c r="AZ699" i="1"/>
  <c r="AX699" i="1"/>
  <c r="DC623" i="1"/>
  <c r="DA623" i="1"/>
  <c r="CY623" i="1"/>
  <c r="Y623" i="1" s="1"/>
  <c r="CW623" i="1"/>
  <c r="AA623" i="1" s="1"/>
  <c r="CR623" i="1"/>
  <c r="CP623" i="1"/>
  <c r="CN623" i="1"/>
  <c r="CJ623" i="1"/>
  <c r="CH623" i="1"/>
  <c r="CF623" i="1"/>
  <c r="BL623" i="1"/>
  <c r="BD623" i="1"/>
  <c r="AZ623" i="1"/>
  <c r="AX623" i="1"/>
  <c r="DC621" i="1"/>
  <c r="DA621" i="1"/>
  <c r="CY621" i="1"/>
  <c r="Y621" i="1" s="1"/>
  <c r="CW621" i="1"/>
  <c r="AA621" i="1" s="1"/>
  <c r="CR621" i="1"/>
  <c r="CP621" i="1"/>
  <c r="CN621" i="1"/>
  <c r="CJ621" i="1"/>
  <c r="CH621" i="1"/>
  <c r="CF621" i="1"/>
  <c r="BL621" i="1"/>
  <c r="BD621" i="1"/>
  <c r="AZ621" i="1"/>
  <c r="AX621" i="1"/>
  <c r="DC607" i="1"/>
  <c r="DA607" i="1"/>
  <c r="CY607" i="1"/>
  <c r="Y607" i="1" s="1"/>
  <c r="CW607" i="1"/>
  <c r="AA607" i="1" s="1"/>
  <c r="CR607" i="1"/>
  <c r="CP607" i="1"/>
  <c r="CN607" i="1"/>
  <c r="CJ607" i="1"/>
  <c r="CH607" i="1"/>
  <c r="CF607" i="1"/>
  <c r="BL607" i="1"/>
  <c r="BD607" i="1"/>
  <c r="AZ607" i="1"/>
  <c r="AX607" i="1"/>
  <c r="DC610" i="1"/>
  <c r="DA610" i="1"/>
  <c r="CY610" i="1"/>
  <c r="Y610" i="1" s="1"/>
  <c r="CW610" i="1"/>
  <c r="AA610" i="1" s="1"/>
  <c r="CR610" i="1"/>
  <c r="CP610" i="1"/>
  <c r="CN610" i="1"/>
  <c r="CJ610" i="1"/>
  <c r="CH610" i="1"/>
  <c r="CF610" i="1"/>
  <c r="BL610" i="1"/>
  <c r="BD610" i="1"/>
  <c r="AZ610" i="1"/>
  <c r="AX610" i="1"/>
  <c r="DC616" i="1"/>
  <c r="DA616" i="1"/>
  <c r="CY616" i="1"/>
  <c r="Y616" i="1" s="1"/>
  <c r="CW616" i="1"/>
  <c r="AA616" i="1" s="1"/>
  <c r="CR616" i="1"/>
  <c r="CP616" i="1"/>
  <c r="CN616" i="1"/>
  <c r="CJ616" i="1"/>
  <c r="CH616" i="1"/>
  <c r="CF616" i="1"/>
  <c r="BL616" i="1"/>
  <c r="BD616" i="1"/>
  <c r="AZ616" i="1"/>
  <c r="AX616" i="1"/>
  <c r="DC620" i="1"/>
  <c r="DA620" i="1"/>
  <c r="CY620" i="1"/>
  <c r="Y620" i="1" s="1"/>
  <c r="CW620" i="1"/>
  <c r="AA620" i="1" s="1"/>
  <c r="CR620" i="1"/>
  <c r="CP620" i="1"/>
  <c r="CN620" i="1"/>
  <c r="CJ620" i="1"/>
  <c r="CH620" i="1"/>
  <c r="CF620" i="1"/>
  <c r="BL620" i="1"/>
  <c r="BD620" i="1"/>
  <c r="AZ620" i="1"/>
  <c r="AX620" i="1"/>
  <c r="DC617" i="1"/>
  <c r="DA617" i="1"/>
  <c r="CY617" i="1"/>
  <c r="Y617" i="1" s="1"/>
  <c r="CW617" i="1"/>
  <c r="AA617" i="1" s="1"/>
  <c r="CR617" i="1"/>
  <c r="CP617" i="1"/>
  <c r="CN617" i="1"/>
  <c r="CJ617" i="1"/>
  <c r="CH617" i="1"/>
  <c r="CF617" i="1"/>
  <c r="BL617" i="1"/>
  <c r="BD617" i="1"/>
  <c r="AZ617" i="1"/>
  <c r="AX617" i="1"/>
  <c r="DC624" i="1"/>
  <c r="DA624" i="1"/>
  <c r="CY624" i="1"/>
  <c r="Y624" i="1" s="1"/>
  <c r="CW624" i="1"/>
  <c r="AA624" i="1" s="1"/>
  <c r="CR624" i="1"/>
  <c r="CP624" i="1"/>
  <c r="CN624" i="1"/>
  <c r="CJ624" i="1"/>
  <c r="CH624" i="1"/>
  <c r="CF624" i="1"/>
  <c r="BL624" i="1"/>
  <c r="BD624" i="1"/>
  <c r="AZ624" i="1"/>
  <c r="AX624" i="1"/>
  <c r="DC609" i="1"/>
  <c r="DA609" i="1"/>
  <c r="CY609" i="1"/>
  <c r="Y609" i="1" s="1"/>
  <c r="CW609" i="1"/>
  <c r="AA609" i="1" s="1"/>
  <c r="CR609" i="1"/>
  <c r="CP609" i="1"/>
  <c r="CN609" i="1"/>
  <c r="CJ609" i="1"/>
  <c r="CH609" i="1"/>
  <c r="CF609" i="1"/>
  <c r="BL609" i="1"/>
  <c r="BD609" i="1"/>
  <c r="AZ609" i="1"/>
  <c r="AX609" i="1"/>
  <c r="DC608" i="1"/>
  <c r="DA608" i="1"/>
  <c r="CY608" i="1"/>
  <c r="Y608" i="1" s="1"/>
  <c r="CW608" i="1"/>
  <c r="AA608" i="1" s="1"/>
  <c r="CR608" i="1"/>
  <c r="CP608" i="1"/>
  <c r="CN608" i="1"/>
  <c r="CJ608" i="1"/>
  <c r="CH608" i="1"/>
  <c r="CF608" i="1"/>
  <c r="BL608" i="1"/>
  <c r="BD608" i="1"/>
  <c r="AZ608" i="1"/>
  <c r="AX608" i="1"/>
  <c r="DC622" i="1"/>
  <c r="DA622" i="1"/>
  <c r="CY622" i="1"/>
  <c r="Y622" i="1" s="1"/>
  <c r="CW622" i="1"/>
  <c r="AA622" i="1" s="1"/>
  <c r="CR622" i="1"/>
  <c r="CP622" i="1"/>
  <c r="CN622" i="1"/>
  <c r="CJ622" i="1"/>
  <c r="CH622" i="1"/>
  <c r="CF622" i="1"/>
  <c r="BL622" i="1"/>
  <c r="BD622" i="1"/>
  <c r="AZ622" i="1"/>
  <c r="AX622" i="1"/>
  <c r="CU619" i="1" l="1"/>
  <c r="X619" i="1" s="1"/>
  <c r="CU734" i="1"/>
  <c r="X734" i="1" s="1"/>
  <c r="Z701" i="1"/>
  <c r="Z631" i="1"/>
  <c r="Z645" i="1"/>
  <c r="Z700" i="1"/>
  <c r="CU701" i="1"/>
  <c r="X701" i="1" s="1"/>
  <c r="Z706" i="1"/>
  <c r="CU631" i="1"/>
  <c r="X631" i="1" s="1"/>
  <c r="Z735" i="1"/>
  <c r="Z666" i="1"/>
  <c r="CU645" i="1"/>
  <c r="X645" i="1" s="1"/>
  <c r="CU706" i="1"/>
  <c r="X706" i="1" s="1"/>
  <c r="Z734" i="1"/>
  <c r="CU735" i="1"/>
  <c r="X735" i="1" s="1"/>
  <c r="Z619" i="1"/>
  <c r="CU666" i="1"/>
  <c r="X666" i="1" s="1"/>
  <c r="CU700" i="1"/>
  <c r="X700" i="1" s="1"/>
  <c r="Z688" i="1"/>
  <c r="Z649" i="1"/>
  <c r="Z708" i="1"/>
  <c r="CU708" i="1"/>
  <c r="X708" i="1" s="1"/>
  <c r="CU681" i="1"/>
  <c r="X681" i="1" s="1"/>
  <c r="Z681" i="1"/>
  <c r="Z642" i="1"/>
  <c r="CU688" i="1"/>
  <c r="X688" i="1" s="1"/>
  <c r="CU649" i="1"/>
  <c r="X649" i="1" s="1"/>
  <c r="CU695" i="1"/>
  <c r="X695" i="1" s="1"/>
  <c r="Z695" i="1"/>
  <c r="Z709" i="1"/>
  <c r="CU709" i="1"/>
  <c r="X709" i="1" s="1"/>
  <c r="Z620" i="1"/>
  <c r="Z621" i="1"/>
  <c r="CU621" i="1"/>
  <c r="X621" i="1" s="1"/>
  <c r="Z607" i="1"/>
  <c r="Z699" i="1"/>
  <c r="Z698" i="1"/>
  <c r="Z694" i="1"/>
  <c r="Z674" i="1"/>
  <c r="Z643" i="1"/>
  <c r="Z610" i="1"/>
  <c r="Z634" i="1"/>
  <c r="Z629" i="1"/>
  <c r="Z677" i="1"/>
  <c r="Z690" i="1"/>
  <c r="Z724" i="1"/>
  <c r="Z710" i="1"/>
  <c r="Z616" i="1"/>
  <c r="CU623" i="1"/>
  <c r="X623" i="1" s="1"/>
  <c r="Z623" i="1"/>
  <c r="CU635" i="1"/>
  <c r="X635" i="1" s="1"/>
  <c r="Z635" i="1"/>
  <c r="CU692" i="1"/>
  <c r="X692" i="1" s="1"/>
  <c r="Z692" i="1"/>
  <c r="Z676" i="1"/>
  <c r="CU640" i="1"/>
  <c r="X640" i="1" s="1"/>
  <c r="Z640" i="1"/>
  <c r="CU699" i="1"/>
  <c r="X699" i="1" s="1"/>
  <c r="CU698" i="1"/>
  <c r="X698" i="1" s="1"/>
  <c r="CU643" i="1"/>
  <c r="X643" i="1" s="1"/>
  <c r="CU620" i="1"/>
  <c r="X620" i="1" s="1"/>
  <c r="CU607" i="1"/>
  <c r="X607" i="1" s="1"/>
  <c r="CU610" i="1"/>
  <c r="X610" i="1" s="1"/>
  <c r="CU694" i="1"/>
  <c r="X694" i="1" s="1"/>
  <c r="CU674" i="1"/>
  <c r="X674" i="1" s="1"/>
  <c r="Z609" i="1"/>
  <c r="CU616" i="1"/>
  <c r="X616" i="1" s="1"/>
  <c r="Z608" i="1"/>
  <c r="CU608" i="1"/>
  <c r="X608" i="1" s="1"/>
  <c r="CU622" i="1"/>
  <c r="X622" i="1" s="1"/>
  <c r="Z617" i="1"/>
  <c r="CU617" i="1"/>
  <c r="X617" i="1" s="1"/>
  <c r="CU609" i="1"/>
  <c r="X609" i="1" s="1"/>
  <c r="Z622" i="1"/>
  <c r="CU624" i="1"/>
  <c r="X624" i="1" s="1"/>
  <c r="Z624" i="1"/>
  <c r="CU634" i="1"/>
  <c r="X634" i="1" s="1"/>
  <c r="CU629" i="1"/>
  <c r="X629" i="1" s="1"/>
  <c r="CU677" i="1"/>
  <c r="X677" i="1" s="1"/>
  <c r="CU690" i="1"/>
  <c r="X690" i="1" s="1"/>
  <c r="CU724" i="1"/>
  <c r="X724" i="1" s="1"/>
  <c r="CU710" i="1"/>
  <c r="X710" i="1" s="1"/>
  <c r="CU642" i="1"/>
  <c r="X642" i="1" s="1"/>
  <c r="CU676" i="1"/>
  <c r="X676" i="1" s="1"/>
  <c r="CY659" i="1"/>
  <c r="Y659" i="1" s="1"/>
  <c r="CW659" i="1"/>
  <c r="AA659" i="1" s="1"/>
  <c r="CR659" i="1"/>
  <c r="CP659" i="1"/>
  <c r="CN659" i="1"/>
  <c r="CJ659" i="1"/>
  <c r="CH659" i="1"/>
  <c r="CF659" i="1"/>
  <c r="BL659" i="1"/>
  <c r="BD659" i="1"/>
  <c r="AZ659" i="1"/>
  <c r="AX659" i="1"/>
  <c r="CY664" i="1"/>
  <c r="Y664" i="1" s="1"/>
  <c r="CW664" i="1"/>
  <c r="AA664" i="1" s="1"/>
  <c r="CR664" i="1"/>
  <c r="CP664" i="1"/>
  <c r="CN664" i="1"/>
  <c r="CJ664" i="1"/>
  <c r="CH664" i="1"/>
  <c r="CF664" i="1"/>
  <c r="BL664" i="1"/>
  <c r="BD664" i="1"/>
  <c r="AZ664" i="1"/>
  <c r="AX664" i="1"/>
  <c r="CY651" i="1"/>
  <c r="Y651" i="1" s="1"/>
  <c r="CW651" i="1"/>
  <c r="AA651" i="1" s="1"/>
  <c r="CR651" i="1"/>
  <c r="CP651" i="1"/>
  <c r="CN651" i="1"/>
  <c r="CJ651" i="1"/>
  <c r="CH651" i="1"/>
  <c r="CF651" i="1"/>
  <c r="BL651" i="1"/>
  <c r="BD651" i="1"/>
  <c r="AZ651" i="1"/>
  <c r="AX651" i="1"/>
  <c r="CY663" i="1"/>
  <c r="Y663" i="1" s="1"/>
  <c r="CW663" i="1"/>
  <c r="AA663" i="1" s="1"/>
  <c r="CR663" i="1"/>
  <c r="CP663" i="1"/>
  <c r="CN663" i="1"/>
  <c r="CJ663" i="1"/>
  <c r="CH663" i="1"/>
  <c r="CF663" i="1"/>
  <c r="BL663" i="1"/>
  <c r="BD663" i="1"/>
  <c r="AZ663" i="1"/>
  <c r="AX663" i="1"/>
  <c r="CY665" i="1"/>
  <c r="Y665" i="1" s="1"/>
  <c r="CW665" i="1"/>
  <c r="AA665" i="1" s="1"/>
  <c r="CR665" i="1"/>
  <c r="CP665" i="1"/>
  <c r="CN665" i="1"/>
  <c r="CJ665" i="1"/>
  <c r="CH665" i="1"/>
  <c r="CF665" i="1"/>
  <c r="BL665" i="1"/>
  <c r="BD665" i="1"/>
  <c r="AZ665" i="1"/>
  <c r="AX665" i="1"/>
  <c r="CY661" i="1"/>
  <c r="Y661" i="1" s="1"/>
  <c r="CW661" i="1"/>
  <c r="AA661" i="1" s="1"/>
  <c r="CR661" i="1"/>
  <c r="CP661" i="1"/>
  <c r="CN661" i="1"/>
  <c r="CJ661" i="1"/>
  <c r="CH661" i="1"/>
  <c r="CF661" i="1"/>
  <c r="BL661" i="1"/>
  <c r="BD661" i="1"/>
  <c r="AZ661" i="1"/>
  <c r="AX661" i="1"/>
  <c r="CY658" i="1"/>
  <c r="Y658" i="1" s="1"/>
  <c r="CW658" i="1"/>
  <c r="AA658" i="1" s="1"/>
  <c r="CR658" i="1"/>
  <c r="CP658" i="1"/>
  <c r="CN658" i="1"/>
  <c r="CJ658" i="1"/>
  <c r="CH658" i="1"/>
  <c r="CF658" i="1"/>
  <c r="BL658" i="1"/>
  <c r="BD658" i="1"/>
  <c r="AZ658" i="1"/>
  <c r="AX658" i="1"/>
  <c r="CY650" i="1"/>
  <c r="Y650" i="1" s="1"/>
  <c r="CW650" i="1"/>
  <c r="AA650" i="1" s="1"/>
  <c r="CR650" i="1"/>
  <c r="CP650" i="1"/>
  <c r="CN650" i="1"/>
  <c r="CJ650" i="1"/>
  <c r="CH650" i="1"/>
  <c r="CF650" i="1"/>
  <c r="BL650" i="1"/>
  <c r="BD650" i="1"/>
  <c r="AZ650" i="1"/>
  <c r="AX650" i="1"/>
  <c r="DC603" i="1"/>
  <c r="DA603" i="1"/>
  <c r="CY603" i="1"/>
  <c r="Y603" i="1" s="1"/>
  <c r="CW603" i="1"/>
  <c r="AA603" i="1" s="1"/>
  <c r="CR603" i="1"/>
  <c r="CP603" i="1"/>
  <c r="CN603" i="1"/>
  <c r="CJ603" i="1"/>
  <c r="CH603" i="1"/>
  <c r="CF603" i="1"/>
  <c r="BL603" i="1"/>
  <c r="BD603" i="1"/>
  <c r="AZ603" i="1"/>
  <c r="AX603" i="1"/>
  <c r="DC602" i="1"/>
  <c r="DA602" i="1"/>
  <c r="CY602" i="1"/>
  <c r="Y602" i="1" s="1"/>
  <c r="CW602" i="1"/>
  <c r="AA602" i="1" s="1"/>
  <c r="CR602" i="1"/>
  <c r="CP602" i="1"/>
  <c r="CN602" i="1"/>
  <c r="CJ602" i="1"/>
  <c r="CH602" i="1"/>
  <c r="CF602" i="1"/>
  <c r="BL602" i="1"/>
  <c r="BD602" i="1"/>
  <c r="AZ602" i="1"/>
  <c r="AX602" i="1"/>
  <c r="DC601" i="1"/>
  <c r="DA601" i="1"/>
  <c r="CY601" i="1"/>
  <c r="Y601" i="1" s="1"/>
  <c r="CW601" i="1"/>
  <c r="AA601" i="1" s="1"/>
  <c r="CR601" i="1"/>
  <c r="CP601" i="1"/>
  <c r="CN601" i="1"/>
  <c r="CJ601" i="1"/>
  <c r="CH601" i="1"/>
  <c r="CF601" i="1"/>
  <c r="BL601" i="1"/>
  <c r="BD601" i="1"/>
  <c r="AZ601" i="1"/>
  <c r="AX601" i="1"/>
  <c r="DC597" i="1"/>
  <c r="DA597" i="1"/>
  <c r="CY597" i="1"/>
  <c r="Y597" i="1" s="1"/>
  <c r="CW597" i="1"/>
  <c r="AA597" i="1" s="1"/>
  <c r="CR597" i="1"/>
  <c r="CP597" i="1"/>
  <c r="CN597" i="1"/>
  <c r="CJ597" i="1"/>
  <c r="CH597" i="1"/>
  <c r="CF597" i="1"/>
  <c r="BL597" i="1"/>
  <c r="BD597" i="1"/>
  <c r="AZ597" i="1"/>
  <c r="AX597" i="1"/>
  <c r="DC599" i="1"/>
  <c r="DA599" i="1"/>
  <c r="CY599" i="1"/>
  <c r="Y599" i="1" s="1"/>
  <c r="CW599" i="1"/>
  <c r="AA599" i="1" s="1"/>
  <c r="CR599" i="1"/>
  <c r="CP599" i="1"/>
  <c r="CN599" i="1"/>
  <c r="CJ599" i="1"/>
  <c r="CH599" i="1"/>
  <c r="CF599" i="1"/>
  <c r="BL599" i="1"/>
  <c r="BD599" i="1"/>
  <c r="AZ599" i="1"/>
  <c r="AX599" i="1"/>
  <c r="DC598" i="1"/>
  <c r="DA598" i="1"/>
  <c r="CY598" i="1"/>
  <c r="Y598" i="1" s="1"/>
  <c r="CW598" i="1"/>
  <c r="AA598" i="1" s="1"/>
  <c r="CR598" i="1"/>
  <c r="CP598" i="1"/>
  <c r="CN598" i="1"/>
  <c r="CJ598" i="1"/>
  <c r="CH598" i="1"/>
  <c r="CF598" i="1"/>
  <c r="BL598" i="1"/>
  <c r="BD598" i="1"/>
  <c r="AZ598" i="1"/>
  <c r="AX598" i="1"/>
  <c r="DC582" i="1"/>
  <c r="DA582" i="1"/>
  <c r="CY582" i="1"/>
  <c r="Y582" i="1" s="1"/>
  <c r="CW582" i="1"/>
  <c r="AA582" i="1" s="1"/>
  <c r="CR582" i="1"/>
  <c r="CP582" i="1"/>
  <c r="CN582" i="1"/>
  <c r="CJ582" i="1"/>
  <c r="CH582" i="1"/>
  <c r="CF582" i="1"/>
  <c r="BL582" i="1"/>
  <c r="BD582" i="1"/>
  <c r="AZ582" i="1"/>
  <c r="AX582" i="1"/>
  <c r="DC600" i="1"/>
  <c r="DA600" i="1"/>
  <c r="CY600" i="1"/>
  <c r="Y600" i="1" s="1"/>
  <c r="CW600" i="1"/>
  <c r="AA600" i="1" s="1"/>
  <c r="CR600" i="1"/>
  <c r="CP600" i="1"/>
  <c r="CN600" i="1"/>
  <c r="CJ600" i="1"/>
  <c r="CH600" i="1"/>
  <c r="CF600" i="1"/>
  <c r="BL600" i="1"/>
  <c r="BD600" i="1"/>
  <c r="AZ600" i="1"/>
  <c r="AX600" i="1"/>
  <c r="DC586" i="1"/>
  <c r="DA586" i="1"/>
  <c r="CY586" i="1"/>
  <c r="Y586" i="1" s="1"/>
  <c r="CW586" i="1"/>
  <c r="AA586" i="1" s="1"/>
  <c r="CR586" i="1"/>
  <c r="CP586" i="1"/>
  <c r="CN586" i="1"/>
  <c r="CJ586" i="1"/>
  <c r="CH586" i="1"/>
  <c r="CF586" i="1"/>
  <c r="BL586" i="1"/>
  <c r="BD586" i="1"/>
  <c r="AZ586" i="1"/>
  <c r="AX586" i="1"/>
  <c r="DC585" i="1"/>
  <c r="DA585" i="1"/>
  <c r="CY585" i="1"/>
  <c r="Y585" i="1" s="1"/>
  <c r="CW585" i="1"/>
  <c r="AA585" i="1" s="1"/>
  <c r="CR585" i="1"/>
  <c r="CP585" i="1"/>
  <c r="CN585" i="1"/>
  <c r="CJ585" i="1"/>
  <c r="CH585" i="1"/>
  <c r="CF585" i="1"/>
  <c r="BL585" i="1"/>
  <c r="BD585" i="1"/>
  <c r="AZ585" i="1"/>
  <c r="AX585" i="1"/>
  <c r="DC596" i="1"/>
  <c r="DA596" i="1"/>
  <c r="CY596" i="1"/>
  <c r="Y596" i="1" s="1"/>
  <c r="CW596" i="1"/>
  <c r="AA596" i="1" s="1"/>
  <c r="CR596" i="1"/>
  <c r="CP596" i="1"/>
  <c r="CN596" i="1"/>
  <c r="CJ596" i="1"/>
  <c r="CH596" i="1"/>
  <c r="CF596" i="1"/>
  <c r="BL596" i="1"/>
  <c r="BD596" i="1"/>
  <c r="AZ596" i="1"/>
  <c r="AX596" i="1"/>
  <c r="DC604" i="1"/>
  <c r="DA604" i="1"/>
  <c r="CY604" i="1"/>
  <c r="Y604" i="1" s="1"/>
  <c r="CW604" i="1"/>
  <c r="AA604" i="1" s="1"/>
  <c r="CR604" i="1"/>
  <c r="CP604" i="1"/>
  <c r="CN604" i="1"/>
  <c r="CJ604" i="1"/>
  <c r="CH604" i="1"/>
  <c r="CF604" i="1"/>
  <c r="BL604" i="1"/>
  <c r="BD604" i="1"/>
  <c r="AZ604" i="1"/>
  <c r="AX604" i="1"/>
  <c r="DC591" i="1"/>
  <c r="DA591" i="1"/>
  <c r="CY591" i="1"/>
  <c r="Y591" i="1" s="1"/>
  <c r="CW591" i="1"/>
  <c r="AA591" i="1" s="1"/>
  <c r="CR591" i="1"/>
  <c r="CP591" i="1"/>
  <c r="CN591" i="1"/>
  <c r="CJ591" i="1"/>
  <c r="CH591" i="1"/>
  <c r="CF591" i="1"/>
  <c r="BL591" i="1"/>
  <c r="BD591" i="1"/>
  <c r="AZ591" i="1"/>
  <c r="AX591" i="1"/>
  <c r="DC595" i="1"/>
  <c r="DA595" i="1"/>
  <c r="CY595" i="1"/>
  <c r="Y595" i="1" s="1"/>
  <c r="CW595" i="1"/>
  <c r="AA595" i="1" s="1"/>
  <c r="CR595" i="1"/>
  <c r="CP595" i="1"/>
  <c r="CN595" i="1"/>
  <c r="CJ595" i="1"/>
  <c r="CH595" i="1"/>
  <c r="CF595" i="1"/>
  <c r="BL595" i="1"/>
  <c r="BD595" i="1"/>
  <c r="AZ595" i="1"/>
  <c r="AX595" i="1"/>
  <c r="DC593" i="1"/>
  <c r="DA593" i="1"/>
  <c r="CY593" i="1"/>
  <c r="Y593" i="1" s="1"/>
  <c r="CW593" i="1"/>
  <c r="AA593" i="1" s="1"/>
  <c r="CR593" i="1"/>
  <c r="CP593" i="1"/>
  <c r="CN593" i="1"/>
  <c r="CJ593" i="1"/>
  <c r="CH593" i="1"/>
  <c r="CF593" i="1"/>
  <c r="BL593" i="1"/>
  <c r="BD593" i="1"/>
  <c r="AZ593" i="1"/>
  <c r="AX593" i="1"/>
  <c r="DC594" i="1"/>
  <c r="DA594" i="1"/>
  <c r="CY594" i="1"/>
  <c r="Y594" i="1" s="1"/>
  <c r="CW594" i="1"/>
  <c r="AA594" i="1" s="1"/>
  <c r="CR594" i="1"/>
  <c r="CP594" i="1"/>
  <c r="CN594" i="1"/>
  <c r="CJ594" i="1"/>
  <c r="CH594" i="1"/>
  <c r="CF594" i="1"/>
  <c r="BL594" i="1"/>
  <c r="BD594" i="1"/>
  <c r="AZ594" i="1"/>
  <c r="AX594" i="1"/>
  <c r="DC592" i="1"/>
  <c r="DA592" i="1"/>
  <c r="CY592" i="1"/>
  <c r="Y592" i="1" s="1"/>
  <c r="CW592" i="1"/>
  <c r="AA592" i="1" s="1"/>
  <c r="CR592" i="1"/>
  <c r="CP592" i="1"/>
  <c r="CN592" i="1"/>
  <c r="CJ592" i="1"/>
  <c r="CH592" i="1"/>
  <c r="CF592" i="1"/>
  <c r="BL592" i="1"/>
  <c r="BD592" i="1"/>
  <c r="AZ592" i="1"/>
  <c r="AX592" i="1"/>
  <c r="DC606" i="1"/>
  <c r="DA606" i="1"/>
  <c r="CY606" i="1"/>
  <c r="Y606" i="1" s="1"/>
  <c r="CW606" i="1"/>
  <c r="AA606" i="1" s="1"/>
  <c r="CR606" i="1"/>
  <c r="CP606" i="1"/>
  <c r="CN606" i="1"/>
  <c r="CJ606" i="1"/>
  <c r="CH606" i="1"/>
  <c r="CF606" i="1"/>
  <c r="BL606" i="1"/>
  <c r="BD606" i="1"/>
  <c r="AZ606" i="1"/>
  <c r="AX606" i="1"/>
  <c r="DC605" i="1"/>
  <c r="DA605" i="1"/>
  <c r="CY605" i="1"/>
  <c r="Y605" i="1" s="1"/>
  <c r="CW605" i="1"/>
  <c r="AA605" i="1" s="1"/>
  <c r="CR605" i="1"/>
  <c r="CP605" i="1"/>
  <c r="CN605" i="1"/>
  <c r="CJ605" i="1"/>
  <c r="CH605" i="1"/>
  <c r="CF605" i="1"/>
  <c r="BL605" i="1"/>
  <c r="BD605" i="1"/>
  <c r="AZ605" i="1"/>
  <c r="AX605" i="1"/>
  <c r="AD619" i="1" l="1"/>
  <c r="AD735" i="1"/>
  <c r="AD666" i="1"/>
  <c r="AD734" i="1"/>
  <c r="AD706" i="1"/>
  <c r="AD645" i="1"/>
  <c r="AD631" i="1"/>
  <c r="AD701" i="1"/>
  <c r="AD694" i="1"/>
  <c r="AD643" i="1"/>
  <c r="AD688" i="1"/>
  <c r="AD700" i="1"/>
  <c r="AD695" i="1"/>
  <c r="AD708" i="1"/>
  <c r="AD674" i="1"/>
  <c r="AD649" i="1"/>
  <c r="AD681" i="1"/>
  <c r="AD642" i="1"/>
  <c r="AD698" i="1"/>
  <c r="AD616" i="1"/>
  <c r="AD620" i="1"/>
  <c r="AD699" i="1"/>
  <c r="AD692" i="1"/>
  <c r="AD677" i="1"/>
  <c r="AD709" i="1"/>
  <c r="AD710" i="1"/>
  <c r="AD629" i="1"/>
  <c r="AD690" i="1"/>
  <c r="AD635" i="1"/>
  <c r="AD676" i="1"/>
  <c r="AD640" i="1"/>
  <c r="AD607" i="1"/>
  <c r="AD621" i="1"/>
  <c r="AD623" i="1"/>
  <c r="AD610" i="1"/>
  <c r="AD724" i="1"/>
  <c r="AD634" i="1"/>
  <c r="AD609" i="1"/>
  <c r="AD617" i="1"/>
  <c r="AD608" i="1"/>
  <c r="AD622" i="1"/>
  <c r="AD624" i="1"/>
  <c r="CU594" i="1"/>
  <c r="X594" i="1" s="1"/>
  <c r="CU604" i="1"/>
  <c r="X604" i="1" s="1"/>
  <c r="CU600" i="1"/>
  <c r="X600" i="1" s="1"/>
  <c r="CU597" i="1"/>
  <c r="X597" i="1" s="1"/>
  <c r="CU603" i="1"/>
  <c r="X603" i="1" s="1"/>
  <c r="CU651" i="1"/>
  <c r="X651" i="1" s="1"/>
  <c r="CU592" i="1"/>
  <c r="X592" i="1" s="1"/>
  <c r="CU602" i="1"/>
  <c r="X602" i="1" s="1"/>
  <c r="CU606" i="1"/>
  <c r="X606" i="1" s="1"/>
  <c r="CU595" i="1"/>
  <c r="X595" i="1" s="1"/>
  <c r="CU585" i="1"/>
  <c r="X585" i="1" s="1"/>
  <c r="CU598" i="1"/>
  <c r="X598" i="1" s="1"/>
  <c r="CU601" i="1"/>
  <c r="X601" i="1" s="1"/>
  <c r="CU591" i="1"/>
  <c r="X591" i="1" s="1"/>
  <c r="CU586" i="1"/>
  <c r="X586" i="1" s="1"/>
  <c r="CU599" i="1"/>
  <c r="X599" i="1" s="1"/>
  <c r="CU663" i="1"/>
  <c r="X663" i="1" s="1"/>
  <c r="CU605" i="1"/>
  <c r="X605" i="1" s="1"/>
  <c r="CU593" i="1"/>
  <c r="X593" i="1" s="1"/>
  <c r="CU596" i="1"/>
  <c r="X596" i="1" s="1"/>
  <c r="CU582" i="1"/>
  <c r="X582" i="1" s="1"/>
  <c r="CU650" i="1"/>
  <c r="X650" i="1" s="1"/>
  <c r="CU664" i="1"/>
  <c r="X664" i="1" s="1"/>
  <c r="CU658" i="1"/>
  <c r="X658" i="1" s="1"/>
  <c r="CU661" i="1"/>
  <c r="X661" i="1" s="1"/>
  <c r="CU665" i="1"/>
  <c r="X665" i="1" s="1"/>
  <c r="CU659" i="1"/>
  <c r="X659" i="1" s="1"/>
  <c r="Z605" i="1"/>
  <c r="Z606" i="1"/>
  <c r="Z592" i="1"/>
  <c r="Z594" i="1"/>
  <c r="Z593" i="1"/>
  <c r="Z595" i="1"/>
  <c r="Z591" i="1"/>
  <c r="Z604" i="1"/>
  <c r="Z596" i="1"/>
  <c r="Z585" i="1"/>
  <c r="Z586" i="1"/>
  <c r="Z600" i="1"/>
  <c r="Z582" i="1"/>
  <c r="Z598" i="1"/>
  <c r="Z599" i="1"/>
  <c r="Z597" i="1"/>
  <c r="Z601" i="1"/>
  <c r="Z602" i="1"/>
  <c r="Z603" i="1"/>
  <c r="Z650" i="1"/>
  <c r="Z658" i="1"/>
  <c r="Z661" i="1"/>
  <c r="Z665" i="1"/>
  <c r="Z663" i="1"/>
  <c r="Z651" i="1"/>
  <c r="Z664" i="1"/>
  <c r="Z659" i="1"/>
  <c r="AD665" i="1" l="1"/>
  <c r="AD586" i="1"/>
  <c r="AD651" i="1"/>
  <c r="AD592" i="1"/>
  <c r="AD604" i="1"/>
  <c r="AD593" i="1"/>
  <c r="AD603" i="1"/>
  <c r="AD594" i="1"/>
  <c r="AD600" i="1"/>
  <c r="AD664" i="1"/>
  <c r="AD598" i="1"/>
  <c r="AD585" i="1"/>
  <c r="AD659" i="1"/>
  <c r="AD650" i="1"/>
  <c r="AD597" i="1"/>
  <c r="AD602" i="1"/>
  <c r="AD599" i="1"/>
  <c r="AD582" i="1"/>
  <c r="AD663" i="1"/>
  <c r="AD606" i="1"/>
  <c r="AD601" i="1"/>
  <c r="AD595" i="1"/>
  <c r="AD591" i="1"/>
  <c r="AD596" i="1"/>
  <c r="AD605" i="1"/>
  <c r="AD661" i="1"/>
  <c r="AD658" i="1"/>
  <c r="DC656" i="1"/>
  <c r="DA656" i="1"/>
  <c r="CY656" i="1"/>
  <c r="Y656" i="1" s="1"/>
  <c r="CW656" i="1"/>
  <c r="AA656" i="1" s="1"/>
  <c r="CR656" i="1"/>
  <c r="CP656" i="1"/>
  <c r="CN656" i="1"/>
  <c r="CJ656" i="1"/>
  <c r="CH656" i="1"/>
  <c r="CF656" i="1"/>
  <c r="BL656" i="1"/>
  <c r="BD656" i="1"/>
  <c r="AZ656" i="1"/>
  <c r="AX656" i="1"/>
  <c r="DC639" i="1"/>
  <c r="CY639" i="1"/>
  <c r="Y639" i="1" s="1"/>
  <c r="CW639" i="1"/>
  <c r="AA639" i="1" s="1"/>
  <c r="CR639" i="1"/>
  <c r="CP639" i="1"/>
  <c r="CN639" i="1"/>
  <c r="CJ639" i="1"/>
  <c r="CH639" i="1"/>
  <c r="CF639" i="1"/>
  <c r="BL639" i="1"/>
  <c r="BD639" i="1"/>
  <c r="AZ639" i="1"/>
  <c r="AX639" i="1"/>
  <c r="CY653" i="1"/>
  <c r="Y653" i="1" s="1"/>
  <c r="CW653" i="1"/>
  <c r="AA653" i="1" s="1"/>
  <c r="CR653" i="1"/>
  <c r="CP653" i="1"/>
  <c r="CN653" i="1"/>
  <c r="CJ653" i="1"/>
  <c r="CH653" i="1"/>
  <c r="CF653" i="1"/>
  <c r="BL653" i="1"/>
  <c r="BD653" i="1"/>
  <c r="AZ653" i="1"/>
  <c r="AX653" i="1"/>
  <c r="CY647" i="1"/>
  <c r="Y647" i="1" s="1"/>
  <c r="CW647" i="1"/>
  <c r="AA647" i="1" s="1"/>
  <c r="CR647" i="1"/>
  <c r="CP647" i="1"/>
  <c r="CN647" i="1"/>
  <c r="CJ647" i="1"/>
  <c r="CH647" i="1"/>
  <c r="CF647" i="1"/>
  <c r="BL647" i="1"/>
  <c r="BD647" i="1"/>
  <c r="AZ647" i="1"/>
  <c r="AX647" i="1"/>
  <c r="CY638" i="1"/>
  <c r="Y638" i="1" s="1"/>
  <c r="CW638" i="1"/>
  <c r="AA638" i="1" s="1"/>
  <c r="CR638" i="1"/>
  <c r="CP638" i="1"/>
  <c r="CN638" i="1"/>
  <c r="CJ638" i="1"/>
  <c r="CH638" i="1"/>
  <c r="CF638" i="1"/>
  <c r="BL638" i="1"/>
  <c r="BD638" i="1"/>
  <c r="AZ638" i="1"/>
  <c r="AX638" i="1"/>
  <c r="CY652" i="1"/>
  <c r="Y652" i="1" s="1"/>
  <c r="CW652" i="1"/>
  <c r="AA652" i="1" s="1"/>
  <c r="CR652" i="1"/>
  <c r="CP652" i="1"/>
  <c r="CN652" i="1"/>
  <c r="CJ652" i="1"/>
  <c r="CH652" i="1"/>
  <c r="CF652" i="1"/>
  <c r="BL652" i="1"/>
  <c r="BD652" i="1"/>
  <c r="AZ652" i="1"/>
  <c r="AX652" i="1"/>
  <c r="CY657" i="1"/>
  <c r="Y657" i="1" s="1"/>
  <c r="CW657" i="1"/>
  <c r="AA657" i="1" s="1"/>
  <c r="CR657" i="1"/>
  <c r="CP657" i="1"/>
  <c r="CN657" i="1"/>
  <c r="CJ657" i="1"/>
  <c r="CH657" i="1"/>
  <c r="CF657" i="1"/>
  <c r="BL657" i="1"/>
  <c r="BD657" i="1"/>
  <c r="AZ657" i="1"/>
  <c r="AX657" i="1"/>
  <c r="CY654" i="1"/>
  <c r="Y654" i="1" s="1"/>
  <c r="CW654" i="1"/>
  <c r="AA654" i="1" s="1"/>
  <c r="CR654" i="1"/>
  <c r="CP654" i="1"/>
  <c r="CN654" i="1"/>
  <c r="CJ654" i="1"/>
  <c r="CH654" i="1"/>
  <c r="CF654" i="1"/>
  <c r="BL654" i="1"/>
  <c r="BD654" i="1"/>
  <c r="AZ654" i="1"/>
  <c r="AX654" i="1"/>
  <c r="DC579" i="1"/>
  <c r="DA579" i="1"/>
  <c r="CY579" i="1"/>
  <c r="Y579" i="1" s="1"/>
  <c r="CW579" i="1"/>
  <c r="AA579" i="1" s="1"/>
  <c r="CR579" i="1"/>
  <c r="CP579" i="1"/>
  <c r="CN579" i="1"/>
  <c r="CJ579" i="1"/>
  <c r="CH579" i="1"/>
  <c r="CF579" i="1"/>
  <c r="BL579" i="1"/>
  <c r="BD579" i="1"/>
  <c r="AZ579" i="1"/>
  <c r="AX579" i="1"/>
  <c r="DC578" i="1"/>
  <c r="DA578" i="1"/>
  <c r="CY578" i="1"/>
  <c r="Y578" i="1" s="1"/>
  <c r="CW578" i="1"/>
  <c r="AA578" i="1" s="1"/>
  <c r="CR578" i="1"/>
  <c r="CP578" i="1"/>
  <c r="CN578" i="1"/>
  <c r="CJ578" i="1"/>
  <c r="CH578" i="1"/>
  <c r="CF578" i="1"/>
  <c r="BL578" i="1"/>
  <c r="BD578" i="1"/>
  <c r="AZ578" i="1"/>
  <c r="AX578" i="1"/>
  <c r="DC577" i="1"/>
  <c r="DA577" i="1"/>
  <c r="CY577" i="1"/>
  <c r="Y577" i="1" s="1"/>
  <c r="CW577" i="1"/>
  <c r="AA577" i="1" s="1"/>
  <c r="CR577" i="1"/>
  <c r="CP577" i="1"/>
  <c r="CN577" i="1"/>
  <c r="CJ577" i="1"/>
  <c r="CH577" i="1"/>
  <c r="CF577" i="1"/>
  <c r="BL577" i="1"/>
  <c r="BD577" i="1"/>
  <c r="AZ577" i="1"/>
  <c r="AX577" i="1"/>
  <c r="DC575" i="1"/>
  <c r="DA575" i="1"/>
  <c r="CY575" i="1"/>
  <c r="Y575" i="1" s="1"/>
  <c r="CW575" i="1"/>
  <c r="AA575" i="1" s="1"/>
  <c r="CR575" i="1"/>
  <c r="CP575" i="1"/>
  <c r="CN575" i="1"/>
  <c r="CJ575" i="1"/>
  <c r="CH575" i="1"/>
  <c r="CF575" i="1"/>
  <c r="BL575" i="1"/>
  <c r="BD575" i="1"/>
  <c r="AZ575" i="1"/>
  <c r="AX575" i="1"/>
  <c r="DC576" i="1"/>
  <c r="DA576" i="1"/>
  <c r="CY576" i="1"/>
  <c r="Y576" i="1" s="1"/>
  <c r="CW576" i="1"/>
  <c r="AA576" i="1" s="1"/>
  <c r="CR576" i="1"/>
  <c r="CP576" i="1"/>
  <c r="CN576" i="1"/>
  <c r="CJ576" i="1"/>
  <c r="CH576" i="1"/>
  <c r="CF576" i="1"/>
  <c r="BL576" i="1"/>
  <c r="BD576" i="1"/>
  <c r="AZ576" i="1"/>
  <c r="AX576" i="1"/>
  <c r="DC580" i="1"/>
  <c r="DA580" i="1"/>
  <c r="CY580" i="1"/>
  <c r="Y580" i="1" s="1"/>
  <c r="CW580" i="1"/>
  <c r="AA580" i="1" s="1"/>
  <c r="CR580" i="1"/>
  <c r="CP580" i="1"/>
  <c r="CN580" i="1"/>
  <c r="CJ580" i="1"/>
  <c r="CH580" i="1"/>
  <c r="CF580" i="1"/>
  <c r="BL580" i="1"/>
  <c r="BD580" i="1"/>
  <c r="AZ580" i="1"/>
  <c r="AX580" i="1"/>
  <c r="DC581" i="1"/>
  <c r="DA581" i="1"/>
  <c r="CY581" i="1"/>
  <c r="Y581" i="1" s="1"/>
  <c r="CW581" i="1"/>
  <c r="AA581" i="1" s="1"/>
  <c r="CR581" i="1"/>
  <c r="CP581" i="1"/>
  <c r="CN581" i="1"/>
  <c r="CJ581" i="1"/>
  <c r="CH581" i="1"/>
  <c r="CF581" i="1"/>
  <c r="BL581" i="1"/>
  <c r="BD581" i="1"/>
  <c r="AZ581" i="1"/>
  <c r="AX581" i="1"/>
  <c r="Z657" i="1" l="1"/>
  <c r="Z639" i="1"/>
  <c r="Z652" i="1"/>
  <c r="Z653" i="1"/>
  <c r="Z577" i="1"/>
  <c r="Z579" i="1"/>
  <c r="CU654" i="1"/>
  <c r="X654" i="1" s="1"/>
  <c r="Z654" i="1"/>
  <c r="CU647" i="1"/>
  <c r="X647" i="1" s="1"/>
  <c r="Z647" i="1"/>
  <c r="Z638" i="1"/>
  <c r="Z656" i="1"/>
  <c r="CU579" i="1"/>
  <c r="X579" i="1" s="1"/>
  <c r="Z578" i="1"/>
  <c r="Z581" i="1"/>
  <c r="Z575" i="1"/>
  <c r="CU576" i="1"/>
  <c r="X576" i="1" s="1"/>
  <c r="Z576" i="1"/>
  <c r="Z580" i="1"/>
  <c r="CU577" i="1"/>
  <c r="X577" i="1" s="1"/>
  <c r="CU575" i="1"/>
  <c r="X575" i="1" s="1"/>
  <c r="CU657" i="1"/>
  <c r="X657" i="1" s="1"/>
  <c r="CU653" i="1"/>
  <c r="X653" i="1" s="1"/>
  <c r="CU581" i="1"/>
  <c r="X581" i="1" s="1"/>
  <c r="CU652" i="1"/>
  <c r="X652" i="1" s="1"/>
  <c r="CU639" i="1"/>
  <c r="X639" i="1" s="1"/>
  <c r="CU580" i="1"/>
  <c r="X580" i="1" s="1"/>
  <c r="CU578" i="1"/>
  <c r="X578" i="1" s="1"/>
  <c r="CU638" i="1"/>
  <c r="X638" i="1" s="1"/>
  <c r="CU656" i="1"/>
  <c r="X656" i="1" s="1"/>
  <c r="AD657" i="1" l="1"/>
  <c r="AD577" i="1"/>
  <c r="AD579" i="1"/>
  <c r="AD653" i="1"/>
  <c r="AD639" i="1"/>
  <c r="AD647" i="1"/>
  <c r="AD638" i="1"/>
  <c r="AD652" i="1"/>
  <c r="AD654" i="1"/>
  <c r="AD580" i="1"/>
  <c r="AD581" i="1"/>
  <c r="AD578" i="1"/>
  <c r="AD656" i="1"/>
  <c r="AD576" i="1"/>
  <c r="AD575" i="1"/>
  <c r="DC563" i="1"/>
  <c r="DA563" i="1"/>
  <c r="CY563" i="1"/>
  <c r="Y563" i="1" s="1"/>
  <c r="CW563" i="1"/>
  <c r="AA563" i="1" s="1"/>
  <c r="CR563" i="1"/>
  <c r="CP563" i="1"/>
  <c r="CN563" i="1"/>
  <c r="CJ563" i="1"/>
  <c r="CH563" i="1"/>
  <c r="CF563" i="1"/>
  <c r="BL563" i="1"/>
  <c r="BD563" i="1"/>
  <c r="AZ563" i="1"/>
  <c r="AX563" i="1"/>
  <c r="DC565" i="1"/>
  <c r="DA565" i="1"/>
  <c r="CY565" i="1"/>
  <c r="Y565" i="1" s="1"/>
  <c r="CW565" i="1"/>
  <c r="AA565" i="1" s="1"/>
  <c r="CR565" i="1"/>
  <c r="CP565" i="1"/>
  <c r="CN565" i="1"/>
  <c r="CJ565" i="1"/>
  <c r="CH565" i="1"/>
  <c r="CF565" i="1"/>
  <c r="BL565" i="1"/>
  <c r="BD565" i="1"/>
  <c r="AZ565" i="1"/>
  <c r="AX565" i="1"/>
  <c r="DC564" i="1"/>
  <c r="DA564" i="1"/>
  <c r="CY564" i="1"/>
  <c r="Y564" i="1" s="1"/>
  <c r="CW564" i="1"/>
  <c r="AA564" i="1" s="1"/>
  <c r="CR564" i="1"/>
  <c r="CP564" i="1"/>
  <c r="CN564" i="1"/>
  <c r="CJ564" i="1"/>
  <c r="CH564" i="1"/>
  <c r="CF564" i="1"/>
  <c r="BL564" i="1"/>
  <c r="BD564" i="1"/>
  <c r="AZ564" i="1"/>
  <c r="AX564" i="1"/>
  <c r="DC558" i="1"/>
  <c r="DA558" i="1"/>
  <c r="CY558" i="1"/>
  <c r="Y558" i="1" s="1"/>
  <c r="CW558" i="1"/>
  <c r="AA558" i="1" s="1"/>
  <c r="CR558" i="1"/>
  <c r="CP558" i="1"/>
  <c r="CN558" i="1"/>
  <c r="CJ558" i="1"/>
  <c r="CH558" i="1"/>
  <c r="CF558" i="1"/>
  <c r="BL558" i="1"/>
  <c r="BD558" i="1"/>
  <c r="AZ558" i="1"/>
  <c r="AX558" i="1"/>
  <c r="DC568" i="1"/>
  <c r="DA568" i="1"/>
  <c r="CY568" i="1"/>
  <c r="Y568" i="1" s="1"/>
  <c r="CW568" i="1"/>
  <c r="AA568" i="1" s="1"/>
  <c r="CR568" i="1"/>
  <c r="CP568" i="1"/>
  <c r="CN568" i="1"/>
  <c r="CJ568" i="1"/>
  <c r="CH568" i="1"/>
  <c r="CF568" i="1"/>
  <c r="BL568" i="1"/>
  <c r="BD568" i="1"/>
  <c r="AZ568" i="1"/>
  <c r="AX568" i="1"/>
  <c r="DC569" i="1"/>
  <c r="DA569" i="1"/>
  <c r="CY569" i="1"/>
  <c r="Y569" i="1" s="1"/>
  <c r="CW569" i="1"/>
  <c r="AA569" i="1" s="1"/>
  <c r="CR569" i="1"/>
  <c r="CP569" i="1"/>
  <c r="CN569" i="1"/>
  <c r="CJ569" i="1"/>
  <c r="CH569" i="1"/>
  <c r="CF569" i="1"/>
  <c r="BL569" i="1"/>
  <c r="BD569" i="1"/>
  <c r="AZ569" i="1"/>
  <c r="AX569" i="1"/>
  <c r="DC572" i="1"/>
  <c r="DA572" i="1"/>
  <c r="CY572" i="1"/>
  <c r="Y572" i="1" s="1"/>
  <c r="CW572" i="1"/>
  <c r="AA572" i="1" s="1"/>
  <c r="CR572" i="1"/>
  <c r="CP572" i="1"/>
  <c r="CN572" i="1"/>
  <c r="CJ572" i="1"/>
  <c r="CH572" i="1"/>
  <c r="CF572" i="1"/>
  <c r="BL572" i="1"/>
  <c r="BD572" i="1"/>
  <c r="AZ572" i="1"/>
  <c r="AX572" i="1"/>
  <c r="DC557" i="1"/>
  <c r="DA557" i="1"/>
  <c r="CY557" i="1"/>
  <c r="Y557" i="1" s="1"/>
  <c r="CW557" i="1"/>
  <c r="AA557" i="1" s="1"/>
  <c r="CR557" i="1"/>
  <c r="CP557" i="1"/>
  <c r="CN557" i="1"/>
  <c r="CJ557" i="1"/>
  <c r="CH557" i="1"/>
  <c r="CF557" i="1"/>
  <c r="BL557" i="1"/>
  <c r="BD557" i="1"/>
  <c r="AZ557" i="1"/>
  <c r="AX557" i="1"/>
  <c r="DC556" i="1"/>
  <c r="DA556" i="1"/>
  <c r="CY556" i="1"/>
  <c r="Y556" i="1" s="1"/>
  <c r="CW556" i="1"/>
  <c r="AA556" i="1" s="1"/>
  <c r="CR556" i="1"/>
  <c r="CP556" i="1"/>
  <c r="CN556" i="1"/>
  <c r="CJ556" i="1"/>
  <c r="CH556" i="1"/>
  <c r="CF556" i="1"/>
  <c r="BL556" i="1"/>
  <c r="BD556" i="1"/>
  <c r="AZ556" i="1"/>
  <c r="AX556" i="1"/>
  <c r="DC571" i="1"/>
  <c r="DA571" i="1"/>
  <c r="CY571" i="1"/>
  <c r="Y571" i="1" s="1"/>
  <c r="CW571" i="1"/>
  <c r="AA571" i="1" s="1"/>
  <c r="CR571" i="1"/>
  <c r="CP571" i="1"/>
  <c r="CN571" i="1"/>
  <c r="CJ571" i="1"/>
  <c r="CH571" i="1"/>
  <c r="CF571" i="1"/>
  <c r="BL571" i="1"/>
  <c r="BD571" i="1"/>
  <c r="AZ571" i="1"/>
  <c r="AX571" i="1"/>
  <c r="DC567" i="1"/>
  <c r="DA567" i="1"/>
  <c r="CY567" i="1"/>
  <c r="Y567" i="1" s="1"/>
  <c r="CW567" i="1"/>
  <c r="AA567" i="1" s="1"/>
  <c r="CR567" i="1"/>
  <c r="CP567" i="1"/>
  <c r="CN567" i="1"/>
  <c r="CJ567" i="1"/>
  <c r="CH567" i="1"/>
  <c r="CF567" i="1"/>
  <c r="BL567" i="1"/>
  <c r="BD567" i="1"/>
  <c r="AZ567" i="1"/>
  <c r="AX567" i="1"/>
  <c r="DC562" i="1"/>
  <c r="DA562" i="1"/>
  <c r="CY562" i="1"/>
  <c r="Y562" i="1" s="1"/>
  <c r="CW562" i="1"/>
  <c r="AA562" i="1" s="1"/>
  <c r="CR562" i="1"/>
  <c r="CP562" i="1"/>
  <c r="CN562" i="1"/>
  <c r="CJ562" i="1"/>
  <c r="CH562" i="1"/>
  <c r="CF562" i="1"/>
  <c r="BL562" i="1"/>
  <c r="BD562" i="1"/>
  <c r="AZ562" i="1"/>
  <c r="AX562" i="1"/>
  <c r="DC566" i="1"/>
  <c r="DA566" i="1"/>
  <c r="CY566" i="1"/>
  <c r="Y566" i="1" s="1"/>
  <c r="CW566" i="1"/>
  <c r="AA566" i="1" s="1"/>
  <c r="CR566" i="1"/>
  <c r="CP566" i="1"/>
  <c r="CN566" i="1"/>
  <c r="CJ566" i="1"/>
  <c r="CH566" i="1"/>
  <c r="CF566" i="1"/>
  <c r="BL566" i="1"/>
  <c r="BD566" i="1"/>
  <c r="AZ566" i="1"/>
  <c r="AX566" i="1"/>
  <c r="DC542" i="1"/>
  <c r="DA542" i="1"/>
  <c r="CY542" i="1"/>
  <c r="Y542" i="1" s="1"/>
  <c r="CW542" i="1"/>
  <c r="AA542" i="1" s="1"/>
  <c r="CR542" i="1"/>
  <c r="CP542" i="1"/>
  <c r="CN542" i="1"/>
  <c r="CJ542" i="1"/>
  <c r="CH542" i="1"/>
  <c r="CF542" i="1"/>
  <c r="BL542" i="1"/>
  <c r="BD542" i="1"/>
  <c r="AZ542" i="1"/>
  <c r="AX542" i="1"/>
  <c r="DC545" i="1"/>
  <c r="DA545" i="1"/>
  <c r="CY545" i="1"/>
  <c r="Y545" i="1" s="1"/>
  <c r="CW545" i="1"/>
  <c r="AA545" i="1" s="1"/>
  <c r="CR545" i="1"/>
  <c r="CP545" i="1"/>
  <c r="CN545" i="1"/>
  <c r="CJ545" i="1"/>
  <c r="CH545" i="1"/>
  <c r="CF545" i="1"/>
  <c r="BL545" i="1"/>
  <c r="BD545" i="1"/>
  <c r="AZ545" i="1"/>
  <c r="AX545" i="1"/>
  <c r="DC549" i="1"/>
  <c r="DA549" i="1"/>
  <c r="CY549" i="1"/>
  <c r="Y549" i="1" s="1"/>
  <c r="CW549" i="1"/>
  <c r="AA549" i="1" s="1"/>
  <c r="CR549" i="1"/>
  <c r="CP549" i="1"/>
  <c r="CN549" i="1"/>
  <c r="CJ549" i="1"/>
  <c r="CH549" i="1"/>
  <c r="CF549" i="1"/>
  <c r="BL549" i="1"/>
  <c r="BD549" i="1"/>
  <c r="AZ549" i="1"/>
  <c r="AX549" i="1"/>
  <c r="DC551" i="1"/>
  <c r="DA551" i="1"/>
  <c r="CY551" i="1"/>
  <c r="Y551" i="1" s="1"/>
  <c r="CW551" i="1"/>
  <c r="AA551" i="1" s="1"/>
  <c r="CR551" i="1"/>
  <c r="CP551" i="1"/>
  <c r="CN551" i="1"/>
  <c r="CJ551" i="1"/>
  <c r="CH551" i="1"/>
  <c r="CF551" i="1"/>
  <c r="BL551" i="1"/>
  <c r="BD551" i="1"/>
  <c r="AZ551" i="1"/>
  <c r="AX551" i="1"/>
  <c r="DC541" i="1"/>
  <c r="DA541" i="1"/>
  <c r="CY541" i="1"/>
  <c r="Y541" i="1" s="1"/>
  <c r="CW541" i="1"/>
  <c r="AA541" i="1" s="1"/>
  <c r="CR541" i="1"/>
  <c r="CP541" i="1"/>
  <c r="CN541" i="1"/>
  <c r="CJ541" i="1"/>
  <c r="CH541" i="1"/>
  <c r="CF541" i="1"/>
  <c r="BL541" i="1"/>
  <c r="BD541" i="1"/>
  <c r="AZ541" i="1"/>
  <c r="AX541" i="1"/>
  <c r="DC552" i="1"/>
  <c r="DA552" i="1"/>
  <c r="CY552" i="1"/>
  <c r="Y552" i="1" s="1"/>
  <c r="CW552" i="1"/>
  <c r="AA552" i="1" s="1"/>
  <c r="CR552" i="1"/>
  <c r="CP552" i="1"/>
  <c r="CN552" i="1"/>
  <c r="CJ552" i="1"/>
  <c r="CH552" i="1"/>
  <c r="CF552" i="1"/>
  <c r="BL552" i="1"/>
  <c r="BD552" i="1"/>
  <c r="AZ552" i="1"/>
  <c r="AX552" i="1"/>
  <c r="DC554" i="1"/>
  <c r="DA554" i="1"/>
  <c r="CY554" i="1"/>
  <c r="Y554" i="1" s="1"/>
  <c r="CW554" i="1"/>
  <c r="AA554" i="1" s="1"/>
  <c r="CR554" i="1"/>
  <c r="CP554" i="1"/>
  <c r="CN554" i="1"/>
  <c r="CJ554" i="1"/>
  <c r="CH554" i="1"/>
  <c r="CF554" i="1"/>
  <c r="BL554" i="1"/>
  <c r="BD554" i="1"/>
  <c r="AZ554" i="1"/>
  <c r="AX554" i="1"/>
  <c r="DA553" i="1"/>
  <c r="Y553" i="1"/>
  <c r="CW553" i="1"/>
  <c r="AA553" i="1" s="1"/>
  <c r="CR553" i="1"/>
  <c r="CN553" i="1"/>
  <c r="CJ553" i="1"/>
  <c r="CH553" i="1"/>
  <c r="CF553" i="1"/>
  <c r="BL553" i="1"/>
  <c r="BD553" i="1"/>
  <c r="AX553" i="1"/>
  <c r="DC555" i="1"/>
  <c r="DA555" i="1"/>
  <c r="CY555" i="1"/>
  <c r="Y555" i="1" s="1"/>
  <c r="CW555" i="1"/>
  <c r="AA555" i="1" s="1"/>
  <c r="CR555" i="1"/>
  <c r="CP555" i="1"/>
  <c r="CN555" i="1"/>
  <c r="CJ555" i="1"/>
  <c r="CH555" i="1"/>
  <c r="CF555" i="1"/>
  <c r="BL555" i="1"/>
  <c r="BD555" i="1"/>
  <c r="AZ555" i="1"/>
  <c r="AX555" i="1"/>
  <c r="DC534" i="1"/>
  <c r="DA534" i="1"/>
  <c r="CY534" i="1"/>
  <c r="Y534" i="1" s="1"/>
  <c r="CW534" i="1"/>
  <c r="AA534" i="1" s="1"/>
  <c r="CR534" i="1"/>
  <c r="CP534" i="1"/>
  <c r="CN534" i="1"/>
  <c r="CJ534" i="1"/>
  <c r="CH534" i="1"/>
  <c r="CF534" i="1"/>
  <c r="BL534" i="1"/>
  <c r="BD534" i="1"/>
  <c r="AZ534" i="1"/>
  <c r="AX534" i="1"/>
  <c r="DC537" i="1"/>
  <c r="DA537" i="1"/>
  <c r="CY537" i="1"/>
  <c r="Y537" i="1" s="1"/>
  <c r="CW537" i="1"/>
  <c r="AA537" i="1" s="1"/>
  <c r="CR537" i="1"/>
  <c r="CP537" i="1"/>
  <c r="CN537" i="1"/>
  <c r="CJ537" i="1"/>
  <c r="CH537" i="1"/>
  <c r="CF537" i="1"/>
  <c r="BL537" i="1"/>
  <c r="BD537" i="1"/>
  <c r="AZ537" i="1"/>
  <c r="AX537" i="1"/>
  <c r="DC540" i="1"/>
  <c r="DA540" i="1"/>
  <c r="CY540" i="1"/>
  <c r="Y540" i="1" s="1"/>
  <c r="CW540" i="1"/>
  <c r="AA540" i="1" s="1"/>
  <c r="CR540" i="1"/>
  <c r="CP540" i="1"/>
  <c r="CN540" i="1"/>
  <c r="CJ540" i="1"/>
  <c r="CH540" i="1"/>
  <c r="CF540" i="1"/>
  <c r="BL540" i="1"/>
  <c r="BD540" i="1"/>
  <c r="AZ540" i="1"/>
  <c r="AX540" i="1"/>
  <c r="DC539" i="1"/>
  <c r="DA539" i="1"/>
  <c r="CY539" i="1"/>
  <c r="Y539" i="1" s="1"/>
  <c r="CW539" i="1"/>
  <c r="AA539" i="1" s="1"/>
  <c r="CR539" i="1"/>
  <c r="CP539" i="1"/>
  <c r="CN539" i="1"/>
  <c r="CJ539" i="1"/>
  <c r="CH539" i="1"/>
  <c r="CF539" i="1"/>
  <c r="BL539" i="1"/>
  <c r="BD539" i="1"/>
  <c r="AZ539" i="1"/>
  <c r="AX539" i="1"/>
  <c r="DC538" i="1"/>
  <c r="DA538" i="1"/>
  <c r="CY538" i="1"/>
  <c r="Y538" i="1" s="1"/>
  <c r="CW538" i="1"/>
  <c r="AA538" i="1" s="1"/>
  <c r="CR538" i="1"/>
  <c r="CP538" i="1"/>
  <c r="CN538" i="1"/>
  <c r="CJ538" i="1"/>
  <c r="CH538" i="1"/>
  <c r="CF538" i="1"/>
  <c r="BL538" i="1"/>
  <c r="BD538" i="1"/>
  <c r="AZ538" i="1"/>
  <c r="AX538" i="1"/>
  <c r="Z551" i="1" l="1"/>
  <c r="Z553" i="1"/>
  <c r="Z539" i="1"/>
  <c r="Z534" i="1"/>
  <c r="CU556" i="1"/>
  <c r="X556" i="1" s="1"/>
  <c r="Z556" i="1"/>
  <c r="Z572" i="1"/>
  <c r="CU569" i="1"/>
  <c r="X569" i="1" s="1"/>
  <c r="Z558" i="1"/>
  <c r="CU564" i="1"/>
  <c r="X564" i="1" s="1"/>
  <c r="CU565" i="1"/>
  <c r="X565" i="1" s="1"/>
  <c r="Z565" i="1"/>
  <c r="Z569" i="1"/>
  <c r="Z564" i="1"/>
  <c r="Z555" i="1"/>
  <c r="Z541" i="1"/>
  <c r="Z545" i="1"/>
  <c r="Z562" i="1"/>
  <c r="CU571" i="1"/>
  <c r="X571" i="1" s="1"/>
  <c r="CU539" i="1"/>
  <c r="X539" i="1" s="1"/>
  <c r="CU534" i="1"/>
  <c r="X534" i="1" s="1"/>
  <c r="CU553" i="1"/>
  <c r="X553" i="1" s="1"/>
  <c r="CU551" i="1"/>
  <c r="X551" i="1" s="1"/>
  <c r="CU542" i="1"/>
  <c r="X542" i="1" s="1"/>
  <c r="Z567" i="1"/>
  <c r="Z538" i="1"/>
  <c r="Z537" i="1"/>
  <c r="Z552" i="1"/>
  <c r="Z549" i="1"/>
  <c r="CU567" i="1"/>
  <c r="X567" i="1" s="1"/>
  <c r="CU572" i="1"/>
  <c r="X572" i="1" s="1"/>
  <c r="CU558" i="1"/>
  <c r="X558" i="1" s="1"/>
  <c r="CU538" i="1"/>
  <c r="X538" i="1" s="1"/>
  <c r="Z540" i="1"/>
  <c r="CU537" i="1"/>
  <c r="X537" i="1" s="1"/>
  <c r="CU555" i="1"/>
  <c r="X555" i="1" s="1"/>
  <c r="Z554" i="1"/>
  <c r="CU552" i="1"/>
  <c r="X552" i="1" s="1"/>
  <c r="CU541" i="1"/>
  <c r="X541" i="1" s="1"/>
  <c r="CU549" i="1"/>
  <c r="X549" i="1" s="1"/>
  <c r="CU545" i="1"/>
  <c r="X545" i="1" s="1"/>
  <c r="Z542" i="1"/>
  <c r="Z566" i="1"/>
  <c r="CU557" i="1"/>
  <c r="X557" i="1" s="1"/>
  <c r="Z557" i="1"/>
  <c r="CU568" i="1"/>
  <c r="X568" i="1" s="1"/>
  <c r="Z568" i="1"/>
  <c r="CU563" i="1"/>
  <c r="X563" i="1" s="1"/>
  <c r="Z563" i="1"/>
  <c r="CU540" i="1"/>
  <c r="X540" i="1" s="1"/>
  <c r="CU554" i="1"/>
  <c r="X554" i="1" s="1"/>
  <c r="CU566" i="1"/>
  <c r="X566" i="1" s="1"/>
  <c r="CU562" i="1"/>
  <c r="X562" i="1" s="1"/>
  <c r="Z571" i="1"/>
  <c r="DA524" i="1"/>
  <c r="DA519" i="1"/>
  <c r="DA526" i="1"/>
  <c r="DA525" i="1"/>
  <c r="DA527" i="1"/>
  <c r="DA531" i="1"/>
  <c r="DA517" i="1"/>
  <c r="DA532" i="1"/>
  <c r="DA528" i="1"/>
  <c r="DA516" i="1"/>
  <c r="DA533" i="1"/>
  <c r="DA518" i="1"/>
  <c r="DA523" i="1"/>
  <c r="DA530" i="1"/>
  <c r="DA529" i="1"/>
  <c r="DA514" i="1"/>
  <c r="DA511" i="1"/>
  <c r="DA430" i="1"/>
  <c r="DA249" i="1"/>
  <c r="DA145" i="1"/>
  <c r="DA509" i="1"/>
  <c r="DA512" i="1"/>
  <c r="DA504" i="1"/>
  <c r="DA510" i="1"/>
  <c r="DA499" i="1"/>
  <c r="DA498" i="1"/>
  <c r="DA470" i="1"/>
  <c r="DA471" i="1"/>
  <c r="DA515" i="1"/>
  <c r="DA508" i="1"/>
  <c r="DA507" i="1"/>
  <c r="DA506" i="1"/>
  <c r="DA505" i="1"/>
  <c r="DA501" i="1"/>
  <c r="DA497" i="1"/>
  <c r="DA405" i="1"/>
  <c r="DA231" i="1"/>
  <c r="DA161" i="1"/>
  <c r="DA312" i="1"/>
  <c r="DA230" i="1"/>
  <c r="DA391" i="1"/>
  <c r="DA27" i="1"/>
  <c r="DA77" i="1"/>
  <c r="DA26" i="1"/>
  <c r="DA336" i="1"/>
  <c r="DA111" i="1"/>
  <c r="DA4" i="1"/>
  <c r="DA335" i="1"/>
  <c r="DA334" i="1"/>
  <c r="DA88" i="1"/>
  <c r="DA47" i="1"/>
  <c r="DA333" i="1"/>
  <c r="DA332" i="1"/>
  <c r="DA203" i="1"/>
  <c r="DA128" i="1"/>
  <c r="DA19" i="1"/>
  <c r="DA18" i="1"/>
  <c r="DA331" i="1"/>
  <c r="DA229" i="1"/>
  <c r="DA311" i="1"/>
  <c r="DA68" i="1"/>
  <c r="DA46" i="1"/>
  <c r="DA160" i="1"/>
  <c r="DA183" i="1"/>
  <c r="DA366" i="1"/>
  <c r="DA390" i="1"/>
  <c r="DA127" i="1"/>
  <c r="DA228" i="1"/>
  <c r="DA110" i="1"/>
  <c r="DA227" i="1"/>
  <c r="DA330" i="1"/>
  <c r="DA182" i="1"/>
  <c r="DA389" i="1"/>
  <c r="DA76" i="1"/>
  <c r="DA329" i="1"/>
  <c r="DA247" i="1"/>
  <c r="DA181" i="1"/>
  <c r="DA388" i="1"/>
  <c r="DA496" i="1"/>
  <c r="DA456" i="1"/>
  <c r="DA180" i="1"/>
  <c r="DA45" i="1"/>
  <c r="DA17" i="1"/>
  <c r="DA307" i="1"/>
  <c r="DA75" i="1"/>
  <c r="DA495" i="1"/>
  <c r="DA429" i="1"/>
  <c r="DA387" i="1"/>
  <c r="DA179" i="1"/>
  <c r="DA44" i="1"/>
  <c r="DA356" i="1"/>
  <c r="DA246" i="1"/>
  <c r="DA109" i="1"/>
  <c r="DA494" i="1"/>
  <c r="DA281" i="1"/>
  <c r="DA355" i="1"/>
  <c r="DA306" i="1"/>
  <c r="DA245" i="1"/>
  <c r="DA202" i="1"/>
  <c r="DA108" i="1"/>
  <c r="DA328" i="1"/>
  <c r="DA87" i="1"/>
  <c r="DA428" i="1"/>
  <c r="DA493" i="1"/>
  <c r="DA305" i="1"/>
  <c r="DA244" i="1"/>
  <c r="DA140" i="1"/>
  <c r="DA67" i="1"/>
  <c r="DA178" i="1"/>
  <c r="DA386" i="1"/>
  <c r="DA327" i="1"/>
  <c r="DA243" i="1"/>
  <c r="DA16" i="1"/>
  <c r="DA201" i="1"/>
  <c r="DA159" i="1"/>
  <c r="DA177" i="1"/>
  <c r="DA176" i="1"/>
  <c r="DA43" i="1"/>
  <c r="DA175" i="1"/>
  <c r="DA74" i="1"/>
  <c r="DA174" i="1"/>
  <c r="DA492" i="1"/>
  <c r="DA385" i="1"/>
  <c r="DA354" i="1"/>
  <c r="DA304" i="1"/>
  <c r="DA226" i="1"/>
  <c r="DA66" i="1"/>
  <c r="DA65" i="1"/>
  <c r="DA15" i="1"/>
  <c r="DA3" i="1"/>
  <c r="DA326" i="1"/>
  <c r="DA303" i="1"/>
  <c r="DA298" i="1"/>
  <c r="DA14" i="1"/>
  <c r="DA384" i="1"/>
  <c r="DA325" i="1"/>
  <c r="DA324" i="1"/>
  <c r="DA491" i="1"/>
  <c r="DA490" i="1"/>
  <c r="DA489" i="1"/>
  <c r="DA488" i="1"/>
  <c r="DA383" i="1"/>
  <c r="DA242" i="1"/>
  <c r="DA280" i="1"/>
  <c r="DA158" i="1"/>
  <c r="DA297" i="1"/>
  <c r="DA126" i="1"/>
  <c r="DA310" i="1"/>
  <c r="DA125" i="1"/>
  <c r="DA225" i="1"/>
  <c r="DA64" i="1"/>
  <c r="DA224" i="1"/>
  <c r="DA223" i="1"/>
  <c r="DA107" i="1"/>
  <c r="DA173" i="1"/>
  <c r="DA25" i="1"/>
  <c r="DA222" i="1"/>
  <c r="DA172" i="1"/>
  <c r="DA24" i="1"/>
  <c r="DA221" i="1"/>
  <c r="DA106" i="1"/>
  <c r="DA279" i="1"/>
  <c r="DA86" i="1"/>
  <c r="DA13" i="1"/>
  <c r="DA365" i="1"/>
  <c r="DA278" i="1"/>
  <c r="DA105" i="1"/>
  <c r="DA219" i="1"/>
  <c r="DA104" i="1"/>
  <c r="DA353" i="1"/>
  <c r="DA302" i="1"/>
  <c r="DA85" i="1"/>
  <c r="DA404" i="1"/>
  <c r="DA241" i="1"/>
  <c r="DA23" i="1"/>
  <c r="DA171" i="1"/>
  <c r="DA296" i="1"/>
  <c r="DA295" i="1"/>
  <c r="DA73" i="1"/>
  <c r="DA72" i="1"/>
  <c r="DA277" i="1"/>
  <c r="DA382" i="1"/>
  <c r="DA240" i="1"/>
  <c r="DA550" i="1"/>
  <c r="DA323" i="1"/>
  <c r="DA322" i="1"/>
  <c r="DA239" i="1"/>
  <c r="DA294" i="1"/>
  <c r="DA467" i="1"/>
  <c r="DA454" i="1"/>
  <c r="DA352" i="1"/>
  <c r="DA218" i="1"/>
  <c r="DA157" i="1"/>
  <c r="DA42" i="1"/>
  <c r="DA364" i="1"/>
  <c r="DA363" i="1"/>
  <c r="DA63" i="1"/>
  <c r="DA453" i="1"/>
  <c r="DA309" i="1"/>
  <c r="DA276" i="1"/>
  <c r="DA139" i="1"/>
  <c r="DA452" i="1"/>
  <c r="DA255" i="1"/>
  <c r="DA466" i="1"/>
  <c r="DA124" i="1"/>
  <c r="DA62" i="1"/>
  <c r="DA351" i="1"/>
  <c r="DA381" i="1"/>
  <c r="DA373" i="1"/>
  <c r="DA362" i="1"/>
  <c r="DA293" i="1"/>
  <c r="DA487" i="1"/>
  <c r="DA486" i="1"/>
  <c r="DA485" i="1"/>
  <c r="DA238" i="1"/>
  <c r="DA237" i="1"/>
  <c r="DA170" i="1"/>
  <c r="DA138" i="1"/>
  <c r="DA484" i="1"/>
  <c r="DA451" i="1"/>
  <c r="DA350" i="1"/>
  <c r="DA169" i="1"/>
  <c r="DA137" i="1"/>
  <c r="DA483" i="1"/>
  <c r="DA156" i="1"/>
  <c r="DA254" i="1"/>
  <c r="DA403" i="1"/>
  <c r="DA402" i="1"/>
  <c r="DA401" i="1"/>
  <c r="DA253" i="1"/>
  <c r="DA155" i="1"/>
  <c r="DA154" i="1"/>
  <c r="DA380" i="1"/>
  <c r="DA321" i="1"/>
  <c r="DA41" i="1"/>
  <c r="DA136" i="1"/>
  <c r="DA135" i="1"/>
  <c r="DA482" i="1"/>
  <c r="DA349" i="1"/>
  <c r="DA236" i="1"/>
  <c r="DA481" i="1"/>
  <c r="DA400" i="1"/>
  <c r="DA399" i="1"/>
  <c r="DA480" i="1"/>
  <c r="DA134" i="1"/>
  <c r="DA479" i="1"/>
  <c r="DA200" i="1"/>
  <c r="DA133" i="1"/>
  <c r="DA379" i="1"/>
  <c r="DA275" i="1"/>
  <c r="DA372" i="1"/>
  <c r="DA427" i="1"/>
  <c r="DA346" i="1"/>
  <c r="DA274" i="1"/>
  <c r="DA123" i="1"/>
  <c r="DA426" i="1"/>
  <c r="DA378" i="1"/>
  <c r="DA122" i="1"/>
  <c r="DA103" i="1"/>
  <c r="DA61" i="1"/>
  <c r="DA40" i="1"/>
  <c r="DA217" i="1"/>
  <c r="DA153" i="1"/>
  <c r="DA478" i="1"/>
  <c r="DA477" i="1"/>
  <c r="DA152" i="1"/>
  <c r="DA12" i="1"/>
  <c r="DA424" i="1"/>
  <c r="DA398" i="1"/>
  <c r="DA465" i="1"/>
  <c r="DA320" i="1"/>
  <c r="DA476" i="1"/>
  <c r="DA216" i="1"/>
  <c r="DA151" i="1"/>
  <c r="DA450" i="1"/>
  <c r="DA11" i="1"/>
  <c r="DA10" i="1"/>
  <c r="DA475" i="1"/>
  <c r="DA464" i="1"/>
  <c r="DA449" i="1"/>
  <c r="DA423" i="1"/>
  <c r="DA422" i="1"/>
  <c r="DA215" i="1"/>
  <c r="DA214" i="1"/>
  <c r="DA213" i="1"/>
  <c r="DA150" i="1"/>
  <c r="DA149" i="1"/>
  <c r="DA84" i="1"/>
  <c r="DA421" i="1"/>
  <c r="DA463" i="1"/>
  <c r="DA39" i="1"/>
  <c r="DA462" i="1"/>
  <c r="DA9" i="1"/>
  <c r="DA448" i="1"/>
  <c r="DA301" i="1"/>
  <c r="DA60" i="1"/>
  <c r="DA38" i="1"/>
  <c r="DA420" i="1"/>
  <c r="DA371" i="1"/>
  <c r="DA370" i="1"/>
  <c r="DA345" i="1"/>
  <c r="DA212" i="1"/>
  <c r="DA361" i="1"/>
  <c r="DA447" i="1"/>
  <c r="DA446" i="1"/>
  <c r="DA445" i="1"/>
  <c r="DA444" i="1"/>
  <c r="DA148" i="1"/>
  <c r="DA147" i="1"/>
  <c r="DA443" i="1"/>
  <c r="DA22" i="1"/>
  <c r="DA442" i="1"/>
  <c r="DA419" i="1"/>
  <c r="DA418" i="1"/>
  <c r="DA344" i="1"/>
  <c r="DA319" i="1"/>
  <c r="DA211" i="1"/>
  <c r="DA37" i="1"/>
  <c r="DA441" i="1"/>
  <c r="DA440" i="1"/>
  <c r="DA439" i="1"/>
  <c r="DA461" i="1"/>
  <c r="DA343" i="1"/>
  <c r="DA102" i="1"/>
  <c r="DA59" i="1"/>
  <c r="DA36" i="1"/>
  <c r="DA292" i="1"/>
  <c r="DA348" i="1"/>
  <c r="DA210" i="1"/>
  <c r="DA146" i="1"/>
  <c r="DA101" i="1"/>
  <c r="DA209" i="1"/>
  <c r="DA199" i="1"/>
  <c r="DA438" i="1"/>
  <c r="DA318" i="1"/>
  <c r="DA58" i="1"/>
  <c r="DA35" i="1"/>
  <c r="DA273" i="1"/>
  <c r="DA272" i="1"/>
  <c r="DA437" i="1"/>
  <c r="DA100" i="1"/>
  <c r="DA291" i="1"/>
  <c r="DA271" i="1"/>
  <c r="DA208" i="1"/>
  <c r="DA8" i="1"/>
  <c r="DA317" i="1"/>
  <c r="DA235" i="1"/>
  <c r="DA57" i="1"/>
  <c r="DA21" i="1"/>
  <c r="DA99" i="1"/>
  <c r="DA98" i="1"/>
  <c r="DA460" i="1"/>
  <c r="DA459" i="1"/>
  <c r="DA290" i="1"/>
  <c r="DA342" i="1"/>
  <c r="DA198" i="1"/>
  <c r="DA270" i="1"/>
  <c r="DA360" i="1"/>
  <c r="DA341" i="1"/>
  <c r="DA132" i="1"/>
  <c r="DA458" i="1"/>
  <c r="DA377" i="1"/>
  <c r="DA289" i="1"/>
  <c r="DA168" i="1"/>
  <c r="DA288" i="1"/>
  <c r="DA131" i="1"/>
  <c r="DA340" i="1"/>
  <c r="DA34" i="1"/>
  <c r="DA316" i="1"/>
  <c r="DA287" i="1"/>
  <c r="DA234" i="1"/>
  <c r="DA121" i="1"/>
  <c r="DA233" i="1"/>
  <c r="DA130" i="1"/>
  <c r="DA7" i="1"/>
  <c r="DA197" i="1"/>
  <c r="DA474" i="1"/>
  <c r="DA457" i="1"/>
  <c r="DA252" i="1"/>
  <c r="DA97" i="1"/>
  <c r="DA417" i="1"/>
  <c r="DA397" i="1"/>
  <c r="DA369" i="1"/>
  <c r="DA300" i="1"/>
  <c r="DA269" i="1"/>
  <c r="DA207" i="1"/>
  <c r="DA196" i="1"/>
  <c r="DA167" i="1"/>
  <c r="DA56" i="1"/>
  <c r="DA268" i="1"/>
  <c r="DA436" i="1"/>
  <c r="DA267" i="1"/>
  <c r="DA33" i="1"/>
  <c r="DA266" i="1"/>
  <c r="DA347" i="1"/>
  <c r="DA265" i="1"/>
  <c r="DA264" i="1"/>
  <c r="DA435" i="1"/>
  <c r="DA434" i="1"/>
  <c r="DA433" i="1"/>
  <c r="DA368" i="1"/>
  <c r="DA315" i="1"/>
  <c r="DA472" i="1"/>
  <c r="DA206" i="1"/>
  <c r="DA166" i="1"/>
  <c r="DA96" i="1"/>
  <c r="DA314" i="1"/>
  <c r="DA339" i="1"/>
  <c r="DA286" i="1"/>
  <c r="DA359" i="1"/>
  <c r="DA55" i="1"/>
  <c r="DA165" i="1"/>
  <c r="DA20" i="1"/>
  <c r="DA416" i="1"/>
  <c r="DA415" i="1"/>
  <c r="DA396" i="1"/>
  <c r="DA263" i="1"/>
  <c r="DA71" i="1"/>
  <c r="DA195" i="1"/>
  <c r="DA54" i="1"/>
  <c r="DA251" i="1"/>
  <c r="DA194" i="1"/>
  <c r="DA432" i="1"/>
  <c r="DA250" i="1"/>
  <c r="DA70" i="1"/>
  <c r="DA53" i="1"/>
  <c r="DA358" i="1"/>
  <c r="DA164" i="1"/>
  <c r="DA120" i="1"/>
  <c r="DA193" i="1"/>
  <c r="DA192" i="1"/>
  <c r="DA191" i="1"/>
  <c r="DA83" i="1"/>
  <c r="DA52" i="1"/>
  <c r="DA51" i="1"/>
  <c r="DA95" i="1"/>
  <c r="DA262" i="1"/>
  <c r="DA414" i="1"/>
  <c r="DA94" i="1"/>
  <c r="DA190" i="1"/>
  <c r="DA32" i="1"/>
  <c r="DA469" i="1"/>
  <c r="DA261" i="1"/>
  <c r="DA82" i="1"/>
  <c r="DA50" i="1"/>
  <c r="DA81" i="1"/>
  <c r="DA80" i="1"/>
  <c r="DA313" i="1"/>
  <c r="DA31" i="1"/>
  <c r="DA189" i="1"/>
  <c r="DA30" i="1"/>
  <c r="DA468" i="1"/>
  <c r="DA119" i="1"/>
  <c r="DA260" i="1"/>
  <c r="DA188" i="1"/>
  <c r="DA49" i="1"/>
  <c r="DA395" i="1"/>
  <c r="DA187" i="1"/>
  <c r="DA118" i="1"/>
  <c r="DA285" i="1"/>
  <c r="DA205" i="1"/>
  <c r="DA186" i="1"/>
  <c r="DA163" i="1"/>
  <c r="DA357" i="1"/>
  <c r="DA93" i="1"/>
  <c r="DA185" i="1"/>
  <c r="DA48" i="1"/>
  <c r="DA259" i="1"/>
  <c r="DA162" i="1"/>
  <c r="DA79" i="1"/>
  <c r="DA413" i="1"/>
  <c r="DA412" i="1"/>
  <c r="DA376" i="1"/>
  <c r="DA258" i="1"/>
  <c r="DA184" i="1"/>
  <c r="DA338" i="1"/>
  <c r="DA117" i="1"/>
  <c r="DA394" i="1"/>
  <c r="DA393" i="1"/>
  <c r="DA392" i="1"/>
  <c r="DA144" i="1"/>
  <c r="DA129" i="1"/>
  <c r="DA6" i="1"/>
  <c r="DA5" i="1"/>
  <c r="DA411" i="1"/>
  <c r="DA299" i="1"/>
  <c r="DA116" i="1"/>
  <c r="DA337" i="1"/>
  <c r="DA143" i="1"/>
  <c r="DA142" i="1"/>
  <c r="DA29" i="1"/>
  <c r="DA141" i="1"/>
  <c r="DA375" i="1"/>
  <c r="DA204" i="1"/>
  <c r="DA284" i="1"/>
  <c r="DA308" i="1"/>
  <c r="DA28" i="1"/>
  <c r="DA410" i="1"/>
  <c r="DA431" i="1"/>
  <c r="DA374" i="1"/>
  <c r="DA409" i="1"/>
  <c r="DA257" i="1"/>
  <c r="DA92" i="1"/>
  <c r="DA408" i="1"/>
  <c r="DA256" i="1"/>
  <c r="DA407" i="1"/>
  <c r="DA91" i="1"/>
  <c r="DA90" i="1"/>
  <c r="DA248" i="1"/>
  <c r="DA367" i="1"/>
  <c r="DA283" i="1"/>
  <c r="DA232" i="1"/>
  <c r="DA115" i="1"/>
  <c r="DA282" i="1"/>
  <c r="DA78" i="1"/>
  <c r="DA89" i="1"/>
  <c r="DA114" i="1"/>
  <c r="DA113" i="1"/>
  <c r="DA69" i="1"/>
  <c r="DA406" i="1"/>
  <c r="DA112" i="1"/>
  <c r="DA3917" i="1" l="1"/>
  <c r="AD553" i="1"/>
  <c r="AD558" i="1"/>
  <c r="AD567" i="1"/>
  <c r="AD551" i="1"/>
  <c r="AD564" i="1"/>
  <c r="AD565" i="1"/>
  <c r="AD556" i="1"/>
  <c r="AD569" i="1"/>
  <c r="AD542" i="1"/>
  <c r="AD539" i="1"/>
  <c r="AD534" i="1"/>
  <c r="AD568" i="1"/>
  <c r="AD537" i="1"/>
  <c r="AD540" i="1"/>
  <c r="AD549" i="1"/>
  <c r="AD538" i="1"/>
  <c r="AD563" i="1"/>
  <c r="AD552" i="1"/>
  <c r="AD557" i="1"/>
  <c r="AD545" i="1"/>
  <c r="AD572" i="1"/>
  <c r="AD555" i="1"/>
  <c r="AD571" i="1"/>
  <c r="AD541" i="1"/>
  <c r="AD562" i="1"/>
  <c r="AD566" i="1"/>
  <c r="AD554" i="1"/>
  <c r="DC525" i="1"/>
  <c r="CY525" i="1"/>
  <c r="CW525" i="1"/>
  <c r="CR525" i="1"/>
  <c r="CP525" i="1"/>
  <c r="CN525" i="1"/>
  <c r="CJ525" i="1"/>
  <c r="CH525" i="1"/>
  <c r="CF525" i="1"/>
  <c r="BL525" i="1"/>
  <c r="BD525" i="1"/>
  <c r="AZ525" i="1"/>
  <c r="AX525" i="1"/>
  <c r="DC527" i="1"/>
  <c r="Z527" i="1" s="1"/>
  <c r="CY527" i="1"/>
  <c r="Y527" i="1" s="1"/>
  <c r="CW527" i="1"/>
  <c r="AA527" i="1" s="1"/>
  <c r="CR527" i="1"/>
  <c r="CP527" i="1"/>
  <c r="CN527" i="1"/>
  <c r="CJ527" i="1"/>
  <c r="CH527" i="1"/>
  <c r="CF527" i="1"/>
  <c r="BL527" i="1"/>
  <c r="BD527" i="1"/>
  <c r="AZ527" i="1"/>
  <c r="AX527" i="1"/>
  <c r="DC531" i="1"/>
  <c r="CY531" i="1"/>
  <c r="Y531" i="1" s="1"/>
  <c r="CW531" i="1"/>
  <c r="AA531" i="1" s="1"/>
  <c r="CR531" i="1"/>
  <c r="CP531" i="1"/>
  <c r="CN531" i="1"/>
  <c r="CJ531" i="1"/>
  <c r="CH531" i="1"/>
  <c r="CF531" i="1"/>
  <c r="BL531" i="1"/>
  <c r="BD531" i="1"/>
  <c r="AZ531" i="1"/>
  <c r="AX531" i="1"/>
  <c r="DC517" i="1"/>
  <c r="Z517" i="1" s="1"/>
  <c r="CY517" i="1"/>
  <c r="Y517" i="1" s="1"/>
  <c r="CW517" i="1"/>
  <c r="AA517" i="1" s="1"/>
  <c r="CR517" i="1"/>
  <c r="CP517" i="1"/>
  <c r="CN517" i="1"/>
  <c r="CJ517" i="1"/>
  <c r="CH517" i="1"/>
  <c r="CF517" i="1"/>
  <c r="BL517" i="1"/>
  <c r="BD517" i="1"/>
  <c r="AZ517" i="1"/>
  <c r="AX517" i="1"/>
  <c r="DC532" i="1"/>
  <c r="CY532" i="1"/>
  <c r="Y532" i="1" s="1"/>
  <c r="CW532" i="1"/>
  <c r="AA532" i="1" s="1"/>
  <c r="CR532" i="1"/>
  <c r="CP532" i="1"/>
  <c r="CN532" i="1"/>
  <c r="CJ532" i="1"/>
  <c r="CH532" i="1"/>
  <c r="CF532" i="1"/>
  <c r="BL532" i="1"/>
  <c r="BD532" i="1"/>
  <c r="AZ532" i="1"/>
  <c r="AX532" i="1"/>
  <c r="DC528" i="1"/>
  <c r="Z528" i="1" s="1"/>
  <c r="CY528" i="1"/>
  <c r="Y528" i="1" s="1"/>
  <c r="CW528" i="1"/>
  <c r="AA528" i="1" s="1"/>
  <c r="CR528" i="1"/>
  <c r="CP528" i="1"/>
  <c r="CN528" i="1"/>
  <c r="CJ528" i="1"/>
  <c r="CH528" i="1"/>
  <c r="CF528" i="1"/>
  <c r="BL528" i="1"/>
  <c r="BD528" i="1"/>
  <c r="AZ528" i="1"/>
  <c r="AX528" i="1"/>
  <c r="DC516" i="1"/>
  <c r="CY516" i="1"/>
  <c r="Y516" i="1" s="1"/>
  <c r="CW516" i="1"/>
  <c r="AA516" i="1" s="1"/>
  <c r="CR516" i="1"/>
  <c r="CP516" i="1"/>
  <c r="CN516" i="1"/>
  <c r="CJ516" i="1"/>
  <c r="CH516" i="1"/>
  <c r="CF516" i="1"/>
  <c r="BL516" i="1"/>
  <c r="BD516" i="1"/>
  <c r="AZ516" i="1"/>
  <c r="AX516" i="1"/>
  <c r="DC533" i="1"/>
  <c r="Z533" i="1" s="1"/>
  <c r="CY533" i="1"/>
  <c r="Y533" i="1" s="1"/>
  <c r="CW533" i="1"/>
  <c r="AA533" i="1" s="1"/>
  <c r="CR533" i="1"/>
  <c r="CP533" i="1"/>
  <c r="CN533" i="1"/>
  <c r="CJ533" i="1"/>
  <c r="CH533" i="1"/>
  <c r="CF533" i="1"/>
  <c r="BL533" i="1"/>
  <c r="BD533" i="1"/>
  <c r="AZ533" i="1"/>
  <c r="AX533" i="1"/>
  <c r="DC518" i="1"/>
  <c r="CY518" i="1"/>
  <c r="Y518" i="1" s="1"/>
  <c r="CW518" i="1"/>
  <c r="AA518" i="1" s="1"/>
  <c r="CR518" i="1"/>
  <c r="CP518" i="1"/>
  <c r="CN518" i="1"/>
  <c r="CJ518" i="1"/>
  <c r="CH518" i="1"/>
  <c r="CF518" i="1"/>
  <c r="BL518" i="1"/>
  <c r="BD518" i="1"/>
  <c r="AZ518" i="1"/>
  <c r="AX518" i="1"/>
  <c r="DC523" i="1"/>
  <c r="CY523" i="1"/>
  <c r="Y523" i="1" s="1"/>
  <c r="CW523" i="1"/>
  <c r="AA523" i="1" s="1"/>
  <c r="CR523" i="1"/>
  <c r="CP523" i="1"/>
  <c r="CN523" i="1"/>
  <c r="CJ523" i="1"/>
  <c r="CH523" i="1"/>
  <c r="CF523" i="1"/>
  <c r="BL523" i="1"/>
  <c r="BD523" i="1"/>
  <c r="AZ523" i="1"/>
  <c r="AX523" i="1"/>
  <c r="DC530" i="1"/>
  <c r="Z530" i="1" s="1"/>
  <c r="CY530" i="1"/>
  <c r="Y530" i="1" s="1"/>
  <c r="CW530" i="1"/>
  <c r="AA530" i="1" s="1"/>
  <c r="CR530" i="1"/>
  <c r="CP530" i="1"/>
  <c r="CN530" i="1"/>
  <c r="CJ530" i="1"/>
  <c r="CH530" i="1"/>
  <c r="CF530" i="1"/>
  <c r="BL530" i="1"/>
  <c r="BD530" i="1"/>
  <c r="AZ530" i="1"/>
  <c r="AX530" i="1"/>
  <c r="DC529" i="1"/>
  <c r="Z529" i="1" s="1"/>
  <c r="CY529" i="1"/>
  <c r="Y529" i="1" s="1"/>
  <c r="CW529" i="1"/>
  <c r="AA529" i="1" s="1"/>
  <c r="CR529" i="1"/>
  <c r="CP529" i="1"/>
  <c r="CN529" i="1"/>
  <c r="CJ529" i="1"/>
  <c r="CH529" i="1"/>
  <c r="CF529" i="1"/>
  <c r="BL529" i="1"/>
  <c r="BD529" i="1"/>
  <c r="AZ529" i="1"/>
  <c r="AX529" i="1"/>
  <c r="DC514" i="1"/>
  <c r="Z514" i="1" s="1"/>
  <c r="CY514" i="1"/>
  <c r="Y514" i="1" s="1"/>
  <c r="CW514" i="1"/>
  <c r="AA514" i="1" s="1"/>
  <c r="CR514" i="1"/>
  <c r="CP514" i="1"/>
  <c r="CN514" i="1"/>
  <c r="CJ514" i="1"/>
  <c r="CH514" i="1"/>
  <c r="CF514" i="1"/>
  <c r="BL514" i="1"/>
  <c r="BD514" i="1"/>
  <c r="AZ514" i="1"/>
  <c r="AX514" i="1"/>
  <c r="DC511" i="1"/>
  <c r="CY511" i="1"/>
  <c r="Y511" i="1" s="1"/>
  <c r="CW511" i="1"/>
  <c r="AA511" i="1" s="1"/>
  <c r="CR511" i="1"/>
  <c r="CP511" i="1"/>
  <c r="CN511" i="1"/>
  <c r="CJ511" i="1"/>
  <c r="CH511" i="1"/>
  <c r="CF511" i="1"/>
  <c r="BL511" i="1"/>
  <c r="BD511" i="1"/>
  <c r="AZ511" i="1"/>
  <c r="AX511" i="1"/>
  <c r="DC430" i="1"/>
  <c r="Z430" i="1" s="1"/>
  <c r="CY430" i="1"/>
  <c r="Y430" i="1" s="1"/>
  <c r="CW430" i="1"/>
  <c r="AA430" i="1" s="1"/>
  <c r="CR430" i="1"/>
  <c r="CP430" i="1"/>
  <c r="CN430" i="1"/>
  <c r="CJ430" i="1"/>
  <c r="CH430" i="1"/>
  <c r="CF430" i="1"/>
  <c r="BL430" i="1"/>
  <c r="BD430" i="1"/>
  <c r="AZ430" i="1"/>
  <c r="AX430" i="1"/>
  <c r="DC425" i="1"/>
  <c r="CY425" i="1"/>
  <c r="Y425" i="1" s="1"/>
  <c r="CW425" i="1"/>
  <c r="AA425" i="1" s="1"/>
  <c r="CR425" i="1"/>
  <c r="CP425" i="1"/>
  <c r="CN425" i="1"/>
  <c r="CJ425" i="1"/>
  <c r="CH425" i="1"/>
  <c r="CF425" i="1"/>
  <c r="BL425" i="1"/>
  <c r="BD425" i="1"/>
  <c r="AZ425" i="1"/>
  <c r="AX425" i="1"/>
  <c r="DC249" i="1"/>
  <c r="Z249" i="1" s="1"/>
  <c r="Y249" i="1"/>
  <c r="CW249" i="1"/>
  <c r="AA249" i="1" s="1"/>
  <c r="CR249" i="1"/>
  <c r="CP249" i="1"/>
  <c r="CN249" i="1"/>
  <c r="CJ249" i="1"/>
  <c r="CH249" i="1"/>
  <c r="CF249" i="1"/>
  <c r="BL249" i="1"/>
  <c r="BD249" i="1"/>
  <c r="AZ249" i="1"/>
  <c r="AX249" i="1"/>
  <c r="DC145" i="1"/>
  <c r="Z145" i="1" s="1"/>
  <c r="CY145" i="1"/>
  <c r="Y145" i="1" s="1"/>
  <c r="CW145" i="1"/>
  <c r="AA145" i="1" s="1"/>
  <c r="CR145" i="1"/>
  <c r="CP145" i="1"/>
  <c r="CN145" i="1"/>
  <c r="CJ145" i="1"/>
  <c r="CH145" i="1"/>
  <c r="CF145" i="1"/>
  <c r="BL145" i="1"/>
  <c r="BD145" i="1"/>
  <c r="AZ145" i="1"/>
  <c r="AX145" i="1"/>
  <c r="DC509" i="1"/>
  <c r="CY509" i="1"/>
  <c r="Y509" i="1" s="1"/>
  <c r="CW509" i="1"/>
  <c r="AA509" i="1" s="1"/>
  <c r="CR509" i="1"/>
  <c r="CP509" i="1"/>
  <c r="CN509" i="1"/>
  <c r="CJ509" i="1"/>
  <c r="CH509" i="1"/>
  <c r="CF509" i="1"/>
  <c r="BL509" i="1"/>
  <c r="BD509" i="1"/>
  <c r="AZ509" i="1"/>
  <c r="AX509" i="1"/>
  <c r="DC512" i="1"/>
  <c r="Z512" i="1" s="1"/>
  <c r="CY512" i="1"/>
  <c r="Y512" i="1" s="1"/>
  <c r="CW512" i="1"/>
  <c r="AA512" i="1" s="1"/>
  <c r="CR512" i="1"/>
  <c r="CP512" i="1"/>
  <c r="CN512" i="1"/>
  <c r="CJ512" i="1"/>
  <c r="CH512" i="1"/>
  <c r="CF512" i="1"/>
  <c r="BL512" i="1"/>
  <c r="BD512" i="1"/>
  <c r="AZ512" i="1"/>
  <c r="AX512" i="1"/>
  <c r="DC504" i="1"/>
  <c r="CY504" i="1"/>
  <c r="Y504" i="1" s="1"/>
  <c r="CW504" i="1"/>
  <c r="AA504" i="1" s="1"/>
  <c r="CR504" i="1"/>
  <c r="CP504" i="1"/>
  <c r="CN504" i="1"/>
  <c r="CJ504" i="1"/>
  <c r="CH504" i="1"/>
  <c r="CF504" i="1"/>
  <c r="BL504" i="1"/>
  <c r="BD504" i="1"/>
  <c r="AZ504" i="1"/>
  <c r="AX504" i="1"/>
  <c r="DC510" i="1"/>
  <c r="CY510" i="1"/>
  <c r="Y510" i="1" s="1"/>
  <c r="CW510" i="1"/>
  <c r="AA510" i="1" s="1"/>
  <c r="CR510" i="1"/>
  <c r="CP510" i="1"/>
  <c r="CN510" i="1"/>
  <c r="CJ510" i="1"/>
  <c r="CH510" i="1"/>
  <c r="CF510" i="1"/>
  <c r="BL510" i="1"/>
  <c r="BD510" i="1"/>
  <c r="AZ510" i="1"/>
  <c r="AX510" i="1"/>
  <c r="DC499" i="1"/>
  <c r="CY499" i="1"/>
  <c r="Y499" i="1" s="1"/>
  <c r="CW499" i="1"/>
  <c r="AA499" i="1" s="1"/>
  <c r="CR499" i="1"/>
  <c r="CP499" i="1"/>
  <c r="CN499" i="1"/>
  <c r="CJ499" i="1"/>
  <c r="CH499" i="1"/>
  <c r="CF499" i="1"/>
  <c r="BL499" i="1"/>
  <c r="BD499" i="1"/>
  <c r="AZ499" i="1"/>
  <c r="AX499" i="1"/>
  <c r="DC498" i="1"/>
  <c r="CY498" i="1"/>
  <c r="Y498" i="1" s="1"/>
  <c r="CW498" i="1"/>
  <c r="AA498" i="1" s="1"/>
  <c r="CR498" i="1"/>
  <c r="CP498" i="1"/>
  <c r="CN498" i="1"/>
  <c r="CJ498" i="1"/>
  <c r="CH498" i="1"/>
  <c r="CF498" i="1"/>
  <c r="BL498" i="1"/>
  <c r="BD498" i="1"/>
  <c r="AZ498" i="1"/>
  <c r="AX498" i="1"/>
  <c r="DC470" i="1"/>
  <c r="CY470" i="1"/>
  <c r="Y470" i="1" s="1"/>
  <c r="CW470" i="1"/>
  <c r="AA470" i="1" s="1"/>
  <c r="CR470" i="1"/>
  <c r="CP470" i="1"/>
  <c r="CN470" i="1"/>
  <c r="CJ470" i="1"/>
  <c r="CH470" i="1"/>
  <c r="CF470" i="1"/>
  <c r="BL470" i="1"/>
  <c r="BD470" i="1"/>
  <c r="AZ470" i="1"/>
  <c r="AX470" i="1"/>
  <c r="DC471" i="1"/>
  <c r="CY471" i="1"/>
  <c r="Y471" i="1" s="1"/>
  <c r="CW471" i="1"/>
  <c r="AA471" i="1" s="1"/>
  <c r="CR471" i="1"/>
  <c r="CP471" i="1"/>
  <c r="CN471" i="1"/>
  <c r="CJ471" i="1"/>
  <c r="CH471" i="1"/>
  <c r="CF471" i="1"/>
  <c r="BL471" i="1"/>
  <c r="BD471" i="1"/>
  <c r="AZ471" i="1"/>
  <c r="AX471" i="1"/>
  <c r="DC515" i="1"/>
  <c r="CY515" i="1"/>
  <c r="Y515" i="1" s="1"/>
  <c r="CW515" i="1"/>
  <c r="AA515" i="1" s="1"/>
  <c r="CR515" i="1"/>
  <c r="CP515" i="1"/>
  <c r="CN515" i="1"/>
  <c r="CJ515" i="1"/>
  <c r="CH515" i="1"/>
  <c r="CF515" i="1"/>
  <c r="BL515" i="1"/>
  <c r="BD515" i="1"/>
  <c r="AZ515" i="1"/>
  <c r="AX515" i="1"/>
  <c r="DC508" i="1"/>
  <c r="CY508" i="1"/>
  <c r="Y508" i="1" s="1"/>
  <c r="CW508" i="1"/>
  <c r="AA508" i="1" s="1"/>
  <c r="CR508" i="1"/>
  <c r="CP508" i="1"/>
  <c r="CN508" i="1"/>
  <c r="CJ508" i="1"/>
  <c r="CH508" i="1"/>
  <c r="CF508" i="1"/>
  <c r="BL508" i="1"/>
  <c r="BD508" i="1"/>
  <c r="AZ508" i="1"/>
  <c r="AX508" i="1"/>
  <c r="DC507" i="1"/>
  <c r="CY507" i="1"/>
  <c r="Y507" i="1" s="1"/>
  <c r="CW507" i="1"/>
  <c r="AA507" i="1" s="1"/>
  <c r="CR507" i="1"/>
  <c r="CP507" i="1"/>
  <c r="CN507" i="1"/>
  <c r="CJ507" i="1"/>
  <c r="CH507" i="1"/>
  <c r="CF507" i="1"/>
  <c r="BL507" i="1"/>
  <c r="BD507" i="1"/>
  <c r="AZ507" i="1"/>
  <c r="AX507" i="1"/>
  <c r="DC506" i="1"/>
  <c r="CY506" i="1"/>
  <c r="Y506" i="1" s="1"/>
  <c r="CW506" i="1"/>
  <c r="AA506" i="1" s="1"/>
  <c r="CR506" i="1"/>
  <c r="CP506" i="1"/>
  <c r="CN506" i="1"/>
  <c r="CJ506" i="1"/>
  <c r="CH506" i="1"/>
  <c r="CF506" i="1"/>
  <c r="BL506" i="1"/>
  <c r="BD506" i="1"/>
  <c r="AZ506" i="1"/>
  <c r="AX506" i="1"/>
  <c r="DC505" i="1"/>
  <c r="CY505" i="1"/>
  <c r="Y505" i="1" s="1"/>
  <c r="CW505" i="1"/>
  <c r="AA505" i="1" s="1"/>
  <c r="CR505" i="1"/>
  <c r="CP505" i="1"/>
  <c r="CN505" i="1"/>
  <c r="CJ505" i="1"/>
  <c r="CH505" i="1"/>
  <c r="CF505" i="1"/>
  <c r="BL505" i="1"/>
  <c r="BD505" i="1"/>
  <c r="AZ505" i="1"/>
  <c r="AX505" i="1"/>
  <c r="DC501" i="1"/>
  <c r="CY501" i="1"/>
  <c r="Y501" i="1" s="1"/>
  <c r="CW501" i="1"/>
  <c r="AA501" i="1" s="1"/>
  <c r="CR501" i="1"/>
  <c r="CP501" i="1"/>
  <c r="CN501" i="1"/>
  <c r="CJ501" i="1"/>
  <c r="CH501" i="1"/>
  <c r="CF501" i="1"/>
  <c r="BL501" i="1"/>
  <c r="BD501" i="1"/>
  <c r="AZ501" i="1"/>
  <c r="AX501" i="1"/>
  <c r="DC497" i="1"/>
  <c r="CY497" i="1"/>
  <c r="Y497" i="1" s="1"/>
  <c r="CW497" i="1"/>
  <c r="AA497" i="1" s="1"/>
  <c r="CR497" i="1"/>
  <c r="CP497" i="1"/>
  <c r="CN497" i="1"/>
  <c r="CJ497" i="1"/>
  <c r="CH497" i="1"/>
  <c r="CF497" i="1"/>
  <c r="BL497" i="1"/>
  <c r="BD497" i="1"/>
  <c r="AZ497" i="1"/>
  <c r="AX497" i="1"/>
  <c r="CU525" i="1" l="1"/>
  <c r="CU511" i="1"/>
  <c r="X511" i="1" s="1"/>
  <c r="CU523" i="1"/>
  <c r="X523" i="1" s="1"/>
  <c r="CU532" i="1"/>
  <c r="X532" i="1" s="1"/>
  <c r="Z425" i="1"/>
  <c r="CU145" i="1"/>
  <c r="X145" i="1" s="1"/>
  <c r="Z471" i="1"/>
  <c r="Z498" i="1"/>
  <c r="Z504" i="1"/>
  <c r="Z509" i="1"/>
  <c r="Z497" i="1"/>
  <c r="Z505" i="1"/>
  <c r="Z507" i="1"/>
  <c r="CU508" i="1"/>
  <c r="X508" i="1" s="1"/>
  <c r="Z515" i="1"/>
  <c r="Z470" i="1"/>
  <c r="CU498" i="1"/>
  <c r="X498" i="1" s="1"/>
  <c r="Z499" i="1"/>
  <c r="Z510" i="1"/>
  <c r="Z501" i="1"/>
  <c r="Z506" i="1"/>
  <c r="Z518" i="1"/>
  <c r="Z516" i="1"/>
  <c r="Z531" i="1"/>
  <c r="CU501" i="1"/>
  <c r="X501" i="1" s="1"/>
  <c r="CU507" i="1"/>
  <c r="X507" i="1" s="1"/>
  <c r="CU470" i="1"/>
  <c r="X470" i="1" s="1"/>
  <c r="CU510" i="1"/>
  <c r="X510" i="1" s="1"/>
  <c r="CU509" i="1"/>
  <c r="X509" i="1" s="1"/>
  <c r="CU430" i="1"/>
  <c r="X430" i="1" s="1"/>
  <c r="AD430" i="1" s="1"/>
  <c r="CU514" i="1"/>
  <c r="X514" i="1" s="1"/>
  <c r="AD514" i="1" s="1"/>
  <c r="CU530" i="1"/>
  <c r="X530" i="1" s="1"/>
  <c r="AD530" i="1" s="1"/>
  <c r="CU528" i="1"/>
  <c r="X528" i="1" s="1"/>
  <c r="AD528" i="1" s="1"/>
  <c r="CU527" i="1"/>
  <c r="X527" i="1" s="1"/>
  <c r="AD527" i="1" s="1"/>
  <c r="CU506" i="1"/>
  <c r="X506" i="1" s="1"/>
  <c r="CU425" i="1"/>
  <c r="X425" i="1" s="1"/>
  <c r="CU516" i="1"/>
  <c r="X516" i="1" s="1"/>
  <c r="Z508" i="1"/>
  <c r="Z511" i="1"/>
  <c r="Z523" i="1"/>
  <c r="Z532" i="1"/>
  <c r="CU515" i="1"/>
  <c r="X515" i="1" s="1"/>
  <c r="CU504" i="1"/>
  <c r="X504" i="1" s="1"/>
  <c r="CU497" i="1"/>
  <c r="X497" i="1" s="1"/>
  <c r="CU505" i="1"/>
  <c r="X505" i="1" s="1"/>
  <c r="CU471" i="1"/>
  <c r="X471" i="1" s="1"/>
  <c r="CU499" i="1"/>
  <c r="X499" i="1" s="1"/>
  <c r="CU512" i="1"/>
  <c r="X512" i="1" s="1"/>
  <c r="AD512" i="1" s="1"/>
  <c r="CU249" i="1"/>
  <c r="X249" i="1" s="1"/>
  <c r="CU529" i="1"/>
  <c r="X529" i="1" s="1"/>
  <c r="AD529" i="1" s="1"/>
  <c r="CU518" i="1"/>
  <c r="X518" i="1" s="1"/>
  <c r="CU533" i="1"/>
  <c r="X533" i="1" s="1"/>
  <c r="AD533" i="1" s="1"/>
  <c r="CU531" i="1"/>
  <c r="X531" i="1" s="1"/>
  <c r="CU517" i="1"/>
  <c r="X517" i="1" s="1"/>
  <c r="AD517" i="1" s="1"/>
  <c r="AD510" i="1" l="1"/>
  <c r="AD507" i="1"/>
  <c r="AD523" i="1"/>
  <c r="AD532" i="1"/>
  <c r="AD511" i="1"/>
  <c r="AD425" i="1"/>
  <c r="AD531" i="1"/>
  <c r="AD518" i="1"/>
  <c r="AD471" i="1"/>
  <c r="AD249" i="1"/>
  <c r="AD504" i="1"/>
  <c r="AD145" i="1"/>
  <c r="AD499" i="1"/>
  <c r="AD498" i="1"/>
  <c r="AD508" i="1"/>
  <c r="AD509" i="1"/>
  <c r="AD497" i="1"/>
  <c r="AD515" i="1"/>
  <c r="AD470" i="1"/>
  <c r="AD505" i="1"/>
  <c r="AD501" i="1"/>
  <c r="AD516" i="1"/>
  <c r="AD506" i="1"/>
  <c r="AA525" i="1"/>
  <c r="DC550" i="1"/>
  <c r="CY550" i="1"/>
  <c r="Y550" i="1" s="1"/>
  <c r="CW550" i="1"/>
  <c r="AA550" i="1" s="1"/>
  <c r="CR550" i="1"/>
  <c r="CP550" i="1"/>
  <c r="CN550" i="1"/>
  <c r="CJ550" i="1"/>
  <c r="CH550" i="1"/>
  <c r="CF550" i="1"/>
  <c r="BL550" i="1"/>
  <c r="BD550" i="1"/>
  <c r="AZ550" i="1"/>
  <c r="AX550" i="1"/>
  <c r="DC474" i="1"/>
  <c r="CY474" i="1"/>
  <c r="Y474" i="1" s="1"/>
  <c r="CW474" i="1"/>
  <c r="AA474" i="1" s="1"/>
  <c r="CR474" i="1"/>
  <c r="CP474" i="1"/>
  <c r="CN474" i="1"/>
  <c r="CJ474" i="1"/>
  <c r="CH474" i="1"/>
  <c r="CF474" i="1"/>
  <c r="BL474" i="1"/>
  <c r="BD474" i="1"/>
  <c r="AZ474" i="1"/>
  <c r="AX474" i="1"/>
  <c r="DC478" i="1"/>
  <c r="CY478" i="1"/>
  <c r="Y478" i="1" s="1"/>
  <c r="CW478" i="1"/>
  <c r="AA478" i="1" s="1"/>
  <c r="CR478" i="1"/>
  <c r="CP478" i="1"/>
  <c r="CN478" i="1"/>
  <c r="CJ478" i="1"/>
  <c r="CH478" i="1"/>
  <c r="CF478" i="1"/>
  <c r="BL478" i="1"/>
  <c r="BD478" i="1"/>
  <c r="AZ478" i="1"/>
  <c r="AX478" i="1"/>
  <c r="DC477" i="1"/>
  <c r="CY477" i="1"/>
  <c r="Y477" i="1" s="1"/>
  <c r="CW477" i="1"/>
  <c r="AA477" i="1" s="1"/>
  <c r="CR477" i="1"/>
  <c r="CP477" i="1"/>
  <c r="CN477" i="1"/>
  <c r="CJ477" i="1"/>
  <c r="CH477" i="1"/>
  <c r="CF477" i="1"/>
  <c r="BL477" i="1"/>
  <c r="BD477" i="1"/>
  <c r="AZ477" i="1"/>
  <c r="AX477" i="1"/>
  <c r="DC475" i="1"/>
  <c r="CY475" i="1"/>
  <c r="Y475" i="1" s="1"/>
  <c r="CW475" i="1"/>
  <c r="AA475" i="1" s="1"/>
  <c r="CR475" i="1"/>
  <c r="CP475" i="1"/>
  <c r="CN475" i="1"/>
  <c r="CJ475" i="1"/>
  <c r="CH475" i="1"/>
  <c r="CF475" i="1"/>
  <c r="BL475" i="1"/>
  <c r="BD475" i="1"/>
  <c r="AZ475" i="1"/>
  <c r="AX475" i="1"/>
  <c r="DC476" i="1"/>
  <c r="CY476" i="1"/>
  <c r="Y476" i="1" s="1"/>
  <c r="CW476" i="1"/>
  <c r="AA476" i="1" s="1"/>
  <c r="CR476" i="1"/>
  <c r="CP476" i="1"/>
  <c r="CN476" i="1"/>
  <c r="CJ476" i="1"/>
  <c r="CH476" i="1"/>
  <c r="CF476" i="1"/>
  <c r="BL476" i="1"/>
  <c r="BD476" i="1"/>
  <c r="AZ476" i="1"/>
  <c r="AX476" i="1"/>
  <c r="DC468" i="1"/>
  <c r="CY468" i="1"/>
  <c r="Y468" i="1" s="1"/>
  <c r="CW468" i="1"/>
  <c r="AA468" i="1" s="1"/>
  <c r="CR468" i="1"/>
  <c r="CP468" i="1"/>
  <c r="CN468" i="1"/>
  <c r="CJ468" i="1"/>
  <c r="CH468" i="1"/>
  <c r="CF468" i="1"/>
  <c r="BL468" i="1"/>
  <c r="BD468" i="1"/>
  <c r="AZ468" i="1"/>
  <c r="AX468" i="1"/>
  <c r="DC469" i="1"/>
  <c r="CY469" i="1"/>
  <c r="Y469" i="1" s="1"/>
  <c r="CW469" i="1"/>
  <c r="AA469" i="1" s="1"/>
  <c r="CR469" i="1"/>
  <c r="CP469" i="1"/>
  <c r="CN469" i="1"/>
  <c r="CJ469" i="1"/>
  <c r="CH469" i="1"/>
  <c r="CF469" i="1"/>
  <c r="BL469" i="1"/>
  <c r="BD469" i="1"/>
  <c r="AZ469" i="1"/>
  <c r="AX469" i="1"/>
  <c r="DC493" i="1"/>
  <c r="CY493" i="1"/>
  <c r="Y493" i="1" s="1"/>
  <c r="CW493" i="1"/>
  <c r="AA493" i="1" s="1"/>
  <c r="CR493" i="1"/>
  <c r="CP493" i="1"/>
  <c r="CN493" i="1"/>
  <c r="CJ493" i="1"/>
  <c r="CH493" i="1"/>
  <c r="CF493" i="1"/>
  <c r="BL493" i="1"/>
  <c r="BD493" i="1"/>
  <c r="AZ493" i="1"/>
  <c r="AX493" i="1"/>
  <c r="DC492" i="1"/>
  <c r="CY492" i="1"/>
  <c r="Y492" i="1" s="1"/>
  <c r="CW492" i="1"/>
  <c r="AA492" i="1" s="1"/>
  <c r="CR492" i="1"/>
  <c r="CP492" i="1"/>
  <c r="CN492" i="1"/>
  <c r="CJ492" i="1"/>
  <c r="CH492" i="1"/>
  <c r="CF492" i="1"/>
  <c r="BL492" i="1"/>
  <c r="BD492" i="1"/>
  <c r="AZ492" i="1"/>
  <c r="AX492" i="1"/>
  <c r="DC495" i="1"/>
  <c r="CY495" i="1"/>
  <c r="Y495" i="1" s="1"/>
  <c r="CW495" i="1"/>
  <c r="AA495" i="1" s="1"/>
  <c r="CR495" i="1"/>
  <c r="CP495" i="1"/>
  <c r="CN495" i="1"/>
  <c r="CJ495" i="1"/>
  <c r="CH495" i="1"/>
  <c r="CF495" i="1"/>
  <c r="BL495" i="1"/>
  <c r="BD495" i="1"/>
  <c r="AZ495" i="1"/>
  <c r="AX495" i="1"/>
  <c r="DC472" i="1"/>
  <c r="CY472" i="1"/>
  <c r="Y472" i="1" s="1"/>
  <c r="CW472" i="1"/>
  <c r="AA472" i="1" s="1"/>
  <c r="CR472" i="1"/>
  <c r="CP472" i="1"/>
  <c r="CN472" i="1"/>
  <c r="CJ472" i="1"/>
  <c r="CH472" i="1"/>
  <c r="CF472" i="1"/>
  <c r="BL472" i="1"/>
  <c r="BD472" i="1"/>
  <c r="AZ472" i="1"/>
  <c r="AX472" i="1"/>
  <c r="DC483" i="1"/>
  <c r="CY483" i="1"/>
  <c r="Y483" i="1" s="1"/>
  <c r="CW483" i="1"/>
  <c r="AA483" i="1" s="1"/>
  <c r="CR483" i="1"/>
  <c r="CP483" i="1"/>
  <c r="CN483" i="1"/>
  <c r="CJ483" i="1"/>
  <c r="CH483" i="1"/>
  <c r="CF483" i="1"/>
  <c r="BL483" i="1"/>
  <c r="BD483" i="1"/>
  <c r="AZ483" i="1"/>
  <c r="AX483" i="1"/>
  <c r="DC484" i="1"/>
  <c r="CY484" i="1"/>
  <c r="Y484" i="1" s="1"/>
  <c r="CW484" i="1"/>
  <c r="AA484" i="1" s="1"/>
  <c r="CR484" i="1"/>
  <c r="CP484" i="1"/>
  <c r="CN484" i="1"/>
  <c r="CJ484" i="1"/>
  <c r="CH484" i="1"/>
  <c r="CF484" i="1"/>
  <c r="BL484" i="1"/>
  <c r="BD484" i="1"/>
  <c r="AZ484" i="1"/>
  <c r="AX484" i="1"/>
  <c r="DC480" i="1"/>
  <c r="CY480" i="1"/>
  <c r="Y480" i="1" s="1"/>
  <c r="CW480" i="1"/>
  <c r="AA480" i="1" s="1"/>
  <c r="CR480" i="1"/>
  <c r="CP480" i="1"/>
  <c r="CN480" i="1"/>
  <c r="CJ480" i="1"/>
  <c r="CH480" i="1"/>
  <c r="CF480" i="1"/>
  <c r="BL480" i="1"/>
  <c r="BD480" i="1"/>
  <c r="AZ480" i="1"/>
  <c r="AX480" i="1"/>
  <c r="DC487" i="1"/>
  <c r="CY487" i="1"/>
  <c r="Y487" i="1" s="1"/>
  <c r="CW487" i="1"/>
  <c r="AA487" i="1" s="1"/>
  <c r="CR487" i="1"/>
  <c r="CP487" i="1"/>
  <c r="CN487" i="1"/>
  <c r="CJ487" i="1"/>
  <c r="CH487" i="1"/>
  <c r="CF487" i="1"/>
  <c r="BL487" i="1"/>
  <c r="BD487" i="1"/>
  <c r="AZ487" i="1"/>
  <c r="AX487" i="1"/>
  <c r="DC486" i="1"/>
  <c r="CY486" i="1"/>
  <c r="Y486" i="1" s="1"/>
  <c r="CW486" i="1"/>
  <c r="AA486" i="1" s="1"/>
  <c r="CR486" i="1"/>
  <c r="CP486" i="1"/>
  <c r="CN486" i="1"/>
  <c r="CJ486" i="1"/>
  <c r="CH486" i="1"/>
  <c r="CF486" i="1"/>
  <c r="BL486" i="1"/>
  <c r="BD486" i="1"/>
  <c r="AZ486" i="1"/>
  <c r="AX486" i="1"/>
  <c r="DC485" i="1"/>
  <c r="CY485" i="1"/>
  <c r="Y485" i="1" s="1"/>
  <c r="CW485" i="1"/>
  <c r="AA485" i="1" s="1"/>
  <c r="CR485" i="1"/>
  <c r="CP485" i="1"/>
  <c r="CN485" i="1"/>
  <c r="CJ485" i="1"/>
  <c r="CH485" i="1"/>
  <c r="CF485" i="1"/>
  <c r="BL485" i="1"/>
  <c r="BD485" i="1"/>
  <c r="AZ485" i="1"/>
  <c r="AX485" i="1"/>
  <c r="DC479" i="1"/>
  <c r="CY479" i="1"/>
  <c r="Y479" i="1" s="1"/>
  <c r="CW479" i="1"/>
  <c r="AA479" i="1" s="1"/>
  <c r="CR479" i="1"/>
  <c r="CP479" i="1"/>
  <c r="CN479" i="1"/>
  <c r="CJ479" i="1"/>
  <c r="CH479" i="1"/>
  <c r="CF479" i="1"/>
  <c r="BL479" i="1"/>
  <c r="BD479" i="1"/>
  <c r="AZ479" i="1"/>
  <c r="AX479" i="1"/>
  <c r="DC481" i="1"/>
  <c r="CY481" i="1"/>
  <c r="Y481" i="1" s="1"/>
  <c r="CW481" i="1"/>
  <c r="AA481" i="1" s="1"/>
  <c r="CR481" i="1"/>
  <c r="CP481" i="1"/>
  <c r="CN481" i="1"/>
  <c r="CJ481" i="1"/>
  <c r="CH481" i="1"/>
  <c r="CF481" i="1"/>
  <c r="BL481" i="1"/>
  <c r="BD481" i="1"/>
  <c r="AZ481" i="1"/>
  <c r="AX481" i="1"/>
  <c r="DC482" i="1"/>
  <c r="CY482" i="1"/>
  <c r="Y482" i="1" s="1"/>
  <c r="CW482" i="1"/>
  <c r="AA482" i="1" s="1"/>
  <c r="CR482" i="1"/>
  <c r="CP482" i="1"/>
  <c r="CN482" i="1"/>
  <c r="CJ482" i="1"/>
  <c r="CH482" i="1"/>
  <c r="CF482" i="1"/>
  <c r="BL482" i="1"/>
  <c r="BD482" i="1"/>
  <c r="AZ482" i="1"/>
  <c r="AX482" i="1"/>
  <c r="DC491" i="1"/>
  <c r="CY491" i="1"/>
  <c r="Y491" i="1" s="1"/>
  <c r="CW491" i="1"/>
  <c r="AA491" i="1" s="1"/>
  <c r="CR491" i="1"/>
  <c r="CP491" i="1"/>
  <c r="CN491" i="1"/>
  <c r="CJ491" i="1"/>
  <c r="CH491" i="1"/>
  <c r="CF491" i="1"/>
  <c r="BL491" i="1"/>
  <c r="BD491" i="1"/>
  <c r="AZ491" i="1"/>
  <c r="AX491" i="1"/>
  <c r="DC490" i="1"/>
  <c r="CY490" i="1"/>
  <c r="Y490" i="1" s="1"/>
  <c r="CW490" i="1"/>
  <c r="AA490" i="1" s="1"/>
  <c r="CR490" i="1"/>
  <c r="CP490" i="1"/>
  <c r="CN490" i="1"/>
  <c r="CJ490" i="1"/>
  <c r="CH490" i="1"/>
  <c r="CF490" i="1"/>
  <c r="BL490" i="1"/>
  <c r="BD490" i="1"/>
  <c r="AZ490" i="1"/>
  <c r="AX490" i="1"/>
  <c r="DC489" i="1"/>
  <c r="CY489" i="1"/>
  <c r="Y489" i="1" s="1"/>
  <c r="CW489" i="1"/>
  <c r="AA489" i="1" s="1"/>
  <c r="CR489" i="1"/>
  <c r="CP489" i="1"/>
  <c r="CN489" i="1"/>
  <c r="CJ489" i="1"/>
  <c r="CH489" i="1"/>
  <c r="CF489" i="1"/>
  <c r="BL489" i="1"/>
  <c r="BD489" i="1"/>
  <c r="AZ489" i="1"/>
  <c r="AX489" i="1"/>
  <c r="DC488" i="1"/>
  <c r="CY488" i="1"/>
  <c r="Y488" i="1" s="1"/>
  <c r="CW488" i="1"/>
  <c r="AA488" i="1" s="1"/>
  <c r="CR488" i="1"/>
  <c r="CP488" i="1"/>
  <c r="CN488" i="1"/>
  <c r="CJ488" i="1"/>
  <c r="CH488" i="1"/>
  <c r="CF488" i="1"/>
  <c r="BL488" i="1"/>
  <c r="BD488" i="1"/>
  <c r="AZ488" i="1"/>
  <c r="AX488" i="1"/>
  <c r="DC494" i="1"/>
  <c r="CY494" i="1"/>
  <c r="Y494" i="1" s="1"/>
  <c r="CW494" i="1"/>
  <c r="AA494" i="1" s="1"/>
  <c r="CR494" i="1"/>
  <c r="CP494" i="1"/>
  <c r="CN494" i="1"/>
  <c r="CJ494" i="1"/>
  <c r="CH494" i="1"/>
  <c r="CF494" i="1"/>
  <c r="BL494" i="1"/>
  <c r="BD494" i="1"/>
  <c r="AZ494" i="1"/>
  <c r="AX494" i="1"/>
  <c r="DC496" i="1"/>
  <c r="CY496" i="1"/>
  <c r="Y496" i="1" s="1"/>
  <c r="CW496" i="1"/>
  <c r="AA496" i="1" s="1"/>
  <c r="CR496" i="1"/>
  <c r="CP496" i="1"/>
  <c r="CN496" i="1"/>
  <c r="CJ496" i="1"/>
  <c r="CH496" i="1"/>
  <c r="CF496" i="1"/>
  <c r="BL496" i="1"/>
  <c r="BD496" i="1"/>
  <c r="AZ496" i="1"/>
  <c r="AX496" i="1"/>
  <c r="Y525" i="1"/>
  <c r="Z491" i="1" l="1"/>
  <c r="Z469" i="1"/>
  <c r="Z474" i="1"/>
  <c r="Z485" i="1"/>
  <c r="Z492" i="1"/>
  <c r="Z478" i="1"/>
  <c r="X525" i="1"/>
  <c r="Z480" i="1"/>
  <c r="CU550" i="1"/>
  <c r="X550" i="1" s="1"/>
  <c r="Z550" i="1"/>
  <c r="Z525" i="1"/>
  <c r="Z496" i="1"/>
  <c r="Z482" i="1"/>
  <c r="Z495" i="1"/>
  <c r="Z468" i="1"/>
  <c r="Z475" i="1"/>
  <c r="Z488" i="1"/>
  <c r="Z490" i="1"/>
  <c r="Z479" i="1"/>
  <c r="Z486" i="1"/>
  <c r="CU489" i="1"/>
  <c r="X489" i="1" s="1"/>
  <c r="CU481" i="1"/>
  <c r="X481" i="1" s="1"/>
  <c r="CU487" i="1"/>
  <c r="X487" i="1" s="1"/>
  <c r="CU472" i="1"/>
  <c r="X472" i="1" s="1"/>
  <c r="CU469" i="1"/>
  <c r="X469" i="1" s="1"/>
  <c r="CU476" i="1"/>
  <c r="X476" i="1" s="1"/>
  <c r="CU478" i="1"/>
  <c r="X478" i="1" s="1"/>
  <c r="CU488" i="1"/>
  <c r="X488" i="1" s="1"/>
  <c r="CU482" i="1"/>
  <c r="X482" i="1" s="1"/>
  <c r="CU486" i="1"/>
  <c r="X486" i="1" s="1"/>
  <c r="CU483" i="1"/>
  <c r="X483" i="1" s="1"/>
  <c r="Z483" i="1"/>
  <c r="CU493" i="1"/>
  <c r="X493" i="1" s="1"/>
  <c r="Z493" i="1"/>
  <c r="CU477" i="1"/>
  <c r="X477" i="1" s="1"/>
  <c r="Z477" i="1"/>
  <c r="CU496" i="1"/>
  <c r="X496" i="1" s="1"/>
  <c r="Z494" i="1"/>
  <c r="Z489" i="1"/>
  <c r="CU490" i="1"/>
  <c r="X490" i="1" s="1"/>
  <c r="CU491" i="1"/>
  <c r="X491" i="1" s="1"/>
  <c r="Z481" i="1"/>
  <c r="CU479" i="1"/>
  <c r="X479" i="1" s="1"/>
  <c r="Z487" i="1"/>
  <c r="CU480" i="1"/>
  <c r="X480" i="1" s="1"/>
  <c r="CU484" i="1"/>
  <c r="X484" i="1" s="1"/>
  <c r="Z484" i="1"/>
  <c r="Z472" i="1"/>
  <c r="CU495" i="1"/>
  <c r="X495" i="1" s="1"/>
  <c r="CU468" i="1"/>
  <c r="X468" i="1" s="1"/>
  <c r="Z476" i="1"/>
  <c r="CU475" i="1"/>
  <c r="X475" i="1" s="1"/>
  <c r="CU474" i="1"/>
  <c r="X474" i="1" s="1"/>
  <c r="CU485" i="1"/>
  <c r="X485" i="1" s="1"/>
  <c r="CU494" i="1"/>
  <c r="X494" i="1" s="1"/>
  <c r="CU492" i="1"/>
  <c r="X492" i="1" s="1"/>
  <c r="AD492" i="1" l="1"/>
  <c r="AD474" i="1"/>
  <c r="AD469" i="1"/>
  <c r="AD475" i="1"/>
  <c r="AD480" i="1"/>
  <c r="AD496" i="1"/>
  <c r="AD491" i="1"/>
  <c r="AD484" i="1"/>
  <c r="AD488" i="1"/>
  <c r="AD550" i="1"/>
  <c r="AD487" i="1"/>
  <c r="AD477" i="1"/>
  <c r="AD493" i="1"/>
  <c r="AD486" i="1"/>
  <c r="AD525" i="1"/>
  <c r="AD485" i="1"/>
  <c r="AD495" i="1"/>
  <c r="AD478" i="1"/>
  <c r="AD476" i="1"/>
  <c r="AD479" i="1"/>
  <c r="AD483" i="1"/>
  <c r="AD489" i="1"/>
  <c r="AD468" i="1"/>
  <c r="AD481" i="1"/>
  <c r="AD472" i="1"/>
  <c r="AD482" i="1"/>
  <c r="AD494" i="1"/>
  <c r="AD490" i="1"/>
  <c r="DC450" i="1"/>
  <c r="CY450" i="1"/>
  <c r="Y450" i="1" s="1"/>
  <c r="CW450" i="1"/>
  <c r="AA450" i="1" s="1"/>
  <c r="CR450" i="1"/>
  <c r="CP450" i="1"/>
  <c r="CN450" i="1"/>
  <c r="CJ450" i="1"/>
  <c r="CH450" i="1"/>
  <c r="CF450" i="1"/>
  <c r="BL450" i="1"/>
  <c r="BD450" i="1"/>
  <c r="AZ450" i="1"/>
  <c r="AX450" i="1"/>
  <c r="DC461" i="1"/>
  <c r="CY461" i="1"/>
  <c r="Y461" i="1" s="1"/>
  <c r="CW461" i="1"/>
  <c r="AA461" i="1" s="1"/>
  <c r="CR461" i="1"/>
  <c r="CP461" i="1"/>
  <c r="CN461" i="1"/>
  <c r="CJ461" i="1"/>
  <c r="CH461" i="1"/>
  <c r="CF461" i="1"/>
  <c r="BL461" i="1"/>
  <c r="BD461" i="1"/>
  <c r="AZ461" i="1"/>
  <c r="AX461" i="1"/>
  <c r="DC463" i="1"/>
  <c r="CY463" i="1"/>
  <c r="Y463" i="1" s="1"/>
  <c r="CW463" i="1"/>
  <c r="AA463" i="1" s="1"/>
  <c r="CR463" i="1"/>
  <c r="CP463" i="1"/>
  <c r="CN463" i="1"/>
  <c r="CJ463" i="1"/>
  <c r="CH463" i="1"/>
  <c r="CF463" i="1"/>
  <c r="BL463" i="1"/>
  <c r="BD463" i="1"/>
  <c r="AZ463" i="1"/>
  <c r="AX463" i="1"/>
  <c r="DC462" i="1"/>
  <c r="CY462" i="1"/>
  <c r="Y462" i="1" s="1"/>
  <c r="CW462" i="1"/>
  <c r="AA462" i="1" s="1"/>
  <c r="CR462" i="1"/>
  <c r="CP462" i="1"/>
  <c r="CN462" i="1"/>
  <c r="CJ462" i="1"/>
  <c r="CH462" i="1"/>
  <c r="CF462" i="1"/>
  <c r="BL462" i="1"/>
  <c r="BD462" i="1"/>
  <c r="AZ462" i="1"/>
  <c r="AX462" i="1"/>
  <c r="DC460" i="1"/>
  <c r="CY460" i="1"/>
  <c r="Y460" i="1" s="1"/>
  <c r="CW460" i="1"/>
  <c r="AA460" i="1" s="1"/>
  <c r="CR460" i="1"/>
  <c r="CP460" i="1"/>
  <c r="CN460" i="1"/>
  <c r="CJ460" i="1"/>
  <c r="CH460" i="1"/>
  <c r="CF460" i="1"/>
  <c r="BL460" i="1"/>
  <c r="BD460" i="1"/>
  <c r="AZ460" i="1"/>
  <c r="AX460" i="1"/>
  <c r="DC465" i="1"/>
  <c r="CY465" i="1"/>
  <c r="Y465" i="1" s="1"/>
  <c r="CW465" i="1"/>
  <c r="AA465" i="1" s="1"/>
  <c r="CR465" i="1"/>
  <c r="CP465" i="1"/>
  <c r="CN465" i="1"/>
  <c r="CJ465" i="1"/>
  <c r="CH465" i="1"/>
  <c r="CF465" i="1"/>
  <c r="BL465" i="1"/>
  <c r="BD465" i="1"/>
  <c r="AZ465" i="1"/>
  <c r="AX465" i="1"/>
  <c r="DC457" i="1"/>
  <c r="CY457" i="1"/>
  <c r="Y457" i="1" s="1"/>
  <c r="CW457" i="1"/>
  <c r="AA457" i="1" s="1"/>
  <c r="CR457" i="1"/>
  <c r="CP457" i="1"/>
  <c r="CN457" i="1"/>
  <c r="CJ457" i="1"/>
  <c r="CH457" i="1"/>
  <c r="CF457" i="1"/>
  <c r="BL457" i="1"/>
  <c r="BD457" i="1"/>
  <c r="AZ457" i="1"/>
  <c r="AX457" i="1"/>
  <c r="DC467" i="1"/>
  <c r="CY467" i="1"/>
  <c r="Y467" i="1" s="1"/>
  <c r="CW467" i="1"/>
  <c r="AA467" i="1" s="1"/>
  <c r="CR467" i="1"/>
  <c r="CP467" i="1"/>
  <c r="CN467" i="1"/>
  <c r="CJ467" i="1"/>
  <c r="CH467" i="1"/>
  <c r="CF467" i="1"/>
  <c r="BL467" i="1"/>
  <c r="BD467" i="1"/>
  <c r="AZ467" i="1"/>
  <c r="AX467" i="1"/>
  <c r="DC458" i="1"/>
  <c r="CY458" i="1"/>
  <c r="Y458" i="1" s="1"/>
  <c r="CW458" i="1"/>
  <c r="AA458" i="1" s="1"/>
  <c r="CR458" i="1"/>
  <c r="CP458" i="1"/>
  <c r="CN458" i="1"/>
  <c r="CJ458" i="1"/>
  <c r="CH458" i="1"/>
  <c r="CF458" i="1"/>
  <c r="BL458" i="1"/>
  <c r="BD458" i="1"/>
  <c r="AZ458" i="1"/>
  <c r="AX458" i="1"/>
  <c r="DC464" i="1"/>
  <c r="CY464" i="1"/>
  <c r="Y464" i="1" s="1"/>
  <c r="CW464" i="1"/>
  <c r="AA464" i="1" s="1"/>
  <c r="CR464" i="1"/>
  <c r="CP464" i="1"/>
  <c r="CN464" i="1"/>
  <c r="CJ464" i="1"/>
  <c r="CH464" i="1"/>
  <c r="CF464" i="1"/>
  <c r="BL464" i="1"/>
  <c r="BD464" i="1"/>
  <c r="AZ464" i="1"/>
  <c r="AX464" i="1"/>
  <c r="DC456" i="1"/>
  <c r="CY456" i="1"/>
  <c r="Y456" i="1" s="1"/>
  <c r="CW456" i="1"/>
  <c r="AA456" i="1" s="1"/>
  <c r="CR456" i="1"/>
  <c r="CP456" i="1"/>
  <c r="CN456" i="1"/>
  <c r="CJ456" i="1"/>
  <c r="CH456" i="1"/>
  <c r="CF456" i="1"/>
  <c r="BL456" i="1"/>
  <c r="BD456" i="1"/>
  <c r="AZ456" i="1"/>
  <c r="AX456" i="1"/>
  <c r="Z457" i="1" l="1"/>
  <c r="Z460" i="1"/>
  <c r="Z463" i="1"/>
  <c r="CU465" i="1"/>
  <c r="X465" i="1" s="1"/>
  <c r="CU460" i="1"/>
  <c r="X460" i="1" s="1"/>
  <c r="CU461" i="1"/>
  <c r="X461" i="1" s="1"/>
  <c r="Z462" i="1"/>
  <c r="Z450" i="1"/>
  <c r="CU464" i="1"/>
  <c r="X464" i="1" s="1"/>
  <c r="Z464" i="1"/>
  <c r="CU458" i="1"/>
  <c r="X458" i="1" s="1"/>
  <c r="CU467" i="1"/>
  <c r="X467" i="1" s="1"/>
  <c r="Z467" i="1"/>
  <c r="CU457" i="1"/>
  <c r="X457" i="1" s="1"/>
  <c r="CU463" i="1"/>
  <c r="X463" i="1" s="1"/>
  <c r="CU462" i="1"/>
  <c r="X462" i="1" s="1"/>
  <c r="CU450" i="1"/>
  <c r="X450" i="1" s="1"/>
  <c r="Z465" i="1"/>
  <c r="Z461" i="1"/>
  <c r="CU456" i="1"/>
  <c r="X456" i="1" s="1"/>
  <c r="Z456" i="1"/>
  <c r="Z458" i="1"/>
  <c r="DC441" i="1"/>
  <c r="CY441" i="1"/>
  <c r="CW441" i="1"/>
  <c r="CR441" i="1"/>
  <c r="CP441" i="1"/>
  <c r="CN441" i="1"/>
  <c r="CJ441" i="1"/>
  <c r="CH441" i="1"/>
  <c r="CF441" i="1"/>
  <c r="BL441" i="1"/>
  <c r="BD441" i="1"/>
  <c r="AZ441" i="1"/>
  <c r="AX441" i="1"/>
  <c r="DC448" i="1"/>
  <c r="CY448" i="1"/>
  <c r="Y448" i="1" s="1"/>
  <c r="CW448" i="1"/>
  <c r="AA448" i="1" s="1"/>
  <c r="CR448" i="1"/>
  <c r="CP448" i="1"/>
  <c r="CN448" i="1"/>
  <c r="CJ448" i="1"/>
  <c r="CH448" i="1"/>
  <c r="CF448" i="1"/>
  <c r="BL448" i="1"/>
  <c r="BD448" i="1"/>
  <c r="AZ448" i="1"/>
  <c r="AX448" i="1"/>
  <c r="DC446" i="1"/>
  <c r="CY446" i="1"/>
  <c r="Y446" i="1" s="1"/>
  <c r="CW446" i="1"/>
  <c r="AA446" i="1" s="1"/>
  <c r="CR446" i="1"/>
  <c r="CP446" i="1"/>
  <c r="CN446" i="1"/>
  <c r="CJ446" i="1"/>
  <c r="CH446" i="1"/>
  <c r="CF446" i="1"/>
  <c r="BL446" i="1"/>
  <c r="BD446" i="1"/>
  <c r="AZ446" i="1"/>
  <c r="AX446" i="1"/>
  <c r="DC439" i="1"/>
  <c r="CY439" i="1"/>
  <c r="Y439" i="1" s="1"/>
  <c r="CW439" i="1"/>
  <c r="AA439" i="1" s="1"/>
  <c r="CR439" i="1"/>
  <c r="CP439" i="1"/>
  <c r="CN439" i="1"/>
  <c r="CJ439" i="1"/>
  <c r="CH439" i="1"/>
  <c r="CF439" i="1"/>
  <c r="BL439" i="1"/>
  <c r="BD439" i="1"/>
  <c r="AZ439" i="1"/>
  <c r="AX439" i="1"/>
  <c r="DC445" i="1"/>
  <c r="CY445" i="1"/>
  <c r="Y445" i="1" s="1"/>
  <c r="CW445" i="1"/>
  <c r="AA445" i="1" s="1"/>
  <c r="CR445" i="1"/>
  <c r="CP445" i="1"/>
  <c r="CN445" i="1"/>
  <c r="CJ445" i="1"/>
  <c r="CH445" i="1"/>
  <c r="CF445" i="1"/>
  <c r="BL445" i="1"/>
  <c r="BD445" i="1"/>
  <c r="AZ445" i="1"/>
  <c r="AX445" i="1"/>
  <c r="DC443" i="1"/>
  <c r="CY443" i="1"/>
  <c r="Y443" i="1" s="1"/>
  <c r="CW443" i="1"/>
  <c r="AA443" i="1" s="1"/>
  <c r="CR443" i="1"/>
  <c r="CP443" i="1"/>
  <c r="CN443" i="1"/>
  <c r="CJ443" i="1"/>
  <c r="CH443" i="1"/>
  <c r="CF443" i="1"/>
  <c r="BL443" i="1"/>
  <c r="BD443" i="1"/>
  <c r="AZ443" i="1"/>
  <c r="AX443" i="1"/>
  <c r="DC437" i="1"/>
  <c r="CY437" i="1"/>
  <c r="Y437" i="1" s="1"/>
  <c r="CW437" i="1"/>
  <c r="AA437" i="1" s="1"/>
  <c r="CR437" i="1"/>
  <c r="CP437" i="1"/>
  <c r="CN437" i="1"/>
  <c r="CJ437" i="1"/>
  <c r="CH437" i="1"/>
  <c r="CF437" i="1"/>
  <c r="BL437" i="1"/>
  <c r="BD437" i="1"/>
  <c r="AZ437" i="1"/>
  <c r="AX437" i="1"/>
  <c r="DC442" i="1"/>
  <c r="CY442" i="1"/>
  <c r="Y442" i="1" s="1"/>
  <c r="CW442" i="1"/>
  <c r="AA442" i="1" s="1"/>
  <c r="CR442" i="1"/>
  <c r="CP442" i="1"/>
  <c r="CN442" i="1"/>
  <c r="CJ442" i="1"/>
  <c r="CH442" i="1"/>
  <c r="CF442" i="1"/>
  <c r="BL442" i="1"/>
  <c r="BD442" i="1"/>
  <c r="AZ442" i="1"/>
  <c r="AX442" i="1"/>
  <c r="DC438" i="1"/>
  <c r="CY438" i="1"/>
  <c r="Y438" i="1" s="1"/>
  <c r="CW438" i="1"/>
  <c r="AA438" i="1" s="1"/>
  <c r="CR438" i="1"/>
  <c r="CP438" i="1"/>
  <c r="CN438" i="1"/>
  <c r="CJ438" i="1"/>
  <c r="CH438" i="1"/>
  <c r="CF438" i="1"/>
  <c r="BL438" i="1"/>
  <c r="BD438" i="1"/>
  <c r="AZ438" i="1"/>
  <c r="AX438" i="1"/>
  <c r="DC444" i="1"/>
  <c r="CY444" i="1"/>
  <c r="Y444" i="1" s="1"/>
  <c r="CW444" i="1"/>
  <c r="AA444" i="1" s="1"/>
  <c r="CR444" i="1"/>
  <c r="CP444" i="1"/>
  <c r="CN444" i="1"/>
  <c r="CJ444" i="1"/>
  <c r="CH444" i="1"/>
  <c r="CF444" i="1"/>
  <c r="BL444" i="1"/>
  <c r="BD444" i="1"/>
  <c r="AZ444" i="1"/>
  <c r="AX444" i="1"/>
  <c r="DC453" i="1"/>
  <c r="CY453" i="1"/>
  <c r="Y453" i="1" s="1"/>
  <c r="CW453" i="1"/>
  <c r="AA453" i="1" s="1"/>
  <c r="CR453" i="1"/>
  <c r="CP453" i="1"/>
  <c r="CN453" i="1"/>
  <c r="CJ453" i="1"/>
  <c r="CH453" i="1"/>
  <c r="CF453" i="1"/>
  <c r="BL453" i="1"/>
  <c r="BD453" i="1"/>
  <c r="AZ453" i="1"/>
  <c r="AX453" i="1"/>
  <c r="DC440" i="1"/>
  <c r="CY440" i="1"/>
  <c r="Y440" i="1" s="1"/>
  <c r="CW440" i="1"/>
  <c r="AA440" i="1" s="1"/>
  <c r="CR440" i="1"/>
  <c r="CP440" i="1"/>
  <c r="CN440" i="1"/>
  <c r="CJ440" i="1"/>
  <c r="CH440" i="1"/>
  <c r="CF440" i="1"/>
  <c r="BL440" i="1"/>
  <c r="BD440" i="1"/>
  <c r="AZ440" i="1"/>
  <c r="AX440" i="1"/>
  <c r="DC447" i="1"/>
  <c r="CY447" i="1"/>
  <c r="Y447" i="1" s="1"/>
  <c r="CW447" i="1"/>
  <c r="AA447" i="1" s="1"/>
  <c r="CR447" i="1"/>
  <c r="CP447" i="1"/>
  <c r="CN447" i="1"/>
  <c r="CJ447" i="1"/>
  <c r="CH447" i="1"/>
  <c r="CF447" i="1"/>
  <c r="BL447" i="1"/>
  <c r="BD447" i="1"/>
  <c r="AZ447" i="1"/>
  <c r="AX447" i="1"/>
  <c r="DC436" i="1"/>
  <c r="CY436" i="1"/>
  <c r="Y436" i="1" s="1"/>
  <c r="CW436" i="1"/>
  <c r="AA436" i="1" s="1"/>
  <c r="CR436" i="1"/>
  <c r="CP436" i="1"/>
  <c r="CN436" i="1"/>
  <c r="CJ436" i="1"/>
  <c r="CH436" i="1"/>
  <c r="CF436" i="1"/>
  <c r="BL436" i="1"/>
  <c r="BD436" i="1"/>
  <c r="AZ436" i="1"/>
  <c r="AX436" i="1"/>
  <c r="DC435" i="1"/>
  <c r="CY435" i="1"/>
  <c r="Y435" i="1" s="1"/>
  <c r="CW435" i="1"/>
  <c r="AA435" i="1" s="1"/>
  <c r="CR435" i="1"/>
  <c r="CP435" i="1"/>
  <c r="CN435" i="1"/>
  <c r="CJ435" i="1"/>
  <c r="CH435" i="1"/>
  <c r="CF435" i="1"/>
  <c r="BL435" i="1"/>
  <c r="BD435" i="1"/>
  <c r="AZ435" i="1"/>
  <c r="AX435" i="1"/>
  <c r="DC434" i="1"/>
  <c r="CY434" i="1"/>
  <c r="Y434" i="1" s="1"/>
  <c r="CW434" i="1"/>
  <c r="AA434" i="1" s="1"/>
  <c r="CR434" i="1"/>
  <c r="CP434" i="1"/>
  <c r="CN434" i="1"/>
  <c r="CJ434" i="1"/>
  <c r="CH434" i="1"/>
  <c r="CF434" i="1"/>
  <c r="BL434" i="1"/>
  <c r="BD434" i="1"/>
  <c r="AZ434" i="1"/>
  <c r="AX434" i="1"/>
  <c r="DC433" i="1"/>
  <c r="CY433" i="1"/>
  <c r="Y433" i="1" s="1"/>
  <c r="CW433" i="1"/>
  <c r="AA433" i="1" s="1"/>
  <c r="CR433" i="1"/>
  <c r="CP433" i="1"/>
  <c r="CN433" i="1"/>
  <c r="CJ433" i="1"/>
  <c r="CH433" i="1"/>
  <c r="CF433" i="1"/>
  <c r="BL433" i="1"/>
  <c r="BD433" i="1"/>
  <c r="AZ433" i="1"/>
  <c r="AX433" i="1"/>
  <c r="AD460" i="1" l="1"/>
  <c r="AD465" i="1"/>
  <c r="AD457" i="1"/>
  <c r="AD463" i="1"/>
  <c r="AD450" i="1"/>
  <c r="AD462" i="1"/>
  <c r="AD461" i="1"/>
  <c r="AD456" i="1"/>
  <c r="AD467" i="1"/>
  <c r="AD464" i="1"/>
  <c r="AD458" i="1"/>
  <c r="Z443" i="1"/>
  <c r="Z439" i="1"/>
  <c r="Z433" i="1"/>
  <c r="Z447" i="1"/>
  <c r="Z448" i="1"/>
  <c r="Z434" i="1"/>
  <c r="CU436" i="1"/>
  <c r="X436" i="1" s="1"/>
  <c r="Z436" i="1"/>
  <c r="Z440" i="1"/>
  <c r="Z444" i="1"/>
  <c r="Z438" i="1"/>
  <c r="CU437" i="1"/>
  <c r="X437" i="1" s="1"/>
  <c r="Z437" i="1"/>
  <c r="Z445" i="1"/>
  <c r="CU446" i="1"/>
  <c r="X446" i="1" s="1"/>
  <c r="Z446" i="1"/>
  <c r="Z435" i="1"/>
  <c r="Z453" i="1"/>
  <c r="Z442" i="1"/>
  <c r="CU444" i="1"/>
  <c r="X444" i="1" s="1"/>
  <c r="CU441" i="1"/>
  <c r="CU433" i="1"/>
  <c r="X433" i="1" s="1"/>
  <c r="CU434" i="1"/>
  <c r="X434" i="1" s="1"/>
  <c r="CU447" i="1"/>
  <c r="X447" i="1" s="1"/>
  <c r="CU440" i="1"/>
  <c r="X440" i="1" s="1"/>
  <c r="CU438" i="1"/>
  <c r="X438" i="1" s="1"/>
  <c r="CU443" i="1"/>
  <c r="X443" i="1" s="1"/>
  <c r="CU445" i="1"/>
  <c r="X445" i="1" s="1"/>
  <c r="CU448" i="1"/>
  <c r="X448" i="1" s="1"/>
  <c r="CU435" i="1"/>
  <c r="X435" i="1" s="1"/>
  <c r="CU453" i="1"/>
  <c r="X453" i="1" s="1"/>
  <c r="CU442" i="1"/>
  <c r="X442" i="1" s="1"/>
  <c r="CU439" i="1"/>
  <c r="X439" i="1" s="1"/>
  <c r="AB294" i="1"/>
  <c r="AB3917" i="1" s="1"/>
  <c r="AD433" i="1" l="1"/>
  <c r="AD442" i="1"/>
  <c r="AD453" i="1"/>
  <c r="AD445" i="1"/>
  <c r="AD435" i="1"/>
  <c r="AD443" i="1"/>
  <c r="AD447" i="1"/>
  <c r="AD439" i="1"/>
  <c r="AD448" i="1"/>
  <c r="AD438" i="1"/>
  <c r="AD434" i="1"/>
  <c r="AD446" i="1"/>
  <c r="AD436" i="1"/>
  <c r="AD444" i="1"/>
  <c r="AD437" i="1"/>
  <c r="AD440" i="1"/>
  <c r="DC519" i="1"/>
  <c r="CY519" i="1"/>
  <c r="Y519" i="1" s="1"/>
  <c r="CW519" i="1"/>
  <c r="AA519" i="1" s="1"/>
  <c r="CR519" i="1"/>
  <c r="CP519" i="1"/>
  <c r="CN519" i="1"/>
  <c r="CJ519" i="1"/>
  <c r="CH519" i="1"/>
  <c r="CF519" i="1"/>
  <c r="BL519" i="1"/>
  <c r="BD519" i="1"/>
  <c r="AZ519" i="1"/>
  <c r="AX519" i="1"/>
  <c r="DC526" i="1"/>
  <c r="CY526" i="1"/>
  <c r="Y526" i="1" s="1"/>
  <c r="CW526" i="1"/>
  <c r="AA526" i="1" s="1"/>
  <c r="CR526" i="1"/>
  <c r="CP526" i="1"/>
  <c r="CN526" i="1"/>
  <c r="CJ526" i="1"/>
  <c r="CH526" i="1"/>
  <c r="CF526" i="1"/>
  <c r="BL526" i="1"/>
  <c r="BD526" i="1"/>
  <c r="AZ526" i="1"/>
  <c r="AX526" i="1"/>
  <c r="DC466" i="1"/>
  <c r="CY466" i="1"/>
  <c r="Y466" i="1" s="1"/>
  <c r="CW466" i="1"/>
  <c r="AA466" i="1" s="1"/>
  <c r="CR466" i="1"/>
  <c r="CP466" i="1"/>
  <c r="CN466" i="1"/>
  <c r="CJ466" i="1"/>
  <c r="CH466" i="1"/>
  <c r="CF466" i="1"/>
  <c r="BL466" i="1"/>
  <c r="BD466" i="1"/>
  <c r="AZ466" i="1"/>
  <c r="AX466" i="1"/>
  <c r="DC459" i="1"/>
  <c r="CY459" i="1"/>
  <c r="Y459" i="1" s="1"/>
  <c r="CW459" i="1"/>
  <c r="AA459" i="1" s="1"/>
  <c r="CR459" i="1"/>
  <c r="CP459" i="1"/>
  <c r="CN459" i="1"/>
  <c r="CJ459" i="1"/>
  <c r="CH459" i="1"/>
  <c r="CF459" i="1"/>
  <c r="BL459" i="1"/>
  <c r="BD459" i="1"/>
  <c r="AZ459" i="1"/>
  <c r="AX459" i="1"/>
  <c r="DC449" i="1"/>
  <c r="CY449" i="1"/>
  <c r="Y449" i="1" s="1"/>
  <c r="CW449" i="1"/>
  <c r="AA449" i="1" s="1"/>
  <c r="CR449" i="1"/>
  <c r="CP449" i="1"/>
  <c r="CN449" i="1"/>
  <c r="CJ449" i="1"/>
  <c r="CH449" i="1"/>
  <c r="CF449" i="1"/>
  <c r="BL449" i="1"/>
  <c r="BD449" i="1"/>
  <c r="AZ449" i="1"/>
  <c r="AX449" i="1"/>
  <c r="DC452" i="1"/>
  <c r="CY452" i="1"/>
  <c r="Y452" i="1" s="1"/>
  <c r="CW452" i="1"/>
  <c r="AA452" i="1" s="1"/>
  <c r="CR452" i="1"/>
  <c r="CP452" i="1"/>
  <c r="CN452" i="1"/>
  <c r="CJ452" i="1"/>
  <c r="CH452" i="1"/>
  <c r="CF452" i="1"/>
  <c r="BL452" i="1"/>
  <c r="BD452" i="1"/>
  <c r="AZ452" i="1"/>
  <c r="AX452" i="1"/>
  <c r="DC454" i="1"/>
  <c r="CY454" i="1"/>
  <c r="Y454" i="1" s="1"/>
  <c r="CW454" i="1"/>
  <c r="AA454" i="1" s="1"/>
  <c r="CR454" i="1"/>
  <c r="CP454" i="1"/>
  <c r="CN454" i="1"/>
  <c r="CJ454" i="1"/>
  <c r="CH454" i="1"/>
  <c r="CF454" i="1"/>
  <c r="BL454" i="1"/>
  <c r="BD454" i="1"/>
  <c r="AZ454" i="1"/>
  <c r="AX454" i="1"/>
  <c r="DC451" i="1"/>
  <c r="CY451" i="1"/>
  <c r="Y451" i="1" s="1"/>
  <c r="CW451" i="1"/>
  <c r="AA451" i="1" s="1"/>
  <c r="CR451" i="1"/>
  <c r="CP451" i="1"/>
  <c r="CN451" i="1"/>
  <c r="CJ451" i="1"/>
  <c r="CH451" i="1"/>
  <c r="CF451" i="1"/>
  <c r="BL451" i="1"/>
  <c r="BD451" i="1"/>
  <c r="AZ451" i="1"/>
  <c r="AX451" i="1"/>
  <c r="DC431" i="1"/>
  <c r="CY431" i="1"/>
  <c r="Y431" i="1" s="1"/>
  <c r="CW431" i="1"/>
  <c r="AA431" i="1" s="1"/>
  <c r="CR431" i="1"/>
  <c r="CP431" i="1"/>
  <c r="CN431" i="1"/>
  <c r="CJ431" i="1"/>
  <c r="CH431" i="1"/>
  <c r="CF431" i="1"/>
  <c r="BL431" i="1"/>
  <c r="BD431" i="1"/>
  <c r="AZ431" i="1"/>
  <c r="AX431" i="1"/>
  <c r="DC432" i="1"/>
  <c r="CY432" i="1"/>
  <c r="Y432" i="1" s="1"/>
  <c r="CW432" i="1"/>
  <c r="AA432" i="1" s="1"/>
  <c r="CR432" i="1"/>
  <c r="CP432" i="1"/>
  <c r="CN432" i="1"/>
  <c r="CJ432" i="1"/>
  <c r="CH432" i="1"/>
  <c r="CF432" i="1"/>
  <c r="BL432" i="1"/>
  <c r="BD432" i="1"/>
  <c r="AZ432" i="1"/>
  <c r="AX432" i="1"/>
  <c r="DC423" i="1"/>
  <c r="CY423" i="1"/>
  <c r="Y423" i="1" s="1"/>
  <c r="CW423" i="1"/>
  <c r="AA423" i="1" s="1"/>
  <c r="CR423" i="1"/>
  <c r="CP423" i="1"/>
  <c r="CN423" i="1"/>
  <c r="CJ423" i="1"/>
  <c r="CH423" i="1"/>
  <c r="CF423" i="1"/>
  <c r="BL423" i="1"/>
  <c r="BD423" i="1"/>
  <c r="AZ423" i="1"/>
  <c r="AX423" i="1"/>
  <c r="Y441" i="1"/>
  <c r="DC426" i="1"/>
  <c r="CY426" i="1"/>
  <c r="Y426" i="1" s="1"/>
  <c r="CW426" i="1"/>
  <c r="AA426" i="1" s="1"/>
  <c r="CR426" i="1"/>
  <c r="CP426" i="1"/>
  <c r="CN426" i="1"/>
  <c r="CJ426" i="1"/>
  <c r="CH426" i="1"/>
  <c r="CF426" i="1"/>
  <c r="BL426" i="1"/>
  <c r="BD426" i="1"/>
  <c r="AZ426" i="1"/>
  <c r="AX426" i="1"/>
  <c r="DC408" i="1"/>
  <c r="CY408" i="1"/>
  <c r="Y408" i="1" s="1"/>
  <c r="CW408" i="1"/>
  <c r="AA408" i="1" s="1"/>
  <c r="CR408" i="1"/>
  <c r="CP408" i="1"/>
  <c r="CN408" i="1"/>
  <c r="CJ408" i="1"/>
  <c r="CH408" i="1"/>
  <c r="CF408" i="1"/>
  <c r="BL408" i="1"/>
  <c r="BD408" i="1"/>
  <c r="AZ408" i="1"/>
  <c r="AX408" i="1"/>
  <c r="DC411" i="1"/>
  <c r="CY411" i="1"/>
  <c r="Y411" i="1" s="1"/>
  <c r="CW411" i="1"/>
  <c r="AA411" i="1" s="1"/>
  <c r="CR411" i="1"/>
  <c r="CP411" i="1"/>
  <c r="CN411" i="1"/>
  <c r="CJ411" i="1"/>
  <c r="CH411" i="1"/>
  <c r="CF411" i="1"/>
  <c r="BL411" i="1"/>
  <c r="BD411" i="1"/>
  <c r="AZ411" i="1"/>
  <c r="AX411" i="1"/>
  <c r="AA441" i="1"/>
  <c r="Z432" i="1" l="1"/>
  <c r="Z426" i="1"/>
  <c r="Z423" i="1"/>
  <c r="Z451" i="1"/>
  <c r="Z411" i="1"/>
  <c r="CU449" i="1"/>
  <c r="X449" i="1" s="1"/>
  <c r="CU466" i="1"/>
  <c r="X466" i="1" s="1"/>
  <c r="Z519" i="1"/>
  <c r="X441" i="1"/>
  <c r="Z441" i="1"/>
  <c r="CU431" i="1"/>
  <c r="X431" i="1" s="1"/>
  <c r="Z431" i="1"/>
  <c r="CU454" i="1"/>
  <c r="X454" i="1" s="1"/>
  <c r="Z452" i="1"/>
  <c r="Z459" i="1"/>
  <c r="Z408" i="1"/>
  <c r="CU411" i="1"/>
  <c r="X411" i="1" s="1"/>
  <c r="CU423" i="1"/>
  <c r="X423" i="1" s="1"/>
  <c r="CU451" i="1"/>
  <c r="X451" i="1" s="1"/>
  <c r="Z449" i="1"/>
  <c r="Z466" i="1"/>
  <c r="CU526" i="1"/>
  <c r="X526" i="1" s="1"/>
  <c r="CU519" i="1"/>
  <c r="X519" i="1" s="1"/>
  <c r="CU452" i="1"/>
  <c r="X452" i="1" s="1"/>
  <c r="CU459" i="1"/>
  <c r="X459" i="1" s="1"/>
  <c r="CU408" i="1"/>
  <c r="X408" i="1" s="1"/>
  <c r="CU426" i="1"/>
  <c r="X426" i="1" s="1"/>
  <c r="CU432" i="1"/>
  <c r="X432" i="1" s="1"/>
  <c r="Z454" i="1"/>
  <c r="Z526" i="1"/>
  <c r="DE3917" i="1"/>
  <c r="AD449" i="1" l="1"/>
  <c r="AD432" i="1"/>
  <c r="AD454" i="1"/>
  <c r="AD423" i="1"/>
  <c r="AD466" i="1"/>
  <c r="AD519" i="1"/>
  <c r="AD426" i="1"/>
  <c r="AD451" i="1"/>
  <c r="AD431" i="1"/>
  <c r="AD408" i="1"/>
  <c r="AD441" i="1"/>
  <c r="AD411" i="1"/>
  <c r="AD459" i="1"/>
  <c r="AD526" i="1"/>
  <c r="AD452" i="1"/>
  <c r="DC412" i="1" l="1"/>
  <c r="CY412" i="1"/>
  <c r="Y412" i="1" s="1"/>
  <c r="CW412" i="1"/>
  <c r="AA412" i="1" s="1"/>
  <c r="CR412" i="1"/>
  <c r="CP412" i="1"/>
  <c r="CN412" i="1"/>
  <c r="CJ412" i="1"/>
  <c r="CH412" i="1"/>
  <c r="CF412" i="1"/>
  <c r="BL412" i="1"/>
  <c r="BD412" i="1"/>
  <c r="AZ412" i="1"/>
  <c r="AX412" i="1"/>
  <c r="DC377" i="1"/>
  <c r="CY377" i="1"/>
  <c r="Y377" i="1" s="1"/>
  <c r="CW377" i="1"/>
  <c r="AA377" i="1" s="1"/>
  <c r="CR377" i="1"/>
  <c r="CP377" i="1"/>
  <c r="CN377" i="1"/>
  <c r="CJ377" i="1"/>
  <c r="CH377" i="1"/>
  <c r="CF377" i="1"/>
  <c r="BL377" i="1"/>
  <c r="BD377" i="1"/>
  <c r="AZ377" i="1"/>
  <c r="AX377" i="1"/>
  <c r="DC392" i="1"/>
  <c r="CY392" i="1"/>
  <c r="Y392" i="1" s="1"/>
  <c r="CW392" i="1"/>
  <c r="AA392" i="1" s="1"/>
  <c r="CR392" i="1"/>
  <c r="CP392" i="1"/>
  <c r="CN392" i="1"/>
  <c r="CJ392" i="1"/>
  <c r="CH392" i="1"/>
  <c r="CF392" i="1"/>
  <c r="BL392" i="1"/>
  <c r="BD392" i="1"/>
  <c r="AZ392" i="1"/>
  <c r="AX392" i="1"/>
  <c r="DC404" i="1"/>
  <c r="CY404" i="1"/>
  <c r="Y404" i="1" s="1"/>
  <c r="CW404" i="1"/>
  <c r="AA404" i="1" s="1"/>
  <c r="CR404" i="1"/>
  <c r="CP404" i="1"/>
  <c r="CN404" i="1"/>
  <c r="CJ404" i="1"/>
  <c r="CH404" i="1"/>
  <c r="CF404" i="1"/>
  <c r="BL404" i="1"/>
  <c r="BD404" i="1"/>
  <c r="AZ404" i="1"/>
  <c r="AX404" i="1"/>
  <c r="DC393" i="1"/>
  <c r="CY393" i="1"/>
  <c r="Y393" i="1" s="1"/>
  <c r="CW393" i="1"/>
  <c r="AA393" i="1" s="1"/>
  <c r="CR393" i="1"/>
  <c r="CP393" i="1"/>
  <c r="CN393" i="1"/>
  <c r="CJ393" i="1"/>
  <c r="CH393" i="1"/>
  <c r="CF393" i="1"/>
  <c r="BL393" i="1"/>
  <c r="BD393" i="1"/>
  <c r="AZ393" i="1"/>
  <c r="AX393" i="1"/>
  <c r="DC405" i="1"/>
  <c r="CY405" i="1"/>
  <c r="Y405" i="1" s="1"/>
  <c r="CW405" i="1"/>
  <c r="AA405" i="1" s="1"/>
  <c r="CR405" i="1"/>
  <c r="CP405" i="1"/>
  <c r="CN405" i="1"/>
  <c r="CJ405" i="1"/>
  <c r="CH405" i="1"/>
  <c r="CF405" i="1"/>
  <c r="BL405" i="1"/>
  <c r="BD405" i="1"/>
  <c r="AZ405" i="1"/>
  <c r="AX405" i="1"/>
  <c r="DC397" i="1"/>
  <c r="CY397" i="1"/>
  <c r="Y397" i="1" s="1"/>
  <c r="CW397" i="1"/>
  <c r="AA397" i="1" s="1"/>
  <c r="CR397" i="1"/>
  <c r="CP397" i="1"/>
  <c r="CN397" i="1"/>
  <c r="CJ397" i="1"/>
  <c r="CH397" i="1"/>
  <c r="CF397" i="1"/>
  <c r="BL397" i="1"/>
  <c r="BD397" i="1"/>
  <c r="AZ397" i="1"/>
  <c r="AX397" i="1"/>
  <c r="DC398" i="1"/>
  <c r="CY398" i="1"/>
  <c r="Y398" i="1" s="1"/>
  <c r="CW398" i="1"/>
  <c r="AA398" i="1" s="1"/>
  <c r="CR398" i="1"/>
  <c r="CP398" i="1"/>
  <c r="CN398" i="1"/>
  <c r="CJ398" i="1"/>
  <c r="CH398" i="1"/>
  <c r="CF398" i="1"/>
  <c r="BL398" i="1"/>
  <c r="BD398" i="1"/>
  <c r="AZ398" i="1"/>
  <c r="AX398" i="1"/>
  <c r="DC400" i="1"/>
  <c r="CY400" i="1"/>
  <c r="Y400" i="1" s="1"/>
  <c r="CW400" i="1"/>
  <c r="AA400" i="1" s="1"/>
  <c r="CR400" i="1"/>
  <c r="CP400" i="1"/>
  <c r="CN400" i="1"/>
  <c r="CJ400" i="1"/>
  <c r="CH400" i="1"/>
  <c r="CF400" i="1"/>
  <c r="BL400" i="1"/>
  <c r="BD400" i="1"/>
  <c r="AZ400" i="1"/>
  <c r="AX400" i="1"/>
  <c r="DC399" i="1"/>
  <c r="CY399" i="1"/>
  <c r="Y399" i="1" s="1"/>
  <c r="CW399" i="1"/>
  <c r="AA399" i="1" s="1"/>
  <c r="CR399" i="1"/>
  <c r="CP399" i="1"/>
  <c r="CN399" i="1"/>
  <c r="CJ399" i="1"/>
  <c r="CH399" i="1"/>
  <c r="CF399" i="1"/>
  <c r="BL399" i="1"/>
  <c r="BD399" i="1"/>
  <c r="AZ399" i="1"/>
  <c r="AX399" i="1"/>
  <c r="DC403" i="1"/>
  <c r="CY403" i="1"/>
  <c r="Y403" i="1" s="1"/>
  <c r="CW403" i="1"/>
  <c r="AA403" i="1" s="1"/>
  <c r="CR403" i="1"/>
  <c r="CP403" i="1"/>
  <c r="CN403" i="1"/>
  <c r="CJ403" i="1"/>
  <c r="CH403" i="1"/>
  <c r="CF403" i="1"/>
  <c r="BL403" i="1"/>
  <c r="BD403" i="1"/>
  <c r="AZ403" i="1"/>
  <c r="AX403" i="1"/>
  <c r="DC402" i="1"/>
  <c r="CY402" i="1"/>
  <c r="Y402" i="1" s="1"/>
  <c r="CW402" i="1"/>
  <c r="AA402" i="1" s="1"/>
  <c r="CR402" i="1"/>
  <c r="CP402" i="1"/>
  <c r="CN402" i="1"/>
  <c r="CJ402" i="1"/>
  <c r="CH402" i="1"/>
  <c r="CF402" i="1"/>
  <c r="BL402" i="1"/>
  <c r="BD402" i="1"/>
  <c r="AZ402" i="1"/>
  <c r="AX402" i="1"/>
  <c r="DC401" i="1"/>
  <c r="CY401" i="1"/>
  <c r="Y401" i="1" s="1"/>
  <c r="CW401" i="1"/>
  <c r="AA401" i="1" s="1"/>
  <c r="CR401" i="1"/>
  <c r="CP401" i="1"/>
  <c r="CN401" i="1"/>
  <c r="CJ401" i="1"/>
  <c r="CH401" i="1"/>
  <c r="CF401" i="1"/>
  <c r="BL401" i="1"/>
  <c r="BD401" i="1"/>
  <c r="AZ401" i="1"/>
  <c r="AX401" i="1"/>
  <c r="DC394" i="1"/>
  <c r="CY394" i="1"/>
  <c r="Y394" i="1" s="1"/>
  <c r="CW394" i="1"/>
  <c r="AA394" i="1" s="1"/>
  <c r="CR394" i="1"/>
  <c r="CP394" i="1"/>
  <c r="CN394" i="1"/>
  <c r="CJ394" i="1"/>
  <c r="CH394" i="1"/>
  <c r="CF394" i="1"/>
  <c r="BL394" i="1"/>
  <c r="BD394" i="1"/>
  <c r="AZ394" i="1"/>
  <c r="AX394" i="1"/>
  <c r="DC384" i="1"/>
  <c r="CY384" i="1"/>
  <c r="Y384" i="1" s="1"/>
  <c r="CW384" i="1"/>
  <c r="AA384" i="1" s="1"/>
  <c r="CR384" i="1"/>
  <c r="CP384" i="1"/>
  <c r="CN384" i="1"/>
  <c r="CJ384" i="1"/>
  <c r="CH384" i="1"/>
  <c r="CF384" i="1"/>
  <c r="BL384" i="1"/>
  <c r="BD384" i="1"/>
  <c r="AZ384" i="1"/>
  <c r="AX384" i="1"/>
  <c r="DC383" i="1"/>
  <c r="CY383" i="1"/>
  <c r="Y383" i="1" s="1"/>
  <c r="CW383" i="1"/>
  <c r="AA383" i="1" s="1"/>
  <c r="CR383" i="1"/>
  <c r="CP383" i="1"/>
  <c r="CN383" i="1"/>
  <c r="CJ383" i="1"/>
  <c r="CH383" i="1"/>
  <c r="CF383" i="1"/>
  <c r="BL383" i="1"/>
  <c r="BD383" i="1"/>
  <c r="AZ383" i="1"/>
  <c r="AX383" i="1"/>
  <c r="DC386" i="1"/>
  <c r="CY386" i="1"/>
  <c r="Y386" i="1" s="1"/>
  <c r="CW386" i="1"/>
  <c r="AA386" i="1" s="1"/>
  <c r="CR386" i="1"/>
  <c r="CP386" i="1"/>
  <c r="CN386" i="1"/>
  <c r="CJ386" i="1"/>
  <c r="CH386" i="1"/>
  <c r="CF386" i="1"/>
  <c r="BL386" i="1"/>
  <c r="BD386" i="1"/>
  <c r="AZ386" i="1"/>
  <c r="AX386" i="1"/>
  <c r="DC385" i="1"/>
  <c r="CY385" i="1"/>
  <c r="Y385" i="1" s="1"/>
  <c r="CW385" i="1"/>
  <c r="AA385" i="1" s="1"/>
  <c r="CR385" i="1"/>
  <c r="CP385" i="1"/>
  <c r="CN385" i="1"/>
  <c r="CJ385" i="1"/>
  <c r="CH385" i="1"/>
  <c r="CF385" i="1"/>
  <c r="BL385" i="1"/>
  <c r="BD385" i="1"/>
  <c r="AZ385" i="1"/>
  <c r="AX385" i="1"/>
  <c r="DC374" i="1"/>
  <c r="CY374" i="1"/>
  <c r="Y374" i="1" s="1"/>
  <c r="CW374" i="1"/>
  <c r="AA374" i="1" s="1"/>
  <c r="CR374" i="1"/>
  <c r="CP374" i="1"/>
  <c r="CN374" i="1"/>
  <c r="CJ374" i="1"/>
  <c r="CH374" i="1"/>
  <c r="CF374" i="1"/>
  <c r="BL374" i="1"/>
  <c r="BD374" i="1"/>
  <c r="AZ374" i="1"/>
  <c r="AX374" i="1"/>
  <c r="DC387" i="1"/>
  <c r="CY387" i="1"/>
  <c r="Y387" i="1" s="1"/>
  <c r="CW387" i="1"/>
  <c r="AA387" i="1" s="1"/>
  <c r="CR387" i="1"/>
  <c r="CP387" i="1"/>
  <c r="CN387" i="1"/>
  <c r="CJ387" i="1"/>
  <c r="CH387" i="1"/>
  <c r="CF387" i="1"/>
  <c r="BL387" i="1"/>
  <c r="BD387" i="1"/>
  <c r="AZ387" i="1"/>
  <c r="AX387" i="1"/>
  <c r="DC389" i="1"/>
  <c r="CY389" i="1"/>
  <c r="Y389" i="1" s="1"/>
  <c r="CW389" i="1"/>
  <c r="AA389" i="1" s="1"/>
  <c r="CR389" i="1"/>
  <c r="CP389" i="1"/>
  <c r="CN389" i="1"/>
  <c r="CJ389" i="1"/>
  <c r="CH389" i="1"/>
  <c r="CF389" i="1"/>
  <c r="BL389" i="1"/>
  <c r="BD389" i="1"/>
  <c r="AZ389" i="1"/>
  <c r="AX389" i="1"/>
  <c r="DC391" i="1"/>
  <c r="CY391" i="1"/>
  <c r="Y391" i="1" s="1"/>
  <c r="CW391" i="1"/>
  <c r="AA391" i="1" s="1"/>
  <c r="CR391" i="1"/>
  <c r="CP391" i="1"/>
  <c r="CN391" i="1"/>
  <c r="CJ391" i="1"/>
  <c r="CH391" i="1"/>
  <c r="CF391" i="1"/>
  <c r="BL391" i="1"/>
  <c r="BD391" i="1"/>
  <c r="AZ391" i="1"/>
  <c r="AX391" i="1"/>
  <c r="DC376" i="1"/>
  <c r="CY376" i="1"/>
  <c r="Y376" i="1" s="1"/>
  <c r="CW376" i="1"/>
  <c r="AA376" i="1" s="1"/>
  <c r="CR376" i="1"/>
  <c r="CP376" i="1"/>
  <c r="CN376" i="1"/>
  <c r="CJ376" i="1"/>
  <c r="CH376" i="1"/>
  <c r="CF376" i="1"/>
  <c r="BL376" i="1"/>
  <c r="BD376" i="1"/>
  <c r="AZ376" i="1"/>
  <c r="AX376" i="1"/>
  <c r="DC378" i="1"/>
  <c r="CY378" i="1"/>
  <c r="Y378" i="1" s="1"/>
  <c r="CW378" i="1"/>
  <c r="AA378" i="1" s="1"/>
  <c r="CR378" i="1"/>
  <c r="CP378" i="1"/>
  <c r="CN378" i="1"/>
  <c r="CJ378" i="1"/>
  <c r="CH378" i="1"/>
  <c r="CF378" i="1"/>
  <c r="BL378" i="1"/>
  <c r="BD378" i="1"/>
  <c r="AZ378" i="1"/>
  <c r="AX378" i="1"/>
  <c r="DC382" i="1"/>
  <c r="CY382" i="1"/>
  <c r="Y382" i="1" s="1"/>
  <c r="CW382" i="1"/>
  <c r="AA382" i="1" s="1"/>
  <c r="CR382" i="1"/>
  <c r="CP382" i="1"/>
  <c r="CN382" i="1"/>
  <c r="CJ382" i="1"/>
  <c r="CH382" i="1"/>
  <c r="CF382" i="1"/>
  <c r="BL382" i="1"/>
  <c r="BD382" i="1"/>
  <c r="AZ382" i="1"/>
  <c r="AX382" i="1"/>
  <c r="DC375" i="1"/>
  <c r="CY375" i="1"/>
  <c r="Y375" i="1" s="1"/>
  <c r="CW375" i="1"/>
  <c r="AA375" i="1" s="1"/>
  <c r="CR375" i="1"/>
  <c r="CP375" i="1"/>
  <c r="CN375" i="1"/>
  <c r="CJ375" i="1"/>
  <c r="CH375" i="1"/>
  <c r="CF375" i="1"/>
  <c r="BL375" i="1"/>
  <c r="BD375" i="1"/>
  <c r="AZ375" i="1"/>
  <c r="AX375" i="1"/>
  <c r="DC381" i="1"/>
  <c r="CY381" i="1"/>
  <c r="Y381" i="1" s="1"/>
  <c r="CW381" i="1"/>
  <c r="AA381" i="1" s="1"/>
  <c r="CR381" i="1"/>
  <c r="CP381" i="1"/>
  <c r="CN381" i="1"/>
  <c r="CJ381" i="1"/>
  <c r="CH381" i="1"/>
  <c r="CF381" i="1"/>
  <c r="BL381" i="1"/>
  <c r="BD381" i="1"/>
  <c r="AZ381" i="1"/>
  <c r="AX381" i="1"/>
  <c r="DC390" i="1"/>
  <c r="CY390" i="1"/>
  <c r="Y390" i="1" s="1"/>
  <c r="CW390" i="1"/>
  <c r="AA390" i="1" s="1"/>
  <c r="CR390" i="1"/>
  <c r="CP390" i="1"/>
  <c r="CN390" i="1"/>
  <c r="CJ390" i="1"/>
  <c r="CH390" i="1"/>
  <c r="CF390" i="1"/>
  <c r="BL390" i="1"/>
  <c r="BD390" i="1"/>
  <c r="AZ390" i="1"/>
  <c r="AX390" i="1"/>
  <c r="DC380" i="1"/>
  <c r="CY380" i="1"/>
  <c r="Y380" i="1" s="1"/>
  <c r="CW380" i="1"/>
  <c r="AA380" i="1" s="1"/>
  <c r="CR380" i="1"/>
  <c r="CP380" i="1"/>
  <c r="CN380" i="1"/>
  <c r="CJ380" i="1"/>
  <c r="CH380" i="1"/>
  <c r="CF380" i="1"/>
  <c r="BL380" i="1"/>
  <c r="BD380" i="1"/>
  <c r="AZ380" i="1"/>
  <c r="AX380" i="1"/>
  <c r="DC379" i="1"/>
  <c r="CY379" i="1"/>
  <c r="Y379" i="1" s="1"/>
  <c r="CW379" i="1"/>
  <c r="AA379" i="1" s="1"/>
  <c r="CR379" i="1"/>
  <c r="CP379" i="1"/>
  <c r="CN379" i="1"/>
  <c r="CJ379" i="1"/>
  <c r="CH379" i="1"/>
  <c r="CF379" i="1"/>
  <c r="BL379" i="1"/>
  <c r="BD379" i="1"/>
  <c r="AZ379" i="1"/>
  <c r="AX379" i="1"/>
  <c r="Z377" i="1" l="1"/>
  <c r="Z412" i="1"/>
  <c r="Z380" i="1"/>
  <c r="Z381" i="1"/>
  <c r="Z382" i="1"/>
  <c r="Z376" i="1"/>
  <c r="Z391" i="1"/>
  <c r="Z387" i="1"/>
  <c r="Z385" i="1"/>
  <c r="Z383" i="1"/>
  <c r="Z394" i="1"/>
  <c r="Z402" i="1"/>
  <c r="Z399" i="1"/>
  <c r="Z397" i="1"/>
  <c r="Z393" i="1"/>
  <c r="Z392" i="1"/>
  <c r="Z379" i="1"/>
  <c r="Z390" i="1"/>
  <c r="Z375" i="1"/>
  <c r="Z378" i="1"/>
  <c r="Z389" i="1"/>
  <c r="Z374" i="1"/>
  <c r="Z386" i="1"/>
  <c r="Z384" i="1"/>
  <c r="Z401" i="1"/>
  <c r="Z403" i="1"/>
  <c r="Z400" i="1"/>
  <c r="Z398" i="1"/>
  <c r="Z405" i="1"/>
  <c r="Z404" i="1"/>
  <c r="CU382" i="1"/>
  <c r="X382" i="1" s="1"/>
  <c r="CU391" i="1"/>
  <c r="X391" i="1" s="1"/>
  <c r="CU389" i="1"/>
  <c r="X389" i="1" s="1"/>
  <c r="CU385" i="1"/>
  <c r="X385" i="1" s="1"/>
  <c r="CU386" i="1"/>
  <c r="X386" i="1" s="1"/>
  <c r="CU394" i="1"/>
  <c r="X394" i="1" s="1"/>
  <c r="CU401" i="1"/>
  <c r="X401" i="1" s="1"/>
  <c r="CU399" i="1"/>
  <c r="X399" i="1" s="1"/>
  <c r="CU400" i="1"/>
  <c r="X400" i="1" s="1"/>
  <c r="CU397" i="1"/>
  <c r="X397" i="1" s="1"/>
  <c r="CU405" i="1"/>
  <c r="X405" i="1" s="1"/>
  <c r="CU393" i="1"/>
  <c r="X393" i="1" s="1"/>
  <c r="CU404" i="1"/>
  <c r="X404" i="1" s="1"/>
  <c r="CU412" i="1"/>
  <c r="X412" i="1" s="1"/>
  <c r="CU380" i="1"/>
  <c r="X380" i="1" s="1"/>
  <c r="CU375" i="1"/>
  <c r="X375" i="1" s="1"/>
  <c r="CU374" i="1"/>
  <c r="X374" i="1" s="1"/>
  <c r="CU384" i="1"/>
  <c r="X384" i="1" s="1"/>
  <c r="CU403" i="1"/>
  <c r="X403" i="1" s="1"/>
  <c r="CU398" i="1"/>
  <c r="X398" i="1" s="1"/>
  <c r="CU377" i="1"/>
  <c r="X377" i="1" s="1"/>
  <c r="CU390" i="1"/>
  <c r="X390" i="1" s="1"/>
  <c r="CU378" i="1"/>
  <c r="X378" i="1" s="1"/>
  <c r="CU379" i="1"/>
  <c r="X379" i="1" s="1"/>
  <c r="CU381" i="1"/>
  <c r="X381" i="1" s="1"/>
  <c r="CU376" i="1"/>
  <c r="X376" i="1" s="1"/>
  <c r="CU387" i="1"/>
  <c r="X387" i="1" s="1"/>
  <c r="CU383" i="1"/>
  <c r="X383" i="1" s="1"/>
  <c r="CU402" i="1"/>
  <c r="X402" i="1" s="1"/>
  <c r="CU392" i="1"/>
  <c r="X392" i="1" s="1"/>
  <c r="AD381" i="1" l="1"/>
  <c r="AD399" i="1"/>
  <c r="AD382" i="1"/>
  <c r="AD393" i="1"/>
  <c r="AD397" i="1"/>
  <c r="AD394" i="1"/>
  <c r="AD391" i="1"/>
  <c r="AD376" i="1"/>
  <c r="AD383" i="1"/>
  <c r="AD405" i="1"/>
  <c r="AD385" i="1"/>
  <c r="AD378" i="1"/>
  <c r="AD387" i="1"/>
  <c r="AD404" i="1"/>
  <c r="AD401" i="1"/>
  <c r="AD389" i="1"/>
  <c r="AD390" i="1"/>
  <c r="AD412" i="1"/>
  <c r="AD400" i="1"/>
  <c r="AD386" i="1"/>
  <c r="AD392" i="1"/>
  <c r="AD402" i="1"/>
  <c r="AD379" i="1"/>
  <c r="AD377" i="1"/>
  <c r="AD403" i="1"/>
  <c r="AD374" i="1"/>
  <c r="AD380" i="1"/>
  <c r="AD398" i="1"/>
  <c r="AD384" i="1"/>
  <c r="AD375" i="1"/>
  <c r="DC410" i="1"/>
  <c r="CY410" i="1"/>
  <c r="Y410" i="1" s="1"/>
  <c r="CW410" i="1"/>
  <c r="AA410" i="1" s="1"/>
  <c r="CR410" i="1"/>
  <c r="CP410" i="1"/>
  <c r="CN410" i="1"/>
  <c r="CJ410" i="1"/>
  <c r="CH410" i="1"/>
  <c r="CF410" i="1"/>
  <c r="BL410" i="1"/>
  <c r="BD410" i="1"/>
  <c r="AZ410" i="1"/>
  <c r="AX410" i="1"/>
  <c r="DC422" i="1"/>
  <c r="CY422" i="1"/>
  <c r="Y422" i="1" s="1"/>
  <c r="CW422" i="1"/>
  <c r="AA422" i="1" s="1"/>
  <c r="CR422" i="1"/>
  <c r="CP422" i="1"/>
  <c r="CN422" i="1"/>
  <c r="CJ422" i="1"/>
  <c r="CH422" i="1"/>
  <c r="CF422" i="1"/>
  <c r="BL422" i="1"/>
  <c r="BD422" i="1"/>
  <c r="AZ422" i="1"/>
  <c r="AX422" i="1"/>
  <c r="DC413" i="1"/>
  <c r="CY413" i="1"/>
  <c r="Y413" i="1" s="1"/>
  <c r="CW413" i="1"/>
  <c r="AA413" i="1" s="1"/>
  <c r="CR413" i="1"/>
  <c r="CP413" i="1"/>
  <c r="CN413" i="1"/>
  <c r="CJ413" i="1"/>
  <c r="CH413" i="1"/>
  <c r="CF413" i="1"/>
  <c r="BL413" i="1"/>
  <c r="BD413" i="1"/>
  <c r="AZ413" i="1"/>
  <c r="AX413" i="1"/>
  <c r="DC414" i="1"/>
  <c r="CY414" i="1"/>
  <c r="Y414" i="1" s="1"/>
  <c r="CW414" i="1"/>
  <c r="AA414" i="1" s="1"/>
  <c r="CR414" i="1"/>
  <c r="CP414" i="1"/>
  <c r="CN414" i="1"/>
  <c r="CJ414" i="1"/>
  <c r="CH414" i="1"/>
  <c r="CF414" i="1"/>
  <c r="BL414" i="1"/>
  <c r="BD414" i="1"/>
  <c r="AZ414" i="1"/>
  <c r="AX414" i="1"/>
  <c r="DC416" i="1"/>
  <c r="CY416" i="1"/>
  <c r="Y416" i="1" s="1"/>
  <c r="CW416" i="1"/>
  <c r="AA416" i="1" s="1"/>
  <c r="CR416" i="1"/>
  <c r="CP416" i="1"/>
  <c r="CN416" i="1"/>
  <c r="CJ416" i="1"/>
  <c r="CH416" i="1"/>
  <c r="CF416" i="1"/>
  <c r="BL416" i="1"/>
  <c r="BD416" i="1"/>
  <c r="AZ416" i="1"/>
  <c r="AX416" i="1"/>
  <c r="DC415" i="1"/>
  <c r="CY415" i="1"/>
  <c r="Y415" i="1" s="1"/>
  <c r="CW415" i="1"/>
  <c r="AA415" i="1" s="1"/>
  <c r="CR415" i="1"/>
  <c r="CP415" i="1"/>
  <c r="CN415" i="1"/>
  <c r="CJ415" i="1"/>
  <c r="CH415" i="1"/>
  <c r="CF415" i="1"/>
  <c r="BL415" i="1"/>
  <c r="BD415" i="1"/>
  <c r="AZ415" i="1"/>
  <c r="AX415" i="1"/>
  <c r="DC396" i="1"/>
  <c r="CY396" i="1"/>
  <c r="Y396" i="1" s="1"/>
  <c r="CW396" i="1"/>
  <c r="AA396" i="1" s="1"/>
  <c r="CR396" i="1"/>
  <c r="CP396" i="1"/>
  <c r="CN396" i="1"/>
  <c r="CJ396" i="1"/>
  <c r="CH396" i="1"/>
  <c r="CF396" i="1"/>
  <c r="BL396" i="1"/>
  <c r="BD396" i="1"/>
  <c r="AZ396" i="1"/>
  <c r="AX396" i="1"/>
  <c r="DC395" i="1"/>
  <c r="CY395" i="1"/>
  <c r="Y395" i="1" s="1"/>
  <c r="CW395" i="1"/>
  <c r="AA395" i="1" s="1"/>
  <c r="CR395" i="1"/>
  <c r="CP395" i="1"/>
  <c r="CN395" i="1"/>
  <c r="CJ395" i="1"/>
  <c r="CH395" i="1"/>
  <c r="CF395" i="1"/>
  <c r="BL395" i="1"/>
  <c r="BD395" i="1"/>
  <c r="AZ395" i="1"/>
  <c r="AX395" i="1"/>
  <c r="DC424" i="1"/>
  <c r="CY424" i="1"/>
  <c r="Y424" i="1" s="1"/>
  <c r="CW424" i="1"/>
  <c r="AA424" i="1" s="1"/>
  <c r="CR424" i="1"/>
  <c r="CP424" i="1"/>
  <c r="CN424" i="1"/>
  <c r="CJ424" i="1"/>
  <c r="CH424" i="1"/>
  <c r="CF424" i="1"/>
  <c r="BL424" i="1"/>
  <c r="BD424" i="1"/>
  <c r="AZ424" i="1"/>
  <c r="AX424" i="1"/>
  <c r="DC421" i="1"/>
  <c r="CY421" i="1"/>
  <c r="Y421" i="1" s="1"/>
  <c r="CW421" i="1"/>
  <c r="AA421" i="1" s="1"/>
  <c r="CR421" i="1"/>
  <c r="CP421" i="1"/>
  <c r="CN421" i="1"/>
  <c r="CJ421" i="1"/>
  <c r="CH421" i="1"/>
  <c r="CF421" i="1"/>
  <c r="BL421" i="1"/>
  <c r="BD421" i="1"/>
  <c r="AZ421" i="1"/>
  <c r="AX421" i="1"/>
  <c r="DC420" i="1"/>
  <c r="CY420" i="1"/>
  <c r="Y420" i="1" s="1"/>
  <c r="CW420" i="1"/>
  <c r="AA420" i="1" s="1"/>
  <c r="CR420" i="1"/>
  <c r="CP420" i="1"/>
  <c r="CN420" i="1"/>
  <c r="CJ420" i="1"/>
  <c r="CH420" i="1"/>
  <c r="CF420" i="1"/>
  <c r="BL420" i="1"/>
  <c r="BD420" i="1"/>
  <c r="AZ420" i="1"/>
  <c r="AX420" i="1"/>
  <c r="DC419" i="1"/>
  <c r="CY419" i="1"/>
  <c r="Y419" i="1" s="1"/>
  <c r="CW419" i="1"/>
  <c r="AA419" i="1" s="1"/>
  <c r="CR419" i="1"/>
  <c r="CP419" i="1"/>
  <c r="CN419" i="1"/>
  <c r="CJ419" i="1"/>
  <c r="CH419" i="1"/>
  <c r="CF419" i="1"/>
  <c r="BL419" i="1"/>
  <c r="BD419" i="1"/>
  <c r="AZ419" i="1"/>
  <c r="AX419" i="1"/>
  <c r="DC418" i="1"/>
  <c r="CY418" i="1"/>
  <c r="Y418" i="1" s="1"/>
  <c r="CW418" i="1"/>
  <c r="AA418" i="1" s="1"/>
  <c r="CR418" i="1"/>
  <c r="CP418" i="1"/>
  <c r="CN418" i="1"/>
  <c r="CJ418" i="1"/>
  <c r="CH418" i="1"/>
  <c r="CF418" i="1"/>
  <c r="BL418" i="1"/>
  <c r="BD418" i="1"/>
  <c r="AZ418" i="1"/>
  <c r="AX418" i="1"/>
  <c r="DC429" i="1"/>
  <c r="CY429" i="1"/>
  <c r="Y429" i="1" s="1"/>
  <c r="CW429" i="1"/>
  <c r="AA429" i="1" s="1"/>
  <c r="CR429" i="1"/>
  <c r="CP429" i="1"/>
  <c r="CN429" i="1"/>
  <c r="CJ429" i="1"/>
  <c r="CH429" i="1"/>
  <c r="CF429" i="1"/>
  <c r="BL429" i="1"/>
  <c r="BD429" i="1"/>
  <c r="AZ429" i="1"/>
  <c r="AX429" i="1"/>
  <c r="DC428" i="1"/>
  <c r="CY428" i="1"/>
  <c r="Y428" i="1" s="1"/>
  <c r="CW428" i="1"/>
  <c r="AA428" i="1" s="1"/>
  <c r="CR428" i="1"/>
  <c r="CP428" i="1"/>
  <c r="CN428" i="1"/>
  <c r="CJ428" i="1"/>
  <c r="CH428" i="1"/>
  <c r="CF428" i="1"/>
  <c r="BL428" i="1"/>
  <c r="BD428" i="1"/>
  <c r="AZ428" i="1"/>
  <c r="AX428" i="1"/>
  <c r="DC417" i="1"/>
  <c r="CY417" i="1"/>
  <c r="Y417" i="1" s="1"/>
  <c r="CW417" i="1"/>
  <c r="AA417" i="1" s="1"/>
  <c r="CR417" i="1"/>
  <c r="CP417" i="1"/>
  <c r="CN417" i="1"/>
  <c r="CJ417" i="1"/>
  <c r="CH417" i="1"/>
  <c r="CF417" i="1"/>
  <c r="BL417" i="1"/>
  <c r="BD417" i="1"/>
  <c r="AZ417" i="1"/>
  <c r="AX417" i="1"/>
  <c r="DC388" i="1"/>
  <c r="CY388" i="1"/>
  <c r="Y388" i="1" s="1"/>
  <c r="CW388" i="1"/>
  <c r="AA388" i="1" s="1"/>
  <c r="CR388" i="1"/>
  <c r="CP388" i="1"/>
  <c r="CN388" i="1"/>
  <c r="CJ388" i="1"/>
  <c r="CH388" i="1"/>
  <c r="CF388" i="1"/>
  <c r="BL388" i="1"/>
  <c r="BD388" i="1"/>
  <c r="AZ388" i="1"/>
  <c r="AX388" i="1"/>
  <c r="DC373" i="1"/>
  <c r="CY373" i="1"/>
  <c r="Y373" i="1" s="1"/>
  <c r="CW373" i="1"/>
  <c r="AA373" i="1" s="1"/>
  <c r="CR373" i="1"/>
  <c r="CP373" i="1"/>
  <c r="CN373" i="1"/>
  <c r="CJ373" i="1"/>
  <c r="CH373" i="1"/>
  <c r="CF373" i="1"/>
  <c r="BL373" i="1"/>
  <c r="BD373" i="1"/>
  <c r="AZ373" i="1"/>
  <c r="AX373" i="1"/>
  <c r="DC371" i="1"/>
  <c r="CY371" i="1"/>
  <c r="Y371" i="1" s="1"/>
  <c r="CW371" i="1"/>
  <c r="AA371" i="1" s="1"/>
  <c r="CR371" i="1"/>
  <c r="CP371" i="1"/>
  <c r="CN371" i="1"/>
  <c r="CJ371" i="1"/>
  <c r="CH371" i="1"/>
  <c r="CF371" i="1"/>
  <c r="BL371" i="1"/>
  <c r="BD371" i="1"/>
  <c r="AZ371" i="1"/>
  <c r="AX371" i="1"/>
  <c r="DC370" i="1"/>
  <c r="CY370" i="1"/>
  <c r="Y370" i="1" s="1"/>
  <c r="CW370" i="1"/>
  <c r="AA370" i="1" s="1"/>
  <c r="CR370" i="1"/>
  <c r="CP370" i="1"/>
  <c r="CN370" i="1"/>
  <c r="CJ370" i="1"/>
  <c r="CH370" i="1"/>
  <c r="CF370" i="1"/>
  <c r="BL370" i="1"/>
  <c r="BD370" i="1"/>
  <c r="AZ370" i="1"/>
  <c r="AX370" i="1"/>
  <c r="DC368" i="1"/>
  <c r="CY368" i="1"/>
  <c r="Y368" i="1" s="1"/>
  <c r="CW368" i="1"/>
  <c r="AA368" i="1" s="1"/>
  <c r="CR368" i="1"/>
  <c r="CP368" i="1"/>
  <c r="CN368" i="1"/>
  <c r="CJ368" i="1"/>
  <c r="CH368" i="1"/>
  <c r="CF368" i="1"/>
  <c r="BL368" i="1"/>
  <c r="BD368" i="1"/>
  <c r="AZ368" i="1"/>
  <c r="AX368" i="1"/>
  <c r="DC367" i="1"/>
  <c r="CY367" i="1"/>
  <c r="Y367" i="1" s="1"/>
  <c r="CW367" i="1"/>
  <c r="AA367" i="1" s="1"/>
  <c r="CR367" i="1"/>
  <c r="CP367" i="1"/>
  <c r="CN367" i="1"/>
  <c r="CJ367" i="1"/>
  <c r="CH367" i="1"/>
  <c r="CF367" i="1"/>
  <c r="BL367" i="1"/>
  <c r="BD367" i="1"/>
  <c r="AZ367" i="1"/>
  <c r="AX367" i="1"/>
  <c r="DC372" i="1"/>
  <c r="CY372" i="1"/>
  <c r="Y372" i="1" s="1"/>
  <c r="CW372" i="1"/>
  <c r="AA372" i="1" s="1"/>
  <c r="CR372" i="1"/>
  <c r="CP372" i="1"/>
  <c r="CN372" i="1"/>
  <c r="CJ372" i="1"/>
  <c r="CH372" i="1"/>
  <c r="CF372" i="1"/>
  <c r="BL372" i="1"/>
  <c r="BD372" i="1"/>
  <c r="AZ372" i="1"/>
  <c r="AX372" i="1"/>
  <c r="DC369" i="1"/>
  <c r="CY369" i="1"/>
  <c r="Y369" i="1" s="1"/>
  <c r="CW369" i="1"/>
  <c r="AA369" i="1" s="1"/>
  <c r="CR369" i="1"/>
  <c r="CP369" i="1"/>
  <c r="CN369" i="1"/>
  <c r="CJ369" i="1"/>
  <c r="CH369" i="1"/>
  <c r="CF369" i="1"/>
  <c r="BL369" i="1"/>
  <c r="BD369" i="1"/>
  <c r="AZ369" i="1"/>
  <c r="AX369" i="1"/>
  <c r="Z428" i="1" l="1"/>
  <c r="Z418" i="1"/>
  <c r="Z420" i="1"/>
  <c r="Z424" i="1"/>
  <c r="Z396" i="1"/>
  <c r="Z416" i="1"/>
  <c r="Z413" i="1"/>
  <c r="Z422" i="1"/>
  <c r="Z417" i="1"/>
  <c r="Z429" i="1"/>
  <c r="Z419" i="1"/>
  <c r="Z421" i="1"/>
  <c r="Z395" i="1"/>
  <c r="Z415" i="1"/>
  <c r="Z414" i="1"/>
  <c r="Z410" i="1"/>
  <c r="Z369" i="1"/>
  <c r="Z367" i="1"/>
  <c r="Z370" i="1"/>
  <c r="Z373" i="1"/>
  <c r="Z372" i="1"/>
  <c r="Z368" i="1"/>
  <c r="Z371" i="1"/>
  <c r="Z388" i="1"/>
  <c r="CU422" i="1"/>
  <c r="X422" i="1" s="1"/>
  <c r="CU388" i="1"/>
  <c r="X388" i="1" s="1"/>
  <c r="CU417" i="1"/>
  <c r="X417" i="1" s="1"/>
  <c r="CU418" i="1"/>
  <c r="X418" i="1" s="1"/>
  <c r="CU419" i="1"/>
  <c r="X419" i="1" s="1"/>
  <c r="CU424" i="1"/>
  <c r="X424" i="1" s="1"/>
  <c r="CU395" i="1"/>
  <c r="X395" i="1" s="1"/>
  <c r="CU416" i="1"/>
  <c r="X416" i="1" s="1"/>
  <c r="CU414" i="1"/>
  <c r="X414" i="1" s="1"/>
  <c r="CU372" i="1"/>
  <c r="X372" i="1" s="1"/>
  <c r="CU370" i="1"/>
  <c r="X370" i="1" s="1"/>
  <c r="CU373" i="1"/>
  <c r="X373" i="1" s="1"/>
  <c r="CU429" i="1"/>
  <c r="X429" i="1" s="1"/>
  <c r="CU421" i="1"/>
  <c r="X421" i="1" s="1"/>
  <c r="CU415" i="1"/>
  <c r="X415" i="1" s="1"/>
  <c r="CU410" i="1"/>
  <c r="X410" i="1" s="1"/>
  <c r="CU367" i="1"/>
  <c r="X367" i="1" s="1"/>
  <c r="CU371" i="1"/>
  <c r="X371" i="1" s="1"/>
  <c r="CU369" i="1"/>
  <c r="X369" i="1" s="1"/>
  <c r="CU368" i="1"/>
  <c r="X368" i="1" s="1"/>
  <c r="CU428" i="1"/>
  <c r="X428" i="1" s="1"/>
  <c r="CU420" i="1"/>
  <c r="X420" i="1" s="1"/>
  <c r="CU396" i="1"/>
  <c r="X396" i="1" s="1"/>
  <c r="CU413" i="1"/>
  <c r="X413" i="1" s="1"/>
  <c r="DC357" i="1"/>
  <c r="CY357" i="1"/>
  <c r="Y357" i="1" s="1"/>
  <c r="CW357" i="1"/>
  <c r="AA357" i="1" s="1"/>
  <c r="CR357" i="1"/>
  <c r="CP357" i="1"/>
  <c r="CN357" i="1"/>
  <c r="CJ357" i="1"/>
  <c r="CH357" i="1"/>
  <c r="CF357" i="1"/>
  <c r="BL357" i="1"/>
  <c r="BD357" i="1"/>
  <c r="AZ357" i="1"/>
  <c r="AX357" i="1"/>
  <c r="DC358" i="1"/>
  <c r="CY358" i="1"/>
  <c r="Y358" i="1" s="1"/>
  <c r="CW358" i="1"/>
  <c r="AA358" i="1" s="1"/>
  <c r="CR358" i="1"/>
  <c r="CP358" i="1"/>
  <c r="CN358" i="1"/>
  <c r="CJ358" i="1"/>
  <c r="CH358" i="1"/>
  <c r="CF358" i="1"/>
  <c r="BL358" i="1"/>
  <c r="BD358" i="1"/>
  <c r="AZ358" i="1"/>
  <c r="AX358" i="1"/>
  <c r="DC359" i="1"/>
  <c r="CY359" i="1"/>
  <c r="Y359" i="1" s="1"/>
  <c r="CW359" i="1"/>
  <c r="AA359" i="1" s="1"/>
  <c r="CR359" i="1"/>
  <c r="CP359" i="1"/>
  <c r="CN359" i="1"/>
  <c r="CJ359" i="1"/>
  <c r="CH359" i="1"/>
  <c r="CF359" i="1"/>
  <c r="BL359" i="1"/>
  <c r="BD359" i="1"/>
  <c r="AZ359" i="1"/>
  <c r="AX359" i="1"/>
  <c r="DC313" i="1"/>
  <c r="CY313" i="1"/>
  <c r="Y313" i="1" s="1"/>
  <c r="CW313" i="1"/>
  <c r="AA313" i="1" s="1"/>
  <c r="CR313" i="1"/>
  <c r="CP313" i="1"/>
  <c r="CN313" i="1"/>
  <c r="CJ313" i="1"/>
  <c r="CH313" i="1"/>
  <c r="CF313" i="1"/>
  <c r="BL313" i="1"/>
  <c r="BD313" i="1"/>
  <c r="AZ313" i="1"/>
  <c r="AX313" i="1"/>
  <c r="DC361" i="1"/>
  <c r="CY361" i="1"/>
  <c r="Y361" i="1" s="1"/>
  <c r="CW361" i="1"/>
  <c r="AA361" i="1" s="1"/>
  <c r="CR361" i="1"/>
  <c r="CP361" i="1"/>
  <c r="CN361" i="1"/>
  <c r="CJ361" i="1"/>
  <c r="CH361" i="1"/>
  <c r="CF361" i="1"/>
  <c r="BL361" i="1"/>
  <c r="BD361" i="1"/>
  <c r="AZ361" i="1"/>
  <c r="AX361" i="1"/>
  <c r="DC366" i="1"/>
  <c r="CY366" i="1"/>
  <c r="Y366" i="1" s="1"/>
  <c r="CW366" i="1"/>
  <c r="AA366" i="1" s="1"/>
  <c r="CR366" i="1"/>
  <c r="CP366" i="1"/>
  <c r="CN366" i="1"/>
  <c r="CJ366" i="1"/>
  <c r="CH366" i="1"/>
  <c r="CF366" i="1"/>
  <c r="BL366" i="1"/>
  <c r="BD366" i="1"/>
  <c r="AZ366" i="1"/>
  <c r="AX366" i="1"/>
  <c r="DC352" i="1"/>
  <c r="CY352" i="1"/>
  <c r="Y352" i="1" s="1"/>
  <c r="CW352" i="1"/>
  <c r="AA352" i="1" s="1"/>
  <c r="CR352" i="1"/>
  <c r="CP352" i="1"/>
  <c r="CN352" i="1"/>
  <c r="CJ352" i="1"/>
  <c r="CH352" i="1"/>
  <c r="CF352" i="1"/>
  <c r="BL352" i="1"/>
  <c r="BD352" i="1"/>
  <c r="AZ352" i="1"/>
  <c r="AX352" i="1"/>
  <c r="DC353" i="1"/>
  <c r="CY353" i="1"/>
  <c r="Y353" i="1" s="1"/>
  <c r="CW353" i="1"/>
  <c r="AA353" i="1" s="1"/>
  <c r="CR353" i="1"/>
  <c r="CP353" i="1"/>
  <c r="CN353" i="1"/>
  <c r="CJ353" i="1"/>
  <c r="CH353" i="1"/>
  <c r="CF353" i="1"/>
  <c r="BL353" i="1"/>
  <c r="BD353" i="1"/>
  <c r="AZ353" i="1"/>
  <c r="AX353" i="1"/>
  <c r="DC354" i="1"/>
  <c r="CY354" i="1"/>
  <c r="Y354" i="1" s="1"/>
  <c r="CW354" i="1"/>
  <c r="AA354" i="1" s="1"/>
  <c r="CR354" i="1"/>
  <c r="CP354" i="1"/>
  <c r="CN354" i="1"/>
  <c r="CJ354" i="1"/>
  <c r="CH354" i="1"/>
  <c r="CF354" i="1"/>
  <c r="BL354" i="1"/>
  <c r="BD354" i="1"/>
  <c r="AZ354" i="1"/>
  <c r="AX354" i="1"/>
  <c r="DC355" i="1"/>
  <c r="CY355" i="1"/>
  <c r="Y355" i="1" s="1"/>
  <c r="CW355" i="1"/>
  <c r="AA355" i="1" s="1"/>
  <c r="CR355" i="1"/>
  <c r="CP355" i="1"/>
  <c r="CN355" i="1"/>
  <c r="CJ355" i="1"/>
  <c r="CH355" i="1"/>
  <c r="CF355" i="1"/>
  <c r="BL355" i="1"/>
  <c r="BD355" i="1"/>
  <c r="AZ355" i="1"/>
  <c r="AX355" i="1"/>
  <c r="DC350" i="1"/>
  <c r="CY350" i="1"/>
  <c r="Y350" i="1" s="1"/>
  <c r="CW350" i="1"/>
  <c r="AA350" i="1" s="1"/>
  <c r="CR350" i="1"/>
  <c r="CP350" i="1"/>
  <c r="CN350" i="1"/>
  <c r="CJ350" i="1"/>
  <c r="CH350" i="1"/>
  <c r="CF350" i="1"/>
  <c r="BL350" i="1"/>
  <c r="BD350" i="1"/>
  <c r="AZ350" i="1"/>
  <c r="AX350" i="1"/>
  <c r="DC349" i="1"/>
  <c r="CY349" i="1"/>
  <c r="Y349" i="1" s="1"/>
  <c r="CW349" i="1"/>
  <c r="AA349" i="1" s="1"/>
  <c r="CR349" i="1"/>
  <c r="CP349" i="1"/>
  <c r="CN349" i="1"/>
  <c r="CJ349" i="1"/>
  <c r="CH349" i="1"/>
  <c r="CF349" i="1"/>
  <c r="BL349" i="1"/>
  <c r="BD349" i="1"/>
  <c r="AZ349" i="1"/>
  <c r="AX349" i="1"/>
  <c r="DC347" i="1"/>
  <c r="CY347" i="1"/>
  <c r="Y347" i="1" s="1"/>
  <c r="CW347" i="1"/>
  <c r="AA347" i="1" s="1"/>
  <c r="CR347" i="1"/>
  <c r="CP347" i="1"/>
  <c r="CN347" i="1"/>
  <c r="CJ347" i="1"/>
  <c r="CH347" i="1"/>
  <c r="CF347" i="1"/>
  <c r="BL347" i="1"/>
  <c r="BD347" i="1"/>
  <c r="AZ347" i="1"/>
  <c r="AX347" i="1"/>
  <c r="DC356" i="1"/>
  <c r="CY356" i="1"/>
  <c r="Y356" i="1" s="1"/>
  <c r="CW356" i="1"/>
  <c r="AA356" i="1" s="1"/>
  <c r="CR356" i="1"/>
  <c r="CP356" i="1"/>
  <c r="CN356" i="1"/>
  <c r="CJ356" i="1"/>
  <c r="CH356" i="1"/>
  <c r="CF356" i="1"/>
  <c r="BL356" i="1"/>
  <c r="BD356" i="1"/>
  <c r="AZ356" i="1"/>
  <c r="AX356" i="1"/>
  <c r="DC348" i="1"/>
  <c r="CY348" i="1"/>
  <c r="Y348" i="1" s="1"/>
  <c r="CW348" i="1"/>
  <c r="AA348" i="1" s="1"/>
  <c r="CR348" i="1"/>
  <c r="CP348" i="1"/>
  <c r="CN348" i="1"/>
  <c r="CJ348" i="1"/>
  <c r="CH348" i="1"/>
  <c r="CF348" i="1"/>
  <c r="BL348" i="1"/>
  <c r="BD348" i="1"/>
  <c r="AZ348" i="1"/>
  <c r="AX348" i="1"/>
  <c r="DC351" i="1"/>
  <c r="CY351" i="1"/>
  <c r="Y351" i="1" s="1"/>
  <c r="CW351" i="1"/>
  <c r="AA351" i="1" s="1"/>
  <c r="CR351" i="1"/>
  <c r="CP351" i="1"/>
  <c r="CN351" i="1"/>
  <c r="CJ351" i="1"/>
  <c r="CH351" i="1"/>
  <c r="CF351" i="1"/>
  <c r="BL351" i="1"/>
  <c r="BD351" i="1"/>
  <c r="AZ351" i="1"/>
  <c r="AX351" i="1"/>
  <c r="DC345" i="1"/>
  <c r="CY345" i="1"/>
  <c r="Y345" i="1" s="1"/>
  <c r="CW345" i="1"/>
  <c r="AA345" i="1" s="1"/>
  <c r="CR345" i="1"/>
  <c r="CP345" i="1"/>
  <c r="CN345" i="1"/>
  <c r="CJ345" i="1"/>
  <c r="CH345" i="1"/>
  <c r="CF345" i="1"/>
  <c r="BL345" i="1"/>
  <c r="BD345" i="1"/>
  <c r="AZ345" i="1"/>
  <c r="AX345" i="1"/>
  <c r="DC343" i="1"/>
  <c r="CY343" i="1"/>
  <c r="Y343" i="1" s="1"/>
  <c r="CW343" i="1"/>
  <c r="AA343" i="1" s="1"/>
  <c r="CR343" i="1"/>
  <c r="CP343" i="1"/>
  <c r="CN343" i="1"/>
  <c r="CJ343" i="1"/>
  <c r="CH343" i="1"/>
  <c r="CF343" i="1"/>
  <c r="BL343" i="1"/>
  <c r="BD343" i="1"/>
  <c r="AZ343" i="1"/>
  <c r="AX343" i="1"/>
  <c r="DC344" i="1"/>
  <c r="CY344" i="1"/>
  <c r="Y344" i="1" s="1"/>
  <c r="CW344" i="1"/>
  <c r="AA344" i="1" s="1"/>
  <c r="CR344" i="1"/>
  <c r="CP344" i="1"/>
  <c r="CN344" i="1"/>
  <c r="CJ344" i="1"/>
  <c r="CH344" i="1"/>
  <c r="CF344" i="1"/>
  <c r="BL344" i="1"/>
  <c r="BD344" i="1"/>
  <c r="AZ344" i="1"/>
  <c r="AX344" i="1"/>
  <c r="DC339" i="1"/>
  <c r="CY339" i="1"/>
  <c r="Y339" i="1" s="1"/>
  <c r="CW339" i="1"/>
  <c r="AA339" i="1" s="1"/>
  <c r="CR339" i="1"/>
  <c r="CP339" i="1"/>
  <c r="CN339" i="1"/>
  <c r="CJ339" i="1"/>
  <c r="CH339" i="1"/>
  <c r="CF339" i="1"/>
  <c r="BL339" i="1"/>
  <c r="BD339" i="1"/>
  <c r="AZ339" i="1"/>
  <c r="AX339" i="1"/>
  <c r="DC346" i="1"/>
  <c r="CY346" i="1"/>
  <c r="Y346" i="1" s="1"/>
  <c r="CW346" i="1"/>
  <c r="AA346" i="1" s="1"/>
  <c r="CR346" i="1"/>
  <c r="CP346" i="1"/>
  <c r="CN346" i="1"/>
  <c r="CJ346" i="1"/>
  <c r="CH346" i="1"/>
  <c r="CF346" i="1"/>
  <c r="BL346" i="1"/>
  <c r="BD346" i="1"/>
  <c r="AZ346" i="1"/>
  <c r="AX346" i="1"/>
  <c r="DC340" i="1"/>
  <c r="CY340" i="1"/>
  <c r="Y340" i="1" s="1"/>
  <c r="CW340" i="1"/>
  <c r="AA340" i="1" s="1"/>
  <c r="CR340" i="1"/>
  <c r="CP340" i="1"/>
  <c r="CN340" i="1"/>
  <c r="CJ340" i="1"/>
  <c r="CH340" i="1"/>
  <c r="CF340" i="1"/>
  <c r="BL340" i="1"/>
  <c r="BD340" i="1"/>
  <c r="AZ340" i="1"/>
  <c r="AX340" i="1"/>
  <c r="DC341" i="1"/>
  <c r="CY341" i="1"/>
  <c r="Y341" i="1" s="1"/>
  <c r="CW341" i="1"/>
  <c r="AA341" i="1" s="1"/>
  <c r="CR341" i="1"/>
  <c r="CP341" i="1"/>
  <c r="CN341" i="1"/>
  <c r="CJ341" i="1"/>
  <c r="CH341" i="1"/>
  <c r="CF341" i="1"/>
  <c r="BL341" i="1"/>
  <c r="BD341" i="1"/>
  <c r="AZ341" i="1"/>
  <c r="AX341" i="1"/>
  <c r="DC337" i="1"/>
  <c r="CY337" i="1"/>
  <c r="Y337" i="1" s="1"/>
  <c r="CW337" i="1"/>
  <c r="AA337" i="1" s="1"/>
  <c r="CR337" i="1"/>
  <c r="CP337" i="1"/>
  <c r="CN337" i="1"/>
  <c r="CJ337" i="1"/>
  <c r="CH337" i="1"/>
  <c r="CF337" i="1"/>
  <c r="BL337" i="1"/>
  <c r="BD337" i="1"/>
  <c r="AZ337" i="1"/>
  <c r="AX337" i="1"/>
  <c r="DC338" i="1"/>
  <c r="CY338" i="1"/>
  <c r="Y338" i="1" s="1"/>
  <c r="CW338" i="1"/>
  <c r="AA338" i="1" s="1"/>
  <c r="CR338" i="1"/>
  <c r="CP338" i="1"/>
  <c r="CN338" i="1"/>
  <c r="CJ338" i="1"/>
  <c r="CH338" i="1"/>
  <c r="CF338" i="1"/>
  <c r="BL338" i="1"/>
  <c r="BD338" i="1"/>
  <c r="AZ338" i="1"/>
  <c r="AX338" i="1"/>
  <c r="DC325" i="1"/>
  <c r="CY325" i="1"/>
  <c r="Y325" i="1" s="1"/>
  <c r="CW325" i="1"/>
  <c r="AA325" i="1" s="1"/>
  <c r="CR325" i="1"/>
  <c r="CP325" i="1"/>
  <c r="CN325" i="1"/>
  <c r="CJ325" i="1"/>
  <c r="CH325" i="1"/>
  <c r="CF325" i="1"/>
  <c r="BL325" i="1"/>
  <c r="BD325" i="1"/>
  <c r="AZ325" i="1"/>
  <c r="AX325" i="1"/>
  <c r="DC326" i="1"/>
  <c r="CY326" i="1"/>
  <c r="Y326" i="1" s="1"/>
  <c r="CW326" i="1"/>
  <c r="AA326" i="1" s="1"/>
  <c r="CR326" i="1"/>
  <c r="CP326" i="1"/>
  <c r="CN326" i="1"/>
  <c r="CJ326" i="1"/>
  <c r="CH326" i="1"/>
  <c r="CF326" i="1"/>
  <c r="BL326" i="1"/>
  <c r="BD326" i="1"/>
  <c r="AZ326" i="1"/>
  <c r="AX326" i="1"/>
  <c r="DC335" i="1"/>
  <c r="CY335" i="1"/>
  <c r="Y335" i="1" s="1"/>
  <c r="CW335" i="1"/>
  <c r="AA335" i="1" s="1"/>
  <c r="CR335" i="1"/>
  <c r="CP335" i="1"/>
  <c r="CN335" i="1"/>
  <c r="CJ335" i="1"/>
  <c r="CH335" i="1"/>
  <c r="CF335" i="1"/>
  <c r="BL335" i="1"/>
  <c r="BD335" i="1"/>
  <c r="AZ335" i="1"/>
  <c r="AX335" i="1"/>
  <c r="DC334" i="1"/>
  <c r="CY334" i="1"/>
  <c r="Y334" i="1" s="1"/>
  <c r="CW334" i="1"/>
  <c r="AA334" i="1" s="1"/>
  <c r="CR334" i="1"/>
  <c r="CP334" i="1"/>
  <c r="CN334" i="1"/>
  <c r="CJ334" i="1"/>
  <c r="CH334" i="1"/>
  <c r="CF334" i="1"/>
  <c r="BL334" i="1"/>
  <c r="BD334" i="1"/>
  <c r="AZ334" i="1"/>
  <c r="AX334" i="1"/>
  <c r="DC336" i="1"/>
  <c r="CY336" i="1"/>
  <c r="Y336" i="1" s="1"/>
  <c r="CW336" i="1"/>
  <c r="AA336" i="1" s="1"/>
  <c r="CR336" i="1"/>
  <c r="CP336" i="1"/>
  <c r="CN336" i="1"/>
  <c r="CJ336" i="1"/>
  <c r="CH336" i="1"/>
  <c r="CF336" i="1"/>
  <c r="BL336" i="1"/>
  <c r="BD336" i="1"/>
  <c r="AZ336" i="1"/>
  <c r="AX336" i="1"/>
  <c r="DC318" i="1"/>
  <c r="CY318" i="1"/>
  <c r="Y318" i="1" s="1"/>
  <c r="CW318" i="1"/>
  <c r="AA318" i="1" s="1"/>
  <c r="CR318" i="1"/>
  <c r="CP318" i="1"/>
  <c r="CN318" i="1"/>
  <c r="CJ318" i="1"/>
  <c r="CH318" i="1"/>
  <c r="CF318" i="1"/>
  <c r="BL318" i="1"/>
  <c r="BD318" i="1"/>
  <c r="AZ318" i="1"/>
  <c r="AX318" i="1"/>
  <c r="DC317" i="1"/>
  <c r="CY317" i="1"/>
  <c r="Y317" i="1" s="1"/>
  <c r="CW317" i="1"/>
  <c r="AA317" i="1" s="1"/>
  <c r="CR317" i="1"/>
  <c r="CP317" i="1"/>
  <c r="CN317" i="1"/>
  <c r="CJ317" i="1"/>
  <c r="CH317" i="1"/>
  <c r="CF317" i="1"/>
  <c r="BL317" i="1"/>
  <c r="BD317" i="1"/>
  <c r="AZ317" i="1"/>
  <c r="AX317" i="1"/>
  <c r="DC319" i="1"/>
  <c r="CY319" i="1"/>
  <c r="Y319" i="1" s="1"/>
  <c r="CW319" i="1"/>
  <c r="AA319" i="1" s="1"/>
  <c r="CR319" i="1"/>
  <c r="CP319" i="1"/>
  <c r="CN319" i="1"/>
  <c r="CJ319" i="1"/>
  <c r="CH319" i="1"/>
  <c r="CF319" i="1"/>
  <c r="BL319" i="1"/>
  <c r="BD319" i="1"/>
  <c r="AZ319" i="1"/>
  <c r="AX319" i="1"/>
  <c r="DC320" i="1"/>
  <c r="CY320" i="1"/>
  <c r="Y320" i="1" s="1"/>
  <c r="CW320" i="1"/>
  <c r="AA320" i="1" s="1"/>
  <c r="CR320" i="1"/>
  <c r="CP320" i="1"/>
  <c r="CN320" i="1"/>
  <c r="CJ320" i="1"/>
  <c r="CH320" i="1"/>
  <c r="CF320" i="1"/>
  <c r="BL320" i="1"/>
  <c r="BD320" i="1"/>
  <c r="AZ320" i="1"/>
  <c r="AX320" i="1"/>
  <c r="DC329" i="1"/>
  <c r="CY329" i="1"/>
  <c r="Y329" i="1" s="1"/>
  <c r="CW329" i="1"/>
  <c r="AA329" i="1" s="1"/>
  <c r="CR329" i="1"/>
  <c r="CP329" i="1"/>
  <c r="CN329" i="1"/>
  <c r="CJ329" i="1"/>
  <c r="CH329" i="1"/>
  <c r="CF329" i="1"/>
  <c r="BL329" i="1"/>
  <c r="BD329" i="1"/>
  <c r="AZ329" i="1"/>
  <c r="AX329" i="1"/>
  <c r="DC333" i="1"/>
  <c r="CY333" i="1"/>
  <c r="Y333" i="1" s="1"/>
  <c r="CW333" i="1"/>
  <c r="AA333" i="1" s="1"/>
  <c r="CR333" i="1"/>
  <c r="CP333" i="1"/>
  <c r="CN333" i="1"/>
  <c r="CJ333" i="1"/>
  <c r="CH333" i="1"/>
  <c r="CF333" i="1"/>
  <c r="BL333" i="1"/>
  <c r="BD333" i="1"/>
  <c r="AZ333" i="1"/>
  <c r="AX333" i="1"/>
  <c r="DC316" i="1"/>
  <c r="CY316" i="1"/>
  <c r="Y316" i="1" s="1"/>
  <c r="CW316" i="1"/>
  <c r="AA316" i="1" s="1"/>
  <c r="CR316" i="1"/>
  <c r="CP316" i="1"/>
  <c r="CN316" i="1"/>
  <c r="CJ316" i="1"/>
  <c r="CH316" i="1"/>
  <c r="CF316" i="1"/>
  <c r="BL316" i="1"/>
  <c r="BD316" i="1"/>
  <c r="AZ316" i="1"/>
  <c r="AX316" i="1"/>
  <c r="DC324" i="1"/>
  <c r="CY324" i="1"/>
  <c r="Y324" i="1" s="1"/>
  <c r="CW324" i="1"/>
  <c r="AA324" i="1" s="1"/>
  <c r="CR324" i="1"/>
  <c r="CP324" i="1"/>
  <c r="CN324" i="1"/>
  <c r="CJ324" i="1"/>
  <c r="CH324" i="1"/>
  <c r="CF324" i="1"/>
  <c r="BL324" i="1"/>
  <c r="BD324" i="1"/>
  <c r="AZ324" i="1"/>
  <c r="AX324" i="1"/>
  <c r="DC330" i="1"/>
  <c r="CY330" i="1"/>
  <c r="Y330" i="1" s="1"/>
  <c r="CW330" i="1"/>
  <c r="AA330" i="1" s="1"/>
  <c r="CR330" i="1"/>
  <c r="CP330" i="1"/>
  <c r="CN330" i="1"/>
  <c r="CJ330" i="1"/>
  <c r="CH330" i="1"/>
  <c r="CF330" i="1"/>
  <c r="BL330" i="1"/>
  <c r="BD330" i="1"/>
  <c r="AZ330" i="1"/>
  <c r="AX330" i="1"/>
  <c r="DC328" i="1"/>
  <c r="CY328" i="1"/>
  <c r="Y328" i="1" s="1"/>
  <c r="CW328" i="1"/>
  <c r="AA328" i="1" s="1"/>
  <c r="CR328" i="1"/>
  <c r="CP328" i="1"/>
  <c r="CN328" i="1"/>
  <c r="CJ328" i="1"/>
  <c r="CH328" i="1"/>
  <c r="CF328" i="1"/>
  <c r="BL328" i="1"/>
  <c r="BD328" i="1"/>
  <c r="AZ328" i="1"/>
  <c r="AX328" i="1"/>
  <c r="DC327" i="1"/>
  <c r="CY327" i="1"/>
  <c r="Y327" i="1" s="1"/>
  <c r="CW327" i="1"/>
  <c r="AA327" i="1" s="1"/>
  <c r="CR327" i="1"/>
  <c r="CP327" i="1"/>
  <c r="CN327" i="1"/>
  <c r="CJ327" i="1"/>
  <c r="CH327" i="1"/>
  <c r="CF327" i="1"/>
  <c r="BL327" i="1"/>
  <c r="BD327" i="1"/>
  <c r="AZ327" i="1"/>
  <c r="AX327" i="1"/>
  <c r="DC310" i="1"/>
  <c r="CY310" i="1"/>
  <c r="Y310" i="1" s="1"/>
  <c r="CW310" i="1"/>
  <c r="AA310" i="1" s="1"/>
  <c r="CR310" i="1"/>
  <c r="CP310" i="1"/>
  <c r="CN310" i="1"/>
  <c r="CJ310" i="1"/>
  <c r="CH310" i="1"/>
  <c r="CF310" i="1"/>
  <c r="BL310" i="1"/>
  <c r="BD310" i="1"/>
  <c r="AZ310" i="1"/>
  <c r="AX310" i="1"/>
  <c r="DC311" i="1"/>
  <c r="CY311" i="1"/>
  <c r="Y311" i="1" s="1"/>
  <c r="CW311" i="1"/>
  <c r="AA311" i="1" s="1"/>
  <c r="CR311" i="1"/>
  <c r="CP311" i="1"/>
  <c r="CN311" i="1"/>
  <c r="CJ311" i="1"/>
  <c r="CH311" i="1"/>
  <c r="CF311" i="1"/>
  <c r="BL311" i="1"/>
  <c r="BD311" i="1"/>
  <c r="AZ311" i="1"/>
  <c r="AX311" i="1"/>
  <c r="DC309" i="1"/>
  <c r="CY309" i="1"/>
  <c r="Y309" i="1" s="1"/>
  <c r="CW309" i="1"/>
  <c r="AA309" i="1" s="1"/>
  <c r="CR309" i="1"/>
  <c r="CP309" i="1"/>
  <c r="CN309" i="1"/>
  <c r="CJ309" i="1"/>
  <c r="CH309" i="1"/>
  <c r="CF309" i="1"/>
  <c r="BL309" i="1"/>
  <c r="BD309" i="1"/>
  <c r="AZ309" i="1"/>
  <c r="AX309" i="1"/>
  <c r="DC308" i="1"/>
  <c r="CY308" i="1"/>
  <c r="Y308" i="1" s="1"/>
  <c r="CW308" i="1"/>
  <c r="AA308" i="1" s="1"/>
  <c r="CR308" i="1"/>
  <c r="CP308" i="1"/>
  <c r="CN308" i="1"/>
  <c r="CJ308" i="1"/>
  <c r="CH308" i="1"/>
  <c r="CF308" i="1"/>
  <c r="BL308" i="1"/>
  <c r="BD308" i="1"/>
  <c r="AZ308" i="1"/>
  <c r="AX308" i="1"/>
  <c r="DC312" i="1"/>
  <c r="CY312" i="1"/>
  <c r="Y312" i="1" s="1"/>
  <c r="CW312" i="1"/>
  <c r="AA312" i="1" s="1"/>
  <c r="CR312" i="1"/>
  <c r="CP312" i="1"/>
  <c r="CN312" i="1"/>
  <c r="CJ312" i="1"/>
  <c r="CH312" i="1"/>
  <c r="CF312" i="1"/>
  <c r="BL312" i="1"/>
  <c r="BD312" i="1"/>
  <c r="AZ312" i="1"/>
  <c r="AX312" i="1"/>
  <c r="DC342" i="1"/>
  <c r="CY342" i="1"/>
  <c r="Y342" i="1" s="1"/>
  <c r="CW342" i="1"/>
  <c r="AA342" i="1" s="1"/>
  <c r="CR342" i="1"/>
  <c r="CP342" i="1"/>
  <c r="CN342" i="1"/>
  <c r="CJ342" i="1"/>
  <c r="CH342" i="1"/>
  <c r="CF342" i="1"/>
  <c r="BL342" i="1"/>
  <c r="BD342" i="1"/>
  <c r="AZ342" i="1"/>
  <c r="AX342" i="1"/>
  <c r="AD417" i="1" l="1"/>
  <c r="Z342" i="1"/>
  <c r="Z308" i="1"/>
  <c r="Z311" i="1"/>
  <c r="Z327" i="1"/>
  <c r="Z330" i="1"/>
  <c r="Z316" i="1"/>
  <c r="Z329" i="1"/>
  <c r="Z319" i="1"/>
  <c r="Z318" i="1"/>
  <c r="Z334" i="1"/>
  <c r="Z326" i="1"/>
  <c r="Z312" i="1"/>
  <c r="Z309" i="1"/>
  <c r="Z310" i="1"/>
  <c r="Z328" i="1"/>
  <c r="Z324" i="1"/>
  <c r="Z333" i="1"/>
  <c r="Z320" i="1"/>
  <c r="Z317" i="1"/>
  <c r="Z336" i="1"/>
  <c r="Z335" i="1"/>
  <c r="Z325" i="1"/>
  <c r="Z337" i="1"/>
  <c r="Z340" i="1"/>
  <c r="Z339" i="1"/>
  <c r="Z343" i="1"/>
  <c r="Z351" i="1"/>
  <c r="Z356" i="1"/>
  <c r="Z349" i="1"/>
  <c r="Z355" i="1"/>
  <c r="Z353" i="1"/>
  <c r="Z366" i="1"/>
  <c r="Z313" i="1"/>
  <c r="Z358" i="1"/>
  <c r="Z338" i="1"/>
  <c r="Z341" i="1"/>
  <c r="Z346" i="1"/>
  <c r="Z344" i="1"/>
  <c r="Z345" i="1"/>
  <c r="Z348" i="1"/>
  <c r="Z347" i="1"/>
  <c r="Z350" i="1"/>
  <c r="Z354" i="1"/>
  <c r="Z352" i="1"/>
  <c r="Z361" i="1"/>
  <c r="Z359" i="1"/>
  <c r="Z357" i="1"/>
  <c r="AD388" i="1"/>
  <c r="AD395" i="1"/>
  <c r="AD410" i="1"/>
  <c r="AD371" i="1"/>
  <c r="AD370" i="1"/>
  <c r="AD421" i="1"/>
  <c r="AD372" i="1"/>
  <c r="AD367" i="1"/>
  <c r="AD424" i="1"/>
  <c r="AD415" i="1"/>
  <c r="AD429" i="1"/>
  <c r="AD422" i="1"/>
  <c r="AD414" i="1"/>
  <c r="AD418" i="1"/>
  <c r="AD373" i="1"/>
  <c r="AD419" i="1"/>
  <c r="AD416" i="1"/>
  <c r="AD396" i="1"/>
  <c r="AD368" i="1"/>
  <c r="AD428" i="1"/>
  <c r="AD413" i="1"/>
  <c r="AD420" i="1"/>
  <c r="AD369" i="1"/>
  <c r="CU316" i="1"/>
  <c r="X316" i="1" s="1"/>
  <c r="CU320" i="1"/>
  <c r="X320" i="1" s="1"/>
  <c r="CU336" i="1"/>
  <c r="X336" i="1" s="1"/>
  <c r="CU337" i="1"/>
  <c r="X337" i="1" s="1"/>
  <c r="CU339" i="1"/>
  <c r="X339" i="1" s="1"/>
  <c r="CU349" i="1"/>
  <c r="X349" i="1" s="1"/>
  <c r="CU366" i="1"/>
  <c r="X366" i="1" s="1"/>
  <c r="CU358" i="1"/>
  <c r="X358" i="1" s="1"/>
  <c r="CU324" i="1"/>
  <c r="X324" i="1" s="1"/>
  <c r="CU308" i="1"/>
  <c r="X308" i="1" s="1"/>
  <c r="CU330" i="1"/>
  <c r="X330" i="1" s="1"/>
  <c r="CU329" i="1"/>
  <c r="X329" i="1" s="1"/>
  <c r="CU317" i="1"/>
  <c r="X317" i="1" s="1"/>
  <c r="CU318" i="1"/>
  <c r="X318" i="1" s="1"/>
  <c r="CU335" i="1"/>
  <c r="X335" i="1" s="1"/>
  <c r="CU338" i="1"/>
  <c r="X338" i="1" s="1"/>
  <c r="CU340" i="1"/>
  <c r="X340" i="1" s="1"/>
  <c r="CU346" i="1"/>
  <c r="X346" i="1" s="1"/>
  <c r="CU343" i="1"/>
  <c r="X343" i="1" s="1"/>
  <c r="CU345" i="1"/>
  <c r="X345" i="1" s="1"/>
  <c r="CU351" i="1"/>
  <c r="X351" i="1" s="1"/>
  <c r="CU356" i="1"/>
  <c r="X356" i="1" s="1"/>
  <c r="CU347" i="1"/>
  <c r="X347" i="1" s="1"/>
  <c r="CU355" i="1"/>
  <c r="X355" i="1" s="1"/>
  <c r="CU353" i="1"/>
  <c r="X353" i="1" s="1"/>
  <c r="CU313" i="1"/>
  <c r="X313" i="1" s="1"/>
  <c r="CU359" i="1"/>
  <c r="X359" i="1" s="1"/>
  <c r="CU326" i="1"/>
  <c r="X326" i="1" s="1"/>
  <c r="CU309" i="1"/>
  <c r="X309" i="1" s="1"/>
  <c r="CU311" i="1"/>
  <c r="X311" i="1" s="1"/>
  <c r="CU327" i="1"/>
  <c r="X327" i="1" s="1"/>
  <c r="CU312" i="1"/>
  <c r="X312" i="1" s="1"/>
  <c r="CU333" i="1"/>
  <c r="X333" i="1" s="1"/>
  <c r="CU319" i="1"/>
  <c r="X319" i="1" s="1"/>
  <c r="CU334" i="1"/>
  <c r="X334" i="1" s="1"/>
  <c r="CU325" i="1"/>
  <c r="X325" i="1" s="1"/>
  <c r="CU341" i="1"/>
  <c r="X341" i="1" s="1"/>
  <c r="CU344" i="1"/>
  <c r="X344" i="1" s="1"/>
  <c r="CU348" i="1"/>
  <c r="X348" i="1" s="1"/>
  <c r="CU350" i="1"/>
  <c r="X350" i="1" s="1"/>
  <c r="CU354" i="1"/>
  <c r="X354" i="1" s="1"/>
  <c r="CU352" i="1"/>
  <c r="X352" i="1" s="1"/>
  <c r="CU361" i="1"/>
  <c r="X361" i="1" s="1"/>
  <c r="CU357" i="1"/>
  <c r="X357" i="1" s="1"/>
  <c r="CU342" i="1"/>
  <c r="X342" i="1" s="1"/>
  <c r="CU310" i="1"/>
  <c r="X310" i="1" s="1"/>
  <c r="CU328" i="1"/>
  <c r="X328" i="1" s="1"/>
  <c r="DC360" i="1"/>
  <c r="CY360" i="1"/>
  <c r="Y360" i="1" s="1"/>
  <c r="CW360" i="1"/>
  <c r="AA360" i="1" s="1"/>
  <c r="CR360" i="1"/>
  <c r="CP360" i="1"/>
  <c r="CN360" i="1"/>
  <c r="CJ360" i="1"/>
  <c r="CH360" i="1"/>
  <c r="CF360" i="1"/>
  <c r="BL360" i="1"/>
  <c r="BD360" i="1"/>
  <c r="AZ360" i="1"/>
  <c r="AX360" i="1"/>
  <c r="DC364" i="1"/>
  <c r="CY364" i="1"/>
  <c r="Y364" i="1" s="1"/>
  <c r="CW364" i="1"/>
  <c r="AA364" i="1" s="1"/>
  <c r="CR364" i="1"/>
  <c r="CP364" i="1"/>
  <c r="CN364" i="1"/>
  <c r="CJ364" i="1"/>
  <c r="CH364" i="1"/>
  <c r="CF364" i="1"/>
  <c r="BL364" i="1"/>
  <c r="BD364" i="1"/>
  <c r="AZ364" i="1"/>
  <c r="AX364" i="1"/>
  <c r="DC363" i="1"/>
  <c r="CY363" i="1"/>
  <c r="Y363" i="1" s="1"/>
  <c r="CW363" i="1"/>
  <c r="AA363" i="1" s="1"/>
  <c r="CR363" i="1"/>
  <c r="CP363" i="1"/>
  <c r="CN363" i="1"/>
  <c r="CJ363" i="1"/>
  <c r="CH363" i="1"/>
  <c r="CF363" i="1"/>
  <c r="BL363" i="1"/>
  <c r="BD363" i="1"/>
  <c r="AZ363" i="1"/>
  <c r="AX363" i="1"/>
  <c r="DC299" i="1"/>
  <c r="CY299" i="1"/>
  <c r="Y299" i="1" s="1"/>
  <c r="CW299" i="1"/>
  <c r="AA299" i="1" s="1"/>
  <c r="CR299" i="1"/>
  <c r="CP299" i="1"/>
  <c r="CN299" i="1"/>
  <c r="CJ299" i="1"/>
  <c r="CH299" i="1"/>
  <c r="CF299" i="1"/>
  <c r="BL299" i="1"/>
  <c r="BD299" i="1"/>
  <c r="AZ299" i="1"/>
  <c r="AX299" i="1"/>
  <c r="DC302" i="1"/>
  <c r="CY302" i="1"/>
  <c r="Y302" i="1" s="1"/>
  <c r="CW302" i="1"/>
  <c r="AA302" i="1" s="1"/>
  <c r="CR302" i="1"/>
  <c r="CP302" i="1"/>
  <c r="CN302" i="1"/>
  <c r="CJ302" i="1"/>
  <c r="CH302" i="1"/>
  <c r="CF302" i="1"/>
  <c r="BL302" i="1"/>
  <c r="BD302" i="1"/>
  <c r="AZ302" i="1"/>
  <c r="AX302" i="1"/>
  <c r="DC303" i="1"/>
  <c r="CY303" i="1"/>
  <c r="Y303" i="1" s="1"/>
  <c r="CW303" i="1"/>
  <c r="AA303" i="1" s="1"/>
  <c r="CR303" i="1"/>
  <c r="CP303" i="1"/>
  <c r="CN303" i="1"/>
  <c r="CJ303" i="1"/>
  <c r="CH303" i="1"/>
  <c r="CF303" i="1"/>
  <c r="BL303" i="1"/>
  <c r="BD303" i="1"/>
  <c r="AZ303" i="1"/>
  <c r="AX303" i="1"/>
  <c r="DC304" i="1"/>
  <c r="CY304" i="1"/>
  <c r="Y304" i="1" s="1"/>
  <c r="CW304" i="1"/>
  <c r="AA304" i="1" s="1"/>
  <c r="CR304" i="1"/>
  <c r="CP304" i="1"/>
  <c r="CN304" i="1"/>
  <c r="CJ304" i="1"/>
  <c r="CH304" i="1"/>
  <c r="CF304" i="1"/>
  <c r="BL304" i="1"/>
  <c r="BD304" i="1"/>
  <c r="AZ304" i="1"/>
  <c r="AX304" i="1"/>
  <c r="DC300" i="1"/>
  <c r="CY300" i="1"/>
  <c r="Y300" i="1" s="1"/>
  <c r="CW300" i="1"/>
  <c r="AA300" i="1" s="1"/>
  <c r="CR300" i="1"/>
  <c r="CP300" i="1"/>
  <c r="CN300" i="1"/>
  <c r="CJ300" i="1"/>
  <c r="CH300" i="1"/>
  <c r="CF300" i="1"/>
  <c r="BL300" i="1"/>
  <c r="BD300" i="1"/>
  <c r="AZ300" i="1"/>
  <c r="AX300" i="1"/>
  <c r="DC301" i="1"/>
  <c r="CY301" i="1"/>
  <c r="Y301" i="1" s="1"/>
  <c r="CW301" i="1"/>
  <c r="AA301" i="1" s="1"/>
  <c r="CR301" i="1"/>
  <c r="CP301" i="1"/>
  <c r="CN301" i="1"/>
  <c r="CJ301" i="1"/>
  <c r="CH301" i="1"/>
  <c r="CF301" i="1"/>
  <c r="BL301" i="1"/>
  <c r="BD301" i="1"/>
  <c r="AZ301" i="1"/>
  <c r="AX301" i="1"/>
  <c r="DC307" i="1"/>
  <c r="CY307" i="1"/>
  <c r="Y307" i="1" s="1"/>
  <c r="CW307" i="1"/>
  <c r="AA307" i="1" s="1"/>
  <c r="CR307" i="1"/>
  <c r="CP307" i="1"/>
  <c r="CN307" i="1"/>
  <c r="CJ307" i="1"/>
  <c r="CH307" i="1"/>
  <c r="CF307" i="1"/>
  <c r="BL307" i="1"/>
  <c r="BD307" i="1"/>
  <c r="AZ307" i="1"/>
  <c r="AX307" i="1"/>
  <c r="DC306" i="1"/>
  <c r="CY306" i="1"/>
  <c r="Y306" i="1" s="1"/>
  <c r="CW306" i="1"/>
  <c r="AA306" i="1" s="1"/>
  <c r="CR306" i="1"/>
  <c r="CP306" i="1"/>
  <c r="CN306" i="1"/>
  <c r="CJ306" i="1"/>
  <c r="CH306" i="1"/>
  <c r="CF306" i="1"/>
  <c r="BL306" i="1"/>
  <c r="BD306" i="1"/>
  <c r="AZ306" i="1"/>
  <c r="AX306" i="1"/>
  <c r="DC305" i="1"/>
  <c r="CY305" i="1"/>
  <c r="Y305" i="1" s="1"/>
  <c r="CW305" i="1"/>
  <c r="AA305" i="1" s="1"/>
  <c r="CR305" i="1"/>
  <c r="CP305" i="1"/>
  <c r="CN305" i="1"/>
  <c r="CJ305" i="1"/>
  <c r="CH305" i="1"/>
  <c r="CF305" i="1"/>
  <c r="BL305" i="1"/>
  <c r="BD305" i="1"/>
  <c r="AZ305" i="1"/>
  <c r="AX305" i="1"/>
  <c r="DC290" i="1"/>
  <c r="CY290" i="1"/>
  <c r="Y290" i="1" s="1"/>
  <c r="CW290" i="1"/>
  <c r="AA290" i="1" s="1"/>
  <c r="CR290" i="1"/>
  <c r="CP290" i="1"/>
  <c r="CN290" i="1"/>
  <c r="CJ290" i="1"/>
  <c r="CH290" i="1"/>
  <c r="CF290" i="1"/>
  <c r="BL290" i="1"/>
  <c r="BD290" i="1"/>
  <c r="AZ290" i="1"/>
  <c r="AX290" i="1"/>
  <c r="DC292" i="1"/>
  <c r="CY292" i="1"/>
  <c r="Y292" i="1" s="1"/>
  <c r="CW292" i="1"/>
  <c r="AA292" i="1" s="1"/>
  <c r="CR292" i="1"/>
  <c r="CP292" i="1"/>
  <c r="CN292" i="1"/>
  <c r="CJ292" i="1"/>
  <c r="CH292" i="1"/>
  <c r="CF292" i="1"/>
  <c r="BL292" i="1"/>
  <c r="BD292" i="1"/>
  <c r="AZ292" i="1"/>
  <c r="AX292" i="1"/>
  <c r="DC293" i="1"/>
  <c r="CY293" i="1"/>
  <c r="Y293" i="1" s="1"/>
  <c r="CW293" i="1"/>
  <c r="AA293" i="1" s="1"/>
  <c r="CR293" i="1"/>
  <c r="CP293" i="1"/>
  <c r="CN293" i="1"/>
  <c r="CJ293" i="1"/>
  <c r="CH293" i="1"/>
  <c r="CF293" i="1"/>
  <c r="BL293" i="1"/>
  <c r="BD293" i="1"/>
  <c r="AZ293" i="1"/>
  <c r="AX293" i="1"/>
  <c r="DC287" i="1"/>
  <c r="CY287" i="1"/>
  <c r="Y287" i="1" s="1"/>
  <c r="CW287" i="1"/>
  <c r="AA287" i="1" s="1"/>
  <c r="CR287" i="1"/>
  <c r="CP287" i="1"/>
  <c r="CN287" i="1"/>
  <c r="CJ287" i="1"/>
  <c r="CH287" i="1"/>
  <c r="CF287" i="1"/>
  <c r="BL287" i="1"/>
  <c r="BD287" i="1"/>
  <c r="AZ287" i="1"/>
  <c r="AX287" i="1"/>
  <c r="DC297" i="1"/>
  <c r="CY297" i="1"/>
  <c r="Y297" i="1" s="1"/>
  <c r="CW297" i="1"/>
  <c r="AA297" i="1" s="1"/>
  <c r="CR297" i="1"/>
  <c r="CP297" i="1"/>
  <c r="CN297" i="1"/>
  <c r="CJ297" i="1"/>
  <c r="CH297" i="1"/>
  <c r="CF297" i="1"/>
  <c r="BL297" i="1"/>
  <c r="BD297" i="1"/>
  <c r="AZ297" i="1"/>
  <c r="AX297" i="1"/>
  <c r="DC283" i="1"/>
  <c r="CY283" i="1"/>
  <c r="Y283" i="1" s="1"/>
  <c r="CW283" i="1"/>
  <c r="AA283" i="1" s="1"/>
  <c r="CR283" i="1"/>
  <c r="CP283" i="1"/>
  <c r="CN283" i="1"/>
  <c r="CJ283" i="1"/>
  <c r="CH283" i="1"/>
  <c r="CF283" i="1"/>
  <c r="BL283" i="1"/>
  <c r="BD283" i="1"/>
  <c r="AZ283" i="1"/>
  <c r="AX283" i="1"/>
  <c r="DC282" i="1"/>
  <c r="CY282" i="1"/>
  <c r="Y282" i="1" s="1"/>
  <c r="CW282" i="1"/>
  <c r="AA282" i="1" s="1"/>
  <c r="CR282" i="1"/>
  <c r="CP282" i="1"/>
  <c r="CN282" i="1"/>
  <c r="CJ282" i="1"/>
  <c r="CH282" i="1"/>
  <c r="CF282" i="1"/>
  <c r="BL282" i="1"/>
  <c r="BD282" i="1"/>
  <c r="AZ282" i="1"/>
  <c r="AX282" i="1"/>
  <c r="DC286" i="1"/>
  <c r="CY286" i="1"/>
  <c r="Y286" i="1" s="1"/>
  <c r="CW286" i="1"/>
  <c r="AA286" i="1" s="1"/>
  <c r="CR286" i="1"/>
  <c r="CP286" i="1"/>
  <c r="CN286" i="1"/>
  <c r="CJ286" i="1"/>
  <c r="CH286" i="1"/>
  <c r="CF286" i="1"/>
  <c r="BL286" i="1"/>
  <c r="BD286" i="1"/>
  <c r="AZ286" i="1"/>
  <c r="AX286" i="1"/>
  <c r="DC298" i="1"/>
  <c r="CY298" i="1"/>
  <c r="Y298" i="1" s="1"/>
  <c r="CW298" i="1"/>
  <c r="AA298" i="1" s="1"/>
  <c r="CR298" i="1"/>
  <c r="CP298" i="1"/>
  <c r="CN298" i="1"/>
  <c r="CJ298" i="1"/>
  <c r="CH298" i="1"/>
  <c r="CF298" i="1"/>
  <c r="BL298" i="1"/>
  <c r="BD298" i="1"/>
  <c r="AZ298" i="1"/>
  <c r="AX298" i="1"/>
  <c r="DC289" i="1"/>
  <c r="CY289" i="1"/>
  <c r="Y289" i="1" s="1"/>
  <c r="CW289" i="1"/>
  <c r="AA289" i="1" s="1"/>
  <c r="CR289" i="1"/>
  <c r="CP289" i="1"/>
  <c r="CN289" i="1"/>
  <c r="CJ289" i="1"/>
  <c r="CH289" i="1"/>
  <c r="CF289" i="1"/>
  <c r="BL289" i="1"/>
  <c r="BD289" i="1"/>
  <c r="AZ289" i="1"/>
  <c r="AX289" i="1"/>
  <c r="DC288" i="1"/>
  <c r="CY288" i="1"/>
  <c r="Y288" i="1" s="1"/>
  <c r="CW288" i="1"/>
  <c r="AA288" i="1" s="1"/>
  <c r="CR288" i="1"/>
  <c r="CP288" i="1"/>
  <c r="CN288" i="1"/>
  <c r="CJ288" i="1"/>
  <c r="CH288" i="1"/>
  <c r="CF288" i="1"/>
  <c r="BL288" i="1"/>
  <c r="BD288" i="1"/>
  <c r="AZ288" i="1"/>
  <c r="AX288" i="1"/>
  <c r="Z289" i="1" l="1"/>
  <c r="Z286" i="1"/>
  <c r="Z283" i="1"/>
  <c r="Z287" i="1"/>
  <c r="Z292" i="1"/>
  <c r="Z305" i="1"/>
  <c r="Z307" i="1"/>
  <c r="Z300" i="1"/>
  <c r="Z303" i="1"/>
  <c r="Z299" i="1"/>
  <c r="Z364" i="1"/>
  <c r="Z288" i="1"/>
  <c r="Z298" i="1"/>
  <c r="Z282" i="1"/>
  <c r="Z297" i="1"/>
  <c r="Z293" i="1"/>
  <c r="Z290" i="1"/>
  <c r="Z306" i="1"/>
  <c r="Z301" i="1"/>
  <c r="Z304" i="1"/>
  <c r="Z302" i="1"/>
  <c r="Z363" i="1"/>
  <c r="Z360" i="1"/>
  <c r="AD343" i="1"/>
  <c r="AD356" i="1"/>
  <c r="AD359" i="1"/>
  <c r="AD354" i="1"/>
  <c r="AD358" i="1"/>
  <c r="AD313" i="1"/>
  <c r="AD353" i="1"/>
  <c r="AD339" i="1"/>
  <c r="AD334" i="1"/>
  <c r="AD352" i="1"/>
  <c r="AD344" i="1"/>
  <c r="AD349" i="1"/>
  <c r="AD337" i="1"/>
  <c r="AD355" i="1"/>
  <c r="AD366" i="1"/>
  <c r="AD330" i="1"/>
  <c r="AD361" i="1"/>
  <c r="AD340" i="1"/>
  <c r="AD351" i="1"/>
  <c r="AD348" i="1"/>
  <c r="AD338" i="1"/>
  <c r="AD336" i="1"/>
  <c r="AD346" i="1"/>
  <c r="AD347" i="1"/>
  <c r="AD357" i="1"/>
  <c r="AD319" i="1"/>
  <c r="AD316" i="1"/>
  <c r="AD310" i="1"/>
  <c r="AD320" i="1"/>
  <c r="AD327" i="1"/>
  <c r="AD342" i="1"/>
  <c r="AD325" i="1"/>
  <c r="AD341" i="1"/>
  <c r="AD345" i="1"/>
  <c r="AD308" i="1"/>
  <c r="AD350" i="1"/>
  <c r="AD328" i="1"/>
  <c r="AD324" i="1"/>
  <c r="AD312" i="1"/>
  <c r="AD333" i="1"/>
  <c r="AD318" i="1"/>
  <c r="AD329" i="1"/>
  <c r="AD326" i="1"/>
  <c r="AD309" i="1"/>
  <c r="AD311" i="1"/>
  <c r="AD335" i="1"/>
  <c r="AD317" i="1"/>
  <c r="CU304" i="1"/>
  <c r="X304" i="1" s="1"/>
  <c r="CU302" i="1"/>
  <c r="X302" i="1" s="1"/>
  <c r="CU299" i="1"/>
  <c r="X299" i="1" s="1"/>
  <c r="CU364" i="1"/>
  <c r="X364" i="1" s="1"/>
  <c r="CU305" i="1"/>
  <c r="X305" i="1" s="1"/>
  <c r="CU307" i="1"/>
  <c r="X307" i="1" s="1"/>
  <c r="CU301" i="1"/>
  <c r="X301" i="1" s="1"/>
  <c r="CU297" i="1"/>
  <c r="X297" i="1" s="1"/>
  <c r="CU293" i="1"/>
  <c r="X293" i="1" s="1"/>
  <c r="CU306" i="1"/>
  <c r="X306" i="1" s="1"/>
  <c r="CU300" i="1"/>
  <c r="X300" i="1" s="1"/>
  <c r="CU303" i="1"/>
  <c r="X303" i="1" s="1"/>
  <c r="CU363" i="1"/>
  <c r="X363" i="1" s="1"/>
  <c r="CU360" i="1"/>
  <c r="X360" i="1" s="1"/>
  <c r="CU288" i="1"/>
  <c r="X288" i="1" s="1"/>
  <c r="CU298" i="1"/>
  <c r="X298" i="1" s="1"/>
  <c r="CU282" i="1"/>
  <c r="X282" i="1" s="1"/>
  <c r="CU289" i="1"/>
  <c r="X289" i="1" s="1"/>
  <c r="CU286" i="1"/>
  <c r="X286" i="1" s="1"/>
  <c r="CU283" i="1"/>
  <c r="X283" i="1" s="1"/>
  <c r="CU287" i="1"/>
  <c r="X287" i="1" s="1"/>
  <c r="CU292" i="1"/>
  <c r="X292" i="1" s="1"/>
  <c r="CU290" i="1"/>
  <c r="X290" i="1" s="1"/>
  <c r="DC407" i="1"/>
  <c r="CY407" i="1"/>
  <c r="Y407" i="1" s="1"/>
  <c r="CW407" i="1"/>
  <c r="AA407" i="1" s="1"/>
  <c r="CR407" i="1"/>
  <c r="CP407" i="1"/>
  <c r="CN407" i="1"/>
  <c r="CJ407" i="1"/>
  <c r="CH407" i="1"/>
  <c r="CF407" i="1"/>
  <c r="BL407" i="1"/>
  <c r="BD407" i="1"/>
  <c r="AZ407" i="1"/>
  <c r="AX407" i="1"/>
  <c r="DC406" i="1"/>
  <c r="CY406" i="1"/>
  <c r="Y406" i="1" s="1"/>
  <c r="CW406" i="1"/>
  <c r="AA406" i="1" s="1"/>
  <c r="CR406" i="1"/>
  <c r="CP406" i="1"/>
  <c r="CN406" i="1"/>
  <c r="CJ406" i="1"/>
  <c r="CH406" i="1"/>
  <c r="CF406" i="1"/>
  <c r="BL406" i="1"/>
  <c r="BD406" i="1"/>
  <c r="AZ406" i="1"/>
  <c r="AX406" i="1"/>
  <c r="DC409" i="1"/>
  <c r="CY409" i="1"/>
  <c r="Y409" i="1" s="1"/>
  <c r="CW409" i="1"/>
  <c r="AA409" i="1" s="1"/>
  <c r="CR409" i="1"/>
  <c r="CP409" i="1"/>
  <c r="CN409" i="1"/>
  <c r="CJ409" i="1"/>
  <c r="CH409" i="1"/>
  <c r="CF409" i="1"/>
  <c r="BL409" i="1"/>
  <c r="BD409" i="1"/>
  <c r="AZ409" i="1"/>
  <c r="AX409" i="1"/>
  <c r="DC362" i="1"/>
  <c r="CY362" i="1"/>
  <c r="Y362" i="1" s="1"/>
  <c r="CW362" i="1"/>
  <c r="AA362" i="1" s="1"/>
  <c r="CR362" i="1"/>
  <c r="CP362" i="1"/>
  <c r="CN362" i="1"/>
  <c r="CJ362" i="1"/>
  <c r="CH362" i="1"/>
  <c r="CF362" i="1"/>
  <c r="BL362" i="1"/>
  <c r="BD362" i="1"/>
  <c r="AZ362" i="1"/>
  <c r="AX362" i="1"/>
  <c r="DC365" i="1"/>
  <c r="CY365" i="1"/>
  <c r="Y365" i="1" s="1"/>
  <c r="CW365" i="1"/>
  <c r="AA365" i="1" s="1"/>
  <c r="CR365" i="1"/>
  <c r="CP365" i="1"/>
  <c r="CN365" i="1"/>
  <c r="CJ365" i="1"/>
  <c r="CH365" i="1"/>
  <c r="CF365" i="1"/>
  <c r="BL365" i="1"/>
  <c r="BD365" i="1"/>
  <c r="AZ365" i="1"/>
  <c r="AX365" i="1"/>
  <c r="DC284" i="1"/>
  <c r="CY284" i="1"/>
  <c r="Y284" i="1" s="1"/>
  <c r="CW284" i="1"/>
  <c r="AA284" i="1" s="1"/>
  <c r="CR284" i="1"/>
  <c r="CP284" i="1"/>
  <c r="CN284" i="1"/>
  <c r="CJ284" i="1"/>
  <c r="CH284" i="1"/>
  <c r="CF284" i="1"/>
  <c r="BL284" i="1"/>
  <c r="BD284" i="1"/>
  <c r="AZ284" i="1"/>
  <c r="AX284" i="1"/>
  <c r="DC295" i="1"/>
  <c r="CY295" i="1"/>
  <c r="Y295" i="1" s="1"/>
  <c r="CW295" i="1"/>
  <c r="AA295" i="1" s="1"/>
  <c r="CR295" i="1"/>
  <c r="CP295" i="1"/>
  <c r="CN295" i="1"/>
  <c r="CJ295" i="1"/>
  <c r="CH295" i="1"/>
  <c r="CF295" i="1"/>
  <c r="BL295" i="1"/>
  <c r="BD295" i="1"/>
  <c r="AZ295" i="1"/>
  <c r="AX295" i="1"/>
  <c r="DC296" i="1"/>
  <c r="CY296" i="1"/>
  <c r="Y296" i="1" s="1"/>
  <c r="CW296" i="1"/>
  <c r="AA296" i="1" s="1"/>
  <c r="CR296" i="1"/>
  <c r="CP296" i="1"/>
  <c r="CN296" i="1"/>
  <c r="CJ296" i="1"/>
  <c r="CH296" i="1"/>
  <c r="CF296" i="1"/>
  <c r="BL296" i="1"/>
  <c r="BD296" i="1"/>
  <c r="AZ296" i="1"/>
  <c r="AX296" i="1"/>
  <c r="DC291" i="1"/>
  <c r="CY291" i="1"/>
  <c r="Y291" i="1" s="1"/>
  <c r="CW291" i="1"/>
  <c r="AA291" i="1" s="1"/>
  <c r="CR291" i="1"/>
  <c r="CP291" i="1"/>
  <c r="CN291" i="1"/>
  <c r="CJ291" i="1"/>
  <c r="CH291" i="1"/>
  <c r="CF291" i="1"/>
  <c r="BL291" i="1"/>
  <c r="BD291" i="1"/>
  <c r="AZ291" i="1"/>
  <c r="AX291" i="1"/>
  <c r="Z406" i="1" l="1"/>
  <c r="Z409" i="1"/>
  <c r="Z407" i="1"/>
  <c r="Z296" i="1"/>
  <c r="Z284" i="1"/>
  <c r="Z362" i="1"/>
  <c r="Z291" i="1"/>
  <c r="Z295" i="1"/>
  <c r="Z365" i="1"/>
  <c r="AD363" i="1"/>
  <c r="AD304" i="1"/>
  <c r="AD301" i="1"/>
  <c r="AD299" i="1"/>
  <c r="AD300" i="1"/>
  <c r="AD360" i="1"/>
  <c r="AD306" i="1"/>
  <c r="AD302" i="1"/>
  <c r="AD307" i="1"/>
  <c r="AD288" i="1"/>
  <c r="AD364" i="1"/>
  <c r="AD305" i="1"/>
  <c r="AD289" i="1"/>
  <c r="AD303" i="1"/>
  <c r="AD282" i="1"/>
  <c r="AD286" i="1"/>
  <c r="AD298" i="1"/>
  <c r="AD293" i="1"/>
  <c r="AD297" i="1"/>
  <c r="AD283" i="1"/>
  <c r="AD292" i="1"/>
  <c r="AD287" i="1"/>
  <c r="AD290" i="1"/>
  <c r="CU291" i="1"/>
  <c r="X291" i="1" s="1"/>
  <c r="CU295" i="1"/>
  <c r="X295" i="1" s="1"/>
  <c r="CU284" i="1"/>
  <c r="X284" i="1" s="1"/>
  <c r="CU365" i="1"/>
  <c r="X365" i="1" s="1"/>
  <c r="CU362" i="1"/>
  <c r="X362" i="1" s="1"/>
  <c r="CU409" i="1"/>
  <c r="X409" i="1" s="1"/>
  <c r="CU406" i="1"/>
  <c r="X406" i="1" s="1"/>
  <c r="CU407" i="1"/>
  <c r="X407" i="1" s="1"/>
  <c r="CU296" i="1"/>
  <c r="X296" i="1" s="1"/>
  <c r="DC278" i="1"/>
  <c r="CY278" i="1"/>
  <c r="Y278" i="1" s="1"/>
  <c r="CW278" i="1"/>
  <c r="AA278" i="1" s="1"/>
  <c r="CR278" i="1"/>
  <c r="CP278" i="1"/>
  <c r="CN278" i="1"/>
  <c r="CJ278" i="1"/>
  <c r="CH278" i="1"/>
  <c r="CF278" i="1"/>
  <c r="BL278" i="1"/>
  <c r="BD278" i="1"/>
  <c r="AZ278" i="1"/>
  <c r="AX278" i="1"/>
  <c r="DC279" i="1"/>
  <c r="CY279" i="1"/>
  <c r="Y279" i="1" s="1"/>
  <c r="CW279" i="1"/>
  <c r="AA279" i="1" s="1"/>
  <c r="CR279" i="1"/>
  <c r="CP279" i="1"/>
  <c r="CN279" i="1"/>
  <c r="CJ279" i="1"/>
  <c r="CH279" i="1"/>
  <c r="CF279" i="1"/>
  <c r="BL279" i="1"/>
  <c r="BD279" i="1"/>
  <c r="AZ279" i="1"/>
  <c r="AX279" i="1"/>
  <c r="DC257" i="1"/>
  <c r="CY257" i="1"/>
  <c r="Y257" i="1" s="1"/>
  <c r="CW257" i="1"/>
  <c r="AA257" i="1" s="1"/>
  <c r="CR257" i="1"/>
  <c r="CP257" i="1"/>
  <c r="CN257" i="1"/>
  <c r="CJ257" i="1"/>
  <c r="CH257" i="1"/>
  <c r="CF257" i="1"/>
  <c r="BL257" i="1"/>
  <c r="BD257" i="1"/>
  <c r="AZ257" i="1"/>
  <c r="AX257" i="1"/>
  <c r="DC266" i="1"/>
  <c r="CY266" i="1"/>
  <c r="Y266" i="1" s="1"/>
  <c r="CW266" i="1"/>
  <c r="AA266" i="1" s="1"/>
  <c r="CR266" i="1"/>
  <c r="CP266" i="1"/>
  <c r="CN266" i="1"/>
  <c r="CJ266" i="1"/>
  <c r="CH266" i="1"/>
  <c r="CF266" i="1"/>
  <c r="BL266" i="1"/>
  <c r="BD266" i="1"/>
  <c r="AZ266" i="1"/>
  <c r="AX266" i="1"/>
  <c r="DC265" i="1"/>
  <c r="CY265" i="1"/>
  <c r="Y265" i="1" s="1"/>
  <c r="CW265" i="1"/>
  <c r="AA265" i="1" s="1"/>
  <c r="CR265" i="1"/>
  <c r="CP265" i="1"/>
  <c r="CN265" i="1"/>
  <c r="CJ265" i="1"/>
  <c r="CH265" i="1"/>
  <c r="CF265" i="1"/>
  <c r="BL265" i="1"/>
  <c r="BD265" i="1"/>
  <c r="AZ265" i="1"/>
  <c r="AX265" i="1"/>
  <c r="DC268" i="1"/>
  <c r="CY268" i="1"/>
  <c r="Y268" i="1" s="1"/>
  <c r="CW268" i="1"/>
  <c r="AA268" i="1" s="1"/>
  <c r="CR268" i="1"/>
  <c r="CP268" i="1"/>
  <c r="CN268" i="1"/>
  <c r="CJ268" i="1"/>
  <c r="CH268" i="1"/>
  <c r="CF268" i="1"/>
  <c r="BL268" i="1"/>
  <c r="BD268" i="1"/>
  <c r="AZ268" i="1"/>
  <c r="AX268" i="1"/>
  <c r="DC267" i="1"/>
  <c r="CY267" i="1"/>
  <c r="Y267" i="1" s="1"/>
  <c r="CW267" i="1"/>
  <c r="AA267" i="1" s="1"/>
  <c r="CR267" i="1"/>
  <c r="CP267" i="1"/>
  <c r="CN267" i="1"/>
  <c r="CJ267" i="1"/>
  <c r="CH267" i="1"/>
  <c r="CF267" i="1"/>
  <c r="BL267" i="1"/>
  <c r="BD267" i="1"/>
  <c r="AZ267" i="1"/>
  <c r="AX267" i="1"/>
  <c r="DC264" i="1"/>
  <c r="CY264" i="1"/>
  <c r="Y264" i="1" s="1"/>
  <c r="CW264" i="1"/>
  <c r="AA264" i="1" s="1"/>
  <c r="CR264" i="1"/>
  <c r="CP264" i="1"/>
  <c r="CN264" i="1"/>
  <c r="CJ264" i="1"/>
  <c r="CH264" i="1"/>
  <c r="CF264" i="1"/>
  <c r="BL264" i="1"/>
  <c r="BD264" i="1"/>
  <c r="AZ264" i="1"/>
  <c r="AX264" i="1"/>
  <c r="DC269" i="1"/>
  <c r="CY269" i="1"/>
  <c r="Y269" i="1" s="1"/>
  <c r="CW269" i="1"/>
  <c r="AA269" i="1" s="1"/>
  <c r="CR269" i="1"/>
  <c r="CP269" i="1"/>
  <c r="CN269" i="1"/>
  <c r="CJ269" i="1"/>
  <c r="CH269" i="1"/>
  <c r="CF269" i="1"/>
  <c r="BL269" i="1"/>
  <c r="BD269" i="1"/>
  <c r="AZ269" i="1"/>
  <c r="AX269" i="1"/>
  <c r="DC271" i="1"/>
  <c r="CY271" i="1"/>
  <c r="Y271" i="1" s="1"/>
  <c r="CW271" i="1"/>
  <c r="AA271" i="1" s="1"/>
  <c r="CR271" i="1"/>
  <c r="CP271" i="1"/>
  <c r="CN271" i="1"/>
  <c r="CJ271" i="1"/>
  <c r="CH271" i="1"/>
  <c r="CF271" i="1"/>
  <c r="BL271" i="1"/>
  <c r="BD271" i="1"/>
  <c r="AZ271" i="1"/>
  <c r="AX271" i="1"/>
  <c r="DC276" i="1"/>
  <c r="CY276" i="1"/>
  <c r="Y276" i="1" s="1"/>
  <c r="CW276" i="1"/>
  <c r="AA276" i="1" s="1"/>
  <c r="CR276" i="1"/>
  <c r="CP276" i="1"/>
  <c r="CN276" i="1"/>
  <c r="CJ276" i="1"/>
  <c r="CH276" i="1"/>
  <c r="CF276" i="1"/>
  <c r="BL276" i="1"/>
  <c r="BD276" i="1"/>
  <c r="AZ276" i="1"/>
  <c r="AX276" i="1"/>
  <c r="DC273" i="1"/>
  <c r="CY273" i="1"/>
  <c r="Y273" i="1" s="1"/>
  <c r="CW273" i="1"/>
  <c r="AA273" i="1" s="1"/>
  <c r="CR273" i="1"/>
  <c r="CP273" i="1"/>
  <c r="CN273" i="1"/>
  <c r="CJ273" i="1"/>
  <c r="CH273" i="1"/>
  <c r="CF273" i="1"/>
  <c r="BL273" i="1"/>
  <c r="BD273" i="1"/>
  <c r="AZ273" i="1"/>
  <c r="AX273" i="1"/>
  <c r="DC272" i="1"/>
  <c r="CY272" i="1"/>
  <c r="Y272" i="1" s="1"/>
  <c r="CW272" i="1"/>
  <c r="AA272" i="1" s="1"/>
  <c r="CR272" i="1"/>
  <c r="CP272" i="1"/>
  <c r="CN272" i="1"/>
  <c r="CJ272" i="1"/>
  <c r="CH272" i="1"/>
  <c r="CF272" i="1"/>
  <c r="BL272" i="1"/>
  <c r="BD272" i="1"/>
  <c r="AZ272" i="1"/>
  <c r="AX272" i="1"/>
  <c r="DC275" i="1"/>
  <c r="CY275" i="1"/>
  <c r="Y275" i="1" s="1"/>
  <c r="CW275" i="1"/>
  <c r="AA275" i="1" s="1"/>
  <c r="CR275" i="1"/>
  <c r="CP275" i="1"/>
  <c r="CN275" i="1"/>
  <c r="CJ275" i="1"/>
  <c r="CH275" i="1"/>
  <c r="CF275" i="1"/>
  <c r="BL275" i="1"/>
  <c r="BD275" i="1"/>
  <c r="AZ275" i="1"/>
  <c r="AX275" i="1"/>
  <c r="DC274" i="1"/>
  <c r="CY274" i="1"/>
  <c r="Y274" i="1" s="1"/>
  <c r="CW274" i="1"/>
  <c r="AA274" i="1" s="1"/>
  <c r="CR274" i="1"/>
  <c r="CP274" i="1"/>
  <c r="CN274" i="1"/>
  <c r="CJ274" i="1"/>
  <c r="CH274" i="1"/>
  <c r="CF274" i="1"/>
  <c r="BL274" i="1"/>
  <c r="BD274" i="1"/>
  <c r="AZ274" i="1"/>
  <c r="AX274" i="1"/>
  <c r="DC270" i="1"/>
  <c r="CY270" i="1"/>
  <c r="Y270" i="1" s="1"/>
  <c r="CW270" i="1"/>
  <c r="AA270" i="1" s="1"/>
  <c r="CR270" i="1"/>
  <c r="CP270" i="1"/>
  <c r="CN270" i="1"/>
  <c r="CJ270" i="1"/>
  <c r="CH270" i="1"/>
  <c r="CF270" i="1"/>
  <c r="BL270" i="1"/>
  <c r="BD270" i="1"/>
  <c r="AZ270" i="1"/>
  <c r="AX270" i="1"/>
  <c r="DC259" i="1"/>
  <c r="CY259" i="1"/>
  <c r="Y259" i="1" s="1"/>
  <c r="CW259" i="1"/>
  <c r="AA259" i="1" s="1"/>
  <c r="CR259" i="1"/>
  <c r="CP259" i="1"/>
  <c r="CN259" i="1"/>
  <c r="CJ259" i="1"/>
  <c r="CH259" i="1"/>
  <c r="CF259" i="1"/>
  <c r="BL259" i="1"/>
  <c r="BD259" i="1"/>
  <c r="AZ259" i="1"/>
  <c r="AX259" i="1"/>
  <c r="DC258" i="1"/>
  <c r="CY258" i="1"/>
  <c r="Y258" i="1" s="1"/>
  <c r="CW258" i="1"/>
  <c r="AA258" i="1" s="1"/>
  <c r="CR258" i="1"/>
  <c r="CP258" i="1"/>
  <c r="CN258" i="1"/>
  <c r="CJ258" i="1"/>
  <c r="CH258" i="1"/>
  <c r="CF258" i="1"/>
  <c r="BL258" i="1"/>
  <c r="BD258" i="1"/>
  <c r="AZ258" i="1"/>
  <c r="AX258" i="1"/>
  <c r="DC263" i="1"/>
  <c r="CY263" i="1"/>
  <c r="Y263" i="1" s="1"/>
  <c r="CW263" i="1"/>
  <c r="AA263" i="1" s="1"/>
  <c r="CR263" i="1"/>
  <c r="CP263" i="1"/>
  <c r="CN263" i="1"/>
  <c r="CJ263" i="1"/>
  <c r="CH263" i="1"/>
  <c r="CF263" i="1"/>
  <c r="BL263" i="1"/>
  <c r="BD263" i="1"/>
  <c r="AZ263" i="1"/>
  <c r="AX263" i="1"/>
  <c r="DC261" i="1"/>
  <c r="CY261" i="1"/>
  <c r="Y261" i="1" s="1"/>
  <c r="CW261" i="1"/>
  <c r="AA261" i="1" s="1"/>
  <c r="CR261" i="1"/>
  <c r="CP261" i="1"/>
  <c r="CN261" i="1"/>
  <c r="CJ261" i="1"/>
  <c r="CH261" i="1"/>
  <c r="CF261" i="1"/>
  <c r="BL261" i="1"/>
  <c r="BD261" i="1"/>
  <c r="AZ261" i="1"/>
  <c r="AX261" i="1"/>
  <c r="DC262" i="1"/>
  <c r="CY262" i="1"/>
  <c r="Y262" i="1" s="1"/>
  <c r="CW262" i="1"/>
  <c r="AA262" i="1" s="1"/>
  <c r="CR262" i="1"/>
  <c r="CP262" i="1"/>
  <c r="CN262" i="1"/>
  <c r="CJ262" i="1"/>
  <c r="CH262" i="1"/>
  <c r="CF262" i="1"/>
  <c r="BL262" i="1"/>
  <c r="BD262" i="1"/>
  <c r="AZ262" i="1"/>
  <c r="AX262" i="1"/>
  <c r="DC260" i="1"/>
  <c r="CY260" i="1"/>
  <c r="Y260" i="1" s="1"/>
  <c r="CW260" i="1"/>
  <c r="AA260" i="1" s="1"/>
  <c r="CR260" i="1"/>
  <c r="CP260" i="1"/>
  <c r="CN260" i="1"/>
  <c r="CJ260" i="1"/>
  <c r="CH260" i="1"/>
  <c r="CF260" i="1"/>
  <c r="BL260" i="1"/>
  <c r="BD260" i="1"/>
  <c r="AZ260" i="1"/>
  <c r="AX260" i="1"/>
  <c r="DC256" i="1"/>
  <c r="CY256" i="1"/>
  <c r="Y256" i="1" s="1"/>
  <c r="CW256" i="1"/>
  <c r="AA256" i="1" s="1"/>
  <c r="CR256" i="1"/>
  <c r="CP256" i="1"/>
  <c r="CN256" i="1"/>
  <c r="CJ256" i="1"/>
  <c r="CH256" i="1"/>
  <c r="CF256" i="1"/>
  <c r="BL256" i="1"/>
  <c r="BD256" i="1"/>
  <c r="AZ256" i="1"/>
  <c r="AX256" i="1"/>
  <c r="DC280" i="1"/>
  <c r="CY280" i="1"/>
  <c r="Y280" i="1" s="1"/>
  <c r="CW280" i="1"/>
  <c r="AA280" i="1" s="1"/>
  <c r="CR280" i="1"/>
  <c r="CP280" i="1"/>
  <c r="CN280" i="1"/>
  <c r="CJ280" i="1"/>
  <c r="CH280" i="1"/>
  <c r="CF280" i="1"/>
  <c r="BL280" i="1"/>
  <c r="BD280" i="1"/>
  <c r="AZ280" i="1"/>
  <c r="AX280" i="1"/>
  <c r="DC294" i="1"/>
  <c r="CY294" i="1"/>
  <c r="Y294" i="1" s="1"/>
  <c r="CW294" i="1"/>
  <c r="AA294" i="1" s="1"/>
  <c r="CR294" i="1"/>
  <c r="CP294" i="1"/>
  <c r="CN294" i="1"/>
  <c r="CJ294" i="1"/>
  <c r="CH294" i="1"/>
  <c r="CF294" i="1"/>
  <c r="BL294" i="1"/>
  <c r="BD294" i="1"/>
  <c r="AZ294" i="1"/>
  <c r="AX294" i="1"/>
  <c r="Z280" i="1" l="1"/>
  <c r="Z260" i="1"/>
  <c r="Z261" i="1"/>
  <c r="Z258" i="1"/>
  <c r="Z270" i="1"/>
  <c r="Z275" i="1"/>
  <c r="Z273" i="1"/>
  <c r="Z271" i="1"/>
  <c r="Z264" i="1"/>
  <c r="Z268" i="1"/>
  <c r="Z266" i="1"/>
  <c r="Z279" i="1"/>
  <c r="Z294" i="1"/>
  <c r="Z256" i="1"/>
  <c r="Z262" i="1"/>
  <c r="Z263" i="1"/>
  <c r="Z259" i="1"/>
  <c r="Z274" i="1"/>
  <c r="Z272" i="1"/>
  <c r="Z276" i="1"/>
  <c r="Z269" i="1"/>
  <c r="Z267" i="1"/>
  <c r="Z265" i="1"/>
  <c r="Z257" i="1"/>
  <c r="Z278" i="1"/>
  <c r="AD362" i="1"/>
  <c r="AD407" i="1"/>
  <c r="AD409" i="1"/>
  <c r="AD284" i="1"/>
  <c r="AD365" i="1"/>
  <c r="AD296" i="1"/>
  <c r="AD291" i="1"/>
  <c r="AD295" i="1"/>
  <c r="AD406" i="1"/>
  <c r="CU278" i="1"/>
  <c r="X278" i="1" s="1"/>
  <c r="CU270" i="1"/>
  <c r="X270" i="1" s="1"/>
  <c r="CU273" i="1"/>
  <c r="X273" i="1" s="1"/>
  <c r="CU264" i="1"/>
  <c r="X264" i="1" s="1"/>
  <c r="CU268" i="1"/>
  <c r="X268" i="1" s="1"/>
  <c r="CU266" i="1"/>
  <c r="X266" i="1" s="1"/>
  <c r="CU263" i="1"/>
  <c r="X263" i="1" s="1"/>
  <c r="CU294" i="1"/>
  <c r="X294" i="1" s="1"/>
  <c r="CU279" i="1"/>
  <c r="X279" i="1" s="1"/>
  <c r="CU260" i="1"/>
  <c r="X260" i="1" s="1"/>
  <c r="CU258" i="1"/>
  <c r="X258" i="1" s="1"/>
  <c r="CU274" i="1"/>
  <c r="X274" i="1" s="1"/>
  <c r="CU276" i="1"/>
  <c r="X276" i="1" s="1"/>
  <c r="CU267" i="1"/>
  <c r="X267" i="1" s="1"/>
  <c r="CU257" i="1"/>
  <c r="X257" i="1" s="1"/>
  <c r="CU256" i="1"/>
  <c r="X256" i="1" s="1"/>
  <c r="CU280" i="1"/>
  <c r="X280" i="1" s="1"/>
  <c r="CU262" i="1"/>
  <c r="X262" i="1" s="1"/>
  <c r="CU261" i="1"/>
  <c r="X261" i="1" s="1"/>
  <c r="CU259" i="1"/>
  <c r="X259" i="1" s="1"/>
  <c r="CU275" i="1"/>
  <c r="X275" i="1" s="1"/>
  <c r="CU272" i="1"/>
  <c r="X272" i="1" s="1"/>
  <c r="CU271" i="1"/>
  <c r="X271" i="1" s="1"/>
  <c r="CU269" i="1"/>
  <c r="X269" i="1" s="1"/>
  <c r="CU265" i="1"/>
  <c r="X265" i="1" s="1"/>
  <c r="AD271" i="1" l="1"/>
  <c r="AD259" i="1"/>
  <c r="AD279" i="1"/>
  <c r="AD294" i="1"/>
  <c r="AD275" i="1"/>
  <c r="AD262" i="1"/>
  <c r="AD272" i="1"/>
  <c r="AD280" i="1"/>
  <c r="AD257" i="1"/>
  <c r="AD261" i="1"/>
  <c r="AD258" i="1"/>
  <c r="AD265" i="1"/>
  <c r="AD267" i="1"/>
  <c r="AD269" i="1"/>
  <c r="AD268" i="1"/>
  <c r="AD260" i="1"/>
  <c r="AD264" i="1"/>
  <c r="AD278" i="1"/>
  <c r="AD276" i="1"/>
  <c r="AD263" i="1"/>
  <c r="AD273" i="1"/>
  <c r="AD256" i="1"/>
  <c r="AD274" i="1"/>
  <c r="AD266" i="1"/>
  <c r="AD270" i="1"/>
  <c r="DB219" i="1"/>
  <c r="DB3917" i="1" s="1"/>
  <c r="Z219" i="1" l="1"/>
  <c r="CY219" i="1"/>
  <c r="Y219" i="1" s="1"/>
  <c r="CW219" i="1"/>
  <c r="AA219" i="1" s="1"/>
  <c r="CR219" i="1"/>
  <c r="CP219" i="1"/>
  <c r="CN219" i="1"/>
  <c r="CJ219" i="1"/>
  <c r="CH219" i="1"/>
  <c r="CF219" i="1"/>
  <c r="BL219" i="1"/>
  <c r="BD219" i="1"/>
  <c r="AZ219" i="1"/>
  <c r="AX219" i="1"/>
  <c r="DC277" i="1"/>
  <c r="Y277" i="1"/>
  <c r="CW277" i="1"/>
  <c r="AA277" i="1" s="1"/>
  <c r="CR277" i="1"/>
  <c r="CP277" i="1"/>
  <c r="CN277" i="1"/>
  <c r="CJ277" i="1"/>
  <c r="CH277" i="1"/>
  <c r="CF277" i="1"/>
  <c r="BL277" i="1"/>
  <c r="BD277" i="1"/>
  <c r="AZ277" i="1"/>
  <c r="AX277" i="1"/>
  <c r="DC255" i="1"/>
  <c r="CY255" i="1"/>
  <c r="Y255" i="1" s="1"/>
  <c r="CW255" i="1"/>
  <c r="AA255" i="1" s="1"/>
  <c r="CR255" i="1"/>
  <c r="CP255" i="1"/>
  <c r="CN255" i="1"/>
  <c r="CJ255" i="1"/>
  <c r="CH255" i="1"/>
  <c r="CF255" i="1"/>
  <c r="BL255" i="1"/>
  <c r="BD255" i="1"/>
  <c r="AZ255" i="1"/>
  <c r="AX255" i="1"/>
  <c r="DC248" i="1"/>
  <c r="CY248" i="1"/>
  <c r="Y248" i="1" s="1"/>
  <c r="CW248" i="1"/>
  <c r="AA248" i="1" s="1"/>
  <c r="CR248" i="1"/>
  <c r="CP248" i="1"/>
  <c r="CN248" i="1"/>
  <c r="CJ248" i="1"/>
  <c r="CH248" i="1"/>
  <c r="CF248" i="1"/>
  <c r="BL248" i="1"/>
  <c r="BD248" i="1"/>
  <c r="AZ248" i="1"/>
  <c r="AX248" i="1"/>
  <c r="DC251" i="1"/>
  <c r="CY251" i="1"/>
  <c r="Y251" i="1" s="1"/>
  <c r="CW251" i="1"/>
  <c r="AA251" i="1" s="1"/>
  <c r="CR251" i="1"/>
  <c r="CP251" i="1"/>
  <c r="CN251" i="1"/>
  <c r="CJ251" i="1"/>
  <c r="CH251" i="1"/>
  <c r="CF251" i="1"/>
  <c r="BL251" i="1"/>
  <c r="BD251" i="1"/>
  <c r="AZ251" i="1"/>
  <c r="AX251" i="1"/>
  <c r="DC250" i="1"/>
  <c r="CY250" i="1"/>
  <c r="Y250" i="1" s="1"/>
  <c r="CW250" i="1"/>
  <c r="AA250" i="1" s="1"/>
  <c r="CR250" i="1"/>
  <c r="CP250" i="1"/>
  <c r="CN250" i="1"/>
  <c r="CJ250" i="1"/>
  <c r="CH250" i="1"/>
  <c r="CF250" i="1"/>
  <c r="BL250" i="1"/>
  <c r="BD250" i="1"/>
  <c r="AZ250" i="1"/>
  <c r="AX250" i="1"/>
  <c r="DC253" i="1"/>
  <c r="CY253" i="1"/>
  <c r="Y253" i="1" s="1"/>
  <c r="CW253" i="1"/>
  <c r="AA253" i="1" s="1"/>
  <c r="CR253" i="1"/>
  <c r="CP253" i="1"/>
  <c r="CN253" i="1"/>
  <c r="CJ253" i="1"/>
  <c r="CH253" i="1"/>
  <c r="CF253" i="1"/>
  <c r="BL253" i="1"/>
  <c r="BD253" i="1"/>
  <c r="AZ253" i="1"/>
  <c r="AX253" i="1"/>
  <c r="DC254" i="1"/>
  <c r="CY254" i="1"/>
  <c r="Y254" i="1" s="1"/>
  <c r="CW254" i="1"/>
  <c r="AA254" i="1" s="1"/>
  <c r="CR254" i="1"/>
  <c r="CP254" i="1"/>
  <c r="CN254" i="1"/>
  <c r="CJ254" i="1"/>
  <c r="CH254" i="1"/>
  <c r="CF254" i="1"/>
  <c r="BL254" i="1"/>
  <c r="BD254" i="1"/>
  <c r="AZ254" i="1"/>
  <c r="AX254" i="1"/>
  <c r="DC252" i="1"/>
  <c r="CY252" i="1"/>
  <c r="Y252" i="1" s="1"/>
  <c r="CW252" i="1"/>
  <c r="AA252" i="1" s="1"/>
  <c r="CR252" i="1"/>
  <c r="CP252" i="1"/>
  <c r="CN252" i="1"/>
  <c r="CJ252" i="1"/>
  <c r="CH252" i="1"/>
  <c r="CF252" i="1"/>
  <c r="BL252" i="1"/>
  <c r="BD252" i="1"/>
  <c r="AZ252" i="1"/>
  <c r="AX252" i="1"/>
  <c r="DC232" i="1"/>
  <c r="CY232" i="1"/>
  <c r="Y232" i="1" s="1"/>
  <c r="CW232" i="1"/>
  <c r="AA232" i="1" s="1"/>
  <c r="CR232" i="1"/>
  <c r="CP232" i="1"/>
  <c r="CN232" i="1"/>
  <c r="CJ232" i="1"/>
  <c r="CH232" i="1"/>
  <c r="CF232" i="1"/>
  <c r="BL232" i="1"/>
  <c r="BD232" i="1"/>
  <c r="AZ232" i="1"/>
  <c r="AX232" i="1"/>
  <c r="DC234" i="1"/>
  <c r="CY234" i="1"/>
  <c r="Y234" i="1" s="1"/>
  <c r="CW234" i="1"/>
  <c r="AA234" i="1" s="1"/>
  <c r="CR234" i="1"/>
  <c r="CP234" i="1"/>
  <c r="CN234" i="1"/>
  <c r="CJ234" i="1"/>
  <c r="CH234" i="1"/>
  <c r="CF234" i="1"/>
  <c r="BL234" i="1"/>
  <c r="BD234" i="1"/>
  <c r="AZ234" i="1"/>
  <c r="AX234" i="1"/>
  <c r="DC236" i="1"/>
  <c r="CY236" i="1"/>
  <c r="Y236" i="1" s="1"/>
  <c r="CW236" i="1"/>
  <c r="AA236" i="1" s="1"/>
  <c r="CR236" i="1"/>
  <c r="CP236" i="1"/>
  <c r="CN236" i="1"/>
  <c r="CJ236" i="1"/>
  <c r="CH236" i="1"/>
  <c r="CF236" i="1"/>
  <c r="BL236" i="1"/>
  <c r="BD236" i="1"/>
  <c r="AZ236" i="1"/>
  <c r="AX236" i="1"/>
  <c r="DC238" i="1"/>
  <c r="CY238" i="1"/>
  <c r="Y238" i="1" s="1"/>
  <c r="CW238" i="1"/>
  <c r="AA238" i="1" s="1"/>
  <c r="CR238" i="1"/>
  <c r="CP238" i="1"/>
  <c r="CN238" i="1"/>
  <c r="CJ238" i="1"/>
  <c r="CH238" i="1"/>
  <c r="CF238" i="1"/>
  <c r="BL238" i="1"/>
  <c r="BD238" i="1"/>
  <c r="AZ238" i="1"/>
  <c r="AX238" i="1"/>
  <c r="DC237" i="1"/>
  <c r="CY237" i="1"/>
  <c r="Y237" i="1" s="1"/>
  <c r="CW237" i="1"/>
  <c r="AA237" i="1" s="1"/>
  <c r="CR237" i="1"/>
  <c r="CP237" i="1"/>
  <c r="CN237" i="1"/>
  <c r="CJ237" i="1"/>
  <c r="CH237" i="1"/>
  <c r="CF237" i="1"/>
  <c r="BL237" i="1"/>
  <c r="BD237" i="1"/>
  <c r="AZ237" i="1"/>
  <c r="AX237" i="1"/>
  <c r="DC233" i="1"/>
  <c r="CY233" i="1"/>
  <c r="Y233" i="1" s="1"/>
  <c r="CW233" i="1"/>
  <c r="AA233" i="1" s="1"/>
  <c r="CR233" i="1"/>
  <c r="CP233" i="1"/>
  <c r="CN233" i="1"/>
  <c r="CJ233" i="1"/>
  <c r="CH233" i="1"/>
  <c r="CF233" i="1"/>
  <c r="BL233" i="1"/>
  <c r="BD233" i="1"/>
  <c r="AZ233" i="1"/>
  <c r="AX233" i="1"/>
  <c r="DC235" i="1"/>
  <c r="CY235" i="1"/>
  <c r="Y235" i="1" s="1"/>
  <c r="CW235" i="1"/>
  <c r="AA235" i="1" s="1"/>
  <c r="CR235" i="1"/>
  <c r="CP235" i="1"/>
  <c r="CN235" i="1"/>
  <c r="CJ235" i="1"/>
  <c r="CH235" i="1"/>
  <c r="CF235" i="1"/>
  <c r="BL235" i="1"/>
  <c r="BD235" i="1"/>
  <c r="AZ235" i="1"/>
  <c r="AX235" i="1"/>
  <c r="DC241" i="1"/>
  <c r="CY241" i="1"/>
  <c r="Y241" i="1" s="1"/>
  <c r="CW241" i="1"/>
  <c r="AA241" i="1" s="1"/>
  <c r="CR241" i="1"/>
  <c r="CP241" i="1"/>
  <c r="CN241" i="1"/>
  <c r="CJ241" i="1"/>
  <c r="CH241" i="1"/>
  <c r="CF241" i="1"/>
  <c r="BL241" i="1"/>
  <c r="BD241" i="1"/>
  <c r="AZ241" i="1"/>
  <c r="AX241" i="1"/>
  <c r="DC240" i="1"/>
  <c r="CY240" i="1"/>
  <c r="Y240" i="1" s="1"/>
  <c r="CW240" i="1"/>
  <c r="AA240" i="1" s="1"/>
  <c r="CR240" i="1"/>
  <c r="CP240" i="1"/>
  <c r="CN240" i="1"/>
  <c r="CJ240" i="1"/>
  <c r="CH240" i="1"/>
  <c r="CF240" i="1"/>
  <c r="BL240" i="1"/>
  <c r="BD240" i="1"/>
  <c r="AZ240" i="1"/>
  <c r="AX240" i="1"/>
  <c r="DC243" i="1"/>
  <c r="CY243" i="1"/>
  <c r="Y243" i="1" s="1"/>
  <c r="CW243" i="1"/>
  <c r="AA243" i="1" s="1"/>
  <c r="CR243" i="1"/>
  <c r="CP243" i="1"/>
  <c r="CN243" i="1"/>
  <c r="CJ243" i="1"/>
  <c r="CH243" i="1"/>
  <c r="CF243" i="1"/>
  <c r="BL243" i="1"/>
  <c r="BD243" i="1"/>
  <c r="AZ243" i="1"/>
  <c r="AX243" i="1"/>
  <c r="DC246" i="1"/>
  <c r="CY246" i="1"/>
  <c r="Y246" i="1" s="1"/>
  <c r="CW246" i="1"/>
  <c r="AA246" i="1" s="1"/>
  <c r="CR246" i="1"/>
  <c r="CP246" i="1"/>
  <c r="CN246" i="1"/>
  <c r="CJ246" i="1"/>
  <c r="CH246" i="1"/>
  <c r="CF246" i="1"/>
  <c r="BL246" i="1"/>
  <c r="BD246" i="1"/>
  <c r="AZ246" i="1"/>
  <c r="AX246" i="1"/>
  <c r="DC244" i="1"/>
  <c r="CY244" i="1"/>
  <c r="Y244" i="1" s="1"/>
  <c r="CW244" i="1"/>
  <c r="AA244" i="1" s="1"/>
  <c r="CR244" i="1"/>
  <c r="CP244" i="1"/>
  <c r="CN244" i="1"/>
  <c r="CJ244" i="1"/>
  <c r="CH244" i="1"/>
  <c r="CF244" i="1"/>
  <c r="BL244" i="1"/>
  <c r="BD244" i="1"/>
  <c r="AZ244" i="1"/>
  <c r="AX244" i="1"/>
  <c r="DC242" i="1"/>
  <c r="CY242" i="1"/>
  <c r="Y242" i="1" s="1"/>
  <c r="CW242" i="1"/>
  <c r="AA242" i="1" s="1"/>
  <c r="CR242" i="1"/>
  <c r="CP242" i="1"/>
  <c r="CN242" i="1"/>
  <c r="CJ242" i="1"/>
  <c r="CH242" i="1"/>
  <c r="CF242" i="1"/>
  <c r="BL242" i="1"/>
  <c r="BD242" i="1"/>
  <c r="AZ242" i="1"/>
  <c r="AX242" i="1"/>
  <c r="DC247" i="1"/>
  <c r="CY247" i="1"/>
  <c r="Y247" i="1" s="1"/>
  <c r="CW247" i="1"/>
  <c r="AA247" i="1" s="1"/>
  <c r="CR247" i="1"/>
  <c r="CP247" i="1"/>
  <c r="CN247" i="1"/>
  <c r="CJ247" i="1"/>
  <c r="CH247" i="1"/>
  <c r="CF247" i="1"/>
  <c r="BL247" i="1"/>
  <c r="BD247" i="1"/>
  <c r="AZ247" i="1"/>
  <c r="AX247" i="1"/>
  <c r="DC245" i="1"/>
  <c r="CY245" i="1"/>
  <c r="Y245" i="1" s="1"/>
  <c r="CW245" i="1"/>
  <c r="AA245" i="1" s="1"/>
  <c r="CR245" i="1"/>
  <c r="CP245" i="1"/>
  <c r="CN245" i="1"/>
  <c r="CJ245" i="1"/>
  <c r="CH245" i="1"/>
  <c r="CF245" i="1"/>
  <c r="BL245" i="1"/>
  <c r="BD245" i="1"/>
  <c r="AZ245" i="1"/>
  <c r="AX245" i="1"/>
  <c r="DC205" i="1"/>
  <c r="CY205" i="1"/>
  <c r="Y205" i="1" s="1"/>
  <c r="CW205" i="1"/>
  <c r="AA205" i="1" s="1"/>
  <c r="CR205" i="1"/>
  <c r="CP205" i="1"/>
  <c r="CN205" i="1"/>
  <c r="CJ205" i="1"/>
  <c r="CH205" i="1"/>
  <c r="CF205" i="1"/>
  <c r="BL205" i="1"/>
  <c r="BD205" i="1"/>
  <c r="AZ205" i="1"/>
  <c r="AX205" i="1"/>
  <c r="DC204" i="1"/>
  <c r="CY204" i="1"/>
  <c r="Y204" i="1" s="1"/>
  <c r="CW204" i="1"/>
  <c r="AA204" i="1" s="1"/>
  <c r="CR204" i="1"/>
  <c r="CP204" i="1"/>
  <c r="CN204" i="1"/>
  <c r="CJ204" i="1"/>
  <c r="CH204" i="1"/>
  <c r="CF204" i="1"/>
  <c r="BL204" i="1"/>
  <c r="BD204" i="1"/>
  <c r="AZ204" i="1"/>
  <c r="AX204" i="1"/>
  <c r="DC230" i="1"/>
  <c r="CY230" i="1"/>
  <c r="Y230" i="1" s="1"/>
  <c r="CW230" i="1"/>
  <c r="AA230" i="1" s="1"/>
  <c r="CR230" i="1"/>
  <c r="CP230" i="1"/>
  <c r="CN230" i="1"/>
  <c r="CJ230" i="1"/>
  <c r="CH230" i="1"/>
  <c r="CF230" i="1"/>
  <c r="BL230" i="1"/>
  <c r="BD230" i="1"/>
  <c r="AZ230" i="1"/>
  <c r="AX230" i="1"/>
  <c r="DC208" i="1"/>
  <c r="Z208" i="1" s="1"/>
  <c r="Y208" i="1"/>
  <c r="CW208" i="1"/>
  <c r="AA208" i="1" s="1"/>
  <c r="CR208" i="1"/>
  <c r="CN208" i="1"/>
  <c r="CH208" i="1"/>
  <c r="CF208" i="1"/>
  <c r="BL208" i="1"/>
  <c r="BD208" i="1"/>
  <c r="AX208" i="1"/>
  <c r="DC212" i="1"/>
  <c r="CY212" i="1"/>
  <c r="Y212" i="1" s="1"/>
  <c r="CW212" i="1"/>
  <c r="AA212" i="1" s="1"/>
  <c r="CR212" i="1"/>
  <c r="CP212" i="1"/>
  <c r="CN212" i="1"/>
  <c r="CJ212" i="1"/>
  <c r="CH212" i="1"/>
  <c r="CF212" i="1"/>
  <c r="BL212" i="1"/>
  <c r="BD212" i="1"/>
  <c r="AZ212" i="1"/>
  <c r="AX212" i="1"/>
  <c r="DC213" i="1"/>
  <c r="CY213" i="1"/>
  <c r="Y213" i="1" s="1"/>
  <c r="CW213" i="1"/>
  <c r="AA213" i="1" s="1"/>
  <c r="CR213" i="1"/>
  <c r="CP213" i="1"/>
  <c r="CN213" i="1"/>
  <c r="CJ213" i="1"/>
  <c r="CH213" i="1"/>
  <c r="CF213" i="1"/>
  <c r="BL213" i="1"/>
  <c r="BD213" i="1"/>
  <c r="AZ213" i="1"/>
  <c r="AX213" i="1"/>
  <c r="DC215" i="1"/>
  <c r="CY215" i="1"/>
  <c r="Y215" i="1" s="1"/>
  <c r="CW215" i="1"/>
  <c r="AA215" i="1" s="1"/>
  <c r="CR215" i="1"/>
  <c r="CP215" i="1"/>
  <c r="CN215" i="1"/>
  <c r="CJ215" i="1"/>
  <c r="CH215" i="1"/>
  <c r="CF215" i="1"/>
  <c r="BL215" i="1"/>
  <c r="BD215" i="1"/>
  <c r="AZ215" i="1"/>
  <c r="AX215" i="1"/>
  <c r="DC150" i="1"/>
  <c r="CY150" i="1"/>
  <c r="Y150" i="1" s="1"/>
  <c r="CW150" i="1"/>
  <c r="AA150" i="1" s="1"/>
  <c r="CR150" i="1"/>
  <c r="CP150" i="1"/>
  <c r="CN150" i="1"/>
  <c r="CJ150" i="1"/>
  <c r="CH150" i="1"/>
  <c r="CF150" i="1"/>
  <c r="BL150" i="1"/>
  <c r="BD150" i="1"/>
  <c r="AZ150" i="1"/>
  <c r="AX150" i="1"/>
  <c r="DC231" i="1"/>
  <c r="CY231" i="1"/>
  <c r="Y231" i="1" s="1"/>
  <c r="CW231" i="1"/>
  <c r="AA231" i="1" s="1"/>
  <c r="CR231" i="1"/>
  <c r="CP231" i="1"/>
  <c r="CN231" i="1"/>
  <c r="CJ231" i="1"/>
  <c r="CH231" i="1"/>
  <c r="CF231" i="1"/>
  <c r="BL231" i="1"/>
  <c r="BD231" i="1"/>
  <c r="AZ231" i="1"/>
  <c r="AX231" i="1"/>
  <c r="DC229" i="1"/>
  <c r="CY229" i="1"/>
  <c r="Y229" i="1" s="1"/>
  <c r="CW229" i="1"/>
  <c r="AA229" i="1" s="1"/>
  <c r="CR229" i="1"/>
  <c r="CP229" i="1"/>
  <c r="CN229" i="1"/>
  <c r="CJ229" i="1"/>
  <c r="CH229" i="1"/>
  <c r="CF229" i="1"/>
  <c r="BL229" i="1"/>
  <c r="BD229" i="1"/>
  <c r="AZ229" i="1"/>
  <c r="AX229" i="1"/>
  <c r="DC207" i="1"/>
  <c r="CY207" i="1"/>
  <c r="Y207" i="1" s="1"/>
  <c r="CW207" i="1"/>
  <c r="AA207" i="1" s="1"/>
  <c r="CR207" i="1"/>
  <c r="CP207" i="1"/>
  <c r="CN207" i="1"/>
  <c r="CJ207" i="1"/>
  <c r="CH207" i="1"/>
  <c r="CF207" i="1"/>
  <c r="BL207" i="1"/>
  <c r="BD207" i="1"/>
  <c r="AZ207" i="1"/>
  <c r="AX207" i="1"/>
  <c r="DC218" i="1"/>
  <c r="CY218" i="1"/>
  <c r="Y218" i="1" s="1"/>
  <c r="CW218" i="1"/>
  <c r="AA218" i="1" s="1"/>
  <c r="CR218" i="1"/>
  <c r="CP218" i="1"/>
  <c r="CN218" i="1"/>
  <c r="CJ218" i="1"/>
  <c r="CH218" i="1"/>
  <c r="CF218" i="1"/>
  <c r="BL218" i="1"/>
  <c r="BD218" i="1"/>
  <c r="AZ218" i="1"/>
  <c r="AX218" i="1"/>
  <c r="DC206" i="1"/>
  <c r="CY206" i="1"/>
  <c r="Y206" i="1" s="1"/>
  <c r="CW206" i="1"/>
  <c r="AA206" i="1" s="1"/>
  <c r="CR206" i="1"/>
  <c r="CP206" i="1"/>
  <c r="CN206" i="1"/>
  <c r="CJ206" i="1"/>
  <c r="CH206" i="1"/>
  <c r="CF206" i="1"/>
  <c r="BL206" i="1"/>
  <c r="BD206" i="1"/>
  <c r="AZ206" i="1"/>
  <c r="AX206" i="1"/>
  <c r="DC216" i="1"/>
  <c r="CY216" i="1"/>
  <c r="Y216" i="1" s="1"/>
  <c r="CW216" i="1"/>
  <c r="AA216" i="1" s="1"/>
  <c r="CR216" i="1"/>
  <c r="CP216" i="1"/>
  <c r="CN216" i="1"/>
  <c r="CJ216" i="1"/>
  <c r="CH216" i="1"/>
  <c r="CF216" i="1"/>
  <c r="BL216" i="1"/>
  <c r="BD216" i="1"/>
  <c r="AZ216" i="1"/>
  <c r="AX216" i="1"/>
  <c r="DC209" i="1"/>
  <c r="CY209" i="1"/>
  <c r="Y209" i="1" s="1"/>
  <c r="CW209" i="1"/>
  <c r="AA209" i="1" s="1"/>
  <c r="CR209" i="1"/>
  <c r="CP209" i="1"/>
  <c r="CN209" i="1"/>
  <c r="CJ209" i="1"/>
  <c r="CH209" i="1"/>
  <c r="CF209" i="1"/>
  <c r="BL209" i="1"/>
  <c r="BD209" i="1"/>
  <c r="AZ209" i="1"/>
  <c r="AX209" i="1"/>
  <c r="DC217" i="1"/>
  <c r="CY217" i="1"/>
  <c r="Y217" i="1" s="1"/>
  <c r="CW217" i="1"/>
  <c r="AA217" i="1" s="1"/>
  <c r="CR217" i="1"/>
  <c r="CP217" i="1"/>
  <c r="CN217" i="1"/>
  <c r="CJ217" i="1"/>
  <c r="CH217" i="1"/>
  <c r="CF217" i="1"/>
  <c r="BL217" i="1"/>
  <c r="BD217" i="1"/>
  <c r="AZ217" i="1"/>
  <c r="AX217" i="1"/>
  <c r="DC214" i="1"/>
  <c r="CY214" i="1"/>
  <c r="Y214" i="1" s="1"/>
  <c r="CW214" i="1"/>
  <c r="AA214" i="1" s="1"/>
  <c r="CR214" i="1"/>
  <c r="CP214" i="1"/>
  <c r="CN214" i="1"/>
  <c r="CJ214" i="1"/>
  <c r="CH214" i="1"/>
  <c r="CF214" i="1"/>
  <c r="BL214" i="1"/>
  <c r="BD214" i="1"/>
  <c r="AZ214" i="1"/>
  <c r="AX214" i="1"/>
  <c r="DC210" i="1"/>
  <c r="CY210" i="1"/>
  <c r="Y210" i="1" s="1"/>
  <c r="CW210" i="1"/>
  <c r="AA210" i="1" s="1"/>
  <c r="CR210" i="1"/>
  <c r="CP210" i="1"/>
  <c r="CN210" i="1"/>
  <c r="CJ210" i="1"/>
  <c r="CH210" i="1"/>
  <c r="CF210" i="1"/>
  <c r="BL210" i="1"/>
  <c r="BD210" i="1"/>
  <c r="AZ210" i="1"/>
  <c r="AX210" i="1"/>
  <c r="DC211" i="1"/>
  <c r="CY211" i="1"/>
  <c r="Y211" i="1" s="1"/>
  <c r="CW211" i="1"/>
  <c r="AA211" i="1" s="1"/>
  <c r="CR211" i="1"/>
  <c r="CP211" i="1"/>
  <c r="CN211" i="1"/>
  <c r="CJ211" i="1"/>
  <c r="CH211" i="1"/>
  <c r="CF211" i="1"/>
  <c r="BL211" i="1"/>
  <c r="BD211" i="1"/>
  <c r="AZ211" i="1"/>
  <c r="AX211" i="1"/>
  <c r="DC227" i="1"/>
  <c r="CY227" i="1"/>
  <c r="Y227" i="1" s="1"/>
  <c r="CW227" i="1"/>
  <c r="AA227" i="1" s="1"/>
  <c r="CR227" i="1"/>
  <c r="CP227" i="1"/>
  <c r="CN227" i="1"/>
  <c r="CJ227" i="1"/>
  <c r="CH227" i="1"/>
  <c r="CF227" i="1"/>
  <c r="BL227" i="1"/>
  <c r="BD227" i="1"/>
  <c r="AZ227" i="1"/>
  <c r="AX227" i="1"/>
  <c r="DC228" i="1"/>
  <c r="CY228" i="1"/>
  <c r="Y228" i="1" s="1"/>
  <c r="CW228" i="1"/>
  <c r="AA228" i="1" s="1"/>
  <c r="CR228" i="1"/>
  <c r="CP228" i="1"/>
  <c r="CN228" i="1"/>
  <c r="CJ228" i="1"/>
  <c r="CH228" i="1"/>
  <c r="CF228" i="1"/>
  <c r="BL228" i="1"/>
  <c r="BD228" i="1"/>
  <c r="AZ228" i="1"/>
  <c r="AX228" i="1"/>
  <c r="DC226" i="1"/>
  <c r="CY226" i="1"/>
  <c r="Y226" i="1" s="1"/>
  <c r="CW226" i="1"/>
  <c r="AA226" i="1" s="1"/>
  <c r="CR226" i="1"/>
  <c r="CP226" i="1"/>
  <c r="CN226" i="1"/>
  <c r="CJ226" i="1"/>
  <c r="CH226" i="1"/>
  <c r="CF226" i="1"/>
  <c r="BL226" i="1"/>
  <c r="BD226" i="1"/>
  <c r="AZ226" i="1"/>
  <c r="AX226" i="1"/>
  <c r="Z226" i="1" l="1"/>
  <c r="Z227" i="1"/>
  <c r="Z210" i="1"/>
  <c r="Z217" i="1"/>
  <c r="Z216" i="1"/>
  <c r="Z218" i="1"/>
  <c r="Z229" i="1"/>
  <c r="Z150" i="1"/>
  <c r="Z213" i="1"/>
  <c r="Z204" i="1"/>
  <c r="Z245" i="1"/>
  <c r="Z242" i="1"/>
  <c r="Z246" i="1"/>
  <c r="Z240" i="1"/>
  <c r="Z235" i="1"/>
  <c r="Z237" i="1"/>
  <c r="Z236" i="1"/>
  <c r="Z232" i="1"/>
  <c r="Z254" i="1"/>
  <c r="Z250" i="1"/>
  <c r="Z248" i="1"/>
  <c r="Z228" i="1"/>
  <c r="Z211" i="1"/>
  <c r="Z214" i="1"/>
  <c r="Z209" i="1"/>
  <c r="Z206" i="1"/>
  <c r="Z207" i="1"/>
  <c r="Z231" i="1"/>
  <c r="Z215" i="1"/>
  <c r="Z212" i="1"/>
  <c r="Z230" i="1"/>
  <c r="Z205" i="1"/>
  <c r="Z247" i="1"/>
  <c r="Z244" i="1"/>
  <c r="Z243" i="1"/>
  <c r="Z241" i="1"/>
  <c r="Z233" i="1"/>
  <c r="Z238" i="1"/>
  <c r="Z234" i="1"/>
  <c r="Z252" i="1"/>
  <c r="Z253" i="1"/>
  <c r="Z251" i="1"/>
  <c r="Z255" i="1"/>
  <c r="Z277" i="1"/>
  <c r="CU245" i="1"/>
  <c r="X245" i="1" s="1"/>
  <c r="CU244" i="1"/>
  <c r="X244" i="1" s="1"/>
  <c r="CU246" i="1"/>
  <c r="X246" i="1" s="1"/>
  <c r="CU243" i="1"/>
  <c r="X243" i="1" s="1"/>
  <c r="CU240" i="1"/>
  <c r="X240" i="1" s="1"/>
  <c r="CU233" i="1"/>
  <c r="X233" i="1" s="1"/>
  <c r="CU236" i="1"/>
  <c r="X236" i="1" s="1"/>
  <c r="CU234" i="1"/>
  <c r="X234" i="1" s="1"/>
  <c r="CU252" i="1"/>
  <c r="X252" i="1" s="1"/>
  <c r="CU254" i="1"/>
  <c r="X254" i="1" s="1"/>
  <c r="CU248" i="1"/>
  <c r="X248" i="1" s="1"/>
  <c r="CU277" i="1"/>
  <c r="X277" i="1" s="1"/>
  <c r="CU205" i="1"/>
  <c r="X205" i="1" s="1"/>
  <c r="CU247" i="1"/>
  <c r="X247" i="1" s="1"/>
  <c r="CU242" i="1"/>
  <c r="X242" i="1" s="1"/>
  <c r="CU241" i="1"/>
  <c r="X241" i="1" s="1"/>
  <c r="CU235" i="1"/>
  <c r="X235" i="1" s="1"/>
  <c r="CU237" i="1"/>
  <c r="X237" i="1" s="1"/>
  <c r="CU238" i="1"/>
  <c r="X238" i="1" s="1"/>
  <c r="CU232" i="1"/>
  <c r="X232" i="1" s="1"/>
  <c r="CU253" i="1"/>
  <c r="X253" i="1" s="1"/>
  <c r="CU250" i="1"/>
  <c r="X250" i="1" s="1"/>
  <c r="CU251" i="1"/>
  <c r="X251" i="1" s="1"/>
  <c r="CU255" i="1"/>
  <c r="X255" i="1" s="1"/>
  <c r="CU219" i="1"/>
  <c r="X219" i="1" s="1"/>
  <c r="AD219" i="1" s="1"/>
  <c r="CU228" i="1"/>
  <c r="X228" i="1" s="1"/>
  <c r="CU227" i="1"/>
  <c r="X227" i="1" s="1"/>
  <c r="CU210" i="1"/>
  <c r="X210" i="1" s="1"/>
  <c r="CU214" i="1"/>
  <c r="X214" i="1" s="1"/>
  <c r="CU216" i="1"/>
  <c r="X216" i="1" s="1"/>
  <c r="CU206" i="1"/>
  <c r="X206" i="1" s="1"/>
  <c r="CU229" i="1"/>
  <c r="X229" i="1" s="1"/>
  <c r="CU231" i="1"/>
  <c r="X231" i="1" s="1"/>
  <c r="CU213" i="1"/>
  <c r="X213" i="1" s="1"/>
  <c r="CU212" i="1"/>
  <c r="X212" i="1" s="1"/>
  <c r="CU204" i="1"/>
  <c r="X204" i="1" s="1"/>
  <c r="CU226" i="1"/>
  <c r="X226" i="1" s="1"/>
  <c r="CU211" i="1"/>
  <c r="X211" i="1" s="1"/>
  <c r="CU217" i="1"/>
  <c r="X217" i="1" s="1"/>
  <c r="CU209" i="1"/>
  <c r="X209" i="1" s="1"/>
  <c r="CU218" i="1"/>
  <c r="X218" i="1" s="1"/>
  <c r="CU207" i="1"/>
  <c r="X207" i="1" s="1"/>
  <c r="CU150" i="1"/>
  <c r="X150" i="1" s="1"/>
  <c r="CU215" i="1"/>
  <c r="X215" i="1" s="1"/>
  <c r="CU208" i="1"/>
  <c r="X208" i="1" s="1"/>
  <c r="CU230" i="1"/>
  <c r="X230" i="1" s="1"/>
  <c r="DC225" i="1"/>
  <c r="CY225" i="1"/>
  <c r="Y225" i="1" s="1"/>
  <c r="CW225" i="1"/>
  <c r="AA225" i="1" s="1"/>
  <c r="CR225" i="1"/>
  <c r="CP225" i="1"/>
  <c r="CN225" i="1"/>
  <c r="CJ225" i="1"/>
  <c r="CH225" i="1"/>
  <c r="CF225" i="1"/>
  <c r="BL225" i="1"/>
  <c r="BD225" i="1"/>
  <c r="AZ225" i="1"/>
  <c r="AX225" i="1"/>
  <c r="DC222" i="1"/>
  <c r="CY222" i="1"/>
  <c r="Y222" i="1" s="1"/>
  <c r="CW222" i="1"/>
  <c r="AA222" i="1" s="1"/>
  <c r="CR222" i="1"/>
  <c r="CP222" i="1"/>
  <c r="CN222" i="1"/>
  <c r="CJ222" i="1"/>
  <c r="CH222" i="1"/>
  <c r="CF222" i="1"/>
  <c r="BL222" i="1"/>
  <c r="BD222" i="1"/>
  <c r="AZ222" i="1"/>
  <c r="AX222" i="1"/>
  <c r="DC224" i="1"/>
  <c r="CY224" i="1"/>
  <c r="Y224" i="1" s="1"/>
  <c r="CW224" i="1"/>
  <c r="AA224" i="1" s="1"/>
  <c r="CR224" i="1"/>
  <c r="CP224" i="1"/>
  <c r="CN224" i="1"/>
  <c r="CJ224" i="1"/>
  <c r="CH224" i="1"/>
  <c r="CF224" i="1"/>
  <c r="BL224" i="1"/>
  <c r="BD224" i="1"/>
  <c r="AZ224" i="1"/>
  <c r="AX224" i="1"/>
  <c r="DC201" i="1"/>
  <c r="CY201" i="1"/>
  <c r="Y201" i="1" s="1"/>
  <c r="CW201" i="1"/>
  <c r="AA201" i="1" s="1"/>
  <c r="CR201" i="1"/>
  <c r="CP201" i="1"/>
  <c r="CN201" i="1"/>
  <c r="CJ201" i="1"/>
  <c r="CH201" i="1"/>
  <c r="CF201" i="1"/>
  <c r="BL201" i="1"/>
  <c r="BD201" i="1"/>
  <c r="AZ201" i="1"/>
  <c r="AX201" i="1"/>
  <c r="DC197" i="1"/>
  <c r="CY197" i="1"/>
  <c r="Y197" i="1" s="1"/>
  <c r="CW197" i="1"/>
  <c r="AA197" i="1" s="1"/>
  <c r="CR197" i="1"/>
  <c r="CP197" i="1"/>
  <c r="CN197" i="1"/>
  <c r="CJ197" i="1"/>
  <c r="CH197" i="1"/>
  <c r="CF197" i="1"/>
  <c r="BL197" i="1"/>
  <c r="BD197" i="1"/>
  <c r="AZ197" i="1"/>
  <c r="AX197" i="1"/>
  <c r="DC198" i="1"/>
  <c r="CY198" i="1"/>
  <c r="Y198" i="1" s="1"/>
  <c r="CW198" i="1"/>
  <c r="AA198" i="1" s="1"/>
  <c r="CR198" i="1"/>
  <c r="CP198" i="1"/>
  <c r="CN198" i="1"/>
  <c r="CJ198" i="1"/>
  <c r="CH198" i="1"/>
  <c r="CF198" i="1"/>
  <c r="BL198" i="1"/>
  <c r="BD198" i="1"/>
  <c r="AZ198" i="1"/>
  <c r="AX198" i="1"/>
  <c r="DC188" i="1"/>
  <c r="CY188" i="1"/>
  <c r="Y188" i="1" s="1"/>
  <c r="CW188" i="1"/>
  <c r="AA188" i="1" s="1"/>
  <c r="CR188" i="1"/>
  <c r="CP188" i="1"/>
  <c r="CN188" i="1"/>
  <c r="CJ188" i="1"/>
  <c r="CH188" i="1"/>
  <c r="CF188" i="1"/>
  <c r="BL188" i="1"/>
  <c r="BD188" i="1"/>
  <c r="AZ188" i="1"/>
  <c r="AX188" i="1"/>
  <c r="DC187" i="1"/>
  <c r="CY187" i="1"/>
  <c r="Y187" i="1" s="1"/>
  <c r="CW187" i="1"/>
  <c r="AA187" i="1" s="1"/>
  <c r="CR187" i="1"/>
  <c r="CP187" i="1"/>
  <c r="CN187" i="1"/>
  <c r="CJ187" i="1"/>
  <c r="CH187" i="1"/>
  <c r="CF187" i="1"/>
  <c r="BL187" i="1"/>
  <c r="BD187" i="1"/>
  <c r="AZ187" i="1"/>
  <c r="AX187" i="1"/>
  <c r="DC190" i="1"/>
  <c r="CY190" i="1"/>
  <c r="Y190" i="1" s="1"/>
  <c r="CW190" i="1"/>
  <c r="AA190" i="1" s="1"/>
  <c r="CR190" i="1"/>
  <c r="CP190" i="1"/>
  <c r="CN190" i="1"/>
  <c r="CJ190" i="1"/>
  <c r="CH190" i="1"/>
  <c r="CF190" i="1"/>
  <c r="BL190" i="1"/>
  <c r="BD190" i="1"/>
  <c r="AZ190" i="1"/>
  <c r="AX190" i="1"/>
  <c r="DC189" i="1"/>
  <c r="CY189" i="1"/>
  <c r="Y189" i="1" s="1"/>
  <c r="CW189" i="1"/>
  <c r="AA189" i="1" s="1"/>
  <c r="CR189" i="1"/>
  <c r="CP189" i="1"/>
  <c r="CN189" i="1"/>
  <c r="CJ189" i="1"/>
  <c r="CH189" i="1"/>
  <c r="CF189" i="1"/>
  <c r="BL189" i="1"/>
  <c r="BD189" i="1"/>
  <c r="AZ189" i="1"/>
  <c r="AX189" i="1"/>
  <c r="DC192" i="1"/>
  <c r="CY192" i="1"/>
  <c r="Y192" i="1" s="1"/>
  <c r="CW192" i="1"/>
  <c r="AA192" i="1" s="1"/>
  <c r="CR192" i="1"/>
  <c r="CP192" i="1"/>
  <c r="CN192" i="1"/>
  <c r="CJ192" i="1"/>
  <c r="CH192" i="1"/>
  <c r="CF192" i="1"/>
  <c r="BL192" i="1"/>
  <c r="BD192" i="1"/>
  <c r="AZ192" i="1"/>
  <c r="AX192" i="1"/>
  <c r="DC191" i="1"/>
  <c r="CY191" i="1"/>
  <c r="Y191" i="1" s="1"/>
  <c r="CW191" i="1"/>
  <c r="AA191" i="1" s="1"/>
  <c r="CR191" i="1"/>
  <c r="CP191" i="1"/>
  <c r="CN191" i="1"/>
  <c r="CJ191" i="1"/>
  <c r="CH191" i="1"/>
  <c r="CF191" i="1"/>
  <c r="BL191" i="1"/>
  <c r="BD191" i="1"/>
  <c r="AZ191" i="1"/>
  <c r="AX191" i="1"/>
  <c r="DC194" i="1"/>
  <c r="CY194" i="1"/>
  <c r="Y194" i="1" s="1"/>
  <c r="CW194" i="1"/>
  <c r="AA194" i="1" s="1"/>
  <c r="CR194" i="1"/>
  <c r="CP194" i="1"/>
  <c r="CN194" i="1"/>
  <c r="CJ194" i="1"/>
  <c r="CH194" i="1"/>
  <c r="CF194" i="1"/>
  <c r="BL194" i="1"/>
  <c r="BD194" i="1"/>
  <c r="AZ194" i="1"/>
  <c r="AX194" i="1"/>
  <c r="DC193" i="1"/>
  <c r="CY193" i="1"/>
  <c r="Y193" i="1" s="1"/>
  <c r="CW193" i="1"/>
  <c r="AA193" i="1" s="1"/>
  <c r="CR193" i="1"/>
  <c r="CP193" i="1"/>
  <c r="CN193" i="1"/>
  <c r="CJ193" i="1"/>
  <c r="CH193" i="1"/>
  <c r="CF193" i="1"/>
  <c r="BL193" i="1"/>
  <c r="BD193" i="1"/>
  <c r="AZ193" i="1"/>
  <c r="AX193" i="1"/>
  <c r="DC196" i="1"/>
  <c r="CY196" i="1"/>
  <c r="Y196" i="1" s="1"/>
  <c r="CW196" i="1"/>
  <c r="AA196" i="1" s="1"/>
  <c r="CR196" i="1"/>
  <c r="CP196" i="1"/>
  <c r="CN196" i="1"/>
  <c r="CJ196" i="1"/>
  <c r="CH196" i="1"/>
  <c r="CF196" i="1"/>
  <c r="BL196" i="1"/>
  <c r="BD196" i="1"/>
  <c r="AZ196" i="1"/>
  <c r="AX196" i="1"/>
  <c r="DC195" i="1"/>
  <c r="CY195" i="1"/>
  <c r="Y195" i="1" s="1"/>
  <c r="CW195" i="1"/>
  <c r="AA195" i="1" s="1"/>
  <c r="CR195" i="1"/>
  <c r="CP195" i="1"/>
  <c r="CN195" i="1"/>
  <c r="CJ195" i="1"/>
  <c r="CH195" i="1"/>
  <c r="CF195" i="1"/>
  <c r="BL195" i="1"/>
  <c r="BD195" i="1"/>
  <c r="AZ195" i="1"/>
  <c r="AX195" i="1"/>
  <c r="DC186" i="1"/>
  <c r="CY186" i="1"/>
  <c r="Y186" i="1" s="1"/>
  <c r="CW186" i="1"/>
  <c r="AA186" i="1" s="1"/>
  <c r="CR186" i="1"/>
  <c r="CP186" i="1"/>
  <c r="CN186" i="1"/>
  <c r="CJ186" i="1"/>
  <c r="CH186" i="1"/>
  <c r="CF186" i="1"/>
  <c r="BL186" i="1"/>
  <c r="BD186" i="1"/>
  <c r="AZ186" i="1"/>
  <c r="AX186" i="1"/>
  <c r="DC202" i="1"/>
  <c r="CY202" i="1"/>
  <c r="Y202" i="1" s="1"/>
  <c r="CW202" i="1"/>
  <c r="AA202" i="1" s="1"/>
  <c r="CR202" i="1"/>
  <c r="CP202" i="1"/>
  <c r="CN202" i="1"/>
  <c r="CJ202" i="1"/>
  <c r="CH202" i="1"/>
  <c r="CF202" i="1"/>
  <c r="BL202" i="1"/>
  <c r="BD202" i="1"/>
  <c r="AZ202" i="1"/>
  <c r="AX202" i="1"/>
  <c r="DC199" i="1"/>
  <c r="CY199" i="1"/>
  <c r="Y199" i="1" s="1"/>
  <c r="CW199" i="1"/>
  <c r="AA199" i="1" s="1"/>
  <c r="CR199" i="1"/>
  <c r="CP199" i="1"/>
  <c r="CN199" i="1"/>
  <c r="CJ199" i="1"/>
  <c r="CH199" i="1"/>
  <c r="CF199" i="1"/>
  <c r="BL199" i="1"/>
  <c r="BD199" i="1"/>
  <c r="AZ199" i="1"/>
  <c r="AX199" i="1"/>
  <c r="DC184" i="1"/>
  <c r="CY184" i="1"/>
  <c r="Y184" i="1" s="1"/>
  <c r="CW184" i="1"/>
  <c r="AA184" i="1" s="1"/>
  <c r="CR184" i="1"/>
  <c r="CP184" i="1"/>
  <c r="CN184" i="1"/>
  <c r="CJ184" i="1"/>
  <c r="CH184" i="1"/>
  <c r="CF184" i="1"/>
  <c r="BL184" i="1"/>
  <c r="BD184" i="1"/>
  <c r="AZ184" i="1"/>
  <c r="AX184" i="1"/>
  <c r="DC185" i="1"/>
  <c r="CY185" i="1"/>
  <c r="Y185" i="1" s="1"/>
  <c r="CW185" i="1"/>
  <c r="AA185" i="1" s="1"/>
  <c r="CR185" i="1"/>
  <c r="CP185" i="1"/>
  <c r="CN185" i="1"/>
  <c r="CJ185" i="1"/>
  <c r="CH185" i="1"/>
  <c r="CF185" i="1"/>
  <c r="BL185" i="1"/>
  <c r="BD185" i="1"/>
  <c r="AZ185" i="1"/>
  <c r="AX185" i="1"/>
  <c r="DC168" i="1"/>
  <c r="CY168" i="1"/>
  <c r="Y168" i="1" s="1"/>
  <c r="CW168" i="1"/>
  <c r="AA168" i="1" s="1"/>
  <c r="CR168" i="1"/>
  <c r="CP168" i="1"/>
  <c r="CN168" i="1"/>
  <c r="CJ168" i="1"/>
  <c r="CH168" i="1"/>
  <c r="CF168" i="1"/>
  <c r="BL168" i="1"/>
  <c r="BD168" i="1"/>
  <c r="AZ168" i="1"/>
  <c r="AX168" i="1"/>
  <c r="DC200" i="1"/>
  <c r="CY200" i="1"/>
  <c r="Y200" i="1" s="1"/>
  <c r="CW200" i="1"/>
  <c r="AA200" i="1" s="1"/>
  <c r="CR200" i="1"/>
  <c r="CP200" i="1"/>
  <c r="CN200" i="1"/>
  <c r="CJ200" i="1"/>
  <c r="CH200" i="1"/>
  <c r="CF200" i="1"/>
  <c r="BL200" i="1"/>
  <c r="BD200" i="1"/>
  <c r="AZ200" i="1"/>
  <c r="AX200" i="1"/>
  <c r="DC174" i="1"/>
  <c r="CY174" i="1"/>
  <c r="Y174" i="1" s="1"/>
  <c r="CW174" i="1"/>
  <c r="AA174" i="1" s="1"/>
  <c r="CR174" i="1"/>
  <c r="CP174" i="1"/>
  <c r="CN174" i="1"/>
  <c r="CJ174" i="1"/>
  <c r="CH174" i="1"/>
  <c r="CF174" i="1"/>
  <c r="BL174" i="1"/>
  <c r="BD174" i="1"/>
  <c r="AZ174" i="1"/>
  <c r="AX174" i="1"/>
  <c r="DC165" i="1"/>
  <c r="CY165" i="1"/>
  <c r="Y165" i="1" s="1"/>
  <c r="CW165" i="1"/>
  <c r="AA165" i="1" s="1"/>
  <c r="CR165" i="1"/>
  <c r="CP165" i="1"/>
  <c r="CN165" i="1"/>
  <c r="CJ165" i="1"/>
  <c r="CH165" i="1"/>
  <c r="CF165" i="1"/>
  <c r="BL165" i="1"/>
  <c r="BD165" i="1"/>
  <c r="AZ165" i="1"/>
  <c r="AX165" i="1"/>
  <c r="DC203" i="1"/>
  <c r="CY203" i="1"/>
  <c r="Y203" i="1" s="1"/>
  <c r="CW203" i="1"/>
  <c r="AA203" i="1" s="1"/>
  <c r="CR203" i="1"/>
  <c r="CP203" i="1"/>
  <c r="CN203" i="1"/>
  <c r="CJ203" i="1"/>
  <c r="CH203" i="1"/>
  <c r="CF203" i="1"/>
  <c r="BL203" i="1"/>
  <c r="BD203" i="1"/>
  <c r="AZ203" i="1"/>
  <c r="AX203" i="1"/>
  <c r="DC183" i="1"/>
  <c r="CY183" i="1"/>
  <c r="Y183" i="1" s="1"/>
  <c r="CW183" i="1"/>
  <c r="AA183" i="1" s="1"/>
  <c r="CR183" i="1"/>
  <c r="CP183" i="1"/>
  <c r="CN183" i="1"/>
  <c r="CJ183" i="1"/>
  <c r="CH183" i="1"/>
  <c r="CF183" i="1"/>
  <c r="BL183" i="1"/>
  <c r="BD183" i="1"/>
  <c r="AZ183" i="1"/>
  <c r="AX183" i="1"/>
  <c r="DC166" i="1"/>
  <c r="CY166" i="1"/>
  <c r="Y166" i="1" s="1"/>
  <c r="CW166" i="1"/>
  <c r="AA166" i="1" s="1"/>
  <c r="CR166" i="1"/>
  <c r="CP166" i="1"/>
  <c r="CN166" i="1"/>
  <c r="CJ166" i="1"/>
  <c r="CH166" i="1"/>
  <c r="CF166" i="1"/>
  <c r="BL166" i="1"/>
  <c r="BD166" i="1"/>
  <c r="AZ166" i="1"/>
  <c r="AX166" i="1"/>
  <c r="DC173" i="1"/>
  <c r="CY173" i="1"/>
  <c r="Y173" i="1" s="1"/>
  <c r="CW173" i="1"/>
  <c r="AA173" i="1" s="1"/>
  <c r="CR173" i="1"/>
  <c r="CP173" i="1"/>
  <c r="CN173" i="1"/>
  <c r="CJ173" i="1"/>
  <c r="CH173" i="1"/>
  <c r="CF173" i="1"/>
  <c r="BL173" i="1"/>
  <c r="BD173" i="1"/>
  <c r="AZ173" i="1"/>
  <c r="AX173" i="1"/>
  <c r="DC172" i="1"/>
  <c r="CY172" i="1"/>
  <c r="Y172" i="1" s="1"/>
  <c r="CW172" i="1"/>
  <c r="AA172" i="1" s="1"/>
  <c r="CR172" i="1"/>
  <c r="CP172" i="1"/>
  <c r="CN172" i="1"/>
  <c r="CJ172" i="1"/>
  <c r="CH172" i="1"/>
  <c r="CF172" i="1"/>
  <c r="BL172" i="1"/>
  <c r="BD172" i="1"/>
  <c r="AZ172" i="1"/>
  <c r="AX172" i="1"/>
  <c r="DC163" i="1"/>
  <c r="CY163" i="1"/>
  <c r="Y163" i="1" s="1"/>
  <c r="CW163" i="1"/>
  <c r="AA163" i="1" s="1"/>
  <c r="CR163" i="1"/>
  <c r="CP163" i="1"/>
  <c r="CN163" i="1"/>
  <c r="CJ163" i="1"/>
  <c r="CH163" i="1"/>
  <c r="CF163" i="1"/>
  <c r="BL163" i="1"/>
  <c r="BD163" i="1"/>
  <c r="AZ163" i="1"/>
  <c r="AX163" i="1"/>
  <c r="DC171" i="1"/>
  <c r="CY171" i="1"/>
  <c r="Y171" i="1" s="1"/>
  <c r="CW171" i="1"/>
  <c r="AA171" i="1" s="1"/>
  <c r="CR171" i="1"/>
  <c r="CP171" i="1"/>
  <c r="CN171" i="1"/>
  <c r="CJ171" i="1"/>
  <c r="CH171" i="1"/>
  <c r="CF171" i="1"/>
  <c r="BL171" i="1"/>
  <c r="BD171" i="1"/>
  <c r="AZ171" i="1"/>
  <c r="AX171" i="1"/>
  <c r="DC170" i="1"/>
  <c r="CY170" i="1"/>
  <c r="Y170" i="1" s="1"/>
  <c r="CW170" i="1"/>
  <c r="AA170" i="1" s="1"/>
  <c r="CR170" i="1"/>
  <c r="CP170" i="1"/>
  <c r="CN170" i="1"/>
  <c r="CJ170" i="1"/>
  <c r="CH170" i="1"/>
  <c r="CF170" i="1"/>
  <c r="BL170" i="1"/>
  <c r="BD170" i="1"/>
  <c r="AZ170" i="1"/>
  <c r="AX170" i="1"/>
  <c r="DC169" i="1"/>
  <c r="CY169" i="1"/>
  <c r="Y169" i="1" s="1"/>
  <c r="CW169" i="1"/>
  <c r="AA169" i="1" s="1"/>
  <c r="CR169" i="1"/>
  <c r="CP169" i="1"/>
  <c r="CN169" i="1"/>
  <c r="CJ169" i="1"/>
  <c r="CH169" i="1"/>
  <c r="CF169" i="1"/>
  <c r="BL169" i="1"/>
  <c r="BD169" i="1"/>
  <c r="AZ169" i="1"/>
  <c r="AX169" i="1"/>
  <c r="DC175" i="1"/>
  <c r="CY175" i="1"/>
  <c r="Y175" i="1" s="1"/>
  <c r="CW175" i="1"/>
  <c r="AA175" i="1" s="1"/>
  <c r="CR175" i="1"/>
  <c r="CP175" i="1"/>
  <c r="CN175" i="1"/>
  <c r="CJ175" i="1"/>
  <c r="CH175" i="1"/>
  <c r="CF175" i="1"/>
  <c r="BL175" i="1"/>
  <c r="BD175" i="1"/>
  <c r="AZ175" i="1"/>
  <c r="AX175" i="1"/>
  <c r="DC176" i="1"/>
  <c r="CY176" i="1"/>
  <c r="Y176" i="1" s="1"/>
  <c r="CW176" i="1"/>
  <c r="AA176" i="1" s="1"/>
  <c r="CR176" i="1"/>
  <c r="CP176" i="1"/>
  <c r="CN176" i="1"/>
  <c r="CJ176" i="1"/>
  <c r="CH176" i="1"/>
  <c r="CF176" i="1"/>
  <c r="BL176" i="1"/>
  <c r="BD176" i="1"/>
  <c r="AZ176" i="1"/>
  <c r="AX176" i="1"/>
  <c r="DC524" i="1"/>
  <c r="CY524" i="1"/>
  <c r="CW524" i="1"/>
  <c r="CR524" i="1"/>
  <c r="CP524" i="1"/>
  <c r="CN524" i="1"/>
  <c r="CJ524" i="1"/>
  <c r="CH524" i="1"/>
  <c r="CF524" i="1"/>
  <c r="BL524" i="1"/>
  <c r="BD524" i="1"/>
  <c r="AZ524" i="1"/>
  <c r="AX524" i="1"/>
  <c r="DC427" i="1"/>
  <c r="CY427" i="1"/>
  <c r="CW427" i="1"/>
  <c r="CR427" i="1"/>
  <c r="CP427" i="1"/>
  <c r="CN427" i="1"/>
  <c r="CJ427" i="1"/>
  <c r="CH427" i="1"/>
  <c r="CF427" i="1"/>
  <c r="BL427" i="1"/>
  <c r="BD427" i="1"/>
  <c r="AZ427" i="1"/>
  <c r="AX427" i="1"/>
  <c r="DC321" i="1"/>
  <c r="CY321" i="1"/>
  <c r="CW321" i="1"/>
  <c r="CR321" i="1"/>
  <c r="CP321" i="1"/>
  <c r="CN321" i="1"/>
  <c r="CJ321" i="1"/>
  <c r="CH321" i="1"/>
  <c r="CF321" i="1"/>
  <c r="BL321" i="1"/>
  <c r="BD321" i="1"/>
  <c r="AZ321" i="1"/>
  <c r="AX321" i="1"/>
  <c r="DC323" i="1"/>
  <c r="CY323" i="1"/>
  <c r="CW323" i="1"/>
  <c r="CR323" i="1"/>
  <c r="CP323" i="1"/>
  <c r="CN323" i="1"/>
  <c r="CJ323" i="1"/>
  <c r="CH323" i="1"/>
  <c r="CF323" i="1"/>
  <c r="BL323" i="1"/>
  <c r="BD323" i="1"/>
  <c r="AZ323" i="1"/>
  <c r="AX323" i="1"/>
  <c r="DC332" i="1"/>
  <c r="CY332" i="1"/>
  <c r="CW332" i="1"/>
  <c r="CR332" i="1"/>
  <c r="CP332" i="1"/>
  <c r="CN332" i="1"/>
  <c r="CJ332" i="1"/>
  <c r="CH332" i="1"/>
  <c r="CF332" i="1"/>
  <c r="BL332" i="1"/>
  <c r="BD332" i="1"/>
  <c r="AZ332" i="1"/>
  <c r="AX332" i="1"/>
  <c r="DC322" i="1"/>
  <c r="CY322" i="1"/>
  <c r="CW322" i="1"/>
  <c r="CR322" i="1"/>
  <c r="CP322" i="1"/>
  <c r="CN322" i="1"/>
  <c r="CJ322" i="1"/>
  <c r="CH322" i="1"/>
  <c r="CF322" i="1"/>
  <c r="BL322" i="1"/>
  <c r="BD322" i="1"/>
  <c r="AZ322" i="1"/>
  <c r="AX322" i="1"/>
  <c r="DC314" i="1"/>
  <c r="CY314" i="1"/>
  <c r="CW314" i="1"/>
  <c r="CR314" i="1"/>
  <c r="CP314" i="1"/>
  <c r="CN314" i="1"/>
  <c r="CJ314" i="1"/>
  <c r="CH314" i="1"/>
  <c r="CF314" i="1"/>
  <c r="BL314" i="1"/>
  <c r="BD314" i="1"/>
  <c r="AZ314" i="1"/>
  <c r="AX314" i="1"/>
  <c r="DC315" i="1"/>
  <c r="CY315" i="1"/>
  <c r="CW315" i="1"/>
  <c r="CR315" i="1"/>
  <c r="CP315" i="1"/>
  <c r="CN315" i="1"/>
  <c r="CJ315" i="1"/>
  <c r="CH315" i="1"/>
  <c r="CF315" i="1"/>
  <c r="BL315" i="1"/>
  <c r="BD315" i="1"/>
  <c r="AZ315" i="1"/>
  <c r="AX315" i="1"/>
  <c r="DC331" i="1"/>
  <c r="CY331" i="1"/>
  <c r="CW331" i="1"/>
  <c r="CR331" i="1"/>
  <c r="CP331" i="1"/>
  <c r="CN331" i="1"/>
  <c r="CJ331" i="1"/>
  <c r="CH331" i="1"/>
  <c r="CF331" i="1"/>
  <c r="BL331" i="1"/>
  <c r="BD331" i="1"/>
  <c r="AZ331" i="1"/>
  <c r="AX331" i="1"/>
  <c r="DC239" i="1"/>
  <c r="CY239" i="1"/>
  <c r="CW239" i="1"/>
  <c r="CR239" i="1"/>
  <c r="CP239" i="1"/>
  <c r="CN239" i="1"/>
  <c r="CJ239" i="1"/>
  <c r="CH239" i="1"/>
  <c r="CF239" i="1"/>
  <c r="BL239" i="1"/>
  <c r="BD239" i="1"/>
  <c r="AZ239" i="1"/>
  <c r="AX239" i="1"/>
  <c r="DC285" i="1"/>
  <c r="CY285" i="1"/>
  <c r="CW285" i="1"/>
  <c r="CR285" i="1"/>
  <c r="CP285" i="1"/>
  <c r="CN285" i="1"/>
  <c r="CJ285" i="1"/>
  <c r="CH285" i="1"/>
  <c r="CF285" i="1"/>
  <c r="BL285" i="1"/>
  <c r="BD285" i="1"/>
  <c r="AZ285" i="1"/>
  <c r="AX285" i="1"/>
  <c r="DC281" i="1"/>
  <c r="CY281" i="1"/>
  <c r="Y281" i="1" s="1"/>
  <c r="CW281" i="1"/>
  <c r="AA281" i="1" s="1"/>
  <c r="CR281" i="1"/>
  <c r="CP281" i="1"/>
  <c r="CN281" i="1"/>
  <c r="CJ281" i="1"/>
  <c r="CH281" i="1"/>
  <c r="CF281" i="1"/>
  <c r="BL281" i="1"/>
  <c r="BD281" i="1"/>
  <c r="AZ281" i="1"/>
  <c r="AX281" i="1"/>
  <c r="DC223" i="1"/>
  <c r="CY223" i="1"/>
  <c r="Y223" i="1" s="1"/>
  <c r="CW223" i="1"/>
  <c r="AA223" i="1" s="1"/>
  <c r="CR223" i="1"/>
  <c r="CP223" i="1"/>
  <c r="CN223" i="1"/>
  <c r="CJ223" i="1"/>
  <c r="CH223" i="1"/>
  <c r="CF223" i="1"/>
  <c r="BL223" i="1"/>
  <c r="BD223" i="1"/>
  <c r="AZ223" i="1"/>
  <c r="AX223" i="1"/>
  <c r="DC221" i="1"/>
  <c r="CY221" i="1"/>
  <c r="Y221" i="1" s="1"/>
  <c r="CW221" i="1"/>
  <c r="AA221" i="1" s="1"/>
  <c r="CR221" i="1"/>
  <c r="CP221" i="1"/>
  <c r="CN221" i="1"/>
  <c r="CJ221" i="1"/>
  <c r="CH221" i="1"/>
  <c r="CF221" i="1"/>
  <c r="BL221" i="1"/>
  <c r="BD221" i="1"/>
  <c r="AZ221" i="1"/>
  <c r="AX221" i="1"/>
  <c r="DC164" i="1"/>
  <c r="CY164" i="1"/>
  <c r="Y164" i="1" s="1"/>
  <c r="CW164" i="1"/>
  <c r="AA164" i="1" s="1"/>
  <c r="CR164" i="1"/>
  <c r="CP164" i="1"/>
  <c r="CN164" i="1"/>
  <c r="CJ164" i="1"/>
  <c r="CH164" i="1"/>
  <c r="CF164" i="1"/>
  <c r="BL164" i="1"/>
  <c r="BD164" i="1"/>
  <c r="AZ164" i="1"/>
  <c r="AX164" i="1"/>
  <c r="DC162" i="1"/>
  <c r="CY162" i="1"/>
  <c r="Y162" i="1" s="1"/>
  <c r="CW162" i="1"/>
  <c r="AA162" i="1" s="1"/>
  <c r="CR162" i="1"/>
  <c r="CP162" i="1"/>
  <c r="CN162" i="1"/>
  <c r="CJ162" i="1"/>
  <c r="CH162" i="1"/>
  <c r="CF162" i="1"/>
  <c r="BL162" i="1"/>
  <c r="BD162" i="1"/>
  <c r="AZ162" i="1"/>
  <c r="AX162" i="1"/>
  <c r="DC177" i="1"/>
  <c r="CY177" i="1"/>
  <c r="Y177" i="1" s="1"/>
  <c r="CW177" i="1"/>
  <c r="AA177" i="1" s="1"/>
  <c r="CR177" i="1"/>
  <c r="CP177" i="1"/>
  <c r="CN177" i="1"/>
  <c r="CJ177" i="1"/>
  <c r="CH177" i="1"/>
  <c r="CF177" i="1"/>
  <c r="BL177" i="1"/>
  <c r="BD177" i="1"/>
  <c r="AZ177" i="1"/>
  <c r="AX177" i="1"/>
  <c r="DC179" i="1"/>
  <c r="CY179" i="1"/>
  <c r="Y179" i="1" s="1"/>
  <c r="CW179" i="1"/>
  <c r="AA179" i="1" s="1"/>
  <c r="CR179" i="1"/>
  <c r="CP179" i="1"/>
  <c r="CN179" i="1"/>
  <c r="CJ179" i="1"/>
  <c r="CH179" i="1"/>
  <c r="CF179" i="1"/>
  <c r="BL179" i="1"/>
  <c r="BD179" i="1"/>
  <c r="AZ179" i="1"/>
  <c r="AX179" i="1"/>
  <c r="DC181" i="1"/>
  <c r="CY181" i="1"/>
  <c r="Y181" i="1" s="1"/>
  <c r="CW181" i="1"/>
  <c r="AA181" i="1" s="1"/>
  <c r="CR181" i="1"/>
  <c r="CP181" i="1"/>
  <c r="CN181" i="1"/>
  <c r="CJ181" i="1"/>
  <c r="CH181" i="1"/>
  <c r="CF181" i="1"/>
  <c r="BL181" i="1"/>
  <c r="BD181" i="1"/>
  <c r="AZ181" i="1"/>
  <c r="AX181" i="1"/>
  <c r="DC180" i="1"/>
  <c r="CY180" i="1"/>
  <c r="Y180" i="1" s="1"/>
  <c r="CW180" i="1"/>
  <c r="AA180" i="1" s="1"/>
  <c r="CR180" i="1"/>
  <c r="CP180" i="1"/>
  <c r="CN180" i="1"/>
  <c r="CJ180" i="1"/>
  <c r="CH180" i="1"/>
  <c r="CF180" i="1"/>
  <c r="BL180" i="1"/>
  <c r="BD180" i="1"/>
  <c r="AZ180" i="1"/>
  <c r="AX180" i="1"/>
  <c r="DC178" i="1"/>
  <c r="CY178" i="1"/>
  <c r="Y178" i="1" s="1"/>
  <c r="CW178" i="1"/>
  <c r="AA178" i="1" s="1"/>
  <c r="CR178" i="1"/>
  <c r="CP178" i="1"/>
  <c r="CN178" i="1"/>
  <c r="CJ178" i="1"/>
  <c r="CH178" i="1"/>
  <c r="CF178" i="1"/>
  <c r="BL178" i="1"/>
  <c r="BD178" i="1"/>
  <c r="AZ178" i="1"/>
  <c r="AX178" i="1"/>
  <c r="DC182" i="1"/>
  <c r="CY182" i="1"/>
  <c r="Y182" i="1" s="1"/>
  <c r="CW182" i="1"/>
  <c r="AA182" i="1" s="1"/>
  <c r="CR182" i="1"/>
  <c r="CP182" i="1"/>
  <c r="CN182" i="1"/>
  <c r="CJ182" i="1"/>
  <c r="CH182" i="1"/>
  <c r="CF182" i="1"/>
  <c r="BL182" i="1"/>
  <c r="BD182" i="1"/>
  <c r="AZ182" i="1"/>
  <c r="AX182" i="1"/>
  <c r="DC167" i="1"/>
  <c r="CY167" i="1"/>
  <c r="Y167" i="1" s="1"/>
  <c r="CW167" i="1"/>
  <c r="AA167" i="1" s="1"/>
  <c r="CR167" i="1"/>
  <c r="CP167" i="1"/>
  <c r="CN167" i="1"/>
  <c r="CJ167" i="1"/>
  <c r="CH167" i="1"/>
  <c r="CF167" i="1"/>
  <c r="BL167" i="1"/>
  <c r="BD167" i="1"/>
  <c r="AZ167" i="1"/>
  <c r="AX167" i="1"/>
  <c r="DC157" i="1"/>
  <c r="CY157" i="1"/>
  <c r="Y157" i="1" s="1"/>
  <c r="CW157" i="1"/>
  <c r="AA157" i="1" s="1"/>
  <c r="CR157" i="1"/>
  <c r="CP157" i="1"/>
  <c r="CN157" i="1"/>
  <c r="CJ157" i="1"/>
  <c r="CH157" i="1"/>
  <c r="CF157" i="1"/>
  <c r="BL157" i="1"/>
  <c r="BD157" i="1"/>
  <c r="AZ157" i="1"/>
  <c r="AX157" i="1"/>
  <c r="DC158" i="1"/>
  <c r="Y158" i="1"/>
  <c r="CW158" i="1"/>
  <c r="AA158" i="1" s="1"/>
  <c r="CP158" i="1"/>
  <c r="CN158" i="1"/>
  <c r="CJ158" i="1"/>
  <c r="CH158" i="1"/>
  <c r="CF158" i="1"/>
  <c r="BL158" i="1"/>
  <c r="BD158" i="1"/>
  <c r="AZ158" i="1"/>
  <c r="AX158" i="1"/>
  <c r="DC160" i="1"/>
  <c r="CY160" i="1"/>
  <c r="Y160" i="1" s="1"/>
  <c r="CW160" i="1"/>
  <c r="AA160" i="1" s="1"/>
  <c r="CR160" i="1"/>
  <c r="CP160" i="1"/>
  <c r="CN160" i="1"/>
  <c r="CJ160" i="1"/>
  <c r="CH160" i="1"/>
  <c r="CF160" i="1"/>
  <c r="BL160" i="1"/>
  <c r="BD160" i="1"/>
  <c r="AZ160" i="1"/>
  <c r="AX160" i="1"/>
  <c r="DC161" i="1"/>
  <c r="CY161" i="1"/>
  <c r="Y161" i="1" s="1"/>
  <c r="CW161" i="1"/>
  <c r="AA161" i="1" s="1"/>
  <c r="CR161" i="1"/>
  <c r="CP161" i="1"/>
  <c r="CN161" i="1"/>
  <c r="CJ161" i="1"/>
  <c r="CH161" i="1"/>
  <c r="CF161" i="1"/>
  <c r="BL161" i="1"/>
  <c r="BD161" i="1"/>
  <c r="AZ161" i="1"/>
  <c r="AX161" i="1"/>
  <c r="DC149" i="1"/>
  <c r="CY149" i="1"/>
  <c r="Y149" i="1" s="1"/>
  <c r="CW149" i="1"/>
  <c r="AA149" i="1" s="1"/>
  <c r="CR149" i="1"/>
  <c r="CP149" i="1"/>
  <c r="CN149" i="1"/>
  <c r="CJ149" i="1"/>
  <c r="CH149" i="1"/>
  <c r="CF149" i="1"/>
  <c r="BL149" i="1"/>
  <c r="BD149" i="1"/>
  <c r="AZ149" i="1"/>
  <c r="AX149" i="1"/>
  <c r="DC148" i="1"/>
  <c r="CY148" i="1"/>
  <c r="Y148" i="1" s="1"/>
  <c r="CW148" i="1"/>
  <c r="AA148" i="1" s="1"/>
  <c r="CR148" i="1"/>
  <c r="CP148" i="1"/>
  <c r="CN148" i="1"/>
  <c r="CJ148" i="1"/>
  <c r="CH148" i="1"/>
  <c r="CF148" i="1"/>
  <c r="BL148" i="1"/>
  <c r="BD148" i="1"/>
  <c r="AZ148" i="1"/>
  <c r="AX148" i="1"/>
  <c r="DC151" i="1"/>
  <c r="CY151" i="1"/>
  <c r="Y151" i="1" s="1"/>
  <c r="CW151" i="1"/>
  <c r="AA151" i="1" s="1"/>
  <c r="CR151" i="1"/>
  <c r="CP151" i="1"/>
  <c r="CN151" i="1"/>
  <c r="CJ151" i="1"/>
  <c r="CH151" i="1"/>
  <c r="CF151" i="1"/>
  <c r="BL151" i="1"/>
  <c r="BD151" i="1"/>
  <c r="AZ151" i="1"/>
  <c r="AX151" i="1"/>
  <c r="DC147" i="1"/>
  <c r="CY147" i="1"/>
  <c r="Y147" i="1" s="1"/>
  <c r="CW147" i="1"/>
  <c r="AA147" i="1" s="1"/>
  <c r="CR147" i="1"/>
  <c r="CP147" i="1"/>
  <c r="CN147" i="1"/>
  <c r="CJ147" i="1"/>
  <c r="CH147" i="1"/>
  <c r="CF147" i="1"/>
  <c r="BL147" i="1"/>
  <c r="BD147" i="1"/>
  <c r="AZ147" i="1"/>
  <c r="AX147" i="1"/>
  <c r="DC153" i="1"/>
  <c r="CY153" i="1"/>
  <c r="Y153" i="1" s="1"/>
  <c r="CW153" i="1"/>
  <c r="AA153" i="1" s="1"/>
  <c r="CR153" i="1"/>
  <c r="CP153" i="1"/>
  <c r="CN153" i="1"/>
  <c r="CJ153" i="1"/>
  <c r="CH153" i="1"/>
  <c r="CF153" i="1"/>
  <c r="BL153" i="1"/>
  <c r="BD153" i="1"/>
  <c r="AZ153" i="1"/>
  <c r="AX153" i="1"/>
  <c r="DC142" i="1"/>
  <c r="CY142" i="1"/>
  <c r="Y142" i="1" s="1"/>
  <c r="CW142" i="1"/>
  <c r="AA142" i="1" s="1"/>
  <c r="CR142" i="1"/>
  <c r="CP142" i="1"/>
  <c r="CN142" i="1"/>
  <c r="CJ142" i="1"/>
  <c r="CH142" i="1"/>
  <c r="CF142" i="1"/>
  <c r="BL142" i="1"/>
  <c r="BD142" i="1"/>
  <c r="AZ142" i="1"/>
  <c r="AX142" i="1"/>
  <c r="DC143" i="1"/>
  <c r="CY143" i="1"/>
  <c r="Y143" i="1" s="1"/>
  <c r="CW143" i="1"/>
  <c r="AA143" i="1" s="1"/>
  <c r="CR143" i="1"/>
  <c r="CP143" i="1"/>
  <c r="CN143" i="1"/>
  <c r="CJ143" i="1"/>
  <c r="CH143" i="1"/>
  <c r="CF143" i="1"/>
  <c r="BL143" i="1"/>
  <c r="BD143" i="1"/>
  <c r="AZ143" i="1"/>
  <c r="AX143" i="1"/>
  <c r="DC141" i="1"/>
  <c r="CY141" i="1"/>
  <c r="Y141" i="1" s="1"/>
  <c r="CW141" i="1"/>
  <c r="AA141" i="1" s="1"/>
  <c r="CR141" i="1"/>
  <c r="CP141" i="1"/>
  <c r="CN141" i="1"/>
  <c r="CJ141" i="1"/>
  <c r="CH141" i="1"/>
  <c r="CF141" i="1"/>
  <c r="BL141" i="1"/>
  <c r="BD141" i="1"/>
  <c r="AZ141" i="1"/>
  <c r="AX141" i="1"/>
  <c r="DC155" i="1"/>
  <c r="CY155" i="1"/>
  <c r="Y155" i="1" s="1"/>
  <c r="CW155" i="1"/>
  <c r="AA155" i="1" s="1"/>
  <c r="CR155" i="1"/>
  <c r="CP155" i="1"/>
  <c r="CN155" i="1"/>
  <c r="CJ155" i="1"/>
  <c r="CH155" i="1"/>
  <c r="CF155" i="1"/>
  <c r="BL155" i="1"/>
  <c r="BD155" i="1"/>
  <c r="AZ155" i="1"/>
  <c r="AX155" i="1"/>
  <c r="DC156" i="1"/>
  <c r="CY156" i="1"/>
  <c r="Y156" i="1" s="1"/>
  <c r="CW156" i="1"/>
  <c r="AA156" i="1" s="1"/>
  <c r="CR156" i="1"/>
  <c r="CP156" i="1"/>
  <c r="CN156" i="1"/>
  <c r="CJ156" i="1"/>
  <c r="CH156" i="1"/>
  <c r="CF156" i="1"/>
  <c r="BL156" i="1"/>
  <c r="BD156" i="1"/>
  <c r="AZ156" i="1"/>
  <c r="AX156" i="1"/>
  <c r="DC152" i="1"/>
  <c r="CY152" i="1"/>
  <c r="Y152" i="1" s="1"/>
  <c r="CW152" i="1"/>
  <c r="AA152" i="1" s="1"/>
  <c r="CR152" i="1"/>
  <c r="CP152" i="1"/>
  <c r="CN152" i="1"/>
  <c r="CJ152" i="1"/>
  <c r="CH152" i="1"/>
  <c r="CF152" i="1"/>
  <c r="BL152" i="1"/>
  <c r="BD152" i="1"/>
  <c r="AZ152" i="1"/>
  <c r="AX152" i="1"/>
  <c r="DC146" i="1"/>
  <c r="CY146" i="1"/>
  <c r="Y146" i="1" s="1"/>
  <c r="CW146" i="1"/>
  <c r="AA146" i="1" s="1"/>
  <c r="CR146" i="1"/>
  <c r="CP146" i="1"/>
  <c r="CN146" i="1"/>
  <c r="CJ146" i="1"/>
  <c r="CH146" i="1"/>
  <c r="CF146" i="1"/>
  <c r="BL146" i="1"/>
  <c r="BD146" i="1"/>
  <c r="AZ146" i="1"/>
  <c r="AX146" i="1"/>
  <c r="DC159" i="1"/>
  <c r="CY159" i="1"/>
  <c r="Y159" i="1" s="1"/>
  <c r="CW159" i="1"/>
  <c r="AA159" i="1" s="1"/>
  <c r="CR159" i="1"/>
  <c r="CP159" i="1"/>
  <c r="CN159" i="1"/>
  <c r="CJ159" i="1"/>
  <c r="CH159" i="1"/>
  <c r="CF159" i="1"/>
  <c r="BL159" i="1"/>
  <c r="BD159" i="1"/>
  <c r="AZ159" i="1"/>
  <c r="AX159" i="1"/>
  <c r="DC109" i="1"/>
  <c r="CY109" i="1"/>
  <c r="Y109" i="1" s="1"/>
  <c r="CW109" i="1"/>
  <c r="AA109" i="1" s="1"/>
  <c r="CR109" i="1"/>
  <c r="CP109" i="1"/>
  <c r="CN109" i="1"/>
  <c r="CJ109" i="1"/>
  <c r="CH109" i="1"/>
  <c r="CF109" i="1"/>
  <c r="BL109" i="1"/>
  <c r="BD109" i="1"/>
  <c r="AZ109" i="1"/>
  <c r="AX109" i="1"/>
  <c r="DC154" i="1"/>
  <c r="CY154" i="1"/>
  <c r="Y154" i="1" s="1"/>
  <c r="CW154" i="1"/>
  <c r="AA154" i="1" s="1"/>
  <c r="CR154" i="1"/>
  <c r="CP154" i="1"/>
  <c r="CN154" i="1"/>
  <c r="CJ154" i="1"/>
  <c r="CH154" i="1"/>
  <c r="CF154" i="1"/>
  <c r="BL154" i="1"/>
  <c r="BD154" i="1"/>
  <c r="AZ154" i="1"/>
  <c r="AX154" i="1"/>
  <c r="DC144" i="1"/>
  <c r="CY144" i="1"/>
  <c r="Y144" i="1" s="1"/>
  <c r="CW144" i="1"/>
  <c r="AA144" i="1" s="1"/>
  <c r="CR144" i="1"/>
  <c r="CP144" i="1"/>
  <c r="CN144" i="1"/>
  <c r="CJ144" i="1"/>
  <c r="CH144" i="1"/>
  <c r="CF144" i="1"/>
  <c r="BL144" i="1"/>
  <c r="BD144" i="1"/>
  <c r="AZ144" i="1"/>
  <c r="AX144" i="1"/>
  <c r="AD208" i="1" l="1"/>
  <c r="Z524" i="1"/>
  <c r="Z427" i="1"/>
  <c r="AD226" i="1"/>
  <c r="Z144" i="1"/>
  <c r="Z109" i="1"/>
  <c r="Z146" i="1"/>
  <c r="Z156" i="1"/>
  <c r="Z141" i="1"/>
  <c r="Z142" i="1"/>
  <c r="Z147" i="1"/>
  <c r="Z148" i="1"/>
  <c r="Z161" i="1"/>
  <c r="Z158" i="1"/>
  <c r="Z182" i="1"/>
  <c r="Z180" i="1"/>
  <c r="Z179" i="1"/>
  <c r="Z162" i="1"/>
  <c r="Z221" i="1"/>
  <c r="Z281" i="1"/>
  <c r="Z239" i="1"/>
  <c r="Z315" i="1"/>
  <c r="Z322" i="1"/>
  <c r="Z323" i="1"/>
  <c r="Z176" i="1"/>
  <c r="Z169" i="1"/>
  <c r="Z171" i="1"/>
  <c r="Z172" i="1"/>
  <c r="Z166" i="1"/>
  <c r="Z203" i="1"/>
  <c r="Z174" i="1"/>
  <c r="Z200" i="1"/>
  <c r="Z184" i="1"/>
  <c r="Z199" i="1"/>
  <c r="Z186" i="1"/>
  <c r="Z196" i="1"/>
  <c r="Z194" i="1"/>
  <c r="Z192" i="1"/>
  <c r="Z190" i="1"/>
  <c r="Z154" i="1"/>
  <c r="Z159" i="1"/>
  <c r="Z152" i="1"/>
  <c r="Z155" i="1"/>
  <c r="Z143" i="1"/>
  <c r="Z153" i="1"/>
  <c r="Z151" i="1"/>
  <c r="Z149" i="1"/>
  <c r="Z160" i="1"/>
  <c r="Z157" i="1"/>
  <c r="Z167" i="1"/>
  <c r="Z178" i="1"/>
  <c r="Z181" i="1"/>
  <c r="Z177" i="1"/>
  <c r="Z164" i="1"/>
  <c r="Z223" i="1"/>
  <c r="Z285" i="1"/>
  <c r="Z331" i="1"/>
  <c r="Z314" i="1"/>
  <c r="Z332" i="1"/>
  <c r="Z321" i="1"/>
  <c r="Z175" i="1"/>
  <c r="Z170" i="1"/>
  <c r="Z163" i="1"/>
  <c r="Z173" i="1"/>
  <c r="Z183" i="1"/>
  <c r="Z168" i="1"/>
  <c r="Z165" i="1"/>
  <c r="Z185" i="1"/>
  <c r="Z202" i="1"/>
  <c r="Z195" i="1"/>
  <c r="Z191" i="1"/>
  <c r="Z189" i="1"/>
  <c r="Z193" i="1"/>
  <c r="Z187" i="1"/>
  <c r="Z198" i="1"/>
  <c r="Z201" i="1"/>
  <c r="Z222" i="1"/>
  <c r="Z188" i="1"/>
  <c r="Z197" i="1"/>
  <c r="Z224" i="1"/>
  <c r="Z225" i="1"/>
  <c r="AD248" i="1"/>
  <c r="AD236" i="1"/>
  <c r="AD217" i="1"/>
  <c r="AD250" i="1"/>
  <c r="AD247" i="1"/>
  <c r="AD244" i="1"/>
  <c r="AD243" i="1"/>
  <c r="AD209" i="1"/>
  <c r="AD254" i="1"/>
  <c r="AD233" i="1"/>
  <c r="AD228" i="1"/>
  <c r="AD234" i="1"/>
  <c r="AD245" i="1"/>
  <c r="AD218" i="1"/>
  <c r="AD213" i="1"/>
  <c r="AD204" i="1"/>
  <c r="AD253" i="1"/>
  <c r="AD235" i="1"/>
  <c r="AD150" i="1"/>
  <c r="AD230" i="1"/>
  <c r="AD242" i="1"/>
  <c r="AD277" i="1"/>
  <c r="AD207" i="1"/>
  <c r="AD211" i="1"/>
  <c r="AD232" i="1"/>
  <c r="AD252" i="1"/>
  <c r="AD215" i="1"/>
  <c r="AD237" i="1"/>
  <c r="AD231" i="1"/>
  <c r="AD206" i="1"/>
  <c r="AD214" i="1"/>
  <c r="AD227" i="1"/>
  <c r="AD255" i="1"/>
  <c r="AD241" i="1"/>
  <c r="AD240" i="1"/>
  <c r="AD205" i="1"/>
  <c r="AD246" i="1"/>
  <c r="AD212" i="1"/>
  <c r="AD229" i="1"/>
  <c r="AD216" i="1"/>
  <c r="AD210" i="1"/>
  <c r="AD251" i="1"/>
  <c r="AD238" i="1"/>
  <c r="CU194" i="1"/>
  <c r="X194" i="1" s="1"/>
  <c r="CU191" i="1"/>
  <c r="X191" i="1" s="1"/>
  <c r="CU190" i="1"/>
  <c r="X190" i="1" s="1"/>
  <c r="CU187" i="1"/>
  <c r="X187" i="1" s="1"/>
  <c r="CU197" i="1"/>
  <c r="X197" i="1" s="1"/>
  <c r="CU201" i="1"/>
  <c r="X201" i="1" s="1"/>
  <c r="CU224" i="1"/>
  <c r="X224" i="1" s="1"/>
  <c r="CU222" i="1"/>
  <c r="X222" i="1" s="1"/>
  <c r="CU176" i="1"/>
  <c r="X176" i="1" s="1"/>
  <c r="CU171" i="1"/>
  <c r="X171" i="1" s="1"/>
  <c r="CU163" i="1"/>
  <c r="X163" i="1" s="1"/>
  <c r="CU203" i="1"/>
  <c r="X203" i="1" s="1"/>
  <c r="CU165" i="1"/>
  <c r="X165" i="1" s="1"/>
  <c r="CU200" i="1"/>
  <c r="X200" i="1" s="1"/>
  <c r="CU168" i="1"/>
  <c r="X168" i="1" s="1"/>
  <c r="CU184" i="1"/>
  <c r="X184" i="1" s="1"/>
  <c r="CU202" i="1"/>
  <c r="X202" i="1" s="1"/>
  <c r="CU186" i="1"/>
  <c r="X186" i="1" s="1"/>
  <c r="CU196" i="1"/>
  <c r="X196" i="1" s="1"/>
  <c r="CU183" i="1"/>
  <c r="X183" i="1" s="1"/>
  <c r="CU185" i="1"/>
  <c r="X185" i="1" s="1"/>
  <c r="CU199" i="1"/>
  <c r="X199" i="1" s="1"/>
  <c r="CU193" i="1"/>
  <c r="X193" i="1" s="1"/>
  <c r="CU189" i="1"/>
  <c r="X189" i="1" s="1"/>
  <c r="CU198" i="1"/>
  <c r="X198" i="1" s="1"/>
  <c r="CU174" i="1"/>
  <c r="X174" i="1" s="1"/>
  <c r="CU195" i="1"/>
  <c r="X195" i="1" s="1"/>
  <c r="CU192" i="1"/>
  <c r="X192" i="1" s="1"/>
  <c r="CU188" i="1"/>
  <c r="X188" i="1" s="1"/>
  <c r="CU225" i="1"/>
  <c r="X225" i="1" s="1"/>
  <c r="CU166" i="1"/>
  <c r="X166" i="1" s="1"/>
  <c r="CU170" i="1"/>
  <c r="X170" i="1" s="1"/>
  <c r="CU173" i="1"/>
  <c r="X173" i="1" s="1"/>
  <c r="CU175" i="1"/>
  <c r="X175" i="1" s="1"/>
  <c r="CU169" i="1"/>
  <c r="X169" i="1" s="1"/>
  <c r="CU172" i="1"/>
  <c r="X172" i="1" s="1"/>
  <c r="CU223" i="1"/>
  <c r="X223" i="1" s="1"/>
  <c r="CU167" i="1"/>
  <c r="X167" i="1" s="1"/>
  <c r="CU181" i="1"/>
  <c r="X181" i="1" s="1"/>
  <c r="CU239" i="1"/>
  <c r="CU322" i="1"/>
  <c r="CU323" i="1"/>
  <c r="CU524" i="1"/>
  <c r="CU178" i="1"/>
  <c r="X178" i="1" s="1"/>
  <c r="CU180" i="1"/>
  <c r="X180" i="1" s="1"/>
  <c r="CU177" i="1"/>
  <c r="X177" i="1" s="1"/>
  <c r="CU162" i="1"/>
  <c r="X162" i="1" s="1"/>
  <c r="CU164" i="1"/>
  <c r="X164" i="1" s="1"/>
  <c r="CU221" i="1"/>
  <c r="X221" i="1" s="1"/>
  <c r="CU281" i="1"/>
  <c r="X281" i="1" s="1"/>
  <c r="CU285" i="1"/>
  <c r="CU315" i="1"/>
  <c r="CU314" i="1"/>
  <c r="CU321" i="1"/>
  <c r="CU157" i="1"/>
  <c r="X157" i="1" s="1"/>
  <c r="CU182" i="1"/>
  <c r="X182" i="1" s="1"/>
  <c r="CU179" i="1"/>
  <c r="X179" i="1" s="1"/>
  <c r="CU331" i="1"/>
  <c r="CU332" i="1"/>
  <c r="CU427" i="1"/>
  <c r="CU109" i="1"/>
  <c r="X109" i="1" s="1"/>
  <c r="CU159" i="1"/>
  <c r="X159" i="1" s="1"/>
  <c r="CU156" i="1"/>
  <c r="X156" i="1" s="1"/>
  <c r="CU155" i="1"/>
  <c r="X155" i="1" s="1"/>
  <c r="CU142" i="1"/>
  <c r="X142" i="1" s="1"/>
  <c r="CU147" i="1"/>
  <c r="X147" i="1" s="1"/>
  <c r="CU151" i="1"/>
  <c r="X151" i="1" s="1"/>
  <c r="CU161" i="1"/>
  <c r="X161" i="1" s="1"/>
  <c r="CU160" i="1"/>
  <c r="X160" i="1" s="1"/>
  <c r="CU154" i="1"/>
  <c r="X154" i="1" s="1"/>
  <c r="CU152" i="1"/>
  <c r="X152" i="1" s="1"/>
  <c r="CU143" i="1"/>
  <c r="X143" i="1" s="1"/>
  <c r="CU153" i="1"/>
  <c r="X153" i="1" s="1"/>
  <c r="CU149" i="1"/>
  <c r="X149" i="1" s="1"/>
  <c r="CU144" i="1"/>
  <c r="X144" i="1" s="1"/>
  <c r="CU146" i="1"/>
  <c r="X146" i="1" s="1"/>
  <c r="CU141" i="1"/>
  <c r="X141" i="1" s="1"/>
  <c r="CU148" i="1"/>
  <c r="X148" i="1" s="1"/>
  <c r="CU158" i="1"/>
  <c r="X158" i="1" s="1"/>
  <c r="AX3" i="1"/>
  <c r="AZ3" i="1"/>
  <c r="BD3" i="1"/>
  <c r="BL3" i="1"/>
  <c r="CF3" i="1"/>
  <c r="CH3" i="1"/>
  <c r="CJ3" i="1"/>
  <c r="CN3" i="1"/>
  <c r="CP3" i="1"/>
  <c r="CR3" i="1"/>
  <c r="AX4" i="1"/>
  <c r="AZ4" i="1"/>
  <c r="BD4" i="1"/>
  <c r="BL4" i="1"/>
  <c r="CF4" i="1"/>
  <c r="CH4" i="1"/>
  <c r="CJ4" i="1"/>
  <c r="CN4" i="1"/>
  <c r="CP4" i="1"/>
  <c r="CR4" i="1"/>
  <c r="AX5" i="1"/>
  <c r="AZ5" i="1"/>
  <c r="BD5" i="1"/>
  <c r="BL5" i="1"/>
  <c r="CF5" i="1"/>
  <c r="CH5" i="1"/>
  <c r="CJ5" i="1"/>
  <c r="CN5" i="1"/>
  <c r="CP5" i="1"/>
  <c r="CR5" i="1"/>
  <c r="AX9" i="1"/>
  <c r="AZ9" i="1"/>
  <c r="BD9" i="1"/>
  <c r="BL9" i="1"/>
  <c r="CF9" i="1"/>
  <c r="CH9" i="1"/>
  <c r="CJ9" i="1"/>
  <c r="CN9" i="1"/>
  <c r="CP9" i="1"/>
  <c r="CR9" i="1"/>
  <c r="AX11" i="1"/>
  <c r="AZ11" i="1"/>
  <c r="BD11" i="1"/>
  <c r="BL11" i="1"/>
  <c r="CF11" i="1"/>
  <c r="CH11" i="1"/>
  <c r="CJ11" i="1"/>
  <c r="CN11" i="1"/>
  <c r="CP11" i="1"/>
  <c r="CR11" i="1"/>
  <c r="AX10" i="1"/>
  <c r="AZ10" i="1"/>
  <c r="BD10" i="1"/>
  <c r="BL10" i="1"/>
  <c r="CF10" i="1"/>
  <c r="CH10" i="1"/>
  <c r="CJ10" i="1"/>
  <c r="CN10" i="1"/>
  <c r="CP10" i="1"/>
  <c r="CR10" i="1"/>
  <c r="AX8" i="1"/>
  <c r="AZ8" i="1"/>
  <c r="BD8" i="1"/>
  <c r="BL8" i="1"/>
  <c r="CF8" i="1"/>
  <c r="CH8" i="1"/>
  <c r="CJ8" i="1"/>
  <c r="CN8" i="1"/>
  <c r="CP8" i="1"/>
  <c r="CR8" i="1"/>
  <c r="AX12" i="1"/>
  <c r="AZ12" i="1"/>
  <c r="BD12" i="1"/>
  <c r="BL12" i="1"/>
  <c r="CF12" i="1"/>
  <c r="CH12" i="1"/>
  <c r="CJ12" i="1"/>
  <c r="CN12" i="1"/>
  <c r="CP12" i="1"/>
  <c r="CR12" i="1"/>
  <c r="AX14" i="1"/>
  <c r="AZ14" i="1"/>
  <c r="BD14" i="1"/>
  <c r="BL14" i="1"/>
  <c r="CF14" i="1"/>
  <c r="CH14" i="1"/>
  <c r="CJ14" i="1"/>
  <c r="CN14" i="1"/>
  <c r="CP14" i="1"/>
  <c r="CR14" i="1"/>
  <c r="AX16" i="1"/>
  <c r="AZ16" i="1"/>
  <c r="BD16" i="1"/>
  <c r="BL16" i="1"/>
  <c r="CF16" i="1"/>
  <c r="CH16" i="1"/>
  <c r="CJ16" i="1"/>
  <c r="CN16" i="1"/>
  <c r="CP16" i="1"/>
  <c r="CR16" i="1"/>
  <c r="AX19" i="1"/>
  <c r="AZ19" i="1"/>
  <c r="BD19" i="1"/>
  <c r="BL19" i="1"/>
  <c r="CF19" i="1"/>
  <c r="CH19" i="1"/>
  <c r="CJ19" i="1"/>
  <c r="CN19" i="1"/>
  <c r="CP19" i="1"/>
  <c r="CR19" i="1"/>
  <c r="AX18" i="1"/>
  <c r="AZ18" i="1"/>
  <c r="BD18" i="1"/>
  <c r="BL18" i="1"/>
  <c r="CF18" i="1"/>
  <c r="CH18" i="1"/>
  <c r="CJ18" i="1"/>
  <c r="CN18" i="1"/>
  <c r="CP18" i="1"/>
  <c r="CR18" i="1"/>
  <c r="AX13" i="1"/>
  <c r="AZ13" i="1"/>
  <c r="BD13" i="1"/>
  <c r="BL13" i="1"/>
  <c r="CF13" i="1"/>
  <c r="CH13" i="1"/>
  <c r="CJ13" i="1"/>
  <c r="CN13" i="1"/>
  <c r="CP13" i="1"/>
  <c r="CR13" i="1"/>
  <c r="AX6" i="1"/>
  <c r="AZ6" i="1"/>
  <c r="BD6" i="1"/>
  <c r="BL6" i="1"/>
  <c r="CF6" i="1"/>
  <c r="CH6" i="1"/>
  <c r="CJ6" i="1"/>
  <c r="CN6" i="1"/>
  <c r="CP6" i="1"/>
  <c r="CR6" i="1"/>
  <c r="AX7" i="1"/>
  <c r="AZ7" i="1"/>
  <c r="BD7" i="1"/>
  <c r="BL7" i="1"/>
  <c r="CF7" i="1"/>
  <c r="CH7" i="1"/>
  <c r="CJ7" i="1"/>
  <c r="CN7" i="1"/>
  <c r="CP7" i="1"/>
  <c r="CR7" i="1"/>
  <c r="AX17" i="1"/>
  <c r="AZ17" i="1"/>
  <c r="BD17" i="1"/>
  <c r="BL17" i="1"/>
  <c r="CF17" i="1"/>
  <c r="CH17" i="1"/>
  <c r="CJ17" i="1"/>
  <c r="CN17" i="1"/>
  <c r="CP17" i="1"/>
  <c r="CR17" i="1"/>
  <c r="AX15" i="1"/>
  <c r="AZ15" i="1"/>
  <c r="BD15" i="1"/>
  <c r="BL15" i="1"/>
  <c r="CF15" i="1"/>
  <c r="CH15" i="1"/>
  <c r="CJ15" i="1"/>
  <c r="CN15" i="1"/>
  <c r="CP15" i="1"/>
  <c r="CR15" i="1"/>
  <c r="AX21" i="1"/>
  <c r="AZ21" i="1"/>
  <c r="BD21" i="1"/>
  <c r="BL21" i="1"/>
  <c r="CF21" i="1"/>
  <c r="CH21" i="1"/>
  <c r="CJ21" i="1"/>
  <c r="CN21" i="1"/>
  <c r="CP21" i="1"/>
  <c r="CR21" i="1"/>
  <c r="AX20" i="1"/>
  <c r="AZ20" i="1"/>
  <c r="BD20" i="1"/>
  <c r="BL20" i="1"/>
  <c r="CF20" i="1"/>
  <c r="CH20" i="1"/>
  <c r="CJ20" i="1"/>
  <c r="CN20" i="1"/>
  <c r="CP20" i="1"/>
  <c r="CR20" i="1"/>
  <c r="AX27" i="1"/>
  <c r="AZ27" i="1"/>
  <c r="BD27" i="1"/>
  <c r="BL27" i="1"/>
  <c r="CF27" i="1"/>
  <c r="CH27" i="1"/>
  <c r="CJ27" i="1"/>
  <c r="CN27" i="1"/>
  <c r="CP27" i="1"/>
  <c r="CR27" i="1"/>
  <c r="AX23" i="1"/>
  <c r="AZ23" i="1"/>
  <c r="BD23" i="1"/>
  <c r="BL23" i="1"/>
  <c r="CF23" i="1"/>
  <c r="CH23" i="1"/>
  <c r="CJ23" i="1"/>
  <c r="CN23" i="1"/>
  <c r="CP23" i="1"/>
  <c r="CR23" i="1"/>
  <c r="AX22" i="1"/>
  <c r="AZ22" i="1"/>
  <c r="BD22" i="1"/>
  <c r="BL22" i="1"/>
  <c r="CF22" i="1"/>
  <c r="CH22" i="1"/>
  <c r="CJ22" i="1"/>
  <c r="CN22" i="1"/>
  <c r="CP22" i="1"/>
  <c r="CR22" i="1"/>
  <c r="AX24" i="1"/>
  <c r="AZ24" i="1"/>
  <c r="BD24" i="1"/>
  <c r="BL24" i="1"/>
  <c r="CF24" i="1"/>
  <c r="CH24" i="1"/>
  <c r="CJ24" i="1"/>
  <c r="CN24" i="1"/>
  <c r="CP24" i="1"/>
  <c r="CR24" i="1"/>
  <c r="AX31" i="1"/>
  <c r="AZ31" i="1"/>
  <c r="BD31" i="1"/>
  <c r="BL31" i="1"/>
  <c r="CF31" i="1"/>
  <c r="CH31" i="1"/>
  <c r="CJ31" i="1"/>
  <c r="CN31" i="1"/>
  <c r="CP31" i="1"/>
  <c r="CR31" i="1"/>
  <c r="AX28" i="1"/>
  <c r="AZ28" i="1"/>
  <c r="BD28" i="1"/>
  <c r="BL28" i="1"/>
  <c r="CF28" i="1"/>
  <c r="CH28" i="1"/>
  <c r="CJ28" i="1"/>
  <c r="CN28" i="1"/>
  <c r="CP28" i="1"/>
  <c r="CR28" i="1"/>
  <c r="AX38" i="1"/>
  <c r="AZ38" i="1"/>
  <c r="BD38" i="1"/>
  <c r="BL38" i="1"/>
  <c r="CF38" i="1"/>
  <c r="CH38" i="1"/>
  <c r="CJ38" i="1"/>
  <c r="CN38" i="1"/>
  <c r="CP38" i="1"/>
  <c r="CR38" i="1"/>
  <c r="AX37" i="1"/>
  <c r="AZ37" i="1"/>
  <c r="BD37" i="1"/>
  <c r="BL37" i="1"/>
  <c r="CF37" i="1"/>
  <c r="CH37" i="1"/>
  <c r="CJ37" i="1"/>
  <c r="CN37" i="1"/>
  <c r="CP37" i="1"/>
  <c r="CR37" i="1"/>
  <c r="AX32" i="1"/>
  <c r="AZ32" i="1"/>
  <c r="BD32" i="1"/>
  <c r="BL32" i="1"/>
  <c r="CF32" i="1"/>
  <c r="CH32" i="1"/>
  <c r="CJ32" i="1"/>
  <c r="CN32" i="1"/>
  <c r="CP32" i="1"/>
  <c r="CR32" i="1"/>
  <c r="AX30" i="1"/>
  <c r="AZ30" i="1"/>
  <c r="BD30" i="1"/>
  <c r="BL30" i="1"/>
  <c r="CF30" i="1"/>
  <c r="CH30" i="1"/>
  <c r="CJ30" i="1"/>
  <c r="CN30" i="1"/>
  <c r="CP30" i="1"/>
  <c r="CR30" i="1"/>
  <c r="AX39" i="1"/>
  <c r="AZ39" i="1"/>
  <c r="BD39" i="1"/>
  <c r="BL39" i="1"/>
  <c r="CF39" i="1"/>
  <c r="CH39" i="1"/>
  <c r="CJ39" i="1"/>
  <c r="CN39" i="1"/>
  <c r="CP39" i="1"/>
  <c r="CR39" i="1"/>
  <c r="AX35" i="1"/>
  <c r="AZ35" i="1"/>
  <c r="BD35" i="1"/>
  <c r="BL35" i="1"/>
  <c r="CF35" i="1"/>
  <c r="CH35" i="1"/>
  <c r="CJ35" i="1"/>
  <c r="CN35" i="1"/>
  <c r="CP35" i="1"/>
  <c r="CR35" i="1"/>
  <c r="AX40" i="1"/>
  <c r="AZ40" i="1"/>
  <c r="BD40" i="1"/>
  <c r="BL40" i="1"/>
  <c r="CF40" i="1"/>
  <c r="CH40" i="1"/>
  <c r="CJ40" i="1"/>
  <c r="CN40" i="1"/>
  <c r="CP40" i="1"/>
  <c r="CR40" i="1"/>
  <c r="AX36" i="1"/>
  <c r="AZ36" i="1"/>
  <c r="BD36" i="1"/>
  <c r="BL36" i="1"/>
  <c r="CF36" i="1"/>
  <c r="CH36" i="1"/>
  <c r="CJ36" i="1"/>
  <c r="CN36" i="1"/>
  <c r="CP36" i="1"/>
  <c r="CR36" i="1"/>
  <c r="AX42" i="1"/>
  <c r="AZ42" i="1"/>
  <c r="BD42" i="1"/>
  <c r="BL42" i="1"/>
  <c r="CF42" i="1"/>
  <c r="CH42" i="1"/>
  <c r="CJ42" i="1"/>
  <c r="CN42" i="1"/>
  <c r="CP42" i="1"/>
  <c r="CR42" i="1"/>
  <c r="AX29" i="1"/>
  <c r="AZ29" i="1"/>
  <c r="BD29" i="1"/>
  <c r="BL29" i="1"/>
  <c r="CF29" i="1"/>
  <c r="CH29" i="1"/>
  <c r="CJ29" i="1"/>
  <c r="CN29" i="1"/>
  <c r="CP29" i="1"/>
  <c r="CR29" i="1"/>
  <c r="AX34" i="1"/>
  <c r="AZ34" i="1"/>
  <c r="BD34" i="1"/>
  <c r="BL34" i="1"/>
  <c r="CF34" i="1"/>
  <c r="CH34" i="1"/>
  <c r="CJ34" i="1"/>
  <c r="CN34" i="1"/>
  <c r="CP34" i="1"/>
  <c r="CR34" i="1"/>
  <c r="AX47" i="1"/>
  <c r="AZ47" i="1"/>
  <c r="BD47" i="1"/>
  <c r="BL47" i="1"/>
  <c r="CF47" i="1"/>
  <c r="CH47" i="1"/>
  <c r="CJ47" i="1"/>
  <c r="CN47" i="1"/>
  <c r="CP47" i="1"/>
  <c r="CR47" i="1"/>
  <c r="AX41" i="1"/>
  <c r="AZ41" i="1"/>
  <c r="BD41" i="1"/>
  <c r="BL41" i="1"/>
  <c r="CF41" i="1"/>
  <c r="CH41" i="1"/>
  <c r="CJ41" i="1"/>
  <c r="CN41" i="1"/>
  <c r="CP41" i="1"/>
  <c r="CR41" i="1"/>
  <c r="AX46" i="1"/>
  <c r="AZ46" i="1"/>
  <c r="BD46" i="1"/>
  <c r="BL46" i="1"/>
  <c r="CF46" i="1"/>
  <c r="CH46" i="1"/>
  <c r="CJ46" i="1"/>
  <c r="CN46" i="1"/>
  <c r="CP46" i="1"/>
  <c r="CR46" i="1"/>
  <c r="AX33" i="1"/>
  <c r="AZ33" i="1"/>
  <c r="BD33" i="1"/>
  <c r="BL33" i="1"/>
  <c r="CF33" i="1"/>
  <c r="CH33" i="1"/>
  <c r="CJ33" i="1"/>
  <c r="CN33" i="1"/>
  <c r="CP33" i="1"/>
  <c r="CR33" i="1"/>
  <c r="AX45" i="1"/>
  <c r="AZ45" i="1"/>
  <c r="BD45" i="1"/>
  <c r="BL45" i="1"/>
  <c r="CF45" i="1"/>
  <c r="CH45" i="1"/>
  <c r="CJ45" i="1"/>
  <c r="CN45" i="1"/>
  <c r="CP45" i="1"/>
  <c r="CR45" i="1"/>
  <c r="AX44" i="1"/>
  <c r="AZ44" i="1"/>
  <c r="BD44" i="1"/>
  <c r="BL44" i="1"/>
  <c r="CF44" i="1"/>
  <c r="CH44" i="1"/>
  <c r="CJ44" i="1"/>
  <c r="CN44" i="1"/>
  <c r="CP44" i="1"/>
  <c r="CR44" i="1"/>
  <c r="AX43" i="1"/>
  <c r="AZ43" i="1"/>
  <c r="BD43" i="1"/>
  <c r="BL43" i="1"/>
  <c r="CF43" i="1"/>
  <c r="CH43" i="1"/>
  <c r="CJ43" i="1"/>
  <c r="CN43" i="1"/>
  <c r="CP43" i="1"/>
  <c r="CR43" i="1"/>
  <c r="AX25" i="1"/>
  <c r="AZ25" i="1"/>
  <c r="BD25" i="1"/>
  <c r="BL25" i="1"/>
  <c r="CF25" i="1"/>
  <c r="CH25" i="1"/>
  <c r="CJ25" i="1"/>
  <c r="CN25" i="1"/>
  <c r="CP25" i="1"/>
  <c r="CR25" i="1"/>
  <c r="AX56" i="1"/>
  <c r="AZ56" i="1"/>
  <c r="BD56" i="1"/>
  <c r="BL56" i="1"/>
  <c r="CF56" i="1"/>
  <c r="CH56" i="1"/>
  <c r="CJ56" i="1"/>
  <c r="CN56" i="1"/>
  <c r="CP56" i="1"/>
  <c r="CR56" i="1"/>
  <c r="AX57" i="1"/>
  <c r="AZ57" i="1"/>
  <c r="BD57" i="1"/>
  <c r="BL57" i="1"/>
  <c r="CF57" i="1"/>
  <c r="CH57" i="1"/>
  <c r="CJ57" i="1"/>
  <c r="CN57" i="1"/>
  <c r="CP57" i="1"/>
  <c r="CR57" i="1"/>
  <c r="AX59" i="1"/>
  <c r="AZ59" i="1"/>
  <c r="BD59" i="1"/>
  <c r="BL59" i="1"/>
  <c r="CF59" i="1"/>
  <c r="CH59" i="1"/>
  <c r="CJ59" i="1"/>
  <c r="CN59" i="1"/>
  <c r="CP59" i="1"/>
  <c r="CR59" i="1"/>
  <c r="AX61" i="1"/>
  <c r="AZ61" i="1"/>
  <c r="BD61" i="1"/>
  <c r="BL61" i="1"/>
  <c r="CF61" i="1"/>
  <c r="CH61" i="1"/>
  <c r="CJ61" i="1"/>
  <c r="CN61" i="1"/>
  <c r="CP61" i="1"/>
  <c r="CR61" i="1"/>
  <c r="AX48" i="1"/>
  <c r="AZ48" i="1"/>
  <c r="BD48" i="1"/>
  <c r="BL48" i="1"/>
  <c r="CF48" i="1"/>
  <c r="CH48" i="1"/>
  <c r="CJ48" i="1"/>
  <c r="CN48" i="1"/>
  <c r="CP48" i="1"/>
  <c r="CR48" i="1"/>
  <c r="AX53" i="1"/>
  <c r="AZ53" i="1"/>
  <c r="BD53" i="1"/>
  <c r="BL53" i="1"/>
  <c r="CF53" i="1"/>
  <c r="CH53" i="1"/>
  <c r="CJ53" i="1"/>
  <c r="CN53" i="1"/>
  <c r="CP53" i="1"/>
  <c r="CR53" i="1"/>
  <c r="AX49" i="1"/>
  <c r="AZ49" i="1"/>
  <c r="BD49" i="1"/>
  <c r="BL49" i="1"/>
  <c r="CF49" i="1"/>
  <c r="CH49" i="1"/>
  <c r="CJ49" i="1"/>
  <c r="CN49" i="1"/>
  <c r="CP49" i="1"/>
  <c r="CR49" i="1"/>
  <c r="AX51" i="1"/>
  <c r="AZ51" i="1"/>
  <c r="BD51" i="1"/>
  <c r="BL51" i="1"/>
  <c r="CF51" i="1"/>
  <c r="CH51" i="1"/>
  <c r="CJ51" i="1"/>
  <c r="CN51" i="1"/>
  <c r="CP51" i="1"/>
  <c r="CR51" i="1"/>
  <c r="AX52" i="1"/>
  <c r="AZ52" i="1"/>
  <c r="BD52" i="1"/>
  <c r="BL52" i="1"/>
  <c r="CF52" i="1"/>
  <c r="CH52" i="1"/>
  <c r="CJ52" i="1"/>
  <c r="CN52" i="1"/>
  <c r="CP52" i="1"/>
  <c r="CR52" i="1"/>
  <c r="AX55" i="1"/>
  <c r="AZ55" i="1"/>
  <c r="BD55" i="1"/>
  <c r="BL55" i="1"/>
  <c r="CF55" i="1"/>
  <c r="CH55" i="1"/>
  <c r="CJ55" i="1"/>
  <c r="CN55" i="1"/>
  <c r="CP55" i="1"/>
  <c r="CR55" i="1"/>
  <c r="AX65" i="1"/>
  <c r="AZ65" i="1"/>
  <c r="BD65" i="1"/>
  <c r="BL65" i="1"/>
  <c r="CF65" i="1"/>
  <c r="CH65" i="1"/>
  <c r="CJ65" i="1"/>
  <c r="CN65" i="1"/>
  <c r="CP65" i="1"/>
  <c r="CR65" i="1"/>
  <c r="AX66" i="1"/>
  <c r="AZ66" i="1"/>
  <c r="BD66" i="1"/>
  <c r="BL66" i="1"/>
  <c r="CF66" i="1"/>
  <c r="CH66" i="1"/>
  <c r="CJ66" i="1"/>
  <c r="CN66" i="1"/>
  <c r="CP66" i="1"/>
  <c r="CR66" i="1"/>
  <c r="AX62" i="1"/>
  <c r="AZ62" i="1"/>
  <c r="BD62" i="1"/>
  <c r="BL62" i="1"/>
  <c r="CF62" i="1"/>
  <c r="CH62" i="1"/>
  <c r="CJ62" i="1"/>
  <c r="CN62" i="1"/>
  <c r="CP62" i="1"/>
  <c r="CR62" i="1"/>
  <c r="AX68" i="1"/>
  <c r="AZ68" i="1"/>
  <c r="BD68" i="1"/>
  <c r="BL68" i="1"/>
  <c r="CF68" i="1"/>
  <c r="CH68" i="1"/>
  <c r="CJ68" i="1"/>
  <c r="CN68" i="1"/>
  <c r="CP68" i="1"/>
  <c r="CR68" i="1"/>
  <c r="AX50" i="1"/>
  <c r="AZ50" i="1"/>
  <c r="BD50" i="1"/>
  <c r="BL50" i="1"/>
  <c r="CF50" i="1"/>
  <c r="CH50" i="1"/>
  <c r="CJ50" i="1"/>
  <c r="CN50" i="1"/>
  <c r="CP50" i="1"/>
  <c r="CR50" i="1"/>
  <c r="AX54" i="1"/>
  <c r="AZ54" i="1"/>
  <c r="BD54" i="1"/>
  <c r="BL54" i="1"/>
  <c r="CF54" i="1"/>
  <c r="CH54" i="1"/>
  <c r="CJ54" i="1"/>
  <c r="CN54" i="1"/>
  <c r="CP54" i="1"/>
  <c r="CR54" i="1"/>
  <c r="AX63" i="1"/>
  <c r="AZ63" i="1"/>
  <c r="BD63" i="1"/>
  <c r="BL63" i="1"/>
  <c r="CF63" i="1"/>
  <c r="CH63" i="1"/>
  <c r="CJ63" i="1"/>
  <c r="CN63" i="1"/>
  <c r="CP63" i="1"/>
  <c r="CR63" i="1"/>
  <c r="AX60" i="1"/>
  <c r="AZ60" i="1"/>
  <c r="BD60" i="1"/>
  <c r="BL60" i="1"/>
  <c r="CF60" i="1"/>
  <c r="CH60" i="1"/>
  <c r="CJ60" i="1"/>
  <c r="CN60" i="1"/>
  <c r="CP60" i="1"/>
  <c r="CR60" i="1"/>
  <c r="AX71" i="1"/>
  <c r="AZ71" i="1"/>
  <c r="BD71" i="1"/>
  <c r="BL71" i="1"/>
  <c r="CF71" i="1"/>
  <c r="CH71" i="1"/>
  <c r="CJ71" i="1"/>
  <c r="CN71" i="1"/>
  <c r="CP71" i="1"/>
  <c r="CR71" i="1"/>
  <c r="AX67" i="1"/>
  <c r="AZ67" i="1"/>
  <c r="BD67" i="1"/>
  <c r="BL67" i="1"/>
  <c r="CF67" i="1"/>
  <c r="CH67" i="1"/>
  <c r="CJ67" i="1"/>
  <c r="CN67" i="1"/>
  <c r="CP67" i="1"/>
  <c r="CR67" i="1"/>
  <c r="AX72" i="1"/>
  <c r="AZ72" i="1"/>
  <c r="BD72" i="1"/>
  <c r="BL72" i="1"/>
  <c r="CF72" i="1"/>
  <c r="CH72" i="1"/>
  <c r="CJ72" i="1"/>
  <c r="CN72" i="1"/>
  <c r="CP72" i="1"/>
  <c r="CR72" i="1"/>
  <c r="AX70" i="1"/>
  <c r="AZ70" i="1"/>
  <c r="BD70" i="1"/>
  <c r="BL70" i="1"/>
  <c r="CF70" i="1"/>
  <c r="CH70" i="1"/>
  <c r="CJ70" i="1"/>
  <c r="CN70" i="1"/>
  <c r="CP70" i="1"/>
  <c r="CR70" i="1"/>
  <c r="AX73" i="1"/>
  <c r="AZ73" i="1"/>
  <c r="BD73" i="1"/>
  <c r="BL73" i="1"/>
  <c r="CF73" i="1"/>
  <c r="CH73" i="1"/>
  <c r="CJ73" i="1"/>
  <c r="CN73" i="1"/>
  <c r="CP73" i="1"/>
  <c r="CR73" i="1"/>
  <c r="AX87" i="1"/>
  <c r="AZ87" i="1"/>
  <c r="BD87" i="1"/>
  <c r="BL87" i="1"/>
  <c r="CF87" i="1"/>
  <c r="CH87" i="1"/>
  <c r="CJ87" i="1"/>
  <c r="CN87" i="1"/>
  <c r="CP87" i="1"/>
  <c r="CR87" i="1"/>
  <c r="AX76" i="1"/>
  <c r="AZ76" i="1"/>
  <c r="BD76" i="1"/>
  <c r="BL76" i="1"/>
  <c r="CF76" i="1"/>
  <c r="CH76" i="1"/>
  <c r="CJ76" i="1"/>
  <c r="CN76" i="1"/>
  <c r="CP76" i="1"/>
  <c r="CR76" i="1"/>
  <c r="AX74" i="1"/>
  <c r="AZ74" i="1"/>
  <c r="BD74" i="1"/>
  <c r="BL74" i="1"/>
  <c r="CF74" i="1"/>
  <c r="CH74" i="1"/>
  <c r="CJ74" i="1"/>
  <c r="CN74" i="1"/>
  <c r="CP74" i="1"/>
  <c r="CR74" i="1"/>
  <c r="AX75" i="1"/>
  <c r="AZ75" i="1"/>
  <c r="BD75" i="1"/>
  <c r="BL75" i="1"/>
  <c r="CF75" i="1"/>
  <c r="CH75" i="1"/>
  <c r="CJ75" i="1"/>
  <c r="CN75" i="1"/>
  <c r="CP75" i="1"/>
  <c r="CR75" i="1"/>
  <c r="AX69" i="1"/>
  <c r="AZ69" i="1"/>
  <c r="BD69" i="1"/>
  <c r="BL69" i="1"/>
  <c r="CF69" i="1"/>
  <c r="CH69" i="1"/>
  <c r="CJ69" i="1"/>
  <c r="CN69" i="1"/>
  <c r="CP69" i="1"/>
  <c r="CR69" i="1"/>
  <c r="AX77" i="1"/>
  <c r="AZ77" i="1"/>
  <c r="BD77" i="1"/>
  <c r="BL77" i="1"/>
  <c r="CF77" i="1"/>
  <c r="CH77" i="1"/>
  <c r="CJ77" i="1"/>
  <c r="CN77" i="1"/>
  <c r="CP77" i="1"/>
  <c r="CR77" i="1"/>
  <c r="AX64" i="1"/>
  <c r="AZ64" i="1"/>
  <c r="BD64" i="1"/>
  <c r="BL64" i="1"/>
  <c r="CF64" i="1"/>
  <c r="CH64" i="1"/>
  <c r="CJ64" i="1"/>
  <c r="CN64" i="1"/>
  <c r="CP64" i="1"/>
  <c r="CR64" i="1"/>
  <c r="AX58" i="1"/>
  <c r="AZ58" i="1"/>
  <c r="BD58" i="1"/>
  <c r="BL58" i="1"/>
  <c r="CF58" i="1"/>
  <c r="CH58" i="1"/>
  <c r="CJ58" i="1"/>
  <c r="CN58" i="1"/>
  <c r="CP58" i="1"/>
  <c r="CR58" i="1"/>
  <c r="AX84" i="1"/>
  <c r="AZ84" i="1"/>
  <c r="BD84" i="1"/>
  <c r="BL84" i="1"/>
  <c r="CF84" i="1"/>
  <c r="CH84" i="1"/>
  <c r="CJ84" i="1"/>
  <c r="CN84" i="1"/>
  <c r="CP84" i="1"/>
  <c r="CR84" i="1"/>
  <c r="AX88" i="1"/>
  <c r="AZ88" i="1"/>
  <c r="BD88" i="1"/>
  <c r="BL88" i="1"/>
  <c r="CF88" i="1"/>
  <c r="CH88" i="1"/>
  <c r="CJ88" i="1"/>
  <c r="CN88" i="1"/>
  <c r="CP88" i="1"/>
  <c r="CR88" i="1"/>
  <c r="AX83" i="1"/>
  <c r="AZ83" i="1"/>
  <c r="BD83" i="1"/>
  <c r="BL83" i="1"/>
  <c r="CF83" i="1"/>
  <c r="CH83" i="1"/>
  <c r="CJ83" i="1"/>
  <c r="CN83" i="1"/>
  <c r="CP83" i="1"/>
  <c r="CR83" i="1"/>
  <c r="AX78" i="1"/>
  <c r="AZ78" i="1"/>
  <c r="BD78" i="1"/>
  <c r="BL78" i="1"/>
  <c r="CF78" i="1"/>
  <c r="CH78" i="1"/>
  <c r="CJ78" i="1"/>
  <c r="CN78" i="1"/>
  <c r="CP78" i="1"/>
  <c r="CR78" i="1"/>
  <c r="AX80" i="1"/>
  <c r="AZ80" i="1"/>
  <c r="BD80" i="1"/>
  <c r="BL80" i="1"/>
  <c r="CF80" i="1"/>
  <c r="CH80" i="1"/>
  <c r="CJ80" i="1"/>
  <c r="CN80" i="1"/>
  <c r="CP80" i="1"/>
  <c r="CR80" i="1"/>
  <c r="AX82" i="1"/>
  <c r="AZ82" i="1"/>
  <c r="BD82" i="1"/>
  <c r="BL82" i="1"/>
  <c r="CF82" i="1"/>
  <c r="CH82" i="1"/>
  <c r="CJ82" i="1"/>
  <c r="CN82" i="1"/>
  <c r="CP82" i="1"/>
  <c r="CR82" i="1"/>
  <c r="AX79" i="1"/>
  <c r="AZ79" i="1"/>
  <c r="BD79" i="1"/>
  <c r="BL79" i="1"/>
  <c r="CF79" i="1"/>
  <c r="CH79" i="1"/>
  <c r="CJ79" i="1"/>
  <c r="CN79" i="1"/>
  <c r="CP79" i="1"/>
  <c r="CR79" i="1"/>
  <c r="AX86" i="1"/>
  <c r="AZ86" i="1"/>
  <c r="BD86" i="1"/>
  <c r="BL86" i="1"/>
  <c r="CF86" i="1"/>
  <c r="CH86" i="1"/>
  <c r="CJ86" i="1"/>
  <c r="CN86" i="1"/>
  <c r="CP86" i="1"/>
  <c r="CR86" i="1"/>
  <c r="AX85" i="1"/>
  <c r="AZ85" i="1"/>
  <c r="BD85" i="1"/>
  <c r="BL85" i="1"/>
  <c r="CF85" i="1"/>
  <c r="CH85" i="1"/>
  <c r="CJ85" i="1"/>
  <c r="CN85" i="1"/>
  <c r="CP85" i="1"/>
  <c r="CR85" i="1"/>
  <c r="AX90" i="1"/>
  <c r="AZ90" i="1"/>
  <c r="BD90" i="1"/>
  <c r="BL90" i="1"/>
  <c r="CF90" i="1"/>
  <c r="CH90" i="1"/>
  <c r="CJ90" i="1"/>
  <c r="CN90" i="1"/>
  <c r="CP90" i="1"/>
  <c r="CR90" i="1"/>
  <c r="AX91" i="1"/>
  <c r="AZ91" i="1"/>
  <c r="BD91" i="1"/>
  <c r="BL91" i="1"/>
  <c r="CF91" i="1"/>
  <c r="CH91" i="1"/>
  <c r="CJ91" i="1"/>
  <c r="CN91" i="1"/>
  <c r="CP91" i="1"/>
  <c r="CR91" i="1"/>
  <c r="AX110" i="1"/>
  <c r="AZ110" i="1"/>
  <c r="BD110" i="1"/>
  <c r="BL110" i="1"/>
  <c r="CF110" i="1"/>
  <c r="CH110" i="1"/>
  <c r="CJ110" i="1"/>
  <c r="CN110" i="1"/>
  <c r="CP110" i="1"/>
  <c r="CR110" i="1"/>
  <c r="AX108" i="1"/>
  <c r="AZ108" i="1"/>
  <c r="BD108" i="1"/>
  <c r="BL108" i="1"/>
  <c r="CF108" i="1"/>
  <c r="CH108" i="1"/>
  <c r="CJ108" i="1"/>
  <c r="CN108" i="1"/>
  <c r="CP108" i="1"/>
  <c r="CR108" i="1"/>
  <c r="AX94" i="1"/>
  <c r="AZ94" i="1"/>
  <c r="BD94" i="1"/>
  <c r="BL94" i="1"/>
  <c r="CF94" i="1"/>
  <c r="CH94" i="1"/>
  <c r="CJ94" i="1"/>
  <c r="CN94" i="1"/>
  <c r="CP94" i="1"/>
  <c r="CR94" i="1"/>
  <c r="AX93" i="1"/>
  <c r="AZ93" i="1"/>
  <c r="BD93" i="1"/>
  <c r="BL93" i="1"/>
  <c r="CF93" i="1"/>
  <c r="CH93" i="1"/>
  <c r="CJ93" i="1"/>
  <c r="CN93" i="1"/>
  <c r="CP93" i="1"/>
  <c r="CR93" i="1"/>
  <c r="AX95" i="1"/>
  <c r="AZ95" i="1"/>
  <c r="BD95" i="1"/>
  <c r="BL95" i="1"/>
  <c r="CF95" i="1"/>
  <c r="CH95" i="1"/>
  <c r="CJ95" i="1"/>
  <c r="CN95" i="1"/>
  <c r="CP95" i="1"/>
  <c r="CR95" i="1"/>
  <c r="AX81" i="1"/>
  <c r="AZ81" i="1"/>
  <c r="BD81" i="1"/>
  <c r="BL81" i="1"/>
  <c r="CF81" i="1"/>
  <c r="CH81" i="1"/>
  <c r="CJ81" i="1"/>
  <c r="CN81" i="1"/>
  <c r="CP81" i="1"/>
  <c r="CR81" i="1"/>
  <c r="AX103" i="1"/>
  <c r="AZ103" i="1"/>
  <c r="BD103" i="1"/>
  <c r="BL103" i="1"/>
  <c r="CF103" i="1"/>
  <c r="CH103" i="1"/>
  <c r="CJ103" i="1"/>
  <c r="CN103" i="1"/>
  <c r="CP103" i="1"/>
  <c r="CR103" i="1"/>
  <c r="AX101" i="1"/>
  <c r="AZ101" i="1"/>
  <c r="BD101" i="1"/>
  <c r="BL101" i="1"/>
  <c r="CF101" i="1"/>
  <c r="CH101" i="1"/>
  <c r="CJ101" i="1"/>
  <c r="CN101" i="1"/>
  <c r="CP101" i="1"/>
  <c r="CR101" i="1"/>
  <c r="AX98" i="1"/>
  <c r="AZ98" i="1"/>
  <c r="BD98" i="1"/>
  <c r="BL98" i="1"/>
  <c r="CF98" i="1"/>
  <c r="CH98" i="1"/>
  <c r="CJ98" i="1"/>
  <c r="CN98" i="1"/>
  <c r="CP98" i="1"/>
  <c r="CR98" i="1"/>
  <c r="AX99" i="1"/>
  <c r="AZ99" i="1"/>
  <c r="BD99" i="1"/>
  <c r="BL99" i="1"/>
  <c r="CF99" i="1"/>
  <c r="CH99" i="1"/>
  <c r="CJ99" i="1"/>
  <c r="CN99" i="1"/>
  <c r="CP99" i="1"/>
  <c r="CR99" i="1"/>
  <c r="AX100" i="1"/>
  <c r="AZ100" i="1"/>
  <c r="BD100" i="1"/>
  <c r="BL100" i="1"/>
  <c r="CF100" i="1"/>
  <c r="CH100" i="1"/>
  <c r="CJ100" i="1"/>
  <c r="CN100" i="1"/>
  <c r="CP100" i="1"/>
  <c r="CR100" i="1"/>
  <c r="AX102" i="1"/>
  <c r="AZ102" i="1"/>
  <c r="BD102" i="1"/>
  <c r="BL102" i="1"/>
  <c r="CF102" i="1"/>
  <c r="CH102" i="1"/>
  <c r="CJ102" i="1"/>
  <c r="CN102" i="1"/>
  <c r="CP102" i="1"/>
  <c r="CR102" i="1"/>
  <c r="AX96" i="1"/>
  <c r="AZ96" i="1"/>
  <c r="BD96" i="1"/>
  <c r="BL96" i="1"/>
  <c r="CF96" i="1"/>
  <c r="CH96" i="1"/>
  <c r="CJ96" i="1"/>
  <c r="CN96" i="1"/>
  <c r="CP96" i="1"/>
  <c r="CR96" i="1"/>
  <c r="AX113" i="1"/>
  <c r="AZ113" i="1"/>
  <c r="BD113" i="1"/>
  <c r="BL113" i="1"/>
  <c r="CF113" i="1"/>
  <c r="CH113" i="1"/>
  <c r="CJ113" i="1"/>
  <c r="CN113" i="1"/>
  <c r="CP113" i="1"/>
  <c r="CR113" i="1"/>
  <c r="AX92" i="1"/>
  <c r="AZ92" i="1"/>
  <c r="BD92" i="1"/>
  <c r="BL92" i="1"/>
  <c r="CF92" i="1"/>
  <c r="CH92" i="1"/>
  <c r="CJ92" i="1"/>
  <c r="CN92" i="1"/>
  <c r="CP92" i="1"/>
  <c r="CR92" i="1"/>
  <c r="AX89" i="1"/>
  <c r="AZ89" i="1"/>
  <c r="BD89" i="1"/>
  <c r="BL89" i="1"/>
  <c r="CF89" i="1"/>
  <c r="CH89" i="1"/>
  <c r="CJ89" i="1"/>
  <c r="CN89" i="1"/>
  <c r="CP89" i="1"/>
  <c r="CR89" i="1"/>
  <c r="AX111" i="1"/>
  <c r="AZ111" i="1"/>
  <c r="BD111" i="1"/>
  <c r="BL111" i="1"/>
  <c r="CF111" i="1"/>
  <c r="CH111" i="1"/>
  <c r="CJ111" i="1"/>
  <c r="CN111" i="1"/>
  <c r="CP111" i="1"/>
  <c r="CR111" i="1"/>
  <c r="AX104" i="1"/>
  <c r="AZ104" i="1"/>
  <c r="BD104" i="1"/>
  <c r="BL104" i="1"/>
  <c r="CF104" i="1"/>
  <c r="CH104" i="1"/>
  <c r="CJ104" i="1"/>
  <c r="CN104" i="1"/>
  <c r="CP104" i="1"/>
  <c r="CR104" i="1"/>
  <c r="AX107" i="1"/>
  <c r="AZ107" i="1"/>
  <c r="BD107" i="1"/>
  <c r="BL107" i="1"/>
  <c r="CF107" i="1"/>
  <c r="CH107" i="1"/>
  <c r="CJ107" i="1"/>
  <c r="CN107" i="1"/>
  <c r="CP107" i="1"/>
  <c r="CR107" i="1"/>
  <c r="AX97" i="1"/>
  <c r="AZ97" i="1"/>
  <c r="BD97" i="1"/>
  <c r="BL97" i="1"/>
  <c r="CF97" i="1"/>
  <c r="CH97" i="1"/>
  <c r="CJ97" i="1"/>
  <c r="CN97" i="1"/>
  <c r="CP97" i="1"/>
  <c r="CR97" i="1"/>
  <c r="AX106" i="1"/>
  <c r="AZ106" i="1"/>
  <c r="BD106" i="1"/>
  <c r="BL106" i="1"/>
  <c r="CF106" i="1"/>
  <c r="CH106" i="1"/>
  <c r="CJ106" i="1"/>
  <c r="CN106" i="1"/>
  <c r="CP106" i="1"/>
  <c r="CR106" i="1"/>
  <c r="AX105" i="1"/>
  <c r="AZ105" i="1"/>
  <c r="BD105" i="1"/>
  <c r="BL105" i="1"/>
  <c r="CF105" i="1"/>
  <c r="CH105" i="1"/>
  <c r="CJ105" i="1"/>
  <c r="CN105" i="1"/>
  <c r="CP105" i="1"/>
  <c r="CR105" i="1"/>
  <c r="AX26" i="1"/>
  <c r="BD26" i="1"/>
  <c r="BL26" i="1"/>
  <c r="CF26" i="1"/>
  <c r="CH26" i="1"/>
  <c r="CJ26" i="1"/>
  <c r="CN26" i="1"/>
  <c r="CP26" i="1"/>
  <c r="CR26" i="1"/>
  <c r="AX128" i="1"/>
  <c r="AZ128" i="1"/>
  <c r="BD128" i="1"/>
  <c r="BL128" i="1"/>
  <c r="CF128" i="1"/>
  <c r="CH128" i="1"/>
  <c r="CJ128" i="1"/>
  <c r="CN128" i="1"/>
  <c r="CP128" i="1"/>
  <c r="CR128" i="1"/>
  <c r="AX123" i="1"/>
  <c r="AZ123" i="1"/>
  <c r="BD123" i="1"/>
  <c r="BL123" i="1"/>
  <c r="CF123" i="1"/>
  <c r="CH123" i="1"/>
  <c r="CJ123" i="1"/>
  <c r="CN123" i="1"/>
  <c r="CP123" i="1"/>
  <c r="CR123" i="1"/>
  <c r="AX114" i="1"/>
  <c r="AZ114" i="1"/>
  <c r="BD114" i="1"/>
  <c r="BL114" i="1"/>
  <c r="CF114" i="1"/>
  <c r="CH114" i="1"/>
  <c r="CJ114" i="1"/>
  <c r="CN114" i="1"/>
  <c r="CP114" i="1"/>
  <c r="CR114" i="1"/>
  <c r="AX119" i="1"/>
  <c r="AZ119" i="1"/>
  <c r="BD119" i="1"/>
  <c r="BL119" i="1"/>
  <c r="CF119" i="1"/>
  <c r="CH119" i="1"/>
  <c r="CJ119" i="1"/>
  <c r="CN119" i="1"/>
  <c r="CP119" i="1"/>
  <c r="CR119" i="1"/>
  <c r="AX118" i="1"/>
  <c r="AZ118" i="1"/>
  <c r="BD118" i="1"/>
  <c r="BL118" i="1"/>
  <c r="CF118" i="1"/>
  <c r="CH118" i="1"/>
  <c r="CJ118" i="1"/>
  <c r="CN118" i="1"/>
  <c r="CP118" i="1"/>
  <c r="CR118" i="1"/>
  <c r="AX120" i="1"/>
  <c r="AZ120" i="1"/>
  <c r="BD120" i="1"/>
  <c r="BL120" i="1"/>
  <c r="CF120" i="1"/>
  <c r="CH120" i="1"/>
  <c r="CJ120" i="1"/>
  <c r="CN120" i="1"/>
  <c r="CP120" i="1"/>
  <c r="CR120" i="1"/>
  <c r="AX124" i="1"/>
  <c r="AZ124" i="1"/>
  <c r="BD124" i="1"/>
  <c r="BL124" i="1"/>
  <c r="CF124" i="1"/>
  <c r="CH124" i="1"/>
  <c r="CJ124" i="1"/>
  <c r="CN124" i="1"/>
  <c r="CP124" i="1"/>
  <c r="CR124" i="1"/>
  <c r="AX115" i="1"/>
  <c r="AZ115" i="1"/>
  <c r="BD115" i="1"/>
  <c r="BL115" i="1"/>
  <c r="CF115" i="1"/>
  <c r="CH115" i="1"/>
  <c r="CJ115" i="1"/>
  <c r="CN115" i="1"/>
  <c r="CP115" i="1"/>
  <c r="CR115" i="1"/>
  <c r="AX116" i="1"/>
  <c r="AZ116" i="1"/>
  <c r="BD116" i="1"/>
  <c r="BL116" i="1"/>
  <c r="CF116" i="1"/>
  <c r="CH116" i="1"/>
  <c r="CJ116" i="1"/>
  <c r="CN116" i="1"/>
  <c r="CP116" i="1"/>
  <c r="CR116" i="1"/>
  <c r="AX112" i="1"/>
  <c r="AZ112" i="1"/>
  <c r="BD112" i="1"/>
  <c r="BL112" i="1"/>
  <c r="CF112" i="1"/>
  <c r="CH112" i="1"/>
  <c r="CJ112" i="1"/>
  <c r="CN112" i="1"/>
  <c r="CP112" i="1"/>
  <c r="CR112" i="1"/>
  <c r="AX127" i="1"/>
  <c r="AZ127" i="1"/>
  <c r="BD127" i="1"/>
  <c r="BL127" i="1"/>
  <c r="CF127" i="1"/>
  <c r="CH127" i="1"/>
  <c r="CJ127" i="1"/>
  <c r="CN127" i="1"/>
  <c r="CP127" i="1"/>
  <c r="CR127" i="1"/>
  <c r="AX117" i="1"/>
  <c r="AZ117" i="1"/>
  <c r="BD117" i="1"/>
  <c r="BL117" i="1"/>
  <c r="CF117" i="1"/>
  <c r="CH117" i="1"/>
  <c r="CJ117" i="1"/>
  <c r="CN117" i="1"/>
  <c r="CP117" i="1"/>
  <c r="CR117" i="1"/>
  <c r="AX126" i="1"/>
  <c r="AZ126" i="1"/>
  <c r="BD126" i="1"/>
  <c r="BL126" i="1"/>
  <c r="CF126" i="1"/>
  <c r="CH126" i="1"/>
  <c r="CJ126" i="1"/>
  <c r="CN126" i="1"/>
  <c r="CP126" i="1"/>
  <c r="CR126" i="1"/>
  <c r="AX125" i="1"/>
  <c r="AZ125" i="1"/>
  <c r="BD125" i="1"/>
  <c r="BL125" i="1"/>
  <c r="CF125" i="1"/>
  <c r="CH125" i="1"/>
  <c r="CJ125" i="1"/>
  <c r="CN125" i="1"/>
  <c r="CP125" i="1"/>
  <c r="CR125" i="1"/>
  <c r="AX122" i="1"/>
  <c r="AZ122" i="1"/>
  <c r="BD122" i="1"/>
  <c r="BL122" i="1"/>
  <c r="CF122" i="1"/>
  <c r="CH122" i="1"/>
  <c r="CJ122" i="1"/>
  <c r="CN122" i="1"/>
  <c r="CP122" i="1"/>
  <c r="CR122" i="1"/>
  <c r="AX129" i="1"/>
  <c r="AZ129" i="1"/>
  <c r="BD129" i="1"/>
  <c r="BL129" i="1"/>
  <c r="CF129" i="1"/>
  <c r="CH129" i="1"/>
  <c r="CJ129" i="1"/>
  <c r="CN129" i="1"/>
  <c r="CP129" i="1"/>
  <c r="CR129" i="1"/>
  <c r="AX133" i="1"/>
  <c r="AZ133" i="1"/>
  <c r="BD133" i="1"/>
  <c r="BL133" i="1"/>
  <c r="CF133" i="1"/>
  <c r="CH133" i="1"/>
  <c r="CJ133" i="1"/>
  <c r="CN133" i="1"/>
  <c r="CP133" i="1"/>
  <c r="CR133" i="1"/>
  <c r="AX134" i="1"/>
  <c r="AZ134" i="1"/>
  <c r="BD134" i="1"/>
  <c r="BL134" i="1"/>
  <c r="CF134" i="1"/>
  <c r="CH134" i="1"/>
  <c r="CJ134" i="1"/>
  <c r="CN134" i="1"/>
  <c r="CP134" i="1"/>
  <c r="CR134" i="1"/>
  <c r="AX136" i="1"/>
  <c r="AZ136" i="1"/>
  <c r="BD136" i="1"/>
  <c r="BL136" i="1"/>
  <c r="CF136" i="1"/>
  <c r="CH136" i="1"/>
  <c r="CJ136" i="1"/>
  <c r="CN136" i="1"/>
  <c r="CP136" i="1"/>
  <c r="CR136" i="1"/>
  <c r="AX135" i="1"/>
  <c r="AZ135" i="1"/>
  <c r="BD135" i="1"/>
  <c r="BL135" i="1"/>
  <c r="CF135" i="1"/>
  <c r="CH135" i="1"/>
  <c r="CJ135" i="1"/>
  <c r="CN135" i="1"/>
  <c r="CP135" i="1"/>
  <c r="CR135" i="1"/>
  <c r="AX138" i="1"/>
  <c r="AZ138" i="1"/>
  <c r="BD138" i="1"/>
  <c r="BL138" i="1"/>
  <c r="CF138" i="1"/>
  <c r="CH138" i="1"/>
  <c r="CJ138" i="1"/>
  <c r="CN138" i="1"/>
  <c r="CP138" i="1"/>
  <c r="CR138" i="1"/>
  <c r="AX137" i="1"/>
  <c r="AZ137" i="1"/>
  <c r="BD137" i="1"/>
  <c r="BL137" i="1"/>
  <c r="CF137" i="1"/>
  <c r="CH137" i="1"/>
  <c r="CJ137" i="1"/>
  <c r="CN137" i="1"/>
  <c r="CP137" i="1"/>
  <c r="CR137" i="1"/>
  <c r="AX132" i="1"/>
  <c r="AZ132" i="1"/>
  <c r="BD132" i="1"/>
  <c r="BL132" i="1"/>
  <c r="CF132" i="1"/>
  <c r="CH132" i="1"/>
  <c r="CJ132" i="1"/>
  <c r="CN132" i="1"/>
  <c r="CP132" i="1"/>
  <c r="CR132" i="1"/>
  <c r="AX121" i="1"/>
  <c r="AZ121" i="1"/>
  <c r="BD121" i="1"/>
  <c r="BL121" i="1"/>
  <c r="CF121" i="1"/>
  <c r="CH121" i="1"/>
  <c r="CJ121" i="1"/>
  <c r="CN121" i="1"/>
  <c r="CP121" i="1"/>
  <c r="CR121" i="1"/>
  <c r="AX130" i="1"/>
  <c r="AZ130" i="1"/>
  <c r="BD130" i="1"/>
  <c r="BL130" i="1"/>
  <c r="CF130" i="1"/>
  <c r="CH130" i="1"/>
  <c r="CJ130" i="1"/>
  <c r="CN130" i="1"/>
  <c r="CP130" i="1"/>
  <c r="CR130" i="1"/>
  <c r="AX131" i="1"/>
  <c r="AZ131" i="1"/>
  <c r="BD131" i="1"/>
  <c r="BL131" i="1"/>
  <c r="CF131" i="1"/>
  <c r="CH131" i="1"/>
  <c r="CJ131" i="1"/>
  <c r="CN131" i="1"/>
  <c r="CP131" i="1"/>
  <c r="CR131" i="1"/>
  <c r="AX140" i="1"/>
  <c r="AZ140" i="1"/>
  <c r="BD140" i="1"/>
  <c r="BL140" i="1"/>
  <c r="CF140" i="1"/>
  <c r="CH140" i="1"/>
  <c r="CJ140" i="1"/>
  <c r="CN140" i="1"/>
  <c r="CP140" i="1"/>
  <c r="CR140" i="1"/>
  <c r="AX139" i="1"/>
  <c r="AZ139" i="1"/>
  <c r="BD139" i="1"/>
  <c r="BL139" i="1"/>
  <c r="CF139" i="1"/>
  <c r="CH139" i="1"/>
  <c r="CJ139" i="1"/>
  <c r="CN139" i="1"/>
  <c r="CP139" i="1"/>
  <c r="CR139" i="1"/>
  <c r="CW3" i="1"/>
  <c r="CY3" i="1"/>
  <c r="DC3" i="1"/>
  <c r="CW4" i="1"/>
  <c r="CY4" i="1"/>
  <c r="DC4" i="1"/>
  <c r="CW5" i="1"/>
  <c r="CY5" i="1"/>
  <c r="DC5" i="1"/>
  <c r="CW9" i="1"/>
  <c r="CY9" i="1"/>
  <c r="DC9" i="1"/>
  <c r="CW11" i="1"/>
  <c r="CY11" i="1"/>
  <c r="DC11" i="1"/>
  <c r="CW10" i="1"/>
  <c r="CY10" i="1"/>
  <c r="DC10" i="1"/>
  <c r="CW8" i="1"/>
  <c r="CY8" i="1"/>
  <c r="DC8" i="1"/>
  <c r="CW12" i="1"/>
  <c r="CY12" i="1"/>
  <c r="DC12" i="1"/>
  <c r="CW14" i="1"/>
  <c r="CY14" i="1"/>
  <c r="DC14" i="1"/>
  <c r="CW16" i="1"/>
  <c r="CY16" i="1"/>
  <c r="DC16" i="1"/>
  <c r="CW19" i="1"/>
  <c r="CY19" i="1"/>
  <c r="DC19" i="1"/>
  <c r="CW18" i="1"/>
  <c r="CY18" i="1"/>
  <c r="DC18" i="1"/>
  <c r="CW13" i="1"/>
  <c r="CY13" i="1"/>
  <c r="DC13" i="1"/>
  <c r="CW6" i="1"/>
  <c r="CY6" i="1"/>
  <c r="DC6" i="1"/>
  <c r="CW7" i="1"/>
  <c r="CY7" i="1"/>
  <c r="DC7" i="1"/>
  <c r="CW17" i="1"/>
  <c r="CY17" i="1"/>
  <c r="DC17" i="1"/>
  <c r="CW15" i="1"/>
  <c r="CY15" i="1"/>
  <c r="DC15" i="1"/>
  <c r="CW21" i="1"/>
  <c r="CY21" i="1"/>
  <c r="DC21" i="1"/>
  <c r="CW20" i="1"/>
  <c r="CY20" i="1"/>
  <c r="DC20" i="1"/>
  <c r="CW27" i="1"/>
  <c r="CY27" i="1"/>
  <c r="DC27" i="1"/>
  <c r="CW23" i="1"/>
  <c r="CY23" i="1"/>
  <c r="DC23" i="1"/>
  <c r="CW22" i="1"/>
  <c r="CY22" i="1"/>
  <c r="DC22" i="1"/>
  <c r="CW24" i="1"/>
  <c r="CY24" i="1"/>
  <c r="DC24" i="1"/>
  <c r="CW31" i="1"/>
  <c r="CY31" i="1"/>
  <c r="DC31" i="1"/>
  <c r="CW28" i="1"/>
  <c r="CY28" i="1"/>
  <c r="DC28" i="1"/>
  <c r="CW38" i="1"/>
  <c r="CY38" i="1"/>
  <c r="DC38" i="1"/>
  <c r="CW37" i="1"/>
  <c r="CY37" i="1"/>
  <c r="DC37" i="1"/>
  <c r="CW32" i="1"/>
  <c r="CY32" i="1"/>
  <c r="DC32" i="1"/>
  <c r="CW30" i="1"/>
  <c r="CY30" i="1"/>
  <c r="DC30" i="1"/>
  <c r="CW39" i="1"/>
  <c r="CY39" i="1"/>
  <c r="DC39" i="1"/>
  <c r="CW35" i="1"/>
  <c r="CY35" i="1"/>
  <c r="DC35" i="1"/>
  <c r="CW40" i="1"/>
  <c r="CY40" i="1"/>
  <c r="DC40" i="1"/>
  <c r="CW36" i="1"/>
  <c r="CY36" i="1"/>
  <c r="DC36" i="1"/>
  <c r="CW42" i="1"/>
  <c r="CY42" i="1"/>
  <c r="DC42" i="1"/>
  <c r="CW29" i="1"/>
  <c r="CY29" i="1"/>
  <c r="DC29" i="1"/>
  <c r="CW34" i="1"/>
  <c r="CY34" i="1"/>
  <c r="DC34" i="1"/>
  <c r="CW47" i="1"/>
  <c r="CY47" i="1"/>
  <c r="DC47" i="1"/>
  <c r="CW41" i="1"/>
  <c r="CY41" i="1"/>
  <c r="DC41" i="1"/>
  <c r="CW46" i="1"/>
  <c r="CY46" i="1"/>
  <c r="DC46" i="1"/>
  <c r="CW33" i="1"/>
  <c r="CY33" i="1"/>
  <c r="DC33" i="1"/>
  <c r="CW45" i="1"/>
  <c r="CY45" i="1"/>
  <c r="DC45" i="1"/>
  <c r="CW44" i="1"/>
  <c r="CY44" i="1"/>
  <c r="DC44" i="1"/>
  <c r="CW43" i="1"/>
  <c r="CY43" i="1"/>
  <c r="DC43" i="1"/>
  <c r="CW25" i="1"/>
  <c r="CY25" i="1"/>
  <c r="DC25" i="1"/>
  <c r="CW56" i="1"/>
  <c r="CY56" i="1"/>
  <c r="DC56" i="1"/>
  <c r="CW57" i="1"/>
  <c r="CY57" i="1"/>
  <c r="DC57" i="1"/>
  <c r="CW59" i="1"/>
  <c r="CY59" i="1"/>
  <c r="DC59" i="1"/>
  <c r="CW61" i="1"/>
  <c r="CY61" i="1"/>
  <c r="DC61" i="1"/>
  <c r="CW48" i="1"/>
  <c r="CY48" i="1"/>
  <c r="DC48" i="1"/>
  <c r="CW53" i="1"/>
  <c r="CY53" i="1"/>
  <c r="DC53" i="1"/>
  <c r="CW49" i="1"/>
  <c r="CY49" i="1"/>
  <c r="DC49" i="1"/>
  <c r="CW51" i="1"/>
  <c r="CY51" i="1"/>
  <c r="DC51" i="1"/>
  <c r="CW52" i="1"/>
  <c r="CY52" i="1"/>
  <c r="DC52" i="1"/>
  <c r="CW55" i="1"/>
  <c r="CY55" i="1"/>
  <c r="DC55" i="1"/>
  <c r="CW65" i="1"/>
  <c r="CY65" i="1"/>
  <c r="DC65" i="1"/>
  <c r="CW66" i="1"/>
  <c r="CY66" i="1"/>
  <c r="DC66" i="1"/>
  <c r="CW62" i="1"/>
  <c r="CY62" i="1"/>
  <c r="DC62" i="1"/>
  <c r="CW68" i="1"/>
  <c r="CY68" i="1"/>
  <c r="DC68" i="1"/>
  <c r="CW50" i="1"/>
  <c r="CY50" i="1"/>
  <c r="DC50" i="1"/>
  <c r="CW54" i="1"/>
  <c r="CY54" i="1"/>
  <c r="DC54" i="1"/>
  <c r="CW63" i="1"/>
  <c r="CY63" i="1"/>
  <c r="DC63" i="1"/>
  <c r="CW60" i="1"/>
  <c r="CY60" i="1"/>
  <c r="DC60" i="1"/>
  <c r="CW71" i="1"/>
  <c r="CY71" i="1"/>
  <c r="DC71" i="1"/>
  <c r="CW67" i="1"/>
  <c r="CY67" i="1"/>
  <c r="DC67" i="1"/>
  <c r="CW72" i="1"/>
  <c r="CY72" i="1"/>
  <c r="DC72" i="1"/>
  <c r="CW70" i="1"/>
  <c r="CY70" i="1"/>
  <c r="DC70" i="1"/>
  <c r="CW73" i="1"/>
  <c r="CY73" i="1"/>
  <c r="DC73" i="1"/>
  <c r="CW87" i="1"/>
  <c r="CY87" i="1"/>
  <c r="DC87" i="1"/>
  <c r="CW76" i="1"/>
  <c r="CY76" i="1"/>
  <c r="DC76" i="1"/>
  <c r="CW74" i="1"/>
  <c r="CY74" i="1"/>
  <c r="DC74" i="1"/>
  <c r="CW75" i="1"/>
  <c r="CY75" i="1"/>
  <c r="DC75" i="1"/>
  <c r="CW69" i="1"/>
  <c r="CY69" i="1"/>
  <c r="DC69" i="1"/>
  <c r="CW77" i="1"/>
  <c r="CY77" i="1"/>
  <c r="DC77" i="1"/>
  <c r="CW64" i="1"/>
  <c r="CY64" i="1"/>
  <c r="DC64" i="1"/>
  <c r="CW58" i="1"/>
  <c r="CY58" i="1"/>
  <c r="DC58" i="1"/>
  <c r="CW84" i="1"/>
  <c r="CY84" i="1"/>
  <c r="DC84" i="1"/>
  <c r="CW88" i="1"/>
  <c r="CY88" i="1"/>
  <c r="DC88" i="1"/>
  <c r="CW83" i="1"/>
  <c r="CY83" i="1"/>
  <c r="DC83" i="1"/>
  <c r="CW78" i="1"/>
  <c r="CY78" i="1"/>
  <c r="DC78" i="1"/>
  <c r="CW80" i="1"/>
  <c r="CY80" i="1"/>
  <c r="DC80" i="1"/>
  <c r="CW82" i="1"/>
  <c r="CY82" i="1"/>
  <c r="DC82" i="1"/>
  <c r="CW79" i="1"/>
  <c r="CY79" i="1"/>
  <c r="DC79" i="1"/>
  <c r="CW86" i="1"/>
  <c r="CY86" i="1"/>
  <c r="DC86" i="1"/>
  <c r="CW85" i="1"/>
  <c r="CY85" i="1"/>
  <c r="DC85" i="1"/>
  <c r="CW90" i="1"/>
  <c r="CY90" i="1"/>
  <c r="DC90" i="1"/>
  <c r="CW91" i="1"/>
  <c r="CY91" i="1"/>
  <c r="DC91" i="1"/>
  <c r="CW110" i="1"/>
  <c r="CY110" i="1"/>
  <c r="DC110" i="1"/>
  <c r="CW108" i="1"/>
  <c r="CY108" i="1"/>
  <c r="DC108" i="1"/>
  <c r="CW94" i="1"/>
  <c r="CY94" i="1"/>
  <c r="DC94" i="1"/>
  <c r="CW93" i="1"/>
  <c r="CY93" i="1"/>
  <c r="DC93" i="1"/>
  <c r="CW95" i="1"/>
  <c r="CY95" i="1"/>
  <c r="DC95" i="1"/>
  <c r="CW81" i="1"/>
  <c r="CY81" i="1"/>
  <c r="DC81" i="1"/>
  <c r="CW103" i="1"/>
  <c r="CY103" i="1"/>
  <c r="DC103" i="1"/>
  <c r="CW101" i="1"/>
  <c r="CY101" i="1"/>
  <c r="DC101" i="1"/>
  <c r="CW98" i="1"/>
  <c r="CY98" i="1"/>
  <c r="DC98" i="1"/>
  <c r="CW99" i="1"/>
  <c r="CY99" i="1"/>
  <c r="DC99" i="1"/>
  <c r="CW100" i="1"/>
  <c r="CY100" i="1"/>
  <c r="DC100" i="1"/>
  <c r="CW102" i="1"/>
  <c r="CY102" i="1"/>
  <c r="DC102" i="1"/>
  <c r="CW96" i="1"/>
  <c r="CY96" i="1"/>
  <c r="DC96" i="1"/>
  <c r="CW113" i="1"/>
  <c r="CY113" i="1"/>
  <c r="DC113" i="1"/>
  <c r="CW92" i="1"/>
  <c r="CY92" i="1"/>
  <c r="DC92" i="1"/>
  <c r="CW89" i="1"/>
  <c r="CY89" i="1"/>
  <c r="DC89" i="1"/>
  <c r="CW111" i="1"/>
  <c r="CY111" i="1"/>
  <c r="DC111" i="1"/>
  <c r="CW104" i="1"/>
  <c r="CY104" i="1"/>
  <c r="DC104" i="1"/>
  <c r="CW107" i="1"/>
  <c r="CY107" i="1"/>
  <c r="DC107" i="1"/>
  <c r="CW97" i="1"/>
  <c r="CY97" i="1"/>
  <c r="DC97" i="1"/>
  <c r="CW106" i="1"/>
  <c r="CY106" i="1"/>
  <c r="DC106" i="1"/>
  <c r="CW105" i="1"/>
  <c r="CY105" i="1"/>
  <c r="DC105" i="1"/>
  <c r="CW26" i="1"/>
  <c r="CW128" i="1"/>
  <c r="CY128" i="1"/>
  <c r="DC128" i="1"/>
  <c r="CW123" i="1"/>
  <c r="CY123" i="1"/>
  <c r="DC123" i="1"/>
  <c r="CW114" i="1"/>
  <c r="CY114" i="1"/>
  <c r="DC114" i="1"/>
  <c r="CW119" i="1"/>
  <c r="CY119" i="1"/>
  <c r="DC119" i="1"/>
  <c r="CW118" i="1"/>
  <c r="CY118" i="1"/>
  <c r="DC118" i="1"/>
  <c r="CW120" i="1"/>
  <c r="CY120" i="1"/>
  <c r="DC120" i="1"/>
  <c r="CW124" i="1"/>
  <c r="CY124" i="1"/>
  <c r="DC124" i="1"/>
  <c r="CW115" i="1"/>
  <c r="CY115" i="1"/>
  <c r="DC115" i="1"/>
  <c r="CW116" i="1"/>
  <c r="CY116" i="1"/>
  <c r="DC116" i="1"/>
  <c r="CW112" i="1"/>
  <c r="CY112" i="1"/>
  <c r="DC112" i="1"/>
  <c r="CW127" i="1"/>
  <c r="CY127" i="1"/>
  <c r="DC127" i="1"/>
  <c r="CW117" i="1"/>
  <c r="CY117" i="1"/>
  <c r="DC117" i="1"/>
  <c r="CW126" i="1"/>
  <c r="CY126" i="1"/>
  <c r="DC126" i="1"/>
  <c r="CW125" i="1"/>
  <c r="CY125" i="1"/>
  <c r="DC125" i="1"/>
  <c r="CW122" i="1"/>
  <c r="CY122" i="1"/>
  <c r="DC122" i="1"/>
  <c r="CW129" i="1"/>
  <c r="CY129" i="1"/>
  <c r="DC129" i="1"/>
  <c r="CW133" i="1"/>
  <c r="CY133" i="1"/>
  <c r="DC133" i="1"/>
  <c r="CW134" i="1"/>
  <c r="CY134" i="1"/>
  <c r="DC134" i="1"/>
  <c r="CW136" i="1"/>
  <c r="CY136" i="1"/>
  <c r="DC136" i="1"/>
  <c r="CW135" i="1"/>
  <c r="CY135" i="1"/>
  <c r="DC135" i="1"/>
  <c r="CW138" i="1"/>
  <c r="CY138" i="1"/>
  <c r="DC138" i="1"/>
  <c r="CW137" i="1"/>
  <c r="CY137" i="1"/>
  <c r="DC137" i="1"/>
  <c r="CW132" i="1"/>
  <c r="CY132" i="1"/>
  <c r="DC132" i="1"/>
  <c r="CW121" i="1"/>
  <c r="CY121" i="1"/>
  <c r="DC121" i="1"/>
  <c r="CW130" i="1"/>
  <c r="CY130" i="1"/>
  <c r="DC130" i="1"/>
  <c r="CW131" i="1"/>
  <c r="CY131" i="1"/>
  <c r="DC131" i="1"/>
  <c r="CW140" i="1"/>
  <c r="CY140" i="1"/>
  <c r="DC140" i="1"/>
  <c r="CW139" i="1"/>
  <c r="CY139" i="1"/>
  <c r="DC139" i="1"/>
  <c r="CP3917" i="1" l="1"/>
  <c r="CF3917" i="1"/>
  <c r="AX3917" i="1"/>
  <c r="DC3917" i="1"/>
  <c r="CN3917" i="1"/>
  <c r="BL3917" i="1"/>
  <c r="CJ3917" i="1"/>
  <c r="CY3917" i="1"/>
  <c r="BD3917" i="1"/>
  <c r="CW3917" i="1"/>
  <c r="CR3917" i="1"/>
  <c r="CH3917" i="1"/>
  <c r="AZ3917" i="1"/>
  <c r="AD182" i="1"/>
  <c r="Z140" i="1"/>
  <c r="Z130" i="1"/>
  <c r="Z132" i="1"/>
  <c r="Z138" i="1"/>
  <c r="Z136" i="1"/>
  <c r="Z134" i="1"/>
  <c r="Z129" i="1"/>
  <c r="Z125" i="1"/>
  <c r="Z117" i="1"/>
  <c r="Z127" i="1"/>
  <c r="Z116" i="1"/>
  <c r="Z124" i="1"/>
  <c r="Z118" i="1"/>
  <c r="Z114" i="1"/>
  <c r="Z123" i="1"/>
  <c r="Z26" i="1"/>
  <c r="Z106" i="1"/>
  <c r="Z97" i="1"/>
  <c r="Z104" i="1"/>
  <c r="Z89" i="1"/>
  <c r="Z113" i="1"/>
  <c r="Z96" i="1"/>
  <c r="Z100" i="1"/>
  <c r="Z99" i="1"/>
  <c r="Z101" i="1"/>
  <c r="Z81" i="1"/>
  <c r="Z93" i="1"/>
  <c r="Z108" i="1"/>
  <c r="Z110" i="1"/>
  <c r="Z90" i="1"/>
  <c r="Z86" i="1"/>
  <c r="Z79" i="1"/>
  <c r="Z80" i="1"/>
  <c r="Z83" i="1"/>
  <c r="Z84" i="1"/>
  <c r="Z58" i="1"/>
  <c r="Z77" i="1"/>
  <c r="Z69" i="1"/>
  <c r="Z74" i="1"/>
  <c r="Z87" i="1"/>
  <c r="Z73" i="1"/>
  <c r="Z72" i="1"/>
  <c r="Z71" i="1"/>
  <c r="Z63" i="1"/>
  <c r="Z54" i="1"/>
  <c r="Z68" i="1"/>
  <c r="Z62" i="1"/>
  <c r="Z65" i="1"/>
  <c r="Z55" i="1"/>
  <c r="Z51" i="1"/>
  <c r="Z49" i="1"/>
  <c r="Z48" i="1"/>
  <c r="Z61" i="1"/>
  <c r="Z57" i="1"/>
  <c r="Z56" i="1"/>
  <c r="Z43" i="1"/>
  <c r="Z44" i="1"/>
  <c r="Z33" i="1"/>
  <c r="Z46" i="1"/>
  <c r="Z47" i="1"/>
  <c r="Z34" i="1"/>
  <c r="Z42" i="1"/>
  <c r="Z36" i="1"/>
  <c r="Z35" i="1"/>
  <c r="Z39" i="1"/>
  <c r="Z32" i="1"/>
  <c r="Z37" i="1"/>
  <c r="Z28" i="1"/>
  <c r="Z31" i="1"/>
  <c r="Z22" i="1"/>
  <c r="Z23" i="1"/>
  <c r="Z20" i="1"/>
  <c r="Z21" i="1"/>
  <c r="Z17" i="1"/>
  <c r="Z6" i="1"/>
  <c r="Z13" i="1"/>
  <c r="Z19" i="1"/>
  <c r="Z16" i="1"/>
  <c r="Z12" i="1"/>
  <c r="Z10" i="1"/>
  <c r="Z9" i="1"/>
  <c r="Z4" i="1"/>
  <c r="Z139" i="1"/>
  <c r="Z131" i="1"/>
  <c r="Z121" i="1"/>
  <c r="Z137" i="1"/>
  <c r="Z135" i="1"/>
  <c r="Z133" i="1"/>
  <c r="Z122" i="1"/>
  <c r="Z126" i="1"/>
  <c r="Z112" i="1"/>
  <c r="Z115" i="1"/>
  <c r="Z120" i="1"/>
  <c r="Z119" i="1"/>
  <c r="Z128" i="1"/>
  <c r="Z105" i="1"/>
  <c r="Z107" i="1"/>
  <c r="Z111" i="1"/>
  <c r="Z92" i="1"/>
  <c r="Z102" i="1"/>
  <c r="Z98" i="1"/>
  <c r="Z103" i="1"/>
  <c r="Z95" i="1"/>
  <c r="Z94" i="1"/>
  <c r="Z91" i="1"/>
  <c r="Z85" i="1"/>
  <c r="Z82" i="1"/>
  <c r="Z78" i="1"/>
  <c r="Z88" i="1"/>
  <c r="Z64" i="1"/>
  <c r="Z75" i="1"/>
  <c r="Z76" i="1"/>
  <c r="Z70" i="1"/>
  <c r="Z67" i="1"/>
  <c r="Z60" i="1"/>
  <c r="Z50" i="1"/>
  <c r="Z66" i="1"/>
  <c r="Z52" i="1"/>
  <c r="Z53" i="1"/>
  <c r="Z59" i="1"/>
  <c r="Z25" i="1"/>
  <c r="Z45" i="1"/>
  <c r="Z41" i="1"/>
  <c r="Z29" i="1"/>
  <c r="Z40" i="1"/>
  <c r="Z30" i="1"/>
  <c r="Z38" i="1"/>
  <c r="Z24" i="1"/>
  <c r="Z27" i="1"/>
  <c r="Z15" i="1"/>
  <c r="Z7" i="1"/>
  <c r="Z18" i="1"/>
  <c r="Z14" i="1"/>
  <c r="Z8" i="1"/>
  <c r="Z11" i="1"/>
  <c r="Z5" i="1"/>
  <c r="Z3" i="1"/>
  <c r="AD144" i="1"/>
  <c r="AD180" i="1"/>
  <c r="AD146" i="1"/>
  <c r="AD281" i="1"/>
  <c r="AD170" i="1"/>
  <c r="AD198" i="1"/>
  <c r="AD185" i="1"/>
  <c r="AD141" i="1"/>
  <c r="AD200" i="1"/>
  <c r="AD186" i="1"/>
  <c r="AD168" i="1"/>
  <c r="AD190" i="1"/>
  <c r="AD189" i="1"/>
  <c r="AD165" i="1"/>
  <c r="AD176" i="1"/>
  <c r="AD192" i="1"/>
  <c r="AD183" i="1"/>
  <c r="AD196" i="1"/>
  <c r="AD184" i="1"/>
  <c r="AD203" i="1"/>
  <c r="AD173" i="1"/>
  <c r="AD202" i="1"/>
  <c r="AD174" i="1"/>
  <c r="AD151" i="1"/>
  <c r="AD179" i="1"/>
  <c r="AD162" i="1"/>
  <c r="AD167" i="1"/>
  <c r="AD201" i="1"/>
  <c r="AD194" i="1"/>
  <c r="AD153" i="1"/>
  <c r="AD223" i="1"/>
  <c r="AD197" i="1"/>
  <c r="AD221" i="1"/>
  <c r="AD166" i="1"/>
  <c r="AD177" i="1"/>
  <c r="AD175" i="1"/>
  <c r="AD225" i="1"/>
  <c r="AD158" i="1"/>
  <c r="AD143" i="1"/>
  <c r="AD161" i="1"/>
  <c r="AD172" i="1"/>
  <c r="AD188" i="1"/>
  <c r="AD148" i="1"/>
  <c r="AD152" i="1"/>
  <c r="AD155" i="1"/>
  <c r="AD157" i="1"/>
  <c r="AD169" i="1"/>
  <c r="AD193" i="1"/>
  <c r="AD224" i="1"/>
  <c r="AD149" i="1"/>
  <c r="AD154" i="1"/>
  <c r="AD142" i="1"/>
  <c r="AD156" i="1"/>
  <c r="AD109" i="1"/>
  <c r="AD164" i="1"/>
  <c r="AD181" i="1"/>
  <c r="AD195" i="1"/>
  <c r="AD199" i="1"/>
  <c r="AD163" i="1"/>
  <c r="AD187" i="1"/>
  <c r="AD191" i="1"/>
  <c r="AD178" i="1"/>
  <c r="AD171" i="1"/>
  <c r="AD147" i="1"/>
  <c r="AD222" i="1"/>
  <c r="AD160" i="1"/>
  <c r="AD159" i="1"/>
  <c r="Z3917" i="1" l="1"/>
  <c r="I26" i="1"/>
  <c r="I3917" i="1" s="1"/>
  <c r="CU133" i="1" l="1"/>
  <c r="X133" i="1" s="1"/>
  <c r="CU129" i="1"/>
  <c r="X129" i="1" s="1"/>
  <c r="CU122" i="1"/>
  <c r="X122" i="1" s="1"/>
  <c r="CU125" i="1"/>
  <c r="X125" i="1" s="1"/>
  <c r="CU126" i="1"/>
  <c r="X126" i="1" s="1"/>
  <c r="CU117" i="1"/>
  <c r="X117" i="1" s="1"/>
  <c r="CU127" i="1"/>
  <c r="X127" i="1" s="1"/>
  <c r="CU112" i="1"/>
  <c r="X112" i="1" s="1"/>
  <c r="CU116" i="1"/>
  <c r="X116" i="1" s="1"/>
  <c r="CU115" i="1"/>
  <c r="X115" i="1" s="1"/>
  <c r="CU124" i="1"/>
  <c r="X124" i="1" s="1"/>
  <c r="CU120" i="1"/>
  <c r="X120" i="1" s="1"/>
  <c r="CU118" i="1"/>
  <c r="X118" i="1" s="1"/>
  <c r="CU119" i="1"/>
  <c r="X119" i="1" s="1"/>
  <c r="CU114" i="1"/>
  <c r="X114" i="1" s="1"/>
  <c r="CU123" i="1"/>
  <c r="X123" i="1" s="1"/>
  <c r="CU128" i="1"/>
  <c r="X128" i="1" s="1"/>
  <c r="CU26" i="1"/>
  <c r="X26" i="1" s="1"/>
  <c r="CU105" i="1"/>
  <c r="X105" i="1" s="1"/>
  <c r="CU106" i="1"/>
  <c r="X106" i="1" s="1"/>
  <c r="CU97" i="1"/>
  <c r="X97" i="1" s="1"/>
  <c r="CU107" i="1"/>
  <c r="X107" i="1" s="1"/>
  <c r="CU104" i="1"/>
  <c r="X104" i="1" s="1"/>
  <c r="CU111" i="1"/>
  <c r="X111" i="1" s="1"/>
  <c r="CU89" i="1"/>
  <c r="X89" i="1" s="1"/>
  <c r="CU92" i="1"/>
  <c r="X92" i="1" s="1"/>
  <c r="CU113" i="1"/>
  <c r="X113" i="1" s="1"/>
  <c r="CU96" i="1"/>
  <c r="X96" i="1" s="1"/>
  <c r="CU102" i="1"/>
  <c r="X102" i="1" s="1"/>
  <c r="CU100" i="1"/>
  <c r="X100" i="1" s="1"/>
  <c r="CU99" i="1"/>
  <c r="X99" i="1" s="1"/>
  <c r="CU98" i="1"/>
  <c r="X98" i="1" s="1"/>
  <c r="CU101" i="1"/>
  <c r="X101" i="1" s="1"/>
  <c r="CU103" i="1"/>
  <c r="X103" i="1" s="1"/>
  <c r="CU81" i="1"/>
  <c r="X81" i="1" s="1"/>
  <c r="CU95" i="1"/>
  <c r="X95" i="1" s="1"/>
  <c r="CU93" i="1"/>
  <c r="X93" i="1" s="1"/>
  <c r="CU94" i="1"/>
  <c r="X94" i="1" s="1"/>
  <c r="CU108" i="1"/>
  <c r="X108" i="1" s="1"/>
  <c r="CU110" i="1"/>
  <c r="X110" i="1" s="1"/>
  <c r="CU91" i="1"/>
  <c r="X91" i="1" s="1"/>
  <c r="CU90" i="1"/>
  <c r="X90" i="1" s="1"/>
  <c r="AA133" i="1"/>
  <c r="Y133" i="1"/>
  <c r="AA129" i="1"/>
  <c r="Y129" i="1"/>
  <c r="AA122" i="1"/>
  <c r="Y122" i="1"/>
  <c r="AA125" i="1"/>
  <c r="Y125" i="1"/>
  <c r="AA126" i="1"/>
  <c r="Y126" i="1"/>
  <c r="AA117" i="1"/>
  <c r="Y117" i="1"/>
  <c r="AA127" i="1"/>
  <c r="Y127" i="1"/>
  <c r="AA112" i="1"/>
  <c r="Y112" i="1"/>
  <c r="AA116" i="1"/>
  <c r="Y116" i="1"/>
  <c r="AA115" i="1"/>
  <c r="Y115" i="1"/>
  <c r="AA124" i="1"/>
  <c r="Y124" i="1"/>
  <c r="AA120" i="1"/>
  <c r="Y120" i="1"/>
  <c r="AA118" i="1"/>
  <c r="Y118" i="1"/>
  <c r="AA119" i="1"/>
  <c r="Y119" i="1"/>
  <c r="AA114" i="1"/>
  <c r="Y114" i="1"/>
  <c r="AA123" i="1"/>
  <c r="Y123" i="1"/>
  <c r="AA128" i="1"/>
  <c r="Y128" i="1"/>
  <c r="AA26" i="1"/>
  <c r="Y26" i="1"/>
  <c r="AA105" i="1"/>
  <c r="Y105" i="1"/>
  <c r="AA106" i="1"/>
  <c r="Y106" i="1"/>
  <c r="AA97" i="1"/>
  <c r="Y97" i="1"/>
  <c r="AA107" i="1"/>
  <c r="Y107" i="1"/>
  <c r="AA104" i="1"/>
  <c r="Y104" i="1"/>
  <c r="AA111" i="1"/>
  <c r="Y111" i="1"/>
  <c r="AA89" i="1"/>
  <c r="Y89" i="1"/>
  <c r="AA92" i="1"/>
  <c r="Y92" i="1"/>
  <c r="AA113" i="1"/>
  <c r="Y113" i="1"/>
  <c r="AA96" i="1"/>
  <c r="Y96" i="1"/>
  <c r="AA102" i="1"/>
  <c r="Y102" i="1"/>
  <c r="AA100" i="1"/>
  <c r="Y100" i="1"/>
  <c r="AA99" i="1"/>
  <c r="Y99" i="1"/>
  <c r="AA98" i="1"/>
  <c r="Y98" i="1"/>
  <c r="AA101" i="1"/>
  <c r="Y101" i="1"/>
  <c r="AA103" i="1"/>
  <c r="Y103" i="1"/>
  <c r="AA81" i="1"/>
  <c r="Y81" i="1"/>
  <c r="AA95" i="1"/>
  <c r="Y95" i="1"/>
  <c r="AA93" i="1"/>
  <c r="Y93" i="1"/>
  <c r="AA94" i="1"/>
  <c r="Y94" i="1"/>
  <c r="AA108" i="1"/>
  <c r="Y108" i="1"/>
  <c r="AA110" i="1"/>
  <c r="Y110" i="1"/>
  <c r="AA91" i="1"/>
  <c r="Y91" i="1"/>
  <c r="AA90" i="1"/>
  <c r="Y90" i="1"/>
  <c r="CU139" i="1"/>
  <c r="X139" i="1" s="1"/>
  <c r="CU140" i="1"/>
  <c r="X140" i="1" s="1"/>
  <c r="CU131" i="1"/>
  <c r="X131" i="1" s="1"/>
  <c r="CU130" i="1"/>
  <c r="X130" i="1" s="1"/>
  <c r="CU121" i="1"/>
  <c r="X121" i="1" s="1"/>
  <c r="CU132" i="1"/>
  <c r="X132" i="1" s="1"/>
  <c r="CU137" i="1"/>
  <c r="X137" i="1" s="1"/>
  <c r="CU138" i="1"/>
  <c r="X138" i="1" s="1"/>
  <c r="CU135" i="1"/>
  <c r="X135" i="1" s="1"/>
  <c r="CU136" i="1"/>
  <c r="X136" i="1" s="1"/>
  <c r="CU134" i="1"/>
  <c r="X134" i="1" s="1"/>
  <c r="CU85" i="1"/>
  <c r="X85" i="1" s="1"/>
  <c r="CU86" i="1"/>
  <c r="X86" i="1" s="1"/>
  <c r="CU79" i="1"/>
  <c r="X79" i="1" s="1"/>
  <c r="CU82" i="1"/>
  <c r="X82" i="1" s="1"/>
  <c r="CU80" i="1"/>
  <c r="X80" i="1" s="1"/>
  <c r="CU78" i="1"/>
  <c r="X78" i="1" s="1"/>
  <c r="CU83" i="1"/>
  <c r="X83" i="1" s="1"/>
  <c r="CU88" i="1"/>
  <c r="X88" i="1" s="1"/>
  <c r="CU84" i="1"/>
  <c r="X84" i="1" s="1"/>
  <c r="CU58" i="1"/>
  <c r="X58" i="1" s="1"/>
  <c r="CU64" i="1"/>
  <c r="X64" i="1" s="1"/>
  <c r="CU77" i="1"/>
  <c r="X77" i="1" s="1"/>
  <c r="CU69" i="1"/>
  <c r="X69" i="1" s="1"/>
  <c r="CU75" i="1"/>
  <c r="X75" i="1" s="1"/>
  <c r="CU74" i="1"/>
  <c r="X74" i="1" s="1"/>
  <c r="CU76" i="1"/>
  <c r="X76" i="1" s="1"/>
  <c r="CU87" i="1"/>
  <c r="X87" i="1" s="1"/>
  <c r="AA139" i="1"/>
  <c r="Y139" i="1"/>
  <c r="AA140" i="1"/>
  <c r="Y140" i="1"/>
  <c r="AA131" i="1"/>
  <c r="Y131" i="1"/>
  <c r="AA130" i="1"/>
  <c r="Y130" i="1"/>
  <c r="AA121" i="1"/>
  <c r="Y121" i="1"/>
  <c r="AA132" i="1"/>
  <c r="Y132" i="1"/>
  <c r="AA137" i="1"/>
  <c r="Y137" i="1"/>
  <c r="AA138" i="1"/>
  <c r="Y138" i="1"/>
  <c r="AA135" i="1"/>
  <c r="Y135" i="1"/>
  <c r="AA136" i="1"/>
  <c r="Y136" i="1"/>
  <c r="AA134" i="1"/>
  <c r="Y134" i="1"/>
  <c r="AA85" i="1"/>
  <c r="Y85" i="1"/>
  <c r="AA86" i="1"/>
  <c r="Y86" i="1"/>
  <c r="AA79" i="1"/>
  <c r="Y79" i="1"/>
  <c r="AA82" i="1"/>
  <c r="Y82" i="1"/>
  <c r="AA80" i="1"/>
  <c r="Y80" i="1"/>
  <c r="AA78" i="1"/>
  <c r="Y78" i="1"/>
  <c r="AA83" i="1"/>
  <c r="Y83" i="1"/>
  <c r="AA88" i="1"/>
  <c r="Y88" i="1"/>
  <c r="AA84" i="1"/>
  <c r="Y84" i="1"/>
  <c r="AA58" i="1"/>
  <c r="Y58" i="1"/>
  <c r="AA64" i="1"/>
  <c r="Y64" i="1"/>
  <c r="AA77" i="1"/>
  <c r="Y77" i="1"/>
  <c r="AA69" i="1"/>
  <c r="Y69" i="1"/>
  <c r="AA75" i="1"/>
  <c r="Y75" i="1"/>
  <c r="AA74" i="1"/>
  <c r="Y74" i="1"/>
  <c r="AA76" i="1"/>
  <c r="Y76" i="1"/>
  <c r="AA87" i="1"/>
  <c r="Y87" i="1"/>
  <c r="CU67" i="1"/>
  <c r="X67" i="1" s="1"/>
  <c r="CU71" i="1"/>
  <c r="X71" i="1" s="1"/>
  <c r="CU60" i="1"/>
  <c r="X60" i="1" s="1"/>
  <c r="CU63" i="1"/>
  <c r="X63" i="1" s="1"/>
  <c r="CU54" i="1"/>
  <c r="X54" i="1" s="1"/>
  <c r="CU50" i="1"/>
  <c r="X50" i="1" s="1"/>
  <c r="CU68" i="1"/>
  <c r="X68" i="1" s="1"/>
  <c r="CU62" i="1"/>
  <c r="X62" i="1" s="1"/>
  <c r="CU66" i="1"/>
  <c r="X66" i="1" s="1"/>
  <c r="CU65" i="1"/>
  <c r="X65" i="1" s="1"/>
  <c r="CU55" i="1"/>
  <c r="X55" i="1" s="1"/>
  <c r="CU52" i="1"/>
  <c r="X52" i="1" s="1"/>
  <c r="CU51" i="1"/>
  <c r="X51" i="1" s="1"/>
  <c r="CU49" i="1"/>
  <c r="X49" i="1" s="1"/>
  <c r="CU53" i="1"/>
  <c r="X53" i="1" s="1"/>
  <c r="CU48" i="1"/>
  <c r="X48" i="1" s="1"/>
  <c r="AA67" i="1"/>
  <c r="Y67" i="1"/>
  <c r="AA71" i="1"/>
  <c r="Y71" i="1"/>
  <c r="AA60" i="1"/>
  <c r="Y60" i="1"/>
  <c r="AA63" i="1"/>
  <c r="Y63" i="1"/>
  <c r="AA54" i="1"/>
  <c r="Y54" i="1"/>
  <c r="AA50" i="1"/>
  <c r="Y50" i="1"/>
  <c r="AA68" i="1"/>
  <c r="Y68" i="1"/>
  <c r="AA62" i="1"/>
  <c r="Y62" i="1"/>
  <c r="AA66" i="1"/>
  <c r="Y66" i="1"/>
  <c r="AA65" i="1"/>
  <c r="Y65" i="1"/>
  <c r="AA55" i="1"/>
  <c r="Y55" i="1"/>
  <c r="AA52" i="1"/>
  <c r="Y52" i="1"/>
  <c r="AA51" i="1"/>
  <c r="Y51" i="1"/>
  <c r="AA49" i="1"/>
  <c r="Y49" i="1"/>
  <c r="AA53" i="1"/>
  <c r="Y53" i="1"/>
  <c r="AA48" i="1"/>
  <c r="Y48" i="1"/>
  <c r="CU70" i="1"/>
  <c r="X70" i="1" s="1"/>
  <c r="CU72" i="1"/>
  <c r="X72" i="1" s="1"/>
  <c r="CU61" i="1"/>
  <c r="X61" i="1" s="1"/>
  <c r="CU59" i="1"/>
  <c r="X59" i="1" s="1"/>
  <c r="CU57" i="1"/>
  <c r="X57" i="1" s="1"/>
  <c r="CU56" i="1"/>
  <c r="X56" i="1" s="1"/>
  <c r="CU25" i="1"/>
  <c r="X25" i="1" s="1"/>
  <c r="CU43" i="1"/>
  <c r="X43" i="1" s="1"/>
  <c r="CU44" i="1"/>
  <c r="X44" i="1" s="1"/>
  <c r="CU45" i="1"/>
  <c r="X45" i="1" s="1"/>
  <c r="CU33" i="1"/>
  <c r="X33" i="1" s="1"/>
  <c r="CU46" i="1"/>
  <c r="X46" i="1" s="1"/>
  <c r="CU41" i="1"/>
  <c r="X41" i="1" s="1"/>
  <c r="CU47" i="1"/>
  <c r="X47" i="1" s="1"/>
  <c r="CU34" i="1"/>
  <c r="X34" i="1" s="1"/>
  <c r="CU29" i="1"/>
  <c r="X29" i="1" s="1"/>
  <c r="CU42" i="1"/>
  <c r="X42" i="1" s="1"/>
  <c r="CU36" i="1"/>
  <c r="X36" i="1" s="1"/>
  <c r="CU40" i="1"/>
  <c r="X40" i="1" s="1"/>
  <c r="CU35" i="1"/>
  <c r="X35" i="1" s="1"/>
  <c r="CU39" i="1"/>
  <c r="X39" i="1" s="1"/>
  <c r="CU30" i="1"/>
  <c r="X30" i="1" s="1"/>
  <c r="CU32" i="1"/>
  <c r="X32" i="1" s="1"/>
  <c r="CU37" i="1"/>
  <c r="X37" i="1" s="1"/>
  <c r="CU38" i="1"/>
  <c r="X38" i="1" s="1"/>
  <c r="CU28" i="1"/>
  <c r="X28" i="1" s="1"/>
  <c r="CU31" i="1"/>
  <c r="X31" i="1" s="1"/>
  <c r="CU24" i="1"/>
  <c r="X24" i="1" s="1"/>
  <c r="CU22" i="1"/>
  <c r="X22" i="1" s="1"/>
  <c r="CU23" i="1"/>
  <c r="X23" i="1" s="1"/>
  <c r="CU27" i="1"/>
  <c r="X27" i="1" s="1"/>
  <c r="CU20" i="1"/>
  <c r="X20" i="1" s="1"/>
  <c r="CU21" i="1"/>
  <c r="X21" i="1" s="1"/>
  <c r="AA61" i="1"/>
  <c r="Y61" i="1"/>
  <c r="AA59" i="1"/>
  <c r="Y59" i="1"/>
  <c r="AA57" i="1"/>
  <c r="Y57" i="1"/>
  <c r="AA56" i="1"/>
  <c r="Y56" i="1"/>
  <c r="AA25" i="1"/>
  <c r="Y25" i="1"/>
  <c r="AA43" i="1"/>
  <c r="Y43" i="1"/>
  <c r="AA44" i="1"/>
  <c r="Y44" i="1"/>
  <c r="AA45" i="1"/>
  <c r="Y45" i="1"/>
  <c r="AA33" i="1"/>
  <c r="Y33" i="1"/>
  <c r="AA46" i="1"/>
  <c r="Y46" i="1"/>
  <c r="AA41" i="1"/>
  <c r="Y41" i="1"/>
  <c r="AA47" i="1"/>
  <c r="Y47" i="1"/>
  <c r="AA42" i="1"/>
  <c r="Y42" i="1"/>
  <c r="AA36" i="1"/>
  <c r="Y36" i="1"/>
  <c r="AA40" i="1"/>
  <c r="Y40" i="1"/>
  <c r="AA35" i="1"/>
  <c r="Y35" i="1"/>
  <c r="AA39" i="1"/>
  <c r="Y39" i="1"/>
  <c r="AA30" i="1"/>
  <c r="Y30" i="1"/>
  <c r="AA32" i="1"/>
  <c r="Y32" i="1"/>
  <c r="AA37" i="1"/>
  <c r="Y37" i="1"/>
  <c r="AA38" i="1"/>
  <c r="Y38" i="1"/>
  <c r="AA28" i="1"/>
  <c r="Y28" i="1"/>
  <c r="AA31" i="1"/>
  <c r="Y31" i="1"/>
  <c r="AA24" i="1"/>
  <c r="Y24" i="1"/>
  <c r="AA22" i="1"/>
  <c r="Y22" i="1"/>
  <c r="AA23" i="1"/>
  <c r="Y23" i="1"/>
  <c r="AA27" i="1"/>
  <c r="Y27" i="1"/>
  <c r="AA70" i="1"/>
  <c r="Y70" i="1"/>
  <c r="AA72" i="1"/>
  <c r="Y72" i="1"/>
  <c r="AA34" i="1"/>
  <c r="Y34" i="1"/>
  <c r="AA29" i="1"/>
  <c r="Y29" i="1"/>
  <c r="AA20" i="1"/>
  <c r="Y20" i="1"/>
  <c r="AA21" i="1"/>
  <c r="Y21" i="1"/>
  <c r="AD49" i="1" l="1"/>
  <c r="AD33" i="1"/>
  <c r="AD25" i="1"/>
  <c r="AD61" i="1"/>
  <c r="AD65" i="1"/>
  <c r="AD60" i="1"/>
  <c r="AD75" i="1"/>
  <c r="AD58" i="1"/>
  <c r="AD83" i="1"/>
  <c r="AD134" i="1"/>
  <c r="AD137" i="1"/>
  <c r="AD130" i="1"/>
  <c r="AD110" i="1"/>
  <c r="AD95" i="1"/>
  <c r="AD98" i="1"/>
  <c r="AD89" i="1"/>
  <c r="AD97" i="1"/>
  <c r="AD114" i="1"/>
  <c r="AD120" i="1"/>
  <c r="AD112" i="1"/>
  <c r="AD125" i="1"/>
  <c r="AD21" i="1"/>
  <c r="AD22" i="1"/>
  <c r="AD28" i="1"/>
  <c r="AD30" i="1"/>
  <c r="AD36" i="1"/>
  <c r="AD34" i="1"/>
  <c r="AD27" i="1"/>
  <c r="AD37" i="1"/>
  <c r="AD35" i="1"/>
  <c r="AD42" i="1"/>
  <c r="AD41" i="1"/>
  <c r="AD44" i="1"/>
  <c r="AD57" i="1"/>
  <c r="AD70" i="1"/>
  <c r="AD48" i="1"/>
  <c r="AD52" i="1"/>
  <c r="AD62" i="1"/>
  <c r="AD54" i="1"/>
  <c r="AD67" i="1"/>
  <c r="AD23" i="1"/>
  <c r="AD31" i="1"/>
  <c r="AD32" i="1"/>
  <c r="AD40" i="1"/>
  <c r="AD29" i="1"/>
  <c r="AD46" i="1"/>
  <c r="AD43" i="1"/>
  <c r="AD59" i="1"/>
  <c r="AD53" i="1"/>
  <c r="AD55" i="1"/>
  <c r="AD68" i="1"/>
  <c r="AD63" i="1"/>
  <c r="AD87" i="1"/>
  <c r="AD69" i="1"/>
  <c r="AD84" i="1"/>
  <c r="AD78" i="1"/>
  <c r="AD86" i="1"/>
  <c r="AD136" i="1"/>
  <c r="AD131" i="1"/>
  <c r="AD108" i="1"/>
  <c r="AD81" i="1"/>
  <c r="AD99" i="1"/>
  <c r="AD96" i="1"/>
  <c r="AD111" i="1"/>
  <c r="AD106" i="1"/>
  <c r="AD26" i="1"/>
  <c r="AD124" i="1"/>
  <c r="AD127" i="1"/>
  <c r="AD122" i="1"/>
  <c r="AD76" i="1"/>
  <c r="AD77" i="1"/>
  <c r="AD88" i="1"/>
  <c r="AD82" i="1"/>
  <c r="AD85" i="1"/>
  <c r="AD135" i="1"/>
  <c r="AD132" i="1"/>
  <c r="AD140" i="1"/>
  <c r="AD90" i="1"/>
  <c r="AD94" i="1"/>
  <c r="AD103" i="1"/>
  <c r="AD100" i="1"/>
  <c r="AD113" i="1"/>
  <c r="AD104" i="1"/>
  <c r="AD128" i="1"/>
  <c r="AD119" i="1"/>
  <c r="AD115" i="1"/>
  <c r="AD117" i="1"/>
  <c r="AD129" i="1"/>
  <c r="AD20" i="1"/>
  <c r="AD24" i="1"/>
  <c r="AD38" i="1"/>
  <c r="AD39" i="1"/>
  <c r="AD47" i="1"/>
  <c r="AD45" i="1"/>
  <c r="AD56" i="1"/>
  <c r="AD72" i="1"/>
  <c r="AD51" i="1"/>
  <c r="AD66" i="1"/>
  <c r="AD50" i="1"/>
  <c r="AD71" i="1"/>
  <c r="AD74" i="1"/>
  <c r="AD64" i="1"/>
  <c r="AD80" i="1"/>
  <c r="AD79" i="1"/>
  <c r="AD138" i="1"/>
  <c r="AD121" i="1"/>
  <c r="AD139" i="1"/>
  <c r="AD91" i="1"/>
  <c r="AD93" i="1"/>
  <c r="AD101" i="1"/>
  <c r="AD102" i="1"/>
  <c r="AD92" i="1"/>
  <c r="AD107" i="1"/>
  <c r="AD105" i="1"/>
  <c r="AD123" i="1"/>
  <c r="AD118" i="1"/>
  <c r="AD116" i="1"/>
  <c r="AD126" i="1"/>
  <c r="AD133" i="1"/>
  <c r="CU15" i="1"/>
  <c r="X15" i="1" s="1"/>
  <c r="AA15" i="1"/>
  <c r="Y15" i="1"/>
  <c r="CU17" i="1"/>
  <c r="X17" i="1" s="1"/>
  <c r="AA17" i="1"/>
  <c r="Y17" i="1"/>
  <c r="CU7" i="1"/>
  <c r="X7" i="1" s="1"/>
  <c r="AA7" i="1"/>
  <c r="Y7" i="1"/>
  <c r="CU6" i="1"/>
  <c r="X6" i="1" s="1"/>
  <c r="AA6" i="1"/>
  <c r="Y6" i="1"/>
  <c r="CU13" i="1"/>
  <c r="X13" i="1" s="1"/>
  <c r="AA13" i="1"/>
  <c r="Y13" i="1"/>
  <c r="CU18" i="1"/>
  <c r="X18" i="1" s="1"/>
  <c r="AA18" i="1"/>
  <c r="Y18" i="1"/>
  <c r="CU19" i="1"/>
  <c r="X19" i="1" s="1"/>
  <c r="AA19" i="1"/>
  <c r="Y19" i="1"/>
  <c r="CU16" i="1"/>
  <c r="X16" i="1" s="1"/>
  <c r="AA16" i="1"/>
  <c r="Y16" i="1"/>
  <c r="CU14" i="1"/>
  <c r="X14" i="1" s="1"/>
  <c r="AA14" i="1"/>
  <c r="Y14" i="1"/>
  <c r="Y3" i="1"/>
  <c r="AA3" i="1"/>
  <c r="CU3" i="1"/>
  <c r="Y4" i="1"/>
  <c r="AA4" i="1"/>
  <c r="CU4" i="1"/>
  <c r="X4" i="1" s="1"/>
  <c r="Y5" i="1"/>
  <c r="AA5" i="1"/>
  <c r="CU5" i="1"/>
  <c r="X5" i="1" s="1"/>
  <c r="Y9" i="1"/>
  <c r="AA9" i="1"/>
  <c r="CU9" i="1"/>
  <c r="X9" i="1" s="1"/>
  <c r="Y11" i="1"/>
  <c r="AA11" i="1"/>
  <c r="CU11" i="1"/>
  <c r="X11" i="1" s="1"/>
  <c r="Y10" i="1"/>
  <c r="AA10" i="1"/>
  <c r="CU10" i="1"/>
  <c r="X10" i="1" s="1"/>
  <c r="Y8" i="1"/>
  <c r="AA8" i="1"/>
  <c r="CU8" i="1"/>
  <c r="X8" i="1" s="1"/>
  <c r="Y12" i="1"/>
  <c r="AA12" i="1"/>
  <c r="CU12" i="1"/>
  <c r="X12" i="1" s="1"/>
  <c r="Y73" i="1"/>
  <c r="AA73" i="1"/>
  <c r="CU73" i="1"/>
  <c r="X73" i="1" s="1"/>
  <c r="Y285" i="1"/>
  <c r="AA285" i="1"/>
  <c r="X285" i="1"/>
  <c r="Y239" i="1"/>
  <c r="AA239" i="1"/>
  <c r="X239" i="1"/>
  <c r="Y331" i="1"/>
  <c r="AA331" i="1"/>
  <c r="X331" i="1"/>
  <c r="Y315" i="1"/>
  <c r="AA315" i="1"/>
  <c r="X315" i="1"/>
  <c r="Y314" i="1"/>
  <c r="AA314" i="1"/>
  <c r="X314" i="1"/>
  <c r="Y322" i="1"/>
  <c r="AA322" i="1"/>
  <c r="X322" i="1"/>
  <c r="Y332" i="1"/>
  <c r="AA332" i="1"/>
  <c r="X332" i="1"/>
  <c r="Y323" i="1"/>
  <c r="AA323" i="1"/>
  <c r="X323" i="1"/>
  <c r="Y321" i="1"/>
  <c r="AA321" i="1"/>
  <c r="X321" i="1"/>
  <c r="Y427" i="1"/>
  <c r="AA427" i="1"/>
  <c r="X427" i="1"/>
  <c r="Y524" i="1"/>
  <c r="AA524" i="1"/>
  <c r="X524" i="1"/>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E3816" i="1" l="1"/>
  <c r="E3798" i="1"/>
  <c r="E3812" i="1"/>
  <c r="E3814" i="1"/>
  <c r="E3811" i="1"/>
  <c r="E3813" i="1"/>
  <c r="E3809" i="1"/>
  <c r="E3797" i="1"/>
  <c r="E3808" i="1"/>
  <c r="E3804" i="1"/>
  <c r="E3800" i="1"/>
  <c r="E3796" i="1"/>
  <c r="E3807" i="1"/>
  <c r="E3803" i="1"/>
  <c r="E3810" i="1"/>
  <c r="E3806" i="1"/>
  <c r="E3802" i="1"/>
  <c r="E3782" i="1"/>
  <c r="E3805" i="1"/>
  <c r="E3801" i="1"/>
  <c r="E3794" i="1"/>
  <c r="E3790" i="1"/>
  <c r="E3793" i="1"/>
  <c r="E3789" i="1"/>
  <c r="E3550" i="1"/>
  <c r="E3792" i="1"/>
  <c r="E3788" i="1"/>
  <c r="E3795" i="1"/>
  <c r="E3791" i="1"/>
  <c r="E3774" i="1"/>
  <c r="E3787" i="1"/>
  <c r="E3786" i="1"/>
  <c r="E3781" i="1"/>
  <c r="E3785" i="1"/>
  <c r="E3780" i="1"/>
  <c r="E3777" i="1"/>
  <c r="E3784" i="1"/>
  <c r="E3763" i="1"/>
  <c r="E3776" i="1"/>
  <c r="E3779" i="1"/>
  <c r="E3775" i="1"/>
  <c r="E3778" i="1"/>
  <c r="E3772" i="1"/>
  <c r="E3770" i="1"/>
  <c r="E3768" i="1"/>
  <c r="E3762" i="1"/>
  <c r="E3773" i="1"/>
  <c r="E3771" i="1"/>
  <c r="E3769" i="1"/>
  <c r="E3755" i="1"/>
  <c r="E3754" i="1"/>
  <c r="E3767" i="1"/>
  <c r="E3766" i="1"/>
  <c r="E3236" i="1"/>
  <c r="E3761" i="1"/>
  <c r="E3764" i="1"/>
  <c r="E3756" i="1"/>
  <c r="E3758" i="1"/>
  <c r="E3765" i="1"/>
  <c r="E3760" i="1"/>
  <c r="E3759" i="1"/>
  <c r="E3729" i="1"/>
  <c r="E3753" i="1"/>
  <c r="E3752" i="1"/>
  <c r="E3757" i="1"/>
  <c r="E3401" i="1"/>
  <c r="E3750" i="1"/>
  <c r="E3751" i="1"/>
  <c r="E3749" i="1"/>
  <c r="E3745" i="1"/>
  <c r="E3738" i="1"/>
  <c r="E3748" i="1"/>
  <c r="E3744" i="1"/>
  <c r="E3747" i="1"/>
  <c r="E3739" i="1"/>
  <c r="E3746" i="1"/>
  <c r="E3740" i="1"/>
  <c r="E3742" i="1"/>
  <c r="E3741" i="1"/>
  <c r="E3743" i="1"/>
  <c r="E3735" i="1"/>
  <c r="E3737" i="1"/>
  <c r="E3736" i="1"/>
  <c r="E3734" i="1"/>
  <c r="E3733" i="1"/>
  <c r="E3732" i="1"/>
  <c r="E3667" i="1"/>
  <c r="E3727" i="1"/>
  <c r="E3723" i="1"/>
  <c r="E3728" i="1"/>
  <c r="E3726" i="1"/>
  <c r="E3722" i="1"/>
  <c r="E3731" i="1"/>
  <c r="E3725" i="1"/>
  <c r="E3716" i="1"/>
  <c r="E3730" i="1"/>
  <c r="E3724" i="1"/>
  <c r="E3721" i="1"/>
  <c r="E3720" i="1"/>
  <c r="E3719" i="1"/>
  <c r="E3666" i="1"/>
  <c r="E3718" i="1"/>
  <c r="E3713" i="1"/>
  <c r="E3717" i="1"/>
  <c r="E3715" i="1"/>
  <c r="E2603" i="1"/>
  <c r="E3712" i="1"/>
  <c r="E3714" i="1"/>
  <c r="E3709" i="1"/>
  <c r="E3654" i="1"/>
  <c r="E3708" i="1"/>
  <c r="E3702" i="1"/>
  <c r="E3711" i="1"/>
  <c r="E3707" i="1"/>
  <c r="E3705" i="1"/>
  <c r="E3710" i="1"/>
  <c r="E3706" i="1"/>
  <c r="E3701" i="1"/>
  <c r="E3700" i="1"/>
  <c r="E3699" i="1"/>
  <c r="E3644" i="1"/>
  <c r="E3472" i="1"/>
  <c r="E3696" i="1"/>
  <c r="E3693" i="1"/>
  <c r="E3677" i="1"/>
  <c r="E3680" i="1"/>
  <c r="E3679" i="1"/>
  <c r="E3413" i="1"/>
  <c r="E3698" i="1"/>
  <c r="E3695" i="1"/>
  <c r="E3692" i="1"/>
  <c r="E3704" i="1"/>
  <c r="E3697" i="1"/>
  <c r="E3694" i="1"/>
  <c r="E3678" i="1"/>
  <c r="E3689" i="1"/>
  <c r="E3685" i="1"/>
  <c r="E3676" i="1"/>
  <c r="E3653" i="1"/>
  <c r="E3665" i="1"/>
  <c r="E3639" i="1"/>
  <c r="E3688" i="1"/>
  <c r="E3684" i="1"/>
  <c r="E3674" i="1"/>
  <c r="E3691" i="1"/>
  <c r="E3687" i="1"/>
  <c r="E3683" i="1"/>
  <c r="E3326" i="1"/>
  <c r="E3663" i="1"/>
  <c r="E3690" i="1"/>
  <c r="E3686" i="1"/>
  <c r="E3682" i="1"/>
  <c r="E3675" i="1"/>
  <c r="E3673" i="1"/>
  <c r="E3662" i="1"/>
  <c r="E3668" i="1"/>
  <c r="E3670" i="1"/>
  <c r="E3672" i="1"/>
  <c r="E3661" i="1"/>
  <c r="E3671" i="1"/>
  <c r="E3669" i="1"/>
  <c r="E3652" i="1"/>
  <c r="E3657" i="1"/>
  <c r="E3650" i="1"/>
  <c r="E3651" i="1"/>
  <c r="E3660" i="1"/>
  <c r="E3656" i="1"/>
  <c r="E3649" i="1"/>
  <c r="E3659" i="1"/>
  <c r="E3658" i="1"/>
  <c r="E3655" i="1"/>
  <c r="E3648" i="1"/>
  <c r="E3584" i="1"/>
  <c r="E3645" i="1"/>
  <c r="E3638" i="1"/>
  <c r="E3647" i="1"/>
  <c r="E3620" i="1"/>
  <c r="E2994" i="1"/>
  <c r="E3643" i="1"/>
  <c r="E3625" i="1"/>
  <c r="E3646" i="1"/>
  <c r="E3642" i="1"/>
  <c r="E3641" i="1"/>
  <c r="E3562" i="1"/>
  <c r="E3635" i="1"/>
  <c r="E3633" i="1"/>
  <c r="E3624" i="1"/>
  <c r="E3619" i="1"/>
  <c r="E3445" i="1"/>
  <c r="E3637" i="1"/>
  <c r="E3634" i="1"/>
  <c r="E3640" i="1"/>
  <c r="E3636" i="1"/>
  <c r="E3632" i="1"/>
  <c r="E3614" i="1"/>
  <c r="E3631" i="1"/>
  <c r="E3605" i="1"/>
  <c r="E3630" i="1"/>
  <c r="E3629" i="1"/>
  <c r="E3628" i="1"/>
  <c r="E3627" i="1"/>
  <c r="E3571" i="1"/>
  <c r="E3626" i="1"/>
  <c r="E3623" i="1"/>
  <c r="E3612" i="1"/>
  <c r="E3617" i="1"/>
  <c r="E3602" i="1"/>
  <c r="E3608" i="1"/>
  <c r="E3599" i="1"/>
  <c r="E3596" i="1"/>
  <c r="E3581" i="1"/>
  <c r="E1625" i="1"/>
  <c r="E3618" i="1"/>
  <c r="E3622" i="1"/>
  <c r="E3611" i="1"/>
  <c r="E3601" i="1"/>
  <c r="E3607" i="1"/>
  <c r="E3598" i="1"/>
  <c r="E3595" i="1"/>
  <c r="E3592" i="1"/>
  <c r="E3604" i="1"/>
  <c r="E3356" i="1"/>
  <c r="E3621" i="1"/>
  <c r="E3615" i="1"/>
  <c r="E3610" i="1"/>
  <c r="E3600" i="1"/>
  <c r="E3582" i="1"/>
  <c r="E3594" i="1"/>
  <c r="E3613" i="1"/>
  <c r="E3603" i="1"/>
  <c r="E3616" i="1"/>
  <c r="E3583" i="1"/>
  <c r="E3609" i="1"/>
  <c r="E3606" i="1"/>
  <c r="E3597" i="1"/>
  <c r="E3593" i="1"/>
  <c r="E3589" i="1"/>
  <c r="E3521" i="1"/>
  <c r="E3588" i="1"/>
  <c r="E3429" i="1"/>
  <c r="E3591" i="1"/>
  <c r="E3590" i="1"/>
  <c r="E3570" i="1"/>
  <c r="E3574" i="1"/>
  <c r="E3580" i="1"/>
  <c r="E3577" i="1"/>
  <c r="E3573" i="1"/>
  <c r="E3585" i="1"/>
  <c r="E3579" i="1"/>
  <c r="E3576" i="1"/>
  <c r="E3572" i="1"/>
  <c r="E3578" i="1"/>
  <c r="E3575" i="1"/>
  <c r="E3569" i="1"/>
  <c r="E3587" i="1"/>
  <c r="E3586" i="1"/>
  <c r="E3568" i="1"/>
  <c r="E3567" i="1"/>
  <c r="E3565" i="1"/>
  <c r="E3561" i="1"/>
  <c r="E3560" i="1"/>
  <c r="E3566" i="1"/>
  <c r="E3557" i="1"/>
  <c r="E3564" i="1"/>
  <c r="E3563" i="1"/>
  <c r="E3555" i="1"/>
  <c r="E3552" i="1"/>
  <c r="E3531" i="1"/>
  <c r="E3544" i="1"/>
  <c r="E3541" i="1"/>
  <c r="E3559" i="1"/>
  <c r="E3554" i="1"/>
  <c r="E3551" i="1"/>
  <c r="E3546" i="1"/>
  <c r="E3543" i="1"/>
  <c r="E3558" i="1"/>
  <c r="E3532" i="1"/>
  <c r="E3553" i="1"/>
  <c r="E3547" i="1"/>
  <c r="E3545" i="1"/>
  <c r="E3542" i="1"/>
  <c r="E3556" i="1"/>
  <c r="E3549" i="1"/>
  <c r="E3548" i="1"/>
  <c r="E3496" i="1"/>
  <c r="E3530" i="1"/>
  <c r="E3520" i="1"/>
  <c r="E3539" i="1"/>
  <c r="E3538" i="1"/>
  <c r="E3540" i="1"/>
  <c r="E3527" i="1"/>
  <c r="E3534" i="1"/>
  <c r="E3535" i="1"/>
  <c r="E3537" i="1"/>
  <c r="E3536" i="1"/>
  <c r="E3529" i="1"/>
  <c r="E3528" i="1"/>
  <c r="E3517" i="1"/>
  <c r="E3525" i="1"/>
  <c r="E3515" i="1"/>
  <c r="E3516" i="1"/>
  <c r="E3524" i="1"/>
  <c r="E3519" i="1"/>
  <c r="E3526" i="1"/>
  <c r="E3518" i="1"/>
  <c r="E3522" i="1"/>
  <c r="E3523" i="1"/>
  <c r="E3514" i="1"/>
  <c r="E3510" i="1"/>
  <c r="E3507" i="1"/>
  <c r="E3493" i="1"/>
  <c r="E3499" i="1"/>
  <c r="E3513" i="1"/>
  <c r="E3509" i="1"/>
  <c r="E3506" i="1"/>
  <c r="E3504" i="1"/>
  <c r="E3502" i="1"/>
  <c r="E3498" i="1"/>
  <c r="E3512" i="1"/>
  <c r="E3495" i="1"/>
  <c r="E3505" i="1"/>
  <c r="E3494" i="1"/>
  <c r="E3501" i="1"/>
  <c r="E3511" i="1"/>
  <c r="E3508" i="1"/>
  <c r="E3503" i="1"/>
  <c r="E3500" i="1"/>
  <c r="E3497" i="1"/>
  <c r="E3491" i="1"/>
  <c r="E3471" i="1"/>
  <c r="E3485" i="1"/>
  <c r="E3492" i="1"/>
  <c r="E3490" i="1"/>
  <c r="E3478" i="1"/>
  <c r="E3470" i="1"/>
  <c r="E3489" i="1"/>
  <c r="E3486" i="1"/>
  <c r="E3484" i="1"/>
  <c r="E3477" i="1"/>
  <c r="E3488" i="1"/>
  <c r="E3487" i="1"/>
  <c r="E3483" i="1"/>
  <c r="E3462" i="1"/>
  <c r="E3480" i="1"/>
  <c r="E3475" i="1"/>
  <c r="E3473" i="1"/>
  <c r="E3460" i="1"/>
  <c r="E3464" i="1"/>
  <c r="E3482" i="1"/>
  <c r="E3479" i="1"/>
  <c r="E3474" i="1"/>
  <c r="E3468" i="1"/>
  <c r="E3459" i="1"/>
  <c r="E3400" i="1"/>
  <c r="E3476" i="1"/>
  <c r="E3461" i="1"/>
  <c r="E3467" i="1"/>
  <c r="E3465" i="1"/>
  <c r="E3481" i="1"/>
  <c r="E3469" i="1"/>
  <c r="E3466" i="1"/>
  <c r="E3458" i="1"/>
  <c r="E2745" i="1"/>
  <c r="E3457" i="1"/>
  <c r="E2834" i="1"/>
  <c r="E3463" i="1"/>
  <c r="E3456" i="1"/>
  <c r="E3455" i="1"/>
  <c r="E3452" i="1"/>
  <c r="E3449" i="1"/>
  <c r="E2966" i="1"/>
  <c r="E3428" i="1"/>
  <c r="E3444" i="1"/>
  <c r="E3448" i="1"/>
  <c r="E3454" i="1"/>
  <c r="E3451" i="1"/>
  <c r="E3447" i="1"/>
  <c r="E3453" i="1"/>
  <c r="E3450" i="1"/>
  <c r="E3446" i="1"/>
  <c r="E3427" i="1"/>
  <c r="E3436" i="1"/>
  <c r="E3437" i="1"/>
  <c r="E3443" i="1"/>
  <c r="E3366" i="1"/>
  <c r="E3441" i="1"/>
  <c r="E3426" i="1"/>
  <c r="E3435" i="1"/>
  <c r="E3442" i="1"/>
  <c r="E3439" i="1"/>
  <c r="E3440" i="1"/>
  <c r="E3438" i="1"/>
  <c r="E3419" i="1"/>
  <c r="E3347" i="1"/>
  <c r="E3432" i="1"/>
  <c r="E3412" i="1"/>
  <c r="E3282" i="1"/>
  <c r="E3434" i="1"/>
  <c r="E3264" i="1"/>
  <c r="E3411" i="1"/>
  <c r="E3433" i="1"/>
  <c r="E3431" i="1"/>
  <c r="E3424" i="1"/>
  <c r="E3420" i="1"/>
  <c r="E3416" i="1"/>
  <c r="E3407" i="1"/>
  <c r="E3425" i="1"/>
  <c r="E3423" i="1"/>
  <c r="E3410" i="1"/>
  <c r="E3408" i="1"/>
  <c r="E3406" i="1"/>
  <c r="E3393" i="1"/>
  <c r="E3405" i="1"/>
  <c r="E3418" i="1"/>
  <c r="E3422" i="1"/>
  <c r="E3409" i="1"/>
  <c r="E3415" i="1"/>
  <c r="E3399" i="1"/>
  <c r="E3430" i="1"/>
  <c r="E3421" i="1"/>
  <c r="E3417" i="1"/>
  <c r="E3414" i="1"/>
  <c r="E3404" i="1"/>
  <c r="E3403" i="1"/>
  <c r="E3402" i="1"/>
  <c r="E3398" i="1"/>
  <c r="E3391" i="1"/>
  <c r="E3397" i="1"/>
  <c r="E3395" i="1"/>
  <c r="E3396" i="1"/>
  <c r="E3392" i="1"/>
  <c r="E3394" i="1"/>
  <c r="E3375" i="1"/>
  <c r="E3380" i="1"/>
  <c r="E3379" i="1"/>
  <c r="E3384" i="1"/>
  <c r="E3390" i="1"/>
  <c r="E3376" i="1"/>
  <c r="E3385" i="1"/>
  <c r="E3378" i="1"/>
  <c r="E3382" i="1"/>
  <c r="E3381" i="1"/>
  <c r="E3377" i="1"/>
  <c r="E3383" i="1"/>
  <c r="E3387" i="1"/>
  <c r="E2990" i="1"/>
  <c r="E3386" i="1"/>
  <c r="E2208" i="1"/>
  <c r="E3389" i="1"/>
  <c r="E3211" i="1"/>
  <c r="E3388" i="1"/>
  <c r="E2883" i="1"/>
  <c r="E3372" i="1"/>
  <c r="E3373" i="1"/>
  <c r="E3371" i="1"/>
  <c r="E3370" i="1"/>
  <c r="E3027" i="1"/>
  <c r="E3369" i="1"/>
  <c r="E3362" i="1"/>
  <c r="E3358" i="1"/>
  <c r="E3346" i="1"/>
  <c r="E3331" i="1"/>
  <c r="E3351" i="1"/>
  <c r="E3367" i="1"/>
  <c r="E3365" i="1"/>
  <c r="E3359" i="1"/>
  <c r="E3355" i="1"/>
  <c r="E3328" i="1"/>
  <c r="E3350" i="1"/>
  <c r="E3361" i="1"/>
  <c r="E3360" i="1"/>
  <c r="E3363" i="1"/>
  <c r="E3353" i="1"/>
  <c r="E3348" i="1"/>
  <c r="E3368" i="1"/>
  <c r="E3364" i="1"/>
  <c r="E3357" i="1"/>
  <c r="E3352" i="1"/>
  <c r="E3324" i="1"/>
  <c r="E3349" i="1"/>
  <c r="E3354" i="1"/>
  <c r="E3333" i="1"/>
  <c r="E3335" i="1"/>
  <c r="E3342" i="1"/>
  <c r="E2203" i="1"/>
  <c r="E3327" i="1"/>
  <c r="E3338" i="1"/>
  <c r="E3340" i="1"/>
  <c r="E3336" i="1"/>
  <c r="E3339" i="1"/>
  <c r="E3337" i="1"/>
  <c r="E3341" i="1"/>
  <c r="E3345" i="1"/>
  <c r="E3343" i="1"/>
  <c r="E2955" i="1"/>
  <c r="E3344" i="1"/>
  <c r="E3217" i="1"/>
  <c r="E3321" i="1"/>
  <c r="E3330" i="1"/>
  <c r="E3322" i="1"/>
  <c r="E1588" i="1"/>
  <c r="E2961" i="1"/>
  <c r="E3319" i="1"/>
  <c r="E3323" i="1"/>
  <c r="E3334" i="1"/>
  <c r="E3329" i="1"/>
  <c r="E3325" i="1"/>
  <c r="E3320" i="1"/>
  <c r="E3332" i="1"/>
  <c r="E3299" i="1"/>
  <c r="E3038" i="1"/>
  <c r="E3318" i="1"/>
  <c r="E3234" i="1"/>
  <c r="E3265" i="1"/>
  <c r="E2069" i="1"/>
  <c r="E3310" i="1"/>
  <c r="E3231" i="1"/>
  <c r="E3317" i="1"/>
  <c r="E3308" i="1"/>
  <c r="E3311" i="1"/>
  <c r="E3259" i="1"/>
  <c r="E3314" i="1"/>
  <c r="E3316" i="1"/>
  <c r="E3313" i="1"/>
  <c r="E3315" i="1"/>
  <c r="E3312" i="1"/>
  <c r="E3309" i="1"/>
  <c r="E2848" i="1"/>
  <c r="E3306" i="1"/>
  <c r="E3279" i="1"/>
  <c r="E3296" i="1"/>
  <c r="E3301" i="1"/>
  <c r="E3294" i="1"/>
  <c r="E3305" i="1"/>
  <c r="E3298" i="1"/>
  <c r="E3290" i="1"/>
  <c r="E3291" i="1"/>
  <c r="E3300" i="1"/>
  <c r="E3307" i="1"/>
  <c r="E3302" i="1"/>
  <c r="E3303" i="1"/>
  <c r="E3295" i="1"/>
  <c r="E3289" i="1"/>
  <c r="E3297" i="1"/>
  <c r="E3293" i="1"/>
  <c r="E3292" i="1"/>
  <c r="E3235" i="1"/>
  <c r="E3267" i="1"/>
  <c r="E3287" i="1"/>
  <c r="E3284" i="1"/>
  <c r="E3285" i="1"/>
  <c r="E3286" i="1"/>
  <c r="E3283" i="1"/>
  <c r="E3275" i="1"/>
  <c r="E3266" i="1"/>
  <c r="E3269" i="1"/>
  <c r="E3288" i="1"/>
  <c r="E3270" i="1"/>
  <c r="E3276" i="1"/>
  <c r="E3280" i="1"/>
  <c r="E3268" i="1"/>
  <c r="E3274" i="1"/>
  <c r="E3273" i="1"/>
  <c r="E3248" i="1"/>
  <c r="E3272" i="1"/>
  <c r="E3271" i="1"/>
  <c r="E3278" i="1"/>
  <c r="E3277" i="1"/>
  <c r="E3281" i="1"/>
  <c r="E2768" i="1"/>
  <c r="E3254" i="1"/>
  <c r="E3257" i="1"/>
  <c r="E3261" i="1"/>
  <c r="E3201" i="1"/>
  <c r="E3263" i="1"/>
  <c r="E3256" i="1"/>
  <c r="E3255" i="1"/>
  <c r="E3260" i="1"/>
  <c r="E3262" i="1"/>
  <c r="E3258" i="1"/>
  <c r="E3244" i="1"/>
  <c r="E3245" i="1"/>
  <c r="E3247" i="1"/>
  <c r="E2995" i="1"/>
  <c r="E3233" i="1"/>
  <c r="E3237" i="1"/>
  <c r="E3250" i="1"/>
  <c r="E3252" i="1"/>
  <c r="E3241" i="1"/>
  <c r="E2755" i="1"/>
  <c r="E3224" i="1"/>
  <c r="E3240" i="1"/>
  <c r="E3127" i="1"/>
  <c r="E3253" i="1"/>
  <c r="E3239" i="1"/>
  <c r="E3246" i="1"/>
  <c r="E3251" i="1"/>
  <c r="E3249" i="1"/>
  <c r="E3243" i="1"/>
  <c r="E3242" i="1"/>
  <c r="E3238" i="1"/>
  <c r="E2715" i="1"/>
  <c r="E3210" i="1"/>
  <c r="E3225" i="1"/>
  <c r="E3223" i="1"/>
  <c r="E3212" i="1"/>
  <c r="E3216" i="1"/>
  <c r="E3207" i="1"/>
  <c r="E3196" i="1"/>
  <c r="E3232" i="1"/>
  <c r="E3220" i="1"/>
  <c r="E3221" i="1"/>
  <c r="E3227" i="1"/>
  <c r="E3218" i="1"/>
  <c r="E3215" i="1"/>
  <c r="E3204" i="1"/>
  <c r="E3181" i="1"/>
  <c r="E3199" i="1"/>
  <c r="E3229" i="1"/>
  <c r="E3208" i="1"/>
  <c r="E3226" i="1"/>
  <c r="E3230" i="1"/>
  <c r="E3214" i="1"/>
  <c r="E3205" i="1"/>
  <c r="E3202" i="1"/>
  <c r="E3197" i="1"/>
  <c r="E3228" i="1"/>
  <c r="E3209" i="1"/>
  <c r="E3219" i="1"/>
  <c r="E3222" i="1"/>
  <c r="E3198" i="1"/>
  <c r="E3213" i="1"/>
  <c r="E3180" i="1"/>
  <c r="E3203" i="1"/>
  <c r="E3206" i="1"/>
  <c r="E3143" i="1"/>
  <c r="E3191" i="1"/>
  <c r="E3183" i="1"/>
  <c r="E3144" i="1"/>
  <c r="E3193" i="1"/>
  <c r="E3189" i="1"/>
  <c r="E3185" i="1"/>
  <c r="E3178" i="1"/>
  <c r="E3107" i="1"/>
  <c r="E3182" i="1"/>
  <c r="E3200" i="1"/>
  <c r="E3195" i="1"/>
  <c r="E3192" i="1"/>
  <c r="E3184" i="1"/>
  <c r="E3187" i="1"/>
  <c r="E3097" i="1"/>
  <c r="E3155" i="1"/>
  <c r="E3186" i="1"/>
  <c r="E3125" i="1"/>
  <c r="E3154" i="1"/>
  <c r="E3105" i="1"/>
  <c r="E3028" i="1"/>
  <c r="E3124" i="1"/>
  <c r="E3175" i="1"/>
  <c r="E3179" i="1"/>
  <c r="E3086" i="1"/>
  <c r="E3123" i="1"/>
  <c r="E3177" i="1"/>
  <c r="E3122" i="1"/>
  <c r="E3190" i="1"/>
  <c r="E3149" i="1"/>
  <c r="E3126" i="1"/>
  <c r="E3188" i="1"/>
  <c r="E3152" i="1"/>
  <c r="E3176" i="1"/>
  <c r="E3172" i="1"/>
  <c r="E3151" i="1"/>
  <c r="E3050" i="1"/>
  <c r="E3173" i="1"/>
  <c r="E3174" i="1"/>
  <c r="E3102" i="1"/>
  <c r="E3171" i="1"/>
  <c r="E3146" i="1"/>
  <c r="E3167" i="1"/>
  <c r="E3168" i="1"/>
  <c r="E3117" i="1"/>
  <c r="E3157" i="1"/>
  <c r="E3145" i="1"/>
  <c r="E3148" i="1"/>
  <c r="E3169" i="1"/>
  <c r="E3164" i="1"/>
  <c r="E3150" i="1"/>
  <c r="E3166" i="1"/>
  <c r="E3170" i="1"/>
  <c r="E3115" i="1"/>
  <c r="E3140" i="1"/>
  <c r="E3121" i="1"/>
  <c r="E3147" i="1"/>
  <c r="E3165" i="1"/>
  <c r="E3156" i="1"/>
  <c r="E3141" i="1"/>
  <c r="E3158" i="1"/>
  <c r="E3159" i="1"/>
  <c r="E3153" i="1"/>
  <c r="E3142" i="1"/>
  <c r="E3128" i="1"/>
  <c r="E3163" i="1"/>
  <c r="E3161" i="1"/>
  <c r="E3160" i="1"/>
  <c r="E3162" i="1"/>
  <c r="E3133" i="1"/>
  <c r="E3132" i="1"/>
  <c r="E3135" i="1"/>
  <c r="E3131" i="1"/>
  <c r="E3134" i="1"/>
  <c r="E3137" i="1"/>
  <c r="E3095" i="1"/>
  <c r="E3116" i="1"/>
  <c r="E3130" i="1"/>
  <c r="E3113" i="1"/>
  <c r="E3139" i="1"/>
  <c r="E3118" i="1"/>
  <c r="E3109" i="1"/>
  <c r="E3029" i="1"/>
  <c r="E3136" i="1"/>
  <c r="E3104" i="1"/>
  <c r="E3114" i="1"/>
  <c r="E3129" i="1"/>
  <c r="E3119" i="1"/>
  <c r="E3138" i="1"/>
  <c r="E3120" i="1"/>
  <c r="E3111" i="1"/>
  <c r="E3106" i="1"/>
  <c r="E3108" i="1"/>
  <c r="E3098" i="1"/>
  <c r="E3092" i="1"/>
  <c r="E3110" i="1"/>
  <c r="E3103" i="1"/>
  <c r="E3096" i="1"/>
  <c r="E3099" i="1"/>
  <c r="E3089" i="1"/>
  <c r="E3100" i="1"/>
  <c r="E3094" i="1"/>
  <c r="E3091" i="1"/>
  <c r="E3101" i="1"/>
  <c r="E3112" i="1"/>
  <c r="E3093" i="1"/>
  <c r="E3087" i="1"/>
  <c r="E3085" i="1"/>
  <c r="E3090" i="1"/>
  <c r="E2953" i="1"/>
  <c r="E3084" i="1"/>
  <c r="E3083" i="1"/>
  <c r="E2894" i="1"/>
  <c r="E2965" i="1"/>
  <c r="E3076" i="1"/>
  <c r="E3081" i="1"/>
  <c r="E3074" i="1"/>
  <c r="E3078" i="1"/>
  <c r="E3059" i="1"/>
  <c r="E3069" i="1"/>
  <c r="E3080" i="1"/>
  <c r="E3082" i="1"/>
  <c r="E3060" i="1"/>
  <c r="E3075" i="1"/>
  <c r="E3077" i="1"/>
  <c r="E3079" i="1"/>
  <c r="E3072" i="1"/>
  <c r="E3063" i="1"/>
  <c r="E3062" i="1"/>
  <c r="E3045" i="1"/>
  <c r="E3064" i="1"/>
  <c r="E3065" i="1"/>
  <c r="E3073" i="1"/>
  <c r="E3070" i="1"/>
  <c r="E3057" i="1"/>
  <c r="E3071" i="1"/>
  <c r="E3068" i="1"/>
  <c r="E3056" i="1"/>
  <c r="E3067" i="1"/>
  <c r="E3042" i="1"/>
  <c r="E3012" i="1"/>
  <c r="E3052" i="1"/>
  <c r="E3061" i="1"/>
  <c r="E3055" i="1"/>
  <c r="E3051" i="1"/>
  <c r="E3044" i="1"/>
  <c r="E3054" i="1"/>
  <c r="E3049" i="1"/>
  <c r="E3031" i="1"/>
  <c r="E3053" i="1"/>
  <c r="E3058" i="1"/>
  <c r="E3041" i="1"/>
  <c r="E3039" i="1"/>
  <c r="E3037" i="1"/>
  <c r="E3040" i="1"/>
  <c r="E3033" i="1"/>
  <c r="E3046" i="1"/>
  <c r="E3048" i="1"/>
  <c r="E3047" i="1"/>
  <c r="E3034" i="1"/>
  <c r="E2654" i="1"/>
  <c r="E3043" i="1"/>
  <c r="E3032" i="1"/>
  <c r="E3036" i="1"/>
  <c r="E2975" i="1"/>
  <c r="E3020" i="1"/>
  <c r="E3035" i="1"/>
  <c r="E3066" i="1"/>
  <c r="E3022" i="1"/>
  <c r="E3023" i="1"/>
  <c r="E3026" i="1"/>
  <c r="E3025" i="1"/>
  <c r="E3014" i="1"/>
  <c r="E3018" i="1"/>
  <c r="E3030" i="1"/>
  <c r="E3019" i="1"/>
  <c r="E3024" i="1"/>
  <c r="E3021" i="1"/>
  <c r="E3017" i="1"/>
  <c r="E3016" i="1"/>
  <c r="E2822" i="1"/>
  <c r="E3088" i="1"/>
  <c r="E2895" i="1"/>
  <c r="E3004" i="1"/>
  <c r="E3008" i="1"/>
  <c r="E3007" i="1"/>
  <c r="E3015" i="1"/>
  <c r="E3002" i="1"/>
  <c r="E3011" i="1"/>
  <c r="E3013" i="1"/>
  <c r="E3001" i="1"/>
  <c r="E3010" i="1"/>
  <c r="E3009" i="1"/>
  <c r="E3003" i="1"/>
  <c r="E3006" i="1"/>
  <c r="E3005" i="1"/>
  <c r="E2986" i="1"/>
  <c r="E2767" i="1"/>
  <c r="E2998" i="1"/>
  <c r="E2999" i="1"/>
  <c r="E3000" i="1"/>
  <c r="E2997" i="1"/>
  <c r="E2981" i="1"/>
  <c r="E2996" i="1"/>
  <c r="E2988" i="1"/>
  <c r="E2970" i="1"/>
  <c r="E2987" i="1"/>
  <c r="E2985" i="1"/>
  <c r="E2989" i="1"/>
  <c r="E2992" i="1"/>
  <c r="E2980" i="1"/>
  <c r="E2968" i="1"/>
  <c r="E2993" i="1"/>
  <c r="E2960" i="1"/>
  <c r="E2976" i="1"/>
  <c r="E2991" i="1"/>
  <c r="E2982" i="1"/>
  <c r="E2984" i="1"/>
  <c r="E2983" i="1"/>
  <c r="E2979" i="1"/>
  <c r="E2971" i="1"/>
  <c r="E2967" i="1"/>
  <c r="E2959" i="1"/>
  <c r="E2977" i="1"/>
  <c r="E2978" i="1"/>
  <c r="E2958" i="1"/>
  <c r="E2911" i="1"/>
  <c r="E2974" i="1"/>
  <c r="E2969" i="1"/>
  <c r="E2956" i="1"/>
  <c r="E2836" i="1"/>
  <c r="E2343" i="1"/>
  <c r="E2972" i="1"/>
  <c r="E2973" i="1"/>
  <c r="E2952" i="1"/>
  <c r="E2954" i="1"/>
  <c r="E2948" i="1"/>
  <c r="E2946" i="1"/>
  <c r="E2963" i="1"/>
  <c r="E2945" i="1"/>
  <c r="E2962" i="1"/>
  <c r="E2950" i="1"/>
  <c r="E2940" i="1"/>
  <c r="E2943" i="1"/>
  <c r="E2964" i="1"/>
  <c r="E2951" i="1"/>
  <c r="E2949" i="1"/>
  <c r="E2947" i="1"/>
  <c r="E2957" i="1"/>
  <c r="E2936" i="1"/>
  <c r="E2944" i="1"/>
  <c r="E2910" i="1"/>
  <c r="E2481" i="1"/>
  <c r="E2724" i="1"/>
  <c r="E2915" i="1"/>
  <c r="E2941" i="1"/>
  <c r="E2723" i="1"/>
  <c r="E2937" i="1"/>
  <c r="E2935" i="1"/>
  <c r="E2926" i="1"/>
  <c r="E2837" i="1"/>
  <c r="E2942" i="1"/>
  <c r="E2914" i="1"/>
  <c r="E2890" i="1"/>
  <c r="E2938" i="1"/>
  <c r="E2931" i="1"/>
  <c r="E2932" i="1"/>
  <c r="E2939" i="1"/>
  <c r="E2930" i="1"/>
  <c r="E2927" i="1"/>
  <c r="E2929" i="1"/>
  <c r="E2928" i="1"/>
  <c r="E2933" i="1"/>
  <c r="E2891" i="1"/>
  <c r="E2924" i="1"/>
  <c r="E2907" i="1"/>
  <c r="E2934" i="1"/>
  <c r="E2769" i="1"/>
  <c r="E2893" i="1"/>
  <c r="E2899" i="1"/>
  <c r="E2916" i="1"/>
  <c r="E2861" i="1"/>
  <c r="E2355" i="1"/>
  <c r="E2919" i="1"/>
  <c r="E2898" i="1"/>
  <c r="E2900" i="1"/>
  <c r="E2896" i="1"/>
  <c r="E2874" i="1"/>
  <c r="E2925" i="1"/>
  <c r="E2918" i="1"/>
  <c r="E2877" i="1"/>
  <c r="E2897" i="1"/>
  <c r="E2901" i="1"/>
  <c r="E2920" i="1"/>
  <c r="E2923" i="1"/>
  <c r="E2881" i="1"/>
  <c r="E2876" i="1"/>
  <c r="E2902" i="1"/>
  <c r="E2917" i="1"/>
  <c r="E2922" i="1"/>
  <c r="E2875" i="1"/>
  <c r="E2921" i="1"/>
  <c r="E2908" i="1"/>
  <c r="E2909" i="1"/>
  <c r="E2913" i="1"/>
  <c r="E2912" i="1"/>
  <c r="E2892" i="1"/>
  <c r="E2888" i="1"/>
  <c r="E2878" i="1"/>
  <c r="E2854" i="1"/>
  <c r="E2884" i="1"/>
  <c r="E2870" i="1"/>
  <c r="E2871" i="1"/>
  <c r="E2904" i="1"/>
  <c r="E2889" i="1"/>
  <c r="E2853" i="1"/>
  <c r="E2863" i="1"/>
  <c r="E2886" i="1"/>
  <c r="E2869" i="1"/>
  <c r="E2860" i="1"/>
  <c r="E2865" i="1"/>
  <c r="E2857" i="1"/>
  <c r="E2866" i="1"/>
  <c r="E2905" i="1"/>
  <c r="E2879" i="1"/>
  <c r="E2851" i="1"/>
  <c r="E2885" i="1"/>
  <c r="E2887" i="1"/>
  <c r="E2867" i="1"/>
  <c r="E2862" i="1"/>
  <c r="E2859" i="1"/>
  <c r="E2864" i="1"/>
  <c r="E2906" i="1"/>
  <c r="E2903" i="1"/>
  <c r="E2880" i="1"/>
  <c r="E2852" i="1"/>
  <c r="E2850" i="1"/>
  <c r="E2882" i="1"/>
  <c r="E2872" i="1"/>
  <c r="E2873" i="1"/>
  <c r="E2868" i="1"/>
  <c r="E2858" i="1"/>
  <c r="E2847" i="1"/>
  <c r="E2855" i="1"/>
  <c r="E2839" i="1"/>
  <c r="E2840" i="1"/>
  <c r="E2818" i="1"/>
  <c r="E2856" i="1"/>
  <c r="E2849" i="1"/>
  <c r="E2838" i="1"/>
  <c r="E2844" i="1"/>
  <c r="E2842" i="1"/>
  <c r="E2846" i="1"/>
  <c r="E2779" i="1"/>
  <c r="E2059" i="1"/>
  <c r="E2829" i="1"/>
  <c r="E2810" i="1"/>
  <c r="E2845" i="1"/>
  <c r="E2843" i="1"/>
  <c r="E2841" i="1"/>
  <c r="E2831" i="1"/>
  <c r="E2821" i="1"/>
  <c r="E2784" i="1"/>
  <c r="E2832" i="1"/>
  <c r="E2828" i="1"/>
  <c r="E2833" i="1"/>
  <c r="E2816" i="1"/>
  <c r="E2835" i="1"/>
  <c r="E2815" i="1"/>
  <c r="E2830" i="1"/>
  <c r="E2824" i="1"/>
  <c r="E2819" i="1"/>
  <c r="E2823" i="1"/>
  <c r="E2817" i="1"/>
  <c r="E2809" i="1"/>
  <c r="E2820" i="1"/>
  <c r="E2811" i="1"/>
  <c r="E2827" i="1"/>
  <c r="E2826" i="1"/>
  <c r="E2825" i="1"/>
  <c r="E2812" i="1"/>
  <c r="E2802" i="1"/>
  <c r="E2791" i="1"/>
  <c r="E2800" i="1"/>
  <c r="E2799" i="1"/>
  <c r="E2804" i="1"/>
  <c r="E2803" i="1"/>
  <c r="E2792" i="1"/>
  <c r="E2797" i="1"/>
  <c r="E2813" i="1"/>
  <c r="E2805" i="1"/>
  <c r="E2806" i="1"/>
  <c r="E2774" i="1"/>
  <c r="E2807" i="1"/>
  <c r="E2814" i="1"/>
  <c r="E2793" i="1"/>
  <c r="E2801" i="1"/>
  <c r="E2746" i="1"/>
  <c r="E2785" i="1"/>
  <c r="E2770" i="1"/>
  <c r="E2798" i="1"/>
  <c r="E2790" i="1"/>
  <c r="E2796" i="1"/>
  <c r="E2794" i="1"/>
  <c r="E2773" i="1"/>
  <c r="E2787" i="1"/>
  <c r="E2786" i="1"/>
  <c r="E1707" i="1"/>
  <c r="E2795" i="1"/>
  <c r="E2789" i="1"/>
  <c r="E2788" i="1"/>
  <c r="E2783" i="1"/>
  <c r="E2782" i="1"/>
  <c r="E2757" i="1"/>
  <c r="E2778" i="1"/>
  <c r="E2780" i="1"/>
  <c r="E2781" i="1"/>
  <c r="E2756" i="1"/>
  <c r="E2265" i="1"/>
  <c r="E2771" i="1"/>
  <c r="E2777" i="1"/>
  <c r="E2772" i="1"/>
  <c r="E2776" i="1"/>
  <c r="E2775" i="1"/>
  <c r="E2765" i="1"/>
  <c r="E2764" i="1"/>
  <c r="E2763" i="1"/>
  <c r="E2766" i="1"/>
  <c r="E2761" i="1"/>
  <c r="E2749" i="1"/>
  <c r="E2739" i="1"/>
  <c r="E2722" i="1"/>
  <c r="E2762" i="1"/>
  <c r="E2747" i="1"/>
  <c r="E2751" i="1"/>
  <c r="E2742" i="1"/>
  <c r="E2687" i="1"/>
  <c r="E2721" i="1"/>
  <c r="E2737" i="1"/>
  <c r="E2750" i="1"/>
  <c r="E2758" i="1"/>
  <c r="E2754" i="1"/>
  <c r="E2744" i="1"/>
  <c r="E2718" i="1"/>
  <c r="E2760" i="1"/>
  <c r="E2759" i="1"/>
  <c r="E2752" i="1"/>
  <c r="E2753" i="1"/>
  <c r="E2741" i="1"/>
  <c r="E2743" i="1"/>
  <c r="E2748" i="1"/>
  <c r="E2740" i="1"/>
  <c r="E2734" i="1"/>
  <c r="E2729" i="1"/>
  <c r="E2720" i="1"/>
  <c r="E2738" i="1"/>
  <c r="E2731" i="1"/>
  <c r="E2726" i="1"/>
  <c r="E2732" i="1"/>
  <c r="E2736" i="1"/>
  <c r="E2728" i="1"/>
  <c r="E2733" i="1"/>
  <c r="E2725" i="1"/>
  <c r="E2716" i="1"/>
  <c r="E2719" i="1"/>
  <c r="E2730" i="1"/>
  <c r="E2735" i="1"/>
  <c r="E2727" i="1"/>
  <c r="E2717" i="1"/>
  <c r="E2714" i="1"/>
  <c r="E2712" i="1"/>
  <c r="E2713" i="1"/>
  <c r="E2808" i="1"/>
  <c r="E2710" i="1"/>
  <c r="E2696" i="1"/>
  <c r="E2685" i="1"/>
  <c r="E2709" i="1"/>
  <c r="E2699" i="1"/>
  <c r="E2707" i="1"/>
  <c r="E2693" i="1"/>
  <c r="E2702" i="1"/>
  <c r="E2691" i="1"/>
  <c r="E2686" i="1"/>
  <c r="E2679" i="1"/>
  <c r="E2683" i="1"/>
  <c r="E2711" i="1"/>
  <c r="E2705" i="1"/>
  <c r="E2692" i="1"/>
  <c r="E2703" i="1"/>
  <c r="E2689" i="1"/>
  <c r="E2688" i="1"/>
  <c r="E2681" i="1"/>
  <c r="E2680" i="1"/>
  <c r="E2377" i="1"/>
  <c r="E2701" i="1"/>
  <c r="E2694" i="1"/>
  <c r="E2690" i="1"/>
  <c r="E2704" i="1"/>
  <c r="E2697" i="1"/>
  <c r="E2682" i="1"/>
  <c r="E2684" i="1"/>
  <c r="E2670" i="1"/>
  <c r="E2708" i="1"/>
  <c r="E2695" i="1"/>
  <c r="E2698" i="1"/>
  <c r="E2700" i="1"/>
  <c r="E2706" i="1"/>
  <c r="E2671" i="1"/>
  <c r="E2675" i="1"/>
  <c r="E2635" i="1"/>
  <c r="E2656" i="1"/>
  <c r="E2676" i="1"/>
  <c r="E2638" i="1"/>
  <c r="E2678" i="1"/>
  <c r="E2673" i="1"/>
  <c r="E2666" i="1"/>
  <c r="E2677" i="1"/>
  <c r="E2668" i="1"/>
  <c r="E2672" i="1"/>
  <c r="E2674" i="1"/>
  <c r="E2669" i="1"/>
  <c r="E2664" i="1"/>
  <c r="E2663" i="1"/>
  <c r="E2649" i="1"/>
  <c r="E2646" i="1"/>
  <c r="E2641" i="1"/>
  <c r="E2643" i="1"/>
  <c r="E2647" i="1"/>
  <c r="E2653" i="1"/>
  <c r="E2625" i="1"/>
  <c r="E2660" i="1"/>
  <c r="E2648" i="1"/>
  <c r="E2633" i="1"/>
  <c r="E2642" i="1"/>
  <c r="E2618" i="1"/>
  <c r="E2659" i="1"/>
  <c r="E2626" i="1"/>
  <c r="E2661" i="1"/>
  <c r="E2623" i="1"/>
  <c r="E2650" i="1"/>
  <c r="E2636" i="1"/>
  <c r="E2644" i="1"/>
  <c r="E2639" i="1"/>
  <c r="E2634" i="1"/>
  <c r="E2655" i="1"/>
  <c r="E2658" i="1"/>
  <c r="E2665" i="1"/>
  <c r="E2631" i="1"/>
  <c r="E2651" i="1"/>
  <c r="E2637" i="1"/>
  <c r="E2645" i="1"/>
  <c r="E2640" i="1"/>
  <c r="E2652" i="1"/>
  <c r="E2657" i="1"/>
  <c r="E2667" i="1"/>
  <c r="E2662" i="1"/>
  <c r="E2567" i="1"/>
  <c r="E2632" i="1"/>
  <c r="E2629" i="1"/>
  <c r="E2624" i="1"/>
  <c r="E2628" i="1"/>
  <c r="E2627" i="1"/>
  <c r="E2630" i="1"/>
  <c r="E2622" i="1"/>
  <c r="E2600" i="1"/>
  <c r="E2593" i="1"/>
  <c r="E2597" i="1"/>
  <c r="E2608" i="1"/>
  <c r="E2613" i="1"/>
  <c r="E2617" i="1"/>
  <c r="E2620" i="1"/>
  <c r="E2592" i="1"/>
  <c r="E2601" i="1"/>
  <c r="E2607" i="1"/>
  <c r="E2264" i="1"/>
  <c r="E2615" i="1"/>
  <c r="E2619" i="1"/>
  <c r="E2595" i="1"/>
  <c r="E2621" i="1"/>
  <c r="E2599" i="1"/>
  <c r="E2602" i="1"/>
  <c r="E2610" i="1"/>
  <c r="E2596" i="1"/>
  <c r="E2612" i="1"/>
  <c r="E2616" i="1"/>
  <c r="E2604" i="1"/>
  <c r="E2598" i="1"/>
  <c r="E2594" i="1"/>
  <c r="E2611" i="1"/>
  <c r="E2609" i="1"/>
  <c r="E2606" i="1"/>
  <c r="E2614" i="1"/>
  <c r="E2605" i="1"/>
  <c r="E978" i="1"/>
  <c r="E2586" i="1"/>
  <c r="E2578" i="1"/>
  <c r="E2587" i="1"/>
  <c r="E2583" i="1"/>
  <c r="E2590" i="1"/>
  <c r="E2585" i="1"/>
  <c r="E2576" i="1"/>
  <c r="E2573" i="1"/>
  <c r="E2352" i="1"/>
  <c r="E2581" i="1"/>
  <c r="E2579" i="1"/>
  <c r="E2540" i="1"/>
  <c r="E2591" i="1"/>
  <c r="E2151" i="1"/>
  <c r="E2580" i="1"/>
  <c r="E2582" i="1"/>
  <c r="E2577" i="1"/>
  <c r="E2584" i="1"/>
  <c r="E2565" i="1"/>
  <c r="E2575" i="1"/>
  <c r="E2570" i="1"/>
  <c r="E2558" i="1"/>
  <c r="E2533" i="1"/>
  <c r="E2569" i="1"/>
  <c r="E2566" i="1"/>
  <c r="E2572" i="1"/>
  <c r="E2536" i="1"/>
  <c r="E2589" i="1"/>
  <c r="E2568" i="1"/>
  <c r="E2555" i="1"/>
  <c r="E2557" i="1"/>
  <c r="E2551" i="1"/>
  <c r="E2588" i="1"/>
  <c r="E2574" i="1"/>
  <c r="E2571" i="1"/>
  <c r="E2556" i="1"/>
  <c r="E2542" i="1"/>
  <c r="E2538" i="1"/>
  <c r="E2534" i="1"/>
  <c r="E2547" i="1"/>
  <c r="E2532" i="1"/>
  <c r="E2531" i="1"/>
  <c r="E2554" i="1"/>
  <c r="E2553" i="1"/>
  <c r="E2559" i="1"/>
  <c r="E2563" i="1"/>
  <c r="E2487" i="1"/>
  <c r="E2406" i="1"/>
  <c r="E2548" i="1"/>
  <c r="E2539" i="1"/>
  <c r="E2546" i="1"/>
  <c r="E2560" i="1"/>
  <c r="E2561" i="1"/>
  <c r="E2564" i="1"/>
  <c r="E2562" i="1"/>
  <c r="E2544" i="1"/>
  <c r="E2407" i="1"/>
  <c r="E2541" i="1"/>
  <c r="E2545" i="1"/>
  <c r="E2530" i="1"/>
  <c r="E2508" i="1"/>
  <c r="E2537" i="1"/>
  <c r="E2535" i="1"/>
  <c r="E2549" i="1"/>
  <c r="E2529" i="1"/>
  <c r="E2543" i="1"/>
  <c r="E2550" i="1"/>
  <c r="E2552" i="1"/>
  <c r="E2504" i="1"/>
  <c r="E2486" i="1"/>
  <c r="E2473" i="1"/>
  <c r="E2496" i="1"/>
  <c r="E2445" i="1"/>
  <c r="E2511" i="1"/>
  <c r="E2519" i="1"/>
  <c r="E2492" i="1"/>
  <c r="E2509" i="1"/>
  <c r="E2526" i="1"/>
  <c r="E2522" i="1"/>
  <c r="E2500" i="1"/>
  <c r="E2490" i="1"/>
  <c r="E2488" i="1"/>
  <c r="E2489" i="1"/>
  <c r="E2454" i="1"/>
  <c r="E2450" i="1"/>
  <c r="E2517" i="1"/>
  <c r="E2520" i="1"/>
  <c r="E2513" i="1"/>
  <c r="E2515" i="1"/>
  <c r="E2527" i="1"/>
  <c r="E2524" i="1"/>
  <c r="E2497" i="1"/>
  <c r="E2506" i="1"/>
  <c r="E2475" i="1"/>
  <c r="E2505" i="1"/>
  <c r="E2449" i="1"/>
  <c r="E2494" i="1"/>
  <c r="E2503" i="1"/>
  <c r="E2514" i="1"/>
  <c r="E2512" i="1"/>
  <c r="E2521" i="1"/>
  <c r="E2518" i="1"/>
  <c r="E2523" i="1"/>
  <c r="E2501" i="1"/>
  <c r="E2498" i="1"/>
  <c r="E2474" i="1"/>
  <c r="E2493" i="1"/>
  <c r="E2499" i="1"/>
  <c r="E2516" i="1"/>
  <c r="E2502" i="1"/>
  <c r="E2491" i="1"/>
  <c r="E2510" i="1"/>
  <c r="E2525" i="1"/>
  <c r="E2507" i="1"/>
  <c r="E2528" i="1"/>
  <c r="E2476" i="1"/>
  <c r="E2479" i="1"/>
  <c r="E2458" i="1"/>
  <c r="E2465" i="1"/>
  <c r="E2448" i="1"/>
  <c r="E2472" i="1"/>
  <c r="E2469" i="1"/>
  <c r="E2480" i="1"/>
  <c r="E2482" i="1"/>
  <c r="E2459" i="1"/>
  <c r="E2464" i="1"/>
  <c r="E2463" i="1"/>
  <c r="E2468" i="1"/>
  <c r="E2455" i="1"/>
  <c r="E2457" i="1"/>
  <c r="E2477" i="1"/>
  <c r="E2483" i="1"/>
  <c r="E2423" i="1"/>
  <c r="E2466" i="1"/>
  <c r="E2461" i="1"/>
  <c r="E2471" i="1"/>
  <c r="E2462" i="1"/>
  <c r="E2484" i="1"/>
  <c r="E2478" i="1"/>
  <c r="E2460" i="1"/>
  <c r="E2467" i="1"/>
  <c r="E2456" i="1"/>
  <c r="E2485" i="1"/>
  <c r="E2470" i="1"/>
  <c r="E2495" i="1"/>
  <c r="E2453" i="1"/>
  <c r="E2451" i="1"/>
  <c r="E2452" i="1"/>
  <c r="E2447" i="1"/>
  <c r="E2446" i="1"/>
  <c r="E2431" i="1"/>
  <c r="E2010" i="1"/>
  <c r="E1742" i="1"/>
  <c r="E2154" i="1"/>
  <c r="E2434" i="1"/>
  <c r="E2441" i="1"/>
  <c r="E2439" i="1"/>
  <c r="E2444" i="1"/>
  <c r="E2425" i="1"/>
  <c r="E2422" i="1"/>
  <c r="E2433" i="1"/>
  <c r="E2443" i="1"/>
  <c r="E2430" i="1"/>
  <c r="E2435" i="1"/>
  <c r="E2437" i="1"/>
  <c r="E2436" i="1"/>
  <c r="E2438" i="1"/>
  <c r="E2429" i="1"/>
  <c r="E2442" i="1"/>
  <c r="E2440" i="1"/>
  <c r="E2432" i="1"/>
  <c r="E2416" i="1"/>
  <c r="E2420" i="1"/>
  <c r="E2428" i="1"/>
  <c r="E2418" i="1"/>
  <c r="E2419" i="1"/>
  <c r="E2427" i="1"/>
  <c r="E2415" i="1"/>
  <c r="E2421" i="1"/>
  <c r="E2424" i="1"/>
  <c r="E2413" i="1"/>
  <c r="E2426" i="1"/>
  <c r="E2391" i="1"/>
  <c r="E2384" i="1"/>
  <c r="E2388" i="1"/>
  <c r="E2394" i="1"/>
  <c r="E2414" i="1"/>
  <c r="E2359" i="1"/>
  <c r="E2403" i="1"/>
  <c r="E2392" i="1"/>
  <c r="E2408" i="1"/>
  <c r="E2385" i="1"/>
  <c r="E2411" i="1"/>
  <c r="E2380" i="1"/>
  <c r="E2410" i="1"/>
  <c r="E2404" i="1"/>
  <c r="E2396" i="1"/>
  <c r="E2405" i="1"/>
  <c r="E2397" i="1"/>
  <c r="E2412" i="1"/>
  <c r="E2378" i="1"/>
  <c r="E2361" i="1"/>
  <c r="E2398" i="1"/>
  <c r="E2395" i="1"/>
  <c r="E2399" i="1"/>
  <c r="E2409" i="1"/>
  <c r="E2417" i="1"/>
  <c r="E2382" i="1"/>
  <c r="E2389" i="1"/>
  <c r="E2400" i="1"/>
  <c r="E2402" i="1"/>
  <c r="E2401" i="1"/>
  <c r="E2386" i="1"/>
  <c r="E2390" i="1"/>
  <c r="E2393" i="1"/>
  <c r="E2387" i="1"/>
  <c r="E2376" i="1"/>
  <c r="E2332" i="1"/>
  <c r="E2379" i="1"/>
  <c r="E2337" i="1"/>
  <c r="E1410" i="1"/>
  <c r="E2363" i="1"/>
  <c r="E2331" i="1"/>
  <c r="E2369" i="1"/>
  <c r="E2330" i="1"/>
  <c r="E2374" i="1"/>
  <c r="E2371" i="1"/>
  <c r="E2381" i="1"/>
  <c r="E2375" i="1"/>
  <c r="E2383" i="1"/>
  <c r="E2373" i="1"/>
  <c r="E2367" i="1"/>
  <c r="E2372" i="1"/>
  <c r="E2357" i="1"/>
  <c r="E2370" i="1"/>
  <c r="E2362" i="1"/>
  <c r="E2366" i="1"/>
  <c r="E2358" i="1"/>
  <c r="E2365" i="1"/>
  <c r="E2333" i="1"/>
  <c r="E2368" i="1"/>
  <c r="E2364" i="1"/>
  <c r="E2336" i="1"/>
  <c r="E2351" i="1"/>
  <c r="E2360" i="1"/>
  <c r="E2354" i="1"/>
  <c r="E2349" i="1"/>
  <c r="E2353" i="1"/>
  <c r="E2356" i="1"/>
  <c r="E2350" i="1"/>
  <c r="E2321" i="1"/>
  <c r="E2348" i="1"/>
  <c r="E2207" i="1"/>
  <c r="E2326" i="1"/>
  <c r="E2345" i="1"/>
  <c r="E2347" i="1"/>
  <c r="E2344" i="1"/>
  <c r="E2335" i="1"/>
  <c r="E2340" i="1"/>
  <c r="E2342" i="1"/>
  <c r="E2341" i="1"/>
  <c r="E2334" i="1"/>
  <c r="E2325" i="1"/>
  <c r="E2309" i="1"/>
  <c r="E2329" i="1"/>
  <c r="E2346" i="1"/>
  <c r="E2339" i="1"/>
  <c r="E2328" i="1"/>
  <c r="E2338" i="1"/>
  <c r="E2320" i="1"/>
  <c r="E2327" i="1"/>
  <c r="E2324" i="1"/>
  <c r="E2311" i="1"/>
  <c r="E2301" i="1"/>
  <c r="E2322" i="1"/>
  <c r="E2318" i="1"/>
  <c r="E2316" i="1"/>
  <c r="E2317" i="1"/>
  <c r="E2306" i="1"/>
  <c r="E2323" i="1"/>
  <c r="E2313" i="1"/>
  <c r="E2287" i="1"/>
  <c r="E2307" i="1"/>
  <c r="E2315" i="1"/>
  <c r="E2314" i="1"/>
  <c r="E1949" i="1"/>
  <c r="E2312" i="1"/>
  <c r="E2303" i="1"/>
  <c r="E669" i="1"/>
  <c r="E2319" i="1"/>
  <c r="E2310" i="1"/>
  <c r="E2296" i="1"/>
  <c r="E2298" i="1"/>
  <c r="E2308" i="1"/>
  <c r="E2291" i="1"/>
  <c r="E2295" i="1"/>
  <c r="E2304" i="1"/>
  <c r="E2299" i="1"/>
  <c r="E2305" i="1"/>
  <c r="E2302" i="1"/>
  <c r="E2297" i="1"/>
  <c r="E2300" i="1"/>
  <c r="E2286" i="1"/>
  <c r="E2284" i="1"/>
  <c r="E2292" i="1"/>
  <c r="E2288" i="1"/>
  <c r="E2278" i="1"/>
  <c r="E2294" i="1"/>
  <c r="E2293" i="1"/>
  <c r="E2290" i="1"/>
  <c r="E2283" i="1"/>
  <c r="E2279" i="1"/>
  <c r="E2263" i="1"/>
  <c r="E2277" i="1"/>
  <c r="E2289" i="1"/>
  <c r="E2280" i="1"/>
  <c r="E2267" i="1"/>
  <c r="E2275" i="1"/>
  <c r="E2281" i="1"/>
  <c r="E2282" i="1"/>
  <c r="E2273" i="1"/>
  <c r="E2285" i="1"/>
  <c r="E2274" i="1"/>
  <c r="E2271" i="1"/>
  <c r="E2259" i="1"/>
  <c r="E2270" i="1"/>
  <c r="E2272" i="1"/>
  <c r="E2260" i="1"/>
  <c r="E2266" i="1"/>
  <c r="E2269" i="1"/>
  <c r="E2250" i="1"/>
  <c r="E2268" i="1"/>
  <c r="E1522" i="1"/>
  <c r="E2276" i="1"/>
  <c r="E1570" i="1"/>
  <c r="E2031" i="1"/>
  <c r="E1994" i="1"/>
  <c r="E2261" i="1"/>
  <c r="E2262" i="1"/>
  <c r="E2255" i="1"/>
  <c r="E2256" i="1"/>
  <c r="E2258" i="1"/>
  <c r="E2254" i="1"/>
  <c r="E2245" i="1"/>
  <c r="E2251" i="1"/>
  <c r="E2243" i="1"/>
  <c r="E2225" i="1"/>
  <c r="E2253" i="1"/>
  <c r="E2238" i="1"/>
  <c r="E2252" i="1"/>
  <c r="E2246" i="1"/>
  <c r="E2241" i="1"/>
  <c r="E2257" i="1"/>
  <c r="E2249" i="1"/>
  <c r="E2244" i="1"/>
  <c r="E2234" i="1"/>
  <c r="E2239" i="1"/>
  <c r="E2240" i="1"/>
  <c r="E2228" i="1"/>
  <c r="E2233" i="1"/>
  <c r="E2229" i="1"/>
  <c r="E2237" i="1"/>
  <c r="E2226" i="1"/>
  <c r="E2221" i="1"/>
  <c r="E2248" i="1"/>
  <c r="E2224" i="1"/>
  <c r="E2227" i="1"/>
  <c r="E2232" i="1"/>
  <c r="E2219" i="1"/>
  <c r="E2222" i="1"/>
  <c r="E2213" i="1"/>
  <c r="E2247" i="1"/>
  <c r="E2235" i="1"/>
  <c r="E2230" i="1"/>
  <c r="E2216" i="1"/>
  <c r="E2218" i="1"/>
  <c r="E2206" i="1"/>
  <c r="E2215" i="1"/>
  <c r="E2242" i="1"/>
  <c r="E2231" i="1"/>
  <c r="E2236" i="1"/>
  <c r="E2223" i="1"/>
  <c r="E2217" i="1"/>
  <c r="E2212" i="1"/>
  <c r="E2220" i="1"/>
  <c r="E2211" i="1"/>
  <c r="E2201" i="1"/>
  <c r="E2210" i="1"/>
  <c r="E2214" i="1"/>
  <c r="E2202" i="1"/>
  <c r="E2204" i="1"/>
  <c r="E2200" i="1"/>
  <c r="E2209" i="1"/>
  <c r="E2205" i="1"/>
  <c r="E2199" i="1"/>
  <c r="E2179" i="1"/>
  <c r="E2196" i="1"/>
  <c r="E2195" i="1"/>
  <c r="E2198" i="1"/>
  <c r="E2188" i="1"/>
  <c r="E2185" i="1"/>
  <c r="E1931" i="1"/>
  <c r="E2197" i="1"/>
  <c r="E2187" i="1"/>
  <c r="E2180" i="1"/>
  <c r="E2193" i="1"/>
  <c r="E2189" i="1"/>
  <c r="E2194" i="1"/>
  <c r="E2191" i="1"/>
  <c r="E2181" i="1"/>
  <c r="E2186" i="1"/>
  <c r="E2184" i="1"/>
  <c r="E2183" i="1"/>
  <c r="E2172" i="1"/>
  <c r="E2190" i="1"/>
  <c r="E2182" i="1"/>
  <c r="E2192" i="1"/>
  <c r="E2175" i="1"/>
  <c r="E2176" i="1"/>
  <c r="E2178" i="1"/>
  <c r="E2177" i="1"/>
  <c r="E2174" i="1"/>
  <c r="E2167" i="1"/>
  <c r="E2170" i="1"/>
  <c r="E2173" i="1"/>
  <c r="E2169" i="1"/>
  <c r="E2171" i="1"/>
  <c r="E2164" i="1"/>
  <c r="E2168" i="1"/>
  <c r="E2138" i="1"/>
  <c r="E2166" i="1"/>
  <c r="E2144" i="1"/>
  <c r="E2150" i="1"/>
  <c r="E2159" i="1"/>
  <c r="E2140" i="1"/>
  <c r="E2158" i="1"/>
  <c r="E2156" i="1"/>
  <c r="E2163" i="1"/>
  <c r="E2162" i="1"/>
  <c r="E2155" i="1"/>
  <c r="E2165" i="1"/>
  <c r="E2161" i="1"/>
  <c r="E2157" i="1"/>
  <c r="E2160" i="1"/>
  <c r="E2141" i="1"/>
  <c r="E1247" i="1"/>
  <c r="E2148" i="1"/>
  <c r="E2139" i="1"/>
  <c r="E1851" i="1"/>
  <c r="E2149" i="1"/>
  <c r="E2152" i="1"/>
  <c r="E2147" i="1"/>
  <c r="E2145" i="1"/>
  <c r="E2146" i="1"/>
  <c r="E2153" i="1"/>
  <c r="E2135" i="1"/>
  <c r="E1840" i="1"/>
  <c r="E2136" i="1"/>
  <c r="E1839" i="1"/>
  <c r="E2131" i="1"/>
  <c r="E2143" i="1"/>
  <c r="E2137" i="1"/>
  <c r="E2142" i="1"/>
  <c r="E2129" i="1"/>
  <c r="E2134" i="1"/>
  <c r="E2119" i="1"/>
  <c r="E2133" i="1"/>
  <c r="E2130" i="1"/>
  <c r="E2128" i="1"/>
  <c r="E2132" i="1"/>
  <c r="E2121" i="1"/>
  <c r="E2124" i="1"/>
  <c r="E2117" i="1"/>
  <c r="E2118" i="1"/>
  <c r="E2126" i="1"/>
  <c r="E2122" i="1"/>
  <c r="E2113" i="1"/>
  <c r="E2111" i="1"/>
  <c r="E2105" i="1"/>
  <c r="E2104" i="1"/>
  <c r="E2123" i="1"/>
  <c r="E2120" i="1"/>
  <c r="E2115" i="1"/>
  <c r="E2127" i="1"/>
  <c r="E2125" i="1"/>
  <c r="E2090" i="1"/>
  <c r="E2110" i="1"/>
  <c r="E2108" i="1"/>
  <c r="E2116" i="1"/>
  <c r="E1996" i="1"/>
  <c r="E2114" i="1"/>
  <c r="E2109" i="1"/>
  <c r="E2106" i="1"/>
  <c r="E2112" i="1"/>
  <c r="E2107" i="1"/>
  <c r="E2102" i="1"/>
  <c r="E2099" i="1"/>
  <c r="E2101" i="1"/>
  <c r="E2103" i="1"/>
  <c r="E2100" i="1"/>
  <c r="E2093" i="1"/>
  <c r="E2091" i="1"/>
  <c r="E2098" i="1"/>
  <c r="E2095" i="1"/>
  <c r="E2096" i="1"/>
  <c r="E1493" i="1"/>
  <c r="E2092" i="1"/>
  <c r="E2097" i="1"/>
  <c r="E2094" i="1"/>
  <c r="E1878" i="1"/>
  <c r="E2089" i="1"/>
  <c r="E2086" i="1"/>
  <c r="E2082" i="1"/>
  <c r="E2055" i="1"/>
  <c r="E2028" i="1"/>
  <c r="E2088" i="1"/>
  <c r="E2080" i="1"/>
  <c r="E2087" i="1"/>
  <c r="E2084" i="1"/>
  <c r="E2083" i="1"/>
  <c r="E2085" i="1"/>
  <c r="E1814" i="1"/>
  <c r="E2053" i="1"/>
  <c r="E2070" i="1"/>
  <c r="E2065" i="1"/>
  <c r="E2076" i="1"/>
  <c r="E2081" i="1"/>
  <c r="E2075" i="1"/>
  <c r="E2078" i="1"/>
  <c r="E2079" i="1"/>
  <c r="E1754" i="1"/>
  <c r="E1477" i="1"/>
  <c r="E1012" i="1"/>
  <c r="E2077" i="1"/>
  <c r="E2072" i="1"/>
  <c r="E2067" i="1"/>
  <c r="E2002" i="1"/>
  <c r="E2003" i="1"/>
  <c r="E2071" i="1"/>
  <c r="E2068" i="1"/>
  <c r="E2073" i="1"/>
  <c r="E2074" i="1"/>
  <c r="E2063" i="1"/>
  <c r="E2061" i="1"/>
  <c r="E2062" i="1"/>
  <c r="E1723" i="1"/>
  <c r="E2060" i="1"/>
  <c r="E2054" i="1"/>
  <c r="E2066" i="1"/>
  <c r="E2058" i="1"/>
  <c r="E2057" i="1"/>
  <c r="E2048" i="1"/>
  <c r="E2064" i="1"/>
  <c r="E2056" i="1"/>
  <c r="E1986" i="1"/>
  <c r="E2046" i="1"/>
  <c r="E2038" i="1"/>
  <c r="E2047" i="1"/>
  <c r="E2037" i="1"/>
  <c r="E2045" i="1"/>
  <c r="E1969" i="1"/>
  <c r="E2044" i="1"/>
  <c r="E1999" i="1"/>
  <c r="E2040" i="1"/>
  <c r="E2049" i="1"/>
  <c r="E2050" i="1"/>
  <c r="E2052" i="1"/>
  <c r="E2051" i="1"/>
  <c r="E2033" i="1"/>
  <c r="E2041" i="1"/>
  <c r="E1990" i="1"/>
  <c r="E2012" i="1"/>
  <c r="E2021" i="1"/>
  <c r="E2016" i="1"/>
  <c r="E2014" i="1"/>
  <c r="E2004" i="1"/>
  <c r="E2042" i="1"/>
  <c r="E2043" i="1"/>
  <c r="E2026" i="1"/>
  <c r="E2025" i="1"/>
  <c r="E2020" i="1"/>
  <c r="E2029" i="1"/>
  <c r="E2030" i="1"/>
  <c r="E2017" i="1"/>
  <c r="E2008" i="1"/>
  <c r="E2039" i="1"/>
  <c r="E2035" i="1"/>
  <c r="E2027" i="1"/>
  <c r="E2024" i="1"/>
  <c r="E1981" i="1"/>
  <c r="E2022" i="1"/>
  <c r="E2032" i="1"/>
  <c r="E2011" i="1"/>
  <c r="E2013" i="1"/>
  <c r="E2006" i="1"/>
  <c r="E2019" i="1"/>
  <c r="E2036" i="1"/>
  <c r="E2034" i="1"/>
  <c r="E2023" i="1"/>
  <c r="E2005" i="1"/>
  <c r="E2018" i="1"/>
  <c r="E2015" i="1"/>
  <c r="E2000" i="1"/>
  <c r="E2007" i="1"/>
  <c r="E1993" i="1"/>
  <c r="E1838" i="1"/>
  <c r="E1992" i="1"/>
  <c r="E2009" i="1"/>
  <c r="E1998" i="1"/>
  <c r="E2001" i="1"/>
  <c r="E1976" i="1"/>
  <c r="E1997" i="1"/>
  <c r="E1991" i="1"/>
  <c r="E1995" i="1"/>
  <c r="E1987" i="1"/>
  <c r="E1982" i="1"/>
  <c r="E1965" i="1"/>
  <c r="E1968" i="1"/>
  <c r="E1983" i="1"/>
  <c r="E1967" i="1"/>
  <c r="E1988" i="1"/>
  <c r="E1966" i="1"/>
  <c r="E1975" i="1"/>
  <c r="E1980" i="1"/>
  <c r="E1940" i="1"/>
  <c r="E1925" i="1"/>
  <c r="E1989" i="1"/>
  <c r="E1979" i="1"/>
  <c r="E1978" i="1"/>
  <c r="E1984" i="1"/>
  <c r="E1985" i="1"/>
  <c r="E1977" i="1"/>
  <c r="E1964" i="1"/>
  <c r="E1973" i="1"/>
  <c r="E1947" i="1"/>
  <c r="E1971" i="1"/>
  <c r="E1944" i="1"/>
  <c r="E1970" i="1"/>
  <c r="E1945" i="1"/>
  <c r="E1972" i="1"/>
  <c r="E1974" i="1"/>
  <c r="E1471" i="1"/>
  <c r="E1813" i="1"/>
  <c r="E1934" i="1"/>
  <c r="E1953" i="1"/>
  <c r="E1957" i="1"/>
  <c r="E1943" i="1"/>
  <c r="E1935" i="1"/>
  <c r="E1963" i="1"/>
  <c r="E1905" i="1"/>
  <c r="E1942" i="1"/>
  <c r="E1933" i="1"/>
  <c r="E1952" i="1"/>
  <c r="E1959" i="1"/>
  <c r="E1946" i="1"/>
  <c r="E1948" i="1"/>
  <c r="E1956" i="1"/>
  <c r="E1960" i="1"/>
  <c r="E1958" i="1"/>
  <c r="E1955" i="1"/>
  <c r="E1961" i="1"/>
  <c r="E1941" i="1"/>
  <c r="E1962" i="1"/>
  <c r="E1954" i="1"/>
  <c r="E1950" i="1"/>
  <c r="E1951" i="1"/>
  <c r="E1937" i="1"/>
  <c r="E1936" i="1"/>
  <c r="E1917" i="1"/>
  <c r="E1938" i="1"/>
  <c r="E1930" i="1"/>
  <c r="E1939" i="1"/>
  <c r="E1929" i="1"/>
  <c r="E1907" i="1"/>
  <c r="E1888" i="1"/>
  <c r="E1928" i="1"/>
  <c r="E1676" i="1"/>
  <c r="E1932" i="1"/>
  <c r="E1927" i="1"/>
  <c r="E1915" i="1"/>
  <c r="E1924" i="1"/>
  <c r="E1923" i="1"/>
  <c r="E1914" i="1"/>
  <c r="E1911" i="1"/>
  <c r="E1886" i="1"/>
  <c r="E1913" i="1"/>
  <c r="E1903" i="1"/>
  <c r="E1902" i="1"/>
  <c r="E1889" i="1"/>
  <c r="E1922" i="1"/>
  <c r="E1901" i="1"/>
  <c r="E1906" i="1"/>
  <c r="E1921" i="1"/>
  <c r="E1916" i="1"/>
  <c r="E1904" i="1"/>
  <c r="E1910" i="1"/>
  <c r="E1918" i="1"/>
  <c r="E1882" i="1"/>
  <c r="E1912" i="1"/>
  <c r="E1899" i="1"/>
  <c r="E1920" i="1"/>
  <c r="E1908" i="1"/>
  <c r="E1919" i="1"/>
  <c r="E1909" i="1"/>
  <c r="E1890" i="1"/>
  <c r="E1894" i="1"/>
  <c r="E1871" i="1"/>
  <c r="E1716" i="1"/>
  <c r="E1897" i="1"/>
  <c r="E1895" i="1"/>
  <c r="E1885" i="1"/>
  <c r="E1898" i="1"/>
  <c r="E1892" i="1"/>
  <c r="E1893" i="1"/>
  <c r="E1887" i="1"/>
  <c r="E1900" i="1"/>
  <c r="E1883" i="1"/>
  <c r="E1865" i="1"/>
  <c r="E1884" i="1"/>
  <c r="E1896" i="1"/>
  <c r="E1857" i="1"/>
  <c r="E1852" i="1"/>
  <c r="E1868" i="1"/>
  <c r="E1867" i="1"/>
  <c r="E1579" i="1"/>
  <c r="E1879" i="1"/>
  <c r="E1891" i="1"/>
  <c r="E1873" i="1"/>
  <c r="E1863" i="1"/>
  <c r="E1870" i="1"/>
  <c r="E1876" i="1"/>
  <c r="E1869" i="1"/>
  <c r="E1926" i="1"/>
  <c r="E1875" i="1"/>
  <c r="E1872" i="1"/>
  <c r="E1836" i="1"/>
  <c r="E1881" i="1"/>
  <c r="E1874" i="1"/>
  <c r="E1864" i="1"/>
  <c r="E1866" i="1"/>
  <c r="E1574" i="1"/>
  <c r="E1849" i="1"/>
  <c r="E1848" i="1"/>
  <c r="E1837" i="1"/>
  <c r="E1860" i="1"/>
  <c r="E1850" i="1"/>
  <c r="E1853" i="1"/>
  <c r="E1846" i="1"/>
  <c r="E1862" i="1"/>
  <c r="E1858" i="1"/>
  <c r="E1854" i="1"/>
  <c r="E1880" i="1"/>
  <c r="E1877" i="1"/>
  <c r="E1859" i="1"/>
  <c r="E1842" i="1"/>
  <c r="E1856" i="1"/>
  <c r="E1855" i="1"/>
  <c r="E1861" i="1"/>
  <c r="E1845" i="1"/>
  <c r="E1843" i="1"/>
  <c r="E1834" i="1"/>
  <c r="E1818" i="1"/>
  <c r="E1821" i="1"/>
  <c r="E1819" i="1"/>
  <c r="E1847" i="1"/>
  <c r="E1833" i="1"/>
  <c r="E1827" i="1"/>
  <c r="E1830" i="1"/>
  <c r="E1822" i="1"/>
  <c r="E1831" i="1"/>
  <c r="E1841" i="1"/>
  <c r="E1826" i="1"/>
  <c r="E1825" i="1"/>
  <c r="E1829" i="1"/>
  <c r="E1823" i="1"/>
  <c r="E1844" i="1"/>
  <c r="E1835" i="1"/>
  <c r="E1832" i="1"/>
  <c r="E1824" i="1"/>
  <c r="E1828" i="1"/>
  <c r="E1820" i="1"/>
  <c r="E1804" i="1"/>
  <c r="E1816" i="1"/>
  <c r="E1803" i="1"/>
  <c r="E1817" i="1"/>
  <c r="E1807" i="1"/>
  <c r="E1812" i="1"/>
  <c r="E1806" i="1"/>
  <c r="E1809" i="1"/>
  <c r="E1608" i="1"/>
  <c r="E1815" i="1"/>
  <c r="E1808" i="1"/>
  <c r="E1811" i="1"/>
  <c r="E1805" i="1"/>
  <c r="E1810" i="1"/>
  <c r="E1097" i="1"/>
  <c r="E1801" i="1"/>
  <c r="E1799" i="1"/>
  <c r="E1791" i="1"/>
  <c r="E1797" i="1"/>
  <c r="E1800" i="1"/>
  <c r="E1766" i="1"/>
  <c r="E1794" i="1"/>
  <c r="E1802" i="1"/>
  <c r="E1793" i="1"/>
  <c r="E1775" i="1"/>
  <c r="E1328" i="1"/>
  <c r="Y3917" i="1"/>
  <c r="AA3917" i="1"/>
  <c r="X3" i="1"/>
  <c r="X3917" i="1" s="1"/>
  <c r="CU3917" i="1"/>
  <c r="E1796" i="1"/>
  <c r="E1792" i="1"/>
  <c r="E1798" i="1"/>
  <c r="E1789" i="1"/>
  <c r="E1787" i="1"/>
  <c r="E1784" i="1"/>
  <c r="E1774" i="1"/>
  <c r="E1781" i="1"/>
  <c r="E1786" i="1"/>
  <c r="E1782" i="1"/>
  <c r="E1783" i="1"/>
  <c r="E1779" i="1"/>
  <c r="E1790" i="1"/>
  <c r="E1776" i="1"/>
  <c r="E1788" i="1"/>
  <c r="E1773" i="1"/>
  <c r="E1795" i="1"/>
  <c r="E1785" i="1"/>
  <c r="E1777" i="1"/>
  <c r="E1780" i="1"/>
  <c r="E1778" i="1"/>
  <c r="E1771" i="1"/>
  <c r="E1768" i="1"/>
  <c r="E1756" i="1"/>
  <c r="E1767" i="1"/>
  <c r="E1762" i="1"/>
  <c r="E1770" i="1"/>
  <c r="E1765" i="1"/>
  <c r="E1769" i="1"/>
  <c r="E1761" i="1"/>
  <c r="E1293" i="1"/>
  <c r="E1753" i="1"/>
  <c r="E1704" i="1"/>
  <c r="E1751" i="1"/>
  <c r="E1764" i="1"/>
  <c r="E1772" i="1"/>
  <c r="E1763" i="1"/>
  <c r="E1759" i="1"/>
  <c r="E1757" i="1"/>
  <c r="E1744" i="1"/>
  <c r="E1760" i="1"/>
  <c r="E1758" i="1"/>
  <c r="E1741" i="1"/>
  <c r="E1666" i="1"/>
  <c r="E1743" i="1"/>
  <c r="E1010" i="1"/>
  <c r="E1638" i="1"/>
  <c r="E1755" i="1"/>
  <c r="E1747" i="1"/>
  <c r="E1749" i="1"/>
  <c r="E1733" i="1"/>
  <c r="E1734" i="1"/>
  <c r="E1750" i="1"/>
  <c r="E1725" i="1"/>
  <c r="E1748" i="1"/>
  <c r="E1727" i="1"/>
  <c r="E1735" i="1"/>
  <c r="E1728" i="1"/>
  <c r="E1739" i="1"/>
  <c r="E1746" i="1"/>
  <c r="E1737" i="1"/>
  <c r="E1736" i="1"/>
  <c r="E1752" i="1"/>
  <c r="E1740" i="1"/>
  <c r="E1738" i="1"/>
  <c r="E1641" i="1"/>
  <c r="E1591" i="1"/>
  <c r="E1713" i="1"/>
  <c r="E1745" i="1"/>
  <c r="E1732" i="1"/>
  <c r="E1719" i="1"/>
  <c r="E1731" i="1"/>
  <c r="E1694" i="1"/>
  <c r="E1729" i="1"/>
  <c r="E1698" i="1"/>
  <c r="E1718" i="1"/>
  <c r="E1708" i="1"/>
  <c r="E1714" i="1"/>
  <c r="E1695" i="1"/>
  <c r="E1720" i="1"/>
  <c r="E1703" i="1"/>
  <c r="E1712" i="1"/>
  <c r="E1715" i="1"/>
  <c r="E1677" i="1"/>
  <c r="E1721" i="1"/>
  <c r="E1717" i="1"/>
  <c r="E1722" i="1"/>
  <c r="E1724" i="1"/>
  <c r="E1710" i="1"/>
  <c r="E1700" i="1"/>
  <c r="E1660" i="1"/>
  <c r="E1664" i="1"/>
  <c r="E1687" i="1"/>
  <c r="E1693" i="1"/>
  <c r="E1650" i="1"/>
  <c r="E1679" i="1"/>
  <c r="E1701" i="1"/>
  <c r="E1697" i="1"/>
  <c r="E1706" i="1"/>
  <c r="E1678" i="1"/>
  <c r="E1685" i="1"/>
  <c r="E1668" i="1"/>
  <c r="E1682" i="1"/>
  <c r="E1726" i="1"/>
  <c r="E1705" i="1"/>
  <c r="E1709" i="1"/>
  <c r="E1696" i="1"/>
  <c r="E1675" i="1"/>
  <c r="E1683" i="1"/>
  <c r="E1688" i="1"/>
  <c r="E1690" i="1"/>
  <c r="E1681" i="1"/>
  <c r="E1711" i="1"/>
  <c r="E1699" i="1"/>
  <c r="E1702" i="1"/>
  <c r="E1680" i="1"/>
  <c r="E1684" i="1"/>
  <c r="E1686" i="1"/>
  <c r="E1689" i="1"/>
  <c r="E1692" i="1"/>
  <c r="E1730" i="1"/>
  <c r="E1667" i="1"/>
  <c r="E1691" i="1"/>
  <c r="E1671" i="1"/>
  <c r="E1670" i="1"/>
  <c r="E1674" i="1"/>
  <c r="E1673" i="1"/>
  <c r="E1665" i="1"/>
  <c r="E1658" i="1"/>
  <c r="E1672" i="1"/>
  <c r="E1662" i="1"/>
  <c r="E1657" i="1"/>
  <c r="E1656" i="1"/>
  <c r="E1669" i="1"/>
  <c r="E1663" i="1"/>
  <c r="E1436" i="1"/>
  <c r="E1661" i="1"/>
  <c r="E1622" i="1"/>
  <c r="E1639" i="1"/>
  <c r="E1648" i="1"/>
  <c r="E1655" i="1"/>
  <c r="E1635" i="1"/>
  <c r="E1645" i="1"/>
  <c r="E1659" i="1"/>
  <c r="E1642" i="1"/>
  <c r="E1653" i="1"/>
  <c r="E1647" i="1"/>
  <c r="E1644" i="1"/>
  <c r="E1329" i="1"/>
  <c r="E1640" i="1"/>
  <c r="E1342" i="1"/>
  <c r="E1646" i="1"/>
  <c r="E1643" i="1"/>
  <c r="E1654" i="1"/>
  <c r="E1540" i="1"/>
  <c r="E1633" i="1"/>
  <c r="E1627" i="1"/>
  <c r="E1649" i="1"/>
  <c r="E1637" i="1"/>
  <c r="E1527" i="1"/>
  <c r="E1526" i="1"/>
  <c r="E1651" i="1"/>
  <c r="E1631" i="1"/>
  <c r="E1628" i="1"/>
  <c r="E1652" i="1"/>
  <c r="E1600" i="1"/>
  <c r="E1634" i="1"/>
  <c r="E1626" i="1"/>
  <c r="E1630" i="1"/>
  <c r="E1612" i="1"/>
  <c r="E1636" i="1"/>
  <c r="E1632" i="1"/>
  <c r="E1629" i="1"/>
  <c r="E1615" i="1"/>
  <c r="E1618" i="1"/>
  <c r="E1616" i="1"/>
  <c r="E1621" i="1"/>
  <c r="E1624" i="1"/>
  <c r="E1613" i="1"/>
  <c r="E1602" i="1"/>
  <c r="E1601" i="1"/>
  <c r="E1451" i="1"/>
  <c r="E1598" i="1"/>
  <c r="E1619" i="1"/>
  <c r="E1605" i="1"/>
  <c r="E1611" i="1"/>
  <c r="E1572" i="1"/>
  <c r="E1604" i="1"/>
  <c r="E1617" i="1"/>
  <c r="E1594" i="1"/>
  <c r="E1609" i="1"/>
  <c r="E1607" i="1"/>
  <c r="E1614" i="1"/>
  <c r="E1557" i="1"/>
  <c r="E1620" i="1"/>
  <c r="E1623" i="1"/>
  <c r="E1603" i="1"/>
  <c r="E1610" i="1"/>
  <c r="E1606" i="1"/>
  <c r="E1599" i="1"/>
  <c r="E1597" i="1"/>
  <c r="E1516" i="1"/>
  <c r="E1542" i="1"/>
  <c r="E1593" i="1"/>
  <c r="E1504" i="1"/>
  <c r="E1564" i="1"/>
  <c r="E1595" i="1"/>
  <c r="E1596" i="1"/>
  <c r="E1525" i="1"/>
  <c r="E1167" i="1"/>
  <c r="E1414" i="1"/>
  <c r="E1592" i="1"/>
  <c r="E1589" i="1"/>
  <c r="E1590" i="1"/>
  <c r="E1585" i="1"/>
  <c r="E1576" i="1"/>
  <c r="E948" i="1"/>
  <c r="E947" i="1"/>
  <c r="E1359" i="1"/>
  <c r="E1500" i="1"/>
  <c r="E1353" i="1"/>
  <c r="E1352" i="1"/>
  <c r="E1582" i="1"/>
  <c r="E1562" i="1"/>
  <c r="E1573" i="1"/>
  <c r="E1553" i="1"/>
  <c r="E1581" i="1"/>
  <c r="E1575" i="1"/>
  <c r="E1571" i="1"/>
  <c r="E1583" i="1"/>
  <c r="E1578" i="1"/>
  <c r="E1561" i="1"/>
  <c r="E1580" i="1"/>
  <c r="E1587" i="1"/>
  <c r="E1584" i="1"/>
  <c r="E1566" i="1"/>
  <c r="E1577" i="1"/>
  <c r="E1586" i="1"/>
  <c r="E1565" i="1"/>
  <c r="E1563" i="1"/>
  <c r="E1568" i="1"/>
  <c r="E1567" i="1"/>
  <c r="E1569" i="1"/>
  <c r="E1559" i="1"/>
  <c r="E1549" i="1"/>
  <c r="E1550" i="1"/>
  <c r="E1554" i="1"/>
  <c r="E1538" i="1"/>
  <c r="E1541" i="1"/>
  <c r="E1558" i="1"/>
  <c r="E1514" i="1"/>
  <c r="E1539" i="1"/>
  <c r="E1548" i="1"/>
  <c r="E1537" i="1"/>
  <c r="E1555" i="1"/>
  <c r="E1552" i="1"/>
  <c r="E1556" i="1"/>
  <c r="E1547" i="1"/>
  <c r="E1491" i="1"/>
  <c r="E1551" i="1"/>
  <c r="E1512" i="1"/>
  <c r="E1536" i="1"/>
  <c r="E1531" i="1"/>
  <c r="E1545" i="1"/>
  <c r="E1543" i="1"/>
  <c r="E1492" i="1"/>
  <c r="E1546" i="1"/>
  <c r="E1544" i="1"/>
  <c r="E1532" i="1"/>
  <c r="E1517" i="1"/>
  <c r="E1519" i="1"/>
  <c r="E1520" i="1"/>
  <c r="E1534" i="1"/>
  <c r="E1529" i="1"/>
  <c r="E1533" i="1"/>
  <c r="E1528" i="1"/>
  <c r="E1484" i="1"/>
  <c r="E1535" i="1"/>
  <c r="E1511" i="1"/>
  <c r="E1515" i="1"/>
  <c r="E1530" i="1"/>
  <c r="E1524" i="1"/>
  <c r="E1560" i="1"/>
  <c r="E1518" i="1"/>
  <c r="E1481" i="1"/>
  <c r="E1510" i="1"/>
  <c r="E1488" i="1"/>
  <c r="E1490" i="1"/>
  <c r="E1499" i="1"/>
  <c r="E1506" i="1"/>
  <c r="E1449" i="1"/>
  <c r="E1513" i="1"/>
  <c r="E1473" i="1"/>
  <c r="E1450" i="1"/>
  <c r="E1498" i="1"/>
  <c r="E1523" i="1"/>
  <c r="E1479" i="1"/>
  <c r="E1508" i="1"/>
  <c r="E1507" i="1"/>
  <c r="E1489" i="1"/>
  <c r="E1482" i="1"/>
  <c r="E1521" i="1"/>
  <c r="E1495" i="1"/>
  <c r="E1475" i="1"/>
  <c r="E1474" i="1"/>
  <c r="E1502" i="1"/>
  <c r="E1486" i="1"/>
  <c r="E473" i="1"/>
  <c r="E1509" i="1"/>
  <c r="E1494" i="1"/>
  <c r="E1483" i="1"/>
  <c r="E1501" i="1"/>
  <c r="E1480" i="1"/>
  <c r="E1497" i="1"/>
  <c r="E1503" i="1"/>
  <c r="E1505" i="1"/>
  <c r="E1487" i="1"/>
  <c r="E1485" i="1"/>
  <c r="E1478" i="1"/>
  <c r="E1496" i="1"/>
  <c r="E1160" i="1"/>
  <c r="E1476" i="1"/>
  <c r="E1200" i="1"/>
  <c r="E1462" i="1"/>
  <c r="E1438" i="1"/>
  <c r="E1469" i="1"/>
  <c r="E1467" i="1"/>
  <c r="E1458" i="1"/>
  <c r="E1466" i="1"/>
  <c r="E1457" i="1"/>
  <c r="E1463" i="1"/>
  <c r="E1464" i="1"/>
  <c r="E1468" i="1"/>
  <c r="E1461" i="1"/>
  <c r="E1470" i="1"/>
  <c r="E1465" i="1"/>
  <c r="E1453" i="1"/>
  <c r="E1442" i="1"/>
  <c r="E1459" i="1"/>
  <c r="E1456" i="1"/>
  <c r="E1447" i="1"/>
  <c r="E1460" i="1"/>
  <c r="E1472" i="1"/>
  <c r="E1454" i="1"/>
  <c r="E1455" i="1"/>
  <c r="E1448" i="1"/>
  <c r="E1452" i="1"/>
  <c r="E1182" i="1"/>
  <c r="E1440" i="1"/>
  <c r="E1439" i="1"/>
  <c r="E1260" i="1"/>
  <c r="E1434" i="1"/>
  <c r="E1444" i="1"/>
  <c r="E1446" i="1"/>
  <c r="E1428" i="1"/>
  <c r="E1425" i="1"/>
  <c r="E1445" i="1"/>
  <c r="E1435" i="1"/>
  <c r="E1437" i="1"/>
  <c r="E1259" i="1"/>
  <c r="E1441" i="1"/>
  <c r="E1433" i="1"/>
  <c r="E1443" i="1"/>
  <c r="E1431" i="1"/>
  <c r="E1430" i="1"/>
  <c r="E1423" i="1"/>
  <c r="E1373" i="1"/>
  <c r="E1418" i="1"/>
  <c r="E1432" i="1"/>
  <c r="E1429" i="1"/>
  <c r="E1426" i="1"/>
  <c r="E1384" i="1"/>
  <c r="E1405" i="1"/>
  <c r="E1412" i="1"/>
  <c r="E1419" i="1"/>
  <c r="E1399" i="1"/>
  <c r="E1427" i="1"/>
  <c r="E1424" i="1"/>
  <c r="E1388" i="1"/>
  <c r="E1417" i="1"/>
  <c r="E1421" i="1"/>
  <c r="E1416" i="1"/>
  <c r="E1372" i="1"/>
  <c r="E1411" i="1"/>
  <c r="E1420" i="1"/>
  <c r="E1413" i="1"/>
  <c r="E1407" i="1"/>
  <c r="E1415" i="1"/>
  <c r="E1397" i="1"/>
  <c r="E1422" i="1"/>
  <c r="E1406" i="1"/>
  <c r="E854" i="1"/>
  <c r="E1409" i="1"/>
  <c r="E1394" i="1"/>
  <c r="E1400" i="1"/>
  <c r="E1386" i="1"/>
  <c r="E1392" i="1"/>
  <c r="E1387" i="1"/>
  <c r="E1370" i="1"/>
  <c r="E1374" i="1"/>
  <c r="E1408" i="1"/>
  <c r="E1401" i="1"/>
  <c r="E1393" i="1"/>
  <c r="E1381" i="1"/>
  <c r="E1369" i="1"/>
  <c r="E1403" i="1"/>
  <c r="E1396" i="1"/>
  <c r="E1391" i="1"/>
  <c r="E1390" i="1"/>
  <c r="E1382" i="1"/>
  <c r="E1371" i="1"/>
  <c r="E1363" i="1"/>
  <c r="E1404" i="1"/>
  <c r="E1395" i="1"/>
  <c r="E1402" i="1"/>
  <c r="E1398" i="1"/>
  <c r="E1383" i="1"/>
  <c r="E1389" i="1"/>
  <c r="E1385" i="1"/>
  <c r="E1364" i="1"/>
  <c r="E1375" i="1"/>
  <c r="E1379" i="1"/>
  <c r="E1377" i="1"/>
  <c r="E1376" i="1"/>
  <c r="E1378" i="1"/>
  <c r="E1380" i="1"/>
  <c r="E1365" i="1"/>
  <c r="E1330" i="1"/>
  <c r="E1294" i="1"/>
  <c r="E1366" i="1"/>
  <c r="E1327" i="1"/>
  <c r="E1367" i="1"/>
  <c r="E1354" i="1"/>
  <c r="E1362" i="1"/>
  <c r="E1368" i="1"/>
  <c r="E747" i="1"/>
  <c r="E1347" i="1"/>
  <c r="E1345" i="1"/>
  <c r="E1358" i="1"/>
  <c r="E1269" i="1"/>
  <c r="E1309" i="1"/>
  <c r="E1334" i="1"/>
  <c r="E1355" i="1"/>
  <c r="E1338" i="1"/>
  <c r="E1357" i="1"/>
  <c r="E1339" i="1"/>
  <c r="E1348" i="1"/>
  <c r="E1346" i="1"/>
  <c r="E1316" i="1"/>
  <c r="E1270" i="1"/>
  <c r="E1297" i="1"/>
  <c r="E1332" i="1"/>
  <c r="E1340" i="1"/>
  <c r="E1337" i="1"/>
  <c r="E1341" i="1"/>
  <c r="E1351" i="1"/>
  <c r="E1349" i="1"/>
  <c r="E1268" i="1"/>
  <c r="E1310" i="1"/>
  <c r="E1350" i="1"/>
  <c r="E1361" i="1"/>
  <c r="E1356" i="1"/>
  <c r="E1331" i="1"/>
  <c r="E1333" i="1"/>
  <c r="E1267" i="1"/>
  <c r="E1308" i="1"/>
  <c r="E1344" i="1"/>
  <c r="E1336" i="1"/>
  <c r="E1317" i="1"/>
  <c r="E1295" i="1"/>
  <c r="E1343" i="1"/>
  <c r="E1360" i="1"/>
  <c r="E1296" i="1"/>
  <c r="E1335" i="1"/>
  <c r="E1323" i="1"/>
  <c r="E1325" i="1"/>
  <c r="E1307" i="1"/>
  <c r="E1306" i="1"/>
  <c r="E1303" i="1"/>
  <c r="E1300" i="1"/>
  <c r="E1275" i="1"/>
  <c r="E1245" i="1"/>
  <c r="E1186" i="1"/>
  <c r="E1262" i="1"/>
  <c r="E1321" i="1"/>
  <c r="E1312" i="1"/>
  <c r="E1315" i="1"/>
  <c r="E1313" i="1"/>
  <c r="E1301" i="1"/>
  <c r="E1251" i="1"/>
  <c r="E1276" i="1"/>
  <c r="E1253" i="1"/>
  <c r="E1302" i="1"/>
  <c r="E1273" i="1"/>
  <c r="E1311" i="1"/>
  <c r="E1322" i="1"/>
  <c r="E1305" i="1"/>
  <c r="E1319" i="1"/>
  <c r="E1304" i="1"/>
  <c r="E1264" i="1"/>
  <c r="E1277" i="1"/>
  <c r="E1278" i="1"/>
  <c r="E1197" i="1"/>
  <c r="E1271" i="1"/>
  <c r="E1272" i="1"/>
  <c r="E1326" i="1"/>
  <c r="E1324" i="1"/>
  <c r="E1320" i="1"/>
  <c r="E1318" i="1"/>
  <c r="E1299" i="1"/>
  <c r="E1314" i="1"/>
  <c r="E1274" i="1"/>
  <c r="E1252" i="1"/>
  <c r="E1196" i="1"/>
  <c r="E1266" i="1"/>
  <c r="E870" i="1"/>
  <c r="E1284" i="1"/>
  <c r="E1115" i="1"/>
  <c r="E1298" i="1"/>
  <c r="E1280" i="1"/>
  <c r="E1279" i="1"/>
  <c r="E1283" i="1"/>
  <c r="E1287" i="1"/>
  <c r="E1232" i="1"/>
  <c r="E1292" i="1"/>
  <c r="E1289" i="1"/>
  <c r="E1282" i="1"/>
  <c r="E1291" i="1"/>
  <c r="E1265" i="1"/>
  <c r="E1288" i="1"/>
  <c r="E1290" i="1"/>
  <c r="E1285" i="1"/>
  <c r="E1281" i="1"/>
  <c r="E1248" i="1"/>
  <c r="E1286" i="1"/>
  <c r="E1263" i="1"/>
  <c r="E1261" i="1"/>
  <c r="E1249" i="1"/>
  <c r="E1242" i="1"/>
  <c r="E1227" i="1"/>
  <c r="E1256" i="1"/>
  <c r="E1239" i="1"/>
  <c r="E1235" i="1"/>
  <c r="E1225" i="1"/>
  <c r="E1238" i="1"/>
  <c r="E1246" i="1"/>
  <c r="E1228" i="1"/>
  <c r="E1241" i="1"/>
  <c r="E1243" i="1"/>
  <c r="E1258" i="1"/>
  <c r="E1230" i="1"/>
  <c r="E1234" i="1"/>
  <c r="E1244" i="1"/>
  <c r="E1233" i="1"/>
  <c r="E1237" i="1"/>
  <c r="E1195" i="1"/>
  <c r="E1229" i="1"/>
  <c r="E1254" i="1"/>
  <c r="E1257" i="1"/>
  <c r="E1216" i="1"/>
  <c r="E1255" i="1"/>
  <c r="E1240" i="1"/>
  <c r="E1231" i="1"/>
  <c r="E1236" i="1"/>
  <c r="E1226" i="1"/>
  <c r="E1250" i="1"/>
  <c r="E1213" i="1"/>
  <c r="E1218" i="1"/>
  <c r="E1215" i="1"/>
  <c r="E1201" i="1"/>
  <c r="E1185" i="1"/>
  <c r="E1221" i="1"/>
  <c r="E1220" i="1"/>
  <c r="E1203" i="1"/>
  <c r="E1209" i="1"/>
  <c r="E1211" i="1"/>
  <c r="E1224" i="1"/>
  <c r="E1222" i="1"/>
  <c r="E1219" i="1"/>
  <c r="E1206" i="1"/>
  <c r="E1207" i="1"/>
  <c r="E1212" i="1"/>
  <c r="E1214" i="1"/>
  <c r="E1217" i="1"/>
  <c r="E1205" i="1"/>
  <c r="E1184" i="1"/>
  <c r="E1210" i="1"/>
  <c r="E1208" i="1"/>
  <c r="E1202" i="1"/>
  <c r="E1223" i="1"/>
  <c r="E1198" i="1"/>
  <c r="E1192" i="1"/>
  <c r="E1194" i="1"/>
  <c r="E1193" i="1"/>
  <c r="E1112" i="1"/>
  <c r="E1176" i="1"/>
  <c r="E1169" i="1"/>
  <c r="E1089" i="1"/>
  <c r="E1204" i="1"/>
  <c r="E1199" i="1"/>
  <c r="E573" i="1"/>
  <c r="E1191" i="1"/>
  <c r="E1181" i="1"/>
  <c r="E1174" i="1"/>
  <c r="E1187" i="1"/>
  <c r="E1170" i="1"/>
  <c r="E1173" i="1"/>
  <c r="E1180" i="1"/>
  <c r="E1164" i="1"/>
  <c r="E1189" i="1"/>
  <c r="E1171" i="1"/>
  <c r="E1188" i="1"/>
  <c r="E1179" i="1"/>
  <c r="E1175" i="1"/>
  <c r="E1168" i="1"/>
  <c r="E1190" i="1"/>
  <c r="E1178" i="1"/>
  <c r="E1177" i="1"/>
  <c r="E1183" i="1"/>
  <c r="E1165" i="1"/>
  <c r="E1166" i="1"/>
  <c r="E1081" i="1"/>
  <c r="E1161" i="1"/>
  <c r="E1155" i="1"/>
  <c r="E1157" i="1"/>
  <c r="E1146" i="1"/>
  <c r="E1125" i="1"/>
  <c r="E1145" i="1"/>
  <c r="E1172" i="1"/>
  <c r="E1152" i="1"/>
  <c r="E1163" i="1"/>
  <c r="E1154" i="1"/>
  <c r="E1144" i="1"/>
  <c r="E1150" i="1"/>
  <c r="E1136" i="1"/>
  <c r="E1147" i="1"/>
  <c r="E1074" i="1"/>
  <c r="E1148" i="1"/>
  <c r="E1142" i="1"/>
  <c r="E1153" i="1"/>
  <c r="E1094" i="1"/>
  <c r="E1149" i="1"/>
  <c r="E1135" i="1"/>
  <c r="E1151" i="1"/>
  <c r="E1159" i="1"/>
  <c r="E1139" i="1"/>
  <c r="E1162" i="1"/>
  <c r="E1143" i="1"/>
  <c r="E1158" i="1"/>
  <c r="E1156" i="1"/>
  <c r="E1141" i="1"/>
  <c r="E1134" i="1"/>
  <c r="E1137" i="1"/>
  <c r="E775" i="1"/>
  <c r="E1138" i="1"/>
  <c r="E773" i="1"/>
  <c r="E1122" i="1"/>
  <c r="E774" i="1"/>
  <c r="E1140" i="1"/>
  <c r="E1123" i="1"/>
  <c r="E1131" i="1"/>
  <c r="E1114" i="1"/>
  <c r="E1124" i="1"/>
  <c r="E1092" i="1"/>
  <c r="E1100" i="1"/>
  <c r="E1127" i="1"/>
  <c r="E1007" i="1"/>
  <c r="E1121" i="1"/>
  <c r="E1133" i="1"/>
  <c r="E1109" i="1"/>
  <c r="E1106" i="1"/>
  <c r="E1117" i="1"/>
  <c r="E1119" i="1"/>
  <c r="E987" i="1"/>
  <c r="E1130" i="1"/>
  <c r="E1132" i="1"/>
  <c r="E1129" i="1"/>
  <c r="E1102" i="1"/>
  <c r="E1091" i="1"/>
  <c r="E1113" i="1"/>
  <c r="E1111" i="1"/>
  <c r="E1120" i="1"/>
  <c r="E1110" i="1"/>
  <c r="E1044" i="1"/>
  <c r="E1116" i="1"/>
  <c r="E1128" i="1"/>
  <c r="E1126" i="1"/>
  <c r="E1107" i="1"/>
  <c r="E995" i="1"/>
  <c r="E1101" i="1"/>
  <c r="E1108" i="1"/>
  <c r="E1103" i="1"/>
  <c r="E1083" i="1"/>
  <c r="E1087" i="1"/>
  <c r="E1118" i="1"/>
  <c r="E1105" i="1"/>
  <c r="E1098" i="1"/>
  <c r="E1093" i="1"/>
  <c r="E1096" i="1"/>
  <c r="E1088" i="1"/>
  <c r="E1080" i="1"/>
  <c r="E1084" i="1"/>
  <c r="E1099" i="1"/>
  <c r="E1082" i="1"/>
  <c r="E1095" i="1"/>
  <c r="E1090" i="1"/>
  <c r="E1086" i="1"/>
  <c r="E1104" i="1"/>
  <c r="E1079" i="1"/>
  <c r="E1076" i="1"/>
  <c r="E1075" i="1"/>
  <c r="E1070" i="1"/>
  <c r="E1078" i="1"/>
  <c r="E1085" i="1"/>
  <c r="E1077" i="1"/>
  <c r="E1071" i="1"/>
  <c r="E1063" i="1"/>
  <c r="E1069" i="1"/>
  <c r="E1065" i="1"/>
  <c r="E1042" i="1"/>
  <c r="E1066" i="1"/>
  <c r="E1068" i="1"/>
  <c r="E1072" i="1"/>
  <c r="E1060" i="1"/>
  <c r="E1067" i="1"/>
  <c r="E1064" i="1"/>
  <c r="E1061" i="1"/>
  <c r="E1049" i="1"/>
  <c r="E1051" i="1"/>
  <c r="E1053" i="1"/>
  <c r="E1062" i="1"/>
  <c r="E1059" i="1"/>
  <c r="E1057" i="1"/>
  <c r="E1056" i="1"/>
  <c r="E1055" i="1"/>
  <c r="E1058" i="1"/>
  <c r="E1052" i="1"/>
  <c r="E1054" i="1"/>
  <c r="E1073" i="1"/>
  <c r="E915" i="1"/>
  <c r="E1033" i="1"/>
  <c r="E1046" i="1"/>
  <c r="E1019" i="1"/>
  <c r="E1018" i="1"/>
  <c r="E992" i="1"/>
  <c r="E1015" i="1"/>
  <c r="E1027" i="1"/>
  <c r="E1048" i="1"/>
  <c r="E984" i="1"/>
  <c r="E983" i="1"/>
  <c r="E1040" i="1"/>
  <c r="E1045" i="1"/>
  <c r="E1002" i="1"/>
  <c r="E1017" i="1"/>
  <c r="E1016" i="1"/>
  <c r="E1026" i="1"/>
  <c r="E994" i="1"/>
  <c r="E1001" i="1"/>
  <c r="E1047" i="1"/>
  <c r="E1028" i="1"/>
  <c r="E1043" i="1"/>
  <c r="E1003" i="1"/>
  <c r="E1000" i="1"/>
  <c r="E1025" i="1"/>
  <c r="E1050" i="1"/>
  <c r="E741" i="1"/>
  <c r="E636" i="1"/>
  <c r="E740" i="1"/>
  <c r="E822" i="1"/>
  <c r="E561" i="1"/>
  <c r="E733" i="1"/>
  <c r="E536" i="1"/>
  <c r="E742" i="1"/>
  <c r="E821" i="1"/>
  <c r="E842" i="1"/>
  <c r="E739" i="1"/>
  <c r="E929" i="1"/>
  <c r="E848" i="1"/>
  <c r="E844" i="1"/>
  <c r="E827" i="1"/>
  <c r="E799" i="1"/>
  <c r="E637" i="1"/>
  <c r="E590" i="1"/>
  <c r="E547" i="1"/>
  <c r="E502" i="1"/>
  <c r="E732" i="1"/>
  <c r="E941" i="1"/>
  <c r="E847" i="1"/>
  <c r="E843" i="1"/>
  <c r="E826" i="1"/>
  <c r="E782" i="1"/>
  <c r="E615" i="1"/>
  <c r="E589" i="1"/>
  <c r="E522" i="1"/>
  <c r="E780" i="1"/>
  <c r="E956" i="1"/>
  <c r="E918" i="1"/>
  <c r="E846" i="1"/>
  <c r="E829" i="1"/>
  <c r="E825" i="1"/>
  <c r="E744" i="1"/>
  <c r="E614" i="1"/>
  <c r="E588" i="1"/>
  <c r="E521" i="1"/>
  <c r="E966" i="1"/>
  <c r="E942" i="1"/>
  <c r="E867" i="1"/>
  <c r="E845" i="1"/>
  <c r="E828" i="1"/>
  <c r="E824" i="1"/>
  <c r="E743" i="1"/>
  <c r="E613" i="1"/>
  <c r="E548" i="1"/>
  <c r="E503" i="1"/>
  <c r="E535" i="1"/>
  <c r="E798" i="1"/>
  <c r="E819" i="1"/>
  <c r="E1006" i="1"/>
  <c r="E1037" i="1"/>
  <c r="E1029" i="1"/>
  <c r="E891" i="1"/>
  <c r="E731" i="1"/>
  <c r="E1038" i="1"/>
  <c r="E779" i="1"/>
  <c r="E587" i="1"/>
  <c r="E738" i="1"/>
  <c r="E990" i="1"/>
  <c r="E1031" i="1"/>
  <c r="E1024" i="1"/>
  <c r="E1041" i="1"/>
  <c r="E778" i="1"/>
  <c r="E520" i="1"/>
  <c r="E546" i="1"/>
  <c r="E1035" i="1"/>
  <c r="E1036" i="1"/>
  <c r="E1039" i="1"/>
  <c r="E777" i="1"/>
  <c r="E1005" i="1"/>
  <c r="E1030" i="1"/>
  <c r="E712" i="1"/>
  <c r="E720" i="1"/>
  <c r="E726" i="1"/>
  <c r="E725" i="1"/>
  <c r="E728" i="1"/>
  <c r="E1032" i="1"/>
  <c r="E1022" i="1"/>
  <c r="E1011" i="1"/>
  <c r="E1021" i="1"/>
  <c r="E1014" i="1"/>
  <c r="E1020" i="1"/>
  <c r="E1034" i="1"/>
  <c r="E1023" i="1"/>
  <c r="E1013" i="1"/>
  <c r="E997" i="1"/>
  <c r="E1004" i="1"/>
  <c r="E989" i="1"/>
  <c r="E986" i="1"/>
  <c r="E975" i="1"/>
  <c r="E671" i="1"/>
  <c r="E769" i="1"/>
  <c r="E999" i="1"/>
  <c r="E991" i="1"/>
  <c r="E982" i="1"/>
  <c r="E668" i="1"/>
  <c r="E1009" i="1"/>
  <c r="E996" i="1"/>
  <c r="E570" i="1"/>
  <c r="E985" i="1"/>
  <c r="E974" i="1"/>
  <c r="E756" i="1"/>
  <c r="E998" i="1"/>
  <c r="E1008" i="1"/>
  <c r="E993" i="1"/>
  <c r="E981" i="1"/>
  <c r="E973" i="1"/>
  <c r="E670" i="1"/>
  <c r="E755" i="1"/>
  <c r="E979" i="1"/>
  <c r="E980" i="1"/>
  <c r="E627" i="1"/>
  <c r="E628" i="1"/>
  <c r="E988" i="1"/>
  <c r="E626" i="1"/>
  <c r="E625" i="1"/>
  <c r="E976" i="1"/>
  <c r="E977" i="1"/>
  <c r="E963" i="1"/>
  <c r="E964" i="1"/>
  <c r="E965" i="1"/>
  <c r="E908" i="1"/>
  <c r="E612" i="1"/>
  <c r="E560" i="1"/>
  <c r="E500" i="1"/>
  <c r="E967" i="1"/>
  <c r="E928" i="1"/>
  <c r="E890" i="1"/>
  <c r="E817" i="1"/>
  <c r="E841" i="1"/>
  <c r="E583" i="1"/>
  <c r="E972" i="1"/>
  <c r="E917" i="1"/>
  <c r="E632" i="1"/>
  <c r="E543" i="1"/>
  <c r="E969" i="1"/>
  <c r="E584" i="1"/>
  <c r="E559" i="1"/>
  <c r="E737" i="1"/>
  <c r="E971" i="1"/>
  <c r="E927" i="1"/>
  <c r="E633" i="1"/>
  <c r="E544" i="1"/>
  <c r="E970" i="1"/>
  <c r="E840" i="1"/>
  <c r="E574" i="1"/>
  <c r="E968" i="1"/>
  <c r="E818" i="1"/>
  <c r="E894" i="1"/>
  <c r="E952" i="1"/>
  <c r="E961" i="1"/>
  <c r="E954" i="1"/>
  <c r="E957" i="1"/>
  <c r="E960" i="1"/>
  <c r="E959" i="1"/>
  <c r="E951" i="1"/>
  <c r="E955" i="1"/>
  <c r="E962" i="1"/>
  <c r="E953" i="1"/>
  <c r="E958" i="1"/>
  <c r="E715" i="1"/>
  <c r="E713" i="1"/>
  <c r="E730" i="1"/>
  <c r="E718" i="1"/>
  <c r="E716" i="1"/>
  <c r="E707" i="1"/>
  <c r="E703" i="1"/>
  <c r="E729" i="1"/>
  <c r="E705" i="1"/>
  <c r="E711" i="1"/>
  <c r="E704" i="1"/>
  <c r="E702" i="1"/>
  <c r="E719" i="1"/>
  <c r="E722" i="1"/>
  <c r="E714" i="1"/>
  <c r="E717" i="1"/>
  <c r="E683" i="1"/>
  <c r="E938" i="1"/>
  <c r="E939" i="1"/>
  <c r="E949" i="1"/>
  <c r="E950" i="1"/>
  <c r="E945" i="1"/>
  <c r="E946" i="1"/>
  <c r="E943" i="1"/>
  <c r="E940" i="1"/>
  <c r="E944" i="1"/>
  <c r="E721" i="1"/>
  <c r="E723" i="1"/>
  <c r="E727" i="1"/>
  <c r="E926" i="1"/>
  <c r="E931" i="1"/>
  <c r="E924" i="1"/>
  <c r="E920" i="1"/>
  <c r="E921" i="1"/>
  <c r="E909" i="1"/>
  <c r="E911" i="1"/>
  <c r="E937" i="1"/>
  <c r="E922" i="1"/>
  <c r="E913" i="1"/>
  <c r="E930" i="1"/>
  <c r="E932" i="1"/>
  <c r="E910" i="1"/>
  <c r="E916" i="1"/>
  <c r="E933" i="1"/>
  <c r="E936" i="1"/>
  <c r="E935" i="1"/>
  <c r="E934" i="1"/>
  <c r="E919" i="1"/>
  <c r="E914" i="1"/>
  <c r="E925" i="1"/>
  <c r="E912" i="1"/>
  <c r="E923" i="1"/>
  <c r="E906" i="1"/>
  <c r="E860" i="1"/>
  <c r="E903" i="1"/>
  <c r="E862" i="1"/>
  <c r="E901" i="1"/>
  <c r="E900" i="1"/>
  <c r="E898" i="1"/>
  <c r="E865" i="1"/>
  <c r="E881" i="1"/>
  <c r="E857" i="1"/>
  <c r="E905" i="1"/>
  <c r="E907" i="1"/>
  <c r="E902" i="1"/>
  <c r="E864" i="1"/>
  <c r="E861" i="1"/>
  <c r="E856" i="1"/>
  <c r="E904" i="1"/>
  <c r="E899" i="1"/>
  <c r="E863" i="1"/>
  <c r="E855" i="1"/>
  <c r="E897" i="1"/>
  <c r="E866" i="1"/>
  <c r="E859" i="1"/>
  <c r="E889" i="1"/>
  <c r="E883" i="1"/>
  <c r="E895" i="1"/>
  <c r="E735" i="1"/>
  <c r="E896" i="1"/>
  <c r="E887" i="1"/>
  <c r="E884" i="1"/>
  <c r="E888" i="1"/>
  <c r="E893" i="1"/>
  <c r="E892" i="1"/>
  <c r="E880" i="1"/>
  <c r="E886" i="1"/>
  <c r="E882" i="1"/>
  <c r="E877" i="1"/>
  <c r="E876" i="1"/>
  <c r="E878" i="1"/>
  <c r="E879" i="1"/>
  <c r="E885" i="1"/>
  <c r="E875" i="1"/>
  <c r="E646" i="1"/>
  <c r="E801" i="1"/>
  <c r="E807" i="1"/>
  <c r="E804" i="1"/>
  <c r="E806" i="1"/>
  <c r="E803" i="1"/>
  <c r="E805" i="1"/>
  <c r="E802" i="1"/>
  <c r="E648" i="1"/>
  <c r="E641" i="1"/>
  <c r="E655" i="1"/>
  <c r="E644" i="1"/>
  <c r="E660" i="1"/>
  <c r="E871" i="1"/>
  <c r="E874" i="1"/>
  <c r="E868" i="1"/>
  <c r="E872" i="1"/>
  <c r="E873" i="1"/>
  <c r="E858" i="1"/>
  <c r="E869" i="1"/>
  <c r="E684" i="1"/>
  <c r="E685" i="1"/>
  <c r="E686" i="1"/>
  <c r="E673" i="1"/>
  <c r="E678" i="1"/>
  <c r="E837" i="1"/>
  <c r="E851" i="1"/>
  <c r="E832" i="1"/>
  <c r="E815" i="1"/>
  <c r="E816" i="1"/>
  <c r="E796" i="1"/>
  <c r="E810" i="1"/>
  <c r="E849" i="1"/>
  <c r="E853" i="1"/>
  <c r="E834" i="1"/>
  <c r="E813" i="1"/>
  <c r="E823" i="1"/>
  <c r="E809" i="1"/>
  <c r="E811" i="1"/>
  <c r="E850" i="1"/>
  <c r="E838" i="1"/>
  <c r="E836" i="1"/>
  <c r="E833" i="1"/>
  <c r="E814" i="1"/>
  <c r="E820" i="1"/>
  <c r="E800" i="1"/>
  <c r="E812" i="1"/>
  <c r="E839" i="1"/>
  <c r="E852" i="1"/>
  <c r="E835" i="1"/>
  <c r="E830" i="1"/>
  <c r="E831" i="1"/>
  <c r="E797" i="1"/>
  <c r="E787" i="1"/>
  <c r="E785" i="1"/>
  <c r="E795" i="1"/>
  <c r="E791" i="1"/>
  <c r="E786" i="1"/>
  <c r="E793" i="1"/>
  <c r="E790" i="1"/>
  <c r="E788" i="1"/>
  <c r="E781" i="1"/>
  <c r="E783" i="1"/>
  <c r="E792" i="1"/>
  <c r="E513" i="1"/>
  <c r="E789" i="1"/>
  <c r="E776" i="1"/>
  <c r="E784" i="1"/>
  <c r="E794" i="1"/>
  <c r="E680" i="1"/>
  <c r="E662" i="1"/>
  <c r="E679" i="1"/>
  <c r="E682" i="1"/>
  <c r="E696" i="1"/>
  <c r="E693" i="1"/>
  <c r="E689" i="1"/>
  <c r="E630" i="1"/>
  <c r="E697" i="1"/>
  <c r="E687" i="1"/>
  <c r="E675" i="1"/>
  <c r="E691" i="1"/>
  <c r="E672" i="1"/>
  <c r="E761" i="1"/>
  <c r="E762" i="1"/>
  <c r="E767" i="1"/>
  <c r="E770" i="1"/>
  <c r="E808" i="1"/>
  <c r="E768" i="1"/>
  <c r="E757" i="1"/>
  <c r="E763" i="1"/>
  <c r="E772" i="1"/>
  <c r="E754" i="1"/>
  <c r="E751" i="1"/>
  <c r="E771" i="1"/>
  <c r="E766" i="1"/>
  <c r="E764" i="1"/>
  <c r="E618" i="1"/>
  <c r="E758" i="1"/>
  <c r="E752" i="1"/>
  <c r="E760" i="1"/>
  <c r="E765" i="1"/>
  <c r="E455" i="1"/>
  <c r="E753" i="1"/>
  <c r="E759" i="1"/>
  <c r="E750" i="1"/>
  <c r="E746" i="1"/>
  <c r="E748" i="1"/>
  <c r="E749" i="1"/>
  <c r="E666" i="1"/>
  <c r="E667" i="1"/>
  <c r="E611" i="1"/>
  <c r="E736" i="1"/>
  <c r="E745" i="1"/>
  <c r="E220" i="1"/>
  <c r="E619" i="1"/>
  <c r="E734" i="1"/>
  <c r="E631" i="1"/>
  <c r="E701" i="1"/>
  <c r="E700" i="1"/>
  <c r="E706" i="1"/>
  <c r="E656" i="1"/>
  <c r="E638" i="1"/>
  <c r="E659" i="1"/>
  <c r="E665" i="1"/>
  <c r="E645" i="1"/>
  <c r="E649" i="1"/>
  <c r="E654" i="1"/>
  <c r="E639" i="1"/>
  <c r="E652" i="1"/>
  <c r="E664" i="1"/>
  <c r="E661" i="1"/>
  <c r="E643" i="1"/>
  <c r="E653" i="1"/>
  <c r="E657" i="1"/>
  <c r="E651" i="1"/>
  <c r="E658" i="1"/>
  <c r="E642" i="1"/>
  <c r="E647" i="1"/>
  <c r="E663" i="1"/>
  <c r="E650" i="1"/>
  <c r="E640" i="1"/>
  <c r="E710" i="1"/>
  <c r="E724" i="1"/>
  <c r="E695" i="1"/>
  <c r="E681" i="1"/>
  <c r="E688" i="1"/>
  <c r="E709" i="1"/>
  <c r="E621" i="1"/>
  <c r="E620" i="1"/>
  <c r="E608" i="1"/>
  <c r="E677" i="1"/>
  <c r="E624" i="1"/>
  <c r="E676" i="1"/>
  <c r="E635" i="1"/>
  <c r="E609" i="1"/>
  <c r="E674" i="1"/>
  <c r="E694" i="1"/>
  <c r="E698" i="1"/>
  <c r="E699" i="1"/>
  <c r="E607" i="1"/>
  <c r="E617" i="1"/>
  <c r="E622" i="1"/>
  <c r="E690" i="1"/>
  <c r="E629" i="1"/>
  <c r="E634" i="1"/>
  <c r="E610" i="1"/>
  <c r="E692" i="1"/>
  <c r="E708" i="1"/>
  <c r="E623" i="1"/>
  <c r="E616" i="1"/>
  <c r="E582" i="1"/>
  <c r="E596" i="1"/>
  <c r="E593" i="1"/>
  <c r="E605" i="1"/>
  <c r="E601" i="1"/>
  <c r="E595" i="1"/>
  <c r="E603" i="1"/>
  <c r="E597" i="1"/>
  <c r="E600" i="1"/>
  <c r="E604" i="1"/>
  <c r="E594" i="1"/>
  <c r="E602" i="1"/>
  <c r="E599" i="1"/>
  <c r="E586" i="1"/>
  <c r="E591" i="1"/>
  <c r="E592" i="1"/>
  <c r="E598" i="1"/>
  <c r="E585" i="1"/>
  <c r="E606" i="1"/>
  <c r="E579" i="1"/>
  <c r="E578" i="1"/>
  <c r="E580" i="1"/>
  <c r="E577" i="1"/>
  <c r="E581" i="1"/>
  <c r="E575" i="1"/>
  <c r="E576" i="1"/>
  <c r="E558" i="1"/>
  <c r="E557" i="1"/>
  <c r="E562" i="1"/>
  <c r="E569" i="1"/>
  <c r="E564" i="1"/>
  <c r="E563" i="1"/>
  <c r="E568" i="1"/>
  <c r="E556" i="1"/>
  <c r="E566" i="1"/>
  <c r="E565" i="1"/>
  <c r="E571" i="1"/>
  <c r="E572" i="1"/>
  <c r="E567" i="1"/>
  <c r="E549" i="1"/>
  <c r="E554" i="1"/>
  <c r="E551" i="1"/>
  <c r="E553" i="1"/>
  <c r="E542" i="1"/>
  <c r="E541" i="1"/>
  <c r="E555" i="1"/>
  <c r="E545" i="1"/>
  <c r="E552" i="1"/>
  <c r="E540" i="1"/>
  <c r="E519" i="1"/>
  <c r="E531" i="1"/>
  <c r="E516" i="1"/>
  <c r="E530" i="1"/>
  <c r="E430" i="1"/>
  <c r="E509" i="1"/>
  <c r="E499" i="1"/>
  <c r="E505" i="1"/>
  <c r="E539" i="1"/>
  <c r="E533" i="1"/>
  <c r="E425" i="1"/>
  <c r="E498" i="1"/>
  <c r="E501" i="1"/>
  <c r="E538" i="1"/>
  <c r="E518" i="1"/>
  <c r="E249" i="1"/>
  <c r="E470" i="1"/>
  <c r="E497" i="1"/>
  <c r="E537" i="1"/>
  <c r="E524" i="1"/>
  <c r="E527" i="1"/>
  <c r="E528" i="1"/>
  <c r="E523" i="1"/>
  <c r="E511" i="1"/>
  <c r="E145" i="1"/>
  <c r="E510" i="1"/>
  <c r="E471" i="1"/>
  <c r="E506" i="1"/>
  <c r="E515" i="1"/>
  <c r="E526" i="1"/>
  <c r="E517" i="1"/>
  <c r="E529" i="1"/>
  <c r="E512" i="1"/>
  <c r="E508" i="1"/>
  <c r="E534" i="1"/>
  <c r="E525" i="1"/>
  <c r="E532" i="1"/>
  <c r="E514" i="1"/>
  <c r="E504" i="1"/>
  <c r="E507" i="1"/>
  <c r="E478" i="1"/>
  <c r="E496" i="1"/>
  <c r="E469" i="1"/>
  <c r="E487" i="1"/>
  <c r="E489" i="1"/>
  <c r="E475" i="1"/>
  <c r="E493" i="1"/>
  <c r="E486" i="1"/>
  <c r="E488" i="1"/>
  <c r="E474" i="1"/>
  <c r="E476" i="1"/>
  <c r="E492" i="1"/>
  <c r="E484" i="1"/>
  <c r="E485" i="1"/>
  <c r="E491" i="1"/>
  <c r="E494" i="1"/>
  <c r="E468" i="1"/>
  <c r="E495" i="1"/>
  <c r="E480" i="1"/>
  <c r="E479" i="1"/>
  <c r="E490" i="1"/>
  <c r="E477" i="1"/>
  <c r="E472" i="1"/>
  <c r="E481" i="1"/>
  <c r="E550" i="1"/>
  <c r="E483" i="1"/>
  <c r="E482" i="1"/>
  <c r="E465" i="1"/>
  <c r="E462" i="1"/>
  <c r="E450" i="1"/>
  <c r="E460" i="1"/>
  <c r="E458" i="1"/>
  <c r="E466" i="1"/>
  <c r="E461" i="1"/>
  <c r="E464" i="1"/>
  <c r="E459" i="1"/>
  <c r="E463" i="1"/>
  <c r="E457" i="1"/>
  <c r="E456" i="1"/>
  <c r="E449" i="1"/>
  <c r="E467" i="1"/>
  <c r="E451" i="1"/>
  <c r="E441" i="1"/>
  <c r="E445" i="1"/>
  <c r="E438" i="1"/>
  <c r="E447" i="1"/>
  <c r="E433" i="1"/>
  <c r="E452" i="1"/>
  <c r="E431" i="1"/>
  <c r="E448" i="1"/>
  <c r="E443" i="1"/>
  <c r="E444" i="1"/>
  <c r="E436" i="1"/>
  <c r="E432" i="1"/>
  <c r="E446" i="1"/>
  <c r="E437" i="1"/>
  <c r="E453" i="1"/>
  <c r="E435" i="1"/>
  <c r="E454" i="1"/>
  <c r="E423" i="1"/>
  <c r="E439" i="1"/>
  <c r="E442" i="1"/>
  <c r="E440" i="1"/>
  <c r="E434" i="1"/>
  <c r="E426" i="1"/>
  <c r="E427" i="1"/>
  <c r="E410" i="1"/>
  <c r="E416" i="1"/>
  <c r="E424" i="1"/>
  <c r="E418" i="1"/>
  <c r="E412" i="1"/>
  <c r="E407" i="1"/>
  <c r="E422" i="1"/>
  <c r="E415" i="1"/>
  <c r="E429" i="1"/>
  <c r="E377" i="1"/>
  <c r="E413" i="1"/>
  <c r="E396" i="1"/>
  <c r="E428" i="1"/>
  <c r="E409" i="1"/>
  <c r="E395" i="1"/>
  <c r="E417" i="1"/>
  <c r="E408" i="1"/>
  <c r="E421" i="1"/>
  <c r="E411" i="1"/>
  <c r="E406" i="1"/>
  <c r="E420" i="1"/>
  <c r="E414" i="1"/>
  <c r="E419" i="1"/>
  <c r="E392" i="1"/>
  <c r="E404" i="1"/>
  <c r="E405" i="1"/>
  <c r="E400" i="1"/>
  <c r="E401" i="1"/>
  <c r="E385" i="1"/>
  <c r="E391" i="1"/>
  <c r="E382" i="1"/>
  <c r="E380" i="1"/>
  <c r="E371" i="1"/>
  <c r="E367" i="1"/>
  <c r="E398" i="1"/>
  <c r="E383" i="1"/>
  <c r="E376" i="1"/>
  <c r="E388" i="1"/>
  <c r="E402" i="1"/>
  <c r="E389" i="1"/>
  <c r="E378" i="1"/>
  <c r="E373" i="1"/>
  <c r="E393" i="1"/>
  <c r="E397" i="1"/>
  <c r="E399" i="1"/>
  <c r="E394" i="1"/>
  <c r="E384" i="1"/>
  <c r="E374" i="1"/>
  <c r="E375" i="1"/>
  <c r="E379" i="1"/>
  <c r="E370" i="1"/>
  <c r="E372" i="1"/>
  <c r="E403" i="1"/>
  <c r="E387" i="1"/>
  <c r="E381" i="1"/>
  <c r="E368" i="1"/>
  <c r="E386" i="1"/>
  <c r="E390" i="1"/>
  <c r="E369" i="1"/>
  <c r="E114" i="1"/>
  <c r="E115" i="1"/>
  <c r="E90" i="1"/>
  <c r="E257" i="1"/>
  <c r="E204" i="1"/>
  <c r="E143" i="1"/>
  <c r="E5" i="1"/>
  <c r="E117" i="1"/>
  <c r="E79" i="1"/>
  <c r="E185" i="1"/>
  <c r="E205" i="1"/>
  <c r="E49" i="1"/>
  <c r="E30" i="1"/>
  <c r="E81" i="1"/>
  <c r="E32" i="1"/>
  <c r="E95" i="1"/>
  <c r="E191" i="1"/>
  <c r="E164" i="1"/>
  <c r="E250" i="1"/>
  <c r="E195" i="1"/>
  <c r="E165" i="1"/>
  <c r="E314" i="1"/>
  <c r="E315" i="1"/>
  <c r="E266" i="1"/>
  <c r="E56" i="1"/>
  <c r="E269" i="1"/>
  <c r="E197" i="1"/>
  <c r="E121" i="1"/>
  <c r="E34" i="1"/>
  <c r="E342" i="1"/>
  <c r="E21" i="1"/>
  <c r="E8" i="1"/>
  <c r="E100" i="1"/>
  <c r="E58" i="1"/>
  <c r="E101" i="1"/>
  <c r="E292" i="1"/>
  <c r="E102" i="1"/>
  <c r="E319" i="1"/>
  <c r="E148" i="1"/>
  <c r="E60" i="1"/>
  <c r="E84" i="1"/>
  <c r="E213" i="1"/>
  <c r="E11" i="1"/>
  <c r="E12" i="1"/>
  <c r="E40" i="1"/>
  <c r="E123" i="1"/>
  <c r="E133" i="1"/>
  <c r="E349" i="1"/>
  <c r="E321" i="1"/>
  <c r="E254" i="1"/>
  <c r="E350" i="1"/>
  <c r="E238" i="1"/>
  <c r="E124" i="1"/>
  <c r="E309" i="1"/>
  <c r="E218" i="1"/>
  <c r="E322" i="1"/>
  <c r="E72" i="1"/>
  <c r="E171" i="1"/>
  <c r="E302" i="1"/>
  <c r="E219" i="1"/>
  <c r="E279" i="1"/>
  <c r="E24" i="1"/>
  <c r="E107" i="1"/>
  <c r="E225" i="1"/>
  <c r="E297" i="1"/>
  <c r="E324" i="1"/>
  <c r="E303" i="1"/>
  <c r="E15" i="1"/>
  <c r="E304" i="1"/>
  <c r="E175" i="1"/>
  <c r="E177" i="1"/>
  <c r="E67" i="1"/>
  <c r="E328" i="1"/>
  <c r="E245" i="1"/>
  <c r="E109" i="1"/>
  <c r="E179" i="1"/>
  <c r="E45" i="1"/>
  <c r="E329" i="1"/>
  <c r="E227" i="1"/>
  <c r="E183" i="1"/>
  <c r="E311" i="1"/>
  <c r="E112" i="1"/>
  <c r="E89" i="1"/>
  <c r="E232" i="1"/>
  <c r="E91" i="1"/>
  <c r="E28" i="1"/>
  <c r="E141" i="1"/>
  <c r="E337" i="1"/>
  <c r="E6" i="1"/>
  <c r="E338" i="1"/>
  <c r="E162" i="1"/>
  <c r="E93" i="1"/>
  <c r="E285" i="1"/>
  <c r="E188" i="1"/>
  <c r="E189" i="1"/>
  <c r="E50" i="1"/>
  <c r="E190" i="1"/>
  <c r="E51" i="1"/>
  <c r="E192" i="1"/>
  <c r="E53" i="1"/>
  <c r="E194" i="1"/>
  <c r="E71" i="1"/>
  <c r="E55" i="1"/>
  <c r="E96" i="1"/>
  <c r="E264" i="1"/>
  <c r="E33" i="1"/>
  <c r="E167" i="1"/>
  <c r="E300" i="1"/>
  <c r="E7" i="1"/>
  <c r="E234" i="1"/>
  <c r="E340" i="1"/>
  <c r="E168" i="1"/>
  <c r="E341" i="1"/>
  <c r="E290" i="1"/>
  <c r="E57" i="1"/>
  <c r="E208" i="1"/>
  <c r="E272" i="1"/>
  <c r="E318" i="1"/>
  <c r="E146" i="1"/>
  <c r="E343" i="1"/>
  <c r="E344" i="1"/>
  <c r="E212" i="1"/>
  <c r="E301" i="1"/>
  <c r="E149" i="1"/>
  <c r="E214" i="1"/>
  <c r="E151" i="1"/>
  <c r="E152" i="1"/>
  <c r="E61" i="1"/>
  <c r="E274" i="1"/>
  <c r="E200" i="1"/>
  <c r="E135" i="1"/>
  <c r="E154" i="1"/>
  <c r="E156" i="1"/>
  <c r="E138" i="1"/>
  <c r="E293" i="1"/>
  <c r="E255" i="1"/>
  <c r="E63" i="1"/>
  <c r="E352" i="1"/>
  <c r="E323" i="1"/>
  <c r="E73" i="1"/>
  <c r="E23" i="1"/>
  <c r="E353" i="1"/>
  <c r="E278" i="1"/>
  <c r="E106" i="1"/>
  <c r="E222" i="1"/>
  <c r="E223" i="1"/>
  <c r="E125" i="1"/>
  <c r="E158" i="1"/>
  <c r="E325" i="1"/>
  <c r="E326" i="1"/>
  <c r="E65" i="1"/>
  <c r="E354" i="1"/>
  <c r="E43" i="1"/>
  <c r="E159" i="1"/>
  <c r="E243" i="1"/>
  <c r="E140" i="1"/>
  <c r="E87" i="1"/>
  <c r="E306" i="1"/>
  <c r="E246" i="1"/>
  <c r="E75" i="1"/>
  <c r="E180" i="1"/>
  <c r="E76" i="1"/>
  <c r="E110" i="1"/>
  <c r="E160" i="1"/>
  <c r="E229" i="1"/>
  <c r="E69" i="1"/>
  <c r="E283" i="1"/>
  <c r="E308" i="1"/>
  <c r="E116" i="1"/>
  <c r="E184" i="1"/>
  <c r="E163" i="1"/>
  <c r="E260" i="1"/>
  <c r="E82" i="1"/>
  <c r="E52" i="1"/>
  <c r="E70" i="1"/>
  <c r="E263" i="1"/>
  <c r="E166" i="1"/>
  <c r="E267" i="1"/>
  <c r="E97" i="1"/>
  <c r="E287" i="1"/>
  <c r="E289" i="1"/>
  <c r="E98" i="1"/>
  <c r="E271" i="1"/>
  <c r="E199" i="1"/>
  <c r="E36" i="1"/>
  <c r="E22" i="1"/>
  <c r="E153" i="1"/>
  <c r="E136" i="1"/>
  <c r="E42" i="1"/>
  <c r="E241" i="1"/>
  <c r="E25" i="1"/>
  <c r="E66" i="1"/>
  <c r="E327" i="1"/>
  <c r="E181" i="1"/>
  <c r="E331" i="1"/>
  <c r="E88" i="1"/>
  <c r="E231" i="1"/>
  <c r="E357" i="1"/>
  <c r="E248" i="1"/>
  <c r="E299" i="1"/>
  <c r="E186" i="1"/>
  <c r="E261" i="1"/>
  <c r="E206" i="1"/>
  <c r="E252" i="1"/>
  <c r="E132" i="1"/>
  <c r="E291" i="1"/>
  <c r="E59" i="1"/>
  <c r="E39" i="1"/>
  <c r="E217" i="1"/>
  <c r="E41" i="1"/>
  <c r="E62" i="1"/>
  <c r="E277" i="1"/>
  <c r="E173" i="1"/>
  <c r="E282" i="1"/>
  <c r="E92" i="1"/>
  <c r="E142" i="1"/>
  <c r="E144" i="1"/>
  <c r="E48" i="1"/>
  <c r="E187" i="1"/>
  <c r="E80" i="1"/>
  <c r="E262" i="1"/>
  <c r="E120" i="1"/>
  <c r="E54" i="1"/>
  <c r="E339" i="1"/>
  <c r="E347" i="1"/>
  <c r="E207" i="1"/>
  <c r="E233" i="1"/>
  <c r="E288" i="1"/>
  <c r="E198" i="1"/>
  <c r="E317" i="1"/>
  <c r="E35" i="1"/>
  <c r="E348" i="1"/>
  <c r="E211" i="1"/>
  <c r="E38" i="1"/>
  <c r="E150" i="1"/>
  <c r="E320" i="1"/>
  <c r="E122" i="1"/>
  <c r="E236" i="1"/>
  <c r="E253" i="1"/>
  <c r="E237" i="1"/>
  <c r="E276" i="1"/>
  <c r="E239" i="1"/>
  <c r="E296" i="1"/>
  <c r="E105" i="1"/>
  <c r="E172" i="1"/>
  <c r="E64" i="1"/>
  <c r="E242" i="1"/>
  <c r="E74" i="1"/>
  <c r="E16" i="1"/>
  <c r="E305" i="1"/>
  <c r="E281" i="1"/>
  <c r="E17" i="1"/>
  <c r="E330" i="1"/>
  <c r="E68" i="1"/>
  <c r="E128" i="1"/>
  <c r="E47" i="1"/>
  <c r="E4" i="1"/>
  <c r="E77" i="1"/>
  <c r="E161" i="1"/>
  <c r="E366" i="1"/>
  <c r="E358" i="1"/>
  <c r="E360" i="1"/>
  <c r="E9" i="1"/>
  <c r="E215" i="1"/>
  <c r="E346" i="1"/>
  <c r="E137" i="1"/>
  <c r="E351" i="1"/>
  <c r="E240" i="1"/>
  <c r="E13" i="1"/>
  <c r="E310" i="1"/>
  <c r="E14" i="1"/>
  <c r="E176" i="1"/>
  <c r="E108" i="1"/>
  <c r="E356" i="1"/>
  <c r="E228" i="1"/>
  <c r="E203" i="1"/>
  <c r="E111" i="1"/>
  <c r="E27" i="1"/>
  <c r="E361" i="1"/>
  <c r="E365" i="1"/>
  <c r="E113" i="1"/>
  <c r="E284" i="1"/>
  <c r="E258" i="1"/>
  <c r="E119" i="1"/>
  <c r="E83" i="1"/>
  <c r="E20" i="1"/>
  <c r="E268" i="1"/>
  <c r="E316" i="1"/>
  <c r="E99" i="1"/>
  <c r="E209" i="1"/>
  <c r="E147" i="1"/>
  <c r="E10" i="1"/>
  <c r="E275" i="1"/>
  <c r="E169" i="1"/>
  <c r="E157" i="1"/>
  <c r="E85" i="1"/>
  <c r="E86" i="1"/>
  <c r="E78" i="1"/>
  <c r="E259" i="1"/>
  <c r="E193" i="1"/>
  <c r="E196" i="1"/>
  <c r="E235" i="1"/>
  <c r="E345" i="1"/>
  <c r="E134" i="1"/>
  <c r="E294" i="1"/>
  <c r="E224" i="1"/>
  <c r="E3" i="1"/>
  <c r="E201" i="1"/>
  <c r="E355" i="1"/>
  <c r="E182" i="1"/>
  <c r="E19" i="1"/>
  <c r="E335" i="1"/>
  <c r="E312" i="1"/>
  <c r="E359" i="1"/>
  <c r="E333" i="1"/>
  <c r="E129" i="1"/>
  <c r="E270" i="1"/>
  <c r="E103" i="1"/>
  <c r="E221" i="1"/>
  <c r="E247" i="1"/>
  <c r="E334" i="1"/>
  <c r="E313" i="1"/>
  <c r="E256" i="1"/>
  <c r="E118" i="1"/>
  <c r="E251" i="1"/>
  <c r="E130" i="1"/>
  <c r="E273" i="1"/>
  <c r="E155" i="1"/>
  <c r="E295" i="1"/>
  <c r="E126" i="1"/>
  <c r="E226" i="1"/>
  <c r="E178" i="1"/>
  <c r="E44" i="1"/>
  <c r="E127" i="1"/>
  <c r="E332" i="1"/>
  <c r="E336" i="1"/>
  <c r="E363" i="1"/>
  <c r="E29" i="1"/>
  <c r="E31" i="1"/>
  <c r="E286" i="1"/>
  <c r="E131" i="1"/>
  <c r="E210" i="1"/>
  <c r="E216" i="1"/>
  <c r="E170" i="1"/>
  <c r="E104" i="1"/>
  <c r="E280" i="1"/>
  <c r="E174" i="1"/>
  <c r="E244" i="1"/>
  <c r="E307" i="1"/>
  <c r="E46" i="1"/>
  <c r="E26" i="1"/>
  <c r="E364" i="1"/>
  <c r="E94" i="1"/>
  <c r="E265" i="1"/>
  <c r="E37" i="1"/>
  <c r="E139" i="1"/>
  <c r="E298" i="1"/>
  <c r="E202" i="1"/>
  <c r="E18" i="1"/>
  <c r="E230" i="1"/>
  <c r="E362" i="1"/>
  <c r="AD14" i="1"/>
  <c r="AD16" i="1"/>
  <c r="AD19" i="1"/>
  <c r="AD18" i="1"/>
  <c r="AD13" i="1"/>
  <c r="AD6" i="1"/>
  <c r="AD524" i="1"/>
  <c r="AD427" i="1"/>
  <c r="AD321" i="1"/>
  <c r="AD323" i="1"/>
  <c r="AD332" i="1"/>
  <c r="AD322" i="1"/>
  <c r="AD314" i="1"/>
  <c r="AD315" i="1"/>
  <c r="AD331" i="1"/>
  <c r="AD239" i="1"/>
  <c r="AD285" i="1"/>
  <c r="AD73" i="1"/>
  <c r="AD12" i="1"/>
  <c r="AD8" i="1"/>
  <c r="AD10" i="1"/>
  <c r="AD11" i="1"/>
  <c r="AD9" i="1"/>
  <c r="AD5" i="1"/>
  <c r="AD4" i="1"/>
  <c r="AD7" i="1"/>
  <c r="AD17" i="1"/>
  <c r="AD15" i="1"/>
  <c r="AD3" i="1" l="1"/>
  <c r="AD3917" i="1" s="1"/>
</calcChain>
</file>

<file path=xl/sharedStrings.xml><?xml version="1.0" encoding="utf-8"?>
<sst xmlns="http://schemas.openxmlformats.org/spreadsheetml/2006/main" count="26561" uniqueCount="6976">
  <si>
    <t>ALPUJARRA</t>
  </si>
  <si>
    <t>DOLORES</t>
  </si>
  <si>
    <t>PALERMO</t>
  </si>
  <si>
    <t>AGRADO</t>
  </si>
  <si>
    <t>ALTAMIRA</t>
  </si>
  <si>
    <t>OPORAPA</t>
  </si>
  <si>
    <t>CACOTA</t>
  </si>
  <si>
    <t>LA ESPERANZA</t>
  </si>
  <si>
    <t>CONSACA</t>
  </si>
  <si>
    <t>BOAVITA</t>
  </si>
  <si>
    <t>COPER</t>
  </si>
  <si>
    <t>PUERTO LEGUIZAMO</t>
  </si>
  <si>
    <t>SIPI</t>
  </si>
  <si>
    <t>27787</t>
  </si>
  <si>
    <t>800</t>
  </si>
  <si>
    <t>27800</t>
  </si>
  <si>
    <t>UNGUIA</t>
  </si>
  <si>
    <t>27810</t>
  </si>
  <si>
    <t>UNION PANAMERICANA</t>
  </si>
  <si>
    <t>41</t>
  </si>
  <si>
    <t>41006</t>
  </si>
  <si>
    <t>41013</t>
  </si>
  <si>
    <t>016</t>
  </si>
  <si>
    <t>020</t>
  </si>
  <si>
    <t>026</t>
  </si>
  <si>
    <t>132</t>
  </si>
  <si>
    <t>41206</t>
  </si>
  <si>
    <t>COLOMBIA</t>
  </si>
  <si>
    <t>41244</t>
  </si>
  <si>
    <t>ELIAS</t>
  </si>
  <si>
    <t>298</t>
  </si>
  <si>
    <t>319</t>
  </si>
  <si>
    <t>349</t>
  </si>
  <si>
    <t>41349</t>
  </si>
  <si>
    <t>357</t>
  </si>
  <si>
    <t>359</t>
  </si>
  <si>
    <t>41359</t>
  </si>
  <si>
    <t>378</t>
  </si>
  <si>
    <t>396</t>
  </si>
  <si>
    <t>41396</t>
  </si>
  <si>
    <t>41483</t>
  </si>
  <si>
    <t>503</t>
  </si>
  <si>
    <t>23419</t>
  </si>
  <si>
    <t>25019</t>
  </si>
  <si>
    <t>25040</t>
  </si>
  <si>
    <t>25053</t>
  </si>
  <si>
    <t>PUENTE NACIONAL</t>
  </si>
  <si>
    <t>25120</t>
  </si>
  <si>
    <t>25200</t>
  </si>
  <si>
    <t>25214</t>
  </si>
  <si>
    <t>25224</t>
  </si>
  <si>
    <t>25290</t>
  </si>
  <si>
    <t>25328</t>
  </si>
  <si>
    <t>25524</t>
  </si>
  <si>
    <t>25645</t>
  </si>
  <si>
    <t>25649</t>
  </si>
  <si>
    <t>25740</t>
  </si>
  <si>
    <t>25754</t>
  </si>
  <si>
    <t>25777</t>
  </si>
  <si>
    <t>25781</t>
  </si>
  <si>
    <t>25815</t>
  </si>
  <si>
    <t>25823</t>
  </si>
  <si>
    <t>25845</t>
  </si>
  <si>
    <t>25862</t>
  </si>
  <si>
    <t>25875</t>
  </si>
  <si>
    <t>25878</t>
  </si>
  <si>
    <t>27001</t>
  </si>
  <si>
    <t>27413</t>
  </si>
  <si>
    <t>41001</t>
  </si>
  <si>
    <t>41016</t>
  </si>
  <si>
    <t>41020</t>
  </si>
  <si>
    <t>41026</t>
  </si>
  <si>
    <t>41078</t>
  </si>
  <si>
    <t>41132</t>
  </si>
  <si>
    <t>41298</t>
  </si>
  <si>
    <t>41306</t>
  </si>
  <si>
    <t>41319</t>
  </si>
  <si>
    <t>41357</t>
  </si>
  <si>
    <t>41378</t>
  </si>
  <si>
    <t>Cod_Dp</t>
  </si>
  <si>
    <t>Cod_Mp</t>
  </si>
  <si>
    <t>FUENTE DE ORO</t>
  </si>
  <si>
    <t>50313</t>
  </si>
  <si>
    <t>50318</t>
  </si>
  <si>
    <t>50325</t>
  </si>
  <si>
    <t>MAPIRIPAN</t>
  </si>
  <si>
    <t>330</t>
  </si>
  <si>
    <t>50330</t>
  </si>
  <si>
    <t>MESETAS</t>
  </si>
  <si>
    <t>50350</t>
  </si>
  <si>
    <t>LA MACARENA</t>
  </si>
  <si>
    <t>370</t>
  </si>
  <si>
    <t>50370</t>
  </si>
  <si>
    <t>LA URIBE</t>
  </si>
  <si>
    <t>50400</t>
  </si>
  <si>
    <t>50450</t>
  </si>
  <si>
    <t>568</t>
  </si>
  <si>
    <t>50568</t>
  </si>
  <si>
    <t>PUERTO GAITAN</t>
  </si>
  <si>
    <t>50573</t>
  </si>
  <si>
    <t>PUERTO LOPEZ</t>
  </si>
  <si>
    <t>577</t>
  </si>
  <si>
    <t>50577</t>
  </si>
  <si>
    <t>PUERTO LLERAS</t>
  </si>
  <si>
    <t>590</t>
  </si>
  <si>
    <t>50590</t>
  </si>
  <si>
    <t>50606</t>
  </si>
  <si>
    <t>RESTREPO</t>
  </si>
  <si>
    <t>680</t>
  </si>
  <si>
    <t>50680</t>
  </si>
  <si>
    <t>SAN CARLOS DE GUAROA</t>
  </si>
  <si>
    <t>50683</t>
  </si>
  <si>
    <t>50686</t>
  </si>
  <si>
    <t>SAN JUANITO</t>
  </si>
  <si>
    <t>689</t>
  </si>
  <si>
    <t>50689</t>
  </si>
  <si>
    <t>711</t>
  </si>
  <si>
    <t>50711</t>
  </si>
  <si>
    <t>52</t>
  </si>
  <si>
    <t>Nariño</t>
  </si>
  <si>
    <t>52019</t>
  </si>
  <si>
    <t>52022</t>
  </si>
  <si>
    <t>ALDANA</t>
  </si>
  <si>
    <t>52036</t>
  </si>
  <si>
    <t>ANCUYA</t>
  </si>
  <si>
    <t>52051</t>
  </si>
  <si>
    <t>083</t>
  </si>
  <si>
    <t>203</t>
  </si>
  <si>
    <t>52203</t>
  </si>
  <si>
    <t>COLON</t>
  </si>
  <si>
    <t>207</t>
  </si>
  <si>
    <t>52207</t>
  </si>
  <si>
    <t>210</t>
  </si>
  <si>
    <t>52210</t>
  </si>
  <si>
    <t>52215</t>
  </si>
  <si>
    <t>52224</t>
  </si>
  <si>
    <t>CUASPUD</t>
  </si>
  <si>
    <t>227</t>
  </si>
  <si>
    <t>52227</t>
  </si>
  <si>
    <t>CUMBAL</t>
  </si>
  <si>
    <t>233</t>
  </si>
  <si>
    <t>52240</t>
  </si>
  <si>
    <t>CHACHAGUI</t>
  </si>
  <si>
    <t>52250</t>
  </si>
  <si>
    <t>EL CHARCO</t>
  </si>
  <si>
    <t>254</t>
  </si>
  <si>
    <t>52254</t>
  </si>
  <si>
    <t>EL PEÑOL</t>
  </si>
  <si>
    <t>52256</t>
  </si>
  <si>
    <t>EL ROSARIO</t>
  </si>
  <si>
    <t>52258</t>
  </si>
  <si>
    <t>EL TABLON DE GOMEZ</t>
  </si>
  <si>
    <t>52260</t>
  </si>
  <si>
    <t>52287</t>
  </si>
  <si>
    <t>52317</t>
  </si>
  <si>
    <t>GUACHUCAL</t>
  </si>
  <si>
    <t>52320</t>
  </si>
  <si>
    <t>323</t>
  </si>
  <si>
    <t>52323</t>
  </si>
  <si>
    <t>GUALMATAN</t>
  </si>
  <si>
    <t>352</t>
  </si>
  <si>
    <t>52352</t>
  </si>
  <si>
    <t>ILES</t>
  </si>
  <si>
    <t>354</t>
  </si>
  <si>
    <t>52354</t>
  </si>
  <si>
    <t>IMUES</t>
  </si>
  <si>
    <t>356</t>
  </si>
  <si>
    <t>52356</t>
  </si>
  <si>
    <t>IPIALES</t>
  </si>
  <si>
    <t>52378</t>
  </si>
  <si>
    <t>LA CRUZ</t>
  </si>
  <si>
    <t>381</t>
  </si>
  <si>
    <t>52381</t>
  </si>
  <si>
    <t>385</t>
  </si>
  <si>
    <t>52385</t>
  </si>
  <si>
    <t>LA LLANADA</t>
  </si>
  <si>
    <t>52390</t>
  </si>
  <si>
    <t>LA TOLA</t>
  </si>
  <si>
    <t>399</t>
  </si>
  <si>
    <t>52399</t>
  </si>
  <si>
    <t>405</t>
  </si>
  <si>
    <t>52405</t>
  </si>
  <si>
    <t>LEIVA</t>
  </si>
  <si>
    <t>52411</t>
  </si>
  <si>
    <t>LINARES</t>
  </si>
  <si>
    <t>427</t>
  </si>
  <si>
    <t>52427</t>
  </si>
  <si>
    <t>435</t>
  </si>
  <si>
    <t>52435</t>
  </si>
  <si>
    <t>MALLAMA</t>
  </si>
  <si>
    <t>52473</t>
  </si>
  <si>
    <t>52480</t>
  </si>
  <si>
    <t>52506</t>
  </si>
  <si>
    <t>540</t>
  </si>
  <si>
    <t>52540</t>
  </si>
  <si>
    <t>POLICARPA</t>
  </si>
  <si>
    <t>52560</t>
  </si>
  <si>
    <t>POTOSI</t>
  </si>
  <si>
    <t>565</t>
  </si>
  <si>
    <t>52565</t>
  </si>
  <si>
    <t>52585</t>
  </si>
  <si>
    <t>PUPIALES</t>
  </si>
  <si>
    <t>52612</t>
  </si>
  <si>
    <t>52621</t>
  </si>
  <si>
    <t>52683</t>
  </si>
  <si>
    <t>52685</t>
  </si>
  <si>
    <t>687</t>
  </si>
  <si>
    <t>52687</t>
  </si>
  <si>
    <t>52693</t>
  </si>
  <si>
    <t>694</t>
  </si>
  <si>
    <t>52694</t>
  </si>
  <si>
    <t>SAN PEDRO DE CARTAGO</t>
  </si>
  <si>
    <t>52696</t>
  </si>
  <si>
    <t>699</t>
  </si>
  <si>
    <t>52720</t>
  </si>
  <si>
    <t>786</t>
  </si>
  <si>
    <t>52786</t>
  </si>
  <si>
    <t>TAMINANGO</t>
  </si>
  <si>
    <t>788</t>
  </si>
  <si>
    <t>52788</t>
  </si>
  <si>
    <t>52885</t>
  </si>
  <si>
    <t>54</t>
  </si>
  <si>
    <t>Norte de Santander</t>
  </si>
  <si>
    <t>003</t>
  </si>
  <si>
    <t>54003</t>
  </si>
  <si>
    <t>54051</t>
  </si>
  <si>
    <t>54099</t>
  </si>
  <si>
    <t>54109</t>
  </si>
  <si>
    <t>54125</t>
  </si>
  <si>
    <t>128</t>
  </si>
  <si>
    <t>54128</t>
  </si>
  <si>
    <t>54174</t>
  </si>
  <si>
    <t>54206</t>
  </si>
  <si>
    <t>54223</t>
  </si>
  <si>
    <t>239</t>
  </si>
  <si>
    <t>54239</t>
  </si>
  <si>
    <t>54245</t>
  </si>
  <si>
    <t>54250</t>
  </si>
  <si>
    <t>EL TARRA</t>
  </si>
  <si>
    <t>261</t>
  </si>
  <si>
    <t>54313</t>
  </si>
  <si>
    <t>GRAMALOTE</t>
  </si>
  <si>
    <t>344</t>
  </si>
  <si>
    <t>54344</t>
  </si>
  <si>
    <t>54347</t>
  </si>
  <si>
    <t>54377</t>
  </si>
  <si>
    <t>LABATECA</t>
  </si>
  <si>
    <t>54385</t>
  </si>
  <si>
    <t>54398</t>
  </si>
  <si>
    <t>54405</t>
  </si>
  <si>
    <t>54418</t>
  </si>
  <si>
    <t>54480</t>
  </si>
  <si>
    <t>MUTISCUA</t>
  </si>
  <si>
    <t>498</t>
  </si>
  <si>
    <t>54520</t>
  </si>
  <si>
    <t>553</t>
  </si>
  <si>
    <t>54553</t>
  </si>
  <si>
    <t>54599</t>
  </si>
  <si>
    <t>54670</t>
  </si>
  <si>
    <t>SAN CALIXTO</t>
  </si>
  <si>
    <t>54673</t>
  </si>
  <si>
    <t>54680</t>
  </si>
  <si>
    <t>54743</t>
  </si>
  <si>
    <t>SILOS</t>
  </si>
  <si>
    <t>54800</t>
  </si>
  <si>
    <t>54810</t>
  </si>
  <si>
    <t>54820</t>
  </si>
  <si>
    <t>54871</t>
  </si>
  <si>
    <t>63</t>
  </si>
  <si>
    <t>Quindio</t>
  </si>
  <si>
    <t>111</t>
  </si>
  <si>
    <t>63111</t>
  </si>
  <si>
    <t>63190</t>
  </si>
  <si>
    <t>63272</t>
  </si>
  <si>
    <t>302</t>
  </si>
  <si>
    <t>470</t>
  </si>
  <si>
    <t>63470</t>
  </si>
  <si>
    <t>63690</t>
  </si>
  <si>
    <t>66</t>
  </si>
  <si>
    <t>Risaralda</t>
  </si>
  <si>
    <t>66045</t>
  </si>
  <si>
    <t>66075</t>
  </si>
  <si>
    <t>66088</t>
  </si>
  <si>
    <t>66170</t>
  </si>
  <si>
    <t>DOSQUEBRADAS</t>
  </si>
  <si>
    <t>66318</t>
  </si>
  <si>
    <t>66400</t>
  </si>
  <si>
    <t>456</t>
  </si>
  <si>
    <t>66456</t>
  </si>
  <si>
    <t>66572</t>
  </si>
  <si>
    <t>66594</t>
  </si>
  <si>
    <t>66687</t>
  </si>
  <si>
    <t>68</t>
  </si>
  <si>
    <t>Santander</t>
  </si>
  <si>
    <t>68013</t>
  </si>
  <si>
    <t>AGUADA</t>
  </si>
  <si>
    <t>68020</t>
  </si>
  <si>
    <t>68051</t>
  </si>
  <si>
    <t>ARATOCA</t>
  </si>
  <si>
    <t>68077</t>
  </si>
  <si>
    <t>68079</t>
  </si>
  <si>
    <t>BARICHARA</t>
  </si>
  <si>
    <t>081</t>
  </si>
  <si>
    <t>68081</t>
  </si>
  <si>
    <t>68092</t>
  </si>
  <si>
    <t>68101</t>
  </si>
  <si>
    <t>121</t>
  </si>
  <si>
    <t>68121</t>
  </si>
  <si>
    <t>68147</t>
  </si>
  <si>
    <t>CAPITANEJO</t>
  </si>
  <si>
    <t>152</t>
  </si>
  <si>
    <t>68152</t>
  </si>
  <si>
    <t>CARCASI</t>
  </si>
  <si>
    <t>68160</t>
  </si>
  <si>
    <t>CEPITA</t>
  </si>
  <si>
    <t>68162</t>
  </si>
  <si>
    <t>167</t>
  </si>
  <si>
    <t>68167</t>
  </si>
  <si>
    <t>CHARALA</t>
  </si>
  <si>
    <t>169</t>
  </si>
  <si>
    <t>68169</t>
  </si>
  <si>
    <t>68176</t>
  </si>
  <si>
    <t>179</t>
  </si>
  <si>
    <t>68179</t>
  </si>
  <si>
    <t>CHIPATA</t>
  </si>
  <si>
    <t>68190</t>
  </si>
  <si>
    <t>68207</t>
  </si>
  <si>
    <t>68209</t>
  </si>
  <si>
    <t>CONFINES</t>
  </si>
  <si>
    <t>211</t>
  </si>
  <si>
    <t>68211</t>
  </si>
  <si>
    <t>CONTRATACION</t>
  </si>
  <si>
    <t>217</t>
  </si>
  <si>
    <t>68217</t>
  </si>
  <si>
    <t>COROMORO</t>
  </si>
  <si>
    <t>229</t>
  </si>
  <si>
    <t>68229</t>
  </si>
  <si>
    <t>CURITI</t>
  </si>
  <si>
    <t>235</t>
  </si>
  <si>
    <t>68235</t>
  </si>
  <si>
    <t>EL CARMEN DE CHUCURI</t>
  </si>
  <si>
    <t>68245</t>
  </si>
  <si>
    <t>EL GUACAMAYO</t>
  </si>
  <si>
    <t>68250</t>
  </si>
  <si>
    <t>255</t>
  </si>
  <si>
    <t>68255</t>
  </si>
  <si>
    <t>EL PLAYON</t>
  </si>
  <si>
    <t>68264</t>
  </si>
  <si>
    <t>ENCINO</t>
  </si>
  <si>
    <t>68266</t>
  </si>
  <si>
    <t>ENCISO</t>
  </si>
  <si>
    <t>271</t>
  </si>
  <si>
    <t>68271</t>
  </si>
  <si>
    <t>68276</t>
  </si>
  <si>
    <t>68296</t>
  </si>
  <si>
    <t>GALAN</t>
  </si>
  <si>
    <t>68298</t>
  </si>
  <si>
    <t>68307</t>
  </si>
  <si>
    <t>68318</t>
  </si>
  <si>
    <t>GUACA</t>
  </si>
  <si>
    <t>68320</t>
  </si>
  <si>
    <t>68322</t>
  </si>
  <si>
    <t>GUAPOTA</t>
  </si>
  <si>
    <t>68324</t>
  </si>
  <si>
    <t>41524</t>
  </si>
  <si>
    <t>41548</t>
  </si>
  <si>
    <t>PITAL</t>
  </si>
  <si>
    <t>551</t>
  </si>
  <si>
    <t>41660</t>
  </si>
  <si>
    <t>668</t>
  </si>
  <si>
    <t>41668</t>
  </si>
  <si>
    <t>SAN AGUSTIN</t>
  </si>
  <si>
    <t>41676</t>
  </si>
  <si>
    <t>41770</t>
  </si>
  <si>
    <t>791</t>
  </si>
  <si>
    <t>41791</t>
  </si>
  <si>
    <t>TARQUI</t>
  </si>
  <si>
    <t>801</t>
  </si>
  <si>
    <t>41801</t>
  </si>
  <si>
    <t>41807</t>
  </si>
  <si>
    <t>872</t>
  </si>
  <si>
    <t>41872</t>
  </si>
  <si>
    <t>44</t>
  </si>
  <si>
    <t>44001</t>
  </si>
  <si>
    <t>La Guajira</t>
  </si>
  <si>
    <t>44035</t>
  </si>
  <si>
    <t>44078</t>
  </si>
  <si>
    <t>BARRANCAS</t>
  </si>
  <si>
    <t>44090</t>
  </si>
  <si>
    <t>DIBULLA</t>
  </si>
  <si>
    <t>098</t>
  </si>
  <si>
    <t>44098</t>
  </si>
  <si>
    <t>DISTRACCION</t>
  </si>
  <si>
    <t>44110</t>
  </si>
  <si>
    <t>EL MOLINO</t>
  </si>
  <si>
    <t>44279</t>
  </si>
  <si>
    <t>FONSECA</t>
  </si>
  <si>
    <t>44378</t>
  </si>
  <si>
    <t>HATONUEVO</t>
  </si>
  <si>
    <t>420</t>
  </si>
  <si>
    <t>44420</t>
  </si>
  <si>
    <t>LA JAGUA DEL PILAR</t>
  </si>
  <si>
    <t>44430</t>
  </si>
  <si>
    <t>MAICAO</t>
  </si>
  <si>
    <t>44560</t>
  </si>
  <si>
    <t>44650</t>
  </si>
  <si>
    <t>SAN JUAN DEL CESAR</t>
  </si>
  <si>
    <t>44847</t>
  </si>
  <si>
    <t>URIBIA</t>
  </si>
  <si>
    <t>44855</t>
  </si>
  <si>
    <t>URUMITA</t>
  </si>
  <si>
    <t>874</t>
  </si>
  <si>
    <t>44874</t>
  </si>
  <si>
    <t>47</t>
  </si>
  <si>
    <t>Magdalena</t>
  </si>
  <si>
    <t>47030</t>
  </si>
  <si>
    <t>ALGARROBO</t>
  </si>
  <si>
    <t>47053</t>
  </si>
  <si>
    <t>ARACATACA</t>
  </si>
  <si>
    <t>058</t>
  </si>
  <si>
    <t>47058</t>
  </si>
  <si>
    <t>ARIGUANI</t>
  </si>
  <si>
    <t>161</t>
  </si>
  <si>
    <t>47161</t>
  </si>
  <si>
    <t>CERRO SAN ANTONIO</t>
  </si>
  <si>
    <t>170</t>
  </si>
  <si>
    <t>47170</t>
  </si>
  <si>
    <t>CHIBOLO</t>
  </si>
  <si>
    <t>47189</t>
  </si>
  <si>
    <t>CIENAGA</t>
  </si>
  <si>
    <t>47205</t>
  </si>
  <si>
    <t>47245</t>
  </si>
  <si>
    <t>47258</t>
  </si>
  <si>
    <t>EL PIÑON</t>
  </si>
  <si>
    <t>47268</t>
  </si>
  <si>
    <t>EL RETEN</t>
  </si>
  <si>
    <t>47288</t>
  </si>
  <si>
    <t>FUNDACION</t>
  </si>
  <si>
    <t>47318</t>
  </si>
  <si>
    <t>GUAMAL</t>
  </si>
  <si>
    <t>47460</t>
  </si>
  <si>
    <t>NUEVA GRANADA</t>
  </si>
  <si>
    <t>47541</t>
  </si>
  <si>
    <t>PEDRAZA</t>
  </si>
  <si>
    <t>545</t>
  </si>
  <si>
    <t>47545</t>
  </si>
  <si>
    <t>PIJIÑO DEL CARMEN</t>
  </si>
  <si>
    <t>47551</t>
  </si>
  <si>
    <t>PIVIJAY</t>
  </si>
  <si>
    <t>47555</t>
  </si>
  <si>
    <t>PLATO</t>
  </si>
  <si>
    <t>47570</t>
  </si>
  <si>
    <t>PUEBLOVIEJO</t>
  </si>
  <si>
    <t>605</t>
  </si>
  <si>
    <t>47605</t>
  </si>
  <si>
    <t>REMOLINO</t>
  </si>
  <si>
    <t>47660</t>
  </si>
  <si>
    <t>SABANAS DE SAN ANGEL</t>
  </si>
  <si>
    <t>47675</t>
  </si>
  <si>
    <t>692</t>
  </si>
  <si>
    <t>47692</t>
  </si>
  <si>
    <t>SAN SEBASTIAN DE BUENAVISTA</t>
  </si>
  <si>
    <t>703</t>
  </si>
  <si>
    <t>47703</t>
  </si>
  <si>
    <t>707</t>
  </si>
  <si>
    <t>47707</t>
  </si>
  <si>
    <t>SANTA ANA</t>
  </si>
  <si>
    <t>47720</t>
  </si>
  <si>
    <t>SANTA BARBARA DE PINTO</t>
  </si>
  <si>
    <t>47745</t>
  </si>
  <si>
    <t>SITIONUEVO</t>
  </si>
  <si>
    <t>47798</t>
  </si>
  <si>
    <t>TENERIFE</t>
  </si>
  <si>
    <t>960</t>
  </si>
  <si>
    <t>SALADOBLANCO</t>
  </si>
  <si>
    <t>ACEVEDO</t>
  </si>
  <si>
    <t>FILANDIA</t>
  </si>
  <si>
    <t>ROBERTO PAYAN</t>
  </si>
  <si>
    <t>FUNES</t>
  </si>
  <si>
    <t>PIEDECUESTA</t>
  </si>
  <si>
    <t>TONA</t>
  </si>
  <si>
    <t>SARDINATA</t>
  </si>
  <si>
    <t>ARBOLEDAS</t>
  </si>
  <si>
    <t>BUENOS AIRES</t>
  </si>
  <si>
    <t>HERVEO</t>
  </si>
  <si>
    <t>ANOLAIMA</t>
  </si>
  <si>
    <t>NOCAIMA</t>
  </si>
  <si>
    <t>SUPATA</t>
  </si>
  <si>
    <t>TOPAIPI</t>
  </si>
  <si>
    <t>VIANI</t>
  </si>
  <si>
    <t>REPELON</t>
  </si>
  <si>
    <t>TIMBIO</t>
  </si>
  <si>
    <t>LOS CORDOBAS</t>
  </si>
  <si>
    <t>BUESACO</t>
  </si>
  <si>
    <t>ALBAN</t>
  </si>
  <si>
    <t>OSPINA</t>
  </si>
  <si>
    <t>CACHIRA</t>
  </si>
  <si>
    <t>PAIME</t>
  </si>
  <si>
    <t>CUMBITARA</t>
  </si>
  <si>
    <t>ABREGO</t>
  </si>
  <si>
    <t>AYAPEL</t>
  </si>
  <si>
    <t>EL TAMBO</t>
  </si>
  <si>
    <t>ACANDI</t>
  </si>
  <si>
    <t>CHIMICHAGUA</t>
  </si>
  <si>
    <t>GENOVA</t>
  </si>
  <si>
    <t>SAN LORENZO</t>
  </si>
  <si>
    <t>META</t>
  </si>
  <si>
    <t>EL CASTILLO</t>
  </si>
  <si>
    <t>MANIZALES</t>
  </si>
  <si>
    <t>HATO COROZAL</t>
  </si>
  <si>
    <t>CALOTO</t>
  </si>
  <si>
    <t>FECHA</t>
  </si>
  <si>
    <t>GUACHENE</t>
  </si>
  <si>
    <t>SANTANDER DE QUILICHAO</t>
  </si>
  <si>
    <t>TORIBIO</t>
  </si>
  <si>
    <t>AMBALEMA</t>
  </si>
  <si>
    <t>LOPEZ DE MICAY</t>
  </si>
  <si>
    <t>GARZON</t>
  </si>
  <si>
    <t>SANTACRUZ</t>
  </si>
  <si>
    <t>PUERRES</t>
  </si>
  <si>
    <t>LOS ANDES</t>
  </si>
  <si>
    <t>FRANCISCO PIZARRO</t>
  </si>
  <si>
    <t>CALIFORNIA</t>
  </si>
  <si>
    <t>CHINCHINA</t>
  </si>
  <si>
    <t>NORCASIA</t>
  </si>
  <si>
    <t>SAN MIGUEL</t>
  </si>
  <si>
    <t>PAUNA</t>
  </si>
  <si>
    <t>SUTATAUSA</t>
  </si>
  <si>
    <t>CUCUNUBA</t>
  </si>
  <si>
    <t>BOGOTA, D.C.</t>
  </si>
  <si>
    <t>15299</t>
  </si>
  <si>
    <t>317</t>
  </si>
  <si>
    <t>15317</t>
  </si>
  <si>
    <t>GUACAMAYAS</t>
  </si>
  <si>
    <t>322</t>
  </si>
  <si>
    <t>15322</t>
  </si>
  <si>
    <t>GUATEQUE</t>
  </si>
  <si>
    <t>325</t>
  </si>
  <si>
    <t>15325</t>
  </si>
  <si>
    <t>GUAYATA</t>
  </si>
  <si>
    <t>332</t>
  </si>
  <si>
    <t>362</t>
  </si>
  <si>
    <t>15362</t>
  </si>
  <si>
    <t>IZA</t>
  </si>
  <si>
    <t>367</t>
  </si>
  <si>
    <t>15367</t>
  </si>
  <si>
    <t>JENESANO</t>
  </si>
  <si>
    <t>15368</t>
  </si>
  <si>
    <t>377</t>
  </si>
  <si>
    <t>15377</t>
  </si>
  <si>
    <t>LABRANZAGRANDE</t>
  </si>
  <si>
    <t>15380</t>
  </si>
  <si>
    <t>LA CAPILLA</t>
  </si>
  <si>
    <t>401</t>
  </si>
  <si>
    <t>15401</t>
  </si>
  <si>
    <t>403</t>
  </si>
  <si>
    <t>15403</t>
  </si>
  <si>
    <t>LA UVITA</t>
  </si>
  <si>
    <t>407</t>
  </si>
  <si>
    <t>15407</t>
  </si>
  <si>
    <t>VILLA DE LEYVA</t>
  </si>
  <si>
    <t>15425</t>
  </si>
  <si>
    <t>MACANAL</t>
  </si>
  <si>
    <t>15442</t>
  </si>
  <si>
    <t>455</t>
  </si>
  <si>
    <t>15455</t>
  </si>
  <si>
    <t>MIRAFLORES</t>
  </si>
  <si>
    <t>464</t>
  </si>
  <si>
    <t>15464</t>
  </si>
  <si>
    <t>MONGUA</t>
  </si>
  <si>
    <t>466</t>
  </si>
  <si>
    <t>15466</t>
  </si>
  <si>
    <t>MONGUI</t>
  </si>
  <si>
    <t>469</t>
  </si>
  <si>
    <t>15469</t>
  </si>
  <si>
    <t>476</t>
  </si>
  <si>
    <t>15476</t>
  </si>
  <si>
    <t>MOTAVITA</t>
  </si>
  <si>
    <t>15480</t>
  </si>
  <si>
    <t>491</t>
  </si>
  <si>
    <t>15491</t>
  </si>
  <si>
    <t>NOBSA</t>
  </si>
  <si>
    <t>494</t>
  </si>
  <si>
    <t>15494</t>
  </si>
  <si>
    <t>NUEVO COLON</t>
  </si>
  <si>
    <t>500</t>
  </si>
  <si>
    <t>15500</t>
  </si>
  <si>
    <t>OICATA</t>
  </si>
  <si>
    <t>507</t>
  </si>
  <si>
    <t>15507</t>
  </si>
  <si>
    <t>OTANCHE</t>
  </si>
  <si>
    <t>511</t>
  </si>
  <si>
    <t>15511</t>
  </si>
  <si>
    <t>PACHAVITA</t>
  </si>
  <si>
    <t>514</t>
  </si>
  <si>
    <t>15514</t>
  </si>
  <si>
    <t>516</t>
  </si>
  <si>
    <t>15516</t>
  </si>
  <si>
    <t>518</t>
  </si>
  <si>
    <t>15518</t>
  </si>
  <si>
    <t>PAJARITO</t>
  </si>
  <si>
    <t>522</t>
  </si>
  <si>
    <t>15522</t>
  </si>
  <si>
    <t>PANQUEBA</t>
  </si>
  <si>
    <t>531</t>
  </si>
  <si>
    <t>15531</t>
  </si>
  <si>
    <t>533</t>
  </si>
  <si>
    <t>15533</t>
  </si>
  <si>
    <t>PAYA</t>
  </si>
  <si>
    <t>537</t>
  </si>
  <si>
    <t>15537</t>
  </si>
  <si>
    <t>PAZ DE RIO</t>
  </si>
  <si>
    <t>542</t>
  </si>
  <si>
    <t>15542</t>
  </si>
  <si>
    <t>PESCA</t>
  </si>
  <si>
    <t>550</t>
  </si>
  <si>
    <t>15550</t>
  </si>
  <si>
    <t>PISBA</t>
  </si>
  <si>
    <t>572</t>
  </si>
  <si>
    <t>15572</t>
  </si>
  <si>
    <t>15580</t>
  </si>
  <si>
    <t>599</t>
  </si>
  <si>
    <t>15599</t>
  </si>
  <si>
    <t>RAMIRIQUI</t>
  </si>
  <si>
    <t>15600</t>
  </si>
  <si>
    <t>621</t>
  </si>
  <si>
    <t>15621</t>
  </si>
  <si>
    <t>RONDON</t>
  </si>
  <si>
    <t>632</t>
  </si>
  <si>
    <t>15632</t>
  </si>
  <si>
    <t>15638</t>
  </si>
  <si>
    <t>SACHICA</t>
  </si>
  <si>
    <t>646</t>
  </si>
  <si>
    <t>15646</t>
  </si>
  <si>
    <t>15660</t>
  </si>
  <si>
    <t>SAN EDUARDO</t>
  </si>
  <si>
    <t>15664</t>
  </si>
  <si>
    <t>SAN JOSE DE PARE</t>
  </si>
  <si>
    <t>15667</t>
  </si>
  <si>
    <t>SAN LUIS DE GACENO</t>
  </si>
  <si>
    <t>676</t>
  </si>
  <si>
    <t>15676</t>
  </si>
  <si>
    <t>681</t>
  </si>
  <si>
    <t>15686</t>
  </si>
  <si>
    <t>SANTANA</t>
  </si>
  <si>
    <t>15690</t>
  </si>
  <si>
    <t>693</t>
  </si>
  <si>
    <t>15693</t>
  </si>
  <si>
    <t>SANTA ROSA DE VITERBO</t>
  </si>
  <si>
    <t>696</t>
  </si>
  <si>
    <t>15696</t>
  </si>
  <si>
    <t>SANTA SOFIA</t>
  </si>
  <si>
    <t>720</t>
  </si>
  <si>
    <t>15720</t>
  </si>
  <si>
    <t>SATIVANORTE</t>
  </si>
  <si>
    <t>723</t>
  </si>
  <si>
    <t>15723</t>
  </si>
  <si>
    <t>SATIVASUR</t>
  </si>
  <si>
    <t>740</t>
  </si>
  <si>
    <t>15740</t>
  </si>
  <si>
    <t>SIACHOQUE</t>
  </si>
  <si>
    <t>753</t>
  </si>
  <si>
    <t>15753</t>
  </si>
  <si>
    <t>SOATA</t>
  </si>
  <si>
    <t>755</t>
  </si>
  <si>
    <t>15755</t>
  </si>
  <si>
    <t>SOCOTA</t>
  </si>
  <si>
    <t>757</t>
  </si>
  <si>
    <t>15757</t>
  </si>
  <si>
    <t>SOCHA</t>
  </si>
  <si>
    <t>759</t>
  </si>
  <si>
    <t>15759</t>
  </si>
  <si>
    <t>15761</t>
  </si>
  <si>
    <t>SOMONDOCO</t>
  </si>
  <si>
    <t>762</t>
  </si>
  <si>
    <t>15762</t>
  </si>
  <si>
    <t>SORA</t>
  </si>
  <si>
    <t>763</t>
  </si>
  <si>
    <t>15763</t>
  </si>
  <si>
    <t>SOTAQUIRA</t>
  </si>
  <si>
    <t>764</t>
  </si>
  <si>
    <t>15764</t>
  </si>
  <si>
    <t>SORACA</t>
  </si>
  <si>
    <t>774</t>
  </si>
  <si>
    <t>15774</t>
  </si>
  <si>
    <t>SUSACON</t>
  </si>
  <si>
    <t>776</t>
  </si>
  <si>
    <t>15776</t>
  </si>
  <si>
    <t>SUTAMARCHAN</t>
  </si>
  <si>
    <t>778</t>
  </si>
  <si>
    <t>15778</t>
  </si>
  <si>
    <t>SUTATENZA</t>
  </si>
  <si>
    <t>798</t>
  </si>
  <si>
    <t>15798</t>
  </si>
  <si>
    <t>TENZA</t>
  </si>
  <si>
    <t>804</t>
  </si>
  <si>
    <t>15804</t>
  </si>
  <si>
    <t>806</t>
  </si>
  <si>
    <t>15806</t>
  </si>
  <si>
    <t>TIBASOSA</t>
  </si>
  <si>
    <t>808</t>
  </si>
  <si>
    <t>15808</t>
  </si>
  <si>
    <t>TINJACA</t>
  </si>
  <si>
    <t>15810</t>
  </si>
  <si>
    <t>TIPACOQUE</t>
  </si>
  <si>
    <t>814</t>
  </si>
  <si>
    <t>15814</t>
  </si>
  <si>
    <t>TOCA</t>
  </si>
  <si>
    <t>816</t>
  </si>
  <si>
    <t>15816</t>
  </si>
  <si>
    <t>TOGUI</t>
  </si>
  <si>
    <t>820</t>
  </si>
  <si>
    <t>15820</t>
  </si>
  <si>
    <t>TOPAGA</t>
  </si>
  <si>
    <t>822</t>
  </si>
  <si>
    <t>15822</t>
  </si>
  <si>
    <t>TOTA</t>
  </si>
  <si>
    <t>15832</t>
  </si>
  <si>
    <t>835</t>
  </si>
  <si>
    <t>15835</t>
  </si>
  <si>
    <t>TURMEQUE</t>
  </si>
  <si>
    <t>15837</t>
  </si>
  <si>
    <t>839</t>
  </si>
  <si>
    <t>15839</t>
  </si>
  <si>
    <t>TUTAZA</t>
  </si>
  <si>
    <t>15842</t>
  </si>
  <si>
    <t>UMBITA</t>
  </si>
  <si>
    <t>15861</t>
  </si>
  <si>
    <t>VENTAQUEMADA</t>
  </si>
  <si>
    <t>879</t>
  </si>
  <si>
    <t>15879</t>
  </si>
  <si>
    <t>VIRACACHA</t>
  </si>
  <si>
    <t>897</t>
  </si>
  <si>
    <t>15897</t>
  </si>
  <si>
    <t>ZETAQUIRA</t>
  </si>
  <si>
    <t>17</t>
  </si>
  <si>
    <t>Caldas</t>
  </si>
  <si>
    <t>013</t>
  </si>
  <si>
    <t>17013</t>
  </si>
  <si>
    <t>AGUADAS</t>
  </si>
  <si>
    <t>050</t>
  </si>
  <si>
    <t>17050</t>
  </si>
  <si>
    <t>17088</t>
  </si>
  <si>
    <t>174</t>
  </si>
  <si>
    <t>17174</t>
  </si>
  <si>
    <t>17380</t>
  </si>
  <si>
    <t>388</t>
  </si>
  <si>
    <t>17433</t>
  </si>
  <si>
    <t>17442</t>
  </si>
  <si>
    <t>MARMATO</t>
  </si>
  <si>
    <t>444</t>
  </si>
  <si>
    <t>17444</t>
  </si>
  <si>
    <t>MARQUETALIA</t>
  </si>
  <si>
    <t>446</t>
  </si>
  <si>
    <t>17446</t>
  </si>
  <si>
    <t>MARULANDA</t>
  </si>
  <si>
    <t>486</t>
  </si>
  <si>
    <t>17486</t>
  </si>
  <si>
    <t>NEIRA</t>
  </si>
  <si>
    <t>513</t>
  </si>
  <si>
    <t>17513</t>
  </si>
  <si>
    <t>524</t>
  </si>
  <si>
    <t>17524</t>
  </si>
  <si>
    <t>17541</t>
  </si>
  <si>
    <t>PENSILVANIA</t>
  </si>
  <si>
    <t>614</t>
  </si>
  <si>
    <t>17614</t>
  </si>
  <si>
    <t>616</t>
  </si>
  <si>
    <t>17616</t>
  </si>
  <si>
    <t>653</t>
  </si>
  <si>
    <t>17653</t>
  </si>
  <si>
    <t>662</t>
  </si>
  <si>
    <t>17662</t>
  </si>
  <si>
    <t>17665</t>
  </si>
  <si>
    <t>SAN JOSE</t>
  </si>
  <si>
    <t>777</t>
  </si>
  <si>
    <t>17777</t>
  </si>
  <si>
    <t>SUPIA</t>
  </si>
  <si>
    <t>867</t>
  </si>
  <si>
    <t>17867</t>
  </si>
  <si>
    <t>VICTORIA</t>
  </si>
  <si>
    <t>877</t>
  </si>
  <si>
    <t>17877</t>
  </si>
  <si>
    <t>VITERBO</t>
  </si>
  <si>
    <t>18</t>
  </si>
  <si>
    <t>029</t>
  </si>
  <si>
    <t>18029</t>
  </si>
  <si>
    <t>ALBANIA</t>
  </si>
  <si>
    <t>094</t>
  </si>
  <si>
    <t>18150</t>
  </si>
  <si>
    <t>CARTAGENA DEL CHAIRA</t>
  </si>
  <si>
    <t>205</t>
  </si>
  <si>
    <t>18205</t>
  </si>
  <si>
    <t>247</t>
  </si>
  <si>
    <t>18247</t>
  </si>
  <si>
    <t>EL DONCELLO</t>
  </si>
  <si>
    <t>256</t>
  </si>
  <si>
    <t>18256</t>
  </si>
  <si>
    <t>EL PAUJIL</t>
  </si>
  <si>
    <t>410</t>
  </si>
  <si>
    <t>18410</t>
  </si>
  <si>
    <t>LA MONTAÑITA</t>
  </si>
  <si>
    <t>460</t>
  </si>
  <si>
    <t>18460</t>
  </si>
  <si>
    <t>479</t>
  </si>
  <si>
    <t>18479</t>
  </si>
  <si>
    <t>MORELIA</t>
  </si>
  <si>
    <t>592</t>
  </si>
  <si>
    <t>18592</t>
  </si>
  <si>
    <t>610</t>
  </si>
  <si>
    <t>18610</t>
  </si>
  <si>
    <t>SAN JOSE DEL FRAGUA</t>
  </si>
  <si>
    <t>18753</t>
  </si>
  <si>
    <t>SAN VICENTE DEL CAGUAN</t>
  </si>
  <si>
    <t>18756</t>
  </si>
  <si>
    <t>SOLANO</t>
  </si>
  <si>
    <t>785</t>
  </si>
  <si>
    <t>860</t>
  </si>
  <si>
    <t>18860</t>
  </si>
  <si>
    <t>19</t>
  </si>
  <si>
    <t>Cauca</t>
  </si>
  <si>
    <t>19022</t>
  </si>
  <si>
    <t>ALMAGUER</t>
  </si>
  <si>
    <t>19050</t>
  </si>
  <si>
    <t>075</t>
  </si>
  <si>
    <t>19075</t>
  </si>
  <si>
    <t>100</t>
  </si>
  <si>
    <t>19100</t>
  </si>
  <si>
    <t>110</t>
  </si>
  <si>
    <t>130</t>
  </si>
  <si>
    <t>19137</t>
  </si>
  <si>
    <t>CALDONO</t>
  </si>
  <si>
    <t>19142</t>
  </si>
  <si>
    <t>19212</t>
  </si>
  <si>
    <t>19256</t>
  </si>
  <si>
    <t>290</t>
  </si>
  <si>
    <t>19290</t>
  </si>
  <si>
    <t>19300</t>
  </si>
  <si>
    <t>19318</t>
  </si>
  <si>
    <t>355</t>
  </si>
  <si>
    <t>19355</t>
  </si>
  <si>
    <t>19364</t>
  </si>
  <si>
    <t>392</t>
  </si>
  <si>
    <t>19392</t>
  </si>
  <si>
    <t>LA SIERRA</t>
  </si>
  <si>
    <t>397</t>
  </si>
  <si>
    <t>418</t>
  </si>
  <si>
    <t>450</t>
  </si>
  <si>
    <t>19450</t>
  </si>
  <si>
    <t>MERCADERES</t>
  </si>
  <si>
    <t>19455</t>
  </si>
  <si>
    <t>19473</t>
  </si>
  <si>
    <t>19513</t>
  </si>
  <si>
    <t>517</t>
  </si>
  <si>
    <t>19517</t>
  </si>
  <si>
    <t>532</t>
  </si>
  <si>
    <t>19532</t>
  </si>
  <si>
    <t>19533</t>
  </si>
  <si>
    <t>548</t>
  </si>
  <si>
    <t>19573</t>
  </si>
  <si>
    <t>PUERTO TEJADA</t>
  </si>
  <si>
    <t>19585</t>
  </si>
  <si>
    <t>PURACE</t>
  </si>
  <si>
    <t>622</t>
  </si>
  <si>
    <t>19622</t>
  </si>
  <si>
    <t>ROSAS</t>
  </si>
  <si>
    <t>19693</t>
  </si>
  <si>
    <t>SAN SEBASTIAN</t>
  </si>
  <si>
    <t>698</t>
  </si>
  <si>
    <t>19698</t>
  </si>
  <si>
    <t>701</t>
  </si>
  <si>
    <t>19701</t>
  </si>
  <si>
    <t>743</t>
  </si>
  <si>
    <t>19743</t>
  </si>
  <si>
    <t>19760</t>
  </si>
  <si>
    <t>SOTARA</t>
  </si>
  <si>
    <t>19780</t>
  </si>
  <si>
    <t>19785</t>
  </si>
  <si>
    <t>807</t>
  </si>
  <si>
    <t>19807</t>
  </si>
  <si>
    <t>19809</t>
  </si>
  <si>
    <t>TIMBIQUI</t>
  </si>
  <si>
    <t>821</t>
  </si>
  <si>
    <t>19821</t>
  </si>
  <si>
    <t>824</t>
  </si>
  <si>
    <t>845</t>
  </si>
  <si>
    <t>19845</t>
  </si>
  <si>
    <t>20</t>
  </si>
  <si>
    <t>20001</t>
  </si>
  <si>
    <t>Cesar</t>
  </si>
  <si>
    <t>011</t>
  </si>
  <si>
    <t>20013</t>
  </si>
  <si>
    <t>AGUSTIN CODAZZI</t>
  </si>
  <si>
    <t>032</t>
  </si>
  <si>
    <t>20032</t>
  </si>
  <si>
    <t>ASTREA</t>
  </si>
  <si>
    <t>20045</t>
  </si>
  <si>
    <t>BECERRIL</t>
  </si>
  <si>
    <t>060</t>
  </si>
  <si>
    <t>20060</t>
  </si>
  <si>
    <t>BOSCONIA</t>
  </si>
  <si>
    <t>175</t>
  </si>
  <si>
    <t>178</t>
  </si>
  <si>
    <t>20178</t>
  </si>
  <si>
    <t>CHIRIGUANA</t>
  </si>
  <si>
    <t>228</t>
  </si>
  <si>
    <t>20228</t>
  </si>
  <si>
    <t>CURUMANI</t>
  </si>
  <si>
    <t>20238</t>
  </si>
  <si>
    <t>EL COPEY</t>
  </si>
  <si>
    <t>20250</t>
  </si>
  <si>
    <t>EL PASO</t>
  </si>
  <si>
    <t>295</t>
  </si>
  <si>
    <t>20295</t>
  </si>
  <si>
    <t>20310</t>
  </si>
  <si>
    <t>GONZALEZ</t>
  </si>
  <si>
    <t>383</t>
  </si>
  <si>
    <t>20383</t>
  </si>
  <si>
    <t>20400</t>
  </si>
  <si>
    <t>LA JAGUA DE IBIRICO</t>
  </si>
  <si>
    <t>443</t>
  </si>
  <si>
    <t>20443</t>
  </si>
  <si>
    <t>MANAURE</t>
  </si>
  <si>
    <t>20517</t>
  </si>
  <si>
    <t>PAILITAS</t>
  </si>
  <si>
    <t>20550</t>
  </si>
  <si>
    <t>PELAYA</t>
  </si>
  <si>
    <t>570</t>
  </si>
  <si>
    <t>20570</t>
  </si>
  <si>
    <t>PUEBLO BELLO</t>
  </si>
  <si>
    <t>20614</t>
  </si>
  <si>
    <t>RIO DE ORO</t>
  </si>
  <si>
    <t>20621</t>
  </si>
  <si>
    <t>LA PAZ</t>
  </si>
  <si>
    <t>710</t>
  </si>
  <si>
    <t>20710</t>
  </si>
  <si>
    <t>SAN ALBERTO</t>
  </si>
  <si>
    <t>750</t>
  </si>
  <si>
    <t>20750</t>
  </si>
  <si>
    <t>20770</t>
  </si>
  <si>
    <t>787</t>
  </si>
  <si>
    <t>20787</t>
  </si>
  <si>
    <t>23</t>
  </si>
  <si>
    <t>23001</t>
  </si>
  <si>
    <t>Cordoba</t>
  </si>
  <si>
    <t>068</t>
  </si>
  <si>
    <t>23068</t>
  </si>
  <si>
    <t>23079</t>
  </si>
  <si>
    <t>23090</t>
  </si>
  <si>
    <t>CANALETE</t>
  </si>
  <si>
    <t>23162</t>
  </si>
  <si>
    <t>168</t>
  </si>
  <si>
    <t>23168</t>
  </si>
  <si>
    <t>CHIMA</t>
  </si>
  <si>
    <t>182</t>
  </si>
  <si>
    <t>23182</t>
  </si>
  <si>
    <t>CHINU</t>
  </si>
  <si>
    <t>23189</t>
  </si>
  <si>
    <t>CIENAGA DE ORO</t>
  </si>
  <si>
    <t>23300</t>
  </si>
  <si>
    <t>COTORRA</t>
  </si>
  <si>
    <t>350</t>
  </si>
  <si>
    <t>23350</t>
  </si>
  <si>
    <t>417</t>
  </si>
  <si>
    <t>23417</t>
  </si>
  <si>
    <t>LORICA</t>
  </si>
  <si>
    <t>419</t>
  </si>
  <si>
    <t>23464</t>
  </si>
  <si>
    <t>MOMIL</t>
  </si>
  <si>
    <t>23466</t>
  </si>
  <si>
    <t>MONTELIBANO</t>
  </si>
  <si>
    <t>23500</t>
  </si>
  <si>
    <t>MOÑITOS</t>
  </si>
  <si>
    <t>555</t>
  </si>
  <si>
    <t>23555</t>
  </si>
  <si>
    <t>PLANETA RICA</t>
  </si>
  <si>
    <t>23570</t>
  </si>
  <si>
    <t>PUEBLO NUEVO</t>
  </si>
  <si>
    <t>574</t>
  </si>
  <si>
    <t>23574</t>
  </si>
  <si>
    <t>PUERTO ESCONDIDO</t>
  </si>
  <si>
    <t>23580</t>
  </si>
  <si>
    <t>586</t>
  </si>
  <si>
    <t>23586</t>
  </si>
  <si>
    <t>PURISIMA</t>
  </si>
  <si>
    <t>23660</t>
  </si>
  <si>
    <t>SAHAGUN</t>
  </si>
  <si>
    <t>23670</t>
  </si>
  <si>
    <t>SAN ANDRES SOTAVENTO</t>
  </si>
  <si>
    <t>672</t>
  </si>
  <si>
    <t>23672</t>
  </si>
  <si>
    <t>SAN ANTERO</t>
  </si>
  <si>
    <t>23675</t>
  </si>
  <si>
    <t>SAN BERNARDO DEL VIENTO</t>
  </si>
  <si>
    <t>678</t>
  </si>
  <si>
    <t>23678</t>
  </si>
  <si>
    <t>682</t>
  </si>
  <si>
    <t>23682</t>
  </si>
  <si>
    <t>23686</t>
  </si>
  <si>
    <t>SAN PELAYO</t>
  </si>
  <si>
    <t>23807</t>
  </si>
  <si>
    <t>TIERRALTA</t>
  </si>
  <si>
    <t>815</t>
  </si>
  <si>
    <t>23815</t>
  </si>
  <si>
    <t>TUCHIN</t>
  </si>
  <si>
    <t>855</t>
  </si>
  <si>
    <t>23855</t>
  </si>
  <si>
    <t>VALENCIA</t>
  </si>
  <si>
    <t>25</t>
  </si>
  <si>
    <t>25001</t>
  </si>
  <si>
    <t>AGUA DE DIOS</t>
  </si>
  <si>
    <t>019</t>
  </si>
  <si>
    <t>035</t>
  </si>
  <si>
    <t>25035</t>
  </si>
  <si>
    <t>053</t>
  </si>
  <si>
    <t>25086</t>
  </si>
  <si>
    <t>095</t>
  </si>
  <si>
    <t>25095</t>
  </si>
  <si>
    <t>099</t>
  </si>
  <si>
    <t>25099</t>
  </si>
  <si>
    <t>123</t>
  </si>
  <si>
    <t>25123</t>
  </si>
  <si>
    <t>CACHIPAY</t>
  </si>
  <si>
    <t>126</t>
  </si>
  <si>
    <t>25126</t>
  </si>
  <si>
    <t>25148</t>
  </si>
  <si>
    <t>151</t>
  </si>
  <si>
    <t>25151</t>
  </si>
  <si>
    <t>CAQUEZA</t>
  </si>
  <si>
    <t>25154</t>
  </si>
  <si>
    <t>25168</t>
  </si>
  <si>
    <t>CHAGUANI</t>
  </si>
  <si>
    <t>25175</t>
  </si>
  <si>
    <t>25178</t>
  </si>
  <si>
    <t>CHIPAQUE</t>
  </si>
  <si>
    <t>181</t>
  </si>
  <si>
    <t>25181</t>
  </si>
  <si>
    <t>25183</t>
  </si>
  <si>
    <t>200</t>
  </si>
  <si>
    <t>214</t>
  </si>
  <si>
    <t>245</t>
  </si>
  <si>
    <t>25245</t>
  </si>
  <si>
    <t>EL COLEGIO</t>
  </si>
  <si>
    <t>258</t>
  </si>
  <si>
    <t>25258</t>
  </si>
  <si>
    <t>260</t>
  </si>
  <si>
    <t>25260</t>
  </si>
  <si>
    <t>EL ROSAL</t>
  </si>
  <si>
    <t>269</t>
  </si>
  <si>
    <t>25269</t>
  </si>
  <si>
    <t>279</t>
  </si>
  <si>
    <t>25279</t>
  </si>
  <si>
    <t>FOMEQUE</t>
  </si>
  <si>
    <t>281</t>
  </si>
  <si>
    <t>25281</t>
  </si>
  <si>
    <t>FOSCA</t>
  </si>
  <si>
    <t>286</t>
  </si>
  <si>
    <t>25286</t>
  </si>
  <si>
    <t>FUNZA</t>
  </si>
  <si>
    <t>288</t>
  </si>
  <si>
    <t>25288</t>
  </si>
  <si>
    <t>25293</t>
  </si>
  <si>
    <t>GACHALA</t>
  </si>
  <si>
    <t>25295</t>
  </si>
  <si>
    <t>GACHANCIPA</t>
  </si>
  <si>
    <t>297</t>
  </si>
  <si>
    <t>25297</t>
  </si>
  <si>
    <t>25299</t>
  </si>
  <si>
    <t>GAMA</t>
  </si>
  <si>
    <t>307</t>
  </si>
  <si>
    <t>25307</t>
  </si>
  <si>
    <t>312</t>
  </si>
  <si>
    <t>25312</t>
  </si>
  <si>
    <t>25317</t>
  </si>
  <si>
    <t>320</t>
  </si>
  <si>
    <t>25320</t>
  </si>
  <si>
    <t>25322</t>
  </si>
  <si>
    <t>324</t>
  </si>
  <si>
    <t>25324</t>
  </si>
  <si>
    <t>GUATAQUI</t>
  </si>
  <si>
    <t>326</t>
  </si>
  <si>
    <t>25326</t>
  </si>
  <si>
    <t>GUATAVITA</t>
  </si>
  <si>
    <t>328</t>
  </si>
  <si>
    <t>335</t>
  </si>
  <si>
    <t>25335</t>
  </si>
  <si>
    <t>339</t>
  </si>
  <si>
    <t>25339</t>
  </si>
  <si>
    <t>GUTIERREZ</t>
  </si>
  <si>
    <t>25368</t>
  </si>
  <si>
    <t>JERUSALEN</t>
  </si>
  <si>
    <t>25372</t>
  </si>
  <si>
    <t>25377</t>
  </si>
  <si>
    <t>386</t>
  </si>
  <si>
    <t>25386</t>
  </si>
  <si>
    <t>LA MESA</t>
  </si>
  <si>
    <t>394</t>
  </si>
  <si>
    <t>25394</t>
  </si>
  <si>
    <t>398</t>
  </si>
  <si>
    <t>25398</t>
  </si>
  <si>
    <t>LA PEÑA</t>
  </si>
  <si>
    <t>402</t>
  </si>
  <si>
    <t>25402</t>
  </si>
  <si>
    <t>25407</t>
  </si>
  <si>
    <t>426</t>
  </si>
  <si>
    <t>25426</t>
  </si>
  <si>
    <t>MACHETA</t>
  </si>
  <si>
    <t>25430</t>
  </si>
  <si>
    <t>MADRID</t>
  </si>
  <si>
    <t>25436</t>
  </si>
  <si>
    <t>MANTA</t>
  </si>
  <si>
    <t>438</t>
  </si>
  <si>
    <t>25438</t>
  </si>
  <si>
    <t>MEDINA</t>
  </si>
  <si>
    <t>25473</t>
  </si>
  <si>
    <t>MOSQUERA</t>
  </si>
  <si>
    <t>25483</t>
  </si>
  <si>
    <t>25486</t>
  </si>
  <si>
    <t>488</t>
  </si>
  <si>
    <t>25488</t>
  </si>
  <si>
    <t>NILO</t>
  </si>
  <si>
    <t>489</t>
  </si>
  <si>
    <t>25489</t>
  </si>
  <si>
    <t>25491</t>
  </si>
  <si>
    <t>506</t>
  </si>
  <si>
    <t>25506</t>
  </si>
  <si>
    <t>25513</t>
  </si>
  <si>
    <t>25518</t>
  </si>
  <si>
    <t>530</t>
  </si>
  <si>
    <t>25530</t>
  </si>
  <si>
    <t>PARATEBUENO</t>
  </si>
  <si>
    <t>535</t>
  </si>
  <si>
    <t>25535</t>
  </si>
  <si>
    <t>PASCA</t>
  </si>
  <si>
    <t>25572</t>
  </si>
  <si>
    <t>PUERTO SALGAR</t>
  </si>
  <si>
    <t>25580</t>
  </si>
  <si>
    <t>PULI</t>
  </si>
  <si>
    <t>25592</t>
  </si>
  <si>
    <t>594</t>
  </si>
  <si>
    <t>25594</t>
  </si>
  <si>
    <t>596</t>
  </si>
  <si>
    <t>25596</t>
  </si>
  <si>
    <t>QUIPILE</t>
  </si>
  <si>
    <t>25599</t>
  </si>
  <si>
    <t>612</t>
  </si>
  <si>
    <t>25612</t>
  </si>
  <si>
    <t>645</t>
  </si>
  <si>
    <t>25653</t>
  </si>
  <si>
    <t>25658</t>
  </si>
  <si>
    <t>25662</t>
  </si>
  <si>
    <t>SAN JUAN DE RIO SECO</t>
  </si>
  <si>
    <t>718</t>
  </si>
  <si>
    <t>25718</t>
  </si>
  <si>
    <t>25736</t>
  </si>
  <si>
    <t>25743</t>
  </si>
  <si>
    <t>SILVANIA</t>
  </si>
  <si>
    <t>745</t>
  </si>
  <si>
    <t>25745</t>
  </si>
  <si>
    <t>754</t>
  </si>
  <si>
    <t>25758</t>
  </si>
  <si>
    <t>769</t>
  </si>
  <si>
    <t>25769</t>
  </si>
  <si>
    <t>SUBACHOQUE</t>
  </si>
  <si>
    <t>772</t>
  </si>
  <si>
    <t>25772</t>
  </si>
  <si>
    <t>779</t>
  </si>
  <si>
    <t>25779</t>
  </si>
  <si>
    <t>SUSA</t>
  </si>
  <si>
    <t>781</t>
  </si>
  <si>
    <t>25785</t>
  </si>
  <si>
    <t>793</t>
  </si>
  <si>
    <t>25793</t>
  </si>
  <si>
    <t>TAUSA</t>
  </si>
  <si>
    <t>797</t>
  </si>
  <si>
    <t>25797</t>
  </si>
  <si>
    <t>TENA</t>
  </si>
  <si>
    <t>799</t>
  </si>
  <si>
    <t>25799</t>
  </si>
  <si>
    <t>805</t>
  </si>
  <si>
    <t>25805</t>
  </si>
  <si>
    <t>TIBACUY</t>
  </si>
  <si>
    <t>25807</t>
  </si>
  <si>
    <t>TIBIRITA</t>
  </si>
  <si>
    <t>817</t>
  </si>
  <si>
    <t>25817</t>
  </si>
  <si>
    <t>823</t>
  </si>
  <si>
    <t>25839</t>
  </si>
  <si>
    <t>UBALA</t>
  </si>
  <si>
    <t>841</t>
  </si>
  <si>
    <t>25841</t>
  </si>
  <si>
    <t>843</t>
  </si>
  <si>
    <t>25843</t>
  </si>
  <si>
    <t>851</t>
  </si>
  <si>
    <t>25851</t>
  </si>
  <si>
    <t>862</t>
  </si>
  <si>
    <t>25867</t>
  </si>
  <si>
    <t>871</t>
  </si>
  <si>
    <t>25871</t>
  </si>
  <si>
    <t>VILLAGOMEZ</t>
  </si>
  <si>
    <t>25873</t>
  </si>
  <si>
    <t>875</t>
  </si>
  <si>
    <t>878</t>
  </si>
  <si>
    <t>25885</t>
  </si>
  <si>
    <t>898</t>
  </si>
  <si>
    <t>25898</t>
  </si>
  <si>
    <t>ZIPACON</t>
  </si>
  <si>
    <t>899</t>
  </si>
  <si>
    <t>25899</t>
  </si>
  <si>
    <t>27</t>
  </si>
  <si>
    <t>Choco</t>
  </si>
  <si>
    <t>27006</t>
  </si>
  <si>
    <t>025</t>
  </si>
  <si>
    <t>27025</t>
  </si>
  <si>
    <t>27050</t>
  </si>
  <si>
    <t>073</t>
  </si>
  <si>
    <t>27073</t>
  </si>
  <si>
    <t>27075</t>
  </si>
  <si>
    <t>BAHIA SOLANO</t>
  </si>
  <si>
    <t>077</t>
  </si>
  <si>
    <t>27077</t>
  </si>
  <si>
    <t>BAJO BAUDO</t>
  </si>
  <si>
    <t>27086</t>
  </si>
  <si>
    <t>BELEN DE BAJIRA</t>
  </si>
  <si>
    <t>27099</t>
  </si>
  <si>
    <t>BOJAYA</t>
  </si>
  <si>
    <t>27135</t>
  </si>
  <si>
    <t>27150</t>
  </si>
  <si>
    <t>CARMEN DEL DARIEN</t>
  </si>
  <si>
    <t>27160</t>
  </si>
  <si>
    <t>CERTEGUI</t>
  </si>
  <si>
    <t>27205</t>
  </si>
  <si>
    <t>27245</t>
  </si>
  <si>
    <t>EL CARMEN DE ATRATO</t>
  </si>
  <si>
    <t>27250</t>
  </si>
  <si>
    <t>EL LITORAL DEL SAN JUAN</t>
  </si>
  <si>
    <t>27361</t>
  </si>
  <si>
    <t>27372</t>
  </si>
  <si>
    <t>JURADO</t>
  </si>
  <si>
    <t>413</t>
  </si>
  <si>
    <t>27425</t>
  </si>
  <si>
    <t>MEDIO ATRATO</t>
  </si>
  <si>
    <t>27430</t>
  </si>
  <si>
    <t>MEDIO BAUDO</t>
  </si>
  <si>
    <t>27450</t>
  </si>
  <si>
    <t>MEDIO SAN JUAN</t>
  </si>
  <si>
    <t>27491</t>
  </si>
  <si>
    <t>27495</t>
  </si>
  <si>
    <t>NUQUI</t>
  </si>
  <si>
    <t>27580</t>
  </si>
  <si>
    <t>RIO IRO</t>
  </si>
  <si>
    <t>27600</t>
  </si>
  <si>
    <t>RIO QUITO</t>
  </si>
  <si>
    <t>27615</t>
  </si>
  <si>
    <t>27660</t>
  </si>
  <si>
    <t>27745</t>
  </si>
  <si>
    <t>PUEBLO RICO</t>
  </si>
  <si>
    <t>PIEDRAS</t>
  </si>
  <si>
    <t>VILLAHERMOSA</t>
  </si>
  <si>
    <t>85230</t>
  </si>
  <si>
    <t>85250</t>
  </si>
  <si>
    <t>263</t>
  </si>
  <si>
    <t>85263</t>
  </si>
  <si>
    <t>85279</t>
  </si>
  <si>
    <t>RECETOR</t>
  </si>
  <si>
    <t>85300</t>
  </si>
  <si>
    <t>85315</t>
  </si>
  <si>
    <t>SACAMA</t>
  </si>
  <si>
    <t>85325</t>
  </si>
  <si>
    <t>85400</t>
  </si>
  <si>
    <t>85410</t>
  </si>
  <si>
    <t>TAURAMENA</t>
  </si>
  <si>
    <t>85430</t>
  </si>
  <si>
    <t>85440</t>
  </si>
  <si>
    <t>86</t>
  </si>
  <si>
    <t>86001</t>
  </si>
  <si>
    <t>Putumayo</t>
  </si>
  <si>
    <t>219</t>
  </si>
  <si>
    <t>CANTON DE SAN PABLO</t>
  </si>
  <si>
    <t>47960</t>
  </si>
  <si>
    <t>ZAPAYAN</t>
  </si>
  <si>
    <t>980</t>
  </si>
  <si>
    <t>47980</t>
  </si>
  <si>
    <t>ZONA BANANERA</t>
  </si>
  <si>
    <t>50</t>
  </si>
  <si>
    <t>50006</t>
  </si>
  <si>
    <t>50110</t>
  </si>
  <si>
    <t>BARRANCA DE UPIA</t>
  </si>
  <si>
    <t>124</t>
  </si>
  <si>
    <t>50124</t>
  </si>
  <si>
    <t>CABUYARO</t>
  </si>
  <si>
    <t>50150</t>
  </si>
  <si>
    <t>CASTILLA LA NUEVA</t>
  </si>
  <si>
    <t>50223</t>
  </si>
  <si>
    <t>CUBARRAL</t>
  </si>
  <si>
    <t>50226</t>
  </si>
  <si>
    <t>CUMARAL</t>
  </si>
  <si>
    <t>50245</t>
  </si>
  <si>
    <t>EL CALVARIO</t>
  </si>
  <si>
    <t>251</t>
  </si>
  <si>
    <t>50251</t>
  </si>
  <si>
    <t>270</t>
  </si>
  <si>
    <t>50270</t>
  </si>
  <si>
    <t>EL DORADO</t>
  </si>
  <si>
    <t>287</t>
  </si>
  <si>
    <t>50287</t>
  </si>
  <si>
    <t>73449</t>
  </si>
  <si>
    <t>76001</t>
  </si>
  <si>
    <t>76130</t>
  </si>
  <si>
    <t>76233</t>
  </si>
  <si>
    <t>76248</t>
  </si>
  <si>
    <t>76306</t>
  </si>
  <si>
    <t>76403</t>
  </si>
  <si>
    <t>76520</t>
  </si>
  <si>
    <t>76890</t>
  </si>
  <si>
    <t>76892</t>
  </si>
  <si>
    <t>81736</t>
  </si>
  <si>
    <t>85010</t>
  </si>
  <si>
    <t>85139</t>
  </si>
  <si>
    <t>86573</t>
  </si>
  <si>
    <t>91001</t>
  </si>
  <si>
    <t>95001</t>
  </si>
  <si>
    <t>Codificación según DIVIPOLA</t>
  </si>
  <si>
    <t>SAN ANTONIO DEL TEQUENDAMA</t>
  </si>
  <si>
    <t>GUAYABAL DE SIQUIMA</t>
  </si>
  <si>
    <t>BUENAVISTA</t>
  </si>
  <si>
    <t>SUCRE</t>
  </si>
  <si>
    <t>QUIBDO</t>
  </si>
  <si>
    <t>ANAPOIMA</t>
  </si>
  <si>
    <t>BITUIMA</t>
  </si>
  <si>
    <t>COGUA</t>
  </si>
  <si>
    <t>COTA</t>
  </si>
  <si>
    <t>FUQUENE</t>
  </si>
  <si>
    <t>GRANADA</t>
  </si>
  <si>
    <t>GUACHETA</t>
  </si>
  <si>
    <t>GUASCA</t>
  </si>
  <si>
    <t>LA PALMA</t>
  </si>
  <si>
    <t>LENGUAZAQUE</t>
  </si>
  <si>
    <t>ORTEGA</t>
  </si>
  <si>
    <t>SAN ONOFRE</t>
  </si>
  <si>
    <t>MANZANARES</t>
  </si>
  <si>
    <t>MILAN</t>
  </si>
  <si>
    <t>PORE</t>
  </si>
  <si>
    <t>MANI</t>
  </si>
  <si>
    <t>YOPAL</t>
  </si>
  <si>
    <t>PROVIDENCIA</t>
  </si>
  <si>
    <t>ARGELIA</t>
  </si>
  <si>
    <t>PEREIRA</t>
  </si>
  <si>
    <t>PIOJO</t>
  </si>
  <si>
    <t>SALAZAR</t>
  </si>
  <si>
    <t>SAN JOSE DE URE</t>
  </si>
  <si>
    <t>PITALITO</t>
  </si>
  <si>
    <t>SOLITA</t>
  </si>
  <si>
    <t>ATENDIDO</t>
  </si>
  <si>
    <t>TIBU</t>
  </si>
  <si>
    <t>SAN JUAN NEPOMUCENO</t>
  </si>
  <si>
    <t>EL ZULIA</t>
  </si>
  <si>
    <t>MARIPI</t>
  </si>
  <si>
    <t>YOTOCO</t>
  </si>
  <si>
    <t>JAMBALO</t>
  </si>
  <si>
    <t>RECURSOS EJECUTADOS</t>
  </si>
  <si>
    <t>LA CUMBRE</t>
  </si>
  <si>
    <t>BELEN</t>
  </si>
  <si>
    <t>ANSERMA</t>
  </si>
  <si>
    <t>GUICAN</t>
  </si>
  <si>
    <t>LA ARGENTINA</t>
  </si>
  <si>
    <t>ROLDANILLO</t>
  </si>
  <si>
    <t>SALAMINA</t>
  </si>
  <si>
    <t>SUAZA</t>
  </si>
  <si>
    <t>TESALIA</t>
  </si>
  <si>
    <t>QUINCHIA</t>
  </si>
  <si>
    <t>PADILLA</t>
  </si>
  <si>
    <t>TOCANCIPA</t>
  </si>
  <si>
    <t>PUERTO RONDON</t>
  </si>
  <si>
    <t>ARAUQUITA</t>
  </si>
  <si>
    <t>SOGAMOSO</t>
  </si>
  <si>
    <t>CAJICA</t>
  </si>
  <si>
    <t>GUAPI</t>
  </si>
  <si>
    <t>BARBOSA</t>
  </si>
  <si>
    <t>TASCO</t>
  </si>
  <si>
    <t>RIONEGRO</t>
  </si>
  <si>
    <t>SANTA HELENA DEL OPON</t>
  </si>
  <si>
    <t>SURATA</t>
  </si>
  <si>
    <t>NATAGAIMA</t>
  </si>
  <si>
    <t>SAN LUIS</t>
  </si>
  <si>
    <t>SAN FRANCISCO</t>
  </si>
  <si>
    <t>GIGANTE</t>
  </si>
  <si>
    <t>BOGOTA D.C.</t>
  </si>
  <si>
    <t>CUNDAY</t>
  </si>
  <si>
    <t>GUAYABETAL</t>
  </si>
  <si>
    <t>GUADALAJARA DE BUGA</t>
  </si>
  <si>
    <t>FALAN</t>
  </si>
  <si>
    <t>PALOCABILDO</t>
  </si>
  <si>
    <t>CHAPARRAL</t>
  </si>
  <si>
    <t>GACHETA</t>
  </si>
  <si>
    <t>CATRE</t>
  </si>
  <si>
    <t>,,,,,</t>
  </si>
  <si>
    <t>SABANAS</t>
  </si>
  <si>
    <t>depto</t>
  </si>
  <si>
    <t>08137</t>
  </si>
  <si>
    <t>141</t>
  </si>
  <si>
    <t>08141</t>
  </si>
  <si>
    <t>296</t>
  </si>
  <si>
    <t>08296</t>
  </si>
  <si>
    <t>GALAPA</t>
  </si>
  <si>
    <t>372</t>
  </si>
  <si>
    <t>08372</t>
  </si>
  <si>
    <t>JUAN DE ACOSTA</t>
  </si>
  <si>
    <t>421</t>
  </si>
  <si>
    <t>08421</t>
  </si>
  <si>
    <t>LURUACO</t>
  </si>
  <si>
    <t>433</t>
  </si>
  <si>
    <t>08433</t>
  </si>
  <si>
    <t>MALAMBO</t>
  </si>
  <si>
    <t>436</t>
  </si>
  <si>
    <t>08436</t>
  </si>
  <si>
    <t>MANATI</t>
  </si>
  <si>
    <t>520</t>
  </si>
  <si>
    <t>08520</t>
  </si>
  <si>
    <t>PALMAR DE VARELA</t>
  </si>
  <si>
    <t>549</t>
  </si>
  <si>
    <t>08549</t>
  </si>
  <si>
    <t>558</t>
  </si>
  <si>
    <t>08558</t>
  </si>
  <si>
    <t>POLONUEVO</t>
  </si>
  <si>
    <t>560</t>
  </si>
  <si>
    <t>08560</t>
  </si>
  <si>
    <t>PONEDERA</t>
  </si>
  <si>
    <t>573</t>
  </si>
  <si>
    <t>08573</t>
  </si>
  <si>
    <t>PUERTO COLOMBIA</t>
  </si>
  <si>
    <t>606</t>
  </si>
  <si>
    <t>634</t>
  </si>
  <si>
    <t>08634</t>
  </si>
  <si>
    <t>SABANAGRANDE</t>
  </si>
  <si>
    <t>638</t>
  </si>
  <si>
    <t>08638</t>
  </si>
  <si>
    <t>675</t>
  </si>
  <si>
    <t>08675</t>
  </si>
  <si>
    <t>SANTA LUCIA</t>
  </si>
  <si>
    <t>685</t>
  </si>
  <si>
    <t>08685</t>
  </si>
  <si>
    <t>SANTO TOMAS</t>
  </si>
  <si>
    <t>758</t>
  </si>
  <si>
    <t>08758</t>
  </si>
  <si>
    <t>770</t>
  </si>
  <si>
    <t>08770</t>
  </si>
  <si>
    <t>SUAN</t>
  </si>
  <si>
    <t>832</t>
  </si>
  <si>
    <t>08832</t>
  </si>
  <si>
    <t>TUBARA</t>
  </si>
  <si>
    <t>849</t>
  </si>
  <si>
    <t>08849</t>
  </si>
  <si>
    <t>USIACURI</t>
  </si>
  <si>
    <t>11</t>
  </si>
  <si>
    <t>13</t>
  </si>
  <si>
    <t>13001</t>
  </si>
  <si>
    <t>Bolivar</t>
  </si>
  <si>
    <t>006</t>
  </si>
  <si>
    <t>13006</t>
  </si>
  <si>
    <t>ACHI</t>
  </si>
  <si>
    <t>13030</t>
  </si>
  <si>
    <t>13042</t>
  </si>
  <si>
    <t>ARENAL</t>
  </si>
  <si>
    <t>052</t>
  </si>
  <si>
    <t>13052</t>
  </si>
  <si>
    <t>062</t>
  </si>
  <si>
    <t>13062</t>
  </si>
  <si>
    <t>ARROYOHONDO</t>
  </si>
  <si>
    <t>074</t>
  </si>
  <si>
    <t>13074</t>
  </si>
  <si>
    <t>140</t>
  </si>
  <si>
    <t>13140</t>
  </si>
  <si>
    <t>CALAMAR</t>
  </si>
  <si>
    <t>160</t>
  </si>
  <si>
    <t>13160</t>
  </si>
  <si>
    <t>188</t>
  </si>
  <si>
    <t>13188</t>
  </si>
  <si>
    <t>13212</t>
  </si>
  <si>
    <t>222</t>
  </si>
  <si>
    <t>13222</t>
  </si>
  <si>
    <t>CLEMENCIA</t>
  </si>
  <si>
    <t>244</t>
  </si>
  <si>
    <t>13244</t>
  </si>
  <si>
    <t>EL CARMEN DE BOLIVAR</t>
  </si>
  <si>
    <t>248</t>
  </si>
  <si>
    <t>13248</t>
  </si>
  <si>
    <t>EL GUAMO</t>
  </si>
  <si>
    <t>268</t>
  </si>
  <si>
    <t>13268</t>
  </si>
  <si>
    <t>300</t>
  </si>
  <si>
    <t>13300</t>
  </si>
  <si>
    <t>430</t>
  </si>
  <si>
    <t>13433</t>
  </si>
  <si>
    <t>MAHATES</t>
  </si>
  <si>
    <t>13440</t>
  </si>
  <si>
    <t>442</t>
  </si>
  <si>
    <t>13442</t>
  </si>
  <si>
    <t>458</t>
  </si>
  <si>
    <t>13458</t>
  </si>
  <si>
    <t>MONTECRISTO</t>
  </si>
  <si>
    <t>468</t>
  </si>
  <si>
    <t>13468</t>
  </si>
  <si>
    <t>473</t>
  </si>
  <si>
    <t>13473</t>
  </si>
  <si>
    <t>13490</t>
  </si>
  <si>
    <t>NOROSI</t>
  </si>
  <si>
    <t>580</t>
  </si>
  <si>
    <t>13580</t>
  </si>
  <si>
    <t>600</t>
  </si>
  <si>
    <t>13600</t>
  </si>
  <si>
    <t>620</t>
  </si>
  <si>
    <t>13620</t>
  </si>
  <si>
    <t>SAN CRISTOBAL</t>
  </si>
  <si>
    <t>13647</t>
  </si>
  <si>
    <t>SAN ESTANISLAO</t>
  </si>
  <si>
    <t>650</t>
  </si>
  <si>
    <t>13650</t>
  </si>
  <si>
    <t>654</t>
  </si>
  <si>
    <t>13654</t>
  </si>
  <si>
    <t>SAN JACINTO</t>
  </si>
  <si>
    <t>655</t>
  </si>
  <si>
    <t>13655</t>
  </si>
  <si>
    <t>SAN JACINTO DEL CAUCA</t>
  </si>
  <si>
    <t>657</t>
  </si>
  <si>
    <t>13667</t>
  </si>
  <si>
    <t>SAN MARTIN DE LOBA</t>
  </si>
  <si>
    <t>13670</t>
  </si>
  <si>
    <t>673</t>
  </si>
  <si>
    <t>13673</t>
  </si>
  <si>
    <t>SANTA CATALINA</t>
  </si>
  <si>
    <t>683</t>
  </si>
  <si>
    <t>13683</t>
  </si>
  <si>
    <t>688</t>
  </si>
  <si>
    <t>13688</t>
  </si>
  <si>
    <t>SANTA ROSA DEL SUR</t>
  </si>
  <si>
    <t>744</t>
  </si>
  <si>
    <t>13744</t>
  </si>
  <si>
    <t>760</t>
  </si>
  <si>
    <t>13760</t>
  </si>
  <si>
    <t>SOPLAVIENTO</t>
  </si>
  <si>
    <t>780</t>
  </si>
  <si>
    <t>13780</t>
  </si>
  <si>
    <t>TALAIGUA NUEVO</t>
  </si>
  <si>
    <t>810</t>
  </si>
  <si>
    <t>13810</t>
  </si>
  <si>
    <t>TIQUISIO</t>
  </si>
  <si>
    <t>836</t>
  </si>
  <si>
    <t>13836</t>
  </si>
  <si>
    <t>TURBACO</t>
  </si>
  <si>
    <t>838</t>
  </si>
  <si>
    <t>13838</t>
  </si>
  <si>
    <t>TURBANA</t>
  </si>
  <si>
    <t>13873</t>
  </si>
  <si>
    <t>894</t>
  </si>
  <si>
    <t>13894</t>
  </si>
  <si>
    <t>ZAMBRANO</t>
  </si>
  <si>
    <t>15</t>
  </si>
  <si>
    <t>15001</t>
  </si>
  <si>
    <t>022</t>
  </si>
  <si>
    <t>15022</t>
  </si>
  <si>
    <t>ALMEIDA</t>
  </si>
  <si>
    <t>047</t>
  </si>
  <si>
    <t>15047</t>
  </si>
  <si>
    <t>AQUITANIA</t>
  </si>
  <si>
    <t>15051</t>
  </si>
  <si>
    <t>ARCABUCO</t>
  </si>
  <si>
    <t>087</t>
  </si>
  <si>
    <t>15087</t>
  </si>
  <si>
    <t>090</t>
  </si>
  <si>
    <t>15090</t>
  </si>
  <si>
    <t>BERBEO</t>
  </si>
  <si>
    <t>092</t>
  </si>
  <si>
    <t>15092</t>
  </si>
  <si>
    <t>BETEITIVA</t>
  </si>
  <si>
    <t>097</t>
  </si>
  <si>
    <t>15097</t>
  </si>
  <si>
    <t>104</t>
  </si>
  <si>
    <t>15104</t>
  </si>
  <si>
    <t>106</t>
  </si>
  <si>
    <t>15106</t>
  </si>
  <si>
    <t>109</t>
  </si>
  <si>
    <t>15109</t>
  </si>
  <si>
    <t>114</t>
  </si>
  <si>
    <t>15114</t>
  </si>
  <si>
    <t>BUSBANZA</t>
  </si>
  <si>
    <t>131</t>
  </si>
  <si>
    <t>15131</t>
  </si>
  <si>
    <t>135</t>
  </si>
  <si>
    <t>15135</t>
  </si>
  <si>
    <t>CAMPOHERMOSO</t>
  </si>
  <si>
    <t>162</t>
  </si>
  <si>
    <t>15162</t>
  </si>
  <si>
    <t>CERINZA</t>
  </si>
  <si>
    <t>15172</t>
  </si>
  <si>
    <t>CHINAVITA</t>
  </si>
  <si>
    <t>176</t>
  </si>
  <si>
    <t>15176</t>
  </si>
  <si>
    <t>180</t>
  </si>
  <si>
    <t>15180</t>
  </si>
  <si>
    <t>CHISCAS</t>
  </si>
  <si>
    <t>183</t>
  </si>
  <si>
    <t>15183</t>
  </si>
  <si>
    <t>CHITA</t>
  </si>
  <si>
    <t>185</t>
  </si>
  <si>
    <t>15185</t>
  </si>
  <si>
    <t>CHITARAQUE</t>
  </si>
  <si>
    <t>187</t>
  </si>
  <si>
    <t>15187</t>
  </si>
  <si>
    <t>CHIVATA</t>
  </si>
  <si>
    <t>189</t>
  </si>
  <si>
    <t>15189</t>
  </si>
  <si>
    <t>CIENEGA</t>
  </si>
  <si>
    <t>204</t>
  </si>
  <si>
    <t>15204</t>
  </si>
  <si>
    <t>COMBITA</t>
  </si>
  <si>
    <t>15212</t>
  </si>
  <si>
    <t>215</t>
  </si>
  <si>
    <t>15215</t>
  </si>
  <si>
    <t>CORRALES</t>
  </si>
  <si>
    <t>218</t>
  </si>
  <si>
    <t>15218</t>
  </si>
  <si>
    <t>COVARACHIA</t>
  </si>
  <si>
    <t>223</t>
  </si>
  <si>
    <t>15223</t>
  </si>
  <si>
    <t>CUBARA</t>
  </si>
  <si>
    <t>224</t>
  </si>
  <si>
    <t>15224</t>
  </si>
  <si>
    <t>226</t>
  </si>
  <si>
    <t>15226</t>
  </si>
  <si>
    <t>CUITIVA</t>
  </si>
  <si>
    <t>232</t>
  </si>
  <si>
    <t>15232</t>
  </si>
  <si>
    <t>CHIQUIZA</t>
  </si>
  <si>
    <t>236</t>
  </si>
  <si>
    <t>15236</t>
  </si>
  <si>
    <t>CHIVOR</t>
  </si>
  <si>
    <t>238</t>
  </si>
  <si>
    <t>15238</t>
  </si>
  <si>
    <t>15244</t>
  </si>
  <si>
    <t>EL COCUY</t>
  </si>
  <si>
    <t>15248</t>
  </si>
  <si>
    <t>EL ESPINO</t>
  </si>
  <si>
    <t>272</t>
  </si>
  <si>
    <t>15272</t>
  </si>
  <si>
    <t>FIRAVITOBA</t>
  </si>
  <si>
    <t>276</t>
  </si>
  <si>
    <t>15276</t>
  </si>
  <si>
    <t>FLORESTA</t>
  </si>
  <si>
    <t>293</t>
  </si>
  <si>
    <t>15293</t>
  </si>
  <si>
    <t>GACHANTIVA</t>
  </si>
  <si>
    <t>15296</t>
  </si>
  <si>
    <t>GAMEZA</t>
  </si>
  <si>
    <t>299</t>
  </si>
  <si>
    <t>05736</t>
  </si>
  <si>
    <t>08001</t>
  </si>
  <si>
    <t>08606</t>
  </si>
  <si>
    <t>11001</t>
  </si>
  <si>
    <t>13430</t>
  </si>
  <si>
    <t>13549</t>
  </si>
  <si>
    <t>13657</t>
  </si>
  <si>
    <t>15332</t>
  </si>
  <si>
    <t>15673</t>
  </si>
  <si>
    <t>15681</t>
  </si>
  <si>
    <t>15790</t>
  </si>
  <si>
    <t>17001</t>
  </si>
  <si>
    <t>17042</t>
  </si>
  <si>
    <t>17272</t>
  </si>
  <si>
    <t>17388</t>
  </si>
  <si>
    <t>17495</t>
  </si>
  <si>
    <t>17873</t>
  </si>
  <si>
    <t>18001</t>
  </si>
  <si>
    <t>18094</t>
  </si>
  <si>
    <t>18785</t>
  </si>
  <si>
    <t>19001</t>
  </si>
  <si>
    <t>19110</t>
  </si>
  <si>
    <t>19130</t>
  </si>
  <si>
    <t>19397</t>
  </si>
  <si>
    <t>19418</t>
  </si>
  <si>
    <t>19548</t>
  </si>
  <si>
    <t>19824</t>
  </si>
  <si>
    <t>20011</t>
  </si>
  <si>
    <t>20175</t>
  </si>
  <si>
    <t>ARMERO</t>
  </si>
  <si>
    <t>VILLARRICA</t>
  </si>
  <si>
    <t>CALI</t>
  </si>
  <si>
    <t>FORTUL</t>
  </si>
  <si>
    <t>CUCHARA ACERO</t>
  </si>
  <si>
    <t>CUCHARA MADERA</t>
  </si>
  <si>
    <t>COMENTARIOS</t>
  </si>
  <si>
    <t>MUNICIPIO</t>
  </si>
  <si>
    <t>EVENTO</t>
  </si>
  <si>
    <t>PERSONAS</t>
  </si>
  <si>
    <t>FAMILIAS</t>
  </si>
  <si>
    <t>GUAVIARE</t>
  </si>
  <si>
    <t>SAN JOSE DEL GUAVIARE</t>
  </si>
  <si>
    <t>VILLAVICENCIO</t>
  </si>
  <si>
    <t>CHIQUINQUIRA</t>
  </si>
  <si>
    <t>CUCAITA</t>
  </si>
  <si>
    <t>DUITAMA</t>
  </si>
  <si>
    <t>GARAGOA</t>
  </si>
  <si>
    <t>JERICO</t>
  </si>
  <si>
    <t>LA VICTORIA</t>
  </si>
  <si>
    <t>PAIPA</t>
  </si>
  <si>
    <t>PUERTO BOYACA</t>
  </si>
  <si>
    <t>QUIPAMA</t>
  </si>
  <si>
    <t>SABOYA</t>
  </si>
  <si>
    <t>SAN MIGUEL DE SEMA</t>
  </si>
  <si>
    <t>EL CONTADERO</t>
  </si>
  <si>
    <t>MAGUI PAYAN</t>
  </si>
  <si>
    <t>GUAVATA</t>
  </si>
  <si>
    <t>327</t>
  </si>
  <si>
    <t>68327</t>
  </si>
  <si>
    <t>GUEPSA</t>
  </si>
  <si>
    <t>68344</t>
  </si>
  <si>
    <t>HATO</t>
  </si>
  <si>
    <t>68368</t>
  </si>
  <si>
    <t>JESUS MARIA</t>
  </si>
  <si>
    <t>68370</t>
  </si>
  <si>
    <t>JORDAN</t>
  </si>
  <si>
    <t>68377</t>
  </si>
  <si>
    <t>LA BELLEZA</t>
  </si>
  <si>
    <t>68385</t>
  </si>
  <si>
    <t>68397</t>
  </si>
  <si>
    <t>406</t>
  </si>
  <si>
    <t>68406</t>
  </si>
  <si>
    <t>LEBRIJA</t>
  </si>
  <si>
    <t>68418</t>
  </si>
  <si>
    <t>LOS SANTOS</t>
  </si>
  <si>
    <t>68425</t>
  </si>
  <si>
    <t>MACARAVITA</t>
  </si>
  <si>
    <t>432</t>
  </si>
  <si>
    <t>68432</t>
  </si>
  <si>
    <t>MALAGA</t>
  </si>
  <si>
    <t>68444</t>
  </si>
  <si>
    <t>68464</t>
  </si>
  <si>
    <t>MOGOTES</t>
  </si>
  <si>
    <t>68468</t>
  </si>
  <si>
    <t>MOLAGAVITA</t>
  </si>
  <si>
    <t>68498</t>
  </si>
  <si>
    <t>68500</t>
  </si>
  <si>
    <t>OIBA</t>
  </si>
  <si>
    <t>502</t>
  </si>
  <si>
    <t>68502</t>
  </si>
  <si>
    <t>ONZAGA</t>
  </si>
  <si>
    <t>68522</t>
  </si>
  <si>
    <t>PALMAR</t>
  </si>
  <si>
    <t>68524</t>
  </si>
  <si>
    <t>PALMAS DEL SOCORRO</t>
  </si>
  <si>
    <t>68533</t>
  </si>
  <si>
    <t>PARAMO</t>
  </si>
  <si>
    <t>547</t>
  </si>
  <si>
    <t>68547</t>
  </si>
  <si>
    <t>68549</t>
  </si>
  <si>
    <t>PINCHOTE</t>
  </si>
  <si>
    <t>68572</t>
  </si>
  <si>
    <t>68573</t>
  </si>
  <si>
    <t>PUERTO PARRA</t>
  </si>
  <si>
    <t>575</t>
  </si>
  <si>
    <t>68575</t>
  </si>
  <si>
    <t>68655</t>
  </si>
  <si>
    <t>669</t>
  </si>
  <si>
    <t>68669</t>
  </si>
  <si>
    <t>SAN ANDRES</t>
  </si>
  <si>
    <t>68673</t>
  </si>
  <si>
    <t>SAN BENITO</t>
  </si>
  <si>
    <t>68679</t>
  </si>
  <si>
    <t>SAN GIL</t>
  </si>
  <si>
    <t>68682</t>
  </si>
  <si>
    <t>SAN JOAQUIN</t>
  </si>
  <si>
    <t>684</t>
  </si>
  <si>
    <t>68684</t>
  </si>
  <si>
    <t>SAN JOSE DE MIRANDA</t>
  </si>
  <si>
    <t>68686</t>
  </si>
  <si>
    <t>705</t>
  </si>
  <si>
    <t>68705</t>
  </si>
  <si>
    <t>68720</t>
  </si>
  <si>
    <t>68745</t>
  </si>
  <si>
    <t>68755</t>
  </si>
  <si>
    <t>SOCORRO</t>
  </si>
  <si>
    <t>68770</t>
  </si>
  <si>
    <t>SUAITA</t>
  </si>
  <si>
    <t>773</t>
  </si>
  <si>
    <t>68773</t>
  </si>
  <si>
    <t>68820</t>
  </si>
  <si>
    <t>68855</t>
  </si>
  <si>
    <t>VALLE DE SAN JOSE</t>
  </si>
  <si>
    <t>68861</t>
  </si>
  <si>
    <t>VELEZ</t>
  </si>
  <si>
    <t>68867</t>
  </si>
  <si>
    <t>VETAS</t>
  </si>
  <si>
    <t>68872</t>
  </si>
  <si>
    <t>68895</t>
  </si>
  <si>
    <t>ZAPATOCA</t>
  </si>
  <si>
    <t>70</t>
  </si>
  <si>
    <t>70001</t>
  </si>
  <si>
    <t>Sucre</t>
  </si>
  <si>
    <t>SINCELEJO</t>
  </si>
  <si>
    <t>70110</t>
  </si>
  <si>
    <t>70124</t>
  </si>
  <si>
    <t>70204</t>
  </si>
  <si>
    <t>COLOSO</t>
  </si>
  <si>
    <t>70215</t>
  </si>
  <si>
    <t>COROZAL</t>
  </si>
  <si>
    <t>221</t>
  </si>
  <si>
    <t>70221</t>
  </si>
  <si>
    <t>COVEÑAS</t>
  </si>
  <si>
    <t>230</t>
  </si>
  <si>
    <t>70230</t>
  </si>
  <si>
    <t>CHALAN</t>
  </si>
  <si>
    <t>70233</t>
  </si>
  <si>
    <t>EL ROBLE</t>
  </si>
  <si>
    <t>70235</t>
  </si>
  <si>
    <t>GALERAS</t>
  </si>
  <si>
    <t>265</t>
  </si>
  <si>
    <t>70265</t>
  </si>
  <si>
    <t>GUARANDA</t>
  </si>
  <si>
    <t>70400</t>
  </si>
  <si>
    <t>70418</t>
  </si>
  <si>
    <t>LOS PALMITOS</t>
  </si>
  <si>
    <t>429</t>
  </si>
  <si>
    <t>70429</t>
  </si>
  <si>
    <t>MAJAGUAL</t>
  </si>
  <si>
    <t>70473</t>
  </si>
  <si>
    <t>MORROA</t>
  </si>
  <si>
    <t>508</t>
  </si>
  <si>
    <t>70508</t>
  </si>
  <si>
    <t>OVEJAS</t>
  </si>
  <si>
    <t>523</t>
  </si>
  <si>
    <t>70523</t>
  </si>
  <si>
    <t>PALMITO</t>
  </si>
  <si>
    <t>70670</t>
  </si>
  <si>
    <t>SAMPUES</t>
  </si>
  <si>
    <t>70678</t>
  </si>
  <si>
    <t>702</t>
  </si>
  <si>
    <t>70702</t>
  </si>
  <si>
    <t>SAN JUAN DE BETULIA</t>
  </si>
  <si>
    <t>708</t>
  </si>
  <si>
    <t>70708</t>
  </si>
  <si>
    <t>SAN MARCOS</t>
  </si>
  <si>
    <t>713</t>
  </si>
  <si>
    <t>717</t>
  </si>
  <si>
    <t>70717</t>
  </si>
  <si>
    <t>742</t>
  </si>
  <si>
    <t>70742</t>
  </si>
  <si>
    <t>SAN LUIS DE SINCE</t>
  </si>
  <si>
    <t>771</t>
  </si>
  <si>
    <t>70771</t>
  </si>
  <si>
    <t>70820</t>
  </si>
  <si>
    <t>SANTIAGO DE TOLU</t>
  </si>
  <si>
    <t>70823</t>
  </si>
  <si>
    <t>TOLU VIEJO</t>
  </si>
  <si>
    <t>73</t>
  </si>
  <si>
    <t>Tolima</t>
  </si>
  <si>
    <t>024</t>
  </si>
  <si>
    <t>73030</t>
  </si>
  <si>
    <t>043</t>
  </si>
  <si>
    <t>73043</t>
  </si>
  <si>
    <t>ANZOATEGUI</t>
  </si>
  <si>
    <t>067</t>
  </si>
  <si>
    <t>73067</t>
  </si>
  <si>
    <t>ATACO</t>
  </si>
  <si>
    <t>73124</t>
  </si>
  <si>
    <t>73148</t>
  </si>
  <si>
    <t>73152</t>
  </si>
  <si>
    <t>73168</t>
  </si>
  <si>
    <t>73200</t>
  </si>
  <si>
    <t>73217</t>
  </si>
  <si>
    <t>73226</t>
  </si>
  <si>
    <t>73236</t>
  </si>
  <si>
    <t>73268</t>
  </si>
  <si>
    <t>ESPINAL</t>
  </si>
  <si>
    <t>73270</t>
  </si>
  <si>
    <t>275</t>
  </si>
  <si>
    <t>73275</t>
  </si>
  <si>
    <t>283</t>
  </si>
  <si>
    <t>73283</t>
  </si>
  <si>
    <t>73319</t>
  </si>
  <si>
    <t>73347</t>
  </si>
  <si>
    <t>73349</t>
  </si>
  <si>
    <t>73352</t>
  </si>
  <si>
    <t>408</t>
  </si>
  <si>
    <t>73408</t>
  </si>
  <si>
    <t>LERIDA</t>
  </si>
  <si>
    <t>73411</t>
  </si>
  <si>
    <t>73443</t>
  </si>
  <si>
    <t>MARIQUITA</t>
  </si>
  <si>
    <t>449</t>
  </si>
  <si>
    <t>461</t>
  </si>
  <si>
    <t>73461</t>
  </si>
  <si>
    <t>MURILLO</t>
  </si>
  <si>
    <t>73483</t>
  </si>
  <si>
    <t>504</t>
  </si>
  <si>
    <t>73504</t>
  </si>
  <si>
    <t>73520</t>
  </si>
  <si>
    <t>73547</t>
  </si>
  <si>
    <t>73555</t>
  </si>
  <si>
    <t>563</t>
  </si>
  <si>
    <t>73563</t>
  </si>
  <si>
    <t>73585</t>
  </si>
  <si>
    <t>73616</t>
  </si>
  <si>
    <t>RIOBLANCO</t>
  </si>
  <si>
    <t>73622</t>
  </si>
  <si>
    <t>RONCESVALLES</t>
  </si>
  <si>
    <t>624</t>
  </si>
  <si>
    <t>73624</t>
  </si>
  <si>
    <t>ROVIRA</t>
  </si>
  <si>
    <t>671</t>
  </si>
  <si>
    <t>73671</t>
  </si>
  <si>
    <t>SALDAÑA</t>
  </si>
  <si>
    <t>73675</t>
  </si>
  <si>
    <t>SAN ANTONIO</t>
  </si>
  <si>
    <t>73678</t>
  </si>
  <si>
    <t>73686</t>
  </si>
  <si>
    <t>SANTA ISABEL</t>
  </si>
  <si>
    <t>73770</t>
  </si>
  <si>
    <t>73854</t>
  </si>
  <si>
    <t>73861</t>
  </si>
  <si>
    <t>870</t>
  </si>
  <si>
    <t>73870</t>
  </si>
  <si>
    <t>73873</t>
  </si>
  <si>
    <t>76</t>
  </si>
  <si>
    <t>Valle del Cauca</t>
  </si>
  <si>
    <t>76020</t>
  </si>
  <si>
    <t>ALCALA</t>
  </si>
  <si>
    <t>76036</t>
  </si>
  <si>
    <t>041</t>
  </si>
  <si>
    <t>76041</t>
  </si>
  <si>
    <t>054</t>
  </si>
  <si>
    <t>76054</t>
  </si>
  <si>
    <t>76100</t>
  </si>
  <si>
    <t>76109</t>
  </si>
  <si>
    <t>76111</t>
  </si>
  <si>
    <t>76113</t>
  </si>
  <si>
    <t>122</t>
  </si>
  <si>
    <t>76122</t>
  </si>
  <si>
    <t>CAICEDONIA</t>
  </si>
  <si>
    <t>76126</t>
  </si>
  <si>
    <t>CALIMA</t>
  </si>
  <si>
    <t>76147</t>
  </si>
  <si>
    <t>243</t>
  </si>
  <si>
    <t>76243</t>
  </si>
  <si>
    <t>246</t>
  </si>
  <si>
    <t>76246</t>
  </si>
  <si>
    <t>76250</t>
  </si>
  <si>
    <t>76275</t>
  </si>
  <si>
    <t>FLORIDA</t>
  </si>
  <si>
    <t>76318</t>
  </si>
  <si>
    <t>GUACARI</t>
  </si>
  <si>
    <t>76364</t>
  </si>
  <si>
    <t>76377</t>
  </si>
  <si>
    <t>76400</t>
  </si>
  <si>
    <t>497</t>
  </si>
  <si>
    <t>76497</t>
  </si>
  <si>
    <t>76563</t>
  </si>
  <si>
    <t>PRADERA</t>
  </si>
  <si>
    <t>76606</t>
  </si>
  <si>
    <t>76616</t>
  </si>
  <si>
    <t>RIOFRIO</t>
  </si>
  <si>
    <t>76622</t>
  </si>
  <si>
    <t>76670</t>
  </si>
  <si>
    <t>76736</t>
  </si>
  <si>
    <t>76823</t>
  </si>
  <si>
    <t>828</t>
  </si>
  <si>
    <t>76828</t>
  </si>
  <si>
    <t>834</t>
  </si>
  <si>
    <t>76834</t>
  </si>
  <si>
    <t>76845</t>
  </si>
  <si>
    <t>ULLOA</t>
  </si>
  <si>
    <t>863</t>
  </si>
  <si>
    <t>76863</t>
  </si>
  <si>
    <t>869</t>
  </si>
  <si>
    <t>76869</t>
  </si>
  <si>
    <t>VIJES</t>
  </si>
  <si>
    <t>892</t>
  </si>
  <si>
    <t>76895</t>
  </si>
  <si>
    <t>81</t>
  </si>
  <si>
    <t>81001</t>
  </si>
  <si>
    <t>Arauca</t>
  </si>
  <si>
    <t>065</t>
  </si>
  <si>
    <t>81065</t>
  </si>
  <si>
    <t>220</t>
  </si>
  <si>
    <t>81220</t>
  </si>
  <si>
    <t>CRAVO NORTE</t>
  </si>
  <si>
    <t>81300</t>
  </si>
  <si>
    <t>81591</t>
  </si>
  <si>
    <t>794</t>
  </si>
  <si>
    <t>81794</t>
  </si>
  <si>
    <t>85</t>
  </si>
  <si>
    <t>85001</t>
  </si>
  <si>
    <t>010</t>
  </si>
  <si>
    <t>015</t>
  </si>
  <si>
    <t>85015</t>
  </si>
  <si>
    <t>CHAMEZA</t>
  </si>
  <si>
    <t>85125</t>
  </si>
  <si>
    <t>136</t>
  </si>
  <si>
    <t>85136</t>
  </si>
  <si>
    <t>LA SALINA</t>
  </si>
  <si>
    <t>139</t>
  </si>
  <si>
    <t>85162</t>
  </si>
  <si>
    <t>MONTERREY</t>
  </si>
  <si>
    <t>225</t>
  </si>
  <si>
    <t>85225</t>
  </si>
  <si>
    <t>TUQUERRES</t>
  </si>
  <si>
    <t>TERUEL</t>
  </si>
  <si>
    <t>ITAGUI</t>
  </si>
  <si>
    <t>PEÑOL</t>
  </si>
  <si>
    <t>MOMPOS</t>
  </si>
  <si>
    <t>RIO VIEJO</t>
  </si>
  <si>
    <t>SAMACA</t>
  </si>
  <si>
    <t>TUNUNGUA</t>
  </si>
  <si>
    <t>SAN LUIS DE PALENQUE</t>
  </si>
  <si>
    <t>TAMARA</t>
  </si>
  <si>
    <t>05001</t>
  </si>
  <si>
    <t>05088</t>
  </si>
  <si>
    <t>05380</t>
  </si>
  <si>
    <t>66383</t>
  </si>
  <si>
    <t>66440</t>
  </si>
  <si>
    <t>66682</t>
  </si>
  <si>
    <t>68001</t>
  </si>
  <si>
    <t>68132</t>
  </si>
  <si>
    <t>68615</t>
  </si>
  <si>
    <t>68689</t>
  </si>
  <si>
    <t>68780</t>
  </si>
  <si>
    <t>70713</t>
  </si>
  <si>
    <t>73001</t>
  </si>
  <si>
    <t>73024</t>
  </si>
  <si>
    <t>73026</t>
  </si>
  <si>
    <t>73055</t>
  </si>
  <si>
    <t>SOACHA</t>
  </si>
  <si>
    <t>SAN CAYETANO</t>
  </si>
  <si>
    <t>MEDELLIN</t>
  </si>
  <si>
    <t>VILLAVIEJA</t>
  </si>
  <si>
    <t>MELGAR</t>
  </si>
  <si>
    <t>CARMEN DE APICALA</t>
  </si>
  <si>
    <t>ARAUCA</t>
  </si>
  <si>
    <t>APIA</t>
  </si>
  <si>
    <t>MISTRATO</t>
  </si>
  <si>
    <t>MARSELLA</t>
  </si>
  <si>
    <t>CIMITARRA</t>
  </si>
  <si>
    <t>KIT COCINA</t>
  </si>
  <si>
    <t>KIT ALCOBA</t>
  </si>
  <si>
    <t>JABON BARRA</t>
  </si>
  <si>
    <t>DESCRIPCION Y UBICACIÓN</t>
  </si>
  <si>
    <t>OLLAS</t>
  </si>
  <si>
    <t xml:space="preserve">M E N A J E S </t>
  </si>
  <si>
    <t>VALOR TOTAL</t>
  </si>
  <si>
    <t>CEMENTO</t>
  </si>
  <si>
    <t>ALTOS DEL ROSARIO</t>
  </si>
  <si>
    <t>BAGADO</t>
  </si>
  <si>
    <t>TENJO</t>
  </si>
  <si>
    <t>PUERTO RICO</t>
  </si>
  <si>
    <t>ALVARADO</t>
  </si>
  <si>
    <t>GUADALUPE</t>
  </si>
  <si>
    <t>FLANDES</t>
  </si>
  <si>
    <t>UBATE</t>
  </si>
  <si>
    <t>EL DOVIO</t>
  </si>
  <si>
    <t>UNE</t>
  </si>
  <si>
    <t>SOPO</t>
  </si>
  <si>
    <t>ARBOLEDA</t>
  </si>
  <si>
    <t>TANGUA</t>
  </si>
  <si>
    <t>SAMANIEGO</t>
  </si>
  <si>
    <t>ARANZAZU</t>
  </si>
  <si>
    <t>DAGUA</t>
  </si>
  <si>
    <t>SANDONA</t>
  </si>
  <si>
    <t>CAJIBIO</t>
  </si>
  <si>
    <t>VIGIA DEL FUERTE</t>
  </si>
  <si>
    <t>SASAIMA</t>
  </si>
  <si>
    <t>BELEN DE UMBRIA</t>
  </si>
  <si>
    <t>SAN MARTIN</t>
  </si>
  <si>
    <t>OCAMONTE</t>
  </si>
  <si>
    <t>BELEN DE LOS ANDAQUIES</t>
  </si>
  <si>
    <t>LA CELIA</t>
  </si>
  <si>
    <t>GUARNE</t>
  </si>
  <si>
    <t>PLASTICO NEGRO</t>
  </si>
  <si>
    <t>JUEGO CUBIERTOS</t>
  </si>
  <si>
    <t>LIBANO</t>
  </si>
  <si>
    <t>CIRCASIA</t>
  </si>
  <si>
    <t>NIMAIMA</t>
  </si>
  <si>
    <t>HOBO</t>
  </si>
  <si>
    <t>PATIA</t>
  </si>
  <si>
    <t>IQUIRA</t>
  </si>
  <si>
    <t>DURANIA</t>
  </si>
  <si>
    <t>FACATATIVA</t>
  </si>
  <si>
    <t>SANTA MARIA</t>
  </si>
  <si>
    <t>PAMPLONA</t>
  </si>
  <si>
    <t>CAQUETA</t>
  </si>
  <si>
    <t>CURILLO</t>
  </si>
  <si>
    <t>TORO</t>
  </si>
  <si>
    <t>PIJAO</t>
  </si>
  <si>
    <t>TOLEDO</t>
  </si>
  <si>
    <t>FRONTINO</t>
  </si>
  <si>
    <t>MIRANDA</t>
  </si>
  <si>
    <t>LLORO</t>
  </si>
  <si>
    <t>SACOS</t>
  </si>
  <si>
    <t>TOLDILLOS</t>
  </si>
  <si>
    <t>TOALLAS</t>
  </si>
  <si>
    <t>CHOCOLATERA</t>
  </si>
  <si>
    <t>LA MERCED</t>
  </si>
  <si>
    <t>LA VEGA</t>
  </si>
  <si>
    <t>ANDALUCIA</t>
  </si>
  <si>
    <t>EL CERRITO</t>
  </si>
  <si>
    <t>VILLA RICA</t>
  </si>
  <si>
    <t>PRADO</t>
  </si>
  <si>
    <t>RIVERA</t>
  </si>
  <si>
    <t>LA VIRGINIA</t>
  </si>
  <si>
    <t>ANSERMANUEVO</t>
  </si>
  <si>
    <t>TIBANA</t>
  </si>
  <si>
    <t>PUERTO WILCHES</t>
  </si>
  <si>
    <t>RIOSUCIO</t>
  </si>
  <si>
    <t>OLAYA HERRERA</t>
  </si>
  <si>
    <t>PALESTINA</t>
  </si>
  <si>
    <t>YUMBO</t>
  </si>
  <si>
    <t>SAPUYES</t>
  </si>
  <si>
    <t>ANDES</t>
  </si>
  <si>
    <t>GUAITARILLA</t>
  </si>
  <si>
    <t>RAGONVALIA</t>
  </si>
  <si>
    <t>VISTAHERMOSA</t>
  </si>
  <si>
    <t>LA ESTRELLA</t>
  </si>
  <si>
    <t>TABIO</t>
  </si>
  <si>
    <t>CHINACOTA</t>
  </si>
  <si>
    <t>CARTAGO</t>
  </si>
  <si>
    <t>SAMANA</t>
  </si>
  <si>
    <t>PIENDAMO</t>
  </si>
  <si>
    <t>ALGECIRAS</t>
  </si>
  <si>
    <t>VENECIA</t>
  </si>
  <si>
    <t>PUERTO SANTANDER</t>
  </si>
  <si>
    <t>CAJAMARCA</t>
  </si>
  <si>
    <t>NUNCHIA</t>
  </si>
  <si>
    <t>RICAURTE</t>
  </si>
  <si>
    <t>PASTO</t>
  </si>
  <si>
    <t>SIBATE</t>
  </si>
  <si>
    <t>SAN PABLO DE BORBUR</t>
  </si>
  <si>
    <t>CHIA</t>
  </si>
  <si>
    <t>TULUA</t>
  </si>
  <si>
    <t>SAN VICENTE DE CHUCURI</t>
  </si>
  <si>
    <t>SIMACOTA</t>
  </si>
  <si>
    <t>C.COMUNIT.</t>
  </si>
  <si>
    <t>MENAJES</t>
  </si>
  <si>
    <t>JABON BAÑO</t>
  </si>
  <si>
    <t>AP.ALIMENT.</t>
  </si>
  <si>
    <t>OTROS</t>
  </si>
  <si>
    <t>CANTIDAD</t>
  </si>
  <si>
    <t>VALOR</t>
  </si>
  <si>
    <t>CEPILLO ADULTO</t>
  </si>
  <si>
    <t>KIT ASEO</t>
  </si>
  <si>
    <t>GAMBITA</t>
  </si>
  <si>
    <t>NOVITA</t>
  </si>
  <si>
    <t>ATRATO</t>
  </si>
  <si>
    <t>AIPE</t>
  </si>
  <si>
    <t>PANDI</t>
  </si>
  <si>
    <t>QUETAME</t>
  </si>
  <si>
    <t>SAN BERNARDO</t>
  </si>
  <si>
    <t>VERGARA</t>
  </si>
  <si>
    <t>VILLETA</t>
  </si>
  <si>
    <t>VIOTA</t>
  </si>
  <si>
    <t>YACOPI</t>
  </si>
  <si>
    <t>ZIPAQUIRA</t>
  </si>
  <si>
    <t>SAN PEDRO</t>
  </si>
  <si>
    <t>LA UNION</t>
  </si>
  <si>
    <t>BARAYA</t>
  </si>
  <si>
    <t>PAICOL</t>
  </si>
  <si>
    <t>BRICEÑO</t>
  </si>
  <si>
    <t>TELLO</t>
  </si>
  <si>
    <t>SABANA DE TORRES</t>
  </si>
  <si>
    <t>SONSON</t>
  </si>
  <si>
    <t>LA CALERA</t>
  </si>
  <si>
    <t>VALLEDUPAR</t>
  </si>
  <si>
    <t>NEIVA</t>
  </si>
  <si>
    <t>ARJONA</t>
  </si>
  <si>
    <t>AMAZONAS</t>
  </si>
  <si>
    <t>LETICIA</t>
  </si>
  <si>
    <t>MONTENEGRO</t>
  </si>
  <si>
    <t>FECHA RECIBO</t>
  </si>
  <si>
    <t>HECTAREAS</t>
  </si>
  <si>
    <t>-</t>
  </si>
  <si>
    <t>GIRO DIRECTO</t>
  </si>
  <si>
    <t>APOYOS EN TRAMITE</t>
  </si>
  <si>
    <t>MATERIALES CONSTRUCCION</t>
  </si>
  <si>
    <t xml:space="preserve"> A F E C T A C I Ó N</t>
  </si>
  <si>
    <t>VIV.DESTRU.</t>
  </si>
  <si>
    <t>VIV.AVER.</t>
  </si>
  <si>
    <t>.</t>
  </si>
  <si>
    <t>HERIDOS</t>
  </si>
  <si>
    <t>DESAPA.</t>
  </si>
  <si>
    <t>PTES.VEHIC.</t>
  </si>
  <si>
    <t>PTES.PEAT.</t>
  </si>
  <si>
    <t>NUMERO DE RADICADO</t>
  </si>
  <si>
    <t>NUMERO DE MEMORANDO / OFICIO</t>
  </si>
  <si>
    <t>CAPARRAPI</t>
  </si>
  <si>
    <t>GUAMO</t>
  </si>
  <si>
    <t>AMAGA</t>
  </si>
  <si>
    <t>LA APARTADA</t>
  </si>
  <si>
    <t>AGUAZUL</t>
  </si>
  <si>
    <t>TRINIDAD</t>
  </si>
  <si>
    <t>CALDAS</t>
  </si>
  <si>
    <t>FLORIDABLANCA</t>
  </si>
  <si>
    <t>CALARCA</t>
  </si>
  <si>
    <t>PUERTO TRIUNFO</t>
  </si>
  <si>
    <t>CERETE</t>
  </si>
  <si>
    <t>VERSALLES</t>
  </si>
  <si>
    <t>TEORAMA</t>
  </si>
  <si>
    <t>HACARI</t>
  </si>
  <si>
    <t>RIOHACHA</t>
  </si>
  <si>
    <t>REGIDOR</t>
  </si>
  <si>
    <t>SIMITI</t>
  </si>
  <si>
    <t>LA PLAYA</t>
  </si>
  <si>
    <t>LOURDES</t>
  </si>
  <si>
    <t>CHOACHI</t>
  </si>
  <si>
    <t>PUERTO BERRIO</t>
  </si>
  <si>
    <t>VENADILLO</t>
  </si>
  <si>
    <t>PAZ DE ARIPORO</t>
  </si>
  <si>
    <t>CASABIANCA</t>
  </si>
  <si>
    <t>FRESNO</t>
  </si>
  <si>
    <t>GUADUAS</t>
  </si>
  <si>
    <t>BALBOA</t>
  </si>
  <si>
    <t>MONIQUIRA</t>
  </si>
  <si>
    <t>EL CAIRO</t>
  </si>
  <si>
    <t>PAMPLONITA</t>
  </si>
  <si>
    <t>SANTIAGO</t>
  </si>
  <si>
    <t>PACORA</t>
  </si>
  <si>
    <t>41503</t>
  </si>
  <si>
    <t>41518</t>
  </si>
  <si>
    <t>41530</t>
  </si>
  <si>
    <t>41551</t>
  </si>
  <si>
    <t>41615</t>
  </si>
  <si>
    <t>41797</t>
  </si>
  <si>
    <t>41799</t>
  </si>
  <si>
    <t>41885</t>
  </si>
  <si>
    <t>47001</t>
  </si>
  <si>
    <t>50001</t>
  </si>
  <si>
    <t>52001</t>
  </si>
  <si>
    <t>52079</t>
  </si>
  <si>
    <t>52083</t>
  </si>
  <si>
    <t>52110</t>
  </si>
  <si>
    <t>52233</t>
  </si>
  <si>
    <t>52418</t>
  </si>
  <si>
    <t>52490</t>
  </si>
  <si>
    <t>52520</t>
  </si>
  <si>
    <t>52573</t>
  </si>
  <si>
    <t>52678</t>
  </si>
  <si>
    <t>52699</t>
  </si>
  <si>
    <t>52835</t>
  </si>
  <si>
    <t>52838</t>
  </si>
  <si>
    <t>54001</t>
  </si>
  <si>
    <t>54172</t>
  </si>
  <si>
    <t>54261</t>
  </si>
  <si>
    <t>54498</t>
  </si>
  <si>
    <t>54518</t>
  </si>
  <si>
    <t>54660</t>
  </si>
  <si>
    <t>54720</t>
  </si>
  <si>
    <t>54874</t>
  </si>
  <si>
    <t>63001</t>
  </si>
  <si>
    <t>63130</t>
  </si>
  <si>
    <t>63212</t>
  </si>
  <si>
    <t>63302</t>
  </si>
  <si>
    <t>63401</t>
  </si>
  <si>
    <t>63548</t>
  </si>
  <si>
    <t>63594</t>
  </si>
  <si>
    <t>66001</t>
  </si>
  <si>
    <t>86219</t>
  </si>
  <si>
    <t>86320</t>
  </si>
  <si>
    <t>86568</t>
  </si>
  <si>
    <t>PUERTO ASIS</t>
  </si>
  <si>
    <t>569</t>
  </si>
  <si>
    <t>86569</t>
  </si>
  <si>
    <t>PUERTO CAICEDO</t>
  </si>
  <si>
    <t>571</t>
  </si>
  <si>
    <t>86571</t>
  </si>
  <si>
    <t>PUERTO GUZMAN</t>
  </si>
  <si>
    <t>749</t>
  </si>
  <si>
    <t>86749</t>
  </si>
  <si>
    <t>SIBUNDOY</t>
  </si>
  <si>
    <t>86755</t>
  </si>
  <si>
    <t>86757</t>
  </si>
  <si>
    <t>86760</t>
  </si>
  <si>
    <t>865</t>
  </si>
  <si>
    <t>86865</t>
  </si>
  <si>
    <t>VALLE DEL GUAMUEZ</t>
  </si>
  <si>
    <t>86885</t>
  </si>
  <si>
    <t>VILLAGARZON</t>
  </si>
  <si>
    <t>88</t>
  </si>
  <si>
    <t>88001</t>
  </si>
  <si>
    <t>564</t>
  </si>
  <si>
    <t>88564</t>
  </si>
  <si>
    <t>91</t>
  </si>
  <si>
    <t>91540</t>
  </si>
  <si>
    <t>PUERTO NARIÑO</t>
  </si>
  <si>
    <t>94</t>
  </si>
  <si>
    <t>94001</t>
  </si>
  <si>
    <t>GUAINIA</t>
  </si>
  <si>
    <t>INIRIDA</t>
  </si>
  <si>
    <t>95</t>
  </si>
  <si>
    <t>95015</t>
  </si>
  <si>
    <t>95025</t>
  </si>
  <si>
    <t>EL RETORNO</t>
  </si>
  <si>
    <t>95200</t>
  </si>
  <si>
    <t>97</t>
  </si>
  <si>
    <t>97001</t>
  </si>
  <si>
    <t>VAUPES</t>
  </si>
  <si>
    <t>MITU</t>
  </si>
  <si>
    <t>97161</t>
  </si>
  <si>
    <t>CARURU</t>
  </si>
  <si>
    <t>666</t>
  </si>
  <si>
    <t>97666</t>
  </si>
  <si>
    <t>TARAIRA</t>
  </si>
  <si>
    <t>99</t>
  </si>
  <si>
    <t>99001</t>
  </si>
  <si>
    <t>VICHADA</t>
  </si>
  <si>
    <t>PUERTO CARREÑO</t>
  </si>
  <si>
    <t>99524</t>
  </si>
  <si>
    <t>LA PRIMAVERA</t>
  </si>
  <si>
    <t>99624</t>
  </si>
  <si>
    <t>SANTA ROSALIA</t>
  </si>
  <si>
    <t>99773</t>
  </si>
  <si>
    <t>CUMARIBO</t>
  </si>
  <si>
    <t>00</t>
  </si>
  <si>
    <t>000</t>
  </si>
  <si>
    <t>00000</t>
  </si>
  <si>
    <t>05</t>
  </si>
  <si>
    <t>001</t>
  </si>
  <si>
    <t>Antioquia</t>
  </si>
  <si>
    <t>002</t>
  </si>
  <si>
    <t>05002</t>
  </si>
  <si>
    <t>ABEJORRAL</t>
  </si>
  <si>
    <t>004</t>
  </si>
  <si>
    <t>05004</t>
  </si>
  <si>
    <t>ABRIAQUI</t>
  </si>
  <si>
    <t>021</t>
  </si>
  <si>
    <t>05021</t>
  </si>
  <si>
    <t>ALEJANDRIA</t>
  </si>
  <si>
    <t>030</t>
  </si>
  <si>
    <t>05030</t>
  </si>
  <si>
    <t>031</t>
  </si>
  <si>
    <t>05031</t>
  </si>
  <si>
    <t>034</t>
  </si>
  <si>
    <t>05034</t>
  </si>
  <si>
    <t>036</t>
  </si>
  <si>
    <t>05036</t>
  </si>
  <si>
    <t>ANGELOPOLIS</t>
  </si>
  <si>
    <t>038</t>
  </si>
  <si>
    <t>05038</t>
  </si>
  <si>
    <t>ANGOSTURA</t>
  </si>
  <si>
    <t>040</t>
  </si>
  <si>
    <t>05040</t>
  </si>
  <si>
    <t>ANORI</t>
  </si>
  <si>
    <t>042</t>
  </si>
  <si>
    <t>05042</t>
  </si>
  <si>
    <t>SANTAFE DE ANTIOQUIA</t>
  </si>
  <si>
    <t>044</t>
  </si>
  <si>
    <t>05044</t>
  </si>
  <si>
    <t>ANZA</t>
  </si>
  <si>
    <t>045</t>
  </si>
  <si>
    <t>05045</t>
  </si>
  <si>
    <t>APARTADO</t>
  </si>
  <si>
    <t>051</t>
  </si>
  <si>
    <t>05051</t>
  </si>
  <si>
    <t>ARBOLETES</t>
  </si>
  <si>
    <t>055</t>
  </si>
  <si>
    <t>05055</t>
  </si>
  <si>
    <t>059</t>
  </si>
  <si>
    <t>05059</t>
  </si>
  <si>
    <t>079</t>
  </si>
  <si>
    <t>05079</t>
  </si>
  <si>
    <t>086</t>
  </si>
  <si>
    <t>05086</t>
  </si>
  <si>
    <t>BELMIRA</t>
  </si>
  <si>
    <t>088</t>
  </si>
  <si>
    <t>091</t>
  </si>
  <si>
    <t>05091</t>
  </si>
  <si>
    <t>BETANIA</t>
  </si>
  <si>
    <t>093</t>
  </si>
  <si>
    <t>05093</t>
  </si>
  <si>
    <t>101</t>
  </si>
  <si>
    <t>05101</t>
  </si>
  <si>
    <t>CIUDAD BOLIVAR</t>
  </si>
  <si>
    <t>107</t>
  </si>
  <si>
    <t>05107</t>
  </si>
  <si>
    <t>113</t>
  </si>
  <si>
    <t>05113</t>
  </si>
  <si>
    <t>BURITICA</t>
  </si>
  <si>
    <t>120</t>
  </si>
  <si>
    <t>05120</t>
  </si>
  <si>
    <t>125</t>
  </si>
  <si>
    <t>05125</t>
  </si>
  <si>
    <t>CAICEDO</t>
  </si>
  <si>
    <t>129</t>
  </si>
  <si>
    <t>05129</t>
  </si>
  <si>
    <t>134</t>
  </si>
  <si>
    <t>05134</t>
  </si>
  <si>
    <t>CAMPAMENTO</t>
  </si>
  <si>
    <t>138</t>
  </si>
  <si>
    <t>05138</t>
  </si>
  <si>
    <t>CAÑASGORDAS</t>
  </si>
  <si>
    <t>142</t>
  </si>
  <si>
    <t>05142</t>
  </si>
  <si>
    <t>CARACOLI</t>
  </si>
  <si>
    <t>145</t>
  </si>
  <si>
    <t>05145</t>
  </si>
  <si>
    <t>CARAMANTA</t>
  </si>
  <si>
    <t>147</t>
  </si>
  <si>
    <t>05147</t>
  </si>
  <si>
    <t>CAREPA</t>
  </si>
  <si>
    <t>148</t>
  </si>
  <si>
    <t>05148</t>
  </si>
  <si>
    <t>EL CARMEN DE VIBORAL</t>
  </si>
  <si>
    <t>150</t>
  </si>
  <si>
    <t>05150</t>
  </si>
  <si>
    <t>CAROLINA</t>
  </si>
  <si>
    <t>154</t>
  </si>
  <si>
    <t>05154</t>
  </si>
  <si>
    <t>CAUCASIA</t>
  </si>
  <si>
    <t>172</t>
  </si>
  <si>
    <t>05172</t>
  </si>
  <si>
    <t>CHIGORODO</t>
  </si>
  <si>
    <t>190</t>
  </si>
  <si>
    <t>05190</t>
  </si>
  <si>
    <t>CISNEROS</t>
  </si>
  <si>
    <t>197</t>
  </si>
  <si>
    <t>05197</t>
  </si>
  <si>
    <t>COCORNA</t>
  </si>
  <si>
    <t>206</t>
  </si>
  <si>
    <t>05206</t>
  </si>
  <si>
    <t>CONCEPCION</t>
  </si>
  <si>
    <t>209</t>
  </si>
  <si>
    <t>05209</t>
  </si>
  <si>
    <t>CONCORDIA</t>
  </si>
  <si>
    <t>212</t>
  </si>
  <si>
    <t>05212</t>
  </si>
  <si>
    <t>234</t>
  </si>
  <si>
    <t>05234</t>
  </si>
  <si>
    <t>DABEIBA</t>
  </si>
  <si>
    <t>237</t>
  </si>
  <si>
    <t>05237</t>
  </si>
  <si>
    <t>DON MATIAS</t>
  </si>
  <si>
    <t>240</t>
  </si>
  <si>
    <t>05240</t>
  </si>
  <si>
    <t>EBEJICO</t>
  </si>
  <si>
    <t>250</t>
  </si>
  <si>
    <t>05250</t>
  </si>
  <si>
    <t>EL BAGRE</t>
  </si>
  <si>
    <t>264</t>
  </si>
  <si>
    <t>05264</t>
  </si>
  <si>
    <t>ENTRERRIOS</t>
  </si>
  <si>
    <t>266</t>
  </si>
  <si>
    <t>05266</t>
  </si>
  <si>
    <t>ENVIGADO</t>
  </si>
  <si>
    <t>282</t>
  </si>
  <si>
    <t>05282</t>
  </si>
  <si>
    <t>284</t>
  </si>
  <si>
    <t>05284</t>
  </si>
  <si>
    <t>306</t>
  </si>
  <si>
    <t>05306</t>
  </si>
  <si>
    <t>GIRALDO</t>
  </si>
  <si>
    <t>308</t>
  </si>
  <si>
    <t>05308</t>
  </si>
  <si>
    <t>310</t>
  </si>
  <si>
    <t>05310</t>
  </si>
  <si>
    <t>GOMEZ PLATA</t>
  </si>
  <si>
    <t>313</t>
  </si>
  <si>
    <t>05313</t>
  </si>
  <si>
    <t>315</t>
  </si>
  <si>
    <t>05315</t>
  </si>
  <si>
    <t>318</t>
  </si>
  <si>
    <t>05318</t>
  </si>
  <si>
    <t>321</t>
  </si>
  <si>
    <t>05321</t>
  </si>
  <si>
    <t>GUATAPE</t>
  </si>
  <si>
    <t>347</t>
  </si>
  <si>
    <t>05347</t>
  </si>
  <si>
    <t>HELICONIA</t>
  </si>
  <si>
    <t>353</t>
  </si>
  <si>
    <t>05353</t>
  </si>
  <si>
    <t>HISPANIA</t>
  </si>
  <si>
    <t>360</t>
  </si>
  <si>
    <t>05360</t>
  </si>
  <si>
    <t>361</t>
  </si>
  <si>
    <t>05361</t>
  </si>
  <si>
    <t>ITUANGO</t>
  </si>
  <si>
    <t>364</t>
  </si>
  <si>
    <t>05364</t>
  </si>
  <si>
    <t>JARDIN</t>
  </si>
  <si>
    <t>368</t>
  </si>
  <si>
    <t>05368</t>
  </si>
  <si>
    <t>376</t>
  </si>
  <si>
    <t>05376</t>
  </si>
  <si>
    <t>LA CEJA</t>
  </si>
  <si>
    <t>380</t>
  </si>
  <si>
    <t>390</t>
  </si>
  <si>
    <t>05390</t>
  </si>
  <si>
    <t>LA PINTADA</t>
  </si>
  <si>
    <t>400</t>
  </si>
  <si>
    <t>05400</t>
  </si>
  <si>
    <t>411</t>
  </si>
  <si>
    <t>05411</t>
  </si>
  <si>
    <t>LIBORINA</t>
  </si>
  <si>
    <t>425</t>
  </si>
  <si>
    <t>05425</t>
  </si>
  <si>
    <t>MACEO</t>
  </si>
  <si>
    <t>440</t>
  </si>
  <si>
    <t>05440</t>
  </si>
  <si>
    <t>MARINILLA</t>
  </si>
  <si>
    <t>467</t>
  </si>
  <si>
    <t>05467</t>
  </si>
  <si>
    <t>MONTEBELLO</t>
  </si>
  <si>
    <t>475</t>
  </si>
  <si>
    <t>05475</t>
  </si>
  <si>
    <t>MURINDO</t>
  </si>
  <si>
    <t>480</t>
  </si>
  <si>
    <t>05480</t>
  </si>
  <si>
    <t>MUTATA</t>
  </si>
  <si>
    <t>483</t>
  </si>
  <si>
    <t>05483</t>
  </si>
  <si>
    <t>490</t>
  </si>
  <si>
    <t>05490</t>
  </si>
  <si>
    <t>NECOCLI</t>
  </si>
  <si>
    <t>495</t>
  </si>
  <si>
    <t>05495</t>
  </si>
  <si>
    <t>NECHI</t>
  </si>
  <si>
    <t>501</t>
  </si>
  <si>
    <t>05501</t>
  </si>
  <si>
    <t>OLAYA</t>
  </si>
  <si>
    <t>541</t>
  </si>
  <si>
    <t>05541</t>
  </si>
  <si>
    <t>543</t>
  </si>
  <si>
    <t>05543</t>
  </si>
  <si>
    <t>PEQUE</t>
  </si>
  <si>
    <t>576</t>
  </si>
  <si>
    <t>05576</t>
  </si>
  <si>
    <t>PUEBLORRICO</t>
  </si>
  <si>
    <t>579</t>
  </si>
  <si>
    <t>05579</t>
  </si>
  <si>
    <t>585</t>
  </si>
  <si>
    <t>05585</t>
  </si>
  <si>
    <t>591</t>
  </si>
  <si>
    <t>05591</t>
  </si>
  <si>
    <t>604</t>
  </si>
  <si>
    <t>05604</t>
  </si>
  <si>
    <t>REMEDIOS</t>
  </si>
  <si>
    <t>607</t>
  </si>
  <si>
    <t>05607</t>
  </si>
  <si>
    <t>RETIRO</t>
  </si>
  <si>
    <t>615</t>
  </si>
  <si>
    <t>05615</t>
  </si>
  <si>
    <t>628</t>
  </si>
  <si>
    <t>05628</t>
  </si>
  <si>
    <t>SABANALARGA</t>
  </si>
  <si>
    <t>631</t>
  </si>
  <si>
    <t>05631</t>
  </si>
  <si>
    <t>642</t>
  </si>
  <si>
    <t>05642</t>
  </si>
  <si>
    <t>SALGAR</t>
  </si>
  <si>
    <t>647</t>
  </si>
  <si>
    <t>05647</t>
  </si>
  <si>
    <t>649</t>
  </si>
  <si>
    <t>05649</t>
  </si>
  <si>
    <t>652</t>
  </si>
  <si>
    <t>05652</t>
  </si>
  <si>
    <t>656</t>
  </si>
  <si>
    <t>05656</t>
  </si>
  <si>
    <t>SAN JERONIMO</t>
  </si>
  <si>
    <t>658</t>
  </si>
  <si>
    <t>05658</t>
  </si>
  <si>
    <t>SAN JOSE DE LA MONTAÑA</t>
  </si>
  <si>
    <t>659</t>
  </si>
  <si>
    <t>05659</t>
  </si>
  <si>
    <t>SAN JUAN DE URABA</t>
  </si>
  <si>
    <t>660</t>
  </si>
  <si>
    <t>05660</t>
  </si>
  <si>
    <t>664</t>
  </si>
  <si>
    <t>05664</t>
  </si>
  <si>
    <t>665</t>
  </si>
  <si>
    <t>05665</t>
  </si>
  <si>
    <t>SAN PEDRO DE URABA</t>
  </si>
  <si>
    <t>667</t>
  </si>
  <si>
    <t>05667</t>
  </si>
  <si>
    <t>SAN RAFAEL</t>
  </si>
  <si>
    <t>670</t>
  </si>
  <si>
    <t>05670</t>
  </si>
  <si>
    <t>674</t>
  </si>
  <si>
    <t>05674</t>
  </si>
  <si>
    <t>SAN VICENTE</t>
  </si>
  <si>
    <t>679</t>
  </si>
  <si>
    <t>05679</t>
  </si>
  <si>
    <t>686</t>
  </si>
  <si>
    <t>05686</t>
  </si>
  <si>
    <t>SANTA ROSA DE OSOS</t>
  </si>
  <si>
    <t>690</t>
  </si>
  <si>
    <t>05690</t>
  </si>
  <si>
    <t>SANTO DOMINGO</t>
  </si>
  <si>
    <t>697</t>
  </si>
  <si>
    <t>05697</t>
  </si>
  <si>
    <t>EL SANTUARIO</t>
  </si>
  <si>
    <t>736</t>
  </si>
  <si>
    <t>756</t>
  </si>
  <si>
    <t>05756</t>
  </si>
  <si>
    <t>761</t>
  </si>
  <si>
    <t>05761</t>
  </si>
  <si>
    <t>SOPETRAN</t>
  </si>
  <si>
    <t>789</t>
  </si>
  <si>
    <t>05789</t>
  </si>
  <si>
    <t>790</t>
  </si>
  <si>
    <t>05790</t>
  </si>
  <si>
    <t>TARAZA</t>
  </si>
  <si>
    <t>792</t>
  </si>
  <si>
    <t>05792</t>
  </si>
  <si>
    <t>TARSO</t>
  </si>
  <si>
    <t>809</t>
  </si>
  <si>
    <t>05809</t>
  </si>
  <si>
    <t>TITIRIBI</t>
  </si>
  <si>
    <t>819</t>
  </si>
  <si>
    <t>05819</t>
  </si>
  <si>
    <t>837</t>
  </si>
  <si>
    <t>05837</t>
  </si>
  <si>
    <t>TURBO</t>
  </si>
  <si>
    <t>842</t>
  </si>
  <si>
    <t>05842</t>
  </si>
  <si>
    <t>URAMITA</t>
  </si>
  <si>
    <t>847</t>
  </si>
  <si>
    <t>05847</t>
  </si>
  <si>
    <t>URRAO</t>
  </si>
  <si>
    <t>854</t>
  </si>
  <si>
    <t>05854</t>
  </si>
  <si>
    <t>856</t>
  </si>
  <si>
    <t>05856</t>
  </si>
  <si>
    <t>VALPARAISO</t>
  </si>
  <si>
    <t>858</t>
  </si>
  <si>
    <t>05858</t>
  </si>
  <si>
    <t>VEGACHI</t>
  </si>
  <si>
    <t>861</t>
  </si>
  <si>
    <t>05861</t>
  </si>
  <si>
    <t>873</t>
  </si>
  <si>
    <t>05873</t>
  </si>
  <si>
    <t>885</t>
  </si>
  <si>
    <t>05885</t>
  </si>
  <si>
    <t>YALI</t>
  </si>
  <si>
    <t>887</t>
  </si>
  <si>
    <t>05887</t>
  </si>
  <si>
    <t>YARUMAL</t>
  </si>
  <si>
    <t>890</t>
  </si>
  <si>
    <t>05890</t>
  </si>
  <si>
    <t>YOLOMBO</t>
  </si>
  <si>
    <t>893</t>
  </si>
  <si>
    <t>05893</t>
  </si>
  <si>
    <t>YONDO</t>
  </si>
  <si>
    <t>895</t>
  </si>
  <si>
    <t>05895</t>
  </si>
  <si>
    <t>ZARAGOZA</t>
  </si>
  <si>
    <t>08</t>
  </si>
  <si>
    <t>Atlantico</t>
  </si>
  <si>
    <t>078</t>
  </si>
  <si>
    <t>08078</t>
  </si>
  <si>
    <t>BARANOA</t>
  </si>
  <si>
    <t>137</t>
  </si>
  <si>
    <t>CARPAS</t>
  </si>
  <si>
    <t>BOTAS</t>
  </si>
  <si>
    <t>LA FLORIDA</t>
  </si>
  <si>
    <t>YACUANQUER</t>
  </si>
  <si>
    <t>BELALCAZAR</t>
  </si>
  <si>
    <t>FILADELFIA</t>
  </si>
  <si>
    <t>HUILA</t>
  </si>
  <si>
    <t>NATAGA</t>
  </si>
  <si>
    <t>CUCUTILLA</t>
  </si>
  <si>
    <t>TOCAIMA</t>
  </si>
  <si>
    <t>APULO</t>
  </si>
  <si>
    <t>BOCHALEMA</t>
  </si>
  <si>
    <t>JAMUNDI</t>
  </si>
  <si>
    <t>PALMIRA</t>
  </si>
  <si>
    <t>YAGUARA</t>
  </si>
  <si>
    <t>TAME</t>
  </si>
  <si>
    <t>TUNJA</t>
  </si>
  <si>
    <t>FUSAGASUGA</t>
  </si>
  <si>
    <t>BUCARAMANGA</t>
  </si>
  <si>
    <t>ICONONZO</t>
  </si>
  <si>
    <t>HONDA</t>
  </si>
  <si>
    <t>LA DORADA</t>
  </si>
  <si>
    <t>BUCARASICA</t>
  </si>
  <si>
    <t>SANTA ROSA</t>
  </si>
  <si>
    <t>EL CARMEN</t>
  </si>
  <si>
    <t>SOLEDAD</t>
  </si>
  <si>
    <t>COPACABANA</t>
  </si>
  <si>
    <t>SAN JOSE DEL PALMAR</t>
  </si>
  <si>
    <t>VILLAMARIA</t>
  </si>
  <si>
    <t>BARRANCABERMEJA</t>
  </si>
  <si>
    <t>OBANDO</t>
  </si>
  <si>
    <t>CORINTO</t>
  </si>
  <si>
    <t>HATILLO DE LOBA</t>
  </si>
  <si>
    <t>SEVILLA</t>
  </si>
  <si>
    <t>ORITO</t>
  </si>
  <si>
    <t>PACHO</t>
  </si>
  <si>
    <t>SALENTO</t>
  </si>
  <si>
    <t>FLORENCIA</t>
  </si>
  <si>
    <t>SANTA BARBARA</t>
  </si>
  <si>
    <t>LA PLATA</t>
  </si>
  <si>
    <t>BETULIA</t>
  </si>
  <si>
    <t>VALDIVIA</t>
  </si>
  <si>
    <t>TADO</t>
  </si>
  <si>
    <t>SUAREZ</t>
  </si>
  <si>
    <t>SAN MATEO</t>
  </si>
  <si>
    <t>BOYACA</t>
  </si>
  <si>
    <t>PUERTO LIBERTADOR</t>
  </si>
  <si>
    <t>BELLO</t>
  </si>
  <si>
    <t>SILVIA</t>
  </si>
  <si>
    <t>EL AGUILA</t>
  </si>
  <si>
    <t>PEINILLA</t>
  </si>
  <si>
    <t>PLATO HONDO</t>
  </si>
  <si>
    <t>PLATO PANDO</t>
  </si>
  <si>
    <t>VALLE DE SAN JUAN</t>
  </si>
  <si>
    <t>SIMIJACA</t>
  </si>
  <si>
    <t>CAIMITO</t>
  </si>
  <si>
    <t>SAN BENITO ABAD</t>
  </si>
  <si>
    <t>BUGALAGRANDE</t>
  </si>
  <si>
    <t>COYAIMA</t>
  </si>
  <si>
    <t>PUERTO NARE</t>
  </si>
  <si>
    <t>BARBACOAS</t>
  </si>
  <si>
    <t>UBAQUE</t>
  </si>
  <si>
    <t>SAN DIEGO</t>
  </si>
  <si>
    <t>CORDOBA</t>
  </si>
  <si>
    <t>ESTUFAS</t>
  </si>
  <si>
    <t>VIAS</t>
  </si>
  <si>
    <t>MERCADOS</t>
  </si>
  <si>
    <t>HAMACAS</t>
  </si>
  <si>
    <t>CEPILLO NIÑO</t>
  </si>
  <si>
    <t>CINTA EMPALMAR</t>
  </si>
  <si>
    <t>COBIJA</t>
  </si>
  <si>
    <t>COLCHONETA</t>
  </si>
  <si>
    <t>MUERTOS</t>
  </si>
  <si>
    <t>TEJAS</t>
  </si>
  <si>
    <t>TRAMITE ANTE DGR</t>
  </si>
  <si>
    <t>SEGUIMIENTO Y CONTROL A LA EMERGENCIA</t>
  </si>
  <si>
    <t>POPAYAN</t>
  </si>
  <si>
    <t>CUCUTA</t>
  </si>
  <si>
    <t>VILLA DEL ROSARIO</t>
  </si>
  <si>
    <t>LOS PATIOS</t>
  </si>
  <si>
    <t>LEJANIAS</t>
  </si>
  <si>
    <t>MUZO</t>
  </si>
  <si>
    <t>PLANADAS</t>
  </si>
  <si>
    <t>MORALES</t>
  </si>
  <si>
    <t>SANTA MARTA</t>
  </si>
  <si>
    <t>TAMESIS</t>
  </si>
  <si>
    <t>EL BANCO</t>
  </si>
  <si>
    <t>EL PEÑON</t>
  </si>
  <si>
    <t>SAN FERNANDO</t>
  </si>
  <si>
    <t>CONVENCION</t>
  </si>
  <si>
    <t>GUATICA</t>
  </si>
  <si>
    <t>SAN ZENON</t>
  </si>
  <si>
    <t>MOCOA</t>
  </si>
  <si>
    <t>MARGARITA</t>
  </si>
  <si>
    <t>AGUACHICA</t>
  </si>
  <si>
    <t>PINILLOS</t>
  </si>
  <si>
    <t>TRUJILLO</t>
  </si>
  <si>
    <t>SANTUARIO</t>
  </si>
  <si>
    <t>SARAVENA</t>
  </si>
  <si>
    <t>BUENAVENTURA</t>
  </si>
  <si>
    <t>IBAGUE</t>
  </si>
  <si>
    <t>CAMPO DE LA CRUZ</t>
  </si>
  <si>
    <t>CANDELARIA</t>
  </si>
  <si>
    <t>VILLANUEVA</t>
  </si>
  <si>
    <t>MARIA LA BAJA</t>
  </si>
  <si>
    <t>MAGANGUE</t>
  </si>
  <si>
    <t>CICUCO</t>
  </si>
  <si>
    <t>BARRANCO DE LOBA</t>
  </si>
  <si>
    <t>GINEBRA</t>
  </si>
  <si>
    <t>QUIMBAYA</t>
  </si>
  <si>
    <t>SOBRECAMAS</t>
  </si>
  <si>
    <t>PAPEL H.</t>
  </si>
  <si>
    <t>BARRANQUILLA</t>
  </si>
  <si>
    <t>LA TEBAIDA</t>
  </si>
  <si>
    <t>TOTORO</t>
  </si>
  <si>
    <t>PAEZ</t>
  </si>
  <si>
    <t>ANALISIS Y EVALUACION DE LA SOLICITUD</t>
  </si>
  <si>
    <t>CUNDINAMARCA</t>
  </si>
  <si>
    <t>DEPARTAMENTO</t>
  </si>
  <si>
    <t>RISARALDA</t>
  </si>
  <si>
    <t>NACION</t>
  </si>
  <si>
    <t>ARMENIA</t>
  </si>
  <si>
    <t>BOLIVAR</t>
  </si>
  <si>
    <t>CASANARE</t>
  </si>
  <si>
    <t>OROCUE</t>
  </si>
  <si>
    <t>AMALFI</t>
  </si>
  <si>
    <t>CANTAGALLO</t>
  </si>
  <si>
    <t>TAMALAMEQUE</t>
  </si>
  <si>
    <t>CARTAGENA</t>
  </si>
  <si>
    <t>ALTO BAUDO</t>
  </si>
  <si>
    <t>LINEA NO.</t>
  </si>
  <si>
    <t>ACACIAS</t>
  </si>
  <si>
    <t>SAN PABLO</t>
  </si>
  <si>
    <t>COELLO</t>
  </si>
  <si>
    <t>SAN JUAN DE ARAMA</t>
  </si>
  <si>
    <t>SANTA ROSA DE CABAL</t>
  </si>
  <si>
    <t>PURIFICACION</t>
  </si>
  <si>
    <t>CARMEN DE CARUPA</t>
  </si>
  <si>
    <t>MONTERIA</t>
  </si>
  <si>
    <t>SAN CARLOS</t>
  </si>
  <si>
    <t>CHARTA</t>
  </si>
  <si>
    <t>MATANZA</t>
  </si>
  <si>
    <t>OCAÑA</t>
  </si>
  <si>
    <t>CHITAGA</t>
  </si>
  <si>
    <t>CABRERA</t>
  </si>
  <si>
    <t>ZARZAL</t>
  </si>
  <si>
    <t>LA GLORIA</t>
  </si>
  <si>
    <t>GAMARRA</t>
  </si>
  <si>
    <t>PIAMONTE</t>
  </si>
  <si>
    <t>SAN ANDRES DE CUERQUIA</t>
  </si>
  <si>
    <t>HERRAN</t>
  </si>
  <si>
    <t>TUTA</t>
  </si>
  <si>
    <t>TIMANA</t>
  </si>
  <si>
    <t>ISNOS</t>
  </si>
  <si>
    <t>INZA</t>
  </si>
  <si>
    <t>FREDONIA</t>
  </si>
  <si>
    <t>NARIÑO</t>
  </si>
  <si>
    <t>GIRARDOT</t>
  </si>
  <si>
    <t>RAQUIRA</t>
  </si>
  <si>
    <t>GIRON</t>
  </si>
  <si>
    <t>SEGOVIA</t>
  </si>
  <si>
    <t>ACUED.</t>
  </si>
  <si>
    <t>C. SALUD</t>
  </si>
  <si>
    <t>C.EDUCAT.</t>
  </si>
  <si>
    <t>ALCANT.</t>
  </si>
  <si>
    <t>CACERES</t>
  </si>
  <si>
    <t>GIRARDOTA</t>
  </si>
  <si>
    <t>SABANETA</t>
  </si>
  <si>
    <t>SAN ROQUE</t>
  </si>
  <si>
    <t>PUERTO CONCORDIA</t>
  </si>
  <si>
    <t>ARBELAEZ</t>
  </si>
  <si>
    <t>BELTRAN</t>
  </si>
  <si>
    <t>BOJACA</t>
  </si>
  <si>
    <t>CHOCONTA</t>
  </si>
  <si>
    <t>JUNIN</t>
  </si>
  <si>
    <t>NEMOCON</t>
  </si>
  <si>
    <t>QUEBRADANEGRA</t>
  </si>
  <si>
    <t>SESQUILE</t>
  </si>
  <si>
    <t>SUESCA</t>
  </si>
  <si>
    <t>UTICA</t>
  </si>
  <si>
    <t>VILLAPINZON</t>
  </si>
  <si>
    <t>CONDOTO</t>
  </si>
  <si>
    <t>ISTMINA</t>
  </si>
  <si>
    <t>CAMPOALEGRE</t>
  </si>
  <si>
    <t>SAN ANDRES DE TUMACO</t>
  </si>
  <si>
    <t>VILLA CARO</t>
  </si>
  <si>
    <t>CERRITO</t>
  </si>
  <si>
    <t>FLORIAN</t>
  </si>
  <si>
    <t>LANDAZURI</t>
  </si>
  <si>
    <t>GIROS DIRECTOS</t>
  </si>
  <si>
    <t>RACIONES DE CAMPAÑA</t>
  </si>
  <si>
    <t>INCENDIO FORESTAL</t>
  </si>
  <si>
    <t>SANTANDER</t>
  </si>
  <si>
    <t>TOLIMA</t>
  </si>
  <si>
    <t>ACCIDENTE DE TRANSITO</t>
  </si>
  <si>
    <t>DE MANERA ATENTA ME PERMITO INFORMAR QUE EL DIA DE HOY SE PRESENTARON CUATRO INCENDIOS EN BUCARAMANGA ASI: DE ACUERDO A REPORTE ENTREGADO POR CUERPO DE BOMBEROS DE BUCARAMANGA SE PRESENTO UN INCENDIO FORESTAL DEBAJO DEL PUENTE LA FLORA DE MENOR MAGNITUD, 50 MTS, DE MALEZA SIN AFECTACIÓN DE PERSONAS O VIVIENDAS; INCENDIO FORESTAL DEBAJO DEL PUENTE DEL VIADUCTO DE MENOS DE 50 MTS DE MALEZA SIN AFECTACIÓN A VIVIENDAS O PERSONAS; OTRO EN BARRIO SAN RAFAEL DE MENOS DE 50 MTS DE MALEZA SIN AFECTACIÓN DE VIVIENDAS O PERSONAS Y UN ULTIMO INCENDIO FORESTAL EN EL BARRIO LA VICTORIA DE UNA HECTÁREA APROXIMADAMENTE DE ZONA BOSCOSA SIN AFECTACIÓN DE VIVIENDAS O PERSONAS, EMERGENCIAS CONTROLADAS POR BOMBEROS DE BUCARAMANGA</t>
  </si>
  <si>
    <t>VALLE DEL CAUCA</t>
  </si>
  <si>
    <t>CHOCO</t>
  </si>
  <si>
    <t>REPORTA INCENDIO FORESTAL SECTOR CARABINEROS DE LA POLICIA NACIONAL, SE AFECTARON 2 HECTAREAS DE PASTIZALES Y VEGETACION NATIVA, REPORTA DIRECCION NACIONAL DE BOMBEROS.</t>
  </si>
  <si>
    <t>CAUCA</t>
  </si>
  <si>
    <t>CESAR</t>
  </si>
  <si>
    <t>SE PRESENTO ACCIDENTE DE TRANSITO EN LA VIA SUAREZ-BUENOS AIRES DEJANDO COMO RESULTADO 1 PERSONA FALLECIDA Y 16 MAS HERIDAS TRASLADADAS A CENTROS ASISTENCIALES</t>
  </si>
  <si>
    <t>CDGRD REPORTA QUE EL DÍA 01 ENERO SE PRESENTÓ UN INCENDIO FORESTAL EN EL KM 5 VÍA A ECOPETROL, CON AFECTACIÓN DE 05 HECTÁREAS DE MALEZA, NO SE REGISTRÓ AFECTACIÓN DE PERSONAS O VIVIENDAS, IGUALMENTE INFORMA QUE SE PRESENTÓ UN INCENDIO FORESTAL EN LA VÍA PANAMERICANA DE 300 METROS, DE ZONA BOSCOSA CONTROLADO SIN NINGUNA NOVEDAD</t>
  </si>
  <si>
    <t>REPORTA EL CUERPO DE BOMBEROS QUE SE PRESENTARON INCENDIOS FORESTALES EN LOS BARRIOS EL CRISTAL 02 HECTÁREAS, LA INDEPENDENCIA 500 METROS, MIRAFLORES EN MORRORICO DE 800 MTS, EN PROVENZA DE 200 MTS, VÍA TONA 100 MTS, DE ZONA BOSCOSA MALEZA, EN LOS CUALES NO SE REGISTRO AFECTACIÓN DE PERSONAS O VIVIENDAS, ASÍ MISMO SE PRESENTO UN INCENDIO ESTRUCTURAL EN LA CALLE 24 CON CARRERA 34 EDIFICIO ALARCÓN II DONDE SE INCENDIO UNA HABITACIÓN DE UN APARTAMENTO DEL QUINTO PISO, NO SE REGISTRO AFECTACIÓN DE PERSONAS NI DE APARTAMENTOS VECINOS Y NO SE CONOCEN LAS CAUSAS QUE OCASIONARON EL INCENDIO.</t>
  </si>
  <si>
    <t>INCENDIO ESTRUCTURAL</t>
  </si>
  <si>
    <t>QUINDIO</t>
  </si>
  <si>
    <t>FOPAE INFORMA QUE SE PRESENTA UN INCENDIO FORESTAL EN LOS CERROS ORIENTALES EN EL BARRIO LA GRAN COLOMBIA LOCALIDAD DE SANCRISTOBAL, EL CUAL NO HAY REGISTRO AL MOMENTO DE CANTIDAD DE AFECTACION 17 UNIDADES DE BOMBEROS 48 UNIDADES DE EJERCITO Y 3 MAQUINAS REALIZARON APOYO AL INCENDIO, SE CONTROLO SOBRE LAS 12:00 REALIZARON CONTROL DE LOS PUNTOS CALIENTES DE MANERA MANUAL POR EL DIFICIL ACCESO DE LAS UNIDADES A LA ZONA</t>
  </si>
  <si>
    <t>COORDINADOR DEPARTAMENTAL DE BOMBEROS DE CUNDINAMARCA, REPORTA INCENDIO FORESTAL EN LA VEREDA PALO GRANDE INICIADO EL DÍA 01/01/13 A LAS 09:00 HORAS, ESTA SIENDO ATENDIDO POR BOMBEROS GIRARDOT, BOMBEROS NILO, POLICÍA, CAR,  EJERCITO, FUERZA AÉREA , COMUNIDAD Y CMGRD. AFECTACIÓN HASTA EL MOMENTO DE 50 HECTÁREAS DE RASTROJO Y 20 DE VEGETACIÓN NATIVA.</t>
  </si>
  <si>
    <t>COORDINADOR DEPARTAMENTAL DE BOMBEROS DE CUNDINAMARCA, REPORTA INCENDIO FORESTAL EN LA VEREDA NOVOA INICIADO EL DÍA 01/01/13 A LAS 13:00 HORAS,  EXTINGUIDO A LAS 16:30 HORAS CON AFECTACIÓN DE 2 HECTÁREAS DE PINO PLANTADO, ATENDIÓ BOMBEROS ZIPAQUIRA Y COMUNIDAD.</t>
  </si>
  <si>
    <t>COORDINADOR DEPARTAMENTAL DE BOMBEROS DE CUNDINAMARCA, REPORTA INCENDIO FORESTAL EN LA VEREDA CAÑADAS INICIADO EL DÍA 01/01/13 A LAS 16:00 HORAS,   CON AFECTACIÓN DE 5 HECTÁREAS DE  PINO PLANTADO, ATIENDE BOMBEROS UBATE, 2 BRIGADAS DE LA CAR, CMGRD  Y COMUNIDAD.</t>
  </si>
  <si>
    <t>COORDINADOR DEPARTAMENTAL DE BOMBEROS DE CUNDINAMARCA, REPORTA INCENDIO FORESTAL EN  EL PARQUE DE NEUSA, INICIADO EL DÍA 02/01/13 A LAS 07:30 HORAS,  ATIENDEN 2 BRIGADAS DE LA CAR, BOMBEROS ZIPAQUIRA Y COMUNIDAD. EXTINGUIDO A LAS 15:00 HORAS CON AFECTACIÓN DE 1 HECTÁREA DE CULTIVO DE PINOS.</t>
  </si>
  <si>
    <t>COORDINADOR DEPARTAMENTAL DE BOMBEROS DE CUNDINAMARCA, REPORTA ACCIDENTE DE TRANSITO OCURRIDO A LAS 14:00 HORAS DEL DÍA 01/01/13 EN LA VEREDA SAN PEDRO EN LOS TÚNELES, OCASIONADO POR UNA CAMIONETA VAN DE 8 PASAJEROS QUE AL ESTRELLARSE CONTRA UN MURO DE CONTENCIÓN, RESULTARON 6 PERSONAS HERIDAS QUE FUERON TRASLADADAS AL HOSPITAL DE GACHETA,  UNA FALLECIDA EN EL SITIO. ATENDIÓ, BOMBEROS GACHETA Y POLICÍA.</t>
  </si>
  <si>
    <t>CDGRD INFORMASE PRESENTO UN INCENDIO ESTRUCTURAL EN LA CALLE 24 CON CARRERA 34 EDIFICA ALARCON II, EN DONDE SE INCENDIO UN APARTAMENTO DEL 5TO PISO, SOLO SE AFECTO UNA HABITACION, NO SE REGISTRO AFECTACION DE PERSONAS O VIVIENDAS, GRACIAS A LA INMEDIATA REACION DEL PERSONAL DE BOMBEROS.</t>
  </si>
  <si>
    <t>CDGRD INFORMA EN REPORTE DE BOMBEROS INFORMA QUE SE PRESENTO TRES INCENDIOS FORESTALES DE PEQUEÑA MAGNITUD, DESARROLLADOS EN LOS BARRIOS EL REPOSO, BELENCITO Y GONZALEZ CHAPARRO, CONTROLADOS EN SU TOTALIDAD A ESPERA DE MAS DATOS PARA AMPLIAR LA INFORMACION, NO SE REGISTRO AFECTACION DE PERSONAS O VIVIENDAS.</t>
  </si>
  <si>
    <t>CDGRD INFORMA SOBRE LAS 11:24 EN INMEDIACIONES ENTRE MELGAR Y NILO SE REGISTRA UN INCENDIO FORESTAL, SE ENCUENTRA EN LA ZONA BOMBEROS MELGAR, EL INCENDIO SE ENCUENTRA CERCA A LA VIA MELGAR - GIRARDOT EN EL SITIO LAS COLINAS ESTA APOYANDO DE IGUAL MANERA BOMBEROS GIRARDOT Y FUERZA AEREA, SE CALCULA QUE VAN CONSUMIDAS 35 HECTAREAS DE VEGETACION NATIVA CONTINUAN LABORES DE CONTROL DE AREAS CALIENTES</t>
  </si>
  <si>
    <t>CDGRD INFORMA SE PRESENTO INCENDIO ESTRUCTURAL EN LA IGLESIA HERMITA EVENTO ATENDIDO POR BOMBEROS IBAGUE SOLO DAÑO ESTRUCTURAL, NO LESIONADOS</t>
  </si>
  <si>
    <t>CDGRD REPORTA ATENCION A QUEMA DE COBERTURA DE SUELO DEL SECTOR DEL POLIDEPORTIVO 100 M2 EN RASTROJO AFECTADO SITUACION Y EVENTO ATENDIDO POR BOMBEROS DEL MUNICIPIO</t>
  </si>
  <si>
    <t>BOMBEROS NACIONAL REPORTA ATENCION A INCENDIO FORESTAL EN LA VIA LA CALERA AL MOMENTO CUERPO OFICIAL DE BOMBEROS DE BOGOTA EN CONTROL DEL 80% DEL EVENTO</t>
  </si>
  <si>
    <r>
      <t xml:space="preserve">02-01-2013 BOMBEROS NACIONAL REPORTA INCENDIO FORESTAL EN CAJICA A 1 KM DEL CORREGIMIENTO EN EL CERRO LA CUMBRE EN EL SITIO REALIZANDO ATENCION BOMBEROS TENJO, CAJICA, TABIO Y CHIA, SE ESPERA POSIBLEMENTE NO CONFIRMADO APOYO DE BOGOTA YA QUE LAS DIFICULTADES QUE SE HAN PRESENTADO ES LA LLEGADA DEL AGUA, CUNDINAMARCA DESPACHO EL APOYO CON CARROTANQUES QUE ESTAN PENDENTES EN ARRIVO </t>
    </r>
    <r>
      <rPr>
        <u/>
        <sz val="9"/>
        <rFont val="Arial"/>
        <family val="2"/>
      </rPr>
      <t>03-01-2013</t>
    </r>
    <r>
      <rPr>
        <sz val="9"/>
        <rFont val="Arial"/>
        <family val="2"/>
      </rPr>
      <t xml:space="preserve"> AL MOMENTO REPORTA LA DIRECCION NACIONAL DE BOMBEROS QUE SE REACTIVO EL INCENDIO FORESTAL EN EL CERRO DE LA CUMBRE AL MOMENTO EN ATENCION, CON DIFICULTADES EN EL ACCESO, REFIEREN APOYO AEREO CON AGUA, BOMBEROS DE IGUAL MANERA EN APOYO DEL INCENDIO</t>
    </r>
  </si>
  <si>
    <t>02-01-2013 CDGRD INFORMA A LA HORA SE REPORTA INCENDIO FORESTAL EN LA VEREDA EL ROSAL Y EN MIRAFLORES KM 2 VIA A GARAGOA, EL INCENDIO CONTINUA ACTIVO, AL MOMENTO ENTIDADES OPERATIVAS EN ATENCION AL EVENTO 03-01-2013 CDGRD INFORMA DE INCENDIO CONTROLADO EXTINGUIDO</t>
  </si>
  <si>
    <t>GRANIZADA</t>
  </si>
  <si>
    <t>REPORTA, D.C.C, INCENDIO FORESTAL, ACTIVO, EN EL BARRIO: LAS DELICIAS, SITUACIÓN EN DESARROLLO, ATIENDEN 10 VOLUNTARIOS DE LA D.C.C.</t>
  </si>
  <si>
    <t>REPORTA, CONSEJO MUNICIPAL DE ARMENIA, SE PRESENTÓ GRANIZADA CON FUERTES LLUVIAS, AFECTANDO LOS BARRIOS DE: BUENOS AIRES, CORBONES, LA FACHADA, MILAGRO DE DIOS, LA GRECIA, AFECTACIÓN EN REDES ELÉCTRICAS, APOYAN EMERGENCIA, CRUZ ROJA COLOMBIANA, D.C.C, BOMBEROS VOLUNTARIOS, CONSEJO MUNICIPAL.</t>
  </si>
  <si>
    <t>MARIO RODRÍGUEZ DEL CMGRD DE LA CALERA, REPORTA INCENDIO FORESTAL EN LA  VEREDA EL HATO PARAMO DE LAS MOYAS, INICIADO A LAS 15:00 HORAS DEL 02/01/13 Y EXTINGUIDO A LAS 10:00 HORAS DEL 03/01/12 CON AFECTACIÓN DE 2 HECTÁREAS DE VEGETACIÓN NATIVA Y 2 VEGETACIÓN DE PARAMO. ATENDIÓ BOMBEROS BOGOTÁ, CAR, CMGRD Y DEFENSA CIVIL DE LA CALERA</t>
  </si>
  <si>
    <t>SE PRESENTÓ INCENDIO FORESTAL,  VEREDA LOS CRISTALES, SE CONSUMIO UNA HECTÁREA DE MATAS DE GUADUA, SE DESCONOCE LOS MÓVILES QUE ORIGINARON ESTA EVENTUALIDAD DENTRO DE LAS ACCIONES TOMADAS POR LA DCC, LA JDC  BALBOA APOYA EMERGENCIA.</t>
  </si>
  <si>
    <t>NORTE DE SANTANDER</t>
  </si>
  <si>
    <t>ATLANTICO</t>
  </si>
  <si>
    <t>VENDAVAL</t>
  </si>
  <si>
    <t>CDGRD REPORTA INCENDIO FORESTAL EN ESTE MUNICIPIO VEREDA CENTRO CON AFECT5ACION EN 2,5 HECTARES CONTROLADO Y EXTINGUIDO APOYA COMUNIDAD, POLICIA Y BOMBEROS TUNJA.</t>
  </si>
  <si>
    <t>REPORTA CDGRD INCENDIO FORESTAL EN EL SECTOR DE PALERMO PASANDO EL PUENTE PUMAREJO SALIERON 2 MAQUINAS DE BOMBEROS DE SOLEDAD ATENDER INCIDENTE, AL MOMENTO EN SEGUIMIENTO.</t>
  </si>
  <si>
    <t>CAPITÁN IVÁN DARÍO VALENZUELA COORDINADOR DEPARTAMENTAL DE BOMBEROS DE CUNDINAMARCA, REPORTA INCENDIO FORESTAL EN LA INSPECCIÓN DE SUEVA INICIADO A LAS 14:00 HORAS, ATIENDE BOMBEROS GACHETA  Y COMUNIDAD, CONFIRMA CDGRD, AL MOMENTO EN SEGUIMIENTO Y PENDIENTE AFECTACION</t>
  </si>
  <si>
    <t xml:space="preserve">CDGRD REPORTA QUE EL DIA DE AYER SE ATENDI INCENDIO FORESTAL EN LA VEREDA MERCHAN BAJO, CON AFECTACION EN 1 HECTAREA DE PASTOS, ATIENDE DEFENSA CIVIL, POLICIA Y COMUNIDAD </t>
  </si>
  <si>
    <t>CDGRD REPORTA QUE EL DIA DE AYER SE PRESENTO INCENDIO FORESTAL EN LA VEREDA CHITAVITA CON AFECTACION EN 3 HECTAREAS DE VEGETACION NATIVA, ATENDIO POLICIA Y COMUNIDAD</t>
  </si>
  <si>
    <t>CAPITAN VÁN DARÍO VALENZUELA COORDINADOR DEPARTAMENTAL DE BOMBEROS DE CUNDINAMARCA, REPORTA INCENDIO FORESTAL EN LA VEREDA  GUARUMAL INICIADO A LAS 16:00 HORAS,  EXTINGUIDO A LAS 18:00 HORAS DEL DÍA 03/01/13 CON AFECTACIÓN DE 1 HECTÁREA DE RASTROJO BAJO, ATENDIÓ BOMBEROS GACHALA  Y COMUNIDAD.</t>
  </si>
  <si>
    <t>CT. JOSÉ MIGUEL SÁNCHEZ COMANDANTE DE BOMBEROS, REPORTA INCENDIO FORESTAL EN LA VEREDA PARAMO DE GUERRERO INICIADO A LAS 17:00 HORAS DEL 03/01/13 Y EXTINGUIDO A LAS 20:00 HORAS CON AFECTACIÓN DE 2 HECTÁREAS DE VEGETACIÓN NATIVA. ATENDIÓ BOMBEROS ZIPAQUIRÁ, CONFIRMA CDGRD</t>
  </si>
  <si>
    <t xml:space="preserve">MAURICIO RIVEROS DE LA DEFENSA CIVIL, MEDIANTE CORREO ELECTRÓNICO REPORTA INCENDIO FORESTAL INICIADO A LAS 18:20 Y EXTINGUIDO A LAS 22:30 HORAS DEL DÍA 03/01/13 CON AFECTACIÓN DE 3 HECTÁREAS ENTRE PASTIZALES, EUCALIPTO Y VEGETACIÓN NATIVA. ATENDIÓ BOMBEROS UBATE Y BRIGADA CAR, CONFIRMA CDGRD
</t>
  </si>
  <si>
    <t>REPORTA QUE EN LA FINCA PIPIRAL CERCA AL PEAJE VIA A BOGOTA SE PRESENTO UN INCENDIO FORESTAL, SIENDO CONTROLADO POR LA COMUNIDAD, SIN MAYOR AFECTACION, REPORTA CDGRD</t>
  </si>
  <si>
    <t>CDGRD REPORTA EN ESTE MUNICIPIO SE PRESNTO VENDAVAL  ATIENDE LAS ENTIDADES REALIZANDO EDAN, COMO RESULTADO AFECTADAS 2 VIVIENDAS EN SUS TECHOS, SE ENTREGARAN TEJAS PARA LA REPARACION DE LAS MISMAS.</t>
  </si>
  <si>
    <t xml:space="preserve">REPORTA EL CDGRD INCENDIO ESTRUCTURAL EN EL CORREGIMIENTO DE CUATRO VIENTOS, UNA CASETA DE VENTA DE GASOLINA VENEZOLANA, FUE CONTROLADO CON EXTINTORES POR LA COMUNIDAD, NO SE PRESENTARON LESIONADOS </t>
  </si>
  <si>
    <t>ANTIOQUIA</t>
  </si>
  <si>
    <t>04-01-2013 20:43 CDGRD REPORTA EN HORAS DE LA TARDE INCENDIO FORESTAL EN ESTE MUNICIPIO SECTOR HACIENDA LA ESTRELLA, AL MOMENTO QUE SE PROPAGA CON GRAN FUERZA APOYA BOMBEROS VENADILLO, COMUNIDAD, Y EN DESPLAZAMIENTO BOMBEROS LIBANO, EN SEGUIMIENTO.04-01-2013 22:00 CDGRD INFORMA DE CONTROL TOTAL DE INCENDIO FORESTAL A LAS 20:30 EN EL MUNICIPIO DE VENAILLA EN LA FINCA LA ESTRELLA, DEJO COMO DAÑO 12 HECTAREAS DE PASTO Y BOSQUE EVENTO ATENDIDO POR BOMBEROS DE LA ZONA Y ENTIDADES PERTINENTES</t>
  </si>
  <si>
    <t>04-01-2013 18:35 CDGRD REPORTA SOBRE LAS 18:30 SE PRESENTA INCENDIO ESTRUCTURAL EN EL CENTRO DE LA CIUDAD EN LA CARRERA 5 POR CALLE 8, SALE ATENDER BOMBEROS ES UN EDIFICIO DONDE FUNCIONA UNA DROGUERIA, PENDIENTE TOTAL AFECTACION. 04-01-2013 22:13 INFORMA CDGRD SOLO SE PRESENTAN DAÑOS Y PERDIDAS MATERIALES LAS CAUSA FUERON POR CORTO CIRCUITO SE VIERON AFECTADOS 2 LOCALES NO LESIONADOS EN EL SITIO EVENTO ATENDIDO POR BOMBEROS NEIVAY UNA AMBULANCIA DE DEFENSA CIVIL EN EL SITIO</t>
  </si>
  <si>
    <t>CDGRD CALDAS Y TOLIMA INFORMAN DE ACCIDENTE DE TRANSITO PRESENTADO EN CERRO BRAVO VIA MANIZALES, INVOLUCRADO BUS AFILIADO A LA EMPRESA ARAUCA EN DONDE SE PRESENTAN 33 HERIDOS 9 FALLECIDOS, LLEVADOS A LOS HOSPITALES DE MANIZALES Y FRESNO BUS DE PLACAS SKI 756, EVENTO ATENDIDO POR BOMBEROS MANIZALES Y FRESNO, AMBULANCIAS DE MANIZALES Y FRESNO PENDIENTE MAS DATOS</t>
  </si>
  <si>
    <t>INFORMA, COMANDANTE DE BOMBEROS DE YOPAL, CP. JOSÉ GONZALEZ, SE PRESENTÓ INCENDIO FORESTAL, NOCHE ANTERIOR, EL CUAL FUE EXTINGUIDO, DURANTE LA MADRUGADA DEL DÍA DE HOY, DEJANDO UNA AFECTACIÓN DE 4 HECTÁREAS DE: PASTO Y SABANA.</t>
  </si>
  <si>
    <t xml:space="preserve"> REPORTA CDGRD Y EL CUERPO DE BOMBEROS QUE A LAS 10:40 HORAS SE PRESENTÓ INCENDIO FORESTAL, EL CUAL YA FUE EXTINGUIDO, AFECTANDO 7 HECTÁREAS DE BOSQUES EN EL SECTOR DE LA VEREDA AGUA BONITA A 600 METROS DE LA REPRESA DONDE SE RECOGE EL AGUA PARA CONSUMO DEL MUNICIPIO.
SIENDO LAS 16:00 HORAS SE PRESENTÓ INCENDIO FORESTAL  CON LA QUEMA DE DOS HECTÁREAS DE BOSQUES EN LOS ALREDEDORES DEL AEROPUERTO LOCAL.
A LAS 17:30 HORAS SE PRESENTÓ INCENDIO EN EL KILÓMETRO 5 VÍA A ECOPETROL CON LA QUEMA DE DOS HECTÁREAS DE BOSQUES, TODOS CONTROLADOS SIN NOVEDAD Y SIN AFECTACIÓN DE VIVIENDAS O PERSONAS
</t>
  </si>
  <si>
    <t xml:space="preserve"> REPORTA CDGRD Y EL CUERPO DE BOMBEROS QUE A LAS 13:30 HORAS SE PRESENTÓ INCENDIO FORESTAL, EL CUAL YA FUE EXTINGUIDO, SE CONSUMIERON:  4 HECTÁREAS DE BOSQUES EN  SECTOR DE LA VEREDA CAMPO DURO. </t>
  </si>
  <si>
    <t>REPORTA, CDGRD  Y  LA CENTRAL DE COMUNICACIONES DE LA POLICÍA NACIONAL DE SANTANDER QUE A LAS 16:30 HORAS SE PRESENTÓ INCENDIO FORESTAL, EL CUAL YA FUE EXTINGUIDO, DEJANDO 1 HECTÁREA DE BOSQUE, AFECTADA, EN EL SECTOR DE LA VEREDA BUENA VISTA SECTOR CENTRO ASURE.</t>
  </si>
  <si>
    <t>EL DIRECTOR SECCIONAL, D.C.C. INFORMA  EN EL MUNICIPIO DE BELÉN DE UMBRÍA, VEREDA: EL PORVENIR SE PRESENTÓ, INCENDIO FORESTAL DE CAPA VEGETAL, EL CUAL YA FUE EXTINGUIDO, SE  CONSUMIO 1 HECTÁREA  DE RASTROJO, DENTRO DE LAS ACCIONES TOMADAS POR LA DCC, LA JDC DE BELÉN DE UMBRÍA APOYO ESTA EMERGENCIA.</t>
  </si>
  <si>
    <t>INFORMA, COMANDANTE DE BOMBEROS DE YOPAL, CP. JOSÉ GONZALEZ, SE PRESENTÓ, INCENDIO FORESTAL,EN EL PARQUE LA IGUANA, EL CUAL FUE EXTINGUIDO, AFECTANDO, 1 HECTÁREA DE: PASTO.</t>
  </si>
  <si>
    <t>INCENDIO FORESTAL, EXTINGUIDO EN LA VEREDA: LA HUERTA, SE  CONSUMIERON: 5 HECTÁREAS DE BOSQUE NATIVO, APOYA, D.C.C, BOMBEROS DE SIMIJACA.</t>
  </si>
  <si>
    <t>INCENDIO FORESTAL, EXTINGUIDO, EN LA VEREDA: EL ROCIO, SE CONSUMIO, 1 HECTÁREA DE VEGETACIÓN NATIVA, APOYO POLICIA Y COMUNIDAD.</t>
  </si>
  <si>
    <t>MAGDALENA</t>
  </si>
  <si>
    <t>CDGRD REPORTA SE PRESENTO INCENDIO FORESTAL EN LA VEREDA LA PLAYA EL DIA 04-01-2013 ATIENDE PONAL, COMUNIDAD, AFECTACION EN 3 VIVIENDAS, Y 50 HECTAREAS DE VEGETACION NATIVA, EN SEGUIMIENTO ESTADO.</t>
  </si>
  <si>
    <t>CDGRD REPORTA EL DIA DE HOY SE PRESENTO INCENDIO FORESTAL EN LA VEREDA LOS VALLES, CON AFECTACION EN 3 HECTAREAS DE PASTOS, ATENDIO PONAL Y COMUNIDAD, SIENDO CONTROLADO Y EXTINGUIDO.</t>
  </si>
  <si>
    <t xml:space="preserve">CDGRD REPORTA SE PRESENTO INCENDIO FORESTAL EN LA VEREDA DIRAVITA ALTO, CON AFECTACION EN 2 HECTAREAS DE VEGETACION NATIVA, ATENDIO PONAL Y COMUNIDAD, SIENDO CONTROLADO Y EXTINGUIDO. </t>
  </si>
  <si>
    <t>CDGRD REPORTA EL INCENDIO FORESTAL QUE SE PRESENTO CERCA AL CENTRO MINERO EN MORCA, DEJO AFECTACION EN 5 HECTAREAS DE VEGETACION NATIVA, ATENDIO BOMBEROS SIENDO CONTROLADO Y EXTINGUIDO</t>
  </si>
  <si>
    <t>CDGRD REPORTA SE PRESENTO INCENDIO FORESTAL EN LA VEREDA LAGUNILLA, DEJANDO AFECTACION EN 4 HECTAREAS DE VEGETACION NATIVA, ATIENDE BOMBEROS SIENDO CONTROLADO Y EXTINGUIDO</t>
  </si>
  <si>
    <t xml:space="preserve">CDGRD REPÓRTA SE PRESENTO INCENDIO FORESTAL EN LA VEREDA MONQUIRA, CON AFECTACION EN 0,5 HECTAREAS DE VEGETACION NATIVA ATIENDE EL CUERPO DE BOMBEROS, SIENDO CONTROLADO Y EXTINGUIDO. </t>
  </si>
  <si>
    <t>CDGRD REPORTA SE PRESENTO SOBRE LAS  19:30 INCENDIOS FORESTALES EN LOTES BALDÍOS DE LOS BARRIOS ELOY VALENZUELA Y PARTE DEL BARRIO DE ALDEA ALTA, ATIENDE ORGANISMOS DE SOCORRO SIENDO CONTROLADOS, SIN NOVEDAD, SIN AFECTACIÓN DE VIVIENDAS Y PERSONAS.</t>
  </si>
  <si>
    <t>CDGRD INFORMA QUE SOBRE LAS 15:30 HORAS EN EL BARRIO DON BOSCO, SECTOR NORTE,  INCENDIO FORESTAL DE 100 METROS CUADRADOS DE BAMBÚES. EN EL APOYO DE VOLUNTARIOS, PERDIÓ EL EQUILIBRIO Y CAYO A UN ABISMO EL SEÑOR VÍCTOR JULIO RINCÓN FAJARDO CC. 13510.604 DE BUCARAMANGA DE 37 AÑOS QUIEN FUE RESCATADO POR FUNCIONARIOS DE LA DEFENSA CIVIL Y LLEVADO A LA CLÍNICA COMUNEROS.  PRESENTA LACERACIONES Y GOLPES POR DIFERENTES PARTES DEL CUERPO.</t>
  </si>
  <si>
    <t>BOMBEROS DE FUNDACION REPORTA QUE EN LA VIA FUNDACION-CIENEGA CERCA A LA BASE MILITAR TUCURINCA EN HORAS DE LA TARDE SE PRESENTO INCENDIO FORESTAL AFECTANDO 4 HECTAREAS DE VEGETACION, APOYO BOMBEROS DE ARACATACA Y COMUNIDAD QUEDANDO CONTROLADO Y EXTINGUIDO.</t>
  </si>
  <si>
    <t>CDGRD REPORTA QUE SE PRESENTO INCENDIO ESTRUCTURAL EN LA VEREDA MARMAJA EL CUAL FUE PROVOCADO POR DESCONOCIDOS, DEJANDO UNA FAMILIA AFECTADA LA CUAL ESTA COMPUESTA POR 3 MENORES Y 2 ADULTOS, AL MOMENTO SE ENCUENTRAN EN CENTRO ASISTENCIAL DE CHAPARRAL.</t>
  </si>
  <si>
    <t>INCENDIO FORESTAL, EXTINGUIDO, EN LA VEREDA CHICUA, PENDIENTE AFECTACIÓN. INFORMO CDGRD, DR. LUIS HERNANDO RAMIREZ.</t>
  </si>
  <si>
    <t>CDGRD REPORTA, INCENDIO FORESTAL, EXTINGUIDO, EN LA VEREDA PIEDRA GRANDE, PENDIENTE  AFECTACION.</t>
  </si>
  <si>
    <t>CDGRD, INFORMA INCENDIO FORESTAL, EXTINGUIDO, ENTRE LOS MPIOS DE: PUERTO LOPEZ  Y  PUERTO GAITÁN, KM:56, VEREDA: LA MONGA, FINCA: HATO GRANDE, SE CONSUMIERON: 400 HECTÁ</t>
  </si>
  <si>
    <t>INFORMA, SOCORRO NACIONAL Y SARGENTO AYALA DE PONAL, SE PRESENTA  INCENDIO FORESTAL, ENTRE LOS MPIOS DE TUNJA Y MOTAVITA, SE HAN CONSUMIDO: 4 HECTÁREAS DE PASTO.</t>
  </si>
  <si>
    <t xml:space="preserve">CDGRD REPORTA, INCENDIO FORESTAL, EXTINGUIDO, EN LA VÍA QUE DE GIRÓN  A ZAPATOCA, EN EL CORREGIMIENTO: EL CORREGIDOR VEREDAS: EL PANTANO Y  LLANADAS CON AFECTACIÓN AL MOMENTO DE:30 HECTAREAS,  DE BOSQUES Y PASTOS, APOYARON EMERGENCIA, 2 MAQUINAS DE BOMBEROS DE BUCARAMANGA, DEFENSA CIVIL, POLICÍA METROPOLITANA DE BUCARAMANGA, PERSONAL DE SOLDADOS DE LA QUINTA BRIGADA Y PERSONAS VOLUNTARIAS. </t>
  </si>
  <si>
    <t>INFORMA CDGRD, DE NORTE DE SANTANDER, INCENDIO FORESTAL, EXTINGUIDO, SECTOR. CRISTO REY, SE CONSUMIERON: 5 HECTÁREAS DE VEGETACIÓN NATIVA, APOYARON EMERGENCIA: POLICIA, EJERCITO, BOMBEROS, D.C.C.</t>
  </si>
  <si>
    <t>DEFENSA CIVIL SECCIONAL BOYACÁ INFORMA QUE ATENDIERON INCENDIO FORESTAL EN EL MUNICIPIO DE SUTAMARCHAN VEREDA APOSENTOS DONDE SE QUEMARON 5 HECTAREAS DE VEGETACIÓN PARTICIPARON 5 LIDERES VOLUNTARIOS</t>
  </si>
  <si>
    <t xml:space="preserve">EN EL CASCO URBANO DE ESTE MUNICIPIO SE PRESENTO UN INCENDIO FORESTAL SECTOR EL MIRADOR DEL CRISTAL , AFECTADAS 5 HECTAREAS, APOYARON 20 VOLUNTARIOS DE DCC </t>
  </si>
  <si>
    <t>INCENDIO FORESTAL, ACTIVO, VEREDAS: QUEBRADA DEL SANTO, EL GUAMITO, APOYAN EMERGENCIA: BOMBEROS DE: LOS SANTOS, FLORIDABLANCA, POLICIA, COMUNIDAD, INFORMO CDGRD.DE SANTANDER.</t>
  </si>
  <si>
    <t>INCENDIO FORESTAL, EXTINGUIDO, VEREDA: QUINDIO, SE CONSUMIERON 3  HECTÁREAS DE: BOSQUE, INFORMO CDGRD.</t>
  </si>
  <si>
    <t>INCENDIO FORESTAL, EXTINGUIDO, VEREDA: TULI, SE CONSUMIERON 2 HECTÁREAS DE: BOSQUE, INFORMO CDGRD.</t>
  </si>
  <si>
    <t xml:space="preserve">INCENDIO FORESTAL, EXTINGUIDO, REPORTA POLICÍA DE SANTANDER QUE A LAS 11:00 HORAS SE PRESENTÓ INCENDIO FORESTAL, AFECTANDO: 5 HECTÁREAS DE BOSQUES VEREDA VILLA PAZ FINCAS LA ESTERLINA Y ESPERANZA SECTOR TRINCHERAS, VÍA RÍO NEGRO SAN ALBERTO CONTROLADO SIN NOVEDAD. </t>
  </si>
  <si>
    <t>INFORMA CDGRD DE ANTIOQUIA, INCENDIO FORESTAL, EXTINGUIDO EN LA VEREDA: TABLAZA, LIMITES CON EL MPIO DE CIUDAD BOLIVAR, SE  CONSUMIERON 40 HECTÁREAS ,APOYARON BOMBEROS Y COMUNIDAD.</t>
  </si>
  <si>
    <t>INFORMA CDGRD, INCENDIO FORESTAL, EXTINGUIDO,  VEREDA:  LA ESTRELLA MIRAVALLE, SE CONSUMIERON: 7 HECTÁREAS</t>
  </si>
  <si>
    <t>INCENDIO FORESTAL, EXTINGUIDO, VÍA ANSERMA- CALDAS, SE CONSUMIERON 6 CUADRAS DE CAÑA DE AZUCAR, INFORMO CDGRD.</t>
  </si>
  <si>
    <t>INFORMA D.C.C., REPORTA FUNCIONARIO MAURICIO RIVEROS DE LA SECCIONAL CUNDINAMARCA,  INCENDIO FORESTAL, EXTINGUIDO, EN LA VEREDA BOJARÁ AFECTANDO  6 HECTÁREAS DE CULTIVO DE CAÑA . PARTICIPAN EN OPERACION 8 LIDERES VOLUNTARIOS DCC DURANTE 6 HORAS.</t>
  </si>
  <si>
    <t>INFORMA, CP. VALENZUELA, INCENDIO FORESTAL,EXTINGUIDO EN LA VEREDA: SAN ISIDRO, SE  CONSUMIERON: 15 HECTÁREAS, APOYAN BOMBEROS DE. VILLETA Y GUADUAS.</t>
  </si>
  <si>
    <t>INFORMA, CDGRD DEL TOLIMA, INCENDIO FORESTAL, EXTINGUIDO FINCA CAMPO ALEGRE,  EN LA VÍA VENADILLO- LERIDA,  SE CONSUMIERON: 5 HECTÁREAS DE PASTO, APOYARON: BOMBEROS VENADILLO, D.C.C, PONAL.</t>
  </si>
  <si>
    <t>SOCORRO NACIONAL, INFORMA INCENDIO FORESTAL, ACTIVO, SECTOR. ALTO DE MANZANILLOS, ENTIDADES OPERATIVAS EN DESPLAZAMIENTO.</t>
  </si>
  <si>
    <t>EXPLOSION</t>
  </si>
  <si>
    <t>CDGRD REPORTA EXPLOSION EN MINA DE CARBON EN LA VEREDA LA ESPERANZA EN EL MUNICIPIO DE PAIPA, LA MINA DE NOMBRE ACASIAS, COMO SALDO AL MOMENTO 3 MINEROS ATRAPADOS Y UNO MAS RESCATADO CON VIDA QUE INTENTO SOCORRER A LOS 3 MINEROS ATRAPADOS QUE FUE SACADA DE LA MINA Y RECIBE, ATENCION ASISTENCIAL, LOS OTROS TRES MINEROS DE NOMBRE JOSE OCHOA, LEONEL OCHOA CARO Y MARCELA GRANADOS FUERON RESCATADOS LOS CUERPOS DELOS 3 MINEROS ATRAPADOS SOBRE LAS 18:46 POR EL GRUPO DE SALVAMENTO MINERO, APOYO EN EL SITIO DE IGUAL MANERA BOMBEROS Y DEFENSA CIVIL.</t>
  </si>
  <si>
    <t>POR PARTE DE LA SALA DE CRISIS SE RECIBE INFORMACION DE INCENDIO FORESTAL ACTIVO POR CONFIRMAR DE PARTE DEL CDGRD PENDIENTE A MAS INFORMACION</t>
  </si>
  <si>
    <t>CDGRD REPORTA ATENCION A INCENDIO FORESTAL POR PARTE DE BOMBEROS DEL MUNICIPIO EN EL BARRIO FORTUNATO GAVITRIA, INCENDIO PROVOCADO POR UN HABITANTE DE LA CALLE EL CUAL FUE CONTROLADO DAÑO DE APROXIMADAMENTE 30 M2</t>
  </si>
  <si>
    <t>CDGRD REPORTA ATENCION A QUEMA FORESTAL EN EL SECTOR DEL ESTADIO EL CENTENARIO EVENTO QUE FUE SUPERADO SOBRE LAS 14:23 POR PARTE DE BOMBEROS Y QUE NUEVAMENTE SE PRESENTA SOBRE LAS 18:50 QUE DE IGUALMANERA CONTROLADO POR BOMBEROS PENDIENTE DATO DE AFECTACION</t>
  </si>
  <si>
    <t>SE PRESENTA UN INCENDIO FORESTAL EN LA VEREDAD DE EL CARMEN CONSUMIENDO 2 HECTAREAS DE VEGETACION NATIVA, FUE CONTROLADO POR BOMBEROS.</t>
  </si>
  <si>
    <t>SE PRESENTA UN INCENDIO FORESTAL EN LA VEREDAD  EL NAZARETH  CONSUMIENDO 6 HECTAREAS DE VEGETACION NATIVA, FUE CONTROLADO POR BOMBEROS.</t>
  </si>
  <si>
    <t>REPORTA POLICÍA DE SANTANDER QUE A LAS 15:00 HORAS SE PRESENTÓ INCENDIO FORESTAL DE 1 HECTÁREAS DE BOSQUES VEREDA LA CACICA - FINCA POLEO CONTROLADO SIN NOVEDAD Y SIN AFECTACIÓN DE VIVIENDAS CULTIVOS O PERSONAS</t>
  </si>
  <si>
    <t>REPORTA POLICÍA DE SANTANDER QUE A LAS 11:00 HORAS SE PRESENTÓ INCENDIO FORESTAL DE 1 HECTÁREAS DE BOSQUES VEREDA ARENAL  EL ALTO - FINCA EL PORVENIR CONTROLADO SIN NOVEDAD Y SIN AFECTACIÓN DE VIVIENDAS CULTIVOS O PERSONAS</t>
  </si>
  <si>
    <t>INFORMA CDGRD DE BOYACA, INCENDIO FORESTAL, ACTIVO, VEREDA: GUATICA, APOYAN EMERGENCIA: D.C.C, PONAL, EJERCITO.</t>
  </si>
  <si>
    <t>INCENDIO FORESTAL, EXTINGUIDO, PENDIENTE AFECTACIÓN, APOYARON: D.C.C, PONAL, COMUNIDAD.</t>
  </si>
  <si>
    <t>INCENDIO FORESTAL, ACTIVO,VEREDA: COMEZA BAHO,  PENDIENTE AFECTACIÓN, APOYAN: D.C.C, PONAL, COMUNIDAD.</t>
  </si>
  <si>
    <t>INCENDIO FORESTAL, EXTINGUIDO, VEREDA: MIRABAL, SE CONSUMIO: 0,5  HECTÁREA DE VEGETACIÓN NATIVA,  APOYARON: D.C.C, PONAL, COMUNIDAD.</t>
  </si>
  <si>
    <t>INCENDIO FORESTAL, ACTIVO, VÍA PACHO, INFORMO, CP. VALENZUELA</t>
  </si>
  <si>
    <t>INCENDIO FORESTAL, ACTIVO, VÍA UBALA, INFORMO, CP. VALENZUELA</t>
  </si>
  <si>
    <t>INFORMA CDGRD, FERNANDO RODRÍGUEZ COMANDANTE DE BOMBEOS FUNZA, REPORTA INCENDIO FORESTAL 3 KILÓMETROS DELANTE DE MONDOÑEDO JURISDICCIÓN DE BOJACA, INICIADO A LAS 10:30 Y EXTINGUIDO A LAS 14:00 HORAS CON AFECTACIÓN DE 5 HECTÁREAS DE VEGETACIÓN NATIVA. ATENDIÓ BOMBEROS FUNZA.</t>
  </si>
  <si>
    <t>INFORMA, CDGRD, JIMMY MUÑOZ  SECRETARIO DE PLANEACIÓN DE CACHIPAY, REPORTA INCENDIO FORESTAL, VEREDA: SAN ANTONIO ALTO, SITIO ALTO DEL MOHAN,  INICIADO A LAS 19:30 HORAS DEL 07/01/13 Y EXTINGUIDO A LAS 12:00 HORAS DEL 08/01/13 CON AFECTACIÓN DE 50 HECTÁREAS ENTRE VEGETACIÓN NATIVA, PASTIZALES Y CHARRASCO.   ATENDIÓ POLICÍA, DEFENSA CIVIL, CAR, CMGRD Y COMUNIDAD.</t>
  </si>
  <si>
    <t>CDGRD, INFORMA, MAURICIO RIVEROS DE LA DEFENSA CIVIL SECCIONAL, INCENDIO FORESTAL EN LA VEREDA LA CHORRERA  CON AFECTACIÓN DE 5 HECTÁREAS DE BOSQUE NATIVO,  INICIADO A LAS 13:00 Y EXTINGUIDO A LAS 18:00 HORAS, ATENDIÓ DEFENSA CIVIL, CMGRD Y LA COMUNIDAD.</t>
  </si>
  <si>
    <t>INFORMA,  CDGRD,  INCENDIO FORESTAL, SECTOR: CHAGUALITO, SOLICITA, APOYO ALCALDESA.</t>
  </si>
  <si>
    <t>INCENDIO FORESTAL, EXTINGUIDO, AUTOPISTA MEDELLIN, SE CONSUMIERON: 7 HECTÁREAS DE: PASTO. INFORMO CDGRD.</t>
  </si>
  <si>
    <t>INFORMA, CDGRD, INCENDIO FORESTAL, ACTIVO, VEREDAS: LIMÓN Y GUADALEJO.</t>
  </si>
  <si>
    <t>INFORMA, CDGRD, INCENDIO FORESTAL, ACTIVO, VEREDAS: ECHAVARRIA, SE DIRIJEN AL SITIO, BOMBEROS.</t>
  </si>
  <si>
    <t>CDGRD, INFORMA INCENDIOS FORESTALES, ACTIVOS, DESDE LAS 14:HORAS, SECTORES: GOLONDRINAS, ALTOS DE SANTA ELENA, MELENDEZ, APOYAN BOMBEROS.</t>
  </si>
  <si>
    <t>INFORMA, POLICIA, INCENDIO FORESTAL, ACTIVO, VEREDA: ALTO DEL OSO, VISIBLE DESDE FILANDIA, APOYAN BOMBEROS.</t>
  </si>
  <si>
    <t>INFORMA CDGRD, VENDAVAL, AFECTANDO EL SECTOR AGROPECUARIO, 40 HECTÁREAS AFECTADAS DE: CULTIVOS DE PLÁTANO, YUCA, FRIJOL Y MAIZ.</t>
  </si>
  <si>
    <t>SOCORRO NACIONAL, INFORMA INCENDIO FORESTAL, ACTIVO, BATALLÓN TURQUE, APOYA EJERCITO, BOMBEROS, D.C.C. INFORMA, CDGRD, INCENDIO FORESTAL, EXTINGUIDO, EN EL BATALLÓN TARQUI, PENDIENTE AFECTACIÓN, APOYO EJERCITO.</t>
  </si>
  <si>
    <t>CDGRD REPORTA QUE SE PRESENTO INCENDIO ESTRUCTURAL SOBRE LAS 18:32 EN EL BARRIO LA FLORESTA, NO SE REGISTRARON LESIONADOS, FUE CONTROLADO POR BOMBEROS.</t>
  </si>
  <si>
    <t>CDGRD, INFORMA, FUERTOS VIENTOS, BARRIO, PALMARES DEL RECREO, AFECTACIÓN EN 12 VIVIENDAS, CONTINUAN REALIZANDO, EDAN. CDGRD REPÓRTA AFECTACION DE VENDAVAL EN EL BARRIO LOS PALMARES DEL RECREO, APOYA CMGDR CENSO, COMO RESULTADO SON 8 FAMILIAS, 30 PERSONAS BENEFICIADAS CON 64 TEJAS DE ASBESTO</t>
  </si>
  <si>
    <t>INFORMA CDGRD, VENDAVAL Y GRANIZADA PRESENTE EN EL MUNICIPIO DE CARTAGO, ESPECIFICAMENTE EN EL SECTOR DEL BARRIO ROBERTULIO LORA, SITUACION QUE DEJO A 23 FAMILIAS AFECTADAS, LAS CUALES PERDIERON TOTALMENTO LOS TECHOS DE LAS VIVIENDAS.</t>
  </si>
  <si>
    <t>BOMBEROS REPORTA INCENDIO FORESTAL EN EL BARRIO EL POLVORÍN, INCENDIO QUE HA SIDO CONTROLADO 2 VECES, LO QUE PREOCUPA ES QUE HAY VIVIENDAS MUY CERCA DEL SITIO. REPORTA BOMBEROS PALOCABILDO CONTROLADO EL INCENDIO A LAS 20.30 Y QUEDARON CONSUMIDAS 4 HECTAREAS DE RASTROJOS.</t>
  </si>
  <si>
    <t>EL DIA 6 DE ENERO SE PRESENTO UN IF EN EL BARRIO  LAS AMERICAS AFECTANDO A 1 HECTAREA , CONTROLADO EL MISMO DIA, ATENDIO EMERGENCIA BOMBEROS VOLUNTARIOS.</t>
  </si>
  <si>
    <t xml:space="preserve">SE PRESENTA EN ESTE MOMENTO CONFLAGRACIÓN EN UNA FÁBRICA DE ICOPOR EN LA BARRIO CHINGUI DE ENVIGADO EN EL MOMENTO EN EL SITIO SE ENCUENTRAN BOMBEROS ENVIGADO APOYADOS POR BOMBEROS DEL MUNICIPIO DE LA ESTRELLA </t>
  </si>
  <si>
    <t>CDGRD REPORTA INCENDIO FORESTAL EN LAS VEREDAS POTOSI Y SAN ANTONIO, ESTA PENDIENTE AFECTACION Y ESTADO.</t>
  </si>
  <si>
    <t>CDGRD REPORTA INCENDIO FORESTAL EN LA VEREDA BOYACOGUA ATIENDE DEFENSA CIVIL , PENDIENTE AFECTACION, AL MOMENTO CONTROLADO Y EXTINGUIDO</t>
  </si>
  <si>
    <t>CDGRD REPORTA INCENDIO FORESTAL EN LA VEREDA MONTEREDONDO PENDIENTE AFECTACION, EN SEGUIMIENTO.</t>
  </si>
  <si>
    <t>BOMBEROS FUNDACION REPORTA INCENDIO FORESTAL EN INMEDIACIONES DE LOS MUNICIPIOS DE FUNDACION Y ARACATACA, YA FUE ATENDIDO, PENDIENTE AFECTACION.</t>
  </si>
  <si>
    <t>CDGRD REPORTA LOS INCENDIOS PRESENTADOS HOY EN MEDELLIN FUERON EN LOS SECTORES DE MANZANILLO, SAN ANTONIO, VEREDA EL UVITO, PARQUE ARVI, ESTE ULTIMO COMO EL MAS GRANDE, BOMBEROS GUARNE ATIENDE, INCENDIO FORESTAL CONTROLADO Y EXTINGUIDO, EL DIA DE MAÑANA REPORTARAN AREA DE AFECTACION.</t>
  </si>
  <si>
    <t>18: 10 BOMBEROS REPORTA INCENDIO ESTRUCTURAL EN EL BARRIO LAS FERIAS EN LA CALLE 70 CON 68, EN EL PRIMER PISO DE UNA BODEGA DE MADERA, AL  MOMENTO CON 4 PACIENTES ATENDIDOS, 1 CRITICO, 3 MAS CON QUEMADURAS DE PRIMER GRADO,  5 MAQUINAS DE BOMBEROS EN EL SITIO, ENTIDADES PRESENTES, CTI, BOMBEROS OFICIALES</t>
  </si>
  <si>
    <t>CDGRD REPORTA INCENDIO ESTRUCTURAL EN ESTE MUNICIPIO EN LA AUTOPISTA MEDELLIN-BOGOTA KILOMETRO 5, INVOLUCRADAS PLANTA DE TRATAMIENTO DE AGUA EMPRESAS PUBLICAS DE MEDELLIN Y CULTIVO DE PINOS,AL MOMENTO NO LESIONADOS, BOMBEROS BELLO ATIENDE, AL MOMENTO INCENDIO CONTROLADO, PENDIENDE AFECTACION.</t>
  </si>
  <si>
    <t xml:space="preserve">INCENDIO FORESTAL A LAS 7. 00 AM. HASTA LA 9: 00 AM. DEL DÍA DE HOY 9-01-2013, EN LA VÍA QUE DE OVEJAS CONDUCE LA MUNICIPIO DE CHALÁN, RESULTANDO AFECTADAS 5 HECTAREAS DE VEGETACIÓN. LA DEFENSA CIVIL CON 15 LÍDERES VOLUNTARIOS DE LA JUNTA DEFENSA CIVIL DE OVEJAS PROCEDIÓ A ATENDER LA EMERGENCIA HASTA SU CONTROL TOTAL.
</t>
  </si>
  <si>
    <t xml:space="preserve">INCENDIO FORESTAL A PARTIR DE LAS 13: 00 HASTA LAS 15 HORAS DEL 9-01-2013, EN EL MUNICIPIO DE CICUCO BOLÍVAR, RESULTANDO AFECTADA 1 HECTÁREA DE VEGETACIÓN. LA DEFENSA CIVIL CON EL APOYO DE UN COMITÉ DEL GRUPO DEFENSA CIVIL DE  CICUCO  Y APOYO DE OPERARIOS DE LA EMPRESA OCENSA PROCEDIERON A  SU CONTROL TOTAL. </t>
  </si>
  <si>
    <t xml:space="preserve">INCENDIO FORESTAL DE CAPA VEGETAL A PARTIR DE LAS 16: 00 HORAS DEL 09-01-2013 EN EL M/PIO DE QUINCHIA, VEREDAS VILARICA RICA Y BUENOS AIRES, RESULTANDO 1 HECTAREA DE RASTROJO AFECTADA POR EL FUEGO. PARTICIPARON 10 LIDERES DCC. DURANTE 1 HORA. </t>
  </si>
  <si>
    <t xml:space="preserve">INCENDIO FORESTAL DE CAPA VEGETAL A PARTIR DE LAS 17: 00 HORAS DEL 09-01-2013 EN EL M/PIO DE PEREIRA, CORR/TO EL CRUCERO DE COLOMBIA, RESULTANDO 1 HECTAREA AFECTADA POR EL FUEGO. PARTICIPARON 5 LIDERES DCC. DURANTE 1 HORA. </t>
  </si>
  <si>
    <t>MY. IVÁN DARÍO VALENZUELA COORDINADOR DEPARTAMENTAL DE BOMBEROS DE CUNDINAMARCA, REPORTA INCENDIO FORESTAL EN LA FINCA DEL SEÑOR ANDRES CANTILLO, INICIADO A LAS 22:00 HORAS DEL 07/01/13 Y EXTINGUIDO A LAS 16:30 HORAS DEL 08/01/13 CON AFECTACIÓN DE  4  HECTÁREAS DE BOSQUE PLANTADO (PINO RESINOSO). ATENDIÓ BOMBEROS ZIPA, POLICÍA Y CMGRD.</t>
  </si>
  <si>
    <t>A LA HORA POR RED DISTRITAL REPORTAN QUE SE ESTÁ PRESENTANDO UN INCENDIO FORESTAL EN EL CERRO DE GUADALUPE, AL SITIO SE DESPLAZAN LOS BOMBEROS</t>
  </si>
  <si>
    <t>EL CDGRD REPORTA INCENDIO FORESTAL  CON QUEMAS DE RASTROJO Y PASTIZALES, CONTROLADO A LA HORA.</t>
  </si>
  <si>
    <t>CDGRD REPORTA QUE EL CUERPO DE BOMBEROS ESTA APAGANDO INCENDIO FORESTAL EN EL CORREGIMIENTO DE MINAS DE IRACAL, SE HA DIFICULTADO LA LABOR YA QUE LOS VIENTOS SON FUERTES APROXIMAN HECTAREAS EN 10, SEGUIMIENTO A ESTADO.</t>
  </si>
  <si>
    <t>CDGRD REPORTA REACTIVACION DE INCENDIO FORESTAL  EL ESTE MUNICIPIO CORREGIMIENTO LAS PALMAS Y FINCA MAQUENCAL BOMBEROS APOYA LABOR PARA CONTROL Y EXTINCION DEL MISMO, EN SEGUIMIENTO</t>
  </si>
  <si>
    <t>REPORTA DIRECTOR SECCIONAL SANTANDER: EXTINCIÓN HOY 10-01-2013 A LAS 18. 00 HORAS, DEL INCENDIO FORESTAL OCURRIDO EL 7-01-2013 A PARTIR DE LAS 09:00 HORAS EN EL MUNICIPIO DE GIRÓN, SECTOR PLANADAS, DEJANDO 900 HECTÁREAS QUEMADAS. PARTICIPARON FINALMENTE 90 LIDERES DCC DURANTE 81 HORAS, REPORTA CARLOS GUTIERREZ DCC.</t>
  </si>
  <si>
    <t>REPORTA INCENDIO FORESTAL EN SANTA MARTA, CERRO DEL BARRIO SAN PABLO, RESULTANDO 1 HECTAREA DE VEGETACION AFECTADA, PARTICIPARON 12 LIDERES DCC DURANTE 1 HORA. REPORTA CARLOS GUTIERREZ DCC.</t>
  </si>
  <si>
    <t>MAREJADA</t>
  </si>
  <si>
    <t>SE REACTIVA EL INCENDIO FORESTAL EN EL CERRO DE GUADALUPE, BOMBEROS BOGOTA Y FOPAE SALEN HACIA EL SITIO.</t>
  </si>
  <si>
    <t>EL CDGRD REPORTA UN INCENDIO FORESTAL EXTINGUIDO, VEREDA: PARAGUAY,  1.5 HECTÁREAS AFECTADAS DE: PASTO Y RASTROJO.</t>
  </si>
  <si>
    <t>13:00 HORAS, INFORMAN BOMBEROS QUE SE REINICIO CONATO DE INCENDIO FORESTAL 300 HECTÁREAS EN LA VEREDA DE MONTERREDONDO, PERO CON LA ACCIÓN OPORTUNA DE LOS MISMOS SE PUDO APAGAR  CON QUEMA DE PASTOS Y MALEZAS, SIN AFECTACIÓN DE VIVIENDAS O PERSONAS</t>
  </si>
  <si>
    <t>10:00 HORAS, INCENDIO FORESTAL EN LA VEREDA TOGÜÍ FINCA LONDRES DE SURAQUE, QUEMÁNDOSE EN 3 HECTÁREAS DE PASTOS, BOSQUES Y CERCAS, SIN AFECTACIÓN DE PERSONAS Y VIVIENDAS</t>
  </si>
  <si>
    <t>CDGRD, INFORMA, MY. IVÁN DARÍO VALENZUELA COORDINADOR DEPARTAMENTAL DE BOMBEROS DE CUNDINAMARCA, REPORTA INCENDIO FORESTAL EN LA  VEREDA ZAQUE INICIADO A LAS 17:30  Y EXTINGUIDO A LAS 19:00 HORAS DEL DÍA 10/01/13,  CON AFECTACIÓN DE 1 HECTÁREA DE RASTROJO, ATENDIÓ BOMBEROS GACHETA  Y COMUNIDAD</t>
  </si>
  <si>
    <t>CDGRD, DE CUNDINAMARCA, INFORMA, MY. IVÁN DARÍO VALENZUELA COORDINADOR DEPARTAMENTAL DE BOMBEROS DE CUNDINAMARCA, REPORTA INCENDIO FORESTAL EN LA VEREDA COSTA AZUL INICIADO A LAS 16:00  Y EXTINGUIDO A LAS 17 HORAS DEL 10/01/13  CON AFECTACIÓN DE 0,5 HECTÁREAS DE RASTROJO, ATENDIÓ BOMBEROS GACHETA  Y COMUNIDAD</t>
  </si>
  <si>
    <t>EL CDGRD REPORTA UN INCENDIO FORESTAL EN EL MUNICIPIO DE  SALADOBLANCO, EL CUAL YA FUE CONTROLADO.</t>
  </si>
  <si>
    <t>CDGRD, INCENDIO FORESTAL, CONTROLADO, VEREDA: CHONTADURO, SITIO: LAS HAMACAS, PENDIENTE AFECTACIÓN.</t>
  </si>
  <si>
    <t>CDGRD DE ATLÁNTICO, INFORMA INCENDIO FORESTAL, ACTIVO, SECTOR: COLECHERA, PENDIENTE MÁS INFORMACIÓN.</t>
  </si>
  <si>
    <t>CDGRD DE ATLÁNTICO, INFORMA INCENDIO FORESTAL, ACTIVO, FINCA: LAS NUBES, SE HA CONSUMIDO 1 HECTÁREAS DE MONTE,  PENDIENTE MÁS INFORMACIÓN.</t>
  </si>
  <si>
    <t>CDGRD DE ATLÁNTICO, INFORMA INCENDIO FORESTAL, ACTIVO, CORREGIMIENTO: ALGODÓN, VÍA MONGUITO,  SE HA CONSUMIDO 1 HECTÁREAS DE BOSQUE,  PENDIENTE MÁS INFORMACIÓN.</t>
  </si>
  <si>
    <t>CDGRD DE CUNDINAMARCA, INFORMA, CT. JAIME MARTÍNEZ DE BOMBEROS VILLETA REPORTA INCENDIO FORESTAL EN LA VEREDA SAN ISIDRO QUE AFECTA LA VEGETACIÓN DE LA BOCA TOMA DEL ACUEDUCTO, INICIADO A LAS 15:45 HORAS. ATIENDE BOMBEROS VILLETA Y COMUNIDAD.</t>
  </si>
  <si>
    <t>CDGRD DE CUNDINAMARCA, TE. FÉLIX CANAS DE BOMBEROS LA MESA, REPORTA INCENDIO FORESTAL OCURRIDO A LAS 13:00 Y EXTINGUIDO A LAS 17:00 HORAS DEL DÍA 07/01/13 EN LA VEREDA ESCALANTE DEL MUNICIPIO DE TENA  CON AFECTACIÓN DE 2 HECTÁREAS CULTIVO DE MANGO. ATENDIÓ BOMBEROS LA MESA, POLICÍA Y COMUNIDAD.</t>
  </si>
  <si>
    <t>CDGRD DE CUNDINAMARCA, INFORMA, TE. FÉLIX CANAS DE BOMBEROS LA MESA, REPORTA INCENDIO FORESTAL OCURRIDO A LAS 13:30 Y EXTINGUIDO A LAS 16:40 HORAS DEL DÍA 04/01/13 EN LA VEREDA  LOMA DE PALMA CON AFECTACIÓN DE 1 HECTÁREAS DE CULTIVO DE MANGO. ATENDIÓ BOMBEROS LA MESA.</t>
  </si>
  <si>
    <t>CDGRD DE CUNDINAMARCA, ING. RAFAEL ROBLES DE LA CAR, REPORTA INCENDIO FORESTAL EN LA INSPECCIÓN LA SIERRA SECTOR TABACAL, FINCA DE JOSÉ BELTRÁN, QUIEN REALIZABA QUEMA PARA CULTIVOS, INICIADO A LAS 11:30 DEL 11/01/13 Y EXTINGUIDO A LAS 13:30 HORAS CON AFECTACIÓN DE 0,5 HECTÁREAS DE VEGETACIÓN NATIVA, SEGÚN INFORMA CRISTÓBAL PARRA ALCALDE DE QUIPILE. ATENDIÓ CMGRD, POLICÍA, DEFENSA CIVIL Y COMUNIDAD.</t>
  </si>
  <si>
    <t>CDGRD DE VICHADA, INCENDIO FORESTAL, CONTROLADO, BARRIO: SANTA TERESITA, APOYAN BOMBROS Y COMUNIDAD.</t>
  </si>
  <si>
    <t>CDGRD DEL TOLIMA, INFORMA INCENDIO ESTRUCTURAL, EMPRESA DE INGENIERIA CIVIL, SECTOR: AMOYA, ENTRE LOS MPIOS DE: CHAPARRAL Y ATACO, RESULTARON: 6 HEHICULOS INCINERADOS.</t>
  </si>
  <si>
    <t xml:space="preserve">CDGRD DE SAN ANDRES, INFORMA, POR FUERTE OLEAJE, 7 VIVIENDAS DESTRUIDAS, 1 BAR, APROXIMADAMENTE,  20 PERSONAS AFECTADAS. </t>
  </si>
  <si>
    <t>CDGRD REPORTA EL DIA DE AYER SE PRESENTARON 2 FOCOS DE INCENDIO FORESTAL EN ESTE MUNICIPIO APOYARON LAS LABORES DEFENSA CIVIL DE BOSCONIA HASTA CONTROLARLO Y EXTINGUIRLO, DE ACUERDO A INFORME DE BOMBEROS RESULTARON AFECTADAS HECTAREAS. CDGRD, DEL CESAR,  INFORMA. INCENDIO FORESTAL, EXTINGUIDO,  SE CONSUMIERON 12 HECTÁREAS DE: RASTROJO,  APOYARON LAS LABORES,  DEFENSA CIVIL DE BOSCONIA Y BOMBEROS.</t>
  </si>
  <si>
    <t>CDGRD REPORTA EN ESTE MUNICIPIO SE PRESENTO INCENDIO FORESTAL , BOMBEROS, CRUZ ROJA, PONAL ATIENDEN EMERGENCIA HASTA CONTROLARLO Y EXTINGUIRLO, PENDIENTE HECTAREAS. CDGRD DEL CESAR, INCENDIO FORESTAL , EXTINGUIDO, SECTOR: PUERTO MOSQUITO, SE CONSUMIERON. 15 HECTÁREAS DE: POTREROS, APOYARON EMEREGNCIA:  BOMBEROS, CRUZ ROJA.</t>
  </si>
  <si>
    <t>CDGRD REPORTA EN EL DÍA DE VIERNES 11 DE ENERO A LAS 11:00 SE REGISTRÓ UN INCENDIO FORESTAL EN EL SECTOR DE SAMÁN DE LA RIVERA EN DONDE SE PRESENTABA UNA CONFLAGRACIÓN DE GRANDES MAGNITUDES EN DONDE SE DESPLAZARON DOS VEHÍCULOS DE BOMBEROS Y  DOCE UNIDADES, AFECTACIÓN DE MAS DE 3 HECTAREAS DE PASTIZALES Y ARBUSTOS. CONTROLADO A LA 13:00</t>
  </si>
  <si>
    <t>REPORTA INCENDIO FORESTAL EN CERRO EL VENADO CONTROLADO Y EXTINGUIDO A LAS 07:00 HRS, HECTAREAS AFECTADAS 30, REPORTA CABO RAMIREZ BOMBEROS YOPAL.</t>
  </si>
  <si>
    <t>REPORTA INCENDIO FORESTAL EN LA VEREDA CHISCAPA, 25 HECTÁREAS DE BOSQUE NATIVO AFECTADAS, EL MUNICIPIO FUE APOYADO POR BOMBEROS DE FLORIDABLANCA, FUNCIONARIOS C.D.M.B. Y PERSONAL POLICIAL DE LA REGIÓN. CONTROLADO Y EXTINGUIDO 11-01.13. REPORTA CDGRD SANTANDER</t>
  </si>
  <si>
    <t>REPORTA INCENDIO FORESTAL EN HORAS DE LA TARDE DEL DIA 11-01-13  EN EL SECTOR DE LA QUEBRADA LA PAVA EN LIMITES CON EL MUNICIPIO DE ZAPATOCA, CONTROLADO Y EXTINGUIDO EN SU TOTALIDAD CON APOYO PERSONAL POLICIAL DE GALÁN Y LA FUENTE, 3 HECTÁREAS DE BOSQUE NATIVO AFECTADAS.REPORTA CDGRD SANTANDER</t>
  </si>
  <si>
    <t>REPORTA INCENDIO FORESTAL A LAS 14:30 HORAS DEL 11-01-13 SECTOR AEROPUERTO CON 4 HECTÁREAS AFECTADAS Y A LAS 15:15 HORAS VÍA ANTIGUA LOS RIELES, 3 HECTÁREAS AFECTADAS AMBOS INCENDIOS CONTROLADOS Y EXTINGUIDOS. REPORTA CDGRD SANTANDER</t>
  </si>
  <si>
    <t>REPORTA EL COORDINADOR C.M.G.R.D. QUE SE PRESENTO UN INCENDIO FORESTAL EN LA VEREDA GUAMACA, FINCA SAMACA DE PROPIEDAD DEL SEÑOR SEVERIANO CALA TOLOSA, 5 HECTÁREAS DE CAÑA AZÚCAR AFECTADAS, CAUSAS POR ESTABLECER, CONTROLO DEFENSA CIVIL Y POLICIA.REPORTA CDGRD SANTANDER</t>
  </si>
  <si>
    <t>REPORTA EL CUERPO DE BOMBEROS QUE SE PRESENTO UN INCENDIO FORESTAL EN HORAS DE LA TARDE EN LA VEREDA GARCÍA CADENA DE APROXIMADAMENTE 30 HECTÁREAS DE PALMA, EN LA FINCA LA QUINTA DE PROPIEDAD DEL SEÑOR CARLOS REYES, CONTROLADO CONTINÚAN APAGANDO UNOS PEQUEÑOS FOCOS. REPORTA CDGRD SANTANDER</t>
  </si>
  <si>
    <t>REPORTA EL COORDINADOR C.M.G.R.D. QUE SE PRESENTO UN INCENDIO FORESTAL EN LA VEREDA COLMENITAS BAJO, UBICADA A 1 HORA 1/2 EN CARRO Y SITIO DEL INCENDIO A 1 HORA 40 MINUTOS A PIE, FUE CONTROLADO Y EXTINGUIDO EN SU TOTALIDAD POR PERSONAL DE BOMBEROS SOCORRO, DEFENSA CIVIL LOCAL Y DE SAN GIL, COMUNIDAD DE LA ZONA, AFECTACIÓN DE 50 HECTÁREAS APROXIMADAS DE BOSQUE NATIVO, HELECHO Y MALEZA, SIN AFECTACIÓN DE VIVIENDAS O PERSONAS. REPORTA CDGRD SANTANDER</t>
  </si>
  <si>
    <t>REPORTA INCENDIO FORESTAL ACTIVO DESDE EL 11-01-13 EN LA VEREDA GUAYABAL AFECTANDO 5 HECTAREAS DE VEGETACION NATIVA, ATIENDE PONAL, DCC Y COMUNIDAD. REPORTA ALIRIO ROZO CDGRD.</t>
  </si>
  <si>
    <t>REPORTA INCENDIO FORESTAL VEREDA MONTEREDONDO, 40 HECTAREAS AFECTADAS. CONTROLADO Y EXTINGUIDO. COMBATE EL INCENDIO BOMBEROS, PONAL, DC, CMGRD Y COMUNIDAD, REPORTA ALIRIO ROZO CDGRD</t>
  </si>
  <si>
    <t>COLAPSO</t>
  </si>
  <si>
    <t>INFORMA CDGRD DE SANTANDER, INCENDIO FORESTAL DESDE EL DÍA 11-01-2013, VEREDA: PICHINCHA, SECTOR: TERMINO, EL CUAL FUE EXTINGUIDO EL DÍA DE HOY, SE CONSUMIERON: 14 HECTÁREAS DE: BOSQUE Y PASTO.</t>
  </si>
  <si>
    <t>CDGRD DE SANTANDER, INFORMA, INCENDIO FORESTAL, EXTINGUIDO, EN LA VEREDA. AGUADA, SE CONSUMIO 1 HECTÁREA DE VEGETACIÓN NATIVA.</t>
  </si>
  <si>
    <t>CDGRD DEL HUILA, INFORMA INCENDIO FORESTAL, EXTINGUIDO, SE CONSUMIO 1 HECTÁREA DE PASTO MEJORADO.</t>
  </si>
  <si>
    <t>CDGRD DEL HUILA, INFORMA INCENDIO FORESTAL, EXTINGUIDO, SE CONSUMIO 1 HECTÁREA DE PASTO.</t>
  </si>
  <si>
    <t>CDGRD DE QUINDIO, INFORMA COLAPSO DE UN MURO DE CONTENCIÓN , BARRIO: LA ISABELA DEL SUR, AFECTANDO UNA VIVIENDA, SE REALIZA VISITA TÉCNICA, SE RECOMIENDA EVACUACIÓN, PREVENTIVA, SE ENTREGA AUXILIO DE ARRENDAMIENTO POR TRES MESES.</t>
  </si>
  <si>
    <t>D.C.C, REPORTA ALEXANDER SOTO DE LA SECCIONAL BOYACA: INCENDIO FORESTAL, ACTIVO A PARTIR DE LAS 13: 00 HORAS EN EL MPIO DE COVARACHIA, CORREGIMIENTO DE:  NOGONTOVA. PARTICIPAN 10 LIDERES DCC. DE TIPACOQUE.  SITUACIÓN EN DESARROLLO.</t>
  </si>
  <si>
    <t>D.C.C, REPORTA DIRECTOR SECCIONAL  RISARALDA: INCENDIO FORESTAL, EXTINGUIDO,  DE CAPA VEGETAL,  A LAS 12: 00 HORAS,  VEREDA LLANO GRANDE EL AGUACATAL, CONSUMIENDO DOS HECTÁREAS DE RASTROJO. PARTICIPARON 8 LÍDERES DCC DURANTE 4 HORAS.</t>
  </si>
  <si>
    <t>D.C.C, REPORTA DIRECTOR SECCIONAL  RISARALDA: INCENDIO FORESTAL DE CAPA VEGETAL,  EXTINGUIDO, VEREDA MAIRA BAJO, RESULTANDO AFECTADA 1 HECTÁREA DE RASTROJO. PARTICIPARON 5 LIDERES DCC DURANTE 3 HORAS.</t>
  </si>
  <si>
    <t>D.C.C, REPORTA INCENDIO FORESTAL, EXTINGUIDO, EN LA VEREDA: LOS MANGOS, SE CONSUMIERON 6 HECTÁREAS DE. VEGETACIÓN NATIVA.</t>
  </si>
  <si>
    <t>DERRAME</t>
  </si>
  <si>
    <t>REPORTA INCENDIO FORESTAL DE BOSQUE SECO, CONTROLADO Y EXTINGUIDO  VÍA EL PASO, ENTRE LOS MUNICIPIOS DE: CARMEN DE APICALA Y MELGAR, 10 HECTÁREAS AFECTADAS, REPORTA CDGRD TOLIMA.</t>
  </si>
  <si>
    <t xml:space="preserve">REPORTA BOMBEROS PURIFICACION QUE EL DIA ANTERIOR A LAS 16:00 HORAS SE PRESENTA LA RUPTURA DE UN TUBO DE HIDROCARBUROS OCASIONANDO VERTIMIENTO A FUENTE HIDRICA EL CUAL HA RECORRIDO 300 MTS QUEBRADA ABAJO YA SE ENCUENTRA PERSONAL DE PETROBRAS EN LA ZONA CONTROLANDO EL EVENTO, REPORTA CDGRD TOLIMA. </t>
  </si>
  <si>
    <t>REPORTA INCENDIO FORESTAL VEREDA TIERRA NEGRA, 3 HECTAREAS AFECTADAS, CONTROLADO Y EXTINGUIDO, COMBATIERON EL INCENDIO PONAL, DC, CMGRD. REPORTA SOCORRO NACIONAL.</t>
  </si>
  <si>
    <t>REPORTA CENTRAL DE COMUNICACIONES DEL DEPARTAMENTO DE POLICÍA SANTANDER QUE A LAS 23:30 HORAS DE AYER, SE PRESENTO INCENDIO FORESTAL DE BOSQUES NATIVOS Y PASTOS ENTRE LAS VEREDAS DE MOLINOS, HOYA GRANDE Y GORGUTÁ, INFORMA ALCALDE ISIDRO MOGOLLÓN QUE SALIÓ CON PERSONAL DE POLICÍA, DEFENSA  CIVIL Y PERSONAS DE LA REGIÓN, EL DIA DE HOY FUE CONTROLADO Y EXTINGUIDO. AFECTANDO 15 HECTAREAS.</t>
  </si>
  <si>
    <t>REPORTA INCENDIO FORESTAL DE PASTO Y VEGETACION NATIVA, CON AFECTACION DE 1,5 HECTAREAS AFECTADAS, EN VEREDA EL PUENTE SECTOR LA VUELTA DEL AGUACATE, EXTINGUIDO. REPORTA CDGRD HUILA</t>
  </si>
  <si>
    <t>SE REPORTA INCENDIO FORESTAL EN EL SECTOR CORRAL DE PIEDRA. PENDIENTE AFECTACIÓN</t>
  </si>
  <si>
    <t xml:space="preserve">REPORTA INCENDIO FORESTAL EN PARAMO TOQUILLA DESDE HACE 4 DIAS, 120 HECTAREAS AFECTADAS, SE ENCUENTRA CONTROLADO Y EXTINGUIDO,COMBATIERON EL INCENDIO BOMBEROS SOGAMOSO, DC, PONAL, CMGRD. REPORTA ALIRIO ROZO CDGRD </t>
  </si>
  <si>
    <t>INCENDIO FORESTAL 2 HECTÁREAS AFECTADAS, EL INCENDIO YA ESTÁ CONTROLADO Y EXTINGUIDO.</t>
  </si>
  <si>
    <t>INCENDIO FORESTAL EN EL MUNICIPIO DE MOGOTES, VEREDA GUARURE, 03 HECTAREAS DE BOSQUE NATIVO AFECTADAS, CONTROLADO Y EXTINGUIDO EN SU TOTALIDAD, SIN AFECTACION DE PERSONAS O VIVIENDAS.</t>
  </si>
  <si>
    <t>REPORTA INCENDIO FORESTAL VEREDA NOMAGA AFECTANDO CULTIVOS DE MAIZ, VEGETACION NATIVA Y BOSQUE, 120 HECTAREAS AFECTADAS, AL MOMENTO ESTA CONTROLADO PERO ACTIVO, COMBATEN EL FUEGO DCC Y PONAL. REPORTA ALIRIO ROZO CDGRD</t>
  </si>
  <si>
    <t>REPORTA INCENDIO FORESTAL VEREDA ATILLOS Y CHACAMI SECTOR LA CHORRERA AFECTANDO VEGETACION NATIVA, 10 HECTAREAS AFECTADAS, AL MOMENTO ESTA CONTROLADO PERO ACTIVO, COMBATEN EL FUEGO DCC Y PONAL. REPORTA ALIRIO ROZO CDGRD</t>
  </si>
  <si>
    <t>REPORTA INCENDIO FORESTAL EN LA VEREDA LA GUAMALERA, SE ESTA DESPLAZANDO BOMBEROS AL SITIO, INFORMAN QUE SE VEN DOS FOCOS AL MOMENTO SE DESPLAZAN 5 BOMBEROS A LA ZONA PARA REALIZAR EVALUACION Y SE INICIAN LABORES DE EXTINCION A LAS 05:00 HORAS, SITUACION EN PROCESO, REPORTA CABO RAMIREZ BOMBEROS YOPAL</t>
  </si>
  <si>
    <t>CDGRD DE BOYACA,  INCENDIO FORESTAL, EXTINGUIDO,   SECTOR: PUENTE HAMACA, SE CONSUMIERON 0,8 HECTÁREA DE VEGETACIÓN NATIVA.  APOYARON:  DCC, COMUNIDAD Y PONAL.</t>
  </si>
  <si>
    <t>CDGRD, INFORMA INCENDIO FORESTAL, PENDIENTE ESTADO Y AFECTACIÓN.</t>
  </si>
  <si>
    <t>CDGRD DE BOYACÁ, INFORMA, INCENDIO FORESTAL, EXTINGUIDO,  VEREDA: CHACÓN, SE CONSUMIO 0,2 HECTÁREA DE PASTOS.  APOYAN: D.C.C, PONAL Y COMUNIDAD</t>
  </si>
  <si>
    <t>CDGRD DE BOYACÁ, INFORMA, INCENDIO FORESTAL, EXTINGUIDO, VEREDA: VENECIA, APOYARON: D.C.C, PONAL Y COMUNIDAD</t>
  </si>
  <si>
    <t>CDGRD DE BOYACÁ, INFORMA, INCENDIO FORESTAL, CONTROLADO,  ENTRE LOS MPIOS DE: MONGUI- MONGUA, VEREDA: LA CAPILLA, PENDIENTE ESTADO Y AFECTACIÓN, APOYAN: D.C.C, PONAL Y COMUNIDAD.</t>
  </si>
  <si>
    <t>CDGRD DE BOYACÁ, INFORMA, INCENDIO FORESTAL, EXTINGUIDO, VEREDA: MATADEMORA, SE CONSUMIERON 10 HECTÁREAS DE VEGETACIÓN NATIVA.  APOYARON: D.C.C, PONAL Y COMUNIDAD.</t>
  </si>
  <si>
    <t>CDGRD DE BOYACA, INFORMA INCENDIO FORESTAL, EXTINGUIDO, VEREDA: PAN DE AZUCAR, SE CONSUMIERON: 40 HECTÁREAS DE: VEGETACIÓN NATIVA Y PINO, APOYARON: D.C.C, PONAL Y COMUNIDAD</t>
  </si>
  <si>
    <t>CDGRD DE BOYACA, INFORMA INCENDIO FORESTAL, EXTINGUIDO, VEREDA: GUATICA, SE CONSUMIERON: 15 HECTÁREAS DE: VEGETACIÓN NATIVA Y EUCALIPTO, APOYARON: D.C.C, PONAL Y COMUNIDAD</t>
  </si>
  <si>
    <t>CDGRD DEL CHOCO, INFORMA INCENDIO ESTRUCTURAL, AFECTANDO 2 VIVIENDAS, SIN LESIONADOS, ATIENDEN BOMBEROS Y D.C.C.</t>
  </si>
  <si>
    <t>CDGRD DEL CAUCA ,INFORMA INCENDIO FORESTAL, ACTIVO, VEREDA: EL PORVENIR, APOYAN: EJERCITO, CDGRD, COMUNIDAD.</t>
  </si>
  <si>
    <t>D.C.C., REPORTA DIRECTOR SECCIONAL, SOBRE INCENDIO ESTRUCTURAL QUE SE PRESENTÓ EL  12-01-13 A LAS 18:30 HORAS EN EL BARRIO ZAPAMANGA DEL MUNICIPIO DE FLORIDA BLANCA; ALLÍ PARTICIPARON 35 LIDERES VOLUNTARIOS.Y TERMINO A LAS 22:00 HORAS, 1 FABRICA DESTRUIDA.</t>
  </si>
  <si>
    <t>INUNDACION</t>
  </si>
  <si>
    <t>SE PRESENTARON VARIOS CONATOS DE INCENDIO EN LA CIUDAD DE BUCARAMANGA,  EN DISTINTOS SECTORES DE LA CIUDAD, LAS CUALES SUMAN UN TOTAL DE 4 HECTAREAS.</t>
  </si>
  <si>
    <t>REPORTA EL ALCALDE UN INCENDIO FORESTAL QUE SE PRESENTO EN EL SECTOR DE LOS PUENTES, EL CUAL FUE CONTROLADO SIN MÁS DATOS.</t>
  </si>
  <si>
    <t>REPORTA EL CUERPO DE BOMBEROS QUE SE PRESENTO UN INCENDIO FORESTAL EN LA VEREDA TUBADITA SECTOR LA CUEVA DE LOS INDIOS, 200 MTS AFECTADOS DE BOSQUE NATIVO.</t>
  </si>
  <si>
    <t>REPORTAN DEL CDGRD DE CUNDINAMARCA INCENDIOS FORESTAL AFECTANDO BOSQUE NATIVO Y PASTIZALES, INCENDIO CONTROLADO POR BOMBEROS VOLUNTARIOS.</t>
  </si>
  <si>
    <t>SE PRESENTO UN INCENDIO FORESTAL EL DIA  SABADO 6 DE ENERO, AFECTANDO A 5 HECTAREAS DE BOSQUE PRIMARIO Y PASTO. FUE CONTROLADO POR BOMBEROS.</t>
  </si>
  <si>
    <t>REPORTAN DEL CDGRD DE META UN INCENDIO FORESTAL EN EL BARRIO SAMAN DE LA RIVERA, EL CUA FUE CONTROLADO EN MISMO DIA , EL EVENTO SE PRESENTO EL DIA VIERNES 11 DE ENERO.</t>
  </si>
  <si>
    <t>REPORTAN LOS BOMBEROS DE YOPAL QUE SE PRSENTO UN IF EN EL  BARRIO AMERICAS , AFECTANDO 4 HECTAREAS DE RASTROJO, PARTICIPARON BOMBEROS DE YOPAL.</t>
  </si>
  <si>
    <t>SE PRESENTA LLUVIAS EN LA CIUDAD DE IBAGUE, AFECTADO VIAS PUBLICAS POR REBOSAMIENTO DE ALCANTARILLADO.</t>
  </si>
  <si>
    <t>CDGRD DEL VICHADA, INORMA, INCENDIO FORESTAL, ACTIVO, SOLICITAN APOYO DEL VEHICULO DE LA AERONAUTICA, 15:50 HORAS, REPORTAN BOMBEROS, CONTROLADO, PENDIENTE AFECTACIÓN</t>
  </si>
  <si>
    <t>CDGRD DE CUNDINAMARCA, INFORMA, ING. RAFAEL ROBLES DE LA CAR, REPORTA INCENDIO FORESTAL EN LA VEREDA TILATA, INICIADO A LAS 18:00  Y EXTINGUIDO A LAS 20:30 HORAS DEL 11/01/13, CON AFECTACIÓN DE 2  HECTÁREAS DE BOSQUE NATIVO. ATENDIÓ BOMBEROS SESQUILE Y COMUNIDAD,</t>
  </si>
  <si>
    <t>CDGRD DE CUNDINAMARCA, MY. IVÁN DARÍO VALENZUELA COORDINADOR DEPARTAMENTAL DE BOMBEROS DE CUNDINAMARCA, REPORTA INCENDIO FORESTAL EN EL BARRIO QUINTAS DE LA LAGUNA, INICIADO A LAS 11:00 HORAS  Y EXTINGUIDO A LAS 12:00 HORAS DEL DÍA 14/01/13,  CON AFECTACIÓN DE 0,5 HECTÁREAS DE PASTIZALES. ATENDIÓ BOMBEROS SOACHA.</t>
  </si>
  <si>
    <t>CDGRD DE CUNDINAMARCA, CT. AURORA GUTIÉRREZ COMANDANTE DE BOMBEROS SIBATE, REPORTA INCENDIO FORESTAL EN LA VEREDA CHACUA INICIADO A LAS 18:30 Y EXTINGUIDO A LAS 21:00 HORAS DEL DÍA 13/01/13 CON AFECTACIÓN DE 0,5 HECTÁREAS DE VEGETACIÓN NATIVA. ATENDIÓ BOMBEROS Y POLICÍA.</t>
  </si>
  <si>
    <t>CDGRD DE CUNDINAMARCA, PEDRO JOSÉ CÁRDENAS COMANDANTE DE BOMBEROS DE TIBIRITA REPORTA INCENDIO FORESTAL EN  MANTA  VEREDA EL PALMAR ARRIBA. INICIADO A LAS 01:00 Y EXTINGUIDO A LAS 13:00 HORAS CON AFECTACIÓN DE 1  HECTÁREA DE RASTROJO Y VEGETACIÓN NATIVA. ATENDIÓ BOMBEROS MANTA Y COMUNIDAD.</t>
  </si>
  <si>
    <t>CDGRD DE ATLÁNTICO, REPORTE INCENDIO FORSTAL, ACTIVO, EN CERRO, APOYAN: BOMBEROS, SABANALARGA, MALAMBO, D.C.C, SITUACIÓN EN DESARROLLO.</t>
  </si>
  <si>
    <t>REPORTA INCENDIO FORESTAL VEREDA LLANO ALARCON, QUE AFECTO CULTIVO DE PINO PATULA, CIPREX, PASTO BOSQUE NATIVO, FUE CONTROLADO Y EXTINGUIDO A LAS 19:24 HORAS, COMBATIERON EL FUEGO DCC, COMUNIDAD, PONAL, Y EJERCITO. HECTAREAS AFECTADAS 15. REPORTA ALIRIO ROZO CDGRD.</t>
  </si>
  <si>
    <t>HORAS, BOMBEROS DE MOGOTES SE CONOCIÓ CASO DE INCENDIO FORESTAL, EN LA VEREDA LA PEDREGOSA EL CUAL CONSUMIÓ 05 HECTÁREAS DE PRADO BOSQUES NATIVOS DE LA ZONA, PARTICIPARON POLICÍA DE LA UNIDAD, DEFENSA CIVIL, PERSONAS DE LA REGIÓN, CONTROLADO EN SU TOTALIDAD, SIN AFECTACIÓN DE PERSONAS, VIVIENDAS O VEHÍCULOS</t>
  </si>
  <si>
    <t>HORAS, BOMBEROS DEL SOCORRO SE CONOCIÓ CASO DE INCENDIO FORESTAL, EN LA VEREDA EL BOSQUE FINCA SAN LUIS EL CUAL CONSUMIÓ 02 HECTÁREAS DE PRADO Y ALGUNOS ÁRBOLES NATIVOS DE LA ZONA, PARTICIPARON 25 PERSONAS ENTRE ESAS POLICÍAS DE LA UNIDAD, DEFENSA CIVIL, PERSONAS DE LA REGIÓN, CONTROLADO EN SU TOTALIDAD, SIN AFECTACIÓN DE PERSONAS, VIVIENDAS O VEHÍCULOS</t>
  </si>
  <si>
    <t>REPORTA EL CUERPO DE BOMBEROS QUE SE PRESENTARON INCENDIOS FORESTALES DE MENORES.</t>
  </si>
  <si>
    <t>HORAS REPORTAN BOMBEROS DE BUCARAMANGA LA LOCALIDAD QUE SE PRESENTÓ  INCENDIO FORESTAL EN EL BARRIO EL LLANITO, DE MENORES PROPORCIONES SIN AFECTACIÓN DE PERSONAS O VIVIENDAS.</t>
  </si>
  <si>
    <t>REPORTA INCENDIO FORESTAL CON 1 HECTAREA AFECTADA DE MALEZA, BAMBUES EN EL SECTOR DE CARACOLI, CONTROLADO Y EXTINGUIDO EN SU TOTALIDAD SIN AFECTACION DE PERSONAS O VIVIENDAS, DE ACUERDO A REPORTE ENTREGADO POR BOMBEROS DE FLORIDABLANCA.</t>
  </si>
  <si>
    <t>REPORTA DESBORDAMIENTO DE QUEBRADA EN LA VEREDA NARANJO, LA CUAL INUNDO 7 VIVIENDAS, EDAN EN PROCESO. REPORTA CDGRD NARIÑO.</t>
  </si>
  <si>
    <t>REPORTA INCENDIO ESTRUCTURAL DE VIVIENDA EN EL BARRIO LA FACHADA MZ 33 CS 24, PERDIDA TOTAL DE MUEBLES Y ENSERES, FAMILIA COMPUESTA POR DOS ADULTOS Y TRES MENORES, EL CMGRD HACE ENTREGA INMEDIATA DE AYUDAS HUMANITARIAS DE EMERGENCIA.</t>
  </si>
  <si>
    <t>GUILLERMO BELTRÁN COORDINADOR OPERATIVO DE BOMBEROS CHOACHI, REPORTA INCENDIO FORESTAL EN LA VEREDA RESGUARDO SUR SECTOR ALTO DEL VIENTO, INICIADO A LAS 11:00 Y EXTINGUIDO A LAS 14:00 HORAS DEL 15/01/13 CON AFECTACIÓN DE 0,5 HECTÁREAS DE VEGETACIÓN DE PARAMO. ATENDIÓ BOMBEROS CHOACHI, POLICÍA Y CMGRD.</t>
  </si>
  <si>
    <t>REPORTA ACCIDENTE DE TRANSITO ENTRE TRACTO CAMION QUE TRANSPORTABA CARBON Y BUS INTERDEPARTAMENTAL DE LA EMPRESA COSTALINE PLACAS UWR 949, EL CUAL CUBRIA LA RUTA BARRANQUILLA-VALLEDUPAR Y ARROJA UN SALDO DE 2 PERSONAS FALLECIDAS, JACKELINE MARIA BONET MORON “PASAJERA” Y EDWIN DONALDO GUERRA MIRANDA “CONDUCTOR”, 3 PERSONAS CON LESIONES IMPORTANTES Y 17 PERSONAS CON LESIONES MENORES, LOS CUALES FUERON LLEVADOS A CENTROS ASISTENCIALES DE VALLEDUPAR, REPORTA SANDY SEPULVEDA CDGRD.</t>
  </si>
  <si>
    <t xml:space="preserve">REPORTA INCENDIO FORESTAL EN LA VEREDA SAN MARCOS, AFECTANDO 1 HECTAREA DE VEGETACION NATIVA. CONTROLADO Y EXTINGUIDO POR BOMBEROS. REPORTA CDGRD. </t>
  </si>
  <si>
    <t xml:space="preserve">REPORTA INCENDIO FORESTAL EN LA VEREDA EL CAJON, AFECTANDO 6 HECTAREAS DE VEGETACION NATIVA. CONTROLADO Y EXTINGUIDO POR BOMBEROS. REPORTA CDGRD. </t>
  </si>
  <si>
    <t xml:space="preserve">REPORTA INCENDIO FORESTAL EN LA VEREDASANTA ELENA, AFECTANDO 0,5 HECTAREAS DE VEGETACION NATIVA. CONTROLADO Y EXTINGUIDO POR BOMBEROS. REPORTA CDGRD. </t>
  </si>
  <si>
    <t xml:space="preserve">REPORTA INCENDIO FORESTAL EN CERRO DE AREA URBANA, AFECTANDO 1 HECTAREA DE VEGETACION NATIVA. CONTROLADO Y EXTINGUIDO POR BOMBEROS. REPORTA CDGRD. </t>
  </si>
  <si>
    <t>D.C.C, INFORMA, INCENDIO FORESTAL, EXTINGUIDO, EN EL SECTOR DE SANTA LUCIA, SE CONSUMIERON: 20 HECTÁREAS DE VEGETACIÓN NATIVA.</t>
  </si>
  <si>
    <t>APOYO DEL FNC MEDIANTE UN GIRO DIRECTO PARA EL DEPARTAMENTO DE CAUCA POR UN VALOR DE $1600,000,000, CON EL OBJETO DE QUE SEAN INVERTIDOS EN LA REHABILITACION DE VIAS TERCIARIAS DE LOS DIFERENTES MUNICIPIOS DEL DEPARTAMENTO DE CAUCA, EN CUANTO REMOCION DE DERRUMBES Y DAR ACCESIBILIDAD Y TRANSITABILIDAD Y CONSTRUCCION DE BODEGA Y EL PRE POSICIONAMIENTO DE AYUDAS HUMANITARIAS, CON EL OBJETO DE AYUDAR LAS FAMILIAS AFECTADAS POR LA DIFERENTES EMERGENCIAS DE CARACTER NATURAL (SEGUN PRESUPUESTOS ADJUNTOS ENVIADOS POR LA GOBERNACION DEL CAUCA)</t>
  </si>
  <si>
    <t>EL CDGRD INFORMA QUE EN LA NOCHE  ANTERIOR SEPRESENTO UN AGUACERO AFECTANDO A UNA VIVIENDA EN EL BARRIO RODRIGO LARA.</t>
  </si>
  <si>
    <t>SE PRESENTO UN INCENDIO FORESTAL  EN LA VEREDA DE VERSALLES, EL CUAL FUE CONTROLADO Y APAGADO.</t>
  </si>
  <si>
    <t xml:space="preserve">CDGRD REPORTA INCENDIO FORESTAL ENTRE LOS MUNICIPIOS DE TIBASOSA Y FIRAVITOBA CON LINEA DE FUEGO DE APROXIMADAMENTE 4 KILOMETROS AFECTANDO LAS VEREDAS EL HATO, DIRABITA, NOMBITA ALTO Y SAN ANTONIO, INDICA LAS SIGUIENTES COORDENADAS LONGITUD W 73. 0383080 LATITUD N 05.697223 APOYAN LABORES DE CONTROL DEFENSA CIVIL, POLICIA, EJERCITO CON 20 UNIDADES DEL BATALLON SILVA PLAZAS, 2 CARROTANQUES, SOLICITA APOYO VIA AEREA PARA EVITAR LA EXPANSION DE ESTE INCENDIO, RETOMAN LABORES EN LAS PRIMERAS HORAS DE LA MAÑANA. </t>
  </si>
  <si>
    <t>CDGRD REPORTA INCENDIO FORESTAL EN ESTE MUNICIPIO BOMBEROS, CRUZ ROJA, COMUNIDAD APOYAN LABORES, FINALMENTE CONTROLADO PENDIENTE AREA DE AFECTACION.</t>
  </si>
  <si>
    <t>SOCORRO NACIONAL INFORMA Y SE CONFIRMA POR CDGRD INCENDIO ESTRUCTURAL EN CENTRO CARCELARIO EN ESTE MUNICIPIO SOBRE LAS 15:00 HORAS EN PATIO 3 PERITAJE CON AUTORIDAD RESPECTIVA INFORMO QUE FUE A CAUSA DE CORTO CIRCUITO, 4 PERSONAS AFECTADAS POR INHALACION DE HUMO TRALADADAS A CENTRO ASISTENCIAL LOCAL, A LAS 17:30 FUE CERRADA LA EMERGENCIA, FUERON ENTREGADAS 40 COLCHONETAS.</t>
  </si>
  <si>
    <t xml:space="preserve">CDGRD INFORMA QUE DE ACUERDO AL REPORTE EL DIA DE AYER POR DERRAME DE ACEITE CERCA AL PARQUE SALAMANCA LA UNIDAD DE PARQUES ESTA A CARGO DEL SEGUIMIENTO PARA EL DIA DE HOY YA ESTA CONTROLADO EN UN 95% </t>
  </si>
  <si>
    <t>DESLIZAMIENTO</t>
  </si>
  <si>
    <t>APOYO ALIMENTARIO PARA LAS FAMILIAS AFECTADAS POR DESLIZAMIENTO.</t>
  </si>
  <si>
    <t>SEQUIA</t>
  </si>
  <si>
    <t>67 ROLLOS DE MAGUERA DE 1" X  MTS. 50 TANQUES DE 500 L. 45 TANQUES DE 1000 L.</t>
  </si>
  <si>
    <t>50 ROLLOS DE MAGUERA DE 1" X 100 MTS. 40 TANQUES DE 500 L. 25 TANQUES DE 1000 L.</t>
  </si>
  <si>
    <t>50 ROLLOS DE MAGUERA DE 1" X 100 MTS. 50 TANQUES DE 500 L. 20 TANQUES DE 1000 L.</t>
  </si>
  <si>
    <t>50 ROLLOS DE MAGUERA DE 1" X 100 MTS. 50 TANQUES DE 500 L. 25 TANQUES DE 1000 L.</t>
  </si>
  <si>
    <t>APOYO DEL FNC MEDIANTE UN GIRO DIRECTO PARA EL CMGRD DE ONZAGA POR UN VALOR DE $300,950,637, CON EL OBJETO DE LA CONSTRUCCIÓN DEL PUENTE VEHICULAR SOBRE EL RÍO ONZAGA VEREDA MOMPA DERECHA SECTOR LAS TAPIAS EN EL MUNICIPIO DE ONZAGA DEPARTAMENTO DE SANTANDER.</t>
  </si>
  <si>
    <t xml:space="preserve"> REPORTA CAD DESAN, QUE SE PRESENTO UN INCENDIO FORESTAL EN LA VEREDA BUENAVISTA FINCA MARANATÁ DE PROPIEDAD DEL SEÑOR ARNULFO ESCARPETA ESPAÑA DE APROXIMADAMENTE 3 HECTÁREAS DE PALMA, CONTROLADO Y SIN AFECTACIÓN DE PERSONAS, VIVIENDAS </t>
  </si>
  <si>
    <t>CDGRD REPORTA, INCENDIO FORESTAL, EXTINGUIDO, REPORTADO EL 16-01-2013,  SOBRE LAS 16:00, HORAS EN EL CORREGIMIENTO LA CRISTALINA, SE CONSUMIERON: 7 HECTÁREAS DE: PASTO Y MATORALES BOMBEROS Y POLICIA APOYARON LABORES DE EXTINCIÓN.</t>
  </si>
  <si>
    <t>CDGRD DE BOYACA, INFORMA INCENDIO FORESTAL, ACTIVO, DESDE EL 16-01-2013, LIMITES CON EL MPIO DE TIBASOSA, CON UNA  LINEA DE FUEGO DE APROXIMADAMENTE 4 KILOMETROS AFECTANDO LAS  VEREDAS: VICTORIA, SECTOR: SAN LUIS,  EL HATO, DIRABITA, NOMBITA ALTO Y  SAN ANTONIO,  AFECTACIÓN ESPECULATIVA Y PROVISIONAL . SE ENTREGA AYUDA HUMANITARIA A LAS FAMILIAS DE LAS 4 VIVIENDAS AFECTADAS, 300 HECTÁREAS AFECTADAS DE: FRAILEJON, PINO, EUCALIPTO, VEG NATIVA, 2 NACIMIENTOS DE AGUA AFECTADOS, TIENEN APOYO AÉREO, HERRAMIENTAS MANUALES, MOTOBOMBAS MARK 3,  PONAL, FFMM, BOMBEROS, CRC, COMUNIDAD, ANDIRESCATE, DCC, PESLAC, CORPOBOYACÁ, ALCALDÍA.</t>
  </si>
  <si>
    <t>CDGRD DE BOYACA, INFORMA INCENDIO FORESTAL, EXTINGUIDO,  EN EL SECTOR: PIE DESECHO, SE CONSUMIERON: 40 HECTÁREA DE: VEGETACIÓN NATIVA,  APOYARON: COMUNIDAD Y D.C.C.</t>
  </si>
  <si>
    <t>CDGR DE BOYACA, INFORMA, INCENDIO FORESTAL, EXTINGUIDO, PENDIENTE AFECTACIÓN, APOYARON COMUNIDAD Y D.C.C.</t>
  </si>
  <si>
    <t>CDGRD DE BOYACA, INFORMA, INCENDIO FORESTAL EXTINGUIDO, PRESENTADO; 16-01-2013, VEREDA: LA CASCADA, SE CONSUMIERON: 0,7 HECTÁREAS DE VEGETACIÓN NATIVA Y PASTOS, APOYARON: BOMBEROS, PONAL, CRC.</t>
  </si>
  <si>
    <t>CDGRD DE BOYACA, INFORMA INCENDIO FORESTAL, EXTINGUIDO, VEREDA: LA VIRGEN, PRESENTADO: 15-01-2013, SE CONSUMIO 1 HECTÁREAS DE: PASTOS, APOYARON: BOMBEROS.</t>
  </si>
  <si>
    <t>INFORMA, CDGRD DE BOYACA,  INCENDIO FORESTAL, EXTINGUIDO, VEREDA: SUCRE OCCIDENTAL, PRESENTADO EL 14-01-2013, SE CONSUMIERON: 0,75 HECTÁREAS DE: VEGETACIÓN NATIVA Y PASTOS, APOYARON: BOMBEROS Y COMUNIDAD.</t>
  </si>
  <si>
    <t>INFORMA CDGRD DEL CHOCO, INCENDIO ESTRUCTURAL, SECTOR: RÍO CAPA, COMUNIDAD INDIGENA DE  PARRUGUERA</t>
  </si>
  <si>
    <t>CDGRD  DE GUAINIA, INFORMA INCENDIO FORESTAL, EXTINGUIDO, PRESENTADO:  16-01-2013, SE CONSUMIERON: 24 HECTÁREAS DE: BOSQUE Y SABANA.</t>
  </si>
  <si>
    <t>CDGRD DEL HUILA, INFORMA INCENDIO FORESTAL, EXTINGUIDO, VEREDA: LA MARIMBA, SE CONSUMIO: 1 HECTÁREA DE RASTROJO, 1 SEMILLERO DE CAFÉ DE 2000 PALOS, APOYARON: BOMBEROS ACEVEDO.</t>
  </si>
  <si>
    <t>CDGRD DE CUNDINAMARCA, ALFONSO VIZCAÍNO COMANDANTE DE BOMBEROS FUSAGASUGA, REPORTA INCENDIO FORESTAL EN LA VEREDA CUCHARAL, INICIADO A LAS 11:00 Y EXTINGUIDO A LAS 13:30 HORAS DEL DÍA 15/01/13 CON AFECTACIÓN DE 1 HECTÁREA DE VEGETACIÓN NATIVA. ATENDIÓ BOMBEROS FUSA, POLICÍA Y COMUNIDAD.</t>
  </si>
  <si>
    <t>CDGRD DE CUNDINAMARCA, ALFONSO VIZCAÍNO COMANDANTE DE BOMBEROS FUSAGASUGA, REPORTA INCENDIO FORESTAL EN LA VEREDA EL CUBA, INICIADO A LAS 17:00 Y EXTINGUIDO A LAS 19:00 HORAS DEL DÍA 13/01/13 CON AFECTACIÓN DE 0,5 HECTÁREAS DE PASTIZALES. ATENDIÓ BOMBEROS FUSA, POLICÍA Y COMUNIDAD.</t>
  </si>
  <si>
    <t>CMGRD DE MAGDALENA, DR. ARMANDO VLADIMIR PIÑERES,  REPORTA INCENDIO FORESTAL, CONTROLADO,  VIA BARRANQUILLA QUEBRADA DON JACA INICIO EL 15-01-2013, EL DÍA DE HOY, APOYO DURANTE TODO EL DÍA UN HELICOPTERO, REALIZO 21 DESCARGAS, APOYAN: BOMBEROS, CRC, D.C.C, POLICIA AMBIENTAL, QUEDAN ALGUNOS FOCOS, EL DÍA DE MAÑANA RETOMARAN LABORES, PENDIENTE AFECTACIÓN.</t>
  </si>
  <si>
    <t>CDGRD DE CUNDINAMARCA, INFORMA, ING. RAFAEL ROBLES DE LA CAR, INCENDIO FORESTAL DENTRO DEL BATALLÓN DE COMUNICACIONES, SECTOR DE LOS POLÍGONOS, INICIADO A LAS 14:00  DEL 16/01/13 EL CUAL AFECTO 3 HECTAREAS DE BOSQUE DE PINO RESINOSO. ATENDIERON BOMBEROS, EJERCITO, DEFENSA CIVIL Y CRUZ ROJA.</t>
  </si>
  <si>
    <t xml:space="preserve">CDGRD DE CASANARE, ENVÍA INFORMACIÓN POR CORREO ELÉCTRONICO, DESDE EL 01-01-2013, HASTA EL 01-17-2013, TIENEN UNA AFECTACIÓN, EN EL MPIO,  POR INCENDIOS FORESTALES DE 40 HECTÁREAS, SE LE SOLICITO, COMPLEMENTAR LA INFORMACIÓN CON FECHAS EXACTAS, SECTORES, TIPO DE VEGETACIÓN AFECTADA. </t>
  </si>
  <si>
    <t xml:space="preserve">CDGRD DE CASANARE, ENVÍA INFORMACIÓN POR CORREO ELÉCTRONICO, DESDE EL 01-01-2013, HASTA EL 01-17-2013, TIENEN UNA AFECTACIÓN, EN EL MPIO,  POR INCENDIOS FORESTALES DE 20 HECTÁREAS, SE LE SOLICITO, COMPLEMENTAR LA INFORMACIÓN CON FECHAS EXACTAS, SECTORES, </t>
  </si>
  <si>
    <t>CDGRD DE CASANARE, ENVÍA INFORMACIÓN POR CORREO ELÉCTRONICO, DESDE EL 01-01-2013, HASTA EL 01-17-2013, TIENEN UNA AFECTACIÓN, EN EL MPIO,  POR INCENDIOS FORESTALES DE 1 HECTÁREA, SE LE SOLICITO, COMPLEMENTAR LA INFORMACIÓN CON FECHAS EXACTAS, SECTORES</t>
  </si>
  <si>
    <t>CDGRD DE CASANARE, ENVÍA INFORMACIÓN POR CORREO ELÉCTRONICO, DESDE EL 01-01-2013, HASTA EL 01-17-2013, TIENEN UNA AFECTACIÓN, EN EL MPIO,  POR INCENDIOS FORESTALES DE 20 HECTÁREAS, SE LE SOLICITO, COMPLEMENTAR LA INFORMACIÓN CON FECHAS EXACTAS, SECTORES</t>
  </si>
  <si>
    <t>CDGRD DE CASANARE, ENVÍA INFORMACIÓN POR CORREO ELÉCTRONICO, DESDE EL 01-01-2013, HASTA EL 01-17-2013, TIENEN UNA AFECTACIÓN, EN EL MPIO,  POR INCENDIOS FORESTALES DE 15 HECTÁREAS, SE LE SOLICITO, COMPLEMENTAR LA INFORMACIÓN CON FECHAS EXACTAS, SECTORES</t>
  </si>
  <si>
    <t>CDGRD DE CASANARE, ENVÍA INFORMACIÓN POR CORREO ELÉCTRONICO, DESDE EL 01-01-2013, HASTA EL 01-17-2013, TIENEN UNA AFECTACIÓN, EN EL MPIO,  POR INCENDIOS FORESTALES DE 10 HECTÁREAS, SE LE SOLICITO, COMPLEMENTAR LA INFORMACIÓN CON FECHAS EXACTAS, SECTORES</t>
  </si>
  <si>
    <t>CDGRD DE ANTIOQUIA, INFORMA INCENDIO FORESTAL, ACTIVO, SE HAN CONSUMIDO: 10 HECTÁRAS , APOYAN: BOMBEROS DE: SANTO DOMINGO Y BARBOSA, SITUACIÓN EN DESARROLLO.</t>
  </si>
  <si>
    <t>CDGRD REPORTA SE ATENDIO INCENDIO EN COBERTURA VEGETAL  EN EL BARRIO VILLA LAURA  SECTOR LA CANCHA AFECTANDO 10 METROS DE GUADUAS ATENDIO EL INCIDENTE BOMBEROS QUIMBAYA</t>
  </si>
  <si>
    <t>CDGRD REPORTA QUE SE PRESENTO INCENDIO ESTRUCTURAL EN EL BARRIO PISAMOS MANZANA 8 CASA 15 AFECTANDO PARTE DE LA VIVIENDA, ATENDIO BOMBEROS LA TEBAIDA, NO AFECTACION EN VIDAS HUMANAS.</t>
  </si>
  <si>
    <t>400 CUÑETES POR 5 GALONES DE ESPUMA RETARDANTE</t>
  </si>
  <si>
    <t>VARIOS</t>
  </si>
  <si>
    <t>APOYO DEL FNC MEDIANTE LA ADQUISICION DE UNA PLANTA POTABILIZADORA MOVIL COMO APOYO A LA CAPACIDAD DE RESPUESTA EN EL MANEJO DE AGUA Y SANEAMIENTO BASICO.</t>
  </si>
  <si>
    <t>SUBSIDIO DE ARRIENDO</t>
  </si>
  <si>
    <t xml:space="preserve">APOYO DEL FNGR MEDIANTE SUBSIDIO DE ARRIENDO TEMPORAL PARA 23 FAMILIAS AFECTADAS DURANTE OCTUBRE DE 2012 POR TRES MESES A RAZON DE $200.000 MENSUAL </t>
  </si>
  <si>
    <t>APOYO DEL FNGR MEDIANTE SUBSIDIO DE ARRIENDO TEMPORAL PARA 6 FAMILIAS AFECTADAS EN EL 2012 POR TRES MESES A RAZON DE $150.000 MENSUAL</t>
  </si>
  <si>
    <t>APOYO DEL FNGR MEDIANTE SUBSIDIO DE ARRIENDO TEMPORAL PARA 4 FAMILIAS AFECTADAS EN EL 2012 POR TRES MESES A RAZON DE $100.000 MENSUAL</t>
  </si>
  <si>
    <t>APOYO DEL FNGR MEDIANTE SUBSIDIO DE ARRIENDO TEMPORAL PARA 19 FAMILIAS AFECTADAS EN EL 2012 POR TRES MESES A RAZON DE $150.000 MENSUAL</t>
  </si>
  <si>
    <t>APOYO DEL FNGR MEDIANTE SUBSIDIO DE ARRIENDO TEMPORAL PARA 9 FAMILIAS AFECTADAS EN EL 2012 POR TRES MESES A RAZON DE $150.000 MENSUAL</t>
  </si>
  <si>
    <t>APOYO DEL FNGR MEDIANTE SUBSIDIO DE ARRIENDO TEMPORAL PARA 327 FAMILIAS AFECTADAS EN EL 2012 POR TRES MESES A RAZON DE $150.000 MENSUAL</t>
  </si>
  <si>
    <t>APOYO DEL FNGR MEDIANTE SUBSIDIO DE ARRIENDO TEMPORAL PARA 2 FAMILIAS AFECTADAS EN EL 2012 POR TRES MESES A RAZON DE $250.000 MENSUAL</t>
  </si>
  <si>
    <t>PUTUMAYO</t>
  </si>
  <si>
    <t>QUE DEBIDO A LAS FUERTES LLUVIAS DURANTE LA NOCHE Y MADRUGADA DEL DIA DE HOY RESULTARON INUNDADOS LOS BARRIOS LA QUINTA Y SANTA RITA.AL SITIO SE DESPLAZA PERSONAL VOLUNTARIO DE LA CRUZ ROJA  DE FACATATIVA A REALIZAR EL RESPECTIVO EDAN</t>
  </si>
  <si>
    <t>EL DIA 12 DE ENERO SE PRESENTO UN INCEDIO FORESTAL AFECTANDO 40 HECTAREAS LE CUAL YA FUE LIQUIDADO EN SU TOTALIDAD.</t>
  </si>
  <si>
    <t>SE PRESENTO UN INCENDIO FORESTAL AFECTADO 1 HECTAREA , EL CUAL YA FUE CONTROLADO.</t>
  </si>
  <si>
    <t>REPORTA INCENDIO FORESTAL DE PASTIZAL ENTRE LAS VEREDAS TOCHO Y EL BANGUITO FINCA LA ICOTEA, ATIENDE BOMBEROS, 30 HECTAREAS AFECTADAS, CONTROLADO Y EXTINGUIDO, REPORTA EDINSON PALMA CDGRD</t>
  </si>
  <si>
    <t>LA GUAJIRA</t>
  </si>
  <si>
    <t>CDGRD DE CESAR, INFORMA INCENDIO FORESTAL,  EXTINGUIDO, EN LA VÍA QUE  CONDUCE DEL MPIO DE LA PAZ, AL MPIO DE SAN DIEGO, FINCA: CURUAL, SE CONSUMIERON: 5 HECTÁREAS DE PASTOS, APOYARON. BOMBEROS.</t>
  </si>
  <si>
    <t>D.C.C., INFORMA,  FUNCIONARIO CARLOS DONADO DE LA SECCIONAL CESAR, QUE SIENDO LAS 06:00 HORAS A.M. DE HOY 18-01-13, SE REGISTRO INCENDIO FORESTAL EN LA VEREDA MINA DE IRACAL JURISDICCIÓN DEL MUNICIPIO DE PUEBLO BELLO: PARTICIPAN 15 LIDERES VOLUNTARIOS DCC Y EL EVENTO SE ENCUENTRA EN PROCESO DE EXTINCIÓN, PENDIENTE AFECTACIÓN.</t>
  </si>
  <si>
    <t xml:space="preserve">D.C.C, INFORMA,  FUNCIONARIA PATRICIA TORRES DE LA SECCIONAL SANTANDER, QUE ENTRE LAS 11:30 A.M. Y LAS 13.30 HORAS DE HOY 18-01-13, FUE CONTROLADO Y EXTINGUIDO INCENDIO ESTRUCTURAL OCURRIDO EN 1 ASERRIO UBICADO EN EL BARRIO BRISAS DEL NORTE BAJO DE LA CIUDAD DE BUCARAMANGA, EN DONDE RESULTARON AFECTADOS POR EL HUMO 5 PERSONAS CIVILES Y 1 BOMBERO SIN MAS AFECTACIONES REPORTADAS. </t>
  </si>
  <si>
    <t>D.C.C, INFORMA,  FUNCIONARIO MAURICIO OROZCO DE LA SECCIONAL CALDAS, SOBRE CONTROL Y EXTINCIÓN DE INCENDIO ESTRUCTURAL OCURRIDO ENTRE LAS 17:00 Y LAS 19:00 HORAS DEL DIA 17-01-13 EN EL BARRIO COLOMBIA DE LA CIUDAD DE MANIZALES (CALLE 47 NO. 29-40) CON SALDO DE 2 AFECTADOS DE 1 FAMILIA EN 1 VIVIENDA. APOYARON, 11 LIDERES VOLUNTARIOS DCC EN COLABORAR AL CUERPO DE BOMBEROS.</t>
  </si>
  <si>
    <t>D.C.C, INFORMA INCENDIO ESTRUCTURAL, EN LA VEREDA: GUARUMO, EVENTO PRESENTADO EL 16-01-2013, 1 BEBE MUERTO, , 2 HERIDOS, 4 PERSONAS AFECTADAS DE 1 FAMILIA, 1 VIVIENDA DESTRUIDA, APOYARON BOMBEROS, POLICIA, D.C.C.</t>
  </si>
  <si>
    <t>D.C.C., INFORMA, INCENDIO FORESTAL, EXTINGUIDO,  EN EL M/PIO DE MEDELLIN EL 17-01-2013 A LAS 15: 50 HORAS, RESULTANDO 60 HECTAREAS, AFECTADAS DE:  VEGETACIÓN NATIVA.</t>
  </si>
  <si>
    <t>D.C.C, INFORMA, EN EL MUNICIPIO DE SANTUARIO SECTOR LA COQUERA, SE PRESENTÓ INCENDIO FORESTAL, EXTINGUIDO,  CONSUMIENDO UNA CUADRA DE RASTROJO. EVENTUALIDAD FUE APOYADA POR 5 LIDERES DE LA  JDC DE  SANTUARIO Y COMITÉ LA MARINA.</t>
  </si>
  <si>
    <t xml:space="preserve">D.C.C, REPORTA SECCIONAL CESAR, SOBRE CONTROL Y EXTINCIÓN DE INCENDIO FORESTAL OCURRIDO A LAS 06:00 HORAS A.M DEL DIA 17-01-13 EN LA VEREDA LA PAILA JURISDICCIÓN DEL MUNICIPIO DEL COPEY, Y QUE DEJA SALDO DE 50 HECTÁREAS DE VEGETACION NATIVA AFECTADAS. </t>
  </si>
  <si>
    <t>CDGRD, INFORMA, MY. IVÁN DARÍO VALENZUELA COORDINADOR DEPARTAMENTAL DE BOMBEROS DE CUNDINAMARCA, INCENDIO FORESTAL EN LA VEREDA: LOS NARANJOS DEL MUNICIPIO DE GAMA, INICIADO A LAS 19:30 HORAS DEL 17/01/13 Y EXTINGUIDO A LAS 04:30 HORAS DEL DÍA 18/01/13,  CON AFECTACIÓN DE 7 HECTÁREAS ENTRE VEGETACIÓN NATIVA Y RASTROJO. ATENDIÓ BOMBEROS GACHETA.</t>
  </si>
  <si>
    <t>D.C.C., REPORTA DIRECTOR SECCIONAL SOBRE: ALTAS TEMPERATURAS PROVOCAN PEQUEÑA QUEMA DE UN CERRO ALEDAÑO AL CASCO URBANO DEL MUNICIPIO; DENTRO DE LAS ACCIONES TOMADAS POR LA DCC UN COMITÉ DE LÍDERES ACUDEN HASTA EL SECTOR Y APAGAN EL FUEGO UTILIZANDO HERRAMIENTAS DE MANGO LARGO Y VALDÉS CON AGUA, SE CONSUMIO 1 HECTÁREA.</t>
  </si>
  <si>
    <t>REPORTA CDGRD SANTANDER, INCENDIO FORESTAL, REACTIVADO, EN LAS VEREDAS: GUAIMARAL Y EL PANTANO, SE HAN CONSUMIDO: 10 HECTÁREAS DE: BOSQUE NATIVO, APOYAN:  D.C.C, BOMBEROS, EN LA MAÑANA DE HOY SE DESPLAZO COMISION A LA ZONA Y SE CONFIRMO QUE SOL HABIA COLUMNAS DE HUMO MAS NO INCENDIO, SE PROCEDIO A REMOCION DE CAPA VEGETAL Y SE EXTINGIO COMPLETAMENTE.</t>
  </si>
  <si>
    <t>REPORTA CDGRD SANTANDER QUE EL INCENDIO FORESTAL QUE SE ESTABA PRESENTANDO  LA VEREDA HOYA DE LOS PÁJAROS, EL CUAL SE INICIO EN HORAS DE LA NOCHE DEL DÍA ANTERIOR, YA SE CONTROLÓ Y EXTINGUIO TOTALMENTE CON PERSONAL DE BOMBEROS, DEFENSA CIVIL, POLICÍA Y PERSONAS DE LA REGIÓN. SE AFECTARON 07 HECTÁREAS EN TOTAL DE DOS FINCAS, EN LA FINCA EL PINO 04 HECTÁREAS Y EN LA FINCA EL ALTO 03 HECTÁREAS DE TERRENOS DE BOSQUES, PASTOS Y MALEZAS. NO HUBO AFECTACIÓN DE PERSONAS NI DE VIVIENDAS.</t>
  </si>
  <si>
    <t>REPORTA CDGRD SANTANDER QUE EL INCENDIO FORESTAL QUE SE ESTABA PRESENTANDO  LA VEREDA LA ESPUMA, EL CUAL INICIO EN HORAS DE LA NOCHE DEL DÍA ANTERIOR, YA SE CONTROLÓ Y EXTINGUIO TOTALMENTE CON PERSONAL DE BOMBEROS, DEFENSA CIVIL RIONEGRO, EL PLAYÓN, POLICÍA Y PERSONAS DE LA REGIÓN, SE AFECTARON 30 HECTÁREAS EN TOTAL DE TERRENOS DE BOSQUES, PASTOS Y MALEZAS. ENTRE ELLAS SE QUEMO 1 ½  HECTÁREA DE PINOS.  NO HUBO AFECTACIÓN DE PERSONAS NI DE VIVIENDAS.</t>
  </si>
  <si>
    <t>REPORTA INCENDIO FORESTAL EN EL CERRO EL VENADO SECTOR LA VIRGEN, ATIENDE BOMBEROS, AFECTACION DE HECTAREAS 1,5 , CONTROLADO Y EXTINGUIDO, REPORTA CABO RAMIREZ BOMBEROS YOPAL.</t>
  </si>
  <si>
    <t>CDGRD REPORTA QUE INCENDIO FORESTAL DESARROLLADO EN LA VEREDA ARMENIA FINCA SANTA HELENA, FUE CONTROLADO Y EXTINGUIDO EN SU TOTALIDAD, REPORTA U8NA AFECTACION DE 15 HECTAREAS DE PASTO Y MALEZA,POSIBLE CAUSA RUPTURA DE CABLE DE ALTA TENSION, NO VIVIENDAS, PERSONAS O ANIMALES AFECTADOS, APOYO BOMBEROS BETULIA, DEFENSA CIVIL Y POLICIA DEL MUNICIPIO.</t>
  </si>
  <si>
    <t>CDGRD REPORTA QUE SE PRESENTO INCENDIO ESTRUCTURAL EN EL BARRIO GIRARDOT, VIVIENDA DE DOS NIVELES, SOLO DAÑOS EN ESERES, ATENDIO BOMBEROS BUCARAMANGA, CONTROLADO A TIEMPO.</t>
  </si>
  <si>
    <t>CDGRD REPORTA EN HORAS DE LA TARDE SE PRESENTO CONATO DE INCENDIO FORESTAL  CORREGIMIENTO PUEBLO TAPAO, FINCA ONCE CASAS, AFECTANDO COBERTURA VEGETAL EN 10 METROS CUADRADOS , ATENDIO BOMBEROS DE ESTE CORREGIMIENTO. CONTROLADO A TIEMPO</t>
  </si>
  <si>
    <t>EN LA LOCALIDAD ANTONIO NARIÑO BARRIO SANTANDER SE PRESENTO UN INCENDIO ESTRUCTURAL EN VIVIENDA DE 2 NIVELES, LA CAUSA AL PARECER UNA VELADORA, SE EVACUARON 6 PERSONAS 4 ADULTOS, 2 MENORES DE EDAD, Y LESIONADOS COMO TAL 2 ADULTOS Y LOS DOS MENORES TRASLADADOS A CLINICA DE LA POLICIA Y HOSPITAL SANTA CLARA, INCIDENTE ATENDIDO POR BOMBEROS, SECRETARIA DE SALUD Y POLICIA.</t>
  </si>
  <si>
    <t>REPORTA INCENDIO ACTIVO DESDE EL DÍA DE AYER, 19 DE ENERO, EN EL MUNICIPIO DE YUMBO, 15 HECTÁREAS.</t>
  </si>
  <si>
    <t>CDGRD REPORTA INCENDIO FORESTAL PEQUEÑO EN LA VIA LA CORDIALIDAD QUE CONDUCE A LURUACO, BOMBEROS SABANALARGA LA AFECTACION SE REGISTRA EN 50 METROS LINEALES Y DE ANCHO PARALELO A LA CARRETERA EN 300 METROS CUADRADOS</t>
  </si>
  <si>
    <t>CDGRD REPORTA INCENDIO FORESTAL EN ESTE MUNICIPIO EN CORREGIMIENTO DE PALERMO, EN ENLACE CON CDGRD DE ATLANTICO APOYA CON BOMBEROS SOLEDAD Y BARRANQUILLA POR CERCANIA, 3 MAQUINAS DE BOMBEROS Y UN CARROTANQUE.</t>
  </si>
  <si>
    <t>CDGRD REPORTA INCENDIO FORESTAL EN EL ALTO DE LA YUCA KM 51 VIA IBAGUE -LERIDA ATIENDE BOMBEROS VENADILLO CON MOVIL 2 Y 5 UNIDADES PENDIENTE MAS INFORMACION.</t>
  </si>
  <si>
    <t>REPORTA CDGRD INCENDIO FORESTAL EN LA LAGUNA DEL OTUN, SECTOR LA ASOMADERA, 50 HECTAREAS AFECTADAS HASTA EL MOMENTO, SEGUN REPORTE DE PARQUES NATURALES LOS CUALES A SU VEZ SOLICITAN APOYO,  EL DIA DE MAÑANA SALE A LAS 03:00 AM COMISION DE CRUZ ROJA, DEFENSA CIVIL, BOMBEROS Y PONAL AL SITIO, SE ESPERA EDAN ANTES DE LAS 10 AM PARA DETERMINAR ACCIONES A SEGUIR, SITUACION EN PROCESO</t>
  </si>
  <si>
    <t>SEPRESENTO UN INCEDIO FORESTAL EN EL PARQUE INDUSTRIAL FINCA LA CUELLAR AFECTANDO UNA HECTAREA EL CUAL FUE CONTROLADO EN SU TOTALIDAD.</t>
  </si>
  <si>
    <t>REPORTA POLICIA DEPARTAMENTO DE SANTANDER QUE SE CONTROLARON INCENDIO EN LA  VEREDA SANTA TERESA EL MOLINO SECTOR FINCA PUENTE DE ARCO PERSONAL ADSCRITO A LA ESTACIÓN DE POLICIA VALLE DE SAN JOSÉ, PERSONAL DE POLICIA DE LA ESTACIÓN PARAMO Y PERSONAL DE BOMBEROS DEL MUNICIPIO DE PARAMO, DONDE SE QUEMARON APROXIMADAMENTE 3 HECTÁREAS DE CAÑA DE AZÚCAR,</t>
  </si>
  <si>
    <t>REPORTA DE ACUERDO A INFORMACION ENTREGADA POR COORDINADORA C.M.G.R.D. DEL MUNICIPIO DE BETULIA, EN HORAS DE LA NOCHE FUE INFORMADO QUE SE REACTIVO INCENDIO FORESTAL EN LA VEREDA ARMENIA, A PRIMERA HORA DE LA MAÑANA SE DESPLAZO PERSONAL DE BOMBEROS DEL MUNICIPIO, LOS CUEALES LO CONTROLARON Y EXTINGUIERON EN SU TOTALIDAD, SE QUEMARON 12 HECTAREAS DE PASTIZALES, NO SE PRESENTO AFECTACION DE PERSONAS O VIVIENDAS.</t>
  </si>
  <si>
    <t>SE PRESENTA INCENDIO FORESTAL EN LA VEREDA  CAMPOALEGRE , SE ESTA VERIFICANDO  CON EL CMGRD .</t>
  </si>
  <si>
    <t>REPORTA INCENDIO FORESTAL EN EL MUNICIPIO DE SUAREZ TOLIMA, CORDILLERA CENTRAL COSTADO ORIENTAL DEL  MUNICIPIO, VEREDA MONTERANO, FINCA GRIMAL. VOLUNTARIOS DE ORGANISMOS DE SOCORRO CONTROLAN Y EXTINGUEN EL INCENDIO. SE ESTA A LA ESPERA POR LA CUANTIA DE HECTAREAS AFECTADAS.</t>
  </si>
  <si>
    <t>REPORTA QUE SE PRESENTO EN HORAS DE LA TARDE UN INCENDIO FORESTAL EN LA VEREDA NARANJITOS, SE AFECTARON 03 HECTAREAS DE PASTIZALES, NO SE REGISTRO MAS AFECTACION.</t>
  </si>
  <si>
    <t>INCENDIO FORESTAL EN LA URBANIZACIÓN EL PARAÍSO, INICIADO A LAS 09:45, CONTROLADO Y EXTINGUIDO A LAS 11:00 HORAS, CON AFECTACIÓN DE 1 HECTÁREA DE RASTROJO. ATENDIÓ BOMBEROS, POLICÍA Y COMUNIDAD. REPORTA GABRIEL SALDARRIAGA DE BOMBEROS TOCAIMA.</t>
  </si>
  <si>
    <t>INCENDIO FORESTAL EN LA VEREDA GUARUMO CON AFECTACIÓN DE 1 HECTÁREA DE BOSQUE NATIVO,  INICIADO A LAS 10:00 Y EXTINGUIDO A LAS 14:00 HORAS DEL 20/01/13,  ATENDIÓ, DEFENSA CIVIL, CMGRD Y LA COMUNIDAD. REPORTA MAURICIO RIVEROS DE LA DEFENSA CIVIL SECCIONAL CUNDINAMARCA</t>
  </si>
  <si>
    <r>
      <t xml:space="preserve">INCENDIO FORESTAL EN LA VEREDA CHINGACIO ALTO  CON AFECTACIÓN DE 3 HECTÁREAS DE BOSQUE PLANTADO DE PINO RESINOSO,  INICIADO A LAS 08:00 CONTROLADO Y EXTINGUIDO A LAS 14:00 HORAS DEL </t>
    </r>
    <r>
      <rPr>
        <b/>
        <sz val="9"/>
        <rFont val="Arial"/>
        <family val="2"/>
      </rPr>
      <t>20/01/13</t>
    </r>
    <r>
      <rPr>
        <sz val="9"/>
        <rFont val="Arial"/>
        <family val="2"/>
      </rPr>
      <t>,  ATENDIÓ BOMBEROS, DEFENSA CIVIL, CMGRD Y LA COMUNIDAD. REPORTA MAURICIO RIVEROS DE LA DEFENSA CIVIL SECCIONAL CUNDINAMARCA</t>
    </r>
  </si>
  <si>
    <t>INCENDIO FORESTAL EN LA VEREDA SANTA HELENA,  CON AFECTACIÓN DE 4 HECTÁREAS DE BOSQUE NATIVO,  INICIADO A LAS 18:00  DEL 19/01/13, CONTROLADO Y EXTINGUIDO A LAS 03:00 HORAS DEL DIA 20/01/13, ATENDIÓ BOMBEROS, DEFENSA CIVIL, CMGRD Y LA COMUNIDAD. REPORTA MAURICIO RIVEROS DE LA DEFENSA CIVIL SECCIONAL CUNDINAMARCA</t>
  </si>
  <si>
    <t>CMGRD Y SOCORRO NACIONAL, INFORMA, INCENDIO FORESTAL, ACTIVO,  SECTOR: ALTOS DE NORMANDIA. CERRO TRES CRUCES,  UN CAMBIO EN LA DIRECCIÓN DEL VIENTO PROVOCÓ QUE LAS LLAMAS SE EXTENDIERAN HASTA EL SECTOR DE ALTO AGUACATAL. ATIENDEN, BOMBEROS, COMUNIDAD, SE HAN CONSUMIDO 4 HECTÁREAS, SITUACIÓN EN DESARROLLO.</t>
  </si>
  <si>
    <t>CDGRD DEL TOLIMA, INFORMA INCENDIO FORESTAL, EXTINGUIDO,ENTRE LOS MPIOS DE: VENADILLO Y AMBALEMA, SITIO: VILES, SE CONSUMIERON: 4 HECTÁREAS DE PASTO Y VEGETACIÓN SECA.</t>
  </si>
  <si>
    <t>CDGRD DEL TOLIMA, INFORMA INCENDIO FORESTAL, EXTINGUIDO, ENTRE LOS MPIOS DE: VENADILLO Y LERIDA, SITIO: KM: 51, SE CONSUMIO: 1 HECTÁREA DE PASTO Y VEGETACIÓN SECA.</t>
  </si>
  <si>
    <t>CDGRD DE SANTANDER, INFORMA, CUERPO DE BOMBEROS, SE PRESENTO INCENDIO ESTRUCTURAL EN LA CALLE 35 NRO 26-45, CASA DE DOS PISOS DONDE SE QUEMO EN UNA HABITACION LA ROPA Y ENSERES, PERDIDAS CALCULADAS EN 2.5 MILLONES DE PESOS, SIN MAS AFECTACION.</t>
  </si>
  <si>
    <t>CDGRD DE SANTANDER,  REPORTA LA CENTRAL DE RADIOS, EN CORREGIMIENTO:  TIENDA NUEVA, VEREDA: PUTANA BAJA, SE PRESENTO UN INCENDIO FORESTAL EN PREDIOS DE UNIPAZ QUE CONSUMIO 03 HECTAREAS DE MALEZA Y BOSQUE NATIVO.</t>
  </si>
  <si>
    <t>EN EL MUNICIPIO DE MARGARITA EN LA VEREDA  SAN MARTIN SE PRESENTA UN INCENDIO ESTRUCTURAL AFECTANDO A 11 VIVIENDAS, EL DIA 21 DE ENERO.</t>
  </si>
  <si>
    <t>EN EL MUNICIPIO DE SOLEDAD LA NOCHE ANTERIOR SEPRESENTO UN FUERTE VIENTO HURACANADOS AFECTANDO A 35 VIVIENDAS AL MOMENTO SE REALIZA EDAN, LA MAYOR AFECTACION FUE EN LAMINAS DE ZINC. TAMBIEN SE PRESENTA LA AFECTACION DE UNA IGLESIA.</t>
  </si>
  <si>
    <t>CDGRD REPORTA QUE DADAS LAS CONDICIONES TOPOGRAFICAS Y LOS FUERTES VIENTOS SOLICITO APOYO AEREO POR INCENDIO FORESTAL EN CERRO UBICADO APROXIMADAMENTE A UN KILOMETRO DEL SEMINARIO JUAN PABLO II DE LA CIUDAD DE VALLEDUPAR, EN EL TRANSCURSO DE LA TARDE REALIZAN LABORES RESPECTIVAS, ES CONTROLADO EN UNA PARTE, POR LO CUAL EN LAS PRIMERAS HORAS DE LA MAÑANA SALEN LAS ENTIDADES OPERATIVAS A RETOMAR LABORES</t>
  </si>
  <si>
    <t>CDGRD REPORTA EN CONJUNTO CON EL  COORDINADOR DEL CMGRD DEL MUNICIPIO DE LA GLORIA INCENDIO FORESTAL EN HORAS DE LA TARDE, SECTOR FINCA LA GLORIA QUE INICIÓ HACE APROXIMADAMENTE TRES HORAS, EL LUGAR DE OCURRENCIA DE ÉSTE ES LA HACIENDA LA GLORIA, EN EL SECTOR CAÑO ALONSO, EL INCENDIO FUE CONTROLADO APROXIMADAMENTE 30 HECTAREAS, PENDIENTE NUEVA CONFIRMACION</t>
  </si>
  <si>
    <t>CDGRD REPORTA INCENDIO FORESTAL EN ESTE MUNICIPIO EN HORAS DE LA CON APROXIMADAMENTE 4 HECTAREAS DE PRADERAS, SE CONTROLA POR PARTE DE BOMBEROS</t>
  </si>
  <si>
    <t>CDGRD REPORTA INCENDIO ESTRUCTURAL EN ESTE MUNICIPIO SECTOR CAMINO SANTA ISABEL CON AFECTACION DE 4 VIVIENDAS, 2 DESTRUIDAS Y 2 AVERIADAS,  15 PERSONAS, SE REALIZO RESPECTIVA ATENCION DE LA EMERGENCIA.</t>
  </si>
  <si>
    <t xml:space="preserve">MY. IVÁN DARÍO VALENZUELA COORDINADOR DEPARTAMENTAL DE BOMBEROS DE CUNDINAMARCA, REPORTA INCENDIO FORESTAL EN LA VEREDA SANTA BÁRBARA  DEL MUNICIPIO DE GUASCA, INICIADO A LAS 11:30  Y EXTINGUIDO A LAS 16:30 HORAS DEL 22/01/13. ATENDIÓ BOMBEROS GUASCA, AFECTACION EN 1 HECTAREA REPORTA CDGRD
</t>
  </si>
  <si>
    <t>TE. PEDRO JOSÉ CÁRDENAS DE BOMBEROS MANTA REPORTA INCENDIO FORESTAL EN LA VEREDA PALMAR ARRIBA INICIADO A LAS 09:00 Y EXTINGUIDO A LAS 15:00 HORAS DEL 22/01/13 CON AFECTACIÓN DE 2 HECTÁREAS ENTRE BOSQUE NATIVO Y RASTROJO. ATENDIÓ BOMBEROS MANTA Y COMUNIDAD, REPORTA CDGRD.</t>
  </si>
  <si>
    <t>REPORTAN DEL CDGRD QUE SE ESTA PRESENTANDO UN INCENDIO FORESTAL EN ZONA RURAL DE CIENAGA EN LA VEREDA DE SIBERIA , SITIO LLAMADA LA ISABELA, REPORTE DE LAS 20:09 HORAS, CONTINUA ACTIVO EL INCENDIO, SE HAN CONSUMIDO APROXIMADAMENTE: 10 HECTÁREAS DE: BOSQUE NATURAL, APOYAN, BOMBEROS DE CIENAGA Y CRC.</t>
  </si>
  <si>
    <t>CDGRD DE CUNDINAMACA, INFORMA INCENDIO FORESTAL, EXTINGUIDO, EN LA VEREDA: TUBALA, INICIADO: 23-01-2013,  22:00 HORAS, EXTINGUIDO EL DÍA DE HOY, SE CONSUMIERON: 10 HECTÁREAS DE: VEGETACIÓN NATIVA Y RASTROJO.</t>
  </si>
  <si>
    <t>CDGRD DE SANTANDER, INFORMA, INCENDIO FORESTAL, EXTINGUIDO, VEREDA: LA VEGA, GUATIGUARA Y RUITOQUE, SE CONSUMIERON APROXIMADAMENTE, ENTRE 80 A 100 HECTÁREAS DE: MALEZA, BOSQUE, VEGETACIÓN NATIVA.</t>
  </si>
  <si>
    <t>BOMBEROS, INFORMA, INCENDIO FORESTAL, EXTINGUIDO, EN LA VEREDA: BELLA VISTA, SECTOR: BUGANVILES, SE CONSUMIERON: 40 HECTÁREA DE: PASTO, MALEZA, VEGETACIÓN NATIVA.</t>
  </si>
  <si>
    <t>CDGRD DEL HUILA, INFORMA, INCENDIO FORESTAL, EN LA VEREDA: SAN RAFAEL, LIMITES CON EL MPIO DE LA PLATA, SE CONSUMIERON: 33 HECTÁREAS DE: PASTOS, INCLUIDA 1/2 HECTÁREAS DE CAFÉ, 1 PERSONA HERIDA CON QUEMADURAS EN MANOS Y BRAZOS, PROPIETARIO DE LA FINCA, SR. ARCESIO PALECHOR, APOYARON: BOMBEROS Y COMUNIDAD.</t>
  </si>
  <si>
    <t xml:space="preserve">CDGRD DEL HUILA, INFORMA INCENDIO FORESTAL, EXTINGUIDO, VEREDA: BAJO BRASIL, SE CONSUMIERON: 4 HECTÁREAS DE BISQUE Y ARBUSTOS. </t>
  </si>
  <si>
    <t xml:space="preserve">CDGRD REPORTA EN MOLAGAVITA: INFORMARON A LAS 20:00 QUE SE PRESENTA UN INCENDIO FORESTAL EN LA VEREDA LAGUNA DE OCHOA, ALCALDESA INFORMA QUE SALIÓ UNA COMISIÓN A LAS 18:00 HORAS, Y QUE A LAS 22:30 HORAS REPORTA PERSONAL QUE SE DESPLAZO QUE EL INCENDIO FUE CONTROLADO EN SU TOTALIDAD, NO SE TIENEN DATOS DEL ÁREA AFECTADA POR ENCONTRARSE DE NOCHE, PENDIENTE CONFIRMACION DE DATO.
</t>
  </si>
  <si>
    <t>BUCARAMANGA: SE PRESENTARON 06 CONATOS DE INCENDIOS FORESTALES EN LOS BARRIOS PROVENZA, ESTORAQUES, PORVENIR, PAN DE AZÚCAR, LOS CUALES FUERON ATENDIDOS A TIEMPO, NO SE REGISTA MAYOR AFECTACION.</t>
  </si>
  <si>
    <t>CDGRD REPORTA ATENCION DE DOS QUEMAS EN COBERTURA DE SUELOS Y RESIDUOS SOLIDOS EN UN SECTOR DEL BARRIO SANTANDER Y LA CRA 11 CON CALLE 30, AMBAS SITUACIONES FUERON DE PEQUEÑAS PROPORCIONES, CONTROLADO Y ATENDIDO POR BOMBEROS.</t>
  </si>
  <si>
    <t>CMGRD REPORTA ATENCION DE INCENDIO FORESTAL QUE INICIO SOBRE LAS 19:40 EN EL SECTOR ACUAPARQUE KM 17 VIA PUERTO LOPEZ AFECTACION EN APROXIMADAMENTE 10 HECTAERAS DE VEGETACION, 3 MAQUINAS DE BOMBEROS, CRUZ ROJA Y DEFENSA CIVIL ATENDIERON,FINALIZANDO SOBRE LA 01:00 HORAS.</t>
  </si>
  <si>
    <t xml:space="preserve">REPORTAN INCENDIO FORESTAL DE GRAN MAGNITUD EN LA VEREDA SAN RAFAEL SEGÚN REPORTE DE OSCAR SALAZAR FUNCIONARIO BOMBEROS DEL MUNICIPIO SE QUEMARON 60 HECTÁREAS DE PASTOS MALEZAS Y BOSQUE NATIVOS. FUE CONTROLADO CON EL APOYO BOMBEROS DE EL PARAMO, PERSONAL DE POLICÍA DE LA ESTACIÓN LOS SANTOS Y PERSONAS DEL MUNICIPIO, NO SE PRESENTARON DAÑOS DE VIVIENDAS, NI PERSONAS, REPORTA BOMBEROS QUE CONTINUA EL INCENDIO Y YA EMPEZO A CONSUMIR LA MONTAÑA SOBRE LA CUAL ESTA EL TELESFERICO DEL PARQUE TURISTICO PANACHE, ESTAN TRABAJANDO EN LA ZONA, SIN MAS DATOS AL MOMENTO, EN ESPERA DE APOYO HELICOPORTADO.
CDGRD DE SANTANDER,  REPORTA BOMBEROS QUE CONTINUA EL INCENDIO FORESTAL, EN LA VEREDA: SAN RAFAEL,  EL CUAL YA EMPEZO A CONSUMIR LA MONTAÑA SOBRE LA CUAL ESTA EL TELESFERICO DEL PARQUE TURISTICO PANACHE, PERSONAL DE BOMBEROS SE RETIRO DEL SECTOR PARA INICIAR LABORES EN HORAS DE LA MAÑANA, MANIFIESTA, QUEDARON UNOS FOCOS DE INCENDIO EN UNA ZONA DE DIFICIL ACCESO, APROXIMADAMENTE, ENTRE 300 HECTAREAS O MAS HAN SIDO AFECTADAS POR EL INCENDIO, SITUACIÓN EN DESARROLLO.
23-01-13. CDGRD REPORTA EN LOS SANTOS: REPORTA QUE YA ESTA APAGADO EN SU TOTALIDAD INCENDIO FORESTAL DE LA VEREDA SAN RAFAEL, NO HAY UNA CONFIRMACIÓN DE ÁREA AFECTADA POR BOMBEROS DE LOS SANTOS, SE ESTA A LA ESPERA DE REPORTE OFICIAL POR PARTE DE LA ENTIDAD COMPETENTE.
</t>
  </si>
  <si>
    <t>SISMO</t>
  </si>
  <si>
    <t>REPORTA ALCALDIA DE AMBALEMA CON LA NOVEDAD DE UN INCENDIO FORESTAL EN LA VEREDA BOQUERON, 12 HECTAREAS AFECTADAS, CONTROLADO Y EXTINGUIDO POR LA DC AMBALEMA Y FUNCIONARIOS DEL CMGRD.</t>
  </si>
  <si>
    <t>CDGRD DE BOYACA, INFORMA, INCENDIO FORESTAL, EXTINGUIDO, EN LA VEREDA: GUINTIVA, LIMITES CON EL MPIO DE CHIVATA, SE CONSUMIERON, 30 HECTÁREAS DE: BOSQUE DE PINO, EUCALIPTO, CONTO CON, APOYO AÉREO, BOMBEROS, DCC, CRUZ ROJA, FAC,  FFMM, CORPOBOYACÁ, SCOUTS, PONAL, ALCALDIAS DE TUTA, CHIVATÁ Y OICATÁ</t>
  </si>
  <si>
    <t>CDGRD DE BOYACA, INFORMA, INCENDIO FORESTAL, EXTINGUIDO, EN LA VEREDA: EL MICO, PENDIENTE AFECTACIÓN, GUINTIVA, LIMITES CON EL MPIO DE CHIVATA, APOYO:  BOMBEROS.</t>
  </si>
  <si>
    <t>CDGRD DE BOYACA, INFORMA INCENDIO FORESTAL, EXTINGUIDO, VEREDA: GUAVANI, SE CONSUMIERON. 3 HECTÁREAS DE: VEGETACIÓN NATIVA, APOYARON: D.C.C., COMUNIDAD.</t>
  </si>
  <si>
    <t>CDGRD DE BOYACA, INFORMA INCENDIO FORESTAL, EXTINGUIDO, EN LA VEREDA: REYES PATRIA, APOYARON: D.C.C., ALCALDIA TIBASOSA.</t>
  </si>
  <si>
    <t>CDGRD DEL META Y BOMBEROS, INFORMA, 23-01-2013 A LA 1:25 PM, QUEDO LIQUIDADO EL INCENDIO FORESTAL, EN LA VÍA A PUERTO GAITAN,  EN LA FINCA EL DESCANSO,   VEREDA EL MELUA APROXIMADAMENTE A 1 HORA DE CAMINO, DONDE SE AFECTARON 697  HT. DE SABANA Y PASTIZALES Y 3 HT. DE PASTO MEJORADO, PENDIENTE VERIFICACIÓN DE INICIO DE ESTE INCENDIO FORESTAL.</t>
  </si>
  <si>
    <t xml:space="preserve">CDGRD DEL META Y BOMBEROS, INFORMA, 23-01-2013, QUE DESDE   LAS 15:15  SE ATIENDE UN INCENDIO FORESTAL EN EL KM. 70  MAS 15 KM. AL FONDO VÍA AL MPIO DE  PTO. GAITAN  APROXIMADAMENTE A HORA Y MEDIA DE CAMINO SITIO:  HACIENDA: LA FAZENDA, DONDE SE HAN AFECTADO, CULTIVOS DE MAÍZ Y SOCA DE MAÍZ,   UTILIZADO PARA ALIMENTACIÓN DE LOS CERDOS, PENDIENTE AFECTACIÓN. </t>
  </si>
  <si>
    <t>CDGRD DEL CESAR, INFORMA, INCENDIO FORESTAL, CONTROLADO, EN 90%, DESDE EL 19-01-2013, CERRO: ECCEHOMO, CERCA DEL CEMENTERIO, SE HAN CONSUMIDO APROXIMADAMENTE: ENTRE 30 A 50 HECTÁREAS DE:  BOSQUE NATIVO, APOYAN. BOMBEROS, D.C.C.</t>
  </si>
  <si>
    <t>CDGRD DEL QUINDIO, INFORMA INCENDIO ESTRUCTURAL, BARRIO: PORVENIR, PERDIDAS POR UN VALOR DE $ 1,500,000 EN ENSERES, APOYARON BOMBEROS DE TEBAIDA.</t>
  </si>
  <si>
    <t>BOMBEROS, INFORMA, EXPLOSIÓN EN GASODUCTO, ENTRE LOS MPIOS DE SAN JUAN DEL CESAR Y VILLANUEVA, APOYAN BOMBEROS, SITUACIÓN EN DESARROLLO.</t>
  </si>
  <si>
    <t>AVALANCHA</t>
  </si>
  <si>
    <t>SE PRESENTA UN INCENDIO FORESTAL EN  EL COLEGIO BRAULIO CAMPESTRE AFECTANDO 6 HECTAREAS, YA ESTA CONTROLADO EL INCENDIO.</t>
  </si>
  <si>
    <t>REPORTA INCENDIO FORESTAL EN LA URBANIZACION ESMERALDA SECTOR ALTOS DEL SANJORGE AFECTANDO 12 HECTAREAS DE BOSQUE NATIVO, CONTROLADO Y EXTINGUIDO POR BOMBEROS. REPORTA CDGRD.</t>
  </si>
  <si>
    <t>REPORTA  COLAPSO DE PUENTE PEATONAL A CAUSA DE AVALANCHA DEL RIO, AFECTANDO LA COMUNIDAD DE CORREGIMIENTO  PUERTO VENUS, VEREDA EL PIÑAL DEJANDO AFECTADAS A 20 FAMILIAS DEL SECTOR.</t>
  </si>
  <si>
    <t>CDGRD REPORTA ACCIDENTE DE TRANSITO EN ESTE MUNICIPIO FALLECE UNA DOCENTE, SU HIJA RESULTA HERIDA LA CUAL ES TRASLADADA AL HOSPITAL DE FLORENCIA.</t>
  </si>
  <si>
    <t xml:space="preserve">CDGRD REPORTA, PEDRO CÁRDENAS DE BOMBEROS MANTA REPORTA INCENDIO FORESTAL EN LA VEREDA CABRERA INICIADO A LAS 18:30 Y EXTINGUIDO A LAS 19:30 HORAS DEL DÍA 22/01/13 CON AFECTACIÓN DE 1 HECTÁREA DE PASTO MEJORADOS. ATENDIÓ BOMBEROS MANTA Y COMUNIDAD.
</t>
  </si>
  <si>
    <t xml:space="preserve">CDGRD REPORTA SE REGISTRO UNA EXPLOSION EN GASODUCTO QUE PASA POR ESTE MUNICIPIO, VEREDA JUNCALITO KILOMETRO135, NO DAÑOS EN VIVIENDAS ,  NI PERSONAS. </t>
  </si>
  <si>
    <t>CDGRD DE SANTANDER, INFORMA, INCENDIO FORESTAL, EXTINGUIDO, EN LA VÍA LOS CACAOS, VEREDA: SANTA BARBARA,SECTOR: LA BATICOLA, SE CONSUMIERON: 2,5 HECTÁREAS DE: BOSQUE Y RASTROJO. SITUACIÓN EN DESARROLLO.</t>
  </si>
  <si>
    <t>CDGRD DEL HUILA, REPORTA, INCENDIO FORESTAL EXTINGUIDO, NOCHE ANTERIOR, VEREDA: LAS DELICIAS, AFECTADAS:2,5 HECTÁREAS DE: VEGETACIÓN NATIVA, APOYARON BOMBEROS DE ACEVEDO.</t>
  </si>
  <si>
    <t>CDGRD DEL HUILA, INCENDIO ESTRUCTURAL, NOCHE ANTERIOR EN UNA TRILLADORA, PERDIDAS APROXIMADAS POR $200,000,000, ENTRE MOTORES Y MATERIA PRIMA.</t>
  </si>
  <si>
    <t>D.C.C., INFORMO INCENDIO FORESTAL, EXTINGUIDO,  CASCO URBANO, PRESENTADO, 23-01-2013, SE CONSUMIERON 3 HECTÁREAS, DE VEGETACIÓN NATIVA, SE VERIFICO, INFORMACIÓN CON EL CDGRD DE SUCRE.</t>
  </si>
  <si>
    <t>BOMBEROS, REPORTA, INCENDIO FORESTAL EXTINGUIDO, EN LA VEREDA: TENDAL, PRESENTADO LA NOCHE ANTERIOR, SE CONSUMIO 1/2 HECTÁREA DE CULTIVOS, APOYARON BOMBEROS DE FUNDACIÓN.</t>
  </si>
  <si>
    <t>CDGRD DE ATLÁNTICO, INFORMA DESPLOME DE VIVIENDA, 4 PERSONAS HERIDAS, TRASLADADAS A CENTROS HOSPITALARIOS.</t>
  </si>
  <si>
    <t>CDGRD DE NARIÑO, INFORMA, INCENDIO ESTRUCTURAL, EN EL BARRIO: BELEN, 1 FAMILIA AFECTADA.</t>
  </si>
  <si>
    <t xml:space="preserve">CDGRD DE INIRIDA, EL DIA DE AYER SE PRESENTÓ UN INCENDIO ESTRUCTURAL,  EN UNA CASA POR CORTO CIRCUITO,  BARRIO LA PRIMAVERA SEGUNDA ETAPA, EL CUAL YA FUE CONTROLADO, EN HORAS DE LA TARDE, SE COORDINO CON BOMBEROS PARA BRINDAR,  AYUDA DE VIVERES, COLCHONETAS Y ROPA, EL LUNES SE COORDINARÁ CON LA ALCALDIA MAYORES AYUDAS.
</t>
  </si>
  <si>
    <t>CDGRD DE BOYACA, INFORMA INCENDIO FORESTAL, EXTINGUIDO, SE CONSUMIERON: 3 HECTÁREAS, PENDIENTE TIPO DE VEGETACIÓN CONSUMIDA Y SECTOR.</t>
  </si>
  <si>
    <t xml:space="preserve">CDGRD DEL VALLE DEL CAUCA, INFORMA,  SE DESPLOMO EL TECHO DE UNA VIVIENDA DE UNA COMUNIDAD INDIGENA, AFECTANDO 15 FAMILIAS, 45 PERSONAS, SIN HERIDOS. </t>
  </si>
  <si>
    <t>CDGRD DE SANTANDER, INFORMA INCENDIO FORESTAL, EXTINGUIDO, VEREDA: PORVENIR,  2 HECTÁREAS DE VEGETACIÓN NATIVA, CONSUMIDAS.</t>
  </si>
  <si>
    <t>CDGRD DE SANTANDER, INFORMA INCENDIO FORESTAL, EXTINGUIDO, 25-01-2013, FINCA: MONTECARLO, 8 HECTÁREAS CONSUMIDAS, DE PALMA AFRICANA.</t>
  </si>
  <si>
    <t>CMGRD REPORTA QUE EL CUERPO DE BOMBEROS DE ESTE MUNICIPIO ACUDIERON A PRESTAR AYUDA  A LA POBLACION DE DEL AMPARO EN VENEZUELA, CONTROLADO Y EXTINGUIDO, AFECTACION DE 4 HECTAREAS</t>
  </si>
  <si>
    <t>CDGRD, 11:20 HORAS REPORTAN CONATO DE INCENDIO FORESTAL DEBAJO DEL PUENTE LA FLORA CON UN ÁREA AFECTADA DE 80 METROS DE UN BASURERO Y BOSQUES DEL SECTOR. NO SE REGISTRO AFECTACIÓN DE PERSONAS Y VIVIENDAS</t>
  </si>
  <si>
    <t xml:space="preserve">CDGRD REPORTA EL DIA DE AYER EN FLORIDABLANCA, SOBRE LAS 17:30 HORAS, EN LA TRANSVERSAL ORIENTAL EN LA VÍA QUE DEL BARRIO PIAMONTE CONDUCE AL CARMEN, SE PRESENTÓ  CONATO DE INCENDIO FORESTAL CON UN ÁREA AFECTADA DE 20 METROS DE BOSQUES NATIVOS Y MALEZAS DEL SECTOR. NO SE PRESENTÓ AFECTACIÓN DE PERSONAS O VIVIENDAS.
</t>
  </si>
  <si>
    <t xml:space="preserve">CDGRD REPORTA EN BARRANCABERMEJA QUE SOBRE LAS 15:50 HORAS, BARRIO EL PALMAR REPORTAN CONATO DE INCENDIO FORESTAL CON UN ÁREA AFECTADA DE 80 METROS DE UN BASURERO Y BOSQUES NATIVOS DEL SECTOR. NO SE REGISTRO AFECTACIÓN DE PERSONAS O VIVIENDAS.
</t>
  </si>
  <si>
    <t xml:space="preserve">CDGRD INFORMA EN BOLÍVAR 21:20 HORAS REPORTAN INCENDIO FORESTAL EN LA VEREDA TURE, SIN CONOCER HASTA EL MOMENTO LA MAGNITUD Y DAÑOS OCURRIDOS MANIFESTARON LOS ORGANISMOS DE EMERGENCIA Y POLICÍA NACIONAL, SOLO EN HORAS DE LA MAÑANA SALDRÁN A VERIFICAR Y CONTROLARLO.
</t>
  </si>
  <si>
    <t>D.C.C, REPORTA,  DIRECTOR SECCIONAL BOLIVAR, QUE ENTRE LAS 01:00 Y LAS 04:00 HORAS DEL DIA 25-01-13, FUE CONTROLADO Y EXTINGUIDO, INCENDIO ESTRUCTURAL EN EL CORREGIMIENTO PASACABALLOS JURISDICCIÓN DEL MUNICIPIO DE CARTAGENAS CON SALDO DE 6 AFECTADOS DE 1 FAMILIA EN 1 VIVIENDA. PARTICIPARON EN OPERACION, 6 LIDERES VOLUNTARIOS DCC DURANTE 3 HORAS.</t>
  </si>
  <si>
    <t>CDGRD DE SANTANDER, INFORMA, INCENDIO FORESTAL, EXTINGUIDO, 26-01-2013, VEREDA: ALTO TRIUNFO, AFECTANDO: 4 HECTÁREAS DE: BOSQUE, PASTO Y RASTROJO, AFECTACIÓN EN 1 ACUEDUCTO RURAL, EN LA VEREDA: BAJO TRIUNFO.</t>
  </si>
  <si>
    <t>CDGRD DEL HUILA, INFORMA, INCENDIO FORESTAL, EXTINGUIDO, 26-01-2013, VEREDA: PRIMAVERA, CORREGIMIENTO DE:  BRUSELAS, AFECTACIÓN DE 1/2 HECTÁREA DE: PASTO Y RASTROJO.</t>
  </si>
  <si>
    <t>CDGRD DEL HUILA, INFORMA, INCENDIO FORESTAL, EXTINGUIDO, 26-01-2013, VEREDA: ALTO SANJONE, AFECTACIÓN DE 2 HECTÁREAS DE: PASTO Y RASTROJO</t>
  </si>
  <si>
    <t>CDGRD DEL HUILA, INFORMA, INCENDIO FORESTAL, EXTINGUIDO, 26-01-2013, VEREDA: ORNITO, AFECTACIÓN DE 1 HECTÁREA DE: PASTO Y RASTROJO</t>
  </si>
  <si>
    <t>CDGRD DEL HUILA, INFORMA, INCENDIO FORESTAL, EXTINGUIDO, 26-01-2013, VEREDA: PALMITO, AFECTACIÓN DE 1 HECTÁREA DE:  RASTROJO.</t>
  </si>
  <si>
    <t>CAPITÁN VALENZUELA, INFORMA, INCENDIO FORESTAL, EXTINGUIDO, 26-01-2013, EN LA VEREDA: CANALITAS, SE CONSUMIERON: 2 HECTÁREAS DE: VEGETACIÓN NATIVA.</t>
  </si>
  <si>
    <t xml:space="preserve">BOMBEROS, INFORMA INCENDIO FORESTAL, EXTINGUIDO, 13:45, EN LA VEREDA: PICO,  SE  CONSUMIERON:  8 HECTÁREAS, APOYARON BOMBEROS DE: YOPAL. </t>
  </si>
  <si>
    <t>CDGRD DEL VICHADA, INCENDIO FORESTAL, EXTINGUIDO, EN EL BARRIO: SANTA ELENITA, APOYARON: BOMBEROS Y AÉROCIVIL CON MAQUINA EXTINTORA, SE CONSUMIERON: 2 HETÁREAS DE: VEGETACIÓN SECA.</t>
  </si>
  <si>
    <t>FOPAE Y SOCORRO NACIONAL, INFORMA, VENDAVAL EN LA LOCALIDAD DE CIUDAD BOLIVAR, BARRIO: ISMAEL PERDOMO, CONJUNTO RESIDENCIAL: LA BALVANERA, 12 VIVIENDAS AFECTADAS, EN TECHOS, SIN LESIONADOS. APOYAN FOPAE Y INTEGRACIÓN SOCIAL.</t>
  </si>
  <si>
    <t>CMGRD DE ARMENIA, INFORMA INCENDIO ESTRUCTURAL, BARRIO: TIGREROS, SE DESCONOCEN LAS CAUSAS.</t>
  </si>
  <si>
    <t>EN HORAS DE LA NOCHE SE REGISTRO INCENDIO FORESTAL EN LA LOCALIDAD CIUDAD BOLIVAR , BARRIO EL TESORO BOMBEROS BOGOTA SALIO ATENDER REALIZANDO CONTROL Y EXTINCION DEL MISMO, ESTE INCENDIO NO FUE DE GRANDES PROPORCIONES.</t>
  </si>
  <si>
    <t>REPORTA INCENDIO FORESTAL EN LA VEREDA EL 5, A CAUSA DE UNA QUEMA DE BASURA LA CUAL SE SALIO DE CONTROL DEJANDO 55 HECTÁREAS AFECTADAS, ESTE SE INICIO EL JUEVES 10-01-13 EN HORAS DE LA TARDE Y EL DIA DE HOY SE CONTROLO Y EXTINGUIO EN SU TOTALIDAD. SE HACE MONITOREO DEBIDO A LAS FUERTES BRISAS, COMBATE EL FUEGO DC, BOMBEROS, COMUNIDAD, CMGRD Y CDGRD.</t>
  </si>
  <si>
    <t>INCENDIO FORESTAL, EXTINGUIDO, VEREDA: SAN ANTONIO, SE CONSUMIO, 5 HECTÁREA DE VEGETACIÓN NATIVA, APOYARON BOMBEROS DE: UBATE.</t>
  </si>
  <si>
    <t>CDGRD, INFORMA, INCENDIO FORESTAL, EXTINGUIDO, VEREDA: SAN JOSÉ, MY. IVÁN DARÍO VALENZUELA COORDINADOR DEPARTAMENTAL DE BOMBEROS DE CUNDINAMARCA, REPORTA INCENDIO FORESTAL INICIADO A LAS 11:00 Y EXTINGUIDO A LAS 14:30 HORAS DEL 07/01/13 CON AFECTACIÓN DE 1 HECTÁREAS DE RASTROJO.  ATENDIÓ BOMBEROS GUASCA.</t>
  </si>
  <si>
    <t xml:space="preserve">MY. IVÁN DARÍO VALENZUELA COORDINADOR DEPARTAMENTAL DE BOMBEROS DE CUNDINAMARCA, REPORTA INCENDIO FORESTAL EN LA VEREDA SAN FRANCISCO DEL MUNICIPIO DE JUNIN, INICIADO A LAS 12:00 Y EXTINGUIDO A LAS 15:30 HORAS DEL 22/01/13 CON AFECTACION DE 4 HECTAREAS ENTRE RASTROJO Y PASTO ATENDIO BOMBEROS GACHETA, REPORTA CDGRD
</t>
  </si>
  <si>
    <t>MATERIALES DE CONSTRUCCION</t>
  </si>
  <si>
    <t>DESCRIPCION</t>
  </si>
  <si>
    <t>GASTOS OPERATIVOS</t>
  </si>
  <si>
    <t>OBRAS DE EMERGENCIA</t>
  </si>
  <si>
    <t>COMBUSTIBLE</t>
  </si>
  <si>
    <t>ALQUILER DE MAQUINARIA</t>
  </si>
  <si>
    <t>SUBSIDIOS DE ARRIENDO</t>
  </si>
  <si>
    <t>NUMERO DE AFECTACION</t>
  </si>
  <si>
    <t>NUMERO DE CONTRATO</t>
  </si>
  <si>
    <t>SEGUIMIENTO CONTRACTUAL</t>
  </si>
  <si>
    <t>CDGRD, DE CUNDINAMARCA, INFORMA, TE. FÉLIX CANAS DE BOMBEROS LA MESA, REPORTA INCENDIO FORESTAL OCURRIDO A LAS 15:45  Y EXTINGUIDO A LAS 16:45 HORAS DEL DÍA 09/01/13 EN LA VEREDA PAYACAL BAJO  CON AFECTACIÓN DE 1  HECTÁREAS DE RASTROJO. ATENDIÓ BOMBEROS LA MESA</t>
  </si>
  <si>
    <t>CDGRD DE CUNDINAMARCA, INFORMA, ING. RAFAEL ROBLES DE LA CAR, REPORTA INCENDIO FORESTAL, EXTINGUIDO,  EN LA VEREDA CASABLANCA DEL  MUNICIPIO DE MADRID, INICIADO EN HORAS DE LA TARDE DEL 24/01/13. SE CONSUMIERON: 4 HECTÁREAS DE:  VEGETACIÓN NATIVA Y PINO,  APOYARON:  BOMBEROS MADRID  Y  COMUNIDAD.</t>
  </si>
  <si>
    <t xml:space="preserve">CDGRD REPORTA,PEDRO CÁRDENAS DE BOMBEROS MANTA REPORTA INCENDIO FORESTAL EN LA VEREDA SALITRE,  INICIADO A LAS 14:30 Y EXTINGUIDO A LAS 15:20 HORAS DEL DÍA 25/01/13 CON AFECTACIÓN DE 2 HECTÁREA DE PASTO MEJORADOS Y RASTROJO. ATENDIÓ BOMBEROS MANTA Y COMUNIDAD
</t>
  </si>
  <si>
    <t xml:space="preserve">TE. CLARA SIERRA DE BOMBEROS PACHO REPORTA INCENDIO FORESTAL EN LA VEREDA MESETAS, INICIADO A LAS 13:00 Y EXTINGUIDO A LAS 18:00 HORAS DEL 03/01/13 CON AFECTACIÓN DE 3 HECTÁREA ENTRE RASTROJO Y PASTIZALES. ATENDIÓ BOMBEROS PACHO Y COMUNIDAD.
</t>
  </si>
  <si>
    <t>CDGRD DEL VALLE DEL CAUCA, REPORTA INCENDIO FORESTAL, EXTINGUIDO, EN AREA RURAL DEL MUNICIPIO EN EL SECTOR LA PINERA EN DAPA, 135  HECTAREAS AFECTADAS DE PINO,  APOYARON FUERZA AEREA, 1 HELICOPTERO, APOYO CON 18 DESCARGAS EN TRES HORAS IMEDIA, DURANTE DOS DÍAS, DEFENSA CIVIL, CRUZ ROJA, BOMBEROS Y CMGRD.</t>
  </si>
  <si>
    <t>CDGRD DEL CESAR, INFORMA, EL DÍA DE SABADO SE PRESENTÓ UN INCENDIO FORESTAL,  EN LA PARTE ALTA DE LA SIERRA NEVADA, ACTUALMENTE SE ENCUENTRA  APAGADO  EN SU TOTALIDAD .</t>
  </si>
  <si>
    <t>REPORTA DEL CDGRD, INFORMA  INCENDO FORESTAL, EXTINGUIDO,  EN  ZONA RURAL DEL MPIO DE  BELEN, APOYARON: BOMBEROS VOLUTARIOS, DCC Y CMGRD, PENDIENTE AFECTACIÓN.</t>
  </si>
  <si>
    <t xml:space="preserve">8TA DIVION EJERCITO 11.35AM  SE PRESENTA UN INCENDIO FORESTAL EN LA 8VA DIVISION DEL EJERCITO , AFECTANDO 7 HECTAREAS DE PASTIZALES A LA HORA YA FUE LIQUIDADO EN SU TOTALIDAD, REPORTA BOMBEROS YOPAL. </t>
  </si>
  <si>
    <t>CDGRD INFORMA, INCENDIO FORESTAL, ACTIVO, EN LA VEREDA: AMARILLO, COORDINAN APOYO, SITUACIÓN EN DESARROLLO:</t>
  </si>
  <si>
    <t>CDGRD DE CUNDINAMARCA, INFORMA, MY. IVÁN DARÍO VALENZUELA COORDINADOR DEPARTAMENTAL DE BOMBEROS DE CUNDINAMARCA, REPORTA INCENDIO FORESTAL EN LA VEREDA NEPOMUCENO  MUNICIPIO DE JUNÍN, INICIADO A LAS 12:30  Y EXTINGUIDO A LAS HORAS DEL 28/01/13, SE CONSUMIERON: 2 HECTÁREAS DE RASTROJO, ATENDIÓ BOMBEROS GACHETA.</t>
  </si>
  <si>
    <t>CDGRD DE CUNDINAMARCA, INFORMA, MY. IVÁN DARÍO VALENZUELA, COORDINADOR DEPARTAMENTAL DE BOMBEROS DE CUNDINAMARCA, REPORTA INCENDIO FORESTAL EN LA VEREDA SAN PEDRO,  MUNICIPIO DE JUNÍN, INICIADO A LAS 11:00  Y EXTINGUIDO A LAS 12:30 HORAS DEL 28/01/13, SE CONSUMIERON: 2 HECTÁREAS DE RASTROJO, ATENDIÓ BOMBEROS GACHETA.</t>
  </si>
  <si>
    <t>CDGRD DE CUNDINAMARCA, INFORMA, PEDRO JOSÉ CÁRDENAS COMANDANTE DE BOMBEROS DE MANTA REPORTA INCENDIO FORESTAL EN  MANTA  VEREDA EL PALMAR ARRIBA. OCURRIDO EL DÍA SÁBADO26/01/13 ENTRE LAS 9:30 Y LAS 16:30  HORAS CON AFECTACIÓN DE 2 HECTÁREAS DE PASTOS Y RASTROJO BAJO. ATENDIÓ BOMBEROS MANTA Y COMUNIDAD.</t>
  </si>
  <si>
    <t>CDGRD DE CUNDINAMARCA, LEONARDO RUIZ DE PARQUES NACIONALES, REPORTA INCENDIO FORESTAL OCURRIDO EL 22/01/13, EN LA VEREDA MEDIA NARANJA DEL MUNICIPIO DE PASCA, CON AFECTACIÓN DE 12 HECTÁREAS DE VEGETACIÓN DE PARAMO. NO FUE ATENDIDO Y SE EXTINGUIÓ POR SI SOLO.</t>
  </si>
  <si>
    <t>CDGRD DE BOYACA, INFORMA, INCENDIO FORESTAL, EXTINGUIDO, SE CONSUMIERON: 20 HECTÁREAS DE VEGETACIÓN NATIVA, APOYARON:  DCC, CRC,  PONAL, FFMM, COMUNIDAD.</t>
  </si>
  <si>
    <t>CDGRD DE BOYACA, INFORMA, INCENDIIO FORESTAL, EXTINGUIDO, SECTOR: MIRADOR ESCANDINAVO, SE CONSUMIO: 1 HECTÁREA DE: VEGETACIÓN NATIVA, PINO, ACACIA, APOYARON: FFMM, BOMBEROS, CRC, SCOUTS, CORPOBOYACÁ</t>
  </si>
  <si>
    <t>CDGRD DE BOYACA, INFORMA, INCENDIO FORESTAL, EXTINGUIDO, BARRIO: ASIS,  SE CONSUMIERON: 0,2  HECTÁREAS DE: PASTOS, VEGETACIÓN NATIVA, APOYARON: FFMM, BOMBEROS, CRC, SCOUTS, CORPOBOYACÁ.</t>
  </si>
  <si>
    <t>CDGRD DE BOYACA, INFORMA INCENDIO FORESTAL, EXTINGUIDO, EN LA VEREDA: CASCADA, SE CONSUMIO: 0,5 HECTÁREA DE:  VEG NATIVA, PINO, EUCALITO, ACACIA, APOYARON: FFMM, BOMBEROS, CRC, SCOUTS, CORPOBOYACÁ.</t>
  </si>
  <si>
    <t>CDGRD DE BOYACA, INFORMA, INCENDIO FORESTAL, ACTIVO, VEREDAS: HUERTA VIEJA, CONCORDIA, SITUACIÓN EN DESARROLLO</t>
  </si>
  <si>
    <t>CDGRD DE BOYACA, INFORMA INCENDIO FORESTAL, ACTIVO, SITUACIÓN EN DESARROLLO.</t>
  </si>
  <si>
    <t>CDGRD DE CUNDINAMARCA, INFORMA, MY. IVÁN DARÍO VALENZUELA COORDINADOR DEPARTAMENTAL DE BOMBEROS DE CUNDINAMARCA, REPORTA INCENDIO FORESTAL EN EL BARRIO LA VEREDITA,   MUNICIPIO DE SOACHA, INICIADO A LAS 10:00  Y EXTINGUIDO A LAS 13:00, CON AFECTACION DE 1 HECTAREA DE PASTIZALES Y PINO RESINOSO. ATENDIÓ BOMBEROS SOACHA.</t>
  </si>
  <si>
    <t>CDGRD DE ARAUCA, INFORMA, INCENDIO FORESTAL, EXTINGUIDO, 23-01-2013, EN LA YE VÍA RIO TAME – CAPANAPARO, SE CONSUMIERON:  20 HECTÁREAS DE VEGETACIÓN SECA, POR CAUSAS DESCONOCIDAS. EL FUEGO SE INICIA A LAS 11:00 AM Y FUE EXTINGUIDO EL MISMO DÍA  A LAS 17:30.</t>
  </si>
  <si>
    <t>CDGRD DE ANTIOQUIA, INFORMA, INCENDIO FORESTAL, ACTIVO, APOYAN BOMBEROS.</t>
  </si>
  <si>
    <t>CDGRD DE ANTIOQUIA, INFORMA INCENDIO FORESTAL, ACTIVO, APOYAN MPIO DE ENTRERRIOS, SE HAN CONSUMIDO APROXIMADAMENTE: 3 HECTÁREAS, SITUACIÓN EN DESARROLLO.</t>
  </si>
  <si>
    <t xml:space="preserve">CDGRD DEL GUAVIARE, INFORMA, INCENDIO FORESTAL, EXTINGUIDO, INICIADO EN HORAS DE LA NOCHE, DEL 27-01-2013, EXTINGUIDO EL DÍA DE HOY, INSPECCCIÓN LA LIBERTAD, SE CONSUMIERON:120 HECTÁREAS DE BOSQUE, APOYARON: BOMBEROS, EJERCITO, CDGRD. </t>
  </si>
  <si>
    <t>SE REGISTRA INCENDIO ESTRUCTURAL EN LA CALLE 16 CON CARRERA 97 AV.CENTENARIO, LOCALIDAD DE FONTIBON, DAÑOS EN ENSERES BOMBEROS INFORMA QUE ES CONTROLADO Y YA SE ENCUENTRA INVESTIGACION DE INCENDIOS, ADELANTANDO LAS CAUSAS.</t>
  </si>
  <si>
    <t>CDGRD REPORTA EN EL SECTOR CHORQUINA DE ESTE MUNICIPIO SE REGISTRA INCENDIO FORESTAL  EN ESTADO ACTIVO, APOYAN LABORES DE CONTROL BOMBEROS SANTA FE Y SAN JERONIMO, PENDIENTE EVOLUCION</t>
  </si>
  <si>
    <t>CDGRD REPORTA QUE SE REGISTRO INCENDIO ESTRUCTURAL A CAUSA DE UN CORTO CIRCUITO, AFECTACION EN 1 VIVIENDA, HABITADA POR 6 PERSONAS. CONTROLADO EN SU TOTALIDAD</t>
  </si>
  <si>
    <t>CDGRD DE ANTIOQUIA, INFORMA INCENDIO FORESTAL, ACTIVO, EN LA VEREDA: LA VERDUGUITA, AFECTADAS APROXIMADAMENTE: 60 HECTÁREAS, SITUACIÓN EN DESARROLLO, 18:07 HORAS, SOLICITAN APOYO AÉREO. CDGRD REPORTA QUE SOBRE LAS 04:00 HORAS ESTA COORDINADA LA SALIDA DE 30 PERSONAS AL SITIO DEL INCIDENTE, EN TRAYECTO APROXIMADAMENTE SON 2 HORAS, EN SEGUIMIENTO.</t>
  </si>
  <si>
    <t>13-0082</t>
  </si>
  <si>
    <t>REPORTAN LOS BOMBEROS DE YOPAL QUE EN ELE MUNICIPIO DE AGUAZUL EN LA VEREDA DE CUPIAGUA  SE PRESENTO UN INCENDIO FORESTAL DE 250 HECTAREAS , EL CUAL YA FUE CONTROLADO POR BOMBEROS.</t>
  </si>
  <si>
    <t>REPORTAN LOS BOMBEROS DE YOPAL, MUNICIPIO DE AGUAZUL EN LA VEREDA DE SEVILLA   SE PRESENTO UN INCENDIO FORESTAL DE 6 HECTAREAS , EL CUAL YA FUE CONTROLADO POR BOMBEROS.</t>
  </si>
  <si>
    <t>EN EL CASCO URBANO SE PRESENTO UN INCEDIO FORESTAL AFECTANDO 3  EN EL PARQUE DEL ARROZ</t>
  </si>
  <si>
    <t>SE PRESENTA UN INCENDIO FORESTAL EN AREA URBANO ,EN ESTE MOMENTO SE ESTA CONTROLANDO , REPORTA BOMBEROS DE YOPAL</t>
  </si>
  <si>
    <t>REPORTAN  UNA  EMERGENCIA MINERA QUE SE PRESENTÓ EN LA MADRUGADA DE HOY EN UNA MINA DE CARBÓN DEL  MUNICIPIO DE SUTATAUSA, DEPARTAMENTO DE CUNDINAMARCA. EMERGENCIA EN LA CUAL PERDIERON LA VIDA DOS EMPLEADOS. LA EMERGENCIA FUE ATENDIDA POR PERSONAL ESPECIALIZADO DE LA ESTACIÓN DE SEGURIDAD Y SALVAMENTO MINERO DEL MUNICIPIO DE UBATÉ. DICHA EMERGENCIA  FUE CAUSADA POR  UN  VAGON DONDE SE TRANSPORTA CARBON MINERAL</t>
  </si>
  <si>
    <t>CDGRD, INFORMA, GINA PATRICIA PARDO SECRETARIA DE GOBIERNO DE  GUTIÉRREZ, REPORTA INCENDIO FORESTAL, ACTIVO, INICIADO EL DÍA 28/01/2013 A LAS 11:00 HORAS EN LA VEREDA RIO CHIQUITO DE ESTE MUNICIPIO. SE ENCUENTRA ACTIVO Y SIN ATENCIÓN POR TRATARSE DE ZONA DE DIFÍCIL ACCESO, SE HAN CONSUMIDO APROXIMADAMENTE: 7 HECTÁREAS DE SABANA Y PASTIZALES.</t>
  </si>
  <si>
    <t>SE ESTA PRESENTA ESTA PRESENTADO DESDE AYER IF ENTRE PACIFIC  RUBIALES A 20 KM  Y 160 KM DE PUERTO GAITAN, LO QUE SE ESTA CONSUMIENDO ES UNA SABANA NO HAY BOSQUE COMPROMETIDOS.  JORGE CDGRD</t>
  </si>
  <si>
    <t>CDGRD DE CUNDINAMARCA, INFORMA,TE FÉLIX CANNAS DE BOMBEROS LA MESA REPORTA INCENDIO FORESTAL EN LA VEREDA CAPATA INICIADO A LAS 18:00 HORAS Y EXTINGUIDO A LAS 21:30 HORAS DEL 28/01/13 CON AFECTACIÓN DE 0,5  HECTÁREAS DE BOSQUE NATIVO. ATENDIÓ BOMBEROS LA MESA,  Y COMUNIDAD.</t>
  </si>
  <si>
    <t>BOMBERO YESID PERILLA GARZÓN DE GACHALA REPORTA INCENDIO FORESTAL, ACTIVO,  EN LA VEREDA MURCA INICIADO A LAS 15:00 HORAS , ESTA SIENDO ATENDIDO POR BOMBEROS GACHALA, CORPOGUAVIO Y CODENSA.</t>
  </si>
  <si>
    <t>CDGRD DE CUNDINAMARCA, INFORMA, MAURICIO RIVEROS DE LA DEFENSA CIVIL SECCIONAL CUNDINAMARCA, REPORTA, INCENDIO FORESTAL EN LA VEREDA COLOMBIA,  CON AFECTACIÓN DE 4 HECTÁREAS DE BOSQUE NATIVO,  INICIADO A LAS 12:00  Y EXTINGUIDO A LAS 21:00 HORAS DEL  28/01/13,  DEFENSA CIVIL, CMGRD Y LA COMUNIDAD.</t>
  </si>
  <si>
    <t>CDGRD DE CUNDINAMARCA, INFORMA, MAURICIO RIVEROS DE LA DEFENSA CIVIL SECCIONAL CUNDINAMARCA, REPORTA , INCENDIO FORESTAL EN LA VEREDA LA PLAYA,  CON AFECTACIÓN DE 1 HECTÁREAS DE BOSQUE PLANTADO DE PINO RESINOSO,  INICIADO A LAS 11:00 Y EXTINGUIDO A LAS 14:00 HORAS DEL 28/01/13. DEFENSA CIVIL, CMGRD Y LA COMUNIDAD.|</t>
  </si>
  <si>
    <t>CDGRD DE CUNDINAMARCA, INFORMA, MAURICIO RIVEROS DE LA DEFENSA CIVIL SECCIONAL CUNDINAMARCA, REPORTA, INCENDIO FORESTAL EN LA VEREDA SANTA HELENA  CON AFECTACIÓN DE 3 HECTÁREAS ENTRE  BOSQUE NATIVO Y PASTOS MEJORADOS,  INICIADO A LAS 11:00  Y EXTINGUIDO A LAS 15:00 HORAS DEL 28/01/13. ATENDIÓ DEFENSA CIVIL, CMGRD LA CALERA Y LA COMUNIDAD.</t>
  </si>
  <si>
    <t>CDGRD DE CUNDINAMARCA, INFORMA, RAFAEL ROBLES DE LA CAR. REPORTA INCENDIO FORESTAL, ACTIVO, EN LA VEREDA PAYACAL.</t>
  </si>
  <si>
    <t>CDGRD DE CUNDINAMARCA, INFORMA, GLORIA AMPARO HERNANDEZ SECRETARIA DE GOBIERNO DE GUAYABETAL, REPORTA INCENDIO FORESTAL EN LA VEREDA SAN ANTONIO, INICIADO A LAS 11:00 Y EXTINGUIDO A LAS 16:00 HORAS DEL 29/01/13. SE CONSUMIERON: 5 HECTÁREAS DE:  BOSQUE NATIVO, ATENDIO CMGRD. DEFENSA CIVIL, Y COMUNIDAD.</t>
  </si>
  <si>
    <t>CDGRD DE CUNDINAMARCA, INFORMA, TE FÉLIX CANNAS DE BOMBEROS LA MESA REPORTA INCENDIO FORESTAL EN LA VEREDA LOMA DE PALMA INICIADO A LAS 10:00 HORAS Y EXTINGUIDO A LAS 15:00 HORAS DEL 28/01/13 CON AFECTACIÓN DE 1 HECTÁREA DE PASTOS MEJORADOS. ATENDIÓ BOMBEROS LA MESA, POLICÍA, EJERCITO Y COMUNIDAD.</t>
  </si>
  <si>
    <t>CDGRD DE CUNDINAMARCA, INFORMA, CESAR MALAGON JEFE DE PLANEACIÓN DE NEMOCÓN REPORTA INCENDIO FORESTAL EN LAS VEREDAS CASA BLANCA, PATIO BONITO, CERRO VERDE,  INICIADO EL DÍA 28/01/2013, AFECTANDO 5,5 HECTÁREA DE VEGETACIÓN NATIVA FUERON EXTINGUIDOS, EL MISMO DÍA. ATENDIÓ POLICÍA, C.M.G.R.D., DEFENSA CIVIL, BOMBEROS COGUA Y BOMBEROS NEMOCÓN.</t>
  </si>
  <si>
    <t>CDGRD DE CUNDINAMARCA, INFORMA, JORGE EDUARDO GONZÁLEZ DE LA DEFENSA CIVIL Y GINA PATRICIA PARDO SECRETARIA DE GOBIERNO DE  GUTIÉRREZ, REPORTA INCENDIO FORESTAL INICIADO EL DÍA 28/01/2013 A LAS 10:00 HORAS EN LAS VEREDAS CERINZA ABAJO Y  TRAPICHE SECTOR SANTA ROSA DE ESTE MUNICIPIO AFECTANDO APROXIMADAMENTE 50 HECTÁREAS  DE CULTIVOS DE FRÍJOL Y MAIZ  EN 7 FINCAS, EN EL MOMENTO SE ENCUENTRA ACTIVO PERO CONTROLADO. ATIENDEN, VOLUNTARIOS DE LA DEFENSA CIVIL, CMGRD Y BOMBEROS CHIPAQUE.</t>
  </si>
  <si>
    <t>CDGRD DE CUNDINAMARCA, INFORMA, MY. IVÁN DARÍO VALENZUELA COORDINADOR DEPARTAMENTAL DE BOMBEROS DE CUNDINAMARCA, REPORTA INCENDIO FORESTAL EN PREDIOS DE INDUMIL CERCA A LA FABRICA DE EXPLOSIVOS DEL EJERCITO EN CHUSACA, INICIADO A LAS 14:00  Y EXTINGUIDO A LAS 16:00 HORAS CON AFECTACION DE 0,5 HECTAREAS DE BOSQUE PLANTADO PINO RESINOSOP ATENDIO BOMBEROS SOACHA Y SIBATE.</t>
  </si>
  <si>
    <t>CDGRD DE BOYACA, 18:50 HORAS,  INFORMA INCENDIO FORESTAL, EN LA VEREDA: CHORRITO, SECTOR: IRACA, SE CONFIRMA SITUACIÓN CON BOMBEROS, QUIENES INFORMAN QUE ESTÁ CONTROLADO, PENDIENTE AFECTACIÓN.</t>
  </si>
  <si>
    <t>CDGRD DE ARAUCA, INFORMA INCENDIO FORESTAL, EXTINGUIDO, VEREDA: CAÑO JESUS Y ZONA URBANA, SE CONSUMIERON: 60 HECTÁREAS DE: PASTIZALES SECOS.</t>
  </si>
  <si>
    <t>CDGRD DEL HUILA, INFORMA INCENDIO FORESTAL, CONTROLADO, VEREDA: PICUMA, PENDIENTE AFECTACIÓN.</t>
  </si>
  <si>
    <t>BOMBEROS, INFORMA INCENDIO FORESTAL, EXTINGUIDO, EN LA VEREDA: PUERTO PORFIA, KM:25, PISTA TOBASIA, VÍA A VILLAVICENCIO,  SE CONSUMIERON: 15 HECTÁREAS DE PASTO, 40 HECTÁREAS DE SOCA DE ARROZ.</t>
  </si>
  <si>
    <t>CESAR MALAGON JEFE DE PLANEACION DE NEMOCON REPORTA INCENDIO FORESTAL EN LA VEREDA CERRO VERDE INICIADO A LAS 13:00, CON AFECTACION HASTA EL MOMENTO DE 3 HECTAREAS ENTRE BOSQUE PLANTADO DE PINOS Y EUCALIPTOS, PASTOS Y RASTROJO, EXTINGUIDO A LAS 18:00 ATENDIDO CMGRD Y COMUNIDAD.</t>
  </si>
  <si>
    <t>MR. IVAN DARIO VALENZUELA DE BOMBEROS DE CUNDINAMARCA, REPORTA INCENDIO FORESTAL EN LA VEREDA LA PUERTA (DATOS SIN CONFIRMAR). SE TRATO DE UNA QUEMA.</t>
  </si>
  <si>
    <t>ALVARO SANCHEZ DE LA UMATA DE NEMOCON REPORTA INCENDIO FORESTAL EN LA VEREDA MOGUA FINCA EL ALISAL DEL MUNICPIO DE NEMOCON, INICIADO A LAS 10:00 Y EXTINGUIDO A LAS 22:00 HORAS DEL 18/01/13, CON AFECTACION DE 1 HECTAREA DE VEGETACION DE PARAMO. ATENDIDO POR CMGRD, BOMBEROS ZIPAQUIRA, BOMBEROS NEMOCON, BOMBEROS CAJICA, DEFENSA CIVIL Y POLICIA.</t>
  </si>
  <si>
    <t>SE PRESENTA INCENDIO ESTRUCTURAL EN CENTRO DE ABASTOS DE SANTA MARTA AL MOMENTO 2 LOCALES AFECTADOS, ATENDIERON 5 MAQUINAS DE BOMBEROS.</t>
  </si>
  <si>
    <t>: REPORTA EL CUERPO DE BOMBEROS QUE SE PRESENTO UN INCENDIO FORESTAL EN EL SECTOR DE LOS PINOS VÍA SAN ALBERTO, CON UNA QUEMA APROXIMADA DE 4 HECTÁREAS DE MALEZA Y PASTIZALES, CONTROLADO POR BOMBEROS SIN AFECTACIÓN DE PERSONAS O VIVIENDAS</t>
  </si>
  <si>
    <t xml:space="preserve">POR CONFIRMAR INCENDIO QUINTANARES  CERCA A FABRICA DE INDUMIL </t>
  </si>
  <si>
    <t>REPORTA LA COORDINADORA DEL CMGRD, INCENDIO FORESTAL VEGETACION NATIVA, EN EL CERRO COBA COBA DEL CORREGIMIENTO DE LA MEDIA LUNA, INCENDIO CONTROLADO Y EXTINGUIDO POR BOMBEROS Y DCC.</t>
  </si>
  <si>
    <t>REPORTA INCENDIO FORESTAL EN LA VEREDA PERALONSO VIA PUERTO LOPEZ CERCA A INSTALACIONES DE ECOPETROL, SITUACION EN DESARROLLO.</t>
  </si>
  <si>
    <t>CDGRD DE SANTANDER, INFORMA INCENDIO FORESTAL, CONTROLADO, SECTOR: PALMAS BUCARELIA, APOYAN BOMBEROS. EL INCENDIO DE LA FINCA BUCARELIA CONTINUA, EN EL CUAL TRABAJARON HASTA MEDIA NOCHE Y SOLO LOGRARON DISMINUIRLO, RETORNAN AL DÍA SIGUIENTE A PRIMERA HORA, PARA CONTINUAR CON LA CONFLAGRACIÓN.</t>
  </si>
  <si>
    <t>CDGRD DEL CAUCA, REPORTA INCENDIO FORESTAL, EXTINGIDO, EN LA VEREDA EL HATO, SECTOR EL AGUACATE, AFECTANDO 15 HECTAREAS DE BOSQUE NATIVO Y PASTOS AL IGUAL QUE LA FUENTE HIDRICA QUE SURTE DE AGUA A LA VEREDA, ATENDIERON BOMBEROS Y CRUZ ROJA, REPORTA CDGRD CAUCA EDITH PAZ</t>
  </si>
  <si>
    <t>CDGRD DE CUNDINAMARCA, REPORTA INCENDIO FORESTAL DE VEGETACION NATIVA, EN LA VEREDA CORINTO, AFECTACIÓN DE 1  HECTÁREAS. ATENDIO  BOMBEROS, POLICÍA Y  CMGRD, CONTROLADO Y EXTINGUIDO. REPORTA FERNANDO CHACON CDGRD</t>
  </si>
  <si>
    <t>REPORTA INCENDIO FORESTAL DE PASTIZALES, EN LA INSPECCIÓN DE PAQUILO LA POPA, INICIADO A LAS 12:00 HORAS, CONTROLADO Y EXTINGUIDO A LAS 16:40 HORAS CON AFECTACIÓN DE 15 HECTÁREAS. ATENDIÓ  CMGRD , POLICÍA Y COMUNIDAD EN TOTAL 40 PERSONAS. REPORTA FERNANDO CHACON CDGRD.</t>
  </si>
  <si>
    <t>REPORTA INCENDIO ESTRUCTURAL EN LA VEREDA CERREZUELA DE LA INSPECCIÓN DE PASUNCHA, INICIADO A LAS 01:00 Y EXTINGUIDO A LAS 06:00 HORAS DEL 30/01/13, CON PERDIDA TOTAL DE LA VIVIENDA, AFECTANDO 1 FAMILIA CON 5 PERSONAS QUE PERDIERON TODOS SUS BIENES Y ENSERES. ATENDIÓ BOMBEROS PACHO, REPORTA FERNANDO CHACON CDGRD.</t>
  </si>
  <si>
    <t>CDGRD DE CUNDINAMARCA, INFORMA CLARA SIERRA DE BOMBEROS PACHO, INCENDIO FORESTAL EN LA VEREDA LAS PILAS, INICIADO A LAS 07:00 DEL 30/01/13 Y EXTINGUIDO A LAS 11:00 HORAS CON AFECTACIÓN DE 0,5 HECTÁREAS DE RASTROJO. ATENDIÓ BOMBEROS PACHO Y BRIGADA CAR.</t>
  </si>
  <si>
    <t>CDGRD DE CUNDINAMARCA, INFORMA, TE MAURICIO JIMENEZ DE BOMBEROS GUASCA REPORTA INCENDIO FORESTAL EN LA VEREDA SANTA BARBARA CERRO EL CHOCHE INICIADO A LAS 11:00 HORAS, A LAS 15:35 HORAS REPORTA CONTROLADO CON AFECTACION DE 4 HECTAREAS DE BOSQUE INTERVENIDO Y PASTIZALES, ATIENDE BOMBEROS GUASCA, DEFENSA CIVIL, POLICIA, EJERCITO, CORPOGUAVIO, CMGRD Y COMUNIDAD.</t>
  </si>
  <si>
    <t>CDGRD DE CUNDINAMARCA, INFORMA, RAFAEL ROBLES DE LA CAR.  INCENDIO FORESTAL, CONTROLADO,  EN LA VEREDA ALTO DE TIERRA NEGRA, CON AFECTACION DE 4 HECTAREAS DE RASTROJO, BOSQUE PLANTADO DE PINO RESINOSO Y EUCALIPTO, ES ATENDIDO POR BOMBEROS ZIPAQUIRA, BOMBEROS UBATE, BOMBEROS CHIA, CMGRD, CAR, POLICIA, EJERCITO Y COMUNIDAD.</t>
  </si>
  <si>
    <t>CDGRD DE CUNDINAMARCA, INFORMA, TE. RAÚL RIOBUENO DE BOMBEROS SOACHA, CONTINUA  INCENDIO FORESTAL EN LA VEREDA SAN JORGE RESERVA FORESTAL DEL ICA  INICIADO, 29-01-2013 A LAS 13:00, EL CUAL AFECTA PASTIZALES, RASTROJO  Y VEGETACIÓN NATIVA  EN 50 HECTÁREAS . ATIENDE BOMBEROS SOACHA, BOMBEROS SIBATE, POLICÍA, DEFENSA CIVIL Y CAR , SEGÚN REPORTE DE LAS 09:10 HORAS DEL 30/01/13. A LAS 13:00 HORAS SE SOLICITA A LA DRA. SANDRA VÁSQUEZ COORDINADORA DEL CMGRD PARA QUE INSTALE EL PMU Y DESIGNE UN FUNCIONARIO DE LA ALCALDÍA PARA QUE COORDINE LOS APOYOS Y LO PERTINENTE A LA ATENCIÓN DE LA EMERGENCIA. SE NOTIFICA AL ING. RAFAEL ROBLES DE LA CAR. PARA EL APOYO PERTINENTE.</t>
  </si>
  <si>
    <t>REPORTA DIRECTOR SECCIONAL CÓRDOBA, ALTAS  TEMPERATURAS, PROVOCAN  INCENDIO FORESTAL AL INTERIOR DEL COLEGIO AGROPECUARIO ANDRÉS RODRÍGUEZ; DENTRO DE LAS ACCIONES TOMADAS POR LA D.C.C; UN COMITÉ DE LÍDERES DELA JDC SAHAGÚN ACUDEN  AL PLANTEL EDUCATIVO Y CON EL APOYO DE UN CARRO TANQUE DEL MUNICIPIO APAGAN EL FUEGO.</t>
  </si>
  <si>
    <t>D.C.C, INFORMA, ENTRE LAS 18:00 Y LAS 21.00 HORAS DE DEL DIA 29-01-13 FUE CONTROLADO Y EXTINGUIDO INCENDIO FORESTAL EN ZONA ALEDAÑA DEL MUNICIPIO DE GUAMAL, QUE DEJA SALDO AL MOMENTO DE 30 HECTÁREAS HECTÁREAS DE VEGETACIÓN NATIVA AFECTADA. PARTICIPARON EN OPERACIONES 30 LIDERES VOLUNTARIOS DCC DURANTE 2 HORAS.A.C.G.</t>
  </si>
  <si>
    <t>REPORTAN INCENDIO FORESTAL DE UN BASURERO Y PASTOS EN EL SECTOR DE LA CARRETERA QUE VA HACIA BUCARAMANGA, A LA SALIDA DEL PUEBLO, QUEMÁNDOSE 1 HECTÁREA DE PASTOS, BOSQUES Y DE PASTOS, CONTROLADO POR BOMBEROS SIN AFECTACIÓN DE PERSONAS O VIVIENDAS</t>
  </si>
  <si>
    <t>REPORTA  INCENDIO ESTRUCTURAL EN UN TERCER PISO DE UNA VIVIENDA DE LA CARRERA 4 NO 3-31 DEL BARRIO LA TACHUELA, QUEMÁNDOSE UNA MESA DE NOCHE VENTILADOR Y OTROS ELEMENTOS DAÑOS AVALUADOS EN $ 200.000 MIL PESOS</t>
  </si>
  <si>
    <t>REPORTA BOMBEROS INCENDIO FORESTAL EN EL BARRIO PABLO ACUÑA, SECTOR POZO 7 QUEMÁNDOSE 1 HECTÁREA DE BOSQUE MALEZA Y BASURAS. NO SE PRESENTARON PERSONAS NI VIVIENDAS AFECTADAS</t>
  </si>
  <si>
    <t>HORAS, REPORTAN BOMBEROS CONATO DE INCENDIO FORESTAL EN EL BARRIO LA GRANJA LOTE DE LA EMPRESA FERTILIZANTES DE COLOMBIA, CON UN ÁREA AFECTADA DE 1 HECTÁREA. NO SE REGISTRO AFECTACIÓN DE PERSONAS NI VIVIENDAS</t>
  </si>
  <si>
    <t>HORAS REPORTA BOMBEROS INCENDIO FORESTAL EN EL BARRIO EL TIBURON CON UN ÁREA AFECTADA DE 1 HECTÁREA. NO SE REGISTRO AFECTACIÓN DE PERSONAS NI VIVIENDAS</t>
  </si>
  <si>
    <t>HORAS REPORTA BOMBEROS INCENDIO FORESTAL S LA SALIDA DEL BARRIO EL BOSTON AL LADO DE LA PLANTA ELECTRIFICADORA DE LA ISSA, CON UN ÁREA AFECTADA DE 1 HECTÁREA. NO SE REGISTRO AFECTACIÓN DE PERSONAS NI VIVIENDAS</t>
  </si>
  <si>
    <t>REPORTAN DEL CDGRD DE HUILA QUE SE PRESENTO UN INCENDIO FORESTAL EN LA VEREDA ROSARIO  .. EL CUAL YA FUE CONTROLADO Y LIQUIDADO.</t>
  </si>
  <si>
    <t>REPORTAN DEL CDGRD DE HUILA QUE SE PRESENTO UN INCENDIO FORESTAL EN LA VEREDA MORTIÑO  .. DE  EL  CUAL YA FUE CONTROLADO Y LIQUIDADO.</t>
  </si>
  <si>
    <t>REPORTAN DEL CDGRD DE HUILA QUE SE PRESENTO UN INCENDIO FORESTAL EN LA VEREDA SOZA  DE    EL CUAL YA FUE CONTROLADO Y LIQUIDADO.</t>
  </si>
  <si>
    <t>REPORTAN DEL CDGRD DE HUILA QUE SE PRESENTO UN INCENDIO FORESTAL EN LA VEREDA  LOMA LARGA DE    EL CUAL YA FUE CONTROLADO Y LIQUIDADO.</t>
  </si>
  <si>
    <t>REPORTAN DEL CDGRD DE HUILA QUE SE PRESENTO UN INCENDIO FORESTAL EN LA VEREDA SANTA FE , EL CUAL YA FUE CONTROLADO Y LIQUIDADO.</t>
  </si>
  <si>
    <t>REPORTAN DEL CDGRD DE HUILA QUE SE PRESENTO UN INCENDIO FORESTAL EN LA VEREDA  ESPEREANZA DE    EL CUAL YA FUE CONTROLADO Y LIQUIDADO.</t>
  </si>
  <si>
    <t>REPORTAN DEL CDGRD DE HUILA QUE SE PRESENTO UN INCENDIO FORESTAL EN LA VEREDA  LOS ALPES DE    EL CUAL YA FUE CONTROLADO Y LIQUIDADO.</t>
  </si>
  <si>
    <t>REPORTAN DEL CDGRD DE HUILA QUE SE PRESENTO UN INCENDIO FORESTAL EN LA VEREDA SAN ISIDRO  DE    EL CUAL YA FUE CONTROLADO Y LIQUIDADO.</t>
  </si>
  <si>
    <t>REPORTAN DEL CDGRD DE HUILA QUE SE PRESENTO UN INCENDIO FORESTAL EN LA VEREDA  ORITOGUAZ DE    EL CUAL YA FUE CONTROLADO Y LIQUIDADO.</t>
  </si>
  <si>
    <t>SE PRESENTO UN INCEDION ESTRUCTURAL EN EL BARRIO CIUDADELA XXI  AFECTANDO A 4 VIVIENDAS. SE INICIA ENTREGA DE ASISTENCIA HUMANITARIA POR PARTE DEL CDGRD.</t>
  </si>
  <si>
    <t xml:space="preserve">BUCARAMANGA: SE REGISTRO DOS CONATOS DE INCENDIO UNO EN EL BARRIO LA FERIA Y OTRO EN EL SECTOR DE LA VIRGEN AL NORTE DE LA CIUDAD, NO MAYOR DE 50 MTS 2, SOLO AFECTACIÓN DE MALEZA, SIN MAS NOVEDADES
</t>
  </si>
  <si>
    <t>GIRÓN: SE PRESENTO UN INCENDIO FORESTAL A TRAVÉS DE UNA QUEMA CONTROLADA REALIZADA POR HABITANTES DE LA VEREDA MOTOSA, EN DONDE QUEMARON CONTROLADAMENTE 02 HECTAREAS DE MALEZA Y SE EXTENDIÓ EL FUEGO Y AFECTO 2 1/2 HECTAREAS DE CULTIVO DE GUANÁBANO E LA FINCA LA MARÍA, INCENDIO CONTROLADO EN SU TOTALIDAD POR PERSONAL DE BUCARAMANGA Y LEBRIJA.</t>
  </si>
  <si>
    <t>CDGRD REPORTA QUE EL 30-01-2013 QUE SE PRESENTO INCENDIO FORESTAL ENTRE LOS MUNICIPIOS DE RAQUIRA Y TINJACA EN LA VEREDA TENZA BAJO, AFECTACION MENOR 0.5 HECTAREAS DE PASTOS Y VEGETACION NATIVA , APOYA ESTAS LABORES DEFENSA CIVIL, CONTROLADO Y EXTINGUIDO.</t>
  </si>
  <si>
    <t>CDGRD REPORTA QUE EL DIA 30-01-2013  INCENDIO FORESTAL QUE SE PRESENTO EN ESTE MUNICIPIO EN LA VEREDA FUMBAQUE, AFECTACION EN 2 HECTAREAS DE PASTOS Y PINOS, APOYARON BOMBEROS , PONAL Y COMUNIDAD, CONTROLADO Y EXTINGUIDO.</t>
  </si>
  <si>
    <t>CDGRD CONFIRMA LA SIGUIENTE INFORMACION PEDRO CÁRDENAS DE BOMBEROS MANTA REPORTA INCENDIO FORESTAL EN LA VEREDA LLANOS DEL MUNICIPIO DE TIBIRITA, INICIADO A LAS 20:30 HORAS DEL 30/01/13 Y EXTINGUIDO A LAS 03:00 HORAS DEL 31/01/13 CON AFECTACIÓN DE 5 HECTÁREAS ENTRE PASTIZALES Y VEGETACIÓN NATIVA. ATENDIÓ BOMBEROS MANTA Y POLICÍA.</t>
  </si>
  <si>
    <t>CDGRD REPORTA CON MARTHA BARRERO SECRETARIA DE GOBIERNO DE VILLAPINZON, REPORTA INCENDIO FORESTAL EN LA VEREDA FARACIA.  INICIADO A LAS 15:00 HORAS, ATIENDE POLICÍA, AL MOMENTO ACTIVO, PENDIENTE EVOLUCION.</t>
  </si>
  <si>
    <t>CDGRD REPORTA CON MARTHA BARRERO SECRETARIA DE GOBIERNO DE VILLAPINZON, REPORTA INCENDIO FORESTAL EN LA VEREDA SONSA.  INICIADO A LAS 16:50 HORAS, ATIENDE DEFENSA CIVIL, AL MOMENTO ACTIVO, PENDIENTE EVOLUCION.</t>
  </si>
  <si>
    <t>APOYO DEL FNGR MEDIANTE EL SUMINISTRO DE COMBUSTIBLE Y LUBRICANTES PARA APOYAR LA REHABILITACION VIAL.</t>
  </si>
  <si>
    <t>REPORTAN DEL CDGRD EL DR EDICSON PALMA. EN EL MUNICIPIO DE MALAMBO SE PRESENTO UN FUERTE VENDAVAL AFECTANDO UN INSTITUTO EDUCATIVO  DE MESOLANDIA, SE ESTA REALIZANDO EDAN, HASTA EL MOMENTO HAY AFECTACION DE 16 LAMINAS DE ETERNIT.</t>
  </si>
  <si>
    <t>INFORMA LA DRA ESPERANZA RAMIREZ,  VEREDA PLANADAS SE PRESENTO UN INCENDIO ESTRUCTURAL EN LA VEREDA DE PLANADAS  AFECTANDO A UNA FAMILIA CON PERDIDA TOTAL DE SUS ENSERES.</t>
  </si>
  <si>
    <t>CDGRD DE CUNDINAMARCA, INFORMA, MARTHA BARRERO SECRETARIA DE GOBIERNO DE VILLAPINZON, INCENDIO FORESTAL EN LA VEREDA BOSAVITA.  INICIADO A LAS 09:00 Y EXTINGUIDO A LAS 13:00 HORAS DEL 31/01/13, CON AFECTACUION DE 0,5 HECTAREAS BOSQUE INTERVENIDO DE PINO RESINOSO ATENDIO BOMBEROS CHOCONTA</t>
  </si>
  <si>
    <t>CDGRD DE CUNDINAMARCA, INFORMA, MARTHA BARRERO SECRETARIA DE GOBIERNO DE VILLAPINZÓN, INCENDIO FORESTAL EN LA VEREDA GUANGÛITA,  INICIADO A LAS 16:00 HORAS Y EXTINGUIDO A LAS 19:00 HORAS DEL 31/01/13 CON AFECTACIÓN DE 0,5 HECTÁREAS DE  VEGETACION DE PARAMO. ATENDIÓ  BOMBEROS CHOCONTA.</t>
  </si>
  <si>
    <t>INCENDIO FORESTAL AFECTA LA VEREDA ESTRELLA, DEL CORREGIMIENTO: EL BASAL,  DONDE BOMBEROS TRABAJARON HASTA ALTAS HORAS DE LA NOCHE CON SALDO AL MOMENTO DE 15 HA CONSUMIDAS, INCENDIO NO HA SIDO CONTROLADO.</t>
  </si>
  <si>
    <t>CDGRD DE BOYACA, REPORTA INCENDIO FORESTAL, EXTINGUIDO,  EN LA VEREDA RANCHERIA,  SE CONSUMIERON: 10 HECTÁREAS DE: FRAILEJON, ARBUSTOS, PAJONALES,  APOYARON LABORES COMUNIDAD, PONAL, ALCALDIA, CORPOBOYACA.</t>
  </si>
  <si>
    <t>CDGRD DE BOYACA, REPORTA INCENDIO FORESTAL, EXTINGUIDO,  EN LA VEREDA CANDELARIA,  SE CONSUMIERON: 20 HECTÁREAS DE: VEGETACIÓN NATIVA, APOYARON LABORES:  PONAL, D.C.C., BOMBEROS</t>
  </si>
  <si>
    <t>CDGRD DE BOYACA, REPORTA INCENDIO FORESTAL, EXTINGUIDO,  EN LA VEREDA SUSE,  SE CONSUMIERON: 2 HECTÁREAS DE: PASTOS, GARDON, ARBUSTOS, APOYARON LABORES: D.C.C, BOMBEROS.</t>
  </si>
  <si>
    <t>CDGRD DE BOYACA, REPORTA INCENDIO FORESTAL, EXTINGUIDO,  CERRO CHACON,  SE CONSUMIO: 1 HECTÁREA DE: VEGETACIÓN NATIVA,  APOYARON LABORES BOMBEROS.</t>
  </si>
  <si>
    <t>CDGRD DE NARIÑO, INFORMA INCENDIO ESTRUCTURAL, VEREDA: CANA</t>
  </si>
  <si>
    <t>CDGRD DEL CESAR, INFORMA INCENDIO ESTRUCTURAL, EN UN ESTABLECIMIENTO DE ABARROTES, DE NOMBRE: IMPERIO PAISA, PERDIDAS POR APROXIMADAMENTE: $120,000,000</t>
  </si>
  <si>
    <t>CDGRD DE QUINDIO, INFORMA INCENDIO ESTRUCTURAL, BARRIO: FUNDACIONES, APOYARON: BOMBEROS, CRUZ ROJA, PONAL</t>
  </si>
  <si>
    <t>CDGRD DE GUAVIARE, INFORMA, INCENDIO FORESTAL, ACTIVO, SECTOR: SERRANIA DE LA LINDOSA, APOYAN BOMBEROS, SITUACIÓN EN DESARROLLO.</t>
  </si>
  <si>
    <t>CDGRD CONFIRMA ESTA INFORMACION GUILLERMO LAVERDE CEL. 3107619696 COORDINADOR DEL CMGRD DE SUBACHOQUE INFORMA INCENDIO FORESTAL EN LA VEREDA PANTANO DE ARTES, INICIADO A LAS 11:00 DEL 31/01/13. A LAS 16:00 REPORTAN 2 HECTAREAS DE VEGETACION NATIVA DE PARAMO AFECTADAS, ATIENDEN CMGRD, BOMBEROS MADRID, DEFENSA CIVIL, COMUNIDAD Y APOYO DE LA GOBERNACIÓN. REPORTE 01/02/13, INCENDIOS FORESTALES EN SUBACHOQUE EXTINGUIDO CON AFECTACIÓN DE 3 HECTÁREAS, DE LA VEREDA PANTANO DE ARTES</t>
  </si>
  <si>
    <t>10,000 METROS MANGUERA DE 4", 2000 METROS GUAYA DE 1/2", 600 PERROS, 500 TANQUES PLASTICOS.</t>
  </si>
  <si>
    <t>12 TANQUES DE 5000 LTS</t>
  </si>
  <si>
    <t>CDGRD INFORMA QUE POR MEDIO DEL CMGRD DE MOCOA EN CONDAGUA, POR MEDIO DE EDAN REPORTAN 2 VIVIENDAS AFECTADAS POR FUERTES VIENTOS, 2 FAMILIAS Y 10 PERSONAS.</t>
  </si>
  <si>
    <t xml:space="preserve">SE REGISTRO UN INCENDIO ESTRUCTURAL EN DISCOTECA EN EL SECTOR DE ACOPI- YUMBO AREA METROPOLITANA, DEJA DOS PERSONAS LESIONADAS, INCIDENTE SE PRESENTA EN MOMENTOS DE REMODELACION DEL ESTABLECIMIENTO. </t>
  </si>
  <si>
    <t>REPORTA BOMBEROS QUE EL INCENDIO FORESTAL DE BOSQUES Y VEGETACION NATIVA QUE SE PRESENTO EL DIA DE AYER, EN LOS ALREDEDORES DEL BARRIO COLOMBIA, QUEDA CONTROLADO Y EXTINGUIDO EN SU TOTALIDAD, SIN AFECTACIÓN DE VIVIENDAS O PERSONAS.</t>
  </si>
  <si>
    <t>REPORTA INCENDIO FORESTAL EN LA VÍA PANAMERICANA EN EL KILÓMETRO 38, SECTOR EL PEAJE, AL LADO DEL RESTAURANTE EL BOSQUE, AFECTANDO 4 HECTÁREAS DE PASTOS, VEGETACION NATIVA Y BOSQUE, CONTROLADO Y EXTINGUIDO EN SU TOTALIDAD, NO SE REGISTRO AFECTACIÓN DE PERSONAS O VIVIENDAS.</t>
  </si>
  <si>
    <t>CDGRD REPORTA A LAS 22:00 EN PUERTO WILCHES: DURANTE TODO EL DÍA PRESENTO INCENDIO FORESTAL EN EL SECTOR DE SOTARA, EL CUAL FUE CONTROLADO APROXIMADAMENTE A LAS 17:30 HORAS, NO HAN ENTREGADO INFORMACIÓN DEL ÁREA AFECTADA, FUE AFECTADA SOLAMENTE PALMA AFRICANA, POSTERIOR REPORTARON QUE SALÍAN PARA LA EMPRESA BUCARELIA EN DONDE SE ESTABA PRESENTANDO IGUALMENTE INCENDIO FORESTAL EL CUAL FUE CONTROLADO APROXIMADAMENTE A LAS 22:00 HORAS Y POSTERIOR SE DESPLAZAN AL SECTOR MONTECARLO DONDE SE ESTA PRESENTANDO INCENDIO FORESTAL EL CUAL ESTA SIENDO APOYADO POR PERSONAL DE BOMBEROS DE SABANA DE TORRES, SIN MAS DATOS AL MOMENTO.
02/02/13, REPORTA BOMBEROS QUE FUE CONTROLADO Y EXTINGUIDO EN SU TOTALIDAD INCENDIO FORESTAL EN EL SECTOR DE EL KM 8 EMPRESA PALMERAS DE SANTANDER, FINCA SOTARA CON APOYO DE BOMBEROS BARRANCABERMEJA Y SABANA DE TORRES, SIN AFECTACIÓN DE PERSONAS O VIVIENDAS, SOLO AFECTO PALMA AFRICANA, SIN MÁS DATOS.</t>
  </si>
  <si>
    <t xml:space="preserve">CDGRD DE CUNDINAMARCA, INFORMA, INCENDIO FORESTAL ACTIVO, VEREDA: TIBITA CENTRO, SECTOR PEÑALIZA BOCATOMA DEL ACUEDUCTO, EN EL REPORTE DE LAS 13:30 HORAS DEL 01/02/13 INFORMAN QUE ESTA SIENDO ATENDIDO POR BOMBEROS ZIPA, UBATE, CAJICA, BOGOTÁ, CAR, DEFENSA CIVIL, EJERCITO, POLICÍA Y COMUNIDAD, SE ESPERA EL APOYO AÉREO. REPORTE DE LAS 16:40 INFORMAN DE 10 DESCARGAS  DE AGUA DEL HELICOPTERO Y CONCENTRACION DE TODOS LOS GRUPOS OPERATIVOS EN ESTE SITIO AFIN DE DEJARLO CONTROLADO EN EL DIA DE HOY,  Y DEDICAR EL DIA DE MAÑANA AL DE LA VEREDA  EL ESPINAL, SE HAN CONSUMIDO: 3 HECTÁREAS DE: PARAMO. REPORTE 02/02/13, INCENDIO COMPLETAMENTE CONTROLADO. SIN AFECTACIÓN DE VIVIENDAS, NI PERSONAS. EL TIPO DE VEGETACIÓN CONSUMIDO POR EL INCENDIO ES DE TIPO NATIVA FRAILEJON, HELECHO, LAUREL Y RASTROJO BAJO. INFORMA ALFONSO MUÑOZ COORDINADOR OPERATIVO. </t>
  </si>
  <si>
    <t>CDGRD DE CUNDINAMARCA, INFORMA, INCENDIO FORESTAL, ACTIVO,  VEREDA: EL ESPINAL, INICIADO A LAS 13:30 HORAS DEL 30/01/13 EL CUAL LLEVA UNA AFECTACIÓN DE 20 HECTÁREAS,  EN EL REPORTE DE LAS 13:30 HORAS DEL 01/02/13 INFORMAN QUE ESTA SIENDO ATENDIDO POR BOMBEROS ZIPA, UBATE, CAJICA, BOGOTÁ, CAR, DEFENSA CIVIL, EJERCITO, POLICÍA Y COMUNIDAD, SE ESPERA EL APOYO AÉREO. REPORTE 02/02/13,  INCENDIO CONTROLADO, SE ENCUENTRAN REALIZANDO LABORES DE LIQUIDACIÓN. EL TIPO DE VEGETACIÓN CONSUMIDO POR EL INCENDIO ES DE TIPO NATIVA FRAILEJON, HELECHO, LAUREL Y RASTROJO BAJO. INFORMA ALFONSO MUÑOZ COORDINADOR OPERATIVO.</t>
  </si>
  <si>
    <t>PARQUES NACIONALES NATURALES, SR.MIGUEL LIZARAZO, INFORMA INCENDIO FORESTAL, ACTIVO, DENTRO DEL PARQUE, NACIONAL, EL TUPARRO, SE ACTIVA, CDGRD, CMGRD, BOMBEROS, SITUACIÓN EN DESARROLLO.</t>
  </si>
  <si>
    <t>CDGRD DE ARAUCA, INFORMA, INCENDIO FORESTAL, EXTINGUIDO, EN EL SECTOR: LA ROCHELA, SE CONSUMIERON 200 HECTÁREAS.</t>
  </si>
  <si>
    <t>CDGRD DEL VALLE DEL CAUCA, INFORMA INCENDIO FORESTAL, EXTINGUIDO, EN LA VEREDA: MOÑORATON, SE CONSUMIERON: 8 HECTÁREAS DE: BOSQUE Y PASTIZALES.</t>
  </si>
  <si>
    <t>VENDAVAL AFECTANDO LOS BARRIOS SIETE DE ABRIL Y NUEVA COLOMBIA, AFECTACIÓN EN TECHOS. REPORTÓ LA COORDINADORA OPERATIVA ANA SALTARIN JIMENEZ.</t>
  </si>
  <si>
    <t xml:space="preserve">
INCENDIO FORESTAL EN EL BARRIO JUANANBU ZONA BATACLAN, COMO RESULTADO: 2 HECTAREAS DE PASTOS CONSUMIDOS. INCENDIO EXTINGUIDO.</t>
  </si>
  <si>
    <t>INFORMA, D.C.C, INCENDIO FORESTAL, EXTINGUIDO,  EN LA VEREDA SANTUARIO, EL CUAL FUE EXTINGUIDO. SE QUEMARON: 400 HECTÁREAS DE:  PASTOS DE SABANA, BOSQUE Y 4 HUMEDALES. DENTRO DE LAS ACCIONES TOMADAS POR LA DCC, LA JUNTA DC DE PUERTO LLERAS, PARTICIPO CON LOS LÍDERES VOLUNTARIOS, EN APOYO, CONTROL Y EXTINCIÓN DEL INCENDIO.</t>
  </si>
  <si>
    <t>D.C.C, REPORTA FUNCIONARIO LUBIN VALENCIA QUE SE INICIÓ UN INCENDIO FORESTAL EN LA VEREDA LAS PALMAS, EL CUAL FUE EXTINGUIDO. SE QUEMARON: 2 HECTÁREAS DE:  PASTOS DE SABANA, BOSQUE. DENTRO DE LAS ACCIONES TOMADAS POR LA DCC, LA JUNTA DC DE ACACIAS, PARTICIPO CON LOS LÍDERES VOLUNTARIOS, EN APOYO, CONTROL Y EXTINCIÓN DEL INCENDIO.</t>
  </si>
  <si>
    <t>D.C.C., REPORTA FUNCIONATRIO LUBIN VALENCIA QUE SE INICIÓ UN INCENDIO FORESTAL EN LA VEREDA CAÑO PAJUIL, EL CUAL FUE EXTINGUIDO. SE QUEMARON: 3 HECTÁREAS DE:  PASTOS DE SABANA. LA JUNTA DC DE CUBARRAL, DENTRO DE LAS ACCIONES TOMADAS POR LA DCC PARTICIPO CON LOS LÍDERES VOLUNTARIOS, EN APOYO, CONTROL Y EXTINCIÓN DEL INCENDIO.</t>
  </si>
  <si>
    <t>CDGRD DE BOYACA, REPORTA INCENDIO FORESTAL, EXTINGUIDO,  EN LA VEREDA: LOS TANQUES, SE CONSUMIO: 1 HECTÁREA DE PINO PLANTADO Y BOSQUE NATIVO,  APOYARON LABORES: D.C.C.</t>
  </si>
  <si>
    <t>D.C.C, INFORMA VENDAVAL, AFECTANDO 2 VIVIENDAS.</t>
  </si>
  <si>
    <t>REPORTA CT. LUIS DELGADO DE BOMBEROS CHOCONTA, INCENDIO FORESTAL EN LA VEREDA TIBITA DEL MUNICIPIO DE VILLAPINZON, INICIADO A LAS 19:00 HORAS DEL 02/02/13, A LAS 11:00 HORAS DEL 03/02/13 LA AFECTACIÓN ES DE 1,5 HECTÁREAS DE VEGETACIÓN DE PARAMO. ATIENDE BOMBEROS CHOCONTA, VOLUNTARIOS DE LA DEFENSA CIVIL DE VILLAPINZON Y BRIGADA CAR. SOLICITA APOYO DE HELICÓPTERO YA QUE EL INCENDIO ESTA GRANDE Y FUERA DE CONTROL, EL CUAL SE SOLICITA A SALA DE CRISIS DE LA UNGRD, DE DONDE KAREN ÁVILA CONFIRMA QUE SE APRUEBA LA SOLICITUD Y LA AERONAVE SALE DE YOPAL PARA EL SITIO.</t>
  </si>
  <si>
    <t>CDGRD DE SANTANDER, INFORMA, INCENDIO FORESTAL,  EN LA VEREDA LLANO GRANDE, SOBRE UNA MONTAÑA EL CUAL FUE CONTROLADO TOTALMENTE Y AFECTO: 2 HECTÁREAS DE: VEGETACION DE MALEZA Y ARBUSTOS. EXTINGUIDO EN SU TOTALIDAD POR BOMBEROS.</t>
  </si>
  <si>
    <t xml:space="preserve">REPORTA INUNDACION EN EL MUNICIPIO DEL 60%, A CAUSA DE LLUVIAS INTENSAS EN LA CEBECERA DEL RIO ANDAGUEDA DESDE EL DIA DE AYER, LO QUE ESTA CAUSANDO AUMENTO EN EL NIVEL RIO Y CONTINUAN LAS LLUVIAS, SALE HACIA LA ZONA DESDE QUIBDO UNA COMISION DE LA CRUZ ROJA Y ACOMPAÑA FREDY RAMIREZ COORDINADOR CDGRD CHOCO, PARA REALIZAR EDAN, SITUACION EN DESARROLLO. REPORTE 03/02/12, REPORTA FREDY RAMIREZ COORDINADOR CDGRD CHOCO, DESPUES DE REALIZAR VISITA A BAGADO CON UNA COMISION DE LA CRUZ ROJA POR INUNDACION EN EL MUNICIPIO DEL 60%, POR EL  RIO ANDAGUEDA, INFORMA QUE NO HAY INUNDACION EN EL MUNICIPIO, SOLO AFECTACION EN LA VIA PRINCIPAL ENTRE BAGADO Y PLAYA DE ORO A CAUSA DE CAIDA DE LA BANCA VIAL. </t>
  </si>
  <si>
    <t>REPORTA INCENDIO FORESTAL EN EL SECTOR ZONA DE EXPANSION AGROPECUARIA, AFECTANDO 30 HECTAREAS DE CULTIVOS, APOYAN LABORES BOMBEROS SABANALARGA, MALAMBO SOLEDAD, SITUACION EN DESARROLLO. REPORTE 03/02/13, REPORTA EDINSON PALMA COORD CDGRD ATLANTICO, REACTIVACION INCENDIO FORESTAL, REPORTADO EL DIA DE AYER, EN LA FINCA "LOS RECUERDOS DE ELLA" VIA ALGODONAL - LOS POSITOS, CULTIVO AGRICOLA, VAN 40 HECTAREAS AFECTADAS Y HACE SOLICITUD DE APOYO AEREO, A LO CUAL SE LE COMUNICA A KAREN AVILA, SITUACION EN DESARROLLO.</t>
  </si>
  <si>
    <t xml:space="preserve">CDGRD DEL TOLIMA, INFORMA, INCENDIO FORESTAL, EXTINGUIDO, EN LA FINCA: SAN PEDRO, VEREDA: LA SIBERIA, SE CONSUMIERON. 8.5, HECTÁREAS DE: PASTO Y RASTROJO. </t>
  </si>
  <si>
    <t>CDGRD DEL VICHADA, INFORMA INCENDIO FORESTAL, ACTIVO, EN LAS AFUERAS DE LA CIUDAD, APOYAN: BOMBEROS AÉRONAUTICOS, PONAL, EJERCITO, D.C.C., CRUZ ROJA, INFANTERIA DE MARINA, INFORMAN DE 600 HECTÁREAS, CONSUMIDAS CIFRA POR CONFIRMAR CON EL CDGRD.</t>
  </si>
  <si>
    <t>BOMBEROS, INFORMA, SE ATIENDE INCENDIO FORESTAL, KM: 50, VÍA QUETAME, SITUACIÓN EN DESARROLLO.</t>
  </si>
  <si>
    <t xml:space="preserve">CONSEJO DEPARTAMENTAL DE CALDAS, REPORTE  EMERGENCIA PRESENTADA EN LA VEREDA DE:  DE VILLA MARIA – CALDAS DONDE HAY UN DESLIZAMIENTO EN LA BOCA TOMA LO CUAL DEJO A TODA ESTA VEREDA SIN AGUA POTABLE 
</t>
  </si>
  <si>
    <t>SOLICITUD</t>
  </si>
  <si>
    <t>SI</t>
  </si>
  <si>
    <t>INFORMACION</t>
  </si>
  <si>
    <t>NO</t>
  </si>
  <si>
    <r>
      <t xml:space="preserve">POR MEDIO DE SEGUIMIENTO REALIZADO EN EL TRASCURSO DE LA NOCHE EN ESTE DEPARTAMENTO HAY ALERTA AMARILLA POR </t>
    </r>
    <r>
      <rPr>
        <b/>
        <sz val="9"/>
        <rFont val="Arial"/>
        <family val="2"/>
      </rPr>
      <t>DENGUE</t>
    </r>
    <r>
      <rPr>
        <sz val="9"/>
        <rFont val="Arial"/>
        <family val="2"/>
      </rPr>
      <t>, 2 MENORES DE EDAD HAN FALLECIDO POR ESTA CAUSA, POR SEGUIMIENTO CON MINISTERIO DE SALUD ESTA ALERTA NO LA HAN OFICIALIZADO, A LAS 11:00 AM TENDRAN UNA REUNION Y ENVIARAN INFORMACION OFICIAL, PARA TOLIMA YA ESTA CONFIRMADA ESTA SITUACION.</t>
    </r>
  </si>
  <si>
    <r>
      <t xml:space="preserve">D.C.C, INFORMA, DIRECTOR SECCIONAL,  </t>
    </r>
    <r>
      <rPr>
        <b/>
        <sz val="9"/>
        <rFont val="Arial"/>
        <family val="2"/>
      </rPr>
      <t>ATAQUE DE ABEJAS,</t>
    </r>
    <r>
      <rPr>
        <sz val="9"/>
        <rFont val="Arial"/>
        <family val="2"/>
      </rPr>
      <t xml:space="preserve">  SITUACIÓN PRESENTADA, EL 15-01-2013, REPORTADO HASTA EL DÍA DE HOY,  EN LA FINCA LAS DELICIAS, VEREDA EL PIÑAL,  MUNICIPIO DE LA JAGUA DEL PILAR, 1 PERSONA  MUERTA, DE NOMBRE: ELIECER  MUEGES MARTÍNEZ DE  48 AÑOS, HERIDOS:  OLMER MUEGES DE  24 AÑOS, JUAN ENRIQUE MUEGES DE 20 AÑOS, QUEDA PENDIENTE RETIRAR COLMENA DE ABEJAS UBICADA EN LA ZONA RURAL.</t>
    </r>
  </si>
  <si>
    <r>
      <t>CDGRD REPORTA ATENCION POR</t>
    </r>
    <r>
      <rPr>
        <b/>
        <sz val="9"/>
        <rFont val="Arial"/>
        <family val="2"/>
      </rPr>
      <t xml:space="preserve"> ENJAMBRE DE ABEJAS</t>
    </r>
    <r>
      <rPr>
        <sz val="9"/>
        <rFont val="Arial"/>
        <family val="2"/>
      </rPr>
      <t xml:space="preserve"> AFRICANIZADAS  EN EL BARRIO GUADUALES TERCERA ETAPA CASA 16 Y QUE HASTA EL MOMENTO HA DEJADO 3 LESIONADOS, LOS CUALES HAN SIDO TRASLADADOS AL HOSPITAL DE LA MISERICORDIA, ATIENDE BOMBEROS Y DEFENSA CIVIL. </t>
    </r>
  </si>
  <si>
    <t>SE GESTIONO APOYO CON ENTIDADES DEL NIVEL NACIONAL</t>
  </si>
  <si>
    <t>ORGANISMOS DE SOCORRO REALIZAN EVALUACIÓN DE DAÑOS EN MUNICIPIO DE LIBANO TOLIMA POR FUERTE VENDAVAL OCURRIDO ESTA MADRUGADA CON REPORTE DE VIVIENDAS DESTECHADAS, CAÍDA DE ARBOLES Y REDES DE ALTA TENSIÓN QUE DEJAN AL MUNICIPIO  SIN FLUIDO ELÉCTRICO, NO SE REPORTAN DE VICTIMAS NI HERIDOS AL MOMENTO, SEGUIMOS AL PENDIENTE DE NUEVOS REPORTES.</t>
  </si>
  <si>
    <t>ORGANISMOS DE SOCORRO REALIZAN EVALUACIÓN DE DAÑOS EN MUNICIPIO DE FALAN  TOLIMA POR FUERTE VENDAVAL OCURRIDO ESTA MADRUGADA CON REPORTE DE VIVIENDAS DESTECHADAS, CAÍDA DE ARBOLES Y REDES DE ALTA TENSIÓN QUE DEJAN AL MUNICIPIO  SIN FLUIDO ELÉCTRICO, NO SE REPORTAN DE VICTIMAS NI HERIDOS AL MOMENTO, SEGUIMOS AL PENDIENTE DE NUEVOS REPORTES.</t>
  </si>
  <si>
    <t>ORGANISMOS DE SOCORRO DE LA DORADA CALDAS EVALÚAN SITUACIÓN EN SECTOR CONOCIDO COMO LAS MARGARITAS LUEGO DE PRESENTARSE FUERTE AGUACERO ACOMPAÑADO DE FUERTES VIENTOS, CON REPORTE INICIAL DE VIVIENDAS DESTECHADAS, ARBOLES CAÍDOS Y DAÑOS EN ALGUNAS ESTRUCTURAS, QUEDAMOS AL PENDIENTE DE NUEVO REPORTE.</t>
  </si>
  <si>
    <t>EN ZONA RURAL DEL MUNICIPIO DE PIJAO SE PRESENTA LA REMOSION DE MASA EN EL SECTOR DE LA ESTER, LA VIA SE ENCUENTRA CERRADA MAQUINARIA DEL MUNICIPIO ESTA TRABAJANDO PARA HABILITAR LA VIA</t>
  </si>
  <si>
    <t>HEMOS RECIBIDO INFORMACIÓN DE LA DELEGADA DE LA JUNTA DPTAL DE BOMBEROS, CAP. LOURDES PEÑA ACERCA DE UN INCENDIO FORESTAL (BOSQUE NATIVO) QUE OCURRE DESDE LA NOCHE ANTERIOR EN LA VEREDA SAN PABLO MUNICIPIO DE CIENAGA, DEPARTAMENTO DEL MAGDALENA, COORDENADAS 10°52' 52" - 74°08´49" (SUMINISTRADA POR EJERCITO NACIONAL), EL CUAL PRESENTA DIEZ FOCOS DE GRANDES CONFLAGRACIONES, AFECTANDO LA COBERTURA VEGETAL (AUN NO SE CONOCE EN DETALLE LAS HECTÁREAS AFECTADAS).</t>
  </si>
  <si>
    <t>REPORTAL LOS BOMBEROS DE YOPAL QUE SALEN 5 BOMBEROS DE MONTERREY ATENDER UN INCENDIO FORESTAL EN LA VEREDA LA VIGIA,  EN LA TARDE ESTARAN PASANDO MAS INFORMACION.</t>
  </si>
  <si>
    <t>EN LA NOCHE DEL 3 DE FEBRERO EN ZONA RURAL DE EL  MUNICIPIO DE SAN MARTIN EN LE CORREGIMIENTO DE LOS BAGRES UN VENDAVAL AFECTO A 9 FAMILIAS CON PERDIDA DE LAMINAS DE ZINC, EN EL CORREGIMIENTO DE LAGUNITA FUERON 7 FAMILIAS CON PERDIDA DE LAMINAS DE ZINC Y ENSERES, EL CMGRD ESTA REALIZANDO UN EDAN FINAL  PARA HACER LA ATENCIÓN PRIMARIA. INFORMA EL DR SANDY SEPULVEDAD.</t>
  </si>
  <si>
    <t>SE PRESENTA UN INCEDIO ESTRUCTURAL EN LA VIA AEROPUERTO EN UNA FABRICA DE MUEBLES, LOS BOMBEROS DE ARMENIA ATIENDE EL INCIDENTE, REPORTA EL SR ARIEL OSPINA.</t>
  </si>
  <si>
    <t>INFORMAN DEL CDGRD QUE EN LA NOCHE ANTERIOR SE PRESENTO UN DESLIZAMIENTO EN EL MUNICIPIO DE MELGAR EN LA CRA 11 EN ELE BARRIO EL PROGRESO AFECTANDO 2 VIVIENDAS.</t>
  </si>
  <si>
    <t xml:space="preserve">SE PRESENTA UN DESLIZAMIENTO EN HORAS DE LA MAÑANA EN LE BARRIO MIRAFLOREZ AFECTANDO DE UN MURO DE CONTECION AFECTANDO PARCIALMENTE A 2 VIVIENDAS. </t>
  </si>
  <si>
    <t>CDGRD DE ANTIOQUIA, INFORMA, VENDAVAL, ACOMPAÑADO DE FUERTES LLUVIAS, HAY VIVIENDAS DESTECHADAS, REALIZAN, EDAN.</t>
  </si>
  <si>
    <t>CDGRD DE ANTIOQUIA, INFORMA, INCENDIO FORESTAL, ACTIVO, 3 MENORES AFECTADOS POR INHALACIÓN DE HUMO, SITUACIÓN EN DESARROLLO, APOYAN: BOMBEROS, CONSORCIO CON CARROTANQUES DE AGUA.</t>
  </si>
  <si>
    <t>CDGRD DEL TOLIMA, INFORMA, VENDAVAL, ACOMPAÑADO DE LLUVIAS, NOCHE, ANTERIOR, REALIZAN EDAN.</t>
  </si>
  <si>
    <t>CDGRD DEL TOLIMA, INFORMA, INUNDACIONES, EN LOS BARRIOS: EL CARMÉN, EL HUECO, AVENIDA INTERLAKEN, LA CLINICA TOLIMA, UN SECTOR DE LA ALCALDIA, ENTIDADES OPERATIVAS, APOYAN, PENDIENTE AFECTACIÓN.</t>
  </si>
  <si>
    <t>REPORTA, D.C.C,  DIRECTOR SECCIONAL SANTANDER: INCENDIO ESTRUCTURAL EL 04-02-2013 A LAS 19: 00 HORAS, EXTINGUIDO A LAS 21. 00 HORAS, EN EL M/PIO DE JESUS MÁRIA, VEREDA SAN PABLO, RESULTANDO 1 VIVIENDA DESTRUIDA, 8 PERSONAS AFECTADAS. PARTICIPARON 10 LIDERES DCC.</t>
  </si>
  <si>
    <t>REPORTA, D.C.C.,  SECCIONAL BOYACÁ, QUE SIENDO LAS 09:00 HORAS DE HOY 04-02-13, FUE CONTROLADO Y EXTINGUIDO INCENDIO FORESTAL EN LA VEREDA PUNTA LARGA JURISDICCIÓN DEL MUNICIPIO DE TIBANÁ, CON SALDO DE 4 HECTÁREAS DE BOSQUE NATIVO AFECTADO. PARTICIPARON EN LAS OPERACIONES 15 LIDERES VOLUNTARIOS DCC DURANTE 7 HORAS.</t>
  </si>
  <si>
    <t>CDGRD DE CUNDINAMARCA, MY. IVÁN DARÍO VALENZUELA REPORTA INCENDIO FORESTAL EN LA VEREDA YERBABUENA DEL MUNICIPIO DE GACHETA, INICIADO A LAS 21:00 Y EXTINGUIDO A LAS 00:00 HORAS DEL 05/02/13 CON AFECTACIÓN DE 7 HECTÁREAS DE CHUPÍN, HELECHOS Y PASTOS. ATENDIÓ BOMBEROS GACHETA.</t>
  </si>
  <si>
    <t>CDGRD, CT. LUIS DELGADO DE BOMBEROS CHOCONTA, REPORTA INCENDIO FORESTAL EN LA VEREDA SAN PEDRO DEL MUNICIPIO DE VILLAPINZON, INICIADO A LAS 06:00 HORAS DEL 04/02/13. A LAS 16:00 HORAS REPORTA CONTROLADO CON AFECTACIÓN DE 1 HECTÁREA DE VEGETACIÓN DE PARAMO. A LAS 17:00 HORAS QUEDO EXTINGUIDO.</t>
  </si>
  <si>
    <t>CDGRD, INFORMA, BOMBERO YESID PERILLA GARZÓN DE GACHALA REPORTA INCENDIO FORESTAL EN LA VEREDA LOS ANDES  INICIADO A LAS 13:00 HORAS  DEL 03/02/13, CON AFECTACIÓN A LA HORA DE 3 HECTÁREAS DE RASTROJO, ESTUVO EN RIESGO 1 VIVIENDA LA CUAL TUBO PERDIDA DE LA LÍNEA DE CONDUCCIÓN DEL ACUEDUCTO VEREDAL, ATIENDE BOMBEROS GACHALA. EL REPORTE DE LAS 08:30 HORAS DEL 05/02/13 CONTINUA ACTIVO Y LA AFECTACIÓN AUMENTO A 5 HECTÁREAS. A LAS 13:00 HORAS LO REPORTAN EXTINGUIDO.</t>
  </si>
  <si>
    <t xml:space="preserve">ORGANISMOS DE SOCORRO REALIZAN EVALUACIÓN DE DAÑOS EN MUNICIPIO DE VENADILLO TOLIMA POR FUERTE VENDAVAL OCURRIDO ESTA MADRUGADA CON REPORTE DE VIVIENDAS DESTECHADAS, CAÍDA DE ARBOLES Y REDES DE ALTA TENSIÓN QUE DEJAN AL MUNICIPIO  SIN FLUIDO ELÉCTRICO, NO SE REPORTAN DE VICTIMAS NI HERIDOS AL MOMENTO, SEGUIMOS AL PENDIENTE DE NUEVOS REPORTES. REPORTE 05/01/2013, CDGRD DEL TOLIMA, ACTUALIZAN AFECTACIÓN POR VENDAVAL, PORESENTADO, EL DÍA 04-02-2013,  BARRIOS: SANTOFIMIO, PUEBLO NUEVO, PROTECHO, LA ESPERANZA, ARMERO, VILLA PAZ, PUERTA DEL AREA, AFECTADA,  120 FAMILIAS AFECTADAS, LA CENTRAL DE URGENCIAS DEL HOSPITAL. </t>
  </si>
  <si>
    <t>EN LA NOCHE DEL 3 DE FEBRERO SE PRESENTO UN FUERTE VENDAVAL AFECTAND0 A VARIAS VIVIENDAS EN ZONA RURAL , EN LAS VEREDAS DE NUEVO HORIZONTE,PALO SANTO LA ESMERALDA,EL RESGUARO, YARUMAL, ALTO BONITO. SE ESPERA EDAN  POR PARTE DE LASENTIDADES DE SOCORRO.</t>
  </si>
  <si>
    <t>CT. JOSÉ ANTONIO REYES DE BOMBEROS PUERTO SALGAR REPORTA VENDAVAL ACOMPAÑADO DE LLUVIAS, OCURRIDO A LAS 01:00 HORAS DEL DÍA 04/02/13, EL CUAL AFECTO 40 PERSONAS, 7 FAMILIAS EN 7 VIVIENDAS EN LOS BARRIOS NARIÑO, SANTANDER Y ALTO BUENOS AIRES, CON PERDIDA DE TECHOS, MUEBLES Y ENSERES, PARA LOS CUALES SOLICITAN AYUDAS HUMANITARIAS. ATENDIÓ BOMBEROS PUERTO SALGAR, CMGRD, POLICÍA Y DEFENSA CIVIL</t>
  </si>
  <si>
    <t>JUAN CARLOS CASTRO DE BOMBEROS CAJICA REPORTA ANEGACIÓN EN EL BARRIO CAPELLANÍA POR LLUVIAS PRESENTADAS EN LA TARDE DEL 03/01/12 QUE AFECTO LEVEMENTE A 4 VIVIENDAS, NO HUBO PERDIDAS MATERIALES. ATENDIÓ BOMBEROS CAJICA.</t>
  </si>
  <si>
    <t>SE PRESENTO UN INCENDIO FORESTAL EN ZONA RURAL DE MONTERREY EN LA FINCA GUADALAJARA  CONSUMIENDO UNA SABANA DE PASTO, CONTROLADO Y EXTINGUIDO. REPORTA BOMBEROS YOPAL.</t>
  </si>
  <si>
    <t>REPORTA INCENDIO FORESTAL EN LA VEREDA PARAMO, DEL MUNICIPIO DE CAQUEZA, INICIADO A LAS 11:00 Y EXTINGUIDO A LAS 15:00 HORAS CON AFECTACIÓN DE 6 HECTÁREAS DE RASTROJO BAJO. ATENDIÓ BOMBEROS CAQUEZA, POLICÍA Y COMUNIDAD</t>
  </si>
  <si>
    <t>REPORTA INCENDIO FORESTAL EN LA VEREDA GUATOQUE DEL MUNICIPIO DE CAQUEZA, INICIADO A LAS 1200 Y EXTINGUIDO A LAS 18:00 HORAS CON AFECTACIÓN DE 8 HECTÁREAS DE PASTOS MEJORADOS. ATENDIÓ BOMBEROS CAQUEZA, POLICÍA Y COMUNIDAD</t>
  </si>
  <si>
    <t>REPORTA VENDAVAL PRESENTADO A LAS 05:00 HORAS DEL DÍA 05/02/13 EN LA INSPECCIÓN LA VICTORIA CON AFECTACIÓN DE 21 VIVIENDAS  CON PERDIDA DE TAJADOS, MUEBLES Y ENSERES, DONDE RESIDEN 21 FAMILIAS 100 PERSONAS. ATENDIÓ DEFENSA CIVIL, CMGRD Y COMUNIDAD.</t>
  </si>
  <si>
    <t>TORMENTA ELECTRICA</t>
  </si>
  <si>
    <t xml:space="preserve">BOMBEROS OFICIALES SOLICITA REPORTAR A AL FA 15, DESLIZAMIENTO DE TIERRA EN EL BARRIO BALTAZAR, CASA NO. 30, AFECTADA POR LAS LLUVIAS EN LA NOCHE ANTERIOR, REQUIEREN DEL GPAD REALIZAR UNA INSPECCIÓN. REPORTA CDGRD </t>
  </si>
  <si>
    <t>BUENAS TARDES MUY COMEDIDAMENTE SOLICITAMOS UN APOYO  HELICOPORTADO PARA REALIZAR INSPECCIÓN DE UN INCENDIO FORESTAL EN EL MUNICIPIO DE LÉRIDA EN LA VEREDA LA REFORMA EN LA PARTE OCCIDENTAL DEL MUNICIPIO A CINCO MINUTOS DE ESTE, YA QUE EL ACCESO AL LUGAR ES DIFÍCIL.</t>
  </si>
  <si>
    <t>CDGRD DE CUNDINAMARCA, INFORMA, MY. IVÁN DARÍO VALENZUELA REPORTA INCENDIO FORESTAL EN LA VEREDA EL CAMPIN, DEL MUNICIPIO DE CAQUEZA, INICIADO A LAS 10:00 Y EXTINGUIDO A LAS 12:00 HORAS DEL 07/02/13 CON AFECTACIÓN DE 2 HECTÁREAS DE RASTROJO, ATENDIÓ BOMBEROS CAQUEZA.</t>
  </si>
  <si>
    <t>CDGRD DE CUNDINAMARCA, INFORMA, RAFAEL ROBLES DE LA CAR, REPORTA INCENDIO FORESTAL, EN LA VEREDA RESGUARDO BAJO DEL MUNICIPIO DE MACHETA, INICIADO A LAS 11:20 HORAS DEL 07/02/13 ES ATENDIDO POR BOMBEROS TOCANCIPA, BRIGADA CAR Y COMUNIDAD. A LAS 16:50 HORAS REPORTA EL CT. JORGE EDUARDO ROA DE BOMBEROS TOCANCIPA, EXTINGUIDO CON AFECTACIÓN DE 1,5 HECTÁREAS DE PASTIZALES.</t>
  </si>
  <si>
    <t xml:space="preserve">CDGRD DE CUNDINAMARCA, INFORMA, CT. LILIANA LADINO DE BOMBEROS UBATE REPORTA INCENDIO FORESTAL EN LA VEREDA CHÁPALAS DEL MUNICIPIO DE CUCUNUBA, INICIADO A LAS 16:00 Y EXTINGUIDO A LAS 17:30 HORAS DEL 06/01/13 CON AFECTACION DE 0,5 HECTÁREAS DE PINO RESINOSO. ATENDIÓ BOMBEROS UBATE Y COMUNIDAD.
</t>
  </si>
  <si>
    <t>CDGRD DE CUNDINAMARCA, PEDRO CÁRDENAS DE BOMBEROS MANTA, REPORTA INCENDIO FORESTAL EN LA VEREDA PALMAR ARRIBA, INICIADO A LAS 14:00 Y EXTINGUIDO A LAS 15:00 HORAS DEL 06/02/13 CON AFECTACIÓN DE 0,5 HECTÁREAS DE PASTOS MEJORADOS, ATENDIÓ BOMBEROS MANTA.</t>
  </si>
  <si>
    <t xml:space="preserve">CDGRD DE CUNDINAMARCA, MY IVÁN DARÍO VALENZUELA, COORDINADOR DEPARTAMENTAL DE BOMBEROS DE CUNDINAMARCA, REPORTA INCENDIO ESTRUCTURAL EN ANAPOIMA SUPERMERCADO SURTIPUNTO, INICIADO A LAS 21:00 HORAS DEL 06/02/13 Y EXTINGUIDO A LAS 01:00 HORAS DEL 07/02/13 CON PERDIDAS DE DIFERENTES MERCANCÍAS Y DAÑOS ESTRUCTURALES EN UN MONTO APROXIMADO DE 70 MILLONES DE PESOS. ATENDIÓ BOMBEROS ANAPOIMA, BOMBEROS LA MESA Y COMUNIDAD.
</t>
  </si>
  <si>
    <t>CDGRD DE SANTANDER, INFORMA,  ESTACIÓN DE POLICÍA QUE EL DÍA 06-02-2013 A LAS 02:30 HORAS EN LA VEREDA EL RUBY, FINCA  LOS CEDRITOS, OCURRIÓ UN INCENDIO ESTRUCTURAL EN UNA VIVIENDA EN DONDE FALLECIÓ LA SEÑORA ALIX MARLEN RUIZ, DE  37 AÑOS, SOLTERA, QUIEN SEGÚN INFORMA LA COMUNIDAD ERA UNA PERSONA CON DISCAPACIDAD MENTAL Y TAMBIÉN ERA MUDA Y NO PODÍA VALERSE POR SÍ MISMA.  AL PARECER  LA CONFLAGRACIÓN INICIO POR UN CORTO CIRCUITO AL INTERIOR DE LA VIVIENDA, LA CASA FUE CONSUMIDA TOTALMENTE Y NO SE TIENEN DATOS DE LA CUANTÍA DE LOS DAÑOS.</t>
  </si>
  <si>
    <t>CDGRD DEL META, INFORMA, EL DÍA DE HOY,  SE PRESENTÓ, UNA TORMENTA ELÉCTRICA , EN LA FINCA: MACONDO, DEJANDO: 1 PERSONA MUERTA Y UN HERIDO, EL CUAL FUE TRASLADADO AL HOSPITAL DE MAPIRIPAN.</t>
  </si>
  <si>
    <t>BOMBEROS, YOPAL, INFORMA, INCENDIO FORESTAL, EXTINGUIDO, EN LA VEREDA: BELLA VISTA, SE CONSUMIERON: 60 HECTÁREAS DE: SABANA Y BOSQUE NATURAL.</t>
  </si>
  <si>
    <t>BOMBEROS, YOPAL, INFORMA, INCENDIO FORESTAL, EXTINGUIDO, EN LA GRANJA : MERECURE, SE CONSUMIERON: 3 HECTÁREAS DE: PASTOS, BOSQUES, ÁRBOLES FRUTALES.</t>
  </si>
  <si>
    <t xml:space="preserve">CMGRD DE ARMENIA, INFORMA INCENDIO ESTRUCTURAL EN UN TALLER DE MECANICA, 1 PERSONA HERIDA, AFECTADOS 3 VEHICULOS, </t>
  </si>
  <si>
    <t>CDGRD DE NARIÑO, INFORMA DESLIZAMIENTO, OCASIONO EL COLAPSO DE TECHO DE 1 VIVIENDA, EN LA VEREDA: SAN PABLO, LA FAMILIA SE EVACUO, SIN LESIONADOS.</t>
  </si>
  <si>
    <t>CDGRD DE NORTE DE SANTANDER, INFORMA, 06-02-2013, INCENDIO FORESTAL, EXTINGUIDO, VEREDA: FILIPOTES, SE CONSUMIERON: 2 HECTÁRFEAS DE: RASTROJO Y ÁRBOLES FRUTALES</t>
  </si>
  <si>
    <t>BOMBEROS, INFORMA, EL DÍA DE HOY, SE ATENDIERON: 2  INCENDIOS FORESTALES, EXTINGUIDOS, EN LOS SECTORES DE:  KM:27, VÍA PUERTO GAITÁN, MAS 15 KMS ADENTRO EN LA FINCA: EL DIAMANTE, FINCA: EL DESCANSO, PENDIENTE AFECTACIÓN.</t>
  </si>
  <si>
    <t>CDGRD INFORMA QUE POR LLUVIAS EN HORAS DE LA NOCHE, SE PRODUJO DESLIZAMIENTO DE TALUD EN BARRIO CASIANO BAJO PERTENECIENTE A FLORIDABLANCA CAYENDO SOBRE UNA VIVIENDA AL PARECER HAY PERSONAS ATRAPADAS LOS ORGANISMO DE RESCATE SE ESTÁN DESPLAZANDO, PENDIENTE EVOLUCION</t>
  </si>
  <si>
    <t>CMGRD REPORTA EN HORAS DE LA MA{ANA DEL DIA DE HOY QUE SE REGISTRO UNA EXPLOSION DENTRO DE UNA VIVIENDA EN LA MANZANA 4 DE EL BARRIO SIMON BOLIVAR AL SUR DE LA CAPITAL, SE DESCONOCEN LAS CAUSAS, DEJA COMO RESULTADO 2 PERSONAS LESIONADAS, ATENDIO BOMBEROS, PONAL, EFIGAS Y AMBULANCIAS DE RED SALUD.</t>
  </si>
  <si>
    <t>CDGRD REPORTA QUE POR FUERTES VIENTOS EN HORAS DE LA NOCHE SE VIERON AFECTADAS 3 VIVIENDAS EN TECHOS Y ENSERES, NO HUBO PERSONAS LESIONADAS.</t>
  </si>
  <si>
    <t xml:space="preserve">CDGRD REPORTA EN ESTE MUNICIPIO AL IGUAL QUE EN SOLEDAD Y SANTO TOMAS SE REGISTRARON INCENDIOS ESTRUCTURALES, DEJANDO UN TOTAL DE 3 VIVIENDAS DESTRUIDAS, UNA EN CADA MUNICIPIO, LA CAUSA CORTO CIRCUITO, REQUIRIENDOSE LAMINAS Y MATERIALES PARA ATENDER A ESTAS FAMILIAS. </t>
  </si>
  <si>
    <t>CDGRD REPORTA POR TEMA DE INUNDACION SE VIERON AFECTADAS APROXIMADAMENTE 30 VIVIENDAS POR COLAPSO EN LA RED DE ALCANTARILLADO CMGRD ADELANTA EVALUACION.</t>
  </si>
  <si>
    <t>REPORTA FUERTE GRANIZADA ACOMPAÑADA DE LLUVIAS QUE SE PRESENTO EL DÍA 03/02/13 ENTRE LAS 16:00 Y 18:00 HORAS EN LAS VEREDAS LA MOYA Y SETIME, SECTORES CUEVA DE LOS ZORROS, MANZANAS ALTO, GALILEO, EL PESEBRE Y ALTOS DE SETIME, EL CUAL AFECTO 58 VIVIENDAS CON 58 FAMILIAS 195 PERSONAS, LAS CUALES PERDIERON TEJADOS, MUEBLES Y ENSERES LO MISMO QUE CULTIVOS DE HORTALIZAS. ATENDIÓ CMGRD, BOMBEROS, POLICÍA Y DEFENSA CIVIL CON 200 MANTAS, 100 COLCHONETAS Y 60 MERCADOS. REPORTA CMGRD.</t>
  </si>
  <si>
    <t>CDGRD DE ATLANTICO, INFORMA DE INCENDIO FORESTAL, ACTIVO, EN LA FINCA:  LA VICTORIA, SE HAN CONSUMIDO: 20 HECTÁREAS, SITUACIÓN EN DESARROLLO. REPORTE 08/02/13, CDGRD REPORTA QUE LA REACTIVACION DEL INCENDIO FORESTAL FUE CONTROLADO Y EXTINGUIDO A TIEMPO, DEJANDO LA MISMA  AFECTACION EN HECTAREAS</t>
  </si>
  <si>
    <t>SOBRE LAS 04:30 SE REGISTRA UN DESLIZAMIENTO EN EL KM 13 VIA BUCARAMANGA - CUCUTA AL MOMENTO 1 VIVIENDA INVOLUCRADA PERSONAL DE  POLICIA EN EL SITIO REPORTAN HAN SIDO RESCATADAS 6 PERSONAS, TRASLADADAS A CENTRO ASISTENCIAL, 2 DE ELLAS FALLECIDAS EN HOSPITAL, BOMBEROS TAMBIEN SE ENCUENTRA EN EL SITIO, SITUACION EN DESARROLLO. REPORTE 08/01/13, CDGRD REPORTA DESLIZAMIENTO EN EL KILOMETRO 13, VIA BUCARAMANGA - CUCUTA, FUERON EVACUADAS 8 PERSONAS, 2 DE ELLAS FALLECIERON MADRE 24 AÑOS, UNA MENOR DE 4 AÑOS, 6 LESIONADAS LAS CUALES FUERON REMITIDAS A CENTROS ASISTENCIALES DE LA CIUDAD, 3 VIVIENDAS DESTRUIDAS, AFECTO EL PASO VEHICULAR, PONAL, BOMBEROS Y COMUNIDAD ATENDIERON EL INCIDENTE.</t>
  </si>
  <si>
    <t>D.C.C, REPORTA JEFE OFICINA OPERATIVA CARLOS HERRERA: QUE AYER JUEVES 7 DE FEBRERO DE 2013 HACIA LAS 2 PM SE PRESENTÓ UNA CRECIENTE DEL RIO ORITO Y ARRASTRO A 2 PESCADORES PADRE E HIJO.  20 LÍDERES VOLUNTARIOS DE LA DCC ORITO DESDE AYER, SE ENCUENTRAN EN SU BÚSQUEDA. DENTRO DE LAS ACCIONES TOMADAS POR LA DCC; 20 LÍDERES JDC ORITO, 1 VEHÍCULO 1 BOTE REALIZAN LA BÚSQUEDA Y RESCATE.</t>
  </si>
  <si>
    <t>D.C.C, REPORTA FUNCIONARIA ROSALBA DIAZ INUNDACIÓN POR FUERTES LLUVIAS EN EL BARRIO LA PAZ,  DIAGONAL 45 POR 4C-SUR  AFECTANDO: 4 VIVIENDAS 4 FAMILIAS 16 PERSONAS.</t>
  </si>
  <si>
    <t>D.C.C., REPORTA: GLORIA ISABEL RAMÍREZ ÁLVAREZ:  INCENDIO FORESTAL EN LA FINCA PARAGUAY, CERCA DE UNA ESTACIÓN DE POLICÍA DONDE TENÍAN VARIOS EXPLOSIVOS. DENTRO DE LAS  ACCIONES TOMADAS POR LA  D.C.C. 12 LIDERES VOLUNTARIOS DE LA JUNTA CAUCASIA  FUERON A AYUDAR A CONTROLAR EL INCENDIO EN COMPAÑÍA DE LA POLICÍA NACIONAL, ANTES QUE LLEGARA A  LA BASE DONDE TENÍAN LOS EXPLOSIVOS</t>
  </si>
  <si>
    <t>SR. ARIEL OSPINA, INFORMA, DESLIZAMIENTO, EN EL BARRIO:  GAITÁN BAJO</t>
  </si>
  <si>
    <t>CDGRD DE SANTANDER, INFORMA, INUNDACIÓN, BARRIO: LA INMACULADA ESTAN REALIZANDO, EL CENSO DE PERSONAS QUE NECESITAN ALBERGUE, EN BARRIO BRISAS DE RIO FRIO TRES FAMILIAS DAMNIFICADAS Y EN EL ASENTAMIENTO HUMANO LOS BAMBUES TRES FAMILIAS DAMNIFICADAS PARA UN TOTAL PARCIAL DE 24 PERSONAS, FALTANDO EL BARRIO INMACULADA Y EL CARMEN QUE SUFRIERON AFECTACION POR INUNDACION EN VIVIENDAS, SIN MAS AFECTACIONES.</t>
  </si>
  <si>
    <t xml:space="preserve">CDGRD REPORTA VOLADURA DE OLEODUCTO EN EL MUNICIPIO DE EL CARMEN VEREDA EL LORO, EL DERAME DE CRUDO CAYO AL RIO CATATUMBO, AVANZA A LA VEREDA EL PASO,SECTOR PUENTE AMARILLO, POSIBLEMENTE LLEGUE LA MANCHA A LA GABARRA EN TIBU, PROHIBEN PASO DE LANCHAS CON MOTOR EN EL RIO CATATUMBO. </t>
  </si>
  <si>
    <t>CDGRD REPORTA QUE UNAS PERSONAS RESULTARON ATRAPADAS EN EL VEHÍCULO  TAXI DE PLACAS XVL016 ATRAPADO EN LA QUEBRADA LAS NIEVES, EN GIRÓN, FUERON IDENTIFICADOS LOS OCUPANTES COMO: CONDUCTOR, CARLOS ANDRÉS ARANGUEZ TORRES CC NO. 1095915502 DE GIRÓN,23 AÑOS, JENNY JULIANA CARREÑO MARTÍNEZ CC 1098686701 DE BUCARAMANGA, 22 AÑOS, ANDREA LAURET LAVERDE CORNEJO CC 63553920 DE BUCARAMANGA, 28 AÑOS QUIENES RESULTARON ILESOS AL SALIRSE DEL VEHÍCULO. QUEDO MUERTO DENTRO DEL VEHÍCULO EL SEÑOR JEFFERSON JULIAN ARDILA RIOS CC 1098739286 DE BUCARAMANGA DE 19 AÑOS Y LA MENOR LEYDY DAYANA LAVERDE CORNEJO DE 15 AÑOS, QUIEN FUE ARRASTRADA POR EL RIO Y ENCONTRADA POR FAMILIARES EN EL CORREGIMIENTO DE PROVINCIA JURISDICCIÓN DE SABANA DE TORRES.</t>
  </si>
  <si>
    <t>CDGRD REPORTA AFECTACION POR LLUVIA EN EL BARRIO SAN MARTIN SECTOR CHIVERAS 1 VIVIENDA COLAPSO EN EL 60% FAMILIA EVACUADA, 1 VIVIENDA EN RIESGO ALTO DE COLAPSO, 1 FAMILIA EVACUADA Y 8 VIVIENDAS EN RIESGO BAJO REALIZAN MONITOREO, BARRIO SEVILLA 1 VIVIENDA COLAPSADA, 1 FAMILIA EVACUADA, 1 MAS POR RIESGO ALTO DE COLAPSO, BARRIO BELLAVISTA 1 VIVIENDA CON COLAPSO TOTAL DE LA FACHADA, 1 FAMILIA EVACUADA.</t>
  </si>
  <si>
    <t>CDGRD REPORTA DÍA 09/02/13  SE PRESENTARON LLUVIAS A PARTIR DE LAS 22:00 HORAS APROXIMADAMENTE HASTA LAS 04:30 HORAS, EN DONDE SE PRESENTO AFECTACIÓN POR INUNDACIÓN EN LOS BARRIOS RIO PRADO, NUEVO GIRÓN, LA PLAYA, EL TÚNEL, ARENALES ALTO, PORTAL DE CASTILLA, LA INMACULADA, LOS BAMBÚES, EL PALENQUE, EL CARMEN, EL POBLADO, EN DONDE FUERON EVACUADOS LAS BARRIOS CON MAS AFECTACIÓN Y CERCANÍAS AL RIO DE ORO</t>
  </si>
  <si>
    <t>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t>
  </si>
  <si>
    <t xml:space="preserve">REPORTA INCENDIO FORESTAL EN BARRIO BRISAS DEL PALMAR, CONTROLADO Y EXTINGUIDO EL DIA DE HOY. 2 HECTAREAS AFECTADAS, ATENDIO BOMBEROS Y POLICIA. </t>
  </si>
  <si>
    <t>BOMBEROS REPORTA INCENDIO FORESTAL EN ESTE MUNICIPIO EN LA VEREDA TACUYA, ACTIVO, SEGUIMIENTO EN LAS PRIMERAS HORAS DE LA MAÑANA. REPORTE 10/02/13, BOMBEROS REPORTA INCENDIO FORESTAL EN LA VEREDA TACUYA, CONTROLADO Y EXTINGUIDO EL DIA DE HOY. HECTAREAS AFECTADAS 15.</t>
  </si>
  <si>
    <t>BOMBEROS REPORTA EN OROCUE VEREDA LA ESMERALDA INCENDIO FORESTAL ACTIVO, SEGUIMIENTO EN LAS PRIMERAS HORAS DE LA MAÑANA. REPORTE 10/02/13, BOMBEROS REPORTA INCENDIO FORESTAL EN  LA VEREDA LA ESMERALDA  CONTROLADO Y EXTINGUIDO EL DIA DE HOY. HECTAREAS AFECTADAS 40.</t>
  </si>
  <si>
    <t>CDGRD REPORTA NUEVAMENTE 16 FAMILIAS DE LA VEREDA NAVARCO INCOMUNICADAS POR FUERTES LLUVIAS POR LO CUAL LA VIA DE ACCESO ESTA IMPOSIBLE DE TRANSITAR , SE HAN REALIZADO PROCEDIMIENTOS ORIENTADOS POR LA UNGRD, ESTUDIAN POSIBILIDAD CON PROYECTO DE PUENTES</t>
  </si>
  <si>
    <t>CRECIENTE SUBITA</t>
  </si>
  <si>
    <t>APOYO MEDIANTE SUBSIDIO DE ARRIENDO TEMPORAL PARA 9 FAMILIAS AFECTADAS POR INUNDACIONES POR TRES MESES A RAZON DE $150.000 MENSUAL</t>
  </si>
  <si>
    <t>BOMBEROS REPORTA SE REGISTRO INUNDACION EN EL BARRIO SAN MARTIN DE PORRES I Y II, AFECTANDO 15 VIVIENDAS APROXIMADAMENTE, ATENDIO FOPAE, BOMBEROS,PONAL,CODENSA, ACUEDUCTO, INTEGRACION SOCIAL, SECRETARIA DE SALUD. REPORTE 11-02-13, DESBORDAMIENTO CANAL CATALUÑA- BARRIO SAN MARTÍN- LOCALIDAD CHAPINERO EL DÍA 09/02/13:ULTIMO REGISTRO EL DÍA 10/02/13: 13 FAMILIAS AFECTADAS (36 ADULTOS- 27 MENORES), EN EL SITIO REALIZARON ACTIVIDADES BOMBEROS OFICIALES- VOLUNTARIOS- FOPAE-SDIS- EMPRESAS DE SERVICIOS PÚBLICOS. SDS: REGISTRA QUE NO ATENDIERON PACIENTES DURANTE LA EMERGENCIA. A LAS 13 FAMILIAS FOPAE ENTREGÓ:KIT NOCHE- KIT COCINA-TEJAS. EL EVENTO CONTINUA ABIERTO. NO HAY NUEVOS REGISTROS DE AFECTACIÓN LA SITUACIÓN QUEDÓ CONTROLADA EL MISMO DÍA QUE SE PRESENTÓ LA EMERGENCIA.</t>
  </si>
  <si>
    <t>D.C.C., REPORTA DIRECTOR SECCIONAL CÓRDOBA, QUE ENTRE LAS 11:00 Y LAS 14.00 HORAS DEL DIA 11-02-13, FUE CONTROLADO Y EXTINGUIDO INCENDIO FORESTAL EN ZONA DE LA FINCA LA VEGA, JURISDICCIÓN DEL MUNICIPIO DE CHINÚ, CORR/TO EL ROSARIO, QUE DEJA SALDO DE 50 HECTÁREAS DE PASTOS, AFECTADOS. PARTICIPARON EN OPERACIONES 15 LIDERES VOLUNTARIOS DCC.</t>
  </si>
  <si>
    <t>D.C.C, ING. JESÚS ROBERTO PORTILLO, DIRECTOR SECCIONAL, REPORTA SOBRE ATENCIÓN DE INCENDIO FORESTAL, EXTINGUIDO, BARRIO: VILLA ROSITA,  SE CONSUMIO: 1  HECTÁREA,  LAS ACCIONES TOMADAS POR LA DCC. ESTÁN PRIMEROS RESPONDIENTES, ACTIVACIÓN EMERGENCIA, ASEGURAR EL ÁREA APOYO A BOMBEROS, PRIMER RESPONDIENTE JDC CARTAGENA. JDC DISTRITAL.</t>
  </si>
  <si>
    <t xml:space="preserve">D.C.C, REPORTA SECCIONAL GUAJIRA, QUE ENTRE LAS 13:00 Y LAS 15:00 HORAS DEL DIA 11-02-13,SE REGISTRÓ INCENDIO FORESTAL, EXTINGUIDO,  EN ZONA ALEDAÑA AL AEROPUERTO LOCAL DE LA CIUDAD DE RIOHACHA, EN DONDE HABITA UNA COMUNIDAD INDIGENA Y QUE DEJA SALDO DE 1 HECTÁREA DE PASTOS AFECTADOS. PARTICIPARON EN LAS OPERACIONES 8 LIDERES VOLUNTARIOS DCC DURANTE 2 HORAS.  </t>
  </si>
  <si>
    <t xml:space="preserve">D.C.C, REPORTA SECCIONAL GUAJIRA, SOBRE INCENDIO ESTRUCTURAL ORIGINADO EN UNA RECICLADORA DE RESIDUOS EN ZONA URBANA DEL MUNICIPIO DE RIOHACHA OCURRIDO ENTRE LAS 19:00 Y LAS 21:00 HORAS DEL DIA 10-02-13,SIN AFECTAR NINGUNA ZONA DE VIVIENDAS DE ACUERDO AL INFORME. PARTICIPARON EN LAS OPERACIONES 12 LIDERES VOLUNTARIOS DCC DURANTE 2 HORAS. A.C.G. </t>
  </si>
  <si>
    <t>D.C.C., REPORTA DIRECTOR SECCIONAL CESAR INCENDIO FORESTAL, ACTIVO,  A PARTIR DE LAS 18: 00 HORAS DEL 08-03-2013, EN EL M/PIO DE LA GLORIA, HACIENDA SANTA INES SECTOR EL TRIUNFO, PARTICIPAN 20 LIDERES DCC. REPORTE 11-02-13, CDGRD DEL CESAR, INFORMA INCENDIO FORESTAL, EXTINGUIDO, HACIENDA: SANTA INES, SECTOR: EL TRIUNFO, SE CONSUMIERON: 3 HECTÁREAS  DE PASTIZALES.</t>
  </si>
  <si>
    <t>10,000 M MANGUERA DE 1", 800 METROS DE 3", 200 TANQUES DE 500 LITROS Y 100 TANQUES DE 1000 LITROS</t>
  </si>
  <si>
    <t>EN HORAS DE LA MAÑANA SE PRESENTO UN INCENDIO ESTRUCTURAL AFECTANDO A 2 VIVIENDAS  LAS CUALES TIENE PERDIDA TOTAL. ATENDIERON BOMBEROS DE CARTAGENA. REPORTA EL CDGRD. DR GUSTAVO ORTEGA.</t>
  </si>
  <si>
    <t>REPORTA QUE EL 07 DE FEBRERO DE 2013 SE PRESENTO INCENDIO ESTRUCTURAL DE 1 VIVIENDA, EN CORREGIMIENTO SAN ANTONIO, VEREDA SAN MIGUEL, FINCA LA ESPERANZA, CON PERDIDA TOTAL DEL INMUEBLE. REPORTA CMGRD JAMUNDI</t>
  </si>
  <si>
    <t>REPORTA INCENDIO FORESTAL EN LA VEREDA SAN ISIDRO, SALEN AL SITIO BOMBEROS Y CRUZ ROJA, SITUACION EN DESARROLLO</t>
  </si>
  <si>
    <t xml:space="preserve">CDGRD ACTUALIZA INFORMACION DEL ACCIDENTE PRESENTADO EN LA VIA PEREIRA-MEDELLIN SITIO EL PUENTE EL LAZARO DE VITERBO CALDAS, CON AFECTACION EN EL SITIO DE 19 PERSONAS TRASLADADAS A LA VIRGINIA Y ANSERMA, AL MOMENTO SOLO EL CONDUCTOR HOSPITALIZADO, 2 MAS DE EL CAIRO AL HOSPITAL DE LA VIRGINIA, ESTIMACION DE DERRAME A LA QUEBRADA SAN LAZARO DE 12000 A 15000 LITROS DE ACRILATO DE BUTILO, VITERBO, LA VIRGINIA Y CALDAS EN REUNION CONCLUYE INICIO DE INVESTIGACION, PRESENCIA DE PERSONA ENCARGADA DE LA SUSTANCIA PARA LIMPIEZA INMEDIATA DE CAUSES, MUNICIPIOS DE LA VIRGINIA , VITERBO, PEREIRA (CAIMALITO), BELEN( REMOLINOS Y LA ISLA), SUSPENDAN ACTIVIDADES DE PESCA, EXTRACCION DE MATERIAL DE LOS AFLUENTES,ACTIVIDADES AGROPECUARIAS QUE NECESITEN RECURSO HIDRICO, ACTIVIDADES TURISTICAS, LAS CAR SUSPENDEN CONCESIONES DE AGUA, ESTO AL MENOS POR 48 HORAS,COMUNICACION A LA COMUNIDAD CON RECOMENDACIONES RESPECTIVAS   </t>
  </si>
  <si>
    <t>CDGRD REPORTA AFECTACION POR INUNDACION EN ESTE MUNICIPIO AFECTANDO 7 VIVIENDAS, CON AFECTACION EN ENSERES, FAMILIAS EVACUADAS POR APROXIMADAMENTE 3 HORAS, CAUSA PUNTUAL FALLAS EN ALCANTARILLADO.</t>
  </si>
  <si>
    <t>CDGRD REPORTA AFECTACION POR DESLIZAMIENTOS EN VIAS AL MOMENTO ESTAN INCOMUNICADAS LAS VEREDAS LA ESPERANZA Y EL TRIUNFO, EN EL MUNICIPIO DE CUNDAY SECTOR PEPINA.</t>
  </si>
  <si>
    <t>CDGRD REPORTA EN HORAS DE LA TARDE DE AYER SE PRESENTO VENDAVAL ACOMPAÑADO DE FUERTES LLUVIAS, AFECTANDO AL MOMENTO 6 VIVIENDAS, 1 PERSONA HERIDA, BOMBEROS REALIZA LABORES RESPECTIVAS, EN COMUNICACIÓN CON EL CDGRD INFORMA QUE EN LAS PRIMERAS HORAS DE LA MAÑANA ADELANTARAN EDAN Y ESTARAN REPORTANDO CAMBIO EN LOS DATOS, SITUACION EN SEGUIMIENTO.</t>
  </si>
  <si>
    <t>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 REPORTE 12/02/13, CDGRD REPORTA DATOS ACTUALES DE AFECTACION POR SISMO PRESENTADO EL DIA 09/02/2013, 17 FAMILIAS AFECTADAS, 85 PERSONAS, 4 INSTITUCIONES EDUCATIVAS COMO: PEDRO JOSE RIVERA MEJIA, COLEGIO LABOURE, ESCUELA OSPINA PEREZ, SANTO DOMINGO,  1 INSTITUCION DE SOCORRO.</t>
  </si>
  <si>
    <t>APOYADO A TRAVES DEL DEPARTAMENTO</t>
  </si>
  <si>
    <t>CDGRD REPORTA QUE SE PRESENTO VENDAVAL EN MENOR PROPORCION EN ESTE MUNICIPIO EL DIA DE AYER DONDE RESULTARON AFECTADAS ALGUNAS VIVIENDAS,  AFECTADAS COMUNIDADES DE QUIMBAYA RESGUARDO INDIGENA DE ESCOPETERA Y PIRZA
AFECTADO UN TRAPICHE COMUNITARIO</t>
  </si>
  <si>
    <t>APOYO GLOBAL PARA LOS MUNICIPIOS DE RIOSUCIO, NORCASIA, ARANZASU Y LA DORADA.</t>
  </si>
  <si>
    <r>
      <t xml:space="preserve">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
</t>
    </r>
    <r>
      <rPr>
        <b/>
        <sz val="9"/>
        <rFont val="Arial"/>
        <family val="2"/>
      </rPr>
      <t>CENTROS COMUNITARIOS</t>
    </r>
    <r>
      <rPr>
        <sz val="9"/>
        <rFont val="Arial"/>
        <family val="2"/>
      </rPr>
      <t xml:space="preserve"> :4 RESTAURANTES ESCOLARES Y 3 HOGARES INFANTILES.
OTROS: 3 SALTADEROS (PUENTECITOS).</t>
    </r>
  </si>
  <si>
    <t>APOYO GLOBAL AL DEPARTAMENTO</t>
  </si>
  <si>
    <t>APOYO A LOS MUNICIPIOS DE SANTUARIO, MARSELLA, SANTA ROSA, BELEN DE UMBRIA, PUEBLO RICO Y QUINCHIA POR TEMPORADA SECA.</t>
  </si>
  <si>
    <t xml:space="preserve">DATOS ACTUALES DEL INCENDIO ESTRUCTURAL REGISTRADO EN HORAS DE LA NOCHE, AFECTACIÓN EN 6 VIVIENDAS, 3 AFECTADAS TOTALMENTE Y 3 PARCIALMENTE, SEGÚN CENSO 9 FAMILIAS DAMNIFICADAS, COMÚN PROMEDIO DE 30 PERSONAS. ATENDIÓ BOMBEROS, CRUZ ROJA, DEFENSA CIVIL, CONSEJO MUNICIPAL Y CONSEJO DEPTAL. </t>
  </si>
  <si>
    <t>100 TANQUES DE 5OO LTA, 100 ROLLOS DE MANGUERA DE 1/2</t>
  </si>
  <si>
    <t>EN HORAS DE LA NOCHE SE PRESENTO UN DESLIZAMIENTO DE LA VIA VILLAHERMOSA LIBANO EN EL KILOMETRO 8  SECTOR LA FLORESTA, ACTUALMENTE NO TIENE MAQUINARIA PARA HABILITAR LA VIA. REPORTA EL CDGRD.</t>
  </si>
  <si>
    <t>SE PRESENTA UN DESLIZAMIENTO EN EL BARRIO CHINO  VIA LA FRIA EN LA CUAL HAY 3 VIVIENDAS EN RIESGO, EL CMGRD Y EL CDGRS ESTA TOMANDO MEDIDAS PREVENTIVAS FRENTE AL MISMO HECHO.</t>
  </si>
  <si>
    <t>CDGRD DE CUNDINAMARCA, INFORMA, LUIS CARLOS BARRETO DEL CMGRD. REPORTA FUERTE AGUACERO EN LA VEREDA USATAMA SITIO LA MONA SECTOR LA CASCADA OCURRIDO EL 12/02/13 A LAS 17:30 HORAS, EL CUAL TAPONO Y DESBORDO EL ACUEDUCTO CUCHARAL, AFECTANDO 15 VIVIENDAS Y 2 MUROS POR ENCHARCAMIENTO, SIN PERDIDAS MAYORES. ATENDIÓ CMGRD Y BOMBEROS.</t>
  </si>
  <si>
    <t>SE PRESENTARON FUERTES LLUVIAS EN LANOCHE ANTERIOR AFECTADO A 4 FAMILIAS POR INUNDACION EN SUS VIVIENDAS. LAS CUALES LAS CUALES RECIBIERON ASISTENCIA HUMANITARIA  EN HORAS DE LA MANANA DE HOY.</t>
  </si>
  <si>
    <t>CDGRD DE CUNDINAMARCA, INFORMA, FANNY MALDONADO SECRETARIA DE GOBIERNO DE SILVANA, REPORTA QUE POR FUERTES LLUVIAS  OCURRIDAS LOS DOS VIERNES 8 Y SÁBADO 9 DE FEBRERO, SE PRESENTÓ DESLIZAMIENTO DE LA VÍA QUE CONDUCE DE SILVANIA A LA VEREDA SANTA RITA, OCASIONANDO LA RUPTURA DE LAS DOS LÍNEAS DE CONDUCCIÓN DEL ACUEDUCTO MUNICIPAL, LO CUAL LLEVO AL RACIONAMIENTO DE AGUA CON APOYO DE LA EMPRESA DE SERVICIO PÚBLICOS DE CUNDINAMARCA CON UN CARRO TANQUE Y ESTUDIOS TÉCNICOS PARA LA RECONSTRUCCIÓN DE LAS LÍNEAS DEL ACUEDUCTO. LA EMERGENCIA QUEDO SUPERADA EL 12/02/13 CON LA ADECUACIÓN DE UNA RED PROVISIONAL. TAMBIÉN POR DICHO FENÓMENO SE PRESENTO INUNDACIÓN EN LOS BARRIOS EL PROGRESO, MOLINO ROJO Y KENNEDY DONDE HUBO AFECTACIÓN DE 8 VIVIENDAS 8 FAMILIAS 40 PERSONAS CON PERDIDAS DE MUEBLES Y ENSERES,. ATENDIÓ CMGRD, BOMBEROS Y EMPRESA DE SERVICIOS PÚBLICOS DE CUNDINAMARCA.</t>
  </si>
  <si>
    <t>CDGRD DE CUNDINAMARCA, INFORMA, MARIO RODRÍGUEZ DEL CMGRD DE LA CALERA, REPORTA FUERTE GRANIZADA CON TORMENTA ELÉCTRICA OCURRIDO EL 12/02/13 A LAS 15:30 HORAS, AFECTANDO POR ENCHARCAMIENTO 1 VIVIENDA EN LA VEREDA LA PORTADA Y EL COLAPSO TEMPORAL DEL ALCANTARILLADO DE AGUAS LLUVIAS EN EL CASO URBANO. ATENDIÓ CMGRD.</t>
  </si>
  <si>
    <t>CDGRD DE CASANARE, INFORMA INCENDIO FORESTAL,  CERCA AL HOSPITAL,  A LAS AFUERAS DEL CASCO UIRBANO, EXTINGUIDO,  SE CONSUMIERON: 3 HECTÁREAS DE:  VEGETACIÓN NATIVA.</t>
  </si>
  <si>
    <t>CDGRD DE CAQUETA, INFORMA INCENDIO ESTRUCTURAL, EN LOCAL COMERCIAL, DAÑOS MATERIALES POR DETERMINAR.</t>
  </si>
  <si>
    <t>CDGRD DE ARAUCA, INFORMA, QUE ESTÁ TARDES, SE INICIO INCENDIO FORESTAL, EN LAS VEREDAS: MATA OSCURA, LOS BUFALOS, MAÑANA REALIZARAN SOBREVUELO, PARA DEFINIR PUNTOS DE INGRESO, LA ZONA ES DE DIFICIL ACCESO.</t>
  </si>
  <si>
    <t>CDGRD DE RISARALDA, INFORMA, DESLIZAMIENTO, PRESENTADO EL DÍA DE HOY, EN LA VEREDA: ESTANQUILLO, 2 VIVIENDAS DESTRUIDAS, LAS CUALES FUERON EVACUADAS,  1 VIVIENDA AVERIADA.</t>
  </si>
  <si>
    <t>INFORMA,  GLORIA CATALINA GHEORGHE
GERENTE DE PROYECTOS
COORDINADORA GRUPO DE SEGURIDAD Y SALVAMENTO MINERO, ACCIDENTE MINERO, QUE SE PRESENTÓ  EL DÍA 10 DE FEBRERO DE 2013,  FUE REPORTADO EL DÍA DE HOY A LAS 10:30 A.M . SE PRESUME EL FALLECIMIENTO DE UN TRABAJADOR , LUEGO DE UN DERRUMBE EN UNA EXPLOTACIÓN ARTESANAL DE ORO. A ESTA HORA PERSONAL DE LA ESTACIÓN DE AMAGA SE DESPLAZA POR TIERRA  PARA ATENDER LA EMERGENCIA, SE ESTIMA QUE ESTÉN LLEGANDO AL SITIO ALREDEDOR DEL MEDIO DÍA DEL JUEVES, SITUACIÓN EN DESARROLLO, SE INFORMO NOVEDAD AL DR. LARIOS REDONDO, COORDINADOR DEL CDGRD DE BOLIVAR.</t>
  </si>
  <si>
    <t>POR FUERTE LLUVIA , ACOMPAÑADA DE GRANIZADA, SE REGISTRA INUNDACION EL CDGRD REPORTA PRELIMINARMENTE 30 VIVIENDAS AFECTADAS, 1 COLEGIO, A LA ESPERA DEL EDAN POR PARTE DEL CMGRD, EN SEGUIMIENTO. REPORTE 13-02-13, CDGRD DE BOYACA, INFORMA, INUNDACIÓN Y GRANIZADA, AFECTADAS:100 VIVIENDAS, 1 VIVIENDA COLAPSADA,  1 COLEGIO AFECTADO, EDAN EN VERIFICACIÓN, APOYA CMGRD DE SOGAMOSO.</t>
  </si>
  <si>
    <t>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 OTROS: 1 EDIFICIO AFECTADO</t>
  </si>
  <si>
    <t>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 OTROS: 2 EDIFICIO AFECTADO</t>
  </si>
  <si>
    <t>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 OTROS: 1 INSTITUCION DE SOCORRO</t>
  </si>
  <si>
    <t>REPORTE DEL CMGRD</t>
  </si>
  <si>
    <t>ACCIDENTE AEREO</t>
  </si>
  <si>
    <t>EN LA CALLE 22 CON CARRERA 12 DEL BARRIO GIRARDOT SE PRESENTA CONFLAGRACIÓN DONDE FUNCIONA UN TALLER DE ESTANTERÍA METÁLICA. LAS LLAMAS SE ORIGINARON CUANDO ESTABA EN FUNCIONAMIENTO EL HORNO DE SECADO DEL TALLER POR RECALENTAMIENTO DEL MISMO SE INCENDIO. NO HUBO VÍCTIMAS NI HERIDOS. LAS PÉRDIDAS EN EL TALLER ASCIENDEN A LOS $20 MILLONES DE PESOS</t>
  </si>
  <si>
    <t>EN LA CALLE 51 CON CARRERA 20-40 DEL BARRIO LA CONCORDIA SE PRESENTA CONFLAGRACIÓN DONDE FUNCIONA UN LOCAL DE TIENDA NATURISTA. LAS LLAMAS SE ORIGINARON CUANDO COLOCARON BASURAS ENCIMA DEL CONTADOR Y LE PRENDIERON CANDELA Y SE PRENDIÓ POR EL CONTADOR DEL GAS. NO HUBO VÍCTIMAS NI HERIDOS. LAS PÉRDIDAS EN EL TALLER ASCIENDEN A LOS $ 9’000.000 MILLONES DE PESOS.</t>
  </si>
  <si>
    <t>REPORTA BOMBEROS QUE SE PRESENTO INCENDIO FORESTAL EN EL SECTOR DE LA VEREDA MATA DE PLÁTANO FINCA LA UNIÓN DONDE SE AFECTO UN ÁREA DE 4 HECTÁREAS DE MALEZA, RASTROJOS Y PASTOS. CONTROLADO EN SU TOTALIDAD, SIN AFECTACIÓN DE VIVIENDAS Y PERSONAS</t>
  </si>
  <si>
    <t>SE PRESENTA UN ACCIDENTE VEHICULAR  EN LA VEREDA LA TRINA, ES UNA CAMIONETA TOYOTA DE ESTACAS DEJANDO 2 PERSONAS FALLECIDAS Y 12 LESIONADOS LOS CUALES SON REMITODOS AL LIBANO E IBAGUE, ATENDIERON BOMBEROS VOLUTARIOS, DCC Y CRC.</t>
  </si>
  <si>
    <t xml:space="preserve">SE PRESENTA UN DESLIZAMIENTO EN LA VEREDA GRADILLO DEL RESGUARDO INDIGENA DE PIOYA, LAS CUALES FUERON  EVACUADAS POR EL EL GOBERNADOR INDIGENA. </t>
  </si>
  <si>
    <t>REPORTA CMGRD QUE DECOLO UN HELICÓPTERO DE LA FAC. DEJA COMO SALDO 4 MILITARES CON LESIONES LEVES, LAS CAUSAS SEGÚN INFORMACIÓN FUE POR FALLAS TÉCNICAS. LOS LESIONADOS ESTÁN SIENDO ATENDIDOS EN EL HOSPITAL LOCAL DE CALDONO.</t>
  </si>
  <si>
    <t>CDGRD DEL CESAR, INFORMA INCENDIO FORESTAL, EXTINGUIDO, CERRO : LA TACHUELA, CERCA AL SEMINARIO JUAN PABLO SEGUNDO, AFECTADAS APROXIMADAMENTE: 300 HECTÁREAS.</t>
  </si>
  <si>
    <t>CDGRD DE CUNDINAMARCA, INFORMA, ALONSO MUÑOZ,  REPORTA INCENDIO FORESTAL EN LA VEREDA LADERAS DE CAPARRAPI, INICIADO A LAS 11:00 Y EXTINGUIDO A LAS 15:30 HORAS DEL 14/02/13 CON AFECTACIÓN  DE 6 HECTÁREAS ENTRE RASTROJO Y PASTIZALES. ATENDIÓ BOMBEROS CAPARRAPI.</t>
  </si>
  <si>
    <t>CDGRD DE CUNDINAMARCA, INFORMA, NUBIA VARGAS SECRETARIA DE INFRAESTRUCTURA Y PLANEACIÓN DE VIOTA REPORTA MEDIANTE CORREO ELECTRÓNICO QUE  POR VENDAVAL CON FUERTES LLUVIAS OCURRIDAS EL 13/02/13 SE PRESENTO EN LA VEREDA CAPOTES Y SAN ANTONIO CON AFECTACIÓN  AFECTACIÓN EN DOS VIVIENDAS CON 10 PERSONAS Y PERDIDA DE MUEBLES Y ENSERES,  DESLIZAMIENTO  EN LA FINCA LA PUERTA CON PERDIDAS DE CULTIVOS DE CAFÉ Y PLÁTANO. TAMBIÉN HUBO PERDIDA DEL JARILLON EN EL SECTOR PUERTA COLORADA LA NEPTUNA LO CUAL AFECTA LAS VIVIENDAS CONSTRUIDAS EN LA RIVERA DEL RIO CALANDAIMA. TAMBIÉN SE PRESENTARON DERRUMBES EN LAS VÍAS GLASGOW - ARGELIA, SAN GABRIEL - ALTO ARGENTINA Y SAN MARTIN - EL PALMAR. ATIENDE CMGRD Y SOLICITA AYUDAS HUMANITARIAS.</t>
  </si>
  <si>
    <t>CDGRD DE CUNDINAMARCA, INFORMA, LUIS FELIPE CASTRO GÓMEZ  ALCALDE DE NEMOCON REPORTA ACCIDENTE DE TRABAJO EN LA MINA DE ARENA,  ARENAS NEMOCON, EN LA VEREDA LA PUERTA DEL MUNICIPIO DE NEMOCON OCURRIDO A LAS 11:55 HORAS DEL 14/02/13, RESULTANDO: 2  MUERTOS,  ATENDIÓ EMPRESA ARENAS NEMOCON Y POLICÍA.</t>
  </si>
  <si>
    <t>REPORTA INCENDIO FORESTAL EN CERRO DE CICOLAC, ATIENDE BOMBEROS VALLEDUPAR, SITUACION EN DESARROLLO. CDGRD DEL CESAR, INFORMA INCENDIO FORESTAL, EXTINGUIDO, CERRO:  CICOLAC, PENDIENTE AFECTACIÓN. REPORTE 13-02-13, SE REACTIVA EL IF DEL CERRO CICOLAC, EN HORAS DE LA NOCHE , EN ELE MOMENT OSE ACTIVO EL PMU  CON LAS ENTIDADES OPERATIVAS PARA HACER FRENTE A LA SITUACION. ENVIA REPORTE LE CDGRD DR SANDY SEPULVEDAD. REPORTE 14/02/13, CDGRD DEL CESAR, INFORMA INCENDIO FORESTAL, EXTINGUIDO, CERRO DE CICOLAC, SE CONSUMIERON: 70 HECTÁREAS DE: BOSQUE SECO TROPICAL, TRUPILLO, GUAYACAN, ACACIA, APOYARON BOMBEROS.</t>
  </si>
  <si>
    <t>SE PRESENTA UN DESLIZAMIENTO EN EL BARRIO LAS DELICIAS  II SECTOR EN LA MZ H CASA 4, AFECTANDO A UNA FAMILIA, ATIENDE LA EMERGENCIA BOMBEROS IBAGUE.</t>
  </si>
  <si>
    <t>DC CASABIANCA REPORTA AFECTACIÓN POR LAS LLUVIAS FUERTES EN LA ZONA DONDE HAY UNAS 67 FAMILIAS AFECTADAS APROXIMADAMENTE EN LAS VEREDAS DE: LA MARÍA, LA ARMENIA, EL RECREO, EL PORVENIR, AGUADE DIOS, GRACIELA, Y OTRAS POR VISITAR INFORMO EL LÍDER DE LA DC CASABIANCA WILLIAN SANCHEZ JIMENEZ DEL 3208182332 Y EL PRESIDENTE DE JUNTA DE LA DC CASABIANCA MARCIAL DEL 3208148765 SIN MAS DETALLES.</t>
  </si>
  <si>
    <t>REPORTAN BOMBEROS SOCORRO INCENDIO FORESTAL EN LA VEREDA ALTO DE LOS CHOCHOS 05 HECTAREAS DE CAÑA DE AZUCAR AFECTADAS, CONTROLADO Y EXTINGUIDO, REPORTA CDGRD. </t>
  </si>
  <si>
    <t>REPORTA DESLIZAMIENTO EN OBRA CUANDO SE REALIZABA SOCAVACION PARA ALCANTARILLADO UNA DE LAS PAREDES CAYO SOBRE DIEGO FERNANDO FORERO VALENCIA DE 25 AÑOS FALLECIENDO EN EL SITIO. REPORTA FELIX GIRALDO CDGRD CALDAS.</t>
  </si>
  <si>
    <t>DESLIZAMIENTO QUE AFECTO JARILLON EN EL SECTOR PUERTA COLORADA LA NEPTUNA LO CUAL AFECTA LAS VIVIENDAS CONSTRUIDAS EN LA RIVERA DEL RIO CALANDAIMA, ESTE FUE CONSTRUIDO EL AÑO ANTERIOR POR LA CAR.</t>
  </si>
  <si>
    <t>REPORTA BOMBEROS QUE SE PRESENTO INCENDIO FORESTAL EN EL SECTOR DEL KILÓMETRO 8 FINCA LAS PALMERAS DEL 8. SIN CONOCERSE AL MOMENTO LA CANTIDAD DE HECTÁREAS CONSUMIDAS DE CULTIVO DE PALMA. CONTROLADO EN SU TOTALIDAD, SIN AFECTACIÓN DE VIVIENDAS Y PERSONAS. REPORTE 15-02-13, REPORTAN BOMBEROS QUE FUE APAGADO INCENDIO FORESTAL INICIADO DESDE EL DÍA ANTERIOR EN EL CORREGIMIENTO KILÓMETRO 8 FINCA LAS PALMERAS. CON 52 HECTÁREAS CONSUMIDAS DE CULTIVO DE PALMA. CONTROLADO EN SU TOTALIDAD, SIN AFECTACIÓN DE VIVIENDAS Y PERSONAS.</t>
  </si>
  <si>
    <t>, REPORTA BOMBEROS QUE SE PRESENTO INCENDIO FORESTAL EN EL SECTOR DEL KILÓMETRO 8 FINCA MONTERREY. SIN CONOCERSE AL MOMENTO LA CANTIDAD DE HECTÁREAS CONSUMIDAS DE CULTIVO DE PALMA, AL  MOMENTO NO HA SIDO CONTROLADO EN SU TOTALIDAD. REPORTE 15-02-13, REPORTAN BOMBEROS QUE FUE APAGADO TOTALMENTE INCENDIO FORESTAL EN EL CORREGIMIENTO PUENTE SOGAMOSO Y EN LA FINCA MONTEREY, CON 43 HECTÁREAS CONSUMIDAS DE CULTIVO DE PALMA, NO HAY REPORTE DE AFECTACIÓN DE PERSONAS O VIVIENDAS.</t>
  </si>
  <si>
    <t>CDGRD REPORTA QUE EL DIA DE AYER 14-02-2013 SE PRESENTO INCENDIO ESTRUCTURAL EN LA VEREDA LAS MINAS, RESULTADO 1 VIVIENDA DESTRUIDA Y 3 NIÑOS FALLECIDOS, DE CINCO, TRES Y DOS AÑOS RESPECTIVAMENTE.</t>
  </si>
  <si>
    <t>CDGRD REPORTA QUE SE ATENDIERON 2 INCENDIOS FORESTALES, UNO EN LA VEREDA MONSERRATE SE AFECRARON 80 HECTAREAS DE VEGETACION, APOYARON IGUAL A LA POBLACION DEL AMPARO, SE VIERON AFECTADAS 5 HECTAREAS.</t>
  </si>
  <si>
    <t>D.C.C., INFORMA INCENDIO ESTRUCTURAL, EN EL CACERIO: EL RETRETE, SIN LESIONADOS.</t>
  </si>
  <si>
    <t>BOMBEROS, INFORMA, INCENDIO FORESTAL, EXTINGUIDO, 15-02-2013, VEREDA: IQUIA, SE CONSUMIERON: 100 HECTÁREAS DE: SABANA, BOSQUE, CULTIVOS DE PIÑA.</t>
  </si>
  <si>
    <t>CDGRD DE CASANARE, INFORMA, INCENDIO FORESTAL, EXTINGUIDO, SECTORES: MORICHAL, LAS TAPAS,  SE CONSUMIERON: 3.5 HECTÁREAS DE PASTO PARA GANADO.</t>
  </si>
  <si>
    <t>MINISTERIO DE SALUD Y PROTECCIÓN SOCIAL, INFORMA, CAIDA DE UN MURO DE UNA  HABITACIÓN SOBRE UN MENOR DE 2 AÑOS, EL CUAL FALLECIÓ</t>
  </si>
  <si>
    <t xml:space="preserve">CDGRD DEL CAUCA, INFORMA, VENDAVAL, PRESENTADO EN LA VEREDA: CASAS BAJAS. </t>
  </si>
  <si>
    <t xml:space="preserve">CDGRD DE ARAUCA, INFORMA, INCENDIO FORESTAL, EXTINGUIDO, EN LA VEREDA: TODOS LOS SANTOS, SE CONSUMIERON:30 HECTÁREAS DE: </t>
  </si>
  <si>
    <t>CDGRD DE MAGDALENA INFORMA, INCENDIO FORESTAL, VEREDA: JOLONURA, EXTINGUIDO, PENDIENTE AFECTACIÓN.</t>
  </si>
  <si>
    <t>CDGRD DE CASANARE, INFORMA INCENDIO FORESTAL, ACTIVO, SECTOR: CITY  GATE. REPORTE 16-02-13, BOMBEROS, INFORMA INCENDIO FORESTAL, EXTINGUIDO, SECTOR: CITY GATE</t>
  </si>
  <si>
    <t>CDGRD DE CASANARE, INFORMA INCENDIO FORESTAL, ACTIVO, CERRO:  ZAMARICOTE, ESTE CERRO ES UNA RESERVA NATURAL, APOYAN BOMBEROS. REPORTE 15-02-13, CDGRD REPORTA PARA EL DIA DE HOY SIGUE ACTIVO INCENDIO FORESTAL EN RESERVA NATURAL CERRO ZAMARICOTE, SEGUIMIENTO EN HORAS DE LA MAÑANA. REPORTE 16-02-13, BOMBEROS, INFORMA, INCENDIO FORESTAL, EXTINGUIDO, CERRO: ZAMARICOTE, SE CONSUMIERON: 900 HECTÁREAS, SE CONFIRMO, AFECTACIÓN CON EL CDGRD DE CASANARE.</t>
  </si>
  <si>
    <t>SOCORRO NACIONAL Y BOMBEROS REPORTA AFECTACION EN  BARRIOS PORVENIR Y PUERTO AMOR DE ESTE MUNICIPIO POR TAPONAMIENTO EN ALCANTARILLADO LUEGO DE FUERTES LLUVIAS, NO HAY PASO POR EL PUENTE PUMAREJO DADO EL AUMENTO EN EL CAUDAL, 2 LESIONADOS, SEGUIMIENTO EN HORAS DE LA MAÑANA.</t>
  </si>
  <si>
    <t>CDGRD DE ATLANTICO, INFORMA, INCENDIO FORESTAL, CONTROLADO, SE HAN CONSUMIDO: 15 HECTÁREAS.</t>
  </si>
  <si>
    <t>CDGRD REPORTA FUERTE VENDAVAL, EL CUAL CAUSA DAÑO EN TECHOS Y ENSERES DE VIVIENDAS, ENTRE OTROS. BARRIOS AFECTADOS: COUNTRY I, II, III. BELLA VISTA.  BOMBAY. BARRO BLANCO. CAMILO TORRES. CESAR AUGUSTO. COLINAS. JAZMÍN. GIRASOL, SOLEDAD. VIOLETAS. PABLO SEXTO. LOS ALPES ENTRE OTROS, IGUALMENTE AFECTACIÓN DE 3 CENTROS EDUCATIVOS, 1 IGLESIA, 1 HOGAR DEL ADULTO MAYOR. VIVIENDAS AFECTADAS 240 Y 60 MÁS POR CONFIRMAR INDICA CDGRD, ESTO ES LO REGISTRADO EN CABECERA MUNICIPAL, FALTA HACER BARRIDO POR LA ZONA RURAL. REPORTE 17-02-13, SALA CRISIS,  REPORTA , SEGUIMIENTO A VENDAVAL, ACOMPAÑADO DE TORMENTA ELÉCTRICA Y GRANIZO,  BARRIOS AFECTADOS: COUNTRY I, II, III. BELLA VISTA.  BOMBAY. BARRO BLANCO. CAMILO TORRES. CESAR AUGUSTO. COLINAS. JAZMÍN. GIRASOL, SOLEDAD. VIOLETAS. PABLO SEXTO. LOS ALPES, 390 VIVIENDAS AFECTADAS,  AFECTACIÓN DE 4 CENTROS EDUCATIVOS, 1 IGLESIA, 1 HOGAR DEL ADULTO MAYOR. CONTINUAN REALIZANDO EDAN.</t>
  </si>
  <si>
    <t>BOMBEROS REPORTA EN EL CERRO PAN DE AZUCAR LIMITES DE LOS MUNICIPIOS DE MACHETA , SESQUILE, GUATAVITA, REALIZAN VERIFICACION EN APOYO CON PONAL LLEGANDO HASTA UN PUNTO DE ACCESO VEHICULAR , AREA DE DIFICIL ACCESO, SUSPENDEN LABORES POR EL DIA DE HOY, PROCEDEN HACIA SUS BASES, COORDINAN PARA INGRESAR A LA ZONA EN LAS PRIMERAS HORAS DE MAÑANA, APROXIMADAMENTE TARDARAN 3 HORAS EN LLEGAR AL SITIO. REPORTE 17-02-13, CDGRD DE CUNDINAMARCA Y BOMBEROS,  INFORMAN, INCENDIO FORESTAL, EXTINGUIDO, CERRO PAN DE AZUCAR LIMITES DE LOS MUNICIPIOS DE MACHETA , SESQUILE, GUATAVITA,  SE CONSUMIERON: 4 HECTÁREAS DE: VEGETACIÓN NATIVA, APOYARON: BOMBEROS,  PONAL.</t>
  </si>
  <si>
    <t>D.C.C., INFORMA INCENDIO FORESTAL, ACTIVO, EN LA VEREDA: PUERTO BELGICA, SITUACIÓN EN DESARROLLO. REPORTE 17-02-13. D.C.C., INFORMA, INCENDIO FORESTAL, EXTINGUIDO, VEREDA: BELGICA SE CONSUMIERON. 3 HECTÁREAS.</t>
  </si>
  <si>
    <t>INCENDIO FORESTAL,  ZONA RURAL, ACTIVO. REPORTE 17-02-13, CDGRD DE ANTIOQUIA, INFORMA, INCENDIO FORESTAL, EXTINGUIDO, ZONA RURAL, PENDIENTE AFECTACIÓN.</t>
  </si>
  <si>
    <t>CDGRD REPORTA INCENDIO ESTRUCTURAL EN EL BARRIO EL PASITO DE ESTE MUNICIPIO AFECTANDO 4 VIVIENDAS DE MADERA, CON PERDIDA TOTAL , PRODUCTO DE QUEMA DE BASURAS.</t>
  </si>
  <si>
    <t>CDGRD REPORTA QUE SIGUE EL FENOMENO DE REMOSION EN MASA ENTRE LOS MUNICIPIOS DE PAZ DE RIO, SOCHA Y TASCO EN EL SECTOR LA CHAPA, HAY EN RIESGO 2 VIVIENDAS Y UN PUENTE, 2 RETROESCAVADORAS, 1 CARGADOR EN EL SITIO, MAÑANA REFORZARAN 4 VOLQUETAS, REUNION CON RESPECTIVOS ALCADES PARA PLAN DE ACCION YA QUE HAY QUE REMOVER APROXIMADAMENTE 3.000 MTS CUBICOS DE LODO Y PIEDRA.</t>
  </si>
  <si>
    <t>CDGRD REPORTA EN LA VEREDA NARANJAL ALTO, CAIDA DE UN ARBOL SOBRE UNA VIVIENDA AFECTADO LA CUBIERTA DE LA MISMA , ATENDIO OMGER Y EL COMITÉ DE ESTE MUNICIPIO.</t>
  </si>
  <si>
    <t>CDGRD DEL CESAR, INFORMA INCENDIO FORESTAL, ACTIVO, VEREDA: LOS CEDROS,  SERRANIA DEL PERIJA, SE CORRIGE ESTE INCENDIO FORESTAL, SE ESTÁ PRESENTANDO EN EL DPTO DEL CESAR Y NO EN LA GUAJIRA, INFORMA COORDINADOR. REPORTE 17-02.13, CDGRD DE CESAR, INFORMA, INCENDIO FORESTAL, EXTINGUIDO, SERRANIA DEL PERIJÁ, PENDIENTE AFECTACIÓN. REPORTE 17-02-13, CDGRD REPORTA QUE EL INCENDIO FORESTAL EN LA SERRANIA YA FUE EXTINGUIDO, CMGRD REPORTA APROXIMADAMENTE 300 HECTAREAS AFECTADAS.</t>
  </si>
  <si>
    <t>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 OTROS : 2 EDIFICIO AFECTADO</t>
  </si>
  <si>
    <t>EN LAS ULTIMAS HORAS SE HA REGISTRADO UN FUERTE AGUACERO EN LA CIUDAD, AFECTANDO EL ALCANTARILLADO POR SATURACION, SE ESPERA EDAN EN EL CASCO URBANO.</t>
  </si>
  <si>
    <t>REPORTA QUE A CAUSA DE TORMENTA ELECTRICA SE PRESENTO INCENDIO ESTRUCTURAL DE 1 VIVIENDA DESTRUIDA, 1 FAMILIA DAMINIFICADA, 5 PERSONAS, EN EL CORREGIMIENTO DE ZAPATOSA, CON PERDIDA TOTAL DE MUEBLES, ENSERES, ELECTRODOMESTICOS Y 1 MOTO. REPORTA SANDY SEPULVEDA CDGRD CESAR</t>
  </si>
  <si>
    <t>REPORTA INCENDIO FORESTAL EL DIA DE AYER, EN AREA URBANA DEL MUNICIPIO, AFECTANDO 2 HECTAREAS DE VEGETACION NATIVA, CONTROLADO Y EXTINGUIDO.</t>
  </si>
  <si>
    <t>REPORTA VENDAVAL EL DIA DE AYER EN CORREGIMIENTO LA LIBERIA, 2 VIVIENDAS AVERIADAS, 2 FAMILIAS, 10 PERSONAS. REPORTA CMGRD.</t>
  </si>
  <si>
    <t>REPORTA INCENDIO FORESTAL CON AFECTACION DE 4 HECTAREAS DE PASTO SECO, EN LA VIA QUE CONDUCE DEL MUNICIPIO A CASACARA. REPORTA SANDY SEPULVEDA COORD CDGRD.</t>
  </si>
  <si>
    <t>REPORTA CONSUELO POVEDA ÁVILA INSPECTORA DE POLICÍA DE QUIPILE, INCENDIO ESTRUCTURAL EN EL CASCO URBANO, OCURRIDO EL DÍA 17/02/13 A LAS 19:00 HORAS, EL CUAL CAUSO PERDIDA TOTAL DE 3 VIVIENDAS, 3 FAMILIAS, CON 12 PERSONAS,  LAS CUALES PERDIERON TODOS SUS BIENES Y ENSERES. ATENDIÓ CMGRD.</t>
  </si>
  <si>
    <t>REPORTA BOMBEROS INCENDIO FORESTAL EN LA FINCA SANTA MARIA, 6 HECTAREAS DE PASTO AFECTADAS, CONTROLADO Y EXTINGUIDO A LAS 20:40 HRS.</t>
  </si>
  <si>
    <t>REPORTA INUNDACION EN EL BARRIO AVENIDA PASTRANA, 2 VIVIENDAS AVERIADAS, 2 FAMILIAS, 12 PERSONAS, PERDIDAS DE MUEBLES Y ENSERES. REPORTA ORLANDO GARZON CDGRD.</t>
  </si>
  <si>
    <t>REPORTA INCENDIO FORESTAL EN LA CABECERA DEL AEROPUERTO, SE AFECTARON 4 HECTAREAS, CONTROLADO Y EXTINGUIDO POR BOMBEROS.</t>
  </si>
  <si>
    <t xml:space="preserve"> 500 PERLINES. 500 VARILLAS DE 1/2". 500 VARILLAS DE 5/8".</t>
  </si>
  <si>
    <t>APOYO DEL FNGRD MEDIANTE GIRO RIRECTO CON EL OBJETO DE APOYAR LOS GASTOS OPERATIVOS EN LA ATENCION DE LAS FAMILIAS AFECTADAS PÓR EL SISMO OCURRIDO EL 9 DE FECBRERO CON EPICENTRO EN EL MUNICIPIO DE OSPINA, NARIÑO Y POR LO CUAL SE EXPIDIO CALAMIDAD PUBLICA 0051</t>
  </si>
  <si>
    <t>CINCO JÓVENES UNIVERSITARIOS RESULTARON HERIDOS AL CAERSE EL TECHO DE UNA CAFETERÍA CONTIGUA A LA UNIVERSIDAD METROPOLITANA , EL TECHO DE ZINC, QUE DABA LA SOMBRA AL ESTABLECIMIENTO COMERCIAL, SE VINO ABAJO, LUEGO QUE LA ESTRUCTURA QUE LO SOSTENÍA SE DERRUMBARA.</t>
  </si>
  <si>
    <t>SE PRESENTA UN IF EN EL SECTOR DE QUITASOL, BOMBEROS SABANETA ATIENDE .</t>
  </si>
  <si>
    <t>CDGRD DE CAQUETA, INFORMA, FUERTES LLUVIAS, ACOMPAÑADAS CON VIENTOS, AFECTANDO: 3 VIVIENDAS.</t>
  </si>
  <si>
    <t xml:space="preserve">BOMBEROS, INFORMA, EXPLOSIÓN, EN LA MAÑANA DE ESTE MARTES, CUATRO CASAS Y DOS CARROS RESULTARON AFECTADOS EN EL BARRIO NIZA, LOCALIDAD DE SUBA, LUEGO DE QUE “UNA PLACA DE CONCRETO, CON LA QUE ESTABAN IMPERMEABILIZANDO LA ZONA, HICIERA CONTACTO CON UNA MANGUERA DE GAS NATURAL, SIN LESIONADOS, 
</t>
  </si>
  <si>
    <t xml:space="preserve">CDGRD DEL TOLIMA, INFORMA,  BOMBEROS CHAPARRAL, CONTROL DE INCENDIO FORESTAL A LAS 12.10 PM EN EL SITIO LAS PALMAS VIA A ORTEGA, SE CONSUMIO UNA HECTAREA DE VEGETACION Y PASTOS SECOS.
</t>
  </si>
  <si>
    <t xml:space="preserve">CDGRD DE CASANARE, INFORMA, INCENDIO FORESTAL, AFECTANDO , 39 FAMILIAS DE 2 COMUNIDADES  INDIGENAS, ESTÁS FAMILIAS, VIVEN EN EL BOSQUE, EN CAMBUCHES, PERDIERON TODO, MAÑANA ENVIARAN SOLICITUD, PARA APOYO A ESTÁS FAMILIAS. </t>
  </si>
  <si>
    <t>CDGRD DE ARAUCA, INFORMA INCENDIO FORESTAL,  EXTINGUIDO, VEREDAS: CLARINETERO, MATE VENADO, SE CONSUMIERON: 200 HECTÁREAS.</t>
  </si>
  <si>
    <t>ACCIDENTE DE TRANSITO VIA LA UNION ROLDANILLO  ENTRE MOTO Y VEHICULO QUE PERTENECE A UN CONSEJAL, DEJA COMO RESULTADO 2 PERSONAS FALLECIDAS, LUEGO DE SER ARROLLADAS.</t>
  </si>
  <si>
    <t>13-0161</t>
  </si>
  <si>
    <t>9677-04-212-2013</t>
  </si>
  <si>
    <t>SE PRESENTA INUNDACION EN EL MUNICIPIO DE CANTON DE SAN PABLO, AFECTANO LA POBLACION DEL CASCO URBANO Y RURAL PARAUNA TOTAL DE 778 FAMILIAS. 639  EN ELE CASCO URBANO Y 39 EN ELE CORREGIMIENTO DE BOROJO,EN DUANA 41 FAMILIAS, BOCA DE RASPADURA 59 FAMILIAS.</t>
  </si>
  <si>
    <t>REPORTEN DEL CDGRD EL DR EDICNSON PALMA QUE EN LA NOCHE ANTERIOR SE PRESENTO UN VENDAVALA AFECTANDO A 15 FAMILIAS CON PERDIDA DE LAMINAS DE ZINC Y ENSERES. SE ESTA REALIZANDO EDAN.</t>
  </si>
  <si>
    <t>A RAIZ DEL SISMO DEL 9 DE FEBRERO EN LA ESCUELA DE  DE VERACRUZ ROJA RURAL DEL MUNICIPIO SE VIO AFECTADA LA ESCUELA .</t>
  </si>
  <si>
    <t>RAFAEL ROBLES DE LA CAR, REPORTA INCENDIO FORESTAL EN LA VEREDA PEÑAS SECTOR SAN LUIS DEL MUNICIPIO DE GUACHETA, INICIADO A LAS 16:30 HORAS DEL 19/02/13 ES ATENDIDO POR BRIGADA CAR Y DEFENSA CIVIL DE GUACHETA. QUEDO EXTINGUIDO A LAS 17:30 HORAS DEL 19/02/13 CON AFECTACIÓN DE 0,5 HECTÁREAS DE RASTROJO.</t>
  </si>
  <si>
    <t>REPORTA CMGRD INCENDIO FORESTAL EN VEREDA BARRANCONES, 30 HECTAREAS AFECTADAS, CONTROLADO Y EXTINGUIDO POR BOMBEROS.</t>
  </si>
  <si>
    <t>REPORTA CDGRD ACCIDENTE DE TRANSITO EN ZONA URBANA COLISION ENTRE VOLQUETA Y MOTOCICLETA DEJANDO 1 PERSONA FALLECIDA Y 1 PERSONA LESIONADA.</t>
  </si>
  <si>
    <t>REPORTA CDGRD EVACUACION DE 4 VIVIENDAS POR AGRIETAMIENTO EN TALUD EN EL SECTOR ALTO CARIBE.</t>
  </si>
  <si>
    <t>CDGRD DEL CESAR, INFORMA, INCENDIO FORESTAL, ACTIVO, KM: 7, VÍA QUE CONDUCE AL MPIO DE MANAURE, FINCA: EL RIECITO, SITUACIÓN EN DESARROLLO. REPORTE 20-02-13, CDGRD DEL CESAR, INFORMA, INCENDIO FORESTAL, EXTINGUIDO, FINCA: RIECITO, PENDIENTE AFECTACIÓN.</t>
  </si>
  <si>
    <t>REPORTA INCENDIO FORESTAL EN VEREDA LA  PALMIRA FINCA VILLA CARMA, CONSUMIENDO HASTA EL MOMENTO 180 HECTAREAS, INCENDIO ACTIVO. REPORTA CDGRD.</t>
  </si>
  <si>
    <t>REPORTA INCENDIO FORESTAL EN VEREDA SEVILLA FINCA LAS DELICIAS, 2 HECTAREAS AFECTADAS, CONTROLADO Y EXTINGUIDO. EL 18-02-13REPORTA CDGRD.</t>
  </si>
  <si>
    <t>REPORTA INCENDIO FORESTAL EN VEREDA VILLA LAGUITO, 1 HECTAREA AFECTADA, CONTROLADO Y EXTINGUIDO EL 18-02.13. REPORTA CDGRD.</t>
  </si>
  <si>
    <t>REPORTA INCENDIO FORESTAL EN VEREDA EL BUBUY, 3 HECTAREAS AFECTADAS, CONTROLADO Y EXTINGUIDO EL 18-02.13. REPORTA CDGRD.</t>
  </si>
  <si>
    <t>REPORTA INCENDIO FORESTAL EN VEREDA SAN SALVADOR, 6 HECTAREAS AFECTADAS, CONTROLADO Y EXTINGUIDO EL 18-02.13. REPORTA CDGRD.</t>
  </si>
  <si>
    <t>REPORTA INCENDIO FORESTAL EN VEREDA LA CABUYA, 5 HECTAREAS AFECTADAS, CONTROLADO Y EXTINGUIDO EL 18-02.13. REPORTA CDGRD.</t>
  </si>
  <si>
    <t>REPORTA INCENDIO FORESTAL EN VEREDA EL JASE, FINCA LA BARROSA, 10 HECTAREAS AFECTADAS, CONTROLADO Y EXTINGUIDO EL 18-02.13. REPORTA CDGRD.</t>
  </si>
  <si>
    <t>REPORTA INCENDIO FORESTAL EN PARQUE ECOLOGICO ENTRE LOS DIAS 18 Y 19-02-13, 3 HECTAREAS AFECTADAS, CONTROLADO Y EXTINGUIDO EL 19-02.13. REPORTA CDGRD.</t>
  </si>
  <si>
    <t>REPORTA INCENDIO FORESTAL EN CALLE 30 # 21-23 19-02-13, 2 HECTAREAS AFECTADAS, CONTROLADO Y EXTINGUIDO EL 18-02.13. REPORTA CDGRD.</t>
  </si>
  <si>
    <t>REPORTA INCENDIO FORESTAL EN LA VEREDA TACARIMENA 18-02-13, 3 HECTAREAS AFECTADAS, CONTROLADO Y EXTINGUIDO EL 18-02.13. REPORTA CDGRD.</t>
  </si>
  <si>
    <t>REPORTA INCENDIO FORESTAL EN VEREDA EL GARZON KM 1, 6 HECTAREAS AFECTADAS, CONTROLADO Y EXTINGUIDO EL 18-02.13. REPORTA CDGRD.</t>
  </si>
  <si>
    <t>REPORTA INCENDIO FORESTAL EN LINDEROS DEL AEROPUERTO, 2 HECTAREAS AFECTADAS, CONTROLADO Y EXTINGUIDO EL 18-02.13. REPORTA CDGRD.</t>
  </si>
  <si>
    <t>REPORTA INCENDIO FORESTAL ENVEREDA LA NIATA, 10 HECTAREAS AFECTADAS, CONTROLADO Y EXTINGUIDO EL 18-02.13. REPORTA CDGRD.</t>
  </si>
  <si>
    <t>REPORTA INCENDIO FORESTAL EN LA VEREDA CAMINO AL MATADERO, EL CUAL HASTA EL MOMENTO HA DESTRUIDO 4 VIVIENDAS EN MATERIAL, ESTAN ATENDIENDO BOMBEROS DE 3 MUNICIPIOS, INCENDIO ACTIVO. REPORTA EDINDON PALMA CDGRD.</t>
  </si>
  <si>
    <t xml:space="preserve">REPORTA EXPLOSION DE CILINDRO BOMBA DE GLP EN LA VEREDA SAN LUIS ARRIBA EL CUAL AVERIO UN TRAMO DE 300 MTS DE TUBERIA DEL ACUEDUCTO QUE SURTE DE AGUA A LAS VEREDAS DE SAN LUIS ARRIBA Y EL DESCANSO, AFECTANDO A 80 FAMILIAS, SEGÚN EL CMGRD EL DIA DE MAÑANA DEPENDIENDO DEL ORDEN PUBLICO ENVIARA PERSONAL Y MATERIALES PARA LA REPARACION DEL TRAMO AVERIADO. REPORTA EDITH PAZ CDGRD CAUCA. </t>
  </si>
  <si>
    <t>REPORTA INCENDIO FORESTAL EN EL BARRIO MATE VENAO, 2 HECTAREAS AFECTADAS, CONTROLADO Y EXTINGUIDO. REPORTA CMGRD.</t>
  </si>
  <si>
    <t>REPORTA INCENDIO FORESTAL EN EL AREA RURAL AFECTANDO 200 HECTAREAS, CONTROLADO Y EXTINGUIDO. REPORTA CDGRD SANDY SEPULVEDA.</t>
  </si>
  <si>
    <t>REPORTA INCENDIO FORESTAL EN AREA RURAL DEL MUNICIPIO, NO SE TIENE INFORMACION ADICIONAL DEBIDO A ORDEN PUBLICO EN LA ZONA, INCENDIO ACTIVO. REPORTA GILBERTO MAZO CDGRD.</t>
  </si>
  <si>
    <t>REPORTA INCENDIO FORESTAL PRESENTADO EN LA VEREDA LA VUELTA DEL TORITO, DONDE SE AFECTARON BOSQUES NATIVOS, PASTIZALES, CULTIVO DE YUCA, ANIMALES COMO CONEJOS SERPIENTES, Y OTROS REPTILES DE LA ZONA, ES DE ANOTAR QUE SE AFECTARON CERROS DE LA SIERRA NEVADA DE SANTA MARTA. 30 HECTAREAS AFECTADAS, CONTROLADO Y EXTINGUIDO. REPORTA BOMBEROS FUNDACION.</t>
  </si>
  <si>
    <t>MARIO RODRÍGUEZ DEL CMGRD DE LA CALERA, REPORTA INCENDIO ESTRUCTURAL EN UNA BODEGA DE DEPÓSITO DE MATERIALES DE CONSTRUCCIÓN EN EL CONJUNTO RESIDENCIAL ARBORET, INICIADO A LAS 02:00 Y EXTINGUIDO A LAS 07:00 HORAS DEL 21/02/13 CON PÉRDIDAS APROXIMADAS A LOS 20 MILLONES DE PESOS, NO HUBO LESIONADOS. ATENDIÓ CMGRD. BRIGADA CAR Y DEFENSA CIVIL LA CALERA</t>
  </si>
  <si>
    <t>SE REGISTRO INCENDIO ESTRUCTURAL SOBRE LAS 02:00 HORAS EN LA CLLE 10 CON CRA 79 PARQUES DE CASTILLA, APARTAMENTO EN UN SEXTO PISO, ATENDIO BOMBEROS, SECRETARIA DE SALUD, EVALUAN POSIBLES DAÑOS EN LOS APARTAMENTOS CONTIGUOS, NO LESIONDOS.</t>
  </si>
  <si>
    <t>APOYO DEL FNGRD MEDIANTE GIRO DIRECTO PARA APOYAR LA CONSTRUCCION DE MURI DE CONTENCIONEN EL RAMAL DE LA VIA VEREDA TIERRA BLANCA HACIA LA TRONCAL CENTRAL EDEL NORTE AFECTADA POR LA TEMPORADA DE LLUVIAS DEL 2011</t>
  </si>
  <si>
    <t xml:space="preserve">REPORTA INCENDIO FORESTAL EN AREA RURAL DONDE SE AFECTARON  400 HECTAREAS DE CULTIVOS DE PASTO, MANGO Y MARAÑON, CONTORLADO Y EXTINGUIDO. REPORTA SANDY SEPULVEDA CDGRD. REPORTE 22/02/13, CDGRD DEL CESAR, INFORMA,  INCENDIO  FORESTAL EN LA VEREDA DE GUARUMITO, 19.22 HORAS, CONTINUA ACTIVO. CDGRD DEL CESAR, INFORMA, SE REACTIVA,  INCENDIO FORESTAL EN AREA RURAL </t>
  </si>
  <si>
    <t>REPORTA SECCIONAL MAGDALENA: INCENDIO FORESTAL OCURRIDO EN EL M/PIO DE SANTA MARTA CORR/TO DE TAGANGA EL 21-02-2013, RESULTANDO AFECTADAS 2 HECTAREAS DE VEGETACIÓN NATIVA, SE TRASLADA EL PERSONAL DE LIDERES DCC AL SITIO DEL EVENTO  SOFOCANDO Y EXTINGUIENDO EL INCENDIO. INFORMA DCC</t>
  </si>
  <si>
    <t xml:space="preserve">REPORTA SECCIONAL SUCRE: INCENDIO FORESTAL OCURRIDO EN EL M/PIO DE COROZAL ENTRE LAS 13:00 Y LAS 14:00 HORAS DE HOY 21-02-2013, RESULTANDO AFECTADAS 10 HECTAREAS DE VEGETACIÓN NATIVA PARTICIPARON EN OPERACIONES 10 LIDERES VOLUNTARIOS DCC DURANTE 1 HORA INFORMA DCC
</t>
  </si>
  <si>
    <t>REPORTA INCENDIO FORESTAL EN LA VEREDA EL CHUCHI, 8 HECTAREAS AFECTADAS, ATIENDE POLICIA NACIONAL. REPORTA ALIRIO ROZO CDGRD</t>
  </si>
  <si>
    <t>REPORTA INCENDIO FORESTAL EN LA VEREDA CAMINOS DE TAMACAL, ATENDIENDO BOMBEROS, SITUACION EN DESARROLLO.</t>
  </si>
  <si>
    <t>EN MEDIO DE UNA OPERACIÓN ESPECIAL QUE REALIZABAN LAS FUERZAS ESPECIALES DEL EJÉRCITO, UN HELICÓPTERO BLACK HAWK SE ACCIDENTÓ CUANDO ADELANTABA UNA MANIOBRA DE ASALTO AÉREO. AÚN SE DESCONOCEN LAS CAUSAS DEL ACCIDENTE. LA TRIPULACION SALIO ILESA. REPORTA CDGRD</t>
  </si>
  <si>
    <t>REPORTA INCENDIO FORESTAL CERCANO A LA BOCATOMA DEL ACUEDUCTO, SITUACION EN DESARROLLO</t>
  </si>
  <si>
    <t>CDGRD DEL CESAR, INCENDIO FORESTAL, ACTIVO, VEREDAS: LA VICTORIA, EL SALTILLO, NUEVA ORLEANS, NARANJAL, SITUACIÓN EN DESARROLLO. REPORTE 23/02/13, CDGRD DEL CESAR, INCENDIO FORESTAL, ACTIVO, VEREDAS: LA VICTORIA, EL SALTILLO, NUEVA ORLEANS, NARANJAL, SE HACE SOLICITUD DE APOYO AEREO, NO HAY BOMBEROS EN EL MUNICIPIO, EL EVENTO LO ESTA ATENDIENDO DCC Y COMUNIDAD, SITUACIÓN EN DESARROLLO.</t>
  </si>
  <si>
    <t>REPORTA INCENDIO FORESTAL EN AREA RURAL SE DESCONOCE LAS HECTAREAS AFECTADAS, SE ESTA QUEMANDO VEGETACION NATIVA Y CULTIVO DE PALMA AFRICANA, INCENDIO ACTIVO QUE ESTA MANEJANDO BOMBEROS BOSCONIA CESAR. REPORTA SANDY SEPULVEDA CDGRD, QUE SOLICITA APOYO DEL DEPARTAMENTO DE MAGDALENA Y SE HACE CONTACTO CON CDGRD MAGDALENA PARA ENVIAR APOYO A LA ZONA. REPORTE 22/02/13, CDGRD DE MAGDALENA, REPORTA INCENDIO FORESTAL EN AREA RURAL, QUE SE PRESENTA DESDE HACE TRES DÍAS,  SE HABLA DE MÁS DE 100 HECTÁREAS CONSUMIDAS, INFORMACIÓN POR CONFIRMAR, APOYAN BOMBEROS: BOSCONIA, FUNDACIÓN, ALGARROBO, CIENAGA, D.C.C,   SE ESTA QUEMANDO VEGETACION NATIVA Y CULTIVO DE PALMA AFRICANA, SOLICITAN APOYO AÉREO PARA EL DÍA DE MAÑANA. REPORTE 23/02/13, REPORTA INCENDIO FORESTAL EN FINCA SAN JOSE, QUE SE PRESENTA DESDE HACE 4 DÍAS, ATENDIERON BOMBEROS: BOSCONIA, FUNDACIÓN, ALGARROBO, CIENAGA, D.C.C,   150 HECTAREAS AFECTADAS DE VEGETACION NATIVA Y CULTIVO DE PALMA AFRICANA. CONTROLADO Y EXTINGUIDO. REPORTA CDGRD</t>
  </si>
  <si>
    <t>REPORTA FUNCIONARIO JAVIER LAMUS DE LA OFICINA OERATIVA DE ARAUCA, SOBRE CONTROL Y EXTINCIÓN DE INCENDIO FORESTAL OCURRIDO A LAS 17:00 HORAS DEL DIA 22-02-13, EN LA VEREDA EL PROGRESO JURISDICCIÓN DEL MUNICIPIO DE ARAUQUITA QUE DEJA SALDO AL MOMENTO DE : 131 HECTÁREAS DE VEGETACION NATIVA AFECTADA. PARTICIPARON EN OPERACIONES 10 LIDERES VOLUNTARIOS DCC.</t>
  </si>
  <si>
    <t>REPORTA DIRECTOR SECCIONAL RISARALDA, QUE SIENDO LAS 07:50 A.M. DE HOY 23-02-13, SE REGISTRÓ ACCIDENTE DE TRÁNSITO OCURRIDO EN LA VEREDA ALTO MANZANILLO JURISDICCIÓN DEL MUNICIPIO DE APÍA, ´POR VOLCAMIENTO DE CAMIONETA DE PLACAS GRG- 249 Y QUE DEJA SALDO DE 2 MUERTOS Y 3 HERIDOS. PARTICIPAN EN OPERACIONES DE RESCATE 10 LIDERES VOLUNTARIOS DCC HASTA ESTA HORA 11:30 A.M.</t>
  </si>
  <si>
    <t>REPORTA OFICINA OPERATIVA ARAUCA: INCENDIO FORESTAL OCURRIDO EN EL M/PIO DE ARAUQUITA VEREDA PERALONZO ENTRE LAS 13:00 Y LAS 17:00 HORAS DEL DIA 21-02-13, CON SALDO DE 3 HECTAREAS DE VEGETACION NATIVA AFECTADAS.PARTICIPARON EN OPERACIONES 8 LIDERES VOLUNTARIOS DCC DURANTE 4 HORAS. A.C.G. INFORMA DCC.</t>
  </si>
  <si>
    <t>REPORTA DESTECHO DE 1 VIVIENDA, 1 FAMILIA A CAUSA DE VIENTOS FUERTES EN LA VEREDA GUALI. REPORTA CDGRD.</t>
  </si>
  <si>
    <t>REPORTA INUNDACION EN EL SECTOR POLVORINES A CAUSA DE FUERTES LLUVIAS EN LA CIUDAD AFECTANDO 4 VIVIENDAS, 4 FAMILIAS, 20 PERSONAS. REPORTA CDGRD MELBA LEYNER</t>
  </si>
  <si>
    <t>REPORTA DESLIZAMIENTO EN CORREGIMIENTO LA BUITRERA A CAUSA DE FUERTES LLUVIAS EN LA CIUDAD DESTRUYENDO 2 VIVIENDAS, AFECTANDO 2 FAMILIAS, 10 PERSONAS. REPORTA CDGRD MELBA LEYNER</t>
  </si>
  <si>
    <t>REPORTA INCENDIO FORESTAL EN LA VEREDA EL CHORRO, ATIENDE BOMBEROS, SITUACION EN DESARROLLO. REPORTA CDGRD</t>
  </si>
  <si>
    <t>REPORTA FUNCIONARIO ALEX SOTO DE LA SECCIONAL BOYACÁ, DIA 23-02-13 SIENDO LAS 12:30 HORAS DEL MERIDIANO, OPERACIÓN DE CONTROL DE INCENDIO FORESTAL EN LA VEREDA ALTO CANTANO JURISDICCIÓN DEL MUNICIPIO DE MONIQUIRÁ QUE DEJA SALDO DE 2 HECTÁREAS DE VEGETACION NATIVA AFECTADA Y PARTICIPARON EN OPERACIONES 10 LIDERES VOLUNTARIOS DCC</t>
  </si>
  <si>
    <t>CDGRD DE ARAUCA, INFORMA INCENDIO FORESTAL, EXTINGUIDO, VEREDA: MATAOSCURA, SE CONSUMIERON: 40 HECTÁREAS DE: PASTO SECO.</t>
  </si>
  <si>
    <t>REPORTA INCENDIO FORESTAL DE BOSQUE TROPICAL SECO. REPORTE 24/02/13, CDGRD DEL CESAR, REPORTA INCENDIO FORESTAL, EXTINGUIDO, VEREDA: PIEDRA PARADA, SE CONSUMIERON: 40 HECTÁREAS  DE: BOSQUE TROPICAL SECO.</t>
  </si>
  <si>
    <t xml:space="preserve">REPORTA INCENDIO FORESTAL EN AREA RURAL ACERCANDOSE AL AREA URBANA, ATIENDEN EJERCITO, PONAL, BOMBEROS Y COMUNIDAD, EL ING ALIRIO ROZO SE DIRIGE A LA ZONA PARA EVALUACION, SITUACION EN DESARROLLO. REPORTE 24/02/13, BOMBEROS, INFORMA, 22:00 HORAS, INCENDIO FORESTAL, EXTINGUIDO, PENDIENTE AFECTACIÓN. REPORTE 24/02/13, CDGRD, DE BOYACA,  INFORMA SE REACTIVO, EL DÍA DE HOY, INCENDIO FORESTAL,  ESTÁN EN RIESGO 8 VIVIENDAS DE LAS CUALES FUERON EVACUADAS 20 PERSONAS.
ATIENDEN 10 UNIDADES DE DCC, 40 UNIDADES DE EJERCITO, PERSONAL DE EMPRESA PRIVADA DE HOLCIM. UN TOTAL DE 70 PERSONAS TRABAJAN EN EL CONTROL DEL INCENDIO FORESTAL. 
</t>
  </si>
  <si>
    <t>REPORTA INCENDIO FORESTAL EN LA VEREDA EL GUILLO, SALEN DCC Y PONAL A LA ZONA, SITUACION EN DESARROLLO. REPORTE 24/02/13, D.C.C., REPORTA INCENDIO FORESTAL, EXTINGUIDO, CERRO:  EL GUILLO, VEREDA: LA PALMITA, SE CONSUMIERON: 15 HECTÁREAS DE  UNA ZONA DEFORESTADA.</t>
  </si>
  <si>
    <t xml:space="preserve">MINISTERIO DE SALUD Y PROTECCIÓN SOCIAL, REPORTA, 1 MUERTO, 2  POLICÍAS HERIDOS DEJA EL ACCIDENTE SUFRIDO POR UN HELICÓPTERO DE LA POLICÍA ANTINARCÓTICOS, QUE ADELANTA LABORES DE APOYO A LOS GRUPOS DE ERRADICACIÓN DE CULTIVOS ILÍCITOS EN LA ZONA DEL CATATUMBO, EN EL MUNICIPIO DE TIBÚ EN EL NORTE DE SANTANDER. LOS UNIFORMADOS HERIDOS FUERON TRASLADADOS HACIA LA CAPITAL DEL DEPARTAMENTO, PARA SER ATENDIDOS EN UN CENTRO ASISTENCIAL ESPECIALIZADO, SEGÚN INFORMARON LAS AUTORIDADES, LOS LESIONADOS, LOS POLICÍAS HERIDOS FUERON IDENTIFICADOS COMO; WILLINTON GÓMEZ, JAVIER MOLINA Y OSCAR VÁSQUEZ, AL IGUAL QUE CUATRO MIEMBROS DE LA TRIPULACIÓN. EL HELICÓPTERO SE APRESTABA A RECOGER EL PERSONAL DESTACADO EN LA ZONA DE LA VEREDA SAN CALIXTO, ENTRE EL MUNICIPIO DE TÍBU Y EL CORREGIMIENTO DE BANCO DE ARENA, CUANDO LAS DIFÍCILES CONDICIONES CLIMATOLÓGICAS, NO PERMITIERON LA BUENA MANIOBRA POR PARTE DEL PILOTO, LO QUE OCASIONO LA CAÍDA DE LA AERONAVE A TIERRA.
</t>
  </si>
  <si>
    <t>121000 LADRILLOS. 959 VARILLAS  DE ACERO DE 3/8". 2550 VARILLAS DE ACERO DE 1/2"</t>
  </si>
  <si>
    <t>24100 LADRILLOS. 2500 VARILLAS DE ACERO DE 1/2"</t>
  </si>
  <si>
    <t>14500 LADRILLOS. 2600 KILOS DE ACERO DE 1/4. 1200 VARILLAS DE ACERO DE 3/8". 350 TABLAS L=3M A=25*2,4 CM.</t>
  </si>
  <si>
    <t xml:space="preserve">300 VARILLAS DE ACEWRO DE 3/8". 500 VARILLAS DE ACERO DE 1/2". 40 TUBOS PVC 2" RDE21. 25 TUBOS PVC 3" RDE21 </t>
  </si>
  <si>
    <t>504 VARILLAS DE ACERO DE 1/2"</t>
  </si>
  <si>
    <t>15000 LADRILLOS. 6756 VARILLAS DE ACERO DE 3/8". 2183 VARILLAS DE ACERO DE 1/2". 919 KILOS DE ALAMBRE DULCE</t>
  </si>
  <si>
    <t>51660 LADRILLOS. 1260 VARILLAS DE ACERO DE 3/8". 1764 VARILLAS DE ACERO DE 1/2". 900 TABLAS L=3M A25X2,4CM</t>
  </si>
  <si>
    <t>170000 LADRILLOS. 964  VARILLA DE ACERO DE 1/2". 1700 BASTIDORES DE 3M, 3X3CM</t>
  </si>
  <si>
    <t xml:space="preserve">11800 KILOS DE ACERO DE 1/4". 3540 VARILLAS DE ACERO DE 3/8". </t>
  </si>
  <si>
    <t>12320 LADRILLOS. 107 KILOS DE ACERO DE 1/4". 398 VARILLAS DE ACERO DE 3/8". 26 VARILLAS DE ACERO DE 1". 261 VARILLAS DE ACERO DE 1/2". 35 MALLAS CON VENA DE 2X2</t>
  </si>
  <si>
    <t xml:space="preserve">15024 LADRILLOS. 1008 VARILLAS DE ACERO DE 1/2". </t>
  </si>
  <si>
    <t xml:space="preserve">57000 LADRILLOS. 1200 VARILLAS DE ACERO DE 3/8". 1200 VARILLAS DE ACERO DE 1/2". </t>
  </si>
  <si>
    <t>600 VARILLAS DE ACERO DE 1/2". 120 TABLAS L=3M, A=25X2,4CM. 35 LISTONES 2"X2", LONG 3M</t>
  </si>
  <si>
    <t>25 VARILLAS DE ACERO DE 3/8". 25 VARILLAS DE ACERO DE 1/2". 80 MALLAS CON VENA DE 2X2.</t>
  </si>
  <si>
    <t>9356 LADRILLOS. 588 VARILLAS DE ACERO DE 3/8". 241 VARILLAS DE ACERO DE 1/2".</t>
  </si>
  <si>
    <t>1820 LADRILLOS. 228 VARILLAS DE ACERO DE 3/8". 88 VARILLAS DE ACERO DE 1/2".</t>
  </si>
  <si>
    <t xml:space="preserve">8216 LADRILLOS. 380 VARILLAS DE ACERO DE 3/8". 182 VARILLAS DE ACERO DE 1/2". </t>
  </si>
  <si>
    <t>ACCIDENTE MINERO</t>
  </si>
  <si>
    <t>EL DIA 23 DE FEBRERO SE PRESENTO UN INCENDIO FORESTAL AFECTANDO  2 HECTAREAS LAS CUALES FUERON EXTINGUIDAS EN SU TOTALIDAD.</t>
  </si>
  <si>
    <t>CDGRD DE CUNDINAMARCA, INFORMA, ORLANDO MORENO DE BOMBEROS PANDI REPORTA INCENDIO FORESTAL EN LA VEREDA SABANA LARGA SECTOR TUMBÍA INICIADO A LAS 12:00 Y EXTINGUIDO A LAS 18:00 HORAS DEL 23/02/13 CON AFECTACIÓN DE 3 HECTÁREAS DE BOSQUE NATIVO. ATENDIÓ BOMBEROS PANDI, POLICÍA Y COMUNIDAD.</t>
  </si>
  <si>
    <t>CDGRD DE CUNDINAMARCA, INFORMA, MY. IVÁN DARÍO VALENZUELA DE BOMBEROS GACHETA REPORTA INCENDIO FORESTAL EN LA VEREDA EL CARMEN, INICIADO A LAS 18:00 Y E4XTINGUIDO A LAS 22:00 HORAS DEL 23/02/13 CON AFECTACIÓN DE 4 HECTÁREAS DE BOSQUE NATIVO. ATENDIÓ BOMBEROS GACHETA Y PONALSAR.</t>
  </si>
  <si>
    <t>MINISTERIO DE SALUD Y PROTECCIÓN SOCIAL, INFORMA,  SE PRESENTA UN ACCIDENTE AEREO EN EL SECTOR DE SUMAPAZ, EN LA  VEREDA DE NAZARETH LOCALIDAD DE USME, SE TRATA DE UN MI-17 QUE ESTA A SERVICIO DEL EJERCITO EL CUAL TRANSPORTA MILITARES, LA OPERACIÓN DE RESCATE LA ASUME EL MINISTERIO DE DEFENSA. 6 PERSONAS HERIDAS TRASLADADAS.</t>
  </si>
  <si>
    <t>BOMBEROS YOPAL, INFORMA, INCENDIO FORESTAL, EXTINGUIDO, ZONA URBANA, SE CONSUMIERON. 4 HECTÁREAS DE PASTO.</t>
  </si>
  <si>
    <t>BOMBEROS YOPAL, INFORMA, INCENDIO FORESTAL, EXTINGUIDO, ZONA URBANA, SE CONSUMIERON. 3 HECTÁREAS DE. BOSQUE NATIVO Y  PASTO.</t>
  </si>
  <si>
    <t>CDGRD DE NORTE DE SANTANDER, INFORMA INCENDIO FORESTAL, EXTINGUIDO, CORREGIMIENTO:  QUEBRADA LA ESPERANZA, SE PRESENTÓ EL DÍA 20-02-2013, HASTA HOY LLEGO LA INFORMACIÓN, SE CONSUMIERON: 8 HECTÁREAS DE: BOSQUE NATIVO.</t>
  </si>
  <si>
    <t>CMGRD DE JAMUNDI, INFORMA, INCENDIO ESTRUCTURAL, PRESENTADO, EL DÍA 24-02-2013, CORREGIMIENTO DE: ROBLES, BARRIO: EL PROGRESO, 1 VIVIENDA DESTRUIDA.</t>
  </si>
  <si>
    <t>CDGRD DE CASANARE, INFORMA, INCENDIO FORESTAL, ACTIVO, VEREDA: LA HERMOSA, SITUACIÓN EN DESARROLLO. REPORTE 25/02/13, CDGRD DE CASANARE, INFORMA, INCENDIO FORESTAL, EXTINGUIDO, VEREDA: LA HERMOSA, SE CONSUMIERON:  5500 HECTÁREAS DE BOSQUE NATIVO, PASTO, SE AFECTARON 3 FINCAS DE NOMBRES: PURAIBA, NICARAGUA, SAN PABLO, 6 DÍAS DE TRABAJO, SE CONFIRMO INFORMACIÓN CON BOMBEROS.</t>
  </si>
  <si>
    <t>CDGRD DE BOYACA, INFORMA INCENDIO EN MINA DE CARBÓN, PROVOCADA POR ACUMULACION DE GASES, EN LA  VEREDA: EL SALITRE, SECTOR: LA PIEDRUDA, ESTÁ MINA ESTÁ CONECTADA CON UNA SEGUNDA MINA, SE EVACUO A UNA TOTALIDAD DE 50 TRABAJADORES, NO LESIONADOS U OTRO,ATIENDE BOMBEROS PAIPA Y SALVAMENTO MINERO</t>
  </si>
  <si>
    <t>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 OTROS= 2 INSTITUCIONES SOCORRO</t>
  </si>
  <si>
    <t>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t>
  </si>
  <si>
    <t>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 OTROS= 1 INSTITUCION DE SOCORRO</t>
  </si>
  <si>
    <t>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 OTROS= 1 INSTITUCION DE SOCORRO.</t>
  </si>
  <si>
    <t xml:space="preserve">SE PRESENTA ACCIDENTE AEREO DE AVIONETA DE MATRICULA  HJ-317, EN LA VEREDA DE CHARCO RICO PARTE ALTA, RESULTANDO FALLECIDAS 2 PERSONAS, ORLANDO RAMIREZ VELASQUEZ DE 52 AÑOS, PILOTO, ESTEFANY LORENA RAMIREZ ISAZA DE 17 AÑOS, CUBRIA LA RUTA BOGOTA- IBAGUE. REPORTA CDGRD. </t>
  </si>
  <si>
    <t>REPORTA DESBORDAMIENTO DE RIACHUELO POR LLUVIAS CONTINUAS EN LA VEREDA MANCHABAJOY, 6 VIVIENDAS AVERIADAS, 6 FAMILIAS, 30 PERSONAS. REPORTA CDGRD</t>
  </si>
  <si>
    <t>REPORTA INCENDIO ESTRUCTURAL EN EL BARRIO PATIO BONITO ALTO, 1 VIVIENDA DESTRUIDA, 1 FAMILIA, 3 PERSONAS, 1 VIVIENDA AVERIADA, 1 FAMILIA, 3 PERSONAS, ATIENDE BOMBEROS, CRUZ ROJA, PONAL, RED SALUD, EPA, OMGERD. REPORTA JAVIER VELEZ CMGRD.</t>
  </si>
  <si>
    <t>REPORTA INCENDIO FORESTAL EN LA VEREDA GUAVITA, INICIADO A LAS 20:00 HORAS DEL 25/02/13 Y EXTINGUIDO A LAS 02:30 HORAS DEL 26/02/13 CON AFECTACIÓN DE 4 HECTÁREAS DE BOSQUE PLANTADO Y RASTROJO. ATENDIÓ BOMBEROS MANTA, POLICÍA Y DEFENSA CIVIL DE TIBIRITA.</t>
  </si>
  <si>
    <t>REPORTA INCENDIO FORESTAL EN AREA RURAL FINCA PROPIETARIO JORGE ENRIQUE CANALES, SE AFECTARON 15 HECTAREAS DE PASTO CULTIVADO Y 1 HECTAREA DE YUCA, INCENDIO ACTIVO. REPORTA SANDY SEPULVEDA CDGRD.</t>
  </si>
  <si>
    <t>REPORTA INCENDIO FORESTAL EN LA VEREDA LA BONITA, ACTIVO SITUACION EN DESARROLLO. REPORTA CDGRD.</t>
  </si>
  <si>
    <t>REPORTA INCENDIO FORESTAL EN SEDE RURAL DEL SENA, SE HA CONTROLADO EN LAS INMEDIACIONES PERO CONTINUA ACTIVO EN PARTE DE DIFICIL ACCESO, SE SOLICITA APOYO AEREO A LA FAC PARA EXTINCION EL DIA DE MAÑANA, SITUACION EN DESARROLLO. REPORTA CDGRD.</t>
  </si>
  <si>
    <t>REPORTA INCENDIO FORESTAL EN LA VEREDA MATA OSCURA, INCENDIO ACTIVO, SITUACION EN DESARROLLO. REPORTA CDGRD.</t>
  </si>
  <si>
    <t>REPORTA INCENDIO FORESTAL EN LA VEREDA EL PROGRESO, INCENDIO ACTIVO, SITUACION EN DESARROLLO. REPORTA CDGRD.</t>
  </si>
  <si>
    <t>13-50 HORAS BARRIO CAMPO HERMOSO, SE PRESENTÓ INCENDIO ESTRUCTURAL LA CARRERA 7a. No 44-45, INCENDIÁNDOSE FÁBRICA DE ZAPATOS YAHUR, DAÑOS VALORADOS EN 20'000.000 MILLONES DE PESOS. INCENDIO PROVOCADO POR CORTO CIRCUITO, NO SE PRESENTÓ AFECTACIÓN DE PERSONAS</t>
  </si>
  <si>
    <t>14-00 HORAS EN EL BARRIO ESTORAQUES, SE PRESENTÓ CONATO DE INCENDIO FORESTAL, QUEMÁNDOSE 1  HECTÁREA DE BOSQUES  Y MALEZA. NO SE PRESENTÓ AFECTACIÓN DE PERSONAS NI VIVIENDAS</t>
  </si>
  <si>
    <t>16-.20 HORAS EN EL BARRIO COLSEGUROS, EN LA GLORIETA SE PRESENTÓ CONATO DE INCENDIO FORESTAL, QUEMÁNDOSE 50 METROS BOSQUES  Y MALEZA. NO SE PRESENTÓ AFECTACIÓN DE PERSONAS NI VIVIENDAS</t>
  </si>
  <si>
    <t>BUENOS DIAS, LA COORDINADORA DEL CMGRD DE PIENDAMO, REPORTA AFECTACIÓN POR VENDAVAL EN LAS VEREDAS  DE  SALINAS, MATECAÑA, EL HOGAR, PARA UN TOTAL DE 17 FAMILIAS AFECTADAS.  OCURRIDO EN LA TARDE DEL 25 DE FEBRERO DE 2013, DAÑOS EN TECHOS DE VIVIENDAS:</t>
  </si>
  <si>
    <t>SE PRESENTA UN ACCIDENTE DE TRANSITO EN LA VIA DE LA PAZ HACIA VALLEDUPAR, CON SALDO DE UNA PERSONA FALLECIDA 2 LESIONADAS, ATIENDEN BOMBEROS Y DCC.</t>
  </si>
  <si>
    <t>EN HORAS DE LA TARDE DEL DIA 26 FEB SE PRESENTO UN INCENDIO ESTRUCTURAL EN LA VIVIENDA  DE LACALLE 14 No 7-70 BARRIO LA PRIMAVERA DEJANDO LA VIVIENDA TOTALMENTE QUEMADA. LA FAMILIA EN ESTE MOMENTO NO TIENE DONDE HOSPEDAR . SE INICIA REUBICACION EN FAMILIARES.</t>
  </si>
  <si>
    <t xml:space="preserve">CDGRD REPORTA ACTUALIZACION DE INCENDIOS FORESTALES, EN ESTE MUNICIPIO EL DIA 04-02-2013 EN LA VEREDA UNETE, CON AFECTACION DE 3 HECTAREAS. </t>
  </si>
  <si>
    <t xml:space="preserve">CDGRD REPORTA ACTUALIZACION DE INCENDIOS FORESTALES, EN ESTE MUNICIPIO EL DIA 05-02-2013 EN LA CARRERA 22 CALLE 10-29 CON AFECTACION EN 1 HECTAREA. </t>
  </si>
  <si>
    <t>CDGRD REPORTA ACTUALIZACION DE INCENDIOS FORESTALES, EN ESTE MUNICIPIO EL DIA 07-02-2013 EN LA FINCA EL SURAL CON AFECTACION DE 3 HECTAREAS.</t>
  </si>
  <si>
    <t xml:space="preserve">CDGRD REPORTA ACTUALIZACION DE INCENDIOS FORESTALES, EN ESTE MUNICIPIO EL DIA 09-02-2013 EN LA GRANJA LOS ABUELOS  CON AFECTACION DE 2 HECTAREAS. </t>
  </si>
  <si>
    <t>CDGRD REPORTA ACTUALIZACION DE INCENDIOS FORESTALES, EN ESTE MUNICIPIO EL DIA 16-02-2013 EN EL BARRIO VILLA OLIMPICA  CON AFECTACION DE 2 HECTAREAS.</t>
  </si>
  <si>
    <t>CDGRD REPORTA ACTUALIZACION DE INCENDIOS FORESTALES, EN ESTE MUNICIPIO EL DIA 23-02-2013 EN LA VEREDA SEVILLA CON AFECTACION DE 140 HECTAREAS.</t>
  </si>
  <si>
    <t>CDGRD REPORTA ACTUALIZACION DE INCENDIOS FORESTALES, EN ESTE MUNICIPIO EL DIA 16-02-2013 EN EL SECTOR DEL PUENTE- LA CABUYA CON AFECTACION DE 25 HECTAREAS.</t>
  </si>
  <si>
    <t>CDGRD REPORTA ACTUALIZACION DE INCENDIOS FORESTALES, EN ESTE MUNICIPIO EL DIA 17-02-2013 EN LINDEROS DEL AEROPUERTO CON AFECTACION DE 10 HECTAREAS.</t>
  </si>
  <si>
    <t>CDGRD REPORTA ACTUALIZACION DE INCENDIOS FORESTALES, EN ESTE MUNICIPIO EL DIA 17-02-2013 EN KILOMETRO 8 VIA YOPAL - FINCA LOS MANGOS CON AFECTACION DE 200 HECTAREAS.</t>
  </si>
  <si>
    <t>CDGRD REPORTA ACTUALIZACION DE INCENDIOS FORESTALES, EN ESTE MUNICIPIO EL DIA 01-02-2013 EN LA VEREDA POZO MANICEÑO CON AFECTACION DE 1 HECTAREAS.</t>
  </si>
  <si>
    <t>CDGRD REPORTA ACTUALIZACION DE INCENDIOS FORESTALES, EN ESTE MUNICIPIO EL DIA 04-02-2013 EN LA FINCA LPA BATEA, VEREDA  LAS BRISAS Y VEREDA BELGRADO CON AFECTACION DE 11 HECTAREAS.</t>
  </si>
  <si>
    <t>CDGRD REPORTA ACTUALIZACION DE INCENDIOS FORESTALES, EN ESTE MUNICIPIO EL DIA 05-02-2013 EN LA VEREDA GARIBALDI CON AFECTACION DE 9 HECTAREAS.</t>
  </si>
  <si>
    <t>CDGRD REPORTA ACTUALIZACION DE INCENDIOS FORESTALES, EN ESTE MUNICIPIO EL DIA 06-02-2013 EN LA VEREDA  LA  POYATA CON AFECTACION DE 5 HECTAREAS.</t>
  </si>
  <si>
    <t>CDGRD REPORTA ACTUALIZACION DE INCENDIOS FORESTALES, EN ESTE MUNICIPIO EL DIA 07-02-2013 CERCA A LAS ORILLAS DEL RIO EN EL CASCO URBANO CON AFECTACION DE 2 HECTAREAS.</t>
  </si>
  <si>
    <t>CDGRD REPORTA ACTUALIZACION DE INCENDIOS FORESTALES, EN ESTE MUNICIPIO EL DIA 09-02-2013 EN LA FINCA MAL MORRAL CON AFECTACION DE 2 HECTAREAS.</t>
  </si>
  <si>
    <t>CDGRD REPORTA ACTUALIZACION DE INCENDIOS FORESTALES, EN ESTE MUNICIPIO EL DIA 08-02-2013 EN LA VEREDA  SANTA HELENA Y VEREDA SANTA MARIA CON  AFECTACION DE 200 HECTAREAS.</t>
  </si>
  <si>
    <t>CDGRD REPORTA ACTUALIZACION DE INCENDIOS FORESTALES, EN ESTE MUNICIPIO EL DIA 11-02-2013 EN LA VEREDA  BELGRADO CON AFECTACION DE 50 HECTAREAS.</t>
  </si>
  <si>
    <t>CDGRD REPORTA ACTUALIZACION DE INCENDIOS FORESTALES, EN ESTE MUNICIPIO EL DIA 24-02-2013 EN LA VEREDA  SAN MARCOS CON AFECTACION DE 50 HECTAREAS.</t>
  </si>
  <si>
    <t>CDGRD REPORTA ACTUALIZACION DE INCENDIOS FORESTALES, EN ESTE MUNICIPIO EL DIA 24-02-2013 EN LA FINCA LA GUINEA CON AFECTACION DE 120 HECTAREAS.</t>
  </si>
  <si>
    <t>CDGRD REPORTA ACTUALIZACION DE INCENDIOS FORESTALES, EN ESTE MUNICIPIO EL DIA 20-02-2013 EN EL SECTOR VILLA OLIMPICA CON AFECTACION DE 60 HECTAREAS.</t>
  </si>
  <si>
    <t>7260 LADRILLOS. 452 KILOS DE ACERO DE 1/4". 300 VARILLAS DE ACERO DE 3/8". 300 VARILLAS DE ACERO DE 1/2"</t>
  </si>
  <si>
    <t>13855 LADRILLOS. 1905 VARILLAS DE ACERO DE 3/8". 696 VARILLAS DE ACERO DE 1/2"</t>
  </si>
  <si>
    <t>13639 LADRILLOS. 1434 VARILLAS DE ACERO DE 3/8". 623 VARILLAS DE ACERO DE 1/2".</t>
  </si>
  <si>
    <t>16621 LADRILLOS. 2801 VARILLAS DE ACERO DE 3/8". 976 VARILLAS DE ACERO DE 1/2"</t>
  </si>
  <si>
    <t>35360 LADRILLOS. 1476 VARILLAS DE ACERO DE 3/8". 766 VARILLAS DE ACERO DE 1/2"</t>
  </si>
  <si>
    <t>8446 LADRILLOS. 1455 VARILLAS DE ACERO DE 3/8". 568 VARILLAS DE ACERO DE 1/2"</t>
  </si>
  <si>
    <t>11749 LADRILLOS. 641 VARILLAS DE ACERO DE 3/8". 290 VARILLAS DE ACERO DE 1/2"</t>
  </si>
  <si>
    <t>MATERIALES ADICIONALES PARA COMPLETAR LOS PUENTES QUE EXISTEN EN LA CRUZ ROJA</t>
  </si>
  <si>
    <t>REPORTA INCENDIO FORESTAL EN PREDIOS DEL AREA URBANA, SE AFECTARON 100 HECTAREAS, ATENDIERON DCC Y EMPRESA DE SERVICIOS PUBLICOS, CONTROLADO Y EXTINGUIDO. REPORTA CDGRD.</t>
  </si>
  <si>
    <t>REPORTA INCENDIO FORESTAL EN LA VEREDA GUATASA, ATIENDEN PONAL Y COMUNIDAD, ACTIVO, SITUACION EN DESARROLLO. REPORTA CDGRD.</t>
  </si>
  <si>
    <t>REPORTA INCENDIO FORESTAL EN LA VEREDA CHULAVITA, ATIENDEN DCC Y COMUNIDAD, ACTIVO, SITUACION EN DESARROLLO. REPORTA CDGRD.</t>
  </si>
  <si>
    <t>APOYO DEL FNGRD PARA DESARROLAR ACCIONES PARA ATENDER LAS AFECTACIONES PRODUCIDAS POR DESABASTECIMIENTO DE AGUA PARA EL CONSUMO HUMANO PRODUCTO DE LA TEMPORADA SECA DECLARADA EN CALAMIDAD PUBLICA MEDIANTE RESOLUCION 055 DEL 26 DE FEBRERO DE 2013</t>
  </si>
  <si>
    <t>APOYO MEDIANTE SUBSIDIO DE ARRIENDO TEMPORAL PARA 8 FAMILIAS POR 3,5 MESES A RAZON DE $200.000 MENSUAL.</t>
  </si>
  <si>
    <t>EN HORAS DE LA MAÑANA DEL DIA 27 DE FEB SE PRESENTÓ, UN DESLIZAMIENTO EN LA VEREDA: LAS PALOMAS DONDE COLAPSA UN PUENTE PEATONAL.</t>
  </si>
  <si>
    <t>CDGRD DEL HUILA, INFORMA, VENDAVAL PRESENTADO, EL DÍA 13-02-2013, BARRIO: SAN FERNANDO.</t>
  </si>
  <si>
    <t>CDGRD DEL HUILA, INFORMA, FILTRACIÓN DE AGUAS LLUVIAS, EN LA VEREDA: RIVERITA-COLAPSO DE DOS PAREDES DE LA VIVIENDA.</t>
  </si>
  <si>
    <t>CDGRD DEL HUILA, INFORMA, INUNDACIÓN, 12-02-2013, ZONA URBANA, BARRIO: EL CENTRO.</t>
  </si>
  <si>
    <t>CDGRD DEL HUILA, INFORMA, DESLIZAMIENTO, PRESENTADO, EL DÍA 09-02-2013,  DAÑOS PRESENTADOS EN LOS CORREGIMIENTOS DE: AIPECITO Y SAN LUIS,  PERDIDAS EN CULTIVOS DE CAFÉ, PLATANO, MAIZ, YUCA, ARRACACHA, FRIJOL, CAÑA, BOSQUES, FRUTALES, LULO, AGUACATE, CACAO Y PASTOS, 94 FAMILIAS AFECTADAS EN CULTIVOS.</t>
  </si>
  <si>
    <t>CDGRD DEL HUILA, INFORMA, DESLIZAMIENTO, PRESENTADO, EL DÍA 09-02-2013, PERDIDAS EN CULTIVOS DE PLATANO CAFE Y AGUACATE, AFECTADAS LA VIAS: PALERMO-SANTA MARIA (VIA SECUNDARIA), VEREDA EL SOCORRO-LA PRADERA-MIRAFLORES(VIA TERCIARIA), ANILLO VIAL VEREDA SAN MIGUEL-MIRADOR-EL ENCANTO(VIA TERCIARIA), 20 FAMILIAS AFECTADAS EN CULTIVOS.</t>
  </si>
  <si>
    <t>D.C.C, INFORMA, INCENDIO FORESTAL, EXTINGUIDO, ENTRE LA VEREDA SABANECA Y PEÑA BLANCA, SE CONSUMIERON: 4 HECTÁREAS DE: BOSQUE NATIVO.</t>
  </si>
  <si>
    <t>CDGRD DE SANTANDER, INFORMA, INCENDIO FORESTAL,  EXTINGUIDO, EN EL MUNICIPIO DE MACARAVITA A LAS 11-50 HORAS EN LA VEREDA LAS HUERTAS, SECTOR BORIGA, LAS FINCAS;
LUCALITO Y LA GARITA QUEMÁNDOSE 25 HECTÁREAS DE PASTOS, MALEZAS  Y  ANIMALES SILVESTRES NO SE PRESENTÓ AFECTACIÓN DE PERSONAS, REPORTA
FRANCISCO CENTENO COMANDANTE DE BOMBEROS, INFORMA A ESTA HORA YA SE
CONTROLO.</t>
  </si>
  <si>
    <t>CMGRD DE GUAPI, INFORMA, INCENDIO ESTRUCTURAL, DEJANDO 1 VIVIENDA DESTRUIDA, 1 FAMILIA DAMNIFICADA, JEFE DE HOGAR, SR. ISIDORO ALEGRIA HINESTROZA, C.C 10389525, SECTOR: SAN ANTONIO DEL NAPI.</t>
  </si>
  <si>
    <t>TRES PERSONAS RESULTARON HERIDAS,  TRAS DESATARSE UN INCENDIO EN UN CONCURRIDO RESTAURANTE DEL CENTRO DE BARRANQUILLA LOS HERIDOS SON DOS TRABAJADORES DEL ÁREA DE LA COCINA DEL RESTAURANTE EL MIRADOR DEL RÍO, UBICADO EN EL SEGUNDO PISO DEL CENTRO COMERCIAL PUERTO LÍDER, EN LA CALLE 37 CON CARRERA 44, FUERON TRASLADADAS A CENTRO ASISTENCIAL</t>
  </si>
  <si>
    <t>SE PRESENTO UN INCENDIO ESTRUCTURAL AFECTANDO UNA VIVIENDA LA CUAL FUE INCINERADA EN SU TOTALIDAD. REPORTA EL CDGRD DR RAMIREZ</t>
  </si>
  <si>
    <t>EN LA VEREDA EL HATO, MINA DE CARBÓN EL AMARILLO DEL MUNICIPIO DE SOCOTÁ, OCURRIÓ UNA EXPLOSIÓN POR ACUMULACIÓN DE GASES, QUE LE COBRÓ LA VIDA A UNA PERSONA, INFORMO EL COMANDANTE DE POLICÍA EN EL DEPARTAMENTO, EL CORONEL LUIS ENRIQUE ROA.</t>
  </si>
  <si>
    <t>CDGRD DEL CHOCO, INFORMA, DESBORDAMIENTO DEL RÍO PEPE, AFECTANDO LA COMUNIDAD BERIGUADO, AFECTACIÓN EN CULTIVOS, SITUACIÓN EN DESARROLLO.</t>
  </si>
  <si>
    <t>CDGRD DEL ATLÁNTICO, REPORTA VENDAVAL, EN  LOS  CORREGIMIENTOS DE: CIEN PESOS, LAS TABLAS,  AFECTANDO: 20 VIVIENDAS,  1 PERSONA LESIONADA, INFORMA MINISTERIO DE SALUD Y PROTECCIÓN SOCIAL.</t>
  </si>
  <si>
    <t>CMGRD DE IBAGUE, INFORMA DE LLUVIAS TORRENCIALES, ACOMPAÑADO DE FUERTES VIENTOS,  PRESENTADAS, EL DÍA DE 05-02-2013, SECTORES: HUECO, DEPARTAMENTAL, ESTACION, RINCON DE LAS MARGARITAS, AVENIDA, VILLA MARLEN, EDUARDO SANTOS, YULDAIMA, CERRO GORDO, 20 DE JULIO, 07 DE AGOSTO , CLARET,  RINCON DEL PEDREGAL, HONDURAS, MURAL , TAPIAS, LA CIMA, SAN RAFAEL, CATAIMA ,  CATAIMITA, CUELLO , SAN SIMON, AFECTACIÓN DE TRES VÍAS ASI: 1.- IBAGUE-TAPIAS-TOCHE, 2.- IBAGUE-CHINA ALTA, 3.- IBAGUE-CHARCO RICO-LA MONTAÑA, COLAPSAMIENTO MURO CERRAMIENTO INSTITUCION EDUCATIVA NORMAL SUPERIOR, 
 P.BAJA, AFECTACION DE LAS INSTALACIONES DEL GRUPO DE PREVENCION Y ATENCION DE DESASTRES, INUNDACION BODEGA-OFICINA CON PERDIDA DE CEMENTO 40- ALIMENTOS 15 INFILTRACION TEJAS ADBESTO CEMENTO 60, ESTÁ INFORMACIÓN SE RECIBIO EL DÍA DE HOY, POR CORREO ELÉCTRONICO A LAS 17:35 HORAS.</t>
  </si>
  <si>
    <t>D.C.C, INFORMA, INCENDIO FORESTAL, EXTINGUIDO, 27-02-2013, EN EL KILOMETRO 9 FRENTE,  AL BATALLON DE ALTA MONTAÑA VIA SANTA MARTA CIENAGA,  SE CONSUMIO 1 HECTÁREA.</t>
  </si>
  <si>
    <t>REPORTA SECRETARIA DE SALUD MUNICIPAL QUE EL AGUA DEL ACUEDUCTO SE ENCUENTRA CONTAMINADA, SIN TENER HASTA EL MOMENTO EL ELEMENTO QUE LA ESTA AFECTANDO, AL MOMENTO SE TIENE EN EL MUNICIPIO BROTES DE ENFERMEDAD DIARREICA AGUDA EN LA POBLACION, RAZON POR LA CUAL EL CDGRD HACE SOLICITUD A UNGRD DE SOBRES DE PURIFICACION DE AGUA, PARA SER USADOS EN LAS VIVIENDAS, SITUACION EN DESARROLLO</t>
  </si>
  <si>
    <t>EN EN CORREGIMIENTO DE LA LOMA HORAS DE LA NOCHE SE REGISTRO ACCIDENTE DE TRANSITO DENTRO DE LA DRUMMOND AL MMENOS 20 LESIONADOS DENTRO DE ELLOS UN FALLECIDO.</t>
  </si>
  <si>
    <t xml:space="preserve">REPORTA LA SECRETARIA DE GOBIERNO DEL ARCHIPIELAGO, QUE A CAUSA DE FRENTE FRIO, SE SUSPENDIÓ LA NAVEGACIÓN EN TODO EL DEPARTAMENTO. RESTRINGIERON LOS BAÑISTAS EN LA PLAYA, SE DECLARÓ ALERTA AMARILLA EN EL HOSPITAL, SE CONFORMARON 3 CUADRILLAS COMO APOYO A BOMBEROS Y ORGANISMOS DE SOCORRO EN LAS FUNCIONES DE LIMPIEZA DE VIAS, AYUDA HUMANITARIA, CMGRD TALA DE ARBOLES Y RESTITUCION DE LA ENERGIA. EN EL MOMENTO ESTAS SE ENCUENTRAN ADELANTANDO VISITAS EN LAS COMUNIDADES. AFECTACION AL MOMENTO; 4 VIVIENDAS DESTECHADAS Y 7 SECTORES SIN ENERGÍA POR CAÍDA DE ÁRBOLES, AVENIDA CIRCUNVALAR OBSTRUIDO EL PASO EN ALGUNOS SECTORES POR ESCOMBROS, LA POLICIA ADELANTA MONITOREO DE SEGURIDAD, CONTINUA LLOVIENDO. IDEAM YA SE COMUNICÓ Y ENTREGO LA INFORMACIÓN Y ASESORIA TÉCNICA SOBRE EL FRENTE FRIO A LA SRA GOBERNADORA.
</t>
  </si>
  <si>
    <t>REPORTA INCENDIO FORESTAL EL DIA DE AYER EN EL CERRO DEL BATALLON EL TARQUI, ATENDIERON EJERCOL Y BOMBEROS, CONTROLADO Y EXTINGUIDO, NO SE TIENE HECTAREAS AFECTADAS, REPORTE ING ALIRIO ROZO CDGRD</t>
  </si>
  <si>
    <t>REPORTA VENDAVAL EL CUAL CAUSO AFECTACION EN BARRIO VILLA DEL ROSARIO: 3 VIVIENDAS, 3 FAMILIAS, BARRIO SANTA MARIA 1 VIVIENDA, 1 PERSONA LESIONADA POR CAIDA DE TEJA, BARRIO LAS AMERICAS 1 VIVIENDA, 1 PERSONAL LESIONADA, EVENTO CONTROLADO Y ATENDIDO CON RECURSOS PROPIOS, REPORTA ANA SALTARIN COORD CMGRD</t>
  </si>
  <si>
    <t>REPORTA INCENDIO FORESTAL ACTIVO HACE 3 DIAS EN EL MOMENTO SE ENCUENTRA CONTROLADO PERO CONTINUA ACTIVO, ATIENDE BOMBEROS, DCC, EJERCOL Y CMGRD, REPORTA ING ALIRIO ROZO CDGRD</t>
  </si>
  <si>
    <t>REPORTA INUNDACION DE 3 BARRIOS, SE ESPERA EDAN DE LAS INSTITUCIONES DE SOCORRO, SITUACION EN DESARROLLO. REPORTE 03-03-13, REPORTA INUNDACION POR DESBORDAMIENTO DE QUEBRADA SAN JOSE AFECTANDO 65 FAMILIAS, 65 VIVIENDAS, INSTITUCIONES DE SOCORRO SE ENCUENTRAN REALIZANDO EDAN, REPORTA MELBA LEYNER CDGRD.</t>
  </si>
  <si>
    <t>CDGRD REPORTA INCENDIO FORESTAL EN ESTE MUNICIPIO, DATOS DE AFECTACION EN EL TRANSCURSO DE LA MAÑANA.REPORTE 03-03-13, REPORTA INCENDIO FORESTAL QUE HA CONSUMIDO HASTA EL MOMENTO 6 HECTAREAS DE EUCALIPTO, PINO Y VEGETACIÓN NATIVA; POR EL EXCESO DE VIENTOS NO HA PODIDO SER CONTROLADO, INCENDIO ACTIVO, SITUACION EN DESARROLLO. REPORTA, ING ALIRIO ROZO CDGRD</t>
  </si>
  <si>
    <t xml:space="preserve">CDGRD REPORTA POR FUERTES VIENTOS SE AFECTARON LOS SIGUIENTES SITIOS, BOCA DE PAIMADO 45 FAMILIAS: 15 VIVIENDAS DESTECHADAS Y 30 MAS SEMIDESTECHADAS, EN VILLA CONTO BARRIO ESCOLAR 82 FAMILIAS: 19 VIVIENDAS DESTECHADAS Y 63 MAS SEMIDESTECHADAS, EN PORTE ORILLA 77 FAMILIAS:VIVIENDAS DESTECHADAS 18 Y SEMIDESTECHADAS 59, LABORES ADELANTADAS POR CMGRD Y CRUZ ROJA, EN HORAS DE LA MAÑANA NUEVAMENTE SE DIRIGEN HACIA LOS SITIOS AFECTADOS, POR LO CUAL CDGRD INDICA QUE REALIZARAN NUEVA TOMA DE DATOS.  </t>
  </si>
  <si>
    <t xml:space="preserve">REPORTA INUNDACION EN EL MUNICIPIO A CAUSA DEL DESBORDAMIENTO DEL RIO QUITO, LA CRUZ ROJA SE VA A DESPLAZAR DESDE QUIBDO PARA REALIZAR EDAN, SITUACION EN DESARROLLO.. CDGRD REPORTA AFECTACION POR INUNDACION  
DE ACUERDO CON LO ANTERIOR SE COORDINÓ   CON EL CMGRD Y EL CDGRD PARA EFECTUAR UNA EVOLUCIÓN RÁPIDA A LOS DOS EVENTOS OCURRIDOS EN DICHO MUNICIPIO ARROJANDO LOS SIGUIENTES DATOS: VILLA CONTO, EN EL BARRIO SAN ANTONIO CON 89 FAMILIAS, BARRIO LAS MERCEDES CON 68 FAMILIAS, EN LA COMUNIDAD DE PAIMADO EN EL BARRIO KENNEDY CON 87 FAMILIAS Y BARRIO CANDELARIA CON 69 FAMILIAS, LABORES ADELANTADAS POR CMGRD Y CRUZ ROJA, EN HORAS DE LA MAÑANA NUEVAMENTE SE DIRIGEN HACIA LOS SITIOS AFECTADOS, POR LO CUAL CDGRD INDICA QUE REALIZARAN NUEVA TOMA DE DATOS.
</t>
  </si>
  <si>
    <t>REPORTA INUNDACION A CAUSA DEL DESBORDAMIENTO DEL RIO BACHE VEREDA ARENOSA, EL DINDAL, ARRAYAN, SAN JOSE DE DINA, EL PATAS Y VEREDA SANTA MARIA, ,05 HECTAREAS INUNDADAS DE CULTIVO DE PLATANO, MAIZ, CAÑA DE AZUCAR, FRIJOL, LIMON, PIÑA Y PASTO DE CORTE . PERDIDA DE 90 POLLOS.REPORTA ORLANDO GARZON CDGRD HUILA.</t>
  </si>
  <si>
    <t>REPORTA DESLIZAMIENTO A CAUSA DE FUERTES LLUVIAS EN LA VEREDA EL PORVENIR: 1 FAMILIA, 1 VIVIENDA DESTRUIDA. REPORTA ORLANDO GARZON CDGRD HUILA.</t>
  </si>
  <si>
    <t>CONTAMINACION</t>
  </si>
  <si>
    <t>REPORTA VENDAVAL EN AREA RURAL EN COMUNIDAD INDIGENA FUJIADO, AFECTANDO 15 VIVIENDAS, 15 FAMILIAS, CMGRD EN EDAN, SITUACION EN DESARROLLO.
REPORTA VENDAVAL EN AREA RURAL EN COMUNIDAD INDIGENA UNION WAUNAN, AFECTANDO 40 VIVIENDAS, 40 FAMILIAS, CMGRD EN EDAN, SITUACION EN DESARROLLO.
REPORTA VENDAVAL EN AREA RURAL EN COMUNIDAD INDIGENA MACEDONIA, AFECTANDO 30 VIVIENDAS, 30 FAMILIAS, CMGRD EN EDAN, SITUACION EN DESARROLLO.
REPORTA VENDAVAL EN AREA RURAL EN COMUNIDAD INDIGENA NUANAMA, AFECTANDO 60 VIVIENDAS, 60 FAMILIAS, CMGRD EN EDAN, SITUACION EN DESARROLLO.</t>
  </si>
  <si>
    <t>CDGRD DE CUNDINAMARCA, INFORMA, LUIS CARLOS BARRETO DEL CMGRD. REPORTA FUERTE AGUACERO EN EL BARRIO EL EDÉN OCURRIDO EL 12/02/13 A LAS 18:30 HORAS, EL CUAL  OCASIONO DESLIZAMIENTO DE LODOS, AFECTANDO 3 VIVIENDAS,  SIN PERDIDAS MAYORES. ATENDIÓ CMGRD Y COMUNIDAD.
CDGRD DE CUNDINAMARCA, INFORMA, LUIS CARLOS BARRETO DEL CMGRD. REPORTA FUERTE AGUACERO EN LA VEREDA BERMEJAL, OCURRIDO A LAS 17:30 HORAS DEL  12/02/13 , EL CUAL OCASIONÓ DESLIZAMIENTO EN LA VÍA TERCIARIA QUE COMUNICA A LA VEREDA BERMEJAL CON LA CABECERA MUNICIPAL, DEJANDO INCOMUNICADAS 70 VIVIENDAS. ATIENDE CMGRD Y SECRETARIA DE OBRAS PUBLICAS DEL MUNCICIPIO.</t>
  </si>
  <si>
    <t>APOYO DEL FNGRD PARA EL MEJORAMIENTO DE LA MAQUINARIA PESADA DE PROPIEDAD DEL MUNICIPIO QUE CONSISTE EN RETROEXCAVADORA, 4 VOLQUETAS, I VIBROCOMPACTADOR, UN CARGADOR Y UNA MOTONIVELADORA</t>
  </si>
  <si>
    <t>SE REACTIVA EL INCENDIO FORESTAL EN LA VEREDA DEL JAZMIN EN LA CIUDAD DE PAIPA, BOMBEROS Y DEFENSA CIVIL ESTAN ATENDIENDO</t>
  </si>
  <si>
    <t>SR CARMEN MEDINA (CEL: 3118202419 ) SE COMUNICA REPORTANDO DERRUMBE DE MONTAÑA EN MEDINA CUNDINAMARCA TAPONÁNDOLA CARRETERA QUE COMUNICA A LA VEREDA SANTA TERESA Y LA VEREDA LOS ALPES APROXIMADAMENTE A 2 KM NO REPORTA VIVIENDAS AFECTADAS NI LESIONADOS.</t>
  </si>
  <si>
    <t>REPORTA JOSÉ GABRIEL HERNÁNDEZ, ALCALDE DE UTICA, INCENDIO ESTRUCTURAL EN 1 VIVIENDA DE LA VEREDA LA ABUELITA BAJA, LA CUAL QUEDO TOTALMENTE DESTRUIDA, 6 MENORES Y 4 ADULTOS PERDIERON TODOS SUS BIENES Y VIVIENDA, SOLICITA AYUDAS HUMANITARIAS PARA ESTA FAMILIA. ATIENDE BOMBEROS Y CMGRD.</t>
  </si>
  <si>
    <t> REPORTA INCENDIO FORESTAL EN LA VEREDA MOTOSO, SITUACION EN DESARROLLO, REPORTA CDGRD</t>
  </si>
  <si>
    <t>REPORTA INCENDIO FORESTAL EN EL BARRIO FUNDEVIR, 8 HECTAREAS AFECTADAS, CONTROLADO EN UN 80%, ATIENDE BONBEROS, SITUACION EN DESARROLLO. REPORTA MELBA LYNER CDGRD</t>
  </si>
  <si>
    <t>REPORTA BOMBEROS MACARAVITA SANTANDER, INCENDIO FORESTAL DE 10 HECTAREAS DE PASTO AFECTADAS, ENTRE LA VEREDAS DE SANTAMARIA Y BURAGA, CONTROLADO Y EXTINGUIDO. REPORTA CR MIGUEL GOMEZ CDGRD. REPORTE 04-03-13, REPORTAN QUE EL INCENDIO FORESTAL DE EL MUNICIPIO DE MACARAVITA SANTANDER, YA FUE APAGADO TOTALMENTE. INFORMA SE QUEMARON 12 HECTAREAS DE BOSQUES, PASTOS, MALEZAS, ALGUNOS CABROS DE  UNA DE LAS FINCAS. CONTROLADO Y EXTINGUIDO POR BOMBEROS, POLICIA Y COMUNIDAD, REPORTA CDGRD</t>
  </si>
  <si>
    <t>CDGRD DE ANTIOQUIA, INFORMA,  CRECIENTE DEL RÍO CHIGORODO, 02-03-2013, CERCA A LA COMUNIDAD INDIGENA POLINES, 2 PERSONAS FALLECIDAS, 1 PERSONA DESAPARECIDA, 3 PERSONAS HERIDAS.</t>
  </si>
  <si>
    <t>APOYO DEL FNGRD PARA LA COMPRA DE COMBUSTIBLES Y LUBRICANTES PARA LA REHABILITACION DE LA MALLA VIAL DE VERGARA.</t>
  </si>
  <si>
    <t>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 OTRO: INSTITUCION DE SOCORRO</t>
  </si>
  <si>
    <t>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 OTROS= 2 EDIFICIOS,  1 INSTITUCION DE SOCORRO</t>
  </si>
  <si>
    <t>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 OTROS: 1 EDIFICIO</t>
  </si>
  <si>
    <t>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 OTROS: 2 EDIFICIOS</t>
  </si>
  <si>
    <t>APOYO DEL FNGRD MEDIANTE SUBSIDIO DE ARRIENDO TEMPORAL PARA UNA FAMILIA AFECTADA EN LA TEMPORADA INVERNAL 2010 - 2011 POR TRES MESES A RAZON DE $300.000 MENSUAL.</t>
  </si>
  <si>
    <t>EL DERRUMBE, QUE SE PRESENTÓ CERCA DEL CORREGIMIENTO DE AGUACLARA, DEJÓ INCOMUNICADA LA ÚNICA VÍA QUE PERMANECÍA HABILITADA EN BUENAVENTURA, MÁS DE 500 METROS MANTIENE INCOMUNICADA LA ZONA RURAL ADYACENTE A LA ANTIGUA VÍA AL MAR O CARRETERA SIMÓN BOLÍVAR, QUE COMUNICA A CALI CON BUENAVENTURA.</t>
  </si>
  <si>
    <t>REPORTA EL DR GILBERTO MAZO UN INCENDIO ESTRUCTURAL EN EL CASCO URBANO, ATIENDE BOMBEROS VOLUTARIOS.</t>
  </si>
  <si>
    <t>D. NAL DE BOMBEROS REPORTA INCENDIO FORESTAL EN EL CORREGIMIENTO EL MORRO LA FINCA DE NOMBRE ANGELMIRO RIVERA EL CUAL AMENAZO CON PROPAGARSE HA COMPLEJO INDUSTRIAL TERMOYOPAL, CON AFECTACION EN 10 HECTAREAS, ATENDIO BOMBEROS YOPAL CON 2 MAQUINAS Y 9 UNIDADES, CONTROLADO Y EXTINGUIDO.</t>
  </si>
  <si>
    <t>D. NAL DE BOMBEROS REPORTA INCENDIO FORESTAL EN ESTE MUNICIPIO FINCA EL INFIERNO LA ZONA ES SABANA, NO MONTAÑOSA,  BOMBEROS MANI ATENDIO CON UNA MAQUINA Y 6 UNIDADES, CONTROLADO Y EXTINGUIDO PENDIENTE AFECTACION.</t>
  </si>
  <si>
    <t>D.NAL DE BOMBEROS REPORTA QUE SE REALIZA ATENCION DE INCENDIO FORESTAL CON EL APOYO DE LA OMGERD DE ARMENIA EL CUAL SE PRESENTA EN EL KILOMETRO 5 EN LA VIA QUE DE ARMENIA CONDUCE A PUEBLO TAPAO, 2 VEHICULOS DE BOMBEROS SE DESPLAZARON AL LUGAR PARA LA ATENCION QUE AL MOMENTO COMPRENDE 2000 METROS CUADRADOS, PENDIENTE EVOLUCION.</t>
  </si>
  <si>
    <t>CDGRD REPORTA INFORMACION ENTREGADA : CT. JAIRO ALBERTO GARZÓN COMANDANTE DE BOMBEROS CHÍA, REPORTA INCENDIO FORESTAL EN LA VEREDA ALTOS DE YERBABUENA DEL MUNICIPIO DE CHÍA INICIADO A LAS 11:30 Y EXTINGUIDO A LAS 15:30 HORAS CON AFECTACIÓN DE 1.5 HECTÁREAS DE RASTROJO. ATENDIÓ MGRD, BOMBEROS CHÍA, BOMBEROS SOPO Y POLICÍA NACIONAL CONTROLADO Y EXTINGUIDO</t>
  </si>
  <si>
    <t xml:space="preserve">BUENAS NOCHES REPORTA BOMBEROS, QUE A LAS 15:25 HORAS SE PRESENTO CONATO DE INCENDIO FORESTAL EN LA VEREDA BARRO BLANCO, QUEMÁNDOSE 800 METROS DE VEGETACIÓN Y MALEZA, NO SE AFECTARON VIVIENDAS NI PERSONAS. APAGADO TOTALMENTE
</t>
  </si>
  <si>
    <r>
      <t>MAURICIO ALBERTO ORTIZ DE LA UMATA DE YACOPI, REPORTA REMOCIÓN EN MASA EN LA VEREDA LA LAGUNA, ( SITIO DONDE HACE 6 AÑOS SE PRESENTO UNA AVALANCHA). A LAS 09:00 HORAS DEL</t>
    </r>
    <r>
      <rPr>
        <b/>
        <sz val="9"/>
        <rFont val="Arial"/>
        <family val="2"/>
      </rPr>
      <t xml:space="preserve"> 19/02/13</t>
    </r>
    <r>
      <rPr>
        <sz val="9"/>
        <rFont val="Arial"/>
        <family val="2"/>
      </rPr>
      <t xml:space="preserve"> SALE UNA COMISIÓN DEL CMGRD Y LA DEFENSA CIVIL, EL EJERCITO Y LA POLICÍA AL LUGAR CON EL FIN DE REALIZAR UNA EVALUACIÓN EN TERRENO SOBRE LA MAGNITUD DEL EVENTO Y LOS RIESGOS SOBRE LA POBLACIÓN Y SUS BIENES. A LAS 17:20 HORAS REPORTA QUE EL DESLIZAMIENTO TIENE UNOS 800 METROS DE LARGO POR 400 METROS DE ALTO AMENAZANDO A UNAS 15 VIVIENDAS DE LAS CUALES FUERON EVACUADAS A DONDE FAMILIARES Y AMIGOS 5 FAMILIAS CON 20 PERSONAS POR PREVENCIÓN, REPORTA 50 HECTÁREAS DE PERDIDAS DE CULTIVOS DE CAFÉ, PASTO, CACAO, CAÑA DE AZÚCAR Y AGUACATE, LA ESCUELA DE LA VEREDA LA LAGUNA QUEDO AISLADA POR DAÑOS EN LA VÍA LO CUAL OBLIGO A LA SUSPENSIÓN DE CLASES, LA BOCATOMA DEL ACUEDUCTO DE GUADUALITO SE ROMPIÓ DEJANDO  SIN AGUA UNAS 150 FAMILIAS. ATIENDE CMGRD, DEFENSA CIVIL, EJERCITO Y POLICÍA. SE REUNIRÁ EL CMGRD A FIN DE LEVANTAR LA CORRESPONDIENTE ACTA Y HACERLA LLEGAR A ESTA UNIDAD CON LOS DETALLES DE LA EMERGENCIA.</t>
    </r>
  </si>
  <si>
    <r>
      <t xml:space="preserve">CARLOS HUMBERTO CALVO ALCALDE DE CAPARRAPI, REPORTA FUERTES LLUVIAS OCURRIDAS A LAS 22:00 HORAS  DEL </t>
    </r>
    <r>
      <rPr>
        <b/>
        <sz val="9"/>
        <rFont val="Arial"/>
        <family val="2"/>
      </rPr>
      <t xml:space="preserve">19/02/13 </t>
    </r>
    <r>
      <rPr>
        <sz val="9"/>
        <rFont val="Arial"/>
        <family val="2"/>
      </rPr>
      <t>LO QUE OCASIONO LA INUNDACIÓN DE 12 VIVIENDAS AFECTANDO 12 FAMILIAS CON 60 PERSONAS QUE SUFRIERON PERDIDAS DE MUEBLES Y ENSERES. ATIENDE BOMBEROS CAPARRAPI.</t>
    </r>
  </si>
  <si>
    <r>
      <t>REPORTA EXPLOSION EN LA KR 69 37D - SUR, CARVAJAL KENNEDY,</t>
    </r>
    <r>
      <rPr>
        <sz val="9"/>
        <rFont val="Calibri"/>
        <family val="2"/>
      </rPr>
      <t xml:space="preserve"> </t>
    </r>
    <r>
      <rPr>
        <sz val="9"/>
        <rFont val="Arial"/>
        <family val="2"/>
      </rPr>
      <t>FABRICA DONDE ELABORAN CAJAS ELÉCTRICAS, SE PRESENTO EXPLOSION EN CILINDRO DE NITROGENO, OCASIONANDO 5 LESIONADOS, LOS CUALES FUERON REMITIDOS A HOSPITAL SIMON BOLIVAR 4: SAMUEL ENRIQUE AGUAS 39 AÑOS, QUEMADURAS VARIAS EN EL 80% DE LA EXTENSION CORPORAL, RAUL MUÑOZ CELIS 42 AÑOS, QUEMADURAS 2° EN EL 90% DE LA EXTENSION CORPORAL, WILSON PARRA REYES 35 AÑOS, QUEMADURA 3° EN VIA AEREA, GIOVANNY MEJIA 35 AÑOS QUEMADURA EN VIA AEREA. AL HOSPITAL OCCIDENTE KENNEDY FUE REMITIDO ALEXANDER ORTIZ NEVA 34 AÑOS CON QUEMADURA DE 1° EN CARA. REPORTA JODE MIGUEL R-O MINSALUD.</t>
    </r>
  </si>
  <si>
    <t>REPORTA INCENDIO ESTRUCTURAL EN SOTANO 2 DE CENTRO COMERCIAL UNICENTRO EN EL CUAL RESULTO 1 PERSONA AFECTADA POR INHALACION DE HUMO, ATENDIDA Y ESTABILIZADA EN EL SITIO POR LAS ENTIDADES DE SOCORRO. REPORTA JAVIER VELEZ CMGRD</t>
  </si>
  <si>
    <t>REPORTA QUE EL 04-02-13 SE PRESENTO INCENDIO FORESTAL DE CULTIVO DE PALMA Y PASTO, AFECTANDO 4 HECTAREAS, CONTROLADO Y EXTINGUIDO. REPORTA CDGRD.</t>
  </si>
  <si>
    <t>REPORTA QUE EL 11-02-13 SE PRESENTO INCENDIO FORESTAL EN LA VERDEDA RESGUARDO DEL DUYA AFECTANDO 100 HECTAREAS, CONTROLADO Y EXTINGUIDO. REPORTA CDGRD.</t>
  </si>
  <si>
    <t>REPORTA QUE EL 10-02-13 SE PRESENTO INCENDIO FORESTAL EN LA VERDEDA LA ESPERANZA AFECTANDO 40 HECTAREAS, CONTROLADO Y EXTINGUIDO. REPORTA CDGRD.</t>
  </si>
  <si>
    <t>REPORTA QUE EL 16-02-13 SE PRESENTO INCENDIO FORESTAL EN LA VERDEDA EL REMOLINO AFECTANDO 5 HECTAREAS, CONTROLADO Y EXTINGUIDO. REPORTA CDGRD.</t>
  </si>
  <si>
    <t>REPORTA QUE EL 02-02-13 SE PRESENTO INCENDIO FORESTAL EN EL BARRIO 20 DE JULIO, AFECTANDO 2 HECTAREAS, CONTROLADO Y EXTINGUIDO. REPORTA CDGRD.</t>
  </si>
  <si>
    <t>REPORTA QUE EL 07-02-13 SE PRESENTO INCENDIO FORESTAL EN LA VERDEDA CAÑO CHIQUITO AFECTANDO 55 HECTAREAS, CONTROLADO Y EXTINGUIDO. REPORTA CDGRD.</t>
  </si>
  <si>
    <t>REPORTA QUE EL 14-02-13 SE PRESENTO INCENDIO FORESTAL EN LA PLANTA DE RESIDUOS SOLIDOS AFECTANDO 110 HECTAREAS, CONTROLADO Y EXTINGUIDO. REPORTA CDGRD.</t>
  </si>
  <si>
    <t>REPORTA QUE EL 15-02-13 SE PRESENTO INCENDIO FORESTAL EN LA VERDEDA EL MUESE AFECTANDO 570 HECTAREAS, CONTROLADO Y EXTINGUIDO. REPORTA CDGRD.</t>
  </si>
  <si>
    <t>REPORTA QUE EL 14-02-13 SE PRESENTO INCENDIO FORESTAL EN ESTADERO MATECAÑA RIVERO RIO ARIPORO AFECTANDO 120 HECTAREAS, CONTROLADO Y EXTINGUIDO. REPORTA CDGRD.</t>
  </si>
  <si>
    <t>REPORTA QUE EL 14-02-13 SE PRESENTO INCENDIO FORESTAL EN LA VERDEDA EL MUESE, AFECTANDO 130 HECTAREAS, CONTROLADO Y EXTINGUIDO. REPORTA CDGRD.</t>
  </si>
  <si>
    <t>REPORTA QUE EL 20-02-13 SE PRESENTO INCENDIO FORESTAL EN LA FINCA LA SEQUISES, AFECTANDO 6 HECTAREAS, CONTROLADO Y EXTINGUIDO. REPORTA CDGRD.</t>
  </si>
  <si>
    <t>REPORTA QUE EL 03-02-13 SE PRESENTO INCENDIO FORESTAL, AFECTANDO 1 HECTAREA, CONTROLADO Y EXTINGUIDO. REPORTA CDGRD.</t>
  </si>
  <si>
    <t>REPORTA QUE EL 01-02-13 SE PRESENTO INCENDIO FORESTAL EN LA CALLE 40 CON CALLE 1 , AFECTANDO 1 HECTAREA, CONTROLADO Y EXTINGUIDO. REPORTA CDGRD.</t>
  </si>
  <si>
    <t>REPORTA QUE EL 01-02-13 SE PRESENTO INCENDIO FORESTAL EN LA CALLE 43 CON CARRERA 16, AFECTANDO 1 HECTAREA, CONTROLADO Y EXTINGUIDO. REPORTA CDGRD.</t>
  </si>
  <si>
    <t>REPORTA QUE EL 02-02-13 SE PRESENTO INCENDIO FORESTAL EN LA VERDEDA SIRIVANA PALO GRANDE, AFECTANDO 17 HECTAREAS, CONTROLADO Y EXTINGUIDO. REPORTA CDGRD.</t>
  </si>
  <si>
    <t>REPORTA QUE EL 02-02-13 SE PRESENTO INCENDIO FORESTAL EN LA VIA SAMAN DEL RIO, AFECTANDO 7 HECTAREAS, CONTROLADO Y EXTINGUIDO. REPORTA CDGRD.</t>
  </si>
  <si>
    <t>REPORTA QUE EL 04-02-13 SE PRESENTO INCENDIO FORESTAL EN LA UPAMENA, AFECTANDO 1 HECTAREA, CONTROLADO Y EXTINGUIDO. REPORTA CDGRD.</t>
  </si>
  <si>
    <t>REPORTA QUE EL 04-02-13 SE PRESENTO INCENDIO FORESTAL EN LA FINCA LA RIVIERA, AFECTANDO 10 HECTAREAS, CONTROLADO Y EXTINGUIDO. REPORTA CDGRD.</t>
  </si>
  <si>
    <t>REPORTA QUE EL 07-02-13 SE PRESENTO INCENDIO FORESTAL EN LA VERDEDALA ARENOSA, AFECTANDO 32 HECTAREAS, CONTROLADO Y EXTINGUIDO. REPORTA CDGRD.</t>
  </si>
  <si>
    <t>REPORTA QUE EL 07-02-13 SE PRESENTO INCENDIO FORESTAL EN KM 1 VIA MORICHAL, AFECTANDO 1 HECTAREA, CONTROLADO Y EXTINGUIDO. REPORTA CDGRD.</t>
  </si>
  <si>
    <t>REPORTA QUE EL 07-02-13 SE PRESENTO INCENDIO FORESTAL EN LA CALLE 30 CON 32, AFECTANDO 1 HECTAREA, CONTROLADO Y EXTINGUIDO. REPORTA CDGRD.</t>
  </si>
  <si>
    <t>REPORTA QUE EL 08-02-13 SE PRESENTO INCENDIO FORESTAL EN EL AEROPUERTO, AFECTANDO 1 HECTAREA, CONTROLADO Y EXTINGUIDO. REPORTA CDGRD.</t>
  </si>
  <si>
    <t>REPORTA QUE EL 08-02-13 SE PRESENTO INCENDIO FORESTAL EN LA CARRERA 54 CON CALLE 26 DETRÁS DEL PARQUE LAS AGUAS, AFECTANDO 5 HECTAREAS, CONTROLADO Y EXTINGUIDO. REPORTA CDGRD.</t>
  </si>
  <si>
    <t>REPORTA QUE EL 08-02-13 SE PRESENTO INCENDIO FORESTAL ENZONA IZQUIERDA DE EMPRESA DE MAMUT, AFECTANDO 2 HECTAREAS, CONTROLADO Y EXTINGUIDO. REPORTA CDGRD.</t>
  </si>
  <si>
    <t>REPORTA QUE EL 09-02-13 SE PRESENTO INCENDIO FORESTAL EN LA VIA LA ESMERALDA, AFECTANDO 5 HECTAREAS, CONTROLADO Y EXTINGUIDO. REPORTA CDGRD.</t>
  </si>
  <si>
    <t>REPORTA QUE EL 11-02-13 SE PRESENTO INCENDIO FORESTAL EN DIAGONAL 35 CARRERA 31, AFECTANDO 8 HECTAREAS, CONTROLADO Y EXTINGUIDO. REPORTA CDGRD.</t>
  </si>
  <si>
    <t>REPORTA QUE EL 11-02-13 SE PRESENTO INCENDIO FORESTAL EN DIAGONAL 34 CARRERA 31, AFECTANDO 6 HECTAREAS, CONTROLADO Y EXTINGUIDO. REPORTA CDGRD.</t>
  </si>
  <si>
    <t>REPORTA QUE EL 14-02-13 SE PRESENTO INCENDIO FORESTAL EN LA CALLE 46 # 14-23, AFECTANDO 7 HECTAREAS, CONTROLADO Y EXTINGUIDO. REPORTA CDGRD.</t>
  </si>
  <si>
    <t>REPORTA QUE EL 15-02-13 SE PRESENTO INCENDIO FORESTAL EN LA VIA MANGA EL RECUERDO, AFECTANDO 2 HECTAREAS, CONTROLADO Y EXTINGUIDO. REPORTA CDGRD.</t>
  </si>
  <si>
    <t>REPORTA QUE EL 16-02-13 SE PRESENTO INCENDIO FORESTAL EN LA CARRERA 14 # 42-09, AFECTANDO 1 HECTAREAS, CONTROLADO Y EXTINGUIDO. REPORTA CDGRD.</t>
  </si>
  <si>
    <t>REPORTA QUE EL 16-02-13 SE PRESENTO INCENDIO FORESTAL EN BARRIO CARIBABARE, AFECTANDO 2 HECTAREAS, CONTROLADO Y EXTINGUIDO. REPORTA CDGRD.</t>
  </si>
  <si>
    <t>REPORTA QUE EL 16-02-13 SE PRESENTO INCENDIO FORESTAL EN LA CALLE 26 # 33-50, AFECTANDO 2 HECTAREAS, CONTROLADO Y EXTINGUIDO. REPORTA CDGRD.</t>
  </si>
  <si>
    <t>REPORTA QUE EL 16-02-13 SE PRESENTO INCENDIO FORESTAL EN PARQUE DE LAS AGUAS, AFECTANDO 6 HECTAREAS, CONTROLADO Y EXTINGUIDO. REPORTA CDGRD.</t>
  </si>
  <si>
    <t>REPORTA QUE EL 16-02-13 SE PRESENTO INCENDIO FORESTAL EN LA CARRERA 33-26, AFECTANDO 1 HECTAREA, CONTROLADO Y EXTINGUIDO. REPORTA CDGRD.</t>
  </si>
  <si>
    <t>REPORTA QUE EL 16-02-13 SE PRESENTO INCENDIO FORESTAL EN EL BARRIO 7 DE AGOSTO, AFECTANDO 2 HECTAREAS, CONTROLADO Y EXTINGUIDO. REPORTA CDGRD.</t>
  </si>
  <si>
    <t>REPORTA QUE EL 17-02-13 SE PRESENTO INCENDIO FORESTAL EN LA VIA SAMAN DEL RIO, AFECTANDO 4 HECTAREAS, CONTROLADO Y EXTINGUIDO. REPORTA CDGRD.</t>
  </si>
  <si>
    <t>REPORTA QUE EL 17-02-13 SE PRESENTO INCENDIO FORESTAL EN LIMITES BRAULIO GONZALEZ CAMPESTRE,  AFECTANDO 7 HECTAREAS, CONTROLADO Y EXTINGUIDO. REPORTA CDGRD.</t>
  </si>
  <si>
    <t>REPORTA QUE EL 17-02-13 SE PRESENTO INCENDIO FORESTAL EN LA VIA AL MORRO EN LA GUATOCA, AFECTANDO 10 HECTAREAS, CONTROLADO Y EXTINGUIDO. REPORTA CDGRD.</t>
  </si>
  <si>
    <t>REPORTA QUE EL 17-02-13 SE PRESENTO INCENDIO FORESTAL EN LA CARRERA 5-30 ESTACION DE SERVICIO LA CARPA, AFECTANDO 2 HECTAREAS, CONTROLADO Y EXTINGUIDO. REPORTA CDGRD.</t>
  </si>
  <si>
    <t>REPORTA QUE EL 17-02-13 SE PRESENTO INCENDIO FORESTAL EN LA CALLE 40 # 29-19 MAMUT, AFECTANDO 30 HECTAREAS, CONTROLADO Y EXTINGUIDO. REPORTA CDGRD.</t>
  </si>
  <si>
    <t>REPORTA QUE EL 17-02-13 SE PRESENTO INCENDIO FORESTAL EN HIDROCASANARE VIA PAZ DE ARIPORO, AFECTANDO 15 HECTAREAS, CONTROLADO Y EXTINGUIDO. REPORTA CDGRD.</t>
  </si>
  <si>
    <t>REPORTA QUE EL 18-02-13 SE PRESENTO INCENDIO FORESTAL EN LA VERDEDA EL GARZON KM 1, AFECTANDO 6 HECTAREAS, CONTROLADO Y EXTINGUIDO. REPORTA CDGRD.</t>
  </si>
  <si>
    <t>REPORTA QUE EL 23-02-13 SE PRESENTO INCENDIO FORESTAL EN LA VERDEDA LA UNION FINCA LA AURORA, AFECTANDO 5 HECTAREAS, CONTROLADO Y EXTINGUIDO. REPORTA CDGRD.</t>
  </si>
  <si>
    <t>REPORTA QUE EL 25-02-13 SE PRESENTO INCENDIO FORESTAL EN LA VIA MOLINO YOPAL, AFECTANDO 4 HECTAREAS, CONTROLADO Y EXTINGUIDO. REPORTA CDGRD.</t>
  </si>
  <si>
    <t>REPORTA QUE EL 24-02-13 SE PRESENTO INCENDIO FORESTAL EN LA VERDEDA SIRIBANA FINCA HATO GRANDE, AFECTANDO 6 HECTAREAS, CONTROLADO Y EXTINGUIDO. REPORTA CDGRD.</t>
  </si>
  <si>
    <t>REPORTA QUE EL 25-02-13 SE PRESENTO INCENDIO FORESTAL EN SECTOR HOSPITAL NUEVO, AFECTANDO 2 HECTAREAS, CONTROLADO Y EXTINGUIDO. REPORTA CDGRD.</t>
  </si>
  <si>
    <t>REPORTA QUE EL 26-02-13 SE PRESENTO INCENDIO FORESTAL EN LA VIA LAS AMERICAS DETRÁS DEL AEROPUERTO, AFECTANDO 3 HECTAREAS, CONTROLADO Y EXTINGUIDO. REPORTA CDGRD.</t>
  </si>
  <si>
    <t>REPORTA QUE EL 10-02-13 SE PRESENTO INCENDIO FORESTAL, AFECTANDO 34 HECTAREAS DE PASTO, CONTROLADO Y EXTINGUIDO. REPORTA CDGRD.</t>
  </si>
  <si>
    <t>REPORTA QUE EL 11-02-13 SE PRESENTO INCENDIO FORESTAL EN LA VERDEDA TEISLANDIA, AFECTANDO 35 HECTAREAS, CONTROLADO Y EXTINGUIDO. REPORTA CDGRD.</t>
  </si>
  <si>
    <t>REPORTA QUE EL 27-02-13 SE PRESENTO INCENDIO FORESTAL EN LA VERDEDA MONTE NEGRA, AFECTANDO 15 HECTAREAS, CONTROLADO Y EXTINGUIDO. REPORTA CDGRD.</t>
  </si>
  <si>
    <t>REPORTA QUE EL 14-02-13 SE PRESENTO INCENDIO FORESTAL EN LA VERDEDA EL TABLON, AFECTANDO 25 HECTAREAS, CONTROLADO Y EXTINGUIDO. REPORTA CDGRD.</t>
  </si>
  <si>
    <t>REPORTA QUE EL 11-02-13 SE PRESENTO INCENDIO FORESTAL EN LA VERDEDA EL MERY, AFECTANDO 30 HECTAREAS, CONTROLADO Y EXTINGUIDO. REPORTA CDGRD.</t>
  </si>
  <si>
    <t>REPORTA QUE EL 17-02-13 SE PRESENTO INCENDIO FORESTAL EN LA VERDEDA JAGUEYES DEL GURRIPA, AFECTANDO 35 HECTAREAS, CONTROLADO Y EXTINGUIDO. REPORTA CDGRD.</t>
  </si>
  <si>
    <t>REPORTA QUE EL 03-02-13 SE PRESENTO INCENDIO FORESTAL EN FINCA PUENTE CAJA, AFECTANDO 3 HECTAREAS, CONTROLADO Y EXTINGUIDO. REPORTA CDGRD.</t>
  </si>
  <si>
    <t>REPORTA QUE EL 05-02-13 SE PRESENTO INCENDIO FORESTAL EN LA VERDEDA EL OSO, AFECTANDO 5 HECTAREAS, CONTROLADO Y EXTINGUIDO. REPORTA CDGRD.</t>
  </si>
  <si>
    <t>REPORTA QUE EL 09-02-13 SE PRESENTO INCENDIO FORESTAL EN PARQUE ECOLOGICO, AFECTANDO 1 HECTAREA, CONTROLADO Y EXTINGUIDO. REPORTA CDGRD.</t>
  </si>
  <si>
    <t>REPORTA QUE EL 16-02-13 SE PRESENTO INCENDIO FORESTAL EN LA VERDEDA EQUIA, AFECTANDO 100 HECTAREAS, CONTROLADO Y EXTINGUIDO. REPORTA CDGRD.</t>
  </si>
  <si>
    <t>REPORTA QUE EL 10-02-13 SE PRESENTO INCENDIO FORESTAL EN LA VERDEDA PUENTE CHIRE, AFECTANDO 15 HECTAREAS, CONTROLADO Y EXTINGUIDO. REPORTA CDGRD.</t>
  </si>
  <si>
    <t>REPORTA QUE EL 16-02-13 SE PRESENTO INCENDIO FORESTAL EN LA VIA AGUA MACA, AFECTANDO 10 HECTAREAS, CONTROLADO Y EXTINGUIDO. REPORTA CDGRD.</t>
  </si>
  <si>
    <t>REPORTA QUE EL 11-02-13 SE PRESENTO INCENDIO FORESTAL EN LA VERDEDA LOS CHOCHOS, AFECTANDO 50 HECTAREAS, CONTROLADO Y EXTINGUIDO. REPORTA CDGRD.</t>
  </si>
  <si>
    <t>REPORTA QUE EL 11-02-13 SE PRESENTO INCENDIO FORESTAL EN LA VIA BARRANCA DE UPIA, AFECTANDO 45 HECTAREAS, CONTROLADO Y EXTINGUIDO. REPORTA CDGRD.</t>
  </si>
  <si>
    <t>APOYO DEL FNGRD MEDIANTE SUBSIDIO DE ARRIENDO TEMPORAL PARA 5 FAMILIAS POR TRES MESES A RAZON DE $200.000 MENSUAL</t>
  </si>
  <si>
    <t/>
  </si>
  <si>
    <t>CDGRD DE CALDAS, INFORMA, VENDAVAL, PRESENTADO DURANTE LA NOCHE, 05-03-2013, AFECTANDO VIVENDAS EN TECHOS.</t>
  </si>
  <si>
    <t>CDGRD DE CASANARE, ENVÍA INFORMACIÓN POR CORREO ELÉCTRONICO, DESDE EL 01/03/2013, HASTA EL 06-03-2013, TIENEN UNA AFECTACIÓN, EN EL MPIO,  POR INCENDIOS FORESTALES DE 30 HECTÁREAS  EN LA VEREDA LAS CAÑAS, SE LE SOLICITO, COMPLEMENTAR LA INFORMACIÓN CON FECHAS EXACTAS, SECTORES</t>
  </si>
  <si>
    <t>CDGRD DE CASANARE, ENVÍA INFORMACIÓN POR CORREO ELÉCTRONICO, DESDE EL 01/03/2013, HASTA EL 06-03-2013, TIENEN UNA AFECTACIÓN, EN EL MPIO,  POR INCENDIOS FORESTALES DE 50 HECTÁREAS  EN LA VEREDA  EL PRETEXTO SE LE SOLICITO, COMPLEMENTAR LA INFORMACIÓN CON FECHAS EXACTAS, SECTORES</t>
  </si>
  <si>
    <t>15:25 HORAS 05-03-13, REPORTA BOMBEROS, QUE SE PRESENTO CONATO DE INCENDIO  FORESTAL EN LA VEREDA BARRO BLANCO, QUEMÁNDOSE 800 METROS DE VEGETACIÓN Y MALEZA, NO SE AFECTARON VIVIENDAS NI PERSONAS. APAGADO TOTALMENTE</t>
  </si>
  <si>
    <t>REPORTA QUE EL 04/03/2013 SE PRESENTO INCENDIO FORESTAL EN LA VERDEDA: EL BORAL,  AFECTANDO: 30 HECTAREAS, CONTROLADO Y EXTINGUIDO. REPORTA CDGRD.</t>
  </si>
  <si>
    <t>REPORTA QUE EL 03/03/2013 SE PRESENTO INCENDIO FORESTAL, AFECTANDO  5 HECTAREAS DE PASTO, CONTROLADO Y EXTINGUIDO. REPORTA CDGRD.</t>
  </si>
  <si>
    <t>REPORTA QUE EL   02/03/2013 SE PRESENTO INCENDIO FORESTAL EN LA VERDEDA EL TABLON, AFECTANDO 6 HECTAREAS, CONTROLADO Y EXTINGUIDO. REPORTA CDGRD.</t>
  </si>
  <si>
    <t>REPORTA QUE EL 03/03/2013 SE PRESENTO INCENDIO FORESTAL EN LA VERDEDA GUANA AFECTANDO A 14 HECTAREAS  PALO  Y EXTINGUIDO. REPORTA CDGRD.</t>
  </si>
  <si>
    <t>REPORTA QUE EL 04/03/2013 SE PRESENTO INCENDIO FORESTAL EN LA VERDEDA EL BANCO AFECTANDO 10 HECTAREAS, CONTROLADO Y EXTINGUIDO. REPORTA CDGRD.</t>
  </si>
  <si>
    <t>REPORTA QUE EL 11-02-13 SE PRESENTO INCENDIO FORESTAL EN LA VIA AGUA CLARA AFECTANDO 8 HECTAREAS, CONTROLADO Y EXTINGUIDO. REPORTA CDGRD.</t>
  </si>
  <si>
    <t>REPORTA INCENDIO FORESTAL EN EL CORREGIMIENTO EL MORRO CON AFECTACION EN 10 HECTAREAS, ATENDIO BOMBEROS YOPAL , CONTROLADO Y EXTINGUIDO.</t>
  </si>
  <si>
    <t>REPORTA INCENDIO FORESTAL EN EL BARRIO LA ESMERALDA  CON AFECTACION EN 5 HECTAREAS, ATENDIO BOMBEROS YOPAL , CONTROLADO Y EXTINGUIDO.</t>
  </si>
  <si>
    <t>REPORTA INCENDIO FORESTAL EN LA VIA BARULIO CAMPESTRE  CON AFECTACION EN 6 HECTAREAS, ATENDIO BOMBEROS YOPAL , CONTROLADO Y EXTINGUIDO.</t>
  </si>
  <si>
    <t>REPORTA INCENDIO FORESTAL EN  EL SECTOR EL MOORO FIINCA LA META AFECTACION EN 25HECTAREAS, ATENDIO BOMBEROS YOPAL , CONTROLADO Y EXTINGUIDO.</t>
  </si>
  <si>
    <t>REPORTA INCENDIO FORESTAL EN  EL SECTOREL CERRO FRENTE COLINA CAMPESTRE  FINCA LA META AFECTACION EN  40  HECTAREAS, ATENDIO BOMBEROS YOPAL , CONTROLADO Y EXTINGUIDO.</t>
  </si>
  <si>
    <t>CDGRD DE SANTANDER, INFORMA, 14:30,  BOMBEROS BUCARAMANGA,  ATIENDE,  SECTOR DEL ANILLO VIAL
AUTOPISTA FLORIDABLANCA GIRON, SITIO LAS LADRILLERAS, SE PRESENTA
INCENDIO FORESTAL, SIN CONOCER HASTA EL MOMENTO MAGNITUD, Y DAÑOS
CAUSADOS.</t>
  </si>
  <si>
    <t xml:space="preserve">CDGRD DE SANTANDER, INFORMA, 12:00 HORAS, COMANDANTE DE BOMBEROS, SE PRESENTA INCENDIO
FORESTAL EN LA VEREDA DE PEDREGALES, FINCA DE LA ESPERANZA, AL MOMENTO
SE ESTA QUEMANDO RESERVA DE PINO. SE DESCONOCEN DAÑOS CAUSADOS  Y
HECTAREAS CONSUMIDAS.
</t>
  </si>
  <si>
    <t>CDGRD DE ARAUCA, INFORMA, SE PRESENTO ATENTADO CONTRA EL OLEODUCTO, CAÑO LIMÓN COVEÑAS, DONDE LA RUPTURA DEL TUBO, OCASIONO EL DERRAME DE CRUDO, GENERANDO UN INCENDIO FORESTAL, QUE CONSUMIO: 34 HECTÁREAS DE PASTOS, ARBOLES.</t>
  </si>
  <si>
    <t>CDGRD DEL CESAR, INFORMA, A RAIZ DEL FUERTE VERANO, 37 FAMILIAS CAMPESINAS, DE LAS VEREDAS: MONSERAT, GUADUAS, MONTEREY, BUENAVISTA, MIRAMAR, ESTÁN  AFECTADAS EN  CULTIVOS, POR DESABASTECIMIENTO DE AGUA EN LOS ACUEDUCTOS RURALES.</t>
  </si>
  <si>
    <t>EN EL MUNICIPIO DE TAME, VEREDA ZAPARAY INICIÓ EL DÍA DE AYER UIN INCENDIO FORESTAL, NO SE TIENE CERTEZA DE LA MAGNITUD, ESTA SIENDO ATENDIDO POR DEFENSA CIVIL Y CUERPO DE BOMBEROS, Y SE PRESENTAN EN ESTE MONMENTO LLUVIAS EN EL SECTOR. ESTÁ ACTIVIO PERO EN PROCESO DE EXTINCION. REPORTE 06-03-13, CDGRD DE ARAUCA, INFORMA, INCENDIO FORESTAL, EXTINGUIDO, VEREDA: ZAPARAY, SE CONSUMIERON APROXIMADAMENTE: 1200 HECTÁREAS</t>
  </si>
  <si>
    <t>APOYO DEL FNGRD MEDIANTE GIRO DIRECTO PARA APOYAR EL FORTALECIMIENTO DE ORGANISMOS DE SOCORRO POR VALOR DE $150.000.000 Y APOYAR LA CONSTRUCCION DE SALA DE CRISIS ALTERNA PARA LA ATENCION DE EMERGENCIAS POR VALOR DE $150.000.000 TENIENDO EN CUENTA EL PLAN DE ACCION ESPECIFICO SEGUN LA DECLARATORIA DE CALAMIDAD PUBLICA, CORREGIDA Y AMPLIADA MEDIANTE DECRETOS NO. 0225, 0248 DE 2012 Y 008 DE 2013</t>
  </si>
  <si>
    <t>REPORTE DEL CMGRD MEDIANTE ACTA DEL 22 DE FEBRERO DE 2013. VEREDAS GUAMAL, LA BELLA, SINAI, ALFOMBRALES, ARENALES, LA CABAÑA, LA CASCADA, LA ESPERANZA, LA ESTRELLA, LA GLORIA, LA PICOTA, LAS LAGUNAS, REQUINTADEROS, SABANALARGA, SANTA BARBARA, CORREGIMIENTO EL BOSQUE, ENVIAN ACTA PERO NO HAY SOLICITUD CONCRETA DE APOYO</t>
  </si>
  <si>
    <t>D.C.C., REPORTA LUBIN VALENCIA DE LA SECCIONAL META: VENDAVAL OCURRIDO EL 05-03-2013 A LAS 19: 30 HORAS, EN EL M/PIO DE GRANADA, PENDIENTE AFECTACIÓN. REPORTE 08-03-13, ROBERTO TORO, SECRETARIO DE GOBIERNO (3203033500), REPORTA AFECTACIÓN EN DOS VEREDAS POR VENDABAL, 80 VIVIENDAS AVERIADAS, 3 VIVIENDAS DESTRUIDAS, 83 FAMILIAS AFECTADAS.</t>
  </si>
  <si>
    <t>SEGÚN INFORMACIÓN DEL COORDINADOR DE PRENSA Y COMUNICACIÓN, ANOCHE A LAS 7 DE LA NOCHE SUCEDIO UN VENDAVAL CON LLUVIAS EL CUAL AFECTO A VIVIENDAS DE LOS BARRIOS GAITAN 9 VIVIENDAS, LAS AMERICAS 5 VIVIENDAS, LAS FLORES 1 VIVIENDA, EN EL JARDÍN CENTRAL 1 VIVIENDA, EN EL BARRIO NUEVO 1 VIVIENDA, ÁRBOLES CAÍDOS, CABLES EN EL SUELO, NO HAY HERIDOS</t>
  </si>
  <si>
    <t>EN HORAS DE LA NOCHE SE PRESENTO UN INCEDIO ESTRUCTURAL AFECTANDO A UNA VIVIENDA . ATIENDE BOMBEROS DE CHIMICHAGUA.</t>
  </si>
  <si>
    <r>
      <t xml:space="preserve">REPORTA INCENDIO FORESTAL EN VEREDA LA VEGA, CERRO EL VIEJO, </t>
    </r>
    <r>
      <rPr>
        <b/>
        <sz val="9"/>
        <rFont val="Arial"/>
        <family val="2"/>
      </rPr>
      <t>ACTIVO</t>
    </r>
    <r>
      <rPr>
        <sz val="9"/>
        <rFont val="Arial"/>
        <family val="2"/>
      </rPr>
      <t>, SITUACION EN DESARROLLO, REPORTA FABIAN AUSAGUE BOMBEROS YOPAL. SITUACION EN DESARROLLO.</t>
    </r>
  </si>
  <si>
    <t>REPORTA VENDAVAL EN EL CORREGIMIENTO SINAI, AFECTANDO LOS TECHOS DE 5 VIVIENDAS, 5 FAMILIAS, REPORTA CMGRD.</t>
  </si>
  <si>
    <t>REPORTA INCENDIO FORESTAL EN LA VEREDA REMOLINA FINCA DIOS TE SALVE, AFECTANDO 60 HECTAREAS DE CULTIVO DE PIÑA, PASTO PARA GANADO, CONTROLADO Y EXTINGUIDO POR BOMBEROS Y COMUNIDAD. REPORTA FABIAN AUSAGUE BOMBEROS YOPAL.</t>
  </si>
  <si>
    <t>CMGRD DE TRUJILLO, INFORMA, VENDAVAL, PRESENTADO EL DÍA 06-03-2013,  VEREDA; TOPACIO, AFECTANDO VIVIENDAS EN TECHOS, CULTIVOS DE: CAFÉ, PLÁTANO, BANANO, REALIZAN EDAN.</t>
  </si>
  <si>
    <t>CDGRD DE ARAUCA, INFORMA INCENDIO FORSTAL, EXTINUIDO, EN LA VEREDA: CHAPARRITO, SE CONSUMIERON: 10 HECTÁREAS</t>
  </si>
  <si>
    <t xml:space="preserve">CDGRD DE SANTANDER, NFORMA COMANDANTE BOMBEROS MALAGA. QUE SIENDO LAS 18:00 HORAS SE APAGO INCENDIO FORESTAL EN LA VEREDA DEL POZO QUE HABIA INICIADO A LAS
15:000 HORAS Y EN DONDE SE QUEMARON 3 HECTAREAS DE VEGETACION  Y BOSQUES.
</t>
  </si>
  <si>
    <t>CDGRD DE SANTANDER, INFORMA COMANDANTE BOMBEROS MILTON JOSE MORA GOMEZ QUE SIENDO LAS 12:00 HORAS, EL INCENDIO FORESTAL SE PUDO CONTROLAR. QUEMANDOSE 80
HECTAREAS DE VEGETACION NATIVA, BOSQUES,Y UN CULTIVO DE PINO, CANADIENCE.</t>
  </si>
  <si>
    <t xml:space="preserve">CDGRD DE SANTANDER, REPORTA EL SEÑOR MANUEL CEPEDA MARTÍNEZ GERENTE ACUEDUCTO, QUE EL MUNICIPIO POR EL FUERTE VERANO,  EL CASCO URBANO ENTRO EN, DESABASTECIMIENTO DE AGUA, POR EL SECAMIENTO DE LAS QUEBRADAS LA CENIZA Y EL TABLÓN, DE DONDE SE RECOGE EL AGUA. EL MUNICIPIO SE ESTÁ
ABASTECIENDO POR CARROTANQUE PRESTADO POR LE ESCUELA DE POLICÍA DE VÉLEZ..
</t>
  </si>
  <si>
    <t xml:space="preserve">CDGRD DE SANTANDER, INFORMA, 15:00 HORAS REPORTA ALCALDIA MUNICIPAL, DE INCENDIO FORESTAL EN LA VEREDA DE PADUA, A DOS HORAS EN VEHÍCULO DEL CASCO URBANO, NO SE TIENE, REPORTE DE AFECTACION Y LA MAGNITUD DEL MISMO. SALIERON A CONTROLARLO
DEFENSA CIVIL MUNICIPIO , POLICIA NACIONAL Y PERSONAS DEL PUEBLO. REPORTE 07-03-13, CDGRD DE SANTANDER, INFORMA SEÑOR FABIO MEDINA DE LA DEFENSA CIVIL QUE EL INCENDIO
INICIADO DESDE EL DIA DE AYER,  HOY SIENDO LAS 12:00 HORAS FUE APAGADO, TOTALMENTE, QUEMANDOSE 22 HECTAREAS DE VEGETACION Y BOSQUE NATIVOS.
</t>
  </si>
  <si>
    <t>EN LA NOCHE DEL 07 DE MARZO SE PRESENTO UN INCENDIO ESTRUCTURAL AFECTANDO UNA VIVIENDA  EN LE BARRIO JUAN XXIII, ATENDIO BOMBEROS VOLUTARIOS.</t>
  </si>
  <si>
    <t>SOCORRO NACIONAL INFORMA, SE REGISTRA UNA EXPLOSION EN MINA EL VATICANO DE ORO ARTESANAL ,EN EL MUNICIPIO DE NEIRA, DEJA COMO RESULTADO , 1 FALLECIDO, 1 LESIONATDO TRASLADADO AL CORREGIMIENTO DE IRRA, 3 MAS ATRAPADOS RESCATADOS VIVIOS, EN EL SITIO ATENDIERON BOMBEROS VOLUNTARIOS DE NEIRA Y BOMBEROS OFICIALES DE MANIZALES, CDGRD AL TANTO DE LA SITUACION</t>
  </si>
  <si>
    <t>CDGRD REPORTA QUE SE PRESENTO INCENDIO FORESTAL EN ESTE MUNICIPIO VEREDA EL NARANJAL, COMUNIDAD PARTICIPA EN LA ATENCION, AFECTACION EN BOSQUE NATIVO, APROXIMADAMENTE EN 5 HECTAREAS.</t>
  </si>
  <si>
    <t>CDGRD REPORTA QUE SE REGISTRO INCENDIO ESTRUCTURAL EN ESTE MUNICIPIO, DONDE SE QUEMARON 2 VIVIENDAS, CAUSAS NO ESTABLECIDAS AUN, NO VICTIMAS U OTRO.</t>
  </si>
  <si>
    <t>BOMBEROS, INFORMA, INCENDIO FORESTAL, EXTINGUIDO, FINCA: EL GARZON, VEREDA: MATA PIÑA, SE CONSUMIERON: 8 HECTÁREAS DE VEGETACIÓN NATIVA Y PASTOS.</t>
  </si>
  <si>
    <t>BOMBEROS, INFORMA, INCENDIO FORESTAL, EXTINGUIDO, VEREDA: LAS ATALAYAS,  SE CONSUMIO: 1 HECTÁREA DE VEGETACIÓN NATIVA.</t>
  </si>
  <si>
    <t>BOMBEROS, INFORMA, INCENDIO FORESTAL, EXTINGUIDO, VEREDA: LA PRIMAVERA, SE CONSUMIERON: 10 HECTÁREAS DE VEGETACIÓN NATIVA Y BOSQUE.</t>
  </si>
  <si>
    <t>VENDAVAL, REALIZAN EDAN.</t>
  </si>
  <si>
    <t xml:space="preserve">D.C.C, REPORTA O.OPERATIVA DE ARAUCA: INCENDIO FORESTAL , EXTINGUIDO, A LAS 12:30 HORAS DEL 8-03-2013, UBICADO ENTRE LOS BARRIOS BRISAS DEL LLANO Y LA LIBERTAD,  RESULTANDO 2 HECTAREAS AFECTADAS  POR EL FUEGO.
</t>
  </si>
  <si>
    <t>D.C.C, INFORMA,  SECCIONAL META: VENDAVAL OCURRIDO EL 7-03-2013 EN DEL M/PIO DE CASTILLA LA NUEVA, RESULTANDO 3 FAMILIAS AFECTADAS Y 3 VIVIENDAS AVERIADAS, NO REPORTAN PERSONAS AFECTADAS.</t>
  </si>
  <si>
    <t>EN EL MUNICIPIO DE ARAUQUITA, VEREDAS MATA OSCURA Y EL PROGRESO, NUEVAMENTE EL FIN DE SEMANA SE INICIA INCENDIO FORESTAL, PUES EN LA ZONA SE PRESENTA UN COLCHON DE FUEGO SUBTERRANEO QUE A PESAR QUE SUPERFICIALMENTE SE CONTROLE, NUEVAMENTE INICIA EN CUALQUIER PUNTO. REPORTE 09-03-13, CDGRD DE ARAUCA, NFORMA, CONTINUA, INCENDIO FORESTAL SUBTERRANEO, ACTIVO, SE HAN CONSUMIDO APROXIMADAMENTE: 3000 HECTÁREAS,  ESTE INCENDIO SE ESTÁ PRESENTANDO DESDE EL 27  DE FEBRERO, SE  APAGA EN UN SECTOR Y SE PRENDE EN OTRO, POR LA CONDICIÓN DE SER UN INCENDIO FORESTAL, SUBTERRANEO, APOYAN: 80 VOLUNTARIOS DE LA D.C.C, CRUZ ROJA, BOMBEROS, SOLICITAN APOYO DE MAQUINARIA PESADA, SE LE SOLICITO, VERIFICAR LA CIFRA DE AFECTACIÓN.</t>
  </si>
  <si>
    <t xml:space="preserve">SE REPORTA UN INCEDIO FORESTAL EN ELE SECTOR  DE LAS AGUAS HASTA EL MOMENTO SE HACONSUMIDO 15 HECTAREAS TRABAJA EN LA EXTINCION BOMBEROS, DCC. SE ESPERA MAS INFORMACION POR PARTE DE CMGRD. Reporte 08-03-13, CDGRD DE NORTE DE SANTANDER, INFORMA, INCEDIO FORESTAL, EXTINGUIDO,  EN EL SECTOR  DE LAS AGUAS,  SE  CONSUMIERON: 15 HECTAREAS. </t>
  </si>
  <si>
    <t xml:space="preserve">REPORTA INCENDIO FORESTAL DE GRAN EXTENSION QUE OCURRE DESDE AYER EN EL SECTOR DENOMINADO PORTÓN DE MORÁN EN EL MUNICIPIO DE CIÉNAGA, AFECTADO HASTA EL MOMENTO BOSQUE NATIVO, SE HACE SOLICITUD DE APOYO AEREO, COORDENADAS APROXIMADAS 10° 56´ 18.14" N - 74° 09´54.35", ESTE EVENTO ESTÁ SIENDO ATENDIDO POR EL CUERPO DE BOMBEROS VOLUNTARIOS DE CIÉNAGA Y YA LOGRÓ EXTINGUIR EL FUEGO EN LA PARTE BAJA; SIN EMBARGO, EL FUEGO SIGUE CRECIENDO HACIA LA MONTAÑA, EN UN SECTOR INACCESIBLE PARA LOS BOMBEROS. REPORTA LUIS BARRAZA CDGRD, SITUACION EN DESARROLLO. REPORTE 08-03-13, CDGRD DE MAGDALENA, INFORMA, INCENDIO FORESTAL, CONTROLADO, SECTOR DENOMINADO PORTÓN DE MORÁN, PENDIENTE AFECTACIÓN. </t>
  </si>
  <si>
    <t xml:space="preserve">
BOLETÍN EVENTO SÍSMICO VOLCÁN PURACÉ
 EL SERVICIO GEOLOGICO COLOMBIANO INFORMA:
QUE EL DÍA 07 DE MARZO DE 2013 A LAS 01:01 A.M. SE PRESENTÓ UN SISMO DE MAGNITUD 3.1 EN LA ESCALA DE RICHTER CON EPICENTRO A 11.4 KM AL NORORIENTE DEL VOLCÁN PURACÉ.
LA LOCALIZACIÓN OBTENIDA POR EL OVS-POPAYÁN ES:
LATITUD: 2º 23.86’ N
LONGITUD: 76º 20.07 W
PROFUNDIDAD: 10.5 KM (DE CARÁCTER SUPERFICIAL)
MAGNITUD: 3.1 EN LA ESCALA DE RICHTER
 POBLACIÓN MÁS CERCANA: PURACÉ – CAUCA, A  13.9  KM AL W DEL EPICENTRO. 
OBSERVACIONES: REPORTADO COMO SENTIDO EN LA POBLACIÓN DE  GABRIEL LÓPEZ – TOTORO.
CDGRD DEL CAUCA, ENVIA INFORMACIÓN POR PIN, 20:59 HORAS, REMITIDA DEL CMGRD DE TOTORO, DEBIDO AL SISMO SE PRESENTÓ, UNA AFECTACIÓN DE 70 VIVIENDAS EN LA ZONA RURAL Y 1 VIVIENDA EN LA ZONA URBANA, SE LE SOLICITO VERIFICAR ESTÁ INFORMACIÓN, SE INFORMO A ENTIDADES OPERATIVAS, LA NOVEDAD, PARA SU POSTERIOR CONFIRMACIÓN.
REPORTE 08-03-13, SE REALIZO CONTACTO CON LA DRA. ELSA IMELDA SANCHEZ,  SECRETARIA DE GOBIERNO DEL MUNICIPIO DE TOTORÓ E INFORMA QUE  DESDE EL MES DE DICIEMBRE DEL AÑO PASADO SE VIENEN PRESENTANDO UNOS MOVIMIENTOS SÍSMICOS SENTIDOS EN LA PARTE ALTA Y MEDIA DEL MUNICIPIO, MANIFESTÓ QUE EL DÍA 7 DE MARZO A LA 01:01 APROXIMADAMENTE SE REGISTRO UN NUEVO MOVIMIENTO SÍSMICO QUE FUE SENTIDO POR LA COMUNIDAD Y DEJANDO UNA AFECTACIÓN DE 70 CASAS EN  LA ZONA DE GABRIEL LÓPEZ, MALVAZA, CHUSCALES, PORTACHUELO, EL CARMEN SABALETAS Y 1 CASA EN ZONA URBANA DE TOTORÓ. LA AFECTACIÓN DE LAS VIVIENDAS SON GRIETAS EN LAS PAREDES Y PISOS. SIN REPORTE DE HERIDOS NI VÍCTIMAS FATALES. REPORTE 08-03-13, CMGRD DE TOTORO- CAUCA, ENVIA INFORMACIÓN POR CORREO ELÉCTRONICO, AFECTACIÓN POR SISMO, PRESENTADO, EL DÍA 07-03-2013, DEJANDO UNA AFECTACIÓN DE 70 CASAS EN  LA ZONA RURAL, SECTORES:  GABRIEL LÓPEZ, MALVAZA, CHUSCALES, PORTACHUELO, EL CARMEN SABALETAS Y  1  CASA EN ZONA URBANA DE TOTORÓ,  SECRETARIA DE GOBIERNO, DRA. ELSA IMELDA SANCHEZ, SE LE SOLICITO, QUE ESTÁ INFORMACIÓN DEBE SER AVALADA POR EL CDGRD.</t>
  </si>
  <si>
    <t>SE REGISTRO INCENDIO ESTRUCTURAL EN LA LOCALIDAD CIUDAD BOLIVAR BARRIO EL LUCERO, SI LESIONADOS O VICTIMAS, NO HABITADA,  AFECTACION DE LA VIVIENDA, ATENDIO BOMBEROS.</t>
  </si>
  <si>
    <t>CDGRD DEL CHOCO, INFORMA, INCENDIO ESTRUCTURAL, EN EL BARRIO. ZONA MINERA, 1 VIVIENDA DESTRUIDA, 9 PERSONAS DAMNIFICADAS, ESTE EVENTO SE PRESENTÓ A LAS 21:30 HORAS DE LA NOCHE ANTERIOR.</t>
  </si>
  <si>
    <t>CDGRD DEL TOLIMA, INFORMA, COLISIONARON DE MANERA VIOLENTA, 2 MOTOCICLETAS,  SOBRE LA VÍA NACIONAL, QUE DE EL ESPINAL CONDUCE AL CORREGIMIENTO DE: CHICORAL,  2  PERSONAS FALLECIDAS, 1 PERSONA HERIDA, EL ACCIDENTE SE DEBIO A LA ALTA VELOCIDAD DE LOS MOTOCICLISTAS.</t>
  </si>
  <si>
    <t>D.C.C,  REPORTA CARLOS DONADO DE LA SECCIONAL CESAR: INCENDIO FORESTAL A LAS 19:30  DEL 8-03-2013, EN EL MUNICIPIO CHIMICHAGUA, VEREDA LA UNIÓN - FINCA VILLAUNION, QUEMÁNDOSE APROXIMADAMENTE DOS  HECTÁREAS  (02) DE PASTOS Y ESPECIES NATIVAS. SE APOYÓ EVENTO CON 22 LÍDERES VOLUNTARIOS COMITÉ  DEFENSA CIVIL LA UNIÓN Y  TRABAJADORES DE LA FINCA, SE LOGRÓ CONTROLAR A LAS 23:40 HORAS, RESULTO UNA PERSONA HERIDA CON QUEMADURA DE PRIMER Y SEGUNDO GRADO , A LA VEZ UNA VIVIENDA AFECTADA.</t>
  </si>
  <si>
    <t>REPORTA CARLOS DONADO DE LA SECCIONAL CESAR: INCENDIO ESTRUCTURAL EN UNA VIVIENDA UBICADA EN EL BARRIO EL BOSQUE DEL MUNICIPIO DE AGUACHICA CESAR, PÉRDIDA TOTAL DE LA VIVIENDA Y  DE  2 VEHÍCULOS QUE SE ENCONTRABAN EN SU INTERIOR, ALLÍ RESULTO TAMBIÉN  UNA FAMILIA AFECTADA  Y 1  PERSONA .</t>
  </si>
  <si>
    <t>CDGRD Y LA DIRECCION NACIONAL DE BOMBEROS REPORTAN INCENDIO FORESTAL EN ESTE MUNICIPIO VEREDA HOLGUIN, INDICAN QUE ES DE GRAN MAGNITUD Y ALMENOS 30 HECTAREAS VAN CONSUMIDAS, BOMBEROS TIMANA APOYA LABORES DE SOFOCACION QUE AMENAZA ACUEDUCTO DEL MUNICIPIO DE ELIAS. REPORTE 10-03-13, CDGRD DEL HUILA,  REPORTAN INCENDIO FORESTAL, EXTINGUIDO,  VEREDA HOLGUIN, SE CONSUMIERON: 15 HECTÁREAS.</t>
  </si>
  <si>
    <t>BOMBEROS NACIONAL REPORTA SOBRE LAS 20:56  QUE SE PRESENTO ACCIDENTE DE TRANSITO EN EL SECTOR LAS CURVAS DEL DIABLO, BUS  DE LA EMPRESA RAPIDO TOLIMA CAE A UN ABISMO BOMBEROS ADELANTA LABORES EN EL SITIO, 18 PERSONAS LESIONADAS Y 2 DE ELLAS FALLECIDAS, PONAL HACE PRESENCIA, PENDIENTE TOTAL DE PACIENTES YA QUE SE ENCUENTRAN EN LABORES DE BUSQUEDA.</t>
  </si>
  <si>
    <t>SE REGISTRA INCENDIO EN LA CRA 13 CON CALLE 15 EN UN  ALMACEN DE TUBOS, 4 MAQUINAS DE BOMBEROS ATIENDE SITUACION, INCENDIO GENERADO POR CORTO CIRCUITO, NO LESIONADOS, U OTRO.</t>
  </si>
  <si>
    <t xml:space="preserve">SE REGISTRA INCENDIO ESTRUCTURAL EN VIVIENDA DE 2 NIVELES EN EL BARRIO EL DORADO DE LA LOCALIDAD DE SANTA FE, 3 MAQUINAS DE BOMBEROS ATIENDE, CONTROLANDO LA SITUACION, VALORACION DE UNA PERSONA LA CUAL NO ACCEDIO AL TRASLADO. </t>
  </si>
  <si>
    <t xml:space="preserve">INCENDIO ESTRUCTURAL, EN BOGOTÁ, LA CONFLAGRACIÓN OCURRIÓ EN EL SUPERMERCADO OLÍMPICA DEL CENTRO COMERCIAL PORTOALEGRE.
ESTE DOMINGO SE REPORTÓ UN INCENDIO EN EL SUPERMERCADO OLÍMPICA DEL CENTRO COMERCIAL PORTOALEGRE, EN EL OCCIDENTE DE BOGOTÁ, POR LO QUE FUE EVACUADO EL ESTABLECIMIENTO.
SEGÚN EL CUEPO DE BOMBEROS DE BOGOTÁ, EL INCIDENTE SE HA ATENDIDO POR SEIS MÁQUINAS Y 21 UNIDADES ENTRE OFICIALES, SUBOFICIALES Y BOMBEROS. AL PARECER, EL ORIGEN DEL INCENDIO FUE EN LAS COCINAS, SITUACIÓN  EN DESARROLLO.
REPORTE 10-03-13, EL INCENDIO REGISTRADO EN CENTRO COMERCIAL PORTOALEGRE FUE ATENDIDO POR EL CUERPO DE BOMBEROS, FUE EVACUADO A TIEMPO , NO SE PRESENTARON LESIONADOS U OTRO, FUEGO INICIADO EN UNA DE LAS COCINAS DEL CENTRO COMERCIAL, YA ATENDIDO.
</t>
  </si>
  <si>
    <t>APOYO DEL FNGRD PARA APOYAR LA ELABORACION DE CONVENIO DE COOPERACION ENTRE EL FNGRD Y LA CRUZ ROJA SECCIONAL MAGDALENA CUYO OBJETO ES EL FORTALECIMIENTO DE LA CAPACIDAD INSTITUCIONAL PARA LA RESPUESTA OPORTUNA, EFICIENTE Y EFICAZ ANTE SITUACIONES DE EMERGENCIA CALAMIDAD O DESASTRE ($166,600,000).</t>
  </si>
  <si>
    <t>13-0136</t>
  </si>
  <si>
    <t>INCENDIO FORESTAL VEREDA SAN FELIPE. NUMERO  DE CONTACTO 3183726578 GABRIEL JARAMILLO, FUNCIONARIO DE  COORTOLIMA. SE DIO AVISO DEL HECHO A BOMBEROS MARIQUITA. CASO ATENDIDO POR BOMBEROS ARMERO GUAYABAL QUIENES LO CONTROLAN Y REPORTAN CONSUMIDAS UNA HECTÁREA DE ZOCA DE MAÍZ Y 100 MTS DE LIMÓN SINGLA.</t>
  </si>
  <si>
    <t>SE PRESENTA UN INCENDIO ESTRUCTURAL EN ISMINA, EL CUAL YA FUE CONTROLADO, POR LOS ORGANISMOS DE SOCORRO CON EL APOYO DEL EJÉRCITO QUE ENVIÓ UN CARRO CISTERNA CON AGUA AL SITIO DE LA EMERGENCIA. NO SE REPORTARON HERIDOS, FALLECIDO, SOLO DAÑOS MATERIALES EN LOS LOCALES COMERCIALES. PENDIENTES DE DATOS POR EDAN.</t>
  </si>
  <si>
    <t xml:space="preserve">SE PRESENTA UN INCENDIO FORESTAL EN LAS VEREDA  DE LA PLAYA HASTA EL MOMENTO SE HA CONSIMIDO 5 HECTAREAS , EN LAS ACTIVIADES SE ENCUENTRAN DCC Y BOMBEROS VOLUTARIOS. </t>
  </si>
  <si>
    <t>UN INCENDIO FORESTAL  DE APROXIMADAMENTE 5 HECTAREAS EN SECTOR DE SABANA Y MORICHALES, INICIO EL DÍA DE AYER, BOMBEROS TRABAJA EN LA EXTINCIÓN PUERTO CARREÑO – VICHADA</t>
  </si>
  <si>
    <t xml:space="preserve">RECIBIMOS POR PARTE DEL ALCALDE MUNICIPAL DE CIÉNAGA Y EL CUERPO DE BOMBEROS DE CIÉNAGA DE LA OCURRENCIA DE INCENDIO FORESTAL EN ESTE MUNICIPIO EN EL SECTOR DE CORDOBITA, QUE YA FUE CONTROLADO POR EL ORGANISMO DE SOCORRO PENDEINTE AFECTACION.
</t>
  </si>
  <si>
    <t>RECIBIMOS POR PARTE DEL ALCALDE MUNICIPAL DE CIÉNAGA Y EL CUERPO DE BOMBEROS DE CIÉNAGA DE LA OCURRENCIA DE INCENDIO FORESTAL PARA EL CUAL SOLICITAMOS APOYO AÉREO ESTÁ LOCALIZADO EN LA VEREDA LA SECRETA, COORDENADAS 10 56' 08'' N- 74 07' 28'' W, ALTURA 792 M (SUMINISTRADAS POR EL EJÉRCITO NACIONAL); ESTE EVENTO HA CONSUMIDO MÁS DE 50 HECTÁREAS SEGÚN INFORMACIÓN DE LOS CAMPESINOS DE LA ZONA ESTA ÁREA ES INACCESIBLE POR TIERRA</t>
  </si>
  <si>
    <t>CDGRD REPORTA CARLOS GONZÁLEZ DE LA DEFENSA CIVIL, INFORMA INCENDIO FORESTAL EN LA VEREDA CERRO VERDE INICIADO A LAS 12:50 Y EXTINGUIDO A LAS 18.30 HORAS DEL 10/03/13 CON AFECTACIÓN DE 2 HECTÁREAS DE RASTROJO. ATENDIÓ BRIGADA CAR, DEFENSA CIVIL Y POLICÍA</t>
  </si>
  <si>
    <t xml:space="preserve">CDGRD REPORTA PEDRO CÁRDENAS DE BOMBEROS MANTA INFORMA INCENDIO FORESTAL EN LA VEREDA BARBOSA DEL MUNICIPIO DE TIBIRITA, INICIADO A LAS 13:00 Y EXTINGUIDO A LAS 14:30 HORAS DEL 11/03/13 CON AFECTACIÓN DE 1 HECTÁREA DE RASTROJO. ATENDIÓ BOMBEROS MANTA Y COMUNIDAD
</t>
  </si>
  <si>
    <t>CDGRD REPORTA CLARA SIERRA DE BOMBEROS PACHO INFORMA INCENDIO ESTRUCTURAL EN LA VEREDA SAN JERÓNIMO DEL MUNICIPIO DE PACHO OCURRIDO A LAS 02:00 HORAS DEL 10/03/13 EL CUAL CONSUMIÓ TOTALMENTE UNA RAMADA PANELERA CON PERDIDAS APROXIMADAS EN 20 MILLONES DE PESOS. ATENDIÓ BOMBEROS PACHO Y CMGRD.</t>
  </si>
  <si>
    <t>IBAGUÉ PRESENTA INCREMENTO DE CASOS DE DENGUE INFORMA EL SECRETARIO DE SALUD MUNICIPAL JAIME GÓMEZ, DE 714 CASOS, 22 SON CASOS GRAVES Y SE ADELANTAN LOS ESTUDIOS CORRESPONDIENTES PARA REFORZAR LAS JORNADAS DE CAPACITACIÓN CON LA COMUNIDAD Y SE AVANZA EN LA PROGRAMACIÓN DE FUMIGACIONES EN ALGUNOS SECTORES DE LA CIUDAD. LA SITUACIÓN AFECTA IGUALMENTE A LA MAYOR PARTE DE MUNICIPIOS DEL TOLIMA QUE REPORTAN MÁS DE 1600 CASOS DURANTE LAS ÚLTIMAS SEMANA.</t>
  </si>
  <si>
    <t>CDGRD REPORTA QUE SE ADELANTAN LABORES DE EDAN POR VENDAVAL EN LA VEREDA PIAMONTE, APOYA BOMBEROS, CMGRD Y COORDINA ENTREGA DE AYUDAS UDEGERD QUINDIO MONTENEGRO, PENDIENTE DATOS DE AFECTACION</t>
  </si>
  <si>
    <t>CDGRD REPORTA DESTECHAMIENTO DE UNA VIVIENDA EN EL BARRIO EL SILENCIO, NO LESIONADOS, ATENDIO BOMBEROS ARMENIA</t>
  </si>
  <si>
    <t>74 VARILLAS DE ACERO DE 3/8". 500 VARILLAS DE ACERO DE 1/2". 1200 TABLAS L=3M A=25*2,4 CM.100 BASTIDORES DE 3M, 3X3 CM</t>
  </si>
  <si>
    <t>17970 LADRILLOS. 481 VARILLAS DE ACERO DE 3/8". 469 VARILLAS DE ACERO DE 1/2". 19 KILOS DE ALAMBRE NEGRO</t>
  </si>
  <si>
    <t>2000 LADRILLOS. 900 VARILLAS DE ACERO DE 1/2". 380 TABLAS DE L=3M A=25X2,4CM</t>
  </si>
  <si>
    <t>4000 LADRILLOS. 100 VARILLAS DE ACERO DE 3/8". 100 VARILLAS DE ACERO DE 1/2".</t>
  </si>
  <si>
    <t>4000 LADRILLOS. 300 VARILLAS DE ACERO DE 1/2". 885 TABLAS DE L=3M A=25X2,4CM</t>
  </si>
  <si>
    <t xml:space="preserve">9820 LADRILLOS. 121 VARILLAS DE ACERO DE 3/8". 154 VARILLAS DE ACERO DE 1/2". </t>
  </si>
  <si>
    <t>11560 LADRILLOS. 885 VARILLAS DE ACERO DE 3/8". 293 VARILLAS DE ACERO DE 5/8". 560 VARILLAS DE ACERO DE 1/2"</t>
  </si>
  <si>
    <t>2688 LADRILLOS. 1058 VARILLAS DE ACERO DE 3/8". 904 VARILLAS DE ACERO DE 1/2"</t>
  </si>
  <si>
    <t xml:space="preserve">1000 LADRILLOS.  10 VARILLAS DE HIERRO DE 1/2". 9 VARILLAS DE HIERRO DE 3/8". 50 VIGUETAS DE MADERA DE 3"X5"X3 MTS. 100 TABLAS DE MADERA  DE 1"X4"X3 MTS. </t>
  </si>
  <si>
    <t>20100 LADRILLOS. 244 VARILLAS DE HIERRO DE 1/2". 387 VARILLAS DE HIERRO DE 3/8". 4 MALLAS SIN VENA COLD ROLLED X ROLLO 48MTS. 45 LISTONES DE MADERA PARA DIAGONALES 4"X2"X3 MTS. 11 LISTONES DE MADERA DE 1"X3"X3 MTS</t>
  </si>
  <si>
    <t>10050 LADRILLOS. 102 VARILLAS DE HIERRO DE 1/2". 78 VARILLAS DE HIERRO DE 3/8". 4 MALLAS SIN VENA COLD ROLLED X ROLLO 48MTS. 27 LISTONES DE MADERA PARA DIAGONALES 4"X2"X3 MTS. 9 LISTONES DE MADERA 1"X5"X3 MTS</t>
  </si>
  <si>
    <t>26400 LADRILLOS. 261 VARILLAS DE HIERRO DE 1/2". 200 VARILLAS DE HIERRO DE 3/8". 3 MALLAS SIN VENA COLD ROLLED X ROLLO 48MTS. 55 LISTONES DE MADERA PARA DIAGONALES 4"X2"X3 MTS. 9 LISTONES DE MADERA 1"X5"X3 MTS</t>
  </si>
  <si>
    <t>19250 LADRILLOS. 195 VARILLAS DE HIERRO DE 1/2". 149 VARILLAS DE HIERRO DE 3/8". 2 MALLAS SIN VENA COLD ROLLED X ROLLO 48MTS. 44 LISTONES DE MADERA PARA DIAGONALES 4"X2"X3 MTS. 5 LISTONES DE MADERA 1"X5"X3 MTS</t>
  </si>
  <si>
    <t>26700 LADRILLOS. 261 VARILLAS DE HIERRO DE 1/2". 200 VARILLAS DE HIERRO DE 3/8". 1 MALLAS SIN VENA COLD ROLLED X ROLLO 48MTS. 53 LISTONES DE MADERA PARA DIAGONALES 4"X2"X3 MTS. 4 LISTONES DE MADERA 1"X5"X3 MTS</t>
  </si>
  <si>
    <t xml:space="preserve">21000 LADRILLOS. 224 VARILLAS DE HIERRO DE 1/2". 339 VARILLAS DE HIERRO DE 3/8". </t>
  </si>
  <si>
    <t>4000 LADRILLOS. 150 VARILLAS DE HIERRO DE 1/2". 61 VARILLAS DE HIERRO DE 3/8".  50 KILOS DE ALAMBRE DE AMARRE.</t>
  </si>
  <si>
    <t>52600 LADRILLOS. 532 VARILLAS DE HIERRO DE 1/2". 407 VARILLAS DE HIERRO DE 3/8". 3 MALLAS SIN VENA COLD ROLLED X ROLLO 48MTS. 117 LISTONES DE MADERA PARA DIAGONALES 4"X2"X3 MTS. 17 LISTONES DE MADERA 1"X5"X3 MTS</t>
  </si>
  <si>
    <t>62 COLOMNAS DE MADERA ROLLIZA DE 20 CM DE DIAMETRO X 6MTS. 148 VIGAS DE MADERA ROLLIZADA DE 12 CM DE DIAMETRO X 6 MTS. 240 VIGAS DE MADERA ROLLIZADA DE 8 CM DE DIAMETRO X 6 MTS.</t>
  </si>
  <si>
    <t>28 VARILLAS DE HIERRO DE 5/8". 17 VARILLAS DE HIERRO DE 3/8".</t>
  </si>
  <si>
    <t>13050 LADRILLOS. 139 VARILLAS DE HIERRO DE 1/2". 106 VARILLAS DE HIERRO DE 3/8". 3 MALLAS SIN VENA COLD ROLLED X ROLLO 48MTS. 37 LISTONES DE MADERA PARA DIAGONALES 4"X2"X3 MTS. 11 LISTONES DE MADERA 1"X5"X3 MTS</t>
  </si>
  <si>
    <t>11100 LADRILLOS. 107 VARILLAS DE HIERRO DE 1/2". 82 VARILLAS DE HIERRO DE 3/8". 1 MALLAS SIN VENA COLD ROLLED X ROLLO 48MTS. 32 LISTONES DE MADERA PARA DIAGONALES 4"X2"X3 MTS. 8 LISTONES DE MADERA 1"X5"X3 MTS</t>
  </si>
  <si>
    <t>11000 LADRILLOS. 107 VARILLAS DE HIERRO DE 1/2". 82 VARILLAS DE HIERRO DE 3/8". 1 MALLAS SIN VENA COLD ROLLED X ROLLO 48MTS. 22 LISTONES DE MADERA PARA DIAGONALES 4"X2"X3 MTS. 1 LISTONES DE MADERA 1"X5"X3 MTS</t>
  </si>
  <si>
    <t>SE PRESENTA UN INCENDIO ESTRUCTURAL  EN LA CRA 24  No 29B REFUGIO , 2 PERSONAS LESIONADAS CON QUEMADURAS EN UN 60% ATIENDE BOMBEROS ARMENIA.</t>
  </si>
  <si>
    <t xml:space="preserve">CDGRD REPORTA QUE SE ADELANTAN LABORES DE EDAN POR VENDAVAL LA TEBAIDA APOYA BOMBEROS, CMGRD Y COORDINA </t>
  </si>
  <si>
    <t>CDGRD DE SANTANDER, INCENDIO FORESTAL, EXTINGUIDO,  VEREDA: OROCO, FINCA: PEÑITA, SE CONSUMIO: 1 HECTÁREA.</t>
  </si>
  <si>
    <t>CDGRD DE SANTANDER, INFORMA, LILIANA LADINO DE BOMBEROS UBATE, REPORTA INCENDIO FORESTAL EN LA VEREDA PUERTO SANTOS DEL MUNICIPIO DE CARUPA, INICIADO A LAS 14:00 Y EXTINGUIDO A LAS 18:00 HORAS CON AFECTACIÓN DE 1 HECTÁREA DE VEGETACIÓN DE PARAMO. ATENDIÓ BOMBEROS UBATE, BRIGADA CAR Y CMGRD DE CARUPA.</t>
  </si>
  <si>
    <t>LILIANA LADINO DE BOMBEROS UBATE, REPORTA INCENDIO FORESTAL OCURRIDO EL 01/03/13 EN LA VEREDA LLANO GRANDE  DEL MUNICIPIO DE SUSA, INICIADO A LAS 18:30 Y EXTINGUIDO A LAS 21:00 HORAS CON AFECTACIÓN DE 0,5  HECTÁREAS DE EUCALIPTOS. ATENDIÓ BOMBEROS UBATE, Y CMGRD DE SUSA</t>
  </si>
  <si>
    <t>CDGRD DE CUNDINAMARCA, INFORMA, LILIANA LADINO DE BOMBEROS UBATE, REPORTA INCENDIO FORESTAL OCURRIDO EL 02/03/13 EN LA VEREDA GUATANCUY,  DEL MUNICIPIO DE UBATE INICIADO A LAS 15:00 Y EXTINGUIDO A LAS 17:00 HORAS CON AFECTACIÓN DE 0,5 HECTÁREAS DE EUCALIPTO. ATENDIÓ BOMBEROS UBATE.</t>
  </si>
  <si>
    <t xml:space="preserve">CMGRD DE ARAUCA, INFORMA, INCENDIO FORESTAL, EXTINGUIDO, SECTOR DE: ALCARAVAN, SE CONSUMIO: 1 HECTÁREA. </t>
  </si>
  <si>
    <t>CDGRD DE ARAUCA, INFORMA, INCENDIO FORESTAL, CONTROLADO, EN LA VEREDA: CAMPAMENTO, PENDIENTE AFECTACIÓN.</t>
  </si>
  <si>
    <t>CDGRD DE ARAUCA, INFORMA, INCENDIO FORESTAL, ACTIVO,  EN LA VEREDA: PANAMA, SITUACIÓN EN DESARROLLO.</t>
  </si>
  <si>
    <t>CDGRD DEL CESAR, INFORMA, INCENDIO FORESTAL, ACTIVO, VEREDA: HACARITAMA, FINCA: MAOMA, SITUACIÓN EN DESARROLLO.</t>
  </si>
  <si>
    <t>EN LA LOCALIDAD SANTA FE, BARRIO LAS NIEVES, SE REGISTRA INCENDIO ESTRUCTURAL EN VIVIENDA DE 4 NIVELES, ESTE INCENDIO SE PRESENTA EN EL 4 PISO, VIVIENDA HABITADA POR 3 FAMILIAS, 11 PERSONAS LA INTEGRAN, DEJA COMO RESULTADO 1 PERSONA CON QUEMADURAS DE 1,2 Y 3 GRADO, ES TRASLADADA A HOSPITAL SIMON BOLIVAR, ATENDIO BOMBEROS Y ENTIDADES CORRESPONDIENTES.</t>
  </si>
  <si>
    <t>EN LA LOCALIDAD LOS MARTIRES SE REGISTRA INCENDIO ESTRUCTURAL EN EL SAN ANDRESITO SAN JOSE, LOCAL 215, NO LESIONADOS ATIENDE BOMBEROS</t>
  </si>
  <si>
    <t>SE PRESENTO UN INCENDIO ESTRUCTURAL EN LA CALLE 14  No 4-67  CONSUMIENDO EN SU TOTALIDAD DE LA VIVIENDA . EN LA CASA HABITAN 3 FAMILIAS Y LAS PERDIDAS SUPERAN  A 65 MILLONES</t>
  </si>
  <si>
    <t>EN EL CORREGIMIENTO DE UNION BEBEDO SE PRESENTO UN INCENDIO ESTRUCTURAL AFECTANDO UNA VIVIENDA, EL INCENDIO FUE ATENDIDO POR LA COMUNIDAD.</t>
  </si>
  <si>
    <t>19:00 HORAS, INFORMA SECRETARIO DE GOBIERNO, SE PRESENTÓ INCENDIO ESTRUCTURAL EN LA VEREDA CINCO MIL, FINCA SAN PEDRO, QUEMÁNDOSE UNA BODEGA DONDE SE DEPOSITABA ALIMENTO HENO PARA LOS GANADOS</t>
  </si>
  <si>
    <t>12:30 HORAS, INFORMA SECRETARIO DE GOBIERNO, SE PRESENTÓ INCENDIO FORESTAL EN LA VEREDA LA OROCO , FINCA LA PEÑITA, QUEMÁNDOSE 01 HECTÁREAS DE PASTOS, VEGETACIÓN Y POTREROS. BOMBEROS, CON APOYO POLICIA Y COMUNIDAD APAGARON INCENDIO. NO SE PRESENTARON AFECTACIONES DE VIVIENDAS NI DE PERSONAS.</t>
  </si>
  <si>
    <t>REPORTAN  QUE SE PRESENTO UN FUERTE VENDAVAL, AFECTANDO A VARIAS VIVIENDA EN ESTE MOMENTO SEESTA REALIZANDO EDAN</t>
  </si>
  <si>
    <t>ORLANDO CASTRO DE AGUAS DE FACATATIVA REPORTA DESLIZAMIENTO EN EL KILOMETRO 31 + 200  ALTO DEL VINO EN LA VÍA BOGOTÁ - LA VEGA OCURRIDO A LAS 14:45 HORAS DEL 13/03/13, OCASIONADO POR TRABAJOS QUE REALIZA LA CONCESIÓN, EL CUAL TAPO TOTALMENTE LA VÍA SIN QUE SE PRESENTARAN LESIONADOS O DAÑOS A LA PROPIEDAD. CONCESIÓN Y POLICÍA DE CARRETERAS ADELANTAN LA REHABILITACIÓN DEL PASO.</t>
  </si>
  <si>
    <t>INCENDIO FORESTAL FINCA LA PRADERA, DEBIDO A LAS ALTAS TEMPERATURAS SE PRENDIÓ EL RESIDUO DEL COROZO (RAQUI) SE QUEMARON 2 HECTÁREAS APROXIMADAMENTE  ATENTAMENTE </t>
  </si>
  <si>
    <t xml:space="preserve">INFORME DE INCENDIO FORESTAL FINCA LA GUAJIRITA VEREDA VUELTA DE EL TORITO MUNICIPIO DE, DONDE SE AFECTARON ARBOLES DE EMELINA, BOSQUES NATIVOS. APROXIMADAMENTE 4 HECTÁREAS </t>
  </si>
  <si>
    <t>EN HORAS DE LA TARDE SE PRESENTO UN VENDAVAL EN LA CIUDAD DE CIENAGA DE ORO AFECTANDO INICIALMENTE A 5 VIVIENDAS CON PERDIDAS DE ENSERES , EN ESTE MOMENTO SE REALIZA EDAN.</t>
  </si>
  <si>
    <t>CDGRD DE SANTANDER, INFORMA, INCENDIO FORESTAL, EXTINGUIDO, EL DÍA 07-03-2013, VEREDA: EL CARMÉN, PENDIENTE AFECTACIÓN. REPORTE 13-03-13, 21:00 INFORMA SEÑOR FABIO MEDINA CAMACHO COMANDANTE DE LA DEFENSA CIVIL QUE SE PRESENTÓ  INCENDIO FORESTAL  EN LA VEREDA DEL EL CARMEN, SIENDO APAGADO TOTALMENTE CON APOYO, DEFENSA CIVIL, POLICIA NACIONAL, PERSONAS DEL PUEBLO, QUEMÁNDOSE 200 HECTÁREAS DE VEGETACIÓN Y BOSQUE NATIVOS, POTREROS. NO SE PRESENTÓ AFECTACIÓN DE PERSONAS NI DE VIVIENDAS</t>
  </si>
  <si>
    <t>CDGRD DE CORDOBA, INFORMA, VENDAVAL, SECTOR: PERIO, 15 VIVIENDAS AFECTADAS EN TECHOS.</t>
  </si>
  <si>
    <t>CDGRD DE CORDOBA, INFORMA, VENDAVAL, VEREDA: LA COROZA, REALIZAN EDAN.</t>
  </si>
  <si>
    <t>D.C.C, INFORMA, LLUVIAS TORRENCIALES A LAS 1: 00 HORAS DEL 13-03-2013 EN LA CIUDAD DE SINCELEJO, AFECTANDO LOS BARRIOS NORMANDÍA Y CARRIZAL POR DESBORDAMIENTO DEL ARROYO EL PINTADO, CENSADAS 29 FAMILIAS AFECTADAS, 29 VIVIENDAS Y 145 PERSONAS. PARTICIPARON 10 LIDERES DCC.</t>
  </si>
  <si>
    <t>D.C.C., REPORTA DIRECTOR SECCIONAL SOBRE  UNA FUERTE LLUVIA, ACOMPAÑADA DE TORMENTA ELÉCTRICA PROVOCA UN CORTO CIRCUITO EN UN ALMACÉN, EL CUAL SE INCENDIA  AFECTANDO EL 80% DE LA ESTRUCTURA Y LA PERDIDA DE TODA LA MERCANCÍA.</t>
  </si>
  <si>
    <t>CDGRD DE SANTANDER,   INFORMA QUE A LAS 18.00 HORAS SE PRESENTO DESLIZAMIENTO EN EL MUNICIPIO DE PUENTE NACIONAL VEREDA TOPOA SUR,  COMO RESULTADO 3 FAMILIA AFECTADAS, 3 VIVIENDAS AFECTADAS.</t>
  </si>
  <si>
    <t>CDGRD DEL CHOCO, INFORMA, VENDAVAL, ACOMPAÑADO DE LLUVIAS,  AFECTANDO, CORREGIMIENTO DE: PUERTO PERVEL Y MANAGRÚ CABECERA MUNICIPAL, 74 VIVIENDAS AVERIADAS, 139 VIVIENDAS NO HABITABLES, INFORMACIÓN RECIBIDA POR CORREO ELÉCTRONICO, EL DÍA 13-03-2013 A LAS 18:12 HORAS.</t>
  </si>
  <si>
    <t xml:space="preserve">CDGRD DE SANTANDER, INFORMA ALCALDIA QUE SIENDO LAS 13:00 HORAS SE INICIO INCENDIO FORESTAL EN LAS VEREDAS:   EL HOYO  Y  SAN PEDRO. SIENDO LAS 20:00 HORAS FUE,  APAGADO TOTALMENTE CON APOYO DE BOMBEROS GALÁN, PALMAR, DEFENSA CIVIL, POLICIA Y PERSONAS DEL PUEBLO, PENDIENTE AFECTACIÓN.
</t>
  </si>
  <si>
    <t>AFECTADO CENTRO EDUCATIVO SAN JUDAS TADEO VEREDA DANUBIO. REPORTE DEL CDGRD</t>
  </si>
  <si>
    <t>DESBORDAMIENTO QUEBRADA LA CEIBA, VEREDA LAS NIEVES AFECTADO PUENTE QUE COMUNICA CINCO VEREDAS.</t>
  </si>
  <si>
    <t>AFECTADO CENTRO EDUCATIVO DE BOLIVIA Y RESTAURANTE ESCOLAR. REPROTE DEL CDGRD</t>
  </si>
  <si>
    <t>EN LA NOCHE DEL DIA 13 DE MARZO SE PRESENTO UN  VENDAVAL AFECTANDO A VARIAS VIVIENDAS , EN ESTE MOMENTO SE ESTA HACIENDO EDAN.</t>
  </si>
  <si>
    <t>EN LA NOCHE DEL DIA 13 DE MARZO SE PRESENTO EN LA VEREDA DE BOCA NUEVA BOCA VIEJA Y EL YUCAL ESTE MOMENTO SE ESTA HACIENDO EDAN.</t>
  </si>
  <si>
    <t>SE PRESENTO UN IF EN LA VEREDA  EL TUPEEN EL DIA 1 DE MARZO, SE CONSUMIO 2 HECTAREAS .</t>
  </si>
  <si>
    <t>SE PRESENTA UN FUERE VENDAVAL AFECTANDO  LAS PRINCIPALES VIAS DE LA CIUDAD, SE ESPERA  REPORTE DE VIVIENDAS AFECTADAS.</t>
  </si>
  <si>
    <t>BOMBEROS FUNDACION REPORTA INCENDIO FORESTAL SECTOR DE VILLA FANNY, DONDE SE AFECTARON BOSQUES NATIVOS, PASTIZALES, FAUNA (CONEJOS, PERROS) SE AFECTARON UNA HECTÁREA APROXIMADAMENTE ANIMALES CALCINADOS POR EL FORESTAL, EN ESTE SECTOR HAY CASAS DE PLÁSTICO Y CARTÓN YA QUE SON DE INVASIÓN</t>
  </si>
  <si>
    <t>REPORTA INCENDIO FORESTAL EN LA VEREDA EL ROSARIO, CONTROLADO Y EXTINGUIDO, AFECTANDO 15 HECTAREAS DE VEGETACION. REPORTA CMGRD.</t>
  </si>
  <si>
    <t>REPORTA INCENDIO FORESTAL EN EL BARRIO SAN CARLOS, CONTROLADO Y EXTINGUIDO, AFECTANDO 15 HECTAREAS DE VEGETACION. REPORTA CMGRD.</t>
  </si>
  <si>
    <t>REPORTA INCENDIO FORESTAL EN EL SECTOR DEL POZO DE LAS BABAS, CONTROLADO Y EXTINGUIDO, AFECTANDO 25 HECTAREAS DE VEGETACION. REPORTA CMGRD.</t>
  </si>
  <si>
    <r>
      <t xml:space="preserve">REPORTA QUE EL PASADO </t>
    </r>
    <r>
      <rPr>
        <b/>
        <sz val="9"/>
        <rFont val="Arial"/>
        <family val="2"/>
      </rPr>
      <t xml:space="preserve">MARTES 12 DE MARZO DE 2013 </t>
    </r>
    <r>
      <rPr>
        <sz val="9"/>
        <rFont val="Arial"/>
        <family val="2"/>
      </rPr>
      <t>EN LA VEREDA FRAGUAGRANDE SE PRESENTO AVALANCHA EN EL RIO DEL MISMO NOMBRE DE LA VEREDA, OCASIONANDO DESTRUCCION TOTAL DEL PUENTE VEHICULAR, LO CUAL TIENE INCOMUNICADAS 10 VEREDAS Y SIN PASO A LA CABECERA MUNICIPAL, DEBIDO A LA DISTANCIA Y LA DIFICULTAD DEL TRANSPORTE SOLO HASTA HOY SE PUDO COMUNICAR ESTE EVENTO. REPORTA CDGRD.</t>
    </r>
  </si>
  <si>
    <t>CDGRD REPORTA REPORTA COMANDANTE DE BOMBEROS MATANZA JOSÉ GREGORIO PABÓN QUE DESDE LAS 12:00 HORAS SE ESTA PRESENTANDO UN INCENDIO DE GRAN MAGNITUD EN LA VEREDA DE LA PLAYA SE DESCONOCE HASTA EL MOMENTO LAS AFECTACIONES PRODUCIDAS Y LA CANTIDAD DE HECTAREAS. REPORTE 06-03-13, 15:20 HORAS, ENVÍAN SOLICITUD, PARA APOYO AÉREO. CDGRD DE SANTANDER, INFORMA, EL INCENDIO, FORESTAL, ACTIVO,  SE DESATÓ HACE DOS DÍAS EN ZONA RURAL DEL MUNICIPIO DE MATANZA, UBICADO A 35 KILÓMETROS DE BUCARAMANGA.
EL SUBCOMANDANTE DE BOMBEROS DE MATANZA, GREGORIO PABÓN, ASEGURÓ A VANGUARDIA.COM QUE EL FUEGO CUMPLE YA DOS DÍAS SIN PODERSE CONTROLAR. LAS LLAMAS CONSUMEN ENTRE 80 Y 90 HECTÁREAS DE VEGETACIÓN, SITUACIÓN EN DESARROLLO.
REPORTE 08-03-13, CDGRD DE SANTANDER, INFORMA, CONTINUA INCENDIO FORESTAL, ACTIVO, SE HAN CONSUMIDO, APROXIMADAMENTE: ENTRE: 150 A 200 HECTÁREAS, 14: 37 HORAS ATERRIZA HELICOPTERO, PARA APOYO, SITUACIÓN EN DESARROLLO.
REPORTE 10-03-13, CDGRD REPORTA QUE SIGUE ACTIVO EL INCENDIO FORESTAL EN MATANZA, A PESAR QUE SE RECIBIO EL APOYO DEL HELICOPTERO, LAS DESCARGAS NO HAN SIDO SUFICIENNTES POR LO QUE REQUIEREN SE LESS SIGA APOYANDO CON ESTE RECURSO. REPORTE 12-03-13, CDGRD REPORTA NUEVAMENTE QUE CONTINUAN ACTIVOS 2 INCENDIOS FORESTALES, EL DE MATANZA Y ONZAGA, NO HAN SISDO EXTINGUIDOS. REPORTE 12-03-13, CDGRD DE SANTANDER Y COMANDANTE DE BOMBEROS DE MATANZA, REPORTA, ESTÁ CONTROLADO EN UN 80% , EL INCENDIO FORESTAL, SE HAN REALIZADO: 38 DESCARGAS DE AGUA POR PARTE DE LA FUERZA AÉREA COLOMBIANA,  APOYAN BOMBEROS DE: SURATA, MATANZA, FLORIDABLANCA,  CALIFORNIA, PARAMO, EJERCITO, POLICIA,  EL CARMÉN, SE HAN CONSUMIDO, APROXIMADAMENTE. 180 HECTÁREAS. REPORTE 13-03-13, INFORMA GREGORIO PABÓN COMANDANTE BOMBEROS QUE EL INCENDIO FORESTAL FUE POSIBLE APAGARLO A LAS 18:000 HORAS. LABOR QUE SE LOGRÓ CON APOYO DE BOMBEROS, MATANZA, SURATÁ, CALIFORNIA, PÁRAMO, DEFENSA CIVIL, POLICÍA, PERSONAL DEL BATALLÓN CALDAS Y COMUNIDAD DEL MUNICIPIO. LA MAGNITUD DEL INCENDIO FUE DE 190 HECTÁREAS DE VEGETACIÓN, PASTOS, BOSQUES NATIVOS Y ANIMALES DE FAUNA SILVESTRE. NO SE PRESENTÓ AFECTACIÓN DE PERSONAS NI DE VIVIENDAS.</t>
  </si>
  <si>
    <t>DE MANERA ATENTA ME DIRIJO A USTED CON EL PROPÓSITO DE INFORMAR QUE EL DÍA MIÉRCOLES 13 DE MARZO DE 2013, COMO CONSECUENCIA DE UN VENDAVAL QUE SE PRESENTÓ EN LAS VEREDAS DE SAN GABRIEL DE LOS AZULES Y SAN JOSÉ  DE LOS AZULES  SE VIERON AFECTAS  CUATRO (4) VIVIENDAS DEL SECTOR DE LAS CUALES DOS (2) NECESITAN REUBICARSE COMO CONSECUENCIA DE LOS CONTINUOS DESLIZAMIENTOS Y EL EVENTO VENDAVAL QUE AGRAVO LA SITUACIÓN PARA DOS FAMILIAS RESIDENTES  EN ESTAS VEREDAS.</t>
  </si>
  <si>
    <t xml:space="preserve">19:00 HORAS INFORMA POLICIA DE CARRETERAS DE DESAN, QUE EN EL KILÓMETRO 87 MÁS 990 METROS, DE LA VÍA PUENTE NACIONAL SAN GIL, ENTRADA MUNICIPIO DE CONFINES SE PRESENTÓ DESLIZAMIENTO DE TIERRA QUEDANDO PASO A UN CARRIL.   </t>
  </si>
  <si>
    <t>CDGRD DEL CHOCO, INFORMA, DEBIDO A LAS FUERTES LLUVIAS DE LOS ULTIMOS TRES DIAS EL RIO TAMANA Y ALGUNOS DE SUS AFLUENTES PRESENTAN DESBORDAMIENTO AFECTANDO LAS COMUNIDADES DE: COMUNIDADES, DE: SAN LOREZO, SEDE  CRISTO, LA PUENTE, QUEBRADA LARGA, EL TIGRE AGUA CLARA Y SESEGO, SANTA ROSA, EL TAMBITO, PINDAZA Y AGUA SUCIA, INFORMACIÓN RECIBIDA, POR CORREO ELÉCTRONICO, POR PARTE DEL CDGRD DEL CHOCO.</t>
  </si>
  <si>
    <t xml:space="preserve">CDGRD DEL CESAR, INFORMA, INCENDIO FORESTAL, EXTINGUIDO,  EN EL CERRO DE LA FEDERACION DE CAFETEROS, SE CONSUMIERON: 25 HECTÁREAS DE:  BOSQUE DE PINOS, CULTIVOS, APOYARON: BOMBEROS DE VALLEDUPAR Y COMUNIDAD. </t>
  </si>
  <si>
    <t>EN LAS ULTIMAS HORAS SE HA PRESENTA UN FUERTE AGUACERO LO QUE HA OCASIONADO VARIOS DESLIZAMIENTOS EN LA VIA QUE CONDUCE DE ARMERO A LIBANO Y SE TIENE REPORTE DE UNAS VEREDAS CON AFECTACION POR LAS LLUVIAS SE ESPERA EDAN.</t>
  </si>
  <si>
    <t>NCENDIO FORESTAL EN LA FINCA MIENTRAS TANTO JURIDICCIÓN DEL MUNICIPIO DE ALGARROBO MAGDALENA, DONDE SE AFECTARON CINCO HECTÁREAS DE LAS CUALES 2.4 HECTÁREAS ERAN DE PALMA AFRICANA Y EL RESTO ERA DE BOSQUES NATIVOS Y PASTIZALES. ESTE INCENDIO SE PRESENTO EL DIA 11 DE MARZO 2013</t>
  </si>
  <si>
    <t>MINA DE CARBÓN, EN BOYACÁ DEJA UNA PERSONA MUERTA, LOS HECHOS OCURRIERON EN LA VEREDA LOMA REDONDA DEL MUNICIPIO DE SAMACÁ, LA VÍCTIMA FUE IDENTIFICADA COMO IBAN EDUARDO CHIVATA DE 28 AÑOS DE EDAD.</t>
  </si>
  <si>
    <t>CDGRD DEL VALLE DEL CAUCA, INFORMA, AVALANCHA DEL RÍO GUADALAJARA, 2 VIVIENDAS COLAPSADAS, 1 PUENTE VEHICULAR, COLAPSADO, DEJANDO INCOMUNICADA, LA ZONA RURAL, 3 PUENTES PEATONALES AFECTADOS, PERDIDA DE LA BANCA, 1 ACUEDUCTO AFECTADO, DEJANDO, 3 VEREDAS, SIN SERVICIO DE AGUA, EN ESTE MOMENTO SE ENCUENTRAN REUNIDOS, EVALUANDO LA SITUACIÓN.</t>
  </si>
  <si>
    <t xml:space="preserve">CMGRD DE JAMUNDI, INFORMA, DESLIZAMIENTO EN EL CORREGIMIENTO DE SAN ANTONIO, VEREDA EL CEDRO DONDE HAY AFECTADAS DOS VIVIENDAS EN SU INFRAESTRUCTURA, SEGUN EL REPORTE INICIAL DE LA COMUNIDAD Y EL CUERPO DE BOMBEROS VOLUNTARIOS DE SAN ANTONIO. REPORTADO A LAS 7:18 AM DEL 15 DE MARZO DE 2013.
</t>
  </si>
  <si>
    <t>CDGRD DEL TOLIMA, INFORMA, INUNDACIONES POR FUERTES LLUVIAS, COLAPSAMIENTO DEL ALCANTARILLADO, EN LOS BARRIOS: VILLA EDUARDO, VERSALLES Y BALASTRERA, AFECTANDO 56 VIVIENDAS.</t>
  </si>
  <si>
    <t>CDGRD DEL TOLIMA, INFORMA, TORMENTA ELÉCTRICA, SECTOR DE LA FINCA: LA ELVIRA, ZONA RURAL, OCASIONA LA CAIDA DE UN ÁRBOL, SOBRE DOS MENORES, UNO FALLECE DE NOMBRE: JAIDER DAVID AVILE SIERRA DE 9 AÑOS DE EDAD, HERIDO:  JAVIER SANTIAGO SANCHEZ DE 10 AÑOS DE EDAD, TRASLADADO A LA CLINICA:  SALUDCOOP DE IBAGUE.</t>
  </si>
  <si>
    <t>CDGRD DEL TOLIMA, INFORMA, INCENDIO ESTRUCTURAL, 1 VIVIENDA DESTRUIDA, SIN LESIONADOS.</t>
  </si>
  <si>
    <t>CDGRD DE BOYACA, INFORMA DESLIZAMIENTO DE MATERIAL, EN LA VÍA QUE CONDUCE A PUERTO BOYACÁ, SITIO: PENJAMO,  ATRAPO UNA VOLQUETA, HAY 2 PERSONAS HERIDAS.</t>
  </si>
  <si>
    <t>FUERTES PRECIPITACIONES EN ESTA MAÑANA OCASIONARON DESBORDAMIENTO DEL ARROYO EL PINTADO. DEJANDO DAMNIFICADOS 12 BARRIOS, 370 FAMILIAS, REALIZANDO EDAN, SITUACION EN DESARROLLO.</t>
  </si>
  <si>
    <t>D.C.C, REPORTA DIRECTOR SECCIONAL CÓRDOBA: LLUVIAS CONTINÚAS EN EL NUDO DEL PARAMILLO, CORREGIMIENTO DE: JUAN JOSÉ, PROVOCAN CRECIENTE DEL RIO SAN JORGE, A L MOMENTO, AFECTADAS,  LAS VEREDAS RIVEREÑAS EN EL MUNICIPIO DE PUERTO LIBERTADOR, 50 FAMILIAS AFECTADAS,   INUNDACIÓN DE CULTIVOS Y PERDIDA DE ANIMALES DE GRANJA, SITUACIÓN EN DESARROLLO.</t>
  </si>
  <si>
    <t>D.C.C, INFORMA, DESDE LA NOCHE ANTERIOR DEL 15-03-13, HAN CAIDO FUERTES LLUVIAS EN EL MUNICIPIO DE TARAZÁ, LO QUE EN LA MAÑANA DE HOY PROVOCO LA CRECIENTE DEL RIO TARAZA AFECTANDO LOS BARRIOS; LA LUCHA, LA BALASTRERA, VALPARAISO Y PUENTEROTO, INUNDADO SUS CALLES,  DEJANDO SALDO DE 125 AFECTADOS DE 25 FAMILIAS Y 20 HECTÁREAS DE CULTIVOS VARIOS. PARTICIPARON EN CENSO Y ATENCIÓN 10 LIDERES VOLUNTARIOS DCC.</t>
  </si>
  <si>
    <t>REPORTA SECCIONAL RISARALDA, DIA 15-03-13 EN EL MUNICPIO DE MARSELLA SECTOR LA PORCELANA, SE PRESENTO DESLIZAMIENTO DE TIERRA, OBSTRUYENDO VIA PRINCIPAL, EN ESTE MOMENTO SOLO HAY HABILITADO UN CARRIL. EN EL SITIO HICIERON PRESENCIA DE APOYO 5 LIDERES VOLUNTARIOS DCC.</t>
  </si>
  <si>
    <t>D.C.C. REPORTE SOBRE INCENDIO FORESTAL, EXTINGUIDO, OCURRIDO DIA 10-03-13 EN EL MUNICIPIO DE TIPACOQUE, CORREGIMIENTO: EL PALMAR VEREDA: OVACHIA, QUE DEJA SALDO DE 15 HECTÁREAS DE BOSQUE NATIVO AFECTADO. PARTICIPARON EN LAS OPERACIONES DE CONTROL, 10 LÍDERES VOLUNTARIOS DCC.</t>
  </si>
  <si>
    <t>D.C.C., INFORMA, FUERTES LLUVIAS  Y  VIENTOS HURACANADOS,  PROVOCAN EL DESTECHAMIENTO DE VARIAS VIVIENDAS EN ZONA RURAL DEL MUNICIPIO , UN COMITÉ DE LÍDERES SE DESPLAZA HASTA EL LUGAR  Y  REALIZAN  LA EVALUACIÓN DE LOS DAÑOS Y  LLEVAR LA INFORMACIÓN A LA ALCALDÍA CON SALDO DE 75 AFECTADOS,  DE 15 FAMILIAS,  EN 15 VIVIENDAS.</t>
  </si>
  <si>
    <t>REPORTA DESLIZAMIENTO EN LA VEREDA EL CHAQUIRO, OCASIONANDO COLAPSO PARCIAL DE 1 VIVIENDA Y LESIONANDO 2 PERSONAS 1 LEVE TRATADA EN EL SITIO Y 1 CON TEC MODERADO REMITIDA AL HOSPITAL SANTA MONICA, ETIENDE COMUNIDAD Y BOMBEROS, REPORTA CRUE RISARALDA.</t>
  </si>
  <si>
    <t>REPORTA A CAUSA DE FUERTES LLUVIAS EN LA ZONA LA QUEBRADA LA SOLITA SE DESBORDO OCASIONANDO INUNDACIONES EN LAS VEREDAS LAS PALMERAS, CASTILLO, EL VENADO, CARMELO, EL RECREO Y UNION SINCELEJO EN ESTA ULTIMA VEREDA LA FUERZA DEL AGUA ARRASO EL PUENTE QUE COMUNICA A 14 VEREDAS CON LA VIA A LA CABECERA MUNICIPAL, EN ESTE MOMENTO ESTA AFECTADA LA COMERCIALIZACION AGRICOLA Y LA VIA TERRESTRE, LOS ORGANISMOS DEL SMGRD REALIZAN EDAN EN ESTE MOMENTO. SITUACION EN DESARROLLO. REPORTA CDGRD CAQUETA.</t>
  </si>
  <si>
    <t>REPORTA VENDAVAL AFECTANDO EN EL AREA RURAL SECTOR VERDE AGUJAL 1 VIVIENDA AVERIADA, 1 FAMILIA, EN EL AREA URBANA 34 VIVIENDAS AVERIADAS, 34 FAMILIAS. REPORTA CDGRD.</t>
  </si>
  <si>
    <t>REPORTA INUNDACIÓN DESDE EL SÁBADO 9 DE MARZO EN LOS BARRIOS PALO ALTO, LA PLAYITA, LA CANGREJERA, POR LA CIÉNAGA EL MAYORQUIN LA CUAL ES ALIMENTADA POR EL MAR, DEBIDO A LA MAREA ALTA Y FUERTE OLEAJE SATURO LA CIENAGA, AFECTANDO LAS VIAS (DESTAPADAS), DE LOS BARRIOS, EVENTO QUE A LA FECHA MANTIENE 600 FAMILIAS AFECTADAS, POR EL EMPOZAMIENTO DEL AGUA. ENTIDADES QUE SE ENCUENTRAN EN LA ZONA CMGRD, DEFENSA CIVIL Y SECRETARÍA DE SALUD EN ACTIVIDADES DE SALUD PROMOCION Y PREVENCION MIENTRAS SE HACE DRENADO DE LA CIENAGA POR PARTE DEL CMGRD. REPORTA ANA SALTARIN COORD CMGRD.</t>
  </si>
  <si>
    <t>EN HORAS DE LA TARDE SE PRESENTO UN VENDAVAL EN LA CIUDAD DE CERETE AFECTANDO INICIALMENTE A 10 VIVIENDAS CON PERDIDAS DE ENSERES , EN ESTE MOMENTO SE REALIZA EDAN. REPORTE 17-03-13, REPORTA QUE EL PASADO 11-03-13 EN HORAS DE LA TARDE SE PRESENTO VENDAVAL EN EL MUNICIPIO DE CERETE AFECTANDO 85 FAMILIAS, 85 VIVIENDAS AVERIADAS.REPORTA CDGRD</t>
  </si>
  <si>
    <t xml:space="preserve">CDGRD DEL CHOCO, INFORMA, DESBORDAMIENTO DEL RIO DUBAZA, SE AFECTARON VARIAS COMUNIDADES COMO SON: PUERTO ECHEVERRY, BELLAVISTA, CATRU, PUERTO ARACELIS, DOCATINA, LA LOMA, VILLA MIRIAN Y ENDEUDO, CON PÉRDIDAS DE CULTIVOS, INFORMO CDGRD DEL CHOCO, EL DÍA 17-03-2013 A LAS 09:00 HORAS. 
</t>
  </si>
  <si>
    <t>CMGRD DEL CHOCO, INFORMA, DESBORDAMIENTO DEL RÍO BAUDO Y AFLUENTES, PRESENTADAS DESDE EL DÍA 12-03-2013,  AFECTADAS LAS  COMUNIDADES DE:  PUERTO MELUK, PLATANARES, PUERTO CORDOBA, PUERTO LIBIA, BAUDOCITO, LA UNION, LA GUEVARA, ISLA DE LOS GARCIA, CHIGORODO MENBA, QUERA, MEMBA, BOCA DE PEPE, BUCHUA, PUERTO ADAN, ARENAL, CURUNDO  LA BANCA, SIVIRA, PEGADO, AURORA, AGUA NEGRA, BOCA CURUNDO, SEGOVIA, TRAPICHE, TAPARAL, PERTO LIMON, PUERTO LIBRE, ALMENDRO SANTA CECILIA IDIGENA, CALLE MANZA, OGODO, UNION MISARA, CAIMMITAL INDIGENA, DABEIBA QUERASITO, BERIGUADO, AURORA,PERADO BERRERE, GUINEO, PUERTO PALACIOS, PUERTO NUCIDO, SALADO,CURUNDO LA BANCA, CURUNDO LA LOMA, EL PASTO, PUERTO ELACIO, BELLAVISTA BERREBERRE, PABLO SEXTO, VILLA NUEVA, PIE DE PEPE, BERRECUI, JUAN DE DIOS, DOS BOCAS Y LAS PALMERAS, 2,817 FAMILIAS AFECTADAS, 14,085 PERSONAS AFECTADAS, 223 VIVIENDAS DESTRUIDAS, 259 VIVIENDAS AVERIADAS,   1,939 HECTÁREAS AFECTADAS DE CULTIVOS DE PAN COGER,   INFORMACIÓN RECIBIDA, POR CORREO ELÉCTRONICO, POR PARTE DEL CDGRD DEL CHOCO, EL DÍA 17-03-2013 A LAS 09.00 HORAS.</t>
  </si>
  <si>
    <t>CDGRD DEL CHOCO, INFORMA, DESBORDAMIENTO DE LOS RÍOS: TAMANA Y SAN JUANA, AFECTANDO LAS COMUNIDADES:  PLAYA DEL ROSARIO, PAIMADÓ, TAMANÁ, SAN GERÓNIMO, EL TIGRE, EL GUAMO,  2,500 FAMILIAS AFECTADAS, 12.325 PERSONAS AFECTADAS, 3 VIVIENDAS DESTRUIDAS, 2  VIVIENDAS AVERIADAS,  1 ESCUELA AFECTADA,  DAÑOS EN CULTIVOS, POR ESTABLECER HECTÁREAS AFECTADAS, INFORMACIÓN RECIBIDA, POR CORREO ELÉCTRONICO, POR PARTE DEL CDGRD DEL CHOCO, EL DÍA 17-03-2013 A LAS: 09:00 HORAS.</t>
  </si>
  <si>
    <t>A LAS 18:10 DE LA TARDE DEL DIA 17 DE MARZO EN  CARTAGO VALLE SE REPORTA UN FUERTE AGUACERO QUE DEMORO VARIAS HORAS, COMO RESULTADO EL SISTEMA DE ALCANTARILLADO COLAPSO Y HUBO INUNDACIÓN EN LAS VIAS PÚBLICAS DE LOS BARRIOS, COLLAREJO, SAN JOSE, EL ROSARIO, ALAMO, AVENIDA DEL RIO, ISLETA, SAN NICOLÁS, EL TRÉBOL, PARQUE BOLIVAR, BERLIN BAJO, CIPRES, SAN JERÓNIMO, CARREFOUR, SAMÁN, Y JUAN 23, NO SE REPORTARON PÉRDIDAS PUES LA INUNDACIÓN FUE SOLO EN VÍAS PÚBLICAS.</t>
  </si>
  <si>
    <t>CDGRD DEL TOLIMA Y BOMBEROS, INFORMA, DESLIZAMIENTO DE TIERRA, VEREDA: BULGARIA, PERDIDA DE CULTIVOS Y ANIMALES, SITUACIÓN EN DESARROLLO.</t>
  </si>
  <si>
    <t>CDGRD DEL TOLIMA, INFORMA, VENDAVAL, ACOMPÁÑADO DE FUERTES LLUVIAS Y GRANIZO, 4 VIVIENDAS DESENTECHADAS, 4 FAMILIAS AFECTADAS.</t>
  </si>
  <si>
    <t>CDGRD DE CUNDINAMARCA, INFORMA, GUILLERMO BAUTISTA COMANDANTE DE BOMBEROS DE MADRID, REPORTA ANEGACIÓN POR LLUVIAS ENTRE LAS 18:00 Y 20:00 HORAS DEL 17/03/13 EN LA VEREDA LA PUNTA Y LOS BARRIOS: LOS JAZMINES Y LORETO  DONDE SE AFECTARON 12 VIVIENDAS  CON 60 PERSONAS Y EL COLEGIO DEPARTAMENTAL SERREZUELA, OCASIONADA POR LLUVIAS Y REBOSAMIENTO DEL SISTEMA DE ALCANTARILLADLO . BOMBEROS Y CMGRD REALIZAN BOMBEO DE LAS AGUAS ESTANCADAS Y LABORES DE LIMPIEZA Y REHABILITACIÓN DE LAS VÍAS.</t>
  </si>
  <si>
    <t>CDGRD DE CUNDINAMARCA, INFORMA, TE RAÚL RIOBUENO DE BOMBEROS SOACHA REPORTA DESLIZAMIENTO OCASIONADO POR LLUVIAS A LAS 20.00 HORAS DEL 17/03/13 EN EL BARRIO LOS ROBLES AFECTANDO 1 VIVIENDA, CON 1 FAMILIA, 6 PERSONAS, QUE FUERON EVACUADAS A DONDE FAMILIARES. BOMBEROS. CMGRD REALIZAN EVALUACIÓN DEL TERRENO A FIN DE DETERMINAR SI SE REQUIERE EVACUAR MAS VIVIENDAS.</t>
  </si>
  <si>
    <t xml:space="preserve">CMGRD DE MORALES, INFORMA, TORMENTA ELÉCTRICA, EN LA VEREDA: EL DANUBIO, CAYO UN RAYO, DEJANDO UN SOLDADO MUERTO Y 8 HERIDOS, </t>
  </si>
  <si>
    <t>CDGRD DE ATLÁNTICO, INFORMA, VENDAVAL, ACOMPAÑADO DE FUERTES BRISAS, AFECTARON 1 CENTRO EDUCATIVO DE NOMBRE: MESOLANDIA.</t>
  </si>
  <si>
    <t>CDGRD DEL VALLE DEL CAUCA Y MINISTERIO DE SALUD Y PROTECCIÓN SOCIAL, INFORMA , ESCAPE DE GAS CLORO, AFECTANDO 50 PERSONAS, POR INHALACIÓN DEL GAS, REMITIDAS AL HOSPITAL DE CALIMA DARIEN.</t>
  </si>
  <si>
    <t xml:space="preserve">CDGRD DE SANTANDER, INFORMA A LA HORA, INCENDIO FORESTAL, ACTIVO, ENTRE LOS MPIOS DE:  MACARAVITA Y CAPITANEJO, LLOVIO POR VARIOS SECTORES DEL DPTO, SITUACIÓN EN DESARROLLO. </t>
  </si>
  <si>
    <t>CDGRD DEL CESAR, INFORMA VENDAVAL, ACOMPAÑADO DE LLUVIAS, AFECTANDO: 1 VIVIENDA, 1 FAMILIA.</t>
  </si>
  <si>
    <t>CDGRD DEL CESAR, INFORMA, INCENDIO FORESTAL, ACTIVO, SITUACIÓN EN DESARROLLO.</t>
  </si>
  <si>
    <t>CDGRD DE BOYACA, INFORMA, VENDAVAL, VEREDA: TUR TUR, SECTOR: SAMAL, CAFETAL, SAN IGNACIO, 2  NIÑOS HERIDOS,  VIVIENDAS DESENTECHADAS, AFECTADAS LINEAS ELÉCTRICAS DE MEDIA Y BAJA TENCIÓN, VÍAS TAPONADS, SITUACIÓN EN DESARROLLO. REPORTE 18-03-13, VENDAVAL, ACOMPAÑADO DE FUERTES LLUVIAS, REPORTA EL COORD ING ALIRIO ROZO, EL PUENTE DE LA VIA DE COPER HACIA CARMEN DE CARUPA PRESENTA FALLAS EN SU ESTRUCTURA, EL DÍA DE MAÑANA, VIAJAN CON INGENIEROS PARA LEVANTAR EDAN.</t>
  </si>
  <si>
    <t>CDGRD DE CORDOBA, INFORMA, AVALANCHA, AFECTANDO LAS VEREDAS DE: PUERTO ANCHICA, PUERTO NUEVO, EL PAMAR, SITUACIÓN EN DESARROLLO. REPORTE 18-03-13, SECRETARIA DEL INTERIOR DE MONTELIBANO, ENVÍA  INFORMACIÓN VÍA CORREO ELÉCTRONICO, EL DÍA 18-03-2013 A LAS: 11:10 AM, AVALANCHA, AFECTANDO LAS VEREDAS DE: PUERTO ANCHICA, PUERTO NUEVO, EL PAMAR,  PICA PICA NUEVO, AFECTADAS 205 FAMILIAS.</t>
  </si>
  <si>
    <t>INUNDACION POR RUPTURA DE TUBO MADRE EN OBRAS QUE REALIZA EMPRESA DE SERVICIOS PUBLICOS EN EL BARRIO CIUDAD JARDIN NORTE EN LA CALLE 130 58C, AFECTANDO 10 VIVIENDAS, SITUACION EN DESARROLLO.</t>
  </si>
  <si>
    <r>
      <t xml:space="preserve"> HORAS REPORTAN BOMBEROS DE LA LOCALIDAD QUE SE PRESENTÓ 1 INCENDIO FORESTAL DE MENOR MAGNITUD </t>
    </r>
    <r>
      <rPr>
        <sz val="9"/>
        <color indexed="8"/>
        <rFont val="Arial"/>
        <family val="2"/>
      </rPr>
      <t>EN EL BARRIO DE VILLA NAVARRA AL LADO DE LA CANCHA MUNICIPAL SIN AFECTACIÓN DE PERSONAS O VIVIENDAS.</t>
    </r>
  </si>
  <si>
    <t>REPORTE DEL CONSEJO DEPARTAMENTAL</t>
  </si>
  <si>
    <t>EN EL MUNCIPIO DECOCORNA SE PRESENTO UNA INUNDACION POR LA QUEBRADA  LA GUAYABAL  AFECTANDO A 6 FAMILIAS, DE IGUAL FORMA SE AFECTARON VARIOS  PUENTES PEATONALES Y LA BOCATOMA DEL ACUEDUCTO MUNICIPAL, SE ESPERA EDAN.</t>
  </si>
  <si>
    <t>REPORTA INUNDACIÓN POR LLUVIAS OCURRIDAS EL 17/03/13 A LAS 18:00 HORAS EN EL BARRIO KENNEDY QUE AFECTO 3 VIVIENDAS CON 3 FAMILIAS 15 PERSONAS, DONDE HUBO PERDIDAS DE ALGUNOS ELECTRODOMÉSTICOS. ATENDIÓ BOMBEROS PACHO Y COMUNIDAD.</t>
  </si>
  <si>
    <t>CDGRD DE CUNDINAMARCA, INFORMA, TE. ÁNGEL ARTURO HERNÁNDEZ DE BOMBEROS TENJO, REPORTA LLUVIAS ENTRE LAS 18:00 Y 20:00 HORAS DEL 17/03/13 CON  CAÍDA DE ARBOLES EN LAS VÍAS DE LA  VEREDA LA PUNTA. INUNDACION POR COLAPSO DEL ALCANTARILLADO EN LOS  BARRIOS CENTRO Y CHURUGUACO ALTO, CON AFECTACION DE 20 VIVIENDAS DE LAS CUALES 2 TUBIERON COLAPSO DE TEJADOS CON 2 FAMILIAS 10 PERSONAS CON PERDIDA DE ALGUNOS MUEBLES Y ENSERES, TAMBIEN SE AFECTARON UN JARDIN INFANTIL Y EL COLEGIO FREDERIC FRUUEL. BOMBEROS Y CMGRD ADELANTAN LABOR DE BOMBEO DE AGUAS, LIMPIEZA Y REHABILITACIÓN DE LAS VÍAS.</t>
  </si>
  <si>
    <t>CMGRD DE ARAUCA, REPORTA INCENDIO FORESTAL EN LA VEREDA MATA GALLINA, AFECTANDO 30 HECTAREAS DE VEGETACION NATIVA. CONTROLADO Y EXTINGUIDO, ATENDIO BOMBEROS.</t>
  </si>
  <si>
    <t>CDGRD DE BOYACA, REPORTA INUNDACION EN SECTOR VENECIA ESPINO, DEJANDO 10 VIVIENDAS AFECTADAS, 1O FAMILIAS , 50 PERSONAS, Y EN EL SECTOR MONQUIRA 12 VIVIENDAS AFECTADAS, 12 FAMILIAS, 60 PERSONAS.</t>
  </si>
  <si>
    <t>CDGRD DE NARIÑO, INFORMA DESLIZAMIENTO EN LA VÍA SAN LORENZO- SANTA MARIA, EN LA VEREDA: ARMENIA, HAY PASO RESTRINGIDO.</t>
  </si>
  <si>
    <t>SE PRESENTA UN IF EN ZONA RURAL DEL MUNICIPIO DE  VALLEDUPAR HACIA LA SIERRA NEVADA, RESGUARDO INDIGENA LOS BEZOTES, SE ESPERAN MAS DATOS POR PARTE DEL CMGRD. REPORTE 19-03-13, CMGRD DE VALLEDUPAR, REPORTA INCENDIO FORESTAL EN EL CERRO LA CACHUCHA, AFECTANDO 110 HECTAREAS DE VEGETACION NATIVA, CONTROLADO Y EXTINGUIDO, ATENDIO BOMBEROS.</t>
  </si>
  <si>
    <t>REPORTA EL ING LALO GIOVANNY , EN LA MADRUGADA DE HOY  SE PRESENTO UNA INUNDACION EN EL MUNICIPIO DE ORITO  AFECTANDO 3 BARRIOS  EN ESTE MOMENTO SE ENCUENTRA REALIZANDO EDAN. REPORTE 19-03-13, REPORTA INUNDACION EN LA CABECERA MUNICIPAL HASTA AHORA SE TIENE EL REPORTE DE 31 VIVIENDAS AFECTADAS, 31 FAMILIAS, 155 PERSONAS, ENTIDADES OPERATIVAS Y CMGRD EN EDAN, SITUACION EN DESARROLLO</t>
  </si>
  <si>
    <t>13-0268
13-0267</t>
  </si>
  <si>
    <t>30 BATEFUEGOS, 10 BOMBAS DE ESPALDA, 30 AZADONES, 30 MACHETES, 30 RASTRILLO 1 BOMBA MACK 3.</t>
  </si>
  <si>
    <t>EN VALOR DE OTROS CORRESPONDE A 150 PALAS. 150 MACHETES CON FUNDA. 150 BATEFUEGOS. 150 AZADONES. 150 RASTRILLOS. 20 BOMBAS FLEXIBLES DE ESPALDA. 3 MOTOBOMBAS MAC3, 390 METROS DE MANGUERA DE DESCARGA DE 1,5"</t>
  </si>
  <si>
    <t>APOYO MEDIANTE SUBSIDIO DE ARRIENDO TEMPORAL PARA 6 FAMILIAS AFECTADAS POR INCENDIO ESTRUCTURAL OCURRIDO EL 2 DE DICIEMBRE DE 2012 POR UN PERIODO DE TRES MESES A RAZON DE $250.000 MENSUAL</t>
  </si>
  <si>
    <t>REPORTAN DE BOMBEROS DE YOPAL, QUE ELE DIA 19 DE MARZO EN HORAS DE LA TARDE SE PRESENTO UN IF EN LA VEREDA ELTEL EN LA FINCA ANACONDA , CONSUMIENDOSE 40 HECTAREAS DE PASTO Y ARBOLES , EL CUAL YA FUE EXTINGUIDO.</t>
  </si>
  <si>
    <t>D.C.C, OFICINA OPERATIVA ARAUCA INFORMA QUE:EL DÍA DE HOY FUE INFORMADO POR PARTE DE LA COMUNIDAD DE LAS VEREDAS NUEVO CARANAL-ISLAS DEL CUSAI-ALTO BELLO Y BRÚCELAS EL DESBORDAMIENTO DE LOS RÍOS CUSAI AFECTO LA VEREDA ISLAS DEL CUSAI, EL RIO CARANAL AFECTO LAS VEREDAS ALTO BELLO Y BRUSELAS Y EL RIO EL TIGRE INUNDO LA PARTE DEL CARANAL Y BRUSELAS, OCASIONANDO LA AFECTACIÓN DE SUS VIVIENDAS Y PREDIOS. REPORTE INICIAL; PENDIENTE AMPLIACION DE INFORMACION, SE VERIFICO, INFORMACIÓN CON EL CDGRD DE ARAUCA. REPORTE 20-03-13, EN EL MUNICIPIO DE FORTUL Y POR OCASIÓN DEL DESBORDAMIENTO DE ESTE MISMO RIO SE PRESENTA AFECTACIÓN EN 12 FAMILIAS EN LA PARTE ALTA DEL RÍO, CUYO CAUDAL DESBORDÓ E INUNDO CULTIVOS EN LAS VEREDAS LOS ANDES Y PALMARITO, SITUACION EN DESARROLLO.</t>
  </si>
  <si>
    <t>CDGRD DE BOYACA, INFORMA, INCENDIO FORESTAL, ACTIVO, EN LA VEREDA: NAZARET, APOYAN BOMBEROS:NOBSA Y PAZ DEL RIO, SITUACIÓN  EN DESARROLLO. REPORTE 14-03-13, CDGRD DE BOYACA, D.C.C.,  INFORMA, INCENDIO FORESTAL, EXTINGUIDO,  EN LA VEREDA: NAZARET, CERRO: CUISTA, SE CONSUMIERON: 8 HECTÁREAS. APOYARON, BOMBEROS: NOBSA Y PAZ DEL RIO. REPORTE 20-03-13,  SE CONSUMIERON 12 HECTÁREAS, DE BOSQUES Y VEGETACION NATIVA, APOYARON, BOMBEROS: NOBSA Y PAZ DEL RIO, CONTROLADO Y EXTINGUIDO EN SU TOTALIDAD</t>
  </si>
  <si>
    <t>CDGRD REPORTA INCENDIO FORESTAL EN LA VEREDA EL TABLON A 4 KM DEL CASCO URBANO CON AFECTACION EN 30 HECTAREAS DE VEGETACION NATIVA YA CONTROLADO, APOYARON LABORES PONAL Y EJERCOL. REPORTE 20-03-13, CDGRD REPORTA EN BASE DE DATOS QUE  INCENDIO FORESTAL EN LA VEREDA EL TABLON A 4 KM DEL CASCO URBANO DE ESTE MUNICIPIO SE REGISTRO EL DIA 08-03-2013  CON AFECTACION EN 20 HECTAREAS DE VEGETACION NATIVA YA CONTROLADO Y EXTINGUIDO, APOYARON LABORES PONAL Y EJERCOL</t>
  </si>
  <si>
    <t>CDGRD DE PUTUMAYO, INFORMA, VENDAVAL, SE HAN AFECTADO, 40 VIVIENDAS, CONTINUAN CON EDAN.</t>
  </si>
  <si>
    <t>CDGRD DE PUTUMAYO, INFORMA, INUNDACIONES EN LA ZONA RURAL, REALIZAN EDAN.</t>
  </si>
  <si>
    <t xml:space="preserve">CDGRD DEL CAUCA, INFORMA, TORMENTA ELÉCTRICA, HOY A LAS 03:30 AM, DEJANDO 3 MILITARES FALLECIDOS, UN OFICIAL Y DOS SOLDADOS, 6 MILITARES HERIDOS. </t>
  </si>
  <si>
    <t>CMGRD DE ARMENIA, INFORMA, INUNDACIONES, 2 VIVIENDAS AFECTADAS, EN LOS BARRIOS PINARES Y ARCO IRIS.</t>
  </si>
  <si>
    <t>CDGRD DE CUNDINAMARCA, INFORMA, TE. EDUARDO JIMÉNEZ DE BOMBEROS SAN JUAN DE RIO SECO, REPORTA QUE POR LLUVIAS PRESENTADAS EN LOS ÚLTIMOS DÍAS SE VIENE PRESENTANDO UN DESLIZAMIENTO EN EL BARRIO EL PROGRESO DE ESTE MUNICIPIO EL CUAL A DESTRUIDO 6 VIVIENDAS Y AVERIADO 11 MAS, AFECTANDO 17 FAMILIAS CON 70 PERSONAS. ATIENDE CMGRD Y GESTIONA SUBSIDIOS DE ARRENDAMIENTO PARA LAS FAMILIAS DAMNIFICADAS.</t>
  </si>
  <si>
    <t>CDGRD DE GUAINIA, INFORMA, SE PRESENTA VENDAVAL, AFECTANDO: 9 VIVIENDAS, 9 FAMILIAS, 2 BALSAS FLUVIALES, AFECTADAS, SE COORDINA EL APOYO A ESTÁS FAMILIAS.</t>
  </si>
  <si>
    <t>CDGRD DE GUAINIA, BARRIO: CIMARRÓN, INFORMA, SE PRESENTÓ CAIDA DE RAYO, FALLECIENDO, UN JOVEN INDIGENA, DE NOMBRE: MISAEL GAITÁN HERNANDEZ, DE 23 AÑOS DE EDAD, SE APOYA A LA FAMILIA EN EL TRASLADO DEL SECTOR DE PUERTO ESPERANZA A LA ZONA URBANA.</t>
  </si>
  <si>
    <t>CDGRD DE CUNDINAMARCA. INFORMA, DURLEY REAL DEL CMGRD DE YACOPI, REPORTA DESLIZAMIENTO EN LA INSPECCIÓN GUASDUALITO VEREDA CABO VERDE, OCURRIDO A LAS 06:00 HORAS DEL 18/03/13 CON AFECTACIÓN DE CULTIVOS DE CAÑA, CACAO, PLÁTANO Y CAFÉ,  UNAS 8 HECTÁREAS EN TRES FINCAS. TAMBIÉN QUEDO TAPONADA LA VÍA VEREDAL INSPECCIÓN APOSENTOS A LA INSPECCIÓN GUASDUALITO. ATIENDE CMGRD CON UN BULDÓCER Y VOLQUETA.</t>
  </si>
  <si>
    <t>CDGRD DE CUNDINAMARCA, INFORMA, ALEJANDRO LINARES ALCALDE DE TOPAIPI REPORTA DESLIZAMIENTO OCURRIDO EN LA NOCHE ANTERIOR OCASIONADO POR LLUVIAS EN LA VÍA ENTRE TOPAIPI Y LA PALMA, FUNCIONARIOS DE LA ALCALDÍA REALIZAN INSPECCIÓN DEL LUGAR PARA ESTABLECER LA MAGNITUD DEL EVENTO.</t>
  </si>
  <si>
    <t>CMGRD DE ARAUCA, REPORTA INCENDIO FORESTAL, EXTINGUIDO,   EN  LAS VEREDAS:  LA PAYARA, LOS CABALLOS,  SE CONSUMIERON: 120 HECTÁREAS, APOYARON BOMBEROS.</t>
  </si>
  <si>
    <t>CDGRD DEL CHOCO, INFORMA, INCENDIO ESTRUCTURAL, EN EL BARRIO: LAS AMÉRICAS, DEJANDO 1 VIVIENDA DESTRUIDA, 1 FAMILIA AFECTADA.</t>
  </si>
  <si>
    <t>D.C.C., ATENDIDO INCENDIO ESTRUCTURAL A LAS 08:24 HORAS DEL DIA 20-03-13 EN ZONA URBANA DEL MUNICIPIO DE MANIZALES CON SALDO DE 3 AFECTADOS ILESOS DE 1 FAMILIA Y 1 VIVIENDA AFECTADA. PARTICIPARON EN LA ATENCIÓN DEL CASO 5 LIDERES VOLUNTARIOS DCC.</t>
  </si>
  <si>
    <t>D.C.C., REPORTA OFICINA OPERATIVA SOBRE:  INCENDIO EN LA PLANTA BAJA SECTOR DE MÁQUINAS DEL HOTEL SEA FLOWER SIN AFECTACIÓN DE VICTIMAS DAÑOS MENORES A LA ESTRUCTURA.</t>
  </si>
  <si>
    <t>CMGRD DE MEDELLIN, INFORMA SE PRESENTÓ DESLIZAMIENTO , EN EL BARRIO, LA CRUZ, DEJANDO 3 VIVIENDAS INHABITABLES, DE ACUERDO AL CONSEPTO TÉCNICO, SE EVACUARON, LAS FAMILIAS, SE COORDINA PLAN DE  REUBICACIÓN  A ESTÁS FAMILIAS.</t>
  </si>
  <si>
    <t>CMGRD DE ARAUCA, REPORTA INCENDIO FORESTAL ACTIVO,  EN LA VEREDA EL SOCORRO, ATIENDE BOMBEROS EN ESTE MOMENTO, SITUACIÓN EN DESARROLLO. REPORTE 21-03-13, CMGRD DE ARAUCA, REPORTA INCENDIO FORESTAL, EXTINGUIDO,   EN  LAS VEREDAS: EL SOCORRO, LAS MONAS, SE CONSUMIERON: 150 HECTÁREAS, APOYARON BOMBEROS.</t>
  </si>
  <si>
    <t>CDGRD REPORTA INUNDACIONES EN LAS VEREDAS LA VEGA Y LA CAÑADA; BARRIO LOS ÁNGELES, AVENIDA LA PLAYA, 2 VIVIENDAS DESTRUIDAS EN LA VEREDAS LAS JUNTAS, Y LA CAÑADA, AFECTADA SOLO 1 FAMILIA, 1 CENTRO EDUCATIVO</t>
  </si>
  <si>
    <t xml:space="preserve">CDGRD REPORTA AFECTACION POR LLUVIAS EN ESTE MUNICIPIO EN 7 VIVIENDAS Y 10 VIAS ASI: FUNES - CHITARRAN; GUAPUSCAL (POSIBLE TAPONAMIENTO); PILCUAN - FUNES(CAIDA DE ROCAS DPTAL); CHAPAL - CHUTARRAN (DESLIZAMIENTO Y TAPONAMIENTO DE ALCANTARILLAS DPTAL); GUAPUSCAL(SECTOR EL TOTORAL); - GUAPUSCAL - PEÑAS BLANCAS; LA VEGA - TELLEZ BAJO; PRADERA -TELLEZ ALTO; FUNES - SUCUMBIOS, SAN RAFAEL - LA SOLEDAD; Y VIAS DE LOS BARRIOS EL ESTADIO Y SANTAFE.    </t>
  </si>
  <si>
    <t>CDGRD REPORTA INUNDACION EN ESTE MUNICIPIO BARRIÓ LOS SAUCES, COLAPSO DE ALCANTARILLADO; INUNDACIÓN Y DESLIZAMIENTO EN LA VEREDA LA ESTANCIA CON AFECTACION EN 13 VIVIENDAS, SITUACION EN DESARROLLO</t>
  </si>
  <si>
    <t>CDGRD REPORTA DESLIZAMIENTO EN SECTOR EL BOROJO KILÓMETRO 33+600 Y CAÍDA DE PIEDRA ENTRE LOS SECTORES LA  JOSEFINA KM 27 HASTA EL KM 50 DEL SECTOR EL PLACER DE LA VÍA PASTO – IPIALES</t>
  </si>
  <si>
    <t xml:space="preserve">CDGRD REPORTA AFECTACION POR LLUVIAS ASI: 1 VIVIENDA PARTE EXTERNA DESTRUIDA Y PARTE INTERNA HABITABLE EN LA CARRERA 22F Nº 11 - 12 SANTIAGO, EVACUACIÓN DE 5 FAMILIAS SE ENTREGA AYUDA HUMANITARIA. </t>
  </si>
  <si>
    <t>CDGRD REPORTA INUNDACION EN BARRIO COLON DEL CASCO URBANO POR COLAPSO DE ALCANTARILLADO , AFECTANDO 2 VIVIENDAS.</t>
  </si>
  <si>
    <t>CDGRD REPORTA DESLIZAMIENTO EN LA VEREDA CHUZA -  AFECTANDO 3 VIVIENDA, SE EVACUARON 2 FAMILIAS, EN SEGUIMIENTO.</t>
  </si>
  <si>
    <t>300 MANGUERAS DE 1/2". 900 MANGUERAS DE 1". 300 MANGUERAS DE 1 1/2". 200 MANGUERAS DE 2". 300 MANGUERAS DE 3". 5 TANQUES DE 1000 LTS.</t>
  </si>
  <si>
    <t>REPORTA INCENDIO FORESTAL ZONA URBANA  MUNICIPAL EN JARILLON DE PROTECCION, CARRERA PRIMERA ENTRE CALLE 13 Y 14, AFECTANDO 1 HECTAREA, CONTROLADO Y EXTINGUIDO EL DIA 20 DE MARZO, REPORTA BOMBEROS SALAMINA.</t>
  </si>
  <si>
    <t>REPORTA DESLIZAMIENTOS EN AREA RURAL VEREDAS GUAYAQUIL BAJO AFECTANDO 2 FINCAS, 2 VIVIENDAS, 2 FAMILIAS, 10 PERSONAS Y VEREDA LA SOLEDAD AFECTANDO 2 FINCAS, 2 VIVIENDAS, 2 FAMILIAS, 10 PERSONAS, REPORTA DIANA GIRALDO CDGRD.</t>
  </si>
  <si>
    <t>REPORTA INUNDACIÓN EN 14 VIVIENDAS DEL BARRIO PEKÍN Y EN EL ESTABLECIMIENTO COMERCIAL CENTRAL DE DULCES DE LA CARRERA 9 CALLE 8 POR LLUVIAS OCURRIDAS ENTRE LAS 15:00 Y LAS 18:00 HORAS DEL DÍA 21/03/13. CMGRD ATIENDE Y ADELANTA CENSO  DE AFECTACIONES Y NECESIDADES.</t>
  </si>
  <si>
    <t xml:space="preserve">REPORTA QUE EL DIA DE AYER COMO CONSECUENCIA DE LAS FUERTES LLUVIAS EN LA PARTE ALTA DEL RIO LEBRIJA, SE PRESENTO DESBORDAMIENTO POR EL ROMPIMIENTO DE UN JARILLÓN EN EL SITIO DE BARRANCO COLORADA, INUNDANDO 17 VIVIENDAS, AFECTANDO 17 FAMILIAS, 68 PERSONAS. ADEMAS INUNDO 40 HECTÁREAS DE ARROZ POR VALOR DE 90 MILLONES DE PESOS, LO MISMO QUE POTREROS CON PASTOS Y VARIOS CULTIVOS, NO SE PRESENTO AFECTACIÓN DE PERSONAS. </t>
  </si>
  <si>
    <t>REPORTA ACCIDENTE DE TRANSITO EN LA VIA CASTILLA - NATAGAIMA, SECTOR GUAYAQUIL KM 95 OCASIONANDO 17 LESIONADOS, 2 FALLECIDOS, CAUSADO POR COLISION ENTRE CAMION PLACAS TGK-939 Y AUTOBUS PLACAS WHN-154 ESTE CUBRIA LA RUTA BOGOTA-NEIVA, REPORTA CDGRD</t>
  </si>
  <si>
    <t>REPORTA DESLIZAMIENTOS CAUSADOS POR FUERTE LLUVIA EN LA NOCHE ANTERIOR EN LAS VEREDAS CANDELARIA, COROZO, SAN ISIDRO, SANTA LUCIA, LO QUE HA OCASIONADO TAPONAMIENTO EN SUS VIAS DEJANDOLAS INCOMUNICADAS Y SIN FLUIDO ELECTRICO, REPORTA CDGRD</t>
  </si>
  <si>
    <t>CDGRD REPORTA SE REALIZO EVACUACION POR DESLIZAMIENTOEN LA VEREDA LA GRANJA, 1 FAMILIA INTEGRADA POR 4 PERSONAS, DIRIGIDA HACIA EL CASCO URBANO, EN PROCESO DE REUBICACION ATIENDE CMGRD.</t>
  </si>
  <si>
    <t>CDGRD INFORMA REPORTE  INICIAL DE CMGRD DE BOLIVAR,  POR FUERTE LLUVIA EN LA TARDE DE AYER SE PRESENTO DESLIZAMIENTO EN LA CABECERA MUNICIPAL AFECTANDO 21 CASAS CON DAÑOS PARCIALES EN TECHOS Y ESTRUCTURAS,  2 INSTITUCIONES EDUCATIVAS, 75 PERSONAS, CMGRD Y ORGANISMOS DE SOCORRO COMO BOMBEROS , DEFENSA CIVIL, ADELANTAN RESPECTIVO CENSO DE AFECTACION</t>
  </si>
  <si>
    <t>DEBIDO A LAS FUERTES LLUVIAS DEL SÁBADO 23 DE MARZO EN LA TARDE HUBO INUNDACIONES EN LOS BARRIOS: SANTA ANA, LEÓN XIII y QUINTANARES POR LA DEFICIENCIA DE LA RED DE ALCANTARILLADO, EL ACUEDUCTO YA FUE A REALIZAR LAS LABORES DE LIMPIEZA DE LAS ALCANTARILLAS CON VACTORS, HAY 13 FAMILIAS AFECTADAS.</t>
  </si>
  <si>
    <t>CDGRD REPORTA EN EL MUNICIPIO DE AQUITANIA VEREDA EL CAJÓN SE PRESENTO UN INCENDIO FORESTAL AFECTANDO 1 HECTAREA DE BOSQUE NATIVO Y FUE  CONTROLADO POR BOMBEROS AQUITANIA</t>
  </si>
  <si>
    <t>CDGRD REPORTA EN ESTE MUNICIPIO EN EL SECTOR DE TINAJAS SE CAYO LA VIA , ALLI SE VIERON AFECTADAS 2 VIVIENDAS, NO LESIONADOS,APOYAN BOMBEROS SITUACION EN DESARROLLO PENDIENTE EDAN, AL MOMENTO FUERTES LLUVIAS EN LA ZONA.</t>
  </si>
  <si>
    <t xml:space="preserve">CDGRD REPORTA SEGÚN LA INFORMACIÓN ALLEGADA A ESTA OFICINA, HACIA LAS 09:20 DEL CORRIENTE, POR EL SEÑOR JOSÉ IVÁN RUEDA PÉREZ COMANDANTE DE BOMBEROS DEL MUNICIPIO DE GALÁN-SANTANDER, EL DÍA DE AYER EN LA VEREDA EL ALTO SE PRESENTO UN INCENDIO FORESTAL QUE CONSUMIÓ APROXIMADAMENTE 5 HECTAREAS DE POTREROS Y BOSQUE NATIVO,  EL  INCENDIO FUE CONTROLADO POR PERSONAL DE BOMBEROS EN EL DÍA DE AYER Y SE ENCUENTRA EXTINGUIDO EN EL MOMENTO.
</t>
  </si>
  <si>
    <t xml:space="preserve">CDGRD REPORTA INCENDIO PROVOCADO EN BOTADERO DE BASURAS DE GRAN MAGNITUD, 
DESDE LA SALA DE CRISIS NACIONAL SE VIENE COORDINANDO CON EL SISTEMA TODA LA RESPUESTA PARA CONTROLAR ESTE INCENDIO. REPORTE 25-03-13, CDGRD REPORTA INCENDIO INICIADO AL MEDIO DIA, EN RELLENO SANITARIO MAGIC GARDEN DE GRAN MAGNITUD, EN HORAS DE LA NOCHE SE HACE SOLICITUD DE APOYO, PARA LO CUAL LA DIRECCION NACIONAL DE BOMBEROS DISPONE DE 8 ESPECIALISTAS Y EQUIPO DEL CUERPO OFICIAL DE BOMBEROS BOGOTA, LOS CUALES SON TRANSPORTADOS EN AVION DE LA FUERZA AEREA DESDE CATAM A LA ISLA ,PARA APOYAR LAS LABORES, SE ESPERA EVALUACION DE LOS ESPECIALISTAS Y LOS REQUERIMIENTOS ADICIONALES QUE SE PUEDAN PRESENTAR, SITUACION EN DESARROLLO.
</t>
  </si>
  <si>
    <t>CMGRD DE SUCRE, INFORMA, A RAIZ DE FUERTES LLUVIAS. SE PRESENTÓ, DESLIZAMIENTO, DEJANDO: 3 VIVIENDAS DESTRUIDAS, ESTÁS FAMILIAS FUERON TRASLADADAS A UN HOGAR DE PASO, 57 VIVIENDAS AVERIADAS, SITUACIÓN EN DESARROLLO.</t>
  </si>
  <si>
    <t>CDGRD DE NARIÑO, INFORMA, DESLIZAMIENTO, PASO RESTRINGIDO VIA PASTO - LA FLORIDA A LA ALTURA DE LA VEREDA LA VICTORIA KM 21.</t>
  </si>
  <si>
    <t>CDGRD DE NARIÑO, INFORMA, DESLIZAMIENTO, VIA PISANDA - SOTOMAYOR PASO RESTRINGIDO.                        VIA LA INMACULADA - SOTOMAYOR. VIA CERRADA POR DESLIZAMIENTO.</t>
  </si>
  <si>
    <t>CDGRD DE NARIÑO, INFORMA, VIA CERRADA POR DESLIZAMIENTO VIA ALBAN -SAN BERNARDO SECTOR  VEREDA CAMPO BELLO INFORMA ANGEL NUPAN  HORA: 7 AM.  SE HABILITO EL PASO A LAS 12:50 M.</t>
  </si>
  <si>
    <t>CDGRD DE NARIÑO, INFORMA,  PASTO REPORTA DESBORDAMIENTO DE LA QUEBRADA LA PILA Y DUARTE, EN EL CORREGIMIENTO DE CABRERA 4 VIVIENDAS, 5 FAMILIAS, 18 PERSONAS AFECTADAS, AL IGUAL QUE AFECTACION DE CULTIVOS Y ANIMALES, CORREGIMENTO DE MOCONDINO 1 VIVIENDA, 3 FAMILAS 11 PERSONAS AFECTADAS</t>
  </si>
  <si>
    <t>CDGRD DE NARIÑO, INFORMA, DESLIZAMIENTO, VIA ANCUYA - CONSACA 2 DESLIZAMIENTOS KM 1 - 3 CAIDA DE BANCA, PASO RESTRINGIDO.</t>
  </si>
  <si>
    <t>CDGRD DE NARIÑO, INFORMA, DESLIZAMIENTO, SECTOR EL BOROJO KILÓMETRO 33+600 Y CAÍDA DE PIEDRA ENTRE LOS SECTORES LA  JOSEFINA KM 27 HASTA EL KM 50 DEL SECTOR EL PLACER DE LA VÍA PASTO – IPIALES.</t>
  </si>
  <si>
    <t>CDGRD REPORTA QUE SE PRESENTÓ VENDAVAL, EN EL MUNICIPIO DE GUATICA, EL DIA VIERNES 22, EN LA VEREDA OSPIRMA,  29 VIVIENDAS AFECTADAS.</t>
  </si>
  <si>
    <t>REPORTA DIRECTOR SECCIONAL TOLIMA, QUE SIENDO LAS 17.20 HORAS DEL DIA 24-03-13, SE REGISTRÓ EL ACCIDENTE DE CAMPERO MISTSUBICHI DE PLACAS RFL-837 EN CASO OCURRIDO A LA ALTURA DEL MUNICIPIO DE VENADILLO VIA VARIANTE PRINCIPAL Y CUANDO SE DIRIGÍA A IBAGUÉ, AL COLISIONAR CONTRA 1 ARBOL VOLCANDOSE EL VEHICULO QUE DEJA COMO RESULTADO LA MUERTE DE LA NIÑA DE 10 AÑOS DE EDAD PILAR DAYANA GÓMEZ Y DEJANDO HERIDOS A 7 PASAJEROS MAS CUYOS NOMBRES CORRESPONDEN A: WILLIAM OROZCO DE 43 AÑOS (CONDUCTOR), GABRIELA OROZCO DE 9 MESES DE EDAD, VALERI OROZCO DE 5 AÑOS, LILIANA HERANDEZ DE 21 AÑOS, LORENA GONZALEZ DE 29 AÑOS , MARIA EDIS GUTIERREZ DE 55 AÑOS Y RAFAEL GRISALES DE 30 AÑOS DE EDAD.. PARTICIPARON EN EL RESCATE 10 LIDERES VOLUNTARIOS DCC DE VENADILLO.</t>
  </si>
  <si>
    <t>CDGRD REPORTA UN DESLIZAMIENTO EN EL MUNICIPIO DE SAMANIEGO EN LA VIA BUENAVISTA - BETANIA CON CIERRE TOTAL SIN AFECTACIONES DE PERSONAS NI VIVIENDAS HASTA EL MOMENTO</t>
  </si>
  <si>
    <t>CDGRD REPORTA SE PRESENTO DESLIZAMIENTO EN LA VIA RIONEGRO PASO POR UN SOLO CARRIL PERO YA SE HIZO LIMPIEZA CON COLABORACIÓN DEL CONCESIONARIO, EN CONFIRMACION DE LA TARDE YA ESTA HABILITADO EL PASO.</t>
  </si>
  <si>
    <t>CDGRD REPORTA VENDAVAL MUNICIPIO  EL TARZO ( REPORTE PRELIMINAR: 1 VIVIENDA DESTRUIDA POR DESLIZAMIENTO ALCALDÍA ESTÁ REALIZANDO EVALUACIÓN DE DAÑOS), EN DESARROLLO</t>
  </si>
  <si>
    <t>CDGRD REPORTA EN LA MADRUGADA DEL 25 DE MARZO SE PRESENTARON PRECIPITACIONES FUERTES QUE OCASIONÓ UN DESLIZAMIENTO EN CALDONO RESGUARDO DE PIOYA, CON UN REPORTE PROVISIONAL SIN CONFIRMAR DE 4 FAMILIAS AFECTADAS Y 1 ESCUELA.SE ESTA ESPERANDO LA CONFIRMACIÓN DE LA EVALUACIÓN DE DAÑOS, QUE POR LO COMPLEJO DE LA ZONA QUE ES DE DIFÍCIL ACCESO ES DEMORADA LA EVALUACIÓN.</t>
  </si>
  <si>
    <t>CDGRD REPORTA A LAS 04:50 P.M SE REPORTA CIERRE TOTAL DE VÍA POR DESLIZAMIENTO EN SAN JOSÉ DE ALBÁN, VÍA LA CRUZ, VEREDA EL CARMELO SIN DANOS EN VIVIENDAS U OTRO.</t>
  </si>
  <si>
    <t>CDGRD REPORTA VENDAVAL CON GRANIZO EL DÍA SÁBADO EN EL CORREGIMIENTO DE ROBLES CON UN SALDO INICIAL DE 35 FINCAS CON SUS VIVIENDAS AFECTADAS, MÁS AFECTACIÓN DE  CULTIVOS Y EN EL CORREGIMIENTO DE SN ANTONIO EL DÍA  DE AYER (24 DE MARZO) CON SALDO INICIAL DE 30 VIVIENDAS AFECTADAS - SE ESTA ADELANTADO EL EDAN.</t>
  </si>
  <si>
    <t>APOYO DEL FNGRD MEDIANTE GIRO DIRECTO AL CDGRD PARA APOYAR LA CONSTRUCCION DE UN PUENTE PEATONAL PAA EL PASO DEL RIO OTUN EN EL CORREGIMIENTO ESTACION PEREIRA DEL MUNICIPÍO DE MARSELLA</t>
  </si>
  <si>
    <t>SUBSIDIO DE ARRIENDO PARA 1 FAMILIA AFECTADA  PORINUNDACION DURANTE LA TEMPORADA 2010 - 2011 A RAZON DE $200,000 POR TRES MESES</t>
  </si>
  <si>
    <t>13-0292</t>
  </si>
  <si>
    <t>13-0293</t>
  </si>
  <si>
    <t>13-0291
13-0293</t>
  </si>
  <si>
    <t>REPORTA REMOCIÓN EN MASA EN LA VEREDA LA LAGUNA, LA CUAL TIENE UNOS 800 METROS DE LARGO POR 400 METROS DE ALTO, AMENAZANDO 15 VIVIENDAS, 15 FAMILIAS, 75 PERSONAS POR LO CUAL  POR PREVENCION 10, VIVIENDAS, 10 FAMILIAS, 50 PERSONAS FUERON EVACUADAS Y QUEDARON EN AUTOALBERGUE DONDE FAMILIARES Y AMIGOS 5 FAMILIAS, 25 PERSONAS, DE 5 VIVIENDAS, 50 HECTÁREAS DE PERDIDAS DE CULTIVOS DE CAFÉ, PASTO, CACAO, CAÑA DE AZÚCAR Y AGUACATE, LA ESCUELA DE LA VEREDA LA LAGUNA QUEDO AISLADA POR DAÑOS EN LA VÍA LO CUAL OBLIGO A LA SUSPENSIÓN DE CLASES, LA BOCATOMA DEL ACUEDUCTO DE GUADUALITO SE ROMPIÓ DEJANDO  SIN AGUA UNAS 150 FAMILIAS. ATIENDE CMGRD, DEFENSA CIVIL, EJERCITO Y POLICÍA. SE REUNIRÁ EL CMGRD A FIN DE LEVANTAR LA CORRESPONDIENTE ACTA Y HACERLA LLEGAR A ESTA UNIDAD CON LOS DETALLES DE LA EMERGENCIA.</t>
  </si>
  <si>
    <t>CDGRD REPORTA ACCIDENTE DE TRANSITO SOBRE LA VIA ALVARADO EN EL SECTOR DEL CRUCE A LA VEREDA VERACRUZ, PIERDEN LA VIDA 2 PERSONAS QUIENES SE MOVILIZABAN EN MOTO LA CUAL SE PRECIPITA A UN ABISMO.</t>
  </si>
  <si>
    <t>CDGRD REPORTA VENDAVAL EN ESTE MUNICIPIO EL DIA DE HOY CON AFECTACION EN 30 VIVIENDAS, 1 COLEGIO, SITUACION EN DESARROLLO.</t>
  </si>
  <si>
    <t>CDGRD REPORTA VENDAVAL Y FUERTAS LLUVIAS EN ESTE MUNICIPIO EL DIA DE HOY INICIAN LABORAES DE SEGUIMIENTO Y EDAN, PENDIENTE EVOLUCION.</t>
  </si>
  <si>
    <t>CDGRD REPORTA VENDAVAL EL DIA DE HOY  DATOS DE AFECTACION DE 4 VIVIENDAS EN  TECHOS AL MOMENTO, SITUACION EN SEGUIMIENTO</t>
  </si>
  <si>
    <t>CDGRD REPORTA VENDAVAL EN ESTE MUNICIPIO EL DIA DE HOY EN LA VEREDA MANZANO CON AFECTACION DE 1 VIVIENDA POR DESTECHAMIENTO, EN SEGUIMIENTO.</t>
  </si>
  <si>
    <t>CDGRD REPORTA VENDAVAL EN ESTE MUNICIPIO EN LA VEREDA GUAYMARAL CON AFECTACION EN UNA VIVIENDA POR DESTECHAMIENTO, EN SEGUIMIENTO.</t>
  </si>
  <si>
    <t>CDGRD REPORTA VENDAVAL EN ESTE MUNICIPIO EN EL BARRIO LA CARRILERA EN REVISION 2 VIVIENDAS POR DESTECHAMIENTO AL MOMENTO, SITUACION EN DESARROLLO.</t>
  </si>
  <si>
    <t>CDGRD REPORTA VENDAVAL EN PEREIRA CON AFECTACION AL MOMENTO DE 11 VIVIENDAS EN TECHOS, SITUACION EN SEGUIMIENTO.</t>
  </si>
  <si>
    <t xml:space="preserve">CDGRD REPORTA VENDAVAL EN ESTE MUNICIPIO EN EL CORREGIMIENTO DE IRRA CON 3 VIVIENDAS EN TECHOS, SITUACION EN SEGUIMIENTO. </t>
  </si>
  <si>
    <t>CDGRD REPORTA VENDAVAL EN ESTE MUNICIPIO VEREDA LA CASTALIA, FINCA LAS ACACIAS AFECTACION DE 1 VIVIENDA POR PERDIDA PARCIAL DE LA CUBIERTA ATIENDE EL CUERPO DE BOMBEROS, COORDINADOR DE CMGRD REALIZA EDAN, EN SEGUIMIENTO.</t>
  </si>
  <si>
    <t>CDGRD REPORTA VENDAVAL EN ESTE MUNICIPIO VEREDA LA CASTALIA, FINCA LA ESPERANZA AFECTACION DE 1 VIVIENDA POR PERDIDA PARCIAL DE LA CUBIERTA ATIENDE EL CUERPO DE BOMBEROS, COORDINADOR DE CMGRD REALIZA EDAN, EN SEGUIMIENTO.</t>
  </si>
  <si>
    <t>CDGRD REPORTA EN LA CUIDAD DE IBAGUE FUERTES LLUVIAS Y TORMENTA SOBRE EL MEDIO DIA, VARIOS ARBOLES CAIDOS, INUNDACION EN BARRIOS COMO: KENNEDY, MURILLO TORO, JARDIN, SE PRESNTO IGUALMENTE PERDIDA DE MUEBLES Y ENSERES.</t>
  </si>
  <si>
    <t>CMGRD DE EL MUNICIPIO DE EL TAMBO CAUCA. REPORTA  EN LA VEREDA LOS ARRAYANES EL DOMINGO 23 DE MARZO EN HORAS DE LA NOCHE SE PRESENTO DESLIZAMIENTO AFECTANDO EL ACUEDUCTO INTERVEREDAL QUE ABÁSTESE A 13 VEREDAS  CONFIRMA CDGRD</t>
  </si>
  <si>
    <t>REPORTE PRELIMINAR POR PARTE DEL CMGRD DEL MUNICIPIO DE BALBOA CAUCA FUERTE VENDAVAL SUCEDIDO EN LA NOCHE ANTERIOR AFECTA VIVIENDAS DEL MUNICIPIO DE BALBOA ESPECIALMENTE EN LA CABECERA MUNICIPAL, SE TIENE UN REPORTE PRELIMINAR DE VARIAS VIVIENDAS AFECTADAS, EL DÍA DE HOY LOS ORGANISMOS OPERATIVOS, CRUZ ROJA Y DEFENSA CIVIL REALIZARÁN EL CENSO DE AFECTADOS</t>
  </si>
  <si>
    <t>SUBSIDIO DE ARRIENDO TEMPORAL PÁRA 35 FAMILIAS AFECTADAS POR LA AVALANCHA OCURRIDA EL PASADO 6 DE OCTUBRE DE 2012 A RAZON DE $250.000 POR TRES MESES</t>
  </si>
  <si>
    <t>MAR DE LEVA</t>
  </si>
  <si>
    <t>REPORTE DEL CMGRD CON AVAL DE CDGRD</t>
  </si>
  <si>
    <t xml:space="preserve">REPORTA QUE EN HORAS DE LA MAÑANA SE PRESENTO INCENDIO ESTRUCTURAL EN EL BARRIO PUEBLO SOL, DESTRUYENDO 4 VIVIENDAS, DEJANDO 4 FAMILIAS DAMNIFICADAS, 24 PERSONAS, REPORTA CMGRD </t>
  </si>
  <si>
    <t>CDGRD Y DIRECCION NACIONAL DE BOMBEROS REPORTAN INCENDIO FORESTAL EN  VEREDA SANTA LUCIA CORREGIMIENTO LAS AGUAS DE ESTE MUNICIPIO CON AFECTACION EN 50 HECTAREAS DE RASTROJO ATENDIO BOMBEROS OCAÑA.</t>
  </si>
  <si>
    <t>CDGRD REPORTA INCENDIO FORESTAL EN ZONA RURAL DE ESTE MUNICIPIO CON AFECTACION EN 6 HECTAREAS DE VEGETACION NATIVA ATENDIO BOMBEROS CHINACOTA..</t>
  </si>
  <si>
    <t>CDGRD REPORTA INCENDIO FORESTAL EN ESTE MUNICIPIO CON AFECTACION EN 20 HECTAREAS DE VEGETACION APOYARON LABORES BOMBEROS, DEFENSA CIVIL, CMGRD.</t>
  </si>
  <si>
    <t xml:space="preserve">CDGRD REPORTA VENDAVAL EN ESTE MUNICIPIO VEREDA LA ESTACION EN HORAS DE LA NOCHE AFECTANDO 4 VIVIENDAS EN SUS TECHOS, ATIENDE CMGRD. </t>
  </si>
  <si>
    <t>CDGRD REPORTE VENDAVAL EN HORAS DE LA TARDE AFECTANDO 15 VIVIENDAS EN TECHOS Y ENSERES EN LA VEREDA LA GLORIA Y EL CASCO URBANO</t>
  </si>
  <si>
    <t>NOVEDADES EN EL MUNICIPIO DE GUADALUPE 22:30 HORAS REPORTA EL CAD DE SANTANDER,  QUE A LAS 18:15 HORAS, SE PRESENTO INCENDIO FORESTAL EN LA VEREDA CENTRO LLANO, QUEMÁNDOSE 12 HECTÁREAS DE PASTOS Y BOSQUES NATIVOS APAGADO POR PERSONAL DEFENSA CIVIL, POLICÍA NACIONAL Y PERSONAS DE LA COMUNIDAD. NO SE PRESENTARON AFECTACIONES DE PERSONAS NI VIVIENDAS.</t>
  </si>
  <si>
    <t xml:space="preserve">CDGRD REPORTA AFECTACIÓN POR DESLIZAMIENTO 2 EN PUENTES DE PASO VEHICULAR EN MADERA – ARTESANALES EN LA VEREDA SAN FRANCISCO SE AFECTARON CULTIVOS DE CAFÉ Y FRIJOL .                                      </t>
  </si>
  <si>
    <t>CDGRD REPORTA AFECTACIÓN EN CORREGIMIENTO DE CRIOLLO POR VENDAVAL - VEREDAS DE CRIOLLO Y ENGALI CON 11 FAMILIAS AFECTADAS Y 11 VIVIENDAS AVERIADAS</t>
  </si>
  <si>
    <t>CDGRD REPÓRTA AFECTACION POR VENDAVAN EN ESTE MUNICIPIO VEREDA SANTA MARTA A 18 FAMILIAS Y 18 VIVIENDAS AVERIADAS.</t>
  </si>
  <si>
    <t>CMGRD DE JAMUNDI,  ACTUALIZA, INFORMACIÓN, SOBRE VENDAVAL, ACOMPAÑADO DE LLUVIAS Y GRANIZO, EN EL CORREGIMIENTO DE SAN ANTONIO, LOCALIZADO EN LAS ZONA DE MEDIA MONTAÑA AL SUR OCCIDENTE DE LA CABECERA MUNICIPAL, EN LA BASE DEL PARQUE NACIONAL NATURAL LOS FARALLONES (COORDINATES: 3° 12' 31" NORTH, 76° 39' 12" WEST),  QUE AFECTÓ LOS SECTORES DE SAN ANTONIO EN SU ASENTAMIENTO POBLADO Y LA VEREDA BELLA VISTA PRINCIPALMENTE. AFECTADAS: 256 FAMILIAS, 204 VIVIENDAS AVERIADAS, 52 FAMILIAS AFECTADAS, EN CULTIVOS,  COMO CONSECUENCIA DE LOS FUERTES VIENTOS PERDIDAS TOTALES EN CULTIVOS DE CAFÉ Y PLÁTANO PRINCIPALMENTE, ASÍ COMO CÍTRICOS Y HORTALIZAS PRODUCIDAS POR EL IMPACTO DEL GRANIZO.</t>
  </si>
  <si>
    <t>CDGRD DEL HUILA, INFORMA, VEREDA SANTA MARTA AFECTADA POR CRECIENTES DE LAS QUEBRADAS SANTA MARTA, LA DANTA, LOS MONOS, SAN PEDRO, DEJANDO SIN SERVICIO DE AGUA A VARIAS FAMILIAS QUE SE SUPLIAN DE ACUEDUCTOS ARTESANALES,</t>
  </si>
  <si>
    <t>D.C.C., INFORMA,  INUNDACIONES POR CRECIENTE RÍO NABOYACO EN SECTORES: BARRIO ROSALÍA -  BARRIO LA ESMERALDA  VERADA BAJO ESLABÓN-  VEREDA SARDINAS, AFECTADAS. 16 FAMILIAS.</t>
  </si>
  <si>
    <t>D.C.C,  REPORTA,  INUNDACIONES POR CRECIENTE DE QUEBRADAS, POR AGUAS LLUVIAS Y COLAPSO SISTEMA ALCANTARILLADO EN LOS BARRIOS 3 DE MAYO,  BARRIO VILLA ROSA,  Y METROPOLITANO, 100 FAMILIAS AFECTADAS.</t>
  </si>
  <si>
    <t>D.C.C.,  INUNDACION EN LOS BARRIOS LA PAZ- VILLA ROSA- LAS PALMAS- LAS COLINAS-  SAN MARTIN, LIBERTAD Y OTROS  BARRIOS DE INVASIÓN, QUEBRADA SÁBALO Y DANTA, 315 FAMILIAS AFECTADAS</t>
  </si>
  <si>
    <t xml:space="preserve">D.C.C., REPORTA CARLOS HERRERA DEL PUTUMAYO: POR LLUVIAS TORRENCIALES  INUNDACIONES DESDE LAS 6 AM EN EL M/PIO DE MOCOA, BARRIOS  ÁLAMOS, PABLO SEXTO, LIBERTADOR, AMÉRICAS, KENNEDY, SAN AGUSTÍN, DESBORDAMIENTO QUEBRADAS LA MISIÓN, 1 FAMILIA FUE RESCATADA LA CUAL SE ENCONTRABA AISLADA POR EL RIO RUMIYACO, 50 FAMILIAS AFECTADAS,  PARTICIPAN 40 LÍDERES DCC. </t>
  </si>
  <si>
    <t>D.C.C., REPORTA CARLOS HERRERA DEL PUTUMAYO: POR LLUVIAS TORRENCIALES INUNDACIONES EN EL M/PIO PUERTO CAICEDO BARRIOS: GALÁN- VILLA ALEJANDRA, 175 PERSONAS. 35 FAMILIAS FUERON RESCATADAS YA QUE ESTABAN AISLADAS POR EL RÍO DAMASCO, 70 FAMILIAS AFECTADAS,  PARTICIPAN 25 LÍDERES VOLUNTARIOS</t>
  </si>
  <si>
    <t>D.C.C., REPORTA SECCIONAL CUNDINAMARCA, QUE SIENDO LAS 05.45 A.M. DEL DIA 25-03-13, SE ATENDIÓ ACCIDENTE DE BUS DE SERVICIOS ESPECIALES QUE SE DIRIGIÁ A BOGOTA CON CUPO DE 30 PASAJEROS EN EL CORREGIMIENTO RAYADERO JURISDICCIÓN DEL MUNICIPPIO DE PUERTO SALGAR, QUE DEJÓ COMO RESULTADO 2 MUERTOS Y 28 HERIDOS. PARTICIPARON EN OPERACIONES 10 LIDERES VOLUNTARIOS DCC DURANTE 3 HORAS.</t>
  </si>
  <si>
    <t xml:space="preserve">D.C.C., REPORTA DIRECTOR SECCIONAL NARIÑO: INCENDIO FORESTAL OCURRIDO EL 27-03-2013 A PARTIR DE LAS 11: 00 HORAS HASTA LAS 14. 00 HORAS, EN EL M/PIO DE SANDONA, VEREDA LOS CORRALES RESULTANDO 5 HECTAREAS DE PAN COGER AFECTADAS POR EL FUEGO, 5 FAMILIAS AFECTADAS, 25 PERSONAS, 1 VIVIENDA AVERIADA. PARTICIPARON 10 LIDERES DCC. </t>
  </si>
  <si>
    <t>REPORTA 7 TURISTAS DESAPARECIDOS EN EL NEVADO DEL TOLIMA, AL PARECER DOS DE ELLOS PRESENTAN HIPOTERMIA, SEGÚN INFORMACION SE ENCUENTRAN A UNA ALTURA DE 4.000 MSNM, EN ESTOS MOMENTO SE TIENE ACTIVO AL CDGRD Y SUS ENTIDADES DE SOCORRO COORDINANDO LAS OPERACIONES DE BUSQUEDA Y RESCATE LAS CUALES INICIARAN A LAS 10 AM, SALIENDO DESDE IBAGUE POR EL SECTOR DEL RANCHO, REPORTA CDGRD QUE LIDERES VOLUNTARIOS DE LA DC YA ENCONTRARON AL PERSONAL EXTRAVIADO Y VIENEN EN DESCENSO CON ELLOS, SITUACION EN DESARROLLO.</t>
  </si>
  <si>
    <t>REPORTA QUE EL 26-03-13 HUBO AFECTACION EN EL MUNICIPIO A CAUSA DE FUERTES LLUVIAS SE PRESENTO INUNDACION, VENDAVAL Y DESLIZAMIENTOS QUE AFECTARON 50 VIVIENDAS, 2 CENTROS COMUNITARIOS Y 1 ESTACION DE POLICIA, EN ESTE MOMENTO SE ESTA REALIZANDO EL EDAN, YA LA ALCALDESA DEL MUNICIPIO HABLO CON EL DR MARQUEZ EL CUAL AUTORIZO A.H.E PARA DESPACHAR A LA ZONA, SE QUEDA PENDIENTE EDAN EL CUAL LO ESTAN REALIZANDO EN ESTE MOMENTO. SITUACION EN DESARROLLO. REPORTA DR CARLOS IVAN MARQUEZ</t>
  </si>
  <si>
    <t>SE PRESENTÓ, VENDAVAL, ACOMPAÑADO DE FUERTES LLUVIAS Y GRANIZO, LOCALIDAD DE SUBA, VEREDA: LOS CHORRILLOS, VÍA COTA, 15 VIVIENDAS AVERIADAS EN TECHOS, SE COORDINA EL APOYO DE AYUDAS HUMANITARIAS POR PARTE DE LA ALCALDIA DE SUBA.</t>
  </si>
  <si>
    <t>D.C.C, REPORTA SECCIONAL MAGDALENA, CONTROLADO Y EXTINGUIDO INCENDIO FORESTAL OCURRIDO DIA 27-03-13 EN CERRO TUTELAR ALEDAÑO AL BARRIO 17 DE DICIEMBRE DE LA CIUDAD DE SANTA MARTA, CON SALDO DE 1 HECTÁREA DE VEGETACIÓN NATIVA AFECTADA. PARTICIPARON EN LAS OPERACIONES 5 LIDERES VOLUNTARIOS DCC-</t>
  </si>
  <si>
    <t xml:space="preserve">D.C.C, REPORTA SECCIONAL CALDAS: AFECTACION POR  LLUVIAS TORRENCIALES OCURRIDAS EL 28-03-2013, EN EL M/PIO DE PALESTINA, VEREDA ARAUCA, RESULTARON 30 FAMILIAS AFECTADAS, 30 VIVIENDAS  Y 180 PERSONAS. PARTICIPARON 15 LIDERES DCC. </t>
  </si>
  <si>
    <t>CDGRD DEL TOLIMA, INFORMA, INCENDIO ESTRUCTURAL, VEREDA: BETULIA, FINCA: SAN FRANCISCO, PERDIDAS MATERIALES DE APROXIMADAMENTE: $20,000,000</t>
  </si>
  <si>
    <t>CDGRD REPORTA 29-03-13, 00:20 HORAS, SE PRESENTÓ DESLIZAMIENTO, EN LA VÍA QUE COMUNICA BUCARAMANGA CON EL BARRIO LAGOS DEL CACIQUE, A 200 METROS DE LA ENTRADA AL CEMENTERIO LA COLINA, TAPONANDO PARCIALMENTE LA VÍA.</t>
  </si>
  <si>
    <t>CDGRD Y BOMBEROS REPORTAN ACCIDENTE DE AVION ULTRALIVIANO CON DOS PASAJEROS A BORDO EN EL SECTOR DE TERRANOVA LAS CUALES FUERON EVACUADAS VIA CON APOYO DE LA FUERZA AEREA .</t>
  </si>
  <si>
    <t>REPORTA VENDAVAL EN LA VEREDA CAJETE DEJANDO 11 VIVIENDAS AVERIADAS, 11 FAMILIAS, REPORTA CDGRD.</t>
  </si>
  <si>
    <t>CDGRD DE CORDOBA, INFORMA, SE PRESENTÓ DESBORDAMIENTO DE LAS QUEBRADAS EL LORO Y  TAL, AFECTANDO 60 FAMILIAS EN CULTIVOS, ENSERES Y ANIMALES DE CORRAL. 4 VIVIENDAS AVERIADAS, SITUACIÓN EN DESARROLLO.</t>
  </si>
  <si>
    <t>INCENDIO FORESTAL, EXTINGUIDO,  EN LA VEREDA: JUANA RUIZ, SE CONSUMIERON: 6 HECTÁREAS DE VEGETACIÓN NATIVA.</t>
  </si>
  <si>
    <t xml:space="preserve">COMPLETAMENTE DESTRUIDA POR UN INCENDIO, APARENTEMENTE OCASIONADO POR INDÍGENAS, QUEDÓ LA IGLESIA DOCTRINERA CATÓLICA DE LA COMUNIDAD DE PISIMBALÁ, EN EL MUNICIPIO DE INZÁ, AL ORIENTE DEL DEPARTAMENTO DEL CAUCA.
JAIR CARDOSO, DIRECTOR DE LA EMISORA RADIO EUCHA, DEL MUNICIPIO DE BELALCAZAR, REPORTÓ QUE EL HECHO SE REGISTRÓ A LA 1:00 A.M. DEL JUEVES, Y DE ACUERDO A LAS PRIMERAS VERSIONES LA ESTRUCTURA DE LA CAPILLA SUFRIÓ AVERÍAS MUY GRAVES EN UN 90%.
EXTRAOFICIALMENTE SE INFORMÓ QUE UNA TURBA DE INDÍGENAS, LA EMPRENDIÓ CONTRA EL TEMPLO Y LE PRENDIÓ FUEGO, COMO SECUELA DEL CONFLICTO POR TIERRAS ENTRE CAMPESINOS E INDÍGENAS QUE SE VIENE PRESENTANDO EN LA REGIÓN Y QUE SE REAVIVÓ LA SEMANA ANTERIOR.
CONSTRUIDA DE BARRO Y TECHO DE PAJA, LA CAPILLA ERA EL ÍCONO DE LA REGIÓN CONSIDERADA PATRIMONIO ARQUITECTÓNICO DE LA HUMANIDAD POR LA UNESCO, POR EXISTIR EN SUS ALREDEDORES CERCA DE 90 HIPOGEOS DE LAS CULTURAS NATIVAS ANDINAS.
</t>
  </si>
  <si>
    <t>REPORTA DIRECTOR SECCIONASL NARIÑO: ACCIDENTE DE TRANSITO OCURRIDO EL 28-03-2013 EN EL M/PIO DE BARBACOAS, RESULTANDO 1 PERSONA FALLECIDA, 2 PERSONAS HERIDAS. PARTICIPARON 10 LIDERES DCC</t>
  </si>
  <si>
    <t>REPORTA COLAPSO DE TECHO EN 2 VIVIENDAS EN EL BARRIO ANGEL MARIA CAMACHO, DE ACUERDO AL CMGRD ESTAS VIVIENDAS YA PRESENTABAN AVERIAS DEBIDO AL SISMO DEL 9 DE FEBRERO. REPORTA CMGRD.</t>
  </si>
  <si>
    <t xml:space="preserve">CDGRD DE NORTE DE SANTANDER Y BOMBEROS, INFORMA, INCENDIO FORESTAL, EXTINGUIDO, VEREDA:. LAS LISCAS, 3 VIVIENDAS DESTRUIDAS,  40 HECTÁREAS  AFECTADAS APROXIMADAMENTE. </t>
  </si>
  <si>
    <t>REPORTA FUNCIONARIO RUBÉN DARÍO VANEGAS  DE LA SECCIONAL CALDAS, QUE: SE PRESENTÓ, INCENDIO ESTRUCTURAL,  EN LA VEREDA: EL DORADO DE SUPIA CALDAS DONDE COMO RESULTADO SE QUEMA UNA RAMADA Y UNA CUADRA DE CULTIVO DE CAÑA EN ESTA RESULTA HERIDA POR QUEMADURAS DE 2 GRADO UNA NIÑA DE 8 AÑOS DE EDAD LA CUAL ES TRASLADADA A CENTRO ASISTENCIAL DE SUPIA,  1 VIVIENDA AVERIADA, EN EL PROCEDIMIENTO DE EXTINCIÓN DEL INCENDIO PARTICIPARON 15 LÍDERES VOLUNTARIOS EN APOYO CON EL CUERPO DE BOMBEROS.</t>
  </si>
  <si>
    <t>CDGRD DEL TOLIMA, INFORMA, DESLIZAMIENTO, ARRASÓ, LA RED DEL ACUEDUCTO, EN CERCANIAS A LA BOCATOMA PRINCIPAL, UBICADA EN LA VEGA DE LA VEREDA: GUADUAL BAJO LA TROJA, A 6 KMS DEL MPIO, LA POBLACIÓN SE ENCUENTRA SIN SUMINISTRO DE AGUA POTABLE, EL ALCALDE INFORMA, QUE LA REPARACIÓN TARDADRA VARIOS DÍAS, SE COORDINA LA CONSECUCIÓN  DE VARIOS CARROTANQUES, PARA SUMINISTRAR AGUA A LOS HABITANTES.</t>
  </si>
  <si>
    <t>BOMBEROS, INFORMA, INCENDIO ESTRUCTURAL, EN EL BARRIO: VILLA HERMOSA, 4 VIVIENDAS DESTRUIDAS, SIN LESIONADOS, AL PARECER LA CONFLAGRACIÓN SE ORIGINÓ POR UN CORTO CIRCUITO.</t>
  </si>
  <si>
    <t xml:space="preserve">D.C.C, SECCIONAL META, INFORMA, CRECIENTE SÚBITA, DEL RÍO ACACIAS,  ARRASTRO, VARIOS METROS,  A 7 TURISTAS, QUE SE ENCONTABAN EN EL  BALNEARIO: CLAVEL, FUERON RESCATADOS, POR FORTUNA, VIVOS.
</t>
  </si>
  <si>
    <t>REPORTA INCENDIO FORESTAL EN EL CORREGIMIENTO DE LA PAILA, EL SECTOR LOMA CAREPERRO, ATIENDEN BOMBEROS Y CRUZ ROJA, A LAS 22:00 HRS CIERRAN OPERACIONES POR SEGURIDAD DEL PERSONAL EN EL DIA DE MAÑANA REINICIAN. REPORTA SOCORRO NACIONAL. SITUACION EN DESARROLLO. REPORTE 13-03-13, BOMBEROS, REPORTA INCENDIO FORESTAL, EXTINGUIDO, EN EL CORREGIMIENTO DE LA PAILA, EL SECTOR LOMA CAREPERRO, ATENDIERON BOMBEROS Y CRUZ ROJA, PENDIENTE AFECTACIÓN.</t>
  </si>
  <si>
    <t>CDGRD DEL CESAR, CONTINUA ACTIVO,  INCENDIO FORESTAL EN EL CERRO MURILLO, CERCA AL  ECOPARQUE LOS BESOTES, SE COORDINA APOYO AEREO, CON EL TÉCNICO ELKIN DE LA FUERZA AÉREA, QUIEN INFORMA QUE EL HELICÓPTERO SALE A LAS 06:00 AM DE YOPAL, HACIA VALLEDUPAR,   SARGENTO DE BOMBEROS, ARIEL ROMERO, INFORMA QUE SE HAN CONSUMIDO APROXIMADAMENTE: 120 HECTÁREAS DE PASTIZALES, SITUACION EN DESARROLLO. REPORTE 30-03-13, CMGRD DE VALLEDUPAR,  INCENDIO FORESTAL EN EL CERRO MURILLO, CERCA AL  ECOPARQUE LOS BESOTES, CONTROLADO EN UN 70%, TIENEN  APOYO AEREO,  SE HAN CONSUMIDO APROXIMADAMENTE: 262 HECTÁREAS DE PASTIZALES, SITUACION EN DESARROLLO. REPORTE 31-03-13, CMGRD DE VALLEDUPAR, INFORMA,  INCENDIO FORESTAL EN EL CERRO MURILLO, CERCA AL  ECOPARQUE LOS BESOTES, EXTINGUIDO,  SE  CONSUMIERON APROXIMADAMENTE: 270 HECTÁREAS DE PASTIZALES, INFORMO: SARGENTO: ARIEL ROMERO DE BOMBEROS VALLEDUPAR.</t>
  </si>
  <si>
    <t>13-0230</t>
  </si>
  <si>
    <t>13-0223</t>
  </si>
  <si>
    <t>12-1159</t>
  </si>
  <si>
    <t>13-0058</t>
  </si>
  <si>
    <t>13-0319</t>
  </si>
  <si>
    <t>13-0318</t>
  </si>
  <si>
    <t>13-0320</t>
  </si>
  <si>
    <t>13-0263</t>
  </si>
  <si>
    <t>SE PRESENTA LA EXPLOSION DE UNA CALDERA EN UNA EMPRESA DE ACEITE DE PALMA ,AFECTANDO A 10 PERSONAS , EN EL SITIO BOMBEROS DE PUERTO GAITAN, LOS HECHOS OCURRIEROD NE LE KM 25 VIA RUBIELES.</t>
  </si>
  <si>
    <t>EL DIA 31 DE MARZO SE PRESENTO IN INCEDIO ESTRUCTURAL EN LA FINCA DEL SR JOSE HUMBERTO CHAPARRO EN CORREGIMIENTO DE SAN FERNADO DISTANTE DEL LIBANO A 4 HORAS. CON PERDIDA TOTAL DE ENSERES.</t>
  </si>
  <si>
    <t>EN HORAS DE LA TARDE DEL 31 DE MARZO SE  REGISTRADO UNA EMERGENCIA POR OLA INVERNAL, COLAPSO UNA VIVIENDA POR DESLIZAMIENTO EN LA CARRERA 14 # 1-19, NO HUBO PERDIDAS HUMANAS, FUERON AFECTADAS 4 PERSONAS Y QUEDARON EN RIESGO OTRAS 2 FAMILIAS.</t>
  </si>
  <si>
    <t>DE ACUERDO CON EL ALCALDE, DIEGO ANDRÉS GUERRA QUINTERO, LAS LLUVIAS INTERMITENTES QUE HAN BAÑADO EL MUNICIPIO GENERARON EL SÁBADO EN LA MAÑANA UN DERRUMBE EN EL SECTOR DE LA LUISA, QUE DEJÓ A MÁS DE 11 MIL PERSONAS SIN EL PRECIADO LÍQUIDO. AL CIERRE DE ESTA EDICIÓN SE ULTIMABAN DETALLES PARA QUE A LA MITAD DE LA ZONA RETORNARA EL SUMINISTRO.</t>
  </si>
  <si>
    <t>EN EL SECTOR DE SAN PABLO SE ESTA PRESENTANDO UN IF EL CUAL ATIENDEN BOMBEROS DE FUNDACION.</t>
  </si>
  <si>
    <t>SE PRESENTA UN IF EN EL CERRO DEL VENADO ATIENDE BOMBEROS DE YOPAL.</t>
  </si>
  <si>
    <t>GORGE GONZALEZ DE LA DEFENSA CIVIL DE GUTIERREZ REPORTA INCENDIO FORESTAL INICIADO A LAS 16:00 Y EXTINGUIDO A LAS 20:00 HORAS DEL 28/03/13 CON AFECTACION DE 1HECTAREAS DE RASTROJO. QUEDO ESTINGUIDO A ALS 20:00 HORAS POR LLUVIAS EN EL SECTOR.</t>
  </si>
  <si>
    <t>MY. IVAN DARÍO VALENZUELA DE BOMBEROS GACHETA REPORTA INCENDIO FORESTAL EN LA VEREDA SAQUE INICIADO A LAS 10:00 Y EXTINGUIDO A LAS 12:00 HORAS CON AFECTACIÓN DE 1 HECTÁREA DE VEGETACIÓN NATIVA. ATENDIÓ BOMBEROS GACHETA.</t>
  </si>
  <si>
    <t>SARGENTO FREDDY ALMANZA BOMBEROS  UBATE, REPORTA  INCENDIO FORESTAL EN LA VEREDA LA  ESTANCIA INICIADO A LAS 11:30 Y EXTINGUIDO ALAS 17:00 DEL 27/03/13, AFECTANDO  2 HECTÁREAS DE VEGETACIÓN NATIVA, HELECHOS Y MORTIÑOS. ATIENDE CMGRD DEL MUNICIPIO, POLICÍA NACIONAL, BOMBEROS UBATE, BRIGADA CAR.</t>
  </si>
  <si>
    <t>TE. PEDRO JOSÉ CÁRDENAS DE BOMBEROS MANTA REPORTA INCENDIO FORESTAL EN LA VEREDA MINAS INICIADO A LAS22:00 Y EXTINGUIDO A LAS 23:55 HORAS DEL 27/03/13 CON AFECTACIÓN DE 2 HECTÁREAS DE  RASTROJO. ATENDIÓ BOMBEROS MANTA Y COMUNIDAD.</t>
  </si>
  <si>
    <t xml:space="preserve">MAYOR IVÁN DARÍO VALENZUELA COORDINADOR DEPARTAMENTAL DE BOMBEROS INFORMA A ESTA UNIDAD SOBRE INCENDIO FORESTAL INICIADO A LAS 11:20 DEL DÍA 27-03-13 EN LA VEREDA NEMUSTEN DE ESTE MUNICIPIO AFECTANDO 2.00 HECTÁREAS DE VEGETACIÓN NATIVA, Y EXTINGUIDO HACIA LAS 13:30 DEL MISMO DÍA. ATENDIÓ BOMBEROS MUNICIPIO DE GACHETA. </t>
  </si>
  <si>
    <t>MAYOR IVAN DARÍO VALENZUELA COORDINADOR DEPARTAMENTAL DE BOMBEROS, INFORMA A ESTA UNIDAD SOBRE INCENDIO FORESTAL INICIADO EL DÍA 26-03-13 HACIA LAS 16:30 HORAS EN LA VEREDA SAN PABLO DE ESTE MUNICIPIO, Y EXTINGUIDO A LAS 18:00 HORAS, CON AFECTACIÓN DE 1.0 HECTÁREAS DE VEGETACIÓN NATIVA. ATIENDE BOMBEROS MUNICIPIO DE GACHETA.</t>
  </si>
  <si>
    <t>MAYOR IVAN DARÍO VALENZUELA COORDINADOR BOMBEROS DEPARTAMENTAL, INFORMA A ESTA UNIDAD SOBRE INCENDIO FORESTAL INICIADO EL DÍA 26-03-13 HACIA LAS 13:30 HORAS EN LA VEREDA SANTA BARBARA DE ESTE MUNICIPIO Y CONTROLADO HACIA LAS 15:30 DEL MISMO DÍA CON AFECTACIÓN DE 1.0 HECTÁREAS DE VEGETACIÓN NATIVA. ATENDIÓ BOMBEROS GACHETA.</t>
  </si>
  <si>
    <t>MAYOR IVÁN DARÍO VALENZUELA COORDINADOR BOMBEROS DEPARTAMENTAL, INFORMA A ESTA UNIDAD SOBRE INCENDIO FORESTAL INICIADO EL DÍA 26-03-13 HACIA LAS 09:30 HORAS EN LA VEREDA SAN PABLO, SITIO PROFESIONALES DEL MUNICIPIO DE UBALA, Y EXTINGUIDO HACIA LAS 14:00 HORAS, CON AFECTACIÓN DE 1.0 HECTÁREAS DE VEGETACIÓN NATIVA. ATENDIÓ BOMBEROS MUNICIPIO DE GACHETA Y POLICÍA NACIONAL.</t>
  </si>
  <si>
    <t>TE. PEDRO JOSÉ CÁRDENAS DE BOMBEROS MANTA REPORTA INCENDIO FORESTAL EN LA VEREDA SALITRE INICIADO A LAS14:00 Y EXTINGUIDO A LAS 16:00 HORAS DEL 26/03/13 CON AFECTACIÓN DE 1 HECTÁREA DE  RASTROJO. ATENDIÓ BOMBEROS MANTA Y COMUNIDAD.</t>
  </si>
  <si>
    <t>14-20 HORAS 01 ABRIL 2013, REPORTA POLICÌA ARATOCA, QUE EN LA VEREDA CLAVELLINAS, SE PRESENTO INCENDIO FORESTAL, HASTA EL MOMENTO SE HAN QUEMADO, 4 HECTÁREAS DE PASTOS, BOSQUES NATIVOS Y 1 HECTÁREA DE CAFÉ BOMBEROS SAN GIL, POLICÍA Y PERSONAS DE LA REGIÓN SE ENCUENTRAN APAGANDO, INFORMAN NO SE HAN PRESENTADO AFECTACIÒN DE VIVIENDAS NI DE PERSONAS.</t>
  </si>
  <si>
    <t>EL DIA DEL 29 DE MARZO SE PRESENTO UN VENDAVAL, AFECTANDO A 21 FAMILIAS DEL SECTOR  LLAMADO CAÑOVIEJO PALOTAR, ESTAS VIVIENDAS PRESENTARON PERDIDA DE CUBIERTA Y COLUMNAS LLAMADAS HORCONES.</t>
  </si>
  <si>
    <t>EL DIA DEL 29 DE MARZO SE PRESENTO UN VENDAVAL, AFECTANDO A 3 FAMILIAS EN EL CASCO URBANO  VIVIENDAS PRESENTARON PERDIDA DE CUBIERTA Y COLUMNAS LLAMADAS HORCONES.</t>
  </si>
  <si>
    <t>SE PRESENTO UN INCENDIO ESTRUCTURAL EN EL BARRIO  VILLA MIRIAM  AFECTANDO A UNA VIVIENDA CON PERDIDA TOTAL, ATENDIERON BOMBEROS VOLUTARIOS, SE REALIZO EDAN.</t>
  </si>
  <si>
    <t>MUNICIPIO DE MIRANDA CAUCA UNA TEMPESTAD ACOMPAÑADA DE FUERTES LLUVIAS Y VIENTOS, LO QUE OCACIONARON QUE SE GENERARAN INUNDACIONES, PERDIDA DE CUBIERTAS DE LAS VIVIENDAS. EN EL MOMENTO LOS ORGANISMOS DE SOCORRO ADELANTAN EL BARRIDO EN EL MUNICIPIO PARA LA VERIFICACION DE LOS AFECTADOS, HASTA EL MOMENTO ALGUNAS FAMILIAS Y PERSONAS HAN REPORTADO DAÑOS EN SUS VIVIENDAS Y SITIOS DE USO ESPECIAL A LA COORDINACION MPAL DE GESTION DEL RIESGO.</t>
  </si>
  <si>
    <t>REPORTA INCENDIO FORESTAL EN LA VEREDA LAS LAJAS, AFECTANDO 7 HECTAREAS, CONTROLADO Y EXTINGUIDO, REPORTA LA DCC.</t>
  </si>
  <si>
    <t>REPORTA INCENDIO FORESTAL EN LA VEREDA PALOBLANCO ALTO, AFECTANDO 3 HECTAREAS, CONTROLADO Y EXTINGUIDO, REPORTA LA DCC.</t>
  </si>
  <si>
    <t>EN HORAS DE LA MAÑANA DE HOY SE INICIO UN IF EN LA VEREDA DE  LA ESTRELLA , EL CUAL ESTA CONSUMIENDO RASTROJO. BOMBEROS  Y DCC ESTAN ATENDIENDO EL FUEGO.REPORTA INCENDIO FORESTAL A CAUSA DE UNA QUEMA PRODUCTO DE PODA LA CUAL SE SALIO DE CONTROL TENIENDO QUE INTERVENIR EL CUERPO DE BOMBEROS, AFECTANDO 1 HECTAREA, CONTROLADO Y EXTINGUIDO. REPORTA CDGRD</t>
  </si>
  <si>
    <t>09:30 HORAS 01 DE ABRIL, CALLE 49  CON 9 OCCIDENTE, INFORMA BOMBEROS SE PRESENTO INCENDIO FORESTAL, QUEMÁNDOSE 03 HECTÁREAS DE VEGETACIÓN, BOSQUES Y BAMBÚES. NO SE PRESENTÓ AFECTACIÓN DE PERSONAS NI DE VIVIENDAS.</t>
  </si>
  <si>
    <t>02:00 HORAS DE DÍA 02 DE ABRIL 2013,POR FUERTES LLUVIAS Y VIENTOS EN LA CARRERA 32 CASA 160 DEL ASENTAMIENTO TRES UNIDOS, SE PRESENTÓ CAÍDA DE UN ÁRBOL CEIBA CAYENDO SOBRE UNA VIVIENDA DESTRUYÉNDOLA PARCIALMENTE, SE AFECTO UNA FAMILIA Y 4 PERSONAS.</t>
  </si>
  <si>
    <t xml:space="preserve"> EN EL ASENTAMIENTO, INVASIÓN LAS PALMAS, SE INUNDARON 19 FAMILIAS, 30 ADULTOS Y 14 MENORES CON AFECTACIÓN DE ENSERES Y DE ELECTRODOMÉSTICOS.EN EL BARRIO ALTOS DE CAMPESTRE, POR ARRASTRE DE MATERIAL POR ARREGLO DE LAS CALLES SE PRODUJO INUNDACIÓN DE 5 VIVIENDAS, AFECTÁNDOSE 5 FAMILIAS 12 ADULTOS Y 17 MENORES, DE LOS CUALES 2 FUERON SACADOS POR BOMBEROS AL QUEDAR ATRAPADOS POR EL LODO. SE PRESENTÓ AFECTACIÓN EN ENSERES.</t>
  </si>
  <si>
    <t>EN HORAS DE LA MADRUGADA EN CORREGIMIENTO DE  PUEBLITO SE PRESENTO UN VENDAVAL AFECTANDO VARIAS VIVIENDAS,  EL CMGRD SALE HACIA EL SITO A REALIZAR EDAN.</t>
  </si>
  <si>
    <t>EN LA VEREDA DE SAN MARTIN A PRIMERAS HORAS SE PRESENTO UN VENDAVAL EL CMGRD ESTA REALIZANDO EDAN.</t>
  </si>
  <si>
    <t>CDGRD DEL VALLE DEL CAUCA, INFORMA, VENDAVAL, CORREGIMIENTO DE VENECIA, BARRIOS. SAN VICENTE Y SAN JOSÉ, REALIZAN, EDAN.</t>
  </si>
  <si>
    <t>CDGRD DEL VALLE DEL CAUCA, INFORMA, VENDAVAL,  BARRIOS: VILLA NUBIA Y MONSERRATE, REALIZAN, EDAN.</t>
  </si>
  <si>
    <t xml:space="preserve">BOMBEROS YOPAL, INFORMO DE INCENDIO FORESTAL, ACTIVO, EN JURISDICCIÓN DEL MPIO DE LABRANZAGRANDE- BOYACA, PARRAMO: SISCUNSI, CERRO: EL VOLADOR,   SE INFORMO AL CDGRD, QUIENES CONFIRMAN, SE HAN AFECTADO, APROXIMADAMENTE: 20 HECTÁREAS DE POTREROS, Y SABANA, NACIMIENTOS DE AGUA, CONTINUA ACTIVO, EN EL SECTOR DEL CERRO: VOLADOR, ATIENDEN: EJERCOL, PONAL Y CMGRD, SITUACIÓN EN DESARROLLO. </t>
  </si>
  <si>
    <t>CDGRD DE BOYACA, INFORMA, INCENDIO FORESTAL, EXTINGUIDO, VEREDA: MORTIÑAL, SE CONSUMIERON: 30 HECTÁREAS DE: VEGETACIÓN NATIVA, APOYARON: EJERCOL, PONAL  Y CMGRD.</t>
  </si>
  <si>
    <t>CDGRD DE CORDOBA, INFORMA, INCENDIO FORESTAL, ACTIVO, EN LA FINCA: NUEVA DELHI, ZONA RURAL, CORREGIMIENTO: EL VOLADOR, SE HAN CONSUMIDO: APROXIMADAMENTE: 150 HECTÁREAS, SITUACIÓN EN DESARROLLO.</t>
  </si>
  <si>
    <t>CDGRD DEL CAUCA, INFORMA, VENDAVAL, EN EL CORREGIMIENTO DE: ASNAZU, SE HAN AFECTADO: 45 VIVIENDAS POR DESTECHO, CONTINUAN REALIZANDO EDAN.</t>
  </si>
  <si>
    <t>CDGRD DE SANTANDER, INFORMA, INCENDIO FORESTAL, EXTINGUIDO,  CORREGIMIENTO GALÁPAGOS ENTRE LAS VEREDAS ALTAMIRA Y ALTO BELLO FINCA LA ARGENTINA, DONDE SE QUEMARON APROXIMADAMENTE 20 HECTÁREAS DE POTREROS, APOYARON BOMBEROS DE RIONEGRO.</t>
  </si>
  <si>
    <t>TE. NÉSTOR FIGUEROA DE BOMBEROS LA VEGA REPORTA MEDIANTE CORREO ELECTRÓNICO, DESLIZAMIENTO POR LLUVIAS OCURRIDAS EL 11/02/13 EN LA VEREDA HOYA GRANDE FINCA LA MARÍA, DE PROPIEDAD DE ORET REINA GONZÁLEZ, EL CUAL AFECTO PARTE DE LA FINCA Y LA PISCINA. ATENDIÓ BOMBEROS LA VEGA</t>
  </si>
  <si>
    <t>LUZ HELENA MORALES DEL CMGRD DE TABIO REPORTA INUNDACIÓN POR LLUVIAS CON GRANIZO EL DÍA 28/03/13 EN HORAS DE LA TARDE QUE OCASIONÓ EL COLAPSO DEL SISTEMA DE ALCANTARILLADLO DEL SECTOR URBANO CRA. 5 CALLE 6 Y EN EL SECTOR RURAL 4 ESQUINAS, PENSIL, EL BILLAR, CENTRO SANTA BÁRBARA, SECTOR SANTA INÉS  Y PARCELACIÓN TERMALES, OCASIONÓ TAMBIÉN CAÍDA DE ARBOLES QUE DEJARON AL 80% DEL MUNICIPIO SIN FLUIDO ELÉCTRICO. ATENDIÓ CMGRD, BOMBEROS Y POLICÍA. MEDIANTE ACTA DEL CMGRD SE INFORMA QUE UNA VEZ REALIZADO EL CENSO DE DAMNIFICADOS, RESULTARON AFECTADAS 4 FAMILIAS CON PERDIDA TOTAL DE  MUEBLES Y ENSERES.</t>
  </si>
  <si>
    <t>MÁS DE 15 MIL GALONES DE AGUA FUERON NECESARIOS PARA APAGAR UN INCENDIO QUE INICIÓ A LAS 12:30 P.M. DE AYER EN EL LOTE DE ALMACENAMIENTO DE POSTES DEL CARIBE, UBICADO EN LA CALLE 20 CON CARRERA 34, JUNTO A LA TRONCAL DEL CARIBE EN EL ÁREA URBANA DE CIÉNAGA, EL CUAL ARRASÓ DURANTE MÁS DE TRES HORAS CON EL 70% DE LOS TUBOS DESTINADOS AL NUEVO SISTEMA DE ACUEDUCTO DE LOS MUNICIPIOS DE CIÉNAGA Y PUEBLO VIEJO, EL CUAL ES INSTALADO POR AGUAS DEL MAGDALENA.</t>
  </si>
  <si>
    <t>EN LA VIA BUCARAMANGA -BOGOTA SECTOR LOS CUROS SE PRESENTO ACCIDENTE DE TRANSITO, CAMION VS TRACTOMULA Y MOTO, DEJA COMO RESULTADO UNA PERSONA FALLECIDA, UNA LESIONADA ATIENDE BOMBEROS.</t>
  </si>
  <si>
    <t>SE PRESENTO UN INCENDIO ESTRUCTURAL EN ZONA RURAL DE SIGUI AFECTANDO 4 VIVIENDAS, EL CMGRD ESTA REALIZANDO EDAN.</t>
  </si>
  <si>
    <t>SE HA PRESENTADO UN ACCIDENTE AÉREO DEL AVIÓN CALIMA C188 MATRÍCULA HK1822 EN LA PISTA LA CEIBA, PILOTO FALLECIDO.</t>
  </si>
  <si>
    <t>CDGRD DEL CHOCO, REPORTA, DOMINGO 31 DE MARZO SE PRESENTÓ, INCENDIO ESTRUCTURAL EN EL SECTOR RIO SALAQUI, COMUNIDAD INDIGENA UNION-CHAMI, 5 VIVIENDAS DESTRUIDAS, 4 VIVIENDAS AVERIADAS, FAMILIAS 10, SIN PERSONAS LESIONADAS, ESTE EVENTO FUE REPORTADO EL DIA DE HOY, REPORTA, DR.  FREDY RAMIREZ CDGRD.</t>
  </si>
  <si>
    <t>SECCIONAL BOYACA INFORMA:  INCENDIO FORESTAL, EXTINGUIDO,  VEREDAS MERCHAN Y SAN LUIS CARDINAL, SE CONSUMIERON: 2 HECTÁREAS.</t>
  </si>
  <si>
    <t>CDGRD DE NORTE DE SANTANDER Y D.C.C., INFORMAN, SE PRESENTÓ INCENDIO FORESTAL,  EXTINGUIDO, SE QUEMARON 8 HECTAREAS DE VEGETACION PARTICIPAN 11 LIDERES VOLUNTARIOS</t>
  </si>
  <si>
    <t>CDGRD DEL TOLIMA, INFORMA, INCENDIO FORESTAL, EXTINGUIDO, KM:5, VÍA ALVARADO, VEREDA: CALUAIMA, FINCA: LOMA LINDA, SE CONSUMIERON. 5 HECTÁREAS DE: BOSQUE NATIVO.</t>
  </si>
  <si>
    <t>CDGRD DEL TOLIMA, INFORMA, INCENDIO ESTRUCTURAL, BARRIO: VILLA EDUARDO, 1 VIVIENDA DESTRUIDA, SIN LESIONADOS.</t>
  </si>
  <si>
    <t>VENDAVAL, AFECTANDO, LOS  CORREGIMIENTOS DE MONTELORO Y SAN LORENZO Y LAS VEREDAS LA DIADEMA, REMOLINOS Y SAN AGUSTÍN, 58 FAMILIAS AFECTADAS EN CULTIVOS, SE SOLICITÓ, INFORMACIÓN AL CDGRD DEL VALLE DEL CAUCA, PENDIENTE AFECTACIÓN EN VIVIENDAS</t>
  </si>
  <si>
    <t>VENDAVAL QUE SE REGISTRÓ EN LOS CORREGIMIENTOS DE EL DOPO, SAN JUAN, RAYITO, MIRAVALLE Y EL CANEY, AFECTÓ A 12 FAMILIAS DE ESOS SECTORES Y DESTRUYÓ CULTIVOS DE PANCOGER, PENDIENTE AFECTACIÓN EN VIVIENDAS.</t>
  </si>
  <si>
    <t>REPORTAN BOMBEROS, EN LA VEREDA RUITOQUE BAJO, SE PRESENTO CONATO DE INCENDIO FORESTAL, QUEMÁNDOSE 200 METROS DE VEGETACIÓN Y ZONA VERDE. NO SE PRESENTÓ AFECTACIÓN DE VIVIENDAS NI DE PERSONAS</t>
  </si>
  <si>
    <t>REPORTAN BOMBEROS, EN EL SECTOR DE NEOMUNDO, CARRETERA ANTIGUA FLORIDABLANCA, SE PRESENTO CONATO DE INCENDIO FORESTAL, QUEMÁNDOSE 10 METROS DE BOSQUES Y BAMBÚES. NO SE PRESENTÓ AFECTACIÓN DE VIVIENDAS NI DE PERSONAS</t>
  </si>
  <si>
    <t>REPORTAN BOMBEROS BUCARAMANGA, EN LA CALLE 36 CON CARRERA 20 DEL BARRIO EL RINCÓN, SE PRESENTO CONATO DE INCENDIO FORESTAL, QUEMÁNDOSE 200 METROS DE VEGETACIÓN, MALEZAS Y BOSQUES NO SE PRESENTÓ AFECTACIÓN DE VIVIENDAS NI DE PERSONAS</t>
  </si>
  <si>
    <t>EN BOCHALEMA LA VEREDA BUENA VISTA SE PRESENTA UN INCENDIO FORESTAL, EL DÍA DE HOY 4/4/2013, VAN AFECTADAS 50 HECTÁREAS, ESTAMOS A LA ESPERA EL DÍA DE MAÑANA DEL APOYO AÉREO DEBIDO A QUE LA TOPOGRAFÍA DEL TERRENO NO PERMITE QUE SE PUEDA  APAGAR DE MANERA MANUAL. ESTA SIENDO ATENDIDO POR BOMBEROS CHINACOTA, DEFENSA CIVIL DE LA VEREDA DON JUANA, LA COMUNIDAD, LA ALCALDÍA Y CORPONOR.</t>
  </si>
  <si>
    <t>CDGRD INFORMA DE LA MISMA MANERA INCENDIO FORESTAL, EN LA VEREDA CALICHE EN EL MUNICIPIO DE RAGONVALIA, YA FUE APAGADO POR BOMBEROS CHINACOTA SE REPORTAN 7 HECTÁREAS AFECTADAS.</t>
  </si>
  <si>
    <t>REPORTA, CDGRD DEL MAGDALENA Y D.C.C,  ORLANDO JIMENEZ EVILLA DE LA SECCIONAL MAGDALENA: VENDAVAL, ACOMPAÑADO DE TORMENTA ELECTRICA OCURRIDA EL 4-04-2013 EN EL M/PIO DE TENERIFE, CORR/TO REAL DEL OBISPO, RESULTANDO 20 VIVIENDAS DESTECHADAS, 20 FAMILIAS AFECTADAS Y 100 PERSONAS. PARTICIPARON 18 LÍDERES DCC</t>
  </si>
  <si>
    <t>CDGRD DE CUNDINAMARCA, INFORMA, TE. PEDRO JOSÉ CÁRDENAS DE BOMBEROS MANTA REPORTA INCENDIO FORESTAL, EXTINGUIDO, EN LA VEREDA BERMEJAL INICIADO A LAS 12:00 Y EXTINGUIDO A LAS 13:00 HORAS DEL 03/04/13 CON AFECTACIÓN DE 0,5,  HECTÁREAS  DE  RASTROJO. ATENDIÓ BOMBEROS MANTA Y COMUNIDAD.</t>
  </si>
  <si>
    <t>CDGRD DE CUNDINAMARCA, INFORMA, JUAN PABLO GARAY BARBOSA COORDINADOR DEL CMGRD DE FOSCA, REPORTA INCENDIO FORESTAL, ACTIVO, EN LA VEREDA QUINCHITA INICIADO A LAS 09:00, ATIENDE CMGRD Y COMUNIDAD.</t>
  </si>
  <si>
    <t>CDGRD DE CUNDINAMARCA, INFORMA, CABO MELGAREJO DE BOMBEROS MPIO DE CAQUEZA,INFORMA A ESTA UNIDAD SOBRE INCENDIO FORESTAL INICIADO EL DÍAS 4/4/13 HACIA LAS 12:00 HORAS DEL DÍA, EN LA VERADA MOYAS SECTOR VELANDIA CONTROLADO Y EXTINGUIDO HACIA LAS 18:30, AFECTANDO 5,0 DE ARBOLES FRUTALES Y MALEZA. ATENDIÓ BOMBEROS CAQUEZA Y CMGRD.</t>
  </si>
  <si>
    <t>CDGRD DE CUNDINAMARCA, INFORMA, MAYOR IVAN VALENZUELA, COORDINADOR DE BOMBEROS, INFORMA A ESTA UNIDAD EL DÍA 5/4/13 SOBRE INCENDIO FORESTAL INICIADO EL DÍA 4/4/13, HACIA LAS 20:00 HORAS  EN LA VEREDA NARANJOS DEL MUNICIPIO DE GAMA Y CONTROLADO  A LAS 21:00 DEL MISMO DÍA, CON AFECTACIÓN DE 3 HECTÁREAS DE VEGETACIÓN NATIVA, PASTOS CHUPÍN Y RASTROJO, ATENDIÓ BOMBEROS GACHETA Y CMGRD MPIO DE GAMA.</t>
  </si>
  <si>
    <t>CDGRD DE CUNDINAMARCA, INFORMA, TENIENTE JORGE EDUARDO ROA COMANDANTE DE  BOMBEROS MUNICIPIO DE TOCANCIPA, INFORMA A ESTA UNIDAD EL DÍA 5/4/13, SOBRE INCENDIO QUE SE INICIO EL DÍA 4/4/13 EN EL MUNICIPIO DE GUATAVITA VEREDA LA ESMERALDA A LAS 16:00 HORAS, ACTUALMENTE SE ENCUENTRA ACTIVO PERO CONTROLADO, CON AFECTACIÓN DE 0,5 HECT DE VEGETACIÓN NATIVA. ATIENDE BOMBEROS MUNICIPIO DE TOCANCIPA.</t>
  </si>
  <si>
    <t>TENIENTE JORGE EDUARDO ROA COMANDANTE DE  BOMBEROS MUNICIPIO DE TOCANCIPA, INFORMA A ESTA UNIDAD EL DÍA 5/4/13, SOBRE INCENDIO QUE SE INICIO EL DÍA 4/4/13 EN EL MUNICIPIO DE GUATAVITA VEREDA CANAVITA A LAS 12:00 HORAS, ACTUALMENTE SE ENCUENTRA ACTIVO PERO CONTROLADO, CON AFECTACIÓN DE 4,0 HECT DE VEGETACIÓN NATIVA Y PINOS. ATIENDE BOMBEROS MUNICIPIO DE TOCANCIPA.</t>
  </si>
  <si>
    <t>TENIENTE PEDRO CÁRDENAS, COMANDANTE DE BOMBEROS DEL MUNICIPIO DE MANTA, REPORTA INCENDIO FORESTAL EN LA VEREDA CAÑADAS DE ESTE MUNICIPIO QUE INICIO A LAS 12:30 HORAS DEL DÍA  05/04/13. CONTROLADO Y EXTINGUIDO A LAS 13:03 HORAS DEL MISMO DÍA, AFECTANDO 0,5 HECTÁREAS DE PASTOS. ATENDIÓ BOMBEROS MANTA Y COMUNIDAD DEL SECTOR.</t>
  </si>
  <si>
    <t>CDGRD DE GUAINIA, INFORMA, LA MUERTE DE 2 INDIGENAS, DE LA COMUNIDAD BERROCAL VITINA, EN HORAS DE LA TARDE, POR CAIDA DE RAYO, LOS FALLECIDOS RESPONDÍAN  A LOS NOMBRES DE CARLOS JULIO RODRIGUEZ  DASILVA DE 17 AÑOS DE EDAD Y  BELARMARIO GARRIDO LOPEZ DE 30 AÑOS.</t>
  </si>
  <si>
    <t>CDGRD DE CALDAS, INFORMA, A RAIZ DE FUERTES, SE AFECTARON: 56 VIVIVENDAS, SITUACIÓN EN DESARROLLO.</t>
  </si>
  <si>
    <t>CDGRD DE ANTIOQUIA, INFORMA, INCENDIO FORESTAL, ACTIVO, SITUACIÓN EN DESARROLLO.</t>
  </si>
  <si>
    <t>CDGRD DEL TOLIMA, INFORMA, VENDAVAL, ACOMPAÑADO DE  LLUVIAS  Y TORMENTA ELÉCTRICA, AFECTO 1 VIVVIENDA, EN TECHO, 3 HABITACIONES, DAÑOS EN MUEBLES Y ENSERES.</t>
  </si>
  <si>
    <t>SE REGISTRA ACCIDENTE DE TRÁNSITO OCURRIDO EN LA RUTA TIERRALTA – MONTERÍA, EN EL SITIO CONOCIDO COMO EL BETANCÍ, DEJÓ DOS PERSONAS MUERTAS Y OTRAS 32 HERIDAS.</t>
  </si>
  <si>
    <t>CDGRD REPORTA SE AFECTO UNA VIVIENDA EN LA MANZANA 2 -3B VILLA NOHEMY, AFECTACION EN TECHO, ATENDIO BOMBEROS DE ESTE MUNICIPIO</t>
  </si>
  <si>
    <t>EL DÍA DE AYER  A LAS 4:35 PM SE PRESENTÓ VENDAVAL EN EL CORREGIMIENTO DE LA LIBERIA EN EL MUNICIPIO DE JAMUNDÍ, SE RECIBIÓ  INFORME HOY EN HORAS DE LA MAÑANA, REPORTAN DOS VIVIENDAS AFECTADAS, YA SE REALIZARON LOS CENSOS RESPECTIVOS LA ADMINISTRACIÓN MUNICIPAL  PROCEDERÁ  A BRINDAR LA ATENCIÓN REQUERIDA POR ESTAS DOS FAMILIAS, REPORTA CDGRD.</t>
  </si>
  <si>
    <t xml:space="preserve">CDGRD REPORTA INCENDIO FORESTAL EN LA VEREDA MERCADILLO, BOMBEROS CAQUEZA SALIO HACIA EL SITIO, 1 AREA DE AFECTACION, CONTROLADO Y EXTINGUIDO </t>
  </si>
  <si>
    <t>CDGRD DEL TOLIMA Y BOMBEROS VOLUNTARIOS, INFORMAN: INUNDACIONES POR FUERTES LLUVIAS. ACOMPAÑADAS DE TORMENTA ELÉCTRICA, AFECTARON 30 VIVIENDAS.</t>
  </si>
  <si>
    <t>D.C.C, INFORMA, INCENDIO FORESTAL, VEREDA:  EL NOGAL, SE CONSUMIERON: 50 HECTÁREAS, EXTINGUIDO.</t>
  </si>
  <si>
    <t>D.C.C, INFORMA, INCENDIO FORESTAL, SITIO: ALTOS DE GUATIGUARA,  SE CONSUMIERON: 8 HECTÁREAS, EXTINGUIDO.</t>
  </si>
  <si>
    <t>D.C.C, INFORMA, INCENDIO FORESTAL, SECTOR, DISTRITO TURISTICO, SE CONSUMIERON: 2 HECTÁREAS, EXTINGUIDO.</t>
  </si>
  <si>
    <t>CDGRD REPORTA HOY EN HORAS DE LA MAÑANA INCENDIO FORESTAL OCURRIDO EN LA TARDE DEL 06/04/2013 EN LA VEREDA DE VARGAS CERCA A LA LAGUNA DE TOTA, CON AFECTACION DE 1 HECTAREA, ATENDIO BOMBEROS DE ESTE MUNICIPIO</t>
  </si>
  <si>
    <t>EN HORAS DE LA NOCHE SE REGISTRO INCENDIO ESTRUCTURAL EN SAN VICTORINO CALLE 12 # 10-69, ATENDIERON BOMBEROS OFICIALES, DEJANDO VARIOS LOCALES COMERCIALES AFECTADOS.</t>
  </si>
  <si>
    <t xml:space="preserve">SOCORRO NACIONAL INFORMA DE INCENDIO ESTRUCTURAL EN ENTE MUNICIPIO EN ZONA CENTRO, CONFIRMA CDGRD, ATENDIERON ORGANISMOS DE SOCORRO COMO LOS BOMBEROS VOLUNTARIOS DE MANZANARES, BOMBEROS DE PENSILVANIA Y BOLIVIA, CRUZ ROJA, DEFENSA CIVIL, POLICÍA NACIONAL, CMGRD Y LA COMUNIDAD, AFECTADOS APROXIMADAMENTE 4 LOCALES.  </t>
  </si>
  <si>
    <t>CDGRD REPORTA INCENDIO FORESTAL EN LA VEREDA EL CERRITO, CON 1 HESTAREA DE AFECTACION ATENDIO PONAL Y CRUZ ROJA EN SALUD, CONTROLADO Y EXTINGUIDO.</t>
  </si>
  <si>
    <t xml:space="preserve">CDGRD REPORTA VENDAVAL EN ESTE MUNICIPIO EN EL BARRIO LA ISABELA AFECTACION EN 1 VIVIENDA EN TECHO Y PERDEDA DE ENSERES DEBIDO A LA LLUVIA. </t>
  </si>
  <si>
    <t>CDGRD REPORTA VENDAVAL EN ESTE MUNICIPIO EN LA CRA 18 CON AFECTACION A 2 VIVIENDAS EN TECHOS Y ENSERES, 2 FAMILIAS, CMGRD REALIZARA ENTREGA DE DE AYUDAS, EN SEGUIMIENTO.</t>
  </si>
  <si>
    <t>CDGRD REPORTA INCENDIO FORESTAL EN LA VEREDA TOMINE DEL INDIO, EN LIMITES CON EL MUNICIPIO DE TOCANCIPA, BOMBEROS BOGOTA,TOCANCIPA,SOPO,CHIA, CAR, PONALSAR, CRUZ ROJA, ADELANTAN LABORES DE EXTINCION DESDE LAS PRIMERAS HORAS DEL DIA DE HOY. REPORTE 07-04-13, EL DIA DE HOY SE INICIARON LABORES PARA EXTINCION DE ESTE INCENDIO POR PARTE DE LOS ORGANISMOS DE SOCORRO, CDGRD REPORTA YA ESTA CONTROLADO Y EN FASE DE REFRIGERACION, REPORTA AFECTACION EN APROXIMADAMENTE 10 HECTAREAS.</t>
  </si>
  <si>
    <t>D.C.C, INFORMA, INCENDIO FORESTAL, EXTINGUIDO, VEREDA: LA MADERA, SE CONSUMIERON: 45 HECTÁREAS, 3 FAMILIAS AFECTADAS EN CULTIVOS.</t>
  </si>
  <si>
    <t>INFORMACIÓN REPORTADA POR EL CDGRD DE VALLE DEL CAUCA. VENDABAL OCURRIDO EN EL SECTOR RURAL, VEREDAS LA CRISTALINA, LA CECILIA, ALTO BOLEO, BAJO BOLEO Y RIO BRAVO, SITUACION QUE DEJO AFECTADAS 23 FAMILIAS, LAS CUALES PERDIERON TOTALMENTE LOS TECHOS DE LAS VIVIENDAS.</t>
  </si>
  <si>
    <t>SE PRESENTO UN IF DESDE LE DIA SABADO 6 DE ABRIL EN LE CERRO DEL VENADO, ATENDIERON BOMBEROS DE YOPAL, DCC. SE CONSUMIERON 40 HECTAREAS.</t>
  </si>
  <si>
    <t>SE PRESENTO UN FUERTE AGUACERO EN LA CIUDAD DE FLORENCIA AFECTANDO ALCANTARILLADO Y REBOSAMIENTO DE AGUAS EN VIA PUBLICA.</t>
  </si>
  <si>
    <t>REPORTA EL CDGRD QUE EN LA VIA DE ITSMINA A MEDIO BUADO,SE AFECTA LA BANCA A LA MARGEN DEL RIO CURUNDO, HASTAEL MOMENTO SE VE AFECTADA LA CASA CURAL, UNA ESCUELA 3 VIVIENDAS  UN COMEDOR ESCOLAR, EN ESTE MOMENTO SE ESTA REALIZANDO EDAN.</t>
  </si>
  <si>
    <t>MAURICIO ORTIZ SARMIENTO DE LA UMATA DEL MUNICIPIO DE YACOPI, REPORTA VENDAVAL CON FUERTES LLUVIAS OCURRIDO EL DÍA 08/04/13 ENTRE LAS 05:00 Y LAS 06:00 HORAS CON AFECTACIONES 20 VIVIENDAS, CON 20 FAMILIAS Y 100 PERSONAS, QUIENES TUVIERON PERDIDA DE TECHOS, MUEBLES, ENSERES Y ELECTRODOMÉSTICOS POR ENCHARCAMIENTO Y LODO, EN LOS BARRIOS LOMA LINDA, CHAPINERO, BUENOS AIRES, LA SOLEDAD Y EN LAS VEREDAS ALONSO, PASUNCHA, VINCHE Y LA GLORIETA, REQUIEREN AYUDAS HUMANITARIAS Y TEJAS DE ETERNIT Y ZINC. ATENDIÓ CMGRD  Y POLICÍA</t>
  </si>
  <si>
    <t>MARLEN LANCHEROS DEL CMGRD DEL MUNICIPIO DE LA PALMA, REPORTA VENDAVAL ACOMPAÑADO DE FUERTES LLUVIAS OCURRIDO EL DÍA 04/04/12 ENTRE LAS 21:00 Y 22:00 HORAS CON AFECTACIÓN DE DE 18 FAMILIAS, 90 PERSONAS QUIENES SUFRIERON PERDIDA DE TEJADOS, MUEBLES, ENSERES Y PRODUCTOS DE DESPENSA, LA ALCALDÍA Y LA CASA CURAL SUFRIERON PERDIDA DE TEJADOS, HUBO CAÍDA DE ARBOLES QUE DAÑARON LA RED ELÉCTRICA DEJANDO EL MUNICIPIO SIN SERVICIO DE ENERGÍA ELÉCTRICA. ATENDIÓ CMGRD Y SOLICITA AYUDAS HUMANITARIAS CON 500 TEJAS DE ZINC, COLCHONES, FRAZADAS, KITS DE COCINA Y MERCADOS..</t>
  </si>
  <si>
    <t>A LAS 5:20 PM FUERTE VENDAVAL AFECTO EN EL MUNICIPIO EL CERRITO LOS BARRIOS: TEATRINO, BALCONES DE LA MERCED, CINCUENTENARIO, SANTA MONICA Y EL CENTRO; TECHOS COLAPSADOS, ARBOLES CAIDOS Y SIN ENERGIA. ESTE INFORME ES RELIMINAR DE BOMBEROS</t>
  </si>
  <si>
    <t>CDGRD REPORTA QUE EL DIA 07/04/2013 EN HORAS DE LA NOCHE, SE REGISTRO VENDAVAL EN ESTE MUNICIPIO, POR LO CUAL CMGRD ATIENDIO 2 VIVIENDAS CON DAÑOS EN CUBIERTAS, NO LESIONADOS U OTRO.</t>
  </si>
  <si>
    <t>CDGRD REPORTA INCENDIO FORESTAL EN EL SECTOR DEL SALADO, CON 1 HECTAREA DE AFECTACION, CONTROLADO Y EXTINGUIDO, ATENDIO BOMBEROS.</t>
  </si>
  <si>
    <t>CMDGRD EN CABEZA DEL ALCALDE INFORMA QUE EFECTIVAMENTE SE PRESENTARON FUERTES LLUVIAS ACOMPAÑADAS DE GRANIZO, CRECIENTE DE LOS DOS RIOS AFECTO ALGUNAS VIVIENDAS POR ENTRADA DE BARRO, HOY ADELANTARAN LABORES DE EDAN TAMBIEN EN ZONA RURAL.</t>
  </si>
  <si>
    <t>EL CUERPO DE BOMBEROS VOLUNTARIOS DE IBAGUÉ INFORMÓ QUE EL FUERTE AGUACERO QUE SE REGISTRÓ AYER EN IBAGUÉ, ENTRE LAS 7 Y 8:30 DE LA MAÑANA, OCASIONÓ INUNDACIONES EN TRES PUNTOS Y CAÍDA DE RAMAS EN DISTINTOS SECTORES DE LA CIUDAD</t>
  </si>
  <si>
    <t>SE REALIZA REPORTE CON LAS UNIDADES DE POLICÍA MÁLAGA, MACARAVITA Y SAN MIGUEL, DE IGUAL FORMA CON LOS BOMBEROS DE CONCEPCIÓN, MACARAVITA, UNIDADES QUE INFORMAN QUE EL INCENDIO AUN CONTINUA YA QUE LA ZONA DONDE SE PRESENTA ES UNA ZONA DE MUY DIFÍCIL ACCESO Y CUENTAN CON RECURSOS MUY LIMITADOS PARA LA ATENCIÓN DE ESTA CLASE DE CONFLAGRACIONES. ES DE ANOTAR QUE ESTE INCENDIO YA LLEVA DOS DÍAS Y SU CONTROL A SIDO MUY DIFÍCIL.</t>
  </si>
  <si>
    <t>REPORTAN DEL CDGRD QUE EN LA VEREDA DE TORNO ROJO SE PRESENTO UN INCEDIO ESTRUCTURAL AFECTANDO A 2 VIVIENDAS.</t>
  </si>
  <si>
    <t>TENIENTE PEDRO CÁRDENAS, DE BOMBEROS MANTA REPORTA  INCENDIO FORESTAL PRESENTADO EL DÍA 07/04/13, EN LA VEREDA MINAS DEL MUNICIPIO DE MANTA INICIADO HACIA LA 15:00 HORAS Y EXTINGUIDO A LAS 20:00 HORAS EL MISMO DÍA, CON AFECTACIÓN DE 2 HECTÁREAS DE RASTROJO. ATENDIÓ BOMBEROS MANTA.</t>
  </si>
  <si>
    <t>MY. IVÁN DARÍO VALENZUELA DE BOMBEROS GACHETA REPORTA INCENDIO FORESTAL EN LA VEREDA SAN FRANCISCO  INICIADO A LAS 16:00 Y EXTINGUIDO A LAS 18:00 HORAS CON AFECTACIÓN DE 3 HECTÁREAS DE RASTROJO. ATENDIÓ BOMBEROS GACHETA.</t>
  </si>
  <si>
    <t>CABO MELGAREJO DE BOMBEROS DE CAQUEZA, INFORMA  INCENDIO FORESTAL INICIADO EL DÍA 6/4/13 HACIA LAS 19:00 HORAS , EN LA VERADA GIRÓN PARTE BAJA, EXTINGUIDO HACIA LAS 21:00, HORAS CON  AFECTACIÓN DE 3  HECTÁREAS DE CAÑA BRAVA Y PASTOS, ATENDIÓ BOMBEROS CAQUESA CON APOYO DE LA POLICÍA NACIONAL.</t>
  </si>
  <si>
    <t>CABO MELGAREJO DE BOMBEROS DE CAQUEZA, INFORMA  INCENDIO FORESTAL INICIADO EL DÍA 6/4/13 HACIA LAS 15:30, EN LA VERADA ALTO DE LA CRUZ, EXTINGUIDO HACIA LAS 18:00, HORAS, CON  AFECTACIÓN DE  1 HECTÁREAS DE RASTROJO, ATENDIÓ BOMBEROS CAQUESA CON APOYO DE LA POLICÍA NACIONAL.</t>
  </si>
  <si>
    <t>CABO MELGAREJO DE BOMBEROS DE CAQUEZA, INFORMA  INCENDIO FORESTAL INICIADO EL DÍA 5/4/13 HACIA LAS 12:00 HORAS , EN LA VERADA TUSATA PRIMERA, EXTINGUIDO HACIA LAS 17:00, HORAS CON  AFECTACIÓN DE 4 HECTÁREAS DE RASTROJO, ATENDIÓ BOMBEROS CAQUESA CON APOYO DE LA DEFENSA CIVIL.</t>
  </si>
  <si>
    <t xml:space="preserve">TENIENTE PEDRO CÁRDENAS, REPORTA A ESTA UNIDAD EL DÍA 5/4/13 SOBRE INCENDIO FORESTAL PRESENTADO EL DÍA 4/4/13, EN LA VEREDA FUGUNTA DEL MUNICIPIO DE TIBIRITA INICIADO HACIA LA 16:00 HORAS Y EXTINGUIDO A LAS 19:00 HORAS EL MISMO DÍA, CON AFECTACIÓN DE 4 HECTÁREAS DE BOSQUE NATIVO Y PASTOS DE CORTE. ATENDIÓ BOMBEROS MANTA. </t>
  </si>
  <si>
    <t>NELSON AHUMADA DE LA UMATA DEL MUNICIPIO DE VILLA GOMEZ REPORTA QUE DURANTE LOS DÍAS 5, 6 Y 7/04/13 SE PRESENTARON FUERTES VIENTOS ACOMPAÑADOS DE  LLUVIAS QUE AFECTARON 50 VIVIENDAS CON 50 FAMILIAS Y 240 PERSONAS CON PÉRDIDAS DE TECHOS, MUEBLES, ENSERES Y CULTIVOS EN EL BARRIO EL CENTRO Y LAS VEREDAS CERRO AZUL, CAIPAL, LA UNIÓN, LA MARÍA, MANCIPA, EL RETIRO, POTOSÍ, ARGENTINA, MITACAS, CAMPAMENTO, BUENA VISTA Y VERAGUITAS. ATIENDE CMGRD, DEFENSA CIVIL Y POLICÍA QUIENES ADELANTAN CENSO DE AFECTACIONES Y NECESIDADES.</t>
  </si>
  <si>
    <t>ALEJANDRO LINARES ALCALDE DE TOPAIPI REPORTA VENDAVAL CON FUERTES LLUVIAS, OCURRIDO A LAS 18:00 HORAS DEL DÍA 08/04/13, EL CUAL OCASIONO DESLIZAMIENTO EN 12 VÍAS VEREDALES,  PERDIDA DE TECHOS EN 3 CENTROS EDUCATIVOS Y 50 VIVIENDAS, EN LAS CUALES ADEMAS HUBO PERDIDA DE,  MUEBLES , ENSERES Y ELEMENTOS DE COCINA,  CMGRD ADELANTA CENSO DE AFECTACIONES Y NECESIDADES Y REALIZA REMOCIÓN DE ESCOMBROS EN LAS VÍAS AFECTADAS CON UNA RETROEXCAVADORA. SOLICITA APOYO CON AYUDAS HUMANITARIAS Y TEJAS PARA REPARACION DE LOS TECHOS.</t>
  </si>
  <si>
    <t>REPORTAN DEL CMGRD , QUE SE PRESENTO UN VENDAVAL EN HORAS DE LA TARDE AFECTANDO A 6 FAMILIAS, CON PERDIDA TE CUBIERTA.</t>
  </si>
  <si>
    <t>EN HORAS DE LA TARDE SE PRESENTO IN IF EN EL SECTOR DE BARBOSA CENTRAL DONESE CONSUMIO 6 HECTAREAS APOYO BOMBEROS DE  GIRARDOTA, Y BARBOSA, UN BOMBERO RESULTO LESIONADO CON QUEMADURAS Y OTRO CON  LACERACIONES LEVES. INFORMA CDGRD GILBERTO MAZO.</t>
  </si>
  <si>
    <t>CDGRD DE ANTIOQUIA, INFORMA, INCENDIO FORESTAL, ACTIVO, CERRO: LA CRUZ, SE HAN CONSUMIDO: 4 HECTÁREAS, SITUACIÓN EN DESARROLLO.</t>
  </si>
  <si>
    <t>CDGRD DE ANTIOQUIA, INFORMA, CONTINUA ACTIVO, INCENDIO FORESTAL, CERRO. QUITASOL, LLEVA TRES DÍAS, SE HAN CONSUMIDO: 60 HECTÁREAS DE: RASTROJO, CULTIVOS DE PINOS, APOYAN BOMBEROS DE: BELLO, COPACABANA, ITAGUI, SABANETA Y ENVIGADO, REITERAN SOLICITUD DE APOYO AÉREO, ES TAN DIFÍCIL EL ACCESO AL SITIO DONDE DOS FOCOS SEGUÍAN ARDIENDO ANOCHE QUE SE DEMORAN CINCO HORAS CAMINANDO PARA LLEGAR ALLÍ, SITUACIÓN EN DESARROLLO.</t>
  </si>
  <si>
    <t>D.C.C, INFORMA, INCENDIO ESTRUCTURAL, BARRIO: LA PLATA, 1 VIVIENDA DESTRUIDA, SIN LESIONADOS.</t>
  </si>
  <si>
    <t>D.C.C, INFORMA, INCENDIO FORESTAL, EXTINGUIDO, VEREDA: CALICHES, 7 HECTÁREAS CONSUMIDAS DE VEGETACIÓN NATIVA.</t>
  </si>
  <si>
    <t>NO DECLARO CALAMIDAD PUBLICA</t>
  </si>
  <si>
    <t>PENDIENTE</t>
  </si>
  <si>
    <t>SE SOLICITO APOYO A NIVEL REGIONAL TENIENDO EN CUENTA APOYO BRINDADO PARA EL SISMO DEL 9 DE FEBRERO</t>
  </si>
  <si>
    <t>GERARDO RIOS MIEMBRO DE LA GESTIÓN DE RIESGO DEL MUNICIPIO DE GAMBITA QUE EL DÍA ANTERIOR DESDE LAS 18:00 HORAS HASTA LAS 21:15 APROXIMADAMENTE SE PRESENTO UN VENDAVAL ACOMPAÑADO DE GRANIZO QUE CAUSO DAÑOS EN ALGUNAS VEREDAS Y EL CASCO URBANO, EN EL MOMENTO DESPUÉS DE HACER UNA INSPECCIÓN A LAS VEREDAS AFECTADAS MENCIONADO FUNCIONARIO INFORMA, QUE EN LA VEREDA CARRERA SE AFECTARON LOS TECHOS DE 10 CASAS, EN LA VEREDA JUAN NEGRA SE AFECTARON LOS TECHOS DE 16 CASAS Y LA ESCUELA , DONDE SE PRESENTO UN DESLIZAMIENTO, EN EL CASCO URBANO SE DESTECHARON DOS CASAS, DE IGUAL FORMA REPORTA QUE SE ENCUENTRAN AFECTADAS 106 PERSONAS DE LAS CUALES HAY 46 NIÑOS Y 60 ADULTOS.</t>
  </si>
  <si>
    <t>13-0208</t>
  </si>
  <si>
    <t>13-0212</t>
  </si>
  <si>
    <t>ATENCIÓN DE INUNDACIÓN EN PEQUEÑAS PROPORCIONES B/ ALASKA MZ G 4 NO 7; NO SE REGISTRARON AFECTACIONES DE CONSIDERACIÓN LA INUNDACIÓN SE GENERO POR TAPONAMIENTO DE LA REDES  DE ALCANTARILLADO, LA SITUACIÓN FUE ATENDIDA POR EL CUERPO DE BOMBEROS DE ESTE MUNICIPIO</t>
  </si>
  <si>
    <t>REPORTA HACE UNA HORA AFECTACION POR LAS LLUVIAS DE LA NOCHE ANTERIOR AFECTACION DE 4 VEREDAS LA SOLEDAD,EL BILLANTE, SARDINEROS, GUAYAQUIL ALTO AL MOMENTO EN DESARROLLO DE EDAN</t>
  </si>
  <si>
    <t>EN LA NOCHE DEL DIA 10 DE ABRIL SE PRESENTO UN VENDAVAL, VOLUTARIOS DE LA CRUZ ROJA REALIZAN EDAN EN ELE DIA DE HOY, SE ESPERA INFORMACION POR PARTE DE LOS VOLUNTARIOS DE CRC.</t>
  </si>
  <si>
    <r>
      <t>TENIENTE PEDRO CÁRDENAS COMANDANTE DE BOMBEROS DEL MUNICIPIO DE MANTA, INFORMA EL DÍA 11-04-13 A LAS 10:38 AM, SOBRE INCENDIO FORESTAL EN LA VEREDA QUIMBITA DE ESTE MUNICIPIO, EL CUAL SE INICIO EL DÍA 10-04-13 A LAS 20:00 HORAS Y EXTINGUIDO A LA 03:00 HORAS DEL DÍA 11-04-13 AFECTANDO 3 HECTÁREAS DE BOSQUE NATIVO Y PASTOS. ATENDIÓ BOMBEROS MANTA</t>
    </r>
    <r>
      <rPr>
        <sz val="10"/>
        <rFont val="Arial"/>
        <family val="2"/>
      </rPr>
      <t>.</t>
    </r>
  </si>
  <si>
    <t>EL SARGENTO REYNALDO PADILLA DE BOMBEROS CHIPAQUE, REPORTA INCENDIO FORESTAL OCURRIDO AYER MIÉRCOLES 10-04-13 EN LA VEREDA TIMACITA, VÍA A EL MUNICIPIO DE UNE EN LA FINCA EL CAUCHO DE PROPIEDAD DE ROBERTO SANTOS, EL CUAL COMENZÓ A LA 13.30 HORAS Y QUEDO EXTINGUIDO A LA 17:00 HORAS DEJANDO UNA AFECTACIÓN DE 5,00 HECTÁREAS DE VEGETACIÓN NATIVA Y PASTOS MEJORADOS, Y AFECTO TAMBIÉN 2 NACEDEROS DE AGUA. ATENDIÓ BOMBEROS CHIPAQUE</t>
  </si>
  <si>
    <t>EN HORAS DE LA MADRUGADA SE PRESENTO UN VENDAVAL AFECTANDO A 25 VIVIENDAS, SE ESTA REALIZNADO EDAN.</t>
  </si>
  <si>
    <t>EN HORAS DE LA MADRUGADA SE PRESENTO UN FUERTE AGUACERO  AFECTANDO A VARIAS VIVIENDAS, POR REBOSAMIENTO  SE ESTA REALIZNADO EDAN.</t>
  </si>
  <si>
    <t>SE PRESENTO UN FUERTE VENDALVAL EN LA NOCHE DEL 24 DE MARZO, SE HIZO ASISTENCIA HUMANITARIA POR PARTE DEL CMGRD DE IBAGUE, REPORTA JOSE FELIX SALGADO</t>
  </si>
  <si>
    <t>SE PRESENTO UNA INUNDACIONL EN LA NOCHE DEL 24 DE MARZO, SE HIZO ASISTENCIA HUMANITARIA POR PARTE DEL CMGRD DE IBAGUE, REPORTA JOSE FELIX SALGADO</t>
  </si>
  <si>
    <t>EL CDGR DE MAGDALENA INFORMÓ QUE EN EL ÁREA DEL PARQUE ISLA SALAMANCA, FRENTE A BARRANQUILLA, SE REGISTRAN DOS INCENDIOS, HASTA EL MOMENTO SE HA CONSUMIDO UNAS 4 HECTÁREAS DE MANGLE EN LA RESERVA NATURAL</t>
  </si>
  <si>
    <t>CÉSAR AUGUSTO HERNÁNDEZ CORREA, DIRECTOR DEL DAPARD, INFORMÓ QUE DEL BUQUE CROWN EMERALD, SE DERRAMARON CERCA DE 3.8 TONELADAS DE UN COMBUSTIBLE DENOMINADO COMO LFO380, UNA MEZCLA ENTRE DESTILADOS Y RESIDUALES DE HIDROCARBUROS DE LOS MIL GALONES VERTIDOS AL MAR EN ESTE INCIDENTE, SE CONTINUAL CONLA CAPTACIÓN DEL MATERIAL DERRAMADO</t>
  </si>
  <si>
    <t>BOMBEROS DE  ROVIRA  REPORTO INCENDIO FORESTAL EN LA VEREDA BOQUERON DONDE SE AFECTO 1 HEC. DE VEGETACION NATIVA FUE APOYADO POR 5 UNIDADES FUE CONTROLADO SOBRE LAS 17:06 SIN MAS DETALLES.</t>
  </si>
  <si>
    <t>LA FUERTES LLUVIAS QUE SE REGISTRAN EN BUENA PARTE DE LA CIUDAD CAUSARON LA INUNDACIÓN DE LA SEDE DEL COLEGIO UNIÓN COLOMBIA, SITUADO CARRERA 7A. CON CALLE 182, NORTE DE BOGOTÁ.LOS ORGANISMOS DE SOCORRO EVACUARON A TODOS LOS ALUMNOS, PUES EL AGUA AFECTÓ LAS INSTALACIONES DEL PLANTEL EDUCATIVO AL MENOS 600 ALUMNOS FUERON EVACUADOS DEL PLANTEL EDUCATIVO, UBICADO EN EL BARRIO TIBABITÁ, DE LA LOCALIDAD DE USAQUÉN. OTRO PUNTO CRÍTICO POR EL FUERTE AGUACERO ES LA AUTOPISTA NORTE CON CALLE 193. EN ESE LUGAR ALGUNAS PERSONAS ESTÁN ATRAPADAS EN SUS VEHÍCULOS POR EL NIVEL DE LAS AGUAS</t>
  </si>
  <si>
    <t>CMGRD REPORTA INUNDACION EN ESTE MUNICIPIO EN EL CORREGIMIENTO DE MINAS, AFECTANDO A 27 FAMILIAS, IGUAL NUMERO DE VIVIENDAS, APROXIMADAMENTE 104 PERSONAS, SITUACION EN DESARROLLO, CONFIRMA CDGRD DR SANDY SEPULVEDA.</t>
  </si>
  <si>
    <t>SUBSIDIO DE ARRRIENDO TEMPORAL PARA 17 FAMILIAS AFECTADAS POR LAS INUNDACIONES 2010 - 2011  POR TRES MESES A RAZON DE $200.000 MENSUAL</t>
  </si>
  <si>
    <t>11-04-2013 18:00 HORAS, INFORMA MILTON MORA COMANDANTE DE BOMBEROS QUE EL INCENDIO PRESENTADO EN LAS VEREDAS DE PIEDRA BLANCA Y DE PORTUGAL, FUE APAGADO TOTALMENTE, QUEMÁNDOSE 73 HECTÁREAS DE VEGETACIÓN, BOSQUES, RASTROJOS, CON EL APOYO DE BOMBEROS FLORIDABLANCA, POLICÍA NACIONAL, DEFENSA CIVIL Y PERSONAS DEL MUNICIPIO. NO SE PRESENTÓ AFECTACIÓN DE PERSONAS NI DE VIVIENDAS.</t>
  </si>
  <si>
    <t>REPORTA INUNDACION Y VENDAVAL A CAUSA DE FUERTES LLUVIAS EN LAS VEREDAS GUINEO, BUEY, DUADE, CHONTADURO, DAWE, CALLE DEL CEDRO, PAPAGALLO, URUBA, CHAPISAL, SANTA BARBARA Y TADOCITO, DEJANDO 222 VIVIENDAS AVERIADAS, 11 VIVIENDAS INHABITABLES, 245 FAMILIAS DAMNIFICADAS, REPORTA FREDY RAMIREZ COORDINADOR CDGRD QUE INFORMA QUE SOLO HASTA LA NOCHE DE AYER LE PASARON EL REPORTE YA QUE EL MUNICIPIO QUEDA A 4 DIAS DE DISTANCIA Y ALLA NO HAY COMUNICACIONES NI POR VIA CELULAR.</t>
  </si>
  <si>
    <t>REPORTA INCENDIO ESTRUCTURAL EN EL BARRIO MINUTO DE DIOS, DEJANDO 1 VIVIENDA AVERIADA DE 3 PISOS DE LOS CUALES LOS PISOS 2 Y 3 RESULTARON AVERIADOS, 1 FAMILIA DAMNIFICADA. REPORTA FREDY RAMIREZ CDGRD.</t>
  </si>
  <si>
    <t>REPORTA INCENDIO FORESTAL EN LA VEREDA MOZUL, SECTOR LAGUNA VERDE, ATIENDEN BOMBEROS Y PARQUE NACIONAL NATURAL DE LOS NEVADOS, INCENDIO ACTIVO, SITUACION EN DESARROLLO. REPORTA CDGRD.</t>
  </si>
  <si>
    <t>REPORTA LA SECRETARIA DE GOBIERNO DE TABIO, LUZ HELENA MORALES, INUNDACIÓN POR FUERTES LLUVIAS OCURRIDAS EL DÍA 11/04/13, , EN LOS SECTORES ESTRELLA DEL NORTE, CRA. 1 CON CALLE 7 Y CRA. 2 CON CALLE 6 DEJANDO COMO SALDO 2 FAMILIAS AFECTADAS EN DOS VIVIENDAS CON PERDIDA DE MUEBLES Y ENSERES. ATENDIÓ BOMBEROS TABIO Y CMGRD. REPORTA CDGRD.</t>
  </si>
  <si>
    <t>REPORTA INCENDIO FORESTAL EN KM 4 VIA A TASCO, ATIENDEN PONAL, DCC, CMGRD, INCENDIO ACTIVO, REPORTA CDGRD ALIRIO ROZO. SITUACION EN DESARROLLO.</t>
  </si>
  <si>
    <t>REPORTA VENDAVAL EL CUAL AFECTO 5 MODULOS DE ALOJAMIENTO TEMPORAL, 20 VIVIENDAS AVERIADAS, 20 FAMILIAS, CMGRD REALIZANDO EDAN EN EL MOMENTO, REPORTA EDINSON PALMA CDGRD, SITUACION EN DESARROLLO.</t>
  </si>
  <si>
    <t>REPORTA VENDAVAL EN LAS VEREDAS CACHAYA Y LA PALMA, 10 VIVIENDAS AVERIADAS, 10 FAMILIAS, CMGRD REALIZA EDAN AL MOMENTO. REPORTA ORLANDO GARZON CDGRD.</t>
  </si>
  <si>
    <t>REPORTA INCENDIO FORESTAL EN LA VEREDA BAJO OLIVO, ACTIVO, REPORTA ORLANDO GRAZON CDGRD, SITUACION EN DESARROLLO.</t>
  </si>
  <si>
    <t>REPORTA INCENDIO FORESTAL EN INSPECCION DE PACARNI, ACTIVO, REPORTA ORLANDO GRAZON CDGRD, SITUACION EN DESARROLLO.</t>
  </si>
  <si>
    <t>REPORTA COLAPSO PARCIAL DE CUBIERTA EN 1 VIVIENDA A CAUSA DE FUERTES LLUVIAS QUE OCASIONARON DEBILITAMIENTO DE LA ESTRUCTURA, EN EL SECTOR DEL BOSQUE, ATENDIO CMGRD. REPORTA CMGRD.</t>
  </si>
  <si>
    <t>SE PRESENTO CONATO DE INCENDIO EN LOS ALREDEDORES DEL MUNICIPIO DE MÁLAGA, DE APROXIMADAMENTE 400 METROS, EL CUAL FUE CONTROLADO POR LOS BOMBEROS DE LA POBLACIÓN, NO HUBO COMPROMISO DE VIVIENDAS NI DE VIDAS HUMANAS.</t>
  </si>
  <si>
    <t xml:space="preserve">SE PRESENTO CONATO DE INCENDIO EN EL MUNICIPIO DE PIEDECUESTA SECTOR LOS ERMITAÑOS DONDE SE QUEMO UN CUARTO DE HECTÁREA DE BOSQUE NATIVO NO HUBO COMPROMISO DE VIVIENDAS NI LESIONADOS. </t>
  </si>
  <si>
    <t>SE PRESENTO UN CONATO DE INCENDIO ESTRUCTURAL EN EL MUNICIPIO DE GIRÓN, BARRIO RINCÓN DE GIRÓN CALLE 34 CON CARRERA 18, EL CUAL FUE CONTROLADO POR LOS BOMBEROS DE LA ESTACIÓN CHIMITA, DONDE HUBO PÉRDIDAS MATERIALES POR, NO HUBO LESIONADOS</t>
  </si>
  <si>
    <t>CDGRD REPORTA CONTROL DE INCENDIO FORESTAL EN ESTE MUNICIPIO , ESTÁ PENDIENTE LA CONFIRMACIÓN DE LAS HECTÁREAS AFECTADAS PARA MAÑANA O EL LUNES POR PARTE DE CORTOLIMA</t>
  </si>
  <si>
    <t>REPORTA TORMENTA Y VENDAVAL, EL LA VEREDA DE SAN JOSE DE MORARIO, FINCA EL LIMON, EVENTO QUE OCASIONO CAIDA DE ÀRBOL DE GRAN ALTURA QUE DESTRUYO TOTALMENTE LA VIVIENDA DEL SEÑOR RODOLFO GOMEZ LEON, QUEN PRESENTA HERIDA ABIERTA EN LA CABEZA Y CONTUSIONES EN EL CUERPO, SIENDO TRASLADADO AL HOSPITAL DE SAN GIL Y POR SU GRAVEDAD AL HOSPITAL UNIVERSITARIO DE SANTANDER. REPORTA CDGRD</t>
  </si>
  <si>
    <t xml:space="preserve">REPORTA INCENDIO FORESTAL EN LA VEREDA ALTOS DE GUATIGUARA, AFECTANDO 3 HECTÀREAS DE VEGETACIÒN NATIVA Y BOSQUES. CONTROLADO Y EXTINGUIDO POR BOMBEROS.REPORTA CDGRD
</t>
  </si>
  <si>
    <t xml:space="preserve">REPORTA INCENDIO FORESTAL EN EL BARRIO MONTERREDONDO, AFECTANDO 3 HECTÀREAS DE VEGETACIÒN NATIVA. CONTROLADO Y EXTINGUIDO POR BOMBEROS.REPORTA CDGRD.
</t>
  </si>
  <si>
    <t>CDGRD REPORTA EXTINCION DE INCENDIO FORESTAL PARQUE ISLA DE SALAMANCA EN EL MUNICIPIO DE SITIONUEVO, APOYARON BOMBEROS CIENAGA, FUERZA AERA REALIZA 32 DESCARGAS, LA CAR APROXIMA 100 HECTAREAS DE VEGETACION AFECTADA.</t>
  </si>
  <si>
    <t>CDGRD Y LA DIRECCION NACIONAL DE BOMBEROS REPORTAN CONTROL  DE INCENDIO FORESTAL EN BATALLON PEDRO NEL OSPINA CON UN APROXIMADO PARCIAL DE 8 HECTAREAS.</t>
  </si>
  <si>
    <t>CDGRD REPORTA INCENDIO FORESTAL EN ESTE MUNICIPIO EN LA VEREDA GOTUA, CERCANO A UNAS ANTENAS DE TELEFONIA MOVIL, SITUACION EN DESARROLLO.</t>
  </si>
  <si>
    <t>CDGRD INFORMA QUE EL DIA DE HOY SE REALIZO VISITA AL MUNICIPIO DE PUERTO RICO Y REPORTA AFECTACION DE 98 VIVIENDAS POR DESTECHAMIENTO EN EL CASCO URBANO, EN EL CASERI ESMERALDA DE 8 VIVIENDAS Y DEL SECTOR RURAL NO SE TIENE REPORTE, IGUALMENTE REPORTA UNA ADULTO MAYOR LESIONADA, EN SEGUIMIENTO.</t>
  </si>
  <si>
    <t>CDGRD REPORTA EN ESTE MUNICIPIO SE PRESENTO VENDAVAL AFECTANDO A 30 VIVIENDAS EN SUS TECHOS,  2 DE ELLAS PARA REUBICACION Y 11 PREDIOS AFECTADOS EN SUS CULTIVOS.</t>
  </si>
  <si>
    <t>REPORTA INCENDIO FORESTAL EN VEREDA EL VOLCAN, AFECTANDO 1 HECTAREA DE BOSQUE CULTIVADO. CONTROLADO Y EXTINGUIDO POR BOMBEROS. REPORTA CDGRD</t>
  </si>
  <si>
    <t>VEREDA NUEVA JERUSALEM.</t>
  </si>
  <si>
    <t>INFORMA EL SR  SANDY SEPULVEDA CORDINADOR DEL CDGRD DEL CESAR  QUE MIEMBROS DE LA COMUNIDAD DE SABANA ALTA MUNICIPIO DE LA PAZ INFORMARON VIA TELEFONICA DE QUE UN AGUACERO CON FUERTES BRISAS AFECTO UNAS VIVIENDAS  PRODUCIENDO DAÑOS EN  SUS TECHOS Y ENSERES.</t>
  </si>
  <si>
    <t>REPORTA INCENDIO FORESTAL DE CULTIVO DE PINO EN LA VEREDA HATO LAGUNA, SE PRESENTA TIPO SUBTERRANEO Y DE COPA, EL CUAL INICIO A LAS 16:00 HRS, LO ATIENDEN BOMBEROS, REPORTAN A LAS 19:00 HRS CESE DE OPERACIONES PREVIA INSPECCION EN LA ZONA SOBRE 3 VIVIENDAS PARA VALIDAR SI ESTAN EN RIESGO, PARA EL DIA DE MAÑANA APOYARA OPERACIONES LA DCC, REPORTA ALIRIO ROZO CDGRD, SITUACION EN DESARROLLO</t>
  </si>
  <si>
    <t>REPORTA REACTIVACION INCENDIO FORESTAL EN EL CERRO CHACON EL CUAL ESTA SUBTERRANEO, ATIENDEN EMPRESA PRIVADA, DCC Y CRUZ ROJA YA QUE EN EL MUNICIPIO YA NO HAY BOMBEROS, EL CDGRD ENVIA MAQUINARIA EL DIA DE MAÑANA PARA EL CONTROL Y EXTINCION DEL FUEGO, REPORTA ALIRIO ROZO CDGRD, SITUACION EN DESARROLLO</t>
  </si>
  <si>
    <t xml:space="preserve">REPORTA, VENDAVAL, EN LA VEREDA DE EL COPERO, CAUSANDO DAÑOS A LA ESCUELA, DESTECHÁNDOLA PARCIALMENTE. NO SE AFECTARON VIVIENDAS DE LA MISMA VEREDA. AUTORIDADES MUNICIPALES Y POLICIALES SE DESPLAZAN A LA VEREDA A VERIFICAR LOS DAÑOS. REPORTA CDGRD
</t>
  </si>
  <si>
    <t>REPORTA AVALANCHA EN LA VEREDA BUENA VISTA, HASTA EL MOMENTO SE TIENE INFORMACION QUE SOLO HAY AFECTACION DEL ACUEDUCTO Y ALGUNOS CULTIVOS, REPORTA CDGRD, SITUACION EN DESARROLLO</t>
  </si>
  <si>
    <t>REPORTA INCENDIO FORESTAL EN CERRO LA CRUZ, AFECTANDO 4 HECTAREAS DE PASTO Y VEGETACION NATIVA, CONTROLADO Y EXTINGUIDO POR BOMBEROS, REPORTA ORLANDO GRAZON CDGRD.</t>
  </si>
  <si>
    <t>CMGRD DE ARMENIA, INFORMA, VENDAVAL, ACOMPAÑADO DE FUERTES LLUVIAS, SITUACIÓN EN DESARROLLO.</t>
  </si>
  <si>
    <t>CDGRD DE ATLANTICO, INFORMA, FUERTE VENDAVAL, ACOMPAÑADO DE LLUVIAS, AFECTANDO: 21 BARRIOS EN LA ZONA URBANA, CORREGIMIENTO: ISABEL LOPEZ, CAIDA DE POSTES DE ENERGIA, 1 VIVIENDA DESTRUIDA, 122 VIVIENDAS AVERIADAS, 7 INSTITUCIONES EDUCATIVAS AFECTADAS, 1 CENTRO COMUNITARIO AFECTADO,  SITUACIÓN EN DESARROLLO.</t>
  </si>
  <si>
    <t>CDGRD DE CUNDINAMARCA, INFORMA, RODRIGO BARRETO JEFE DE PLANEACIÓN DEL MUNICIPIO DE ANOLAIMA, MEDIANTE ACTA DEL CMGRD NRO. 009 DE FECHA 17/04/13, REPORTA QUE  A CAUSA DE FUERTES LLUVIAS PRESENTADAS EN LA NOCHE DEL 16/04/13 Y LA MADRUGADA DEL 17/04/13, SUFRIÓ DESBORDAMIENTO LA QUEBRADA EL AMARILLO, OCASIONANDO INUNDACIONES HASTA DE 0,90 MTS DE LAMINA DE AGUA, EN LOS BARRIOS PORTAL DE LA VIRGEN, LA GLORIA,  SANTA CECILIA, SAN VICENTE, SANTANDER, SAN ANTONIO, SAN ISIDRO, SAN LUIS, COMULVIA, CENTRO, LAS MARGARITAS Y EL PORVENIR AFECTANDO APROXIMADAMENTE 22 VIVIENDAS,  22 FAMILIAS, 110 PERSONAS QUIENES SUFRIERON PERDIDA DE MUEBLES Y ENSERES, ASÍ COMO TAMBIÉN EL ANCIANATO MUNICIPAL DONDE SUFRIERON PERDIDAS DE MUEBLES , ENCERES, FRAZADAS Y ELECTRODOMÉSTICOS. LA VÍA DEPARTAMENTAL QUE CONDUCE DEL MUNICIPIO DE ANOLAIMA A HACIA BOGOTÁ EN EL KM 3+350 MTS, SUFRIÓ HUNDIMIENTO DE LA BANCA EN UNA LONGITUD DE 10,00 * 10,00 DE ANCHO* 5,00 DE PROF., COMO TAMBIÉN LA VÍAS TERCIARIAS  QUE DEL MUNICIPIO CONDUCE HACIA LAS DIFERENTES VEREDAS Y A LA  INSPECCIÓN DE REVENTONES, DAÑOS ESTRUCTURALES EN EL PALACIO MUNICIPAL, EN LA INSTITUCIÓN EDUCATIVA DEPARTAMENTAL CARLOS GIRALDO Y MOVIMIENTO EN MASA EN EL BARRIO EL PORTAL DE LA VIRGEN SEGUNDA ETAPA, DESESTABILIZACIÓN DE MUROS DE CONTENCIÓN EN LA CRA. 2 CON CALLES 3 Y 4 Y CRA. 7 BARRIO SAN ANTONIO Y CALLES 4 Y 5  BARRIO LA GLORIA BAJA. EL ALCANTARILLADO DEL CASCO URBANO COLAPSO DEBIDO A LA FALTA DE MANTENIMIENTO. ATENDIÓ CONCESIÓN DEVISAB, CMGRD, POLICÍA NACIONAL, DEFENSA CIVIL, Y COMUNIDAD.</t>
  </si>
  <si>
    <t xml:space="preserve">CDGRD DE RISARALDA, INFORMA A RAIZ DE FUERTES LLUVIAS, SE PRESENTÓ COLAPSO DE VIVIENDA, 3 PERSONAS HERIDAS EN LA ESTACIÓN VILLEGAS,  9 BARRIOS AFECTADOS:  ALTA GRACIA, COMUNA, GALICIA ALTA Y BAJA,  ESPERANZA, GALICIA, CAIMALITO, ALEJANDRIA, CALLE LARGA,  SITUACIÓN EN DESARROLLO. </t>
  </si>
  <si>
    <t xml:space="preserve">CMGRD DE LA VIRGINIA,  INFORMA A RAIZ DE FUERTES LLUVIAS, SE PRESENTÓ, LA MUERTE DE UNA SEÑORA, A CAUSA DEL AGUACERO, QUE LE INUNDÓ LA CASA Y SE RODÓ POR LAS ESCALERAS,  SITUACIÓN EN DESARROLLO. </t>
  </si>
  <si>
    <t xml:space="preserve">BOMBEROS, INFORMO, PÉRDIDAS MATERIALES MILLONARIAS, TRES CASAS DESTRUIDAS Y DECENAS DE AFECTADOS POR EL HUMO, DEJÓ UN VORAZ INCENDIO QUE SE REGISTRÓ DESDE LAS 9 DE LA MAÑANA DE ESTE LUNES EN UN DEPÓSITO CLANDESTINO DE COMBUSTIBLE EN MAICAO, LA GUAJIRA.
EL INCENDIO OCURRIÓ EN LA CALLE 16 CON CARRERA 32, BARRIO BUENOS AIRES VIEJO, EN UNA ZONA RESIDENCIAL CONTIGUA A LA SEDE LOCAL DE LA UNIVERSIDAD DE LA GUAJIRA Y ATRAVESADA POR LA LLAMADA CARRETERA NEGRA, QUE COMUNICA A MAICAO CON RIOHACHA.
DOS MAQUINAS DEL CUERPO DE BOMBEROS DE MAICAO FUERON INSUFICIENTES PARA CONTROLAR LAS LLAMAS QUE ALCANZARON UNOS 10 METROS DE ALTURA.
EL SECTOR DONDE SE INICIÓ EL INCENDIO ESTÁ RODEADO DE VARIAS BODEGAS DE GASOLINA Y SE PUDO ORIGINAR POR UN CORTO CIRCUITO EN LAS BOMBAS QUE SE UTILIZAN PARA EL CARGUE DEL LIQUIDO,
LOS CÁLCULOS DAN CUENTA DEL INCENDIO DE POR LO MENOS 400 BARRILES DE GASOLINA QUE SE ENCONTRABAN EN EL PATIO DE UNO DE LOS DEPÓSITOS. TRES CASAS VECINAS FUERON CONSUMIDAS POR EL FUEGO.
-- 
</t>
  </si>
  <si>
    <t>CDGRD REPORTA INCENDIO FORESTAL EN LA VEREDA CHONTADURO  VÍA ESPINAL/GUAMO KM1, CONSUMIDAS 4H DE VEGETACIÓN SECA, ATENDIO BOMBEROS VOLUNTARIOS DE ESTE MUNICIPIO</t>
  </si>
  <si>
    <t>CDGRD REPORTA AFECTACION POR VENDAVAL EN ESTE MUNICIPO VEREDA LA FACHADA , FINCA EL TESORITO, 1 VIVIENDA CON PERDIDA PARCIAL DE CUBIERTA, REALIZAN EDAN CON APOYO DE BOMBEROS.</t>
  </si>
  <si>
    <t>CDGRD REPORTA INCENDIO FORESTAL EN EL BARRIO BOSQUES DE SAN LUIS CON AFECTACION DE 6 HECTAREAS EN PASTO Y RASTROJO.</t>
  </si>
  <si>
    <t>CDGRD REPORTA QUE SE REGISTRO INCENDIO FORESTAL EN EL BARRIO SANTA LIBRADA, SECTOR COLEGIO NACIONAL, CON AFECTACION DE 2 HECTAREAS APROXIMADAMENTE, ATENDIO BMBEROS NEIVA</t>
  </si>
  <si>
    <t>CDGRD REPORTA INCENDIO FORESTAL EN EL BARRIOLAS BRISAS SECTOR CAOLLE 9 CON CARRERA 34, AFECTANDO 1 HESTAREA DE PASTO Y RASTROJO, ATIENDE BOMBEROS NEIVA.</t>
  </si>
  <si>
    <t>CDGRD REPORTA INCENDIO FORESTAL EN ZONA RURAL, SECTRO HACIENDA TRAPICHITO ALTO, FINCA GUATERLU CON AFECTACION DE APROXIMADAMENTE 40 HECTAREAS, ATENDIO BOMBEROS NEIVA.</t>
  </si>
  <si>
    <t>CDGRD INFORMA QUE A LAS 15:00 HORAS  SE PRODUJO UN DESLIZAMIENTO DE MATERIAL ROCOSO SOBRE OBRA DE PUENTE COLGANTE SOBRE EL RIO AZUFRADO, QUEDANDO SEPULTADA LA MAQUINARIA, HERRAMIENTAS, Y BASE DE ESTRUCTURA, LOS 11 OBREROS SALIERON ILESOS, ATENDIO BOMBEROS VOLUNTARIOS.</t>
  </si>
  <si>
    <t>REPORTA BOMBEROS HONDA INCENDIO ESTRUCTURAL EN LA AVDA. PACHO MARIO SECTOR LA ISLA, CALLE 19 NO 5-21 VIVIENDA DE LA SRA. FRANCISCA SANTOS, DONDE SE CONSUME LA COCINA CON TODOS SUS UTENSILIOS. CASO ATENDIDO POR LA MÓVIL EXTINTORA CON 4 UNIDADES.</t>
  </si>
  <si>
    <t>CDGRD INFORMA DE INUNDACIÓN EN EL BARRIO MODELIA MANZANA 6 CASA 8 Y MZ 54 CASA 5 MODELIA II,  AFECTADAS LAS VIVIENDAS DE LAS MANZANAS 7 CASA 4  MANZANA 8 CASAS 8 - 9 - Y 12 PERDIENDO TODOS SUS ENSERES, EL COMFATOLIMA, PENDIENTE PRESENCIA DEL CMGRD DE IBAGUÉ, EN SEGUIMIENTO.</t>
  </si>
  <si>
    <t xml:space="preserve">INFORMA EL SEÑOR  NESTOR LASSO VIVEROS
COORDINADOR DEL CMGRD  QUE SE PRESENTÓ  UNA GRANIZADA EL DIA AYER EN HORAS DE LA TARDE EN LA VEREDA DESPENSA ZONA RURAL DEL MUNICIPIO, RESULTANDO AFECTADAS APROXIMADAMENTE  10 FINCAS EN SUS CULTIVOS Y 5 VIVIENDAS, SITUACION EN DESARROLLO </t>
  </si>
  <si>
    <t>REPORTA VENDAVAL EN AREA RURAL RETIRADA DEL CASCO URBANO, SEGÚN INFORMACION PRELIMINAR LA AFECTACION SERIA DE 150 VIVIENDAS AVERIADAS, 150 FAMILIAS, EL CMGRD SE ENCUENTRA REALIZANDO EDAN, REPORTA CDGRD, SITUACION EN DESARROLLO.</t>
  </si>
  <si>
    <t>VENDAVAL EN EL CASCO URBANO QUE AFECTO LAS CUBIERTAS DE LA VIVIENDAS, EL CMGRD SE ENCUENTRA REALIZANDO EDAN, REPORTA CDGRD. SITUACION EN DESARROLLO.</t>
  </si>
  <si>
    <t>D.C.C., REPORTA SECCIONAL META: INUNDACIONES POR EL DESBORDAMIENTO DEL CAÑO SARDINATA EN LA VEREDA SAN JOSÉ   MUNICIPIO EL DORADO, EL 17-04-2013, RESULTANDO PRELIMINAR DE 2 FAMILIAS AFECTADAS. PENDIENTE AMPLIACIÓN.</t>
  </si>
  <si>
    <t>D.C.C., SECCIONAL BOYACA: SE ATIENDE INCENDIO FORESTAL EL 16-04-2013 EN LA VEREDA EL TABLON DEL MUNICIPIO DE DUITAMA A LAS 19:00 HORAS, CON 10 LIDERES VOLUNTARIOS, PERDIENDO 3 HECTAREAS DE BOSQUE NATIVO, CONTROLANDO Y LIQUIDANDOLO HACIA LAS 00:00 HORAS</t>
  </si>
  <si>
    <t>D.C.C., SECCIONAL BOYACA:SE PRESENTÓ INCENDIO FORESTAL EL 12-04-2013 EN EL MUNICIPIO DE SOMONDOCO VEREDA BOYA A LAS 12:30 M, CON LA PARTICIPACIÓN DE 30 LIDERES VOLUNTARIOS DE LA JDC DE SOMONDOCO Y GUATEQUE, PERDIÉNDOSE 100 HECTÁREAS, TERMINANDO LABORES DE CONTROL EXTINCIÓN DEL INCENDIO HACIA LAS 19:00 HORAS.</t>
  </si>
  <si>
    <t>D.C.C, SECCIONAL BOYACA: SE ATIENDE INCENDIO FORESTAL EL 12-04-2013 A LAS 20:00 EN EL MUNICIPIO DE GUATEQUE VEREDA SIBATA POR LA JDC DE SIBATA CON 10 LIDERES VOLUNTARIOS, CON UNA PERDIDA DE 1 HECTAREA DE BOSQUE PLANTADO, CONTROLANDO Y EXTINGUIENDO EL INCENDIO A LAS 21:00 HORAS</t>
  </si>
  <si>
    <t>SECCIONAL CASANARE:  POR TORMENTA ELECTRICA EN EL MUNICIPO DE NUNCHIA  LA BUSQUEDA DEL SEÑOR BRICELINO  ACHAGUA GUANARO DE 23 AÑOS DE EDAD QUIEN FUE HALLADO MUERTO A LAS 15:30 AL PARECER POR LA CAIDA DE UN RAYO  EN UNA TORMENTA ELECTRICA QUE SE PRESENTO EL DIA 17  A  LAS 16:30 APROXIMADAMENTE.</t>
  </si>
  <si>
    <t xml:space="preserve">D.C.C., SECCIONAL TOLIMA: VENDAVAL OCURRIDO EL 17-04-2013 A LAS 2: 30 HORAS, EN EL M/PIO VILLA HERMOSA, VEREDAS CASTILLO ALTO DEL NARANJO, YARUMAL, PRIMAVERA, CAMPOALEGRE, EL ORIAN Y BUENA VISTA,     Y  AFECTANDO A 19 FAMILIAS, 19 VIVIENDAS Y 40 PERSONAS. </t>
  </si>
  <si>
    <t>D.C.C., REPORTA SECCIONAL RISARALDA: VENDAVAL OCURRIDO, EL 17-04-2013 EN EL M/PIO DE PEREIRA, CON SALDO DE 180 AFECTADOS DE 31 FAMILIAS CON 1 VIVIENDA DESTRUIDA Y 30 VIVIENDAS AFECTADAS. 10 LÍDERES DE LA DCC PARTICIPARON EN LA ATENCIÓN DE LOS AFECTADOS.</t>
  </si>
  <si>
    <t>D.C.C., REPORTA SECCIONAL BOLÍVAR: INCENDIO DE VIVIENDA OCURRIDO EL 17-04-2013, EN EL BARRIO SAN JOSÉ DEL MUNICIPIO DE SANTA ROSA, CORREGIMIENTO SANTA ROSA DE LIMA, CON PÉRDIDA TOTAL DE LA VIVIENDA.</t>
  </si>
  <si>
    <t>D.C.C., SE PRESENTA INCENDIO ESTRUCTURAL, OCURRIDO EL 16-04-2013 EN LA VEREDA LA GARRUCHA DEL MUNICIPIO DE MARMATO DONDE SE QUEMA UNA VIVIENDA EN LA QUE FUNCIONABA UN RESTAURANTE  Y RESIDIAN DOS FAMILIAS. AL PARECER EL INCENDIO FUE OCASIONADO POR CORTO CIRCUITO. PARTICIPAON 5 LÍDERES</t>
  </si>
  <si>
    <t>D.C.C., REPORTA SECCIONAL CAUCA: EL DÍA LUNES 15 DE ABRIL DE 2013, A LAS 2:30 DE LA TARDE SE PRESENTÓ UN FUERTE VENDAVAL QUE AFECTÓ A VARIOS CORREGIMIENTOS: CAÑAVERAL, CARPINTERO, SAMARIA, QUINGOS, CONCORDIA, EL ROSAL, LA ESTACIÓN, DANUBIO, SANTA ROSA, EL MACO, SAN ISIDRO, SAN ROQUE , LAS VERANERAS - MATAREDONDA, GALILEA, RESULTANDO 270 VIVIENDAS AFECTADAS, 270 FAMILIAS Y 1200 PERSONAS.</t>
  </si>
  <si>
    <t xml:space="preserve">INFORMA EL SEÑOR JAIRO ROMERO CDGRD DEL DEPARTAMENTO DE CÓRDOBA QUE EN LA NOCHE  SE PRESENTARON LLUVIAS CON FUERTES VIENTOS  DESTECHANDO APROXIMADAMENTE 35 CASAS  DE  LOS BARRIOS  TOTUMO, VOTABEN Y EL CORREGIMIENTO DE MANGUELITO, DE IGUAL MANERA  INFORMA EL CDGRD DE CÓRDOBA QUE ACTUALMENTE  ESTÁN REALIZANDO LAS VISITAS TÉCNICAS PARA REALIZAR EDAN.  </t>
  </si>
  <si>
    <t>INFORMA EL CDGRD DEL DEPARTAMENTO DEL TOLIMA QUE ACTUALMENTE  LA VIA QUE CONDUCE DEL MUNICIPIO DE VENADILLO A LA CIUDAD DE IBAGUE  PRESENTA  RESTRIGCION A UN SOLO CARRIL YA QUE DEL KM  32 HASTA EL KM 8 CAYERON EN LA VIA MAS DE 50 ARBOLES POR LAS FUERTES LLUVIAS QUE SE PRESENTARON EN LA NOCHE  Y PARTE DE LA  MADRUGADA DE HOY; EN EL SITIO TRABAJAN CUADRILLAS DE CORTOLIMA Y PERSONAL DE INVIAS. SITUACION EN DESARROLLO</t>
  </si>
  <si>
    <t xml:space="preserve">INFORMA EL CDGRD DEL DEPARTAMENTO DEL TOLIMA QUE EN LA CIUDAD DE IBAGUE BARRIO NUEVA CASTILLA SE PRESENTO UNA INUNDACION EN LA MANZANA 10 CASA 70, ATENDIO BOMBEROS OFICIALES Y VOLUNTARIOS DE IBAGUE. </t>
  </si>
  <si>
    <t>TE. MAURICIO JIMÉNEZ DE BOMBEROS GUASCA, REPORTA INCENDIO FORESTAL EN GUATAVITA VEREDA CORALES, INICIADO A LAS 07:30 DEL 18/04/13 Y EXTINGUIDO A LAS 18:30  CON AFECTACIÓN  DE 6 HECTAREAS DE VEGETACIÓN DE PARAMO Y BOSQUE CULTIVADO. ATENDIÓ BOMBEROS GUASCA, CMGRD Y BRIGADA CAR, INFORMA CDGRD HOY.</t>
  </si>
  <si>
    <t>JIMMY MUÑOZ COORDINADOR DEL CMGRD DE CACHIPAY, REPORTA REMOCIÓN EN MASA SOBRE LA QUEBRADA EL HUESO EN LOS LIMITES DEL CASCO URBANO, POR SATURACIÓN DE SUELOS OCASIONADO POR FUERTES LLUVIAS DE 46 MM. ENTRE LAS 22:00 HORAS DEL 18/04/13 Y LAS 04:00 HORAS DEL 19/04/13, EL CUAL AFECTO 7 VIVIENDAS CON FISURAS VARIAS  Y PELIGRO DE DESTRUCCIÓN TOTAL, 7 FAMILIAS CON 35 PERSONAS .QUE REQUIEREN EVACUACIÓN. ATIENDE CAR, DEFENSA CIVIL, POLICÍA Y CMGRD QUIENES ADELANTAN GESTIONES PARA LA EVACUACIÓN DE LAS FAMILIAS AFECTADAS.</t>
  </si>
  <si>
    <t>CDGRD REPORTA FUERTES LLUVIAS AFECTARON EN ESTE MUNICIPIO EL INSTITUTO TECNICO INDUSTRIAL EN 5 SALONES Y CANCHAS INUNDADOS.</t>
  </si>
  <si>
    <t>CDGRD REPORTA POR FUERTES LLUVIAS EN ESTE MUNICIPIO AUMENTO DE LOS CAUDALES EN LAS QUEBRADAS LA MOSCA Y EL CHANGO, 2 VIVIENDAS, ESTAS 2 FAMILIAS SERAN EVACUADAS POR ESTAR EN ALTO RIESGO.</t>
  </si>
  <si>
    <t>CDGRD REPORTA VENDAVAL EN ESTE MUNICIPIO VEREDA ALTO GRANDE AFECTANDO A 18 FAMILIAS EN SUS CULTIVOS Y OTRAS 5 FAMILIAS EN SUS VIVIENDAS EN LOS TECHOS DE ESTAS.</t>
  </si>
  <si>
    <t>CDGRD REPORTA VENDAVAL EN HORAS DE LA MAÑANA AFECTANDO PARTE DEL RESGUARDO NOVIRAO, JEBALA Y PANIQUITA, EN CULTIVOS Y QUE AL MOMENTO VAN 523 HECTAREAS Y 126 FAMILIAS, VERIFICANDO AUN ESTA SITUACION LA SECRETARIA DE DESARROLLO AMBIENTAL Y PRODUCTIVO DEL MUNICIPIO.</t>
  </si>
  <si>
    <t xml:space="preserve">INFORMA LA SRA  NORELLA COORDINADORA DEL CDGRD  QUE A LAS 08:40 AM SE PRESENTA EL VOLCAMIENTO  UN CAMION CISTERNA EN EL KM 83 + 200 METROS  VEREDA EL SALVADOR MUNICIPIO DE PAMPLONITA, DICHO CAMION ESTA  ADSCRITO A LA EMPRESA COSINOL Y CONTIENE 11,000  GALONES DE ACPM, EN EL MOMENTO SE PRESENTA UN   DERRAME  SOBRE EL RIO PAMPLONITA  AFECTANDO   EL SUMINISTRO DE AGUA POTABLE  DE DICHA LOCALIDAD, EN EL SITIO SE ENCUENTRA EL CUERPO DE BOMBEROS DE PAMPLONA, ECOPETROL Y 10 UNIDADES DE LA DEFENSA CIVIL  QUIENES  REALIZAN ACTUALMENTE  LA CONTENCION Y EL CONTROL DE LA EMERGENCIA.  SITUACIÓN EN DESARROLLO. REPORTE 19-04-13, CDGRD REPORTA HOY CIERRE DEL INCIDENTE PRESENTADO EL DIA 17/04/2013 UNA VEZ RECIBIDOS LOS ANÁLISIS DE LABORATORIO REALIZADOS POR EL INSTITUTO COLOMBIANO DE PETRÓLEOS (ICP), SE EVIDENCIA CERO PRESENCIA DE  GRASAS Y  ACEITES E HIDROCARBUROS EN LAS MUESTRAS TOMADAS AL AGUA DEL RÍO EN LA BOCATOMA QUE ABASTECE A LA PLANTA DE TRATAMIENTO EL PÓRTICO Y EN LOS PUNTOS DE CONTROL LOCALIZADOS  EN  LA GARITA Y EL MAMÓN.
</t>
  </si>
  <si>
    <t>EN LA NOCHE FUE UN VENDAVAL EN EL MUNICIPIO DE LA TOLA NARIÑO, EL CUAL AFECTO SESENTA (68) ESTRUCTURAS, ASÍ: EN LA VEREDA SAN PABLO MAR CON 52 VIVIENDAS, PUEBLITO CON 11, SAN ANTONIO CON 4 Y LA ESE NUESTRA SEÑORA DEL CARMEN QUE ESTÁ DENTRO DE LA CABECERA MUNICIPAL CON LA CUBIERTA AFECTADA; LA MAYORÍA SON VIVIENDAS EN MADERA, UN CENTRO DE SALUD, UN CENTRO EDUCATIVO, ACOMPAÑADO DE LOS CUERPOS VOLUNTARIOS SE RECOGIERON DENTRO DEL CENSO ESTRUCTURAS DAÑADAS COMO CUBIERTAS EN LAMINA DE ZINC, ARMADURAS EN MADERA, TAMBIÉN EXISTEN DAÑOS DE LIBROS EN EL CENTRO EDUCATIVO, DAÑOS COMO EQUIPOS DE SONIDOS (MINICOMPONENTE), TV.</t>
  </si>
  <si>
    <t>ALCALDÍA DE AMBALEMA REPORTA AFECTACION DE 65 VIVIENDAS POR COLAPSO DEL ALCANTARILLADO EN LOS BARRIOS VILLA TERESA I, PLAYA VERDE, BALASTRERA, VERSALLES Y VILLA EDUARDO CON PERDIDA DE ENSERES DE IGUAL FORMA SE DISPONEN A REALIZAR EL CENSO, VERDE,CAIDA DE 25 ARBOLES EN EL CRUCE DE PALOBAYO, INFORMA CDGRD</t>
  </si>
  <si>
    <t>CDGRD REPORTAVENDAVAL EN LA NOCHE ANTERIOR DEJA DOS VIVIENDAS AFECTADAS EN VEREDA ALTO DEL ROMPE, UNA A PUNTO DE COLAPSAR, DE PROPIEDAD DEL SEÑOR JOSÉ GILDARDO ROJAS, OTRA VIVIENDA DESTECHADA DE PROPIEDAD DEL SEÑOR URBANO GUZMÁN</t>
  </si>
  <si>
    <t>CDGRD REPORTA EN CARMEN DE APICALA 5 VIVIENDAS AFECTADAS POR LAS FUERTES LLUVIAS DE LA NOCHE ANTERIOR EN LA VEREDA PEÑÓN BLANCO 2 DE ELLAS CON PÉRDIDA TOTAL.</t>
  </si>
  <si>
    <t>CDGRD REPORTA EN RONCESVALLES REPORTA EL INCENDIO ESTRUCTURAL EN VIVIENDA CAMPESINA EN LA VEREDA. EL COCO EN LA FINCA DE PROPIEDAD DE  MERY LONDOÑO Y DONDE RESIDÍAN LOS SEÑORES JAVIER TORRES Y LUZ MARINA  DUCUARA LA CUAL PERDIERON TODO POSIBLES CAUSAS CORTO CIRCUITO SIN  MAS DETALLES</t>
  </si>
  <si>
    <t xml:space="preserve">CDGRD DEL CAUCA, INFORMA, EL DÍA 17 DE ABRIL HACIA LAS 5 PM, SE PRESENTÓ UN FUERTE VENDAVAL EN EL MUNICIPIO DE GUACHENÉ, OCASIONANDO MÚLTIPLES AFECTACIONES EN ELCASCO URBANO Y EN LAS VEREDAS  SABANETAS, SAN JOSÉ, SAN ANTONIO, CAMPO ALEGRE, EL SILENCIO, CAMPO LLANITO, LLANO DE TAULA ALTO,  SAN JACINTO, CIÉNAGA HONDA, LA DOMINGA, EN DONDE SUFRIERON DAÑOS LOS TECHOS DE 3 INSTITUCIONES EDUCATIVAS,  3 SALONES COMUNALES, 50 VIVIENDAS SUFRIERON
DAÑOS EN TECHOS Y PAREDES ,2 TRAPICHES PANELEROS SUFRIERON DAÑOS EN TECHO Y ESTRUCTURAS Y APROXIMADAMENTE 30 PLAZAS DE CULTIVOS AFECTADOS. UNA PERSONA RECIBIÓ EL IMPACTO DE UNA DESCARGA ELÉCTRICA (RAYO), REMITIÉNDOSE OPORTUNAMENTE A UN CENTRO HOSPITALARIO DE LA CIUDAD DE CALI, EN DONDE YA SE ENCUENTRA FUERA DE PELIGRO.
</t>
  </si>
  <si>
    <t>D.C.C., SE PRESENTARON VIENTOS FUERTES ACOMPAÑADOS DE LLUVIAS TORRENCIALE, EL 19 DE ABRIL 2013 EN EL CORREGIMIENTO DE CONEJO DEL MUNICIPIO DE FONSECA, AFECTANDO: 39 FAMILIAS.</t>
  </si>
  <si>
    <t>CDGRD DE BOYACA, INFORMA, INUNDACIONES EN 7 BARRIOS, PENDIENTE AFECTACIÓN.</t>
  </si>
  <si>
    <t>CDGRD DEL HUILA, INFORMA, INUNDACIÓN EN EL BARRIO: LAS DELICIAS, 3 VIVIENDAS AFECTADAS.</t>
  </si>
  <si>
    <t>CDGRD DEL HUILA, INFORMA, DESLIZAMIENTO EN EL BARRIO: LAS BRISAS, 5 VIVIENDAS AFECTADAS.</t>
  </si>
  <si>
    <t xml:space="preserve">CDGRD DEL VALLE DEL CAUCA,  INFORMA DE ACUERDO AL REPORTE PRELIMINAR DEL COORDINADOR DEL CONCEJO MUNICIPAL DE GESTIÓN DEL RIESGO DEL MPIO DE TORO,  INFORMA DE AFECTACIÓN POR EL SISMO OCURRIDO EL VIERNES 19 DE ABRIL DE 2013 A LAS 8:03 A.M. EN  UNA (1) ESCUELA EN EL SECTOR EL CEDRO Y SIETE (7) VIVIENDAS, 3 EN LA ZONA RURAL Y 4 EN LA ZONA URBANA. </t>
  </si>
  <si>
    <t>CDGRD DE PUTUMAYO, INFORMA, DESBORDAMIENTO DEL RÍO PUTUMAYO, AFECTANDO, ZONA RURAL, SECTOR: DAMASCO, HAY AFECTACIÓN EN VIVIENDAS Y CULTIVOS, SEGÚN SE OBSERVO EN SOBREVUELO REALIZADO, SITUACIÓN EN DESARROLLO, PENDIENTE EDAN.</t>
  </si>
  <si>
    <t>CDGRD DE NARIÑO, INFORMA, VIA CERRADA SECTOR VEREDA MOTILONES - TABILES, 4 VIVIENDAS, ESCUELA Y 1 TRAPICHE AFECTADOS, 20 PERSONAS AFECTADAS. MAQUINARIA TRABAJANDO EN EL SECTOR.</t>
  </si>
  <si>
    <t>CDGRD DE NARIÑO, INFORMA, DEBIDO A LAS LLUVIAS PRESENTADAS,  SE PRESENTÓ  DAÑOS EN UNA VIVIENDA Y LA FAMILA QUE LA HABITABA SE EVACUO DEL LUGAR.</t>
  </si>
  <si>
    <t xml:space="preserve">EN OPERACIÓN HELICOPORTADA POLICÍA RESCATO DOS MENORES QUE QUEDARON ATRAPADAS EN LA VEREDA DAMASCO LUEGO DEL DESBORDAMIENTO DE LOS RÍOS PUTUMAYO Y SAN JUAN. LAS DOS NIÑAS DE 6 Y 13 AÑOS, HABÍAN QUEDADO A MERCED DE LA EMERGENCIA, TENIENDO EN CUENTA QUE SU MADRE Y SU ABUELO MURIERON AHOGADOS POR LA CORRIENTE SÚBITA, PERO HOMBRES DE LA POLICÍA EXPERTOS EN EL MANEJO DE EMERGENCIAS Y MANIOBRAS HELICOPORTADA ARRIESGARON SUS VIDAS PARA SALVAR A LAS DOS MENORES QUE FUERON ENTREGADAS SANAS Y SALVAS  A SUS FAMILIARES EN EL CASCO URBANO DEL MUNICIPIO DE PUERTO CAICEDO.                  </t>
  </si>
  <si>
    <t>EL CUERPO OFICIAL DE BOMBEROS ATIENDE VARIOS DESLIZAMIENTOS EN LA LOCALIDAD DE SAN CRISTOBAL. A PESAR DE QUE LA SITUACIÓN ESTÁ CONTROLADA, AL MENOS 5 VIVIENDAS SE ENCUENTRAN EN RIESGO ANTE EL REGRESO DE LAS LLUVIAS. LOS DESLIZAMIENTOS SE REPORTAN EN EL BARRIO AMAPOLAS Y SAN PEDRO EN SAN CRISTÓBAL. LAS AUTORIDADES INFORMAN QUE CINCO VIVIENDAS SE ENCUENTRAN AFECTADAS. SE INICIÓ LA EVACUACIÓN DE LAS PERSONAS AFECTADAS, AUNQUE NO SE PRESENTAN HERIDOS NI ATRAPADOS. DOS MÁQUINAS DE BOMBEROS DE LAS ESTACIONES BELLAVISTA Y CENTRO HISTÓRICO ATIENDEN LA EMERGENCIA SOLICITARON LA PRESENCIA DE LA EMPRESA DE ACUEDUCTO Y ALCANTARILLADO DE BOGOTÁ, CODENSA Y LA POLICÍA METROPOLITANA, PARA LA RESPECTIVA ATENCIÓN</t>
  </si>
  <si>
    <t xml:space="preserve">LAS AUTORIDADES CAPITALINAS TAMBIÉN ATENDIERON EN EL TRANSCURSO DE LA TARDE DEL SÁBADO INUNDACIONES EN LA LOCALIDAD DE FONTIBÓN, PARTICULARMENTE EN EL BARRIO KASSANDRA. ADEMÁS REPORTARON UNA INUNDACIÓN EN LA FUNDACIÓN AMANECER, ENCARGADA DE LA ATENCIÓN A MENORES DISCAPACITADOS, UBICADA EN LA CALLE 22B CON CARRERA 44. LA EMERGENCIA SE PRODUJO POR TAPONAMIENTOS DE CANALES INUNDANDO EL PRIMER Y SEGUNDO NIVEL DE LA EDIFICACIÓN.
FUNCIONARIOS DE LA SECRETARÍA DE INTEGRACIÓN SOCIAL ATENDIERON LOS 23 MENORES QUE SE VIERON AFECTADOS POR LA INUNDACIÓN DEL CENTRO
</t>
  </si>
  <si>
    <t>SISTEMA NACIONAL DE BOMBEROS Y SOCORRO NACIONAL REPORTA INCENDIO ESTRUCTURAL EN EL BARRIO GALAN, RESULTANDO AFECTADAS 5 VIVIENDAS, 3 DE ELLAS DESTRUIDAS SE DESCONOCN CAUSAS, NO HERIDOS U OTRO.</t>
  </si>
  <si>
    <t xml:space="preserve">CDGRD REPORTA INFORMACION ENTREGADA POR BOMBEROS DE ESTE MUNICIPIO ULTIMO REPORTE INCENDIO CORREGIMIENTO PUENTE VÉLEZ MUNICIPIO JAMUNDÍ, SE CONTROLO EL INCENDIO DAÑO PARCIAL DE LA VIVIENDA HABITABLE, SIN LESIONADOS, SE AÍSLA EL SECTOR POR FALLAS EN LAS REDES ELÉCTRICAS POR LOS FUERTES VIENTOS SE REPORTÓ A LA EPSA
</t>
  </si>
  <si>
    <t>CDGRD REPORTA INUNDACION EN EL CORREGIMIENTO EL ENCANO CON AFECTACION DE 142 FAMILIAS, 547 PERSONAS, DE LAS CUALES 22 FAMILIAS RESULTARON AFECTADAS EN ENSERES, 116 POR DAÑOS EN CULTIVOS Y ANIMALES, 4 FAMILIAS EVACUADAS PREVENTIVAMENTE, PENDIENTE CENSO DE 4 VEREDAS MAS.</t>
  </si>
  <si>
    <t>CDGRD REPORTA VENDAVAL EN ESTE MUNICIPIO, ACOMPAÑADO DE GRANIZO Y TEMPESTAD EN LAS VEREDAS ALTAMIRA, LA ESTRELLA, NAPOLES HASTA EL MOMENTO SE HA REPORTADO VEREDA LA ESTRELLA: 15 SECADORES DE CAFÉ DESTRUIDOS, 10 VIVIENDAS DESTECHADAS, 4 POSTES DE ENERGIA QUEBRADOS, CULTIVOS IGUALMENTE.</t>
  </si>
  <si>
    <t>CDGRD REPORTA VÍA CERRADA SECTOR VEREDA MOTILONES-TABILES, 4 VIVIENDAS, 1 ESCUELA Y 1 TRAPICHE AFECTADOS, 20 PERSONAS AFECTADAS. MAQUINARIA TRABAJANDO EN EL SECTOR.</t>
  </si>
  <si>
    <t>CDGRD REPORTA VÍA CERRADA EN EL SECTOR EL PALMAR  KM 25 +950 MUNICIPIO DE RICAURTE VÍA TUMACO-PASTO, DESDE LAS 13:00 HORAS. ING RICHARD RINCÓN CONSORCIO SUR INFORMA DE DESPLAZAMIENTO DE MAQUINARIA A LAS 15:30 AL SECTOR PARA DESPEJARLA.</t>
  </si>
  <si>
    <t>CDGRD REPORTA EN CHIQUINQUIRÁ HAY INUNDACIÓN POR PROBLEMAS DE ALCANTARILLADO, BARRIOS VERSALLES , LA ESPERANZA, CENTRO DE LA CIUDAD EN LA CRA 10 CON CLLE 20, 21, CRA 9 ENTRE CALLE 13 Y 14, SECTORES ALEDAÑOS A LA PLAZA DE MERCADY POSTOBON, EN SEGUIMIENTO.</t>
  </si>
  <si>
    <t>CDGRD DE BOYACA, INFORMA, SE PRESENTA REPRESAMIENTO DEL RÍO CHISCANO, POR DESLIZAMIENTO DE LA MONTAÑA, VEREDA: TAUCASÍ, SECTOR: HOYA DE BOBO, SE EMITIO ALERTA POR POSIBLE AVALANCHA, A LOS CMGRD DE: EL ESPINO, SAN MATEO, BOAVITA, TIPACOQUE, COVARACHIA, EN BOYACA, CAPITANEJO, MACARAVITA, SAN JUAQUIN, MIRANDA, SAN ANDRES, EN SANTANDER, SITUACIÓN EN DESARROLLO. REPORTE 20-04-13, CDGRD REPORTA AUMENTO EN LA CANTIDAD DE AGUA REPRESADA POR LO CUAL SIGUE ALERTA POR POSIBLE AVALANCHA , QUE PODRIA AFECTAR A 7 MUNICIPOS DE BOYACA Y 4 DE SANTANDER.</t>
  </si>
  <si>
    <t xml:space="preserve">CDGRD DEL VALLE DEL CAUCA, INFORMA, INCENDIO ESTRUCTURAL, BARRIO: COMUNEROS, SECTOR: BRISAS DE LA PALMA, 5 VIVIENDAS DE ESTERILLA DESTRUIDAS, SIN LESIONADOS. </t>
  </si>
  <si>
    <t>CDGRD DE NORTE DE SANTANDER, INFORMA, ACCIDENTE LABORAL EN LA MINA DE CARBÓN, EL TANQUE, VEREDA: CERRO GUAYABO, POR MALA MANIPULACIÓN DE LOS EXPLOSIVOS, QUE ELLOS UTILIZAN, PARA LAS FUNCIONES PROPIAS DE LA MINA, FALLECEN 2 PERSONAS, HERMANOS DE NOMBRES: JESÚS IVÁN LEÓN DE 45 AÑOS,  REINEL BECERRA LEÓN DE 33 AÑOS.</t>
  </si>
  <si>
    <t>CDGRD DEL QUINDIO Y SOCORRO NACIONAL, INFORMA, EN ESTE MOMENTO SE ESTÁ PRESENTANDO, FUERTE VENDAVAL, VEREDAS: LA CIMA, Y  EL PARAISO, SE DESPLAZAN: CMGRD, BOMBEROS, CRUZ ROJA A REALIZAR, EDAN, SITUACIÓN EN DESARROLLO.</t>
  </si>
  <si>
    <t>CDGRD DE CUNDINAMARCA, INFORMA,  INUNDACIÓN EN LA JURISDICCIÓN DEL MUNICIPIO DE COTA, OCASIONADA POR FUERTES LLUVIAS ACOMPAÑADAS DE GRANIZO, QUE SE PRESENTAN DESDE EL DÍA 18-04-2013, HASTA LA FECHA, DEJAN: 100 FAMILIAS AFECTADAS, 500 PERSONAS, SITUACIÓN EN DESARROLLO.</t>
  </si>
  <si>
    <t xml:space="preserve">EN EL TRANSCURSO DE LA NOCHE CDGRD REPORTA LLUVIAS, ACOMPAÑADAS DE FUERTES VIENTOS Y TORMENTA ELECTRICA SOBRE VALLEDUPAR, SE REALIZA SEGUIMIENTO. </t>
  </si>
  <si>
    <t>CDGRD REPORTA EN ESTE MUNICIPIO INFORMA BOMBEROS, INCENDIO ESTRUCTURAL AFECTANDO UNA VIVIENDA; CON  PERDIDA DE MUEBLES Y ENSERES, CRA 1 # 7 - 15 - B/ SANTA LUISA.</t>
  </si>
  <si>
    <t xml:space="preserve">INFORMA EL SEÑOR DARIO DIAZ RADIO-OPERADOR DE TURNO DEL CMGRD DE LA CIUDAD DE PASTO  QUE EN HORAS DE LA MADRUGADA  SE PRESENTO UNA INUNDACION EN EL BARRIO SANTA CLARA, AFECTANDO A UNA VIVIENDA; EN EL MOMENTO SE REALIZA EDAN PARA VERIFICAR PERSONAS AFECTADAS </t>
  </si>
  <si>
    <t>INFORMA EL SEÑOR DARIO DIAZ RADIO-OPERADOR DE TURNO DEL CMGRD DE LA CIUDAD DE PASTO  QUE EN HORAS DE LA MADRUGADA  SE PRESENTO UN INCENDIO EN EL BARRIO EL PILAR, AFECTANDO A UNA PERSONA QUE SE ENCONTRABA DENTRO DE LA VIVIENDA; EN EL MOMENTO SE REALIZA EDAN</t>
  </si>
  <si>
    <t>REPORTA DESLIZAMIENTO EN  MINA A CIELO ABIERTO DE ORO, DEJANDO COMO SALDO  1 PERSONA FALLECIDA Y 14 PERSONAS LESIONADAS, ATENDIO DCC Y APOYO CON REMISION A QUIBDO DE LESIONADOS LA CRUZ ROJA. SE REALIZO BARRIDO EN LA ZONA Y NO SE ENCONTRARON MAS PERSONAS. REPORTA FREDY RAMIREZ  COORD CDGRD.</t>
  </si>
  <si>
    <t>REPORTA INCENDIO FORESTAL EN LA VEREDA RIO NEGRO, CON AFECTACIÓN DE 2 HECTÁREAS DE RASTROJO. CONTROLADO Y EXTINGUIDO, ATENDIÓ BOMBEROS CAQUEZA. REPORTA CDGRD.</t>
  </si>
  <si>
    <t>REPORTA VENDAVAL EL CUAL DEJA HASTA EL MOMENTO 3 BARRIOS AFECTADOS: SALVADOR ALLENDE ALTO: 13 VIVIENDAS AVERIADAS, PUERTO RICO: 15 VIVIENDAS AVERIDAS, Y LA MARIELA: 35 VIVIENDAS AVERIADAS, Y EN LA VEREDA SAN JUAN: 3 FINCAS VILLA ANITA, LA FRONTERA Y EL CORTIJO, LA ZONA NORTE DE LA CIUDAD AVENIDA CENTENARIO FRENTE AL BATALLON DE SERVICIOS No 8 CON ARBOLES Y 4 POSTES DE ENERGIA CAIDOS, EN ESTE BATALLON SE REPORTA AFECTACION EN EL CASINO Y SANIDAD MILITAR. REPORTA ARIEL OSPINA CMGRD, REALIZANDO EDAN EN ESTE MOMENTO, SITUACION EN DESARROLLO.</t>
  </si>
  <si>
    <t xml:space="preserve">INFORMA EL CDGRD DEL MUNICIPIO DE JAMUNDI  QUE EN EL CORREGIMIENTO DE PUENTE  VELEZ, SE PRESENTARON FUERTES LLUVIAS ACOMPAÑADAS DE   TORMENTAS ELÉCTRICAS OCASIONANDO CAIDAS DE REDES ELECTRICAS QUE GENERARON UN  INCENDIO CON PERDIDA TOTAL EN UNA  VIVIENDA PROPIEDAD DEL SR. GEIVER MENESES. EL CMGRD SE ENCUENTRA EN DESPLAZAMIENTO PARA  GENERAR  EDAN. </t>
  </si>
  <si>
    <t>CMGRD DE ARMENIA, INFORMA, EN ESTE MOMENTO, SE ESTÁ PRESENTANDO, UN FUERTE VENDAVAL, AL SUR DE LA CIUDAD, ENTIDADES OPERATIVAS, SE DESPLAZAN A REALIZAR EDAN, SITUACIÓN EN DESARROLLO.</t>
  </si>
  <si>
    <t>CDGRD DE NARIÑO, INFORMA, DESLIZAMIENTO, VEREDA INANTAS - SECTOR EL PLACER, VIA YACUANQUER VDA TASNAQUE PERDIDA DE BANCA Y ALCANTARILLA, 1 FAMILIA AFECTADA, 1 VIVIVENDA DESTRUIDA, 17 PERSONAS AFECTADAS.</t>
  </si>
  <si>
    <t>CDGRD DE NARI{O, DESLIZAMIENTO EN LA VIA CUMBITARA - SANTA MARTA, CIERRE TOTAL</t>
  </si>
  <si>
    <t>CDGRD DE NARIÑO. INFORMA, INUNDACIÓN QUE PROVOCO CAIDA DE BANCA EN LA VIA EL TABLON - SAN JOSE DE ALBAN.</t>
  </si>
  <si>
    <t>CDGRD DEL TOLIMA, INFORMA,  FUERTE, VENDAVAL, PRESENTADO, EL DÍA 20-04-2013, DEJANDO: 4 VIVIENDAS DESTRUIDAS, 23 VIVIENDAS AVERIADAS, 1 SALÓN COMUNAL DESENTECHADO, 100 ÁRBOLES DERRIVADOS, APROXIMADAMENTE: 80 HECTÁREAS AFECTADAS EN CULTIVOS DE CACAO, BANANO, VARIOS POSTES DE ENERGIA COLAPASADOS, DECLARARON CALAMIDAD PÚBLICA, MEDIANTE, EL DECRETO, 053.</t>
  </si>
  <si>
    <t>CDGRD DE CUNDINAMARCA, INFORMA, LUIS ALBERTO MORA, JEFE DE OBRAS PUBLICAS DEL MUNICIPIO DE AGUA DE DIOS REPORTA QUE POR FUERTES LLUVIAS EN LA MADRUGADA DEL 23/04/13 SE PRESENTARON DESLIZAMIENTOS  CON PERDIDA DE LA BANCADA EN LAS VÍAS TERCIARIAS  AGUA DE DIOS EL HOVAL SITIO CARACOLÍ, AGUA DE DIOS LOS INCORADOS, AGUA DE DIOS TOCAIMA SECTOR LA PUNA Y AGUA DE DIOS VEREDA AGUA FRÍA SITIO PASO DE LA NUTRIA PERDIDA DE UNA ALETA DE LA BATEA. ATIENDE CMGRD.</t>
  </si>
  <si>
    <t>CDGRD DE CUNDINAMARCA, INFORMA, MAGDA YANETH OLAYA PULIDO, DE CMGRD REPORTA MEDIANTE CORREO ELECTRÓNICO, QUE POR LLUVIAS PRESENTADAS EN LA NOCHE ANTERIOR, SE PRESENTO  DERRUMBE EN LA BANCADA, AFECTANDO  GRAVEMENTE EL PUENTE EL MUCHILERO EN  LA VÍA QUE CONDUCE A LOS MUNICIPIOS DE PACHO Y PAIME A LA ALTURA DE LA VEREDA BUENAVISTA. ATIENDE CMGRD.</t>
  </si>
  <si>
    <t>CDGRD DE SANTANDER, INFORMA, SE PRESENTÓ, UN INCENDIO FORESTAL EN EL MUNICIPIO DE SAN VICENTE DE CHUCURI, DONDE SE QUEMARON APROXIMADAMENTE DOS HECTÁREAS DE PASTOS, NO HUBO VIVIENDAS NI PERSONAS AFECTADAS, FUE CONTROLADO POR BOMBEROS DE LA LOCALIDAD, INFORMACIÓN SUMINISTRADA POR EL SEÑOR JESUS ALBERTO ACEVEDO, COORDINADOR OFICINA GESTIÓN DE RIESGO DEL MUNICIPIO.</t>
  </si>
  <si>
    <t xml:space="preserve">CDGRD DEL CAUCA, INFORMA, VENDAVAL CON TORRENCIAL AGUACERO, EL CUAL DEJO AFECTACIÓN, EN VIVIENDAS LOCALIZADAS EN LAS VEREDAS LOS ALPES, LOS ANDES, MIRAVALLE, EL ALTO - CARRIZALES Y LA CIMA, COMO TAMBIÉN EN LA PARTE URBANA DEL MUNICIPIO DE CORINTO. DICHO ACONTECIMIENTO DEJO AFECTACIÓN EN 80 VIVIENDAS EN LA PARTE RURAL Y 15 FAMILIAS EN LA ZONA URBANA DEL MUNICIPIO DE CORINTO, DONDE SE PUDO CONSTATAR DAÑOS EN TECHOS E INUNDACIONES DE DICHAS VIVIENDAS, SITUACIÓN EN DESARROLLO.
</t>
  </si>
  <si>
    <t>CDGRD REPORTA ACCIDENTE DE TRANSITO EN EL CRUCE DE LA VÍA ROVIRA BOGOTÁ, DE MOTO CON TRACTO CAMIÓN Y PEATÓN, RESULTANDO DOS PERSONAS FALLECIDAS Y UNA EN ESTADO CRITICO EL CUAL FUE TRASLADADO A LA CLÍNICA SALUDCOOOP, APOYO AMBULANCIA DE BOMBEROS VOLUNTARIOS.</t>
  </si>
  <si>
    <t>CMGRD Y BOMBEROS REALIZAN VISITA A 3 VEREDAS Y UN CORREGIMIENTO AFECTADOS POR FUERTES LLUVIAS AL MOMENTO SE REGISTRAN 51 FAMILIAS,EN ENSERES Y OTROS, 258 PERSONAS; 38 DE ELLAS EN LA VEREDA SAN PABLO Y 13 EN LA VEREDA EL DIAMANTE, EN SEGUIMIENTO.</t>
  </si>
  <si>
    <t>SE PRESENTARON INUNDACIONES POR AUMENTO DE CAUDAL EN LA PARTE BAJA DE DE LAS VEREDAS Y SECTOR SAN JORGE, AFECTANDO CULTIVOS DE PLATANO, BANANO, APROXIMADAMENTE A 80 FAMILIAS, BOMBEROS REALIZA CAMPAÑAS DE SENSIBILIZACION Y ESTRATEGIA DE EVACUACION DEBIDO AL AUMENTO DE CAUDALES, EN DESARROLLO</t>
  </si>
  <si>
    <t xml:space="preserve">CDGRD REPORTA VENDAVAL ACOMPAÑADO DE LLUVIAS AFECTANDO UNA VIVIENDA EN EL TECHO DE ESTA, BARRRIO BICENTENARIO, CMGRD REALIZA EDAN Y ATIENDE </t>
  </si>
  <si>
    <t>CDGRD REPORTA HACIA LAS 16:30 Y 17:00 SE PRESENTÓ VENDAVAL EN LA VEREDA LA ESTRELLA DEL CORREGIMIENTO DE SAN VICENTE CON AFECTACIÓN INICIAL DE DOS VIVIENDAS EN CUBIERTA Y UNA MUJER DE NOMBRE MARÍA GLADYS CAJIAO DE 54 AÑOS DE EDAD IDENTIFICADA CON CEDULA DE CIUDADANÍA N°38.944.664 QUIEN PRESENTA TRAUMA CRÁNEO ENCEFÁLICO LEVE Y CORTE EN CUERO CABELLUDO SIN PERDIDA DE CONOCIMIENTO QUIEN FUE TRASLADADA POR FAMILIARES AL HOSPITAL PILOTO JAMUNDÍ DONDE RECIBE ATENCION EN EL SERVICIO DE URGENCIAS ENCONTRÁNDOSE EN OBSERVACIÓN</t>
  </si>
  <si>
    <r>
      <t xml:space="preserve">CDGRD INFORMA QUE EN EL DÍA DE HOY SE ADELANTARON LAS VERIFICACIONES Y CENSOS CORRESPONDIENTES DE AFECTADOS POR EL EVENTO VENDAVAL, OCURRIDO EL DÍA 22 DE ABRIL DEL PRESENTE AÑO. SE CONTINÚAN LABORES DE REGISTRO DE AFECTADOS CON LOS ORGANISMOS DE SOCORRO DEL MUNICIPIO (CUERPO DE BOMBEROS, DEFENSA CIVIL Y CRUZ ROJA) Y CON PERSONAL DE LA ADMINISTRACIÓN MUNICIPAL, EN EL MOMENTO SE OBTIENEN LOS SIGUIENTES DATOS DE AFECTACIONES.*156 VIVIENDAS AFECTADAS-PRELIMINAR # 2,*2 CULTIVOS-PERDIDA DE CULTIVOS DE UVAS Y PRODUCCIÓN PISCÍCOLA, *BOCATOMA PRINCIPAL AFECTADA POR OBSTRUCCIÓN DEBIDO A DESLIZAMIENTO EN SU CANAL DE ADUCCIÓN, *VIAS RURALES- TRAMO LOCERIA-SANCARLOS-BOCATOMA Y CUATROESQUINAS-SANCARLOS-BOCATOMA, *CAÍDA DE ARBOLES DE GRAN TAMAÑO- SECTORES QUEBRADA EL GUANABANO, BARRIO MIRALINDO, PLANTA DE TRATAMIENTO DE AGUA, BARRIO EL JARDÍN, PARQUE PRINCIPAL, * INSTITUCIÓN EDUCATIVA TÉCNICO MARISCAL SUCRE-DESENTECHAMIENTO DE AULAS, </t>
    </r>
    <r>
      <rPr>
        <b/>
        <sz val="9"/>
        <rFont val="Arial"/>
        <family val="2"/>
      </rPr>
      <t>BARRIOS</t>
    </r>
    <r>
      <rPr>
        <sz val="9"/>
        <rFont val="Arial"/>
        <family val="2"/>
      </rPr>
      <t xml:space="preserve"> REPORTADOS HASTA EL MOMENTO CON AFECTACIONES:
* LA CASTELLANA, *MIRALINDO, *LA ELIZA, *LA CABAÑA,*LA ESPERANZA, *UNIDOS, *SAN ANTONIO,*EL PORVENIR,* LA CRISTIANA, *LEOPOLDO PIZARRO, *CENTRAL,*LA CABAÑA,*EL RUIZ, *COLOMBIANA. </t>
    </r>
    <r>
      <rPr>
        <b/>
        <sz val="9"/>
        <rFont val="Arial"/>
        <family val="2"/>
      </rPr>
      <t xml:space="preserve"> VEREDAS </t>
    </r>
    <r>
      <rPr>
        <sz val="9"/>
        <rFont val="Arial"/>
        <family val="2"/>
      </rPr>
      <t xml:space="preserve">* LA FORTUNA,* SAN ANDRES.
 </t>
    </r>
  </si>
  <si>
    <t>2700 LADRILLOS, 145 VARILLA DE 1/2, 260 VARILLAS DE 3/8 Y 100 VARILLA DE 1/4</t>
  </si>
  <si>
    <t>600 UNIDADES DE CERCHA DE 2*1, 50000 BLOQUES NO. 5, 500 MALLAS, 2500 KG ALAMBRE GALVANIZADO, 1600 VARILLAS DE 1/2, 2000N VARILLAS DE 3/8, 100 ALAMBRE NEGRO</t>
  </si>
  <si>
    <t>MATERIALES PARA LA RECONSTRUCCION DE 15 VIVIENDAS</t>
  </si>
  <si>
    <t>INFORMA EL CDGRD DEL DEPARTAMENTO DEL HUILA QUE  EL DIA DE AYER SE PRESENTARON FUERTES LLUVIAS  AFECTANDO A 3 VIVIENDAS DEL ASENTAMIENTO MIRAFLORES,  SE REALIZO EDAN Y SE PUDO EVIDENCIAR  QUE LA MAYOR AFECTACION   SE ENCUENTRA EN MUEBLES Y ENSERES.</t>
  </si>
  <si>
    <t>INFORMA EL CDGRD DEL DEPARTAMENTO DEL HUILA QUE  EL DIA DE AYER SE PRESENTARON FUERTES LLUVIAS EN LA CIUDAD DE NEIVA  AFECTANDO A 1  VIVIENDA DEL ASENTAMIENTO DE VILLA MARINELA; Y UNA VIVIENDA EN EL BARRIO BAJO PEDREGAL,  SE REALIZO EDAN Y SE PUDO EVIDENCIAR  QUE EN LA PRIMERA VIVIENDA LOS DAÑOS SON EN LA COCINA Y LA SEGUNDA SOBRE EL PATIO DE LA VIVIENDA.</t>
  </si>
  <si>
    <t>REPORTA DESLIZAMIENTO   EN 5 PUNTOS DE LA VÍA LA ESTRELLA CALANDAIMA ALTO DEL MOHÁN, 1 VIVIENDA  AVERIADA,  7 PERSONAS. EN LA VÍA CACHIPAY PEÑA NEGRA SECTOR LA RECEVERA SE PRESENTO OTRO DESLIZAMIENTO, COLAPSO DEL ACUEDUCTO DEL CENTRO POBLADO PEÑA NEGRA  Y REPRESAMIENTO DE LA QUEBRADA OCOTA POR CAÍDA DE ARBOLES. EN LA VEREDA LA MARÍA DESBORDAMIENTO DE LA QUEBRADA DOÑA JUANA, DONDE SE REALIZA EDAN. ATIENDE CMGRD, POLICÍA Y DEFENSA CIVIL. REPORTA CDGRD.</t>
  </si>
  <si>
    <t>REPORTA EN EL AREA RURAL AFECTACIONES EN LA VEREDAS: GRANATES. LA RIVERA, LAS GUACAS, LA CUMBRE, NUEVA ESPERANZA, LA UNIÓN, AGUA AZUL,PAZ DEL AGRADO, SAN JUAQUIN, LAS BRISAS, MATEGUADUA,EL IBANO, TAMBORAL, EN  ALGUNAS COMUNIDADES NO HAN PODIDO ACCESAR LOS ORGANISMOS DE SOCORRO YA QUE LAS VIAS ESTAN TOTALMENTE CERRADAS POR LOS DESLIZAMIENTOS DE TIERRA,  MAÑANA SE DESPLAZARAN EL CMGRD Y ORGANISMOS DE SOCORRO PARAHACER EDAN Y LEVANTAR LOS RESPECTIVOS CENSOS DE LAS PERSONAS QUE HAN SIDO AFECTADAS POR LOS FUERTES VENDAVALES Y GRANIZADAS QUE HAN  AFECTADO EN GRAN PARTE EN LOS CULTIVOS. REPORTA DIEGO MOLINA COORD CMGRD. SITUACION EN DESARROLLO.</t>
  </si>
  <si>
    <t>ACCIDENTE</t>
  </si>
  <si>
    <t>REPORTA SECCIONAL VALLE: FUERTES LLUVIAS EN EL SUR DE CALI AFECTARON VARIOS BARRIOS DE CALI, REPUBLICA DE ISRAEL Y UNIÓN DE VIVIENDA POPULAR, CAÍDA DE ÁRBOLES SOBRE VÍAS, AFECTACIÓN SISTEMA ELÉCTRICO, INUNDACIÓN PLANTA BAJA HOSPITAL CARLOS CARMONA MONTOYA. PARTICIPAN 9 LÍDERES DCC</t>
  </si>
  <si>
    <t>REPORTA CMGRD DE ARGELIA, MEDIANTE ACTA</t>
  </si>
  <si>
    <t>CDGRD REPORTA INFORMACION ENVIADA POR CMGRD DEL MUNICIPIO DE PATÍA, DE MANERA PRELIMINAR, ACERCA DE  LOS HECHOS UN FUERTE VENDAVAL QUE DESTRUYO TOTALMENTE 3 VIVIENDAS EN LA VEREDA PITALITO, 1 VIVIENDA MAS INHABITABLE DEBIDO A LAS CONDICIONES DEL TERRENO Y 2 VIVIENDAS MAS DE LA CABECERA MUNICIPAL. CMGRD REPORTA A TRAVES DE ACTA ACTRUALIZACION DE AFECTACION</t>
  </si>
  <si>
    <t>CDGRD REPORTA EN ESTE MUNICIPIO FUERTES LLUVIAS ACOMPAÑADAS DE VIENTOS AFECTANDO EL BARRIO MONTEVIDEO, AL MOMENTO 3 VIVIENDAS CON DAÑO EN CUBIERTAS PARCIALMENTE, CMGRD ATIENDE EN SEGUIMIENTO.</t>
  </si>
  <si>
    <t>RAFAELA PAVA DEL CMGRD REPORTA FUERTES LLUVIAS PRESENTADAS EN EL DÍA DE HOY, LAS CUALES OCASIONARON UN DESLIZAMIENTO A 800 METROS, DE LA PALMA HACIA YACOPI, EL CUAL DEJA INCOMUNICADO AL MUNICIPIO DE YACOPI.. ATIENDE CMGRD Y SE NOTIFICA AL ICCU A ORLANDO CAÑÓN PARA LAS ACCIONES CORRESPONDIENTES POR TRATARSE DE UNA VÍA DEPARTAMENTAL, NO DAÑOS EN VIVIENDA U OTRO AL MOMENTO, INFORMA CDGRD</t>
  </si>
  <si>
    <t>CDGRD REPORTA 15:17 HORAS, SE PRESENTÓ INCENDIO ESTRUCTURAL, INMEDIACIONES DE LA VEREDA, CIUDAD TEYUNA, SITIO CONOCIDO COMO EL BUEY DONDE SE QUEMÓ UNA HABITACIÓN DE UNA VIVIENDA CAMPESINA CON ENSERES DE MENOR VALOR. BOMBEROS PIEDECUESTA ASISTIERON DE INMEDIATO A LA EMERGENCIA, SIN AFECTACIÓN DE LAS 04 PERSONAS QUE ALLÍ RESIDÍAN.</t>
  </si>
  <si>
    <t>OMAR ROMERO DE PLANEACIÓN DE CAPARRAPI, REPORTA QUE EN EL CENTRO POBLADO EL DINDAL, SE PRESENTO UNA INUNDACION DADO EL MATERIAL DE LODOS Y DE ARRASTRE  POR FUERTES LLUVIAS OCASIONÓ EL  COLAPSO DEL ALCANTARILLADO DE 36", EL CUAL AFECTO 8 VIVIENDAS DE LAS CUALES 4 RESULTARON AVERIADAS, EN TOTAL  10 FAMILIAS 50 PERSONAS QUE PERDIERON TODOS SUS MUEBLES Y ENSERES, TAMBIÉN 0.2 HECTÁREAS DE CULTIVO DE PLÁTANO Y YUCA. ATENDIÓ CMGRD, BOMBEROS Y POLICÍA E INFORMA CDGRD.</t>
  </si>
  <si>
    <t>TE. ARQUÍMEDES SOSA COMANDANTE DE BOMBEROS MOSQUERA, REPORTA INUNDACIÓN OCASIONADA POR LLUVIAS EL DÍA 20/04/13 A LAS 14:30 HORAS EN EL BARRIO PORVENIR RIO 1 Y 2, EL CUAL AFECTO LAS CALLES DEL BARRIO Y 6 VIVIENDAS CON 30 PERSONAS. ATENDIÓ BOMBEROS, DEFENSA CIVIL, POLICÍA Y CMGRD, QUIENES REALIZARON LIMPIEZA, LAVADO Y REHABILITACIÓN DE LAS CALLES Y LAS VIVIENDAS E INFORMA CDGRD.</t>
  </si>
  <si>
    <t>MARTHA RAMÍREZ DEL CMGRD. REPORTA QUE POR VENDAVAL OCURRIDO EL DÍA 18/04/13 A LAS 18:00 HORAS EN LA VEREDA SAN PEDRO, RESULTARON AFECTADAS 2 VIVIENDAS CON PERDIDA DE TECHOS, MUEBLES Y ENSERES ATIENDE CMGRD Y SE REQUIEREN  40 TEJAS DE ASBESTO-CEMENTO,  INFORMA CDGRD</t>
  </si>
  <si>
    <t>CDGRD DEL VALLE DEL CAUCA, INFORMA, FUERTE VENDAVAL, PRESENTADO, EL DÍA 25-04-2013, 115 VIVIENDAS AFECTADAS, EN EL SECTOR:  PAILA ARRIBA, 1 MENOR LESIONADO DE LA COMUNIDAD INDIGENA EMBERA- CHAMI, 1 ESCUELA AFECTADA, 10 POSTES DE ENERGIA CAIDOS, CONTINUAN REALIZANDO EDAN.</t>
  </si>
  <si>
    <t>CDGRD DEL TOLIMA, INFORMA, DESLIZAMIENTO, EL DÍA 25-04-2013,  SOBRE EL CANAL DE LA HIDROELÉCTRICA , UN PROMEDIO DE 100 MTS CUBICOS, DE TIERRA, CAUSÓ LA MUERTE DEL SEÑOR:  JOSÉ ALDEMAR BONILLA DE 52 AÑOS DE EDAD, SU CUERPO FUE RESCATADO   Y TRASLADADO DIRECTAMENTE A LA MORGUE DEL MPIO.</t>
  </si>
  <si>
    <t>CMGRD DE VISTAHERMOSA, ENVÍA, ACTAS, EMERGENCIA PRESENTADA EL DÍA 21-04-2013, POR INUNDACIONES, RÍO: GUEJAR Y  LOS CAÑOS: GUAPAYA, SARDINATA, BLANCO,  TUBO,   AFECTANDO LAS VEREDAS: PUERTO IGUANA, PUERTO GABRIEL, LA PALOMERA, PUERTO ALONSO, BARSOBIA BAJO, LA ARGENTINA, PIÑALITO, BOCAS DE GUAPAYA, TALANQUERAS, CAÑO BLANCO, CAÑO TUBO, AFECTACIÓN EN VÍAS,  AFECTACIÓN EN LA AGRICULTURA, GANADERIA,  SE HA DIFICULTADO, REALIZAR EDAN, POR PROBLEMAS DE ORDEN PÚBLICO.</t>
  </si>
  <si>
    <t>CDGRD DEL QUINDIO, INFORMA, POR FUERTES LLUVIAS, CAIDA DE ÁRBOL, EN  LA VÍA QUE CONDUCE DE CALARCA A  ARMENIA, VEREDA: CHAGUALA, SE COORDINO, ATENCIÓN CON INVIAS Y POLICIA DE CARRETERAS.</t>
  </si>
  <si>
    <t>CDGRD DEL CAUCA, INFORMA, AVALANCHA QUE SE PRESENTÓ, EL DÍA 12-04-2013,  CORREGIMIENTO: EL CERAL, DEJANDO 22 FAMILIAS EN ALTO RIESGO, ESTÁ ES UNA ZONA DE DIFICIL ACCESO, HASTA EL DÍA DE HOY SE LOGRO HACER EVALUACIÓN, HAY 22 FAMILIAS EN ALTO RIESGO, SITUACIÓN EN DESARROLLO.</t>
  </si>
  <si>
    <t>CDGRD DEL VALLE DEL CAUCA, INFORMA, FUERTE VENDAVAL, PRESENTADO, EL DÍA 25-04-2013, AFECTANDO: 33 VIVIENDAS , SECTORES: LA PAMPA, BOYACA, CORONADO, , CONTINUAN VERIFICANDO DAÑOS.</t>
  </si>
  <si>
    <t>HELADA</t>
  </si>
  <si>
    <t xml:space="preserve">REPORTA INUNDACION EN VARIOS BARRIOS DEL MUNICIPIO A CAUSA DE FUERTES LLUVIAS CAUSANDO COLAPSO DEL SISTEMA DE ALCANTARILLADO, BARRIOS: SAN NICOLAS, EL LLANO, JORGÉ ELIECER GAITAN, EL CARMEN, EMPRESAS MUNICIPALES, LAURELES, ALAMOS, COLLAREJO, CAMELLON DEL QUINDIO, EL CENTRO, LA ISLETA  Y SAN GERONIMO, NO HAY DATOS DE AFECTACION DE VIVIENDAS, ENTIDADES OPERATIVAS Y CMGRD REALIZANDO EDAN. </t>
  </si>
  <si>
    <t xml:space="preserve">REPORTA INUNDACION  OCASIONANDO AFECTACION  DE  125 FAMILIAS DE LAS CUALES 5 FAMILIAS ESTAN EN ALBERGUE, REPORTA GILBERTO MAZO. SITUACION EN DESARROLLO. </t>
  </si>
  <si>
    <t>REPORTA AVALANCHA OCASIONANDO DESTRUCCION DE DOS PUENTES VEREDALES DEJANDO DOS VEHICULOS EN MEDIO, NO SE TIENE DATOS DE AFECTACION, CMGRD Y ENTIDADES OPERATIVAS SE DESPLAZAN A LAS ZONAS PARA REALIZAR EDAN. SITUACION EN DESARROLLO.</t>
  </si>
  <si>
    <t>REPORTA EMERGENCIA CON MATERIALES PELIGROSOS EN BODEGA DE ALMACENAMIENTO DE QUIMICOS, EMPRESA PROQUIMORT, LOCALIDAD DE FONTIBON CALLE 18A#68D25, CAIDA DE ESTANTERIA OCASIONANDO MEZCLA ENTRE ACIDO FOSFORICO Y METABISUSITO DE SODIO, EN EL SITIO SE ENCUENTRAN 7 MAQUINAS DE BOMBEROS y 12 UNIDADES ATENDIENDO EL EVENTO, 5 PERSONAS INTOXICADAS POR INHALACION DE VAPORES REMITIDOS A CENTROS ASISTENCIALES CERCANOS, REPORTA EDWIN GONZALEZ DIRECCION NACIONAL DE BOMBEROS. SITUACION EN DESARROLLO.</t>
  </si>
  <si>
    <t>REPORTA HELADA EN EL AREA RURAL CON TEMERATURA POR DEBAJO DE LOS -10°C, AFECTANDO CULTIVOS DE PANCOGER EN LAS VEREDAS TULCAN, SAN MIGUEL, EL TABLON, GABRIEL LOPEZ, CHUSCALES, AGUA BOENITA, CALVACHE, TABACO, SIBERIA, AGUAS VIVAS, PORTACHUELO, SABALETA, MALVAZA, FAMILIAS DAMNIFICADAS 709, HECTAREAS DE CULTIVOS DAÑADAS: 2.311,345, REPORTA EDITH PAZ CDGRD.</t>
  </si>
  <si>
    <t>CMGRD DE LLORÓ, INFORMA, VENDAVAL, AFECTANDO EN CUBIERTAS, 144 VIVIENDAS, 1 VIVIENDA INHABITABLE POR DESLIZAMIENTO,  PARA SER REUBICADA, CONTINUAN REALIZANDO EDAN.</t>
  </si>
  <si>
    <t xml:space="preserve">CDGRD DEL QUINDIO, INFORMA, VENDAVAL, ACOMPAÑADO DE LLUVIAS Y GRANIZO, SECTORES:  EL CALIMA, CALLE 21 CON CARRERA  18 Y 19, AVENIDA CENTENARIO A LA ALTUTA DE LOS ONCOLOGOS, BARRIOS: EL BOSQUE, EL CAIMO- KM: 2,  LA PAVONA, Y EL HOTEL ARMENIA, 2 VIVIENDAS AFECTADAS EN LOS BARRIOS DE: CAÑAS GORDAS Y BUENOS AIRES, CAIDA DE 5 ARBOLES QUE OBSTACULIZAN, VÍAS , SITUACIÓN EN DESARROLLO. </t>
  </si>
  <si>
    <t>CDGRD DE CORDOBA, INFORMA, INCENDIO FORESTAL CONTROLADO Y EXTINGUIDO,  SE CONSUMIERON, APROXIMADAMENTE 15 HECTARIAS.</t>
  </si>
  <si>
    <t>CDGRD DE SANTANDER, INFORMA, BUCARAMANGA
27 ABRIL 2013 18:45 HORAS REPORTAN BOMBEROS BUCARAMANGA, SE PRESENTÒ INCENDIO ESTRUCTURAL EDIFICIO PASEO ESPAÑA UBICADO EN LA CALLE 33 NO. 26-25 DEL BARRIO ANTONIA SANTOS , DONDE POR RECALENTAMIENTO SE
INCENDIO EL CUARTO DEL SAUNA QUEMANDOSE TOTALMENTE. POR LA PRONTA ACION DE BOMBEROS EVITARON QUE LAS LLAMAS SE PROPAGARAN A LOS APARTAMENTOS. PERDIDAS AVALUADAS EN 10'000.000 MILLONES DE PESOS.</t>
  </si>
  <si>
    <t xml:space="preserve">CDGRD DE SANTANDER, INFORMA, FLORIDABLANCA 27 ABRIL 2013 17:30 HORAS REPORTAN BOMBEROS FLORIDABLANCA, SE PRESENTÒ INCENDIO  STRUCTURAL LA CASA UBICADA EN LA CARRERA 56 CON CALLE  26 DEL BARRIO EL REPOSO , DONDE POR CORTO CIRCUITO, SE INCENDIO UNA HABITACION DE LA CASA, QUEMANDOSE TOTALMENTE . POR LA PRONTA ACION DE BOMBEROS EVITARON QUE LAS LLAMAS SE PROPAGARAN AL RESTO DE LA CASA. PERDIDAS AVALUADAS EN 05'000.000 MILLONES DE PESOS.--
</t>
  </si>
  <si>
    <t>D.C.C., REPORTA SECCIONAL MAGDALENA INCENDIO FORESTAL, EXTINGUIDO, OCURRIDO EL 26-04-2013 EN EL M/PIO DE SANTA MARTA, RESULTANDO 1 HECTAREA DE VEGETACIÓN AFECTADA POR EL FUEGO. PARTICIPARON 6 LIDERES</t>
  </si>
  <si>
    <t>D.C.C., DIRECCIÓN SECCIONAL INFORMA QUE:  SE PRESENTÓ INCENDIO FORESTAL EN EL KM 12 VÍA BRUSELAS -MOCOA DONDE SE AFECTÓ 1 HECTÁREAS DE CULTIVOS DE CAFÉ Y BOSQUE.</t>
  </si>
  <si>
    <t xml:space="preserve">CDGRD DEL VALLE DEL CAUCA, INFORMA, DEBIDO A LAS FUERTES LLUVIAS SE PRESENTÓ UNA INUNDACIÓN EN EL SECTOR: SALONICA, PARQUE MORALES EN UNA BOCACALLE DONDE SE VEN AFECTADAS, 7 VIVIENDAS PORQUE COLAPSO EL SISTEMA DEL ALCANTARILLADO,DEVOLVIENDOSE EL AGUA POR LOS SIFONES MAS QUE TODO EN LOS PATIOS DE LAS VIVIENDAS. </t>
  </si>
  <si>
    <t>REPORTA FUERTE AGUACERO Y VENDAVAL DURANTE LA MADRUGADA DE ESTE 28 DE ABRIL, INFORMA EL PRESIDENTE DE LA JAC DE LA VEREDA LA ESMERALDA, QUE 2 VIVIENDAS COLAPSARON Y 15 VIVIENDAS RESULTARON AVERIADAS EN SUS CUBIERTAS. ORGANISMOS DE SOCORRO Y CMGRD SE DIRIGEN AL LUGAR A REALIZAR EDAN Y  EL CENSO CORRESPONDIENTE. REPORTA CDGRD. SITUACION EN DESARROLLO.</t>
  </si>
  <si>
    <t>REPORTA INCENDIO ESTRUCTURAL, BARRIO: TIGREROS, 2 VIVIVENDAS DESTRUIDAS, 1 VIVIENDA AVERIADA, 6 FAMILIAS DAMINIFICADAS, 18 PERSONAS, SE HACE ENTREGADE DE AYUDAS HUMANITARIAS. REPORTA CMGRD DE ARMENIA.</t>
  </si>
  <si>
    <t xml:space="preserve">REPORTA HELADA EN EL AREA RURAL AFECTANDO CULTIVOS DE PAPA, FRESA, PASTO, ULLUCO, CEBOLLA Y ARVEJA EN: CORREGIMIENTO PIEDRA DE LEON EN LAS VEREDAS: PIEDRA DE LEON: FAMILIAS 63, PERSONAS 182, HECTAREAS 230. VEREDA: CASAS NUEVAS: FAMILIAS: 60, PERSONAS:197, HECTAREAS: 188. CORREGIMIENTO PAISPAMBA EN LAS VEREDAS ULLUCOS: FAMILIAS:46, PERSONAS 140, HECTAREAS: 87, VEREDA PAISPAMBA: FAMILIA:1, PERSONAS: 4, HECTAREAS: 1, PARA UN TOTAL DE 506 HECTAREAS AFECTADAS POR LAS HELADAS QUE ESTAN POR LOS -10°C, REPORTA EL CDGRD. </t>
  </si>
  <si>
    <t>CDGRD DEL HUILA, INFORMA, SE PRESENTÓ, EL DÍA DE HOY, VENDAVAL, ACOMPAÑADO DE FUERTES LLUVIAS, AFECTANDO: 8 VIVIENDAS, BARRIOS: NAZARETH, BRISAS DEL ORIENTE, VEREDA: MONSERRAT.</t>
  </si>
  <si>
    <t>CDGRD DEL HUILA, INFORMA, SE PRESENTÓ, EL DÍA DE HOY, VENDAVAL, ACOMPAÑADO DE FUERTES LLUVIAS, AFECTANDO: 4 VIVIENDAS, BARRIO: VILLA LASAUNA.</t>
  </si>
  <si>
    <t>CDGRD DEL HUILA, INFORMA, SE PRESENTÓ, EL DÍA DE HOY TORMENTA ELÉCTRICA, DEJANDO 1 SEÑORA HERIDA, LA CUAL FUE TRASLADADA A UN CENTRO ASISTENCIAL, 1 VIVIENDA AFECTADA, VEREDA: LA MESA.</t>
  </si>
  <si>
    <t>D.C.C., REPORTA SECCIONAL NARIÑO: INUNDACIÓN OCURRIDA EL 17-04-2013 EN EL M/PIO DE SAN ANDRÉS DE TUMACO, DISTRITO ESPECIAL. INDUSTRIAL, PORTUARIO BIODIVERSO Y ECO TURÍSTICO DE TUMACO, REPORTE PRELIMINAR DE 450 VIVIENDAS AFECTADAS, 450 FAMILIAS AFECTADAS, 2250 PERSONAS. PARTICIPAN LAS JDC SAN LUIS ROBLES Y CENTRAL TUMACO CON 30 LÍDERES VOLUNTARIOS, AYUDAN A LA COMUNIDAD A EVACUAR LOS ENSERES Y LA COMUNIDAD, ORGANIZAN ALOJAMIENTO TEMPORAL PARA 119 FAMILIAS, ORGANIZAN ACTIVIDADES DE APOYO LOGÍSTICO.
PERDIDA DE CULTIVOS</t>
  </si>
  <si>
    <t xml:space="preserve">INFORMA EL TENIENTE EDWIN GONZALEZ DE BOMBEROS  QUE EN LA CL 19 SUR 29 C 38 SE PRESENTO UN INCENDIO ESTRUCTURAL DENTRO DE UNA FABRICA DE COLCHONES,  SECRETARIA DE SALUD DE BOGOTA VALORO A 15 PERSONAS QUE  SE ENCONTRABAN DENTRO DE LA ESTRUCTURA EN EL  MOMENTO DEL INCENDIO, UNA DE ESTAS PERSONAS FUE TRASLADADA A C DE PALERMO POR INHALACION DE  HUMO,  EN EL SITIO SE HICIERON PRESENTES 10 MAQUINAS DE BOMBEROS CON 50 BOMBEROS,  2 VEHICULOS  DE LA POLICIA NACIONAL  TIPO CARROTANQUE   CON AGUA POTABLE  5 AMBULANCIAS DE LA SECRETARIA DE SALUD, 2 VEHICULOS DE EMERGENCIA FOPAE, 3 TECNICOS DEL CUERPO TECNICO DE INVESTIGACION DE LA FISCALIA GRUPO ESPECIALIZADO EN INVESTIGACION DE INCENDIOS Y EXPLOSIVOS, LA EMERGENCIA YA FUE SUPERADA, EN EL SITIO COE 15 JOSE ANTONIO PERDOMO DE FOPAE. </t>
  </si>
  <si>
    <t>CMGRD DE ARMENIA, INFORMA, FUERTES LLUVIAS, QUE AFECTARON UN HOGAR INFANTIL, CAIDA DE ÁRBOL OBSTACULIZANDO , LA VÍA EN LA VEREDA. MESOPOTAMIA, APOYAN BOMBEROS, SE PRESENTA DESLIZAMIENTO CON REPRESAMIENTO DE LA QUEBRADA , EN EL BARRIO: PINARES, SITUACIÓN EN DESARROLLO.</t>
  </si>
  <si>
    <t xml:space="preserve">CDGRD DE SANTANDER, INFORMA, SE PRESENTÓ INUNDACIÓN EN GRAN PARTE DEL CASCO URBANO, POR EL DESBORDAMIENTO DE LAS QUEBRADAS, SIMACOTA Y EL CINTO, ACOMPAÑADA DE VENDAVAL, DONDE SE DERRUMBARON 2 VIVIENDAS  Y  7  MÁS RESULTARON AVERIADAS, HECHOS QUE TUVIERON LUGAR EN HORAS DE LA MAÑANA, 2 CENTROS EDUCATIVOS AFECTADOS, 
</t>
  </si>
  <si>
    <t>CDGRD DE CUNDINAMARCA, INFORMA, DISNEY BARBOSA DE ASOJUNTAS DE LA MESA, REPORTA VENDAVAL OCURRIDO EN LA NOCHE ANTERIOR A ESO DE LAS 22:00 HORAS EN LA VEREDA GUAYABAL EL CUAL AFECTO 6  VIVIENDAS CON PERDIDA DE TECHOS, MUEBLES, ENSERES, ELECTRODOMÉSTICOS Y ELEMENTOS DE COCINA. ATIENDE COMUNIDAD.</t>
  </si>
  <si>
    <t>CDGRD DEL QUINDIO, INFORMA, POR LLUVIAS, AFECTACIÓN EN 1 VIVIENDA, BARRIO: URIBE.</t>
  </si>
  <si>
    <t>DIRECCIÓN SECCIONAL INFORMA SOBRE: LLUVIA TORRENCIAL EN EL MUNICIPIO DE APARTADO LO CUAL OCASIONÓ CRECIENTE SÚBITA DE LOS RÍOS APARTADO Y CUCHILLO, INUNDANDO DISTINTAS VEREDAS DEL MUNICIPIO, EL DIAMANTE, SAN PABLO, SAN JOSÉ DE APARTADO, LA VICTORIA, SALSIPUEDES, PUNTO ROJO.</t>
  </si>
  <si>
    <t>DIRECCIÓN SECCIONAL INFORMA SOBRE: LLUVIA TORRENCIAL EN EL MUNICIPIO DE CAREPA LO CUAL OCASIONO, CRECIENTE SÚBITA DE LOS CANALES DE RIEGO DE LOS CULTIVOS DE BANANO, AFECTANDO LAS VEREDAS DE  CANAL UNO. NUEVA ESPERANZA. CAREPITA PROMEXCOL. CANAL 4. CAREPITA KM 4.</t>
  </si>
  <si>
    <t>SE ATIENDE A PERSONAL AFECTADOS POR LLUVIAS Y VENDAVAL EN LA CIUDAD DE PALMIRA CORREGIMIENTO LA PAMPA Y CORREGIMIENTO BOYACÁ. TOTAL 16 CASAS AFECTADAS EN LOS TECHOS, TOTAL FAMILIAS AFECTADAS 16, TOTAL PERSONAS AFECTADAS 80, SE PRESENTÓ DAÑO TOTAL DE TECHOS, ENSERES Y ELECTRODOMÉSTICOS, FENÓMENO NATURAL SE PRESENTO A LAS 15:30 HORAS, SE COLABORÓ A LA COMUNIDAD A EVACUAR LA ZONA Y TRASLADO DE ENSERES CON PARTICIPACIÓN DE 8 LÍDERES VOLUNTARIOS, UN VEHÍCULO DEL CONSEJO MUNICIPAL PARA LA GESTIÓN DEL RIESGO Y PERSONAL DE LA EMPRESA EPSA PARA VERIFICAR DAÑOS EN LAS REDES ELÉCTRICAS-</t>
  </si>
  <si>
    <t xml:space="preserve">CMGRD DE MIRANDA, INFORMA, VEREDA LA LINDOSA,  SE PRESENTÓ UN FUERTE VENDAVAL EN HORAS DE LA MADRUGADA, DONDE SE REPORTARON DAÑOS PRINCIPALMENTE EN CULTIVOS, LO ANTERIOR POR PARTE DE LA PRESIDENTE DE J.A.C DE DICHA VEREDA, INFORMANDOSE A LA COORD. DE GESTION DEL RIESGO Y OFICINA AGROPECUARIA EL DIA DE HOY.  SE REALIZARON LAS RESPECTIVAS VERIFICACIONES,  CON MIEMBROS DEL CUERPO DE BOMBEROS VOLUNTARIOS Y FUNCIONARIOS DE LA SEC. AGROPECUARIA Y GESTION DEL RIESGO DEL MUNICIPIO. SE PUDO CONSTATAR Y REGISTRAR QUE LOS CULTIVOS DE PANCOGER, PRINCIPALMENTE AFECTADOS FUERON. (PLATANO Y FRUTALES COMO PAPAYOS, AGUACATE Y GUANABANOS), LAS PERDIDAS SE VALORARON EN MAS DEL 60%  EN CADA PARCELA O FINCA REGISTRADA. EN EL MOMENTO LA COORD. DE GESTION DEL RIESGO Y LA SECRETARIA AGROPECUARIA SE ENCUENTRA CONSOLIDANDO LOS REGISTROS DE LOS AFECTADOS QUE SUPERAN MAS DE VENTICINCO (25) CULTIVADORES, DE IGUAL FORMA LOS GALPONES DONDE SE FABRICAN LADRILLOS SE AFECTARON EN SU ESTRUCTURA, PERJUDICANDO A UNA DECENA DE JORNALES QUE LABORAN EN LA MISMA, PARA EL TEMA DE VIVIENDAS AFECTADAS HASTA EL MOMENTO SE ESPERA LA CONSOLIDACION TOTAL DE LA INFORMACION, IGUALMENTE SE REPORTA Y VERIFICA AFECTACION SEVERA EN LA VIA CAMPUS UNIVERSITARIO- VEREDA SANTA ANA; QUE DEJARON INTRANSITABLES VARIOS TRAMOS DE LA MISMA A CONSECUENCIA DEL ARRASTRE DE AGUA, POSIBLEMENTE POR CAUDAL EXCESIVO SOBRE LA MISMA. POR LO ANTERIOR EL DIA DE MAÑANA SE REUNIRA EL CMGRD, PARA TRATAR EL TEMA DE AFECTACION, QUE PERMITA GENERAR UNA RESPUESTA Y ATENCION A LO SUSEDIDO.
</t>
  </si>
  <si>
    <t>BOMBEROS VILLAHERMOSA REPORTA EN LA VEREDA LA URIBE SE REGISTRO COLAPSO DE LA VIVIENDA DE. EDUCARDO TORO PAVÓN DONDE HABITAN 6 PERSONAS DE LAS CUALES 4 SON MENORES DE EDAD, CONFIRMA CDGRD.</t>
  </si>
  <si>
    <t xml:space="preserve">SANDRA CALVO Y JUAN CARLOS PUERTO, INFORMAN, POR FUERTES LLUVIAS, SE PRESENTAN INUNDACIONES, EN LOS BARRIOS DE: LA PAZ, COMUNEROS 1 Y 2,  REPÚBLICA DE ISRAEL, MARROQUIN, NUEVA FLORESTA, EL JARDÍN, AFECTADA LA ESCUELA SAN PEDRO CLAVER, SE SOLICITÓ INFORMACIÓN AL CDGRD, PENDIENTE AFECTACIÓN. REPORTE 30-04-13, AL MENOS 10 BARRIOS DEL ORIENTE Y SUR DE CALI AFECTADOS COMO CONSECUENCIAS DE UN TORRENCIAL AGUACERO ACOMPAÑADO DE VENDAVAL, LOS BARRIOS LA PAZ, LA UNIÓN DE VIVIENDA POPULAR, COMUNEROS 1 Y 2, REPÚBLICA DE ISRAEL, CRISTÓBAL COLON, ANTONIO NARIÑO, EL JARDÍN, MARROQUÍN Y LA NUEVA FLORESTA, SUFRIERON INUNDACIONES QUE OBLIGÓ A LA EVACUACIÓN DE ENSERES Y ELECTRODOMÉSTICOS DE ALGUNAS VIVIENDAS EN EL COLEGIO SAN PEDRO CLAVER LOCALIZADO EN LA CALLE 26 NO 40 B 28, EL TECHO SE DESPRENDIÓ OBLIGANDO A LA EVACUACIÓN DE LOS ESTUDIANTES Y PROFESORES INFORMACIÓN QUE ENTREGA CMGRD EN SEGUIMIENTO Y ESPERA DE REPORTE DE CDGRD YA QUE SE REALIZA LLAMADA Y NO CUENTA CON LA INFORMACION.
</t>
  </si>
  <si>
    <t xml:space="preserve">INCENDIO ESTRUCTURAL </t>
  </si>
  <si>
    <t>29 ABRIL 2013 00:31 HORAS REPORTAN BOMBEROS BARRANCABERMEJA, SE PRESENTÓ INCENDIO ESTRUCTURAL SUPERMERCADO CAMPESINO UBICADO EN LA CARRERA 24 CON CALLE 56 DEL BARRIO GALÁN, DONDE POR CORTO CIRCUITO, SE INCENDIO UNA BODEGA DE ALMACENAMIENTO, QUEMÁNDOSE TOTALMENTE. POR LA PRONTA ACCIÓN DE BOMBEROS EVITARON QUE LAS LLAMAS SE PROPAGARAN AL RESTO DEL SUPERMERCADO Y PASARA A UN RESTAURANTE CONTIGUO LA EMERGENCIA YA FUE SUPERADA.</t>
  </si>
  <si>
    <t>INFORMA LA  CDGRD QUE EN EL MUNICIPIO DE PALMIRA   SE PRESENTO UNA FUERTE  LLUVIA  ACOMPAÑADA DE VIENTOS LA CUAL PRODUJO CAIDA DE ARBOLES EN EL MUNICIPIO DESTRULLENDO 3 VIVIENDAS Y UNA ESCUELA</t>
  </si>
  <si>
    <t xml:space="preserve">INFORMA LA  CDGRD QUE EN EL MUNICIPIO DE TRUJILLO  SE PRESENTARON  FUERTES LLUVIAS QUE AFECTARON  UNA VIA, OCASIONANDO  PERDIDA DE LA BANCADA </t>
  </si>
  <si>
    <t>INFORMA EL CDGRD DEL DEPARATAMENTO DEL CASANARE QUE EL DIA DE AYER  EN EL RESGUARDO INDIGENA DE QUINTO PATIO SE PRESENTO UN VENDAVAL QUE DEJO 3 PERSONAS LESIONADAS Y 15 VIVIENDAS  AFECTADAS, INCIDENTE EN  EN DESARROLLO</t>
  </si>
  <si>
    <t>CDGRD DEL TOLIMA, INFORMA, SE PRESENTÓ, 29-04-2013, ATAQUE DE ABEJAS AFRICANIZADAS, EN EL CEMENTERIO DEL MPIO, DEJANDO: 1 PERSONA FALLECIDA DE NOMBRE: DAMASO MAHECHA DE 66 AÑOS DE EDAD, 12 PERSONAS LESIONADAS, POR PICADURAS DE UN ENJAMBRE.</t>
  </si>
  <si>
    <t>CDGRD DE CASANARE, INFORMA, SE PRESENTÓ, 29-04-2013, CRECIENTE SUBITA DE LA QUEBRADA: LA TANGA, EN LA VEREDA: PALMARITO, DEJANDO, 1 PERSONA AHOGADA DE NOMBRE: ADOLFO CANTANO.</t>
  </si>
  <si>
    <t>D.C.C, INFORMA, SOBRE LAS 16:00 HORAS, 29-04-2013, SE PRESENTÓ, VENDAVAL, ACOMPAÑADO DE FUERTES LLUVIAS, EN LA CABECERA MUNICIPAL, AFECTANDO VARIOS BARRIOS, CON AFECTACIÓN DE VIVIENDAS Y PÉRDIDAS DE ENSERES-</t>
  </si>
  <si>
    <t>CDGRD DEL TOLIMA, INFORMA, INCENDIO ESTRUCTURAL, EN EL BARRIO: LA VICTORIA, 1 VIVIENDA DESTRUIDA, 1 FAMILIA AFECTADA, ESTE EVENTO SE PRESENTÓ POR DESCUIDO AL DEJAR ENCENDIDA UNA VELADORA, SIN LESIONADOS.</t>
  </si>
  <si>
    <t>AFECTADAS VEREDAS LA CASCADA, EL AGUILA DE FLORIDA, SAN ISIDRO, BUENAVISTA, LA GRANJA, LAS PAVAS, LA HABANA, EL MADROÑO, EL CARMEN AREA URBANA</t>
  </si>
  <si>
    <t>AFECTADA ZONA RURAL</t>
  </si>
  <si>
    <t>CDGRD REPORTA REPORTA DESBORDAMIENTO DE QUEBRADA LA PEREIRA QUE CRUZA ESTE MUNICIPIO EN HORAS DE LA MAÑANA AFECTANDO EL BARRIO SAN CAYETANO  A 61 FAMILIAS, CON 223 PERSONAS, EL HIPODROMI Y EL BARRIO CALLUCO,  13 DE ESTAS FAMILIAS PERDIERON ENSERES, CMGRD Y CDGRD EN APOYO CON CRUZ ROJA DISPONEN Y REALIZAN ENTREGA DE ALGUNAS AYUDAS HUMANITARIAS PARA ESTAS 13 FAMILIAS.</t>
  </si>
  <si>
    <t>CDGRD Y LA DIRECCION DE BOMBEROS REPORTAN EXPLOSION EN TUBERIA EN EL SECTOR PUERTO LIBRE A 50 KILOMETROS DEL CASCO URBANO, DEJANDO LESIONADAS A 7 PERSONAS QUE FUERON TRASLADADAS A CENTRO ASISTENCIAL, ATENDIO BOMBEROS PUERTO BOYACA Y PUERTO SALGAR.</t>
  </si>
  <si>
    <t>CDGRD REPORTA INCENDIO ESTRUCTURAL, EN EL BARRIO LA TRINIDAD,  CON 5 VIVIENDAS AFECTADAS, EL CUERPO DE BOMBEROS Y LA DEFENSA CIVIL  REALIZAN LA ATENCION , NO LESIONADOS AL MOMENTO.</t>
  </si>
  <si>
    <t>CDGRD INFORMA SE PRESENTÓ CONATO DE INCENDIO FORESTAL EN EL BARRIO BUCARAMANGA FRENTE AL MERCADO CAMPESINO, QUEMÁNDOSE 200 METROS DE VEGETACIÓN, BOSQUES Y MALEZA. NO SE PRESENTÓ AFECTACIÓN DE PERSONAS NI DE VIVIENDAS, ATENDIO BOMBEROS</t>
  </si>
  <si>
    <t>CDGRD INFORMA SE PRESENTO CONATO DE INCENDIO FORESTAL EN EL BARRIO VILLAS DE SAN IGNACIO SECTOR NORTE, QUEMÁNDOSE 200 METROS DE VEGETACIÓN, BOSQUES Y MALEZA. NO SE PRESENTÓ AFECTACIÓN DE PERSONAS NI DE VIVIENDAS ATENDIO BOMBEROS.</t>
  </si>
  <si>
    <t>CDGRD INFORMA SE PRESENTO CONATO DE INCENDIO FORESTAL ENTRE BARRIOS CIUDAD BOLÍVAR Y CORDONCILLO, QUEMÁNDOSE 1.000 METROS DE VEGETACIÓN, BOSQUES Y MALEZA. NO SE PRESENTÓ AFECTACIÓN DE PERSONAS NI DE VIVIENDAS, ATENDIO BOMBEROS.</t>
  </si>
  <si>
    <t>CDGRD INFORMA SE PRESENTO CONATO DE INCENDIO FORESTAL EN EL BARRIO  ALTOS DE TRANSICIÓN, QUEMÁNDOSE 200 METROS DE VEGETACIÓN, BOSQUES Y MALEZA. NO SE PRESENTÓ AFECTACIÓN DE PERSONAS NI DE VIVIENDAS.</t>
  </si>
  <si>
    <t>CDGRD INFORMA SE PRESENTO INCENDIO FORESTAL EN LA VEREDA LA MESETA, QUEMÁNDOSE 2 HECTÁREAS DE VEGETACIÓN, BOSQUES Y MALEZA. NO SE PRESENTÓ AFECTACIÓN DE PERSONAS NI DE VIVIENDAS, ATENDIO BOMBEROS BUCARAMANGA</t>
  </si>
  <si>
    <t>CDGRD, INFORMA SE PRESENTO CONATO DE INCENDIO FORESTAL EN EL BARRIO LAGOS II, AL LADO DEL COLEGIO INTEGRADO RAFAEL POMBO, QUEMÁNDOSE 110 METROS DE VEGETACIÓN, BOSQUES Y MALEZA. NO SE PRESENTÓ AFECTACIÓN DE PERSONAS NI DE VIVIENDAS ATENDIO BOMBEROS</t>
  </si>
  <si>
    <t>CDGRD  INFORMA SE PRESENTO CONATO DE INCENDIO FORESTAL ENTRE LOS BARRIOS ZAPAMANGA IV Y V ETAPA, QUEMÁNDOSE 100 METROS DE VEGETACIÓN, BOSQUES Y MALEZA. NO SE PRESENTÓ AFECTACIÓN DE PERSONAS NI DE VIVIENDAS ATENDIO BOMBEROS</t>
  </si>
  <si>
    <t xml:space="preserve">CDGRD REPORTA VENDAVAL EN ZONA RURAL - BETANIA PORTUGAL- LA CECILIA - LAS MIRLAS - LAS HERMOSAS TAPONAMIENTO DE VIAS Y AFECTACION DE 35 VIVIENDAS DESTECHADAS   3 VIVIENDAS PARA DESALOJAR </t>
  </si>
  <si>
    <t>CDGRD REPORTA DESLIZAMIENTO EN EL SECTOR DE LA CHAPA, ENTRE TASCO Y SOCHA, SE PRESENTO AYER, NO VIVIENDAS AFECTADAS NI LESIONADS</t>
  </si>
  <si>
    <t>CDGRD REPORTA EN MARIQUITA, INUNDACIÓN POR COLAPSO DEL CANAL, AFECTANDO TRES VIVIENDAS, LEVANTANDO LOS PISOS Y CAUSANDO LA PERDIDA DE MUEBLES ENSERES Y ALIMENTOS, EN LAS CASAS; NO 13 - 13-2-10 Y 13-2-26 AFECTANDO EN TOTAL 9 CMGRD Y ENTIDADES ATIENDEN EMERGENCIA</t>
  </si>
  <si>
    <t>CDGRD REPORTA VENDAVAL EN ESTE MUNICIPIO, AYER EN HORAS DE LA NOCHE, CAIDA DE ARBOLES AFECTA LA VIA QUE CONDUCE HACIA EL MUNICIPIO DE AGUACHICA, EL CMGRD INFORMA QUE SE AFECTO AREA RURAL Y URBANA HASTA EL MOMENTO SE CONFIRMA 100 VIVIENDAS AFECTADAS, SIGUEN EVALUACION EN ZONA RURAL. REPORTA CDGRD, SITUACION EN DESARROLLO.</t>
  </si>
  <si>
    <t>REPORTA DESLIZAMIENTO A CAUSA DE FUERTES LLUVIAS OCASIONANDO TAPONAMIENTO DE LA VIA EN LA VIA QUE CONDUCE DEL CASCO URBANO HACIA IMANTAGOMOROTO, DEJANDO INCOMUNICADAS A LAS VEREDAS LA BALSITA, LA BALSA, MOROTO Y PERNILLA, EL DIA DE MAÑANA SE DESPLAZA A LA ZONA EQUIPO TECNICO DEL CMGRD PARA HACER EVALUACION, REPORTA GILBERTO MAZO CDGRD.</t>
  </si>
  <si>
    <t>REPORTA EXPLOSION EN TRABAJOS QUE REALIZABA ECOPETROL EN EL POLIDUCTO EN EL SECTOR DE RIONEGRITO, EL PERSONAL SE ENCONTRABA REALIZANDO EL CORTE DE TUBERIA PARA PROFUNDIZARLA, PARA PERMITIR LA CONTRUCCION DE LA VIA DEL SOL, LA GASOLINA QUE SE ENCONTRABA EN LA TUBERIA LA DEPOSITARON EN UNA PISCINA, PERO AL ENCENDER UNA MOTOBOMBA ESTA GENERO CHISPA LA CUAL PRODUJO UNA EXPLOSION QUE DEJO 7 OPERARIOS LESIONADOS DE LOS CUALES 6 FUERON REMITIDOS A PUERTO BOYACA EN BOYACA Y 1 TRASLADADO A LA DORADA CALDAS. REPORTA ALIRIO ROZO CDGRD BOYACA.</t>
  </si>
  <si>
    <t>REPORTA INUNDACION EL PASADO 28 Y 29 DE ABRIL CON 747 FAMILIAS DAMNIFICADAS. 3.360 PERSONAS DAMNIFICADAS. 25 BARRIOS CON  REGISTRO DE FAMILIAS DAMNIFICADAS ( HAY BARRIOS AFECTADOS SIN FAMILIAS DAMNIFICADAS - SOLO AFECTADAS). 40 BARRIOS DONDE SE REQUIEREN INTERVENCIONES EN OBRAS DE PROTECCIÓN Y MITIGACIÓN DE RIESGOS DE INMINENTES INUNDACIONES. REPORTA CMGRD.</t>
  </si>
  <si>
    <t>CDGRD DE CUNDINAMARCA, INFORMA, MEDIANTE ACTA NUMERO 05 DEL CMGRD DEL MUNICIPIO DE LA PALMA DE FECHA 11/04/13, EL ALCALDE REPORTA AFECTACIONES POR VENDAVAL OCURRIDO DURANTE LOS  DÍAS 07, 11, Y 12/04/13 EL CUAL AFECTO 15 VIVIENDAS, 15 FAMILIAS, 75 PERSONAS QUE PERDIERON LOS TECHOS, EL PALACIO MUNICIPAL TAMBIÉN RESULTO AVERIADO CON PERDIDA DE LOS EQUIPOS DE COMPUTO DEBIDO A QUE SE MOJARON. ATENDIÓ CMGRD.</t>
  </si>
  <si>
    <t>CDGRD INFORMA VENDABAL EN EL CORREGIMIENTO DE ROSARIO DE CHENGUE EN EL MUNICIPIO DE CONCORDIA, EL CUAL DEJO UNA AFECTACION DE 29 VIVIENDAS AVERIADAS, 3 INSTITUCIONES EDUCATIVAS Y 1 HERIDO.</t>
  </si>
  <si>
    <t>CDGRD DE ATLANTICO, INFORMA, A RAIZ DE FUERTES LLUVIAS, SE PRESENTÓ DESLIZAMIENTO, AFECTANDO, LA PARED EXTERIOR DEL HOSPITAL DE LA LOCALIDAD, SIN AFECTACIÓN A PACIENTES, SITUACIÓN EN DESARROLLO.</t>
  </si>
  <si>
    <t>CDGRD DE BOYACA, INFORMA, SE PRESENTÁ DESLIZAMIENTO, EN EL KM: 17, VÍA PAZ DEL RÍO- BELEN, SE DESVIA TRAFICO POR TASCO, SITUACIÓN EN DESARROLLO.</t>
  </si>
  <si>
    <t>CDGRD DE BOYACA, INFORMA, ALUD DE TIERRA, VEREDA: LA VENTA,  2  VIVIENDA DESTRUIDAS, SIN LESIONADOS, APOYA D.C.C., SITUACIÓN EN DESARROLLO.</t>
  </si>
  <si>
    <t>CDGRD DEL CESAR, INFORMA, SE PRESENTÓ VENDAVAL, EN LA CABECERA MUNICIPAL, BARRIOS:  TIBURÓN, Y GALANCITO, AFECTADAS: 6 VIVIVENDAS, APOYAN D.C.C, SECCIONAL DE IBIRICO.</t>
  </si>
  <si>
    <t>CDGRD DE NORTE DE SANTANDER, INFORMA, SE PRESENTÁ CRECIENTE SUBITA DEL RÍO PERALONSO, SE EVACÚAN 10 FAMILIAS DE MANERA PREVENTIVA, SITUACIÓN EN DESARROLLO.</t>
  </si>
  <si>
    <t>CDGRD DEL QUINDIO, INFORMA, FUERTES LLUVIAS, AFECTANDO ALCANTARILLADO DE LOS BARRIOS DE: EL CEREZO, CIUDADELA, SECTOR DE LA SAPERA, POLICARPA, VILLA LAURA, ATENDIERON BOMBEROS, QUIMBAYA.</t>
  </si>
  <si>
    <t>CDGRD DE CUNDINAMARCA, INFORMA, LUIS CARLOS BARRETO DEL CMGRD DE FUSAGASUGA REPORTA DESLIZAMIENTO EN LA CARRERA 12 CALLE CUARTA BARRIO GALÁN NORTE, EL CUAL AFECTO POR FISURAS UN MURO DE CONTENCIÓN Y 4 VIVIENDAS CON 4 FAMILIAS 20 PERSONAS, DE LAS CUALES 1 FAMILIA FUE EVACUADA CON ASISTENCIA DE SUBSIDIO DE ARRENDAMIENTO POR PARTE DEL MUNICIPIO. ATIENDE CMGRD.</t>
  </si>
  <si>
    <t>CDGRD DE CUNDINAMARCA, INFORMA, CT. JOSÉ ANTONIO REYES DE BOMBEROS PUERTO SALGAR, REPORTA EXPLOSIÓN DEL POLIDUCTO A LA ALTURA DE LA INSPECCIÓN PUERTO LIBRE, OCURRIDO CUANDO UNA CUADRILLA DE OBREROS AL SERVICIO DE  ECOPETROL, REALIZABAN MANTENIMIENTO, RESULTANDO 7 HERIDOS CON QUEMADURAS DE SEGUNDO Y TERCER GRADA QUIENES FUERON TRASLADADOS AL HOSPITAL DE LA DORADA EN AMBULANCIAS DE LA CONCESIÓN RUTA DEL SOL. ATENDIÓ BOMBEROS PUERTO SALGAR, BOMBEROS PUERTO BOYACÁ Y POLICÍA NACIONAL.</t>
  </si>
  <si>
    <t>CDGRD DE CUNDINAMARCA, INFORMA, GABRIEL SALDARRIAGA DE BOMBEROS TOCAIMA REPORTA QUE POR FUERTES VIENTOS CON LLUVIAS SE PRESENTO CAÍDA DE UN POSTE DE CONDUCCIÓN ELÉCTRICA DE ALTA TENSIÓN, EL CUAL CAYO SOBRE LA VÍA TOCAIMA GIRARDOT , LO CUAL GENERO INTERRUPCIÓN DEL TRAFICO VEHICULAR DURANTE TRES HORAS. ATENDIÓ BOMBEROS TOCAIMA Y POLICÍA DE CARRETERAS.</t>
  </si>
  <si>
    <t xml:space="preserve">CDGRD DE SANTANDER, INFORMA, REPORTAN BOMBEROS QUE A LAS 17:00 HORAS SE PRESENTO  INCENDIO FORESTAL Y A LAS 19:00 HORAS SE APAGÓ TOTALMENTE, EN LA VEREDA  EL GUAYABAL FINCA LA RINCONADA SECTOR VÍA A LA MESA DE LOS SANTOS QUEMÁNDOSE UNA HECTÁREA DE PASTOS, VEGETACIÓN NATIVA,Y 100 METROS DE CERCAS. NO SE PRESENTÓ AFECTACIÓN DE VIVIENDAS NI DE PERSONAS.
</t>
  </si>
  <si>
    <t>SE REGISTRO ACCIDENTE DE TRANSITO ENTRE UNA TRACTOMULA Y BUS DE LA EMPRESA LA MACARENA EN EL KILOMETRO 38 VÍA VILLAVICENCIO-PUERTO LÓPEZ, HACIA LAS 19:00, DEJANDO COMO RESULTADO 7 MUERTOS, 6 HERIDOS, ORGANISMOS DE SOCORRO ADELANTARON LABORES DE RESCATE.</t>
  </si>
  <si>
    <t>SE REGISTRO ACCIDENTE DE TRANSITO VÍA ANTIGUA QUE DE VILLAVICENCIO CONDUCE A BOGOTA VEREDA CONTADERO, VOLCAMIENTO DE UN CARROTANQUE QUE TRANSPORTABA NAFTA, PROVOCANDO INCENDIO DE GRANDES PROPORCIONES  CAUSANDO EL CIERRE DE LA VÍA Y EL COMBUSTIBLE QUEDÓ ESPARCIDO EN LA CARRETERA AL LUGAR LLEGARON LAS UNIDADES DEL CUERPO DE BOMBEROS VOLUNTARIOS AL MANDO DEL COMANDANTE, WILLIAM ÁLVAREZ, QUIEN CONFIRMÓ QUE ESTÁN INVOLUCRADOS 2 TRACTOMULAS, QUEDANDO UNA PERSONA MUERTA Y OTRA LESIONADA, EVACUADAS CASAS ALEDAÑAS, PARTE DE LA MONTAÑA SE QUEMO FUE NECESARIA LA PRESENCIA DE 5 MÁQUINAS CON 32 BOMBEROS, ENTRE ELLOS UNIDADES DE LA AERONÁUTICA CIVIL.</t>
  </si>
  <si>
    <t>SE REGISTRO INUNDACION EN TUNJA AFECTANDO APROXIMADAMENTE 8 VIVIENDAS EN MUEBLES Y ENSERES EN LOS BARRIOS POZO DE DONATO, SANTA INES, FUENTE HIGUERAS Y LA CALLEJA, BOMBEROS, PONAL, SCOUT Y TRANSITO APOYARON LABORES</t>
  </si>
  <si>
    <t>2000 LADRILLOS</t>
  </si>
  <si>
    <t xml:space="preserve">APOYO DEL FNC MEDIANTE SUBSIDIO DE ARRIENDO TEMPORAL PARA UNA FAMILIA AFECTADA EN EL 2012 POR TRES MESES A RAZON DE $250.000 </t>
  </si>
  <si>
    <t>APOYO DEL FNGRD CON EL OBJETO DE CONSTRUIR UN PUENTE VEHICULAR EN LA VEREDA SAN JOSE ($64.701.653) Y LA CONSTRUCCION DE UN MURO DE CONTENCION EN GAVIONES A ORILLAS DEL RIO AZUFRAL VEREDA SAN JOSE ($230.616.870)</t>
  </si>
  <si>
    <t xml:space="preserve">VENDAVAL </t>
  </si>
  <si>
    <t>INFORMA EL CDGRD DEL DEPARTAMENTO DE BOYACA QUE EN LA VEREDA  TOCOGUA, SE PRESENTO AFECTACION EN 30 VIVIENDAS A CAUSDA DE LAS FUERTES LLUVIAS.</t>
  </si>
  <si>
    <t>INFORMA EL CDGRD DEL DEPARATAMENTO DE BOYACA QUE SE PRESENTO UN DESLIZAMIENTO DE TIERRA EN LA VIA QUE CONDUCE DEL MUNICIPIO DE MONIQUIRA A TOGUI LA VIA SE ENCUENTRA TEMPORALMEMTE CERRADA  MIENTRAS SE REALIZA LA REMOCION DE TIERRA EN EL SITIO</t>
  </si>
  <si>
    <t>INFORMA EL CDGRD DEL DEPARATAMENTO DE CAUCA QUE EN EL MUNICIPIO DE MORALES  SE PRESENTO UN VENDAVAL  AFECTANDO VIVIENDAS TANTO EN   LA ZONA URBANACOMO  RURAL LOS DAÑOS MAS RELEVANTES SE PRESENTAN EN TECHOS, CULTIVOS Y DERRUMBES EN DIFERENTES VIAS, DE IGUAL MANERA EL VENDAVAL FUE ACOMPAÑADO DE LLUVIAS, DEJANDO EN LA VEREDA  EL PORVENIR  UNA PERSONA MUERTA Y OTRA HERIDA POR LA CAIDA DE UN RAYO. EN EL MOMENTO EL CMGRD SE ENCUENTRA REALIZANDO LOS EDAN CORRESPONDIENTES.</t>
  </si>
  <si>
    <t>INFORMA EL CDGRD DEL DEPARTAMENTO DEL TOLIMA QUE EN LA VEREDA CAMALA UBICADA EN EL MUNICIPIO DE  FLANDES SE PRESENTA UNA INUNDACION AFECTANDO VARIAS VIVIENDAS.</t>
  </si>
  <si>
    <t xml:space="preserve">INFORMA EL CDGRD DEL DEPARTAMENTO DEL TOLIMA QUE EN LA VEREDA CAMALA UBICADA EN EL MUNICIPIO DE  FRESNO SE PRESENTO UN DESLIZAMIENTO DE TIERRA  AFECTANDO LA VIA QUE CONDUCE DE FRESNO A MANIZALES EN EL SECTOR CONOCIDO COMO PETAQUEROS, ACTUALMENTE LA VIA TIENE RESTRICCION A UN CARRIL. </t>
  </si>
  <si>
    <t xml:space="preserve">REPORTA LA PONAL QUE EN HORAS DE LA MAÑANA EN LA QUEBRADA EL GUAYABITO, FUE ARRASTRADO POR LA CORRIENTE UNA PERSONA DE SEXO MASCULINO, EL CUAL SE PRESUME ES EL SEÑOR ANDRES MOSQUEARA DOMINGUEZ DE 80 AÑOS DE EDAD, SE ESTA REALIZANDO EN EL MOMENTO LAS OPERACIONES DE BUSQUEDA POR PARTE DEL CMGRD Y ORGANISMOS DE SOCORRO, SITUACION EN DESARROLLO. REPORTA CDGRD.
</t>
  </si>
  <si>
    <t>REPORTA COLAPSO DE UN ALERO EN LA CRA 24 CLL 20, EL CUAL OCASIONO 1 PERSONA FALLECIDA, 5 PERSONAS LESIONADAS (MARIO GIRALDO MATIZ 35 AÑOS, FRACTURA TOBILLO DERECHO, ANDREA PRIETO 33 AÑOS, FRACTURA DENTAL Y CLAVICULA IZQUIERDA, REMITIDOS HOSP STA SOFIA, LILIANA MONTOYA QUEMADURAS POR FRICCION EN M.S.D, FRACTURA PIERNA IZQUIERDA, CECILIA GIRALDO 74 AÑOS FRACTURA ABIERTA DE FEMUR REMITIDAS A SALUD TOTAL, MARIA ELENA ARCILA 65 AÑOS TRAUMA EN CUERO CABELLUDO REMITIDA A CLINICA SAN MARCEL, NN SEXO FEMENINO 65 AÑOS APROX FALLECIDA REMITIDA AL HOSP STA SOFIA, ACTUALMENTE SE ESTA REALIZANDO EDAN ESTRUCTURAL AL CENTRO HISTORICO DE LA CIUDAD, REPORTA CDGRD.</t>
  </si>
  <si>
    <t>REPORTA DESLIZAMIENTO EN LA VEREDA AMPUDIA, EN HORAS DE LA MAÑANA, SE DESPLAZÓ UNA COMISION DEL CMGRD AL SITIO CON EL FIN DE REALIZAR EL INFORME RESPECTIVO DE LA AFECTACION QUE TIENE LA COMUNIDAD, HAY APROXIMADAMENTE 110 FAMILIAS AFECTADAS POR DAÑO EN LA TUBERIA DEL ACUEDUTO DE LA VEREDA. EN ESTOS MOMENTOS SE DESPLAZA UN FUNCIONARIO DEL CMGRD CON UN DELEGADO DE LA GOBERNACION DEL VALLE E INFRAESTRUCTURA DEL MUNICIPIO DE NUEVO A LA ZONA. SITUACION EN DESARROLLO. REPORTA CMGRD.</t>
  </si>
  <si>
    <t xml:space="preserve">REPORTA VENDAVAL EN LA VEREDA LA JARDINERA, 7 VIVIENDAS AVERIADAS, 7 FAMILIAS AUTO ALBERGADAS DONDE LOS VECINOS, MAÑANA SE TERMINARA DE REALIZAR LA EVALUACIÓN  E INFORME, REPORTA CDGRD. SITUACION EN DESARROLLO. </t>
  </si>
  <si>
    <t>REPORTA INUNDACION EN EL BARRIO FATIMA COLAPSO DEL ALCANTARILLADO POR FUERTES LLUVIAS LO  QUE OCASIONO LA INUNDACION DE 25 VIVIENDAS, 28 FAMILIAS DAMNIFICADAS, 103 PERSONAS. REPÓRTA CDGRD.</t>
  </si>
  <si>
    <t xml:space="preserve">CDGRD REPORTAN EN ESTE MUNICIPIO REPORTAN INUNDACIONES EN VARIOS SECTORES POR COLAPSO EL ALCANTARILLADO EN EL B/ SANTA MARGARITA MARÍA, LA CEIBA, VILLAPAZ, BETANIA CAMPESTRE, BELÉN ISAÍAS OLIVAR, CARRERA 9 Y CALLE 15 SE DA INFORME A LOS BOMBEROS  ESPINAL Y DC ESPINAL Y EN EL SECTOR DE LAS PALMERAS APOYA LA DEFENSA CIVIL, EN SEGUIMIENTO. REPORTE 04-05-13, INFORMA EL CDGRD DEL DEPARATAMENTO DEL TOLIMA QUE AL SITIO DE LAS INUNDACIONES SE DESPLAZA UNA COMISION  DE LA GOBERNACION PARA EL LEVANTAMIENTO DE CENSOS Y  ENTREGA DE AYUDAS HUMANITARIAS </t>
  </si>
  <si>
    <t>CDGRD DE CUNDINAMARCA, INFORMA, RAFAELA PAVA DEL CMGRD REPORTA FUERTES LLUVIAS PRESENTADAS EN LA NOCHE ANTERIOR, LAS CUALES OCASIONARON EL DESBORDAMIENTO DE UNA QUEBRADA EN LA VEREDA EL ORTIGAL, INUNDANDO EL COLEGIO POSPRIMARIA DE EL ORTIGAL LO CUAL OBLIGO A SUSPENDER CLASES. ATIENDE CMGRD.</t>
  </si>
  <si>
    <t>CDGRD DE CUNDINAMARCA, INFORMA, OMAR ROMERO DE PLANEACIÓN DE CAPARRAPI, REPORTA EMERGENCIA PRESENTADA POR DESLIZAMIENTO OCASIONADA POR LLUVIAS Y SATURACIÓN DEL SUELO EN LA VEREDA  ALTO DE RUEDAS, EL CUAL COLAPSO LA TUBERÍA DEL ACUEDUCTO MUNICIPAL, DEJANDO AL CASCO URBANO SIN SUMINISTRO DE AGUA POTABLE. SOLICITA APOYO DE CARRO TANQUES PARA DISTRIBUCIÓN DE AGUA A LA POBLACIÓN. ATIENDE CMGRD.</t>
  </si>
  <si>
    <t>CDGRD DE CUNDINAMARCA, INFORMA, LUIS CARLOS BARRETO DEL CMGRD DE FUSAGASUGA, REPORTA FUERTES LLUVIAS ENTRE LAS 19:00 Y 20:30 HORAS DEL DÍA 02/05/13, CON  INUNDACIONES EL  BARRIO GAITÁN CARRERA  13 ENTRE CALLE 1 Y 1E  DESBORDAMIENTO DE LA QUEBRADA EL CURRO OCASIONADA POR COLAPSO DE UN BOX COOLVER QUE AFECTO 5 VIVIENDAS CON 5 FAMILIAS 25 PERSONAS. ENSERFUSA REALIZO LIMPIEZA Y REHABILITACIÓN DE LAS VIVIENDAS Y LAS VÍAS. EN EL BARRIO PEKÍN CALLES 6 Y 7 CARRERA 4 E, INUNDACIÓN EN 7 VIVIENDAS 7 FAMILIAS 35 PERSONAS, DE LAS CUALES EN 2 VIVIENDAS HUBO PERDIDAS DE MUEBLES Y ENSERES. ENSERFUSA REALIZA LIMPIEZA Y REHABILITACIÓN DE VÍAS Y VIVIENDAS. ATIENDE CMGRD Y BOMBEROS.</t>
  </si>
  <si>
    <t>CDGRD DE CUNDINAMARCA, INFORMA, JORGE ORTIZ SECRETARIO DE GOBIERNO DE VILLETA, REPORTA FUERTES LLUVIAS QUE OCASIONAN DESLIZAMIENTO EN MASA DE UNOS 400 METROS EN LA VEREDA BALZAL ALTO,  QUE AFECTA CULTIVO DE CAÑA, LA VÍA A LA VEREDA EL BALZAL Y PONE EN RIESGO 1 VIVIENDA CON 2 ADULTOS MAYORES DE 71 Y 66 AÑOS, ATIENDE  CMGRD PARA LA PROTECCIÓN DE LA VIVIENDA O REUBICACIÓN DE LAS 2 PERSONAS.</t>
  </si>
  <si>
    <t>CDGRD DE CUNDINAMARCA, INFORMA, LUIS CARLOS BARRETO DEL CMGRD REPORTA QUE POR LLUVIAS SE PRESENTARON DESLIZAMIENTOS EN LA VEREDA USATAMA MEDIO SECTOR EL 18 Y USATAMA ALTO SECTOR LOS NARANJOS CON CORRIMIENTO DE LA BANCADA DE LA VÍA EN AMOS SECTORES, ATIENDE CMGRD.</t>
  </si>
  <si>
    <t>CDGRD DEL TOLIMA, INFORMA, INUNDACIONES, AFECTANDO SECTORES: EL CARMÉN, SAN MARTÍN, SANTA ANA, LIBERTADOR, IFA, PABLO VI, SANTA LUCIA, 29 FAMILIAS AFECTADAS, ACUEDUCTO MUNICIPAL SUSPENDIDO POR ALTA TURBIEDAD DEL CAUDAL DEL RIO LUISA DE DONDE SE SURTE; AFECTACION EN VEREDAS: GUAMAL, CHIPUELO CENTRO Y SAMAN, EDAN EL DIA 4 DE MAYO 2013.</t>
  </si>
  <si>
    <t xml:space="preserve">CDGRD DE ANTIOQUIA, INFORMA, INCENCIO ESTRUCTURAL, CORREGIMIENTO: EL PANDO, 13 VIVIENDAS INDIGENAS Y CENTRO COMUNAL DESTRUIDOS, ATENDIO BOMBEROS, Y SECRETARIO DE PLANEACIÓN DE CAUCASIA  </t>
  </si>
  <si>
    <t>CDGRD DE BOYACA, INFORMA, DESLIZAMIENTO, VEREDA: TENERIA, 4 VIVIENDAS DESTRUIDAS, 20 VIVIENDAS AVERIADAS, 24 FAMILIAS AFECTADAS.</t>
  </si>
  <si>
    <t xml:space="preserve">CDGRD DE BOYACA, INFORMA, INCOMUNICADO EL MPIO DE GUICAN CON EL MPIO DE PANQUEABA, POR DESTRUCCIPON DE LA BANCADA Y FENÓMENO DE REMOCIÓN EN MASA, OCURRIDO A LAS 15:00 HORAS. </t>
  </si>
  <si>
    <t>CDGRD REPORTA CAÍDA DEL PUENTE VEHICULAR  EN EL MUNICIPIO DE CHISCAS  POR REPRESAMIENTO EN EL RÍO CHISCANO CAUSANDO UNA AVALANCHA Y DERRUMBE DEL PUENTE EN ESTOS MOMENTOS NO SE PUEDE PONER MAQUINARIA EN EL RÍO POR LA FUERTE CRECIENTE YA SE ADELANTAN LAS GESTIONES PERTINENTES PARA LA ATENCION.</t>
  </si>
  <si>
    <t xml:space="preserve">CDGRD REPORTA AL  MOMENTO AFECTACIÓN PARCIAL EN LA CUBIERTA DE UNA VIVIENDA POR FUERTES LLUVIAS EN EL MUNICIPIO DE QUIMBAYA BARRIO ROCÍO SE REALIZA LA ATENCION. </t>
  </si>
  <si>
    <t>CMGRD REPORTA QUE EL 2 DE MAYO SE REGISTRARON AVERÍAS EN 56 VIVIENDAS POR LLUVIAS QUE SE PRESENTARON EN LA MAÑANA, ACTUALMENTE SE REALIZAN CENSOS PARA DETERMINAR LA CANTIDAD DE FAMILIAS QUE SE DEBEN EVACUAR ENTRE LA CARREA 15 A HASTA LA CRA 23 CON CALLE 5, AL BORDE DEL CAÑO DE LA AHUYAMA. LA EMERGENCIA FUE REPORTADA AL CDGRD, INGRESA INFORMACION EL DIA 04/05/2013</t>
  </si>
  <si>
    <t>CMGRD REPORTA ACCIDENTE DE TRANSITO EN LA VÍA SANTA MARTHA EN CORREGIMIENTO DE CAMARONES, COLISIONÓ UN BUS INTERMUNICIPAL CON UNA CAMIONETA PARTICULAR. 2 MUERTOS Y 4 HERIDOS FUERON TRASLADADOS A CENTROS ASISTENCIALES</t>
  </si>
  <si>
    <t>CDGRD REPORTA  COLAPSO VIVIENDA EN EL MUNICIPIO DE MELGAR  BARRIO /LA PAZ AL BORDE DE LA CARRETERA APOYA BOMBEROS VOLUNTARIOS, CMDGR.</t>
  </si>
  <si>
    <t>DIRECCION NACIONAL DE BOMBEROS REPORTA DERRAME DE CRUDO TRACTOMULA PIERDE CONTROL EN SECTOR LAS CURVAS VIA A YOPAL , DEJA COMO RESULTADO 2 LESIONADOS TRASLADADOS RESPECTIVAMENTE A CENTRO ASISTENCIAL, EMPRESA S.O.S CON APOYO DE BOMBEROS  TRABAJAN EN LA CONTENCION DEL DERRAME, NO AFLUENTES CERCANOS.</t>
  </si>
  <si>
    <t>CDGRD REPORTA VENDAVAL EN ETE MUNICIPIO AFECTANDO 2 VIVIENDAS, PERDIDA TOTAL DE TECHO EN UNA, OTRA CON PERDIDA DE 10 TEJAS DE ZINC,  EN SEGUIMIENTO.</t>
  </si>
  <si>
    <t>CDGRD REPORTA VENDAVAL EN ZONA RURAL VEREDA EL CEDRAL AFECTANDO UNA VIVIENDA POR DESTECHAMIENTO, EN SEGUIMIENTO.</t>
  </si>
  <si>
    <t>REPORTA A CAUSA DE FUERTES LLUVIAS SE PRESENTA AVALANCHA DEL RIO ZULIA OCASIONANDO PERDIDA DE LA BANCA DE LA MARGEN DERECHA DE LA RIVERA DEL RIO, LO CUAL DEJA EN RIESGO DE INUNDACION COLEGIO, ESTADIO Y BARRIO EL BOSQUE, REPORTA NORELLA ARENAS CDGRD.</t>
  </si>
  <si>
    <t>REPORTA A CAUSA DE FUERTES LLUVIAS EN EL BARRIO ALAMOS NORTE, SE PRESENTO COLAPSO DE UNA VIVIENDA, 1 FAMILIA DAMINIFICADA, 5 PERSONAS, 1 VIVIENDA AVERIADA, 1 FAMILIA, 5 PERSONAS, EN EL BARRIO SANTA LIBRADA HUBO CAIDA DE ARBOL EL CUAL DEJO 5 VEHICULOS AVERIADOS SIN LESIONADOS. REPORTA ORLANDO GARZON, SITUACION EN DESARROLLO.</t>
  </si>
  <si>
    <t>REPORTA FUERTES LLUVIAS CON TORMENTA ELECTRICA LO QUE OCASIONA INUNDACION EN EL BARRIO ICACAL Y PROVOCA CAIDA DE UN ARBOL SOBRE UNA VIVIENDA EN EL BARRIO VILLAS DEL RECREO, EL RIO SUMAPAZ, EN EL AREA RURAL SE DESBORDO INUNDADNO UN HOTEL  Y VARIAS FINCAS, ENTIDADES OPERATIVAS ATIENDEN EL EVENTO, REPORTA CDGRD, SITUACION EN DESARROLLO.</t>
  </si>
  <si>
    <t>REPORTA FUERTES LLUVIAS CON TORMENTA ELECTRICA Y VENDAVAL, DEJA INUNDACIONES  EN EL BARRIO OBRERO. ENTIDADES OPERATIVAS SE ENCUENTRAN EN EL SITIO APOYANDO A LA COMUNIDAD, REPORTA CDGRD, SITUACION EN DESARROLLO.</t>
  </si>
  <si>
    <t xml:space="preserve">CDGRD REPORTA QUE EL PASADO 2 DE MAYO EN LA MINA LA VIRGEN DEL CORREGIMIENTO DE PUENTE VÉLEZ  MUNICIPIO DE JAMUNDÍ,  UNA  PERSONA QUE FALLECIÓ ATRAPADA,  INGEOMINAS PROCEDIÓ A REALIZAR EL RESCATE INMEDIATO   Y  TRASLADAR EL CUERPO AL HOSPITAL PILOTO DEL MUNICIPIO, INFORMA EL CMGRD </t>
  </si>
  <si>
    <t>CMGRD DE FUNES REPORTA AFECTACIÓN POR LLUVIAS EN CULTIVOS DE FRIJOL EN VEREDA TÉLLEZ ALTO, DAÑOS EN TANQUE DE ACUEDUCTO VEREDA CHAPAL, 5 VIVIENDAS AFECTADAS EN LA ZONA URBANA EQUIPO DE LA ALCADIA EN LOS LUGARES REALIZANDO EVALUACIÓN PENDIENTES DE LA CONSOLIDACIÓN DE LA INFORMACIÓN.</t>
  </si>
  <si>
    <t>BOMBEROS INFORMA  FUERTES LLUVIAS CON TORMENTA ELÉCTRICA,  CAE UN RAYO A LAS 18:55 EN EL PARQUE LOS PINOS CALLE 10 CON CARRERA 10, IMPACTANDO AL SEÑOR ISRAEL ECHEVERRY OSORIO DE 69 AÑOS QUIEN FALLECE EN EL SITIO, IGUALMENTE LA JOVEN LEIDY BETANCOURT DE 19 AÑOS, RESULTO HERIDA SIENDO TRASLADADA AL HOSPITAL, CDGRD REPORTA.</t>
  </si>
  <si>
    <t>INFORMA BOMBEROS, FUERTES LLUVIAS CON TORMENTA ELÉCTRICA PROVOCAN DERRUMBE EN LA VÍA HONDA/CAMPO HACIENDA EL PLACER, QUEDANDO VÍA POR UN SOLO CARRIL, SOLICITAN APOYO CON MAQUINARIA, CDGRD AL TANTO DE LA SITUACIÓN, APOYA BOMBEROS.</t>
  </si>
  <si>
    <t>BOMBEROS DE VILLARRICA REPORTA DAÑOS EN 4 VIVIENDAS EN TECHOS, EN LA VEREDA PUERTO LLERAS, POR VENDAVAL  INFORMA CDGRD.</t>
  </si>
  <si>
    <t>CMGRD REPORTA DESLIZAMIENTO EN EL BARRIO JUBILEO DE ARMENIA. AFECTACIÓN RED DE ALCANTARILLADO, SIN AFECTACIÓN A VIVIENDAS. ACORDONADA VÍA Y SE ESTA INTERVINIENDO TUBERÍA DE ALCANTARILLADO PARA DIRIGIR AGUAS A LA QUEBRADA. INTERVIENEN EPA Y OMGERD</t>
  </si>
  <si>
    <t>CDGRD REPORTA CRECIENTE SUBITA DE LA QUEBRADA NEGRA DONDE SE DEBILITO LOS JARILLONES SE EVACUARON 75 FAMILIAS PREVENTIVAMENTE.</t>
  </si>
  <si>
    <t>CDGRD REPORTA INNUNDACION EN LOS CORREGIMIENTOS DE CORDOBA Y DINDAL POR LA CRECIENTE DEL RIO NEGRO, 49 VIVIENDAS AVERIADAS, 1 DESTRUIDA, 50 FAMILIAS, 250 PERSONAS.</t>
  </si>
  <si>
    <t xml:space="preserve">CDGRD REPORTA QUE EL DESBORDAMIENTO DE LA QUEBRADA SAN RO9QUE LLEGO A UN METRO DE ALTURA, AFECTANDO 250 FAMILIAS, 40 ESTABLECIMIENTOS COMERCIALES, CMGRD Y CDGRD SE REUNIRAN PARA REALIZAR ENTREGA DE AH Y HARAN SOLICITUD DE AYUDA A LA UNGRD. </t>
  </si>
  <si>
    <t>REPORTA VENDAVAL QUE AFECTO EL AREA URBANA, CMGRD Y ENTIDADES OPERATIVAS REALIZANDO EDAN EN ESTE MOMENTO, REPORTA CDGRD, SITUACION EN DESARROLLO.</t>
  </si>
  <si>
    <t>REPORTA AVALANCHA DE UNA QUEBRADA LA CUAL DESTRUYO PARTE DEL ACUADUCTO DEL MUNICIPIO EL CUAL SE ENCUENTRA SIN AGUA EN ESTE MOMENTO. APOYA BOMBEROS AMALFI CON CARROTANQUE, REPORTA DIRECCION NACIONAL DE BOMBEROS Y CDGRD.</t>
  </si>
  <si>
    <t>REPORTA INUNDACION EN LOS BARRIOS EL NOGAL, SAN PEDRO Y VENUS DEJANDO 70 VIVIENDAS AVERIADAS, 70 FAMILIAS, 350 PERSONAS. REPORTA CDGRD.</t>
  </si>
  <si>
    <t>REPORTA DESLIZAMIENTO EN LA VEREDA LA CAPILLA, OCASIONANDO EL COLAPSO DE 2 VIVIENDAS, 2 FAMILIAS, 10 PERSONAS, REPORTA CDGRD.</t>
  </si>
  <si>
    <t>REPORTA QUE LA NOCHE ANTERIOR A CAUSA DE FUERTES LLUVIAS ORIGINARON INUNDACION A CAUSA DE DESBORDAMIENTO DEL RIO PEPITAS, EN EL CORREGIMIENTO DE JUNTAS, LO CUAL AFECTO 25 VIVIENDAS, 25 FAMILIAS, 125 PERSONAS, EL EVENTO TIENE INCOMUNICADOS A 2 CABILDOS INDIGENAS YA QUE LAS AGUAS DEL RIO DESTRUYERON UNOS PUENTES. REPORTA CDGRD, SITUACION EN DESARROLLO</t>
  </si>
  <si>
    <t>INFORMA EL CDGRD DEL DEPARTAMENTO DE SANTANDER  QUE EN  EL SECTOR DE LA VÍA SAN JOAQUÍN ONZAGA SE PRESENTA PERDIDA DE BANCADA AFECTANDO EL PASO  LA VIA SE ENCUENTRA CON CIERRE TOTAL, SEGUN EL CDGRD ESTE FENOMENO ES DEBIDO A LA CRECIENTE DEL RIO.</t>
  </si>
  <si>
    <t xml:space="preserve">INFORMA EL CDGRD DEL DEPARTAMENTO DEL TOLIMA QUE EN LA VIA COMPRENDIDA ENTRE VILLAHERMOSA Y LIBANO EN LA ZONA CONOCIDA COMO LA PLAYA SE PRESENTO UN DESLIZAMIENTO DE TIERRA Y ROCAS; OBSTRUYENDO TOTALMENTE LA VIA, EN ESTE MOMENTO TRABAJA PERSONAL DE OBRAS DE LA ALCALDIA DE VILLAHERMOSA. </t>
  </si>
  <si>
    <t>INFORMA COMANDANTE DE BOMBEROS DE VILLAHERMOSA, QUE EN EL MUNICIPIO SE PRESENTO UN VENDAVAL EL CUAL AFECTO  20 VIVIENDAS POR DESENTECHAMIENTO, 59 FAMILIAS AFECTADAS EN VEREDAS DE RESGUARDO, GUADALITO, CASTILLO, LA ESMERALDA, NUEVO HORIZONTE Y BARRIO SAN MARTIN. 1 ESCUELA EN LA VEREDA LA ESMERALDA, 1 ESCUELA EN LA VEREDA EL CASTILLO.</t>
  </si>
  <si>
    <t>D.C.C., REPORTA FUNCIONARIA TERESA MUNERA SOBRE FUERTE LLUVIAS PRESENTADAS EN EL M/CIPIO DE ENVIGADO, AFECTANDO. 8 FAMILIAS.</t>
  </si>
  <si>
    <t>D.C.C., INFORMA, EN EL MUNICIPIO DE GRANADA CORREGIMIENTO DE CUNAGUARO EL CAÑO EL CARACOL SE DESBORDA POR ACUMULACIÓN DE SEDIMENTOS, PERDIENDO EL CAUCE, LO QUE PRODUCE DESBORMIENTO DE SUS AGUAS AFECTANDO LAS VIVIENDAS QUE SE ENCUENTRAN A SU PASO EN EL CENTRO POBLADO.</t>
  </si>
  <si>
    <t>CMGRD DE CUCUTA, INFORMA, FUERTES LLUVIAS DESDE LAS 03.00 AM, CORREGIMIENTO DE SAN PEDRO, AFECTANDO EL ACUEDUCTO, 1 VIVIENDA AFECTADA EN EL BARRIO: EL RODEO, SITUACIÓN EN DESARROLLO.</t>
  </si>
  <si>
    <t>EROSION</t>
  </si>
  <si>
    <t>CDGRD INFORMA TRASLADO DE ASISTENCIA HUMANITARIA PARA ESTE MUNICIPIO CONSISTENTE EN COBIJAS COLCHONETAS, TEJAS DE ASBESTO, ZINC, ROPA, ZAPATOS, MERCADOS, LECHE, JUGUETES PARA LOS NIÑOS, SIENDO ENTREGADOS POR EL CMGRD Y LAS ENTIDADES DE SOCORRO, ATENDIOENDO LOS BARRIOS NOHEMI, COOPERATIVO, LA ESPAÑOLA, LA ESMERALDA MERCEDES BAJO, CAMILO TORRES , LA PAZ,LA PISTA, ATENDIDAS 41 FAMILIAS, 153 PERSONAS Y 9 BARRIOS, QUE SE VIERON AFECTADOS ESTE VIERNES.
AFECTADO: HOSPITAL  Y CENTRO MEDICO,  SITUACIÓN EN DESARROLLO.</t>
  </si>
  <si>
    <t>VENDAVAL OCURRIDO EN LOS BARRIOS NUEVA LIBERTAD, MARGARITAS Y ALTOS DE GUEVARA, EL CUAL DEJO UNA AFECTACION DE 8 VIVIENDAS AFECTADAS.</t>
  </si>
  <si>
    <t>VENDAVAL OCURRIDO EN LOS BARRIOS CIUDAD DORADA, MONTEVIDEO Y SALVADOR ALLENDE, EL CUAL DEJO UNA AFECTACION DE 5 VIVIENDAS AFECTADAS.</t>
  </si>
  <si>
    <t>EN EL CORREGIMIENTO DE SAN SEBASTIAN DE PALMITAS SE PRESENTARON  MUCHOS MIVIMIENTOS EN MASA, LOS CUALES CAUSARON EL COLAPSO DE HASTA EL MOENTO 5 VIVIENDAS.</t>
  </si>
  <si>
    <t>SE PRESENTO UN INCENDIO ESTRUCTURAL EN EL BARRIO  POLO, CONSUMIENDO UNA VIVIENDA EN SU TOTALIDAD, EL INCENDIO FUE ATENDIDO POR BOMBEROS Y LA COMUNIDAD.</t>
  </si>
  <si>
    <t>SE PRESENTO UN INCENDIO ESTRUCTURAL EN EL BARRIO CAMELLON, CONSUMIENDO UNA VIVIENDA EN SU TOTALIDAD, EL INCENDIO FUE ATENDIDO POR BOMBEROS Y LA COMUNIDAD.</t>
  </si>
  <si>
    <t>EN LA VÍA QUE COMUNICA MUNICIPIO CON PUENTE NACIONAL SITIO ESTANCIA GONZÁLEZ, SE PRESENTÓ DESLIZAMIENTO  DE TIERRA TAPONANDO TOTALMENTE DE LA CARRETERA QUE COMUNICA ESTOS MUNICIPIOS. PERSONAL DE LA CONCESIÓN SE ENCUENTRA TRABAJANDO PARA EL DESTAPE DE LA VÍA</t>
  </si>
  <si>
    <t>CDGRD 03:00 HORAS SE PRESENTO TORMENTA ELÉCTRICA MAS FUERTES LLUVIAS Y PRODUJO INUNDACIONES SOBRE LOS BARRIOS CEIBITAS, ASENTAMIENTO LOS LAGOS, BRISAS, NUEVA GRANADA, NUEVA ESPERANZA, CÁNDIDO, ALMA CAFÉ, CRECIMIENTO DE LA QUEBRADA LA TOMA  ASENTAMIENTO LOS LAGOS: 4 VIVIENDAS AVERIADAS POSIBLE PERDIDA TOTAL.  27 VIVIENDAS AFECTADAS EL CENSO LO ESTA REALIZANDO BOMBEROS NEIVA, POSIBLE 87 FAMILIAS AFECTADAS.</t>
  </si>
  <si>
    <t>CDGRD SE PRESENTO UN DESBORDAMIENTO DEL RIO PAMPLONITA  EN EL SECTOR DE  LAS VEGAS , AFECTANDO A 6 FAMILIAS. ATIENDE BOMBEROS Y CMGRD DE CÚCUTA</t>
  </si>
  <si>
    <t>REPORTA DEL CDGRD ,QUE COLAPSO EL PUENTE EN LA VIA BRICENO EN EL RIO GUAYABAL  QUE COMUNICA EL MUNICIPIO DE TUNUNGUA Y BRICEÑO.</t>
  </si>
  <si>
    <t xml:space="preserve">YUMBO AL MOMENTO REPORTA CMGRD PAOLA FERNANDEZ FUERTES LLUVIAS QUE AFECTAN 4 VIVIENDAS INUNDADAS EN EL BARRIO SAN JORGE, CAIDA DE ARBOLES, PROBABILIDAD DE DESBORDAMIENTO EN SECTORES ALEDAÑOS AL RIO YUMBO Y CORREGIMIENTO MULALO, SE DESPLAZA A LA HORA COMISIÓN AL SITIO, REPORTA CDGRD </t>
  </si>
  <si>
    <t>HERNANDO LOZANO, DEL C.M.G.R.D. DE GIRARDOT, REPORTA INUNDACIÓN EN EL BARRIO GÓLGOTA CARRERA 18 B CALLE 14 AFECTANDO 3 VIVIENDAS QUE RESULTARON AVERIADAS, 3 FAMILIAS 13 PERSONAS CON PERDIDA DE MUEBLES, ENSERES Y ALIMENTOS, ATENDIÓ CMGRD, BOMBEROS, DEFENSA CIVIL, INFORMA CDGRD ALONSO MUÑOZ.</t>
  </si>
  <si>
    <t>CMGRD REPORTA LLUVIAS FUERTES EL DIA ANTERIOR AFECTANDO UNA VIVIENDA EN LA INVASION LAS MERCEDES, LLEVANDOSE PARTE DE LA MISMA, 1 FAMILIA.</t>
  </si>
  <si>
    <t>DESBORDAMIENTO DE LA QUEBRADA EL SALADO, INFORMACIÓN ENTREGADA POR SOCORRO NACIONAL CMGRD EN PROCESO DE MONITOREO Y EDAN.</t>
  </si>
  <si>
    <t>REPORTA INUNDACION EN EL HOSPITAL LOCAL, CONTROLADO POR EL CUERPO DE BOMBEROS, REPORTA CDGRD.</t>
  </si>
  <si>
    <t>REPORTA INUNDACION EN EL COLEGIO SAGRADO CORAZON, AFECTANDO LOS EQUIPOS DE COMPUTO Y AUDIO VISUALES AL IGUAL QUE LA ESTRUCTURA DEL COLEGIO, EL DIA DE MAÑANA EL CMGRD ENVIARA PERSONAL ESPECIALIZADO PARA REALIZAR EDAN A LA ESTRUCTURA, SE DECIDE SUSPENDER CUALQUIER ACTIVIDAD ESCOLAR O ADMINISTRATIVA POR ESTE EVENTO. REPORTA DCGRD.</t>
  </si>
  <si>
    <t>REPORTA INUNDACION A CAUSA DE DESBORDAMIENTO DEL RIO EL CUAL AFECTO LA LA SALA DE MAQUINAS DE LA BOCATOMA DEL ACUEDUCTO, 7 VIVIENDAS AVERIADAS, 7 FAMILIAS, 35 PERSONAS, 1 COLEGIO, CENTRO DE ICBF INUNDADOS, REPORTA CDGRD.</t>
  </si>
  <si>
    <t>TRANSFERENCIAS ECONOMICAS</t>
  </si>
  <si>
    <t>APOYO DEL FNGRD AL CMGRD CON EL OBJETO DE DOTAR CON EQUIPOS DE COMPUTO, EQUIPOS DE COMUNICACIOANES, MUEBLES Y ENSERES A LA SALA DE CRISIS DEL CMGRD DE ARMENIA PARA SU RESPECTIVO FNCIONAMIENTO</t>
  </si>
  <si>
    <t>SE PRESENTO UN INCENDIO ESTRUCTURAL EN EL MUNICIPIO DE BOSCONIA,  EN ELE BARRIO 20 DE MAYO , AL PARECER DEBIDO A UN COROT CIRCUITO, SE COSUMIO UNA VIVIENDA  CON PERDIDA TOTAL DE ENSERES .</t>
  </si>
  <si>
    <t>INFORMA CMGRD DE BELLO, QUE LOS DIAS 30 DE ABRIL Y 01 DE MAYO SE PRESENTARON FUERTES LLUVIAS LAS CUALES AFECTARON TRES VIVIENDAS.</t>
  </si>
  <si>
    <t>DEBIDO A FUERTES LLUEVIAS PRESENTADAS EL DIA 03 DE MARZO DE 2013 ENE L MUNICIPIO DE COELLO, SE AFECTARON 10 VIVIENDAS EN EL CASCO URBANO, Y EN LAS VEREDAS CHAGUALÁ ADENTRO Y DOS QUEBRADAS. TAMBIEN SE AFECTTARON TRAMOS DE LA RED DE CONDUCCION DEL ACUEDUCTO DE CHAGUALÁ ADENTRO.</t>
  </si>
  <si>
    <t>SE PRESENTO UN INCENDIO ESTRUCTURAL EL DIA 25 EN HORAS DE LA MAÑANA AFECTANDO A 3 VIVIENDAS EN LAS CALLES CUARTA Y QUINTA, ATENDIERON BOMBEROS DE LA PLATA Y DCC.
APOYO DEL FNGRD MEDIANTE SUBSUDIO DE ARRIENDO TEMPORAL PARA DOS FAMILIAS POR TRES MESES A RAZON DE $250.000 MEMNSUAL</t>
  </si>
  <si>
    <t xml:space="preserve">CDGRD DEL META, INFORMA, DESBORDAMIENTO DEL RIO GUEJAS POR EL SECTOR DE PUERTO YUCA, PIÑALITA, CASTILLA LA NUEVA . 360 FAMILIAS AFECTADAS EN 26 VEREDAS, CONTINUAN REALIZANDO EDAN, PENDIENTE DATOS DE AFECTACIÓN EN VIVIENDAS,  POR LAS CONDICIONES DE ORDEN PUBLICO ES DIFÍCIL EL ACCESO A LA ZONA EMERGENCIA EN DESARROLLO. </t>
  </si>
  <si>
    <t>CDGRD DEL META, INFORMA DESBORDAMIENTO DEL RÍO GUEJAS, AFECTANDO: 150 FAMILIAS, SITUACIÓN EN DESARROLLO.</t>
  </si>
  <si>
    <t>CDGRD DEL META, INFORMA, DESBORDAMIENTO DEL RÍO ARIARI Y EL CAÑO IRACA, AFECTANDO: 200 FAMILIAS, SITUACIÓN EN DESARROLLO.</t>
  </si>
  <si>
    <t>CDGRD DEL HUILA, INFORMA, VENDAVAL, EN LA VEREDA: ALTO CALOTO, 1 VIVIENDA AFECTADA EN TECHO.</t>
  </si>
  <si>
    <t>CDGRD DE CUNDINAMARCA, INFORMA, MY IVAN DARÍO VALENZUELA, COORDINADOR DEPARTAMENTAL DE BOMBEROS REPORTA INCENDIO ESTRUCTURAL INICIADO A LAS 05:00 HORAS DEL 08-05-13 EN EL PARQUE INDUSTRIAL PUERTOS DE LA CALLE 80 DEL MUNICIPIO DE COTA DONDE SE HAN QUEMADO LAS BODEGAS NO 84,  85, 86,110, 111, Y 112, QUE CONTIENEN MAQUINARIA, REPUESTOS , MATERIA PRIMA PARA LA FABRICACIÓN DE PRODUCTOS FARMACÉUTICOS Y COLCHONES, MERCANCÍAS , ARCHIVOS Y OTROS ELEMENTOS. ATIENDE BOMBEROS COTA, FUNZA, MADRID, TENJO, CHIA,SOPO,BOGOTA, Y AEROPORTUARIOS, CMGRD DEL MUNICIPIO, CRUE CUNDINAMARCA,CRUE BOGOTA,FOPAE, DEFENSA CIVIL, POLICIA NACIONAL, Y FUNCIONARIOS DEL CDGRD CUNDINAMARCA.</t>
  </si>
  <si>
    <t>CDGRD DEL TOLIMA Y BOMBEROS LÉRIDA, REPORTAN, UN DESLIZAMIENTO EN LA VÍA DE LÉRIDA - LÍBANO EN EL SECTOR DEL ALTO DE ROSAS EN LA CURVA EN EL KM 3 ANTES DEL CRUCE DONDE EL PASO ESTÁ RESTRINGIDO.</t>
  </si>
  <si>
    <t>CDGRD DE SANTANDER, INFORMA, KILÓMETRO 1 MÁS 300 METROS DE LA VÍA QUE DE LA LIZAMA CONDUCE A BUCARAMANGA, POR LAS LLUVIAS CAÍDAS POR LA REGIÓN, SE PRESENTÓ FALLA
GEOLÓGICA, OCASIONÁNDOSE HUNDIMIENTO DE LA VÍA, QUEDANDO PASO A UN CARRIL</t>
  </si>
  <si>
    <t>D.C.C, INFORMA, EN MUNICIPIO DE TOGUI SE PRESENTÓ A LAS 02:00 HORAS DEL DÍA 02-05-2013   EMERGENCIA POR DESBORDAMIENTO RIO WASA AFECTANDO LA VEREDA MANGA, A LA FAMILIA MARTÍNEZ Y MOLINA SECTOR SAN PEDRO Y EN VEREDA CENTRO  A LAS FAMILIAS CAMARGO, CAMACHO, QUINTERO Y RODRÍGUEZ, ATIENDEN 10 VOLUNTARIOS DE GRUPO DE TOGUI DURANTE 10 HORAS.</t>
  </si>
  <si>
    <t>D.C.C., REPORTA FUNCIONARIO WILFREDO WILCHES DE LA SECCIONAL VALLE, QUE SIENDO LAS 15:00 HORAS DEL DIA 07-05-13, SE REGISTRAON INUNDACIONES POR FUERTES LLUVIAS EN EL BARRIO PATIOBONITO DEL MUNICIPIO DE VIJES CON SALDO DE 18 AFECTADOS DE 4 FAMILIAS SIN MAS REPORTE DEL CASO. PARTICIPARON EN LA ATENCIÓN DE LA SITUACIÓN 7 LIDERES VOLUNTARIOS DCC.</t>
  </si>
  <si>
    <t>SOCORRO NACIONAL, INFORMA, VENDAVAL, ACOMPAÑADO DE LLUVIAS, PRESENTADO EL DÍA 07-05-2013, 120 VIVIENDAS AFECTADAS EN EL CASCO URBANO, ZONA DE LADERA, LO CUAL HA DIFICULTADO, REALIZAR EDAN, SITUACIÓN EN DESARROLLO.</t>
  </si>
  <si>
    <t>CDGRD DE SANTADER, REPORTA COMANDANTE BOMBEROS QUE LA VÍA ENTRE EL MUNICIPIO DE COROMORO Y CHALARÁ ENTRE LAS VEREDAS DE LAS FLORES Y COROMORITO, SIENDO LAS 17:00 HORAS Y COMO CONSECUENCIA DE LAS FUERTES LLUVIAS QUE CAEN POR LA JURISDICCIÓN POR DESLIZAMIENTO DE TIERRA SE PERDIÓ LA BANCA DE LA CARRETERA, QUEDANDO INCOMUNICADOS LOS DOS MUNICIPIOS. MAQUINARIA DE COROMORO SE DESPLAZA HACIA EL SITIO, SITUACIÓN EN  DESARROLLO.</t>
  </si>
  <si>
    <t xml:space="preserve">06-05-13 HASTA EL MOMENTO LAS 02 PERSONAS DESAPARECIDAS POR VOLCAMIENTO DE UNA CANOA EN EL SECTOR DE LA PUTANA CORREGIMIENTO DE TIENDA NUEVA, NO SE HAN ENCONTRADO HASTA EL MOMENTO. LOS ORGANISMOS DE SOCORRO DE LA DEFENSA CIVIL, BOMBEROS, POLICÍA Y PESCADORES DEL SECTOR SIGUEN EN LA BÚSQUEDA. EL CORONEL ROBINSON FARFÁN, JEFE DE LA DEFENSA CIVIL EN SANTANDER Y MANIFESTÓ TRASLADAR HOY MÁS PERSONAL PARA LA BÚSQUEDA. REPORTE 08-05-13, CDGRD DE SANTANDER, INFORMA LA SUBTENIENTE: ERIKA VIVIANA CÓRDOBA RODRIGUEZ,  MANDANTE DE LA ESTACIÓN TIENDA NUEVA, QUE SIENDO LAS 16:00 HORAS A ORILLAS DE  EL RIO SOGAMOSO EN EL SITIO LA CASCAJERA,  URISDICCIÓN DEL  MUNICIPIO DE  ARRANCABERMEJA, FUE  NCONTRADO POR PESCADORES, EL CUERPO SIN VIDA DEL SEÑOR GUILLERMO MERCHÁN SUAREZ DE 66 AÑOS CASADO CC 13.808.297. PERSONAL DE LA SIJIN PRACTICO LEVANTAMIENTO DEL CADAVER.
</t>
  </si>
  <si>
    <t>INFORMA CMGRD, SE PRESENTO UN ACCIDENTE DE TRANSITO  EN LA VÍA CAJAMARCA - ARMENIA, EN EL SECTOR CONOCIDO COMO LAS MARÍAS - KM 41+300. UN CAMIÓN BLANCO DE PLACAS WFJ - 699, SUFRIÓ VOLCAMIENTO. RESTRICCIÓN TOTAL DEL TRANSITO VEHICULAR. EL CONDUCTOR Y EL AYUDANTE DEL CAMIÓN FUERON ENCONTRADOS SIN VIDA.</t>
  </si>
  <si>
    <t>EL 26 DE MARZO DE 2013 SE PRESENTO UN VENDAVAL QUE AFECTO CONSIDERABLEMENTE LAS VEREDAS DEL CORREGIMIENTO DE PORTUGAL DE PIEDRAS, ENTRE ELLAS CALBAZAS, COROSAL, EL RUBY, EL CORREGIMIENTO DE FENICIA, LA VEREDA DE ITALIA, PUERTO FENICIA Y EL CASCO URBANO DEL CORREGIMIENTO DE FENICIA, DE CORREGIMIENTO DE LA ZULIA LA VEREDA DE PORTUGAL DEL CARMEN Y DEL CORREGIMIENTO DE SALONICA LA VEREDA LA JUDEA, PALMAS, LAS BRISAS, MORROPLANCHO, EL CARMEN; VOLCANES Y EL BARRIO LA QUINCHADEL CASCO URBANO, SE PRESENTARON FUERTES ADVERACIONES EN SUS VIVIENDAS SOBRETODO EN SUS CUBIERTAS Y TECHOS ELDAS.</t>
  </si>
  <si>
    <t>REPORTA COMANDANTE BOMBEROS QUE LA VÍA QUE VA DESDE EL MUNICIPIO DE COROMORO A  CHARALÁ ENTRE LAS VEREDAS DE LAS FLORES Y COROMORITO, SIENDO LAS 17:00 HORAS Y COMO CONSECUENCIA DE LAS FUERTES LLUVIAS QUE CAEN POR LA JURISDICCIÓN SE DESLIZAMIENTO DE TIERRA PERDIÉNDOSE LA BANCA DE LA CARRETERA, QUEDANDO INCOMUNICADOS LOS DOS MUNICIPIOS. MAQUINARIA DE COROMORO SE DESPLAZA HACIA EL SITIO PARA RESTABLECER LA VÍA</t>
  </si>
  <si>
    <t xml:space="preserve">KILÓMETRO 1 MÁS 300 METROS DE LA VÍA QUE DE LA LIZAMA CONDUCE A BUCARAMANGA, SITIO INTERCAMBIADOR LIZAMA, BUCARAMANGA Y LA COSTA ATLÁNTICA POR FUERTES LLUVIAS, SE PRESENTÓ FALLA GEOLÓGICA, OCASIONÁNDOSE HUNDIMIENTO DE LA VÍA, QUEDANDO PASO A UN CARRIL </t>
  </si>
  <si>
    <t>BUENOS DÍAS ES PARA INFORMAR QUE PERSISTE EL PROBLEMA EN EL MUNICIPIO DE SAN ANTONIO EN EL SECTOR DE ZANJA HONDA POR CAÍDA DE UNA PIEDRA O ROCA INMENSA SOBRE LA VÍA QUE CONDUCE A PLAYA RICA Y RONCESVALLES Y EL SEÑOR ALCALDE COMENTA QUE ES NECESARIO MAQUINARIA PESADA O DINAMITA PARA QUITAR LA ROCA, EN ESTE MOMENTO HAY PASO RESTRINGIDO EN EL LUGAR, GRACIAS POR SU APOYO.</t>
  </si>
  <si>
    <t>REPORTAN DEL CMGRD DE LA PAZ, QUE EL DIA 8 DE MAYO SE PRESENTO UN FUERTE AGUACERO AFECTANDO VIVIENDAS EN ZONA RURAL, PUENTES PEATONALES, EN ELE DIA DE HOY SE ESTA REALIZANDO EDAN</t>
  </si>
  <si>
    <t>COMO CONSECUENCIA DE LAS  LLUVIAS, CAÍDAS EN LA REGIÓN  Y POR DESLIZAMIENTOS EN MASA EN EL SECTOR DEL CORREGIMIENTO DE SANTA RITA SE PRESENTAN 06 VIVIENDAS EN ALTO RIESGO, DEL CUAL TIENEN QUE SER EVACUADAS INMEDIATAMENTE, DE LA  MISMA FORMA SE ENCUENTRAN 12 VIVIENDAS EN RIESGO MEDIO POR EL MAL ESTADO QUE SE ENCUENTRAN LAS VIVIENDAS DONDE RESIDEN RELACIONADAS: 02 EN EL CASCO URBANO DE GUACAMAYO, 01 CORREGIMIENTO DE SANTA RITA Y 09 VIVIENDAS EN EL SECTOR RURAL EN LAS VEREDAS DE; VEREDA EL PATO 01 VIVIENDA, VEREDA CAÑAVERALES 01 VIVIENDA, VEREDA GUADUALES 01 VIVIENDA  VEREDA YARIGUIES 03 VIVIENDAS, VEREDA LOMA DEL MEDIO 01 VIVIENDA, VEREDA CHUCURÍ 02 VIVIENDAS. DE IGUAL MANERA SE ENCUENTRA INCOMUNICANDO EL MUNICIPIO CON SANTA HELENA DEL OPÓN,  EL ALCALDE DEL MUNICIPIO ESTÁ AL FRENTE DE ESTA SITUACIÓN Y REUBICACIÓN DE LAS FAMILIAS.</t>
  </si>
  <si>
    <t>D.C.C., INFORMAN QUE EN EL MUNICIPIO DE  TAMARA, SE PRESENTARON,  DESLIZAMIENTOS DE TIERRA,  EN EL CASCO URBANO, AFECTANDO UNA VIVIENDA DONDE VIVIAN 2 FAMILIAS, EL OTRO EN LA VEREDA: GUASEQUE  TAPONANDO LA CARRETERA  15 METROS APROXIMADAMENTE QUEDANDO  EL MUNICIPIO INCOMUNICADO</t>
  </si>
  <si>
    <t>D.C.C.,  ATENDIERON, INCENDIO FORESTAL, SE CONSUMIO 1 HECTÁREAS DE VEGETACIÓN NATIVA. PARTICIPACION, 11 LIDERES VOLUNTARIOS.</t>
  </si>
  <si>
    <t>CMGRD DE VALLEDUPAR, INFORMA, VENDAVAL, EN EL CORREGIMIENTO: LOS VENADOS, AFECTANDO: 19 FAMILIAS.</t>
  </si>
  <si>
    <t>13-0454</t>
  </si>
  <si>
    <t>13-0453
13-0454</t>
  </si>
  <si>
    <t>REPORTAN EL TAPONAMIENTO TOTAL DE LA VÍA QUE DEL MUNICIPIO DE CONTRATACIÓN COMUNICA CON EL MUNICIPIO DE CHIMA, EN L SECTOR DE CHICATIN, DE IGUAL FORMA REPORTA LA SALA DE RADIO DEL SOCORRO BASE DEL SEGUNDO DISTRITO DE POLICÍA SANTANDER QUE YA SALIERON PARA EL LUGAR DOS VOLQUETAS Y UNA RETROEXCAVADORA PARA ATENDER LA EMERGENCIA</t>
  </si>
  <si>
    <r>
      <t xml:space="preserve">DERRUMBES EN LA VÍA LA PAZ, A LA VEREDA  MIRA BUENOS,  DONDE QUEDARON INCOMUNICADAS APROXIMADAMENTE 427 FAMILIAS DE LAS DIFERENTES VEREDAS QUE HACEN USO DE ESTA VÍA, COMO SON: RINCÓN SANTO, MIRA BUENOS, LINTERNA, LINTERNITA, PALMAR, MEDIOS, MACANAL, RECREO, Y COLON. VEREDA MEDIOS, PALMAR, Y LINTERNA, INCOMUNICADOS POR LA CAÍDA DE DOS PUENTES COLGANTES. SOCAVACIÓN DE LAS BASES DEL PUENTE PEATONAL DE LA VEREDA COLON, SOBRE LA QUEBRADA LA ROVASA. ESTA INFORMACIÓN FUE RECOPILADA POR EL INGENIERO </t>
    </r>
    <r>
      <rPr>
        <b/>
        <sz val="9"/>
        <color indexed="63"/>
        <rFont val="Arial"/>
        <family val="2"/>
      </rPr>
      <t>ERWIN MAURICIO TAMAYO HURTADO</t>
    </r>
    <r>
      <rPr>
        <sz val="9"/>
        <color indexed="63"/>
        <rFont val="Arial"/>
        <family val="2"/>
      </rPr>
      <t xml:space="preserve"> SECRETARIO DE PLANEACIÓN</t>
    </r>
  </si>
  <si>
    <t>LA PRESENTE PARA INFORMARLES QUE SE RECIBIO REPORTE DE DESLIZAMIENTO EN LA BOCATOMA Y AFECTO LA   MANGUERA DEL ACUEDUCTO DEL CORREGIMIENTO DE CASCARILLAL, EN ESTOS MOMENTOS SE DESPLAZA LA COMISION DEL CMGRD AL SITIO PARAEL INFORME RESPECTIVO.</t>
  </si>
  <si>
    <r>
      <t>EN LA VEREDA LA</t>
    </r>
    <r>
      <rPr>
        <b/>
        <sz val="9"/>
        <rFont val="Arial"/>
        <family val="2"/>
      </rPr>
      <t xml:space="preserve"> </t>
    </r>
    <r>
      <rPr>
        <sz val="9"/>
        <rFont val="Arial"/>
        <family val="2"/>
      </rPr>
      <t>TENERÍA</t>
    </r>
    <r>
      <rPr>
        <b/>
        <sz val="9"/>
        <rFont val="Arial"/>
        <family val="2"/>
      </rPr>
      <t xml:space="preserve"> </t>
    </r>
    <r>
      <rPr>
        <sz val="9"/>
        <rFont val="Arial"/>
        <family val="2"/>
      </rPr>
      <t>ZONA RURAL DEL MUNICIPIO DE BELÉN, BOYACÁ, CERCA DE 22 VIVIENDAS RESULTARON AFECTADAS DEBIDO A LOS FUERTES AGUACEROS</t>
    </r>
    <r>
      <rPr>
        <b/>
        <sz val="9"/>
        <rFont val="Arial"/>
        <family val="2"/>
      </rPr>
      <t xml:space="preserve"> </t>
    </r>
    <r>
      <rPr>
        <sz val="9"/>
        <rFont val="Arial"/>
        <family val="2"/>
      </rPr>
      <t>REGISTRADOS EN LA REGIÓN ANDINA COLOMBIANA. EL CONSEJO DEPARTAMENTAL PARA LE GESTIÓN DE RIESGO Y CORPOBOYACÁ YA HICIERON PRESENCIA EN EL</t>
    </r>
    <r>
      <rPr>
        <b/>
        <sz val="9"/>
        <rFont val="Arial"/>
        <family val="2"/>
      </rPr>
      <t xml:space="preserve"> </t>
    </r>
    <r>
      <rPr>
        <sz val="9"/>
        <rFont val="Arial"/>
        <family val="2"/>
      </rPr>
      <t>SECTOR, PARA ATENDER A LOS AFECTADOS Y REALIZAR UN CENSO QUE PERMITA VERIFICAR, LAS PERSONAS QUE RESULTARON DAMNIFICADAS COMO CONSECUENCIA DE LAS LLUVIAS</t>
    </r>
  </si>
  <si>
    <t>SE SOLICITO APOYO A NIVEL REGIONAL TENIENDO EN CUENTA APOYO BRINDADO AL DEPARTAMENTO</t>
  </si>
  <si>
    <t>CDGRD REPORTA INCENDIO FORESTAL EN PLAYA POMPEYA, FUE ATENDIDO, AFECTACION DE 1 HECTAREA Y MEDIA.</t>
  </si>
  <si>
    <t>CDGRD REPORTA INCENDIO ESTRUCTURAL EN PLAYA POMPEYA , CONSUMIENDO EN SU TOTALIDAD 1 CABAÑA, 1 FAMILIA.</t>
  </si>
  <si>
    <t>CMGRD RECIBIÓ REPORTE DE DESLIZAMIENTO EN LA BOCATOMA Y AFECTO LA   MANGUERA DEL ACUEDUCTO DEL CORREGIMIENTO DE CASCARILLAL, EN ESTOS MOMENTOS SE DESPLAZA LA COMISIÓN DEL CMGRD, APROXIMADAMENTE 65 FAMILIAS SIN AGUA.</t>
  </si>
  <si>
    <t>CDGRD DEL TOLIMA, INFORMA, SE PRESENTÓ, INCENDIO ESTRUCTURAL, EN EL BARRIO: ALKAPARAISO, EN LA RICA ESTACIÓN, 05:40 AM,  AL PARECER POR CORTO CIRCUITO, AFECTANDO UNA VIVIENDA, SIN LESIONADOS, APOYARON BOMBEROS.</t>
  </si>
  <si>
    <t>CDGRD DEL VALLE DEL CAUCA Y CMGRD DE TRUJILLO, INFORMAN, FUERTES LLUVIAS, AFECTARON: 8 FAMILIAS EN LOS BARRIOS: LA PLAZUELA, EL REFUGIO, EL CENTRO, SAN JORGE, COLAPSO DE ALCANTARRILLADO, SITUACIÓN EN DESARROLLO.</t>
  </si>
  <si>
    <t>CDGRD DE NARIÑO, INFORMA, SE PRESENTÁ DESLIZAMIENTO Y PERDIDA DE BANCA, VÍA CHIRCAL- ROBLES, KM: 10, SITUACIÓN EN DESARROLLO.</t>
  </si>
  <si>
    <t>CDGRD DE NORTE DE SANTANDER, INFORMA, EN LAS PRIMERAS HORAS DE LA MAÑANA, 04:00 AM,  SE PRESENTÓ, EN LA VEREDA LEUTA, MUNICIPIO DE SILOS UN DESLIZAMIENTO, QUE  AFECTÓ, LAS VIVIENDAS DE  2  FAMILIAS, A SU VEZ,   EVACUADAS DE MANERA PREVENTIVA.</t>
  </si>
  <si>
    <t>INFORMA COMANDANTE POLICÍA  QUE EN EL CORREGIMIENTO DE RIACHUELO, SIENDO LAS 15:50 HORAS FUE ARRASTRADO POR LAS AGUAS DEL RÍO EL SEÑOR JORGE MORALES RIBERO DE 52 AÑOS, FUE ENCONTRADO MAS ABAJO SIN VIDA, POLICÍA C.T.I  FISCALÍA PRACTICAN INSPECCIÓN DEL CADÁVER  SE DESCONOCEN LOS MOTIVOS DEL FALLECIMIENTO Y LA MUERTE FUE POR INMERSIÓN REPORTA CDGRD MIGUEL GÓMEZ.</t>
  </si>
  <si>
    <t>CDGRD REPORTA EN HORAS DE LA NOCHE FUERTES LLUVIAS EN ESTE MUNICIPIO PRODUCE REPRESEMIENTO DE ALCANTARILLADO, INUNDADOS LOS BARRIOS LA PLAZUELA , EL CENTRO, EL REFUGIO, SAN JORGE, 4 VIVIENDAS AFECTADAS UNA EN CADA BARRIO, NO LESIONADOS.</t>
  </si>
  <si>
    <t>D.C.C., INFORMA, DIA 10-05-13, JDC SAN CARLOS DE GUAROA, REPORTA EL CENSO DE LOS DAMNIFICADOS Y FAMILIAS EVACUADAS DE SUS CASAS POR INUNDACIÓN, DEBIDO AL REPRESENTAMIENTO DE LOS ALCANTARILLADOS DE AGUAS LLUVIAS CON SALDO DE: 65 AFECTADOS DE 15 FAMILIAS Y 6 VIVIENDAS AFECTADAS.</t>
  </si>
  <si>
    <t>CDGRD DEL HUILA, INFORMA, ACCIDENTE DE TRANSITO, NOCHE ANTERIOR, 21:00 HORAS, BUS DE SERVICIO PÚBLICO DE LA EMPRESA, COOMOTOR, ENTRE LA VÍA NEIVA- CAMPOALEGRE, A 5 KMS POSTERIORES AL PEAJE, LOS CAUCHOS, 1 MUJER FALLECIDA, 20 PERSONAS HERIDAS, ATENDIERON. BOMBEROS, D.C.C.</t>
  </si>
  <si>
    <t>BOMBEROS, INFORMA, INCENDIO FORESTAL, EXTINGUIDO, CERRO: EL VENADO,  SE CONSUMIERON: 17 HECTÁREAS.</t>
  </si>
  <si>
    <t xml:space="preserve">SOCORRO NACIONAL, INFORMA, ACCIDENTE DE TRANSITO,  01:20 AM, EN LA VÍA SUPIA- RÍOSUCIO, BUS ESCOLAR QUE TRANSPORTADA, SOLDADOS, CAYO A UN ABISMO, 2 MUERTOS, 15 HERIDOS, TRASLADADOS A CENTROS ASISTENCIALES.  </t>
  </si>
  <si>
    <t xml:space="preserve">CDGRD REPORTA DESLIZAMIENTO EL EL BARRIO CENTENARIO AFECTANDO 1 VIVIENDA, 1 FAMILIA, IGUALMENTE SE ENCUENTA EN RIESGO OTRA VIVIENDA EN EL BARRIO SAN FERNANDO POR CAIDA DE RAMAS DE ARBOLES, ATENDIO CMGRD DE PASTO. </t>
  </si>
  <si>
    <t>REPORTA VENDAVAL EN PALMAR DEL RECREO 2 VIVIENDAS AVERIADAS 2 FAMILIAS, 5 CASAS FISCALES DEL EJERCITO, 5 FAMILIAS, BLOQUES DE CISNEROS 8 VIVIENDAS AVERIADAS, 8 FAMILIAS, BARRIO SANTANDER 3 VIVIENDAS AVERIADAS, 3 FAMILIAS, TRIANGULO DE LAS AMERICAS 2 VIVIENDAS AVERIADAS, 2 FAMILIAS, ATENDIERON, CRUZ ROJA, BOMBEROS OFICIALES, PONAL Y CMGRD, YA SE ENTREGARON LAS AHE, REPORTA JAVIER VELEZ CMGRD.</t>
  </si>
  <si>
    <t>3600 KILOS MALLA GALVANIZADA CALIBRE 13, 1000 KILOS ALAMBRE GALVANIZADO NO. 13, 6000 M2 MALLA, 6342 BULTOS DE CEMENTO</t>
  </si>
  <si>
    <t>SE PRESENTO UN  FUERTE AGUACERO EL CUAL AFECTO  LAS ALCANTARILLAS Y PASO EL AGUA POR ENCIMA DE LA CALZADA AFECTANDO 2 VIVIENDAS EN LAS CUALES HABITAN APROXIMADAMENTE 12 PERSONAS NO HUBO NECESIDAD DE EVACUAR. COMANDO SARGENTO JOSE MOSQUERA EN LA MAQ # 6 CON 4 UNIDS. RPTO TENIENTE RAMIRO MONSALVE</t>
  </si>
  <si>
    <t>REPORTAN DEL CMGRD DE VALLEDUPAR QUE EL DIA 13 DE MAYO SE PRESENTO UN IF AFECTANDO 20 HECTAREAS EN ELE CORREGIMIENTO EL GITANO, EL IF FUE CONTROLADO Y PARTICIPARON LIDERES VOLUTARIOS DE LA DC Y BOMBEROS VOLUTARIOS.</t>
  </si>
  <si>
    <t>REPORTAN DEL  CMGRD DE ARMENIA, QUE EL DIA 13 DE MAYO EN HORAS DE LA TARDE SE PRESENTO UN VENDAVAL ,A AFECTANDO A 64 VIVIENDAS EN LOS BARRIOS BARRIO SANTANDER, CASA FISCALES, CISNEROS, BLOQUE SANTANDER, SECTOR EL TRINAGULO, CON PERDIDA DE CUBIERTAS DE ETERNIT, ZINC.</t>
  </si>
  <si>
    <t>CDGRD REPORTA LLUVIAS EL DIA ANTERIOR ACOMPAÑADAS DE FUERTES VIENTOS, EN EL MUNICIPIO DE GALERAS, BARRIO VAIVEN AFECTANDO 8 VIVIENDAS EN SUS TECHOS, 2 GALPONES IGUALMENTE,NO LESIONADOS, SOLO DAÑO EN ENSERES Y ELECTRODOMESTICOS, APOYO DEFENSA CIVIL CON CENSO, PARA HOY NO HAY NUEVOS REGISTROS, POR PARTE DE CDGRD PRESENTES EN EL SITIO VERIFICANDO REGISTROS PERTINENTES. REPORTE 07-03-13, D.C.C, INFORMA, VENDAVAL, ACOMPAÑADO DE FUERTES LLUVIAS, AFECTANDO: 10 VIVIENDAS EN TECHOS, SIN LESIONADOS. 100 VIVIENDAS AFECTADAS POR VIENTOS HURACANADOS</t>
  </si>
  <si>
    <t xml:space="preserve">D.C.C., CDGRD DE NORTE DE SANTANDER, INFORMAN, SE PRESENTÓ EL DÍA DE AYER, INCENDIO FORESTAL, SECTOR: GUIMARAL, SE CONSUMIERON: 200 HECTÁREAS. </t>
  </si>
  <si>
    <t>CDGRD DEL CESAR, INFORMA, INCENDIO FORESTAL, PRESENTADO, EL DÍA DE AYER, CORREGIMIENTO: EL GITANO, 20 HECTÁREAS CONSUMIDAS.</t>
  </si>
  <si>
    <t>D.C.C., EN EL MUNICIPIO DE BALBOA VEREDA CRUCES, SE PRESENTÓ FUERTE VENDAVAL AFECTANDO, TRES VIVIENDAS POR DESTECHAMIENTO, IGUAL NÚMERO DE FAMILIAS, NO SE PRESENTARON VÍCTIMAS NI HERIDOS, EVENTUALIDAD ATENDIDA POR JDC BALBOA. POR ESPACIO DE 4 HORAS.</t>
  </si>
  <si>
    <t>CDGRD DE GUAVIARE, INFORMA, EL DÍA DE HOY, SE DECLARA ALERTA NARANJA, POR LA CRECIENTE DE LOS RÍOS GUAYABERO, Y ARIARE, QUE YA HAN AFECTADO, VIVIENDAS DE LAS ZONAS INUNDABLES, SITUACIÓN EN DESARROLLO.</t>
  </si>
  <si>
    <t>CDGRD DE BOYACA, INFORMA, FENOMENO DE REMOCIÓN EN MASA, PRESENTADO EL DÍA 09-05-2013, SE EVACUARON: 60 NIÑOS DE ICBF, AL COLEGIO, DE TENZA, SECCIÓN PRIMARIA, 3 FAMILIAS EVACUADAS, SITUACIÓN EN DESARROLLO, PENDIENTE MÁS INFORMACIÓN.</t>
  </si>
  <si>
    <t>CMGRD DEL HUILA, INFORMA, MENOR AHOGADA EN LA QUEBRADA LA PIÑA, POR DESCUIDO DE LOS PADRES.</t>
  </si>
  <si>
    <t>D.C.C., INFORMA, INCENDIO ESTRUCTURAL, CORREGIMIENTO DE: SANTIAGO DE CALI, LOS LÍDERES VOLUNTARIOS, EVACUARON  A LAS FAMILIAS AFECTADAS, ATENDIENDO EN EL SITIO POR ASFIXIA A 02 PERSONAS, JOSÉ FERNÁNDEZ DE 78 AÑOS Y JOSÉ ADONAÍ ARANGO DE 58 AÑOS, APOYO BOMBEROS Y PONAL.</t>
  </si>
  <si>
    <t>CDGRD DEL TOLIMA, INFORMA, INCENDIO ESTRUCTURAL, EN EL RESTAURANTE: LA PARRILLA DE MARCOS, DAÑOS MATERIALES POR ESTABLECER, SIN LESIONADOS.</t>
  </si>
  <si>
    <t>DESLIZAMIENTO VÍA GUAVATÁ PUENTE NACIONAL INFORMA COMANDANTE POLICÍA GUAVATA QUE SIENDO LAS 17:00 HORAS. EN LA
VÍA QUE DE GUAVATA-A VELÉZ EN EL KILÓMETRO 5 SITIO EL FILO SE PRESENTÓ, DESLIZAMIENTO DE TIERRA Y ROCAS, CAUSÁNDOLE FRACTURA DE TIBIA Y PERONÉ, AL SEÑOR INGENIERO FABIO ERNESTO AMAYA DE 46 AÑOS, QUIEN SE DESEMPEÑA, COMO INGENIERO DE LA OBRA DE PAVIMENTACIÓN DE CITADA VÍA  SIENDO TRASLADADO AL HOSPITAL DE VELEZ</t>
  </si>
  <si>
    <t>15 PALAS, 5 PICAS, 5 PEINILLAS</t>
  </si>
  <si>
    <t>VENDAVAL OCURRIDO EN EL CORREGIMIENTO DE CARABALLO Y GARRAPATA, EL CUAL DEJO 18 FAMILIAS AFECTADAS, UNA IGLESIA Y UN COMEDOR ESCOLAR</t>
  </si>
  <si>
    <t>BOMBEROS VOLUNTARIOS QUE APOYARON EN INCENDIO FORESTAL PIDE SE DE INFORMACION A CORTOLIMA DE LO SUCEDIDO EN LA HACIENDA COCONUCO DE PROPIEDAD DEL SEÑOR FERNANDO ARANGO, YA QUE ESTAS QUEMAS CONTROLADAS VIENE SUCEDIENDO HACE MUCHO TIEMPO Y SIEMPRE SE LES SALE DE LAS MANOS. ENTERADO CORTOLIMA EN EL 2654553 FUNCIONARIO JUAN DARIO SALDARRIAGA.</t>
  </si>
  <si>
    <t>APOYO DEL FNGRD MEDIANTEGIRO AL CMGRD CON EL OBJETO DE DESARROLLAR EL PROYECTO OBRAS DE EMERGENCIA CONSISTENTES EN LA CONSTRUCCION DE DISIPADORES DE ENERGIA, CONSTRUCCION DE ALCANTARILLAS, CUNETAS, OBRAS DE ARTE, OBRAS DE DRENAJE, HULLAS CINTAS PARA EL MANEJO DE AGUAS SUPERFICIALS PARA MITIGAR LOS PROCESOS DE EROSION DE LA VIA SALITRE NEGRO EN EL SECTOR DE KO+500 AL K1+450 DE LA VEREDA SALITRE NEGRO</t>
  </si>
  <si>
    <t>REPORTA INUNDACION EN EL CORREGIMIENTO RIO GRANDE, POR DESBORDAMIENTO RIO GRANDE, HASTA EL MOMENTO SE TIENE INFORMACION DE 5 VIVIENDAS AVERIADAS, 5 FAMILIAS, 25 PERSONAS, EL CMGRD ENVIA COMISION AL LA ZONA PARA REALIZAR EDAN, REPORTA CDGRD, SITUACION EN DESARROLLO.</t>
  </si>
  <si>
    <t>CDGRD DEL QUINDIO, REPORTA VENDAVAL EN LAS VEREDAS:  SAN JUAN, EL DORADO Y ALTO BONITO ,BARRIO:  ALAMOS, DEJANDO DE 1 VIVIENDA AFECTADA POR COMUNIDAD ASI: 4 VIVIENDAS, 4 FAMILIAS, LAS CUALES YA FUERON ATENDIDAS CON AHE POR EL CMGRD.</t>
  </si>
  <si>
    <t xml:space="preserve">CDGRD DEL CHOCO, INFORMA, INUNDACIONES , EL DÍA 27-04-2013, ENVÍA, VÍA CORREO ELÉCTRONICO, ACTUALIZACIÓN DE DATOS, 914 FAMILIAS AFECTADAS, CORREGIMIENTOS DE: GINGAL, SANTA MARÍA LA NUEVA,  TANELA, RESGUASDOS DE: CUTI Y  TANELA, 397 HECTÁREAS AFECTADAS DE: CULTIVOS DE PAN COGER, Y DE SEMOVIENTES, </t>
  </si>
  <si>
    <t xml:space="preserve">CDGRD DE SANTANDER, INFORMA, EN LA MADRUGADA DEL DÍA  DE HOY, 15-05-13 APROXIMADAMENTE ENTRE 12:30 Y 02:00 HORAS, EL SEÑOR RAMIRO ROZO LARA, DE 74 AÑOS, RESIDENTE EN EL BARRIO LOS PINOS, DEL MUNICIPIO DE BARRANCABERMEJA, QUIEN CAYÓ AL RIO MAGDALENA Y FUE ARRASTRADO POR LAS AGUAS, SIENDO ENCONTRADO SU CADÁVER, EN SECTOR DE SAN PABLO SUR DE BOLÍVAR. POR PESCADORES DE LA ZONA Y EN EL MOMENTO ES TRASLADADO A BARRANCABERMEJA, POR PERSONAL DE LA DEFENSA CIVIL, PARA REALIZARLE LOS ACTOS URGENTES POR PARTE DE POLICÍA JUDICIAL.  
</t>
  </si>
  <si>
    <t>SIENDO LAS, L17:, A.M, SALIERON  LA MÁQUINA DE RESCATE Y LA AMBULANCIA, CON 12  UNIDADES, PARA LA CALLE 16 CON CALLE 16-49, ATENDER LA COLAPSADA DE UNA VIVIENDA, EN ESTRUCTURA DE BAREQUE. EL, TECHO CAYÓ ENCIMA DE LAS SIGUIENTES PERSONAS, QUIENES, SE ENCONTRABAN DURMIENDO: ASTRID CAROLINA DE 17 AÑOS DE EDAD, ANA MARÍA FLORES DE 14 AÑOS DE EDAD, MARIA ARENAS DE 79 AÑOS DE EDAD, ELLAS, SUFRIERON GOLPES Y MÚLTIPLES LACERACIONES</t>
  </si>
  <si>
    <t>SIENDO LAS, 19:15, P.M, SALIÓ LA MÁQUINA CON 5 UNIDADES, PARA LA CARRERA 2 F 25 D 15, PARTE ALTA DE LA URBANIZACIÓN CERROS DE PUERTO ASIS, ATENDER UN DESLIZAMIENTO DE TIERRA Y PIEDRAS, QUE CAYÓ A UNA VIVIENDA .NO, SE PRESENTARON VICTIMAS, COMANDO DE INCIDENTE.BRO.FERNADEZ HECTOR FABIO.RPTO.S.S.DIAZ JOSEFINA.</t>
  </si>
  <si>
    <t>REPORTAN DEL CDGRD DE CHOCO QUE LE DIA 15 DE MAYO EN HORAS DE LATARDE SE PRESENTO UN VENDAVAL AFECTANO A 144 FAMILIAS DE 3 COMUNIDADES , PUERTO PEÑA, GEANDO Y BOCAS DE LEON. EN LA TARDE DEL HOY ENVIA ACTAS DEL CMGRD. LAS VIVIENDAS  PRESENTARON PERDIDAS DE LAMINAZ DE ZINC, VIGAS, ENCERES.</t>
  </si>
  <si>
    <t>REPORTA VENDAVAL EL CUAL AFECTO 25 VIVIENDAS, 25 FAMILIAS, ADEMAS AFECTO 13 MODULOS DEL ALBERGUE DEL MUNICIPIO. REPORTA CDGRD</t>
  </si>
  <si>
    <t>REPORTA QUE A CAUSA DEL DESBORDAMIENTO DEL RIO MULATOS EN LA VEREDA RODOXALI SE AFECTARON 39 VIVIENDAS, 39 FAMILIAS, 195 PERSONAS,  REPORTA CDGRD.</t>
  </si>
  <si>
    <t>REPORTA DESBORDAMIENTO DEL RIO GRANDE EN LA VEREDA LOS MANDARINOS, EL CUAL AFECTO 10 VIVIENDAS, 10 FAMILIAS, 50 PERSONAS Y AFECTO PUENTE VEHICULAR PERSONAL DE SECRETARIA DE INFRAESTRUCTURA DEPARTAMENTAL EVALUAN LA SITUACION, REPORTA CDGRD.</t>
  </si>
  <si>
    <t>REPORTA INUNDACION EN LA VEREDA LA ARENERA AFECTANDO 50 VIVIENDAS, 50 FAMILIAS, 250 PERSONAS, EN LA VEREDA PUERTO CESAR AFECTO 32 VIVIENDAS, 32 FAMILIAS, 160 PERSONAS, VEREDA PUNTO ROJO AFECTO 30 VIVIENDAS, 30 FAMILIAS, 150 PERSONAS, REPORTA CDGRD.</t>
  </si>
  <si>
    <t>13:45 HORAS INFORMAN BOMBEROS, QUE EN LA VEREDA "EL GUAMO" FINCA BELLAVISTA SE PRESENTÓ CONATO DE INCENDIO FORESTAL QUEMÁNDOSE 2.000 MIL METROS DE BOSQUES Y ZONA VERDE. NO SE PRESENTÓ AFECTACIÓN DE PERSONAS NI DE VIVIENDAS</t>
  </si>
  <si>
    <t>DESDE LAS PRIMERAS HORAS DE LA MADRUGADA SEPRESENTA FUERTES LLUVIAS , EN ELE BARRIO  ALAMEDA SE AFECTAN 2 VIVIENDAS POR DESLIZAMIENTO, LAS CUALES FUERON EVACUADAS. ATIENDE EL CMGRD.</t>
  </si>
  <si>
    <t>CDGRD DE CUNDINAMARCA, INFORMA, EL MAYOR IVAN DARÍO VALENZUELA, COORDINADOR DE BOMBEROS EN CUNDINAMARCA, POR FUERTES AGUACEROS EN LA REGIÓN DEL GUAVIO EN LAS HORAS DE LA MADRUGADA, DEL DÍA DE HOY, SE DESBORDO EL RÍO GACHETA GENERANDO INUNDACIÓN, EN LOS BALNEARIOS PUENTE LISIO Y RAMALES DEL MUNICIPIO DE JUNÍN. ATENDIÓ BOMBEROS GACHETA.</t>
  </si>
  <si>
    <t>JORGE GONZÁLEZ DE LA DEFENSA CIVIL DEL MUNICIPIO DE GUTIÉRREZ, REPORTA QUE FUERTES LLUVIAS DE LAS ULTIMAS HORAS EN LA REGIÓN, OCASIONO UN DESLIZAMIENTO EN LA VÍA DESDE LA CABECERA MUNICIPAL A LA VEREDA PASCOTE, EN EL SITIO CASA DE TABLA EN DONDE CAYO EL TALUD, SOBRE LA BANCA EN UN TRAMO DE 30:00 MTS DEJANDO ESTA VEREDA INCOMUNICADA, ATIENDE CMGRD Y DEFENSA CIVIL.</t>
  </si>
  <si>
    <t>D:C.C., INFORMA, DESBORDAMIENTO DEL RÍO LA MIEL, EN EL CORREGIMIENTO DE: LA ATARRAYA, AFECTADAS: 13 FAMILIAS.</t>
  </si>
  <si>
    <t>CDGRD DEL TOLIMA, INFORMA, EN EL MUNICIPIO DE  CASABIANCA,  VARIOS DERRUMBES,  INCOMUNICAN A LOS MUNICIPIOS DE HERVEO, PALOCABILDO' Y VILLAHERMOSA POR TRES ALUD DE TIERRA, YA HAY MAQUINARIA EN EL SITIO.</t>
  </si>
  <si>
    <t xml:space="preserve">CDGRD DEL TOLIMA, INFORMA, MUNICIPIO DE  PRADO, INCOMUNICADO POR CRECIMIENTO Y DESBORDAMIENTO DE LA QUEBRADA CHENCHITO, DONDE EL AFLUENTE PASA POR ENCIMA DEL PUENTE QUE FUE ADECUADO  PROVISIONALMENTE. </t>
  </si>
  <si>
    <t>BOMBEROS, INFORMA, CRECIENTE DEL RÍO UPIA, SITUACIÓN EN DESARROLLO.</t>
  </si>
  <si>
    <t>BOMBEROS, INFORMA, INUNDACIONES POR TAPONAMIENTO DE ALCANTARRILLAS, EN LOS BARRIOS DE: OLIVOS, CIUDAD LATINA, SANTA ANA, COMPARTIR, SITUACIÓN EN DESARROLLO.</t>
  </si>
  <si>
    <t xml:space="preserve">CDGRD DEL HUILA, INFORMA,  FUERTES LLUVIAS, VEREDA: EL ALFO, 1 VIVIENDA AFECTADA. </t>
  </si>
  <si>
    <t>CAPITAN DANIEL CASTAÑO, INFORMA, EN VILLAO POR FUERTES LLUVIAS, EN LA PARTE ALTA DE LA CUENCA DEL RIO GUATIQUIA, SE REGISTRO AUMENTO DEL CAUDAL DEL RIO, CAUSANDO INUNDACIONES EN EL AREA RURAL ASI. VEREDA CAIRO BAJO, 65 NIÑOS EVACUADOS DE LA ESCUELA, POR INUNDACION AREAS ALEDAÑAS AL CENTRO EDUCATIVO, LOS MENORES FUERON ENTREGADOS A SUS FAMILIARES. CAIRO MEDIO, 15 FAMILIAS AFECTADAS, NO SE REGISTRAN DAMNIFICADOS. EN EL AREA URBANA, MARGEN DERECHA ENTRE PUENTE ANTIGUO Y NUEVO,  LAS FAMILIAS. QUE HAN INVADIDO LA ZONA DEL LECHO DEL RIO ESTUVIERON EN RIESGO INMINENTE DE INUNDAR, SUS RANCHOS. SE ADVIRTIO A LOS HABITANTES DEL SECTOR, PERO SE REUSARON A SALIR, A PESAR DEL PELIGRO QUE EXISTE. APOYARON LAS ACCIONES DEFENSA CIVIL, CRUZ ROJA, MINA LA CAROLINA Y OFICINA DE GESTION DEL RIESGO.</t>
  </si>
  <si>
    <t>D.C.C., INFORMA, DESLIZAMIENTO EN EL BARRIO: LA CRUZ, ZONA DE INVASIÓN, SIN LESIONADOS.</t>
  </si>
  <si>
    <t xml:space="preserve">CDGRD DEL TOLIMA, INFORMA, SE PRESENTÓ, EL  DESENTECHAMIENTO DE 4  VIVIENDAS, EN LOS BARRIOS:  LOS PINOS Y PROTECHO. CDGRD DEL TOLIMA, INFORMA EN EL MUNICIPIO DE  VENADILLO SE PRESENTÀ, A RAIZ DE FUERTES LLUVIAS, ACOMPAÑADAS DE VIENTOS,  CAÍDA DE ÁRBOL SOBRE LA VIA IBAGUE VENADILLO KM36 DESPUÉS DE ALVARADO, SIN LESIONADOS. </t>
  </si>
  <si>
    <t>EN EL MUNICIPIO DE JAMUNIDI SE ESTA ATENDIENDO  INUNDACION EN LAS VIAS PUBLICAS Y VIVIENDAD, EN LA VEREDA DE TIMBA TAMBIEN SE REGISTRA AFECTACION EN VIVIENDAS. CMGRD REPORTA SE PRESENTÓ UNA INUNDACIÓN PRODUCIDA POR EL ROMPIMIENTO DEL DIQUE PROTECTOR DEL RÍO TIMBA A LA ALTURA DE LA VERADA LA BERTHA A UNOS 2 KILÓMETROS DEL CORREGIMIENTO SE PRESENTÓ AFECTACIÓN DE 40 PARCELAS ARROCERAS QUE ESTÁN EN PROCESO DE VALORACIÓN POR PARTE DE LA UMATA. LA CORPORACIÓN AUTÓNOMA REGIONAL CVC SE REALIZÓ LA INSPECCIÓN DE DOS SECTORES DONDE SE PRESENTA ESTANCAMIENTO POR REDUCCIÓN DEL CAUCE DE LA SALIDA DE UNA LAGUNA NATURAL QUE PERMITE EL DRENAJE DEL SECTOR.  COMO MEDIDA DE INTERVENCIÓN INMEDIATA SE HA DETERMINADO PROCEDER AL TAPONAMIENTO DEL BOQUETE DE APROXIMADAMENTE 35 METROS LINEALES CON MAQUINARIA SUMINISTRADA POR UNA EXPLOTACIÓN DE MATERIAL DE ARRASTRE DE LA ZONA EN COORDINACIÓN CON LA SECRETARIA DE INFRAESTRUCTURA QUE SUMINISTRARA LUBRICANTES, COMBUSTIBLES, VOLQUETA Y PERSONAL; IGUALMENTE SE HA DISPUESTO EL ACOMPAÑAMIENTO DE DOS FUNCIONARIOS DEL CMGRD DISPONIBLES EN EL SITIO PARA APOYAR LA ACTIVIDAD HOY SÁBADO 18 DE MAYO DESDE LAS 07:30 HORAS</t>
  </si>
  <si>
    <t>REPORTA DESLIZAMIENTO EN MINA ILEGAL DE ORO EN LA VEREDA YAGUARACITO OCASIONANDO EL FALLECIMIENTO DE 1 PERSONA DUBER LUCUMI CARABALI DE 32 AÑOS, 2 PERSONAS LESIONADAS AMPARO PEÑUELA DE 40 AÑOS Y DUBER RAMIREZ DE 60 AÑOS. RESCATADOS POR LA DCC Y BROS TRASLADADOS AL HOSPITAL LOCAL, REPORTA ORLANDO GARZON CDGRD.</t>
  </si>
  <si>
    <t>REPORTA COLAPSO ESTRUCTURAL EN UNA EXCAVACIÓN DE OBRA EN LA CALLE 26 CON 96J, GRUPO DE BOMBEROS OFICIALES RESCATA A UNA PERSONA ATRAPADA. REPORTA BOMBEROS OFICIALES BOGOTA.</t>
  </si>
  <si>
    <t>REPORTA DESLIZAMIENTO EN BARRIO EN CONSTRUCCION DE NOMBRE EL ORTIGAL, EL CUAL DEJA 2 PERSONAS FALLECIDAS, LOS CUALES YA FUERON RESCATADOS POR LAS ENTIDADES OPERATIVAS DEL CMGRD, REPORTA CDGRD.</t>
  </si>
  <si>
    <t>BOMBEROS, INFORMA, LLUVIAS, NIVEL DEL RÍO SINÚ EN 4.32, SE ENCUENTRAN EL ALERTA AMARILLA.</t>
  </si>
  <si>
    <t>CMGRD DE MEDELLIN, INFORMA, A RAIZ DE FUERTES LLUVIAS, SE PRESENTÁ, CAIDA DE UN ÁRBOL, SOBRE UNA PERSONA, EN EL SECTOR: LA FLORESTA,  OCASIONANDOLE LA MUERTE.</t>
  </si>
  <si>
    <t>REPORTA DESBORDAMIENTO DE LA QUEBRADA GALAPO, SECTOR CASCO URBANO, DEJANDO 5 VIVIENDAS AVERIADAS 3 POR LA QUEBRADA Y 2 POR COLAPSO DEL ALCANTARILLADO, 9 FAMILIAS, 32 PERSONAS EL CDGRD SE ENCUENTRA EN LA ZONA HACIENDO ENTREGA DE LAS AHE, REPORTA CDGRD.</t>
  </si>
  <si>
    <t xml:space="preserve">D.C.C., FUNCIONARIO CARLOS HERRERA, INFORMA QUE: A LAS 6:20 AM DE HOY, 19 DE MAYO DE 2013, POR CRECIENTE SÚBITA SE DESBORDARON LAS QUEBRADAS: SAN PEDRO- JAUNO Y LA PAJAROSA EN EL CORREGIMIENTO DEL JAUNO VEREDAS JAUNO Y EL MUELLE- A LA HORA SE HAN REPORTADO 45 VIVIENDAS INUNDADAS-  30 FAMILIAS EVACUADAS PREVENTIVAMENTE A LA CASETA COMUNAL- VÍA A PUERTO GUZMÁN, EL PUENTE AFECTADO ES EL QUE COMUNICA HACIA EL MUELLE,  LA VIA ESTA CERRADA PARA VEHICULOS,   NO HAY LESIONADOS -FALLECIDOS- NI DESAPARECIDOS   -  30 LÍDERES VOLUNTARIOS PUERTO GUZMÁN HAN ESTADO ATENDIENDO SITUACIÓN. </t>
  </si>
  <si>
    <t>D.C.C., DIRECTOR SECCIONAL INFORMA QUE: EN EL MUNICIPIO DE PEREIRA, CORREGIMIENTO DE LA FLORIDA , VEREDA LA BANANERA, SE RESCATÓ DE LAS AGUAS DEL RIO OTÚN, MENOR DE EDAD SEXO FEMENINO QUE FUE ARRASTRADA POR EL AFLUENTE, MENOR FUE TRASLADADA CENTRO HOSPITALARIO DE KENNEDY. PARTICIPANDO EN EL RESCATE JDC VILLAVICENCIO Y DOSQUEBRADAS.</t>
  </si>
  <si>
    <t>EN LA TARDE ANTERIOR SE PRESENTÓ UN AGUACERO, EL CUAL DEJO VARIOS ÁRBOLES CAÍDOS, LOS CUALES AFECTARON LAS REDES ELÉCTRICAS, INUNDACIONES EN ALGUNAS CASAS, PARA EL MOMENTO LAS NOVEDADES YA FUERON SUPERADAS POR LOS CUADRILLAS DE LA ELECTRIFICADORA SUPERARON LOS INCONVENIENTES AL IGUAL QUE LOS SERVICIOS DE LA EMPRESA DE SERVICIOS PÚBLICOS, DE IGUAL FORMA DOS PERSONAS QUE FUERON AFECTADAS POR LA CAÍDA DE UN RAYO YA SE ENCUENTRAN FUERA DE PELIGRO Y SERÁN DADAS DE ALTA EN LAS PRÓXIMAS HORAS.</t>
  </si>
  <si>
    <t>SALDO DE TRES PERSONAS LESIONADAS CON QUEMADURAS DE SEGUNDO GRADO Y PERDIDAS MILLONARIAS EN UN INMUEBLE LOCALIZADO EN LA CARREA 46 CON CALLE 8B, DEJÓ UNA CONFLAGRACIÓN.EL HECHO ATENDIDO POR TRES MÁQUINAS DEL CUERPO CENTRAL DE BOMBEROS SE ORIGINÓ AL PARECER POR UN CORTO CIRCUITO.</t>
  </si>
  <si>
    <t>APOYO DEL FNGRD MEDIANTE SUBSIDIO DE ARRIENDO TEMPORAL PARA 30 FAMILIAS QUE FUERON RETIRADAS DEL JARILLON DEL RIO CAUCA EN LA ZONA DENOMINADA BRISAS DE UN N UEVO AMANECER DURANTE TRES MESES A RAZON DE $200.000 MENSUALES.</t>
  </si>
  <si>
    <t>APOYO DEL FNGRD MEDIANTE SUBSIDIO DE ARRIENDO TEMPORAL PARA 16 FAMILIAS AFECTADAS DURANTE LA TEMPORADA INVERNAL DE 2012 DURANTE TRES MESES A RAZON DE $250.000 MENSUALES.</t>
  </si>
  <si>
    <t>APOYO DEL FNGRD MEDIANTE SUBSIDIO DE ARRIENDO TEMPORAL PARA 20 FAMILIAS AFECTADAS POR VENDAVAL E INCENDIO ESTRUCTURAL DURANTE TRES MESES A RAZON DE 1 FAMILIA POR $100.000 MENSUALES, 5 POR $150.000, 5 FAMILIAS POR $200.000 MENSUALES Y 9 POR $250.000 MENSUALES</t>
  </si>
  <si>
    <t>ORGANISMOS DE SOCORRO REALIZAN EVALUACIÓN DE DAÑOS EN MUNICIPIO DE PALOCABILDO TOLIMA POR FUERTE VENDAVAL OCURRIDO ESTA MADRUGADA CON REPORTE DE VIVIENDAS DESTECHADAS, CAÍDA DE ARBOLES Y REDES DE ALTA TENSIÓN QUE DEJAN AL MUNICIPIO  SIN FLUIDO ELÉCTRICO, NO SE REPORTAN DE VICTIMAS NI HERIDOS AL MOMENTO, SEGUIMOS AL PENDIENTE DE NUEVOS REPORTES.
APOYO DEL FNGRS MEDIANTE SUBSIDIO DE ARREINDO TEMPORAL PARA 2 FAMILIAS POR TRES MESES 1 POR $150.000 MENSUALES Y 1 POR $200.000 MENSUALES.</t>
  </si>
  <si>
    <t>APOYO DEL FNGRD MEDIANTE SUBSIDIO DE ARRIENDO TEMPORAL PARA 3 FAMILIAS AFECTADAS POR LA TEMPORADA INVERNAL DE 2012 POR TRES MESES A RAZON DE $250.000 MENSUALES</t>
  </si>
  <si>
    <t>CDGRD DE CUNDINAMARCA, INFORMA, LUIS FELIPE CASTRO LÓPEZ ALCALDE DE NEMOCON, MEDIANTE ACTA DEL CMGRD, REPORTA FUERTES LLUVIAS QUE OCASIONARON, EL DESBORDAMIENTO DE LAS QUEBRADAS: CHILITA E INEAS QUE OCASIONARON, LA INUNDACIÓN DE 8 HECTÁREAS DE PASTOS Y DAÑOS EN LA VÍA  CHECUA - CERRO VERDE. ATENDIÓ CMGRD, CAR Y POLICÍA.</t>
  </si>
  <si>
    <t>D.C.C., REPORTA SECCIONAL GUAJIRA, QUE EL DÍA SABADO 18 DE MAYO,  SE PRESENTÓ UN INCENDIO ESTRUCTURAL , APROXIMANDAMENTE A LA 20:00 HORAS, CAUSANDO PERDIDA DE TODOS LOS ENSERES DE COCINA, SABANAS CORTINES ETC, PARTICIPARON EN OPERACIONES DE ATENCIÓN 12 LIDERES VOLUNTARIOS DCC.</t>
  </si>
  <si>
    <t>D.C.C., REPORTA DIRECTOR SECCIONAL NARIÑO, QUE SE ENCUENTRA EN PROCESO, LA OPERACIÓN DE BUSQUEDA Y RESCATE EN AGUAS DEL RIO MAYO EN EL CORREGIMIENTO REMOLINO, JURISDICCIÓN DEL MUNICIPIO DE TAMINANGO, EN DONDE SE ENCUENTRA DESAPARECIDO EL CUERPO DE JOVEN SIN IDENTIFICAR AL MOMENTO POR INMERSIÓN ACCIDENTAL DEL DIA 19-05-13. PARTICIPAN EN OPERACIÓNES 30 LIDERES VOLUNTARIOS DCC Y PENDIENTES DE NUEVO REPORTE DEL CASO.</t>
  </si>
  <si>
    <t>D.C.C., REPORTA SECCIONAL HUILA, QUE DIA DE HOY 20-05-13, FUE ATENDIDA Y RESCATADA MATERNA DE 17 SEMANAS DE GESTACION QUE SE FUE POR UN BARRANCO DETRAS DE SU CASA Y RODO UNOS 6 METROS.PARTICIPARON EN LA OPERACIÓN 3 LIDERES VOLUNTARIOS DCC, SE VERIFICO INFORMACIÓN CON EL CDGRD DEL HUILA.</t>
  </si>
  <si>
    <t>CDGRD DE ATLÁNTICO, INFORMA, SE PRESENTÓ VENDAVAL, ACOMPAÑADO DE FUERTES LLUVIAS, EN EL BARRIO: EL PROGRESO, REALIZAN EDAN, SITUACIÓN EN DESARROLLO.</t>
  </si>
  <si>
    <t>BOMBEROS, INFORMA, VOLQUETA RODO A UN ABISMO, DEJANDO 1 PERSONA FALLECIDA Y OTRA HERIDA, EN LA VEREDA: LA PUNTA.</t>
  </si>
  <si>
    <t xml:space="preserve">CDGRD DE SANTANDER, INFORMA POR  LLUVIAS SE PRODUJERON VARIOS DESLIZAMIENTOS DE TIERRA, LOS CUALES, HABÍAN INTERRUMPIDO EL PASO ENTRE LOS DOS MUNICIPIOS, PERO CON
MAQUINARIA YA SE PUDO REABRIR EL PASO.
</t>
  </si>
  <si>
    <t>CDGRD DE SANTANDER, INFORMA, MPIO DE: VELEZ, REPORTAN BOMBEROS QUE POR LLUVIAS SE PRODUJO DESLIZAMIENTO KILOMETRO 2 VÍA VELEZ BARBOSA, QUEDANDO PASO A UN CARRIL.</t>
  </si>
  <si>
    <t>CDGRD DE SANTANDER, INFORMA, REPORTAN BOMBEROS, QUE COMO CONSECUENCIAS DE LAS LLUVIAS DE LA NOCHE DEL DÍA DE AYER 19-05-2013 SE PRESENTARON LAS CAÍDAS DE CUATRO PUENTES COLGANTES PEATONALES; 2 PUENTES ENTRE LAS VEREDAS DE PUEBLO VIEJO Y  UADUAL PUENTE LOS MÍNIGOS QUE COMUNICA LAS VEREDAS DE EL FICAL Y ZUÑIGA PUENTE QUE COMUNICA LAS VEREDAS DE GUACHAVITA Y ZUÑIGA. MISMA FORMA QUEDO LIGERAMENTE AVERIADO EL PUENTE VEHICULAR QUE, COMUNICA EL CASCO URBANO DE COROMORO CON LA VEREDAS DE LA MINA, ZUÑIGA, FICAL, GUADUAL Y A OTRAS VEREDAS.</t>
  </si>
  <si>
    <t>CDGRD INFORMO EN EL TRANSCURSO DE LA NOCHE IGUALDAD DE DATOS ENTREGADOS POR BOMBEROS, INUNDACIONES POR CRECIMIENTO DEL RIO MAGDALENA, AFECTACIÓN EN BARRIO: LA FORTUNA,  3 VIVIENDA DESTRUIDAS, 7 VIVIENDAS AVERIADAS, EL CMGRD INICIARA LABORES EN LAS PRIMERAS HORAS DE LA MAÑANA.</t>
  </si>
  <si>
    <t>INFORMA CONDUCTOR DE AMBULANCIA HOSPITAL SAN JUAN DE DIOS DEL MUNICIPIO DE HONDA MANUEL MUÑOZ 3113646761 DESBORDAMIENTO DEL RIO BLEDO SECTOR SEGUNDA BATEA CRUCE ARMERO/ LÉRIDA, ATRAPADO TRES VEHÍCULOS, CAIDA DE ARBOLES EN VIA, APOYA DCC-CRUZ ROJA-BOMBEROS VOLUNTARIOS EN SEGUIMIENTO, REPORTA CDGRD TOLIMA VÍA E-MAIL</t>
  </si>
  <si>
    <t>SE INFORMA MEDIANTE ACTA SITUACION DE EMERGENCIA PRESENTADA POR INUNDACION EL DIA 23 DE ABRIL DE 2013, EN DONDE RESULTARON AFECTADAS 70 VIVIENDAS EN LA CABECERA MUNICPAL  DEBIDO A LAS FUERTES LLUVIAS E INTENSAS LLUVIAS.</t>
  </si>
  <si>
    <t xml:space="preserve">REPORTA DESLIZAMIENTOS EN LAS VIAS TERCIARIAS HACIA LAS VEREDAS LUCIANO, TAPAITO EN ESTA VEREDA SE EVACUARON 2 VIVIENDAS PREVENTIVAMENTE, ALTAMIRA, LA QUIEBRA, EN ESTA VEREDA SE EVACUO 1 VIVIENDA PREVENTIVAMENTE Y LA ARBOLEDA (INGRESO AL RELLENO SANITARIO), REPORTA CDGRD </t>
  </si>
  <si>
    <t>REPORTA DESLIZAMIENTO EN EL SECTOR VENTIADERO EL CUAL OCASIONO COLAPSO PARCIAL DE 2 VIVIENDAS, OTRO DESLIZAMIENTO OCASIONO PERDIDA DE LA BANCA EN LA VIA ENTRE EL CHAQUIRO BAJO Y LA TABORDA, PERSONAL DEL CMGRD SE DIRIJE A LA ZON PARA REALIZAR EDAN. REPORTA CDGRD</t>
  </si>
  <si>
    <t xml:space="preserve">APOYO DEL FNGRD MEDIANTE TRANSFERENCIA DE RECURSOS AL CMGRD CON EL OBJETO DE COMPRA DE COMBUSTIBLE Y LUBRICANTES PARA LA MAQUINARIA QUE REALIZARA EL MANTENIMIENTO DE LAS VIIAS TERCIARIAS </t>
  </si>
  <si>
    <t>APOYO DEL FNGRS MEDIANTE SUBSIDIO DE ARREINDO TEMPORAL PARA 10 FAMILIAS POR TRES MESES A RAZON DE $150.000 MENSUALES.</t>
  </si>
  <si>
    <t>COBUSTIBLE</t>
  </si>
  <si>
    <t>AUNQUE EL AGUACERO CAYÓ CON INTENSIDAD MIENTRAS MUCHOS BARRANQUILLEROS SE DISPONÍAN A ALMORZAR, EL CUERPO DE BOMBEROS DEL DISTRITO NO REPORTÓ EMERGENCIAS DURANTE ESTA TARDE</t>
  </si>
  <si>
    <t xml:space="preserve">EN PEREIRA 15 VIVIENDAS ESTÁN AFECTADAS EN PUERTO CALDAS POR INUNDACIÓN, CONSECUENCIA DE LAS FUERTES LLUVIAS Y EL TAPONAMIENTO DE LOS REGISTROS DE AGUA </t>
  </si>
  <si>
    <t xml:space="preserve">RAFAELA PAVA DEL CMGRD DEL MUNICIPIO DE LA PALMA, REPORTA MEDIANTE ACTA 007 DE FECHA 20/05/13, AVALANCHA DE 7 KILOMETROS DE LONGITUD, 12 METROS DE ANCHO Y 3 METROS DE PROFUNDIDAD, OCURRIDA EL DIA 18/05/13 EN LA VEREDA LAS VUELTAS AFECTANDO 2 HECTÁREAS DE CULTIVOS, 1 MARRANERA CON 2 MARRANAS DE CRÍA Y 17 CERDITOS, 1 ENRAMADA PANELERA, 2 VIVIENDAS AVERIADAS, LAS VÍAS LAS VUELTAS - CANCHIMAY TAPONADA POR DERRUMBE, LA PALMA - ZUMBE TAPONAMIENTO CON GRANDES ROCAS Y PACHO - LA HERMOSA CON 2 DERRUMBES DE GRANDES PROPORCIONES. ATIENDE CMGRD. </t>
  </si>
  <si>
    <t>REPORTA QUE SE TRATA DE UNA VIVIENDA EN LA QUE HABITAN 2 ADULTOS Y 1 MENOR, SE PRESENTA DESLIZAMIENTO AL PARECER POR UNA FILTRACIÓN DE AGUAS, SE ESTABLECE COMUNICACIÓN CON LA SEÑORA MARÍA TERESA QUIEN MANIFIESTA QUE ES LA VECINA Y SUMINISTRA EL NUMERAL TELEFÓNICO DE CONTACTO 314.2184555. SE ESTABLECE COMUNICACIÓN CON EL SEÑOR FERNANDO RUIZ PROPIETARIO DEL PREDIO QUIEN MANIFIESTA QUE AL MOMENTO EN LA VIVIENDA NO SE ENCUENTRA NADIE. POR TAL RAZÓN LA VISITA SE PROGRAMARÍA PARA EL DÍA DE MAÑANA EN HORAS DE LA MAÑANA, EL BARRIO EXACTO ES LÍBANO DEL SECTOR DE TOCAIMITA.</t>
  </si>
  <si>
    <t>REPORTAN DEL CMGRD DE TULUA QUE EN HORAS DE LA TARDE SE PRESENTO UN FUERTE AGUACERO EL CUAL DEJA A 60 VIVIENDAS INUNDADAS Y 2 VIVIENDAS AFECTAS PARCIALMENTE, EN ESTE MOMENTO SE REALIZA EDAN POR PAORTE DE LAS ENTIDADES DE SOCORRO.</t>
  </si>
  <si>
    <t>SE ENCUENTRA INCOMUNICADO POR UN DERRUMBE EN LA VEREDA SANTA RITA Y PERDIDA D LA BANCA DE LA CARRETERA EN EL KILÓMETRO 36 POR INUNDACIÓN DEL RIO OPONCITO.</t>
  </si>
  <si>
    <r>
      <t xml:space="preserve"> </t>
    </r>
    <r>
      <rPr>
        <sz val="9"/>
        <rFont val="Arial"/>
        <family val="2"/>
      </rPr>
      <t>REPORTA EL SEÑOR ALCALDE LA CAÍDA DEL PUENTE QUE COMUNICA ESTE MUNICIPIO CON EL DE BARBOSA, TENIENDO QUE REALIZAR EL CRUCE POR EL RIO</t>
    </r>
    <r>
      <rPr>
        <b/>
        <sz val="9"/>
        <rFont val="Arial"/>
        <family val="2"/>
      </rPr>
      <t>.</t>
    </r>
  </si>
  <si>
    <t>EL ABOGADO Y DIRECTOR DEPARTAMENTAL DE LA DEFENSA CIVIL COLOMBIANA, ALFREDO MUÑOZ, INFORMA QUE LA VÍA MARSELLA, VEREDA CARACAS PRESENTA DESLIZAMIENTOS AL IGUAL QUE LA VÍA MARSELLA - CHINCHINÁ EN EL SECTOR DEL KIOSCO. LA VÍA MARSELLA DE LA VERDA BELTRÁN TAMBIÉN PRESENTA OBSTRUCCIONES, AL IGUAL QUE LAS VEREDAS LA MARSELLA, TURQUESA Y LA ARGENTINA. EN MISTRATÓ POR LA VÍA COSTA RICA ESTÁ TAPADA POR CAÍDA DE BANCA. </t>
  </si>
  <si>
    <t>REPORTAN DEL FOAPE QUE EN ELE BARRIO SUBA, SE PRESENTO UN FUERTE AGUACERO, EL CUALA AFECTO VARIAS VIVIENDAS POR INUNDACION A CAUSA DEL REBOSAMIENTO DE ALCANTARILLADO, SALDE BRIGADA DE BOMBEROS CON MOTOBOMBAS AL SECTOR.</t>
  </si>
  <si>
    <t>REPORTAN DEL CDGRD DE CHOCO, EN EL MUNICIPIO DE TADO UNA MINA SE PRESENTO UN DESLIZAMIENTO  , HAY UNA PERSONA DESAPARECIDA , LA CRUZ ROJA ESTA ATENDIENDEO LA EMERGENCIA.</t>
  </si>
  <si>
    <t>EN LA VÍA QUE COMUNICA EL MUNICIPIO CON VELEZ, SITIO CONOCIDO COMO CORREGIMIENTO DE CACHIPAY, SE PRESENTÓ DESLIZAMIENTO DE TIERRA TAPONANDO TOTALMENTE DE LA CARRETERA QUE COMUNICA ESTOS MUNICIPIOS. MAQUINARIA DEL MUNICIPIO SE ENCUENTRA TRABAJANDO PARA EL DESTAPE DE LA VÍA. INFORMAN QUE  DESDE EL 08-05-13 LA VÍA QUE COMUNICA EL MUNICIPIO CON VELEZ, EN SITIO CONOCIDO COMO CORREGIMIENTO DE CACHIPAY, SE ENCUENTRA CON PASO A UN CARRIL POR DESLIZAMIENTO DE TIERRA EN LA CARRETERA QUE COMUNICA ESTOS MUNICIPIOS. MAQUINARIA DEL MUNICIPIO SE ENCUENTRA TRABAJANDO PARA DESTAPAR LA VÍA. (CONTINUA)</t>
  </si>
  <si>
    <t xml:space="preserve">ALCALDIA DE VILLAHERMOSA, ENVÍA POR  CORREO ELÉCTRONICO, AFECTACIÓN POR AVALANCHA Y DESBORDAMIENTO DE QUEBRADA, VÍAS SECUNDARIAS Y TERCIARIAS QUE SE ENCUENTRAN COLAPSADAS, ENTRE ELLAS LA VÍA VILLAHERMOSA-LÍBANO,  LA CUAL EN EL DÍA DE HOY QUEDÓ TOTALMENTE TAPADA POR UNA AVALANCHA Y EL DESBORDAMIENTO DE UNA QUEBRADA QUE CORREN POR LA VÍA IMPIDIENDO EL PASO Y  DEJÁNDONOS INCOMUNICADOS ASÍ MISMO LA VÍA QUE NOS COMUNICA  CON EL MUNICIPIO DE  CASABIANCA, LA CUAL PRESENTA PERDIDA DE LA BANCA EN DIFERENTES PUNTOS; TAMBIÉN LAS VÍAS   TERCIARIAS SE ENCUENTRAN INTRANSITABLES  POR LOS  CONSTANTES DESLIZAMIENTOS, FORMACIÓN DE LODAZALES, PERDIDA DEL BALASTRO, SITUACIÓN EN DESARROLLO.
</t>
  </si>
  <si>
    <t>D.C.C., INFORMA, SE PRESENTÓ, DESLIZAMIENTO EN LA VÍA , CORREGIMIENTO DE: SAN ANTONIO DEL PESCADOR, VEREDA: BUENOS AIRES.</t>
  </si>
  <si>
    <t>D.C.C., INFORMA, INUNDACIONES EN LA ZONA URBANA, 10 FAMILIAS AFECTADAS.</t>
  </si>
  <si>
    <t>D.C.C., INFORMA DE DESLIZAMIENTO EN LA ZONA URBANA, AFECTADA: 1 FAMILIA.</t>
  </si>
  <si>
    <t>D.C.C., INFORMA DESBORDAMIENTO DE LA QUEBRADA: EL PINTAL,  CORREGIMIENTO: QUEBRADA NEGRA, AFECTANDO: 5 FAMILIAS.</t>
  </si>
  <si>
    <t>EN HORAS DE LA MADRUGADA SE PRESENTO UN DESLIZAMIETO, AFECTANDO UNA VIVIENDA , DEJA A 4 PERSONAS LESIONADAS ,LAS CUALES FUERON TRANLADADAS A HOSPITAL LOCAL.</t>
  </si>
  <si>
    <t>UNA TRACTOMULA QUE TRANSPORTABA CRUDO SE ACCIDENTÓ Y CONTAMINÓ LA QUEBRADA EL CEDRO, QUE A SU VEZ DESEMBOCA EN EL RÍO GUACHICOS, AFLUENTE QUE NUTRE EL ACUEDUCTO DE PITALITO. EN LA ZONA, ANOCHE HACÍAN PRESENCIA UNIDADES DEL CUERPO DE BOMBEROS VOLUNTARIOS DE PITALITO Y DE LA DEFENSA CIVIL, QUIENES HAN INFORMADO QUE EXISTE UN VERTIMIENTO PEQUEÑO, QUE CAYÓ SOBRE UNA FUENTE QUE SURTE LA QUEBRADA EL CEDRO, LA CUAL A SU VEZ, ES EL PRINCIPAL AFLUENTE DEL RÍO GUACHICOS, DEL CUAL SE SURTE EL ACUEDUCTO MUNICIPAL DE PITALITO. EN CONSECUENCIA, COMO MEDIDA PREVENTIVA SE SUSPENDIÓ EL SERVICIO DE AGUA POTABLE EN ESTA POBLACIÓN DEL SUR DEL HUILA. EL ACCIDENTE SE REGISTRÓ EN LA VEREDA EL CEDRO DEL CORREGIMIENTO DE BRUSELAS DE ESTE MUNICIPIO SUREÑO, SOBRE LA VÍA NACIONAL PITALITO-MOCOA (PUTUMAYO), EN EL KILÓMETRO 102 +250 METROS.</t>
  </si>
  <si>
    <r>
      <t>INUNDACIONES EN VIVIENDAS DE LAS COMUNAS 1. 2 Y 7, EN VÍAS PÚBLICAS CERCANAS A LA FERIA DE GANADOS Y ÉSTE ÚLTIMO SECTOR, EN LOS BAJOS DEL VIADUCTO DE LA AUTOPISTA NORTE, UN AUTOMÓVIL QUEDÓ ATRAPADO Y SU CONDUCTOR TUVO QUE SER RESCATADO</t>
    </r>
    <r>
      <rPr>
        <sz val="11"/>
        <rFont val="Arial"/>
        <family val="2"/>
      </rPr>
      <t>.</t>
    </r>
  </si>
  <si>
    <t>EN LA TARDE, EN EL BARRIO VILLA SOFÍA, DE ROBLEDO, SE TUVO QUE RECURRIR A LA EVACUACIÓN DE SEIS FAMILIAS, HABITANTES DE IGUAL NÚMERO DE VIVIENDAS, AFECTADAS POR UN CORRIMIENTO DE TIERRAS DESESTABILIZADAS POR EL INVIERNO Y POR UN TRABAJO NO AUTORIZADO DE BANQUEO, ADELANTADO POR UN PARTICULAR EN ESE SECTOR</t>
  </si>
  <si>
    <t>SE PRESENTARON PORQUE SE DESBORDO EL RIO MORALES. EN EL CORREGIMIENTO DE AGUABLANCA SE AFECTARON 4 VIVIENDAS PERDIDA DE ENCERES. HABITAN APROXIMADAMENTE 20 PERSONAS NO HUBO NECESIDAD DE EVACUAR, EN EL CORREGIMIENTO NARIÑO SE INUNDARON LOS SITIO  CALLEJÓN EL MEJORAL, CALLEJON CARACAS Y CALLEJÓN BUENAVENTURA SE AFECTARON 60 VIVIENDAS EN LAS CUALES HABITAN APROXIMADAMENTE 300 PERSONAS PERDIDAS DE ENCERES NO HUBO NECESIDAD DE EVACUAR. COMANDO BOMBERO NORBERTO ORTIZ EN LA MAQ # 4 CON 4 UNIDS. RPTO SARGENTO ZAPATA ANCIZAR</t>
  </si>
  <si>
    <t>SE PRESENTO PORQUE SE TAPONARON LAS ALCANTARILLAS. SE AFECTARON 3 VIVIENDAS EN LAS CUALES HABITAN 6 PERSONAS CONTROLADO SIN NOVEDAD. COMANDO BOMBERO ALEXANDER MATA EN LA MAQ # 5 CON 8 UNIDS. RPTO SUBTENIENTE BERTHA BETANCOURT</t>
  </si>
  <si>
    <t>CDGRD, CMGRD, BOMBEROS Y SECRETARIA DE MEDIO AMBIENTE DEL MUNICIPIO, REPORTAN INUNDACION A CAUSA DEL DESBORDAMIENTO EN RIBERAS DEL RIO ROSARIO, EN LA CLL 1 SUR CON CRA 15, EL AGUA LLEGA A GARAJES DE VIVIENDAS, IGUALMENTE EN BARRIO ADRIANITA TRANSVERSAL 5D CON CLL 12, SACHAMATE Y BELLO HORIZONTE, AVENIDA CAÑAS GORDAS CAIDA DE ARBOLES, EN DESARROLLO</t>
  </si>
  <si>
    <t>FERNANDO QUESADA SECRETARIO DE PLANEACIÓN DEL MUNICIPIO DE ARBELÁEZ, REPORTA MEDIANTE ACTA  DEL CMGRD NUMERO 002 DE FECHA 06/05/13, REPORTA VENDAVAL OCURRIDO EL DÍA 05/05/13 QUE DEJO LAS SIGUIENTES AFECTACIONES: VÍAS TERCIARIAS AFECTADAS 8, VIVIENDAS AVERIADAS 2, ALCANTARILLADO VÍA TENERIFE SAN MIGUEL 1, PUENTE COLGANTE SAN ANTONIO SAN MIGUEL 1. SE QUEMARON 10 TRANSFORMADORES Y SE CAYERON 15 REDES ELÉCTRICAS DE LO CUAL CODENSA ATIENDE, LAS DEMÁS AFECTACIONES SON ATENDIDAS POR EL CMGRD DEL MUNICIPIO.</t>
  </si>
  <si>
    <t>CDGRD REPORTA POR INFORMACION RECIBIDA DE MEDIO ATRATO HASTA EL DIA DE HOY, AFECTACION  POR VENDAVAL EN COMUNIDADES INDIGENAS CERCANAS AL RIO BUEY, REALIZAN EVALUACION DE DAÑOS, EN SEGUIMIENTO.</t>
  </si>
  <si>
    <t>CDGRD Y DIRECCION NACIONAL DE BOMBEROS REPORTAN INUNDACION EN ESTE MUNICIPIO POR DESBORDAMIENTO DE LAS QUEBRADAS LA CRUZ Y LA GALLINERA APROXIMADAMENTE AFECTACION EN 77 VIVIENDAS DE LOS BARRIOS LA PLATA, TRAPICHE, CICLO, LA BOMBA, PILSEN, NO HERIDOS AL MOMENTO, PERDIDA DE ENSERES, ACUEDUCTO AFECTADO EN UNO DE LOS MUROS DE LA BOCATOMA, SERVICIO DE AGUA SUSPENDIDO, ADELANTARAN LABORES EN LAS PRIMERAS HORAS DE LA MAÑANA, SITUACION EN DESARROLLO.</t>
  </si>
  <si>
    <t>CDGRD RWEPORTA AFECTACION EN ESTE MUNICIPIO POR FUERTES LLUVIAS, 3 FAMILIAS, 3 VIVIENDAS, BARRIOS BUENAVISTA, CIUDADELA , IGUALMENTE EN ZONA RURAL VEREDA PUEBLO RICO SE HAN ENTREGADO TEJAS DE ZIN Y ETERNIT, ATIENDE CMGRD.</t>
  </si>
  <si>
    <t>CDGRD REPORTE EN ESTE MUNICIPIO AFECTACION POR LLUVIAS EN 1 VIVIENDA, 1 FAMILIA, SE ENTREGA AYUDA EN TEJAS Y ATIENDE CMGRD.</t>
  </si>
  <si>
    <t>CDGRD REPORTA INUNDACION  CORREGIMIENTO EL SALTO - CINCO (5) VIVIENDAS AFECTADAS POR COLAPSO DE ALCANTARILLADO, LA EMERGENCIA ES COMPARTIDA CON EL MUNICIPIO DE BUGALAGRANDE</t>
  </si>
  <si>
    <t>CDGRD SECTOR LA BARRA ENTRE LOS CORREGIMIENTOS DE JUANCHACO Y LADRILLEROS, DONDE LA EROSIÓN MARÍTIMA HA DESTRUIDO CINCO VIVIENDAS Y EXISTE LA POBLACIÓN EN ALTO RIESGO, ESTA DEPENDENCIA TIENE PROGRAMADA UNA VISITA PARA LA SEMANA DEL 27 DE MAYO DE 2013 Y ELABORAR EL INFORME TÉCNICO  EN COMPAÑÍA DE LOS SERVIDORES PÚBLICOS DE VIVIENDA E INFRAESTRUCTURA</t>
  </si>
  <si>
    <t>CDGRD REPORTA DESLIZAMIENTO EN LA VEREDA ACHUPAGA AFECTANDO 1 ESCUELA, REALIZARAN RESPECTIVA ATENCION.</t>
  </si>
  <si>
    <t xml:space="preserve">NIDIA MILENA HERNÁNDEZ, DEL C.M.G.R.D. DE CAPARRAPÍ, REPORTA DAÑOS POR FALLAS TÉCNICAS EN LA RED DE CONDUCCIÓN DEL ACUEDUCTO MUNICIPAL A LA ALTURA DE LA QUEBRADA LAS NIÑAS, OCURRIDO AYER 22/05/2013  A LAS 16:30 HORAS, LO CUAL DEJA SIN SERVICIO DE AGUA POTABLE A 500 FAMILIAS ( 2500 PERSONAS) </t>
  </si>
  <si>
    <t>SE PRESENTA UN INCENDIO ESTRUCTURAL EN LA VIVIENDA DEL SEÑOR:CARLOS A. ZEA DONDE SE VE AFECTADO UN LOCAL.SE QUEMAN ALGUNOS ENSERES COMO NEVERA,VITRINA Y ESTUFA</t>
  </si>
  <si>
    <t>DEBIDO A LAS FUERTES LLUVIAS EN HORAS DE LA NOCHE SE PRESENTAN INUNDACIONES EN DOS BARRIOS DONDE SEVEN AFECTADAS DOS VIVIENDAS POR COLMATACION DEL ALCANTARILLADO.NO SE MOJAN ENSERES.TAMBIEN SE CORTA UN ARBOL  EN LA AVENIDA CAÑASGORDAS QUE ESTABA IMPIDIENDO EL PASO VEHICULAR.</t>
  </si>
  <si>
    <t>DEBIDO A FUERTE AGUACERO EN HORAS DE LA TARDE SE PRESENTA UNA INUNDACIÓN POR AGUAS LLUVIAS Y OBSTRUCIÓN DEL ALCANTARILLADO EN BODEGAS DESPULPADORAS DE FRUTAS.SE UTILIZA MOTOBOMBA PARA SACAR EL AGUA Y SE HACE MANTENIMIENTO A LOS DESAGUES.</t>
  </si>
  <si>
    <t>SE REGISTRNA FUERTES LLUVIAS EN LA MAÑANA DE HOY EN LA CIUDAD DE ARMENIA , AFECTADO A 3 VVIENDAS EN EL LA COMUNA 7, ATENDIO BOMBEROS , DCC Y CRC.</t>
  </si>
  <si>
    <t>POR LAS LLUVIAS REGISTRADAS EN LAS ULTIMAS HORAS, SE HA PRESENTADO VARIOS DESLIZAMIENTOS EN LA ZONA RURAL  DE LA VEREDA SABANA DE LEON , AFECTO UN PUENTE VEHICULAR.</t>
  </si>
  <si>
    <t>CDGRD REPORTA SE PRESENTA TAPONAMIENTO POR INUNDACIÓN SOBRE LA AUTOPISTA QUE DE  FLORIDABLANCA CONDUCE A PIEDECUESTA SECTOR DE LA ESPAÑOLITA. INFORMA BOMBEROS PIEDECUESTA QUE EN EL BARRIO LOS TEJADITOS, POR TAPONAMIENTO DE CAÑOS SE PRODUJO INUNDACIÓN DE 15 VIVIENDAS SITUACION IGUALMENTE EN DESARROLLO.
APOYO DEL FNGRD MEDIANTE SUBSIDIO DE ARRIENDO TEMPORAL PARA 25 FAMILIAS AFECTADAS POR LAS INUNDACIONES ASI: 22 FAMILIAS A RAZON DE $250.000 POR TRES MESES Y 3 A RAZON DE $300.000 DURANTE TRES MESES.</t>
  </si>
  <si>
    <t>CDGRD DE ANTIOQUIA, INFORMA, DESLIZAMIENTO, AFECTANDO: 1 FAMILIA, 5 PERSONAS.</t>
  </si>
  <si>
    <t>CDGRD DE ANTIOQUIA, INFORMA, DESLIZAMIENTO ANOCHE: PÉRDIDA DE BANCA EN VÍA A FRONTINO, CASI 6 KILÓMETROS AFECTADOS. NIÑOS DESESCOLARIZADOS, NÚMERO POR CONFIRMAR.</t>
  </si>
  <si>
    <t>CDGRD DE ANTIOQUIA, INFORMA, EN EL CORREGIMIENTO DE:  BOLOMBOLO. PÉRDIDA DE BANCA EN VÍA SECUNDARIA DEPARTAMENTAL. 160 NIÑOS DESESCOLARIZADOS.</t>
  </si>
  <si>
    <t xml:space="preserve">CDGRD DE ANTIOQUIA, INFORMA, DERRUMBE ANOCHE: AFECTANDO LAS VEREDAS DE PUENTE IGLESIAS, MI CASITA, LA MINA. AFECTADO TAMBIÉN EL PUENTE VEHICULAR SOBRE LA QUEBRADA EL CERRO.
DERRUMBE A 3 KILÓMETROS DEL CASCO URBANO, VÍA LA MÁQUINA,  ZONA RURAL, VÍA TERCIARIA COLAPSÓ A LA ALTURA DE MURRAPAL, EN VEREDA EL PLAN 1 VIVIENDA AFECTADA, EN VEREDA LA MARÍA, 1 BANCA AFECTADA, SITUACIONES EN DESARROLLO.
</t>
  </si>
  <si>
    <t>CDGRD DEL TOLIMA, INFORMA, DESBORDAMIENTO DE LA QUEBRADA: LA CHICHA, AFECTANDO 30 FAMILIAS, 1 VIVIENDA DESTRUIDA POR DESLIZAMIENTO, BARRIOS: MODELIA, PROTECHO, SITUACIÓN EN DESARROLLO.</t>
  </si>
  <si>
    <t>CDGRD DEL VALLE DEL CAUCA, INFORMA, INUNDACIONES A RAIZ DE FUERTES LLUVIAS DESDE LAS 06:00 AM, 3 VIVIENDAS AFECTADAS EN EL BARRIO. PORVENIR, 1 CENTRO EDUCATIVO DE NOMBRE. SAGRADO CORAZÓN DE JESUS, SE PRESENTAN VARIOS DESLIZAMIENTOS EN LA ZONA RURAL, SITUACIÓN EN DESARROLLO.</t>
  </si>
  <si>
    <t>CMGRD DE GUACARI, INFORMA, INUNDACIONES, CORREGIMIENTO. SONSO, 26 FAMILIAS AFECTADAS, CONTINUAN REALIZANDO EDAN.</t>
  </si>
  <si>
    <t>CDGRD DEL VALLE, INFORMA, DESLIZAMIENTO ,  ACOMPANADO DE LLUVIAS, CORREGIMIENTO DE: SALONICA, 2 FAMILIAS AFECTADAS.</t>
  </si>
  <si>
    <t>CMGRD EL CONTADERO INFORMA SOBRE AFECTACION EL DIA 22 DE MAYO EN HORAS DE LA TARDE EN VEREDA SAN FRANSISCO 1 VIVIENDA EN RIESGO, VEREDA JOSEFINA 1 VIVIENDA DESTRUIDA, 2 FAMILAS, 10 PERSONAS AFECTADAS.</t>
  </si>
  <si>
    <t>CDGRD DEL HUILA, INFORMA,  POR FUERTES LLUVIAS EN HORAS DE LA MAÑANA BARRIO SAN MARTIN,  SE PRESENTÓ INUNDACION, DE 12 VIVIENDAS POR REPRESAMIENTO DEL AGUA DEBIDO A UNA OBRA QUE SE CONSTRUYE EN EL SECTOR Y KE FAVORECIO EL EVENTO; NO HUBO DANOS ESTRUCTURALES NI MATERIALES. EN BARRIO 7 DE AGOSTO 20 VIVIENDAS INUNDADAS POR INSUFICIENCIA DE ALCANTARILLADO, NO HUBO DANOS NI MATERIALES NI ESTRUCTURALES.</t>
  </si>
  <si>
    <t>CDGRD DEL HUILA, INFORMA, BARRIO BRISAS SE PRESENTÓ, UN DESLIZAMIENTO EN CALLE 8 NO. 15-55 EL CUAL AFECTO DOS VIVIENDAS, AFECTACIÓN DAÑOS, EN ENSERES MUEBLES Y ROPA. ASI MISMO EN LA CALLE 1A. C BIS NO. 15 A 02 SE PRESENTO EN UNA VIVIENDA EL DESPLOME DEL TECHO DE UNA HABITACION AFECTANDO Y AGRIETANDO UNA PARED; DAÑOS EN ENSERES EN GENERAL.</t>
  </si>
  <si>
    <t>CDGRD DE ANTIOQUIA, INFORMA, CORREGIMIENTO DE: VILLANUEVA, CRECIENTE DEL RÍO PORCE, AFECTADAS. 40 VIVIVENDAS.</t>
  </si>
  <si>
    <t>CDGRD DE ANTIOQUIA, INFORMA, DESLIZAMIENTO EN LA VEREDA: LA TEBAIDA, 1 VIVIENDA DESTRUIDA, 3 VIVIENDAS AVERIADAS, SIN LESIONADOS.</t>
  </si>
  <si>
    <t xml:space="preserve">CMGRD DE ARMENIA, INFIORMA,  ESTA HORA EL CUERPO OFICIAL DE BOMBEROS DE ARMENIA CON EL ACOMPAÑAMIENTO DE LA OMGERD, LA POLICÍA NACIONAL Y LA EDEQ ATIENDEN UN INCENDIO QUE  SE REGISTRA EN UN LOCAL COMERCIAL UBICADO EN LA CARRERA 16 CON CALLE EN EL CENTRO DE LA CIUDAD. LAS AUTORIDADES QUE  EN ESTOS MOMENTO ADELANTAN UNA VENTILACIÓN MECÁNICA PARA EXTRAER EL HUMO DEL LUGAR Y DE ESTE MODO PODER ESTABLECER EL MOTIVO DE LA CONFLAGRACIÓN QUE  YA FUE CONTROLADA, SITUACIÓN EN DESARROLLO.
</t>
  </si>
  <si>
    <t>REPORTA COLAPSO ESTRUCTURAL DE UNA VIVIENDA EN LA CALLE 1 # 15- 86 DEL BARRIO SAN JUDAS, OCASIONANDO 4 PERSONAS LESIONADAS, ATENDIERON BOMBEROS Y DEFENSA CIVIL, REPORTE PRENSA LOCAL.</t>
  </si>
  <si>
    <t>POR LAS FUERTES LLUVIAS REGISTRADAS EN LA ZONA LOS RIOS PEREIRA Y  MOCHO SE DESBORDARON E INUNDARON VARIOS BARRIOS DEL MUNICIPIO DE LA PAZ, LOS BOMBEROS ATIENDEN LA EMERGENCIA A ESTA HORA.</t>
  </si>
  <si>
    <t>SE PRESENTA INUNDACIONES EN EL CASCO URBANO, POR EL RIO DE ORO.</t>
  </si>
  <si>
    <t>CON LAS MAQUINAS DEL MUNICIPIO SE RESTABLECIÓ EL PASO POR EL TAPONANDO  DE LA BATEA DE LA CARRETERA QUE DEL MUNICIPIO CONDUCE A LAS VEREDAS DE LAS VUELTAS, BOQUERÓN Y CON LOS MUNICIPIOS DE EL PALMAR Y HATO.</t>
  </si>
  <si>
    <t xml:space="preserve">CDGRD DE SANTANDER, REPORTA COMANDANTE BOMBEROS QUE SIENDO LAS 13:00 HORAS SE APAGÓ EL INCENDIO DE LA VEREDA BUENAVISTA FINCA LOS YUCOS QUE SE HABÍA INICIADO EL DÍA DE AYER 27-03- 2013 A LAS 17:00 HORAS. LA QUEMA SE PRODUCE EN TERRENOS ÁRIDOS, CON PASTOS, VEGETACIÓN NATIVA CON UN TOTAL DE 8 HECTÁREAS. POR LO DESPOBLADO DEL SECTOR NO SE PRESENTÓ AFECTACIÓN DE VIVIENDAS NI DE PERSONAS. PERSONAL  OMBEROS Y CAMPESINOS DE LA REGIÓN LOGRARON APAGAR EL INCENDIO.
</t>
  </si>
  <si>
    <t xml:space="preserve">BARRIOS HUAPANGO, SAAVEDRA, GALINDO, EL DORADO, VILLA DEL RIO, VEREDAS ALTO ED GUASCAS, LA MAGDALENA </t>
  </si>
  <si>
    <t xml:space="preserve">REPORTA DESLIZAMIENTO EN VIA AL CORREGIMIENTO DE HERRERA, DONDE UN DESLIZAMIENTO CON AGUAS DE ESCORRENTIA DEJA DAMNIFICADAS A DOS FAMILIAS, 2 VIVIENDAS AVERIADAS, 10 PERSONAS, CON PERDIDA DE MUEBLES Y ENCERES DE NOMBRES FERNANDO MOSQUERA Y SANDRA CASTAÑO Y EL ALUD QUE COLAPSA COMPLETAMENTE 1 VIVIENDA DEL SEÑOR FRANCISCO JAVIER PALOMINO CON PERDIDA TOTAL, 1 FAMILA, 5 PERSONAS, SE REALIZA LA VERIFICACION POR LOS ORGANISMOS DE SOCORRO Y CMGRD.
</t>
  </si>
  <si>
    <t>EN HORAS DE LA TARDE DEL DIA 24 DE MAYO , EN ZONA RURAL DE TAURAMENA EN LA VEREDA FARALLONES SE PRESENTO UNA CRECIENTE SUBITA DEL RIO TAURAMENA EL CUAL ARROLLO A DOS PERSONAS QUE SE ENCONTRABNA PASANDO EN ESE MOMENTO, DOS HORAS  DESPUES ENCONTRARON A LOS CUERPOS SIN VIDA, PARTICIPARON EN BUSQUEDAD LAS ENTIDADES OPERATIVAS DCC, CRC Y BOMBEROS VOLUTARIOS.</t>
  </si>
  <si>
    <t>EL DESBORDAMIENTO DEL RÍO CAGUÁN TIENE INUNDADAS TRECE VEREDAS, MÁS DE 200 FAMILIAS HAN SALIDO AFECTADAS POR LA CRECIENTE EN ZONA RURAL DE CARTAGENA DEL CHAIRÁ.MÁS DE 200 FAMILIAS HAN RESULTADO AFECTADAS POR LAS INUNDACIONES QUE SE PRESENTARON AYER EN LA ZONA DEL BAJO CAGUÁN EN CARTAGENA DEL CHAIRÁ, DONDE EL CAUCE DEL  RÍO MÁS IMPORTANTE DE LA ZONA, SE DESBORDÓ, DEJANDO HASTA EL MOMENTO VARIAS FINCAS AFECTADAS Y CULTIVOS DE PAN COGER ARRASADOS POR LAS AGUAS</t>
  </si>
  <si>
    <t>EN LA NOCHE DEL 24 DE MAYO SE PRESENTO UN FUERTE AGUACERO  DESBORDANDO EL RIO CATARINA EN LOS SECTORES DE CALABAZA, EN LAS HACIENDAS MARACAIBO,VERAGUAS, LA ESCUELA DE CATARINA Y TILAPES. LA PLAYA , REAL BRILLANTE Y LA CABAÑA Y LA ONDURA.</t>
  </si>
  <si>
    <t>REPORTAN DEL CDGRD DE META, QUE LE SEÑOR  LUIS ALBERTO SALCEDO QUE HABIA CAIDO EN LA QUEBRADA DE AGUAS CLARAFUE ENCONTRADO EN EL  RIO ARIARI , LOS ORGANISMOS DE SOCORRO REALIZARON EL RESCATE DEL CUERPO. CON ESTO SE CIERRA EL CASO DE UNA PEROSNA DESAPARECIDA EN EL LA QUEBRA DE AGUAS CLARAS.|</t>
  </si>
  <si>
    <t>REPORTA DESLIZAMIENTO CERCA AL TANQUE DE ALMACENAMIENTO DE AGUA POTABLE DEL ACUEDUCTO DEL CORREGIMIENTO DE EL SOCORRO, EL CDGRD DESPLAZO COMISION A LA ZONA LA CUAL DETERMINO  DECLARAR EN ALERTA NARANJA A 90 VIVIENDAS Y REALIZAR MONITOREO PERMANENTE AL TERRENO, PUNTOS DE ENCUENTRO PARA LA POBLACION CIRCUNVECINA AL DESLIZAMIENTO, SE ENCONTRARON FISURAS EN EL TANQUE EL CUAL CONTENIA 35 MIL LITROS DE AGUA LOS CUALES HUBO LA NECESIDAD DE VACIAR POR EL RIESGO, SE ORDENA LA DEMOLICION DEL TANQUE. REPORTA CITEL CDGRD ANTIOQUIA.</t>
  </si>
  <si>
    <t>INFORMA DCC INUNDACIONES EN LA VEREDA JAGUA FLOR, SE ENCUENTRAN REALIZANDO EL CENSO CORESPONDIENTE.</t>
  </si>
  <si>
    <t>INFORMA COORDINADOR CMGRD AUMENTO DEL CAUDAL RIO LUISA POR LAS FUERTES LLUVIAS QUE ESTAN CAYENDO EN LA REGION, A LAS 4.00AM SE PRESENTO UNA BOMBADA, SE DA AVISO AL COORDINADOR DEL CMGRD DEL  GUAMO PARA ESTAR ALERTA PARA CUANDO ESTA BOMBADA PASE POR EL MUNICIPIO.</t>
  </si>
  <si>
    <t xml:space="preserve">GUALANDAY INFORMA DCC INUNDACIONES EN EL BARRIO LAS BRISAS POR INSUFICIENCIA DE COLECTOR DE LAS AGUAS LLUVIAS, 4 FAMILIAS DAMNIFICADAS. INFORMA COORDINADOR CMGRD DESBORDAMIENTO DE 2 QUEBRADAS: LA LORA EN LA VEREDA 2 QUEBRADAS Y QUEBRADA CHAGUALA EN LA VEREDA CHAGUALA CENTRO, ORGANISMOS DE SOCORRO NO HAN PODIDO PASAR PARA HACER EL RESPECTIVO CENSO DE AFECTACIONES. </t>
  </si>
  <si>
    <t>INFORMA DC, DESBORDAMIENTO DE LA QUEBRADA LA CALERA EN LA VEREDA 2 QUEBRADAS, SIN FAMILIAS AFECTADAS,PERDIDA DE ALGUNOS CULTIVOS. VEREDA CHAGUALA: DESBORDAMIENTO DE LA QUEBRADA CHAGUALA,ORGANISMOS DE SOCORRO NO INGRESARON A LA VEREDA  PORQUE NO SE PUDO CRUZAR LA QUEBRADA,PERDIDA DER SEMOVIENTES. INCOMUNICADO EL NORTE DEL MUNICIPIO POR DESBORDAMIENTO DE LA QUEBRADA LA LUCHA.</t>
  </si>
  <si>
    <t>EN LA NOCHE ANTERIOR SE PRESENTO UN VENDAVAL AFECTANDO A DOS VIVIENDAS, EL CMGRD SALE A REALIZAR EDAN.</t>
  </si>
  <si>
    <t>POR LO MENOS 10 BARRIOS DEL NORTE DE CALI AFECTARON POR INUNDACIONES  LOS BARRIOS NACIONAL, FLORALIA, CONFENALCO, GUADUALES, BRISAS DE LOS ÁLAMOS, Y CALIMIO NORTE, EN DONDE COLAPSÓ EL SISTEMA DE ACUEDUCTO Y ALCANTARILLADO INUNDANDO LAS CALLES, HASTA EL PUNTO QUE LAS AGUAS INUNDARON VARIAS VIVIENDAS. EL RÍO CALI A LA ALTURA DE LA CARRERA PRIMERA, ALCANZÓ UNA ALTURA DE 1 METRO CON 62, 80 CENTÍMETROS POR DEBAJO DE LOS NIVELES DE INUNDACIONES, DIJO RODRIGO ZAMORANO, DIRECTOR DEL CONSEJO MUNICIPAL DE ATENCIÓN DE DESASTRES DE CALI.</t>
  </si>
  <si>
    <t xml:space="preserve">A LAS 14:30 HORAS, INFORMA POLICÍA QUE EN LA VEREDA DE MORARIO, FINCA SAN GERARDO, UN OBRERO DE LA FINCA, CUANDO CAMINABA POR LA ORILLA DE UN LAGO, SE CAYÓ ACCIDENTALMENTE AL MISMO Y HASTA EL MOMENTO NO HA SIDO POSIBLE SU RESCATE DEL FONDO DEL LAGO. </t>
  </si>
  <si>
    <t>DESDE LAS PRIMERAS HORAS SE ESTA REGISTRANDO UN FUERTE AGUACERO ACOMPAÑADO DE VIENTOS HURACANDOS E INUNDACIONES AL MOMENTO SE REALIZA EDAN.</t>
  </si>
  <si>
    <t>REPORTA A CAUSA DE FUERTES LLUVIAS SE DESBORDARON LOS ARROYOS MAPURINCE Y LA PAVA, INUNDANDO 10 BARRIOS, SE PRESENTO CAIDA DE TECHOS Y MUROS DE LAS VIVIENDAS,  300 FAMILIAS AFECTADAS, EL CMGRD SE ENCUENTRA REALIZANDO EDAN, SITUACION EN DESARROLLO.</t>
  </si>
  <si>
    <t>REPORTA AVALANCHA A CAUSA DE FUERTES LLUVIAS EN LA ZONA DE VILLA NUEVA AFECTANDO 3 VIVIENDAS, HAY CIERRE TOTAL DE LA VÍA QUE COMUNICA AL MUNICIPIO CON EL MUNICIPIO DE TUMACO, SE PRESENTAN DERRUMBES EN LA VÍA, EL CMGRD ESTA REALIZANDO EDAN. REPORTA CDGRD, SITUACION EN DESARROLLO.</t>
  </si>
  <si>
    <t>INFORMA DIRECTOR SECCIONAL SOBRE: VIENTOS HURACANADOS EN HORAS DE LA MADRUGADA PROVOCAN EL DESTECHAMIENTO DE 20 VIVIENDAS EN EL CASCO URBANO Y 10 EN LA VEREDA EL PORVENIR</t>
  </si>
  <si>
    <t>D.C.C., INFORMA,  SOBRE LAS 13:30 HORAS, SE PRESENTÓ INCENDIO ESTRUCTURAL,  EN SECTOR DE INVACION, CON AFECTACION DE CASAS DE ESTERILLA, MADERA Y GUADUA, CAUSAS AUN NO CONFIRMADAS.</t>
  </si>
  <si>
    <t>D.C.C., INFORMA, VENDAVAL, ACOMPAÑADO DE LLUVIAS, DEJANDO, AFECTACIÓN EN 18 CASAS,  EN EL CORREGIMIENTO DE PERENDENGUE.</t>
  </si>
  <si>
    <t>D.C.C., INFORMA, DÍA DE HOY SE PRESENTARON, FUERTES VIENTOS, DEJANDO, 17 FAMILIAS AFECTADAS, BARRIOS: CORAZÓN DE JESÚS Y VILLA VICTORIA DEL MUNICIPIO DE SAN PEDRO.</t>
  </si>
  <si>
    <t>D.C.C., INFORMA, DÍA DE HOY SE PRESENTÓ, EMERGENCIA EN EL CORREGIMIENTO LAS FLORES POR DESCARGA ELÉCTRICA, DEJANDO UN LOCAL COMERCIAL DESTRUIDO .</t>
  </si>
  <si>
    <t>D.C.C., INFORMA, AFECTACIÓN POR FUERTES VIENTOS, EN LOS BARRIOS: LA PAZ, MOCHILA Y SABANAL, 4 FAMILIAS AFECTADAS.</t>
  </si>
  <si>
    <t xml:space="preserve">D.C.C., INFORMA, DÍA DE HOY SE PRESENTÓ EMERGENCIAS, POR FUERTES VIENTOS, DEJANDO ARBOLES CAÍDOS, INTERRUPCIÓN DE FLUIDO ELÉCTRICO, 7 FAMILIAS AFECTADAS. </t>
  </si>
  <si>
    <t>D.C.C., INFORMA, DÍA DE HOY SE PRESENTÓ, FUERTES VIENTOS EN EL MUNICIPIO DE BUENAVISTA, DEJANDO: 5  VIVIENDAS AFECTADAS,  EN EL BARRIO: LA CRUZ.</t>
  </si>
  <si>
    <t>D.C.C., INFORMA, SE PRESENTÓ, VENDAVAL, EN EL MUNICIPIO DE SINCELEJO, 26 FAMILIAS AFECTADAS,  PARTICIPARON 16 LÍDERES VOLUNTARIOS .</t>
  </si>
  <si>
    <t>D.C.C., INFORMA, INCENDIO ESTRUCTURAL, 1 VIVIENDA DESTRUIDA, CONTROL Y MITIGACIÓN DEL INCENDIO.</t>
  </si>
  <si>
    <t>D.C.C., INFORMA, INCENDIO FORESTAL, CONTROL Y EXTINCIÓN DEL FUEGO POR PARTE DE LOS LIDERES VOLUNTARIOS DE LA JUNTA DEFENSA CIVIL DE CHIQUINQUIRÁ.</t>
  </si>
  <si>
    <t>REPORTA SECCIONAL ANTIOQUIA, DESLIZAMIENTO, EN JURISDICCIÓN DEL MUNICIPIO DE JERICÓ, QUE DEJA SALDO:  2  FAMILIAS AFECTADAS,  CON 1 VIVIENDA DESTRUIDA,   1 VIVIENDA AFECTADA,  PARTICIPARON EN OPERACIONES DE ATENCIÓN 20 LIDERES VOLUNTARIOS DCC.</t>
  </si>
  <si>
    <t>REPORTA SECCIONAL ANTIOQUIA, INUNDACIONES POR FUERTES LLUVIAS EN EL CORREGIMIENTO BOLOMBOLO, JURISDICCIÓN DEL MUNICIPIO DE VENECIA, QUE DEJA SALDO DE 184 PERSONAS AFECTADAS, DE 46 FAMILIAS, EN 46 VIVIENDAS,  Y 15 HECTÁREAS DE CULTIVOS AFECTADAS. PARTICIPARON EN OPERACIONES DE ATENCIÓN 30 LIDERES VOLUNTARIOS DCC</t>
  </si>
  <si>
    <t xml:space="preserve">INCENDIO ESTRUCTURAL, EN LA ZONA URBANA, 2 FAMILIAS AFECTADAS, LA JUNTA DE DEFENSA CIVIL DE ITSMINA ATENDIÓ LA EMERGENCIA, SIN LESIONADOS. </t>
  </si>
  <si>
    <t>VENDAVAL,  2 FAMILIAS AFECTADAS, SE DESPLAZARON A LOS DIFERENTES SITIOS, CON HACHAS Y MACHETES, COLABORARON EN EL DESPEJE DE LA VÍA Y REALIZARON EL CENSO.</t>
  </si>
  <si>
    <t>CORREGIMIENTO LAS CRUCES Y BUENOS AIRESVEREDAS CIENAGA, LAS MARIAS, LOS ZAMBOS RIO SAN JORGE.</t>
  </si>
  <si>
    <t>EL CDGRD INUNDACIONES EN EL BARRIO TALURA Y TAMBIEN EN EL COLEGIO MARIANO SANCHEZ DEL MUNICIPIO DEL ESPINAL, SE PIDE APOYO AL COMANDANTE DE BOMBEROS ESPINAL Y DCC AL SEÑOR JAVIER.ATIENDEN NOVEDAD CON 3 OFICIALES Y 7 UNIDADES DE BOMBEROS . EVACUANDO LOS NIÑOS DEL COLEGIO MARIANO SANCHEZ Y SAN ISIDORO, SIN NOVEDAD.</t>
  </si>
  <si>
    <t>MATERIALES  CONSTRUCCION DE 24 ALBERGUES TEMPORALES PARA LA ADMINISTRACION MUNICIPAL, OFICINAS Y BODEGA DE ALMACENAMIENTO, CENTRO DE SERVICIOS COMUNITARIOS, EN LA VEREDA VALDERRAMA DEL MUNICIPIO DE GRAMALOTE, NORTE DE SANTANDER</t>
  </si>
  <si>
    <t>13-0494</t>
  </si>
  <si>
    <t>13-0511</t>
  </si>
  <si>
    <t xml:space="preserve">CMGRD REPORTA DESLIZAMIENTOS EN LAS VIAS HACIA LAS  VEREDAS SANTAROSA, LA FELICIANA, BELLAVISTA, SIN AFECTACION A VIVIENDAS U OTRO. </t>
  </si>
  <si>
    <t>CMGRD INFORMA AFECTADO EL CENTRO EDUCATIVO DE LA VEREDA SAN MIGUEL DE CARIACO Y PERDIDA DE MATERIALES DIDACTICOS POR INUNDACION, REPORTA CDGRD.</t>
  </si>
  <si>
    <t>CMGRD REPORTA AFECTACIONES POR DESLIZAMIENTOS EN LA VEREDA EL ROSARIO ANTES CAUSAQUIRO 14 VIVIENDAS, EN EL SECTOR EL BORDO 5 VIVIENDAS, EN RIESGO PUENTE EL TABLON - SAN JOSE EN LA VEREDA DOÑA JUANA, CORREGIMIENTO DE POMPEYA EN EL SECTOR VILLANUEVA</t>
  </si>
  <si>
    <t>REPORTA AMPARO MARTINEZ DEL CMGRD AFECTACIONES EN LOS BARRIOS CORAZON DE JESUS Y BOLIVAR EN SEGUIMIENTO REPORTA CDGRD</t>
  </si>
  <si>
    <t>CMGRD INFORMA QUE HOY A LAS 4:30 SE PRESENTO UNA INUNDACION EN UNA VIVIENDA CONFORMADA POR 2 FAMILIAS DE 8 PERSONAS EN EL BARRIO LA PALMA ATENDIO BOMBEROS Y ENTREGO AYUDA DE PRIMER NIVEL REPORTA CDGRD.</t>
  </si>
  <si>
    <t xml:space="preserve">CMGRD INFORMA EN EL BARRIO OBRERO COLAPSO DE MURO PRINCIPAL, RIESGO DE COLAPSO DE TECHO, REPORTA CDGRD. </t>
  </si>
  <si>
    <r>
      <t xml:space="preserve">INFORMA EL SEÑOR JAVIER DELGADO DE OFICINA DE PRENSA - ROLANDO ARAUJO DE GOBIERNO Y PEDRO PABLO DE CMGRD RICAURTE REPORTA AVANACHA EN VILLA NUEVA AFECTADA </t>
    </r>
    <r>
      <rPr>
        <b/>
        <sz val="9"/>
        <rFont val="Arial"/>
        <family val="2"/>
      </rPr>
      <t>3</t>
    </r>
    <r>
      <rPr>
        <sz val="9"/>
        <rFont val="Arial"/>
        <family val="2"/>
      </rPr>
      <t xml:space="preserve"> VIVIENDAS, ESTAS 3 FAMILIAS EVACUADAS HACIA SUS FAMILIARES, EN SAN ISIDRO AFECTADAS </t>
    </r>
    <r>
      <rPr>
        <b/>
        <sz val="9"/>
        <rFont val="Arial"/>
        <family val="2"/>
      </rPr>
      <t xml:space="preserve">7 </t>
    </r>
    <r>
      <rPr>
        <sz val="9"/>
        <rFont val="Arial"/>
        <family val="2"/>
      </rPr>
      <t xml:space="preserve">VIVIENDAS Y EN CARTAGENA AFECTADAS </t>
    </r>
    <r>
      <rPr>
        <b/>
        <sz val="9"/>
        <rFont val="Arial"/>
        <family val="2"/>
      </rPr>
      <t>3</t>
    </r>
    <r>
      <rPr>
        <sz val="9"/>
        <rFont val="Arial"/>
        <family val="2"/>
      </rPr>
      <t xml:space="preserve"> VIVIENDAS SIN PERSONAS LECIONADAS SE ENCUENTRA CERRADA LA VIA A TUMACO LA INFRAESTRUCTURA DEL HOSPITAL EN RICAURTE ESTA AFECTADO EL PRIMER PISO POR INUNDACION.</t>
    </r>
  </si>
  <si>
    <t>REPORTAN DEL CDGRD QUE EL CAÑO EL SILENCIO SE DESBORDO  Y ESTA INUNDANDO VARIOS BARRIOS ,  510  FAMILIAS , SE ESPERA MAS INFORMACION POR PARTE DE LAS ENTIDADES DE SOCORRO Y CMGRD.</t>
  </si>
  <si>
    <t>64000 LADRILLOS. 3020 KILOS DE ACERO DE 1/4". 1200 VARILLAS DE ACERO DE 3/8". 64 VARILLAS DE ACERO DE 1/2". 72 PERLINES ML.</t>
  </si>
  <si>
    <t>13-0496
13-0504</t>
  </si>
  <si>
    <r>
      <t>NUEVO DESLIZAMIENTO DE TIERRA</t>
    </r>
    <r>
      <rPr>
        <b/>
        <sz val="9"/>
        <rFont val="Arial"/>
        <family val="2"/>
      </rPr>
      <t xml:space="preserve"> </t>
    </r>
    <r>
      <rPr>
        <sz val="9"/>
        <rFont val="Arial"/>
        <family val="2"/>
      </rPr>
      <t>BLOQUEÓ COMPLETAMENTE LA VÍA QUE DE RISARALDA CONDUCE AL DEPARTAMENTO DEL CHOCÓ, ENTRE LA VIRGINIA Y APÍA</t>
    </r>
    <r>
      <rPr>
        <b/>
        <sz val="9"/>
        <rFont val="Arial"/>
        <family val="2"/>
      </rPr>
      <t xml:space="preserve"> </t>
    </r>
    <r>
      <rPr>
        <sz val="9"/>
        <rFont val="Arial"/>
        <family val="2"/>
      </rPr>
      <t>EN EL SECTOR CONOCIDO COMO LIMONES</t>
    </r>
  </si>
  <si>
    <r>
      <t>EL INCENDIO QUE YA FUE CONTROLADO, SE INICIÓ A LAS 12:55 EN LA UNIDAD DE CUIDADOS INTENSIVOS DE LA</t>
    </r>
    <r>
      <rPr>
        <b/>
        <sz val="9"/>
        <rFont val="Arial"/>
        <family val="2"/>
      </rPr>
      <t xml:space="preserve"> </t>
    </r>
    <r>
      <rPr>
        <sz val="9"/>
        <rFont val="Arial"/>
        <family val="2"/>
      </rPr>
      <t>CLÍNICA ATENAS, UBICADA EN EL NORTE DE LA CIUDAD, EN DONDE HUBO NECESIDAD DE EVACUAR A QUINCE DE LOS PACIENTES HOSPITALIZADOS HACIA OTROS CENTROS ASISTENCIALES.TRES VEHÍCULOS DEL CUERPO DE BOMBEROS, INCLUIDA LA MÁQUINA ESCALERA DEBIERON SER UTILIZADOS EN EL OPERATIVO, SEGÚN EL REPORTE DEL TENIENTE RODOLFO CABRERA, QUIEN MANIFESTÓ QUE HUBO AFECTACIONES MATERIALES AL QUEMARSE EL MOBILIARIO</t>
    </r>
  </si>
  <si>
    <t>EN LA NOCHE ANTERIOR SE PRESENTO UN VENDAVAL EN ZONA RURAL DE CORREGIMIENTO EL CARRETO, AFECTANDO A  15 VIVIENDAS, EL CMGRD DE CANDELARIA ESTA REALIZANDO EDAN.</t>
  </si>
  <si>
    <t>EL  EL CORREGIMIENTO DE DE VILLAROSA SE ESTA PRESENTADO UNA INUNDACION POR DESBORDAMIENTO DEL ARROYO , EL CMGRD ESTA REALIZANDO EDAN , Y VAN 80 VIVIENDAS INUNDADAS.</t>
  </si>
  <si>
    <t>UN SOLDADO QUE CAYO EN EL RIO BATATAS DE LA VEREDA FRIJOLITO DEL MUNICIPIO DE GACHALA EL PASADO 24/05/2013 EN HORAS DE LA NOCHE EN SITIO SE ENCUENTRA BOMBEROS, DEFENSA CIVIL, EJERCITO.</t>
  </si>
  <si>
    <t>02:30 HORAS, INFORMAN BOMBEROS QUE EN EL PARQUE PRINCIPAL, CARRERA 9 CON CALLE 5 EN UNA CASETA DE VENTAS VARIAS, SE PRESENTÓ INCENDIO ESTRUCTURAL CONSUMIÉNDOSE TOTALMENTE. HASTA EL MOMENTO MÁQUINAS DE BOMBEROS CONTROLARON EL INCENDIO. EL MOTIVO DEL INCENDIO Y LAS PÉRDIDAS NO SE  HAN PODIDO CUANTIFICAR</t>
  </si>
  <si>
    <t>EN HORAS DE LA MAÑANA SE REGISTRA UN INCEDIO ESTRUCTURAL EN LA CARCEL  DE MENORES  CALLE 31A CON 28 BARRIO LA FORTALEZA , EL FUEGO SE  INICIA POR EN UN RECINTO CERRADO, BOMBEROS HACIENDO VENTILACION , UN MENOR LESIONADO.</t>
  </si>
  <si>
    <t>270 LB DE PUNTILLA DE 21/2, 2700 METROS DE POLISOMBRA, 270 KILOS DE ALAMBRE NO. 16</t>
  </si>
  <si>
    <t>13-0521</t>
  </si>
  <si>
    <t>14000 LADRILLOS. 1550 VARILLAS DE ACERO DE 3/8". 1774 VARILLAS DE ACERO DE 1/2". 850 CERCHA MADERA TECHO 5X15CM, L=5M</t>
  </si>
  <si>
    <t>13-0496
13-0508</t>
  </si>
  <si>
    <t>13-0497</t>
  </si>
  <si>
    <t>CDGRD DEL CESAR, INFORMA, NOCHE ANTERIOR SE PRESENTÓ, FUERTES VIENTOS, ACOMPAÑADOS DE LLUIVIAS, EN LA VEREDA: LA CAMPANA, AFECTACIÓN EN CULTIVOS DE MAÍZ, SE DESPLAZAN AL SITIO A VERIFICAR, AFECTACIÓN, SITUACIÓN EN DESARROLLO.</t>
  </si>
  <si>
    <t>BOMBEROS, INFORMA, INCENDIO ESTRUCTURAL EN UN EXPENDIO DE GASOLINA, ESTACIÓN DE SERVICIO: LA PERSEVERANCIA, APOYAN BOMBEROS DE URRAO Y CONCORDIA, SITUACIÓN EN DESARROLLO.</t>
  </si>
  <si>
    <t>CMGRD DE ARMENIA, INFORMA, LA ALCALDÍA DE ARMENIA, A TRAVÉS DE LA SECRETARÍA DE GOBIERNO  Y  CONVIVENCIA  Y LA OFICINA MUNICIPAL PARA LA GESTIÓN DEL RIESGO DE DESASTRES ATENDIERON EN LAS ÚLTIMAS HORAS UN DESLIZAMIENTO REGISTRADO EN UNA  DE LAS  VIVIENDAS SUBNORMALES DE PATIO BONITO, LA SITUACIÓN QUE YA ES RECURRENTE EN LA CASA 431ª SE PRESENTÁ, COMO CONSECUENCIA DEL MANEJO INADECUADO DE LAS AGUAS LLUVIAS Y LA FALTA DE MEDIDAS PARA SOLUCIONAR LA SITUACIÓN.</t>
  </si>
  <si>
    <t>CMGRD DE VALLEDUPAR, INFORMA, VENDAVAL, EN EL CORREGIMIENTO DE: PATILLAL, AFECTANDO 11 FAMILIAS.</t>
  </si>
  <si>
    <t>CDGRD DEL CESAR, INFORMA, VENDAVAL, EN EL CORREGIMIENTO: SABANAGRANDE, AFECTANDO CULTIVOS, SITUACIÓN EN DESARROLLO.</t>
  </si>
  <si>
    <t>CDGRD DE CUNDINAMARCA, INFORMA, JENNY GUIO ESCOBAR SECRETARIA DE PLANEACIÓN DEL MUNICIPIO DE AGUA DE DIOS, REPORTA QUE POR FUERTES LLUVIAS A LAS 09:30 HORAS DEL DÍA 28/05/13 SE CRECIÓ LA QUEBRADA LA ORTIZ, OCASIONANDO EROSIÓN Y DEJANDO AL DESCUBIERTO LA TUBERÍA DEL ACUEDUCTO -TOCAIMA -AGUA DE DIOS CON RIESGO DE COLAPSAR. CMGRD ADELANTA EVALUACIÓN Y  SOLICITA AYUDA PARA LA CONSTRUCCIÓN DE  BARRERAS DE PROTECCIÓN.</t>
  </si>
  <si>
    <t>D.C.C., INFORMA, DERRUMBE EN BRECHA POR OBRAS CIVILES DE ALCANTARILLADO EN LA POBLACIÓN DE SAMANÁ.</t>
  </si>
  <si>
    <t>SE PRESENTO INCENDIO ESTRUCTURAL EN EL MUNICIPIO DE DIBULLA, SE CONSUMIO UNA ESTRUCTURA DE DOS PISOS ELABORADA EN MADERA Y PALMAS, PERDIDA TOTAL, 1 FAMILIA AFECTADA, CONTROLADO Y ATENDIDO POR BOMBEROS A CARGO DE LA COMANDANTE SARAY PEÑUELA</t>
  </si>
  <si>
    <t>SE REGISTRO INCENDIO ESTRUCTURAL EN LA CLLE 48 SUR CON CRA 5 BARRIO MARRUECOS, VIVIENDA DE TRES NIVELES SE DESCONOCEN LAS CAUSAS, DEJA 2 PERSONAS LESIONADAS, ATENDIERON 3 MAQUINAS DE BOMBEROS. AMANECE CON TIEMPO SECO.</t>
  </si>
  <si>
    <t>SE REGISTRO PEQUEÑA EXPLOSION POR ESCAPEN DE GAS EN CALI AUTOPISTA SURORIENTAL CON 51, EN ESTACION DE TERPEL SOBRE LAS 03:50, DEJA 3 LESIONADOS POR  INHALACION,  TRASLADADOS A CENTRO ASISTENCIAL, ATIENDE GASES DE ORIENTE Y BOMBEROS RESTRINGIDO EL TRANSITO POR ESTE SECTOR.</t>
  </si>
  <si>
    <t>SE REPORTA DESBORDAMIENTO DE LA QUEBRADA EL ARENAL EN EL MUNICIPIO DE BUGA, REPORTA CDGRD SOBRE LAS 05:54 SITUACION EN DESARROLLO.</t>
  </si>
  <si>
    <t>INFORMAN BOMBEROS QUE EN LA CALLE 5 CON CARRERA 15 DEL BARRIO SAN RAFAEL, SE PRESENTÓ INCENDIO ESTRUCTURAL EN LA FÁBRICA DE MUEBLES DE RAZÓN SOCIAL MAXIMUEBLES HASTA EL MOMENTO 3 MÁQUINAS DE BOMBEROS SE ENCUENTRAN CONTROLANDO EL INCENDIO</t>
  </si>
  <si>
    <t>REPORTA EL ING ALIRIO ROZO QUE LA VIA QUE CONDUCE DE ESPINO HACIA CAPITANEJO EN SANTANDER SE ENCUENTRA CERRADA PO REMOCION EN MASA Y PERDIDA DE BANCA .</t>
  </si>
  <si>
    <t xml:space="preserve">GUALANDAY: INFORMA EL DIRECTOR DEL CDGRD, QUE LA VIA IBAGUE - ESPINAL, SE ENCUENTRA CON RESTRICCION VEHICULAR DE CADA 15 MINUTOS POR DESLIZAMIENTO DE TIERRA SOBRE LA VIA. APOYA CON MAQUINARIA LA CONCESIÓN SAN RAFAEL DESPEJANDO LA VIA Y A6. </t>
  </si>
  <si>
    <t>13-0513</t>
  </si>
  <si>
    <t>13-0324
13-0323
13-0513
13-0501</t>
  </si>
  <si>
    <t>REPORTA SECCIONAL ANTIOQUIA: DESLIZAMIENTO DE PIEDRA Y TIERRA, SOBRE VIVIENDA, EN EL M/PIO DE SANTA BARBARA, VEREDA LA PEÑA, RESULTANDO: 1 FAMILIA AFECTADA, 1 VIVIENDA DESTRUIDA Y 1 PERSONA DAMNIFICADA.</t>
  </si>
  <si>
    <t>EL RIO APARTADO SE DESBORDO HASTA EL MOMENTO HAY UNA COMUNIDAD INDIGENA AFECTADA, SE HABLA DE VARIAS VIVIENDAS DESTRUIDAS, SE HACE EDAN</t>
  </si>
  <si>
    <r>
      <t>S</t>
    </r>
    <r>
      <rPr>
        <sz val="9"/>
        <rFont val="Arial"/>
        <family val="2"/>
      </rPr>
      <t>E PRESENTÓ INCENDIO ESTRUCTURAL CENTRO COMERCIAL SAN ANDRESITO EN</t>
    </r>
    <r>
      <rPr>
        <sz val="9"/>
        <color indexed="63"/>
        <rFont val="Arial"/>
        <family val="2"/>
      </rPr>
      <t xml:space="preserve"> LA CALLE 56 CON DIAGONAL 15,</t>
    </r>
    <r>
      <rPr>
        <sz val="9"/>
        <rFont val="Arial"/>
        <family val="2"/>
      </rPr>
      <t xml:space="preserve"> LOCAL COMERCIAL DE REPARACIÓN DE APARATOS ELÉCTRICOS, </t>
    </r>
    <r>
      <rPr>
        <sz val="9"/>
        <color indexed="63"/>
        <rFont val="Arial"/>
        <family val="2"/>
      </rPr>
      <t>INICIO CONFLAGRACIÓN</t>
    </r>
    <r>
      <rPr>
        <sz val="9"/>
        <rFont val="Arial"/>
        <family val="2"/>
      </rPr>
      <t xml:space="preserve"> POR CORTO CIRCUITO. F</t>
    </r>
    <r>
      <rPr>
        <sz val="9"/>
        <color indexed="63"/>
        <rFont val="Arial"/>
        <family val="2"/>
      </rPr>
      <t>UE APAGADO POR  BOMBEROS BUCARAMANGA. PÉRDIDAS AVALUADAS EN 14’000.000 MILLONES DE PESOS.</t>
    </r>
  </si>
  <si>
    <r>
      <t>RECIBIMOS REPORTE POR PARTE DEL SEÑOR ALCALDE DEL MUNICIPIO DE SAN JACINTO DEL CAUCA DONDE NOS INFORMA QUE EN EL SECTOR DE NUEVA ILUSIÓN COLAPSO EL JARILLON Y REGISTRAN AFECTACIÓN EN EL CORREGIMIENTO DE BERMUDEZ, Y EN LAS VEREDAS DE CAÑO GIL, PUERTO MUÑOZ, VEREDA DEL MEDIO ASÍ  MISMO CONTINUA ENTRANDO AGUA POR EL ROMPEDERO DE SANTA ANITA Y POTRERO NUEVO, HOY INTERVENIDOS POR LA UNGRD, EN ESTOS MOMENTOS SE EVALÚA LA SITUACIÓN Y CENSO DE POBLACIÓN AFECTADA</t>
    </r>
    <r>
      <rPr>
        <sz val="9.5"/>
        <color indexed="63"/>
        <rFont val="Arial"/>
        <family val="2"/>
      </rPr>
      <t>.</t>
    </r>
  </si>
  <si>
    <t>13-0507</t>
  </si>
  <si>
    <t>16200 LADRILLOS. 3100 KILOS DE ACERO 1/4". 2150 VARILLAS DE ACERO DE 1/2". 169 MALLAS CON VENA DE 2X2</t>
  </si>
  <si>
    <t>13-0496
13-0509
13-0507</t>
  </si>
  <si>
    <t>13-0532</t>
  </si>
  <si>
    <t>LEOPOLDO PEÑA LÓPEZ, DEL C.M.G.R.D.DE MEDINA, INFORMA, QUE POR FUERTES LLUVIAS DURANTE LA NOCHE ANTERIOR, SE PRODUJERON MÚLTIPLES DESLIZAMIENTOS EN LAS VÍAS MEDINA - JAPÓN Y MEDIMA - SAN PEDRO DE JAGUA, QUE MANTIENEN INCOMUNICADA LA CABECERA MUNICIPAL, Y QUE EN LA VEREDA CHOAPAL, RESULTÓ INUNDADA 1 VIVIENDA, SUFRIENDO PÉRDIDA DE MUEBLES Y ENSERES. EL C.M.G.R.D. ATIENDE CON MAQUINARIA, VOLQUETAS Y EL APOYO DEL ICCU CON UNA RETROEXCAVADORA DE ORUGA, PARA EL RETIRO DEL MATERIAL DESLIZADO. TAMBIÉN SE EVALÚAN AFECTACIONES EN OTRAS VEREDAS, REPORTA CDGRD.</t>
  </si>
  <si>
    <t>CDGRD REPORTA DESLIZAMIENTO EN EL MUNICIPIO DE MALLAMA VEREDA CHUCUNEZ SE EVACUAN 50 FAMILIAS HACIA UN ALBERGUE TEMPORAL, IGUAL NUMERO DE VIVIENDAS, VIA CHUCUNES - SAN ISIDRO.</t>
  </si>
  <si>
    <t>CDGRD REPORTA EN EL MUNICIPIO DE SANTA BARBARA DE ISCUANDE INUNDACION EL DIA DE HOY, AFECTANEDO 6 BARRIOS (VIENTO LIBRE, LA ESPERANZA, PUNTA ICACO, LOS ANGELES, LAS FLORES, EL ESTADIO) LA MARCA DE AGUA DE LA INUNDACION ESTA A 10 CM. EL NIVEL DEL RIO ESTÁ BAJANDO HORA 14:50; LAS AFECTACIONES EN VIVIENDAS ES EN LA RIVERA DEL RIO ISCUANDÉ EN LAS VEREDAS DE : BELLAVISTA, ISLA LARGA, VUELTA LARGA, CAIMANES, LA QUINTA, LA FRAGUA, LA LOMA, SANDAMIA, MORONGO, SANTARITA, PLAYA GRANDE, BUGA, EL ALTO PARA UN TOTAL DE 351 FAMILIAS AFECTADAS, IGUAL NUMERO DE VIVIENDAS.</t>
  </si>
  <si>
    <t>CDGRD REPORTA DESLIZAMIENTO EN EL MUNICIPIO DE ANCUYA CON PERDIDA DE LA BANCA VIA ANCUYA - GUAITARILLA SECTOR QUEBRADA DE PIEDRA KM 8,2, SECTOR INDO - SANTA ROSA, INDO - CENTRO KM 9,8, SECTOR LA MONTAÑA KM 12, VIA ANCUYA - CRUZ DE MAYO KM 8 SECTOR CEBALLOS, SECTOR EL COLLAL, 1 ACUEDUCTO EN EL SECTOR DE ROSARIO, FAMILIAS AFECTADAS 2, VIVIENDAS AVERIADAS 2.</t>
  </si>
  <si>
    <t>CDGRD REPORTA EN EL MUNICIPIO DE ROBERTO PAYAN DESBORDAMIENTO DE LOS RIOS SAUNDE, TELEMBI Y PATIA GRANDE, QUE AFECTO A LAS VEREDAS CHILVI DORADO, BOCAS TELEMBI, BOCAS DE PALSAPI Y EN EL CASCO URBANO EL BARRIO BELLA UNION CMGRD REALIZA LABORES, EN SEGUIMIENTO.</t>
  </si>
  <si>
    <t xml:space="preserve">CDGRD REPORTA POR DESBORDAMIENTO DEL RIO CAUCA MUNICIPIO DE MAJAGUAL VEREDA SANTA HELENA CORREGIMIENTO BOCA DE LAS MUJERES 30 FAMILIAS AFECTADAS, 150 PERSONAS, VEREDA EL PLAYON DEL MISMO CORREGIMIENTO 20 FAMILIAS 100 PERSONAS AFECTADAS. PERDIDA DE CULTIVOS DE ARROZ Y PLATANOS SIN CONFIRMAR HECTAREAS. </t>
  </si>
  <si>
    <t>CDGRD REPORTA INUNDACION EN EL MUNICIPIO DE SUCRE CORREGIMIENTO LA GUARIPA POR DESBORDAMIENTO RIO CAUCA, AFECTACION EN SECTORES LAS CUCHARAS 1, BAJO GRANDE, MMALAMBO, SITUACION QUE FUE INFORMADA POR EL ALCALDE, ADELANTAN EVALUACION DE DAÑOS, EN SEGUIMIENTO.</t>
  </si>
  <si>
    <t>CDGRD REPORTE VENDAVAL EN EL MUNICIPIO DE MERCADERES EL DIA DE HOY, AFECTACION EN APROXIMADAMENTE A 150 FAMILIAS, AFECTACION EN CULTIVOS, SITUACION EN DESARROLLO.</t>
  </si>
  <si>
    <t>CDGRD REPORTA FUERTE LLUVIAS QUE SE PRESENTARON EN EL CORREGIMIENTO DE ROBLES Y TIMBA, ALREDEDOR DE 57 FAMILIAS Y TIMBA 35 FAMILIAS, IGUAL NUMERO DE VIVIENDAS AL MOMENTO, UBICADAS EN ASENTAMIENTOS INCOMPLETOS, EN REUNION DEL CMGRD EN HORAS DE LA TARDE, INFORMARON QUE SE REALIZARA ATENCION DESDE EL MUNICIPIO Y NO SE DECLARA CALAMIDAD PUBLICA.</t>
  </si>
  <si>
    <t xml:space="preserve">REPORTAN COLAPSO DEL PUENTE VEHICULAR EN EL KM 3 DE LA VÍA QUE CONDUCE DE PUERTO WILCHES A BARRANCABERMEJA. POR MEDIDA DE SEGURIDAD CON EL FIN DE EVITAR ALGÚN ACCIDENTE O TRAGEDIA POR LA CAÍDA DEL PUENTE LOS ORGANISMOS DE APOYO Y SEGURIDAD DEL MUNICIPIO, CERRARON TOTALMENTE EL PASO A VEHÍCULOS, QUEDANDO TOTALMENTE INCOMUNICADO PUERTO WILCHES CON BARRANCA. REPORTA CDGRD
</t>
  </si>
  <si>
    <t>CDGRD DEL VALLE DEL CAUCA, INFORMA, SIENDO LAS, 06:25, A.M, SALIO LA MÁQUINA DE RESCATE CON 8 UNIDADES, PARA LA VIA QUE CONDUCE DEL AGUILA AL MÚNICIPIO DE ANCERMANUEVO, A ATENDER UN DESLIZAMIENTO DE TIERRA Y PIEDRAS,  EL FUERTE AGUASERO QUE SE PRESENTÓ, HIZO QUE LA VIA QUEDARA TAPONADA, OBRAS PÚBLICAS SE ENCUENTRA TRABAJANDO PARA DESPEJARLA, LOS BOMBEROS, REALIZARON UNA INSPECCIÓN OCULAR Y LABORAES DE PREVENCIÓN Y SEGURIDA EN LAS ZONAS VULNERABLES.</t>
  </si>
  <si>
    <t>CDGRD DEL VALLE DEL CAUCA, INFORMA, SIENDO LAS, 15:55, P.M, SALIÓ LA MÁQUINA DE RESCATE CON 5 UNIDADES, ATENDER UNA INUNDACIÓN.EL, FUERTE AGUASERO QUE SE PRESENTÓ EN HORAS DE LA TARDE, ORIGINÓ EL TAPONAMIENTO Y EL REPRESAMIENTO DE LOS SIFONES, Y  EL ALCANTARILLADO. ESTO ORIGINÓ  UNA INUNDACIÓN EN LA BODEGA DEL PARQUE AGRO-INDUSTRIAL, EN LA CUAL GUARDAN VARIOS PLATANOS Y VERDURAS. COMANDO DE INCIDENTE.BRO.HERRERA ENRRIQUE. RPTO.BRO.BERMUDEZ PERÉZ FREDDY.</t>
  </si>
  <si>
    <t>CDGRD DEL VALLE DEL CAUCA, INFORMA, SIENDO LAS, 02:05, A.M, SALIERON, 2 MÁQUINAS CON 10 UNIDADES, A  ATENDER VARIOS DESLIZAMIENTOS DE TIERRA Y PIEDRAS EN LA PARTE ALTA DE LOS SIGUIENTES BARRIOS:MARIA EUGENIA, NUEVA GRANADA,CASA DE LA JUSTICIA, UNIÓN DE VIVIENDA POPULAR, CRISTOBAL COLÓN, LA CITRONELA, EL RUÍZ, CABAL POMBO, MATIAS MOLUMBA, NUEVO AMANECER, LA MILAGROSA, DE IGUAL MANERA, EL DERRUBE, ORIGINÓ EL  DESBORDAMIENTO DE LA QUEBRADA, MONDOMO,109 VIVIENAS RESULTARON INUNDADAS, DE IGUAL MANERA EL MISMO NÚMERO DE FAMILIAS RESULTARON DAMNIFICADAS, 2 VIVIENDAS  Y EL PUENTE, COLAPSARON, EN EL BARRIO RUIZ.TAMBIEN, DEBIDO A LA MAREA, ALTA, SE INUNDARON LOS BARRIOS, MARIA EUGENIA, BELLAVISTA, CALLE DEL DIAMANTE, AVENIDA SIMÓN BOLIVAR, EL TRIUNFO, EL SENDERO, BOLIVAR, Y EN  EL BARRIO: PARAISO 1 VIVIENDA COLAPSO, 1 FAMILIA RESULTÓ DAMNIFICADA,ES DE ANOTAR, QUE HUBO DAÑO DE VARIOS ENSERES , ELÉTRODOMESTICOS DAÑOS MÁTERIALES, EN PAREDES, PISOS VENTANAS Y PUERTAS,  LA OFICINA DE LA GESTIÓN DEL RIESGO  Y  EL CUERPO DE BOMBEROS BUENAVENTURA, JUNTO CON LAS DEMAS INSTITUCIONES DE SOCORRO, ESTAN EN ALERTA POR LA OLA INVERNAL Y  REALIZARAN VARIOS MONITORES A LAS QUEBRADAS Y RIOS E INSPECIONES OCULARES EN LAS ZONAS DE LAS PARTES ALTAS, EN LOS DIFERENTES BARRIOS. COMANDO DE INCIDENTE.BRO.CAICEDO JAVIER.RPTO.S.S.TORRES CELENY.</t>
  </si>
  <si>
    <t>CDGRD DEL VALLE DEL CAUCA, INFORMA, INUNDACIONES, REALIZAN EDAN.</t>
  </si>
  <si>
    <t>CDGRD DE NARIÑO, INFORMA, SE PRESENTARON: 3 DESLIZAMIENTO,  VEREDA:  LA CALDERA DONDE HAY AFECTADAS, 4 VIVIENDAS, 4 FAMILIAS, 18 PERSONAS,  1 ALCANTARILLADO  Y  1 TUBERIA DEL ACUEDUCTO, EN LA VEREDA: SANTANDER, 1 VIA CERRADA Y  1 ALCANTARILLADO, AFECTADO,  EN EL BARRIO:  VILLA CATALINA;  1 VIVIENDA, 1 FAMILIA, 3 PERSONAS AFECTADAS.</t>
  </si>
  <si>
    <t xml:space="preserve">CDGRD DE CESAR, REPORTA A CAUSA DE FUERTES LLUVIAS, INCREMENTO DE LA ACEQUIA LAS MERCEDES, OCASIONANDO, DESBORDAMIENTO DE ESTA, INUNDANDO EL BARRIO DE INVASIÓN, LAS MERCEDES, SE HAN EVACUADO HASTA EL MOMENTO: 6 FAMILIAS, ATIENDE,  EL CMGRD. </t>
  </si>
  <si>
    <t>DESLIZAMIENTO EN  VÍA, LÍDERES VOLUNTARIOS DE LA JDC RICAURTE, REALIZARON LAS LABORES DE BÚSQUEDA, RESCATANDO A LOS TRES MENORES SIN NOVEDAD.</t>
  </si>
  <si>
    <t>LÍDERES VOLUNTARIOS DE LA JDC ALTAQUER, REALIZARON LA EVACUACIÓN DE LA FAMILIA AFECTADA, POR EL DESLIZAMIENTO Y ALOJADA EN VIVIENDAS DE FAMILIARES.</t>
  </si>
  <si>
    <t>REPORTA SECCIONAL SUCRE: DÍA DE AYER SE PRESENTÓ EMERGENCIA POR ROMPIMIENTO DEL CHORRO SANTA ANITA, AFECTANDO LOS ALTOS DE SAN MATIAS Y LOS ARRASTRES EN EL MUNICIPIO DE GUARANDA SUCRE, DEJANDO 25 VIVIENDAS AFECTADAS, 25 FAMILIAS, 104 PERSONAS Y 150 HECTÁREAS DE CULTIVOS  DE   ARROZ Y PLÁTANO, AFECTADAS.</t>
  </si>
  <si>
    <t>REPORTA DIRECTOR SECCIONAL NARIÑO, QUE SIENDO LAS 11.00 HORAS A.M. DE HOY 31-05-13, SE REGISTRA ACCIDENTE FLUVIAL EN EL RIO GUAITARA EN DONDE UN ADULTO MAYOR SE LANZA AL RIO GUAITARA EN EL CORREGIMIENTO PUEBLO BAJO VEREDA CHAIR JURISDICCIÓN DEL MUNICIPIO DE CORDOBA POR LO CUAL SE GENERA LA OPERACIÓN DE BÚSQUEDA EN DONDE PARTICIPAN 10 LIDERES VOLUNTARIOS DCC.</t>
  </si>
  <si>
    <t>CDGRD DE CORDOBAY D.C.C., REPORTAN, QUE EL SEÑOR PEDRO GUERRA DE 37 AÑOS DE EDAD, AL INTENTAR CRUZAR UNA QUEBRADA MONTADO EN SU CABALLO, FUE ARRASTRADO POR LA FUERZA DEL AGUA PROVOCANDO QUE SE AHOGARA, SIENDO RESCATADO SU CADAVER 5 KM ADELANTE,  FUE EN EL ARROYO MOCHA, SITUADO ENTRE EL CASCO URBANO, DE SAN ANDRES SOTAVENTO Y EL CORREGIMIENTO: CRUZ DE MAYO.  PARTICIPARON EN EL RESCATE 10 LÍDERES DCC.</t>
  </si>
  <si>
    <t>CMGRD INFORMA NOCHE LLUVIOSA, DESLIZAMIENTO DE TIERRA EN LA VEREDA LA ALSACIA EN VIA,  SE ENCUENTRA MAQUINARIA DEL CMGRD DESPEJANDO LA ZONA, REPORTA CDGRD.</t>
  </si>
  <si>
    <t>CDGRD REPORTA DESLIZAMIENTO DE TIERRA EN EL BARRIO EL PEÑON, POR LAS CANCHAS DEL POLIDEPORTIVO, 1 VIVIENDA AFECTADA ESTRUCTURALMENTE,  IGUALMENTE EN EL BARRIO GRANADA OTRA VIVIENDA AVERIDA EN LA PARTE POSTERIOR Y, 2 FAMILIAS, 2 VIVIENDAS, REQUIERE PRESENCIA DE PERSONAL DEL CMGRD. EL ING. FELIX SALGADO, MANIFIESTA QUE A PRIMERA HORA SE REALIZARA LA EVALUACION DE DICHA VIVIENDA, EMPRESA DE GAS ALCANOS ATIENDE POR ESCAPE DE GAS.</t>
  </si>
  <si>
    <t>CDGRD REPORTA EN ZONA RURAL DESBORDAMIENTO DE QUEBRADA EN LA VEREDA 3 ESQUINAS EN EL CAÑON DEL COMBEIMA. RETIRAN PIEDRA DE GRAN TAMAÑO QUE ESTABA EN LA MITAD DE LA QUEBRADA ORIGINANDO REPRESAMIENTO, DEJA 3 VIVIENDAS INUNDADAS, IGUALMENTE AFECTACION DE 6 VIVIENDAS POR DESBORDAMIENTO DE LA QUEBRADA BARILOCHE EN LA VEREDA CAY. CDGRD REPORTA EN CASCO URBANO, EN EL BARRIO AVENIDA, AFECTACION POR INUNDACION DE 4 VIVIENDAS RIBEREÑAS AL RIO COMBEIMA. ESTAS VIVIENDAS SE ENCUENTRAN EN ALTO RIESGO DE COLAPSAR, PERDIDA DE MUEBLES Y ENSERES, OTRA VIVIENDA INUNDADA POR FUERTES LLUVIAS EN LA CALLE 22 # 8 - 129, BARRIO COLINAS DEL SUR  - SEGUNDA ETAPA, EN ESTE SECTOR EL NIVEL DEL RIO COMBEIMA INCREMENTO 1,20 MTS, CMGRD EVALUARA EN HORAS DE LA MAÑANA.</t>
  </si>
  <si>
    <t>CDGRD DEL RISARALDA, INFORMA, DESLIZAMIENTO EN EL SECTOR: LA DULCERA, 2 PERSONAS LESIONADAS, 2 VIVIENDAS COLAPSADAS, 3 VIVIENDAS AVERIADAS, ESTÁS FAMILIAS FUERON EVACUADAS Y AUTOALBEGADAS.</t>
  </si>
  <si>
    <t>CDGRD DE TOLIMA, INFORMA, POR DESLIZAMIENTO, TAPONADA LA VÍA MURILLO- LIBANO, SECTORES:  EL CALVARIO Y VEREDA: PAJONALES,  SITUACIÓN EN DESARROLLO.</t>
  </si>
  <si>
    <t>CDGRD DEL TOLIMA, INFORMA, AVALANCHA, VEREDA: RÍO AZUL, DEJANDO UN PUENTE PEATONAL DESTRUIDO.</t>
  </si>
  <si>
    <t>CDGRD REPORTA VIA E-MAIL  INUNDACION EN EL MUNICIPIO DE CARURU DESDE EL PASADO 29/05/2013 HAY 8 FAMILIAS DAMNIFICADAS EN EL ÁREA URBANO Y 8 EN EL ÁREA RURAL, HAY PUENTES TOTALMENTE INUNDADOS, CALLES INUNDADAS, LAS ALCANTARILLAS ESTÁN PRESENTANDO PROBLEMAS, YA HAY PROBLEMAS RESPSIRATORIOS Y UN CASO DE DENGUE CONFIRMADO, HAY CULTIVOS QUE SE HAN PERDIDO, ESTÁN EN ALERTA NARANJA</t>
  </si>
  <si>
    <t>CDGRD REPORTA  QUE SE TIENE  23 FAMILIAS QUE SUS PREDIOS SE HAN VISTO AFECTADOS  DESDE EL PASADO 29/05/2013 POR INUNDACIONES UN TOTAL DE 129 PERSONAS, DE LAS CUALES HAY 5 FAMILIAS COMPUESTAS POR 30 PERSONAS QUE YA SE ENCUENTRAN EN UN ALBERGUE TEMPORAL, LA TENDENCIA DEL RIO VA EN ASCENSO, EL NIVEL REGISTRA EN 9,43 M EL DIA DOMINGO 2 DE MAYO FRENTE A SU CUOTA MAS ALTA QUE ES DE 9,72 QUE REGISTRO AÑOS ANTERIORES, SE RECIBE INFORMACION VIA E-MAIL EN EL TRANSCURSO DE LA NOCHE.</t>
  </si>
  <si>
    <t>CDGRD DEL VALLE DEL CAUCA, INFORMA,  INUNDACIÓN POR DESBORDAMIENTO DE LA QUEBRADA LA PLATANERA, CORREGIMIENTO LA TULIA AFECTO,  4 VIVIENDAS; CORREGIMIENTO LA PRIMAVERA AFECTO, VIA POR CAIDA DE ARBOLES, SITUACIÓN EN DESARROLLO.</t>
  </si>
  <si>
    <t>CDGRD DE RISARALDA, INFORMA, MPIO DE MISTRATO,  CAIDA DE LA BANCA, DEJA TOTALMENTE INCOMUNICADO EL MPIO, SITUACIÓN EN DESARROLLO.</t>
  </si>
  <si>
    <t xml:space="preserve">CDGRD DEL META, INFORMA, SOBRE AVALANCHA DEL CAÑO URICHARE,  AFECTANDO , BARRIOS DE LA PARTA ALTA, DAÑOS EN ENSERES, 3 PUENTES VEHICULARES, QUEDARON AISLADOS, AFECTACIÓN EN LA BOCATONA DEL ACUEDUCTO, DEJANDO LA POBLACIÓN SIN SUMINISRTRO DE AGUA POTABLE, BARRIO: SIMÓN BOLIVAR: 50 VIVIENDAS AFECTADAS. </t>
  </si>
  <si>
    <t>REPORTA SECCIONAL RISARALDA: FUERTES LLUVIAS EN EL MPIO DE SANTUARIO, SE HAN PRESENTADO DESLIZAMIENTOS DE TIERRA, AFECTANDO VÍAS TERCIARIAS Y PRINCIPAL; ORO FINO, LA BAMBA ESTÁ RESTRINGIDA POR DAÑO EN LA BANCA, SECTOR DE LIMONES PASO RESTRINGIDO.</t>
  </si>
  <si>
    <t>REPORTA SECCIONAL RISARALDA: FUERTES LLUVIAS EN EL MUNICIPIO DE GUATICA, PROVOCANDO DESLIZAMIENTOS EN LAS VÍAS TERCIARIAS, LO CUAL TIENE EL MUNICIPIO INCOMUNICADO: VÍA SANTA ANA PASO RESTRINGIDO, POR HUNDIMIENTO DE LA BANCA, VÍA EL TIGRE,  TAPADA POR DESLIZAMIENTO, SECTOR TRAVESÍA TAPADA POR HUNDIMIENTO DEL TERRENO.</t>
  </si>
  <si>
    <t>REPORTAN DE  CERROS DE GRANATE DE LA MANZANA H CASA 33 Y 34 JOSE ALBEIRO CARDENAS 3132325608 INFORMANDO DEL DESLIZAMIENTO  REPORTADO LA NOCHE ANTERIOR  SE LLAMA POR LINEA BAJA AL ING.FELIX SALGADO, EL NOS INFORMA QUE EN EL DIA DE AYER REALIZARON VISITA TECNICA, VA A LOCALIZAR NUEVAMENTE A LOS INGENIEROS PARA IR HASTA EL SITIO, DE IGUAL FORMA SE LE SOLICITA A BOMBEROS LA COLABORACION PARA EVACUAR A LAS PERSONAS QUE HABITAN LAS VIVIENDAS Y ACORDONAR EL AREA.</t>
  </si>
  <si>
    <t>HORAS REPORTAN BOMBEROS  QUE EN LA VEREDA SAN MIGUEL, FINCA CASA LOMA, SE APAGÓ INCENDIO FORESTAL  DONDE SE QUEMARON 2 HECTÁREAS Y MEDIA (2.1/2) DE BOSQUES, VEGETACIÓN Y MALEZAS. NO SE PRESENTÓ AFECTACIÓN EN VIVIENDAS Y PERSONAS</t>
  </si>
  <si>
    <t xml:space="preserve">REPORTA DIRECTOR SECCIONAL SANTANDER: LLUVIAS TORRENCIALES A LAS 6. 30 HORAS, EN EL M/PIO DE CURITI SANTANDER, AFECTADOS LOS BARRIOS VILLA LUZ, VILLA DEL ROSARIO Y PEDREGAL, REBOSAMIENTO DE ALCANTARILLADO. RESULTANDO 18 FAMILIAS AFECTADAS, 18 VIVIENDAS INUNDADAS Y 81 PERSONAS AFECTADAS. </t>
  </si>
  <si>
    <r>
      <t xml:space="preserve">REPORTA FLRESMIRO SOTO DE LA SECCIONAL VALLE: FUERTES LLUVIAS EN EL M/PIO DE LA UNION EL 02-05-2013 A LAS 13. 00 HORAS, REPORTE PRELIMINAR DE 10 VIVIENDAS AFECTADAS, 10 FAMILIAS, PENDIENTE CENSO DE PERSONAS AFECTADAS. PARTICIPAN 8 LIDERES DCC. </t>
    </r>
    <r>
      <rPr>
        <b/>
        <sz val="9"/>
        <color indexed="8"/>
        <rFont val="Arial"/>
        <family val="2"/>
      </rPr>
      <t>WSL</t>
    </r>
  </si>
  <si>
    <t>CDGRD DE ANTIOQUIA, INFORMA, INCENDIO FORESTAL, EN EL MPIO DE SANTA ROSA DE OSOS, VEREDA: CHAGUALA, CON 1 HECTÁREA AFECTADA, SITUACIÓN CONTROLADA.</t>
  </si>
  <si>
    <t>CDGRD DE BOLIVAR, VENDAVAL, LA NOCHE ANTERIOR,  EN EL MPIO DE CORDOBA, CORREGIMIENTO DE: TACAMOCHO, REALIZAN EDAN..</t>
  </si>
  <si>
    <t>CDGRD DEL CESAR, INFORMA, VENDAVAL, LA NOCHE ANTERIOR, EN EL MPIO DE LA JAGUA DE IBIRICO, REALIZAN EDAN.</t>
  </si>
  <si>
    <t>CDGRD DEL MAGDALENA, INFORMA, SE PRESENTÓ VENDAVAL, LA NOCHE ANTERIOR EN EL MPIO DE SANTA BARBARA DE PINTO, VEREDA, SAN PEDRO, REALIZAN EDAN</t>
  </si>
  <si>
    <t>CDGRD DEL MAGDALENA, INFORMA,  MPIO DE SANTA ANA SE PRESENTÓ, VENDAVAL EL DÍA 28-05-2013, CORREGIMIENTO: SAN FELIPE, CON 10 VIVIENDAS AFECTADAS, LA INFORMACIÓN LLEGO HASTA EL DÍA DE HOY.</t>
  </si>
  <si>
    <t xml:space="preserve">CDGRD DE NARIÑO,  REPORTA, LAS SIGUIENTES NOVEDADES: INCENDIO ESTRUCTURAL EN LA VEREDA, EL SALADO DEL MPIO DE SAN PREDRO DE CARTAGO, 1 VIVIENDA, 1 FAMILIA AFECTADA, ,2 PERSONAS AFECTADAS.
</t>
  </si>
  <si>
    <t>CDGRD DE NARIÑO, EN EL MPIO DE IPIALES 2 MUERTOS, 1 CIVIL Y 1 BOMBERO, 2 BOMBEROS HERIDOS, EN UN RESCATE EN EL ALCANTARILLADO, DEL TERMINAL DE TRANSPORTES DE IPIALES.</t>
  </si>
  <si>
    <t xml:space="preserve">BOMBEROS, INFORMA, QUE ATIENDEN EMERGENCIA VIAL EN, EL MPIO DE ARGELIA- CAUCA. PERSONAL DE LA SECRETARÍA DE INFRAESTRUCTURA Y EL CONSEJO DEPARTAMENTAL DE GESTIÓN DEL RIESGO DE DESASTRES, TRABAJAN CONJUNTAMENTE CON LA ADMINISTRACIÓN, MUNICIPAL DE ARGELIA, PARA SUPERAR CUANTO ANTES LA EMERGENCIA VIAL QUE AFECTA EL ACCESO A, EL MANGO Y EL PLATEADO, COMO CONSECUENCIA DE LA EMERGENCIA VIAL PRESENTADA POR EL FUERTE INVIERNO EN LA VEREDA MIROLINDO.
AL PARECER, LA INTENSA LLUVIA DE LOS ÚLTIMOS DÍAS PROVOCÓ EL TAPONAMIENTO DE UNA ALCANTARILLA, CREÁNDOSE UN REPRESAMIENTO DE AGUA A UN COSTADO DE LA VÍA QUE FINALMENTE FRAGMENTÓ LA BANCA DE LA VÍA.
</t>
  </si>
  <si>
    <t>COMANDANTE DE BOMBEROS DE INIRIDA, INFORMA,  SE DECRETA ALERTA AMARILLA POR OLA INVERNAL AL SUPERAR LOS 10 MT EN LA MIRAS DEL IDEAM, SITUACIÓN EN DESARROLLO.</t>
  </si>
  <si>
    <t>50 ROLLOS MANGUERA DE 1/2, 50 ROLLOS DE 1" Y 50 DE 2"</t>
  </si>
  <si>
    <t>APOYO MEDIANTE TRANSFERENCIA AL CMGRD PARA LA ADQUISICION DE COMBUSTIBLE Y LUBRICANTES PARA LA MAQUINARIA QUE REALIZARA EL MANTENIMIENTO DE LA RED VIAL TERCIARIA</t>
  </si>
  <si>
    <r>
      <t xml:space="preserve">CDGRD ACTUALIZA DATOS DE AFECTACIÓN POR AVALANCHA EN ESTE MUNICIPIO ASI:             VEREDAS AFECTADAS 22: BUENOS AIRES, SAN MIGUEL, CANAÁN, SANTA HELENA, BUENA VISTA, SAN FRANCISCO, SINAÍ, CEDRAL, SANTA LIBRADA, EL PLACER, SAN JOAQUÍN, LA MARÍA, BACHE, BACHECITO, JERUSALÉN,  LOS PINOS, EL CENSO, EL ENCANTO, EL VERGEL, LA ESPERANZA, MESITAS, LAS MERCEDES Y EL SOCORRO,  BARRIOS AFECTADOS 15: LUIS GUILLERMO SARMIENTO, SANTA MARÍA LA NUEVA ETAPAS 1 ,2 Y 3, DIAMANTE ETAPAS 1 Y 2, LA AVENIDA,  ACRÓPOLIS, VILLA DEL RIO, EL JARDÍN, LAS MERCEDES, EL SEBASTIÁN, LA PLANTA, EL BRICEÑO Y EL CENTRO, FAMILIAS DAMNIFICADAS 341 ZONA URBANA Y RURAL POR DAÑOS EN VIVIENDAS Y PERDIDAS AGROPECUARIAS, PERSONAS DAMNIFICADAS 1165, PERSONAS HERIDAS 4 LAS CUALES FUERON ATENDIDAS EN LA ESE LOCAL NUESTRA SEÑORA DEL CARMEN. VIVIENDAS DESTRUIDAS 8 EN BARRIO LA AVENIDA 2, VEREDA EL VERGEL 1, SAN JOAQUÍN 2, LA MARÍA 2, LAS BRISAS 1, VIVIENDAS AVERIADAS 41 EN ZONA RURAL Y URBANA, VIAS TERCIARIAS AFECTADAS 10 POR DESLIZAMIENTOS, VIAS SECUNDARIAS 1: PALERMO-SANTA MARÍA, PUENTES VEHICULARES DESTRUIDOS 8, COMO: PUENTE INTERVEREDAL MATADERO (ZONA URBANA), EL VERGEL, PLACER-SANTA LIBRADA, TARCICIO ANDRADE, PUENTE SOBRE LA QUEBRADA EL CARMEN SITIO LA ESMERALDA, LAS MERCEDES, SAN JOAQUIN ALTO Y LA MARIA. PUENTES VEHICULARES AVERIADOS 2, UBICADOS VEREDA LA MARÍA A VEREDA LAS BRISAS, VEREDA SAN JOAQUÍN A LA ESMERALDA – QUEBRADA EL CARMEN DE BOLÍVAR , PUENTES PEATONALES DESTRUIDOS 14, UBICADOS EN LAS VEREDAS: BACHECITO CON 2, BACHE CON 3, LOS PINOS CON 1, EL CHISPIADERO, EL CEDRAL - LAS JUNTAS, UNIÓN SAN FRANCISCO, RIO BACHE FCA. NEFTALÍ ALDANA, CAMPAMENTO, FCA. GUACIMOS-VDA ESPERANZA, ARLEY RODRÍGUEZ, PISCINA MIGUEL CABRERA, DORA CASTIBLANCO, LUIS ARIAS- FLIA. SÁENZ, FINCA ESPERANZA GUILLERMO DÍAZ, RIO BACHE FCA. NEFTALÍ ALDANA, CAMPAMENTO, FCA. GUACIMOS-VDA ESPERANZA, ARLEY RODRÍGUEZ, PISCINA MIGUEL CABRERA, DORA CASTIBLANCO, LUIS ARIAS- FLIA. SÁENZ, FINCA ESPERANZA GUILLERMO DÍAZ, ACUEDUCTOS 4 ASI: ALTO SAN JOAQUÍN, EL SOCORRO, CENTRO POBLADO SAN JOAQUÍN, EL ENCANTO, SEDES EDUCATIVAS AVERIADAS 8 COMO: SANTA LIBRADA, EL PLACER, SAN JOAQUÍN, SAN MIGUEL, MESITAS, SANTA JUANA DE ARCO, LAS JUNTAS, LAS VERGEL, ESCENARIOS DEPORTIVOS AVERIADOS 1 COMO: POLIDEPORTIVO UBICADO EN LA VEREDA EL SOCORRO, PLANTA DE BENEFICIO ANIMAL 1 AVERIADO. PLANTA DE TRATAMIENTO DE AGUAS RESIDUALES 1, EN ZONA URBANA, PERDIDAS AGROPECUARIAS: CULTIVO DE CAFE, GRANADILLA , PASTOS, APIARIOS, CACAO Y ANIMALES, OTROS: 4 VEHICULOS CON PERDIDA TOTAL, TRABAJO CONJUNTO ASI, CDGRD , CMGRD, BOMBEROS, DEFENSA CIVIL, CRUZ ROJA, PONAL, SALUD MUNICIPAL, BIENESTAR FAMILIAR, RED-UNIDOS, CAM,  EJERCITO, AGUAS DEL HUILA
</t>
    </r>
    <r>
      <rPr>
        <sz val="9"/>
        <color theme="9" tint="-0.249977111117893"/>
        <rFont val="Arial"/>
        <family val="2"/>
      </rPr>
      <t xml:space="preserve">SUBSIDIO DE ARRIENDO TEMPORAL PARA 19 FAMILIAS DURANTE TRES MESES A RAZON DE $250.000 MENSUALES TOTAL $14,250,000.
</t>
    </r>
    <r>
      <rPr>
        <sz val="9"/>
        <color theme="3" tint="0.39997558519241921"/>
        <rFont val="Arial"/>
        <family val="2"/>
      </rPr>
      <t>SUBSIDIO DE ARRIENDO TEMPORAL PARA 6 FAMILIAS DURANTE TRES MESES A RAZON DE $250.000 MENSUALES</t>
    </r>
  </si>
  <si>
    <t xml:space="preserve">COLAPSO </t>
  </si>
  <si>
    <t>SIETE HERIDOS EN CARTAGENA POR PARED COLAPSADA, SEGÚN LOS HABITANTES DE LA ZONA, UN INCIDENTE SIMILAR SE VEÍA VENIR POR EL DETERIORO DE LA ESTRUCTURA.EL CONDUCTOR DE UNA BUSETA QUE PRETENDÍA SALIR DE UN PARQUEADERO EN REVERSA CHOCÓ LA PARED TRASERA DE ESTE, DEJANDO HERIDOS A POR LO MENOS SIETE PERSONAS, ENTRE ELLOS CUATRO MENORES DE EDAD QUE ESTUDIAN EN UN COLEGIO CERCANO.</t>
  </si>
  <si>
    <t>HORAS EN LA VÍA NACIONAL CARRETERA BUCARAMANGA BOGOTÁ KILÓMETRO 56 PASO PESCADERO SITIO LA QUEBRADA, SE PRESENTÓ VOLCAMIENTO LATERAL DEL VEHÍCULO TRACTOCAMIÓN CARRO TANQUE, QUIEN TRANSPORTABA  10.700 GALONES DE COMBUSTIBLE A.C.P.M, QUIEN SE DIRIGÍA DE LA LIZAMA CON DESTINO A AGUAZUL CANSARE, DERRAMÁNDOSE EL COMBUSTIBLE SOBRE LAS AGUAS DEL RÍO MANCO, BOMBEROS DE PIEDECUESTA SE DESPLAZARON AL SITIO FIN CONTROLAR EL DERRAME DEL COMBUSTIBLE. POR LA CERCANÍA AL RÍO CHICAMOCHA YA LLEGÓ EL COMBUSTIBLE</t>
  </si>
  <si>
    <t>REPORTAN DEL CDGRD , UE EN HORAS DE LA MADRUGADA SE PRESENTARON FUERTES AQGUACEROS CON VIENTOS HURACANADOS AFECTANDDO VARIOS MUNICIPIOS SE ESTA EDAN HACIA LA TARDE.</t>
  </si>
  <si>
    <t>SE PRESENTO UN DESLIZAMIENTO EN ZONA RURAL DEL MUNICIPIO, AL MOMENTO HAY AFECTACION EN EL ACUEDUCTO Y UNAS VIVIENDAS, SE ESTA REALIZANDO EDAN.</t>
  </si>
  <si>
    <t>REPORTA A CAUSA DE TORMENTA ELECTRICA CAYO UN RAYO EN LA VEREDA LOS MAMONES EL CUAL ORIGINO INCENDIO EN 3 VIVIENDAS CON PERDIDA TOTAL, REPORTA CDGRD.</t>
  </si>
  <si>
    <t>SE PRESENTA, VENDAVAL REALIZAN EDAN INFORMO D.C.C.</t>
  </si>
  <si>
    <t>BOMBEROS, INFORMA, EXPLOSIÓN DE TUBERIAS DE GAS, BARRIO: SAN VICENTE, 1 MENOR FALLECIDO, 1 EDIFICIO AFECTADO APOYAN BOMBEROS DE: DOS QUEBRADAS, CHINCHINA Y PEREIRA.</t>
  </si>
  <si>
    <t>REPORTA EL CMGRD MEDIANTE ACTA QUE 43 FAMILIAS FUERON AFECTADAS POR FUERTES LLUVIAS QUE PROVOCARON INUNDACIONES EN EL MUNICIPIO, DONDE SE AFECTARON SUS VIVIENDAS Y ENSERES.</t>
  </si>
  <si>
    <t>EN LA VEREDA PLOMAR SE PRESENTO UN INCENDIO ESTRUCTURAL , VIVIENDA DE MANUEL GRIMALDO PACHECO, CON DESTRUCION TOTAL, PERDIDA DE ENSERES, NO REPORTAN LESIONADOS. EL CMGRD REALIZA EDAN</t>
  </si>
  <si>
    <t>A LA 1.00 AM SE VOLCO UN CAMION SISTERNA QUE TRANSPORTABA 10.800 GALONES DE ACPM A 2 KILOLOMETROS DE PAMPLONA EN EL SITIO LLAMADO PALOS BLANCOS, ENTIDADES DE SOCORRO EN EL SITIO, REPORTAN SIN RIESGO A LOS CUERPOS DEA AGUA.</t>
  </si>
  <si>
    <t>EN ZONA RURAL DEL MUNICIPIO DE ARAUCA SE PRESENTO UN VENDAVAL AFETANDO UNA ESCUELA DE SANTO ANGEL , EN LA VEREDA  LA PANCHERA , REPORTAN UN MENOR DE EDAD LESIONADO, EL CUA FUE REMITIDO AL HOSPITAL LOCAL.</t>
  </si>
  <si>
    <t>CDGRD REPORTA EN ESTE MUNICIPIO 1 PERSONA FALLECIDA Y 3 LESIONADAS POR ATAQUE DE ABEJAS AFRICANIZADAS, FUERION TRASLADADOS A CENTROS ASISITENCIAL DEL MUNICIPIO</t>
  </si>
  <si>
    <t xml:space="preserve">CDGRD REPORTA DATOS DE AFECTACION POR INUNDACION CON AFECTACION A 2 COMUNIDADES, CON 253 FAMILIAS AFECTADAS, 1.265 PERSONAS, 2 VIAS, 1 PUENTE, DAÑO EN CULTIVOS  ENTRE OTROS, </t>
  </si>
  <si>
    <t>SE REALIZO LLAMADA AL CDGRD NO FUE POSIBLE LA COMUNICACIÓN,  EN ENLACE CON EL MUNICIPIO INFORMA DE MANERA PRELIMINAR DESBORDAMIENTON DEL RIO VAUPES, AL MOMENTO EVACUADAS 8 FAMILIAS DEL CASCO URBANO, CMGRD Y ENTIDADES TRABAJAN EN CONJUNTO AL MOMENTO SUTIACION EN SEGUIMIENTO.</t>
  </si>
  <si>
    <t>SOCORRO NACIONAL REPORTA INCENDIO ESTRUCTURAL EN ESTE MUNICIPIO EN LA VEREDA PRIMAVERA CON AFECTACION EN UNA VIVIENDA, 1 FAMILIA PERDIDA TOTAL EN MUEBLES Y ENSERES, BOMBEROS ATENDIO.</t>
  </si>
  <si>
    <t>AFECTADOS PASTOS Y BOSQUE. VEREDAS LOS ANDES Y LA SALVE</t>
  </si>
  <si>
    <t>CDGRD DE ARAUCA, INFORMA, DESBORDAMIENTO DEL RÍO CARANAL, AFECTANDO LAS VEREDAS: SAN JOSÉ OBRERO, BUENOS AIRES, TIERRA SECA, LOS ANDES, PALMARITO, ALTO BELLO, NUEVO CARANAL, BRUSELAS JARDINES Y LA SALVE AFECTADAS, 20 FAMILIAS, CONTINUAN REALIZANDO EDAN, SITUACIÓN EN DESARROLLO.</t>
  </si>
  <si>
    <t>D.C.C, OFICINA OPERATIVA ARAUCA INFORMA QUE EL DÍA DE AYER, ATENDIENDO INFORMACIÓN DE LA COMUNIDAD DE LAS VEREDAS BUENOS AIRES, LA CRISTALINA Y CARDENALES Y SANTA OISABELSOBRE EL DESBORDAMIENTO DEL CAÑO CARANAL, OCASIONANDO LA INUNDACIÓN DE LAS VIVIENDAS RIBEREÑAS.REPORTE INICIAL; PENDIENTE AMPLIACION DE INFORMACION, SE CONFIRMO INFORMACIÓN CON EL CDGRD DE ARAUCA. REPORTE 20-03-13, EL MUNICIPIO DE ARAUQUITA EL FIN DE SEMANA PASADO PRESENTÓ INUNDACIÓN POR DESBORDAMIENTO DEL RÍO CARANAL POR FUERTES LLUVIAS EN LA CORDILLERA ORIENTAL Y EL PIE DE MONTE LLANERO, QUE CONLLEVO SEGÚN REPORTE DEL MUNICIPIO DE ARAUQUITA, 900 FAMILIAS AFECTADAS EN APROXIMADAMENTE 39 VEREDAS. TAMBIÉN EL CONSEJO MUNICIPAL DE GESTIÓN DEL RIESGO DE ARAUQUITA HA CENSADO APROXIMADAMENTE 300 FAMILIAS, Y LOS ORGANISMOS OPERATIVOS SE ENCUENTRAN EN LA ZONA REALIZANDO LAS ACCIONES DE DE CENSOS Y APOYO A LAS FAMILIAS, SITUACION EN DESARROLLO</t>
  </si>
  <si>
    <t>VEREDAS EL AMPARO, BUEOS AIRES, SANTA ISABEL, LA CRISTALIONA, UNION DE CARDENALES, CAÑO AZUL Y MATECOCO.. DESBORDAMIENTO RIO CARANAL.</t>
  </si>
  <si>
    <t>SE REPORTA FUERTE CRECIENTE DE LAS AGUAS DEL RIO ARAUCA EL CUAL ESTA OCASIONANDO INUNDACIONES EN EL AREA RURAL VEREDAS ESPERANZA GAVIOTAS, TRES PALMAS, MAPORITA, NUEVA JERUSALEM, GAVIOTAS PUEBLO NUEVO, BALLONERO, LOS CAJAROS, EL PLACER, GRAN BRETAÑA, MASAGUAROS, LOS LAURELES LA OSA Y BARRANQUILLITA. AL MOMENTO SE HAN EVACUADO 3 FAMILIAS DE LA VEREDA MASAGUAROS, EL CMGRD NOTIFICA QUE EL NIVEL DEL RIO CONTINUA EN AUMENTO POR LO QUE SE ACTIVA EL CDGRD Y A NIVEL LOCAL SE REALIZA EN ESTE MOMENTO MONITOREO AL NIVEL DEL RIO, REPORTA CDGRD, SITUACION EN DESARROLLO.</t>
  </si>
  <si>
    <t>VEREDAS EL FINAL, EL SOL, ALTAMIRA, MONSERRATE, CLARINETERO, EL TORNO, COROCITO, ISLA GUARDULIA, BOCAS DE ARAUCA, LAPAYARA, EL VAPOR, PUNTO FIJO, EL PELIGRO, BARRANCA AMARILÑLA, LA ESTRELLITA Y BARRANCONES.</t>
  </si>
  <si>
    <r>
      <t>EL COMANDANTE DE BOMBEROS DE SABANETA, JOSÉ RENÉ BOLÍVAR MOLINA , EL HECHO SE REGISTRÓ A LAS 3:00 DE LA TARDE EN LA CALLE 79 SUR 47-21 EN UNA EMPRESA QUE PRODUCE MATERIALES DE FIBRA DE VIDRIO Y POLIESTIRENO EXPANDIDO, CONOCIDO COMO ICOPOR. "EL INCENDIO SE CONTROLÓ CON LA AYUDA DE DOS MÁQUINAS DEL CUERPO DE BOMBEROS DE SABANETA Y EL APOYO DE UNA UNIDAD DE RESCATE DEL MUNICIPIO DE LA ESTRELLA.</t>
    </r>
    <r>
      <rPr>
        <b/>
        <sz val="11"/>
        <rFont val="Calibri"/>
        <family val="2"/>
      </rPr>
      <t xml:space="preserve"> </t>
    </r>
  </si>
  <si>
    <r>
      <t>UN PESCADOR IDENTIFICADO COMO OCTAVIO ANTONIO SÁNCHEZ AGUDELO MURIÓ EL PASADO JUEVES CUANDO CAYÓ A LAS AGUAS DEL RÍO TARAZÁ, EN DICHO MUNICIPIO DEL BAJO CAUCA ANTIOQUEÑO. EL HOMBRE DE 55 AÑOS QUE SE ENCONTRABA EN COMPAÑÍA DE SUS HIJOS</t>
    </r>
    <r>
      <rPr>
        <b/>
        <sz val="9"/>
        <rFont val="Arial"/>
        <family val="2"/>
      </rPr>
      <t xml:space="preserve"> </t>
    </r>
    <r>
      <rPr>
        <sz val="9"/>
        <rFont val="Arial"/>
        <family val="2"/>
      </rPr>
      <t>PESCANDO EN LA VEREDA CAÑÓN DE IGLESIAS, ZONA RURAL DEL SECTOR DE PUENTE ROTO CAYÓ AL RÍO Y MURIÓ AHOGADO</t>
    </r>
    <r>
      <rPr>
        <sz val="11"/>
        <rFont val="Calibri"/>
        <family val="2"/>
      </rPr>
      <t>.</t>
    </r>
  </si>
  <si>
    <t>CDGRD DEL VALLE DEL CAUCA, INFORMA,  SE RECIBIO REPORTES DE MUNICIPIOS DE : ROLDANILLO: INUNDACIÒN POR DESBORDAMIENTO DE LOS RIOS: CACERES , EL REY Y SANJON,  LOS MUDOS; AFECTO A LOS BARRIOS: REY ALTO, REY MEDIO, REY BAJO, ARRAYANES, UNION DE VIVIENDA Y GUACHAL, TORRIJOS Y DOÑA EMA; 19 VIVIENDAS AFECTADAS. SITUACIÓN EN DESARROLLO.</t>
  </si>
  <si>
    <t>PERDIDA DE CULTIVOS.</t>
  </si>
  <si>
    <t>MATERIALES PARA LA RECONSTRUCCION DE 6 VIVIENDAS Y REPARACIOND DE UNA VIVIENDA
997 BULTOS DE CEMENTO
990 VARILLAS DE 1/2
900 VARILLAS DE 1/4
40 VARILLAS DE 3/8
210 KG DE ALAMBRE QUEMADO
12000 BLOQUES DE CONCRETO
280 TEJAS DE ZINC DE 244
 1120 AMARRES</t>
  </si>
  <si>
    <t>FORTALECIMIENTO A LA UNGRD  EN HERRAMIENTAS Y EQUIPOS DE PROTECCION PERSONAL  FRENTE A INCENDIOS FORESTALES
MIR: $43,677,480
INCOLDEX $18,683,528</t>
  </si>
  <si>
    <t>450 MALLAS GALVANIZADAS CALIBRE 12
1000 KG ALAMBRE GALVANIZADO CALIBRE 13
425 MALLAS ELECTROSOLDADAS
6342 BULTOS DE CEMENTO</t>
  </si>
  <si>
    <t>CDGRD DEL TOLIMA, INFORMA, CAIDA DE UN MURO EN LA CONSTRUCCIÓN BALSAS DEL VERGEL, 1 PERSONA ATRAPADA, LA CUAL FUE RESCATADA CON VIDA, Y TRASLADADA A UN CENTRO ASISTENCIAL.</t>
  </si>
  <si>
    <t>D.C.C., INFORMA, SE PRESENTÓ EMERGENCIA POR INUNDACIÓN PRODUCTO DEL ROMPIMIENTO DEL CHORRO SANTA ANITA EN ZONA RURAL DEL MUNICIPIO DE SUCRE SUCRE AFECTANDO LOS CORREGIMIENTOS DE MONTERÍA, CARACUHAS 1 Y GUARIPA CON SUS PARCELAS, 385 FAMILIAS AFECTADAS.</t>
  </si>
  <si>
    <t>DERRUMBE DE UNA PARED AL SER TROPEZADA POR UN MEDIO DE TRANSPORTE  TERRESTRE  DE SERVICIO PÚBLICO AL LADO DEL COLEGIO CIUDAD DE TUNJA EN LA AVENIDA PEDRO ROMERO DE OLAYA, 1 PESONA FALLECIO, 9 HERIDOS.</t>
  </si>
  <si>
    <t>D.C.C., INFORMA, EN EL MUNICIPIO DE SANTA ROSA DE CABAL, EN LA CALLE 24 CON CRA. 13 Y 14, SE PRESENTÓ INCENDIO ESTRUCTURAL DONDE SE CONSUMIÓ UNA VIVIENDA MIXTA DE TRES PISOS, FALLECIENDO, EL NIÑO DE TRES AÑOS JUAN ESTEBAN JIMÉNEZ LONDOÑO, AL PARECER EL INCENDIO SE ORIGINÓ POR UN CORTO CIRCUITO,  SE APOYÓ POR LA JDC DE SANTA ROSA DE CABAL POR ESPACIO DE DOS HORAS. EN LA ATENCIÓN DE LA EVENTUALIDAD RESULTO LESIONADO EL LÍDER VOLUNTARIO EDUARDO GARCÍA SABOGAL DE LA JDC SANTA ROSA DE CABAL.</t>
  </si>
  <si>
    <t>CDGRD DE CAQUETA, INFORMA, INCENDIO ESTRUCTURAL, PRESENTADO LA NIOCHE ANTERIOR, 1 VIVIENDA DESTRUIDA, SIN LESIONADOS.</t>
  </si>
  <si>
    <t xml:space="preserve">CDGRD DE SANTANDER, INFORMA, CERRADA POR CAIDA DE LA BANCA , LA VIA ENTRE LOS MUNICIPIOS DE  SIMACOTA Y EL HATO, VIA SECUNDARIA,  21:15 HORAS, EN EL MUNICIPIO DE SIMACOTA, EN LA VEREDA DE SANTANA DE FLOREZ, DESDE HACE VARIOS DÍAS SE VENÍA PRESENTÁNDOSE  FALLA GEOLÓGICA Y QUE LA NOCHE ANTERIOR SI LLUVIAS SE PRODUJO LA REMOCIÓN DE TIERRA Y LA CUAL SE LLEVO LA BANCADA DE LA CARRETERA Y EL CUAL ESTA TAPONANDO LA AFLUENTE DE AGUA QUEBRADA LA RETIRA, EL CUAL ESTA CAUSANDO UNA REPRESA DE AGUA Y ESTÁ PONIENDO EN PELIGRO A VIVIENDAS SOBRE LAS RIVERAS DE LA QUEBRADA. LA CARRETERA CONDUCE DEL MUNICIPIO HACIA EL VECINO MUNICIPIO DEL HATO, SITUACIÓN EN DESARROLLO.  POR TAL MOTIVO SE REUNIÓ EL CONSEJO MUNICIPAL DE LA GESTIÓN DEL RIESGO PARA TOMAR DETERMINACIONES, SE ANEXO MATERIAL FOTOGRÁFICO DE LA FALLA.  REUNIÓN DEL CONSEJO MUNICIPAL DE GESTIÓN DEL RIESGO Y DECLARATORIA DE EMERGENCIA  SE EXPUSO LA PROBLEMÁTICA QUE SE ESTÁ  PRESENTANDO EN LA VÍA SIMACOTA PUENTE PEÑA, SECTOR LOS MANGOS DONDE SE PRESENTA UN MOVIMIENTO DE TIERRA PRODUCIENDO UN GRAN DESLIZAMIENTO Y DAÑO EN LA VÍA, EL DÍA DE AYER 06052013 23:00 HORAS, SE PRODUJO UN DESLIZAMIENTO PRODUCIÉNDOSE CIERRE TOTAL, DICHO DESLIZAMIENTO PUEDE PRESENTAR UN REPRESAMIENTO EN LA QUEBRADA LA RETIRA. TENIENDO EN CUENTA QUE EL REPRESAMIENTO ES INMINENTE, SE DECIDIÓ TALAR LOS ÁRBOLES QUE ESTÁN UBICADOS AL LADO Y LADO DE LA QUEBRADA, DONDE SE PRODUCE EL REPRESAMIENTO HACIENDO UN CANAL PARA PODER PARA PODER TRASLADAR EL AFLUENTE PARA QUE SE PUEDA COMUNICAR CON LA QUEBRADA QUE SE ENCUENTRA MÁS ABAJO Y ASÍ EVITAR UN MAYOR REPRESAMIENTO.  SE DECLARA, LA ALERTA ROJA Y SE DECIDE AVISAR A LOS  ESIDENTES QUE SE ENCUENTRAN ALEDAÑOS A LA QUEBRADA LA RETIRA A EVACUAR YA QUE  E PUEDE PRESENTAR UNA AVALANCHA,  EUBICANDO A LAS  FAMILIAS AFECTADAS EN LA CASA DE LA CULTURA O EN UN LUGAR   INADO PARA TAL FIN. TAMBIÉN SE AVISARA POR LA EMISORA EL RIESGO INMINENTE EN ESA ZONA Y SOLICITANDO LA COLABORACIÓN DE LA COMUNIDAD EN GENERAL Y SE REALIZA UN MONITOREO CONSTANTE EN LA ZONA. DE IGUAL FORMA SE LE COMUNICA A LA CAS, SOBRE EL DAÑO PRESENTADO Y TAMBIÉN AL CORONEL MIGUEL GÓMEZ. SE LE ANEXA REPORTE FOTOGRÁFICO DE LA ZONA AFECTADA LAS CUALES FUERON TOMADAS A LAS 07:00 A.M.
</t>
  </si>
  <si>
    <t>REPORTA VENDAVAL EN LA VEREDA LA FLORIDA EL DÍA 07 DE JUNIO DE 2013 EN HORAS DE LA NOCHE, LA INFORMACION PRELIMINAR ES DE 13 VIVIENDAS AVERIADAS , EL CMGRD ESTA REALIZANDO EDAN. SITUACION EN DESARROLLO.</t>
  </si>
  <si>
    <t>REPORTA LIDER VOLUNTARIO ANDRÉS BARRETO RADIOPERADOR DE SERVICIO DE LA SECCIONAL BOGOTÁ, QUE SIENDO LAS 12:00 HORAS DE HOY 08-06-13 SE REGISTRA VENDAVAL SOBRE SECTOR DEL BARRIO GRANADA SUR, QUE DEJA SALDO DE 4 AFECTADOS ILESOS DE 1 FAMILIA EN 1 VIVIENDA AFECTADA. PARTICIPARON EN LA OPERACIÓN 1 LIDERE VOLUNTARIO DCC</t>
  </si>
  <si>
    <t>CDGRD DE TOLIMA, INFORMA, 20:12, ATIENDEN INCENDIO FORESTAL, SECTOR: MOLINO GRANDE, EN LA VÍA ESPINAL- CHICORAL, APOYAN BOMBEROS, SITUACIÓN EN DESARROLLO.</t>
  </si>
  <si>
    <t>REPORTA DESBORDAMIENTO RIO MAGDALENA EN  VEREDA VILLA DEL PRADO, HASTA EL MOMENTO HAY 2 VIVIENDAS INUNDADAS, 2 FAMILIAS DAMNIFICADAS, 10 PERSONAS, CON PERDIDA TOTAL DE MUEBLES Y ENSERES Y 10 MAS EN RIESGO, REPORTA CDGRD.</t>
  </si>
  <si>
    <t>BOMBEROS, INFORMA, SOBRE LAS 11 AM EN HATONUEVO LA GUAJIRA HUBO UN INCENDIO DE UNA VIVIENDA, LA CUAL SE QUEMO EN SU TOTALIDAD, DEBIDO A QUE LA MÁQUINA DE BOMBEROS ESTA FUERA SE SERVICIO, POR FALTA DE MANTENIMIENTO POR NO TRANSFERENCIA DE RECURSOS DE LA ADMINISTRACION.</t>
  </si>
  <si>
    <t>BOMBEROS, DIBULLA GUAJIRA INCENDIO FORESTAL, HOY EN LA TRONCAL DEL CARIBE KILÓMETRO 36 + 400 EN LA VÍA HACIA LA CAPITAL DE LA GUAJIRA, INCENDIO CONTROLÁDO AFECTACION APROXIMADA 2 HECTAREAS.</t>
  </si>
  <si>
    <t>EMERGENCIA EN LA TRONCAL DE ORIENTE A LA ALTURA DEL KILÓMETRO 43 SECTOR VUELTA DEL RECREO POR ÁRBOL CAÍDO EN LA VÍA QUE DE FUNDACIÓN CONDUCE A ARACATACA OCASIONADO  POR FUERTES VIENTOS ACOMPAÑADO DE LLUVIAS, SE ESPERO A QUE LA EMPRESA DE ENERGÍA ARREGLARA LOS CABLES DE ENERGÍA, PARA ASÍ DESPEJAR LA VÍA.</t>
  </si>
  <si>
    <t xml:space="preserve">BOMBEROS, INFORMA, CERCA DE 200 PERSONAS FUERON EVACUADAS DEL INMUEBLE DE 16 PISOS. HAY OCHO AFECTADOS. UN INCENDIO REGISTRADO ESTE DOMINGO A LAS 2:30 DE LA TARDE EN EL EDIFICIO GÉMINIS OBLIGÓ A LA MOVILIZACIÓN DE LOS ORGANISMOS DE SOCORRO DE LA CIUDAD. DE ACUERDO CON EL REPORTE DEL CUERPO DE BOMBEROS DE CALI, LAS LLAMAS SE PRESENTARON EN EL SEGUNDO PISO DEL EDIFICIO LOCALIZADO EN LA AVENIDA ROOSEVELT CON CARRERA 38, EN EL SUR DE LA CIUDAD. FUERON EVACUADAS 200 PERSONAS Y OCHO DEBIERON SER REMITIDAS A CENTROS HOSPITALARIOS COMO CONSECUENCIA DE LA INHALACIÓN DE HUMO Y OTRAS CUATRO POR CONTUSIONES Y HERIDAS BUSCANDO SALIR DEL INMUEBLE. POR FORTUNA NO SE REGISTRARON PÉRDIDAS HUMANAS. LA EMERGENCIA FUE ATENDIDA POR UNOS 20 MIEMBROS DE LOS BOMBEROS DE CALI CON DOS MÁQUINAS DE ALTURA Y TRES EXTINTORAS. SE INVESTIGAN LAS CAUSAS DE LA CONFLAGRACIÓN.
</t>
  </si>
  <si>
    <t>REPORTA ACCIDENTE DE TRANSITO EN EL KM 36 VIA A PUERTO ARAUJO, COLISION ENTRE TRACTO CAMION CISTERNA CON COMBUSTIBLE Y BUS EMPRESA BRASILIA, REPORTE  5 PERSONAS FALLECIDAS Y 5 PERSONAS LESIONADAS LAS CUALES FUERON REMITIDAS AL HOSPITAL DE PUERTO BOYACA, REPORTA CDGRD.</t>
  </si>
  <si>
    <r>
      <t>ESTE DESLIZAMIENTO DE TIERRA QUE CAYÓ EN LA VÍA QUE DEL MUNICIPIO DE APÍA CONDUCE A LA VIRGINIA EN EL SECTOR CONOCIDO COMO LIMONES (KILÓMETRO 10 + 500 METROS) MANTIENE INCOMUNICADOS A LOS DOS DEPARTAMENTOS DESDE EL SÁBADO EN HORAS DE LA NOCHE Y HASTA EL MOMENTO NO HA PODIDO SER REMOVIDO</t>
    </r>
    <r>
      <rPr>
        <sz val="11"/>
        <color indexed="63"/>
        <rFont val="Georgia"/>
        <family val="1"/>
      </rPr>
      <t>.</t>
    </r>
  </si>
  <si>
    <t>EN LA NOCHE ANTERIOR SE PRESENTO UN FUERTE AGUACERO ACOMPAÑANO CON VIENTOS HURACANAS AFECTANDO A VARIA FAMILIAS EN ZONA RURAL DE  DE LAS  VEREDAD  CASTA RICA, SOMBRERO CABA, SAN PABLO, AL MOMENTO SE ESTA REALIZANDO EDAN.B INFORMA CDGRD</t>
  </si>
  <si>
    <t>INFORMAN DEL CDGRD DEL TOLIMA,  QUE SE ESTA PRESENTANDO UN IF EN LA VEREDA DE SAN FELIPE ,ATIENDE BOMBEROS DE MARIQUTA , SITUACION EN DESARROLLO.</t>
  </si>
  <si>
    <t xml:space="preserve">CMGRD INFORMA MEDIANTE ACTA, QUE EL DIA 17 DE ABRIL DE 2013, APROXIMADAMENTE A LAS 3:45 PM HORAS SE PRESENTO EN LA ZONA URBANA Y RURAL UN FUERTE VENDAVAL ACOMPAÑADO DE TORRENCIAL LLUVIA QUE OCASIONO GRAVES DAÑOS EN LOS CULTIVOS E INFRAESTRUCTURAS DE LAS VIVIENDAS DE LOS POBLADORES DE LA REGION. </t>
  </si>
  <si>
    <t xml:space="preserve">CAPITAN CASTAÑO DE LA UNGRD INFORMA EL DIA 11 DE JUNIO DE 2013 A LAS 12:50 PM ACTUALIZACION  DEL CONSOLIDADO PARCIAL DE AFECTACIONES POR FUERTES LLUVIAS EL PASADO SABADO 01 DE JUNIO DE 2013:                                          15 VIVIENDAS DESTRUIDAS, 111 VIVIENDAS AFECTADAS, 1 PUENTE VEHICULAR AFECTADO, 371 HECTÁREAS DE CULTIVOS AFECTADAS, TOTAL FAMILIAS AFECTADAS: 490, TOTAL PERSONAS AFECTADAS: 1571, VEREDAS INCOMUNICADAS POR MALLA VIAL 65, 12 ACUEDUCTOS VEREDALES DESTRUIDOS.
</t>
  </si>
  <si>
    <t xml:space="preserve">CDGRD DE SANTANDER, INFORMA, EN EL DÍA DE HOY 11/06/2013, SIENDO LAS 08:30 HORAS, SE PRESENTÓ INCENDIO ESTRUCTURAL, DE UNA RESIDENCIA CAMPESINA EN LA VEREDA QUEBRADA HONDA, FINCA, CAPELLANIA, 1 VIVIENDA DESTRUIDA, SIN LESIONADOS. </t>
  </si>
  <si>
    <t>D.C.C., INFORMA, SE PRESENTÓ VENDAVAL, EN LA VEREDA: SAN JOSÉ, AFECTANDO 1 FAMILIA.</t>
  </si>
  <si>
    <t xml:space="preserve">D.C.C., REPORTA BUS ESCALERA QUE RODO, A UN ABISMO POR MALAS CONDICIONES DE LA VIA, REPORTE PRELIMINAR, 2 PERSONAS FALLECIDAS, 7  PERSONAS DESAPARECIDAS, 15 HERIDOS,  QUE ESTÁN SIENDO TRASLADADOS A CARTAGO VALLE DEL CAUCA, EN LA ZONA ESTA EL CMGRD, DCC, PONAL Y EJERCOL, SITUACION EN DESARROLLO. REPORTA CDGRD Y CARLOS BARRERA UNGRD. </t>
  </si>
  <si>
    <t>CDGRD DEL TOLIMA, INFORMA, SE PRESENTÓ, INCENDIO ESTRUCTURAL, EN EL BARRIO: ENTRE RIOS, DEJANDO 1 VIVIENDA DESTRUIDA, 1 VIVIENDA AVERIADA, 1 PEROSNA CON QUEMDURAS</t>
  </si>
  <si>
    <t>BOMBEROS Y CDGRD DEL TOLIMA, INFORMA, ATIENDEN INCENDIO FORESTAL, DESDE LAS 12:20, DEL DÍA DE HOY, SECTOR. CORDILLERA OCCIDENTAL,  ATIENDEN 4 FOCOS, SITUACIÓN EN DESARROLLO.</t>
  </si>
  <si>
    <t>FORTALECIMIENTO AL EJERCITO NACIONAL  EN HERRAMIENTAS, EQUIPOS, EQUIPOS DE PROTECCION PERSONAL Y BAMBI BUCKETS FRENTE A INCENDIOS FORESTALES
LJV $67,169,220
INCOLDEX $52,200,000</t>
  </si>
  <si>
    <t>FORTALECIMIENTO A BOMBEROS  EN HERRAMIENTAS Y EQUIPOS, FRENTE A INCENDIOS FORESTALES
MIR: $210,728,616</t>
  </si>
  <si>
    <t>FORTALECIMIENTO A LA DEFENSA CIVIL COLOMBIANA EN HERRAMIENTAS, EQUIPOS Y EQUIPOS DE PROTECCION PERSONAL FRENTE A INCENDIOS FORESTALES
AGROEMPAQUES:$ 218,894,900
INCOLDEX $29,000,000</t>
  </si>
  <si>
    <t>FORTALECIMIENTO A LA CRUZ ROJA COLOMBIANA EN EQUIPOS DE SALUD Y EQUIPOS DE PROTECCION PERSONAL FRENTE A INCENDIOS FORESTALES
JOMAGO : $259,191,983,2
INCOLDEX $23,200,000</t>
  </si>
  <si>
    <t>FORTALECIMIENTO A LA POLICIA NACIONAL  EN HERRAMIENTAS, EQUIPOS, EQUIPOS DE PROTECCION PERSONAL Y BAMBI BUCKETS FRENTE A INCENDIOS FORESTALES
RCS SAS $54,889,726,8
LJV $67,169,220
INCOLDEX $31,610,000</t>
  </si>
  <si>
    <t>FORTALECIMIENTO A PARQUES NACIONALES  EN HERRAMIENTAS, EQUIPOS DE SALUD Y EQUIPOS DE PROTECCION PERSONAL FRENTE A INCENDIOS FORESTALES
ICOLPOR $96,820,262
INCOLDEX $84,100,000
JOMAGO $ 37,758,000</t>
  </si>
  <si>
    <r>
      <t>LOS MINEROS JOSÉ HENAO Y</t>
    </r>
    <r>
      <rPr>
        <b/>
        <sz val="9"/>
        <rFont val="Arial"/>
        <family val="2"/>
      </rPr>
      <t xml:space="preserve"> </t>
    </r>
    <r>
      <rPr>
        <sz val="9"/>
        <rFont val="Arial"/>
        <family val="2"/>
      </rPr>
      <t>RAMIRO BARRAGÁN GUTIÉRREZ</t>
    </r>
    <r>
      <rPr>
        <b/>
        <sz val="9"/>
        <rFont val="Arial"/>
        <family val="2"/>
      </rPr>
      <t xml:space="preserve"> </t>
    </r>
    <r>
      <rPr>
        <sz val="9"/>
        <rFont val="Arial"/>
        <family val="2"/>
      </rPr>
      <t>MURIERON EN UNA MINA DE EXTRACCIÓN ARTESANAL DE ORO QUE FUNCIONA A ORILLAS DEL RÍO MAGDALENA, EN JURISDICCIÓN DEL MUNICIPIO DE RIVERA, 15 KILÓMETROS AL SUR DE LA CIUDAD DE NEIVA, DONDE OTROS 20 MINEROS SE SALVARON PORQUE LOGRARON SALIR A TIEMPO.</t>
    </r>
  </si>
  <si>
    <t xml:space="preserve">INFORMA CMGRD , VIVIENDA INUNDADA EN LA CALLE 42A # 11B - 50, B/CALARCA. APOYO BOMBEROS. R DE IGUAL MANERA SE  EPORTA INUNDACIONES EN DIFERENTES SECTORES COMO EN LA CLINICA TOLIMA POR LA PARTE DE URGENCIAS, B/ LAS BRISAS, B/ SANTA ANA EN LA MZ 41 CASA 21,22,23, EN EL B7 AVENIDAD ENSEGUIDA DEL PUENTE DEL COMBEIMA CARRERA 4 SUR # 13-20, EN EL PUENTE DEL TOPACIO, EN EL COMANDO DE LA POLICIA SECTOR DEL HUECO EN LA SUPERMANZANA 15 MZ 1 CASA 3, B/ MARCELLA APOYANDO LAS MOVILES DE LA EST SUR, NORTE Y CENTRO DE BO Y BV SIN MS DETALLES.
</t>
  </si>
  <si>
    <t>DESDE LA MADRUGADA SE VIENE PRESENTADO UNA CRECIENTE SUBITA EN EL RIO ARIARI  EN EL SECTOR DE LA VEREDA DE VISOCOLORADO, FINCA LA CAMACHERA, AFECTANDOA VARIAS VIVIENDAS DE LA ZONA RURAL E INUNDANDO VARIAS FINCAS CON PERDIDAS DE CULTIVO Y ANIMALES DOMESTICOS, EN EL MISMO SECTOR FUERON RESCATAS DOS PERSONAS QUE SE ENCONTRABAN AISLADAS EN UNA ISLA , ESTE EVACUACION L HACE LA FAC Y LA DCC DE SAN MARTIN, EL CMGRD ESTA REALIZNDO EDAN.</t>
  </si>
  <si>
    <t>REPORTA REMOCION EN MASA EN EL SECTOR TIERRA DE CASTRO EN LA VIA QUE CONDUCE DEL MUNICIPIO A TOGUI, OCASIONANDO DESLIZAMIENTO DE 400 MTS SOBRE LA VIA, AL MOMENTO SE TIENE 1 VIVIENDA AVERIADA Y 1 VIVIENDA DESTRUIDA, 2 FAMILIAS, 10 PERSONAS, REPORTA ALIRIO ROZO CDGRD.</t>
  </si>
  <si>
    <t>SE REGISTRA INCENDIO ESTRUCTURAL DEBIDO A MANIFESTACIONES DE APROXIMADAMENTE 400 PERSONAS EN ESTE MUNICIPIO, AFECTANDO INSTALACIONES DE LA ALCALDIA, LA FISCALIA, DAÑOS EN ALGUNAS VIVIENDAS, 4 LESIONADOS</t>
  </si>
  <si>
    <t>REPORTA EL CDGRD, EN EL MUNICIPIO DE SANTA LUCIA SE PRESENTO UN VIENTO HURACANDO AFECTADO A 49 VIVIENDAS , CON PERDIDA DE LAMINAS DE ZINC, VIGAS, ENSERES. EN ESTE MOMENTO SE ESTA REALIZANDO EDAN.</t>
  </si>
  <si>
    <t>CDGRD DEL TOLIMA, INFORMA, MPIO DE HERVEO, INUNDACIONES EN LOS BARRIOS DE: LA PLAZUELA, SANTANDER, SE PRESENTA HUNDIMIENTO DE UN TRAMO DE LA VÍA HERVEO- DELGADILLAS, SITUACIÓN EN DESARROLLO.</t>
  </si>
  <si>
    <t>CDGRD DEL META, INFORMA, SE PRESENTA CRECIENTE SUBITA DEL RÍO ARIARI, LA CUAL ESTÁ PASANDO, POR LOS MPIOS DE: PUERTO LLERAS, FUENTE DE ORO, PUERTO RICO, PUERTO CONCORDIA, SITUACIÓN EN DESARROLLO.</t>
  </si>
  <si>
    <t>SE REGISTRO ACCIDENTE DE TRANSITO EN ZONA INDUSTRIAL DE CARTAGENA, VOLCAMIENTO DE UNA VOLQUETA, DEJA COMO RESULTADO 1 FALLECIDO.</t>
  </si>
  <si>
    <t>CDGRD REPORTA EN ELM CORREGIMIENTO AGUADA DE PABLO DE ESTE MUNICIPIO VENDAVAL QUE AFECTA A 12 VIVIENDAS EN SUS CUBIERTAS, ATIENDE CMGRD.</t>
  </si>
  <si>
    <t>REPORTAN DE LA DIR NAL DE BOMBEROS , EL SGTO OSCAR REYES , QUE NE LA NOCHE DEL DIA 13 DE JUNIO EN ELE MUNICIPIO DE ARBOLETES SE PRESENTO INUDACION EN EL MUNICIPIO POR REBOSAMIENTO DE ALCANTARILLADO, HAY 4 BARRIOS AFECTADOS ,SE HACE EDAN EN ESTE MOMENTO.</t>
  </si>
  <si>
    <r>
      <t>LOS HABITANTES DE ESTE BARRIO DEL SUR DE BOGOTÁ</t>
    </r>
    <r>
      <rPr>
        <b/>
        <sz val="9"/>
        <rFont val="Arial"/>
        <family val="2"/>
      </rPr>
      <t>,</t>
    </r>
    <r>
      <rPr>
        <sz val="9"/>
        <rFont val="Arial"/>
        <family val="2"/>
      </rPr>
      <t xml:space="preserve"> DENUNCIAN QUE HABÍAN ALERTADO A LAS AUTORIDADES SOBRE LOS RIESGOS DE INCENDIOS POR EL FUNCIONAMIENTO DE LA BODEGA DE QUÍMICOS QUE YA HABÍA SIDO CONSUMIDA POR LAS LLAMAS EN OTRAS OCASIONES. JOSÉ BECERRA, DE 57 AÑOS DE EDAD, LAMENTA EL ESTADO DE DESTRUCCIÓN EN EL QUE AMANECIÓ SU CASA, LA CUAL, HABÍA SIDO INAUGURADA UN MES, LUEGO DE QUE INVIRTIERA LOS AHORROS DE TODA SU VIDA.  HOY, SUS HERMANOS, SOBRINOS, HIJOS Y NIETOS AMANECIERON HACINADOS EN UNA PIEZA DE UNOS DE SUS FAMILIARES, TODA VEZ, QUE LAS AUTORIDADES ORDENARON LA EVACUACIÓN DEL INMUEBLE. EN ESTE PREDIO HAY AFECTACIÓN DEL TECHO, LOS MUEBLES, ELECTRODOMÉSTICOS Y PAREDES. DE LA MISMA FORMA, OTRAS VIVIENDAS ALEDAÑAS, SUFRIERON DAÑOS SIMILARES O DE MAYOR PROPORCIÓN. "NOSOTROS NECESITAMOS SABER SI EL SEGURO DE ESA EMPRESA NOS RESPONDE, PORQUE ESTO QUEDÓ INHABITABLE", ASEGURÓ EL SEÑOR JOSÉ BECERRA</t>
    </r>
    <r>
      <rPr>
        <b/>
        <sz val="9"/>
        <rFont val="Arial"/>
        <family val="2"/>
      </rPr>
      <t xml:space="preserve">. </t>
    </r>
    <r>
      <rPr>
        <sz val="9"/>
        <rFont val="Arial"/>
        <family val="2"/>
      </rPr>
      <t>"AQUÍ ESTO SE HA INCENDIADO TRES O CUATRO VECES, PERO AL SEÑOR DE LA BODEGA LO ÚNICO QUE LE INTERESA ES HACER CAPITAL Y NO PIENSA EN LOS VECINOS NI EN QUE ESTO ES UNA ZONA RESIDENCIAL", AGREGÓ EL DANIFICADO. EL REPORTE DEL FOPAE DA CUENTA DE</t>
    </r>
    <r>
      <rPr>
        <b/>
        <sz val="9"/>
        <rFont val="Arial"/>
        <family val="2"/>
      </rPr>
      <t xml:space="preserve"> </t>
    </r>
    <r>
      <rPr>
        <sz val="9"/>
        <rFont val="Arial"/>
        <family val="2"/>
      </rPr>
      <t>22 FAMILIAS AFECTADAS Y 19 PREDIOS HABITACIONALES</t>
    </r>
    <r>
      <rPr>
        <b/>
        <sz val="9"/>
        <rFont val="Arial"/>
        <family val="2"/>
      </rPr>
      <t xml:space="preserve"> </t>
    </r>
    <r>
      <rPr>
        <sz val="9"/>
        <rFont val="Arial"/>
        <family val="2"/>
      </rPr>
      <t>GOLPEADOS POR LAS LLAMAS, DURANTE EL INCENDIO.</t>
    </r>
  </si>
  <si>
    <t>900 MALLAS PARA GAVION</t>
  </si>
  <si>
    <t xml:space="preserve">MATERIALES PARA ACUEDUCTOS </t>
  </si>
  <si>
    <t>REPORTA INUNDACION EN LA VEREDA CABAÑAS AFECTANDO 20 VIVIENDAS, 20 FAMILIAS 100 PERSONAS, REPORTA CDGRD.</t>
  </si>
  <si>
    <t>REPORTA INCENDIO FORESTAL EN LA VEREDA MANTA GRANDE ARRIBA, CON AFECTACIÓN DE 2 HECTÁREAS DE PASTOS MEJORADOS. ATENDIÓ BOMBEROS MANTA Y COMUNIDAD. REPORTA CDGRD.</t>
  </si>
  <si>
    <t>ACCIDENTE MARITIMO</t>
  </si>
  <si>
    <t xml:space="preserve">ACCIDENTE </t>
  </si>
  <si>
    <t>REPORTA SECCIONAL BOLÍVAR QUE: EN UN PASEO DE JÓVENES ESTUDIANTES, TÉRMINO EN TRAGEDIA AL SABER QUE SE ESTABAN AHOGANDO 11 NIÑOS DE LOS CUALES SE RESCATARON 9  Y  2 FALLECIERON.</t>
  </si>
  <si>
    <t>DIA 13-06-13 EN EL CORREGIMIENTO LOBO GUERRERO, JURISDICCIÓN DEL MUNICIPIO DE DAGUA, SE REGISTRA DERRUMBE, QUE DEJA SALDO DE 1 MUERTO  DE 1 FAMILIA AFECTADA. DESCONOCIENDO AL MOMENTO LA IDENTIDAD DEL FALLECIDO.10 LÍDERES  VOLUNTARIOS PARTICIPAN EN REMOCIÓN DE ESCOMBROS</t>
  </si>
  <si>
    <t>REPORTA SECCIONAL CALDAS QUE: SIENDO LAS 16:20, REPORTA LA JUNTA BELALCÁZAR, SOBRE INCENDIO ESTRUCTURAL, EN LA VEREDA SAN NARCISO, SE PROCEDE A LA ATENCIÓN DE LA EMERGENCIA, A LA QUE ASISTEN 4 LÍDERES VOLUNTARIOS EN APOYO AL CUERPO DE BOMBEROS BELALCÁZAR, SE LLEGA AL SITIO Y SE INICIA EL PROCESO DE EXTINCIÓN DEL INCENDIO EL CUAL RESULTA INFRUCTUOSO, YA QUE LAS LLAMAS CONSUMIERON LA TOTALIDAD DE LA VIVIENDA DANDO COMO RESULTADO, PÉRDIDA TOTAL DEL INMUEBLE Y SUS ENCERES, NO SE PRESENTAN PÉRDIDAS HUMANAS.-</t>
  </si>
  <si>
    <t>CDGRD DE CHOCO, INFORMA, INCENDIO ESTRUCTURAL, EN EL CORREGIMIENTO DE: BEBEDO, 6 VIVIENDAS DESTRUIDAS, 6 FAMILIAS AFECTADAS, SIN LESIONADOS.</t>
  </si>
  <si>
    <t>REPORTA DIRECTOR SECCIONAL TOLIMA, QUE SIENDO LAS 10:45 HORAS A.M. DEL DÍA,  12-06-13, FUÉ RESCATADO EL CUERPO DEL JOVEN ALIRIO ZARTA CABEZAS DE 20 AÑOS DE EDAD DESAPARECIDO, POR INMERSIÓN ACCIDENTAL EN AGUAS DEL RIO MAGDALENA EN EL SECTOR PUERTO CHIROLO, DE LA VEREDA SAN FRANCISCO, JURISDICCIÓN DEL MUNICIPIO DE PURIFICACIÓN, DESDE EL DIA 10-06-13. PARTICIPARON EN LAS OPERACIONES 20 LIDERES VOLUNTARIOS DCC.</t>
  </si>
  <si>
    <r>
      <t>CDGRD REPORTA</t>
    </r>
    <r>
      <rPr>
        <b/>
        <sz val="9"/>
        <color indexed="8"/>
        <rFont val="Arial"/>
        <family val="2"/>
      </rPr>
      <t xml:space="preserve"> </t>
    </r>
    <r>
      <rPr>
        <sz val="9"/>
        <color indexed="8"/>
        <rFont val="Arial"/>
        <family val="2"/>
      </rPr>
      <t>MUNICIPIO</t>
    </r>
    <r>
      <rPr>
        <b/>
        <sz val="9"/>
        <color indexed="8"/>
        <rFont val="Arial"/>
        <family val="2"/>
      </rPr>
      <t xml:space="preserve"> EL GUACAMAYO </t>
    </r>
    <r>
      <rPr>
        <sz val="9"/>
        <color indexed="8"/>
        <rFont val="Arial"/>
        <family val="2"/>
      </rPr>
      <t>SE ENCUENTRA INCOMUNICADO RESTRICCION PASO DE VEHÍCULOS GRANDES, SÓLO SE PUEDE HACER CON CAMPEROS POR PERDIDA DE LA BANCA Y POR INUNDACIÓN DEL RIO OPONCITO SOBRE LA CARRETERA QUE CONDUCE AL CORREGIMIENTO DE SANTA RITA EN EL KILÓMETRO 14 Y 15. MISMA FORMA SE ENCUENTRAN EN RIESGO LAS VIVIENDAS DEL CORREGIMIENTO DE SANTA RITA DEL OPÓN POR ESTABLECER NUMERO DE VIVIENDAS.</t>
    </r>
  </si>
  <si>
    <t>CDGRD REPORTA POR FUERTES LLUVIAS DURANTE LA NOCHE DESBORDAMIENTO DEL ARROYO VIEJO EN EL MUNICIPIO DE SAN ONOFRE, CORREGIMIENTO BERLIN A LAS 04:00 AM POR LO CUAL EL NIVEL DEL AGUA AL MOMENTO ES DE 50 CM, AFECTANDO 53 VIVIENDAS, APROXIMADAMENTE 300 PERSONAS, DAÑOS EN ENSERES, CMDGR, ORGANISMOS DE SOCORRO REALIZAN LABORES DE ATENCION, EN SEGUIMIENTO.</t>
  </si>
  <si>
    <t>CDGRD REPORTA EN EL MUNICIPIO DE TOLU CORREGIMIENTO PITA ABAJO AFECTADAS 70 VIVIENDAS ZONA URBANA, EL NIVEL DEL AGUA ES DE 50 CM, DAÑOS EN PAREDES, EN ZONA RURAL LAS VEREDAS LAS PALMAS LAS CRUCES Y TUMBAS 80 VIVIENDAS, EN CORREGIMIENTO PITA MEDIO ESTA EL 100% AFECTADO INDICA QUE ALMENOS 200 FAMILIAS, UNA INSTITUCION EDUCATIVA Y CULTIVOS AFECTADOS, A CAUSA DEL DESBORDAMIENTO DEL ARROYO PITA ABAJO Y SUS VERTIENTES, CMGRD, ORGANISMOS SOCORRO EN CONJUNTO CON INFANTERIA DE MARINA REALIZAN LABORES, EN SEGUIMIENTO.</t>
  </si>
  <si>
    <t>CDGRD REPORTA 15-06-2013, 05:30 HORAS, QUE EN LA CALLE 50 NO. 20-14 DEL CENTRO DE LA CIUDAD, SE PRESENTÓ INCENDIO ESTRUCTURAL DE UNA BODEGA DE DESPENSA SAN AGUSTÍN,  ELEMENTOS VARIOS. NO SE PRESENTÓ AFECTACIÓN DE PERSONAS. MOTIVO DEL INCENDIO, POR ESTABLECER, ATENDIO BOMBEROS.</t>
  </si>
  <si>
    <t>REPORTA VENDAVAL EN EL CORREGIMIENTO DE PUEBLO NUEVO AFECTANDO LA ESCUELA DEL SECTOR, REPORTA CDGRD.</t>
  </si>
  <si>
    <t>CDGRD Y CMGRD DE SANTA ROSA INFORMAN QUE REALIZARON ATENCION  A 4 PERSONAS LESIONADAS TRASLADANDOLAS A CENTRO ASISTENCIAL, 1 FALLECIDO, IGUAL NUMERO DE VIVIENDAS DESTRUIDAS, SE SOLICITO COMISION DEL MUNICIPIO DE MONTECRISTO PARA EVALUAR LA ZONA YA QUE HAY 12 VIVIENDAS EN RIESGO, NO DESAPARECIDOS.</t>
  </si>
  <si>
    <t>CDGRD REPORTA DESLIZAMIENTOS EN 2 VIAS , 3 SECTORES DE ESTAS, MANIZALES-ANSERMA CON CIERRE TOTAL EN EL SECTOR ALTO DEL PAISA,  LA VIA ENTRE ARAUCA Y LA ROCHELA, HACIA ARAUCA TAMBIEN EN EL SECTOR MONTE OSCURO, MAQUINARIA EN DESPLAZAMIENTO</t>
  </si>
  <si>
    <t>CDGRD REPORTA VENDAVAL EN EL MUNICIPIO DE LA CUMBRE SECTOR LA ALDEA, VEREDA LA VENTURA, 1 VIVIENDA AVERIADA, 1 FAMILIA, FECHA DE OCURRENCIA 12/06/2013 Y REPORTADO POR CMGRD.</t>
  </si>
  <si>
    <r>
      <t>SE REGISTRA INCENDIO ESTRUCTURAL CR 72 C BIS 57 32 SUR</t>
    </r>
    <r>
      <rPr>
        <sz val="9"/>
        <rFont val="Arial"/>
        <family val="2"/>
      </rPr>
      <t xml:space="preserve"> BOSA BARRIO OLARTE, BOMBEROS ACORDONA LA ZONA ES UNA FABRICA DE PINTURAS, 1 QUEMADO INICIALMENTE LLEVADO A CLINICA DE OCCIDENTE Y LUEGO DIRECCIONADO A HOSPITAL SIMON BOLIVAR POR SDS.</t>
    </r>
  </si>
  <si>
    <t>APOYO DEL FNGRD MEDIANTE SUBSIDIO DE ARRIENDO TEMPORAL PARA 18 FAMILIAS AFECTADAS POR EL VENAVAL OCURIDO EL 8 DE SEPTIEMBRE DE 2012 a RAZON DE $200.000 MENSUALES.
EL 17 DE JUNIO ED 2013 SE APROBO APOYO MEDIANTE SUBSIDIO DE ARRIENDO TEMPORAL PARA 57 FAMILIAS POR TRES MESES A RAZON DE $200,000 MENSUAL</t>
  </si>
  <si>
    <t>APOYO DEL FNGRD PARA SUBSIDIO DE ARRIENDO TEMPORAL PARA 60 FAMILIAS POR TRES MESES A RAZON DE $200.000 MENSUAL.</t>
  </si>
  <si>
    <t>HUBO FINCAS Y CABAÑAS INUNDADAS, DERRUMBES Y UN JOVEN RESULTÓ HERIDO POR LA CAÍDA DE UN RAYO.LOS TURISTAS, VISITANTES Y DUEÑOS DE CABAÑAS EN EL SECTOR DE SANTÁGUEDA EN MANIZALES, SOPORTARON UN FUERTE VENDAVAL QUE SE PRESENTÓ ESTA MADRUGADA HACIA LAS 4: 45 DE LA MAÑANA. EL COMANDANTE DEL CUERPO OFICIAL DE BOMBEROS DEL CORREGIMIENTO DE ARAUCA, EN EL MUNICIPIO DE PALESTINA (CALDAS), JORGE ELIÉCER GRAJALES, INFORMÓ QUE POR LA TORMENTA TAMBIÉN SE INUNDÓ EL PUESTO DE SALUD DE LA COMUNIDAD, ADEMÁS DE UN DERRUMBE QUE TAPONÓ EL PASO ENTRE ARAUCA Y SANTÁGUEDA. ADEMÁS, SE REPORTÓ QUE HACIA LAS 3 DE LA MAÑANA, UN HABITANTE DE ESTE CORREGIMIENTO ESTABA FRENTE A SU TELEVISOR CUANDO CAYÓ UN RAYO MUY CERCA Y LO HIRIÓ</t>
  </si>
  <si>
    <t>DOS MUERTOS ENTRE ELLOS UN NIÑO DE ESCASOS DIEZ AÑOS DE EDAD Y DOS MUJERES HERIDAS EN  ACCIDENTE QUE SE PRESENTÓ AYER EN LA VÍA GIGANTE–HOBO, KILÓMETRO 34, CERCA AL SITIO CONOCIDO COMO PUERTO SECO.LOS AFECTADOS FUERON CUATRO PERSONAS QUE VIAJABAN A BORDO DE UN AUTOMÓVIL HYUNDAI DE PLACAS WTK909, QUE RAUDAMENTE SE DIRIGÍA DE PITALITO A NEIVA.EN EL ACCIDENTE MURIÓ EL CONDUCTOR DEL VEHÍCULO IDENTIFICADO COMO DORIAN ENRIQUE MELGAR CASTILLO, DE 40 AÑOS DE EDAD Y EL NIÑO MAIKOL ANDRÉS PULIDO DIMATÉ DE 10 AÑOS DE EDAD.</t>
  </si>
  <si>
    <t>REPORTA LA DRA EDITH QUE HASTA EL MOMENTO VAN  60 FAMILIAS 60 FAMILIAS AFECTADAS, EN LAS VEREDAD DE  MULALO, JUNCAL, CABUYO, CON PERDIDA TOTAL, AFECTADA ESCUELA LA DESPENSA, INSTITUCION EDUCATIVA CAPITAN BERMUDEZ, INSTITUCION EDUCATIVA JUAN BAUTISTA</t>
  </si>
  <si>
    <r>
      <t>CDGRD REPORTA EN EL MUNICIPIO DE</t>
    </r>
    <r>
      <rPr>
        <b/>
        <sz val="9"/>
        <color indexed="8"/>
        <rFont val="Arial"/>
        <family val="2"/>
      </rPr>
      <t xml:space="preserve"> LOS SANTOS 14-06-13 </t>
    </r>
    <r>
      <rPr>
        <sz val="9"/>
        <color indexed="8"/>
        <rFont val="Arial"/>
        <family val="2"/>
      </rPr>
      <t>INFORMA EL SEÑOR WILMAN RENNETH PEDRAZA NORIEGA  PERSONERO MUNICIPAL QUE A LAS 16:00 HORAS POR GRANIZADA Y VENDAVAL SE AFECTARON SEGÚN EL REPORTE: 08 VEREDAS, DESENTECHADOS 16 CANEYES, DESTINADOS PARA  EL SECADO DEL TABACO, 03 CASAS DESENTECHADAS, 01 MURO DE ESCUELA CAÍDO, 02 VEREDAS CON CAÍDAS DE CUERDAS DE ALTA TENSIÓN, 01 GALPÓN, CON LA MUERTE DE 20 GALLINAS, 21 PERSONAS AFECTADAS CON PÉRDIDA DE CULTIVOS DE; YUCA, HABICHUELA, TOMATE, PIMENTÓN, MARACUYÁ Y UN 70% DE PERDIDA DE CULTIVO DE TABACO. SEGÚN INFORMA WILMAN PEDRAZA, EN HORAS DE LA MAÑANA DEL 15-06-13, PERSONAL DE SOCORRO Y DE LA ALCALDÍA MUNICIPAL SE DESPLAZARAN A LAS VEREDAS A VERIFICAR LAS NOVEDADES EN OTRAS 5 VEREDAS MÁS, LA PURNIA, PIEDRA DEL RAYO, EL GUAIMARO, PURNIA NEUIVA, EL POTRERO, PASO CHICO, LAGUNA ALTA, Y BAJA, REGADERO, MAJADAL, LA FUENTE, QUEBRADA EL SALTO</t>
    </r>
  </si>
  <si>
    <t>REPORTA INCENDIO ESTRUCTURAL EL CUAL DESTRUYO 1 TRAPICHE EN LA FINCA TREMENTINA, 2 VIVIENDAS DESTRUIDAS AL IGUAL QUE 7 HECTAREAS DE CULTIVO DE CAÑA DE AZUCAR, 1 PERSONA VIVE EN EL SITIO. EL DIA DE MAÑANA SE ESPERA EDAN POR PARTE DEL CMGRD, REPORTA CDGRD.</t>
  </si>
  <si>
    <t>REPORTA SECCIONAL GUAJIRA QUE: EL DÍA VIERNES 14 DE JUNIO, LLUVIAS TORRENCIALES 19:00 HORAS EN EL MUNICIPIO DE LA JAGUA DEL PILAR, CRECIENTE DEL ARROYO EL COLEGIO, EL JOVEN KEIBER ALEXANDER OÑATE PÉREZ DE 24 AÑOS DE EDAD, EN ESTADO DE EMBRIAGUEZ CAYO AL ARROYO, Y 20 LÍDERES VOLUNTARIOS  DEL COMITÉ DE LA JAGUA ATENDIERON EL CASO RECUPERANDO EL CUERPO SIN VIDA A LAS 22:30.</t>
  </si>
  <si>
    <t xml:space="preserve">POR CHOQUE DE DOS EMBARCACION  EN EL SITIO DE CUCURUPI, FALLECIO EL SEÑOR ALBERTO LOPEZ TORREZ DE 60 AÑOS DE EDAD, EN AGUAS DEL RIO SAN JUAN. </t>
  </si>
  <si>
    <t>REPORTA SECCIONAL CHOCO QUE: MURIÓ POR INMERSIÓN EL DÍA 16 DE JUNIO  EN AGUAS DEL RIO QUITO EL NIÑO FABIO ALBERTO SÁNCHEZ MAZO DE 7 AÑOS DE EDAD Y FUE RESCATADO EL DÍA 17 DE JUNIO EN EL SITIO MINA LA BALEA.</t>
  </si>
  <si>
    <t>REPORTA EL COMANDANTE DE BOMBEROS CONTROL DE INCENDIO ESTRUCTURAL CON 4 UNIDADES Y POLICIA , EN LA CRA 4 NO 4-07 BARRIO EL CENTRO, HABITADA POR LA SRA CIELO MORALES, QUEDANDO CONSUMIDOS MUEBLES Y ELECTRODOMESTICOS, PERDIDAS AVALUADAS EN $ 500.000.00 AL PARECER SU PAREJA EN ESTADO DE MEDICAMENTOS ANTIDEPRESIVOS, LE HECHO CANDELA A LOS BIENES Y MUEBLES, HECHO SUCEDIDO A LAS 10 AM.</t>
  </si>
  <si>
    <r>
      <t xml:space="preserve">CDGRD DEL HUILA, INFORMA, DESLIZAMIENTO, PRESENTADO, EL DÍA 09-02-2013, PERDIDAS EN CULTIVOS DE CAFÉ, PLATANO, YUCA, MAIZ, CAÑA, FRIJOL, CACAO, PASOTO. AFECTADAS 30 VEREDAS: GUÁCIMOS, ALELUYAS, LA LUPA, EL DORADO, EL VERGEL, JORDÁN, LA LINDOSA, ALTO PARAGUAY, MIRADOR, SAN PEDRO, SAN PEDRO ALTO, PIRAVANTE, VERSALLES, EL CARMEN, LAS JUNTAS, EL QUEBRADON, SECTOR MEDIO QUEBRADON, BRISAS DEL CARMEN BAJAS, BRISAS DEL CARMEN ALTAS, EL ROBLE, BUENOS AIRES DEL CARMEN, ALTO PINARES, CENTRO POBLADO SAN JUAN, EL PORVENIR, CENTRO POBLADO OSPINA PÉREZ, NILO, HORIZONTE, EL VISO, EL MORAL, LA GOLETA. 118 FAMILIAS EN RIESGO, 391 FAMILIAS AFECTADAS EN CULTIVOS.
PERDIDA DE 100 HA DE PASTOS Y 60 CABEZAS DE GANADO
</t>
    </r>
    <r>
      <rPr>
        <sz val="9"/>
        <color rgb="FFFF0000"/>
        <rFont val="Arial"/>
        <family val="2"/>
      </rPr>
      <t>APOYO MEDIANTE SUBSIDIO DE ARRIENDO TEMPORAL PARA 17 FAMILIAS POR TRES MESES A RAZON DE $200.000 MENSUAL</t>
    </r>
  </si>
  <si>
    <t>CDGRD REPORTA POR FUERTES LLUVIAS QUE INICIARON SOBRE LAS 21:00 HORAS DE AYER HASTA LAS 04:00 HORAS DE HOY DEJA COMO RESULTADO INUNDACION EN EL BARRIO SANTA CATALINA, AFECTANDO A 26 FAMILIAS DE ACUERDO A LA EVALUCION REALIZADA POR CMGRD, SOLO ´PERDIDA DE MUEBLES Y ENSERES, CDGRD ESTARA REALIZANDO ENTREGA DE AYUDAS EL DIA DE MAÑANA, CONSISTENTES EN 26 KITS ALIMENTARIOS, KITS DE ASEO, COCINA Y NOCHE APOYA CUERPO DE BOMBEROS DE ITAGUI.</t>
  </si>
  <si>
    <t>17/06/2013 EN EL MUNICIPIO DE CAMPAMENTO CASO DE AHOGAMIENTO DE 2 MENORES EN EL SECTOR LA FRONTERA YA SE ENCONTRO UNA DE LAS MENORES Y ORGANISMOS DE SOCORRO CONTINUAN BUSQUEDA, CMGRD DA AVISO A COMUNIDADES RIBEREÑAS.</t>
  </si>
  <si>
    <t>CDGRD REPORTA ORGANISMOS DE SOCORRO RECUPERAN CUERPO DE CONSEJAL DE ESTE MUNICIPIO EN EL DESLIZAMIENTO DE LA VEREDA LA PAVA MUNICIPIO DE ALEJANDRIA, 1 VIVIENDA DESTRUIDA, NO HAN EVALUADO CAUSA DE ESTE DESLIZAMIENTO.</t>
  </si>
  <si>
    <t>LA CAPITÁN LILIANA LADINO , DE BOMBEROS MPIO DE UBATE REPORTA A ESTA UNIDAD QUE EL DÍA DE AYER 17/06/13, ENTRE LAS 14:30 Y LAS 16:30 HORAS SE PRESENTO UN INCENDIO ESTRUCTURAL EN EL SECTOR URBANO DE ESTE MUNICIPIO BARRIO SANTA BARBARÁ EN EL CUAL RESULTO INCINERADA UNA VIVIENDA DE MADERA DE DOS PLANTAS LA CUAL ERA HABITADA POR DOS FAMILIAS, 11 PERSONAS ENTRE ELLAS VARIOS MENORES DE EDAD, PROVOCANDO PERDIDA TOTAL DE LA VIVIENDA, LO MISMO QUE TODOS SUS MUEBLES Y ENSERES. LOS OCUPANTES FUERON EVACUADOS A DONDE FAMILIARES Y AMIGOS. ATENDIÓ BOMBEROS UBATE CON 6 UNIDADES. SOLICITAN AYUDAS HUMANITARIAS.</t>
  </si>
  <si>
    <t>MUNICIPIO TORO/ CORREGIMIENTO LA FLORIDA, DIRECCION NACIONAL DE BOMBEROS, CENTRO REGULADOR DE EMERGENCIAS, CDGRD, BRINDAN REPORTE DE EXPLOSION A CAUSA DE UN RAYO QUE IMPACTA CERCA AL ARMAMENTO, EN EL BATALLON DE ALTA MONTAÑA VENCEDORES DE CARTAGO EL CUAL GENERA INCENDIO, CAUSANDO LESIONES A 2 SOLDADOS POR QUEMADURAS DE TERCER GRADO, OTROS 2 EN ESTADO DE SHOCK,,  SE TRASLADAN A CENTRO ASISTENCIAL DE ESTE MUNICIPIO, CON POSIBLE REMISION A CENTRO ASISTENCIAL ESPECIALIZADO, EN SEGUIMIENTO.</t>
  </si>
  <si>
    <t>CDGRD REPORTA INCENDIO ESTRUCTURAL EN LA CLLE 18 CON CRA 1 EN ALMACEN DE REPUESTOS, QUEDANDO CONSUMIDOS 6 MOTORES, 12 BATERIAS, LLANTAS ENTRE OTROS ELEMENTOS, NO LESIONADOS ATENDIO BOMBEROS.</t>
  </si>
  <si>
    <t>CDGRD REPORTA INCENDIO ESTRUCTURAL EN UN DEPOSITO DE CAÑA PARA MOLIENDA, CON PERDIDA TOTAL EN LA VEREDA CUÑA, FINCA BELLAVISTA, NO LESIONADOS, ATENDIO BOMBEROS.</t>
  </si>
  <si>
    <t>INCENDIO FORESTAL, SITIO ALGARROBOS ANTES DEL PUENTE RIO GATO NEGRO, AMENAZA CON LLEGAR A UNAS CABALLERIZAS Y UNA VIVIENDA HABITADA POR PERSONAS DE LA TERCERA EDAD Y NIÑOS, SE LLAMA A BOMBEROS VILLAHERMOSA QUIENES INFORMAN QUE ELLOS ESTAN A 20KMS DEL SITIO, MIENTRAS QUE EL LIBANO ESTA A 10KMS, SE LLAMA A BOMBEROS LIBANO QUIENES SALEN PARA EL SITIO CON LA MAQUINA N0.1 Y 2 Y 9 UNIDADES BOMBERILES,  INFORMAN QUE EL SITIO ES LA VEREDA EL LIMON FINCA LOS RUICES. NUMERO PARA CONFIRMAR 3133591579 CELENIO ROMERO.</t>
  </si>
  <si>
    <t>REPORTA FUNCIONARIA MAYORY MOYA DE LA SECCIONAL CHOCO, QUE SIENDO LAS 04.00 A.M. DEL DIA 05-06-13, SE REGISTRA VENDAVAL EN LA VEREDA TOCOROTÓ, JURISDICCIÓN DEL MUNICIPIO DEL CARMEN DEL DARIÉN, QUE DEJA SALDO DE 1 HERIDO Y 60 AFECTADOS ILESOS DE 12 FAMILIAS CON 5  VIVIENDAS DESTRUIDAS Y 7 AFECTADAS SIN MAS REPORTE. PARTICIPARON EN OPERACIONES DE ATENCIÓN 5 LIDERES VOLUNTARIOS DCC. REPORTE 19-06-13, REPORTAN DEL CDGRD QUE EL DIA 5 DE JUNIO EN EL MUNICIPIO DE CARMEN DEL DARIEN SE PRESENTO UN VENDAVAL AFECTANDO ALA COMUNIDAD , SE ESPERA ENVIO EDAN, 24 VIVIENDAS AFECTADAS Y 5 VIVIENDAS DESTRUIDAS.</t>
  </si>
  <si>
    <t xml:space="preserve">CMGRD DE BOLIVAR, INFORMO, CAIDA DEL PUENTE, "EL BATATAL" QUE COMUNICA, LA VEREDA POTRERILLOS DEL CORREGIMIENTO DE CAPELLANIAS, MUNICIPIO DE BOLÍVAR, CON EL ESTRECHO, MUNICIPIO DE PATÍA. EL REPORTE LO PRESENTA EL SEÑOR JOSÉ OMAR CAICEDO SECRETARIO DE LA JUNTA DE ACCIÓN COMUNAL DE LA VEREDA POTRERILLOS. ESTE HECHO OCURRIÓ EL DÍA DE AYER EN HORAS DE LA TARDE. SITUACIÓN EN DESARROLLO.
</t>
  </si>
  <si>
    <t>CDGRD DE ATLÁNTICO, INFORMA, SE PRESENTA VENDAVAL, EN EL BARRIO: CONCORDIA, AFECTANDO: 40 VIVIENDAS, CONTINUAN REALIZANDO EDAN, SITUACIÓN EN DESARROLLO.</t>
  </si>
  <si>
    <t>CDGRD DE ATLÁNTICO, INFORMA, SE PRESENTA VENDAVAL,  AFECTANDO: 55 VIVIENDAS, CONTINUAN REALIZANDO EDAN, SITUACIÓN EN DESARROLLO.</t>
  </si>
  <si>
    <t>CDGRD DE ATLÁNTICO, INFORMA, SE PRESENTA VENDAVAL,  AFECTANDO: 18 VIVIENDAS, CONTINUAN REALIZANDO EDAN, SITUACIÓN EN DESARROLLO.</t>
  </si>
  <si>
    <t>CDGRD DE ATLÁNTICO, INFORMA, SE PRESENTA VENDAVAL, CORREGIMIENTO DE: CIBARCO, AFECTANDO: 1 VIVIENDA, CONTINUAN REALIZANDO EDAN, SITUACIÓN EN DESARROLLO.</t>
  </si>
  <si>
    <t>CDGRD DE SANTANDER, INFORMA, MUNICIPIO DE CURITI,  COMANDANTE ESTACIÓN DE POLICÍA , SUBCOMISARIO LUIS PEREZ GARCÍA QUE SIENDO LAS 18:00 HORAS EN LA VEREDA ARENALES, SOBRE LA VÍA NACIONAL BUCARAMANGA A BOGOTA, FRENTE AL RESTAURANTE BUENOS AIRES, SE PRESENTÓ INCENDIO FORESTAL, QUEMÁNDOSE 2 HECTÁREAS DE BOSQUES Y MALEZAS, EL CUAL FUE CONTROLADO POR PERSONAL DEFENSA CIVIL, POLICÍA NACIONAL Y PERSONAS DEL MUNICIPIO. NO SE PRESENTO AFECTACIÓN DE VIVIENDAS NI DE PERSONAS.</t>
  </si>
  <si>
    <t>CMGRD REPORTA MEDIANTE ACTA, QUE A CAUSA DE FUERTES LLUVIAS QUE HAN ESTADO AZOTANDO LA REGION, EN LAS VEREDAS LAS DELICIAS, PUERTO MANRIQUE, ANAYACITO, CABAÑA BUENOS AIRES, LOS LAURELES, MANZANARES, Y EL MORROCOY Y EN LOS BARRIOS 12 DE OCTUBRE, 20 DE ABRIL, 1RO DE OCTUBRE, BELALCAZAR, SIMON BOLIVAR Y LAS AMERICAS, JURISDICCION DEL MUNICIPIO DE EL DONCELLO, DONDE 16 FAMILIAS FUERON AFECTADAS.</t>
  </si>
  <si>
    <t>SE SOLICITO APOYO A NIVEL REGIONAL TENIENDO EN CUENTA QUE LO SOLICITADO NO SOBREPARA LAS CAPACIDADES REGIONALES.</t>
  </si>
  <si>
    <t>CMGRD INFORMA MEDIANTE ACTA, QUE EL DIA 25 DE MARZO DE 2013 SE PRESENTO UN VENDAVAL, AVALANCHA Y DESBORDAMIENTO DEL RIO VALDIVIA EL CUAL CAUSO EL CAUSE DEL RIO FRAGUA AFECTANDO A 161 FAMILIAS EN EL MUNICIPIO DE SAN JOSE DE FRAGUA</t>
  </si>
  <si>
    <t>INCENDIO FORESTAL VEREDA HONDURAS- CHINGA FRIO, SECTOR AGUAS CALIENTES, INICIADO EL DÍA 18/06/13 A LAS 13:00 HORAS Y EXTINGUIDO EL DÍA 19/16/13 HACIA LAS 12:00 HORAS.ÁREA AFECTADA 3 HECTÁREAS DE PASTOS PLANTADOS 1 HACT DE VEGETACIÓN NATIVA.</t>
  </si>
  <si>
    <t>SE PRESENTO UN INCENDIO ESTRUCTURAL  EN EL BARRIO BELIN PERDIDA  TOTAL, EL CMGRD DE CORDOBA HACE ASISTENCIA HUMANITARIA. CON APOYO DE LAS ENTIDADES OPERATIVAS.</t>
  </si>
  <si>
    <t>SE PRESENTA UN VENDAVAL EN ELE CORREGIMIENTO  DE SANTA RITA AFECTANDO A 4 VIVIENDAS  CON PERDIDA PARCIA LDE ENSERES, EN ESTE MOMENTO SE DESPLAZA UN EQUIPO DEL CMGRD PARA REALIZAR EDAN</t>
  </si>
  <si>
    <t>REPORTAN DEL CDGRD DE MAGDALENA EL DR LUIZ BARRAZA ,QUE SE ESTA PRESENTADO UN FUERTE VENDAVAL EN ELE MUNICIPIO DE REMIOLINA HASTA EL MOMENTO NO HAY DATOS PARCIALES DE AFECTACION.</t>
  </si>
  <si>
    <t>REPORTA EL DR LUIS BARRAZA QUE SE DESBORDARON LOS RIOS ) SEVILLA Y RIO FRIO, EL CDGRD ESTA REALI9ZANDO EDAN ALA MARGEN DE LOS RIOS.</t>
  </si>
  <si>
    <r>
      <t>EN LAS ÚLTIMAS HORAS EN EL BARRIO LA HORQUETA DE SANTA ROSA DE CABAL</t>
    </r>
    <r>
      <rPr>
        <b/>
        <sz val="9"/>
        <rFont val="Arial"/>
        <family val="2"/>
      </rPr>
      <t xml:space="preserve"> </t>
    </r>
    <r>
      <rPr>
        <sz val="9"/>
        <rFont val="Arial"/>
        <family val="2"/>
      </rPr>
      <t>UN COLCHONERÍA ARDIÓ EN LLAMAS, AL PARECER UN CORTO CIRCUITO EN UNA DE LAS MÁQUINAS PROVOCÓ ESTA EMERGENCIA QUE TARDÓ VARIAS HORAS EN SER EXTINGUIDA, PERO QUE CONSUMIÓ TODO EL INMUEBLE.EL TENIENTE, PEDRO PABLO IDARRÁGA</t>
    </r>
    <r>
      <rPr>
        <b/>
        <sz val="9"/>
        <rFont val="Arial"/>
        <family val="2"/>
      </rPr>
      <t xml:space="preserve"> </t>
    </r>
    <r>
      <rPr>
        <sz val="9"/>
        <rFont val="Arial"/>
        <family val="2"/>
      </rPr>
      <t>DEL CUERPO DE BOMBEROS DE SANTA ROSA DE CABAL, INDICÓ QUE AUNQUE 4 TRABAJADORES SE ENCONTRABAN EN EL LUGAR, SALIERON SIN DIFICULTADES, SIN EMBARGO, UNA PERSONA RESULTÓ LESIONADA, PERO NO POR LAS LLAMAS. “EN EL LUGAR HABÍA CERCA UNA CABALLERIZA Y UN HOMBRE DE 53 AÑOS DE EDAD CORRIÓ A SACAR LOS CABALLOS Y UNO DE ELLOS LO GOLPEÓ EN LA PIERNA DERECHA.</t>
    </r>
  </si>
  <si>
    <t>HACIA LAS 6:10 DE LA MAÑANA DE ESTE JUEVES SE PRESENTÓ INCENDIO ESTRUCTURAL EN LA FÁBRICA DE GUITARRAS LA GRAN ESPAÑOLA, UBICADA EN LA CALLE 42 CON CARRERA 18 DEL BARRIO BOLÍVAR. SEGÚN INFORMAN BOMBEROS, UN CORTO CIRCUITO PRODUJO UNA CHISPA QUE INICIÓ LAS LLAMAS EN EL CUARTO DE PINTURAS DE LA FÁBRICA Y SE EXTENDIÓ HACIA LA BODEGA EN LA QUE SE ALMACENAN LAS GUITARRAS. CERCA DE 120 INSTRUMENTOS FUERON CONSUMIDOS DURANTE EL INCENDIO.LAS PÉRDIDAS FUERON ESTIMADAS EN $50 MILLONES DE PESOS</t>
  </si>
  <si>
    <t>DIA 20-06-13, SE PRESENTÓ, INCENDIO ESTRUCTURAL, EN VIVIENDA DEL BARRIO, SAN FRANCISCO DEL MUNICIPIO DE SANDONA, POR DESCUIDO CON UNA VELA, PRODUCIENDOSE, LA PERDIDA DE ENSERES ROPA Y MUEBLES POR VALOR DE $4.000.000 .</t>
  </si>
  <si>
    <t>DIA 18-06-13, POR FUERTES LLUVIA SE PRESENTÓ, DESLIZAMIENTO DE TIERRA, EN EL MUNICIPIO DE QUIBDÓ, AFECTANDO ALGUNAS VIVIENDAS, SALDO DE 158 AFECTADOS, DE 37 FAMILIAS, CON 1 VIVIENDA DESTRUIDA Y 6 AFECTADAS, APOYO D.C.C.</t>
  </si>
  <si>
    <t>EN LE BARRIO GUADUALES A LAS 12.30 AM SE PRESENTO UN INCENDIO ESTRUCTUAL AFECTANDO LA VIVENDA PARCIALMENTE , CON PERDIDA DE ENSERES.</t>
  </si>
  <si>
    <t>EN EL SECTOR EL AGUACATE DE MANIZALES SE DESPLOMÓ UNA VIVIENDA A LAS 9:20 DE LA MAÑANA CON UN SALDO DE UNA NIÑA DE 9 AÑOS LESIONADA Y SEIS PERSONAS AFECTADAS EL CUERPO DE BOMBEROS DE LA ESTACIÓN PALOGRANDE INFORMÓ QUE LAS PÉRDIDAS FUERON AVALUADAS EN $ 5 MILLONES. EL DETERIORO DEL MATERIAL (GUADUA Y ESTERILLA) FUE EL CAUSANTE DE LA EMERGENCIA.</t>
  </si>
  <si>
    <t>700 BLOQUES</t>
  </si>
  <si>
    <t>LAMINA DE ZINC NO. 12, ETERNIT NO. 10
672 KILOS DE ALAMBRE GALVANIZQADO NO. 10, 240 MALLAS PARA GAVION 48 LB DE PUNTILLA 2 1/2"</t>
  </si>
  <si>
    <t>360 MTS TUBERIA DE POLIETILENO DE ALTA DENSIDAD DE 200 MM RDE 21</t>
  </si>
  <si>
    <t>CDGRD DEL VALLE DEL CAUCA, INFORMA, FUERTE VENDAVAL, ACOMPAÑADO DE GRANIZO,  VEREDAS: CAMPO ALEGRE, COCONUCO, LA BODEGA, EL JIGUAL, PUENTE TIERRA, 54 FAMILIAS AFECTADAS, 54 VIVIENDSA AVERIADAS, 25,2 HECTAREAS AFECTADAS DE CULTIVOS DE: TOMATE, LULO, CAFÉ, GRANADILLA, ENVÍAN EDAN POR CORREO ELÉCTRONICO.</t>
  </si>
  <si>
    <t>CDGRD DE CUNDINAMARCA, INFORMA, MARIO RODRÍGUEZ DEL CMGRD DE LA CALERA, REPORTA INCENDIO ESTRUCTURAL EN UNA VIVIENDA EN LA VEREDA EL HATO, INICIADO A LAS 00:30 Y EXTINGUIDO A LAS 04:00 HORAS DEL 21/06/13 CON PERDIDA TOTAL DE LA VIVIENDA DONDE VIVÍA 1 PERSONA, NO HUBO LESIONADOS. ATENDIÓ CMGRD. Y MANIFIESTAN QUE HARÁN RECONSTRUCCIÓN DE LA MISMA.</t>
  </si>
  <si>
    <t>CDGRD DE MAGDALENA, INFORMA, CONTINUAN CON LA ATENCIÓN DEL INCENDIO FORESTAL, EN EL MPIO DE SANTA MARTA, PARQUE- ISLA DE SALAMANCA, SE REALIZO DURANTE LA MAÑANA, UN SOBREVUELO, CON EL APOYO DE LA FUERZA AÉREA, CR. VALENCIA DA UN PARTE DE INCENDIO, CONTROLADO EN UN 95% , CON UNA AFECTACIÓN APROXIMADA DE 1 HECTÁREA, EL CUAL NO REQUIERE DE APOYO AÉREO.</t>
  </si>
  <si>
    <t>REPORTA DIRECTOR SECCIONAL TOLIMA: BUSQUEDA Y RESCATE FLUVIAL EL 21-06-2013 A LAS 18. 00 HORAS, EL CUERPO SIN VIDA DE SAMUEL ANDRES BARBOSA, DE 26 AÑOS DE EDAD,  QUIEN FALLECIO POR INMERSION A LAS 15: 00 HORAS AL CAER EN EL RÍO SUMAPAZ.</t>
  </si>
  <si>
    <t>CDGRD BOLIVAR, INFORMA, EN LA CIUDAD DE CARTAGENA INUNDACIONES POR ESCORRENTIA DE AGUAS LLUVIAS EN EL BARRIO EL POZON EN HORAS DE LA NOCHE, SITUACIÓN EN DESARROLLO.</t>
  </si>
  <si>
    <t>REPORTA INCENDIO FORESTAL EN EN VEREDA NARANJAL, AFECTANDO 5 HECTAREAS DE PASTO Y VEGETACION NATIVA, CONTROLADO Y EXTINGUIDO POR BOMBEROS Y COMUNIDAD, REPORTA CDGRD.</t>
  </si>
  <si>
    <t>CDGRD DE SANTANDER, INFORMA,  KM: 41, VÍA BUCARAMANGA- CUCUTA, PASO A UN SOLO CARRIL,  POR DESLIZAMIENTO DE TIERRA, SITUACIÓN EN DESARROLLO.</t>
  </si>
  <si>
    <t>SOCORRO NACIONAL Y CDGRD DE ANTIOQUIA, INFORMAN, MPIO DE  ZARAGOZA, VEREDA SAN ANTONIO-MINA DE ORO VERDE. ACCIDENTE MINERO QUE DEJA HASTA EL MOMENTO 5 PERSONAS FALLECIDAS, 5 HERIDOS, TRASLADADOS AL HOSPITAL DEL MPIO,  APOYAN: BOMBEROS, CRUZ ROJA, D.C.C, CRUE, SITUACIÒN EN DESARROLLO.</t>
  </si>
  <si>
    <t xml:space="preserve">CDGRD DEL TOLIMA, INFORMA, ACCIDENTE DE TRÁNSITO SOBRE LA VIA CASTILLA- SALDAÑA DEJA A UNA MUJER FALLECIDA Y UNA HERIDA REMITIDA A LA CIUDAD DE IBAGUE, AL COLISIONAR UNA MOTOCICLETA CONTRA UN CAMIÓN TIPO CAMA BAJA. </t>
  </si>
  <si>
    <t>CDGRD DEL HUILA, INFORMA, ACCIDENTE EN CURSO REPORTE PRELIMINAR DE 6 HERIDOS UN MUERTO ENTRE, LA VIA BALSILLAS A NEIVA KM 40 APROXIMADAMENTE, AL SITIO SALIO AMBULANCIA, DE CLINICA UROS Y AMBULANCIA DEFENSA CIVIL AL IGUAL QUE UNA CAMIONETA CON PERSONAL SOCORRISTA DE LA DEFENSA CIVIL.</t>
  </si>
  <si>
    <t xml:space="preserve">CDGRD DEL CHOCO, INFORMA, A LAS 4.00 AM SE PRESENTO UNA AVALANCHA,  DE LOS RIOS: ITALIA,  HABITA, INGARA,  AFLUENTE, TORO VIEJO,  AFECTANDO LA RED VIAL,  POR DESLIZAMIENTO , E  INUNDACIONES,  6 PERSONAS HERIDAS, 1,495  FAMILIAS AFECTADAS,  7,325 PERSONAS AFECTADAS, 36 VIVIENDAS DESTRUIDAS,  AFECTADAS, 8  COMUNIDADES DE: LA ITALIA, VALENCIA, CHAPINERO,  4 CENTROS EDUCATIVOS AFECTADOS,  3 CANCHAS DEPORTIVAS AFECTADAS, 11 PUENTES DESTRUIDOS, 2 PUENTES AVERIADOS, 4 ACUEDUCTOS AFECTADOS, 250 HECTÁREAS AFECTADAS DE CULTIVOS, INFORMACIÓN RECIBIDA, POR CORREO ELÉCTRONICO, POR PARTE DEL CDGRD DEL CHOCO, EL DÍA 17-03-2013 A LAS 09:00 HORAS. </t>
  </si>
  <si>
    <t xml:space="preserve"> MATERIALES PARA LA REHABILITACION DE VIVIENDAS (BANCO DE MATERIEALES)</t>
  </si>
  <si>
    <t>CDGRD DEL CHOCO, INFORMA, DESBORDAMIENTO DEL RÍO QUITO, AFECTANDO LAS COMUNIDADES DE: VILLA CONTO, PAIMADO, LA SOLEDAD, GAYABALITO, BOCA DE PAIMADO, REALIZAN EDAN.</t>
  </si>
  <si>
    <t>RAFAEL ROBLES DE LA CAR, INFORMAS A ESTA UNIDAD SOBRE INCENDIO FORESTAL OCURRIDO, EL DIA 22/06/13 EN EL MUNICIPIO DE SIMIJACA, VEREDA TAQUIRA, INCIADO HACIA LAS 14:30 HORAS Y CONTROLADO Y EXTINGUIDO HCIA LAS 21:30 HORS DEL MISMO DIA , CON UNA AFECTACION DE 4 HECT DE PINOS Y EUCALIPTUS. ATENDIO BOMBEROS SIMIJACA, CMGRD, Y BRIGADA DE LA CAR.</t>
  </si>
  <si>
    <t xml:space="preserve">CDGRD DE HUILA REPORTA INCENDIO FORESTAL REGISTRADO EN NEIVA BARRIO LA PRIMAVERA CON AFECTACION DE 2 HECTAREAS DE PASTO Y RASTROJO, CONTROLADO Y EXTINGUIDO ATENDIO BOMBEROS NEIVA. </t>
  </si>
  <si>
    <t>CDGRD DE HUILA REPORTA INCENDIO FORESTAL REGISTRADO EN TESALIA-VEREDA EL BICHE CON AFECTCION DE 3 HECTAREAS DE PASTO Y RASTROJO, CONTROLADO Y EXTINGUIDO ATENDIO BOMBEROS TESALIA.</t>
  </si>
  <si>
    <t>SE REGISTRA EXPLOSION EN LOCALIDAD PUENTE ARANDA CALLE 20 D CON CARRERA 43 POR GAS METANO, DEJA 3 LESIONADOS ATIENDE BOMBEROS Y SECRETARIA DE SALUD.</t>
  </si>
  <si>
    <t>REPORTA INUNDACION A CAUSA DE DESBORDAMIENTO DEL RIO FRAGUA EN EL CENTRO POBLADO YURAYACO AFECTANDO 8 FAMILIAS, 30 PERSONAS, 8 VIVIENDAS AVERIADAS LAS FAMILIAS SE UBICARON EN AUTOALBERGUE PROVISIONALMENTE, REPORTA CDGRD.</t>
  </si>
  <si>
    <t>39340 LADRILLOS. 2679 VARILLAS DE ACERO DE 3/8". 2124 VARILLAS DE ACERO DE 1/2". 1080 VIGAS EN MADERA 2"X4" LONG. 6M</t>
  </si>
  <si>
    <t>13-0496
13-0641</t>
  </si>
  <si>
    <t xml:space="preserve">30000 LADRILLOS. 1958 VARILLAS DE ACERO DE 1/2". 356 TABLAS L=3M A=25*2,4CM. </t>
  </si>
  <si>
    <t>13-0496
13-0639</t>
  </si>
  <si>
    <t>3370 LADRILLOS. 91 VARILLAS DE ACERO DE 3/8". 7 VARILLAS DE ACERO DE 1/2". 40 BASTIDORES DE 3M 3X3CM</t>
  </si>
  <si>
    <t>4544 KILOS ACERO DE 1/4". 1085  VARILLAS DE ACERO DE 1/2". 3456 PERLINES ML. 1800 MALLAS CON VENA DE 2X2</t>
  </si>
  <si>
    <t>APOYO DEL FNGRD MEDIANTE SUBSIDIO DE ARRIENDO TEMPORAL PARA 29 FAMILIAS AFECTADAS POR EL EVENTO (INUNDACION) OCURRIDO EL 14 DE OCTUBRE DE 2011 DURANTE TRES MESES A RAZON DE $250,000 MENSUALES</t>
  </si>
  <si>
    <t>REPORTAN DEL CDGRD  ,EN ELE MUNICIPIO DE SOPRETAN SE PRESENTO UN VENDAVAL AFECTANDO A 50 VIVIENDAS SE HACE SOLICITUD DE TEJAS DE ZINC Y ETERNIT. SE ESTA REALIZANDO EDAN POR PARTE DEL CMGRD.</t>
  </si>
  <si>
    <t>QUIBDO KM 23 SECTOR FARALLONES, PRESENTA CIERRE TOTAL POR CAIDA DE ROCA Y TIERRA. MAQUINARIA AMARILLA TRABAJA EN EL SECTOR</t>
  </si>
  <si>
    <t>REPORTA LE CMGRD , QUE SE PRESENTARON VIENTOS HURACANADOS Y FUERTES LLUVIAS AFECTANDO A VARIAS VIVIENDAS, SE ESTA REALIZANDO EDAN</t>
  </si>
  <si>
    <t>SE PRESENTO UN VENDAVAL EN EL MUNICIPIO DE VEGACHI, EL CMGRD ESTA REALIZANDO EDAN</t>
  </si>
  <si>
    <t>EL CUERPO OFICIAL DE BOMBEROS DE BOGOTÁ, REPORTÓ QUE EN EL SECTOR DE SAN ANDRESITO, SE PRESENTÓ UN VENDAVAL , ACOMPAÑADO DE LLUVIAS Y GRANIZO, QUE HIZO QUE SE CAYERA UN AVISO PUBLICITARIO, EN EL ALMACÉN DE TEJIDOS DE PUENTE ARANDA, EN LA CARRERA 38 CON CALLE 12, EN EL SECTOR DE SAN ANDRESITO., COLAPSO DE UN TECHO, POR GRANIZO EN LA CALLE 63A NO 70-77, CON AFECTACION DE 3 VEHICULOS PARTICULARES, INUNDACIÓN EN UN SÓTANO DE LA CALLE 64 NO 71 D - 44, INUNDACIÓN EN LA AVENIDA DE LAS AMÉRICAS NO 40 - 64 Y EN LA CALLE 26C NO 63C - 20.</t>
  </si>
  <si>
    <t>CDGRD DEL TOLIMA, INFORMA, MPIO DE VENADILLO, INCENDIO ESTRUCTURAL, HACIENDA: MIRAVALLE, KM.35, VÍA ALVARADO, AFECTADA: 1 SEMBRADORA, 1 PICORRIL, 50 TEJAS DE ETERNIT, 1500 PLACAS DE HENO, PARA GANADO.</t>
  </si>
  <si>
    <t>CMGRD PEREIRA, INFORMA, A CONSECUENCIA DEL VENDAVAL DEL 24 DE JUNIO,  SE REPORTA UN PARCIAL DE 300 VIVIENDAS AFECTADAS, EN LA COMUNA VILLA SANTANA, BARRIOS REMANSO, LAS BRISAS, MONSERRATE Y TOKIO, SITUACIÓN EN DESARROLLO.</t>
  </si>
  <si>
    <t>CDGRD DE ANTIOQUIA, INFORMA, MPIO DE YALI, VEREDA: SAN JORGE, AFECTACIÓN EN ESCUELAS LA MARIAL Y SAN MAURICIO, VÌA A VEGACHI- YALI, CON DIFICULTADES DE DESLIZAMIENTOS, SITUACIÓN EN DESARROLLO.</t>
  </si>
  <si>
    <t>MINISTERIO DE SALUD Y PROTECCIÓN SOCIAL Y BOMBEROS, INFORMAN: EXPLOSIÓN , PROVOCADA POR UN CILINDRO DE GAS, BARRIO: SAN CAYETANO,  7 PERSONAS HERIDAS, TRASLADADAS AL HOSPITAL DE SAN VICENTE DE PAUL, SITUACIÓN EN DESARROLLO.</t>
  </si>
  <si>
    <t>BOMBEROS, INFORMAN, SE PRESENTA, DESLIZAMIENTO DE TIERRA, EN EL KM: 67 EN LA VÍA BOGOTÀ- VILLAVICENCIO, LA VÌA ESTÁ CERRADA,  SON APROXIMADAMENTE, 3.000 METROS CÙBICOS DE DERRUMBES QUE HAN CAÌDO,  SOBRE LA CARRETERA, SECTOR: SUSUMUCO, JURISDICCIÒN DEL MPIO DE GUAYABETAL, EN EL SITIO: CONCESIONARIA VÍAL COVIANDES,  SITUACIÓN EN DESARROLLO.</t>
  </si>
  <si>
    <t>REPORTA SECCIONAL BOYACA: INCENDIO FORESTAL EL 25-06-2013 EN EL M/PIO DE RAQUIRA VEREDA PUEBLO VIEJO, RESULTANDO QUEMADAS 3 HECTAREAS DE BOSQUE NATIVO, PINOS.</t>
  </si>
  <si>
    <t>REPORTA SECCIONAL CHOCO, VEREDA: SAN FRANCISCO DE QUIBDO, POR  LLUVIAS TORRENCIALES,  AFECTANDO: 12 VIVIENDAS.</t>
  </si>
  <si>
    <t>CDGRD REPORTA FUERTES LLUVIAS CON TORMENTA ELECTRICA, INUNDACIONES EN EL POLIDEPORTIVO, MANZANA8 CASA13, BARRIO ISIDRO, EN TOTAL 3 VIVIENDAS AFECTADAS EN ENSERES Y MUEBLES PARRA, REALIZAN LABORES RESPECTIVAS, ATENDIDO. APOYA BOMBEROS</t>
  </si>
  <si>
    <t>SE REGISTRA EN HORAS DE LA NOCHE DESLIZAMIENTO ENTRE LA VIA PEREIRA-ARMENIA, DEJA ATRAPADA UNA PERSONA, PERSONA ALCAANZA A SER TRASLADADA AL HOSPITAL SAN JORGE DONDE FALLECE, NO AFRECTACION EN VIVIENDAS AL MOMENTO.</t>
  </si>
  <si>
    <t>SE PRESENTO UN VENDAVAL EL LA NOCHE DEL DIA 25 DE JUNIO AFECTANDO A 1 VIVIENDA , EL CMGRD, HACE ASISTWENCIA HUMANITARIA.</t>
  </si>
  <si>
    <t>ALREDEDOR DE LAS 2:00 DE LA TARDE DE AYER, VARIOS CONSTRUCTORES SE HALLABAN EN LA VÍA DEL CORREGIMIENTO DE MORELIA POR LA AUTOPISTA DEL CAFÉ, EN LA OBRA SALAMANCA CUANDO EL PASO DE UNA RETROESCAVADORA HIZO QUE SE DESLIZARA UNA BUENA CANTIDAD DE TIERRA QUE LITERALMENTE SEPULTÓ A CARLOS ALBERTO CASTAÑO ZAPATA, DE 49 AÑOS DE EDAD. FALLECIÓ A ESO DE LAS 7: 00 DE LA NOCHE.REPORTA LUISA RODRIGUEZ.</t>
  </si>
  <si>
    <t xml:space="preserve">REPORTA VENDAVAL DEJANDO 10 VIVIENDAS AVERIADAS, 10 FAMILIAS, REPORTA CDGRD. </t>
  </si>
  <si>
    <t>REPORTA INCENDIO FORESTAL EN LA VEREDA BOQUERON, CERRO ESTERILLAL INFORMACION INICIAL DE BOMBEROS ES QUE HAY DEMASIADA VEGETACION NATIVA SECA Y MUCHO VIENTO, POR LO CUAL EL DIA DE MAÑANA EL ING ALIRIO ROZO REALIZARA EVALUACION EN LA ZONA PARA TOMAR ACCIONES. REPORTA CDGRD. SITUACION EN DESARROLLO.</t>
  </si>
  <si>
    <t xml:space="preserve">CDGRD DE SANTANDER, INFORMA EL SEÑOR JESÚS DARÍO ACEVEDO ÁLVAREZ COORDINADOR C.M.G.R.D QUE EL DÍA 26 DE JUNIO DEL PRESENTE AÑO A LAS 14 12:17 HORAS,  SE PRESENTÓ INCENDIO ESTRUCTURAL EN EL BARRIO CENTRO ABASTOS EN LA CASA DE LA SEÑORA OLGA GRANADOS RINCÓN C.C 63.497.328 EN LA CALLE 14 NO. 21-14, QUEMÁNDOSE ENSERES Y ELECTRODOMÉSTICOS Y UNA MOTOCICLETA MARCA DISCOVERY 125 DE PLACAS SBK77C. BOMBEROS  SAN VICENTE CON APOYO POLICÍA Y COMUNIDAD APAGARON EL INCENDIO. PERDIDAS AVALUADAS EN 20’000.000 MILLONES DE PESOS. PERSONAS AFECTADAS, 02 ADULTOS Y 03 MENORES. EL MOTIVO DEL INCENDIO FUE DADO POR CORTO CIRCUITO. 
</t>
  </si>
  <si>
    <r>
      <t>LOS FUERTES VIENTOS QUE POR SEGUNDA DÍA CONSECUTIVO AZOTARON AL MUNICIPIO DE PALMAR DE VARELA</t>
    </r>
    <r>
      <rPr>
        <b/>
        <sz val="9"/>
        <rFont val="Arial"/>
        <family val="2"/>
      </rPr>
      <t>,</t>
    </r>
    <r>
      <rPr>
        <sz val="9"/>
        <rFont val="Arial"/>
        <family val="2"/>
      </rPr>
      <t xml:space="preserve"> ATLÁNTICO, DEJARON COMO SALDO DOS HERIDOS LEVES Y MÁS DE VEINTE VIVIENDAS DESTECHADAS. LA GOBERNACIÓN DEL ATLÁNTICO DEL ATLÁNTICO CONTINUARÁ ENTREGADO AYUDAS A LOS</t>
    </r>
    <r>
      <rPr>
        <b/>
        <sz val="9"/>
        <rFont val="Arial"/>
        <family val="2"/>
      </rPr>
      <t xml:space="preserve"> </t>
    </r>
    <r>
      <rPr>
        <sz val="9"/>
        <rFont val="Arial"/>
        <family val="2"/>
      </rPr>
      <t>NUEVOS DAMNIFICADOS. REPORTE 27-06-13, DIA 19-06-13, LLUVIAS ACOMPAÑADAS DE FUERTES VIENTOS QUE LEVANTARON CUBIERTAS Y GENERARON AFECTACIONES A BUENA PARTE DE LA POBLACIÒN DE MANERA SIGNIFICATIVA. SE PRESENTÒ INFORMACIÒN CONFUSA POR LOS CIUDADANOS Y RECLAMOS INFUNDADOS, GENERANDO DIFICULTADES Y DEMORAS EN LA VERIFICACIÒN DE LAS AFECTACIONES. ( CENSO ABIERTO) AL MOMENTO REPORTE DE 417 FAMILIAS AFECTADAS .</t>
    </r>
  </si>
  <si>
    <t xml:space="preserve">CDGRD REPORTA VENDAVAL EN EL MUNICIPIO DE CAMPO DE LA CRUZ CORREGIMIENTO BOHORQUEZ, AFECTANDO APROXIMADAMENTE 15 VIVIENDAS EN TECHOS Y ENSERES, EN DESARROLLO. REPORTE 27-06-13, REPORTA MARIO FERNANDO GIRALDO DE LA SECCIONAL: ATLANTICO: LLUVIAS TORRENCIALES OCURIDAS EL 24-06-2013 A LAS 15. 30 HORAS HASTA LAS 21: 00 HORAS EN EL MPIO CAMPO DE LA CRUZ, CORR/TO BOHORQUEZ, RESULTANDO 51 FAMILIAS AFECTADAS, 51 VIVIENDAS Y 340 PERSONAS
 </t>
  </si>
  <si>
    <t xml:space="preserve">DE ACUERDO DE LOS DATOS REPORTADOS EN EL MUNICIPIO DE MAGUI PAYAN BAJO LOS EFECTOS DE LLUVIAS CONSTANTES EN LA CABECERA DEL RIO MAGUI, CERCA DE LAS COMUNIDADES AURORA Y NARICES; SE PRESENTO EL DESBORDAMIENTO DEL RIO, OCASIONANDO PERDIDA DE ENSERES; ANIMALES, CULTIVOS, VIVIENDA, ENTRE OTROS. LOS LUGARES AFECTADOS SON ALCALDÍA MUNICIPAL, REGISTRADURIA, POLIDEPORTIVO, PARQUE PRINCIPAL, BODEGA MUNICIPAL, SISTEMA DE ACUEDUCTO Y ALCANTARILLADO, SIEMBRAS DE CULTIVOS DE PAN COGER, VÍAS PRINCIPALES DEL CASCO URBANO, VIVIENDA URBANAS Y RURALES. EN EL MOMENTO EL CMGRD ESTA REALIZANDO LA ATENCION INICIAL DE LAS PERSONAS AFECTADAS EN LA ZONA URBANA. EL CMGRD DETERMINA QUE EL DÍA DE 27 DE MAYO SE DESPLAZARA A REALIZAR EVALUACION HACIA LA ZONA RURAL. REPORTA CDGRD. CMGRD REPORTA MEDIANTE ACTA AFECTACION DEL DESBORDAMIENTO DEL RIO MAGUI LOS DIAS 25, 26 Y 27 DE MAYO DEL 2013; 1285 FAMILIAS DE ZONA URBANO Y 782 FAMILIAS DE ZONA RURAL, PARA UN TOTAL DE 9050 PERSONAS AFECTADAS, VIVIENDAS AFECTADAS 740 EN ZONA URBANA Y 535 EN ZONA RURAL, 135 HECTAREAS DE CULTIVO DE ARROZ, 170 DE PLATANO, 70 DE CAÑA, 31 DE MAIZ Y 24 DE YUCA </t>
  </si>
  <si>
    <t>SE PRESENTA VARIAS INUNDACIONES EN LA CIUDAD DE IBAGUE, DEBIDO ALAS LLUVIAS DESDE LAS ULTIMAS 12 HORAS. EL CMGRD ESTA REALIZANDO EDAN  EN LOS  BARRIO LA GAVIOTA, PUENTE TOPACIO, BARRIO VILLA VANESSA, SAN ANTONIO, ROBERTO A CALDERON, GLORIETA CAÑAVERAL.BARRIO CALARCA.</t>
  </si>
  <si>
    <t>SE PRESENTO UN ACCIDENTE DE UN ULTRALIVIANO DE MATRICULA HJ092 EN ZONA RURAL DE MONTENGROA, LESIONDO EL PILOTO DE 64 AÑOS  EL CUAL FUE REMITIDO A HOSPOTAL LOCAL.</t>
  </si>
  <si>
    <t>40000 BLOQUES H10, 400 KILOS DE ALAMBRE NEGRO, 30 UNIDADES SANITARIAS, 5000 KILOS DE ACERO DE 1/2, 2500 KILOS DE ACERO DE 1/4, 600 METROS TUBO RECTANGULAR DE 100X50X2MMM</t>
  </si>
  <si>
    <t>13-0647</t>
  </si>
  <si>
    <t>13-0291
13-0293
13-0290
13-0503
13-0647</t>
  </si>
  <si>
    <t>131760 LADRILLOS. 19484 KILOS DE ACERO DE 1/4". 7798 VARILLAS DE ACERO DE 1/2". 170 TANQUES A.P.P. 1000 LTS.
(INSTITUCIONES EDUCATIVAS) 2100 VARILLAS DE ACERO DE 3/8". 776 VARILLAS DE ACERO DE 5/8". 980 VARILLAS DE ACERO DE 1/2".  320 PERFILES  CAJON C120X60mm 1.9MM 6 M. 120 PERFILES CAJON C160X60mm 1.9MM 6 M. 1700 PERFILES ABIERTO C120X60mm 1.9MM 6 M. 160 PLATINA LAM HR 25X25CM E:1/8". 80 MALLA ELECTROSOLDADA 6MX2,35M.</t>
  </si>
  <si>
    <t>13-0646</t>
  </si>
  <si>
    <t>CDGRD REPORTA INUNDACION EN ESTE MUNICIPIO POR FUERTES LLUVIAS QUE INICIARON SOBRE LAS 13: 00 HORAS, LAS CUALES GENERARON AUMENTO EN EL NIVEL DEL AGUA DEL CAÑO CIMARRON QUE PASA POR ESTE MUNICIPIO, BARRIOS AFECTADOS: ESMERALDA, VILLA DEL RIO, GAITAN, EL CAREY, SECTOR PLAZA DE TOROS, CMGRD Y ENTIDADES REALIZAN LABORES DE ATENCION Y CENSO, INFORMA INGENIERA ADRIANA HERNANDEZ, NUEVO ENLACE DEPARTAMENTAL.</t>
  </si>
  <si>
    <t xml:space="preserve">CDGRD Y CENTRAL DE COMUNICACIONES DEPARTAMENTAL REPORTAN INFORME PRELIMINAR DE BOMBEROS POR INUNDACION EN ESTE MUNICIPIO, EN LA VEREDA VENECIA CON AFECTACION DE 2 VIVIENDAS, 2 FAMILIAS UNA DE ELLAS EVACUADAS HACIA LA CASETA COMUNAL, CMGRD ADELANTA LABORES EN EL SITIO. INFORMA TAMBIEN SOCORRO NACIONAL. </t>
  </si>
  <si>
    <t>DIRECCION NAL DE BOMBEROS INFORMA DE INCENDIO FORESTAL EN ESTE MUNICIPIO VEREDA SAN LUIS DE LLAMANES, CON AFECTACION EN 10 HECTAREAS DE VEGETACION NATIVA APROXIMADAMENTE, CONTROLADO Y EXTINGUIDO.</t>
  </si>
  <si>
    <t>SE REGISTRO INCENDIO ESTRUCTURAL EN ESTE MUNICIPIO EN HORAS DE LA MAÑANA, CONTRUCCION DE BAHAREQUE, EN CASCO URBANO, BARRRIO BELEN, POR FUGA DE GAS, AFECTACION DE 1 VIVIENDA PERDIDA PARCIAL.</t>
  </si>
  <si>
    <t>INFORMA LA SRA. MIRYAM BARRANTES, QUE A CAUSA DE LAS LLUVIAS DE HOY EN HORAS DE LA MAÑANA, EL TERRENO DE SU VIVIENDA CEDIO Y ESTA SE ENCUENTRA AGRIETADA Y TEME QUE LA VIVIENDA COLAPSE. CRA 2 # 16 - 38 - B/LA GAVIOTA. 2607600 - 3102265791. SE INFORMO AL CMGRD Y REPORTA CDGRD.</t>
  </si>
  <si>
    <t>REPORTAN FUERTES LLUVIAS EN LA CUIDAD DE FRESNO HAY AFECTACION EN VARIAS VIVIENDAS SE ESPERA EDAN POR LAS ENTIDES OPERATIVAS.</t>
  </si>
  <si>
    <t>CDGRD REPORTA EN ESTE MUNICIPIO INUNDACION EN EL 60% DEL CASCO URBANO BARRIOS AFECTADOS SON: JARAMILLO, LAS FERIAS,COLOYITA, ISIDRO PARRA Y PROTECHO PARTE BAJA, CAIDA DE ARBOLES, AUN NO HAN REALIZADO BARRIDO EN ZONA RURAL, APOYA CRUZ ROJA Y BOMBEROS EN ESTE MOMENTO..REPORTE 28-06-13, DESDE LAS PRIMERAS HORAS DE LA NOCHE SE REGISTRAN FUERTES LLUVIAS. HAY 35 VIVIENDAS AFECTADAS  POR ININDACION, Y PERDIDA DE LANINAS DE ZINC, 1 VIA  DEL LIBANO - ARMERO PRESENTA 3 DERRUMBES DE GRANDES PROPORCIONES, 4 VIAS TERCIARIAS CON DERRUMBES, LAS ENTIDADES OPERATIVAS ESTAN REALIZANDO EDAN EN ZONA RURAL. sandra torres, cmgrd 3144291328</t>
  </si>
  <si>
    <t>INFORMA EL SECRETARIO DE GOBIERNO QUE EL DÍA DOMINGO 23 DE JUNIO POR FUERTE AGUACERO Y VENDAVAL, SE PRESENTÓ LA INUNDACIÓN DE LA VIVIENDA DE LA FAMILIA DE JOHN JAVER VIDAL, UBICADA EN LA DIAGONAL ALAMEDA NO. 2-52 DONDE SE LEVANTARON TECHOS, SE INUNDÓ LA VIVIENDA Y SE PERDIERON ENSERES.  MISMA FORMA EN LA VEREDA OROQUE POR EL VENDAVAL RESULTARON DESTRUIDOS EL 60% DE LOS CULTIVOS DE MAÍZ. NO SE PRESENTÓ AFECTACIÓN DE VIVIENDAS. REPORTE 28-06-13, REPORTA OSCAR JAVIER PEÑA ROJAS, COORDINADOR  CMGRD, QUE COMO CONSECUENCIA DEL VENDAVAL PRESENTADO EL DÍA DOMINGO 23 DE JUNIO DEL 2013, RESULTARON AFECTADAS CON PÉRDIDA DE UN 70 POR CIENTO DE LOS CULTIVOS DE MAÍZ OCHO FAMILIAS  DE LAS VEREDAS DE OROQUE 03 FAMILIAS, VEREDA EL CENTRO 04 FAMILIAS Y 01 VIVIENDA DE LA FAMILIA DE JOHN JAVER VIDAL, UBICADA EN LA DIAGONAL ALAMEDA NO. 2-52 DONDE SE LEVANTARON TECHOS  Y SE INUNDÓ LA VIVIENDA DONDE HUBO PERDIDA DE ENSERES.</t>
  </si>
  <si>
    <t xml:space="preserve">BOMBEROS, INFORMA, DPTO DE  ANTIOQUIA, MPIO DE AMALFI, POR VENDAVAL,  21 VIVIENDAS AFECTADAS Y UNA PERSONA GRAVEMENTE HERIDA POR CAÍDA DE ÁRBOL, EL CUAL FUE REMITIDO A MEDELLIN VIA TERRESTRE EN AMBULANCIA, EN ESTOS MOMENTOS SE ENCUENTRA EN EL HOSPITAL SAN VICENTE DE PAUL, EN CUANTO A LAS VIVIENDAS, YA LA ALCALDÍA POR MEDIO DE LA OFICINA PARA LA GESTIÓN DEL RIESGO ESTA PRESTANDO LA AYUDA RESPECTIVA, SITUACIÓN EN DESARROLLO.
</t>
  </si>
  <si>
    <t>CDGRD DEL VALLE DEL CAUCA, INFORMA, MPIO DE: RIOFRIO, CORREGIMIENTO SALONICA, 80 VIVIENDAS DESTECHADAS, LA SEDE DEL CUERPO DE BOMBEROS DESTECHADO, EL CT FIERRO ESTA VERIFICANDO LAS AFECTACIONES, SITUACIÓN EN DESARROLLO.</t>
  </si>
  <si>
    <t>CDGRD DEL TOLIMA, INFORMA, DESLIZAMIENTO, EN EL CORREGIMIENTO DE: JUNTAS, 2 VIVIENDAS AFECTADAS, 1 IGLESIA AFECTADA, SIN LESIONADOS.</t>
  </si>
  <si>
    <t>CDGRD DEL TOLIMA, INFORMA, VENDAVAL, EN LAS VEREDAS: ALTO GUALI, BAJO GUALI, TRIUNFO, ARRAYANES, REPOSO, SITUACIÓN EN DESARROLLO.</t>
  </si>
  <si>
    <t xml:space="preserve">REPORTE DPTO QUINDIO, MPIO DE  MONTENEGRO, AYER HACIA LAS 11 AM SE REGISTRO UN VENDAVAL QUE AFECTO DOS VIVIENDAS, BARRIO: VILLA MARLEN MZ 1 NO 23; UNA VIVIENDA  AFECTADA EN CUBIERTA POR 3 TEJAS NO 8  DE ASBESTO, LA SITUACIÓN FUE ATENDIDA  POR OMGERD,  BARRIO:  VILLA MARLEN MZ 1 NO 18; UNA VIVIENDA AFECTADA EN CUBIERTA, SE REALIZO LA  ENTREGA  DE 3 COLCHONETAS, 2 COBIJAS, 1 MERCADO, LA SITUACIÓN FUE ATENDIDA POR LA OMGERD.
</t>
  </si>
  <si>
    <t>CDGRD DEL TOLIMA, INFORMA, VENDAVAL, EN LAS VEREDAS: MONTEALEGRE Y NUEVO HORIZONTE, AFECTADA LA VÍA FALAN- SAN FELIPE, KM. 4 + 500 MTS, EN REGISTRO E-MAIL ENVIADO POR CDGRD CONFIRMA 15 VIVIENDAS AFECTADAS EN SUS TECHOS Y ENSERES ZONA RURAL</t>
  </si>
  <si>
    <t>CDGRD REPORTA ORGANISMOS DE SOCORRO REALIZAN BUSQUEDA DE UNA PERSONA QUE FUE ARRASTRADA POR EL RIO GUALI, SITIO BALNEARIO BARRIO SANTA HELENA, APOYAN BOMBEROS , DEFENSA CIVIL. CRUZ ROJA.</t>
  </si>
  <si>
    <t>CDGRD DEL CESAR, INFORMA, VENDAVAL, ACOMPAÑADO DE LLUVIAS, AFECTANDO 8 VIVIENDAS EN SUS TECHOS, PAREDES, Y PISOS, SE REALIZA ENLACE CON CDGRD EL DIA DE HOY E INFORMA QUE CONTINUAN LOS MISMOS DATOS DE AFECTACION,ESTAN A LA ESPERA DE INFORME Y REGISTRO FOTOGRAFICO POR PARTE DEL CMGRD</t>
  </si>
  <si>
    <t>10 LÍDERES VOLUNTARIOS DEL COMITÉ DE DI BULLA PARTICIPARON EN LA SOFOCACIÓN DE UN INCENDIO ESTRUCTURAL EN LAS CABAÑAS DEL MUNICIPIO DE DIBULLA, QUEDANDO PÉRDIDA TOTAL DE 2 CABAÑAS</t>
  </si>
  <si>
    <t>D.C.C, INFORMA, SE PRESENTA FUERTE VENDAVAL, ACOMPAÑADO DE LLUVIAS Y TORMENTA ELÉCTRICA, VEREDAS: LA ESMERALDA, CAMPO ALEGRE, 2 VIVIENDAS COLAPSADAS EN LA ZONA RURAL, 16 VIVIENDAS AVERIADAS EN LA ZONA URBANA, SITUACIÓN EN DESARROLLO</t>
  </si>
  <si>
    <t>CDGRD REPORTA EN EL MUNICIPIO DE LA ESTRELLA POR FUERTES LLUVIAS EN HORAS DE LA NOCHE, DEJA COMO RESULTADO 1 VIVIENDA DESTRUIDA , 12 MAS AFECTADAS EN LOS BARRIOS: LA COLCHONERIA, TIERRA AMARILLA, LA INMACULADA, CERO LESIONADOS, ATIENDE CMGRD.</t>
  </si>
  <si>
    <t>CDGRD REPORTA INCENDIO FORESTAL EN EL MUNICIPIO DE CORRALES, VEREDA MODECA, INICIO EL DIA 29/06/2013, AUN ESTA EN PROCESO , APOYA DEFENSA CIVIL, EN SEGUIMIENTO.</t>
  </si>
  <si>
    <t>CDGRD INFORMA EL DIA DE HOY VENDAVAL EN EL MUNICIPIO DE SAMANA EL PASADO 28/06/2013 CORREGIMIENTO DE ENCIMADAS EL CUAL SOLO FUE REPORTADO HASTA HOY POR CMGRD, INDICANDO DE 6 FAMILIAS, 6 VIVIENDAS AFECTADAS CON PERDIDA TOTAL DE CUBIERTAS, SIENDO YA ATENDIDA.</t>
  </si>
  <si>
    <t>CDGRD REPORTA DESLIZAMIENTO EN LA VIA MANIZALES/ARANZASU EN EL SECTOR EL DESCANSO, CON CIERRE TOTAL DE LA VIA, YA SE TIENE MAQUINARIA EN EL SITIO.</t>
  </si>
  <si>
    <t>CDGRD REPORTA AL MOMENTO INFORMACION ENTREGADA POR COORDINADOR DE CMGRD DE CAJIBIO, QUE DEBIDO A FUERTES LLUVIAS EN LA CABECERA MUNICIPAL,  ACOMPAÑADAS DE DESCARGAS ELECTRICAS, DEJA UNA PERSONA FALLECIDA LUEGO DE RECIBIR DESCARGA, 1 LESIONADA, SIENDO TRASLADADA A CENTRO ASISTENCIAL DE CAJIBIO.</t>
  </si>
  <si>
    <t>CDGRD REPORTA SOBRE LAS 10:52 REPORTA LOS BOMBEROS VOLUNTARIOS GUAMO DE LAS EMERGENCIAS POR EL FUERTE AGUACERO QUE SE PRESENTÓ DESDE LAS 6:30 A.M. HASTA LA HORA E INFORMA  QUE FUERON ATENDIDAS LAS EMERGENCIAS POR INUNDACIÓN, POR COLAPSO DE ALCANTARILLADO Y TAPONAMIENTO POR MATERIAL DE CONSTRUCCIÓN DE OBRAS LOS CANALES DE EVACUACIÓN DE AGUA LLUVIAS EN LOS SIGUIENTES BARRIOS PABLO VI, SANTA ANA SECTOR PLAZA DE TOROS, EL CARMEN SECTOR DEL TRIUNFO, INVASIÓN-LAGUNA, CALLE 5, LIBERTADOR PARTE BAJA Y URBANIZACIÓN EL RETORNO CON AFECTACIÓN EN ENSERES  Y  ELECTRODOMÉSTICOS, YA EL CMGRD GUAMO ESTÁ REALIZANDO EL CENSO PARA REPORTARLO. ARBOLES CAÍDO SOBRE LA VÍA GUAMO-ORTEGA CON TAPONAMIENTO PARCIAL DE LA CARRETERA. </t>
  </si>
  <si>
    <t>SE REGISTRO INCENDIO ESTRUCTURAL EN MEDELLIN BODEGAS DE LA EMPRESA CUEROS VELEZ  CON CALLE 29 UBICADAS CETRCA A LA AVENIDA GUAYABAL, PERSONAL DE BOMBEROS REALIZA LA ATENCION DE LA EMERGENCIA, EVACUADO TODO EL PERSONAL DE LA EMPRESA, NO LESIONADOS</t>
  </si>
  <si>
    <t>REPORTA FUNCIONARIO WILFREDO WILCHES DE LA SECCIONAL VALLE, QUE SIENDO LAS 18:20 HORAS DEL DIA 29-06-13, SE REGISTRA VENDAVAL SOBRE EL MUNICIPIO DE SEVILLA DEJANDO SALDO DE 14 AFECTADOS ILESOS DE 2 FAMILIAS EN 2 VIVIENDAS SIN MAS REPORTE. PARTICIPARON EN LA ATENCIÓN DEL CASO 8 LIDERES VOLUNTARIOS DCC.</t>
  </si>
  <si>
    <t>REPORTA SECCIONAL ANTIOQUIA: INUNDACIONES OCURRIDAS EL 30-06-2013 DESPUES DE LAS 12. 00 HORAS EN EL MUNICIPIO DE ITAGUI BARRIO SANTA CATALINA, REPORTE  DE 14 FAMILIAS AFECTADAS, 14 VIVIENDAS Y 70 PERSONAS. PARTICIPACIÓN DE 3 LÍDERES DCC.</t>
  </si>
  <si>
    <t>REPORTA SECCIONAL BOYACA: INCENDIO FORESTAL OCURRIDO A PARTIR DEL AS 10. 00 HORAS EN EL M/PIO DE CORRALES VEREDA PORTACHUELO, RESULTANDO 10 HECTAREAS DE BOSQUE NATIVO AFECTADAS POR EL FUEGO. PARTICIPARON 10 LÍDERES DCC.</t>
  </si>
  <si>
    <t>BOMMBEROS BUCARAMANGA, REPORTO QUE A LAS 12:30 HORAS SE PRESENTÒ INCENDIO FORESTAL, EN LOS ALREDEDORES DE BARRIO MARIA PAZ AL NORTE DE BUCARAMANGA, DONDE SE QUEMARON 3 HECTAREAS DE BOSQUES, MALEZAS Y PASTOS VERDES, DEL CUAL NO SE PRESENTO AFECTACIÓN DE PERSONAS NI DE VIVIENDAS.</t>
  </si>
  <si>
    <t>CDGRD REPORTA QUE EL DIA 29/06/2013 EN HORAS DE LA NOCHE SE REGISTRO EN VALLEDUPAR, LLUVIAS CON TORMENTA ELECTRICA, FALLECIO 1 PERSONA EN EL CORREGIMIENTO DE AGUAS BLANCAS. PARA EL DIA DE HOY REPORTA LLUVIAS SIN NOVEDAD DE EMERGENCIAS</t>
  </si>
  <si>
    <t>REPORTA ENCONTRARON UNA PERSONA FALLECIDA POR INMERCION EN EL RIO ARIPORO, AYOPAYON 6 VOLUNTARIOS, LLUVIAS EN EL PIEDEMONTE SIN EMERGENCIAS.</t>
  </si>
  <si>
    <t>SE REGISTRA ACCIDENTE DE TRANSITO EN LA VIA ZIPAQUIRA / UBATE, DEJA COMO RESULTADO 15 PERSONAS HERIDAS DE GRAVEDAS, 9 LEVES, 2 FALLLECIDOS, UN BUS DE TURISMO Y UN PARTICULAR, CON CIERE DE VIA UBATE/BOGOTA, ORGANISMOS DE SOCORRO Y CTI EN EN SITIO.</t>
  </si>
  <si>
    <t>CDGRD REPORTA EN IBAGUE DE JOVEN YESID CAMILO CARRETERO ROA DE 14 AÑOS DESAPARECIÓ POR INMERSIÓN EN LA LAGUNA DE LA HACIENDA EL ESCOBAL, VÍA CASA DE LA MONEDA/AEROPUERTO, INFORMA FAMILIAR APOYA DCC Y BOMBEROS VOLUNTARIOS</t>
  </si>
  <si>
    <t>SE REGISTRA DESLIZAMIENTO EN LA VIA - IBAGUE CAJAMARCA, CIERRE TOTAL DE LA VIA EN EL KILOMETRO 76 SECTOR COELLO POR CAIDA DE ROCA Y TIERRA, VIA ALTERNA POR MANIZALES.</t>
  </si>
  <si>
    <t>REPORTA VENDAVAL EN LA TARDE DE HOY EN EL BARRIO JUAN MINA, DEJANDO 29 VIVIENDAS AVERIADAS, 29 FAMILIAS, 5 PERSONAS LESIONADAS, EL CMGRD YA ELABORO CENSO Y ESTA EN PROCESO DE ENTREGA DE AHE, REPORTA ANA SALTARIN CMGRD.</t>
  </si>
  <si>
    <t>CRUE REPORTA DATOS DEL MUNICIPIO DE BALBOA CON 8 VIVIENDAS AFECTADAS EN SUS TECHOS, EN LA VEREDA EL TOTUY, IGUAL NUMERO DE FAMILIAS, EL SERVICIO DE ENERGIA LO ESTAN HABILIATANDO.</t>
  </si>
  <si>
    <t>CDGRD REPORTA ACCIDENTE DE TRANSITO EN HORAS DE LA MADRUGADA VIA BOGOTA -MELGAR FRENTE AL CENTRO VACACIONAL ANEBRE, 1 VEHICULO DE LA EMPRESA COOTRANSFLORENCIA Y UN TWINGO, DEJA 4 FALLECIDOS Y 1 LESIONADO, ATENDIO BOMBEROS, PERSONAL DEL TUNEL Y POLICIA DE CARRETERAS</t>
  </si>
  <si>
    <t>CDGRD REPORTA INFORMACION ENTREGADA POR EL COORDINADOR DEL CMGRD DEL MUNICIPIO DE PUEBLO VIEJO, FUERTES LLUVIAS ACOMPAÑADAS DE VIENTO EN HORAS DE LA NOCHE EN LA VEREDA SAN PABLO, AFECTA 3 VIVIENDAS EN TECHOS , ESTRUCTURAS Y ENSERES DADO QUE SON DE BARRO Y BAHAREQUE, 3 FAMILIAS, AL MOMENTO EL CMGRD REALIZA RECORRIDO POR LA ZONA.</t>
  </si>
  <si>
    <t>CDGRD REPORTA EL ACCIDENTE FUE A LA ALTURA DEL MUNICIPIO DE TAUSA: ACCIDENTE DE TRANSITO OCURRIDO EL DÍA 30/06/13 A LAS 08:10 HORAS, POR VOLAMIENTO DE UN BUS DE ESCOTUR EN LA VÍA BOGOTÁ CHIQUINQUIRA, 2 PERSONAS FALLECIDAS, 40 LESIONADOS TRASLADADOS AL HOSPITAL DE UBATE, ATENDIÓ POLICÍA, BOMBEROS, FISCALÍA</t>
  </si>
  <si>
    <t>CITEL CDGRD REPORTA ACCIDENTE DE TRANSITO EN ESTE MUNICIPIO, DEJA 1 LESIONADO TRASLADADO A CENTRO ASISTENCIAL, 1 FALLECIDO, BOMBEROS REALIZA LABORES DE RESCATE DEL CUERPO.</t>
  </si>
  <si>
    <t>REPORTA ACCIDENTE DE TRANSITO EN LA VIA ENTRE VIOTA Y MESITAS, COLISION ENTRE MICROBUS Y CARRO REPARTIDOR DE GAS, CON UN SALDO DE 3 PERSONAS FALLECIDAS Y 8 PERSONAS LESIONADAS. REPORTA DIRECCION NACIONAL DE BOMBEROS.</t>
  </si>
  <si>
    <t>REPORTA INCENDIO ESTRUCTURAL Y VEHICULAR, EN TALLER DE LAMINA Y PINTURA QUE FUNCIONA TAMBIEN COMO PARQUEADERO, PROVOCADO POR ALMACENAMIENTO DE COMBUSTIBLE, EN EL BARRIO LOS SAUCES, EN DONDE LOS DAÑOS ESTIMADOS SON LOS SIGUIENTES SEGÚN REPORTE DEL CMGRD. 21 CARROS DE LOS CUALES 16 PRESENTAN PERDIDA TOTAL Y 5 PERDIDA PARCIAL, 4 MOTOCICLETAS CON PERDIDA TOTAL, 6 VIVIENDAS AVERIDADAS CON DAÑOS EN LA PARTE POSTERIOR. INCENDIO CONTROLADO POR PARTE DEL CUERPO DE  BOMBEROS VOLUNTARIOS CON APOYO DE LA DEFENSA CIVIL, CRUZ ROJA Y POLICÍA NACIONAL. REPORTA CDGRD.</t>
  </si>
  <si>
    <t>REPORTA CRECIENTE DEL RIO TOTUI, EL CUAL SE DESBORDO Y OCASIONO INUNDACION DE 5 VIVIENDAS, 5 FAMILIAS, PERDIDAS DE ENCERES COLCHONES MERCADO Y CRIADEROS DE ANIMALES, REPORTA CDGRD.</t>
  </si>
  <si>
    <t>REPORTA CRECIENTE DEL RIO TOTUI, EL CUAL SE DESBORDO Y OCASIONO INUNDACION DE 3 VIVIENDAS, 3 FAMILIAS, PERDIDAS DE ENCERES COLCHONES MERCADO Y CRIADEROS DE ANIMALES, REPORTA CDGRD.</t>
  </si>
  <si>
    <t>D.C.C., INFORMA SE PRESENTÓ VENDAVAL, ACOMPAÑADO DE FUERTES LLUVIAS, AFECTANDO: 2 VIVIENDAS.</t>
  </si>
  <si>
    <t>CDGRD DE CUNDINAMARCA, INFORMA, LILIANA LADINO DE BOMBEROS UBATE, REPORTA INCENDIO FORESTAL EN EL MUNICIPIO DE FUQUENE VEREDAS GUATA Y TARABITA INICIADO A LAS 11:30 Y EXTINGUIDO A LAS 13:00 HORAS DEL 29/06/13 CON AFECTACIÓN DE 0,5 HECTÁREAS DE VEGETACIÓN NATIVA. ATENDIÓ BOMBEROS UBATE</t>
  </si>
  <si>
    <t>13-0680</t>
  </si>
  <si>
    <t>13-0681</t>
  </si>
  <si>
    <t>CDGRD INFORMA DE VENDAVAL EN HORAS DE LA NOCHE CON AFECTACION PARCIAL DE 2 VIVIENDAS, NO LESIONADOS.EN SEGUIMIENTO.</t>
  </si>
  <si>
    <t>CDGRD INFORMA DESLIZAMIENTO DE TIERRA SOBRE VIVENDA EN LA VEREDA SAN FRANCISCO - FINCA EL DESCANSO, A CAUSA DE UNA OBRA VIAL QUE ESTAN REALIZANDO EN ESTE SECTOR NO HAY PERSONAS LESIONADA SE INFORMO A DC Y CMGRD PARA LO RESPECTIVO</t>
  </si>
  <si>
    <t>CDGRD REPORTA ACCIDENTE DE TRANSITO SOBRE LA VIA PRINCIPAL HACIA NATAGAIMA KM 61*200 CON RESULTADO DE 16 LESIONADOS, TRASLADADOS A CENTRO ASISTENCIAL DE IBAGUE Y NATAGAIMA, 1 PERSONA FALLECIDA, ATENDIERON ORGANISMOS PERTINENTES.</t>
  </si>
  <si>
    <r>
      <t xml:space="preserve">CDGRD REPORTA EN ESTE MUNICIPIO HACIA LAS 19:00 HORAS CORREGIMIENTO DE ACAPULCO, SE PRESENTÓ INCENDIO FORESTAL, DONDE SE QUEMÓ 01 HECTÁREA DE </t>
    </r>
    <r>
      <rPr>
        <sz val="9"/>
        <color indexed="63"/>
        <rFont val="Arial"/>
        <family val="2"/>
      </rPr>
      <t>BOSQUES, PASTOS VERDES Y MALEZAS</t>
    </r>
    <r>
      <rPr>
        <sz val="9"/>
        <color indexed="8"/>
        <rFont val="Arial"/>
        <family val="2"/>
      </rPr>
      <t>. LA PRONTA INTERVENCIÓN DE LOS BOMBEROS Y LOS MORADORES LOGRARON APAGARLO EN TOTALIDAD. NO SE PRESENTÓ AFECTACIÓN DE PERSONAS NI DE VIVIENDAS.</t>
    </r>
  </si>
  <si>
    <t>CMGRD DE YOPAL REPORTA UNA PERSONA DESAPARECIDA EN EL MUNICIPIO POR INMERCIÓN EN UN CAÑO DENOMINADO CAÑO SECO DEL CORREGIMIENTO DE QUEBRADA SECA DESDE EL DÍA DE AYER LOS BOMBEROS  VOLUNTARIOS DE YOPAL REALIZAN SU BÚSQUEDA</t>
  </si>
  <si>
    <t>CDGRD/CRUE REPORTA EN LA VEREDA LA CELANDIA AFECTACION EN 1 VIVIENDA EN TECHO DE ETERNIT, 1 FAMILIA, 3 PERSONAS, ES EN BARRIDO REALIZADO HOY.</t>
  </si>
  <si>
    <t>REPORTA DESLIZAMIENTO DE TIERRA Y ROCA DENTRO DE MINA DE ORO, EN LA VEREDA LA TURBINA DEJANDO UNA PERSONA ATRAPADA, EQUIPOS DE RESCATE DE LAS ENTIDADES OPERATIVAS SE ENCUENTRAN EN LA ZONA, APOYA CMGRD, REPORTA CDGRD. SITUACION EN DESARROLLO.</t>
  </si>
  <si>
    <t>DUMAR ALBEIRO DAVID BONILLA ALCALDE Y PRESIDENTE EL CMGRD, REPORTA MEDIANTE ACTA DEL CMGRD NUMERO 004 DE FECHA 04/06/13 INUNDACIÓN POR CRECIENTE DEL RIO HUMEA OCURRIDA EL DIA 30/05/13, QUE OCASIONÓ LA INUNDACIÓN DE 57000 HECTÁREAS CON PERDIDAS DE 1000  HECTÁREAS DE TERRENO POR ARRASTRE Y AVANZADA DEL RIO, 2000 RESES PERDIDAS, 50 HECTÁREAS DE PALMA AFRICANA 200 PEQUEÑOS AGRICULTORES AFECTADOS POR PERDIDAS DE MUEBLES Y ENSERES,  CULTIVOS DE ARROZ, MAÍZ Y SOYA SIN CUANTIFICAR POR EL CMGRD, SERVICIOS DE SALUD INCOMUNICADOS, 2 RESCATES AÉREOS. SOLICITAN AYUDAS HUMANITARIAS COMO ALIMENTOS, UTENSILIOS DE ASEO Y MEDICAMENTOS PARA LAS FAMILIAS AFECTADAS, REPORTA CDGRD</t>
  </si>
  <si>
    <t>CDGRD REPORTA INCENDIO ESTRUCTURAL, HACIA LAS 06:30 HORAS, SECRETARIA DE AMBIENTE COORDINA ACCIONES PARA CONTROLAR INCENDIO QUE INICIO EN UNA FABRICA DE VELAS SAN MARTIN EN LA CLLE 26 POR CRA 2, SE EXTENDIO A VIVIENDAS ALEDAÑAS, APOYA BOMBEROS VOLUNTARIOS, OFICIALES, DCC, EJERCITO NACIONAL, BOMBEROS ESPINAL, MARIQUITA, HONDA, CRUZ ROJA ATIENDE A 2 QUEMADOS Y APOYA EN HIDRATACION DE LOS EQUIPOS DE TRABAJO, AFECTACION DE 4 VIVIENDAS, 10 PERSONAS HABITANTES DE LA ZONA AFECTADAS POR CRISIS NERVIOSA, 10 BOMBEROS ATENDIDOS POR PROBLEMAS RESPIRATORIOS, 1 BOMBERO Y 1 DE DCC POR QUEMADURAS LEVES, PONAL ESTARA CUSTODIANDO LA ZONA Y CMGRD ESTARA ENTREGANDO AYUDAS DE ACUERDO A LOS CENSOS.</t>
  </si>
  <si>
    <t>CDGRD REPORTA VENDAVAL EN HORAS DE LA MADRUGADA EL MUNICIPIOD DE MIRANDA HASTA EL MOMENTO INFORMA DE 3 VIVIENDAS AFECTADAS EN SUS TECHOS, TAMBIEN EN LA INFRAESTRUCTURA DE LA ESE 2 DE ESTE MUNICIPIO, ORGANISMOS DE SOCORRO REALIZAN EVALUACIONES, EN SEGUIMIENTO</t>
  </si>
  <si>
    <t>CDGRD DE ANTIOQUIA, INFORMA, DR. CESAR HERNANDEZ, REPORTA INUNDACION EN EL MUNICIPIO DE ZARAGOZA POR DESBORDAMIENTO DE LA QUEBRADA OCA, SECTORES DEL CENTRO, BARRIOS SAN GREGORIO, LA ESMERALDA,  SECTORES,  LAS VEGAS, PUENTE VIEJO, PLAYON, MIQUITOS Y QUIBDOCITO, 232 FAMILIAS AFECTADAS, SALDO FINAL.</t>
  </si>
  <si>
    <t>REPORTA OFICINA PUTUMAYO: QUE HACIA LAS 11:30 APROX. SE PRESENTÓ INUNDACIÓN POR CRECIENTE DE QUEBRADAS Y TAPONAMIENTO DE ALCANTARILLAS EN EL CASCO URBANO DE VILLA GARZÓN AFECTANDO LOS BARRIOS LOS PRADOS -CRISTO REY  RESULTANDO 10 VIVIENDAS INUNDADAS.</t>
  </si>
  <si>
    <t>CDGRD DE BOYACA, INFORMA, ACCIDENTE LABORAL, FALLECE, EL SR. JORGE ELIECER DIAZ, ARROLLADO POR VAGONETA, EN MINA DE CARBÓN, VEREDA. VILLA RICA.</t>
  </si>
  <si>
    <t>CDGRD DEL CAUCA, INFORMA, SE PRESENTÁ, VENDAVAL, ACOMPAÑADO DE FUERTES LLUVIAS Y TORMENTA ELÉCTRICA, REALIZAN EDAN.</t>
  </si>
  <si>
    <t>FUE ENCONTRADA UNA PERSONA SIN VIDA EN EL SECTOR DE LOS RIOS-BELENCITO AL PARECER CAIDA DE ALTURA, SE DESEMPEÑABA COMO LOCUTOR EN EMISORA LOCAL.</t>
  </si>
  <si>
    <t>13-0531</t>
  </si>
  <si>
    <t>REPORTA ACCIDENTE AEREO OCURRIDO AYER A LAS 15:00 EN AEROPUERTO DE PLATO MAGDALENA EL CUAL NO CUENTA CON CERRAMIENTO POR LO QUE AL MOMENTO DE ATERRIZAR AVIONETA CESSNA 172 EL PILOTO DEBE REALIZAR MANIOBRAS DE EMERGENCIA POR QUE EN LA PISTA HABIAN PERSONAS RANSITANDO AL IGUAL QUE ANIMALES, OCASIONANDO QUE LA AERONAVE COLISIONE CONTRA UNA VIVIENDA LA CUAL NO ESTABA OCUPADA EN EL MOMENTO, LA AVIONETA DE MATRICULA HK 3844 DE AVIOCESAR ESTABA TRIPULADA POR PILOTO Y 2 ESCOLTAS NO SE PRESENTARON LESIONADOS EN EL HECHO. REPORTA CDGRD.</t>
  </si>
  <si>
    <t>REPORTA INUNDACION A CAUSA DE DESBORDAMIENTO QUEBRADA LA NIÑA LA CUAL AFECTO 3 VEREDAS, 25 HECTAREAS Y PERDIDA DE ANIMALES DE ESPECIES MENORES SEGÚN REPORTE PRELIMINAR, EL CMGRD REALIZA EDAN, REPORTA CDGRD, SITUACION EN DESARROLLO.</t>
  </si>
  <si>
    <t>REPORTA NAUFRAGIO DE LANCHA EN RIO GUARICO, QUE CUBRIA LA RUTA ENTRE EL ORZA E INFANTE, DEJANDO 6 PERSONAS DESAPARECIDAS, DEFENSA CIVIL Y BOMBEROS SE ENCUENTRAN EN LA BUSQUEDA DE ESTAS PERSONAS, HOY 5 DE JULIO RECUPERAN 1 CUERPO DE DICHO NAUFRAGIO, REPORTA CMGRD, SITUACION EN DESARROLLO.</t>
  </si>
  <si>
    <t>CMGRD DE ARMENIA, INFORMA, SE PRESENTA COLAPSO, ESTRUCTURAL, BARRIO: ACACIA BAJO, 1 FAMILIA AFECTADA.</t>
  </si>
  <si>
    <t>REPORTA SECCIONAL BOYACÁ, QUE ENTRE LAS 16:00 Y LAS 18:00 HORAS DEL DÍA 04-07-13, FUÉ EXTINGUIDO INCENDIO FORESTAL, EN LA VEREDA: CARARE,  DEJANDO SALDO DE 1 HECTÁREA DE VEGETACION NATIVA AFECTADA.</t>
  </si>
  <si>
    <t>INCENDIO FORESTAL, VEREDA: LA MADERA,  PROVOCADO POR EL CORTO CIRCUITO DE UNA MOTOBOMBA, 50 HECTÁREAS CONSUMIDAS.</t>
  </si>
  <si>
    <t>MINA COLAPSA, POR UNA VETA DE AGUA, MINERO CAE EN ELLA, A UNA PROFUNDIDAD DE 8 METROS, AHOGANDOSE, SE PIDE APOYO A LA DEFENSA CIVIL DEL ZULIA.</t>
  </si>
  <si>
    <r>
      <t xml:space="preserve">CDGRD INFORMA ACCIDENTE DE TRANSITO A LAS 10:35, EN EL CRUCE DE LA VIA ARMERO GUAYABAL - LIBANO EN EL SECTOR CONOCIDO COMO PADILLA, ORGANISMOS DE SOCORRO ATIENDEN, DEJA APROXIMADAMENTE 25 PERSONS LESIONADAS, 3 SIN SIGNOS VITALES. </t>
    </r>
    <r>
      <rPr>
        <sz val="9"/>
        <rFont val="Times New Roman"/>
        <family val="1"/>
      </rPr>
      <t xml:space="preserve"> </t>
    </r>
  </si>
  <si>
    <t>CDGRD REPORTA INCENDIO FORESTAL BARRIO SAN JORGE CON AFECTACION D 1 HECTAREA DE PASTO Y RASTROJO, CONTROLADO Y ATENDIDO POR BOMBEROS NEIVA,</t>
  </si>
  <si>
    <t>CDGRD INFORMA RESCATE UNA PERSONA DE 26 AÑOS, FALLECIO POR INMERSION EN EL RAUDAL DE CUALET A 300 KM VIA FLUVIAL DE PUERTO INIRIDA, APOYARON ORGANISMOS DE SOCORRO.</t>
  </si>
  <si>
    <t>INFORMA OSCAR CARDENAS, SECRETARIO  DE C.M.G.R.D DE SABANA DE TORRES QUE EL DÍA 04 DE JULIO 2013 16:44 HORAS EN LA CALLE 16 NO 16- 49 DEL BARRIO ARGELIA  SE PRESENTÓ INCENDIO ESTRUCTURAL,EN LA CASA DEL SEÑOR JOSE ANTONIO FRANCO, PROPIETARIO DONDE SE QUEMÓ UNA HABITACIÓN DE LA RESIDENCIA EN ARRIENDO A LA SEÑORA HIRAYDA AGAMES TELLEZ, A QUIEN SE LE QUEMARON VARIOS ELECTRODOMÉSTICOS, ROPAS Y ENSERES, REPORTA CDGRD.</t>
  </si>
  <si>
    <t>REPORTA DCC IBAGUE, CONTROL DE INCENDIO FORESTAL EN EL MUNICIPIO DE CHAPARRAL BARRIO EL EDEN, EL CUAL SE INICIO A LAS 12:30 PM Y SE CONTROLO A LAS 13:20 PM QUEDANDO CONSUMIDAS TRES HECTAREAS DE BOSQUE NATIVO, APOYO LIDERES VOLUNTARIO DCC Y LA COMUNIDAD, INFORMA CDGRD TOLIMA.</t>
  </si>
  <si>
    <t>CDGRD REPORTA, DESLIZAMIENTO EN LA VIA LIBANO ARMERO, EN EL SECTOR DEL AGUADOR Y A UN KM DE ARMERO, VÍA YA NORMALIZADA INFORMA BOMBEROS, ACUEDUCTO NORMAL.</t>
  </si>
  <si>
    <t>SE REGISTRO INCENDIO ESTRUCTURAL EN HORAS DE LATARDE EN LAS INSTALACIONES DEL COLEGIO JUAN V PADILLA, SE PRESENTO UN INCENDIO QUE ACABO CON LA ESTRUCTURA DEL KIOSCO ESTUDIANTIL CONSTRUIDO EN PALMA CUERPO DE BOMBEROS VOLUNTARIOS DE JUAN DE ACOSTA, EL INCIDENTE NO PASÓ A OTRAS AÉREAS DE ESTA INSTITUCIÓN NI A VIVIENDAS ALEDAÑAS. LAS LLAMAS ALCANZARON APROXIMADAMENTE UNA ALTURA DE 20 METROS, PREOCUPANDO A LOS HABITANTES DEL SECTOR,  YA QUE CERCA AL KIOSCO, FUNCIONA UNA ESTACIÓN DE GASOLINA DE LA EMPRESA OILGAS</t>
  </si>
  <si>
    <t>REPORTA INCENDIO ESTRUCTURAL CORREGIMIENTO SAN MIGUEL DEJANDO 5 VIVIENDAS DESTRUIDAS, 5 FAMILIAS 25 PERSONAS, NO SE PRESENTARON LESIONADOS, REPORTA CDGRD.</t>
  </si>
  <si>
    <t xml:space="preserve">  </t>
  </si>
  <si>
    <t>13-0726</t>
  </si>
  <si>
    <t>A LAS 11:33 HORAS SE PRESENTÓ CONATO DE INCENDIO FORESTAL ENTRE LOS BARRIO MUTIS AL SUR DE BUCARAMANGA, DONDE SE QUEMARON 500 METROS  DE BOSQUES Y MALEZAS EN LOTE DE RESERVA DE LA C.M.B, DEL CUAL NO SE PRESENTÓ AFECTACIÓN DE PERSONAS NI DE VIVIENDAS</t>
  </si>
  <si>
    <t>A LAS 12:30 HORAS SE PRESENTÓ INCENDIO FORESTAL ENTRE EN SECTOR DE CANEYES POR EL ANILLO VIAL QUE CONDUCE A FLORIDABLANCA, DONDE SE QUEMARON 5 HECTÁREAS DE BOSQUES, PASTOS Y VEGETACIÓN. NO SE PRESENTÓ AFECTACIÓN DE PERSONAS NI DE VIVIENDAS</t>
  </si>
  <si>
    <t>EL TENIENTE ARQUÍMEDES SOSA DE BOMBEROS MUNICIPIO DE MOSQUERA, INFORMA SOBRE INCENDIO EN AL BOTADERO DE MONDOÑEDO, QUE AFECTA EL MEDIO AMBIENTE Y LA CIRCULACIÓN VIAL. ESTE SE INICIO EL DÍA SÁBADO HACIA LAS 01:00 HORAS, SE ENCUENTRA ACTIVO Y ES ATENDIDO POR BOMBEROS MOSQUERA, BOGOTÁ, Y CMGRD MOSQUERA Y BOJACA.</t>
  </si>
  <si>
    <t>EN LA VEREDA DE LA UNION SE PRESENTO UN DESLIZAMIENTO  DE TIERRA AFECTANDO  A LABRIEGOA  QUE REALIZABAN UNA MINGA SOBRE LA VIA , DEJANDO A 4 FALLECIDOS Y 2 LESIONADOS. LOS CUALES FUERON REMITIDOS AL HOSPITAL LOCAL.</t>
  </si>
  <si>
    <t>REPORTA VENDAVAL EN EL CASCO URBANO AFECTANDO 50 VIVIENDAS, 50 FAMILIAS, AL MOMENTO EL CMGRD SE ENCUENTRA REALIZANDO EDAN, REPORTA CDGRD.</t>
  </si>
  <si>
    <t>REPORTA VENDAVAL EN EL CORREGIMIENTO DE LAS PALMITAS AFECTANDO 6 VIVIENDAS, 6 FAMILIAS, REPORTA CDGRD.</t>
  </si>
  <si>
    <t>SE PRESENTÓ, INCENDIO ESTRUCTURAL, EN EL BARRIO: LAS CANTERAS, AFECTANDO: 2 FAMILIAS.</t>
  </si>
  <si>
    <t>CDGRD DE SANTANDER, INFORMA,  SE  SENTÓ UN VENDAVAL CON GRANIZADA, AFECTANDO:  20 VIVIENDAS,  CAMINOS VEREDALES OBSTACULIZADOS POR ESCOMBROS,  05 TRAPICHES AFECTADOS POR INUNDACIÓN EN ZONA VEREDAL,  LA IGLESIA DEL CASCO URBANO PRESENTO AVERÍAS EN SU TECHO Y LOS VENTANALES DE LA PARTE ALTA SE PARTIERON TODOS POR LA FUERZA DE LAS LLUVIAS,  EL INSTITUTO TÉCNICO AGROPECUARIO SE INUNDÓ, ADEMÁS PRESENTA AVERÍAS EN 100 M2 DE COBERTURA Y EN TRES SALONES HAY TEJAS PARTIDAS INHABILITÁNDOLOS PARA SU ACTIVIDAD NORMAL POR EL RIESGO QUE ESTO REPRESENTA,  POR LA FUERTE CORRIENTE DE AIRE, LA ESTACIÓN DE POLICÍA PRESENTÓ VARIAS ENTRADAS DE AGUA POR EL CIELO RASO, CON ELLO PRESENTÁNDOSE VARIAS GOTERAS, CABE ANOTAR QUE EL SEÑOR ALCALDE, LA DEFENSA CIVIL Y EL COORDINADOR MUNICIPAL DE LA GESTIÓN DEL RIESGO ADELANTAN CENSO DE LOS DAÑOS OCASIONADOS A VIVIENDAS DEL DICHO MUNICIPIO, SITUACIÓN EN DESARROLLO.</t>
  </si>
  <si>
    <t>13-0720</t>
  </si>
  <si>
    <t>13-0722</t>
  </si>
  <si>
    <t>13-0709</t>
  </si>
  <si>
    <t>13-0708</t>
  </si>
  <si>
    <t>EN HORAS DE L MADRUGADA SE PRESENTO UN VENDAVAL  AFECTANDO A 5 VIVIENDAS INICIALMENTE, SE ESTA REALIZANDO EDAN, REPORTA CDGRD</t>
  </si>
  <si>
    <t>REPORTA, CDGRD NORTE DE SANTANDER DE UN ACCIDENTE DE UN HELICÓPTERO QUE PRESTA EL SERVICIO A ECOPETROL QUE SE ACCIDENTO EN LA VEREDA DE SAN PABLO, EN EL MUNICIPIO DE TEORAMA. AL PARECER LOS 5 OCUPANTES FALLECIERON, EL CRU DE NS ENVIO  AMBULANCIA A LA ZONA.SE ESPERA MAS INFORMACIÓN.</t>
  </si>
  <si>
    <t>13-0712</t>
  </si>
  <si>
    <t>13-0713</t>
  </si>
  <si>
    <t xml:space="preserve">CDGRD REPORTA DESLIZAMIENTO EN MINA DE ORO EN ESTE MUNICIPIO, DEJA 2 PERSONAS ATRAPADAS LAS CUALES SON RECUPERADAS, REALIZAN LABORES, BOMBEROS EL BORDO, LA SIERRA, DEFENSA CIVIL, CRUZ ROJA. </t>
  </si>
  <si>
    <t>EN REPORTE VIA E-MAIL INFORMACION PRELIMIAR DE AFECTACIONES EN ESTE MUNICIPIO, POR FUERTE AGUACERO Y VENDAVAL EL DIA DE AYER EN HORAS DE LA NOCHE: 12 VIVIENDAS DESENTECHADAS Y AVERIADAS,12 FAMILIAS DAMNIFICADAS, PERDIDA DE MUEBLES Y ENSERES. LAS ESCUELAS DE LAS VEREDAS EL REPOSO Y PLAYA RICA QUEDARON DESENTECHADAS. ATENTOS AL CENSO FINAL.</t>
  </si>
  <si>
    <t>CITEL CDGRD REPORTA EN ESTE MUNICIPIO INCENDIO ESTRUCTURAL VEREDA YARUMAL AFECTANDO 1 VIVIENDA, 1 FAMILIA, 8 PERSONAS DE LAS CUALES QUEDAN LESIONADAS 2 Y 1 MENOR SIN SIGNO0S VITALES.</t>
  </si>
  <si>
    <t>CDGRD REPORTA INCENDIO FORESTAL EN ESTE MUNICIPIO CERCA A LA LAGUNA LA GUACA, APOYAN TODOS LOS ORGANISMOS DE SOCORRO, YA CONTROLADO, PENDIENTE AFECTACION.</t>
  </si>
  <si>
    <t>REPORTA VENDAVAL EN LA VEREDA LA PARROQUIA, 14 VIVIENDAS AVERIADAS, 15 FAMILIAS, TAMBIEN ARBOL CAIDO EN LA VIA MARIQUITA FRESNO EN EL MISMO SECTOR, REPORTA CRUZ ROJA MARIQUITA.</t>
  </si>
  <si>
    <t>13-0506
13-0497
13-0498
13-0533
13-0509
13-0707
13-0714
13-0711</t>
  </si>
  <si>
    <t>13-0721</t>
  </si>
  <si>
    <t>13-0723</t>
  </si>
  <si>
    <t>POR PARTE DE  BOMBEROS DEL MUNICIPIO DE PAZ DE ARIPORO NOS REPORTO QUE  DEBIDO A LAS  LLUVIAS PRESENTADAS DURANTE CINCO HORAS CONTINUAS, SE PRESENTO  INUNDACIÓN DE 12 VIVIENDAS EN LOS SIGUIENTES BARRIOS Y SECTORES DEL MUNICIPIO .ENTRE LOS SECTORES REPORTADO ESTÁN  20 DE JULIO, CAMILO TORRES, EL PALMAR EN LA VEREDA MONTAÑAS DEL TOTUMO, VEREDA BARINAS DONDE RESULTO AFECTADA LA ESCUELA , EN ESTE MOMENTO LOS ALUMNOS NO TIENEN DONDE RECIBIR SUS CLASES.</t>
  </si>
  <si>
    <t>REPORTA EL DR FELIX GIRALDO , DEL EDAN REALIZADO EN ELE DIA DE AYER, SE REGISTRARON 40 VVIIENDAS AFECTAS PARCIALMENTES Y 4 CASAS DESTRUIDAS, 1 ESCUELA CON PERDIDA DE TEJAS DE ZINC, Y SE DA LA ORDEN DE EVACUAR 2 VIVIENDAS QUE ESTAN EN ALTO RIESGO. SE CONTINUA REALIZANDO EDAN EN ZORA RURAL</t>
  </si>
  <si>
    <t>EN LA NOCHE ANTERIOR SE PRESENTO UN INCENDIO ESTRUCTURAL EN ZONA URBANA, AFECTANDOUNA VIVIENDA CON PERDIDA TOTAL, ATIENDE BOMBEROS VOLUNTARIOS.</t>
  </si>
  <si>
    <t>SE PRESENTA UN ACCIDENTE DE TRANSITO EN LA VIA DE TIPACOQUE Y SOATA, VEREDA BABATA, SE TRATA DE UN BUS  AL A EMPRESA CONCORDE DEJANDO 2 PERSONAS FALLECIDAS, 8 LESIONADOS, FUERON REMITIDOS A SOATA, ATIENDIO DCC Y PONAL</t>
  </si>
  <si>
    <t>SE ESTA PRESENTADO UN INCENDIO ESTRUCTURAL EN EL MUNICIPIO DE PUERTO TEJADA, CAUCA, EN LE COMPLEJO  INDUSTRIAL, EL INCENDIO ESTA FUERA DE CONTROL, SE HA DESPACHADOS MAQUINAS DE GUACHENE, VILLARICA PUERTO TEJADA EN CAUCA, DEL VALLE SALEN MAQUINAS DE CALI,  SANTANDER DE QUILICHAO, PRADERA, FLORIDA, CANDELARIA, VILLAGORGONA. REPORTE 10-07-13, REPORTAN LOS BOMBEROS DE JAMUNDI VALLE , QUE SE REACTIVA EL INCEDIO EN PUERTO TEJADA EN ELE COMPLEJO INDUSTRIAL, SALEN 2 MAQUINAS HACER EXTINCION DE CENIZAS.</t>
  </si>
  <si>
    <t>13-0715</t>
  </si>
  <si>
    <t>13-0710
13-0718</t>
  </si>
  <si>
    <t>CORREGIMIENTOS DE SAN LUIS, CHAPINERO, AIPECITO, LA LIBERTAD, AL AVILA, EL CENTRO, COCAL, EL PIÑUELO, LOS ALPES, ALTO COCAL, COLOSAL, LA JULIA, LA UNION, LA PRIMERA, EL TRIUNFO, PRADERAS.
EL VALOR DE OTROS CORRESPONDE A 1500 BOTELLAS DE AGUA X 600 ML</t>
  </si>
  <si>
    <t>13-0704</t>
  </si>
  <si>
    <r>
      <t>CDGRD DE CUNDINAMARCA, MY. IVÁN DARÍO VALENZUELA COORDINADOR DEPARTAMENTAL DE BOMBEROS DE CUNDINAMARCA, REPORTA INCENDIO FORESTAL EN LA  VEREDA  CERRO MANJUY  INICIADO A LAS 16:30  HORAS DEL 10/11/13. ATIENDE BOMBEROS CHÍA, BOMBEROS TENJO, BOMBEROS COTA, BOMBEROS ZIPAQUIRA, BOMBEROS CAJICA OFICIALES, BOMBEROS FUNZA, BOMBEROS TENJO, BOMBEROS MOSQUERA, BOMBEROS MADRID, BOMBEROS VOLUNTARIOS DE BOGOTA, BOMBEROS FUSAGASUGA, AEROCIVIL, DIRECCION NACIONAL DE BOMBEROS,    CMGRD, POLICÍA, EJERCITO, FUERZA AÉREA CON 3 HELICÓPTEROS, CAR, GOBERNACIÓN, DEFENSA CIVIL, UNIVERSIDAD DE LOS ANDES, DNGRD, FOPAE,  CRUZ ROJA, SECTOR PRVADO  Y COMUNIDAD, CON UN  PROMEDIO DE  600 PERSONAS TRABAJANDO. SE EVACUARON 7 FAMILIAS DE 7 VIVIENDAS POR ENCONTRARSE EN RIESGO, DE IGUAL MANERA SE NOTIFICARON 30 FAMILIAS PARA POSIBLE EVACUACION. SEGÚN REPORTE DE LAS 16:30 HORAS DEL 14/01/13, HAY AFECTACIÓN DE UNAS 11  HECTÁREAS DE PINO RESINOSO, EUCALIPTO, RASTROJO Y VEGETACIÓN NATIVA.</t>
    </r>
    <r>
      <rPr>
        <sz val="9"/>
        <color theme="5" tint="-0.249977111117893"/>
        <rFont val="Arial"/>
        <family val="2"/>
      </rPr>
      <t xml:space="preserve"> APOYO DEL FNC MEDIANTE GIRO DIRECTO AL CMGRD DE COTA POR UN VALOR DE $101,000,000, CON EL OBJETO DE LOS GASTOS OPERATIVOS EN ALIMENTACION PARA LOS GRUPOS DE SOCORRO ($60,000,000) Y PARA LAS ACCIONES DE MANEJO Y CONTROL, EXTINCION DEL FUEGO - APOYO LOGISTICO (COMBUSTIBLE, LUBRICANTES Y MATERIAL QUE SE REQUIERA) ($41,000,000) EN LAS OPERACIONES EN EL MUNICIPIO DE COTA DEPARTAMENTO DE CUNDINAMARCA. </t>
    </r>
    <r>
      <rPr>
        <sz val="9"/>
        <rFont val="Arial"/>
        <family val="2"/>
      </rPr>
      <t>16/ENERO/2013,</t>
    </r>
    <r>
      <rPr>
        <sz val="9"/>
        <color theme="5" tint="-0.249977111117893"/>
        <rFont val="Arial"/>
        <family val="2"/>
      </rPr>
      <t xml:space="preserve"> </t>
    </r>
    <r>
      <rPr>
        <sz val="9"/>
        <rFont val="Arial"/>
        <family val="2"/>
      </rPr>
      <t xml:space="preserve">REPORTA DANIEL ORTIZ REACTIVACION DEL INCENDIO FORESTAL A CAUSA DE FUERTES VIENTOS EN LA ZONA, SITUACION EN PROCESO. 17-ENERO-2013 EL DIA DE HOY SIGUEN LAS LABORES DE EXTINCION DE ESTE INCENDIO POR PARTE DE LAS ENTIDADES OPERATIVAS QUIENES CERRARON OPERACIONES SOBRE LAS 22:22 HORAS, PARA LAS PRIMERAS HORAS DEL DIA INICIAN LABORES EN LA ZONA.SEGÚN REPORTE DE LAS 16:30 HORAS DEL 17/01/13, CAR REALIZA EVALUACIÓN DE AFECTACIÓN PARA REPORTE DE  HECTÁREAS CONSUMIDAS DE PINO RESINOSO, EUCALIPTO, RASTROJO Y VEGETACIÓN NATIVA,  SE HICIERON CORTAFUEGOS EN LA NUEVA AFECTACIÓN Y SE TRABAJA EN LA EXTINCIÓN DE  FOCOS EXISTENTES. EL REPORTE OFICIAL DE LA CAR DE  AFECTACION  ES DE 77,17 HECTAREAS.
</t>
    </r>
    <r>
      <rPr>
        <sz val="9"/>
        <color rgb="FFFF0000"/>
        <rFont val="Arial"/>
        <family val="2"/>
      </rPr>
      <t>EL VALOR DE OTROS CORRESPONDE A 2000 TAPABOCAS. 165 BATEFUEGOS. 200 AZADONES CON CABO. 160 PULASKI. 40 MOTOSIERRAS STILL. 30 LIMAS. 50 LINTERNAS DE MANO. 30 BOMBAS DE ESPALDA. 200 MACHETES CON SUS FUNDAS</t>
    </r>
  </si>
  <si>
    <t>13-0180
13-0704</t>
  </si>
  <si>
    <t>CDGRD REPORTA EN ESTE MUNICIPIO FUERTES LLUVIAS INUNDACION EN ZONA RURAL VEREDA TABLA ROJA, ALSACIA, EL ROSARIO, JUAN PEREZ Y LA FRISOLINA Y POR FUERTE VIENTOS CAIDA DE ARBOLES EN EL CASCO URBANO CMGRD REALIZA EVALUACION DE LA SITUACION,  EN SEGUIMIENTO.
SUBSIDIO DE ARRIENDO TEMPORAL PARA 6 FAMILIAS A RAZON DE 2 FAMILIAS POR $200.000 MENSUALES, 2 FAMILIAS POR $150.000 MENSUALES, 1 FAMILIA $175.000 MENSUALES Y 1 FAMILIA POR $190.000 POR TRES MESES.</t>
  </si>
  <si>
    <t xml:space="preserve"> MATERIALES PARA LA REHABILITACION DE VIVIENDAS ($857,580,419,68), PUENTES PEATONALES ($22,721,305,48) Y ACUEDUCTOS VEREDALES  ($31,239,612) 
</t>
  </si>
  <si>
    <t xml:space="preserve">REPORTAN DEL CMGRD , QUE EL RIO CAUCA  FRENTE A NECHI SE ESTA DESBORDANDO Y ESTA ENTRANDO EL AGUA AYAPEL, HASTA EL MOMENTO REPORTAN 10 BARRIOS  CON INUNDACION AL MOMENTO SE REALIZA AEDAN
TRANFERENCIA ECONOMICA POR VALOR DE $50.000.000 CON EL OBJETO DE COMPRA DE COMBUSTIBLE PARA APOYAR LA ENTREGA DE ASISTENCIA HUMANITARIA Y EL TRANSPORTE DE MATERIAL DE RELLENO PARA EL LLENADO DE SACOS EN EL MUNICIPIO DE AYAPEL </t>
  </si>
  <si>
    <t>APOYO DEL FNGRD MEDIANTE TRANSFERENCIA ECONOMICA AL CDGRD CON EL OBJETO DE DESARROLLAR EL PROYECTO "MEJORAMIENTO DE LA NAVEGABILIDAD, MEDIANTE EL DESTRONQUE Y LIMPIEZA DEL RIO TAMANA 22 KM K0 +000 (DESEMBOCADURA AL RIO SAN JUAN AL K 22 + 000 ( NOVITA CABECERA MUNICIPAL), MUNICIPIO DE NOVITA " PARA LO CUAL SE REALIZA UN PRIMER DESEMBOLSO POR VALOR DE $351,239,298 (VALOR TOTAL DEL PROYECTO $747,478,596), PARA LA EJECUCION DE LA PRIMERA FASE DEL PROYECTO Y PARA APOYAR LA LOGISTICA PARA ATENDER LOS EVENTOS REGISTRADOS EN EL DEPARTAMENTO DEL CHOCO POR VALOR DE $45.000.000</t>
  </si>
  <si>
    <t xml:space="preserve">QUE EL DÍA 9 DE FEBRERO DE 2013 A LAS 9:16:04 A.M. HORA LOCAL (2013-02-09 14:16:04 HORA UT), SE PRESENTÓ UN SISMO DE MAGNITUD Mw 6.9, PROFUNDIDAD = 186 KILÓMETROS,  CON EPICENTRO A 2.38 K.M AL NOROESTE DE LA CABECERA MUNICIPAL DE OSPINA (NARIÑO). AFECTACION EN LOS DEPARTAMENTOS DE NARIÑO, CAUCA, VALLE DEL CAUCA, RISARALDA Y QUINDIO. OTROS: 1 INSTITUCION DE SOCORRO. 
</t>
  </si>
  <si>
    <t>REPORTA OFICINA DÍA MARTES 9 DE JULIO DE 2013 EN LAS HORAS DE LA NOCHE POR CAUSA DE UN TORRENCIAL AGUACERO, RESULTO AFECTADA UNA VIVIENDA EN EL BARRIO: LAS VILLAS DE PUERTO LEGUIZAMO-  EL PROPIETARIO NICOLÁS CELIS DE 64 AÑOS ALCANZO A SER ARRASTRADO, PERO SOLO LE OCASIONO LESIONES LEVES-  LA VIVIENDA NO SE PUEDE HABITAR-  DEFENSA CIVIL LEGUIZAMO ATENDIÓ EL CASO CON 6 LÍDERES VOLUNTARIOS</t>
  </si>
  <si>
    <t>REPORTA SECCIONAL,  INFORMA JOSÉ CARRERO FUNCIONARIO SEC. BOGOTÁ,   ACCIDENTE DE TRÁNSITO EN LA CARRERA 1ª G ESTE  CON CALLE 91, EN LA LOCALIDAD DE USME, BUS DEL SISTEMA INTEGRADO DE TRANSPORTE PÚBLICO ( SITP),DE PLACAS VEP-563 SE QUEDÓ SIN FRENOS, ESTRELLÁNDOSE CONTRA AMBULANCIA Y  VEHÍCULO PARTICULAR DE PLACAS XKG-810, Y EN SU RECORRIDO, CUYO CONDUCTOR, NO PUDO CONTROLAR, EMBISTIÓ A UN MICROBÚS  DEL SERVICIO PÚBLICO DE LA EMPRESA NUEVO HORIZONTE EL BUS TERMINO ESTRELLÁNDOSE, CONTRA UN POSTE DE LA LUZ,  2  HOMBRES   Y  UNA MUJER FUERON VÍCTIMAS FATALES TRASLADADOS 19 HERIDOS A LOS HOSPITALES DE MEISSEN, TUNAL, SAN RAFAEL , CLÍNICA COLOMBIA Y POLICLÍNICO DEL OLAYA. PARTICIPACIÓN 5 LÍDERES VOLUNTARIOS.</t>
  </si>
  <si>
    <t>ALIS YANETH INFANTE ALCALDESA DE PAIME, REPORTA VENDAVAL CON GRANIZADA OCURRIDO EN JURISDICCIÓN DEL MUNICIPIO A LAS 18:30 HORAS DEL EL DÍA, 07-07-2013, SE ACTUALIZA AFECTACIÓN ,  10/07/2013, MEDIANTE ACTA NO 004 DEL 8 DE JULIO DEL CMGRD, SE CONFIRMA QUE EN TOTAL FUERON 56 VIVIENDAS, (270 PERSONAS, AFECTADAS,  6 HECTÁREAS DE CULTIVOS,  1 INSTITUCIÓN EDUCATIVA, LA IGLESIA, EL PUESTO DE SALUD,  Y EL POLIDEPORTIVO TODOS CON PERDIDA DE PERFILES Y TEJAS, LA VÍA PRINCIPAL AFECTADA  POR DESBORDAMIENTO DE LA QUEBRADA LA MINA , CAÍDA DE REDES ELÉCTRICAS,  APOYO CMGRD.</t>
  </si>
  <si>
    <t>CMGRD DE ARMENIA, INCENDIO ESTRUCTURAL, BARRIO: MANANTIAL, II ETAPA, SIN HERIDOS, AFECTACIÓN EN MUEBLES Y ENSERES.</t>
  </si>
  <si>
    <t>CRUE DE RISARALDA, INFORMA, SE PRESENTÓ, VENDAVAL, ACOMPAÑADO DE LLUVIAS Y GRANIZO, AFECTANDO: 25 VIVIENDAS, EN EL CORREGIMIENTO DE: SAN CLEMENTE Y ZONA URBANA, CONTINUAN REALIZANDO EDAN.</t>
  </si>
  <si>
    <t>REPORTA OFICINA POR CRECIENTE SÚBITA RIO GUAMUEZ EL DÍA DE AYER MARTES 9 DE JULIO UN PESCADO SR.  ALFONSO MUESES SE LE VOLTIO LA CANOA DESAPARECIENDO EN EL RIO. EL OPERARIO DE UNA MÁQUINA QUE ESTABA TRABAJANDO, FUE ARRASTRADO, SIN QUE SE HAYA LOCALIZADO. JDC ORITO ESTÁN EN LA BÚSQUEDA DE ÉL Y DE OTRA PERSONA EN EL BOTE DE LA DCC CON 10 LÍDERES VOLUNTARIOS.-</t>
  </si>
  <si>
    <t>SE REGISTRO INCENDIO ESTRUCTURAL EN HORAS DE LA TARDE BARRIOMANANTIALES MANZANA E, DEJANDO 1 VIVIENDA AFECTADA, DAÑOS EN MUBLES Y ENSERES,  2 PERSONAS AFECTADAS POR INHALACION DE HUMO Y HERIDAS POR VIDRIOS A UNO DE ELLOS, TRASLADADOS A CENTRO ASISTENCIAL, ATENDIO BOMBEREOS</t>
  </si>
  <si>
    <t>UN TRABAJADOR EJECUTABA UNA EXCAVACIÓN PARA LA INSTALACIÓN DE UNA TUBERÍA DE AGUA, CUANDO DE REPENTE UN ALUD DE TIERRA CAYÓ SOBRE SU HUMANIDAD.  EL SINIESTRO FUE REGISTRADO POR LAS AUTORIDADES HACIA LAS 3:15 DE LA TARDE, EN INMEDIACIONES DE UNA OBRA DE CONSTRUCCIÓN EN EL CONJUNTO RESIDENCIAL TORREÓN DE SANTA ANA. DE LA CIUDAD DE IBAGUE  ATENDIERON BOMBEROS , DCC.</t>
  </si>
  <si>
    <t>CRUE DE RISARALDA, INFORMA, SE PRESENTÓ, VENDAVAL, ACOMPAÑADO DE LLUVIAS Y GRANIZO, AFECTANDO: 30 VIVIENDAS, EN  LA  ZONA RURAL,  CONTINUAN REALIZANDO EDAN. EN LA MADRUGADA DEL DIA 10 DE JULIO SE PRESENTO UN FUERTE VENDAVAL  CON AFECTACION EN 8  VIVIENDA. LAS CUALES 6 TIENE PERDIDA PARCIAL DE CUBIERTAS Y 2 PERDIDA TOTAL , REPORTA CRU RISARALDA.EN LA MADRUGADA DEL DIA 10 DE JULIO SE PRESENTO UNUNA INUNDACION POR REBOSAMIENTO DE ALCANTARILLADO   CON AFECTACION EN 22   VIVIENDA.  REPORTA CRU RISARALDA.</t>
  </si>
  <si>
    <r>
      <t xml:space="preserve">REPORTAN DEL CDGRD , UE EN HORAS DE LA MADRUGADA SE PRESENTARON FUERTES AQGUACEROS CON VIENTOS HURACANADOS AFECTANDDO VARIOS MUNICIPIOS SE ESTA EDAN HACIA LA TARDE.AFECTADOS CORREGIMIENTO AREPAS, LA CULEBRA, LA VEREDA SAN JOSE Y SAN PABLO. </t>
    </r>
    <r>
      <rPr>
        <sz val="9"/>
        <color rgb="FFFF0000"/>
        <rFont val="Arial"/>
        <family val="2"/>
      </rPr>
      <t>EL VALOR DE OTROS CORRESPONDE A 300 IMPERMEABLES PARA NIÑOS DE EDAD ESCOLAR</t>
    </r>
  </si>
  <si>
    <t>35000 LADRILLO Y 766 VARILLA DE 1/2
TEJA DE ZINC DE 305</t>
  </si>
  <si>
    <t>35000 LADRILLO Y 1500 VARILLA DE 1/2
TEJA DE ZINC DE 305</t>
  </si>
  <si>
    <t>REPORTA AVALANCHA DE LA QUEBRADA ARENOSO LA CUAL OCASIONO COLAPSO ESTRUCTURAL DE PUENTE VEHICULAR, DEJANDO INCOMUNICADAS A 22 VEREDAS, REPORTA CDGRD.</t>
  </si>
  <si>
    <t>REPORTA DESBORDAMIENTO DEL RIO CUSIANA DEJANDO 60 VIVIENDAS AVERIADAS, 60 FAMILIAS DAMNIFICADAS EN LAS VEREDAS VISINACA, CHITAMENA, PASO CUSIANA, IQUÍA, VILLAROSA Y CUERNAVA, SIENDO AFECTADAS EN SUS VIVIENDAS, CULTIVOS, ANIMALES ENTRE OTROS. REPORTA CDGRD, SITUACION EN DESARROLLO</t>
  </si>
  <si>
    <t>CDGRD DEL CESAR, INFORMA, SE PRESENTÓ VENDAVAL, EN EL CORREGIMIENTO DE: SANTA ROSA, 2 VIVIENDAS AFECTADAS, CONTINUAN REALIZANDO EDAN.</t>
  </si>
  <si>
    <t>REPORTA FUNCIONARIA TERESA MÚNERA DE LA SECCIONAL ANTIOQUIA, QUE ENTRE LAS  14:00 Y LAS 17:00 HORAS DE HOY 11-07-13, FUE CONTROLADO Y EXTINGUIDO INCENDIO FORESTAL EN LA COMUNA 8 DE MEDELLIN ENTRE LOS BARRIOS BELLO HORIZONTE Y CARAMBOLA, QUE DEJA SALDO DE 6 HECTÁREAS DE PASTOS AFECTADOS. PARTICIPARON EN LAS OPERACIONES 22 LIDERES VOLUNTARIOS DCC.</t>
  </si>
  <si>
    <t>REPORTA SECCIONAL DÍA DE HOY DESDE LAS 7.00 HORAS SE PRESENTÓ EMERGENCIA POR LLUVIAS TORRENCIALES Y FUERTES VIENTOS EN EL MUNICIPIO DE SUCRE-SUCRE DEJANDO COMO CONSECUENCIA VARIAS VIVIENDAS DESTECHADAS EN EL BARRIO ZILIA DEL MUNICIPIO.</t>
  </si>
  <si>
    <t>REPORTA SECCIONAL CHOCO, QUE POR FUERTE LLUVIAS PRESENTADAS EN EL DEPARTAMENTO DE QUIBDÓ SE PRODUJO, DESLIZAMIENTO DE TIERRA AFECTANDO DOS FAMILIAS.</t>
  </si>
  <si>
    <t>REPORTA SECCIONAL VALLE INCENDIO ESTRUCTURAL SE ATIENDE INCENDIO EN CHATARRERÍA DEL CENTRO DE PALMIRA UBICADA EN LA CARRERA 27 NÚMERO 25-10, ACTIVIDAD DE 08 LÍDERES VOLUNTARIOS QUE APOYARON LA LABOR DEL CUERPO DE BOMBEROS, PARTICIPARON DOS MÁQUINAS Y 09  BOMBEROS, APOYO DE POLICÍA Y CONSEJO MUNICIPAL DE GESTIÓN DE RIESGOS, ACTIVIDAD DE 07:00 A 08:00 INCENDIO SE INICIO AL PARECER POR CORTO CIRCUITO.</t>
  </si>
  <si>
    <t>CDGRD INFORMAR  QUE POR VÍA TELÉFONICA LA SEÑORITA MARYI PEREZ, SECRETARIA DE GOBIERNO DE MACARAVITA, QUE SE PRESENTA DESLIZAMIENTO DE TIERRA EN LA VEREDA HUERTAS, SECTOR LA GARITA, TIENDA NUEVA, VÍA AL ESPINO, HAY DOS VIVIENDAS AFECTADAS. EL DESLIZAMIENTO SIGUE BAJANDO AL  RÍO NEVADO HACIA CAPITANEJO. EN EL SITIO SE ENCUENTRAN PERSONAL DE BOMBEROS, SECRETARIA DE GOBIERNO, PLANEACIÓN, PERSONERO Y POLICÍA NACIONAL.</t>
  </si>
  <si>
    <t>REPORTA QUE AYER JUEVES 11/07/2013 A LAS 16:30 HORAS, OCURRIÓ UNA EXPLOSIÓN POR ACUMULACIÓN DE GASES, EN LA MINA DE CARBÓN EL TRIUNFO, VEREDA GACHANECA DE PROPIEDAD DE PABLO RODRÍGUEZ. EN EL HECHO UN MINERO DE 24 AÑOS PERDIÓ LA VIDA Y SU CADÁVER FUE RESCATADO UNA HORA DESPUÉS POR RESCATE MINERO DE INGEOMINAS, POLICÍA NACIONAL Y C.T.I. DE LA FISCALÍA. REPORTA ALONSO MUÑOZ CDGRD.</t>
  </si>
  <si>
    <t>REPORTA INUNDACION A CAUSA DE DESBORDAMIENTO DE LA QUEBRADA LA SALADA,  QUE PASA POR EL CENTRO DEL CASCO URBANO DEL MUNICIPIO, AFECTANDO 1 VIVIENDA, CON 5 PERSONAS EN DONDE HUBO PERDIDAS DE MUEBLES Y ENCERES. ATENDIÓ BOMBEROS DEL MUNICIPIO DE GACHETA Y CMGRD, QUIENES ESTUVIERON HASTA LAS 05:00 HORAS DEL DÍA.</t>
  </si>
  <si>
    <t>REPORTA VENDAVAL OCURRIDO EL PASADO MIERCOLES EN HORAS DE LA NOCHE, EL CUAL DEJO 1 CENTRO EDUCATIVO VEREDA NUEVO CARMEN , 1 VIVIENDA AVERIADA EN EL CORREGIMIENTO CANDELARIA, 3 VIVIENDAS EN  VEREDA DARDANELOS, 8 VIVIENDAS AVERIADAS Y 1 CENTRO EDUCATIVO EN CASCO URBANO. REPORTA CDGRD.</t>
  </si>
  <si>
    <t>CDGRD DEL TOLIMA, INFORMA A ESTÁ HORA SE COORDINA EL APOYO CON LOS ORGANISMOS DE SOCORRO, ANTE EL COLAPSAMIENTO,  DE  LA ESTRUCTURA DE UNA  BODEGA DEL MOLINO PRONAGRO EN EL MUNICIPIO DE SALDAÑA,  ATRAPADO UN VEHICULO TIPO  CAMIÓN Y 3 PERSONAS AFECTADAS, SITUACIÒN EN DESARROLLO.</t>
  </si>
  <si>
    <t>REPORTA SECCIONAL CHOCO, QUE POR ESCAPE DE GAS PROPANO, SE PRODUJO INCENDIO ESTRUCTURAL, EN EL MUNICIPIO DE ISTMINA DEJANDO UNA VIVIENDA TOTALMENTE DESTRUIDA.</t>
  </si>
  <si>
    <t>CDGRD DE NORTE DE SANTANDER, MPIO DE BUCARASICA,  VEREDA: HELECHAL, SE PRESENTA INCENDIO FORESTAL,  REPORTAN HABITANTES DE LA ZONA  QUE SE HAN DESTRUIDO MAS DE 30 HECTAREAS DE BOSQUES, Y EL INCENDIO FORESTAL CONTINUA CON MAYOR FUERZA PORQUE EN LA ZONA SE PRESENTA UN DIA SOLEADO Y ES DE DIFICIL ACCESO, SITUACIÓN EN DESARROLLO.</t>
  </si>
  <si>
    <t>CDGRD DEL TOLIMA, INFORMA, A ESTA HORA UNIDADES OPERATIVAS DE, EL ESPINAL ATIENDE, ACCIDENTE DE TRANSITO, SOBRE LA VIA ESPINAL CHICORAL, DONDE UN CARROTANQUE COLISIONA CON UNA MOTOCICLETA, RESULTANDO UNA PAREJA FALLECIDA, SITUACIÓN EN DESARROLLO.</t>
  </si>
  <si>
    <t>CDGRD REPORTA ACCIDENTE DE TRANSITO EN LA QUE DE PUERTO INIRIDA CONDUCE A CAÑO VITINA, DEJA COMO RESULTADO UNA PERSONA SIN SIGNOS VITALES, ATIENDEN ENTIDADES RESPECTIVAS.</t>
  </si>
  <si>
    <t>BOMBEROS REPORTA SE CONTROLA INCENDIO ESTRUCTURAL EN EL BARRIO NUEVO DEL MUNICIPIO DE APARTADO EN BODEGA DE INSUMOS, NO LESIONADOS U OTRO.</t>
  </si>
  <si>
    <t>CDGRD DEL TOLIMA, INFORMA, ACCIDENTE DE TRANSITO, VEHICULO QUE RODO, POR UN ABISMO DE 100 METROS, EN LA VEREDA: LA TUBA, 1 PERSONA FALLECIDA DE NOMBRE: ARLEY MOSQUERA DIAZ.</t>
  </si>
  <si>
    <t>CMGRD DE CALI, INFORMA, SE PRESENTÓ, INCENDIO FORESTAL, LA NOCHE ANTERIOR EN EL CERRO TRES CRUCES, SE CONSUMIO, 1/2 HECTÁREA DE PASTO, EXTINGUIDO AL MOMENTO</t>
  </si>
  <si>
    <t>CDGRD DEL HUILA, INFORMA, MUNICIPIO DE NEIVA, SE ATENDIO INCENDIO FORESTAL, SITIO CONOCIDO COMO: JARDIN BOTANICO, AFECTACION: 4 HECTAREAS DE PASTO Y RASTROJO, EXTINGUIDO.</t>
  </si>
  <si>
    <t>CDGRD DEL HUILA, INFORMA, MUNICIPIO PALERMO, SITIO CONOCIDO COMO ZONA FRANCA: 1 HECTAREA DE PASTO Y RASTROJO, AFECTADA, EXTINGUIDO.</t>
  </si>
  <si>
    <t>SE PRESENTO DESLIZAMIENTO, EN EL MUNICIPIO DE PEÑOL, RESULTADO 6 FAMILIAS AFECTADAS, 2 VIVIENDAS DESTRUIDAS, 4 VIVIENDAS AVERIADAS, PARTICIPACION 16 LIDERES VOLUNTARIOS.</t>
  </si>
  <si>
    <t>CDGRD DE BOYACA, INFORMA, SE PRESENTA, INCENDIO FORESTAL, EN EL MPIO DE TOTA, SECTOR: PLAYA BLANCA, ALEDAÑO AL LAGO DE TOTA, APOYAN BOMBEROS DE AQUITANIA, SITUACIÓN EN DESARROLLO.</t>
  </si>
  <si>
    <t xml:space="preserve">CDGRD DEL VALLE DEL CAUCA, INFORMA, SE PRESENTÓ INCENDIO FORESTAL, EN INMEDIACIONES DEL HANGAR DE TAMPA, EN EL  AÉROPUERTO: ALFONSO BONILLA ARAGÓN, AL MOMENTO TODO CONTROLADO, CON EL APOYO DE  BOMBEROS: AERONAUTICOS, CANDELARIA, PALMIRA, YUMBO, Y VILLAGORGONA, PENDIENTE AFECTACIÓN. </t>
  </si>
  <si>
    <t>REPORTAN DEL CDGRD , UE EN HORAS DE LA MADRUGADA SE PRESENTARON FUERTES AQGUACEROS CON VIENTOS HURACANADOS AFECTANDDO VARIOS MUNICIPIOS SE ESTA EDAN HACIA LA TARDE. AAFECTADOS CORREGIMIENTOS DE SITIO VIEJO, ARACHE, COROZALITO, PIMENTAL, CAROLINA, PUNTAVERDE, CAMPO BELLO, 80% AFECTACION EN ZONA RURAL Y 20% EN ZONA URBANA.</t>
  </si>
  <si>
    <t>FUERTES VIENTOS HURACANADOS AFECTARON 85 VIVIENDAS, EN LOS CORREGIMIENTOS DE PUERTO VIEJO, LAS PITAS, MOLONGA, NUEVA ERA Y EL PALMAR Y ALGUNAS ZONAS URBANAS</t>
  </si>
  <si>
    <t xml:space="preserve">
EN YOPAL LAS INUNDACIONES SE PRESENTARON EN LAS VEREDAS LA MANGA, BARBASCOS Y LA UNIÓN  , ASÍ MISMO PARTE DEL BARRIO LAS AMÉRICAS EN EL CASCO URBANO DE LA CAPITAL.  EN LA PARTE VEREDAL ESTA INFORMACIÓN ES LA PREELIMINAR YA QUE LOS FUNCIONARIOS DE BOMBEROS ACUDEN AL SECTOR , ESTO SE DEBIÓ AL INCREMENTO DE CAUDALES DEL RIO CRAVO SUR
</t>
  </si>
  <si>
    <t>VEREDAS PAMPLONITA, SANTA BARBARA, TABLON, ARENALES, CENACUTA, HORNILLAS, PIEDRALARGA EN ELABORACION DECLARATORIA DE CALAMIDAD.</t>
  </si>
  <si>
    <r>
      <t>ROCIÓ ARIAS BOMBEROS MUNICIPIO DE UBATE, INFORMA A ESTA UNIDAD SOBRE INCENDIO FORESTAL INICIADO EL DÍA 14/7/13, HACIA LAS 12:40 DEL DÍA EN EL MUNICIPIO DE GUACHETA, VEREDA EL SANTUARIO EN DONDE SE  AFECTARON 7 HECTÁREAS ENTRE EUCALIPTOS, PASTOS, FRAILEJÓN Y VEGETACIÓN NATIVA. FUE TOTALMENTE EXTINGUIDO HACIA LAS 09:00 HORAS DEL 15/07/13. ATENDIÓ BRIGADAS CAR, BOMBEROS UBATE Y CMGRD</t>
    </r>
    <r>
      <rPr>
        <sz val="10"/>
        <rFont val="Arial"/>
        <family val="2"/>
      </rPr>
      <t xml:space="preserve">. </t>
    </r>
  </si>
  <si>
    <t>DESLIZAMIENTO EN KILOMETRO 53 VIA FLORENCIA- GARZON, YA EN PROCESO DE HABILITACION, VIA NACIONAL,  NO DAÑOS EN VIVIENDAS U OTRO, REPORTA CDGRD GUSTAVO ORTEGA.</t>
  </si>
  <si>
    <t>EN EL BARRIO EL OASIS, EN LOS LÍMITES ENTRE LA LOCALIDAD DE CIUDAD BOLÍVAR Y EL MUNICIPIO DE SOACHA, EN LA CARRERA 30 CON CALLE 55 SUR, FUERON RESCATADOS TRES MENORES DE EDAD Y DOS ADULTOS LUEGO DE QUE UN DESLIZAMIENTO DE TIERRA CAYERA SOBRE UNA VIVIENDA. AL SITIO LLEGARON TODOS LOS ORGANISMOS DE ATENCIÓN DE EMERGENCIAS, LOS CUALES RESCATARON A UN BEBÉ DE CATORCE MESES, DOS NIÑOS DE CINCO Y OCHO AÑOS Y DOS ADULTOS QUE ESTUVIERON ATRAPADOS POR EL ALUD. SEGÚN UN REPORTE PRELIMINAR DE LAS AUTORIDADES, SOLO EL MENOR DE 8 AÑOS FUE TRASLADADO AL HOSPITAL MEISSEN PUES SUFRIÓ LESIONES LEVES. EN TOTAL, EL DERRUMBE AFECTÓ DOS VIVIENDAS, POR LO QUE HAY POR LO MENOS QUINCE PERSONAS AFECTADAS POR EL DAÑO DE LAS ESTRUCTURAS. LOS ORGANISMOS DE ATENCIÓN DE EMERGENCIAS MANTIENEN ACORDONADO EL LUGAR ANTE POSIBLE NUEVOS DERRUMBES, PUES EN ESTA ZONA DEL SUR DE LA CIUDAD LLOVIÓ FUERTEMENETE EN LAS ÚLTIMAS HORAS</t>
  </si>
  <si>
    <t>CDGRD NORELA ARENAS REPORTA INCENDIO FORESTAL EN EL MUNICIPIO DE CHINACOTA, FUE LIQUIDADO EN SU TOTALIDAD  SE CONSUMIERON 30 HECTAREAS DE VEGETACION NATIVA.</t>
  </si>
  <si>
    <t xml:space="preserve">POR LO MENOS 40 CASAS QUEDARON DESTECHADAS POR UN VENDAVAL QUE SE PRESENTÓ A LA 1:15 EL FENÓMENO ATMOSFÉRICO CAUSÓ MÁS TEMOR EN LA SEDE DEL COLEGIO DENZIL ESCOLAR LOCALIZADO ENTRE LOS BARRIOS LA LUCHA Y LA LUCHITA, PROVINCIA DE PADILLA, EL DIVIDIVI, SECTOR CAMPANA Y VILLA YOLIMA. FABIO ROMERO, DIRECTOR DE SOCORRO DE LA CRUZ ROJA, DIJO QUE ESTABAN HACIENDO UN CENSO DE LOS AFECTADOS Y DAMNIFICADOS. </t>
  </si>
  <si>
    <t xml:space="preserve">LA EMERGENCIA QUE SE PRESENT0 EN EL BARRIO SAN NICOLAS, QUE EL RIO GUATIQUIA SE RECOSTO A LA MARGEN IZQUIERDA HAY EN RIESGO 25 CASAS PERO LA GENTE NO EVACUA POR MIEDO DE PERDER LAS COSAS.HAY 3 CASAS AFECTADASATIENDE EMERGENCIA  BOMBEROS VOLUNTARIOS Y POLICIA NACIONAL </t>
  </si>
  <si>
    <t>SE PRESENTÓ INCENDIO FORESTAL, DONDE SE QUEMÓ APROXIMADAMENTE 5 HECTÁREAS ENTRE MALEZA Y BOSQUE EN SECTOR ALEDAÑO AL MOTEL ÉXTASIS, VÍA AL AEROPUERTO,  SIENDO ATENDIDO Y CONTROLADO POR EL CUERPO DE BOMBEROS DEL CUAL NO SE PRESENTÓ AFECTACIÓN DE PERSONAS NI DE VIVIENDAS</t>
  </si>
  <si>
    <t>CDGRD DE CASANARE, INFORMA, AFECTACIONES POR INUNDACIONES.   MUNICIPIO DE MANI,  23 VEREDAS Y PARTE DEL ÁREA URBANA, AFECTADAS POR INUNDACIONES.
800 FAMILIAS, DAMNIFICADAS, SITUACIÓN EN DESARROLLO.</t>
  </si>
  <si>
    <t>CDGRD DE ANTIOQUIA, INFORMA, MPIO DE ANZA: ACCIDENTE. VEHICULAR, UN AUTOMÓVIL CAE AL RÌO CAUCA, HAY UN DESAPARECIDO, SITUACIÓ EN DESARROLLO.</t>
  </si>
  <si>
    <t>CMGRD DE VALLEDUPAR, REPORTA, SE PRESENTÓ VENDAVAL, EL DÍA 13-07-2013, MPIO DE VALLEDUPAR, CORREGIMIENTO DE: BADILLO, AFECTANDO: 2 VIVIENDAS</t>
  </si>
  <si>
    <t xml:space="preserve"> CDGRD DE HUILA, INFORMA, MUNICIPIO DE OPORAPA POR CRECIENTE SUBITA, QUEBRADA OPORAPA, VEREDA VEGA GRANDE,  ARRASTRO A 2 PERSONAS,  PADRE E HIJA. AL MOMENTO ENCONTRADO EL SEÑOR PADRE DE 31 AÑOS DE EDAD, CONTINUA BUSQUEDA DE LA DESAPARECIDA DE 12 AÑOS, SITUACIÓN EN DESARROLLO.</t>
  </si>
  <si>
    <t>CDGRD DEL HUILA, INFORMA, MPIO DE NEIVA INCENDIO FORESTAL,  AFECTACIÒN: 2 HECTÀREAS DE PASTO Y RASTROJO EN, EL  SITIO CONOCIDO COMO SALIDA HACIA VEGALARGA ESTADO EXTINGUIDO, ATENDIO BOMBEROS.</t>
  </si>
  <si>
    <t>CDGRD DE NORTE DE  SANTANDER, INFORMA,  HOY A LAS 5PM SE PRESENTÓ, VENDAVAL EN EL CENTRO POBLADO LA DON JUANA, MUNICIPIO DE BOCHALEMA, DEJANDO 6 VIVIENDAS DESTECHADAS.</t>
  </si>
  <si>
    <t>CDGRD DEL TOLIMA, INFORMA, MPIO DE HERVEO,  SE PRESENTÓ, INCENDIO FORESTAL, EXTINGUIDO,
AFECTACION DE: 2500 MTS, DE CULTIVO DE PAN DE COGER, SECTOR DE PADUA.</t>
  </si>
  <si>
    <t>REPORTA DC SECCIONAL SANTANDER QUE SE PRESENTÓ INCENDIO FORESTAL EN EL MUNICIPIO DE MOGOTES VEREDA GUAYATA DONDE SE QUEMARON 10 HECTAREAS DE VEGETACION PARTICIPARON 10 LIDERES VOLUNTARIOS, IGUALMENTE SE CONFIRMARA POR CDGRD EN HORAS DE LA MAÑANA.</t>
  </si>
  <si>
    <t>CDGRD DE SANTANDER, INFORMA, INCENDIO FORESTAL, ACTIVO, ENTRE LOS MPIOS DE: MOGOTES Y SAN GIL, VEREDAS: VEGAS, CAÑAVERAL, SE HAN CONSUMIDO: 5 HECTÁREAS, APOYAN. BOMBEROS: MOGOTES, SAN GIL D.C.C., SITUACIÓN EN DESARROLLO. REPORTE 16-02-13, CDGRD CONFIRMA QUE EL COMANDO DE POLICIA MOGOTES  QUE SE ESTA PRESENTANDO INCENDIO DE GRAN MAGNITUD EN VEREDAS ENTRE LOS LIMITES DE SAN GIL VEREDA CAÑAVERAL Y DE MOGOTES VEREDA LAS VEGAS, TODO ESTA COMPRENDIDO AL SECTOR LLAMADO DE EL BOSQUE. SIENDO LAS 20:00 HORAS  POR MEDIDAS DE SEGURIDAD LOS ORGANISMOS DE SOCORRO Y DE LA POLICIA Y VOLUNTARIOS DEL PUEBLO SE RETIRAN PARA INICIAR EN HORAS DE LA MAÑANA, IF ACTIVO ,PENDIENTE AFECTACION.</t>
  </si>
  <si>
    <t>EN RELACIÓN CON EL DESBORDAMIENTO DEL RIO CAUCA EN EL SECTOR DEL CABILDO RESGUARDO DE PALETARÁ QUE INFORME EN LA NOCHE DEL 16 DE JULIO, LES INFORMO QUE EL BOMBERO VOLUNTARIO Y LA FUNCIONARIA DEL PARQUE NACIONAL PURACÉ, HAN REALIZADO UN MONITOREO  DEL RÍO EL DÍA DE HOY ENCONTRANDO QUE EL NIVEL DEL RÍO HA BAJADO, PERO EN LA ZONA ALTA SIGUE LLOVIENDO CON MENOR INTENSIDAD, POR ELLO HAN COORDINADO  PARA SEGUIR HACIENDO MONITOREO  DEL CAUDAL DEL RÍO</t>
  </si>
  <si>
    <t>REPORTA CMGRD DEL MUNICIPIO DE TOTORO CAUCA, SOBRE INCENDIO ESTRUCTURAL UNA FAMILIAS DAMNIFICADAS, PERDIO TODAS SUS PERTENENCIAS. LA INTEGRAN 9 PERSONAS, DE ESTOS 4 SON MENORES DE EDAD.</t>
  </si>
  <si>
    <t>106 TANQUES DE 500 LITROS. 873 TELA ASFALTICA X ROLLO. 24570 UNIONES EN PLATINA COLD ROLLED GALVANIZADAS CAL 20 LAMINADA PERFORADA 25X12 CM. 2457 VARILLAS ROSCADAS DE HIERRO 1/2"X1M. 5820 TORNILLO ROSCADO DE 5/8"X100CM. 73710 TUERCAS Y ARANDELAS DE 1/2". 97000 TUERCAS Y ARANDELAS DE 5/8". 3880 CLAVOS  DE PISO 2 1/2" X LB. 2910 CLAVOS DE CUBIERTA DE 1 1/2"XLB. 4850 CLAVOS PAREDES LAT 2"XLB. 5604 COLUMNAS DE MADERA 4"X2"X4MTS. 1746 LISTONES DE MADERA PARA DIAGONALES 4"X2"X5MTS. 1552 LISTONES DE MADERA PARA DIAGONALES 4"X2"X5MTS. 1552 VIGAS DE MADERA 4"X8"4,2MTS. 9874 VIGUETAS DE MADERA 3"X5"X3 MTS. LISTONES DE MADERA 1"X3"X5MTS. 3492 LISTONES MACHIMBRIADO PARA TECHO X BULTOS. 4074 LISTONES  DE MADERA 2"X4"X5,30 MTS. 44038 LISTONES DE MADERA 2"X4"X3MTS. 970 TABLAS DE MADERA 2"X10"X4 MTS. 122995 TABLAS DE MADERA 1"X4"X3 MTS. 1940 LISTONES MACHIMBRIADO PARA PAREDES X BULTOS. 3276 VIGAS MACHIMBRADOS 5"X5"X6MTS. 4914 VIGUETA / CHANCLONES MACHIMBREADOS 5"X2"X3MTS. 6552 RIOSTRAS 5"X2"X4MTS. 16380 TABLAS 10"X1"X3MTS.  MATERIALES 6 ESCUELA, 10800 LADRILLOS FAROL 20CM X 10CM X 30CM. 24 COLUMNA METALICA EN TUBO CUADRADO(100X100X3MM). 426,36 VIGUETA METALICA EN TUBO CUADRADO PARA VANOS (100X100X3MM). 1494 CORREAS EN TUBO RECTANGULAR SECCION HUECA (90X220X4,5MM). 1512 VIGUETA METALICA EN TUBO RECTANGULAR SECCION HUECA (90X220X4,5MM). 25000 VARILLA DE HIERRO DE 1/2". 28571 VARILLA DE HIERRO DE 3/8"</t>
  </si>
  <si>
    <t>SE PRESENTA UN INCENDIO ESTRUCTURAL EN LA VIA ARMENIA LA TEBAIDA EN EL KM 4  EN UNA VIVIENDA , CONSUMIENDO EN SU TOTALIDAD.</t>
  </si>
  <si>
    <t>EN LA VEREDA DE BRUSELAS, SE PRESENTO UN INCENDIO ESTRUCTURAL , DEJANDO A UNA PERSONA LESIONADA , PERDIDA DEL ESTABLECIMIENTO PUBLICO.</t>
  </si>
  <si>
    <t>DEFENSA CIVIL SIBUNDOY:  REPORTAN CRECIENTE Y DESBORDAMIENTO QUEBRADAS -  SALEN 12 LV  EN VEHÍCULO INSTITUCIONAL OBF428 A VERIFICAR POSIBLES AFECTACIONES.</t>
  </si>
  <si>
    <t>DEFENSA CIVIL SAN MIGUEL : RIO GUAMUEZ  BASTANTE CRECIDO Y CON AFECTACIÓN ZONA RURAL-  SALEN 10 LV A VERIFICAR AFECTACIÓN.</t>
  </si>
  <si>
    <t>EL CDGRD REPORTA UN VENDAVAL EN EL MUNICIPIO DE MEDIO SAN ATRATO, EN ESTE MOMENTO SE ESTA REALIZANDO EDAN.</t>
  </si>
  <si>
    <t>CDGRD DE PUTUMAYO Y LA D.C.C, INFORMAN, INUNDACIONES, AFECTANDO: 20 FAMILIAS.</t>
  </si>
  <si>
    <t>CDGRD DEL PUTUMAYO Y LA D.C.C, INFORMAN, DESBORDAMIENTO DEL RÍO PUTUMAYO, VEREDA: EL BAGRE, CORREGIMIENTO DE: SAN PEDRO, BARRIOS: PARAISO, ROCHELA BAJO, 74 FAMILIAS AFECTADAS, 200 HECTÁREAS DE CULTIVOS AFECTADAS.</t>
  </si>
  <si>
    <t>REPORTA SECCIONAL GUAJIRA QUE EL DÍA 16 DE JULIO 2013, VENDAVAL, ACOMPAÑADO DE LLUVIAS TORRENCIALES,   APROXIMADAMENTE LA 15:00 LOS LÍDERES VOLUNTARIOS DE VILLANUEVA APOYAN  EN EL MUNICIPIO DEL MOLINO 22 FAMILIAS AFECTADAS, 1 COLEGIO QUE ALBERGA A 522 NIÑOS EN LOS BARRIOS VILLA MESA Y VISTA HERMOSA.</t>
  </si>
  <si>
    <t>REPORTA SECCIONAL NORTE DE SANTANDER: INCENDIO FORESTAL EN LA VEREDA SAN ANTONIO DEL M/PIO DE SALAZAR, QUE COMENZÓ A LAS 6 AM DEL 13-07-2013 POR  EL DESCONTROL DE UNA QUEMA DE UN CAMPESINO, RESULTARON 9 HECTAREAS AFECTADAS POR EL FUEGO. PARTICIPARON 10 LÍDERES DCC.</t>
  </si>
  <si>
    <t>REPORTA SECCIONAL BOYACA: INCENDIO FORESTAL PRESENTANDO ENTRE LOS MUNICIPIOS DE TOCA Y PESCA EN LAS VEREDAS PLAZOLETA DEL DIABLO TOCA Y ALTO DE LOS VIEJOS EN PESCA, RESULTANDO 5 HECTAREAS DE VEGETACION AFECTADAS POR EL FUEGO.</t>
  </si>
  <si>
    <t>REPORTA SECCIONAL BOYACA: DESLIZAMIENTO EN LA VÍA DE LA VEREDA ATOLAGUNA M/PIO DE AQUITANIA EL 13-07-2013, PARTICIPARON 6 LÍDERES DCC EN LAS LABORES DE RETIRO DE ESCOMBROS Y CERRAMIENTO DEL ÁREA</t>
  </si>
  <si>
    <t>REPORTA SECCIONAL BOYACA: DESBORDAMIENTO DE LA QUEBRADA LOS POZOS, EL 15-07-2013, INUNDACIONES DESDE LAS 09:000 HASTA LAS 12:00 HORAS, EN LA VEREDA CUATRO ESQUINAS. SE EFECTUO EL RETIRO DE ESCOMBROS, PIEDRA Y LODO Y SE HIZO EVACUACIÓN DE UNA VIVIENDA QUE QUEDÓ INHABITABLE,  SE EVACUARON DOS PERSONAS. 1 ADULTO Y 1 NIÑO. PARTICIPARON 6 LÍDERES DCC.</t>
  </si>
  <si>
    <r>
      <t xml:space="preserve">REPORTA FUERTES PRECIPITACIONES EN EL MUNICIPIO DE MARQUETALIA, GENERANDO AGRETAMIENTO DE LADERA EN EL BARRIO LAS COLINAS. SE REALIZA EVACUACIÓN PREVENTIVA DE  50 VIVIENDAS, 75 FAMILIAS. SE REALIZA INSPECCIÓN TÉCNICA POR PARTE DEL CDGRD Y CORPOCALDAS. A LAS 14:00 HRS SE REALIZARÁ REUNIÓN DEL CMGRD DE MARQUETALIA PARA DETERMINAR LAS ACCIONES A SEGUIR. SITUACION EN DESARROLLO. REPORTE 18-03-13, LA EVACUACIÓN SE REALIZO EN   50 VIVIENDAS, 75 FAMILIAS. SE REALIZA INSPECCIÓN TÉCNICA POR PARTE DEL CDGRD Y CORPOCALDAS. EN EL  DIA DE HOY SE ENVIA REPORTE PARCIAL
</t>
    </r>
    <r>
      <rPr>
        <sz val="9"/>
        <color rgb="FFFF0000"/>
        <rFont val="Arial"/>
        <family val="2"/>
      </rPr>
      <t>APOYO DEL FNGRD MEDIANT SUBSIDIO DE ARRIENDO TEMPORAL PARA 68 FAMILIAS DURANTE TRES MESES ASI 10 FAMILIAS A RAZON DE $150.000 MENSUALES, 1 FAMILIA A RAZON DE $160.000 MENSUALES, 9 FAMILIAS POR $170.000 MENSUALES, 32 FAMILIAS POR $180.000 MENSUALES, 1 POR $190.000 MENSUALES Y 15 FAMILIAS POR $200.000 MENSUALES</t>
    </r>
  </si>
  <si>
    <t>AFECTADAS VEREDA CENTRO, SAN RITA LA ANTIGUA, LOMA DEL MEDIO, YARIGUIES, LA LAGUNA,. Y CASCO URBANO, PERDIDA DE CULTIVOS</t>
  </si>
  <si>
    <t>EN AGUAZUL  SE TIENE UNA AFECTACIÓN QUE SE SALE DE LO NORMAL EN EL BARRIO SAN JUNITO Y EL BARRIO PROVIPAZ EN EL MOMENTO HAY PERSONAL DE BOMBEROS Y DEFENSA CIVIL ATIENDEN LA SITUACIÓN , POR AHORA SOLO SE REPORTA  UNA VIVIENDA DE UNA ADULTO MAYOR  AFECTADA, ASI MISMO REPORTARON AFECTACIONES EN EL CORREGIMIENTO DE SAN JOSE DEL BUBUY , HAY TRES VIVIENDAS AFECTADAS. AFECTADAS LAS VEREDAS SAN JOSE DE BUBUY, RIO CHIQUITO, SAN RAFAEL, LA ESPERANZA, EL GUINEO, LA GRACIELA, LLANO LINTO, BELLA VISTA, GUADUALITO, AGUA LINDA Y CERRITO. REPORTE 08/07/13, REPORTA SECCIONAL CASANARE SOBRE EVACUACIÓN DE FAMILIAS A LUGARES SEGUROS DIA 16-07-13. AFECTADAS 10 PERSONAS DE 4 FAMILIAS Y 2 HECTÁREAS DE CULTIVOS INUNDADOS.</t>
  </si>
  <si>
    <t>CDGRD DE PUTUMAYO Y LA D.C.C, INFORMAN, RIO GUAYUYACO Y CAQUETA, SE DESBORDARON Y SE METIO A LA INSPECCION DE MIRAFLOR, AFECTANDO VARIAS VIVIENDAS SIN QUE HAYA DATO EXACTO DE FAMILIAS AFECTADAS, LAS VEREDAS- LA ESPAÑOLA- LA VEGA- LA FLORESTA- GUAYUYACO, 10 FAMILIAS AFECTADAS, SITUACIÓN EN DESARROLLO. REPORTE 18/07/13, EMEREGENCIA EN PIAMONTE, DESBORDAMEINTO RIO CAQUETA Y TAMBOR, HASTA EL MOMENTO YA VAN 140 FAMILIAS DAMNIFICADAS Y CULTIVOS DE PAN COGER.  SE ESTA TRABAJANDO EN ALS EVALUACIONES CON APOYO DE ORGANISMOS DE SOCORRO DEL PUTUMAYO Y CAUCA, POR SER LIMITES</t>
  </si>
  <si>
    <t>0.700</t>
  </si>
  <si>
    <t>CMGRD DE ARMENIA, INFORMA, BARRIO: NUEVA LIBERTAD MZ 17 NO 1, SE PRESENTÒ DESLIZAMIENTO, AFECTANDO, UNA VIVIENDA, LA FAMILIA, FUE EVACUADA.</t>
  </si>
  <si>
    <t xml:space="preserve"> 10:30 HORAS, SE PRESENTÓ CONATO DE INCENDIO ESTRUCTURA BODEGAS ANTIGUAS DE MERCADEFAN, SOBRE LA CALLE 41 Nro. 31-120, SIENDO ATENDIDO Y CONTROLADO POR EL CUERPO DE BOMBEROS DEL CUAL NO SE PRESENTÓ AFECTACIÓN DE PERSONAS, CUANTÍA POR ESTABLECER</t>
  </si>
  <si>
    <t>10:20 HORAS SE PRESENTÓ INCENDIO ESTRUCTURAL APARTAMENTO PISO DOCE UBICADO EN LA CARRERA 22 NRO. 33-22 CONDOMINIO CENTER CLUB, BARRIO ANTONIA SANTOS, CONTROLADO POR EL CUERPO DE BOMBEROS DEL CUAL NO SE PRESENTÓ AFECTACIÓN DE PERSONAS NI DE INFRAESTRUCTURA</t>
  </si>
  <si>
    <t>REPORTA INUNDACION DEJANDO LA SIGUIENTE AFECTACION:  TRES VEREDAS AFECTADAS: MATAPALO: 12 FAMILIAS, 12 VIVIENDAS AVERIADAS, EL VALLE: 16 FAMILIAS, 16 VIVIENDAS AVERIADAS, EL MILAGRO: 4 FAMILIAS, 4 VIVIENDAS AVERIADAS, PARA UN TOTAL DE 32 VIVIENDAS AVERIADAS, 32 FAMILIAS, 120 PERSONAS, CMGRD REALIZA EDAN, REPORTA CDGRD - ACTUALIZACION</t>
  </si>
  <si>
    <t>APOYO DEL FNC MEDIATE GIRO DIRECTO AL CMGRD PARA APOYAR EL 50% RESTANTE DE LOS PROYECTOS PRODUCTIVO DEL SECTOR AGROPECUARIO PARA LA RECUPERACION Y EL RESTABLECIMIENTO SOCIOECONOMICO DE LAS COMUNIDADES INDIGENAS ($421,980,000) Y EL FORTALECIMIENTO DE LA ACTIVIDAD PRODUCTIVA OVINO CAPRINA COMO FUENTE DE SEGURIDAD ALIMENTARIA Y NUTRICIONAL EN COMUNIDADES WAYUU (172,050,000), PROYECTO INICIADO EN SEPTIEMBRE DE 2012.</t>
  </si>
  <si>
    <t>REPORTA DESBORDAMIENTO DEL RIO ORTEGA OCASIONANDO INUNDACION EN LOS BARRIOS LA VEGA Y CARACOLI, CMGRD SE DIRIJE A LA ZONA, REPORTA CDGRD, SITUACION EN DESARROLLO. INFORMA EL DIRECTOR DEL CDGRD, EL MUNICIPIO DE ORTEGA NO CUENTA CON ACUEDUCTO DESDE HACE 4 DIAS, DEBIDO A QUE LAS FUERTES LLUVIAS ARRASARON CON LA BOCATOMA PRINCIPAL. SE ESTAN ABASTECIENDO POR 1 HORA DIARIA DE UNA BOCATOMA ALTERNA. PERSONAL DE LA EDAT SE ENCUENTRA AL FRENTE DE ESTA SITUACION. SOLICITAN MAQUINARIA PARA DESPEJAR VIAS TERCIARIAS.
CDGRD DEL TOLIMA, INFORMA, DESBORDAMIENTO DEL RÍO ORTEGA, HASTA EL MOMENTO SE HAN CENSADO 180 FAMILIAS, EN LA ZONA URBANA DE LOS BARRIOS DE: CARACOLI, LA BELLA, FALTA LA ZONA RURA, SITUACIÓN EN DESARROLLO.</t>
  </si>
  <si>
    <t>EL ALCALDE DEL MUNICIPIO DE GUAYABETAL ALEXANDER RODRÍGUEZ PARRADO, REPORTA A ESTA UNIDAD QUE POR SATURACIÓN DEL SUELO, DEBIDO A FUERTES LLUVIAS CAÍDAS EN LAS ULTIMAS HORAS EN EL BARRIO FLANDES DEL CASCO URBANO DE ESTE MUNICIPIO, EXISTE AMENAZA LATENTE DE REMOCIÓN EN MASA Y SE PRESENTA AGRIETAMIENTO DEL TERRENO. EL C.M.G.R.D. DE GUAYABETAL, MEDIANTE ACTA DEL 16/05/2013, REPORTA QUE DEBIDO A LA OLA INVERNAL SE HAN PRESENTADO DESLIZAMIENTOS EN LA VEREDA PRIMAVERA, CAUSANDO AFECTACIÓN EN 4 VIVIENDAS, CON 4 FAMILIAS (MARÍA FELISA, JORGE BUITRAGO, EDILBERTO HERRERA Y JOSEFINA DÍAZ, TOTAL 20 PERSONAS), TAMBIÉN RESULTO, AFECTADA LA VÍA QUE DE LA CABECERA MUNICIPAL,CONDUCE A ESTA VEREDA, EVENTO REPORTADO EL DÍA DE HOY.</t>
  </si>
  <si>
    <r>
      <t xml:space="preserve">INFORMA CMGRD EMERGENCIA PRESENTADA EN EL MUNICIPIO DE SANTA ROSA </t>
    </r>
    <r>
      <rPr>
        <sz val="9"/>
        <color indexed="63"/>
        <rFont val="Arial"/>
        <family val="2"/>
      </rPr>
      <t>POR DESBORDAMIENTO DEL RIO CAQUETA</t>
    </r>
    <r>
      <rPr>
        <sz val="9"/>
        <color indexed="28"/>
        <rFont val="Arial"/>
        <family val="2"/>
      </rPr>
      <t xml:space="preserve"> EL REPORTE PRELIMINAR ES DE  54 FAMILIAS AFECTADAS  DE LAS CUALES 41 FAMILIAS CORRESPONDE A AFECTACIONES DE SISTEMAS PRODUCTIVOS  Y 13 CORRESPONDEN A AFECTACIONES PRESENTADAS EN LA INFRAESTRUCTURA DE VIVIENDAS  DE LAS  VEREDAS EL CARMELO, CURIACO, SANTA ROSA, </t>
    </r>
    <r>
      <rPr>
        <sz val="9"/>
        <color indexed="63"/>
        <rFont val="Arial"/>
        <family val="2"/>
      </rPr>
      <t>EL CMGRD Y LA COMUNIAD ESTÁN REALIZANDO EVALUACIONES, REPORTA CDGRD EDITH PAZ - 444</t>
    </r>
  </si>
  <si>
    <t>CDGRD REPORTA EN EL CORREGIMIENTO DE EL SOCORRO SE PRESENTO DESLIZAMIENTO AFECTANDO 2 VIVIENDAS, CDGRD Y CMGRD ATIENDEN Y ENTREGAN ASISTENCIA HUMANITARIA, ING JOSE ROJAS DE CDGRD DELEGADO AL MOMENTO ESTA AL TANTO DE LA SITUACION YA QUE LA DRA LINA DORADO ESTA EN VACACIONES. - 444</t>
  </si>
  <si>
    <t>CDGRD DE TOLIMA NUEVAMENTE SOLICITA APOYO, PARA EL MUNICIPIO DE SUAREZ DONDE SE ESTA PRESENTANDO UN INCENDIO FORESTAL EN EL CERRO DE LA VEREDA SINAI, LA COMUNIDAD NOS LLAMA PARA REPORTAR QUE LAS  LLAMAS SE VEN DESDE EL PARQUE PRINCIPAL DEL MUNICIPIO Y ESTAN CERCA DE LA BOCATOMA DEL ACUEDUCTO, ESTE INCENDIO SE VIENE PRESENTANDO DESDE EL DIA MARTES 16/07/2013, SE REINICIO EL DIA DE HOY. - 444</t>
  </si>
  <si>
    <t>REPORTA AVALANCHA DEL RIO CAQUETA, EN CORREGIMIENTO LA FUERTE, EL CUAL COLAPSO 3 PUENTES PEATONALES ESTA MADRUGADA. EL CMGRD  ESTA LA ZONA AFECTADA REALIZANDO EDAN, REPORTA CDGRD, SITUACION EN DESARROLLO. - 445</t>
  </si>
  <si>
    <t>CMGRD DE ARMENIA  ATENDIERON Y ENTREGARON AYUDA HUMANITARIA CONSISTENTE EN UN KIT DE ASEO Y UN MERCADO A LA FAMILIA AFECTA POR UN INCENDIO ESTRUCTURAL EN LA FINCA VILLA LILIANA, UBICADA EN LA VEREDA SANTA ANA KM 4 VÍA LA TEBAIDA. LA CONFLAGRACIÓN QUE SE PRESENTA EN LA COCINA DE LA VIVIENDA POR LA CONDUCCIÓN DE CHISPAS DE LEÑA, DEJÓ COMO SALDO LA DESTRUCCIÓN DE LA MISMA Y EL BAÑO DE LA PROPIEDAD. - 446</t>
  </si>
  <si>
    <t>16:00 HORAS, SE PRESENTÓ CONATO INCENDIO FORESTAL, UBICADO EN EL BARRIO MUTIS CALLE 55 CON CARRERA 1° APROXIMADAMENTE 700 MTS2, SIENDO ATENDIDO Y CONTROLADO POR EL CUERPO DE BOMBEROS DEL CUAL NO SE PRESENTÓ AFECTACIÓN DE PERSONAS NI DE INFRAESTRUCTURA - 446</t>
  </si>
  <si>
    <r>
      <t xml:space="preserve"> </t>
    </r>
    <r>
      <rPr>
        <sz val="9"/>
        <rFont val="Arial"/>
        <family val="2"/>
      </rPr>
      <t xml:space="preserve">10:30 HORAS, SE PRESENTÓ CONATO DE INCENDIO ESTRUCTURA BODEGAS ANTIGUAS DE MERCADEFAN, SOBRE LA CALLE 41 Nro. 31-120, SIENDO ATENDIDO Y CONTROLADO POR EL CUERPO DE BOMBEROS DEL CUAL NO SE PRESENTÓ AFECTACIÓN DE PERSONAS, CUANTÍA POR ESTABLECER - 446 </t>
    </r>
  </si>
  <si>
    <t>15:15 HORAS, SE PRESENTÓ INCENDIO FORESTAL ÁREA APROXIMADA 2 HECTÁREAS, DE UN LOTE  UBICADO EN EL BARRIO LA HAMACAS, SIENDO ATENDIDO Y CONTROLADO POR EL CUERPO DE BOMBEROS DEL CUAL NO SE PRESENTÓ AFECTACIÓN DE PERSONAS NI DE INFRAESTRUCTURA - 446</t>
  </si>
  <si>
    <r>
      <t xml:space="preserve">10:20 </t>
    </r>
    <r>
      <rPr>
        <sz val="9"/>
        <rFont val="Arial"/>
        <family val="2"/>
      </rPr>
      <t>HORAS SE PRESENTÓ INCENDIO ESTRUCTURAL APARTAMENTO PISO DOCE UBICADO EN LA CARRERA 22 NRO. 33-22 CONDOMINIO CENTER CLUB, BARRIO ANTONIA SANTOS, CONTROLADO POR EL CUERPO DE BOMBEROS DEL CUAL NO SE PRESENTÓ AFECTACIÓN DE PERSONAS NI DE INFRAESTRUCTURA - 446</t>
    </r>
  </si>
  <si>
    <t>EL MUNICIPIO DE NUNCHIA REPORTO QUE EN EL DÍA DE HOY SE PRESENTÓ EL DESBORDAMIENTO DEL RIO TOCARIA DONDE SE AFECTARON LAS VEREDAS EL PRETEXTO  Y COREA, AFECTANDO APROXIMADAMENTE 12 FAMILIAS, DAÑOS EN CULTIVOS Y PRADERAS.  - 446</t>
  </si>
  <si>
    <t>FOPAE Y BOMBEROS, INFORMAN, SE PRESENTÓ NOCHE ANTERIOR, INCENDIO ESTRUCTURAL, EN EL BARRIO: TOCAIMITA, LOCALIDAD DE USME, DEJANDO: 2 MENORES FALLECIDOS, 1 VIVIENDA DESTRUIDA. - 447</t>
  </si>
  <si>
    <t>REPORTA SECCIONAL SUCRE, QUE EN HORAS DE LA MADRUGADA DEL DÍA DE HOY,  SE PRESENTARON FUERTES VIENTOS ACOMPAÑADOS DE LLUVIAS, DEJANDO VARIAS VIVIENDAS DESTECHADAS EN LOS BARRIOS:  7 DE MARZO, JUAN XXIII, ROMA, VILLA, PLAZA NUEVA  DEL CASCO URBANO DEL MUNICIPIO, 92 FAMILIAS AFECTADAS. --447</t>
  </si>
  <si>
    <t>REPORTA SECCIONAL SUCRE,  QUE EN LA MADRUGADA DEL DÍA DE HOY,  SE PRESENTÓ FUERTES VIENTOS EN EL MUNICIPIO DE CAIMITO,  CASCO URBANO, 6 FAMILIAS AFECTADAS. - 447</t>
  </si>
  <si>
    <t>CMGRD DE ARMENIA, INFORMA, SE PRESENTÓ, INCENDIO ESTRUCTURAL, BARRIO: GRANADA, AFECTADA UNA VIVIENDA DE TRES PISOS, 1 FAMILIA AFECTADA, SE ENTREGO AYUDA HUMANITRIA POR PARTE DEL CMGRD DE ARMENIA. -447</t>
  </si>
  <si>
    <t>REPORTA SECCIONAL CASANARE INUNDACIONES EN TRES SECTORES, DEL MUNICIPIO DE TRINIDAD, SITUACIÓN EN DESARROLLO. -447</t>
  </si>
  <si>
    <t xml:space="preserve">REPORTA DESLIZAMIENTO EN EL KILOMETRO 40 + 500 VIA SUAZA – FLORENCIA, VEREDA CAMPO HERMOSO – SECTOR CONOCIDO COMO ALTO CAMPO HERMOSO, SE REPORTAN 14 PERSONAS LESIONADAS EN TOTAL, 2 EN EL HOSPITAL DE SUAZA, 8 EN SEGUNDO NIVEL EN GARZON Y 4 ATENDIDOS EN EL SITIO DE LA ZONA DE IMPACTO EN EL MEC. 3 PERSONAS FALLECIDAS, SE TIENE UN BALANCE PRELIMINAR DE 6 VEHICULOS ATRAPADOS RECUPERADOS, EL DIA DE MAÑANA DE INICIARAN DE NUEVO LAS OPERACIONES, REPORTA CDGRD. - 445-447
</t>
  </si>
  <si>
    <t>REPORTA: SECCIONAL BOYACA, ACCIDENTE DE TRACTOCAMIÓN  EN EL M/PIO DE MONIQUIRA, VEREDA LA CUMBRE, RESULTNADO 1 PERSONA FALLECIDA. PARTICIPARON 5 LÍDERES DCC. -447</t>
  </si>
  <si>
    <t>CDGRD REPORTA EN ESTE MUNICIPIO DESBORDAMIENTO D3EL RIO CRAVO SUR, AFECTANDO LAS VEREDAS, LA MARIARA, LA COLONIA, CLAVELES, EN RIESGO 14 VEREDAS MAS Y RESGUARDOS INDIGENAS, ORGANISMOS DE SOCORRO ATENTOS A LA SITUACION, PERSISTEN LAS LLUVIAS. -448</t>
  </si>
  <si>
    <t>CDGRD DE TOLIMA REPORTA TRAFICO VEHICULAR IMPEDIDO SOBRE LA VIA LERIDA- LIBANO EN EL SECTOR PADILLA POR DESLIZAMIENTO PRESENTADO EN EL TRANSCURSO DE LA NOCHE,  SE COORDINA EL DESPLAZAMIENTO DE MAQUINARIA Y UNIDADES OPERATIVAS DEL MUNICIPIO DE LIBANO PARA REALIZAR OBRAS DE RECUPERACION DE MOVILIDAD EN LA ZONA. -448</t>
  </si>
  <si>
    <t>CDGRD DEL CESAR, INFORMA, SE PRESENTA INCENDIO ESTRUCTURAL, EN EL BARRIO:  CIUDADELA 450 AÑOS, PENDIENTE SIN LESIONADOS.-450</t>
  </si>
  <si>
    <t>REPORTA DIRECTOR SECCIONAL GUAJIRA, QUE SIENDO LAS 16.30 HORAS DEL DÍA 20-07-13, SE REGISTRA INCENDIO FORESTAL EN LA FINCA SAN SEBASTIÁN, JURISDICCIÓN DEL CORREGIMIENTO DE:  PALOMINO, DEJANDO SALDO DE 1 HECTÁREA DE BOSQUE NATIVO AFECTADO. -450</t>
  </si>
  <si>
    <t>REPORTA EXPLOSION DE 1 GRANADA EN BAR EL AMANECER LA CUAL DEJA 1 PERSONA FALLECIDA, 26 PERSONAS LESIONADAS, ATENDIO BOMBEROS Y PONAL, REPORTA CDGRD.-451</t>
  </si>
  <si>
    <t xml:space="preserve">CMGRD ADRIANA ARCOS DE MOCOA INFORMA HOY SOBRE INUNDACION REPORTADA EL 17/07/2013 LA MAYOR AFECTACION SE PRESENTA EN LA COMUNIDAD DE PUERTO LIMON POR CRECIENTE DEL RIO CAQUETA  Y RIO MOCOA, ASENTADOS  EN LA ZONA DEL RIO, DAÑOS EN ENSERES,  REQUIEREN REUBICACION. AMENAZA LATENTE DE INUNDACION PARA TODO EL CENTRO POBLADO DE PUERTO LIMON. TODOS LOS RIOS Y QUEBRADAS  PRESENTAN NIVELES ALTOS EN SU CAUDAL CON AMENAZA DE DESBORDAMIENTO, 15 A 20 FAMILIAS AFECTADAS AL MOMENTO, EN SEGUIMIENTO. - 444
REPORTA INUNDACION POR DESBORDAMIENTO DE RIO PUTUMAYO Y OTRAS QUEBRADAS DEJANDO 8 FAMILIAS, 40 PERSONAS DAMNIFICADAS.-451
</t>
  </si>
  <si>
    <t>REPORTA INUNDACION POR DESBORDAMIENTO DE LOS RIOS PUTUMAYO, VIDES Y GUINEO, DEJANDO LA SIGUIENTE AFECTACION: 43 VIVIENDAS AVERIADAS, 12 VIVIENDAS DESTRUIDAS, 147 FAMILIAS, 625 PERSONAS, 643 HECTAREAS DE CULTIVOS DE PAN COGER INUNDADAS, 55 KMS DE VIA INUNDADA, ENTREGA ACTUALIZACION CDGRD.-451</t>
  </si>
  <si>
    <t>REPORTA INUNDACION POR DESBORDAMIENTO DEL RIO CAQUETA EL CUAL AL MOMENTO DEJA 210 FAMILIAS EVACUADAS DEL AREA RURAL, EL CMGRD ESTA ACTIVO REALIZANDO EVACUACIONES  SE HABILITO EL COLISEO CUBIERTO DEL CASCO URBANO PARA ALBERGAR LAS FAMILIAS, EDAN EN PROCESO, REPORTA CDGRD, SITUACION EN DESARROLLO.-451</t>
  </si>
  <si>
    <t>CDGRD DEL HUILA, INFORMA ATENCIÒN INCENDIOS FORESTALES, MPIO DE  NEIVA BARRIOS: PUERTAS DEL SOL AFECTACIÓN: 2 HECTAREAS, BARRIO SANTA SOFIA: 2 HECTAREAS Y BARRIO, LIMONAR: 2 HECTAREAS; PASTOS Y RASTROJOS. ESTADO EXTINGUIDOS ATENDIO BOMBEROS NEIVA.-452</t>
  </si>
  <si>
    <t>CDGRD DEL TOLIMA, INFORMA SE PRESENTA, ACCIDENTE DE AVIONETA A LAS 14:24 HORAS, AL PARECER POR FALLAS MECANICAS, SECTOR: PUENTE: SAN RAFAEL DE LA VARIANTE, ESPINAL- FLANDES, 2 PESONAS HERIDAS DE GRAVEDAD, TRASLADADAS AL HOSPITAL DE GIRARDOT.-452</t>
  </si>
  <si>
    <t>CDGRD BOYACÁ, INFORMA,  INCENDIIO ESTRUCTURAL EN LA ALCALDIA DE IZA, SE AFECTÓ EL DESPACHO DEL ALCALDE. SUCEDIÓ SOBRE LAS 05:00 HRS, DEL DÍA DE HOY,  ATENDIÓ PONAL Y BOMBEROS DUITAMA.-452</t>
  </si>
  <si>
    <t>MINISTERIO DE SALUD Y PROTECCIÓN SOCIAL, INFORMA, DOS PERSONAS MUERTAS Y UNA HERIDA DEJÓ EL ACCIDENTE DE TRÁNSITO ENTRE UN BUS DE SOTRAURABÁ Y UN CARRO PARTICULAR, EN EL KILÓMETRO 4 POR LA VÍA A URABÁ, ANTES DE LLEGAR AL TUNEL DE OCCIDENTE.
EL SUCESO, OCURRIDO A LAS 5 DE LA TARDE DEL DÍA DE HOY, AL PARECER FUE GENERADO POR UNA FALLA MECÁNICA EN EL BUS.-452</t>
  </si>
  <si>
    <t>CDGRD DE CAQUETA, INFORMA, MPIO DE: CURILLO, DESBORDAMIENTO, RÌO CAQUETA, AFECTADAS MAS DE 130 HECTÀREAS DE  ARROZ, EVALUAN, AFECTACIÓN EN VIVIENDAS, SITUACIÒN EN DESARROLLO. -447
REPORTA INUNDACION EN 17 VEREDAS, 3 BARRIOS DEL CASCO URBANO, 290 PERSONAS EVACUADAS, EL ALCALDES HACE SOLICITUD DE APOYO AL DEPTO PARA LA ATENCION DE LA EMERGENCIA, , SIENDO LAS 16.42 EL COORDINADOR DEL CDGRD INFORMA QUE EN EL MUNICIPIO DE SOLITA SE PRESENTA INUNDACION Y SE COMUNICA CON EL ALCALDE DE SOLANO PARA INFORMAR QUE LA CRECIENTE VA EN CURSO A ESE MUNICIPIO. REPORTA CDGRD, SITUACION EN DESARROLLO.-449
REPORTA INUNDACION EN 11 VEREDAS 156 FAMILIAS DAMNIFICADAS Y EVACUADAS AL CASCO URBANO, PERDIDAS DE 350 AVES DE CORRAL, 2.497 HECTAREAS INUNDADAS DE CULTIVOS COMO ARROZ, PLATANO, MAIZ, YUCA, PASTOS Y FRUTALES, 2 BARRIOS DEL CASCO URBANO 29 FAMILIAS, EL CMGRD CONTINUA REALIZANDO EDAN. REPORTA CDGRD.-453-Correo</t>
  </si>
  <si>
    <t>CDGRD DE ARAUCA, INFORMA, INUNDACIONES, DEL DÍA DE HOY, OCASIONADAS POR EL RIO CARANAL, RIO ELE, SITUACIÓN EN DESARROLLO. -454</t>
  </si>
  <si>
    <t>CDGRD DEL MAGDALENA, INFORMA,  VIENTO FUERTE EN LA VEREDA LOS PATOS, MUNICIPIO DE TENERIFE. DESTRUCCIÓN PARCIAL DE LA CUBIERTA DE LA ESCUELA, CERO VICTIMAS. CMGRD ATIENDE DAÑOS.-454</t>
  </si>
  <si>
    <t>CDGRD DE RISARALDA, INFORMA, SE PRESENTA, INCENDIO DE CAPA VEGETAL, EN EL MPIO DE SANTUARIO, SECTOR: LIMONES,  4  HECTÁREAS CONSUMIDAS DE PASTO, EXTINGUIDO A LA HORA, INFORMO CRUE.-454</t>
  </si>
  <si>
    <t>CDGRD DE SANTANDER, INFORMA,  A ESTÁ HORA, ATIENDEN INCENDIO FORESTAL, EN EL KM: 4, VÍA GIRÓN, SITUACIÓN EN DESARROLLO.-454</t>
  </si>
  <si>
    <t>CDGRD DE SANTANDER, INFORMA,  A ESTÁ HORA, ATIENDEN INCENDIO FORESTAL, EN EL BARRIO: SANTANDER,  SITUACIÓN EN DESARROLLO.-454</t>
  </si>
  <si>
    <t>REPORTA INUNDACION EN 7 VEREDAS SEGÚN REPORTE PRELIMINAR LA AFECTACION ES LA SIGUIENTE, ISLA GUARDULIO: 24 FAMILIAS, COROSITO: 18 FAMILIAS, EL FINAL: 25 FAMILIAS, EL SOL: 21 FAMILIAS, ALTAMIRA: 17, MONSERRATE: 22 FAMILIAS, CLARINETERO: 20 FAMILIAS, EL CMGRD ESTA ACTIVO Y REALIZANDO EDAN, REPORTA CMGRD, SITUACION EN DESARROLLO.-451-455</t>
  </si>
  <si>
    <t>0.5</t>
  </si>
  <si>
    <t>REPORTAN DE CRUE RISARALDA , QUE LA NOCHE ANTERIOR SE PRESENTO UN FUERTE AGUACERO CON VIENTOS HURACANDOS AFECTANDO A VARIAS VIVIENDAS , EN EL MOMENTO SE ESTA REALIZANDO EDAN.-456</t>
  </si>
  <si>
    <t>SE  REPORTA INCENDIO EN EL COLEGIO SUMAPAZ SE REPORTA A PORTABLE 1 MELGAR SALE A APOYAR LA MOVIL 03 CON TRES UNIDADES Y REPORTA QUE FUE CONTROLADO DONDE SE AFECTA UNA VIVIENDA CON PERDIDA PARCIAL DE ENSERES.-456</t>
  </si>
  <si>
    <t>MOVIL  04-16 REPORTA UN ARBOL CAIDO SOBRE LA ENTRADA DE LA IGLESIA DEL DIVINO NIÑO Y HAY CUERDAS DE ENERGIA EN EL SUELO SE INFORMA A ENERTOLIMA DONDE ATIENDE LINA CASTAÑEDA SIN MAS DETALLES-456</t>
  </si>
  <si>
    <t>REPORTAN DEL CDGRD QUE SE PRESENTARON FUERTES VIENTOS HURACANDOS , EN LA REGION , HAY VARIOS ARBOLES EN LA VIA, SE ESTA HACIENDO EDAN-456</t>
  </si>
  <si>
    <t>COE 16 REPORTA ARBOLES CAIDOS A 500 METROS LA VIA ESPINAL-GUAMO SE INFORMA ALOS BV ESPINAL SIN MAS DETALLES-456</t>
  </si>
  <si>
    <t>BV GUAMO REPORTA INCENDIO FORESTAL EN LA VRDA. CHONTADURO EN INMEDIACIANES DE LA FINCA DEL SEÑOR CHUMY HERRAN POR LA VIA  A LA URBANIZACION SAN DIEGO, TRABAJAN LOS BV GUAMO BAJO LA SUPERVICION DEL CMGRD LOGRANDO CONTROLARLO CON UNA AFECTACION DE 1/2 MEDIA HECTAREA DE PASTO PARA GANADO SIN MAS DETALLES.-456</t>
  </si>
  <si>
    <t>REPORTA EL DIRECTOR DEL CDGRD DE CORDOBA QUE SE PRESENTO UN INCENDIO ESTRUCTURAL EL LA VEREDA DE  NUEVA ESTRELLA , CON PERDIDA TOTAL DE LA VIVIENDA.  EL CMGRD ATIENDE EMERGENCIA CON LOS BOMBEROS.-456</t>
  </si>
  <si>
    <t xml:space="preserve">SE PRESENTO UN INCENDIO ESTRUCTURAL EN LE CENTRO COMERCIAL GRAN ESTACIÓN  EN LA CIUDAD DE BOGOTA A LAS 8.50 AM , EL LA PLAZOLETA DE COMIDAS , 
LOCAL LLAMADO BURGER STATION, POR ACUMULACIÓN DE PAPEL  Y OTROS ELEMENTOS,  AL MOMENTO ESTA CONTROLADO, Y SE ENCUENTRA EN REFRIGERACIÓN DEL MISMO.
AL SITIO ACUDEN 3 MAQUINAS DE BOMBEROS, 3 AMBULANCIAS,  1 CARRO PMU DE FOPAE Y DE SECRETARIA DE SALUD, FUERO EVACUADAS 975 PERSONAS, NO HAY LESIONADOS 
A LAS 10.40 AM  SE ESTA HACIENDO LA EVALUACIÓN FINAL DEL EVENTO-456
</t>
  </si>
  <si>
    <t>REPORTA INCENDIO FORESTAL EN CORREGIMIENTO AMPUDIA, DEJANDO 4 HECTAREAS DE BOSQUE NATIVO AFECTADAS, CONTROLADO Y EXTINGUIDO POR BOMBEROS, COMUNIDAD Y PERSONAL DEL CMGRD, REPORTA CMGRD.-457</t>
  </si>
  <si>
    <t>REPORTAN DE CRUE RISARALDA , QUE LA NOCHE ANTERIOR SE PRESENTO UN FUERTE AGUACERO CON VIENTOS HURACANDOS AFECTANDO A VARIAS VIVIENDAS , EN EL MOMENTO SE ESTA REALIZANDO EDAN.-456
REPORTA VENDAVAL EN EL CASCO URBANO DEJANDO 1 VIVIENDA AVERIADA, 4 FAMILIAS, 1 BODEGA DE INSUMOS AGRICOLAS, REPORTA CRUED.-457</t>
  </si>
  <si>
    <t>REPORTAN DE CRUE RISARALDA , QUE LA NOCHE ANTERIOR SE PRESENTO UN FUERTE AGUACERO CON VIENTOS HURACANDOS AFECTANDO A VARIAS VIVIENDAS , EN EL MOMENTO SE ESTA REALIZANDO EDAN.-456
REPORTA VENDAVAL EN LA VEREDA TRES ESQUINAS DEJANDO 1 VIVIENDA AVERIADA, 1 FAMILIA, REPORTA CRUED.-457</t>
  </si>
  <si>
    <t>REPORTA VENDAVAL EN LA VEREDA LAS TAZAS,  DEJANDO 7 VIVIENDAS AVERIADAS, 7 FAMILIAS, REPORTA CRUED.-457</t>
  </si>
  <si>
    <t>REPORTA INUNDACION POR DESBORDAMIENTO DE RIO PUTUMAYO Y OTRAS QUEBRADAS DEJANDO LA SIGUIENTE AFECTACION: 348 FAMILIAS DAMNIFICADAS, 1550 PERSONAS, 655 HECTAREAS DE CULTIVOS DE PAN COGER INUNDADAS, ENTREGA ACTUALIZACION CDGRD.-451
EL APOYO APORTADO  EN OTROS CONSISTE EN TRANSPORTE ELEMENTOS EJERCITO KIT ASEO 344, KIT NOCHE 1033</t>
  </si>
  <si>
    <t>REPORTA INUNDACION POR DESBORDAMIENTO DEL RIO CAQUETA DEJANDO LA SIGUIENTE AFECTACION: 50 VIVIENDAS DESTRUIDAS, 2500 FAMILIAS DAMNIFICADAS, DE LAS CUALES 6 ESTAN EN AUTOALBERGUE Y 6 EN ALBERGUE, 12500 PERSONAS, 1 PERSONA FALLECIDA, ENTREGA ACTUALIZACION CDGRD.-451
EL VALOR DEL APOYO APORTADO EN OTROS CORRESPONDE A TRANSPORTE ELEMENTOS EJERCITO KIT ASEO 2500 KIT NOCHE 5000</t>
  </si>
  <si>
    <t>CDGRD DEE SANTANDER, INFORMA, SE PRESENTÓ VENDAVAL, AFECTANDO, LA ZONA RURAL Y URBANA, AFECTACIÓN EN CULTIVOS, CMGRD, REALIZA EDAN, SITUACIÓN EN DESARROLLO.-458</t>
  </si>
  <si>
    <t>SE PRESENTÓ, INCENDIO FORESTAL, EN LA VEREDA: MARTÍN, SE CONSUMIO: 1 HECTÁREA DE VEGETACIÓN NATIVA, EXTINGUIDO.-458</t>
  </si>
  <si>
    <t>PUENTE  QUE COLAPSA, VEREDA: COCORA,  POR DETERIORO DE LA ESTRUCTURA, CUANDO TRES PERSONAS,  ESTÁN PASANDO , INMEDIATAMENTE CAEN A LA QUEBRADA LA PICOTA , PRESTÁNDOLE LA ASISTENCIA POR ARTE DEL PERSONAL DE LA DCC, JUNTA SALENTO , NOMBRE DE LAS DOS PERSONAS, OLGA MARÍA PAREJA  DE 24 AÑOS  CON DOS MESES DE EMBARAZO, LACERACIONES EN LAS PIERNA IZQUIERDA SEÑOR MIGUEL ÁNGEL  PACCI DE 41  AÑOS  CON HIPOTERMIA, NACIONALIDAD ESPAÑOLA , TRASLADADO CIUDAD ARMENIA PARA  TOMA DE PLACAS, REGISTRA DOLOR VARIAS PARTES DEL CUERPO  Y LA TERCERA PERSONAS  SEXO MASCULINO   , ILESO , SALIÓ DEL SECTOR PROPIOS MEDIOS.-458</t>
  </si>
  <si>
    <t xml:space="preserve">INFORMA DEL CODGRD, QUE SE ESTA PRESENTANDO UN VENDAVLA EN EL MUNICIPIUO DE LURUACO, HAASTA EL MOMENTO SE HA DESTRUIDO 5 VIVIENDAS Y 15 HAN  RESULTADO AFECTADAS CON PERDIDA DE CUBIERTAS. SE ESTA REALIZANDO EDAN. - 446
CDGRD DE ATLÁNTICO, INFORMA, VENDAVAL, EN EL MUNICIPIUO DE LURUACO,  5 VIVIENDAS DESTRUIDAS, 51 VIVIENDAS AVERIADAS, 56 FAMILIAS AFECTADAS.-450 CAIDA DE ARBOLES, PAREDES Y LINEAS DE CONDUCCION. AFECTADOS BARRIOS ALTOS DE GALAN, SAN JOSE, PROGRESO, FELIPE RIVERA, VILLA ESTADIO, LA UUNION, PENDALES CORREGIMIENTO DE SAN JUAN DE TOCAGUA. </t>
  </si>
  <si>
    <t>D.C.C., INFORMA, CRECIENTE SUBITA, DEL RIO GUATAPURI, ARROYO LA YAYA, COMUNIDADES DE LAS VEREDAS LAS COLONIAS, LAS BENDICIONES Y LAS MARIMONDAS, 8 FAMILIAS 36 PERSONAS DANDO 13 NIÑOS Y 23 ADULTOS, LOS LÍDERES VOLUNTARIOS DEL COMITÉ DE CONEJO Y FONSECA APROXIMADAMENTE A LAS 03:00 HASTA LAS 14:00 DEL DÍA 10 MAYO DEL  2013, APOYARON A LAS FAMILIAS AISLADAS POR LOS ARROYOS, EN SU EVACUACIÓN A TRAVÉS DE PUENTES DE UN CABLE ANCLADOS CON ARNESES Y SUS EQUIPOS, QUEDA PENDIENTE VISITAR LA ZONA DE SIERRA DEL PERIJÁ VEREDA MARIMONDA Y LAS BENDICIONES DONDE MANIFIESTAN HAY DESLIZAMIENTOS QUE AFECTARON VIVIENDAS Y CULTIVOS , SE TRATÓ DE LLEGAR PERO NO FUE POSIBLE LA VIA ESTABA BLOQUEADA CON ÁRBOLES CAIDOS Y DESLIZAMIENTOS, SITUACIÓN EN DESARROLLO.
AFECTADAS VIAS LAS MARIMONDA K 1, 10 Y 12, VIA CENEJO - PONDORE, CONEJO - LAS BENDICIONES K. 4, 10, 15, 19, 21 Y 22.
DESBORDAMIENTO DEL LOS RIOS ISIDORA Y EL SECO CAUSAN INUNDACION EN EL MUNICIPIO DE FONSECA, VEREDA LAS BENDICIONES Y LAS MARIMONDAS, AFECTANDO VIVIENDAS Y CULTIVOS POR ESTABLECER NUMERO DE VIVIENDAS Y FAMILIAS AFECTADAS, SITUACION EN DESARROLLO.
AFECTADOS DOS PUENTES EN LA VIA POTREROS - LAS MARIMONDAS Y OTRO PUENTE EN VIA POTRERO - LAS COLINAS</t>
  </si>
  <si>
    <t>AFECTADAS 15 EMPRESAS</t>
  </si>
  <si>
    <t xml:space="preserve">AFECTADAS VIAS ONZAGA - SANTA ROSITA, ONZAGA - BOQUERON, ZABANETA - PADUA - COVARACHIA , TAPIAS - SANTA INES - EL CARMEN - PUENTE NUEVO - ESCUELA CORTADERAS. </t>
  </si>
  <si>
    <t>SE PRESENTÓ VENDAVAL DE VIENTOS FUERTES CON GRANIZO EN EL MUNICIPIO DEL PARAMO, COMO RESULTADO DEL SINIESTRO RESULTARON AFECTADAS RESIDENCIAS FAMILIARES (CASAS), AFECTACIÓN DE CULTIVOS, ASÍ MISMO EN LA BANCADA DE LA VÍA SOBRE LA VEREDA LA LAGUNA PARTE ALTA Y SOBRE LA VÍA PRINCIPAL. LA ALCALDÍA DEL MUNICIPIO DE PARAMO CONFIRMARA POSTERIORMENTE EL ANÁLISIS Y EVALUACIÓN DE RIESGO.-459</t>
  </si>
  <si>
    <t>HORAS SE PRESENTÓ CONATO DE INCENDIO BASURAS Y RESIDUOS DE MALEZA SOBRE LA VÍA DE LA CARRETERA ANTIGUA A FLORIDABLANCA POR DEBAJO DEL PUENTE DEL VIADUCTO LA FLORA, ÁREA APROXIMADA DE CONFLAGRACIÓN 400 MTS2. SIENDO ATENDIDO Y CONTROLADO POR EL CUERPO DE BOMBEROS DEL CUAL NO SE PRESENTÓ AFECTACIÓN DE PERSONAS NI DE INFRAESTRUCTURA -459</t>
  </si>
  <si>
    <t>REPORTA VENDAVAL EN LA VEREDA EL CARMEN, AFECTANDO VARIAS VIVIENDAS, ESPECIALMENTE UNA (1) UNA CON 4 PERSONAS QUE  PERDIÓ SU TECHO, Y LAS PAREDES QUEDARON AVERIADAS OCASIONANDO PERDIDAS DE MUEBLES Y ENCERES, EL CMGRD ADELANTA EDAN CON EL FIN DE ATENDER A LAS FAMILIAS AFECTADAS. REPORTA CDGRD, SITUACION EN DESARROLLO.- 460</t>
  </si>
  <si>
    <t>REPORTA INCENDIO ESTRUCTURAL DEJANDO 1 VIVIENDA DESTRUIDA EN BARRIO GUAYAQUIL, 1 FAMILIA DAMNIFICADA, 2 PERSONAS, REPORTA JAVIER VELEZ CMGRD.-461</t>
  </si>
  <si>
    <t>ACCIDENTE EN EL SUR DE BOGOTÁ DEJA UNA PERSONA MUERTA Y 15 HERIDAS UN MICROBUS DE LA EMPRESA NUEVO HORIZONTE SE VOLCÓ EN LA AVENIDA BOYACÁ CON CALLE 24 SUR, SENTIDO NORTE-SUR, FRENTE AL PORTAL TUNAL. LAS AUTORIDADES REPORTAN HASTA EL MOMENTO UNA PERSONA MUERTA Y 15 HERIDAS, QUE ESTÁN SIENDO VALORADAS POR PERSONAL MÉDICO.HAY BASTANTE CONGESTIÓN VEHICULAR EN ESE PUNTO DEL SUR DE BOGOTÁ Y SÓLO HAY PASO A UN CARRIL. SE RECOMIENDAN COMO VÍAS ALTERNAS LA AVENIDA VILLAVICENCIO Y LA AVENIDA GAITÁN CORTÉS.EN EL SITIO AMBULACIAS DE SDS, FOPAE, BOMBEROS OFICIALES -459</t>
  </si>
  <si>
    <t>APOYO DEL FNGRD MEDIANTE SUBSIDIO DE ARRIENDO TEMPORAL PARA 63 FAMILIAS AFECTADAS POR TEMPORADA DE LLUVIAS 2012 DURANTE TRES MESES A RAZON DE $150,000 MENSUALES
EL 25 DE JULIO SE APOYO SUBSIDIO DE ARRIENDO TEMPORAL PARA UNA FAMILIA POR TRES MESES A RAZON DE $150.000 MENSUALES.</t>
  </si>
  <si>
    <t xml:space="preserve">HORAS SE PRESENTÓ CONATO  FORESTAL DONDE SE QUEMÓ 2 HECTÁREAS  DE MALEZA DE LA CALLE 4ª  65B-34 BARRIO CANELOS  , COLINDANDO CON EL COLEGIO LOS CANELOS .SIENDO ATENDIDO Y CONTROLADO POR EL CUERPO DE BOMBEROS DEL CUAL NO SE PRESENTÓ AFECTACIÓN DE PERSONAS NI DE INFRAESTRUCTURA. </t>
  </si>
  <si>
    <t xml:space="preserve">HORAS SE PRESENTÓ CONATO  FORESTAL DONDE SE QUEMÓ 2 HECTÁREAS  DE MALEZA DE LA CARRERA 14 CON CALLE 60 DEL DIAMANTE II, COLINDANDO CON LA EMPRESA COCA-COLA. SIENDO ATENDIDO Y CONTROLADO POR EL CUERPO DE BOMBEROS DEL CUAL NO SE PRESENTÓ AFECTACIÓN DE PERSONAS NI DE INFRAESTRUCTURA. </t>
  </si>
  <si>
    <t xml:space="preserve">HORAS SE PRESENTÓ INCENDIO FORESTAL EN EL SECTOR DE LOS ÁNGELES, VÍA COLORADOS FRENTE AL MOTEL FARAONES   2 HECTÁREAS. SIENDO ATENDIDO Y CONTROLADO POR EL CUERPO DE BOMBEROS DEL CUAL NO SE PRESENTÓ AFECTACIÓN DE PERSONAS NI DE INFRAESTRUCTURA. </t>
  </si>
  <si>
    <t>REPORTA LA DRA EDITH  DEL CDGRD , EN LE MUNICIPIO DE SOARA  EN LA VEREDA DE POBLACENA SE PRESENTO UN INCENDIO ESTRUCTURLA QUEMANDO UNA VIVIENDA , C9ON PERTIDA TOTAL DE ENSERES , EL CASO LO ATIENDE CMGRD DE SOTARA Y LA COMUNIDAD.-462</t>
  </si>
  <si>
    <t>REPORTA CDGRD  INCENDIO FORESTAL EN LA VEREDA LA HELENA, SECTOR MAS ABAJO DEL BARRIO EL SALADO. SE QUEMO UNA HECTAREA. ATIENDE BOMBEROS VOL.-462</t>
  </si>
  <si>
    <t>BOMBEROS VOLUNTARIOS ATENDIERON 2 INCENDIO FORESTAL EN PUERTO BOGOTA (CUNDINAMARCA) EL PRIMERO EN LA HACIENDA LAS CAMELIAS (CALDAS), 7 HECTAREAS DE PASTO CONSUMIDAS Y EL OTRO EN LA HACIENDA CALAMAR (CALDAS), 4 HECTAREAS DE PASTO CONSUMIDAS.-462</t>
  </si>
  <si>
    <r>
      <t>HORAS SE PRESENTÓ CONATO DE INCENDIO EN LA VEREDA CLAVELINA SECTOR TOMA SAN CARLOS, ÁREA DE CONFLAGRACIÓN 4 HECTÁREAS</t>
    </r>
    <r>
      <rPr>
        <sz val="9"/>
        <color indexed="19"/>
        <rFont val="Arial"/>
        <family val="2"/>
      </rPr>
      <t xml:space="preserve">.  </t>
    </r>
    <r>
      <rPr>
        <sz val="9"/>
        <rFont val="Arial"/>
        <family val="2"/>
      </rPr>
      <t>SIENDO ATENDIDO Y CONTROLADO POR EL CUERPO DE BOMBEROS DEL CUAL NO SE PRESENTÓ AFECTACIÓN DE PERSONAS NI DE INFRAESTRUCTURA - 462</t>
    </r>
  </si>
  <si>
    <t>HORAS SE PRESENTÓ CONATO  FORESTAL DONDE SE QUEMÓ 1 HECTÁREAS DE MALEZA GIRÓN COLINDANDO CON EL NUEVO GIRÓN, .SIENDO ATENDIDO Y CONTROLADO POR EL CUERPO DE BOMBEROS DEL CUAL NO SE PRESENTÓ AFECTACIÓN DE PERSONAS NI DE INFRAESTRUCTURA-462</t>
  </si>
  <si>
    <t>HORAS, SE PRESENTÓ VENDAVAL DE VIENTOS FUERTES CON GRANIZO EN EL MUNICIPIO DE SAN VICENTE DE CHUCURI, COMO RESULTADO DEL SINIESTRO RESULTARON AFECTADAS RESIDENCIAS FAMILIARES (CASAS), AFECTACIÓN DE CULTIVOS, Y SOBRE LA VÍA PRINCIPAL. LA ALCALDÍA DEL MUNICIPIO DE SAN VICENTE DE CHUCURI CONFIRMARA ANÁLISIS Y EVALUACIÓN  DEL RIESGO -462</t>
  </si>
  <si>
    <t>CABO GUILLERMO BAUTISTA, COMANDANTE DE BOMBEROS DEL MPIO DE MADRID, INFORMA A ESTA UNIDAD EL DÍA 25/07/13  SOBRE INCENDIO FORESTAL  OCURRIDO EN LA CIUDADELA DEL NIÑO DE ESTE MPIO, EL DÍA 24/07/13 INICIADO HACIA LAS 11:30 HORAS LA CUAL AFECTO 0,5  HECT DE PASTOS, Y FUE CONTROLADO Y EXTINGUIDO HACIA LAS 16:00 HORAS DEL MISMO DÍA. ATENDIÓ BOMBEROS MADRID, ACUEDUCTO DE MOSQUERA CON CARRO-TANQUES Y CMGRD-462</t>
  </si>
  <si>
    <t>REPORTA INCENDIO FORESTAL EN LA VEREDA CASCADAS DE ESTE MUNICIPIO, A AFECTANDO HASTA EL MOMENTO 8 HECTÁREAS DE VEGETACIÓN NATIVA, EN EL MOMENTO SE ENCUENTRA ACTIVO, SE REQUIERE LA AYUDA DE CARROTANQUES LOS CUALES FUERON RAMITADOS CON EL CORONEL FANDIÑO DIRECTOR DE LA DEFENSA CIVIL DE CUNDINAMARCA. ATIENDE BOMBEROS UBATE, BRIGADAS CAR, POLICÍA,COMUNIDAD, Y CMGRD. REPORTA CDGRD -460 -462</t>
  </si>
  <si>
    <t xml:space="preserve">MARIO RODRÍGUEZ COORDINADOR DEL CMGRD, DEL MPIO DE LA CALERA, INFORMA A ESTA UNIDAD SOBRE INCENDIO ESTRUCTURAL OCURRIDO EL DÍA 24-07-13 HACIA LAS 05:30 AM DEL DÍA EN LA VEREDA BUENOS AIRES, EN UNA BODEGA ABANDONADA DE PROPIEDAD DE LA COMPAÑÍA CEMEX DE COLMBIA, LA CUAL  CONTENÍA ARCHIVOS  Y DOCUMENTACIÓN DE LA EMPRESA. ESTE INCENDIO FUE CONTROLADO Y EXTINGUIDO POR LA DEFENSA CIVIL, POLICÍA NACIONAL, Y PERSONAL DE SEGURIDAD DE LA COMPAÑÍA, HACIA LAS 06:45 HORAS DEL MISMO DIA.-462
</t>
  </si>
  <si>
    <t>REPORTAN DEL CDGRD, EL DIA 24 DE JULIO EN HORAS DE LA TARDE ,SE PRESETNO UN INCEDIOS ESTRUCTURAL, CON PERDIDA TOTAL DE LA VIVIENDA Y ENSERES. LOS HECHOS OCURRIERON EN ELE BARRIO  VILLA ENEIDA , ATENDIO BOMBEROS VOLUTARIOS.-462</t>
  </si>
  <si>
    <r>
      <t>CDGRD DEL HUILA, INFORMA, SE PRESENTARON INCENDIOS FORESTALES, EN LOS SIGUIENTES SECTORES: BARRIO EL TESORO</t>
    </r>
    <r>
      <rPr>
        <b/>
        <sz val="9"/>
        <rFont val="Arial"/>
        <family val="2"/>
      </rPr>
      <t xml:space="preserve"> 
</t>
    </r>
    <r>
      <rPr>
        <sz val="9"/>
        <rFont val="Arial"/>
        <family val="2"/>
      </rPr>
      <t>AFECTACION: 2.0  HECTAREAS</t>
    </r>
    <r>
      <rPr>
        <b/>
        <sz val="9"/>
        <rFont val="Arial"/>
        <family val="2"/>
      </rPr>
      <t xml:space="preserve"> </t>
    </r>
    <r>
      <rPr>
        <sz val="9"/>
        <rFont val="Arial"/>
        <family val="2"/>
      </rPr>
      <t xml:space="preserve">DE PASTO Y RASTROJO, : SECTOR SUR ABASTOS
AFECTACION: 8  HECTAREAS PASTO Y RASTROJO,  BARRIO VILLA ESMERALDA, 1 HECTÁREA DE PASTO Y RASTROJO,  BARRIO VERGEL 
AFECTACION: 1.5  HECTAREAS PASTO Y RASTROJO, TODOS EXTINGUIDOS, APOYARON BOMBEROS NEIVA.-463
</t>
    </r>
  </si>
  <si>
    <t xml:space="preserve">CDGRD DEL HUILA, INFORMA, INCENDIO FORESTAL, SECTOR CHONTADURO, 
AFECTACION: 1  HECTAREA PASTO Y RASTROJO
ESTADO: EXTINGUIDO, ATENDIO: BOMBEROS PALERMO. -463
</t>
  </si>
  <si>
    <t xml:space="preserve">CDGRD DEL HUILA, INFORMA, INCENDIO FORESTAL, VEREDA EL TIGRE, AFECTACION:  0.5  HECTAREA PASTO - FORRAJE
ESTADO: EXTINGUIDO, ATENDIO: BOMBEROS ALTAMIRA. -463
</t>
  </si>
  <si>
    <t>CDGRD DE NARIÑO, INFORMA, VENDAVAL EN LA VEREDA: DOLORES, 2 VIVIENDAS AFECTADAS. -463</t>
  </si>
  <si>
    <t>CDGRD DE NORTE DE SANTANDER, INFORMA, SE ATIENDE EN ESTE MOMENTO, INCENDIO FORESTAL, EN EL MPIO DE ABREGO, SIN MÁS DATOS, SITUACIÓN EN DESARROLLO. -463</t>
  </si>
  <si>
    <t xml:space="preserve">CDGRD DEL CAUCA, INFORMA, EMERGENCIA EN EL MPIO PIAMONTE, DESBORDAMIENTO RIO CAQUETA, 
SE HAN EVACUADO A 50 FAMILIAS, VEREDA: GUAYIYACO, FUERON EVACUADAS AL VIVERO AGORFORESTAL DE LA COMPANIA GRAN TIERRA, HASTA EL MOMENTO,  YA SUMAN A 420 FLIAS, CON ESTA TEMPORADA DE LLUVIAS, DE LA INUDACIÓN DE HACE 13 DIAS Y LA DE HOY, SITUACIÓN EN DESARROLLO.-463
</t>
  </si>
  <si>
    <t>CDGRD REPORTA EN EL MUNICIPIO DE ORITO QUE LAS QUEBRADAS Y LOS RÍOS DEL MUNICIPIO SE HAN INCREMENTADO POR LAS FUERTES LLUVIAS QUE SE HAN VENIDO PRESENTANDO DESDE LAS 12 DE LA NOCHE DEL 24 DE JULIO DEL PRESENTE AÑO HASTA EL MOMENTO NO PARAN LAS LLUVIAS Y TENEMOS DAMNIFICADOS EN EL MUNICIPIO, LOS ORGANISMOS DE SOCORRO ESTÁN REALIZANDO MONITOREO, EL CONSEJO MUNICIPAL SE CONVOCÓ A LAS 5:30 PM PARA ANALIZAR LA SITUACIÓN, EN SEGUIMIENTO.-464</t>
  </si>
  <si>
    <t>SE REGISTRA INCENDIO ESTRUCTURAL SOBRE LAS 21:00 HORAS EN BODEGA DE RECICLAJE EXPOCARIBE TOTALMENTE CONSUMIDA, APOYARON 4 MAQUINAS DE BOMBEROS Y 1 MAS DE PUERTO COLOMBIA, 2 VEHICULOS CON PERDIDA TOTAL.-464</t>
  </si>
  <si>
    <t>CDGRD REPORTA EMERGENCIA POR ACCIDENTE PROVOCADO POR DERRUMBE DE TIERRA EN UN SOCAVÓN PARA LA CONSTRUCCIÓN DE UN RESERVORIO DE AGUA PARA EL SERVICIO DE LA MINA DENOMINADA “LA MILAGROSA” EN JURISDICCIÓN DE LA INSPECCIÓN DE SAN LUIS, MUNICIPIO DE IQUIRA–HUILA, NO LESIONADOS, SE REGISTRARON CINCO (5) PERSONAS FALLECIDAS POR EL INCIDENTE MINERO, 1.FAIBER PEREZ ALARCON DE 28 AÑOS, 2.  JOSE GOMEZ VIEDA DE30 AÑOS, 3. NILXON MARTINEZ LASSO DE 23 AÑOS, 4. CARLOS ANDRES MALDONADO CORDOBA DE 22 AÑOS, 5. LUIS ALBERTO HURTADO CARVAJAL DE 20 AÑOS  SE ACTIVO EL SISTEMA MUNICIPAL PARA LA GESTIÓN DEL RIESGO DE LOS MUNICIPIOS DE IQUIRA Y TESALIA;  CON RESPUESTA PRIMARIA DE LOS ORGANISMOS DE SOCORRO LOCALES BOMBEROS Y DEFENSA CIVIL, CON APOYO DE LOS CONSEJOS MUNICIPALES PARA LA GESTIÓN DEL RIESGO DE DESASTRES – CMGRD - DE LOS DOS MUNICIPIOS. ADICIONALMENTE SE ACTIVO EL APOYO COMPLEMENTARIO A TRAVÉS DEL CONSEJO DEPARTAMENTAL PARA LA GESTIÓN DEL RIESGO DE DESASTRES DEL HUILA,  CON LA MOVILIZACIÓN DE ORGANISMOS DE SOCORRO BOMBEROS Y DEFENSA CIVIL DE LA PLATA, NATAGA, PAICOL Y NEIVA, ASÍ COMO EL ACOMPAÑAMIENTO DE LA OFICINA DE GESTIÓN DEL RIESGO DE LA GOBERNACIÓN DEL HUILA.  LOS ORGANISMOS DE SOCORRO EN LA ZONA DE LA EMERGENCIA ADELANTARON LABORES DE BÚSQUEDA Y RESCATE, EXCAVACIÓN Y REMOCIÓN DE TIERRA Y MATERIAL PARA LA RECUPERACIÓN DE LOS CUERPOS DE LAS CINCO PERSONAS ATRAPADAS. SE REALIZO LA RECUPERACIÓN DE LOS CADÁVERES Y EL TRASLADO DE LOS MISMOS AL MUNICIPIO DE IQUIRA PARA LOS TRAMITES DE LEVANTAMIENTO Y RECONOCIMIENTO LEGAL CORRESPONDIENTE.-463 - 464 ACT</t>
  </si>
  <si>
    <t xml:space="preserve">CMGRD DE MURILLO, INFORMA, INCENDIO FORESTAL,  ZONA RURAL, VEREDA: EL OSO PARTE ALTA, EN LA FINCA DEL SEÑOR HUMBERTO CASAS SOBRE LOS VALLES DEL NEVADO DEL RUIZ, TOMANDOSE COMO MEDIDAS CON LOS CUERPOS DE SOCORRO BOMBEROS Y DEFENSA CIVIL ENVIAR UNA CUADRILLA DE 10 VOLUNTARIOS, 6 PERSONAS  DE BOMBEROS Y 4 PERSONAS DE LA DEFENSA CIVIL CON EL FIN DE MITIGAR EL ESTE INCENDIO.
HORA DE SALIDA. 5.AM
TRANSPORTE. VEHICULO 1 HORA HASTA EL PUNTO CASA ROJA VDA LA CABAÑA
DE HAY EN ADELANTE ES A PIE APROXIMADAMENTE 6 HORAS HASTA EL PUNTO DE CONFLAGRACION, SITUACIÓN EN DESARROLLO.-463-464ACT
</t>
  </si>
  <si>
    <t>LA COORDINADORA DEL CMGR DE MORALES, REPORTA,  VENDAVAL, PRESENTADO LA NOCHE ANTERIOR, REPORTADO DESDE LA ZONA RURAL HAY 30 VIVIENDAS AFECTADAS EN TECHOS, SITUACIÓN EN DESARROLLO.
CONSOLIDADO DE AFECTACIONES DESDE ABRIL, APOYO</t>
  </si>
  <si>
    <t>REPORTAN DEL CRUE RISARALDA , EL DIA 25 DE JULIO EN HORAS DE LA NOCHE SE PRESENTO UN VENDAVAL EN EL RESGUARDO INDIGENA DE GUAIZUL, AFECTANDO VARIAS VIVIENDAS, HASTA EL MOMENTO NO SE HA PODIDO ACCEDER AL SITIO, SE ESPERA MAS INFO EN EL REPORTE DE LA TARDE. -465</t>
  </si>
  <si>
    <t>SE PRESENTA UN FUERTE VENDAVAL EN L NOCHE ANTERIOR, EN ESTE MOMENTO SE HACE DEDAN POR PARTE DEL CMGRD. -465</t>
  </si>
  <si>
    <t>EL CDGRD DE ARMENIA ATIENDE INCENDIO ESTRUCTURAL EN UAN VIVIENDA SUBNORMAL , CON PERDIADA TOTAL DE ENSERES. ATIENDE BOMBEROS VOLUTARIOS. -465</t>
  </si>
  <si>
    <t>HORAS SE PRESENTÓ INCENDIO FORESTAL EN EL MUNICIPIO DE FLORIDABLANCA DONDE LA CONFLAGRACIÓN CONSUMIÓ (10 HTAS) DE VEGETACIÓN SILVESTRE ENTRE ARBUSTOS Y MALEZA, UBICADO SOBRE EL PUENTE DE LA QUEBRADA ARANZOQUE, COSTADO OCCIDENTAL DE LA AUTOPISTA DE FLORIDABLANCA VÍA A PIEDECUESTA SECTOR ALEDAÑO A LA EMPRESA MAC-POLLO Y CLUB DE TIRO. FUE ATENDIDO Y CONTROLADO POR EL CUERPO DE BOMBEROS DE FLORIDABLANCA CON APOYO DEL CUERPO DE BOMBEROS DE PIEDECUESTA CON DIEZ MAQUINAS TANQUE Y 50 BOMBEROS. NO SE PRESENTÓ AFECTACIÓN DE PERSONAS NI DE INFRAESTRUCTURA, DÍA JUEVES 25-07-2013 FUE ANALIZADO Y EVALUADO ÁREA DE INCENDIO POR EL CUERPO DE BOMBEROS DE FLORIDABLANCA -462-465</t>
  </si>
  <si>
    <t>HORAS, SE PRESENTÓ INCENDIO FORESTAL  DE VEGETACIÓN SILVESTRE ENTRE ARBUSTOS Y MALEZA UBICADO CONSUMIDO POR LA CONFLAGRACIÓN APROXIMADAMENTE (02 HTS) UBICADO A 20 MINUTOS DEL MUNICIPIO DE PIEDECUESTA EN LA VEREDA SAN FRISCAL TERRENO CON TOPOGRAFÍA INCLINADA (EN LADERA), SIENDO ATENDIDO POR EL CUERPO DE BOMBEROS DE PIEDECUESTA CON CINCO BOMBEROS HASTA LA MAÑANA DEL DÍA 25-07-2013 DANDO POR TERMINADO LA CONFLAGRACIÓN Y UNA VEZ HECHO EL ANÁLISIS Y EVALUACIÓN DEL INCENDIO, NO SE PRESENTÓ AFECTACIÓN DE PERSONAS NI DE INFRAESTRUCTURA -462 ACT -465</t>
  </si>
  <si>
    <t>REPORTA INUNDACION POR CRECIENTE SUBITA EN CANALES ARTIFICIALES, GENERADA POR FUERTES LLUVIAS OCASIONANDO AFECTACION EN 3 VEREDAS ASI: VEREDA CAREPITA: 34 VIVIENDAS AVERIADAS, 34 FAMILIAS, LA OLLA: 30VIVIENDAS AVERIDAS, 30 FAMILIAS, VEREDA LA 300: 24 VIVIENDAS AVERIADAS, 24 FAMILIAS. LAS CUALES FUERON EVACUADAS AL CENTRO VIDA DEL ADULTO, REPORTA CDGRD. -466</t>
  </si>
  <si>
    <t>REPORTA DESBORDAMIENTO DEL RIO FRAGUA CHORROSO, INUNDACION EL MUNICIPIO, REPORTA CDGRD, SITUACION EN DESARROLLO. -466</t>
  </si>
  <si>
    <t xml:space="preserve">CDGRD DE PUTUMAYO Y D.C.C,  DE MOCOA, INFORMAN,  DESBORDAMIENTO DEL RIO MOCOA, SECTOR: SAN AGUSTÍN Y PUERTO LIMÓN, SITUACIÓN EN DESARROLLO. -463
REPORTA DESBORDAMIENTO DEL RIO MOCOA, SECTOR: SAN AGUSTÍN Y PUERTO LIMÓN, OCASIONANDO SALDO TOTAL AFECTACION: 3 PERSONAS FALLECIDAS, 5 VIVIENDAS DESTRUIDAS, 5 FAMILIAS DAMNIFICADAS, 22 PERSONAS,  EVACUADAS A ALOJAMIENTO TEMPORAL. REPORTA CDGRD. -466
</t>
  </si>
  <si>
    <t>REPORTA DESBORDAMIENTO RIO PUTUMAYO, VIDES Y GUINEO, OCASIONANDO SALDO TOTAL AFECTACION: 196 FAMILIAS DAMINIFICADAS, 846 PERSONAS, VIVIENDAS AVERIADAS: 33, VIVIENDAS DESTRUIDAS: 9, PUENTES PEATONALES: 3,FAMILIAS EN ALOJAMIENTO TEMPORAL: 18, HECTAREAS DE CULTIVOS: 1280, KMS DE VIAS AFECTADAS: 20, BARRIOS AFECTADOS: 5, VEREDAS AFECTADAS: 21, SE HACE DECLARATORIA DE CALAMIDAD PUBLICA. REPORTA CDGRD -466</t>
  </si>
  <si>
    <t>REPORTA DESBORDAMIENTO RIO PUTUMAYO, OCASIONANDO SALDO TOTAL AFECTACION: 50 FAMILIAS DAMINIFICADAS, 250 PERSONAS, VIVIENDAS AVERIADAS: 50, PUENTES PEATONALES: 3, 1 ACUEDUCTO, 6 BOXCOULVERT, HECTAREAS DE CULTIVOS: 40, KMS DE VIAS AFECTADAS: 22. REPORTA CDGRD -466</t>
  </si>
  <si>
    <t>REPORTA INUNDACION, OCASIONANDO SALDO TOTAL AFECTACION: 1 FAMILIA DAMINIFICADA, 5 PERSONAS, VIVIENDAS AVERIADAS: 1, PUENTES PEATONALES: 1, REPORTA CDGRD -466</t>
  </si>
  <si>
    <t>CDGRD REPORTA LA SITUACIÓN EN EL MUNICIPIO DE SAN FRANCISCO ES CAÓTICA TENEMOS DESBORDAMIENTO DEL RIO PUTUMAYO SECTOR LAS JUNTAS, DE LA MISMA MANERA LA PERDIDA DE BANCA SOBRE EL RIO SAN FRANCISCO, EN HORAS DE LA TARDE TAMBIÉN SE TUBO DESBORDAMIENTO DE LA QUEBRADA EL DIAMANTE Y TAPONAMIENTO DEL BOSCULVER AFECTANDO A LOS BARRIOS DE SAN JUDAS Y SAN FRANCISCO, VEREDAS INCOMUNICADAS LA ARGENTINA, EL POROTAL, MINCHOY, EL CEDRAL, AFECTACIONES A CULTIVOS, GANADO COMPLETAMENTE INUNDADOS, SAN JOSE DEL CHUNGA, SAN AGUSTÍN Y UN SECTOR DE LA VEREDA SAN SILVESTRE SE IMPLEMENTÓ LA ALERTA ROJA PARA TODA ESTA ÁREA, DE IGUAL MANERA SE INFORMA QUE LA VÍA SAN FRANCISCO QUE CONDUCE HACIA MOCOA SE ENCUENTRA TAPONADA A ESTA HORA, SEGÚN EL REGISTRO DE AFECTACIÓN TENEMOS 200 FAMILIAS AFECTADAS 3 BOCATOMAS FUERA DE SERVICIO  PERDIDA TOTAL DEL PUENTE DE LA ARGENTINA, 4 VEREDAS INCOMUNICADAS Y POSIBLE DESBORDAMIENTO SOBRE VEREDA CENTRAL SAN ANTONIO, LA MENTA, SAN SILVESTRE, SE NECESITA CON URGENCIA BANCO DE MAQUINARIA PARA EL MUNICIPIO PARA CANALIZAR RIO SAN FRANCISCO QUEBRADA EL POROTO Y POSIBLE REUBICACIÓN DE VIVIENDAS EN LA LOMA, INVIAS REPORTA DERRUMBES EN LA VÍA MOCOA-SAN FRANCISCO, PERO YA TIENE EQUIPOS Y MAQUINARIA DISPONIBLE PARA ATENCIÓN. -463 - 464 ACTUALIZACION
REPORTA DESBORDAMIENTO RIO PUTUMAYO, OCASIONANDO SALDO TOTAL AFECTACION: 200 FAMILIAS DAMINIFICADAS, 1.000 PERSONAS, VIVIENDAS AVERIADAS: 22, PUENTES PEATONALES: 1, ACUEDUCTO: 3, CENTROS EDUCATIVOS: 3, HECTAREAS DE CULTIVOS: 80, KMS DE VIAS AFECTADAS: 5, BARRIOS AFECTADOS: 2, VEREDAS AFECTADAS: 17, SE HACE DECLARATORIA DE CALAMIDAD PUBLICA. REPORTA CDGRD -466</t>
  </si>
  <si>
    <t>REPORTA VENDAVAL AFECTANDO AREA RURAL CON UN REPORTE PRELIMINAR DE 25 VIVIENDAS AVERIADAS, 25 FAMILIAS, REPORTA CDGRD, SITUACION EN DESARROLLO. -466</t>
  </si>
  <si>
    <t>CDGRD DEL VALLE DEL CAUCA, INFORMA, SE PRESENTÓ INCENDIO FORESTAL, EN LA VEREDA: EL GUADUAL, AFECTANDO: 3 HECTÁREAS DE: PASTO Y CAÑABRAVA, CONTROLADO Y EXTINGUIDO POR BOMBEROS. -467</t>
  </si>
  <si>
    <t>CDGRD DE NARIÑO, INFORMA, SE PRESENTÓ INCENDIO FORESTAL, VEREDA: GUAYAVILLO, EXTINGUIDO, PENDIENTE AFECTACIÓN. -467</t>
  </si>
  <si>
    <t>CDGRD DE NARIÑO, INFORMA, EL DÍA JUEVES 25 DE JULIO DEL AÑO 2013, SE REPORTAN DESLIZAMIENTOS DE TIERRA, EN EL KILÓMETRO 6, DE LA VÍA QUE COMUNICA AL MUNICIPIO DE PUERRES, CON EL CORREGIMIENTO: DE MONOPAMBA, A SÍ MISMO EN EL KILÓMETRO 9.5 DE LA VÍA QUE COMUNICA  AL MUNICIPIO, CON EL CORREGIMIENTO DE SAN MATEO Y EN EL KILÓMETRO 7 DE LA VÍA QUE COMUNICA AL CORREGIMIENTO DEL PÁRAMO;  -467</t>
  </si>
  <si>
    <t>CDGRD DE NARIÑO, INFOPRMA, INUNDACIÓN EN EL CORREGIMIENTO: EL ENCANO, 13 VIVIENDAS AFECTADAS, 5 FAMILIAS AFECTADAS, 5 RESTAURANTES AFECTADOS, -463
CDGRD DE NARIÑO, INFORMA INUNDACIONES POR AUMENTO DE NIVEL DE LA LAGUNA DE:  LA COCHA, EN EL CORREGIMIENTO: EL ENCANO, DEJANDO: 24 FAMILIAS AFECTADAS. -467</t>
  </si>
  <si>
    <t>CDGRD DE NARIÑO, INFORMA SE PRESENTA DESLIZAMIENTO, EN EL CORREGIMIENTO DE: SANTA BARBARA, AFECTANDO: 1 FAMILIA, SE REALIZO NOTIFICACIÓN DE EVACUACIÓN. -467</t>
  </si>
  <si>
    <t>CDGRD DE PUTUMAYO, INFORMA, SE PRESENTA DESBORDAMIENTO DEL RÍO GUAMUEZ, REALIZAN EDAN, SITUACIÓN EN DESARROLLO.-467</t>
  </si>
  <si>
    <t>REPORTA SECCIONAL SUCRE, INFORMA: A LAS 9 HORAS, SE PRESENTÓ EMERGENCIA POR FUERTES VIENTOS EN EL CORREGIMIENTO: TOMALA, MUNICIPIO DE MAJAGUAL, ZONA LA MOJANA SUCREÑA, 12 FAMILIAS AFECTADAS. -467</t>
  </si>
  <si>
    <t>REPORTA SECCIONAL GUAJIRA QUE 3  FUNCIONAROS Y 50 LÍDERES VOLUNTARIOS DE LAS DIFERENTES JUNTAS Y COMITÉS PARTICIPARON EN INCENDIO FORESTAL, A  LA  ALTURA DEL CORREGIMIENTO DE MINGUEO, A DOS KILÓMETROS DE GECELCA, EL INCENDIO INICIO  EL 24 DE JULIO  A LAS 11:00 HORAS, Y CULMINO LA ACTIVIDAD A LAS 00:00 HORAS QUEDANDO CON LLAMAS ENCENDIDAS.  EL 25 DE JULIO 2013 SE INICIARON LAS ACTIVIDADES A LAS 07:00 HORA HASTA 14:00 HORAS.  QUEDANDO, EXTINGUIDO, UN TOTAL DE 50 HECTÁREAS DE BOSQUE NATIVO QUEMADAS. -467</t>
  </si>
  <si>
    <t>REPORTA SECCIONAL RISARALDA,  MUNICIPIO DE BALBOA, VEREDA: LLANO GRANDE, SE PRESENTÓ INCENDIO DE CAPA VEGETAL, CONSUMIÉNDOSE UNA HECTÁREA DE PASTO, AL PARECER EL INCENDIO SE ORIGINA POR FUERTES OLAS DE CALOR. -467</t>
  </si>
  <si>
    <t>REPORTA SECCIONAL ANTIOQUIA, INCENDIO  FORESTAL,  A LAS 15:30 HASTA LAS 18:00 ,FUERON ARRASADAS: 7  HECTÁREAS PARTICIPARON 4 VOLUNTARIOS DEL COMITÉ DE ALTAMIRA. -467</t>
  </si>
  <si>
    <t>INCENDIO FORESTAL EN EL MUNICIPIO DE COTA ATIENDEN BOMBEROS CHIA, COTA Y TENJO, YA CONTROLADO EN UN 70% ,  YA ESTA EN PROCESO DE EXTINCION. -468</t>
  </si>
  <si>
    <t>SE REGISTRA INCENDIO FORESTAL EN EL MUNICIPIO DE MURILLO VEREDA RIO AZUL SECTOR MOZUL, QUEDA RETIRADO DEL CASCO URBANO SE ENCUENTRA EN PROCESO. -468</t>
  </si>
  <si>
    <t>MOGOTES VIERNES 26-07-2013 -08:00 HORAS, HORAS SE REPORTA EL SECRETARIO DE GOBIERNO  DEL MUNICIPIO DE  MOGOTES, JORGE EXPEDITO GUERRERO GRANADO, UN FUERTE VENDAVAL QUE DEJO SIN TECHOS , EN LA ALCALDÍA MUNICIPAL, COLEGIO MUNICIPAL ARDILA , COLISEO MUNICIPAL  Y ALGUNOS RESIDENCIAS DEL CASCO URBANO. MANIFESTANDO A SU VEZ QUE PARA EL DÍA 27-07-2013 PROCEDERÁN A REALIZAR LA VERIFICACIÓN Y EVALUACIÓN DE LO REPORTADO.  -468</t>
  </si>
  <si>
    <t>LEBRIJA VIERNES 26-07-2013 -08:00 HORAS, HORAS SE REPORTA EL CUERPO DE BOMBEROS DEL MUNICIPIO DE LEBRIJA, BENILDA NORIEGA SUAREZ,  QUE EL FUERTE VENDAVAL QUE SE PRESENTÓ AYER EN HORAS DE LA TARDE DEJO SIN TECHO ALGUNAS VIVIENDAS DE LA VEREDA SANTO DOMINGO  Y SAN PACHO, .MANIFESTANDO A SU VEZ QUE PARA EL DÍA 27-07-2013 PROCEDERÁN A REALIZAR LA VERIFICACIÓN Y EVALUACIÓN DE LO REPORTADO -468</t>
  </si>
  <si>
    <t>CDGRD REPORTA INCENDIO FORESTAL EN EL MUNICIPIO DE DAGUA CORREGIMIENTO QUEREMAL BOMBEROS INFORMA QUE YA FUE SOFOCADO ESTE INCENDIO, CON AFECTACION DE 7 HECTAREAS -468</t>
  </si>
  <si>
    <t>CDGRD REPORTA INCENDIO FORESTAL EN EL MUNICIPIO DE VIJES, VEREDA MOZAMBIQUE CON AFECTACION DE 2 HECTAREAS ATENDIO BOMBEROS RESTREPO -468</t>
  </si>
  <si>
    <t>EL CMGRD QUE SE PRESENTA UN IF EN EL SECTOR DE  COLINAS DE MIRAVILLA , EN ESTE MOMENTO SE ATIENDE POR PARTE DE BOMBEROS VOLUTARIOS. -463 ACT -465
INCENDIO FORESTAL INICIADO EL DIA DE AYER EN EL MUNICIPIO DE JAMUNDI CONTROLADO EN SECTOR MIRAVALLE, APOYAN LOS BOMBEROS DE JAMUNDI, PALMIRA Y CANDELARIA, CONTROLADO Y EN ENFRIAMIENTO DE TODA LA ZONA CON APROXIMADAMENTE 20 HECTAREAS. -468</t>
  </si>
  <si>
    <t>CDGRD REPORTA QUE SE ATENDIO INCENDIO FORESTAL EN ZONA RURAL MUNICIPIO DE TELLO EN LIMITES CON INSPECCION DE FORTALECILLAS HORAS DE LA TARDE DE AYER DEJA AFECTACION EN 50 HECTAREAS DE PASTO Y RASTROJO -468</t>
  </si>
  <si>
    <t>CDGRD REPORTA VENDAVAL EN EL CORREGIMIENTO DE BAHIA HONDA MUNICIPIO DE PEDRAZA, OCURRIDO AYER EN HORAS DE LA TARDE CON AFECTACION A CUBIERTA EN CENTRO EDUCATIVO  SE ATIENDE POR CMGRD -468</t>
  </si>
  <si>
    <t>INCENDIO FORESTAL EN EL MUNICIPIO DE NILO SECTOR LA GUAIRA ATIENDE BOMBEROS VOLUNTARIOS DE NILO, YA CONTROLADO, DEJA UNA AFECTACION DE VEGETACION NATIVA Y PASTOS CON 5 HECTAREAS. -468</t>
  </si>
  <si>
    <t>SE REGISTRA INCENDIO FORESTAL EN EL MUNICIPIO DE MADRID, FINCA CASABLANCA, ATIENDE PERSONAL DE BOMBEROS FUNZA, MOSQUERA, DEFENSA CIVIL Y FAC, EN SEGUIMIENTO. -468</t>
  </si>
  <si>
    <t>REPORTA VENDAVAL Y GRANIZADA, INFORMACION PRELIMINAR 60 VIVIENDAS AVERIADAS, 60 FAMILIAS, CULTIVOS AFECTADOS, REPORTA CDGRD, SITUACION EN DESARROLLO. -469</t>
  </si>
  <si>
    <t>REPORTA INCENDIO FORESTAL EL CUAL AFECTO 8 HECTAREAS DE BOSQUES, CULTIVOS FRUTALES Y DE AGUACATES,  POSIBLES CAUSAS CORTOCIRCUITO DE CUERDAS DE ENERTOLIMA, APOYO BOMBEROS FRESNO Y MARIQUITA, DCC, CRUZ ROJA. REPORTA CITEL CDGRD -469</t>
  </si>
  <si>
    <r>
      <t xml:space="preserve">CDGRD REPORTA CONATO DE INCENDIO EN HORAS DE LA TARDE DEL DIA </t>
    </r>
    <r>
      <rPr>
        <b/>
        <sz val="9"/>
        <color indexed="8"/>
        <rFont val="Arial"/>
        <family val="2"/>
      </rPr>
      <t>27/06/2013</t>
    </r>
    <r>
      <rPr>
        <sz val="9"/>
        <color indexed="8"/>
        <rFont val="Arial"/>
        <family val="2"/>
      </rPr>
      <t xml:space="preserve"> EN EL MUNICIPIO DE ALVARADO A 1 KM DESPUES DE PASAR EL PEAJE DE ALVARADO, APOYA BOMBEROS VENADILLO, EL SECRETARIO DE SAGR Y ALCALDE DE ALVARADO COORDINAN PARA EL RESPECTIVO APOYO CON COMBUSTIBLE, FUE CONTROLADO, SE CONSUMIDOS 200 METROS DE VEGETACION SECA, APOYO BOMBEROS IBAGUE Y LIDERES VOLUNTARIOS DE LA DEFENSA CIVIL DE HONDA QUE PASABAN POR EL SITIO. -470</t>
    </r>
  </si>
  <si>
    <r>
      <t>CDGRD REPORTA INCENDIO FORESTAL EN EL MUNICIPIO DE  ESPINAL EN LA VEREDA LA MORENA FINCA LA ISLA (PETROLERA), EN LA TARDE DEL</t>
    </r>
    <r>
      <rPr>
        <b/>
        <sz val="9"/>
        <color indexed="8"/>
        <rFont val="Arial"/>
        <family val="2"/>
      </rPr>
      <t xml:space="preserve"> 27/06/2013,</t>
    </r>
    <r>
      <rPr>
        <sz val="9"/>
        <color indexed="8"/>
        <rFont val="Arial"/>
        <family val="2"/>
      </rPr>
      <t xml:space="preserve"> APOYO BOMBEROS, CAUSAS: QUEMAS CONTROLADAS CON FUERTES VIENTOS, FUE CONTROLADO, CONSUMIDOS 200 METROS DE VEGETACION SECA. -470</t>
    </r>
  </si>
  <si>
    <r>
      <t xml:space="preserve">CDGRD INFORMA SE REGISTRO INCENDIO FORESTAL EN LA VEREDA SAN DIEGO BAJO MUNICIPIO DE MARIQUITA, EL DIA </t>
    </r>
    <r>
      <rPr>
        <b/>
        <sz val="9"/>
        <color indexed="8"/>
        <rFont val="Arial"/>
        <family val="2"/>
      </rPr>
      <t>27/07/2013</t>
    </r>
    <r>
      <rPr>
        <sz val="9"/>
        <color indexed="8"/>
        <rFont val="Arial"/>
        <family val="2"/>
      </rPr>
      <t>, FUE CONTROLADO Y ATENDIDO POR BOMBEROS VOLUNTARIOS, POSIBLES CAUSA: PIROMANO EN LA ZONA, SE AVISO A AUTORIDAD RESPECTIVA, CONSUMIDA ½ HECTAREA DE BOSQUE. -470</t>
    </r>
  </si>
  <si>
    <t>SE REGISTRA INCENDIO FORESTAL EN EL MUNICIPIO DE MELGAR VEREDA SALERO SECTOR PIEDRAS BLANCAS ATIENDEN ORGANISMOS DE SOCORRO, CONTROLADO APOYO VIA AEREA, AL MOMENTO CON LLOVIZNA. -468
SE REGISTRA INCENDIO FORESTAL EN EL MUNICIPIO DE MELGAR VEREDA SALERO SECTOR PIEDRAS BLANCAS ATIENDEN ORGANISMOS DE SOCORRO, CONTROLADO CON APOYO VIA AEREA EN COORDINACION CON LA UNGRD, POR PARTE DE FAC SOBRE LAS 16:00 HORAS, FUERON CONSUMIDAS APROXIMADAMENTE 15 HECTAREAS DE PASTO Y RASTROJO, APOYO IGUALMENTE PERSONAL DE BOMBEROS -470</t>
  </si>
  <si>
    <t>EL COORDINADOR DEL CMGRD DEL MUNICIPIO DE ROVIRA INFORMA, DE INCENDIO FORESTAL QUE PRESENTO EN LA VEREDA LAGUNA LOS ANDES - FINCA LA CAMELIA, SE EXTINGUIO TOTALMENTE. SE CONSUMIERON 8 HECTAREAS DE PASTOS, CULTIVOS DE CAÑA Y ZONA DE PROTECCION DE CAÑA QUE PASA POR ESTE SECTOR, ATENDIERON BOMBEROS VOLUNTARIOS. -470</t>
  </si>
  <si>
    <t>SE REGISTRA INCENDIO FORESTAL EN MEDLLIN NOROCIDENTE CERRO PICACHO, CMGRD SOLICITO DIRECTAMENTE APOYO AEREO A CACOM 5 E INFORMA QUE SE ESTA EN PROCEDIMIENTO, ATIENDEN DAGRD BOMBEROS MEDELLIN AL MOMENTO CONTROLADO Y EXTINGUIDO, FAC REALIZO 10 DESCARGAS, APROXIMADAMENTE 3 HECTAREAS AFECTADAS INFORMA CDGRD CESAR HERNANDEZ. -470</t>
  </si>
  <si>
    <t>SE REGISTRO ACCIDENTE DE TRANSITO BUS DE LA EMPRESA LIBERTADORES QUE CUBRIA RUTA SARAVENA-CUCUTA, SECTOR ALTO DE ORO, CON 20 PASAJEROS, 18 DE ELLOS LESIONADOS, 2 FALLECIDOS, ATIENDE DEFENSA CIVIL -470</t>
  </si>
  <si>
    <t>CDGRD REPORTA INCENDIO FORESTAL EN LA VEREDA MONTEVERDE DEL CO0RREGIMIENTO DE PALMARITO EN MUNICIPIO DE PUERTO SANTANDER Y CUCUTA ATIENDE BOMBEROS. -468
CDGRD REPORTA INCENDIO FORESTAL EN LA VEREDA MONTEVERDE DEL CORREGIMIENTO DE PALMARITO EN MUNICIPIO DE PUERTO SANTANDER Y CUCUTA ATIENDE BOMBEROS, ES CONTROLADO Y EXTINGUIDO HOY, CON UNA AFECTACION APROXIMADA DE 9 HECTAREAS. -470</t>
  </si>
  <si>
    <t>SE REGISTRA INCENDIO FORESTAL EN EL MUNICIPIO DE SIBATE, VEREDA LA VINCULACION, CERCA AL CENTRO EDUCATIVO PABLO NERUDA, ATIENDEN BOMBEROS SIBATE Y SOACHA, REPORTA DIRECCION NACIONAL DE BOMBEROS, SITUACION EN PROCESO. -470</t>
  </si>
  <si>
    <t>REPORTA INCENDIO ESTRUCTURAL EN BODEGA EMPRESA OPERMUNDO OPERADOR LOGISTICO DE LA SOCIEDAD PORTUARIA, HAY INVOLUCRADO QUIMICO FERTILIZANTE NITROGEN K21, POR LO QUE EL CMGRD EVACUA 1KM A LA REDONDA, YA QUE HAY ZONA RESIDENCIAL E INDUSTRIAL, SEGUN REPORTE PRELIMINAR RESULTARON 400 PERSONAS INTOXICADAS POR INHALACION DEL TOXICO LAS CUALES FUERON REMITIDAS A CENTROS ASISTENCIALES ENTRE ELLOS 8 BOMBEROS, 3 DC Y 2 CR, APOYA BOMBEROS SANTA MARTA, BOMBEROS SOCIEDAD PORTUARIA Y AEROPUERTO, DCC, CRUZ ROJA, PONAL Y CMGRD, REPORTA CDGRD. SITUACION EN DESARROLLO. -471</t>
  </si>
  <si>
    <t>REPORTA INCENDIO FORESTAL EN ZONA INDUSTRIAL 1 HECTAREA AFECTADA DE VEGETACION NATIVA, CONTROLADO Y EXTINGUIDO POR BOMBEROS, REPORTA CDGRD -471</t>
  </si>
  <si>
    <t>REPORTA VENDAVAL INFORMACION PRELIMINAR VARIAS VIVIENDAS DEL CASCO URBANO AVERIADAS, CMGRD INICIARA EDAN AL PASAR LA TORMENTA YA QUE POR LA MISMA NO HAY FLUIDO ELECTRICO, REPORTA CDGRD, SITUACION DESARROLLO. -469
REPORTA VENDAVAL DEJANDO 6 VIVIENDAS AVERIADAS DEL CASCO URBANO, 6 FAMILIAS, REPORTA CDGRD -470</t>
  </si>
  <si>
    <t>REPORTA ACCIDENTE DE TRANSITO EN BARRIO LA ESPERANZA DE UN AUTOMOVIL QUE ATROPELLA A PEATON OCASIONANDOLE LA MUERTE INSTANTANEA, LUEGO COLISIONA CONTRA UN CAMION Y UNA MOTOCICLETA DEJANDO 7 PERSONAS LESIONADAS. REPORTA CDGRD. -471</t>
  </si>
  <si>
    <t>REPORTA INUNDACION POR DESBORDAMIENTO DE RIO PUTUMAYO Y OTRAS QUEBRADAS DEJANDO LA SIGUIENTE AFECTACION: 93 VIVIENDAS AVERIADAS, 6 VIVIENDAS DESTRUIDAS, 358 FAMILIAS DAMNIFICADAS, 1790 PERSONAS, 2 PERSONA DESAPARECIDA, 2431 HECTAREAS DE CULTIVOS DE PAN COGER INUNDADAS, 50 KMS DE VIA INUNDADA, ENTREGA ACTUALIZACION CDGRD.-451</t>
  </si>
  <si>
    <t>REPORTAN, CDGRD Y  DIRECTOR SECCIONAL CORDOBA: VENDAVAL OCURRIDO EL 3-06-2013 A LAS 3. 00 HORAS, AFECTANDO LOS BARRIOS EL CAMPANO, MINUTO DE DIOS, EL NISPERO,  Y EL POBLADO DEL M/PIO DE MONTERIA. REPORTE PRELIMINAR DE 100 VIVIENDAS DESTECHADAS, 100 FAMILIAS AFECTADAS Y  500 PERSONAS. PARTICIPAN 10 LÍDERES DCC
APOYO DEL FNGRD MEDIANTE SUBSIDIO DE ARRIENDO TEMPORAL PARA 51 FAMILIAS POR TRES MESES A RAZON DE $300.000 MENSUAL
EL 29 DE JULIO SE TRAMITARON SUBSIDIOS DE ARRIENDO TEMPORAL PARA 19 FAMILIAS POR TRES MESES A RAZON DE $300,000 POR FAMILIA</t>
  </si>
  <si>
    <t>APOYADO EL 25 DE JULIO DE 2013</t>
  </si>
  <si>
    <t>CDGRD REPORTA EN ESTE MUNICIPIO HAY ZONAS INUNDADAS BRISAS DE HONG KONG, HONG KONG,  DE PUERTO VEGA, LLEGA A LADO DE LA IGLESIA. OTRAS VEREDAS,  AFECTADO CULTIVOS EN ESTOS MOMENTOS ALISTAN ALOJAMIENTOS TEMPORALES, EN SEGUIMIENTO.-464
ACT - REPORTA DESBORDAMIENTO RIO PUTUMAYO, OCASIONANDO SALDO TOTAL AFECTACION: 4765 FAMILIAS DAMINIFICADAS, VIVIENDAS AVERIADAS: 93, VIVIENDAS DESTRUIDAS: 9, PERSONAS: 23825, PUENTES PEATONALES: 152, 1 ACUEDUCTO, 3 BOXCOULVERT,  CENTROS EDUCATIVOS: 1, FAMILIAS EN ALBERGUE 320, HECTAREAS DE CULTIVOS: 4260, KMS DE VIAS AFECTADAS: 320, BARRIOS AFECTADOS: 11, VEREDAS AFECTADAS 56, SE HACE DECLARATORIA DE CALAMIDAD PUBLICA. REPORTA CDGRD -466
APOYO DEL FNGRD MEDIANTE TRANSFERENCIA AL MUNICIPIO DE PUERTO ASIS PARA  ADQUISICION DE COMBUSTIBLE PARA RESCATE Y EVACUACON POR VALOR DE $40,000,000, ALIMENTOS $120,000,000, GASTOS OPERATIVOS $30,000,000</t>
  </si>
  <si>
    <t>LA DRA EDITH DEL CDGRD DE CAUCA REPORTA  AFECTADAS  DE 20 FAMILIAS POR VENDAVAL PRESENTADO EN EL DIA DE AYER Y UNA INSTITUCIÓN EDUCATIVA DEL CORREGIMIENTO DE MIRAFLORES. LAS AFECTACIONES SON EN TECHOS. SE SIGUE PENDIENTE MS REPORTES. -472</t>
  </si>
  <si>
    <t>REPORTAN DEL CDGRD QUE LA NOCHE ANTERIOR SE PRESENTO UN FUERTE AGUACERO CAUSANDO LEVES  INUNDACIONES POR REBOSAMIENTO. AL MOMENTO E REALIZA EDAN. -472</t>
  </si>
  <si>
    <t>EL DIRECTOR DEL CDGRD DE MAGALENA , INFORMA QUE LE MUNICIPIO DE GUAMAL EL DIA DE AYER SE PRESENTO UN VENDAVAL AFECTANDO VARIS VIVIENDAS, EL CMGRS Y LA DCC SE ENCUENTRA HACIENDO EDAN. -472</t>
  </si>
  <si>
    <t>EL CDGRD DE BOLIVAR  HACE UN REPORTE INICAL DE UN VENDAVAL EN LA NOCHE ANTERIOR, AL MOMENTO SE ESTA RECIBINDO INFORMACION POR PARTE DE LOS CMGRD. -472</t>
  </si>
  <si>
    <t xml:space="preserve">CDGRD REPORTA EN ESTE MUNICIPIO EMERGENCIA POR GRANIZADA SOBRE LAS 16:00 HORAS, VEREDA LA BUITRERA, CON AFECTACION EN 20 VIVIENDAS EN SUS TECHOS, TAMBIEN EN CULTIVOS DE CAFÉ, CAÑA, MAIZ, PLATANO Y YUCA, ZONA DE DIFICIL ACCESO, JAC INFORMO SITUACION, EN LAS PRIMERAS HORAS DE LA MAÑANA REALIZARAN LABORES DE VERIFICACION CMGRD Y DCC  AFECTADAS VEREDA LA BUITRERA, LIMONCITO, </t>
  </si>
  <si>
    <t>NO REPORTARON CALAMIDAD</t>
  </si>
  <si>
    <t xml:space="preserve">AFECTADA ZONA URBANA Y RURAL, </t>
  </si>
  <si>
    <t>1.5</t>
  </si>
  <si>
    <t>INFORMA BOMBEROS INCENDIO FORESTAL SECTOR GRANJA ARMERO. -473</t>
  </si>
  <si>
    <t>INFORMA BOMBEROS INCENDIO FORESTAL SECTOR ZONA RURAL SE ESTA VERIFICANDO DATOS. -473</t>
  </si>
  <si>
    <t>BOMBEROS ATENDIO INCENDIO FORESTAL, EN EL BARRIO VILLA MARIA, CONSUMIENDOSEN 1-1/2H PASTOS, POSIBLE CAUSA COLILLAS DE CIGARRILLO -473</t>
  </si>
  <si>
    <t>REPORTA EL DR JAIRO ROMERO COORD DEL CDGRD, LAS FUERTES LLUVIAS REGISTRAS EN LA NOCHE ANTERIOR, LA OVEDAD SE REGISTRA EN EL LA VEREDA.SAN CIPRIANO.HASTA EL MOMENTO LA AFECTACION  ES EL CULTIVOS. -473</t>
  </si>
  <si>
    <t xml:space="preserve">SR PABLO PUERTA DEL DAPARD  Y EL GERENTE DE LA ESE DEL BAGRE DR. SLVADOR BERROCAL QUE SE PRESENTÓ UN INCIDENTE EN LA"  MINA LA Y" DE MINEROS SA,   JURISDICCIÓN DEL BAGRE, ÁREA RURAL. 
AL PARECER POR UN MECANISMO DE DESCOMPRESIÓN, SE PRESENTÓ ESCAPE DE GAS Y PRODUJO FENÓMENO DE INTOXICACIÓN, PROVOCANDO 3 PERSONAS FALLECIDAS, HAY 9 PACIENTES HOSPITALIZADOS CON REPORTE EN EL MOMENTO DE ESTABILIDAD CLÍNICA.  DE LOS PACIENTES HOSPITALIZADOS, NO SE TIENEN NOMBRES AÚN,  HAY 1 PTE EN LA ESE DEL BAGRE, 4 PTES EN EL HOSPITAL MINEROS Y 4 PTES EN IPS MEDICAUCA -473
</t>
  </si>
  <si>
    <t>EL CDGRD DE ANTIOQUIA REPORTA UN VENDAVAL EN EL MUNICIPIO DE MURINDO EN LOS RESGUARDOS INDIGENAS.CHIBUGADO, COREDO, EL TOTAL DE FAMILIAS AFECTDAS ES DE 49 FAMILIAS CON AFECTACION EN CULTIVOS DE PANCOGER. EL CMGRD ESTA REALIZANDO EDAN. -473</t>
  </si>
  <si>
    <t>REPORTA EL CDGRD QUE SE PRESENTO UN AGUACERO DEJANDO LAS VIAS COLAPSADAS POR REBOSAMIENTO , AFECTO A 15 VIVIENDAS  EN LE BARRIO BELLO HORIZONTE Y EL BARRIO EL BOSQUE. -473</t>
  </si>
  <si>
    <t>REPORTA LA DRA DIANA DEL CDGRD , QUE SE PRESENTO UN VENDVAL EN EL MUNICIPIO DE GENOVOA ,AFECTANDO HASTA EL MOMENTO 1 VIVIENDA, SE ESTA HACIENDO EDAN.-473</t>
  </si>
  <si>
    <t>DIA 29-07-13, SE REGISTRA INCENDIO FORESTAL EN LA VEREDA LA CRUZ JURISDICCIÓN DEL MUNICIPIO DE MEDELLIN. PENDIENTE DE RESULTADO DE AFECTACIONES. -474</t>
  </si>
  <si>
    <t>DIA 29-07-13, EN EL MUNICIPIO DE APIA VEREDA LA LINEA - LA PALOMA, SE PRESENTO INCENDIO DE CAPA VEGETAL, CONSUMIENDOSE UNA HECTAREA DE RASTROJO, EVENTUALIDAD FUE APOYADA POR JDC APIA. -474</t>
  </si>
  <si>
    <t>DIA 29-07-13,  INCENDIO FORESTAL, BARRIO:  CALATRAVA, PARTICIPARON 10 VOLUNTARIOS, 15 HECTAREAS AFECTADAS.-474</t>
  </si>
  <si>
    <t>REPORTA INTOXICACION EN INSTITUCION EDUCATIVA GABRIEL GARCIA MARQUEZ, POR INGESTA DE ALIMENTOS, SE REMITEN 20 ESTUDIANTES AL HOSPITAL, ATIENDEN ENTIDADES DE SOCORRO, REPORTA CDGRD. -475</t>
  </si>
  <si>
    <t>REPORTA VENDAVAL CON LA SIGUIENTE AFECTACION: 42 INVERNADEROS DESTRUIDOS, 50 VIVIENDAS AVERIADAS, 50 FAMILIAS, 1 POLIDEPORTIVO AVERIADO. REPORTA CDGRD. -475</t>
  </si>
  <si>
    <t>REPORTA VENDAVAL EN CORREGIMIENTO DE PUERTO VIEJO, CMGRD INICIA EDAN, PENDIENTE POR AFECTACION, REPORTA CDGRD. SITUACION EN DESARROLLO. -475</t>
  </si>
  <si>
    <t>REPORTA QUE EL PASADO 27 DE JULIO POR FUERTES LLUVIAS EL MUNICIPIO SE ENCUENTRA EN EMERGENCIA SEGÚN REPORTE PRELIMINAR HAY 1 INSTITUCION EDUCATIVA INUNDADA, SE PRESENTO DESTRUCCION DE BANCADA LO QUE OCASIONO VOLCAMIENTO DE UN BUS DEJANDO 2 PERSONAS FALLECIDAS Y 15 PERSONAS LESIONADAS, EL CMGRD EL DIA DE HOY REDACTA DECLARATORIA DE CALAMIDAD Y HACE SOLICITUD A UNGRD PARA MAQUINARIA AMARILLA, REPORTA ALIRIO ROZO CDGRD -475</t>
  </si>
  <si>
    <t>CDGRD REPORTA INCENDIO FORESTAL EN EL MUNICIPIO DE PAIPA SECTOR EL VENADO, SE CONFIRMA INCENDIO CONTROLADO Y EXTINGUIDO CON AFECTACION A 23 HECTAREAS DE FRAILEJON Y ROBLE, ATENDIO BOMBEROS Y COMUNIDAD TAO, EVENTO QUE INICIO EL DIA DE AYER, PERO QUE HASTA HOY FUE REPORTADO INFORMA INGENIERO ALIRIO ROZO. -476</t>
  </si>
  <si>
    <t>CDGRD REPORTA DESLIZAMIENTO EN EL MUNICIPIO DE SOGAMOSO VEREDA SAN MARTIN,SOBRE LAS 06:00 HORAS, EN LA MINA SANTA MARIA, DONDE EXPLOTABAN FOSFORITA, DEJA UNA PERSONA SIN SIGNOS VITALES SEÑOR RUBEN RODRIGUEZ DE 35 AÑOS, RECUPERADO CUERPO POR COMPAÑEROS, NO LESIONADOS. -476</t>
  </si>
  <si>
    <t xml:space="preserve">BOMBEROS, INFORMA A ESTÁ HORA ATIENDEN INCENDIO FORESTAL EN EL MPIO DE: LA VEGA- CUNDINAMARCA, APOYAN BOMBEROS DE LA VEGA, SAN FRANCISCO, VILLETA, SITUACIÓN EN DESARROLLO. -474
ACT AFECTACION DE 5 HECTAREAS EN BOSQUE NATIVO Y PASTOS MEJORADOS. -476
</t>
  </si>
  <si>
    <t>CDGRD REPORTA INCENDIO FORESTAL EN EL MUNICIPIO DE NEIVA SECTOR PLANTA KENNEDY DE TRATAMIENTO DE AGUA EMPRESAS PUBLICAS DE NEIVA, ATENDIDO Y SUPRIMIDO POR PERSONAL DE BOMBEROS NEIVA, CON AFECTACION DE 1.5 HECTAREAS DE PASTO Y RASTROJO. -476</t>
  </si>
  <si>
    <t>CDGRD REPORTA INCENDIO FORESTAL EN ESTE MUNICIPIO EN SECTOR DE SABALETAS VIA BUENAVENTURA, CONTROLADO Y EXTINGUIDO CON AFECTACION DE 2 HECTAREAS, ATENDIO BOMBEROS. -476</t>
  </si>
  <si>
    <t>CDGRD REPORTA EN ESTE MUNICIPIO FUE ATENDIDO INCENDIO FORESTAL EN ZONA RURAL, CONTROLADO Y ATENDIDO CON AFECTACION DE 2 HECTAREAS DE PASTO Y RASTROJO, ATENDIDO POR BOMBEROS. -476</t>
  </si>
  <si>
    <t>CDGRD REPORTA INCENDIO FORESTAL EN ESTE MUNICIPIO EN EL CORREGIMIENTO DE SALONICA, SALIDA HACIA PORTUGAL DE PIEDRAS, CON AFECTACION DE 2 HECTAREAS EN PASTO Y RASTROJO, ATENDIO PERSONAL DE BOMBEROS. -476</t>
  </si>
  <si>
    <t>CDGRD REPORTA SE REGISTRO INCENDIO FORESTAL EN EL MUNICIPIO DE YUMBO EN EL SECTOR LOS CHANCOS EN LA VIA YUMBO -LA CUMBRE, CONTROLADO Y ATENDIDO POR BOMBEROS YUMBO, CON UNA AFECTACION DE 1.5 HECTAREAS -476</t>
  </si>
  <si>
    <t>REPORTA INUNDACION POR DESBORDAMIENTO DE LOS RIOS CUSIANA, PAUTO, META Y CHARTE, OCASIONANDO LAS SIGUIENTES AFECTACIONES: DE 32 VEREDAS QUE TIENE EL MUNICIPIO 29 VEREDAS ESTAN INUNDADAS Y PARTE DEL ÁREA URBANA, DEJANDO 700 FAMILIAS DAMNIFICADAS, SEGÚN REPORTE PRELIMINAR, POR LA MAGNITUD DEL EVENTO EL CMGRD TODAVIA SE ENCUENTRA REALIZANDO EDAN Y PREPARANDO LA DECLARATORIA,  REPORTA CDGRD, SITUACIÓN EN DESARROLLO.-451
ACT - REPORTA ACTUALIZACION INUNDACION DEL MUNICIPIO EVENTO OCURRIDO EL PASADO 16 DE JULIO CON UN TOTAL DE 21 VEREDAS AFECTADAS, 430 VIVIENDAS AVERIADAS, 430 FAMILIAS, 2150 PERSONAS. REPORTA CDGRD. -477</t>
  </si>
  <si>
    <t>APOYO DEL FNGRD MEDIANTE SUBSIDIO DE ARRIENDO TEMPORAL PARA 396 FAMILIAS AFECTADAS POR LAS INUNDACIONE DE ABRIL DE 2011 POR TRES MESES A RAZON DE $200.000 MENSUALES.</t>
  </si>
  <si>
    <t>HORAS, SE PRESENTÓ INCENDIO ESTRUCTURAL EN LA CASA DE DON DAVID, UBICADO  EN LA CARRERA 39 # 44-125 TORRE 2 APTO 1602, APARTAMENTO DE PROPIEDAD DEL SEÑOR LUIS FERNANDO LOPEZ VERGARA, LA CONFLAGRACIÓN EN ESTRUCTURA DEL APARTAMENTO. FUE ATENDIDO POR EL CUERPO DE BOMBEROS DONDE NO SE PRESENTÓ AFECTACIÓN DE PERSONAS, PERO LOS DAÑOS DE LA ESTRUCTURAS SON DE $120.000.000 MILLONES, LA CAUSAS POR ESTABLECER -478</t>
  </si>
  <si>
    <t xml:space="preserve">CDGRD DE BOYACA, INFORMA, 18:00 HORAS, CONTINUA ACTIVO, INCENDIO FORESTAL, VEREDA: MARIPI VIEJO, SECTOR. BOQUERÓN, SE HAN CONSUMIDO: 10 HECTÁREAS DE: VEGETACIÓN NATIVA, AFECTADOS: 2 NACIMIENTOS DE AGUA, SITUACIÓN EN DESARROLLO. </t>
  </si>
  <si>
    <t>CMGRD DE ARMENIA, INFORMA, SE PRESENTÓ COLAPSO, EN EL BARRIO LAS VERANERAS,  COMO CONSECUENCIA DEL DETERIORO Y FALTA DE MANTENIMIENTO A LA VIVIENDA, 1 FAMILIA AFECTADA, LA CUAL FUE EVACUADA, Y  TENDRA AUXILIO DE ARRENDAMIENTO POR PARTE DE LA ALCALDIA. -479</t>
  </si>
  <si>
    <t>CDGRD DEL VALLE DEL CAUCA, INFORMA, SE PRESENTA, INCENDIO FORESTAL, EN EL MPIO DE: BUGALAGRANDE, BARRIO PRIMERO DE MAYO, SITUACIÓN EN DESARROLLO. -479</t>
  </si>
  <si>
    <t>CDGRD DEL VALLE DEL CAUCA, INFORMA, SE PRESENTA, INCENDIO FORESTAL,  EN LA 14 ALFAGUARA, FLORIDA, SECTOR RURAL, LA UNIÓN SECTOR RURAL, SITUACIONES EN DESARROLLO. -479</t>
  </si>
  <si>
    <t>CDGRD DEL CESAR, INFORMA, SECTOR: MEDIA LUNA, ZONA RURAL,  SE PRESENTÓ VENDAVAL, REALIZAN EDAN. -479</t>
  </si>
  <si>
    <t>CDGRD DE SANTANDER, INFORMA, SE PRESENTA INCENDIO FORESTAL, SITUACIÓN EN DESARROLLO. -479</t>
  </si>
  <si>
    <t>CDGRD DE SANTANDER, INFORMA, SE PRESENTA INCENDIO FORESTAL, 19:00 HORAS, INFORMA, BOMBEROS, FUE CONTROLADO CON UNA AFECTACIÓN DE: 20 HECTÁREAS DE VEGETACIÓN NATIVA.-479</t>
  </si>
  <si>
    <t>CDGRD DE CUNDINAMARCA, INFORMA, IVAN RIOBUENO COMANDANTE DE BOMBEROS OFICIALES DEL MUNICIPIO DE SOACHA, INFORMA A ESTA UNIDAD EL DÍA 31/07/13 SOBRE INCENDIO FORESTAL, OCURRIDO EL DÍA 30/07/13 EN LA HACIENDA EL ENCANTO, VEREDA MAIPORE DEL MPIO DE SOACHA, INICIADO HACIA LAS 14:00 HORAS EN DONDE HUBO UNA AFECTACIÓN DE 6,0 HECT DE PASTOS Y ARBUSTOS. FUE CONTROLADO Y EXTINGUIDO HACIA LAS 02:00 HORAS DEL DÍA 31/07/13. ATENDIÓ BOMBEROS OFICIALES DE SOACHA. -479</t>
  </si>
  <si>
    <t>CDGRD DE CUNDINAMARCA, INFORMA, MARIO RODRÍGUEZ DEL CMGRD DE LA CALERA, REPORTA INCENDIO FORESTAL EN LA  VEREDA EL RODEO, SECTOR LA POPA, INICIADO EL DÍA 30/07/13 HACIA LAS 17:00 HORAS, CONTROLADO Y EXTINGUIDO EL 31/07/13 A LAS 12:30 HORAS AFECTANDO  1,0 HECTÁREAS DE PINOS. ATENDIÓ DEFENSA CIVIL, BRIGADAS CAR Y CMGRD. -479</t>
  </si>
  <si>
    <t>CDGRD DE CUNDINAMARCA, INFORMA,  CAP. LILIANA LADINO COMANDANTE DE BOMBEROS DEL MUNICIPIO DE UBATE, INFORMA SOBRE INCENDIO FORESTAL OCURRIDO EN EL MPIO DE SUSA VEREDA CASCADAS, EL DÍA 30/07/13 QUE SE INICIO AL PARECER POR PIRÓMANOS HACIA LAS 16:00 HORAS, Y EXTINGUIDO HACIA LAS 19:00 HORAS EN DONDE HUBO UNA AFECTACIÓN DE 1,5 HECT DE BOSQUE NATIVO. ATENDIÓ BOMBEROS UBATE, BRIGADA CAR, Y CMGRD DEL MUNICIPIO -479</t>
  </si>
  <si>
    <t>REPORTA OFICINA ARAUCA QUE EL DÍA 30 DE JULIO SE RECIBIÓ REPORTE DE LA COMUNIDAD INFORMANDO QUE EL RIO ARAUCA, PRESENTÓ DESBORDAMIENTO, OCASIONANDO INUNDACIONES EN LAS VEREDAS: ESPERANZA GAVIOTAS-TRES PALMAS-MAPORITA-NUEVA JERUSALEM-GAVIOTAS PUEBLO NUEVO-BAYONEROLOS CAJAROS-EL PLACAR-GRAN BRETAÑA-MASAGUAROS-LOS LAURELES-BARRANQUILLITA-REINERAS-SANTA BARBARA-PERALONSO-CAMPO ALEGRE-SECTOR RURAL-EL FUTURO-CAAS BRAVAS \"CASERIO, 316 FAMILIAS AFECTADAS. -479</t>
  </si>
  <si>
    <t>REPORTA DIRECTOR SECCIONAL CÓRDOBA, QUE SIENDO LAS 05:00 A.M. DEL DIA 29-07-13, SE REGISTRARON LLUVIAS TORRENCIALES ACOMPAÑADAS DE FUERTES VIENTOS SOBRE EL MUNJICIPIO DE TIERRALTA, QUE HAN AFECTADO AL MOMENTO 1.430 PERSONAS DE 286 FAMILIAS POR INUNDACIONES Y DESTECHOS PARCIALES DE 6 VIVIENDAS, AFECTACIÓN EN CULTIVOS, CONTINUAN REALIZANDO EDAN. -479</t>
  </si>
  <si>
    <t>EL CDGRD DE BOLIVAR  HACE UN REPORTE INICAL DE UN VENDAVAL EN LA NOCHE ANTERIOR, AL MOMENTO SE ESTA RECIBINDO INFORMACION POR PARTE DE LOS CMGRD. -472
VENDAVAL, EN LOS CORREGIMIENTOS: BARBOSA Y SITIO NUEVO, MUNICIPIO DE MAGANGUE, 70 FAMILIAS AFECTADAS.-479</t>
  </si>
  <si>
    <t>CDGRD DEL TOLIMA, INFORMA, SE PRESENTA, INCENDIO FORESTAL, EN EL SECTOR: LA ISLA DEL SOL Y SE DIRIGE HACIA CAIMA, SE HAN CONSUMIDO APROXIMADAMENTE: 200 HECTÁREAS , SE ENVIO COMISIÓN A VERIFICAR, SITUACIÓN EN DESARROLLO, SOLICITAN APOYO AÉREO -479 
CDGRD DE TOLIMA INFORMA LA UNGRD, EL DIA DE MAÑANA A PRIMERA HORA, SE REALIZARA UN SOBRE VUELO DE INSPECCION EN LA ZONA DEL INCENDIO FORESTAL, EN CUAL IRA LA TENIENTE LAURA CUBILLOS Y EL SR. ALCALDE DE PRADO. DE ESTE SOBRE VUELO DEPERAN LAS ACCIONES PARA CONTRARRESTAR EL INCENDIO FORESTAL. COORDENADAS: N 03°.44'.56'' - S 74°.51'.33''. VEREDA CHIPA DE PALO - SECTOR ISLA DEL SOL, EN SEGUIMIENTO -480</t>
  </si>
  <si>
    <t>DEFENSA CIVIL INFORMA VIA E-MAIL, DESDE LAS 24:00 SE DESBORDO EL RIO NABOYACO INUNDANDO 13 VIVIENDAS DEL BARRIO LA ESMERALDA DEL MUNICIPIO DE VILLAGARZON- PERDIDA DE ENSERES- ANIMALES DE CORRAL- VIVERES,VÍA MOCOA A VILLAGARZON CERRADA SITIO PUENTE RIO MULATO ENTRADA BARRIO NARANJITO MOCOA.10 LIDERES VOLUNTARIOS DC VILLAGARZON ATENDIERON LA EMERGENCIA. -480</t>
  </si>
  <si>
    <t>DEFENSA CIVIL INFORMA VIA E-MAIL, FUERON RESCATADAS 2 PERSONAS DE UNA ISLA FORMADA POR EL RIO PEPINO- POR DESBORDAMIENTO QUEBRADA AFECTADAS 5 CASAS EN LA VEREDA LAS PLANADAS, IGUALMENTE DESBORDAMIENTO QUEBRADA LA MISION, AFECTANDO  6 VIVIENDAS EN EL BARRIO PABLO SEXTO Y 12 PERSONAS EVACUADAS EN EL SECTOR DEL PEPINO VIA A LA EME POR DESLIZAMIENTO. -480</t>
  </si>
  <si>
    <t>BARRIOS SAN LUCAS, EL MILLON, VILLA MEZA, LA QUINTA, VISTA HERMOSA, EL ROSARIO, MANANTIAL, LOS AZAHARES, LA ESPERANZO, 25 DE MAYO.</t>
  </si>
  <si>
    <t>CORREGIMIENTO PALAFITO DE NUEVA VENECIA, ISLA ROSAMARIA SECTOR EL TORIN
DERRIBADOS ARBOLES EN EL CAÑO AGUAS NEGRAS.</t>
  </si>
  <si>
    <t xml:space="preserve">VALOR DE OTROS CORRESPONDE A CONVENIO CON PNUD POR VALOR TOTAL DE $2,410,081,609 DE LOS CUALES $424,000,000 CORRESPONDEN A APORTES DEL FNGRD PARA LA CONSTRUCCION DE 3 SISTEMAS DESALINIZADORES </t>
  </si>
  <si>
    <t>13-0321
13-0495
13-0502
13-0500
13-0510
13-0638
13-0640
13-0644
13-0750
13-0782</t>
  </si>
  <si>
    <t>13-0783</t>
  </si>
  <si>
    <t>13-0787</t>
  </si>
  <si>
    <t>MIGUEL LIZARAZO,  DE PARQUES NATURALES, INFORMA,  EL REPORTE DEL JEFE DEL PARQUE SELVA DE FLORENCIA, DR ARMANDO HERRERA SE ESTÁ PRESENTANDO UN INCENDIO FORESTAL EL EL PARQUE NACIONAL SELVA DE FLORENCIA,  EN LA VEREDA  LA VEGA CORREGIMIENTO FLORENCIA DEL MUNICIPIO DE SAMANA CALDAS, DE ACUERDO CON LA INFORMACIÓN DADA A FUNCIONARIOS DEL PARQUE POR PARTE DE LOS CAMPESINOS DE LA ZONA EL INCENDIO LLEVA APROXIMADAMENTE  TRES DÍAS, EL INCENDIO  A LA FECHA NO SE  ESTÁ ATENDIDO   POR NINGUNA AUTORIDAD. -479
REPORTE DADO EL DÍA DE HOY POR LOS FUNCIONARIOS QUE SALIERON EL DÍA DE AYER  PARA EL SITIO DEL INCENDIO QUIENES INFORMARON QUE EN LAS HORAS DE LA NOCHE SE PRESENTARON LLUVIAS FUERTES LO QUE PERMITIÓ QUE EL INCENDIO SE EXTINGUIERA  COMPLETAMENTE  PRELIMINARMENTE REPORTAN UN ÁREA AFECTADA DE APROXIMADAMENTE.30 HECTÁREAS  ENTRE PASTOS Y RASTROJOS  QUEDAMOS PENDIENTE  QUE DEL PARQUE NOS ENVÍEN EL REPORTE EN EL FORMATO DE DE INCENDIOS DE COBERTURA VEGETAL  -481</t>
  </si>
  <si>
    <t>BV FLANDES REPORTA FORESTAL ENTRE EL AREOPUERTO Y EL B/ OBRERO Y SOLICITAN APOYO A BV GIRARDOT EN DESARROLLO. -481</t>
  </si>
  <si>
    <t>REPORTA EL COORD DEL CDGRD DE FREDY RAMIREZ , QUE INFORMARON DE ALTO BAUDO QUE LOS RIOS PATO Y BAUDO SE DESBORDARON, ESTAN HACIENDO LAS AVERIGUACIONES CON LA COMUNIDAD. -481</t>
  </si>
  <si>
    <t>REPORTA LA DRA EDITH PAZ QUE ELE MUNICIPIO DE GUAPI EN LA VEREDA DE  SANTA ROSA SE PRESENTO UN DESLIZAMIENTO  DE UNA MINA ARTESANAL  DE ORO  Y DEJA 3 PERSONAS LESIONADAS. -481</t>
  </si>
  <si>
    <t>REPORTAN UN IF EN LA VEREDA DE  SANTA ROSA, CONTROLDO A LA HORA. -481</t>
  </si>
  <si>
    <t>ESE PRESENTA UN IF EN LA HACIENDA  SANTA BARBARA CONSUMIENDO UNA HECTAREAS  DE PASTO Y RASTROJO. CONTROLADO A LA HORA. -481</t>
  </si>
  <si>
    <t>REPORTA EL INGR ALIRIO ROXO QUE LE IF DE VILLA DE LEYVA FUE CONTROLADO  Y SE CONSUMIO 12 HECTAREAS, ATENDIERON BOMBEROS , DCC Y CRC. -481</t>
  </si>
  <si>
    <t>REPORTA INCENDIO FORESTAL INICIADO A LAS 11:00 HORAS DEL 01/08/13, EN LA VEREDA LA CABAÑA SITIO ALTO DEL MORO, FINCA EL GUACAMAYO DE PROPIEDAD DE OSCAR SEGURA, CONTROLADO Y EXTINGUIDO HACIA LAS15:40 HORAS DEL MISMO DÍA , EN DONDE HUBO UNA AFECTACIÓN DE 1 HECTAREA DE VEGETACIÓN PLANTADA DE EUCALIPTOS Y PINOS.  ATIENDE BOMBEROS LA VEGA, Y COMUNIDAD. REPORTA CDGRD. -482</t>
  </si>
  <si>
    <t>REPORTA INUNDACION A CAUSA DE DESBORDAMIENTO DE CAÑO PLATANAL EL CUAL AFECTO 60 VIVIENDAS, 60 FAMILIAS, 300 PERSONAS, DE LOS BARRIOS PUMAREJO, LA FLORESTA Y MANUELA BELTRAN, SEGÚN REPORTE PRELIMINAR, EL CMGRD ESTA REALIZANDO EDAN, REPORTA CDGRD. SITUACION EN DESARROLLO. -482</t>
  </si>
  <si>
    <t>REPORTA INUNDACION AFECTANDO 15 VIVIENDAS, 15 FAMILIAS, 300 PERSONAS, DE LOS BARRIOS PUMAREJO, LA FLORESTA Y MANUELA BELTRAN, SEGÚN REPORTE PRELIMINAR, EL CMGRD ESTA REALIZANDO EDAN, REPORTA CDGRD. SITUACION EN DESARROLLO. -482</t>
  </si>
  <si>
    <t>REPORTA VENDAVAL EN ZONA RURAL AFECTANDO 4 VIVIENDAS, 4 FAMILIAS, REPORTA CDGRD. -482</t>
  </si>
  <si>
    <t>REPORTA VENDAVAL OCURRIDO EL 29 DE JULIO EL CUAL SOLO HASTA HOY LO INFORMAN, DONDE SE PRESENTO LA SIGUIENTE AFECTACION ENTRE AREA RURAL Y URBANA: 73 VIVIENDAS AVERIADAS, 73 FAMILIAS, 1 CENTRO DE SALUD, REPORTA CDGRD. -482</t>
  </si>
  <si>
    <t>REPORTA VENDAVAL OCASIONANDO AFECTACION EN REDES ELECTRICAS, INFORMACION PRELIMINAR: 3 VIVIENDAS DESTRUIDAS, 65 VIVIENDAS AVERIADAS, FAMILIAS 68, CMGRD REALIZA EDAN, REPORTA CDGRD, SITUACION EN DESARROLLO. -482</t>
  </si>
  <si>
    <t>REPORTA INTOXICACION DE 65 ALUMNOS DEL COLEGIO /ESCUELA OTONIEL GUZMAN DEL CORREGIMIENTO DE MALAVAR, EN EL DIA DE AYER EN EL RESTAURANTE ESCOLAR, CONSUMIERON DE ALMUERZO ARROZ CON POLLO, LOS ALUMNOS FUERON LLEGANDO AL HOSPITAL DESDE HORAS DE LA MADRUGADA CUANDO ALGUNOS PRESENTARON SINTOMAS DE INTOXICACION COMO VOMITO, DIARREA Y ALTAS TEMPERATURAS. 10 YA FUERON DADOS DE ALTA, LOS DEMAS CONTINUAN EN OBSERVACION, EDADES ENTRE 12 Y 18 AÑOS, REPORTA CDGRD. -482</t>
  </si>
  <si>
    <t>CDGRD DEL TOLIMA, INFORMA, SE PRESENTÓ INCENDIO FORESTAL, EN LA VEREDA: JAGUALITO, FINCA: LA GAVIOTA, AFECTADA: 1 HECTÁREA DE: PASTO. -483</t>
  </si>
  <si>
    <t>CDGRD DEL HUILA, INFOPRMA, INCENDIO FORESTAL, SECTOR PLANTA COCA COLA, AFECTACIÓN 1 HECTÁREA DE PASTO Y RASTROJO,  SECTOR BARRIO EL VENADO AFECTACIÓN DE 1 HECTÁREA DE PASTO Y RASTROJO. -483</t>
  </si>
  <si>
    <t>CDGRD DEL HUILA, INFORMA, INCENDIO FORESTAL,  BARRIO: LA CARAGUAJA, AFECTACIÓN DE 1 HECTÁREA DE PASTO. -483</t>
  </si>
  <si>
    <t>13-0778</t>
  </si>
  <si>
    <t>13-0703
13-0777</t>
  </si>
  <si>
    <t>160 MANGUERA DE 1/2" 19 MANGUERA DE 1" 15 MANGUERA DE 2" Y 150 MALLAS PARA GAVION. $96,475,609,52 PARA MATERIALES PARA VIVIENDAS, ACUEDUCTOS</t>
  </si>
  <si>
    <t>13-0784</t>
  </si>
  <si>
    <t>13-0781
13-0784
13-0786</t>
  </si>
  <si>
    <r>
      <t>CDGRD REPORTA INUNDACION EN ESTE MUNICIPIO, AFECTACIÓN DE CULTIVOS, FAMILIAS DAMNIFICADAS, EVACUACIÓN DE PERSONAS, BARRIO VILLAFLOR Y OTRAS  AÉREAS, SEGUIMIENTO EN HORAS DE LA MAÑANA.</t>
    </r>
    <r>
      <rPr>
        <sz val="10"/>
        <rFont val="Arial"/>
        <family val="2"/>
      </rPr>
      <t xml:space="preserve"> -463-464ACT
REPORTA DESBORDAMIENTO RIO PUTUMAYO, OCASIONANDO SALDO TOTAL AFECTACION: 2.000, FAMILIAS DAMINIFICADAS, VIVIENDAS AVERIADAS: 70, VIVIENDAS DESTRUIDAS: 50, PERSONAS: 10.000, HECTAREAS DE CULTIVOS: 3.300, KMS DE VIAS AFECTADAS: 100, VEREDAS AFECTADAS 30, SE HACE DECLARATORIA DE CALAMIDAD PUBLICA. REPORTA CDGRD -466
APOYO DEL FNGRD PARA HORAS MAQUINA PARA DRAGADO Y DESCOLMATACION DE LOS RIOS $120,000,000, COMBUSTIBLE $22,750,000, GASTOS OPERTATIVOS $20,000,000</t>
    </r>
  </si>
  <si>
    <t>EN LA INSTITUCIÓN EDUCATIVA AGROPECUARIA INDÍGENA "QUINTIN LAME" RESGUARDO DE TACUEYO SUFRIO AFECTACIONES EL TECHO DE DOS AULAS DE CLASES Y EN LOS VENTANALES DE LAS AULAS.EN LA VEREDA ASOMADERO LA CASA DEL SEÑOR MARIO QUIGUANAS QUEDO SIN TECHO Y LA ESTRUCTURA QUE LO SOPORTABA SUFRIO DAÑOS CONSIDERABLES.LA VIVIENDA DEL SEÑOR DARICO VITONAS ACHICUE DE LA VEREDA VICHIQUÍ RESGUARDO DE TORIBIO SUFRIO DAÑOS EN EL TECHO CAUSADO POR LOS FUERTES VIENTOS -484</t>
  </si>
  <si>
    <t>SE PRESENTÓ CONATO DE INCENDIO FORESTAL EN EL  BARRIO BELLAVISTA  APARTAMENTOS DONDE HUBO UN ÁREA DE CONFLAGRACIÓN APROXIMADA DE (100 METROS) QUEMÁNDOSE MALEZA, PASTOS Y ARBUSTOS.  SIENDO ATENDIDO Y CONTROLADO POR EL CUERPO DE BOMBEROS DEL CUAL NO SE REPORTÓ AFECTACIÓN DE PERSONAS NI DE INFRAESTRUCTURA -484</t>
  </si>
  <si>
    <t>SE PRESENTÓ UNA INUNDACIÓN MENOR  EN EL BARRIO MINUTO DE DIOS, FRENTE AL HOSPITAL DE NORTE, DONDE HUBO REPRESARÍA DE AGUAS LLEGANDO A SUBIR 50 CENTÍMETROS DE LOS APARTAMENTOS DE LA TORRE 10, SIENDO ATENDIDOS Y CONTROLADO POR EL CUERPO DE BOMBEROS DEL CUAL NO SE REPORTÓ AFECTACIÓN DE PERSONAS, LOS APARTAMENTOS DE LA TORRE 10 DEL BARRIO MINUTO DE DIOS. -484</t>
  </si>
  <si>
    <t>LAS AUTORIDADES DEL DEPARTAMENTO INFORMARON QUE LOS MUNICIPIOS QUE EMPLEAN EL AGUA DEL RÍO LAGUNILLA PARA CUALQUIER ACTIVIDAD, DEBEN ABSTENERSE DE USAR EL PRECIADO LÍQUIDO, PORQUE ESTUDIOS RECIENTES EVIDENCIAN CONTAMINACIÓN POR CORTOLIMA Y LA SECRETARÍA DEL AMBIENTE DEL DEPARTAMENTO, ENTIDADES QUE ENVIARON UNA COMISIÓN DE VERIFICACIÓN QUE RECORRIÓ EL CAUCE DEL LAGUNILLA Y LUEGO DE HACER LOS RESPECTIVOS ANÁLISIS, PUDO COMPROBAR QUE EL AGUA DEL RÍO NO ES APTA PARA CONSUMO HUMANO.SEGÚN EL SECRETARIO DE AMBIENTE, EDUARDO RODRÍGUEZ, LA CONTAMINACIÓN ES ALTA Y LOS HABITANTES DE LOS MUNICIPIOS DE LÉRIDA, ARMERO GUAYABAL Y LÍBANO, ENTRE OTROS, DEBERÁN EVITAR CONSUMIR ESTE LÍQUIDO -484</t>
  </si>
  <si>
    <t>INCENDIO FORESTAL VEREDA SAN JUAN. EN PROCESO.SALEN BOMBEROS ATENDER EVENTO EN DOS MAQUINAS.-485</t>
  </si>
  <si>
    <t>CONTROLADO INCENDIO FORESTAL, CONSUMIDAS 120H. DE BOSQUE NATIVO, PALMAS, ARBOLES NATIVOS, POSIBLES CAUSAS BOTELLAS DE VIDRIO EN EL MONTE Y ALTAS TEMPERATURAS, INFORMACION ENTREGADA POR COORDINADOR CMGRD. -485</t>
  </si>
  <si>
    <t>REPORTAN DEL CDGRD QUE SE PRESETNO UN IF LA NOCHE ANTERIOR AFECTANDO 10 HECTAREAS, 6 DE LA CUALES CULTIVO DE CAFÉ Y 4  DE BOSQUE , A ESTA HORA YA FUE CONTROLADO. -485</t>
  </si>
  <si>
    <t>CDGRD DE ANTIOQUIA, INFORMA, MPIO DE MARMATO - CALDAS, MANIFESTANTES DEL PARO MINERO PROVOCARON UN DERRUMBE, PARA CERRAR LA VÌA,  EN EL MOMENTO QUE PASABA UN VEHÌCULO, ESTE SE FUE AL RÍO CAUCA, CON 2 OCUPANTES, 1 RESCATADO, 1 DESAPARECIDO. SE MONTO EL PLAN DE BUSQUEDA AGUAS ABAJO, DESDE EL MPIO DE LA PINTADA, HASTA SANTA FE DE ANTIOQUIA, APOYAN: BOMBEROS Y DEFENSA CIVIL, SITUACIÒN EN DESARROLLO. -487</t>
  </si>
  <si>
    <t>CDGRD DE NARIÑO, REPORTA, EN EL MUNICIPIO DE PUERRES, SECTOR DE MONOPAMBA, KILOMETRO 6, SE PRESENTA DERRUMBE EN LA VÌA QUE COMUNICA, A PUERRES CON  EL CORREGIMIENTO DE MONOPAMBA, DEJANDOLOS INCOMUNICADOS, SE PRESENTA, FUERTES LLUVIAS EN LA ZONA, SITUACIÒN EN DESARROLLO. -487</t>
  </si>
  <si>
    <t>CDGRD DE SAN ANDRES, INFORMA, SE PRESENTÓ VENDAVAL, ACOMPAÑADO DE FUERTES BRISAS, DEJANDO 8 VIVIENDAS DESENTECHADAS, COLAPSO DE UNA PARED DE BASQUEKETBOL. -487</t>
  </si>
  <si>
    <t>CDGRD DE SAN ANDRES, INFORMA, INCENDIO FORESTAL EN EL RELLENO SANITARIO, SITUACIÓN EN DESARROLLO. -487</t>
  </si>
  <si>
    <t>CRUE, INFORMA SE PRESENTÓ, INCENDIO ESTRUCTURAL EN EL CENTRO DE LA CIUDAD, AFECTANDO 2 BODEGAS, DAÑOS MATERIALES POR ESTABLECER, SIN LESIONADOS. -487</t>
  </si>
  <si>
    <t>CDGRD DEL QUINDIO, INFORMA SE PRESENTÓ DESTECHAMIENTO PARCIAL DE UNA VIVIENDA EN EL BARRIO: LAS CAMELIAS, CMGRD APOYA ALA FAMILIA AFECTADA. -487</t>
  </si>
  <si>
    <t>CDGRD REPORTA SITUACION EN ESTE MUNICIPIO, EMERGENCIAS EN ZONA RURAL, HAY EVACUACIONES DE PERSONAS, AFECTACIONES CULTIVOS NUEVAMENTE. EL RIO YA BAJO EL NIVEL SE INUNDO JAUNO, PUERTO ROSARIO Y OTRAS VEREDAS, CONTINUAN PERSONAS EN ALBERGUESC POR CRECIENTE DE RÍOS MANDUR, SECRETARIO DE PLANEACIÓN INFORMA QUE EL RIO CAQUETÁ COMIENZA A BAJAR LOS NIVELES DE AGUA AUN CONTINÚAN FAMILIAS EN ALBERGUES APROXIMADAMENTE 10 FAMILIAS, 50 PERSONAS.-463-464 ACT
REPORTA NUEVAMENTE DESBORDAMIENTO RIO CAQUETÁ Y MANDUR, OCASIONANDO SALDO TOTAL AFECTACION: 580 FAMILIAS DAMINIFICADAS, VIVIENDAS AVERIADAS: 320, VIVIENDAS DESTRUIDAS: 15, PERSONAS: 1700, 1 PERSONA FALLECIDA, PUENTES PEATONALES: 15, 1 ACUEDUCTO, CENTROS EDUCATIVOS: 3, CENTROS DE SALUD: 2, FAMILIAS EN AUTO ALBERGUE: 16, FAMILIAS EN ALBERGUE 14, HECTAREAS DE CULTIVOS: 1800, KMS DE VIAS AFECTADAS: 30, SE HACE DECLARATORIA DE CALAMIDAD PUBLICA. REPORTA CDGRD -466
APOYO DEL FNGRD MEDIANTE TRANSFERENCIA ECONOMICA LA MUNICIPIO PARA ACPM PARA REHABILITACION DE VIAS $74.583.250, GASOLINA PARA LOGISTICA Y DESPLAZAMIENTO DE LOS CUERPOS DE SOCORRO $29.497,500, PAGO DE RETROEXCAVADORA LA DRAGADO Y DESCOLMATACION DEL RIO CAQUETA $96,000,000</t>
  </si>
  <si>
    <r>
      <t>REPORTA BOMBEROS DERRAME DE DERIVADO DE PETROLEO 1267, APROXIMADAMENTE 500 GALONES, CAYENDO A LA QUEBRADA MARIA ESTA SE ENCUENTRA O DESEMBOCA AL RIO BERMELLON Y DE AHÍ AL RIO COELLO, SITIO KM 42 MAS 150 METROS VIA CAJAMARCA LA LINEA, SE DIO INFORMACION AL SEÑOR ROY DEL CMGRD CAJAMARCA, AL SEÑOR PRADA DEL CMGRD COELLO, CDGRD EDUARDO RODRIGUEZ ORJUELA, A CORTOLIMA Y USO COELLO, CON CISPROQUIM AL SEÑOR JUAN MANUEL SALGADO, AFECTACION MEDIO AMBIENTAL</t>
    </r>
    <r>
      <rPr>
        <sz val="10"/>
        <rFont val="Arial"/>
        <family val="2"/>
      </rPr>
      <t xml:space="preserve"> </t>
    </r>
    <r>
      <rPr>
        <sz val="9"/>
        <rFont val="Arial"/>
        <family val="2"/>
      </rPr>
      <t>MORTANDAD ALTA DE PECES COORDINADOR DEL CMGRD DE COELLO  MANIFIESTA QUE EN HORAS DE LA MAÑANA SE REALIZARA UNA REUNION CON PONAL, COMUNIDAD Y REPRESENTANTES DE LA CONCESIÓN SAN RAFAEL, PARA DARLE SOLUCIÓN AL TEMA. -488</t>
    </r>
  </si>
  <si>
    <t>CDGRD DEL VALLE DEL CAUCA, MPIO DE CALI. ALISTANDO HELICÓPTERO ARPIA CON BAMBY BUCKET CON 600 GALONES DE AGUA CON RETARDANTE  EN EMAVI PARA EXTINGUIR INCENDIO FORESTAL DE KM 9 DE VÍA AL MAR PARA LLEGAR A FOCOS DE CALOR DE DIFÍCIL ACCESO, CON APOYO DE BOMBEROS Y FAC, SITUACIÒN EN DESARROLLO. -487
BOMBEROS, INFORMA, EXTINGUIDO, INCENDIO FORESTAL,  KM 9, DE VÍA AL MAR, COOREGIMIENTO: EL SALADITO, VEREDA: PATIO BONITO,  SE CONSUMIERON: 12 HECTÁREAS DE RASTROJO,  APOYARON: BOMBEROS Y FAC. -489</t>
  </si>
  <si>
    <t>CDGRD DEL VALLE DEL CAUCA, INFORMA, INCENDIO FORESTAL, EXTINGUIDO, VEREDA: SAN JOSE, SE CONSUMIERON: 8 HECTÁREAS DE: VEGETACIÓN NATIVA, SE AFECTARON VARIAS FINCAS, CMGRD REALIZA EDAN. -489</t>
  </si>
  <si>
    <t>CDGRD DEL VELLE DEL CAUCA, INFORMA, INCENDIO FORESTAL EXTINGUIDO, AFECTADAS. 16 HECTÁREAS DE SORGO, ATENDIO BOMBEROS DE: CAICEDONIA, LA TEBAIDA- QUINDIO. -489</t>
  </si>
  <si>
    <t>DEFENSA CIVIL COLOMBIANA, INFORMA, ATENDIO, DESLIZAMIENTO DE TIERRA, SOBRE 2 VIVIENDAS,  EN ZONA URBANA DEL MUNICIPIO DE EL SANTUARIO, BARRIO: LAS POLLAS, 2 FAMILIAS AFECTADAS,  SIN LESIONADOS -489</t>
  </si>
  <si>
    <t>DEFENSA CIVIL COLOMBIANA, ATENDIO, INCENDIO FORESTAL, COOREGIMIENTO: LA PINTADA, VÍA A SUPIA,  5 HECTÁREAS QUEMADAS, PARTICIPARON 10 LIDERES VOLUNTARIOS. -489</t>
  </si>
  <si>
    <t>BOMBEROS, INFORMA, ACCIDENTE DE TRANSITO, UN CAMIÓN CONTRA UN AUTOMOVIL, 2 PERSONAS FALLECIDAS, SITIO: FRENTE A LA VACA QUE RIE, APOYARON: BOPMBEROS DE SOACHA. -489</t>
  </si>
  <si>
    <t>REPORTA DESLIZAMIENTO EN LA VEREDA MATA DE LATA, AFECTANDO 6 FAMILIAS, PENDIENTE POR VERIFICACION ESTADO DE LAS VIVIENDAS, EL CMGRD EL DIA DE MAÑANA REALIZARA EDAN, REPORTA CDGRD, SITUACION EN DESARROLLO. -486
CDGRD DE NORTE DE SANTANDER, INFORMA, SE REACTIVO NUEVAMENTE, EL DESLIZAMIENTO EN LA VEREDA: MATADELATA, SE EVACUARON. 6 FAMILIAS. -489</t>
  </si>
  <si>
    <t>CDGRD DE LA GUAJIRA Y D.C.C. INFORMAN, NCENDIO FORESTAL, EXTINGUIDO, EN EL KILOMETRO 32 SOBRE, LA TRONCAL DEL CARIBE DE MINGUEO, HACIA RIOHACHA,  EN UNA FINCA LLAMADA EL PALMAR, SE CONSUMIERON: 100 HECTÁREAS DE: PLANTACIÓN DE ÁRBOL MADERABLE, LLAMADO: TECA, CULTIVOS DE PANCOGER Y BOSQUES. -489</t>
  </si>
  <si>
    <t>GUAINIA REPORTA LLUVIAS EN EL CORREGIMIENTO DE: BARRANCOMINAS, DESDE LAS 9:00 PM DE LA NOCHE ANTERIOR HASTA LAS 7:00 AM DE HOY, PROVOCANDO, LA CAIDA DEL MURO DE CONTENCION DEL INTERNADO, A SU VEZ PRODUJO, DESLIZAMIENTOS DE TIERRA, QUEDANDO UNA VIVIENDA AL BORDE DEL COLAPSO, ESTA VIVIENDA ESTA DESALOJADA, A 30 MTS DE LA ORILLA DEL RIO SE ENCUENTRAN UBICADAS 5 VIVIENDAS MAS HABITADAS Y SE ESTA EVALUANDO EL RIESGO POR PARTE DE FUNCIONARIOS DE LA CDA Y EL CORREGIDOR DE BARRANCOMINAS, HASTA EL MOMENTO NO SE PRESENTAN VICTIMAS NI HERIDOS. -489</t>
  </si>
  <si>
    <t>DEFENSA CIVIL, INFORMA INCENDIO FORESTAL, EXTINGUIDO, VEREDA: EL CHUSCAL, CORREGIMIENTO: TRES  ESQUINAS, SE CONSUMIO 1 HECTÁREA DE VEGETACIÓN NATIVA. -489</t>
  </si>
  <si>
    <t>CDGRD MANUEL MENGUAL INFORMA VIA CELULAR DE UN NUEVO INCENDIO FORESTAL ACTIVO EN ESTE MUNICIPIO, SECTOR CASA DE ALUMINIO, DEFENSA CIVIL Y BOMBEROS REALIZAN LABORES, EN SEGUIMIENTO. -490</t>
  </si>
  <si>
    <t>CITEL CDGRD TOLIMA Y CDGRD REPORTA MUNICIPIO DE PURIFICACIÓN, EN LA REPRESA DE HIDROPRADO,  VEREDA: BOCAS DEL SALERO, DESPUES DE 4 HORAS DE LABORES DE LAS UNIDADES OPERATIVAS FUE CONTROLADO INCENDIO FORESTAL, APOYARON CMGRD PRADO Y LOS BOMBEROS DE  PURIFICACIÓN, AFECTACION EN APROXIMADAMENTE 15 HECTAREAS DE VEGETACION. -490</t>
  </si>
  <si>
    <t>1600 LADRILLOS</t>
  </si>
  <si>
    <t>TEJA AC NO. 6, UN TANQUE DE ALMACENAMIENTO DE AGUA DE 1000 LITROS</t>
  </si>
  <si>
    <t>110 VARILLAS DE 1/2, 320 VARILLAS DE 3/8, 18 CORREAS METALICAS DE 6M, 2 TANQUES DE ALMACENAMIENTO DE AGUADE 500 LTS, 2650 LADRILLOS NO. 4</t>
  </si>
  <si>
    <t>247 VARILLAS DE 1/2"</t>
  </si>
  <si>
    <r>
      <t xml:space="preserve">HORAS SE PRESENTÓ INCENDIO </t>
    </r>
    <r>
      <rPr>
        <b/>
        <sz val="9"/>
        <rFont val="Arial"/>
        <family val="2"/>
      </rPr>
      <t>FORESTAL</t>
    </r>
    <r>
      <rPr>
        <sz val="9"/>
        <rFont val="Arial"/>
        <family val="2"/>
      </rPr>
      <t xml:space="preserve"> EN EL MUNICIPIO DE </t>
    </r>
    <r>
      <rPr>
        <b/>
        <sz val="9"/>
        <rFont val="Arial"/>
        <family val="2"/>
      </rPr>
      <t>ONZAGA</t>
    </r>
    <r>
      <rPr>
        <sz val="9"/>
        <rFont val="Arial"/>
        <family val="2"/>
      </rPr>
      <t xml:space="preserve"> (SDER) LOCALIZADO EN LA VEREDA “CHAGUAZAL” CONFLAGRACIÓN EN ÁREA RURAL QUE CONSUMIÓ (3 HTÁ) DE MALEZA, ARBUSTOS Y PASTOS, FUE ATENDIDO Y CONTROLADO POR EL CUERPO DE BOMBEROS SIN PRESENTARSE NI REGISTRAR PÉRDIDAS HUMANAS O ESTRUCTURALES -491</t>
    </r>
  </si>
  <si>
    <t>HORAS SE PRESENTÓ CONATO DE INCENDIO EN INSTALACIONES DE TRAPICHE CONFLAGRÁNDOSE APROXIMADAMENTE (200 MTS2) DE RESIDUOS DE CAÑA “BAGAZO”. LOCALIZADO EN LA VEREDA PALO LARGO, FINCA EL RESGUARDO JURISDICCIÓN DEL MUNICIPIO DE OIBA, FUE CONTROLADO Y EXTINGUIDO EL FUEGO POR EL CUERPO DE BOMBEROS, DEFENSA CIVIL Y POLICÍA. SIN PRESENTAR PÉRDIDAS HUMANAS, Y ESTRUCTURALES -491</t>
  </si>
  <si>
    <t>.2</t>
  </si>
  <si>
    <t>CDGRD REPORTA INCENDIO FORESTAL ACTIVO EN EL MUNICIPIO DE IBAGUE CORREGIMIENTO 15 CARMEN DE BULIRA ATIENDE PERSONAL DE BOMBEROS, EN SEGUIMIENTO. -492</t>
  </si>
  <si>
    <t>CDGRD REPORTA INCENDIO FORESTAL EN EL MUNICIPIO DE SAN PEDRO, ZONA RURAL, CONTROLADO CON UNA AFECTACION APROXIMADA DE 6 HECTAREAS DE VEGETACION NATIVA, ATENDIERON ORGANISMOS DE SOCORRO.-492</t>
  </si>
  <si>
    <t>CDGRD REPORTA VENDAVAL EN EL MUNICIPIO DE MONTENEGRO BARRIO LA ALASKA, REGISTRADO HACIA LAS 14:00 HORAS CON AFECTACION PARCIAL DE CUBIERTAS, CMGRD REALIZA EDAN, APOYA UDEGERD CON ENTREGA DE ASISTENCIA HUMANITARIA PARA 66 FAMILIAS, 216 PERSONAS, IGUALMETE HACEN ENTREGA DE 90 TEJAS DE ZINC,1 TEJA DE ETERNIT,6 TARROS DE LECHE, 7 MERCADOS MAS, 39 PARES DE CHANCLAS. -492</t>
  </si>
  <si>
    <t>CMGRD DE VALLEDUPAR REPORTA INCENDIO FORESTALO EN EL BOTADERO DE BASURA PERONAL DE BOMBEROS ATIENDE DESDE LAS HORAS DE LA MAÑANA, INDICAN QUE SE PUEDE CONTROLAR, REALIZAN LABORES RESPECTIVAS PARA EXTINGUIRLO. -492</t>
  </si>
  <si>
    <t>SE REGISTRO ACCIDENTE DE TRANSITO EN EL KILOMETRO 96 VIA HACIA EL MUNICIPIO DE FUSAGASUGA, CARRO CISTERNA INVADE CARRIL CONTRARIO COLISIONANDO CON UN TRACTOR Y UNA MOTOCICLETA, DEJA 3 PERSONAS SIN SIGNOS VITALES -493</t>
  </si>
  <si>
    <t>CDGRD REPORTA EN EL MUNICIPIO DE LIBANO ATENDIERON ATAQUE DE ABEJAS: SITIO TIRPE FINCA MIRAFLORES DONDE FALLECE EL SEÑOR JOSE GUILLERMO PEÑA DE 62 AÑOS, HECHOS OCURRIDOS A LAS 11:00AM, IGUALMENTE AFECTADO EL SEÑOR MARCO FIDEL PEÑA DE 42 AÑOS, EL CUAL FUE TRASLADADO AL HOSPITAL, ATENDIO BOMBEROS -493</t>
  </si>
  <si>
    <r>
      <t>HORAS SE PRESENTÓ INCENDIO FORESTAL EN EL MUNICIPIO DE GALÁN  LOCALIZADO EN LA VEREDA “EL PEDREGAL”. POR ESTABLECER ÁREA DE QUEMA POR LA CONFLAGRACIÓN CONTROLADO POR EL CUERPO DE BOMBEROS Y POLICÍA NACIONAL SIN PRESENTARSE NI REGISTRAR PÉRDIDAS HUMANAS O ESTRUCTURALES</t>
    </r>
    <r>
      <rPr>
        <sz val="10"/>
        <rFont val="Arial"/>
        <family val="2"/>
      </rPr>
      <t>.</t>
    </r>
  </si>
  <si>
    <t>HORAS SE PRESENTÓ CONATO DE INCENDIO  EN LA PARTE POSTERIOR DE PLANTA DE BAVARIA DEL SECTOR NORTE DE BUCARAMANGA CONFLAGRÁNDOSE APROXIMADAMENTE (200 MTS2) DE BOSQUES Y MALEZA, FUE CONTROLADO Y EXTINGUIDO EL FUEGO POR EL CUERPO DE BOMBEROS,  SIN PRESENTAR PÉRDIDAS HUMANAS, Y ESTRUCTURALES -494</t>
  </si>
  <si>
    <t>EL CUERPO DE BOMBEROS DE PIEDECUESTA INFORMA QUE EL DÍA 04-08-2013 APROXIMADAMENTE A LAS 22:00 HORAS, SE PRESENTÓ EN EL MUNICIPIO DE PIEDECUESTA UNA GRANIZADAS Y VENDAVAL  RESULTANDO AFECTADAS  SIETE (7) FAMILIAS EN EL SECTOR DE GUATIGUARÁ ALTO, SE REPORTARON ASÍ: TRES CASAS FACHADA Y PAREDES DESTRUIDAS, UN CAMBUCHE TOTALMENTE DESTRUIDOS Y TRES CASAS DESTECHADAS, LA ALCALDÍA DE PIEDECUESTA  SE DESPLAZA A SECTOR DE GUATIGUARÁ A TOMAR CONTACTO CON LOS AFECTADOS -494</t>
  </si>
  <si>
    <t>A LA FECHA NO SE HA LOGRADO ESTABLECER POR PARTES DE LA AUTORIDADES COMPETENTES, LA  MUERTE Y RECUPERACIÓN DE CUERPO, EN REFERENCIA A INFORMACIÓN EN REFERENCIA A INFORMACIÓN DE FECHA 05-08-13  POR PARTE DE LA CENTRAL DE RADIO (CAD) DEL DEPARTAMENTO DE POLICÍA SANTANDER, LA PRESUNTA MUERTE DE UN JOVEN DE 19 AÑOS NOMBRADO RUBEN DARIO BUITRAGO. AL PARECER POR CAUSAS DE INMERSIÓN EN EL RIO SOGAMOSO A LA ALTURA DEL PUENTE “GÓMEZ ORTIZ” VÍA QUE CONDUCE DEL MUNICIPIO DE GIRÓN AL MUNICIPIO DE ZAPATOCA. TENIENDO CONOCIMIENTO DE LA SITUACIÓN EL CUERPO DE BOMBEROS, DEFENSA CIVIL Y POLICÍA DE LA LOCALIDAD DE ZAPATOCA -494</t>
  </si>
  <si>
    <t>UNIDADES DEL CUERPO DE BOMBEROS EN CÚCUTA ATENDIERON UN INCENDIO QUE SE REGISTRÓ EN EL CUARTO PISO DEL PALACIO DE JUSTICIA DE LA CIUDAD.EL INFORME PRELIMINAR DE LAS AUTORIDADES INDICA QUE LA CONFLAGRACIÓN SE PRODUJO EN LA OFICINA DE PENAS Y MEDIDAS, PROVOCANDO LA INCINERACIÓN DE VARIOS PROCESOS QUE LLEVABAN FISCALES Y JUECES ESPECIALIZADOS.LA EMERGENCIA PROVOCÓ LA EVACUACIÓN DE TODOS LOS FUNCIONARIOS DE LA RAMA JUDICIAL QUE SE ENCONTRABAN TRABAJANDO EN LOS DIFERENTES DESPACHOS, SITUACIÓN QUE MOTIVÓ LA SUSPENSIÓN DEL SERVICIO DE ATENCIÓN AL PÚBLICO. -494</t>
  </si>
  <si>
    <t>CDGRD DE BOYACA, INFORMA, INCENDIO FORESTAL EN CHIQUINQUIRA, VEREDA: ARRAYANES, INICIO A LAS 6:00 HORAS,  1.5 :HECTÁREAS CONSUMIDAS DE: VEGETACIÓN NATIVA, ATENDIO  DEFENSA CIVIL DE CHIQUINQUIRÁ, EXTINGUIDO. -495</t>
  </si>
  <si>
    <t xml:space="preserve">CDGRD DE BOYACA, INCENDIO FORESTAL EN RAQUIRA-TINJACA  VEREDA FUNZA ABAJO, INICIO A LAS 9:00 HORAS,  2 HECTÁREAS CONSUMIDAS, VEGETACIÓN NATIVA, ATENDIO  DEFENSA CIVIL DE CHIQUINQUIRÁ, EXTINGUIDO. -495
</t>
  </si>
  <si>
    <t>CDGRD DE BOYACÁ, INCENDIO FORESTAL, EN SAN MIGUEL DE SEMA, VEREDAS: CENTRO Y HATOVIEJO , INICIO A LAS 13:00 HORAS, CONSUMIDAS:  3 HECTÁREAS DE  VEGETACIÓN NATIVA, ATENDIO  DEFENSA CIVIL DE CHIQUINQUIRÁ, EXTINGUIDO. -495</t>
  </si>
  <si>
    <t>CDGRD DEL HUILA, INFORMA, INCENDIO FORESTAL, EXTINGUIDO, MUNICIPIO DE PALERMO, SECTOR: HACIENDA SANTA BARBARA, AFECTACIÓN: 3 HECTÁREAS PASTO Y RASTROJO, EXTINGUIDO.  -495</t>
  </si>
  <si>
    <t>CDGRD DEL HUILA, INFORMA, INCENDIO FORESTAL, EXTINGUIDO, MUNICIPIO DE PALERMO, VEREDA: LAS CEIBAS AFECTACIÓN: 20 HECTÁREAS DE PASTO Y RASTROJO.   -495</t>
  </si>
  <si>
    <t>CDGRD DEL HUILA, INFORMA, INCENDIO FORESTAL, EXTINGUIDO,    MUNICIPIO AIPE VIA NEIVA A AIPE KM 11 MAS 400 MTS AFECTACIÓN: 1 HECTÁREA DE PASTO Y RASTROJO. -495</t>
  </si>
  <si>
    <t>CDGRD DE CUNDINAMARCA, INFORMA, CAPITÁN AURORA GUTIÉRREZ, COMANDANTE DE BOMBEROS, MPIO DE SIBATE, INFORMA SOBRE INCENDIO FORESTAL, ACTIVO, EN EL SECTOR DEL CHARQUITO, CORREGIMIENTO NO 2, INICIADO HACIA AL 15:00 HORAS DEL DÍA 6-08-13 EL CUAL SE ENCUENTRA SIENDO ATENDIDO Y NO SE TIENE CUANTIFICACIÓN DE AFECTACIONES. ATIENDE BOMBEROS SIBATE, SOACHA, BRIGADA ENGESA, Y COMUNIDAD. -495</t>
  </si>
  <si>
    <t>CDGRD DE CUNDINAMARCA, INFORMA, EL COMANDANTE DE BOMBEROS TOCAIMA, TENIENTE GABRIEL SALDARRIAGA, REPORTA A ESTA UNIDAD, INCENDIO FORESTAL, EXTINGUIDO, EN EL SECTOR URBANO,  CONJUNTO EL PARAÍSO DE ESTE MUNICIPIO. OCURRIDO EL DÍA DE HOY 06/08/2013 ENTRE LAS 12:40 Y LAS 14:30 HORAS, EL CUAL DEJÓ AFECTACIÓN DE DOS (2) HECTÁREAS DE RASTROJO BAJO. ATENDIERON EL EVENTO, BOMBEROS TOCAIMA Y POLICÍA NACIONAL. -495</t>
  </si>
  <si>
    <t>CDGRD DE CUNDINAMARCA, INFORMA, EL  COMANDANTE DE BOMBEROS UTICA, REPORTE A ESTA UNIDAD SOBRE UN INCENDIO FORESTAL EN LA VEREDA FURATENA SECTOR CHUNTARAL, OCURRIDO EL DÍA DOMINGO 04-08-13 ENTRE LAS 10:00 Y 18:00 HORAS EL CUAL DEJO UNA AFECTACIÓN DE: 10 HECTÁREAS DE CULTIVOS DE CAÑA DE AZÚCAR Y PASTOS MEJORADOS. ATENDIÓ BOMBEROS UTICA, DEFENSA CIVIL, Y COMUNIDAD. -495</t>
  </si>
  <si>
    <t>DEFENSA CIVIL COLOMBIANA, INFORMA, INCENDIO FORESTAL, EXTINGUIDO, PRESENTADO A LAS 13:00 HORAS DEL DÍA DE HOY EN EL BARRIO FÁTIMA, SE CONSUMIO: 1 HECTÁREA DE VEGETACIÓN NATIVA. -495</t>
  </si>
  <si>
    <t>CDGRD DEL CAUCA, INFORMA, INCENDIO FORESTAL EXTINGUIDO, PRESENTADO A CAUSA DE QUEMA, NO CONTROLADA DESDE,  01:00 A.M. DEL DÍA DE HOY EN EL BARRIO AIDA LUCIA DE ESTA CIUDAD, SE CONSUMIERON: 40 HECTÁREAS DE VEGETACIÓN NATIVA. -495</t>
  </si>
  <si>
    <t>CMGRD DE ARMENIA, INFORMA, ATIENDEN INCENDIO FORESTAL, BARRIOS: LAS COLINAS Y LA PATRIA, APOYAN: 3 MAQUINAS DE BOMBEROS,  CRUZ ROJA Y PONAL, SITUACIÓN EN DESARROLLO. -495</t>
  </si>
  <si>
    <t>CDGRD REPORTA SE PRESENTA INCENDIO FORESTAL EN EL MUNICIPIO DE COPER, VEREDA CANTINO, SECTOR SAN ANTONIO, INDICA QUE ATIENDE CMDGR, SITUACION EN DESARROLLO. -496</t>
  </si>
  <si>
    <t>CDGRD REPORTA, INCENDIO ESTRUCTURAL, CALLE 9 # 1 - 28 BARRIO 1 DE MAYO, VIVIENDA PROPIEDAD DEL SEÑOR JOSE ANTONIO CONDE, DONDE VIVEN 4 MENORES DE EDAD, 1 DE ELLOS DISCAPACITADO POSIBLE CAUSA CORTO CIRCUITO, ATENDIO BOMBEROS, NO LESIONADOS. -496</t>
  </si>
  <si>
    <t>CDGRD REPORTA EN EL MUNICIPIO DE PRADO INCENDIO ESTRUCTURAL EN EL BARRIO EL DIVISO DONDE SE CONSUMIO TOTALMENTE UNA VIVIENDA DE BAREQUE DEL SEÑOR FABIO SAN MIGUEL DE 68 AÑOS PERDIDA DE ENCERES Y ELEMENTOS DE LA VIVIENDA APOYA BOMBEROS DE PURIFICACION, NO LESIONADOS. -496</t>
  </si>
  <si>
    <t>REPORTA RUPTURA DE TUBO MADRE DE AGUA EL CUAL OCASIONA DESLIZAMIENTO EN LA CRA 16 #27-47 OCASIONANDO 1 VIVIENDA DESTRUIDA, 1 FAMILIA, 11 PERSONAS, REPORTA CRUE RISARALDA. -497</t>
  </si>
  <si>
    <t>CDGRD REPORTA INCENDIO FORESTAL ACTIVO EN EL MUNICIPIO DE GALAN, APROXIMADAMENDE CON UNA AFECTACION DE 15 HECTAREAS DE VEGETACION, BOMBEROS Y AUTORIDADES SE RETIRAN DEL LUGAR POR MEDIDAS DE SEGURIDAD, INICIARAN LABORES EN LAS PRIMERAS HORAS DE LA MAÑANA, INFORMA DE LA SITUACION PERSONAL DE BOMBEROS Y POLICIA AL CDGRD. -492
REPORTA INCENDIO FORESTAL LOCALIZADO EN LA VEREDA “EL PEDREGAL” CONFLAGRACIÓN EN ÁREA RURAL QUE CONSUMIÓ 16 HECTAREAS DE MALEZA, ARBUSTOS Y PASTOS, FUE ATENDIDO Y CONTROLADO POR EL CUERPO DE BOMBEROS DE LA LOCALIDAD CONFIRMANDO EL TERMINO DE EXTINGUIR LA CONFLAGRACIÓN PARA EL DÍA 06-08-2013 A LAS 12:30 HORAS, REPORTA CDGRD.-496</t>
  </si>
  <si>
    <t>REPORTA VENDAVAL EN ZONA RURAL, INFORMACION PRELIMINAR 5 VIVIENDAS DESTRUIDAS, 40 VIVIENDAS AVERIADAS, 45 FAMILIAS, ORGANISMOS DE SOCORRO SE DESPLAZAN A LA ZONA PARA REALIZAR EDAN, REPORTA CDGRD, SITUACION EN DESARROLLO. -497</t>
  </si>
  <si>
    <t>CDGRD DEL HUILA, INFORMO, INCENDIO FORESTAL, MUNICIPIO DE CAMPOALEGRE, SITIO CONOCIDO COMO PALO VERDE, AFECTACION UNA HECTÁREA DE PASTO Y RASTROJO ESTADO EXTINGUIDO ATENDIO BOMBEROS. -498</t>
  </si>
  <si>
    <t>CDGRD DE NORTE DE SANTANDER, INFORMA, INCENDIO FORESTAL EN EL MPIO DE  ABREGO, NORTE DE SANTANDER,  VEREDA:  EL CHORRO Y BERLIN  ESTA SIENDO ATENDIDO X BOMBEROS OCAÑA Y DEFENSA CIVIL, SITUACIÒN EN DESARROLLO. -487
DEFENSA CIVIL COLOMBIANA, INFORMA, INCENDIO FORESTAL, EXTINGUIDO,  EN LA VEREDA: EL CHORRO, SE CONSUMIERON:  200 HECTÁREAS DE VEGETACIÓN NATIVA. -498</t>
  </si>
  <si>
    <t>REPORTA SECCIONAL RISARALDA: EN EL MUNICIPIO DE BALBOA VEREDA LA MANCHA, SE PRESENTO INCENDIO DE CAPA VEGETAL, CONSUMIENDOSE UNA HECTAREA DE RASTROJO. -498</t>
  </si>
  <si>
    <t>REPORTA SECCIONAL RISARALDA: EN EL MUNICIPIO DE QUINCHIA VEREDA BARRO BLANCO, SE PRESENTO INCENDIO ESTRUCTURAL CONSUMIENDO UNA VIVIENDA DE TABLA TOTALMENTE, AL PARECER INCENDIO LO ORIGINO UNA VELADORA QUE DEJARON ENCENDIDA. -498</t>
  </si>
  <si>
    <t>MINISTERIO DE SALUD Y PROTECCIÓN SOCIAL, INFORMA, SOBRE INCENDIO ESTRUCTURAL, AFECTANDO.3 BODEGAS, SE EVACUARON APROXIMADAMENTE: 30 FAMILIAS. -498</t>
  </si>
  <si>
    <t> BUENOS DIAS, PARA REPORTAR QUE EL AVION BULCANO DE LA FAC NUEVAMENTE EL DIA DE AYER EN HORAS DE LA TARDE TUMBO LA CUBIERTA DE APROXIMADAMENTE 4 CASAS Y ADICIONAL A UNA VIVIENDA SE VIO SERIAMENTE AFECTADA, A PARTE DE ELLO NOTENEMOS REPORTES DE MAS EMERGENCIAS EN EL VAUPÉS -499</t>
  </si>
  <si>
    <t>REPORTA EL CDGRD LA ING ADRIANA, QUE EL RIO  GUACHIRIA SE DESBORDO EN LA VEREDA  EL  CANALETES, EL BORAL, GUASIMAL,  AFECTANDO CULTIVOS, EN ESTE MOMENTO EL CMGRD ESTA REALIZANDO EDAN EN ZONA RURAL. -499</t>
  </si>
  <si>
    <t xml:space="preserve">REPORTA EL CDGRD DE SAN JOSE DE CUCUTA ENLACE CON EL PRESIDENTE JAC VEREDA EL SUSPIRO ZONA RURAL DE CÚCUTA; PARA VERIFICAR EL INCIDENTE. SE TIENE UN CENSO PREELIMINAR. SE ESTA COORDINANDO PARA DESPLAZAR EN EL TRANSCURSO DEL DÍA PERSONAL TÉCNICO DEL CMGRD PARA REALIZAR EDAN Y ESTABLECER PLAN DE ACCIÓN ESPECÍFICO. -499
</t>
  </si>
  <si>
    <t>EL CMGRD DE MIRANDA CAUCA, REPORTAN  AFECTACIÓN POR LLUVIAS , EL DIA 07 DE AGOSTO EN HORAS DE LA NOCHE EN  ZONA-CASCO URBANO; SE PRESENTO UNA FUERTE TORMENTA ACOMPAÑADA DE UNA GRAN CANTIDAD DE, LAS CUALES OCACIONARON INUNDACIONES EN VIVIENDAS FUE ATENDIDA POR EL CUERPO DE BOMBEROS VOLUNTARIOS DONDE SE REPORTAN INICIALMENTE MAS DE DIECINUEVE (19) VIVIENDAS AFECTADAS POR INUNDACIÓN BAJA, EN VERIFICACIÓN REALIZADA POR LA COORDINACION MPAL DE GESTION DEL RIESGO SE OBSERVARON IGUALMENTE VARIAS VIAS AFECTADAS POR EL ARRASTRE DEL AGUA SOBRE LAS MISMAS, ASI COMO TAMBIÉN SE REPORTÓ DAÑO EN RED DE ALCANTARILLADO E INUNDACIÓN EN EL CENTRO EDUCATIVO MUNDO FELIZ -499</t>
  </si>
  <si>
    <t>REPORTA EL CDGRD QUE SE PRESENTO UN VANALVA LEN ZONA RURAL DE NUQUI EN ESTE MOMENTO SE HACE EDAN. SE ESPERA MAS INFORMACION EN HORAS DE LA TARDE.-465
REPORTA VENDAVAL OCURRIDO EL PASADO 26 DE JULIO, AFECTANDO CUATRO 4 CORREGIMIENTOS: ARUSI, PARTADO, TERMALES, COQUI, 1 VEREDA: JURUBIRA Y 1 COMUNIDAD INDIGENA: JURUBIRA – CHORY, TOTAL AFECTACION: 1 CENTRO DE SALUD, 1 VIVIENDA DESTRUIDA, 115 VIVIENDAS AVERIADAS, 1 IGLESIA, 1 CENTRO DEPORTIVO, REDES ELECTRICAS Y DE ALCANTARILLADO, SE TIENE COMO ALBERGUE 1 INSTITUCION EDUCATIVA. SOLO HASTA HOY EL CMGRD LE ENVIO LA INFORMACION AL CDGRD, REPORTA FREDY RAMIREZ CDGRD. -500</t>
  </si>
  <si>
    <t>REPORTA VENDAVAL EN EL CORREGIMIENTO DE HEREDIA, DEJANDO 35 VIVIENDAS AVERIDAS, 35 FAMILIAS, REPORTA CDGRD. -500</t>
  </si>
  <si>
    <t>REPORTA VENDAVAL DEJANDO 11 VIVIENDAS AVERIADAS, 11 FAMILIAS, REPORTA CDGRD.-501</t>
  </si>
  <si>
    <t>BUENOS DÍAS, EL DIRECTOR DE CDGRD DE ATLÁNTICO  EDICSON PALMA,  REPORTA QUE EN LA NOCHE ANTERIOR SE PRESENTO UN FUERTE AGUACERO, AFECTANDO HASTA EL MOMENTO EL MUNICIPIO DE SOLEDAD CON DESBORDAMIENTO DEL ARROYO PLATANAL QUE HA VENIDO PRESENTADO VARIOS DESBORDAMIENTO EN LAS ULTIMAS SEMANA.</t>
  </si>
  <si>
    <t>MALAMBO SE PRESENTO UN VENDAVAL , QUE AFECTO VARIOS TECHOS DE LAS VIVIENDAS, COLAPSO LA ANTENA DE LA EMISORA COMUNITARIA. LA DEFENSA CIVIL EN ESTE MOMENTO SE DISPONE A REALIZAR EDAN</t>
  </si>
  <si>
    <t xml:space="preserve">REPORTAN DEL CRUE RISARALDA , EN EL BARRIO LA ESTACION VILLEGAS SE PRESENTO EL COLAPSO DE UNA VIVIENDAD, SIN DEJAR LESIONADOS. EL </t>
  </si>
  <si>
    <t>BV MELGAR REPORTA INCENDIO FORESTAL EN EL SECTOR DE PLARA ALTA EN EL KM 1 VIA AL CARMEN DE APICALA DONDE HAN ATENDIDO EL MISMO INCENDIO 4 VECES SE REPORTA A CORTOLIMA, POLICIA AMBIENTAL Y TOMAN CARTAS EN EL ASUNTO CON LAS PERSONAS QUE LOS CAUSAN SIN MAS DETALLES.</t>
  </si>
  <si>
    <t>HORAS SE PRESENTÓ VENDAVAL EN EL MUNICIPIO DE PUERTO WILCHES EN ÁREAS DE LOS BARRIOS BELLAVISTA, ELDA, ARENALES Y EMISORA COMUNITARIA, DONDE SE REPORTÓ POR PARTE DE LA SECRETARIA DE PLANEACIÓN DEL MUNICIPIO DAÑOS ESTRUCTURALES EN VIVIENDAS URBANAS (TECHOS) Y EN EQUIPOS DE RADIO-TRASMISIÓN DE LA EMISORA COMUNITARIA. SIN REPORTAR PÉRDIDAS O DAÑOS EN VIDAS HUMANAS.</t>
  </si>
  <si>
    <t>REPORTA LA ALCALDIA , INCENDIO ESTRUCTURAL EN LA CALLE 3 VIA A LAS BRISAS A LA SALIDA DEL MUNICIPIO, CONSUMIENDOSE LA VIVIENDA TOTALMENTE, CASA DE PROPIEDAD DEL SEÑOR MARIO SAN MIGUEL, SE DESCONOCE LAS CAUSAS</t>
  </si>
  <si>
    <t>SE CONTROLO INCENDIO FORESTAL EN BOQUERON, CONSUMIDAS 1/2 HECTAREA DE PASTOS SECOS</t>
  </si>
  <si>
    <t>CMGRD DE ACANDI, INFORMA, DESBORDAMIENTO DE LOS RIOS: CHUGANDI, Y ARQUITI, CORREGIMIENTO DE: CHUGANDI Y ARÉA URBANA DE LA PLAYADE LA CABECERA MUNICIPAL, AFECTADOS 4 ESCUELAS RURALES DE NOMBRES: CHUGANDI, COQUITAL, CALETA Y LOS LIBERTADORES.</t>
  </si>
  <si>
    <t>CMGRD DE ARMENIA, REPORTA INCENDIO ESTRUCTURAL, PRESENTADO EL DÍA DE AYER, BARRIO: JARDINES DE LA FACHADA, AFECTACIÓN DE 1 VIVIENDA.</t>
  </si>
  <si>
    <t xml:space="preserve">REPORTA SECCIONAL SUCRE, QUE EN LA MADRUGADA DEL DÍA DE HOY, SE PRESENTARON LLUVIAS ACOMPAÑAS DE VIENTOS FUERTES, EN EL MUNICIPIO DE: OVEJAS SUCRE DEJANDO, UN SALDO DE 10 AFECTADOS ILESOS DE 2 FAMILIAS EN 2 VIVIENDAS AFECTADAS. </t>
  </si>
  <si>
    <t>SECCIONAL BOYACÁ, INFORMA,  INCENDIO FORESTAL, EXTINGUIDO,  EN MPIO DE: SUSACON, VEREDA: LOS VALLES, SE CONSUMIERON: 40 HECTÁREAS DE VEGETACIÓN NATIVA.</t>
  </si>
  <si>
    <t>REPORTA SECCIONAL BOYACÁ, INCENDIO FORESTAL, EXTINGUIDO, MUNICIPIO DE PAIPA, VEREDA: MARCURA CON 12 HECTÁREAS DE VEGETACIÓN NATIVA AFECTADA.</t>
  </si>
  <si>
    <t>SE REGISTRA CAIDA DE UNA PERSONA DE UN PISO 11 EN LA CALLE 87 CON CRA 12, TRASLADAO A CLINICA COUTRY DONDE LLEGA SIN SIGNOS VITALES, FUE IDENTIFICADO COMO DANIEL HERNANDEZ CASTAÑEDA, ESTUDIANTE, ATIENDEN AUTORIDADES RESPECTIVAS</t>
  </si>
  <si>
    <t>REPORTA COLAPSO ESTRUCTURAL DEL PUENTE VEHICULAR SOBRE LA QUEBRADA EL OSO, OCASIONANDO RESTRICCION VEHICULAR ENTRE CHINAVITA Y RAMIRIQUI, REPORTA ALIRIO ROZO CDGRD.</t>
  </si>
  <si>
    <t>REPORTA VENDAVAL EN LA VEREDA RIO HONDO, 12 VIVIENDAS AVERIADAS, 12 FAMILIAS, REPORTA CMGRD.</t>
  </si>
  <si>
    <t>INFORMA, LA CENTRAL DE COMUNICACIÓN DEL DEPARTAMENTO DE SANTANDER, QUE POR CAUSA DE LA LLUVIAS, EN LA INVASIÓN ROJA NECIA, FUERON REUBICADAS, TRES FAMILIAS POR EL DESBORDAMIENTO DEL RIO CURITÍ, FUERON INSTALADOS EN EL SALÓN COMUNAL . 506</t>
  </si>
  <si>
    <t>CDGRD DEL TOLIMA, INFORMA, INCENDIO FORESTAL EXTINGUIDO, VÍA AL CARMÉN DE APICALA- CUNDAY, SECTOR: LOS PELIGROS, SE CONSUMIERON: 3 HECTÁREAS DE: PASTO Y RASTROJO. 506</t>
  </si>
  <si>
    <t>REPORTA INCENDIO FORESTAL DE VEGETACION NATIVA, CONTROLADO Y EXTINGUIDO, AFECANDO 3 HECTAREAS, ATENDIDO POR DCC, PONAL Y BOMBEROS, APOYO BOMBEROS VILLA DE LEYVA, CMGRD Y CDGRD, REPORTA ALIRIO ROZO CDGRD. 507</t>
  </si>
  <si>
    <t>DEFENSA CIVIL, INFORMA, DÍA 10-08-13, POSTERIOR A UN FUERTE AGUACERO, PRESENTADO EN LA CIUDAD DE MEDELLÍN A PARTIR DE LAS 4:PM ,SE PRESENTÓ UN DESLIZAMIENTO, EN EL SECTOR DEL BARRIO: LA CRUZ QUE DEJA SALDO DE 35 AFECTADOS ILESOS DE 9 FAMILIAS EN 9 VIVIENDAS. 508</t>
  </si>
  <si>
    <t>REPORTA FUNCIONARIO MAURICIO RIVEROS DE LA SECCIONAL CUNDINAMARCA, SOBRE INCENDIO FORESTAL OCURRIDO DIA 09-08-13, EN LA VEREDA CENTRO, JURISDICCIÓN DEL MUNICIPIO DE NILO, QUE DEJA SALDO DE 2 HECTÁREAS DE VEGETACION NATIVA AFECTADAS. 508</t>
  </si>
  <si>
    <t>REPORTA SECCIONAL BOYACA: INUNDACIÓN A PARTIR DE LAS 22: 00  HORAS DEL 10-08-2013 HASTA LA 1: 00 HORAS DEL 11-08-2013, EN EL M/PIO DE TIBANA, CASCO URBANO, REPORTE DE 3 VIVIENDAS AFECTADAS, 3 FAMILIAS, 20 PERSONAS Y 3 HECTAREAS INUNDADAS. PARTICIPARON 15 LÍDERES DCC. 508</t>
  </si>
  <si>
    <t>REPORTA SECCIONAL SUCRE: INUNDACIONES POR EL DESBORDAMIENTO DEL ARROYO EL PINTAO, EL 11-08-2013 A LAS 6: 00 HORAS,  AFECTANDO 25 VIVIENDAS DEL BARRIO CARRIZAL DEL M/PIO DE SINCELEJO, 25 FAMILIAS Y 125 PERSONAS. PARTICIPARON 6 LÍDERES DCC. 508</t>
  </si>
  <si>
    <t>SECCIONAL DEL META, D.C.C., INFORMA SE PRESENTA, CRECIENTE SUBITA DEL RÍO GUACAVIA, EN LA INSPECCIÓN DE: GUACAVIA,  BARRIOS: VILLANIDIA y OASIS, AFECTANDO VIVIENDAS Y FAMILIAS, SITUACIÓN EN DESARROLLO. 508</t>
  </si>
  <si>
    <t>INUNDACIONES EN VARIAS VIVIENDAS CONSTITUYEN EL REPORTE QUE ENTREGÓ EL CUERPO OFICIAL DE BOMBEROS TRAS LAS FUERTES LLUVIAS QUE SE REGISTRARON AYER EN LA CIUDAD.LA INSTITUCIÓN INFORMÓ QUE EN LOS BARRIOS LA GAVIOTA, TULIO VARÓN Y PIJAO, LAS CASAS SUFRIERON LEVES AFECTACIONES DEBIDO AL COLAPSO DE LAS REDES DE ALCANTARILLADO.  SITIOS DE LAS AFECTACIONES,EN LA GAVIOTA: CALLE 14 NÚMERO 1-06.PIJAO: CARRERA NOVENA NÚMERO 42-14.ARKAMBUCO: LOCALES COMERCIALES UBICADOS EN LAS CASAS 16, 17 Y 18 DE LA MANZANA.  509</t>
  </si>
  <si>
    <t>SE PRESENTO UN FUERE VENDAVAL EN LA NOCHE ANTERIOR REPORTA VARIASVIVIENDAS AFECTADAS , EL CDGR ESTA RELIZANDO EDAN, EN ESPERA DE MAS INFORMACION. 509</t>
  </si>
  <si>
    <t>SIETE PERSONAS PERDIERON LA VIDA DE MANERA ACCIDENTAL, EN UN CONFUSO INCIDENTE OCURRIDO EN LA TARDE DE AYER EN EL CORREGIMIENTO JARDÍN, DEL MUNICIPIO DE CÁCERES, CUANDO FUERON ARROLLADAS POR UN VEHÍCULO PARTICULAR EN MOMENTOS QUE PARTICIPABAN EN UNA PROTESTA POR EL PARO MINERO DEL BAJO CAUCA ANTIOQUEÑO. 509</t>
  </si>
  <si>
    <t>UN DERRUMBE DE  MEDIANAS PROPORCIONES A LA ALTURA DEL KILÓMETRO 53 + 400, MANTUVO EL PASO CERRADO DURANTE VARIAS HORAS EL SÁBADO Y DOMINGO ANTERIOR. GRACIAS A LA ACCIÓN EFECTIVA DEL INSTITUTO NACIONAL DE VÍAS, INVÍAS, Y A LA CERCANÍA DE LA MAQUINARIA CON EL PUNTO DE DESLIZAMIENTO, LA SITUACIÓN PUDO SER CONJURADA HACIA EL MEDIO DÍA DE AYER Y EL PASO REABIERTO A UN SOLO CARRIL. 509</t>
  </si>
  <si>
    <t>EN LA VÍA QUE CONDUCE DEL MUNICIPIO DE GALÁN HACIA EL MUNICIPIO DE PALMAR , HUBO UN DESLIZAMIENTO DE TIERRA OCASIONANDO EL CIERRE TOTAL DE LA VÍA EN  EL SITIO  LLAMADO LA BATEA DE LA QUEBRADA LA HONDA, PERO LOS BOMBEROS ACTUARON EN  FORMA INMEDIATAMENTE  CON PERSONAL DE LA ALCALDÍA PARA  NORMALIZAR EL TRÁNSITO DE LA VÍA. 509</t>
  </si>
  <si>
    <r>
      <t xml:space="preserve">HORA, INFORMA LA CENTRAL DE COMUNICACIÓN DEL DEPARTAMENTO DE SANTANDER, QUE POR CAUSA DE LA LLUVIAS EN LA INVASIÓN ROJA NECIA FUERON REUBICADAS TRES FAMILIAS POR EL </t>
    </r>
    <r>
      <rPr>
        <b/>
        <sz val="9"/>
        <rFont val="Arial"/>
        <family val="2"/>
      </rPr>
      <t>DESBORDAMIENTO DEL RIO CURITÍ</t>
    </r>
    <r>
      <rPr>
        <sz val="9"/>
        <rFont val="Arial"/>
        <family val="2"/>
      </rPr>
      <t>, FUERON INSTALADOS EN EL SALÓN COMUNAL. 509</t>
    </r>
  </si>
  <si>
    <t>INFORMA  POLICÍA CARRETERA, QUE LA VÍA QUE CONDUCE DE CUROS A MÁLAGA, EN EL KILÓMETRO 91 +800 SECTOR BARRO, POR CAUSAS DE LAS LLUVIAS HUBO UN DESLIZAMIENTO DE TIERRA OBSTACULIZANDO LA VÍA, EN ESTE MOMENTO HAY PASO RESTRINGIDO POR  UN SOLO CARRIL. 509</t>
  </si>
  <si>
    <t>HORAS, INFORMA POLICÍA CARRETERA DEL DEPARTAMENTO DE SANTANDER, EN EL KILÓMETRO 33 SECTOR DE LA CEIBA, VÍA RIONEGRO A LA COSTA   SE PRESENTÓ UN DESBANCAMIENTO DE LA VÍA, OCASIONADO POR LAS LLUVIAS , POR LO QUE HAY RESTRICCIÓN EN LA VÍA CON PASO UN CARRIL. 509</t>
  </si>
  <si>
    <t>REPORTAN DEL PMU QUE LAS QUEBRADA SUSALIN ,VIA LA PLATANERA SE DESBORDO  Y EN LA QUEBRADA PALO BLANCO EN EL SECTOR PERALONSO AFECTO LA BOCATOCA  POR LO CONSIGUIENTE ESTAN SIN AGUA POTALBE EL  MUNICIPIO DE CERRITO. 509</t>
  </si>
  <si>
    <t>OCHO CABAÑAS UBICADAS EN EL BALNEARIO DE PLAYA BLANCA, EN LA ISLA DE BARÚ, FUERON CONSUMIDAS POR LAS LLAMAS CUANDO UN VORAZ INCENDIO AL PARECER PROVOCADO POR CARBONES O LEÑOS ENCENDIDOS QUEMÓ UNO DE LOS TECHOS DE PAJA DE LAS ESTRUCTURAS.  LA COMUNIDAD DE INMEDIATO CON AGUA EN BALDES INTENTÓ CONTROLAR LA CONFLAGRACIÓN, PERO LAS LLAMAS CONSUMIERON LAS CABAÑAS EN CUESTIÓN DE MINUTOS. 509</t>
  </si>
  <si>
    <t>CDGRD DE CASANARE, INFORMA,  MUNICIPIO DE PAZ DE ARIPORO, DESBORDAMIENTO DE  RÍOS MUESE, Y ARIPORO, VEREDA LA ESPERANZA, EN ESTE MOMENTO EVACUANDO 14 FAMILIAS. ATENDIDO POR BOMBEROS, SITUACIÒN EN DESARROLLO. 510</t>
  </si>
  <si>
    <t>REPORTA SECCIONAL CASANARE QUE EN EL MUNICIPIO DE TRINIDAD,  LA MADRUGADA DE HOY,  SE DESBORDO EL RIO GUACHIRIA,  INUNDANDO  LA VEREDA: SAN PEDRO,  EL RIO PAUTO TIENE  NIVELES ALTOS, 7 FAMILIAS AFECTADAS, SITUACIÓN EN DESARROLLO. 510</t>
  </si>
  <si>
    <t>SECCIONAL D.C.C, REPORTA LLUVIA TORRENCIAL, MUNICIPIO DE NUEVA GRANADA, CORREGIMIENTO: LA GLORIA, 20 FAMILIAS AFECTADAS, APOYAN 10 LIDERES VOLUNTARIOS. 510</t>
  </si>
  <si>
    <t>SECCIONAL, D.C.C.,  REPORTA LLUVIA TORRENCIAL, MUNICIPIO DE ARIGUANI, CORREGIMIENTO: PUEBLO NUEVO, 2 FAMILIAS AFECTADAS, PARTICIPAN 14 LÍDERES VOLUNTARIOS. 510</t>
  </si>
  <si>
    <t>CDGRD DEL TOLIMA, INFORMA, INCENDIO FORESTAL, EXTINGUIDO, EN LA VEREDA: CHILDRE, SE AFECTARON: 10 HECTÁREAS DE: SOCA DE MAIZ, APOYARON BOMBEROS. 510</t>
  </si>
  <si>
    <t>SE REGISTRA INCENDIO ESTRUCTURAL EN EL SECTOR CONOCIDO COMO ZARZAL VIA LA PAILA, ATIENDE BOMBEROS ROLDANILLO, AFECTACION DE UNA VIVIENDA PERDIDA TOTAL, 4 FAMILIAS SEGÚN CENSO, NO LESIONADOS. 511</t>
  </si>
  <si>
    <t>50 Tanques de 500 litros.</t>
  </si>
  <si>
    <r>
      <t xml:space="preserve">INFORMA EL COMITÉ MUNICIPAL DE GESTIÓN DEL RIESGO DE DESASTRE (DMGRD) QUE SE PRESENTARON PARA EL DÍA </t>
    </r>
    <r>
      <rPr>
        <u/>
        <sz val="9"/>
        <rFont val="Arial"/>
        <family val="2"/>
      </rPr>
      <t>DOMINGO 11-08-2013</t>
    </r>
    <r>
      <rPr>
        <sz val="9"/>
        <rFont val="Arial"/>
        <family val="2"/>
      </rPr>
      <t xml:space="preserve"> ENTRE LAS 7:00 Y 8:00 PM,  LLUVIAS FUERTES ACOMPAÑADAS DE VENDAVAL EN EL MUNICIPIO, LO QUE OCASIONÓ EN LOS BARRIOS EL DORADO Y EL SAUCE LA INUNDACIÓN APROXIMADAMENTE DE TREINTA (30) VIVIENDAS URBANAS, OCASIONANDO DAÑOS MATERIAS SIN AFECTACIÓN DE VIDAS HUMANAS. EL CUERPO DE BOMBEROS DEL MUNICIPIO ATENDIÓ LA SITUACIÓN SIN REPORTAR MÁS NOVEDAD ESPECIAL. 512</t>
    </r>
  </si>
  <si>
    <t>REPORTA LA CENTRAL DE RADIOCOMUNICACIONES DEL DEPARTAMENTO DE POLICÍA SANTANDER, RESTRICCIÓN TOTAL DE LA VÍA QUE CONDUCE DE CUROS – MÁLAGA A LA ALTURA DEL KILÓMETRO 111 POR DESLIZAMIENTO DE TIERRA EN JURISDICCIÓN DEL MUNICIPIO DE SANTA BÁRBARA A LA ALTURA DENOMINADA EL VULCAN, ASÍ MISMO INFORMA QUE HAY PERSONAL Y MAQUINARIA ESPECIALIZADA TRABAJANDO SOBRE LA VÍA, PARA LA RECUPERACIÓN DE LA MISMA. NO SE PRESENTÓ NI REPORTARON DAÑOS QUE COMPROMETIERAN VIDAS HUMANAS NI INFRAESTRUCTURAS. 512</t>
  </si>
  <si>
    <r>
      <t>TRAS FUERTES LLUVIAS QUE CAYERON SOBRE EL ORIENTE ANTIOQUEÑO, LA NOCHE DE ESTE LUNES Y MADRUGADA DE ESTE MARTES, OCASIONARON LA MUERTE DE DOS PERSONAS EN EL INGRESO AL MUNICIPIO DE COCORNÁ (KILÓMETRO 14+400), CERCA DE LA AUTOPISTA MEDELLÍN-BOGOTÁ.UNA ROCA DE GRAN TAMAÑO SE DESPRENDIÓ DE UN TALUD Y TRAS CRUZAR LA VÍA RODANDO IMPACTÓ CONTRA LA PARED DE UNA VIVIENDA</t>
    </r>
    <r>
      <rPr>
        <b/>
        <sz val="9"/>
        <rFont val="Arial"/>
        <family val="2"/>
      </rPr>
      <t xml:space="preserve"> </t>
    </r>
    <r>
      <rPr>
        <sz val="9"/>
        <rFont val="Arial"/>
        <family val="2"/>
      </rPr>
      <t>CERCANA A LA VÍA LO QUE OCASIONÓ LA MUERTE DE UNA MUJER Y UNA MENOR DE EDAD QUE SE ENCONTRABAN EN UNA DE LAS HABITACIONES DE LA VIVIENDA. 512</t>
    </r>
  </si>
  <si>
    <t>INFORMA EL CUERPO DE BOMBEROS MUNICIPAL QUE POR CAUSA DEL DESBORDAMIENTO DE LA QUEBRADA LA SUSALI A CAUSA DE LAS FUERTES LLUVIAS, PROVOCÓ DAÑO EN UNA PARTE DE LA BANCADA SOBRE LA VÍA A LA ALTURA DEL SECTOR TERALONSO DE LA VÍA QUE CONDUCE DEL MUNICIPIO DEL CERRITO HACIA LA VEREDA LA PLATANERA. 
ASÍ MISMO LA QUEBRADA PALOBLANCO POR SU DESBORDAMIENTO CAUSO DAÑOS DE CONSIDERACIÓN A LA ESTRUCTURA EN LA BOCA-TOMA DEL ACUEDUCTO QUE ABASTECE DE AGUA POTABLE AL MUNICIPIO. SIN REPORTE DE AFECTACIÓN EN VIDAS HUMANAS. 512. VERIFICADA LA SITUACIÓN POR AFECTACIÓN DE LAS FUERTES LLUVIAS EN EL MUNICIPIO, INFORMA EL CUERPO DE BOMBEROS DEL MUNICIPIO QUE POR DESBORDAMIENTO DE LA QUEBRADA LA CORTADERA  PROVOCÓ DAÑO EN LA BANCADA SOBRE LA VÍA QUE CONDUCE DEL MUNICIPIO DEL CERRITO HACIA LA VEREDA MORTIÑO, ADEMÁS QUE CAUSANDO DAÑOS DE CONSIDERACIÓN EN LA BANCADA SOBRE LA VÍA QUE CONDUCE DEL MUNICIPIO DEL CERRITO HACIA LA VEREDA MORTIÑO Y POR EL MISMO MOTIVO CAUSO INUNDACIÓN EN VIVIENDAS RURALES UBICADAS EN LAS FINCAS LA VERBENA Y SABANA LARGA. SIN COMPROMETERSE VIDAS HUMANAS LOS RESIDENTES DE LAS VIVIENDAS FUERON REUBICADOS CON FAMILIARES Y VECINOS DEL SECTOR. 512</t>
  </si>
  <si>
    <t>13-0789</t>
  </si>
  <si>
    <t>REPORTA POR FUERTES LLUVIAS EN LA MAÑANA SE PRESENTO INUNDACION  CON 1 MT DE ALTURA, CON UNA AFECTACION SEGÚN INFORMACION PRELIMINAR: DE 15 BARRIOS, 2 VEREDAS, 600 VIVIENDAS AVERIADAS, 600 FAMILIAS, 3000 PERSONAS, CON PERDIDAS DE MUEBLES Y ENSERES, COLAPSO TOTAL DEL SISTEMA DE ALCANTARILLADO, CMGRD REALIZA EDAN, REPORTA CDGRD, SITUACION EN DESARROLLO.</t>
  </si>
  <si>
    <t>CDGRD DEL CAUCA Y D.C.C., INFORMAN, SE PRESENTA DESBORDAMIENTO DEL RÍO TIMBIQUI, EN EL CORREGIMIENTO DE: COTEJE, AFECTACIÓN EN VIVIENDAS , REALIZAN EDAN, SITUACIÓN EN DESARROLLO.</t>
  </si>
  <si>
    <t>REPORTA SECCIONAL CHOCO, FUERTE LLUVIAS OCASIONADA EN EL DEPARTAMENTO DEL CHOCO MUNICIPIO DE QUIBDO EL 11-08-2013, RESULTANDO 1 VIVENDA DESTRUIDA, 7 VIVENDAS AVERIADAS, 8 FAMILIAS AFECTADAS Y 34 PERSONAS AFECTADAS. PARTICIPACIÓN DE 10 LÍDERES DCC.</t>
  </si>
  <si>
    <t>CDGRD REPORTA LLUVIAS ACOMPAÑADAS DE FUERTES VIENTOS DEJANDO AFECTACION PARCIAL EN LA CUBIERTA DE 2 VIVIENDAS EN LA VEREDA LA JULIA Y 1 MAS EN LA VEREDA LA LOTERIA, CMGRD REALIZA EDAN Y APOYADOS CON ASISTENCIA HUMANIRATIA POR PARTE DE LA UDEGERD QUINDIO ATIENDEN LA EMERGENCIA, RESULTADO 3 VIVIENDAS, 3 FAMILIAS, 15 PERSONAS, ASISTENCIA ENTREGADA 5 COLCHONETAS, 4 TEJAS DE ASBESTO, MERCADOS Y KITS DE COCINA. 516</t>
  </si>
  <si>
    <t>CDGRD REPORTA VENDAVAL EN EL MUNICIPIO DE PIJAO CON AFECTACION PARCIAL DE CUBIERTA EN  1 VIVIENDA EN LA VEREDA LA MARIELA REALIZA EDAN EL CMGRD SOLICITARON APOYO A CDGRD E INDICAN QUE SE ATENDERA EL DIA DE MAÑANA. 516</t>
  </si>
  <si>
    <t>CDGRD REPORTA VENDAVAN EL EL MUNICIPIO DE SAN CRISTOBAL DEL NORTE QUE AFECTO APROXIMADAMENTE A 65 VIVIENDAS EN SUS TECHO0S CMGRD AL MOMENTO ADELANTA EVALUCIONDE DAÑOS -488. ACTUALIZACION MEDIANTE ACTA Y EDAN ENVIADO POR EL CMGRD DE SAN CRISTOBAL.</t>
  </si>
  <si>
    <t>MPIO DE FUNES, INFORMA, QUE SE EXPLOTO UNA TUBERIA DEL DISTRITO DE RIEGO DE LA VEREDA: GUAPUSCAL ALTO QUE  GENERO UNA AVALANCHA QUE  AFECTO UNA VIVIENDA, 1 FAMILIA, 5 PERSONAS, SIN LESIONADOS. 519</t>
  </si>
  <si>
    <t>INFORMA, MPIO DE SOGAMOSO, INCENDIO ESTRUCTURAL, SIN LESIONADOS, SOLO DAÑOS MATERIALES. 519</t>
  </si>
  <si>
    <t>REPORTA, CDGRD DE SUCRE , MUNICIPIO DE CAIMITO, EN LA VEREDA DE PAVITAS, UNA EMBARCACIÓN PEQUEÑA SUFRIO UN ACCIDENTE, HALLARON A LA NIÑA,  A LAS 13.00 HORAS, EN EL FONDO DE LA CIENAGA, PALO ALTO,  PLAYA BELEN, , CORREGIMIENTO DE: SAN MARCOS, 2 MENORES SALIERON ILESOS, ESTE EVENTO SE PRESENTÓ, POR EL FUERTE VIENTO HURACANADO, QUE SE PRESENTÓ, EN EL MOMENTO QUE ATRAVESABA LA EMBARCIÓN. 519</t>
  </si>
  <si>
    <t>CDGRD DE CALDAS, INFORMA, SE PRESENTA VENDAVAL, EN LA ZONA URBANA, BOMBEROS , ESTÁ HACIENDO LA VALORACIÓN, SITUACIÓN EN DESARROLLO. 519</t>
  </si>
  <si>
    <t>LA CRUZ ROJA SECCIONAL QUINDIO, EN SU UNIDAD MUNICIPAL DE LA TEBAIDA, ATIENDE ALGUNAS SITUACIONES DE EMERGENCIA PRODUCTO DE UN FUERTE VENDAVAL REGISTRADO EN LAS ULTIMAS HORAS, CON UN BALANCE PRELIMINAR DE 5 VIVIENDAS AFECTADAS ENTRE ELLAS UNA EN ZONA RURAL CON IGUAL NUMERO DE FAMILIAS DAMNIFICADAS, 3 PERSONAS LESIONADAS POR ELEMENTOS CONTUNDENTES, LA CRUZ ROJA CON 12 VOLUNTARIOS REALIZAN LABORES DE EDAN Y ENTREGA DE AYUDA HUMANITARIA EN COORDINACION CON EL CONSEJO MUNICIPAL PARA LA GESTION DEL RIESGO. 519</t>
  </si>
  <si>
    <t>REPORTA OFICINA PUTUMAYO, MOCOA: INSPECCIÓN PUERTO LIMÓN: POR CRECIENTE DEL RIO CAQUETÁ, EL 15-08-2013, RESULTARON  10 VIVIENDAS INUNDADAS, 10 FAMILIAS AFECTADAS, 50 PERSONAS DAMNIFICADAS,  SE EVACUARON  PREVENTIVAMENTE LAS FAMILIAS AL CASCO URBANO.  10 LÍDERES VOLUNTARIOS VILLA GARZÓN APOYARON LA LABOR. 519</t>
  </si>
  <si>
    <t>OFICINA PUTUMAYO, POR DESLIZAMIENTO EN EL BARRIO VILLANUEVA DEL MUNICIPIO DE MOCOA,  6 VIVIENDAS EVACUADAS, 6 FAMILIAS AFECTADAS, 20 PERSONAS DAMNIFICADAS. 20 LÍDERES VOLUNTARIOS COLABORARON EN LA ACTIVIDAD.\BARRIO LIBERTADOR 1 VIVIENDA EVACUADA-  6 LÍDERES VOLUNTARIOS COLABORANDO. 519</t>
  </si>
  <si>
    <t>REPORTA OFICINA PUTUMAYO, MUNICIPIO DE SANTIAGO: VEREDA SAN ANDRÉS 1, POR DESLIZAMIENTO 1 VIVIENDA AFECTADA, 1 FAMILIA. 5 DAMNIFICADOS. PARTICIPACIÓN DE  6 LÍDERES VOLUNTARIOS, COLABORANDO EN EVACUACIÓN. 519</t>
  </si>
  <si>
    <t>REPORTA SECCIONAL HUILA: DESLIZAMIENTO EL 15-08-2013, CERCA VEREDA LA TOCARA OCASIONADO UN REPRESAMIENTO LA QUEBRADA RIESITO QUE DESEMBOCA AL RIO SUAZA, AFECTANDO EN DIFERENTES VEREDAS COMO SAN MARCOS, VERSALLES Y SAN ADOLFO. SE RESCATARON 2 PERSONAS VIVAS QUE ESTABAN ATRAPADAS POR LA AVALANCHA POR EL RIO SUAZA, DESTRUCCIÓN DE 6 VIVIENDAS, AFECTADAS 6 FAMILIAS Y 18 PERSONAS. PARTICIPACIÓN DE 25 LÍDERES DCC, 519.  aCTUALIZACION CDGRD DEL HUILA, INFORMA QUE SE PRESENTÓ, CRECIENTE SUBITA DEL RÍO SUAZA,  VEREDAS:  SAN ADOLFO, SAN MARCOS, Y  LLANITOS, SE REALIZO EVACUACION DE 15 PERONAS, 14 DE ELLAS MENORES DE EDAD QUIENES QUEDARON AISLADOS POR LA CRECIENTE, AL MOMENTO SE HAN AFECTADOS 5 PUENTES PEATONALES ASI: EN LA VEREDA VERSALLES 2, PUEBLO VIEJO 1, ANAYACO 1, SAN MARCOS 1, 7 VIVIENDAS PARCIALMENTE ANEGADAS UBICADAS EN LAS VEREDAS MERCEDES Y SAM MARCOS Y OTRAS 4 EN LA VEREDA SAN MARTIN, SIN AFECTACIÓN DE LA ESTRUCTURA DE LA VIVIENDAS,  IGUALMENTE SE AFECTO CULTIVOS DE MARACUYA, MAIZ Y PLATANO, SIN PERDIDAS DE ENSERES.520</t>
  </si>
  <si>
    <t>CDGRD ADRIANA HERNANDEZ REPORTA EN EL MUNICIPIO DE PAZ DE ARIPORO  INUNDACION POR DESBORDAMIENTO DE LOS RIOS ARIPORO Y GUACHIRIA EN LAS VEREDAS EL BORAL, ESPERANZA, BENDICION DE LOS TRONCOS, CUERPO DE BOMBEROS VOLUNTARIOS SE ENCUENTRAN HACIENDO VERIFICACION Y ATENCION DE LA EMERGENCIA, AUN BAJA CRECIENTE POR LA ZONA, SITUACION EN DESARROLLO. 521</t>
  </si>
  <si>
    <t>CDGRD Y CMGRD REPORTAN INUNDACION EN EL MUNICIPIO DE VILLAGARZON POR DESBORDAMIENTO DE LOS RIOS PUTUMAYO, GUINEO, QUEBRADAS NABOYACO, AFECTANDO A 58 FAMILIAS, 278 PERSONAS, EN ZONA RURAL EN 21 VEREDAS, EN CASCO URBANO 5 BARRIOS, APROXIMADAMENTE 634 HECTAREAS DE CULTIVOS, PUENTES PEATONALES 3. 521</t>
  </si>
  <si>
    <t>EN LA MAÑANA DE HOY HACIA LAS CINCO DE LA MAÑANA SE PRESENTO EL DESBORDAMIENTO DE LA QUEBRADA LA COFRADIA -DIAMANTE EN LA CUAL SE CAUSO LA AFECTACION A 60 FAMILIAS, 60 VIVIENDAS, DAÑOS EN MUEBLES Y ENSERES, DE IGUAL MANERA SE ATENDIO LA EMERGENCIA, SE ESTA EN ALERTA ROJA Y MAXIMA POR LA FRACTURACION DE VARIAS HECTAREAS EN LA PARTE ALTA DE NUESTRO MUNICIPIO ES INDESPENSALBLE TENER AL  CONSEJO DEPARTAMENTAL DE GESTION DE RIESGO PARA EVALUAR LOS DAÑOS, EL MUNICIPIO ATIENDE ESTA EMERGENCIA CON POCOS RECURSOS, PERO NO SABEMOS SI SE PUEDA VOLVER A PRESENTAR EN EL TRASCURSO DE LAS HORAS, SE TRATA DE HABILITAR LA VIA QUE CONDUCE HACIA EL MUNICIPIO DE MOCOA,SE HACE NECESARIO AYUDAS COMO KIT ALIMENTARIOS PARA LAS PERSONAS QUE LO PERDIERON TODO, REPORTA CDGRD. 521</t>
  </si>
  <si>
    <t>CDGRD REPORTA CRECIENTE DEL RIO MULATO OCASIONA DESLIZAMIENTO DE LA FRANJA FORESTAL PROTECTORA, EL DESLIZAMIENTO ALCANZO LOS CIMIENTOS DE LAS VIVIENDAS, SECTOR VILLANUEVA LA COLINA, VIVIENDAS AFECTAS 9, IGUAL NUMERO DE FAMILIAS, 50 PERSONAS. 521</t>
  </si>
  <si>
    <t>REPORTA QUE EL DIA 15-08-13, SE HA REGISTRADO  EL DESBORDAMIENTO DEL RIO MANDIYACO OCASIONANDO LA SIGUIENTE AFECTACION: PERDIDAS EN LA INFRAESTRUCTURA  COLECTIVA,  PUENTES VEHICULARES 2, PUENTES PEATONALES: 4, VÍAS, VIVIENDAS Y SISTEMAS PRODUCTIVOS (CULTIVOS DE PANCOMER), ADEMÁS DE QUE HA DEJADO INCOMUNICADAS  A LAS COMUNIDADES DE MANDIYACO - SAN GABRIEL DE LOS AZULES, SAN JOSÉ DE LOS AZULES  Y SANTA MARTHA Y LA CONCEPCIÓN,  COLOCANDO EN SITUACIÓN  DE RIESGO  A LOS NIÑOS   QUE A DIARIO TRANSITAN POR ESTOS   SECTORES HACIA LA ESCUELA RURAL MIXTA SAN GABRIEL Y LOS ADULTOS MAYORES HACIA SUS FINCAS A REALIZAR SUS LABORES DIARIAS. ADEMAS HAY AFECTACION EN LAS VEREDAS SAJONIA Y  SAN GABRIEL, CON INFORMACION PRELIMINAR DE AFECTACION: FAMILIAS INCOMUNICADAS EN LAS VEREDAS SAN GABRIEL DE LOS AZULES Y SAN JOSÉ  35 FAMILIAS, 155 PERSONAS. FAMILIAS INCOMUNICADAS EN EL RESGUARDO MANDIYACO.  40 FAMILAS, 200 PERSONAS. REPORTE PRELIMINAR DE  FAMILIAS DAMNIFICADAS POR  INUNDACIONES  20 FAMILIAS, 100 PERSONAS EN SAN JUAN DE VILLALOBOS. LA ALCALDIA Y CMGRD HAN DISPUESTO UN CENTRO DE OPERACIONES DE EMERGENCIA COE PARA ATENDER A LA POBLACIÓN DAMNIFICADA  DE LAS VEREDAS SAN JOSÉ Y SAN GABRIEL EN LA CABECERA CORREGIMENTAL SANTA MARTHA MEDIA BOTA CAUCANA DEL MUNICIPIO SANTA ROSA CAUCA. 522</t>
  </si>
  <si>
    <t>REPORTA VENDAVAL SEGÚN INFORMACION PERLIMINAR 5 VIVIENDAS AVERIADAS VEREDA SAN JOSE DE LOS AZULES 5 FAMILIAS, CMGRD REALIZANDO EDAN, REPORTA CDGRD, SITUACION EN DESARROLLO. 522</t>
  </si>
  <si>
    <t>REPORTA 2 INCENDIOS FORESTALES CONTROLADOS Y EXTINGUIDOS UNO EN LA VEREDA ROTARIOS, CONSUMIDAS 2 HECTAREAS DE SOCA DE MAIZ. Y OTRO CONTROLADO Y EXTINGUIDO EN LA VEREDA LA PALMERA, CONSUMIDAS 5 HECTAREAS DE SOCA DE MAIZ. REPORTA CDGRD. 522</t>
  </si>
  <si>
    <t>CDGRD DEL TOLIMA, INFORMA, SE PRESENTÓ INCENDIO ESTRUCTURAL, EN LA VEREDA: EL TOSORO, FINCA: LA NORIA, 1 VIVIENDA DESTRUIDA, SIN LESIONADOS. 523</t>
  </si>
  <si>
    <t>CDGRD DE NORTE DE SANTANDER, INFORMA, VENDAVAL, ACOMPAÑADO DE FUERTES LLUVIAS, AFECTANDO:  4 INSTITUCIONES EDUCATIVAS, CULTIVOS, REALIZAN EDAN. 523</t>
  </si>
  <si>
    <t>CDGRD REPORTA EN EL MUNICIPIO DE SANTA ROSA VEREDAS SAN MIGUEL Y SAN GABRIEL DE LOS AZULES EL DIA DE HOY, CON EL APOYO DE CDGRD Y CMGRD, DFENSA CIVIL, SE ESTA REALIZANDO EVACUACION DE 30 FAMILIAS QUE QUEDARON INCOMUNICADAS POR COLAPSO DE PUENTE COLGATE SOBRE EL RIO MANDIYACO. 524</t>
  </si>
  <si>
    <t>CRUE RISARALDA REPORTE EN LAS PRIMERAS HORAS DE LA AMAÑANA INCENDIO ESTRUCTURAL EN ESTE MUNICIPIO OCURRIDO DURANTE LA NOCHE Y PARTE DE LA MADRUGADA EN EL SECTOR ESTACION PERIRA, DEJANDO 6 VIVIENDAS DESTRUIDAS, 1 VIVIENDA AVERIADA, 1 CAPILLA AFECTADA, 12 FAMILIAS, 26 ADULTOS, 18 MENORES DE EDAD, ATENDIERON BOMBEROS DE PEREIRA, MARSELLA Y DEFENSA CIVIL, NO HUBO LESIONADOS. 524</t>
  </si>
  <si>
    <t>CDGRD REPORTA EN EL MUNICIPIO DE FLORENCIA CORREGIMIENTO SANTO DOMINGO, LA VIA FUE OBSTRUIDA POR DESLIZAMIENTO EN EL KILOMETRO 10, DEJA INCOMUNICADO UN SECTOR DE LA ZONA RURAL, 3 ALCANTARILLAS AFECTADAS, EN LAS VEREDAS SAN MARTIN Y CARBONA PERDIDA DE CULTIVOS, EN EL CASCO URBANO 1 FAMILIA, 1 VIVIENDA, AFECTADA EN SU ESTRUCTURA POR SOCAVACION DE LA QUEBRADA PERDIZ Y OTRAS 3 VIVIENDAS AFECTADAS POR DESLIZAMIENTO EN EL BARRIO TORASSO, IGUAL NUMERO FAMILIAS, 1 PUENTE AFECTADO POR SOCAVACION DE LA QUEBRADA SARDINA EN LA VIA CIRCUNVALAR A FLORENCIA. 524</t>
  </si>
  <si>
    <t>CDGRD REPORTA INUNDACION EN ESTE MUNICIPIO POR DESBORDAMINTO DEL CANAL GUANINI ACOMPAÑADO DE FUERTES VIENTOS 115 FAMILIAS AFECTADAS EN LOS BARRIOS EDEN, CIUDADELA NORTE, LOS LAURELES, PLAYA HERMOSA, SAN MIGUEL, HUBO PERDIDA DE ENSERS, TECHOS, 4 FAMILIAS FUERON UBICADAS POR EMERGENCIA EN EL CENTRO DE SALUD PLAYA HERMOSA, BOMBEROS Y DEFENSA CIVIL REALIZAN LA ATENCION. 524</t>
  </si>
  <si>
    <t>CDGRD DE NARIÑO REPORTA Y/O ACTUALIZA NOVEDAD SOBRE EL DESLIZAMIENTO EN EL MUNICIPIO DE CORDOBA CORREGIMIENTO: QUEBRADA BLANCA, VEREDA: LLORENTE EN LIMITES CON PUERRES, CON AFECTACION DE 1 VIVIENDA, 1 FAMILIA, 1 PERSONA DESAPARECIDA, 2 HERIDOS LEVES, DCC REALIZA ATENCION, ES ZONA DE DIFICIL ACCESO, CONTINUAN BUSQUEDA. 524</t>
  </si>
  <si>
    <t>CDGRD REPORTA HACIA LASS 14:00 HORAS DEL 16/08/2013 SOBRE LA VÍA SECUNDARIA QUE CONDUCE DESDE EL MUNICIPIO DE    VÉLEZ HACIA CHAPATA SE PRESENTÓ DESLIZAMIENTO DE TIERRA A LA ALTURA DEL KILÓMETRO 1 + 0433, SEGÚN LO MANIFESTADO POR EL CMGRD DE VÉLEZ, CON UNA LONGITUD DE 50 METROS. MAQUINARIA SE ENCUENTRA EN MANTENIMIENTO DE LA VÍA PARA RECUPERAR EL PASO DE VEHÍCULOS Y PERSONAL. SIN PRESENTAR AFECTACIÓN DE VIDAS HUMANAS. 524</t>
  </si>
  <si>
    <t>CDGRD REPORTA DESLIZAMIENTO EN EL MUNICIPIO DE FRESO HACIA LAS 11:00 AM,VEREDA LA CAUCASIA, CAUSANDO DAÑO EN ACUEDUCTO POR RUPTURA EN TUBO DE 10” DE PRESION, SON MAS DE 17.000 PERSONAS QUE ESTARAN DURANTE 6 0 7 DIAS SIN AGUA, SE SOLICITO APOYO CON CARROTANQUES A IBAGUE Y BOMBEROS DE SAN SEBASTIAN DE MARIQUITA, EL CMDGRD DE FRESNO SOLICITO APOYO AL CDGRD QUIENES REALIZAN LO RESPECTIVO. 524</t>
  </si>
  <si>
    <t>CRUE RISARALDA REPORTA DESLIZAMIENTO VIA AL MUNICIPIO DE LA VIRGINIA, QUEDANDO UNA PERSONA ATRAPADA, BOMBEROS, CRUZ ROJA, DCC ADELANTARON LABORES RESPECTIVAS, FUE RSCATADO Y TRASLADADO HACIA CENTRO ASISTENCIAL EN PERIRA. 524</t>
  </si>
  <si>
    <t>CDGRD REPORTA EN EL MUNICIPIO DE DOSQUEBRADAS VENDAVAL AFECTANDO 1 FAMILIA,  1 VIVIENDA DESTECHADA PARCIALMENTE EN EL BARRIO NUEVA COLOMBIA ATENDIO BOMBEROS, NO LESIONADOS U OTRO. 526</t>
  </si>
  <si>
    <t>CDGRD REPORTA DESBORDAMIENTO DE LA QUEBRADA SAN ROQUE Y QUEBRADA LA ITALIA AFECTANDO 4 FAMILIAS,  4 VIVIENDAS CON DAÑOS EN  ENCERES Y MUEBLES, EN CASCO URBANO, ATIENDE CMGRD. 526</t>
  </si>
  <si>
    <t>CDGRD REPORTA VENDAVAL OCURRIDO EL DIA DE AYER, CON LA SIGUIENTE AFECTACION DE 17 VIVIENDAS AVERIADAS, 17 FAMILIAS, EN LOS BARRIOS TURBAY, LA VALESTRERA, VILLA JERUSALEM, IGUALMENTE CORREGIMIENTO DE PUEBLO TAPAO, APOYO CDGRD CON ASISTENCIA HUMANITARIA, SE REALIZA ENTREGA DE AHE. REPORTA CDGRD. 527</t>
  </si>
  <si>
    <t>CDGRD REPORTA DESLIZAMIENTO EN ESTE MUNICIPIO SOBRE LAS 06:00 HORAS DEJA COMO RESULTADO 1 VIVIENDA DESTRUIDA Y OTRAS 3 AVERIDAS, UN TOTAL DE 4 FAMILIAS, SE REALIZO RESPECTIVA ATENCION. 528</t>
  </si>
  <si>
    <t>CDGRD, BOMBEROS Y CRUZ ROJA REPORTAN INCENDIO FORESTAL EN CALI CERCA AL ZOOLOGICO, KILOMETRO 3 VIA LOS ANDES MAMEYAL CERRO CRISTO REY, INICIO SOBRE LAS 15:00 HORAS, ATIENDE BOMBEROS CON 7 MAQUINAS Y 35 UNIDADES, INCENDIO FORESTAL ACTIVO Y EN SEGUIMIENTO. 528</t>
  </si>
  <si>
    <t>CRUE RISARALDA REPORTA SE REGISTRO DESLIZAMIENTO EN LA VEREDA AGUAZUL, AFECTANDO VIA, DEJANDO EN RIESGO CENTRO EDUCATIVO, NO LESIONADOS U OTRO. 528</t>
  </si>
  <si>
    <t>REPORTA GUAJIRA: APROXIMADAMENTE A LAS 10:30 HORAS SE PRESENTÓ, UN INCENDIO FORESTAL EN EL KL 2 VIA PAPAYAL, EN UN LOTE DONDE SE ALMACENABAN LLANTAS, EL INCENDIO CULMINO A LA 11:30, CON UNA HECTAREA QUEMADA. 529</t>
  </si>
  <si>
    <t>REPORTA SECCIONAL QUINDIO: VENDAVAL EN EL MUNICIPIO DE QUIMBAYA  A ALAS 17:00 HORAS DEL 17-08-2013,  DONDE HAY AFECTACIÓN EN LA VÍA POR CAIDA DE ARBOLES.  PARTICIPARON 17 LÍDERES DCC EN EL DESPEJE DE LA VÍA Y VERIFICACIÓN EN LA ZONAS. 529</t>
  </si>
  <si>
    <t>REPORTA EL ING ALIRIO ROZO QUE EN HORAS DE LA MANANA DEL DOMINGO 18 UN BUS DE LA EMPRESA COCORDE ROD POR UN ABISMO  EN LA VIA SANTA ROSA DE VITERBO A LA FLORESTA , DEJANDO A 4 PERSDONAS FACELLIDAS Y 15 LESIONADOS, LOS CUALES FUERON LLEVADSO A HOSPITAL DE SANTA ROSA DE VITERMO,  DUITAMA Y SOGAMOSO. SE ACTIVO EL CRUE DEPARTAMENTA, LA DCC, BOMBEROS VOLUTARIOS Y CRC. 530</t>
  </si>
  <si>
    <t>INFORMA EL DR GILBERTO ALZATE, EN EL MUNICIPIO DE BELLO EN LA NOCHE ANTERIOR SE CRECIO LA QUEBRADA CHACHAFRUTO Y EL CMGRD EVACUO  14 PERSONAS , EN HORAS DE LA MAÑANA SE REALIZARA EDAN CORRESPONDIENTE. 530</t>
  </si>
  <si>
    <t>REPORTAN DEL CMGRD DE ZARGOZA QUE LA QUEBRADA LA OCA AUMENTO SU CAUCE POR LAS LLUVIAS REGISTRADAS EN LA NOCHE ANTERIOR LA CUAL INUNDA LOS BARRIOS  LA ESMERALDA, LAS DELICIAS, Y SN GREGORIO  HASTA EL MOMENTO EL REPORTE INICIAL ES DE 150 FLIAS AFECTAS Y EN ZONA RURAL UN VENDAVAL AFECTO  A LA VEREDA DE SALTILLO Y LA CLARITA. 530</t>
  </si>
  <si>
    <t>CDGRD REPORTA VENDAVAL EN ZONA RURAL DE ESTE MUNICIPIO CON AFECTACION A 10 VIVIENDAS EN SUS TECHOS Y ALGUNAS DE ELLAS TAMBIEN POR INUNDACION. 531</t>
  </si>
  <si>
    <t>REPORTA COMANDANTE DE BOMBEROS DE NATAGAIMA SALIDA DE LA MOVIL CON 6 UNIDADES PARA CONTROL DE INCENDIO FORESTAL EN LA VEREDA PALMALTA , CONSUMIENDOSE 3750 MTS DE ARBOLES Y PASTOS SECOS. 533</t>
  </si>
  <si>
    <t>COE 16 REPORTA FORESTAL CERCA A UNAS VIVIENDAS EN EL CONDOMINIO CANCUN APOYA LOS BV FLANDES Y LO CONTROLAN SIN NOVEDAD. 533</t>
  </si>
  <si>
    <t>REPORTE EL CDGRD DE HUILA DE UN IF REGISTRADO  EN EL MUNICIPIO DE CAMPOALEGRE EL CUAL YA FUE LIQUIDADO EN SU TOTALIDAD. 533</t>
  </si>
  <si>
    <t>REPORTE EL CDGRD DE HUILA DE UN IF REGISTRADO  EN EL MUNICIPIO DE NEIVA EN LA ZONA DE LA COCLEY  EL CUAL YA FUE LIQUIDADO EN SU TOTALIDAD. 533</t>
  </si>
  <si>
    <t>REPORTE EL CDGRD DE HUILA DE UN IF REGISTRADO  EN EL MUNICIPIO DE NEIVA EN LA VIA IPANEMA   EL CUAL YA FUE LIQUIDADO EN SU TOTALIDAD. 533</t>
  </si>
  <si>
    <t>SEGÚN INFORMACION REPORTADA POR EL CONCEJO MUNICIPAL DE GESTION DEL RIESGO DE DESASTRES DEL MUNICIPIO DE TONA, DURANTE LOS DIAS 3, 4, 11 Y 12 DE JULIO DE 2013, CON OCASIÓN DE UNA FUERTE GRANIZADA Y VENDAVAL, OCASIONO DAÑOS EN CULTIVOS DE PAPA CORRESPONDIENTE A ALAS VEREDAS SALADITO, AGUA CLARA, CUSTA BOBA, PARRA Y JUAN RODRIGUEZ, UCATA Y EL CORREGIMIENTO DE BERLIN.</t>
  </si>
  <si>
    <t>700 Tanques de 1000 litros</t>
  </si>
  <si>
    <t>CDGRD DEL CHOCO, INFORMA, SE PRESENTÓ, DESBORDAMIENTO DEL RÍO: CURUNDO, AFECTANDO: 37 FAMILIAS Y DEJANDO EN RIESGO 7 VIVIENDAS DE LA COMUNIDAD  DE CURUNDO LA BANCA. 534</t>
  </si>
  <si>
    <t>CDGRD DEL CHOCO, INFORMA, AVALANCHA, DEJANDO: 4 VIVIENDAS DESTRUIDAS, 8 VIVIENDAS AVERIADAS. 534</t>
  </si>
  <si>
    <t>CRUE DE RISARALDA, INFORMA, SE PRESENTÓ VENDAVAL, EN LA VEREDA: SILENCIO BAJO, AFECTANDO POR DESTECHAMIENTO: 5 VIVIENDAS, 5 FAMILIAS, SIN LESIONADOS. 534</t>
  </si>
  <si>
    <t>CDGRD DEL TOLIMA, INFORMA, INCENDIO FORESTAL, EN LA VEREDA: SAN LORENZO, SE HAN CONSUMIDO: APROXIMADAMENTE: 20 HECTÁREAS, SITUACIÓN EN DESARROLLO. 534</t>
  </si>
  <si>
    <t>CDGRD DEL TOLIMA, INFORMA, INCENDIO FORESTAL, EN LA VÍA MARIQUITA- HONDA, KM:3, AL LADO DE LA SUBASTA GANADERA, EN PROCESO Y  HACIENDO SEGUIMIENTO. 534</t>
  </si>
  <si>
    <r>
      <t xml:space="preserve">EL CONSEJO MUNICIPAL DE GESTIÓN DEL RIESGO DE PIAMONTE, REPORTA A LAS </t>
    </r>
    <r>
      <rPr>
        <sz val="9"/>
        <color indexed="8"/>
        <rFont val="Arial"/>
        <family val="2"/>
      </rPr>
      <t xml:space="preserve">10:43 </t>
    </r>
    <r>
      <rPr>
        <sz val="9"/>
        <color indexed="63"/>
        <rFont val="Arial"/>
        <family val="2"/>
      </rPr>
      <t>P.M DEL DÍA 21 DE AGOSTO DE 2013 UN TOTAL DE</t>
    </r>
    <r>
      <rPr>
        <sz val="9"/>
        <color indexed="8"/>
        <rFont val="Arial"/>
        <family val="2"/>
      </rPr>
      <t xml:space="preserve"> </t>
    </r>
    <r>
      <rPr>
        <b/>
        <sz val="9"/>
        <color indexed="8"/>
        <rFont val="Arial"/>
        <family val="2"/>
      </rPr>
      <t xml:space="preserve">497 </t>
    </r>
    <r>
      <rPr>
        <sz val="9"/>
        <color indexed="63"/>
        <rFont val="Arial"/>
        <family val="2"/>
      </rPr>
      <t>FAMILIAS DAMNIFICADAS POR LA INUNDACIÓN. RELACIONADAS DE LA SIGUIENTE MANERA;</t>
    </r>
    <r>
      <rPr>
        <b/>
        <sz val="9"/>
        <color indexed="8"/>
        <rFont val="Arial"/>
        <family val="2"/>
      </rPr>
      <t xml:space="preserve"> FAMILIAS: </t>
    </r>
    <r>
      <rPr>
        <sz val="9"/>
        <color indexed="8"/>
        <rFont val="Arial"/>
        <family val="2"/>
      </rPr>
      <t xml:space="preserve">MIRAFLOR CON 145, LA ISLA CON 15, PUERTO BELLO CON 9, VILLA DEL PRADO CON 3, DIAMANTE CON 12, NABUENO CON 1, LEONA CON 5, CABILDO AMBIWASI CON 1, SAN JORGE CON 1, MORRO CON 7, SAN JOSE DEL INCHIYACO, CABILDO GUASIPANGA CON 26, RESGUARDO SAN ANTONIO DEL FRAGUA CON 24, SEVILLA CON 5, CABILDO ALTO SUSPISACHA 15, SEGOVIA 18, YAPURA CON 2, TROJAYACO CON 1, RESGUARDO GUAYUYACO CON 25, RESGUARDO CAUCAPAPUNGO CON 9, LA FLORESTA CON 16,  CAMPO ALEGRE CON 2 , PORVENIR CON 9, CARAÑOCON 17, EL PORVENIR CON 4,  LA VEGA CON 18, ALMENDROS CON 19, EL CEDRO CON 17,  DELICIAS CON 7, VILLA DEL PRADO CON 9, PLAYA RICA CON 5, BONBONAL CON 12, CABECERA MUNICIPAL CON 1, CABILDO MUSURRACUNA CON 11,  CABILDO AMBIWASI CON 17, </t>
    </r>
    <r>
      <rPr>
        <b/>
        <sz val="9"/>
        <color indexed="8"/>
        <rFont val="Arial"/>
        <family val="2"/>
      </rPr>
      <t xml:space="preserve">VIVIENDAS DESTRUIDAS: </t>
    </r>
    <r>
      <rPr>
        <sz val="9"/>
        <color indexed="8"/>
        <rFont val="Arial"/>
        <family val="2"/>
      </rPr>
      <t xml:space="preserve">24, </t>
    </r>
    <r>
      <rPr>
        <b/>
        <sz val="9"/>
        <color indexed="8"/>
        <rFont val="Arial"/>
        <family val="2"/>
      </rPr>
      <t xml:space="preserve">VIVIENDAS AVERIADAS: </t>
    </r>
    <r>
      <rPr>
        <sz val="9"/>
        <color indexed="8"/>
        <rFont val="Arial"/>
        <family val="2"/>
      </rPr>
      <t>158, FAMILIAS EN ALBERGUE TEMPORAL:7 CENTRO CULTURAL RESGUARDO LA FLORESTA ESPAÑOLA, VIVIENDAS EN RIESGO: 173.</t>
    </r>
  </si>
  <si>
    <t>CDGRD REPORTA INCENDIO FORESTAL EN LIBANO VIA ARMERO GUAYABAL, SECTOR ALTO DE LAS ROSAS, CON AFECTACION DE 3 HECTAREAS DE PASTO Y RASTROJO, ATIENDE BOMBEROS . 535</t>
  </si>
  <si>
    <t>EL DEPARTAMENTO DEBE APOYAR ESTA SOLICITUD</t>
  </si>
  <si>
    <t>CDGRD REPORTA INCENDIO FORESTAL MARIQUITA  VIA ARMERO GUAYABAL, SECTOR SUBASTA GANADERA 3 HECTAREAS DE PASTO Y RASTROJO, ATIENDE BOMBEROS. 536</t>
  </si>
  <si>
    <t>REPORTA LE ING FREDY RAMIREZ  , EN EL MUNICIPIO  DE MEDIO ATRATO  EN LA VEREDA BEBARAMA SE DESBORDO SE ESTA REALIZANDO EDAN. 536</t>
  </si>
  <si>
    <t>REPORTA DESBORDAMIENTO DE ARROYO AMANZA GUAPO EL OCASIONA INUNDACION EN SECTORES DE COVEÑITAS Y GALLINAZO, DEJANDO 55 VIVIENDAS AVERIADAS, 55 FAMILIAS DAMINIFICADAS CON PERDIDAS DE MUEBLES, ENCERES Y ALIMENTOS, EL CMGRD SE ENCUENTRA ACTIVO Y REALIZANDO EDAN, REPORTA CDGRD. 537</t>
  </si>
  <si>
    <t>APOYO DEL FNGRD MEDIANTE TRANSFERENCIA ECONOMICA AL CDGRD CON EL OBJETO DE REALIZAR LA LIMPIEZA Y DESTRONQUE DEL RIO BAUDO ENTRE LOS CORREGIMIENTOS DE CUGUCHO Y LA PUREZA EN EL RIO BAUDO, MUNICIPIO DEL ALTO BAUDO – CHOCO”, PARA LO CUAL HARÁ UN PRIMER DESEMBOLSO POR VALOR DE SESENTA Y SIETE MILLONES SEISCIENTOS VEINTISÉIS MIL SIENTO NOVENTA PESOS CON TRECE CENTAVOS ($67.626.190,13) M/CTE, Y CIENTO SESENTA Y TRES MILLONES SEISCIENTOS CINCUENTA Y CUATRO MIL TRESCIENTOS SESENTA Y SIETE PESOS CON SETENTA Y CINCO CENTAVOS ($ 163.654.367,75) M/CTE, CON EL OBJETO DE REALIZAR LA LIMPIEZA Y DESTRONQUE DEL RIO URUDO ENTRE PUERTO CÓRDOBA Y LA BOCA EN EL RIO BAUDO, MUNICIPIO DEL ALTO BAUDO – CHOCO”, PARA LO CUAL HARÁ UN PRIMER DESEMBOLSO POR VALOR DE OCHENTA Y UN MILLONES OCHOCIENTOS VEINTISIETE MIL CIENTO OCHENTA Y TRES PESOS CON OCHENTA Y OCHO CENTAVOS             ($ 81.827.183,88) M/CTE, PARA UN TOTAL A TRANSFERIR POR LOS DOS PROYECTOS EN EL PRIMER DESEMBOLSO DE CIENTO CUARENTA Y NUEVE  MILLONES CUATROCIENTOS CINCUENTA Y TRES MIL TRESCIENTOS SETENTA Y CUATRO PESOS  ($ 149.453.374,00) M/CTE.</t>
  </si>
  <si>
    <t>APOYO DEL FNGRD MEDIANTE TRANSFERENCIA ECONOMICA AL CMGRD CON EL OBJETO DE APOYO PARA DAR RESPUESTA A LA PROBLEMÁTICA QUE SE PRESENTA EN EL BARRIO SAN JOAQUIN CAUSADO POR GRAVE DESLIZAMINETO DE TIERRA RESULTADO DE LA SATURACION DEL TERRENO POR LAS INTENSAS LLUVIAS GENERANDO PROBLEMAS DE ASENTAMIENTO DE LAS VIVIENDAS GENERANDO FALLAS SEVERAS EN LA ESTRUCTURA QUE PONEN EN PELIGRO A LOS HABITANTES DE LA ZONA. EL VALO DE LA TRANSFERENCIA ES DE $770,000,000, PARA LA REHUBICACION DE LAS FAMILIAS QUE SE ENCUENTRAN EN ZONA DE ALTO RIESGO POR FALLAS ESTRUCTURALES SEVERAS.</t>
  </si>
  <si>
    <t>CDGR D DE SANTANDER, INFORMA, SE PRESENTÓ ACCIDENTE, CON UNA PLUMA- GRUA, EN UN EDIFICIO EN CONSTRUCCIÓN, 2 PERSONAS FALLECIDAS. 538</t>
  </si>
  <si>
    <t>REPORTA SECCIONAL CHOCO: INCENDIO ESTRUCTURAL EL 21-08-2013, AL PARECER POR CORTO CIRCUITO, (EN EL ALMACEN DE CALZADO PARA TI), DESTRUYENDO TOTALMENTE EL LOCAL Y MERCANCIA, TAMBIEN FUE AFECTADO EL HOTEL SANTA CRUZ, DEJANDO  PERDIDA DE TELEVISORES, CAMA.  ASI MISMO EL LOCAL DONDE FUNCIONABA LA OFICINA DE SECRETARIA DE EDUCACION MUNICIPAL DEJANDO PERDIDA DE COMPUTADORES Y PAPELERIA. 538</t>
  </si>
  <si>
    <t>INFORMA BOMBEROS LERIDA QUE ATENDIERON INCENDIO FORESTAL EN LA ESCUELA  ALTO DE LAS ROSAS PARTE BAJA, SE QUEMARON 5-1/2H DE PASTOS, CAUSAS TALA DE ARBOLES, SE DIO INFORMACION A CORTOLIMA. 539</t>
  </si>
  <si>
    <t>INFORMA COORDINADOR CMGRD DEL GUAMO, INCENDIO FORESTAL EN LA VEREDA EL CHORRO, FINCA DEL  SR JOSE EVER VILLANUEVA, APOYA BOMBEROS GUAMO CONTROLADO, CONSUMIDAS 2H DE PASTO Y ARBOLES DE MANGO, CAUSAS DESCONOCIDAS. 539</t>
  </si>
  <si>
    <t>REPORTA BOMBEROS GUAMO INCENDIO FORESTAL  VEREDA EL CHORRO FINCA EL TUNJO, CONTROLADO CONSUMIDAS 3H DE PASTO PARA GANADO. 539</t>
  </si>
  <si>
    <t>EL CUERPO DE BOMBEROS DEL MUNICIPIO DE LA BELLEZA (SDER), REPORTA INCENDIO ESTRUCTURAL DE LA PLANTA DE COMPOSTAJE Y RECICLADORA DE BASURAS DEL MUNICIPIO, UBICADA EN LA VEREDA EL SAILAN. EL INCENDIO FUE ATENDIDO Y CONTROLADO POR EL CUERPO DE BOMBEROS SIN REPORTAR DAÑOS EN VIDAS HUMANAS. 539</t>
  </si>
  <si>
    <t>MEDIANTE INFORME  DE FECHA 20-08-2013 DEL COMITÉ MUNICIPAL DE GESTIÓN DEL RIESGO DE DESASTRE, INFORMA LA SECRETARIA MUNICIPAL DEL MUNICIPIO DE SAN VICENTE DE CHUCURI, LA AFECTACIÓN DE SIETE (7) VIVIENDAS RURALES EN EL SECTOR DE LAS VEREDA EL FILÓN Y EL CEIBAL. POR HABERSE PRESENTADO UN VENDAVAL Y CAUSAR LA SINIESTRALIDAD CON DAÑOS EN CULTIVOS DIVERSOS Y EN ESTRUCTURA DE LAS VIVIENDAS. 539</t>
  </si>
  <si>
    <r>
      <t>INFORMA CMGRD A TRAVES DE ACTA LOS DIAS 03 Y 04 DE MAYO DEL 2013, SE PRESENTARON FUERTES LLUVIAS OCASIONANDO INUNDACIONES, LA AFECTACION CORRESPONDE A 101 VIVIENDAS AFECTADAS, LA VIA TOPACIO-PUERTA CADENA, TOPACIO-CAMALA-CHARCO LARGO, 98 FAMILIAS AFECTADAS Y 310 PERSONAS AFECTADAS.</t>
    </r>
    <r>
      <rPr>
        <sz val="9"/>
        <color theme="5" tint="-0.249977111117893"/>
        <rFont val="Arial"/>
        <family val="2"/>
      </rPr>
      <t xml:space="preserve"> 
</t>
    </r>
    <r>
      <rPr>
        <sz val="9"/>
        <color theme="9" tint="-0.249977111117893"/>
        <rFont val="Arial"/>
        <family val="2"/>
      </rPr>
      <t xml:space="preserve">APOYO DEL FNGRD A TRAVES DE SUBSIDIOS DE ARRIENDO TEMPORAL PARA 10 FAMILIAS, A RAZON DE 6 FAMILIAS POR $250.000, 1 FAMILIAS POR $180.000, 1 FAMILIA POR $200.000, 1 FAMILIA POR $220.000, Y 1 FAMILIA POR $300.000, DURANTE 3 MESES CADA UNA, PARA UN TOTAL DE $7.200.000. </t>
    </r>
  </si>
  <si>
    <r>
      <t xml:space="preserve">18464 KIT NOCHE Y 2000 KIT ASEO, 2000 RACIONES, 50 ROLLOS DE PLASTICO A TRAVES DEL EJERCITO, EL VALOR DE OTROS CORRESPONDE A PAGO DE TRANSPORTE DE ELEMENTOS ENVIADOS POR EL EJERCITO NACIONAL
</t>
    </r>
    <r>
      <rPr>
        <b/>
        <sz val="9"/>
        <rFont val="Arial"/>
        <family val="2"/>
      </rPr>
      <t xml:space="preserve">GIRO DIRECTO POR VALOR DE $100.000.000 PARA LOGISTICA.
</t>
    </r>
    <r>
      <rPr>
        <b/>
        <sz val="9"/>
        <color rgb="FFFF0000"/>
        <rFont val="Arial"/>
        <family val="2"/>
      </rPr>
      <t>EL VALOR DE OTROS CORRESPONDE A PAGO DE TRANSPORTE DE ELEMENTOS ENVIADOS POR EL EJERCITO NACIONAL (1400 TONELADAS DE AYUDA HUMANITARIA EN LA RUTA BOGOTA - QUIBDO, QUE INCLUYE CARGUE Y DESCARGUE, ASI COMO EL SEGURO DE LA MERCANCIA.)</t>
    </r>
  </si>
  <si>
    <t>SALIO MOVIL 03 CON TRES UNIDADES PARA VERIFICACION DE VIVIENDA EN EL BARRIO LAS FERIAS LA CUAL AL PARECER UNA PARED  QUE  COLAPSO , CALLE 5 CRA 16 , TAMIBIEN SE CONTROLO PANAL DE ABEJAS EN LA FINCA MIRAFLORES. 540</t>
  </si>
  <si>
    <t>EL DÍA SÁBADO 17 DE AGOSTO DE 2013, SIENDO LA 1:30 PM SE PRESENTÓ EN EL MUNICIPIO DE SANTA CATALINA, EN LOS CORREGIMIENTOS DE GALERAZAMBA, PUEBLO NUEVO Y EN LA CABECERA MUNICIPAL UN VENDAVAL AFECTANDO VIVIENDAS, ÁRBOLES, POSTES Y LÍNEAS DE ENERGÍA, DEJANDO AL MUNICIPIO SIN SERVICIO ELÉCTRICO DURANTE UN ESPACIO DE 10 HORAS,SE AFECTÓ 106 VIVIENDAS, INSTITUCIONES EDUCATIVAS, PUESTOS DE SALUD Y LA IGLESIA DEL CORREGIMIENTO DE GALERAZAMBA POSTES Y CABLES DE ENERGÍA. 540</t>
  </si>
  <si>
    <t>CRUE RISARALDA, INFORMA, SOBRE VENDAVAL, PRESENTADO EN LA VEREDA: GUAYABAL, AFECTANDO: 14 VIVIENDAS POR DESTECHAMIENTO. 540</t>
  </si>
  <si>
    <t>CDGRD REPORTA ACCIDENTE DE TRANSITO AL FRENTE DE LAS PISCINAS DE COMFENALCO VIA A PICALEÑA DONDE UN MOTOCICLISTA PIERDE EL CONTROL DE Y CHOCA CONTRA EL SARDINEL DE NOMBRE MANUEL FERNANDO REYEZ DE 24 AÑOS DE EDAD APOYA EL CRUET CON MOVIL PROMOVER QUE AL LLEGAR AL SITIO ENCUENTRAN AL JOVEN SIN SIGNOS VITALES ATIENDE RED HOSPITALARIA. 541</t>
  </si>
  <si>
    <t>CDGRD DEL HUILA, INFORMA, INCENDIO FORESTAL, EXTINGUIDO, SECTOR. EL RESERVORIO, AFECTACIÓN: 1 HECTÁREA DE: PASTO Y RASTROJO, APOYARON BOMBEROS. 542</t>
  </si>
  <si>
    <t>CDGRD DEL HUILA, INFORMA, INCENDIO FORESTAL, EXTINGUIDO, VEREDA: ONDA ALTA, AFECTACIÓN: 2  HECTÁREAS DE: PASTO Y RASTROJO, APOYARON BOMBEROS. 542</t>
  </si>
  <si>
    <t xml:space="preserve"> CDGRD DEL CHOCO, INFORMA, EL DIA 21-08-2013, SE PRESENTÓ VENDAVAL E INUNDACIÓN SIENDO AFECTADOS 536 FAMILIAS, EN 4 COMUNIDADES, CON 28 VIVIENDAS NO HABITABLES Y  247 HABITABLES. 542</t>
  </si>
  <si>
    <t>REPORTA SECCIONAL NARIÑO: SE PRESENTO INCENDIO FORESTAL A LAS 10: 00 HORAS DEL 23-08-2013 HASTA LAS 17: 00 HORAS, EN LA VEREDA BELLA VISTA DEL MUNICIPIO TAMINANGO QUEMANDOCE 10 HECTAREAS DE VEGETACIÓN. PARTICIPARON 37 LÍDERES DCC. 542</t>
  </si>
  <si>
    <t>REPORTA SECCIONAL NARIÑO: SE PRESENTÓ, INCENDIO FORESTAL A LAS 14: 00 HORAS HASTA LAS 16: HORAS DEL 23-08-2013 EN LA VEREDA VILLAMARIA, DEL MUNICIPIO PROVIDENCIA, AFECTANDO  2 HECTAREAS DE VEGETACION PARTICIPARON 15 LÍDERES DCC.. 542</t>
  </si>
  <si>
    <r>
      <t>CDGRD REPORTA EN EL MUNICIPIO DE SANTUARIO REVISION POR VENDAVAL DE LA NOCHE ANTERIOR</t>
    </r>
    <r>
      <rPr>
        <sz val="7"/>
        <color indexed="63"/>
        <rFont val="Arial"/>
        <family val="2"/>
      </rPr>
      <t xml:space="preserve"> </t>
    </r>
    <r>
      <rPr>
        <sz val="9"/>
        <color indexed="63"/>
        <rFont val="Arial"/>
        <family val="2"/>
      </rPr>
      <t>VEREDA  LA ESPERANZA    1  VIVIENDA  AFECTADA EN TECHO  POR  CAIDA  DE  RAYO  EN ARBOL      CAUSANDO   QUE  LAS ASTILLAS     DEL ARBOL   DAÑARAN  15 HOJAS  DE ETERNIT    1 FAMILIA     5  PERSONAS, EN LA VEREDA LOS MANGOS  1 VIVIENDA  AFECTADA POR    VIENTOS   FUERTES     OCASIONARON    DESTECHAMIENTO  PARCIAL     1 FAMILIA,    4 PERSONAS.  543 </t>
    </r>
  </si>
  <si>
    <t>SE REGISTRO UN FUERTE INCENDIO EN LA AVENIDA COLON CON CALLE 24, DE LA CIUDAD DE TUNJA,  3 MAQUINAS DE BOMBEROS Y ESE SANTIAGO DE TUNJA RALIZAN ATENCION, SIENDO CONTROLADO EL INCENDIO QUE SE PRESENTÓ ESTA MADRUGADA EN 1 ALMACÉN DE REPUESTOS PARA MOTOCICLETAS CERCA AL PARQUE SANTANDER, EN EL SITIO NO HAY HERIDOS. 543</t>
  </si>
  <si>
    <t>CDGRD DEL TOLIMA, INFORMA, INCENDIO FORESTAL, EXTINGUIDO, EN LA VEREDA: GONGORA, SE CONSUMIERON: 30 HECTÁREAS DE PASTO, APOYARON: BOMBEROS. 544</t>
  </si>
  <si>
    <t>CDGRD DE SANTANDER, INFORMA, SABADO. 24-08-2013: 18.20   HORAS SOBRE LA VÍA EN EL SECTOR CONOCIDO LLEGADO AL  MUNICIPIO DE SANTA BÁRBARA SE PRESENTÓ DESLIZAMIENTO DE TIERRA A LA ALTURA DEL KILÓMETRO 91, LA  ALCALDÍA ENVIÓ MAQUINAR PARA RECUPERAR EL PASO DE VEHÍCULOS Y PERSONAL. SIN PRESENTAR AFECTACIÓN DE VIDAS HUMANAS. 544</t>
  </si>
  <si>
    <t>CDGRD DEL VALLE DEL CAUCA, Y DEFENSA CIVIL COLOMBIANA, REPORTA SE ATIENDE INCENDIO FORESTAL EN EL SECTOR: PICO DE AGUILA, CORREGIMIENTO: LA VORAGINE, SE HAN CONSUMIDO: 50 HECTÁREAS, APOYAN BOMBEROS CALI,  SITUACIÓN EN DESARROLLO. 544</t>
  </si>
  <si>
    <t>CDGRD DE ANTIOQUIA, INFORMA, REPRESAMIENTO DE UNA QUEBRADA, CORREGIMIENTO: LA ESTACIÓN, 1 VIVIENDA DESTRUIDA, 5 VIVIENDAS AVERIADAS, LAS CUALES QUEDARON EN RIESGO, SE EVACUARON LAS FAMILIAS, SITUACIÓN EN DESARROLLO. 544</t>
  </si>
  <si>
    <t>CDGRD DE ANTIOQUIA, INFORMA, REPRESAMIENTO DE UNA QUEBRADA,  3 VIVIENDAS AVERIADAS, SITUACIÓN EN DESARROLLO. 544</t>
  </si>
  <si>
    <t>CDGRD DE CALDAS REPORTA VENDAVAL EN ESTE MUNICIPIO EN ZONA URBANA SECTOR BARRIO NUEVO CON AFECTACION EN MAS DE 100 VIVIENADAS EN SUS TECHOS, ATIENDEN BOMBEROS Y CRUZ ROJASITUACION EN DESARROLLO. 545</t>
  </si>
  <si>
    <t>POR MEDIO DE LA SECRETARIA DE AMBIENTE DE TOLIMA REPORTA VENDAVAL ACOMPAÑADO DE FUERTES LLUVIAS EN LAS ULTIMAS 7 HORAS, DEJA AFECTACION EN 3 VIVIENDAS POR DESTECHAMIENTO, IGUAL NUMERO DE FAMILIAS, IGUALMENTE VARIOS ARBOLES DERRIBADOS VIA IBAGUE - PICALEÑA. 545</t>
  </si>
  <si>
    <t>SE PRESENTÓ  UN INCENDIO  FORESTAL, , EN  UN LOTE ALEDAÑO AL BARRIO EN BARRIO SAN IGNACIO  DONDE SE QUEMARON 500 MTS DE PASTOS, BOSQUES Y BASURA, SIENDO ATENDIDO Y CONTROLADO POR EL CUERPO DE BOMBEROS DEL CUAL NO SE PRESENTÓ AFECTACIÓN DE PERSONAS NI DE INFRAESTRUCTURA. 546</t>
  </si>
  <si>
    <t>REPORTA EL CORDINADOR DEL CONSEJO DEPARTAMENTAL UN PUNTO CRITICO SOBRE EL RIO SINU, MUNICIPIO DE LORICA, VEREDA PALO DE AGUA, SECTOR DE BOCA DE NICOLASA, ALLA SE PRESETNA UNA FILTRACION DE AGUA REBOSANDO LOS NIVELES DEL RIO. 546</t>
  </si>
  <si>
    <t>REPORTA EL COOD DEL CDGRD DE CHOCO DR FREDY RAMIREZ QU EL RIO SALAQUI Y TRUNDO SE DESBORDO EN LA ALTURA DEL MUNICIPIO DE RIOSUCIO, AFECTANDO A LAS COMUNIDADES DE TRUANDO MEDIO, CLAVELLINO,LA NUEVA JAGUA,MARCIAL,PICHINDE, DOS BOCAS, ISLOTE, SALAQUICITO,BARRANCO, PLAYA AGUIRRE. SE ESPERA LOS DATOS DE CMGRD A QUE TERMINEN DE REALIZAR EDAN. 546</t>
  </si>
  <si>
    <t>A LAS 8 DE LA MAÑANA SE REGISTRÓ LA EMERGENCIA EN LA INVASIÓN RINCÓN DE LAS MARGARITAS, LA CONFLAGRACIÓN INICIÓ POR LA EXPLOSIÓN DE UN CILINDRO DE GAS EN LA COCINA DE UNA DE LAS VIVIENDAS, HASTA AHORA TRES CASAS SE VIERON AFECTADAS POR LAS LLAMAS. LOS ORGANISMOS DE EMERGENCIA, EL CUERPO OFICIAL DE BOMBEROS, MIEMBROS DE LA POLICÍA METROPOLITANA Y LA COMUNIDAD AYUDAN A EXTINGUIR EL FUEGO. 547</t>
  </si>
  <si>
    <t xml:space="preserve">UNA TORRENCIAL LLUVIA PRESENTADA HACIA LAS TRES DE LA TARDE EN EL MUNICIPIO DE CAMPOALEGRE PUSO EN EMERGENCIA LA LOCALIDAD, AL PRESENTARSE CASAS DESTECHADAS EN LOS BARRIOS PANAMÁ, SAN ISIDRO, ALFONSO LÓPEZ Y DOCE DE OCTUBRE.ANTE LA EMERGENCIA, QUE OCASIONÓ LA SUSPENSIÓN DEL SERVICIO DE ENERGÍA POR LAS TORMENTAS ELÉCTRICAS QUE SE PRESENTARON Y AL DAÑO EN LOS CABLES DE ALTA TENSIÓN, LA ALCALDESA LOCAL, NEILA TRIVIÑO ROJAS Y LOS PRESIDENTES DE LAS JUNTAS DE ACCIÓN COMUNAL ACTIVARON EL CMGRD. 547 </t>
  </si>
  <si>
    <t>EL RIO  RIO CAPIRO , SE DESBORDOY AFECTO LAS COMUNIDADES DE GUINEAL, LA COMBA, PUERTO MELUK.  547</t>
  </si>
  <si>
    <t>REPORTAN DEL CDGRD QUE LA NOCHE ANTERIOR SE PRESENTO UN VENDAVAL EN LA ZONA RURAL DE PADUA, AFECTANDO A 2 VIVIENDAS CON PERDIDA DE CUBIERTA. 547</t>
  </si>
  <si>
    <t>REPORTA EL SEÑOR JAVIER BEDOYA DE VILLAHERMOSA TORMENTA ELECTRICA CON FUERTES LLUVIAS, AFECTANDO LA VIVIENDA DEL DIRECTOR DEL CMGRD, DESENTECHANDOLA Y A  LA VIVIENDA DE LA MAMA,LE CAYERON  VARIAS TEJAS ENCIMA AFECTANDOLA TAMBIEN, MAÑANA VERIFICAN DAÑOS EN EL RESTO DEL MPÍO Y ZONA RURAL. 547</t>
  </si>
  <si>
    <t>REPORTAN DEL CDGRD , SE PRESENTO UN INCEDIO FORESTAL EN HORAS DE LA MAÑANA EL CUAL YA FUE CONTROLADO EN SU TOTALIDAD, ATENDIERON BOMBEROS VOLUNTARIOS DE CALI, EN LE SECTOR DE  PEON  EN LA PARTE ALTA DE PANCE, SE  ESTA POR ESTABLECER LA CANTIDAD DE HECTAREAS CONSUMIDAS. 547</t>
  </si>
  <si>
    <t>REPORTA INCENDIO ESTRUCTURAL EN EL BARRIO SANTA ANA DEJANDO 9 VIVIENDAS DESTRUIDAS, 3 PERSONAS LESIONADAS, REPORTA SOCORRO NACIONAL Y CDGRD. 548</t>
  </si>
  <si>
    <t>CDGRD DE CUNDINAMARCA, INFORMA, REPORTE FINAL : JAIME ABDUL HERNÁNDEZ DEL CDGRD DE CUNDINAMARCA, HACE EL REPORTE FINAL DEL EVENTO ASÍ: EL INCENDIO SE INICIO A LAS 20:00 HORAS DEL DÍA 22/08/13 Y QUEDO EXTINGUIDO A LAS 12:14 HORAS DEL DÍA 27/08/13, OCURRIDO EN EL DEPARTAMENTO DE CUNDINAMARCA QUE AFECTO LOS MUNICIPIOS DE RICAURTE (VEREDAS CUMACA, SAN FRANCISCO Y LAS VARAS), AGUA DE DIOS (VEREDAS EL OVAL Y MALACHI) CONSUMIENDO APROXIMADAMENTE 600 HECTÁREAS ENTRE PASTIZALES, RASTROJO Y VEGETACIÓN NATIVA (PENDIENTE ELABORAR POLÍGONO POR PARTE DE LA CAR). NO SE PRESENTARON PERSONAS  NI INFRAESTRUCTURA AFECTADA, SE PROTEGIÓ UNA VIVIENDA QUE SE ENCONTRABA EN RIESGO; HORAS DE TRABAJO 80 EJERCITO APOYO AÉREO 10, FAC 7, CAR 30, BOMBEROS 23, ADMINISTRACIÓN MUNICIPAL 25, DEFENSA CIVIL 22, EJERCITO EN TIERRA 20, CDGRD CON EL GERENTE ADMINISTRATIVO JAIME ABDUL HERNÁNDEZ SÁNCHEZ. DECLARADA EMERGENCIA POR CALAMIDAD PUBLICA MEDIANTE DECRETO100 DEL 23/08/13 DEL MUNICIPIO DE RICAURTE.  EQUIPOS DE INTERVENCIÓN UTILIZADOS 5 VEHÍCULOS TERRESTRES, 2 HELICÓPTEROS CON BAMBY. EQUIPOS DE APOYO UTILIZADOS 10 TERRESTRES Y 2 AÉREOS PARA VUELOS DE RECONOCIMIENTO, MOTOBOMBAS 3 RADIOS DE COMUNICACIÓN 16, BOMBAS DE ESPALDA12 LIQUIDO RETARDANTE 25 GALONES, HERRAMIENTAS MANUALES 100, HORAS DE VUELO 15,6 CON 78 DESCARGAS DE BAMBI. 550</t>
  </si>
  <si>
    <t>INTENDENTE HERBERT AMAYA RAMÍREZ COMANDANTE DE POLICÍA DE JUNÍN, REPORTA DESLIZAMIENTO OCASIONADO POR LLUVIAS EN EL KILOMETRO 2 DE LA VÍA JUNÍN GACHETA, OBSTRUYENDO TOTALMENTE LA VÍA. NO HUBO DAÑO A PERSONAS O VEHÍCULOS. TIENDE CMGRD, POLICÍA Y EL ICCU. 550</t>
  </si>
  <si>
    <t>CDGRD DE SAN ANDRES, INFORMA, LLOVIENDO TORRENCIALMENTE, ALGUNOS ARBOLES CAIDOS,  TRES VIVIENDAS AFECTADAS, EN SUS TECHOS, SITUACIÓN EN DESARROLLO. 550</t>
  </si>
  <si>
    <t>CDGRD DEL TOLIMA, INFORMA, INCENDIO FORESTAL, EXTINGUIDO, EL EL VERGEL, SECTOR: LA VIRGEN, SE CONSUMIO 1 HECTÁREA DE MALEZA, ATENDIO BOMBEROS. 550</t>
  </si>
  <si>
    <t>D.C.C., INFORMA, SE PRODUCE INCENDIO ESTRUCTURAL EN VIVIENDA DEL MUNICIPIO DE PUERRES AL PARECER POR UN CORTO CIRCUITO. 550</t>
  </si>
  <si>
    <t>D.C.C., INFORMA, FUERTES LLUVIAS PRESENTADAS EN LA CABECERA MUNICIPAL SOBRE LAS 17:00 HORAS, CAUSANDO DAÑOS EN TECHOS DE ALGUNAS VIVIENDAS. 550</t>
  </si>
  <si>
    <t>REPORTA OFICINA MAGDALENA MEDIO, QUE EN EL CORREGIMIENTO DE MONTERREY  MUNICIPIO DE SIMITI (BOLIVAR), SE PRESENTÓ UN REPRESAMIENTO EN LA QUEBRADA EL BOQUE, LO QUE OCASIONÓ UNA AVALANCHA EN EL SECTOR, 30 FAMILIAS AFECTADAS. 550</t>
  </si>
  <si>
    <t>REPORTA SECCIONAL BOYACÁ, FUERTE VIENTOS, ACOMPAÑADO DE  LLUVIA EN EL CASCO URBANO EN EL MUNICIPIO DE MONIQUIRÁ, POR EL TÉRMINO DE UNA HORA DESDE LAS 16:30 A 17:30, DEJANDO COMO CONSECUENCIA CASAS DESTECHADAS, ARBOLES CAÍDOS, PARTE DEL MUNICIPIO Y VEREDAS SIN SERVICIO ELÉCTRICO. DE LAS 17:30 HASTA LAS 18:00 LOS VOLUNTARIOS DE LA DCC ATENDIERON LA SITUACIÓN PRESENTADA EN LAS HORAS DE LA MAÑANA DEL DÍA 27/08/13 VUELVEN A RETOMAR DESDE LAS 06:00 HORAS. 550</t>
  </si>
  <si>
    <t>CDGRD DEL HUILA, INFORMA, INCENDIO FORESTAL, EXTINGUIDO, VEREDA: EL VENADO, AFECTACIÓN DE: 60 HECTÁREAS DE:  PASTO Y RASTROJO, ATENDIO BOMBEROS DE NEIVA. 550</t>
  </si>
  <si>
    <t xml:space="preserve">APOYO MEDIANTE SUBSIDIO DE ARRIENDO TEMPORAL PARA 19 FAMILIAS DURANTE TRES MESES A RAZON DE UNA FAMILIA POR  $100.000, UNA POR $120.000, CUATRO POR $150.000 Y TRECE POR $200.000.
APOYO DEL FNGRD MEDIANTE SUBSIDIO DE ARRIENDO PARA 26 FAMILIAS DURANTE TRES MESES A RAZON DE 20 FAMILIAS POR $150,000 Y 6 FAMILIAS POR $200,000 MENSUALES. </t>
  </si>
  <si>
    <t>REPORTA CDGRD QUE DESDE LAS 3:20 AM SE PRESENTAN LLUVIAS EN FLORENCIA Y OTRAS PARTES DEL DEPARTAMENTO, AL MOMENTO 75 FAMILIAS AFECTADAS POR INUNDACION EN LOS BARRIOS BOS GUAMAN, RAICERO E ISLA 20, DE FLORENCIA, ATIENDEN ORGANISMOS DE SOCORRO Y PONAL. 552</t>
  </si>
  <si>
    <t>LUIS HERNANDO ROJAS LA TORRE, ALCALDE DE LA PALMA MEDIANTE ACTA 012 DEL CMGRD DE FECHA 26/08/13 INFORMA VENDAVAL OCURRIDO EL DÍA 25/08/13 EN HORAS DE LA NOCHE EL CUAL OCASIONÓ DAÑOS EN 6 VIVIENDAS QUE PERDIERON SUS TEJADOS EN LOS BARRIOS PUEBLO NUEVO, MARÍA AUXILIADORA Y EN LA VEREDA EL HATO, CON PERDIDA DE MUEBLES Y ENSERES, SOLICITA AYUDAS HUMANITARIAS. ATENDIO CMGRD, POLICÍA Y DEFENSA CIVIL. REPORTA CDGRD. 553</t>
  </si>
  <si>
    <t>REPORTA INCENDIO FORESTAL EN LA VEREDA SIBERIA CERCA AL MUNICIPIO DE CUNDAY, ATIENDE BOMBEROS, MAÑANA REINICIAN LABORES EN LA ZONA, REPORTA CDGRD, SITUACION EN DESARROLLO. 553</t>
  </si>
  <si>
    <t>CDGRD DEL TOLIMA, INFORMA, SE PRESENTÓ INCENDIO FORESTAL, SECTOR: RUINAS DE ARMERO, SE CONSUMIO: 1 HECTÁREA . 554</t>
  </si>
  <si>
    <t>CDGRD DEL TOLIMA, INFORMA, INCENDIO FORESTAL EN LA VEREDA: CHENCHE, SITUACIÓN EN DESARROLLO. 554</t>
  </si>
  <si>
    <t>CDGRD DEL TOLIMA, INFORMA, SE PRESENTÓ INCENDIO FORESTAL, SECTOR: INMEDIACIONES DEL AEROPUERTO,  SE CONSUMIERON: 8  HECTÁREAS DE PASTO. 554</t>
  </si>
  <si>
    <t>CDGRD DEL TOLIMA, INFORMA, SE PRESENTÓ INCENDIO ESTRUCTURAL EN CASA LOTE, EN EL SECTOR: VILLA LORENA, 1 VIVIENDA DESTRUIDA DESHABITADA, 1 HECTAREA CONSUMIDA. 554</t>
  </si>
  <si>
    <t>CDGRD DEL TOLIMA, INFORMA, SE PRESENTÓ INCENDIO FORESTAL, CONTIGUO FINCA, EL PALMAR, SE CONSUMIERON: 2 HECTÁREAS DE: RASTROJO Y MONTE. 554</t>
  </si>
  <si>
    <t xml:space="preserve">CDGRD DE CUNDINAMARCA, INFORMA, LUIS FERNANDO TORRES COORDINADOR DEL CMGRD DEL MUNICIPIO DE CAQUEZA, REPORTA MEDIANTE ACTA NUMERO 006 DE FECHA 26 DE AGOSTO DE 2013 REPORTA EMERGENCIA SANITARIA OCASIONADA A LAS 22:00 HORAS DEL 24/0813 CUANDO EN EL KILOMETRO 17 SITIO ABASTICOS LOS MANIFESTANTES DEL PARO AGRARIO RETUVIERON 2 TRACTO MULAS CARGADAS DE PETRÓLEO CRUDO Y ABRIERON LAS VÁLVULAS DE LOS TANQUES REGANDO UN PROMEDIO DE 2000 GALONES DEL PRODUCTO QUE CAYERON A LA QUEBRADA MONAR QUE ALIMENTA EL RIO CAQUEZA DONDE SURTE AGUA EL ACUEDUCTO MUNICIPAL, LO CUAL CONTAMINO LA BOCATOMA DEL MISMO GENERANDO EMERGENCIA SANITARIA EN TODO EL PERÍMETRO URBANO LO QUE OBLIGO A LA SUSPENSIÓN DE CLASES EN LOS ENTES EDUCATIVOS Y DISTRIBUCIÓN DE GUA POTABLE CON CARRO TANQUES. ATIENDE HIDROSPILL, EMPRESA MUNICIPAL DE SERVICIOS PÚBLICOS, EL CMGRD CON EL APOYO DE 1 CARRO TANQUE DE LA EMPRESA DE SERVICIOS PÚBLICOS DE CUNDINAMARCA, OTRO DE LA DEFENSA CIVIL SECCIONAL CUNDINAMARCA Y LA COORDINACIÓN DE LA UAEGRD DE CUNDINAMARCA. 554 </t>
  </si>
  <si>
    <t>MY. IVÁN DARÍO VALENZUELA COORDINADOR DE BOMBEROS DE CUNDINAMARCA, INFORMA QUE EL DÍA 22/05/13 A ESO DE LAS 16:30 HORAS, UN OBRERO QUE LABORABA EN LA CONSTRUCCIÓN DEL PUENTE CASA DE TABLA SOBRE EL RIO NEGRO DE LA VÍA BOGOTÁ VILLAVICENCIO, CAYO AL RIO SIENDO ARRASTRADO POR LAS AGUAS. DEFENSA CIVIL, BOMBEROS, CONCESIÓN Y POLICÍA REALIZAN BÚSQUEDA DEL CUERPO EN EL CAUSE DEL RIO. EL CUERPO FUE RESCATADO A LAS 12:30 HORAS DEL DÍA 23/05/13, EFECTUÓ LEVANTAMIENTO LA FISCALÍA Y LA POLICÍA.</t>
  </si>
  <si>
    <t>REPORTA EL DEPARTAMENTO MEDIANTE ACTA QUE EL DIA 05 DE JUNIO SE PRESENTARONN LLUVIAS TORRENCIALES Y FUERTES VIENTOS HURACANADOS EN EL MUNICIPIO DE MOMIL, DEJANDO 35 FAMILIAS AFECTADAS EN SUS VIVIENDAS.</t>
  </si>
  <si>
    <t>EL DIRECTOR DEL CDGRD DR GUSTAVO ORTEGA REPORTA INUNDACIONES EN EL MUNICIPIO DE MILLAN,  POR EL RIO ORTEGIAZA , HASTA EL MOMENTO INFORMA 136 FAMILIAS AFECTADAS. POR LAS LLUVIAS, EN LAS VEREDAS VILLA NORA, BOMBAY, PUERTO DIAGO, LA PITA, YUMAL, SAN RAFAEL, HERICHA, GETUCHA, Y TOMINEJO. -472</t>
  </si>
  <si>
    <t>REPORTA LUZ ADRIANA ESCOBAR CRUE RISARALDA, EN LA NOCHE SE PRESENTÓ UN INCENDIO EN FÁBRICA DE VELADORAS, 5 LESIONADOS DEL CUERPO DE BOMBEROS, CONSULTARON EN CLÍNICA LOS ROSALES, MANEJO  AMBULATORIO, LAS VÍAS MARSELLA-PEREIRA Y MARSELLA-CHINCHINÁ, BLOQUEADAS POR PARO AGRARIO.</t>
  </si>
  <si>
    <t>REPORTA CDGRD CHOCO QUE EN EL DÍA DE HOY EN HORAS DE LA MADRUGADA SE PRESENTÓ UN VENDAVAL ACOMPAÑADO DE UNA FUERTE AVENIDA TORRENCIAL AFECTANDO VARIAS COMUNIDADES INDÍGENAS DEL MUNICIPIO. 555</t>
  </si>
  <si>
    <t>EL CUERPO DE BOMBEROS REPORTA INCENDIO FORESTAL DE MENOR MAGNITUD APROXIMADAMENTE (2 HÁ), LA QUEMA DE MALEZA, ARBUSTOS Y PASTOS EN PREDIO MONTAÑOSO DEL BARRIO LAS OLAS Y LAS HAMACAS UBICADOS AL NORTE DE LA CIUDAD. SIENDO ATENDIDO Y CONTROLADO POR EL CUERPO DE BOMBEROS SIN AFECTAR ESTRUCTURAS O VIDAS HUMANAS. 555</t>
  </si>
  <si>
    <t>CDGRD REPORTA VENDAVAL EN ESTE MUNICIPIO EN HORAS DE LA TARDE DEJANDO 2 FAMILIAS, 2 VIVIENDAS AFECTADAS EN SUS CUBIERTAS, CMGRD REALIZA RESPECTIVA ATENCION, NO LESIONADOS U OTRO. 556</t>
  </si>
  <si>
    <r>
      <t xml:space="preserve">CDGRD REPORTA </t>
    </r>
    <r>
      <rPr>
        <sz val="9"/>
        <rFont val="Arial"/>
        <family val="2"/>
      </rPr>
      <t>VENDAVAL E INUNDACIONES EL DIA 26/08/2013 CAUSARON LA PÉRDIDA DE LOS TECHOS DE LAS VIVIENDAS DE LAS COMUNIDADES DE VIRUDÓ, PIZARRO, POMEÑO Y PUNTA HIJUÁ EN DONDE 135 FAMILIAS Y 623 PERSONAS PERDIERON 3.410 LÁMINAS DE TECHO DE SUS VIVIENDAS DE IGUAL FORMA 156 FAMILIAS Y 652 PERSONAS PERDIERON 410 HECTÁREAS DE CULTIVOS DE PAN COGER EN LOS RÍOS POR CAUSA DE LA INUNDACIÓN. 556</t>
    </r>
  </si>
  <si>
    <t>CDGRD Y CMGRD REPORTAN EMERGENCIA INICIADA EL DIA DE AYER EN HORAS DE LA MADRUGADA DEBIDO AL INCREMENTO EN LOS NIVELES DE LOS CAÑOS Y CIENEGA VILORIA Y EL RABON EN EL MUNICIPIO DE SAN MARCOS PRODUCTO DEL INGRESO DE LAS AGUAS DEL RIO CAUCA POR EL PUNTO SANTA ANITA EN ANTIOQUIA, COMUNIDAD AFECTADA EL CHOPA, TUMBACOJO, EL LATAL, EL TORNO, PARCELAS LA GLORIA, VILORIA, CAMPANITO, MONOSOLO, LA MANCHA, VENECIA, LA METRA, APOYA DEFENSA CIVIL. 556</t>
  </si>
  <si>
    <t>REPORTA INCENDIO ESTRUCTURAL EN PLANTA DE ECOPETROL UBICADA EN EL SECTOR INDUSTRIAL DE MAMONAL DEJANDO 4 OBREROS HERIDOS LOS CUALES FUERON TRASLADADOS A LA CLINICA SAN JUAN DE DIOS, CONTROLADO Y EXTINGUIDO POR BRIGADA DE EMERGENCIA DE LA EMPRESA Y BOMBEROS CARTAGENA, REPORTA CMGRD. 557</t>
  </si>
  <si>
    <t>REPORTA CDGRD ASTREA UN FUERTE AGUACERO CON VENDAVAL QUE AFECTO LA CABECERA MUNICIPAL DE VARIOS CORREGIMIENTOS COMO ARJONA, EN EL MOMENTO SE REALIZA LA RECOLECCION DE DATOS DE LOS AFECTADOS, A LA HORA APROXIMADAMENTE 100 VIVIENDAS A ESPERA DE QUE TERMIINE LA CUANTIFICACION TOTAL. 558</t>
  </si>
  <si>
    <r>
      <t>REPORTA QUE EL DIA DE AYER SE PRESENTO DESLIZAMIENTO EN LA VEREDA SAN ROQUE, BARRIO FLANDES, OCASIONANDO 7 VIVIENDAS DESTRUIDAS, 27 VIVIENDAS AVERIADAS, 55 FAMILIAS AFECTADAS, SEGÚN EVALUACION DEL CMGRD Y CDGRD, REPORTA CDGRD DAVID RODRIGUEZ. - 449
REPORTA REMOCION EN MASA POR SATURACIÓN DEL SUELO, DEBIDO A FUERTES LLUVIAS, OCASIONANDO AFECTACION EN EL BARRIO FLANDES DEL CASCO URBANO DE ESTE MUNICIPIO, DEJANDO 7 VIVIENDAS DESTRUIDAS, 20 VIVIENDAS AVERIADAS, 58 FAMILIAS, SEGÚN EVALUACION DEL CMGRD Y CDGRD, REPORTA CDGRD DAVID RODRIGUEZ-453</t>
    </r>
    <r>
      <rPr>
        <sz val="9"/>
        <color rgb="FFFF0000"/>
        <rFont val="Arial"/>
        <family val="2"/>
      </rPr>
      <t xml:space="preserve">
APOYO DEL FNGRD POR MEDIO DE SUBSIDIO DE ARRIEDO  PARA 31 FAMILIAS DURANTE TRES MESES A RAZON DE $350,000 MENSUALES.</t>
    </r>
  </si>
  <si>
    <t>CDGRD DEL  CAUCA, INFORMA, INCENDIO ESTRUCTURAL, EN LA VEREDA LA HONDA, DEL MUNICIPIO DE TIMBIO, EN LA CASA DE LA SEÑORA ROSA HELENA PISO IDENTIFICADO CON CEDULA DE CIUDADANIA 34.543.677 DE POPAYAN; PERSONAS QUE HABITABAN LA VIVIENDA DESTRUIDA, SON TRES (3) MENORES DE EDAD Y TRES (3) ADULTOS; NO SE CONOCEN LAS CAUSAS. LOS BOMBEROS DE POPAYAN Y DE TIMBIO ASISTIERON LA EMERGENCIA. 559</t>
  </si>
  <si>
    <t>CDGRD DE SANTANDER, INFORMA, SE PRESENTA, DESLIZAMIENTO EN LA VÍA BUCARAMANGA- CUCUTA, PASO A UN SOLO CARRIL, SITUACIÓN EN DESARROLLO. 559</t>
  </si>
  <si>
    <t>CDGRD DE NARIÑO, INFORMA, INCENDIO FORESTAL EN EL MPIO DE CONSACA VEREDA: RUMIPAMBA, 3 HAS AFECTADAS, ATIENDE ALCALDIA DE CONSACA Y D.C.C. SANDONA, SITUACIÒN EN DESARROLLO. 559</t>
  </si>
  <si>
    <t>CDGRD DE NARIÑO, INFORMA, SE PRESENTA INCENDIO FORESTAL, VEREDA: LAS LOMAS, ATIENDE BOMBEROS LA FLORIDA, SITUACIÓN EN DESARROLLO. 559</t>
  </si>
  <si>
    <t>CDGRD DE NARIÑO, INFORMA,  BARRIO. PANORAMICO, INCENDIO FORESTAL, EXTINGUIDO, PENDIENTE AFECTACIÓN.559</t>
  </si>
  <si>
    <t xml:space="preserve"> INCENDIO FORESTAL, EN EL MPIO DE CALI, EN LOS FARALLONES, VEREDA: EL PEÓN, LA VORAGINE, BOMBEROS INFORMA, QUE FUE EXTINGUIDO A LAS 14:39 HORAS,  SE CONSUMIERON. 30 HECTÁREAS DE BOSQUE PRIMARIO. 559</t>
  </si>
  <si>
    <t>CDGRD DE CUNDINAMARCA, INFORMA, RAFAEL ROBLES DE LA CAR Y YOLANDA LEÓN DEL CMGRD DE EL PEÑÓN, REPORTA INCENDIO FORESTAL EN LA VEREDA JAGUAL MATECAÑA INICIADO A LAS 13:30 HORAS DEL 30/08/13 CON AFECTACIÓN DE 1.5 HECTÁREAS DE EUCALIPTO, ATIENDE CMGRD, DEFENSA CIVIL, BOMBEROS PACHO Y COMUNIDAD. QUEDO EXTINGUIDO A LAS 15:30 HORAS DEL 30/08/13. 559</t>
  </si>
  <si>
    <t>CDGRD DE CUNDINAMARCA, INFORMA, RAFAEL ROBLES DE LA CAR Y ALFONSO MÉNDEZ DE  BOMBEROS DE GUAYABAL DE SIQUIMA, REPORTAN INCENDIO FORESTAL INICIADO A LAS 07:00 HORAS DEL 30/08/13 EN LA VEREDA MANOA FINCA EL AGUILITA, ATIENDE CMGRD,  5 BOMBEROS DE GUAYABAL,4 BOMBEROS DE VIANI, 5 DE LA DEFENSA CIVIL DE SAN JUAN DE RIO SECO Y  80 PERSONAS DE LA COMUNIDAD. EXTINGUIDO A LAS 16:30 HORAS DEL 30/08/13 CON AFECTACIÓN DE 10 HECTÁREAS ENTRE RASTROJO Y PASTOS. 559</t>
  </si>
  <si>
    <t>CDGRD DEL TOLIMA, INFORMA, SE PRESENTÓ, INCENDIO FORESTAL, EN EL CONJUNTO: VILLA MAGDALENA, SE CONSUMIERON: 5 HECTÁREAS, EXTINGUIDO A LA HORA. 559</t>
  </si>
  <si>
    <t>CDGRD DEL TOLIMA, INFORMA, SE PRESENTÓ INCENDIO FORESTAL, EN LA VEREDA: BARROSO, SE CONSUMIO 1 HECTÁREA, EXTINGUIDO A LA HORA. 559</t>
  </si>
  <si>
    <t>CDGRD DE GUAINIA, INFORMA, INCENDIO ESTRUCTURAL, BARRIO: CUCURITAL, 1 VIVIENDA DESTRUIDA, SIN LESIONADOS. 559</t>
  </si>
  <si>
    <t>CDGRD REPORTA EN EL CORREGIMIENTO DE PUEBLO TAPAO, VEREDA LA MARIA, COLAPSO TOTAL DE UNA VIVIENDA,  HABITADA POR DOS PERSONAS, ATIENDE BOMBEROS ARMENIA. 560</t>
  </si>
  <si>
    <t>CDGRD Y CITEL TOLIMA REPORTAN INCENDIO FORESTAL INICIADO EN HORAS DE LA NOCHE EN EL MUNICIPIO DE CARMEN DE APICALA VEREDA PEÑON BLANCO, POR RAZONES DE SEGURIDAD PERSONAL DE BOMBEROS NO SALIO ANOCHE, INICIAN LABORES AL MOMENTO SITUACION EN DESARROLLO. 560</t>
  </si>
  <si>
    <t>CDGRD Y CITEL TOLIMA REPORTAN INCENDIO FORESTAL INICIADO EN HORAS DE LA NOCHE EN EL MUNICIPIO DE CARMEN DE APICALA  EN LAS VEREDAS LA FLORIDA Y MORTIÑO, CERRO EL PASO, POR RAZONES DE SEGURIDAD PERSONAL DE BOMBEROS NO SALIO ANOCHE, LIMITES CON EL MUNICIPIO DE SUAREZ,  INICIAN LABORES AL MOMENTO SITUACION EN DESARROLLO. 560</t>
  </si>
  <si>
    <t>REPORTA INCENDIO ESTRUCTURAL EN UNA BODEGA, ATIENDE BOMBEROS LOS CUALES REPORTAN LA RECUPERACION DEL CUERPO DE UNA PERSONA. REPORTA CDGRD. 561</t>
  </si>
  <si>
    <t>CDGRD DEL TOLIMA, INFORMA, INCENDIO FORESTAL, EXTINGUIDO,  EN EL CERRO ALTO DE LA VIRGEN, APOYARON: BRIGADISTAS DE LA D.C.C. 562</t>
  </si>
  <si>
    <t>CDGRD DEL TOLIMA, INFORMA, INCENDIO FORESTAL, EXTINGUIDO, SE CONSUMIERON 2  HECTÁREAS DE:PASTO. 562</t>
  </si>
  <si>
    <t>CDGRD DEL TOLIMA, INFORMA, INCENDIO FORESTAL, EXTINGUIDO, SECTOR. COPORNICA, SE CONSUMIERON 10  HECTÁREAS DE:PASTO. 562</t>
  </si>
  <si>
    <t>REPORTA SECCIONAL CORDOBA: FUERTES LLUVIAS EN HORAS DE LA MADRUGADA DEL 29-08-2013, PROVOCAN INUNDACIONES EN EL MUNICIPIO DE MONTERIA, CORREGIMIENTO SANTA ISABEL, 30 VIVIENDAS RESULTARON AFECTADAS, 2 VIVIENDAS DESTRUIDAS, 32 FAMILIAS AFECTADAS Y 160 PERSONAS DAMNIFICADAS. PARTICIPACIÓN DE 10 LÍDERES DCC: 562</t>
  </si>
  <si>
    <t>CDGRD DEL TOLIMA, INFORMA, INCENDIO FORESTAL, EXTINGUIDO, SECTOR: CARACOLI, FINCA: LA HERMITAN, SE CONSUMIO. 1/2 DE PASTO. 562</t>
  </si>
  <si>
    <t>D.C.C., INFORMA, LOS LÍDERES AYUDARON A LA EVACUACIÓN DE LAS FAMILIAS DE LA MAGDALENA 15 FAMILIAS 75 PERSONAS, EN LA POLA 1 FAMILIA 6 PERSONAS POR DESLIZAMIENTO SE LE VINO LA CASA ABAJO ERA DE MATERIAL QUEDANDO DAMNIFICADOS. 562</t>
  </si>
  <si>
    <t>D.C.C., INFORMO SE PRESENTÓ VENDAVAL, AFECTANDO, VIVIENDAS EN 5 BARRIOS:  ALTO DEL VOLCÁN, MAJUCAL, FLOR DE CANO, GUATE, MAXIMILIANO MASCOTA, LA ESMERALDA, REALIZAN EDAN, SITUACIÓN EN DESARROLLO. 562</t>
  </si>
  <si>
    <t>REPORTA DIRECTOR SECCIONAL GUAJIRA: LLUVIAS TORRENCIALES EL 29-08-2013 A LAS 19: 53 HORAS, EN EL MUNICIPIO DE DIBULLA CORREGIMIENTO PALOMINO, BARRIO CARMEN GARZÓN, RESULTANDO 3 FAMILIAS AFECTADAS, 3 VIVIENDAS,  15 PERSONAS. PARTICIPARON LÍDERES VOLUNTARIOS DCC. 562</t>
  </si>
  <si>
    <t>REPORTA DIRECTOR SECCIONAL GUAJIRA: DESLIZAMIENTO POR LAS LLUVIAS EN EL MUNICIPIO DE ALBANIA, CERRO LA CEBOLLONA, EL 29-08-2013 EN HORAS DE LA NOCHE, AFECTANDO EL ACUEDUCTO MUNICIPAL. 562</t>
  </si>
  <si>
    <t>REPORTA DIRECTOR SECCIONAL GUAJIRA: VENDAVAL OCURRIDO EL 29-08-2013 EN EL M/PIO DE DIBULLA CORREGIMIENTO MINGUEO. PENDIENTE AMPLIACION. 562</t>
  </si>
  <si>
    <t>CDGRD DEL HUILA, INFORMA, INCENDIO FORESTAL, EXTINGUIDO, VEREDA: SAN FRANCISCO, SE CONSUMIERON: 5 HECTÁREAS DE PASTO Y RASTROJO, APOYO BOMBEROS. 562</t>
  </si>
  <si>
    <t>CDGRD DEL HUILA, INFORMA, INCENDIO FORESTAL, EXTINGUIDO, VEREDA: MESA DE HERNANDEZ,  SE CONSUMIERON: 15 HECTÁREAS DE PASTO Y RASTROJO, APOYO BOMBEROS. 562</t>
  </si>
  <si>
    <t>CDGRD DEL HUILA, INFORMA, INCENDIO FORESTAL, EXTINGUIDO, VEREDA: SAN ISIDRO, SE CONSUMIERON: 30 HECTÁREAS DE PASTO , APOYO BOMBEROS. 562</t>
  </si>
  <si>
    <t>REPORTA DESBORDAMIENTO RIO VOLCAN OCASIONANDO INUNDACION EN EL BARRIO VILLA CRUZ, 6 VIVIENDAS AVERIADAS, 6 FAMILIAS, 30 PERSONAS, REPORTA DIRECCION NACIONAL DE BOMBEROS. 563</t>
  </si>
  <si>
    <t>REPORTA DESLIZAMIENTO EN LA VEREDA CERRO DE LAS LAJAS, 1 VIVIENDA AVERIADA LA CUAL FUE EVACUADA POR ALTO RIESGO DE COLAPSO, 1 FAMILIA, 5 PERSONAS, REPORTA DIRECCION NACIONAL DE BOMBEROS. 563</t>
  </si>
  <si>
    <t>REPORTA DESLIZAMIENTO EN EL BARRIO CAICEDO DEJANDO 2 VIVIENDAS AVERIADAS, 2 FAMILIAS, 10 PERSONAS, 1 PERSONA LESIONADA TRASLADADA A CLINICA SALUDCOOP, REPORTA CDGRD Y CMGRD. 563</t>
  </si>
  <si>
    <t>REPORTA INCENDIO FORESTAL VEREDA EL DIAMANTE FINCA LA MALOKA AFECTANDOSE 1 HECTAREA DE PASTO PARA GANADO, CONTROLA Y EXTINGUE BOMBEROS, REPORTA CDGRD. 563</t>
  </si>
  <si>
    <t>REPORTA INCENDIO FORESTAL EN LA FINCA LOS CIRUELOS, CONTROLADO Y EXTINGUIDO POR BOMBEROS, 2 HECTAREAS AFECTADAS, REPORTA CDGRD. 563</t>
  </si>
  <si>
    <t>CMGRD DE VALLEDUPAR, INFORMA, SE PRESENTA FUERTE VENDAVAL, COLAPSO 1 PARED EN EL BATALLON DE INGENIEROS, PENDIENTE MAS INFORMACIÓN. -564</t>
  </si>
  <si>
    <t>CDGRD DEL TOLIMA, INFORMA, SE PRESENTÓ INCENDIO FORESTAL, EN LA RESERVA SAN JUAN, SE CONSUMIERON. 2 HECTÁREAS DE. HELECHOS Y BEJUCOS, EXTINGUIDO A LA HORA. -564</t>
  </si>
  <si>
    <t>APOYO DEL FNGRD MEDIANTES UNA TRANSFERENCIA ECONOMICA POR UN VALOR DE $700,000,000, PARA LA CREACION DEL CENTRO LOGISTICO DE SUMINISTROS CON EL OBJETO DE ACOPIO Y DISTRIBUCION DE AYUDA HUMANITARIA. CON AREA PARA SALA DE CRISIS CON EL FIN DE TOMA DE DECISIONES NECESARIAS Y RESPONSABLES A LA HORA DE APOYAR Y/O ATENDER UN EVENTO DE DESASTRES EN EL DEPARTAMENTO DE ANTIOQUIA Y DEMAS ACCIONES QUE REQUIRA EL SISTEMA NACIONAL DE GESTION DEL RIESGO DE DESASTRES</t>
  </si>
  <si>
    <t>SE REGISTRA INCENDIO FORESTAL EN TERRENO ALEDAÑO AL RELLENO SANITARIO DOÑA JUANA, SE DEESCONOCEN CAUSAS, BOMBEROS DE LA ESTACION MARICHUELA SALIERON ATENDER LA EMERGENCIA INICIALMENTE, DADO LAS CONDICIONES DE TERRENO Y TIEMPO, REINICIARAN LABORES SOBRE LAS 06:00 HORAS. -567</t>
  </si>
  <si>
    <t>REPORTA SECCIONAL VALLE DEL CAUCA: AFECTACIONES POR INCENDIO FORESTAL DEL 01-09-2013 EN JURISDICCIÓN MUNICIPIO DE VIJES VEREDA EL AROMAL. RESULTANDO 10 HECTAREAS AFECTADAS POR EL FUEGO. PARTICIPARON 8 LÍDERES DCC. -566</t>
  </si>
  <si>
    <t>INFORMAN DEL CDGRD ING FREDY RAMIREZ QUE EL RIO SAN PABLO SE DESBORDO POR LAS LLUVIAS REGISTRADAS EN LA ULTIMAS HORAS, AFECTANDO LAS COMUNIDADES DE MANAGRU, PUERTO PERVEL, LA ISLA, JOROD,DUANA, SE HA RECIBIDO INFORMACION DE  UNAS 815 FAMILIAS AFECTADAS. -565</t>
  </si>
  <si>
    <t>POR FUERTES VIENTOS REGISTRADOS EN LAS ULTIMAS HORAS SE PRESENTO UN DESENTECHAMIENTO EN  2 VEREDAS ( NUEVA VISTA Y EL PUYASO DEL MUNICIPIO DE BUENAVISTA,  AFECTANDO A 45 CASAS CON PERDIDAD DE TECHOS. -565</t>
  </si>
  <si>
    <t>EL CMGRD DE CARTAGENA REPORTA NQUE EN ELE SECTOR DEL POZON , CAYO UN RAYO Y AFECTO A 8 VIVIENDAS POR PERDIDA DE ELECTRODOMESTICOS, BOMBEROS VOLUTARIOS ESTAN REALIZANDO EDAN. -565</t>
  </si>
  <si>
    <t>CDGRD DEL VALLE DEL CAUCA, INFORMA, SE PRESENTÓ INCENDIO FORESTAL, SE CONSUMIERON: 2 HECTÁREAS, EXTINGUIDO A LA HORA. -566</t>
  </si>
  <si>
    <t>CDGRD DEL VALLE DEL CAUCA, INFORMA, SE PRESENTÓ INCENDIO FORESTAL, SE CONSUMIERON: 3 HECTÁREAS, EXTINGUIDO A LA HORA. -566</t>
  </si>
  <si>
    <t>CDGRD DE SUCRE, INFORMA, INUNDACIONES POR DESBORDAMIENTO DE ARROYOS, ZONA URBANA, BARRIOS: LOS LAURELES, CIUDADELA NORTE, PLAYA HERMOSA, VILLA NAZARETH, COSTA AZUL, LUIS CARLOS GALAN, CORREGIMIENTOS:  PITA EN MEDIO, NUEVA ERA, PALO BLANCO, , AFECTADAS APROXIMADAMENTE: 297 FAMILIAS, 2700 PERSONAS, SITUACIÓN EN DESARROLLO. -566</t>
  </si>
  <si>
    <t>CDGRD DE CUNDINAMARCA, INFORMA, BRÍGIDA BARRAGÁN DE BOMBEROS DE QUEBRADA NEGRA, REPORTA INCENDIO FORESTAL EN LA VEREDA NACEDEROS, INICIADO A LAS 14:00 HORAS DEL DÍA 31/08/13 Y EXTINGUIDO A LAS 16:30 HORAS DEL MISMO DÍA CON AFECTACIÓN DE 1 HECTÁREA DE BOSQUE NATIVO. ATENDIÓ BOMBEROS QUEBRADA NEGRA Y COMUNIDAD. -566</t>
  </si>
  <si>
    <t>CDGRD DE CUNDINAMARCA, INFORMA, BRÍGIDA BARRAGÁN DE BOMBEROS DE QUEBRADA NEGRA, REPORTA INCENDIO FORESTAL EN LA VEREDA PILONES, INICIADO A LAS 10:00 HORAS DEL DÍA 30/08/13 Y EXTINGUIDO A LAS 12:30 HORAS DEL MISMO DÍA CON AFECTACIÓN DE 2 HECTÁREAS DE BOSQUE NATIVO, PASTIZALES. ATENDIÓ BOMBEROS QUEBRADA NEGRA Y COMUNIDAD. -566</t>
  </si>
  <si>
    <t>CDGRD DE CUNDINAMARCA, INFORMA,  SG. CARLOS ANDRÉS ROZO GÓMEZ DE BOMBEROS EL COLEGIO, REPORTA INCENDIO FORESTAL EN LA VEREDA CALANDAIMA DE VIOTA, INICIADO A LAS 12:30 HORAS, EXTINGUIDO A LAS 16:45 DEL 02/09/13 CON AFECTACIÓN DE 0,5 HECTÁREAS DE GUADUA ATENDIÓ BOMBEROS EL COLEGIO, BOMBEROS TOCAIMA, BOMBEROS ANAPOIMA Y COMUNIDAD. -566</t>
  </si>
  <si>
    <t>CDGRD DE CUNDINAMARCA, INFORMA, TE RAÚL RIOBUENO DE BOMBEROS SOACHA REPORTA INCENDIO FORESTAL EN EL PARQUE ECOLÓGICO CHICAQUE INICIADO A LAS 11:00 Y EXTINGUIDO A LAS 15:00 HORAS DEL 01/09/13 CON AFECTACIÓN DE 5 HECTÁREAS DE VEGETACIÓN NATIVA. ATENDIÓ BOMBEROS SOACHA Y POLICÍA. +566</t>
  </si>
  <si>
    <t>CDGRD DE CUNDINAMARCA, INFORMA, JAIME GUZMAN DE BOMBEROS ANAPOIMA REPORTA INCENDIO FORESTAL EN LA INSPECCION DE SAN ANTONIO INICIADO A LAS 11:15 Y EXTINGUIDO A LAS 14:30 HORAS DEL 01/09/13 CON AFECTACION DE 1 HECTAREA ENTRE RASTROJO Y PASTOS. ATENDIO BOMBEROS ANAPOIMA Y COMUNIDAD. +566</t>
  </si>
  <si>
    <t>CDGRD DE CUNDINAMARCA, INFORMA, CT. AURORA GUTIÉRREZ COMANDANTE DE BOMBEROS SIBATE, REPORTA INCENDIO FORESTAL EN LA VEREDA EL JAZMIN INICIADO A LAS 11:00 DEL 01/09/13 Y EXTINGUIDO A LAS 14:00 DEL 02/09/13  CON AFECTACIÓN DE 1  HECTÁREA DE PINO RESINOSO, ATENDIO  BOMBEROS SIBATE. -566</t>
  </si>
  <si>
    <t>CDGRD DE CUNDINAMARCA, INFORMA, BOMBERO SABINO RAMOS DE BOMBEROS UTICA, REPORTA INCENDIO FORESTAL EN LA VEREDA EL VIGUAL, INICIADO A LAS 11:00  Y EXTINGUIDO A LAS 14:00 HORAS DEL 01/09/13 CON AFECTACIÓN DE 2 HECTÁREAS DE PASTOS, ATENDIÓ BOMBEROS UTICA Y COMUNIDAD.  -566</t>
  </si>
  <si>
    <t>CDGRD DE CUNDINAMARCA, FÉLIX CANNAS COMANDANTE DE BOMBEROS LA MESA, REPORTA INCENDIO FORESTAL EN LA VEREDA ALTO DEL FRISOL, INICIADO A LAS 11:00 Y EXTINGUIDO A LAS 16:00 HORAS DEL 01/09/13 CON AFECTACIÓN DE 0,5 HECTÁREAS DE CULTIVOS. ATENDIÓ BOMBEROS LA MESA Y COMUNIDAD. -566</t>
  </si>
  <si>
    <t>CDGRD DE CUNDINAMARCA, ALONSO MUÑOZ DEL. CDGRD REPORTA INCENDIO FORESTAL EN LA VEREDA EL TIGRE Y LA MONTAÑA , INICIADO A LAS 04:30 Y EXTINGUIDO A LAS 17:30 HORAS DEL 01/08/13 CON AFECTACIÓN  DE 8 HECTÁREAS DE VEGETACIÓN NATIVA. ATENDIÓ BOMBEROS NOCAIMA, POLICÍA DE NOCAIMA, POLICÍA DE VERGARA Y COMUNIDAD. -566</t>
  </si>
  <si>
    <t>CDGRD DE CUNDINAMARCA, INFORMA, BOMBERO SABINO RAMOS DE BOMBEROS UTICA, REPORTA INCENDIO FORESTAL EN LA VEREDA LIBERIA, INICIADO A LAS 07:30 DEL 30/08/13 Y EXTINGUIDO A LAS 17:00 HORAS DEL 31/08/13 CON AFECTACIÓN DE 80 HECTÁREAS ENTRE RASTROJO Y PASTIZALES, ATENDIÓ BOMBEROS UTICA Y COMUNIDAD. -566</t>
  </si>
  <si>
    <t>CDGRD DE CUNDINAMARCA, INFORMA, CT. JAIME MARTÍNEZ DE BOMBEROS VILLETA REPORTA INCENDIO FORESTAL EN LA VEREDA POTRERO GRANDE INICIADO A LAS 12:00 Y EXTINGUIDO A LAS 14:20 HORAS DEL DÍA 31/08/13. CON AFECTACIÓN DE 2,5 HECTÁREAS DE CULTIVOS Y PASTOS. ATENDIÓ BOMBEROS VILLETA Y COMUNIDAD. -566</t>
  </si>
  <si>
    <t>CT. JAIME MARTÍNEZ DE BOMBEROS VILLETA REPORTA INCENDIO FORESTAL EN LA VEREDA MABE  INICIADO A LAS 18:30 Y EXTINGUIDO A LAS 22:20 HORAS DEL DÍA 31/08/13. CON AFECTACIÓN DE 7 HECTÁREAS DE CULTIVOS, VEGETACION NATIVA Y PASTOS. ATENDIÓ BOMBEROS VILLETA Y COMUNIDAD. -566</t>
  </si>
  <si>
    <t>CDGRD DE CUNDINAMARCA, INFORMA, TE. NÉSTOR FIGUEROA DE BOMBEROS LA VEGA REPORTA INCENDIO FORESTAL EN LA VEREDA BULOCAIMA, INICIADO A LAS 12:40 Y EXTINGUIDO A LAS 17:00 HORAS DEL 01/09/13 CON AFECTACIÓN DE 2,5 HECTÁREAS DE VEGETACIÓN NATIVA. ATENDIÓ BOMBEROS LA VEGA Y COMUNIDAD. -566</t>
  </si>
  <si>
    <t>CDGRD DE CUNDINAMARCA, INFORMA, TE. NÉSTOR FIGUEROA DE BOMBEROS LA VEGA REPORTA INCENDIO FORESTAL EN LA VEREDA MINAS, INICIADO A LAS 11:35 Y EXTINGUIDO A LAS 17:00 HORAS DEL 01/09/13 CON AFECTACIÓN DE 2 HECTÁREAS DE CULTIVOS. ATENDIÓ BOMBEROS SAN FRANCISCO Y COMUNIDAD. -566</t>
  </si>
  <si>
    <t>REPORTA SECCIONAL GUAJIRA: CENSO POR LLUVIAS TORRENCIALES OCURRIDAS EL 31-08-2013 EN EL MUNICIPIO DE RIOHACHA,  RESULTANDO AFECTADO EL BARRIO VILLA CAMPO ALEGRE,CON UN SALDO DE 30 FAMILIAS, 30 VIVIVIENDAS Y 150 PERSONAS. PARTICIPARON EN EL RESPECTIVO CENSO, 10 LIDERES VOLUNTARIOS DE LA JUNTA ALMIRANTE PADILLA. -566</t>
  </si>
  <si>
    <t>REPORTA DIRECTOR SECCIONAL GUAJIRA: VENDAVAL OCURRIDO EL 02-09-2013 A LAS 16: 40 HORAS EN EL MUNICIPIO HATONUEVO, PARTICIPAN 15 LÍDERES DCC: PENDIENTE AMPLIACIÓN. -566</t>
  </si>
  <si>
    <t>REPORTA DIRECTOR SECCIONAL GUAJIRA: VENDAVAL OCURRIDO EL 02-09-2013 A LAS 16: 40 HORAS EN EL MUNICIPIO DE VILLANUEVA, PARTICIPAN 10 LÍDERES DCC: PENDIENTE AMPLIACIÓN. -566</t>
  </si>
  <si>
    <t>REPORTA SECCIONAL CHOCO: VENDAVAL EL 01-09-2013 EN EL MUNICIPIO DEL MEDIO BAUDO, CORREGIMIENTO DE BOCA DE PEPE FUERON SEMIDESTECHADAS  7 VIVIENDAS, 7 FAMILIAS AFECTADAS Y 30 PERSONAS.PARTICIPARON 15 LÍDERS DCC. -566</t>
  </si>
  <si>
    <t>BV ARMERO-GUAYABAL REPORTA QUE AL FRENTE DE INAGRARIO HAY UN FORESTAL EN EL ANTIGUO ARMERO APOYA LA MOVIL 01 CONN 4 UNIDADES Y ES CONTROLADO SOBRE LAS 13:08 CON LA AFECTACION DE 3 HECTAREAS DE SOCA DE ARROZ SIN MAS NOVEDAD. -568</t>
  </si>
  <si>
    <t>BV MELGAR REPORRTA FORESTAL EN LA VRDA. CHIMBI EN LA VIA MELGAR- CARMEN DE APICALA, APOYA LA MOVIL 02 CON 4 UNIDADES Y FUE CONTROLADO A LAS 17:58 CON UNA AFECTACION DE 6 HECTAREAS DE VEGETACION NATIVA SINN NOVEDAD. -568</t>
  </si>
  <si>
    <t>EL COORDINADOR DEL CMGRD PRADO SEÑOR GERMAN P. REPORTA QUE EL FORESTAL FUE CONTROLADO NATURALMENTE ENTRE LAS VRDAS. BOCAS DEL SALERO Y COROSALES EN LA REPRESA DE HIDRO-PRADO CON AFECTACION DE 12 HECTAREAS DE VEGETACION NATIVA SIN MAS NOVEDAD. -568</t>
  </si>
  <si>
    <t>REPORTA EL DR MAZO , QUE LA QUEBRADA  JUAN RAMOS  SE DESBORDO EN ELE MUNICIPIO DE EBEJICO, AFECTANDO LOS MUROS DE CONTECION , DOS PUENTES PEATONALES, Y CULTIVOS PISCICOLAS. EL CMGRD ESTA REALIZANDO EDAN. -568</t>
  </si>
  <si>
    <t>REPORTA  EL COOD DEL CDGRD , EN LA S VEREDAS DE  PUERTO CODOBA Y  VEREDA MANZANARES EL RIO SAN JORGE  INGRESO A LAS VIVIENDAS E INUNDO A 240 VIVIENDAS. -568</t>
  </si>
  <si>
    <t>EL CMGRD DE SANTAN ANA REPORTA UN VENDAVAL PRESENTADO EN LA NOCHE ANTERIOR  AFECTANDO A 10 VIVIENDAS EN ELE MOMENTO SE REALIZA EDAN. -568</t>
  </si>
  <si>
    <t>REPORTA EL COORD DEL CDGRD DE CORDOBA QUE LE  RIO SAN JORGE HA INGRESADO A LA VEREDA DE  EL PUENTE ,A FECTANDO A 130 FAMILIAS , EN ESTE MOMENTO SE ENCUENTRAN INUNDADOS. -568</t>
  </si>
  <si>
    <t>REPORTE DE LA CMGRD DE MORALES - CAUCA, INFORMA DE UN VENDAVAL OCURRIDO  EL PASADO DOMINGO EN LA NOCHE 1 DE SEPTIEMBRE DE 2013. OCURRIDO EN ZONA RURAL DISPERSA Y DISTINTA DE LA CABECERA MUNICIPAL, ZONA DE DIFÍCIL ACCESO.QUE HASTA EL MOMENTO TIENE UN PRELIMINAR DE 100 FAMILIAS PARA 100 VIVIENDAS AFECTADAS EN TECHOS. -568</t>
  </si>
  <si>
    <t>REPORTA VENDAVAL OCURRIDO EL PASADO 28 DE AGOSTO CON LA SIGUIENTE AFECTACION: 4 VEREDAS, 4 BARRIOS, 2 INSTITUCIONES EDUCATIVAS, 70 VIVIENDAS AVERIDAS, 90 FAMILIAS. REPORTA CDGRD. -569</t>
  </si>
  <si>
    <t>REPORTA VENDAVAL EN LA VEREDA BARCELONA ALTA CON 3 VIVIENDAS AVERIADAS, 3 FAMILIAS Y VEREDA BARCELONA BAJA 1 VIVIENDA AVERIADA,  1 FAMILIA, REPORTA CDGRD EL CUAL YA REALIZO ENTREGA DE A.H.E. -569</t>
  </si>
  <si>
    <t>SE PRESENTA INCENDIO FORESTAL EN EL MUNICIPIO DE CORRALES, VEREDA LOS REYES, DESDE EL DÍA 1 DE SEPTIEMBRE CULMINADO EL 2 DEL MISMO MES, CON 40 HECTÁREAS DE BOSQUE NATIVO QUEMADAS, PARTICIPACIÓN DE UN COMITÉ Y  JUNTA. -570</t>
  </si>
  <si>
    <t>INCENDIO FORESTAL EN EL MUNICIPIO DE GUATEQUE VEREDA MONANTÁ, CON LA PARTICIPACIÓN DE UN COMITÉ, UNA JUNTA, 2 HECTÁREAS  DE PASTO QUEMADAS. -570</t>
  </si>
  <si>
    <t>DIA 03-09-13, SE PRESENTO INCENDIO FORESTAL EN EL MUNICIPIO DE SANDONA CON SALDO DE 19 HECTÁREAS DE VEGETACIÓN NATIVA AFECTADA. -570</t>
  </si>
  <si>
    <t>DIA 03-09-13, SE PRESENTA INCENDIO EN UNA VIIENDA DEL MUNICIPIO DE TAMINANGO AL PARECER POR DECUIDO DE SUS RESIDENTES AFECTANDO A 5 PERSONAS DE 1 FAMILIA. -570</t>
  </si>
  <si>
    <t>CDGRD DE CUNDINAMARCA, INFORMA, FANNY LÓPEZ, COORDINADORA DEL C.M.G.R.D. DE GUADUAS, REPORTA VENDAVAL ACOMPAÑADO DE FUERTE AGUACERO OCURRIDO EL DÍA 02/09/2013 A LAS 21:00 HORAS Y HASTA EL MOMENTO 10 A.M 03/09/2013 SE REPORTA EN LA VEREDA SAN JOSÉ UNA VIVIENDA CON PÉRDIDA TOTAL DEL TECHO, HABITADA POR UNA FAMILIA COMPUESTA POR 2 PERSONAS MAYORES Y 4 NIÑOS, QUIENES PERDIERON TODOS SUS MUEBLES, MERCADO Y ENSERES, SOLICITAN AYUDAS HUMANITARIAS (MERCADO, COLCHONETAS ETC. EL C.M.G.R.D. ADELANTA CENSO DEFINITIVO DE AFECTACIONES Y DAMNIFICADOS. -570</t>
  </si>
  <si>
    <t>CDGRD DEL TOLIMA, INFORMA, MPIO DE  SALDAÑA, REPORTA INCENDIO  FORESTAL EN LA VEREDA. JABALCON EN LA FINCA DEL SEÑOR GERMAN ZABALA DONDE SE AFECTO 15 HECTAREAS DE PASTOS PARA GANADO APOYO LA MOVIL 03 CON 3 UNIDADES SIN NOVEDAD. -570</t>
  </si>
  <si>
    <t>REPORTA EL SR SANDY SEPULVEDA. EN EL MUNICIPIO DE CHIMICHAGUA SE PRESENTARON LLUVIAS CON VIENTOS HURACANADOS , AFECTANDO A VARIAS VIVIENDAS , LA DCC ESTA REALIZANDO EDAN. -571</t>
  </si>
  <si>
    <t> EN EL MUNICIPIO DE BARRANCO LOBA, CORREJIMIENTO MINA SANTACRUZ ALREDEDOR DE LAS 3 AM, SE PRESENTO UNA FUERTE LLUVIA CAUSANDO UNA AVALANCHA, NO HAY REPORTES DE HERIDOS NI FALLECIDOS, PERO EN EL CENSO Q SE ESTA REALIZANDO ME COMENTA EL ALCALDE MUNICIPAL QUE HAY ALREDEDOR DE 80 CASAS DESTRUDIAS Y AFECTADAS POR LA AVALANCHA. -571</t>
  </si>
  <si>
    <r>
      <t xml:space="preserve">APOYO DEL FNGRD MEDIANTE SUBSIDIO DE ARRIENDO TEMPORAL PARA 30 FAMILIAS POR TRES MESES A RAZON DE $200.000 MENSUAL
</t>
    </r>
    <r>
      <rPr>
        <sz val="9"/>
        <color rgb="FFFF0000"/>
        <rFont val="Arial"/>
        <family val="2"/>
      </rPr>
      <t xml:space="preserve">POSTERIORMENTE SUBSIDIO DE ARRIENDO TEMPORAL PARA 50 FAMILIA DURANTE TRES MESES A RAZON DE $200.000 MENSUAL AFECTACIONDE 2012
</t>
    </r>
    <r>
      <rPr>
        <sz val="9"/>
        <color rgb="FF00B050"/>
        <rFont val="Arial"/>
        <family val="2"/>
      </rPr>
      <t xml:space="preserve">APOYO MEDIANTE SUBSIDIO DE ARRIENDO TEMPORAL PARA 24 FAMILIAS A RAZON DE $200.000 MENSUALES POR TRES MESES.
</t>
    </r>
    <r>
      <rPr>
        <sz val="9"/>
        <color rgb="FF0070C0"/>
        <rFont val="Arial"/>
        <family val="2"/>
      </rPr>
      <t>APOYO DEL FNGRD MEDIANTE SUBSIDIO DE ARRIENDO PARA 8 FAMILIAS, DURANTE TRES MESES A RAZON DE $200,000 MENSUALES. PARA LAS FAMILIAS AFECTADAS POR EL PÁSADO TORNADO DEL 1 DE JUNIO DE 2012.</t>
    </r>
  </si>
  <si>
    <t>APOYO DEL FNGRD MEDIANTE SUBSIDIO DE ARRIENDO PARA 25 FAMILIAS, DURANTE 3 MESES A RAZON DE: 19 FAMILIAS POR $150,000 MENSUAL Y 6 FAMILIAS POR $200,000 MENSUAL.</t>
  </si>
  <si>
    <r>
      <t>CDGRD REPORTA EN DIA DE HOY 04/09/2013 LA SEÑORA MARÍA NANCY CARRERO GUTIÉRREZ, CEL. 3144005086, PRESIDENTE DE LA JAC DE LA VEREDA BELLA VISTA DEL MUNICIPIO DE LA MESA, REPORTA QUE A LAS 19:30 HORAS DEL DÍA 02/09/13, SE PRESENTO UN INCENDIO ESTRUCTURAL EN LA VIVIENDA DEL SEÑOR WILLIAM POVEDA HUERTAS, DONDE VIVIAN 2 ADULTOS, 3 ADOLECENTES Y 1 BEBE DE 2 AÑOS, ESTAS PERSONAS ESTÁN ALOJADAS DONDE VECINOS. HUBO PERDIDA TOTAL DE LA VIVIENDA, MUEBLES, ENSERES, ROPA, MERCADO Y ELECTRODOMÉSTICOS. ATENDIÓ LA COMUNIDAD</t>
    </r>
    <r>
      <rPr>
        <sz val="10"/>
        <rFont val="Arial"/>
        <family val="2"/>
      </rPr>
      <t>. -572</t>
    </r>
  </si>
  <si>
    <t>CDGRD DE CHOCO REPORTA ACTUALIZACION DE DATOS POR VENDAVAL EL PASADO 15 DE AGOSTO EN EL MUNICIPIO DEL CARMEN DE ATRATO, CON 50 FAMILIAS AFECTADAS, EN LAS COMUNIDADES DE GUADUAS, LA ARBOLEDA, EL SIETE, LA CLARA, EL YARUMO, MONTELORO, LA ARGELIA, LA SIERRA, MARIELA, EL ROBLE, PRADERA, COMUNIDADES INDIGENAS DE TOLDAS, RIO PLAYA, Y EL 18, AFECTACION EN CUBIERTAS, APOYO CRUZ ROJA, BOMBEROS, CMGRD. -572</t>
  </si>
  <si>
    <t>REPORTA VENDAVAL REGISTRADO EN HORAS DE LA TARDE EN LA VEREDA MURILLO, LUEGO DE REALIZAR EDAN SE INFORMA LA SIGUIENTE AFECTACION: 8 VIVIENDAS AVERIADAS, 8 FAMILIAS,  4 ESTABLECIMIENTOS COMERCIALES, 1 SUB ESTACION DE POLICIA, DAÑOS EN CULTIVOS DE PLATANO, ATENDIERON CMGRD, CRUZ ROJA, DEFENSA CIVIL, BOMBEROS OFICIALES, PLANEACION, SETTA, LA EDEQ, PONAL, TAMBIEN SE REALIZO REMOCION DE ARBOLES Y CUERDAS ELECTRICAS, AL IGUAL QUE SE REALIZO REESTABLECIMIENTO DE ENERGIA EN LA ZONA. -573</t>
  </si>
  <si>
    <t>PUENTE MAZAMORRAS (INICIALMENTE LA UNGRD AUTORIZO POR SOLICITUD DEL CMGRD 70 MILLONES PARA LA REHABILITACION DEL PUENTE. EN COMUNICACIÓN CON LA ALCALDESA EL 04 DE SEPTIEMBRE NOS INFORMO QUE ESTABAN ADELANTANDO VISITA TECNICA YA QUE EL PUENTE DEBE SER RECNSTRUIDO POR O CUAL SE LE SUGIRIO ELABORAR EL PROYECTO RESPECTIVO)</t>
  </si>
  <si>
    <t>EL IMPACTO DE LOS FUERTES VIENTOS PRESENTADOS EN EL MUNICIPIO DEJO 50 FAMILIAS AFECTADAS, AL IGUAL QUE LOS CULTIVOS AGRICOLAS. VEREDAS AFECTADAS: GUADUAS, LA ARBOLEDA, EL SIETE, LA CLARA, EL YARUMO, MONTELORO, LA ARGELIA, LA SIERRA, MARIELA, EL ROBLE, PRADERA, COMUNIDADES, INDIGENAS DE TOLDAS, RIO PLAYA Y MAMUAL.</t>
  </si>
  <si>
    <t>DURANTE LOS DIAS 25 Y 27 DE JULIO, AGOSTO 2 Y DEL AÑO EN CURSO SE PRESENTO LLUVIAS ATIPICAS Y LA DE GRAN PRECIPITACIÓN CON FUERTES VIENTOS EN LAS VEREDAS LA MARTHA, PARCELACION VENECIA, CANTALTA, LLANOGRANDE Y ANGULO</t>
  </si>
  <si>
    <t>HORAS SOBRE LA VÍA EN EL SECTOR EL TOPE, EN LA ENTRADA  AL  MUNICIPIO DE SANTA BÁRBARA SE PRESENTÓ DESLIZAMIENTO DE TIERRA A LA ALTURA DEL KILÓMETRO 92 +700, EL CUAL LA VÍA ESTÁ TOTALMENTE CERRADA EN HORAS DE LA MAÑANA , ENVIARA POR PARTE DE LA ALCALDÍA  MAQUINARIA  PARA RECUPERAR EL PASO VEHICULAR. NO PRESENTO AFECTACIÓN DE VIDAS HUMANAS. -574</t>
  </si>
  <si>
    <t xml:space="preserve"> LA SECRETARIA DE GOBIERNO Y CONVIVENCIA Y LA OFICINA MUNICIPAL PARA LA GESTIÓN DEL RIESGO DE DESASTRES – OMGERD, CONTINÚA A ESTA HORA LAS LABORES HUMANITARIAS EN EL KM 6 VÍA ARMENIA LA TEBAIDA A LA ALTURA DE LA VEREDA MURILLO AFECTADO POR UN FUERTE VENDAVAL REGISTRADO EN LAS ÚLTIMAS HORAS. DE ACUERDO CON EL REPORTE PRELIMINAR EN LA ZONA EXISTE UNA AFECTACIÓN EN 8 VIVIENDAS POR FRACTURAS Y PÉRDIDAS EN TECHO, 2 ESTRUCTURAS ESENCIALES, 3 ESTABLECIMIENTOS COMERCIALES Y VARIAS HECTÁREAS DE CULTIVOS DE PLÁTANO Y CÍTRICOS. -574</t>
  </si>
  <si>
    <t>REPORTA EL CMGRD IBAGUE  DR JOSE FELIX SALGADO , EN LA VEREDA LA TIGRERA HABITANTES DE UNA CASA QUEDARON A LA INTEMPERIE, LUEGO DE REGISTRADAS FUERTES DESLIZAMIENTOS. REPORTES INDICABAN QUE 12 VIVIENDAS FUERON AFECTADAS. -574</t>
  </si>
  <si>
    <t>CDGRD DE ANTIOQUIA, INFORMA, SE PRESENTA DESBORDAMIENTO DL RÍO VIJAGUAL,  BARRIOS:  ESPERANZA, EL PUENTE, CORREGIMIENTO: EL REPOSO, AFECTADAS 60 VIVIENDAS, CONTINUAN REALIZANDO, EDAN. -575</t>
  </si>
  <si>
    <t>CDGRD DE BOYACA, INFORMA, EN EL MUNICIPIO DE PAUNA, VEREDA PIACHE, FALLECIÓ,  ENRIQUE FORERO FORERO, CAUSA PROBABLE: DESCARGA ELÉCTRICA (RAYO), SE INCENDIÓ LA CASA DE MADERA. FECHA DE REPORTE ALCALDE (HOY 16:06 HRS) FECHA DEL ACCIDENTE: 02 SEPTIEMBRE 2013 EN LAS HORAS DE LA NOCHE. -575</t>
  </si>
  <si>
    <t>CDGRD DE BOLIVAR, INFORMA, VENDAVAL OCURRIDO EN EL CORREGIMIENTO DE MINAS DE SANTA CRUZ ,JURISDICCIÓN DE BARRANCO DE LOBA- BOLÍVAR, CON EL FIN DE DARLES  A CONOCER EL EVENTO OCURRIDO Y ASI GESTIONAR DE MANERA RAPIDA Y OPORTUNA ANTE LA UNIDAD NACIONAL DE GESTIÓN DEL RIESGO DE DESASTRES, LE INFORMAMOS QUE NOS ENCONTRAMOS A LA ESPERA DEL CENSO FÌSICO PARA ENVIARLO. -575</t>
  </si>
  <si>
    <t>CDGRD DEL TOLIMA, INFORMA, SE PRESENTA INCENDIO FORESTAL, EN LA VEREDA. SAN JOSE DE LA COLORADA, SOBRE TERRENOS DE LA DECIMA BRIGADA, SITUACIÓN EN DESARROLLO. -575</t>
  </si>
  <si>
    <t>CDGRD DE CUNDINAMARCA, INFORMA, CT. JAIME GUZMÁN DE BOMBEROS ANAPOIMA REPORTA INCENDIO FORESTAL EN LA VEREDA MESA DE YEGUAS. INICIADO A LAS 13:00 Y EXTINGUIDO A LAS 16:30 HORAS DEL DÍA 04/09/13 CON AFECTACIÓN DE 1,5 HECTÁREAS DE PASTIZALES. ATENDIÓ BOMBEROS ANAPOIMA Y CMGRD. -575</t>
  </si>
  <si>
    <t>CDGRD DEL TOLIMA, INFORMA, SE PRESENTÓ INCENDIO FORESTAL, HACIENDA PINDALITO, SE CONSUMIERON: 8 HECTÁREAS DE RASTROJO. -575</t>
  </si>
  <si>
    <t>CDGRD DEL TOLIMA, INFORMA, SE PRESENTÓ INCENDIO FORESTAL, SECTOR. MUEBLES OVIEDO,  SE CONSUMIERON: 1 HECTÁREA DE RASTROJO. -575</t>
  </si>
  <si>
    <t>CDGRD DEL TOLIMA, INFORMA SE PRESENTA, INCENDIO FORESTAL, EN EL SECTOR. TORRES DE COMCEL, VÍA MALAVAR, 20:00 REGRESO LA MAQUINA DE VENADILLO CON APOYO DE BOMBEROS MARIQUITA, HACIA LA VEREDA EL BALSO, DONDE SE CONSUMIO UN PROMEDIO DE 60 HECTAREAS SIN TERMINAR LA LABOR, EN EL DIA DE MAÑANA TERMINARAN CON ESTE INCENDIO. -576</t>
  </si>
  <si>
    <t>CDGRD DEL TOLIMA, INFORMA SE PRESENTA, INCENDIO FORESTAL, EN EL CERRO PACANDE,  SOLICITAN APOYO AÉREO POR DIFICIL ACCESO A LA ZONA, SE REALIZO ENLACE VIA CELULAR, CON LA CITEL TOLIMA EN LAS PRIMERAS HORAS DE LA MAÑANA AUN NO CONFIRMAN SI SALEN HACIA LA ZONA, POR CONFIRMAR ESTADO Y MAGNITUD. -576</t>
  </si>
  <si>
    <t>REPORTA LA INGR ADRIANA  HERNANDEZ QUE EL ACUEDUCTO SE VIO AFECTADO EN LE SECTOR DE LA TABLONA POR LA LLUVIAS REGISTRADAS EN LAS ULTIMAS 24 HORAS, EN ESTE MOMENTO SE SURTE DE AGUA AL MUNICIPIO POR CARROTANQUES.</t>
  </si>
  <si>
    <t>SE PRESENTO EN LA NOCHE ANTERIOR UN VENDAVAL AFECTANDO A 4 VIVIENDAS CON PERDIDA DE CUBIERTAS.EL CMGRD ATIENDE.</t>
  </si>
  <si>
    <t>REPORTAN DEL CDGRD QUESE PRESENTO UN IF ,DONDE SE CONSUMIERON 25 HECTAREAS, ATENDIERON BOMBEROS VOLUTARIOS,  ESTE HECHO SE REGISTRO  EN  LA VEREDA DE  SAN JOSE.</t>
  </si>
  <si>
    <t>REPORTAN UN IF , DONDE SE CONSUMIO 4 HECTAREAS ATENDIERON BOMBEROS VOLUTARIOS.</t>
  </si>
  <si>
    <t>CMGRD DE VILLAVICENCIO, REPORTA FUERTE VENDAVAL, REALIZAN EDAN: ADJUNTO ME PERMITO ENVIAR EL CONSOLIDADO DE AFECTACIONES CON MOTIVO DEL VENDAVAL Y LAS FUERTES LLUVIAS DE HOY DOMINGO 25 DE AGOSTO DE 2013, 286 FAMILIAS DAMNIFICADAS. (1430 PERSONAS), 286 VIVIENDAS AVERIADAS POR DESTECHAMIENTO, 12 BARRIOS AFECTA-DOS, 2 INSTITUCIONES EDUCATIVAS AFECTADAS, 9 ÁRBOLES CAÍDOS EN VÍAS Y VIVIENDAS, ENTIDADES QUE APOYARON LA RESPUESTA: SECRETARIA DE INFRAESTRUCTURA, CRUZ ROJA, DEFENSA CIVIL, BOMBEROS Y OFICINA DE GESTIÓN DEL RIESGO. 545</t>
  </si>
  <si>
    <t>CMGRD INFORMA MEDIANTE ACTA, VIENTOS URACANADOS EN LOS CORREGIMIENTOS DE: BETE CABECERA MUNICIPAL</t>
  </si>
  <si>
    <t>REPORTA QUE EL DIA DE HOY LE ENVIAN REPORTE DE EDAN SOBRE VENDAVAL CON LA SIGUIENTE AFECTACION: 431 VIVIENDAS AVERIADAS, 5 VIVIENDAS DESTRUIDAS, 436 FAMILIAS, REPORTA CDGRD. -578</t>
  </si>
  <si>
    <t>REPORTA FUNCIONARIA MARYORI MOYA DE LA SECCIONAL CHOCO, QUE SIENDO LAS 12:00 DEL MERIDIANO DE HOY 06-09-13, SE REGISTRA VENDAVAL EN ZONA URBANA DEL MUNICIPIO DE JURADÓ, DEJANDO SALDO DE 52 AFECTADOS ILESOS DE 10 FAMILIAS EN 9 VIVIENDAS AFECTADAS. PARTICIPARON EN LAS OPERACIONES DE ATENCIÓN 6 LIDERES VOLUNTARIOS DCC. -579</t>
  </si>
  <si>
    <t>D.C.C., INFORMA, DESLIZAMIENTO, LA EMERGENCIA FUE ATENDIDA POR 25 VOLUNTARIOS DEL BARRIO LA CRUZ DE MEDELLÍN, SECTOR: LA TORRE, DIA 06-09-13, DONDE HUBO 40 CASAS AFECTADAS LAS CUALES FUERON EVACUADAS  DEJANDO 155 PERSONAS EVACUADAS ASÍ DE 48 FAMILIAS CON 40 VIVIENDAS AFECTADAS Y 8 VIVIENDAS DESTRUIDAS SIN MAS REPORTE. PARTICIPARON EN OPERACIONES 25 LIDERES VOLUNTARIOS. -579</t>
  </si>
  <si>
    <t>D.C.C., INFORMA, UN COMITÉ DE LÍDERES VOLUNTARIOS DE LA JDC TALAIGUA NUEVO SE DESPLAZÓ  A VERIFICAR DAÑOS Y AFECTACIÓN, QUEDANDO AVERIADAS 42 VIVIENDAS AFECTADAS 42 FAMILIAS AFECTADAS 210 PERSONAS AFECTADAS. -579</t>
  </si>
  <si>
    <t>D.C.C., INFORMA, LOS LIDERES VOLUNTARIOS DEL CORREGIMIENTO:  COLABORARON  CON LAS FAMILIAS AFECTADAS,  INFORMARON  A ENERCA  SOBRE LA CAÍDA  DE LOS  ARBOLES  SOBRE LAS CUERDAS  ELECTRICAS Y REALIZAN  CENSOS. -579</t>
  </si>
  <si>
    <t>CDGRD REPORTA NUEVAMENTE DESBORDAMIENTO DEL RIO SAN JORGE, EN EL MUNICIPIO DE LA APARTADA CORREGIMIENTO DE PUERTO CORDOBA, APOYA DEFENSA CIVIL,  REALIZAN EDAN. -580</t>
  </si>
  <si>
    <t>CDGRD REPORTA EN HORAS DE LA MAÑANA INCENDIO FORESTAL EN YUMBO SECTOR CERRO GORDO DE LA ANTIGUA VIA CALI-YUMBO, INCENDIO DE COPA, APOYA BOMBEROS YUMBO, POR UBIACION GEOGRAFICA SOLICITAN APOYO AEREO, SE REALIZA SEGUIMIENTO EN REPORTE DE LA TARDE BOMBEROS CONFIRMA CONTROLADO CON UNA AFECTACION APROXIMADA DE 10 HECTAREAS. -580</t>
  </si>
  <si>
    <t>CRUE RISARALDA REPORTA MUNICIPIO DE PEREIRA CORREGIMIENTO DE ARABIA, POR FUERTES LLUVIAS AYER SOBRE LAS 14 HORAS SE REGISTRO COLAPSO DE UNA VIVIENDA DE 2 NIVELES, AFECTANDO UNA FAMILIA INTEGRADA POR 9 ADULTOS Y 9 NIÑOS LOS CUALES FUERON EVACUADOS, ATENDIO DEFENSA CIVIL. -582</t>
  </si>
  <si>
    <t>CDGRD POR MEDIO DE LA CITEL NARIÑO REPORTA INCENDIO FORESTAL EN EL MUNICIPIO DE ALBAN VEREDA SEBADERO FUE CONTROLADO,  CON AFECTACION EN 2 HECTAREAS DE CAFÉ, ATENDIO BOMBEROS VOLUNTARIOS. -582</t>
  </si>
  <si>
    <t>CDGRD POR MEDIO DE LA CITEL NARIÑO REPORTA INCENDIO FORESTAL EN EL MUNICIPIO DE ARBOLEDA VEREDA LOS ARALLANES CERCA AL BARRIO SAN JOSE, FUE CONTROLADO PENDIENTE AFECTACION ATENDIO BOMBEROS. -582</t>
  </si>
  <si>
    <t>CDGRD Y CMGRD REPORTAN COLAPSO DE UNA PARED DE VIVIENDA ALEDAÑA A LA IGLESIA SAN RAFAEL ARCANGEL EN LA CRA 25 CON CLLE 30 CAUSANDO AFECTACION IGUALMENTE POR COLAPSO EN LA CASA CURAL,  DESPACHO Y OFICINA, NO LESIONADOS U OTRO. -582</t>
  </si>
  <si>
    <t>REPORTA INCENDIO FORESTAL EN EL MUNICIPIO DE PALERMO EN EL CERRO CHONTADURO, INICIADO EL 5 DE SEPTIEMBRE POR MANIFESTANTES EN LA ZONA, LA ATENCION LA INICIARON EL DIA DE AYER LOS BOMBEROS DE PALERMO, NEIVA, CAMPOALEGRE, ALGECIRAS, AIPE, PERUEL Y COMUNIDAD, UN TOTAL DE 100 PERSONAS ATIENDEN EL EVENTO, SOLICITAN APOYO AEREO YA QUE HASTA AL MOMENTO SE TIENE UN CALCULO APROX DE 1500 Ha CONSUMIDAS DE BOSQUE NATIVO Y NO LO PUEDEN COMBATIR VIA TERRESTRE POR ORDEN PUBLICO, SITUACION EN DESARROLLO. -581
CDGRD SE REPORTA E INFORMA CONTINUA PENDIENTTE EVOLUCION DE INCENDIO FORESTAL EN EL MUNICIPIO DE PALERMO, EN HORAS DE LA TARDE REPORTA QUE BOMBEROS PALERMO CONTINUA EN EL SITIO EXTINGUIENDO ALGUNOS FOCOS, AFECTACION EN PASTO Y RASTROJO, IGUALMENTE SE AFECTARON UNOS 40 NACEDEROS, QUEDA PENDIENTE DE HECTAREAS TOTALES AFECTADAS. -582</t>
  </si>
  <si>
    <t>REPORTA VENDAL SEGÚN INFORMACION PRELIMINAR BARRIO GAITEN 25 VIVIENDAS, BARRIO EL PORTAL 1 VIVIENDA, HAY ARBOLES CAIDOS EN EL AREA URBANA EL CMGRD SE ENCUENTRA ACTIVO Y REALIZANDO EDAN, REPORTA CMGRD, SITUACION EN DESARROLLO. -583</t>
  </si>
  <si>
    <t>REPORTA VENDAVAL EN EL AREA URBANA 7 VIVIENDAS AVERIADAS, 7 FAMILIAS, EN CORREGIMIENTO LA MAJAYURA, 15 VIVIENDAS AVERIADAS, ALGUNAS CON PAREDES AGRIETADAS, 15 FAMILIAS, EL CMGRD REALIZA EDAN. REPORTA CMGRD. -583</t>
  </si>
  <si>
    <t>REPORTA EL COORD DEL  CDGRD DR MANUEL MENGUEL QUE SE PRESENTARON FUERTES LLUVIAS EN LAS ULTIMAS HORAS AFECTANDO A LA POBLACION CON INUNDACIONES, EN ESTE MOMENTO SE EESTA REALIZANDO EDAN. -584</t>
  </si>
  <si>
    <t>REPORTA PERSONALMENTE LA SRA SANDRA PATRICIA DIAZ , PRESIDENTE DE LA JUNTA DE ACCION COMUNAL DE LA VEREDA MALAVAR,QUE SE PRESENTO VENDAVAL EL LDIA 8 DE SEPTIEMBRE A LAS 6:30 AM , CAUSANDO LA PERDIDA TOTAL DE 6 VIVIENDAS, IGUALMENTE DE SUS MUEBLES Y ENSERES. -584</t>
  </si>
  <si>
    <t>REPORTA INCENDIO FORESTAL EN LA VEREDA MES DE TORRES, INICIADO A LAS 12:00 HORAS  DEL 08/09/13 Y EXTINGUIDO A LAS 08:00 HORAS DEL 09/09/13 CON AFECTACIÓN DE 50 HECTÁREAS DE VEGETACIÓN NATIVA, CAÑA DE AZÚCAR Y RASTROJO. ATENDIÓ BOMBEROS VILLETA Y COMUNIDAD. REPORTA CDGRD. -585</t>
  </si>
  <si>
    <t>REPORTA INCENDIO FORESTAL EN LA VEREDA GUACHARACAS, INICIADO A LAS 12:00 HORAS DEL 07/09/13 Y EXTINGUIDO A LAS 08:00 HORAS DEL DÍA 08/09/13, CON AFECTACIÓN DE 15 HECTÁREAS ENTRE VEGETACIÓN NATIVA Y CULTIVOS. ATENDIÓ CMGRD, POLICÍA, COMUNIDAD, CAR CON EL APOYO DEL CDGRD. REPORTA CDGRD. -585</t>
  </si>
  <si>
    <t>REPORTA VENDAVAL EN AREA RURAL SECTOR LA CASONA 5 VIVIENDAS AVERIADAS, 5 FAMILIAS, REPORTA CDGRD. -585</t>
  </si>
  <si>
    <t>REPORTA VENDAVAL CON AFECTACION EN 3 CORREGIMIENTOS: QUINAMAYO, VILLAPAZ Y PASO DE LA BOLSA, EL DIA DE MAÑANA EL CMGRD SALE A LA ZONA A REALIZAR EDAN, REPORTA CMGRD. SITUACION EN DESARROLLO. -585</t>
  </si>
  <si>
    <t>REPORTA INCENDIO ESTRUCTURAL EN EL MUNICIPIO 2 VIVIENDAS DESTRUIDAS, 2 FAMILIAS DAMINIFICADAS, 12 PERSONAS, REPORTA CMGRD. -585</t>
  </si>
  <si>
    <t>REPORTA SECCIONAL MAGDALENA: VENDAVAL EN EL MUNICIPIO EL BANCO, RESULTANDO 20 FAMILIAS AFECTADAS, 15 VIVIENDAS AVERIADAS Y 100 PERSONAS. PARTICIPARON 10 LÍDERES DCC. -586</t>
  </si>
  <si>
    <t>SE PRESENTARON FUERTES LLUVIAS DESDE LAS 2:30 A.M, 07-09-2013, EN EL CORREGIMIENTO DE RIOFRIO VEREDA EL PUYO, AFECTANDO. 51 FAMILIAS, INFORMO D.C.C. -586</t>
  </si>
  <si>
    <t>DIA 06-09-13, EN ZONA RURAL DEL MUNICIPIO DE VALENCIA, FUERTES  LLUVIAS PROVOCARON EL DESBORDAMIENTO DE LA QUEBRADA EL LORO,  AFECTANDO LAS FAMILIAS QUE HABITAN SUS RIVERAS, VEREDAS: EL LORO, MUNDO NUEVO Y PASACABALLOS,  Y  UN DESLIZAMIENTO DE TIERRA QUE DAÑO EL PUENTE QUE COMUNICA CON LA CABECERA MUNICIPAL, CON SALDO DE 925 AFECTADOS, DE 185 FAMILIAS SIN MAS REPORTE. PARTICIPARON EN LA ATENCIÓN DEL CASO 10 LIDERES VOLUNTARIOS DCC. -586</t>
  </si>
  <si>
    <t>DIA 06-09-13, INUNDACION EN EL MUNICIPIO DE BUENAVENTURA, CORREGIMIENTO DE ZACARÍAS, SECTOR CALLE LARGA, CRECIENTE DEL RIO DAGUA INUNDO 13 VIVIENDAS AFECTANDO 13 FAMILIAS, TOTAL 57 PERSONAS AFECTADAS, PERDIDA DE ENSERES SIN DAÑOS ESTRUCTURALES EN VIVIENDAS, PERDIDAS DE 8 HECTÁREAS DE CULTIVOS DE PAN COGER PLÁTANO Y BANANO. PARTICIPAN 06 LIDERES VOLUNTARIOS DE JDC BVENTURA INDEPENDENCIA, CON CAMIONETA OPERATIVA , REALIZARON EVACUACIÓN DE ENSERES Y CENSOS EN COORDINACIÓN OFICINA DE PREVENCIÓN ALCALDÍA BUENAVENTURA, ACTIVIDAD DE 06:30 A 13:00 HORAS. -586</t>
  </si>
  <si>
    <t>CDGRD DEL TOLIMA, INFORMA, SE PRESENTA VENDAVAL, AFECTANDO EL BARRIO: BALTAZAR Y EL CORREGIMIENTO: 8 , GRANJA VILLA RESTREPO, AFECTANDO: 2 VIVIENDAS POR DESTECHO. -586</t>
  </si>
  <si>
    <t>CDGRD DEL TOLIMA, INFORMA, SE PRESENTÓ INCENDIO FORESTAL, EN L VEREDA: EL JARDÍN, SE CONSUMIERON: 7/2 HECTÁEAS DE: PASTOS INDIA, ANGLETÓN,  120 ÁRBOLES DE CERCA VIVA DE LIMÓN SINGLA, APOYARON BOMBEROS DEL GUAMO.. -586</t>
  </si>
  <si>
    <t>REPORTA FUERTES LLUVIAS EN LA CIUDAD LO CUAL DEJA 3 VIVIENDAS DESTRUIDAS EN EL BARRIO LA LUZ, 3 FAMILIAS, 15 PERSONAS, Y EN EL BARRIO EL PUEBLO 1 PERSONA FALLECIDA POR CAIDA DE RAYO, REPORTA CMGRD. -578
REPORTA DIRECTOR SECCIONAL ATLANTICO, QUE SE ENCUENTRA EN DESARROLLO EL CENSO DE AFECTACIONES POR LLUVIAS TORRENCIALES EN LA CIUDAD DE BARRANQAUILLA EL DÍA 06-09-13, AFECTANDO ESPECIALMENTE A LOS BARRIOS: MILAGRO, LA LUZ Y LA CHINITA. PENDIENTES DE POSTERIOR REPORTE. -586</t>
  </si>
  <si>
    <t>13-0901</t>
  </si>
  <si>
    <t>13-0716</t>
  </si>
  <si>
    <t>13-0897</t>
  </si>
  <si>
    <t>13-0907</t>
  </si>
  <si>
    <t>MATERIALES PARA ALBERGUES TEMPORALES</t>
  </si>
  <si>
    <t>13-0909</t>
  </si>
  <si>
    <t>13-0903</t>
  </si>
  <si>
    <t>CDGRD DEL VALLE DEL CAUCA, INFORMA, EL DIA DE HOY 20 DE MAYO DE 2013, APROXIMADAMENTE A LAS 3:30 PM, SE PRESENTO UNA EMERGENCIA POR VENDAVAL, ACOMPAÑADO DE FUERTES LLUVIAS,  EN EL MUNICIPIO DE ANSERMANUEVO VALLE DEL CAUCA, OCASIONANDO :
• INUNDACION VIAS BARRIO VILLA COLOMBIA
• DESPLOME DEL MURO DEL LADO DERECHO OBRA INCONCLUSA QUEBRADA SECA, CON RIESGO A INUNDACION.
• DERRUMBE VIA EL AGUILA, VEREDA YARUMITO
• DERRUMBE VIA VEREDA LA PUERTA- EL ROBLE
EN ESTE MOMENTO SE ENCUENTRA EL CONSEJO MUNICIPAL PARA LA GESTION DEL RIESGO DEL MUNICIPIO DE ANSERMANUEVO, CON TODOS LOS ORGANISMOS DE SOCORRO DEFENSA CIVIL Y BOMBEROS ATENDIENTO LA EMERGENCIA POR FENOMENO NATURAL.</t>
  </si>
  <si>
    <t>13-0908</t>
  </si>
  <si>
    <t>13-0910</t>
  </si>
  <si>
    <t>13-0911</t>
  </si>
  <si>
    <t>13-0913</t>
  </si>
  <si>
    <t>13-0499
13-0895</t>
  </si>
  <si>
    <t>EN LA MADRUGADA DEL DIA DE HOY SE REGISTRO UNA DESLIZAMIENTO EN LA VÍA QUE DE FLORENCIA CONDUCE AL HUILA EN EL SECTOR EL CARAÑO, SALIENDO AFECTADO UN 70°/° EL ACUEDUCTO QUE SUMINISTRA DE AGUA A FLORENCIA. EN LA ZONA YA SE ENCUENTRA PERSONAL Y MAQUINARIA TRABAJANDO PARA REMOVER EL DERRUMBE, NO SE REPORTAN PERSONAS HERIDAS, DESAPARECIDAS NI FALLECIDAS. -587</t>
  </si>
  <si>
    <t>EN LA TARDE SE PRESENTÓ UN INCENDIO FORESTAL EN DIANA TURBAY, EL CUAL FUE FACILMENTE CONTROLADO POR BOMBEROS OFICIALES SE CONSUMIO 2 HECTAREAS. -587</t>
  </si>
  <si>
    <t>MY. IVÁN DARÍO VALENZUELA COORDINADOR DEPARTAMENTAL DE BOMBEROS REPORTA  INCENDIO FORESTAL EN LA VEREDA EL TIGRE FINCA LAS PALMAS INICIADO A LAS 10:30 Y EXTINGUIDO A LAS 16:00 HORAS DEL 10/09/13 CON AFECTACIÓN DE 3,5 HECTÁREAS DE VEGETACIÓN NATIVA Y RASTROJO. ATENDIÓ BOMBEROS EL COLEGIO, BOMBEROS LA MESA, BOMBEROS SAN ANTONIO, DEFENSA CIVIL, BRIGADA CAR, POLICÍA Y COMUNIDAD. -588</t>
  </si>
  <si>
    <t>INFORMA CRUZ ROJA, DESLIZAMIENTO DE TIERRA EN EL BARRIO 20 DE JULIO EN LA CALLE5B #13-66 AFECTADA 1 VIVIENDA, 1 FAMILIA, EN LA TARDE CRUZ ROJA  REALIZARA  ASISTENCIA HUMANITARIA, SE PIDE A COE16 VISITA TECNICA YA QUE EL TERRENO ES INESTABLE Y PELIGRAN OTRAS VIVIENDAS. -588</t>
  </si>
  <si>
    <t>INFORMA COORDINADOR DEL CMGRD  DEL GUAMO, INCENDIO FORESTAL EN LA FINCA SANTA LUCIA KM1 VIA GUAMO/ORTEGA, DONDE CORTOLIMA TIENE EN CUSTODIA MAQUINARIA DE MINERIA ILEGAL, ESTA ES LA SEGUNDA VEZ EN EL MISMO DIA. -588</t>
  </si>
  <si>
    <t>REPORTA BOMBEROS ESPINAL CONTROL DE INCENDIO EN CHICORAL EN EL BARRIO LA FLORESTA, CRA 4 NO 3-44 SE CONSUMIERON 4 COLCHONES,UN TV Y UN VENTILADOR,CASA DE LA SRA ISMENIA ZARTA GUTIERREZ. -588</t>
  </si>
  <si>
    <t>EL 20 DE AGOSTO SE PRESENTO UN FUERTE VENDAVAL EN EL MUNICIPIO DE ARANZAZU - CALDAS, EL CUAL AFECTO PRINCIPALMENTE CULTIVOS DE TOMATE DE ALIÑO, TOMATE DE ARBOL, LULO, DAFE, ENTRE OTRO.</t>
  </si>
  <si>
    <t>DESPLOME DE CONSTRUCCIÓN DEJA  5 ESTUDIANTES HERIDOS EN HACARÍ, NORTE DE SANTANDER EL DESPLOME DE UNA PLACA DE CONCRETO EN UN COLEGIO UBICADO EN EL MUNICIPIO DE HACARÍ, EN LA ZONA DEL CATATUMBO, DEJÓ COMO SALDO, 5 MENORES LESIONADOS. -590</t>
  </si>
  <si>
    <t>SE PRESENTA  UN INCENDIO FORESTAL EN LA VEREDA MAL NOMBRE, CON LIMITES CON SAN LUIS, DONDE HAY VIVIENDAS CON POSIBLE RIESGO EN EL SECTOR,ATIENDE CASO BOMBEROS SALDAÑA, Y LA COMUNIDAD, SALE UN GRUPO DE LA DCC DE IBAGUE, CON CARROTANQUE, PARA APOYAR EL CONTROL DEL INCENDIO. -590</t>
  </si>
  <si>
    <t>SE VERIFICO VIVIENDAS AFECTADAS DE LA NOCHE ANTERIOR POR LLUVIAS Y VENDAVAL EN LA VEREDA EL CASTILLO DOS VIVIENDAS DESENTECHADAS Y LEN LA VEREDA LA FLORESTA OTRAS DOS VIVIENDAS DESENTECHADAS. -590</t>
  </si>
  <si>
    <t>CDGRD DEL HUILA, INFORMA, SE PRESENTÓ, CRECIENTE DEL RÍO SUAZA,  VEREDAS:  SAN ADOLFO, SAN MARCOS, Y  LLANITOS,  AFECTADOS 5 PUENTES PEATONALES, DE NOMBRES: VERSALLES, PUEBLO VIEJO, ANAYACO, SAN MARCOS, 7 VIVIENDAS PARCIALMENTE ANEGADAS, SIN AFECTACIÓN DE LA ESTRUCTURA DE LA VIVIENDA, Y  SIN PERDIDAS DE ENSERES, EN LAS VEREDAS DE MERCEDES Y SAN MARCOS, TAMBIEN AFECTACION EN 4 VIVIENDAS PARCIALMENTE ANEGADAS EN LA VEREDA DE SAN MARTIN, REALIZAN EDAN. 519</t>
  </si>
  <si>
    <t>CDGRD DEL HUILA, INFORMA, CRECIENTE DEL RÍO SUAZA, VEREDA: EL PUENTE, 5 VIVIENDAS ANEGADAS PARCIALMENTE, SIN AFECTACIÓN DE LA ESTRUCTURA DE LA VIVIENDA Y SIN PERDIDAS DE ENSERES EN LA VEREDA EL PUENTE. -519</t>
  </si>
  <si>
    <t>DEFENSA CIVIL COLOMBIANA, INFORMA,SE ATIENDE AL LLAMADO DE LA COMUNIDAD, POR INUNDACIONES EN TRES VEREDAS DEL MUNICIPIO DE SAN JOSÉ  DEL GUAVIARE, VEREDA CAMBULOS, CARPA, NARANJOS, PUERTO TOLIMA, VEREDA PLAYA GUABIO Y VEREDA BUENA VISTA, PUERTO ARTURO, BARRANCON BAJO, ROMPIDA, LIMON, EDEN, BOCAS DE AGUA BONITA, BAJO GUAYABERO, BOCAS DEL RAUDAL, BOCAS DE GUAYABERO. BARRIOS SAN JORGE II, EL MODELO, BELLO HORIZONTE, SANTA ROSITA, COMUNEROS, PRIMERO DE MAYO, EL PORVENIR, EL TRIUNFO, EL DIVINO NIÑO.</t>
  </si>
  <si>
    <t xml:space="preserve">SE PRESENTO UN FUERE VENDAVAL EN LA NOCHE ANTERIOR REPORTA VARIAS VIVIENDAS SE CONFIRMA POR PARTE DEL CRUE DE RISARALDA QUE L AFECTACION EN ZONA RURAL FUE DE 3 VIVIENDAS Y UNA ESCUELA. COMUNIDADES INDIGENAS DE BAJO EMBORDO, ANKOSTURA, JETEPITAL, WAIZUR, KUNDUMY, PUERTO LETICIA, </t>
  </si>
  <si>
    <t>REPORTA EL CDGRD LA ING ADRIANA, QUE EL RIO  GUACHIRIA SE DESBORDO EN LA VEREDA  EL GARZON AFECTANDO CULTIVOS, EN ESTE MOMENTO EL CMGRD ESTA REALIZANDO EDAN EN ZONA RURAL.AFECTADAS VEREDAS MIRALINDO, CURIMINA, LA PLATA, CAFIFIES, MACOLLA, BRISAS DEL PAUTO, EL GARZON</t>
  </si>
  <si>
    <t>CDGRD DEL VALLE DEL CAUCA, INFORMA, SE PRESENTAN, INUNDACIONES POR COLAPSO DE ALCANTARRILLADO. -591</t>
  </si>
  <si>
    <t>D.C.C., INFORMA, SE PRESENTA, DESBORDAMIENTO DEL RIO FUNDACIÓN, 10-09-2013,  DESDE LAS 3:30 P.M,  DEBIDO A LAS FUERTES LLUVIAS QUE SE ESTÁN PRESENTANDO, BARRIOS INUNDADOS SAM PUES Y SUPUESTITOS, REALIZAN EDAN, SITUACIÓN EN DESARROLLO. -591</t>
  </si>
  <si>
    <t>D.C.C., INFORMA, 10-09-2013, 01:00 DE LA MAÑANA, REPORTA LA JUNTA SAMARIA SOBRE DERRUMBE QUE CAE SOBRE UNA VIVIENDA EN LA POBLACIÓN AFECTANDO UNA FAMILIA COMPUESTA POR 5 PERSONAS ACUDEN A LA EMERGENCIA 5 LÍDERES VOLUNTARIOS, NO SE REPORTAN PÉRDIDAS. -591</t>
  </si>
  <si>
    <t>D.C.C., INFORMA, SE PRESENTÓ, 10-09-2013, INCENDIO ESTRUCTURAL, TRES VIVIENDAS DENTRO DEL CASCO URBANO DE SAN CARLOS, AL PARECER FUERON INCENDIADAS POR MANOS CRIMINALES. -591</t>
  </si>
  <si>
    <t>LA MADRUGADA DE ESTE JUEVES SE PRESENTÓ UN NUEVO DESLIZAMIENTO EN LA AUTOPISTA MEDELLÍN-BOGOTÁ, KILÓMETRO 73+500 EN EL SECTOR DE PUENTE LETICIA, JURISDICCIÓN DEL MUNICIPIO DE SAN LUIS EN EL ORIENTE ANTIOQUEÑO.LA CAÍDA DE MATERIAL DESDE LA PARTE ALTA DE LA MONTAÑA PROVOCÓ QUE DESPUÉS DE LAS 3:00 DE LA MAÑANA EL IMPORTANTE EJE VIAL TUVIERA QUE SER CERRADO POR LA LLUVIA Y EL PELIGRO DE NUEVOS DESLIZAMIENTOS. -593</t>
  </si>
  <si>
    <t>AUTORIDADES CONFIRMAN CUATRO MUERTOS Y EL NÚMERO DE DESAPARECIDOS AÚN ESTÁ POR DETERMINARSE. LA EMERGENCIA SE REGISTRÓ SOBRE LAS 9:30 P.M. DE ESTE MIÉRCOLES. DOS DE LAS VÍCTIMAS FUERON IDENTIFICADAS COMO JOSÉ GERARDO MEDINA, DE 55 AÑOS, Y SILVANO EDISON RUIZ, DE 35 AÑOS. WILLIAM NANDAR, CONCEJAL DE MUZO, INDICÓ QUE SOBRE LA ZONA PRODUCTIVA DE ESMERALDAS. -593</t>
  </si>
  <si>
    <t>UN CAMIÓN QUE SE QUEDÓ SIN FRENOS, ARROLLÓ OCHO VEHÍCULOS Y UNA MOTO, EN EL CORREGIMIENTO DE CUESTECITA, MUNICIPIO DE ALBANIA, EN LA GUAJIRA, PROVOCÓ LA MUERTE DE TRES PERSONAS Y HERIDAS EN SIETE MÁS. EL ACCIDENTE SE REGISTRÓ HACIA LAS 6 Y 20 DE LA MAÑANA DE AYER CUANDO EL CONDUCTOR DEL CAMIÓN DE PLACAS XKE-272, EN EL QUE TRANSPORTABA MAÍZ, PERDIÓ EL CONTROL EN LA PENDIENTE QUE HAY EN EL LUGAR Y SE ESTRELLÓ CONTRA ALGUNOS DE LOS CARROS QUE ESTABAN PARQUEADOS Y OTROS QUE VENÍAN EN LA MISMA VÍA. -593</t>
  </si>
  <si>
    <t>REPORTA VENDAVAL EN LAS VEREDAS GUAIMARAL 3 VIVIENDAS AVERIADAS, 3 FAMILIAS, VEREDA LA CANCHA 1 VIVIENDA AVERIADA, 1 FAMILIA, REPORTA CDGRD. -594</t>
  </si>
  <si>
    <t>REPORTA SECCIONAL MAGDALENA: EN LA TARDE DE AYER 11-09-2013 A LAS 5 1/2 SE DESBORDO EL RIO GUACAMAYAL ,PROVOCANDO INUNDACIÓN A 82 CASAS, RESULTANDO AFECTADAS 410 PERSONAS Y 82 FAMILIAS. -595</t>
  </si>
  <si>
    <t>SE PRESENTA INCENDIO FORESTAL,  EN PREDIO CERRADO LOS IGUA, ALTO LOS MIGUELES, CON PEDIDA DE 2 HECTÁREAS DE BOSQUE NATIVO. UNA HORA Y MEDIA DE TRABAJO A PARTIR DE LAS 15:00 HORAS A LAS 16:30  PARA EXTINGUIR EL FUEGO POR PARTE DE 10 LÍDERES VOLUNTARIOS DE LA JUNTA DE VILLA DE LEYVA. -595</t>
  </si>
  <si>
    <t>SE PRESENTA INCENDIO FORESTAL EN  VILLA DE LEYVA VÍA AL MUNICIPIO DE SANTA SOFÍA  SECTOR CAÑUELA, DESDE LAS 16:30 A LAS 18:30 CON PÉRDIDA DE UNA HECTÁREA DE CAÑA BRAVA. LUGAR DEL INCENDIO DE PROPIEDAD DEL SEÑOR GERMAN POSADA JARAMILLO, INTERVIENEN 10 VOLUNTARIOS DE LA JUNTA DE VILLA DE LEYVA. -595</t>
  </si>
  <si>
    <t>100 varillas de 1/2", 64 tubos de diámetro de 90 cm, 11 M3 de arena, 16 M3 triturado.</t>
  </si>
  <si>
    <t>REPORTA INUNDACION EN LAS VEREDAS AGIZAL Y EL PORVENIR, 16 VIVIENDAS AVERIADAS, 16 FAMILIAS, 80 PERSONAS, REPORTA CDGRD. -596</t>
  </si>
  <si>
    <t>13-0905</t>
  </si>
  <si>
    <t>ELVER ARENAS BOMBERO DE LA VEGA, REPORTA ACCIDENTE DE TRANSITO EN EL KILOMETRO 1,5 DE LA VÍA LA VEGA BOGOTÁ, CUANDO UNA BUSETA DE PLACAS BJK755 QUE TRANSPORTABA ESTUDIANTES. CHOCO CON UNA VOLQUETA DE PLACAS BZF272 OCASIONADO EL VOLCAMIENTO DE LA BUSETA Y LA MUERTE DEL JOVEN FABIÁN TOBAR DE 18 AÑOS Y HERIDAS A 17 PERSONAS MAS QUE FUERON LLEVADOS AL HOSPITAL DE LA VEGA. ATENDIÓ POLICÍA, BOMBEROS, CONCESIÓN Y AMBULANCIAS DE LA CONCESIÓN SABANA OCCIDENTE Y DEL HOSPITAL DE LA VEGA, REPORTA CDGRD. -597</t>
  </si>
  <si>
    <t>INCENDIO ESTRUCTURAL REGISTRADO EN BODEGA DE INSUMOS DE ICOPOR, UBICADA EN LA ZONA INDUSTRIAL DE DOSQUEBERADAS FUE ATENDIDO POR BOMBEROS DOSQUEBRADAS, SANTA ROSA DE CABAL Y PEREIRA, APOYA DEFENSA CIVIL PEREIRA Y DOSQUEBRADAS, CRUE REPORTA FUERON ATENDIDOS 3 INTEGRANTES DE LOS ORGANISMOS DE SOCORRO 1 DE ELLOS TRASLADADO A IPS SANTA MONICA POR QUEMADURA LEVE, 9 EMPLEADOS DE LA FABRICA ATENDIDOS EN EL SITIO, IGUALMENTE 6 PARTICULARES TODOS ELLOS POR INHALACION DE HUMO, EL CENTRO ASISTENCIAL REPORTO 2 PERSONAS MAS QUE LLEGARON POR SUS PROPIOS MEDIOS DADO TRASTORNO DE ANSIEDAD. -597</t>
  </si>
  <si>
    <t>CDGRD DE BOLIVAR, INFORMA, SE PRESENTÓ VENDAVAL, 08-09-2013, CORREGIMIENTO. CASTAÑAL, VEREDA. BUBA, DESTRUIDAS 2 VIVIENDAS, 4 VIVIENDAS AVERIDAS, 2 INSTITUCIONES EDUCATIVAS AFECTADAS, DE NOMBRE: CASTAÑAL Y CABECERA,  AFECTACIÓN EN CULTIVOS DE. PIÑA, PLÁTANO, AGUCATE, YUCA, AFECTACIÓN EN REDES ELÉCTRICAS. -599</t>
  </si>
  <si>
    <t>CDGRD DE SANTANDER, INFORMA, SE PRESENTÓ DESLIZAMIENTO, AFECTANDO LA VÍA LA LIZAMA- SAN VICENTE DE CHUCURI, SITUACIÓN EN DESARROLLO. -599</t>
  </si>
  <si>
    <t>CDGRD DE QUINDIO, INFORMA, SE PRESENTÓ, INCENDIO ESTRUCTURAL, EN EL BARRIO. GENESIS, 2 VIVIENDAS AFECTADAS POR CORTO CIRCUITO, OTRAS 4 AFECTADAS  POR LA RADIACIÓN DEL INCENDIO  Y  EL AGUA , APOYARON BOMBEROS DE ARMENIA Y CMGRD , SE ENTREGAN AYUDAS HUMANITARIAS. -599</t>
  </si>
  <si>
    <t>D.C.C., INFORMA, SE PRESENTÓ INCENDIO FORESTAL, EN LA VEREDA:  LA LINDOZA EN EL SECTOR LOS TÚNELES EN EL MUNICIPIO DE SAN JOSÉ DEL GUAVIARE, SE CONSUMIERON: 60 HECTÁREAS. -599</t>
  </si>
  <si>
    <t>D.C.C., INFORMA, SE PRESENTARON INUNDACIONES, REALIZAN EDAN, PENDIENTE AMPLIACIÓN DE LA INFORMACIÓN. -599</t>
  </si>
  <si>
    <t>CDGRD DEL CAUCA, INFORMA, SE PRESENTA VENDAVAL, CAUSANDO, EL  DESPLOMO DE 1 VIVIENDA, DEJANDO 2 PERSONAS DE LA TERCERA EDAD LESIONADAS, TRASLADADAS AL HOSPITAL LOCAL DEL BORDO, SITUACIÓN EN DESARROLLO. -599</t>
  </si>
  <si>
    <t>CDGRD REPORTA QUE BOMBEROS ATIENDE INCENDIO FORESTAL MUNICIPIO DE ARMERO-GUAYABAL EN EL SECTOR DE SAN FELIPE, CONSUMIDAS 4 HECTAREAS ENTRE: TECA, AGUACATES, PLATANOS Y LIMON DE SINGLE. CAUSAS QUEMA DE BASURA QUE SE LES SALE DE CONTROL, ES ATENDIDO Y CONTROLADO. -600</t>
  </si>
  <si>
    <t>CDGRD DE CUNDINAMARCA, INFORMA, INCENDIO FORESTAL, EXTINGUIDO, VEREDA: CALANDAIMA, SECTOR. QUEBRADA SECA, KM: 6 VÍA VIOTA- MESITAS DEL COLEGIO, SE CONSUMIERON: 6 HECTÁREAS DE PASTIZALES, APOYARON BOMBEROS DE MESITAS DEL COLEGIO. -601</t>
  </si>
  <si>
    <t>CDGRD DE CUNDINAMARCA, INFORMA, INCENDIO FORESTAL, EXTINGUIDO, EN EL MUNICIPIO DE NILO,  VEREDA PUEBLO VIEJO, LIMITES CON  LAS VEREDAS LA ESMERALDA DEL MUNICIPIO DE AGUA DE DIOS Y LAS MERCEDES DE TOCAIMA, SE  CONSUMIERON, APROXIMADAMENTE: 200 HECTÁREAS DE RASTROJO BAJO, RECIBIERON APOYO AÉREO,  SE REALIZARON  16 DESCARGAS, APOYARON:  BOMBEROS TOCAIMA,   NILO, MELGAR, ESPINAL Y CARMEN DE APICALA. -601</t>
  </si>
  <si>
    <t>REPORTA SECCIONAL CAUCA: EN HORAS DE LA TARDE DEL  14-09-2013, SE PRESENTÓ  UN FUERTE VENDAVAL QUE AFECTÓ LA VEREDA DE PUEBLILLO Y TRES BARRIOS DE LA CIUDAD DE POPAYÁN, CENSADAS 17 VIVIENDAS DESTECHADAS, 17 FAMILIAS AFECTADAS Y 91 PERSONAS. PARTICIPAN 13 LIDERES DCC. -601</t>
  </si>
  <si>
    <t>CDGRD DE ATLÁNTICO, INFORMA, 11-09-2013, SE DESBORDO UN ARROYO, AFECTANDO LA URBANIZACIÓN , MUNDO FELIZ, SE ROMPIERON UNOS GAVIONES, 20 FAMILIAS AFECTADAS, EL ALCALDE DECRETO URGENCIA MANIFIESTA, CON EL ANIMO DE INTERVENIR EL ARROYO Y HACER LOS  GAVIONES. -601</t>
  </si>
  <si>
    <t>CDGRD REPORTA VENDAVAL EN ESTE MUNICIPIO REPORTADO HACIA LAS 18: 40 HORAS, CON UNA AFECTACION PRELIMINAR DE 10 VIVIENDAS DESTECHADAS, ES INFORMACION INICIAL MIENTRAS SE HACE REVISION TOTAL, DADO QUE EN LA PARTE CENTRAL DEL DEPARTAMENTO HAY FUERTES VIENTOS, SITUACION EN DESARROLLO. -602</t>
  </si>
  <si>
    <t>CDGRD REPORTA INCENDIO ESTRUCTURAL EN EL MUNICIPIO DE SOLITA ZONA URBANA HACIA LAS 03:00 AM, CON INFORMACION PRELIMINAR DE 3 VIVIENDAS AFECTADAS, ATIENDEN ORGANISMOS DE SOCORRO.  -602</t>
  </si>
  <si>
    <r>
      <t>CDGRD DE SANTANDER, INFORMA, DESLIZAMIENTO DE LODO, ACOMPAÑADO DE DESBORDAMIENTO DE VARIAS QUEBRADAS,   AFECTANDO LOS BARRIOS: VILLA DE SAN JUAN, MOLINOS, BARILOCHE, SAN MARCOS, BLANCO, TEJADITOS, REALIZAN EDAN, SITUACIÓN EN DESARROLLO, 17: HORAS REUNIÓN CON EL CMGRD, CON EL FIN DE TENER CIFRAS REALES. reporte 17-02-13, CDGRD REPORTA A CAUSA DE LLUVIAS LAS CUALES GENERARON DESBORDAMIENTO DE AFLUENTES, DEJA AL MOMENTO 68 VIVIENDAS AFECTADAS, PERDIDA DE ENSERES, SE SOLICITO ACLARACION DE CUANTAS VIVIENDAS POR COLAPSO U OTRO. REPORTE 20-02-13, CDGRD DE SANTANDER, INFORMA ACTUALIZACIÓN DE EMERGENCIA, PRESENTADA EL 17-02-2012, DESLIZAMIENTO DE LODOS.</t>
    </r>
    <r>
      <rPr>
        <sz val="9"/>
        <color theme="5" tint="-0.249977111117893"/>
        <rFont val="Arial"/>
        <family val="2"/>
      </rPr>
      <t xml:space="preserve">
APOYO MEDIANTE SUBSIDIO DE ARRIENDO TEMPORAL PARA 20 FAMILIAS POR 3 MESES A RAZON DE $250.000 MENSUAL Y 7 FAMILIAS POR 3 MESES A RAZON DE $300,000 MENSUAL.
</t>
    </r>
    <r>
      <rPr>
        <sz val="9"/>
        <color rgb="FFFF0000"/>
        <rFont val="Arial"/>
        <family val="2"/>
      </rPr>
      <t>EN SEPTIEMBRE 16 SE AUTORIZO ARRIENDO TEMPORAL PARAL 10 FAMILIAS POR TRES MESES A RAZON DE 6 FAMILIAS POR $250.000 MENSUAL Y 4 POR $200.000 PARA UN TOTAL DE $8.100.000</t>
    </r>
  </si>
  <si>
    <t>DOS PERSONAS MURIERON EN UN ACCIDENTE QUE SE PRESENTÓ EN LA MADRUGADA EN LA AUTOPISTA SUR, A LA ALTURA DE LA CALLE 25.EL HECHO SE PRESENTÓ A LAS 3:00 A.M., CUANDO UN TAXI QUE SE DESPLAZABA EN CONTRAVÍA POR LA AUTOPISTA, EN SENTIDO SUR NORTE, IMPACTÓ CONTRA UNA CAMIONETA QUE IBA HACIA EL SUR. -603</t>
  </si>
  <si>
    <t>EL FUERTE AGUACERO QUE SE REGISTRÓ AYER EN LA TARDE DE AYER COLAPSÓ EL SUR DE LA CIUDAD Y DEJÓ COMO SALDO UNA PERSONA HERIDA, DECENAS DE ÁRBOLES CAÍDOS, CALLES AVERIADAS Y REITERADOS CORTES DE ENERGÍA. LA PRINCIPAL EMERGENCIA SE PRESENTÓ EN EL COLISEO DE COMBATE DEL BARRIO MARIANO RAMOS. ASIMISMO, UNA PARED DE LA ZONA SUR DEL ESCENARIO DEPORTIVO TAMBIÉN COLAPSÓ, DEJANDO HERIDO A UN TRABAJADOR DEL FONDO MIXTO PARA LA PROMOCIÓN DEL DEPORTE, ENTIDAD QUE CONTRATÓ LAS OBRAS QUE AÚN NO SE HAN ENTREGADO OFICIALMENTE A LA SECRETARÍA DEL DEPORTE. -603</t>
  </si>
  <si>
    <t>SE REGISTRA EL DIA DOMINGO EN HORAS DE LA TARDE UN VENDAVAL AFECTANDO A VARIAS VIVIENDAS, EN ESTE MOMENTO EL CMGRD ESTA REALIAZANDO EDAN. -603</t>
  </si>
  <si>
    <t>EN EL MUNICIPIO DE LA PAZ SE PRESENTO UN FUERTE AGUACERO AFECTANDO A VARIAS VIVIENDAS  POR REBOSAMIENTO DE ALCANTARILLADO. EL CMGRD SE ENCUENTRA REALIZANDO  EDAN. -603</t>
  </si>
  <si>
    <t>CMGRD DE TULUA REPORTA BAJO ACTA VENDAVAL OCURRIDO EL DÍA 06 DE AGOSTO DEL PRESENTE AÑO A LAS 4:00 AM EN ZONA URBANA, CORREGIMIENTOS DE; AGUACLARA SAN FRANCISCO, LA PAZ, EL PARAISO LOS BARRIOS TOMAS URIBE, PORTALES DEL RIO, LA SANTA CRUZ,Y VILLA LILIANA Y CORREGIMIENTO NARIÑO. ZONA RURAL VEREDAS EL BRILLANTE Y EL DIAMANTE.</t>
  </si>
  <si>
    <t>APOYO DEL FNGRD MEDIANTE TRANSFRENCIA AL MUNICIPIO DE AMAGA CON EL OBJETO DE REALIZAR OBRAS DE MITIGACION CONFORMACIÓN Y RECUPERACION DE BANCA EN LAS VIAS AFECTADAS QUE COMUNICAN LA CABECERA MUNICIPAL CON LAS VEREDAS Y/O CORREGIMIENTOS DEL MUNICIPIOS</t>
  </si>
  <si>
    <t>APOYO DEL FNGRD MEDIANTE TRANSFRENCIA AL MUNICIPIO DE VENECIA CON EL OBJETO DE REALIZAR LA RECUPERACION DEL OUENTE DE ACCESO A LA VEREDA DEL RECREOREQUERIDO COMO UNA NECESIDAD INMEDIATA DE LA COMUNIDAD</t>
  </si>
  <si>
    <t>APOYO DEL FNGRD MEDIANTE TRANSFRENCIA AL MUNICIPIO DE GIRARDOTA CON EL OBJETO DE REALIZAR LA CONSTRUCCION DE OBRAS DE PREVENCION Y MITIGACION PARA LA RECUPERACION DE LA INFRAESTRUCTURA MUNICIPAL AFECTADA POR EL INVIERNO ASI CONTENCION VEREDA EL LIMONAR K1 A K7 SECTOR LA HONDA Y QUEBRADA EL LIMONAR, CONTENCION Y PROTECCION DE LA QUEBRADA EL TABANO SOBRE EL PUENTE LA FERRERIA, ESTABILZACION DE BANCA VEREDA EL PARAISO, ESTABILIZACION DE LA BANCA DE VIA CON LA CONSTRUCCION DE UN MURO EN GAVIONES, ESTABILIZACION DE BAN DE VIA Y BOX COULVERT DE FINCO EL CIELO VEREDA MANGA ARRIBA, ESTABILIZACION DE BANCA DE VIA HACIA LA VEREDA LA MESETA.</t>
  </si>
  <si>
    <t>CDGRD REPORTA ACCIDENTE DE TRANSITO REGISTRADO HACIA LAS 15.00 EN EL SECTOR EL MILIMETRO KM 5 VIA OTANCHE- SAN PABLO DE BORBUR, EN INFORMACION INICIAL BUS ESCOLAR CON 50 NIÑOS RODO A UN ABISMO, POR LO CUAL CDGRD SOLICITA APOYO PARA TRASLADAR PACIENTES DADO QUE REQUIEREN ATENCION MEDICA INMEDIATA, SE ACTIVA SALA DE CRISIS Y SE INICIA SEGUIMIENTO, SE ESTABLECE QUE SON NIÑOS QUE REGRESABAN HACIA EL MUNICIPIO DE OTANCHE LUEGO DE PRESENTAR PRUEBA ICFES EN EL MUNICIPIO DE CHIQUINQUIRA, CMGRD CONFIRMA SITUACION E INDICA QUE SE REQUIERE EVACUAR MENORES YA QUE NO HAY CAPACIDAD INSTALADA EN EL MUNICIPIO PARA LA ATENCION MEDICA, APOYAN EMERGENCIA COORDINAMADAMENTE POR UNGRD FUERZA AEREA CON 2 HELICOPTEROS MEDICALIZADOS, PONAL CON 1 HELICOPTERO QUE SALE CON PERSONAL DE SALUD DE LA ZONA YA QUE NO ES MEDICALIZADO, EJERCITO CON 1 HELICOPTERO MEDICALIZADO, EL TRASLADO DE LOS PACIENTES ES REALIZADO HACIA LA CIUDAD DE BOGOTA DADO CONDICIONES CLIMATICAS, SE ACTIVA RED DISTRITAL DE EMERGENCIAS COORDINANDO FOPAE, SE HACE PRESENTE SECRETARIA DISTRITAL DE SALUD, CRUZ ROJA, PACIENTES LLEGARON A CATAM Y ALLI SON TRASLADADOS HACIA CENTROS ASISTENCIALES DE CLINICA COLOMBIA, KENNEDY, SUBA, ENGATIVA, EN APROXIMADAMENTE 14 AMBULANCIAS, CDGRD INFORMA QUE EL BUS ES DE LA EMPRESA LA GAVIOTA TRANSPORTABA A 48 MENORES, DE LOS CUALES 38 SON TRASLADADOS VIA AEREA, 8 SON ATENDIDOS LOCALMENTE YA QUE PRESENTAN LESIONES LEVES, CONFIRMA 2 NIÑAS SIN SIGNOS VITALES EN EL SITIO DEL INCIDENTE INFORMACION ETREGADA INICIALMENTE A UNGRD MIENTRAS EL MUNICIPIO LA HACE OFICIAL A MEDIOS, TAMBIEN FUERON TRASLADADOS ALGUNOS AULTOS PROFESORES QUE RESULTARON LESIONADOS, FOPAE ES EL ENCARGADO DE BRINDARLE LA INFORMACION A LOS FAMILIARES DE LOS PACIENTES QUE SE ENCUENTRAN EN CATAM IGUALMENTE COORDINA EN APOYO CON LAS DEMAS ENTIDADES EN REESTABLECER CONTACTO PACIENTES-FAMILIARES, QUEDA PENDIENTE INFORME POR PARTE DE FOPAE, LAS POSIBLES CUASAS SON EXCESO DE VELOCIDAD AUN POR ESTABLECER OFICIALMENTE. -604</t>
  </si>
  <si>
    <t>CDGRD REPORTA INCENDIO ESTRUCTURAL EN EL MUNICIPIO DE NOVITA, INDICA QUE ALLI NO CUENTA CON CUERPO DE BOMBEROS, APOYAN LA EMERGENCIA DEFENSA CIVIL CON UNA MOTOBOMBA, PONAL Y EJERCITO, SITUACION QUE ES ATENDIDA Y DEJA COMO RESULTADO UNA AFECTACION DE 4 LOCALES COMERCIALES, 3 VIVIENDAS DESTRUIDAS, NO LESIONADO, U OTRO. -604</t>
  </si>
  <si>
    <t>ALONSO MUÑOZ FUNCIONARIO DE LA UAEGRD DE CUNDINAMARCA, REPORTA EROSIÓN CON CAÍDA DE ROCAS EL DÍA 14/04/13 A LAS 15:00 HORAS EN LA VEREDA EL SALITRE DEL MUNICIPIO DE TABIO QUE OCASIONO LA DESTRUCCIÓN DE 2 VIVIENDAS, AFECTANDO 10 PERSONAS DE LAS CUALES 2 RESULTARON HERIDAS Y TRASLADADAS AL HOSPITAL DE TABIO, LAS DEMÁS SE REUBICARON DONDE FAMILIARES. ATIENDE BOMBEROS TABIO Y CMGRD, ES REPORTADO HASTA EL DIA DE HOY 16/09/2013. -604</t>
  </si>
  <si>
    <r>
      <t>BUENAS NOCHES, SOLICITAMOS APOYO CON HELICOPORTADO PARA INCENDIO FORESTAL QUE SE VIENE PRESENTANDO EN EL MUNICIPIO DE PURIFICACION TOLIMA EN EL SECTOR DE MESETAS, AMENAZA CON LLEGAR AL MUNICIPIO DE PRADO TOLIMA Y SUAREZ TOLIMA.  COORDINADOR EN EL SITIO: CABO PRIMERO WILCHES TELEFONO N0.310 296 8854.COORDENADAS: HELIPUERTO BASE  3 MESETAS 3°51”05 NORTE – 64,50,51 OESTE SITIO POR DONDE SE DIRIGE  HACIA SUAREZ: 3°,52”10 NORTE – 74,50.44,42 OESTE, SITIO POR DONDE SE DIRIGE HACIA PRADO: 03°51.54,15 NORTE – 74,51,30 OESTE, INFORMA BOMBEROS PURIFICACION QUE A ELLOS LES INFORMARON A LAS 5:00 PM PERO QUE INICIO A LAS 11:00 AM</t>
    </r>
    <r>
      <rPr>
        <sz val="11"/>
        <rFont val="Calibri"/>
        <family val="2"/>
      </rPr>
      <t xml:space="preserve">, </t>
    </r>
    <r>
      <rPr>
        <sz val="9"/>
        <rFont val="Arial"/>
        <family val="2"/>
      </rPr>
      <t>SE REALIZA LLAMADA AL DR ABILIO BOHORQUEZ SE INDICA REALIZAR VERIFICACION A PRIMERA HORA DEL ESTADO DEL INCENDIO, SITUACUIN EN DESARROLLO. -604</t>
    </r>
  </si>
  <si>
    <t>REPORTA A CAUSA DE FUERTES LLUVIAS SE REGISTRA INUNDACION SEGÚN INFORMACION PRELIMINAR: 80 VIVIENDAS AVERIADAS, CAIDAS DEARBOLES EN VIVIENDAS Y VIAS, REPORTA CDGRD, SITUACION EN DESARROLLO. -605</t>
  </si>
  <si>
    <t>EN EL MUNICIPIO DE OVEJAS SEPRESENTO EL DESBORMIENTO DE LA QUEBRADA LA FLORAL Y MANCOMUJAN AFECTANDO A 30 FAMILIAS, EL CMGRD ESTA REALUIZANDO EDAN. -606</t>
  </si>
  <si>
    <t>CDGRD DEL CASANARE, INFORMA, SE PRESENTÓ VENDAVAL, AFECTANDO: 4 VIVIENDAS POR DESTECHAMIENTO. -607</t>
  </si>
  <si>
    <t>CDGRD DEL HUILA, INFORMA, INCENDIO FORESTAL, EXTINGUIDO, SITIO: SENA LA ANGOSTURA, AFECTADAS. 25 HECTÁREAS DE PASTO Y RASTROJO, APOYARON BOMBEROS DE CAMPOALEGRE. -607</t>
  </si>
  <si>
    <t>CDGRD DE HUILA, INFORMA, INCENDIO FORESTAL, EXTINGUIDO, SECTOR: FINCA: SAN ANDRES, CERCA AL CRUCE , HACIA  ALGECIRAS, SECTOR DE CONCENTRACIÓN PARO AGRARIO , AFECTADAS: 5 HECTÁREAS DE PASTO Y RASTROJO, APOYARON BOMBEROS DE CAMPOALEGRE. -607</t>
  </si>
  <si>
    <t>CDGRD DE NORTE DE SANTANDER, INFORMA SE PRESENTÓ VENDAVAL, AFECTANDO, 1 VIVIENDA POR DESTECHO. -607</t>
  </si>
  <si>
    <t>CDGRD DE NORTE DE SANTANDER, INFORMA, SE PRESENTARON INUNDACIONES, AFECTANDO LAS VEREDAS: CAMPO ALEGRE- SITIO: EL PORVENIR, VÍA DEPARTAMENTAL- LA ESPERANZA- 20 DE JULIO, AFECTADAS 12 PARCELAS, CONTINUAN REALIZANDO EDAN.  -607</t>
  </si>
  <si>
    <t>CDGRD DE RISARALDA Y CRUE, INFORMAN, SE PRESENTA, VENDAVAL, ACOMPAÑADO DE LLUVIAS, VEREDA: TAUMA, CORREGIMIENTO DE: TRAVESIA, REALIZAN EDAN. -607</t>
  </si>
  <si>
    <t>CDGRD DE CUNDINAMARCA, INFORMA, FANNY LÓPEZ, COORDINADORA DEL CMGRD DE GUADUAS, REPORTA MEDIANTE CORREO ELECTRÓNICO VENDAVAL ACOMPAÑADO DE FUERTE AGUACERO OCURRIDO EL DÍA 12/09/2013, AFECTANDO  ALGUNAS VIVIENDAS EN LOS BARRIOS CAMINO REAL Y GALÁN, LAS VEREDAS PELADERO Y VERSALLES DONDE LA ESCUELA RURAL QUEDO TOTALMENTE DESENTEJADA, SOLICITA AYUDAS  HUMANITARIAS COMO  (MERCADO, COLCHONETAS, TEJAS, FRAZADAS Y LINTERNAS) CMGRD. ADELANTA CENSO DEFINITIVO DE AFECTACIONES Y NECESIDADES QUE SE REPORTAN MEDIANTE ACTA DEL CMGRD. -607</t>
  </si>
  <si>
    <t>CDGRD DE CUNDINAMARCA, INFORMA, LA PROFESORA GRACIELA TOVAR FLORIDO, TELÉFONO 3112296912, REPORTA VENDAVAL OCURRIDO EL DÍA DOMINGO 15/09/2013 A LAS 18:30 HORAS, EL CUAL LEVANTÓ Y ROMPIÓ 6 TEJAS DE LA ESCUELA DE LA VEREDA YASAL ALTO, PROVOCANDO PÉRDIDA DE ENSERES MUEBLES PROPIOS Y DE IMPLEMENTOS DIDÁCTICOS, TAMBIÉN INFORMA QUE HASTA EL MOMENTO NO HA RECIBIDO NINGÚN APOYO DE LAS AUTORIDADES LOCALES. SOLICITA AYUDAS HUMANITARIAS. -607</t>
  </si>
  <si>
    <t>CDGRD DEL VALLE DEL CAUCA, INFORMA, SE PRESENTÓ, 16-09-2013, INCENDIO FORESTAL, EXTINGUIDO, CORREGIMIENTO: EL BALSAL, 1 HECTÁREA AFECTADA. -607</t>
  </si>
  <si>
    <t>CDGRD INDICA POR INFORMACION DE BOMBEROS VOLUNTARIOS VILLAHERMOSA REPORTA FUERTES LLUVIAS CAUSAN AUMENTO DE CAUDAL IMPORTANTE O BOMBADA POR EL RIO AZUFRADO QUE BAJA POR EL SECTOR  DE LA LABOR, ENTRE VILLAHERMOSA Y CASABIANCA, DC INFORMA QUE HUBO DESBORDAMIENTO ZONA RURAL DEJA 2 VIVIENDA Y 1 CENTRO EDUCATIVOS DESTRUIDAS, PENDIENTE EVALUACION EN HORAS DE LA MAÑANA. -608</t>
  </si>
  <si>
    <t>REPORTA INCENDIO FORESTAL EN LA VEREDA LA ESPERANZA SECTOR DE LAS ANTENAS, CONTROLADO PARCIALMENTE, AFECTANDO HASTA AHORA 15 HECTAREAS DE GRAMINIAS Y CHAPARROS, EN REPORTE DEL DIA DE HOY CDGRD REPORTA AFECTACION EN UN TOTAL DE 80 HECTAREAS. -608</t>
  </si>
  <si>
    <t>EN VAUPÉS TENEMOS REPORTE DE QUE UN FUERTE AGUACERO Y VENDAVAL DERRIBO LA CUBIERTA DE LA ESCUELITA BELARMINI CORREA APROXIMADAMENTE A LAS 2 AM, EN ESE MOMENTO SE ENCONTRABAN UNA DELEGACIÓN DE NIÑOS DE COMUNIDADES INDÍGENAS DEL ÁREA RURAL DEL MUNICIPIO DE MITU, NO HUBO HERIDOS.SON 90 NIÑOS QUE ESTABAN EN ESE LUGAR. -609</t>
  </si>
  <si>
    <t>CON EL APOYO DE LA DEFENSA CIVIL  Y SECRETARÍA DE PLANEACIÓN MUNICIPAL, , SE TIENE UN TOTAL DE 146 VIVIENDAS AFECTADAS, DE LAS CUALES 33 PERTENECEN AL PERÍMETRO URBANO Y 113 A LA ZONA RURAL DE ESTE MUNICIPIO DE MERCADERES LA AFECTACIÓN SE PRODUJO ESPECIALMENTE EN LOS TECHOS  SIN LESIONADOS NI VICTIMAS. -609</t>
  </si>
  <si>
    <t>UN INCENDIO ESTRUCTURAL QUE FUE ATENDIDO POR BOMBEROS POPAYÁN, LO DEJO DAÑOS DE ALTA MAGNITUD EN EL CLUB CAMPESTRE DE POPAYÁN. NO HAY LESIONADOS NI VICTIMAS. -609</t>
  </si>
  <si>
    <t>EL CMGRD INFORMA DE UN FUERTE VENDAVAL PRESENTADO EN LAS ULTIMAS HORAS AFECTANDO LOS SIGUIENTES BARRIOS BARRIOS AFECTADOS: PLAYA HERMOSA, COSTA AZUL,LOS LAURELES,CIUDADELA DEL NORTE, EL EDEN,LAS MARAVILLAS,LA ESPERANZA,LA GRACIA DE DIOS, SAN MIGUEL, MI REFUGIO, SAN RAFAEL,VILLA NAZARENO, LA DCC , EL CDGRD , ESTAN REALIZANDO EDAN. -609</t>
  </si>
  <si>
    <t>INFORMAN DEL CDGRD, EN HORAS DE LA MADRUGADA SE DESBORDO EL ARROYO  LOS PATOS INUNDDO A 250 FAMILIAS DEL SECTOR  CHAHCAYAN, N ESTE MOMENTO SE ENCUENTRA EL CMGRD REALIZANDO EDAN. -609</t>
  </si>
  <si>
    <t>REPORTA A CAUSA DE INTENSAS LLUVIAS DESDE AYER EL DIA DE HOY SE PRESENTA DESBORDAMIENTO DE LOS RIOS GUAPA Y GUAPA LEON LOS CUALES TIENEN INCOMUNICADO AL MUNICIPIO VIA TERRESTRE, EL CMGRD SE ENCUENTRA ACTIVO, SE ESPERA EDAN, REPORTA CDGRD, SITUACION EN DESARROLLO. -610</t>
  </si>
  <si>
    <t>REPORTA VENDAVAL EN CORREGIMIENTO TRAVESIAS 11 VIVIENDAS AVERIADAS, 11 FAMILIAS, Y EN LAS VEREDAS: TAUMA: 5 VIVIENDAS, 5 FAMILIAS, YARUMAL: 10 VIVIENDAS AVERIADAS, 10 FAMILIAS, SIRGUIA: 12 VIVIENDAS AVERIADAS, 12 FAMILIAS, SANTA TERESA: 9 VIVIENDAS AVERIADAS, 9 FAMILIAS, OCHARMA: 4 VIVIENDAS AVERIADAS, 4 FAMILIAS. REPORTA CDGRD. -610</t>
  </si>
  <si>
    <t>REPORTA VENDAVAL EN LAS VEREDAS, PLAYA BONITA: 1 VIVIENDA AVERIADA, 1 FAMILIA, VARCINAL: 8 VIVIENDAS AVERIADAS, 8 FAMILIAS, EL CAUCHO: 12 VIVIENDAS VAERIADAS, 12 FAMILIAS, 1 INSTITUCION EDUCATIVA, EL TERRERO: 1 VIVIENDA AVERIADA, 1 FAMILIA, ANISAL: 1 VIVIENDA AVERIADA, 1 FAMILIA, BELLA VISTA: 1 INSTITUCION EDUCATIVA, RIO ARRIBA: 2 VIVIENDAS AVERIADAS, 2 FAMILIAS, EL NARANJO: 1 VIVIENDA AVERIADA, 1 FAMILIA. REPORTA CDGRD. -610</t>
  </si>
  <si>
    <t>D.C.C., INFORMA, EL DÍA DE HOY, A LAS 14:45 HORAS, SE REGISTRÓ VENDAVAL,   MUNICIPIO DE SARAVENA,  DESTECHAMIENTO DE 13  VIVIENDAS AFECTADAS, 13 FAMILIAS, 48 PERSONAS AFECTADAS, PARTICIPACIÓN DE 15 LÍDERES VOLUNTARIOS. -611</t>
  </si>
  <si>
    <t>D.C.C., EL DÍA DE HOY, A  LAS 14:45 HORAS, SE REGISTRÓ VENDAVAL, MUNICIPIO DE ARAUQUITA,  Y  EN EL CENTRO POBLADO DE LA ESMERALDA,  DESTECHAMIENTO DE 60 VIVIENDAS AFECTADAS, 60 FAMILIAS, 250 PERSONAS AFECTADAS. -611</t>
  </si>
  <si>
    <t>D.C.C., INFORMA, POR FUERTES LLUVIAS, SE PRESENTÓ DESLIZAMIENTO DE TIERRA, EN EL CORREGIMIENTO: DEL VALLE JURISDICCIÓN DEL MUNICIPIO DE BAHÍA SOLANO, 12 VIVIENDAS AFECTADAS. -611</t>
  </si>
  <si>
    <t>REPORTA SECCIONAL SANTANDER, SOBRE INCENDIO FORESTAL OCURRIDO DIA 16-09-13, EN JURISDICCIÓN DEL MUNICIPIO DE BARBOSA, DEJANDO COMO RESULTADO: 1 HECTÁREA DE VEGETACION NATIVA AFECTADA, PARTICIPARON EN OPERACIONES DE CONTROL 8 LIDERES VOLUNTARIOS DCC. -611</t>
  </si>
  <si>
    <t>LA SEÑORA MARIA EUGENIA FLOREZ MARQUEZ 3102187875 DESLIZAMIENTO DE TIERRA SOBRE LA VIVIENDA/COCINA, SECTOR DE  BOQUERON, VEREDA LOS TUNELES CASA #24, ELLA VIVE CON 5 MENORES DE EDAD(15-14-11-9-4). ING.FELIZ SALGADO 3176360819. -612</t>
  </si>
  <si>
    <t>REPORTAN DEL CMGRD  DEL LIBANO QUE SE AFECTARON LAS VEREDAD DE CORALITO , HORIZONTE,LA GREGORITA, MARINA BAJA, VERSALLES, SAN FERNANDO. -612</t>
  </si>
  <si>
    <t>REPORTA LA PRESIDENTE DED LA JUNTA DE ACCION COMUNAL DE LA VEREDA MALAVAR DEL MUNICIPIO DE VENADILLO, VIVIENDA DESENTECHADA POR LLUVIAS Y VIENTOS EN LA FINCA LA ESTRELLA LA ESPERANZA DE PROPIEDAD DE LA SRA BLANCA NUBIA GUTIERREZ, SE LE INFORMO QUE SE COMUNICARA CON EL CMGRD VENADILLO. -612</t>
  </si>
  <si>
    <t>INFORMA EL CMGRD QUE SEP RESENTO PERDIDA DE CUBIERTAS EN 3 VIVIENDAS  POR EL VENDAVAL PRESENTADO EN LAS ULTIMAS HORAS. -612</t>
  </si>
  <si>
    <t>SE VERIFICO AFECTACION DE VIVIENDAS EN LA ZONA RURAL RESULTANDO 23 VIVIENDAS DESENTECHADAS Y UNA EN LA PRIMAVERA ALTA COMPLETAMENTE DESTRUIDA,, LA INFORMACION COMPLETA LA TIENE EL COORDINADOR DEL CMGRD VILLAHERMOSA. -612</t>
  </si>
  <si>
    <t>BOMBEROS GUAYABAL SE DESPLAZO HACIA EL CRUCE DE ARMERO LIBANO DONDE EL RIOLAGUNILLA SE DESBORDO AFECTANDO 5 NEGOCIOS DE LOS CUALES HASTA HOY FUERON APOYADOS CON ARMERO GUAYABAL. -612</t>
  </si>
  <si>
    <t>INFORMA EL COORD DEL CDGRD QUE SE PRESENTO UN VENDAVAL EN ELE MUNICIPIO DEL RETORNO AFECTANDO 16 VIVIENDAS , EN ESTE MOMENTO SE ENCUENTRAN REALIZANDO EDAN. -612</t>
  </si>
  <si>
    <t>HORAS SE MANIFIESTA POR PARTE DEL CUERPO DE BOMBEROS DE LA CIUDAD DE BUCARAMANGA, EN LA CARRERA 22 CON CALLE 109-25 SE PRESENTÓ UN INCENDIO ESTRUCTURAL, DONDE SE QUEMÓ LA HABITACIÓN PRINCIPAL DE LA RESIDENCIA AL PARECER POR UN CORTO CIRCUITO, FUE ATENDIDO Y CONTROLADO POR EL CUERPO DE BOMBEROS SIN PRESENTARSE NI REGISTRAR PÉRDIDAS HUMANAS, LOS DAÑOS FUERON AVALUADOS POR 3.000.000. -612</t>
  </si>
  <si>
    <t>INFORMA COMANDANTE DE BOMBEROS INCENDIO FORESTAL EN EL SECTOR LA MARIA CORDILLERA OCCIDENTAL, VAN CONSUMIDAS +/- 10 HECTAREAS DE VEGETACION DE CORDILLERA. -612</t>
  </si>
  <si>
    <t>INFORMA EL ING ALIRIO ROZO QUE SE PRESNETO UN VENDAVLA EN ELE MUNICIPIO DE BUENAVISTA EL DIA DOMINGO 15 DE SEPTIEMBRE , COLAPSARON 2 VIVIENDAS , SE ESTA HACIENDO EDAN. -612</t>
  </si>
  <si>
    <t>CMGRD REPORTA LLUVIAS ACOMPAÑADAS DE FUERTES VIENTOS CAUSANDO INUNDACION EL PASADO 06/09/2013 ASI: DESBORDAMIENTO RIO DAGUA VEREDA CALLE LARGA CON AFECTACION SEGÚN CENSO EN 13 VIVIENDAS, 13 FAMILIAS, DESBORDAMIENTO RIO EL REPOSO VEREDA EL TIGRE CON AFECTACION SEGÚN CENSO A 51 VIVIENDAS IGUAL NUMERO DE FAMILIAS, EN EL SECTOR DE EL BRACITO-AMAZONA SEGUN CENSO 62 VIVIENDAS, 62 FAMILIAS, POR DESBORDAMIENTO DEL RIO ANCHICAYA SEGUN CENSO 52 VIVIENDAS Y 52 FAMILIAS. -613</t>
  </si>
  <si>
    <t>CMGRD REPORTA POR FUERTES LLUVIAS EN EL CORREGIMIENTO DE BAUDILLO LA NOCHE ANTERIOR  AFECTO KILOMETO Y MEDIO DE DE LA VIA PRINCIPAL QUE CONDUCE HACIA VALLEDUPAR, QUEDANDO EN MAL ESTADO, EN COORDINACION DEL CDGRD EEPERAN APOYO CON MAQUINARIA PARA HABILITARLA.  -613</t>
  </si>
  <si>
    <t>LA ALCALDÍA DE ARMENIA A TRAVÉS DE LA SECRETARIA DE GOBIERNO Y CONVIVENCIA Y LA OFICINA MUNICIPAL PARA LA GESTIÓN DEL RIESGO DE DESASTRES – OMGERD, ATENDIÓ INCENDIO ESTRUCTURAL, RESULTARON AFECTADAS 3 VIVIENDAS EN ZONA URBANA, IGUALMENTE ENTREGÓ AYUDA HUMANITARIA A 13 PERSONAS QUE RESULTARON AFECTADAS POR EL INCENDIO ESTRUCTURAL QUE SE REGISTRÓ LA NOCHE DEL MIÉRCOLES EN EL BARRIO SALAZAR. -613</t>
  </si>
  <si>
    <t>13-0936</t>
  </si>
  <si>
    <t>ACTUALIZACION DE VENDAVAL QUE AFECTO 18 BARRIOS ASI: SANTIAGO LONDOÑO: 5 VIVIENDAS AVERIADAS, 5 FAMILIAS, NUEVA ESPERANZA: 2 VIVIENDAS AVERIADAS, 2 FAMILIAS, SAN RAFAEL: 1 VIVIENDA AVERIADA, 1 FAMILIA, VEREDA NARANJALES: 7 VIVIENDAS AVERIADAS, 7 FAMILIAS, ALTOS DEL EDEN: 2 VIVIENDAS AVERIADAS, 2 FAMILIAS, SATURNO: 5 VIVIENDAS AVERIADAS, 5 FAMILIAS, VILLA MARIELA: 19 VIVIENDAS AVERIADAS, 19 FAMILIAS, OLAYA HERRERA: 5 VIVIENDAS AVERIADAS, 5 FAMILIAS, SAN GREGORIO: 2 VIVIENDAS AVERIADAS, 2 FAMILIAS, FRAILES: 3 VIVIENDAS AVERIADAS, 3 FAMILIAS, COMUNEROS: 39 VIVIENDAS AVERIADAS, 39 FAMILIAS, CAMILO TORRES: 1 VIVIENDA AVERIADA, 1 FAMILIA, DIVINO NIÑO: 1 VIVIENDA AVERIADA, 1 FAMILIA, GUADUALITO: 1 VIVIENDA AVERIADA, 1 FAMILIA, JAPON: 3 VIVIENDAS AVERIADAS, 3 FAMILIAS, VEREDA LA DIVISA: 2 VIVIENDAS AVERIADAS, 2 FAMILIAS, EL MARTILLO: 1 VIVIENDA AVERIADA, 1 FAMILIA, SAN DIEGO: 1 VIVIENDA AVERIADA, 1 FAMILIA, REPORTA CDGR.</t>
  </si>
  <si>
    <t>300 VARILLAS DE 1/2, 300 VARILLAS DE 3/8, 2000 LADRILLOS</t>
  </si>
  <si>
    <t>03-0935</t>
  </si>
  <si>
    <t>13-0949</t>
  </si>
  <si>
    <t>13-0938</t>
  </si>
  <si>
    <t>13-0943</t>
  </si>
  <si>
    <t>13-0941</t>
  </si>
  <si>
    <t>13-0944</t>
  </si>
  <si>
    <t>13-0945</t>
  </si>
  <si>
    <t>3000 LADRILLOS</t>
  </si>
  <si>
    <t>13-0985</t>
  </si>
  <si>
    <t xml:space="preserve"> LAS ZONAS MÁS AFECTADAS ES EL BARRIO VILLANUEVA EN LA LOCALIDAD NORTE CENTRO HISTÓRICO EN DONDE RESULTARON AFECTADAS POR REBOSAMIENTO DE ALCANTARILLADO. -615</t>
  </si>
  <si>
    <t>EN LA VEREDA DE LA MATA , SE INUNDARON 4 VIVIENDAS , POR OBSTRUCCION DE UN TERRAPLEN QUE SE ESTA HACIENDO , SE AFECTARON 21 FAMILIAS , LAS AGUAGUA FUERON EVACUADAS CON MOTOBOMBAS. -615</t>
  </si>
  <si>
    <t>REPORTA VENDAVAL INFORMACION PRELIMINAR 7 BARRIOS AFECTADOS, 2200 VIVIENDAS AVERIADAS, 6 LESIONADOS,  REPORTE FINAL  EL CAPITAN DANIEL CASTAÑO. ACTUALIZADO AL 18 DE SEPTIEMBRE DE 2013 POR CORREO ELECTRONICO. -615</t>
  </si>
  <si>
    <t>CDGRD DE CORDOBA, INFORMA, DESBORDAMIENTO DEL ANTIGUO CAUSE DEL RÍO SINÚ, AFECTANDO EL CORREGIMIENTO TINAJONES EN 30 FAMILIAS, VEREDA: LA PLAYITA:58 FAMILIAS, VEREDA: CHAMBA: 21 FAMILIAS, UN  TOTAL DE: 109 FAMILIAS AFECTADAS, SITUACIÓN EN DESARROLLO. -616</t>
  </si>
  <si>
    <t>CDGRD DE SANTANDER, INFORMA, SE PRESENTA VENDAVAL, CUARENTA FAMILIAS AFECTADAS, EN EL CASCO URBANO, DONDE HUBO DAÑOS, EN LOS TECHOS, Y PAREDES DE LAS RESIDENCIAS , EN LA ESCUELA PUBLICA, Y UN HOGAR GEDIATRICO , LA ALCALDIA REALIZO UN CENSO Y VERIFICO, LAS NECESIDADES DE LAS PERSONAS AFECTADAS . -616</t>
  </si>
  <si>
    <t>CDGRD DE SANTANDER, INFORMA, SE PRESENTÓ ACCIDENTE LABORAL, EN UNA OBRA, POR CAIDA DE MURO, FALLECIENDO UNA PERSONA. -616</t>
  </si>
  <si>
    <t>CDGRD DEL VALLE DEL CAUCA, INFORMA, SE PRESENTÓ GRANIZADA, EN LA ZONA RURAL, VEREDAS: FRIAS, SANDE, LA ESMERALDA,  AFECTANDO APROXIMADAMENTE: 30 FAMILIAS, CULTIVOS DE: CAFÉ, PLÁTANO, CACAO Y OTROS, REALIZAN EDAN, SITUACIÓN EN DESARROLLO. -616</t>
  </si>
  <si>
    <t>CDGRD DEL HUILA, INFORMA, SE PRESENTÓ, INCENDIO FORESTAL, VEREDA: ALTO ALMORZADERO, 10 HECTÁREAS AFECTADAS DE PASTO  Y RASTROJO, EXTINGUIDO, ATENDIO BOMBEROS TERUEL. -616</t>
  </si>
  <si>
    <t>CDGRD REPORTA SE ATENDE INCENDIIO ESTRUCTURAL EN EL BARRIO GALAN CRA 8 SUR #20-07 EN UNA VIVIENDA DE TRES NIVELES, AFECTANDO TODO EL PRIMER NIVEL, PERDIDA DE MUEBLES Y ENSERES, CONTROLA Y ATENDIDO POR BOMBEROS ESTACION DEL SUR. -617</t>
  </si>
  <si>
    <t>INFORMA LA SRA. LUZ ADRIANA DEL CRUE RISARALDA QUE LA AFECTACION DEL INCENDIO FORESTAL REPORTADO EL DIA DE AYER FUE DE 1,5 HECTAREAS, 600 ARBOLES DE CAFÉ, CULTIVO DE LA VEREDA LA CIENAGA. -618</t>
  </si>
  <si>
    <t>REPORTA CITEL CDGRD NARIÑO VENDAVAL EN FRANCISCO PIZARRO, VEREDA SALA ONDA, AFECTADA LA INSTITUCIÓN EDUCATIVA LA PLAYA, 7 SALONES SIN TECHO, Y LA UNIDAD SANITARIA. -618</t>
  </si>
  <si>
    <t>CDGRD DE CUNDINAMARCA, INFORMA INCENDIO FORESTAL, EXTINGUIDO, SECTOR BARRIO EL SOCIEGO, CERRO: CASABIANCA, SE AFECTARON:  5 HECTÁREAS DE PASTIZALES APOYO BOMBEROS FUNZA, FACA Y MADRID, SE CONSUMIERON: 5 HECTÁREAS DE: PASTIZALES. -619</t>
  </si>
  <si>
    <t>REPORTA SECCIONALO CESAR, DIA 19-09-13, CORREGIMIENTO: LA MATA, MUNICIPIO LA GLORIA CESAR, INUNDACIÓN POR REPRESAMIENTO DE AGUAS OCASIONADA, POR EL TAPONAMIENTO DE POZOS QUE FACILITAN, LA SALIDA DE LAS AGUAS RESIDUALES DE ESTAS COMUNIDADES, AFECTADAS QUE DEJA SALDO DE 110 AFECTADOS ILESOS, DE 22 FAMILIAS Y 12 HECTÁREAS DE CULTIVOS VARIOS INUNDADOS. PARTICIPARON EN LA ATENCIÓN DEL CASO 18 LIDERES VOLUNTARIOS DCC. 619</t>
  </si>
  <si>
    <t>REPORTA INCENDIO FORESTAL EN LAS VEREDAS CHAPUESQUER, PIARAMAG Y CHIPACUED, ALEDADAÑAS AL PARAMO DE LA LAGUNA VERDE DEL VOLCAN AZUFRAL, ATIENDE COMUNIDAD, SALE A LA ZONA BOMBEROS DE SAMANIEGO Y TUQUERRES, ALCALDE ESTA CONSIGUIENDO COORDENADAS PARA SOLICITUD DE APOYO AEREO, SITUACION EN DESARROLLO. -620</t>
  </si>
  <si>
    <t>REPORTA VENDAVAL INFORMACION PRELIMINAR ESTACION DE BOMBEROS Y CASA DE LA CULTURA AVERIADOS, EDAN EN PROCESO, REPORTA CDGRD, SITUACION EN DESARROLLO. -620</t>
  </si>
  <si>
    <t>REPORTA INCENDIO FORESTAL EN LA VEREDA DAHITO, ATIENDE BOMBEROS, REPORTA CDGRD, SITUACION EN DESARROLLO. -620</t>
  </si>
  <si>
    <t>REPORTA VENDAVAL EN EL CASCO URBANO INFORMACION PRELIMINAR: 3 BARRIOS AFECTADOS: EXODO, VILLA ESPERANZA, LA GRANJA, 210 VIVIENDAS AVERIADAS, 210 FAMILIAS, REPORTA CDGRD, SITUACION EN DESARROLLO. -620</t>
  </si>
  <si>
    <t>REPORTA INCENDIO FORESTAL VIA AL AEROPUERTO CONTROLADO Y EXTINGUIDO POR BOMBEROS, REPORTA CDGRD. -620</t>
  </si>
  <si>
    <t>FOPAE, Y BOMBEROS, INFORMAN, SE PRESENTA, INCENDIO FORESTAL, 14:30 HORAS,   KM 3, VIA BOGOTÁ-  LA CALERA, VEREDA: SAN LUIS, APOYAN: 7 MAQUINAS EXTINTORAS, 3 CARROTANQUES, 1 CAMIÓN LOGÍSTICO, 1 CARRO COMANDO, 60 UNIDADES DE BOMBEROS OFICIALES, 10 UNIDADES DE BOMBEROS VOLUNTARIOS, 3 AMBULANCIAS, 1 CARRO COMANDO DE LA SECRETARIA DE SALUD, 1 CARRO COMANDO, 1 CAMIÓN LOGÍSTICO DE LA FOPAE Y  21 UNIDADES DEL BATALLÓN TEQUENDAMA, CRUZ ROJA COLOMBIANA, 4 VOLUNTARIOS, 2 MOVILES, SE HAN CONSUMIDO APROXIMADAMENTE:  20 HECTÁREAS DE BOSQUE,  SITUACIÓN EN DESARROLLO. -619
ACTUALIZACIO 22/09/13, REPORTA LA DIRECCION NACIONAL DE BOMBEROS INCENDIO FORESTAL SUBTERRANEO EN VIA A LA CALERA CONTROLADO 100%, HECTAREAS  AFECTADAS 3.5, SE RETIRAN 60 PERSONAS Y QUEDAN 50 REALIZANDO BARRIDO Y REMOCION. -620</t>
  </si>
  <si>
    <t>CDGRD DEL TOLIMA, INFORMA, SE PRESENTÓ, INCENDIO FORESTAL,  EN LA VEREDA:  EL CHORRO, SE CONSUMIERON: 10 HECTÁREAS DE PASTOS. -621</t>
  </si>
  <si>
    <t>CDGRD DEL TOLIMA, INFORMA SE PRESENTÓ, INCENDIO FORESTAL, EN LAS VEREDAS: SAN MARTÍN, ALTO LOS BIZCOCHOS,  AFECTACIÓN EN TRES SECTORES DE LA FINCA: BELLAVISTA Y  EL DIAMANTE, 7,6 HECTÁREAS AFECTADAS DE PASTO Y RASTROJO. -621</t>
  </si>
  <si>
    <t>CMGRD DE POPAYAN, INFORMA, SE PRESENTÓ VENDAVAL, EN EL SECTOR: TRIUNFANDO POR LA PAZ, 20 VIVIENDAS DESTECHADAS, SIN LESIONADOS, SITUACIÓN EN DESARROLLO. -621</t>
  </si>
  <si>
    <t>8000 LADRILLOS BLOQUES No. 5</t>
  </si>
  <si>
    <t>13-0987</t>
  </si>
  <si>
    <t>13-0986</t>
  </si>
  <si>
    <t>AFECTADAS VEREDA BAJO SAN VICENTE, DARIEN, CAÑOS NEGROS, GUACAMAYAS, BARRANCO COLORADO, LA LINDOSA, CHISPAS, EL OASIS, CHARCO DANTO, EL DORADO, LA UNION, SAN RAFAEL, CAÑO ALFA, CAÑO BLANCO, CENTRO POBLADO PUERTO TOLEDO.</t>
  </si>
  <si>
    <t>25000 LADRILLO NO. 4, 340 VARILLA ED 1/2", 430 VARILLA DE 3//8, 4500 TABLA DE 3 X 20, 25 TANQUES DE 1000 LTS Y 25 COMBOS SANITARIOS</t>
  </si>
  <si>
    <t>13-0947</t>
  </si>
  <si>
    <t>DERRUMBES Y TAPONAMIENTOS EN LAS VÍAS DE LAS VEREDAS: LA MINA. TEBAIDA. CASITAS. VALLECITO. MONTEGRANDE,  LA CHUMBA, TIGRERA, CONVENIO, GUAYABOS, SAN ANTONIO, CUMINÁ, VIOLETAS, PIEDRAS BLANCAS, GUARUMA.COLAPSO DE LA BOCATOMA DEL AGUA: VEREDA LA PALMITA Y MACONDITO.VIA VEREDA TOTARITO : DETERIORO DE VÍA Y COLAPSO DE LAS ALCANTARILLAS DE LA VÍA.ESCUELAS: VEREDA LA VIOLETA POR EL VENDAVAL HUBO DESENTECHAMIENTO Y DAÑO EN LA TUBERÍA DEL ACUEDUCTO. VEREDA TOTARITO POR LA OLA INVERNAL EXISTE EROSIÓN, POR TAL MOTIVO SE NECESITA ESTABILIZACIÓN DEL TALUD Y CONSTRUCCIÓN DEL MURO.FAMILIAS REPORTADAS; TENEMOS 29 FAMILIAS REPORTADAS POR L INTENSO INVIERNO DE LAS CUALES 3 FAMILAS ESTÁN POR REUBICACIÓN.</t>
  </si>
  <si>
    <t xml:space="preserve">20 ROLLOS MANGUERA DE 1/2 </t>
  </si>
  <si>
    <t>13-0933</t>
  </si>
  <si>
    <t>BUENOS DÍAS SE HAN REPORTADO FUERTES LLUVIAS EN EL NORTE DEL TOLIMA SIN REPORTE DE NOVEDAD AL MOMENTO, EL RIO GUALI CON UN GRAN CAUDAL POR LAS LLUVIAS EN LA CORDILLERA SE MANTIENE MONITOREADO EN  HONDA Y SAN SEBASTIÁN DE MARIQUITA, TAPONAMIENTO EN LA VÍA ANZOÁTEGUI- IBAGUÉ EN EL KM 21 SIN MÁS DETALLES.</t>
  </si>
  <si>
    <t>OTROS: 200 ROLLOS MANGUERA DE 1/2</t>
  </si>
  <si>
    <t>200 ROLLOS DE MANGUERA DE 1/2"</t>
  </si>
  <si>
    <t>CMGRD REPORTA MEDIANTE ACTA, 22 FAMILIAS AFECTADAS POR LAS FUERTES LLUVIAS PRESENTADAS EN LA NOCHE DEL 20 Y A LA MADRUGADA DEL 21 DE MAYO DEL PRESENTE AÑO CON DESLIZAMIENTOS QUE AFECTARON ACUEDUCTOS RURALES EN LAS VEREDAS REPOSO Y BAJO GUALI COMO TAMBIEN A FAMILIAS QUE CAPTABAN AGUAS DE QUEBRADAS CERCANAS.</t>
  </si>
  <si>
    <r>
      <t xml:space="preserve">66 ROLLOS DE MANGUERA DE 1/2". 5 ROLLOS DE MANGUERA DE 2 </t>
    </r>
    <r>
      <rPr>
        <b/>
        <sz val="9"/>
        <rFont val="Arial"/>
        <family val="2"/>
      </rPr>
      <t>"</t>
    </r>
  </si>
  <si>
    <t>13-0958</t>
  </si>
  <si>
    <t>13-0939</t>
  </si>
  <si>
    <t>13-0995
13-0960</t>
  </si>
  <si>
    <t>EL CUERPO DE BOMBEROS REPORTA INCENDIO FORESTAL DE MENOR MAGNITUD APROXIMADAMENTE 1500  METRO, LA QUEMA DE MALEZA, ARBUSTOS Y PASTOS EN PREDIO MONTAÑOSO DEL BARRIO LAS MARIA PAZ UBICADO AL NORTE DE LA CIUDAD. SIENDO ATENDIDO Y CONTROLADO POR EL CUERPO DE BOMBEROS SIN AFECTAR ESTRUCTURAS O VIDAS HUMANAS. -622</t>
  </si>
  <si>
    <t>REPORTA CMGRD DE POPAYÁN,  INCENDIO FORESTAL EN ZONA RURAL ALTO TEJARES, LA ZONA AFECTADA TIENE PRINCIPAL ARBUSTOS, HECHOS OCURRIDOS DESDE LA TARDE DE AYER DOMINGO, BOMBEROS POPAYÁN SE ESTÁN DESDE LA TARDE DE AYER TRATANDO DE CONTROLAR EL MENCIONADO INCENDIO, PUESTO QUE ANOCHE SUSPENDIERON LABORES, CON SEGURIDAD EN LA ZONA Y SE REINICIO ESTA MAÑANA NUEVAMENTE. -622</t>
  </si>
  <si>
    <t>CMGRD DE SAN SEBASTIÁN,QUE DESDE LA TARDE DE AYER DOMINGO SE PRESENTA UN INCENDIO FORESTAL EN EL CORREGIMIENTO DEL MORRO. EL CUERPO DE BOMBEROS DEL MUNICIPIO SE ENCUENTRA ATENDIENDO LA EMERGENCIA EN CAMPO Y PARA EL DÍA DE HOY RECIBIRÁN APOYO DEL CUERPO DE BOMBEROS DE SAN SEBASTIAN YA QUE HASTA EL MOMENTO NO HA SIDO POSIBLE CONTROLARLO. -622</t>
  </si>
  <si>
    <t>MÁS DE DIEZ CASAS RESULTARON AFECTADAS POR UN INCENDIO DE GRAN MAGNITUD, PROVOCADO POR EL VOLCAMIENTO DE UN CAMIÓN CISTERNA QUE LLEVABA ALCOHOL INDUSTRIAL, A LA ALTURA DEL CORREGIMIENTO PRESIDENTE, EN LA VÍA BUGA – TULUÁ DE ACUERDO CON HAROLD ALZATE, COMANDANTE DE LOS BOMBEROS DE BUGA, CERCA DE 11 MIL GALONES DE ALCOHOL INDUSTRIAL SE DERRAMARON SOBRE LA QUEBRADA PRESIDENTE  Y UNA PERSONA, QUE ERA EL CONDUCTOR DEL CAMIÓN, TERMINÓ CON MÚLTIPLES LESIONES Y FUE LLEVADA A UN CENTRO ASISTENCIAL. -622</t>
  </si>
  <si>
    <t>13-0948</t>
  </si>
  <si>
    <t>13-0784
13-0948</t>
  </si>
  <si>
    <t>13-0946</t>
  </si>
  <si>
    <t>9759 KILOS DE ACERO DE REFUERZO PDR 60, 1 TUBO DE DRENAJE DE 4" POR 6 MT, 640 METROS DE GEOTEXTIL</t>
  </si>
  <si>
    <t>13-0959</t>
  </si>
  <si>
    <t>13-0940</t>
  </si>
  <si>
    <t>CDGRD DE CUNDINAMARCA, INFORMA, DORA INÉS ARÉVALO, DEL CMGRD INFORMA A ESTA UNIDAD SOBRE INCENDIO FORESTAL SUBTERRÁNEO   INICIADO EL DÍA SÁBADO 21-SEP-13 A LAS 11:00 HORAS EN LA INSPECCIÓN DE  CORRALEJAS, SECTOR AGUA REGADA, EL CUAL A AFECTADO 1,0 HECTÁREA  DE BOSQUE NATIVO Y EUCALIPTUS. A TIENDE CMGRD Y COMUNIDAD. -623</t>
  </si>
  <si>
    <t>CDGRD DE CUNDINAMARCA, INFORMA, BRAULIO DE JESÚS SERNA, COORDINADOR DEL CMGRD DEL MPIO DE LA MESA, REPORTA A ESTA UNIDAD SOBRE INCENDIO FORESTAL INICIADO EL DÍA DOMINGO 22 DE SEPTIEMBRE, HACIA LAS 11:00 HORAS EL LAS VEREDAS EL PALMAR Y ZAPATA DE ESTE MPIO EL CUAL,   SE  AFECTARON 7,0 HECT DE BOSQUE NATIVO EN UNA ZONA DE RESERVA AMBIENTAL,   ATENDIO  BOMBEROS LA MESA, BOMBEROS DEL MPIO DEL COLEGIO, DE SAN ANTONIO DEL TEQUENDAMA, DE ANAPOIMA, DEFENSA CIVIL, EJERCITO NACIONAL, BRIGADAS CAR, Y CMGRD, FUE CONTROLADO Y EXTINGUIDO HACIA LAS 11: HORAS DEL 23-SEP-13. -623</t>
  </si>
  <si>
    <t>CDGRD DE BOYACA, INFORMA, SE PRESENTÓ VENDAVAL, EL DÍA 15-09-2013, PENDIENTE AFECTACIÓN, ESTE EVENTO FUE REPORTADO HASTA EL DÍA DE HOY. -623</t>
  </si>
  <si>
    <t>CDGRD DEL CAUCA, INFORMA, SE PRESENTA, INCENDIO FORESTAL, SECTOR: GINEAL, ATIENDE CBV, SITUACIÓN EN DESARROLLO. -623</t>
  </si>
  <si>
    <t>CDGRD DE SANTANDER, INFORMA, INCENDIO FORESTAL, VÍA B/MANGA A GIRON  SECTOR DE PLANTA DE COCA-COLA APROXIM: 1HA  A LAS (16:55) HORAS, EXTINGUIDO. -623</t>
  </si>
  <si>
    <t>CDGRD DE SANTANDER, INFORMA, INCENDIO FORESTAL, VEREDA MANCHADORES 3 HA APROXIMADAMENTE (13:30 HORAS), EXTINGUIDO. -623</t>
  </si>
  <si>
    <t>CDGRD DEL VALLE DEL CAUCA, INFORMA, EN ESTOS MOMENTOS SE PRESENTA INCENDIO FORESTAL EN EL CORREGIMIENTO: TOCHE, MPIO PALMIRA, ZONA MONTAÑOSA, AL MOMENTO ATIENDEN LOS BOMBEROS: PALMERA Y 16 UNIDADES, EL EVENTO INICIO AYER Y SE HAN CONSUMIDO 80 HECTÁREAS, SITUACIÓN EN DESARROLLO. -623</t>
  </si>
  <si>
    <t>CDGRD DEL VALLE DEL CAUCA,  INFORMA, QUE DESDE EL DÍA DE AYER SE INICIO UN IF, MPIO DE TULUA,  EN LA VEREDA: MONTE LORO, PARTE ALTA. AFECTADAS 15 HECTAREAS DE BOSQUE NATIVO. ATIENDE BOMBEROS TULUA Y APOYA PERSONAL DEL EJERCITO, SITUACIÓN EN DESARROLLO. -623</t>
  </si>
  <si>
    <t>KAREN AVILA, INFORMA, SE PRESENTA INCENDIO FOTRESTAL, SITUACIÓN EN DESARROLLO. -623</t>
  </si>
  <si>
    <t>CDGRD DE BOYACA, INFORMA, SE PRESENTA INCENDIO FORESTAL SUBTERRANEO,  SECTOR: CRUZ DE MURCIA, VEREDA. LA ESPERANZA, HAY UNA TORRE DE ALTA TENSIÓN EN RIESGO, SE PRODUJO HUNDIMIENTO DEL TERRENO A 5 MTS DE LA TORRE, SALVAMENTO MINERO YA HIZO LA INSPECCIÓN  DEL LUGAR,  EL INCENDIO ESTÁ ACTIVO DESDE HACE AÑOS , PERO SE DETECTÓ HOY LA SITUACIÓN DE RIESGO,  SE INFORMO A LA EMPRESA DE ENERGIA EBSA, SITUACIÓN EN DESARROLLO. -623</t>
  </si>
  <si>
    <t>CMGRD REPORTA INCENDIO ESTRUCTURAL EN HORAS DE LA MAÑANA EN EL CASCO URBANO, 12 VIVIENDA, 1 FAMILIA AFECTADA, ATENDIERON SECRETYARIA DE GOBIERNO Y CONVIVENCIA, OMGER Y CUERPO OFIACIAL DE BOMBEROS, SE ENTREGO ASISTENCIA HUMANITARIA, VIVIENDA HABITADA POR 2 PERSONAS. -624</t>
  </si>
  <si>
    <t>SE REGISTRO INCENDIO ESTRUCTURAL EN EL MUNICIPIO DE BELLO EN EMPRESA ABONARGAN, DE ABONO ORGANICO, EN LA AUTOPISTA MEDELLIN-BOGOTA SECTOR LA BASCULA, ATENDIO CUERPO DE BOMBEROS BELLO CON 10 UNIDADES Y 2 MAQUINAS, NO LESIONADOS U OTRO. -624</t>
  </si>
  <si>
    <t>BARRIO “BALCONES DE LAS PALMERAS”  SE PRESENTÓ INCENDIO FORESTAL CON EXTENSIÓN APROXIMADA DE CONFLAGRACIÓN DE 1 HA, QUEMÁNDOSE PASTOS, MALEZA Y ARBUSTOS. FUE CONTROLADO Y ATENDIDO POR EL CUERPO DE BOMBEROS. -625</t>
  </si>
  <si>
    <t>BARRIO “EL DANGON - SECTOR DE LA CANCHA” SE PRESENTÓ  CONATO DE INCENDIO CON EXTENSIÓN APROXIMADA DE CONFLAGRACIÓN DE 800 MT2, QUEMÁNDOSE PASTOS, MALEZA Y ARBUSTOS. FUE CONTROLADO Y ATENDIDO POR EL CUERPO DE BOMBEROS. -625</t>
  </si>
  <si>
    <t>BARRIO “NUEVO GIRÓN” SE PRESENTÓ INCENDIO FORESTAL CON EXTENSIÓN APROXIMADA DE CONFLAGRACIÓN DE 1 HA, QUEMÁNDOSE PASTOS, MALEZA Y ARBUSTOS. FUE CONTROLADO Y ATENDIDO POR EL CUERPO DE BOMBEROS. -625</t>
  </si>
  <si>
    <t>“EL CARRASCO – BOTADERO DE BASURAS” SE PRESENTÓ INCENDIO FORESTAL CON EXTENSIÓN APROXIMADA DE CONFLAGRACIÓN DE 2 HA, QUEMÁNDOSE BASURAS Y RESIDUOS INORGÁNICOS. FUE CONTROLADO Y ATENDIDO POR EL CUERPO DE BOMBEROS. -625</t>
  </si>
  <si>
    <r>
      <t>BARRIO “</t>
    </r>
    <r>
      <rPr>
        <b/>
        <sz val="9"/>
        <rFont val="Arial"/>
        <family val="2"/>
      </rPr>
      <t>SAN LUIS</t>
    </r>
    <r>
      <rPr>
        <sz val="9"/>
        <rFont val="Arial"/>
        <family val="2"/>
      </rPr>
      <t xml:space="preserve">” SE PRESENTÓ </t>
    </r>
    <r>
      <rPr>
        <b/>
        <sz val="9"/>
        <rFont val="Arial"/>
        <family val="2"/>
      </rPr>
      <t xml:space="preserve">CONATO </t>
    </r>
    <r>
      <rPr>
        <sz val="9"/>
        <rFont val="Arial"/>
        <family val="2"/>
      </rPr>
      <t>DE INCENDIO CON EXTENSIÓN APROXIMADA DE CONFLAGRACIÓN DE 800 MT2, QUEMÁNDOSE PASTOS, MALEZA Y ARBUSTOS. FUE CONTROLADO Y ATENDIDO POR EL CUERPO DE BOMBEROS. -625</t>
    </r>
  </si>
  <si>
    <t>BARRIO “EL POBLADO” SE PRESENTÓ CONATO DE INCENDIO CON EXTENSIÓN APROXIMADA DE CONFLAGRACIÓN DE 500 MT2, QUEMÁNDOSE PASTOS, MALEZA Y ARBUSTOS. FUE CONTROLADO Y ATENDIDO POR EL CUERPO DE BOMBEROS. -625</t>
  </si>
  <si>
    <t>VÍA FLORIDABLANCA A PIEDECUESTA “CLUB DE TIRO” SE PRESENTÓ  INCENDIO FORESTAL  CON EXTENSIÓN APROXIMADA DE CONFLAGRACIÓN DE 1 HA, QUEMÁNDOSE PASTOS, MALEZA Y ARBUSTOS. FUE CONTROLADO Y ATENDIDO POR EL CUERPO DE BOMBEROS. -625</t>
  </si>
  <si>
    <t>BARRIO “LAS ACACIAS” SE PRESENTÓ INCENDIO FORESTAL  CON EXTENSIÓN APROXIMADA DE CONFLAGRACIÓN DE 1 HA, EN LA CARRERA 12 CON CALLE 106ª - QUEMÁNDOSE PASTOS, MALEZA Y ARBUSTOS. FUE CONTROLADO Y ATENDIDO POR EL CUERPO DE BOMBEROS. -625</t>
  </si>
  <si>
    <t>VEREDA “MANCHADORES” SE PRESENTÓ  INCENDIO FORESTAL  CON EXTENSIÓN APROXIMADA DE CONFLAGRACIÓN DE 3 HA, QUEMÁNDOSE PASTOS, MALEZA Y ARBUSTOS DE BOSQUE NATIVO. FUE CONTROLADO Y ATENDIDO POR EL CUERPO DE BOMBEROS. -625</t>
  </si>
  <si>
    <r>
      <t xml:space="preserve">CDGRD REPORTA EL DIA DE HOY DATOS DE AFECTACION POR INUNDACION EL PASADO 31 DE MAYO ASI: 9 COMUNIDADES AFECTADAS, QUE SON: PANADO, SANTA ROSA, MARQUESA,LOMA DE BARRANCOSITO, CHARCO LARGO, BARRANCON, CHARCO HONDO, SANANDOSITO, CHAMBACU, REPORTA EN TOTAL 1.127 FAMILIAS AFECTADAS POR PERDIDA DE ENSERES Y 30 VIVIENDAS AVERIADAS, NO LESIONADOS, NO FALLECIDOS. </t>
    </r>
    <r>
      <rPr>
        <sz val="9"/>
        <color rgb="FFFF0000"/>
        <rFont val="Arial"/>
        <family val="2"/>
      </rPr>
      <t>EL VALOR DE OTROS CORRESPONDE A PAGO DE TRANSPORTE DE ELEMENTOS ENVIADOS AL MUNICPIO. 3391 KIT DE NOCHE Y 1127 KIT DE ASEO</t>
    </r>
  </si>
  <si>
    <t>13-0787
13-0989</t>
  </si>
  <si>
    <t>13-0940
13-0989</t>
  </si>
  <si>
    <t>13-0942
13-0937
13-0989</t>
  </si>
  <si>
    <t>REPORTA INCENDIO FORESTAL EN LA VEREDA EL TORO, SECTOR LUCERO ALTO, REPORTA CDGRD, SITUACION EN DESARROLLO. -626</t>
  </si>
  <si>
    <t>REPORTA VENDAVAL EN EL CORREGIMIENTO DE AGUAS BLANCAS, EL CMGRD SALE A REALIZAR EDAN, REPORTA CDGRD, SITUACION EN DESARROLLO. -626</t>
  </si>
  <si>
    <t>REPORTA VENDAVAL CON LLUVIAS, 12 VIVIENDAS AVERIADAS, 12 FAMILIAS CON PERDIDAS DE TECHOS, MUEBLES Y ENSERES, TAMBIÉN EL CENTRO EDUCATIVO GENERAL ALBAN CON PERDIDA DEL TECHO Y PARTE DE LOS ELEMENTOS DE DOTACIÓN QUE OBLIGO A LA SUSPENSIÓN DE CLASE A 500 ALUMNOS, IGUALMENTE LA ESTACIÓN  DE GASOLINA HUBO PERDIDA DE TECHOS. SOLICITAN AYUDAS HUMANITARIAS. ATIENDE CMGRD Y POLICÍA. REPORTA CDGRD. -626</t>
  </si>
  <si>
    <t>REPORTA INCENDIO FORESTAL EN LA VEREDA YARUMITO SECTOR SAN ANTONIO DE PRADO, 70 HECTAREAS AFECTADAS HASTA EL MOMENTO, APOYAN BOMBEROS MEDELLIN, DEFENSA CIVIL Y BOMBEROS ITAGUI, 1 BOMBERA DE MEDELLIN LESIONADA, EL CDGRD SOLICITA A LA UNGRD ALISTAMIENTO Y APOYO DE 40 SOLDADOS PARA APOYO AL INCENDIO, REPORTA CDGRD, SITUACION EN DESARROLLO. -626</t>
  </si>
  <si>
    <t>REPORTA INCENDIO FORESTAL EN LA VEREDA PAN DE AZUCAR, APOYA DEFENSA CIVIL Y CORPONOR, REPORTA CDGRD, SITUACION EN DESARROLLO. -626</t>
  </si>
  <si>
    <t>REPORTA INCENDIO ESTRUCTURAL EN EL BARRIO BARRANQUILLA, 1 VIVIENDA DESTRUIDA, EN LA  CUAL HABITABAN 7 FAMILIAS CON UN TOTAL DE 21 PERSONAS LAS CUALES PERDIERON TODOS SUS MUEBLES Y ENSERES. ATENDIÓ BOMBEROS EL COLEGIO, BOMBEROS LA  MESA, POLICÍA, DEFENSA CIVIL Y CMGRD. REPORTA CDGRD. -626</t>
  </si>
  <si>
    <t>REPORTA INCENDIO FORESTAL EN LA VEREDA LA UNIÓN SECTOR LAS PILAS, CON AFECTACIÓN DE 40 HECTÁREAS DE RASTROJOS, ATENDIÓ BOMBEROS CAPARRAPI Y COMUNIDAD. REPORTA CDGRD. -626</t>
  </si>
  <si>
    <t>D.C.C., INFORMA, SE PRESENTÓ INCENDIO FORESTAL, DIA 22-09-13, EN LA VEREDA EL CEBADERO DEL MUNICIPIO DE ALBÁN CON 1 HECTÁREA DE VEGETACIÓN NATIVA AFECTADA. -627</t>
  </si>
  <si>
    <t>D.C.C., INFORMA, SE PRESENTÓ INCENDIO FORESTAL DIA 22-09-13 EN EL MUNICIPIO DE PROVIDENCIA VEREDA ROSARIO CON 3 HECTÁREAS DE VEGETACIÓN NATIVA AFECTADA. -627</t>
  </si>
  <si>
    <t>REPORTA SECCIONAL ANTIOQUIA: EN EL MUNICIPIO DE ANORI, SE PRESENTO VENDAVAL, ALAS 4.00 AM DEL 24-09-2013, AFECTANDO LAS VERDAS: CHAGUALITO, CHAGUALO ARRIBA Y LA CULEBRA, IGUALMENTE AFECTANDO LOS BARRIOS DEL AREA URBANA COMO. LAS TERECITAS, LOS ANGELES, LAS LOMAS, LA GUACAMAYA, LA CALLE ARRIBA, EL ARENA, PIEDRAS BLANCAL Y LA CALLE ZEA. DEL MUNICIPIO DE ANORÍ, RESULTANDO 750 PERSONAS AFECTADAS, 150 FAMILIAS, 150 VIVIENDAS. -627</t>
  </si>
  <si>
    <t>REPORTA SECCIONAL CAUCA: EL DÍA DE HOY 24-09-2013 EN HORAS DE LA TARDE, SE PRESENTÓ UN INCENDIO FORESTAL, EN EL CORREGIMIENTO DE PUENTE REAL, VEREDA LA LAJITA, MUNICIPIO DE LA VEGA, RESULTANDO 4 HECTAREAS DE RASTROJO AFECTADAS POR EL FUEGO. PARTICIPARON 10 LÍDERES DCC DE LA JUNTA PUENTE REAL. -627</t>
  </si>
  <si>
    <t>REPORTA SECCIONAL BOYACA: INCENDIO FORESTAL EN EL MUNICIPIO DE SAMACÁ VEREDA LOMA REDONDA,  SECTOR DE LA CHORRERA ALTO,  INICIADO A LAS 14:00 HORAS DEL DÍA 23/09/13 CON PARTICIPACIÓN DE 10 LIDERES VOLUNTARIOS, PERDIDA DE 2 HECTÁREAS DE BOSQUE NATIVO QUEMANDO, JORNADA DE  4 HORAS. -627</t>
  </si>
  <si>
    <t>REPORTA SECCIONAL ANTIOQUIA: ACCIDENTE EN MINA ARTESANAL DE ORO, SECTOR LA PALMA VÍA JERICÓ LA PINTADA, TRES MINEROS HERIDOS RESCATADOS DEL DERRUMBE, PARTICIPARON 10 LÍDERES DCC. -627</t>
  </si>
  <si>
    <t>REPORTA VICTOR NIEVES DE LA OFICINA OPERATIVA DE ARAUCA:  VENDAVAL OCURRIDO EL DIA 23 DE SEPTIEMBRE DE 2013 A LAS 15:30 HORAS, EN EL MUNICIPIO DE CUBARA  (BOYACA), RESULTANDO DESTECHADAS 30 VIVIENDAS EN EL AREA URBANA, ENTRE LAS CUALES SE CUENTA LA CASA DE LA CULTURA DEL MUNICIPIO,PARTICIPA LA JDC DE ESE MUNICIPIO. PENDIENTE AMPLIACION. -627</t>
  </si>
  <si>
    <t>REPORTA DIRECCION SECCIONAL NARIÑO: INCENDIO FORESTAL EN EL MUNICIPIO DE SANDONA, VEREDA TARACONCHO, EL 23-09-2013 A LAS 014: 00 HORAS, EN DONDE SE QUEMARON 50 HA DE CAFE, PLATANO, YUCA Y ARBOLES DE PANCOGER. PARTICIPARON 10 LÍDERES DCC. -627</t>
  </si>
  <si>
    <t>CDGRD DE CUNDINAMARCA, INFORMA, SG. ARQUÍMEDES SOSA DE BOMBEROS MOSQUERA, REPORTA INCENDIO FORESTAL EN  QUINTAS DE SERREZUELA INICIADO A LAS 14:00 Y EXTINGUIDO A LAS 16:00 HORAS DEL 24/09/13 CON AFECTACIÓN DE 0,5 HECTÁREAS DE RASTROJO, ATENDIÓ BOMBEROS MOSQUERA. -627</t>
  </si>
  <si>
    <t>CDGRD DE CUNDINAMARCA, INFORMA, CT. JAIME MRTINEZ DE BOMBEROS VILLETA, REPORTA INCENDIO FORESTAL, ACTIVO,  EN LA VEREDA ALTO DE PAJA, ATIENDE BOMBEROS VILLETA, SITUACIÓN EN DESARROLLO. -627</t>
  </si>
  <si>
    <t>CDGRD DEL TOLIMA, INFORMA , INCENDIO FORESTAL, EXTINGUIDO, FINCA: PAPAGALA, CONSUMIDAS: 4 HECTÁREAS DE: PASTOS PARA GANADO Y  CULTIVOS DE LIMONES. -627</t>
  </si>
  <si>
    <t>CDGRD DEL TOLIMA, INFORMA , INCENDIO FORESTAL, EXTINGUIDO, VEREDA:  CUATRO ESQUINAS,  CONSUMIDA: 1 HECTÁREA DE: PASTOS SECOS. -627</t>
  </si>
  <si>
    <t>CDGRD DEL TOLIMA, INFORMA, INCENDIO FORESTAL, ACTIVO, SECTOR: MADROÑOLA, CONSUMIDAS: 2 HECTÁREAS DE VEGETACIÓN SECA. -627</t>
  </si>
  <si>
    <t>CDGRD DEL TOLIMA, INFORMA, INCENDIO FORESTAL, EXTINGUIDO, VEREDA: CAÑA BAJA, FINCA: LA LAGUNA, CONSUMIDAS: 15 HECTÁREAS DE PASTOS, INDIA Y VEGETACIÓN SECA. -627</t>
  </si>
  <si>
    <t>CDGRD DEL TOLIMA, INFORMA, INCENDIO FORESTAL, EXTINGUIDO, VEREDA:  HORIZONTE,  FINCA: EL ROSAL, CONSUMIDA: 1 HECTÁREA DE PASTO SECO. -627</t>
  </si>
  <si>
    <t>CDGRD DEL TOLIMA, INFORMA, INCENDIO FORESTAL, EXTINGUIDO, VEREDA: LOS PINOS, CONSUMIDAS, 1/2  HECTÁREAS DE PSTOS SECOS. -627</t>
  </si>
  <si>
    <t>CDGRD DEL TOLIMA, INFORMA, INCENDIO FORESTAL, EXTINGUIDO, KM: 1, VÍA GUAYABAL, SECTOR: GRANJA MUNICIPAL, QUEMA DE RAMAS Y TRONCOS DE  ÁRBOLES TALADOS, PENDIENTE AFECTACIÓN.  -627</t>
  </si>
  <si>
    <t>CDGRD DEL VALLE DEL CAUCA, INFORMA, INCENDIO FORESTAL, ACTIVO, SECTOR: CRISTO REY, SE HAN CONSUMIDO: 5 HECTÁREAS. -627</t>
  </si>
  <si>
    <t>CDGRD DEL CHOCO, INFORMA, SE PRESENTAN INUNDACIONES, AFECTANDO, COMUNIDADES INDIGENAS. BUENAVISTA,PLAYASUNIT,SANTA ROSA DE HIJUA,PUERTO CHINCHILLANO,UNION PITALITO,PUERTO PIÑA, MAJO GRANDE, SE  CONTINUA HACIENDO EDAN. -628</t>
  </si>
  <si>
    <t>REPORTA EL DR FREDY RAMI9REZ DE LA EMERGENCIA PRESENTADA EL DIA 22 DE SEP SE TIENE LA SIGUENTE INFORMACION, SE DESBORDO EL RIO ARQUIA INUNDANDO LAS COMUNIDADES INDIGENAS  AFECTANDO A 128 FAMILIAS. -628</t>
  </si>
  <si>
    <t>SE PRESENTA FUERTES VIENTOS EN CABECERA MUNICIPAL DE PAISPAMBA, COMO DE CENTRO POBLADO DE RIOBLANCO, AFECTADO EN TECHOS LAS INSTITUCIONES EDUCTIVAS DE INTEGRADO SOTORA,  LA CATANA,POLIDEPORTIVO,31 VIVIENDAS EN LA CABECERA MUNICIPAL, EN EL SECTOR DE RIO BLANCO SE HACE EL REPORTE DE 15 VIVIENDAS AFECTADAS Y ESTA HACIENDO UNA VERIFICACION DE LOS CENTROS EDUCATIVOS  DEL RESGUARDO. -628</t>
  </si>
  <si>
    <t>EN EL VOLCAN, SOTARA SE ESTA PRESENTANDO UN INCENDIO, BASTA GRANDE POR LO QUE LA DEFENSA CIVIL DE RIOBLANCO, CABECERA MUNICIPAL DE PAISPAMBA, Y UN GRUPO DE PERSONAS DEL CORREGIMIENTO DE CHAPA SE ESTAN DESPLANZANDO A LA ZONA PARA HACER LOS CORTAFUEGOS RESPECTIVOS. -628</t>
  </si>
  <si>
    <t>13-1014</t>
  </si>
  <si>
    <t>CDGRD REPORTA INCENDIO FORESTAL EN ZONA RURAL VEREDA "SANTO DOMINGO" AREA DE CONFLAGRADA APROXIMADAMENTE (10 Ha). ATENDIDO Y CONTROLADO POR EL CUERPO DE BOMBEROS DE LEBRIJA DESDE LAS 11:30 HORAS HASTA LAS 16.30 HORAS (QUEMA DE BOSQUE NATIVO, ARBUSTOS Y MALEZA) SIN AFECTACION DE VIDAS HUMANAS NI ESTRUCTURALES. -629</t>
  </si>
  <si>
    <t>BRÍGIDA BARRAGÁN DE BOMBEROS DE QUEBRADA NEGRA, REPORTA INCENDIO FORESTAL EN LA CONCEPCIÓN, FINCA LA NORIA DE ANTONIO ORDOÑEZ  INICIADO A LAS 14:00 POR CORTO CIRCUITO EN UN TRANSFORMADOR Y  EXTINGUIDO A LAS 21:00 HORAS DEL  23/09/13  CON AFECTACIÓN DE 8 HECTÁREAS DE CAÑA DE AZÚCAR. ATENDIÓ BOMBEROS QUEBRADA NEGRA, BOMBEROS UTICA, EJÉRCITO Y COMUNIDAD, INFORMA CDGRD. -629</t>
  </si>
  <si>
    <t>ALONSO MUÑOZ, FUNCIONARIO DE LA UAEGRD DEL DEPARTAMENTO INFORMA A ESTA UNIDAD, SOBRE INCENDIO FORESTAL INICIADO EN EL MUNICIPIO DE LA PEÑA, VEREDAS MINIPI Y LOS PÉREZ HACIA LAS 11:00 HORAS DEL DÍA 23-SEP-13 Y EXTINGUIDO A LAS 09:30 HORAS DEL DÍA 25/09/13 CON UNA AFECTACIÓN TOTAL DE 200 HECTÁREAS, ENTRE CAÑADUZALES, BOSQUE NATIVO PRIMARIO Y PASTOS.  ATENDIÓ CMGRD, COMUNIDAD, BOMBEROS NIMAIMA Y VILLETA, POLICÍA NACIONAL, EJERCITO, CON EL APOYO DE LA UAEGRD DE CUNDINAMARCA. -629</t>
  </si>
  <si>
    <t>RAFAELA PAVA DEL CMGRD DEL MUNICIPIO DE LA PALMA, REPORTA INCENDIO FORESTAL EN LA VEREDA ALTICO MURCA Y ALTO GRANDE, INICIADO A LAS 12:00 Y EXTINGUIDO A LAS 23:00 HORAS DEL DIA 24/09/2013 CON AFECTACIÓN DE 17 HECTÁREAS DE RASTROJO, INFORMA CDGRD. -629</t>
  </si>
  <si>
    <r>
      <t>NÉSTOR FIGUEROA DE BOMBEROS LA VEGA, REPORTA INCENDIO FORESTAL EN LA VEREDA CENTRO SECTOR SOL NACIENTE FUNDACIÓN CARARE DEL MUNICIPIO DE LA VEGA, INICIADO A LAS 08:20 Y EXTINGUIDO A LAS 15:30 HORAS DEL 24/09/13 CON AFECTACIÓN DE 3 HECTÁREAS DE CULTIVOS Y PASTIZALES. ATENDIÓ BOMBEROS LA VEGA</t>
    </r>
    <r>
      <rPr>
        <sz val="10"/>
        <rFont val="Arial"/>
        <family val="2"/>
      </rPr>
      <t xml:space="preserve">, </t>
    </r>
    <r>
      <rPr>
        <sz val="9"/>
        <rFont val="Arial"/>
        <family val="2"/>
      </rPr>
      <t>REPORTA CDGRD</t>
    </r>
    <r>
      <rPr>
        <sz val="10"/>
        <rFont val="Arial"/>
        <family val="2"/>
      </rPr>
      <t>. -629</t>
    </r>
  </si>
  <si>
    <t>CDGRD DE CUNDINAMARCA, INFORMA, RICARDO CABRAS SECRETARIO DE GOBIERNO DE BOJACA, REPORTA INCENDIO FORESTAL, ACTIVO,  EN LA VEREDA BARRO BLANCO RESERVA FORESTAL DE LA CAR, INCIADO A LAS 14:30, ESTA SIENDO ATENDIDO POR BOMBEROS MOSQUERA, EL DIA DE HOY CDGRD CON DR EIDER RUIZ REPORTA QUE EL INCENDIO FORESTAL FUE SOFOCADO HACIA LAS 16: 45 HORAS EN CONFIRMACION CON LA CAR, QUEDA PENDIENTE HECTAREAS AFECTADAS. -629</t>
  </si>
  <si>
    <t>CDGRD Y DIRECCION NACIONAL DE BOMBEROS REPORTAN INCENDIO FORESTAL ACTIVO EN ESTE MUNHICIPIO VEREDA LAS JUNTAS, APOYAN POR TIERRA COMUNIDAD, BOMBEROS, CMGRD, EL DIA DE MAÑANA EN COORDINACION CON LA UNGRD, FUERZA AEREA APOYARA EN LA EXTINCION DE INCENDIO, SITUACION EN DESARROLLO. -629</t>
  </si>
  <si>
    <t>REPORTA INCENDIO FORESTAL ACTIVO EN EL CERRO LA CULEBRA, REPORTA CDGRD, SITUACION EN DESARROLLO. -630</t>
  </si>
  <si>
    <t>EN EL BARRIO CARACOLI EN LA CARRERA 14 DE ESE BARRIO SE ESTABA INUNDANDO ESA VIVIENDA POR QUE SE DAÑARON UNA TEJAS POR EL VIENTO LA CASA ES DE LA SEÑORA MARIBEL SIN MAS DATOS. -631</t>
  </si>
  <si>
    <t>CDGRD DE CUNDINAMARCA, INFORMA, CLARA SIERRA DE BOMBEROS PACHO REPORTA INCENDIO FORESTAL EN LA VEREDA CAPITÁN Y VEREDA LA MOYA ALTA, INICIADO A LAS 10:20 HORAS Y EXTINGUIDO A LAS 20:40 HORAS DEL DÍA 25/09/13 CON AFECTACIÓN DE 32 HECTÁREAS DE RASTROJO. ATENDIÓ BOMBEROS PACHO Y COMUNIDAD. -632</t>
  </si>
  <si>
    <t>CDGRD DE CUNDINAMARCA, INFORMA, CLARA SIERRA DE BOMBEROS PACHO REPORTA INCENDIO FORESTAL EN LA VEREDA LA LAJAS, INICIADO A LAS 17:00 Y EXTINGUIDO A LAS 17:45 DEL DÍA 24/09/13 CON AFECTACIÓN DE 0,5 HECTÁREAS DE RASTROJO. ATENDIÓ BOMBEROS PACHO Y COMUNIDAD. -632</t>
  </si>
  <si>
    <t>CDGRD DE CUNDINAMARCA, INFORMA, CLARA SIERRA DE BOMBEROS PACHO REPORTA INCENDIO FORESTAL EN LA VEREDA EL AGUILA, INICIADO A LAS 16:00 HORAS DEL DÍA 24/09/13 Y EXTINGUIDO A LAS 17:00 HORAS CON AFECTACIÓN DE 1,5 HECTÁREAS ENTRE FRUTALES Y RASTROJO. ATENDIÓ BOMBEROS PACHO Y COMUNIDAD, -632</t>
  </si>
  <si>
    <t>CDGRD DE CUNDINAMARCA, INFORMA, CLARA SIERRA DE BOMBEROS PACHO REPORTA INCENDIO FORESTAL EN LA VEREDA BALCONCITOS, INICIADO A LAS 12:00 DEL DÍA 23/09/13 Y EXTINGUIDO A LAS 16:00 HORAS DEL DÍA 24/09/13 CON AFECTACIÓN DE 9 HECTÁREAS DE ARBOLES FRUTALES Y RASTROJO. ATENDIÓ BOMBEROS PACHO Y COMUNIDAD. -632</t>
  </si>
  <si>
    <t>CDGRD DE CUNDINAMARCA, INFORMA, CLARA SIERRA DE BOMBEROS PACHO REPORTA INCENDIO FORESTAL EN LA VEREDA CUCHARAL, INICIADO A LAS 14:00 Y EXTINGUIDO A LAS 16:00 HORAS DEL DÍA 23/09/13 CON AFECTACIÓN DE 1 HECTÁREA DE RASTROJO. ATENDIÓ BOMBEROS PACHO Y COMUNIDAD. -632</t>
  </si>
  <si>
    <t>CLARA SIERRA DE BOMBEROS PACHO REPORTA INCENDIO FORESTAL EN LA VEREDA LLANO DE LA HACIENDA  SE PRESENTO POR CORTO CIRCUITO DE LA RED ELÉCTRICA, INICIADO A LAS 00:30 DEL DÍA 23/09/13 Y EXTINGUIDO A LAS 03:00 HORAS DEL MISMO DÍA, CON AFECTACIÓN DE 1,5 HECTÁREAS DE PASTO IMPERIAL Y RASTROJO. ATENDIÓ BOMBEROS PACHO, POLICÍA Y COMUNIDAD. -632</t>
  </si>
  <si>
    <t>CDGRD DE CUNDINAMARCA, INFORMA, CLARA SIERRA DE BOMBEROS PACHO REPORTA INCENDIO FORESTAL EN LA VEREDA LA HOYA PARTE ALTA INICIADO A LAS 09:00 HORAS DEL DÍA 21/09/13 Y EXTINGUIDO A LAS 16:00 HORAS CON AFECTACIÓN DE 9 HECTÁREAS ENTRE CULTIVO DE CAFÉ Y RASTROJO SARVE. ATENDIÓ BOMBEROS PACHO Y COMUNIDAD. -632</t>
  </si>
  <si>
    <t>CDGRD DE CUNDINAMARCA, INFORMA, CLARA SIERRA DE BOMBEROS PACHO REPORTA INCENDIO FORESTAL EL DIA 20/09/13 EN LA VEREDA PAJONALES, INICIADO A LAS 13:30 Y EXTINGUIDO A LAS 15:00 HORAS CON AFECTACIÓN DE 0,5 HECTÁREAS DEPASTO DE CORTE IMPERIAL. ATENDIÓ BOMBEROS PACHO. -632</t>
  </si>
  <si>
    <t>CDGRD DEL QUINDIO, INFORMA, SE PRESENTÓ VENDAVAL, AFECTANDO 2 VIVIENDAS EN TECHOS. -632</t>
  </si>
  <si>
    <t>CMGRD DE CAJIBIO, INFORMA, INCENDIO FORESTAL, REPORTAN AFECTACIONES EN SUS VIVIENDAS, CULTIVOS, Y INFRAESTRUCTURA DE COCINA, O INCENDIO AFECTACION CULTIVO CAÑA PANELERA 1 HA VEREDA LOS PINOS CORREGIMIENTO LA CAPILLA. MAURICIO MARTINEZ CC N° 10528480  EVENTO INCENDIO AFECTACION EN ANIMALES GALLINAS, CUYES Y VIVIENDA VEREDA EL TUNEL CORREGIMIENTO  TUNEL. RICARDO LEON QUINTERO LEGUIZAMO CC N° 14979469 AFECTACION INFRAESTRUCTURA COCINA VEREDA CENEGUETA ZONA CENTRO. -632</t>
  </si>
  <si>
    <t>CDGRD DE CUNDINAMARCA, INFORMA, JANETH STELLA UBATÉ RUSINQUE SECRETARIA DE PLANEACIÓN Y DE OBRAS PUBLICAS, REPORTA MEDIANTE ACTA DEL CMGRD DE FECHA 25/0913, UN VENDAVAL OCURRIDO EL DÍA 22/09/13 QUE OCASIONÓ DAÑOS TANTO EN EL PERÍMETRO URBANO COMO RURAL A 43 VIVIENDAS CON 200 PERSONAS CON PERDIDA DE ALGUNOS TECHOS Y MUEBLES Y ENSERES. ATIENDE CMGRD, BOMBEROS, POLICÍA, DEFENSA CIVIL. -632</t>
  </si>
  <si>
    <t>CDGRD DEL HUILA, INFORMA, SE PRESENTA INCENDIO FORESTAL EN EL MUNICIPIO DE AIPE VEREDA SAN JOSE, CON UNA AFECTACION DE 10 HECTAREAS DE PASTO Y RASTROJO, ATENDIERON ORGANISMOS DE SOCORRO, ESTADO EXTINGUIDO. -633</t>
  </si>
  <si>
    <t>CDGRD REPORTA POR INFORMACION DE  BOMBEROS VOLUNTARIOS SE REGISTRA INCENDIO FORESTAL EN EL SECTOR DE PEÑON BLANCO, VAN CONSUMIDAS 50 HECTAREAS DE PASTIZALES, SE ESTÁ PASANDO A LOS CULTIVOS DE CACAO, NO TIENEN PERSONAL YA QUE SE ENCUENTRA EN APOYO EN EL CARMEN DE APICALA- SIBERIA. -633</t>
  </si>
  <si>
    <t>CDGRD INFORMA BOMBEROS MELGAR ATENDIERON INCENDIO FORESTAL FRENTE A LA GUARDIA SAN FERNANDO DE TOLEMAIDA SOBRE LA VIA, CONTROLADO, CONSUMIDAS 1 HECTAREA DE PASTOS SECOS. -633</t>
  </si>
  <si>
    <t>CDGRD Y CITEL TOLIMA REPORTAN POR EL BOMBERO PULIDO, INFORMA QUE SE ATENDIO Y CONTROLÓ INCENDIO FORESTAL DE LA VEREDA LA ESPERANZA DEL MUNICIPIO DE SALDAÑA, QUEDANDO CONSUMIDAS 35 HECTAREAS ASI: 5 HECTAREAS DE PLATANO Y CACAO Y 30 HECTAREAS DE PASTO NATIVO. -633</t>
  </si>
  <si>
    <t>REPORTA QUE DESDE EL DÍA DOMINGO 22 DE SEPTIEMBRE, INICIÓ UN INCENDIO FORESTAL EN EL SECTOR DE EL CULANTRO Y SE EXTIENDE A LA MICROCUENCA DE EL CUCHO DE CUYA FUENTE HÍDRICA SE ABASTECEN 5 VEREDAS Y EL CASCO URBANO, ESTAS SON LAS COORDENADAS: N- 1º13`40.93"; O- 77º27`17.63", SOLICITAMOS APOYO AÉREO YA QUE POR TIERRA LAS CONDICIONES TOPOGRÁFICAS NO PERMITEN INGRESAR AL CENTRO DE LA CONFLAGRACIÓN, INFORMACION PRELIMINAR DEL CMGRD 8 HECTÁREAS AFECTADAS, INCENDIO FORESTAL QUE SE HABIA CONTROLADO PERO NUEVAMENTE HOY 26/09/2013 SE REACTIVO, TIENEN E4L APOYO DE JUNTA DE DEFENSA CIVIL DE SANDONA, CONTINUA ACTIVO, EN SEGUIMIENTO. -633</t>
  </si>
  <si>
    <t>CMGRD DE JAMUNDI, INFORMA, SE PRESENTA INCENDIO FORESTAL, EN EL SECTOR DE: PICO DE LORO, ZONA DE PARQUES NATURALES, SE CONVOCO AL CMGRD, PARA EL DÍA DE MAÑANA EN SEGUIMIENTO REALIZADO AL CMGRD REPORTA QUE EN COMUNICACIÓN CON EL GUARDA PARQUEMARINO Y EN INFORMACION RECIBIDA POR CAMPESINOS DE LA ZONA, SE SABE QUE EL FUEGO YA SE EXTINGUIO, MANIFIESTA QUE PARA DETERMIANR LA AFECTACION HAY QUE LLEGAR HASTA EL LUGAR ESTRATEGIA QUE SE DETERMINARA EL DIA DE HOY EN REUNION, PENDIENTE AFECTACION Y/O CAMBIOS. -633</t>
  </si>
  <si>
    <t>COMANDANTE DE BOMBEROS DEL CARMEN DE APICALA SR HENRY MORALES, SOBRE EL INCENDIO FORESTAL EN LA SIBERIA, QUIEN INFORMO QUE HABIAN TRES FOCOS PARA CONTROLAR. EN LA SIBERIA Y EL SITIO LOS PELIGROS, SALE CON 15 UNIDADES PARA LOS SITIOS Y QUE VAN MAS O MENOS 150 HECTAREAS DE VEGETACION, RASTROJOS, CONSUMIDAS, QUE ESTABAN TRAMITANDO EL APOYO HELICOPORTADOY SE INFORMO QUE EL PROTOCOLO SE REALIZA POR MEDIO DE LA SECRETARIA DEL AMBIENTE Y GESTION DEL RIESGO DEL TOLIMA, Y SE LE SOLICITO COORDENADAS DE LOS SITIOS CONTROLAR, QUEDO DE ENVIAR LA INFORMACION.COORDENADAS LATITUD 04°08'10,2" NORTE  LONGITUD 074°41'14,6" ESTE , ALTURA SOBRE EL NIVEL DEL MAR 695 MTS.SE ENVIO CORREOS Y FAX CON OFICIO DE SOLICITUD. -631
ACTUALIZAION 27/09/13, CDGRD REPORTA ACCIONES REALIZADAS EN EL TRANSCURSO DE LA TARDE, EN COMUNICACIÓN CON EL CAPITAN HENRY MORALES 3124256985 INFORMA QUE EL INCENDIO FORESTAL SE CRECIO YA QUE SE ESTA PASANDO AL MUNICIPIO DE CUNDAY Y MELGAR, EN EL SITIO SE ENCUENTRAN APOYANDO 2 HELICÓPTEROS, UNO DE LA FUERZA AEREA Y OTRO DE TOLEMAIDA, BV CARMEN DE APICALA CON 2 VEHICULOS EXTINTORES CON 11 UNIDADES, BOMBEROS VOLUNTARIOS MELGAR 1 CAMIONETA CON EQUIPOS PARA FORESTALES CON 7 UNIDADES. DEFENSA CIVIL DE MELGAR/ESPINAL/CARMEN DE APICALA CON 12 BRIGADISTAS FORESTALES EN SUS RESPECTIVOS VEHICULOS INSTITUCIONALES. 17: 40SE RETIRAN ORGANISMOS DE SOCORRO DEL SITIO, CONTINUAN MAÑANA A PRIMERA HORA, QUEDANDO ACTIVOS 4 FOCOS EN: LOS PELIGROS/LOS MANGOS/LOS NOVILLOS/SIBERIA, CONTINUA ACTIVO PENDIENTE AFECTACION. -633</t>
  </si>
  <si>
    <t>REPORTA EL DR CESAR HERNANDEZ ACTUALIZACION POR VENDAVAL EN VALDIVIA, AFECTANDO VARIAS VIVIENDAS ASI: 1 DESTRUIDA, 2 AVERIADAS, 1 PUENTE PARCIALMENTE AFECTADO ENTRE LAS VEREDAS SEVILLA Y CHORRILLOS. -634</t>
  </si>
  <si>
    <t>REPORTA A CAUSA DE INTENSAS LLUVIAS DESDE AYER EL DIA DE HOY SE PRESENTA DESBORDAMIENTO DE LOS RIOS GUAPA Y GUAPA LEON MUNICIPIO DE CHIGORODO, LOS CUALES TIENEN INCOMUNICADO AL MUNICIPIO VIA TERRESTRE, EL CMGRD SE ENCUENTRA ACTIVO,  REPORTA CDGRD DR CESAR HERNANDEZ 27/09/2013 ACTUALIZACION AFECTACION EN LA VEREDA LAS GUACAMAYAS PARCIALMENTE 50 VIVIENDAS AFECTADAS, IGUAL NUMERO DE FAMILIAS, DAÑOS EN MUEBLES Y ENSERES. -634</t>
  </si>
  <si>
    <t>CDGRD DR CESAR HERNADEZ REPORTA HOY 27/09/2013 QUE EL DIA DE AYER SE PRESENTO UN COLAPSO DE MURO EN ZONA URBANA, AFECTANDO A 4 VIVIENDAS MAS, NO LESIONADOS U OTRO. -634</t>
  </si>
  <si>
    <t>REPORTA EL DR CESAR HERNANDEZ HOY 27/09/2013 ACTUALIZACION DE VENDAVAL OCURRIDO EL 24/09/2013 EN YONDO, AFECTANDO A 10 VEREDAS DE ESTE MUNICIPIO, 55 FAMILIAS, 55 VIVIENDAS DESTECHADAS PARCIALMENTE Y AFECTACION TAMBIEN EN 6 INSTITUCIONES ESDUCATIVAS. -634</t>
  </si>
  <si>
    <t>CDGRD Y CITEL REPORTAN INCENDIO FORESTAL EN ESTE MUNICIPIO VEREDAS PINDAL BAJO Y SAN JOSE, INCENDIO ACTIVO, APOYAN CONTROL Y EXTINCION  EL CUERPO DE BOMBROS VOLUNTARIOS DE ALBAN, EN SEGUIMIENTO. -634</t>
  </si>
  <si>
    <t>CDGRD INGENIERA ADRIANA HERNADEZ REPORTA EN HORAS DE LA MAÑANA APROXIMADAMENTE HACIA LAS 08:00 HORAS INUNDACION EN EL MUNICIPIO DE YOPAL AREA URBANA A CAUSA DE FUERTES LLUVIAS, SE EVACUO EL MEGA COLEGIO DE LA COMUNA CINCO, EL NIVEL DEL AGUA ALCANZO LOS 90 CM, SE HIZO NECESARIO EL CIERRE DE LA JORNADA ACADEMICA POR MANTENIMIENTO Y LIMPEZA DE LA INSTITUCION, EL SECTOR DE LA CALLE 27 CON CRA 30 BARRIOS REMANSO Y LAURELES TAMBIEN RESULTARON AFECTADOS POR DESBORDAMIENTO DE AGUAS LLUVIA EN ESTOS SECTORES, ALERTA ROJA PARA LOS MUNICIPIOS DE VILLANUEVA Y SABANALARGA, DADO VOLUMEN DE LA HIDROELECTRICA CHIVOR QUE HA ALCANZADO EL 91% DE SU CAPACIDAD NIVEL DE EMBALSE EN 1.273,12 MSNM Y LA COTA MAXIMA ES DE 1277 DEBIDO A CONSTANTES LLUVIAS QUE SE HAN PRESENTADO EN LA REGION DE CASANARE. -634</t>
  </si>
  <si>
    <t>SE ACTUALIZA INFORMACION ENTREGADA POR CDGRD POR MEDIO ELECTRONICO EN ARCHIVOS ADJUNTOS EL 26/09/2013, ASI: SOBRE LAS 03:39 A.M. DEL DÍA JUEVES 26 DE SEPTIEMBRE DE 2013 SE PRESENTÓ DERRAME DE CRUDO APROXIMADAMENTE EN EL KILÓMETRO 183 DEL OLEODUCTO CAÑO LIMÓN COVEÑAS. EL DERRAME DE CRUDO AFECTO VARIAS VEREDAS DEL MUNICIPIO DE TOLEDO, LABATECA Y CORREGIMIENTO DE SAN BERNARDO. POR EL INCIDENTE SE PRESENTÓ VERTIMIENTO DE CRUDO EN EL RIO JORDÁN Y RIO MARGUA. EL DIÁMETRO DE LA TUBERÍA AFECTADA POR EL DERRAME DE CRUDO ES DE 18 PULGADAS. EN EL MOMENTO DEL INCIDENTE EL OLEODUCTO CAÑOS LIMÓN COVEÑAS NO SE ENCONTRABA OPERANDO. AFECTACION DE 2 CUERPOS DE AGUA 1. RIO JORDAN, 2. RIO MARGUA, ACUEDUCTOS AFECTADOS 2 EN VEREDA JORDAN Y VEREDA LA COMPAÑÍA, AFECTACION EN BOCATOMA 1, AFECTACION EN VEREDAS D LOS MUNICIPIOS DE TOLEDO, LABATECA Y CORREGIMIENTO DE SAN BERNARDO, TOTAL DE FAMILAS AFECTADAS SEGÚN ARCHIVO 26 EN LAS VEREDAS CAMPO ALEGR, EL JORDAN Y LA COMPAÑÍA, TRABAJO CONJUNTO DE CMGRD Y ENTIDADES. -634</t>
  </si>
  <si>
    <t>13-1033</t>
  </si>
  <si>
    <t>REPORTA INCENDIO FORESTAL EN EL KM 3.1 VIA A LA CALERA, ATIENDE BOMBEROS CON 30 PERSONAS Y 6 MAQUINAS, SITUACION EN DESARROLLO. -635</t>
  </si>
  <si>
    <t>REPORTA ACCIDENTE AEREO DE AVIONETA DE ASPERCION EN LA VEREDA LA CARPA, EL PILOTO FALLECIO EN EL HECHO, REPORTA CDGRD. -635</t>
  </si>
  <si>
    <t>REPORTA VENDAVAL EN LA VEREDA LA CHAPA DEJANDO 4 VIVIENDAS AVERIADAS, 4 FAMILIAS, REPORTA CDGRD. -635</t>
  </si>
  <si>
    <t>REPORTA INCENDIO ESTRUCTURAL EN FABRICA DE POLVORA HOFMAN KM 8 SECTOR LA PUNTA VIA BOGOTA-MEDELLIN EN LA ZONA INDUSTRIAL DE TENJO, ATIENDEN BOMBEROS DE 7 MUNICIPIOS, APOYA CRUZ ROJA, DC, PONAL, PONALSAR, CTI ANTIEXPLOSIVOS, SEC SALUD BOGOTA, SEC SALUD CUNDINAMARCA, 9 LESIONADOS DE LOS CUALES 4 SE REMITIERON A CENTROS ASISTENCIALES CERCANOS. REPORTA DIRECCION NACIONAL DE BOMBEROS. -635</t>
  </si>
  <si>
    <t>REPORTA INCENDIO FORESTAL EN LA VEREDA MANOA SECTOR LA PLAZUELA, SE COORDINA CON EL TE. WILSON JIMÉNEZ COMANDANTE DE BOMBEROS DE GUAYABAL QUIEN MANIFIESTA QUE SE  DIRIGE AL LUGAR PARA LO PERTINENTE. A LAS 15:00 HORAS REPORTA QUE QUEDO EXTINGUIDO CON AFECTACIÓN DE 29 HECTÁREAS ENTRE CAÑA DE AZÚCAR Y RASTROJO. ATENDIÓ BOMBEROS GUAYABAL, BRIGADA CAR, POLICÍA Y COMUNIDAD. REPORTA CDGRD. -635</t>
  </si>
  <si>
    <t>REPORTA INCENDIO FORESTAL EN LAS VEREDAS CURAL Y LA FRÍA  INICIADO A LAS 13:00 Y EXTINGUIDO A LAS 22:00 HORAS DEL DÍA 26/09/13 CON AFECTACIÓN DE 6 HECTÁREAS DE RASTROJO Y PASTOS Y ALGUNOS POSTES DE MADERA PARA CONDUCCION DE ENERGIA ELECTRICA. ATENDIÓ BOMBEROS CAPARRAPI Y LA COMUNIDAD. LOS BOMBEROS SOLICITAN PRESENCIA DE LA CAR PARA CONTROL COMO AUTORIDAD AMBIENTAL YA QUE LAS QUEMAS CONTROLADAS SON LAS CAUSANTES DE LOS INCENDIOS. REPORTA CDGRD. -635</t>
  </si>
  <si>
    <t>REPORTA TORMENTA ELECTRICA LA CUAL CAE UN RAYO EN EL CORREGIMIENTO EL CAIMOFINCA LA PRIMAVERA, OCASIONANDO 1 PERSONA FALLECIDA, 11 LESIONADOS, ATIENDE BOMBEROS ARMENIA Y LA TEBAIDA, SETTA, CRUZ ROJA, DEFENSA CIVIL, RED SALUD, PONAL, SIJIN, CMGRD. REPORTA CDGRD. -635</t>
  </si>
  <si>
    <t>REPORTA INCENDIO FORESTAL EN LA VEREDA EL COCAL Y VEREDA EL CARDO DEL CORREGIMIENTO DE MOJARRAS, HORAS DE LA TARDE DEL DIA DE AYER 26 DE SEPTIEMBRE, DONDE SE AFECTARON 20 HECTÁREAS DE PASTOS EN EXPLOTACIONES GANADERAS. -635</t>
  </si>
  <si>
    <t>CDGRD DEL HUILA, INFORMA, SE PRESENTA DESDE ANOCHE 25/09/2013, INCENDIO FORESTAL,  SECTOR: PUENTE PASO DEL COLEGIO, PARA LA NOCHE DEL 26/09/203 SOBRE LAS 22:10 CDGRD REPORTA AL MOMENTO 80 HECTAREAS CONSUMIDAS DE PASTO Y RASTROJO, INCENDIO FORESTAL CONTINUA ACTIVO. -633
ACTUALIZACION 27/09/13. REPORTA INCENDIO FORESTAL EN SECTOR PASO DEL COLEGIO CONTROLADO Y EXTINGUIDO POR BOMBEROS, AFECTACION DE 90 HECTAREAS. REPORTA CDGRD. -635</t>
  </si>
  <si>
    <t>CDGRD DEL HUILA, INFORMA, INCENDIO FORESTAL, EXTINGUIDO, EN LA ENTRADA AL PUEBLO,  AFECTADAS: 5 HECTÁREAS DE PASTO Y RASTROJO. -636</t>
  </si>
  <si>
    <t>CDGRD DEL TOLIMA, INFORMA, INCENDIO FORESTAL, EXTINGUIDO, BARRIO. EL TRIUNFO, CONSUMIDAS.1/4 DE HECTÁREAS DE PASTOS SECOS.  -636</t>
  </si>
  <si>
    <t>CDGRD DEL TOLIMA, INFORMA, INCENDIO FORESTAL, EXTINGUIDO, VEREDAS: LA AURORA, EL JARDÍN, FINCAS:  LA ARGELIA,  EL PALMORAL,   CONSUMIDAS: 8 HECTÁREAS DE:  PASTOS  Y RASTROJOS,  Y  1 HECTÁREA DE LIMÓN. -636</t>
  </si>
  <si>
    <t>CDGRD DEL TOLIMA, INFORMA, INCENDIO FORESTAL, EXTINGUIDO, VEREDA:  CHONTADURO, FINCA: EL LIMÓN, CONSUMIDAS: 5 HECTÁREAS DE PASTO SINGLA. -636</t>
  </si>
  <si>
    <t>CDGRD DEL TOLIMA, INFORMA, SE ATIENDE , EMERGENCIA, POR VENDAVAL, ACOMPAÑADO DE LLUVIAS, BARRIOS: LA POLKA, COLOYITA, E INVASIÓN, FRENTE A LA CRA 8 NO. 11-35, 4 VIVIENDAS DESENTECHADAS, 18 PERSONAS AFECTADAS, ENTRE LAS CUALES SE ENCUENTRAN 4 MENORES, ATIENDE CMGRD Y CRUZ ROJA,  CONTINUAN REALIZANDO EDAN, SITUACIÓN EN DESARROLLO. -636</t>
  </si>
  <si>
    <t>CDGRD DEL TOLIMA, INFORMA, SE ATIENDE , EMERGENCIA, POR VENDAVAL, ACOMPAÑADO DE LLUVIAS, BARRIOS: ALTO DE LA CRUZ, SANTO DOMINGO,  BOMBA SAN PEDRO,  ATIENDE CMGRD Y CRUZ ROJA, REALIZAN EDAN, SITUACIÓN EN DESARROLLO. -636</t>
  </si>
  <si>
    <t>REPORTA SECCIONAL BOYACA: INCENDIO FORESTAL EL 24- 25- 09-2013 EN EL MUNICIPIO DE BOAVITA, RESULTANDO 5 HECTÁREAS AFECTADAS POR EL FUEGO. -636</t>
  </si>
  <si>
    <r>
      <t xml:space="preserve">CDGRD DEL HUILA, INFORMA, SE PRESENTA 14:30 HORAS DEL 25/09/2013 INICIA INCENDIO FORESTAL EN EL MUNICIPIO DE NEIVA VEREDA: SAN FRANCISCO, AFECTADAS LAS FINCAS: COPEY,  POTOSI, CHUPADERO, PARA LA NOCHE DEL 26/09/20123 INFORMA SOBRE LAS 22:08 INCENDIO FORESTAL EN PROGRESO EN ESTE MUNICIPIO, CON UNA AFECTACION APROXIMADA DE </t>
    </r>
    <r>
      <rPr>
        <b/>
        <sz val="9"/>
        <rFont val="Arial"/>
        <family val="2"/>
      </rPr>
      <t>600</t>
    </r>
    <r>
      <rPr>
        <sz val="9"/>
        <rFont val="Arial"/>
        <family val="2"/>
      </rPr>
      <t xml:space="preserve"> HECTAREAS DE PASTO Y RASTROJO, SOLICITANDO APOYO AEREO PARA LA EXTINCION DEL MISMO, CONTINUA ACTIVO. -633
ACTUALIZACION 28/09/13. CDGRD DEL HUILA, INFORMA, INCENDIO FORESTAL, EXTINGUIDO, VEREDA: SAN FANCISCO,  AFECTADAS: 620 HECTÁREAS DE PASTO Y RASTROJO. -636</t>
    </r>
  </si>
  <si>
    <t>CDGRD REPORTA EN EL MUNICIPIO DE COCORNA VENDAVAL ACOMPAÑADO DE LLUVIAS SOBRE LAS 02:00 AM, CON AFECTACION DE 20 VIVIENDAS APROXIMADAMENTE EN LAS VEREDAS CAMPO ALEGRE, EL JORDAN, CHOCO, SANTA BARBARA.  -637</t>
  </si>
  <si>
    <t>CDGRD Y CMGRD REPORTAN EMERGENCIA POR LLUVIAS EL EL MUNICIPIO DE SAN MARTIN EN HORAS DE LA MADRUGADA, AFECTANDO 5 VIVIENDAS EN EL CASCO URBANO 2 DE ELLAS DESTRUIDAS, REALIZAN ACCIONES RESPECTIVAS PAR EVALUAR Y VALORAR LAS AFECTACIONES. -637</t>
  </si>
  <si>
    <t>CDGRD REPORTA EMERGENCIA EN EL MUNICIPIO DE AGUACHICA, SEGÚN INFORMACION GENERADA POR LA CRUZ ROJA DEL CESAR FUERTES LLUVIAS Y BRISAS OCURRIDAS EN HORAS DE LA MADRUGADA AFECTARON VARIAS VIVIENDAS, TAMBIEN HUBO TORMENTAS ELECTRICAS A ESPERA DE INFORMACION CONSOLIDADA.  -637</t>
  </si>
  <si>
    <t>CDGR REPORTA ATENCION DE INCENDIO ESTRUCTURAL EN NEIVA BARRIO PANORAMA CRA 1a D ENTRE CALLES 30 Y 32, AFECTADAS 3 VIVIENDAS REALIZAN EDAN, ATENDIO BOMBEROS CON APOYO DE DEFENSA CIVIL, LA DIRECCION NACIONAL DE BOMBROS COMPLEMENTA INFORMACION DE INCENDIO HACIA LAS 16:45 HOPRAS, AFECTADOS ALMACENES EN ZONA CENTRICA FRENTA AL PALACIO DE JUSTICIA, ARTE HOGAR, GALERIA EL MUEBLE MODERNO, MUEBLES PACANDE,HOSTERIA LA CASONA, DATOS ENTREGADOS POR CARLOS DUSAN DIRECTOR DE EMERGENCIAS MUNICIPAL, LA POLICIA CON EL CORONEL JULIO CESAR ALVARADO INFORMA QUE SOLO HUBO UNA PERSONA LESIONADA REMITIDA AL HOSPITAL DE NEIVA. -637</t>
  </si>
  <si>
    <t>DIRECCION NACIONAL DE BOMBEROS REPORTA INCENDIO FORESTAL EN EL MUNICIPIO DE UBATE EN LA VEREDA OJO DE AGUA INICIADO EN HORAS DE LA TARDE, ATIENDE BOMBEROS UBATE, SITUACION EN DESARROLLO. -637</t>
  </si>
  <si>
    <t>CDGRD REPORTA VENDAVAL EN EL MUNICIPIO DE PIENDAMO HACIA LAS 18:00 HORAS DE MANERA PRELIMINAR VAN 150 FAMILIAS AFECADAS EN CULTIVOS, EN DESARROLLO. -637</t>
  </si>
  <si>
    <t>REPORTA VENDAVAL EN AREA RURAL DEJANDO 12 VIVIENDAS AVERIADAS, 12 FAMILIAS, 1 INSTITUCION EDUCATIVA, REPORTA CDGRD. -638</t>
  </si>
  <si>
    <t>REPORTA VENDAVAL EN AREA RURAL DEJANDO 4 VIVIENDAS AVERIADAS, 4 FAMILIAS, REPORTA CDGRD. -638</t>
  </si>
  <si>
    <t>REPORTA VENDAVAL EN AREA RURAL DEJANDO 3 VIVIENDAS AVERIADAS, 3 FAMILIAS, REPORTA CDGRD. -638</t>
  </si>
  <si>
    <t>REPORTA VENDAVAL EN AREA RURAL: BOLIVIA, SAN DANIEL Y LA RIOJA, INFORMACION PRELIMINAR 45 VIVIENDAS AVERIADAS, EL DIA DOMINGO EL CMGRD CONTINUARA CON EDAN, REPORTA CDGRD. SITUACION EN DESARROLLO. -638</t>
  </si>
  <si>
    <t>CDGRD REPORTA INCENDIO FORESTAL EN EL MUNICIPIO DE  BELEN VEREDA MONTERO, SE RECIBE LA INFORMACION HACIA LAS 18:00 HORAS DEL CMGRD, SE PROGRAMA PARA MAÑANA A DCC, EN EL MOMENTO LAS AUTORIDADES SE DIRIGEN AL LUGAR, LA HORA EN QUE INICIO EL INCENDIO NO ESTA DEFINIDA. -637
ACTUALIZACION. REPORTA INCENDIO FORESTAL EN LA VEREDA MONTERO, CONTROLADO Y EXTINGUIDO, 1 HECTAREA AFECTADA DE VEGETACION NATIVA. REPORTA CDGRD. -638</t>
  </si>
  <si>
    <t>CDGRD REPORTA EN HORAS DE LA MADRUGADA POR FUERTES LLUVIAS, RAYOS Y FUERTES VIENTOS, HUBO AFECTACION EN 5 VIVIENDAS LAS CUALES RESULTAN DESTRUIDAS, EN EL CORREGIMIENTO DE LA GLORIA MUNICIPIO NUEVA GRANADA, DAÑOS MATERIALES EN OTRAS VIVIENDAS, UN MENOR LESIONADO EL CUAL FUE ATENDIDO EN EL HOSPITAL LOCAL, LAS 5 FAMILIAS FUERON TRASLADADAS A SITIOS TEMPORALES A LA CABECERA MUNICIPAL, CMGRD ELABORA REVISION EN LA GLORIA Y CABECERA MUNICIPAL. -637
ACTUALIZACION. REPORTA VENDAVAL EL CUAL OCASIONO 6 VIVIENDAS DESTRUIDAS EN EL CORREGIMIENTO DE LA GLORIA, LAS 6 FAMILIAS ESTAN EN AUTOALBERGUE, CMGRD REALIZA EDAN, REPORTA CDGRD EL CUAL VA A HACER SOLICITUD DE APOYO A LA UNGRD, SITUACION EN DESARROLLO. -638</t>
  </si>
  <si>
    <t>CDGRD INFORMA INCENDIO FORESTAL EN EL MUNICIPIO DE RIVERA VEREDA ALTO GUADUAL ATENDIDO ANOCHE POR CMGRD, AFECTACION PRELIMINAR DE 80 HECTAREAS DE PASTO Y RASTROJO, ESTADO EXTINGUIDO. -639</t>
  </si>
  <si>
    <t>CDGRD REPORTA EN EL MUNICIPIO DE YAGUARA SECTOR BAJO ARRECIFE TENIAMOS INCENDIO FORESTAL EN PROGRESO REPORTADO EN HORAS DE LA NOCHE POR LLUVIAS SE CONTROLO, SITUACION SE VERIFICA POSIBLES FOCOS, PENDIENTE AFECTACION. -639</t>
  </si>
  <si>
    <r>
      <t xml:space="preserve">15:38: CDGRD DE ANTIOQUIA REPORTA: MUNICIPIO DE CALDAS VEREDA CARDALITO UNA GRANIZADA </t>
    </r>
    <r>
      <rPr>
        <sz val="9"/>
        <color indexed="8"/>
        <rFont val="Arial"/>
        <family val="2"/>
      </rPr>
      <t>HACIA LAS 03:00 HORAS DAÑO TODOS LOS  CULTIVOS HASTA EL MOMENTO CENSADAS 36 FAMILIAS; MATAS DE CAFÉ:137516, PLÁTANO 7504, 3685 YUCA, 70 JUJO, AGUATE 232, 3000 DE  CEBOLLA, EUCALIPTO 2200, REQUIEREN TEJAS ETERNIT 45, POLIESTIRENO 48, ZINC 60 Y CABALLETES 20, ADEMAS EL PRIMER MERCADO. MAÑANA ADELANTAN CALAMIDAD PUBLICA PARA ADELANTAR PRODUCTOS CON AGRICULTURA Y BANCO AGRARIO. -639</t>
    </r>
  </si>
  <si>
    <t>CDGRD INFORMA INCENDIO FORESTAL HACIA LAS 15:45 REPORTADO POR CMGRD DEL MUNICIPIO DE SIBATE, ZONA RURAL ATIENDEN APROXIMADAMENTE 20 VOLUNTARIOS DE DEFENSA CIVIL, ACTIVO AL MOMENTO, SITUACION EN DESARROLLO. -637
ACTUALIZACION 29/09/13. REPORTE DE BOMBEROS CON CAPITAN VALENZUELA INFORMA INCENDIO FORESTAL EN SIBATE, SECTOR DEL  PABLO NERUDA CON 5 HECTAREAS DE AFECTACION EN PASTOS. -639</t>
  </si>
  <si>
    <t>CDGRD DEL HUILA, INFORMA, INCENDIO FORESTAL, ACTIVO, VEREDA: LA GOLETA, AFECTADAS APROXIMADAMENTE: 300 HECTÁREAS DE PASTO Y RASTROJO. -636
ACTUALIZACION 29/09/13, CDGRD DEL HUILA, INFORMA INCENDIO FORESTAL REPORTADO EL 27/09/2013 EN LA VEREDA LA GOLETA, POR ACCION DE LAS LLUVIAS EN EL TRANSCURSO DE LA NOCHE DEL 28/09/2013 ESTA CONTROLADO SE HACE BARRIDO POR BOMBEROS PARA VERIFICAR Y EXTINGUIR POSIBLES FOCOS SE TIENE AFECTACION DE 500 HECTAREAS DE PASTO Y RASTROJO. -639</t>
  </si>
  <si>
    <t>INCENDIO ESTRUCTURAL EN VIVIENDA UBICADA EN LA CALLE 13 ENTRE CARRERAS 18 Y 19 DE BUCARAMANGA, PRESUNTAMENTE CONFLAGRO UNA BODEGA DENTRO DE LA MISMA, A LA HORA ES EL ATENDIDA LA CONFLAGRACIÓN POR EL CUERPO DE BOMBEROS DE BUCARAMANGA SIN MÁS REPORTE POR TANTO LA NOTICIA SE ENCUENTRA EN TRÁNSITO PARA SU AMPLIACIÓN Y REPORTE DE DAÑOS. A LA HORA NO SE REPORTA AFECTACIÓN DE VIDAS HUMANAS. -641</t>
  </si>
  <si>
    <t>LA FUERTE LLUVIA EN BARRANQUILLA DURANTE SEIS HORAS,, DEJA HASTA EL MOMENTO ÁRBOLES CAÍDOS, DAÑOS A VIVIENDAS Y TRANCONES GENERADOS POR EL TAPONAMIENTO DE LA AVENIDA CIRCUNVALAR, POR EL ESTANCAMIENTO DE AGUAS POR LAS OBRAS DE AMPLIACIÓN QUE NO PERMITE EL PASO DE VEHÍCULOS. -641</t>
  </si>
  <si>
    <t>SE PRESENTO UN INCENDIO ESTRUCTURAL AFECTANDO A 2 VIVIENDAS LAS CUALES SE CONSUMIERON EN SU TOTALIDAD, EL CMGRD ATIENDE LAS FAMILIAS CON ASISTENCIA BASICA. -641</t>
  </si>
  <si>
    <t>SE PRESENTO UN VENDAVAL AFECTADO A 10 VIVIENDAS EN LOS BARRIOS CHIRCALES Y POZO AZUL, EL CMGRD ESTA REALIZANDO EDAN. -641</t>
  </si>
  <si>
    <t>EL CMGRD SAN LUIS REPORTA UN FORESTAL QUE AFECTO 80 HECTAREAS CON VEGETACION VARIADA ENTRE CULTIVOS Y RASTROJO Y OTROS, EN EL FIN DE SEMANA (VIERNES A DOMINGO) EN  LAS VRDAS. CAIMISAL, PEDREGAL, GUASIMITO Y LA AURORA CONTROLADO POR BOMBEROS Y LAS LLUVIAS EN LA ZONA,SIN NOVEDAD. -641</t>
  </si>
  <si>
    <t>APOYO DEL FNGRD MEDIANTE TRANSFERENCIA ECONOMICA AL MUNICIPIO DE BOCHALEMA CON EL OBJETO DE DESARROLLAR EL PROYECTO "ATENCION DE OBRAS DE EMERGENCIA Y CONSTRUCCION DE GRADAS DISIPADORAS EN EL CORREGIMIENTO DE LA DONJUANA, MUNICIPIO DE BOCHALEMA"</t>
  </si>
  <si>
    <t>REPORTA DESLIZAMIENTO EN VEREDAS LOS ANGELES, EL PRADO, LA QUISAYA, LA UNION, LA SOLEDAD, LA CERINDA, LA VERDES, EL MIRADOR, LAS MINAS, EL PORVENIR, ALTO PUEBLITOS, BAJO PUEBLITOS, EL CHOCHO ALTO, FRAGUA DELICIAS, EL MOSCO, SAN LUIS, EL SANCHEZ, EL CARBON, LA MASAYA, EL GALAN, PUERTO BELLO,RESGUARGO INDIGENA DE EL AGUILA AFECTO 23 VEREDAS AFECTADO SISTEMAS DE ACUEDUCTOS DE LAS SEDES EDUCATIVAS DE BOCANA, VELAS VERDES, LA PRIMAVERA, SEDE INDIGENA LA CERINDA Y SEDE INDIGENA GUAMBIANA DEJANDO 3 PERSONAS FALLECIDAS, 1 ADULTO, 2 MENORES, REPORTA CDGRD. 522</t>
  </si>
  <si>
    <t>APOYO DEL FNGRD PARA LA ADQUISICION DE UN AVION CESSNA GRAN CARAVAN C-208EX CON FUNCIONES MULTIPROPOSITO PARA FORTALECER LA GESTION INTEGRAL DEL SNGRD CON LA FINALIDAD DE RALIZAR Y APOYAR BRIGADAS DE SALUD, ATANCIOBN DE URGENCAS, EMERGENCIAS, CALAMIDADES O DESASTRES, EVACUACION, TRANSPORTE AEROMEDICO, APOYO HUMANITARIO Y RED NACIONAL DE TRASPLANTES. LA AERONAVE SERA COMPRADA, ADMINISTRADA, OPERADA Y CONSERVADA POR LA GOBERNACION DE ANTIOQUIA</t>
  </si>
  <si>
    <t>INFORMA EL SR GUSTAVO ORTEGA CORD DEL CDGRD DE CAQUETA ,  QUE SE DESBORDO EL RIÓ fragua grande y sabaleta PESCADO  A LA ALTURA DE LOS MUNICIPIOS DE BELÉN DE ANDAQUIES Y SAN JOSE DE LA FRAGUA, VEREDAS BOCANA FRAGUITA, EL PLACER, LA CRISTALINA, PUERTO BELLO, BELLA VISTA, RESGUADO SAN MIGUEL, Y BRISAS Y LA CABECERA MUNICIPAL EL REPORTE INICIAL ES PERDIDA DE GANANDO VACUNO, INUNDACIÓN EN CULTIVOS , PERDIDA DE 4 PUENTES HASTA EL MOMENTO. 518</t>
  </si>
  <si>
    <t>CDGRD GUSTAVO ORTEGA REPORTA EN EL MUNICIPIO DE VALPARAISO INUNDACION POR DESBORDAMIENTO DEL RIO PESCADO CON AFECTACION PARCIAL EN APROXIMADAMENTE 350 FAMILIAS EN ZONA RURAL, VEREDAS LA ESMERALDA, VENADITO Y TORTUGA.  EN CASCO URBANO AFECTACION EN 4 MOTOS, CEMOVIENTES, BOCATOMA DEL ACUEDUCTO, UNA CANOA CON MOTOR, SITUACION EN DESARROLLO. 521</t>
  </si>
  <si>
    <t>PERDIDA DE ANIMALES DE CORRAL</t>
  </si>
  <si>
    <t>EN LAS ULTIMAS HORAS SE PRESENTARON FUERTES VIENTOS AFECTANDO  10 VIVIENDAS, UN CENTRO DE SALUD Y UNA ESCUELA ES EL DATO INICIAL CONTINUA HACIENDO EDAN. -642</t>
  </si>
  <si>
    <t>REPORTA ACCIDENTE DE TRANSITO VIA ESPINAL CHICORAL DEJANDO 2 PERSONAS FALLECIDAS, 3 PERSONAS LESIONADAS, REPORTA CDGRD. -642</t>
  </si>
  <si>
    <t>REPORTA INCENDIO FORESTAL EN LA VEREDA CAÑOGUATE, FINCA EL TRIUNFO, CONTROLADO Y EXTINGUIDO POR BOMBEROS Y DCC, 5 HECTAREAS CONSUMIDAS, REPORTA CDGRD. -642</t>
  </si>
  <si>
    <t>REPORTA VENDAVAL OCURRIDO LOS DÍAS 23 Y 24/09/13 , EL CUAL OCASIONÓ DAÑOS EN LAS INSTITUCIONES EDUCATIVAS PABLO VI Y EL PARAÍSO, EL TAMACAL, LOS CRISTALES, NUESTRA SEÑORA DE LA SALUD, HOGAR INFANTIL MIS AMIGOS, LOS CUALES SUFRIERON PERDIDAS DE TEJAS, CABALLETES Y ALGUNOS DAÑOS ESTRUCTURALES, TAMBIÉN LA REGISTRADURIA Y LA PLAZA DE TOROS PERDIERON TEJAS Y CABALLETES. RESULTARON 14 VIVIENADAS AVERIADAS, 14 FAMILIAS SE SOLICITAN AYUDAS HUMANITARIAS. REPORTA CDGRD. -642</t>
  </si>
  <si>
    <t>D.C.C., INFORMAN SE PRESENTÓ INCENDIO FORESTAL, 29-09-2013, VEREDA. MONIQUIRA,  SECTOR: GRANDE, 1 HECTÁREA AFECTADA. -643</t>
  </si>
  <si>
    <t>D.C.C., INFORMA SE PRESENTÓ VENDAVAL, 29-09-2013, BARRIO: LAS DELICIAS,  AFECTANDO, 14 FAMILIAS. -643</t>
  </si>
  <si>
    <t>D.C.C., INFORMA, INCENDIO FORESTAL, EXTINGUIDO, CORREGIMIENTO: EL ROSARIO, VEREDA: EL SALADO,  12 HECTÁREAS CONSUMIDAS. -643</t>
  </si>
  <si>
    <t>CDGRD DE BOYACA, INFORMA SE PRESENTA INCENDIO FORESTAL,  SECTOR: CANE, SITUACIÓN EN DESARROLLO. -643</t>
  </si>
  <si>
    <t>CDGRD DEL VALLE DEL CAUCA, INFORMA, SE PRESENTÁ VENDAVAL, ACOMPAÑADO DE LLUVIAS, AFECTANDO, FINCA: LA UNIÓN, VEFREDA: MONTEGRANDE,  DAÑOS EN LA CUBIERA DE ZINC,  AFECTACIÓN EN CULTIVOS, SITUACIÓN EN DESARROLLO. -643</t>
  </si>
  <si>
    <t>CDGRD DE CUNDINAMARCA, INFORMA, CT. RAÚL RIOBUENO DE BOMBEROS SOACHA, REPORTA INCENDIO FORESTAL, EN EL BARRIO BOSQUES DE SAN MATEO, INICIADO A LAS 14:05 Y EXTINGUIDO A LAS 17:30 HORAS DEL 29/09/13 CON AFECTACIÓN DE 1 HECTÁREA DE PASTIZALES. ATENDIÓ BOMBEROS SOACHA Y POLICÍA NACIONAL.. -643</t>
  </si>
  <si>
    <t>CT. RAÚL RIOBUENO DE BOMBEROS SOACHA REPORTA INCENDIO FORESTAL EN LA VEREDA BOSATAMA INCIADO A LAS 09:15 Y EXTINGUIDO A LAS 12:00 CON AFECTACIÓN DE 2 HECTÁREAS DE VEGETACIÓN NATIVA. ATENDIÓ BOMBEROS SOACHA Y COMUNIDAD. -643</t>
  </si>
  <si>
    <t>CDGRD DE CUNDINAMARCA, INFORMA, EDGAR RODRÍGUEZ, JEFE DE PLANEACIÓN DE AGUA DE DIOS, REPORTA DÍA 28/09/13 A LAS 23:00 HORAS HASTA LASA 03:00 HORAS DEL 29/09/13, SE PRESENTÓ VENDAVAL ACOMPAÑADO DE LLUVIAS Y DESCARGAS ELÉCTRICAS QUE AFECTO PARTE DEL CASCO URBANO Y LA ZONA RURAL EN LAS VEREDAS SAN JOSÉ, AGUA FRÍA, IBÁÑEZ LA PUNA Y OTRAS CON PERDIDA DE TECHOS, MUEBLES Y ENSERES,  ANEGACIÓN Y CAÍDA DE ARBOLES, SUSPENSIÓN DEL FLUIDO ELÉCTRICO HASTA LAS 09:00 HORAS DEL DÍA 29/09/13. CMGRD ATIENDE Y ADELANTA CENSO DE AFECTACIONES Y NECESIDADES CORRESPONDIENTE PARA HACERLO LLEGAR A ESTA UNIDAD. -643</t>
  </si>
  <si>
    <t>13-1030</t>
  </si>
  <si>
    <t>CMGRD REPORTA MEDIANTE ACTA QUE ENTRE LOS DIAS 6, 9 Y 10 DE SEPTIEMBRE DEL PRESENTE AÑO, SE PRESENTARON FUERTES LLUVIAS Y FUERTES VIENTOS AFECTANDO CON INUNDACIONES Y VENDAVALES VARIAS FAMILIAS EN LOS BARRIOS VILLA KATANGA, CUSULES, VILLA DEL CARMEN, LAS GAVIOTAS, VILLA CECILIA, LA INMACULADA, LAS ORAS, PATIO LARGO, CIUDAD PARAISO, VILLA SOL, SAN VICENTE, VILLA MONACO Y LOS CEDROS</t>
  </si>
  <si>
    <t>CMGRD REPORTA MEDIANTE ACTA QUE EL 01 DE SEPTIEMBRE DEL 2013 SE PRODUJO EL CRECIMIENTO DEL ARROYO SABALITO, ESTA SITUACION DEJO COMO CONSECUENCIA UNA GRAN EMERGENCIA POR LA PERDIDA DE CULTIVOS Y EL CIERRE DE LA VIA, SITUACION QUE AFECTA A TODA LA COMUNIDAD EN GENERAL SIENDO ESTA NUESTRA UNICA VIA DE ACCESO</t>
  </si>
  <si>
    <t>13-1032</t>
  </si>
  <si>
    <t>13-1031</t>
  </si>
  <si>
    <t xml:space="preserve">0.4 </t>
  </si>
  <si>
    <t>DURANTE LAS ULTIMAS HORAS SE HAN PRESENTADO FUERTES AGUACEROS ACOMPAÑADOS DE VIENTOS HURACANDOS Y GRANIZO AFECTANDO A VARIAS VIVIENDAS EN ELE AREA RURAL Y URBANA, EN ESTE MOMENTO EL CMGRD ESTA REALIZANDO EDAN. -6445</t>
  </si>
  <si>
    <t>SE PRESENTO UN IF EN LA VIA QUE CONDUCE DE BUCARAMANGA A GIRON EN LE SECTOR DE COCA-COLA AFECTANDO 2 HECTAREAS , BOMBEROS CONTROLO IF. -644</t>
  </si>
  <si>
    <t>SE PRESENTO UN IF EN EL BARIIO EL TESORO AFECTADO 2 HECTAREAS, BOMBEROS VOLUTARIOS ATENDIO Y CONTROLO. -644</t>
  </si>
  <si>
    <t>REPORTAN DEL CDGRD QUE SE PRESENTO UN AGUACERO AFECTANDO A 4 BARRIOS POR INUNDACIONES, ESTOS BARRIOS SE ENCURNTRA POR DEBAJO DEL NIVEL DE LA CIUDAD Y NO EXISTE UNA RED DE ALCANTARILLADO, EN ESTE MOMENTO SE ENCUENTRA REALIZANDO EDAN LAS ENTIDADES OPERATIVAS. -644</t>
  </si>
  <si>
    <t>INFORMO QUE EL CONSOLIDADO DEL VENDAVAL ACOMPAÑADO DE GRANIZO OCURRIDO EN MIRANDA CAUCA, EL VIERNES 27 DE SEPTIEMBRE DE 2013, DEJO A 227 VIVIENDAS AFECTADAS EN TECHOS.UNA CASA DE LA CULTURA DAÑOS EN LA CUBIERTA.LA GALERÍA, DAÑOS EN LA CUBIERTA UN HOGAR AGRUPADO DE NIÑOS SEDE I CENTRO DE DLLOINTEGRAL , DAÑOS POR INUNDACIÓN EN ENSERES.1 FAMILIAS CON DAÑOS EN CULTIVOS DE PLÁTANO (130 MATAS) EN , HA.0.4. -644</t>
  </si>
  <si>
    <t>REPORTA LA DRA EDITH PAZ QUE SE PRESENTO UN VENDAVAL ACOMPAÑADO DE GRANIZO OCURRIDO EN SOTARA  CAUCA, AL MOMENTO SE ESTA TERMINANDO DE REALIZAR EDAN, ESTE HECHO OCURRIO EL FIN DE SAMANA PASADO , PERO POR INCOVENIENTES EN LAS COMUNIDADES APENAS LO ESTAN REPORTANDO. -644</t>
  </si>
  <si>
    <t>REPORTNA LA EXPLOSION D UN CARRO EN LA CALLE 20 C0N CRA 21 , SE DESCONOCEN LAS CAUSAS DE LA EXPLOSION.  EN ELE SITIO FALLECIERON 2 PERSONAS QUE ESTABAN EN EL INTERIOR DEL VEHICULO. SE ACTIVO EL CMGRD  PARA LA ATENCION DE LA NOVEDAD. -644</t>
  </si>
  <si>
    <t>EMERGENCIA EN EL MUNICIPIO DE SARDINATA-NORTE DE SANTANDER REPORTADA POR MINSALUD HACIA 15:18 HORAS, POR EXPLOSION EN MINA DE CARBON EN EL CORREGIMIENTO LAS MERCEDES, SE REALIZO ENLACE CON EL MUNICIPIO CON LA SECRETARIA DE GOBIERNO QUIEN CONFIRMO DICHA EMERGENCIA INICIALMENTE, EN ÚLTIMO REPORTE ENVIADO VIA E-MAIL POR MINSALUD INFORMAN UN TOTAL DE 7 PERSONAS LESIONADAS LAS CUALES FUERON EVACUADAS  CON EL APOYO DE FUERZA AEREA DADO QUE ES ZONA DE DIFICIL ACCESO, FUERON TRASLADADOS HACIA UNIPAMPLONA, NO REPORTAN MUERTOS, NI DESAPARECIDOS. -645</t>
  </si>
  <si>
    <t>13:03 HORAS SE REGISTRA COLAPSO DE TECHO COLEGIO INEM, SALON DE 4 DE PRIMARIA DE LA LOCALIDAD DE KENNEDY UBICADO EN LA CLLE 38C SUR # 79-08 POR CAIDA DE ARBOL DE 22 METROS DE LARGO, DADO FUERTES VIENTOS GENERO EL DESPRENDIMIENTO DEL MISMO, EN ENLACE REALIZADO CON JOSE PERDOMO DE FOPAE INFORMA DE LA EMERGENCIA LA CUAL ES ATENDIDA POR LOS ORGANISMOS DEL SISTEMA DISTRITAL DE EMERGENCIAS, MINSALUD INFORMA QUE EL TOTAL DE PERSONAS VALORADOS FUE DE 30, DE ELLOS 11 MENORES TRASLADADOS POR DIFERENTES LESIONES Y 2 ADULTOS, HACIA CENTROS ASISTENCIALES DE LA MISERICORDIA Y KENNEDY. -645</t>
  </si>
  <si>
    <t>CDGRD REPORTA VENDAVAL EN EL MUNICIPIO DE SANTA ROSA HACIA LAS 16:30 HORAS, AL MOMENTO 1 VIVIENDA TOTALMENTE DESTECHADA, EL DIA DE MAÑANA REALIZARAN EDAN, SITUACION EN DESARROLLO. -645</t>
  </si>
  <si>
    <t xml:space="preserve">CDGRD DE CALDAS, INFORMA, SE PRESENTÓ, VENDAVAL, AFECTANDO: 100 VIVIENDAS, </t>
  </si>
  <si>
    <t>POR FUERTES LLUVIAS PRESENTADAS DEL DÍA DE AYER HASTA EL DÍA DE HOY 01-10-2013 ,OCASIONANDO INUNDACIONES EN 28 BARRIOS DEL MUNICIPIO DE BARRANCABERMEJA, DONDE PRESENTARON DAÑOS EN LAS VIVIENDAS  Y MUEBLES ENSERES, RESULTANDO  ASÍ 72 FAMILIAS DAMNIFICADAS , ESTA EMERGENCIA FUERON ATENDIDAS POR PARTE DE CUERPO DE BOMBERO , DEFENSA CIVIL Y LA ALCALDÍA DE BARRANCABERMEJA, DONDE SE REALIZÓ UN CENSO DONDE MANIFIESTA LOS SIGUIENTES REPORTES DE LOS BARRIOS DAMNIFICADOS  SON: POZO SIETE (3) VIVIENDAS TOTALMENTE DESTRUIDAS Y (9) AVERIADAS ,BARRIO EL PALMAR (37) VIVIENDAS , DORADO (6) VIVIENDA, MIRAFLORES (10) VIVIENDAS, PROGRESO (3), DIAMANTE Y CHAPINERO  SE PRESENTARON DESLIZAMIENTO DE UN TALUD ASÍ OBSTRUYENDO LA ENTRADA AL BARRIOS. -646</t>
  </si>
  <si>
    <t>EN EL KILÓMETRO 24 LLEGANDO AL TÚNEL, POR CAUSAS DE LLUVIAS, HUBO DESLIZAMIENTO DE TIERRA Y PIEDRAS EN ESTE MOMENTO HAY PASO RESTRINGIDO POR UN SOLO CARRIL MIENTRAS EL CONSORCIO HACE MANTENIMIENTO EN LA VÍA, PARA SU NORMALIDAD. -646</t>
  </si>
  <si>
    <t>NUEVAMENTE  COE 16 REPORTA INCENDIO EN LA VEREDA LA COQUETA Y BARRIO AUGUSTO E MEDINA UN INCENDIO PROVICADO POR EL DUEÑO DE ESA FINCA SE LE REPORTO A ALFA 6 LO MISMO QUIEN A COE 14 Y POLICIA AMBIENTAL. -646</t>
  </si>
  <si>
    <t>CDGRD DEL HUILA, INFORMA, INCENDIO FORESTAL, EXTINGUIDO, VEREDA: EL CHAPARRO, AFECTADAS: 4  HECTÁREAS DE:  PASTO Y RASTROJO. -648</t>
  </si>
  <si>
    <t>CDGRD DEL HUILA, INFORMA, INCENDIO FORESTAL, EXTINGUIDO, VEREDA:  SANTA INES,  AFECTADAS: 2  HECTÁREAS DE:  PASTO Y RASTROJO. -648</t>
  </si>
  <si>
    <t>CDGRD DEL HUILA, INFORMA, INCENDIO FORESTAL, EXTINGUIDO, SITIO: CENTRO RECREACIONAL MANILA,  AFECTACIÓN: 6 HECTÁREAS DE:  PASTO Y RASTROJO. -648</t>
  </si>
  <si>
    <t>CDGRD DEL HUILA, INFORMA, INCENDIO FORESTAL, EXTINGUIDO, SITIO: CAMPO TELLO,  AFECTADAS: 120 HECTÁREAS DE PASTO Y RASTROJO,  APOYARON:  BOMBEROS Y D.C.C. -648</t>
  </si>
  <si>
    <t>CDGRD DEL HUILA, INFORMA, SE PRESENTA, VENDAVAL, VEREDA: EL SOCORRO,  PENDIENTE EVALUACIÓN, PROGRAMADA  PARA MAÑANA, SITUACIÓN EN DESARROLLO. -648</t>
  </si>
  <si>
    <t>CRUE DE RISARALDA, INFORMA, REVISION VEREDA: LA ESMERALDA, POR VENDAVAL DE LA NOCHE ANTERIOR, NOTIFICADO DESPUES DEL MEDIO DIA PENDIENTE DATOS. -648</t>
  </si>
  <si>
    <t>CRUE RISARALDA, INFORMA, REPORTE POR VENDAVAL, 30-09-2013, VEREDA JUAN TAPADO DESTECHAMIENTO, 4 VIVIENDAS, 4 FAMILIAS, 18 PERSONAS, PERDIDA 21 HOJAS DE ZINK EN 2 VIVIENDAS YA QUE LOS DATOS DE LAS OTRAS 2 LOS TIENEN EN PLANEACION 1 VIVIENDA DAÑO EN PLASTICO CON EL QUE TIENE CUBIERTO EL TECHO. -648</t>
  </si>
  <si>
    <t>CDGRD REPORTA INCENDIO ESTRUCTURAL EN EL MUNICIPIO DE CALARCA BARRIO BOLIVAR, OCASIONADO POR CORTO CIRCUITO, PERDIDA PARCIAL, CMGRD REALIZA EDAN APOYA LA UDEGERD CON AYUDAS HUMANITARIAS PARA 2 FAMILIAS AFECTADAS. -649</t>
  </si>
  <si>
    <t>CITEL TOLIMA INFORMA HACIA LAS 22:30  COORDINADOR CMGRD REPORTA FUERTES LLUVIAS CON BORRASCA DEJA 1 CASA DESENTECHADA, 3 VIVIENDAS INUNDADAS EN EL BARRIO EVELIO GOMEZ, EN HORAS DE LA MAÑANA VISITARAN ZONA URBANA Y RURAL PARA VERIFICAR SI HAY MAS AFECTACIONES. -649</t>
  </si>
  <si>
    <t>CRUE DE RISARALDA, INFORMA, SE PRESENTÓ, VENDAVAL,  01-10-2013,  VEREDA LA POLONIA, 3 VIVIENDAS, 3 FAMILIAS, 5 ADULTOS, 5 MENORES PERDIDAS 88 TEJAS DE ZINK Y COLCHONES PENDIENTE MAS REVISIONES DE OTRAS VIVIENDAS EN LA MISMA VEREDA. -650</t>
  </si>
  <si>
    <t>REPORTA LA DRA NORELA ARENAS, QUE SE ESTA PRESENTANDO UN IF EN LA VEREDA  LAS VEGAS, SE ESTA ATENDIENDO POR BOMBEROS DE LOS PATIOS. -650</t>
  </si>
  <si>
    <t>POR LOS FUERTES AGUACEROS QUE  SE HAN PRESENTO EN LAS ULTIMAS HORAS LA VIA DE CALI HACIA BUENAVENTURA, LA MAQUINARIA SE ENCUENTRA EBN LA ZONA. -650</t>
  </si>
  <si>
    <t>REPORTA VENDAVAL EN LA VEREDA LUPITA DEJANDO 5 VIVIENDAS AVERIADAS EN SUS TECHOS CON PERDIDA DE ENSERES, 5 FAMILIAS, REPORTA CDGRD. -651</t>
  </si>
  <si>
    <t>D.C.C, INFORMA, CASAS AFECTADAS POR CRECIENTE SÚBITA, 8 FAMILIAS AFECTADAS. -652</t>
  </si>
  <si>
    <t>D.C.C., INFORMA, DIA 02-10-13, SE PRESENTAN LLUVIAS TORRENCIALES, SOBRE EL MUNICIPIO DE EL PITAL, EN VARIAS VEREDAS, ASÍ COMO EN ZONA URBANA Y AL MOMENTO HAY REPORTE DE 6 FAMILIAS EN 6 VIVIENDAS AFECTADAS. -652</t>
  </si>
  <si>
    <t>CDGRD DE CUNDINAMARCA, INFORMA, CAROLINA MOYANO, DEL C.M.G.R.D. DE SAN ANTONIO DEL TEQUENDAMA, REPORTA A ESTA UNIDAD, VENDAVAL CON LLUVIAS Y TORMENTA ELÉCTRICA, OCURRIDO AYER 02/10/2013 ENTRE LAS 15:00 Y LAS 18:00 HORAS, EN LAS VEREDAS NÁPOLES Y LA MARÍA, DEJANDO AFECTACIÓN POR PÉRDIDA DE TECHOS MUEBLES Y ENSERES EN 5 VIVIENDAS  CON 5 FAMILIAS (20 PERSONAS APROX). ATIENDE C.M.G.R.D. Y LEVANTA CENSO DEFINITIVO. -652</t>
  </si>
  <si>
    <t>CDGRD DE CUNDINAMARCA, INFORMA, ALONSO MUÑOZ, FUNCIONARIO DE LA U.A.E.G.R.D.C:REPORTA A ESTA UNIDAD VENDAVAL ACOMPAÑADO DE FUERTES LLUVIAS, OCURRIDO EL DÍA DE AYER  02/10/2013 ENTRE LAS 14:00 Y LAS 17:00 HORAS, EN EL MUNICIPIO DE NOCAIMA, EL CUAL AFECTÓ APROXIMADAMENTE 20 VIVIENDAS CON 20 FAMILIAS (103 PERSONAS APROX.) Y 7 ENRAMADAS PANELERAS POR PÉRDIDA DE TECHOS MUEBLES Y ENSERES, EN LAS VEREDAS EL CAJÓN, COCUNCHE, SAN CAYETANO, NARANJAL, LA CONCEPCIÓN, TOBIA ALTA, CENTRO POBLADO TOBIA CHICA Y PARTE DEL SECTOR URBANO, EL 60% DEL MUNICIPIO SE ENCUENTRA SIN FLUIDO ELÉCTRICO, EL C.M.G.R.D. LOCAL ATIENDE A LAS FAMILIAS AFECTADAS Y ADELANTA CENSO DEFINITIVO EL CUAL HARÁ LLEGAR A ESTA UNIDAD CON EL RESPECTIVO ACTA. -652</t>
  </si>
  <si>
    <t>SECCIONAL DEL PUTUMAYO, INFORMA, DESDE LAS 7 PM APROXIMADAMENTE SE PRESENTAN FUERTES LLUVIAS, EN MOCOA Y  EN LAS CABECERAS DE LOS RÍOS PEPINO Y MULATO,  DEBIDO AL INVIERNO SE HAN PRESENTADO VARIOS DESLIZAMIENTOS EN LA VÍA DE MOCOA A PASTO CON CRECIENTE DEL RIO EL PEPINITO Y PEPINO QUEDANDO VARIOS VEHÍCULOS AISLADOS SIN PODER, CRUZAR HACIA MOCOA O REGRESARSE HACIA EL MIRADOR (PUESTO CONTROL POLICÍA),  AL DESPLAZARSE EL PERSONAL DE LA DEFENSA CIVIL DE MOCOA  NO PUDIERON SEGUIR PORQUE EL RIO EL PEPINO SE DESBORDÓ Y ESTABA CRUZANDO POR LA CARRETERA,  LO QUE HIZO QUE SE DEDICARAN A EVACUAR 2 FAMILIAS (11 PERSONAS ) QUE ESTABAN AISLADAS .   UN CAMIONERO QUE BAJÓ INFORMÓ QUE ÉL ALCANZO A PASAR PERO QUE UNA CHIVA QUE TRAE ALREDEDOR DE 30 NIÑOS QUEDÓ SOBRE EL LECHO DEL RIO PEPINITO,  QUE LOS NIÑOS ALCANZARON A SER EVACUADOS  PERO QUE LA VÍA SE BLOQUEÓ POR COMPLETO PARA TODO TIPO DE VEHÍCULO.  EL PERSONAL CONTINUA SUBIENDO PARA VER SI SE PUEDEN EVACUAR ESTAS PERSONAS. POR AHORA NO SE REPORTAN LESIONADOS NI DESAPARECIDOS. EN LABOR SE ENCUENTRAN:  15 LIDERES VOLUNTARIOS -  2 VEHÍCULOS.  COLABORAN ASÍ MISMO:  POLCA- LA COORDINADORA DEL CMGR DE MOCOA-  PERSONAL DE INVIAS. -652</t>
  </si>
  <si>
    <t>SECCIONAL DE PUTUMAYO, INFORMA, 21:00  HORAS, SITIO:  lOS 90, SE PRESENTÓ INCENDIO ESTRUCTURAL, 1 VIVIENDA DESTRUIDA, 1 VIVIENDA AVERIADA, SIN LESIONADOS, SOLO PERDIDAS MATERIALS. APOYARON EN EL CONTROL 10 LIDERES VOLUNTARIOS JDC PUERTO GUZMAN. -652</t>
  </si>
  <si>
    <t>13-1038</t>
  </si>
  <si>
    <t>COLAPSO DE UNA VIVIENDA LOCALIZADA EN EL BARRIO LOS BAMBÚES DEL MUNICIPIO DE GIRÓN (SANTANDER) POR SOCAVAR EL RIO DE  ORO, LA TALUD EN QUE SE SOSTENÍA LA VIVIENDA PROVOCO EROSIÓN DEL TERRENO LO QUE PROVOCÓ EL COLAPSO DE LA VIVIENDA. LA EMERGENCIA FUE ATENDIDA POR EL CUERPO DE LA DEFENSA CIVIL DE GIRÓN EN EL CUAL REPORTAN QUE FUERON AFECTADOS POR LOS HECHOS CON HERIDAS LEVES TRES PERSONAS ENTRE ELLAS UN MENOR DE EDAD, REMITIÉNDOSE Y SIENDO ATENDIDOS EN EL HOSPITAL DE LA LOCALIDAD. -653</t>
  </si>
  <si>
    <t>(CONATO) DE INCENDIO PRESENTADO EN LAS INSTALACIONES DE LA UNIVERSIDAD INSUSTRIAL DE SANTANDER (UIS). LOCALIZADO EN AREA DEL CUARTO DE VIGILANCIA, EN DONDE LA CONFLAGRACION COMBUSTIONO BASURAS, Y ELEMENTOS PERSONALES DE LOS GUARDAS DE SEGURIDAD (CASILLEROS DE OBJETOS PERSONALES). EL INCENDIO FUE ATENDIDO Y CONTROLADO POR EL CUERPO DE BOMBEROS SIN REPORTAR AFECTACION DE VIDAS HUMANAS. -653</t>
  </si>
  <si>
    <t>HACIA LA UNA DE LA MAÑANA DE ESTE VIERNES UNA CRECIENTE DEL RÍO CALDERAS EN JURISDICCIÓN DE SAN LUIS, COCORNÁ Y SAN FRANCISCO (ORIENTE ANTIOQUEÑO) INUNDÓ UN TÚNEL DONDE TRABAJABAN SIETE EXPERTOS ENCARGADOS DE LA CONSTRUCCIÓN DE UNA MICROCENTRAL ELÉCTRICA QUE SE EJECUTA EN LA ZONA, EN COORDIANCION CON CDGRD ORGANISMOS DE SOCORRO LLEGAN AL SITIO A REALIZAR RESPECTIVAS LABORES, EN INFORMACION BRINDADA POR EL CDGRD DR CESAR HERNADEZ HACIA LAS 15:00 HORAS INFORMA QUE SE ENCONTRARON 7 PERSONAS CON VIDA Y FUERON LLEVADAS HACIA CENTRO ASISTENCIAL DEL MUNICIPIO DE SAN LUIS TODAS EN FAVORABLE ESTADO DE SALUD, HACIA LAS 19:00 HORAS POR CARACOL NOTICIAS BRINDA OTRA INFORMACION POR LO CUAL SE LLAMA NUEVAMENTE AL CDGRD PRA CORROBORAR CONTESTA GILBERTO MAZO QUIEN REPORTA QUE SOLO SE HAN ENCONTRADO 5 PERSONAS CON VIDA, 1 FALLECIDA Y HAY UNA DESAPARECIDA, ORGANISMOS DE SOCORRO REALIZAN LABORES. -654</t>
  </si>
  <si>
    <t>CDGRD DE MAGDALENA REPORTA EMERGENCIA EN EL MUNICIPIO DE TENERIFE EN EL CORREGIMIENTO SANTA INES DEBIDO AL DESBORDAMIENTO DE UN ARROYO, INFORMA DE 30 FAMILIAS AFECTADAS POR INUNDACION EN SUS VIVIENDAS, EVENTO OCURRIDO EN HORAS DE LA MAÑANA, NO HERIDOS NI VICTIMAS AL MOMENTO, APOYA POLICIA NACIONAL EVALUACION PRELIMINAR. -654</t>
  </si>
  <si>
    <t>CDGRD DE MAGDALENA, INFORMA, POR FUERTES LLUVIAS,  PRESENTADAS EL DÍA DE AYER,  RESULTARON: 5 VIVIENDAS DESTRUIDAS, FAMILIAS SE ENCUENTRAN EN VIVIENDAS DE FAMILIARES, SITUACIÓN EN DESARROLLO.  -656</t>
  </si>
  <si>
    <t>CDGRD DEL CESAR, INFORMA, A RAIZ DE FUERTES LLUVIAS, 2 VIVIENDAS DESTRUIDAS EN EL CORRGIMIENTO DE: SEMPEGUA. -656</t>
  </si>
  <si>
    <t>CDGRD DE ARAUCA, INFORMA, EN  EL RÍO ARAUCA YA HAY PRESENCIA DE HIDROCARBURO PROCEDENTE DEL ATENTADO OCURRIDO, 26-09-2013,  EN NORTE DE SANTANDER, ARAUCARIA YA CERRO BOCA TOMA.   REPORTA FUNCIONARIO VICTOR NIEVES DE LA OFICINA OPERATIVA DCC DE ARAUCA, QUE DEBIDO A DERRAME DE HIDROCARBUROS POR ATENTADO CONTRA OLEODUCTO OCURRIDO HACE ALGUNOS DIAS EN TERRITORIO DE NORTE DE SANTANDER (SANORÉ), EL RIO ARAUCA REGISTRA ALTO NIVEL DE CONTAMINACIÓN QUE ESTÁ LLEGANDO A LOS MUNICIPÍO DE ARAUQUITA Y ARAUCA, DEJANDO EN RIESGO DE AFECTACIÓN DE LA PESCA Y DE LOS ACUEDUCTOS DE LOS MENCIONADOS MUNICIPIOS. LA DEFENSA CIVIL ESTÁ PENDIENTE DE CUALQUIER LLAMADO POR PARTE DE ECOPETROL PARA COLABORAR EN LA ATENCIÓN DEL CASO. -656</t>
  </si>
  <si>
    <t>CDGRD DE BOYACA, INFORMA, QUE YA SE ENCUENTRA EN EL MPIO DE SANTA MARIA, REALIZANDO VERIFICACIÓN POR INUNDACIONES A CAUSA DE LA QUEBRADA CAÑO: EL CANGREJO, SITUACIÓN EN DESARROLLO.  15.05 HORAS, SEGUIMIENTO EMERGENCIA EN EL MPIO DE SANTA MARIA- BOYACA, CDGRD, INFORMA.          QUEREMOS ACTUAR, RÁPIDAMENTE PERO LA ADMINISTRACIÓN MUNICIPAL VA LENTA, QUIEREN PLAZO. EL GEÓLOGO NUESTRO SE ENCUENTRA EVALUANDO UNA ZONA DE RIESGO, EN ESTE MOMENTO. YA REVISAMOS LA ZONA URBANA QUE RESULTÓ AFECTADA Y EL RESULTADO PRELIMINAR SON 51 FAMILIAS DAMNIFICADAS, CON 147 PERSONAS, FALTA EL EDAN DE LA ZONA RURAL. LA GOBERNACIÓN APORTÓ UNA EXCAVADORA DE ORUGA, UNA VOLQUETE Y EL COMBUSTIBLE PARA LAS MISMAS.  YA SE SUMINISTRARON 3.000 LONAS, SITUACIÓN EN DESARROLLO. -656</t>
  </si>
  <si>
    <t>CDGRD DE CALDAS, INFORMA, SE PRESENTA VENDAVAL, REALIZAN EDAN, SITUACIÓN EN DESARROLLO. -656</t>
  </si>
  <si>
    <t xml:space="preserve">CDGRD DEL VALLE DEL CAUCA, Y  BOMBEROS CALI,  INFORMAN,  QUE APROXIMADAMENTE A LAS 11 AM, UNA BUSETA SE INCENDIO, CON PERDIDA TOTAL, AFECTO DOS VEHÍCULOS  Y  4 LOCALES COMERCIALES, AFECTADOS TAMBIÉN EL CABLEADO DE ENERGÍA Y PARABÓLICA.
CDGRD VALLE-MELBA LEINER: EL LUGAR BARRIO EL LIMONAR AL SUR DE CALI. -656
</t>
  </si>
  <si>
    <t>CDGRD DE CUNDINAMARCA, INFORMA, SE PRESENTA INCENDIO FORESTAL, EN  CHUZACA, SECTOR: ALTO DE LA CRUZ, ATIENDE BOMBEROS SOACHA, SITUACIÓN EN DESARROLLO. -656</t>
  </si>
  <si>
    <t>D.C.C, INFORMA,  DIA 02-10-13 SE PRESENTARON, FUERTES LLUVIAS DESDE LA 13:00 P.M. HASTA LAS 18:00 P.M. OCASIONANDO INUNDACIONES CON SALDO DE 30 FAMILIAS AFECTADAS SIN MAS REPORTE.PARTICIPARON 10 LÍDERES VOLUNTARIOS. -656</t>
  </si>
  <si>
    <t>CDGRD REPORTA INCENDIO FORESTAL EN NEIVA VEREDA SAN FRANCISCO CON AFECTACION DE 10 HECTAREAS DE PASTO Y RASTROJO, EN ESTADO EXTINGUIDO ATENDIO BOMBEROS AIPE Y NEIVA. -657</t>
  </si>
  <si>
    <t>CRUE RISARALDA REPORTA INCENDIO ESTRUCTURAL REGISTRADO HACIA LAS 13:30 EN CASCO URBANO EN BODEGA DE MUEBLES, ATENDIO BOMBEROS DOSQUEBRADAS, LESIONADOS 2 BOMBEROS, 1 FUNCIONARIO DE LA BODEGA, SE DESCONOCE LAS CAUSAS. -657</t>
  </si>
  <si>
    <t>CDGRD DE ANTIOQUIA, INFORMA, ACCIDENTE DE AÉRONAVE, DH-8, DE MATRICULA AMERICANA, ACCIDENTADO, ENTRE EL MPIO DE ACANDI-CHOCO Y PANAMA,  SECTOR: EL MORRO TRIPULANTES, 1 PILOTO DE NACIONALIDAD PANAMEÑA , 5 PASAJEROS DE NACIONALIDAD ESTADUNIDENSE,  TOTAL: 6 PERSONAS, FAC, RESCATADAS: 2 PERSONAS VIVAS, 4 PERSONAS FALLECIDAS, DE DESCONOCEN LAS CAUSAS DE ACCIDENTE. -658</t>
  </si>
  <si>
    <t>CDGRD DE NORTE DE SANTANDER, BARRIO: NUEVO,  INFORMA SE PRESENTÓ ACCIDENTE EN EL PATIO DE UNA VIVIENDA, AL  PARECER MAL CONSTRUIDA, CAYENDO MASA DE TIERRA, SOBRE DOS MENORES QUE JUGABAN EN EL PATIO,  DEJANDO UNA MENOR FALLECIDA, 1 MENOR HERIDA TRASLADADA AL HOSPITAL ERASMO MEOZ DE CUCUTA. -658</t>
  </si>
  <si>
    <t>CDGRD REPORTA INCENDIO FORESTAL EN EL PARQUE EL CHICAQUE DESDE LAS 15:00 HORAS, ATIENDE BOMBEROS SOACHA, INFORMA QUE ESTA COMPLICADO Y EN LA MAÑANA DECIDEN SI SOLICITAN APOYO O NO, EN DESARROLLO. -659</t>
  </si>
  <si>
    <t>LLUVIAS TORRENCIALES SE PRESENTARON EL 15/08/13 EN EL MUNICIPIO, DEJANDO COMO AFECTACION EL COLAPSO DE LA VIA TERCIARIA QUE CONDUCE DEL CASCO URBANO A LA VEREDA EL CAIRO , VEREDA EL CARMEN DE DEMAS.</t>
  </si>
  <si>
    <t>SE DEVUELVE YA QUE EL DERETO DE CALAMIDAD ES DEL 30 DE AGOSTO CON IGENCIA DE UN MES Y LLEGO A LA UNGRD VENCIDA.</t>
  </si>
  <si>
    <t>CDGRD DEL TOLIMA, INFORMA, CRECIENTE DEL RÍO GUALI, 4 VIVIENDAS COLAPSADAS,  CRECIENTE DE LA QUEBRADA PADILLA Y EL RÍO GUALI,  AFECTANDO EN SUS BASES, LOS PUENTES DE: LOPEZ,  LA PIRAGUA, NEGRO, AFECTADA LA BOCATOMA DEL ACUEDUCTO,  POR TAL MOTIVO, SE ENCUENTRA LA CIUDAD SIN SUMINISTRO DE AGUA POTABLE, SE EVACUAN FAMILIAS DE MANERA PREVENTIVA, ACTIVADA LA SALA DE CRISIS DEL MPIO, ENCABEZAFA POR EL SEÑOR ALCALDE Y EL CDGRD DEL TOLIMA.
APOYO DEL FNGRD MEDIANTE TRANSFERENCIA ECONOMICA REALIZADA EN EL MES DE OCTUBRA/2013 CON EL OBJETO DE REALIZAR LA CONTRATACION DE LA INERVENTORIA TECNICA, ADMINISTRATIVA YY FINANCIERA DEL CONTRATO PARA LA EJECUCION DE LAS OBRAS DE PROTECCION Y RECONSTRUCCION DEL PUENTE LOPEZ.</t>
  </si>
  <si>
    <t>TOTAL VIVIENDAS AVERIADAS EN TECHOS FAMILIAS  425  Y   PERSONAS 1.275 TOTAL CULTIVOS DE PAN COGER 90.93 HECTÁREAS Y FAMILIAS  67 Y   PERSONAS 270. 6 INSTITUCIONES EDUCATIVAS, LA ALCALDÍA MUNICIPAL, LA BIBLIOTECA MUNICIPAL LA SEDE DEL CUERPO DE BOMBEROS VOLUNTARIOS DE TIMBIO ,SE ANEXA DOCUMENTACIÓN ALLEGADA POR LA CMGRD DE TIMBIO, IGUALMENTE ESTA INFORMACIÓN SE ENVIÓ EN FÍSICO CON EL AVALA DEL CDGRD. -670</t>
  </si>
  <si>
    <t>CDGRD Y CRUE DE RISARALDA, INFORMA AFECTACION  POR VENDAVAL EL DIA 06/10/2013  DESTECHAMIENTO DE   94 VIVIENDAS,  76  EN EL  BARRIO  EL JAPON, 9 EN EL BARRIO EL BALSO  Y  3  EN EL  BARRIO OLAYA  HERRERA, 2  ARBOLES   CAIDOS. -661</t>
  </si>
  <si>
    <r>
      <t xml:space="preserve">DURANTE LAS ULTIMAS HORAS SE HAN PRESENTADO FUERTES AGUACEROS ACOMPAÑADOS DE VIENTOS HURACANDOS Y GRANIZO AFECTANDO A VARIAS VIVIENDAS EN EL AREA RURAL Y URBANA, LUEGO DE REALIZADO EL CENSO REPORTAN </t>
    </r>
    <r>
      <rPr>
        <b/>
        <sz val="9"/>
        <color indexed="8"/>
        <rFont val="Arial"/>
        <family val="2"/>
      </rPr>
      <t xml:space="preserve">BARRIOS AFECTADOS EN LA CABECERA MUNICIPAL EL BORDO: </t>
    </r>
    <r>
      <rPr>
        <sz val="9"/>
        <color indexed="8"/>
        <rFont val="Arial"/>
        <family val="2"/>
      </rPr>
      <t xml:space="preserve">BARRIÓS: EL GALÁN 38 FAMILIAS, ENRIQUE OLAYA HERRERA 37, FUNDADORES 1,  POPULAR 11, LA NUEVA FLORESTA 3, EL PEÑOL 3, EL LAGO 2, EL CAMPING 7,  EL ALTILLO 13, LIBERTADOR 7,  LA UNIÓN 1, CALLENUEVA 4, BARRIO CENTRO 10, </t>
    </r>
    <r>
      <rPr>
        <b/>
        <sz val="9"/>
        <color indexed="8"/>
        <rFont val="Arial"/>
        <family val="2"/>
      </rPr>
      <t xml:space="preserve">VEREDAS: </t>
    </r>
    <r>
      <rPr>
        <sz val="9"/>
        <color indexed="8"/>
        <rFont val="Arial"/>
        <family val="2"/>
      </rPr>
      <t xml:space="preserve">LA MANGUITA  9, EL JUNCAL 3, </t>
    </r>
    <r>
      <rPr>
        <b/>
        <sz val="9"/>
        <color indexed="8"/>
        <rFont val="Arial"/>
        <family val="2"/>
      </rPr>
      <t xml:space="preserve">CORREGIMIENTOS: </t>
    </r>
    <r>
      <rPr>
        <sz val="9"/>
        <color indexed="8"/>
        <rFont val="Arial"/>
        <family val="2"/>
      </rPr>
      <t xml:space="preserve">PAN DE AZÚCAR 4, SANTA CRUZ 5, PUERTO NUEVO 2, </t>
    </r>
    <r>
      <rPr>
        <b/>
        <sz val="9"/>
        <color indexed="8"/>
        <rFont val="Arial"/>
        <family val="2"/>
      </rPr>
      <t xml:space="preserve">ZONA RURAL-PLAN DEL PATIA: </t>
    </r>
    <r>
      <rPr>
        <sz val="9"/>
        <color indexed="8"/>
        <rFont val="Arial"/>
        <family val="2"/>
      </rPr>
      <t>59. -661</t>
    </r>
  </si>
  <si>
    <t>REPORTA SECCIONAL BOLÍVAR LA RECUPERACIÓN DE UN NIÑO EN UNA CUNETA, TRAS LLUVIAS TORRENCIALES, CORREGIMIENTO: ARROYO DE PIEDRA, 15 FAMILIAS AFECTADAS. -662</t>
  </si>
  <si>
    <t>JHON FREDY GONZÁLEZ, DIRECTOR OPERATIVO DE LA OFICINA DE ATENCIÓN Y PREVENCIÓN DE DESASTRES DE PEREIRA, ASEGURÓ QUE LAS AFECTACIONES ALCANZAN UNAS 50 VIVIENDAS CON DESTECHAMIENTOS E INUNDACIONES, “ENTRE LOS QUE SE DESTACAN EL DANUBIO, LAS BRISAS, TOKIO Y SAN VICENTE QUE HACEN PARTE DE LA COMUNA VILLA SANTANA”.LA QUEBRADA QUE PASA SOBRE EL BARRIO LA DULCERA REGISTRÓ UN FUERTE DESBORDAMIENTO QUE AFECTÓ VARIAS CASAS DE LA ZONA.EL INFORME PRELIMINAR SEÑALA QUE AL MENOS TRES PERSONAS RESULTARON LESIONADAS POR EL DESPLOME DE UNA VIVIENDA. -660</t>
  </si>
  <si>
    <t>MISTRATÓ TAMBIÉN HUBO VIVIENDAS AFECTADAS  33 POR LAS FUERTES LLUVIAS REGISTRAS DURANTE ESTE FIN DE SEMANA. -660</t>
  </si>
  <si>
    <t>GUÁTICA  REPORTAN 20  VIVIENDAS AFECTADAS  POR INUNDACIONES Y VENDAVAL EL CMGRD ESTA REALIZANDO EDAN. -660</t>
  </si>
  <si>
    <t>REPORTAN DEL CDGRD DE HUILA QUE SE PRESENTO UN IF EN MUNICIPIO TELLO VEREDA SAN FRANCISCO FINCA SANTA RITA AFECTACION 70 HECTAREAS PASTO Y RASTROJO ESTADO EXTINGUIDO. -660</t>
  </si>
  <si>
    <r>
      <t xml:space="preserve">RPORTAN DEL CDGRD DE HUILA QUE SE PRESENTO UN IF EN </t>
    </r>
    <r>
      <rPr>
        <sz val="9"/>
        <color indexed="63"/>
        <rFont val="Arial"/>
        <family val="2"/>
      </rPr>
      <t>MUNICIPIO DE YAGUARA VEREDA EL VISO AFECTACION PRELIMINAR 6 HECTAREAS PASTO Y RASTROJO ESTA EN PROGRESO. -660</t>
    </r>
  </si>
  <si>
    <r>
      <t xml:space="preserve"> RPORTAN DEL CDGRD DE HUILA QUE SE PRESENTO UN IF EN </t>
    </r>
    <r>
      <rPr>
        <sz val="9"/>
        <color indexed="63"/>
        <rFont val="Arial"/>
        <family val="2"/>
      </rPr>
      <t>MUNICIPIO YAGUARA SIITIO VILLA SANTA HELENA 1.5 HECTAREAS DE PASTO Y RASTROJO ESTADO EXTINGUIDO. -660</t>
    </r>
  </si>
  <si>
    <r>
      <t xml:space="preserve">RPORTAN DEL CDGRD DE HUILA QUE SE PRESENTO UN IF EN </t>
    </r>
    <r>
      <rPr>
        <sz val="9"/>
        <color indexed="63"/>
        <rFont val="Arial"/>
        <family val="2"/>
      </rPr>
      <t>MUNICIPIO PALERMO SITIO CHONTADURO 1 HECTÁREA DE PASTO Y RASTROJO ESTADO EXTINGUIDO. -660</t>
    </r>
  </si>
  <si>
    <t>DECLARATORIA DE CALAMIDAD PUBLICA VENCIDA.</t>
  </si>
  <si>
    <t>A LA 1:30 DE LA TARDE CUANDO EL PLAFÓN DE UNA VIVIENDA EN CONSTRUCCIÓN SE DERRUMBÓ Y SEPULTÓ AL ALBAÑIL MANUEL ANDRÉS GARCÍA ACOSTA, DE 30 AÑOS Y A UN MENOR DE 10 AÑOS. EL ADULTO MURIÓ EN EL ACTO, MIENTRAS QUE EL NIÑO FUE RESCATADO CON SIGNOS VITALES, PERO FALLECIÓ CUANDO ERA ATENDIDO EN LA CLÍNICA SAN RAFAEL DE LA MISMA POBLACIÓN.ATENDIO BOMBEROS VOLUTARIOS. -663</t>
  </si>
  <si>
    <t>8 ROLLOS DE 2" X 100 MTS, 13 ROLLOS DE 1" X 100 MTS, 4 ROLLOS DE 1/2" X 100 MTS.</t>
  </si>
  <si>
    <t>EN LOS CORREGIMIENTOS DE HATILLO Y COBADILLO SIENDO LAS 4:20 PM APROXIMADAMENTE SE PRESENTO UN EVENTO DE HURACAN EL CUAL DEJO DAÑOS MATERIALES EN ALGUNAS VIVIENDAS.</t>
  </si>
  <si>
    <t>EL 24 DE ABRIL EN HORAS DE LA TARDE SE PRESENTO UN VENDAVAL EL CUAL AFECTO VARIAS VIVIENDAS EN SUS TECHOS.</t>
  </si>
  <si>
    <t>EN HORAS DE LA TARDE DEL DIA 7 DE OCTUBRE SE PRESENTO UN INCEDIO ESTRUCTURAL SE ESPERA MAS DATOS POR PARTE DEL CMGRD LA CASA QUEDO PARCIALMENTE CONSUMIDA. -664</t>
  </si>
  <si>
    <t>INFORMAN DEL CDGRD QUE SE REACTIVO EN INCENDIO FORESTAL EN LA VEREDA DE  EL VISO, ATIENDE  BOMBROS DE YAGUARA, IQUIRA, RIVERA,PAICOL. -664</t>
  </si>
  <si>
    <t>REPORTAN DEL INCENDIO FORESTAL EN LA VEREDA DEL PROGRESO  ATIENDE BOMBEROS NEIVA. -664</t>
  </si>
  <si>
    <t>SE PRESENTA UN INCENDIO FORESTAL EN LA VEREDA EL SENDERO A LAS SALIDA DE POPAYAN  HACIA EL HUILA, ATIENDE BOMBERSO VOLUTARIOS. -664</t>
  </si>
  <si>
    <t>COLAPSO ESTRUCTURAL PARCIAL EN VIVIENDA SUBNORMAL UBICADA EN LA PARTE TRASERA DEL COLEGIO GUSTAVO MATAMOROS, DEJA TRES MENORES HERIDOS UNO CON FRACTURA EN MIEMBROS SUPERIORES TRASLADADO A LA CLÍNICA SALUDO Y DOS CON LESIONES EN TEJIDOS BLANDOS TRASLADADOS AL HOSPITAL DEL SUR.  INSTITUCIONES EN EL SITIO BOMBEROS ARMENIA, POLICIA, CRUZ ROJA, RED SALUD, OMGERD. -664</t>
  </si>
  <si>
    <r>
      <t xml:space="preserve">EL CMGRD DE CAUCA  INFORMO ACERCA DE UN DESLIZAMIENTO OCURRIDO EL 8 DE OCTUBRE, QUE AFECTÓ EL DOBLE TRAMO PRINCIPAL DEL ACUEDUCTO LAS  CRUCES ,DEL MUNICIPIO DE TIMBIO </t>
    </r>
    <r>
      <rPr>
        <sz val="9"/>
        <color indexed="63"/>
        <rFont val="Arial"/>
        <family val="2"/>
      </rPr>
      <t>800 FAMILIAS AFECTADAS. -666</t>
    </r>
  </si>
  <si>
    <t>CDGRD DE NARIÑO, INFORMA, SE PRESENTÓ INCENDIO ESTRUCTURAL, VEREDA. CASABUY, 1 VIVIENDA DESTRUIDA, SIN LESIONADOS. -667</t>
  </si>
  <si>
    <t>CDGRD DE CUNDINAMARCA, INFORMA, MARTHA MEDINA DE LA OFICINA DE PLANEACIÓN DEL MUNICIPIO DE SAN FRANCISCO, REPORTA MEDIANTE CORREO ELECTRÓNICO UN INCENDIO FORESTAL OCURRIDO EL 16/09/13, INICIADO A LAS 15:00 Y EXTINGUIDO A LAS 20:00 HORAS CON AFECTACIÓN DE 1,5 HECTÁREAS ENTRE ARBOLES FRUTALES Y RASTROJO. ATENDIÓ CMGRD BOMBEROS LA VEGA Y DEFENSA CIVIL DE SAN FRANCISCO. -667</t>
  </si>
  <si>
    <t>CDGRD DE CUNDINAMARCA, INFORMA, LA CAPITÁN AURORA GUTIÉRREZ DE BOMBEROS MPIO DE SIBATE, INFORMA A ESTA UNIDAD SOBRE INCENDIO FORESTAL EN LA VEREDA SAN BENITO, CERCA AL CLUB LOS SAUCES EL CUAL COMENZÓ HACIA LAS 13:30 HORAS, DEL 08-10-13  EL CUAL AFECTO APROXIMADAMENTE 10;00 HECT ENTRE VEGETACIÓN NATIVA, PINOS PLANTADOS, Y PASTOS. FUE CONTROLADO Y EXTINGUIDO HACIA LAS 21:00 HORAS DEL MISMO DÍA. ATENDIÓ BOMBEROS SIBATE, BOMBEROS OFICIALES DE SOACHA, Y COMUNIDAD. -667</t>
  </si>
  <si>
    <t>CDGRD DE CUNDINAMARCA, INFORMA, MARTHA MEDINA DE PLANEACIÓN DE SAN FRANCISCO REPORTA MEDIANTE CORREO ELECTRÓNICO, VENDAVAL OCURRIDO EL 06/09/13 EL CUAL AFECTO EN DIFERENTES SITIOS DEL MUNICIPIO, 15 VIVIENDAS,  60 PERSONAS  CON PERDIDA DE TECHOS. ATENDIÓ CMGRD, DEFENSA CIVIL SAN FRANCISCO Y BOMBEROS LA VEGA. -667</t>
  </si>
  <si>
    <t>CDGRDE DE CUNDINAMARCA, INFORMA, EL SARGENTO GABRIEL SALDARRIAGA DE BOMBEROS TOCAIMA, INFORMA  A ESTA UNIDAD SOBRE INCENDIO FORESTAL EN LA VEREDA GUAJANA FINCA LAS LAJAS DE ESTE MPIO, QUE SE INICIO HACIA LAS 08:00 HORAS DEL 08-10-13 POR QUEMAS CONTROLADAS PARA AGRICULTURA SALIDAS DE CONTROL, EL CUAL AFECTO 5,0 HECT APROXIMADAMENTE DE VEGETACIÓN NATIVA, Y PASTIZALES FUE CONTROLADO Y EXTINGUIDO HACIA LAS 20:00 HORAS DEL MISMO DÍA. ATENDIÓ BOMBEROS  TOCAIMA, POLICÍA NACIONAL, Y COMUNIDAD. -667</t>
  </si>
  <si>
    <t>CDGRD DE CUNDINAMARCA, JUAN CARLOS PINTO DE PLANEACIÓN DEL MUNICIPIO DE VILLAGÓMEZ, REPORTA VENDAVAL EN LAS VEREDAS CAMPAMENTO Y BUENAVISTA OCURRIDO EL DÍA 05/10/13 DESDE LAS 12:00 HASTA LAS 15:00 HORAS . INFORMA, DÍA 09/10/13 JUAN CARLOS PINTO , INFORMA VÍA TELEFÓNICA QUE RESULTARON AFECTADAS 7 VIVIENDAS CON PERDIDA DE CUBIERTAS, MUEBLES Y ENSERES 14 FAMILIAS CON 56 PERSONAS. EN LA VÍA ALCANZA PERROS Y CASCO URBANO DEL MUNICIPIO HUBO DESESTABILIZACIÓN DE LA BANCA EN VARIOS TRAMOS. ATENDIÓ CMGRD, DEFENSA CIVIL Y COMUNIDAD. -667</t>
  </si>
  <si>
    <t>CDGRD DEL TOLIMA, INFORMA, INCENDIO FORESTAL, ACTIVO, SECTOR: LA PALMITA, VÍA NATAGAIMA- NEIVA, KM:56  SITUACIÓN EN DESARROLLO. -667</t>
  </si>
  <si>
    <t>CMGRD DE JAMUNDI, INFORMA, VENDAVAL CON GRANIZO, EL DIA 27-09-2013, AFECTANDO: 37 VIVIENDAS, 2 CENTROS EDUCATIVOS, 1 PUESTO DE SALUD, 1 IGLESIA, SECTORES: PASO DE LA BOLSA EL JARDIN, VILLA COLOMBIA, LA LIBERIA, SAN ANTONIO. -668</t>
  </si>
  <si>
    <t>SECCIONAL PUTUMAYO, INFORMA QUE DESDE LAS 9 PM DEL 9 DE OCTUBRE, SE PRESENTÓ UN FUERTE AGUACERO EN MOCOA,  RESULTANDO INUNDADAS 50 VIVIENDAS DE LOS BARRIOS LOS PINOS, LIBERTADOR,  ALAMOS, JOSE HOMERO BAJO, PABLO SEXTO.   UN MURO CAÍDO,  AFECTACIÓN EN LAS VIVIENDAS:  ENSERES Y COLCHONES MOJADOS YA QUE EN ALGUNAS VIVIENDAS EL AGUA LLEGO MAS O MENOS A 1 METRO.  NO SE REPORTARON LESIONADOS NI DESAPARECIDOS, SITUACIÓN EN DESARROLLO. -668</t>
  </si>
  <si>
    <t>APOYO DEL FNGRD MEDIANTE TRANSFERENCIA ECONOMICA AL MUNICIPIO DE MAJAGUAL CON EL OBJETO DE REALIZAR OBRAS DE CONTENCION PARA LA RECUPERACION Y PROTECCION DE TALUDES DE UN TRAMO DEL DIQUE PROTECTOR CONTRA INUNDACIONES DE LA MARGEN IZQUIERDA DEL RIO CAUCA EN EL SITIO CONOCIDO COMO PUNTO G ($389,854,489) Y REALIZAR LA CONSTRUCCION DE HEXAPODOS EN CONCRETO REFORZADO DE 3000 PSI PARA CONTROL DE EROSION DE UN TRAMO DEL DIQUE PROTECTOR CONTRA INUNDACIONES DE LA MARGEN IZQUIERDA DEL RIO CAUCA EN EL SITIO CONOCIDO COMO PUNTO G ($193,045,236)</t>
  </si>
  <si>
    <t>LLUVIAS FUERTES Y TORRENCIALES VIENTOS AFECTARON 58 FAMILIAS EN LOS CORREGIMIENTOS ; EL HIGAL, MIMBRES, LA GRAN CHINA Y EL CASCO URBANO DEL BARRIO LA VICTORIA, OCASIONANDO GRAN CANTIDAD DE PERDIDA DE TECHOS EN LAS CASAS.</t>
  </si>
  <si>
    <t>CONATO DE INCENDIO FORESTAL EN PREDIO DENOMINADO BETANIA, UBICADO EN LE BARRIO MARÍA PAZ AL NORTE DE LA CIUDAD DE BUCARAMANGA, EN DONDE SE PRESENTA LA CONFLAGRACIÓN DE ARBUSTOS, PASTIZALES Y MALEZA QUEMÁNDOSE APROXIMADAMENTE 600 MTS2. SIENDO ATENDIDO Y CONTROLADO POR EL CUERPO DE BOMBEROS DE BUCARAMANGA SIN AFECTACIÓN DE ESTRUCTURAS O VIDAS HUMANAS. -669</t>
  </si>
  <si>
    <t>DEBIDO A LAS FUERTES PRECIPITACIONES EN EL MUNICIPIO DE PIEDECUESTA SOBRE LA VÍA DE LA AUTOPISTA QUE CONDUCE DE PIEDECUESTA A BUCARAMANGA, A LA ALTURA DE LA ESTACIÓN DE TRANSPORTE MASIVO DE “METROLINEA” DENOMINADA LA ESPAÑOLITA, SE PRESENTARON INUNDACIONES POR ACUMULACIÓN DE AGUAS LLUVIAS EN EL SECTOR, PRESUNTAMENTE POR FALLAS EN EL DRENAJE DE ESTAS. LO QUE OCASIONO REDUCCIÓN DEL TRÁNSITO SOBRE LA VÍA A UN CARRIL, SIENDO RESTABLECIDO A LA NORMALIDAD DOS HORAS POSTERIORMENTE AL CESE DE LAS PRECIPITACIONES. -669</t>
  </si>
  <si>
    <t>INFORMA EL DIRECTOR DE CDGRD SANDY SEPULVEDA QUE EN LAS ULTIMAS HORAS SE PRESENTO UN VENDAVAL  EN EL CORREGIMIENTO DE CHIMILA, LA DEFENSA CIVIL REALIZA EDAN. -669</t>
  </si>
  <si>
    <t>INFORMA DE LA SALA DE CRSIS DE MINISTERIO DEL INTERIOS  MARISOL MURCIA DE UN INCENDIO FORESLTAL EN LA VEREDA PENA DEL MORRO. SE EPSRA MAS DATOS POR PARTE DEL CDGRD DE NARIÑO. -669</t>
  </si>
  <si>
    <t>INFORMAN DEL CMGRD DE PUERTO BOYACA QUE L NOCHE ANTERIOR SE PRESENTO UN VENDAVAL AFECTANDO VARIAS VIVIENDAS EN ZONA RURAL.SSE HACE EDAN, EN ESPERA DE MAS DATOS. -669</t>
  </si>
  <si>
    <t>CDGRD REPORTA INCENDIO FORESTAL EN EL BARRIO ALMEDO EL CUAL ES ATENDIDO POR EL CUERPO DE BOMBEROS VOLUNATARIOS, CONSUMIDA UNA HECTAREA Y MEDIA DE BOSQUE SECO. -670</t>
  </si>
  <si>
    <t>CDGRD REPORTA INCENDIO FORESTAL EN ESTE MUNICIPIO, VEREDA MONSERRATE CON AFECTACION DE 35 HECTAREAS DE PASTO Y RASTROJO, ESTADO EXTINGUIDO, ATENDIDO POR BOMBEROS.  -670</t>
  </si>
  <si>
    <t>CDGRD REPORTA INCENDIO FORESTAL EN ESTE MUNICIPIO, VEREDA LA CUMBRE CON AFEC TACION DE 3 HECTAREAS DE PASTO Y RASTROJO, ESTADO EXTINGUIDO, ATENDIDO POR BOMBEROS. -670</t>
  </si>
  <si>
    <t>CDGRD Y CITEL TOLIMA REPORTAN HOY 10/10/2013 CONTROL TOTAL DE INCENDIO FORESTAL EN ESTE MUNICIPIO, CON UNA AFECTACION DE 97 HECTAREAS DE VEGETACION SECA, PASTOS Y MALEZA, INFORMA QUE APOYARON 20 UNIDADES DE DC MELGAR Y CARMEN DE APICALA EN CONJUNTO CON BOMBEROS VOLUNTARIOS. -670</t>
  </si>
  <si>
    <t>CRUE RISARALDA REPORTA INCENDIO ESTRUCTURAL REGISTRADO HACIA LAS 23:30 HORAS, EN LA VEREDA LAS CRUCES, FINCA LA HONDURA, PERDIDA TOTAL 1 FAMILIA AFECTADA, 5 PERSONAS EN TOTAL EVACUADAS, ATENDIO BOMBEROS BALBOA.  -672</t>
  </si>
  <si>
    <t>CDGRD Y CMGRD DE CALDONO REPORTA FUERTE LLUVIA QUE CAYÓ EN CALDONO EL DÍA 10 DE OCTUBRE DE FORMA REPENTINA EN LAS HORAS DE LA TARDE (LLUVIA QUE EMPEZÓ ALREDEDOR DE LAS 4:00 PM), COMO EFECTO DE LA FUERTE LLUVIA SE OBSERVARON GRANDES CAUDALES DE AGUA QUE CORRÍAN A TRAVÉS DE LAS CALLES, EMPOSAMIENTO DE GRAN CANTIDAD DE AGUA EN SITIOS COMO LA GALERÍA DE CALDONO Y EL ESTADIO LEONEL SIERRA, EN EL BARRIO DIVINO NIÑO SALIERON INUNDADAS 6 VIVIENDAS CON PERDIDAS DE ENSERES DEL HOGAR, EN EL BARRIO BELLO AFECTADAS 3 VIVIENDAS CONTIGUOS AL ESTADIO LEONEL SIERRA, ESTOS MOMENTOS SE ESPERAN REPORTES DE LOS EFECTOS DE LAS LLUVIAS EN LAS DIFERENTES VEREDAS DEL MUNICIPIO Y SE ESTÁN LEVANTANDO LOS CENSOS RESPECTIVOS, EN ZONA RURAL UNA VIVIENDA SALIÓ AFECTADA POR DESLIZAMIENTO DE TIERRA, IGUALMENTE SE SOLICITA ACLARAR EL ESTADO DE LA VIVIENDA. -672</t>
  </si>
  <si>
    <t>CDGRD DE BOYACA, INCENDIO FORESTAL VEREDA:  PATIÑO, FUA ATENDIDO POR PERSONAL DE DEFENSA CIVIL, CON UNA AFECTACION DE 5 HECTAREAS DE VEGETACION NATIVA. NO LESIONADOS U OTRO. -672</t>
  </si>
  <si>
    <t>CDGRD REPORTA EN EL MUNICIPIO DE TOLU 8 HORAS DE LLUVIAS CAUSAN INUNDACIONES EN CASCO URBANO 15 BARRIOS Y 2 CORREGIMIENTOS AL MOMENTO REALIZAN EVALUACION DE DAÑOS,  IGUALMENTE DADO LOS FUERTES VIENTOS REPORTARAN AFECTACION POR VENDAVAL. -672</t>
  </si>
  <si>
    <t>CDGRD DEL CAUCA, REPORTE DEL MUNICIPIO DE CALDONO, EL DÍA DE HOY 28 DE JUNIO, SE ESTÁ  REPORTANDO, LOS  DAÑOS POR  VENDAVAL, QUE OCURRIERON, EN LAS VEREDAS DE: PLANDESUÑIGA, PRIMAVERA, MORAS, GUAICO ALIZAL,CRUCERO, EL ROSARIO Y PARTE DE BUENA VISTA. ALREDEDOR DE 50 FAMILIAS AFECTADAS EN CULTIVOS COMO:YUCA, MAÍZ, FRIJOL Y PLÁTANO Y 15 FAMILIAS AFECTADAS EN VIVIENDAS, SE REALIZA SEGUIMIENTO EN EL TRANSCURSO DEL DIA CDGRD CONFIRMA QUE NO HYAN CAMBIADO DATOS Y SE ESPERA REPORTE DEL CMGRD.</t>
  </si>
  <si>
    <t>CDGRD DEL HUILA, INFORMA, INCENDIO FORESTAL EXTINGUIDO,  EN LA VEREDA BETANIA, SE CONSUMIERON: 50 HECTÁREAS DE PASTO Y RASTROJO,  APOYARON BOMBEROS PALERMO. -673</t>
  </si>
  <si>
    <t>CDGRD DEL HUILA, INFORMA,  INCENDIO FORESTAL,  EXTINGUIDO,  EN EL MUNICIPIO DE TELLO,  VIA A BARAYA,  FINCA ALTA GRACIA, SE CONSUMIERON: 90 HECTÁREAS DE:  PASTOS Y RASTROJO,  APOYARON:  BOMBEROS TELLO Y VILLAVIEJA. -673</t>
  </si>
  <si>
    <t>CDGRD DEL HUILA, INFORMA, INCENDIO FORESTAL EXTINGUIDO,  EN LA VEREDA: SAN JOSÉ DE BELEN,  SE CONSUMIERON: 30 HECTÁREAS DE PASTO Y RASTROJO,  APOYARON BOMBEROS AGRADO. -673</t>
  </si>
  <si>
    <t>REPORTA SECCIONAL BOYACÁ, 10-10-2013, SE PRESENTÓ INCENDIO FORESTAL, EN EL MUNICIPIO DE PAZ DE RÍO, VEREDA: CARRICHANA, EXTINGUIDO,  PERDIDA  DE UNA HECTÁREA DE BOSQUE NATIVO, PARTICIPARON 10 VOLUNTARIOS. -673</t>
  </si>
  <si>
    <t>REPORTA SECCIONAL BOYACÁ, 09-10-2013,  SE PRESENTÓ, INCENDIO FORESTAL, EN EL MUNICIPIO DE SOATA, EN LA JABONERA, SECTOR LA CABRITA, CON PÉRDIDA DE UNA HECTÁREA DE VEGETACIÓN NATIVA Y PASTO, EXTINGUIDO,  PARTICIPARON 10 VOLUNTARIOS, JUNTA DE SOATA. -673</t>
  </si>
  <si>
    <t>REPORTA SECCIONAL NARIÑO, QUE DIA 09-10-13, SE PRESENTÓ INCENDIO FORESTAL, EN LA VEREDA BOLÍVAR, DEL CORREGIMIENTO EL VERGEL ,DEL MUNICIPIO DE SANDONÁ AL PARECER POR UNA QUEMA NO CONTROLADA , CON SALDO DE: 42 HECTÁREAS DE VEGETACION NATIVA AFECTADAS. -673</t>
  </si>
  <si>
    <t>REPORTA SECCIONAL NARIÑO, QUE DIA 08-10-13, SE PRESENTÓ INCENDIO FORESTAL, EN EL BARRIO BETANIA, DEL MUNICIPIO DE PROVIDENCIA, AL PARECER POR DESCUIDO DE UNA PERSONA QUEMANDO 1 HECTÁREA DE VEGETACION. -673</t>
  </si>
  <si>
    <t>REPORTA SECCIONAL RISARALDA, QUE EN EL MUNICIPIO DE PEREIRA, SECTOR PUEBLITO PAISA, INVASIÓN NARANJITOS, SE PRESENTÓ INCENDIO ESTRUCTURAL, DONDE SE QUEMARON DOS VIVIENDAS DE GUADUA, AL PARECER EL INCENDIO SE ORIGINÓ POR LA EXPLOSIÓN DE UN CILINDRO DE GAS. NO SE PRESENTARON VÍCTIMAS, NI HERIDOS. -673</t>
  </si>
  <si>
    <t>BOMBEROS VOLUNTARIOS FLANDES ATIENDE INCENDIO ESTRUCTURAL EN EL BARRIO LA CAPILLA, CALLE 2 #  7-42 DONDE POR UNA QUEMA AFECTO 4 CAMAS, TRES COLCHONES, SIN MAS DETALLES APOYA TRES MAQUINAS LA MOVIL 01-02 Y 09 DE GIRARDOT. -674</t>
  </si>
  <si>
    <t>REPORTA INCENDIO ESTRUCTURAL EN EL BARRIO LA ALAMEDA, 1 VIVIENDA AVERIADA, 1 FAMILIA, 4 PERSONAS, PERDIDAS DE MUEBLES Y ENSERES, ATENDIO BOMBEROS, REPORTA CMGRD. -675</t>
  </si>
  <si>
    <t>REPORTA VENDAVAL EN CORREGIMIENTO PUENTE TIERRA CON 81 VIVIENDAS AVERIADAS, 81 FAMILIAS, PERDIDA DE ENSERES, REPORTA CDGRD. -675</t>
  </si>
  <si>
    <t>CDGRD DE NARIÑO, INFORMA, SE PRESENTA INCENDIO FORESTAL DE GRAN MAGNITUD, ENTRE LAS VEREDAS: LOMA DE ARROZ Y  AMINDA, ESTÁ LLEGANDO A LIMITES CON EL MPIO DE LOS ANDES SOTO MAYOR, SE HAN CONSUMIDO APROXIMADAMENTE: 65 HECTÁREAS, ZONA DE DIFICIL ACCESO, SOLITAN APOYO AÉREO, SITUACIÓN EN DESARROLLO. -6767</t>
  </si>
  <si>
    <t>D.C.C., INFORMA, NAUFRAGIO DE UNA EMBARCACIÓN PEQUEÑA, OCUPADA POR TRES PERSONAS QUE CRUZABA DE LADO A LADO DEL RIO. EL NAUFRAGIO SE PRESENTÓ, A LAS 15:30 HORAS DE HOY 12-10-13, SOBRE EL RIO UPIA, SECTOR URBANO DEL MUNICIPIO DE BARRANCA DE UPIA. NOMBRES DE LAS PERSONAS RESCATADAS: JOSÉ RICARDO GUTIERREZ DE 44 AÑOS, LUIS CARLOS DELGADO  DE 32 AÑOS Y EL DESAPARECIDO FRANKLIN RONALDO GUERRERO DE 26 AÑOS. -676</t>
  </si>
  <si>
    <t>DIA 08-10-13, POR FUERTES LLUVIAS, SE PRESENTÓ DESLIZAMIENTO DE TIERRA, EN EL BARRIO LAS MERCEDES, DEJANDO ATRAPADA A LA SEÑORA  SALONE RAMOS PALACIOS DE 75 AÑOS DE EDAD RESULTANDO HERIDA. -676</t>
  </si>
  <si>
    <t>CITEL TOLIMA REPORTAN HACIA LAS 19:27 INCENDIO FORESTAL EN LA VERDA LA MATA EL 10/10/2013 EN VERIFICACION REALIZADA INFORMAN QUE LLOVIO DURANTE ESA NOCHE Y SE APAGO EL INCENDIO,RAZON POR LA CUAL NO FUE NECESARIO DESPLAZAMIENTO DE EQUIPOS DE TRABAJO A LA ZONA, NO HUBO MAYOR AFECTACION. -674
REPORTA CDGRD DEL TOLIMA, INFORMA, INCENDIO FORESTAL,  EXTINGUIDO,  VEREDA: MATA, SE CONSUMIERON: 20 HECTÁREAS DE: VEGETACIÓN NATIVA. -676</t>
  </si>
  <si>
    <t>REPORTA VENDAVAL AFECTANDO SEGÚN INFORMACION PRELIMINAR 52 VIVIENDAS AVERIADAS EN EL CASCO URBANO EN ESTE MOMENTO EL CMGRD SE DESPLAZA AL AREA RURAL A REALIZAR EDAN, CONTINUAN EVALUANDO, APOYAN:  BOMBEROS, D.C.C Y CRUZ ROJA, SITUACIÓN EN DESARROLLO. -677</t>
  </si>
  <si>
    <t>CMGRD DE JAMUNDI, INFORMA, SE HIZO LA EVALUACION EN LA ZONA REPORTADA POR AVALANCHA, PUENTE VELEZ Y SE VERIFICO, QUE EL RIO JAMUNDI, TUVO CRECIENTE SUBITA A LA ALTURA DE PUENTE VELEZ, NO  HAY PERSONAS DESAPARECIDAS NI LESIONADAS, EN LA ZONA HIZO PRESENCIA EL CBV DE JAMUNDI, EL CMGRD Y SCOUTT DE LA CIUDAD DE CALI. -678</t>
  </si>
  <si>
    <t>CDGRD DEL TOLIMA, INFORMA, 12-10-2013, INCENDIO FORESTAL, EXTINGUIDO, VEREDA: CHICALA, PREDIO: SOLOVACA, CERCA A LOS POZOS PETROLEROS, AFECTO FALDA DE LA MONTAÑA, SIN MAYOR AFECTACIÓN, APOYARON BOMBEROS DE VENADILLO. -678</t>
  </si>
  <si>
    <t>CDGRD DEL TOLIMA, INFORMA, 12-10-2013, DESDE LAS 22:00 HORAS SE PRESENTAN FUERTES LLUVIAS, CON TORMENTA ELÉCTRICA, REPORTAN INUNDACIONES EN LOS BARRIOS: 20 DE JULIO, CLARET, YUDAILMA, BELEN,  AVENIDAD, EL HUECO, CLINICA IBAGUE, HOTEL VATICANO INGENIERO, 2 VIVIENDAS AFECTADAS EN EL BARRIO: ALAZKA APOYARON BOMBEROS. -678</t>
  </si>
  <si>
    <t>REPORTA COLAPSO ESTRUCTURAL 1 VIVIENDA DESTRUIDA EN BARRIO 20 DE JULIO Cra 6 #98-79, 1 FAMILIA, 4 PERSONAS, 1 VIVIENDA DESTRUIDA EN BARRIO LAS AMERICAS CALLE 53 # 3A14, 1 FAMILIA, 4 PERSONAS,, REPORTA CMGRD. -679</t>
  </si>
  <si>
    <t>CDGRD ING. ALIRIO ROZO REPORTA EXPLOSION POR MANIPULACION DE POLVORA HACIA LAS 20:30 HORAS EN APARTAMENTO 104 BLOQUE 8 DE CONJUNTO RESIDENCIAL FLORIDA PARQUE, HACE PRESENCIA BOMBEROS, CRUZ ROJA, PONAL, ESE SANTIAGO DE TUNJA, PONAL Y CMGRD CON EL INGENIERO JHON CARRERO QUIEN REPORTA DOS PERSONAS LESIONADAS DE GRAVEDAD TRASLADADAS A CENTRO ASISTENCIAL DONDE UNA DE ELLAS FALLECE IDENTIFICADO COMO MARCO ARLEY FAGUA ESTUDIANTE DE 9 SEMESTRE DE INGENIERIA CIVIL, INFORMA IGUALMENTE SE EVACUA POR SEGURIDAD 5 PISOS CON APROXIMADAMENTE 7 FAMILIAS, NO REALIZAN EVACUACION 3 FAMILIAS MAS, PONAL SE ENCARGA DE CUIDAR EN EL TRANSCURSO DE LA NOCHE, EN HORAS DE LA MAÑANA REALIZAN NUEVAMENTE EVALUACION DE DAÑOS. -680</t>
  </si>
  <si>
    <t>SE REGISTRO INCENDIO ESTRUCTURAL EN LA CALLE 167 POR CARRERA 48 EN UN TERCER PISO, FUERON EVACUADAS 5 PERSONAS Y 2 MASCOTAS, ATENDIO EL CUERPO DE BOMBEROS, NO LESIONADOS, FUENTE NOTICIAS CARACOL RADIO.-680</t>
  </si>
  <si>
    <t>CDGRD DE BOYACA, INFORMA,  MUNICIPIO DE COPER, LA OCURRENCIA DE VENDAVAL, EL DIA 15 SEPTIEMBRE, EN LAS VEREDAS DE TURTUR, CANTINO Y SANTA ROSA.  ESTÁN ELABORANDO LA DOCUMENTACIÓN CORRESPONDIENTE, EDAN, ACTAS, DECLARATORIA DE CALAMIDAD PÚBLICA, ETC, CON EL FIN DE OBTENER APOYO YAYUDAS DE LA UNGRD. -632</t>
  </si>
  <si>
    <t>LA NOCHE DEL 15 DE SEPTIEMBRE SE PRESENTO UN VENDAVAL QUE AFECTO A GRAN PARTE DE LA COMUNIDAD YA QUE SE AVERIARON APROXIMADAMENTE 150 VIVIENDAS, AFECTO CULTIVOS Y ARBOLES NATIVOS. VEREDAS EL TABOR, CAMPO GRANDE, MEDIA LUNA, TARPEYA, MORAY BAJO, PALO BLANCO Y MINACHAL.</t>
  </si>
  <si>
    <t>EL 06 DE SEPTIEMBRE DEL PRESENTE AÑO SE PRESENTARON FUERTES LLUVIAS  PROVOCANDO EL REBOSAMIENTO DEL NIVEL DE AGUAS DE LOS ARROYOS  TOTUMITO Y PIOJO EN EL SECTOR DE LA CALLE 8 CON CARRERA 7, BARRIO CALLE NUEVA, BARRIO EL SILENCIO , BARRIO NUEVO Y PITAL, DONDE MAS DE 10 VIVIENDAS SUFRIERON INUNDACIONES POR LA PROBLEMÁTICA GENERADA POR LA FUNCIONABILIDAD DEL PUENTE QUE SE PENSABA PONER AL SERVICIO SOBRE EL CANALIZADO ARROYO EN EL CORREGIMIENTO DE DE SAN JOSE DE SACO.
DECLARAN CALAMIDAD PUBLICA PERO NO HAY SOLICITU DE APOYO</t>
  </si>
  <si>
    <t>REPORTA DESBORDAMIENTO DEL RIO FUNDACION OCASIONA INUNDACION DE SECTORES DE SAMPUES, BUENOS AIRES Y SAMPUESITO, REPORTA LUIS BARRAZA COORD CDGRD QUE SE VA A DESPLAZAR A LA ZONA AFECTADA PARA REALIZAR EVALUACION. SITUACION EN DESARROLLO. -681</t>
  </si>
  <si>
    <t>REPORTA DESBORDAMIENTO DEL RIO FUNDACION OCASIONA INUNDACION DE 13 BARRIOS EN EL MUNICIPIO DE FUNDACION CON 800 VIVIENDAS INUNDADAS, 800 FAMILIAS DAMNIFICADAS, CON PERDIDAS DE MUEBLES Y ENSERES. SE DECLARA CALAMIDAD PUBLICA, REPORTA LUIS BARRAZA COORD CDGRD. -682</t>
  </si>
  <si>
    <t>REPORTA ACCIDENTE AEREO DE HELICOPTERO UH1N DEL EJERCITO CON 5 TRIPULANTES EN ZONA RURAL DEL MUNICIPIO, 2 DE ELLOS ESTABILIZADOS EN CENTRO ASISTENCIAL LOCAL, 3 EN DELICADO ESTADO REMITIDOS A BOGOTA, REPORTA DIRECCION NACIONAL DE BOMBEROS. -682</t>
  </si>
  <si>
    <t>REPORTA DESLIZAMIENTO EN LA CARRERA 18  # 11A-16  BARRIO LA TRINIDAD DEJANDO 2 VIVIENDAS AVERIADAS, 2 FAMILIAS, 10 PERSONAS, ATIENDE BOMBEROS, SE RECOMIENDA EVACUAR LAS VIVIENDAS AFECTADAS Y SE COMUNICA AL CMGRD IBAGUE. REPORTA CDGRD. -683</t>
  </si>
  <si>
    <t>FUERTES LLUVIAS PRESENTADAS EN LAS VEREDAS DE AGUILA, LA PUNTA, GUALI, TULCAN ARENILLO, PLACER DE LA ZONA RURAL Y ALGUNOS BARRIOS DEL CASCO URBANO, DEJARON 30 VIVIENDAS AFECTADAS EN SUS CUBIERTAS</t>
  </si>
  <si>
    <t>FUERTE VENDAVAL DESTRUYO LOS TECHOS DE 25 VIVIENDAS , INSTITUCIONES EDUCATIVAS, IGUALMENTE SE HAN PRESENTADO DERRUMBES EN LAS VIAS SECUNDARIAS Y TERCIAREIAS DEL MUNICIPIO, EN LAS VEREDAS LA LAGUNA, SAN JORGE, CARRASPOSO, LAS JUNTAS, VINO LLANO GRANDE.</t>
  </si>
  <si>
    <t>REPORTA VENDAVAL OCURRIDO EN LA NOCHE ANTERIOR DEJANDO 19 VIVIENDAS DESENTECHADAS Y 19 FAMILIAS AFECTADAS POR FUERTE VENDAVAL EN LAS VEREDAS SANTA BARBARA, BUENOS AIRES, BETULIA  Y CUMINA. REPORTA CDGRD</t>
  </si>
  <si>
    <t>SE REPORTAN 59 FAMILIAS AFECTADAS EN SUS VIVIENDAS, DEBIDO AL INTENSO VERANO Y SUS VENDAVALES Y UNA ISTITUCION EDUCATIVA.</t>
  </si>
  <si>
    <t>CDGRD REPORTA VEREDA LA RICA DE ESTE MUNICIPIO AFECTACION EN VARIOS TRAMOS DEL ACUEDUCTO POR DESLIZAMIENTO OCASIONADO POR FUERTES LLUVIAS, AFECTANDO EL SUMINISTRO DEL LIQUIDO A 32 FAMILIAS. VEREDAS ALTO DEL OSO,PARAISO, TOPACOI, EL REAL, LA PLAYA, CLARAS, MOPNDECO, EL REFUGIO, TRES ESQUINAS, PIEDRA NEGRA, CUMBA, EL MANGO, BUENA VISTA, SANTA FILOMENA, LA INSULA, LA RICA, EL HOYONEGRO, RESULTADO AFECTACION; 85 VIVIENDAS AVERIDAS Y 16 VIVIENDAS DESTRUIDAS.</t>
  </si>
  <si>
    <t>FUERTES LLUVIAS, JUNTO CON VENDAVALES DAÑARON LOS TECHOS DE LAS VIVIENDAS UBICADAS EN LAS VEREDAS AGUADE DIOS, SAN CARLOS, LLANADAS, YUMBA, EL LEMBO, LA GRACIELA, LA MEJORA, Y AREA URBANA, LAS AFECTACIONES SE PRESENTAN EN 27 VIVIENDAS.</t>
  </si>
  <si>
    <t>REPORTAN DEL CMGRD DE UNA VIVIENDA QUEDO DESTECHADA EN UNA GRAN PARTE DEBIDO AL VENDAVAL PRESENTADO EN LAS HORAS DE LA TARDE DEL DIA DE AYER QUEDANDO UNA FAMILIA AFECTADA DE IGUAL MANERA LAS VIAS HACIA LA VEREDA DEL BOSQUE SE ENCUENTRA CON VARIOS DESLIZAMIENJTOS Y PERDIDA DE BANCA DISTINTOS PUNTOS.  AFECTADAS VEREDAS; GUAMAL, PAJONALES, LA ESTRELLA, REQUINTADEROS, EL RECODO, CAJONES, COMO TAMBIEN LA PARTE URBANA DEL MUNICIPIO-612</t>
  </si>
  <si>
    <t>CONATO DE INCENDIO FORESTAL EN PREDIO DONDE SE ENCUENTRA LAS INICIALES DEL CDM DIAGONAL AL PUENTE PEATONAL DE VIADUCTO DE LA CIUDAD DE BUCARAMANGA, EN DONDE SE PRESENTA LA CONFLAGRACIÓN DE ARBUSTOS, PASTIZALES Y MALEZA QUEMÁNDOSE APROXIMADAMENTE 100 MTS2. SIENDO ATENDIDO Y CONTROLADO POR EL CUERPO DE BOMBEROS DE BUCARAMANGA SIN AFECTACIÓN DE ESTRUCTURAS O VIDAS HUMANAS. -684</t>
  </si>
  <si>
    <t>CONATO DE INCENDIO FORESTAL EN PREDIO AL LADO DEL BARRIO SAN JUAN DE FLORIDABLANCA, EN DONDE SE PRESENTA LA CONFLAGRACIÓN DE ARBUSTOS, PASTIZALES Y MALEZA QUEMÁNDOSE APROXIMADAMENTE 400 MTS2. SIENDO ATENDIDO Y CONTROLADO POR EL CUERPO DE BOMBEROS DE FLORIDABLANCA SIN AFECTACIÓN DE ESTRUCTURAS O VIDAS HUMANAS. -684</t>
  </si>
  <si>
    <t>INFORMA DEL MUNICIPIO DE SOCORRO, QUE DEBIDO A LA LLUVIAS QUE SE PRESENTA, SE DESBORDARON DOS QUEBRADAS DEL MUNICIPIO DE OIBA, LA QUEBRADA GUAYACAL DONDE INUNDO EN EL KILÓMETRO 65 + 500 VÍA OIBA-BARBOSA DONDE SE ENCUENTRA CERRADA LA VÍA, Y EN LA VEREDA SANTAMARÍA , LA QUEBRADA CON EL MISMO NOMBRE DE LA VEREDA SE DESBORDO DONDE SE VIO AFECTADA UNA FAMILIA, ASÍ HACIENDO PRESENCIA DEL CUERPO DE BOMBEROS DEL MUNICIPIO DE SOCORRO PARA VERIFICAR LA SITUACIÓN DE LA FAMILIA. -684</t>
  </si>
  <si>
    <t>INFORMA DGRD TOLIMA, LLAMADA DE LA SRA MELBA DUCUARA , POR INUNDACION EN EL BARRIO SANTA ANA, CRA 13 NO 11A-31 SE DA REPORTE A BOMBEROS GUAMO, QUIENES ATIENDEN PRIMERO INUNDACION DE LA PLAZA DE MERCADO Y SIGUEN DESPUES CON EL BARRIO SANTA ANA. Y EL BARRIO LIBERTADOR SECTOR EL PELADERO.ESTA SITUACION SE PRESENTA POR LAS LLUVIAS Y EL COLAPSO DEL ALCANTARILLADO. -684</t>
  </si>
  <si>
    <t>SE PRESENTO UN INCENDIO ESTRUCTURAL EN LA CIUDAD DE POPAYAN EN LA PLAZA DE MERCADO AFECTANDO A VARIOS LOCALES COMERCIALES, HASTA EL MOMENTO E ESTA REALIZANDO EDAN. -685</t>
  </si>
  <si>
    <t>EN LAS ULTIMAS HORAS SE PRESENTO UN FUERTE AGUACERO AFECTADO A VARIAS VIVINDAS EN EL MUNICIPIO DE BALBOA , EL CMGRD HAR REPORTADO 40 VIVIENDAS AFECTADAS POR LAS LLUVIAS, SE ESPERA MAS DATOS DEL EDAN. -685</t>
  </si>
  <si>
    <t>REPORTA EL COOD DEL CDGRD DE BOLIVAR DR ERICK NIJINSKY QUE EN LA ULTIMAS HORAS SE HAN PRESENTADO AFECTACION POR INUNDACIONES, RUPTURA DE DIQUES ,EN ESTE MOMENTO SE ESTA REALIZANDO EDAN POR PARTE DWE LOS CMGRD. -685</t>
  </si>
  <si>
    <t>LA VÍA SEVILLA - LA URIBE EN EL SECTOR DE LA CRISTALINASE PRESENTA UN DESLIZAMIENTO DE TIERRA EN EL SECTOR DE LA CRISTALINAEL MISMO SITIO QUE FUE ATENDIDO EN EL MES DE ENERO DE 2013. -685</t>
  </si>
  <si>
    <t>REPORTA EL CDGRD QUE SE PRESENTO UN IF EL DIA 15 DE OCTUBRE DONDE SE AFECTARON 14 FAMILIAS. SE ESPERA DATOS DE LA AFECTACION REAL CON LOS SOPORTES CORRESPONDIENTES. -685</t>
  </si>
  <si>
    <t>REPORTA EL CDGRD QUE SE PRESENTO UN VENDAVAL  EL DIA 15 DE OCTUBRE DONDE SE AFECTARON 15 FAMILIAS. SE ESPERA DATOS DE LA AFECTACION REAL CON LOS SOPORTES CORRESPONDIENTES. -685</t>
  </si>
  <si>
    <t>REPORTE PRELIMINAR DEL COORDINADOR DEL CMGRD DE TIMBIQUI CAUCA, INFORMA TELEFÓNICAMENTE, DE 7 VIVIENDAS AFECTADAS INCENDIO ESTRUCTURAL. -685</t>
  </si>
  <si>
    <t>REPORTE PRELIMINAR DEL COORDINADOR DEL CMGRD DE TIMBIQUI CAUCA, INFORMA TELEFÓNICAMENTE, DE  2 VIVIENDAS AFECTADAS POR DESLIZAMIENTO. -685</t>
  </si>
  <si>
    <t>REPORTA FUERTES LLUVIAS POR MÁS DE DOS HORAS LO QUE OCASIONO INUNDACION DEJANDO 1 PERSONA FALLECIDA Y 1 PERSONA LESIONADA, LUEGO DE QUE DOS VEHÍCULOS FUERAN ARRASTRADOS POR UN ARROYO EN EL SUROCCIDENTE DE LA CIUDAD, EN EL BARRIO EL SOCORRO, EN EL SECTOR CONOCIDO COMO FOCO ROJO, EN DONDE LAS FUERTES CORRIENTES ARRASTRARON A UN TAXI, DE PLACAS UAQ-217 DE CARTAGENA, EN EL QUE SE TRANSPORTABA EL CONDUCTOR CON UN PASAJERO.EL COMANDANTE DEL CUERPO DE BOMBEROS DE CARTAGENA, ANÍBAL GUERRERO, CONFIRMÓ QUE EL CONDUCTOR QUEDÓ ATRAPADO DENTRO DEL VEHÍCULO, MIENTRAS QUE EL PASAJERO LOGRÓ SER RESCATADO POR LA COMUNIDAD. REPORTA CMGRD. -686</t>
  </si>
  <si>
    <t>SOBRE LAS 07:40 P.M. DEL DÍA 04 DE MAYO DE 2013, SE PRESENTÓ UNA FUERTE PRECIPITACIÓN SOBRE LA CIUDAD DE SAN JOSÉ DE CÚCUTA QUE DURO EN PROMEDIO HASTA LAS PRIMERAS DEL AMANECER DEL DÍA 05-05-2013; GENERANDO LA INUNDACIÓN DE VÍAS, SÓTANOS DE PARQUEADEROS, DESBORDAMIENTO CANALES DE AGUAS LLUVIAS Y CAÑOS DE AGUAS RESIDUALES CON REPORTE DE AFECTACIÓN HASTA EL AHORA ASÍ: VIVIENDAS INUNDADAS 26, PERSONAS AFECTADAS 129, PERSONAS HERIDAS 1, VIVIENDAS DESTRUIDAS 3, VIVIENDAS AVERIADAS 19, VÍAS AFECTADAS 6, PUENTES PEATONALES 1, ACUEDUCTO 1, ALCANTARILLADO 1, INSTITUCIONES EDUCATIVAS 2, BARRIOS EN MONITOREO 37, REPORTA CMDGR.
APOYO DEL FNGRD EN OCTUBRE 17 DE 2013 MEDIANTE SUBSIDIO DE ARRIENDO TEMPORAL PARA 159 FAMILIAS POR TRES MESES A RAZON DE $200.000 MENSUALES</t>
  </si>
  <si>
    <t>CDGRD DE PUTUMAYO, INFORMA, SE PRESENTÓ DESLIZAMIENTO, EN LA RIBERA DE RÍO PUTUMAYO, 5 VIVIENDAS DESTRUIDAS, 6 FAMILIAS AFECTADAS, SE DECLARA, SITUACIÓN DE CALAMIDAD PÚBLICA, PARA PODER ATENDER LAS FAMILIAS AFECTADAS.-463
APOYO DEL FNGRD MEDIANTE SUBSIDIO DE ARRIENDO TEMPORAL PARA 6 FAMILIAS POR TRES MESES A RAZON DE 3 FAMILIAS POR $200.000 MENSUALES Y 3 FAMILIAS POR $250.000 MENSUALES</t>
  </si>
  <si>
    <t>APOYO DEL FNGRD MEDIANTE SUBSIDIO DE ARRIENDO TEMPORAL A RAIZ DEL TORNADO OCURRIDO EL 1 DE JUNIO DE 2012 PARA 80 FAMILIAS POR TRES MESES A RAZON DE $200.000 MENSUALES</t>
  </si>
  <si>
    <t>CMGRD KATERINE PUERTO REPORTA INUNDACION EN EL MUNICIPIO DE URIBIA, BARRIOS SIMON BOLIVAR, PATIO BONITO, SAN JOSE LAS MERCEDES, LA FLORIDA, APROXIMADAMENTE 40 VIVIENDAS AFECTADAS, APOYAN BOMBEROS Y CRUZ ROJA, SE REALIZA ENLACE DIRECTO CON CMGRD DADO QUE NO SE LOGRA COMUNICACION CON CDGRD CELULARESE N BUZON DE VOZ, IGUALMENTE SE RECIBE REGISTRO FOTOGRAFICO VIA E-MAIL. -639
LOS DIAS 28 Y 29 SE PRESENTARON TORMENTAS ELECTRICAS LAS CUALES EFECTUARON DAÑOS EN VIVIENDAS, VEGETACIÓN, ENSERES Y PERDIDA DFE ANIMALES (CRIA DE POLLOS Y CHIVOS). SE PRESENTO EN LOS CORREGIMIENTOS DE; BAHIA HONDITA, CARDON, CARRIZAL, PIAZAPA, KEPISCHON, JUYARANSEN CABO DE LA VELA, COMUNIDADES ALEDAÑAS - ZONA URBANA BARRIOS, SAN JOSE, FONSECA SOSI, ETNIA WAYUU, FUERZA WAYUU, SIMON BOLIVAR, VILLA CIELO.</t>
  </si>
  <si>
    <r>
      <t xml:space="preserve">APOYO DEL FNGRD PARA DESARROLAR ACCIONES PARA ATENDER LAS AFECTACIONES PRODUCIDAS POR DESABASTECIMIENTO DE AGUA PARA EL CONSUMO HUMANO PRODUCTO DE LA TEMPORADA SECA DECLARADA EN CALAMIDAD PUBLICA MEDIANTE RESOLUCION 047 DEL 25 DE FEBRERO DE 2013 $1,500,000,000
</t>
    </r>
    <r>
      <rPr>
        <sz val="9"/>
        <color theme="4" tint="-0.249977111117893"/>
        <rFont val="Arial"/>
        <family val="2"/>
      </rPr>
      <t>VALOR DE OTROS CORRESPONDE A CONVENIO CON PNUD POR VALOR TOTAL DE $2,410,081,609 DE LOS CUALES $848,000,000 CORRESPONDEN A APORTES DEL FNGRD PARA LA CONSTRUCCION DE 6 SISTEMAS DESALINIZADORES Y $155,000,000 PARA UN MODELO DE ADAPTACION A CAMBIO CLIMATICO APROVECHAMIENTO DEL AGUA EN EL MUNICIPIO DE URIBIA</t>
    </r>
    <r>
      <rPr>
        <sz val="9"/>
        <rFont val="Arial"/>
        <family val="2"/>
      </rPr>
      <t xml:space="preserve">
</t>
    </r>
    <r>
      <rPr>
        <sz val="9"/>
        <color rgb="FFFF0000"/>
        <rFont val="Arial"/>
        <family val="2"/>
      </rPr>
      <t xml:space="preserve">VALOR DE OTROS $732,900,000 PARA ELABORACION DE CONVENIO FNGRD - CRC SECCIONAL LA GUAJIRA PARA CAPACITACION, SENSIBILIZACION, ENTREGA DE TANQUES, FILTROS, AHE, 
</t>
    </r>
    <r>
      <rPr>
        <sz val="9"/>
        <color rgb="FF00B050"/>
        <rFont val="Arial"/>
        <family val="2"/>
      </rPr>
      <t>(AHE Y TANQUES PARA 900 FAMILIAS $546,088,212. CALAMIDAD PUBLICA 148)</t>
    </r>
  </si>
  <si>
    <t>13-1074</t>
  </si>
  <si>
    <t>13-1084</t>
  </si>
  <si>
    <t>CDGRD DE ANTIOQUIA Y MINISTERIO DE SALUD Y PROTECCIÓN SOCIAL, INFORMAN, ACCIDENTE, ENTRE UNA VOLQUETA Y UN BUS,  OCURRIDO EN LA MAÑANA DE ESTE JUEVES, ENTRE RIOCLARO Y DORADAL EN LA VÍA MEDELLÍN- BOGOTÁ DEJÓ UNA PERSONA MUERTA Y DOCE HERIDOS, EL ACCIDENTE OCURRIÓ EN EL TRAMO EL SANTUARIO- CAÑO ALEGRE, EN EL KILÓMETRO 100+170 EN EL SECTOR DE LOS COLORES, CUANDO EL CONDUCTOR DE LA VOLQUETA INVADE UN CARRIL AL TRATAR DE ESQUIVAR UN ÁRBOL QUE HABÍA EN LA VÍA Y SE ACCIDENTA CONTRA UNA BUSETA DE SERVICIO PÚBLICO. CONFIRMÓ EL DAPARD. -688</t>
  </si>
  <si>
    <t>CDGRD DEL ATLÁNTICO, INFORMA SE PRESENTARON INUNDACIONES POR DESBORDAMIENTO DE ARROYOS EL DÍA 16-10-2013, BARRIOS: KENNEDY ABAJO, PALMAS, CLARITAS, KENNEDY ARRIBA. AFECTANDO: 60 FAMILIAS. -688</t>
  </si>
  <si>
    <t>CDGRD DEL ATLÁNTICO, INFORMA SE PRESENTARON INUNDACIONES POR DESBORDAMIENTO DE ARROYOS EL DÍA 16-10-2013, AFECTANDO: 8 FAMILIAS. -688</t>
  </si>
  <si>
    <t>CMGRD DE ARMENIA, INFORMA , SE PRESENTÓ DESLIZAMIENTO, SECTOR: CURVA DEL DIABLO, EL CUAL AFECTO, UNO DE LOS CARRILES DE LA VÍA ARMENIA- BOGOTÁ, COLAPSO DE UNA RECAMARA EN EL BARRIO: PORVENIR, DEBIDO AL MAL MANEJO DE LAS AGUAS RESIDUALES, SE PRESENTÓ AGRIETAMIENTO DE 1 VIVIENDA EN EL BARRIO: LOS QUINDIOS, OMGERD, APOYAN A FAMILIAS AFECTADAS. -688</t>
  </si>
  <si>
    <t>REPORTA SECCIONAL BOYACÁ,  QUE EN EL MUNICIPIO DE PUERTO BOYACÁ, CORREGIMIENTOS KM 1/2, KM 2/2, Y KM 11, SE PRESENTARON FUERTES LLUVIAS LO QUE OCASIONÓ EL DESBORDAMIENTO DE LA QUEBRADA LA VELÁZQUEZ, LO QUE OCASIONÓ UNA AVALANCHA E INUNDACIÓN AFECTANDO LOS CORREGIMIENTOS ANTES MENCIONADOS. -688</t>
  </si>
  <si>
    <t>REPORTA BOMBEROS FRESNO ATENCION DE ACCIDENTE POR COLAPSAR PUENTE PEATONAL DE MADERA EN  EL KM 1 VIA FRESNO-MANIZALES, SECTOR LA ESTRELLA,RESULTANDO HERIDAS 3 PERSONAS ASI: LINTON OCAMPO 30 AÑOS DE EDAD, PRESENTO TRAUMA CERRADO DE ABDOMEN, OSCAR QUINTERO SANDOVAL, 55 AÑOS , CON FRACTURA ABIERTA DE TOBILLO IZQUIERDO, SORANY RUIZ DE 45 AÑOS DE EDAD, TRAUMA DE CADERA, TODOS FUERON TRASLADADOS AL HOSPITAL SAN VICENTE DE PAUL, Y LUEGO REMITIDOS AL HOSPITAL FEDERICO LLERAS ACOSTA DE LA CIUDAD DE IBAGUE.HECHO SUCEDIDO A LAS 11 Y 45 AM, INFORMA CDGRD Y CITEL TOLIMA. -689</t>
  </si>
  <si>
    <t>EN LA COMUNIDAD INDIGENA DEL CARDAN CAE UN RAYO  EL CUAL  DEJA COMO SALDO A 3 PERSONAS FALLECIDAS Y UNA VIVIENDA AVERIADA, SE ESPERA MAS INFORMACION POR PARTE DEL LAS AUTORIDADES CUANDO REALICEN EL  LEVANTAMIENTO. -690</t>
  </si>
  <si>
    <t>SE PRESENTA  FURTES LLUVIAS EN LA CIUDAD DE RIOHACHA AFECTANDO AL BARRIO VILLA FATIMA. EL CMGRD ESTA REALIZANDO EDAN. -690</t>
  </si>
  <si>
    <t>INFORMA EL CDGRD DE LA GUAJIRA, QUE SE PRESENTO  UN FUERTE AGUACERO  EN HORAS DE LA MADRUGADA  EN MAICAO DEJANDO AFECTADA LA COMUNIDAD DE  4 VIENTOS  POR UN VENDAVAL, EN ESTE MOMENTO SE REALIZA EDAN. -690</t>
  </si>
  <si>
    <t>13-1083</t>
  </si>
  <si>
    <r>
      <rPr>
        <sz val="9"/>
        <color rgb="FFFF0000"/>
        <rFont val="Arial"/>
        <family val="2"/>
      </rPr>
      <t>SUBSIDIO DE ARRIENDO PARA 1164 FAMILIAS AFECTADAS POR REMOCION EN MASA EN EL BARRIO SAN FRANCISCO EN EL AÑO 2011 A RAZON DE $200,000 POR TRES MESES</t>
    </r>
    <r>
      <rPr>
        <sz val="9"/>
        <rFont val="Arial"/>
        <family val="2"/>
      </rPr>
      <t xml:space="preserve">
</t>
    </r>
    <r>
      <rPr>
        <sz val="9"/>
        <color theme="8" tint="-0.249977111117893"/>
        <rFont val="Arial"/>
        <family val="2"/>
      </rPr>
      <t>05-06-2013 AOYO CON SUBSIDIO DE ARRIENDO PARA 13 FAMILIAS DURANTE TRES MESES A RAZON DE $200.000 MENSUALES.</t>
    </r>
    <r>
      <rPr>
        <sz val="9"/>
        <rFont val="Arial"/>
        <family val="2"/>
      </rPr>
      <t xml:space="preserve">
</t>
    </r>
    <r>
      <rPr>
        <sz val="9"/>
        <color theme="9" tint="-0.249977111117893"/>
        <rFont val="Arial"/>
        <family val="2"/>
      </rPr>
      <t>05-06-2013 APOYO CON SUBSIDIO DE ARRIENDO TEMPORAL PARA 59 FAMILIAS POR TRES MESES A RAZON DE $200.000 MENSUAL.</t>
    </r>
    <r>
      <rPr>
        <sz val="9"/>
        <rFont val="Arial"/>
        <family val="2"/>
      </rPr>
      <t xml:space="preserve">
</t>
    </r>
    <r>
      <rPr>
        <sz val="9"/>
        <color theme="6" tint="-0.249977111117893"/>
        <rFont val="Arial"/>
        <family val="2"/>
      </rPr>
      <t xml:space="preserve">16-07-2013 APOYO CON SUBSIDIO DE ARRIENDO TYEMPORAL BARRIO SANFRANCISCO PARA 540 FAMILIAS A RAZON DE $200.000 POR TRES MESES
</t>
    </r>
    <r>
      <rPr>
        <sz val="9"/>
        <color theme="7" tint="-0.249977111117893"/>
        <rFont val="Arial"/>
        <family val="2"/>
      </rPr>
      <t>18-07-2013 SUBSIDIO DE ARRIENDO TEMPORAL PÁRA 700 FAMILIAS A RAZON DE $200.000 MENSUALES DURANTE TRES MESES
1</t>
    </r>
    <r>
      <rPr>
        <sz val="9"/>
        <color theme="9" tint="-0.499984740745262"/>
        <rFont val="Arial"/>
        <family val="2"/>
      </rPr>
      <t>8-10-2013 SUBSIDIO DE ARRIENDO TEMPORAL PARA 1002 FAMILIAS AFECTADAS EN EL BARRIO SAN FRANCISCO POR TRES MESES A RAZON DE $200.000 MENSUALES</t>
    </r>
  </si>
  <si>
    <t>APOYO DEL FONDO NACIONAL DE GESTION DEL RIESGO DE DESASTRES</t>
  </si>
  <si>
    <r>
      <t xml:space="preserve">19/10/2013 PARA LA MINA EN </t>
    </r>
    <r>
      <rPr>
        <b/>
        <sz val="9"/>
        <color indexed="8"/>
        <rFont val="Arial"/>
        <family val="2"/>
      </rPr>
      <t xml:space="preserve">REMEDIOS ANTIOQUIA </t>
    </r>
    <r>
      <rPr>
        <sz val="9"/>
        <color indexed="8"/>
        <rFont val="Arial"/>
        <family val="2"/>
      </rPr>
      <t>INFORMA SANDRA CALVO CASO CERRADO, YA FUERON RESCATADOS LOS CUERPOS DE LAS 3 PERSONAS DESAPARECIDAS, EN LA OPERACIÓN PARTICIPAN BINOMIOS KSAR DE BOMBEROS SABANETA, SALVAMENTO MINERO, CRUZ ROJA SEGOVIA, SE SOLICITA CONFIRMACION DADO QUE SI SOLO FUERON ENCONTRADAS PERO NO HAN SIDO EXTRAIDAS NO SE PUEDE CERRAR EL CASO YA QUE CONTINUA PERSONAL EN LABORES, INDICA QUE YA ESTAN EXTRAIDAS DEL SITIO, 09:42 CDGRD INFORMA QUE SE TERMINA RESCATE DE LOS CUERPOS DE LAS 2 PERSONAS FALTANTES EN LA MINA. D.L.M. -693</t>
    </r>
  </si>
  <si>
    <t>REPORTE DE FUERTE VENDAVAL EN EL MUNICIPIO DE VALLEDUPAR OCTUBRE 18 DE 2013, EDIFICIO CAJA AGRARIA: CAÍDA DE UNA ANTENA DE COMUNICACIÓN, ESTABLECIMIENTO: ZONA DEL CENTRO CAYÓ EL TECHO, BARRIO MAREIGUA: EN LA ENTRADA DE LA AVENIDA 44 ÁRBOLES CAÍDOS, LAVADERO LOS MANGUITOS: CAYO VALLA PUBLICITARIA AVENIDA SIMÓN BOLÍVAR: ARBOLES CAÍDOS EN LA VÍA INSTALACIONES DE LA GOBERNACIÓN DEL CESAR: DOMO DEL TECHO SE AFECTÓ, BARRIÓ LAS FLORES: CAÍDA DE ÁRBOL AFECTO UN VEHÍCULO CARRERA 4 CON 21: LA VIVIENDA COLAPSO UNA PARED AVENIDA, LA POPA: CAÍDA DE POSTES ELÉCTRICOS CARRERA  12 CON CRA 9: CAÍDA DE ÁRBOL AFECTO UNA VIVIENDA AVENIDA CIRCUNVALAR: COLEGIO BILINGÜES SE CAYÓ UN ÁRBOL OBSTACULIZANDO LA VÍA, POR LA AVENIDA FUNDACIÓN: EPS SALUD TOTAL CAYÓ UN ÁRBOL OBSTACULIZANDO LA VÍA, CALLE 17 CAÍDA REDES ELÉCTRICAS, D.L.M. -693</t>
  </si>
  <si>
    <t>19/10/2013 CDGRD REPORTA INCENDIO ESTRUCTURAL REGISTRADO EN HORAS DE LA NOCHE EN EL MUNICIPIO DE ALTO BAUDO, AFECTACION EN 13 VIVIENDAS CON PERDIDA TOTAL, ATENDIO LA MISMA COMUNIDAD, D.L.M. -693</t>
  </si>
  <si>
    <t>CDGRD INFORMA VIA E-MAIL SE PRESENTÓ EN EL MUNICIPIO DE SIMACOTA, EN HORAS DE LA MADRUGADA UN  FUERTE AGUACERO, QUE OCASIONO LA CAÍDA DEL MURO DE LA PARTE TRASERA DEL COLEGIO INTEGRADO GENERAL PABLO ANTONIO OBANDO, UBICADO EN LA CALLE 2 ENTRE CARRERA 2 Y3 DEL BARRIO ALTICO, NO SE PRESENTÓ PÉRDIDAS HUMANAS. 19-10-2013.  03:00 HORAS. D.L.M. -693</t>
  </si>
  <si>
    <t>CDGRD INFORMA VIA E-MAIL EN EL KILÓMETRO 3 VÍAS MUNICIPIO DE SIMACOTA EN LA VEREDA EL SALTO, SE PRESENTÓ DESLIZAMIENTO DE UN BARRANCO Y CAÍDA DE ÁRBOLES. A  50 METROS DEL BALNEARIO SANTA ROSA, LA QUEBRADA DEL MISMO NOMBRE DESVIÓ SU CAUCE SOCAVANDO EL TERRENO Y OCASIONADO EL AGRIETAMIENTO DE LA VÍA SECUNDARIA. SE REUNIÓ EL COMITÉ DE GESTIÓN DEL RIESGO DEL MUNICIPIO PARA REALIZAR UN CENSO A VERIFICAR QUE MÁS NOVEDADES SE PRESENTARON EN LA MADRUGADA 19-10-2013.  03:00 HORAS. D.L.M . -693</t>
  </si>
  <si>
    <t>CDGRD REPORTA VENDAVAL ACOMPAÑADO DE GRANIZO EN EL MUNICIPIO DE CAPARRAPI OCURRIDO EL DIA 18/10/2013 AFECTANDO CULTIVOS DE MAIZ, PLATANO Y CAÑA, IGUALMENTE EN 3 VEREDAS DEL MUNICIPIO QUE SON DISTANTES SE ENCUETRA COMITIVA REALIZANDO EDAN POR LO CUAL ENTREGARAN DATOS EL DIA DE MAÑANA, INFORMACION RECIBIDA VIA CELULAR HACIA LAS 18:47 DEL 19/10/2013, D.L.M. -693</t>
  </si>
  <si>
    <t>BOGOTA, D.C. SE REGISTRA CAIDA DE MENOR EN ALCANTARILLA EN LA CRA 10 CON JIMENEZ, PERSONAL DE BOMBEROS Y DEMAS ENTIDADES DEL SISTEMA DISTRITAL REALIZAN BUSQUEDA, LA MENOR DE 2 AÑOS ES ENCONTRADA POR LOS ORGANISMOS DE SOCORRO SIN SIGNOS VITALES. -693</t>
  </si>
  <si>
    <t>CDGRD DE TOLIMA Y CITEL INFORMAN: ALCALDIA REPORTA AFECTACION DE 65 VIVIENDAS, POR INUNDACIONES EN: LOS BARRIOS VERSALLES, BALASTRERA VILLA TERESA 1A ETAPA Y VEREDA PLAYA VERDE, CAIDA DE 25 ARBOLES EN EL CRUCE DE PALOBAYO  CON PERDIDA DE ENSERES. D.L.M. -693</t>
  </si>
  <si>
    <t>19/10/2013 EL SECRETARIO DE LA SAGER REPORTA AFECTACION EN VARIAS VEREDAS DEL MUNICIPIO DE ESPINAL POR VENDAVAL COMO PASOANCHO, SUCRE Y DINDALITO COMO TAMBIEN EL CORREGIMIENTO DE CHICORAL POR UN FUERTE VENDAVAL LA NOCHE ANTERIOR LA CUAL CAUSO CAIDA DE ARBOLES SOBRE REDES Y VIVIENDAS, SE SOLICITAD APOYO A BOMBEROS VOLUNTARIOS, DC, CMGRD Y SAGER EN EL DESPEJE DE VIA Y CENSOS  A LAS FAMILIAS AFECTADAS A ESPERA DEL REPORTE FINAL, REPORTA CITEL TOLIMA, D.L.M. -694</t>
  </si>
  <si>
    <t>19/10/2013 CITEL TOLIMA INFORMA VENDAVAL CAUSA DESTECHAMIENTO DE VIVIENDAS EN EL BARRIO GRANADA PARTE ALTA CALLE 28 ENTRANDO POR SOL Y LUNA, SOLICITAN APOYO CON COLCHONETAS Y FRAZADAS YA QUE MUEBLES Y ENSERES SE MOJARON, SE LLAMA ING. FELIX SALGADO (CMGRD) QUIEN INFORMA NO TENER AYUDAS, PIDE QUE SE LE SOLICITE ESTAS AYUDAS A CRUZ ROJA, POR REPORTE DE BOMBEROS SE TIENE QUE SON 3 VIVIENDAS AFECTADAS APROXIMADAMENTE, CMGRD NO BRINDA MAS DATOS AUN, D.L.M. -694</t>
  </si>
  <si>
    <t>INFORMA POLICÍA DE CARRETERA QUE EN EL KILÓMETRO 1 VÍA QUE CONDUCE BARICHARA AL MUNICIPIO DE GUANE SE ENCUENTRA CERRADA TOTALMENTE POR UN DESLIZAMIENTO DE TIERRA , HASTA EL DÍA DE HOY , LA ALCALDÍA ENVIARA UNA MÁQUINA PARA ABRIR LA VÍA ,ES DE ANOTAR QUE NO SE PRESENTÓ PÉRDIDAS DE VIDAS HUMANAS NI DAÑOS MATERIALES. -695</t>
  </si>
  <si>
    <t>EN EL DIA DE AYER SE PRESENTO UN VENDAVAL EN LAS VEREDAS LA VIRGINIA Y OLLA GRANDE DONDE DESENTECHO 3 CASA DAÑO ENSERES EN EL DIA DE MAÑANA SE PASARIAN EL REPORTE COMPLETO. -695</t>
  </si>
  <si>
    <t>EL CDGRD INFORMA  DE UN VENDAVAL QUE SE PRESENTÓ EL DIA DE AYER EN EL CASCO URBANO DE EL BORDO , MUNICIPIO DEL PARIA, BARRIOS PRADOS DEL NORTE Y LA TEJA , 49 VIVIENDAS AFECTADAS HASTA EL MOMENTO. -695</t>
  </si>
  <si>
    <t>EL CDGRD INFORMA  DE UN VENDAVAL QUE SE PRESENTÓ EL DIA DE AYER EN LAS VEREDAS LAS HUACAS DEL MUNICIPIO DE TIMBIO 3 VIVIENDAS AFECTADAS. -695</t>
  </si>
  <si>
    <t>UN INCENDIO SE REGISTRÓ EN UNA PANADERÍA UBICADA EN EL BARRIO LA CAMPIÑA, ATENDIOTRES MAQUINAS DEL CUERPO DE BOMBEROS SOLO DEJÓ PÉRDIDAS MATERIALESUNA  MUJER, DE 30 AÑOS DE EDAD, ALCANZÓ A INHALAR HUMO PERO AFORTUNADAMENTE NO SE AFECTÓ SU SISTEMA RESPIRATORIO Y SE ENCUENTRA EN BUEN ESTADO DE SALUD. -696</t>
  </si>
  <si>
    <t>EL DIA 20 DE OCTUBRE DE 2013,   19 VIVIENDAS RESULTARON AFECTADAS POR VENDAVAL QUE SE PRESENTO EN HORAS DE LA TARDE SEGÚN EL BALANCE DEL CUERPO DE BOMBEROS.
LOS SECTORES CON MAS AFECTACION FUERON NACEDEROS, MATECAÑA Y LA LIBERTAD, DONDE 11 VIVIENDAS FUERON AFECTADAS, TAMBIEN SE REPORTARON 4 DESLIZAMIENTOS, DOS DE ELLOS  EN LA VÍA LA ROMELIA-EL POLLO, Y DOS MÁS EN LA VÍA PEREIRA-COMBIA EN EL SECTOR DE TURÍN. NO SE REPORTÓ NINGUNA PERSONA LESIONADA D.S. -697</t>
  </si>
  <si>
    <t>EL DIA 19 DE OCTUBRE DE 2013,  RESULTARON AFECTADAS 56  VIVIENDAS EN EL CORREGIMIENTO DE IRRA  RISARALDA POR VENDAVAL RESULTANDO AFECTADAS LAS INSTALACIONS DEL CUERPO DE BOMBEROS Y EL COLEGIO D.S. -697</t>
  </si>
  <si>
    <t>EL DIA 20 DE OCTUBRE DE 2013 SE PRESENTO INCENDIO ESTRUCTURAL EN EL SEGUNDO PISO DONDE FUNCIONABA UN  GIMNASIO  CON PERDIDAS TOTALES  DE MAQUINAS Y ELEMENTOS.  TECHO A COLAPSAR , BOMBEROS INFORMAN QUE TENDRAN QUE  DERRIBAR  LA ESTRUCTURA  D.S. -697</t>
  </si>
  <si>
    <t>EL DIA 20 DE OCTUBRE DE 2013,  RESULTARON AFECTADAS POR VENDAVAL 4 VIVIENDAS Y  26 PERSONAS EN EL MUNICIPIO DE SANTIAGO DE TOLU SUCRE  DE ACUERDO AL CENSO REALIZADO POR DEFENSA CIVIL  Y BOMBEROS D.S. -697</t>
  </si>
  <si>
    <t>SE PRESENTO UN ACCIDENTE EN LA CARRETERA ATACO - PLANADAS KILOMETRO 65+45 SE ENCONTRABAN UNOS OBREROS EN LA VIA  Y SE DERRUMBO UNA ROCA CAUSANDOLE LA MUERTE AL SEÑOR NIXSON ANDRES FERRERA BARRIOS, IDENTIFICADO CON CEDULA 1.109.414.288 AL SER GOLPEADO EN SU CABEZA, EL TRABAJADOR DE LA OBRA PERTENECIA A LA EMPRESA CONTECHA S.A REPORTA CITEL TOLIMA. D.L.M. -698</t>
  </si>
  <si>
    <t>CDGRD REPORTA SE PRESENTO INCENDIO FORESTAL EN BUCARAMANGA SITIO CHIMITA, AFECTADAS 2 HECTREAS DE MALEZA, NO LESIONADOS. D.L.M. -698</t>
  </si>
  <si>
    <t>JIMMY MUÑOZ DEL CMGRD DE CACHIPAY, REPORTA VENDAVAL OCURRIDO EN LA NOCHE DEL 01/10/13, EN EL CUAL RESULTARON VARIAS VIVIENDAS Y PERSONAS AFECTADAS. ATIENDE CMGRD QUIENES ADELANTANDO CENSO DE AFECTACIONES Y NECESIDADES INFORMA MEDIANTE CORREO ELECTRÓNICO DE FECHA 05/10/13 REPORTA QUE RESULTARON 7 FAMILIAS AFECTADAS CON 14 PERSONAS, LA CASA DE LA CULTURA Y EL KIOSCO DE LA PLAZA DE MERCADO CON PÉRDIDAS EN TEJADOS Y ALGUNOS INMUEBLES, SE ACTUALIZA INFORMACION 21/10/2013 D.L.M. -698</t>
  </si>
  <si>
    <t>LUIS HERNANDO ROJAS LA TORRE ALCALDE DE LA PALMA, REPORTA  VENDAVAL ACOMPAÑADO DE FUERTES LLUVIAS Y TORMENTA ELÉCTRICA, OCURRIDO A LAS 14:30 HORAS DEL DÍA 02/10/13  EL CUAL AFECTO LA ALCALDÍA CON PERDIDA DEL 60% DEL TEJADO, LA BIBLIOTECA CON PERDIDA TOTAL DEL TEJADO, CORTE DEL FLUIDO ELÉCTRICO, CAÍDA DE ARBOLES. CMGRD ADELANTA CENSO YA QUE SEGÚN INFORMACIÓN PRELIMINAR HAY AFECTACIÓN EN CULTIVOS Y SEMOVIENTES, MEDIANTE ACTA DEL CMGRD 014 DE FECHA 03/10/13 CONFIRMAN LAS SIGUIENTES AFECTACIONES: (8) CENTROS COMUNITARIOS TALES COMO CASA CURAL, ALCALDÍA, CONCEJO MUNICIPAL, JUZGADOS, BIBLIOTECA, IGLESIA PENTECOSTAL, CLUB DE TEJO Y CLUB DE LEONES CON PERDIDA DE TEJADOS  Y DAÑOS EN ELEMENTOS DE EQUIPOS Y ELEMENTOS DE OFICINA. TAMBIÉN 6 VIVIENDAS CON 15 PERSONAS CON  PERDIDA DE TECHOS, MUEBLES Y ENSERES. ATIENDE CMGRD, DEFENSA CIVIL, POLICÍA Y COMUNIDAD. SOLICITAN 500 TEJAS DE ZINC DE 3 MT, 200 PERFILES, 20 COLCHONES, INFORMACION TOMADA Y ACTUALIZADA EL 21/10/2013 DE LA BASE DE DATOS QUE ENVIA CDGRD. D.L.M. -698</t>
  </si>
  <si>
    <t>MUNICIPIO DE YACOPI, REPORTA VENDAVAL CON LLUVIAS OCURRIDO EL DÍA 10/10/13 EN HORAS DE LA TARDE, SE ACTUALIZA INFORMACION EL 21/10/2013 LA CUAL ES TOMADA DE LA BASE DE DATOS DEL CDGRD, WILSON AVELINO GONZÁLEZ SÁNCHEZ ALCALDE DE YACOPI, MEDIANTE ACTA DEL CMGRD  NUMERO. 76 DE FECHA 15/10/13 REPORTA QUE REALIZADO EL CENSO RESULTARON AFECTADAS 28 FAMILIAS  100 PERSONAS CON PERDIDA DE TECHOS, MUEBLES Y ENSERES, EL CENTRO DE SALUD Y LA ESCUELA CON PERDIDA DE TECHOS Y 9 COMPUTADORES, CAÍDA DE ARBOLES Y REDES ELÉCTRICAS. SOLICITAN AYUDAS HUMANITARIAS COMO COLCHONES, FRAZADAS, MENAJES, MERCADOS Y TEJAS DE ZINC, D.L.M. -698</t>
  </si>
  <si>
    <t>18/10/2013 CDGRD REPORTA EN EL MUNICIPIO DE SOCOTA VEREDA EL MORRO COLAPSO MINA DE CARBÓN, MINA EL PINO, FALLECIDO EVER LEONIDAD CERINZA 40 AÑOS, APOYO SALVAMENTO MINERO Y PONAL CON EQUIPO Y PERSONAL ESPECIALIZADO, SE INGRESA INFORMACION HOY 21/10/2013, D.L.M. -698</t>
  </si>
  <si>
    <t>D.C.C., INFORMA, SE PRESENTAN APROXIMADAMENTE, HACE 3 HORAS FUERTES LLUVIAS EN EL MUNICIPIO DE CIÉNAGA,  LO CUAL OCASIONO AFECTACIÓN EN 12 BARRIOS DEL MUNICIPIO COMO BARRIO ABAJO, 5 DE FEBRERO, CÓRDOBA, EL POBLADO, EL FARO, PUERTO NUEVO, CASA LOMA, EL CARMEN, MONTECRISTO, PORVENIR, LA FLORESTA SIMÓN BOLÍVAR, REALIZAN EDA, SITUACIÓN EN DESARROLLO. D.G.V. -699</t>
  </si>
  <si>
    <t>D.C.C., EN AMPLACION DEL REPORTE POR CRECIENTE SUBITA DE LOS RIOS SAN PEDRO Y SAN JORGE EN EL CORREGIMIENTO JUAN JOSÉ DEL MUNICIPIO DE PUERTO LIBERTADOR, OCURRIDO DIA 18-10-13, TERMINADO EL CENSO REPORTADO EL DIA DE AYER 20-10-13,  SE COMPLEMENTA LA INFORMACION CON UN TOTAL  DE 450. FAMILIAS AFECTADAS DE 450 VIVIENDAS Y TOTAL 2.250  PERSONAS ILESAS. D.G.V. -699</t>
  </si>
  <si>
    <t>D.C.C., REPORTA, DIA 19-10-13,UN COMITÉ DE LÍDERES LOGRA SACAR AL OBRERO, QUE PERMANECÍA SEPULTADO,  SUFRIÓ HERIDAS LEVES Y FUE ENTREGADO A LA AMBULANCIA DE CERRO MATOSO QUIENES LO LLEVARON HASTA EL HOSPITAL DE MONTELÍBANO, 1 HERIDO LEVE. D.G.V. -699</t>
  </si>
  <si>
    <t>INFORMA EL COORDINAR DEL CDGRD DE LA GUAJIRA DR MANUEL MENGUAL QUE EL DIA DE AYER SE DESAPECIO UN TURISTA EN LA DESEMBOCADURA DEL RIO RACHERIA EN RIOHACHA  LA CAUSA AL PARECER FUE POR INMERCION, LOS ORGANISMOS DE SOCORRO REALIZAN LA BUSQUEDAD DE ESTA PERSONA. -700</t>
  </si>
  <si>
    <t>INFORMA EL COORDINAR DEL CDGRD DE LA GUAJIRA DR MANUEL MENGUAL QUE EL DIA DE AYER SE DESAPECIO UN TURISTA EN LA DESEMBOCADURA DEL RIO PALOMINO  EN EL MUNICIPIO DE DIBULLA , ZONA RURAL DE3 PALOMINO   LA CAUSA AL PARECER FUE POR INMERCION, LOS ORGANISMOS DE SOCORRO REALIZAN LA BUSQUEDAD DE ESTA PERSONA. -700</t>
  </si>
  <si>
    <t>REPORTA LA DRA YOHANA PAYARES DEL CDGRD DE SUCRE , EN ELE MUNICIPIO DE SAN ONOFRE SE PRESENTO UNA FUERTE AGUACEO AFECTANDO A LOS BARRIOS  CEIBITA, SANTA MARI A, MADRE BERNARDA, PALITO, POR INUNDACION, AKL MOMENTO SE ESTA REALIZANDO EDAN POR PARTE DE LAS ENTIDADES OPERATIVAS. -700
EN LOS CORREGIMIENTOS DE  SABANA DEL RINCON  Y BARRANCA SE AFECTARON 23 FAMILIAS  Y 150 PERSONAS , POR VENDAVAL Y  UNA CRECIENTE SUBITA , EL CMGRD ESTA REALZIANDO EDAN EN CONJUNTO DEL LAS ENTIDADES OPERATIVAS. -700</t>
  </si>
  <si>
    <t>ING. RAFAEL ROBLES DE LA CAR REPORTA INCENDIO FOORESTAL EN EL MUNICIPIO DE GUACHETA VEREDA PUEBLO VIEJO, INICIADO A LAS 13:00 HORAS DEL DIA 22/10/13. ATIENDE BOMBEROS UBATE, BRIGADA CAR, COMUNIDAD Y DEFENSA CIVIL. -701</t>
  </si>
  <si>
    <t>ARQUITECTO CARLOS ALBERTO MUÑOZ SECRETARIO DE PLANEACIÓN DEL MUNICIPIO DE UTICA, MEDIANTE CORREO ELECTRÓNICO REPORTA VENDAVAL ACOMPAÑADO DE FUERTES LLUVIAS OCURRIDO ENTRE LAS 20:30 Y LAS 24:00 HORAS DEL DÍA 20/10/13 QUE OCASIONARON INUNDACIONES, DESLIZAMIENTOS, COLMATADA DE ALCANTARILLAS, CAÍDA DE ARBOLES Y DAÑOS EN EL AFIRMADO DE ALGUNAS VÍAS, EN LOS BARRIOS LAS BRISAS, EL LAGO Y LAS VEREDAS EL CURAPO, LA GRANJA, PUEBLO VIEJO, ALFONSO LÓPEZ, LA LIBERIA Y EL VIGA, AFECTANDO A 22 FAMILIAS CON 66 PERSONAS QUIENES PERDIERON MUEBLES Y ENSERES, TEJADOS, ALGUNAS AVES DE CORRAL Y DAÑOS EN ALGUNAS ESTRUCTURAS. ATENDIÓ CMGRD, BOMBEROS. -701</t>
  </si>
  <si>
    <t>FANNY LÓPEZ PAVA DEL CMGRD DEL MUNICIPIO DE GUADUAS, REPORTA MEDIANTE CORREO ELECTRÓNICO QUE EL DÍA 13/10/13 SE PRESENTARON FUERTES LLUVIAS EN LA INSPECCIÓN DE PUERTO BOGOTÁ QUE OCASIONARON EL COLAPSO DE UN MURO DE CONTENCIÓN LO CUAL AFECTO 2 VIVIENDAS CON 6 PERSONAS QUIENES SUFRIERON DAÑOS GRAVES EN LA INFRAESTRUCTURA Y  PERDIDA TOTAL DE SUS MUEBLES Y ENSERES. ATENDIÓ BOMBEROS Y POLICÍA.  -701</t>
  </si>
  <si>
    <t>CDGRD DE CUNDINAMARCA, INFORMA, TE. JORGE EDUARDO ROA COMANDANTE DE BOMBEROS TOCANCIPA, REPORTA INCENDIO FORESTAL EN LA VEREDA, LA ESMERALDA SECTOR, LA REJILLA INICIADO A LAS 02:00 Y EXTINGUIDO A LAS 06:00 HORAS DEL 26/01/13 CON AFECTACIÓN DE 1 HECTÁREA DE PINO RESINOSO Y RASTROJO, ATENDIÓ BOMBEROS TOCANCIPA, POLICÍA Y COMUNIDAD.</t>
  </si>
  <si>
    <t>TENIENTE JORGE EDUARDO ROA COMANDANTE DE  BOMBEROS MUNICIPIO DE TOCANCIPA, INFORMA A ESTA UNIDAD EL DÍA 10/4/13, SOBRE INCENDIO QUE SE INICIO EL DÍA 4/4/13 EN EL MUNICIPIO DE GUATAVITA VEREDA TOMINE DE INDIOS  A LAS 12:00 HORAS, EL DÍA 09/04/13,SE REACTIVÓ, PASANDO A LA VEREDA CANAVITA DEL MUNICIPIO DE TOCANCIPÁ AFECTANDO HASTA EL MOMENTO OTRAS 8 HECTÁREAS DE VEGETACIÓN NATIVA DE PARAMO. ATENDIÓ BOMBEROS TOCANCIPA Y GUASCA  POLICÍA, EJERCITO, BRIGADA CAR Y CMGRD DEL MUNICIPIO DE TOCANCIPA. A LAS 15:00 HORAS DEL  09/04/13, EL TE. MAURICIO JIMÉNEZ DE BOMBEROS GUASCA, INFORMA QUE EL INCENDIO SE REACTIVO DESDE EL DÍA DE AYER Y LO ESTÁN ATENDIENDO LOS BOMBEROS DE GUASCA Y LA BRIGADA CAR.</t>
  </si>
  <si>
    <t>JORGE ROA, BOMBEROS TOCANCIPA INFORMA A ESTA UNIDAD EL DÍA 21-10-13, SOBRE INCENDIO FORESTAL INICIADO EL DÍA 20-10-13 HACIA LAS 15:30 HORAS EN LA VEREDA CANAVITA , SECTOR PAN  DE AZÚCAR CONTROLADO Y EXTINGUIDO EL MISMO DÍA HACIA LAS 21:00 HORAS, CON AFECTACIÓN DE 3 HECT DE CULTIVO DE PINOS. ATENDIÓ BOMBEROS TOCANCIPÁ, CMGRD, Y COMUNIDAD. -701</t>
  </si>
  <si>
    <t>UNIDADES GUARDACOSTAS DE LA ARMADA NACIONAL, RESCATARON CON VIDA A SEIS HOMBRES Y SIETE MUJERES UNA DE ELLAS EN ESTADO DE GESTACIÓN LUEGO QUE LA EMBARCACIÓN EN LA QUE SE MOVILIZABA NAUFRAGARA, EL HECHO SE DIO A UNAS 17 MILLAS DE TUMACO EN EL SECTOR CONOCIDO CON SALAHONDITA LA MAYORÍA DE LAS PERSONAS RESCATADAS SON DOCENTES DE LA ZONA PACÍFICA QUIENES FUERON ATENDIDOS POR PERSONAL MÉDICO DEL ESTABLECIMIENTO DE SANIDAD MILITAR EN EL MUELLE MIENTRAS QUE LA MUJER EN ESTADO DE EMBARAZO FUE LLEVADA A UN CENTRO ASISTENCIAL. SEGÚN LA ARMADA EL OLEAJE HABRÍA OCASIONADO LA EMERGENCIA DE ESTA EMBARCACIÓN QUE ZARPÓ DESDE MOSQUERA HASTA TUMACO, FUENTE CARACOL RADIO. D.L.M. -702</t>
  </si>
  <si>
    <t>LLUVIA QUE AZOTARON EL DIA 21 A BARRANQUILLA Y SU ÁREA METROPOLITANA, DEJÓ A NUEVE VIVIENDAS AFECTADAS EN EL SECTOR DE LA CALLE 57 CON 23, EN EL BARRIO VILLA KATANGA DEL  MUNICIPIO DE SOLEDAD, ATLÁNTICOEL FUNCIONARIO DIJO QUE LO ANTERIOR SE PUDO PRECISAR DESPUÉS DEL CENSO REALIZADO POR LA DEFENSA CIVIL Y EL CUERPO DE BOMBEROS Y DE VOLUNTARIOS EN EL LUGAR DONDE SE REGISTRÓ EL FENÓMENO NATURAL. -704</t>
  </si>
  <si>
    <t>D.C.C, INFORMA, EL BOTE SE DESPLAZABA DEL CORREGIMIENTO JUNTA, A LA CABECERA MUNICIPAL DE NOVITA, DONDE NAUFRAGO EN EL RIO TAMANA, CON 8 PERSONAS, DONDE DESAPARECIERON  2 NIÑOS DE EDADES  7  Y 9  AÑOS. -705</t>
  </si>
  <si>
    <t>REPORTA SECCIONAL MAGDALENA, FUERTES LLUVIAS EN EL MUNICIPIO DE NUEVA GRANADA AFECTACIÓN EN EL CORREGIMIENTO DEL BAJO, 5 CASAS INUNDADAS. -705</t>
  </si>
  <si>
    <t>REPORTA SECCIONAL RISARALDA, QUE EN EL MUNICIPIO DE MARSELLA SECTOR LA ESCALERA, SE PRESENTÓ MOVIMIENTO EN MASA OBSTRUYENDO, LA VÍA QUE DE MARSELLA CONDUCE A PEREIRA, SE TRABAJÓ HASTA LA MEDIA NOCHE HABILITANDO PARCIALMENTE LA VÍA. -705</t>
  </si>
  <si>
    <t>DESBORDAMIENTO DED LAS QUEBRADAS JUY, EL LORO, LA OSCURANA, QUIMARI, LA IGUANA Y TUCURA, AFECTADAS LAS VEREDAS CAMPO ALEGRE, GUARUMA, JOVITO, LS OSA, EL LORO, MOCHON, NUEVO AIRES, NUEVA UION, NUEVO ORIENTE, BATATAS Y BARRIOS LA UNION, LA PALMA, 9 DE AGOSTO, EL VOLADOR.</t>
  </si>
  <si>
    <t>EN EL MUNICIPIO DE SOACHA , BARRIO COMPARTIR SE PRESENTO UNA INUNDACION POR REBOSAMIENTO DE ALCANTARILLADO AFECTANDO A 20 VIVIENDAS, EN ESTE MOMENTO SE ENCUENTRA CMGRD HACIENDO VERIFICACION DE LA AFECTACION. -706</t>
  </si>
  <si>
    <t>BV ANZOATEGUI REPORTA FUERTES LLUVIAS CON TORMENTA ELECTRICA ACOMPAÑADAS DE VIENTOS HURACANADOS QUE CAUSAN AFECTACION DE 17 VIVIENDAS POR DESENTECHO Y EN LA RED DE CONDUCCION DE ENERGIA A LO LARGO Y ANCHO DEL MUNICIPIO Y SE REPORTA AENERTOLIMA CON EL 376431 LA CUAL SE RECOMIENDA NO RESTABLECER EL SERVICIO YA QUE HAY LINEAS DE ALTA EN LOS TECHOS DE LAS VIVIENDAS HASTA QUE LOS TECNICO NO EVALUEN EL GRADO DE PELIGROSIDAD EN LAS PRIMERAS HORAS DEL DIA Y SE HAGA UN BARRIDO Y SE EVIDENCIEN LOS DAÑOS GENERALES EN EL MUNICIPIO POR PARTE DE LOS ORGANISMOS DE SOCORRO Y EL CMGRD SIN MAS DETALLES. -707</t>
  </si>
  <si>
    <t>GERMAN GARCÍA COMANDANTE DE BOMBEROS DE CAPARRAPI, REPORTA DESLIZAMIENTO OCASIONADO POR FUERTES LLUVIAS OCURRIDAS EL DÍA 23/10/13 ENTRE LAS 13:00 Y LAS 17:00 HORAS, QUE PRODUJERON UN DESLIZAMIENTO DE GRANDES PROPORCIONES A LA ALTURA DE LA VEREDA HOYA DE CHIPAL KILOMETRO 7 VÍA CAPARRAPI - DINDAL, EL CUAL TAPONO TOTALMENTE LA VÍA, EN EL EVENTO SE ENCUENTRA DESAPARECIDO EL SEÑOR  FLAMINIO RUEDA DE 75 AÑOS QUE AL PARECER QUEDO ATRAPADO EN EL SITIO. ATIENDE CMGRD, BOMBEROS CAPARRAPI, POLICÍA E ICCU. -707</t>
  </si>
  <si>
    <t>REPORTAN DEL CDGRD DE QUINDIO QUE  SE PRESENTO UN VENDAVAL EN LA TARDE DE HOY AFECTANDO 2 VIVIENDAS , EL CMGRD ATENDIO AFECTACION. -707</t>
  </si>
  <si>
    <t>ALCALDIA DE SANTA ISABEL REPORTA FUERTES LLUVIAS CON TORMENTA ELECTRICA ACOMPAÑADAS DE VIENTOS HURACANADOS QUE CAUSAN AFECTACION EN VARIOS SECTORES QUE A PRIMERA HORAS DE LA MAÑANA REALIZARAN UN BARRIDO PARA VALORAR LAS AFECTACIONES EN LA ZONA URBANA Y RURAL POR PARTE DE LOS ORGANISMOS DE SOCORRO Y FUNCIONARIOS DEL CMGRD SOBRE LAS 6:00 AM INICIARON EL BARRIDO VERIFICANDO EL 30 % VIAS COLAPSADAS SIN MAS DETALLES. -707</t>
  </si>
  <si>
    <t>EL COORDINADOR DEL CMGRD SAPUYES INFORMA QUE HOY EN LA TARDE SE PRESENTO LLUVIAS CON GRANIZADA QUE AFECTO EL TECHO DE LA ESE Y LA CASA DE LA CULTURA, EN EL MOMENTO SE ENCUENTRAN EN EVALUACION DE VIVIENDAS AFECTADAS DEL CASCO URBANO Y LA VEREDA DE MALAVER, SE RECIBE INFORMACION VIA E-MAIL, EN SEGUIMIENTO. D.L.M. -708</t>
  </si>
  <si>
    <t>CRUE RISARALDA REPORTA TORMENTA ELECTRICA AFECTANDO AL MOMENTO 2 VIVIENDAS, IGUAL NUMERO DE FAMILIAS, 1 PERSONA AFECTADA IGUALMENTE POR DESCARGA ELECTRICA LA CUAL ES REMITIDA A CENTRO ASISTENCIAL Y EN ESPERA PARA SER REMITIDA A TERCER NIVEL. -708</t>
  </si>
  <si>
    <t>CITEL TOLIMA INFORMA HOY 24/10/2013, REPORTA CMGRD  DEL LIBANO AVALANCHA EN EL CORREGIMIENTO DE SAN FERNANDO, QUEBRADA EL CHUY, EL DIA DOMINGO 20 DE OCTUBRE A LA 9:00 AM, 8 FAMILIAS AFECTADAS, 34 PERSONAS, SE VIENEN PRESENTANDO DESLIZAMIENTOS A DIARIOS HASTA EL DIA DE HOY LA VIA QUEDA CERRADA. -708</t>
  </si>
  <si>
    <t>CRUE RISARALDA INFORMA EN EL MUNICIPIO DE MISTRATO DESPUES DE VISITA AL CORREGIMIENTO ALTO SAN ANTONIO DE CHAMI, SECTOR EL CEDRO POR DESLIZAMIENTO SE ORDENA REUBICACION DE 1 FAMILIA, 1 VIVIENDA AVERIDA, HABITADA POR 3 ADULTOS, 1 MENOR. -708</t>
  </si>
  <si>
    <t>100 TUBOS PVC 2" RDE 21 X 6 MTS</t>
  </si>
  <si>
    <t>97 ROLLOS DE MANGUERA DE 1/2".</t>
  </si>
  <si>
    <t>200 ROLLOS DE MANGUERA DE 1/2". 19 ROLLOS DE MANGUERA DE 3"</t>
  </si>
  <si>
    <t>200 ROLLOS DE MANGUERA DE 1". 200 ROLLOS DE MANGUERA DE 2".</t>
  </si>
  <si>
    <t>20 ROLLOS DE MANGUERA DE 1/2". 5 ROLLOS DE MANGUERA DE 3".</t>
  </si>
  <si>
    <t>9 CABALLETES. 50 ROLLOS DE MANGUERA DE 3". 50 ROLLOS DE MANGUERA DE 1/2". 100 TANQUES DE 1000LTS</t>
  </si>
  <si>
    <t xml:space="preserve">130 ROLLOS DE MANGUERA DE 1/2". 130 ROLLOS DE MANGUERA DE 1". 100 ROLLOS DE MANGUERA DE 3/4". 5 GAVIONES. </t>
  </si>
  <si>
    <t>50 ROLLOS DE 1/2". 5 ROLLOS DE MANGUERA DE 3".</t>
  </si>
  <si>
    <t>30 ROLLOS DE MANGUERA DE 1/2". 20 ROLLOS DE MANGUERA DE 3". 20 GAVIONES.</t>
  </si>
  <si>
    <t>REPORTAN DEL CDGRD DE HUILA QUE SE PRESENTO UN VENDAVAL EN HORAS DE LA TARDELOS DATOS PARCIALES HASTA EL REPORTE DE LAS 9:00 AM DEL DIA 25 DE OCTUBRE ES 2 FINCAS CON PERDIDA TOTAL DE TECHO Y CULTIVOS.</t>
  </si>
  <si>
    <t>SE PRESENTÓ UN CONATO DE INCENDIO ESTRUCTURAL  EN LA VIVIENDA UBICADA EN LA CALLE 15 # 23-05 MANZANA 22 DEL BARRIO VILLA HELENA, DONDE SE OCASIONO POR UN CORTE CIRCUITO EN LA COCINA, DONDE EMPEZÓ EL INCENDIO ASÍ SE CONFLAGRÁNDOSE ASÍ OCASIONO DAÑOS EN DOS MÁQUINAS INDUSTRIALES  Y UNA NEVERA, LA PROPIETARIA MANIFESTÓ QUE LOS DAÑOS FUERON APROXIMADAMENTE. FUE ATENDIDO Y CONTROLADO POR EL CUERPO DE BOMBEROS DE BUCARAMANGA SIN REPORTAR AFECTACIÓN DE VIDAS HUMANAS. -709</t>
  </si>
  <si>
    <t>SE PRESENTÓ UN CONATO DE INCENDIO ESTRUCTURAL, EN LA FÁBRICA CATA VIEJO, UBICADA EN EL PRIMER RETORNO VÍA QUE CONDUCE FLORIDABLANCA – PIEDECUESTA, SE OCASIONO DEBIDO AL DESCUIDO DE LOS PROPIETARIOS QUE REALIZARON UNA QUEMA DE UNOS PALOS Y QUEDO BRASA ASÍ COMO HABÍA MÁS MADERA SE PRENDIÓ OCASIONANDO DAÑOS EN  UNAS MÁQUINAS, MADERAS Y EN LA ESTRUCTURA DE LA FÁBRICA, SE DESCONOCE EL MOTÓN DE LA AFECTACIÓN. FUE ATENDIDO Y CONTROLADO POR EL CUERPO DE BOMBEROS DE FLORIDABLANCA CON DOS CARROS MÁQUINAS DE BOMBEROS. NO REPORTAN AFECTACIÓN DE VIDAS HUMANAS. -709</t>
  </si>
  <si>
    <t>EN LA MADRUGADA DEL 16 DE AGOSTO DEL PRESENTE AÑO A LAS 4:00 AM SE INICIO UN VENDAVAL EN LA CABECERA DEL MUNICIPIO DE ARENAL CON FUERTES LLUVIAS, AFECTANDO VARIAS VIVIENDAS EN SUS TECHOS E INUNDACIONES EN 3 BARRIOS.</t>
  </si>
  <si>
    <t>REPORTAN DEL CDGRD DE HUILA QUE SE PRESENTO UN VENDAVAL EN HORAS DE L A TARDE EN LOS MUNICIPIOS DE YAGUARA, HOBO Y GIGANTE, AL MOMENTO SE ESTA ATENDIENDO LA EMERGENCIA LOS CMGRD.  NO HAY MAS DATOS. -707
REPORTAN DEL CDGRD DE HUILA QUE SE PRESENTO UN VENDAVAL EN HORAS DE LA TARDE LOS DATOS PARCIALES HASTA EL REPORTE DE LAS 9:00 AM DEL DIA 25 DE OCTUBRE ES DE 25 FAMILIAS.
REPORTAN DEL CDGRD DE HUILA QUE SE PRESENTO UN VENDAVAL EN HORAS DE LA TARDE DEL DIA 24 DE OCTUBRE. ACTULIZACION DESDE SALA DE CRISIS ID. -710</t>
  </si>
  <si>
    <t>REPORTAN DEL CDGRD DE HUILA QUE SE PRESENTO UN VENDAVAL EN HORAS DE L A TARDE EN LOS MUNICIPIOS DE YAGUARA, HOBO Y GIGANTE, AL MOMENTO SE ESTA ATENDIENDO LA EMERGENCIA LOS CMGRD.  NO HAY MAS DATOS. -707
REPORTAN DEL CDGRD DE HUILA QUE SE PRESENTO UN VENDAVAL EN HORAS DE LA TARDELOS DATOS PARCIALES HASTA EL REPORTE DE LAS 9:00 AM DEL DIA 25 DE OCTUBRE ES 75 VIVIENDAS CON AFECTACION EN CUBIERTAS, LINEAS DE FLUIDO ELECTRICO, CAIDA DE ARBOLES, DEL CMGRD HACEN EDAN.
REPORTAN DEL CDGRD DE HUILA QUE SE PRESENTO UN VENDAVAL EN HORAS DE LA TARDE DEL DIA 24 DE OCTUBRE. ACTULIZACION DESDE SALA DE CRISIS ID. -710</t>
  </si>
  <si>
    <t>REPORTAN DEL CDGRD DE HUILA QUE SE PRESENTO UN VENDAVAL EN HORAS DE L A TARDE EN LOS MUNICIPIOS DE YAGUARA, HOBO Y GIGANTE, AL MOMENTO SE ESTA ATENDIENDO LA EMERGENCIA LOS CMGRD.  NO HAY MAS DATOS. -707
REPORTAN DEL CDGRD DE HUILA QUE SE PRESENTO UN VENDAVAL EN HORAS DE LA TARDE LO9S DATOS PARCIALES HASTA EL REPORTE DE LAS 9:00 AM DEL DIA 25 DE OCTUBRE ES DE 25 FAMILIAS AFECTADAS POR PERDIDA DE CUBIERTA. EL CMGRD HACE EDAN.
REPORTAN DEL CDGRD DE HUILA QUE SE PRESENTO UN VENDAVAL EN HORAS DE LA TARDE DEL DIA 24 DE OCTUBRE. ACTULIZACION DESDE SALA DE CRISIS ID. -710</t>
  </si>
  <si>
    <t>ALEJANDRO LINARES CAMBEROS ALCALDE DE TOPAIPI REPORTA MEDIANTE OFICIO 164 DE FECHA 17/10/13 VENDAVAL ACOMPAÑADO DE FUERTES LLUVIAS OCURRIDO EN SU MUNICIPIO EL CUAL AFECTO 16 FAMILIAS CON 50 PERSONAS Y DESTRUCCIÓN DE LA BOCATOMA DEL ACUEDUCTO DEL MUNICIPIO. SOLICITA AYUDAS HUMANITARIAS Y ATIENDE CMGRD. -710</t>
  </si>
  <si>
    <t>CDGRD DEL CAUCA, INFORMA, SE PRESENTÓ VENDAVAL, EN LA ZONA RURAL, 16 VIVIENDAS AFECTADAS, CONTINUAN REALIZANDO EDAN. -711</t>
  </si>
  <si>
    <t>CDGRD DE RISARALDA, INFORMA, SE PRESENTÓ INCENDIO ESTRUCTURAL EN UNA COLCHONERIA, AFECTANDO 2 VIVIENDAS, SIN LESIONADOS. -711</t>
  </si>
  <si>
    <t>D.C.C., INFORMA, DIA 24-10-13, POR FUERTES LLUVIAS SE PRESENTO DESLIZAMIENTO DE TIERRA EN EL BARRIO:  SANTO DOMINGO, DEJANDO UNA VIVIENDA TOTALMENTE DESTRUIDA, AFECTADAS,  5 PERSONAS ILESAS DE 1 FAMILIA. -711</t>
  </si>
  <si>
    <t>CDGRD DE RISARALDA, INFORMA, TORMENTA ELECTRICA, VEREDA: VALLA DOLI 1 VIVIENDA AFECTADA, 2 FAMILIAS AFECTADAS, LAS CUALES FUERON EVACUADAS. -711
CDGRD DE RISARALDA, INFORMA, TORMENTA ELECTRICA, VEREDA: MATA, 1 VIVIENDA AFECTADA, 1 FAMILIA AFECTADA. -711</t>
  </si>
  <si>
    <t>INGENIERO ALIRIO REPORTA SE REGISTRO INCENDIO FORESTAL EN EL MUNICIPIO DE AQUITANIA HACIA LAS 12:30 HORAS, FUE ATENDIDO POR BOMBEROS AQUITANIA, AFECTACION EN 2 HECTAREAS DE PINO, FUE EXTINGUIDO HACIA LAS 16:30 APROXIMADAMENTE, REPORTADO HOY, D.L.M. -712</t>
  </si>
  <si>
    <r>
      <t>25-10-2013-13:20 HORAS</t>
    </r>
    <r>
      <rPr>
        <sz val="7"/>
        <color indexed="8"/>
        <rFont val="Arial"/>
        <family val="2"/>
      </rPr>
      <t xml:space="preserve"> </t>
    </r>
    <r>
      <rPr>
        <sz val="9"/>
        <color indexed="8"/>
        <rFont val="Arial"/>
        <family val="2"/>
      </rPr>
      <t>INCENDIO FORESTAL LOCALIZADO A LA ALTURA DEL BARRIO VILLA CHIMITA- VÍA CHIMITA BUCARAMANGA-GIRÓN, AFECTACIÓN POR LA CONFLAGRACIÓN EN ARBUSTOS, PLANTAS NATIVAS Y PASTOS APROXIMADAMENTE AFECTADAS 2 HECTÁREAS. FUE ATENDIDO Y CONTROLADO POR EL CUERPO DE BOMBEROS DE BUCARAMANGA SIN REPORTAR AFECTACIÓN DE VIDAS HUMANAS. D.L.M. -712</t>
    </r>
  </si>
  <si>
    <t>25-10-2013. 12:25 HORAS INCENDIO FORESTAL LOCALIZADO A LA ALTURA DE LA CÁRCEL DE MUJERES DE BUCARAMANGA SOBRE LA VÍA DE LA CALLE 45 QUE CONDUCE DE BUCARAMANGA A GIRÓN, AFECTACIÓN DE BOSQUE NATIVO, ARBUSTOS Y PASTIZALES. ÁREA APROXIMADA CONSUMIDA 15 HECTÁREAS.  FUE ATENDIDO Y CONTROLADO POR EL CUERPO DE BOMBEROS DE BUCARAMANGA CON DOS MÁQUINAS DE BOMBEROS, NO REPORTAN AFECTACIÓN DE VIDAS HUMANAS. D.L.M. -712</t>
  </si>
  <si>
    <t>REPORTA INCENDIO ESTRUCTURAL EN ESTABLECIMIENTO COMERCIAL REGISTRADO EN HORAS DE LA MAÑANA EN PASTO EN EL BARRIO EL LORENZO SIN CONSECUENCIAS GRAVES, AFECTACION PARCIAL, ATENDIDO POR BOMBEROS, D.L.M. -712</t>
  </si>
  <si>
    <t>INCENDIO FORESTAL REPORTADO EL 25/10/2013 EN EL MUNICIPIO DE CARMEN DE APICALA EN LA  VEREDA CUATRO ESQUINAS FUE CONTROLADO Y EXTINGUIDO, QUEDARON AFECTADAS 4 HECTAREAS DE PASTOS MEJORADOS, ATENDIO BOMBEROS VOLUNTARIOS DEL MUNICIPIO, D.L.M. -712</t>
  </si>
  <si>
    <t>LA CAPITÁN AURORA GUTIÉRREZ DE BOMBEROS MPIO DE SIBATE, INFORMA A ESTA UNIDAD SOBRE INCENDIO FORESTAL EN LA VEREDA CHACUA Y VILLANUEVA, INICIADO HACIA LAS 15:30 HORAS DEL DÍA 25-0CT-13 EL CUAL SE ENCUENTRA ACTIVO HACIA LAS 14:20 HORAS DEL DÍA, ATIENDE BOMBEROS SIBATE Y CMGRD. -710
CDGRD REPORTA EXTINGUIDO INCENDIO FORESTAL EN EL MUNICIPIO DE SIBATE, CON APROXIMADAMENTE 7 HESTAREAS DE PASTO Y VEGETACION NATIVA, APOYO BOMBEROS SIBATE. D.L M. -712</t>
  </si>
  <si>
    <t>CDGRD DEL CAUCA, INFORMA, SE PRESENTÓ, VENDAVAL, ACOMPAÑADO DE LLUVIAS, EL DÍA 24-10-2013, AFECTANDO: 25 VIVIENDAS EN LA ZONA URBANA Y 38 EN LA ZONA RURAL. D.G.V. -713</t>
  </si>
  <si>
    <t>REPORTA DIRECTOR SECCIONAL, ATLÁNTICO,QUE SIENDO LAS 16:00 HORAS DEL DIA 26-10-13, SE REGISTRÓ VENDAVAL EN ZONA URBANA DEL MUNICIPIO DE PUERTO COLOMBIA AFECTANDO ESPECIALMENTE AL BARRIO SAN CARLOS. PENDIENTES DEL CENSO DE AFECTADOS. D.G.V. -713</t>
  </si>
  <si>
    <t>MINISTERIO DE SALUD Y PROTECCIÓN SOCIAL, INFORMA, ACCIDENTE DEE TRANSITO, LAS VÍCTIMAS SON TRES ADULTOS Y DOS MENORES QUE VIAJABAN EN UNA CAMIONETA QUE CHOCÓ CONTRA UN BUS INTERMUNICIPAL EN LA CARRETERA TRONCAL DEL CARIBE. A LA ALTURA DEL MUNICIPIO DE SAN PELAYO EN CÓRDOBA. EL HECHO OCURRIÓ A LAS 8:00 DE LA NOCHE DE ESTE SÁBADO.
LA VÍCTIMAS FUERON IDENTIFICADAS COMO ISMAEL ENRIQUE CAVADÍA, CONDUCTOR DE LA CAMIONETA, SU HIJO E HIJA, AMBOS MENORES DE EDAD; EVA ARTEAGA REYES Y LIBIA HERNÁNDEZ DORIA.
YULIETH MATIEUTH, MADRE DE LOS MENORES Y ESPOSA DE CAVADÍA, FUE LA ÚNICA OCUPANTE DE LA CAMIONETA QUE SOBREVIVIÓ AL ACCIDENTE, PERO PERMANECE CON PRONÓSTICO RESERVADO EN UN CENTRO ASISTENCIAL.
LAS PRIMERAS INFORMACIONES DE LAS AUTORIDADES SEÑALAN QUE LA CAMIONETA IBA CON DESTINO AL MUNICIPIO DE LORICA, DONDE VIVÍAN SUS OCUPANTES.
A LA ALTURA DEL BARRIO LA ENCAÑADA, EN SAN PELAYO, EL VEHÍCULO CHOCÓ DE FRENTE CONTRA EL BUS QUE CUBRÍA LA RUTA CARTAGENA – MONTERÍA. SIN EMBARGO, SE DESCONOCE SU RESPONSABILIDAD EN EL HECHO.
PARA REALIZAR LA INSPECCIÓN Y LEVANTAMIENTO DE LOS CADÁVERES, LA POLICÍA DEBIÓ CERRAR EL PASO EN LA CARRETERA, LO QUE OBLIGÓ AL REPRESAMIENTO DE CARROS EN AMBOS SENTIDOS DE LA VÍA DURANTE VARIAS HORAS. -713</t>
  </si>
  <si>
    <r>
      <t xml:space="preserve">19.09 HORAS, CDGRD DE ANTIOQUIA, SEGUIMIENTO POR  COLAPSO DE LA TORRE SEIS DE LA UNIDAD RESIDENCIAL SPACE, EN EL BARRIO EL POBLADO DE MEDELLÍN,  SITIO:  LA LOMA DEL PADRE MARIANITO, INFORMA, 2 CUERPOS UBICADOS POR PERROS, PERO NO EXTRAIDOS, POR QUE ESTÁN EN LO PROFUNDO DEL EDIFICIO, 14-10-2013, 03:43 AM
RESCATADOS CON VIDA SEIS MASCOTAS PERSONAL DE LA SECRETARIA DE MEDIO AMBIENTE DE MEDELLÍN LOGRÓ EN LA MADRUGADA DE ESTE LUNES EL RESCATE CON VIDA DE CUATRO MASCOTAS. DOS AVES, UN PERRO Y UN GATO FUERON RECUPERADOS DE APARTAMENTOS UBICADOS EN LAS TORRES 1, 2, 3 Y 4 DEL EDIFICIO SPACE. ESTOS ANIMALES SE SUMAN A LOS DOS PERROS RESCATADOS EL PASADO SÁBADO. LA BÚSQUEDA Y RESCATE DE LAS NUEVE PERSONAS DESAPARECIDAS POR EL DESPLOME DE LA TORRE 6, SE ENCUENTRA SUSPENDIDA POR LAS LLUVIAS QUE CAEN SOBRE LA CAPITAL ANTIOQUEÑA. PARALELAMENTE SE EVALÚA LA SITUACIÓN ESTRUCTURAL DE LAS DEMÁS TORRES QUE CONFORMAN ESTE CONJUNTO RESIDENCIAL,  LA TORRE 5, ESTA EDIFICACIÓN SE HA MOVIDO 8 CENTÍMETROS, LO CUAL LLEVA A CONTEMPLAR LA POSIBILIDAD DE DEMOLER DE FORMA CONTRALADA DICHA TORRE. SE REINICIAN A LAS 7: OO AM LAS OPERACIONES DE BÚSQUEDA Y RESCATE DE LAS NUEVE PERSONAS DESAPARECIDAS EN LA TORRE SPACE, SITUACIÓN EN DESARROLLO. -678
</t>
    </r>
    <r>
      <rPr>
        <sz val="9"/>
        <color rgb="FFFF0000"/>
        <rFont val="Arial"/>
        <family val="2"/>
      </rPr>
      <t xml:space="preserve">APOYO DEL FNGRD MEDIANTE TRANSFERENCIA ECONOMICA POR UN VALOR DE $50.000.000, CON EL OBJETO DE APOYO LOGISTICO EN LA ATENCION DE LA EMERGENCIA POR EL COLAPSO ESTRUCTURAL E LA TORRE 6 DEL EDIFICIO SPACE Y SU ZONA DE INFLUENCIA EN EL BARRIO EL POBLADO EN LA CIUDAD DE MEDELLIN.
</t>
    </r>
    <r>
      <rPr>
        <sz val="9"/>
        <rFont val="Arial"/>
        <family val="2"/>
      </rPr>
      <t xml:space="preserve">SEGUIMIENTO POR  COLAPSO DE LA TORRE SEIS DE LA UNIDAD RESIDENCIAL SPACE, EN EL BARRIO EL POBLADO DE MEDELLÍN,  SITIO:  LA LOMA DEL PADRE MARIANITO, CINCO FRENTES DE TRABAJO SE ENCUENTRAN EN LA ZONA, CONCENTRADOS EN LOS LUGARES EN DONDE SE ENCONTRARON DESDE ANOCHE Y EN LA MAÑANA DE HOY, LOS CUATRO CUERPOS DE LAS PERSONAS FALLECIDAS.
REPORTE OFICIAL DE PERSONAS FALLECIDAS: JUAN ESTEBAN CANTOR MOLINA, IVÁN DARÍO GONZÁLEZ ÁLVAREZ, JAIME ANDRÉS ARANGO PULGARÍN, ÁLVARO JOSÉ BOLÍVAR, JUAN CARLOS BOTERO BOTERO.   20:15 HORAS, INFORMA CR. LUIS FERNANDO PIÑEROS, EXTRACCIÓN DEL SEXTO CUERPO, RICARDO ANDRÉS CASTAÑEDA GONZALEZ,  DE 25 AÑOS DE EDAD.   24-10-2013, 04:00 HORAS, REPORTA ING. LUIS GABRIEL CORREA, EXTRACCIÓN DEL  SEPTIMO CUERPO, PENDIENTE IDENTIFICACIÓN,  SITUACIÓN EN DESARROLLO. -705
</t>
    </r>
    <r>
      <rPr>
        <sz val="9"/>
        <color theme="9" tint="-0.249977111117893"/>
        <rFont val="Arial"/>
        <family val="2"/>
      </rPr>
      <t xml:space="preserve">SEGUNDA TRANSFERENCIA ECONOMICA POR VALOR DE $200,000,000 PARA APOYARLA LOGISTICA EN LA ATENCION DE LA EMERGENCIA POR EL COLAPSOE STRUCTUTAL DE LA TORRE 6 DEL EDIFICIO SPACE .
</t>
    </r>
    <r>
      <rPr>
        <sz val="9"/>
        <rFont val="Arial"/>
        <family val="2"/>
      </rPr>
      <t>SEGUIMIENTO POR  COLAPSO DE LA TORRE SEIS DE LA UNIDAD RESIDENCIAL SPACE, EN EL BARRIO EL POBLADO DE MEDELLÍN,  SITIO:  LA LOMA DEL PADRE MARIANITO,  26-10-2013, 22:05 HORAS, INFORMA, CR. LUIS FERNANDO PIÑEROS, AVISTAMIENTO DE CUERPO, INICIAN LABORES DE RECUPERACIÓN, 27-10-2013, 01:10, INFORMA, CR. LUIS FERNANDO PIÑEROS,  RECUPERACIÓN DE UN CUERPO, PENDIENTE IDENTIFICACIÓN, AVISTAMIENTO DE DOS CUERPOS, INICIAN LABORES DE RECUPERACIÓN, REPORTE OFICIAL DE PERSONAS FALLECIDAS: JUAN ESTEBAN CANTOR MOLINA, IVÁN DARÍO GONZÁLEZ ÁLVAREZ, JAIME ANDRÉS ARANGO PULGARÍN, ÁLVARO JOSÉ BOLÍVAR, JUAN CARLOS BOTERO BOTERO,  RICARDO ANDRÉS CASTAÑEDA GONZALEZ, UBEIMAR CONTRERAS CASTELLANOS, SITUACIÓN EN DESRROLLO. -713</t>
    </r>
  </si>
  <si>
    <t>CDGRD REPORTA VENDAVAL EN ESTE MUNICIPIO QUE AFECTA A 4 VIVIENDAS POR DESTECHAMIENTO, A FAMILIAS, NO LESIONADOS, ES ATENDIDO POR CMGRD. D.L.M. -714</t>
  </si>
  <si>
    <t>CDGRD REPORTA VENDAVAL HACIA LAS 18:00 EN EL MUNICIPIO DE CANDELARIA, AL MOMENTO REPORTA RED ELECTRICA AFECTADA, ARBOLES CAIDOS Y ALGUNAS VIVIENDAS DESENTECHADAS, CMGRD ATIENDE AL MOMENTO SITUACION EN DESARROLLO. D.L.M. -714</t>
  </si>
  <si>
    <t>REPORTA EL DR EDUARDO RODRIGUEZ, VIVIENDA DE LA SEÑORA SANDRA, DE LA JUNTA DIRECTIVA DE USOCOELLO, LA CUAL POR LOS VIENTOS Y LAS FUERTES LLUVIAS  SE DESENTECHO,EN EL SECTOR DE VEREDA CHIPUELO, 1 FAMILIA, CMGRD ATIENDE. D.L.M. -714</t>
  </si>
  <si>
    <t>REPORTA EN HORAS DE LA NOCHE SE REGISTRO INCENDIO ESTRUCTURAL EN EL MUNICIPIO DE TUMACO EN EL BARRIO LA PARADA, AFECTANDO 13 VIVIENDAS EN MADERA CMGRD SE ENCUENTRA LEVANTANDO CENSO. D.L.M. -714</t>
  </si>
  <si>
    <t>REPORTA BOMBEROS LIBANO COLAPSO DE VIVIENDA, PERDIDA TOTAL, VIVIENDA UBICADA ENTRE LOS BARRIOS REYES UMAÑA Y MANUEL MEJIA, PROPIETARIA LA SEÑORA ANA JIRIGUA VIVIENDA # 22, HABITADA POR 4 PERSONAS, CASA CONTIGUA QUEDA AVERIADA. D.L.M. -714</t>
  </si>
  <si>
    <r>
      <t xml:space="preserve">GILBERTO MAZO REPORTA EL HALLAZGO A LAS 9:20 DE LA MAÑANA DE JUAN ESTEBAN JARAMILLO EN EL ÁREA DE PORCE III, TRAS CAER DE UNA GARRUCHA AL RÍO PORCE EL PASADO JUEVES. LOS DOS TRABAJADORES DE </t>
    </r>
    <r>
      <rPr>
        <b/>
        <sz val="9"/>
        <color indexed="8"/>
        <rFont val="Arial"/>
        <family val="2"/>
      </rPr>
      <t>E</t>
    </r>
    <r>
      <rPr>
        <sz val="9"/>
        <color indexed="8"/>
        <rFont val="Arial"/>
        <family val="2"/>
      </rPr>
      <t>PM MURIERON AL CAER CERCA AL SITIO DE DESCARGA DE LA CENTRAL HIDROELÉCTRICA DE PORCE II, EN EL MUNICIPIO DE AMALFI EL ACCIDENTE OCURRIÓ A LAS 8:30 DE LA MAÑANA DEL PASADO JUEVES CUANDO LOS OBREROS FRANCISCO JAVIER RESTREPO SÁNCHEZ Y JUAN ESTEBAN JARAMILLO RESTREPO SE DESPRENDIERON DE ESTE MEDIO DE TRANSPORTE UTILIZADO PARA CRUZAR EL AFLUENTE. EN HORAS DE LA TARDE FUE HALLADO EL CADÁVER FRANCISCO JAVIER</t>
    </r>
    <r>
      <rPr>
        <b/>
        <sz val="9"/>
        <color indexed="8"/>
        <rFont val="Arial"/>
        <family val="2"/>
      </rPr>
      <t>,</t>
    </r>
    <r>
      <rPr>
        <sz val="9"/>
        <color indexed="8"/>
        <rFont val="Arial"/>
        <family val="2"/>
      </rPr>
      <t xml:space="preserve"> MIENTRAS QUE EL DE JUAN ESTEBAN FUE HALLADO ESTE DOMINGO EN LAS AGUAS DEL EMBALSE DE LA CENTRAL HIDROELÉCTRICA. -714</t>
    </r>
  </si>
  <si>
    <t>EN HORAS DE LA TARDE DEL DIA 27 DE OCTUBRE EN CORREGIMIENTO DEL  EL PASO SE PRESENTO UN FUERTE AGUACERO CON FUERTES VIENTOS DESENTECHANDO VARIAS VIVIENDAS HASTA EL MOMENTO SE SABE DE 14 FAMILIAS AFECTADAS, ATENDIO BOMBEROS VOLUTARIOS DE JAMUNDI, EN ELE DIA DE HOY SE RELIZA EDAN POR PARTE DEL CMGRD. -716</t>
  </si>
  <si>
    <t>REPORTA VENDAVAL OCURRIDO LA TARDE DE HOY EN LAS VEREDAS VERDE YACO, LA CONCEPCION, EL DORADO  Y SANTA MARTA, SEGÚN INFORMACION PRELIMINAR HAY UNA AFECTACION DE 100 VIVIENDAS AVERIADAS, 100 FAMILIAS, AFECTACION DE TECHOS, ALIMENTOS, MUEBLES Y ENSERES, A LAS 05:00 AM SALE COMISION PARA REALIZAR EDAN, INFORMAN QUE LAS CONDICIONES DE ORDEN PUBLICO EN EL MUNICIPIO ESTAN DELICADAS, REPORTA CDGRD CAUCA, SITUACION EN DESARROLLO. -569</t>
  </si>
  <si>
    <t>REPORTA ACTUALIZACION VENDAVAL: 12 VEREDAS, 3 BARRIOS, VIVIENDAS AVERIADAS 44, INSTITUCIONES EDUCATIVAS 5, EDAN REALIZADO POR ENTIDADES OPERATIVAS DEL CMGRD, REPORTA CDGRD. VEREDAS AFECTADAS; AGUA CLARA, ALTAMIRA, BELLAVISTA, BUENA VISTA, LA FLIRIDA, LA FONDA DE DAMIAN, MONTAÑITAS, NARANJAL, SAN VICENTE, TAMBORAL, PEÑOL. -578</t>
  </si>
  <si>
    <t>13-0846</t>
  </si>
  <si>
    <t>DEL CDGRSD ENVIA DATOS ACUTALIZADOS POR VENDAVAL PRESENTADO EN EL MUNICIPIO DEL TAMBO  , GRANIZADA Y VENDAVAL.145 FAMILIAS AFECTADAS EN VIVIENDAS PARA UN TOTAL 580 PERSONAS 51 CULTIVOS DESTRUIDOS,1 INVERNADERO DESTRUIDO. 51 CULTIVOS DESTRUIDOS,1 INVERNADERO DESTRUIDO.ZONAS AFECTADAS; LISBOA, DAJUANDO, PANDIGUANDO, LOS ANGELES, LAS BOTAS, PUEBLO NUEVO CIPRES, PUENTE ALTA, BARAYA, MONTERREDONDO, PEPITAL, PERIFERIA, EL OBELISCO, MOJON CHAPA, TABLONCITO, PALMICHAL, A CUCHILLA, SAN ROQUE, MANIZALES, LIMONCITO, VILLA AL MAR FONDAS, LOMA ASTUDILLO. -663</t>
  </si>
  <si>
    <t>CDGRD REPORTA VENDAVAL ACOMPAÑADO DE GRANIZO EN EL MUNICIPIO DE EL TAMBO, SEGÚN REPORTE PRELIMINAR HAY 1146 VIVIENDAS AFECTADAS EN EL CASCO URBANO Y CULTIVOS DE PANCOGER, AL MOMENTO REALIZAN LABORES CORRESPONDIENTES, SITUACION EN DESARROLLO, LAS VEREDAS AFECTADAS SON; ALTO EL CREDO, ALTO DEL REY, BETANIA, CASAS VIEJAS, CAUQUITA, CRUCERO, CUATRO ESQUINAS, EL MORAL, EL PLACER, EL PORVENIR, GAVILANES, GUAZABARITA, LA AGUADITA, LA CUCHILLA, LA FLORIDA, LA INDEPENDENCIA, LA LAGUNA, LA LAJA, LA PUBENZA, LA VENTA, LOMA ALTA, LOMA DE ASTUDILLO, LOMA DE PAJA, LOMA LARGA, LOS ANAYES, LOS ARRAYANES, LOS LLANOS, MOSQUERA, ORTEGA LLANOS, PALMICHAL, PASO MALO, PIAGUA, PINAR DEL RIO, PLAYA RICA, PUERTO RICO, SAN JOAQUIN, SAN ROQUE, SEVILLA, ZARZAL Y EN LA CABECERA MUNICIPAL LOS BARRIOS; SAN FERNANDO, RIVERA ESCOBAR. -516</t>
  </si>
  <si>
    <t>SE PRESENTO UN TORRENCIAL AGUACERO QUE CAUSO EL DESBORDAMIENTO DE LOS RIOS CAJAMBRE, RAPOSO Y ANCHICAYA, 4 VIVIENDAS COLAPSADA.RIO CAJAMBRE: VEREDAS BARCO, ORDONEZ, SAN ISIDRO, SILVA. RIO RAPOSO: BELLO HORIZONTE, SAN ANTONIO, SAN FRANCISCO, EL TIGRE, CALLE LARGA, CACOLI. RIO ANCHICAYA: EL COCO, EL LLANO, SANTA BARBARA, SAN JOSE, CALLE LARGA BRACITO, AMAZONA, HUMANE, TAPARAL, ZONA RURAL CARRETEABLE. ZACARIAS, ALTOS DE BOGOTA, SABALETA, LIMONES, SAM ,ARCOS, AGUA CLARA, GUAINIA, POTEDO, LLANO, BELLAVISTA.</t>
  </si>
  <si>
    <t>TE. MAURICIO JIMÉNEZ DE BOMBEROS GUASCA REPORTA INCENDIO FORESTAL EN LA VEREDA  SANTA MARÍA DEL MUNICIPIO DE GUATAVITA, INICIADO A LAS 16.00 Y EXTINGUIDO A LAS  19:00 HORAS DEL 26/10/13 CON AFECTACIÓN DE 0,5 HECTÁREAS DE BOSQUE PLANTADO. ATENDIÓ BOMBEROS GUASCA Y EMPLEADOS DE EMGESA. -717</t>
  </si>
  <si>
    <t>TE. PEDRO CÁRDENAS DE BOMBEROS MANTA REPORTA INCENDIO FORESTAL EN LA VEREDA MANTA GRANDE ABAJO, INICIADO A LAS 13:00 Y EXTINGUIDO A ALAS 15:30 HORAS DEL 28/10/13 CON AFECTACIÓN DE 1 HECTÁREA ENTRE PASTO DE CORTE Y RASTROJO. ATENDIÓ BOMBEROS MANTA. -717</t>
  </si>
  <si>
    <t>TE CLARA SIERRA DE BOMBEROS PACHO, REPORTA INCENDIO FORESTAL EN LA VEREDA PRADERA ALTA, INICIADO A LAS 12:00 Y EXTINGUIDO A LAS 18:30 HORAS DEL 25/10/13, CON AFECTACIÓN DE 5 HECTÁREAS DE PINOS, ARBOLES FRUTALES Y RASTROJO. ATENDIÓ BOMBEROS PACHO Y COMUNIDAD. -717</t>
  </si>
  <si>
    <t>SE REGISTRA EN LA CIUDAD DE BOGOTA ENCHARCAMIENTO EN VARIOS SECTORES DE SUBA,  CENTRO Y CHAPINERO AL MOMENTO ATIENDE BOMBEROS OFICIALES. SITIOS  MAS AFECTADOS AVENIDA BOYACÁ CON CALLE 120 Y 128 EN AMBOS SENTIDOS Y LA AVENIDA BOYACÁ CON CALLE 170 SENTIDO NORTE - SUR.CALLE 13 CON CARRERA 96 B Y 68 D EN AMBOS SENTIDOS.CALLE 116 CON AUTOPISTA NORTE SENTIDO OCCIDENTE - ORIENTE.AVENIDA CARACAS ENTRE CALLES 39 Y 76 SENTIDO SUR - NORTE.CARRERA 68 CON CALLE 25 SENTIDO NORTE - SUR, IGUALMENTE SE REGISTRO COLAPSO DEL TECHO DE LA FACULTAD DE DERECHO DE LA UNIVERSIDAD NACIONAL, NO LESIONADOS. -718</t>
  </si>
  <si>
    <t>13-0902
13-0907
13-0900
13-0906</t>
  </si>
  <si>
    <t>13-0725
13-0896</t>
  </si>
  <si>
    <t>13-0896</t>
  </si>
  <si>
    <t>13-0717
13-0896</t>
  </si>
  <si>
    <t>13-0706
13-0784
13-0899</t>
  </si>
  <si>
    <t>13-0899</t>
  </si>
  <si>
    <t>13-0779</t>
  </si>
  <si>
    <t>13-1039</t>
  </si>
  <si>
    <t>13-0497
13-0515
13-1039</t>
  </si>
  <si>
    <r>
      <t xml:space="preserve">CDGRD DE SANTANDER, INFORMA, CRECIENTE DEL RÍO DE ORO, BARRIO: BRISAS DEL RÍO, 1 VIVIENDA DESTRUIDA, SIN LESIONADOS, CAIDA DE LA BANCA DE LA VÍA, SE ESTÁ VERIFICANDO, POSIBLE EVACUACIÓN DE LOS BARRIOS: ZANCUDO, BRISAS DEL CAMPO, BAHONDO, GIRON CAMPESTRE, LA INMACULADA. REPORTE 20-02-13, CDGRD DE SANTANDER, INFORMA ACTUALIZACIÓN DE EMERGENCIA, PRESENTADA EL 17-02-2012 CRECIENTE DEL RÍO DEL ORO. 
</t>
    </r>
    <r>
      <rPr>
        <sz val="9"/>
        <color theme="5" tint="-0.249977111117893"/>
        <rFont val="Arial"/>
        <family val="2"/>
      </rPr>
      <t xml:space="preserve">EL VALOR DE OTROS ($25'932.841,68) PERTENECE A MATERIALES PARA PUENTES PEATONALES PALOGORDO Y RIO DE ORO. 
</t>
    </r>
    <r>
      <rPr>
        <sz val="9"/>
        <color rgb="FF00B050"/>
        <rFont val="Arial"/>
        <family val="2"/>
      </rPr>
      <t>EL VALOR DE OTROS ($9'924.960) CORRESPONDE A 150 KIT ESCOLARES (morral, 5 cuadernos, colores, lapiz esfero, tajalapiz borrados cartuchera) Y MANGUERA (1700 MTS MANGUERA 1/2". 1900 MTS MANGUERA DE 1". 1500 MTS MANGUERA DE 2" Y 1000 MTS MANGUERA DE 4")  - CALAMIDAD</t>
    </r>
    <r>
      <rPr>
        <sz val="9"/>
        <color theme="5" tint="-0.249977111117893"/>
        <rFont val="Arial"/>
        <family val="2"/>
      </rPr>
      <t xml:space="preserve">
</t>
    </r>
    <r>
      <rPr>
        <sz val="9"/>
        <color rgb="FFFF0000"/>
        <rFont val="Arial"/>
        <family val="2"/>
      </rPr>
      <t xml:space="preserve">SUBSIDIO DE ARRIENDO TEMPORAL PARA 5 FAMILIAS POR TRES MESES A RAZON DE UNA POR $250.000,DOS POR $350.000 Y UNA POR $400.000 Y UNA POR $450.000
</t>
    </r>
    <r>
      <rPr>
        <sz val="9"/>
        <color theme="3" tint="0.39997558519241921"/>
        <rFont val="Arial"/>
        <family val="2"/>
      </rPr>
      <t>EL 14 DE JUNIO SE BRINDO APOYO CON SUBSIDIO DE ARRIENDO TEMPORAL PARA 4 FAMILIAS POR TRES MESES A RAZON DE $300.000 MENSUALES</t>
    </r>
  </si>
  <si>
    <t>13-0954</t>
  </si>
  <si>
    <t>13-0705
13-0788
13-0912</t>
  </si>
  <si>
    <t>13-0906
13-0912</t>
  </si>
  <si>
    <t xml:space="preserve"> 50 LISTONES DE 4X2X15. 50 LISTONES DE 1X2X15. 5800 LADRILLOS.</t>
  </si>
  <si>
    <t>13-0912</t>
  </si>
  <si>
    <t>13-0294
13-0645
13-0799
13-0800
13-0798
13-0719
13-0785
13-0898</t>
  </si>
  <si>
    <t>13-0961</t>
  </si>
  <si>
    <t>INFORMA QUE SE PRESENTÓ INCENDIO EN UN ALOJAMIENTO TEMPORAL O VIVIENDA SUBNORMAL UBICADA EN LA CARRERA 9 ENTRE CALLES 20 Y 21 BARRIO COLÓN, AL PARECER HABITABAN DOS PERSONAS EN ELLA, PÉRDIDA TOTAL DE ENSERES.REALIZA EDAN EL CMGRD DE GESTION DEL RIESGO. -719</t>
  </si>
  <si>
    <t>FILANDIA. REPORTE AFECTACIÓN POR VENDAVAL EL DIA DOMINGO, EN DONDE SE AFECTAN 4 FAMILIAS, REALIZA EDAN EL CMGRD Y APOYA CON LA ENTREGA DE AYUDAS LA UDEGERD QUINDIO EN ESTE MOMENTO SE ATIENDEN A LAS FAMILIAS AFECTADAS. -719</t>
  </si>
  <si>
    <t>EL FALLECIDO EN EL DERRUMBE ES EL VIGILANTE DE 60 AÑOS, ANÍBAL MONTAÑO, QUIEN ESTABA CUSTODIANDO LA RETROEXCAVADORA, EN EL LUGAR SIGUEN CAYENDO DESLIZAMIENTOS DE PIEDRAS Y TIERRA DEBIDO A LAS LLUVIAS O LA FRAGILIDAD DE LA LADERA, POR LO CUAL CONVOCARON LA AYUDA DEL GOBIERNO SECCIONAL PARA ATENDER ESTA EMERGENCIA Y ADELANTAR TRABAJO DE ESTABILIZACIÓN.-“EN ESTOS MOMENTOS NO HEMOS PODIDO HACER NADA PORQUE SIGUE CAYENDO MUCHA PIEDRA Y ROCA Y COLADA. EL MUNICIPIO DE ANGELÓPOLIS ESTÁ INCOMUNICADO POR LA VÍA HASTA CALDAS Y MEDELLÍN, PERO HAY UNA ALTERNA QUE ES ANGELÓPOLIS-MINAS- AMAGÁ-MEDELLÍN”, ALERTÓ LA SEÑORA RODRÍGUEZ. -719</t>
  </si>
  <si>
    <t>DE FORMA PRELIMINAR INFORMO DE UN VENDAVAL PRESENTADO EN EL MUNICIPIO DE PUERTO TEJADA  CAUCA  EL DÍA 26 DE OCTUBRE DE 2013; SEGÚN INFORMACIÓN DEL SEÑOR WEISNER YESID CARVAJAL RESTREPO  COORDINADOR UMGRD, EN DONDE SE PRESENTARON AVERÍAS EN 40 VIVIENDAS TANTO EN LA ZONA RURAL COMO URBANA. -719</t>
  </si>
  <si>
    <t>INFORMAN DEL CMGRD DE MEDELLIN QUE NE HORAS DE LA TARDE SE PRESENTO UNA GRANIZADA AFECTANDO EL AREA RURAL DE SANTA HELENA, BOMBEROS MEDELLIN ATIENDE EL CASO, REPORTE INICIAL ES DE PERDIDA DE CULTIVOS DE PANCOGER Y LAS CUBIERTAS DE UNAS VIVIENDAS. -720</t>
  </si>
  <si>
    <t>REPORTA SECCIONAL CHOCO: CRECIENTE SUBITA DEL RIO CONDOTO, EL 27-10-2013 A LAS 13. 30 HORAS, DONDE EMBARCACION SE DESPLAZABA DE CONDOTO A LA VEREDA TAGUATA CON 5 PERSONAS Y POR FUERTES CORRIENTE LA EMBARCACION SE UNDIO DEJANDO UNA PERSONA DESAPARECIDA. PARTICIPAN 5 LIDERES DCC DE CONDOTO. PENDIENTE AMPLIACION. D.G.V. -721</t>
  </si>
  <si>
    <t>CDGRD DE CUNDINAMARCA, INFORMA,  ALONSO MUÑOZ DE LA UAEGRD, REPORTA INCENDIO FORESTAL, EN LA VEREDA ALTO DE ROSAS, MUNICIPIO DE SOACHA, INICIADO A LAS 09:00 HORAS DEL 25/10/13, SE ENCUENTRA ACTIVO Y HA AFECTADO 5 HECTÁREAS ENTRE BOSQUE NATIVO, PINOS Y EUCALIPTOS. ATIENDE BOMBEROS SIBATE, SOACHA Y SE SOLICITO APOYO AL ING. RAFAEL ROBLES DE LA CAR, A LAS 16:20 HORAS SE ENCUENTRA ACTIVO. QUEDO EXTINGUIDO A LAS 17:30 HORAS DEL 28/10/13 CON AFECTACION TOTAL DE 7 HECTAREAS ENTRE VEGETACION NATIVA Y BOSQUE PLANTADO DE PINOS Y EUCALIPTOS. ATENDIO BRIGADAS CAR, BOMBEROS SOACHA, SIBATE ,EJERCCITO NACIONAL,Y PONALSAR. -721</t>
  </si>
  <si>
    <t>SOCORRO NACIONAL, INFORMA, SE PRESENTÓ DESLIZAMIENTO EN EL BARRIO: EL REPOSO 1, 1 MENOR LESIONADA, 1 VIVIENDA DESTRUIDA.   D.G.V. -721</t>
  </si>
  <si>
    <t>POLICIA NACIONAL, INFORMA, UNA LANCHA, QUE TRANSPORTABA A UN GRUPO DE MINEROS INFORMALES QUE SE DIRIGÍA A UNA EXPLOTACIÓN AURÍFERA DE LA VEREDA SARDINAS, DE ITUANGO, ZOZOBRÓ Y CUATRO DE SUS NUEVE OCUPANTES DESAPARECIERON ARRASTRADOS POR EL CAUDAL DEL RÍO CAUCA.EL TENIENTE JAIRO CALLE, COMANDANTE DE LOS BOMBEROS VOLUNTARIOS DE ITUANGO, EN EL NORTE DE ANTIOQUIA, INFORMÓ QUE LA EMERGENCIA SE REGISTRÓ A LAS 6:30 DE LA TARDE DE ESTE MARTES, EN LOS BAJOS DEL PUENTE PESCADERO, DE LA VÍA QUE DE MEDELLÍN CONDUCE A ESE MUNICIPIO DEL NORTE DE ANTIOQUIA. CINCO DE LOS OCUPANTES DE LA EMBARCACIÓN LOGRARON NADAR HASTA LA ORILLA, PERO OTROS CUATRO NO CORRIERON CON IGUAL SUERTE Y FUERON LLEVADOS POR EL FUERTE CAUDAL DEL CAUCA HACIA UNA ZONA RÁPIDOS. POR EL PELIGRO QUE REPRESENTA LA FUERTE CORRIENTE DEL RÍO CAUCA EN UNA ZONA QUE NO ES NAVEGABLE Y DONDE SU LECHO ES ESTRECHADO POR LAS MONTAÑAS, INICIARÁN LAS LABORES DE BÚSQUEDA A PRIMERAS HORAS DE LA MAÑANA DE ESTE MIÉRCOLES. LA POLICÍA ALERTÓ POR ESTE HECHO AL COMANDO, A LOS PESCADORES Y HABITANTES DE PUERTO VALDIVIA, EN EL MUNICIPIO DE VALDIVIA,  PARA QUE ESTÉN ATENTOS AL RÍO Y AYUDEN AL RESCATE DE ESTAS PERSONAS. D.G.V. -721</t>
  </si>
  <si>
    <t>REPORTA VENDAVAL OCASINANDO AFECTACION  A 50 FAMILIAS, 50 VIVIENDAS AVERIADAS, REPORTA CDGRD. -451
BARRIOS EL DILUVIO, FLORES DE MARIA, PIÑONCITO, TABARDILLO, EL CARMEN Y ZONA RURAL.</t>
  </si>
  <si>
    <t>1520 BLOQUES</t>
  </si>
  <si>
    <t>13-0955</t>
  </si>
  <si>
    <t>4000 BLOQUES</t>
  </si>
  <si>
    <t xml:space="preserve"> </t>
  </si>
  <si>
    <t>13-0292
13-0961
13-1011
13-0904</t>
  </si>
  <si>
    <t>INCENDIO FORESTAL CONATO LOCALIZADO EN EL ALREDEDORES DEL COLEGIO DEL BARRIO MARÍA LA PAZ AL NORTE DE BUCARAMANGA, QUEMÁNDOSE APROXIMADAMENTE 0.5 HÁ DE ARBUSTOS PASTIZALES Y MALEZA. FUE ATENDIDO Y CONTROLADO POR EL CUERPO DE BOMBEROS DE BUCARAMANGA (ESTADIO) SIN REPORTAR MÁS NOVEDAD ESPECIAL NI AFECTACIÓN DE VIDAS HUMANAS NI ESTRUCTURALES. -722</t>
  </si>
  <si>
    <t>1960 VARILLAS DE 1/2, 13132 KG ACERO DE 3/8 (3909 VARILLAS), 16800 BLOQUES DE CEMENTO, 28 COMBOS SANITARIOS , TEJAS (672 NO. 8, 224 CABALLETES)</t>
  </si>
  <si>
    <t>13-1075
13-0780</t>
  </si>
  <si>
    <t>REPORTA INUNDACION EN EL COLEGIO JOSE ACEVEDO GOMEZ POR OBSTRUCCION DE SISTEMA DE ALCANTARILLADO OCASIONADO POR FUERTES LLUVIAS, DEBIDO A ESTO EL CENTRO EDUCATIVO DEBIO SER EVACUADO. REPORTA CDGRD. -723</t>
  </si>
  <si>
    <t>REPORTA EXPLOSIÓN DE UN CILINDRO DE GAS, DENTRO DE  UNA VIVIENDA UBICADA EN LA CARRERA 9 CALLE 10B   BARRIO NÉMESIS, LA CUAL OCASIONO LA DESTRUCCIÓN DE LA CASA, 3 PERSONAS FALLECIDAS, 1 PERSONA LESIONADA LA CUAL FUE TRASLADA AL  HOSPITAL CARDIOVASCULAR DE SOACHA. ATENDIÓ CMGRD. BOMBEROS SOACHA, CTI, POLICÍA Y AMBULANCIAS DE LOS HOSPITALES. HECHOS OCURRIDOS HACIA LAS 15:10 HORAS DEL DÍA DE HOY. REPORTA CDGRD. -723</t>
  </si>
  <si>
    <t>REPORTA VENDAVAL EN LA ZONA URBANA, DESENTECHANDO LA ALCALDIA, 1 HOTEL, PLAZA DE MERCADO, Y 50 VIVIENDAS, 50 FAMILIAS, 250 PERSONAS, IGUALMENTE QUE HAY TEJAS SOBRE LAS CUERDAS CAUSANDO CORTOS, SE LLAMO A ENERTOLIMA, EL CMGRD SE ENCUENTRA ATENDIENDO LA EMERGENCIA. REPORTA CDGRD. -723</t>
  </si>
  <si>
    <t>REPORTA AVALANCHA DE LA QUEBRADA EL CHAQUIRO, EN CORREGIMIENTO DE COMBIA SECTOR EL MONASTERIO, ORGANISMOS DE SOCORRO SE DESPLAZAN A LA ZONA, SITUACION EN DESARROLLO. -723</t>
  </si>
  <si>
    <t>REPORTA QUE EL DIA 29 DE OCTUBRE SE PRESENTO VENDAVAL EN LA VEREDA EL TOTUI DEJANDO 2 VIVIENDAS AVERIADAS, 2 FAMILIAS, 10 PERSONAS, REPORTA CDGRD. RECIBE WALTER GONZALEZ. -723</t>
  </si>
  <si>
    <t>REPORTA VENDAVAL EN LA VEREDA LA MONTOYA DEJANDO UN CENTRO EDUCATIVO AVERIADO EN SU TECHO, REPORTA CDGRD. -723</t>
  </si>
  <si>
    <t>REPORTA VENDAVAL EN LA VEREDA LA MIRANDA OCURRIDO EL DIA 29 DE OCTUBRE, DEJANDO 7 VIVIENDAS AVERIADAS POR CAIDA DE ARBOLES SOBRE SUS TECHOS, 7 FAMILIAS, 35 PERSONAS, EL ACUEDUCTO DE LA VEREDA DESTRUIDO POR CAIDA DE UN GUADUAL SOBRE EL, REPORTA CDGRD, RECIBE WALTER GONZALEZ. -723</t>
  </si>
  <si>
    <t>REPORTA VENDAVAL EN EL SECTOR RURAL DE TARAPACA 2, DEJANDO 2 VIVIENDAS AVERIADAS, CULTIVOS DE PLATANO Y CAFÉ DESTRUIDOS PENDIENTE POR ESTABLECER HECTAREAS, REPORTA CDGRD. -723</t>
  </si>
  <si>
    <t>REPORTA VENDAVAL EN EL BARRIO LA ESNEDA DEJANDO 15 VIVIENDAS AVERIADAS, 15 FAMILIAS, 75 PERSONAS, CMGRD ACTIVO REALIZANDO EDAN, REPORTA CDGRD. -723
REPORTA INUNDACION EN EL BARRIO LA ESNEDA DEJANDO 5 VIVIENDAS AVERIADAS, 5 FAMILIAS, 25 PERSONAS, REPORTA CDGRD. -723
REPORTA DESLIZAMIENTO EN EL BARRIO LA ESNEDA DEJANDO 1 VIVIENDA AVERIADA, 1 FAMILIA, 5 PERSONAS Y 9 VIVIENDAS ESTAN EN RIESGO, EL CMGRD REALIZA EVALUACION DEL TERRENO, REPORTA CDGRD. -723</t>
  </si>
  <si>
    <t>CMGRD DE ARMENIA, INFORMA, SE PRESENTAN INUNDACIONES, EN CRA.21 A # 8-05, CRA. 12 # 13-34, CLL 2 # 6-69, LA ESTANCIA- CASA 15. AV CENTENARIO CONDOMINIO LOS ANGELES, APTO 14,  DESLIZAMIENTOS EN LOS BARRIOS: LAS MARGARITAS, # 6-93, CLL 2 NORTE # 18-116- HOTEL SAN FERNANDO- AGRIETAMIENTO, SITUACIONES EN DESARROLLO, PENDIENTE CONSOLIDADO. D.G.V. -724</t>
  </si>
  <si>
    <t>CDGRD DEL HUILA, INFORMA. SE PRESENTA VENDAVAL, EN LAS VEREDAS: LA ONDA Y SANTA ROSA, PENDIENTE AFECTACIÓN. D.G.V. -724</t>
  </si>
  <si>
    <t>CDGRD DEL HUILA, INFORMA. SE PRESENTÓ  VENDAVAL, ACOMPAÑADO DE LLUVIAS, BARRIO: LOS SAUCES, 1 VIVIENDA AFECTADA. D.G.V. -724</t>
  </si>
  <si>
    <t>CDGRD DE CALDAS, INFORMA, SE PRESENTA VENDAVAL, ZONA RURAL, REALIZAN EDAN, SITUACIÓN EN DESARROLLO. D.G.V. -724</t>
  </si>
  <si>
    <t>CDGRD DEL CHOCO, INFORMA, SE PRESENTÓ INCENDIO ESTRUCTURAL, 29-10-2013, CORREGIMIENTO: BOCA DE OPOGADO, 2 PERSONAS HERIDAS, 4 VIVIENDAS DESTRUIDAS, ATENDIO EL CMGRD Y COMUNIDAD. -724</t>
  </si>
  <si>
    <t>CDGRD DE SANTANDER, INFORMA, 30-10-2013. 12:00 HORAS: SE PRESENTÓ, INCENDIO FORESTAL, EN LA VEREDA:  RUITOQUE ALTO,  ALEDAÑO A LA ESCUELA  DE PARAPENTE- LAS ÁGUILAS,  AFECTANDO: APROXIMADAMENTE:   2 HECTÁREAS  DE VEGETACIÓN DE ARBUSTOS,  Y PASTIZALES,  APOYARON BOMBEROS DE: FLORIDABLANCA. -724</t>
  </si>
  <si>
    <t>CDGRD DEL TOLIMA, INFORMA, SE PRESENTA VENDAVAL, ACOMPAÑADO DE LLUVIAS, REALIZAN EDAN, SITUACIÓN EN DESARROLLO. -724</t>
  </si>
  <si>
    <t>3 TANQUES DE 20,000 LTS, 2000 LADRILLOS, 25 VARILLAS DE 1/2, 4 KILOS DE ALAMBRE DE AMARRE, 166 TUBOS DE 4" RDE21, 500 TUBOS DE 3" RDE21, 170 UNIONES DE 4" RDE21, 504 UNIONES DE 3" RDE21, 103 CODOS DE 3" RDE21, 10 SEMICODOS DE 3" RDE21, 1 REDUCCION DE 3" A 4" RDE21</t>
  </si>
  <si>
    <t>13-0956</t>
  </si>
  <si>
    <t>EN LA VEREDA PEDREGAL MUNICIPIO DE CALOTO, LA QUEBRADA  SE CRECIÓ DEBIDO A LAS FUERTES LLUVIAS, LA CUAL OCASIONO PERDIDA DE LA VÍA, "A CARGO DE INVÍAS .ESTA ES LA VÍA DE ACCESO PRINCIPAL  AL MUNICIPIO DE TORIBIO.EN EL RESGUARDO DE TACUEYÓ, VEREDA LA FONDA EL RÍO LOPEZ HA SUBIDO SU CAUDAL A UN NIVEL DE MÁXIMA. -725</t>
  </si>
  <si>
    <t>DEL CMGRD DE SUCRE CAUCA,  REPORTAN 70 VIVIENDAS  AFECTADAS POR INUNDACIONES EN LOS BARRIOS ESTUDIANTIL, CENTRO UNIDOS, CAMPIN, SILOE, ANDES DE PUERTO TEJANDA, EN ESTE MOMENTO SE REALIZA EDAN. -725</t>
  </si>
  <si>
    <t>CDGRD REPORTA HACIA LAS 19:49 VENDAVAL REGISTRADO EN ESTE MUNICIPIO EN LA VEREDA SAN ISIDRO ALTO CON AFECTACION EN 3 VIVIENDAS Y 1 MAS EN LA VEREDA PIRAVANTE BAJO, IGUAL NUMERO DE FAMILIAS, NO LESIONADOS U OTRO D.L.M. -726</t>
  </si>
  <si>
    <t>CDGRD REPORTA HACIA LAS 19:49 VENDAVAL REGISTRADO EN ESTE MUNICIPIO EN LA VEREDA RAMITAS CON AFEC TACION EN 1 VIVIENDA, 1 FAMILIA, NO LESIONADOS U OTRO, D.L.M. -726</t>
  </si>
  <si>
    <t>MAURICIO RIVEROS DE LA DEFENSA CIVIL SECCIONAL CUNDINAMARCA, REPORTA MEDIANTE CORREO ELECTRÓNICO DÍA 30/10/13 A LAS 21:00 HORAS SE PRESENTO FUERTE GRANIZADA CON LLUVIAS, TORMENTA ELÉCTRICA Y VIENTOS EN LA VEREDA SALITRE SAN RAFAEL, OCASIONANDO INUNDACIÓN EN LAS VÍAS POR SATURACIÓN DE LOS COLECTORES Y AVERÍAS  CON PERDIDA DE MUEBLES Y ENSERES EN UNA VIVIENDA POR COLAPSO DE PARTE DEL TEJADO DEBIDO AL PESO DEL GRANIZO. ATENDIÓ CMGRD Y DEFENSA CIVIL, REPORTA CDGRD 31/10/2013 VIA E-MAIL D.L.M. -726</t>
  </si>
  <si>
    <t>VÍCTOR HUGO GUEVARA SECRETARIO DE GOBIERNO DE APULO, REPORTA VÍA TELEFÓNICA  FUERTES AGUACEROS PRESENTADOS A LAS 16:30 HORAS DEL 30/10//13, QUE PROVOCARON  INUNDACIONES EN EL CENTRO POBLADO DE LA VEREDA LA MESETA Y SECTOR HOLANDA CON AFECTACIÓN A 13 VIVIENDAS POR PERDIDA DE TECHOS, MUEBLES Y ENSERES; TAMBIÉN HUBO CAÍDA DE POSTES DE CONDUCCIÓN ELÉCTRICA QUE DEJARON SIN EL SERVICIO  A ESTOS SECTORES ATENDIÓ CMGRD. REPORTA CDGRD 31/10/2013 VIA E-MAIL, D.L.M. -726</t>
  </si>
  <si>
    <t>LUIS CARLOS BARRETO DEL CMGRD DE FUSAGASUGÁ, REPORTA VENDAVAL OCURRIDO EN EL MUNICIPIO DE PASCA EN HORAS DE LA TARDE DEL DÍA 30/10/13, EL CUAL OCASIONÓ PERDIDA DE TECHOS, ALGUNOS MUEBLES Y ENSERES EN 13 VIVIENDAS, DE LAS CUALES 1 QUEDO INHABITABLE Y LAS PERSONAS EVACUARON A DONDE FAMILIARES. ATENDIÓ BOMBEROS FUSAGASUGÁ Y CMGRD DE PASCA SOLICITAN AYUDAS HUMANITARIAS Y TEJAS, REPORTA CDGRD 31/10/2013 VIA E-MAIL, D.L.M. -726</t>
  </si>
  <si>
    <t>LUIS CARLOS BARRETO DEL CMGRD DE FUSAGASUGÁ REPORTA DÍA 30/10/13 EN HORAS DE LA TARDE SE PRESENTO VENDAVAL ACOMPAÑADO DE FUERTES LLUVIAS QUE OCASIONARON EN 1 VIVIENDA PERDIDA DE TECHO, MUEBLES Y ENSERES; TAMBIÉN SE PRESENTO DESLIZAMIENTO EN EL MISMO SECTOR ESTA SIENDO EVALUADO POR EL CMGRD, ATIENDE BOMBEROS FUSAGASUGÁ Y CMGRD. REPORTA CDGRD 31/10/2013 VIA E-MAIL, D.L.M. -726</t>
  </si>
  <si>
    <t>UNA VEZ REALIZADA LA EVALUACION DE DAÑOS OCASIONADA POR LA AVALANCHA DEL RIO CURIACO Y QUEBRADA LA BOMBEADORA SE ESTABLECIO LA SIGUIENTE AFECTACION: 10 FAMILIAS, 1 HERIDO, 10 VIVIENDAS EN RIESGO, 4 PUENTES PEATONALES DESTRUIDAS, 1 DISTRITO DE RIESGO Y EL CENTRO EDUCATIVO GUAYABAL. EL CMGRD TANGUA Y DAGRD NARIÑO ADELANTARON LAS SIGUIENTES ACCIONES: EVACUACION DE LAS FAMILIAS EN ZONA DE RIESGO, MUNICIPIO BRINDARA AYUDA ALIMENTARIA, EL DEPARTAMENTO SUMINISTRARA SUBSIDIO DE ARRENDAMIENTO, COLCHONETAS Y COBIJAS SE SOLICITA A LA UNGRD EL APOYO CON MATERIALES PARA LA RECONSTRUCCION DE LOS PUENTES PEATONALES DESTRUIDOS, INFO0RMACION QUE SE ACTUALIZA HOY 31/10/2013 CDGRD ENVIO E-MAIL. D.L.M. -726</t>
  </si>
  <si>
    <t>DAVID RODRÍGUEZ DE LA UAEGRD DE CUNDINAMARCA INFORMA QUE FUERON 70 PERSONAS LAS AFECTADAS DE 12 FAMILIAS, 9 VIVIENDAS AVERIADAS Y 3 DESTRUIDAS, CON APOYO DE LA UNGRD SE ENVIARON AL SITIO AYUDAS HUMANITARIAS CONSISTENTES EN 20 KIT NOCHE, 20 KIT DE ASEO Y POR PARTE DE LA UAEGRD DE CUNDINAMARCA 12 MERCADOS, LA ALCALDÍA REALIZA GESTIÓN PARA SUBSIDIO DE ARRENDAMIENTO DE LAS 3 FAMILIAS QUE PERDIERON SU VIVIENDA, SE ACUALIZA DE ACUERDO AL REPORTE QUE SE RECIBE VIA E-MAIL DEL CDGRD D.L.M. -726</t>
  </si>
  <si>
    <t>APOYO DEL FNGRD MEDIANTE TRANSFERENCIA ECONOMICA AL MUNICIPIO DE BETULIA CON EL FIN DE REALIZAR LAS SIGUIENTES OBRAS DE REHABILITACION: REHABILITACION DEL PUENTE SOBRE LA QUEBRADA LA SUCIA ($386,784,310), REHABILITACION DEL PUENTE COLGANTE GUADAL - ALTAMIRA 15 MTS DE LUZ($87,068,350), OBRAS DE MITIGACION SECTOR BARRIO NUEVO ($50,181,481), REHABILITACION PUENTE COLGANTE GUADUAL - LA FALDA 50 MTS DE LUZ ($216,706,600) COSTOS DIRECTOS $740,740,741. AIU 35%, 259,259,259.</t>
  </si>
  <si>
    <t>APOYO DEL FNGRD MEDIANTE TRANSFERNCIA ECONOMICA AL cmgrd XON EL OBJETO DE REALIZAR LA CONSTRUCCION DEL ALIVIADERO DEL BOX COULVERT QUE PERMITIRA EL DESCARGUE DE LAS AGUAS QUE CAUSAN REBOSE DEL BOX COULVERT EN EL MUNICIPIO DE NORCAIS</t>
  </si>
  <si>
    <t>APOYO DEL FNCGRD MEDIANTE TRANSFERENCIA ECONOMICA AL CMGRD CON EL OBJETO DE REALIZAR LA CONSTRUCCION DEL PUESTE VEHICULAR SOBRE EL RIO POCORO VEREDAS PICARDIAS Y EL TIGRILLO EN EL MUNICIPIO DEAMALFI.</t>
  </si>
  <si>
    <t>APOYO DEL FNCGRD MEDIANTE TRANSFERENCIA ECONOMICA AL CMGRD CON EL OBJETO DE REALIZAR LA ESTABILIZACION DE LA MARGEN DERECHA DEL RIO PAVARANDO A LA ALTURA DE LA VEREDA LA SECRETA CON LA CONSTRUCCION DE UN MURO EN GAVIONES Y OBRAS COMPLEMENTARIAS ($802,396,725) Y LA ESTABILIZADON DE BANCA DE VIA CON LA CONSTRUCCION DE UN BOX COULVERT VIA MUTATA - BELEN DE UMBRIA ($197,603,275) EN EL MUNICIPIO DE MUTATA</t>
  </si>
  <si>
    <t>REPORTA AVALANCHA DEL RIO BRAVO EL CUAL OCASIONO COLAPSO DE PUENTE VEHICULAR QUE COMUNICA AL MUNICIPIO CON EL MUNICIPIO DE LA CUMBRE, REPORTA CDGRD. -727</t>
  </si>
  <si>
    <t>REPORTA INUNDACION A CAUSA DE DESBORDAMIENTO DE RIO FUNDACION, INICIADO A LAS 20:00, EL REPORTE PRELIMINAR ES DE 13 BARRIOS INUNDADOS CON UNA ALTURA PROMEDIO DEL AGUA DE 1 MT, EL COMANDANTE DE BOMBEROS MANIFIESTA QUE EL MUNICIPIO VECINO DE ARACATACA SE DEBE ENCONTRAR EN LAS MISMAS CONDICIONES PERO AL MOMENTO NO SE HA PODIDO ESTABLECER COMUNICACION CON ELLOS. EL SOLICITA APOYO A BOMBEROS SANTAMARTA Y VAN A SALIR A APOYAR LA SITUACION, REPORTA BOMBEROS FUNDACION MAGDALENA. SE LLAMA AL CDGRD PERO NO CONTESTAN EL CELULAR. SITUACION EN DESARROLLO. -727</t>
  </si>
  <si>
    <t>REPORTA INCENDIO ESTRUCTURAL EN EL MUNICIPIO DE LA MESA EN EDIFICACION PREFABRICADA CONTIGUA A LA ALCALDIA CONTROLADO Y EXTINGUIDO POR BOMBEROS, DEFENSA CIVIL Y POLICIA DE CUNDINAMARCA, A LAS 22:30, SOLO HUBO AFECTACION EN ESTA ESTRUCTURA, REPORTA SOCORRO NACIONAL. RECIBE WALTER GONZALEZ. -727</t>
  </si>
  <si>
    <t>INFORMA LA ING ADRIANA HERNANDEZ COORDINADORA DEL CDGRD DE CASANARE QUE EN EL MUNICIPIO DE HOT COROZAL SE PRESENTO UNA INUNDACION EN  5 VEREDAS  POR EL RIOS  CASANARE , LAS VEREDAS AFECTADAS SON  ALTAMIRANDA, EL CONTROL,EL PUERTO, SARRAPIO, CASANARITO. -728</t>
  </si>
  <si>
    <t>EN EL RIO CUSIANA UN MENOR DE EDAD SE ENCUENTRA DESAPARECIDO POR INMERSION DESDE LE DIA DE AYER, LOS ORGANISMO DE SOCORRO Y AUTORIDADES  SE ENCUENTRAN EN LA BUSQUEDAD DEL MENOR. -728</t>
  </si>
  <si>
    <t>SE PRESENTO  POR UN FUERTE AGUACERO QUE SE REGISTRÓ EN LA TARDE DE ESTE JUEVES Y QUE DEJÓ VARIOS SECTORES DE LA CIUDAD INUNDADOS Y CON VARIAS VÍAS PRINCIPALES COLAPSADAS.MANGA (CERCA AL PEAJE), AVENIDA DEL LAGO, CENTRO (SECTOR INDIA CATALINA), TRANSVERSAL 54 (SECTOR EL AMPARO), SON ALGUNOS DE LOS PUNTOS EN LOS QUE SE REGISTRARON  TRANCONES, AL MOMENTO NO SE REGISTRAN VIVIENDAS AFECTADAS. -728</t>
  </si>
  <si>
    <t>13-1012</t>
  </si>
  <si>
    <t>13-1053</t>
  </si>
  <si>
    <t>MATERIALES PARA LA RECONSTRUCCION DE 50 VIVIENDAS</t>
  </si>
  <si>
    <t>13-0957</t>
  </si>
  <si>
    <t>CMGRD DE LA CUMBRE, INFORMA, 30-10-2013, SE PRESENTÓ, CRECIENTE DEL RÍO, ACOMPAÑADO DE LLUVIAS, TORMENTA ELÉCTRICA Y VENDAVAL, EN EL SECTOR: RÍO GRANDE, VÍA QUE DE LA CUMBRE , CONDUCE AL MPIO DE RESTREPO, OCASIONANDO LA PERDIDA TOTAL DE 1 PUENTE VEHICULAR, DEJANDO LA COMUNIDAD INCOMUNICADA, AL IGUAL QUE EL SERVICIO DE TRANSPORTE  PÚBLICO, SITUACIÓN EN DESARROLLO. -729</t>
  </si>
  <si>
    <t>CDGRD DEL QUINDIO, INFORMA, SE PRESENTAN , 5 DESLIZAMIENTOS, EN LA VÍA HOJAS ANCHAS,  CIRCASIA, LA GOBERNACIÓN DEL QUINDIO A TRAVES DE LA SECRETARIA DE INFRAESTRUCTURA, APOYA A LA REMOCIÓN. -729</t>
  </si>
  <si>
    <t>CDGRD DE CUNDINAMARCA, INFORMA, CT. JOSÉ MIGUEL SÁNCHEZ DE BOMBEROS, ZIPAQUIRÁ, REPORTA VÍA TELEFÓNICA, INCENDIO FORESTAL, EN LA VEREDA SAN JORGE, DEL MUNICIPIO DE ZIPAQUIRÁ, INICIADO A LAS 12:00 Y EXTINGUIDO A LAS 15:00 HORAS DEL 01/11/13 CON AFECTACIÓN DE 1 HECTÁREA DE VEGETACIÓN NATIVA. ATENDIÓ BOMBEROS ZIPA, EMPRESA DE ACUEDUCTO DE ZIPA Y COMUNIDAD. -729</t>
  </si>
  <si>
    <t>CDGRD DE CUNDINAMARCA, INFORMA, TE. MAURICIO JIMÉNEZ DE BOMBEROS GUASCA, REPORTA VÍA TELEFÓNICA,  INCENDIO FORESTAL EN GUATAVITA, CERRO MONTECILLO, INICIADO A LAS 14:00 Y EXTINGUIDO A LAS 16:30 HORAS  DEL  01/11/13, CON  AFECTACIÓN DE 6  HECTÁREAS DE BOSQUE NATIVO, ATENDIÓ, BOMBEROS GUASCA. -729</t>
  </si>
  <si>
    <t>CDGRD DE CUNDINAMARCA, INFORMA, TE. ÁNGEL ARTURO HERNÁNDEZ DE BOMBEROS TENJO REPORTA VÍA TELEFÓNICA  INCENDIO ESTRUCTURAL ,  EN LA CARRERA 11 DEL MUNICIPIO DE TENJO, INICIADO A LAS 10:40 Y EXTINGUIDO A LAS 11:00 HORAS DEL 31/10/13, CON PERDIDA TOTAL, DE UNA HABITACIÓN CON SUS MUEBLES Y ENSERES. ATENDIÓ BOMBEROS TENJO Y BOMBEROS TABIO. -729</t>
  </si>
  <si>
    <t>CDGRD DE CUNDINAMARCA, INFORMA, DIMAS RODRÍGUEZ DE LA DEFENSA CIVIL DE COGUA, REPORTA VÍA TELEFÓNICA, INCENDIO ESTRUCTURAL EN UNA VIVIENDA DEL BARRIO MORTIÑO DEL MUNICIPIO DE COGUA, INICIADO A LAS 11:50 Y EXTINGUIDO A LAS 12:40 DEL 01/11/13, AFECTADA 1 FAMILIA, 6 PERSONAS CON PERDIDA TOTAL DE MUEBLES, ENSERES,  ROPA Y LA ESTRUCTURA . ATENDIÓ DEFENSA CIVIL Y CMGRD. -729</t>
  </si>
  <si>
    <t>CDGRD DE NORTE DE SANTANDER, INFORMA, MPIO DE CUCUTA, EN UNA CONSTRUCCIÓN, EN EL BARRIO EL RODEO, UN BLOQUE DE CEMENTO, TRANSPORTADO X GRÚA CAYO SOBRE DOS PERSONAS DEJANDO UN MUERTO Y TRES HERIDO. -730</t>
  </si>
  <si>
    <t>REPORTA ACCIDENTE DE TRANSITO DE BUS ESCALERA EN LA VEREDA AGUAMALA, DEJANDO 5 PERSONAS FALLECIDAS, 25 LESIONADAS, DE LAS CUALES 4 FUERON REMITIDAS A MEDELLIN POR LA FUERZA AEREA, ENTIDADES OPERATIVAS Y AMBULANCIAS LOCALES APOYARON LA EMERGENCIA, REPORTA CDGRD. -731</t>
  </si>
  <si>
    <t>REPORTA INCENDIO FORESTAL EN LA VEREDA POTRERILLO, CONTROLADO Y EXTINGUIDO, ATNDIERON  BOMBEROS Y COMUNIDAD, HECTAREAS AFECTADAS 80, REPORTA CDGRD. -731</t>
  </si>
  <si>
    <t>REPORTA VENDAVAL EN LA VEREDA SAN ANDRÉS OCURRIDO EL PASADO 29 DE OCTUBRE, DEJANDO 15 VIVIENDAS AVERIADAS, 15 FAMILIAS, 75 PERSONAS, EL CMGRD REALIZA ENTREGA DE AHE, REPORTA CDGRD. -731</t>
  </si>
  <si>
    <t>CDGRD DE CUNDINAMARCA, INFORMA, EN UNA EMPRESA QUESERA, DE NOMBRE: ALPILAC, SE EXPLOTA LA CALDERA, CON EL SALDO DE DOS MUERTOS, UN HERIDO DE ALTA COMPLEJIDAD Y TRES HERIDOS LEVES, APOYARON: BOMBEROS CHOCONTA Y D.C.C. D.G.V. -732</t>
  </si>
  <si>
    <t>CDGRD DEL TOLIMA, INFORMA, SE PRESENTÓ ACCIDENTE DE TRANSITO,  PRECIPITACIÓN DE UN BUS ESCALERA A UN ABISMO, SECTOR: ALTOS DE LA PALMA,  4 PERSONAS FALLECIDAS, 31 HERIDOS.REPORTA CDGRD. (WALTER). -733</t>
  </si>
  <si>
    <t>REPORTA FUERTES LLUVIAS Y DESLIZAMIENTO EN EL SECTOR EL PUEBLITO, QUE DESTRUYO 1 VIVIENDA DEJANDO 1 FAMILIA DAMINIFICADA, 5 PERSONAS, HAY VARIOS DESLIZAMIENTOS EN LAS VIAS RURALES, REPORTA CDGRD. -733</t>
  </si>
  <si>
    <t>EL COORDINADOR DE CMGRD DE POLICARPA INFORMA QUE COMO CONSECUENCIA DE LOS DESLIZAMIENTOS PRESENTADOS EL 1 DE NOVIEMBRE, RESULTARON AFECTADAS 10 FAMILIAS, 48 PERSONAS, 5 VIVIENDAS DESTRUIDAS, 4 VIVIENDAS AVERIADAS. REPORTA CDGRD. (WALTER). -733</t>
  </si>
  <si>
    <t>REPORTA INUNDACION EN EL BARRIO NUEVA GLORIA LOCALIDAD SAN CRISTOBAL, 5 VIVIENDAS AVERIADAS, 5 FAMILIAS, 25 PERSONAS, REPORTA FOPAE. -733</t>
  </si>
  <si>
    <t>SECCIONAL DEL META, INFORMA, SE PRESENTÓ VENDAVAL, CORREGIMIENTO: SAN CARLOS DE GUAROA, AFECTANDO: 4 VIVIENDAS EN TECHOS. D.G.V. -734</t>
  </si>
  <si>
    <t>SECCIONAL DE ANTIOQUIA, INFORMA, VENDAVAL, EN LA VEREDA: CANADA, AFECTANDO: 5 VIVIENDAS EN TECHOS. D.G.V. -734</t>
  </si>
  <si>
    <t>SECCIONAL ANTIOQUIA, REPORTA,  DESBORDAMIENTO DEL RÍO ANORI,  EN LAS VEREDAS LIBERIA Y MADRE SECA, 1 VIVIENDA DESTRUIDA, 29 VIVIENDAS AVERIADAS, CMGRD ACTIVO, SITUACIÓN EN DESARROLLO. D.G.V. -734</t>
  </si>
  <si>
    <r>
      <t xml:space="preserve">REPORTA ACCIDENTE DE TRANSITO DE BUS ESCALERA QUE RODO 80 MTS EN LA VEREDA VILLANUEVA EN LA VIA QUE CONDUCE DE TORIBIO A JAMBALO, EN REPORTE ENVIADO VIA E-MAIL POR MINISTERIO DE SALUD INFORMA: ÚLTIMO REPORTE CRUE CAUCA: </t>
    </r>
    <r>
      <rPr>
        <b/>
        <sz val="9"/>
        <color indexed="8"/>
        <rFont val="Arial"/>
        <family val="2"/>
      </rPr>
      <t xml:space="preserve">CLÍNICA LA ESTANCIA-POPAYÁN </t>
    </r>
    <r>
      <rPr>
        <sz val="9"/>
        <color indexed="8"/>
        <rFont val="Arial"/>
        <family val="2"/>
      </rPr>
      <t xml:space="preserve">7, </t>
    </r>
    <r>
      <rPr>
        <b/>
        <sz val="9"/>
        <color indexed="8"/>
        <rFont val="Arial"/>
        <family val="2"/>
      </rPr>
      <t xml:space="preserve">HOSPITAL UNIVERSITARIO SAN JOSE–POPAYÁN </t>
    </r>
    <r>
      <rPr>
        <sz val="9"/>
        <color indexed="8"/>
        <rFont val="Arial"/>
        <family val="2"/>
      </rPr>
      <t xml:space="preserve">6, </t>
    </r>
    <r>
      <rPr>
        <b/>
        <sz val="9"/>
        <color indexed="8"/>
        <rFont val="Arial"/>
        <family val="2"/>
      </rPr>
      <t>HOSPITAL FRANCISCO DE PAULA SANTANDER-SANTANDER DE QUILICHAO (CAUCA</t>
    </r>
    <r>
      <rPr>
        <sz val="9"/>
        <color indexed="8"/>
        <rFont val="Arial"/>
        <family val="2"/>
      </rPr>
      <t xml:space="preserve">) 6, </t>
    </r>
    <r>
      <rPr>
        <b/>
        <sz val="9"/>
        <color indexed="8"/>
        <rFont val="Arial"/>
        <family val="2"/>
      </rPr>
      <t>HUV CALI</t>
    </r>
    <r>
      <rPr>
        <sz val="9"/>
        <color indexed="8"/>
        <rFont val="Arial"/>
        <family val="2"/>
      </rPr>
      <t xml:space="preserve">  2, </t>
    </r>
    <r>
      <rPr>
        <b/>
        <sz val="9"/>
        <color indexed="8"/>
        <rFont val="Arial"/>
        <family val="2"/>
      </rPr>
      <t>HOSPITAL LOCAL JÁMBALO</t>
    </r>
    <r>
      <rPr>
        <sz val="9"/>
        <color indexed="8"/>
        <rFont val="Arial"/>
        <family val="2"/>
      </rPr>
      <t xml:space="preserve"> 34, </t>
    </r>
    <r>
      <rPr>
        <b/>
        <sz val="9"/>
        <color indexed="8"/>
        <rFont val="Arial"/>
        <family val="2"/>
      </rPr>
      <t>FALLECIDOS</t>
    </r>
    <r>
      <rPr>
        <sz val="9"/>
        <color indexed="8"/>
        <rFont val="Arial"/>
        <family val="2"/>
      </rPr>
      <t xml:space="preserve"> 10, </t>
    </r>
    <r>
      <rPr>
        <b/>
        <sz val="9"/>
        <color indexed="8"/>
        <rFont val="Arial"/>
        <family val="2"/>
      </rPr>
      <t>TOTAL</t>
    </r>
    <r>
      <rPr>
        <sz val="9"/>
        <color indexed="8"/>
        <rFont val="Arial"/>
        <family val="2"/>
      </rPr>
      <t xml:space="preserve"> 65 PERSONAS. NOTA. DE LOS 34 HERIDOS EN EL HOSPITAL LOCAL 24 FUERON DADOS DE ALTA Y 10 QUEDAN EN OBSERVACIÓN</t>
    </r>
  </si>
  <si>
    <t>SE REGISTRA INCENDIO ESTRUCTURAL EN VILLAVICENCIO, SE REALIZA LLAMADA A LA DRA PATRICIA BAQUERO QUIEN INFORMA DICHA SITUACION E INDICA QUE ES EN EL BARRIO SAN ISIDRO EN BODEGA DE INSUMOS VETERINARIOS, AL MOMENTO INDICA QUE ESTA ATENDIENDO EL CUERPO DE BOMBEROS CON 7 MAQUINAS Y 32 UNIDADES SEGÚN REPORTE DEL MISMO ORGANISMO DE SOCORRO, NO LESIONADOS,  SE RALIZA ENLACE CON LA DIRECCION NHACIONAL D3E BOMBEROS QUIEN HACIA LAS 21:33 REPORTA VILLAVICENCIO-META INCENDIO ESTRUCTURAL EN FABRICA DE CONCENTRADOS, PLASTICOS Y ENSERES, 35 UNIDADES DE BOMBEROS Y 4 MAQUINAS ATIENDEN EMERGENCIA EN LA CLL 37 # 28-22, SOCORRO NACIONAL INFORMA IGUALMENTE QUE PONAL ESTUBO EN EL SITIO Y CRUZ ROJA APOYO CON AMBULACIA.</t>
  </si>
  <si>
    <t>SE REGISTRA INCENDIO ESTRUCTURAL EN LA LOCALIDAD DE CHAPINERO  CLL 59 # CRA 9A-3, ATIENDE CUERPO DE BOMBEROS CON 3 MAQUINAS, ES RESCATADO UN HOMBRE DE 72 AÑOS QUIEN ES TRASLADADO HACIA CENTRO ASISTENCIAL POR INHALACION DE HUMO.</t>
  </si>
  <si>
    <t>APOYO DEL FNGRD CON EL OBJETO DE REALIZAR LA ADQUISICION DE UN AUNIDAD DE RESCATE PARA LA ATENCIÓN DE EMERGENCIAS EN EL MUNICIPIO DE TIMANA</t>
  </si>
  <si>
    <t>LAS FUERTES LLUVIAS QUE AZOTARON A MEDELLÍN DURANTE LA NOCHE DEL PASADO DOMINGO ORIGINARON UN DESLIZAMIENTO QUE AFECTÓ CINCO CASAS DEL CORREGIMIENTO ALTAVISTA SECTOR CERCANO A LA CASA DE GOBIERNO.EL DIRECTOR DEL DEPARTAMENTO ADMINISTRATIVO DE GESTIÓN DEL RIESGO DE DESASTRES DE MEDELLÍN, DAGRD, CARLOS ALBERTO GIL, DIJO QUE HACIA LAS 10:00 DE LA NOCHE DEL DOMINGO LOS HABITANTES INFORMARON SOBRE UN ALUD EN LA CALLE 18 CON LA CARRERA 105 Y ALLÍ ACUDIERON EL CUERPO DE BOMBEROS Y MIEMBROS DE LA COMISIÓN TÉCNICA Y SOCIAL DE ESE ORGANISMO, QUIENES RECOMENDARON EL DESALOJO PREVENTIVO DE 11 VIVIENDAS. -737</t>
  </si>
  <si>
    <t>CDGRD DE RISARALDA, INFORMA, SE PRESENTA, VENDAVAL, EN LA VEREDA: CHORROSCO, REALIZAN EDAN, SITUACIÓN EN DESARROLLO. D.G.V. -739</t>
  </si>
  <si>
    <t>CDGRD DE RISARALDA, INFORMA, SE PRESENTA, VENDAVAL, EN LAS VEREDAS: LA PLAYA, EL BRILLANTE,  REALIZAN EDAN, SITUACIÓN EN DESARROLLO. D.G.V. -739</t>
  </si>
  <si>
    <t>SECCIONAL DEL CASANARE, INFORMA, DESBORDAMIENTO DEL RÍOCASANARE, AFECTANDO, LA VEREDA: PUEBLO NUEVO, 4 FAMILIAS AFECTADAS, AFECTACIÓN EN CULTIVOS Y ANIMALES. D.G.V. -739</t>
  </si>
  <si>
    <t>CDGRD DE CUNDINAMARCA, INFORMA, SG. YESID PERILLA DE BOMBEROS GACHALA, REPORTA VÍA TELEFÓNICA INCENDIO ESTRUCTURAL, OCURRIDO EN UNA VIVIENDA DE UN SEÑOR DE 70 AÑOS UBICADA, EN  LA CALLE  PRIMERA VÍA A PALOMAS, DONDE HUBO PERDIDA DE MUEBLES Y ENSERES. ATENDIÓ BOMBEROS GACHALA. D.G.V. -739</t>
  </si>
  <si>
    <t>INFORMA CDMGR BOGOTA QUE EN EL BARRIO TOCAIMITA  DE USME  FUERON EVACUADAS 4 FAMILIAS A CAUSA DE LOS DESLIZAMIENTOS PRESENTADOS EN EL DIA DE AYER,  BOMBEROS OFICIALES  ATIENDE . -740</t>
  </si>
  <si>
    <t>13-1159</t>
  </si>
  <si>
    <t>APOYO DEL FNGRD MEDIANTE TRANSFERENCIA ECONOMICA  POR EL VALOR DE $1000'000.000,00 AL CMGRD CON EL OBJETO DE REALIZAR LA CONSTRUCCIÓN DE PUENTE VEHICULAR Y PEATONAL SOBRE LA QUEBRADA LA AGUDELO ZONA URBANA SECTOR BICENTENARIO EN EL MUNICIPIO DE EL RETIRO EN EL DEPARTAMENTO DE ANTIOQUIA.</t>
  </si>
  <si>
    <t>APOYO DEL FNGRD MEDIANTE TRANSFERENCIA AL MUNICIPIO DE CUCAITA CON EL OBJETO DE REALIZAR LA REHABILITACION DE LA VIA SECTOR ESCUELA  ESCALONES - SECTOR ANGELICA CONTADOR ($201.316.054) Y PARA REALIZA LA INTERVENTORIA DE LA OBRA ($14.092.124).</t>
  </si>
  <si>
    <t>APOYO DEL FNGRD MEDIANTE TRANSFERENCIA AL MUNICIPIO DE PAEZ CON EL OBJETO DE REALIZAR LA CONSTRUCCION DE OBRAS DE PROTECCION (MURO, ENROCADO), VEREDA CANALES SOBRE LA VIA SABANALARGA - PAEZ DEL K 0+100 AL K 0+200.</t>
  </si>
  <si>
    <t>13-1172</t>
  </si>
  <si>
    <t>13-1153</t>
  </si>
  <si>
    <t>APOYO DEL FNGRD MEDIANTE TRANSFERENCIA AL MUNICIPIO DE AMBALEMA CON EL OBJETO DE REALIZARLA CONSTRUCCION DE LA PROLONGACION DEL MURO DE CONTENCION EN BOLSA CRETO MARGEN IZQUIERDA AGUAS ABAJO DEL RIO GRANDE DE LA MAGDALENA SECTOR PLAYA VERDE PARTE BAJA K 0+020 INICIO DE LA ZONA RURAL AL K 0+780 ($342.330,450) Y CONSTRUCCION DE OBRAS DE MITIGACION Y PROTECCION ENROCADO SOBRE LA AMRGEN IZQUIERDA AGUAS ABAJO DEL RIO MAGDALENA SECTOR PLAYA VERDE PARTE BAJA ($663.047.502)</t>
  </si>
  <si>
    <t>13-1180</t>
  </si>
  <si>
    <t>SE PRESENTÓ DESLIZAMIENTO DE TIERRA Y DESBORDAMIENTO DE LA QUEBRADA LA HONDA DEL MUNICIPIO DE GALÁN, SE ENCUENTRA INCOMUNICADA CON LOS  MUNICIPIOS DE PALMAR , CABRERAS Y VEREDAS DEBIDOS A LOS DESLIZAMIENTOS, LA ALCALDÍA ENVIAR LA MAQUINARIA PARA ABRIR NUEVAMENTE LA VÍA. -743</t>
  </si>
  <si>
    <t>REPORTA EL CDGRD DE CAUCA QYE HAY 8 KILÓMETROS DE VÍA CARRETEABLE QUE CONDUCE DESDE LA VEREDA SOMBRERILLOS, HASTA LA CABECERA DEL CORREGIMIENTO DE ARBOLEDA Y 13 KILÓMETROS DE VÍA CARRETEABLE, QUE CONDUCE DESDE EL PARAJE LA CHICHERÍA, VÍA CAJAMARCA, HASTA LA VEREDA LOS MEDIOS, EN EL CORREGIMIENTO CAJAMARCA, MUNICIPIO DE MERCADERES DEPARTAMENTO DEL CAUCA. -743</t>
  </si>
  <si>
    <t>REPORTA INCENDIO ESTRUCTURAL EN JUZGADO MUNICIPAL EL CUAL ESTA UBICADO EN EL SEGUNDO PISO DE LA CASA DE LA CULTURA, EL CUA SE CONSUMIO EN SU TOTALIDAD LA CASA DE LA CULTURA Y EL JUZGADO , DE IGUAL MANERA UNA VIVIENDA CONTIGUA RESULTO AFECTADA EN MAS DE 80%. ATENDIO BOMBEROS DE DE SANTUARIO, POLICIA NAL. -743</t>
  </si>
  <si>
    <t>CDGRD DE BOLIVAR, INFORMA, MPIO MARIA LA BAJA, CORREGIMIENTO: NÍSPERO, DESBORDAMIENTO DE QUEBRADAS, REALIZAN EDAN, SITUACIÓN EN DESARROLLO. D.G.V. -744</t>
  </si>
  <si>
    <t>CDGRD DE BOYACA, INFORMA, MPIO DE TUNJA, INUNDACIONES EN 10 BARRIOS, LA NOCHE ANTERIOR, SITUACIÓN EN DESARROLLO. D.G.V. -744</t>
  </si>
  <si>
    <t>CDGRD DEL CESAR,INFORMA,  MPIO DE PAILITAS,  EN LA NOCHE DE AYER, A RAÍZ DE UN FUERTE AGUACERO RESULTARON AFECTADAS, VARIAS VIVIENDAS EN EL BARRIO CIUDAD JARDÍN, ESTAMOS A ESPERA DE LA CONSOLIDACIÓN DE LAS AFECTACIONES POR PARTE DEL CMGRD, SITUACIÓN EN DESARROLLO. D.G.V. -744</t>
  </si>
  <si>
    <t>REPORTA SECCIONAL SANTANDER: FUERTES LLUVIAS DESBORDARON, LA QUEBRADA LA COLORADA, RESULTANDO 8 FAMILIAS DAMNIFICADAS, LOS LÍDERES VOLUNTARIOS PARTICIPARON EN LA EVUACIÓN DE LAS PERSONAS Y EN EL CENSO. D.G.V. -744</t>
  </si>
  <si>
    <t>SECCIONAL ANTIOQUIA, REPORTA INUNDACIÓN,POR DE DESBORDAMIENTO DE RÍO NECHI AFECTANDO EL 50 % DEL MUNICIPIO,  420 VIVIENDAS AFECTADAS, CMGRD ACTIVO, SITUACIÓN EN DESARROLLO. D.G.V. -734
CDGRD DE ANTIOQUIA, INFORMA, EMERGENCIA PRESENTADA EL FIN DE SEMANA, 03-11-2013,  DESBORDAMIENTO DEL RIO NECHI AFECTANDO EL 50 % DEL MUNICIPIO,  2  MENORES DESAPARECIDOS,  INFORMA EL SECRETARIO DE GOBIERNO EL DÍA DE HOY, SITUACIÓN EN DESARROLLO. D.G.V. -744</t>
  </si>
  <si>
    <t>CDGRD REPORTA ACCIDENTE DE TRANSITO VEHICULO QUE CAYO AL ABISMO EN EL SECTOR DEL ALTO DE LA VIRGEN RESULTANDO DOS PERSONAS HERIDAS Y UNO SIN SIGNOS VITALES, LOS HERIDOS FUERON TRASLADADOS  A IBAGUE Y A CAJAMARCA, APOYO SIGIN, BOMBEROS Y DCC, PONAL, VEHICULOS COMPROMETIDOS SPRIN DE PLACAS BEV 581 Y UN CAMION. SECTOR VIADUCTO CAJONES. -745</t>
  </si>
  <si>
    <r>
      <t xml:space="preserve">REPORTA OFICINA PUTUMAYO, CRECIENTE RIO CAQUETÁ EL 15-08-2013  \ PUERTO GUZMÁN: VEREDA EL MUELLE 10 VIVIENDAS AFECTADAS- - INSPECCIÓN  JAUNO, PUERTO GUZMÁN 40 VIVIENDAS INUNDADAS-  \PERSONAL DE LA DC PUERTO GUZMÁN EN 1 BOTE ESTÁN EVACUANDO FAMILIAS DE LA ZONA DE MIRAFLOR CAUCA VEREDAS LA VEGA- LA ESPAÑOLA- LA FLORESTA-  YA SE HAN EVACUADO 6 FAMILIAS HACIA LA PARTE DEL PUTUMAYO. PARTICIPARON 20 LÍDERES DCC. 519
</t>
    </r>
    <r>
      <rPr>
        <sz val="9"/>
        <color theme="9" tint="-0.499984740745262"/>
        <rFont val="Arial"/>
        <family val="2"/>
      </rPr>
      <t>APOYO DEL FNGRD PARA SUBSIDIO DE ARRIENDO PARA 10 FAMILIAS POR TRES MESES A RAZON DE $250.000 MENSUAL POR AFECTACIONES DE JULIO Y AGOSTO.</t>
    </r>
  </si>
  <si>
    <r>
      <t xml:space="preserve">SE REGISTRA DESLIZAMIENTO EN EL BARRIO LIBERTADORES DE MOCOA, AL MOMENTO DEJA 2 VIVIENDAS DESTRUIDAS, 1 VIVIENDA AVERIADA, OTRAS 3 EVACUADAS, INFORMA DE 3 PERSONAS ATRAPADAS, 2 SON MENORES DE EDAD, EL INCIDENTE SE REGISTRA DESDE LAS 01:30 HORAS BOMBEROS, CRUZ ROJA, DEFENSA CIVIL, MUNICIPIO, HACEN PRESENCIA EN EL SITIO REPORTA CDGRD INGENIERO GIOVANNI ZAMBRANO.-464
</t>
    </r>
    <r>
      <rPr>
        <sz val="9"/>
        <color theme="9" tint="-0.499984740745262"/>
        <rFont val="Arial"/>
        <family val="2"/>
      </rPr>
      <t>APOYO DEL FNGRD MEDIANTE SUBSIDIO DE ARRIENDO TEMPORAL PARA 48 FAMILIAS AFECTADAS POR LA TEMPORADA ENVERNAL DEL MES DE JULIO POR TRES MESES A RAZON DE $250.000 MENSUAL</t>
    </r>
  </si>
  <si>
    <t>APOYO EN MATERIALES DE CONSTRUCCION PARA LA REPARACION DE VIVIENDAS AFECTADAS POR INCENIO ESTRUCTURAL (15 DESTRUIDAS Y 12 AVERIADAS).</t>
  </si>
  <si>
    <t>MATERIALES PARA PUENTE PEATONAL SAN JORGE</t>
  </si>
  <si>
    <t>APOYO DEL FNGRD MEDIATE TRANSFERENCIA ECONOMICA AL MUNICIPIO CON EL OBJETO DE REALIZAR LA CONSTRUCCION DE 6600 PENTAPODOS O ESTRELLAS E CONCRETO REFORZADO: 1). CONSTRUCCIÓN DE 2200 ESTRELLAS EN EL BARRIO EL CENTRO SECTOR FERRI ($252'210.200,00). 2). CONSTRUCCIÓN DE 2200 ESTRELLAS EN EL BARRIO EL CENTRO SECTOR EL PARQUE ($252'210.200,00). 3). CONSTRUCCIÓN DE 2200 ESTRELLAS EN EL BARRIO EL CENTRO SECTOR LAS BRISAS ($252'210.200,00). MAS LA INTERVENTORIA QUE ES EL 7% DEL TOTAL ($52'964.142,00).</t>
  </si>
  <si>
    <t>INFORMA EL DR JAIRO ROMERO  COOD DE CDGRD DE CORDOBA, EN EL MUNICIPIO LOS CORDOBAS SE PRESENTARON FUERTES LLUVIAS, LA CUAL DESBORDO EL RIO LOS CORDOBAS AFECTANDO A 50 FAMILIAS CON INUNDACIONES, EN LOS BARRIOS MAMEY Y OASIS, EL CMGRD SE ENCUENTRA RELIZANDO EDAN. -746</t>
  </si>
  <si>
    <t>SE PRESENTÓ DESLIZAMIENTO DE TIERRA DE LA VÍA QUE CONDUCE DESDE SAN GIL AL MUNICIPIO DE CHARALÁ, OCASIONANDO EL CIERRE PARCIAL DE LA VÍA CON RESTRICCIÓN A UN CARRIL EL PASO VEHICULAR. SE MANTIENEN LABORES DE TRABAJO DE MAQUINARIA PARA RESTABLECER EL PASO VEHICULAR. -746</t>
  </si>
  <si>
    <t>SE PRESENTARON DESLIZAMIENTOS DE TIERRA SOBRE LAS VÍAS INTER-VEREDALES QUE CONDUCEN DESDE EL MUNICIPIO DE OCAMONTE HACIA LAS VEREDAS DE LA LAJA, SAN BERNARDO, VÍA MIRAFLORES Y EL MORARIO. OCASIONANDO EL CIERRE TOTAL DE LAS VÍAS. SE MANTIENEN LABORES DE TRABAJO DE MAQUINARIA PARA RESTABLECER EL PASO VEHICULAR. -746</t>
  </si>
  <si>
    <t>REPORTAN DEL CDGRD DE CUNDINAMARCA QUE EN LA VEREDA DE MAGUI SE PRESENTO UNA REMOSION EN MASA AFECTANDOA 3 VIVIENDAS, LAS CUALES FUERON EVACUADAS, EN ESTE MOMENTO HAY UNA COMISION TECNICA EN LA ZONA HACIENDO LABORES DE TRABAJO DE CAMPO. INFORMA HECTORCAJICA|. -746</t>
  </si>
  <si>
    <t>CDGRD INFORMA EN HATO COROZAL VEREDA EL CONTROL VIA  AL PUERTO  19 FAMILIAS AFECTADAS TOTALMENTE INUNDADAS POR DESBORDAMIENTO DEL RIO CASANARE. -747</t>
  </si>
  <si>
    <t>EL DIA JUEVES 07 DE NOVIEMBRE SE PRESENTO EXPLOSION POR MANIPULACION DE POLVORA  EN EL BARRIO PARIS DEL MUNICIPIO DE BELLO ANTIOQUIA.   COLAPSO UNA VIVIENDA DE 3 PISOS, Y UN TOTAL 9 VIVIENDAS FUERON AFECTADAS  POR LA ONDA  E IGUAL NUMERO DE PERSONAS LESIONADAS. -747</t>
  </si>
  <si>
    <t>CDGRD INFORMA VIA CHITA EL COCUY PERDIDA DE BANCA POR SOCAVACION DE RIO. -747</t>
  </si>
  <si>
    <t>CDGRD INFORMA TORRENCIAL  AGUACERO ACOMPAÑADO DE FUERTES VIENTOS, INICIADO HACIA LAS 20:00 HORAS DEL DÍA 07-11-13 EL CUAL DURO HASTA LAS 05:00 HORAS DEL DÍA 8-11-13 , DEJA 1 VIVIENDA DESTRUIDA  2 AVERIADAS Y 15 PERSONAS QUE PERDIERON SUS MUEBLES Y ENCERES, FUERON EVACUADAS A DONDE FAMILIARES Y VECINOS POR POSIBLE DESLIZAMIENTO DE LA  ZONA.  SE VIO AFECTADA LA VÍA QUE COMUNICA CON A LA INSPECCIÓN DE LA MOGOLA POR DESLIZAMIENTO Y TAPONAMIENTO TOTAL  DE LA VÍA EN UNA LONGITUD DE 90.00 METROS LINEALES.  EL CMGRD, ATIENDE, JUNTA DE ACCIÓN  COMUNAL Y DEFENSA CIVIL. -747</t>
  </si>
  <si>
    <t>CDGRD INFORMA EN EL MUNICIPIO DE GALAN SE EVACUA LA ALCALDIA DEBIDO A LA AFECTACION DE LA INFRAESTRUCTURA POR DAÑOS ESTRUCTURALES. -747</t>
  </si>
  <si>
    <t>CDGRD INFORMA QUE EN LOS CORREGIMIENTOS DE MARTINICA Y LETICIA DEBIDO AL INCREMENTO DEL NIVEL DE AGUA DEL CANAL LA CAIMANERA SE INUNDARON 250 VIVIENDAS. -747</t>
  </si>
  <si>
    <t>SECCIONAL MAGDALENA, INFORMA, DIA 07-11-13, FUERTES LLUVIAS EN LA CABECERA MUNICIPAL DE SANTA BARBARA DE PINTO, AFECTANDO A 50 PERSONAS, DE 10 FAMILIAS POR INUNDACIÓN. D.G.V. -748</t>
  </si>
  <si>
    <t>REPORTA SB 137,  1 LÍDER VOLUNTARIO DE LA LOCALIDAD CIUDAD BOLÍVAR, EL DESBORDAMIENTO DE LA QUEBRADA EL TESORO,  EN LA CARRERA 18R 75A 88, BARRIO LA CUMBRE, 6 VIVIENDAS AFECTADAS, PRESENCIA DEL FUNCIONARIO EDERLY TORRES  3 LÍDERES VOLUNTARIOS APOYANDO Y CENSANDO. D.G.V. -748</t>
  </si>
  <si>
    <t>BOMBEROS, INFORMA, DEBIDO A LAS TORRENCIALES LLUVIAS DE ESTE VIERNES, EL AGUA REBASÓ EL PUENTE PEATONAL, LOS DOS NIÑOS RESBALARON POR LA FUERZA DEL AGUA, LA MADRE SE LANZO A RESCATARLOS,  UN MENOR DE EDAD Y SU MADRE SE AHOGARON AL CAER A LA QUEBRADA, EL INFIERNO, EN LA LOCALIDAD DE CIUDAD BOLÍVAR, AL  SUR DE BOGOTÁ. NELFA MARTÍNEZ DE 25 AÑOS Y JUSTIN ARTURO DE OCHO, FUERON LAS DOS VÍCTIMAS FATALES EN EL BARRIO DIVINO NIÑO, UNA MENOR RESCATADA CON VIDA, POR UN VECINO. -748</t>
  </si>
  <si>
    <t>CDGRD DEL HUILA, INFORMA, ESTUDIANTE DE LA UNIVERSIDAD  DISTRITAL FRANCISCO JOSÉ DE CALDAS, CAE ACCIDENTALMENTE EN EL ESTRECHO DEL RÍO MAGDALENA, 16:30 HORAS, ORGANISMOS DE SOCORRO REALIZAN BUSQUEDA, SITUACIÓN EN DESARROLLO. D.G.V. -748
CDGRD REPORTA PARA EL MUNICIPIO DE SAN AGUSTIIN, ORGANISMOS DE SOCORRO EMPIEZAN LABORES DE BUSQUEDA DE ESTUDIANTE UNIVERSITARIO QUIEN PERDIERA SU VIDA POR INMERSION EN EL RIO MAGDALENA, CDGRD REPORTA HACIA LAS 10:00 HORAS FUE ENCONTRADO ELO UNIVERSITARIO SIN SIGNOS VITALES A 1 KILOMETRO AGUAS ABAJO DEL MAGDALENA. 749</t>
  </si>
  <si>
    <t>CDGRD REPORTA NUEVA INUNDACION EN EL MUNICIPIO DE ZARAGOZA POR DESBORDAMIENTO DEL RIO NECHI HACIA LAS 03:00 AM, APROXIMADAMENTE 80 FAMILIAS AFECTADAS SECTOR EL MUELLE Y CALLE NUEVA, ESPERAN A QUE BAJE EL NIVEL DEL RIO, SITUACION EN DESARROLLO. -749</t>
  </si>
  <si>
    <t>SE RECIBE LLAMADA DEL ALCALDE DEL MUNICIPIO DE MONTECRISTO QUIEN REPORTA OTRA SITUACION ADICIONAL POR DESLIZAMIENTO EN EL CORREGIMIENTO DE TABURETERA VEREDA MARANOCHE, REGISTRADO HACIA LAS 03:00 HORAS, AFECTANDO 3 VIVIENDAS LAS CUALES ESTAN AVERIADAS, 4 FAMILIAS AFECTADAS,  INDICA QUE LA COMISION QUE SALIO HACIA LA VEREDA EL SALTO ESTARA EVALUANDO LA SITUACION POR DESLIZAMIENTO EN ESTE CORREGIMIENTO. -749</t>
  </si>
  <si>
    <t>EN EL MUNICIPIO DE PELAYA REPORTA ENTIDAD OPERATIVA EMERGENCIA POR DESLIZAMIENTO AFECTANDO AL PARECER 25  FAMILIAS, CDGRD EN REPORTE INDICA MOMENTO QUE EL REPORTE RECIBIDO POR PARTE DEL JEFE DE PLANEACION DEL MUNICIPIO DE PELAYA ES UNA INUNDACION A CAUSA DE FUERTES LLUVIAS EN HORAS DE LA TARDE DE AYER, QUE AFECTARON 9 VIVIENDAS DEL BARRIO CIUDAD JARDIN SITUACION EN DESARROLLO. -749</t>
  </si>
  <si>
    <t>CDGRD REPORTA EN HORAS DE LA NOCHE SE PRESENTO LA MISMA SITUACION POR LLUVIAS Y FUERTES VIENTOS EN EL MUNICIPIO DE GONZALEZ AFECTANDO A 2 VIVIENDAS, IGUAL NUMERO DE FAMILIAS. -749</t>
  </si>
  <si>
    <t>CDGRD SE REPORTA A LA HORA CON LLUVIAS MODERADAS, PARA EL MUNICIPIO DE COLOMBIA INFORMA DE UN DESLIZAMIENTO EN EL SITIO CONOCIDO COMO VOLADOR EN LA VIA TERCIARIA QUE CONDUCE DEL MUNICIPIO HACIA CENTRO POBLADO DE SANTA ANA, NO LESIONADOS, NO VIVIENDAS AFECTADAS . -749</t>
  </si>
  <si>
    <t>CDGRD REPORTA AL MOMENTO POR LAS FUERTES LLUVIAS QUE SE ESTAN PRESENTANDO EN EL MUNICIPIO DE BUCARASICA SE TIENEN 5 VIVIENDAS A PUNTO DE COLAPSAR, LAS VIAS ESTAN CERRADAS, AL MOMENTO EL CMGRD REALIZA EDAN, APOYA DEFENSA CIVIL. -749</t>
  </si>
  <si>
    <r>
      <t>CDGRD REPORTA EN EL MUNICIPIO DE</t>
    </r>
    <r>
      <rPr>
        <b/>
        <sz val="9"/>
        <color indexed="8"/>
        <rFont val="Arial"/>
        <family val="2"/>
      </rPr>
      <t xml:space="preserve"> SAN VICENTE DE CHUCURI</t>
    </r>
    <r>
      <rPr>
        <sz val="9"/>
        <color indexed="8"/>
        <rFont val="Arial"/>
        <family val="2"/>
      </rPr>
      <t xml:space="preserve">  08-11-2013. 08:45 HORAS DEBIDO A LAS FUERTES LLUVIAS Y COMO RESULTADO DE ESTAS SE PRESENTÓ EL CRECIMIENTO DE LA QUEBRADA LA COLORADA DEL MUNICIPIO DE SAN VICENTE DE CHUCURI, LO QUE OCASIONÓ EL DESBORDAMIENTO DE LA MISMA Y SE REGISTRÓ LA AFECTACIÓN DE DOS  VIVIENDAS AFECTADAS, UNA CASETA, UN TOLDO, UNA BATERÍA SANITARIA.  REPORTAN SEIS FAMILIAS AFECTADAS. ADEMÁS QUE LA OBSTRUCCIÓN DE LAS VÍAS INTERVEREDALES DEL TRAMO LA VARIANTE-LA COLORADA-TOMBOREDONDO. -749</t>
    </r>
  </si>
  <si>
    <t>CDGRD REPORTA LA VIA TUNJA - CHIQUINQUIRA BLOQUEDA EN EL KM 48 POR DERRUMBES DESDE EL DIA DE AYER, SE ESPERA HABILITAR 1 CARRIL SOBRE LAS 18:00 HORAS, VIA ALTERNA: TUNJA- ARCABUCO- VILLA DE LEYVA- CHIQUINQUIRA. -749</t>
  </si>
  <si>
    <t>INFORMA ERICH NIJINSKI PIÑA COORD CDGRD DE BOLIVAR,  EN ELE MUNICIPIO DE NOROSI , SE PRESENTO UN CRECIENTE SUBITA DE LA QUEBRADA NOROSI AFECTANDO AL UN 60 PORCIENTE DEL MUNICIPIO , EN LE MOMENTO HAY VARIAS CALLES INUNDADAS, CON PERDIDA DE ANIMALES DE CORRAL Y DOMESTICOS, CULTIVOS , EN ESTE MOMENTO SE HACE EDAN POR PARTE DEL CMGRD EN CABEZA DEL DR HORACIO MONJES, UN REPORTE INICIAL SE HABLA DE 120 FAMILIS AFECTADAS EN EL CASCO URBANO. NOTICIA EN DESARROLLO. -743
CDGRD, INFORMA, DESBORDAMIENTO DE LA QUEBRADA NOROSI, ALCALDE INFORMA DE 200 FAMILIAS AFECTADAS, PENDIENTE EDAN, SITUACIÓN EN DESARROLLO. D.G.V. -744
CDGRD DE BOLIVAR REPORTA EN EL MUNICIPIO DE NOROSI, SE PRESENTO UN CRECIENTE SUBITA DE LA QUEBRADA NOROSI AFECTANDO AL UN 60 PORCIENTO DEL MUNICIPIO, EN EL MOMENTO HAY VARIAS CALLES INUNDADAS, CON PERDIDA DE ANIMALES DE CORRAL Y DOMESTICOS, CULTIVOS, EN ESTE MOMENTO SE HACE EDAN POR PARTE DEL CMGRD EN CABEZA DEL DR HORACIO MONJES, EN ACTUALIZACION POR SALA DE CRISIS EN CONJUNTO CON LAS ENTIDADES OPERATIVAS EL DIA DE HOY REPORTAN AFECTACION EN 240 FAMILIAS EN ESTE MUNICIPIO. -749</t>
  </si>
  <si>
    <t>REPORTE PRELIMINAR DE AFECTACIONES POR VENDAVAL Y GRANIZADA OCURRIDAS EL DÍA 07 DE NOVIEMBRE DE 2013 EN EL MUNICIPIO DE SUCRE CAUCA, EN LA CABECERA MUNICIPAL (BARRIO SILOE) SE REPORTAN 10 VIVIENDAS CON AFECTACIONES EN CUBIERTA POR VENDAVAL. -749
CDGRD REPORTA EN EL SECTOR RURAL TAMBIÉN SE REPORTAN HASTA EL MOMENTO 36 VIVIENDAS CON AFECTACIONES EN CUBIERTA POR VENDAVAL Y GRANIZO (VEREDAS LA GRANJA, CRUCERO BELLO, BETANIA, BAUTISTA, QUITETO, CEJA, ESMERALDA) ESTAS SON LAS AFECTACIONES QUE LA COMUNIDAD HA LOGRADO REPORTAR EN LAS ULTIMAS 24 HORAS EN EL SECTOR RURAL HASTA EL MOMENTO SE REPORTAN 9 VEREDAS CON 120 HECTÁREAS DE CULTIVOS AFECTADOS POR VENDAVAL Y GRANIZADA, EL 95% DE  LAS AFECTACIONES EN CAFÉ, PLÁTANO, CAÑA Y CULTIVOS DE PAN COGER (VEREDAS CARMELO, LA GRANJA, CRUCERO BELLO, BETANIA, BAUTISTA, QUITETO, CEJA, ESMERALDA Y RETIRO). -749</t>
  </si>
  <si>
    <t>CDGRD REPORTA EN EL MUNICIPO DE MAICAO POR FUERTES LLUVIAS QUE DURARON 9 HORAS APROXIMADAMENTE EN EL DIA DE AYER EN ESTE MUNICIPIO SE VIERON AFECTADOS 30 BARRIOS, HAY DAÑOS EN MUEBLES Y ENSERES, NO LESIONADOS, EL CMGRD EN CONJUNTO CON CRUZ ROJA REALIZA CENSO, SITUACION EN DESARROLLO D.L.M. -751</t>
  </si>
  <si>
    <t>CDGRD Y CMGRD REPORTAN POR DESLIZAMIENTO EN EL BARRIO SANTANDER 2 VIVIENDAS AFECTADAS IGUAL NUMERO DE FAMILIAS Y 8 PERSONAS. D.L.M. -751</t>
  </si>
  <si>
    <t>CMGRD REPORTAMOS  10 FAMILIAS DAMNIFICADAS  DE VENDAVAL  Y GRANIZADA DE LA VEREDA LA CABAÑA DEL MUNICIPIO DE TIMBIO CAUCA,  INFORME RECIBIDO POR EL PRESIDENTE  DE ACCION COMUNAL SEÑOR CESAR  ARAUJO  DS. -752</t>
  </si>
  <si>
    <t>CDGRD INFORMA DESPUES DE 3 DIAS DE BUSQUEDA POR PARTE DE LOS ORGANISMOS DE SOCORRO DE MELGAR FUE HALLADO EL CUERPO SIN VIDA DE JUAN ANDRES BOLIVAR GARCIA SOBRE EL RIO SUMAPAZ EN INMEDIACIONES ENTRE MELGAR Y GIRARDOT.  DS. -752</t>
  </si>
  <si>
    <t>CDGRD INFORMA DESPLOME DE  UNA VIVIENDA EN GIRON  EN EL SECTOR BRISAS DEL RIO 2 HERIDOS ATENDIDO POR BOMBEROS EN TOTAL FUERON  6 ADULTOS 3 MENORES.  DS. -752</t>
  </si>
  <si>
    <t>CMGRD DE ARMENIA,  19:06, A ESTÁ HORA SE PRESENTA, VENDAVAL, ACOMPAÑADO DE  FUERTES LLUVIAS, EN LA CIUDAD DE ARMENIA, SE HAN ATENDIDO 7 EMERGENCIAS, HASTA EL MOMENTO EL BALANCE ES DE CAIDA DE ARBOLES, INUNDACIONES, CORTES DEL FLUIDO ELÉCTRICO, INTERRUPCIÓN VÍAL, EN EL PERIMETRO URBANO,  BARRIOS: GAITAN BAJO, LA ARBOLEDA, BUENOS AIRES, LA CASTELLANA, Y EL SECTOR DEL COMANDO DE LA POLICIA SITUACIÓN EN DESARROLLO. D.G.V. -744
CMGRD REPORTA AFECTACIÓN DE VIVIENDAS POR DAÑOS EN CUBIERTA POR VENDAL EN LOS BARRIOS: MIRAFLORES BAJO CON 15, MILAGRO DE DIOS CON 14, MONTEVIDEO CENTRAL CON 2, NUEVA LIBERTAD 1, GAITAN BAJO 2, LAS MARGARITAS 2, LA UNIÓN 3, 7 DE AGOSTO 1, POPULAR 2, LA ADIELA 1, BODEGAS DE LA ALCALDIA 1, UN TOTAL DE 44 FAMILIAS, 176 PERSONAS, LO REPORTAN VIA E-MAIL, D.L.M. -751
CDGRD INFORMA CONSOLIDADO DE AFECTACIONES POR VENDAVAL PRESENTADO DIA DE AYER EN 11 SECTORES CUBIERTAS DE VIVIENDAS 46 Y 184 PERSONAS, Y UN  DESLIZAMIENTO EN EL BARRIO SANTANDER SIN AFECTACIONES  DS. 752</t>
  </si>
  <si>
    <t>CDGRD REPORTA AL FINALIZAR LA TARDE SE PRESENTO INCENDIO ESTRUCTURAL EN POPAYAN, AFECTACION EN 3 VIVIENDAS LAS CUALES QUEDAN DESTRUIDAS, 1 LESIONADO LEVE, ATENDIO CUERPO DE BOMBEROS DE POPAYAN E INFORMO EL CMGRD. D.L.M. -753</t>
  </si>
  <si>
    <t>EL INFORTUNIO LLEGÓ LA TARDE DE ESTE LUNES AL SECTOR OMAIRA SÁNCHEZ A TRAVÉS DE UN VORAZ INCENDIÓ QUE DEVORÓ EN SU TOTALIDAD UNA VIVIENDA DE MADERA ALGUNOS VECINOS PRECISARON QUE LA CONFLAGRACIÓN SE GENERÓ POR UN CORTO CIRCUITO. AL LUGAR SE HIZO PRESENTE UNA MÁQUINA DEL CUERPO DE BOMBEROS Y UNA AMBULANCIA DE LA DEFENSA CIVIL LAS LLAMAS ALCANZARON A CHAMUSCAR PARTE DE LA VIVIENDA CONTIGUA, TAMBIÉN CONSTRUIDA EN MADERA. AFORTUNADAMENTE NO HUBO HERIDOS NOTICIA EN DESARROLLO, FUENTE EL UNIVERSAL D.L.M. -753</t>
  </si>
  <si>
    <t>REPORTA FUNCIONARIO AUGUSTO GARCÍA DE LA OFICINA OPERATIVA DE BARBOSA (SANTANDER), QUE A ESTA HORA 12:00 MERIDIANO DE HOY 11-11-13, SE INICIAN OPERACIONES DE BÚSQUEDA FLUVIAL EN AGUAS DEL RIO LENGUERUCO, A LA ALTURA DE LA VEREDA RISACA, JURISDICCIÓN DEL MUNICIPIO DE SUAITA (SANTANDER), EN DONDE REPORTA 1 PERSONA DESAPARECIDA POR INMERSIÓN ACCIDENTAL AL PARECER OCURRIDA DÍA 10-11-13. PARTICIPAN EN LAS OPERACIONES 1 FUNCIONARIO Y 12 LIDERES VOLUNTARIOS DCC Y PENDIENTES DE NUEVO REPORTE. D.G.V. -754</t>
  </si>
  <si>
    <t>REPORTA DIRECTOR SECCIONAL ATLÁNTICO. CRECIENTE SUBITA POR FUERTE AGUACERO EN HORAS DE LA TARDE DEL 9-11-2013, EN EL MUNICIPIO DE BARRANQUILLA, CORREGIMIENTO JUAN MINA, LA PIÑUELA,  REPORTE PRELIMINAR DE 61 VIVIENDAS INUNDADAS. PARTICIPACIÓN DE 6 LÍDERES DCC. D.G.V. -754</t>
  </si>
  <si>
    <t>REPORTA DIRECTOR SECCIONAL ATLANTICO. CRECIENTE SUBITA POR FUERTE AGUACERO EN HORAS DE LA TARDE DEL 9-11-2013, EN EL MUNICIPIO DE SOLEDAD, BARRIO DEL REY, REPORTE PRELIMINAR DE 10 VIVIENDAS INUNDADAS. PARTICIPACIÓN DE 4 LÍDERES DCC. D.G.V. -754</t>
  </si>
  <si>
    <t>SECCIONAL CUNDINAMARCA, INFORMA, SE PRESENTA DESLIZAMIENTO, Y COMO CONSECUENCIA DEJA LA MISMA VEREDA, INCOMUNICADA EN LA PARTE ALTA Y LA PARTE BAJA DE LA VEREDA LA MAQUINA POR CAÍDA DE MATERIAL. D.G.V. -754</t>
  </si>
  <si>
    <t>FUERTE GRANIZADA JUNTO CON VENDAVALES OCURRIDOS LOS DIAS 28 DE ABRIL AL 05 DE MAYO Y REPITIENDOSE ESTE MISMO HECHO EL DIA 17 DE JUNIO DE 23013, DEJO COMO SALDO 140 FAMILIAS AFECTADAS, CAUDANDOLE DAÑOS TANTO EN SUS VIVIENDAS COMO EN LAS AREAS DE CULTIVO.</t>
  </si>
  <si>
    <t>CDGRD Y CMGRD REPORTAN EMERGENCIA INICIADA EL DIA DE AYER EN HORAS DE LA MADRUGADA DEBIDO AL INCREMENTO EN LOS NIVELES DE LOS CAÑOS Y CIENEGA VILORIA Y EL RABON EN EL MUNICIPIO DE SAN BENITO PRODUCTO DEL INGRESO DE LAS AGUAS DEL RIO CAUCA POR EL PUNTO SANTA ANITA EN ANTIOQUIA, COMUNIDAD AFECTADA LAS CHISPAS, EL CAUCHAL, CUIVA, EL LIMON, GUAYABAL, CIENAGA NUEVA, LAS PARCELAS DE SANTA FE, EL CHUPO, CAÑO VIEJO, CALLE NUEVA, SAN MATIAS, CHINCHORRO, LA MINA, BOCA DE LA SAL, PASIFUERE, TOSNOVAN,  SAN JUAN, MOGUAN, GUANACA, LOMA EL GUAMO, LA PLAZA, CAÑO CAIMAN Y LAS POSAS</t>
  </si>
  <si>
    <t>ORGANISMOS DE SOCORRO Y MIEMBROS DE LA POLICÍA ADELANTAN LA BÚSQUEDA EN AGUAS DEL RÍO MEDELLÍN DE LA SICÓLOGA LINA RUIZ MARÍN, DE 35 AÑOS, QUE DESAPARECIÓ TRAS UN CONFUSO ACCIDENTE OCURRIDO EN EL SECTOR MOLINO VIEJO, DEL MUNICIPIO DE BARBOSA, NORTE DEL VALLE DE ABURRÁ. LA MUJER, FUE ARRASTRADA POR LA CRECIENTE DEL RÍO LUEGO DE QUE LA MOTOCICLETA EN LA QUE VIAJABA COMO PARRILLERA CAYÓ A LA CORRIENTE, TRAS CHOCAR CONTRA UN SEPARADOR DE LA VÍA. -755</t>
  </si>
  <si>
    <t>EL TENIENTE JORGE IVÁN QUINTERO, DEL CUERPO OFICIAL DE BOMBEROS DE MANIZALES, AFIRMÓ QUE DEBIDO AL INCREMENTO DE LAS LLUVIAS POR LA SEGUNDA TEMPORADA INVERNAL, SE HAN REGISTRADO DE MANERA FRECUENTE EMERGENCIAS QUE HAN SIDO ATENDIDAS POR LOS ORGANISMOS DE SOCORRO DE LA CIUDAD. DE ACUERDO CON EL UNIFORMADO, A LA FECHA EN MANIZALES SE HAN EVACUADO 14 VIVIENDAS DE MANERA PREVENTIVA Y LAS FAMILIAS AFECTADAS EMPEZARÁN DESDE HOY A RECIBIR LAS AYUDAS HUMANITARIAS A LAS QUE TIENEN DERECHO POR PARTE DE LA UNIDAD DE GESTIÓN DEL RIESGO DE LA CIUDAD. -755</t>
  </si>
  <si>
    <t>DOS PERSONAS MUERTAS Y DOS HERIDAS EN ACCIDENTE DE TRÁNSITO EN  EN LA VÍA QUE DE SAMANÁ CONDUCE A NORCASIA, VEREDA BERLÍN, EN EL ORIENTE DE CALDAS. LAS VÍCTIMAS FUERON IDENTIFICADAS COMO LUZ MARINA PAMPLONA Y ALEXANDER ORTIZ, FUNCIONARIO DE LA ALCALDÍA DE NORCASIA. LAS DOS PERSONAS HERIDAS, ENTRE LAS QUE SE ENCUENTRA LA MAMÁ DE LA ALCALDESA DE NORCASIA, SE RECUPERAN EN EL HOSPITAL DEL MUNICIPIO DE LA DORADA. -755</t>
  </si>
  <si>
    <t>INFORMA LA ING ADRIANA HERNANDEZ DEL CDGRD DE CASANARE DE UN IF QUE SE OPRESENTO EN LE DIA DE AYER AFECTANDO 3 HECTAREAS EN LOS SECTORES DE LA ALEMANIA, LS AMERICAS Y TRANSHICOL, EL CUA CONTROLADO POR BOMBEROS VOLUTARIOS. -755</t>
  </si>
  <si>
    <t>REPORTA VENDAVAL ACOMPAÑADO DE FUERTES LLUVIAS Y GRANIZADA, SEGN INFORMACION PRELIMINAR SECTOR MAS AFECTADO BARRIOS CAMPESTRE B Y D CON 50 VIVIENDAS AVERIADAS, 50 FAMILIAS,  250  PERSONAS, REPORTA DIANA CAROLINA RAMIREZ COOD CDGRD 12/11/2013 11:42 AM. -755</t>
  </si>
  <si>
    <t>RODRIGO BARRETO JEFE DE PLANEACIÓN DEL MUNICIPIO DE ANOLAIMA, MEDIANTE ACTA EXTRAORDINARIA DEL  CMGRD  DE FECHA 09/11/13, REPORTA QUE  A CAUSA DE FUERTES LLUVIAS OCURRIDAS EL DÍA 08/11/13, SE PRESENTO INUNDACIÓN EN 22 VIVIENDAS CON AFECTACIÓN A 100 PERSONAS QUE PERDIERON MUEBLES Y ENSERES. TAPONAMIENTO Y RUPTURA DE LA TUBERÍA DEL ALCANTARILLADO EN UN TRAMO DE 750 METROS, TUBERÍA DEL ACUEDUCTO EN 350 METROS, VÍA PRINCIPAL ANOLAIMA-BOGOTÁ POR PÉRDIDA DE LA BANCADA EN EL SITIO PUENTE TIERRA QUEDANDO INCOMUNICADO EL MUNICIPIO POR ESTA VÍA. ATIENDE CMGRD, CAR, ICCU Y DEBISAB. -756</t>
  </si>
  <si>
    <t>CDGRD DE NARIÑO REPORTA AFECTACION EL DIA 09/11/2013 POR DESLIZAMIENTOS EN VARIOS SECTORES, REPORTA BARRIO LA IMACULADA, EL OBRERO, LOS PINOS, 4 DE JUNIO, CARLOS LLERAS, LAS AMERICAS. Y POR ENCONTRARSE AL BORDE DE ABISMOS, AL PIE DE BARRANCOS DONDE PRESENTAN PELIGRO SE COMO SE ENCUENTRAN ZONA RURAL EN LAS VEREDAS DE SANTANDER, PEÑA BLANCA, LA BETULIA, RINCON CUSILLO. 15 VIVIENDAS, 15 FAMILIAS, LA VIA AFECTADA SE ENCUANTRA EN LA AVENIDA JUAN SOLARTE OBANDO SECTOR EL CEMENTERIO PRESENTA PARTIDURAS Y EN RIESGO DE DESLIZAMIENTO DE LA BANCA, REPORTE QUE LLEGA VIA E-MAIL -756</t>
  </si>
  <si>
    <t>CDGRD REPORTA INFORME PRELIMINAR CAUSADO POR INCENDIO  EN LA VEREDA CHACHAJO ALTO PATÍA SIENDO LAS 9:30 AM DEL DÍA 12 DE NOVIEMBRE DE 2013 SE PRESENTO UNA CONFLAGRACIÓN EN ZONA RURAL DE ESTE MUNICIPIO DONDE SE ENCONTRÓ AFECTADA LA ESCUELA Y 3 CASAS MÁS DE DICHA VEREDA. LA PROFESORA DE LA INSTITUCIÓN EDUCATIVA CHACHAJO MARÍA CORTEZ NOS INFORMO QUE LOS ESTUDIANTES DAMNIFICADOS POR DICHO SINIESTRO SON 36 Y QUE LOS MATERIALES DIDÁCTICOS JUNTO CON LA COCINA, INMOBILIARIOS, Y LA INFRAESTRUCTURA TODO FUE ARRASADO POR LAS LLAMAS LOS DUEÑOS DE LAS 3 CASAS AFECTADAS, NINFA ESTUPIÑAN, ISMENIA ESTUPIÑAN Y MARÍA DEISI ESTUPIÑAN, RELATAN QUE FUE ALGO MUY RÁPIDO QUE NO LES DIO TIEMPO DE SACAR NADA DE LAS CASAS, COMO DIJERON LO PERDIMOS TODOS, FRADIQUE RINCÓN COORDINADOR CMGRD. -756</t>
  </si>
  <si>
    <t>CDGRD DE VICHADA REPORTA INCENDIO FORESTAL EN VICHADA REGISTRADO EN HORAS DE LA TARDE CON 3 HECTAREAS DE AFECTACION, ATENDIO BOMBEROSPUERTO CARREÑO, REPORTA PILAR ESPITIA. -757</t>
  </si>
  <si>
    <t>CDGRD REPORTA INCENDIO FORESTAL SECTOR DEL MATADERO HACIA LAS 18:28 HORAS, ACTIVO, ATIENDE LA BRIGADA DE SELVA, PENDIENTE EVOLUCION Y AFECTACION. -757</t>
  </si>
  <si>
    <t>SE REGISTRO ACCIDENTE DE TRANSITO EN EL KILÓMETRO 99 DE LA VÍA BOGOTÁ-FUSAGASUGA TRES PERSONAS RESULTARON MUERTAS, LUEGO DE QUE EL CAMIÓN EN EL QUE IBAN, CHOCARA CONTRA UNA TRACTOMULA, LAS CAUSAS DEL ACCIDENTE, OCURRIDO EN SILVANIA, SON MATERIA DE INVESTIGACIÓN POR PARTE DE LAS AUTORIDADES. -757</t>
  </si>
  <si>
    <t>SE REPORTÓ DESPRENDIMIENTO DE TIERRA LOCALIZADO EN EL BARRIO BUENOS AIRES DEL SECTOR DE MORRORRICO EL CUAL DÍAS ANTERIORES SE HABÍA REGISTRADO AFECTACIÓN A UNA CASA DEL SECTOR UBICADA EN LA CALLE 16ª NRO. 62-49. CONOCIDA LA SITUACIÓN DE LOS HECHOS POR EL CONSEJO MUNICIPAL DE GESTIÓN DEL RIESGO DE BUCARAMANGA, SEÑOR FREDY RAGUA CASA. -758</t>
  </si>
  <si>
    <t>VECINOS DE LOS AFECTADOS INDICARON QUE LAS LLAMAS HABRÍAN COMENZADO EN LA SALA DE UNA DE LAS VIVIENDAS. “CREEMOS QUE EL INCENDIO PUDO HABER SIDO PROVOCADO POR UN CORTOCIRCUITO. EN LAS CASAS QUE SE QUEMARON HABÍAN ESTUFAS ELÉCTRICAS. PUEDE SER QUE UNA DE ELLAS HAYA HECHO CORTO”, INDICÓ UN ALLEGADO DE LOS AFECTADOS. INTEGRANTES DEL CUERPO DE BOMBEROS LLEGARON AL SITIO Y SOFOCARON LAS LLAMAS. -758</t>
  </si>
  <si>
    <t>SE PRESENTA UN IF EN LE SECTOR DE SENSITIVA , AFECTANDO 1 HECTAREA, ATENDIO BOMBEROS VOLUTARIOS SE ENCUENTRA CONTROLADO. -758</t>
  </si>
  <si>
    <t>BARRIOS EL RAMAL, EL MILLON, SAN LUCAS, VILLA VICTORIA, VISTA HERMOSA, 25 DE MAYO, MANANTIAL. ENVIAN CALAMIDAD PUBLICA DE JULIO POR LO CUAL SE DEVUELVE</t>
  </si>
  <si>
    <t xml:space="preserve">D.C.C., INFORMA SE PRESENTARON INUNDACIONES EN LA ZONA URBANA, DEL MPIO DE CANALETE, AFECTANDO: 181 FAMILIAS. D.G.V. -692. BARRIOS TRECE DE AGOSTO, NUEVO HORIZONTE, EL CERRO, VILLA OLIMPICA Y CARACOL, </t>
  </si>
  <si>
    <t>EL DIA 27 DE AGOSTO DE 2013 A LAS 6:22 PM HORA LOCAL, SE PRESENTO UN SISMO CON MAGNITUD MW 4,6 EPICENTRO A 7,8KM AL NOROESTE DE LA CABECERA MUNICIPAL DE DAGUA (VALLE) Y A LAS 6:48 PM SE PRESENTO UN SISMO CON MAGNITUD MW 3,8 EPICENTRO A 9,2 KM AL NOROESTE DE NLA CABECERA MUNICIPAL DE DAGUA, QUE AFECTO A UN SIN NUMERO DE FAMILIAS EN LAS ESTRUCTURAS DE LAS VIVIENDAS ASI COMO TAMBIEN A LA INFRAESTRUCTURA EDUCATIVA, DE SANEAMIENTO BASICO, MUNICIPAL, DE SALUD, CULTURAL, DEPORTIVO Y DE PUYENTES QUE COMUNICAN LA CABECERA MUNICIPAL CON LA ZOÑA RURAL.
ENVIAN CALAMIDAD PERO SE REGRESA PARA APOYO LOCAL Y REGIONAL TENIENDO ENC UENTA QUE NO SUPERA LAS CAPACIDADES DE APOYO LOCAL Y REGIONAL.</t>
  </si>
  <si>
    <t>CDGRD DE TOLIMA, INFORMA, INCENDIO FORESTAL A LA SALIDA DEL MPIO DE VENADILLO, HACIA LÉRIDA INICIADO HOY A LAS 13: 40 PM ,  EL CMGRD VENADILLO EN CABEZA DEL SR ALCALDE, PIDIÓ APOYO PARA SU CONTROL, A ESTA HORA Y SE DIO REPORTE A BOMBEROS VOLUNTARIOS IBAGUE, PARA APOYARLOS, SITUACIÓN EN DESARROLLO. -759</t>
  </si>
  <si>
    <t>BOMBEROS BOGOTÁ,  INFORMA,  16:42,  A ESTA HORA, 15 HOMBRES, 3 MÁQUINAS  Y  UN CARRO TANQUE DEL CUERPO OFICIAL DE BOMBEROS DE BOGOTÁ, ATIENDEN EL INCENDIO EN LA SUB - ESTACIÓN ELÉCTRICA, LA CONCORDIA EN EL BARRIO: LA CANDELARIA, LOS RESIDENTES DEL SECTOR FUERON EVACUADOS DE MANERA PREVENTIVA MIENTRAS SE CONTROLA EL INCENDIO, A LA HORA SE PRESENTAN 2 PERSONAS LESIONADAS QUE FUERON TRASLADADAS A CENTROS ASISTENCIALES, TRAS LA EMERGENCIA, 25.000 USUARIOS DE LA ZONA COMPRENDIDA ENTRE LA AVENIDA CIRCUNVALAR Y LA CARRERA DÉCIMA, ENTRE LAS CALLES TERCERA Y 26, SE ENCUENTRAN SIN SERVICIO DE ENERGÍA, 1 VIVIENDA AFECTADA, 1 VEHICULO AFECTADO, 1 SUB- ESTACIÓN ELÉCTRICA, AFECTADA,  SITUACIÓN  EN DESARROLLO. -759</t>
  </si>
  <si>
    <t>CDGRD DE NARIÑO, INFORMA, SE PRESENTA, VENDAVAL EN EL MPIO DE IPIALES, CORREGIMIENTO DE: SUCUMBIOS, REALIZAN EDAN, SITUACIÓN EN DESARROLLO. -759</t>
  </si>
  <si>
    <t>CDGRD DE BOYACA, INFORMA, EN MUNICIPIO DE BOY ACÁ, INCENDIO ESTRUCTURAL, REPORTADO HOY Y OCURRIDO, EL DOMINGO EN LA NOCHE,  DOS VIVIENDAS DESTRUIDAS,  ATENDIÓ BOMBEROS TUNJA. -759</t>
  </si>
  <si>
    <t>SE REGISTRA INCENDIO ESTRUCTURAL EN CALI SECTOR PARQUE CAICEDO  CRA 5 CON CALLE 12, EDIFICIO SURAMERICANO EN UN SEPTIMO PISO, ATIENDEN 12 UNIDADES DE BOMBEROS Y TRES MAQUINAS, CAUSAS DEL INCENDIO POR ESTABLECER. -760</t>
  </si>
  <si>
    <t>SE REALIZA ACTUALIZACION POR SOLICITUD DADO QUE LLEGA REPORTE OFICIAL A LA UNGRD 13/11/2013 BAJO ACTA CMGRD BAHIA SOLANO, HORA DE LA EMERGENCIA 16: 30 HORAS MUELLE DE CABOTAJE, BUQUE DENOMINADO RENACER DEL PACIFICO CON MATRICULA MC 01-394, BUQUE QUE CUBRIA RUTA BUENAVENTURA - BAHIA SOLANO, PACIENTES ATENDIDOS EN EL HOSPITAL JULIO FIGUEROA VILLA 2 MENORES DE EDAD, 5 MAYORES DE EDAD, 1 MAYOR DE EDAD MAS CON QUEMADURAS DE SEGUNDO Y TERCER GRADO, 1 FALLECIDO, PARA UN TOTAL DE 9 PERSONAS, ENTIDADES PRESENTES DEFENSA CIVIL, ARMADA NACIONAL, PONAL, PROPIETARIO DE LA EMBARCACION BAJO ACTA INFORMA QUE TRANSPORTABA 2000 GALONES DE GASOLINA Y 3000 DE ACPM, GAS, MATERIALES DE COSTRUCCION, BEBIDAS, ALIMENTOS, VEHICULOS AL MOMENTO DEL PERCANCE. -760</t>
  </si>
  <si>
    <t>13-1200</t>
  </si>
  <si>
    <t>900 TANQUE SDE 1000 LITROS CON ACCESORIOS, 900 TANQUES DE 38 LITROS CON TAPA Y ACCESORIOS, 900 FILTROS 20 A 40 LITROS PARA URIBIA. 1800 VELAS DECLORANTES ESTERILIZANTES POR GRAVEDAD (STEFANI)</t>
  </si>
  <si>
    <t>AFECTADAS SE ENCUENTRAN 12 FAMILIAS APROXIMADAMENTE EN EL SECTOR BRISAS DE ORIENTE, DEL BARRIO SANTO DOMINGO SAVIO 2 DE LA CIUDAD DE MEDELLÍN, DESPUÉS DEL DESPLAZAMIENTO DE TIERRA OCASIONADO POR LAS FUERTES LLUVIAS DE LOS ÚLTIMOS DÍAS EL DEPARTAMENTO ADMINISTRATIVO DE GESTIÓN DEL RIESGO DE EMERGENCIA Y DESASTRES DE MEDELLÍN (DAGRD), LUEGO DE VISITAR EL LUGAR, LES DIJO QUE LA SOLUCIÓN A ESTE PROBLEMA SERÍA LA CONSTRUCCIÓN DE UN MURO DE CONTENCIÓN, AUNQUE LA COMUNIDAD EXPRESA QUE REALMENTE SON DOS, PUESTO QUE EXISTE EL RIESGO DE OTRO DERRUMBE EN UN SITIO ALEDAÑO. -761</t>
  </si>
  <si>
    <r>
      <t xml:space="preserve">09/11/2013 SE REALIZA EL DIA DE HOY ENLACE CON EL ALCALDE DE MONTECRISTO DR RICHARD RIOS POR AVALANCHA REPORTADA EL DIA DE AYER HACIA LAS 18:00 HORAS, INDICA QUE SALIO UNA COMISION DEL CMGRD HACIA LA VEREDA EL SALTO DADO QUE ALLI SE PRESENTO DICHA SITUACION, INDICA QUE APROXIMADAMENTE SON 720 FAMILIAS LAS AFECTADAS, 2 PERSONAS DESAPARECIDAS, INICIALMENTE HABIAN REPORTADO ´PERSONAS FALLECIDAS POR LO CUAL SE PREGUNTO SI YA TENIAN LOS CUERPOS LA RESPUESTA FUE NO POR LO CUAL SE LE PIDE AL SEÑOR ALCALDE HABLAR DE PERSONAS DESAPARECIDAS HASTA TANTO SE HALLEN LAS PERSONAS, EN ENLACE CON LAS ENTIDADES OPERATIVAS POR SOCORRO NACIONAL REPORTA SALEN HACIA MONTECRISTO 4 VOLUNTARIOS DE LA SECCIONAL CESAR UNIDAD MUNICIPAL DE AGUACHICA, POR LA DNB REPORTAN ALLI NO SE TIENE CUERPO DE BOMBEROS PERO SALE UNA COMISION DE CARTAGENA PARA EVALUAR LA ZONA. </t>
    </r>
    <r>
      <rPr>
        <b/>
        <sz val="10"/>
        <color indexed="8"/>
        <rFont val="Arial"/>
        <family val="2"/>
      </rPr>
      <t>11/11/2013</t>
    </r>
    <r>
      <rPr>
        <sz val="9"/>
        <color indexed="8"/>
        <rFont val="Arial"/>
        <family val="2"/>
      </rPr>
      <t xml:space="preserve"> LA UNGRD COORDINA Y HACE PRESENCIA DESDE EL DIA 10/11/2013 EN LABORES DE APOYO A ESTE MUNICIPIO, LUIS FERNANDO PIÑEROS DE LA UNGRD EN ENLACE REALIZADO EL DIA DE HOY REPORTA QUE ESTO SE DEBIO A UNA CRECIENTE SUBITA, LAS FAMILIAS AFECTADAS SON 895 Y 3378 PERSONAS, 253 CAMBUCHES DESTRUIDOS, DENTRO DE ELLOS 12 SON REALMENTE VIVIENDAS LAS CUALES ESTAN AVERIADAS, SE HABLA DE 2 PRESUNTOS DESAPARECIDOS QUE CORRESPONDERIAN A RAFAEL MARQUEZ DE 33 AÑOS Y JORGE ELIECER RODRIGUEZ DE 52 AÑOS SIN CONFIRMAR. -753
</t>
    </r>
    <r>
      <rPr>
        <sz val="9"/>
        <color rgb="FFFF0000"/>
        <rFont val="Arial"/>
        <family val="2"/>
      </rPr>
      <t>APOYO DEL FNGRD MEDIANTE TRANSFERENCIA AL CMGRD CON EL OBJETO DE OPOYO LOGISTICO Y OPERATIVO EN LA ATENCION DE LA CALAMIDAD PUBLICA.</t>
    </r>
  </si>
  <si>
    <t>VEREDA DOCTRINA NARANJOS, CORREGIMIENTO ALTO JORDAN. EVENTO CONSOLIDADO DEL 9 Y 24 DE SEPTIEMBRE</t>
  </si>
  <si>
    <t>110 ROLLOS POLISOMBRA</t>
  </si>
  <si>
    <t>REPORTA AVALANCHA OCURRIDA EN EL AMANECER DEL DIA 13 DE NOV, A CAUSA DE REPRESAMIENTO A LA ALTURA DE BARRIO LA TRINIDAD, LO QUE GENERO UNA EMPALIZADA  AFECTANDO SERIAMENTE LOS POTREROS DE CRÍA DE GANADO Y 5 VIVIENDAS AVERIADAS, 5 FAMILIAS, 25 PERSONAS, REPORTA CMGRD. -762</t>
  </si>
  <si>
    <t>CDGRD DE CUNDINAMARCA, INFORMA, JORGE REY FUNCIONARIO DE COVIANDES, REPORTA ACCIDENTE DE TRANSITO, OCURRIDO A LAS 04:00 HORAS DEL 14/11/13 EN EL SITIO DENOMINADO ABASTICOS, CUANDO UNA TRACTO MULA QUE TRANSPORTABA BLOQUE AL PARECER SE QUEDO SIN FRENOS Y COLISIONO CONTRA UNA CAMIONETA Y VOLCÁNDOSE DEJANDO COMO SALDO EL CONDUCTOR DE LA CAMIONETA MUERTO, TRAFICO INTERRUMPIDO ENTRE LAS 04:00 Y LAS 07:30 HORAS. ATENDIÓ POLICÍA, CTI Y COVIANDES. D.G.V. -763</t>
  </si>
  <si>
    <t>SECCIONAL DE BOYACA, INFORMA, EN LAS HORAS DE LA MADRUGADA, SE PRESENTÓ INCENDIO ESTRUCTURAL, EN EL MUNICIPIO DE MONIQUIRA, VEREDA LA UBAZA, ATIENDEN CINCO VOLUNTARIOS, DESDE LAS 1:30  AM HASTA LAS 2:15 AM , AFECTADO MOLINO DE PRODUCCIÓN DE PANELA DONDE SE DEPOSITABA EL VAGAZO PRODUCTO DE LA CAÑA DE AZUCAR  EN MADERRA Y TEJA ETERNEIT , AREÁ AFECTADA APROXIMADAMENTE  DE  300 M2. NO HAY PERDIDAS HUMANAS. D.G.V. -763</t>
  </si>
  <si>
    <t>SECCIONAL DEL CHOCO, INFORMA, POR CORTO CIRCUITO, SE PRESENTÓ INCENDIO ESTRUCTURAL, EN LA VIVIENDA DEL SEÑOR  ALEJANDRO RENTERÍA SERNA DEJANDO LA CUBIERTA DE LA VIVIENDA TOTALMENTE DESTRUIDA. D.G.V. -763</t>
  </si>
  <si>
    <t>SE PRESENTO UN DESLIZAMIENTO EN LA VEREDA DE NUSITO LA CUAL SEPULTO UNA VIVIENDA , SE DICE QUE HAY 5 PERSONAS DESAPARECIDAS.ESTA VEREDA ESTA DISTANTE A 4 HORAS DEL CASCO URBANO, LOS GRUPOS DE EMERGENCIA YA SE DESPLAZAN HACIA EL SITIO. -764</t>
  </si>
  <si>
    <t>EL RIO SAN ROQUE SE DESBORDO  POR LA FUERTES LLUVIAS REGISTRADAS EN LAS ULTIMAS HORAS, EL CUAL INUNDO AL MUNICIPIO, ESTE MOMENTO SE HACE EDAN POR PARTE DE LAS ENTIDADES OPERATIVAS. SE ATIENDE A 90 FAMILIAS POR PARTE DEL CMGRD DE SAN ROQUE. -764</t>
  </si>
  <si>
    <t>LA CONFLAGRACIÓN SE PRESENTÓ A LAS 11:00 DE LA MAÑANA, DE ESTE JUEVES, EN UN PARQUEADERO Y TALLER MECÁNICO DE VEHÍCULOS,  LOCALIZADO EN LA CARRERA 9 CON CALLE 13B DEL BARRIO OBRERO DE VALLEDUPAR, EL CUERPO DE BOMBEROS VOLUNTARIOS DE VALLEDUPAR ACUDIÓ AL LUGAR DE LA CONFLAGRACIÓN, EL VEHÍCULO  QUEDÓ CONSUMIDO POR LAS LLAMAS, EL INCENDIO FUE CONTROLADO POR LA UNIDAD BOMBERIL Y EVITÓ QUE LAS LLAMAS SE EXTINGUIERAN HACIA LAS VIVIENDAS VECINAS. -764</t>
  </si>
  <si>
    <t>TRES  MÁQUINAS DEL CUERPO DE BOMBEROS LLEGARON AL LUGAR PARA CONTROLAR LA CONFLAGRACIÓN.DESDE LAS 7:30 A.M. SE  REGISTRA UN FUERTE INCENDIO EN LA CARRERA 30 CON CALLE 39, EN EL CENTRO DE BARRANQUILLA. TRES MÁQUINAS DEL CUERPO DE BOMBEROS LLEGARON AL LUGAR PARA CONTROLAR LA CONFLAGRACIÓN. -764</t>
  </si>
  <si>
    <t>LUEGO DE DOS DÍAS DE LABORES, LOS ORGANISMOS DE SOCORRO ENCONTRARON EL SÁBADO EL CUERPO SIN VIDA DE DANIEL NEGRET MANTILLA, EN EL BARRIO ONCE DE NOVIEMBRE DE MANIZALES. UNA SABAN Y DOS PALAS MARCARON EL LUGAR, MIENTRAS SE HACÍA EL LEVANTAMIENTO. -764</t>
  </si>
  <si>
    <t>CDGRD DEL MAGDALENA, INFORMA, INUNDACIONES, POR DESBORDAMIENTO DEL RÍO FUNDACIÓN Y EL ARROYO: RIITO, CMGRD, REPORTA MAS DE 2000 FAMILIAS AFECTADAS, PENDIENTE AFECTACIÓN EN VIVIENDAS Y PERSONAS, ORGANISMOS DE SOCORRO, COORDINAN EVACUACIÓN, 22:02, REPORTA BOMBEROS, EN ESTE MOMENTO SE REUNEN EN LA SEDE DE BOMBEROS, FUNDACIÓN, LA ALCALDESA, BOMBEROS, D.C.C, SECRETARIO DE GOBIERNO,  CON EL FIN DE DECIDIR, REUBICACIÓN DE FAMILIAS, AFECTADAS, SITUACIÓN  EN DESARROLLO. D.G.V. -734, DESBORDAMIENTO RIO FUNDACION Y CAÑO RIHITO AFECTANDO 21 BARRIOS ARIGUANI, LAS TABLITAS, CENTRO, CHIMILA, LA MAGDALENA, PAZ DEL RIO, BRISAS DEL RIO, 23 DE FEBRERO, DIVINO NIÑO, LA ESPERANZA, VILLA FANNY, EL PORVENRO, GIMNASIO MODERNO EL JUMBO, LA ESMERALDA, SAN CARLOS, CHAMBACU, 
CDGRD DEL MAGDALENA, INFORMA, INUNDACIONES, POR DESBORDAMIENTO DEL RÍO FUNDACIÓN Y EL ARROYO: RIITO, CMGRD, REPORTA MAS DE 2000 FAMILIAS AFECTADAS, PENDIENTE AFECTACIÓN EN VIVIENDAS Y PERSONAS, ORGANISMOS DE SOCORRO, COORDINAN EVACUACIÓN, 22:02, REPORTA BOMBEROS, EN ESTE MOMENTO SE REUNEN EN LA SEDE DE BOMBEROS, FUNDACIÓN, LA ALCALDESA, BOMBEROS, D.C.C, SECRETARIO DE GOBIERNO,  CON EL FIN DE DECIDIR, REUBICACIÓN DE FAMILIAS, AFECTADAS, SITUACIÓN  EN DESARROLLO. D.G.V. -764</t>
  </si>
  <si>
    <t>CASANARE, MUNICIPIO DE MANI SE PRESENTO LA ROTURA DE POLIDUCTO EN LA VEREDA CORALINA CAÑO PALO BLANCO SE INFORMO A BOMBEROS MANI. DE INMEDIATO SE COLOCARON BARRERAS NATURALES PERO ANOCHE LLOVIÓ LA CRECIENTE SE LAS LLEVO NUEVAMENTE ESTÁN CONTROLANDO LA MANCHA PARA Q NO LLEGUE AL RIÓ CHARTE. SE EVACUARON 10 FAMILIAS POR LA AFECTACION EN LE AREA POR DERRAME DE HIDROCARBUROS. -764</t>
  </si>
  <si>
    <t>REPORTA INCENDIO ESTRUCTURAL EN BARRIO LOS ENANOS, EN LOCAL DE VENTA ILEGAL DE COMBUSTIBLE EL CUAL DEJA UN SALDO DE 5 VIVIENDAS DESTRUIDAS, 5 FAMILIAS, 25 PERSONAS,  3 VIVIENDAS AVERIADAS, 3 FAMILIAS, 15 PERSONAS, 3 VEHICULOS Y 1 MOTOCICLETA INCINERADOS, CONTROLA BOMBEROS, REPORTA CDGRD. -765</t>
  </si>
  <si>
    <t>REPORTA INCENDIO ESTRUCTURAL EN AREA URBANA, 3 VIVIENDAS DESTRUIDAS, 3 FAMILIAS DAMINIFICADAS, 15 PERSONAS, ATENDIO BOMBEROS, REPORTA CDGRD. -766</t>
  </si>
  <si>
    <t>CDGRD DE NARIÑO, INFORMA, SE PRESENTÓ EN LA MADRUGADA DEL DÍA DE HOY, INCENDIO ESTRUCTURAL EN LA ALCALDIA MUNICIPAL, AFECTANDO 3 OFICINAS DEL EDIFICIO. D.G.V. -767</t>
  </si>
  <si>
    <t>BOMBEROS, INFORMA, UNA CASA EN CENIZAS, DOS PERSONAS CON LESIONES LEVES Y DOS GALLINAS Y UN PERRO MUERTOS FUERON LAS CONSECUENCIAS FATALES DE LA EXPLOSIÓN DE TRES PIPETAS DE GAS, INCIDENTE QUE OCURRIÓ EN LA VEREDA LA MONTAÑITA, DEL CORREGIMIENTO LA TABLAZA, EN LA ESTRELLA. EL PERCANCE SE REGISTRÓ HACIA LAS 10:25 MINUTOS DE LA MAÑANA DE ESTE SÁBADO, CUANDO DE UN EXPENDIO DE VENTA DE GAS SE ACTIVÓ UNA CHISPA QUE ORIGINÓ LA EXPLOSIÓN DE UNA PIPETA, LA CUAL  DESATÓ UNA FUERTE LLAMARADA QUE ALCANZÓ CASI HASTA LOS CABLES DE LA ELECTRICIDAD. POSTERIORMENTE, EL FUERTE CALOR DEL FUEGO HIZO QUE EXPLOTARAN OTROS DOS CILINDROS Y POR FORTUNA, OTRAS 73 PIPETAS QUE ESTABAN EN EL LUGAR NO EXPLOTARON SINO QUE OCASIONARON EL FUNDIMIENTO DE LAS VÁLVULAS, LO QUE PRÁCTICAMENTE LAS DEJÓ INACTIVAS. LOS HERIDOS, ATENDIDOS EN EL MISMO SITIO, FUERON IDENTIFICADOS COMO JUAN DAVID GARCÍA, QUIEN SUFRIÓ QUEMADURAS DE PRIMER GRADO EN DOS DEDOS DE SU MANO IZQUIERDA, Y JUAN ARBEY RETREPO GARCÍA, QUE SUFRIÓ AFECCIONES EN SUS OÍDOS, FRUTO DEL IMPACTO. ESTE ÚLTIMO, SIN EMBARGO, FUE EL PEOR DAMNIFICADO DE LA TRAGEDIA, PUES SU CASA, DE MADERA, SE REDUJO A CENIZAS, Y SI SE SALVÓ DE ALGO PEOR FUE PORQUE EN ESE MOMENTO ESTABA FUERA DEL INMUEBLE. D.G.V. -767</t>
  </si>
  <si>
    <t>CDGRD DE SANTANDER, INFORMA, 16-11-2013. 14:30- HORAS, SE PRESENTÓ INCENDIO ESTRUCTURAL, BARRIO: EL CENTRO, EN EL DEPOSITO DE GUAPO TENGA,  PERDIDAS MATERIALES APROXIMADAS POR:  50.000.000 MILLONES, SE DESCONOCEN LAS CAUSAS, APOYARON BOMBEROS. D.G.V. -769</t>
  </si>
  <si>
    <t>CDGRD DEL CHOCO, INFORMA, SE PRESENTÓ EN LA NOCHE ANTERIOR, INCENDIO ESTRUCTURAL, SECTOR: MANAGRU,  DEJANDO 3 VIVIENDAS DESTRUIDAS. D.G.V. -769</t>
  </si>
  <si>
    <t>REPORTA FUNCIONARIA ELIANA BUENO DE LA OFICINA OPERATIVA DCC DE BARRANCABERMEJA, QUE 15 LIDERES VOLUNTARIOS DE ESA OFICINA, PARTICIPAN EN APOYO DE CONTROL Y EXTINCIÓN DE INCENDIO ESTRUCTURAL EN ALMACEN DE ELECTRODOMESTICOS EN DONDE SE INICIÓ LA CONFLAGRACIÓN DEJANDO AL MOMENTO SOLO DAÑOS MATERIALES Y NINGÚN OTRO REPORTE SOBRE PERSONAS. EL CASO SE REGISTRÓ A LAS 22:30 HORAS DEL DÍA 15-11-13. D.G.V. -769</t>
  </si>
  <si>
    <t>REGISTRADO APOYO EL 6 DE NOVIEMBRE</t>
  </si>
  <si>
    <t>APOYO A EMERGENCIAS DEL 6 DE OCTUBRE AL 6 DE NOVIEMBRE</t>
  </si>
  <si>
    <t>NO SOBREPASA LAS CAPACIDADES LOCALES Y/O REGIONALES</t>
  </si>
  <si>
    <t>DEBIDO A LA FUERTES LLUVIAS COLAPSO EL SERVICIO DE ALCANTARILLADO PRESENTÁNDOSE INUNDACIONES EN VARIOS SECTORES DE ESTAS LOCALIDAD, A ESTA HORA LOS BOMBEROS VOLUNTARIOS DE PITALITO ESTÁN     REALIZANDO LABORES DE VERIFICACIÓN Y EDAN. -771</t>
  </si>
  <si>
    <t>REPORTA POLICÍA DE GUAPOTA, QUE SE PRESENTÓ UN INCENDIO ESTRUCTURAL EN LA CALLE 2 CON CRA 2 DEL BARRIO CENTRO DEL MUNICIPIO DONDE SE INCENDIÓ EL ESTABLECIMIENTO PÚBLICO DE RAZÓN SOCIAL EL DEPÓSITO DE GUAPO TENGA, DE PROPIEDAD DE LA SEÑORA METAFORA DE ORTEGA, DONDE MANIFIESTA QUE LOS DAÑOS OSCILAS A 50.000.000 MILLONES, SE DESCONOCE  LAS CAUSAS DEL CONFLAGRACIÓN  FUERON ATENDIDOS POR LOS BOMBEROS, NO SE PRESENTÓ PÉRDIDAS HUMANAS. -771</t>
  </si>
  <si>
    <t>SE PRESENTA INCENDIO FORESTAL, EN LA VEREDA LA MESITA, FINCA SAN MARTIN DE PIEDECUESTA QUEMADOS APROXIMADAMENTE 25 HECTÁREAS DE ARBUSTOS Y PASTIZALES. FUE ATENDIDO Y CONTROLADO POR EL CUERPO DE BOMBEROS DE PIEDECUESTA  SIN REPORTAR AFECTACIÓN DE VIDAS HUMANAS NI DAÑOS ESTRUCTURALES. -771</t>
  </si>
  <si>
    <t>REPORTA POLICÍA DE CARRETERAS (DEPARTAMENTO POLICÍA SANTANDER) QUE EN EL KILÓMETRO 93 VÍA QUE CONDUCE BUCARAMANGA- MÁLAGA, AL LADO DE SANTABÁRBARA SECTOR DEL TOPE, SE PRESENTÓ DESLIZAMIENTO DE TIERRA, DONDE SE VIO AFECTADA UNA VIVIENDA DONDE PERNOTABA UNA FAMILIA COMPUESTA DE CINCO PERSONAS LAS CUALES FUERON EVACUADAS DEL LUGAR POR SEGURIDAD DEBIDO AL DESLIZAMIENTO DE PIEDRAS EN ESTE MOMENTO SE ENCUENTRA LA VÍA CON RESTRICCIÓN DEBIDO A ESTE DESLIZAMIENTO. -771</t>
  </si>
  <si>
    <t>EN HORAS DE LA MADRUGADA SE PRESENTO UN INCENDIO ESTRUCTURAL CON LA PERDIDA TOTAL DE SUS ELEMENTOS LOS HECHOS SEREGISTRARON EN LA FAMILIA FLOREZ. -771</t>
  </si>
  <si>
    <t>ME PERMITO INFORMAR Y ACLARAR INFORMACIÓN DE CASOS DEL DÍA SÁBADO 16 NOV 2013 DE DOS PERSONAS BAÑANDOS EN EN EL RIO RESULTARON AHOGADOS ENCONTRÁNDOSE INICIALMENTE UNO DE ELLOS Y POSTERIOR AL DÍA SIGUIENTE DE LA BÚSQUEDA APARECE EL OTRO DE LOS DOS PRIMOS. -771</t>
  </si>
  <si>
    <t>INFORMA NDEL CDGRD EL SR ORLANDO GARZON DE UNA  CRECIENTE SUBITA  DE LA QUEBRADA LA VICIOSA , EN LA VEREDA PAULICO AFECTANDO A VARIAS VIVIENDAS, EL CMGRD DE GUADALUPE HACE EDAN. -771</t>
  </si>
  <si>
    <t>MUNICIPIO DE PUERTO BOYACÁ, POR DESBORDAMIENTO DEL RIO GUAGUAQUÍ EN EL CENTRO POBLADO PUERTO ROMERO HAY 40 FAMILIAS DAMNIFICADAS APROXIMADAMENTE, REPORTAN AVALANCHA SOBRE LAS 9:00 HRS DEL DIA DE HOY  VEREDAS AFECTADAS EL TRAPICHE, PUERTO PINEDA Y LOS NARANJOS. REPORTA SECRETARIO DE GOBIERNO DEL MUNICIPIO. EDAN Y DEMÁS DOCUMENTOS EN TRÁMITE. -771</t>
  </si>
  <si>
    <t>CDGRD DE SANTANDER, INFORMA, MPIO DE CHARALA, 15-11-2013. 18:00- HORAS, REPORTA POLICÍA DE CHARALÁ  QUE EN LA VEREDA PUNTUAL , SE VOLCÓ UNA VOLQUETA DONDE IBAN DOS PERSONAS, LAS CUALES CAYERON AL RIO CHARALÁ, DONDE UNA FALLECIDO Y EL CONDUCTOR SE ENCUENTRA DESAPARECIDO,  DE NOMBRE MANUEL LEON ARDILA SIN MÁS DATOS. ES BUSCADO POR LAS AUTORIDADES MUNICIPALES DE CHARALÁ, EL CUERPO DE BOMBEROS. D.G.V. -767
REPORTA POLICÍA DE CHARALÁ  QUE EN LA VEREDA PUNTUAL , SE VOLCÓ UNA VOLQUETA DONDE IBA DOS PERSONAS LAS CUALES CAYERON AL RIO CHARALÁ DONDE HAY DOS PERSONAS FALLECIDAS. -771</t>
  </si>
  <si>
    <t>13-1068</t>
  </si>
  <si>
    <t>PERDIDA DE ANINALES Y CULTIVOS</t>
  </si>
  <si>
    <t>COMUNIDADES DE LA PEÑA Y PUEBLO VIEJO (RIO BEBARA)</t>
  </si>
  <si>
    <t>CDGRD REPORTA  HOY 18/11/2013 DESLIZAMIENTO EN EL MUNICIPIO DE RECETOR, APROXIMADAMENTE A 1 KILOMETRO DE LA VEREDA PUEBLO NUEVO, NO SE REPORTARON VICTIMAS U OTRO, AFECTACION SOLO EN VIA. -772</t>
  </si>
  <si>
    <t>CDGRD REPORTA INCENDIO FORESTAL EN EL MUNICIPIO DE AGUAZUL VIA A MANI, AFECTACION DE 1 HECTAREA DE PASTOS, CONTROLADO Y EXTINGUIDO. -772</t>
  </si>
  <si>
    <t>CDGRD ACTUALIZA INFORMACION ASI: UDEGER QUINDIO APOYO AL MUNICIPIO DE LA TEBAIDA PARA ATENDER A 75 FAMILIAS, CORRESPONDIENTES A 339 PERSONAS AFECTADAS POR EL VENDAVAL EL FIN DE SEMANA, LOS BARRIOS QUE PRESENTARON AFECTACION SON NUEVA TEBAIDA, EL PROGRESO, VILLA MARIA, EL CANTARO Y FUNDACIONES, LAS AHE ENTREGADA CONSISTIO EN COLCHONETAS, KIT ALIMENTOS, KIT DE COCINA, KIT DE ASEO, TEJAS DE ZINC, TEJAS DE ASBESTO, CEMENTO, CHANCLAS, SE ENTREGO EN COMPAÑIA DEL ALCALDE Y APOYO DE LAS ENTIDADES DE SOCORRO, CRUZ ROJA, DEFENSA CIVIL, BOMBEROS Y EL COORDINADOR DEL CMGRD. -772</t>
  </si>
  <si>
    <t>CDGRD REPORTA INUNDACION DESDE LAS PRIMERAS HORAS DE LA MAÑANA EN EL MUNICIPIO DE GARZON EN UN ASENTAMIENTO DENOMINADO VILLA ESPERANZA DONDE HAY UN REPORTE DE 128 VIVIENDAS INUNDADAS DESPUES DE FUERTES LLUVIAS, ESTE ASENTAMIENTO CARECE DE ALCANTARILLADO Y SISTEMA DE ACUEDUCTO, APOYAN BOMBEROS Y CRUZ ROJA. -772</t>
  </si>
  <si>
    <t>CDGRD ENTREGA REPORTE DE LA VEREDA  SAN ISIDRO DEL MUNICIPIO DE SAN PEDRO DESLIZAMIENTO EL CUAL DEJA AVERÍAS EN EL TANQUE DESARENADOR  DEL ACUEDUCTO  EL DÍA  15 DE NOVIEMBRE, LOS FUNCIONARIOS, DE:COORDINACIÓN DE  GESTIÓN DEL RIESGO, SECRETARIO DE OBRAS Y TÉCNICO  DE SANEAMIENTO, NOS TRASLADAMOS HASTA LA VEREDA  AFECTADA Y ENCONTRAMOS, EL TANQUE  DESARENADOR  DEL ACUEDUCTO  TOTALMENTE AVERIADO, LO QUE PRESENTA UN RIESGO A LOS  HABITANTES  QUE ESTÁN CERCANOS AL  CURSO DE LA QUEBRADA, LLEGA INFORMACION VIA E-MAIL, D.L.M. -772</t>
  </si>
  <si>
    <t>CDGRD REPORTA DESLIZAMIENTO EN EL MUNICIPIO DE LA CRUZ, BARRIO SAN ANTONIO, AFECTANDO UNA VIVIENDA, IGUAL NUMERO DE FAMILIAS. -772</t>
  </si>
  <si>
    <t>EL DIA 08 DE OCTUBRE DEL PRESENTE AÑO A LAS 13:30 HORAS SE PRESENTO UN INCENDIO ESTRUCTURAL EN EL BARRIO SAN PEDRO DEJANDO COMO CONSECUENCIA DOS FAMILIAS DAMNIFICADAS Y DOS VIVIENDAS TOTALMENTE INCINERADAS PARA UN TOTAL DE 9 PERSONAS AFECTADAS.</t>
  </si>
  <si>
    <t>REPORTA CRECIENTE SUBITA DEL RIO FUCHA, A CAUSA DE FUERTES LLUVIAS EN LOS CERROS ORIENTALES, LO QUE OCASIONO LA EVACUACION DE 14 VIVIENDAS QUE RESULTARON AFECTADAS DE UN SECTOR DE LA PARTE ALTA DE AGUAS CLARAS, EN LA LOCALIDAD DE SAN CRISTÓBAL, INFORMA EL ING JOSE ANTONIO PERDOMO.CMGRD FOPAE. -774</t>
  </si>
  <si>
    <t>POR LAS LLUVIAS REGISTRADAS EN LAS ULTIMAS HORAS EL ALCANTARILLADO COLAPSO POR REBOSAMEITNO , AFECTANDO A 4 VIVIENDAS , LA EMPRESA DE SERVICIOS PUBLICOS ATENDIO LA EMERGENCIA. -774</t>
  </si>
  <si>
    <t>EL DESBORDAMIENTO DE LOS RÍOS ATRATO DATOS PRELIMINARES LAS AGUAS HAN ALCANZADO LOS PRIMEROS NIVELES DE LAS CASAS UBICADAS EN LOS MUNICIPIO DE ATRATO Y YETO, AL IGUAL QUE EN EL CORREGIMIENTO DE EL BARAUDÓ. -774</t>
  </si>
  <si>
    <t>AL  SUR DE MEDELLÍN, PRODUJO UN DESLIZAMIENTO EN EL KILÓMETRO 4 DE LA VÍA A LAS PALMAS Y TAPONÓ LA CALZADA DE DESCENSO.ATIENDE EL  CUERPO DE BOMBEROS DE MEDELLÍN. -774</t>
  </si>
  <si>
    <t>HASTA EL MOMENTO SE REPORTAN MAS DE UNA VEINTENA (20) DE CASAS AFECTADAS POR INUNDACION  EN LA CRECIENTE DE LA QUEBRADA EL GUANABANO Y EL RIO LAS CAÑAS , CON PERDIDA DE CULTIVOS, AFECTACINO EN LA VIA DE LA ZONA RURAL, -774</t>
  </si>
  <si>
    <t>DESDE LAS 5:00 A.M. DE ESTE MARTES, LAS PERSONAS QUE SE MOVILIZAN ENTRE BUCARAMANGA Y PIEDECUESTA HAN TENIDO QUE ESPERAR CERCA DE DOS HORAS PARA PASAR POR ESTA ZONA, DEBIDO AL REPRESAMIENTO DE AGUAS QUE SE REGISTRÓ DURANTE ESTA MADRUGADA. EN ELE SECTRO DE LA ESPAÑOLITA. -774</t>
  </si>
  <si>
    <t>BOMBEROS CASABIANCA REPORTA INCENDIO SOBRE LAS 6.00 AM LE INFORMARON QUE EN LA ZONA RURAL VEREDA LA PORFIA FINCA EL MIRADOR CAUSAS POR EL CAMBIO DE UN CILINDRO DE GAS LA VIVIENDA SE QUEMO EN SU TOTALIDAD LA VIVENDA. EL SEÑOR CUSTODIO AGUILAR ROBAYO SE QUEMO UN BRAZO Y GOLPE EN LA CABEZA SE  TRASLADO AL HOSPITAL LA SITUACIÓN SE ENCUENTRA CONTROLADA A LA HORA. SE ESTIMARON LAS PERDIDAS EN $8.000.000 MILLONES. -774</t>
  </si>
  <si>
    <t>REPORTAN DEL CDGRD , AFECTACION EN, DEL RIO CURRULAO DEJA 3 FAMILIAS QUE REQUIEREN SER REUBICADAS. -774</t>
  </si>
  <si>
    <t>REPORTAN DEL CDGRD ,SE PRESENTAN DESLIZAMIENTOS EN LAS VEREDAS SANTA GERTRUDIS, MONTEBELLO, EL RAYO, QUEBRADA HONDA/SE AFECTARON 6 VIVIENDAS/SE REQUIERE REUBICACION DE 2 FAMILIAS EN LA VDA MONTEBELLO. -774</t>
  </si>
  <si>
    <t>REPORTAN DEL CDGRD  DESLIZAMIENTO EN LA VDA SAN VIDAL DEJA AFECTACIONES EN 1 VIVIENDA,EN EL ACUEDUCTO Y EN LA VIA DE ACCESO(CERRADA). -774</t>
  </si>
  <si>
    <r>
      <t>MATERIALES PARA</t>
    </r>
    <r>
      <rPr>
        <b/>
        <sz val="9"/>
        <rFont val="Arial"/>
        <family val="2"/>
      </rPr>
      <t xml:space="preserve"> ACUEDUCTO </t>
    </r>
    <r>
      <rPr>
        <sz val="9"/>
        <rFont val="Arial"/>
        <family val="2"/>
      </rPr>
      <t xml:space="preserve">( CEMENTO 113 BULTOS, 8 M3 ARENA, 9 M3 GRAVA, 320 KG DE ACERO DE 1/2", 5 VALVULAS DE COMPUERTA DE 3", 4 T DE 4", 2 VALVULAS DE VENTOSA DE 3", 2 UNIDADES DE VALVULAS DE VENTOSA DE 4", 2 UNIDADES VALVULA DE PURGA DE 4", 2 UNIDADES VALVULA DE PURGA DE 3", 10 UNIONES DE 4", 10 UNIONES DE 3", 7 UNIDADES DE MANHUERA DE 4" RDE21 DE 90 MTS, 7 UNIDADES DE MANGUERA DE 3" RDE 21 DE 90 MTS , 100 UNIDADES DE TUBERIA DE 3" RDE 21 POR 6 METROS, Y </t>
    </r>
    <r>
      <rPr>
        <b/>
        <sz val="9"/>
        <rFont val="Arial"/>
        <family val="2"/>
      </rPr>
      <t xml:space="preserve">ALCANTARILLADO (55 </t>
    </r>
    <r>
      <rPr>
        <sz val="9"/>
        <rFont val="Arial"/>
        <family val="2"/>
      </rPr>
      <t>bultos de cemento, 550 LADRILLOS TOLETE, 35 UNIONES PVC NOVAFORT 160 MM, 35 UNIONES PVC NOVAFOR DE 200 MM, 350 MT DE TUBO PVC NOVAFOR DE 200 MM, 350 TUBOS PVC NOVAFOR DE 160 MM, 35 T DE 8" A 4" SANITARIA , 35 YE PVC ALCANTARILLADO DE 200MM X 160 MM, 7 TANQUE SEPTICOS DE 4000 LTS, 30 TRAMPAS DE GRASA DE 95 LTS, 60 CAJAS DE ANCLAJE) POR EMERGENCIA A RAIZ DE FENOMENO DE LA NIÑA 2010 - 2011</t>
    </r>
  </si>
  <si>
    <t>13-1199
13-1230</t>
  </si>
  <si>
    <t>13-1199
13-1231</t>
  </si>
  <si>
    <t>CMGRD DE ARMENIA, INFORMA, SE PRESENTÓ, INUNDACIONES, ACOMPAÑADAS DE FUERTES VIENTOS, 6 BARRIOS AFECTADOS: MERCEDES DEL NORTE, CORBONES, BUENOS AIRES BAJO, LA CURVA DEL DIABLO, COLINAS CENTRO, VELEZ, REALIZAN EDAN, SITUACIÓN EN DESARROLLO. -775</t>
  </si>
  <si>
    <t>CMGRD DE ARMENIA, INFORMA, SE PRESENTÓ DESLIZAMIENTO, SECTOR: LA CURVA DEL DIABLO, 1 VIVIENDA INHABITABLE, LA CUAL FUE EVACUADA, 1 VÍA AFECTADA A LA ALTURA DE:  PARTE BAJA DEL PUENTE LA FLORIDA, APOYA ALCALDÍA CON AUXILIO DE ARRENDAMIENTO. -775</t>
  </si>
  <si>
    <t>CDGRD DE CAQUETA Y BOMBEROS, INFORMA, DESBORDAMIENTO DEL RÍO PESCADO, AFECTANDO: 30 FAMILIAS SITUACIÓN EN DESARROLLO. -775</t>
  </si>
  <si>
    <t>CDGRD DE NARÑO,  REPORTA DESLIZAMIENTO EN LA VEREDA. LOS LLANOS, BARRIO: LOS BALCONES, 6 VIVIENDAS AVERIADAS, AFECTADO EL ALCANTARILLADO. -775</t>
  </si>
  <si>
    <t>BOMBEROS VENADILLO, REPORTA UN INCENDIO, EN LADRILLERA CHOCARI,  1 HECTÁREA DE SOCA  DE ARROZ AFECTADA. -775</t>
  </si>
  <si>
    <t>CDGRD DEL HUILA, INFORMA, VEREDA EL TRIUNFO POR FUERTES LLUVIAS, SE PRODUJO UN DESLIZAMIENTO, AFECTANDO, UNA VIVIENDA POR LODO, CON DAÑOS EN ENSERES, IGUALMENTE EN LA MISMA VEREDA, UN DESLIZAMIENTO AFECTO APROXIMADAMENTE:  2 HECTAREAS DE CULTIVOS DE CAFÈ, PLATANO ENTRE OTROS. -775</t>
  </si>
  <si>
    <t>CDGRD DEL HUILA, INFORMO, VEREDA: SAN CALIXTO, SE PRODUJO UN DESLIZAMIENTO, AFECTO ESTRUCTURALMENTE: 2 VIVIENDAS, UNA CON  COLAPSO DE DOS MUROS Y OTRA CON AGRIETAMIENTOS EN LAS PAREDES. -775</t>
  </si>
  <si>
    <t>CDGRD DEL HUILA, INFORMA, SE CONSOLIDA PRELIMINARMENTE,   61 VIVIENDAS AFECTADAS, IGUAL NUMERO DE FAMILIAS DAMNIFICADAS, DONDE ESTAN INCLUIDAS 11 VIVIENDAS, NO HABITABLES CON PERDIDA TOTAL, PRODUCTO DE LA CRECIENTE SÚBITA Y DESBORDAMIENTO DE LA QUEBRADA CHIMBAYACO, SE CONTINUA EL DÍA DE MAÑANA, EL REGISTRO DE DAMNIFICADOS, EN ZONA RURAL POR DELIZAMIENTOS MULTIPLES, CON AFECTACIÓN DE VIVIENDAS, CULTIVOS Y VÍAS, SITUACIÓN EN DESARROLLO. -775</t>
  </si>
  <si>
    <t>CDGRD DEL QUINDIO, SECTOR: PUERTO ALEJANDRIA,  INFORMA, SE PRESENTÓ VENDAVAL, ACOMPAÑADO DE LLUVIAS, AFECTANDO. 12 VIVIENDAS. -775</t>
  </si>
  <si>
    <t>CDGRD DEL QUINDIO,  INFORMA, SE PRESENTÓ VENDAVAL, ACOMPAÑADO DE LLUVIAS, AFECTANDO. 5 VIVIENDAS. -775</t>
  </si>
  <si>
    <t>CITEL TOLIMA REPORTA SE REGISTRA INCENDIO ESTRUCTURAL 23:20 EN EL MUNICIPIO DE PURIFICACION, EN EL HOSPITAL LA CANDELARIA SE CONTROLO A LAS 00:05 HORAS, EL INCENDIO SE GENERO POR CORTO CIRCUITO EN LA SECCION DE SISTEMAS, EL GERENTE HARA EVALUACION NUEVAMENTE, AFECTACION EN OFICINAS, ATENDIO BOMBEROS VOLUNTARIOS DE PURIFICACION. -776</t>
  </si>
  <si>
    <t>EL DÍA 14 DE NOVIEMBRE POR CAUSA DE UN FUERTE VENDAVAL QUE AFECTÓ DE MANERA CONSIDERABLE LA CABECERA MUNICIPAL,  VEREDAS DE GUAICO ALIZAL, LAS DELICIAS, PORVENIR VILACHI, LOS QUINGOS, LA LLANADA Y LOS CORREGIMIENTOS DE SIBERIA Y PESCADOR. EMAIL 20 de noviembre de 2013 09:39. -777</t>
  </si>
  <si>
    <t>EL MUNICIPIO DE SUCRE-CAUCA, REPORTA EN ESTE MOMENTO DESTRUCCIÓN TOTAL EN MURO DE CONTENCIÓN Y PERDIDA PARCIAL DE BANCA SOBRE LA VÍA PRINCIPAL QUE COMUNICA LA CABECERA MUNICIPAL DE SUCRE CON EL CORREGIMIENTO DE GUACHICONO-BOLIVAR,EN EL PUNTO K47+000 VIA 25CC08,  LA PERDIDA TOTAL DE BANCA  IMPOSIBILITARIA  LA SALIDA HACIA LA VÍA PANAMERICANA. SITUACIÓN DE EMERGENCIA  OCASIONADA POR AVENIDA TORRENCIAL DEL RIO GUACHICONO, DESENCADENADA  POR  LAS FUERTES LLUVIAS PRESENTADAS EN LAS ULTIMAS 24 HORAS. -777</t>
  </si>
  <si>
    <t>MATERIALES PARA LA CONSTRUCCION DE 10 PUENTES DE EMERGENCIA. MATERIALES ADICIONALES PARA COMPLETAR LOS PUENTES QUE EXISTEN EN LA CRUZ ROJA</t>
  </si>
  <si>
    <t>13-0595</t>
  </si>
  <si>
    <t>13-0216</t>
  </si>
  <si>
    <t>230 TANQUE DE 500 LTS. 1035 TELA ASFALTICA X ROLLO. 2400 VARILLA DE HIERRO DE 1/2". 5760 VARILLAS DE HIERRO DE 5/8". 12760 VARILLA DE HIERRO DE 3/8". 9360 ALAMBRE DE AMARRE X KG. 3040 ANCLAJE CONCRETO A MADERA UNIONES EN PLATINA COLD ROLLED GALVANIZADA LAMINADA SECCION L(8X6) PERFORADA L=12CM. 6900 TORNILLO ROSCADO DE 5/8"X100CM. 115000 TUERCAS Y ARANDELAS DE 5/8". 4600 CLAVOS DE PISO 2 1/2"XLb. 80 CLAVOS 3"XLb. 3450 CLAVOS DE CUBIERTA DE 1 1/2"XLb. 5830 CLAVOS PAREDES DE 2"X Lb. 4680 COLUMNAS DE MADERA 4"X4"X4MTS. 1710LISTONES DE MADERA PARA DIAGONALES 4"X2"X3MTS. 1520 LISTONES DE MADERA PARA DIAGONALES 4"X2"X5MTS. 1840 VIGAS DE MADERA 4"X8"X4,2MTS. 11730 VIGUETAS DE MADERA 3"X5"X3MTS. 4600 LISTONES DE MADERA 1"X5"X5MTS. 4140 LISTONES MACHIMBRIADO PARA TECHO X BULTO. 4830 LISTONES DE MADERA 2"X4"X5,30MTS. 52210 LISTONES DE MADERA 2"X4"X3MTS. 1150 TABLAS DE MADERA 2"X10"X4MTS. 145820 TABLAS DE MADERA 1"X4"X3MTS. 2300 LISTONES MACHIMBRIADO PARA PAREDES POR BULTO. MATERIALES 1 ESCUELA, 1800 LADRILLOS FAROL 20CM X 10CM X 30CM. 4 COLUMNA METALICA EN TUBO CUADRADO(100X100X3MM). 71,06 VIGUETA METALICA EN TUBO CUADRADO PARA VANOS (100X100X3MM). 249 CORREAS EN TUBO RECTANGULAR SECCION HUECA (90X220X4,5MM). 252 VIGUETA METALICA EN TUBO RECTANGULAR SECCION HUECA (90X220X4,5MM). 4167 VARILLA DE HIERRO DE 1/2". 4762 VARILLA DE HIERRO DE 3/8".</t>
  </si>
  <si>
    <t>9000 LADRILLOS. 693 VARILLAS DE ACERO DE 3/8". 1300 VARILLAS  DE ACERO DE 1/2"
REUBICACION DE 23 VIVENDAS DE 41.4 M2 POR VALOR DE $816,400,000 (LA MEJOR $ 373'915.248,8) (SOLARTE $ 469'657.931,32 FALTAN MATERIALES)  (COLSERVICIOS $ 402'010.478,8)</t>
  </si>
  <si>
    <t>SE PRESENTO UN FUERTE AGUACERO EN EL CORREGIMIENTO DE CHANCOS , DEJANDO UNA VIVIENDA AFECTADA POR UN CANAL DE AGUAS QUE RECIBE LAS AGUAS DESCORRENTIAS DE LA HACIENDA LA PIEDAD Y AGUAS UTILIZADAS EN UN CULTIVO DE PAPAYA, OCASIONANDO EL DESBORDAMIENTO DEL CANAL Y DESVIANDO EL AGUA HACIA LA VIVIENDA , DEJANDO DAÑOS ESTRUCTURALES Y PERDIDA DE ENCERES.</t>
  </si>
  <si>
    <t>FUERTES VIENTOS ACOMPAÑADOS DE GRANIZO AFECTARON CULTIVOS DE CAFÉ, PLATANO, FRIJ EN LAS VEREDAS DE SAMELIA, BUENOS AIRES, ALTO CIELO, ALEJANDRIA, LA SIBERIA Y LAS MARGARITAS EN EL MUNICIPIO DEL CAIRO.</t>
  </si>
  <si>
    <t>AFECTADA INFRAESTRUCTURTA ELECTRICA</t>
  </si>
  <si>
    <t>EL DESBORDAMIENTO DEL RIO ANDAGUEDA Y CAPÁ UN CORREGIMIENTOS Y TRES COMUNIDADES. 774. CINCO BARRIOS NUEVO LLORO, LAS CRUCES BAJO, RIO ANDAGUEDA, E4L SILENCIO, LA PEÑITA Y LA PUNTA. 16 VEREDAS BORUANDO, GUACERUMA, PEÑALOZA, TOCOLLORO, SAN VICENTE, PUERTO MORENO, PLAYA, GERVACIO, CANCHIDO, BOCA DE CAPA, CHIMBURRU, GUATADO, CHIRRIQUI, PLAYA ALTA, MINDO, PARRUGUERA.</t>
  </si>
  <si>
    <t>204240 LADRILLOS. 35200 KILOS DE ACERO DE 1/4". 11900 VARILLAS DE ACERO DE 1/2". 80 TANQUES A.A.P. 1000 LTS.</t>
  </si>
  <si>
    <t>ALEJANDRO CAMBEROS LINARES, ALCALDE DEL MUNICIPIO DE TOPAIPI, MEDIANTE ACTA EXTRAORDINARIA 007 DE 15 DE NOVIEMBRE DE 2013 CMGRD, INFORMA SOBRE LAS AFECTACIONES OCURRIDAS POR LLUVIAS EL DÍA 15-11-13 EN LAS VEREDAS CENTRO ORIENTE, CAQUIN, Y EL BARRIO MALVINAS, DONDE RESULTARON  70 CASAS AVERIADAS DE LAS CUALES 2 SE ENCUENTRAN EN ALTO RIESGO POR DESLIZAMIENTO, 70 FAMILIAS, 208 PERSONAS, LAS CUALES SUFRIERON PERDIDAS DE TEJADOS, MUEBLES, ENCERES, CULTIVOS DE PLÁTANO, CAÑA DE AZÚCAR, CAFÉ, LULO, Y PÁSTISALES. TAMBIEN HUBO REMOCIÓN EN MASA DE 1 FANEGADA APROXIMADAMENTE CON UNA PROFUNDIDAD DE 8 MTS. EL ALCALDE SOLICITA DE MANERA URGENTE AYUDAS HUMANITARIAS COMO FRAZADAS, VÍVERES Y TEJAS CON EL FIN DE ATENDER LAS NECESIDADES PRESENTADAS POR ESTA EMERGENCIA. REPORTA CDGRD. -778</t>
  </si>
  <si>
    <t>LUIS CARLOS BARRETO  DEL CMGR, DEL MUNICIPIO DE FUSAGASUGÁ INFORMA A ESTA UNIDAD QUE EN EL DÍA DE AYER 19-11-13, HACIA LAS 15:00 HORAS SE PRESENTO UN VENDAVAL ACOMPAÑADO DE FUERTES LLUVIAS, EN LA INSPECCIÓN DE CHINAUTA  EL CUAL AFECTO POR PERDIDAS DE TECHOS LA INSTALACIONES DE ASPENSIPOL  Y UN ANCIANATO (100 TEJAS APROXIMADAMENTE). TAMBIÉN OCASIONO LA CAÍDA DE 11 ARBOLES DE GRAN TAMAÑO DE LOS CUALES ALGUNOS OBSTACULIZAN UNA QUEBRADA Y VÍAS DEL SECTOR. ATENDIO CMGRD , DEFENSA CIVIL, Y BRIGADA CAR. REPORTA CDGRD. -778</t>
  </si>
  <si>
    <t>REPORTA INCENDIO FORESTAL EN AREA RURAL HASTA EL MOMENTO 7 HECTAREAS DE VEGETACION NATIVA COSNSUMIDAS, ATIENDEN BOMBEROS DEL MUNICIPIO Y APOYAN BOMBEROS DE OTROS DOS MUNICIPIOS, DEFENSA CIVIL Y COMUNIDAD, 2 PERSONAS DE LA COMUNIDAD LESIONADAS CON QUEMADURAS DE 1 Y 2 GRADO REMITIDOS A HOSPITAL LOCAL, REPORTA CDGRD, SITUACION EN DESARROLO. -778</t>
  </si>
  <si>
    <t>REPORTA VENDAVAL OCURRIDO EN LA NOCHE DEL 19 DE NOVIEMBRE, SEGÚN INFORMACION PRELIMINAR LA AFECTACION SOLO EN AREA URBANA ES: 117 VIVIENDAS AVERIADAS, 117 FAMILIAS, 585 PERSONAS, 1 HOSPITAL, 3 CENTROS EDUCATIVOS, CMGRD REALIZA EDAN, REPORTA CDGRD, SITUACION EN DESARROLLO. -778</t>
  </si>
  <si>
    <t>REPORTA VENDAVAL EN AREA RURAL CON TORMENTA ELECTRICA Y FUERTE GRANIZADA, SEGÚN INFORMACION PRELIMINAR 4 VEREDAS AFECTADAS, 150 VIVIENDAS AVERIADAS, 150 FAMILIAS, 750 PERSONAS, PERDIDAS DE CULTIVOS DE CEBOLLA, ARVEJA Y HABO, ATIENDE EN ESTE MOMENTO BOMBEROS, REPORTA CDGRD, SITUACION EN DESARROLLO. -778</t>
  </si>
  <si>
    <t>REPORTA VENDAVAL EL CUAL SEGÚN INFORMACION PRELIMINAR AFECTO 7 BARRIOS AFECTADOS DE LOS CUALES SE HA REALIZADO EDAN EN 3 CON 90 VIVIENDAS, 90 FAMILIAS, 450 PERSONAS, 1 INSTITUCION EDUCATIVA, EL CMGRD Y SUS ENTIDADES OPERATIVAS REALIZAN EDAN, EL DIA DE MAÑANA SE DECRETARA LA CALAMIDAD, REPORTA CDGRD, SITUACION EN DESARROLLO. -778</t>
  </si>
  <si>
    <t>REPORTA INCEDIO ESTRUCTURAL EN FABRICA ENSAMBLADORA DE BUSES ARTICULADOS DE NOMBRE BUSSCAR DE COLOMBIA, ATIENDIERON BOMBEROS PEREIRA, DOSQUEBRADAS, LA VIRGINIA, BOMBEROS AERONAUTICOS. SE EVACUARON 1500 PERSONAS, SE REPORTARON 1 BOMBERO LESIONADO POR CAIDA DE ALTURA DE 4 MTS, Y 4 EMPLEADOS INTOXICADOS POR INHALACION DE HUMO. REPORTA CDGRD. -778</t>
  </si>
  <si>
    <t>REPORTA DESLIZAMIENTO EN MINA BARRIO BATACLAN SECTOR MANANTIAL EL CUAL DEJA 5 PERSONAS RESCATADAS CON VIDA Y SE CONTINUA EN LA BUSQUEDA DE POSIBLES DESAPARECIDOS, REPORTA CDGRD, SITUACION EN DESARROLLO. -778</t>
  </si>
  <si>
    <t>CDGRD DEL QUINDIO, INFORMA, SE PRESENTA VENDAVAL, BARRIOS: INDIGENA, LINCON, INFORMACIÓN PRELIMINAR, 34 VIVIENDAS AFECTADAS,  EL CMGRD, CONTINUA RELIZANDO EDAN, EL DÍA DE MAÑANA SE TRASLADARAN AYUDAS CONSISTENTES EN TEJAS, SITUACIÓN EN DESARROLLO. -779</t>
  </si>
  <si>
    <t>UNA CONFLAGRACIÓN QUE SE PRESENTÓ A LAS 4:20 DE LA MADRUGADA DE ESTE JUEVES, EN LA CARRERA 45 CON LA CALLE 59, FUE CONTROLADA POR EL CUERPO DE BOMBEROS DE MEDELLÍN. LA EMERGENCIA OCURRIÓ EN UNA VIVIENDA EN DONDE, AL PARECER, FUNCIONABA UN INQUILINATO. EN EL HECHO NO SE REGISTRARON LESIONADOS, SIN EMBARGO, LA CASA QUEDÓ TOTALMENTE INCINERADA. -780</t>
  </si>
  <si>
    <t>CDGRD REPORTA POR LAS LLUVIAS PRESENTADAS EN LOS ULTIMOS DIAS EN EL MUNICIPIO DE EL TABLON DE GOMEZ, HOY EN LAS PRIMERAS HORAS DE LA MAÑANA, SE AFECTO EL PUENTE SOBRE EL RIO EL CHORRILLO QUE CONDUCE AL MUNICIPIO DE ALBAN, MAÑANA SE DESPLAZA UNA COMISION DEL DEPARTAMENTO A EVALUAR LA ESTRUCTURA DEL PUENTE VEHICULAR. -781</t>
  </si>
  <si>
    <t>CDGRD Y CMGRD ENVIAN POR E-MAIL HOY 21/11/2013 ME PERMITO INFORMARLE EN EL MUNICIPIO DE BUGALAGRANDE, EN EL CORREGIMIENTO DE GALICIA Y SUS VEREDAS ALEDAÑAS EL DIA DE AYER 20 DE NOVIEMBRE, SE PRESENTARON UNAS FUERTES LLUVIAS CON VENDAVAL, QUE AFECTARON A LA POBLACION RESIDENTE EN EL SECTOR, POR TAL RAZON NOS ENCONTRAMOS REALIZANDO EL LEVANTAMIENTO DE FAMILIAS AFECTADAS POR DICHA SITUACION, INMEDIATAMENTE SE CONOZCA EL CENSO TOTAL DE LA POBLACION, REMITIREMOS LOS DATOS DE LAS FAMILIAS AFECTADAS CON EL FIN DE QUE NOS COLABOREN EN LA ATENCION INMEDIATA BIEN SEA CON ENSERES, MERCADOS Y MATERIALES PARA LA RECONSTRUCCION DE LAS VIVIENDAS AFECTADAS. -781</t>
  </si>
  <si>
    <t>VEREDAS ALTO EL PITAL, LA TORRE, GRANADILLO, SIBERIA, ANDALUCIA, DELICIAS Y LA CABECERA Y LAS ESCUELAS DE ANDALUCIA, HONDA ESTRELLA Y EL CIDRAL.</t>
  </si>
  <si>
    <t xml:space="preserve">APOYO DEL FNGRD MEDIANTE SUBSIDIO DE ARRIENDO TEMPORAL PARA 43 FAMILIAS AFECTADAS POR EL VENDAVAL OCURIDO EL 8 DE SEPTIEMBRE DE 2012 a RAZON DE $200.000 MENSUALES.
</t>
  </si>
  <si>
    <t>APOYO MEDIANTE SUBSIDIO DE ARRIENDO PARA 64 FAMILIAS AFECTADAS POR LA TEMPORADA NVERNAL 2011 - 2012 POR TRES MESES A RAZON DE $200.000 MENSUALES</t>
  </si>
  <si>
    <r>
      <t>CDGRD REPORTA VIA E-MAIL, INFORME PRELIMINAR DE VISITAS POR  EVENTO SUCEDIDO</t>
    </r>
    <r>
      <rPr>
        <sz val="9"/>
        <color indexed="63"/>
        <rFont val="Arial"/>
        <family val="2"/>
      </rPr>
      <t xml:space="preserve"> </t>
    </r>
    <r>
      <rPr>
        <b/>
        <sz val="9"/>
        <color indexed="63"/>
        <rFont val="Arial"/>
        <family val="2"/>
      </rPr>
      <t>EL DIA 17 DE NOVIEMBRE DE 2013</t>
    </r>
    <r>
      <rPr>
        <sz val="9"/>
        <color indexed="63"/>
        <rFont val="Arial"/>
        <family val="2"/>
      </rPr>
      <t xml:space="preserve"> SEGÚN INFORMACIÓN RECIBIDA POR LOS  LÍDERES DE LAS COMUNIDADES DEL CORREGIMIENTO NO. 8 Y EL RIO ANCHICAYÁ, EL PASADO DOMINGO </t>
    </r>
    <r>
      <rPr>
        <b/>
        <sz val="9"/>
        <color indexed="63"/>
        <rFont val="Arial"/>
        <family val="2"/>
      </rPr>
      <t>17/11/2013,</t>
    </r>
    <r>
      <rPr>
        <sz val="9"/>
        <color indexed="63"/>
        <rFont val="Arial"/>
        <family val="2"/>
      </rPr>
      <t xml:space="preserve">  EN LAS HORAS DE LA MADRUGADA SE PRESENTÓ  UNA FUERTE CRECIENTE PRODUCTO DEL FUERTE AGUACERO QUE SE PRECIPITÓ DURANTE LA NOCHE DEL DÍA 17 Y SE PROLONGÓ HASTA  LA MAÑANA DEL DÍA 18 DEL PRESENTE, ESPECÍFICAMENTE EN LAS CUENCAS DE LOS RÍOS SABALETA Y ANCHICAYÁ AFECTANDO A LAS POBLACIONES RIBEREÑAS. SIGUIENDO LAS DIRECTRICES  Y  LAS FUNCIONES COMPETENTES A LA OFICINA, EL DÍA LUNES </t>
    </r>
    <r>
      <rPr>
        <b/>
        <sz val="9"/>
        <color indexed="63"/>
        <rFont val="Arial"/>
        <family val="2"/>
      </rPr>
      <t>18/11/2013</t>
    </r>
    <r>
      <rPr>
        <sz val="9"/>
        <color indexed="63"/>
        <rFont val="Arial"/>
        <family val="2"/>
      </rPr>
      <t xml:space="preserve"> SALIÓ UNA COMISIÓN VÍA CARRETEABLE PARA </t>
    </r>
    <r>
      <rPr>
        <b/>
        <sz val="9"/>
        <color indexed="63"/>
        <rFont val="Arial"/>
        <family val="2"/>
      </rPr>
      <t>EL CORREGIMIENTO NO 8</t>
    </r>
    <r>
      <rPr>
        <sz val="9"/>
        <color indexed="63"/>
        <rFont val="Arial"/>
        <family val="2"/>
      </rPr>
      <t xml:space="preserve"> INTEGRADO POR LOS FUNCIONARIOS DE ESTA OFICINA Y LOS VOLUNTARIOS DE LA DEFENSA CIVIL, PARA VERIFICAR LA AFECTACIÓN REPORTADA POR LOS LÍDERES   DE LA ZONA, DONDE SE PUDO EVIDENCIAR LOS DESTROZOS CAUSADOS  EN 07  VEREDAS POR LA CRECIENTE DEL RIO SABALETA  DANDO UN DATO PRELIMINAR DE: </t>
    </r>
    <r>
      <rPr>
        <b/>
        <sz val="9"/>
        <color indexed="63"/>
        <rFont val="Arial"/>
        <family val="2"/>
      </rPr>
      <t>VIVIENDAS AFECTADAS</t>
    </r>
    <r>
      <rPr>
        <sz val="9"/>
        <color indexed="63"/>
        <rFont val="Arial"/>
        <family val="2"/>
      </rPr>
      <t>: </t>
    </r>
    <r>
      <rPr>
        <b/>
        <sz val="9"/>
        <color indexed="63"/>
        <rFont val="Arial"/>
        <family val="2"/>
      </rPr>
      <t>152</t>
    </r>
    <r>
      <rPr>
        <sz val="9"/>
        <color indexed="63"/>
        <rFont val="Arial"/>
        <family val="2"/>
      </rPr>
      <t xml:space="preserve">, </t>
    </r>
    <r>
      <rPr>
        <b/>
        <sz val="9"/>
        <color indexed="63"/>
        <rFont val="Arial"/>
        <family val="2"/>
      </rPr>
      <t>PARCELAS O</t>
    </r>
    <r>
      <rPr>
        <sz val="9"/>
        <color indexed="63"/>
        <rFont val="Arial"/>
        <family val="2"/>
      </rPr>
      <t xml:space="preserve"> </t>
    </r>
    <r>
      <rPr>
        <b/>
        <sz val="9"/>
        <color indexed="63"/>
        <rFont val="Arial"/>
        <family val="2"/>
      </rPr>
      <t>CULTIVOS DE PAN COGER</t>
    </r>
    <r>
      <rPr>
        <sz val="9"/>
        <color indexed="63"/>
        <rFont val="Arial"/>
        <family val="2"/>
      </rPr>
      <t>:</t>
    </r>
    <r>
      <rPr>
        <b/>
        <sz val="9"/>
        <color indexed="63"/>
        <rFont val="Arial"/>
        <family val="2"/>
      </rPr>
      <t xml:space="preserve"> 460,</t>
    </r>
    <r>
      <rPr>
        <sz val="9"/>
        <color indexed="63"/>
        <rFont val="Arial"/>
        <family val="2"/>
      </rPr>
      <t xml:space="preserve"> EN EL TRANSCURSO DE LA SEMANA SE ENVIARA  TODA LA INFORMACIÓN DETALLADA, JUNTO CON LOS CENSOS REALIZADOS, FORMATOS DE EDAN DEBIDAMENTE DILIGENCIADOS Y REGISTROS FOTOGRÁFICOS DE CADA UNA DE LAS AFECTACIONES, DONDE ESTAREMOS SOLICITANDO DE SU COLABORACIÓN PARA LAS FAMILIAS AFECTADAS. CORDIALMENTE, </t>
    </r>
    <r>
      <rPr>
        <b/>
        <sz val="9"/>
        <color indexed="63"/>
        <rFont val="Arial"/>
        <family val="2"/>
      </rPr>
      <t xml:space="preserve">JAVIER ELIECER RIASCOS Y </t>
    </r>
    <r>
      <rPr>
        <sz val="9"/>
        <color indexed="63"/>
        <rFont val="Arial"/>
        <family val="2"/>
      </rPr>
      <t>DIRECTOR. -781
CDGRD REPORTA VIA E-MAIL, INFORME PRELIMINAR DE VISITAS POR  EVENTO SUCEDIDO EL DIA 17 DE NOVIEMBRE DE 2013, POSTERIORMENTE EL DÍA 19/11/2003 SALIÓ UNA COMISIÓN CON LOS FUNCIONARIOS DE LA OFICINA Y LOS LÍDERES COMUNALES PARA LA ZONA MARÍTIMA RURAL DEL RIO ANCHICAYÁ PARA VERIFICAR EL EVENTO, SE VISITARON 09 VEREDAS DANDO COMO RESULTADO PRELIMINAR: VIVIENDAS AFECTADAS: 150, PARCELAS O CULTIVO DE PAN COGER: 400, EN EL TRANSCURSO DE LA SEMANA SE ENVIARA  TODA LA INFORMACIÓN DETALLADA, JUNTO CON LOS CENSOS REALIZADOS, FORMATOS DE EDAN DEBIDAMENTE DILIGENCIADOS Y REGISTROS FOTOGRÁFICOS DE CADA UNA DE LAS AFECTACIONES, DONDE ESTAREMOS SOLICITANDO DE SU COLABORACIÓN PARA LAS FAMILIAS AFECTADAS. CORDIALMENTE, JAVIER ELIECER RIASCOS Y DIRECTOR. -781</t>
    </r>
  </si>
  <si>
    <t>DADAS LAS FUERTES LLUVIAS PRESENTADAS ANOCHE Y PARTE DE LA MADRUGADA SE PRESENTO INUNDACIÓN EN EL MUNICIPIO DE TIMBIQUI, EN LOS BARRIOS: 1. FRANCIA, 2. UNIÓN DE VIVIENDA, 3. BUENOS AIRES,     4. SAN JOSE BAJO, 5. PUERTO LUZ, 6 BELLA VISTA, 7. LAS BRISAS. IGUALMENTE LA PISTA DE ATERRIZAJE ( VUELOS SUSPENDIDOS).EN LA ZONA RURAL LOS CORREGIMIENTOS DE COTEJE, BRAZO CORTO Y LA TROJA.SEGUIMOS ESPERANDO LOS REPORTES Y ESPERANDO QUE BAJE EL NIVEL DE LOS RIOS TIMBIQUI Y SAIJA PARA REALIZAR LOS RECORRIDOS CON LA COMISIÓN DE VERIFICACIÓN. -783</t>
  </si>
  <si>
    <t>EN ZONA RURAL DEL MUNICIPIO DE DOSQUEBRADAS, EN LA VEREDA EL COFRE, SE REGISTRÓ LA EXPLOSIÓN DE VARIOS KILOS DE PÓLVORA, MIENTRAS TRES PERSONAS, DOS HOMBRES Y UNA MUJER, ESTABAN FABRICANDO LOS CONOCIDOS ‘CHORRILLOS’ PARA VENTA EN LA LOCALIDAD.AUNQUE LA EMERGENCIA YA FUE ATENDIDA Y LAS LLAMAS APAGADAS POR LOS BOMBEROS. -783</t>
  </si>
  <si>
    <t>DESLIZAMIENTO DE TIERRA EN LA VEREDA MESAS DEL MUNICIPIO DE SUAREZ, AFECTANDO LA COMUNICACIÓN CON LA VEREDA SAN JOSE DE ARENALES DEL MUNICIPIO DE CUNDAY Y VEREDAS LOSANIA, ACEITUNO, BOCAS DEL SALERO, SAN BUENAVENTURA, 3 MESETAS. IGUALMENTE AFECTA LA VIA QUE CONDUCE A LOS POZOS PETROLEROS DE PETROBRAS. EL DR.ABILIO BAQUERO HABLA CON EL COORDINADOR DEL CMGRD DEL MUNICIPIO DE PURIFICACION QUEDANDO PENDIENTE UNA VISITA TECNICA, Y HABLAR CON PETROBRAS PARA APOYO CON MAQUINARIA DE PARTE DE ELLOS. -783</t>
  </si>
  <si>
    <t>INCENDIO FORESTAL PRESENTADO EN DIA 20-11-2013 ,  EN LA VEREDA EL RAMAL EN LA FINCA DOÑA ALICIA ARCHILA, DONDE SE CONFLAGRO  25 HECTÁREAS DE  FAUNAS Y ENTRE ESOS CULTIVO DE ALVERJA, YUCA Y APIO, FUE CONTROLADO TOTALMENTE POR LOS BOMBEROS DE ONZAGA Y AUTORIDADES PERTINENTE. -780
SE VERIFICO LA NOVEDAD DEL INCENDIO FORESTAL QUE SE PRESENTÓ EL DÍA 21-11-2013 EN HORAS DE LA TARDE DONDE LOS BOMBEROS MANIFESTARON QUE SE CONTROLÓ DICHO INCENDIO APAGÁNDOLO TOTALMENTE DONDE DEJO 25 HECTÁREAS QUEMADAS ENTRE ESA TRES CULTIVOS DE YUCA, ALVERJA Y APIO EN LA VEREDA EL RAMAL EN LA FINCA DE DOÑA ALICIA ARCHILA . -783</t>
  </si>
  <si>
    <t>CDGRD DE CALDAS, INFORMA, MPIO DE SAMANA,  SE PRESENTÓ VENDAVAL, 17-11-2013, REPORTADO HASTA EL DÍA DE HOY, CON UNA AFECTACIÓN DE: 26 FAMILIAS, CMGRD SE ENCUENTRA TRAMITANDO LA AYUDA HUMANITARIA. -784</t>
  </si>
  <si>
    <t>CDGRD DEL QUINDIO, INFORMA, SE PRESENTÓ, NOCHE ANTERIOR, VENDAVAL,  ACOMPAÑADO DE LLUVIAS, , AFECTANDO: 2 VIVIENDAS, CMGRD APOYA CON TEJAS Y COLCHONETAS. -784</t>
  </si>
  <si>
    <t>D.C.C., INFORMA, DIA 20-11-13, SIENDO LAS 06.00 HORAS A.M. CRECIENTE SUBITA DEL RIO MAGDALENA  LA VEREDA EL PARAISO JURISDICCIÓN DEL MUNICIPIO DE GARZÓN POR LLUVIAS TORRENCIALES, CON SALDO AL MOMENTO DE 2 MENORES DE EDAD DESAPARECIDOS CUYOS NOMBRES CORRESPONDEN A ESNEIDER TORRES CABRERA DE 17 AÑOS Y  REYNALDO SANCHEZ  DE 16 AÑOS ASI MISMO DEJA AFECTADA 1 FAMILIA Y 1 VIVIENDA DESTRUIDA. PENDIENTE AMPLIACIÓN DEL REPORTE.D.G.V. -779
CDGRD INFORMA: CMGRD DE GARZON REPORTA QUE RESCATARON EL CUERPO SIN VIDA DE UNO DE LOS JOVENES DESAPARECIDOS EL DIA DE AYER, FUE HALLADO EN EL SITIO CONOCIDO COMO ESCALERETA DEL RIO MAGDALENA, EL CUERPO CORRESPONDE AL JOVEN REINALDO SANCHEZ YUCUMA DE 14 AÑOS, REANUDARAN LABORES DE BUSQUEDA EL DIA DE MAÑANA. -781
 CDGRD DEL HUILA, INFORMA, A LAS 16:00 HORAS APROX. FUE RECUPERADO EL CUERPO DEL JOVEN ISNEYER TORRES CABRERA, DE 17 ANOS DE EDAD ,QUIEN SE ENCONTRABA DESAPARECIDO, POR CRECIENTE SÚBITA DE LA QUEBRADA LAS DAMAS EN EL MUNICIPIO DE GARZON. -784</t>
  </si>
  <si>
    <t>REPORTA TORMENTA ELECTRICA ENTRE  RESTREPO Y   VIGES EN HORAS DE LA TARDE, CAYÓ UN RAYO  DEJANDO 1 PERSONA FALLECIDA, Y 3 PERSONAS LESIONADAS CON QUEMADURAS DE DIFERENTES GRADOS, LAS CUALES FUERON REMITIDAS AL HOSPITAL DE RESTREPO, REPORTA CDGRD. -786</t>
  </si>
  <si>
    <t>BOMBEROS, INFORMA, LA EMERGENCIA SE REGISTRÓ EN LA CALLE 138 N°. 159 C, EN EL BARRIO VILLA CINDY, LOCALIDAD DE SUBA, LUEGO DE LAS FUERTES LLUVIAS QUE SE GENERARON EN LA TARDE DE ESTE SÁBADO, EL CUERPO OFICIAL DE BOMBEROS DE BOGOTÁ SE ENCUENTRA, ATENDIENDO LA EMERGENCIA, QUE INICIÓ HACIA LAS CUATRO DE LA TARDE, TRES CASAS QUE SE ENCUENTRAN INUNDADAS; FUERON EVACUADOS 10 ADULTOS Y SEIS MENORES. -787</t>
  </si>
  <si>
    <t>REPORTA INCENDIO FORESTAL SOBRE MONTAÑA  EN LA VEREDA  SAN FRANCISCO, PUNTO CUROS ALTOS, QUEMÁNDOSE HELECHOS, PASTOS, ARBUSTO DE MONTE, DEJANDO 3 HECTÁREAS CONFLAGRADAS. ATENDIO POR CUERPO DE BOMBEROS DE PIEDECUESTA, SIN REPORTAR AFECTACIÓN DE VIDAS HUMANAS. REPORTA CDGRD. -788</t>
  </si>
  <si>
    <t>REPORTA ACCIDENTE DE TRANSITO OCURRIDO AYER CUANDO UN VEHICULO TWINGO SE DEPLAZABA DE MANIZALES A CHINCHINA Y EN EL SECTOR ENTRADA BOCATOMA MONTEVIDEO PIERDE EL CONTROL SALIENDOSE DE LA VIA VOLCANDOSE E INCENDIADOSE OCASIONANDO 2 PERSONAS FALLECIDAS, 3 PERSONAS LESIONADAS LAS CUALES FUERON REMITIDAS AL HOSPITAL SAN MARCOS DE CHINCHINA, REPORTA CDGRD. -788</t>
  </si>
  <si>
    <t>CDGRD DEL HUILA, INFORMA, VEREDA:  EL LÍBANO,  SE PRESENTAN INUNDACIONES, POR FUERTES LLUVIAS, ACOMPAÑADAS DE VIENTOS, 5 VIVIENDAS AFECTADAS.  REALIZAN EDAN SITUACIÓN EN DESARROLLO. D.G.V. -789</t>
  </si>
  <si>
    <t>CDGRD DEL HUILA, INFORMA, SE PRESENTA DESLIZAMIENTO EN LA VÍA ACEVEDO- PITALITO, SECTOR. ALTO BUENA VISTA, VEREDA. SAN ISIDRO, SE PRESUME, SEGÚN INFORMACIÓN DE LA COMUNIDAD, QUE HAY UNA POSIBLE MOTOCICLETA INVOLUCRADA, SE ESTÁ VERIFICANDO ESTÁ INFORMACIÓN, APOYAN BOMBEROS, SITUACIÓN EN DESARROLLO. D.G.V. -789</t>
  </si>
  <si>
    <t>UNA  CRECIENTE SUBITA RIO CUSIANA DEJO A  4 PERSONAS ATRAPADAS EN UNA ISLA FUERON EVACUADAS HOY A 8 AM TRASLADAS AL HOSPITAL POR HIPOTERMIA, SE ESPERA ALGUN REPORTE DE AFECTACION EN LA COMUNIDAD. -790</t>
  </si>
  <si>
    <t>EL COORDINADOR DEL CMGRD SAN LUIS INFORMA QUE EN HORAS DE LA MAÑANA DEL DIA DE AYER 24 DE NOVIEMBRE EN LA VRDA. PIEDRA BLANCA FALLECE UN JOVEN DE 16 AÑOS DE NOMBRE JUAN HUMBERTO MELO CRUZ ALCAZADO POR UN RAYO CUANDO SE RESGUARDABA DEBAJO DE UN ARBOL. -790</t>
  </si>
  <si>
    <t>EN LA VEREDA DEL RECREO SE PRESENTO UNA CRECIENT SUBITA EN LA NOCHE ANTERIOR, DEJANDO 2  VIVIENDAS DESTRUIDAS Y 1 AVERIADAS, EL CMGRD ESTA REALIZNDO EDAN. ES LA INFORACION INICIAL A ESTE EVENTO. -790</t>
  </si>
  <si>
    <t>APOYO DEL FNGRD MEDIANTE TRANSFERENCIA AL MUNICIPIO CON EL OBJETO DE APOYAR EL PROYECTO REHABILITACION VIA VEEDA PEDREGAL, SECTOR LA INDEPENDENCIA.</t>
  </si>
  <si>
    <t>13-1161</t>
  </si>
  <si>
    <t>APOYO DEL FNGRD MEDIANTE TRANSFERENCIA AL MUNICIPIO CON EL OBJETO DE APOYAR EL PROYECTO OBRAS DE MITIGACION DE DAÑOS CAUSADOS POR SOCAVACION DE LA QUEBRADA EL ROBLE EN EL SECTOR COMPRENDIDO ENTRE LA CURVA BLANCA Y EL CAPITOLIO SOBRE LA VIA QUE CONDUCE DE VILLA CARO AL ALTO DEL POZO, VEREDA EL ROBLE.</t>
  </si>
  <si>
    <t>13-1193</t>
  </si>
  <si>
    <t>APOYO MEDIANTE SUBSIDIO DE ARRIENDO TEMPORAL PARA 15 FAMILIAS AFECTADAS POR LAS INUNDACIONES DE 2012 DURANTE TRES MESES A RAZON DE $200.000 MENSUA.</t>
  </si>
  <si>
    <t>CDGRD DEL PUTUMAYO, INFORMA, MPIO DE PUERTO ASIS, SE PRESENTA VENDAVAL, REALIZAN EDAN, SITUACIÓN EN DESARROLLO. D.G.V. -791</t>
  </si>
  <si>
    <t>CDGRD REPORTA EN EL MUNICIPIO DE CALDONO, VEREDA PORVENIR VILACHI EN HORAS DE LA TARDE SE PRESENTO UN DESLIZAMIENTO, AFECTANDO UNA VIVIENDA, ATENDIO Y REALIZO PROCESO DE EVACUACION BOMBEROS VOLUNTARIOS, EN VERIFICACION DEL AREA DETERMINARON QUE NO ERA CONVENIENTE QUE SIGUIERAN HABITANDOLA, POR PARTE DE LA ALCALDIA SE PRESTO LAS PRIMERAS AYUDAS, FAMILIA AFECTADA: ALFONSO GUETIO C.C 4645649. DIEGO GUETIO CAMPO 4646614, GUSTAVO ADOLFO GUETIO PILCUE NUIP F6M 0250202082 EIDI BANESA, GUETIO PILCUE TI 1060100002, INFORMACION ENTREGADA DESDE EL CMGRD. -792</t>
  </si>
  <si>
    <t>CDGRD REPORTA INUNDACION EN EL MUNICIPIO DE POPAYAN EN EL ASENTAMIENTO TRIUNFAREMOS POR LA PAZ  POR LA SALIDA DE LA QUEBRADA PUBUS, DEBIDO A LAS FUERTES LLUVIAS EN HORAS DE LA TARDE, ATENDIO CUERPO DE BOMBEROS VOLUNTARIOS DE POPAYAN DONDE SE REPORTAN 60 VIVIENDAS AFECTADAS, CERO VIVIENDAS COLAPSADAS, CERO HERIDOS, HACIA LAS 21:00 HORAS LAS LLUVIAS HAN CESADO PERO SE HARA SEGUIMIENTO AL ESTADO DEL CLIMA DURANTE TODA LA NOCHE POR PARTE DEL CMGRD DE POPAYAN. -792</t>
  </si>
  <si>
    <t>INFORMA EL SEÑOR EDISON AYALA COORDINADOR DEL CMGRD, QUE DURANTE TODA LA NOCHE SE PRESENTÓ LLUVIAS DONDE OCASIONO TAPONAMIENTO EN LA VÍA PRINCIPAL DEL MUNICIPIO, Y CRECIMIENTO DE LA QUEBRADA LA HONDA OCASIONANDO DESLIZAMIENTO Y DESPRENDIMIENTO DE ROCAS, LAS AUTORIDADES ENVIARON MAQUINARIA PARA NORMALIZAR LA VÍA. -793</t>
  </si>
  <si>
    <t>SE PRESENTA UN DESLIZAMIENTO EN AREA URBANA DE SABANETA, EL CUAL CAUSO EL COLAPSO DE UNA VIVIENDAD. EL CMGRD ESTA REALIZANDO EDAN. NOTCIA EN DESARROLLO. -793</t>
  </si>
  <si>
    <t>REPORTA INCENDIO FORESTAL EN LA VEREDA CONCEPCIÓN  INICIADO EL 25/11/13 A LAS 14:00 Y EXTINGUIDO A LAS 18:00 HORAS DEL 25/11/13 CON AFECTACIÓN DE 3 HECTÁREAS DE CULTIVO DE CAÑA DER AZÚCAR. ATENDIÓ BOMBEROS Y COMUNIDAD. REPORTA CDGRD. -794</t>
  </si>
  <si>
    <t>REPORTA EXPLOSIÓN E INCENDIO DE LA POLVORERIA FLOR DEL GUACANA, OCURRIDA A LAS 17:00 HORAS DEL DÍA 25/11/13 EN EL PERÍMETRO URBANO DEL MUNICIPIO DE TOCAIMA, DONDE RESULTO FALLECIDA LA SEÑORA LUCERO FORERO LÓPEZ DE 55 AÑOS, DESTRUCCIÓN TOTAL DE LA VIVIENDA Y DAÑOS GRAVES EN LAS 2 VIVIENDAS CONTIGUAS. ATENDIÓ BOMBEROS TOCAIMA, LA MESA, GIRARDOT Y FLANDES, EJERCITO, POLICÍA Y CTI CON EL APOYO DE UNA AMBULANCIA DE LA CONCESIÓN DEBISAB. REPORTA CDGRD.                                                          RECIBE WALTER. -794</t>
  </si>
  <si>
    <t>REPORTA COLAPSO PARCIAL ESTRUCTURAL DE TECHO DE UNA SALA DE CINE COLOMBIA EN EL CENTRO COMERCIAL UNICENTRO, RESULTANDO 3 PERSONAS CON LESIONES LEVES, INGENIEROS DEL CENTRO COMERCIAL Y DE FOPAE REALIZAN EVALUACION DE LA ESTRUCTURA, ATIENDE EVENTO BOMBEROS, FOPAE, SECRETARIA DE SALUD, REPORTA CDGRD. -794</t>
  </si>
  <si>
    <t>EL LÍDER VOLUNTARIO DE LA JUNTA DE ENVIGADO,  HIZO FRENTE A LA EMERGENCIA, TAPONANDO VARIOS ÁRBOLES  LA VÍA Y EL PROCEDIÓ, CON UNA  MOTO SIERRA A DESPEJAR LAS VÍAS  EN VARIOS  SECTORES  DE LA VÍA DONDE DIO  AVISO  A LA DEFENSA CIVIL DE DOS CASAS A PUNTO DE COLAPSAR. D.G.V. -795</t>
  </si>
  <si>
    <t>ALREDEDOR DE 500 PERSONAS RESULTARON DAMNIFICADAS POR EL DESBORDAMIENTO DE LA QUEBRADA LA OCA EN ZONA URBANA DE ZARAGOZA, BAJÓ CAUCA DE ANTIOQUIA, SEGÚN INFORMÓ ESTE MARTES EL DIRECTOR DEL DEPARTAMENTO ADMINISTRATIVO DE PREVENCIÓN, ATENCIÓN Y RECUPERACIÓN DE DESASTRES (DAPARD), CÉSAR HERNÁNDEZ. LA EMERGENCIA SE DIO EN EL BARRIO LA ESMERALDA, DE LA CABECERA MUNICIPAL, TRAS FUERTES LLUVIAS REGISTRADAS EN LA NOCHE DEL LUNES Y MADURGADA DE ESTE MARTES.VOCEROS DE LA ALCALDÍA DE ZARAGOZA CONFIRMARON QUE AUTORIDADES LOCALES Y DE GESTIÓN DEL RIESGO ADELANTAN LA EVALUACIÓN TÉCNICA EN EL SITIO PARA DETERMINAR LA MAGNITUD DE LAS AFECTACIONES, ASÍ COMO LAS MEDIDAS PARA ATENDER A LA POBLACIÓN DAMNIFICADA. -793
D.C.C.,  INFORMA,   MUNICIPIO DE ZARAGOZA,  LA QUEBRADA OCA  SE DESBORDO, INUNDANDO LOS BARRIOS, LA ESMERALDA, SAN GREGORIO, LOS MIJITOS, EL PLAYÓN, LAS DELICIAS, LA PAZ, EL JARDÍN, LAS FLORES  Y  SANTA ELENA, 145 FAMILIAS AFECTADAS. D.G.V. -795</t>
  </si>
  <si>
    <t>DEFENSA CIVIL INFORMA DE 500 PERSONAS AFECTADAS POR INUNDACION EL EL CASCO URBANO , AL MOMENTO SE REALIZA EDAN. NOTICIA EN DESARROLLO. REPORTA EL SR LUIS BOTIA DIRECCION GENERAL. -793
LOS LÍDERES VOLUNTARIOS DE LA JUNTA CAUCASIA, SE ENCUENTRAN EVACUANDO LAS FAMILIAS AFECTADAS, Y LEVANTANDO EL RESPECTIVO CENSO EN COMPAÑÍA DEL CONSEJO MUNICIPAL DE GESTIÓN DEL RIESGO. D.G.V. -795</t>
  </si>
  <si>
    <t>UN FUERTE AGUCERO PRESENTADO EN LA TARDE DEL MARTES EN LA VEREDA CARRIZALES, EN EL MUNICIPIO DE EL RETIRO, OBLIGÓ AL DESALOJO DE TRES CASAS EN LAS QUE VIVEN ONCE PERSONAS, LOS BOMBEROS DE ESE MUNICIPIO INFORMARON QUE DOS DE LA FAMILIAS AFECTADAS FUERON LLEVADAS A UN ALBERGUE PROVISIONAL EN LA CABECERA MUNICIPAL Y LA TERCERA SE ALOJÓ EN UNA CASA DE PARIENTES. -796</t>
  </si>
  <si>
    <t>TRAS DOS HORAS DE LABORES EL CUERPO DE BOMBEROS VOLUNTARIOS LOGRÓ CONTROLAR UN INCENDIO ESTRUCTURAL EN UN FERRETERÍA UBICADA EN EL BARRIO SANTA ELENA, SURORIENTE DE CALI.EL HECHO SE REGISTRÓ HACIA LAS 7:40 P.M. DE ESTE MARTES EN LA CARRERA 31 CON CALLE 19, Y FUERON NECESARIOS EL TRABAJO DE 16 UNIDADES Y EL USO DE DOS MÁQUINAS EXTINTORAS Y UN CARROTANQUE. -796</t>
  </si>
  <si>
    <t>EN LE MUNICIPIO DE DAGUA SE PRESENTO UN IF  EN EL  SECTOR KILOMETRO  30, BOMBEROS ATIENDE ESTE INCENDIO, PENDIENTE POR ACTUALIZAR. -796</t>
  </si>
  <si>
    <t>INFORMAN DEL CDGRD DE CALDAS, EN EL MUNICIPIO DE CHINCHINA EN ZONA RURAL DE GUAYABAL SE  SE PRESENTO UNA INUNDACION  AFECTANDO A 20 FAMILIAS, EL CMGRD ESTA REALIZANDO EDAN.  PENDIENTE POR ACTUALIZACION. -796
INFORMAN DEL CDGRD DE CALDAS, EN EL MUNICIPIO DE CHINCHINA SE PRESENTO UN DESLIZAMIENTO AFECTADO UNA VIA Y LA QUEBRADA MINA POBRE SE DESBORDO AFECTANDO VARIAS VIVIENDAS, PENDIENTE POR ACTUALIZAR DATOS. -796</t>
  </si>
  <si>
    <t>CDGRD DE BOYACA REPORTA VENDAVAL CON GRANIZADA FUERTE, EN EL MUNICIPIO DE AQUITANIA INICIADO HACI A LAS 12:12 HORAS Y FINALIZADO HACIA LAS 12:36 HORAS, CON DESTRUCCION DE CULTIVOS EN LAS VEREDAS QUEBRADAS, TOBAL, HATO VIEJO Y CENTRO, ATENDIO BOMBEROS AQUITANIA, AL MOMENTO REALIZAN EDAN. 797</t>
  </si>
  <si>
    <t>CDGRD REPORTA EN EL MUNICIPIO DE GUASCA POR FUERTES LLUVIAS INUNDACION EN LA CABECERA MUNICIPAL, SIN QUE AL MOMENTO BRINDE DATOS DE AFECTACION , SITUACION EN DESARROLLO. -797</t>
  </si>
  <si>
    <t>AFECTADA ESCUELA MIGUEL DE CERVANTES SAAVEDRA EN LA VEREDA PERALONSO. SE REMITE AL CDGRD PARA APOYO</t>
  </si>
  <si>
    <t>MUNICIPIO DE  PITALITO EN EL CORREGIMIENTO DE BRUSELAS:  CONSOLIDADOS GENERAL DE LA EMERGENCIA EN PITALITO EN LA VEREDA MONTECRISTO 28  CASAS AFECTADAS (POR INUNDACIÓN Y SIN AGUA ) 01 CASA EN INMINENTE PELIGRO AL ENCONTRARSE AL BORDE DE LA QUEBRADA. 140 PERSONAS AFECTADAS 01 BOCATOMA DEL ACUEDUCTO POR DESLIZAMIENTO Y PERDIDA DE TUBERÍA. 01 VÍA AFECTADA POR MÁS DE 45 DESLIZAMIENTO, VÍA QUE COMUNICA A PITALITO -MOCOA. EN LA VEREDA VILLA FATIMA LA QUE FUE CENSADA POR LA DEFENSA CIVIL
SE TIENE CONOCIMIENTO DE: 41 VIVIENDAS AFECTADAS POR DESLIZAMIENTO 03 VIVIENDAS DESTRUIDAS CON PÉRDIDA TOTAL DE FAMILIA DESPLAZADAS. -799</t>
  </si>
  <si>
    <t>SE PRESENTÓ INCENDIO FORESTAL, EN LA VEREDA LLANO GRANDE EN EL SECTOR DE LA CIUDADELA NUEVA GIRÓN, DONDE MANIFESTARON  APROXIMADAMENTE TRES (3) HECTÁREAS FUERON DESBASTADAS POR LA CONFLAGRACIÓN QUEMÁNDOSE ARBUSTOS NATIVOS, PASTOS Y MALEZA DE MONTAÑA. LA EMERGENCIA FUE ATENDIDA POR EL CUERPO DE BOMBEROS DE BUCARAMANGA Y LA COMUNIDAD. -799</t>
  </si>
  <si>
    <t>CDGRD DE BOYACA, INFORMA, DESLIZAMIENTO Y TAPÒNAMIENTO DE UNA VIA, AFECTACION DE VIVIENDAS POR QUE EL AGUA CAMBIO DE CURSO Y SE LLEVO PIEDRAS Y TIERRA  A SU PASO COLOCANDO EN RIESGO LA VIDA DE LAS PERSONAS QUE VIVEN EN ESE SECTOR Y TODOS LOS DEMAS HABITANTES QUE TRANSITAN LA ZONA, ES UNA VIA DE INGRESO AL MUNICPIO DE SOCOTA, JERICO Y CHITA, SE DESLIZO PARTE DE LA MONTAÑA, TAPONANDO UNA ALCANTARILLA, QUE DA CAUSE A LAS AGUAS QUE PASAN POR ESTE SECTOR, LLEVANDOSE PIEDRAS Y MUCHO LODO, HASTA LLEGAR A TAPONAR LA ENTRADA DE LAS VIVIENDAS, CRUZANDO LA CARRETERA, AFECTANDO CULTIVOS Y LAS VIVIENDAS DEL SECTOR, 16 FAMILIAS AFECTADAS, 60 PERSONAS, 3 VIVIENDAS, AVERIADAS, 1 VÌA AFECTADA, 1 ACUEDUCTO, 1 ALCANTARRILLADO, 4 HECTÀREAS AFECTADAS, SITUACIÒN EN DESARROLLO. -800</t>
  </si>
  <si>
    <t>CDGRD DE BOYACA, INFORMA, DESBORDAMIENTO DEL RÍO COMEZÁ, VEREDA: LA VEGA, SITUACIÓN EN DESARROLLO. -800</t>
  </si>
  <si>
    <t>CDGRD DEL HUILA, INFORMA, INUNDACIÓN EN EL BARRIO: 20 DE JULIO, AFECTACIÓN DE 2 VIVIENDAS, POR OBRAS EN LA CALLE QUE PROVOCARON, REPRESAMIENTO DEL AGUA, SE ESTÁ EVALUANDO LA AFECTACIÓN, POR PARTE DE BOMBEROS VOLUNTARIOS DE IQUIRA. -800</t>
  </si>
  <si>
    <t>CDGRD DE NARIÑO, INFORMA, INCENDIO ESTRUCTURAL,  EN LA VEREDA: PUMBI LAS LAJAS, - 7 FAMILIAS AFECTADAS, 1 VIVIENDA  DESTRUIDA Y 3 VIVIENDAS AVERIADAS. -800</t>
  </si>
  <si>
    <t>CDGRD DE NORTE DE SANTANDER, INFORMA, ESTA MADRUGADA SE PRESENTARON INUNDACIONES EN LOS BARRIOS: CAMILO TORRES, LA UNIÓN Y LUIS MADRID MERLANO DEL CASCO URBANO; SE EVACUARON DE MANERA PREVENTIVA 3 FAMILIAS. FUE ATENDIDO POR EL CUERPO DE BOMBEROS VOLUNTARIOS DE TIBÚ, SE ESTÁN ADELANTANDO LOS MONITOREOS PARA REALIZAR EL CENSO DE DAMNIFICADOS Y LAS PÉRDIDAS MATERIALES, IGUALMENTE LA CRECIENTE DEL RÍO TIBÚ AMENAZA FUERTEMENTE CON HACER COLAPSAR EL PUENTE HAMACA UBICADO A LA ALTURA DE LA VEREDA LA PERLA, SITUACIONES EN DESARROLLO. -800</t>
  </si>
  <si>
    <t>EL COORDINADOR DE C.M.G.R.D; DE FUSAGASUGÁ, LUIS CARLOS BARRETO, REPORTA QUE EL DÍA DE AYER 27/11/2013 EN HORAS DE LA TARDE, EN LA VEREDA LA AGUADITA SE PRESENTÓ UN FUERTE AGUACERO QUE OCASIONÓ UN DESLIZAMIENTO DEJANDO COMO SALDO 3 VIVIENDAS DESTRUIDAS, 2 GRAVEMENTE AVERIADAS Y OTRAS 3 EN INMINENTE RIESGO LAS CUALES TAMBIÉN FUERON EVACUADAS A DONDE FAMILIARES (TOTAL 8 FAMILIAS, 38 PERSONAS), 1 GALPÓN PARA 50.000 POLLOS, 1 CAMPERO NISSAN QUE QUEDÓ TAPADO POR EL LODO Y TAPONAMIENTO DE LA VÍA PRINCIPAL LA CUAL YA FUE RECUPERADA POR LA MAQUINARIA DEL MUNICIPIO. DAÑOS EN LA BOCATOMA DEL ACUEDUCTO DE BARRO BLANCO QUE DEJÓ 70.000 HABITANTES SIN EL SERVICIO DE AGUA POTABLE. ATIENDE CMGRD, POLICÍA Y BOMBEROS  FUSAGASUGÁ. -800</t>
  </si>
  <si>
    <t>D.C.C., INFORMA,  MPIO DE SIBUNDOY,  SE ENCUENTRA ATENDIENDO, EN LA VEREDA: BELLAVISTA, UN CASO POR LA CRECIENTE SÚBITA Y REPRESAMIENTO DE LA QUEBRADA: BELLAVISTA, LA CUAL AFECTO, EL PUENTE PEATONAL QUE DA ACCESO A ESA VEREDA. A ESTA HORA NO HAY FAMILIAS AFECTADAS NI EVACUADAS,  SE ENCUENTRAN 15 LIDERES VOLUNTARIOS EN ESA ACTIVIDAD, SITUACIÓN EN DESARROLLO. -800</t>
  </si>
  <si>
    <t>SOCORRO NACIONAL, DIRECCION NACIONAL DE BOMBEROS, REPORTAN ESTE JUEVES EN LA NOCHE  BOMBEROS DE SABANETA ATIENDE CAÍDA DE UN MURO DE CONTENCIÓN EN ZONA RESIDENCIAL, LA EMERGENCIA SE PRESENTA EN EL BARRIO SAN JOAQUÍN, DONDE UN DESLIZAMIENTO EL CUAL DERRIBÓ UN MURO DE CONTENCIÓN Y AFECTÓ EL EDIFICIO QUE ESTABAN CONSTRUYENDO. SEGÚN INFORMÓ EL SECRETARIO DE GOBIERNO DE SABANETA, SEBASTIÁN ÁLVAREZ, SE REALIZAN LAS EVALUACIONES PARA IDENTIFICAR LOS RIESGOS, ESPECIALMENTE PARA LOS DOS EDIFICIOS DEL CONJUNTO RESIDENCIAL LOMA LINDA, QUE YA ESTÁN HABITADOS. ADEMÁS CONFIRMÓ QUE NO HAY PERSONAS HERIDAS NI ORDEN DE EVACUACIÓN, A PESAR DE QUE LAS AUTORIDADES HAN PEDIDO GUARDAR LA CALMA, MUCHAS FAMILIAS HAN SALIDO DE SUS VIVIENDAS, ESTE MUNICIPIO DEL SUR DEL VALLE DE ABURRA EL PASADO MARTES FUE DECRETADA LA URGENCIA MANIFIESTA POR LAS MÚLTIPLES AFECTACIONES CAUSADAS POR LAS LLUVIAS. LAS AUTORIDADES Y LOS ORGANISMOS DE SOCORRO REALIZARÁN MONITOREO DURANTE LA MADRUGADA DE ESTE VIERNES PARA OBSERVAR CÓMO SE COMPORTAN LAS DOS TORRES AFECTADAS, MUY CERCA DEL PARQUE PRINCIPAL DE SABANETA, IGUALMENTE LA INFORMACIÓN SALE POR RCN RADIO Y EL COLOMBIANO.- 801</t>
  </si>
  <si>
    <t>SE REGISTRA INCENDIO EN UNA EDIFICACIÓN DEL CENTRO DE MEDELLÍN, CERCA A LA MINORISTA EL INCENDIO QUE SE REGISTRA EN BODEGA DEL CENTRO (CALLE ZEA) YA ESTÁ SIENDO ATENDIDO POR BOMBEROS, NO LESIONADOS U OTRO. 801</t>
  </si>
  <si>
    <t>SECTORES MANAURE ABAJO, BERLIN, CRISPIN LOPEZ, ALTOS DE SALINAS, WANTA, JAYUCIRRA, GUAINAMARAL, ERCOJORE, CATURALINCE, SHISPANA, PIRRUETAMANA Y POPAYA.</t>
  </si>
  <si>
    <t>CMGRD DE ARMENIA  ATENDIERON UN DESLIZAMIENTO QUE SE PRESENTÓ EN LA CARRERA 19A CALLE 48 A LA ALTURA DE LA VÍA. LA EMERGENCIA QUE DESAFORTUNADAMENTE DEJA COMO SALDO LA MUERTE DE URBEY ZULETA DE 74 AÑOS DE EDAD, QUIEN TRANSITABA EN COMPAÑÍA DE SU ESPOSA EN EL MOMENTO DEL INCIDENTE, SE PRESENTA COMO CONSECUENCIA DEL SOBREPESO POR LA ACUMULACIÓN DE ESCOMBROS EN EL QUIEBRE DEL TALUD. -802</t>
  </si>
  <si>
    <t>DESLIZAMIENTO OCASIONADO AL PARECER POR LA RUPTURA DE UN TUBO   PRINCIPAL DEL ACUEDUCTO. TRANSVERSAL 27 No 12-80 BARRIO NUEVA GRANADAEVOLUCIÓN DEL EVENTO......AL MOMENTO REPORTA BOMBEROS NEIVA EL COLAPSO DE CUATRO VIVIENDASDESTRUIDAS.ACCIONES A SE ENCUENTRA BOMBEROS NEIVA EN EL LUGAR DE LOS HECHOS REALIZANDO EL RESPECTIVO  CONTROL DE LA SITUACIÓN. -802</t>
  </si>
  <si>
    <t>JDC PAVAS LA CUMBRE, ATIENDE EMERGENCIA POR VENDAVAL, MUNICIPIO LA CUMBRE, CORREGIMIENTO: BELLA VISTA LOMITAS, INUNDACIÓN QUE AFECTA, AL COLEGIO ATANASIO GIRARDOT, AFECTANDO 10 EQUIPOS EN EL AULA DE SISTEMAS, DOS VIVIENDAS PERDIDA DE TECHO Y DAÑO DE ENSERES, ACTIVIDADES DEFENSA CIVIL, EVACUACIÓN DE ENSERES, , PARTICIPAN 06 LÍDERES VOLUNTARIOS ACTIVIDAD DE 14:00 A 17:00. D.G.V. -804</t>
  </si>
  <si>
    <t>DIA 27-11-13 POR FUERTE AGUACERO DURANTE LA NOCHE ,SE PRESENTA VENDAVAL, EN LA VEREDA GUAYABAL, JURISDICCIÓN MUNICIPIO DE CHINCHINÁ, DONDE RESULTAN AFECTADAS,  27 FAMILIAS, 120 PERSONAS AFECTADAS Y 10 CASAS CON AVERIAS PARCIALES. D.G.V. -804</t>
  </si>
  <si>
    <t>INCENDIO ESTRUCTURAL, EN EL BARRIO, LOS PINOS AFECTACIÓN Y DESTRUCCIÓN DE 7 VIVIENDAS, CONSTRUIDAS EN MADERA, SIN VÍCTIMAS , VALOR APROXIMADO EN PERDIDAS 105 MILLONES, INCENDIO INICIO 23:30 HORAS 27 NOV. 2013, ACTIVIDADES DEFENSA CIVIL, COOPERACIÓN AL CUERPO DE BOMBEROS VOLUNTARIOS, ACORDONAMIENTO DE ZONA, EVACUACIÓN DEL SECTOR, ACTIVIDAD DE 23:40 A 01:40 PARTICIPARON 06 LIDERES VOLUNTARIOS DEJA 35 AFECTADOS DE 7 FAMILIAS EN 7 VIVIENDAS. D.G.V. -804</t>
  </si>
  <si>
    <t>CDGRD DEL TOLIMA, INFORMA, SE PRESENTARON INUNDACIONES, DURANTE LA MADRUGADA DEL DÍA DE HOY, EN EL BARRIO: EL TESORO, AFECTANDO, 3 VIVIENDAS, APOYARON BOMBEROS. -804</t>
  </si>
  <si>
    <t>CDGRD INFORMA SE PRESENTARON LLUVIAS DESDE LAS 21.00 HORAS HASTA LAS 09:00 HORAS DEL DIA DE HOY, EN EL MUNICIPIO DE SALENTO REPORTAN DOS DESLIZAMIENTO EN EL SECTOR DE COCORA Y VIA NACIONAL EN ESTE MOMETO SE DESPLAZAN A REVISION TECNICA CMGRD Y CDGRD, AFECTACION SOLO EN VIA INFORMACION RECIBIDA EL 30/11/2013 D.L.M. -805</t>
  </si>
  <si>
    <t>CDGRD INFORMA SE PRESENTARON LLUVIAS DESDE LAS 21.00 HORAS HASTA LAS 09:00 HORAS DEL DIA DE HOY, EN EL  MUNICIPIO DE MONTENEGRO, CORREGIMIENTO DE PUEBLO TAPAO EN ESTE MOMENTO SE ATIENDE REMOSION DE 7 DESLIZAMIENTOS VIA SAN JOSE-SAN PABLO, AFECTACION SOLO EN LA VIA, NO VIVIENDAS U OTRO, D.L.M. -805</t>
  </si>
  <si>
    <t>LA INUNDACION REPORTADA EN SAN CALIXTO POR CDGRD INFORMA QUE EL MUNICIPIO REALIZA EDAN, DADO QUE YA HAN TRANSCURRIDO UNAS HORAS Y NO SE CUENTA CON DATOS PRELIMINARES DE AFECTACION, SE REALIZA ENLACE CON EL MUNICIPIO SR ALCALDE JAIRO PINZON E INFORMA QUE TIENEN UNA VIVIENDA AFECTADA, DAÑOS EN ENSERES, Y PROCEDERA A INFORMAR AL CDGRD, D.L.M. -805</t>
  </si>
  <si>
    <t>CAPITAN CASTAÑO REPORTA QUE SE HAN PRESENTADO 2 DESLIZAMIENTOS MAS 1. EN EL SECTOR DE LA ESTAMPILLA CON UN BUS INVOLUCRADO Y AL MOMENTO CON 16 LESIONADOS 6 DE ELLOS GRAVES, IGUALMENTE LA DIRECCION NACIONAL DE BOMBEROS CONFIRMA QUE ES EN EL SECTOR DEL VIADUCTO Y HAY 2  VEHICULOS MAS AFECTADOS, BOMBEROS VOLUNTARIOS Y OFICIALES SE ENCUENTRAN EN EL SITIO SE DESCONOCE SI HAY ATRAPADOS, LLUEVE FUERTEMENTE AL MOMENTO, D.L.M. -805</t>
  </si>
  <si>
    <t>CDGRD INFORMA QUE EN LA NOCHE DE AYER EN EL MUNICIPIO DE BUGA ZONA RURAL SE REGISTRO INUNDACION EN EL SERCTOR JANEIRO DADO QUE LA QUEBRADA SE DESBORDO, DEJANDO AFECTADAS 3 VIVIENDAS, LA QUEBRADA AUMENTO SU CAUDAL  EN EL SITIO CONOCIDO COMO EL PALO, UN HOMBRE DE 40 AÑOS FUE ARRASTRADO, EN LA MAÑANA DE HOY FUE LOCALIZADO EL CUERPO A LA ALTURA DEL PUENTE DE LA DOBLE CALZADA BUGA-TULUA SIENDO IDENTIFICADO COMO GERARDO ANTONIO MARIN, LA QUEBRADA JANEIRO DESEMBOCA EN EL RIO GUADALAJARA, REALIZAN EDAN. -805</t>
  </si>
  <si>
    <t>CDGRD REPORTA INUNDACION EN EL MUNICIPIO DE VENECIA CORREGIMIENTO BOLOMBOLO POR DESBORDAMIENTO DEL RIO CAUCA HACIA LAS 03:00 HORAS, INDICA UNAS 300 FAMILIAS DAMNIFICADAS, ATIENDEN DEFENSA CIVIL, BOMBEROS, PONAL, SE REALIZA BARRIDO EN LA TARDE Y NO CUENTAN CON MAS DATOS, D.L.M. -807</t>
  </si>
  <si>
    <t>CDGRD DE QUINDIO INFORMA EN EL MUNICIPIO DE PIJAO SE REGISTRO DESLIZAMIENTO EN LA ENTRADA DEL MUNICIPIO, TAPONANDO EL ACCESO AL MISMO, NO AFECTACION EN VIVIENDAD U OTRO, SOLO EN VIA. D.L.M. -807</t>
  </si>
  <si>
    <t>CDGRD DE QUINDIO INFORMA EN EL MUNICIPIO DE CORDOBA SE REGISTRO DESLIZAMIENTO EN LA VEREDA CARCINEROS, TAPONANDO ESTA VIA VEREDAL, NO AFECTACION EN VIVIENDAD U OTRO, SOLO EN VIA, D.L.M. -807</t>
  </si>
  <si>
    <t>CDGRD REPORTA HACIA LAS 16:46 DESLIZAMIENTO VIA MANIZALES - NEIRA, AL MOMENTO VIA CERRADA POR DERRUMBE EN EL SECTOR DE MARACAS A 12 KILOMETROS DE MANIZALES AFECTO LOS DOS CARRILES PERO INFORMA QUE NO HAY AFECTACION EN VIVIENDAS, TAMPOCO PERSONAS COMPROMETIDAS, D.L.M. -807</t>
  </si>
  <si>
    <t>DELEGADO UNGRD CT DANIEL CASTAÑO Y LA DIRECCION NACIONAL DE BOMBEROS REPORTAN ACCIDENTE DE TRANSITO EN EL MUNICIPIO DE PALESTINA EN LA VIA SANTAGUEDA LA PLATA POR COLISION DE UN BUS DE SERVICIO PUBLICO CON UNA CAMIONETA, AL MOMENTO SE PRESENTAN 27 PERSONAS LESIONADAS Y 1 FALLECIDO EL EL SITIO, LA EMERGENCIA ESTA SIENDO ATENDIDA POR LOS CUERPOS DE BOMBEROS DE PALESTINA, ARAUCA, CHINCHINA Y MANIZALES. D.LM. -807</t>
  </si>
  <si>
    <t>CDGRD DE HUILA REPORTA HACIA LAS 17:56 DESLIZAMIENTOS EN LA VIA QUE CONDUCE A LA VEREDA DE SAN MARCOS DEL MUNICIPIO DE COLOMBIA, AFECTACION SOLO EN VIA NO HERIDOS, NO DESAPARECIODOS U OTRO, D.L.M. -807</t>
  </si>
  <si>
    <t>SISTEMA MACIONAL DE BOMBEROS INFORMA QUE BOMBEROS MANIZALES , CALDAS SALEN A ATENDER LLAMADO DE EMERGENCIA EN LA ENTRADA A BOSQUES DEL NORTE , POR DELIZAMIENTO DE TIERRA  PENDIENTE MAS INFORMACION Y CONFIRMACION. -808</t>
  </si>
  <si>
    <t>CDGRD INFORMA ATENDIERON 2 INCENDIOS FORESTALES EN: BARRIO LA CEIBA 10H DE VEGETACION SECA. Y CONJUNTO ALEJANDRIA 10H DE VEGETACION SECA. -808</t>
  </si>
  <si>
    <t>INFORMA LA CENTRAL DE COMUNICACIONES DE LA POLICÍA, EN EL  BARRIO EL PARAÍSO SECTOR ÁLVAREZ, CASA 15 SE DESPLOMO TOTALMENTE  POR LAS CAUSAS CLIMÁTICAS, OCASIONANDO DAÑOS MATERIALES NO SE PRESENTÓ NINGUNA PÉRDIDA HUMANAS, EL CASO FUE CONOCIDO POR LOS BOMBEROS DE BUCARAMANGA, Y LA POLICÍA. HORAS INFORMA EL SEÑOR SALOMÓN BUENO DE GESTIÓN DE RIESGOS DEL MUNICIPIO DE GIRÓN, VERIFICO LA NOVEDAD QUE SE PRESENTÓ EN HORAS DE LA MAÑANA DE HOY EN EL BARRIO PARAÍSO SECTOR DEL ÁLVAREZ, DE  LAS FAMILIAS AFECTADAS POR LAS LLUVIAS QUE SE HAN PRESENTADO  ESTE FIN DE SEMANA SON: CUATRO (4) COMPUESTA POR VEINTE UNA (21) PERSONAS, DONDE LAS AUTORIDADES REALIZARON EL CENSO Y VERIFICARON EL ESTADO DE LAS VIVIENDAS DONDE SE CONSTATÓ UNA CASA TOTALMENTE DESTRUIDA Y TRES SE ENCUENTRA MUY DETERIORADAS DONDE LA ALCALDÍA MUNICIPAL LE COLABORO CON UNOS APORTES DE PRIMER NECESIDAD.  -809</t>
  </si>
  <si>
    <t>INFORMA LOS BOMBEROS, EN LA CALLE 45 # 31-07 BARRIO LA JUVENTUD, SE CAYÓ UN ÁRBOL OCASIONANDO DAÑOS MATERIALES EN LA VIVIENDA, NO SE PRESENTÓ PÉRDIDAS HUMANAS Y EN ESTE MOMENTOS SE ENCUENTRAN LAS UNIDADES DE BOMBEROS CON LA ELECTRIFICADORA  VERIFICANDO LA NOVEDAD. -809</t>
  </si>
  <si>
    <t>INFORMAN DEL CDGRD DE HUILA, EN EL MUNICIPIO DE AIPE SE PRESENTO UNA INUNDACION EN EL BARRIO  LOS SAUCES AFECTANDO A 10 FAMILIAS, CON PERDIDAS DE SUS ENSERES. -809</t>
  </si>
  <si>
    <t>JAIME ABDUL HERNÁNDEZ FUNCIONARIO DE LA UAEGRD DE CUNDINAMARCA, REPORTA INUNDACIÓN POR DESBORDAMIENTO DEL RIO SUMAPAZ DEBIDO A LOS NIVELES ALTOS DEL RIO MAGDALENA EN EL MUNICIPIO DE RICAURTE VEREDA SAN MARTIN OCURRIDO A LAS 04:00 HORAS DEL DÍA 02/12/13 CON AFECTACIÓN INICIAL DE 30 FAMILIAS CON 150 PERSONAS LAS CUALES PERDIERON MUEBLES Y ENSERES, EL CMGRD ADELANTA EVALUACIÓN DE DAÑOS, AFECTACIONES Y NECESIDADES EN EL SECTOR. -809</t>
  </si>
  <si>
    <t>CDGRD INFORMA  QUE EN YOPAL ANOCHE SE PRESENTO INCENDIO FORESTAL EN LA VEREDA LA UNION SE QUEMARON 2 HECTAREAS. -810</t>
  </si>
  <si>
    <t>CDGRD INFORMA QUE EN  EL SECTOR DE EL  TABLAZO, SOBRE LA VÍA ANTIGUA QUE COMUNICA A MANIZALES CON CHINCHINÁ. SE PRESENTO  UN DESLIZAMIENTO, QUE GENERO DOS HERIDOS QUE YA FUERON ATENDIDOS. -810</t>
  </si>
  <si>
    <t>CDGRD INFORMA  JORGE SERAFÍN GALINDO SECRETARIO DE PLANEACIÓN DEL MUNICIPIO DE ARBELÁEZ, REPORTA DESLIZAMIENTOS OCURRIDOS  EL DÍA DE HOY 02/12/13 EN LAS VÍAS QUE CONDUCEN A LOS SECTORES EL VOLADOR 20 METROS LINEALES, VERSALLES 15 METROS LINEALES Y SAN LUIS EN EL CRUCE DE BERLÍN 25 METROS LINEALES, A CAUSA DE LAS FUERTES LLUVIAS QUE SE VIENES PRESENTANDO. ATIENDE CMGRD CON MAQUINARIA, POLICÍA Y DEFENSA CIVIL. -810</t>
  </si>
  <si>
    <t>CDGRD INFORMA JORGE SERAFÍN GALINDO SECRETARIO DE PLANEACIÓN DEL MUNICIPIO DE ARBELÁEZ, REPORTA DESLIZAMIENTO OCURRIDO EN  DÍA DE HOY 02/12/13 EN LA URBANIZACIÓN BELLAVISTA QUE AFECTO 3 FAMILIAS 15 PERSONAS Y 3 VIVIENDAS AVERIADAS. ATIENDE CMGRD, POLICÍA Y DEFENSA CIVIL. -810</t>
  </si>
  <si>
    <t>CDGRD INFORMA QUE RAFAELA PAVA DEL CMGRD DEL MUNICIPIO DE LA PALMA, REPORTA INCENDIO EN UNA RAMADA PANELERA EN LA VEREDA LAS VUELTAS CON PERDIDA DEL 50 % DE LA ESTRUCTURA, 150 TEJAS DE ZINC Y LAS VIGAS, NO HUBO LESIONADOS. ATENDIÓ POLICÍA. -810</t>
  </si>
  <si>
    <t>CDGRD INFORMA UN DESLIZAMIENTO DE TIERRA AFECTANDO UNA VIVIENDA EN EL BARRIO ANTENA BAJA DE ROVIRA. -810</t>
  </si>
  <si>
    <t>REPORTA ACCIDENTE DE TRANSITO DE VEHICULO PARTICULAR,TOYOTA BLANCA,EN LA VEREDA  LAS AGUILAS. SE ENCUENTRAN DOS PERSONAS HERIDAS Y SE INICIA BUSQUEDA EN EL RIO DESDE ANAIME HASTA EL PUENTE LAS AGUILAS.SE ENCUENTRA OTRA PERSONA HERIDA CON VIDA Y SE SIGUE EN BUSCA DEL CONDUCTOR.  FALLECEN 2 DE LOS HERIDOS, Y SE BUSCA 1 DESAPARECIDO. -810</t>
  </si>
  <si>
    <t>FUERZA AEREA INFORMA QUE LA ALCALDIA DEL CARMEN DE VIBORAL SOLICITA A LAS 17:20 EVACUACION AEROMEDICA DE 1 CIVIL DE 19 AÑOS POR QUEMADURAS DEL 50% DEL CUERPO POR EXPLOSION DE FABRICA ARTESANAL DE POLVORA  FUERZA AEREA. EN ESPERA DE MAS INFORMACION DEL CDGRD  6 HERIDOS( 2 MENORES DE EDAD). -810</t>
  </si>
  <si>
    <t>INFORMA EL CAPITAN CASTAÑO DE LA UNGRD, QUE EN LA QUEBRADA EL GUAMO, SECTOR DE LA COMUNA 5 , SE EVACURON VARIAS VIVIENDAS EN FORMA PREVENTIVA POR UNA CRECIENTE DE LA MISMA QUEBRADA. NOTICiA EN DESARROLLO. -811</t>
  </si>
  <si>
    <t>DIEZ PERSONAS HERIDAS, SEIS VIVIENDAS DESTRUIDAS 50 CASAS AFECTADAS DEJA COMO SALDO PARCIAL LA EMERGENCIA QUE SE PRESENTÓ ESTE LUNES EN LA NOCHE EN EL BARRIO EL GUAMO, DONDE UN DESLIZAMIENTO REPRESÓ LA QUEBRADA CON EL MISMO NOMBRE, QUE SE DESBORDÓ.EN EL SITIO QUEDARON ATRAPADOS TRES CARROS Y UNA MOTO, Y CUARENTA FAMILIAS TUVIERON QUE PASAR LA NOCHE EN EL CENTRO INTEGRAL SOCIAL COMUNITARIO (CISCO). -811</t>
  </si>
  <si>
    <t>MUERE CAMPESINO TRAS SER ARRASTRADO POR UNA QUEBRADA EN SANTANDER,COMO GABRIEL GUTIÉRREZ, DE 48 AÑOS DE EDAD, FUE IDENTIFICADO EL HOMBRE QUE MURIÓ AYER LUEGO DE QUE LA QUEBRADA LA TIPA, DE SUCRE, SANTANDER, LO ARRASTRARA.SEGÚN EL SECRETARIO DE GOBIERNO DE LA BELLEZA, PABLO ANTONIO MONSALVE, EL HECHO OCURRIÓ EL DOMINGO EN LA MAÑANA, EN LA VEREDA LA TIPA, CUANDO GABRIEL, UN CAMPESINO DE LA ZONA, INTENTÓ ATRAVESAR EL AFLUENTE PARA LLEGAR HASTA EL CORREGIMIENTO LAQUITÁS, DONDE REALIZARÍA ALGUNAS COMPRAS. DURANTE TODO EL DÍA BOMBEROS VOLUNTARIOS, DEFENSA CIVIL Y POBLACIÓN DEL MUNICIPIO BUSCARON A GABRIEL. SÓLO HASTA LAS 9:00 DE LA NOCHE LO HALLARON METROS ABAJO DE DONDE POSIBLEMENTE FUE ARRASTRADO. -811</t>
  </si>
  <si>
    <t>EL DAPARD CONFIRMÓ EN LA MAÑANA DE ESTE MARTES EL HALLAZGO DE UNA DE LAS MENORES QUE DESAPARECIÓ TRAS UNA OLA GIGANTE EN LAS PLAYAS DEL GOLFO DE URABÁ, EN EL MUNICIPIO DE TURBO. AL PARECER, LA MENOR HABRÍA SIDO HALLADA POR LOS BOMBEROS DE TURBO Y HABITANTES DE ESTE SECTOR. EL JEFE DEL CUERPO DE BOMBEROS DEL MUNICIPIO DE TURBO, ADUBAINE CONTRERAS, INFORMÓ QUE A LAS 2:30 P.M. DEL PASADO DOMINGO FUERON INFORMADOS DE LA EMERGENCIA QUE SE REGISTRABA EN EL SECTOR DE LA PLAYA, DONDE UNA OLA SE LLEVÓ A CUATRO PERSONAS QUE EN UN TRONCO DE MADERA SE DIVERTÍAN EN EL LUGAR. -811</t>
  </si>
  <si>
    <t>CDGRD REPORTA EMERGENCIA EN EL MUNICIPIO DE SOTARA-PAISPAMBA HACIA LAS 5:00 HORAS, DESLIZAMIENTO DE 300 METROS CUBICOS QUE CON PERD8IDA DE BANCADA EN VIA SECUNDARIA DEJA INCOMUNICADAS 30 FAMILIAS ENTRE LA CABECERA MUNICIPAL Y DOS VEREDAS, AFECTACION SOLO EN VIA DADO QUE AL MOMENTO DEL DESLIZAMIENTO NO PASABAN VEHICULOS, NI PERSONAS, CMGRD EN LABORES RESPECTIVAS, D.L.M. -813</t>
  </si>
  <si>
    <t>CDGRD REPORTA EMERGENCIA EN EL MUNICIPIO DE SOTARA-SECTOR EL TRILLADERO DESLIZAMIENTO SE LLEVO 4000 METROS DE LA BANCA, DEJA INCOMUICADAS A 40 FAMILIAS ENTRE LA CAPITAL DE CAUCA Y LA CABECERA MUNICIPAL, AFECTACION SOLO EN VIA, NO VIVIENDAS O PERSONAS, CMGRD AN LABORES RESPECTIVAS, D.L.M. -813</t>
  </si>
  <si>
    <t>CRUE RIASARALDA REPORTA EN EL SECTOR DE SABANITAS COLAPSO DE VIVIENDA POR LAS CONSTANTES LLUVIAS, 2 PERSONAS LESIONADAS,  UNA DE ELLAS DE GRAVEDAD TRASLADADA A CENTRO ASISTENCIAL LOCAL, ATENDIO BOMBEROS, D.L.M. -813</t>
  </si>
  <si>
    <t>CDGRD REPORTA EN EL MUNICIPIO DE APIA DESLIZAMIENTO EN LA VEREDA FARALLONES CAUSANDO DAÑOS EN 1 ESCUELA Y EL ACUEDUCTO, CMGRD EN LABORES RESPECTIVAS, NO LESIONADO0S U OTRO, D.L.M. -813</t>
  </si>
  <si>
    <t>DESDE LAS 3.30 AM SE PRESENTA UN INCEDIO EN UNA FABRICA DE COLCHONES, AL EVENTO LO ATIENDE  4 MAQUINAS DE BOMBEROS DE SANTIGO DE CALI, AL MOMENTO NO HY PERSONAS AFECTADAS, AUN NO SE ESTIMA LAS PERDIDAS MATERIALES. BOMBEROS SIGUE REFRIGERANDO. 812</t>
  </si>
  <si>
    <t>UN DESPRENDIMIENTO DE TIERRA DE GRANDES PROPORCIONES OCUPÓ LOS CUATRO CARRILES DE LA VÍA PANAMERICANA. LOS HABITANTES DE LA FLORIDA PUEDEN SUBIR POR LUSITANIA, SALIR A LA ENEA Y CONTINUAR POR LA AV. ALBERTO MENDOZA. EL SECRETARIO DE TRÁNSITO DE MANIZALES, JUAN FELIPE ÁLVAREZ, DIJO QUE HABLÓ CON EL INVÍAS CALDAS PARA QUE REMUEVA EL MATERIAL MAÑANA, DESDE LAS 6:00 A.M., PUES DEBEN ESPERAR A QUE ESCEMPE. -812</t>
  </si>
  <si>
    <t>INUNDACION POR DESBORDAMIENTO DEL RIO  CONSOTA  
BARRIO    EL ROCIO  BAJO  25 VIVIENDAS  INUNDADAS CON  PERDIDAS  DE ENSERES  Y  2  VIVIENDAS COLAPSARON,BARRIO EL VERGEL  4 VIVIENDAS   INUNDADAS CON PERDIDA  DE ENSERES,VIA  LA FLORIDA   2 VIVIENDAS INUNDADAS  CON PERDIDA  DE ENSERES ,PENDIENTE  DE HACER   REVISION  EN ALTA  GRACIA   DONDE  LES  REPORTAN   2 VIVIENDAS  AFECTADAS POR  DESLIZAMIENTO  DE TIERRA ,3 VIVIENDAS  INUNDADAS POR CRECIENTE DEL RIO  EL OSO     EN EL  BARRIO  EL CORTEZ. -812</t>
  </si>
  <si>
    <t>DESLIZAMIENTO DE  TIERRA   CACERIO   SANTA ELENA  CASA  91   AFECTANDO  LA PARTE  DE ATRÁS    DE LA  VIVIENDA DESLIZAMIENTO DE  TIERRA   CACERIO   SANTA ELENA  CASA  91   AFECTANDO  LA PARTE  DE ATRÁS    DE LA  VIVIENDA ,HABITADA POR   7 ADULTOS   4 MENORES. -812</t>
  </si>
  <si>
    <t>CDGRD INFORMA  QUE EN YOPAL ANOCHE SE PRESENTO INCENDIO FORESTAL EN LA VEREDA PALMARITO, ATENDIO BOMBEROS VOLUTARIOS. -812</t>
  </si>
  <si>
    <t>CDGRD INFORMA  QUE EN PORE EN LA VIA TRINIDAD  VEREDA MIROLINDO SE CONSUMIO 4 HECTAREAS ATENDIO BOMBEROS VOLUTARIOS. -812</t>
  </si>
  <si>
    <t>CDGRD INFORMA  QUE EN YOPAL E SE PRESENTO INCENDIO FORESTAL EN LA VEREDA LLANO LINDO  ATENDIO BOMBEROS VOLUTARIOS. -812</t>
  </si>
  <si>
    <t>LAS AUTORIDADES SE VIERON OBLIGADAS A EVACUAR TRECE CASAS DEL SECTOR DE BARICHARA EN EL CORREGIMIENTO DE SAN ANTONIO DE PRADO EN MEDELLÍN. LAS CAUSAS DE LA EVACUACIÓN RESPONDEN A LA AFECTACIÓN CAUSADA POR EL INVIERNO Y POR EL ROMPIMIENTO DE UN TUBO DE ACUEDUCTO, LO CUAL HA HECHO QUE SE PRESENTE HUNDIMIENTO DE LAS VIVIENDAS. SEGÚN LOS HABITANTES DE LA URBANIZACIÓN, LA CONSTRUCTORA SE HA HECHO PRESENTE Y SE ESPERA QUE LUEGO DE QUE LA EMPRESA DE SERVICIOS PÚBLICOS REPARE EL TUBO, SE PUEDA DAR INICIO A LAS OBRAS QUE PERMITAN QUE LAS CASAS VUELVAN A SER HABITADAS.  -812</t>
  </si>
  <si>
    <t>INFORMAN DEL CDGRD QUE SE PRESENTO UNA INUNDACION FECTADO A LOS BARRIOS NUEVA ALIANZA,Y ULLANDIA , CON UN TOTOAL DE 16 VIVIENDAS AFECTADAS, HASTA EL MOMENTO SE HA REGISTRADO PERDIDA DE ENSERES. EL CMGRD ESTA REALIZANDO EDAN. -812</t>
  </si>
  <si>
    <t>ÁNGELO GÓMEZ DEL CMGRD DE BELTRÁN, REPORTA ENCHARCAMIENTO EN PARTE DEL CASCO URBANO DEL MUNICIPIO Y EN LAS INSPECCIONES DE PAQUILO, LA POPA Y GRAMALOTAL POR CRECIENTE DEL RIO MAGDALENA, EN EL DÍA DE HOY SE REÚNE EL CMGRD CON EL FIN DE ADOPTAR MEDIDAS PREVENTIVAS  POR LO TANTO SE RECOMIENDA ACTIVAR EL CMGRD  DE MANERA PERMANENTE Y GENERAR TURNOS DE DISPONIBILIDAD, REALIZANDO CENSO DE AFECTACIONES,  NECESIDADES Y  MONITOREO CONSTANTE EN LA ZONA DE INFLUENCIA. -812</t>
  </si>
  <si>
    <t>CDGRD INFORMA VIA EMAIL 03/12/2013 HORA 22:56  QUE, EL ALCALDE  DEL MUNICIPIO DE RIO QUITO ENVIÓ SOLICITUD DE APOYO  PARA UNA EMERGENCIA POR VIENTO FUERTE EN EL RIO PATO EN LAS COMUNIDADES DE  GENGADO, QUIJARADO, CHIVIGUIDO, SAN JOSÉ DE AMIA Y BOCA DE PARTADO CON UN SALDO DE 249 FAMILIAS AFECTADAS EN SUS VIVIENDAS, ENSERES, CULTIVOS Y ANIMALES DE CRIA. TODO LO ANTERIORMENTE DESCRITO ESTA SOPORTADO EN EL ACTA EXTRAORDINARIA DEL C.M.G.R.D DE   DICIEMBRE 2 DE 2013; ES POR ESTA RAZÓN QUE ESTA COORDINACIÓN AVALA LA SOLICITUD DE AYUDAS PARA ATENDER A LAS FAMILIAS AFECTADAS EN ESTE ENTE TERRITORIAL. -814</t>
  </si>
  <si>
    <t>DIRECCION NACIONAL DE BOMBEROS INFORMA SE PRESENTA UN DERRAME DE ACIDO CLORHIDRICO EN EL ALTO DE LA LINEA SECTOR LOS CHORROS KM 28. 5, VEHICULO CISTERNA CON CAPACIDAD DE 9 TONALEDAS, SEGUN LO QUE INFORMA POLICIA DE CARRETERAS QUE SE ENCUENTRA EN EL SITIO EL  LIQUIDO A SIDO DERRAMADO EN UNA QUEBRADA QUE SE DIRIJE AL MUNICIPIO DE CAJAMARCA. INFORMAN QUE 2 POLICIAS QUE SE ENCONRABAN EN EL SITIO PRESENTAN SINTOMAS RESPIRATORIOS POR INHALACION DEL PRODUCTO.  EL CUERPO DE BOMBEROS VOLUNTARIOS DE IBAGUE SE DESPLAZA AL SITIO DEL INCIDENTE CON 5 UNIDADES BOMBERILES Y UNA MAQUINA CON EQUIPOS MATPEL. SE SOLICITA APOYO AL CUERPO DE BOMBEROS VOLUNTARIOS DE CALARCA QUIEN SE ENCUENTRAN ACTIVANDO EL GRUPO NBQR PARA EL DESPLAZAMIENTO HASTA EL SITIO DEL INCIDENTE. -814</t>
  </si>
  <si>
    <t xml:space="preserve"> EN EL  SECTOR DE LOS ALPES SE PRESENTO UN DESLIZAMIENTO EL REPORTE INICLA ES DE UNA VIVIENDA SEMI DESTRUIDA, EL CMGRD ESTA REALZIANDO EDAN. -815</t>
  </si>
  <si>
    <r>
      <t xml:space="preserve">REPORTA COLAPSO DE PUENTE PEATONAL CONSTRUIDO EN MADERA, EN LA VEREDA LAS VEGAS SECTOR EL PLATEADO, 3 PERSONAS QUE TRANSITABAN POR EL CAYERON AL RIO, LAS CUALES SE ENCUENTRAN DESAPARECIDAS, LA DEFENSA CIVIL Y LA COMUNIDAD REALIZAN LA BUSQUEDA, REPORTA CDGRD, SITUACION EN DESARROLLO. </t>
    </r>
    <r>
      <rPr>
        <sz val="9"/>
        <color indexed="10"/>
        <rFont val="Arial"/>
        <family val="2"/>
      </rPr>
      <t>INFORMA LA DRA EDITH PAZ, QUE LA DCC DE ARGELIA ENCONTRO 2 CUERPO QUE ESTABA DESAPECIDOS DESDE EL 19 DE NOV. LOS NOMBRES CORRESPONDEN A.EIDER MUÑOZ DE 40 AÑOS Y BRIAN MUÑOZ DE 18 AÑOS EL CTI HACE LOS TRAMITES DEL LEVANTAMIENTO DE LOS CUERPO, QUEDA PENDIENTE POR ENCONTRAR UN CUERPO. -815</t>
    </r>
  </si>
  <si>
    <t>APOYO DEL FNGRD MEDIANTE TRANSFERENCIA AL MUNICIPIO DE VENECIA CON EL OBJETO DE REALIZAR LA RECUPERACION DE LA FRANJA DE INUNDACION POR EL RIO CAUCA EN EL CORREGIMIENTO DE BOLOMBOLO, MUNICIPIO DE VENECIA (PTIMER DESEMBOLSO). 
VALOR TOTAL DEL PROYECTO $1,999,955,34,22</t>
  </si>
  <si>
    <t>UN FUERTE VENDAVAL AZOTO LA CABECERA MUNICIPAL Y A VARIOS CORREGIMIENTOS DEL MUNICIPIO DE SANTA CRUZ DE MOMPOX, CAUSANDO GRAVES DESTROZOS EN LAS VIVIENDAS DE ALGUNOS DE SUS HABITANTESCOMO LO FUERON VOLADURAS DE TECHOS. LOS CORREGIMIENTOS AFECTDOS FUERON; LAS BOQUILLAS, LOS PIÑONES, CANDELARIA, CALDERA, CARMEN DEL ROSARIO, LA LOBATA, TRAVESIA, BOMBA Y SANTA HELENA. 349 VIVIENDAS AVERIADAS.</t>
  </si>
  <si>
    <t>REPORTA EL SEÑOR LUIS BETANCOUTH  DE ECOPETROL EMERGERNCIAS LA SOLICITUD DE AYUDA DE UNA COMUNIDAD EN EL MUNICIPIO DE BETULIA SUCRE, ES UN INCENDIO CERCA A UN COLEGIO, EL INCENDIO FORESTAL  ESTA LLEGANDO A UNA VÁLVULA DE BLOQUEO DE UN OLEODUCTO, Y NO HAN RECIBIDO APOYO AUNQUE LLAMARON BOMBEROS. -816</t>
  </si>
  <si>
    <t>LA OFICINA MUNICIPAL PARA LA GESTIÓN DEL RIESGO DE DESASTRES OMGERD, HAN ATENDIÓ PRODUCTO DE LAS FUERTES LLUVIAS QUE SE HAN REGISTRADO EN LA CIUDAD DE ARMENIA DESDE EL PASADO LUNES 2 DE DICIEMBRE DE 2013 Y HASTA LA FECHA 16 NOVEDADES .LAS SITUACIONES DE EMERGENCIA QUE SE REGISTRAN EN SECTORES COMO: EL BARRIO OBRERO, LA MILAGROSA, EL BELÉN, LA PESQUERA, MONTEVIDEO CENTRAL, VERACRUZ, MONTEVIDEO BAJO, LA DIVISA, MONTE-PRADO, BOSQUES DE VIENA Y SAN NICOLÁS, HAN SIDO EVALUADAS POR LOS PROFESIONALES DE LA OMGERD, QUIENES HAN REALIZADO EL ANÁLISIS DE LA SITUACIÓN, EMITIENDO LAS RECOMENDACIONES A LA CIUDADANÍA Y EL TRASLADO A LAS AUTORIDADES COMPETENTES DE ACUERDO A CADA CASO. -816</t>
  </si>
  <si>
    <t>UN DESLIZAMIENTO DE TIERRA SOBRE UNO DE LOS RAMALES DE LA RED DE TGI EN ZONA RURAL DEL MUNICIPIO DE BARBOSA, SANTANDER, PROVOCÓ LA SUSPENSIÓN EN EL SUMINISTRO DE GAS A VARIOS MUNICIPIOS DE ESTE DEPARTAMENTO Y DEL VECINO BOYACÁ.ESTÁN SIN SERVICIO LOS HABITANTES DE BARBOSA, VÉLEZ, GÜEPSA Y OTROS 6 MUNICIPIOS DE LA REGIÓN CONOCIDA COMO LA HOYA DEL RÍO SUÁREZ. TAMPOCO HAY SERVICIO EN LAS ESTACIONES DE GAS VEHICULAR DE BARBOSA Y MONTEARROYO. PERSONAL TÉCNICO DE TGI SE DESPLAZÓ HACIA EL SITIO DE AFECTACIÓN DEL GASODUCTO, EN EL RAMAL OTERO-SANTANA PARA INICIAR LOS TRABAJOS DE REPARACIÓN DE LA TUBERÍA. -816</t>
  </si>
  <si>
    <t>UNAS 30 VEREDAS DE LOS MUNICIPIOS DE URAMITA Y FRONTINO SE ENCUENTRAN AISLADAS A CONSECUENCIA DEL INVIERNO QUE PROVOCÓ EL COLAPSO DE UN PUENTE.LA EMERGENCIA SE PRESENTA EN EL CORREGIMIENTO DE NOBOGÁ Y LAS VEREDAS DE CABRAS, CABRITAS, EL MADERO, LOMA DE LOS INDIOS Y EL PALÓN ENTRE OTRAS, POR DAÑOS EN LA ESTRUCTURA DEL PUENTE CONOCIDO COMO "LA MICA".SEGÚN REPORTARON LAS AUTORIDADES LOCALES LOS DAÑOS SON INCALCULABLES PUES CIENTOS DE FAMILIAS CAMPESINAS ESTÁN INCOMUNICADAS. -816</t>
  </si>
  <si>
    <t>EL CDGR DE RISARALDA  DRA DIANA CAROLINA  LAVERDE INFORMACION QUE TENEMOS DE PUEBLO RICO, LA AFECTACION DE PUEBLO RICO ESTA DELICADA, REPORTAN APROXIMADAMENTE 70 VIVIENDAS  AFECTADAS DE LAS CUALES HAY UN NUMERO ALTA PARA REUBICACION, REPORTAN 11 PUENTES TOTALMENTE DESTRUIDOS (SE ESTA VERIFICANDO CUANTOS PEATONALES Y CUANTOS VEHICULARES) DEJANDO INCOMUNICADAS LAS VEREDAS AGUITA, TAIBA, ITAURY, YARUMAL, SAN LUIS, SAMARIA, EL INDIO, SANTA FE, VALLADOLID, LA MARIA. VIAS SE TIENE REPORTE DE AFECTACION POR PERDIDA DE BANCA TOTAL O PARCIAL DE 6 VIAS (VIA MATADERO, YARUMAL) (VIA PUEBLO RICO, PALO BLANCO), LA TRINIDAD, PUEBLO RICO VILLA CLARET), VIA PLANTA DE TRATAMIENTO), (VIA MONTEBELLO DESLIZAMIENTOS). EN REDES ELECTRICAS CAIDA DE DOS TORRES DE ENERGIA EN YARUMAL. ACUEDUCTOS. ACUEDUCTO URBANO, ACUEDUCTOS COMUNITARIOS (CIATO, EL RECREO, CIATOCITO, CUANZA, TAIBA). APROXIMADAMENTE AFECTACION DE 150 ACUEDUCTOS UNIFAMILIARES Y BIFAMILIARES). -816</t>
  </si>
  <si>
    <t>AFECTACION EN ZONA RURAL Y URBANA. DAÑOS EN CULTIVOS DE MAIZ, YUCA, PLATANO, PERDIDA DE AVES DE CORRAL, VEREDAS BOCAS DE CARARE, LAS MONTOYAS, EL BOROJO, CAMPO CAPOTE Y CABECERA MUNICIPAL</t>
  </si>
  <si>
    <t xml:space="preserve"> INUNDACIONES POR TAPONAMIENTO DEL BOX CULVERT  QUE PASA  POR  LA  SEXTA  Y  LA SEPTIMA   LAS  CALLES  QUEDARON  CON MUCHO LODO   PERO  SOLO  5  VIVIENDAS PRESENTARON PERDIDA  DE ENSERES .MISTRATO  - COSTA RICA  TAPADA   POR DESLIZAMIENTO  SECTOR  EL REPECHO,  PERDIDA  DE   BANCA  MISTRATO   -  BELEN    SECTOR MONTEGRANDE  HUNDIMIENTO  DE  TERRENO PASO   RESTRINGIDO COSTA  RICA  - CHORRO   SECO   PERDIDA  DE  BANCA   PASO RESTRINGIDO. -812. BARRIO VILLA IRENE, SIGLO XX, EMILIANA ESCOBAR, VEREDA QUEBRADA ARRIBA, MAMPAY, LA ARGENTINA, BARCINAL, RIO ARRIBA, BELLA VISTA, </t>
  </si>
  <si>
    <t>LA DESTRUCCIÓN TOTAL DEL PUENTE SOBRE LA QUEBRADA  LA VERDE EN  LA VÍA QUE CONDUCE DE LAS VEREDAS  DE MÉRIDA – CANTAGALLOS.  DEBIDO A DAÑOS DEL PUENTE POR LA OLA INVERNAL, LA POBLACIÓN INSTALO UN PUENTE PROVISIONAL DE MADERA SOBRE EL PUNTO YA MENCIONADO PARA QUE PASARAN CARROS LIVIANOS,  MOTOCICLETAS Y PERSONAS A PIE, DEBIDO A QUE LA QUEBRADA LA VERDE  CRECIÓ SU CAUDAL EL DÍA 03 DE DICIEMBRE;  LAS BASES Y SOPORTES DEL PUENTE EN MADERA COLAPSARON  AL PASO DE LA CAMIONETA QUE VENÍA CARGADA CON ESCOMBRO DESPLOMÁNDOSE SOBRE EL CAUCE HÍDRICO, SIN CAUSAR AFECTACIÓN DE VIDAS HUMANAS. VEHÍCULO AFECTADO DE PLACAS OQE-029 CAMIONETA LUV 2200 (CHEVROLET) DE PROPIEDAD RUPERTO GAMBOA CC 5718035 DE GUAPOTA. -818</t>
  </si>
  <si>
    <t>GERMAN GARCÍA COMANDANTE DE BOMBEROS DE CAPARRAPI REPORTA MEDIANTE LLAMADA TELEFÓNICA, DESLIZAMIENTO PRESENTADO POR LLUVIAS EN LA VEREDA POTOSÍ DEL MUNICIPIO DE CAPARRAPI, EL CUAL DESTRUYO 1 VIVIENDA DONDE HABITABAN 3 MENORES 2 ADULTOS DE LOS CUALES UNO RESULTO HERIDO Y TRASLADADO AL HOSPITAL DE GUADUAS, LAS DEMÁS PERSONAS FUERON EVACUADAS A UNA ESCUELA. SE ADELANTA VISITA PARA DETERMINAR EL RIESGO DE OTRAS VIVIENDAS DEL LUGAR. ATIENDE BOMBEROS CAPARRAP Y CMGRD. -818</t>
  </si>
  <si>
    <t>DNB REPORTA UN INCENDIO ESTRUCTURAL CERCA AL AEROPUERTO, ATIENDEN DCC, BOMBEROS, NOTICA EN DESARROLLO. -818</t>
  </si>
  <si>
    <t>EL SECRETARIOS DE GOBIERNO DEL MUNICIPIO DE MAGUI PAYAN INFORMA QUE EL DIA DE AYER SE PRESENTO UN INCENDIO ESTRUCTURAL EN LA VEREDA EL CARMELO AFECTANDO 2 FAMILIAS, 12 PERSONAS Y 2 VIVIENDAS DESTRUIDAS. LAS FAMILIAS EN EL MOMENTO SE ENCUENTRAN ALBERGADAS EN LA CASA DE LA CULTURA DEL MUNICIPIO. -819</t>
  </si>
  <si>
    <t>CDGRD INFORMA REVISIONES POR VENDAVAL DE LA NOCHE ANTERIOR VEREDA LA NUBIA DESTECHAMIENTO DE VIVIENDAS VIA TAPADA POR 4 DERRUMBES LA MAQUINARIA SE ENCUENTRA EN EL SITIO. 7 VIVIENDAS, 7 FLIAS, 33 PERSONAS
2 VIVIENDAS QUEDARON EN RIESGO POR DESLIZAMIENTO CERCA DE LA VIVIENDA MAÑANA PASAN INFORME A LA ALCALDIA LAS FAMILIAS QUEDARON EN LAS VIVIENDAS. -819</t>
  </si>
  <si>
    <t>CDGRD INFORMA LAS SIGUIENTES VIAS AFECTADAS POR DELIZAMIENTOS    MISTRATO -VEREDA SAQUIAS RESTRINGIDA POR DESLIZAMIENTO MISTRATO - COSTA RICA TAPADA POR DESLIZAMIENTO SECTOR EL REPECHO, PERDIDA DE BANCA
MISTRATO - BELEN SECTOR MONTEGRANDE HUNDIMIENTO DE TERRENO PASO RESTRINGIDO COSTA RICA - CHORRO SECO PERDIDA DE BANCA PASO RESTRINGIDO.-819</t>
  </si>
  <si>
    <t>CDGRD INFORMA MUNICIPIO DE SUAZA SE PRESENTO UN DESLIZAMIENTO EN EL KM26 VIA A FLORENCIA CON OBSTRUCCION TOTAL DE LA VIA. -819</t>
  </si>
  <si>
    <t>DCGRD INFORMA QUE SE PRESENTO UN DESLIZAMIENTO SECTOR STA ISABEL CON TAPONAMIENTO DE QUEBRADA DOSQUEBRADAS NO AFECTO VIA NI VIVIENDAS. -819
DIR. NAL. DE BOMBEROS INFORMA BUENA NOCHE SE HIZO EL EFECTIVO REPORTE DE DOSQUEBRADAS RISARALDA DONDE OCURRIO UN DESLIZAMIENTO OBSTUYENDO LA QUEBRADA ALEDAÑA FUE POR CAUSA DE UN PROPIETARIO DE UNA VIVIENDA ALEDAÑA, HUBO UN REPRESENTAMIENTO POR PARTE DE LA QUEBRADA Y NO SE REPORTAN AFECTADOS. -819</t>
  </si>
  <si>
    <t>REPORTA SECCIONAL GUAJIRA: HOY 5 DE DICIEMBRE DEL 2013,  EN EL LA DESEMBOCADURA DEL RIO RANCHERÍA Y LAS PLAYAS DE RIOHACHA APROXIMADAMENTE A LAS 10:00 HORAS SE AHOGÓ POR INVERSIÓN UN NIÑO DE NOMBRE FERNANDO JOSÉ MARTÍNEZ DE 8 AÑOS DE EDAD, SE COMENZÓ LA BÚSQUEDA SIN NINGÚN RESULTADO, PARTICIPAN EN LA ACTIVIDAD 1 FUNCIONARIO Y 11 LÍDERES VOLUNTARIOS DE LA JUNTA ALMIRANTE PADILLA. D.G.V. -820</t>
  </si>
  <si>
    <t>DESLIZAMIENTO DE TIERRA, BARRIO ÁLVAREZ BAJO, DEJA COMO SALDO 21 AFECTADOS ILESOS DE 4 FAMILIAS EN 4 VIVIENDAS DESTRUIDAS. D.G.V. -820</t>
  </si>
  <si>
    <t>CDGRD DEL TOLIMA, INFORMA, 20:30 ALFA 6, REPORTA ACCIDENTE DE TRANSITO EN LA VÍA IBAGUE/ ALVARADO, KM16+100, MOTO DE PLACAS CJC649, CONDUCIDA POR EL SEÑOR JOHN FERNANDO VANEGAS CAMPUZANO DE 27 AÑOS, QUIEN FALLECIO EN EL SITIO, APOYO POLICIA Y CTI.  D.G.V. -820</t>
  </si>
  <si>
    <t>EL CDGRD REPORTA DE UNA INUNDACIO DEL RIO PATIO EN ZONA RURAL DE EL PITAL , EN LA VEREDAS DE  ALTO LIBANO, SAN MIGUEL , EL RIO AFECTANDO  A ESTAS COMUNIDADES  INUNDANDO VARIAS VIVIENDAS, EL CMGRD ESTA REALIZANDO EDAN, NOTICIA EN DESARROLLO. -815
SECCIONAL DEL HUILA,  REPORTA,  INUNDACIÓN DEL RIO PATIO EN ZONA RURAL DE EL PITAL , EN LA VEREDAS DE  ALTO LIBANO, SAN MIGUEL , 6 FAMILIAS AFECTADAS, 30 PERSONAS AFECTADAS. D.G.V. -820</t>
  </si>
  <si>
    <t>RAFAELA PAVA DEL CMGRD DEL MUNICIPIO DE LA PALMA REPORTA VÍA TELEFÓNICA A ESTA UNIDAD, QUE POR LLUVIAS OCURRIDAS  EN LA NOCHE DEL 05/12/13  SE PRESENTARON DESLIZAMIENTOS EN VARIOS SITIOS DE LAS VÍAS LA PALMA - PACHO, LA PALMA - YACOPI Y LA PALMA - CAPARRAPI, QUEDANDO EL MUNICIPIO INCOMUNICADO EN SUS PRINCIPALES VÍAS. TAMBIÉN SE PRESENTO TAPONAMIENTO EN LAS 4 BOCATOMAS QUE ABASTECEN DE AGUA POTABLE AL CASCO URBANO. CMGRD GESTIONA APOYOS CON EL ICCU Y LAS EMPRESAS PUBLICAS DE CUNDINAMARCA, ADEMÁS  ADELANTA VISITA A LA PARTE RURAL  CON EL FIN DE ESTABLECER DAÑOS Y AFECTACIONES EN ESTE SECTOR. -821</t>
  </si>
  <si>
    <t>SE PRESENTO UN INCENDUIO FORESTAL EN LE SECTOR LLAMADO LA MINA EN LE CUA LSE CONSUMIO 2 HECTAREAS .ATENDIO BOMBEROS VOLUTARIOS. -821</t>
  </si>
  <si>
    <t>BOMBEROS DE BELMIRA, ENTRERRÍOS Y SANTA ROSA DE OSOS, NORTE DE ANTIOQUIA, AÚN NO DAN CON EL PARADERO DE NOELLY MEDINA, DE 24 AÑOS, Y SU HIJA, LINA GÓMEZ, DE 4, QUE EL PASADO SÁBADO A LAS 5:30 P.M. CRUZABAN UN PUENTE DE LAS AFUERAS DEL CORREGIMIENTO LABORES, DE BELMIRA Y, POR RAZONES QUE SE DESCONOCEN, CAYERON AL RÍO QUE LLEVABA UNA BORRASCA POR LAS FUERTES LLUVIAS CAÍDAS EN LA CABECERA.LOS SOCORRISTAS RECORREN EL RÍO GRANDE Y LA REPRESA RIOGRANDE II, A LA QUE LE TRIBUTA SUS AGUAS, PERO LA BÚSQUEDA HA SIDO INFRUCTUOSA. INFORMAN DEL CDGRD DE ANTIOQUIA DR GILBERTO MAZO , QUE LOS CUERPOS YA FUERON RECUPERADOS. CON EST OSE CIERRA EL CASO. -821</t>
  </si>
  <si>
    <t>UN FUERTE VENDAVAL AFECTO EL MUNICIPIO DE ARJONA EL DIA 15 DE OCTUBRE DE 2013, DONDE AFECTO LAS COMUNIDADES INDIFENAS ZENUES DEL CORREGIMIENTO DE GAMBOTE Y SINCERIN, DEJANDO 195 FAMILIAS DAMNIFICADAS.</t>
  </si>
  <si>
    <t>CDGRD REPORTA EN EL EMBALSE DE BETANIA PERECIO POR INMERSION EL SEÑOR QUILIAM HERNAN BASURCO GOMEZ DE 26 AÑOS DE EDAD, EN SITIO CONOCIDO COM CEBORUCO, ATENDIO BOMBEROS YAGUARA. -822</t>
  </si>
  <si>
    <t>CDGRD REPORTA EN ESTE MUNICIPIO INCENDIO FORESTAL EN LA VEREDA HONDINA, CON AFECTACION DE 5 HECTAREAS DE PASTO Y RASTROJO, ESTADO EXTINGUIDO. -822</t>
  </si>
  <si>
    <t>CDGRD REPORTA EN EL MUNICIPIO DE BALBOA VEREDA LA MARGARITA VENDAVAL EL CUAL AFECTA 2 VIVIENDAS EN TECHO, 2 FAMILIAS, 6 PERSONAS. -822</t>
  </si>
  <si>
    <t>BOMBEROS PLANADAS REPORTA QUE EN LA VIA QUE DE PLANADAS CONDUCE A GAITANIA , VEREDA  PRIMAVERA EXISTE UN PUENTE COLGANTE SOBRE EL RIO ATA POR EL CUAL SE DESPLAZABA 2 PERSONAS DE LAS CUALES UNA SE PARTIO LAS TABLAS POR DONDE PISABA PARA PASAR EL PUENTE COLGANTE Y SE FUE AL RIO DESDE LAS 9.00 A.M SIN ENCONTRARLA ES UNA MENOR DE EDAD DE NOMBRE ANA CELMIRA OVIEDO PINTO DE 16 AÑOS Y LA OTRA PERSONA SE LLAMA WILLIAM GUTIERREZ DE 38 AÑOS DE EDAD, -816
CDGRD INFORMA  BOMBEROS VOLUNTARIAS  PLANADAS REPORTA QUE NO HAN LOCALIZADO A LA JOVEN DESAPARECIDA EN EL RIO ATTA DE NOMBRE ANA CELMIRA OVIEDO DE 16 AÑOS INFORMA LA BOMBERA ARGELIA MOLINA SIN MAS DETALLES. -823</t>
  </si>
  <si>
    <t>CDGRD DE SANTANDER, INFORMA, SEGÚN REPORTE DE BOMBEROS DEL MUNICIPIO DE COROMORO, MANIFIESTAN QUE DESDE LAS 09.20 HORAS DEL DÍA, 06-12-2013,  SE DABA POR DESAPARECIDO EL SEÑOR RAMIRO DE JESUS ZAPATA, QUIEN AL PARECER AL CRUZAR EL RIO  DE NOMBRE TAQUIZA, UBICADA EN LA VEREDA SAN JOSÉ DEL MUNICIPIO DE COROMORO, LAS FUERTES CORRIENTES DE LAS AGUAS LO ARRASTRO HACIA SU CAUCE. DE LO QUE POSTERIORMENTE EN ACTIVIDADES DE BÚSQUEDA Y RESCATE EN CONJUNTO DE COMUNIDAD, BOMBEROS Y DEFENSA CIVIL DE LA LOCALIDAD, SE LOGRA UBICAR UN CUERPO SIN VIDA, APROXIMADAMENTE DOS KILÓMETROS RIO DEBAJO DE DONDE TESTIGOS MANIFESTABAN EL REPORTE DE LOS HECHOS INICIALES. LOGRANDO  IDENTIFICARLO COMO EL DESAPARECIDO HACIA LAS 10:12 HORAS DEL 06-12-2013. EL OCCISO SE DEDICABA A LABORES DE GANADERÍA EN LA ZONA, DE APROXIMADAMENTE 67 AÑOS DE EDAD. D.G.V. -824</t>
  </si>
  <si>
    <t>CDGRD DEL CAUCA, INFORMA, MPIO DE  SANTANDER DE QUILICHAO, ANOCHE, VENDAVAL, ACOMPAÑADO DE LLUVIAS, DAÑOS EN  CULTIVOS Y VIVIENDAS,  EN LA ZONA RURAL, CMGRD, REALIZA EDAN, SITUACIÒN EN DESARROLLO. D.G.V. -824</t>
  </si>
  <si>
    <t>CDGRD DE CALDAS, INFORMA. EN ESTE MOMENTO, SE ENCUENTRA CERRADA LA VÌA PACORA SALAMINA, POR UN DESLIZAMIENTO QUE TAPONO, LA VÍA, SITUACIÒN EN DESARROLLO. D.G.V. -824</t>
  </si>
  <si>
    <t>D.C.C., INFORMA, INCENDIO ESTRUCTURAL, LOS LIDERES VOLUNTARIOS  CONTROLARON EL  FUEGO EVITANDO QUE SE QUEMARA TODA LA CASA Y SE  EXTENDIERA  A LAS VIVIENDAS VECINAS. D.G.V. -824</t>
  </si>
  <si>
    <t>OMAR ROMERO JEFE DE PLANEACIÓN DE CAPARRAPI REPORTA VÍA TELEFÓNICA A ESTA UNIDAD, QUE POR LLUVIAS PRESENTADAS EN LA NOCHE DEL 05/ AL 06/12/13, OCURRIERON DESLIZAMIENTOS LOS CUALES DEJARON GRAVEMENTE AVERIADAS 7 VIVIENDAS CON 35 PERSONAS EN LA VEREDA POTOSI, QUIENES PERDIERON MUEBLES Y ENSERES Y FUERON EVACUADAS A LA ESCUELA DE LA VEREDA. TAMBIÉN LA RED VIAL TERCIARIA DEL MUNICIPIO SE ENCUENTRA AFECTADA POR DESLIZAMIENTOS Y COLAPSO DEL SISTEMA DE ALCANTARILLADO. ATIENDE CMGRD, BOMBEROS Y POLICÍA. -821
CDGRD DE CUNDINAMARCA, INFORMA, MPIO DE CAPARRAPI, AYER EN LA NOCHE, DELIZAMIENTO, 10 FAMILIAS AFECTADAS, LAS CUALES FUERON EVACUADAS, EL CDGRD Y UNA COMISIÓN DE LA CAR SALIERON PARA SITIO. SE HA RECIBIDO AYUDA HUMANITARIA (CARPAS) POR PARTE DE LA CRUZ ROJA, SITUACIÓN EN DESARROLLO. D.G.V. -824</t>
  </si>
  <si>
    <t>SE REGISTRA INCENDIO ESTRUCTURAL EN LA LOCALIDAD DE KENNEDY BARRRIO JAZMIN OCCIDENTAL KR 99 D # 42 G - 52 SUR, FOPAE REALIZA ACTIVACION DE LAS ENTIDADES DEL SISTEMA DISTRITAL, AL PARECER 12 VIVIENDAS DE MATERIAL DE RECUPERACION, AL MOMENTO SE HA EFECTIUADO EL CENSO DE 3 FAMILIAS. EL RESTO DE FAMILIAS AL PARECER NO SE ENCUENTRAN EN EL SITIO SON PERSONAS DEDICADAS AL RECICLAJE, AFECTACION TOTAL DE LAS VIVIENDAS, ADICIONALMENTE POR CUESTIONES DE SEGURIDAD SE SOLICITA MAS PERSONAL DE POLICIA, HACEN PRESENCIA BOMBEROS VOLUNTARIOS, CRUZ ROJA, SECRETARIA DE SALUD, SECRETARIA DE INTEGRACION SOCIAL, GAS NATURAL, CODENSA, COMUNIDAD, INCENDIO CONTROLADO Y EXTINGUIDO, FOPAE SE RETIRA DEL SITIO CON LAS ENTIDADES, Y SE VISITARA EL DÍA DE MAÑANA EL PUNTO, HACE PRESENCIA PONAL CON 10 UNIDADES A CARGO DEL CORONEL AGUIRRE. D.L.M. -825</t>
  </si>
  <si>
    <t>CDGRD REPORTA VENDAVAL ACOMPAÑADO DE FUERTES LLUVIAS  HACIA LAS 18:40 HORAS, CON AFECTACION EN 2 VIVIENDAS POR DESTECHAMIENTO, CAIDA DE ARBOLES, CDGRD REPORTA QUE ORGANISMOS DE SOCORRO SALEN EN LAS PRIMERAS HORAS A REALIZAR EVALUCION DE DAÑOS. D.L.M. -825</t>
  </si>
  <si>
    <t>SE REGISTRA INCENDIO ESTRUCTURAL EN BARRANQUILLA  EN EL BARRIO CARRIZAL, CON AFECTACION EN 1 VIVIENDA, EN LA CRA 4-51B UNA DISPUTA ENTRE  FAMILIAS, UNA DE ELLAS PRENDE FUEGO A LA OTRA CASA, GENERA DISTURBIOS Y SAQUEOS, CONTROLA PONAL Y ANTIDISTURBIOS, EL FUEGO ES CONTROLADO POR LOS BOMBEROS OFICIALES, EL FUEGO CONSUME UN CUARTO DE LA HABITACION INFORMA DIRECCION NACIONAL DE BOMBEROS. D.L.M. -825</t>
  </si>
  <si>
    <t>CDGRD DE SANTANDER, INFORMA, EN LA NOCHE ANTERIOR, DEBIDO A LAS FUERTES LLUVIAS, SE PRESENTARON INUNDACIONES, AFECTANDO REDES DEL ALCANTARRILLADO, BARRIO: VILLA MAR, 5 VIVIENDAS AFECTADAS, AFECTACIÓN EN VIAS EN LOS SECTORES DE: MOLINOS, SEVILLA, ESPAÑOLITA, TEJADITOS, APOYARON. BOMBEROS. D.G.V. -826</t>
  </si>
  <si>
    <t>CDGRD DEL TOLIMA, INFORMA, SE PRESENTÓ DESLIZAMIENTO DE TIERRA SOBRE PUENTE PEATONAL DEL BARRIO: MALABAR, APOYAN: BOMBEROS Y CMGRD. D.G.V. -826</t>
  </si>
  <si>
    <t>CDGRD DEL TOLIMA, INFORMA, DERRUMBE CON TAPONAMIENTO, POR LAS FUERTES LLUVIAS, AFECTADAS, LAS VIAS: TAPIAS/COELLO MACHIN, TAPIAS/MORAL,SALON TAPIAS/BOQUERON, GUAICO(TANQUE/PISCINA) SOLICITAN APOYO CON KIT DE MAQUINARIA AMARILLA, SITUACIÓN EN DESARROLLO. D.G.V. -826</t>
  </si>
  <si>
    <t>CDGRD DE NORTE DE SANTANDER,  Y POLICIA NACIONAL, REPORTAN,  ACCIDENTE DE TRANSITO,  3 CUERPOS RECUPERADOS, 2 ADULTOS,  1 MENOR,   EN EL MUNICIPIO DE SARDINATA,  CORREGIMIENTO DE SAN ROQUE, AL PARECER CAYERON AL RIO SARDINATA,  Y EL RÍO LOS ARRASTRO, SE TRANSPORTABAN EN UNA MOTO, APOYARON:  DEFENSA CIVIL, CRUZ ROJA, PONAL, EJERCITO.  D.G.V. -826</t>
  </si>
  <si>
    <t>CDGRD DE SANTANDER, Y  POLICÍA NACIONAL INFORMA,   ACCIDENTE DEL GRUPO CALICHE, EN EL SECTOR LAS LAJAS VÍA A OCAÑA, EL HECHO DEJO COMO RESULTADO: LA MUERTE DE JESÚS CASTRILLON  COLLANTES,  ANTONIO CASTRILLON  Y  TRES PERSONAS MAS HERIDAS, LAS CAUSAS DEL ACCIDENTE AL PARECER  FUERON POR ALTA VELOCIDAD. D.G.V. -826</t>
  </si>
  <si>
    <t>SE REGISTRA CIERRE TOTAL EN LA VIA GIRARDOT-BOGOTA EN LA VARIANTE DE MELGRA KILOMETRO 03+200, POR CAIDA DE PIEDRAS Y TIERRA, NO LESIONADOS U OTRO. -827</t>
  </si>
  <si>
    <t>MUNICIPAL DE RIO FRIO, SOBRE UN VENDAVAL QUE SE PRESENTO EL DÍA DE AYER EN LA ZONA MONTAÑOSA DEL MUNICIPIO QUE DEJO COMO SALDO 9 VIVIENDAS AFECTADAS Y 3 DESTRUIDAS EN LAS VEREDAS DE LA VIGOROSA Y LAS PALMAS.  -828</t>
  </si>
  <si>
    <t>EL CMGRD DE ARENIA INFORMA DE UN INCENDIO ESTRUCTURAL EN EN EL BARRIO LOS ANDES MZ 5 CASA 7. LA FAMILIA COMPUESTA POR UN ADULTO Y UN MENOR DE EDAD RECIBIERON DE LOS FUNCIONARIOS DE LA OMGERD, AYUDA HUMANITARIA CONSISTENTE EN 2 COBIJAS, 2 COLCHONETAS, 5 TEJAS DE FIBROCEMENTO, 1 KIT DE ASEO, 1 DE COCINA, 1 MERCADO Y 8 KITS DE ROPA. -828</t>
  </si>
  <si>
    <t>EL DIA 8 DE DIC SE PRESENTO UN IF EN LA VIA A PAZ DE ARIPORO  KILOMETRO  17  EL CUAL CONSUMIO 17 HECTAREA, ATENDIO BOMBEROS YOPAL. -828</t>
  </si>
  <si>
    <t>SE PRESNTRO UN IF EN EL SECTOR DEL PARQUE, N ESTE EVENTO E CONSUMIO 1 HECTAREA. -828</t>
  </si>
  <si>
    <t>CDGRD REPORTA EN EL MUNICIPIO DE SAMANIEGO EN LA VEREDA ESCRITORIO- SANTA CATALINA, DESLIZAMIENTO QUE DEJA AVERIADA 1 VIVIENDA, 1 FAMILIA, 2 PERSONAS. -829</t>
  </si>
  <si>
    <t>CDGRD DE NARIÑO, INFORMA, MUNICIPIO DE  MALLAMA, DESLIZAMIENTO KLM 34+50, AFECTANDO 25 PERSONAS, 11 FAMILIAS, 3 VIVIENDAS AVERIADAS, 2 VIVIENDAS DESTRUIDAS, NO HAY HERIDOS NI VÍCTIMAS  VÍA NACIONAL BLOQUEADA, SITUACIÒN EN DESARROLLO. -826
SE PRESENTO EL DESLIZAMIENTO EN EL SECTOR DE CHUCUNES DEL MUNICIPIO DE MALLAMA, AFECTANDO LA VIA NACIONAL TUQUERRES - TUMACO KM 34 + 50, PASO POR UN CARRIL, LAS FAMILIAS FUERON EVACUADAS, AFECTACIÓN EN 1 VIA, VIVIENDAS 4 DOS DESTRUIDAS DOS AVERIADAS, FAMILIAS 9 Y PERSONAS 27, ACTUALIZA INFORMACIÓN CDGRD. -829</t>
  </si>
  <si>
    <t>550 BLOQUES</t>
  </si>
  <si>
    <t xml:space="preserve">SE REGISTRO UNA CRECIENTE SUBITA DEL RIO LAS ANIMAS-QUEBRADA SAN JOAQUIN, LOS CUALES VULNERARON A LAS PERSONAS, BIENES, INFRAESTRUCTURA Y MEDIOS SUBSISTENTES. </t>
  </si>
  <si>
    <t>1000 VARILLAS DE 1/2"</t>
  </si>
  <si>
    <t>80 TANQUES DE 500 LTS Y 80 TANQUES DE 1000 LITROS</t>
  </si>
  <si>
    <t>100 TANQUES DE 500 LITROS Y 50 DE 1000 LITROS</t>
  </si>
  <si>
    <t>APOYO DEL FNGRD MEDIANTE TRANSFERENCIA ECONOMICA AL MUNICIPIO CON EL OBJETO DE REALIZAR LA LIMPIEZAY DESTRONQUE EN LA PARTE ALTA DEL RIO JURADO EN LOS SECTORES DEL BONGO, EYASAKE, CEDRAL, PICHINDE, DOS BOCAS Y DICHARDI WOUNNAN.</t>
  </si>
  <si>
    <t xml:space="preserve">AFECTADO PEUNTE QUE CONDUCE AL MUNICIPIO DE LA CUMBRE, PAVAS, VIJES, JUMBO, Y CALI  </t>
  </si>
  <si>
    <t>SIENDO LAS,17:30, P.M, SEPRESENTO UN  INCENDIO ESTRUCTURAL AL, PARECER, UN CORTO CIRCUITO, FUE LA CAUSA DE QUE SE ORIGINARA EL INCENDIO EN LA FERRETERIA, DE PROPIEDAD DEL SEÑOR, ANDERSON PARRA TORRES, EN LA QUE SE VENDEN, THINER PINTURA, ELECTRICOS, CONSUMIERON, LAS LLAMAS CONSUMIERON, ENSERES Y ELECTRODOMESTICOS.EL, SEÑOR, VICTOR ALFONSO AYALA, SUFRIÓ QUEMADURAS DE 2° GRADO EN VARIAS PARTES DEL CUERPO, FUE TRASLADADO AL HOSPITAL SAN ANTONIO.COMANDO.DE INCIDENTE.TTE.QUINTERO SIKVIO.RPTO.SP.GÓMEZ JAIME. -831</t>
  </si>
  <si>
    <r>
      <t xml:space="preserve">SE ACTUALIZA INFORMACION DE MANIZALES, </t>
    </r>
    <r>
      <rPr>
        <b/>
        <sz val="9"/>
        <rFont val="Arial"/>
        <family val="2"/>
      </rPr>
      <t>PERSONAS HERIDAS Y RESCATADAS</t>
    </r>
    <r>
      <rPr>
        <sz val="9"/>
        <rFont val="Arial"/>
        <family val="2"/>
      </rPr>
      <t xml:space="preserve"> TRASLADADOS A CENTROS ASISTENCIALES (ASSBASALUD Y HOSPITAL DE CALDAS SES), RUBÉN DARÍO ARIAS, ANA BEIBA ARCILA, WILSON LEONEL RAMÍREZ, JHON JAIME MARÍN CARDONA, EDUBIGES TRIVIÑO, CESAR AUGUSTO FLORES, JOSÉ RODRIGO CASTAÑO ARIAS UN TOTAL DE 7, </t>
    </r>
    <r>
      <rPr>
        <b/>
        <sz val="9"/>
        <rFont val="Arial"/>
        <family val="2"/>
      </rPr>
      <t>PERSONAS DESAPARECIDAS</t>
    </r>
    <r>
      <rPr>
        <sz val="9"/>
        <rFont val="Arial"/>
        <family val="2"/>
      </rPr>
      <t xml:space="preserve"> JULIO VILLANUEVA, ALCIDES CASTAÑO, EVELIO VILLANUEVA (3), </t>
    </r>
    <r>
      <rPr>
        <b/>
        <sz val="9"/>
        <rFont val="Arial"/>
        <family val="2"/>
      </rPr>
      <t>VIVIENDAS EVACUADAS</t>
    </r>
    <r>
      <rPr>
        <sz val="9"/>
        <rFont val="Arial"/>
        <family val="2"/>
      </rPr>
      <t xml:space="preserve"> 30, </t>
    </r>
    <r>
      <rPr>
        <b/>
        <sz val="9"/>
        <rFont val="Arial"/>
        <family val="2"/>
      </rPr>
      <t>VIVIENDAS DESTRUIDAS</t>
    </r>
    <r>
      <rPr>
        <sz val="9"/>
        <rFont val="Arial"/>
        <family val="2"/>
      </rPr>
      <t xml:space="preserve"> 15, </t>
    </r>
    <r>
      <rPr>
        <b/>
        <sz val="9"/>
        <rFont val="Arial"/>
        <family val="2"/>
      </rPr>
      <t>VIVIENDAS AVERIADAS</t>
    </r>
    <r>
      <rPr>
        <sz val="9"/>
        <rFont val="Arial"/>
        <family val="2"/>
      </rPr>
      <t xml:space="preserve"> </t>
    </r>
    <r>
      <rPr>
        <b/>
        <sz val="9"/>
        <rFont val="Arial"/>
        <family val="2"/>
      </rPr>
      <t>NO HABITABLES</t>
    </r>
    <r>
      <rPr>
        <sz val="9"/>
        <rFont val="Arial"/>
        <family val="2"/>
      </rPr>
      <t xml:space="preserve"> 6, </t>
    </r>
    <r>
      <rPr>
        <b/>
        <sz val="9"/>
        <rFont val="Arial"/>
        <family val="2"/>
      </rPr>
      <t>FAMILIAS EVACUADAS</t>
    </r>
    <r>
      <rPr>
        <sz val="9"/>
        <rFont val="Arial"/>
        <family val="2"/>
      </rPr>
      <t xml:space="preserve"> 87, </t>
    </r>
    <r>
      <rPr>
        <b/>
        <sz val="9"/>
        <rFont val="Arial"/>
        <family val="2"/>
      </rPr>
      <t>PERSONAS  EVACUADAS</t>
    </r>
    <r>
      <rPr>
        <sz val="9"/>
        <rFont val="Arial"/>
        <family val="2"/>
      </rPr>
      <t xml:space="preserve"> 239, ENTIDADES QUE APOYAN DEFENSA CIVIL COLOMBIANA: 30 INTEGRANTES, CRUZ ROJA COLOMBIANA: 13, EJERCITO NACIONAL: 20,  POLICÍA NACIONAL: 60, GER: 8, SAI: 3, SECRETARÍA DE GOBIERNO: 8, SECRETARÍA DE SALUD: 2, BYR: 9, UNIDAD DE GESTIÓN DEL RIESGO MUNICIPAL: 3, CUERPO OFICIAL DE BOMBEROS DE MANIZALES: 20, CUERPO DE BOMBEROS VOLUNTARIOS DE MANIZALES: 3, ESPACIO PÚBLICO: 5, UNGRD, UN TOTAL DE 184,SE INTENSIFICAN LAS LABORES DE BÚSQUEDA Y RESCATE. -807
UNGRD, CAPITÁN DANIEL CASTAÑO INFORMA, RECUPERADOS TRES CUERPOS,  DE LA EMERGENCIA PRESENTADA EN MANIZALES, EL DÍA 29-11-2013, POR DESLIZAMIENTO, SECTOR: CAMINO DEL MEDIO, BARRIO: LA AVANZADA PENDIENTE IDENTIFICACIÓN DE LOS CUERPOS, APOYAN EN EL SITIO, APROXIMADAMENTE: 120 PERSONAS DE ENTIDADES OPERATIVAS DEL SNGRD,  SITUACIÓN EN DESARROLLO. D.G.V. -826
APOYO DEL FNGRD MEDIANTE TRANSFERENCIA ECONOMICA CON EL OBJETO DE SUBSIDIO DE ARRIENDO Y ELEMENTOS BASICOS ($100.000.000), APOYO LOGISTICO Y OPERATIVO ($400.000.000), COMPRA DE EQUIPOS DE BUSQUEDA Y RESCATE PARA EL CUERPO OFICIAL DE BOMBEROS($125.000.000).</t>
    </r>
  </si>
  <si>
    <t>CDGRD DE RISARALDA INFORMA, SE PRESENTO UN VENDAVAL, EL DIA DE HOY EN ZONA RURAL, AFECTANDO A, 2 VIVIENDAS. NOTICIA EN DESARROLLO. D.G.V. -832</t>
  </si>
  <si>
    <t>EL COORDINADOR DEL CMGRD DE ANCUYA, REPORTA COMO CONSECUENCIA DE LA LLUVIAS, SE PRESENTÓ, PERDIDA DE BANCA EN LA VIA DEPARTAMENTAL ANCUYA - GUAITARILLA EN LA VDA. INDO KM 9.4 Y 12.9.
DE IGUAL MANERA POR COLAPSO DEL ALCANTARILLADO URBANO SE INUNDARON DOS VIVIENDAS EN LOS BARRIOS LA COLINA Y SAN FRANCISCO. -832</t>
  </si>
  <si>
    <t>SE PRESENTÓ INCENDIO EN 3 KIOSKOS DE ARTESANÍAS, EN EL CASCO URBANO DE MONTELÍBANO, AL PARECER POR UN CORTO CIRCUITO, LÍDERES VOLUNTARIOS DE MONTELÍBANO APOYARON AL CUERPO DE BOMBEROS EN LA EXTINCIÓN DEL INCENDIO. D.G.V. -832</t>
  </si>
  <si>
    <t>SE REGISTRO ACCIDENTE DE TRANSITO EN LA CRA 9 CON CALLE 158, 1 VEHICULO INVOLUCRADO AL PARECER REALIZABA PIQUES, DEJA 1 FALLECIDO Y 3 PERSONAS MAS HERIDAS TRASLADADOS A HOSPÍTAL SIMON BOLIVAR. -833</t>
  </si>
  <si>
    <t>APOYO DEL FNGRD MEDIANTE TRANSFERENCIA ECONOMICA AL MUNICIPIO CON EL OBJETO DE REALIZARLA CONSTRUCCION Y MEJORAMIENTO DE LAS OBRAS DE PROTECCION DEL RIO SAN EUGENIO EN LOS BARRIOS LA UNION, EL CORDOBA, SAN EUGENIO, NUEVO HORIZONTE Y LA TRINIDAD.</t>
  </si>
  <si>
    <t>INFORMA LA ING ADRIANA HERNANDEZ DE UN INCENDIO FORESTAL EN EL MUNICIPIO DE MONTERREY  EN  EL  BARRIO LA FLORESTAL  SE CONSUMIO 2 HECTAREAS. -834</t>
  </si>
  <si>
    <t>INFORMA LA ING ADRIANA HERNANDEZ DE UN INCENDIO FORESTAL EN EL MUNICIPIO DE MONTERREY  EN LA VEREDA DE CURAMA  DONSE SE CONSUMIO 3 HECTAREAS. -834</t>
  </si>
  <si>
    <t>LA CONFLAGRACIÓN, QUE SE REGISTRÓ AYER A LAS 4:30 DE LA TARDE EN LA CARRERA 7B CON CALLE 35E, DEL BARRIO RENACER, DE SOLEDAD, ACABÓ CON LOS POCOS ENSERES QUE TENÍA OSAMA, COMO ES CONOCIDO EN EL SECTOR POR SU BARBA BLANCA Y ESPESA. -834</t>
  </si>
  <si>
    <t>13-1311</t>
  </si>
  <si>
    <t>13-1314</t>
  </si>
  <si>
    <t>13-1198
13-1233
13-1314</t>
  </si>
  <si>
    <t>13-1313</t>
  </si>
  <si>
    <t>13-1328</t>
  </si>
  <si>
    <t>13-1126
13-1308</t>
  </si>
  <si>
    <t>13-1318</t>
  </si>
  <si>
    <t>13-1324</t>
  </si>
  <si>
    <t>CDGRD INFORMA QUE EN EL MUNICIPIO DE MARSELLA SE PRESENTO UN DESLIZAMIENTO AFECTANDO EL ACUEDUCTO DE LA VEREDA LA NOVIA, 2 VIVIENDAS EN RIESGO, PENDIENTE MAYOR INFORMACION. 835</t>
  </si>
  <si>
    <t>SECCIONAL PUTUMAYO, INFORMA, EL DIA 10 DE DICIEMBRE DE 2013, SE RECIBIO INFORMACION POR PARTE DEL EJERCITO, SOBRE LA POSIBLE DESAPARICION DE UN SOLDADO EN AGUAS DEL RIO GUINEO, EN EL CORREGIMIENTO DE PUERTO UMBRIA, MUNICIPIO DE VILLAGARZON-  SE REALIZO LA BUSQUEDA SIENDO LOCALIZADO, EL CUERPO DEL SOLDADO CAMPO JULIAN EL DIA 11 DIC 2013 07:30 HRS, A UNA ORILLA DEL RIO A UNOS 40 METROS AGUAS ABAJO DEL LUGAR DONDE SE DESAPARECIO. PARTICIPARON 8 LV DE LA DC DE VILLAGARZON. D.G.V. -836</t>
  </si>
  <si>
    <t>CDGRD DEL TOLIMA, INFORMA, INFORMA COE16 QUE LLAMARON DE UN 3212927984 , REPORTANDO INCENDIO EN UNA BODEGA EN LA VEREDA, LA AGUADITA, VIA MANIZALEZ, SE INFORMO A B/V FRESNO POR RADIO.REGRESA LA LMOVIL A LAS 19:52 CONTROLANDO EL INCENDIO QUEDANDO AFECTADOS MAS O MENOS 10 MTS CUADRADOS, DE BODEGA CON MATERIAL RECICLABLE , CAUSAS DEL INCENDIO SIN DETERMINAR,BODEGA DE  75 MTROS CUADRADOS. D.G.V. -836</t>
  </si>
  <si>
    <t>APOYO DEL FNGRD MEDIANTE TRANSFERENIA ECONOMICA AL MUNICIPIO CON EL OBJETO DE REALIZAR OBRAS DE MITIGACION EN LA VIA QUE CONDUCE AL CASCO URBANO - LA CUMBRE</t>
  </si>
  <si>
    <t>APOYO DEL FNGRD MEDIANTE TRANSFERENIA ECONOMICA AL MUNICIPIO CON EL OBJETO DE REALIZAR LA CONSTRUCCION DE MUROS DE CONCRETO REFORZADO Y RECUPERACION DE LA BANCA PARA LA REHABILITACION Y ADECUACION DE VIAS TERCIARIAS AFECTADAS POR LA OLA INVERNAL EN LAS VEREDAS LOS SAUCES SECTOR LA BALASTRERA Y LA ARELIA EN EL MINICIPIO DE BUENAVISTA.</t>
  </si>
  <si>
    <t>DEFENSA CIVIL PUERTO LEGUIZAMO, REPORTA QUE LOS RIOS CAQUETA Y PUTUMAYO, HAN AUMENTADO BASTANTE SU CAUDAL, AFECTANDO LA ZONA RURAL, DONDE INFORMAN DE VIVIENDAS DESTRUIDAS Y PERDIDA DE ANIMALES Y CULTIVOS.  DCC EN 2 BOTES ESTAN COLABORANDO CON LA EVACUACIÓN DE FAMILIAS, SITUACIÓN EN DESARROLLO.-454
APOYO DEL FNGRD MEDIANTE SUBSIDIO DE ARRIENDO TEMPORAL PARA 6 FAMILIAS A RAZON DE 3 FAMILIAS POR $200.000 DURANTE TRES MESES Y 3 FAMILIAS A RAZON DE $250.000 POR TRES MESES.</t>
  </si>
  <si>
    <t>VEREDAS AFECTADAS EL BOSQUE, CALABAZAS, COROZAL, EL CARMEN, EL RUBI, GUAYABAL, LA ARABIA, LA ITALIA, LA JUDEA, LA SONADORA LA  VIGOROZA MIRAVALLE, MORROPLANCHO, PORTUGAL DEL CARMEN, PUERTO FENICIA, SAN ALFONSO, SAN JOSE, SAN PABLO, VOLCANES, LOS ESTRECHOS, PORTGAL DE PIEDRAS, FENICIA CASCO URBANO Y CABECERA MUNICIPAL.</t>
  </si>
  <si>
    <t>CDGRD DEL CAUCA, INFORMA,  QUE AYER EN LA TARDE, OCURRIO UN VENDAVAL, EN DIFERENTES, VEREDAS DEL MUNICIPIO, HASTA EL MOMENTO, VAN 30 VIVIENDAS AVERIADAS,  2  ESCUELAS, EN ESTE MOMENTO SE ENCUENTRA UNA COMIISON DE LA DEFENSA CIVIL REALIZANDO EL CENSO, SITUACIÓN EN DESARROLLO. D.G.V. -769SECTORES AGUANEGRA, AGUABONITA, AGUA SUCIA, ALTAMIRA, BELEN, CRUCERO PAN DE AZUCAR, CAÑAVERAL, PANTINERO, CARPINTERO, CHIMBORAZO CHIRRIADERO, CHORRERA BLANCA, EL DANUBIO, EL ARENAL, EL DIVISO, EL CERRO, EL GUABAL, EL JORDAN, EL MACO, EL MESON, EL PLACER, EL PLAYON, EL PROVENIR, EL ROSAL, EL ROSARIO, EL SOCORO, GALILEA, HONDURAS, LA CONCORDIA, LA CUHCILLA, LA ESTACION, LA ESTRELLA, LA FLORESTA, LA FLORIDA, LA VEGA, LAS BRISAS, LAS GUACAS, LAS VERANERAS, LIBERIA, LOMIAS, LOS ANDES, LOS CAFES, LOS QUINGOS, MATAREDONDA, MEDELLIN, MORROPLANO, PANDE AZUCAR, PIEDRA DEL OSOS, POMORROSO, PUEBLILLO, SAMARIA, SAN ROQUE, SAN ANTONIO, SAN CRISTOBAL, SAN FERNANDO, SAN ISIDRO, SAN JOSE, SAN MARTIN, SAN RAFAEL, SAN ROQUE, SANTA BARBARA, SANTA ROSA, SOMBRERILLO, UNION HATILLO, BARRIO NUEVA FLORESTA, BARRIO CENTRO Y BARRIO MODELO.</t>
  </si>
  <si>
    <t>SE PRESENTÓ INCENDIO FORESTAL, EN LA CALLE 36 # 80CC-26 BARRIO LA JOYA, DONDE MANIFESTARON  APROXIMADAMENTE DOS (2) HECTÁREAS FUERON DESBASTADAS POR LA CONFLAGRACIÓN QUEMÁNDOSE ARBUSTOS NATIVOS, PASTOS Y MALEZA QUE SE ENCUENTRA EN ESTE LOTE. LA EMERGENCIA FUE ATENDIDA POR EL CUERPO DE BOMBEROS DE BUCARAMANGA Y LA COMUNIDAD. -837</t>
  </si>
  <si>
    <t>INFORMA LA DRA EDITH PAZ QUE SE PRESENTO UN INCENDIO ESTRUCTURAL EN LA CUIDAD DE TIBIO , AFECTANDO UNA VIVIENDA CON PERDIDA PARCIAL, ATENDIO EL INCENDIO LA MISMA COMUNIDAD. -837</t>
  </si>
  <si>
    <t>CDGRD HUILA INFORMA EN HORAS DE LA TARDE SE PRESENTO UN INCENDIO ESTRUCTURAL EN ESTE MUNICIPIO, HUBO PERDIDA DE ENSERES, TECHO, AFECTACION EN PAREDES, NO LESIONADOS U OTRO, 1 FAMILIA AFECTADA, ATENDIO BOMBEROS IQUIRA, D.L.M. -838</t>
  </si>
  <si>
    <t>DEBIDO A INUNDACIONES Y DESLIZAMIENTO EN EL MUNICIPIO DE CONSACA NARIÑO,  SE VIERON  10 VIVIENDAS AFECTADAS POR LODO Y   AGUA QUE INGRESO  A LAS VIVIENDAS , LOS DERRUMBES ARRASARON CORRALES DE AVES Y CUYES, SIN AFECTACION DE PERSONAS, PENDIENTE MAYOR INFORMACION. -839</t>
  </si>
  <si>
    <t>13-1323</t>
  </si>
  <si>
    <t>13-1317
13-1320</t>
  </si>
  <si>
    <t>13-1325</t>
  </si>
  <si>
    <t>13-1326</t>
  </si>
  <si>
    <t>13-1319
13-1327</t>
  </si>
  <si>
    <t>13-1330
13-1329</t>
  </si>
  <si>
    <t>SE DESCONOCEN LAS CAUSAS POR LA CUAL SE PRESENTO UN INCENDIO FORESTAL DONDE     LAS LLAMAS DESTRUYERON PASTO SECO Y RASTROJO.SE CONTROLA CON HERRAMIENTA MANUAL Y AGUA EVITANDO MAS DAÑOS.AT/CS:CT.B.EDUAR FIERRO.MAQ.1, 3 Y 2 EXT.CON     12 UNID.APOYO BBROS.ROLDANILLO CON MAQ.4 EXT.MÁS 5 UNID. Y LA DEFENSA CIVIL CON 5 UNID.PARA UN TOTAL DE 4 MAQ.Y 22 UNID.REPORTO:BBRO.JOSÉ FELIPE CACERES. -840</t>
  </si>
  <si>
    <t>LAS CAUSAS POR LA CUAL SE ORIGINO UN INCENDIO EN UNA HABITACION       DEL HOTEL EUROPA DONDE SE QUEMAN ALGUNOS ENSERES DE MENOR CUANTIA.SE CON-   TROLA A TIEMPO EVITANDO QUE SE EXTIENDA AL RESTO DE LA EDIFICACIÓN CONSTRUIDA EN ADOBE Y NO SE PRESENTARON PERSONAS LESIONADAS.AT/CS:SUBTTE.GERMAN ALFONSO ECHEVERRY.MAQ.9 CON 5 UNID.REPORTO:BBRO.HECTOR FABIO MEJIA. -840</t>
  </si>
  <si>
    <t>INFORMA EL DR SANDY SEPULVEDAD DE UN INCENDIO ESTRUCTURAL EN EL MUNICIPIO DE BOSCONIA AFECTADO A UNA VIVIENDA Y UN VEHICULO, AL MOMENTO NO SE CUANTIFICADO LAS PERDIDAS. -840</t>
  </si>
  <si>
    <t>BOMBEROS Y ORGANISMOS DE RESCATE DE MANIZALES BUSCAN DESDE AYER A UN HOMBRE REPORTADO COMO DESAPARECIDO EN EL RÍO GUACAICA.LAS LABORES SE HACEN DIFÍCILES PORQUE LA VÍA A MANGABONITA, SITIO DONDE DICEN OCURRIÓ EL CASO, ESTÁ TAPONADA HACE OCHO DÍAS DEBIDO A LOS FIERTES AGUACIEROS QUE CAYERON HASTA LA SEMANA ANTERIOR.
EL REPORTE QUE CONOCIÓ BOMBEROS, SEGÚN EL MAYOR CARLOS ALBERTO MARÍN, COMANDANTE DE LA INSTITUCIÓN, ES QUE UNA PERSONA EN APARENTE ESTADO DE EMBRIAGUEZ IBA MONTADO EN UNA MULA. ESTANDO AL BORDE DEL RÍO PERDIÓ EL EQUILIBRIO Y CAYÓ AL AFLUENTE. -840</t>
  </si>
  <si>
    <t xml:space="preserve">  CDGRD DE NARIÑO, INFORMA. SE PRESENTA, DESLIZAMIENTO EN EL MPIO DE PUPIALES, VEREDA: SAN FRANCISCO QUE CAYO SOBRE EL RÌO CUATIS.  EL CMGRD DE PUPIALES Y GUALMATAN REALIZARON, VISITA TECNICA Y SE ENCUENTRA EN MONITOREO PERMANENTE POR UN POSIBLE REPRESAMIENTO.  SE ALERTO A LA COMUNIDAD AGUAS A BAJO, SITUACIÓN EN DESARROLLO. D.G.V. -841</t>
  </si>
  <si>
    <t>CONATO DE INCENDIO ESTRUCTURAL EN EL ESTABLECIMIENTO PUBLICO EL FAROL , UBICADO EN LA CALLE 11 # 21-57 BARRIO SAN FRANCISCO, DONDE SE INCENDIO UNA HABITACIÓN PRESENTÁNDOSE DAÑOS EN LA HABITACIÓN DONDE SE ENCONTRABA TRES FEMENINAS, DONDE FUERON TRASLADADAS AL HOSPITAL POR LA INHALACIÓN DE HUMO DONDE YA SE DIERON DE ALTA , SE DESCONOCE LA CAUSA DEL INCENDIO ESTA POR ESTABLECER. D.G.V. -841</t>
  </si>
  <si>
    <t>EN LA CALLE 19 CON CARRERA 25, EN LA PLAZA DE MERCADO DE PALOQUEMAO, HAY UN INCENDIO ESTRUCTURAL EN UN LOCAL COMERCIAL, SEGÚN INFORMÓ EL CUERPO DE BOMBEROS DE BOGOTÁ. AÚN SE DESCONOCEN LAS CAUSAS DE LA CONFLAGRACIÓN Y NO SE HA CONFIRMADO EL DAÑO CAUSADO POR LA EMERGENCIA OCURRIDA EN EL CENTRO DE LA CIUDAD. HACIA ESE LUGAR, EL CUERPO DE BOMBEROS DE BOGOTÁ ENVIÓ OCHO MÁQUINAS PARA INTENTAR CONTROLAR EL INCENDIO LO MÁS PRONTO POSIBLE. BOMBEROS DE ESTACIÓN CENTRAL YA SE ENCUENTRAN EN LA PLAZA DE PALOQUEMAO. NOTICIA EN DESARROLLO. D.G.V. -841</t>
  </si>
  <si>
    <t>DEFENSA CIVIL COLOMBIANA, INFORMA, INCENDIO ESTRUCTURAL EN EL CORREGIMIENTO DE: PASO NUEVO, 2 VIVIENDAS DESTRUIDAS. D.G.V. -841</t>
  </si>
  <si>
    <t>CDGRD INFORMA EMERGENCIA EN EL MUNICIPIO DE CORINTO POR AVALANCHA DEL RIO LA PAILA, EL CUAL SE LLEVO 1 PUENTE VEHICULAR EN LA VEREDA CARRISALES, AFECTACION AL MOMENTO DE 30 FAMILIAS, LA MISMA COMUNIDAD ALERTO DADO QUE ES ZONA ROJA, E4L CMGRD SALDRA EN LA MAÑANA, ANTES DEL AMANECER, PERO LAS FAMILIAS YA ESTAN FUERA DE LOS SITIOS DE RIESGO, LA COMUNIDAD SE ORGANIZO DE MANERA QUE PUEDAN PASAR LA NOCHE. D.L.M. -842</t>
  </si>
  <si>
    <t>CDGRD INFORMA QUE EL DIA 13 DE DICIEMBRE DE 2013 COLAPSO UNA VIVIENDA EN PEREIRA POR DETERIORO  DEL MATERIAL,  DEFENSA CIVIL INFORMA A  3 FAMILIAS AFECTADAS SOLO DAÑOS MATERIALES. -843</t>
  </si>
  <si>
    <t>CMGRD DE MORALES-  CAUCA, INFORMA, SOBRE  UN VENDAVAL, ACOMPAÑADO DE GRANIZO,  QUE HASTA EL MOMENTO SE REPORTAN 50 VIVIENDAS, AFECTADAS, UNA ESCUELA, 80 FAMILIAS, AFECTADAS  EN CULTIVOS,  SITUACIÒN EN DESARROLLO. D.G.V. -841
CDGRD CAUCA, INFORMA, SOBRE  UN VENDAVAL, ACOMPAÑADO DE GRANIZO EL DIA 13 DE DICIEMBRE DE 2013,  QUE HASTA EL MOMENTO SE REPORTAN 100 FANILIAS AFECTADAS, 120 FAMILIAS EN CULTIVOS, 1 ESCUELA AFECTADA, ESTE INFORME ES PRELIMINAR PENDIENTE MAYOR INFORMACION. -843</t>
  </si>
  <si>
    <t>CDGRD DEL HUILA, INFORMA QUE AL MOMENTO, SE ESTÁ MANEJANDO LA SIGUIENTE EMERGENCIA:  MUNICIPIO DE NEIVA, CORREGIMIENTO DE FORTALECILLAS, EN LA FINCA BOLIVAR. DONDE SE PRESENTO UN DESLIZAMIENTO, DEJANDO ATRAPADOS A 4 PERSONAS,  Y UNA HERIDA QUE FUE TRASLADADA AL HOSPITAL UNIVERSITARIO DE NEIVA Y QUIEN  RESPONDE AL NOMBRE SANTIAGO ROJAS.  LOS BOMBEROS NEIVA, DEFENSA CIVIL DE NEIVA,  ESTÁN EN LA ZONA, HACIENDO LABORES DE BÚSQUEDA Y RESCATE, SITUACIÓN EN DESARROLLO. 19:54 HORAS CONFIRMAN LA RECUPERACIÓN DE DOS CUERPOS, PENDIENTE IDENTIFICACIÓN, SUSPENDEN LABORES POR SEGURIDAD HASTA EL DÍA DE MAÑANA, SITUACIÓN EN DESARROLLO. D.G.V. -841
CDGRD INFORMA EN EL MUNICIPIO DE NEIVA, CORREGIMIENTO DE FORTALECILLAS; YA SE HIZO LA RECUPERACIÓN  TOTAL DE 4 CUERPOS SIN VIDA LOS DOS ULTIMOS DE JHON LIZCANO Y NICOLAS PERDOMO TERMINANDO LAS LABORES DE BUSQUEDA Y RESCATE.  -843</t>
  </si>
  <si>
    <t>CDGRD DE RISARALDA, INFORMA, SE PRESENTÓ, VENDAVAL, AFECTANDO: 5 VIVIENDAS POR DESTECHAMIENTO Y  UN CENTRO EDUCATIVO, EN LAS VEREDAS: CHORRITOS Y CAIMALITO. -844</t>
  </si>
  <si>
    <t>CDGRD INFORMA  INCENDIO FORESTAL, REGISTRADO EN LA CARRERA 3 CON CALLE 10 DEL BARRIO SAN RAFAEL NORTE, DONDE REPORTA LOS BOMBEROS DE BUCARAMANGA QUE APROXIMADAMENTE UNA (1) HECTÁREA  FUERON DESBASTADAS POR LA CONFLAGRACIÓN QUEMÁNDOSE ARBUSTOS NATIVOS PASTOS Y MALEZA, NO SE PRESENTÓ PÉRDIDAS HUMANAS NI DAÑOS ESTRUCTURALES. -845</t>
  </si>
  <si>
    <t>CMGRD ARMENIA INFORMA  UN INCENDIO ESTRUCTURAL EN ELBARRIO SANTA RITA CON PERDIDA TOTAL DE LA VIVIENDA Y GENERANDO DOS HERIDOS LEVES. -845</t>
  </si>
  <si>
    <t>REPORTA DESLIZAMIENTO EN MINA DE ORO LOS MANRRIQUE SECTOR RURAL LOS ASIENTOS, EVENTO OCASIONADO POR RUPTURA DE TOLVA EMPLEADA PARA EXTRACCION DE MINERAL, DEJANDO 2 PERSONAS LESIONADAS REMITIDAS AL HOSPITAL LOCAL Y 4 PERSONAS DESAPARECIDAS, REPORTA GILBERTO MAZO CDGRD QUE SE ENCUENTRA EN EL SITIO, APOYAN 10 UNIDADES DE BOMBEROS Y DEFENSA CIVIL, APOYA COMUNIDAD, SITUACION EN DESARROLLO. W.G. -691
INFORMA QUE NO ESTA DEFINIDO EL NUMERO DE DESAPARECIDOS POR DESLIZAMIENTO EN MINA DEL MUNICIPIO DE BURITICA INDICA QUE SE ESTIMAN DE 3 A 5 PERSONAS, SITUACION EN DESARROLLO, D.L.M. -693
CDGRD INFORMA QUE CONTINUA EL PROCESO DE EVACUACIÓN DE VIVIENDAS QUE SE ADELANTA EN ZONA MINERA DEL MUNICIPIO DE BURITICÁ  VEREDA DE LOS SANTOS COMO PARTE DE LAS OPERACIONES INICIADAS DESDE LA DECLARACION DE CALAMIDAD PUBLICA EL  PASADO 18 DE OCTUBRE DE 2013. -845</t>
  </si>
  <si>
    <t>CDGRD REPORTA INCENDIO FORESTAL EN EL MUNICIPIO DE AQUITANIA EL CUAL INICIO HACIA LAS 18:00 HORAS EN LA VEREDA LA PENINSULA, CON AFECTACION EN 1 HECTAREA DE EUCALYPTUS, 3 PERSONAS ATRAPADAS EN UNA VIVIENDA FUERON RESCATADAS POR LOS BOMBEROS DE AQUITANIA, HACIA LAS 22:18 HORAS INGENIERO ALIRIO ROZO INFORMA QUE YA FUE CONTROLADO, SIN EMBARGO A LAS 23:23 HORAS NUEVAMENTE EL CDGRD SE COMUNICA E INFORMA QUE SE REACTIVO EL INCENDIO FORESTAL E INICIARAN LABORES HACIA LAS 05:00 HORAS EN LA ZONA, SE REALIZA ENLACE CON LA DIRECCION NACIONAL DE BOMBEROS E INFORMAN QUE EFECTIVAMENTE SE REINICIO EL INCENDIO PERO POR LAS CONDICIONES DEL TERRENO NO SE PUEDEN REALIZAR OPERACIONES EN LA ZONA YA QUE ES PRECIPICIO Y UNA PENDIENTE BASTANTE INCLINADA, AL MOMENTO EN LA ZONA SOLO HAY UNA VIVIENDA CERCANA A LA CUAL ESTAN LLAMANDO CONSTANTEMENTE PARA VERIFICAR EN DONDE VIENEN LAS LLAMAS, IGUAL POR LA MAÑANA CONTARIAN CON APOYO DE LA POLICIA Y BOMBEROS SOGAMOSO, D.L.M. -842
DIR NACIONAL DE BOMBEROS INFORMA QUE EL INCENDIO PRESENTADO EN EL MUNICIPIO DE  AQUITANIA BOYACA  FUE CONTROLADO QUEDANDO AFECTADAS 2 HECTAREAS DE PINO. -845</t>
  </si>
  <si>
    <t>D.C.C., INFORMO, SE PRESENTÓ ACCIDENTE DE TRANSITO, UNA MOTOCICLETA COLISIONO CONTRA UN VEHICULO ESTACIONADO, GENERANDO EL FALLECIMIENTO DEL CONDUCTOR DE LA MOTO Y DOS TRIPULANTES HERIODOS, EL PRIMERO LA FISACLIA EFCTUO EL LEVANTAMIENTO DEL CADAVER Y LOS SEGUNDOS FUERON REMITIDOS AL HOSPITAL DE BARRANCA. D.G.V. -846</t>
  </si>
  <si>
    <t>CDGRD DEL HUILA, INFORMA, INCENDIO ESTRUCTURAL,  MUNICIPIO DE GIGANTE, BARRIO EL CENTRO, AL PARECER UNA FERRETERIA, EL FUEGO SE EXTENDIO A OTRAS VIVIENDAS, ATIENDEN BOMBEROS: GIGANTE, SUAZA, TIMANA, GARZON, PAICOL, Y PITAL, CON 6 MAQUINAS Y 30 UNIDADES BOMBERILES, APROXIMADAMENTE, D.C.C DE GIGANTE, SITUACIÒN EN DESARROLLO.    22:46 HORAS,  SE REPORTO POR PARTE DE LA ESTACIÓN DE BOMBEROS GIGANTE QUE EL INCENDIO YA ESTA CONTROLADO, TRABAJAN EN LA EXTINCIÓN DEFINITIVA. EN EL SITIO EN RESUMEN A LA HORA TRABAJAN BOMBEROS GIGANTE, GARZON, HOBO PAICOL, GUADALUPE, CON UN TOTAL DE 31 UNIDADES BOMBERILES, 6 MAQUINAS DE BOMBEROS, 3 CARROTANQUES (1 DE GARZON Y 2 DE PETROLERAS) Y APOYO DE 20 VOLUNTARIOS DE LA DEFENSA CIVIL DE GIGANTE. NO HAY REPORTE DE HERIDOS NI CUANTIFICACION DE AFECTACION AL MOMENTO. D.G.V. -846</t>
  </si>
  <si>
    <t>13-1345</t>
  </si>
  <si>
    <t>13-1344</t>
  </si>
  <si>
    <t>APOYO DEL FNGRD MEDIANTE TRANSFERNCIA ECONOMICA AL MUNICIPIO CON EL OBJETO DE REALIZAR EL PROYECTO "MEJORAMIENTO Y RECTIFICACION DEL TRAZADO DEL CANAL DE AGUAS LLUVIAS, SEGUNDA ETEPA DEL CAÑO EL SLENCIO"</t>
  </si>
  <si>
    <t>13-1310</t>
  </si>
  <si>
    <t>INFORMA EL COORD DE CDGRD JAIRO  ROMERO, UN PUENTE VEHICULAR EN LA VOA DE SAN JOSE DE URE HACIA MONTERIA EN EL  KILOMETRO 10 COLAPSO  SOBRE LA QUEBRADA LA DORA. EN ESTE MOMENTO SE ENCUENTRAN 11.200 PERSONAS INCOMUNICADAS.  ESTO FUER POR LA FUERTES LLEVIAS QUE SE REGISTRAN EN LA ZONA. -847</t>
  </si>
  <si>
    <t>INFORMAN DEL CDGRD DE PUTUMAYO QUE UN MENORT DE EDAD , QUE SE ESTABA BAÑANADO EN LE RIO CAQUETA FALLECION POR AHOGAMIENTO , LOS BOMBEROS ESTA EN LA BUSQUEDAD DEL CUERPO. -847</t>
  </si>
  <si>
    <t>APOYO DEL FNGRD MEDIANTE TRANSFERNCIA ECONOMICA AL MUNICIPIO CON EL OBJETO DE REALIZAR LA CONSTRUCCION DE UN BOX COULVERT EN EL BARRIO GAMBOA AFECTADO POR LA OLA INVERNAL EN EL KM 0+000 AL KM 0+80</t>
  </si>
  <si>
    <t xml:space="preserve">EL, FUERTE AGUACERO QUE SE REGISTRO EN HORAS DE LA MAÑANA Y PARTE DE LA TARDE, ORIGINÓ UN DESLIZAMIENTO DE TIERRA EN LA VIA QUE CONDUCE DE TRUJILLO A LA VEREDA LA MELE Y EN LOS SECTORES DE ALTOMIRA Y EL SONADOR, ESTAS VIAS, QUEDARON TAPONADAS. VARIAS VIVIENDAS, RESULTARON AFECTADAS, SE DESCONOCE EL NÚMERO DE FAMILIAS AFECTADAS, MAÑANA EN HORAS DE LA MAÑANA, SE CONTINURÁ CON EL EDAN, INFORMÓ EL COORDINADOR DE LA GESTIÓN DEL RIESGO DE TRUJILLO VALLE. -831
</t>
  </si>
  <si>
    <t>CDGRD DEL VALLE DEL CAUCA INFORMA, SE PRESENTAN INUNDACIONES, 04-10-2013,  SECTOR: LA DEVORA, AFECTACIÓN EN VÍA PRINCIPAL, PENDIENTE MÁS INFORMACIÓN. -656
INCOMUNICADAS 450 FAMILIAS SECTORES LA DEVORA, LA BETULIA, MARACAIBO, PUENTE BLANCO Y LA SONORA.</t>
  </si>
  <si>
    <t>CDGRD DE CALDAS, INFORMA, SE PRESENTÓ DESLIZAMIENTO EN LA VÍA, ARANZAZU- SALAMINA, AFECTANDO LA VÍA. D.G.V. -848</t>
  </si>
  <si>
    <t>SE REGISTRA AL PARECER NAUFRAGIO DE UNA EMBARCACIÓN QUE SALÍA DE TURBO (ANTIOQUIA) HACÍA CAPURGANÁ, LA ARMADA NACIONAL CONTINÚA CON LA BÚSQUEDA DE 14 PERSONAS EN EL GOLFO DE URABÁ LAS AUTORIDADES NAVALES AVANZAN EN LA BÚSQUEDA DE LAS PERSONAS QUE CAYERON AL MAR, ES UN HECHO DE QUE HAY UNA PERSONA QUE MANIFIESTA QUE ES SOBREVIVIENTE SE IDENTIFICO COMO JORGE ELIECER CHITIVA Y QUE CON EL ESTABAN 14 VIAJEROS”, ASEGURÓ EL CAPITÁN ALEX MELO GÓMEZ, COMANDANTE DE LA ESTACIÓN DE GUARDACOSTAS, “VAMOS A CONTINUAR CON LA BÚSQUEDA HASTA TENER LA CERTEZA DE LO QUE SUCEDIÓ. -849</t>
  </si>
  <si>
    <t>SE REGISTRO ACCIDENTE DE TRANSITO VIA BOGOTA – VILLAVICENCIO EN EL KILOMETRO 16+700, INVOLUCRADO UN TRACTOCAMION, DEJA COMO RESULTADO 2 PERSONAS SIN SIGNOS VITALES. -849</t>
  </si>
  <si>
    <t>13-1321</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</si>
</sst>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43" formatCode="_(* #,##0.00_);_(* \(#,##0.00\);_(* &quot;-&quot;??_);_(@_)"/>
    <numFmt numFmtId="164" formatCode="_ * #,##0.00_ ;_ * \-#,##0.00_ ;_ * &quot;-&quot;??_ ;_ @_ "/>
    <numFmt numFmtId="165" formatCode="dd\-mmm\-\y\y"/>
    <numFmt numFmtId="166" formatCode="&quot;$&quot;#,##0.00"/>
    <numFmt numFmtId="167" formatCode="#,##0.0"/>
    <numFmt numFmtId="168" formatCode="&quot;$&quot;\ #,##0"/>
    <numFmt numFmtId="169" formatCode="&quot;$&quot;\ #,##0.0"/>
    <numFmt numFmtId="170" formatCode="_ [$€-2]\ * #,##0.00_ ;_ [$€-2]\ * \-#,##0.00_ ;_ [$€-2]\ * &quot;-&quot;??_ "/>
    <numFmt numFmtId="171" formatCode="0.0"/>
    <numFmt numFmtId="172" formatCode="_(* #,##0_);_(* \(#,##0\);_(* &quot;-&quot;??_);_(@_)"/>
    <numFmt numFmtId="173" formatCode="&quot;$&quot;\ #,##0.00"/>
  </numFmts>
  <fonts count="101" x14ac:knownFonts="1">
    <font>
      <sz val="10"/>
      <name val="Arial"/>
    </font>
    <font>
      <sz val="11"/>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8"/>
      <name val="Arial"/>
      <family val="2"/>
    </font>
    <font>
      <b/>
      <sz val="12"/>
      <name val="Arial"/>
      <family val="2"/>
    </font>
    <font>
      <b/>
      <sz val="8"/>
      <name val="Arial"/>
      <family val="2"/>
    </font>
    <font>
      <b/>
      <sz val="9"/>
      <name val="Arial"/>
      <family val="2"/>
    </font>
    <font>
      <b/>
      <i/>
      <sz val="9"/>
      <name val="Arial"/>
      <family val="2"/>
    </font>
    <font>
      <sz val="9"/>
      <name val="Arial"/>
      <family val="2"/>
    </font>
    <font>
      <sz val="10"/>
      <name val="Arial"/>
      <family val="2"/>
    </font>
    <font>
      <i/>
      <sz val="8"/>
      <name val="Arial"/>
      <family val="2"/>
    </font>
    <font>
      <b/>
      <sz val="11"/>
      <color indexed="56"/>
      <name val="Calibri"/>
      <family val="2"/>
    </font>
    <font>
      <b/>
      <sz val="18"/>
      <color indexed="56"/>
      <name val="Cambria"/>
      <family val="2"/>
    </font>
    <font>
      <b/>
      <sz val="15"/>
      <color indexed="56"/>
      <name val="Calibri"/>
      <family val="2"/>
    </font>
    <font>
      <sz val="8"/>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sz val="11"/>
      <color indexed="62"/>
      <name val="Calibri"/>
      <family val="2"/>
    </font>
    <font>
      <sz val="11"/>
      <color indexed="20"/>
      <name val="Calibri"/>
      <family val="2"/>
    </font>
    <font>
      <b/>
      <sz val="11"/>
      <color indexed="63"/>
      <name val="Calibri"/>
      <family val="2"/>
    </font>
    <font>
      <sz val="11"/>
      <color indexed="10"/>
      <name val="Calibri"/>
      <family val="2"/>
    </font>
    <font>
      <i/>
      <sz val="11"/>
      <color indexed="23"/>
      <name val="Calibri"/>
      <family val="2"/>
    </font>
    <font>
      <b/>
      <sz val="13"/>
      <color indexed="56"/>
      <name val="Calibri"/>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sz val="11"/>
      <color theme="1"/>
      <name val="Calibri"/>
      <family val="2"/>
      <scheme val="minor"/>
    </font>
    <font>
      <sz val="9"/>
      <color rgb="FFFF0000"/>
      <name val="Arial"/>
      <family val="2"/>
    </font>
    <font>
      <u/>
      <sz val="9"/>
      <name val="Arial"/>
      <family val="2"/>
    </font>
    <font>
      <sz val="9"/>
      <color indexed="8"/>
      <name val="Arial"/>
      <family val="2"/>
    </font>
    <font>
      <sz val="9"/>
      <color theme="5" tint="-0.249977111117893"/>
      <name val="Arial"/>
      <family val="2"/>
    </font>
    <font>
      <sz val="8"/>
      <color theme="1"/>
      <name val="Arial"/>
      <family val="2"/>
    </font>
    <font>
      <sz val="9"/>
      <name val="Calibri"/>
      <family val="2"/>
    </font>
    <font>
      <sz val="9"/>
      <color theme="4" tint="-0.249977111117893"/>
      <name val="Arial"/>
      <family val="2"/>
    </font>
    <font>
      <sz val="9"/>
      <color theme="9" tint="-0.249977111117893"/>
      <name val="Arial"/>
      <family val="2"/>
    </font>
    <font>
      <b/>
      <sz val="9"/>
      <color indexed="63"/>
      <name val="Arial"/>
      <family val="2"/>
    </font>
    <font>
      <sz val="9"/>
      <color indexed="63"/>
      <name val="Arial"/>
      <family val="2"/>
    </font>
    <font>
      <u/>
      <sz val="10"/>
      <name val="Arial"/>
      <family val="2"/>
    </font>
    <font>
      <sz val="11"/>
      <name val="Arial"/>
      <family val="2"/>
    </font>
    <font>
      <sz val="9"/>
      <color rgb="FF00B050"/>
      <name val="Arial"/>
      <family val="2"/>
    </font>
    <font>
      <sz val="9.5"/>
      <color indexed="63"/>
      <name val="Arial"/>
      <family val="2"/>
    </font>
    <font>
      <b/>
      <sz val="9"/>
      <color indexed="8"/>
      <name val="Arial"/>
      <family val="2"/>
    </font>
    <font>
      <sz val="9"/>
      <color theme="3" tint="0.39997558519241921"/>
      <name val="Arial"/>
      <family val="2"/>
    </font>
    <font>
      <b/>
      <sz val="11"/>
      <name val="Calibri"/>
      <family val="2"/>
    </font>
    <font>
      <sz val="11"/>
      <color indexed="63"/>
      <name val="Georgia"/>
      <family val="1"/>
    </font>
    <font>
      <b/>
      <sz val="9"/>
      <color rgb="FFFF0000"/>
      <name val="Arial"/>
      <family val="2"/>
    </font>
    <font>
      <sz val="9"/>
      <name val="Times New Roman"/>
      <family val="1"/>
    </font>
    <font>
      <sz val="9"/>
      <color theme="8" tint="-0.249977111117893"/>
      <name val="Arial"/>
      <family val="2"/>
    </font>
    <font>
      <sz val="9"/>
      <color theme="6" tint="-0.249977111117893"/>
      <name val="Arial"/>
      <family val="2"/>
    </font>
    <font>
      <sz val="9"/>
      <color theme="7" tint="-0.249977111117893"/>
      <name val="Arial"/>
      <family val="2"/>
    </font>
    <font>
      <sz val="9"/>
      <color indexed="28"/>
      <name val="Arial"/>
      <family val="2"/>
    </font>
    <font>
      <sz val="10"/>
      <color rgb="FFFF0000"/>
      <name val="Arial"/>
      <family val="2"/>
    </font>
    <font>
      <sz val="9"/>
      <color indexed="19"/>
      <name val="Arial"/>
      <family val="2"/>
    </font>
    <font>
      <sz val="10"/>
      <name val="Calibri"/>
      <family val="2"/>
    </font>
    <font>
      <sz val="9"/>
      <color rgb="FF500050"/>
      <name val="Arial"/>
      <family val="2"/>
    </font>
    <font>
      <sz val="9"/>
      <color rgb="FF222222"/>
      <name val="Arial"/>
      <family val="2"/>
    </font>
    <font>
      <sz val="7"/>
      <color indexed="63"/>
      <name val="Arial"/>
      <family val="2"/>
    </font>
    <font>
      <sz val="9"/>
      <color rgb="FF333333"/>
      <name val="Arial"/>
      <family val="2"/>
    </font>
    <font>
      <sz val="9"/>
      <color rgb="FF0070C0"/>
      <name val="Arial"/>
      <family val="2"/>
    </font>
    <font>
      <sz val="9"/>
      <color rgb="FF000000"/>
      <name val="Arial"/>
      <family val="2"/>
    </font>
    <font>
      <sz val="9"/>
      <color theme="1"/>
      <name val="Arial"/>
      <family val="2"/>
    </font>
    <font>
      <sz val="9"/>
      <color theme="9" tint="-0.499984740745262"/>
      <name val="Arial"/>
      <family val="2"/>
    </font>
    <font>
      <sz val="7"/>
      <color indexed="8"/>
      <name val="Arial"/>
      <family val="2"/>
    </font>
    <font>
      <sz val="8"/>
      <color rgb="FFFF0000"/>
      <name val="Arial"/>
      <family val="2"/>
    </font>
    <font>
      <b/>
      <sz val="10"/>
      <color indexed="8"/>
      <name val="Arial"/>
      <family val="2"/>
    </font>
    <font>
      <sz val="9"/>
      <color rgb="FF313131"/>
      <name val="Arial"/>
      <family val="2"/>
    </font>
    <font>
      <sz val="9"/>
      <color indexed="10"/>
      <name val="Arial"/>
      <family val="2"/>
    </font>
  </fonts>
  <fills count="3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9"/>
        <bgColor indexed="64"/>
      </patternFill>
    </fill>
    <fill>
      <patternFill patternType="solid">
        <fgColor indexed="26"/>
      </patternFill>
    </fill>
    <fill>
      <patternFill patternType="solid">
        <fgColor indexed="10"/>
        <bgColor indexed="64"/>
      </patternFill>
    </fill>
    <fill>
      <patternFill patternType="gray0625">
        <bgColor indexed="34"/>
      </patternFill>
    </fill>
    <fill>
      <patternFill patternType="gray0625">
        <bgColor indexed="15"/>
      </patternFill>
    </fill>
    <fill>
      <patternFill patternType="gray0625">
        <bgColor indexed="11"/>
      </patternFill>
    </fill>
    <fill>
      <patternFill patternType="solid">
        <fgColor indexed="53"/>
        <bgColor indexed="64"/>
      </patternFill>
    </fill>
    <fill>
      <patternFill patternType="solid">
        <fgColor indexed="46"/>
        <bgColor indexed="64"/>
      </patternFill>
    </fill>
    <fill>
      <patternFill patternType="solid">
        <fgColor indexed="43"/>
        <bgColor indexed="64"/>
      </patternFill>
    </fill>
    <fill>
      <patternFill patternType="solid">
        <fgColor indexed="11"/>
        <bgColor indexed="64"/>
      </patternFill>
    </fill>
    <fill>
      <patternFill patternType="solid">
        <fgColor indexed="15"/>
        <bgColor indexed="64"/>
      </patternFill>
    </fill>
    <fill>
      <patternFill patternType="solid">
        <fgColor indexed="13"/>
        <bgColor indexed="64"/>
      </patternFill>
    </fill>
    <fill>
      <patternFill patternType="solid">
        <fgColor theme="0"/>
        <bgColor indexed="64"/>
      </patternFill>
    </fill>
    <fill>
      <patternFill patternType="solid">
        <fgColor theme="8" tint="0.59999389629810485"/>
        <bgColor indexed="64"/>
      </patternFill>
    </fill>
    <fill>
      <patternFill patternType="solid">
        <fgColor theme="9" tint="-0.249977111117893"/>
        <bgColor indexed="64"/>
      </patternFill>
    </fill>
  </fills>
  <borders count="25">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685">
    <xf numFmtId="0" fontId="0" fillId="0" borderId="0"/>
    <xf numFmtId="0" fontId="30" fillId="2" borderId="0" applyNumberFormat="0" applyBorder="0" applyAlignment="0" applyProtection="0"/>
    <xf numFmtId="0" fontId="30" fillId="3" borderId="0" applyNumberFormat="0" applyBorder="0" applyAlignment="0" applyProtection="0"/>
    <xf numFmtId="0" fontId="30" fillId="4" borderId="0" applyNumberFormat="0" applyBorder="0" applyAlignment="0" applyProtection="0"/>
    <xf numFmtId="0" fontId="30" fillId="5" borderId="0" applyNumberFormat="0" applyBorder="0" applyAlignment="0" applyProtection="0"/>
    <xf numFmtId="0" fontId="30" fillId="6" borderId="0" applyNumberFormat="0" applyBorder="0" applyAlignment="0" applyProtection="0"/>
    <xf numFmtId="0" fontId="30" fillId="7" borderId="0" applyNumberFormat="0" applyBorder="0" applyAlignment="0" applyProtection="0"/>
    <xf numFmtId="0" fontId="30" fillId="8" borderId="0" applyNumberFormat="0" applyBorder="0" applyAlignment="0" applyProtection="0"/>
    <xf numFmtId="0" fontId="30" fillId="9" borderId="0" applyNumberFormat="0" applyBorder="0" applyAlignment="0" applyProtection="0"/>
    <xf numFmtId="0" fontId="30" fillId="10" borderId="0" applyNumberFormat="0" applyBorder="0" applyAlignment="0" applyProtection="0"/>
    <xf numFmtId="0" fontId="30" fillId="5" borderId="0" applyNumberFormat="0" applyBorder="0" applyAlignment="0" applyProtection="0"/>
    <xf numFmtId="0" fontId="30" fillId="8" borderId="0" applyNumberFormat="0" applyBorder="0" applyAlignment="0" applyProtection="0"/>
    <xf numFmtId="0" fontId="30" fillId="11" borderId="0" applyNumberFormat="0" applyBorder="0" applyAlignment="0" applyProtection="0"/>
    <xf numFmtId="0" fontId="31" fillId="12" borderId="0" applyNumberFormat="0" applyBorder="0" applyAlignment="0" applyProtection="0"/>
    <xf numFmtId="0" fontId="31" fillId="9" borderId="0" applyNumberFormat="0" applyBorder="0" applyAlignment="0" applyProtection="0"/>
    <xf numFmtId="0" fontId="31" fillId="10" borderId="0" applyNumberFormat="0" applyBorder="0" applyAlignment="0" applyProtection="0"/>
    <xf numFmtId="0" fontId="31" fillId="13" borderId="0" applyNumberFormat="0" applyBorder="0" applyAlignment="0" applyProtection="0"/>
    <xf numFmtId="0" fontId="31" fillId="14" borderId="0" applyNumberFormat="0" applyBorder="0" applyAlignment="0" applyProtection="0"/>
    <xf numFmtId="0" fontId="31" fillId="15" borderId="0" applyNumberFormat="0" applyBorder="0" applyAlignment="0" applyProtection="0"/>
    <xf numFmtId="0" fontId="31" fillId="16" borderId="0" applyNumberFormat="0" applyBorder="0" applyAlignment="0" applyProtection="0"/>
    <xf numFmtId="0" fontId="31" fillId="17" borderId="0" applyNumberFormat="0" applyBorder="0" applyAlignment="0" applyProtection="0"/>
    <xf numFmtId="0" fontId="31" fillId="18" borderId="0" applyNumberFormat="0" applyBorder="0" applyAlignment="0" applyProtection="0"/>
    <xf numFmtId="0" fontId="31" fillId="13" borderId="0" applyNumberFormat="0" applyBorder="0" applyAlignment="0" applyProtection="0"/>
    <xf numFmtId="0" fontId="31" fillId="14" borderId="0" applyNumberFormat="0" applyBorder="0" applyAlignment="0" applyProtection="0"/>
    <xf numFmtId="0" fontId="31" fillId="19" borderId="0" applyNumberFormat="0" applyBorder="0" applyAlignment="0" applyProtection="0"/>
    <xf numFmtId="0" fontId="37" fillId="3" borderId="0" applyNumberFormat="0" applyBorder="0" applyAlignment="0" applyProtection="0"/>
    <xf numFmtId="0" fontId="33" fillId="20" borderId="1" applyNumberFormat="0" applyAlignment="0" applyProtection="0"/>
    <xf numFmtId="0" fontId="34" fillId="21" borderId="2" applyNumberFormat="0" applyAlignment="0" applyProtection="0"/>
    <xf numFmtId="170" fontId="7"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22"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23"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25" fillId="0" borderId="0" applyFont="0" applyFill="0" applyBorder="0" applyAlignment="0" applyProtection="0"/>
    <xf numFmtId="170" fontId="15" fillId="0" borderId="0" applyFont="0" applyFill="0" applyBorder="0" applyAlignment="0" applyProtection="0"/>
    <xf numFmtId="170" fontId="27" fillId="0" borderId="0" applyFont="0" applyFill="0" applyBorder="0" applyAlignment="0" applyProtection="0"/>
    <xf numFmtId="170" fontId="15" fillId="0" borderId="0" applyFont="0" applyFill="0" applyBorder="0" applyAlignment="0" applyProtection="0"/>
    <xf numFmtId="170" fontId="28" fillId="0" borderId="0" applyFont="0" applyFill="0" applyBorder="0" applyAlignment="0" applyProtection="0"/>
    <xf numFmtId="170" fontId="15" fillId="0" borderId="0" applyFont="0" applyFill="0" applyBorder="0" applyAlignment="0" applyProtection="0"/>
    <xf numFmtId="170" fontId="44" fillId="0" borderId="0" applyFont="0" applyFill="0" applyBorder="0" applyAlignment="0" applyProtection="0"/>
    <xf numFmtId="170" fontId="15" fillId="0" borderId="0" applyFont="0" applyFill="0" applyBorder="0" applyAlignment="0" applyProtection="0"/>
    <xf numFmtId="170" fontId="45" fillId="0" borderId="0" applyFont="0" applyFill="0" applyBorder="0" applyAlignment="0" applyProtection="0"/>
    <xf numFmtId="170" fontId="15" fillId="0" borderId="0" applyFont="0" applyFill="0" applyBorder="0" applyAlignment="0" applyProtection="0"/>
    <xf numFmtId="170" fontId="46" fillId="0" borderId="0" applyFont="0" applyFill="0" applyBorder="0" applyAlignment="0" applyProtection="0"/>
    <xf numFmtId="170" fontId="15" fillId="0" borderId="0" applyFont="0" applyFill="0" applyBorder="0" applyAlignment="0" applyProtection="0"/>
    <xf numFmtId="170" fontId="47"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24"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21"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2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27" fillId="0" borderId="0" applyFont="0" applyFill="0" applyBorder="0" applyAlignment="0" applyProtection="0"/>
    <xf numFmtId="170" fontId="15" fillId="0" borderId="0" applyFont="0" applyFill="0" applyBorder="0" applyAlignment="0" applyProtection="0"/>
    <xf numFmtId="170" fontId="28" fillId="0" borderId="0" applyFont="0" applyFill="0" applyBorder="0" applyAlignment="0" applyProtection="0"/>
    <xf numFmtId="170" fontId="15" fillId="0" borderId="0" applyFont="0" applyFill="0" applyBorder="0" applyAlignment="0" applyProtection="0"/>
    <xf numFmtId="170" fontId="44" fillId="0" borderId="0" applyFont="0" applyFill="0" applyBorder="0" applyAlignment="0" applyProtection="0"/>
    <xf numFmtId="170" fontId="15" fillId="0" borderId="0" applyFont="0" applyFill="0" applyBorder="0" applyAlignment="0" applyProtection="0"/>
    <xf numFmtId="170" fontId="45" fillId="0" borderId="0" applyFont="0" applyFill="0" applyBorder="0" applyAlignment="0" applyProtection="0"/>
    <xf numFmtId="170" fontId="15" fillId="0" borderId="0" applyFont="0" applyFill="0" applyBorder="0" applyAlignment="0" applyProtection="0"/>
    <xf numFmtId="170" fontId="46" fillId="0" borderId="0" applyFont="0" applyFill="0" applyBorder="0" applyAlignment="0" applyProtection="0"/>
    <xf numFmtId="170" fontId="15" fillId="0" borderId="0" applyFont="0" applyFill="0" applyBorder="0" applyAlignment="0" applyProtection="0"/>
    <xf numFmtId="170" fontId="47"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22"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2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22"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2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2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26" fillId="0" borderId="0" applyFont="0" applyFill="0" applyBorder="0" applyAlignment="0" applyProtection="0"/>
    <xf numFmtId="170" fontId="15" fillId="0" borderId="0" applyFont="0" applyFill="0" applyBorder="0" applyAlignment="0" applyProtection="0"/>
    <xf numFmtId="170" fontId="27" fillId="0" borderId="0" applyFont="0" applyFill="0" applyBorder="0" applyAlignment="0" applyProtection="0"/>
    <xf numFmtId="170" fontId="15" fillId="0" borderId="0" applyFont="0" applyFill="0" applyBorder="0" applyAlignment="0" applyProtection="0"/>
    <xf numFmtId="170" fontId="28" fillId="0" borderId="0" applyFont="0" applyFill="0" applyBorder="0" applyAlignment="0" applyProtection="0"/>
    <xf numFmtId="170" fontId="15" fillId="0" borderId="0" applyFont="0" applyFill="0" applyBorder="0" applyAlignment="0" applyProtection="0"/>
    <xf numFmtId="170" fontId="29" fillId="0" borderId="0" applyFont="0" applyFill="0" applyBorder="0" applyAlignment="0" applyProtection="0"/>
    <xf numFmtId="170" fontId="15" fillId="0" borderId="0" applyFont="0" applyFill="0" applyBorder="0" applyAlignment="0" applyProtection="0"/>
    <xf numFmtId="170" fontId="42" fillId="0" borderId="0" applyFont="0" applyFill="0" applyBorder="0" applyAlignment="0" applyProtection="0"/>
    <xf numFmtId="170" fontId="15" fillId="0" borderId="0" applyFont="0" applyFill="0" applyBorder="0" applyAlignment="0" applyProtection="0"/>
    <xf numFmtId="170" fontId="43"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44" fillId="0" borderId="0" applyFont="0" applyFill="0" applyBorder="0" applyAlignment="0" applyProtection="0"/>
    <xf numFmtId="170" fontId="15" fillId="0" borderId="0" applyFont="0" applyFill="0" applyBorder="0" applyAlignment="0" applyProtection="0"/>
    <xf numFmtId="170" fontId="45" fillId="0" borderId="0" applyFont="0" applyFill="0" applyBorder="0" applyAlignment="0" applyProtection="0"/>
    <xf numFmtId="170" fontId="15" fillId="0" borderId="0" applyFont="0" applyFill="0" applyBorder="0" applyAlignment="0" applyProtection="0"/>
    <xf numFmtId="170" fontId="46" fillId="0" borderId="0" applyFont="0" applyFill="0" applyBorder="0" applyAlignment="0" applyProtection="0"/>
    <xf numFmtId="170" fontId="15" fillId="0" borderId="0" applyFont="0" applyFill="0" applyBorder="0" applyAlignment="0" applyProtection="0"/>
    <xf numFmtId="170" fontId="47"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48" fillId="0" borderId="0" applyFont="0" applyFill="0" applyBorder="0" applyAlignment="0" applyProtection="0"/>
    <xf numFmtId="170" fontId="15" fillId="0" borderId="0" applyFont="0" applyFill="0" applyBorder="0" applyAlignment="0" applyProtection="0"/>
    <xf numFmtId="170" fontId="49" fillId="0" borderId="0" applyFont="0" applyFill="0" applyBorder="0" applyAlignment="0" applyProtection="0"/>
    <xf numFmtId="170" fontId="15" fillId="0" borderId="0" applyFont="0" applyFill="0" applyBorder="0" applyAlignment="0" applyProtection="0"/>
    <xf numFmtId="170" fontId="50" fillId="0" borderId="0" applyFont="0" applyFill="0" applyBorder="0" applyAlignment="0" applyProtection="0"/>
    <xf numFmtId="170" fontId="15" fillId="0" borderId="0" applyFont="0" applyFill="0" applyBorder="0" applyAlignment="0" applyProtection="0"/>
    <xf numFmtId="170" fontId="51" fillId="0" borderId="0" applyFont="0" applyFill="0" applyBorder="0" applyAlignment="0" applyProtection="0"/>
    <xf numFmtId="170" fontId="15" fillId="0" borderId="0" applyFont="0" applyFill="0" applyBorder="0" applyAlignment="0" applyProtection="0"/>
    <xf numFmtId="170" fontId="15" fillId="0" borderId="0" applyFont="0" applyFill="0" applyBorder="0" applyAlignment="0" applyProtection="0"/>
    <xf numFmtId="170" fontId="52" fillId="0" borderId="0" applyFont="0" applyFill="0" applyBorder="0" applyAlignment="0" applyProtection="0"/>
    <xf numFmtId="170" fontId="15" fillId="0" borderId="0" applyFont="0" applyFill="0" applyBorder="0" applyAlignment="0" applyProtection="0"/>
    <xf numFmtId="170" fontId="53" fillId="0" borderId="0" applyFont="0" applyFill="0" applyBorder="0" applyAlignment="0" applyProtection="0"/>
    <xf numFmtId="170" fontId="15" fillId="0" borderId="0" applyFont="0" applyFill="0" applyBorder="0" applyAlignment="0" applyProtection="0"/>
    <xf numFmtId="170" fontId="55" fillId="0" borderId="0" applyFont="0" applyFill="0" applyBorder="0" applyAlignment="0" applyProtection="0"/>
    <xf numFmtId="170" fontId="15" fillId="0" borderId="0" applyFont="0" applyFill="0" applyBorder="0" applyAlignment="0" applyProtection="0"/>
    <xf numFmtId="170" fontId="56" fillId="0" borderId="0" applyFont="0" applyFill="0" applyBorder="0" applyAlignment="0" applyProtection="0"/>
    <xf numFmtId="170" fontId="15" fillId="0" borderId="0" applyFont="0" applyFill="0" applyBorder="0" applyAlignment="0" applyProtection="0"/>
    <xf numFmtId="170" fontId="57" fillId="0" borderId="0" applyFont="0" applyFill="0" applyBorder="0" applyAlignment="0" applyProtection="0"/>
    <xf numFmtId="170" fontId="58" fillId="0" borderId="0" applyFont="0" applyFill="0" applyBorder="0" applyAlignment="0" applyProtection="0"/>
    <xf numFmtId="170" fontId="59" fillId="0" borderId="0" applyFont="0" applyFill="0" applyBorder="0" applyAlignment="0" applyProtection="0"/>
    <xf numFmtId="0" fontId="40" fillId="0" borderId="0" applyNumberFormat="0" applyFill="0" applyBorder="0" applyAlignment="0" applyProtection="0"/>
    <xf numFmtId="0" fontId="32" fillId="4" borderId="0" applyNumberFormat="0" applyBorder="0" applyAlignment="0" applyProtection="0"/>
    <xf numFmtId="0" fontId="19" fillId="0" borderId="4" applyNumberFormat="0" applyFill="0" applyAlignment="0" applyProtection="0"/>
    <xf numFmtId="0" fontId="41" fillId="0" borderId="5" applyNumberFormat="0" applyFill="0" applyAlignment="0" applyProtection="0"/>
    <xf numFmtId="0" fontId="17" fillId="0" borderId="6" applyNumberFormat="0" applyFill="0" applyAlignment="0" applyProtection="0"/>
    <xf numFmtId="0" fontId="17" fillId="0" borderId="0" applyNumberFormat="0" applyFill="0" applyBorder="0" applyAlignment="0" applyProtection="0"/>
    <xf numFmtId="0" fontId="36" fillId="7" borderId="1" applyNumberFormat="0" applyAlignment="0" applyProtection="0"/>
    <xf numFmtId="0" fontId="35" fillId="0" borderId="3" applyNumberFormat="0" applyFill="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25" fillId="0" borderId="0" applyFont="0" applyFill="0" applyBorder="0" applyAlignment="0" applyProtection="0"/>
    <xf numFmtId="43" fontId="15" fillId="0" borderId="0" applyFont="0" applyFill="0" applyBorder="0" applyAlignment="0" applyProtection="0"/>
    <xf numFmtId="43" fontId="27" fillId="0" borderId="0" applyFont="0" applyFill="0" applyBorder="0" applyAlignment="0" applyProtection="0"/>
    <xf numFmtId="43" fontId="15" fillId="0" borderId="0" applyFont="0" applyFill="0" applyBorder="0" applyAlignment="0" applyProtection="0"/>
    <xf numFmtId="43" fontId="28" fillId="0" borderId="0" applyFont="0" applyFill="0" applyBorder="0" applyAlignment="0" applyProtection="0"/>
    <xf numFmtId="43" fontId="15" fillId="0" borderId="0" applyFont="0" applyFill="0" applyBorder="0" applyAlignment="0" applyProtection="0"/>
    <xf numFmtId="43" fontId="44" fillId="0" borderId="0" applyFont="0" applyFill="0" applyBorder="0" applyAlignment="0" applyProtection="0"/>
    <xf numFmtId="43" fontId="15" fillId="0" borderId="0" applyFont="0" applyFill="0" applyBorder="0" applyAlignment="0" applyProtection="0"/>
    <xf numFmtId="43" fontId="45" fillId="0" borderId="0" applyFont="0" applyFill="0" applyBorder="0" applyAlignment="0" applyProtection="0"/>
    <xf numFmtId="43" fontId="15" fillId="0" borderId="0" applyFont="0" applyFill="0" applyBorder="0" applyAlignment="0" applyProtection="0"/>
    <xf numFmtId="43" fontId="46" fillId="0" borderId="0" applyFont="0" applyFill="0" applyBorder="0" applyAlignment="0" applyProtection="0"/>
    <xf numFmtId="43" fontId="15" fillId="0" borderId="0" applyFont="0" applyFill="0" applyBorder="0" applyAlignment="0" applyProtection="0"/>
    <xf numFmtId="43" fontId="47" fillId="0" borderId="0" applyFont="0" applyFill="0" applyBorder="0" applyAlignment="0" applyProtection="0"/>
    <xf numFmtId="43" fontId="15" fillId="0" borderId="0" applyFont="0" applyFill="0" applyBorder="0" applyAlignment="0" applyProtection="0"/>
    <xf numFmtId="164" fontId="15" fillId="0" borderId="0" applyFont="0" applyFill="0" applyBorder="0" applyAlignment="0" applyProtection="0"/>
    <xf numFmtId="0" fontId="15" fillId="0" borderId="0"/>
    <xf numFmtId="0" fontId="15" fillId="0" borderId="0"/>
    <xf numFmtId="0" fontId="30" fillId="0" borderId="0"/>
    <xf numFmtId="0" fontId="30" fillId="0" borderId="0"/>
    <xf numFmtId="0" fontId="15" fillId="0" borderId="0"/>
    <xf numFmtId="0" fontId="30" fillId="0" borderId="0"/>
    <xf numFmtId="0" fontId="15" fillId="0" borderId="0"/>
    <xf numFmtId="0" fontId="30" fillId="0" borderId="0"/>
    <xf numFmtId="0" fontId="15" fillId="0" borderId="0"/>
    <xf numFmtId="0" fontId="30"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0"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60" fillId="0" borderId="0"/>
    <xf numFmtId="0" fontId="9" fillId="0" borderId="0"/>
    <xf numFmtId="0" fontId="15" fillId="0" borderId="0"/>
    <xf numFmtId="0" fontId="15" fillId="0" borderId="0"/>
    <xf numFmtId="0" fontId="15" fillId="0" borderId="0"/>
    <xf numFmtId="0" fontId="15" fillId="0" borderId="0"/>
    <xf numFmtId="0" fontId="15" fillId="0" borderId="0"/>
    <xf numFmtId="0" fontId="15" fillId="0" borderId="0"/>
    <xf numFmtId="0" fontId="9" fillId="0" borderId="0"/>
    <xf numFmtId="0" fontId="9"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9"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0" fillId="0" borderId="0"/>
    <xf numFmtId="0" fontId="30" fillId="0" borderId="0"/>
    <xf numFmtId="0" fontId="15" fillId="0" borderId="0"/>
    <xf numFmtId="0" fontId="15" fillId="0" borderId="0"/>
    <xf numFmtId="0" fontId="15" fillId="0" borderId="0"/>
    <xf numFmtId="0" fontId="15" fillId="0" borderId="0"/>
    <xf numFmtId="0" fontId="15" fillId="0" borderId="0"/>
    <xf numFmtId="0" fontId="15" fillId="0" borderId="0"/>
    <xf numFmtId="0" fontId="54" fillId="0" borderId="0">
      <alignment wrapText="1"/>
    </xf>
    <xf numFmtId="0" fontId="15" fillId="0" borderId="0">
      <alignment wrapText="1"/>
    </xf>
    <xf numFmtId="0" fontId="15" fillId="0" borderId="0">
      <alignment wrapText="1"/>
    </xf>
    <xf numFmtId="0" fontId="30" fillId="0" borderId="0"/>
    <xf numFmtId="0" fontId="30" fillId="0" borderId="0"/>
    <xf numFmtId="0" fontId="15" fillId="0" borderId="0"/>
    <xf numFmtId="0" fontId="15" fillId="0" borderId="0"/>
    <xf numFmtId="0" fontId="30" fillId="23" borderId="7" applyNumberFormat="0" applyFont="0" applyAlignment="0" applyProtection="0"/>
    <xf numFmtId="0" fontId="38" fillId="20" borderId="8" applyNumberFormat="0" applyAlignment="0" applyProtection="0"/>
    <xf numFmtId="9" fontId="15" fillId="0" borderId="0" applyFont="0" applyFill="0" applyBorder="0" applyAlignment="0" applyProtection="0"/>
    <xf numFmtId="0" fontId="18" fillId="0" borderId="0" applyNumberFormat="0" applyFill="0" applyBorder="0" applyAlignment="0" applyProtection="0"/>
    <xf numFmtId="0" fontId="39" fillId="0" borderId="0" applyNumberFormat="0" applyFill="0" applyBorder="0" applyAlignment="0" applyProtection="0"/>
    <xf numFmtId="0" fontId="7" fillId="0" borderId="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22"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4"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alignment wrapText="1"/>
    </xf>
    <xf numFmtId="0" fontId="7" fillId="0" borderId="0">
      <alignment wrapText="1"/>
    </xf>
    <xf numFmtId="0" fontId="7" fillId="0" borderId="0"/>
    <xf numFmtId="9" fontId="7" fillId="0" borderId="0" applyFont="0" applyFill="0" applyBorder="0" applyAlignment="0" applyProtection="0"/>
    <xf numFmtId="0" fontId="5" fillId="0" borderId="0"/>
    <xf numFmtId="0" fontId="7" fillId="0" borderId="0"/>
    <xf numFmtId="0" fontId="4" fillId="0" borderId="0"/>
    <xf numFmtId="0" fontId="3" fillId="0" borderId="0"/>
    <xf numFmtId="0" fontId="2" fillId="0" borderId="0"/>
  </cellStyleXfs>
  <cellXfs count="395">
    <xf numFmtId="0" fontId="0" fillId="0" borderId="0" xfId="0"/>
    <xf numFmtId="0" fontId="0" fillId="0" borderId="0" xfId="0" applyAlignment="1">
      <alignment horizontal="justify" vertical="justify"/>
    </xf>
    <xf numFmtId="0" fontId="9" fillId="0" borderId="9" xfId="0" applyFont="1" applyBorder="1" applyAlignment="1">
      <alignment horizontal="justify" vertical="top"/>
    </xf>
    <xf numFmtId="0" fontId="0" fillId="0" borderId="0" xfId="0" applyAlignment="1" applyProtection="1">
      <alignment horizontal="center" vertical="justify"/>
      <protection locked="0"/>
    </xf>
    <xf numFmtId="0" fontId="14" fillId="0" borderId="0" xfId="0" applyFont="1" applyAlignment="1" applyProtection="1">
      <alignment horizontal="center" vertical="justify"/>
      <protection locked="0"/>
    </xf>
    <xf numFmtId="15" fontId="9" fillId="0" borderId="9" xfId="0" applyNumberFormat="1" applyFont="1" applyBorder="1" applyAlignment="1" applyProtection="1">
      <alignment horizontal="justify" vertical="top"/>
      <protection locked="0"/>
    </xf>
    <xf numFmtId="1" fontId="9" fillId="0" borderId="9" xfId="0" applyNumberFormat="1" applyFont="1" applyBorder="1" applyAlignment="1" applyProtection="1">
      <alignment horizontal="right" vertical="top"/>
      <protection locked="0"/>
    </xf>
    <xf numFmtId="3" fontId="9" fillId="0" borderId="9" xfId="0" applyNumberFormat="1" applyFont="1" applyBorder="1" applyAlignment="1" applyProtection="1">
      <alignment horizontal="justify" vertical="top"/>
      <protection locked="0"/>
    </xf>
    <xf numFmtId="0" fontId="0" fillId="0" borderId="0" xfId="0" applyAlignment="1" applyProtection="1">
      <alignment horizontal="justify" vertical="top"/>
      <protection locked="0"/>
    </xf>
    <xf numFmtId="0" fontId="14" fillId="0" borderId="9" xfId="0" applyFont="1" applyBorder="1" applyAlignment="1" applyProtection="1">
      <alignment horizontal="justify" vertical="top"/>
      <protection locked="0"/>
    </xf>
    <xf numFmtId="165" fontId="0" fillId="0" borderId="0" xfId="0" applyNumberFormat="1" applyAlignment="1" applyProtection="1">
      <alignment horizontal="justify" vertical="justify"/>
      <protection locked="0"/>
    </xf>
    <xf numFmtId="0" fontId="8" fillId="0" borderId="0" xfId="0" applyFont="1" applyAlignment="1" applyProtection="1">
      <alignment horizontal="justify" vertical="justify"/>
      <protection locked="0"/>
    </xf>
    <xf numFmtId="0" fontId="7" fillId="0" borderId="0" xfId="0" applyFont="1" applyAlignment="1" applyProtection="1">
      <alignment horizontal="justify" vertical="justify"/>
      <protection locked="0"/>
    </xf>
    <xf numFmtId="0" fontId="0" fillId="0" borderId="0" xfId="0" applyAlignment="1" applyProtection="1">
      <alignment horizontal="justify" vertical="justify"/>
      <protection locked="0"/>
    </xf>
    <xf numFmtId="4" fontId="8" fillId="0" borderId="0" xfId="0" applyNumberFormat="1" applyFont="1" applyAlignment="1" applyProtection="1">
      <alignment horizontal="justify" vertical="justify"/>
      <protection locked="0"/>
    </xf>
    <xf numFmtId="0" fontId="15" fillId="0" borderId="0" xfId="0" applyFont="1" applyAlignment="1" applyProtection="1">
      <alignment horizontal="justify" vertical="justify"/>
      <protection locked="0"/>
    </xf>
    <xf numFmtId="166" fontId="0" fillId="0" borderId="0" xfId="0" applyNumberFormat="1" applyAlignment="1" applyProtection="1">
      <alignment horizontal="justify" vertical="justify"/>
      <protection locked="0"/>
    </xf>
    <xf numFmtId="166" fontId="9" fillId="0" borderId="0" xfId="0" applyNumberFormat="1" applyFont="1" applyAlignment="1" applyProtection="1">
      <alignment horizontal="justify" vertical="top"/>
      <protection locked="0"/>
    </xf>
    <xf numFmtId="0" fontId="14" fillId="0" borderId="0" xfId="0" applyFont="1" applyAlignment="1" applyProtection="1">
      <alignment horizontal="justify" vertical="top" wrapText="1"/>
      <protection locked="0"/>
    </xf>
    <xf numFmtId="168" fontId="13" fillId="0" borderId="0" xfId="0" applyNumberFormat="1" applyFont="1" applyAlignment="1" applyProtection="1">
      <alignment horizontal="justify" vertical="justify"/>
      <protection locked="0"/>
    </xf>
    <xf numFmtId="1" fontId="0" fillId="0" borderId="0" xfId="0" applyNumberFormat="1" applyAlignment="1" applyProtection="1">
      <alignment horizontal="justify" vertical="justify"/>
      <protection locked="0"/>
    </xf>
    <xf numFmtId="1" fontId="0" fillId="0" borderId="0" xfId="0" applyNumberFormat="1" applyAlignment="1" applyProtection="1">
      <alignment horizontal="center" vertical="justify"/>
      <protection locked="0"/>
    </xf>
    <xf numFmtId="3" fontId="0" fillId="0" borderId="0" xfId="0" applyNumberFormat="1" applyAlignment="1" applyProtection="1">
      <alignment horizontal="justify" vertical="justify"/>
      <protection locked="0"/>
    </xf>
    <xf numFmtId="0" fontId="0" fillId="0" borderId="0" xfId="0" applyAlignment="1" applyProtection="1">
      <alignment horizontal="justify" vertical="justify" wrapText="1"/>
      <protection locked="0"/>
    </xf>
    <xf numFmtId="0" fontId="15" fillId="0" borderId="0" xfId="0" applyFont="1" applyAlignment="1" applyProtection="1">
      <alignment horizontal="justify" vertical="top"/>
      <protection locked="0"/>
    </xf>
    <xf numFmtId="0" fontId="9" fillId="0" borderId="0" xfId="0" applyFont="1" applyAlignment="1" applyProtection="1">
      <alignment horizontal="justify" vertical="justify"/>
      <protection locked="0"/>
    </xf>
    <xf numFmtId="1" fontId="9" fillId="0" borderId="9" xfId="0" applyNumberFormat="1" applyFont="1" applyBorder="1" applyAlignment="1" applyProtection="1">
      <alignment horizontal="center" vertical="top"/>
      <protection locked="0"/>
    </xf>
    <xf numFmtId="15" fontId="9" fillId="0" borderId="9" xfId="0" applyNumberFormat="1" applyFont="1" applyBorder="1" applyAlignment="1" applyProtection="1">
      <alignment horizontal="left" vertical="top"/>
      <protection locked="0"/>
    </xf>
    <xf numFmtId="0" fontId="0" fillId="0" borderId="0" xfId="0" applyAlignment="1" applyProtection="1">
      <alignment horizontal="left" vertical="justify"/>
      <protection locked="0"/>
    </xf>
    <xf numFmtId="165" fontId="12" fillId="25" borderId="9" xfId="0" applyNumberFormat="1" applyFont="1" applyFill="1" applyBorder="1" applyAlignment="1" applyProtection="1">
      <alignment horizontal="center" vertical="justify"/>
      <protection locked="0"/>
    </xf>
    <xf numFmtId="0" fontId="12" fillId="25" borderId="9" xfId="0" applyFont="1" applyFill="1" applyBorder="1" applyAlignment="1" applyProtection="1">
      <alignment horizontal="center" vertical="justify"/>
      <protection locked="0"/>
    </xf>
    <xf numFmtId="0" fontId="12" fillId="26" borderId="9" xfId="0" applyFont="1" applyFill="1" applyBorder="1" applyAlignment="1" applyProtection="1">
      <alignment horizontal="center" vertical="justify"/>
      <protection locked="0"/>
    </xf>
    <xf numFmtId="166" fontId="12" fillId="26" borderId="9" xfId="0" applyNumberFormat="1" applyFont="1" applyFill="1" applyBorder="1" applyAlignment="1" applyProtection="1">
      <alignment horizontal="center" vertical="justify"/>
      <protection locked="0"/>
    </xf>
    <xf numFmtId="166" fontId="11" fillId="26" borderId="9" xfId="0" applyNumberFormat="1" applyFont="1" applyFill="1" applyBorder="1" applyAlignment="1" applyProtection="1">
      <alignment horizontal="center" vertical="top"/>
      <protection locked="0"/>
    </xf>
    <xf numFmtId="0" fontId="12" fillId="27" borderId="9" xfId="0" applyFont="1" applyFill="1" applyBorder="1" applyAlignment="1" applyProtection="1">
      <alignment horizontal="center" vertical="justify"/>
      <protection locked="0"/>
    </xf>
    <xf numFmtId="168" fontId="13" fillId="27" borderId="9" xfId="0" applyNumberFormat="1" applyFont="1" applyFill="1" applyBorder="1" applyAlignment="1" applyProtection="1">
      <alignment horizontal="center" vertical="justify"/>
      <protection locked="0"/>
    </xf>
    <xf numFmtId="0" fontId="12" fillId="28" borderId="9" xfId="0" applyFont="1" applyFill="1" applyBorder="1" applyAlignment="1" applyProtection="1">
      <alignment horizontal="center" vertical="justify"/>
      <protection locked="0"/>
    </xf>
    <xf numFmtId="1" fontId="12" fillId="28" borderId="9" xfId="0" applyNumberFormat="1" applyFont="1" applyFill="1" applyBorder="1" applyAlignment="1" applyProtection="1">
      <alignment horizontal="center" vertical="justify"/>
      <protection locked="0"/>
    </xf>
    <xf numFmtId="1" fontId="11" fillId="28" borderId="9" xfId="0" applyNumberFormat="1" applyFont="1" applyFill="1" applyBorder="1" applyAlignment="1" applyProtection="1">
      <alignment horizontal="center" vertical="justify"/>
      <protection locked="0"/>
    </xf>
    <xf numFmtId="0" fontId="11" fillId="28" borderId="9" xfId="0" applyFont="1" applyFill="1" applyBorder="1" applyAlignment="1" applyProtection="1">
      <alignment horizontal="justify" vertical="top"/>
      <protection locked="0"/>
    </xf>
    <xf numFmtId="0" fontId="12" fillId="28" borderId="9" xfId="0" applyFont="1" applyFill="1" applyBorder="1" applyAlignment="1" applyProtection="1">
      <alignment horizontal="center" vertical="top" wrapText="1"/>
      <protection locked="0"/>
    </xf>
    <xf numFmtId="0" fontId="12" fillId="29" borderId="9" xfId="0" applyFont="1" applyFill="1" applyBorder="1" applyAlignment="1" applyProtection="1">
      <alignment horizontal="center" vertical="justify"/>
      <protection locked="0"/>
    </xf>
    <xf numFmtId="0" fontId="12" fillId="29" borderId="9" xfId="0" applyFont="1" applyFill="1" applyBorder="1" applyAlignment="1">
      <alignment horizontal="center" vertical="justify" wrapText="1"/>
    </xf>
    <xf numFmtId="0" fontId="12" fillId="29" borderId="9" xfId="0" applyFont="1" applyFill="1" applyBorder="1" applyAlignment="1" applyProtection="1">
      <alignment horizontal="center" vertical="justify" wrapText="1"/>
      <protection locked="0"/>
    </xf>
    <xf numFmtId="15" fontId="9" fillId="0" borderId="9" xfId="0" applyNumberFormat="1" applyFont="1" applyBorder="1" applyAlignment="1" applyProtection="1">
      <alignment horizontal="center" vertical="top"/>
      <protection locked="0"/>
    </xf>
    <xf numFmtId="165" fontId="11" fillId="0" borderId="9" xfId="0" applyNumberFormat="1" applyFont="1" applyBorder="1" applyAlignment="1">
      <alignment horizontal="justify" vertical="justify"/>
    </xf>
    <xf numFmtId="3" fontId="11" fillId="0" borderId="9" xfId="0" applyNumberFormat="1" applyFont="1" applyBorder="1" applyAlignment="1" applyProtection="1">
      <alignment horizontal="justify" vertical="justify"/>
      <protection locked="0"/>
    </xf>
    <xf numFmtId="3" fontId="9" fillId="0" borderId="9" xfId="0" applyNumberFormat="1" applyFont="1" applyBorder="1" applyAlignment="1" applyProtection="1">
      <alignment horizontal="right" vertical="justify"/>
      <protection locked="0"/>
    </xf>
    <xf numFmtId="1" fontId="11" fillId="0" borderId="9" xfId="0" applyNumberFormat="1" applyFont="1" applyBorder="1" applyAlignment="1" applyProtection="1">
      <alignment horizontal="justify" vertical="justify"/>
      <protection locked="0"/>
    </xf>
    <xf numFmtId="1" fontId="11" fillId="0" borderId="9" xfId="0" applyNumberFormat="1" applyFont="1" applyBorder="1" applyAlignment="1" applyProtection="1">
      <alignment horizontal="center" vertical="justify"/>
      <protection locked="0"/>
    </xf>
    <xf numFmtId="3" fontId="11" fillId="0" borderId="9" xfId="0" applyNumberFormat="1" applyFont="1" applyBorder="1" applyAlignment="1" applyProtection="1">
      <alignment horizontal="justify" vertical="top"/>
      <protection locked="0"/>
    </xf>
    <xf numFmtId="0" fontId="9" fillId="0" borderId="9" xfId="0" applyFont="1" applyBorder="1" applyAlignment="1" applyProtection="1">
      <alignment horizontal="justify" vertical="justify"/>
      <protection locked="0"/>
    </xf>
    <xf numFmtId="3" fontId="11" fillId="0" borderId="9" xfId="0" applyNumberFormat="1" applyFont="1" applyBorder="1" applyAlignment="1" applyProtection="1">
      <alignment horizontal="right" vertical="justify"/>
      <protection locked="0"/>
    </xf>
    <xf numFmtId="3" fontId="11" fillId="0" borderId="9" xfId="0" applyNumberFormat="1" applyFont="1" applyBorder="1" applyAlignment="1">
      <alignment horizontal="right" vertical="justify"/>
    </xf>
    <xf numFmtId="0" fontId="8" fillId="29" borderId="11" xfId="0" applyFont="1" applyFill="1" applyBorder="1" applyAlignment="1" applyProtection="1">
      <alignment horizontal="center" vertical="justify"/>
      <protection locked="0"/>
    </xf>
    <xf numFmtId="0" fontId="9" fillId="22" borderId="9" xfId="0" applyFont="1" applyFill="1" applyBorder="1" applyAlignment="1">
      <alignment horizontal="justify" vertical="top"/>
    </xf>
    <xf numFmtId="167" fontId="9" fillId="22" borderId="9" xfId="0" applyNumberFormat="1" applyFont="1" applyFill="1" applyBorder="1" applyAlignment="1">
      <alignment horizontal="justify" vertical="top"/>
    </xf>
    <xf numFmtId="0" fontId="15" fillId="0" borderId="0" xfId="0" applyFont="1"/>
    <xf numFmtId="0" fontId="0" fillId="0" borderId="0" xfId="0" quotePrefix="1"/>
    <xf numFmtId="0" fontId="0" fillId="30" borderId="0" xfId="0" applyFill="1"/>
    <xf numFmtId="14" fontId="9" fillId="22" borderId="9" xfId="0" applyNumberFormat="1" applyFont="1" applyFill="1" applyBorder="1" applyAlignment="1">
      <alignment horizontal="justify" vertical="top"/>
    </xf>
    <xf numFmtId="3" fontId="15" fillId="0" borderId="9" xfId="0" applyNumberFormat="1" applyFont="1" applyBorder="1" applyAlignment="1" applyProtection="1">
      <alignment vertical="top"/>
      <protection locked="0"/>
    </xf>
    <xf numFmtId="15" fontId="9" fillId="34" borderId="9" xfId="0" applyNumberFormat="1" applyFont="1" applyFill="1" applyBorder="1" applyAlignment="1">
      <alignment horizontal="justify" vertical="top"/>
    </xf>
    <xf numFmtId="14" fontId="9" fillId="34" borderId="9" xfId="0" applyNumberFormat="1" applyFont="1" applyFill="1" applyBorder="1" applyAlignment="1">
      <alignment horizontal="justify" vertical="top"/>
    </xf>
    <xf numFmtId="3" fontId="9" fillId="0" borderId="0" xfId="0" applyNumberFormat="1" applyFont="1" applyAlignment="1" applyProtection="1">
      <alignment horizontal="justify" vertical="top"/>
      <protection locked="0"/>
    </xf>
    <xf numFmtId="0" fontId="9" fillId="34" borderId="9" xfId="0" applyFont="1" applyFill="1" applyBorder="1" applyAlignment="1">
      <alignment horizontal="justify" vertical="top"/>
    </xf>
    <xf numFmtId="0" fontId="15" fillId="0" borderId="0" xfId="0" applyFont="1" applyAlignment="1">
      <alignment horizontal="justify" vertical="justify"/>
    </xf>
    <xf numFmtId="3" fontId="15" fillId="0" borderId="0" xfId="0" applyNumberFormat="1" applyFont="1" applyAlignment="1" applyProtection="1">
      <alignment horizontal="justify" vertical="justify"/>
      <protection locked="0"/>
    </xf>
    <xf numFmtId="3" fontId="15" fillId="0" borderId="0" xfId="0" applyNumberFormat="1" applyFont="1" applyAlignment="1">
      <alignment horizontal="justify" vertical="justify"/>
    </xf>
    <xf numFmtId="166" fontId="15" fillId="0" borderId="0" xfId="0" applyNumberFormat="1" applyFont="1" applyAlignment="1" applyProtection="1">
      <alignment horizontal="justify" vertical="justify"/>
      <protection locked="0"/>
    </xf>
    <xf numFmtId="0" fontId="15" fillId="0" borderId="0" xfId="0" applyFont="1" applyAlignment="1" applyProtection="1">
      <alignment horizontal="justify" vertical="justify" wrapText="1"/>
      <protection locked="0"/>
    </xf>
    <xf numFmtId="169" fontId="9" fillId="0" borderId="9" xfId="0" applyNumberFormat="1" applyFont="1" applyBorder="1" applyAlignment="1">
      <alignment horizontal="right" vertical="top"/>
    </xf>
    <xf numFmtId="169" fontId="16" fillId="0" borderId="9" xfId="0" applyNumberFormat="1" applyFont="1" applyBorder="1" applyAlignment="1">
      <alignment horizontal="right" vertical="top"/>
    </xf>
    <xf numFmtId="2" fontId="15" fillId="0" borderId="0" xfId="0" applyNumberFormat="1" applyFont="1" applyAlignment="1" applyProtection="1">
      <alignment horizontal="justify" vertical="justify"/>
      <protection locked="0"/>
    </xf>
    <xf numFmtId="2" fontId="15" fillId="0" borderId="0" xfId="0" applyNumberFormat="1" applyFont="1" applyAlignment="1" applyProtection="1">
      <alignment horizontal="justify" vertical="justify" wrapText="1"/>
      <protection locked="0"/>
    </xf>
    <xf numFmtId="0" fontId="9" fillId="34" borderId="9" xfId="0" applyFont="1" applyFill="1" applyBorder="1" applyAlignment="1">
      <alignment horizontal="justify" vertical="top"/>
    </xf>
    <xf numFmtId="3" fontId="61" fillId="0" borderId="9" xfId="0" applyNumberFormat="1" applyFont="1" applyBorder="1" applyAlignment="1" applyProtection="1">
      <alignment horizontal="right" vertical="top"/>
      <protection locked="0"/>
    </xf>
    <xf numFmtId="15" fontId="9" fillId="34" borderId="9" xfId="0" applyNumberFormat="1" applyFont="1" applyFill="1" applyBorder="1" applyAlignment="1">
      <alignment horizontal="justify" vertical="top"/>
    </xf>
    <xf numFmtId="14" fontId="9" fillId="34" borderId="9" xfId="0" applyNumberFormat="1" applyFont="1" applyFill="1" applyBorder="1" applyAlignment="1">
      <alignment horizontal="justify" vertical="top"/>
    </xf>
    <xf numFmtId="0" fontId="12" fillId="25" borderId="9" xfId="369" applyFont="1" applyFill="1" applyBorder="1" applyAlignment="1">
      <alignment horizontal="center" vertical="justify"/>
    </xf>
    <xf numFmtId="14" fontId="9" fillId="22" borderId="9" xfId="288" applyNumberFormat="1" applyFont="1" applyFill="1" applyBorder="1" applyAlignment="1">
      <alignment horizontal="justify" vertical="top"/>
    </xf>
    <xf numFmtId="0" fontId="9" fillId="34" borderId="9" xfId="288" applyFont="1" applyFill="1" applyBorder="1" applyAlignment="1">
      <alignment horizontal="justify" vertical="top"/>
    </xf>
    <xf numFmtId="0" fontId="14" fillId="0" borderId="9" xfId="0" applyFont="1" applyFill="1" applyBorder="1" applyAlignment="1" applyProtection="1">
      <alignment horizontal="justify" vertical="top" wrapText="1"/>
      <protection locked="0"/>
    </xf>
    <xf numFmtId="0" fontId="9" fillId="34" borderId="9" xfId="0" applyFont="1" applyFill="1" applyBorder="1" applyAlignment="1">
      <alignment horizontal="left" vertical="top"/>
    </xf>
    <xf numFmtId="0" fontId="9" fillId="0" borderId="9" xfId="0" applyFont="1" applyBorder="1" applyAlignment="1" applyProtection="1">
      <alignment horizontal="justify" vertical="top"/>
      <protection locked="0"/>
    </xf>
    <xf numFmtId="15" fontId="9" fillId="34" borderId="9" xfId="288" applyNumberFormat="1" applyFont="1" applyFill="1" applyBorder="1" applyAlignment="1">
      <alignment horizontal="justify" vertical="top"/>
    </xf>
    <xf numFmtId="3" fontId="14" fillId="0" borderId="9" xfId="0" applyNumberFormat="1" applyFont="1" applyBorder="1" applyAlignment="1" applyProtection="1">
      <alignment horizontal="right" vertical="top"/>
      <protection locked="0"/>
    </xf>
    <xf numFmtId="3" fontId="7" fillId="34" borderId="9" xfId="0" applyNumberFormat="1" applyFont="1" applyFill="1" applyBorder="1" applyAlignment="1">
      <alignment horizontal="right" vertical="top"/>
    </xf>
    <xf numFmtId="0" fontId="7" fillId="34" borderId="9" xfId="0" applyNumberFormat="1" applyFont="1" applyFill="1" applyBorder="1" applyAlignment="1">
      <alignment horizontal="right" vertical="top"/>
    </xf>
    <xf numFmtId="3" fontId="7" fillId="0" borderId="9" xfId="0" applyNumberFormat="1" applyFont="1" applyBorder="1" applyAlignment="1" applyProtection="1">
      <alignment horizontal="right" vertical="top"/>
      <protection locked="0"/>
    </xf>
    <xf numFmtId="3" fontId="7" fillId="22" borderId="9" xfId="288" applyNumberFormat="1" applyFont="1" applyFill="1" applyBorder="1" applyAlignment="1">
      <alignment horizontal="right" vertical="top"/>
    </xf>
    <xf numFmtId="3" fontId="7" fillId="0" borderId="22" xfId="0" applyNumberFormat="1" applyFont="1" applyBorder="1" applyAlignment="1" applyProtection="1">
      <alignment horizontal="right" vertical="top"/>
      <protection locked="0"/>
    </xf>
    <xf numFmtId="0" fontId="14" fillId="0" borderId="9" xfId="0" applyFont="1" applyBorder="1" applyAlignment="1">
      <alignment horizontal="left" vertical="top" wrapText="1"/>
    </xf>
    <xf numFmtId="3" fontId="7" fillId="22" borderId="9" xfId="0" applyNumberFormat="1" applyFont="1" applyFill="1" applyBorder="1" applyAlignment="1">
      <alignment horizontal="right" vertical="top"/>
    </xf>
    <xf numFmtId="15" fontId="7" fillId="34" borderId="9" xfId="0" applyNumberFormat="1" applyFont="1" applyFill="1" applyBorder="1" applyAlignment="1">
      <alignment horizontal="justify" vertical="top"/>
    </xf>
    <xf numFmtId="3" fontId="9" fillId="0" borderId="9" xfId="0" applyNumberFormat="1" applyFont="1" applyFill="1" applyBorder="1" applyAlignment="1">
      <alignment vertical="top" wrapText="1"/>
    </xf>
    <xf numFmtId="169" fontId="9" fillId="0" borderId="9" xfId="0" applyNumberFormat="1" applyFont="1" applyBorder="1" applyAlignment="1" applyProtection="1">
      <alignment horizontal="right" vertical="top"/>
      <protection locked="0"/>
    </xf>
    <xf numFmtId="15" fontId="9" fillId="22" borderId="9" xfId="0" applyNumberFormat="1" applyFont="1" applyFill="1" applyBorder="1" applyAlignment="1">
      <alignment horizontal="justify" vertical="top"/>
    </xf>
    <xf numFmtId="0" fontId="9" fillId="34" borderId="9" xfId="375" applyFont="1" applyFill="1" applyBorder="1" applyAlignment="1">
      <alignment horizontal="justify" vertical="top"/>
    </xf>
    <xf numFmtId="14" fontId="9" fillId="34" borderId="9" xfId="375" applyNumberFormat="1" applyFont="1" applyFill="1" applyBorder="1" applyAlignment="1">
      <alignment horizontal="justify" vertical="top"/>
    </xf>
    <xf numFmtId="3" fontId="7" fillId="22" borderId="9" xfId="613" applyNumberFormat="1" applyFont="1" applyFill="1" applyBorder="1" applyAlignment="1">
      <alignment horizontal="right" vertical="top"/>
    </xf>
    <xf numFmtId="3" fontId="7" fillId="34" borderId="9" xfId="613" applyNumberFormat="1" applyFont="1" applyFill="1" applyBorder="1" applyAlignment="1">
      <alignment horizontal="right" vertical="top"/>
    </xf>
    <xf numFmtId="0" fontId="9" fillId="0" borderId="9" xfId="613" applyFont="1" applyBorder="1" applyAlignment="1" applyProtection="1">
      <alignment horizontal="justify" vertical="top"/>
      <protection locked="0"/>
    </xf>
    <xf numFmtId="0" fontId="9" fillId="34" borderId="9" xfId="613" applyFont="1" applyFill="1" applyBorder="1" applyAlignment="1">
      <alignment horizontal="left" vertical="top"/>
    </xf>
    <xf numFmtId="0" fontId="7" fillId="0" borderId="9" xfId="0" applyFont="1" applyBorder="1" applyAlignment="1">
      <alignment horizontal="justify" vertical="top"/>
    </xf>
    <xf numFmtId="15" fontId="9" fillId="0" borderId="22" xfId="0" applyNumberFormat="1" applyFont="1" applyBorder="1" applyAlignment="1" applyProtection="1">
      <alignment horizontal="justify" vertical="top"/>
      <protection locked="0"/>
    </xf>
    <xf numFmtId="3" fontId="61" fillId="0" borderId="23" xfId="0" applyNumberFormat="1" applyFont="1" applyBorder="1" applyAlignment="1" applyProtection="1">
      <alignment horizontal="right" vertical="top"/>
      <protection locked="0"/>
    </xf>
    <xf numFmtId="14" fontId="65" fillId="22" borderId="9" xfId="0" applyNumberFormat="1" applyFont="1" applyFill="1" applyBorder="1" applyAlignment="1">
      <alignment horizontal="justify" vertical="top"/>
    </xf>
    <xf numFmtId="0" fontId="65" fillId="22" borderId="9" xfId="0" applyFont="1" applyFill="1" applyBorder="1" applyAlignment="1">
      <alignment horizontal="justify" vertical="top"/>
    </xf>
    <xf numFmtId="0" fontId="7" fillId="0" borderId="0" xfId="0" applyFont="1"/>
    <xf numFmtId="0" fontId="15" fillId="35" borderId="0" xfId="0" applyFont="1" applyFill="1" applyAlignment="1" applyProtection="1">
      <alignment horizontal="justify" vertical="top"/>
      <protection locked="0"/>
    </xf>
    <xf numFmtId="0" fontId="0" fillId="35" borderId="0" xfId="0" applyFill="1" applyAlignment="1" applyProtection="1">
      <alignment horizontal="justify" vertical="top"/>
      <protection locked="0"/>
    </xf>
    <xf numFmtId="0" fontId="9" fillId="0" borderId="0" xfId="0" applyFont="1" applyAlignment="1" applyProtection="1">
      <alignment horizontal="right" vertical="justify"/>
      <protection locked="0"/>
    </xf>
    <xf numFmtId="3" fontId="11" fillId="0" borderId="0" xfId="0" applyNumberFormat="1" applyFont="1" applyAlignment="1" applyProtection="1">
      <alignment horizontal="justify" vertical="justify"/>
      <protection locked="0"/>
    </xf>
    <xf numFmtId="3" fontId="7" fillId="36" borderId="9" xfId="0" applyNumberFormat="1" applyFont="1" applyFill="1" applyBorder="1" applyAlignment="1" applyProtection="1">
      <alignment horizontal="center" vertical="justify"/>
      <protection locked="0"/>
    </xf>
    <xf numFmtId="0" fontId="14" fillId="36" borderId="9" xfId="0" applyFont="1" applyFill="1" applyBorder="1" applyAlignment="1" applyProtection="1">
      <alignment horizontal="center" vertical="justify"/>
      <protection locked="0"/>
    </xf>
    <xf numFmtId="3" fontId="15" fillId="0" borderId="9" xfId="0" applyNumberFormat="1" applyFont="1" applyBorder="1" applyAlignment="1" applyProtection="1">
      <alignment horizontal="justify" vertical="top"/>
      <protection locked="0"/>
    </xf>
    <xf numFmtId="0" fontId="15" fillId="0" borderId="9" xfId="0" applyFont="1" applyBorder="1" applyAlignment="1" applyProtection="1">
      <alignment horizontal="justify" vertical="top"/>
      <protection locked="0"/>
    </xf>
    <xf numFmtId="3" fontId="9" fillId="0" borderId="9" xfId="0" applyNumberFormat="1" applyFont="1" applyBorder="1" applyAlignment="1" applyProtection="1">
      <alignment horizontal="justify" vertical="justify"/>
      <protection locked="0"/>
    </xf>
    <xf numFmtId="0" fontId="15" fillId="0" borderId="0" xfId="0" applyFont="1" applyBorder="1" applyAlignment="1" applyProtection="1">
      <alignment horizontal="justify" vertical="justify" wrapText="1"/>
      <protection locked="0"/>
    </xf>
    <xf numFmtId="0" fontId="15" fillId="0" borderId="0" xfId="0" applyFont="1" applyBorder="1" applyAlignment="1" applyProtection="1">
      <alignment horizontal="justify" vertical="justify"/>
      <protection locked="0"/>
    </xf>
    <xf numFmtId="3" fontId="15" fillId="0" borderId="0" xfId="0" applyNumberFormat="1" applyFont="1" applyBorder="1" applyAlignment="1" applyProtection="1">
      <alignment horizontal="justify" vertical="justify"/>
      <protection locked="0"/>
    </xf>
    <xf numFmtId="169" fontId="9" fillId="0" borderId="0" xfId="0" applyNumberFormat="1" applyFont="1" applyBorder="1" applyAlignment="1">
      <alignment horizontal="right" vertical="top"/>
    </xf>
    <xf numFmtId="3" fontId="11" fillId="0" borderId="0" xfId="0" applyNumberFormat="1" applyFont="1" applyBorder="1" applyAlignment="1" applyProtection="1">
      <alignment horizontal="justify" vertical="justify"/>
      <protection locked="0"/>
    </xf>
    <xf numFmtId="0" fontId="14" fillId="0" borderId="9" xfId="0" applyNumberFormat="1" applyFont="1" applyBorder="1" applyAlignment="1">
      <alignment horizontal="left" vertical="top" wrapText="1"/>
    </xf>
    <xf numFmtId="167" fontId="7" fillId="22" borderId="9" xfId="0" applyNumberFormat="1" applyFont="1" applyFill="1" applyBorder="1" applyAlignment="1">
      <alignment horizontal="right" vertical="top"/>
    </xf>
    <xf numFmtId="167" fontId="7" fillId="0" borderId="9" xfId="0" applyNumberFormat="1" applyFont="1" applyBorder="1" applyAlignment="1" applyProtection="1">
      <alignment horizontal="right" vertical="top"/>
      <protection locked="0"/>
    </xf>
    <xf numFmtId="167" fontId="7" fillId="34" borderId="9" xfId="0" applyNumberFormat="1" applyFont="1" applyFill="1" applyBorder="1" applyAlignment="1">
      <alignment horizontal="right" vertical="top"/>
    </xf>
    <xf numFmtId="167" fontId="7" fillId="22" borderId="9" xfId="288" applyNumberFormat="1" applyFont="1" applyFill="1" applyBorder="1" applyAlignment="1">
      <alignment horizontal="right" vertical="top"/>
    </xf>
    <xf numFmtId="167" fontId="7" fillId="34" borderId="9" xfId="613" applyNumberFormat="1" applyFont="1" applyFill="1" applyBorder="1" applyAlignment="1">
      <alignment horizontal="right" vertical="top"/>
    </xf>
    <xf numFmtId="167" fontId="7" fillId="22" borderId="9" xfId="613" applyNumberFormat="1" applyFont="1" applyFill="1" applyBorder="1" applyAlignment="1">
      <alignment horizontal="right" vertical="top"/>
    </xf>
    <xf numFmtId="167" fontId="7" fillId="34" borderId="9" xfId="0" applyNumberFormat="1" applyFont="1" applyFill="1" applyBorder="1" applyAlignment="1">
      <alignment horizontal="justify" vertical="top"/>
    </xf>
    <xf numFmtId="167" fontId="7" fillId="0" borderId="9" xfId="613" applyNumberFormat="1" applyFont="1" applyBorder="1" applyAlignment="1" applyProtection="1">
      <alignment horizontal="right" vertical="top"/>
      <protection locked="0"/>
    </xf>
    <xf numFmtId="4" fontId="11" fillId="0" borderId="9" xfId="0" applyNumberFormat="1" applyFont="1" applyBorder="1" applyAlignment="1" applyProtection="1">
      <alignment horizontal="justify" vertical="justify"/>
      <protection locked="0"/>
    </xf>
    <xf numFmtId="3" fontId="7" fillId="0" borderId="9" xfId="0" applyNumberFormat="1" applyFont="1" applyBorder="1" applyAlignment="1" applyProtection="1">
      <alignment horizontal="justify" vertical="top"/>
      <protection locked="0"/>
    </xf>
    <xf numFmtId="3" fontId="7" fillId="34" borderId="9" xfId="0" applyNumberFormat="1" applyFont="1" applyFill="1" applyBorder="1" applyAlignment="1" applyProtection="1">
      <alignment horizontal="right" vertical="top"/>
      <protection locked="0"/>
    </xf>
    <xf numFmtId="0" fontId="7" fillId="22" borderId="9" xfId="613" applyNumberFormat="1" applyFont="1" applyFill="1" applyBorder="1" applyAlignment="1">
      <alignment horizontal="right" vertical="top"/>
    </xf>
    <xf numFmtId="171" fontId="7" fillId="22" borderId="9" xfId="613" applyNumberFormat="1" applyFont="1" applyFill="1" applyBorder="1" applyAlignment="1">
      <alignment horizontal="right" vertical="top"/>
    </xf>
    <xf numFmtId="171" fontId="7" fillId="34" borderId="9" xfId="0" applyNumberFormat="1" applyFont="1" applyFill="1" applyBorder="1" applyAlignment="1">
      <alignment horizontal="right" vertical="top"/>
    </xf>
    <xf numFmtId="169" fontId="9" fillId="34" borderId="9" xfId="0" applyNumberFormat="1" applyFont="1" applyFill="1" applyBorder="1" applyAlignment="1" applyProtection="1">
      <alignment horizontal="right" vertical="top"/>
      <protection locked="0"/>
    </xf>
    <xf numFmtId="169" fontId="9" fillId="34" borderId="9" xfId="0" applyNumberFormat="1" applyFont="1" applyFill="1" applyBorder="1" applyAlignment="1">
      <alignment horizontal="right" vertical="top"/>
    </xf>
    <xf numFmtId="169" fontId="16" fillId="34" borderId="9" xfId="0" applyNumberFormat="1" applyFont="1" applyFill="1" applyBorder="1" applyAlignment="1">
      <alignment horizontal="right" vertical="top"/>
    </xf>
    <xf numFmtId="15" fontId="9" fillId="34" borderId="9" xfId="0" applyNumberFormat="1" applyFont="1" applyFill="1" applyBorder="1" applyAlignment="1" applyProtection="1">
      <alignment horizontal="justify" vertical="top"/>
      <protection locked="0"/>
    </xf>
    <xf numFmtId="1" fontId="9" fillId="34" borderId="9" xfId="0" applyNumberFormat="1" applyFont="1" applyFill="1" applyBorder="1" applyAlignment="1" applyProtection="1">
      <alignment horizontal="right" vertical="top"/>
      <protection locked="0"/>
    </xf>
    <xf numFmtId="15" fontId="9" fillId="34" borderId="9" xfId="0" applyNumberFormat="1" applyFont="1" applyFill="1" applyBorder="1" applyAlignment="1" applyProtection="1">
      <alignment horizontal="left" vertical="top"/>
      <protection locked="0"/>
    </xf>
    <xf numFmtId="15" fontId="9" fillId="34" borderId="9" xfId="0" applyNumberFormat="1" applyFont="1" applyFill="1" applyBorder="1" applyAlignment="1" applyProtection="1">
      <alignment horizontal="center" vertical="top"/>
      <protection locked="0"/>
    </xf>
    <xf numFmtId="1" fontId="9" fillId="34" borderId="9" xfId="0" applyNumberFormat="1" applyFont="1" applyFill="1" applyBorder="1" applyAlignment="1" applyProtection="1">
      <alignment horizontal="center" vertical="top"/>
      <protection locked="0"/>
    </xf>
    <xf numFmtId="3" fontId="61" fillId="34" borderId="9" xfId="0" applyNumberFormat="1" applyFont="1" applyFill="1" applyBorder="1" applyAlignment="1" applyProtection="1">
      <alignment horizontal="right" vertical="top"/>
      <protection locked="0"/>
    </xf>
    <xf numFmtId="167" fontId="9" fillId="34" borderId="9" xfId="0" applyNumberFormat="1" applyFont="1" applyFill="1" applyBorder="1" applyAlignment="1">
      <alignment horizontal="justify" vertical="top"/>
    </xf>
    <xf numFmtId="3" fontId="15" fillId="34" borderId="9" xfId="0" applyNumberFormat="1" applyFont="1" applyFill="1" applyBorder="1" applyAlignment="1" applyProtection="1">
      <alignment horizontal="justify" vertical="top"/>
      <protection locked="0"/>
    </xf>
    <xf numFmtId="0" fontId="15" fillId="34" borderId="9" xfId="0" applyFont="1" applyFill="1" applyBorder="1" applyAlignment="1" applyProtection="1">
      <alignment horizontal="justify" vertical="top"/>
      <protection locked="0"/>
    </xf>
    <xf numFmtId="0" fontId="15" fillId="34" borderId="0" xfId="0" applyFont="1" applyFill="1" applyAlignment="1" applyProtection="1">
      <alignment horizontal="justify" vertical="top"/>
      <protection locked="0"/>
    </xf>
    <xf numFmtId="0" fontId="0" fillId="34" borderId="0" xfId="0" applyFill="1" applyAlignment="1" applyProtection="1">
      <alignment horizontal="justify" vertical="top"/>
      <protection locked="0"/>
    </xf>
    <xf numFmtId="3" fontId="7" fillId="34" borderId="9" xfId="0" applyNumberFormat="1" applyFont="1" applyFill="1" applyBorder="1" applyAlignment="1">
      <alignment vertical="top"/>
    </xf>
    <xf numFmtId="167" fontId="7" fillId="34" borderId="9" xfId="0" applyNumberFormat="1" applyFont="1" applyFill="1" applyBorder="1" applyAlignment="1">
      <alignment vertical="top"/>
    </xf>
    <xf numFmtId="0" fontId="7" fillId="0" borderId="9" xfId="0" applyFont="1" applyBorder="1" applyAlignment="1" applyProtection="1">
      <alignment horizontal="justify" vertical="top"/>
      <protection locked="0"/>
    </xf>
    <xf numFmtId="3" fontId="7" fillId="34" borderId="0" xfId="0" applyNumberFormat="1" applyFont="1" applyFill="1" applyBorder="1" applyAlignment="1">
      <alignment horizontal="right" vertical="top"/>
    </xf>
    <xf numFmtId="3" fontId="7" fillId="0" borderId="9" xfId="0" applyNumberFormat="1" applyFont="1" applyBorder="1" applyAlignment="1" applyProtection="1">
      <alignment horizontal="right" vertical="top" wrapText="1"/>
      <protection locked="0"/>
    </xf>
    <xf numFmtId="3" fontId="7" fillId="22" borderId="9" xfId="613" applyNumberFormat="1" applyFont="1" applyFill="1" applyBorder="1" applyAlignment="1">
      <alignment horizontal="right"/>
    </xf>
    <xf numFmtId="0" fontId="7" fillId="22" borderId="9" xfId="613" applyNumberFormat="1" applyFont="1" applyFill="1" applyBorder="1" applyAlignment="1">
      <alignment horizontal="right"/>
    </xf>
    <xf numFmtId="3" fontId="7" fillId="0" borderId="9" xfId="0" applyNumberFormat="1" applyFont="1" applyBorder="1" applyAlignment="1" applyProtection="1">
      <alignment horizontal="right"/>
      <protection locked="0"/>
    </xf>
    <xf numFmtId="3" fontId="7" fillId="34" borderId="9" xfId="0" applyNumberFormat="1" applyFont="1" applyFill="1" applyBorder="1" applyAlignment="1">
      <alignment horizontal="right"/>
    </xf>
    <xf numFmtId="0" fontId="7" fillId="34" borderId="9" xfId="0" applyNumberFormat="1" applyFont="1" applyFill="1" applyBorder="1" applyAlignment="1">
      <alignment horizontal="right"/>
    </xf>
    <xf numFmtId="3" fontId="7" fillId="0" borderId="9" xfId="0" applyNumberFormat="1" applyFont="1" applyBorder="1" applyAlignment="1" applyProtection="1">
      <alignment vertical="top"/>
      <protection locked="0"/>
    </xf>
    <xf numFmtId="3" fontId="14" fillId="0" borderId="9" xfId="0" applyNumberFormat="1" applyFont="1" applyBorder="1" applyAlignment="1" applyProtection="1">
      <alignment horizontal="justify" vertical="top"/>
      <protection locked="0"/>
    </xf>
    <xf numFmtId="3" fontId="14" fillId="34" borderId="9" xfId="0" applyNumberFormat="1" applyFont="1" applyFill="1" applyBorder="1" applyAlignment="1" applyProtection="1">
      <alignment horizontal="justify" vertical="top"/>
      <protection locked="0"/>
    </xf>
    <xf numFmtId="3" fontId="14" fillId="0" borderId="9" xfId="0" applyNumberFormat="1" applyFont="1" applyBorder="1" applyAlignment="1" applyProtection="1">
      <alignment horizontal="justify" vertical="top" wrapText="1"/>
      <protection locked="0"/>
    </xf>
    <xf numFmtId="3" fontId="11" fillId="0" borderId="9" xfId="0" applyNumberFormat="1" applyFont="1" applyBorder="1" applyAlignment="1" applyProtection="1">
      <alignment horizontal="justify" vertical="top" wrapText="1"/>
      <protection locked="0"/>
    </xf>
    <xf numFmtId="0" fontId="7" fillId="0" borderId="0" xfId="0" applyFont="1" applyAlignment="1" applyProtection="1">
      <alignment horizontal="justify" vertical="top" wrapText="1"/>
      <protection locked="0"/>
    </xf>
    <xf numFmtId="3" fontId="7" fillId="0" borderId="0" xfId="0" applyNumberFormat="1" applyFont="1" applyAlignment="1" applyProtection="1">
      <alignment horizontal="justify" vertical="top" wrapText="1"/>
      <protection locked="0"/>
    </xf>
    <xf numFmtId="0" fontId="7" fillId="24" borderId="12" xfId="0" applyFont="1" applyFill="1" applyBorder="1" applyAlignment="1" applyProtection="1">
      <alignment horizontal="center" vertical="top" wrapText="1"/>
      <protection locked="0"/>
    </xf>
    <xf numFmtId="0" fontId="12" fillId="24" borderId="9" xfId="0" applyFont="1" applyFill="1" applyBorder="1" applyAlignment="1" applyProtection="1">
      <alignment horizontal="center" vertical="top" wrapText="1"/>
      <protection locked="0"/>
    </xf>
    <xf numFmtId="15" fontId="65" fillId="34" borderId="9" xfId="0" applyNumberFormat="1" applyFont="1" applyFill="1" applyBorder="1" applyAlignment="1">
      <alignment horizontal="justify" vertical="top"/>
    </xf>
    <xf numFmtId="14" fontId="65" fillId="22" borderId="9" xfId="613" applyNumberFormat="1" applyFont="1" applyFill="1" applyBorder="1" applyAlignment="1">
      <alignment horizontal="justify" vertical="top"/>
    </xf>
    <xf numFmtId="0" fontId="65" fillId="34" borderId="9" xfId="613" applyFont="1" applyFill="1" applyBorder="1" applyAlignment="1">
      <alignment horizontal="justify" vertical="top"/>
    </xf>
    <xf numFmtId="0" fontId="7" fillId="0" borderId="0" xfId="0" applyFont="1" applyAlignment="1" applyProtection="1">
      <alignment horizontal="justify" vertical="top"/>
      <protection locked="0"/>
    </xf>
    <xf numFmtId="14" fontId="9" fillId="34" borderId="22" xfId="0" applyNumberFormat="1" applyFont="1" applyFill="1" applyBorder="1" applyAlignment="1">
      <alignment horizontal="justify" vertical="top"/>
    </xf>
    <xf numFmtId="14" fontId="9" fillId="22" borderId="22" xfId="613" applyNumberFormat="1" applyFont="1" applyFill="1" applyBorder="1" applyAlignment="1">
      <alignment horizontal="justify" vertical="top"/>
    </xf>
    <xf numFmtId="172" fontId="7" fillId="34" borderId="9" xfId="596" applyNumberFormat="1" applyFont="1" applyFill="1" applyBorder="1" applyAlignment="1">
      <alignment horizontal="right" vertical="top"/>
    </xf>
    <xf numFmtId="0" fontId="7" fillId="34" borderId="9" xfId="0" quotePrefix="1" applyNumberFormat="1" applyFont="1" applyFill="1" applyBorder="1" applyAlignment="1">
      <alignment horizontal="right" vertical="top"/>
    </xf>
    <xf numFmtId="172" fontId="7" fillId="0" borderId="9" xfId="596" applyNumberFormat="1" applyFont="1" applyBorder="1" applyAlignment="1" applyProtection="1">
      <alignment horizontal="right" vertical="top"/>
      <protection locked="0"/>
    </xf>
    <xf numFmtId="172" fontId="7" fillId="22" borderId="9" xfId="596" applyNumberFormat="1" applyFont="1" applyFill="1" applyBorder="1" applyAlignment="1">
      <alignment horizontal="right" vertical="top"/>
    </xf>
    <xf numFmtId="166" fontId="7" fillId="0" borderId="9" xfId="0" applyNumberFormat="1" applyFont="1" applyBorder="1" applyAlignment="1" applyProtection="1">
      <alignment horizontal="justify" vertical="justify"/>
      <protection locked="0"/>
    </xf>
    <xf numFmtId="0" fontId="7" fillId="0" borderId="9" xfId="0" applyFont="1" applyBorder="1" applyAlignment="1" applyProtection="1">
      <alignment horizontal="justify" vertical="justify"/>
      <protection locked="0"/>
    </xf>
    <xf numFmtId="172" fontId="7" fillId="0" borderId="9" xfId="596" applyNumberFormat="1" applyFont="1" applyBorder="1" applyAlignment="1" applyProtection="1">
      <alignment horizontal="justify" vertical="justify"/>
      <protection locked="0"/>
    </xf>
    <xf numFmtId="166" fontId="7" fillId="0" borderId="9" xfId="0" applyNumberFormat="1" applyFont="1" applyBorder="1" applyAlignment="1" applyProtection="1">
      <alignment horizontal="justify" vertical="top"/>
      <protection locked="0"/>
    </xf>
    <xf numFmtId="0" fontId="7" fillId="0" borderId="9" xfId="0" applyFont="1" applyBorder="1" applyAlignment="1">
      <alignment horizontal="justify" vertical="justify"/>
    </xf>
    <xf numFmtId="4" fontId="9" fillId="0" borderId="9" xfId="0" applyNumberFormat="1" applyFont="1" applyBorder="1" applyAlignment="1" applyProtection="1">
      <alignment horizontal="justify" vertical="justify"/>
      <protection locked="0"/>
    </xf>
    <xf numFmtId="173" fontId="9" fillId="0" borderId="9" xfId="0" applyNumberFormat="1" applyFont="1" applyBorder="1" applyAlignment="1">
      <alignment horizontal="right" vertical="top"/>
    </xf>
    <xf numFmtId="0" fontId="9" fillId="0" borderId="9" xfId="0" applyFont="1" applyBorder="1" applyAlignment="1">
      <alignment vertical="top"/>
    </xf>
    <xf numFmtId="3" fontId="15" fillId="0" borderId="0" xfId="0" applyNumberFormat="1" applyFont="1" applyAlignment="1" applyProtection="1">
      <alignment horizontal="justify" vertical="top"/>
      <protection locked="0"/>
    </xf>
    <xf numFmtId="0" fontId="7" fillId="0" borderId="9" xfId="0" applyFont="1" applyBorder="1" applyAlignment="1">
      <alignment horizontal="right" vertical="top"/>
    </xf>
    <xf numFmtId="3" fontId="7" fillId="0" borderId="9" xfId="0" applyNumberFormat="1" applyFont="1" applyBorder="1" applyAlignment="1" applyProtection="1">
      <alignment horizontal="justify" vertical="top" wrapText="1"/>
      <protection locked="0"/>
    </xf>
    <xf numFmtId="3" fontId="7" fillId="0" borderId="9" xfId="613" applyNumberFormat="1" applyFont="1" applyBorder="1" applyAlignment="1" applyProtection="1">
      <alignment horizontal="right" vertical="top"/>
      <protection locked="0"/>
    </xf>
    <xf numFmtId="3" fontId="7" fillId="0" borderId="0" xfId="0" applyNumberFormat="1" applyFont="1" applyBorder="1" applyAlignment="1" applyProtection="1">
      <alignment horizontal="right" vertical="top"/>
      <protection locked="0"/>
    </xf>
    <xf numFmtId="3" fontId="7" fillId="0" borderId="24" xfId="0" applyNumberFormat="1" applyFont="1" applyBorder="1" applyAlignment="1" applyProtection="1">
      <alignment horizontal="right" vertical="top"/>
      <protection locked="0"/>
    </xf>
    <xf numFmtId="14" fontId="9" fillId="34" borderId="9" xfId="288" applyNumberFormat="1" applyFont="1" applyFill="1" applyBorder="1" applyAlignment="1">
      <alignment horizontal="justify" vertical="top"/>
    </xf>
    <xf numFmtId="15" fontId="9" fillId="34" borderId="9" xfId="622" applyNumberFormat="1" applyFont="1" applyFill="1" applyBorder="1" applyAlignment="1">
      <alignment horizontal="justify" vertical="top"/>
    </xf>
    <xf numFmtId="14" fontId="9" fillId="34" borderId="9" xfId="622" applyNumberFormat="1" applyFont="1" applyFill="1" applyBorder="1" applyAlignment="1">
      <alignment horizontal="justify" vertical="top"/>
    </xf>
    <xf numFmtId="0" fontId="9" fillId="34" borderId="9" xfId="622" applyFont="1" applyFill="1" applyBorder="1" applyAlignment="1">
      <alignment horizontal="justify" vertical="top"/>
    </xf>
    <xf numFmtId="3" fontId="7" fillId="34" borderId="9" xfId="622" applyNumberFormat="1" applyFont="1" applyFill="1" applyBorder="1" applyAlignment="1">
      <alignment horizontal="right" vertical="top"/>
    </xf>
    <xf numFmtId="0" fontId="7" fillId="34" borderId="9" xfId="622" applyNumberFormat="1" applyFont="1" applyFill="1" applyBorder="1" applyAlignment="1">
      <alignment horizontal="right" vertical="top"/>
    </xf>
    <xf numFmtId="3" fontId="7" fillId="22" borderId="9" xfId="0" applyNumberFormat="1" applyFont="1" applyFill="1" applyBorder="1" applyAlignment="1">
      <alignment horizontal="right" vertical="top" wrapText="1"/>
    </xf>
    <xf numFmtId="0" fontId="9" fillId="34" borderId="9" xfId="0" applyFont="1" applyFill="1" applyBorder="1" applyAlignment="1" applyProtection="1">
      <alignment horizontal="justify" vertical="top"/>
      <protection locked="0"/>
    </xf>
    <xf numFmtId="0" fontId="9" fillId="34" borderId="9" xfId="0" applyFont="1" applyFill="1" applyBorder="1" applyAlignment="1">
      <alignment vertical="top"/>
    </xf>
    <xf numFmtId="14" fontId="65" fillId="34" borderId="9" xfId="0" applyNumberFormat="1" applyFont="1" applyFill="1" applyBorder="1" applyAlignment="1">
      <alignment horizontal="justify" vertical="top"/>
    </xf>
    <xf numFmtId="0" fontId="65" fillId="34" borderId="9" xfId="0" applyFont="1" applyFill="1" applyBorder="1" applyAlignment="1">
      <alignment horizontal="justify" vertical="top"/>
    </xf>
    <xf numFmtId="0" fontId="9" fillId="34" borderId="23" xfId="288" applyFont="1" applyFill="1" applyBorder="1" applyAlignment="1">
      <alignment horizontal="justify" vertical="top"/>
    </xf>
    <xf numFmtId="14" fontId="9" fillId="34" borderId="9" xfId="613" applyNumberFormat="1" applyFont="1" applyFill="1" applyBorder="1" applyAlignment="1">
      <alignment horizontal="justify" vertical="top"/>
    </xf>
    <xf numFmtId="3" fontId="71" fillId="34" borderId="9" xfId="0" applyNumberFormat="1" applyFont="1" applyFill="1" applyBorder="1" applyAlignment="1">
      <alignment horizontal="right" vertical="top"/>
    </xf>
    <xf numFmtId="0" fontId="9" fillId="34" borderId="0" xfId="613" applyFont="1" applyFill="1" applyBorder="1" applyAlignment="1">
      <alignment horizontal="justify" vertical="top"/>
    </xf>
    <xf numFmtId="3" fontId="9" fillId="34" borderId="9" xfId="0" applyNumberFormat="1" applyFont="1" applyFill="1" applyBorder="1" applyAlignment="1">
      <alignment vertical="top" wrapText="1"/>
    </xf>
    <xf numFmtId="3" fontId="7" fillId="34" borderId="12" xfId="0" applyNumberFormat="1" applyFont="1" applyFill="1" applyBorder="1" applyAlignment="1">
      <alignment horizontal="right" vertical="top"/>
    </xf>
    <xf numFmtId="0" fontId="9" fillId="0" borderId="9" xfId="0" applyFont="1" applyBorder="1" applyAlignment="1">
      <alignment horizontal="left" vertical="top"/>
    </xf>
    <xf numFmtId="4" fontId="15" fillId="0" borderId="0" xfId="0" applyNumberFormat="1" applyFont="1" applyAlignment="1" applyProtection="1">
      <alignment horizontal="justify" vertical="justify"/>
      <protection locked="0"/>
    </xf>
    <xf numFmtId="3" fontId="61" fillId="0" borderId="9" xfId="0" applyNumberFormat="1" applyFont="1" applyBorder="1" applyAlignment="1" applyProtection="1">
      <alignment horizontal="left" vertical="top" wrapText="1"/>
      <protection locked="0"/>
    </xf>
    <xf numFmtId="14" fontId="9" fillId="34" borderId="22" xfId="613" applyNumberFormat="1" applyFont="1" applyFill="1" applyBorder="1" applyAlignment="1">
      <alignment horizontal="justify" vertical="top"/>
    </xf>
    <xf numFmtId="0" fontId="9" fillId="34" borderId="0" xfId="0" applyFont="1" applyFill="1" applyBorder="1" applyAlignment="1">
      <alignment horizontal="justify" vertical="top"/>
    </xf>
    <xf numFmtId="0" fontId="9" fillId="34" borderId="23" xfId="0" applyFont="1" applyFill="1" applyBorder="1" applyAlignment="1">
      <alignment horizontal="justify" vertical="top"/>
    </xf>
    <xf numFmtId="3" fontId="61" fillId="0" borderId="9" xfId="0" applyNumberFormat="1" applyFont="1" applyBorder="1" applyAlignment="1" applyProtection="1">
      <alignment horizontal="left" vertical="top"/>
      <protection locked="0"/>
    </xf>
    <xf numFmtId="3" fontId="61" fillId="34" borderId="9" xfId="0" applyNumberFormat="1" applyFont="1" applyFill="1" applyBorder="1" applyAlignment="1" applyProtection="1">
      <alignment horizontal="left" vertical="top"/>
      <protection locked="0"/>
    </xf>
    <xf numFmtId="3" fontId="14" fillId="0" borderId="9" xfId="0" applyNumberFormat="1" applyFont="1" applyBorder="1" applyAlignment="1" applyProtection="1">
      <alignment horizontal="left" vertical="top" wrapText="1"/>
      <protection locked="0"/>
    </xf>
    <xf numFmtId="0" fontId="14" fillId="34" borderId="9" xfId="0" applyFont="1" applyFill="1" applyBorder="1" applyAlignment="1">
      <alignment horizontal="left" vertical="top" wrapText="1"/>
    </xf>
    <xf numFmtId="3" fontId="14" fillId="0" borderId="9" xfId="0" applyNumberFormat="1" applyFont="1" applyBorder="1" applyAlignment="1" applyProtection="1">
      <alignment horizontal="left" vertical="top"/>
      <protection locked="0"/>
    </xf>
    <xf numFmtId="0" fontId="7" fillId="34" borderId="9" xfId="0" applyNumberFormat="1" applyFont="1" applyFill="1" applyBorder="1" applyAlignment="1">
      <alignment horizontal="center" vertical="top" wrapText="1"/>
    </xf>
    <xf numFmtId="14" fontId="9" fillId="22" borderId="9" xfId="613" applyNumberFormat="1" applyFont="1" applyFill="1" applyBorder="1" applyAlignment="1">
      <alignment horizontal="justify" vertical="top"/>
    </xf>
    <xf numFmtId="15" fontId="9" fillId="34" borderId="9" xfId="613" applyNumberFormat="1" applyFont="1" applyFill="1" applyBorder="1" applyAlignment="1">
      <alignment horizontal="justify" vertical="top"/>
    </xf>
    <xf numFmtId="0" fontId="9" fillId="34" borderId="9" xfId="613" applyFont="1" applyFill="1" applyBorder="1" applyAlignment="1">
      <alignment horizontal="justify" vertical="top"/>
    </xf>
    <xf numFmtId="15" fontId="9" fillId="0" borderId="9" xfId="613" applyNumberFormat="1" applyFont="1" applyFill="1" applyBorder="1" applyAlignment="1">
      <alignment horizontal="justify" vertical="top"/>
    </xf>
    <xf numFmtId="14" fontId="9" fillId="0" borderId="9" xfId="613" applyNumberFormat="1" applyFont="1" applyFill="1" applyBorder="1" applyAlignment="1">
      <alignment horizontal="justify" vertical="top"/>
    </xf>
    <xf numFmtId="0" fontId="9" fillId="0" borderId="9" xfId="613" applyFont="1" applyFill="1" applyBorder="1" applyAlignment="1">
      <alignment horizontal="justify" vertical="top"/>
    </xf>
    <xf numFmtId="0" fontId="9" fillId="0" borderId="9" xfId="0" applyFont="1" applyFill="1" applyBorder="1" applyAlignment="1">
      <alignment horizontal="justify" vertical="top"/>
    </xf>
    <xf numFmtId="3" fontId="7" fillId="0" borderId="9" xfId="0" applyNumberFormat="1" applyFont="1" applyFill="1" applyBorder="1" applyAlignment="1">
      <alignment horizontal="right" vertical="top"/>
    </xf>
    <xf numFmtId="0" fontId="7" fillId="0" borderId="9" xfId="0" applyNumberFormat="1" applyFont="1" applyFill="1" applyBorder="1" applyAlignment="1">
      <alignment horizontal="right" vertical="top"/>
    </xf>
    <xf numFmtId="3" fontId="7" fillId="0" borderId="9" xfId="0" applyNumberFormat="1" applyFont="1" applyFill="1" applyBorder="1" applyAlignment="1" applyProtection="1">
      <alignment horizontal="right" vertical="top"/>
      <protection locked="0"/>
    </xf>
    <xf numFmtId="15" fontId="9" fillId="0" borderId="9" xfId="0" applyNumberFormat="1" applyFont="1" applyFill="1" applyBorder="1" applyAlignment="1" applyProtection="1">
      <alignment horizontal="justify" vertical="top"/>
      <protection locked="0"/>
    </xf>
    <xf numFmtId="1" fontId="9" fillId="0" borderId="9" xfId="0" applyNumberFormat="1" applyFont="1" applyFill="1" applyBorder="1" applyAlignment="1" applyProtection="1">
      <alignment horizontal="right" vertical="top"/>
      <protection locked="0"/>
    </xf>
    <xf numFmtId="15" fontId="9" fillId="0" borderId="9" xfId="0" applyNumberFormat="1" applyFont="1" applyFill="1" applyBorder="1" applyAlignment="1" applyProtection="1">
      <alignment horizontal="left" vertical="top"/>
      <protection locked="0"/>
    </xf>
    <xf numFmtId="15" fontId="9" fillId="0" borderId="9" xfId="0" applyNumberFormat="1" applyFont="1" applyFill="1" applyBorder="1" applyAlignment="1" applyProtection="1">
      <alignment horizontal="center" vertical="top"/>
      <protection locked="0"/>
    </xf>
    <xf numFmtId="1" fontId="9" fillId="0" borderId="9" xfId="0" applyNumberFormat="1" applyFont="1" applyFill="1" applyBorder="1" applyAlignment="1" applyProtection="1">
      <alignment horizontal="center" vertical="top"/>
      <protection locked="0"/>
    </xf>
    <xf numFmtId="3" fontId="61" fillId="0" borderId="9" xfId="0" applyNumberFormat="1" applyFont="1" applyFill="1" applyBorder="1" applyAlignment="1" applyProtection="1">
      <alignment horizontal="right" vertical="top"/>
      <protection locked="0"/>
    </xf>
    <xf numFmtId="167" fontId="9" fillId="0" borderId="9" xfId="0" applyNumberFormat="1" applyFont="1" applyFill="1" applyBorder="1" applyAlignment="1">
      <alignment horizontal="justify" vertical="top"/>
    </xf>
    <xf numFmtId="3" fontId="61" fillId="0" borderId="9" xfId="0" applyNumberFormat="1" applyFont="1" applyFill="1" applyBorder="1" applyAlignment="1" applyProtection="1">
      <alignment horizontal="left" vertical="top"/>
      <protection locked="0"/>
    </xf>
    <xf numFmtId="3" fontId="14" fillId="0" borderId="9" xfId="0" applyNumberFormat="1" applyFont="1" applyFill="1" applyBorder="1" applyAlignment="1" applyProtection="1">
      <alignment horizontal="justify" vertical="top" wrapText="1"/>
      <protection locked="0"/>
    </xf>
    <xf numFmtId="0" fontId="15" fillId="0" borderId="9" xfId="0" applyFont="1" applyFill="1" applyBorder="1" applyAlignment="1" applyProtection="1">
      <alignment horizontal="justify" vertical="top"/>
      <protection locked="0"/>
    </xf>
    <xf numFmtId="0" fontId="15" fillId="0" borderId="0" xfId="0" applyFont="1" applyFill="1" applyAlignment="1" applyProtection="1">
      <alignment horizontal="justify" vertical="top"/>
      <protection locked="0"/>
    </xf>
    <xf numFmtId="0" fontId="0" fillId="0" borderId="0" xfId="0" applyFill="1" applyAlignment="1" applyProtection="1">
      <alignment horizontal="justify" vertical="top"/>
      <protection locked="0"/>
    </xf>
    <xf numFmtId="3" fontId="61" fillId="0" borderId="9" xfId="0" applyNumberFormat="1" applyFont="1" applyFill="1" applyBorder="1" applyAlignment="1" applyProtection="1">
      <alignment horizontal="justify" vertical="top" wrapText="1"/>
      <protection locked="0"/>
    </xf>
    <xf numFmtId="15" fontId="9" fillId="0" borderId="9" xfId="0" applyNumberFormat="1" applyFont="1" applyFill="1" applyBorder="1" applyAlignment="1">
      <alignment horizontal="justify" vertical="top"/>
    </xf>
    <xf numFmtId="14" fontId="9" fillId="0" borderId="9" xfId="0" applyNumberFormat="1" applyFont="1" applyFill="1" applyBorder="1" applyAlignment="1">
      <alignment horizontal="justify" vertical="top"/>
    </xf>
    <xf numFmtId="3" fontId="85" fillId="34" borderId="9" xfId="0" applyNumberFormat="1" applyFont="1" applyFill="1" applyBorder="1" applyAlignment="1">
      <alignment horizontal="right" vertical="top"/>
    </xf>
    <xf numFmtId="3" fontId="8" fillId="0" borderId="0" xfId="0" applyNumberFormat="1" applyFont="1" applyAlignment="1" applyProtection="1">
      <alignment horizontal="justify" vertical="justify"/>
      <protection locked="0"/>
    </xf>
    <xf numFmtId="3" fontId="7" fillId="0" borderId="12" xfId="0" applyNumberFormat="1" applyFont="1" applyBorder="1" applyAlignment="1" applyProtection="1">
      <alignment horizontal="right" vertical="top"/>
      <protection locked="0"/>
    </xf>
    <xf numFmtId="3" fontId="7" fillId="0" borderId="9" xfId="0" applyNumberFormat="1" applyFont="1" applyFill="1" applyBorder="1" applyAlignment="1" applyProtection="1">
      <alignment horizontal="justify" vertical="top"/>
      <protection locked="0"/>
    </xf>
    <xf numFmtId="0" fontId="7" fillId="0" borderId="9" xfId="0" applyFont="1" applyFill="1" applyBorder="1" applyAlignment="1" applyProtection="1">
      <alignment horizontal="justify" vertical="top"/>
      <protection locked="0"/>
    </xf>
    <xf numFmtId="3" fontId="61" fillId="0" borderId="9" xfId="0" applyNumberFormat="1" applyFont="1" applyFill="1" applyBorder="1" applyAlignment="1" applyProtection="1">
      <alignment horizontal="left" vertical="top" wrapText="1"/>
      <protection locked="0"/>
    </xf>
    <xf numFmtId="3" fontId="7" fillId="0" borderId="9" xfId="0" applyNumberFormat="1" applyFont="1" applyFill="1" applyBorder="1" applyAlignment="1" applyProtection="1">
      <alignment vertical="top"/>
      <protection locked="0"/>
    </xf>
    <xf numFmtId="3" fontId="7" fillId="0" borderId="9" xfId="0" applyNumberFormat="1" applyFont="1" applyBorder="1" applyAlignment="1" applyProtection="1">
      <alignment horizontal="center" vertical="top" wrapText="1"/>
      <protection locked="0"/>
    </xf>
    <xf numFmtId="3" fontId="7" fillId="34" borderId="9" xfId="681" applyNumberFormat="1" applyFont="1" applyFill="1" applyBorder="1" applyAlignment="1">
      <alignment horizontal="right" vertical="top"/>
    </xf>
    <xf numFmtId="0" fontId="7" fillId="34" borderId="9" xfId="681" applyNumberFormat="1" applyFont="1" applyFill="1" applyBorder="1" applyAlignment="1">
      <alignment horizontal="right" vertical="top"/>
    </xf>
    <xf numFmtId="3" fontId="7" fillId="0" borderId="9" xfId="681" applyNumberFormat="1" applyFont="1" applyBorder="1" applyAlignment="1" applyProtection="1">
      <alignment horizontal="right" vertical="top"/>
      <protection locked="0"/>
    </xf>
    <xf numFmtId="0" fontId="87" fillId="0" borderId="9" xfId="0" applyFont="1" applyBorder="1" applyAlignment="1">
      <alignment vertical="center"/>
    </xf>
    <xf numFmtId="14" fontId="9" fillId="22" borderId="9" xfId="681" applyNumberFormat="1" applyFont="1" applyFill="1" applyBorder="1" applyAlignment="1">
      <alignment horizontal="justify" vertical="top"/>
    </xf>
    <xf numFmtId="0" fontId="9" fillId="22" borderId="9" xfId="681" applyFont="1" applyFill="1" applyBorder="1" applyAlignment="1">
      <alignment horizontal="justify" vertical="top"/>
    </xf>
    <xf numFmtId="15" fontId="9" fillId="0" borderId="9" xfId="681" applyNumberFormat="1" applyFont="1" applyFill="1" applyBorder="1" applyAlignment="1">
      <alignment horizontal="justify" vertical="top"/>
    </xf>
    <xf numFmtId="14" fontId="9" fillId="0" borderId="9" xfId="681" applyNumberFormat="1" applyFont="1" applyFill="1" applyBorder="1" applyAlignment="1">
      <alignment horizontal="justify" vertical="top"/>
    </xf>
    <xf numFmtId="0" fontId="9" fillId="0" borderId="9" xfId="681" applyFont="1" applyFill="1" applyBorder="1" applyAlignment="1">
      <alignment horizontal="justify" vertical="top"/>
    </xf>
    <xf numFmtId="0" fontId="9" fillId="34" borderId="9" xfId="0" applyFont="1" applyFill="1" applyBorder="1" applyAlignment="1">
      <alignment horizontal="center" vertical="top"/>
    </xf>
    <xf numFmtId="0" fontId="14" fillId="34" borderId="9" xfId="0" applyFont="1" applyFill="1" applyBorder="1" applyAlignment="1">
      <alignment horizontal="justify" vertical="top" wrapText="1"/>
    </xf>
    <xf numFmtId="169" fontId="9" fillId="0" borderId="9" xfId="0" applyNumberFormat="1" applyFont="1" applyFill="1" applyBorder="1" applyAlignment="1">
      <alignment horizontal="right" vertical="top"/>
    </xf>
    <xf numFmtId="169" fontId="16" fillId="0" borderId="9" xfId="0" applyNumberFormat="1" applyFont="1" applyFill="1" applyBorder="1" applyAlignment="1">
      <alignment horizontal="right" vertical="top"/>
    </xf>
    <xf numFmtId="169" fontId="9" fillId="0" borderId="9" xfId="0" applyNumberFormat="1" applyFont="1" applyFill="1" applyBorder="1" applyAlignment="1" applyProtection="1">
      <alignment horizontal="right" vertical="top"/>
      <protection locked="0"/>
    </xf>
    <xf numFmtId="3" fontId="14" fillId="34" borderId="9" xfId="0" applyNumberFormat="1" applyFont="1" applyFill="1" applyBorder="1" applyAlignment="1">
      <alignment horizontal="right" vertical="top"/>
    </xf>
    <xf numFmtId="0" fontId="14" fillId="34" borderId="9" xfId="0" applyNumberFormat="1" applyFont="1" applyFill="1" applyBorder="1" applyAlignment="1">
      <alignment horizontal="right" vertical="top"/>
    </xf>
    <xf numFmtId="0" fontId="14" fillId="0" borderId="9" xfId="0" applyFont="1" applyBorder="1" applyAlignment="1">
      <alignment horizontal="justify" vertical="top"/>
    </xf>
    <xf numFmtId="0" fontId="88" fillId="0" borderId="9" xfId="0" applyFont="1" applyBorder="1" applyAlignment="1">
      <alignment horizontal="justify" vertical="top"/>
    </xf>
    <xf numFmtId="0" fontId="89" fillId="0" borderId="9" xfId="0" applyFont="1" applyBorder="1" applyAlignment="1">
      <alignment horizontal="justify" vertical="top"/>
    </xf>
    <xf numFmtId="0" fontId="14" fillId="34" borderId="9" xfId="0" applyFont="1" applyFill="1" applyBorder="1" applyAlignment="1">
      <alignment horizontal="justify" vertical="justify" wrapText="1"/>
    </xf>
    <xf numFmtId="0" fontId="14" fillId="0" borderId="9" xfId="0" applyFont="1" applyBorder="1" applyAlignment="1" applyProtection="1">
      <alignment horizontal="justify" vertical="top" wrapText="1"/>
      <protection locked="0"/>
    </xf>
    <xf numFmtId="0" fontId="91" fillId="0" borderId="9" xfId="0" applyFont="1" applyBorder="1" applyAlignment="1">
      <alignment horizontal="justify" vertical="top"/>
    </xf>
    <xf numFmtId="0" fontId="14" fillId="34" borderId="9" xfId="0" applyFont="1" applyFill="1" applyBorder="1" applyAlignment="1" applyProtection="1">
      <alignment horizontal="justify" vertical="top" wrapText="1"/>
      <protection locked="0"/>
    </xf>
    <xf numFmtId="3" fontId="14" fillId="34" borderId="9" xfId="0" applyNumberFormat="1" applyFont="1" applyFill="1" applyBorder="1" applyAlignment="1" applyProtection="1">
      <alignment horizontal="right" vertical="top"/>
      <protection locked="0"/>
    </xf>
    <xf numFmtId="3" fontId="14" fillId="34" borderId="9" xfId="0" applyNumberFormat="1" applyFont="1" applyFill="1" applyBorder="1" applyAlignment="1" applyProtection="1">
      <alignment horizontal="justify" vertical="top" wrapText="1"/>
      <protection locked="0"/>
    </xf>
    <xf numFmtId="16" fontId="7" fillId="34" borderId="9" xfId="0" applyNumberFormat="1" applyFont="1" applyFill="1" applyBorder="1" applyAlignment="1">
      <alignment horizontal="right" vertical="top"/>
    </xf>
    <xf numFmtId="15" fontId="9" fillId="0" borderId="9" xfId="613" applyNumberFormat="1" applyFont="1" applyFill="1" applyBorder="1" applyAlignment="1">
      <alignment horizontal="left" vertical="center"/>
    </xf>
    <xf numFmtId="14" fontId="9" fillId="0" borderId="9" xfId="613" applyNumberFormat="1" applyFont="1" applyFill="1" applyBorder="1" applyAlignment="1">
      <alignment horizontal="left" vertical="center"/>
    </xf>
    <xf numFmtId="0" fontId="9" fillId="0" borderId="9" xfId="613" applyFont="1" applyFill="1" applyBorder="1" applyAlignment="1">
      <alignment horizontal="left" vertical="center"/>
    </xf>
    <xf numFmtId="0" fontId="61" fillId="0" borderId="9" xfId="0" applyFont="1" applyFill="1" applyBorder="1" applyAlignment="1">
      <alignment horizontal="left" vertical="top" wrapText="1"/>
    </xf>
    <xf numFmtId="0" fontId="9" fillId="34" borderId="22" xfId="613" applyFont="1" applyFill="1" applyBorder="1" applyAlignment="1">
      <alignment horizontal="justify" vertical="top"/>
    </xf>
    <xf numFmtId="0" fontId="9" fillId="0" borderId="9" xfId="0" applyFont="1" applyBorder="1" applyAlignment="1">
      <alignment horizontal="justify" vertical="center"/>
    </xf>
    <xf numFmtId="0" fontId="89" fillId="0" borderId="9" xfId="0" applyFont="1" applyBorder="1" applyAlignment="1">
      <alignment horizontal="justify" vertical="justify" wrapText="1"/>
    </xf>
    <xf numFmtId="0" fontId="93" fillId="0" borderId="9" xfId="0" applyFont="1" applyBorder="1" applyAlignment="1">
      <alignment vertical="top" wrapText="1"/>
    </xf>
    <xf numFmtId="0" fontId="9" fillId="34" borderId="9" xfId="613" applyFont="1" applyFill="1" applyBorder="1" applyAlignment="1">
      <alignment horizontal="left" vertical="top" wrapText="1"/>
    </xf>
    <xf numFmtId="15" fontId="9" fillId="34" borderId="9" xfId="0" applyNumberFormat="1" applyFont="1" applyFill="1" applyBorder="1" applyAlignment="1">
      <alignment horizontal="left" vertical="top" wrapText="1"/>
    </xf>
    <xf numFmtId="14" fontId="9" fillId="34" borderId="9" xfId="0" applyNumberFormat="1" applyFont="1" applyFill="1" applyBorder="1" applyAlignment="1">
      <alignment horizontal="left" vertical="top" wrapText="1"/>
    </xf>
    <xf numFmtId="0" fontId="9" fillId="34" borderId="9" xfId="0" applyFont="1" applyFill="1" applyBorder="1" applyAlignment="1">
      <alignment horizontal="left" vertical="top" wrapText="1"/>
    </xf>
    <xf numFmtId="0" fontId="9" fillId="34" borderId="9" xfId="0" applyFont="1" applyFill="1" applyBorder="1" applyAlignment="1">
      <alignment horizontal="justify" vertical="top" wrapText="1"/>
    </xf>
    <xf numFmtId="14" fontId="9" fillId="22" borderId="9" xfId="613" applyNumberFormat="1" applyFont="1" applyFill="1" applyBorder="1" applyAlignment="1">
      <alignment horizontal="left" vertical="top" wrapText="1"/>
    </xf>
    <xf numFmtId="14" fontId="9" fillId="22" borderId="9" xfId="0" applyNumberFormat="1" applyFont="1" applyFill="1" applyBorder="1" applyAlignment="1">
      <alignment horizontal="left" vertical="top" wrapText="1"/>
    </xf>
    <xf numFmtId="0" fontId="9" fillId="22" borderId="9" xfId="0" applyFont="1" applyFill="1" applyBorder="1" applyAlignment="1">
      <alignment horizontal="left" vertical="top" wrapText="1"/>
    </xf>
    <xf numFmtId="0" fontId="89" fillId="0" borderId="9" xfId="0" applyFont="1" applyBorder="1" applyAlignment="1">
      <alignment vertical="center" wrapText="1"/>
    </xf>
    <xf numFmtId="0" fontId="14" fillId="0" borderId="9" xfId="0" applyFont="1" applyFill="1" applyBorder="1" applyAlignment="1" applyProtection="1">
      <alignment horizontal="justify" vertical="top"/>
      <protection locked="0"/>
    </xf>
    <xf numFmtId="0" fontId="14" fillId="0" borderId="9" xfId="0" applyFont="1" applyBorder="1" applyAlignment="1">
      <alignment vertical="center" wrapText="1"/>
    </xf>
    <xf numFmtId="0" fontId="14" fillId="34" borderId="9" xfId="0" applyFont="1" applyFill="1" applyBorder="1" applyAlignment="1">
      <alignment horizontal="justify" vertical="top"/>
    </xf>
    <xf numFmtId="0" fontId="14" fillId="0" borderId="9" xfId="0" applyFont="1" applyBorder="1" applyAlignment="1">
      <alignment horizontal="justify" vertical="justify" wrapText="1"/>
    </xf>
    <xf numFmtId="0" fontId="14" fillId="0" borderId="9" xfId="0" applyFont="1" applyBorder="1" applyAlignment="1">
      <alignment horizontal="justify" vertical="top" wrapText="1"/>
    </xf>
    <xf numFmtId="0" fontId="9" fillId="0" borderId="9" xfId="613" applyFont="1" applyFill="1" applyBorder="1" applyAlignment="1">
      <alignment horizontal="justify" vertical="top" wrapText="1"/>
    </xf>
    <xf numFmtId="3" fontId="61" fillId="0" borderId="0" xfId="0" applyNumberFormat="1" applyFont="1" applyBorder="1" applyAlignment="1" applyProtection="1">
      <alignment horizontal="left" vertical="top"/>
      <protection locked="0"/>
    </xf>
    <xf numFmtId="0" fontId="14" fillId="0" borderId="9" xfId="0" applyFont="1" applyBorder="1" applyAlignment="1" applyProtection="1">
      <alignment horizontal="left" vertical="top"/>
      <protection locked="0"/>
    </xf>
    <xf numFmtId="3" fontId="14" fillId="34" borderId="9" xfId="0" applyNumberFormat="1" applyFont="1" applyFill="1" applyBorder="1" applyAlignment="1">
      <alignment horizontal="left" vertical="top" wrapText="1"/>
    </xf>
    <xf numFmtId="3" fontId="14" fillId="0" borderId="9" xfId="0" applyNumberFormat="1" applyFont="1" applyFill="1" applyBorder="1" applyAlignment="1">
      <alignment horizontal="left" vertical="top" wrapText="1"/>
    </xf>
    <xf numFmtId="3" fontId="61" fillId="0" borderId="9" xfId="0" applyNumberFormat="1" applyFont="1" applyFill="1" applyBorder="1" applyAlignment="1">
      <alignment horizontal="left" vertical="top" wrapText="1"/>
    </xf>
    <xf numFmtId="3" fontId="14" fillId="0" borderId="9" xfId="0" applyNumberFormat="1" applyFont="1" applyFill="1" applyBorder="1" applyAlignment="1" applyProtection="1">
      <alignment horizontal="right" vertical="top"/>
      <protection locked="0"/>
    </xf>
    <xf numFmtId="3" fontId="14" fillId="0" borderId="9" xfId="0" applyNumberFormat="1" applyFont="1" applyFill="1" applyBorder="1" applyAlignment="1" applyProtection="1">
      <alignment horizontal="left" vertical="top" wrapText="1"/>
      <protection locked="0"/>
    </xf>
    <xf numFmtId="3" fontId="14" fillId="0" borderId="9" xfId="0" applyNumberFormat="1" applyFont="1" applyFill="1" applyBorder="1" applyAlignment="1" applyProtection="1">
      <alignment horizontal="left" vertical="top"/>
      <protection locked="0"/>
    </xf>
    <xf numFmtId="0" fontId="14" fillId="0" borderId="9" xfId="0" applyFont="1" applyBorder="1" applyAlignment="1">
      <alignment horizontal="justify" vertical="center"/>
    </xf>
    <xf numFmtId="0" fontId="89" fillId="0" borderId="9" xfId="0" applyFont="1" applyBorder="1" applyAlignment="1">
      <alignment wrapText="1"/>
    </xf>
    <xf numFmtId="0" fontId="14" fillId="0" borderId="9" xfId="0" applyFont="1" applyFill="1" applyBorder="1" applyAlignment="1">
      <alignment horizontal="left" vertical="top" wrapText="1"/>
    </xf>
    <xf numFmtId="3" fontId="14" fillId="0" borderId="9" xfId="0" applyNumberFormat="1" applyFont="1" applyFill="1" applyBorder="1" applyAlignment="1">
      <alignment horizontal="left" vertical="top"/>
    </xf>
    <xf numFmtId="169" fontId="14" fillId="0" borderId="9" xfId="0" applyNumberFormat="1" applyFont="1" applyBorder="1" applyAlignment="1">
      <alignment horizontal="left" vertical="top"/>
    </xf>
    <xf numFmtId="3" fontId="7" fillId="0" borderId="9" xfId="0" applyNumberFormat="1" applyFont="1" applyFill="1" applyBorder="1" applyAlignment="1" applyProtection="1">
      <alignment horizontal="justify" vertical="top" wrapText="1"/>
      <protection locked="0"/>
    </xf>
    <xf numFmtId="3" fontId="7" fillId="34" borderId="9" xfId="0" applyNumberFormat="1" applyFont="1" applyFill="1" applyBorder="1" applyAlignment="1" applyProtection="1">
      <alignment horizontal="justify" vertical="top" wrapText="1"/>
      <protection locked="0"/>
    </xf>
    <xf numFmtId="3" fontId="14" fillId="34" borderId="9" xfId="0" applyNumberFormat="1" applyFont="1" applyFill="1" applyBorder="1" applyAlignment="1" applyProtection="1">
      <alignment horizontal="left" vertical="top" wrapText="1"/>
      <protection locked="0"/>
    </xf>
    <xf numFmtId="3" fontId="14" fillId="34" borderId="9" xfId="0" applyNumberFormat="1" applyFont="1" applyFill="1" applyBorder="1" applyAlignment="1" applyProtection="1">
      <alignment horizontal="left" vertical="top"/>
      <protection locked="0"/>
    </xf>
    <xf numFmtId="0" fontId="14" fillId="0" borderId="9" xfId="0" applyFont="1" applyBorder="1" applyAlignment="1">
      <alignment vertical="top" wrapText="1"/>
    </xf>
    <xf numFmtId="3" fontId="7" fillId="34" borderId="9" xfId="0" applyNumberFormat="1" applyFont="1" applyFill="1" applyBorder="1" applyAlignment="1">
      <alignment horizontal="right" vertical="top" wrapText="1"/>
    </xf>
    <xf numFmtId="0" fontId="93" fillId="0" borderId="9" xfId="0" applyFont="1" applyBorder="1" applyAlignment="1">
      <alignment horizontal="justify" vertical="top"/>
    </xf>
    <xf numFmtId="0" fontId="94" fillId="0" borderId="9" xfId="0" applyFont="1" applyBorder="1" applyAlignment="1">
      <alignment horizontal="justify" vertical="top"/>
    </xf>
    <xf numFmtId="0" fontId="93" fillId="0" borderId="9" xfId="0" applyFont="1" applyBorder="1" applyAlignment="1">
      <alignment horizontal="justify" vertical="top" wrapText="1"/>
    </xf>
    <xf numFmtId="0" fontId="93" fillId="0" borderId="9" xfId="0" applyFont="1" applyBorder="1" applyAlignment="1">
      <alignment horizontal="justify" vertical="center" wrapText="1"/>
    </xf>
    <xf numFmtId="0" fontId="14" fillId="22" borderId="9" xfId="0" applyFont="1" applyFill="1" applyBorder="1" applyAlignment="1">
      <alignment horizontal="justify" vertical="top"/>
    </xf>
    <xf numFmtId="0" fontId="14" fillId="0" borderId="0" xfId="0" applyFont="1" applyFill="1" applyBorder="1" applyAlignment="1" applyProtection="1">
      <alignment horizontal="justify" vertical="top" wrapText="1"/>
      <protection locked="0"/>
    </xf>
    <xf numFmtId="0" fontId="89" fillId="0" borderId="9" xfId="0" applyFont="1" applyBorder="1" applyAlignment="1">
      <alignment horizontal="justify" vertical="top" wrapText="1"/>
    </xf>
    <xf numFmtId="0" fontId="14" fillId="0" borderId="9" xfId="0" applyFont="1" applyBorder="1" applyAlignment="1">
      <alignment horizontal="center" vertical="center" wrapText="1"/>
    </xf>
    <xf numFmtId="3" fontId="61" fillId="0" borderId="9" xfId="0" applyNumberFormat="1" applyFont="1" applyFill="1" applyBorder="1" applyAlignment="1">
      <alignment horizontal="left" vertical="top"/>
    </xf>
    <xf numFmtId="167" fontId="15" fillId="0" borderId="9" xfId="0" applyNumberFormat="1" applyFont="1" applyBorder="1" applyAlignment="1" applyProtection="1">
      <alignment vertical="top"/>
      <protection locked="0"/>
    </xf>
    <xf numFmtId="0" fontId="9" fillId="0" borderId="22" xfId="0" applyFont="1" applyBorder="1" applyAlignment="1" applyProtection="1">
      <alignment horizontal="justify" vertical="top"/>
      <protection locked="0"/>
    </xf>
    <xf numFmtId="14" fontId="9" fillId="22" borderId="0" xfId="613" applyNumberFormat="1" applyFont="1" applyFill="1" applyBorder="1" applyAlignment="1">
      <alignment horizontal="justify" vertical="top"/>
    </xf>
    <xf numFmtId="0" fontId="9" fillId="0" borderId="0" xfId="0" applyFont="1" applyBorder="1" applyAlignment="1" applyProtection="1">
      <alignment horizontal="justify" vertical="top"/>
      <protection locked="0"/>
    </xf>
    <xf numFmtId="0" fontId="9" fillId="0" borderId="23" xfId="0" applyFont="1" applyBorder="1" applyAlignment="1" applyProtection="1">
      <alignment horizontal="justify" vertical="top"/>
      <protection locked="0"/>
    </xf>
    <xf numFmtId="0" fontId="7" fillId="34" borderId="0" xfId="0" quotePrefix="1" applyNumberFormat="1" applyFont="1" applyFill="1" applyBorder="1" applyAlignment="1">
      <alignment horizontal="right" vertical="top"/>
    </xf>
    <xf numFmtId="172" fontId="7" fillId="0" borderId="12" xfId="596" applyNumberFormat="1" applyFont="1" applyBorder="1" applyAlignment="1" applyProtection="1">
      <alignment horizontal="right" vertical="top"/>
      <protection locked="0"/>
    </xf>
    <xf numFmtId="0" fontId="14" fillId="0" borderId="0" xfId="0" applyFont="1" applyBorder="1" applyAlignment="1" applyProtection="1">
      <alignment horizontal="justify" vertical="top"/>
      <protection locked="0"/>
    </xf>
    <xf numFmtId="0" fontId="93" fillId="0" borderId="9" xfId="0" applyFont="1" applyBorder="1" applyAlignment="1">
      <alignment horizontal="justify" vertical="center"/>
    </xf>
    <xf numFmtId="3" fontId="14" fillId="34" borderId="9" xfId="0" applyNumberFormat="1" applyFont="1" applyFill="1" applyBorder="1" applyAlignment="1">
      <alignment vertical="top" wrapText="1"/>
    </xf>
    <xf numFmtId="0" fontId="14" fillId="34" borderId="0" xfId="0" applyFont="1" applyFill="1" applyBorder="1" applyAlignment="1">
      <alignment horizontal="justify" vertical="top" wrapText="1"/>
    </xf>
    <xf numFmtId="3" fontId="15" fillId="0" borderId="9" xfId="0" applyNumberFormat="1" applyFont="1" applyFill="1" applyBorder="1" applyAlignment="1" applyProtection="1">
      <alignment vertical="top"/>
      <protection locked="0"/>
    </xf>
    <xf numFmtId="3" fontId="9" fillId="0" borderId="9" xfId="0" applyNumberFormat="1" applyFont="1" applyFill="1" applyBorder="1" applyAlignment="1" applyProtection="1">
      <alignment horizontal="justify" vertical="top"/>
      <protection locked="0"/>
    </xf>
    <xf numFmtId="0" fontId="85" fillId="0" borderId="0" xfId="0" applyFont="1" applyFill="1" applyAlignment="1" applyProtection="1">
      <alignment horizontal="justify" vertical="top"/>
      <protection locked="0"/>
    </xf>
    <xf numFmtId="0" fontId="7" fillId="0" borderId="0" xfId="0" applyFont="1" applyFill="1" applyAlignment="1" applyProtection="1">
      <alignment horizontal="justify" vertical="top"/>
      <protection locked="0"/>
    </xf>
    <xf numFmtId="0" fontId="94" fillId="0" borderId="9" xfId="0" applyFont="1" applyBorder="1" applyAlignment="1">
      <alignment horizontal="justify" vertical="top" wrapText="1"/>
    </xf>
    <xf numFmtId="0" fontId="9" fillId="34" borderId="9" xfId="681" applyFont="1" applyFill="1" applyBorder="1" applyAlignment="1">
      <alignment horizontal="justify" vertical="top"/>
    </xf>
    <xf numFmtId="14" fontId="9" fillId="22" borderId="9" xfId="613" applyNumberFormat="1" applyFont="1" applyFill="1" applyBorder="1" applyAlignment="1">
      <alignment horizontal="justify" vertical="top"/>
    </xf>
    <xf numFmtId="15" fontId="9" fillId="34" borderId="9" xfId="613" applyNumberFormat="1" applyFont="1" applyFill="1" applyBorder="1" applyAlignment="1">
      <alignment horizontal="justify" vertical="top"/>
    </xf>
    <xf numFmtId="0" fontId="9" fillId="34" borderId="9" xfId="613" applyFont="1" applyFill="1" applyBorder="1" applyAlignment="1">
      <alignment horizontal="justify" vertical="top"/>
    </xf>
    <xf numFmtId="0" fontId="0" fillId="0" borderId="9" xfId="0" applyBorder="1" applyAlignment="1" applyProtection="1">
      <alignment horizontal="justify" vertical="top"/>
      <protection locked="0"/>
    </xf>
    <xf numFmtId="0" fontId="99" fillId="0" borderId="9" xfId="0" applyFont="1" applyBorder="1" applyAlignment="1">
      <alignment horizontal="justify" vertical="top"/>
    </xf>
    <xf numFmtId="0" fontId="14" fillId="22" borderId="9" xfId="0" applyFont="1" applyFill="1" applyBorder="1" applyAlignment="1">
      <alignment horizontal="justify" vertical="top" wrapText="1"/>
    </xf>
    <xf numFmtId="0" fontId="14" fillId="0" borderId="9" xfId="0" applyFont="1" applyFill="1" applyBorder="1" applyAlignment="1">
      <alignment horizontal="justify" vertical="top"/>
    </xf>
    <xf numFmtId="3" fontId="9" fillId="0" borderId="18" xfId="0" applyNumberFormat="1" applyFont="1" applyBorder="1" applyAlignment="1" applyProtection="1">
      <alignment horizontal="justify" vertical="top"/>
      <protection locked="0"/>
    </xf>
    <xf numFmtId="15" fontId="9" fillId="34" borderId="23" xfId="613" applyNumberFormat="1" applyFont="1" applyFill="1" applyBorder="1" applyAlignment="1">
      <alignment horizontal="justify" vertical="top"/>
    </xf>
    <xf numFmtId="3" fontId="11" fillId="0" borderId="12" xfId="0" applyNumberFormat="1" applyFont="1" applyBorder="1" applyAlignment="1" applyProtection="1">
      <alignment horizontal="justify" vertical="top"/>
      <protection locked="0"/>
    </xf>
    <xf numFmtId="167" fontId="97" fillId="22" borderId="9" xfId="0" applyNumberFormat="1" applyFont="1" applyFill="1" applyBorder="1" applyAlignment="1">
      <alignment horizontal="justify" vertical="top"/>
    </xf>
    <xf numFmtId="0" fontId="0" fillId="0" borderId="9" xfId="0" applyBorder="1" applyAlignment="1">
      <alignment horizontal="justify" vertical="top"/>
    </xf>
    <xf numFmtId="0" fontId="14" fillId="0" borderId="0" xfId="681" applyFont="1" applyFill="1" applyBorder="1" applyAlignment="1" applyProtection="1">
      <alignment horizontal="justify" vertical="top" wrapText="1"/>
      <protection locked="0"/>
    </xf>
    <xf numFmtId="0" fontId="14" fillId="0" borderId="0" xfId="0" applyFont="1" applyBorder="1" applyAlignment="1" applyProtection="1">
      <alignment horizontal="justify" vertical="top" wrapText="1"/>
      <protection locked="0"/>
    </xf>
    <xf numFmtId="0" fontId="93" fillId="0" borderId="0" xfId="0" applyFont="1" applyBorder="1" applyAlignment="1">
      <alignment horizontal="justify" vertical="top"/>
    </xf>
    <xf numFmtId="0" fontId="61" fillId="0" borderId="9" xfId="0" applyFont="1" applyFill="1" applyBorder="1" applyAlignment="1">
      <alignment horizontal="left" vertical="top"/>
    </xf>
    <xf numFmtId="0" fontId="89" fillId="0" borderId="0" xfId="0" applyFont="1" applyBorder="1" applyAlignment="1">
      <alignment horizontal="justify" vertical="top" wrapText="1"/>
    </xf>
    <xf numFmtId="0" fontId="14" fillId="0" borderId="9" xfId="0" applyFont="1" applyFill="1" applyBorder="1" applyAlignment="1">
      <alignment horizontal="justify" vertical="top" wrapText="1"/>
    </xf>
    <xf numFmtId="0" fontId="0" fillId="0" borderId="0" xfId="0" applyBorder="1" applyAlignment="1">
      <alignment horizontal="justify" vertical="top"/>
    </xf>
    <xf numFmtId="3" fontId="14" fillId="0" borderId="9" xfId="0" applyNumberFormat="1" applyFont="1" applyFill="1" applyBorder="1" applyAlignment="1">
      <alignment vertical="top"/>
    </xf>
    <xf numFmtId="0" fontId="11" fillId="29" borderId="22" xfId="0" applyFont="1" applyFill="1" applyBorder="1" applyAlignment="1" applyProtection="1">
      <alignment horizontal="center" vertical="top" wrapText="1"/>
      <protection locked="0"/>
    </xf>
    <xf numFmtId="0" fontId="11" fillId="29" borderId="23" xfId="0" applyFont="1" applyFill="1" applyBorder="1" applyAlignment="1" applyProtection="1">
      <alignment horizontal="center" vertical="top" wrapText="1"/>
      <protection locked="0"/>
    </xf>
    <xf numFmtId="3" fontId="7" fillId="36" borderId="9" xfId="0" applyNumberFormat="1" applyFont="1" applyFill="1" applyBorder="1" applyAlignment="1" applyProtection="1">
      <alignment horizontal="center" vertical="justify"/>
      <protection locked="0"/>
    </xf>
    <xf numFmtId="0" fontId="10" fillId="32" borderId="13" xfId="0" applyFont="1" applyFill="1" applyBorder="1" applyAlignment="1" applyProtection="1">
      <alignment horizontal="center" vertical="justify"/>
      <protection locked="0"/>
    </xf>
    <xf numFmtId="0" fontId="0" fillId="0" borderId="10" xfId="0" applyBorder="1" applyAlignment="1" applyProtection="1">
      <alignment horizontal="center"/>
      <protection locked="0"/>
    </xf>
    <xf numFmtId="0" fontId="0" fillId="0" borderId="14" xfId="0" applyBorder="1" applyAlignment="1" applyProtection="1">
      <alignment horizontal="center"/>
      <protection locked="0"/>
    </xf>
    <xf numFmtId="0" fontId="11" fillId="29" borderId="13" xfId="0" applyFont="1" applyFill="1" applyBorder="1" applyAlignment="1" applyProtection="1">
      <alignment horizontal="center" vertical="justify"/>
      <protection locked="0"/>
    </xf>
    <xf numFmtId="0" fontId="11" fillId="29" borderId="14" xfId="0" applyFont="1" applyFill="1" applyBorder="1" applyAlignment="1" applyProtection="1">
      <alignment horizontal="center" vertical="justify"/>
      <protection locked="0"/>
    </xf>
    <xf numFmtId="0" fontId="11" fillId="29" borderId="13" xfId="0" applyFont="1" applyFill="1" applyBorder="1" applyAlignment="1">
      <alignment horizontal="center" vertical="justify"/>
    </xf>
    <xf numFmtId="0" fontId="11" fillId="29" borderId="14" xfId="0" applyFont="1" applyFill="1" applyBorder="1" applyAlignment="1">
      <alignment horizontal="center" vertical="justify"/>
    </xf>
    <xf numFmtId="0" fontId="11" fillId="29" borderId="10" xfId="0" applyFont="1" applyFill="1" applyBorder="1" applyAlignment="1" applyProtection="1">
      <alignment horizontal="center" vertical="justify"/>
      <protection locked="0"/>
    </xf>
    <xf numFmtId="0" fontId="0" fillId="29" borderId="10" xfId="0" applyFill="1" applyBorder="1" applyAlignment="1" applyProtection="1">
      <alignment horizontal="center"/>
      <protection locked="0"/>
    </xf>
    <xf numFmtId="0" fontId="10" fillId="33" borderId="20" xfId="0" applyFont="1" applyFill="1" applyBorder="1" applyAlignment="1" applyProtection="1">
      <alignment horizontal="center" vertical="justify"/>
      <protection locked="0"/>
    </xf>
    <xf numFmtId="0" fontId="10" fillId="33" borderId="21" xfId="0" applyFont="1" applyFill="1" applyBorder="1" applyAlignment="1" applyProtection="1">
      <alignment horizontal="center" vertical="justify"/>
      <protection locked="0"/>
    </xf>
    <xf numFmtId="166" fontId="8" fillId="31" borderId="13" xfId="0" applyNumberFormat="1" applyFont="1" applyFill="1" applyBorder="1" applyAlignment="1" applyProtection="1">
      <alignment horizontal="center" vertical="justify"/>
      <protection locked="0"/>
    </xf>
    <xf numFmtId="166" fontId="8" fillId="31" borderId="10" xfId="0" applyNumberFormat="1" applyFont="1" applyFill="1" applyBorder="1" applyAlignment="1" applyProtection="1">
      <alignment horizontal="center" vertical="justify"/>
      <protection locked="0"/>
    </xf>
    <xf numFmtId="168" fontId="13" fillId="31" borderId="14" xfId="0" applyNumberFormat="1" applyFont="1" applyFill="1" applyBorder="1" applyAlignment="1" applyProtection="1">
      <alignment horizontal="center" vertical="justify"/>
      <protection locked="0"/>
    </xf>
    <xf numFmtId="0" fontId="12" fillId="28" borderId="17" xfId="0" applyFont="1" applyFill="1" applyBorder="1" applyAlignment="1" applyProtection="1">
      <alignment horizontal="center" vertical="justify"/>
      <protection locked="0"/>
    </xf>
    <xf numFmtId="0" fontId="12" fillId="28" borderId="18" xfId="0" applyFont="1" applyFill="1" applyBorder="1" applyAlignment="1" applyProtection="1">
      <alignment horizontal="center" vertical="justify"/>
      <protection locked="0"/>
    </xf>
    <xf numFmtId="0" fontId="12" fillId="28" borderId="19" xfId="0" applyFont="1" applyFill="1" applyBorder="1" applyAlignment="1" applyProtection="1">
      <alignment horizontal="center" vertical="justify"/>
      <protection locked="0"/>
    </xf>
    <xf numFmtId="0" fontId="0" fillId="29" borderId="14" xfId="0" applyFill="1" applyBorder="1" applyAlignment="1" applyProtection="1">
      <alignment horizontal="center"/>
      <protection locked="0"/>
    </xf>
    <xf numFmtId="0" fontId="11" fillId="29" borderId="15" xfId="0" applyFont="1" applyFill="1" applyBorder="1" applyAlignment="1" applyProtection="1">
      <alignment horizontal="center" vertical="justify"/>
      <protection locked="0"/>
    </xf>
    <xf numFmtId="0" fontId="11" fillId="29" borderId="16" xfId="0" applyFont="1" applyFill="1" applyBorder="1" applyAlignment="1" applyProtection="1">
      <alignment horizontal="center" vertical="justify"/>
      <protection locked="0"/>
    </xf>
  </cellXfs>
  <cellStyles count="685">
    <cellStyle name="20% - Accent1" xfId="1"/>
    <cellStyle name="20% - Accent2" xfId="2"/>
    <cellStyle name="20% - Accent3" xfId="3"/>
    <cellStyle name="20% - Accent4" xfId="4"/>
    <cellStyle name="20% - Accent5" xfId="5"/>
    <cellStyle name="20% - Accent6" xfId="6"/>
    <cellStyle name="40% - Accent1" xfId="7"/>
    <cellStyle name="40% - Accent2" xfId="8"/>
    <cellStyle name="40% - Accent3" xfId="9"/>
    <cellStyle name="40% - Accent4" xfId="10"/>
    <cellStyle name="40% - Accent5" xfId="11"/>
    <cellStyle name="40% - Accent6" xfId="12"/>
    <cellStyle name="60% - Accent1" xfId="13"/>
    <cellStyle name="60% - Accent2" xfId="14"/>
    <cellStyle name="60% - Accent3" xfId="15"/>
    <cellStyle name="60% - Accent4" xfId="16"/>
    <cellStyle name="60% - Accent5" xfId="17"/>
    <cellStyle name="60% - Accent6" xfId="18"/>
    <cellStyle name="Accent1" xfId="19"/>
    <cellStyle name="Accent2" xfId="20"/>
    <cellStyle name="Accent3" xfId="21"/>
    <cellStyle name="Accent4" xfId="22"/>
    <cellStyle name="Accent5" xfId="23"/>
    <cellStyle name="Accent6" xfId="24"/>
    <cellStyle name="Bad" xfId="25"/>
    <cellStyle name="Calculation" xfId="26"/>
    <cellStyle name="Check Cell" xfId="27"/>
    <cellStyle name="Euro" xfId="28"/>
    <cellStyle name="Euro 10" xfId="29"/>
    <cellStyle name="Euro 10 2" xfId="376"/>
    <cellStyle name="Euro 11" xfId="30"/>
    <cellStyle name="Euro 11 2" xfId="377"/>
    <cellStyle name="Euro 12" xfId="31"/>
    <cellStyle name="Euro 12 2" xfId="378"/>
    <cellStyle name="Euro 13" xfId="32"/>
    <cellStyle name="Euro 13 2" xfId="33"/>
    <cellStyle name="Euro 13 2 2" xfId="380"/>
    <cellStyle name="Euro 13 3" xfId="379"/>
    <cellStyle name="Euro 14" xfId="34"/>
    <cellStyle name="Euro 14 2" xfId="381"/>
    <cellStyle name="Euro 15" xfId="35"/>
    <cellStyle name="Euro 15 2" xfId="382"/>
    <cellStyle name="Euro 16" xfId="36"/>
    <cellStyle name="Euro 16 2" xfId="37"/>
    <cellStyle name="Euro 16 2 2" xfId="384"/>
    <cellStyle name="Euro 16 3" xfId="383"/>
    <cellStyle name="Euro 17" xfId="38"/>
    <cellStyle name="Euro 17 2" xfId="385"/>
    <cellStyle name="Euro 18" xfId="39"/>
    <cellStyle name="Euro 18 2" xfId="386"/>
    <cellStyle name="Euro 19" xfId="40"/>
    <cellStyle name="Euro 19 2" xfId="387"/>
    <cellStyle name="Euro 2" xfId="41"/>
    <cellStyle name="Euro 2 2" xfId="42"/>
    <cellStyle name="Euro 2 2 2" xfId="389"/>
    <cellStyle name="Euro 2 3" xfId="43"/>
    <cellStyle name="Euro 2 3 10" xfId="390"/>
    <cellStyle name="Euro 2 3 2" xfId="44"/>
    <cellStyle name="Euro 2 3 2 2" xfId="45"/>
    <cellStyle name="Euro 2 3 2 2 2" xfId="392"/>
    <cellStyle name="Euro 2 3 2 3" xfId="391"/>
    <cellStyle name="Euro 2 3 3" xfId="46"/>
    <cellStyle name="Euro 2 3 3 2" xfId="47"/>
    <cellStyle name="Euro 2 3 3 2 2" xfId="394"/>
    <cellStyle name="Euro 2 3 3 3" xfId="393"/>
    <cellStyle name="Euro 2 3 4" xfId="48"/>
    <cellStyle name="Euro 2 3 4 2" xfId="49"/>
    <cellStyle name="Euro 2 3 4 2 2" xfId="396"/>
    <cellStyle name="Euro 2 3 4 3" xfId="395"/>
    <cellStyle name="Euro 2 3 5" xfId="50"/>
    <cellStyle name="Euro 2 3 5 2" xfId="51"/>
    <cellStyle name="Euro 2 3 5 2 2" xfId="398"/>
    <cellStyle name="Euro 2 3 5 3" xfId="397"/>
    <cellStyle name="Euro 2 3 6" xfId="52"/>
    <cellStyle name="Euro 2 3 6 2" xfId="53"/>
    <cellStyle name="Euro 2 3 6 2 2" xfId="400"/>
    <cellStyle name="Euro 2 3 6 3" xfId="399"/>
    <cellStyle name="Euro 2 3 7" xfId="54"/>
    <cellStyle name="Euro 2 3 7 2" xfId="55"/>
    <cellStyle name="Euro 2 3 7 2 2" xfId="402"/>
    <cellStyle name="Euro 2 3 7 3" xfId="401"/>
    <cellStyle name="Euro 2 3 8" xfId="56"/>
    <cellStyle name="Euro 2 3 8 2" xfId="57"/>
    <cellStyle name="Euro 2 3 8 2 2" xfId="404"/>
    <cellStyle name="Euro 2 3 8 3" xfId="403"/>
    <cellStyle name="Euro 2 3 9" xfId="58"/>
    <cellStyle name="Euro 2 3 9 2" xfId="59"/>
    <cellStyle name="Euro 2 3 9 3" xfId="405"/>
    <cellStyle name="Euro 2 4" xfId="388"/>
    <cellStyle name="Euro 20" xfId="60"/>
    <cellStyle name="Euro 20 2" xfId="406"/>
    <cellStyle name="Euro 21" xfId="61"/>
    <cellStyle name="Euro 21 2" xfId="407"/>
    <cellStyle name="Euro 22" xfId="62"/>
    <cellStyle name="Euro 22 2" xfId="408"/>
    <cellStyle name="Euro 23" xfId="63"/>
    <cellStyle name="Euro 23 2" xfId="409"/>
    <cellStyle name="Euro 24" xfId="64"/>
    <cellStyle name="Euro 24 2" xfId="410"/>
    <cellStyle name="Euro 25" xfId="65"/>
    <cellStyle name="Euro 25 2" xfId="411"/>
    <cellStyle name="Euro 26" xfId="66"/>
    <cellStyle name="Euro 26 2" xfId="412"/>
    <cellStyle name="Euro 27" xfId="67"/>
    <cellStyle name="Euro 27 2" xfId="413"/>
    <cellStyle name="Euro 28" xfId="68"/>
    <cellStyle name="Euro 28 2" xfId="414"/>
    <cellStyle name="Euro 29" xfId="69"/>
    <cellStyle name="Euro 29 2" xfId="415"/>
    <cellStyle name="Euro 3" xfId="70"/>
    <cellStyle name="Euro 3 2" xfId="416"/>
    <cellStyle name="Euro 30" xfId="71"/>
    <cellStyle name="Euro 30 2" xfId="72"/>
    <cellStyle name="Euro 30 2 2" xfId="418"/>
    <cellStyle name="Euro 30 3" xfId="417"/>
    <cellStyle name="Euro 31" xfId="73"/>
    <cellStyle name="Euro 31 2" xfId="419"/>
    <cellStyle name="Euro 32" xfId="74"/>
    <cellStyle name="Euro 32 2" xfId="420"/>
    <cellStyle name="Euro 33" xfId="75"/>
    <cellStyle name="Euro 33 2" xfId="421"/>
    <cellStyle name="Euro 34" xfId="76"/>
    <cellStyle name="Euro 34 2" xfId="422"/>
    <cellStyle name="Euro 35" xfId="77"/>
    <cellStyle name="Euro 35 2" xfId="423"/>
    <cellStyle name="Euro 36" xfId="78"/>
    <cellStyle name="Euro 36 2" xfId="424"/>
    <cellStyle name="Euro 37" xfId="79"/>
    <cellStyle name="Euro 37 2" xfId="425"/>
    <cellStyle name="Euro 38" xfId="80"/>
    <cellStyle name="Euro 38 2" xfId="426"/>
    <cellStyle name="Euro 39" xfId="81"/>
    <cellStyle name="Euro 39 2" xfId="427"/>
    <cellStyle name="Euro 4" xfId="82"/>
    <cellStyle name="Euro 4 10" xfId="83"/>
    <cellStyle name="Euro 4 10 2" xfId="429"/>
    <cellStyle name="Euro 4 11" xfId="84"/>
    <cellStyle name="Euro 4 11 2" xfId="430"/>
    <cellStyle name="Euro 4 12" xfId="85"/>
    <cellStyle name="Euro 4 12 2" xfId="431"/>
    <cellStyle name="Euro 4 13" xfId="86"/>
    <cellStyle name="Euro 4 13 2" xfId="432"/>
    <cellStyle name="Euro 4 14" xfId="87"/>
    <cellStyle name="Euro 4 14 2" xfId="433"/>
    <cellStyle name="Euro 4 15" xfId="88"/>
    <cellStyle name="Euro 4 15 2" xfId="434"/>
    <cellStyle name="Euro 4 16" xfId="89"/>
    <cellStyle name="Euro 4 16 2" xfId="435"/>
    <cellStyle name="Euro 4 17" xfId="90"/>
    <cellStyle name="Euro 4 17 2" xfId="436"/>
    <cellStyle name="Euro 4 18" xfId="91"/>
    <cellStyle name="Euro 4 18 2" xfId="437"/>
    <cellStyle name="Euro 4 19" xfId="92"/>
    <cellStyle name="Euro 4 19 2" xfId="438"/>
    <cellStyle name="Euro 4 2" xfId="93"/>
    <cellStyle name="Euro 4 2 2" xfId="94"/>
    <cellStyle name="Euro 4 2 2 2" xfId="440"/>
    <cellStyle name="Euro 4 2 3" xfId="439"/>
    <cellStyle name="Euro 4 20" xfId="95"/>
    <cellStyle name="Euro 4 20 2" xfId="441"/>
    <cellStyle name="Euro 4 21" xfId="96"/>
    <cellStyle name="Euro 4 21 2" xfId="442"/>
    <cellStyle name="Euro 4 22" xfId="97"/>
    <cellStyle name="Euro 4 22 2" xfId="443"/>
    <cellStyle name="Euro 4 23" xfId="98"/>
    <cellStyle name="Euro 4 23 2" xfId="444"/>
    <cellStyle name="Euro 4 24" xfId="99"/>
    <cellStyle name="Euro 4 24 2" xfId="445"/>
    <cellStyle name="Euro 4 25" xfId="100"/>
    <cellStyle name="Euro 4 25 2" xfId="446"/>
    <cellStyle name="Euro 4 26" xfId="101"/>
    <cellStyle name="Euro 4 26 2" xfId="447"/>
    <cellStyle name="Euro 4 27" xfId="102"/>
    <cellStyle name="Euro 4 27 2" xfId="448"/>
    <cellStyle name="Euro 4 28" xfId="103"/>
    <cellStyle name="Euro 4 28 2" xfId="449"/>
    <cellStyle name="Euro 4 29" xfId="104"/>
    <cellStyle name="Euro 4 29 2" xfId="450"/>
    <cellStyle name="Euro 4 3" xfId="105"/>
    <cellStyle name="Euro 4 3 2" xfId="451"/>
    <cellStyle name="Euro 4 30" xfId="106"/>
    <cellStyle name="Euro 4 30 2" xfId="452"/>
    <cellStyle name="Euro 4 31" xfId="107"/>
    <cellStyle name="Euro 4 31 2" xfId="453"/>
    <cellStyle name="Euro 4 32" xfId="108"/>
    <cellStyle name="Euro 4 32 2" xfId="454"/>
    <cellStyle name="Euro 4 33" xfId="109"/>
    <cellStyle name="Euro 4 33 2" xfId="455"/>
    <cellStyle name="Euro 4 34" xfId="110"/>
    <cellStyle name="Euro 4 34 2" xfId="456"/>
    <cellStyle name="Euro 4 35" xfId="111"/>
    <cellStyle name="Euro 4 35 2" xfId="457"/>
    <cellStyle name="Euro 4 36" xfId="112"/>
    <cellStyle name="Euro 4 36 2" xfId="458"/>
    <cellStyle name="Euro 4 37" xfId="113"/>
    <cellStyle name="Euro 4 37 2" xfId="459"/>
    <cellStyle name="Euro 4 38" xfId="114"/>
    <cellStyle name="Euro 4 38 2" xfId="460"/>
    <cellStyle name="Euro 4 39" xfId="115"/>
    <cellStyle name="Euro 4 39 2" xfId="461"/>
    <cellStyle name="Euro 4 4" xfId="116"/>
    <cellStyle name="Euro 4 4 2" xfId="462"/>
    <cellStyle name="Euro 4 40" xfId="117"/>
    <cellStyle name="Euro 4 40 2" xfId="463"/>
    <cellStyle name="Euro 4 41" xfId="118"/>
    <cellStyle name="Euro 4 41 2" xfId="464"/>
    <cellStyle name="Euro 4 42" xfId="119"/>
    <cellStyle name="Euro 4 42 2" xfId="465"/>
    <cellStyle name="Euro 4 43" xfId="120"/>
    <cellStyle name="Euro 4 43 2" xfId="466"/>
    <cellStyle name="Euro 4 44" xfId="121"/>
    <cellStyle name="Euro 4 44 2" xfId="467"/>
    <cellStyle name="Euro 4 45" xfId="122"/>
    <cellStyle name="Euro 4 45 2" xfId="468"/>
    <cellStyle name="Euro 4 46" xfId="123"/>
    <cellStyle name="Euro 4 46 2" xfId="469"/>
    <cellStyle name="Euro 4 47" xfId="124"/>
    <cellStyle name="Euro 4 47 2" xfId="470"/>
    <cellStyle name="Euro 4 48" xfId="125"/>
    <cellStyle name="Euro 4 48 2" xfId="471"/>
    <cellStyle name="Euro 4 49" xfId="126"/>
    <cellStyle name="Euro 4 49 2" xfId="127"/>
    <cellStyle name="Euro 4 49 2 2" xfId="473"/>
    <cellStyle name="Euro 4 49 3" xfId="472"/>
    <cellStyle name="Euro 4 5" xfId="128"/>
    <cellStyle name="Euro 4 5 2" xfId="474"/>
    <cellStyle name="Euro 4 50" xfId="129"/>
    <cellStyle name="Euro 4 50 2" xfId="475"/>
    <cellStyle name="Euro 4 51" xfId="130"/>
    <cellStyle name="Euro 4 51 2" xfId="476"/>
    <cellStyle name="Euro 4 52" xfId="131"/>
    <cellStyle name="Euro 4 52 2" xfId="477"/>
    <cellStyle name="Euro 4 53" xfId="132"/>
    <cellStyle name="Euro 4 53 2" xfId="478"/>
    <cellStyle name="Euro 4 54" xfId="133"/>
    <cellStyle name="Euro 4 54 2" xfId="479"/>
    <cellStyle name="Euro 4 55" xfId="134"/>
    <cellStyle name="Euro 4 55 2" xfId="480"/>
    <cellStyle name="Euro 4 56" xfId="135"/>
    <cellStyle name="Euro 4 56 2" xfId="481"/>
    <cellStyle name="Euro 4 57" xfId="136"/>
    <cellStyle name="Euro 4 57 2" xfId="482"/>
    <cellStyle name="Euro 4 58" xfId="137"/>
    <cellStyle name="Euro 4 58 2" xfId="483"/>
    <cellStyle name="Euro 4 59" xfId="138"/>
    <cellStyle name="Euro 4 59 2" xfId="484"/>
    <cellStyle name="Euro 4 6" xfId="139"/>
    <cellStyle name="Euro 4 6 2" xfId="485"/>
    <cellStyle name="Euro 4 60" xfId="140"/>
    <cellStyle name="Euro 4 60 2" xfId="486"/>
    <cellStyle name="Euro 4 61" xfId="141"/>
    <cellStyle name="Euro 4 61 2" xfId="142"/>
    <cellStyle name="Euro 4 61 2 2" xfId="488"/>
    <cellStyle name="Euro 4 61 3" xfId="487"/>
    <cellStyle name="Euro 4 62" xfId="143"/>
    <cellStyle name="Euro 4 62 2" xfId="144"/>
    <cellStyle name="Euro 4 62 2 2" xfId="490"/>
    <cellStyle name="Euro 4 62 3" xfId="489"/>
    <cellStyle name="Euro 4 63" xfId="145"/>
    <cellStyle name="Euro 4 63 2" xfId="146"/>
    <cellStyle name="Euro 4 63 2 2" xfId="492"/>
    <cellStyle name="Euro 4 63 3" xfId="491"/>
    <cellStyle name="Euro 4 64" xfId="147"/>
    <cellStyle name="Euro 4 64 2" xfId="148"/>
    <cellStyle name="Euro 4 64 2 2" xfId="494"/>
    <cellStyle name="Euro 4 64 3" xfId="493"/>
    <cellStyle name="Euro 4 65" xfId="149"/>
    <cellStyle name="Euro 4 65 2" xfId="150"/>
    <cellStyle name="Euro 4 65 2 2" xfId="496"/>
    <cellStyle name="Euro 4 65 3" xfId="495"/>
    <cellStyle name="Euro 4 66" xfId="151"/>
    <cellStyle name="Euro 4 66 2" xfId="152"/>
    <cellStyle name="Euro 4 66 3" xfId="497"/>
    <cellStyle name="Euro 4 67" xfId="428"/>
    <cellStyle name="Euro 4 7" xfId="153"/>
    <cellStyle name="Euro 4 7 2" xfId="498"/>
    <cellStyle name="Euro 4 8" xfId="154"/>
    <cellStyle name="Euro 4 8 2" xfId="499"/>
    <cellStyle name="Euro 4 9" xfId="155"/>
    <cellStyle name="Euro 4 9 2" xfId="500"/>
    <cellStyle name="Euro 40" xfId="156"/>
    <cellStyle name="Euro 40 2" xfId="501"/>
    <cellStyle name="Euro 41" xfId="157"/>
    <cellStyle name="Euro 41 2" xfId="502"/>
    <cellStyle name="Euro 42" xfId="158"/>
    <cellStyle name="Euro 42 2" xfId="503"/>
    <cellStyle name="Euro 43" xfId="159"/>
    <cellStyle name="Euro 43 2" xfId="504"/>
    <cellStyle name="Euro 44" xfId="160"/>
    <cellStyle name="Euro 44 2" xfId="505"/>
    <cellStyle name="Euro 45" xfId="161"/>
    <cellStyle name="Euro 45 2" xfId="506"/>
    <cellStyle name="Euro 46" xfId="162"/>
    <cellStyle name="Euro 46 2" xfId="507"/>
    <cellStyle name="Euro 47" xfId="163"/>
    <cellStyle name="Euro 47 2" xfId="508"/>
    <cellStyle name="Euro 48" xfId="164"/>
    <cellStyle name="Euro 48 2" xfId="509"/>
    <cellStyle name="Euro 49" xfId="165"/>
    <cellStyle name="Euro 49 2" xfId="510"/>
    <cellStyle name="Euro 5" xfId="166"/>
    <cellStyle name="Euro 5 10" xfId="167"/>
    <cellStyle name="Euro 5 10 2" xfId="512"/>
    <cellStyle name="Euro 5 11" xfId="168"/>
    <cellStyle name="Euro 5 11 2" xfId="513"/>
    <cellStyle name="Euro 5 12" xfId="169"/>
    <cellStyle name="Euro 5 12 2" xfId="514"/>
    <cellStyle name="Euro 5 13" xfId="170"/>
    <cellStyle name="Euro 5 13 2" xfId="515"/>
    <cellStyle name="Euro 5 14" xfId="171"/>
    <cellStyle name="Euro 5 14 2" xfId="516"/>
    <cellStyle name="Euro 5 15" xfId="172"/>
    <cellStyle name="Euro 5 15 2" xfId="517"/>
    <cellStyle name="Euro 5 16" xfId="173"/>
    <cellStyle name="Euro 5 16 2" xfId="518"/>
    <cellStyle name="Euro 5 17" xfId="174"/>
    <cellStyle name="Euro 5 17 2" xfId="519"/>
    <cellStyle name="Euro 5 18" xfId="175"/>
    <cellStyle name="Euro 5 18 2" xfId="520"/>
    <cellStyle name="Euro 5 19" xfId="511"/>
    <cellStyle name="Euro 5 2" xfId="176"/>
    <cellStyle name="Euro 5 2 2" xfId="521"/>
    <cellStyle name="Euro 5 3" xfId="177"/>
    <cellStyle name="Euro 5 3 2" xfId="522"/>
    <cellStyle name="Euro 5 4" xfId="178"/>
    <cellStyle name="Euro 5 4 2" xfId="523"/>
    <cellStyle name="Euro 5 5" xfId="179"/>
    <cellStyle name="Euro 5 5 2" xfId="524"/>
    <cellStyle name="Euro 5 6" xfId="180"/>
    <cellStyle name="Euro 5 6 2" xfId="525"/>
    <cellStyle name="Euro 5 7" xfId="181"/>
    <cellStyle name="Euro 5 7 2" xfId="526"/>
    <cellStyle name="Euro 5 8" xfId="182"/>
    <cellStyle name="Euro 5 8 2" xfId="527"/>
    <cellStyle name="Euro 5 9" xfId="183"/>
    <cellStyle name="Euro 5 9 2" xfId="528"/>
    <cellStyle name="Euro 50" xfId="184"/>
    <cellStyle name="Euro 50 2" xfId="185"/>
    <cellStyle name="Euro 50 2 2" xfId="530"/>
    <cellStyle name="Euro 50 3" xfId="529"/>
    <cellStyle name="Euro 51" xfId="186"/>
    <cellStyle name="Euro 51 2" xfId="531"/>
    <cellStyle name="Euro 52" xfId="187"/>
    <cellStyle name="Euro 52 2" xfId="532"/>
    <cellStyle name="Euro 53" xfId="188"/>
    <cellStyle name="Euro 53 2" xfId="533"/>
    <cellStyle name="Euro 54" xfId="189"/>
    <cellStyle name="Euro 54 2" xfId="534"/>
    <cellStyle name="Euro 55" xfId="190"/>
    <cellStyle name="Euro 55 2" xfId="535"/>
    <cellStyle name="Euro 56" xfId="191"/>
    <cellStyle name="Euro 56 2" xfId="536"/>
    <cellStyle name="Euro 57" xfId="192"/>
    <cellStyle name="Euro 57 2" xfId="537"/>
    <cellStyle name="Euro 58" xfId="193"/>
    <cellStyle name="Euro 58 2" xfId="538"/>
    <cellStyle name="Euro 59" xfId="194"/>
    <cellStyle name="Euro 59 2" xfId="539"/>
    <cellStyle name="Euro 6" xfId="195"/>
    <cellStyle name="Euro 6 2" xfId="196"/>
    <cellStyle name="Euro 6 2 2" xfId="541"/>
    <cellStyle name="Euro 6 3" xfId="197"/>
    <cellStyle name="Euro 6 3 2" xfId="542"/>
    <cellStyle name="Euro 6 4" xfId="540"/>
    <cellStyle name="Euro 60" xfId="198"/>
    <cellStyle name="Euro 60 2" xfId="543"/>
    <cellStyle name="Euro 61" xfId="199"/>
    <cellStyle name="Euro 61 2" xfId="544"/>
    <cellStyle name="Euro 62" xfId="200"/>
    <cellStyle name="Euro 62 2" xfId="201"/>
    <cellStyle name="Euro 62 2 2" xfId="546"/>
    <cellStyle name="Euro 62 3" xfId="545"/>
    <cellStyle name="Euro 63" xfId="202"/>
    <cellStyle name="Euro 63 2" xfId="547"/>
    <cellStyle name="Euro 64" xfId="203"/>
    <cellStyle name="Euro 64 2" xfId="548"/>
    <cellStyle name="Euro 65" xfId="204"/>
    <cellStyle name="Euro 65 2" xfId="205"/>
    <cellStyle name="Euro 65 2 2" xfId="550"/>
    <cellStyle name="Euro 65 3" xfId="549"/>
    <cellStyle name="Euro 66" xfId="206"/>
    <cellStyle name="Euro 66 2" xfId="551"/>
    <cellStyle name="Euro 67" xfId="207"/>
    <cellStyle name="Euro 67 2" xfId="552"/>
    <cellStyle name="Euro 68" xfId="208"/>
    <cellStyle name="Euro 68 2" xfId="553"/>
    <cellStyle name="Euro 69" xfId="209"/>
    <cellStyle name="Euro 69 2" xfId="554"/>
    <cellStyle name="Euro 7" xfId="210"/>
    <cellStyle name="Euro 7 2" xfId="211"/>
    <cellStyle name="Euro 7 2 2" xfId="556"/>
    <cellStyle name="Euro 7 3" xfId="555"/>
    <cellStyle name="Euro 70" xfId="212"/>
    <cellStyle name="Euro 70 2" xfId="557"/>
    <cellStyle name="Euro 71" xfId="213"/>
    <cellStyle name="Euro 71 2" xfId="558"/>
    <cellStyle name="Euro 72" xfId="214"/>
    <cellStyle name="Euro 72 2" xfId="559"/>
    <cellStyle name="Euro 73" xfId="215"/>
    <cellStyle name="Euro 73 2" xfId="560"/>
    <cellStyle name="Euro 74" xfId="216"/>
    <cellStyle name="Euro 74 2" xfId="217"/>
    <cellStyle name="Euro 74 2 2" xfId="562"/>
    <cellStyle name="Euro 74 3" xfId="561"/>
    <cellStyle name="Euro 75" xfId="218"/>
    <cellStyle name="Euro 75 2" xfId="219"/>
    <cellStyle name="Euro 75 2 2" xfId="564"/>
    <cellStyle name="Euro 75 3" xfId="563"/>
    <cellStyle name="Euro 76" xfId="220"/>
    <cellStyle name="Euro 76 2" xfId="221"/>
    <cellStyle name="Euro 76 2 2" xfId="566"/>
    <cellStyle name="Euro 76 3" xfId="565"/>
    <cellStyle name="Euro 77" xfId="222"/>
    <cellStyle name="Euro 77 2" xfId="223"/>
    <cellStyle name="Euro 77 2 2" xfId="568"/>
    <cellStyle name="Euro 77 3" xfId="567"/>
    <cellStyle name="Euro 78" xfId="224"/>
    <cellStyle name="Euro 78 2" xfId="225"/>
    <cellStyle name="Euro 78 2 2" xfId="570"/>
    <cellStyle name="Euro 78 3" xfId="569"/>
    <cellStyle name="Euro 79" xfId="226"/>
    <cellStyle name="Euro 79 2" xfId="227"/>
    <cellStyle name="Euro 79 2 2" xfId="572"/>
    <cellStyle name="Euro 79 3" xfId="571"/>
    <cellStyle name="Euro 8" xfId="228"/>
    <cellStyle name="Euro 8 2" xfId="573"/>
    <cellStyle name="Euro 80" xfId="229"/>
    <cellStyle name="Euro 80 2" xfId="230"/>
    <cellStyle name="Euro 80 2 2" xfId="575"/>
    <cellStyle name="Euro 80 3" xfId="574"/>
    <cellStyle name="Euro 81" xfId="231"/>
    <cellStyle name="Euro 81 2" xfId="232"/>
    <cellStyle name="Euro 81 2 2" xfId="577"/>
    <cellStyle name="Euro 81 3" xfId="576"/>
    <cellStyle name="Euro 82" xfId="233"/>
    <cellStyle name="Euro 82 2" xfId="234"/>
    <cellStyle name="Euro 82 2 2" xfId="579"/>
    <cellStyle name="Euro 82 3" xfId="578"/>
    <cellStyle name="Euro 83" xfId="235"/>
    <cellStyle name="Euro 83 2" xfId="236"/>
    <cellStyle name="Euro 83 2 2" xfId="581"/>
    <cellStyle name="Euro 83 3" xfId="580"/>
    <cellStyle name="Euro 84" xfId="237"/>
    <cellStyle name="Euro 84 2" xfId="238"/>
    <cellStyle name="Euro 84 2 2" xfId="583"/>
    <cellStyle name="Euro 84 3" xfId="239"/>
    <cellStyle name="Euro 84 3 2" xfId="584"/>
    <cellStyle name="Euro 84 4" xfId="582"/>
    <cellStyle name="Euro 85" xfId="240"/>
    <cellStyle name="Euro 85 2" xfId="241"/>
    <cellStyle name="Euro 85 2 2" xfId="586"/>
    <cellStyle name="Euro 85 3" xfId="585"/>
    <cellStyle name="Euro 86" xfId="242"/>
    <cellStyle name="Euro 86 2" xfId="243"/>
    <cellStyle name="Euro 86 2 2" xfId="588"/>
    <cellStyle name="Euro 86 3" xfId="587"/>
    <cellStyle name="Euro 87" xfId="244"/>
    <cellStyle name="Euro 87 2" xfId="245"/>
    <cellStyle name="Euro 87 3" xfId="589"/>
    <cellStyle name="Euro 88" xfId="246"/>
    <cellStyle name="Euro 88 2" xfId="247"/>
    <cellStyle name="Euro 88 3" xfId="590"/>
    <cellStyle name="Euro 89" xfId="248"/>
    <cellStyle name="Euro 89 2" xfId="249"/>
    <cellStyle name="Euro 89 3" xfId="591"/>
    <cellStyle name="Euro 9" xfId="250"/>
    <cellStyle name="Euro 9 2" xfId="592"/>
    <cellStyle name="Euro 90" xfId="251"/>
    <cellStyle name="Euro 90 2" xfId="252"/>
    <cellStyle name="Euro 90 3" xfId="593"/>
    <cellStyle name="Euro 91" xfId="253"/>
    <cellStyle name="Euro 91 2" xfId="254"/>
    <cellStyle name="Euro 91 3" xfId="594"/>
    <cellStyle name="Euro 92" xfId="255"/>
    <cellStyle name="Euro 92 2" xfId="256"/>
    <cellStyle name="Euro 92 3" xfId="595"/>
    <cellStyle name="Euro 93" xfId="257"/>
    <cellStyle name="Euro 93 2" xfId="258"/>
    <cellStyle name="Euro 94" xfId="259"/>
    <cellStyle name="Euro 95" xfId="260"/>
    <cellStyle name="Euro 96" xfId="261"/>
    <cellStyle name="Explanatory Text" xfId="262"/>
    <cellStyle name="Good" xfId="263"/>
    <cellStyle name="Heading 1" xfId="264"/>
    <cellStyle name="Heading 2" xfId="265"/>
    <cellStyle name="Heading 3" xfId="266"/>
    <cellStyle name="Heading 4" xfId="267"/>
    <cellStyle name="Input" xfId="268"/>
    <cellStyle name="Linked Cell" xfId="269"/>
    <cellStyle name="Millares 2" xfId="270"/>
    <cellStyle name="Millares 2 10" xfId="596"/>
    <cellStyle name="Millares 2 2" xfId="271"/>
    <cellStyle name="Millares 2 2 2" xfId="272"/>
    <cellStyle name="Millares 2 2 2 2" xfId="598"/>
    <cellStyle name="Millares 2 2 3" xfId="597"/>
    <cellStyle name="Millares 2 3" xfId="273"/>
    <cellStyle name="Millares 2 3 2" xfId="274"/>
    <cellStyle name="Millares 2 3 2 2" xfId="600"/>
    <cellStyle name="Millares 2 3 3" xfId="599"/>
    <cellStyle name="Millares 2 4" xfId="275"/>
    <cellStyle name="Millares 2 4 2" xfId="276"/>
    <cellStyle name="Millares 2 4 2 2" xfId="602"/>
    <cellStyle name="Millares 2 4 3" xfId="601"/>
    <cellStyle name="Millares 2 5" xfId="277"/>
    <cellStyle name="Millares 2 5 2" xfId="278"/>
    <cellStyle name="Millares 2 5 2 2" xfId="604"/>
    <cellStyle name="Millares 2 5 3" xfId="603"/>
    <cellStyle name="Millares 2 6" xfId="279"/>
    <cellStyle name="Millares 2 6 2" xfId="280"/>
    <cellStyle name="Millares 2 6 2 2" xfId="606"/>
    <cellStyle name="Millares 2 6 3" xfId="605"/>
    <cellStyle name="Millares 2 7" xfId="281"/>
    <cellStyle name="Millares 2 7 2" xfId="282"/>
    <cellStyle name="Millares 2 7 2 2" xfId="608"/>
    <cellStyle name="Millares 2 7 3" xfId="607"/>
    <cellStyle name="Millares 2 8" xfId="283"/>
    <cellStyle name="Millares 2 8 2" xfId="284"/>
    <cellStyle name="Millares 2 8 2 2" xfId="610"/>
    <cellStyle name="Millares 2 8 3" xfId="609"/>
    <cellStyle name="Millares 2 9" xfId="285"/>
    <cellStyle name="Millares 2 9 2" xfId="286"/>
    <cellStyle name="Millares 2 9 3" xfId="611"/>
    <cellStyle name="Millares 3" xfId="287"/>
    <cellStyle name="Millares 3 2" xfId="612"/>
    <cellStyle name="Normal" xfId="0" builtinId="0"/>
    <cellStyle name="Normal 10" xfId="681"/>
    <cellStyle name="Normal 10 2" xfId="288"/>
    <cellStyle name="Normal 10 2 2" xfId="613"/>
    <cellStyle name="Normal 10 3" xfId="289"/>
    <cellStyle name="Normal 10 3 2" xfId="614"/>
    <cellStyle name="Normal 12 2" xfId="290"/>
    <cellStyle name="Normal 14 2" xfId="291"/>
    <cellStyle name="Normal 14 3" xfId="292"/>
    <cellStyle name="Normal 14 3 2" xfId="615"/>
    <cellStyle name="Normal 15 2" xfId="293"/>
    <cellStyle name="Normal 15 3" xfId="294"/>
    <cellStyle name="Normal 15 3 2" xfId="616"/>
    <cellStyle name="Normal 16 2" xfId="295"/>
    <cellStyle name="Normal 16 3" xfId="296"/>
    <cellStyle name="Normal 16 3 2" xfId="617"/>
    <cellStyle name="Normal 17 2" xfId="297"/>
    <cellStyle name="Normal 17 3" xfId="298"/>
    <cellStyle name="Normal 17 3 2" xfId="618"/>
    <cellStyle name="Normal 18 2" xfId="299"/>
    <cellStyle name="Normal 18 2 2" xfId="619"/>
    <cellStyle name="Normal 19 2" xfId="300"/>
    <cellStyle name="Normal 19 2 2" xfId="620"/>
    <cellStyle name="Normal 2" xfId="301"/>
    <cellStyle name="Normal 2 10" xfId="302"/>
    <cellStyle name="Normal 2 10 2" xfId="622"/>
    <cellStyle name="Normal 2 11" xfId="303"/>
    <cellStyle name="Normal 2 11 2" xfId="623"/>
    <cellStyle name="Normal 2 12" xfId="304"/>
    <cellStyle name="Normal 2 12 2" xfId="624"/>
    <cellStyle name="Normal 2 13" xfId="305"/>
    <cellStyle name="Normal 2 13 2" xfId="625"/>
    <cellStyle name="Normal 2 14" xfId="621"/>
    <cellStyle name="Normal 2 2" xfId="306"/>
    <cellStyle name="Normal 2 2 2" xfId="307"/>
    <cellStyle name="Normal 2 2 2 2" xfId="627"/>
    <cellStyle name="Normal 2 2 3" xfId="626"/>
    <cellStyle name="Normal 2 3" xfId="308"/>
    <cellStyle name="Normal 2 3 2" xfId="309"/>
    <cellStyle name="Normal 2 3 2 2" xfId="628"/>
    <cellStyle name="Normal 2 4" xfId="310"/>
    <cellStyle name="Normal 2 4 2" xfId="629"/>
    <cellStyle name="Normal 2 5" xfId="311"/>
    <cellStyle name="Normal 2 5 2" xfId="630"/>
    <cellStyle name="Normal 2 6" xfId="312"/>
    <cellStyle name="Normal 2 6 2" xfId="631"/>
    <cellStyle name="Normal 2 7" xfId="313"/>
    <cellStyle name="Normal 2 7 2" xfId="632"/>
    <cellStyle name="Normal 2 8" xfId="314"/>
    <cellStyle name="Normal 2 8 2" xfId="633"/>
    <cellStyle name="Normal 2 9" xfId="315"/>
    <cellStyle name="Normal 2 9 2" xfId="634"/>
    <cellStyle name="Normal 21 2" xfId="316"/>
    <cellStyle name="Normal 21 2 2" xfId="635"/>
    <cellStyle name="Normal 22 2" xfId="317"/>
    <cellStyle name="Normal 22 2 2" xfId="636"/>
    <cellStyle name="Normal 23 2" xfId="318"/>
    <cellStyle name="Normal 23 2 2" xfId="637"/>
    <cellStyle name="Normal 24 2" xfId="319"/>
    <cellStyle name="Normal 24 2 2" xfId="638"/>
    <cellStyle name="Normal 25 2" xfId="320"/>
    <cellStyle name="Normal 25 2 2" xfId="639"/>
    <cellStyle name="Normal 26 2" xfId="321"/>
    <cellStyle name="Normal 26 2 2" xfId="640"/>
    <cellStyle name="Normal 27 2" xfId="322"/>
    <cellStyle name="Normal 27 2 2" xfId="641"/>
    <cellStyle name="Normal 28 2" xfId="323"/>
    <cellStyle name="Normal 28 2 2" xfId="642"/>
    <cellStyle name="Normal 29 2" xfId="324"/>
    <cellStyle name="Normal 29 2 2" xfId="643"/>
    <cellStyle name="Normal 3" xfId="325"/>
    <cellStyle name="Normal 3 2" xfId="326"/>
    <cellStyle name="Normal 3 3" xfId="644"/>
    <cellStyle name="Normal 3 4" xfId="680"/>
    <cellStyle name="Normal 3 5" xfId="682"/>
    <cellStyle name="Normal 3 6" xfId="683"/>
    <cellStyle name="Normal 3 7" xfId="684"/>
    <cellStyle name="Normal 30 2" xfId="327"/>
    <cellStyle name="Normal 30 2 2" xfId="645"/>
    <cellStyle name="Normal 31 2" xfId="328"/>
    <cellStyle name="Normal 31 2 2" xfId="646"/>
    <cellStyle name="Normal 32 2" xfId="329"/>
    <cellStyle name="Normal 32 2 2" xfId="647"/>
    <cellStyle name="Normal 36 2" xfId="330"/>
    <cellStyle name="Normal 36 2 2" xfId="648"/>
    <cellStyle name="Normal 37 2" xfId="331"/>
    <cellStyle name="Normal 37 2 2" xfId="649"/>
    <cellStyle name="Normal 39 2" xfId="332"/>
    <cellStyle name="Normal 39 2 2" xfId="650"/>
    <cellStyle name="Normal 4" xfId="375"/>
    <cellStyle name="Normal 4 2" xfId="333"/>
    <cellStyle name="Normal 4 3" xfId="334"/>
    <cellStyle name="Normal 40 2" xfId="335"/>
    <cellStyle name="Normal 40 2 2" xfId="651"/>
    <cellStyle name="Normal 42 2" xfId="336"/>
    <cellStyle name="Normal 42 2 2" xfId="652"/>
    <cellStyle name="Normal 43 2" xfId="337"/>
    <cellStyle name="Normal 43 2 2" xfId="653"/>
    <cellStyle name="Normal 44 2" xfId="338"/>
    <cellStyle name="Normal 44 2 2" xfId="654"/>
    <cellStyle name="Normal 45 2" xfId="339"/>
    <cellStyle name="Normal 45 2 2" xfId="655"/>
    <cellStyle name="Normal 46 2" xfId="340"/>
    <cellStyle name="Normal 46 2 2" xfId="656"/>
    <cellStyle name="Normal 47 2" xfId="341"/>
    <cellStyle name="Normal 47 2 2" xfId="657"/>
    <cellStyle name="Normal 48 2" xfId="342"/>
    <cellStyle name="Normal 48 2 2" xfId="658"/>
    <cellStyle name="Normal 49 2" xfId="343"/>
    <cellStyle name="Normal 49 2 2" xfId="659"/>
    <cellStyle name="Normal 5 2" xfId="344"/>
    <cellStyle name="Normal 50 2" xfId="345"/>
    <cellStyle name="Normal 50 2 2" xfId="660"/>
    <cellStyle name="Normal 51 2" xfId="346"/>
    <cellStyle name="Normal 51 2 2" xfId="661"/>
    <cellStyle name="Normal 52 2" xfId="347"/>
    <cellStyle name="Normal 52 2 2" xfId="662"/>
    <cellStyle name="Normal 53 2" xfId="348"/>
    <cellStyle name="Normal 53 2 2" xfId="663"/>
    <cellStyle name="Normal 54 2" xfId="349"/>
    <cellStyle name="Normal 54 2 2" xfId="664"/>
    <cellStyle name="Normal 55 2" xfId="350"/>
    <cellStyle name="Normal 55 2 2" xfId="665"/>
    <cellStyle name="Normal 56 2" xfId="351"/>
    <cellStyle name="Normal 56 2 2" xfId="666"/>
    <cellStyle name="Normal 57 2" xfId="352"/>
    <cellStyle name="Normal 57 2 2" xfId="667"/>
    <cellStyle name="Normal 58 2" xfId="353"/>
    <cellStyle name="Normal 58 2 2" xfId="668"/>
    <cellStyle name="Normal 59 2" xfId="354"/>
    <cellStyle name="Normal 59 2 2" xfId="669"/>
    <cellStyle name="Normal 6 2" xfId="355"/>
    <cellStyle name="Normal 6 3" xfId="356"/>
    <cellStyle name="Normal 60 2" xfId="357"/>
    <cellStyle name="Normal 60 2 2" xfId="670"/>
    <cellStyle name="Normal 61 2" xfId="358"/>
    <cellStyle name="Normal 61 2 2" xfId="671"/>
    <cellStyle name="Normal 62 2" xfId="359"/>
    <cellStyle name="Normal 62 2 2" xfId="672"/>
    <cellStyle name="Normal 63 2" xfId="360"/>
    <cellStyle name="Normal 63 2 2" xfId="673"/>
    <cellStyle name="Normal 64 2" xfId="361"/>
    <cellStyle name="Normal 64 2 2" xfId="674"/>
    <cellStyle name="Normal 65 2" xfId="362"/>
    <cellStyle name="Normal 65 2 2" xfId="675"/>
    <cellStyle name="Normal 66" xfId="363"/>
    <cellStyle name="Normal 66 2" xfId="364"/>
    <cellStyle name="Normal 66 3" xfId="676"/>
    <cellStyle name="Normal 67" xfId="365"/>
    <cellStyle name="Normal 67 2" xfId="677"/>
    <cellStyle name="Normal 7 2" xfId="366"/>
    <cellStyle name="Normal 8 2" xfId="367"/>
    <cellStyle name="Normal 9 2" xfId="368"/>
    <cellStyle name="Normal 9 2 2" xfId="678"/>
    <cellStyle name="Normal_EMERGENCIAS 2010" xfId="369"/>
    <cellStyle name="Note" xfId="370"/>
    <cellStyle name="Output" xfId="371"/>
    <cellStyle name="Porcentual 2" xfId="372"/>
    <cellStyle name="Porcentual 2 2" xfId="679"/>
    <cellStyle name="Title" xfId="373"/>
    <cellStyle name="Warning Text" xfId="374"/>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2.xml"/><Relationship Id="rId7" Type="http://schemas.openxmlformats.org/officeDocument/2006/relationships/calcChain" Target="calcChain.xml"/><Relationship Id="rId2" Type="http://schemas.openxmlformats.org/officeDocument/2006/relationships/worksheet" Target="worksheets/sheet1.xml"/><Relationship Id="rId1" Type="http://schemas.openxmlformats.org/officeDocument/2006/relationships/chartsheet" Target="chart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CO"/>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'REPORTE DE EMERGENCIAS'!$E$1:$E$2</c:f>
              <c:strCache>
                <c:ptCount val="1"/>
                <c:pt idx="0">
                  <c:v>DESCRIPCION Y UBICACIÓN Codificación según DIVIPOLA</c:v>
                </c:pt>
              </c:strCache>
            </c:strRef>
          </c:tx>
          <c:invertIfNegative val="0"/>
          <c:cat>
            <c:strRef>
              <c:f>'REPORTE DE EMERGENCIAS'!#REF!</c:f>
              <c:strCache>
                <c:ptCount val="4"/>
                <c:pt idx="0">
                  <c:v>30-sep-12</c:v>
                </c:pt>
                <c:pt idx="1">
                  <c:v>VALLE DEL CAUCA</c:v>
                </c:pt>
                <c:pt idx="2">
                  <c:v>CALIMA</c:v>
                </c:pt>
                <c:pt idx="3">
                  <c:v>SISMO</c:v>
                </c:pt>
              </c:strCache>
            </c:strRef>
          </c:cat>
          <c:val>
            <c:numRef>
              <c:f>'REPORTE DE EMERGENCIAS'!#REF!</c:f>
              <c:numCache>
                <c:formatCode>General</c:formatCode>
                <c:ptCount val="1"/>
                <c:pt idx="0">
                  <c:v>0</c:v>
                </c:pt>
              </c:numCache>
            </c:numRef>
          </c:val>
        </c:ser>
        <c:dLbls>
          <c:showLegendKey val="0"/>
          <c:showVal val="0"/>
          <c:showCatName val="0"/>
          <c:showSerName val="0"/>
          <c:showPercent val="0"/>
          <c:showBubbleSize val="0"/>
        </c:dLbls>
        <c:gapWidth val="150"/>
        <c:axId val="56111488"/>
        <c:axId val="56113024"/>
      </c:barChart>
      <c:catAx>
        <c:axId val="56111488"/>
        <c:scaling>
          <c:orientation val="minMax"/>
        </c:scaling>
        <c:delete val="0"/>
        <c:axPos val="b"/>
        <c:numFmt formatCode="General" sourceLinked="1"/>
        <c:majorTickMark val="out"/>
        <c:minorTickMark val="none"/>
        <c:tickLblPos val="nextTo"/>
        <c:crossAx val="56113024"/>
        <c:crosses val="autoZero"/>
        <c:auto val="1"/>
        <c:lblAlgn val="ctr"/>
        <c:lblOffset val="100"/>
        <c:noMultiLvlLbl val="0"/>
      </c:catAx>
      <c:valAx>
        <c:axId val="56113024"/>
        <c:scaling>
          <c:orientation val="minMax"/>
        </c:scaling>
        <c:delete val="0"/>
        <c:axPos val="l"/>
        <c:majorGridlines/>
        <c:numFmt formatCode="General" sourceLinked="1"/>
        <c:majorTickMark val="out"/>
        <c:minorTickMark val="none"/>
        <c:tickLblPos val="nextTo"/>
        <c:crossAx val="56111488"/>
        <c:crosses val="autoZero"/>
        <c:crossBetween val="between"/>
      </c:valAx>
    </c:plotArea>
    <c:legend>
      <c:legendPos val="r"/>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sheetPr/>
  <sheetViews>
    <sheetView zoomScale="78" workbookViewId="0"/>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8670192" cy="6288942"/>
    <xdr:graphicFrame macro="">
      <xdr:nvGraphicFramePr>
        <xdr:cNvPr id="2" name="1 Gráfico"/>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X11162"/>
  <sheetViews>
    <sheetView tabSelected="1" zoomScaleNormal="100" zoomScaleSheetLayoutView="100" workbookViewId="0">
      <pane xSplit="4" ySplit="2" topLeftCell="AC3900" activePane="bottomRight" state="frozen"/>
      <selection activeCell="H7" sqref="H7"/>
      <selection pane="topRight" activeCell="H7" sqref="H7"/>
      <selection pane="bottomLeft" activeCell="H7" sqref="H7"/>
      <selection pane="bottomRight" activeCell="AD3917" sqref="AD3917"/>
    </sheetView>
  </sheetViews>
  <sheetFormatPr baseColWidth="10" defaultRowHeight="12.75" x14ac:dyDescent="0.2"/>
  <cols>
    <col min="1" max="1" width="10.85546875" style="10" bestFit="1" customWidth="1"/>
    <col min="2" max="2" width="16.42578125" style="11" customWidth="1"/>
    <col min="3" max="3" width="16" style="12" customWidth="1"/>
    <col min="4" max="4" width="15.42578125" style="13" customWidth="1"/>
    <col min="5" max="5" width="13.7109375" style="1" customWidth="1"/>
    <col min="6" max="6" width="12.140625" style="13" customWidth="1"/>
    <col min="7" max="7" width="10.5703125" style="13" customWidth="1"/>
    <col min="8" max="8" width="10" style="13" customWidth="1"/>
    <col min="9" max="9" width="10.7109375" style="13" customWidth="1"/>
    <col min="10" max="10" width="9.85546875" style="13" customWidth="1"/>
    <col min="11" max="11" width="13" style="13" customWidth="1"/>
    <col min="12" max="12" width="10.28515625" style="13" customWidth="1"/>
    <col min="13" max="13" width="6.5703125" style="13" customWidth="1"/>
    <col min="14" max="14" width="11.140625" style="16" customWidth="1"/>
    <col min="15" max="15" width="11.85546875" style="16" customWidth="1"/>
    <col min="16" max="16" width="7.85546875" style="16" customWidth="1"/>
    <col min="17" max="17" width="12.28515625" style="16" customWidth="1"/>
    <col min="18" max="18" width="9.7109375" style="16" customWidth="1"/>
    <col min="19" max="19" width="10.85546875" style="16" customWidth="1"/>
    <col min="20" max="20" width="12.140625" style="16" customWidth="1"/>
    <col min="21" max="21" width="13.42578125" style="16" customWidth="1"/>
    <col min="22" max="22" width="17.5703125" style="17" customWidth="1"/>
    <col min="23" max="23" width="14.42578125" style="13" customWidth="1"/>
    <col min="24" max="24" width="15.85546875" style="13" customWidth="1"/>
    <col min="25" max="25" width="16.85546875" style="13" customWidth="1"/>
    <col min="26" max="26" width="16.7109375" style="13" customWidth="1"/>
    <col min="27" max="27" width="18.5703125" style="13" customWidth="1"/>
    <col min="28" max="28" width="18.42578125" style="13" customWidth="1"/>
    <col min="29" max="29" width="16.85546875" style="15" customWidth="1"/>
    <col min="30" max="30" width="20.7109375" style="11" customWidth="1"/>
    <col min="31" max="31" width="16.85546875" style="19" customWidth="1"/>
    <col min="32" max="32" width="12.140625" style="13" customWidth="1"/>
    <col min="33" max="33" width="12.140625" style="20" customWidth="1"/>
    <col min="34" max="34" width="27.85546875" style="28" customWidth="1"/>
    <col min="35" max="35" width="9.85546875" style="3" customWidth="1"/>
    <col min="36" max="36" width="18.28515625" style="21" customWidth="1"/>
    <col min="37" max="37" width="27" style="8" customWidth="1"/>
    <col min="38" max="38" width="52.140625" style="18" customWidth="1"/>
    <col min="39" max="39" width="11.85546875" style="13" customWidth="1"/>
    <col min="40" max="40" width="12.28515625" style="13" customWidth="1"/>
    <col min="41" max="41" width="10.5703125" style="13" customWidth="1"/>
    <col min="42" max="42" width="12.28515625" style="13" customWidth="1"/>
    <col min="43" max="43" width="10.7109375" style="13" customWidth="1"/>
    <col min="44" max="44" width="12.28515625" style="13" customWidth="1"/>
    <col min="45" max="45" width="10.5703125" style="13" customWidth="1"/>
    <col min="46" max="46" width="12.28515625" style="13" customWidth="1"/>
    <col min="47" max="47" width="11.7109375" style="1" customWidth="1"/>
    <col min="48" max="48" width="12.28515625" style="1" customWidth="1"/>
    <col min="49" max="50" width="12.28515625" style="13" customWidth="1"/>
    <col min="51" max="51" width="11.5703125" style="13" customWidth="1"/>
    <col min="52" max="52" width="17.140625" style="13" customWidth="1"/>
    <col min="53" max="53" width="11.85546875" style="13" customWidth="1"/>
    <col min="54" max="54" width="12.28515625" style="13" customWidth="1"/>
    <col min="55" max="55" width="11.5703125" style="13" customWidth="1"/>
    <col min="56" max="60" width="12.28515625" style="13" customWidth="1"/>
    <col min="61" max="61" width="11.42578125" style="13" customWidth="1"/>
    <col min="62" max="62" width="12.28515625" style="13" customWidth="1"/>
    <col min="63" max="63" width="12.140625" style="13" customWidth="1"/>
    <col min="64" max="64" width="13.85546875" style="13" customWidth="1"/>
    <col min="65" max="65" width="11.140625" style="13" customWidth="1"/>
    <col min="66" max="68" width="12.28515625" style="13" customWidth="1"/>
    <col min="69" max="69" width="11.42578125" style="13" customWidth="1"/>
    <col min="70" max="70" width="12.28515625" style="13" customWidth="1"/>
    <col min="71" max="71" width="11.140625" style="13" customWidth="1"/>
    <col min="72" max="72" width="12.28515625" style="13" customWidth="1"/>
    <col min="73" max="73" width="11.7109375" style="13" customWidth="1"/>
    <col min="74" max="74" width="12.28515625" style="13" customWidth="1"/>
    <col min="75" max="75" width="11.5703125" style="13" customWidth="1"/>
    <col min="76" max="76" width="12.28515625" style="13" customWidth="1"/>
    <col min="77" max="77" width="11.7109375" style="13" customWidth="1"/>
    <col min="78" max="78" width="12.28515625" style="13" customWidth="1"/>
    <col min="79" max="79" width="11.140625" style="13" customWidth="1"/>
    <col min="80" max="80" width="12.28515625" style="13" customWidth="1"/>
    <col min="81" max="81" width="11.7109375" style="13" customWidth="1"/>
    <col min="82" max="82" width="12.28515625" style="13" customWidth="1"/>
    <col min="83" max="83" width="11" style="13" customWidth="1"/>
    <col min="84" max="84" width="12.28515625" style="13" customWidth="1"/>
    <col min="85" max="85" width="11.42578125" style="13" customWidth="1"/>
    <col min="86" max="86" width="12.28515625" style="13" customWidth="1"/>
    <col min="87" max="87" width="11.42578125" style="13" customWidth="1"/>
    <col min="88" max="88" width="13.85546875" style="13" customWidth="1"/>
    <col min="89" max="89" width="11.42578125" style="13" customWidth="1"/>
    <col min="90" max="91" width="12.28515625" style="13" customWidth="1"/>
    <col min="92" max="92" width="13.140625" style="13" customWidth="1"/>
    <col min="93" max="93" width="12.28515625" style="13" customWidth="1"/>
    <col min="94" max="94" width="13.42578125" style="13" customWidth="1"/>
    <col min="95" max="95" width="12.28515625" style="13" customWidth="1"/>
    <col min="96" max="96" width="14.5703125" style="13" customWidth="1"/>
    <col min="97" max="97" width="11.42578125" style="13" customWidth="1"/>
    <col min="98" max="98" width="12.28515625" style="13" customWidth="1"/>
    <col min="99" max="99" width="15" style="15" customWidth="1"/>
    <col min="100" max="100" width="11.42578125" style="13" customWidth="1"/>
    <col min="101" max="101" width="14.85546875" style="13" customWidth="1"/>
    <col min="102" max="102" width="12.5703125" style="13" customWidth="1"/>
    <col min="103" max="103" width="18.28515625" style="13" customWidth="1"/>
    <col min="104" max="104" width="12.5703125" style="13" customWidth="1"/>
    <col min="105" max="105" width="14.42578125" style="13" customWidth="1"/>
    <col min="106" max="106" width="15.5703125" style="13" customWidth="1"/>
    <col min="107" max="107" width="14.85546875" style="13" customWidth="1"/>
    <col min="108" max="108" width="45.28515625" style="13" customWidth="1"/>
    <col min="109" max="109" width="17.28515625" style="13" customWidth="1"/>
    <col min="110" max="110" width="21.140625" style="168" customWidth="1"/>
    <col min="111" max="111" width="17" style="22" customWidth="1"/>
    <col min="112" max="112" width="21.140625" style="13" customWidth="1"/>
    <col min="113" max="16384" width="11.42578125" style="13"/>
  </cols>
  <sheetData>
    <row r="1" spans="1:125" s="3" customFormat="1" ht="15.75" x14ac:dyDescent="0.2">
      <c r="A1" s="384" t="s">
        <v>2044</v>
      </c>
      <c r="B1" s="385"/>
      <c r="C1" s="385"/>
      <c r="D1" s="385"/>
      <c r="E1" s="385"/>
      <c r="F1" s="375" t="s">
        <v>2180</v>
      </c>
      <c r="G1" s="376"/>
      <c r="H1" s="376"/>
      <c r="I1" s="376"/>
      <c r="J1" s="376"/>
      <c r="K1" s="376"/>
      <c r="L1" s="376"/>
      <c r="M1" s="376"/>
      <c r="N1" s="376"/>
      <c r="O1" s="376"/>
      <c r="P1" s="376"/>
      <c r="Q1" s="376"/>
      <c r="R1" s="376"/>
      <c r="S1" s="376"/>
      <c r="T1" s="376"/>
      <c r="U1" s="376"/>
      <c r="V1" s="377"/>
      <c r="W1" s="386" t="s">
        <v>6361</v>
      </c>
      <c r="X1" s="387"/>
      <c r="Y1" s="387"/>
      <c r="Z1" s="387"/>
      <c r="AA1" s="387"/>
      <c r="AB1" s="387"/>
      <c r="AC1" s="387"/>
      <c r="AD1" s="387"/>
      <c r="AE1" s="388"/>
      <c r="AF1" s="389" t="s">
        <v>2730</v>
      </c>
      <c r="AG1" s="390"/>
      <c r="AH1" s="390"/>
      <c r="AI1" s="390"/>
      <c r="AJ1" s="390"/>
      <c r="AK1" s="390"/>
      <c r="AL1" s="391"/>
      <c r="AM1" s="378" t="s">
        <v>2145</v>
      </c>
      <c r="AN1" s="377"/>
      <c r="AO1" s="378" t="s">
        <v>2723</v>
      </c>
      <c r="AP1" s="379"/>
      <c r="AQ1" s="378" t="s">
        <v>2098</v>
      </c>
      <c r="AR1" s="379"/>
      <c r="AS1" s="378" t="s">
        <v>2724</v>
      </c>
      <c r="AT1" s="379"/>
      <c r="AU1" s="380" t="s">
        <v>2725</v>
      </c>
      <c r="AV1" s="381"/>
      <c r="AW1" s="378" t="s">
        <v>2655</v>
      </c>
      <c r="AX1" s="377"/>
      <c r="AY1" s="378" t="s">
        <v>2726</v>
      </c>
      <c r="AZ1" s="379"/>
      <c r="BA1" s="378" t="s">
        <v>1395</v>
      </c>
      <c r="BB1" s="379"/>
      <c r="BC1" s="378" t="s">
        <v>2656</v>
      </c>
      <c r="BD1" s="379"/>
      <c r="BE1" s="378" t="s">
        <v>1688</v>
      </c>
      <c r="BF1" s="377"/>
      <c r="BG1" s="378" t="s">
        <v>1689</v>
      </c>
      <c r="BH1" s="377"/>
      <c r="BI1" s="378" t="s">
        <v>2719</v>
      </c>
      <c r="BJ1" s="379"/>
      <c r="BK1" s="378" t="s">
        <v>2722</v>
      </c>
      <c r="BL1" s="379"/>
      <c r="BM1" s="378" t="s">
        <v>2140</v>
      </c>
      <c r="BN1" s="379"/>
      <c r="BO1" s="378" t="s">
        <v>2043</v>
      </c>
      <c r="BP1" s="377"/>
      <c r="BQ1" s="378" t="s">
        <v>2076</v>
      </c>
      <c r="BR1" s="379"/>
      <c r="BS1" s="378" t="s">
        <v>2045</v>
      </c>
      <c r="BT1" s="379"/>
      <c r="BU1" s="378" t="s">
        <v>2766</v>
      </c>
      <c r="BV1" s="379"/>
      <c r="BW1" s="378" t="s">
        <v>2705</v>
      </c>
      <c r="BX1" s="379"/>
      <c r="BY1" s="378" t="s">
        <v>2075</v>
      </c>
      <c r="BZ1" s="377"/>
      <c r="CA1" s="378" t="s">
        <v>2706</v>
      </c>
      <c r="CB1" s="379"/>
      <c r="CC1" s="378" t="s">
        <v>2707</v>
      </c>
      <c r="CD1" s="379"/>
      <c r="CE1" s="378" t="s">
        <v>2845</v>
      </c>
      <c r="CF1" s="379"/>
      <c r="CG1" s="378" t="s">
        <v>1397</v>
      </c>
      <c r="CH1" s="379"/>
      <c r="CI1" s="378" t="s">
        <v>2765</v>
      </c>
      <c r="CJ1" s="377"/>
      <c r="CK1" s="378" t="s">
        <v>2097</v>
      </c>
      <c r="CL1" s="379"/>
      <c r="CM1" s="378" t="s">
        <v>2096</v>
      </c>
      <c r="CN1" s="379"/>
      <c r="CO1" s="378" t="s">
        <v>2146</v>
      </c>
      <c r="CP1" s="379"/>
      <c r="CQ1" s="378" t="s">
        <v>2041</v>
      </c>
      <c r="CR1" s="379"/>
      <c r="CS1" s="378" t="s">
        <v>2042</v>
      </c>
      <c r="CT1" s="379"/>
      <c r="CU1" s="54" t="s">
        <v>2046</v>
      </c>
      <c r="CV1" s="378" t="s">
        <v>2095</v>
      </c>
      <c r="CW1" s="392"/>
      <c r="CX1" s="378" t="s">
        <v>2721</v>
      </c>
      <c r="CY1" s="379"/>
      <c r="CZ1" s="393" t="s">
        <v>2048</v>
      </c>
      <c r="DA1" s="394"/>
      <c r="DB1" s="382" t="s">
        <v>2728</v>
      </c>
      <c r="DC1" s="383"/>
      <c r="DD1" s="372" t="s">
        <v>3245</v>
      </c>
      <c r="DE1" s="373"/>
      <c r="DF1" s="170" t="s">
        <v>2177</v>
      </c>
      <c r="DG1" s="374" t="s">
        <v>3254</v>
      </c>
      <c r="DH1" s="374"/>
    </row>
    <row r="2" spans="1:125" s="4" customFormat="1" ht="36" x14ac:dyDescent="0.2">
      <c r="A2" s="29" t="s">
        <v>511</v>
      </c>
      <c r="B2" s="30" t="s">
        <v>2773</v>
      </c>
      <c r="C2" s="30" t="s">
        <v>1691</v>
      </c>
      <c r="D2" s="30" t="s">
        <v>1692</v>
      </c>
      <c r="E2" s="79" t="s">
        <v>1322</v>
      </c>
      <c r="F2" s="31" t="s">
        <v>2727</v>
      </c>
      <c r="G2" s="31" t="s">
        <v>2184</v>
      </c>
      <c r="H2" s="31" t="s">
        <v>2185</v>
      </c>
      <c r="I2" s="31" t="s">
        <v>1693</v>
      </c>
      <c r="J2" s="31" t="s">
        <v>1694</v>
      </c>
      <c r="K2" s="31" t="s">
        <v>2181</v>
      </c>
      <c r="L2" s="31" t="s">
        <v>2182</v>
      </c>
      <c r="M2" s="31" t="s">
        <v>2720</v>
      </c>
      <c r="N2" s="32" t="s">
        <v>2186</v>
      </c>
      <c r="O2" s="32" t="s">
        <v>2187</v>
      </c>
      <c r="P2" s="32" t="s">
        <v>2816</v>
      </c>
      <c r="Q2" s="32" t="s">
        <v>2819</v>
      </c>
      <c r="R2" s="32" t="s">
        <v>2817</v>
      </c>
      <c r="S2" s="32" t="s">
        <v>2818</v>
      </c>
      <c r="T2" s="32" t="s">
        <v>2138</v>
      </c>
      <c r="U2" s="32" t="s">
        <v>2175</v>
      </c>
      <c r="V2" s="33" t="s">
        <v>2142</v>
      </c>
      <c r="W2" s="34" t="s">
        <v>3123</v>
      </c>
      <c r="X2" s="34" t="s">
        <v>2139</v>
      </c>
      <c r="Y2" s="34" t="s">
        <v>2141</v>
      </c>
      <c r="Z2" s="34" t="s">
        <v>2179</v>
      </c>
      <c r="AA2" s="34" t="s">
        <v>2095</v>
      </c>
      <c r="AB2" s="34" t="s">
        <v>2142</v>
      </c>
      <c r="AC2" s="34" t="s">
        <v>4556</v>
      </c>
      <c r="AD2" s="34" t="s">
        <v>1360</v>
      </c>
      <c r="AE2" s="35" t="s">
        <v>2178</v>
      </c>
      <c r="AF2" s="36" t="s">
        <v>2174</v>
      </c>
      <c r="AG2" s="37" t="s">
        <v>2188</v>
      </c>
      <c r="AH2" s="36" t="s">
        <v>2729</v>
      </c>
      <c r="AI2" s="36" t="s">
        <v>1353</v>
      </c>
      <c r="AJ2" s="38" t="s">
        <v>2189</v>
      </c>
      <c r="AK2" s="39" t="s">
        <v>2771</v>
      </c>
      <c r="AL2" s="40" t="s">
        <v>1690</v>
      </c>
      <c r="AM2" s="41" t="s">
        <v>2143</v>
      </c>
      <c r="AN2" s="41" t="s">
        <v>2144</v>
      </c>
      <c r="AO2" s="41" t="s">
        <v>2143</v>
      </c>
      <c r="AP2" s="41" t="s">
        <v>2144</v>
      </c>
      <c r="AQ2" s="41" t="s">
        <v>2143</v>
      </c>
      <c r="AR2" s="41" t="s">
        <v>2144</v>
      </c>
      <c r="AS2" s="41" t="s">
        <v>2143</v>
      </c>
      <c r="AT2" s="41" t="s">
        <v>2144</v>
      </c>
      <c r="AU2" s="42" t="s">
        <v>2143</v>
      </c>
      <c r="AV2" s="42" t="s">
        <v>2144</v>
      </c>
      <c r="AW2" s="43" t="s">
        <v>2143</v>
      </c>
      <c r="AX2" s="43" t="s">
        <v>2144</v>
      </c>
      <c r="AY2" s="43" t="s">
        <v>2143</v>
      </c>
      <c r="AZ2" s="43" t="s">
        <v>2144</v>
      </c>
      <c r="BA2" s="43" t="s">
        <v>2143</v>
      </c>
      <c r="BB2" s="43" t="s">
        <v>2144</v>
      </c>
      <c r="BC2" s="43" t="s">
        <v>2143</v>
      </c>
      <c r="BD2" s="43" t="s">
        <v>2144</v>
      </c>
      <c r="BE2" s="43" t="s">
        <v>2143</v>
      </c>
      <c r="BF2" s="43" t="s">
        <v>2144</v>
      </c>
      <c r="BG2" s="43" t="s">
        <v>2143</v>
      </c>
      <c r="BH2" s="43" t="s">
        <v>2144</v>
      </c>
      <c r="BI2" s="43" t="s">
        <v>2143</v>
      </c>
      <c r="BJ2" s="43" t="s">
        <v>2144</v>
      </c>
      <c r="BK2" s="43" t="s">
        <v>2143</v>
      </c>
      <c r="BL2" s="43" t="s">
        <v>2144</v>
      </c>
      <c r="BM2" s="43" t="s">
        <v>2143</v>
      </c>
      <c r="BN2" s="43" t="s">
        <v>2144</v>
      </c>
      <c r="BO2" s="43" t="s">
        <v>2143</v>
      </c>
      <c r="BP2" s="43" t="s">
        <v>2144</v>
      </c>
      <c r="BQ2" s="43" t="s">
        <v>2143</v>
      </c>
      <c r="BR2" s="43" t="s">
        <v>2144</v>
      </c>
      <c r="BS2" s="43" t="s">
        <v>2143</v>
      </c>
      <c r="BT2" s="43" t="s">
        <v>2144</v>
      </c>
      <c r="BU2" s="43" t="s">
        <v>2143</v>
      </c>
      <c r="BV2" s="43" t="s">
        <v>2144</v>
      </c>
      <c r="BW2" s="43" t="s">
        <v>2143</v>
      </c>
      <c r="BX2" s="43" t="s">
        <v>2144</v>
      </c>
      <c r="BY2" s="43" t="s">
        <v>2143</v>
      </c>
      <c r="BZ2" s="43" t="s">
        <v>2144</v>
      </c>
      <c r="CA2" s="43" t="s">
        <v>2143</v>
      </c>
      <c r="CB2" s="43" t="s">
        <v>2144</v>
      </c>
      <c r="CC2" s="43" t="s">
        <v>2143</v>
      </c>
      <c r="CD2" s="43" t="s">
        <v>2144</v>
      </c>
      <c r="CE2" s="43" t="s">
        <v>2143</v>
      </c>
      <c r="CF2" s="43" t="s">
        <v>2144</v>
      </c>
      <c r="CG2" s="43" t="s">
        <v>2143</v>
      </c>
      <c r="CH2" s="43" t="s">
        <v>2144</v>
      </c>
      <c r="CI2" s="43" t="s">
        <v>2143</v>
      </c>
      <c r="CJ2" s="43" t="s">
        <v>2144</v>
      </c>
      <c r="CK2" s="43" t="s">
        <v>2143</v>
      </c>
      <c r="CL2" s="43" t="s">
        <v>2144</v>
      </c>
      <c r="CM2" s="43" t="s">
        <v>2143</v>
      </c>
      <c r="CN2" s="43" t="s">
        <v>2144</v>
      </c>
      <c r="CO2" s="43" t="s">
        <v>2143</v>
      </c>
      <c r="CP2" s="43" t="s">
        <v>2144</v>
      </c>
      <c r="CQ2" s="43" t="s">
        <v>2143</v>
      </c>
      <c r="CR2" s="43" t="s">
        <v>2144</v>
      </c>
      <c r="CS2" s="43" t="s">
        <v>2143</v>
      </c>
      <c r="CT2" s="43" t="s">
        <v>2144</v>
      </c>
      <c r="CU2" s="43" t="s">
        <v>2047</v>
      </c>
      <c r="CV2" s="43" t="s">
        <v>2143</v>
      </c>
      <c r="CW2" s="43" t="s">
        <v>2144</v>
      </c>
      <c r="CX2" s="43" t="s">
        <v>2143</v>
      </c>
      <c r="CY2" s="43" t="s">
        <v>2144</v>
      </c>
      <c r="CZ2" s="43" t="s">
        <v>2143</v>
      </c>
      <c r="DA2" s="43" t="s">
        <v>2144</v>
      </c>
      <c r="DB2" s="43" t="s">
        <v>2143</v>
      </c>
      <c r="DC2" s="43" t="s">
        <v>2144</v>
      </c>
      <c r="DD2" s="43" t="s">
        <v>3246</v>
      </c>
      <c r="DE2" s="43" t="s">
        <v>2144</v>
      </c>
      <c r="DF2" s="171" t="s">
        <v>2785</v>
      </c>
      <c r="DG2" s="114" t="s">
        <v>3252</v>
      </c>
      <c r="DH2" s="115" t="s">
        <v>3253</v>
      </c>
    </row>
    <row r="3" spans="1:125" s="8" customFormat="1" ht="192" x14ac:dyDescent="0.2">
      <c r="A3" s="77">
        <v>41275</v>
      </c>
      <c r="B3" s="80" t="s">
        <v>2847</v>
      </c>
      <c r="C3" s="81" t="s">
        <v>2673</v>
      </c>
      <c r="D3" s="81" t="s">
        <v>2846</v>
      </c>
      <c r="E3" s="75" t="str">
        <f>VLOOKUP(B3&amp;C3,Divipola!$C$2:$F$1138,4,FALSE)</f>
        <v>68001</v>
      </c>
      <c r="F3" s="87"/>
      <c r="G3" s="87"/>
      <c r="H3" s="87"/>
      <c r="I3" s="87"/>
      <c r="J3" s="250"/>
      <c r="K3" s="87"/>
      <c r="L3" s="87"/>
      <c r="M3" s="87"/>
      <c r="N3" s="87"/>
      <c r="O3" s="87"/>
      <c r="P3" s="87"/>
      <c r="Q3" s="87"/>
      <c r="R3" s="87"/>
      <c r="S3" s="87"/>
      <c r="T3" s="87"/>
      <c r="U3" s="127">
        <v>1</v>
      </c>
      <c r="V3" s="89"/>
      <c r="W3" s="96">
        <v>0</v>
      </c>
      <c r="X3" s="71">
        <f>CU3</f>
        <v>0</v>
      </c>
      <c r="Y3" s="71">
        <f>CY3</f>
        <v>0</v>
      </c>
      <c r="Z3" s="71">
        <f>DA3+DC3+DE3</f>
        <v>0</v>
      </c>
      <c r="AA3" s="71">
        <f>CW3</f>
        <v>0</v>
      </c>
      <c r="AB3" s="71"/>
      <c r="AC3" s="71">
        <v>0</v>
      </c>
      <c r="AD3" s="71">
        <f>W3+X3+Y3+Z3+AA3+AB3+AC3</f>
        <v>0</v>
      </c>
      <c r="AE3" s="72">
        <v>0</v>
      </c>
      <c r="AF3" s="5"/>
      <c r="AG3" s="6"/>
      <c r="AH3" s="27" t="s">
        <v>3392</v>
      </c>
      <c r="AI3" s="44" t="s">
        <v>3393</v>
      </c>
      <c r="AJ3" s="26"/>
      <c r="AK3" s="5"/>
      <c r="AL3" s="82" t="s">
        <v>2850</v>
      </c>
      <c r="AM3" s="76"/>
      <c r="AN3" s="76"/>
      <c r="AO3" s="76"/>
      <c r="AP3" s="76"/>
      <c r="AQ3" s="76"/>
      <c r="AR3" s="76"/>
      <c r="AS3" s="76"/>
      <c r="AT3" s="76"/>
      <c r="AU3" s="76"/>
      <c r="AV3" s="76"/>
      <c r="AW3" s="76"/>
      <c r="AX3" s="76">
        <f>+AW3*600000</f>
        <v>0</v>
      </c>
      <c r="AY3" s="76"/>
      <c r="AZ3" s="76">
        <f>+AY3*70000</f>
        <v>0</v>
      </c>
      <c r="BA3" s="76"/>
      <c r="BB3" s="76"/>
      <c r="BC3" s="76"/>
      <c r="BD3" s="76">
        <f>+BC3*30000</f>
        <v>0</v>
      </c>
      <c r="BE3" s="76"/>
      <c r="BF3" s="76"/>
      <c r="BG3" s="76"/>
      <c r="BH3" s="76"/>
      <c r="BI3" s="76"/>
      <c r="BJ3" s="76"/>
      <c r="BK3" s="76"/>
      <c r="BL3" s="76">
        <f>+BK3*31500</f>
        <v>0</v>
      </c>
      <c r="BM3" s="76"/>
      <c r="BN3" s="76"/>
      <c r="BO3" s="76"/>
      <c r="BP3" s="76"/>
      <c r="BQ3" s="76"/>
      <c r="BR3" s="76"/>
      <c r="BS3" s="76"/>
      <c r="BT3" s="76"/>
      <c r="BU3" s="76"/>
      <c r="BV3" s="76"/>
      <c r="BW3" s="76"/>
      <c r="BX3" s="76"/>
      <c r="BY3" s="76"/>
      <c r="BZ3" s="76"/>
      <c r="CA3" s="76"/>
      <c r="CB3" s="76"/>
      <c r="CC3" s="76"/>
      <c r="CD3" s="76"/>
      <c r="CE3" s="76"/>
      <c r="CF3" s="76">
        <f>+CE3*28000</f>
        <v>0</v>
      </c>
      <c r="CG3" s="76"/>
      <c r="CH3" s="76">
        <f>+CG3*22500</f>
        <v>0</v>
      </c>
      <c r="CI3" s="76"/>
      <c r="CJ3" s="76">
        <f>+CI3*26000</f>
        <v>0</v>
      </c>
      <c r="CK3" s="76"/>
      <c r="CL3" s="76"/>
      <c r="CM3" s="76"/>
      <c r="CN3" s="76">
        <f>+CM3*22000</f>
        <v>0</v>
      </c>
      <c r="CO3" s="76"/>
      <c r="CP3" s="76">
        <f>+CO3*46000</f>
        <v>0</v>
      </c>
      <c r="CQ3" s="76"/>
      <c r="CR3" s="76">
        <f>+CQ3*49000</f>
        <v>0</v>
      </c>
      <c r="CS3" s="76"/>
      <c r="CT3" s="76"/>
      <c r="CU3" s="56">
        <f>AN3+AP3+AR3+AT3+AV3+AX3+AZ3+BB3+BD3+BF3+BH3+BJ3+BL3+BN3+BP3+BR3+BT3+BV3+BX3+BZ3+CB3+CD3+CF3+CH3+CJ3+CL3+CN3+CP3+CR3+CT3</f>
        <v>0</v>
      </c>
      <c r="CV3" s="76"/>
      <c r="CW3" s="76">
        <f>+CV3*1100</f>
        <v>0</v>
      </c>
      <c r="CX3" s="76"/>
      <c r="CY3" s="76">
        <f>+CX3*106250</f>
        <v>0</v>
      </c>
      <c r="CZ3" s="76"/>
      <c r="DA3" s="76">
        <f>+CZ3*34500</f>
        <v>0</v>
      </c>
      <c r="DB3" s="76"/>
      <c r="DC3" s="76">
        <f>+DB3*25000</f>
        <v>0</v>
      </c>
      <c r="DD3" s="219"/>
      <c r="DE3" s="219"/>
      <c r="DF3" s="164"/>
      <c r="DG3" s="116"/>
      <c r="DH3" s="117"/>
      <c r="DI3" s="24"/>
      <c r="DJ3" s="24"/>
      <c r="DK3" s="24"/>
      <c r="DL3" s="24"/>
      <c r="DM3" s="24"/>
      <c r="DN3" s="24"/>
      <c r="DO3" s="24"/>
      <c r="DP3" s="24"/>
      <c r="DQ3" s="24"/>
      <c r="DR3" s="24"/>
      <c r="DS3" s="24"/>
      <c r="DT3" s="24"/>
      <c r="DU3" s="24"/>
    </row>
    <row r="4" spans="1:125" s="8" customFormat="1" ht="48" x14ac:dyDescent="0.2">
      <c r="A4" s="77">
        <v>41275</v>
      </c>
      <c r="B4" s="78" t="s">
        <v>2851</v>
      </c>
      <c r="C4" s="75" t="s">
        <v>1686</v>
      </c>
      <c r="D4" s="81" t="s">
        <v>2846</v>
      </c>
      <c r="E4" s="75" t="str">
        <f>VLOOKUP(B4&amp;C4,Divipola!$C$2:$F$1138,4,FALSE)</f>
        <v>76001</v>
      </c>
      <c r="F4" s="87"/>
      <c r="G4" s="87"/>
      <c r="H4" s="87"/>
      <c r="I4" s="87"/>
      <c r="J4" s="87"/>
      <c r="K4" s="87"/>
      <c r="L4" s="87"/>
      <c r="M4" s="87"/>
      <c r="N4" s="87"/>
      <c r="O4" s="87"/>
      <c r="P4" s="87"/>
      <c r="Q4" s="87"/>
      <c r="R4" s="87"/>
      <c r="S4" s="87"/>
      <c r="T4" s="87"/>
      <c r="U4" s="127">
        <v>2</v>
      </c>
      <c r="V4" s="89"/>
      <c r="W4" s="96">
        <v>0</v>
      </c>
      <c r="X4" s="71">
        <f>CU4</f>
        <v>0</v>
      </c>
      <c r="Y4" s="71">
        <f>CY4</f>
        <v>0</v>
      </c>
      <c r="Z4" s="71">
        <f>DA4+DC4+DE4</f>
        <v>0</v>
      </c>
      <c r="AA4" s="71">
        <f>CW4</f>
        <v>0</v>
      </c>
      <c r="AB4" s="71"/>
      <c r="AC4" s="71">
        <v>0</v>
      </c>
      <c r="AD4" s="71">
        <f>W4+X4+Y4+Z4+AA4+AB4+AC4</f>
        <v>0</v>
      </c>
      <c r="AE4" s="72">
        <v>0</v>
      </c>
      <c r="AF4" s="5"/>
      <c r="AG4" s="6"/>
      <c r="AH4" s="27" t="s">
        <v>3392</v>
      </c>
      <c r="AI4" s="44" t="s">
        <v>3393</v>
      </c>
      <c r="AJ4" s="26"/>
      <c r="AK4" s="5"/>
      <c r="AL4" s="82" t="s">
        <v>2853</v>
      </c>
      <c r="AM4" s="76"/>
      <c r="AN4" s="76"/>
      <c r="AO4" s="76"/>
      <c r="AP4" s="76"/>
      <c r="AQ4" s="76"/>
      <c r="AR4" s="76"/>
      <c r="AS4" s="76"/>
      <c r="AT4" s="76"/>
      <c r="AU4" s="76"/>
      <c r="AV4" s="76"/>
      <c r="AW4" s="76"/>
      <c r="AX4" s="76">
        <f>+AW4*600000</f>
        <v>0</v>
      </c>
      <c r="AY4" s="76"/>
      <c r="AZ4" s="76">
        <f>+AY4*70000</f>
        <v>0</v>
      </c>
      <c r="BA4" s="76"/>
      <c r="BB4" s="76"/>
      <c r="BC4" s="76"/>
      <c r="BD4" s="76">
        <f>+BC4*30000</f>
        <v>0</v>
      </c>
      <c r="BE4" s="76"/>
      <c r="BF4" s="76"/>
      <c r="BG4" s="76"/>
      <c r="BH4" s="76"/>
      <c r="BI4" s="76"/>
      <c r="BJ4" s="76"/>
      <c r="BK4" s="76"/>
      <c r="BL4" s="76">
        <f>+BK4*31500</f>
        <v>0</v>
      </c>
      <c r="BM4" s="76"/>
      <c r="BN4" s="76"/>
      <c r="BO4" s="76"/>
      <c r="BP4" s="76"/>
      <c r="BQ4" s="76"/>
      <c r="BR4" s="76"/>
      <c r="BS4" s="76"/>
      <c r="BT4" s="76"/>
      <c r="BU4" s="76"/>
      <c r="BV4" s="76"/>
      <c r="BW4" s="76"/>
      <c r="BX4" s="76"/>
      <c r="BY4" s="76"/>
      <c r="BZ4" s="76"/>
      <c r="CA4" s="76"/>
      <c r="CB4" s="76"/>
      <c r="CC4" s="76"/>
      <c r="CD4" s="76"/>
      <c r="CE4" s="76"/>
      <c r="CF4" s="76">
        <f>+CE4*28000</f>
        <v>0</v>
      </c>
      <c r="CG4" s="76"/>
      <c r="CH4" s="76">
        <f>+CG4*22500</f>
        <v>0</v>
      </c>
      <c r="CI4" s="76"/>
      <c r="CJ4" s="76">
        <f>+CI4*26000</f>
        <v>0</v>
      </c>
      <c r="CK4" s="76"/>
      <c r="CL4" s="76"/>
      <c r="CM4" s="76"/>
      <c r="CN4" s="76">
        <f>+CM4*22000</f>
        <v>0</v>
      </c>
      <c r="CO4" s="76"/>
      <c r="CP4" s="76">
        <f>+CO4*46000</f>
        <v>0</v>
      </c>
      <c r="CQ4" s="76"/>
      <c r="CR4" s="76">
        <f>+CQ4*49000</f>
        <v>0</v>
      </c>
      <c r="CS4" s="76"/>
      <c r="CT4" s="76"/>
      <c r="CU4" s="56">
        <f>AN4+AP4+AR4+AT4+AV4+AX4+AZ4+BB4+BD4+BF4+BH4+BJ4+BL4+BN4+BP4+BR4+BT4+BV4+BX4+BZ4+CB4+CD4+CF4+CH4+CJ4+CL4+CN4+CP4+CR4+CT4</f>
        <v>0</v>
      </c>
      <c r="CV4" s="76"/>
      <c r="CW4" s="76">
        <f>+CV4*1100</f>
        <v>0</v>
      </c>
      <c r="CX4" s="76"/>
      <c r="CY4" s="76">
        <f>+CX4*106250</f>
        <v>0</v>
      </c>
      <c r="CZ4" s="76"/>
      <c r="DA4" s="76">
        <f>+CZ4*34500</f>
        <v>0</v>
      </c>
      <c r="DB4" s="76"/>
      <c r="DC4" s="76">
        <f>+DB4*25000</f>
        <v>0</v>
      </c>
      <c r="DD4" s="219"/>
      <c r="DE4" s="219"/>
      <c r="DF4" s="164"/>
      <c r="DG4" s="116"/>
      <c r="DH4" s="117"/>
      <c r="DI4" s="24"/>
      <c r="DJ4" s="24"/>
      <c r="DK4" s="24"/>
      <c r="DL4" s="24"/>
      <c r="DM4" s="24"/>
      <c r="DN4" s="24"/>
      <c r="DO4" s="24"/>
      <c r="DP4" s="24"/>
      <c r="DQ4" s="24"/>
      <c r="DR4" s="24"/>
      <c r="DS4" s="24"/>
      <c r="DT4" s="24"/>
      <c r="DU4" s="24"/>
    </row>
    <row r="5" spans="1:125" s="8" customFormat="1" ht="108" x14ac:dyDescent="0.2">
      <c r="A5" s="77">
        <v>41276</v>
      </c>
      <c r="B5" s="80" t="s">
        <v>529</v>
      </c>
      <c r="C5" s="81" t="s">
        <v>529</v>
      </c>
      <c r="D5" s="81" t="s">
        <v>2846</v>
      </c>
      <c r="E5" s="75" t="str">
        <f>VLOOKUP(B5&amp;C5,Divipola!$C$2:$F$1138,4,FALSE)</f>
        <v>11001</v>
      </c>
      <c r="F5" s="87"/>
      <c r="G5" s="87"/>
      <c r="H5" s="87"/>
      <c r="I5" s="87"/>
      <c r="J5" s="87"/>
      <c r="K5" s="87"/>
      <c r="L5" s="87"/>
      <c r="M5" s="87"/>
      <c r="N5" s="87"/>
      <c r="O5" s="87"/>
      <c r="P5" s="87"/>
      <c r="Q5" s="87"/>
      <c r="R5" s="87"/>
      <c r="S5" s="87"/>
      <c r="T5" s="87"/>
      <c r="U5" s="127"/>
      <c r="V5" s="89"/>
      <c r="W5" s="96">
        <v>0</v>
      </c>
      <c r="X5" s="71">
        <f>CU5</f>
        <v>0</v>
      </c>
      <c r="Y5" s="71">
        <f>CY5</f>
        <v>0</v>
      </c>
      <c r="Z5" s="71">
        <f>DA5+DC5+DE5</f>
        <v>0</v>
      </c>
      <c r="AA5" s="71">
        <f>CW5</f>
        <v>0</v>
      </c>
      <c r="AB5" s="71"/>
      <c r="AC5" s="71">
        <v>0</v>
      </c>
      <c r="AD5" s="71">
        <f>W5+X5+Y5+Z5+AA5+AB5+AC5</f>
        <v>0</v>
      </c>
      <c r="AE5" s="72">
        <v>0</v>
      </c>
      <c r="AF5" s="5"/>
      <c r="AG5" s="6"/>
      <c r="AH5" s="27" t="s">
        <v>3392</v>
      </c>
      <c r="AI5" s="44" t="s">
        <v>3393</v>
      </c>
      <c r="AJ5" s="26"/>
      <c r="AK5" s="5"/>
      <c r="AL5" s="82" t="s">
        <v>2861</v>
      </c>
      <c r="AM5" s="76"/>
      <c r="AN5" s="76"/>
      <c r="AO5" s="76"/>
      <c r="AP5" s="76"/>
      <c r="AQ5" s="76"/>
      <c r="AR5" s="76"/>
      <c r="AS5" s="76"/>
      <c r="AT5" s="76"/>
      <c r="AU5" s="76"/>
      <c r="AV5" s="76"/>
      <c r="AW5" s="76"/>
      <c r="AX5" s="76">
        <f>+AW5*600000</f>
        <v>0</v>
      </c>
      <c r="AY5" s="76"/>
      <c r="AZ5" s="76">
        <f>+AY5*70000</f>
        <v>0</v>
      </c>
      <c r="BA5" s="76"/>
      <c r="BB5" s="76"/>
      <c r="BC5" s="76"/>
      <c r="BD5" s="76">
        <f>+BC5*30000</f>
        <v>0</v>
      </c>
      <c r="BE5" s="76"/>
      <c r="BF5" s="76"/>
      <c r="BG5" s="76"/>
      <c r="BH5" s="76"/>
      <c r="BI5" s="76"/>
      <c r="BJ5" s="76"/>
      <c r="BK5" s="76"/>
      <c r="BL5" s="76">
        <f>+BK5*31500</f>
        <v>0</v>
      </c>
      <c r="BM5" s="76"/>
      <c r="BN5" s="76"/>
      <c r="BO5" s="76"/>
      <c r="BP5" s="76"/>
      <c r="BQ5" s="76"/>
      <c r="BR5" s="76"/>
      <c r="BS5" s="76"/>
      <c r="BT5" s="76"/>
      <c r="BU5" s="76"/>
      <c r="BV5" s="76"/>
      <c r="BW5" s="76"/>
      <c r="BX5" s="76"/>
      <c r="BY5" s="76"/>
      <c r="BZ5" s="76"/>
      <c r="CA5" s="76"/>
      <c r="CB5" s="76"/>
      <c r="CC5" s="76"/>
      <c r="CD5" s="76"/>
      <c r="CE5" s="76"/>
      <c r="CF5" s="76">
        <f>+CE5*28000</f>
        <v>0</v>
      </c>
      <c r="CG5" s="76"/>
      <c r="CH5" s="76">
        <f>+CG5*22500</f>
        <v>0</v>
      </c>
      <c r="CI5" s="76"/>
      <c r="CJ5" s="76">
        <f>+CI5*26000</f>
        <v>0</v>
      </c>
      <c r="CK5" s="76"/>
      <c r="CL5" s="76"/>
      <c r="CM5" s="76"/>
      <c r="CN5" s="76">
        <f>+CM5*22000</f>
        <v>0</v>
      </c>
      <c r="CO5" s="76"/>
      <c r="CP5" s="76">
        <f>+CO5*46000</f>
        <v>0</v>
      </c>
      <c r="CQ5" s="76"/>
      <c r="CR5" s="76">
        <f>+CQ5*49000</f>
        <v>0</v>
      </c>
      <c r="CS5" s="76"/>
      <c r="CT5" s="76"/>
      <c r="CU5" s="56">
        <f>AN5+AP5+AR5+AT5+AV5+AX5+AZ5+BB5+BD5+BF5+BH5+BJ5+BL5+BN5+BP5+BR5+BT5+BV5+BX5+BZ5+CB5+CD5+CF5+CH5+CJ5+CL5+CN5+CP5+CR5+CT5</f>
        <v>0</v>
      </c>
      <c r="CV5" s="76"/>
      <c r="CW5" s="76">
        <f>+CV5*1100</f>
        <v>0</v>
      </c>
      <c r="CX5" s="76"/>
      <c r="CY5" s="76">
        <f>+CX5*106250</f>
        <v>0</v>
      </c>
      <c r="CZ5" s="76"/>
      <c r="DA5" s="76">
        <f>+CZ5*34500</f>
        <v>0</v>
      </c>
      <c r="DB5" s="76"/>
      <c r="DC5" s="76">
        <f>+DB5*25000</f>
        <v>0</v>
      </c>
      <c r="DD5" s="219"/>
      <c r="DE5" s="219"/>
      <c r="DF5" s="164"/>
      <c r="DG5" s="116"/>
      <c r="DH5" s="117"/>
      <c r="DI5" s="24"/>
      <c r="DJ5" s="24"/>
      <c r="DK5" s="24"/>
      <c r="DL5" s="24"/>
      <c r="DM5" s="24"/>
      <c r="DN5" s="24"/>
      <c r="DO5" s="24"/>
      <c r="DP5" s="24"/>
      <c r="DQ5" s="24"/>
      <c r="DR5" s="24"/>
      <c r="DS5" s="24"/>
      <c r="DT5" s="24"/>
      <c r="DU5" s="24"/>
    </row>
    <row r="6" spans="1:125" s="8" customFormat="1" ht="48" x14ac:dyDescent="0.2">
      <c r="A6" s="77">
        <v>41276</v>
      </c>
      <c r="B6" s="80" t="s">
        <v>529</v>
      </c>
      <c r="C6" s="81" t="s">
        <v>529</v>
      </c>
      <c r="D6" s="81" t="s">
        <v>2846</v>
      </c>
      <c r="E6" s="75" t="str">
        <f>VLOOKUP(B6&amp;C6,Divipola!$C$2:$F$1138,4,FALSE)</f>
        <v>11001</v>
      </c>
      <c r="F6" s="87"/>
      <c r="G6" s="87"/>
      <c r="H6" s="87"/>
      <c r="I6" s="87"/>
      <c r="J6" s="87"/>
      <c r="K6" s="87"/>
      <c r="L6" s="87"/>
      <c r="M6" s="87"/>
      <c r="N6" s="87"/>
      <c r="O6" s="87"/>
      <c r="P6" s="87"/>
      <c r="Q6" s="87"/>
      <c r="R6" s="87"/>
      <c r="S6" s="87"/>
      <c r="T6" s="87"/>
      <c r="U6" s="127"/>
      <c r="V6" s="89"/>
      <c r="W6" s="96">
        <v>0</v>
      </c>
      <c r="X6" s="71">
        <f>CU6</f>
        <v>0</v>
      </c>
      <c r="Y6" s="71">
        <f>CY6</f>
        <v>0</v>
      </c>
      <c r="Z6" s="71">
        <f>DA6+DC6+DE6</f>
        <v>0</v>
      </c>
      <c r="AA6" s="71">
        <f>CW6</f>
        <v>0</v>
      </c>
      <c r="AB6" s="71"/>
      <c r="AC6" s="71">
        <v>0</v>
      </c>
      <c r="AD6" s="71">
        <f>W6+X6+Y6+Z6+AA6+AB6+AC6</f>
        <v>0</v>
      </c>
      <c r="AE6" s="72">
        <v>0</v>
      </c>
      <c r="AF6" s="5"/>
      <c r="AG6" s="6"/>
      <c r="AH6" s="27" t="s">
        <v>3392</v>
      </c>
      <c r="AI6" s="44" t="s">
        <v>3393</v>
      </c>
      <c r="AJ6" s="26"/>
      <c r="AK6" s="5"/>
      <c r="AL6" s="82" t="s">
        <v>2872</v>
      </c>
      <c r="AM6" s="76"/>
      <c r="AN6" s="76"/>
      <c r="AO6" s="76"/>
      <c r="AP6" s="76"/>
      <c r="AQ6" s="76"/>
      <c r="AR6" s="76"/>
      <c r="AS6" s="76"/>
      <c r="AT6" s="76"/>
      <c r="AU6" s="76"/>
      <c r="AV6" s="76"/>
      <c r="AW6" s="76"/>
      <c r="AX6" s="76">
        <f>+AW6*600000</f>
        <v>0</v>
      </c>
      <c r="AY6" s="76"/>
      <c r="AZ6" s="76">
        <f>+AY6*70000</f>
        <v>0</v>
      </c>
      <c r="BA6" s="76"/>
      <c r="BB6" s="76"/>
      <c r="BC6" s="76"/>
      <c r="BD6" s="76">
        <f>+BC6*30000</f>
        <v>0</v>
      </c>
      <c r="BE6" s="76"/>
      <c r="BF6" s="76"/>
      <c r="BG6" s="76"/>
      <c r="BH6" s="76"/>
      <c r="BI6" s="76"/>
      <c r="BJ6" s="76"/>
      <c r="BK6" s="76"/>
      <c r="BL6" s="76">
        <f>+BK6*31500</f>
        <v>0</v>
      </c>
      <c r="BM6" s="76"/>
      <c r="BN6" s="76"/>
      <c r="BO6" s="76"/>
      <c r="BP6" s="76"/>
      <c r="BQ6" s="76"/>
      <c r="BR6" s="76"/>
      <c r="BS6" s="76"/>
      <c r="BT6" s="76"/>
      <c r="BU6" s="76"/>
      <c r="BV6" s="76"/>
      <c r="BW6" s="76"/>
      <c r="BX6" s="76"/>
      <c r="BY6" s="76"/>
      <c r="BZ6" s="76"/>
      <c r="CA6" s="76"/>
      <c r="CB6" s="76"/>
      <c r="CC6" s="76"/>
      <c r="CD6" s="76"/>
      <c r="CE6" s="76"/>
      <c r="CF6" s="76">
        <f>+CE6*28000</f>
        <v>0</v>
      </c>
      <c r="CG6" s="76"/>
      <c r="CH6" s="76">
        <f>+CG6*22500</f>
        <v>0</v>
      </c>
      <c r="CI6" s="76"/>
      <c r="CJ6" s="76">
        <f>+CI6*26000</f>
        <v>0</v>
      </c>
      <c r="CK6" s="76"/>
      <c r="CL6" s="76"/>
      <c r="CM6" s="76"/>
      <c r="CN6" s="76">
        <f>+CM6*22000</f>
        <v>0</v>
      </c>
      <c r="CO6" s="76"/>
      <c r="CP6" s="76">
        <f>+CO6*46000</f>
        <v>0</v>
      </c>
      <c r="CQ6" s="76"/>
      <c r="CR6" s="76">
        <f>+CQ6*49000</f>
        <v>0</v>
      </c>
      <c r="CS6" s="76"/>
      <c r="CT6" s="76"/>
      <c r="CU6" s="56">
        <f>AN6+AP6+AR6+AT6+AV6+AX6+AZ6+BB6+BD6+BF6+BH6+BJ6+BL6+BN6+BP6+BR6+BT6+BV6+BX6+BZ6+CB6+CD6+CF6+CH6+CJ6+CL6+CN6+CP6+CR6+CT6</f>
        <v>0</v>
      </c>
      <c r="CV6" s="76"/>
      <c r="CW6" s="76">
        <f>+CV6*1100</f>
        <v>0</v>
      </c>
      <c r="CX6" s="76"/>
      <c r="CY6" s="76">
        <f>+CX6*106250</f>
        <v>0</v>
      </c>
      <c r="CZ6" s="76"/>
      <c r="DA6" s="76">
        <f>+CZ6*34500</f>
        <v>0</v>
      </c>
      <c r="DB6" s="76"/>
      <c r="DC6" s="76">
        <f>+DB6*25000</f>
        <v>0</v>
      </c>
      <c r="DD6" s="219"/>
      <c r="DE6" s="219"/>
      <c r="DF6" s="164"/>
      <c r="DG6" s="116"/>
      <c r="DH6" s="117"/>
      <c r="DI6" s="24"/>
      <c r="DJ6" s="24"/>
      <c r="DK6" s="24"/>
      <c r="DL6" s="24"/>
      <c r="DM6" s="24"/>
      <c r="DN6" s="24"/>
      <c r="DO6" s="24"/>
      <c r="DP6" s="24"/>
      <c r="DQ6" s="24"/>
      <c r="DR6" s="24"/>
      <c r="DS6" s="24"/>
      <c r="DT6" s="24"/>
      <c r="DU6" s="24"/>
    </row>
    <row r="7" spans="1:125" s="8" customFormat="1" ht="48" x14ac:dyDescent="0.2">
      <c r="A7" s="77">
        <v>41276</v>
      </c>
      <c r="B7" s="80" t="s">
        <v>2854</v>
      </c>
      <c r="C7" s="81" t="s">
        <v>2698</v>
      </c>
      <c r="D7" s="81" t="s">
        <v>2849</v>
      </c>
      <c r="E7" s="75" t="str">
        <f>VLOOKUP(B7&amp;C7,Divipola!$C$2:$F$1138,4,FALSE)</f>
        <v>19780</v>
      </c>
      <c r="F7" s="87">
        <v>1</v>
      </c>
      <c r="G7" s="87">
        <v>16</v>
      </c>
      <c r="H7" s="87"/>
      <c r="I7" s="87">
        <v>17</v>
      </c>
      <c r="J7" s="87"/>
      <c r="K7" s="87"/>
      <c r="L7" s="87"/>
      <c r="M7" s="87"/>
      <c r="N7" s="87"/>
      <c r="O7" s="87"/>
      <c r="P7" s="87"/>
      <c r="Q7" s="87"/>
      <c r="R7" s="87"/>
      <c r="S7" s="87"/>
      <c r="T7" s="87"/>
      <c r="U7" s="127"/>
      <c r="V7" s="89"/>
      <c r="W7" s="96">
        <v>0</v>
      </c>
      <c r="X7" s="71">
        <f>CU7</f>
        <v>0</v>
      </c>
      <c r="Y7" s="71">
        <f>CY7</f>
        <v>0</v>
      </c>
      <c r="Z7" s="71">
        <f>DA7+DC7+DE7</f>
        <v>0</v>
      </c>
      <c r="AA7" s="71">
        <f>CW7</f>
        <v>0</v>
      </c>
      <c r="AB7" s="71"/>
      <c r="AC7" s="71">
        <v>0</v>
      </c>
      <c r="AD7" s="71">
        <f>W7+X7+Y7+Z7+AA7+AB7+AC7</f>
        <v>0</v>
      </c>
      <c r="AE7" s="72">
        <v>0</v>
      </c>
      <c r="AF7" s="5"/>
      <c r="AG7" s="6"/>
      <c r="AH7" s="27" t="s">
        <v>3392</v>
      </c>
      <c r="AI7" s="44" t="s">
        <v>3393</v>
      </c>
      <c r="AJ7" s="26"/>
      <c r="AK7" s="5"/>
      <c r="AL7" s="82" t="s">
        <v>2856</v>
      </c>
      <c r="AM7" s="76"/>
      <c r="AN7" s="76"/>
      <c r="AO7" s="76"/>
      <c r="AP7" s="76"/>
      <c r="AQ7" s="76"/>
      <c r="AR7" s="76"/>
      <c r="AS7" s="76"/>
      <c r="AT7" s="76"/>
      <c r="AU7" s="76"/>
      <c r="AV7" s="76"/>
      <c r="AW7" s="76"/>
      <c r="AX7" s="76">
        <f>+AW7*600000</f>
        <v>0</v>
      </c>
      <c r="AY7" s="76"/>
      <c r="AZ7" s="76">
        <f>+AY7*70000</f>
        <v>0</v>
      </c>
      <c r="BA7" s="76"/>
      <c r="BB7" s="76"/>
      <c r="BC7" s="76"/>
      <c r="BD7" s="76">
        <f>+BC7*30000</f>
        <v>0</v>
      </c>
      <c r="BE7" s="76"/>
      <c r="BF7" s="76"/>
      <c r="BG7" s="76"/>
      <c r="BH7" s="76"/>
      <c r="BI7" s="76"/>
      <c r="BJ7" s="76"/>
      <c r="BK7" s="76"/>
      <c r="BL7" s="76">
        <f>+BK7*31500</f>
        <v>0</v>
      </c>
      <c r="BM7" s="76"/>
      <c r="BN7" s="76"/>
      <c r="BO7" s="76"/>
      <c r="BP7" s="76"/>
      <c r="BQ7" s="76"/>
      <c r="BR7" s="76"/>
      <c r="BS7" s="76"/>
      <c r="BT7" s="76"/>
      <c r="BU7" s="76"/>
      <c r="BV7" s="76"/>
      <c r="BW7" s="76"/>
      <c r="BX7" s="76"/>
      <c r="BY7" s="76"/>
      <c r="BZ7" s="76"/>
      <c r="CA7" s="76"/>
      <c r="CB7" s="76"/>
      <c r="CC7" s="76"/>
      <c r="CD7" s="76"/>
      <c r="CE7" s="76"/>
      <c r="CF7" s="76">
        <f>+CE7*28000</f>
        <v>0</v>
      </c>
      <c r="CG7" s="76"/>
      <c r="CH7" s="76">
        <f>+CG7*22500</f>
        <v>0</v>
      </c>
      <c r="CI7" s="76"/>
      <c r="CJ7" s="76">
        <f>+CI7*26000</f>
        <v>0</v>
      </c>
      <c r="CK7" s="76"/>
      <c r="CL7" s="76"/>
      <c r="CM7" s="76"/>
      <c r="CN7" s="76">
        <f>+CM7*22000</f>
        <v>0</v>
      </c>
      <c r="CO7" s="76"/>
      <c r="CP7" s="76">
        <f>+CO7*46000</f>
        <v>0</v>
      </c>
      <c r="CQ7" s="76"/>
      <c r="CR7" s="76">
        <f>+CQ7*49000</f>
        <v>0</v>
      </c>
      <c r="CS7" s="76"/>
      <c r="CT7" s="76"/>
      <c r="CU7" s="56">
        <f>AN7+AP7+AR7+AT7+AV7+AX7+AZ7+BB7+BD7+BF7+BH7+BJ7+BL7+BN7+BP7+BR7+BT7+BV7+BX7+BZ7+CB7+CD7+CF7+CH7+CJ7+CL7+CN7+CP7+CR7+CT7</f>
        <v>0</v>
      </c>
      <c r="CV7" s="76"/>
      <c r="CW7" s="76">
        <f>+CV7*1100</f>
        <v>0</v>
      </c>
      <c r="CX7" s="76"/>
      <c r="CY7" s="76">
        <f>+CX7*106250</f>
        <v>0</v>
      </c>
      <c r="CZ7" s="76"/>
      <c r="DA7" s="76">
        <f>+CZ7*34500</f>
        <v>0</v>
      </c>
      <c r="DB7" s="76"/>
      <c r="DC7" s="76">
        <f>+DB7*25000</f>
        <v>0</v>
      </c>
      <c r="DD7" s="219"/>
      <c r="DE7" s="219"/>
      <c r="DF7" s="164"/>
      <c r="DG7" s="116"/>
      <c r="DH7" s="117"/>
      <c r="DI7" s="24"/>
      <c r="DJ7" s="24"/>
      <c r="DK7" s="24"/>
      <c r="DL7" s="24"/>
      <c r="DM7" s="24"/>
      <c r="DN7" s="24"/>
      <c r="DO7" s="24"/>
      <c r="DP7" s="24"/>
      <c r="DQ7" s="24"/>
      <c r="DR7" s="24"/>
      <c r="DS7" s="24"/>
      <c r="DT7" s="24"/>
      <c r="DU7" s="24"/>
    </row>
    <row r="8" spans="1:125" s="8" customFormat="1" ht="72" x14ac:dyDescent="0.2">
      <c r="A8" s="77">
        <v>41276</v>
      </c>
      <c r="B8" s="78" t="s">
        <v>2772</v>
      </c>
      <c r="C8" s="75" t="s">
        <v>1330</v>
      </c>
      <c r="D8" s="81" t="s">
        <v>2846</v>
      </c>
      <c r="E8" s="75" t="str">
        <f>VLOOKUP(B8&amp;C8,Divipola!$C$2:$F$1138,4,FALSE)</f>
        <v>25200</v>
      </c>
      <c r="F8" s="87"/>
      <c r="G8" s="87"/>
      <c r="H8" s="87"/>
      <c r="I8" s="87"/>
      <c r="J8" s="87"/>
      <c r="K8" s="87"/>
      <c r="L8" s="87"/>
      <c r="M8" s="87"/>
      <c r="N8" s="87"/>
      <c r="O8" s="87"/>
      <c r="P8" s="87"/>
      <c r="Q8" s="87"/>
      <c r="R8" s="87"/>
      <c r="S8" s="87"/>
      <c r="T8" s="87"/>
      <c r="U8" s="127">
        <v>1</v>
      </c>
      <c r="V8" s="89"/>
      <c r="W8" s="96">
        <v>0</v>
      </c>
      <c r="X8" s="71">
        <f>CU8</f>
        <v>0</v>
      </c>
      <c r="Y8" s="71">
        <f>CY8</f>
        <v>0</v>
      </c>
      <c r="Z8" s="71">
        <f>DA8+DC8+DE8</f>
        <v>0</v>
      </c>
      <c r="AA8" s="71">
        <f>CW8</f>
        <v>0</v>
      </c>
      <c r="AB8" s="71"/>
      <c r="AC8" s="71">
        <v>0</v>
      </c>
      <c r="AD8" s="71">
        <f>W8+X8+Y8+Z8+AA8+AB8+AC8</f>
        <v>0</v>
      </c>
      <c r="AE8" s="72">
        <v>0</v>
      </c>
      <c r="AF8" s="5"/>
      <c r="AG8" s="6"/>
      <c r="AH8" s="27" t="s">
        <v>3392</v>
      </c>
      <c r="AI8" s="44" t="s">
        <v>3393</v>
      </c>
      <c r="AJ8" s="26"/>
      <c r="AK8" s="5"/>
      <c r="AL8" s="82" t="s">
        <v>2865</v>
      </c>
      <c r="AM8" s="76"/>
      <c r="AN8" s="76"/>
      <c r="AO8" s="76"/>
      <c r="AP8" s="76"/>
      <c r="AQ8" s="76"/>
      <c r="AR8" s="76"/>
      <c r="AS8" s="76"/>
      <c r="AT8" s="76"/>
      <c r="AU8" s="76"/>
      <c r="AV8" s="76"/>
      <c r="AW8" s="76"/>
      <c r="AX8" s="76">
        <f>+AW8*600000</f>
        <v>0</v>
      </c>
      <c r="AY8" s="76"/>
      <c r="AZ8" s="76">
        <f>+AY8*70000</f>
        <v>0</v>
      </c>
      <c r="BA8" s="76"/>
      <c r="BB8" s="76"/>
      <c r="BC8" s="76"/>
      <c r="BD8" s="76">
        <f>+BC8*30000</f>
        <v>0</v>
      </c>
      <c r="BE8" s="76"/>
      <c r="BF8" s="76"/>
      <c r="BG8" s="76"/>
      <c r="BH8" s="76"/>
      <c r="BI8" s="76"/>
      <c r="BJ8" s="76"/>
      <c r="BK8" s="76"/>
      <c r="BL8" s="76">
        <f>+BK8*31500</f>
        <v>0</v>
      </c>
      <c r="BM8" s="76"/>
      <c r="BN8" s="76"/>
      <c r="BO8" s="76"/>
      <c r="BP8" s="76"/>
      <c r="BQ8" s="76"/>
      <c r="BR8" s="76"/>
      <c r="BS8" s="76"/>
      <c r="BT8" s="76"/>
      <c r="BU8" s="76"/>
      <c r="BV8" s="76"/>
      <c r="BW8" s="76"/>
      <c r="BX8" s="76"/>
      <c r="BY8" s="76"/>
      <c r="BZ8" s="76"/>
      <c r="CA8" s="76"/>
      <c r="CB8" s="76"/>
      <c r="CC8" s="76"/>
      <c r="CD8" s="76"/>
      <c r="CE8" s="76"/>
      <c r="CF8" s="76">
        <f>+CE8*28000</f>
        <v>0</v>
      </c>
      <c r="CG8" s="76"/>
      <c r="CH8" s="76">
        <f>+CG8*22500</f>
        <v>0</v>
      </c>
      <c r="CI8" s="76"/>
      <c r="CJ8" s="76">
        <f>+CI8*26000</f>
        <v>0</v>
      </c>
      <c r="CK8" s="76"/>
      <c r="CL8" s="76"/>
      <c r="CM8" s="76"/>
      <c r="CN8" s="76">
        <f>+CM8*22000</f>
        <v>0</v>
      </c>
      <c r="CO8" s="76"/>
      <c r="CP8" s="76">
        <f>+CO8*46000</f>
        <v>0</v>
      </c>
      <c r="CQ8" s="76"/>
      <c r="CR8" s="76">
        <f>+CQ8*49000</f>
        <v>0</v>
      </c>
      <c r="CS8" s="76"/>
      <c r="CT8" s="76"/>
      <c r="CU8" s="56">
        <f>AN8+AP8+AR8+AT8+AV8+AX8+AZ8+BB8+BD8+BF8+BH8+BJ8+BL8+BN8+BP8+BR8+BT8+BV8+BX8+BZ8+CB8+CD8+CF8+CH8+CJ8+CL8+CN8+CP8+CR8+CT8</f>
        <v>0</v>
      </c>
      <c r="CV8" s="76"/>
      <c r="CW8" s="76">
        <f>+CV8*1100</f>
        <v>0</v>
      </c>
      <c r="CX8" s="76"/>
      <c r="CY8" s="76">
        <f>+CX8*106250</f>
        <v>0</v>
      </c>
      <c r="CZ8" s="76"/>
      <c r="DA8" s="76">
        <f>+CZ8*34500</f>
        <v>0</v>
      </c>
      <c r="DB8" s="76"/>
      <c r="DC8" s="76">
        <f>+DB8*25000</f>
        <v>0</v>
      </c>
      <c r="DD8" s="219"/>
      <c r="DE8" s="219"/>
      <c r="DF8" s="164"/>
      <c r="DG8" s="116"/>
      <c r="DH8" s="117"/>
      <c r="DI8" s="24"/>
      <c r="DJ8" s="24"/>
      <c r="DK8" s="24"/>
      <c r="DL8" s="24"/>
      <c r="DM8" s="24"/>
      <c r="DN8" s="24"/>
      <c r="DO8" s="24"/>
      <c r="DP8" s="24"/>
      <c r="DQ8" s="24"/>
      <c r="DR8" s="24"/>
      <c r="DS8" s="24"/>
      <c r="DT8" s="24"/>
      <c r="DU8" s="24"/>
    </row>
    <row r="9" spans="1:125" s="8" customFormat="1" ht="96" x14ac:dyDescent="0.2">
      <c r="A9" s="77">
        <v>41276</v>
      </c>
      <c r="B9" s="80" t="s">
        <v>2772</v>
      </c>
      <c r="C9" s="81" t="s">
        <v>1120</v>
      </c>
      <c r="D9" s="81" t="s">
        <v>2846</v>
      </c>
      <c r="E9" s="75" t="str">
        <f>VLOOKUP(B9&amp;C9,Divipola!$C$2:$F$1138,4,FALSE)</f>
        <v>25488</v>
      </c>
      <c r="F9" s="87"/>
      <c r="G9" s="87"/>
      <c r="H9" s="87"/>
      <c r="I9" s="87"/>
      <c r="J9" s="87"/>
      <c r="K9" s="87"/>
      <c r="L9" s="87"/>
      <c r="M9" s="87"/>
      <c r="N9" s="87"/>
      <c r="O9" s="87"/>
      <c r="P9" s="87"/>
      <c r="Q9" s="87"/>
      <c r="R9" s="87"/>
      <c r="S9" s="87"/>
      <c r="T9" s="87"/>
      <c r="U9" s="127">
        <v>70</v>
      </c>
      <c r="V9" s="89"/>
      <c r="W9" s="96">
        <v>0</v>
      </c>
      <c r="X9" s="71">
        <f>CU9</f>
        <v>0</v>
      </c>
      <c r="Y9" s="71">
        <f>CY9</f>
        <v>0</v>
      </c>
      <c r="Z9" s="71">
        <f>DA9+DC9+DE9</f>
        <v>0</v>
      </c>
      <c r="AA9" s="71">
        <f>CW9</f>
        <v>0</v>
      </c>
      <c r="AB9" s="71"/>
      <c r="AC9" s="71">
        <v>0</v>
      </c>
      <c r="AD9" s="71">
        <f>W9+X9+Y9+Z9+AA9+AB9+AC9</f>
        <v>0</v>
      </c>
      <c r="AE9" s="72">
        <v>0</v>
      </c>
      <c r="AF9" s="5"/>
      <c r="AG9" s="6"/>
      <c r="AH9" s="27" t="s">
        <v>3390</v>
      </c>
      <c r="AI9" s="44" t="s">
        <v>3391</v>
      </c>
      <c r="AJ9" s="26"/>
      <c r="AK9" s="5" t="s">
        <v>3397</v>
      </c>
      <c r="AL9" s="82" t="s">
        <v>2862</v>
      </c>
      <c r="AM9" s="76"/>
      <c r="AN9" s="76"/>
      <c r="AO9" s="76"/>
      <c r="AP9" s="76"/>
      <c r="AQ9" s="76"/>
      <c r="AR9" s="76"/>
      <c r="AS9" s="76"/>
      <c r="AT9" s="76"/>
      <c r="AU9" s="76"/>
      <c r="AV9" s="76"/>
      <c r="AW9" s="76"/>
      <c r="AX9" s="76">
        <f>+AW9*600000</f>
        <v>0</v>
      </c>
      <c r="AY9" s="76"/>
      <c r="AZ9" s="76">
        <f>+AY9*70000</f>
        <v>0</v>
      </c>
      <c r="BA9" s="76"/>
      <c r="BB9" s="76"/>
      <c r="BC9" s="76"/>
      <c r="BD9" s="76">
        <f>+BC9*30000</f>
        <v>0</v>
      </c>
      <c r="BE9" s="76"/>
      <c r="BF9" s="76"/>
      <c r="BG9" s="76"/>
      <c r="BH9" s="76"/>
      <c r="BI9" s="76"/>
      <c r="BJ9" s="76"/>
      <c r="BK9" s="76"/>
      <c r="BL9" s="76">
        <f>+BK9*31500</f>
        <v>0</v>
      </c>
      <c r="BM9" s="76"/>
      <c r="BN9" s="76"/>
      <c r="BO9" s="76"/>
      <c r="BP9" s="76"/>
      <c r="BQ9" s="76"/>
      <c r="BR9" s="76"/>
      <c r="BS9" s="76"/>
      <c r="BT9" s="76"/>
      <c r="BU9" s="76"/>
      <c r="BV9" s="76"/>
      <c r="BW9" s="76"/>
      <c r="BX9" s="76"/>
      <c r="BY9" s="76"/>
      <c r="BZ9" s="76"/>
      <c r="CA9" s="76"/>
      <c r="CB9" s="76"/>
      <c r="CC9" s="76"/>
      <c r="CD9" s="76"/>
      <c r="CE9" s="76"/>
      <c r="CF9" s="76">
        <f>+CE9*28000</f>
        <v>0</v>
      </c>
      <c r="CG9" s="76"/>
      <c r="CH9" s="76">
        <f>+CG9*22500</f>
        <v>0</v>
      </c>
      <c r="CI9" s="76"/>
      <c r="CJ9" s="76">
        <f>+CI9*26000</f>
        <v>0</v>
      </c>
      <c r="CK9" s="76"/>
      <c r="CL9" s="76"/>
      <c r="CM9" s="76"/>
      <c r="CN9" s="76">
        <f>+CM9*22000</f>
        <v>0</v>
      </c>
      <c r="CO9" s="76"/>
      <c r="CP9" s="76">
        <f>+CO9*46000</f>
        <v>0</v>
      </c>
      <c r="CQ9" s="76"/>
      <c r="CR9" s="76">
        <f>+CQ9*49000</f>
        <v>0</v>
      </c>
      <c r="CS9" s="76"/>
      <c r="CT9" s="76"/>
      <c r="CU9" s="56">
        <f>AN9+AP9+AR9+AT9+AV9+AX9+AZ9+BB9+BD9+BF9+BH9+BJ9+BL9+BN9+BP9+BR9+BT9+BV9+BX9+BZ9+CB9+CD9+CF9+CH9+CJ9+CL9+CN9+CP9+CR9+CT9</f>
        <v>0</v>
      </c>
      <c r="CV9" s="76"/>
      <c r="CW9" s="76">
        <f>+CV9*1100</f>
        <v>0</v>
      </c>
      <c r="CX9" s="76"/>
      <c r="CY9" s="76">
        <f>+CX9*106250</f>
        <v>0</v>
      </c>
      <c r="CZ9" s="76"/>
      <c r="DA9" s="76">
        <f>+CZ9*34500</f>
        <v>0</v>
      </c>
      <c r="DB9" s="76"/>
      <c r="DC9" s="76">
        <f>+DB9*25000</f>
        <v>0</v>
      </c>
      <c r="DD9" s="219"/>
      <c r="DE9" s="219"/>
      <c r="DF9" s="164"/>
      <c r="DG9" s="116"/>
      <c r="DH9" s="117"/>
      <c r="DI9" s="24"/>
      <c r="DJ9" s="24"/>
      <c r="DK9" s="24"/>
      <c r="DL9" s="24"/>
      <c r="DM9" s="24"/>
      <c r="DN9" s="24"/>
      <c r="DO9" s="24"/>
      <c r="DP9" s="24"/>
      <c r="DQ9" s="24"/>
      <c r="DR9" s="24"/>
      <c r="DS9" s="24"/>
      <c r="DT9" s="24"/>
      <c r="DU9" s="24"/>
    </row>
    <row r="10" spans="1:125" s="8" customFormat="1" ht="72" x14ac:dyDescent="0.2">
      <c r="A10" s="77">
        <v>41276</v>
      </c>
      <c r="B10" s="80" t="s">
        <v>2772</v>
      </c>
      <c r="C10" s="81" t="s">
        <v>1168</v>
      </c>
      <c r="D10" s="81" t="s">
        <v>2846</v>
      </c>
      <c r="E10" s="75" t="str">
        <f>VLOOKUP(B10&amp;C10,Divipola!$C$2:$F$1138,4,FALSE)</f>
        <v>25779</v>
      </c>
      <c r="F10" s="87"/>
      <c r="G10" s="87"/>
      <c r="H10" s="87"/>
      <c r="I10" s="87"/>
      <c r="J10" s="87"/>
      <c r="K10" s="87"/>
      <c r="L10" s="87"/>
      <c r="M10" s="87"/>
      <c r="N10" s="87"/>
      <c r="O10" s="87"/>
      <c r="P10" s="87"/>
      <c r="Q10" s="87"/>
      <c r="R10" s="87"/>
      <c r="S10" s="87"/>
      <c r="T10" s="87"/>
      <c r="U10" s="127">
        <v>5</v>
      </c>
      <c r="V10" s="89"/>
      <c r="W10" s="96">
        <v>0</v>
      </c>
      <c r="X10" s="71">
        <f>CU10</f>
        <v>0</v>
      </c>
      <c r="Y10" s="71">
        <f>CY10</f>
        <v>0</v>
      </c>
      <c r="Z10" s="71">
        <f>DA10+DC10+DE10</f>
        <v>0</v>
      </c>
      <c r="AA10" s="71">
        <f>CW10</f>
        <v>0</v>
      </c>
      <c r="AB10" s="71"/>
      <c r="AC10" s="71">
        <v>0</v>
      </c>
      <c r="AD10" s="71">
        <f>W10+X10+Y10+Z10+AA10+AB10+AC10</f>
        <v>0</v>
      </c>
      <c r="AE10" s="72">
        <v>0</v>
      </c>
      <c r="AF10" s="5"/>
      <c r="AG10" s="6"/>
      <c r="AH10" s="27" t="s">
        <v>3392</v>
      </c>
      <c r="AI10" s="44" t="s">
        <v>3393</v>
      </c>
      <c r="AJ10" s="26"/>
      <c r="AK10" s="5"/>
      <c r="AL10" s="82" t="s">
        <v>2864</v>
      </c>
      <c r="AM10" s="76"/>
      <c r="AN10" s="76"/>
      <c r="AO10" s="76"/>
      <c r="AP10" s="76"/>
      <c r="AQ10" s="76"/>
      <c r="AR10" s="76"/>
      <c r="AS10" s="76"/>
      <c r="AT10" s="76"/>
      <c r="AU10" s="76"/>
      <c r="AV10" s="76"/>
      <c r="AW10" s="76"/>
      <c r="AX10" s="76">
        <f>+AW10*600000</f>
        <v>0</v>
      </c>
      <c r="AY10" s="76"/>
      <c r="AZ10" s="76">
        <f>+AY10*70000</f>
        <v>0</v>
      </c>
      <c r="BA10" s="76"/>
      <c r="BB10" s="76"/>
      <c r="BC10" s="76"/>
      <c r="BD10" s="76">
        <f>+BC10*30000</f>
        <v>0</v>
      </c>
      <c r="BE10" s="76"/>
      <c r="BF10" s="76"/>
      <c r="BG10" s="76"/>
      <c r="BH10" s="76"/>
      <c r="BI10" s="76"/>
      <c r="BJ10" s="76"/>
      <c r="BK10" s="76"/>
      <c r="BL10" s="76">
        <f>+BK10*31500</f>
        <v>0</v>
      </c>
      <c r="BM10" s="76"/>
      <c r="BN10" s="76"/>
      <c r="BO10" s="76"/>
      <c r="BP10" s="76"/>
      <c r="BQ10" s="76"/>
      <c r="BR10" s="76"/>
      <c r="BS10" s="76"/>
      <c r="BT10" s="76"/>
      <c r="BU10" s="76"/>
      <c r="BV10" s="76"/>
      <c r="BW10" s="76"/>
      <c r="BX10" s="76"/>
      <c r="BY10" s="76"/>
      <c r="BZ10" s="76"/>
      <c r="CA10" s="76"/>
      <c r="CB10" s="76"/>
      <c r="CC10" s="76"/>
      <c r="CD10" s="76"/>
      <c r="CE10" s="76"/>
      <c r="CF10" s="76">
        <f>+CE10*28000</f>
        <v>0</v>
      </c>
      <c r="CG10" s="76"/>
      <c r="CH10" s="76">
        <f>+CG10*22500</f>
        <v>0</v>
      </c>
      <c r="CI10" s="76"/>
      <c r="CJ10" s="76">
        <f>+CI10*26000</f>
        <v>0</v>
      </c>
      <c r="CK10" s="76"/>
      <c r="CL10" s="76"/>
      <c r="CM10" s="76"/>
      <c r="CN10" s="76">
        <f>+CM10*22000</f>
        <v>0</v>
      </c>
      <c r="CO10" s="76"/>
      <c r="CP10" s="76">
        <f>+CO10*46000</f>
        <v>0</v>
      </c>
      <c r="CQ10" s="76"/>
      <c r="CR10" s="76">
        <f>+CQ10*49000</f>
        <v>0</v>
      </c>
      <c r="CS10" s="76"/>
      <c r="CT10" s="76"/>
      <c r="CU10" s="56">
        <f>AN10+AP10+AR10+AT10+AV10+AX10+AZ10+BB10+BD10+BF10+BH10+BJ10+BL10+BN10+BP10+BR10+BT10+BV10+BX10+BZ10+CB10+CD10+CF10+CH10+CJ10+CL10+CN10+CP10+CR10+CT10</f>
        <v>0</v>
      </c>
      <c r="CV10" s="76"/>
      <c r="CW10" s="76">
        <f>+CV10*1100</f>
        <v>0</v>
      </c>
      <c r="CX10" s="76"/>
      <c r="CY10" s="76">
        <f>+CX10*106250</f>
        <v>0</v>
      </c>
      <c r="CZ10" s="76"/>
      <c r="DA10" s="76">
        <f>+CZ10*34500</f>
        <v>0</v>
      </c>
      <c r="DB10" s="76"/>
      <c r="DC10" s="76">
        <f>+DB10*25000</f>
        <v>0</v>
      </c>
      <c r="DD10" s="219"/>
      <c r="DE10" s="219"/>
      <c r="DF10" s="164"/>
      <c r="DG10" s="116"/>
      <c r="DH10" s="117"/>
      <c r="DI10" s="24"/>
      <c r="DJ10" s="24"/>
      <c r="DK10" s="24"/>
      <c r="DL10" s="24"/>
      <c r="DM10" s="24"/>
      <c r="DN10" s="24"/>
      <c r="DO10" s="24"/>
      <c r="DP10" s="24"/>
      <c r="DQ10" s="24"/>
      <c r="DR10" s="24"/>
      <c r="DS10" s="24"/>
      <c r="DT10" s="24"/>
      <c r="DU10" s="24"/>
    </row>
    <row r="11" spans="1:125" s="8" customFormat="1" ht="72" x14ac:dyDescent="0.2">
      <c r="A11" s="77">
        <v>41276</v>
      </c>
      <c r="B11" s="80" t="s">
        <v>2772</v>
      </c>
      <c r="C11" s="81" t="s">
        <v>527</v>
      </c>
      <c r="D11" s="81" t="s">
        <v>2846</v>
      </c>
      <c r="E11" s="75" t="str">
        <f>VLOOKUP(B11&amp;C11,Divipola!$C$2:$F$1138,4,FALSE)</f>
        <v>25781</v>
      </c>
      <c r="F11" s="87"/>
      <c r="G11" s="87"/>
      <c r="H11" s="87"/>
      <c r="I11" s="87"/>
      <c r="J11" s="87"/>
      <c r="K11" s="87"/>
      <c r="L11" s="87"/>
      <c r="M11" s="87"/>
      <c r="N11" s="87"/>
      <c r="O11" s="87"/>
      <c r="P11" s="87"/>
      <c r="Q11" s="87"/>
      <c r="R11" s="87"/>
      <c r="S11" s="87"/>
      <c r="T11" s="87"/>
      <c r="U11" s="127">
        <v>2</v>
      </c>
      <c r="V11" s="89"/>
      <c r="W11" s="96">
        <v>0</v>
      </c>
      <c r="X11" s="71">
        <f>CU11</f>
        <v>0</v>
      </c>
      <c r="Y11" s="71">
        <f>CY11</f>
        <v>0</v>
      </c>
      <c r="Z11" s="71">
        <f>DA11+DC11+DE11</f>
        <v>0</v>
      </c>
      <c r="AA11" s="71">
        <f>CW11</f>
        <v>0</v>
      </c>
      <c r="AB11" s="71"/>
      <c r="AC11" s="71">
        <v>0</v>
      </c>
      <c r="AD11" s="71">
        <f>W11+X11+Y11+Z11+AA11+AB11+AC11</f>
        <v>0</v>
      </c>
      <c r="AE11" s="72">
        <v>0</v>
      </c>
      <c r="AF11" s="5"/>
      <c r="AG11" s="6"/>
      <c r="AH11" s="27" t="s">
        <v>3392</v>
      </c>
      <c r="AI11" s="44" t="s">
        <v>3393</v>
      </c>
      <c r="AJ11" s="26"/>
      <c r="AK11" s="5"/>
      <c r="AL11" s="82" t="s">
        <v>2863</v>
      </c>
      <c r="AM11" s="76"/>
      <c r="AN11" s="76"/>
      <c r="AO11" s="76"/>
      <c r="AP11" s="76"/>
      <c r="AQ11" s="76"/>
      <c r="AR11" s="76"/>
      <c r="AS11" s="76"/>
      <c r="AT11" s="76"/>
      <c r="AU11" s="76"/>
      <c r="AV11" s="76"/>
      <c r="AW11" s="76"/>
      <c r="AX11" s="76">
        <f>+AW11*600000</f>
        <v>0</v>
      </c>
      <c r="AY11" s="76"/>
      <c r="AZ11" s="76">
        <f>+AY11*70000</f>
        <v>0</v>
      </c>
      <c r="BA11" s="76"/>
      <c r="BB11" s="76"/>
      <c r="BC11" s="76"/>
      <c r="BD11" s="76">
        <f>+BC11*30000</f>
        <v>0</v>
      </c>
      <c r="BE11" s="76"/>
      <c r="BF11" s="76"/>
      <c r="BG11" s="76"/>
      <c r="BH11" s="76"/>
      <c r="BI11" s="76"/>
      <c r="BJ11" s="76"/>
      <c r="BK11" s="76"/>
      <c r="BL11" s="76">
        <f>+BK11*31500</f>
        <v>0</v>
      </c>
      <c r="BM11" s="76"/>
      <c r="BN11" s="76"/>
      <c r="BO11" s="76"/>
      <c r="BP11" s="76"/>
      <c r="BQ11" s="76"/>
      <c r="BR11" s="76"/>
      <c r="BS11" s="76"/>
      <c r="BT11" s="76"/>
      <c r="BU11" s="76"/>
      <c r="BV11" s="76"/>
      <c r="BW11" s="76"/>
      <c r="BX11" s="76"/>
      <c r="BY11" s="76"/>
      <c r="BZ11" s="76"/>
      <c r="CA11" s="76"/>
      <c r="CB11" s="76"/>
      <c r="CC11" s="76"/>
      <c r="CD11" s="76"/>
      <c r="CE11" s="76"/>
      <c r="CF11" s="76">
        <f>+CE11*28000</f>
        <v>0</v>
      </c>
      <c r="CG11" s="76"/>
      <c r="CH11" s="76">
        <f>+CG11*22500</f>
        <v>0</v>
      </c>
      <c r="CI11" s="76"/>
      <c r="CJ11" s="76">
        <f>+CI11*26000</f>
        <v>0</v>
      </c>
      <c r="CK11" s="76"/>
      <c r="CL11" s="76"/>
      <c r="CM11" s="76"/>
      <c r="CN11" s="76">
        <f>+CM11*22000</f>
        <v>0</v>
      </c>
      <c r="CO11" s="76"/>
      <c r="CP11" s="76">
        <f>+CO11*46000</f>
        <v>0</v>
      </c>
      <c r="CQ11" s="76"/>
      <c r="CR11" s="76">
        <f>+CQ11*49000</f>
        <v>0</v>
      </c>
      <c r="CS11" s="76"/>
      <c r="CT11" s="76"/>
      <c r="CU11" s="56">
        <f>AN11+AP11+AR11+AT11+AV11+AX11+AZ11+BB11+BD11+BF11+BH11+BJ11+BL11+BN11+BP11+BR11+BT11+BV11+BX11+BZ11+CB11+CD11+CF11+CH11+CJ11+CL11+CN11+CP11+CR11+CT11</f>
        <v>0</v>
      </c>
      <c r="CV11" s="76"/>
      <c r="CW11" s="76">
        <f>+CV11*1100</f>
        <v>0</v>
      </c>
      <c r="CX11" s="76"/>
      <c r="CY11" s="76">
        <f>+CX11*106250</f>
        <v>0</v>
      </c>
      <c r="CZ11" s="76"/>
      <c r="DA11" s="76">
        <f>+CZ11*34500</f>
        <v>0</v>
      </c>
      <c r="DB11" s="76"/>
      <c r="DC11" s="76">
        <f>+DB11*25000</f>
        <v>0</v>
      </c>
      <c r="DD11" s="219"/>
      <c r="DE11" s="219"/>
      <c r="DF11" s="164"/>
      <c r="DG11" s="116"/>
      <c r="DH11" s="117"/>
      <c r="DI11" s="24"/>
      <c r="DJ11" s="24"/>
      <c r="DK11" s="24"/>
      <c r="DL11" s="24"/>
      <c r="DM11" s="24"/>
      <c r="DN11" s="24"/>
      <c r="DO11" s="24"/>
      <c r="DP11" s="24"/>
      <c r="DQ11" s="24"/>
      <c r="DR11" s="24"/>
      <c r="DS11" s="24"/>
      <c r="DT11" s="24"/>
      <c r="DU11" s="24"/>
    </row>
    <row r="12" spans="1:125" s="8" customFormat="1" ht="108" x14ac:dyDescent="0.2">
      <c r="A12" s="77">
        <v>41276</v>
      </c>
      <c r="B12" s="78" t="s">
        <v>2772</v>
      </c>
      <c r="C12" s="75" t="s">
        <v>1188</v>
      </c>
      <c r="D12" s="75" t="s">
        <v>2849</v>
      </c>
      <c r="E12" s="75" t="str">
        <f>VLOOKUP(B12&amp;C12,Divipola!$C$2:$F$1138,4,FALSE)</f>
        <v>25839</v>
      </c>
      <c r="F12" s="87">
        <v>1</v>
      </c>
      <c r="G12" s="87">
        <v>6</v>
      </c>
      <c r="H12" s="87"/>
      <c r="I12" s="87">
        <v>7</v>
      </c>
      <c r="J12" s="87"/>
      <c r="K12" s="87"/>
      <c r="L12" s="87"/>
      <c r="M12" s="87"/>
      <c r="N12" s="87"/>
      <c r="O12" s="87"/>
      <c r="P12" s="87"/>
      <c r="Q12" s="87"/>
      <c r="R12" s="87"/>
      <c r="S12" s="87"/>
      <c r="T12" s="87"/>
      <c r="U12" s="127"/>
      <c r="V12" s="89"/>
      <c r="W12" s="96">
        <v>0</v>
      </c>
      <c r="X12" s="71">
        <f>CU12</f>
        <v>0</v>
      </c>
      <c r="Y12" s="71">
        <f>CY12</f>
        <v>0</v>
      </c>
      <c r="Z12" s="71">
        <f>DA12+DC12+DE12</f>
        <v>0</v>
      </c>
      <c r="AA12" s="71">
        <f>CW12</f>
        <v>0</v>
      </c>
      <c r="AB12" s="71"/>
      <c r="AC12" s="71">
        <v>0</v>
      </c>
      <c r="AD12" s="71">
        <f>W12+X12+Y12+Z12+AA12+AB12+AC12</f>
        <v>0</v>
      </c>
      <c r="AE12" s="72">
        <v>0</v>
      </c>
      <c r="AF12" s="5"/>
      <c r="AG12" s="6"/>
      <c r="AH12" s="27" t="s">
        <v>3392</v>
      </c>
      <c r="AI12" s="44" t="s">
        <v>3393</v>
      </c>
      <c r="AJ12" s="26"/>
      <c r="AK12" s="5"/>
      <c r="AL12" s="82" t="s">
        <v>2866</v>
      </c>
      <c r="AM12" s="76"/>
      <c r="AN12" s="76"/>
      <c r="AO12" s="76"/>
      <c r="AP12" s="76"/>
      <c r="AQ12" s="76"/>
      <c r="AR12" s="76"/>
      <c r="AS12" s="76"/>
      <c r="AT12" s="76"/>
      <c r="AU12" s="76"/>
      <c r="AV12" s="76"/>
      <c r="AW12" s="76"/>
      <c r="AX12" s="76">
        <f>+AW12*600000</f>
        <v>0</v>
      </c>
      <c r="AY12" s="76"/>
      <c r="AZ12" s="76">
        <f>+AY12*70000</f>
        <v>0</v>
      </c>
      <c r="BA12" s="76"/>
      <c r="BB12" s="76"/>
      <c r="BC12" s="76"/>
      <c r="BD12" s="76">
        <f>+BC12*30000</f>
        <v>0</v>
      </c>
      <c r="BE12" s="76"/>
      <c r="BF12" s="76"/>
      <c r="BG12" s="76"/>
      <c r="BH12" s="76"/>
      <c r="BI12" s="76"/>
      <c r="BJ12" s="76"/>
      <c r="BK12" s="76"/>
      <c r="BL12" s="76">
        <f>+BK12*31500</f>
        <v>0</v>
      </c>
      <c r="BM12" s="76"/>
      <c r="BN12" s="76"/>
      <c r="BO12" s="76"/>
      <c r="BP12" s="76"/>
      <c r="BQ12" s="76"/>
      <c r="BR12" s="76"/>
      <c r="BS12" s="76"/>
      <c r="BT12" s="76"/>
      <c r="BU12" s="76"/>
      <c r="BV12" s="76"/>
      <c r="BW12" s="76"/>
      <c r="BX12" s="76"/>
      <c r="BY12" s="76"/>
      <c r="BZ12" s="76"/>
      <c r="CA12" s="76"/>
      <c r="CB12" s="76"/>
      <c r="CC12" s="76"/>
      <c r="CD12" s="76"/>
      <c r="CE12" s="76"/>
      <c r="CF12" s="76">
        <f>+CE12*28000</f>
        <v>0</v>
      </c>
      <c r="CG12" s="76"/>
      <c r="CH12" s="76">
        <f>+CG12*22500</f>
        <v>0</v>
      </c>
      <c r="CI12" s="76"/>
      <c r="CJ12" s="76">
        <f>+CI12*26000</f>
        <v>0</v>
      </c>
      <c r="CK12" s="76"/>
      <c r="CL12" s="76"/>
      <c r="CM12" s="76"/>
      <c r="CN12" s="76">
        <f>+CM12*22000</f>
        <v>0</v>
      </c>
      <c r="CO12" s="76"/>
      <c r="CP12" s="76">
        <f>+CO12*46000</f>
        <v>0</v>
      </c>
      <c r="CQ12" s="76"/>
      <c r="CR12" s="76">
        <f>+CQ12*49000</f>
        <v>0</v>
      </c>
      <c r="CS12" s="76"/>
      <c r="CT12" s="76"/>
      <c r="CU12" s="56">
        <f>AN12+AP12+AR12+AT12+AV12+AX12+AZ12+BB12+BD12+BF12+BH12+BJ12+BL12+BN12+BP12+BR12+BT12+BV12+BX12+BZ12+CB12+CD12+CF12+CH12+CJ12+CL12+CN12+CP12+CR12+CT12</f>
        <v>0</v>
      </c>
      <c r="CV12" s="76"/>
      <c r="CW12" s="76">
        <f>+CV12*1100</f>
        <v>0</v>
      </c>
      <c r="CX12" s="76"/>
      <c r="CY12" s="76">
        <f>+CX12*106250</f>
        <v>0</v>
      </c>
      <c r="CZ12" s="76"/>
      <c r="DA12" s="76">
        <f>+CZ12*34500</f>
        <v>0</v>
      </c>
      <c r="DB12" s="76"/>
      <c r="DC12" s="76">
        <f>+DB12*25000</f>
        <v>0</v>
      </c>
      <c r="DD12" s="219"/>
      <c r="DE12" s="219"/>
      <c r="DF12" s="164"/>
      <c r="DG12" s="116"/>
      <c r="DH12" s="117"/>
      <c r="DI12" s="24"/>
      <c r="DJ12" s="24"/>
      <c r="DK12" s="24"/>
      <c r="DL12" s="24"/>
      <c r="DM12" s="24"/>
      <c r="DN12" s="24"/>
      <c r="DO12" s="24"/>
      <c r="DP12" s="24"/>
      <c r="DQ12" s="24"/>
      <c r="DR12" s="24"/>
      <c r="DS12" s="24"/>
      <c r="DT12" s="24"/>
      <c r="DU12" s="24"/>
    </row>
    <row r="13" spans="1:125" s="8" customFormat="1" ht="48" x14ac:dyDescent="0.2">
      <c r="A13" s="77">
        <v>41276</v>
      </c>
      <c r="B13" s="80" t="s">
        <v>2860</v>
      </c>
      <c r="C13" s="81" t="s">
        <v>2768</v>
      </c>
      <c r="D13" s="81" t="s">
        <v>2846</v>
      </c>
      <c r="E13" s="75" t="str">
        <f>VLOOKUP(B13&amp;C13,Divipola!$C$2:$F$1138,4,FALSE)</f>
        <v>63401</v>
      </c>
      <c r="F13" s="87"/>
      <c r="G13" s="87"/>
      <c r="H13" s="87"/>
      <c r="I13" s="87"/>
      <c r="J13" s="87"/>
      <c r="K13" s="87"/>
      <c r="L13" s="87"/>
      <c r="M13" s="87"/>
      <c r="N13" s="87"/>
      <c r="O13" s="87"/>
      <c r="P13" s="87"/>
      <c r="Q13" s="87"/>
      <c r="R13" s="87"/>
      <c r="S13" s="87"/>
      <c r="T13" s="87"/>
      <c r="U13" s="127"/>
      <c r="V13" s="89"/>
      <c r="W13" s="96">
        <v>0</v>
      </c>
      <c r="X13" s="71">
        <f>CU13</f>
        <v>0</v>
      </c>
      <c r="Y13" s="71">
        <f>CY13</f>
        <v>0</v>
      </c>
      <c r="Z13" s="71">
        <f>DA13+DC13+DE13</f>
        <v>0</v>
      </c>
      <c r="AA13" s="71">
        <f>CW13</f>
        <v>0</v>
      </c>
      <c r="AB13" s="71"/>
      <c r="AC13" s="71">
        <v>0</v>
      </c>
      <c r="AD13" s="71">
        <f>W13+X13+Y13+Z13+AA13+AB13+AC13</f>
        <v>0</v>
      </c>
      <c r="AE13" s="72">
        <v>0</v>
      </c>
      <c r="AF13" s="5"/>
      <c r="AG13" s="6"/>
      <c r="AH13" s="27" t="s">
        <v>3392</v>
      </c>
      <c r="AI13" s="44" t="s">
        <v>3393</v>
      </c>
      <c r="AJ13" s="26"/>
      <c r="AK13" s="5"/>
      <c r="AL13" s="82" t="s">
        <v>2871</v>
      </c>
      <c r="AM13" s="76"/>
      <c r="AN13" s="76"/>
      <c r="AO13" s="76"/>
      <c r="AP13" s="76"/>
      <c r="AQ13" s="76"/>
      <c r="AR13" s="76"/>
      <c r="AS13" s="76"/>
      <c r="AT13" s="76"/>
      <c r="AU13" s="76"/>
      <c r="AV13" s="76"/>
      <c r="AW13" s="76"/>
      <c r="AX13" s="76">
        <f>+AW13*600000</f>
        <v>0</v>
      </c>
      <c r="AY13" s="76"/>
      <c r="AZ13" s="76">
        <f>+AY13*70000</f>
        <v>0</v>
      </c>
      <c r="BA13" s="76"/>
      <c r="BB13" s="76"/>
      <c r="BC13" s="76"/>
      <c r="BD13" s="76">
        <f>+BC13*30000</f>
        <v>0</v>
      </c>
      <c r="BE13" s="76"/>
      <c r="BF13" s="76"/>
      <c r="BG13" s="76"/>
      <c r="BH13" s="76"/>
      <c r="BI13" s="76"/>
      <c r="BJ13" s="76"/>
      <c r="BK13" s="76"/>
      <c r="BL13" s="76">
        <f>+BK13*31500</f>
        <v>0</v>
      </c>
      <c r="BM13" s="76"/>
      <c r="BN13" s="76"/>
      <c r="BO13" s="76"/>
      <c r="BP13" s="76"/>
      <c r="BQ13" s="76"/>
      <c r="BR13" s="76"/>
      <c r="BS13" s="76"/>
      <c r="BT13" s="76"/>
      <c r="BU13" s="76"/>
      <c r="BV13" s="76"/>
      <c r="BW13" s="76"/>
      <c r="BX13" s="76"/>
      <c r="BY13" s="76"/>
      <c r="BZ13" s="76"/>
      <c r="CA13" s="76"/>
      <c r="CB13" s="76"/>
      <c r="CC13" s="76"/>
      <c r="CD13" s="76"/>
      <c r="CE13" s="76"/>
      <c r="CF13" s="76">
        <f>+CE13*28000</f>
        <v>0</v>
      </c>
      <c r="CG13" s="76"/>
      <c r="CH13" s="76">
        <f>+CG13*22500</f>
        <v>0</v>
      </c>
      <c r="CI13" s="76"/>
      <c r="CJ13" s="76">
        <f>+CI13*26000</f>
        <v>0</v>
      </c>
      <c r="CK13" s="76"/>
      <c r="CL13" s="76"/>
      <c r="CM13" s="76"/>
      <c r="CN13" s="76">
        <f>+CM13*22000</f>
        <v>0</v>
      </c>
      <c r="CO13" s="76"/>
      <c r="CP13" s="76">
        <f>+CO13*46000</f>
        <v>0</v>
      </c>
      <c r="CQ13" s="76"/>
      <c r="CR13" s="76">
        <f>+CQ13*49000</f>
        <v>0</v>
      </c>
      <c r="CS13" s="76"/>
      <c r="CT13" s="76"/>
      <c r="CU13" s="56">
        <f>AN13+AP13+AR13+AT13+AV13+AX13+AZ13+BB13+BD13+BF13+BH13+BJ13+BL13+BN13+BP13+BR13+BT13+BV13+BX13+BZ13+CB13+CD13+CF13+CH13+CJ13+CL13+CN13+CP13+CR13+CT13</f>
        <v>0</v>
      </c>
      <c r="CV13" s="76"/>
      <c r="CW13" s="76">
        <f>+CV13*1100</f>
        <v>0</v>
      </c>
      <c r="CX13" s="76"/>
      <c r="CY13" s="76">
        <f>+CX13*106250</f>
        <v>0</v>
      </c>
      <c r="CZ13" s="76"/>
      <c r="DA13" s="76">
        <f>+CZ13*34500</f>
        <v>0</v>
      </c>
      <c r="DB13" s="76"/>
      <c r="DC13" s="76">
        <f>+DB13*25000</f>
        <v>0</v>
      </c>
      <c r="DD13" s="219"/>
      <c r="DE13" s="219"/>
      <c r="DF13" s="164"/>
      <c r="DG13" s="116"/>
      <c r="DH13" s="117"/>
      <c r="DI13" s="24"/>
      <c r="DJ13" s="24"/>
      <c r="DK13" s="24"/>
      <c r="DL13" s="24"/>
      <c r="DM13" s="24"/>
      <c r="DN13" s="24"/>
      <c r="DO13" s="24"/>
      <c r="DP13" s="24"/>
      <c r="DQ13" s="24"/>
      <c r="DR13" s="24"/>
      <c r="DS13" s="24"/>
      <c r="DT13" s="24"/>
      <c r="DU13" s="24"/>
    </row>
    <row r="14" spans="1:125" s="8" customFormat="1" ht="84" x14ac:dyDescent="0.2">
      <c r="A14" s="77">
        <v>41276</v>
      </c>
      <c r="B14" s="80" t="s">
        <v>2847</v>
      </c>
      <c r="C14" s="81" t="s">
        <v>2673</v>
      </c>
      <c r="D14" s="81" t="s">
        <v>2859</v>
      </c>
      <c r="E14" s="75" t="str">
        <f>VLOOKUP(B14&amp;C14,Divipola!$C$2:$F$1138,4,FALSE)</f>
        <v>68001</v>
      </c>
      <c r="F14" s="90"/>
      <c r="G14" s="90"/>
      <c r="H14" s="90"/>
      <c r="I14" s="90">
        <v>5</v>
      </c>
      <c r="J14" s="90">
        <v>1</v>
      </c>
      <c r="K14" s="90"/>
      <c r="L14" s="90">
        <v>1</v>
      </c>
      <c r="M14" s="90"/>
      <c r="N14" s="90"/>
      <c r="O14" s="90"/>
      <c r="P14" s="90"/>
      <c r="Q14" s="90"/>
      <c r="R14" s="90"/>
      <c r="S14" s="90"/>
      <c r="T14" s="90"/>
      <c r="U14" s="128"/>
      <c r="V14" s="89"/>
      <c r="W14" s="96">
        <v>0</v>
      </c>
      <c r="X14" s="71">
        <f>CU14</f>
        <v>0</v>
      </c>
      <c r="Y14" s="71">
        <f>CY14</f>
        <v>0</v>
      </c>
      <c r="Z14" s="71">
        <f>DA14+DC14+DE14</f>
        <v>0</v>
      </c>
      <c r="AA14" s="71">
        <f>CW14</f>
        <v>0</v>
      </c>
      <c r="AB14" s="71"/>
      <c r="AC14" s="71">
        <v>0</v>
      </c>
      <c r="AD14" s="71">
        <f>W14+X14+Y14+Z14+AA14+AB14+AC14</f>
        <v>0</v>
      </c>
      <c r="AE14" s="72">
        <v>0</v>
      </c>
      <c r="AF14" s="5"/>
      <c r="AG14" s="6"/>
      <c r="AH14" s="27" t="s">
        <v>3392</v>
      </c>
      <c r="AI14" s="44" t="s">
        <v>3393</v>
      </c>
      <c r="AJ14" s="26"/>
      <c r="AK14" s="5"/>
      <c r="AL14" s="82" t="s">
        <v>2867</v>
      </c>
      <c r="AM14" s="76"/>
      <c r="AN14" s="76"/>
      <c r="AO14" s="76"/>
      <c r="AP14" s="76"/>
      <c r="AQ14" s="76"/>
      <c r="AR14" s="76"/>
      <c r="AS14" s="76"/>
      <c r="AT14" s="76"/>
      <c r="AU14" s="76"/>
      <c r="AV14" s="76"/>
      <c r="AW14" s="76"/>
      <c r="AX14" s="76">
        <f>+AW14*600000</f>
        <v>0</v>
      </c>
      <c r="AY14" s="76"/>
      <c r="AZ14" s="76">
        <f>+AY14*70000</f>
        <v>0</v>
      </c>
      <c r="BA14" s="76"/>
      <c r="BB14" s="76"/>
      <c r="BC14" s="76"/>
      <c r="BD14" s="76">
        <f>+BC14*30000</f>
        <v>0</v>
      </c>
      <c r="BE14" s="76"/>
      <c r="BF14" s="76"/>
      <c r="BG14" s="76"/>
      <c r="BH14" s="76"/>
      <c r="BI14" s="76"/>
      <c r="BJ14" s="76"/>
      <c r="BK14" s="76"/>
      <c r="BL14" s="76">
        <f>+BK14*31500</f>
        <v>0</v>
      </c>
      <c r="BM14" s="76"/>
      <c r="BN14" s="76"/>
      <c r="BO14" s="76"/>
      <c r="BP14" s="76"/>
      <c r="BQ14" s="76"/>
      <c r="BR14" s="76"/>
      <c r="BS14" s="76"/>
      <c r="BT14" s="76"/>
      <c r="BU14" s="76"/>
      <c r="BV14" s="76"/>
      <c r="BW14" s="76"/>
      <c r="BX14" s="76"/>
      <c r="BY14" s="76"/>
      <c r="BZ14" s="76"/>
      <c r="CA14" s="76"/>
      <c r="CB14" s="76"/>
      <c r="CC14" s="76"/>
      <c r="CD14" s="76"/>
      <c r="CE14" s="76"/>
      <c r="CF14" s="76">
        <f>+CE14*28000</f>
        <v>0</v>
      </c>
      <c r="CG14" s="76"/>
      <c r="CH14" s="76">
        <f>+CG14*22500</f>
        <v>0</v>
      </c>
      <c r="CI14" s="76"/>
      <c r="CJ14" s="76">
        <f>+CI14*26000</f>
        <v>0</v>
      </c>
      <c r="CK14" s="76"/>
      <c r="CL14" s="76"/>
      <c r="CM14" s="76"/>
      <c r="CN14" s="76">
        <f>+CM14*22000</f>
        <v>0</v>
      </c>
      <c r="CO14" s="76"/>
      <c r="CP14" s="76">
        <f>+CO14*46000</f>
        <v>0</v>
      </c>
      <c r="CQ14" s="76"/>
      <c r="CR14" s="76">
        <f>+CQ14*49000</f>
        <v>0</v>
      </c>
      <c r="CS14" s="76"/>
      <c r="CT14" s="76"/>
      <c r="CU14" s="56">
        <f>AN14+AP14+AR14+AT14+AV14+AX14+AZ14+BB14+BD14+BF14+BH14+BJ14+BL14+BN14+BP14+BR14+BT14+BV14+BX14+BZ14+CB14+CD14+CF14+CH14+CJ14+CL14+CN14+CP14+CR14+CT14</f>
        <v>0</v>
      </c>
      <c r="CV14" s="76"/>
      <c r="CW14" s="76">
        <f>+CV14*1100</f>
        <v>0</v>
      </c>
      <c r="CX14" s="76"/>
      <c r="CY14" s="76">
        <f>+CX14*106250</f>
        <v>0</v>
      </c>
      <c r="CZ14" s="76"/>
      <c r="DA14" s="76">
        <f>+CZ14*34500</f>
        <v>0</v>
      </c>
      <c r="DB14" s="76"/>
      <c r="DC14" s="76">
        <f>+DB14*25000</f>
        <v>0</v>
      </c>
      <c r="DD14" s="219"/>
      <c r="DE14" s="219"/>
      <c r="DF14" s="164"/>
      <c r="DG14" s="116"/>
      <c r="DH14" s="117"/>
      <c r="DI14" s="24"/>
      <c r="DJ14" s="24"/>
      <c r="DK14" s="24"/>
      <c r="DL14" s="24"/>
      <c r="DM14" s="24"/>
      <c r="DN14" s="24"/>
      <c r="DO14" s="24"/>
      <c r="DP14" s="24"/>
      <c r="DQ14" s="24"/>
      <c r="DR14" s="24"/>
      <c r="DS14" s="24"/>
      <c r="DT14" s="24"/>
      <c r="DU14" s="24"/>
    </row>
    <row r="15" spans="1:125" s="8" customFormat="1" ht="156" x14ac:dyDescent="0.2">
      <c r="A15" s="77">
        <v>41276</v>
      </c>
      <c r="B15" s="60" t="s">
        <v>2847</v>
      </c>
      <c r="C15" s="55" t="s">
        <v>2673</v>
      </c>
      <c r="D15" s="81" t="s">
        <v>2846</v>
      </c>
      <c r="E15" s="75" t="str">
        <f>VLOOKUP(B15&amp;C15,Divipola!$C$2:$F$1138,4,FALSE)</f>
        <v>68001</v>
      </c>
      <c r="F15" s="87"/>
      <c r="G15" s="87"/>
      <c r="H15" s="87"/>
      <c r="I15" s="87"/>
      <c r="J15" s="87"/>
      <c r="K15" s="87"/>
      <c r="L15" s="87"/>
      <c r="M15" s="87"/>
      <c r="N15" s="87"/>
      <c r="O15" s="87"/>
      <c r="P15" s="87"/>
      <c r="Q15" s="87"/>
      <c r="R15" s="87"/>
      <c r="S15" s="87"/>
      <c r="T15" s="87"/>
      <c r="U15" s="127">
        <v>2</v>
      </c>
      <c r="V15" s="89"/>
      <c r="W15" s="96">
        <v>0</v>
      </c>
      <c r="X15" s="71">
        <f>CU15</f>
        <v>0</v>
      </c>
      <c r="Y15" s="71">
        <f>CY15</f>
        <v>0</v>
      </c>
      <c r="Z15" s="71">
        <f>DA15+DC15+DE15</f>
        <v>0</v>
      </c>
      <c r="AA15" s="71">
        <f>CW15</f>
        <v>0</v>
      </c>
      <c r="AB15" s="71"/>
      <c r="AC15" s="71">
        <v>0</v>
      </c>
      <c r="AD15" s="71">
        <f>W15+X15+Y15+Z15+AA15+AB15+AC15</f>
        <v>0</v>
      </c>
      <c r="AE15" s="72">
        <v>0</v>
      </c>
      <c r="AF15" s="5"/>
      <c r="AG15" s="6"/>
      <c r="AH15" s="27" t="s">
        <v>3392</v>
      </c>
      <c r="AI15" s="44" t="s">
        <v>3393</v>
      </c>
      <c r="AJ15" s="26"/>
      <c r="AK15" s="5"/>
      <c r="AL15" s="82" t="s">
        <v>2858</v>
      </c>
      <c r="AM15" s="76"/>
      <c r="AN15" s="76"/>
      <c r="AO15" s="76"/>
      <c r="AP15" s="76"/>
      <c r="AQ15" s="76"/>
      <c r="AR15" s="76"/>
      <c r="AS15" s="76"/>
      <c r="AT15" s="76"/>
      <c r="AU15" s="76"/>
      <c r="AV15" s="76"/>
      <c r="AW15" s="76"/>
      <c r="AX15" s="76">
        <f>+AW15*600000</f>
        <v>0</v>
      </c>
      <c r="AY15" s="76"/>
      <c r="AZ15" s="76">
        <f>+AY15*70000</f>
        <v>0</v>
      </c>
      <c r="BA15" s="76"/>
      <c r="BB15" s="76"/>
      <c r="BC15" s="76"/>
      <c r="BD15" s="76">
        <f>+BC15*30000</f>
        <v>0</v>
      </c>
      <c r="BE15" s="76"/>
      <c r="BF15" s="76"/>
      <c r="BG15" s="76"/>
      <c r="BH15" s="76"/>
      <c r="BI15" s="76"/>
      <c r="BJ15" s="76"/>
      <c r="BK15" s="76"/>
      <c r="BL15" s="76">
        <f>+BK15*31500</f>
        <v>0</v>
      </c>
      <c r="BM15" s="76"/>
      <c r="BN15" s="76"/>
      <c r="BO15" s="76"/>
      <c r="BP15" s="76"/>
      <c r="BQ15" s="76"/>
      <c r="BR15" s="76"/>
      <c r="BS15" s="76"/>
      <c r="BT15" s="76"/>
      <c r="BU15" s="76"/>
      <c r="BV15" s="76"/>
      <c r="BW15" s="76"/>
      <c r="BX15" s="76"/>
      <c r="BY15" s="76"/>
      <c r="BZ15" s="76"/>
      <c r="CA15" s="76"/>
      <c r="CB15" s="76"/>
      <c r="CC15" s="76"/>
      <c r="CD15" s="76"/>
      <c r="CE15" s="76"/>
      <c r="CF15" s="76">
        <f>+CE15*28000</f>
        <v>0</v>
      </c>
      <c r="CG15" s="76"/>
      <c r="CH15" s="76">
        <f>+CG15*22500</f>
        <v>0</v>
      </c>
      <c r="CI15" s="76"/>
      <c r="CJ15" s="76">
        <f>+CI15*26000</f>
        <v>0</v>
      </c>
      <c r="CK15" s="76"/>
      <c r="CL15" s="76"/>
      <c r="CM15" s="76"/>
      <c r="CN15" s="76">
        <f>+CM15*22000</f>
        <v>0</v>
      </c>
      <c r="CO15" s="76"/>
      <c r="CP15" s="76">
        <f>+CO15*46000</f>
        <v>0</v>
      </c>
      <c r="CQ15" s="76"/>
      <c r="CR15" s="76">
        <f>+CQ15*49000</f>
        <v>0</v>
      </c>
      <c r="CS15" s="76"/>
      <c r="CT15" s="76"/>
      <c r="CU15" s="56">
        <f>AN15+AP15+AR15+AT15+AV15+AX15+AZ15+BB15+BD15+BF15+BH15+BJ15+BL15+BN15+BP15+BR15+BT15+BV15+BX15+BZ15+CB15+CD15+CF15+CH15+CJ15+CL15+CN15+CP15+CR15+CT15</f>
        <v>0</v>
      </c>
      <c r="CV15" s="76"/>
      <c r="CW15" s="76">
        <f>+CV15*1100</f>
        <v>0</v>
      </c>
      <c r="CX15" s="76"/>
      <c r="CY15" s="76">
        <f>+CX15*106250</f>
        <v>0</v>
      </c>
      <c r="CZ15" s="76"/>
      <c r="DA15" s="76">
        <f>+CZ15*34500</f>
        <v>0</v>
      </c>
      <c r="DB15" s="76"/>
      <c r="DC15" s="76">
        <f>+DB15*25000</f>
        <v>0</v>
      </c>
      <c r="DD15" s="219"/>
      <c r="DE15" s="219"/>
      <c r="DF15" s="164"/>
      <c r="DG15" s="116"/>
      <c r="DH15" s="117"/>
      <c r="DI15" s="24"/>
      <c r="DJ15" s="24"/>
      <c r="DK15" s="24"/>
      <c r="DL15" s="24"/>
      <c r="DM15" s="24"/>
      <c r="DN15" s="24"/>
      <c r="DO15" s="24"/>
      <c r="DP15" s="24"/>
      <c r="DQ15" s="24"/>
      <c r="DR15" s="24"/>
      <c r="DS15" s="24"/>
      <c r="DT15" s="24"/>
      <c r="DU15" s="24"/>
    </row>
    <row r="16" spans="1:125" s="8" customFormat="1" ht="84" x14ac:dyDescent="0.2">
      <c r="A16" s="77">
        <v>41276</v>
      </c>
      <c r="B16" s="78" t="s">
        <v>2847</v>
      </c>
      <c r="C16" s="75" t="s">
        <v>2197</v>
      </c>
      <c r="D16" s="81" t="s">
        <v>2846</v>
      </c>
      <c r="E16" s="75" t="str">
        <f>VLOOKUP(B16&amp;C16,Divipola!$C$2:$F$1138,4,FALSE)</f>
        <v>68276</v>
      </c>
      <c r="F16" s="87"/>
      <c r="G16" s="87"/>
      <c r="H16" s="87"/>
      <c r="I16" s="87"/>
      <c r="J16" s="87"/>
      <c r="K16" s="87"/>
      <c r="L16" s="87"/>
      <c r="M16" s="87"/>
      <c r="N16" s="87"/>
      <c r="O16" s="87"/>
      <c r="P16" s="87"/>
      <c r="Q16" s="87"/>
      <c r="R16" s="87"/>
      <c r="S16" s="87"/>
      <c r="T16" s="87"/>
      <c r="U16" s="127"/>
      <c r="V16" s="89"/>
      <c r="W16" s="96">
        <v>0</v>
      </c>
      <c r="X16" s="71">
        <f>CU16</f>
        <v>0</v>
      </c>
      <c r="Y16" s="71">
        <f>CY16</f>
        <v>0</v>
      </c>
      <c r="Z16" s="71">
        <f>DA16+DC16+DE16</f>
        <v>0</v>
      </c>
      <c r="AA16" s="71">
        <f>CW16</f>
        <v>0</v>
      </c>
      <c r="AB16" s="71"/>
      <c r="AC16" s="71">
        <v>0</v>
      </c>
      <c r="AD16" s="71">
        <f>W16+X16+Y16+Z16+AA16+AB16+AC16</f>
        <v>0</v>
      </c>
      <c r="AE16" s="72">
        <v>0</v>
      </c>
      <c r="AF16" s="5"/>
      <c r="AG16" s="6"/>
      <c r="AH16" s="27" t="s">
        <v>3392</v>
      </c>
      <c r="AI16" s="44" t="s">
        <v>3393</v>
      </c>
      <c r="AJ16" s="26"/>
      <c r="AK16" s="5"/>
      <c r="AL16" s="82" t="s">
        <v>2868</v>
      </c>
      <c r="AM16" s="76"/>
      <c r="AN16" s="76"/>
      <c r="AO16" s="76"/>
      <c r="AP16" s="76"/>
      <c r="AQ16" s="76"/>
      <c r="AR16" s="76"/>
      <c r="AS16" s="76"/>
      <c r="AT16" s="76"/>
      <c r="AU16" s="76"/>
      <c r="AV16" s="76"/>
      <c r="AW16" s="76"/>
      <c r="AX16" s="76">
        <f>+AW16*600000</f>
        <v>0</v>
      </c>
      <c r="AY16" s="76"/>
      <c r="AZ16" s="76">
        <f>+AY16*70000</f>
        <v>0</v>
      </c>
      <c r="BA16" s="76"/>
      <c r="BB16" s="76"/>
      <c r="BC16" s="76"/>
      <c r="BD16" s="76">
        <f>+BC16*30000</f>
        <v>0</v>
      </c>
      <c r="BE16" s="76"/>
      <c r="BF16" s="76"/>
      <c r="BG16" s="76"/>
      <c r="BH16" s="76"/>
      <c r="BI16" s="76"/>
      <c r="BJ16" s="76"/>
      <c r="BK16" s="76"/>
      <c r="BL16" s="76">
        <f>+BK16*31500</f>
        <v>0</v>
      </c>
      <c r="BM16" s="76"/>
      <c r="BN16" s="76"/>
      <c r="BO16" s="76"/>
      <c r="BP16" s="76"/>
      <c r="BQ16" s="76"/>
      <c r="BR16" s="76"/>
      <c r="BS16" s="76"/>
      <c r="BT16" s="76"/>
      <c r="BU16" s="76"/>
      <c r="BV16" s="76"/>
      <c r="BW16" s="76"/>
      <c r="BX16" s="76"/>
      <c r="BY16" s="76"/>
      <c r="BZ16" s="76"/>
      <c r="CA16" s="76"/>
      <c r="CB16" s="76"/>
      <c r="CC16" s="76"/>
      <c r="CD16" s="76"/>
      <c r="CE16" s="76"/>
      <c r="CF16" s="76">
        <f>+CE16*28000</f>
        <v>0</v>
      </c>
      <c r="CG16" s="76"/>
      <c r="CH16" s="76">
        <f>+CG16*22500</f>
        <v>0</v>
      </c>
      <c r="CI16" s="76"/>
      <c r="CJ16" s="76">
        <f>+CI16*26000</f>
        <v>0</v>
      </c>
      <c r="CK16" s="76"/>
      <c r="CL16" s="76"/>
      <c r="CM16" s="76"/>
      <c r="CN16" s="76">
        <f>+CM16*22000</f>
        <v>0</v>
      </c>
      <c r="CO16" s="76"/>
      <c r="CP16" s="76">
        <f>+CO16*46000</f>
        <v>0</v>
      </c>
      <c r="CQ16" s="76"/>
      <c r="CR16" s="76">
        <f>+CQ16*49000</f>
        <v>0</v>
      </c>
      <c r="CS16" s="76"/>
      <c r="CT16" s="76"/>
      <c r="CU16" s="56">
        <f>AN16+AP16+AR16+AT16+AV16+AX16+AZ16+BB16+BD16+BF16+BH16+BJ16+BL16+BN16+BP16+BR16+BT16+BV16+BX16+BZ16+CB16+CD16+CF16+CH16+CJ16+CL16+CN16+CP16+CR16+CT16</f>
        <v>0</v>
      </c>
      <c r="CV16" s="76"/>
      <c r="CW16" s="76">
        <f>+CV16*1100</f>
        <v>0</v>
      </c>
      <c r="CX16" s="76"/>
      <c r="CY16" s="76">
        <f>+CX16*106250</f>
        <v>0</v>
      </c>
      <c r="CZ16" s="76"/>
      <c r="DA16" s="76">
        <f>+CZ16*34500</f>
        <v>0</v>
      </c>
      <c r="DB16" s="76"/>
      <c r="DC16" s="76">
        <f>+DB16*25000</f>
        <v>0</v>
      </c>
      <c r="DD16" s="219"/>
      <c r="DE16" s="219"/>
      <c r="DF16" s="164"/>
      <c r="DG16" s="116"/>
      <c r="DH16" s="117"/>
      <c r="DI16" s="24"/>
      <c r="DJ16" s="24"/>
      <c r="DK16" s="24"/>
      <c r="DL16" s="24"/>
      <c r="DM16" s="24"/>
      <c r="DN16" s="24"/>
      <c r="DO16" s="24"/>
      <c r="DP16" s="24"/>
      <c r="DQ16" s="24"/>
      <c r="DR16" s="24"/>
      <c r="DS16" s="24"/>
      <c r="DT16" s="24"/>
      <c r="DU16" s="24"/>
    </row>
    <row r="17" spans="1:125" s="8" customFormat="1" ht="84" x14ac:dyDescent="0.2">
      <c r="A17" s="77">
        <v>41276</v>
      </c>
      <c r="B17" s="80" t="s">
        <v>2847</v>
      </c>
      <c r="C17" s="81" t="s">
        <v>2165</v>
      </c>
      <c r="D17" s="81" t="s">
        <v>2846</v>
      </c>
      <c r="E17" s="75" t="str">
        <f>VLOOKUP(B17&amp;C17,Divipola!$C$2:$F$1138,4,FALSE)</f>
        <v>68655</v>
      </c>
      <c r="F17" s="87"/>
      <c r="G17" s="87"/>
      <c r="H17" s="87"/>
      <c r="I17" s="87"/>
      <c r="J17" s="87"/>
      <c r="K17" s="87"/>
      <c r="L17" s="87"/>
      <c r="M17" s="87"/>
      <c r="N17" s="87"/>
      <c r="O17" s="87"/>
      <c r="P17" s="87"/>
      <c r="Q17" s="87"/>
      <c r="R17" s="87"/>
      <c r="S17" s="87"/>
      <c r="T17" s="87"/>
      <c r="U17" s="127">
        <v>5</v>
      </c>
      <c r="V17" s="89"/>
      <c r="W17" s="96">
        <v>0</v>
      </c>
      <c r="X17" s="71">
        <f>CU17</f>
        <v>0</v>
      </c>
      <c r="Y17" s="71">
        <f>CY17</f>
        <v>0</v>
      </c>
      <c r="Z17" s="71">
        <f>DA17+DC17+DE17</f>
        <v>0</v>
      </c>
      <c r="AA17" s="71">
        <f>CW17</f>
        <v>0</v>
      </c>
      <c r="AB17" s="71"/>
      <c r="AC17" s="71">
        <v>0</v>
      </c>
      <c r="AD17" s="71">
        <f>W17+X17+Y17+Z17+AA17+AB17+AC17</f>
        <v>0</v>
      </c>
      <c r="AE17" s="72">
        <v>0</v>
      </c>
      <c r="AF17" s="5"/>
      <c r="AG17" s="6"/>
      <c r="AH17" s="27" t="s">
        <v>3392</v>
      </c>
      <c r="AI17" s="44" t="s">
        <v>3393</v>
      </c>
      <c r="AJ17" s="26"/>
      <c r="AK17" s="5"/>
      <c r="AL17" s="82" t="s">
        <v>2857</v>
      </c>
      <c r="AM17" s="76"/>
      <c r="AN17" s="76"/>
      <c r="AO17" s="76"/>
      <c r="AP17" s="76"/>
      <c r="AQ17" s="76"/>
      <c r="AR17" s="76"/>
      <c r="AS17" s="76"/>
      <c r="AT17" s="76"/>
      <c r="AU17" s="76"/>
      <c r="AV17" s="76"/>
      <c r="AW17" s="76"/>
      <c r="AX17" s="76">
        <f>+AW17*600000</f>
        <v>0</v>
      </c>
      <c r="AY17" s="76"/>
      <c r="AZ17" s="76">
        <f>+AY17*70000</f>
        <v>0</v>
      </c>
      <c r="BA17" s="76"/>
      <c r="BB17" s="76"/>
      <c r="BC17" s="76"/>
      <c r="BD17" s="76">
        <f>+BC17*30000</f>
        <v>0</v>
      </c>
      <c r="BE17" s="76"/>
      <c r="BF17" s="76"/>
      <c r="BG17" s="76"/>
      <c r="BH17" s="76"/>
      <c r="BI17" s="76"/>
      <c r="BJ17" s="76"/>
      <c r="BK17" s="76"/>
      <c r="BL17" s="76">
        <f>+BK17*31500</f>
        <v>0</v>
      </c>
      <c r="BM17" s="76"/>
      <c r="BN17" s="76"/>
      <c r="BO17" s="76"/>
      <c r="BP17" s="76"/>
      <c r="BQ17" s="76"/>
      <c r="BR17" s="76"/>
      <c r="BS17" s="76"/>
      <c r="BT17" s="76"/>
      <c r="BU17" s="76"/>
      <c r="BV17" s="76"/>
      <c r="BW17" s="76"/>
      <c r="BX17" s="76"/>
      <c r="BY17" s="76"/>
      <c r="BZ17" s="76"/>
      <c r="CA17" s="76"/>
      <c r="CB17" s="76"/>
      <c r="CC17" s="76"/>
      <c r="CD17" s="76"/>
      <c r="CE17" s="76"/>
      <c r="CF17" s="76">
        <f>+CE17*28000</f>
        <v>0</v>
      </c>
      <c r="CG17" s="76"/>
      <c r="CH17" s="76">
        <f>+CG17*22500</f>
        <v>0</v>
      </c>
      <c r="CI17" s="76"/>
      <c r="CJ17" s="76">
        <f>+CI17*26000</f>
        <v>0</v>
      </c>
      <c r="CK17" s="76"/>
      <c r="CL17" s="76"/>
      <c r="CM17" s="76"/>
      <c r="CN17" s="76">
        <f>+CM17*22000</f>
        <v>0</v>
      </c>
      <c r="CO17" s="76"/>
      <c r="CP17" s="76">
        <f>+CO17*46000</f>
        <v>0</v>
      </c>
      <c r="CQ17" s="76"/>
      <c r="CR17" s="76">
        <f>+CQ17*49000</f>
        <v>0</v>
      </c>
      <c r="CS17" s="76"/>
      <c r="CT17" s="76"/>
      <c r="CU17" s="56">
        <f>AN17+AP17+AR17+AT17+AV17+AX17+AZ17+BB17+BD17+BF17+BH17+BJ17+BL17+BN17+BP17+BR17+BT17+BV17+BX17+BZ17+CB17+CD17+CF17+CH17+CJ17+CL17+CN17+CP17+CR17+CT17</f>
        <v>0</v>
      </c>
      <c r="CV17" s="76"/>
      <c r="CW17" s="76">
        <f>+CV17*1100</f>
        <v>0</v>
      </c>
      <c r="CX17" s="76"/>
      <c r="CY17" s="76">
        <f>+CX17*106250</f>
        <v>0</v>
      </c>
      <c r="CZ17" s="76"/>
      <c r="DA17" s="76">
        <f>+CZ17*34500</f>
        <v>0</v>
      </c>
      <c r="DB17" s="76"/>
      <c r="DC17" s="76">
        <f>+DB17*25000</f>
        <v>0</v>
      </c>
      <c r="DD17" s="219"/>
      <c r="DE17" s="219"/>
      <c r="DF17" s="164"/>
      <c r="DG17" s="116"/>
      <c r="DH17" s="117"/>
      <c r="DI17" s="24"/>
      <c r="DJ17" s="24"/>
      <c r="DK17" s="24"/>
      <c r="DL17" s="24"/>
      <c r="DM17" s="24"/>
      <c r="DN17" s="24"/>
      <c r="DO17" s="24"/>
      <c r="DP17" s="24"/>
      <c r="DQ17" s="24"/>
      <c r="DR17" s="24"/>
      <c r="DS17" s="24"/>
      <c r="DT17" s="24"/>
      <c r="DU17" s="24"/>
    </row>
    <row r="18" spans="1:125" s="8" customFormat="1" ht="48" x14ac:dyDescent="0.2">
      <c r="A18" s="77">
        <v>41276</v>
      </c>
      <c r="B18" s="80" t="s">
        <v>2848</v>
      </c>
      <c r="C18" s="81" t="s">
        <v>1887</v>
      </c>
      <c r="D18" s="81" t="s">
        <v>2859</v>
      </c>
      <c r="E18" s="75" t="str">
        <f>VLOOKUP(B18&amp;C18,Divipola!$C$2:$F$1138,4,FALSE)</f>
        <v>73443</v>
      </c>
      <c r="F18" s="87"/>
      <c r="G18" s="87"/>
      <c r="H18" s="87"/>
      <c r="I18" s="87"/>
      <c r="J18" s="87"/>
      <c r="K18" s="87"/>
      <c r="L18" s="87">
        <v>1</v>
      </c>
      <c r="M18" s="87"/>
      <c r="N18" s="87"/>
      <c r="O18" s="87"/>
      <c r="P18" s="87"/>
      <c r="Q18" s="87"/>
      <c r="R18" s="87"/>
      <c r="S18" s="87"/>
      <c r="T18" s="87"/>
      <c r="U18" s="127"/>
      <c r="V18" s="89"/>
      <c r="W18" s="96">
        <v>0</v>
      </c>
      <c r="X18" s="71">
        <f>CU18</f>
        <v>0</v>
      </c>
      <c r="Y18" s="71">
        <f>CY18</f>
        <v>0</v>
      </c>
      <c r="Z18" s="71">
        <f>DA18+DC18+DE18</f>
        <v>0</v>
      </c>
      <c r="AA18" s="71">
        <f>CW18</f>
        <v>0</v>
      </c>
      <c r="AB18" s="71"/>
      <c r="AC18" s="71">
        <v>0</v>
      </c>
      <c r="AD18" s="71">
        <f>W18+X18+Y18+Z18+AA18+AB18+AC18</f>
        <v>0</v>
      </c>
      <c r="AE18" s="72">
        <v>0</v>
      </c>
      <c r="AF18" s="5"/>
      <c r="AG18" s="6"/>
      <c r="AH18" s="27" t="s">
        <v>3392</v>
      </c>
      <c r="AI18" s="44" t="s">
        <v>3393</v>
      </c>
      <c r="AJ18" s="26"/>
      <c r="AK18" s="5"/>
      <c r="AL18" s="82" t="s">
        <v>2870</v>
      </c>
      <c r="AM18" s="76"/>
      <c r="AN18" s="76"/>
      <c r="AO18" s="76"/>
      <c r="AP18" s="76"/>
      <c r="AQ18" s="76"/>
      <c r="AR18" s="76"/>
      <c r="AS18" s="76"/>
      <c r="AT18" s="76"/>
      <c r="AU18" s="76"/>
      <c r="AV18" s="76"/>
      <c r="AW18" s="76"/>
      <c r="AX18" s="76">
        <f>+AW18*600000</f>
        <v>0</v>
      </c>
      <c r="AY18" s="76"/>
      <c r="AZ18" s="76">
        <f>+AY18*70000</f>
        <v>0</v>
      </c>
      <c r="BA18" s="76"/>
      <c r="BB18" s="76"/>
      <c r="BC18" s="76"/>
      <c r="BD18" s="76">
        <f>+BC18*30000</f>
        <v>0</v>
      </c>
      <c r="BE18" s="76"/>
      <c r="BF18" s="76"/>
      <c r="BG18" s="76"/>
      <c r="BH18" s="76"/>
      <c r="BI18" s="76"/>
      <c r="BJ18" s="76"/>
      <c r="BK18" s="76"/>
      <c r="BL18" s="76">
        <f>+BK18*31500</f>
        <v>0</v>
      </c>
      <c r="BM18" s="76"/>
      <c r="BN18" s="76"/>
      <c r="BO18" s="76"/>
      <c r="BP18" s="76"/>
      <c r="BQ18" s="76"/>
      <c r="BR18" s="76"/>
      <c r="BS18" s="76"/>
      <c r="BT18" s="76"/>
      <c r="BU18" s="76"/>
      <c r="BV18" s="76"/>
      <c r="BW18" s="76"/>
      <c r="BX18" s="76"/>
      <c r="BY18" s="76"/>
      <c r="BZ18" s="76"/>
      <c r="CA18" s="76"/>
      <c r="CB18" s="76"/>
      <c r="CC18" s="76"/>
      <c r="CD18" s="76"/>
      <c r="CE18" s="76"/>
      <c r="CF18" s="76">
        <f>+CE18*28000</f>
        <v>0</v>
      </c>
      <c r="CG18" s="76"/>
      <c r="CH18" s="76">
        <f>+CG18*22500</f>
        <v>0</v>
      </c>
      <c r="CI18" s="76"/>
      <c r="CJ18" s="76">
        <f>+CI18*26000</f>
        <v>0</v>
      </c>
      <c r="CK18" s="76"/>
      <c r="CL18" s="76"/>
      <c r="CM18" s="76"/>
      <c r="CN18" s="76">
        <f>+CM18*22000</f>
        <v>0</v>
      </c>
      <c r="CO18" s="76"/>
      <c r="CP18" s="76">
        <f>+CO18*46000</f>
        <v>0</v>
      </c>
      <c r="CQ18" s="76"/>
      <c r="CR18" s="76">
        <f>+CQ18*49000</f>
        <v>0</v>
      </c>
      <c r="CS18" s="76"/>
      <c r="CT18" s="76"/>
      <c r="CU18" s="56">
        <f>AN18+AP18+AR18+AT18+AV18+AX18+AZ18+BB18+BD18+BF18+BH18+BJ18+BL18+BN18+BP18+BR18+BT18+BV18+BX18+BZ18+CB18+CD18+CF18+CH18+CJ18+CL18+CN18+CP18+CR18+CT18</f>
        <v>0</v>
      </c>
      <c r="CV18" s="76"/>
      <c r="CW18" s="76">
        <f>+CV18*1100</f>
        <v>0</v>
      </c>
      <c r="CX18" s="76"/>
      <c r="CY18" s="76">
        <f>+CX18*106250</f>
        <v>0</v>
      </c>
      <c r="CZ18" s="76"/>
      <c r="DA18" s="76">
        <f>+CZ18*34500</f>
        <v>0</v>
      </c>
      <c r="DB18" s="76"/>
      <c r="DC18" s="76">
        <f>+DB18*25000</f>
        <v>0</v>
      </c>
      <c r="DD18" s="219"/>
      <c r="DE18" s="219"/>
      <c r="DF18" s="164"/>
      <c r="DG18" s="116"/>
      <c r="DH18" s="117"/>
      <c r="DI18" s="24"/>
      <c r="DJ18" s="24"/>
      <c r="DK18" s="24"/>
      <c r="DL18" s="24"/>
      <c r="DM18" s="24"/>
      <c r="DN18" s="24"/>
      <c r="DO18" s="24"/>
      <c r="DP18" s="24"/>
      <c r="DQ18" s="24"/>
      <c r="DR18" s="24"/>
      <c r="DS18" s="24"/>
      <c r="DT18" s="24"/>
      <c r="DU18" s="24"/>
    </row>
    <row r="19" spans="1:125" s="8" customFormat="1" ht="108" x14ac:dyDescent="0.2">
      <c r="A19" s="77">
        <v>41276</v>
      </c>
      <c r="B19" s="80" t="s">
        <v>2848</v>
      </c>
      <c r="C19" s="81" t="s">
        <v>2034</v>
      </c>
      <c r="D19" s="81" t="s">
        <v>2846</v>
      </c>
      <c r="E19" s="75" t="str">
        <f>VLOOKUP(B19&amp;C19,Divipola!$C$2:$F$1138,4,FALSE)</f>
        <v>73449</v>
      </c>
      <c r="F19" s="87"/>
      <c r="G19" s="87"/>
      <c r="H19" s="87"/>
      <c r="I19" s="87"/>
      <c r="J19" s="87"/>
      <c r="K19" s="87"/>
      <c r="L19" s="87"/>
      <c r="M19" s="87"/>
      <c r="N19" s="87"/>
      <c r="O19" s="87"/>
      <c r="P19" s="87"/>
      <c r="Q19" s="87"/>
      <c r="R19" s="87"/>
      <c r="S19" s="87"/>
      <c r="T19" s="87"/>
      <c r="U19" s="127">
        <v>35</v>
      </c>
      <c r="V19" s="89"/>
      <c r="W19" s="96">
        <v>0</v>
      </c>
      <c r="X19" s="71">
        <f>CU19</f>
        <v>0</v>
      </c>
      <c r="Y19" s="71">
        <f>CY19</f>
        <v>0</v>
      </c>
      <c r="Z19" s="71">
        <f>DA19+DC19+DE19</f>
        <v>0</v>
      </c>
      <c r="AA19" s="71">
        <f>CW19</f>
        <v>0</v>
      </c>
      <c r="AB19" s="71"/>
      <c r="AC19" s="71">
        <v>0</v>
      </c>
      <c r="AD19" s="71">
        <f>W19+X19+Y19+Z19+AA19+AB19+AC19</f>
        <v>0</v>
      </c>
      <c r="AE19" s="72">
        <v>0</v>
      </c>
      <c r="AF19" s="5"/>
      <c r="AG19" s="6"/>
      <c r="AH19" s="27" t="s">
        <v>3392</v>
      </c>
      <c r="AI19" s="44" t="s">
        <v>3393</v>
      </c>
      <c r="AJ19" s="26"/>
      <c r="AK19" s="5"/>
      <c r="AL19" s="82" t="s">
        <v>2869</v>
      </c>
      <c r="AM19" s="76"/>
      <c r="AN19" s="76"/>
      <c r="AO19" s="76"/>
      <c r="AP19" s="76"/>
      <c r="AQ19" s="76"/>
      <c r="AR19" s="76"/>
      <c r="AS19" s="76"/>
      <c r="AT19" s="76"/>
      <c r="AU19" s="76"/>
      <c r="AV19" s="76"/>
      <c r="AW19" s="76"/>
      <c r="AX19" s="76">
        <f>+AW19*600000</f>
        <v>0</v>
      </c>
      <c r="AY19" s="76"/>
      <c r="AZ19" s="76">
        <f>+AY19*70000</f>
        <v>0</v>
      </c>
      <c r="BA19" s="76"/>
      <c r="BB19" s="76"/>
      <c r="BC19" s="76"/>
      <c r="BD19" s="76">
        <f>+BC19*30000</f>
        <v>0</v>
      </c>
      <c r="BE19" s="76"/>
      <c r="BF19" s="76"/>
      <c r="BG19" s="76"/>
      <c r="BH19" s="76"/>
      <c r="BI19" s="76"/>
      <c r="BJ19" s="76"/>
      <c r="BK19" s="76"/>
      <c r="BL19" s="76">
        <f>+BK19*31500</f>
        <v>0</v>
      </c>
      <c r="BM19" s="76"/>
      <c r="BN19" s="76"/>
      <c r="BO19" s="76"/>
      <c r="BP19" s="76"/>
      <c r="BQ19" s="76"/>
      <c r="BR19" s="76"/>
      <c r="BS19" s="76"/>
      <c r="BT19" s="76"/>
      <c r="BU19" s="76"/>
      <c r="BV19" s="76"/>
      <c r="BW19" s="76"/>
      <c r="BX19" s="76"/>
      <c r="BY19" s="76"/>
      <c r="BZ19" s="76"/>
      <c r="CA19" s="76"/>
      <c r="CB19" s="76"/>
      <c r="CC19" s="76"/>
      <c r="CD19" s="76"/>
      <c r="CE19" s="76"/>
      <c r="CF19" s="76">
        <f>+CE19*28000</f>
        <v>0</v>
      </c>
      <c r="CG19" s="76"/>
      <c r="CH19" s="76">
        <f>+CG19*22500</f>
        <v>0</v>
      </c>
      <c r="CI19" s="76"/>
      <c r="CJ19" s="76">
        <f>+CI19*26000</f>
        <v>0</v>
      </c>
      <c r="CK19" s="76"/>
      <c r="CL19" s="76"/>
      <c r="CM19" s="76"/>
      <c r="CN19" s="76">
        <f>+CM19*22000</f>
        <v>0</v>
      </c>
      <c r="CO19" s="76"/>
      <c r="CP19" s="76">
        <f>+CO19*46000</f>
        <v>0</v>
      </c>
      <c r="CQ19" s="76"/>
      <c r="CR19" s="76">
        <f>+CQ19*49000</f>
        <v>0</v>
      </c>
      <c r="CS19" s="76"/>
      <c r="CT19" s="76"/>
      <c r="CU19" s="56">
        <f>AN19+AP19+AR19+AT19+AV19+AX19+AZ19+BB19+BD19+BF19+BH19+BJ19+BL19+BN19+BP19+BR19+BT19+BV19+BX19+BZ19+CB19+CD19+CF19+CH19+CJ19+CL19+CN19+CP19+CR19+CT19</f>
        <v>0</v>
      </c>
      <c r="CV19" s="76"/>
      <c r="CW19" s="76">
        <f>+CV19*1100</f>
        <v>0</v>
      </c>
      <c r="CX19" s="76"/>
      <c r="CY19" s="76">
        <f>+CX19*106250</f>
        <v>0</v>
      </c>
      <c r="CZ19" s="76"/>
      <c r="DA19" s="76">
        <f>+CZ19*34500</f>
        <v>0</v>
      </c>
      <c r="DB19" s="76"/>
      <c r="DC19" s="76">
        <f>+DB19*25000</f>
        <v>0</v>
      </c>
      <c r="DD19" s="219"/>
      <c r="DE19" s="219"/>
      <c r="DF19" s="164"/>
      <c r="DG19" s="116"/>
      <c r="DH19" s="117"/>
      <c r="DI19" s="24"/>
      <c r="DJ19" s="24"/>
      <c r="DK19" s="24"/>
      <c r="DL19" s="24"/>
      <c r="DM19" s="24"/>
      <c r="DN19" s="24"/>
      <c r="DO19" s="24"/>
      <c r="DP19" s="24"/>
      <c r="DQ19" s="24"/>
      <c r="DR19" s="24"/>
      <c r="DS19" s="24"/>
      <c r="DT19" s="24"/>
      <c r="DU19" s="24"/>
    </row>
    <row r="20" spans="1:125" s="8" customFormat="1" ht="72" x14ac:dyDescent="0.2">
      <c r="A20" s="77">
        <v>41277</v>
      </c>
      <c r="B20" s="78" t="s">
        <v>2700</v>
      </c>
      <c r="C20" s="78" t="s">
        <v>720</v>
      </c>
      <c r="D20" s="81" t="s">
        <v>2846</v>
      </c>
      <c r="E20" s="75" t="str">
        <f>VLOOKUP(B20&amp;C20,Divipola!$C$2:$F$1138,4,FALSE)</f>
        <v>15835</v>
      </c>
      <c r="F20" s="87"/>
      <c r="G20" s="87"/>
      <c r="H20" s="87"/>
      <c r="I20" s="87"/>
      <c r="J20" s="87"/>
      <c r="K20" s="87"/>
      <c r="L20" s="87"/>
      <c r="M20" s="87"/>
      <c r="N20" s="87"/>
      <c r="O20" s="87"/>
      <c r="P20" s="87"/>
      <c r="Q20" s="87"/>
      <c r="R20" s="87"/>
      <c r="S20" s="87"/>
      <c r="T20" s="87"/>
      <c r="U20" s="127">
        <v>12</v>
      </c>
      <c r="V20" s="89"/>
      <c r="W20" s="96">
        <v>0</v>
      </c>
      <c r="X20" s="71">
        <f>CU20</f>
        <v>0</v>
      </c>
      <c r="Y20" s="71">
        <f>CY20</f>
        <v>0</v>
      </c>
      <c r="Z20" s="71">
        <f>DA20+DC20+DE20</f>
        <v>0</v>
      </c>
      <c r="AA20" s="71">
        <f>CW20</f>
        <v>0</v>
      </c>
      <c r="AB20" s="71"/>
      <c r="AC20" s="71">
        <v>0</v>
      </c>
      <c r="AD20" s="71">
        <f>W20+X20+Y20+Z20+AA20+AB20+AC20</f>
        <v>0</v>
      </c>
      <c r="AE20" s="72">
        <v>0</v>
      </c>
      <c r="AF20" s="5"/>
      <c r="AG20" s="6"/>
      <c r="AH20" s="27" t="s">
        <v>3392</v>
      </c>
      <c r="AI20" s="44" t="s">
        <v>3393</v>
      </c>
      <c r="AJ20" s="26"/>
      <c r="AK20" s="5"/>
      <c r="AL20" s="82" t="s">
        <v>2874</v>
      </c>
      <c r="AM20" s="76"/>
      <c r="AN20" s="76"/>
      <c r="AO20" s="76"/>
      <c r="AP20" s="76"/>
      <c r="AQ20" s="76"/>
      <c r="AR20" s="76"/>
      <c r="AS20" s="76"/>
      <c r="AT20" s="76"/>
      <c r="AU20" s="76"/>
      <c r="AV20" s="76"/>
      <c r="AW20" s="76"/>
      <c r="AX20" s="76">
        <f>+AW20*600000</f>
        <v>0</v>
      </c>
      <c r="AY20" s="76"/>
      <c r="AZ20" s="76">
        <f>+AY20*70000</f>
        <v>0</v>
      </c>
      <c r="BA20" s="76"/>
      <c r="BB20" s="76"/>
      <c r="BC20" s="76"/>
      <c r="BD20" s="76">
        <f>+BC20*30000</f>
        <v>0</v>
      </c>
      <c r="BE20" s="76"/>
      <c r="BF20" s="76"/>
      <c r="BG20" s="76"/>
      <c r="BH20" s="76"/>
      <c r="BI20" s="76"/>
      <c r="BJ20" s="76"/>
      <c r="BK20" s="76"/>
      <c r="BL20" s="76">
        <f>+BK20*31500</f>
        <v>0</v>
      </c>
      <c r="BM20" s="76"/>
      <c r="BN20" s="76"/>
      <c r="BO20" s="76"/>
      <c r="BP20" s="76"/>
      <c r="BQ20" s="76"/>
      <c r="BR20" s="76"/>
      <c r="BS20" s="76"/>
      <c r="BT20" s="76"/>
      <c r="BU20" s="76"/>
      <c r="BV20" s="76"/>
      <c r="BW20" s="76"/>
      <c r="BX20" s="76"/>
      <c r="BY20" s="76"/>
      <c r="BZ20" s="76"/>
      <c r="CA20" s="76"/>
      <c r="CB20" s="76"/>
      <c r="CC20" s="76"/>
      <c r="CD20" s="76"/>
      <c r="CE20" s="76"/>
      <c r="CF20" s="76">
        <f>+CE20*28000</f>
        <v>0</v>
      </c>
      <c r="CG20" s="76"/>
      <c r="CH20" s="76">
        <f>+CG20*22500</f>
        <v>0</v>
      </c>
      <c r="CI20" s="76"/>
      <c r="CJ20" s="76">
        <f>+CI20*26000</f>
        <v>0</v>
      </c>
      <c r="CK20" s="76"/>
      <c r="CL20" s="76"/>
      <c r="CM20" s="76"/>
      <c r="CN20" s="76">
        <f>+CM20*22000</f>
        <v>0</v>
      </c>
      <c r="CO20" s="76"/>
      <c r="CP20" s="76">
        <f>+CO20*46000</f>
        <v>0</v>
      </c>
      <c r="CQ20" s="76"/>
      <c r="CR20" s="76">
        <f>+CQ20*49000</f>
        <v>0</v>
      </c>
      <c r="CS20" s="76"/>
      <c r="CT20" s="76"/>
      <c r="CU20" s="56">
        <f>AN20+AP20+AR20+AT20+AV20+AX20+AZ20+BB20+BD20+BF20+BH20+BJ20+BL20+BN20+BP20+BR20+BT20+BV20+BX20+BZ20+CB20+CD20+CF20+CH20+CJ20+CL20+CN20+CP20+CR20+CT20</f>
        <v>0</v>
      </c>
      <c r="CV20" s="76"/>
      <c r="CW20" s="76">
        <f>+CV20*1100</f>
        <v>0</v>
      </c>
      <c r="CX20" s="76"/>
      <c r="CY20" s="76">
        <f>+CX20*106250</f>
        <v>0</v>
      </c>
      <c r="CZ20" s="76"/>
      <c r="DA20" s="76">
        <f>+CZ20*34500</f>
        <v>0</v>
      </c>
      <c r="DB20" s="76"/>
      <c r="DC20" s="76">
        <f>+DB20*25000</f>
        <v>0</v>
      </c>
      <c r="DD20" s="219"/>
      <c r="DE20" s="219"/>
      <c r="DF20" s="164"/>
      <c r="DG20" s="116"/>
      <c r="DH20" s="117"/>
      <c r="DI20" s="24"/>
      <c r="DJ20" s="24"/>
      <c r="DK20" s="24"/>
      <c r="DL20" s="24"/>
      <c r="DM20" s="24"/>
      <c r="DN20" s="24"/>
      <c r="DO20" s="24"/>
      <c r="DP20" s="24"/>
      <c r="DQ20" s="24"/>
      <c r="DR20" s="24"/>
      <c r="DS20" s="24"/>
      <c r="DT20" s="24"/>
      <c r="DU20" s="24"/>
    </row>
    <row r="21" spans="1:125" s="8" customFormat="1" ht="168" x14ac:dyDescent="0.2">
      <c r="A21" s="77">
        <v>41277</v>
      </c>
      <c r="B21" s="78" t="s">
        <v>2772</v>
      </c>
      <c r="C21" s="78" t="s">
        <v>1376</v>
      </c>
      <c r="D21" s="81" t="s">
        <v>2846</v>
      </c>
      <c r="E21" s="75" t="str">
        <f>VLOOKUP(B21&amp;C21,Divipola!$C$2:$F$1138,4,FALSE)</f>
        <v>25126</v>
      </c>
      <c r="F21" s="87"/>
      <c r="G21" s="87"/>
      <c r="H21" s="87"/>
      <c r="I21" s="87"/>
      <c r="J21" s="87"/>
      <c r="K21" s="87"/>
      <c r="L21" s="87"/>
      <c r="M21" s="87"/>
      <c r="N21" s="87"/>
      <c r="O21" s="87"/>
      <c r="P21" s="87"/>
      <c r="Q21" s="87"/>
      <c r="R21" s="87"/>
      <c r="S21" s="87"/>
      <c r="T21" s="87"/>
      <c r="U21" s="127">
        <v>12</v>
      </c>
      <c r="V21" s="89"/>
      <c r="W21" s="96">
        <v>0</v>
      </c>
      <c r="X21" s="71">
        <f>CU21</f>
        <v>0</v>
      </c>
      <c r="Y21" s="71">
        <f>CY21</f>
        <v>0</v>
      </c>
      <c r="Z21" s="71">
        <f>DA21+DC21+DE21</f>
        <v>0</v>
      </c>
      <c r="AA21" s="71">
        <f>CW21</f>
        <v>0</v>
      </c>
      <c r="AB21" s="71"/>
      <c r="AC21" s="71">
        <v>0</v>
      </c>
      <c r="AD21" s="71">
        <f>W21+X21+Y21+Z21+AA21+AB21+AC21</f>
        <v>0</v>
      </c>
      <c r="AE21" s="72">
        <v>0</v>
      </c>
      <c r="AF21" s="5"/>
      <c r="AG21" s="6"/>
      <c r="AH21" s="27" t="s">
        <v>3390</v>
      </c>
      <c r="AI21" s="44" t="s">
        <v>3391</v>
      </c>
      <c r="AJ21" s="26"/>
      <c r="AK21" s="5" t="s">
        <v>3397</v>
      </c>
      <c r="AL21" s="82" t="s">
        <v>2873</v>
      </c>
      <c r="AM21" s="76"/>
      <c r="AN21" s="76"/>
      <c r="AO21" s="76"/>
      <c r="AP21" s="76"/>
      <c r="AQ21" s="76"/>
      <c r="AR21" s="76"/>
      <c r="AS21" s="76"/>
      <c r="AT21" s="76"/>
      <c r="AU21" s="76"/>
      <c r="AV21" s="76"/>
      <c r="AW21" s="76"/>
      <c r="AX21" s="76">
        <f>+AW21*600000</f>
        <v>0</v>
      </c>
      <c r="AY21" s="76"/>
      <c r="AZ21" s="76">
        <f>+AY21*70000</f>
        <v>0</v>
      </c>
      <c r="BA21" s="76"/>
      <c r="BB21" s="76"/>
      <c r="BC21" s="76"/>
      <c r="BD21" s="76">
        <f>+BC21*30000</f>
        <v>0</v>
      </c>
      <c r="BE21" s="76"/>
      <c r="BF21" s="76"/>
      <c r="BG21" s="76"/>
      <c r="BH21" s="76"/>
      <c r="BI21" s="76"/>
      <c r="BJ21" s="76"/>
      <c r="BK21" s="76"/>
      <c r="BL21" s="76">
        <f>+BK21*31500</f>
        <v>0</v>
      </c>
      <c r="BM21" s="76"/>
      <c r="BN21" s="76"/>
      <c r="BO21" s="76"/>
      <c r="BP21" s="76"/>
      <c r="BQ21" s="76"/>
      <c r="BR21" s="76"/>
      <c r="BS21" s="76"/>
      <c r="BT21" s="76"/>
      <c r="BU21" s="76"/>
      <c r="BV21" s="76"/>
      <c r="BW21" s="76"/>
      <c r="BX21" s="76"/>
      <c r="BY21" s="76"/>
      <c r="BZ21" s="76"/>
      <c r="CA21" s="76"/>
      <c r="CB21" s="76"/>
      <c r="CC21" s="76"/>
      <c r="CD21" s="76"/>
      <c r="CE21" s="76"/>
      <c r="CF21" s="76">
        <f>+CE21*28000</f>
        <v>0</v>
      </c>
      <c r="CG21" s="76"/>
      <c r="CH21" s="76">
        <f>+CG21*22500</f>
        <v>0</v>
      </c>
      <c r="CI21" s="76"/>
      <c r="CJ21" s="76">
        <f>+CI21*26000</f>
        <v>0</v>
      </c>
      <c r="CK21" s="76"/>
      <c r="CL21" s="76"/>
      <c r="CM21" s="76"/>
      <c r="CN21" s="76">
        <f>+CM21*22000</f>
        <v>0</v>
      </c>
      <c r="CO21" s="76"/>
      <c r="CP21" s="76">
        <f>+CO21*46000</f>
        <v>0</v>
      </c>
      <c r="CQ21" s="76"/>
      <c r="CR21" s="76">
        <f>+CQ21*49000</f>
        <v>0</v>
      </c>
      <c r="CS21" s="76"/>
      <c r="CT21" s="76"/>
      <c r="CU21" s="56">
        <f>AN21+AP21+AR21+AT21+AV21+AX21+AZ21+BB21+BD21+BF21+BH21+BJ21+BL21+BN21+BP21+BR21+BT21+BV21+BX21+BZ21+CB21+CD21+CF21+CH21+CJ21+CL21+CN21+CP21+CR21+CT21</f>
        <v>0</v>
      </c>
      <c r="CV21" s="76"/>
      <c r="CW21" s="76">
        <f>+CV21*1100</f>
        <v>0</v>
      </c>
      <c r="CX21" s="76"/>
      <c r="CY21" s="76">
        <f>+CX21*106250</f>
        <v>0</v>
      </c>
      <c r="CZ21" s="76"/>
      <c r="DA21" s="76">
        <f>+CZ21*34500</f>
        <v>0</v>
      </c>
      <c r="DB21" s="76"/>
      <c r="DC21" s="76">
        <f>+DB21*25000</f>
        <v>0</v>
      </c>
      <c r="DD21" s="219"/>
      <c r="DE21" s="219"/>
      <c r="DF21" s="164"/>
      <c r="DG21" s="116"/>
      <c r="DH21" s="117"/>
      <c r="DI21" s="24"/>
      <c r="DJ21" s="24"/>
      <c r="DK21" s="24"/>
      <c r="DL21" s="24"/>
      <c r="DM21" s="24"/>
      <c r="DN21" s="24"/>
      <c r="DO21" s="24"/>
      <c r="DP21" s="24"/>
      <c r="DQ21" s="24"/>
      <c r="DR21" s="24"/>
      <c r="DS21" s="24"/>
      <c r="DT21" s="24"/>
      <c r="DU21" s="24"/>
    </row>
    <row r="22" spans="1:125" s="8" customFormat="1" ht="84" x14ac:dyDescent="0.2">
      <c r="A22" s="85">
        <v>41277</v>
      </c>
      <c r="B22" s="80" t="s">
        <v>2772</v>
      </c>
      <c r="C22" s="81" t="s">
        <v>2167</v>
      </c>
      <c r="D22" s="81" t="s">
        <v>2846</v>
      </c>
      <c r="E22" s="75" t="str">
        <f>VLOOKUP(B22&amp;C22,Divipola!$C$2:$F$1138,4,FALSE)</f>
        <v>25377</v>
      </c>
      <c r="F22" s="87"/>
      <c r="G22" s="87"/>
      <c r="H22" s="87"/>
      <c r="I22" s="87"/>
      <c r="J22" s="87"/>
      <c r="K22" s="87"/>
      <c r="L22" s="87"/>
      <c r="M22" s="87"/>
      <c r="N22" s="87"/>
      <c r="O22" s="87"/>
      <c r="P22" s="87"/>
      <c r="Q22" s="87"/>
      <c r="R22" s="87"/>
      <c r="S22" s="87"/>
      <c r="T22" s="87"/>
      <c r="U22" s="127">
        <v>4</v>
      </c>
      <c r="V22" s="89"/>
      <c r="W22" s="96">
        <v>0</v>
      </c>
      <c r="X22" s="71">
        <f>CU22</f>
        <v>0</v>
      </c>
      <c r="Y22" s="71">
        <f>CY22</f>
        <v>0</v>
      </c>
      <c r="Z22" s="71">
        <f>DA22+DC22+DE22</f>
        <v>0</v>
      </c>
      <c r="AA22" s="71">
        <f>CW22</f>
        <v>0</v>
      </c>
      <c r="AB22" s="71"/>
      <c r="AC22" s="71">
        <v>0</v>
      </c>
      <c r="AD22" s="71">
        <f>W22+X22+Y22+Z22+AA22+AB22+AC22</f>
        <v>0</v>
      </c>
      <c r="AE22" s="72">
        <v>0</v>
      </c>
      <c r="AF22" s="5"/>
      <c r="AG22" s="6"/>
      <c r="AH22" s="27" t="s">
        <v>3392</v>
      </c>
      <c r="AI22" s="44" t="s">
        <v>3393</v>
      </c>
      <c r="AJ22" s="26"/>
      <c r="AK22" s="5"/>
      <c r="AL22" s="82" t="s">
        <v>2878</v>
      </c>
      <c r="AM22" s="76"/>
      <c r="AN22" s="76"/>
      <c r="AO22" s="76"/>
      <c r="AP22" s="76"/>
      <c r="AQ22" s="76"/>
      <c r="AR22" s="76"/>
      <c r="AS22" s="76"/>
      <c r="AT22" s="76"/>
      <c r="AU22" s="76"/>
      <c r="AV22" s="76"/>
      <c r="AW22" s="76"/>
      <c r="AX22" s="76">
        <f>+AW22*600000</f>
        <v>0</v>
      </c>
      <c r="AY22" s="76"/>
      <c r="AZ22" s="76">
        <f>+AY22*70000</f>
        <v>0</v>
      </c>
      <c r="BA22" s="76"/>
      <c r="BB22" s="76"/>
      <c r="BC22" s="76"/>
      <c r="BD22" s="76">
        <f>+BC22*30000</f>
        <v>0</v>
      </c>
      <c r="BE22" s="76"/>
      <c r="BF22" s="76"/>
      <c r="BG22" s="76"/>
      <c r="BH22" s="76"/>
      <c r="BI22" s="76"/>
      <c r="BJ22" s="76"/>
      <c r="BK22" s="76"/>
      <c r="BL22" s="76">
        <f>+BK22*31500</f>
        <v>0</v>
      </c>
      <c r="BM22" s="76"/>
      <c r="BN22" s="76"/>
      <c r="BO22" s="76"/>
      <c r="BP22" s="76"/>
      <c r="BQ22" s="76"/>
      <c r="BR22" s="76"/>
      <c r="BS22" s="76"/>
      <c r="BT22" s="76"/>
      <c r="BU22" s="76"/>
      <c r="BV22" s="76"/>
      <c r="BW22" s="76"/>
      <c r="BX22" s="76"/>
      <c r="BY22" s="76"/>
      <c r="BZ22" s="76"/>
      <c r="CA22" s="76"/>
      <c r="CB22" s="76"/>
      <c r="CC22" s="76"/>
      <c r="CD22" s="76"/>
      <c r="CE22" s="76"/>
      <c r="CF22" s="76">
        <f>+CE22*28000</f>
        <v>0</v>
      </c>
      <c r="CG22" s="76"/>
      <c r="CH22" s="76">
        <f>+CG22*22500</f>
        <v>0</v>
      </c>
      <c r="CI22" s="76"/>
      <c r="CJ22" s="76">
        <f>+CI22*26000</f>
        <v>0</v>
      </c>
      <c r="CK22" s="76"/>
      <c r="CL22" s="76"/>
      <c r="CM22" s="76"/>
      <c r="CN22" s="76">
        <f>+CM22*22000</f>
        <v>0</v>
      </c>
      <c r="CO22" s="76"/>
      <c r="CP22" s="76">
        <f>+CO22*46000</f>
        <v>0</v>
      </c>
      <c r="CQ22" s="76"/>
      <c r="CR22" s="76">
        <f>+CQ22*49000</f>
        <v>0</v>
      </c>
      <c r="CS22" s="76"/>
      <c r="CT22" s="76"/>
      <c r="CU22" s="56">
        <f>AN22+AP22+AR22+AT22+AV22+AX22+AZ22+BB22+BD22+BF22+BH22+BJ22+BL22+BN22+BP22+BR22+BT22+BV22+BX22+BZ22+CB22+CD22+CF22+CH22+CJ22+CL22+CN22+CP22+CR22+CT22</f>
        <v>0</v>
      </c>
      <c r="CV22" s="76"/>
      <c r="CW22" s="76">
        <f>+CV22*1100</f>
        <v>0</v>
      </c>
      <c r="CX22" s="76"/>
      <c r="CY22" s="76">
        <f>+CX22*106250</f>
        <v>0</v>
      </c>
      <c r="CZ22" s="76"/>
      <c r="DA22" s="76">
        <f>+CZ22*34500</f>
        <v>0</v>
      </c>
      <c r="DB22" s="76"/>
      <c r="DC22" s="76">
        <f>+DB22*25000</f>
        <v>0</v>
      </c>
      <c r="DD22" s="219"/>
      <c r="DE22" s="219"/>
      <c r="DF22" s="164"/>
      <c r="DG22" s="116"/>
      <c r="DH22" s="117"/>
      <c r="DI22" s="24"/>
      <c r="DJ22" s="24"/>
      <c r="DK22" s="24"/>
      <c r="DL22" s="24"/>
      <c r="DM22" s="24"/>
      <c r="DN22" s="24"/>
      <c r="DO22" s="24"/>
      <c r="DP22" s="24"/>
      <c r="DQ22" s="24"/>
      <c r="DR22" s="24"/>
      <c r="DS22" s="24"/>
      <c r="DT22" s="24"/>
      <c r="DU22" s="24"/>
    </row>
    <row r="23" spans="1:125" s="8" customFormat="1" ht="84" x14ac:dyDescent="0.2">
      <c r="A23" s="85">
        <v>41277</v>
      </c>
      <c r="B23" s="80" t="s">
        <v>2860</v>
      </c>
      <c r="C23" s="81" t="s">
        <v>2776</v>
      </c>
      <c r="D23" s="81" t="s">
        <v>2875</v>
      </c>
      <c r="E23" s="75" t="str">
        <f>VLOOKUP(B23&amp;C23,Divipola!$C$2:$F$1138,4,FALSE)</f>
        <v>63001</v>
      </c>
      <c r="F23" s="87"/>
      <c r="G23" s="87"/>
      <c r="H23" s="87"/>
      <c r="I23" s="87">
        <v>30</v>
      </c>
      <c r="J23" s="87">
        <v>6</v>
      </c>
      <c r="K23" s="87"/>
      <c r="L23" s="87">
        <v>6</v>
      </c>
      <c r="M23" s="87"/>
      <c r="N23" s="87"/>
      <c r="O23" s="87"/>
      <c r="P23" s="87"/>
      <c r="Q23" s="87"/>
      <c r="R23" s="87"/>
      <c r="S23" s="87"/>
      <c r="T23" s="87"/>
      <c r="U23" s="127"/>
      <c r="V23" s="89"/>
      <c r="W23" s="96">
        <v>0</v>
      </c>
      <c r="X23" s="71">
        <f>CU23</f>
        <v>0</v>
      </c>
      <c r="Y23" s="71">
        <f>CY23</f>
        <v>0</v>
      </c>
      <c r="Z23" s="71">
        <f>DA23+DC23+DE23</f>
        <v>0</v>
      </c>
      <c r="AA23" s="71">
        <f>CW23</f>
        <v>0</v>
      </c>
      <c r="AB23" s="71"/>
      <c r="AC23" s="71">
        <v>0</v>
      </c>
      <c r="AD23" s="71">
        <f>W23+X23+Y23+Z23+AA23+AB23+AC23</f>
        <v>0</v>
      </c>
      <c r="AE23" s="72">
        <v>0</v>
      </c>
      <c r="AF23" s="5"/>
      <c r="AG23" s="6"/>
      <c r="AH23" s="27" t="s">
        <v>3390</v>
      </c>
      <c r="AI23" s="44" t="s">
        <v>3391</v>
      </c>
      <c r="AJ23" s="26"/>
      <c r="AK23" s="5" t="s">
        <v>3480</v>
      </c>
      <c r="AL23" s="82" t="s">
        <v>2877</v>
      </c>
      <c r="AM23" s="76"/>
      <c r="AN23" s="76"/>
      <c r="AO23" s="76"/>
      <c r="AP23" s="76"/>
      <c r="AQ23" s="76"/>
      <c r="AR23" s="76"/>
      <c r="AS23" s="76"/>
      <c r="AT23" s="76"/>
      <c r="AU23" s="76"/>
      <c r="AV23" s="76"/>
      <c r="AW23" s="76"/>
      <c r="AX23" s="76">
        <f>+AW23*600000</f>
        <v>0</v>
      </c>
      <c r="AY23" s="76"/>
      <c r="AZ23" s="76">
        <f>+AY23*70000</f>
        <v>0</v>
      </c>
      <c r="BA23" s="76"/>
      <c r="BB23" s="76"/>
      <c r="BC23" s="76"/>
      <c r="BD23" s="76">
        <f>+BC23*30000</f>
        <v>0</v>
      </c>
      <c r="BE23" s="76"/>
      <c r="BF23" s="76"/>
      <c r="BG23" s="76"/>
      <c r="BH23" s="76"/>
      <c r="BI23" s="76"/>
      <c r="BJ23" s="76"/>
      <c r="BK23" s="76"/>
      <c r="BL23" s="76">
        <f>+BK23*31500</f>
        <v>0</v>
      </c>
      <c r="BM23" s="76"/>
      <c r="BN23" s="76"/>
      <c r="BO23" s="76"/>
      <c r="BP23" s="76"/>
      <c r="BQ23" s="76"/>
      <c r="BR23" s="76"/>
      <c r="BS23" s="76"/>
      <c r="BT23" s="76"/>
      <c r="BU23" s="76"/>
      <c r="BV23" s="76"/>
      <c r="BW23" s="76"/>
      <c r="BX23" s="76"/>
      <c r="BY23" s="76"/>
      <c r="BZ23" s="76"/>
      <c r="CA23" s="76"/>
      <c r="CB23" s="76"/>
      <c r="CC23" s="76"/>
      <c r="CD23" s="76"/>
      <c r="CE23" s="76"/>
      <c r="CF23" s="76">
        <f>+CE23*28000</f>
        <v>0</v>
      </c>
      <c r="CG23" s="76"/>
      <c r="CH23" s="76">
        <f>+CG23*22500</f>
        <v>0</v>
      </c>
      <c r="CI23" s="76"/>
      <c r="CJ23" s="76">
        <f>+CI23*26000</f>
        <v>0</v>
      </c>
      <c r="CK23" s="76"/>
      <c r="CL23" s="76"/>
      <c r="CM23" s="76"/>
      <c r="CN23" s="76">
        <f>+CM23*22000</f>
        <v>0</v>
      </c>
      <c r="CO23" s="76"/>
      <c r="CP23" s="76">
        <f>+CO23*46000</f>
        <v>0</v>
      </c>
      <c r="CQ23" s="76"/>
      <c r="CR23" s="76">
        <f>+CQ23*49000</f>
        <v>0</v>
      </c>
      <c r="CS23" s="76"/>
      <c r="CT23" s="76"/>
      <c r="CU23" s="56">
        <f>AN23+AP23+AR23+AT23+AV23+AX23+AZ23+BB23+BD23+BF23+BH23+BJ23+BL23+BN23+BP23+BR23+BT23+BV23+BX23+BZ23+CB23+CD23+CF23+CH23+CJ23+CL23+CN23+CP23+CR23+CT23</f>
        <v>0</v>
      </c>
      <c r="CV23" s="76"/>
      <c r="CW23" s="76">
        <f>+CV23*1100</f>
        <v>0</v>
      </c>
      <c r="CX23" s="76"/>
      <c r="CY23" s="76">
        <f>+CX23*106250</f>
        <v>0</v>
      </c>
      <c r="CZ23" s="76"/>
      <c r="DA23" s="76">
        <f>+CZ23*34500</f>
        <v>0</v>
      </c>
      <c r="DB23" s="76"/>
      <c r="DC23" s="76">
        <f>+DB23*25000</f>
        <v>0</v>
      </c>
      <c r="DD23" s="219"/>
      <c r="DE23" s="219"/>
      <c r="DF23" s="164"/>
      <c r="DG23" s="116"/>
      <c r="DH23" s="117"/>
      <c r="DI23" s="24"/>
      <c r="DJ23" s="24"/>
      <c r="DK23" s="24"/>
      <c r="DL23" s="24"/>
      <c r="DM23" s="24"/>
      <c r="DN23" s="24"/>
      <c r="DO23" s="24"/>
      <c r="DP23" s="24"/>
      <c r="DQ23" s="24"/>
      <c r="DR23" s="24"/>
      <c r="DS23" s="24"/>
      <c r="DT23" s="24"/>
      <c r="DU23" s="24"/>
    </row>
    <row r="24" spans="1:125" s="8" customFormat="1" ht="60" x14ac:dyDescent="0.2">
      <c r="A24" s="85">
        <v>41277</v>
      </c>
      <c r="B24" s="80" t="s">
        <v>2774</v>
      </c>
      <c r="C24" s="81" t="s">
        <v>2216</v>
      </c>
      <c r="D24" s="81" t="s">
        <v>2846</v>
      </c>
      <c r="E24" s="75" t="str">
        <f>VLOOKUP(B24&amp;C24,Divipola!$C$2:$F$1138,4,FALSE)</f>
        <v>66075</v>
      </c>
      <c r="F24" s="87"/>
      <c r="G24" s="87"/>
      <c r="H24" s="87"/>
      <c r="I24" s="87"/>
      <c r="J24" s="87"/>
      <c r="K24" s="87"/>
      <c r="L24" s="87"/>
      <c r="M24" s="87"/>
      <c r="N24" s="87"/>
      <c r="O24" s="87"/>
      <c r="P24" s="87"/>
      <c r="Q24" s="87"/>
      <c r="R24" s="87"/>
      <c r="S24" s="87"/>
      <c r="T24" s="87"/>
      <c r="U24" s="127">
        <v>1</v>
      </c>
      <c r="V24" s="89"/>
      <c r="W24" s="96">
        <v>0</v>
      </c>
      <c r="X24" s="71">
        <f>CU24</f>
        <v>0</v>
      </c>
      <c r="Y24" s="71">
        <f>CY24</f>
        <v>0</v>
      </c>
      <c r="Z24" s="71">
        <f>DA24+DC24+DE24</f>
        <v>0</v>
      </c>
      <c r="AA24" s="71">
        <f>CW24</f>
        <v>0</v>
      </c>
      <c r="AB24" s="71"/>
      <c r="AC24" s="71">
        <v>0</v>
      </c>
      <c r="AD24" s="71">
        <f>W24+X24+Y24+Z24+AA24+AB24+AC24</f>
        <v>0</v>
      </c>
      <c r="AE24" s="72">
        <v>0</v>
      </c>
      <c r="AF24" s="5"/>
      <c r="AG24" s="6"/>
      <c r="AH24" s="27" t="s">
        <v>3392</v>
      </c>
      <c r="AI24" s="44" t="s">
        <v>3393</v>
      </c>
      <c r="AJ24" s="26"/>
      <c r="AK24" s="5"/>
      <c r="AL24" s="82" t="s">
        <v>2879</v>
      </c>
      <c r="AM24" s="76"/>
      <c r="AN24" s="76"/>
      <c r="AO24" s="76"/>
      <c r="AP24" s="76"/>
      <c r="AQ24" s="76"/>
      <c r="AR24" s="76"/>
      <c r="AS24" s="76"/>
      <c r="AT24" s="76"/>
      <c r="AU24" s="76"/>
      <c r="AV24" s="76"/>
      <c r="AW24" s="76"/>
      <c r="AX24" s="76">
        <f>+AW24*600000</f>
        <v>0</v>
      </c>
      <c r="AY24" s="76"/>
      <c r="AZ24" s="76">
        <f>+AY24*70000</f>
        <v>0</v>
      </c>
      <c r="BA24" s="76"/>
      <c r="BB24" s="76"/>
      <c r="BC24" s="76"/>
      <c r="BD24" s="76">
        <f>+BC24*30000</f>
        <v>0</v>
      </c>
      <c r="BE24" s="76"/>
      <c r="BF24" s="76"/>
      <c r="BG24" s="76"/>
      <c r="BH24" s="76"/>
      <c r="BI24" s="76"/>
      <c r="BJ24" s="76"/>
      <c r="BK24" s="76"/>
      <c r="BL24" s="76">
        <f>+BK24*31500</f>
        <v>0</v>
      </c>
      <c r="BM24" s="76"/>
      <c r="BN24" s="76"/>
      <c r="BO24" s="76"/>
      <c r="BP24" s="76"/>
      <c r="BQ24" s="76"/>
      <c r="BR24" s="76"/>
      <c r="BS24" s="76"/>
      <c r="BT24" s="76"/>
      <c r="BU24" s="76"/>
      <c r="BV24" s="76"/>
      <c r="BW24" s="76"/>
      <c r="BX24" s="76"/>
      <c r="BY24" s="76"/>
      <c r="BZ24" s="76"/>
      <c r="CA24" s="76"/>
      <c r="CB24" s="76"/>
      <c r="CC24" s="76"/>
      <c r="CD24" s="76"/>
      <c r="CE24" s="76"/>
      <c r="CF24" s="76">
        <f>+CE24*28000</f>
        <v>0</v>
      </c>
      <c r="CG24" s="76"/>
      <c r="CH24" s="76">
        <f>+CG24*22500</f>
        <v>0</v>
      </c>
      <c r="CI24" s="76"/>
      <c r="CJ24" s="76">
        <f>+CI24*26000</f>
        <v>0</v>
      </c>
      <c r="CK24" s="76"/>
      <c r="CL24" s="76"/>
      <c r="CM24" s="76"/>
      <c r="CN24" s="76">
        <f>+CM24*22000</f>
        <v>0</v>
      </c>
      <c r="CO24" s="76"/>
      <c r="CP24" s="76">
        <f>+CO24*46000</f>
        <v>0</v>
      </c>
      <c r="CQ24" s="76"/>
      <c r="CR24" s="76">
        <f>+CQ24*49000</f>
        <v>0</v>
      </c>
      <c r="CS24" s="76"/>
      <c r="CT24" s="76"/>
      <c r="CU24" s="56">
        <f>AN24+AP24+AR24+AT24+AV24+AX24+AZ24+BB24+BD24+BF24+BH24+BJ24+BL24+BN24+BP24+BR24+BT24+BV24+BX24+BZ24+CB24+CD24+CF24+CH24+CJ24+CL24+CN24+CP24+CR24+CT24</f>
        <v>0</v>
      </c>
      <c r="CV24" s="76"/>
      <c r="CW24" s="76">
        <f>+CV24*1100</f>
        <v>0</v>
      </c>
      <c r="CX24" s="76"/>
      <c r="CY24" s="76">
        <f>+CX24*106250</f>
        <v>0</v>
      </c>
      <c r="CZ24" s="76"/>
      <c r="DA24" s="76">
        <f>+CZ24*34500</f>
        <v>0</v>
      </c>
      <c r="DB24" s="76"/>
      <c r="DC24" s="76">
        <f>+DB24*25000</f>
        <v>0</v>
      </c>
      <c r="DD24" s="219"/>
      <c r="DE24" s="219"/>
      <c r="DF24" s="164"/>
      <c r="DG24" s="116"/>
      <c r="DH24" s="117"/>
      <c r="DI24" s="24"/>
      <c r="DJ24" s="24"/>
      <c r="DK24" s="24"/>
      <c r="DL24" s="24"/>
      <c r="DM24" s="24"/>
      <c r="DN24" s="24"/>
      <c r="DO24" s="24"/>
      <c r="DP24" s="24"/>
      <c r="DQ24" s="24"/>
      <c r="DR24" s="24"/>
      <c r="DS24" s="24"/>
      <c r="DT24" s="24"/>
      <c r="DU24" s="24"/>
    </row>
    <row r="25" spans="1:125" s="8" customFormat="1" ht="84" x14ac:dyDescent="0.2">
      <c r="A25" s="77">
        <v>41277</v>
      </c>
      <c r="B25" s="80" t="s">
        <v>2774</v>
      </c>
      <c r="C25" s="81" t="s">
        <v>2069</v>
      </c>
      <c r="D25" s="81" t="s">
        <v>2846</v>
      </c>
      <c r="E25" s="75" t="str">
        <f>VLOOKUP(B25&amp;C25,Divipola!$C$2:$F$1138,4,FALSE)</f>
        <v>66088</v>
      </c>
      <c r="F25" s="87"/>
      <c r="G25" s="87"/>
      <c r="H25" s="87"/>
      <c r="I25" s="87"/>
      <c r="J25" s="87"/>
      <c r="K25" s="87"/>
      <c r="L25" s="87"/>
      <c r="M25" s="87"/>
      <c r="N25" s="87"/>
      <c r="O25" s="87"/>
      <c r="P25" s="87"/>
      <c r="Q25" s="87"/>
      <c r="R25" s="87"/>
      <c r="S25" s="87"/>
      <c r="T25" s="87"/>
      <c r="U25" s="127">
        <v>1</v>
      </c>
      <c r="V25" s="89"/>
      <c r="W25" s="96">
        <v>0</v>
      </c>
      <c r="X25" s="71">
        <f>CU25</f>
        <v>0</v>
      </c>
      <c r="Y25" s="71">
        <f>CY25</f>
        <v>0</v>
      </c>
      <c r="Z25" s="71">
        <f>DA25+DC25+DE25</f>
        <v>0</v>
      </c>
      <c r="AA25" s="71">
        <f>CW25</f>
        <v>0</v>
      </c>
      <c r="AB25" s="71"/>
      <c r="AC25" s="71">
        <v>0</v>
      </c>
      <c r="AD25" s="71">
        <f>W25+X25+Y25+Z25+AA25+AB25+AC25</f>
        <v>0</v>
      </c>
      <c r="AE25" s="72">
        <v>0</v>
      </c>
      <c r="AF25" s="5"/>
      <c r="AG25" s="6"/>
      <c r="AH25" s="27" t="s">
        <v>3392</v>
      </c>
      <c r="AI25" s="44" t="s">
        <v>3393</v>
      </c>
      <c r="AJ25" s="26"/>
      <c r="AK25" s="5"/>
      <c r="AL25" s="82" t="s">
        <v>2902</v>
      </c>
      <c r="AM25" s="76"/>
      <c r="AN25" s="76"/>
      <c r="AO25" s="76"/>
      <c r="AP25" s="76"/>
      <c r="AQ25" s="76"/>
      <c r="AR25" s="76"/>
      <c r="AS25" s="76"/>
      <c r="AT25" s="76"/>
      <c r="AU25" s="76"/>
      <c r="AV25" s="76"/>
      <c r="AW25" s="76"/>
      <c r="AX25" s="76">
        <f>+AW25*600000</f>
        <v>0</v>
      </c>
      <c r="AY25" s="76"/>
      <c r="AZ25" s="76">
        <f>+AY25*70000</f>
        <v>0</v>
      </c>
      <c r="BA25" s="76"/>
      <c r="BB25" s="76"/>
      <c r="BC25" s="76"/>
      <c r="BD25" s="76">
        <f>+BC25*30000</f>
        <v>0</v>
      </c>
      <c r="BE25" s="76"/>
      <c r="BF25" s="76"/>
      <c r="BG25" s="76"/>
      <c r="BH25" s="76"/>
      <c r="BI25" s="76"/>
      <c r="BJ25" s="76"/>
      <c r="BK25" s="76"/>
      <c r="BL25" s="76">
        <f>+BK25*31500</f>
        <v>0</v>
      </c>
      <c r="BM25" s="76"/>
      <c r="BN25" s="76"/>
      <c r="BO25" s="76"/>
      <c r="BP25" s="76"/>
      <c r="BQ25" s="76"/>
      <c r="BR25" s="76"/>
      <c r="BS25" s="76"/>
      <c r="BT25" s="76"/>
      <c r="BU25" s="76"/>
      <c r="BV25" s="76"/>
      <c r="BW25" s="76"/>
      <c r="BX25" s="76"/>
      <c r="BY25" s="76"/>
      <c r="BZ25" s="76"/>
      <c r="CA25" s="76"/>
      <c r="CB25" s="76"/>
      <c r="CC25" s="76"/>
      <c r="CD25" s="76"/>
      <c r="CE25" s="76"/>
      <c r="CF25" s="76">
        <f>+CE25*28000</f>
        <v>0</v>
      </c>
      <c r="CG25" s="76"/>
      <c r="CH25" s="76">
        <f>+CG25*22500</f>
        <v>0</v>
      </c>
      <c r="CI25" s="76"/>
      <c r="CJ25" s="76">
        <f>+CI25*26000</f>
        <v>0</v>
      </c>
      <c r="CK25" s="76"/>
      <c r="CL25" s="76"/>
      <c r="CM25" s="76"/>
      <c r="CN25" s="76">
        <f>+CM25*22000</f>
        <v>0</v>
      </c>
      <c r="CO25" s="76"/>
      <c r="CP25" s="76">
        <f>+CO25*46000</f>
        <v>0</v>
      </c>
      <c r="CQ25" s="76"/>
      <c r="CR25" s="76">
        <f>+CQ25*49000</f>
        <v>0</v>
      </c>
      <c r="CS25" s="76"/>
      <c r="CT25" s="76"/>
      <c r="CU25" s="56">
        <f>AN25+AP25+AR25+AT25+AV25+AX25+AZ25+BB25+BD25+BF25+BH25+BJ25+BL25+BN25+BP25+BR25+BT25+BV25+BX25+BZ25+CB25+CD25+CF25+CH25+CJ25+CL25+CN25+CP25+CR25+CT25</f>
        <v>0</v>
      </c>
      <c r="CV25" s="76"/>
      <c r="CW25" s="76">
        <f>+CV25*1100</f>
        <v>0</v>
      </c>
      <c r="CX25" s="76"/>
      <c r="CY25" s="76">
        <f>+CX25*106250</f>
        <v>0</v>
      </c>
      <c r="CZ25" s="76"/>
      <c r="DA25" s="76">
        <f>+CZ25*34500</f>
        <v>0</v>
      </c>
      <c r="DB25" s="76"/>
      <c r="DC25" s="76">
        <f>+DB25*25000</f>
        <v>0</v>
      </c>
      <c r="DD25" s="219"/>
      <c r="DE25" s="219"/>
      <c r="DF25" s="164"/>
      <c r="DG25" s="116"/>
      <c r="DH25" s="117"/>
      <c r="DI25" s="24"/>
      <c r="DJ25" s="24"/>
      <c r="DK25" s="24"/>
      <c r="DL25" s="24"/>
      <c r="DM25" s="24"/>
      <c r="DN25" s="24"/>
      <c r="DO25" s="24"/>
      <c r="DP25" s="24"/>
      <c r="DQ25" s="24"/>
      <c r="DR25" s="24"/>
      <c r="DS25" s="24"/>
      <c r="DT25" s="24"/>
      <c r="DU25" s="24"/>
    </row>
    <row r="26" spans="1:125" s="8" customFormat="1" ht="60" x14ac:dyDescent="0.2">
      <c r="A26" s="77">
        <v>41277</v>
      </c>
      <c r="B26" s="80" t="s">
        <v>2851</v>
      </c>
      <c r="C26" s="81" t="s">
        <v>2122</v>
      </c>
      <c r="D26" s="81" t="s">
        <v>2882</v>
      </c>
      <c r="E26" s="75" t="str">
        <f>VLOOKUP(B26&amp;C26,Divipola!$C$2:$F$1138,4,FALSE)</f>
        <v>76147</v>
      </c>
      <c r="F26" s="87"/>
      <c r="G26" s="87"/>
      <c r="H26" s="87"/>
      <c r="I26" s="87">
        <f>23*5</f>
        <v>115</v>
      </c>
      <c r="J26" s="87">
        <v>23</v>
      </c>
      <c r="K26" s="87"/>
      <c r="L26" s="87">
        <v>23</v>
      </c>
      <c r="M26" s="87"/>
      <c r="N26" s="87"/>
      <c r="O26" s="87"/>
      <c r="P26" s="87"/>
      <c r="Q26" s="87"/>
      <c r="R26" s="87"/>
      <c r="S26" s="87"/>
      <c r="T26" s="87"/>
      <c r="U26" s="127"/>
      <c r="V26" s="89"/>
      <c r="W26" s="96">
        <v>0</v>
      </c>
      <c r="X26" s="71">
        <f>CU26</f>
        <v>4829933.76</v>
      </c>
      <c r="Y26" s="71">
        <f>CY26</f>
        <v>2419381.96</v>
      </c>
      <c r="Z26" s="71">
        <f>DA26+DC26+DE26</f>
        <v>14606627.199999999</v>
      </c>
      <c r="AA26" s="71">
        <f>CW26</f>
        <v>0</v>
      </c>
      <c r="AB26" s="71"/>
      <c r="AC26" s="71">
        <v>0</v>
      </c>
      <c r="AD26" s="71">
        <f>W26+X26+Y26+Z26+AA26+AB26+AC26</f>
        <v>21855942.919999998</v>
      </c>
      <c r="AE26" s="72">
        <v>0</v>
      </c>
      <c r="AF26" s="5"/>
      <c r="AG26" s="6"/>
      <c r="AH26" s="27" t="s">
        <v>3390</v>
      </c>
      <c r="AI26" s="44" t="s">
        <v>3391</v>
      </c>
      <c r="AJ26" s="26"/>
      <c r="AK26" s="5"/>
      <c r="AL26" s="82" t="s">
        <v>2964</v>
      </c>
      <c r="AM26" s="76"/>
      <c r="AN26" s="76"/>
      <c r="AO26" s="76"/>
      <c r="AP26" s="76"/>
      <c r="AQ26" s="76"/>
      <c r="AR26" s="76"/>
      <c r="AS26" s="76"/>
      <c r="AT26" s="76"/>
      <c r="AU26" s="76"/>
      <c r="AV26" s="76"/>
      <c r="AW26" s="76"/>
      <c r="AX26" s="76">
        <f>+AW26*600000</f>
        <v>0</v>
      </c>
      <c r="AY26" s="86">
        <v>69</v>
      </c>
      <c r="AZ26" s="86">
        <f>+AY26*69999.04</f>
        <v>4829933.76</v>
      </c>
      <c r="BA26" s="76"/>
      <c r="BB26" s="76"/>
      <c r="BC26" s="76"/>
      <c r="BD26" s="76">
        <f>+BC26*30000</f>
        <v>0</v>
      </c>
      <c r="BE26" s="76"/>
      <c r="BF26" s="76"/>
      <c r="BG26" s="76"/>
      <c r="BH26" s="76"/>
      <c r="BI26" s="76"/>
      <c r="BJ26" s="76"/>
      <c r="BK26" s="76"/>
      <c r="BL26" s="76">
        <f>+BK26*31500</f>
        <v>0</v>
      </c>
      <c r="BM26" s="76"/>
      <c r="BN26" s="76"/>
      <c r="BO26" s="76"/>
      <c r="BP26" s="76"/>
      <c r="BQ26" s="76"/>
      <c r="BR26" s="76"/>
      <c r="BS26" s="76"/>
      <c r="BT26" s="76"/>
      <c r="BU26" s="76"/>
      <c r="BV26" s="76"/>
      <c r="BW26" s="76"/>
      <c r="BX26" s="76"/>
      <c r="BY26" s="76"/>
      <c r="BZ26" s="76"/>
      <c r="CA26" s="76"/>
      <c r="CB26" s="76"/>
      <c r="CC26" s="76"/>
      <c r="CD26" s="76"/>
      <c r="CE26" s="76"/>
      <c r="CF26" s="76">
        <f>+CE26*28000</f>
        <v>0</v>
      </c>
      <c r="CG26" s="76"/>
      <c r="CH26" s="76">
        <f>+CG26*22500</f>
        <v>0</v>
      </c>
      <c r="CI26" s="76"/>
      <c r="CJ26" s="76">
        <f>+CI26*26000</f>
        <v>0</v>
      </c>
      <c r="CK26" s="76"/>
      <c r="CL26" s="76"/>
      <c r="CM26" s="76"/>
      <c r="CN26" s="76">
        <f>+CM26*22000</f>
        <v>0</v>
      </c>
      <c r="CO26" s="76"/>
      <c r="CP26" s="76">
        <f>+CO26*46000</f>
        <v>0</v>
      </c>
      <c r="CQ26" s="76"/>
      <c r="CR26" s="76">
        <f>+CQ26*49000</f>
        <v>0</v>
      </c>
      <c r="CS26" s="76"/>
      <c r="CT26" s="76"/>
      <c r="CU26" s="56">
        <f>AN26+AP26+AR26+AT26+AV26+AX26+AZ26+BB26+BD26+BF26+BH26+BJ26+BL26+BN26+BP26+BR26+BT26+BV26+BX26+BZ26+CB26+CD26+CF26+CH26+CJ26+CL26+CN26+CP26+CR26+CT26</f>
        <v>4829933.76</v>
      </c>
      <c r="CV26" s="76"/>
      <c r="CW26" s="76">
        <f>+CV26*1100</f>
        <v>0</v>
      </c>
      <c r="CX26" s="86">
        <v>23</v>
      </c>
      <c r="CY26" s="86">
        <f>+CX26*105190.52</f>
        <v>2419381.96</v>
      </c>
      <c r="CZ26" s="76"/>
      <c r="DA26" s="76">
        <f>+CZ26*34500</f>
        <v>0</v>
      </c>
      <c r="DB26" s="86">
        <v>440</v>
      </c>
      <c r="DC26" s="86">
        <f>+DB26*31999.76+2640*199.52</f>
        <v>14606627.199999999</v>
      </c>
      <c r="DD26" s="219"/>
      <c r="DE26" s="219"/>
      <c r="DF26" s="164"/>
      <c r="DG26" s="116"/>
      <c r="DH26" s="117"/>
      <c r="DI26" s="24"/>
      <c r="DJ26" s="24"/>
      <c r="DK26" s="24"/>
      <c r="DL26" s="24"/>
      <c r="DM26" s="24"/>
      <c r="DN26" s="24"/>
      <c r="DO26" s="24"/>
      <c r="DP26" s="24"/>
      <c r="DQ26" s="24"/>
      <c r="DR26" s="24"/>
      <c r="DS26" s="24"/>
      <c r="DT26" s="24"/>
      <c r="DU26" s="24"/>
    </row>
    <row r="27" spans="1:125" s="8" customFormat="1" ht="36" x14ac:dyDescent="0.2">
      <c r="A27" s="77">
        <v>41277</v>
      </c>
      <c r="B27" s="78" t="s">
        <v>2851</v>
      </c>
      <c r="C27" s="75" t="s">
        <v>2668</v>
      </c>
      <c r="D27" s="81" t="s">
        <v>2846</v>
      </c>
      <c r="E27" s="75" t="str">
        <f>VLOOKUP(B27&amp;C27,Divipola!$C$2:$F$1138,4,FALSE)</f>
        <v>76520</v>
      </c>
      <c r="F27" s="87"/>
      <c r="G27" s="87"/>
      <c r="H27" s="87"/>
      <c r="I27" s="87"/>
      <c r="J27" s="87"/>
      <c r="K27" s="87"/>
      <c r="L27" s="87"/>
      <c r="M27" s="87"/>
      <c r="N27" s="87"/>
      <c r="O27" s="87"/>
      <c r="P27" s="87"/>
      <c r="Q27" s="87"/>
      <c r="R27" s="87"/>
      <c r="S27" s="87"/>
      <c r="T27" s="87"/>
      <c r="U27" s="127"/>
      <c r="V27" s="89"/>
      <c r="W27" s="96">
        <v>0</v>
      </c>
      <c r="X27" s="71">
        <f>CU27</f>
        <v>0</v>
      </c>
      <c r="Y27" s="71">
        <f>CY27</f>
        <v>0</v>
      </c>
      <c r="Z27" s="71">
        <f>DA27+DC27+DE27</f>
        <v>0</v>
      </c>
      <c r="AA27" s="71">
        <f>CW27</f>
        <v>0</v>
      </c>
      <c r="AB27" s="71"/>
      <c r="AC27" s="71">
        <v>0</v>
      </c>
      <c r="AD27" s="71">
        <f>W27+X27+Y27+Z27+AA27+AB27+AC27</f>
        <v>0</v>
      </c>
      <c r="AE27" s="72">
        <v>0</v>
      </c>
      <c r="AF27" s="5"/>
      <c r="AG27" s="6"/>
      <c r="AH27" s="27" t="s">
        <v>3392</v>
      </c>
      <c r="AI27" s="44" t="s">
        <v>3393</v>
      </c>
      <c r="AJ27" s="26"/>
      <c r="AK27" s="5"/>
      <c r="AL27" s="82" t="s">
        <v>2876</v>
      </c>
      <c r="AM27" s="76"/>
      <c r="AN27" s="76"/>
      <c r="AO27" s="76"/>
      <c r="AP27" s="76"/>
      <c r="AQ27" s="76"/>
      <c r="AR27" s="76"/>
      <c r="AS27" s="76"/>
      <c r="AT27" s="76"/>
      <c r="AU27" s="76"/>
      <c r="AV27" s="76"/>
      <c r="AW27" s="76"/>
      <c r="AX27" s="76">
        <f>+AW27*600000</f>
        <v>0</v>
      </c>
      <c r="AY27" s="76"/>
      <c r="AZ27" s="76">
        <f>+AY27*70000</f>
        <v>0</v>
      </c>
      <c r="BA27" s="76"/>
      <c r="BB27" s="76"/>
      <c r="BC27" s="76"/>
      <c r="BD27" s="76">
        <f>+BC27*30000</f>
        <v>0</v>
      </c>
      <c r="BE27" s="76"/>
      <c r="BF27" s="76"/>
      <c r="BG27" s="76"/>
      <c r="BH27" s="76"/>
      <c r="BI27" s="76"/>
      <c r="BJ27" s="76"/>
      <c r="BK27" s="76"/>
      <c r="BL27" s="76">
        <f>+BK27*31500</f>
        <v>0</v>
      </c>
      <c r="BM27" s="76"/>
      <c r="BN27" s="76"/>
      <c r="BO27" s="76"/>
      <c r="BP27" s="76"/>
      <c r="BQ27" s="76"/>
      <c r="BR27" s="76"/>
      <c r="BS27" s="76"/>
      <c r="BT27" s="76"/>
      <c r="BU27" s="76"/>
      <c r="BV27" s="76"/>
      <c r="BW27" s="76"/>
      <c r="BX27" s="76"/>
      <c r="BY27" s="76"/>
      <c r="BZ27" s="76"/>
      <c r="CA27" s="76"/>
      <c r="CB27" s="76"/>
      <c r="CC27" s="76"/>
      <c r="CD27" s="76"/>
      <c r="CE27" s="76"/>
      <c r="CF27" s="76">
        <f>+CE27*28000</f>
        <v>0</v>
      </c>
      <c r="CG27" s="76"/>
      <c r="CH27" s="76">
        <f>+CG27*22500</f>
        <v>0</v>
      </c>
      <c r="CI27" s="76"/>
      <c r="CJ27" s="76">
        <f>+CI27*26000</f>
        <v>0</v>
      </c>
      <c r="CK27" s="76"/>
      <c r="CL27" s="76"/>
      <c r="CM27" s="76"/>
      <c r="CN27" s="76">
        <f>+CM27*22000</f>
        <v>0</v>
      </c>
      <c r="CO27" s="76"/>
      <c r="CP27" s="76">
        <f>+CO27*46000</f>
        <v>0</v>
      </c>
      <c r="CQ27" s="76"/>
      <c r="CR27" s="76">
        <f>+CQ27*49000</f>
        <v>0</v>
      </c>
      <c r="CS27" s="76"/>
      <c r="CT27" s="76"/>
      <c r="CU27" s="56">
        <f>AN27+AP27+AR27+AT27+AV27+AX27+AZ27+BB27+BD27+BF27+BH27+BJ27+BL27+BN27+BP27+BR27+BT27+BV27+BX27+BZ27+CB27+CD27+CF27+CH27+CJ27+CL27+CN27+CP27+CR27+CT27</f>
        <v>0</v>
      </c>
      <c r="CV27" s="76"/>
      <c r="CW27" s="76">
        <f>+CV27*1100</f>
        <v>0</v>
      </c>
      <c r="CX27" s="76"/>
      <c r="CY27" s="76">
        <f>+CX27*106250</f>
        <v>0</v>
      </c>
      <c r="CZ27" s="76"/>
      <c r="DA27" s="76">
        <f>+CZ27*34500</f>
        <v>0</v>
      </c>
      <c r="DB27" s="76"/>
      <c r="DC27" s="76">
        <f>+DB27*25000</f>
        <v>0</v>
      </c>
      <c r="DD27" s="219"/>
      <c r="DE27" s="219"/>
      <c r="DF27" s="164"/>
      <c r="DG27" s="116"/>
      <c r="DH27" s="117"/>
      <c r="DI27" s="24"/>
      <c r="DJ27" s="24"/>
      <c r="DK27" s="24"/>
      <c r="DL27" s="24"/>
      <c r="DM27" s="24"/>
      <c r="DN27" s="24"/>
      <c r="DO27" s="24"/>
      <c r="DP27" s="24"/>
      <c r="DQ27" s="24"/>
      <c r="DR27" s="24"/>
      <c r="DS27" s="24"/>
      <c r="DT27" s="24"/>
      <c r="DU27" s="24"/>
    </row>
    <row r="28" spans="1:125" s="8" customFormat="1" ht="48" x14ac:dyDescent="0.2">
      <c r="A28" s="77">
        <v>41278</v>
      </c>
      <c r="B28" s="80" t="s">
        <v>2881</v>
      </c>
      <c r="C28" s="81" t="s">
        <v>2767</v>
      </c>
      <c r="D28" s="81" t="s">
        <v>2846</v>
      </c>
      <c r="E28" s="75" t="str">
        <f>VLOOKUP(B28&amp;C28,Divipola!$C$2:$F$1138,4,FALSE)</f>
        <v>08001</v>
      </c>
      <c r="F28" s="87"/>
      <c r="G28" s="87"/>
      <c r="H28" s="87"/>
      <c r="I28" s="87"/>
      <c r="J28" s="87"/>
      <c r="K28" s="87"/>
      <c r="L28" s="87"/>
      <c r="M28" s="87"/>
      <c r="N28" s="87"/>
      <c r="O28" s="87"/>
      <c r="P28" s="87"/>
      <c r="Q28" s="87"/>
      <c r="R28" s="87"/>
      <c r="S28" s="87"/>
      <c r="T28" s="87"/>
      <c r="U28" s="127"/>
      <c r="V28" s="89"/>
      <c r="W28" s="96">
        <v>0</v>
      </c>
      <c r="X28" s="71">
        <f>CU28</f>
        <v>0</v>
      </c>
      <c r="Y28" s="71">
        <f>CY28</f>
        <v>0</v>
      </c>
      <c r="Z28" s="71">
        <f>DA28+DC28+DE28</f>
        <v>0</v>
      </c>
      <c r="AA28" s="71">
        <f>CW28</f>
        <v>0</v>
      </c>
      <c r="AB28" s="71"/>
      <c r="AC28" s="71">
        <v>0</v>
      </c>
      <c r="AD28" s="71">
        <f>W28+X28+Y28+Z28+AA28+AB28+AC28</f>
        <v>0</v>
      </c>
      <c r="AE28" s="72">
        <v>0</v>
      </c>
      <c r="AF28" s="5"/>
      <c r="AG28" s="6"/>
      <c r="AH28" s="27" t="s">
        <v>3390</v>
      </c>
      <c r="AI28" s="44" t="s">
        <v>3391</v>
      </c>
      <c r="AJ28" s="26"/>
      <c r="AK28" s="5" t="s">
        <v>3397</v>
      </c>
      <c r="AL28" s="82" t="s">
        <v>2884</v>
      </c>
      <c r="AM28" s="76"/>
      <c r="AN28" s="76"/>
      <c r="AO28" s="76"/>
      <c r="AP28" s="76"/>
      <c r="AQ28" s="76"/>
      <c r="AR28" s="76"/>
      <c r="AS28" s="76"/>
      <c r="AT28" s="76"/>
      <c r="AU28" s="76"/>
      <c r="AV28" s="76"/>
      <c r="AW28" s="76"/>
      <c r="AX28" s="76">
        <f>+AW28*600000</f>
        <v>0</v>
      </c>
      <c r="AY28" s="76"/>
      <c r="AZ28" s="76">
        <f>+AY28*70000</f>
        <v>0</v>
      </c>
      <c r="BA28" s="76"/>
      <c r="BB28" s="76"/>
      <c r="BC28" s="76"/>
      <c r="BD28" s="76">
        <f>+BC28*30000</f>
        <v>0</v>
      </c>
      <c r="BE28" s="76"/>
      <c r="BF28" s="76"/>
      <c r="BG28" s="76"/>
      <c r="BH28" s="76"/>
      <c r="BI28" s="76"/>
      <c r="BJ28" s="76"/>
      <c r="BK28" s="76"/>
      <c r="BL28" s="76">
        <f>+BK28*31500</f>
        <v>0</v>
      </c>
      <c r="BM28" s="76"/>
      <c r="BN28" s="76"/>
      <c r="BO28" s="76"/>
      <c r="BP28" s="76"/>
      <c r="BQ28" s="76"/>
      <c r="BR28" s="76"/>
      <c r="BS28" s="76"/>
      <c r="BT28" s="76"/>
      <c r="BU28" s="76"/>
      <c r="BV28" s="76"/>
      <c r="BW28" s="76"/>
      <c r="BX28" s="76"/>
      <c r="BY28" s="76"/>
      <c r="BZ28" s="76"/>
      <c r="CA28" s="76"/>
      <c r="CB28" s="76"/>
      <c r="CC28" s="76"/>
      <c r="CD28" s="76"/>
      <c r="CE28" s="76"/>
      <c r="CF28" s="76">
        <f>+CE28*28000</f>
        <v>0</v>
      </c>
      <c r="CG28" s="76"/>
      <c r="CH28" s="76">
        <f>+CG28*22500</f>
        <v>0</v>
      </c>
      <c r="CI28" s="76"/>
      <c r="CJ28" s="76">
        <f>+CI28*26000</f>
        <v>0</v>
      </c>
      <c r="CK28" s="76"/>
      <c r="CL28" s="76"/>
      <c r="CM28" s="76"/>
      <c r="CN28" s="76">
        <f>+CM28*22000</f>
        <v>0</v>
      </c>
      <c r="CO28" s="76"/>
      <c r="CP28" s="76">
        <f>+CO28*46000</f>
        <v>0</v>
      </c>
      <c r="CQ28" s="76"/>
      <c r="CR28" s="76">
        <f>+CQ28*49000</f>
        <v>0</v>
      </c>
      <c r="CS28" s="76"/>
      <c r="CT28" s="76"/>
      <c r="CU28" s="56">
        <f>AN28+AP28+AR28+AT28+AV28+AX28+AZ28+BB28+BD28+BF28+BH28+BJ28+BL28+BN28+BP28+BR28+BT28+BV28+BX28+BZ28+CB28+CD28+CF28+CH28+CJ28+CL28+CN28+CP28+CR28+CT28</f>
        <v>0</v>
      </c>
      <c r="CV28" s="76"/>
      <c r="CW28" s="76">
        <f>+CV28*1100</f>
        <v>0</v>
      </c>
      <c r="CX28" s="76"/>
      <c r="CY28" s="76">
        <f>+CX28*106250</f>
        <v>0</v>
      </c>
      <c r="CZ28" s="76"/>
      <c r="DA28" s="76">
        <f>+CZ28*34500</f>
        <v>0</v>
      </c>
      <c r="DB28" s="76"/>
      <c r="DC28" s="76">
        <f>+DB28*25000</f>
        <v>0</v>
      </c>
      <c r="DD28" s="219"/>
      <c r="DE28" s="219"/>
      <c r="DF28" s="164"/>
      <c r="DG28" s="116"/>
      <c r="DH28" s="117"/>
      <c r="DI28" s="24"/>
      <c r="DJ28" s="24"/>
      <c r="DK28" s="24"/>
      <c r="DL28" s="24"/>
      <c r="DM28" s="24"/>
      <c r="DN28" s="24"/>
      <c r="DO28" s="24"/>
      <c r="DP28" s="24"/>
      <c r="DQ28" s="24"/>
      <c r="DR28" s="24"/>
      <c r="DS28" s="24"/>
      <c r="DT28" s="24"/>
      <c r="DU28" s="24"/>
    </row>
    <row r="29" spans="1:125" s="8" customFormat="1" ht="60" x14ac:dyDescent="0.2">
      <c r="A29" s="77">
        <v>41278</v>
      </c>
      <c r="B29" s="80" t="s">
        <v>2881</v>
      </c>
      <c r="C29" s="81" t="s">
        <v>2547</v>
      </c>
      <c r="D29" s="81" t="s">
        <v>2882</v>
      </c>
      <c r="E29" s="75" t="str">
        <f>VLOOKUP(B29&amp;C29,Divipola!$C$2:$F$1138,4,FALSE)</f>
        <v>08638</v>
      </c>
      <c r="F29" s="87"/>
      <c r="G29" s="87"/>
      <c r="H29" s="87"/>
      <c r="I29" s="87">
        <v>10</v>
      </c>
      <c r="J29" s="87">
        <v>2</v>
      </c>
      <c r="K29" s="87"/>
      <c r="L29" s="87">
        <v>2</v>
      </c>
      <c r="M29" s="87"/>
      <c r="N29" s="87"/>
      <c r="O29" s="87"/>
      <c r="P29" s="87"/>
      <c r="Q29" s="87"/>
      <c r="R29" s="87"/>
      <c r="S29" s="87"/>
      <c r="T29" s="87"/>
      <c r="U29" s="127"/>
      <c r="V29" s="89"/>
      <c r="W29" s="96">
        <v>0</v>
      </c>
      <c r="X29" s="71">
        <f>CU29</f>
        <v>0</v>
      </c>
      <c r="Y29" s="71">
        <f>CY29</f>
        <v>0</v>
      </c>
      <c r="Z29" s="71">
        <f>DA29+DC29+DE29</f>
        <v>0</v>
      </c>
      <c r="AA29" s="71">
        <f>CW29</f>
        <v>0</v>
      </c>
      <c r="AB29" s="71"/>
      <c r="AC29" s="71">
        <v>0</v>
      </c>
      <c r="AD29" s="71">
        <f>W29+X29+Y29+Z29+AA29+AB29+AC29</f>
        <v>0</v>
      </c>
      <c r="AE29" s="72">
        <v>0</v>
      </c>
      <c r="AF29" s="5"/>
      <c r="AG29" s="6"/>
      <c r="AH29" s="27" t="s">
        <v>3392</v>
      </c>
      <c r="AI29" s="44" t="s">
        <v>3393</v>
      </c>
      <c r="AJ29" s="26"/>
      <c r="AK29" s="5"/>
      <c r="AL29" s="82" t="s">
        <v>2892</v>
      </c>
      <c r="AM29" s="76"/>
      <c r="AN29" s="76"/>
      <c r="AO29" s="76"/>
      <c r="AP29" s="76"/>
      <c r="AQ29" s="76"/>
      <c r="AR29" s="76"/>
      <c r="AS29" s="76"/>
      <c r="AT29" s="76"/>
      <c r="AU29" s="76"/>
      <c r="AV29" s="76"/>
      <c r="AW29" s="76"/>
      <c r="AX29" s="76">
        <f>+AW29*600000</f>
        <v>0</v>
      </c>
      <c r="AY29" s="76"/>
      <c r="AZ29" s="76">
        <f>+AY29*70000</f>
        <v>0</v>
      </c>
      <c r="BA29" s="76"/>
      <c r="BB29" s="76"/>
      <c r="BC29" s="76"/>
      <c r="BD29" s="76">
        <f>+BC29*30000</f>
        <v>0</v>
      </c>
      <c r="BE29" s="76"/>
      <c r="BF29" s="76"/>
      <c r="BG29" s="76"/>
      <c r="BH29" s="76"/>
      <c r="BI29" s="76"/>
      <c r="BJ29" s="76"/>
      <c r="BK29" s="76"/>
      <c r="BL29" s="76">
        <f>+BK29*31500</f>
        <v>0</v>
      </c>
      <c r="BM29" s="76"/>
      <c r="BN29" s="76"/>
      <c r="BO29" s="76"/>
      <c r="BP29" s="76"/>
      <c r="BQ29" s="76"/>
      <c r="BR29" s="76"/>
      <c r="BS29" s="76"/>
      <c r="BT29" s="76"/>
      <c r="BU29" s="76"/>
      <c r="BV29" s="76"/>
      <c r="BW29" s="76"/>
      <c r="BX29" s="76"/>
      <c r="BY29" s="76"/>
      <c r="BZ29" s="76"/>
      <c r="CA29" s="76"/>
      <c r="CB29" s="76"/>
      <c r="CC29" s="76"/>
      <c r="CD29" s="76"/>
      <c r="CE29" s="76"/>
      <c r="CF29" s="76">
        <f>+CE29*28000</f>
        <v>0</v>
      </c>
      <c r="CG29" s="76"/>
      <c r="CH29" s="76">
        <f>+CG29*22500</f>
        <v>0</v>
      </c>
      <c r="CI29" s="76"/>
      <c r="CJ29" s="76">
        <f>+CI29*26000</f>
        <v>0</v>
      </c>
      <c r="CK29" s="76"/>
      <c r="CL29" s="76"/>
      <c r="CM29" s="76"/>
      <c r="CN29" s="76">
        <f>+CM29*22000</f>
        <v>0</v>
      </c>
      <c r="CO29" s="76"/>
      <c r="CP29" s="76">
        <f>+CO29*46000</f>
        <v>0</v>
      </c>
      <c r="CQ29" s="76"/>
      <c r="CR29" s="76">
        <f>+CQ29*49000</f>
        <v>0</v>
      </c>
      <c r="CS29" s="76"/>
      <c r="CT29" s="76"/>
      <c r="CU29" s="56">
        <f>AN29+AP29+AR29+AT29+AV29+AX29+AZ29+BB29+BD29+BF29+BH29+BJ29+BL29+BN29+BP29+BR29+BT29+BV29+BX29+BZ29+CB29+CD29+CF29+CH29+CJ29+CL29+CN29+CP29+CR29+CT29</f>
        <v>0</v>
      </c>
      <c r="CV29" s="76"/>
      <c r="CW29" s="76">
        <f>+CV29*1100</f>
        <v>0</v>
      </c>
      <c r="CX29" s="76"/>
      <c r="CY29" s="76">
        <f>+CX29*106250</f>
        <v>0</v>
      </c>
      <c r="CZ29" s="76"/>
      <c r="DA29" s="76">
        <f>+CZ29*34500</f>
        <v>0</v>
      </c>
      <c r="DB29" s="76"/>
      <c r="DC29" s="76">
        <f>+DB29*25000</f>
        <v>0</v>
      </c>
      <c r="DD29" s="219"/>
      <c r="DE29" s="219"/>
      <c r="DF29" s="164"/>
      <c r="DG29" s="116"/>
      <c r="DH29" s="117"/>
      <c r="DI29" s="24"/>
      <c r="DJ29" s="24"/>
      <c r="DK29" s="24"/>
      <c r="DL29" s="24"/>
      <c r="DM29" s="24"/>
      <c r="DN29" s="24"/>
      <c r="DO29" s="24"/>
      <c r="DP29" s="24"/>
      <c r="DQ29" s="24"/>
      <c r="DR29" s="24"/>
      <c r="DS29" s="24"/>
      <c r="DT29" s="24"/>
      <c r="DU29" s="24"/>
    </row>
    <row r="30" spans="1:125" s="8" customFormat="1" ht="48" x14ac:dyDescent="0.2">
      <c r="A30" s="77">
        <v>41278</v>
      </c>
      <c r="B30" s="78" t="s">
        <v>2700</v>
      </c>
      <c r="C30" s="83" t="s">
        <v>539</v>
      </c>
      <c r="D30" s="81" t="s">
        <v>2846</v>
      </c>
      <c r="E30" s="75" t="str">
        <f>VLOOKUP(B30&amp;C30,Divipola!$C$2:$F$1138,4,FALSE)</f>
        <v>15325</v>
      </c>
      <c r="F30" s="87"/>
      <c r="G30" s="87"/>
      <c r="H30" s="87"/>
      <c r="I30" s="87"/>
      <c r="J30" s="87"/>
      <c r="K30" s="87"/>
      <c r="L30" s="87"/>
      <c r="M30" s="87"/>
      <c r="N30" s="87"/>
      <c r="O30" s="87"/>
      <c r="P30" s="87"/>
      <c r="Q30" s="87"/>
      <c r="R30" s="87"/>
      <c r="S30" s="87"/>
      <c r="T30" s="87"/>
      <c r="U30" s="127">
        <v>3</v>
      </c>
      <c r="V30" s="89"/>
      <c r="W30" s="96">
        <v>0</v>
      </c>
      <c r="X30" s="71">
        <f>CU30</f>
        <v>0</v>
      </c>
      <c r="Y30" s="71">
        <f>CY30</f>
        <v>0</v>
      </c>
      <c r="Z30" s="71">
        <f>DA30+DC30+DE30</f>
        <v>0</v>
      </c>
      <c r="AA30" s="71">
        <f>CW30</f>
        <v>0</v>
      </c>
      <c r="AB30" s="71"/>
      <c r="AC30" s="71">
        <v>0</v>
      </c>
      <c r="AD30" s="71">
        <f>W30+X30+Y30+Z30+AA30+AB30+AC30</f>
        <v>0</v>
      </c>
      <c r="AE30" s="72">
        <v>0</v>
      </c>
      <c r="AF30" s="5"/>
      <c r="AG30" s="6"/>
      <c r="AH30" s="27" t="s">
        <v>3392</v>
      </c>
      <c r="AI30" s="44" t="s">
        <v>3393</v>
      </c>
      <c r="AJ30" s="26"/>
      <c r="AK30" s="5"/>
      <c r="AL30" s="82" t="s">
        <v>2887</v>
      </c>
      <c r="AM30" s="76"/>
      <c r="AN30" s="76"/>
      <c r="AO30" s="76"/>
      <c r="AP30" s="76"/>
      <c r="AQ30" s="76"/>
      <c r="AR30" s="76"/>
      <c r="AS30" s="76"/>
      <c r="AT30" s="76"/>
      <c r="AU30" s="76"/>
      <c r="AV30" s="76"/>
      <c r="AW30" s="76"/>
      <c r="AX30" s="76">
        <f>+AW30*600000</f>
        <v>0</v>
      </c>
      <c r="AY30" s="76"/>
      <c r="AZ30" s="76">
        <f>+AY30*70000</f>
        <v>0</v>
      </c>
      <c r="BA30" s="76"/>
      <c r="BB30" s="76"/>
      <c r="BC30" s="76"/>
      <c r="BD30" s="76">
        <f>+BC30*30000</f>
        <v>0</v>
      </c>
      <c r="BE30" s="76"/>
      <c r="BF30" s="76"/>
      <c r="BG30" s="76"/>
      <c r="BH30" s="76"/>
      <c r="BI30" s="76"/>
      <c r="BJ30" s="76"/>
      <c r="BK30" s="76"/>
      <c r="BL30" s="76">
        <f>+BK30*31500</f>
        <v>0</v>
      </c>
      <c r="BM30" s="76"/>
      <c r="BN30" s="76"/>
      <c r="BO30" s="76"/>
      <c r="BP30" s="76"/>
      <c r="BQ30" s="76"/>
      <c r="BR30" s="76"/>
      <c r="BS30" s="76"/>
      <c r="BT30" s="76"/>
      <c r="BU30" s="76"/>
      <c r="BV30" s="76"/>
      <c r="BW30" s="76"/>
      <c r="BX30" s="76"/>
      <c r="BY30" s="76"/>
      <c r="BZ30" s="76"/>
      <c r="CA30" s="76"/>
      <c r="CB30" s="76"/>
      <c r="CC30" s="76"/>
      <c r="CD30" s="76"/>
      <c r="CE30" s="76"/>
      <c r="CF30" s="76">
        <f>+CE30*28000</f>
        <v>0</v>
      </c>
      <c r="CG30" s="76"/>
      <c r="CH30" s="76">
        <f>+CG30*22500</f>
        <v>0</v>
      </c>
      <c r="CI30" s="76"/>
      <c r="CJ30" s="76">
        <f>+CI30*26000</f>
        <v>0</v>
      </c>
      <c r="CK30" s="76"/>
      <c r="CL30" s="76"/>
      <c r="CM30" s="76"/>
      <c r="CN30" s="76">
        <f>+CM30*22000</f>
        <v>0</v>
      </c>
      <c r="CO30" s="76"/>
      <c r="CP30" s="76">
        <f>+CO30*46000</f>
        <v>0</v>
      </c>
      <c r="CQ30" s="76"/>
      <c r="CR30" s="76">
        <f>+CQ30*49000</f>
        <v>0</v>
      </c>
      <c r="CS30" s="76"/>
      <c r="CT30" s="76"/>
      <c r="CU30" s="56">
        <f>AN30+AP30+AR30+AT30+AV30+AX30+AZ30+BB30+BD30+BF30+BH30+BJ30+BL30+BN30+BP30+BR30+BT30+BV30+BX30+BZ30+CB30+CD30+CF30+CH30+CJ30+CL30+CN30+CP30+CR30+CT30</f>
        <v>0</v>
      </c>
      <c r="CV30" s="76"/>
      <c r="CW30" s="76">
        <f>+CV30*1100</f>
        <v>0</v>
      </c>
      <c r="CX30" s="76"/>
      <c r="CY30" s="76">
        <f>+CX30*106250</f>
        <v>0</v>
      </c>
      <c r="CZ30" s="76"/>
      <c r="DA30" s="76">
        <f>+CZ30*34500</f>
        <v>0</v>
      </c>
      <c r="DB30" s="76"/>
      <c r="DC30" s="76">
        <f>+DB30*25000</f>
        <v>0</v>
      </c>
      <c r="DD30" s="219"/>
      <c r="DE30" s="219"/>
      <c r="DF30" s="164"/>
      <c r="DG30" s="116"/>
      <c r="DH30" s="117"/>
      <c r="DI30" s="24"/>
      <c r="DJ30" s="24"/>
      <c r="DK30" s="24"/>
      <c r="DL30" s="24"/>
      <c r="DM30" s="24"/>
      <c r="DN30" s="24"/>
      <c r="DO30" s="24"/>
      <c r="DP30" s="24"/>
      <c r="DQ30" s="24"/>
      <c r="DR30" s="24"/>
      <c r="DS30" s="24"/>
      <c r="DT30" s="24"/>
      <c r="DU30" s="24"/>
    </row>
    <row r="31" spans="1:125" s="8" customFormat="1" ht="48" x14ac:dyDescent="0.2">
      <c r="A31" s="77">
        <v>41278</v>
      </c>
      <c r="B31" s="80" t="s">
        <v>2700</v>
      </c>
      <c r="C31" s="81" t="s">
        <v>587</v>
      </c>
      <c r="D31" s="81" t="s">
        <v>2846</v>
      </c>
      <c r="E31" s="75" t="str">
        <f>VLOOKUP(B31&amp;C31,Divipola!$C$2:$F$1138,4,FALSE)</f>
        <v>15500</v>
      </c>
      <c r="F31" s="87"/>
      <c r="G31" s="87"/>
      <c r="H31" s="87"/>
      <c r="I31" s="87"/>
      <c r="J31" s="87"/>
      <c r="K31" s="87"/>
      <c r="L31" s="87"/>
      <c r="M31" s="87"/>
      <c r="N31" s="87"/>
      <c r="O31" s="87"/>
      <c r="P31" s="87"/>
      <c r="Q31" s="87"/>
      <c r="R31" s="87"/>
      <c r="S31" s="87"/>
      <c r="T31" s="87"/>
      <c r="U31" s="127">
        <v>2.5</v>
      </c>
      <c r="V31" s="89"/>
      <c r="W31" s="96">
        <v>0</v>
      </c>
      <c r="X31" s="71">
        <f>CU31</f>
        <v>0</v>
      </c>
      <c r="Y31" s="71">
        <f>CY31</f>
        <v>0</v>
      </c>
      <c r="Z31" s="71">
        <f>DA31+DC31+DE31</f>
        <v>0</v>
      </c>
      <c r="AA31" s="71">
        <f>CW31</f>
        <v>0</v>
      </c>
      <c r="AB31" s="71"/>
      <c r="AC31" s="71">
        <v>0</v>
      </c>
      <c r="AD31" s="71">
        <f>W31+X31+Y31+Z31+AA31+AB31+AC31</f>
        <v>0</v>
      </c>
      <c r="AE31" s="72">
        <v>0</v>
      </c>
      <c r="AF31" s="5"/>
      <c r="AG31" s="6"/>
      <c r="AH31" s="27" t="s">
        <v>3392</v>
      </c>
      <c r="AI31" s="44" t="s">
        <v>3393</v>
      </c>
      <c r="AJ31" s="26"/>
      <c r="AK31" s="5"/>
      <c r="AL31" s="82" t="s">
        <v>2883</v>
      </c>
      <c r="AM31" s="76"/>
      <c r="AN31" s="76"/>
      <c r="AO31" s="76"/>
      <c r="AP31" s="76"/>
      <c r="AQ31" s="76"/>
      <c r="AR31" s="76"/>
      <c r="AS31" s="76"/>
      <c r="AT31" s="76"/>
      <c r="AU31" s="76"/>
      <c r="AV31" s="76"/>
      <c r="AW31" s="76"/>
      <c r="AX31" s="76">
        <f>+AW31*600000</f>
        <v>0</v>
      </c>
      <c r="AY31" s="76"/>
      <c r="AZ31" s="76">
        <f>+AY31*70000</f>
        <v>0</v>
      </c>
      <c r="BA31" s="76"/>
      <c r="BB31" s="76"/>
      <c r="BC31" s="76"/>
      <c r="BD31" s="76">
        <f>+BC31*30000</f>
        <v>0</v>
      </c>
      <c r="BE31" s="76"/>
      <c r="BF31" s="76"/>
      <c r="BG31" s="76"/>
      <c r="BH31" s="76"/>
      <c r="BI31" s="76"/>
      <c r="BJ31" s="76"/>
      <c r="BK31" s="76"/>
      <c r="BL31" s="76">
        <f>+BK31*31500</f>
        <v>0</v>
      </c>
      <c r="BM31" s="76"/>
      <c r="BN31" s="76"/>
      <c r="BO31" s="76"/>
      <c r="BP31" s="76"/>
      <c r="BQ31" s="76"/>
      <c r="BR31" s="76"/>
      <c r="BS31" s="76"/>
      <c r="BT31" s="76"/>
      <c r="BU31" s="76"/>
      <c r="BV31" s="76"/>
      <c r="BW31" s="76"/>
      <c r="BX31" s="76"/>
      <c r="BY31" s="76"/>
      <c r="BZ31" s="76"/>
      <c r="CA31" s="76"/>
      <c r="CB31" s="76"/>
      <c r="CC31" s="76"/>
      <c r="CD31" s="76"/>
      <c r="CE31" s="76"/>
      <c r="CF31" s="76">
        <f>+CE31*28000</f>
        <v>0</v>
      </c>
      <c r="CG31" s="76"/>
      <c r="CH31" s="76">
        <f>+CG31*22500</f>
        <v>0</v>
      </c>
      <c r="CI31" s="76"/>
      <c r="CJ31" s="76">
        <f>+CI31*26000</f>
        <v>0</v>
      </c>
      <c r="CK31" s="76"/>
      <c r="CL31" s="76"/>
      <c r="CM31" s="76"/>
      <c r="CN31" s="76">
        <f>+CM31*22000</f>
        <v>0</v>
      </c>
      <c r="CO31" s="76"/>
      <c r="CP31" s="76">
        <f>+CO31*46000</f>
        <v>0</v>
      </c>
      <c r="CQ31" s="76"/>
      <c r="CR31" s="76">
        <f>+CQ31*49000</f>
        <v>0</v>
      </c>
      <c r="CS31" s="76"/>
      <c r="CT31" s="76"/>
      <c r="CU31" s="56">
        <f>AN31+AP31+AR31+AT31+AV31+AX31+AZ31+BB31+BD31+BF31+BH31+BJ31+BL31+BN31+BP31+BR31+BT31+BV31+BX31+BZ31+CB31+CD31+CF31+CH31+CJ31+CL31+CN31+CP31+CR31+CT31</f>
        <v>0</v>
      </c>
      <c r="CV31" s="76"/>
      <c r="CW31" s="76">
        <f>+CV31*1100</f>
        <v>0</v>
      </c>
      <c r="CX31" s="76"/>
      <c r="CY31" s="76">
        <f>+CX31*106250</f>
        <v>0</v>
      </c>
      <c r="CZ31" s="76"/>
      <c r="DA31" s="76">
        <f>+CZ31*34500</f>
        <v>0</v>
      </c>
      <c r="DB31" s="76"/>
      <c r="DC31" s="76">
        <f>+DB31*25000</f>
        <v>0</v>
      </c>
      <c r="DD31" s="219"/>
      <c r="DE31" s="219"/>
      <c r="DF31" s="164"/>
      <c r="DG31" s="116"/>
      <c r="DH31" s="117"/>
      <c r="DI31" s="24"/>
      <c r="DJ31" s="24"/>
      <c r="DK31" s="24"/>
      <c r="DL31" s="24"/>
      <c r="DM31" s="24"/>
      <c r="DN31" s="24"/>
      <c r="DO31" s="24"/>
      <c r="DP31" s="24"/>
      <c r="DQ31" s="24"/>
      <c r="DR31" s="24"/>
      <c r="DS31" s="24"/>
      <c r="DT31" s="24"/>
      <c r="DU31" s="24"/>
    </row>
    <row r="32" spans="1:125" s="8" customFormat="1" ht="48" x14ac:dyDescent="0.2">
      <c r="A32" s="77">
        <v>41278</v>
      </c>
      <c r="B32" s="78" t="s">
        <v>2700</v>
      </c>
      <c r="C32" s="75" t="s">
        <v>1707</v>
      </c>
      <c r="D32" s="81" t="s">
        <v>2846</v>
      </c>
      <c r="E32" s="75" t="str">
        <f>VLOOKUP(B32&amp;C32,Divipola!$C$2:$F$1138,4,FALSE)</f>
        <v>15632</v>
      </c>
      <c r="F32" s="87"/>
      <c r="G32" s="87"/>
      <c r="H32" s="87"/>
      <c r="I32" s="87"/>
      <c r="J32" s="87"/>
      <c r="K32" s="87"/>
      <c r="L32" s="87"/>
      <c r="M32" s="87"/>
      <c r="N32" s="87"/>
      <c r="O32" s="87"/>
      <c r="P32" s="87"/>
      <c r="Q32" s="87"/>
      <c r="R32" s="87"/>
      <c r="S32" s="87"/>
      <c r="T32" s="87"/>
      <c r="U32" s="127">
        <v>1</v>
      </c>
      <c r="V32" s="89"/>
      <c r="W32" s="96">
        <v>0</v>
      </c>
      <c r="X32" s="71">
        <f>CU32</f>
        <v>0</v>
      </c>
      <c r="Y32" s="71">
        <f>CY32</f>
        <v>0</v>
      </c>
      <c r="Z32" s="71">
        <f>DA32+DC32+DE32</f>
        <v>0</v>
      </c>
      <c r="AA32" s="71">
        <f>CW32</f>
        <v>0</v>
      </c>
      <c r="AB32" s="71"/>
      <c r="AC32" s="71">
        <v>0</v>
      </c>
      <c r="AD32" s="71">
        <f>W32+X32+Y32+Z32+AA32+AB32+AC32</f>
        <v>0</v>
      </c>
      <c r="AE32" s="72">
        <v>0</v>
      </c>
      <c r="AF32" s="5"/>
      <c r="AG32" s="6"/>
      <c r="AH32" s="27" t="s">
        <v>3392</v>
      </c>
      <c r="AI32" s="44" t="s">
        <v>3393</v>
      </c>
      <c r="AJ32" s="26"/>
      <c r="AK32" s="5"/>
      <c r="AL32" s="82" t="s">
        <v>2886</v>
      </c>
      <c r="AM32" s="76"/>
      <c r="AN32" s="76"/>
      <c r="AO32" s="76"/>
      <c r="AP32" s="76"/>
      <c r="AQ32" s="76"/>
      <c r="AR32" s="76"/>
      <c r="AS32" s="76"/>
      <c r="AT32" s="76"/>
      <c r="AU32" s="76"/>
      <c r="AV32" s="76"/>
      <c r="AW32" s="76"/>
      <c r="AX32" s="76">
        <f>+AW32*600000</f>
        <v>0</v>
      </c>
      <c r="AY32" s="76"/>
      <c r="AZ32" s="76">
        <f>+AY32*70000</f>
        <v>0</v>
      </c>
      <c r="BA32" s="76"/>
      <c r="BB32" s="76"/>
      <c r="BC32" s="76"/>
      <c r="BD32" s="76">
        <f>+BC32*30000</f>
        <v>0</v>
      </c>
      <c r="BE32" s="76"/>
      <c r="BF32" s="76"/>
      <c r="BG32" s="76"/>
      <c r="BH32" s="76"/>
      <c r="BI32" s="76"/>
      <c r="BJ32" s="76"/>
      <c r="BK32" s="76"/>
      <c r="BL32" s="76">
        <f>+BK32*31500</f>
        <v>0</v>
      </c>
      <c r="BM32" s="76"/>
      <c r="BN32" s="76"/>
      <c r="BO32" s="76"/>
      <c r="BP32" s="76"/>
      <c r="BQ32" s="76"/>
      <c r="BR32" s="76"/>
      <c r="BS32" s="76"/>
      <c r="BT32" s="76"/>
      <c r="BU32" s="76"/>
      <c r="BV32" s="76"/>
      <c r="BW32" s="76"/>
      <c r="BX32" s="76"/>
      <c r="BY32" s="76"/>
      <c r="BZ32" s="76"/>
      <c r="CA32" s="76"/>
      <c r="CB32" s="76"/>
      <c r="CC32" s="76"/>
      <c r="CD32" s="76"/>
      <c r="CE32" s="76"/>
      <c r="CF32" s="76">
        <f>+CE32*28000</f>
        <v>0</v>
      </c>
      <c r="CG32" s="76"/>
      <c r="CH32" s="76">
        <f>+CG32*22500</f>
        <v>0</v>
      </c>
      <c r="CI32" s="76"/>
      <c r="CJ32" s="76">
        <f>+CI32*26000</f>
        <v>0</v>
      </c>
      <c r="CK32" s="76"/>
      <c r="CL32" s="76"/>
      <c r="CM32" s="76"/>
      <c r="CN32" s="76">
        <f>+CM32*22000</f>
        <v>0</v>
      </c>
      <c r="CO32" s="76"/>
      <c r="CP32" s="76">
        <f>+CO32*46000</f>
        <v>0</v>
      </c>
      <c r="CQ32" s="76"/>
      <c r="CR32" s="76">
        <f>+CQ32*49000</f>
        <v>0</v>
      </c>
      <c r="CS32" s="76"/>
      <c r="CT32" s="76"/>
      <c r="CU32" s="56">
        <f>AN32+AP32+AR32+AT32+AV32+AX32+AZ32+BB32+BD32+BF32+BH32+BJ32+BL32+BN32+BP32+BR32+BT32+BV32+BX32+BZ32+CB32+CD32+CF32+CH32+CJ32+CL32+CN32+CP32+CR32+CT32</f>
        <v>0</v>
      </c>
      <c r="CV32" s="76"/>
      <c r="CW32" s="76">
        <f>+CV32*1100</f>
        <v>0</v>
      </c>
      <c r="CX32" s="76"/>
      <c r="CY32" s="76">
        <f>+CX32*106250</f>
        <v>0</v>
      </c>
      <c r="CZ32" s="76"/>
      <c r="DA32" s="76">
        <f>+CZ32*34500</f>
        <v>0</v>
      </c>
      <c r="DB32" s="76"/>
      <c r="DC32" s="76">
        <f>+DB32*25000</f>
        <v>0</v>
      </c>
      <c r="DD32" s="219"/>
      <c r="DE32" s="219"/>
      <c r="DF32" s="164"/>
      <c r="DG32" s="116"/>
      <c r="DH32" s="117"/>
      <c r="DI32" s="24"/>
      <c r="DJ32" s="24"/>
      <c r="DK32" s="24"/>
      <c r="DL32" s="24"/>
      <c r="DM32" s="24"/>
      <c r="DN32" s="24"/>
      <c r="DO32" s="24"/>
      <c r="DP32" s="24"/>
      <c r="DQ32" s="24"/>
      <c r="DR32" s="24"/>
      <c r="DS32" s="24"/>
      <c r="DT32" s="24"/>
      <c r="DU32" s="24"/>
    </row>
    <row r="33" spans="1:125" s="8" customFormat="1" ht="60" x14ac:dyDescent="0.2">
      <c r="A33" s="77">
        <v>41278</v>
      </c>
      <c r="B33" s="80" t="s">
        <v>2778</v>
      </c>
      <c r="C33" s="81" t="s">
        <v>2779</v>
      </c>
      <c r="D33" s="81" t="s">
        <v>2846</v>
      </c>
      <c r="E33" s="75" t="str">
        <f>VLOOKUP(B33&amp;C33,Divipola!$C$2:$F$1138,4,FALSE)</f>
        <v>85230</v>
      </c>
      <c r="F33" s="87"/>
      <c r="G33" s="87"/>
      <c r="H33" s="87"/>
      <c r="I33" s="87"/>
      <c r="J33" s="87"/>
      <c r="K33" s="87"/>
      <c r="L33" s="87"/>
      <c r="M33" s="87"/>
      <c r="N33" s="87"/>
      <c r="O33" s="87"/>
      <c r="P33" s="87"/>
      <c r="Q33" s="87"/>
      <c r="R33" s="87"/>
      <c r="S33" s="87"/>
      <c r="T33" s="87"/>
      <c r="U33" s="127">
        <v>4</v>
      </c>
      <c r="V33" s="89"/>
      <c r="W33" s="96">
        <v>0</v>
      </c>
      <c r="X33" s="71">
        <f>CU33</f>
        <v>0</v>
      </c>
      <c r="Y33" s="71">
        <f>CY33</f>
        <v>0</v>
      </c>
      <c r="Z33" s="71">
        <f>DA33+DC33+DE33</f>
        <v>0</v>
      </c>
      <c r="AA33" s="71">
        <f>CW33</f>
        <v>0</v>
      </c>
      <c r="AB33" s="71"/>
      <c r="AC33" s="71">
        <v>0</v>
      </c>
      <c r="AD33" s="71">
        <f>W33+X33+Y33+Z33+AA33+AB33+AC33</f>
        <v>0</v>
      </c>
      <c r="AE33" s="72">
        <v>0</v>
      </c>
      <c r="AF33" s="5"/>
      <c r="AG33" s="6"/>
      <c r="AH33" s="27" t="s">
        <v>3392</v>
      </c>
      <c r="AI33" s="44" t="s">
        <v>3393</v>
      </c>
      <c r="AJ33" s="26"/>
      <c r="AK33" s="5"/>
      <c r="AL33" s="82" t="s">
        <v>2898</v>
      </c>
      <c r="AM33" s="76"/>
      <c r="AN33" s="76"/>
      <c r="AO33" s="76"/>
      <c r="AP33" s="76"/>
      <c r="AQ33" s="76"/>
      <c r="AR33" s="76"/>
      <c r="AS33" s="76"/>
      <c r="AT33" s="76"/>
      <c r="AU33" s="76"/>
      <c r="AV33" s="76"/>
      <c r="AW33" s="76"/>
      <c r="AX33" s="76">
        <f>+AW33*600000</f>
        <v>0</v>
      </c>
      <c r="AY33" s="76"/>
      <c r="AZ33" s="76">
        <f>+AY33*70000</f>
        <v>0</v>
      </c>
      <c r="BA33" s="76"/>
      <c r="BB33" s="76"/>
      <c r="BC33" s="76"/>
      <c r="BD33" s="76">
        <f>+BC33*30000</f>
        <v>0</v>
      </c>
      <c r="BE33" s="76"/>
      <c r="BF33" s="76"/>
      <c r="BG33" s="76"/>
      <c r="BH33" s="76"/>
      <c r="BI33" s="76"/>
      <c r="BJ33" s="76"/>
      <c r="BK33" s="76"/>
      <c r="BL33" s="76">
        <f>+BK33*31500</f>
        <v>0</v>
      </c>
      <c r="BM33" s="76"/>
      <c r="BN33" s="76"/>
      <c r="BO33" s="76"/>
      <c r="BP33" s="76"/>
      <c r="BQ33" s="76"/>
      <c r="BR33" s="76"/>
      <c r="BS33" s="76"/>
      <c r="BT33" s="76"/>
      <c r="BU33" s="76"/>
      <c r="BV33" s="76"/>
      <c r="BW33" s="76"/>
      <c r="BX33" s="76"/>
      <c r="BY33" s="76"/>
      <c r="BZ33" s="76"/>
      <c r="CA33" s="76"/>
      <c r="CB33" s="76"/>
      <c r="CC33" s="76"/>
      <c r="CD33" s="76"/>
      <c r="CE33" s="76"/>
      <c r="CF33" s="76">
        <f>+CE33*28000</f>
        <v>0</v>
      </c>
      <c r="CG33" s="76"/>
      <c r="CH33" s="76">
        <f>+CG33*22500</f>
        <v>0</v>
      </c>
      <c r="CI33" s="76"/>
      <c r="CJ33" s="76">
        <f>+CI33*26000</f>
        <v>0</v>
      </c>
      <c r="CK33" s="76"/>
      <c r="CL33" s="76"/>
      <c r="CM33" s="76"/>
      <c r="CN33" s="76">
        <f>+CM33*22000</f>
        <v>0</v>
      </c>
      <c r="CO33" s="76"/>
      <c r="CP33" s="76">
        <f>+CO33*46000</f>
        <v>0</v>
      </c>
      <c r="CQ33" s="76"/>
      <c r="CR33" s="76">
        <f>+CQ33*49000</f>
        <v>0</v>
      </c>
      <c r="CS33" s="76"/>
      <c r="CT33" s="76"/>
      <c r="CU33" s="56">
        <f>AN33+AP33+AR33+AT33+AV33+AX33+AZ33+BB33+BD33+BF33+BH33+BJ33+BL33+BN33+BP33+BR33+BT33+BV33+BX33+BZ33+CB33+CD33+CF33+CH33+CJ33+CL33+CN33+CP33+CR33+CT33</f>
        <v>0</v>
      </c>
      <c r="CV33" s="76"/>
      <c r="CW33" s="76">
        <f>+CV33*1100</f>
        <v>0</v>
      </c>
      <c r="CX33" s="76"/>
      <c r="CY33" s="76">
        <f>+CX33*106250</f>
        <v>0</v>
      </c>
      <c r="CZ33" s="76"/>
      <c r="DA33" s="76">
        <f>+CZ33*34500</f>
        <v>0</v>
      </c>
      <c r="DB33" s="76"/>
      <c r="DC33" s="76">
        <f>+DB33*25000</f>
        <v>0</v>
      </c>
      <c r="DD33" s="219"/>
      <c r="DE33" s="219"/>
      <c r="DF33" s="164"/>
      <c r="DG33" s="116"/>
      <c r="DH33" s="117"/>
      <c r="DI33" s="24"/>
      <c r="DJ33" s="24"/>
      <c r="DK33" s="24"/>
      <c r="DL33" s="24"/>
      <c r="DM33" s="24"/>
      <c r="DN33" s="24"/>
      <c r="DO33" s="24"/>
      <c r="DP33" s="24"/>
      <c r="DQ33" s="24"/>
      <c r="DR33" s="24"/>
      <c r="DS33" s="24"/>
      <c r="DT33" s="24"/>
      <c r="DU33" s="24"/>
    </row>
    <row r="34" spans="1:125" s="8" customFormat="1" ht="60" x14ac:dyDescent="0.2">
      <c r="A34" s="77">
        <v>41278</v>
      </c>
      <c r="B34" s="80" t="s">
        <v>2855</v>
      </c>
      <c r="C34" s="81" t="s">
        <v>911</v>
      </c>
      <c r="D34" s="81" t="s">
        <v>2859</v>
      </c>
      <c r="E34" s="75" t="str">
        <f>VLOOKUP(B34&amp;C34,Divipola!$C$2:$F$1138,4,FALSE)</f>
        <v>20250</v>
      </c>
      <c r="F34" s="87"/>
      <c r="G34" s="87"/>
      <c r="H34" s="87"/>
      <c r="I34" s="87"/>
      <c r="J34" s="87"/>
      <c r="K34" s="87"/>
      <c r="L34" s="87"/>
      <c r="M34" s="87"/>
      <c r="N34" s="87"/>
      <c r="O34" s="87"/>
      <c r="P34" s="87"/>
      <c r="Q34" s="87"/>
      <c r="R34" s="87"/>
      <c r="S34" s="87"/>
      <c r="T34" s="87"/>
      <c r="U34" s="127"/>
      <c r="V34" s="89"/>
      <c r="W34" s="96">
        <v>0</v>
      </c>
      <c r="X34" s="71">
        <f>CU34</f>
        <v>0</v>
      </c>
      <c r="Y34" s="71">
        <f>CY34</f>
        <v>0</v>
      </c>
      <c r="Z34" s="71">
        <f>DA34+DC34+DE34</f>
        <v>0</v>
      </c>
      <c r="AA34" s="71">
        <f>CW34</f>
        <v>0</v>
      </c>
      <c r="AB34" s="71"/>
      <c r="AC34" s="71">
        <v>0</v>
      </c>
      <c r="AD34" s="71">
        <f>W34+X34+Y34+Z34+AA34+AB34+AC34</f>
        <v>0</v>
      </c>
      <c r="AE34" s="72">
        <v>0</v>
      </c>
      <c r="AF34" s="5"/>
      <c r="AG34" s="6"/>
      <c r="AH34" s="27" t="s">
        <v>3392</v>
      </c>
      <c r="AI34" s="44" t="s">
        <v>3393</v>
      </c>
      <c r="AJ34" s="26"/>
      <c r="AK34" s="5"/>
      <c r="AL34" s="82" t="s">
        <v>2893</v>
      </c>
      <c r="AM34" s="76"/>
      <c r="AN34" s="76"/>
      <c r="AO34" s="76"/>
      <c r="AP34" s="76"/>
      <c r="AQ34" s="76"/>
      <c r="AR34" s="76"/>
      <c r="AS34" s="76"/>
      <c r="AT34" s="76"/>
      <c r="AU34" s="76"/>
      <c r="AV34" s="76"/>
      <c r="AW34" s="76"/>
      <c r="AX34" s="76">
        <f>+AW34*600000</f>
        <v>0</v>
      </c>
      <c r="AY34" s="76"/>
      <c r="AZ34" s="76">
        <f>+AY34*70000</f>
        <v>0</v>
      </c>
      <c r="BA34" s="76"/>
      <c r="BB34" s="76"/>
      <c r="BC34" s="76"/>
      <c r="BD34" s="76">
        <f>+BC34*30000</f>
        <v>0</v>
      </c>
      <c r="BE34" s="76"/>
      <c r="BF34" s="76"/>
      <c r="BG34" s="76"/>
      <c r="BH34" s="76"/>
      <c r="BI34" s="76"/>
      <c r="BJ34" s="76"/>
      <c r="BK34" s="76"/>
      <c r="BL34" s="76">
        <f>+BK34*31500</f>
        <v>0</v>
      </c>
      <c r="BM34" s="76"/>
      <c r="BN34" s="76"/>
      <c r="BO34" s="76"/>
      <c r="BP34" s="76"/>
      <c r="BQ34" s="76"/>
      <c r="BR34" s="76"/>
      <c r="BS34" s="76"/>
      <c r="BT34" s="76"/>
      <c r="BU34" s="76"/>
      <c r="BV34" s="76"/>
      <c r="BW34" s="76"/>
      <c r="BX34" s="76"/>
      <c r="BY34" s="76"/>
      <c r="BZ34" s="76"/>
      <c r="CA34" s="76"/>
      <c r="CB34" s="76"/>
      <c r="CC34" s="76"/>
      <c r="CD34" s="76"/>
      <c r="CE34" s="76"/>
      <c r="CF34" s="76">
        <f>+CE34*28000</f>
        <v>0</v>
      </c>
      <c r="CG34" s="76"/>
      <c r="CH34" s="76">
        <f>+CG34*22500</f>
        <v>0</v>
      </c>
      <c r="CI34" s="76"/>
      <c r="CJ34" s="76">
        <f>+CI34*26000</f>
        <v>0</v>
      </c>
      <c r="CK34" s="76"/>
      <c r="CL34" s="76"/>
      <c r="CM34" s="76"/>
      <c r="CN34" s="76">
        <f>+CM34*22000</f>
        <v>0</v>
      </c>
      <c r="CO34" s="76"/>
      <c r="CP34" s="76">
        <f>+CO34*46000</f>
        <v>0</v>
      </c>
      <c r="CQ34" s="76"/>
      <c r="CR34" s="76">
        <f>+CQ34*49000</f>
        <v>0</v>
      </c>
      <c r="CS34" s="76"/>
      <c r="CT34" s="76"/>
      <c r="CU34" s="56">
        <f>AN34+AP34+AR34+AT34+AV34+AX34+AZ34+BB34+BD34+BF34+BH34+BJ34+BL34+BN34+BP34+BR34+BT34+BV34+BX34+BZ34+CB34+CD34+CF34+CH34+CJ34+CL34+CN34+CP34+CR34+CT34</f>
        <v>0</v>
      </c>
      <c r="CV34" s="76"/>
      <c r="CW34" s="76">
        <f>+CV34*1100</f>
        <v>0</v>
      </c>
      <c r="CX34" s="76"/>
      <c r="CY34" s="76">
        <f>+CX34*106250</f>
        <v>0</v>
      </c>
      <c r="CZ34" s="76"/>
      <c r="DA34" s="76">
        <f>+CZ34*34500</f>
        <v>0</v>
      </c>
      <c r="DB34" s="76"/>
      <c r="DC34" s="76">
        <f>+DB34*25000</f>
        <v>0</v>
      </c>
      <c r="DD34" s="219"/>
      <c r="DE34" s="219"/>
      <c r="DF34" s="164"/>
      <c r="DG34" s="116"/>
      <c r="DH34" s="117"/>
      <c r="DI34" s="24"/>
      <c r="DJ34" s="24"/>
      <c r="DK34" s="24"/>
      <c r="DL34" s="24"/>
      <c r="DM34" s="24"/>
      <c r="DN34" s="24"/>
      <c r="DO34" s="24"/>
      <c r="DP34" s="24"/>
      <c r="DQ34" s="24"/>
      <c r="DR34" s="24"/>
      <c r="DS34" s="24"/>
      <c r="DT34" s="24"/>
      <c r="DU34" s="24"/>
    </row>
    <row r="35" spans="1:125" s="8" customFormat="1" ht="84" x14ac:dyDescent="0.2">
      <c r="A35" s="77">
        <v>41278</v>
      </c>
      <c r="B35" s="80" t="s">
        <v>2772</v>
      </c>
      <c r="C35" s="81" t="s">
        <v>1062</v>
      </c>
      <c r="D35" s="81" t="s">
        <v>2846</v>
      </c>
      <c r="E35" s="75" t="str">
        <f>VLOOKUP(B35&amp;C35,Divipola!$C$2:$F$1138,4,FALSE)</f>
        <v>25293</v>
      </c>
      <c r="F35" s="90"/>
      <c r="G35" s="90"/>
      <c r="H35" s="90"/>
      <c r="I35" s="90"/>
      <c r="J35" s="90"/>
      <c r="K35" s="90"/>
      <c r="L35" s="90"/>
      <c r="M35" s="90"/>
      <c r="N35" s="90"/>
      <c r="O35" s="90"/>
      <c r="P35" s="90"/>
      <c r="Q35" s="90"/>
      <c r="R35" s="90"/>
      <c r="S35" s="90"/>
      <c r="T35" s="90"/>
      <c r="U35" s="128">
        <v>1</v>
      </c>
      <c r="V35" s="89"/>
      <c r="W35" s="96">
        <v>0</v>
      </c>
      <c r="X35" s="71">
        <f>CU35</f>
        <v>0</v>
      </c>
      <c r="Y35" s="71">
        <f>CY35</f>
        <v>0</v>
      </c>
      <c r="Z35" s="71">
        <f>DA35+DC35+DE35</f>
        <v>0</v>
      </c>
      <c r="AA35" s="71">
        <f>CW35</f>
        <v>0</v>
      </c>
      <c r="AB35" s="71"/>
      <c r="AC35" s="71">
        <v>0</v>
      </c>
      <c r="AD35" s="71">
        <f>W35+X35+Y35+Z35+AA35+AB35+AC35</f>
        <v>0</v>
      </c>
      <c r="AE35" s="72">
        <v>0</v>
      </c>
      <c r="AF35" s="5"/>
      <c r="AG35" s="6"/>
      <c r="AH35" s="27" t="s">
        <v>3392</v>
      </c>
      <c r="AI35" s="44" t="s">
        <v>3393</v>
      </c>
      <c r="AJ35" s="26"/>
      <c r="AK35" s="5"/>
      <c r="AL35" s="82" t="s">
        <v>2888</v>
      </c>
      <c r="AM35" s="76"/>
      <c r="AN35" s="76"/>
      <c r="AO35" s="76"/>
      <c r="AP35" s="76"/>
      <c r="AQ35" s="76"/>
      <c r="AR35" s="76"/>
      <c r="AS35" s="76"/>
      <c r="AT35" s="76"/>
      <c r="AU35" s="76"/>
      <c r="AV35" s="76"/>
      <c r="AW35" s="76"/>
      <c r="AX35" s="76">
        <f>+AW35*600000</f>
        <v>0</v>
      </c>
      <c r="AY35" s="76"/>
      <c r="AZ35" s="76">
        <f>+AY35*70000</f>
        <v>0</v>
      </c>
      <c r="BA35" s="76"/>
      <c r="BB35" s="76"/>
      <c r="BC35" s="76"/>
      <c r="BD35" s="76">
        <f>+BC35*30000</f>
        <v>0</v>
      </c>
      <c r="BE35" s="76"/>
      <c r="BF35" s="76"/>
      <c r="BG35" s="76"/>
      <c r="BH35" s="76"/>
      <c r="BI35" s="76"/>
      <c r="BJ35" s="76"/>
      <c r="BK35" s="76"/>
      <c r="BL35" s="76">
        <f>+BK35*31500</f>
        <v>0</v>
      </c>
      <c r="BM35" s="76"/>
      <c r="BN35" s="76"/>
      <c r="BO35" s="76"/>
      <c r="BP35" s="76"/>
      <c r="BQ35" s="76"/>
      <c r="BR35" s="76"/>
      <c r="BS35" s="76"/>
      <c r="BT35" s="76"/>
      <c r="BU35" s="76"/>
      <c r="BV35" s="76"/>
      <c r="BW35" s="76"/>
      <c r="BX35" s="76"/>
      <c r="BY35" s="76"/>
      <c r="BZ35" s="76"/>
      <c r="CA35" s="76"/>
      <c r="CB35" s="76"/>
      <c r="CC35" s="76"/>
      <c r="CD35" s="76"/>
      <c r="CE35" s="76"/>
      <c r="CF35" s="76">
        <f>+CE35*28000</f>
        <v>0</v>
      </c>
      <c r="CG35" s="76"/>
      <c r="CH35" s="76">
        <f>+CG35*22500</f>
        <v>0</v>
      </c>
      <c r="CI35" s="76"/>
      <c r="CJ35" s="76">
        <f>+CI35*26000</f>
        <v>0</v>
      </c>
      <c r="CK35" s="76"/>
      <c r="CL35" s="76"/>
      <c r="CM35" s="76"/>
      <c r="CN35" s="76">
        <f>+CM35*22000</f>
        <v>0</v>
      </c>
      <c r="CO35" s="76"/>
      <c r="CP35" s="76">
        <f>+CO35*46000</f>
        <v>0</v>
      </c>
      <c r="CQ35" s="76"/>
      <c r="CR35" s="76">
        <f>+CQ35*49000</f>
        <v>0</v>
      </c>
      <c r="CS35" s="76"/>
      <c r="CT35" s="76"/>
      <c r="CU35" s="56">
        <f>AN35+AP35+AR35+AT35+AV35+AX35+AZ35+BB35+BD35+BF35+BH35+BJ35+BL35+BN35+BP35+BR35+BT35+BV35+BX35+BZ35+CB35+CD35+CF35+CH35+CJ35+CL35+CN35+CP35+CR35+CT35</f>
        <v>0</v>
      </c>
      <c r="CV35" s="76"/>
      <c r="CW35" s="76">
        <f>+CV35*1100</f>
        <v>0</v>
      </c>
      <c r="CX35" s="76"/>
      <c r="CY35" s="76">
        <f>+CX35*106250</f>
        <v>0</v>
      </c>
      <c r="CZ35" s="76"/>
      <c r="DA35" s="76">
        <f>+CZ35*34500</f>
        <v>0</v>
      </c>
      <c r="DB35" s="76"/>
      <c r="DC35" s="76">
        <f>+DB35*25000</f>
        <v>0</v>
      </c>
      <c r="DD35" s="219"/>
      <c r="DE35" s="219"/>
      <c r="DF35" s="164"/>
      <c r="DG35" s="116"/>
      <c r="DH35" s="117"/>
      <c r="DI35" s="24"/>
      <c r="DJ35" s="24"/>
      <c r="DK35" s="24"/>
      <c r="DL35" s="24"/>
      <c r="DM35" s="24"/>
      <c r="DN35" s="24"/>
      <c r="DO35" s="24"/>
      <c r="DP35" s="24"/>
      <c r="DQ35" s="24"/>
      <c r="DR35" s="24"/>
      <c r="DS35" s="24"/>
      <c r="DT35" s="24"/>
      <c r="DU35" s="24"/>
    </row>
    <row r="36" spans="1:125" s="8" customFormat="1" ht="84" x14ac:dyDescent="0.2">
      <c r="A36" s="77">
        <v>41278</v>
      </c>
      <c r="B36" s="78" t="s">
        <v>2772</v>
      </c>
      <c r="C36" s="75" t="s">
        <v>1334</v>
      </c>
      <c r="D36" s="81" t="s">
        <v>2846</v>
      </c>
      <c r="E36" s="75" t="str">
        <f>VLOOKUP(B36&amp;C36,Divipola!$C$2:$F$1138,4,FALSE)</f>
        <v>25317</v>
      </c>
      <c r="F36" s="87"/>
      <c r="G36" s="87"/>
      <c r="H36" s="87"/>
      <c r="I36" s="87"/>
      <c r="J36" s="87"/>
      <c r="K36" s="87"/>
      <c r="L36" s="87"/>
      <c r="M36" s="87"/>
      <c r="N36" s="87"/>
      <c r="O36" s="87"/>
      <c r="P36" s="87"/>
      <c r="Q36" s="87"/>
      <c r="R36" s="87"/>
      <c r="S36" s="87"/>
      <c r="T36" s="87"/>
      <c r="U36" s="127">
        <v>3</v>
      </c>
      <c r="V36" s="89"/>
      <c r="W36" s="96">
        <v>0</v>
      </c>
      <c r="X36" s="71">
        <f>CU36</f>
        <v>0</v>
      </c>
      <c r="Y36" s="71">
        <f>CY36</f>
        <v>0</v>
      </c>
      <c r="Z36" s="71">
        <f>DA36+DC36+DE36</f>
        <v>0</v>
      </c>
      <c r="AA36" s="71">
        <f>CW36</f>
        <v>0</v>
      </c>
      <c r="AB36" s="71"/>
      <c r="AC36" s="71">
        <v>0</v>
      </c>
      <c r="AD36" s="71">
        <f>W36+X36+Y36+Z36+AA36+AB36+AC36</f>
        <v>0</v>
      </c>
      <c r="AE36" s="72">
        <v>0</v>
      </c>
      <c r="AF36" s="5"/>
      <c r="AG36" s="6"/>
      <c r="AH36" s="27" t="s">
        <v>3392</v>
      </c>
      <c r="AI36" s="44" t="s">
        <v>3393</v>
      </c>
      <c r="AJ36" s="26"/>
      <c r="AK36" s="5"/>
      <c r="AL36" s="82" t="s">
        <v>2890</v>
      </c>
      <c r="AM36" s="76"/>
      <c r="AN36" s="76"/>
      <c r="AO36" s="76"/>
      <c r="AP36" s="76"/>
      <c r="AQ36" s="76"/>
      <c r="AR36" s="76"/>
      <c r="AS36" s="76"/>
      <c r="AT36" s="76"/>
      <c r="AU36" s="76"/>
      <c r="AV36" s="76"/>
      <c r="AW36" s="76"/>
      <c r="AX36" s="76">
        <f>+AW36*600000</f>
        <v>0</v>
      </c>
      <c r="AY36" s="76"/>
      <c r="AZ36" s="76">
        <f>+AY36*70000</f>
        <v>0</v>
      </c>
      <c r="BA36" s="76"/>
      <c r="BB36" s="76"/>
      <c r="BC36" s="76"/>
      <c r="BD36" s="76">
        <f>+BC36*30000</f>
        <v>0</v>
      </c>
      <c r="BE36" s="76"/>
      <c r="BF36" s="76"/>
      <c r="BG36" s="76"/>
      <c r="BH36" s="76"/>
      <c r="BI36" s="76"/>
      <c r="BJ36" s="76"/>
      <c r="BK36" s="76"/>
      <c r="BL36" s="76">
        <f>+BK36*31500</f>
        <v>0</v>
      </c>
      <c r="BM36" s="76"/>
      <c r="BN36" s="76"/>
      <c r="BO36" s="76"/>
      <c r="BP36" s="76"/>
      <c r="BQ36" s="76"/>
      <c r="BR36" s="76"/>
      <c r="BS36" s="76"/>
      <c r="BT36" s="76"/>
      <c r="BU36" s="76"/>
      <c r="BV36" s="76"/>
      <c r="BW36" s="76"/>
      <c r="BX36" s="76"/>
      <c r="BY36" s="76"/>
      <c r="BZ36" s="76"/>
      <c r="CA36" s="76"/>
      <c r="CB36" s="76"/>
      <c r="CC36" s="76"/>
      <c r="CD36" s="76"/>
      <c r="CE36" s="76"/>
      <c r="CF36" s="76">
        <f>+CE36*28000</f>
        <v>0</v>
      </c>
      <c r="CG36" s="76"/>
      <c r="CH36" s="76">
        <f>+CG36*22500</f>
        <v>0</v>
      </c>
      <c r="CI36" s="76"/>
      <c r="CJ36" s="76">
        <f>+CI36*26000</f>
        <v>0</v>
      </c>
      <c r="CK36" s="76"/>
      <c r="CL36" s="76"/>
      <c r="CM36" s="76"/>
      <c r="CN36" s="76">
        <f>+CM36*22000</f>
        <v>0</v>
      </c>
      <c r="CO36" s="76"/>
      <c r="CP36" s="76">
        <f>+CO36*46000</f>
        <v>0</v>
      </c>
      <c r="CQ36" s="76"/>
      <c r="CR36" s="76">
        <f>+CQ36*49000</f>
        <v>0</v>
      </c>
      <c r="CS36" s="76"/>
      <c r="CT36" s="76"/>
      <c r="CU36" s="56">
        <f>AN36+AP36+AR36+AT36+AV36+AX36+AZ36+BB36+BD36+BF36+BH36+BJ36+BL36+BN36+BP36+BR36+BT36+BV36+BX36+BZ36+CB36+CD36+CF36+CH36+CJ36+CL36+CN36+CP36+CR36+CT36</f>
        <v>0</v>
      </c>
      <c r="CV36" s="76"/>
      <c r="CW36" s="76">
        <f>+CV36*1100</f>
        <v>0</v>
      </c>
      <c r="CX36" s="76"/>
      <c r="CY36" s="76">
        <f>+CX36*106250</f>
        <v>0</v>
      </c>
      <c r="CZ36" s="76"/>
      <c r="DA36" s="76">
        <f>+CZ36*34500</f>
        <v>0</v>
      </c>
      <c r="DB36" s="76"/>
      <c r="DC36" s="76">
        <f>+DB36*25000</f>
        <v>0</v>
      </c>
      <c r="DD36" s="219"/>
      <c r="DE36" s="219"/>
      <c r="DF36" s="164"/>
      <c r="DG36" s="116"/>
      <c r="DH36" s="117"/>
      <c r="DI36" s="24"/>
      <c r="DJ36" s="24"/>
      <c r="DK36" s="24"/>
      <c r="DL36" s="24"/>
      <c r="DM36" s="24"/>
      <c r="DN36" s="24"/>
      <c r="DO36" s="24"/>
      <c r="DP36" s="24"/>
      <c r="DQ36" s="24"/>
      <c r="DR36" s="24"/>
      <c r="DS36" s="24"/>
      <c r="DT36" s="24"/>
      <c r="DU36" s="24"/>
    </row>
    <row r="37" spans="1:125" s="8" customFormat="1" ht="72" x14ac:dyDescent="0.2">
      <c r="A37" s="77">
        <v>41278</v>
      </c>
      <c r="B37" s="78" t="s">
        <v>2772</v>
      </c>
      <c r="C37" s="75" t="s">
        <v>2829</v>
      </c>
      <c r="D37" s="81" t="s">
        <v>2846</v>
      </c>
      <c r="E37" s="75" t="str">
        <f>VLOOKUP(B37&amp;C37,Divipola!$C$2:$F$1138,4,FALSE)</f>
        <v>25372</v>
      </c>
      <c r="F37" s="87"/>
      <c r="G37" s="87"/>
      <c r="H37" s="87"/>
      <c r="I37" s="87"/>
      <c r="J37" s="87"/>
      <c r="K37" s="87"/>
      <c r="L37" s="87"/>
      <c r="M37" s="87"/>
      <c r="N37" s="87"/>
      <c r="O37" s="87"/>
      <c r="P37" s="87"/>
      <c r="Q37" s="87"/>
      <c r="R37" s="87"/>
      <c r="S37" s="87"/>
      <c r="T37" s="87"/>
      <c r="U37" s="127"/>
      <c r="V37" s="89"/>
      <c r="W37" s="96">
        <v>0</v>
      </c>
      <c r="X37" s="71">
        <f>CU37</f>
        <v>0</v>
      </c>
      <c r="Y37" s="71">
        <f>CY37</f>
        <v>0</v>
      </c>
      <c r="Z37" s="71">
        <f>DA37+DC37+DE37</f>
        <v>0</v>
      </c>
      <c r="AA37" s="71">
        <f>CW37</f>
        <v>0</v>
      </c>
      <c r="AB37" s="71"/>
      <c r="AC37" s="71">
        <v>0</v>
      </c>
      <c r="AD37" s="71">
        <f>W37+X37+Y37+Z37+AA37+AB37+AC37</f>
        <v>0</v>
      </c>
      <c r="AE37" s="72">
        <v>0</v>
      </c>
      <c r="AF37" s="5"/>
      <c r="AG37" s="6"/>
      <c r="AH37" s="27" t="s">
        <v>3392</v>
      </c>
      <c r="AI37" s="44" t="s">
        <v>3393</v>
      </c>
      <c r="AJ37" s="26"/>
      <c r="AK37" s="5"/>
      <c r="AL37" s="82" t="s">
        <v>2885</v>
      </c>
      <c r="AM37" s="76"/>
      <c r="AN37" s="76"/>
      <c r="AO37" s="76"/>
      <c r="AP37" s="76"/>
      <c r="AQ37" s="76"/>
      <c r="AR37" s="76"/>
      <c r="AS37" s="76"/>
      <c r="AT37" s="76"/>
      <c r="AU37" s="76"/>
      <c r="AV37" s="76"/>
      <c r="AW37" s="76"/>
      <c r="AX37" s="76">
        <f>+AW37*600000</f>
        <v>0</v>
      </c>
      <c r="AY37" s="76"/>
      <c r="AZ37" s="76">
        <f>+AY37*70000</f>
        <v>0</v>
      </c>
      <c r="BA37" s="76"/>
      <c r="BB37" s="76"/>
      <c r="BC37" s="76"/>
      <c r="BD37" s="76">
        <f>+BC37*30000</f>
        <v>0</v>
      </c>
      <c r="BE37" s="76"/>
      <c r="BF37" s="76"/>
      <c r="BG37" s="76"/>
      <c r="BH37" s="76"/>
      <c r="BI37" s="76"/>
      <c r="BJ37" s="76"/>
      <c r="BK37" s="76"/>
      <c r="BL37" s="76">
        <f>+BK37*31500</f>
        <v>0</v>
      </c>
      <c r="BM37" s="76"/>
      <c r="BN37" s="76"/>
      <c r="BO37" s="76"/>
      <c r="BP37" s="76"/>
      <c r="BQ37" s="76"/>
      <c r="BR37" s="76"/>
      <c r="BS37" s="76"/>
      <c r="BT37" s="76"/>
      <c r="BU37" s="76"/>
      <c r="BV37" s="76"/>
      <c r="BW37" s="76"/>
      <c r="BX37" s="76"/>
      <c r="BY37" s="76"/>
      <c r="BZ37" s="76"/>
      <c r="CA37" s="76"/>
      <c r="CB37" s="76"/>
      <c r="CC37" s="76"/>
      <c r="CD37" s="76"/>
      <c r="CE37" s="76"/>
      <c r="CF37" s="76">
        <f>+CE37*28000</f>
        <v>0</v>
      </c>
      <c r="CG37" s="76"/>
      <c r="CH37" s="76">
        <f>+CG37*22500</f>
        <v>0</v>
      </c>
      <c r="CI37" s="76"/>
      <c r="CJ37" s="76">
        <f>+CI37*26000</f>
        <v>0</v>
      </c>
      <c r="CK37" s="76"/>
      <c r="CL37" s="76"/>
      <c r="CM37" s="76"/>
      <c r="CN37" s="76">
        <f>+CM37*22000</f>
        <v>0</v>
      </c>
      <c r="CO37" s="76"/>
      <c r="CP37" s="76">
        <f>+CO37*46000</f>
        <v>0</v>
      </c>
      <c r="CQ37" s="76"/>
      <c r="CR37" s="76">
        <f>+CQ37*49000</f>
        <v>0</v>
      </c>
      <c r="CS37" s="76"/>
      <c r="CT37" s="76"/>
      <c r="CU37" s="56">
        <f>AN37+AP37+AR37+AT37+AV37+AX37+AZ37+BB37+BD37+BF37+BH37+BJ37+BL37+BN37+BP37+BR37+BT37+BV37+BX37+BZ37+CB37+CD37+CF37+CH37+CJ37+CL37+CN37+CP37+CR37+CT37</f>
        <v>0</v>
      </c>
      <c r="CV37" s="76"/>
      <c r="CW37" s="76">
        <f>+CV37*1100</f>
        <v>0</v>
      </c>
      <c r="CX37" s="76"/>
      <c r="CY37" s="76">
        <f>+CX37*106250</f>
        <v>0</v>
      </c>
      <c r="CZ37" s="76"/>
      <c r="DA37" s="76">
        <f>+CZ37*34500</f>
        <v>0</v>
      </c>
      <c r="DB37" s="76"/>
      <c r="DC37" s="76">
        <f>+DB37*25000</f>
        <v>0</v>
      </c>
      <c r="DD37" s="219"/>
      <c r="DE37" s="219"/>
      <c r="DF37" s="164"/>
      <c r="DG37" s="116"/>
      <c r="DH37" s="117"/>
      <c r="DI37" s="24"/>
      <c r="DJ37" s="24"/>
      <c r="DK37" s="24"/>
      <c r="DL37" s="24"/>
      <c r="DM37" s="24"/>
      <c r="DN37" s="24"/>
      <c r="DO37" s="24"/>
      <c r="DP37" s="24"/>
      <c r="DQ37" s="24"/>
      <c r="DR37" s="24"/>
      <c r="DS37" s="24"/>
      <c r="DT37" s="24"/>
      <c r="DU37" s="24"/>
    </row>
    <row r="38" spans="1:125" s="8" customFormat="1" ht="72" x14ac:dyDescent="0.2">
      <c r="A38" s="77">
        <v>41278</v>
      </c>
      <c r="B38" s="80" t="s">
        <v>2772</v>
      </c>
      <c r="C38" s="81" t="s">
        <v>2830</v>
      </c>
      <c r="D38" s="81" t="s">
        <v>2846</v>
      </c>
      <c r="E38" s="75" t="str">
        <f>VLOOKUP(B38&amp;C38,Divipola!$C$2:$F$1138,4,FALSE)</f>
        <v>25486</v>
      </c>
      <c r="F38" s="87"/>
      <c r="G38" s="87"/>
      <c r="H38" s="87"/>
      <c r="I38" s="87"/>
      <c r="J38" s="87"/>
      <c r="K38" s="87"/>
      <c r="L38" s="87"/>
      <c r="M38" s="87"/>
      <c r="N38" s="87"/>
      <c r="O38" s="87"/>
      <c r="P38" s="87"/>
      <c r="Q38" s="87"/>
      <c r="R38" s="87"/>
      <c r="S38" s="87"/>
      <c r="T38" s="87"/>
      <c r="U38" s="127">
        <v>3</v>
      </c>
      <c r="V38" s="89"/>
      <c r="W38" s="96">
        <v>0</v>
      </c>
      <c r="X38" s="71">
        <f>CU38</f>
        <v>0</v>
      </c>
      <c r="Y38" s="71">
        <f>CY38</f>
        <v>0</v>
      </c>
      <c r="Z38" s="71">
        <f>DA38+DC38+DE38</f>
        <v>0</v>
      </c>
      <c r="AA38" s="71">
        <f>CW38</f>
        <v>0</v>
      </c>
      <c r="AB38" s="71"/>
      <c r="AC38" s="71">
        <v>0</v>
      </c>
      <c r="AD38" s="71">
        <f>W38+X38+Y38+Z38+AA38+AB38+AC38</f>
        <v>0</v>
      </c>
      <c r="AE38" s="72">
        <v>0</v>
      </c>
      <c r="AF38" s="5"/>
      <c r="AG38" s="6"/>
      <c r="AH38" s="27" t="s">
        <v>3392</v>
      </c>
      <c r="AI38" s="44" t="s">
        <v>3393</v>
      </c>
      <c r="AJ38" s="26"/>
      <c r="AK38" s="92"/>
      <c r="AL38" s="82" t="s">
        <v>3306</v>
      </c>
      <c r="AM38" s="76"/>
      <c r="AN38" s="76"/>
      <c r="AO38" s="76"/>
      <c r="AP38" s="76"/>
      <c r="AQ38" s="76"/>
      <c r="AR38" s="76"/>
      <c r="AS38" s="76"/>
      <c r="AT38" s="76"/>
      <c r="AU38" s="76"/>
      <c r="AV38" s="76"/>
      <c r="AW38" s="76"/>
      <c r="AX38" s="76">
        <f>+AW38*600000</f>
        <v>0</v>
      </c>
      <c r="AY38" s="76"/>
      <c r="AZ38" s="76">
        <f>+AY38*70000</f>
        <v>0</v>
      </c>
      <c r="BA38" s="76"/>
      <c r="BB38" s="76"/>
      <c r="BC38" s="76"/>
      <c r="BD38" s="76">
        <f>+BC38*30000</f>
        <v>0</v>
      </c>
      <c r="BE38" s="76"/>
      <c r="BF38" s="76"/>
      <c r="BG38" s="76"/>
      <c r="BH38" s="76"/>
      <c r="BI38" s="76"/>
      <c r="BJ38" s="76"/>
      <c r="BK38" s="76"/>
      <c r="BL38" s="76">
        <f>+BK38*31500</f>
        <v>0</v>
      </c>
      <c r="BM38" s="76"/>
      <c r="BN38" s="76"/>
      <c r="BO38" s="76"/>
      <c r="BP38" s="76"/>
      <c r="BQ38" s="76"/>
      <c r="BR38" s="76"/>
      <c r="BS38" s="76"/>
      <c r="BT38" s="76"/>
      <c r="BU38" s="76"/>
      <c r="BV38" s="76"/>
      <c r="BW38" s="76"/>
      <c r="BX38" s="76"/>
      <c r="BY38" s="76"/>
      <c r="BZ38" s="76"/>
      <c r="CA38" s="76"/>
      <c r="CB38" s="76"/>
      <c r="CC38" s="76"/>
      <c r="CD38" s="76"/>
      <c r="CE38" s="76"/>
      <c r="CF38" s="76">
        <f>+CE38*28000</f>
        <v>0</v>
      </c>
      <c r="CG38" s="76"/>
      <c r="CH38" s="76">
        <f>+CG38*22500</f>
        <v>0</v>
      </c>
      <c r="CI38" s="76"/>
      <c r="CJ38" s="76">
        <f>+CI38*26000</f>
        <v>0</v>
      </c>
      <c r="CK38" s="76"/>
      <c r="CL38" s="76"/>
      <c r="CM38" s="76"/>
      <c r="CN38" s="76">
        <f>+CM38*22000</f>
        <v>0</v>
      </c>
      <c r="CO38" s="76"/>
      <c r="CP38" s="76">
        <f>+CO38*46000</f>
        <v>0</v>
      </c>
      <c r="CQ38" s="76"/>
      <c r="CR38" s="76">
        <f>+CQ38*49000</f>
        <v>0</v>
      </c>
      <c r="CS38" s="76"/>
      <c r="CT38" s="76"/>
      <c r="CU38" s="56">
        <f>AN38+AP38+AR38+AT38+AV38+AX38+AZ38+BB38+BD38+BF38+BH38+BJ38+BL38+BN38+BP38+BR38+BT38+BV38+BX38+BZ38+CB38+CD38+CF38+CH38+CJ38+CL38+CN38+CP38+CR38+CT38</f>
        <v>0</v>
      </c>
      <c r="CV38" s="76"/>
      <c r="CW38" s="76">
        <f>+CV38*1100</f>
        <v>0</v>
      </c>
      <c r="CX38" s="76"/>
      <c r="CY38" s="76">
        <f>+CX38*106250</f>
        <v>0</v>
      </c>
      <c r="CZ38" s="76"/>
      <c r="DA38" s="76">
        <f>+CZ38*34500</f>
        <v>0</v>
      </c>
      <c r="DB38" s="76"/>
      <c r="DC38" s="76">
        <f>+DB38*25000</f>
        <v>0</v>
      </c>
      <c r="DD38" s="219"/>
      <c r="DE38" s="219"/>
      <c r="DF38" s="164"/>
      <c r="DG38" s="116"/>
      <c r="DH38" s="117"/>
      <c r="DI38" s="24"/>
      <c r="DJ38" s="24"/>
      <c r="DK38" s="24"/>
      <c r="DL38" s="24"/>
      <c r="DM38" s="24"/>
      <c r="DN38" s="24"/>
      <c r="DO38" s="24"/>
      <c r="DP38" s="24"/>
      <c r="DQ38" s="24"/>
      <c r="DR38" s="24"/>
      <c r="DS38" s="24"/>
      <c r="DT38" s="24"/>
      <c r="DU38" s="24"/>
    </row>
    <row r="39" spans="1:125" s="8" customFormat="1" ht="72" x14ac:dyDescent="0.2">
      <c r="A39" s="77">
        <v>41278</v>
      </c>
      <c r="B39" s="78" t="s">
        <v>2772</v>
      </c>
      <c r="C39" s="75" t="s">
        <v>2690</v>
      </c>
      <c r="D39" s="81" t="s">
        <v>2846</v>
      </c>
      <c r="E39" s="75" t="str">
        <f>VLOOKUP(B39&amp;C39,Divipola!$C$2:$F$1138,4,FALSE)</f>
        <v>25513</v>
      </c>
      <c r="F39" s="87"/>
      <c r="G39" s="87"/>
      <c r="H39" s="87"/>
      <c r="I39" s="87"/>
      <c r="J39" s="87"/>
      <c r="K39" s="87"/>
      <c r="L39" s="87"/>
      <c r="M39" s="87"/>
      <c r="N39" s="87"/>
      <c r="O39" s="87"/>
      <c r="P39" s="87"/>
      <c r="Q39" s="87"/>
      <c r="R39" s="87"/>
      <c r="S39" s="87"/>
      <c r="T39" s="87"/>
      <c r="U39" s="127">
        <v>3</v>
      </c>
      <c r="V39" s="89"/>
      <c r="W39" s="96">
        <v>0</v>
      </c>
      <c r="X39" s="71">
        <f>CU39</f>
        <v>0</v>
      </c>
      <c r="Y39" s="71">
        <f>CY39</f>
        <v>0</v>
      </c>
      <c r="Z39" s="71">
        <f>DA39+DC39+DE39</f>
        <v>0</v>
      </c>
      <c r="AA39" s="71">
        <f>CW39</f>
        <v>0</v>
      </c>
      <c r="AB39" s="71"/>
      <c r="AC39" s="71">
        <v>0</v>
      </c>
      <c r="AD39" s="71">
        <f>W39+X39+Y39+Z39+AA39+AB39+AC39</f>
        <v>0</v>
      </c>
      <c r="AE39" s="72">
        <v>0</v>
      </c>
      <c r="AF39" s="5"/>
      <c r="AG39" s="6"/>
      <c r="AH39" s="27" t="s">
        <v>3392</v>
      </c>
      <c r="AI39" s="44" t="s">
        <v>3393</v>
      </c>
      <c r="AJ39" s="26"/>
      <c r="AK39" s="5"/>
      <c r="AL39" s="82" t="s">
        <v>3258</v>
      </c>
      <c r="AM39" s="76"/>
      <c r="AN39" s="76"/>
      <c r="AO39" s="76"/>
      <c r="AP39" s="76"/>
      <c r="AQ39" s="76"/>
      <c r="AR39" s="76"/>
      <c r="AS39" s="76"/>
      <c r="AT39" s="76"/>
      <c r="AU39" s="76"/>
      <c r="AV39" s="76"/>
      <c r="AW39" s="76"/>
      <c r="AX39" s="76">
        <f>+AW39*600000</f>
        <v>0</v>
      </c>
      <c r="AY39" s="76"/>
      <c r="AZ39" s="76">
        <f>+AY39*70000</f>
        <v>0</v>
      </c>
      <c r="BA39" s="76"/>
      <c r="BB39" s="76"/>
      <c r="BC39" s="76"/>
      <c r="BD39" s="76">
        <f>+BC39*30000</f>
        <v>0</v>
      </c>
      <c r="BE39" s="76"/>
      <c r="BF39" s="76"/>
      <c r="BG39" s="76"/>
      <c r="BH39" s="76"/>
      <c r="BI39" s="76"/>
      <c r="BJ39" s="76"/>
      <c r="BK39" s="76"/>
      <c r="BL39" s="76">
        <f>+BK39*31500</f>
        <v>0</v>
      </c>
      <c r="BM39" s="76"/>
      <c r="BN39" s="76"/>
      <c r="BO39" s="76"/>
      <c r="BP39" s="76"/>
      <c r="BQ39" s="76"/>
      <c r="BR39" s="76"/>
      <c r="BS39" s="76"/>
      <c r="BT39" s="76"/>
      <c r="BU39" s="76"/>
      <c r="BV39" s="76"/>
      <c r="BW39" s="76"/>
      <c r="BX39" s="76"/>
      <c r="BY39" s="76"/>
      <c r="BZ39" s="76"/>
      <c r="CA39" s="76"/>
      <c r="CB39" s="76"/>
      <c r="CC39" s="76"/>
      <c r="CD39" s="76"/>
      <c r="CE39" s="76"/>
      <c r="CF39" s="76">
        <f>+CE39*28000</f>
        <v>0</v>
      </c>
      <c r="CG39" s="76"/>
      <c r="CH39" s="76">
        <f>+CG39*22500</f>
        <v>0</v>
      </c>
      <c r="CI39" s="76"/>
      <c r="CJ39" s="76">
        <f>+CI39*26000</f>
        <v>0</v>
      </c>
      <c r="CK39" s="76"/>
      <c r="CL39" s="76"/>
      <c r="CM39" s="76"/>
      <c r="CN39" s="76">
        <f>+CM39*22000</f>
        <v>0</v>
      </c>
      <c r="CO39" s="76"/>
      <c r="CP39" s="76">
        <f>+CO39*46000</f>
        <v>0</v>
      </c>
      <c r="CQ39" s="76"/>
      <c r="CR39" s="76">
        <f>+CQ39*49000</f>
        <v>0</v>
      </c>
      <c r="CS39" s="76"/>
      <c r="CT39" s="76"/>
      <c r="CU39" s="56">
        <f>AN39+AP39+AR39+AT39+AV39+AX39+AZ39+BB39+BD39+BF39+BH39+BJ39+BL39+BN39+BP39+BR39+BT39+BV39+BX39+BZ39+CB39+CD39+CF39+CH39+CJ39+CL39+CN39+CP39+CR39+CT39</f>
        <v>0</v>
      </c>
      <c r="CV39" s="76"/>
      <c r="CW39" s="76">
        <f>+CV39*1100</f>
        <v>0</v>
      </c>
      <c r="CX39" s="76"/>
      <c r="CY39" s="76">
        <f>+CX39*106250</f>
        <v>0</v>
      </c>
      <c r="CZ39" s="76"/>
      <c r="DA39" s="76">
        <f>+CZ39*34500</f>
        <v>0</v>
      </c>
      <c r="DB39" s="76"/>
      <c r="DC39" s="76">
        <f>+DB39*25000</f>
        <v>0</v>
      </c>
      <c r="DD39" s="219"/>
      <c r="DE39" s="219"/>
      <c r="DF39" s="164"/>
      <c r="DG39" s="116"/>
      <c r="DH39" s="117"/>
      <c r="DI39" s="24"/>
      <c r="DJ39" s="24"/>
      <c r="DK39" s="24"/>
      <c r="DL39" s="24"/>
      <c r="DM39" s="24"/>
      <c r="DN39" s="24"/>
      <c r="DO39" s="24"/>
      <c r="DP39" s="24"/>
      <c r="DQ39" s="24"/>
      <c r="DR39" s="24"/>
      <c r="DS39" s="24"/>
      <c r="DT39" s="24"/>
      <c r="DU39" s="24"/>
    </row>
    <row r="40" spans="1:125" s="8" customFormat="1" ht="72" x14ac:dyDescent="0.2">
      <c r="A40" s="77">
        <v>41278</v>
      </c>
      <c r="B40" s="78" t="s">
        <v>2772</v>
      </c>
      <c r="C40" s="75" t="s">
        <v>2158</v>
      </c>
      <c r="D40" s="81" t="s">
        <v>2846</v>
      </c>
      <c r="E40" s="75" t="str">
        <f>VLOOKUP(B40&amp;C40,Divipola!$C$2:$F$1138,4,FALSE)</f>
        <v>25899</v>
      </c>
      <c r="F40" s="87"/>
      <c r="G40" s="87"/>
      <c r="H40" s="87"/>
      <c r="I40" s="87"/>
      <c r="J40" s="87"/>
      <c r="K40" s="87"/>
      <c r="L40" s="87"/>
      <c r="M40" s="87"/>
      <c r="N40" s="87"/>
      <c r="O40" s="87"/>
      <c r="P40" s="87"/>
      <c r="Q40" s="87"/>
      <c r="R40" s="87"/>
      <c r="S40" s="87"/>
      <c r="T40" s="87"/>
      <c r="U40" s="127">
        <v>2</v>
      </c>
      <c r="V40" s="89"/>
      <c r="W40" s="96">
        <v>0</v>
      </c>
      <c r="X40" s="71">
        <f>CU40</f>
        <v>0</v>
      </c>
      <c r="Y40" s="71">
        <f>CY40</f>
        <v>0</v>
      </c>
      <c r="Z40" s="71">
        <f>DA40+DC40+DE40</f>
        <v>0</v>
      </c>
      <c r="AA40" s="71">
        <f>CW40</f>
        <v>0</v>
      </c>
      <c r="AB40" s="71"/>
      <c r="AC40" s="71">
        <v>0</v>
      </c>
      <c r="AD40" s="71">
        <f>W40+X40+Y40+Z40+AA40+AB40+AC40</f>
        <v>0</v>
      </c>
      <c r="AE40" s="72">
        <v>0</v>
      </c>
      <c r="AF40" s="5"/>
      <c r="AG40" s="6"/>
      <c r="AH40" s="27" t="s">
        <v>3392</v>
      </c>
      <c r="AI40" s="44" t="s">
        <v>3393</v>
      </c>
      <c r="AJ40" s="26"/>
      <c r="AK40" s="5"/>
      <c r="AL40" s="82" t="s">
        <v>2889</v>
      </c>
      <c r="AM40" s="76"/>
      <c r="AN40" s="76"/>
      <c r="AO40" s="76"/>
      <c r="AP40" s="76"/>
      <c r="AQ40" s="76"/>
      <c r="AR40" s="76"/>
      <c r="AS40" s="76"/>
      <c r="AT40" s="76"/>
      <c r="AU40" s="76"/>
      <c r="AV40" s="76"/>
      <c r="AW40" s="76"/>
      <c r="AX40" s="76">
        <f>+AW40*600000</f>
        <v>0</v>
      </c>
      <c r="AY40" s="76"/>
      <c r="AZ40" s="76">
        <f>+AY40*70000</f>
        <v>0</v>
      </c>
      <c r="BA40" s="76"/>
      <c r="BB40" s="76"/>
      <c r="BC40" s="76"/>
      <c r="BD40" s="76">
        <f>+BC40*30000</f>
        <v>0</v>
      </c>
      <c r="BE40" s="76"/>
      <c r="BF40" s="76"/>
      <c r="BG40" s="76"/>
      <c r="BH40" s="76"/>
      <c r="BI40" s="76"/>
      <c r="BJ40" s="76"/>
      <c r="BK40" s="76"/>
      <c r="BL40" s="76">
        <f>+BK40*31500</f>
        <v>0</v>
      </c>
      <c r="BM40" s="76"/>
      <c r="BN40" s="76"/>
      <c r="BO40" s="76"/>
      <c r="BP40" s="76"/>
      <c r="BQ40" s="76"/>
      <c r="BR40" s="76"/>
      <c r="BS40" s="76"/>
      <c r="BT40" s="76"/>
      <c r="BU40" s="76"/>
      <c r="BV40" s="76"/>
      <c r="BW40" s="76"/>
      <c r="BX40" s="76"/>
      <c r="BY40" s="76"/>
      <c r="BZ40" s="76"/>
      <c r="CA40" s="76"/>
      <c r="CB40" s="76"/>
      <c r="CC40" s="76"/>
      <c r="CD40" s="76"/>
      <c r="CE40" s="76"/>
      <c r="CF40" s="76">
        <f>+CE40*28000</f>
        <v>0</v>
      </c>
      <c r="CG40" s="76"/>
      <c r="CH40" s="76">
        <f>+CG40*22500</f>
        <v>0</v>
      </c>
      <c r="CI40" s="76"/>
      <c r="CJ40" s="76">
        <f>+CI40*26000</f>
        <v>0</v>
      </c>
      <c r="CK40" s="76"/>
      <c r="CL40" s="76"/>
      <c r="CM40" s="76"/>
      <c r="CN40" s="76">
        <f>+CM40*22000</f>
        <v>0</v>
      </c>
      <c r="CO40" s="76"/>
      <c r="CP40" s="76">
        <f>+CO40*46000</f>
        <v>0</v>
      </c>
      <c r="CQ40" s="76"/>
      <c r="CR40" s="76">
        <f>+CQ40*49000</f>
        <v>0</v>
      </c>
      <c r="CS40" s="76"/>
      <c r="CT40" s="76"/>
      <c r="CU40" s="56">
        <f>AN40+AP40+AR40+AT40+AV40+AX40+AZ40+BB40+BD40+BF40+BH40+BJ40+BL40+BN40+BP40+BR40+BT40+BV40+BX40+BZ40+CB40+CD40+CF40+CH40+CJ40+CL40+CN40+CP40+CR40+CT40</f>
        <v>0</v>
      </c>
      <c r="CV40" s="76"/>
      <c r="CW40" s="76">
        <f>+CV40*1100</f>
        <v>0</v>
      </c>
      <c r="CX40" s="76"/>
      <c r="CY40" s="76">
        <f>+CX40*106250</f>
        <v>0</v>
      </c>
      <c r="CZ40" s="76"/>
      <c r="DA40" s="76">
        <f>+CZ40*34500</f>
        <v>0</v>
      </c>
      <c r="DB40" s="76"/>
      <c r="DC40" s="76">
        <f>+DB40*25000</f>
        <v>0</v>
      </c>
      <c r="DD40" s="219"/>
      <c r="DE40" s="219"/>
      <c r="DF40" s="164"/>
      <c r="DG40" s="116"/>
      <c r="DH40" s="117"/>
      <c r="DI40" s="24"/>
      <c r="DJ40" s="24"/>
      <c r="DK40" s="24"/>
      <c r="DL40" s="24"/>
      <c r="DM40" s="24"/>
      <c r="DN40" s="24"/>
      <c r="DO40" s="24"/>
      <c r="DP40" s="24"/>
      <c r="DQ40" s="24"/>
      <c r="DR40" s="24"/>
      <c r="DS40" s="24"/>
      <c r="DT40" s="24"/>
      <c r="DU40" s="24"/>
    </row>
    <row r="41" spans="1:125" s="8" customFormat="1" ht="132" x14ac:dyDescent="0.2">
      <c r="A41" s="77">
        <v>41278</v>
      </c>
      <c r="B41" s="80" t="s">
        <v>2661</v>
      </c>
      <c r="C41" s="81" t="s">
        <v>2169</v>
      </c>
      <c r="D41" s="81" t="s">
        <v>2859</v>
      </c>
      <c r="E41" s="75" t="str">
        <f>VLOOKUP(B41&amp;C41,Divipola!$C$2:$F$1138,4,FALSE)</f>
        <v>41001</v>
      </c>
      <c r="F41" s="87"/>
      <c r="G41" s="87"/>
      <c r="H41" s="87"/>
      <c r="I41" s="87">
        <v>10</v>
      </c>
      <c r="J41" s="87">
        <v>2</v>
      </c>
      <c r="K41" s="87"/>
      <c r="L41" s="87">
        <v>2</v>
      </c>
      <c r="M41" s="87"/>
      <c r="N41" s="87"/>
      <c r="O41" s="87"/>
      <c r="P41" s="87"/>
      <c r="Q41" s="87"/>
      <c r="R41" s="87"/>
      <c r="S41" s="87"/>
      <c r="T41" s="87"/>
      <c r="U41" s="127"/>
      <c r="V41" s="89"/>
      <c r="W41" s="96">
        <v>0</v>
      </c>
      <c r="X41" s="71">
        <f>CU41</f>
        <v>0</v>
      </c>
      <c r="Y41" s="71">
        <f>CY41</f>
        <v>0</v>
      </c>
      <c r="Z41" s="71">
        <f>DA41+DC41+DE41</f>
        <v>0</v>
      </c>
      <c r="AA41" s="71">
        <f>CW41</f>
        <v>0</v>
      </c>
      <c r="AB41" s="71"/>
      <c r="AC41" s="71">
        <v>0</v>
      </c>
      <c r="AD41" s="71">
        <f>W41+X41+Y41+Z41+AA41+AB41+AC41</f>
        <v>0</v>
      </c>
      <c r="AE41" s="72">
        <v>0</v>
      </c>
      <c r="AF41" s="5"/>
      <c r="AG41" s="6"/>
      <c r="AH41" s="27" t="s">
        <v>3392</v>
      </c>
      <c r="AI41" s="44" t="s">
        <v>3393</v>
      </c>
      <c r="AJ41" s="26"/>
      <c r="AK41" s="5"/>
      <c r="AL41" s="82" t="s">
        <v>2896</v>
      </c>
      <c r="AM41" s="76"/>
      <c r="AN41" s="76"/>
      <c r="AO41" s="76"/>
      <c r="AP41" s="76"/>
      <c r="AQ41" s="76"/>
      <c r="AR41" s="76"/>
      <c r="AS41" s="76"/>
      <c r="AT41" s="76"/>
      <c r="AU41" s="76"/>
      <c r="AV41" s="76"/>
      <c r="AW41" s="76"/>
      <c r="AX41" s="76">
        <f>+AW41*600000</f>
        <v>0</v>
      </c>
      <c r="AY41" s="76"/>
      <c r="AZ41" s="76">
        <f>+AY41*70000</f>
        <v>0</v>
      </c>
      <c r="BA41" s="76"/>
      <c r="BB41" s="76"/>
      <c r="BC41" s="76"/>
      <c r="BD41" s="76">
        <f>+BC41*30000</f>
        <v>0</v>
      </c>
      <c r="BE41" s="76"/>
      <c r="BF41" s="76"/>
      <c r="BG41" s="76"/>
      <c r="BH41" s="76"/>
      <c r="BI41" s="76"/>
      <c r="BJ41" s="76"/>
      <c r="BK41" s="76"/>
      <c r="BL41" s="76">
        <f>+BK41*31500</f>
        <v>0</v>
      </c>
      <c r="BM41" s="76"/>
      <c r="BN41" s="76"/>
      <c r="BO41" s="76"/>
      <c r="BP41" s="76"/>
      <c r="BQ41" s="76"/>
      <c r="BR41" s="76"/>
      <c r="BS41" s="76"/>
      <c r="BT41" s="76"/>
      <c r="BU41" s="76"/>
      <c r="BV41" s="76"/>
      <c r="BW41" s="76"/>
      <c r="BX41" s="76"/>
      <c r="BY41" s="76"/>
      <c r="BZ41" s="76"/>
      <c r="CA41" s="76"/>
      <c r="CB41" s="76"/>
      <c r="CC41" s="76"/>
      <c r="CD41" s="76"/>
      <c r="CE41" s="76"/>
      <c r="CF41" s="76">
        <f>+CE41*28000</f>
        <v>0</v>
      </c>
      <c r="CG41" s="76"/>
      <c r="CH41" s="76">
        <f>+CG41*22500</f>
        <v>0</v>
      </c>
      <c r="CI41" s="76"/>
      <c r="CJ41" s="76">
        <f>+CI41*26000</f>
        <v>0</v>
      </c>
      <c r="CK41" s="76"/>
      <c r="CL41" s="76"/>
      <c r="CM41" s="76"/>
      <c r="CN41" s="76">
        <f>+CM41*22000</f>
        <v>0</v>
      </c>
      <c r="CO41" s="76"/>
      <c r="CP41" s="76">
        <f>+CO41*46000</f>
        <v>0</v>
      </c>
      <c r="CQ41" s="76"/>
      <c r="CR41" s="76">
        <f>+CQ41*49000</f>
        <v>0</v>
      </c>
      <c r="CS41" s="76"/>
      <c r="CT41" s="76"/>
      <c r="CU41" s="56">
        <f>AN41+AP41+AR41+AT41+AV41+AX41+AZ41+BB41+BD41+BF41+BH41+BJ41+BL41+BN41+BP41+BR41+BT41+BV41+BX41+BZ41+CB41+CD41+CF41+CH41+CJ41+CL41+CN41+CP41+CR41+CT41</f>
        <v>0</v>
      </c>
      <c r="CV41" s="76"/>
      <c r="CW41" s="76">
        <f>+CV41*1100</f>
        <v>0</v>
      </c>
      <c r="CX41" s="76"/>
      <c r="CY41" s="76">
        <f>+CX41*106250</f>
        <v>0</v>
      </c>
      <c r="CZ41" s="76"/>
      <c r="DA41" s="76">
        <f>+CZ41*34500</f>
        <v>0</v>
      </c>
      <c r="DB41" s="76"/>
      <c r="DC41" s="76">
        <f>+DB41*25000</f>
        <v>0</v>
      </c>
      <c r="DD41" s="219"/>
      <c r="DE41" s="219"/>
      <c r="DF41" s="164"/>
      <c r="DG41" s="116"/>
      <c r="DH41" s="117"/>
      <c r="DI41" s="24"/>
      <c r="DJ41" s="24"/>
      <c r="DK41" s="24"/>
      <c r="DL41" s="24"/>
      <c r="DM41" s="24"/>
      <c r="DN41" s="24"/>
      <c r="DO41" s="24"/>
      <c r="DP41" s="24"/>
      <c r="DQ41" s="24"/>
      <c r="DR41" s="24"/>
      <c r="DS41" s="24"/>
      <c r="DT41" s="24"/>
      <c r="DU41" s="24"/>
    </row>
    <row r="42" spans="1:125" s="8" customFormat="1" ht="48" x14ac:dyDescent="0.2">
      <c r="A42" s="77">
        <v>41278</v>
      </c>
      <c r="B42" s="78" t="s">
        <v>506</v>
      </c>
      <c r="C42" s="75" t="s">
        <v>1697</v>
      </c>
      <c r="D42" s="81" t="s">
        <v>2846</v>
      </c>
      <c r="E42" s="75" t="str">
        <f>VLOOKUP(B42&amp;C42,Divipola!$C$2:$F$1138,4,FALSE)</f>
        <v>50001</v>
      </c>
      <c r="F42" s="87"/>
      <c r="G42" s="87"/>
      <c r="H42" s="87"/>
      <c r="I42" s="87"/>
      <c r="J42" s="87"/>
      <c r="K42" s="87"/>
      <c r="L42" s="87"/>
      <c r="M42" s="87"/>
      <c r="N42" s="87"/>
      <c r="O42" s="87"/>
      <c r="P42" s="87"/>
      <c r="Q42" s="87"/>
      <c r="R42" s="87"/>
      <c r="S42" s="87"/>
      <c r="T42" s="87"/>
      <c r="U42" s="127"/>
      <c r="V42" s="89"/>
      <c r="W42" s="96">
        <v>0</v>
      </c>
      <c r="X42" s="71">
        <f>CU42</f>
        <v>0</v>
      </c>
      <c r="Y42" s="71">
        <f>CY42</f>
        <v>0</v>
      </c>
      <c r="Z42" s="71">
        <f>DA42+DC42+DE42</f>
        <v>0</v>
      </c>
      <c r="AA42" s="71">
        <f>CW42</f>
        <v>0</v>
      </c>
      <c r="AB42" s="71"/>
      <c r="AC42" s="71">
        <v>0</v>
      </c>
      <c r="AD42" s="71">
        <f>W42+X42+Y42+Z42+AA42+AB42+AC42</f>
        <v>0</v>
      </c>
      <c r="AE42" s="72">
        <v>0</v>
      </c>
      <c r="AF42" s="5"/>
      <c r="AG42" s="6"/>
      <c r="AH42" s="27" t="s">
        <v>3392</v>
      </c>
      <c r="AI42" s="44" t="s">
        <v>3393</v>
      </c>
      <c r="AJ42" s="26"/>
      <c r="AK42" s="5"/>
      <c r="AL42" s="82" t="s">
        <v>2891</v>
      </c>
      <c r="AM42" s="76"/>
      <c r="AN42" s="76"/>
      <c r="AO42" s="76"/>
      <c r="AP42" s="76"/>
      <c r="AQ42" s="76"/>
      <c r="AR42" s="76"/>
      <c r="AS42" s="76"/>
      <c r="AT42" s="76"/>
      <c r="AU42" s="76"/>
      <c r="AV42" s="76"/>
      <c r="AW42" s="76"/>
      <c r="AX42" s="76">
        <f>+AW42*600000</f>
        <v>0</v>
      </c>
      <c r="AY42" s="76"/>
      <c r="AZ42" s="76">
        <f>+AY42*70000</f>
        <v>0</v>
      </c>
      <c r="BA42" s="76"/>
      <c r="BB42" s="76"/>
      <c r="BC42" s="76"/>
      <c r="BD42" s="76">
        <f>+BC42*30000</f>
        <v>0</v>
      </c>
      <c r="BE42" s="76"/>
      <c r="BF42" s="76"/>
      <c r="BG42" s="76"/>
      <c r="BH42" s="76"/>
      <c r="BI42" s="76"/>
      <c r="BJ42" s="76"/>
      <c r="BK42" s="76"/>
      <c r="BL42" s="76">
        <f>+BK42*31500</f>
        <v>0</v>
      </c>
      <c r="BM42" s="76"/>
      <c r="BN42" s="76"/>
      <c r="BO42" s="76"/>
      <c r="BP42" s="76"/>
      <c r="BQ42" s="76"/>
      <c r="BR42" s="76"/>
      <c r="BS42" s="76"/>
      <c r="BT42" s="76"/>
      <c r="BU42" s="76"/>
      <c r="BV42" s="76"/>
      <c r="BW42" s="76"/>
      <c r="BX42" s="76"/>
      <c r="BY42" s="76"/>
      <c r="BZ42" s="76"/>
      <c r="CA42" s="76"/>
      <c r="CB42" s="76"/>
      <c r="CC42" s="76"/>
      <c r="CD42" s="76"/>
      <c r="CE42" s="76"/>
      <c r="CF42" s="76">
        <f>+CE42*28000</f>
        <v>0</v>
      </c>
      <c r="CG42" s="76"/>
      <c r="CH42" s="76">
        <f>+CG42*22500</f>
        <v>0</v>
      </c>
      <c r="CI42" s="76"/>
      <c r="CJ42" s="76">
        <f>+CI42*26000</f>
        <v>0</v>
      </c>
      <c r="CK42" s="76"/>
      <c r="CL42" s="76"/>
      <c r="CM42" s="76"/>
      <c r="CN42" s="76">
        <f>+CM42*22000</f>
        <v>0</v>
      </c>
      <c r="CO42" s="76"/>
      <c r="CP42" s="76">
        <f>+CO42*46000</f>
        <v>0</v>
      </c>
      <c r="CQ42" s="76"/>
      <c r="CR42" s="76">
        <f>+CQ42*49000</f>
        <v>0</v>
      </c>
      <c r="CS42" s="76"/>
      <c r="CT42" s="76"/>
      <c r="CU42" s="56">
        <f>AN42+AP42+AR42+AT42+AV42+AX42+AZ42+BB42+BD42+BF42+BH42+BJ42+BL42+BN42+BP42+BR42+BT42+BV42+BX42+BZ42+CB42+CD42+CF42+CH42+CJ42+CL42+CN42+CP42+CR42+CT42</f>
        <v>0</v>
      </c>
      <c r="CV42" s="76"/>
      <c r="CW42" s="76">
        <f>+CV42*1100</f>
        <v>0</v>
      </c>
      <c r="CX42" s="76"/>
      <c r="CY42" s="76">
        <f>+CX42*106250</f>
        <v>0</v>
      </c>
      <c r="CZ42" s="76"/>
      <c r="DA42" s="76">
        <f>+CZ42*34500</f>
        <v>0</v>
      </c>
      <c r="DB42" s="76"/>
      <c r="DC42" s="76">
        <f>+DB42*25000</f>
        <v>0</v>
      </c>
      <c r="DD42" s="219"/>
      <c r="DE42" s="219"/>
      <c r="DF42" s="164"/>
      <c r="DG42" s="116"/>
      <c r="DH42" s="117"/>
      <c r="DI42" s="24"/>
      <c r="DJ42" s="24"/>
      <c r="DK42" s="24"/>
      <c r="DL42" s="24"/>
      <c r="DM42" s="24"/>
      <c r="DN42" s="24"/>
      <c r="DO42" s="24"/>
      <c r="DP42" s="24"/>
      <c r="DQ42" s="24"/>
      <c r="DR42" s="24"/>
      <c r="DS42" s="24"/>
      <c r="DT42" s="24"/>
      <c r="DU42" s="24"/>
    </row>
    <row r="43" spans="1:125" s="8" customFormat="1" ht="72" x14ac:dyDescent="0.2">
      <c r="A43" s="77">
        <v>41278</v>
      </c>
      <c r="B43" s="80" t="s">
        <v>2847</v>
      </c>
      <c r="C43" s="81" t="s">
        <v>2424</v>
      </c>
      <c r="D43" s="81" t="s">
        <v>2846</v>
      </c>
      <c r="E43" s="75" t="str">
        <f>VLOOKUP(B43&amp;C43,Divipola!$C$2:$F$1138,4,FALSE)</f>
        <v>68207</v>
      </c>
      <c r="F43" s="87"/>
      <c r="G43" s="87"/>
      <c r="H43" s="87"/>
      <c r="I43" s="87"/>
      <c r="J43" s="87"/>
      <c r="K43" s="87"/>
      <c r="L43" s="87"/>
      <c r="M43" s="87"/>
      <c r="N43" s="87"/>
      <c r="O43" s="87"/>
      <c r="P43" s="87"/>
      <c r="Q43" s="87"/>
      <c r="R43" s="87"/>
      <c r="S43" s="87"/>
      <c r="T43" s="87"/>
      <c r="U43" s="127">
        <v>1</v>
      </c>
      <c r="V43" s="89"/>
      <c r="W43" s="96">
        <v>0</v>
      </c>
      <c r="X43" s="71">
        <f>CU43</f>
        <v>0</v>
      </c>
      <c r="Y43" s="71">
        <f>CY43</f>
        <v>0</v>
      </c>
      <c r="Z43" s="71">
        <f>DA43+DC43+DE43</f>
        <v>0</v>
      </c>
      <c r="AA43" s="71">
        <f>CW43</f>
        <v>0</v>
      </c>
      <c r="AB43" s="71"/>
      <c r="AC43" s="71">
        <v>0</v>
      </c>
      <c r="AD43" s="71">
        <f>W43+X43+Y43+Z43+AA43+AB43+AC43</f>
        <v>0</v>
      </c>
      <c r="AE43" s="72">
        <v>0</v>
      </c>
      <c r="AF43" s="5"/>
      <c r="AG43" s="6"/>
      <c r="AH43" s="27" t="s">
        <v>3392</v>
      </c>
      <c r="AI43" s="44" t="s">
        <v>3393</v>
      </c>
      <c r="AJ43" s="26"/>
      <c r="AK43" s="5"/>
      <c r="AL43" s="82" t="s">
        <v>2901</v>
      </c>
      <c r="AM43" s="76"/>
      <c r="AN43" s="76"/>
      <c r="AO43" s="76"/>
      <c r="AP43" s="76"/>
      <c r="AQ43" s="76"/>
      <c r="AR43" s="76"/>
      <c r="AS43" s="76"/>
      <c r="AT43" s="76"/>
      <c r="AU43" s="76"/>
      <c r="AV43" s="76"/>
      <c r="AW43" s="76"/>
      <c r="AX43" s="76">
        <f>+AW43*600000</f>
        <v>0</v>
      </c>
      <c r="AY43" s="76"/>
      <c r="AZ43" s="76">
        <f>+AY43*70000</f>
        <v>0</v>
      </c>
      <c r="BA43" s="76"/>
      <c r="BB43" s="76"/>
      <c r="BC43" s="76"/>
      <c r="BD43" s="76">
        <f>+BC43*30000</f>
        <v>0</v>
      </c>
      <c r="BE43" s="76"/>
      <c r="BF43" s="76"/>
      <c r="BG43" s="76"/>
      <c r="BH43" s="76"/>
      <c r="BI43" s="76"/>
      <c r="BJ43" s="76"/>
      <c r="BK43" s="76"/>
      <c r="BL43" s="76">
        <f>+BK43*31500</f>
        <v>0</v>
      </c>
      <c r="BM43" s="76"/>
      <c r="BN43" s="76"/>
      <c r="BO43" s="76"/>
      <c r="BP43" s="76"/>
      <c r="BQ43" s="76"/>
      <c r="BR43" s="76"/>
      <c r="BS43" s="76"/>
      <c r="BT43" s="76"/>
      <c r="BU43" s="76"/>
      <c r="BV43" s="76"/>
      <c r="BW43" s="76"/>
      <c r="BX43" s="76"/>
      <c r="BY43" s="76"/>
      <c r="BZ43" s="76"/>
      <c r="CA43" s="76"/>
      <c r="CB43" s="76"/>
      <c r="CC43" s="76"/>
      <c r="CD43" s="76"/>
      <c r="CE43" s="76"/>
      <c r="CF43" s="76">
        <f>+CE43*28000</f>
        <v>0</v>
      </c>
      <c r="CG43" s="76"/>
      <c r="CH43" s="76">
        <f>+CG43*22500</f>
        <v>0</v>
      </c>
      <c r="CI43" s="76"/>
      <c r="CJ43" s="76">
        <f>+CI43*26000</f>
        <v>0</v>
      </c>
      <c r="CK43" s="76"/>
      <c r="CL43" s="76"/>
      <c r="CM43" s="76"/>
      <c r="CN43" s="76">
        <f>+CM43*22000</f>
        <v>0</v>
      </c>
      <c r="CO43" s="76"/>
      <c r="CP43" s="76">
        <f>+CO43*46000</f>
        <v>0</v>
      </c>
      <c r="CQ43" s="76"/>
      <c r="CR43" s="76">
        <f>+CQ43*49000</f>
        <v>0</v>
      </c>
      <c r="CS43" s="76"/>
      <c r="CT43" s="76"/>
      <c r="CU43" s="56">
        <f>AN43+AP43+AR43+AT43+AV43+AX43+AZ43+BB43+BD43+BF43+BH43+BJ43+BL43+BN43+BP43+BR43+BT43+BV43+BX43+BZ43+CB43+CD43+CF43+CH43+CJ43+CL43+CN43+CP43+CR43+CT43</f>
        <v>0</v>
      </c>
      <c r="CV43" s="76"/>
      <c r="CW43" s="76">
        <f>+CV43*1100</f>
        <v>0</v>
      </c>
      <c r="CX43" s="76"/>
      <c r="CY43" s="76">
        <f>+CX43*106250</f>
        <v>0</v>
      </c>
      <c r="CZ43" s="76"/>
      <c r="DA43" s="76">
        <f>+CZ43*34500</f>
        <v>0</v>
      </c>
      <c r="DB43" s="76"/>
      <c r="DC43" s="76">
        <f>+DB43*25000</f>
        <v>0</v>
      </c>
      <c r="DD43" s="219"/>
      <c r="DE43" s="219"/>
      <c r="DF43" s="164"/>
      <c r="DG43" s="116"/>
      <c r="DH43" s="117"/>
      <c r="DI43" s="24"/>
      <c r="DJ43" s="24"/>
      <c r="DK43" s="24"/>
      <c r="DL43" s="24"/>
      <c r="DM43" s="24"/>
      <c r="DN43" s="24"/>
      <c r="DO43" s="24"/>
      <c r="DP43" s="24"/>
      <c r="DQ43" s="24"/>
      <c r="DR43" s="24"/>
      <c r="DS43" s="24"/>
      <c r="DT43" s="24"/>
      <c r="DU43" s="24"/>
    </row>
    <row r="44" spans="1:125" s="8" customFormat="1" ht="48" x14ac:dyDescent="0.2">
      <c r="A44" s="77">
        <v>41278</v>
      </c>
      <c r="B44" s="80" t="s">
        <v>2847</v>
      </c>
      <c r="C44" s="81" t="s">
        <v>2109</v>
      </c>
      <c r="D44" s="81" t="s">
        <v>2846</v>
      </c>
      <c r="E44" s="75" t="str">
        <f>VLOOKUP(B44&amp;C44,Divipola!$C$2:$F$1138,4,FALSE)</f>
        <v>68575</v>
      </c>
      <c r="F44" s="87"/>
      <c r="G44" s="87"/>
      <c r="H44" s="87"/>
      <c r="I44" s="87"/>
      <c r="J44" s="87"/>
      <c r="K44" s="87"/>
      <c r="L44" s="87"/>
      <c r="M44" s="87"/>
      <c r="N44" s="87"/>
      <c r="O44" s="87"/>
      <c r="P44" s="87"/>
      <c r="Q44" s="87"/>
      <c r="R44" s="87"/>
      <c r="S44" s="87"/>
      <c r="T44" s="87"/>
      <c r="U44" s="127">
        <v>4</v>
      </c>
      <c r="V44" s="89"/>
      <c r="W44" s="96">
        <v>0</v>
      </c>
      <c r="X44" s="71">
        <f>CU44</f>
        <v>0</v>
      </c>
      <c r="Y44" s="71">
        <f>CY44</f>
        <v>0</v>
      </c>
      <c r="Z44" s="71">
        <f>DA44+DC44+DE44</f>
        <v>0</v>
      </c>
      <c r="AA44" s="71">
        <f>CW44</f>
        <v>0</v>
      </c>
      <c r="AB44" s="71"/>
      <c r="AC44" s="71">
        <v>0</v>
      </c>
      <c r="AD44" s="71">
        <f>W44+X44+Y44+Z44+AA44+AB44+AC44</f>
        <v>0</v>
      </c>
      <c r="AE44" s="72">
        <v>0</v>
      </c>
      <c r="AF44" s="5"/>
      <c r="AG44" s="6"/>
      <c r="AH44" s="27" t="s">
        <v>3392</v>
      </c>
      <c r="AI44" s="44" t="s">
        <v>3393</v>
      </c>
      <c r="AJ44" s="26"/>
      <c r="AK44" s="5"/>
      <c r="AL44" s="82" t="s">
        <v>2900</v>
      </c>
      <c r="AM44" s="76"/>
      <c r="AN44" s="76"/>
      <c r="AO44" s="76"/>
      <c r="AP44" s="76"/>
      <c r="AQ44" s="76"/>
      <c r="AR44" s="76"/>
      <c r="AS44" s="76"/>
      <c r="AT44" s="76"/>
      <c r="AU44" s="76"/>
      <c r="AV44" s="76"/>
      <c r="AW44" s="76"/>
      <c r="AX44" s="76">
        <f>+AW44*600000</f>
        <v>0</v>
      </c>
      <c r="AY44" s="76"/>
      <c r="AZ44" s="76">
        <f>+AY44*70000</f>
        <v>0</v>
      </c>
      <c r="BA44" s="76"/>
      <c r="BB44" s="76"/>
      <c r="BC44" s="76"/>
      <c r="BD44" s="76">
        <f>+BC44*30000</f>
        <v>0</v>
      </c>
      <c r="BE44" s="76"/>
      <c r="BF44" s="76"/>
      <c r="BG44" s="76"/>
      <c r="BH44" s="76"/>
      <c r="BI44" s="76"/>
      <c r="BJ44" s="76"/>
      <c r="BK44" s="76"/>
      <c r="BL44" s="76">
        <f>+BK44*31500</f>
        <v>0</v>
      </c>
      <c r="BM44" s="76"/>
      <c r="BN44" s="76"/>
      <c r="BO44" s="76"/>
      <c r="BP44" s="76"/>
      <c r="BQ44" s="76"/>
      <c r="BR44" s="76"/>
      <c r="BS44" s="76"/>
      <c r="BT44" s="76"/>
      <c r="BU44" s="76"/>
      <c r="BV44" s="76"/>
      <c r="BW44" s="76"/>
      <c r="BX44" s="76"/>
      <c r="BY44" s="76"/>
      <c r="BZ44" s="76"/>
      <c r="CA44" s="76"/>
      <c r="CB44" s="76"/>
      <c r="CC44" s="76"/>
      <c r="CD44" s="76"/>
      <c r="CE44" s="76"/>
      <c r="CF44" s="76">
        <f>+CE44*28000</f>
        <v>0</v>
      </c>
      <c r="CG44" s="76"/>
      <c r="CH44" s="76">
        <f>+CG44*22500</f>
        <v>0</v>
      </c>
      <c r="CI44" s="76"/>
      <c r="CJ44" s="76">
        <f>+CI44*26000</f>
        <v>0</v>
      </c>
      <c r="CK44" s="76"/>
      <c r="CL44" s="76"/>
      <c r="CM44" s="76"/>
      <c r="CN44" s="76">
        <f>+CM44*22000</f>
        <v>0</v>
      </c>
      <c r="CO44" s="76"/>
      <c r="CP44" s="76">
        <f>+CO44*46000</f>
        <v>0</v>
      </c>
      <c r="CQ44" s="76"/>
      <c r="CR44" s="76">
        <f>+CQ44*49000</f>
        <v>0</v>
      </c>
      <c r="CS44" s="76"/>
      <c r="CT44" s="76"/>
      <c r="CU44" s="56">
        <f>AN44+AP44+AR44+AT44+AV44+AX44+AZ44+BB44+BD44+BF44+BH44+BJ44+BL44+BN44+BP44+BR44+BT44+BV44+BX44+BZ44+CB44+CD44+CF44+CH44+CJ44+CL44+CN44+CP44+CR44+CT44</f>
        <v>0</v>
      </c>
      <c r="CV44" s="76"/>
      <c r="CW44" s="76">
        <f>+CV44*1100</f>
        <v>0</v>
      </c>
      <c r="CX44" s="76"/>
      <c r="CY44" s="76">
        <f>+CX44*106250</f>
        <v>0</v>
      </c>
      <c r="CZ44" s="76"/>
      <c r="DA44" s="76">
        <f>+CZ44*34500</f>
        <v>0</v>
      </c>
      <c r="DB44" s="76"/>
      <c r="DC44" s="76">
        <f>+DB44*25000</f>
        <v>0</v>
      </c>
      <c r="DD44" s="219"/>
      <c r="DE44" s="219"/>
      <c r="DF44" s="164"/>
      <c r="DG44" s="116"/>
      <c r="DH44" s="117"/>
      <c r="DI44" s="24"/>
      <c r="DJ44" s="24"/>
      <c r="DK44" s="24"/>
      <c r="DL44" s="24"/>
      <c r="DM44" s="24"/>
      <c r="DN44" s="24"/>
      <c r="DO44" s="24"/>
      <c r="DP44" s="24"/>
      <c r="DQ44" s="24"/>
      <c r="DR44" s="24"/>
      <c r="DS44" s="24"/>
      <c r="DT44" s="24"/>
      <c r="DU44" s="24"/>
    </row>
    <row r="45" spans="1:125" s="8" customFormat="1" ht="180" x14ac:dyDescent="0.2">
      <c r="A45" s="77">
        <v>41278</v>
      </c>
      <c r="B45" s="80" t="s">
        <v>2847</v>
      </c>
      <c r="C45" s="81" t="s">
        <v>2165</v>
      </c>
      <c r="D45" s="81" t="s">
        <v>2846</v>
      </c>
      <c r="E45" s="75" t="str">
        <f>VLOOKUP(B45&amp;C45,Divipola!$C$2:$F$1138,4,FALSE)</f>
        <v>68655</v>
      </c>
      <c r="F45" s="87"/>
      <c r="G45" s="87"/>
      <c r="H45" s="87"/>
      <c r="I45" s="87"/>
      <c r="J45" s="87"/>
      <c r="K45" s="87"/>
      <c r="L45" s="87"/>
      <c r="M45" s="87"/>
      <c r="N45" s="87"/>
      <c r="O45" s="87"/>
      <c r="P45" s="87"/>
      <c r="Q45" s="87"/>
      <c r="R45" s="87"/>
      <c r="S45" s="87"/>
      <c r="T45" s="87"/>
      <c r="U45" s="127">
        <v>7</v>
      </c>
      <c r="V45" s="89"/>
      <c r="W45" s="96">
        <v>0</v>
      </c>
      <c r="X45" s="71">
        <f>CU45</f>
        <v>0</v>
      </c>
      <c r="Y45" s="71">
        <f>CY45</f>
        <v>0</v>
      </c>
      <c r="Z45" s="71">
        <f>DA45+DC45+DE45</f>
        <v>0</v>
      </c>
      <c r="AA45" s="71">
        <f>CW45</f>
        <v>0</v>
      </c>
      <c r="AB45" s="71"/>
      <c r="AC45" s="71">
        <v>0</v>
      </c>
      <c r="AD45" s="71">
        <f>W45+X45+Y45+Z45+AA45+AB45+AC45</f>
        <v>0</v>
      </c>
      <c r="AE45" s="72">
        <v>0</v>
      </c>
      <c r="AF45" s="5"/>
      <c r="AG45" s="6"/>
      <c r="AH45" s="27" t="s">
        <v>3392</v>
      </c>
      <c r="AI45" s="44" t="s">
        <v>3393</v>
      </c>
      <c r="AJ45" s="26"/>
      <c r="AK45" s="5"/>
      <c r="AL45" s="82" t="s">
        <v>2899</v>
      </c>
      <c r="AM45" s="76"/>
      <c r="AN45" s="76"/>
      <c r="AO45" s="76"/>
      <c r="AP45" s="76"/>
      <c r="AQ45" s="76"/>
      <c r="AR45" s="76"/>
      <c r="AS45" s="76"/>
      <c r="AT45" s="76"/>
      <c r="AU45" s="76"/>
      <c r="AV45" s="76"/>
      <c r="AW45" s="76"/>
      <c r="AX45" s="76">
        <f>+AW45*600000</f>
        <v>0</v>
      </c>
      <c r="AY45" s="76"/>
      <c r="AZ45" s="76">
        <f>+AY45*70000</f>
        <v>0</v>
      </c>
      <c r="BA45" s="76"/>
      <c r="BB45" s="76"/>
      <c r="BC45" s="76"/>
      <c r="BD45" s="76">
        <f>+BC45*30000</f>
        <v>0</v>
      </c>
      <c r="BE45" s="76"/>
      <c r="BF45" s="76"/>
      <c r="BG45" s="76"/>
      <c r="BH45" s="76"/>
      <c r="BI45" s="76"/>
      <c r="BJ45" s="76"/>
      <c r="BK45" s="76"/>
      <c r="BL45" s="76">
        <f>+BK45*31500</f>
        <v>0</v>
      </c>
      <c r="BM45" s="76"/>
      <c r="BN45" s="76"/>
      <c r="BO45" s="76"/>
      <c r="BP45" s="76"/>
      <c r="BQ45" s="76"/>
      <c r="BR45" s="76"/>
      <c r="BS45" s="76"/>
      <c r="BT45" s="76"/>
      <c r="BU45" s="76"/>
      <c r="BV45" s="76"/>
      <c r="BW45" s="76"/>
      <c r="BX45" s="76"/>
      <c r="BY45" s="76"/>
      <c r="BZ45" s="76"/>
      <c r="CA45" s="76"/>
      <c r="CB45" s="76"/>
      <c r="CC45" s="76"/>
      <c r="CD45" s="76"/>
      <c r="CE45" s="76"/>
      <c r="CF45" s="76">
        <f>+CE45*28000</f>
        <v>0</v>
      </c>
      <c r="CG45" s="76"/>
      <c r="CH45" s="76">
        <f>+CG45*22500</f>
        <v>0</v>
      </c>
      <c r="CI45" s="76"/>
      <c r="CJ45" s="76">
        <f>+CI45*26000</f>
        <v>0</v>
      </c>
      <c r="CK45" s="76"/>
      <c r="CL45" s="76"/>
      <c r="CM45" s="76"/>
      <c r="CN45" s="76">
        <f>+CM45*22000</f>
        <v>0</v>
      </c>
      <c r="CO45" s="76"/>
      <c r="CP45" s="76">
        <f>+CO45*46000</f>
        <v>0</v>
      </c>
      <c r="CQ45" s="76"/>
      <c r="CR45" s="76">
        <f>+CQ45*49000</f>
        <v>0</v>
      </c>
      <c r="CS45" s="76"/>
      <c r="CT45" s="76"/>
      <c r="CU45" s="56">
        <f>AN45+AP45+AR45+AT45+AV45+AX45+AZ45+BB45+BD45+BF45+BH45+BJ45+BL45+BN45+BP45+BR45+BT45+BV45+BX45+BZ45+CB45+CD45+CF45+CH45+CJ45+CL45+CN45+CP45+CR45+CT45</f>
        <v>0</v>
      </c>
      <c r="CV45" s="76"/>
      <c r="CW45" s="76">
        <f>+CV45*1100</f>
        <v>0</v>
      </c>
      <c r="CX45" s="76"/>
      <c r="CY45" s="76">
        <f>+CX45*106250</f>
        <v>0</v>
      </c>
      <c r="CZ45" s="76"/>
      <c r="DA45" s="76">
        <f>+CZ45*34500</f>
        <v>0</v>
      </c>
      <c r="DB45" s="76"/>
      <c r="DC45" s="76">
        <f>+DB45*25000</f>
        <v>0</v>
      </c>
      <c r="DD45" s="219"/>
      <c r="DE45" s="219"/>
      <c r="DF45" s="164"/>
      <c r="DG45" s="116"/>
      <c r="DH45" s="117"/>
      <c r="DI45" s="24"/>
      <c r="DJ45" s="24"/>
      <c r="DK45" s="24"/>
      <c r="DL45" s="24"/>
      <c r="DM45" s="24"/>
      <c r="DN45" s="24"/>
      <c r="DO45" s="24"/>
      <c r="DP45" s="24"/>
      <c r="DQ45" s="24"/>
      <c r="DR45" s="24"/>
      <c r="DS45" s="24"/>
      <c r="DT45" s="24"/>
      <c r="DU45" s="24"/>
    </row>
    <row r="46" spans="1:125" s="8" customFormat="1" ht="96" x14ac:dyDescent="0.2">
      <c r="A46" s="77">
        <v>41278</v>
      </c>
      <c r="B46" s="80" t="s">
        <v>2848</v>
      </c>
      <c r="C46" s="81" t="s">
        <v>484</v>
      </c>
      <c r="D46" s="81" t="s">
        <v>2849</v>
      </c>
      <c r="E46" s="75" t="str">
        <f>VLOOKUP(B46&amp;C46,Divipola!$C$2:$F$1138,4,FALSE)</f>
        <v>73347</v>
      </c>
      <c r="F46" s="87">
        <v>9</v>
      </c>
      <c r="G46" s="87">
        <v>33</v>
      </c>
      <c r="H46" s="87"/>
      <c r="I46" s="87">
        <v>42</v>
      </c>
      <c r="J46" s="87"/>
      <c r="K46" s="87"/>
      <c r="L46" s="87"/>
      <c r="M46" s="87"/>
      <c r="N46" s="87"/>
      <c r="O46" s="87"/>
      <c r="P46" s="87"/>
      <c r="Q46" s="87"/>
      <c r="R46" s="87"/>
      <c r="S46" s="87"/>
      <c r="T46" s="87"/>
      <c r="U46" s="127"/>
      <c r="V46" s="89"/>
      <c r="W46" s="96">
        <v>0</v>
      </c>
      <c r="X46" s="71">
        <f>CU46</f>
        <v>0</v>
      </c>
      <c r="Y46" s="71">
        <f>CY46</f>
        <v>0</v>
      </c>
      <c r="Z46" s="71">
        <f>DA46+DC46+DE46</f>
        <v>0</v>
      </c>
      <c r="AA46" s="71">
        <f>CW46</f>
        <v>0</v>
      </c>
      <c r="AB46" s="71"/>
      <c r="AC46" s="71">
        <v>0</v>
      </c>
      <c r="AD46" s="71">
        <f>W46+X46+Y46+Z46+AA46+AB46+AC46</f>
        <v>0</v>
      </c>
      <c r="AE46" s="72">
        <v>0</v>
      </c>
      <c r="AF46" s="5"/>
      <c r="AG46" s="6"/>
      <c r="AH46" s="27" t="s">
        <v>3392</v>
      </c>
      <c r="AI46" s="44" t="s">
        <v>3393</v>
      </c>
      <c r="AJ46" s="26"/>
      <c r="AK46" s="5"/>
      <c r="AL46" s="82" t="s">
        <v>2897</v>
      </c>
      <c r="AM46" s="76"/>
      <c r="AN46" s="76"/>
      <c r="AO46" s="76"/>
      <c r="AP46" s="76"/>
      <c r="AQ46" s="76"/>
      <c r="AR46" s="76"/>
      <c r="AS46" s="76"/>
      <c r="AT46" s="76"/>
      <c r="AU46" s="76"/>
      <c r="AV46" s="76"/>
      <c r="AW46" s="76"/>
      <c r="AX46" s="76">
        <f>+AW46*600000</f>
        <v>0</v>
      </c>
      <c r="AY46" s="76"/>
      <c r="AZ46" s="76">
        <f>+AY46*70000</f>
        <v>0</v>
      </c>
      <c r="BA46" s="76"/>
      <c r="BB46" s="76"/>
      <c r="BC46" s="76"/>
      <c r="BD46" s="76">
        <f>+BC46*30000</f>
        <v>0</v>
      </c>
      <c r="BE46" s="76"/>
      <c r="BF46" s="76"/>
      <c r="BG46" s="76"/>
      <c r="BH46" s="76"/>
      <c r="BI46" s="76"/>
      <c r="BJ46" s="76"/>
      <c r="BK46" s="76"/>
      <c r="BL46" s="76">
        <f>+BK46*31500</f>
        <v>0</v>
      </c>
      <c r="BM46" s="76"/>
      <c r="BN46" s="76"/>
      <c r="BO46" s="76"/>
      <c r="BP46" s="76"/>
      <c r="BQ46" s="76"/>
      <c r="BR46" s="76"/>
      <c r="BS46" s="76"/>
      <c r="BT46" s="76"/>
      <c r="BU46" s="76"/>
      <c r="BV46" s="76"/>
      <c r="BW46" s="76"/>
      <c r="BX46" s="76"/>
      <c r="BY46" s="76"/>
      <c r="BZ46" s="76"/>
      <c r="CA46" s="76"/>
      <c r="CB46" s="76"/>
      <c r="CC46" s="76"/>
      <c r="CD46" s="76"/>
      <c r="CE46" s="76"/>
      <c r="CF46" s="76">
        <f>+CE46*28000</f>
        <v>0</v>
      </c>
      <c r="CG46" s="76"/>
      <c r="CH46" s="76">
        <f>+CG46*22500</f>
        <v>0</v>
      </c>
      <c r="CI46" s="76"/>
      <c r="CJ46" s="76">
        <f>+CI46*26000</f>
        <v>0</v>
      </c>
      <c r="CK46" s="76"/>
      <c r="CL46" s="76"/>
      <c r="CM46" s="76"/>
      <c r="CN46" s="76">
        <f>+CM46*22000</f>
        <v>0</v>
      </c>
      <c r="CO46" s="76"/>
      <c r="CP46" s="76">
        <f>+CO46*46000</f>
        <v>0</v>
      </c>
      <c r="CQ46" s="76"/>
      <c r="CR46" s="76">
        <f>+CQ46*49000</f>
        <v>0</v>
      </c>
      <c r="CS46" s="76"/>
      <c r="CT46" s="76"/>
      <c r="CU46" s="56">
        <f>AN46+AP46+AR46+AT46+AV46+AX46+AZ46+BB46+BD46+BF46+BH46+BJ46+BL46+BN46+BP46+BR46+BT46+BV46+BX46+BZ46+CB46+CD46+CF46+CH46+CJ46+CL46+CN46+CP46+CR46+CT46</f>
        <v>0</v>
      </c>
      <c r="CV46" s="76"/>
      <c r="CW46" s="76">
        <f>+CV46*1100</f>
        <v>0</v>
      </c>
      <c r="CX46" s="76"/>
      <c r="CY46" s="76">
        <f>+CX46*106250</f>
        <v>0</v>
      </c>
      <c r="CZ46" s="76"/>
      <c r="DA46" s="76">
        <f>+CZ46*34500</f>
        <v>0</v>
      </c>
      <c r="DB46" s="76"/>
      <c r="DC46" s="76">
        <f>+DB46*25000</f>
        <v>0</v>
      </c>
      <c r="DD46" s="219"/>
      <c r="DE46" s="219"/>
      <c r="DF46" s="164"/>
      <c r="DG46" s="116"/>
      <c r="DH46" s="117"/>
      <c r="DI46" s="24"/>
      <c r="DJ46" s="24"/>
      <c r="DK46" s="24"/>
      <c r="DL46" s="24"/>
      <c r="DM46" s="24"/>
      <c r="DN46" s="24"/>
      <c r="DO46" s="24"/>
      <c r="DP46" s="24"/>
      <c r="DQ46" s="24"/>
      <c r="DR46" s="24"/>
      <c r="DS46" s="24"/>
      <c r="DT46" s="24"/>
      <c r="DU46" s="24"/>
    </row>
    <row r="47" spans="1:125" s="8" customFormat="1" ht="132" x14ac:dyDescent="0.2">
      <c r="A47" s="77">
        <v>41278</v>
      </c>
      <c r="B47" s="80" t="s">
        <v>2848</v>
      </c>
      <c r="C47" s="81" t="s">
        <v>2211</v>
      </c>
      <c r="D47" s="81" t="s">
        <v>2846</v>
      </c>
      <c r="E47" s="75" t="str">
        <f>VLOOKUP(B47&amp;C47,Divipola!$C$2:$F$1138,4,FALSE)</f>
        <v>73861</v>
      </c>
      <c r="F47" s="87"/>
      <c r="G47" s="87"/>
      <c r="H47" s="87"/>
      <c r="I47" s="87"/>
      <c r="J47" s="87"/>
      <c r="K47" s="87"/>
      <c r="L47" s="87"/>
      <c r="M47" s="87"/>
      <c r="N47" s="87"/>
      <c r="O47" s="87"/>
      <c r="P47" s="87"/>
      <c r="Q47" s="87"/>
      <c r="R47" s="87"/>
      <c r="S47" s="87"/>
      <c r="T47" s="87"/>
      <c r="U47" s="127">
        <v>12</v>
      </c>
      <c r="V47" s="89"/>
      <c r="W47" s="96">
        <v>0</v>
      </c>
      <c r="X47" s="71">
        <f>CU47</f>
        <v>0</v>
      </c>
      <c r="Y47" s="71">
        <f>CY47</f>
        <v>0</v>
      </c>
      <c r="Z47" s="71">
        <f>DA47+DC47+DE47</f>
        <v>0</v>
      </c>
      <c r="AA47" s="71">
        <f>CW47</f>
        <v>0</v>
      </c>
      <c r="AB47" s="71"/>
      <c r="AC47" s="71">
        <v>0</v>
      </c>
      <c r="AD47" s="71">
        <f>W47+X47+Y47+Z47+AA47+AB47+AC47</f>
        <v>0</v>
      </c>
      <c r="AE47" s="72">
        <v>0</v>
      </c>
      <c r="AF47" s="5"/>
      <c r="AG47" s="6"/>
      <c r="AH47" s="27" t="s">
        <v>3392</v>
      </c>
      <c r="AI47" s="44" t="s">
        <v>3393</v>
      </c>
      <c r="AJ47" s="26"/>
      <c r="AK47" s="5"/>
      <c r="AL47" s="82" t="s">
        <v>2895</v>
      </c>
      <c r="AM47" s="76"/>
      <c r="AN47" s="76"/>
      <c r="AO47" s="76"/>
      <c r="AP47" s="76"/>
      <c r="AQ47" s="76"/>
      <c r="AR47" s="76"/>
      <c r="AS47" s="76"/>
      <c r="AT47" s="76"/>
      <c r="AU47" s="76"/>
      <c r="AV47" s="76"/>
      <c r="AW47" s="76"/>
      <c r="AX47" s="76">
        <f>+AW47*600000</f>
        <v>0</v>
      </c>
      <c r="AY47" s="76"/>
      <c r="AZ47" s="76">
        <f>+AY47*70000</f>
        <v>0</v>
      </c>
      <c r="BA47" s="76"/>
      <c r="BB47" s="76"/>
      <c r="BC47" s="76"/>
      <c r="BD47" s="76">
        <f>+BC47*30000</f>
        <v>0</v>
      </c>
      <c r="BE47" s="76"/>
      <c r="BF47" s="76"/>
      <c r="BG47" s="76"/>
      <c r="BH47" s="76"/>
      <c r="BI47" s="76"/>
      <c r="BJ47" s="76"/>
      <c r="BK47" s="76"/>
      <c r="BL47" s="76">
        <f>+BK47*31500</f>
        <v>0</v>
      </c>
      <c r="BM47" s="76"/>
      <c r="BN47" s="76"/>
      <c r="BO47" s="76"/>
      <c r="BP47" s="76"/>
      <c r="BQ47" s="76"/>
      <c r="BR47" s="76"/>
      <c r="BS47" s="76"/>
      <c r="BT47" s="76"/>
      <c r="BU47" s="76"/>
      <c r="BV47" s="76"/>
      <c r="BW47" s="76"/>
      <c r="BX47" s="76"/>
      <c r="BY47" s="76"/>
      <c r="BZ47" s="76"/>
      <c r="CA47" s="76"/>
      <c r="CB47" s="76"/>
      <c r="CC47" s="76"/>
      <c r="CD47" s="76"/>
      <c r="CE47" s="76"/>
      <c r="CF47" s="76">
        <f>+CE47*28000</f>
        <v>0</v>
      </c>
      <c r="CG47" s="76"/>
      <c r="CH47" s="76">
        <f>+CG47*22500</f>
        <v>0</v>
      </c>
      <c r="CI47" s="76"/>
      <c r="CJ47" s="76">
        <f>+CI47*26000</f>
        <v>0</v>
      </c>
      <c r="CK47" s="76"/>
      <c r="CL47" s="76"/>
      <c r="CM47" s="76"/>
      <c r="CN47" s="76">
        <f>+CM47*22000</f>
        <v>0</v>
      </c>
      <c r="CO47" s="76"/>
      <c r="CP47" s="76">
        <f>+CO47*46000</f>
        <v>0</v>
      </c>
      <c r="CQ47" s="76"/>
      <c r="CR47" s="76">
        <f>+CQ47*49000</f>
        <v>0</v>
      </c>
      <c r="CS47" s="76"/>
      <c r="CT47" s="76"/>
      <c r="CU47" s="56">
        <f>AN47+AP47+AR47+AT47+AV47+AX47+AZ47+BB47+BD47+BF47+BH47+BJ47+BL47+BN47+BP47+BR47+BT47+BV47+BX47+BZ47+CB47+CD47+CF47+CH47+CJ47+CL47+CN47+CP47+CR47+CT47</f>
        <v>0</v>
      </c>
      <c r="CV47" s="76"/>
      <c r="CW47" s="76">
        <f>+CV47*1100</f>
        <v>0</v>
      </c>
      <c r="CX47" s="76"/>
      <c r="CY47" s="76">
        <f>+CX47*106250</f>
        <v>0</v>
      </c>
      <c r="CZ47" s="76"/>
      <c r="DA47" s="76">
        <f>+CZ47*34500</f>
        <v>0</v>
      </c>
      <c r="DB47" s="76"/>
      <c r="DC47" s="76">
        <f>+DB47*25000</f>
        <v>0</v>
      </c>
      <c r="DD47" s="219"/>
      <c r="DE47" s="219"/>
      <c r="DF47" s="164"/>
      <c r="DG47" s="116"/>
      <c r="DH47" s="117"/>
      <c r="DI47" s="24"/>
      <c r="DJ47" s="24"/>
      <c r="DK47" s="24"/>
      <c r="DL47" s="24"/>
      <c r="DM47" s="24"/>
      <c r="DN47" s="24"/>
      <c r="DO47" s="24"/>
      <c r="DP47" s="24"/>
      <c r="DQ47" s="24"/>
      <c r="DR47" s="24"/>
      <c r="DS47" s="24"/>
      <c r="DT47" s="24"/>
      <c r="DU47" s="24"/>
    </row>
    <row r="48" spans="1:125" s="8" customFormat="1" ht="60" x14ac:dyDescent="0.2">
      <c r="A48" s="77">
        <v>41279</v>
      </c>
      <c r="B48" s="78" t="s">
        <v>2700</v>
      </c>
      <c r="C48" s="75" t="s">
        <v>1603</v>
      </c>
      <c r="D48" s="81" t="s">
        <v>2846</v>
      </c>
      <c r="E48" s="75" t="str">
        <f>VLOOKUP(B48&amp;C48,Divipola!$C$2:$F$1138,4,FALSE)</f>
        <v>15183</v>
      </c>
      <c r="F48" s="104"/>
      <c r="G48" s="87"/>
      <c r="H48" s="87"/>
      <c r="I48" s="87">
        <v>15</v>
      </c>
      <c r="J48" s="87">
        <v>3</v>
      </c>
      <c r="K48" s="87"/>
      <c r="L48" s="87">
        <v>3</v>
      </c>
      <c r="M48" s="87"/>
      <c r="N48" s="87"/>
      <c r="O48" s="87"/>
      <c r="P48" s="87"/>
      <c r="Q48" s="87"/>
      <c r="R48" s="87"/>
      <c r="S48" s="87"/>
      <c r="T48" s="87"/>
      <c r="U48" s="127">
        <v>50</v>
      </c>
      <c r="V48" s="89"/>
      <c r="W48" s="96">
        <v>0</v>
      </c>
      <c r="X48" s="71">
        <f>CU48</f>
        <v>0</v>
      </c>
      <c r="Y48" s="71">
        <f>CY48</f>
        <v>0</v>
      </c>
      <c r="Z48" s="71">
        <f>DA48+DC48+DE48</f>
        <v>0</v>
      </c>
      <c r="AA48" s="71">
        <f>CW48</f>
        <v>0</v>
      </c>
      <c r="AB48" s="71"/>
      <c r="AC48" s="71">
        <v>0</v>
      </c>
      <c r="AD48" s="71">
        <f>W48+X48+Y48+Z48+AA48+AB48+AC48</f>
        <v>0</v>
      </c>
      <c r="AE48" s="72">
        <v>0</v>
      </c>
      <c r="AF48" s="5"/>
      <c r="AG48" s="6"/>
      <c r="AH48" s="27" t="s">
        <v>3392</v>
      </c>
      <c r="AI48" s="44" t="s">
        <v>3393</v>
      </c>
      <c r="AJ48" s="26"/>
      <c r="AK48" s="5"/>
      <c r="AL48" s="82" t="s">
        <v>2907</v>
      </c>
      <c r="AM48" s="76"/>
      <c r="AN48" s="76"/>
      <c r="AO48" s="76"/>
      <c r="AP48" s="76"/>
      <c r="AQ48" s="76"/>
      <c r="AR48" s="76"/>
      <c r="AS48" s="76"/>
      <c r="AT48" s="76"/>
      <c r="AU48" s="76"/>
      <c r="AV48" s="76"/>
      <c r="AW48" s="76"/>
      <c r="AX48" s="76">
        <f>+AW48*600000</f>
        <v>0</v>
      </c>
      <c r="AY48" s="76"/>
      <c r="AZ48" s="76">
        <f>+AY48*70000</f>
        <v>0</v>
      </c>
      <c r="BA48" s="76"/>
      <c r="BB48" s="76"/>
      <c r="BC48" s="76"/>
      <c r="BD48" s="76">
        <f>+BC48*30000</f>
        <v>0</v>
      </c>
      <c r="BE48" s="76"/>
      <c r="BF48" s="76"/>
      <c r="BG48" s="76"/>
      <c r="BH48" s="76"/>
      <c r="BI48" s="76"/>
      <c r="BJ48" s="76"/>
      <c r="BK48" s="76"/>
      <c r="BL48" s="76">
        <f>+BK48*31500</f>
        <v>0</v>
      </c>
      <c r="BM48" s="76"/>
      <c r="BN48" s="76"/>
      <c r="BO48" s="76"/>
      <c r="BP48" s="76"/>
      <c r="BQ48" s="76"/>
      <c r="BR48" s="76"/>
      <c r="BS48" s="76"/>
      <c r="BT48" s="76"/>
      <c r="BU48" s="76"/>
      <c r="BV48" s="76"/>
      <c r="BW48" s="76"/>
      <c r="BX48" s="76"/>
      <c r="BY48" s="76"/>
      <c r="BZ48" s="76"/>
      <c r="CA48" s="76"/>
      <c r="CB48" s="76"/>
      <c r="CC48" s="76"/>
      <c r="CD48" s="76"/>
      <c r="CE48" s="76"/>
      <c r="CF48" s="76">
        <f>+CE48*28000</f>
        <v>0</v>
      </c>
      <c r="CG48" s="76"/>
      <c r="CH48" s="76">
        <f>+CG48*22500</f>
        <v>0</v>
      </c>
      <c r="CI48" s="76"/>
      <c r="CJ48" s="76">
        <f>+CI48*26000</f>
        <v>0</v>
      </c>
      <c r="CK48" s="76"/>
      <c r="CL48" s="76"/>
      <c r="CM48" s="76"/>
      <c r="CN48" s="76">
        <f>+CM48*22000</f>
        <v>0</v>
      </c>
      <c r="CO48" s="76"/>
      <c r="CP48" s="76">
        <f>+CO48*46000</f>
        <v>0</v>
      </c>
      <c r="CQ48" s="76"/>
      <c r="CR48" s="76">
        <f>+CQ48*49000</f>
        <v>0</v>
      </c>
      <c r="CS48" s="76"/>
      <c r="CT48" s="76"/>
      <c r="CU48" s="56">
        <f>AN48+AP48+AR48+AT48+AV48+AX48+AZ48+BB48+BD48+BF48+BH48+BJ48+BL48+BN48+BP48+BR48+BT48+BV48+BX48+BZ48+CB48+CD48+CF48+CH48+CJ48+CL48+CN48+CP48+CR48+CT48</f>
        <v>0</v>
      </c>
      <c r="CV48" s="76"/>
      <c r="CW48" s="76">
        <f>+CV48*1100</f>
        <v>0</v>
      </c>
      <c r="CX48" s="76"/>
      <c r="CY48" s="76">
        <f>+CX48*106250</f>
        <v>0</v>
      </c>
      <c r="CZ48" s="76"/>
      <c r="DA48" s="76">
        <f>+CZ48*34500</f>
        <v>0</v>
      </c>
      <c r="DB48" s="76"/>
      <c r="DC48" s="76">
        <f>+DB48*25000</f>
        <v>0</v>
      </c>
      <c r="DD48" s="219"/>
      <c r="DE48" s="219"/>
      <c r="DF48" s="164"/>
      <c r="DG48" s="116"/>
      <c r="DH48" s="117"/>
      <c r="DI48" s="24"/>
      <c r="DJ48" s="24"/>
      <c r="DK48" s="24"/>
      <c r="DL48" s="24"/>
      <c r="DM48" s="24"/>
      <c r="DN48" s="24"/>
      <c r="DO48" s="24"/>
      <c r="DP48" s="24"/>
      <c r="DQ48" s="24"/>
      <c r="DR48" s="24"/>
      <c r="DS48" s="24"/>
      <c r="DT48" s="24"/>
      <c r="DU48" s="24"/>
    </row>
    <row r="49" spans="1:125" s="8" customFormat="1" ht="48" x14ac:dyDescent="0.2">
      <c r="A49" s="77">
        <v>41279</v>
      </c>
      <c r="B49" s="80" t="s">
        <v>2700</v>
      </c>
      <c r="C49" s="81" t="s">
        <v>1645</v>
      </c>
      <c r="D49" s="81" t="s">
        <v>2846</v>
      </c>
      <c r="E49" s="75" t="str">
        <f>VLOOKUP(B49&amp;C49,Divipola!$C$2:$F$1138,4,FALSE)</f>
        <v>15272</v>
      </c>
      <c r="F49" s="87"/>
      <c r="G49" s="87"/>
      <c r="H49" s="87"/>
      <c r="I49" s="87"/>
      <c r="J49" s="87"/>
      <c r="K49" s="87"/>
      <c r="L49" s="87"/>
      <c r="M49" s="87"/>
      <c r="N49" s="87"/>
      <c r="O49" s="87"/>
      <c r="P49" s="87"/>
      <c r="Q49" s="87"/>
      <c r="R49" s="87"/>
      <c r="S49" s="87"/>
      <c r="T49" s="87"/>
      <c r="U49" s="127">
        <v>2</v>
      </c>
      <c r="V49" s="89"/>
      <c r="W49" s="96">
        <v>0</v>
      </c>
      <c r="X49" s="71">
        <f>CU49</f>
        <v>0</v>
      </c>
      <c r="Y49" s="71">
        <f>CY49</f>
        <v>0</v>
      </c>
      <c r="Z49" s="71">
        <f>DA49+DC49+DE49</f>
        <v>0</v>
      </c>
      <c r="AA49" s="71">
        <f>CW49</f>
        <v>0</v>
      </c>
      <c r="AB49" s="71"/>
      <c r="AC49" s="71">
        <v>0</v>
      </c>
      <c r="AD49" s="71">
        <f>W49+X49+Y49+Z49+AA49+AB49+AC49</f>
        <v>0</v>
      </c>
      <c r="AE49" s="72">
        <v>0</v>
      </c>
      <c r="AF49" s="5"/>
      <c r="AG49" s="6"/>
      <c r="AH49" s="27" t="s">
        <v>3392</v>
      </c>
      <c r="AI49" s="44" t="s">
        <v>3393</v>
      </c>
      <c r="AJ49" s="26"/>
      <c r="AK49" s="5"/>
      <c r="AL49" s="82" t="s">
        <v>2909</v>
      </c>
      <c r="AM49" s="76"/>
      <c r="AN49" s="76"/>
      <c r="AO49" s="76"/>
      <c r="AP49" s="76"/>
      <c r="AQ49" s="76"/>
      <c r="AR49" s="76"/>
      <c r="AS49" s="76"/>
      <c r="AT49" s="76"/>
      <c r="AU49" s="76"/>
      <c r="AV49" s="76"/>
      <c r="AW49" s="76"/>
      <c r="AX49" s="76">
        <f>+AW49*600000</f>
        <v>0</v>
      </c>
      <c r="AY49" s="76"/>
      <c r="AZ49" s="76">
        <f>+AY49*70000</f>
        <v>0</v>
      </c>
      <c r="BA49" s="76"/>
      <c r="BB49" s="76"/>
      <c r="BC49" s="76"/>
      <c r="BD49" s="76">
        <f>+BC49*30000</f>
        <v>0</v>
      </c>
      <c r="BE49" s="76"/>
      <c r="BF49" s="76"/>
      <c r="BG49" s="76"/>
      <c r="BH49" s="76"/>
      <c r="BI49" s="76"/>
      <c r="BJ49" s="76"/>
      <c r="BK49" s="76"/>
      <c r="BL49" s="76">
        <f>+BK49*31500</f>
        <v>0</v>
      </c>
      <c r="BM49" s="76"/>
      <c r="BN49" s="76"/>
      <c r="BO49" s="76"/>
      <c r="BP49" s="76"/>
      <c r="BQ49" s="76"/>
      <c r="BR49" s="76"/>
      <c r="BS49" s="76"/>
      <c r="BT49" s="76"/>
      <c r="BU49" s="76"/>
      <c r="BV49" s="76"/>
      <c r="BW49" s="76"/>
      <c r="BX49" s="76"/>
      <c r="BY49" s="76"/>
      <c r="BZ49" s="76"/>
      <c r="CA49" s="76"/>
      <c r="CB49" s="76"/>
      <c r="CC49" s="76"/>
      <c r="CD49" s="76"/>
      <c r="CE49" s="76"/>
      <c r="CF49" s="76">
        <f>+CE49*28000</f>
        <v>0</v>
      </c>
      <c r="CG49" s="76"/>
      <c r="CH49" s="76">
        <f>+CG49*22500</f>
        <v>0</v>
      </c>
      <c r="CI49" s="76"/>
      <c r="CJ49" s="76">
        <f>+CI49*26000</f>
        <v>0</v>
      </c>
      <c r="CK49" s="76"/>
      <c r="CL49" s="76"/>
      <c r="CM49" s="76"/>
      <c r="CN49" s="76">
        <f>+CM49*22000</f>
        <v>0</v>
      </c>
      <c r="CO49" s="76"/>
      <c r="CP49" s="76">
        <f>+CO49*46000</f>
        <v>0</v>
      </c>
      <c r="CQ49" s="76"/>
      <c r="CR49" s="76">
        <f>+CQ49*49000</f>
        <v>0</v>
      </c>
      <c r="CS49" s="76"/>
      <c r="CT49" s="76"/>
      <c r="CU49" s="56">
        <f>AN49+AP49+AR49+AT49+AV49+AX49+AZ49+BB49+BD49+BF49+BH49+BJ49+BL49+BN49+BP49+BR49+BT49+BV49+BX49+BZ49+CB49+CD49+CF49+CH49+CJ49+CL49+CN49+CP49+CR49+CT49</f>
        <v>0</v>
      </c>
      <c r="CV49" s="76"/>
      <c r="CW49" s="76">
        <f>+CV49*1100</f>
        <v>0</v>
      </c>
      <c r="CX49" s="76"/>
      <c r="CY49" s="76">
        <f>+CX49*106250</f>
        <v>0</v>
      </c>
      <c r="CZ49" s="76"/>
      <c r="DA49" s="76">
        <f>+CZ49*34500</f>
        <v>0</v>
      </c>
      <c r="DB49" s="76"/>
      <c r="DC49" s="76">
        <f>+DB49*25000</f>
        <v>0</v>
      </c>
      <c r="DD49" s="219"/>
      <c r="DE49" s="219"/>
      <c r="DF49" s="164"/>
      <c r="DG49" s="116"/>
      <c r="DH49" s="117"/>
      <c r="DI49" s="24"/>
      <c r="DJ49" s="24"/>
      <c r="DK49" s="24"/>
      <c r="DL49" s="24"/>
      <c r="DM49" s="24"/>
      <c r="DN49" s="24"/>
      <c r="DO49" s="24"/>
      <c r="DP49" s="24"/>
      <c r="DQ49" s="24"/>
      <c r="DR49" s="24"/>
      <c r="DS49" s="24"/>
      <c r="DT49" s="24"/>
      <c r="DU49" s="24"/>
    </row>
    <row r="50" spans="1:125" s="8" customFormat="1" ht="36" x14ac:dyDescent="0.2">
      <c r="A50" s="77">
        <v>41279</v>
      </c>
      <c r="B50" s="80" t="s">
        <v>2700</v>
      </c>
      <c r="C50" s="81" t="s">
        <v>614</v>
      </c>
      <c r="D50" s="81" t="s">
        <v>2846</v>
      </c>
      <c r="E50" s="75" t="str">
        <f>VLOOKUP(B50&amp;C50,Divipola!$C$2:$F$1138,4,FALSE)</f>
        <v>15542</v>
      </c>
      <c r="F50" s="87"/>
      <c r="G50" s="87"/>
      <c r="H50" s="87"/>
      <c r="I50" s="87"/>
      <c r="J50" s="87"/>
      <c r="K50" s="87"/>
      <c r="L50" s="87"/>
      <c r="M50" s="87"/>
      <c r="N50" s="87"/>
      <c r="O50" s="87"/>
      <c r="P50" s="87"/>
      <c r="Q50" s="87"/>
      <c r="R50" s="87"/>
      <c r="S50" s="87"/>
      <c r="T50" s="87"/>
      <c r="U50" s="127"/>
      <c r="V50" s="89"/>
      <c r="W50" s="96">
        <v>0</v>
      </c>
      <c r="X50" s="71">
        <f>CU50</f>
        <v>0</v>
      </c>
      <c r="Y50" s="71">
        <f>CY50</f>
        <v>0</v>
      </c>
      <c r="Z50" s="71">
        <f>DA50+DC50+DE50</f>
        <v>0</v>
      </c>
      <c r="AA50" s="71">
        <f>CW50</f>
        <v>0</v>
      </c>
      <c r="AB50" s="71"/>
      <c r="AC50" s="71">
        <v>0</v>
      </c>
      <c r="AD50" s="71">
        <f>W50+X50+Y50+Z50+AA50+AB50+AC50</f>
        <v>0</v>
      </c>
      <c r="AE50" s="72">
        <v>0</v>
      </c>
      <c r="AF50" s="5"/>
      <c r="AG50" s="6"/>
      <c r="AH50" s="27" t="s">
        <v>3392</v>
      </c>
      <c r="AI50" s="44" t="s">
        <v>3393</v>
      </c>
      <c r="AJ50" s="26"/>
      <c r="AK50" s="5"/>
      <c r="AL50" s="82" t="s">
        <v>2917</v>
      </c>
      <c r="AM50" s="76"/>
      <c r="AN50" s="76"/>
      <c r="AO50" s="76"/>
      <c r="AP50" s="76"/>
      <c r="AQ50" s="76"/>
      <c r="AR50" s="76"/>
      <c r="AS50" s="76"/>
      <c r="AT50" s="76"/>
      <c r="AU50" s="76"/>
      <c r="AV50" s="76"/>
      <c r="AW50" s="76"/>
      <c r="AX50" s="76">
        <f>+AW50*600000</f>
        <v>0</v>
      </c>
      <c r="AY50" s="76"/>
      <c r="AZ50" s="76">
        <f>+AY50*70000</f>
        <v>0</v>
      </c>
      <c r="BA50" s="76"/>
      <c r="BB50" s="76"/>
      <c r="BC50" s="76"/>
      <c r="BD50" s="76">
        <f>+BC50*30000</f>
        <v>0</v>
      </c>
      <c r="BE50" s="76"/>
      <c r="BF50" s="76"/>
      <c r="BG50" s="76"/>
      <c r="BH50" s="76"/>
      <c r="BI50" s="76"/>
      <c r="BJ50" s="76"/>
      <c r="BK50" s="76"/>
      <c r="BL50" s="76">
        <f>+BK50*31500</f>
        <v>0</v>
      </c>
      <c r="BM50" s="76"/>
      <c r="BN50" s="76"/>
      <c r="BO50" s="76"/>
      <c r="BP50" s="76"/>
      <c r="BQ50" s="76"/>
      <c r="BR50" s="76"/>
      <c r="BS50" s="76"/>
      <c r="BT50" s="76"/>
      <c r="BU50" s="76"/>
      <c r="BV50" s="76"/>
      <c r="BW50" s="76"/>
      <c r="BX50" s="76"/>
      <c r="BY50" s="76"/>
      <c r="BZ50" s="76"/>
      <c r="CA50" s="76"/>
      <c r="CB50" s="76"/>
      <c r="CC50" s="76"/>
      <c r="CD50" s="76"/>
      <c r="CE50" s="76"/>
      <c r="CF50" s="76">
        <f>+CE50*28000</f>
        <v>0</v>
      </c>
      <c r="CG50" s="76"/>
      <c r="CH50" s="76">
        <f>+CG50*22500</f>
        <v>0</v>
      </c>
      <c r="CI50" s="76"/>
      <c r="CJ50" s="76">
        <f>+CI50*26000</f>
        <v>0</v>
      </c>
      <c r="CK50" s="76"/>
      <c r="CL50" s="76"/>
      <c r="CM50" s="76"/>
      <c r="CN50" s="76">
        <f>+CM50*22000</f>
        <v>0</v>
      </c>
      <c r="CO50" s="76"/>
      <c r="CP50" s="76">
        <f>+CO50*46000</f>
        <v>0</v>
      </c>
      <c r="CQ50" s="76"/>
      <c r="CR50" s="76">
        <f>+CQ50*49000</f>
        <v>0</v>
      </c>
      <c r="CS50" s="76"/>
      <c r="CT50" s="76"/>
      <c r="CU50" s="56">
        <f>AN50+AP50+AR50+AT50+AV50+AX50+AZ50+BB50+BD50+BF50+BH50+BJ50+BL50+BN50+BP50+BR50+BT50+BV50+BX50+BZ50+CB50+CD50+CF50+CH50+CJ50+CL50+CN50+CP50+CR50+CT50</f>
        <v>0</v>
      </c>
      <c r="CV50" s="76"/>
      <c r="CW50" s="76">
        <f>+CV50*1100</f>
        <v>0</v>
      </c>
      <c r="CX50" s="76"/>
      <c r="CY50" s="76">
        <f>+CX50*106250</f>
        <v>0</v>
      </c>
      <c r="CZ50" s="76"/>
      <c r="DA50" s="76">
        <f>+CZ50*34500</f>
        <v>0</v>
      </c>
      <c r="DB50" s="76"/>
      <c r="DC50" s="76">
        <f>+DB50*25000</f>
        <v>0</v>
      </c>
      <c r="DD50" s="219"/>
      <c r="DE50" s="219"/>
      <c r="DF50" s="164"/>
      <c r="DG50" s="116"/>
      <c r="DH50" s="117"/>
      <c r="DI50" s="24"/>
      <c r="DJ50" s="24"/>
      <c r="DK50" s="24"/>
      <c r="DL50" s="24"/>
      <c r="DM50" s="24"/>
      <c r="DN50" s="24"/>
      <c r="DO50" s="24"/>
      <c r="DP50" s="24"/>
      <c r="DQ50" s="24"/>
      <c r="DR50" s="24"/>
      <c r="DS50" s="24"/>
      <c r="DT50" s="24"/>
      <c r="DU50" s="24"/>
    </row>
    <row r="51" spans="1:125" s="8" customFormat="1" ht="48" x14ac:dyDescent="0.2">
      <c r="A51" s="77">
        <v>41279</v>
      </c>
      <c r="B51" s="80" t="s">
        <v>2700</v>
      </c>
      <c r="C51" s="81" t="s">
        <v>1375</v>
      </c>
      <c r="D51" s="81" t="s">
        <v>2846</v>
      </c>
      <c r="E51" s="75" t="str">
        <f>VLOOKUP(B51&amp;C51,Divipola!$C$2:$F$1138,4,FALSE)</f>
        <v>15759</v>
      </c>
      <c r="F51" s="87"/>
      <c r="G51" s="87"/>
      <c r="H51" s="87"/>
      <c r="I51" s="87"/>
      <c r="J51" s="87"/>
      <c r="K51" s="87"/>
      <c r="L51" s="87"/>
      <c r="M51" s="87"/>
      <c r="N51" s="87"/>
      <c r="O51" s="87"/>
      <c r="P51" s="87"/>
      <c r="Q51" s="87"/>
      <c r="R51" s="87"/>
      <c r="S51" s="87"/>
      <c r="T51" s="87"/>
      <c r="U51" s="127">
        <v>5</v>
      </c>
      <c r="V51" s="89"/>
      <c r="W51" s="96">
        <v>0</v>
      </c>
      <c r="X51" s="71">
        <f>CU51</f>
        <v>0</v>
      </c>
      <c r="Y51" s="71">
        <f>CY51</f>
        <v>0</v>
      </c>
      <c r="Z51" s="71">
        <f>DA51+DC51+DE51</f>
        <v>0</v>
      </c>
      <c r="AA51" s="71">
        <f>CW51</f>
        <v>0</v>
      </c>
      <c r="AB51" s="71"/>
      <c r="AC51" s="71">
        <v>0</v>
      </c>
      <c r="AD51" s="71">
        <f>W51+X51+Y51+Z51+AA51+AB51+AC51</f>
        <v>0</v>
      </c>
      <c r="AE51" s="72">
        <v>0</v>
      </c>
      <c r="AF51" s="5"/>
      <c r="AG51" s="6"/>
      <c r="AH51" s="27" t="s">
        <v>3392</v>
      </c>
      <c r="AI51" s="44" t="s">
        <v>3393</v>
      </c>
      <c r="AJ51" s="26"/>
      <c r="AK51" s="5"/>
      <c r="AL51" s="82" t="s">
        <v>2910</v>
      </c>
      <c r="AM51" s="76"/>
      <c r="AN51" s="76"/>
      <c r="AO51" s="76"/>
      <c r="AP51" s="76"/>
      <c r="AQ51" s="76"/>
      <c r="AR51" s="76"/>
      <c r="AS51" s="76"/>
      <c r="AT51" s="76"/>
      <c r="AU51" s="76"/>
      <c r="AV51" s="76"/>
      <c r="AW51" s="76"/>
      <c r="AX51" s="76">
        <f>+AW51*600000</f>
        <v>0</v>
      </c>
      <c r="AY51" s="76"/>
      <c r="AZ51" s="76">
        <f>+AY51*70000</f>
        <v>0</v>
      </c>
      <c r="BA51" s="76"/>
      <c r="BB51" s="76"/>
      <c r="BC51" s="76"/>
      <c r="BD51" s="76">
        <f>+BC51*30000</f>
        <v>0</v>
      </c>
      <c r="BE51" s="76"/>
      <c r="BF51" s="76"/>
      <c r="BG51" s="76"/>
      <c r="BH51" s="76"/>
      <c r="BI51" s="76"/>
      <c r="BJ51" s="76"/>
      <c r="BK51" s="76"/>
      <c r="BL51" s="76">
        <f>+BK51*31500</f>
        <v>0</v>
      </c>
      <c r="BM51" s="76"/>
      <c r="BN51" s="76"/>
      <c r="BO51" s="76"/>
      <c r="BP51" s="76"/>
      <c r="BQ51" s="76"/>
      <c r="BR51" s="76"/>
      <c r="BS51" s="76"/>
      <c r="BT51" s="76"/>
      <c r="BU51" s="76"/>
      <c r="BV51" s="76"/>
      <c r="BW51" s="76"/>
      <c r="BX51" s="76"/>
      <c r="BY51" s="76"/>
      <c r="BZ51" s="76"/>
      <c r="CA51" s="76"/>
      <c r="CB51" s="76"/>
      <c r="CC51" s="76"/>
      <c r="CD51" s="76"/>
      <c r="CE51" s="76"/>
      <c r="CF51" s="76">
        <f>+CE51*28000</f>
        <v>0</v>
      </c>
      <c r="CG51" s="76"/>
      <c r="CH51" s="76">
        <f>+CG51*22500</f>
        <v>0</v>
      </c>
      <c r="CI51" s="76"/>
      <c r="CJ51" s="76">
        <f>+CI51*26000</f>
        <v>0</v>
      </c>
      <c r="CK51" s="76"/>
      <c r="CL51" s="76"/>
      <c r="CM51" s="76"/>
      <c r="CN51" s="76">
        <f>+CM51*22000</f>
        <v>0</v>
      </c>
      <c r="CO51" s="76"/>
      <c r="CP51" s="76">
        <f>+CO51*46000</f>
        <v>0</v>
      </c>
      <c r="CQ51" s="76"/>
      <c r="CR51" s="76">
        <f>+CQ51*49000</f>
        <v>0</v>
      </c>
      <c r="CS51" s="76"/>
      <c r="CT51" s="76"/>
      <c r="CU51" s="56">
        <f>AN51+AP51+AR51+AT51+AV51+AX51+AZ51+BB51+BD51+BF51+BH51+BJ51+BL51+BN51+BP51+BR51+BT51+BV51+BX51+BZ51+CB51+CD51+CF51+CH51+CJ51+CL51+CN51+CP51+CR51+CT51</f>
        <v>0</v>
      </c>
      <c r="CV51" s="76"/>
      <c r="CW51" s="76">
        <f>+CV51*1100</f>
        <v>0</v>
      </c>
      <c r="CX51" s="76"/>
      <c r="CY51" s="76">
        <f>+CX51*106250</f>
        <v>0</v>
      </c>
      <c r="CZ51" s="76"/>
      <c r="DA51" s="76">
        <f>+CZ51*34500</f>
        <v>0</v>
      </c>
      <c r="DB51" s="76"/>
      <c r="DC51" s="76">
        <f>+DB51*25000</f>
        <v>0</v>
      </c>
      <c r="DD51" s="219"/>
      <c r="DE51" s="219"/>
      <c r="DF51" s="164"/>
      <c r="DG51" s="116"/>
      <c r="DH51" s="117"/>
      <c r="DI51" s="24"/>
      <c r="DJ51" s="24"/>
      <c r="DK51" s="24"/>
      <c r="DL51" s="24"/>
      <c r="DM51" s="24"/>
      <c r="DN51" s="24"/>
      <c r="DO51" s="24"/>
      <c r="DP51" s="24"/>
      <c r="DQ51" s="24"/>
      <c r="DR51" s="24"/>
      <c r="DS51" s="24"/>
      <c r="DT51" s="24"/>
      <c r="DU51" s="24"/>
    </row>
    <row r="52" spans="1:125" s="8" customFormat="1" ht="48" x14ac:dyDescent="0.2">
      <c r="A52" s="77">
        <v>41279</v>
      </c>
      <c r="B52" s="80" t="s">
        <v>2700</v>
      </c>
      <c r="C52" s="81" t="s">
        <v>1375</v>
      </c>
      <c r="D52" s="81" t="s">
        <v>2846</v>
      </c>
      <c r="E52" s="75" t="str">
        <f>VLOOKUP(B52&amp;C52,Divipola!$C$2:$F$1138,4,FALSE)</f>
        <v>15759</v>
      </c>
      <c r="F52" s="156"/>
      <c r="G52" s="87"/>
      <c r="H52" s="87"/>
      <c r="I52" s="87"/>
      <c r="J52" s="87"/>
      <c r="K52" s="87"/>
      <c r="L52" s="87"/>
      <c r="M52" s="87"/>
      <c r="N52" s="87"/>
      <c r="O52" s="87"/>
      <c r="P52" s="87"/>
      <c r="Q52" s="87"/>
      <c r="R52" s="87"/>
      <c r="S52" s="87"/>
      <c r="T52" s="87"/>
      <c r="U52" s="127">
        <v>4</v>
      </c>
      <c r="V52" s="89"/>
      <c r="W52" s="96">
        <v>0</v>
      </c>
      <c r="X52" s="71">
        <f>CU52</f>
        <v>0</v>
      </c>
      <c r="Y52" s="71">
        <f>CY52</f>
        <v>0</v>
      </c>
      <c r="Z52" s="71">
        <f>DA52+DC52+DE52</f>
        <v>0</v>
      </c>
      <c r="AA52" s="71">
        <f>CW52</f>
        <v>0</v>
      </c>
      <c r="AB52" s="71"/>
      <c r="AC52" s="71">
        <v>0</v>
      </c>
      <c r="AD52" s="71">
        <f>W52+X52+Y52+Z52+AA52+AB52+AC52</f>
        <v>0</v>
      </c>
      <c r="AE52" s="72">
        <v>0</v>
      </c>
      <c r="AF52" s="5"/>
      <c r="AG52" s="6"/>
      <c r="AH52" s="27" t="s">
        <v>3392</v>
      </c>
      <c r="AI52" s="44" t="s">
        <v>3393</v>
      </c>
      <c r="AJ52" s="26"/>
      <c r="AK52" s="5"/>
      <c r="AL52" s="82" t="s">
        <v>2911</v>
      </c>
      <c r="AM52" s="76"/>
      <c r="AN52" s="76"/>
      <c r="AO52" s="76"/>
      <c r="AP52" s="76"/>
      <c r="AQ52" s="76"/>
      <c r="AR52" s="76"/>
      <c r="AS52" s="76"/>
      <c r="AT52" s="76"/>
      <c r="AU52" s="76"/>
      <c r="AV52" s="76"/>
      <c r="AW52" s="76"/>
      <c r="AX52" s="76">
        <f>+AW52*600000</f>
        <v>0</v>
      </c>
      <c r="AY52" s="76"/>
      <c r="AZ52" s="76">
        <f>+AY52*70000</f>
        <v>0</v>
      </c>
      <c r="BA52" s="76"/>
      <c r="BB52" s="76"/>
      <c r="BC52" s="76"/>
      <c r="BD52" s="76">
        <f>+BC52*30000</f>
        <v>0</v>
      </c>
      <c r="BE52" s="76"/>
      <c r="BF52" s="76"/>
      <c r="BG52" s="76"/>
      <c r="BH52" s="76"/>
      <c r="BI52" s="76"/>
      <c r="BJ52" s="76"/>
      <c r="BK52" s="76"/>
      <c r="BL52" s="76">
        <f>+BK52*31500</f>
        <v>0</v>
      </c>
      <c r="BM52" s="76"/>
      <c r="BN52" s="76"/>
      <c r="BO52" s="76"/>
      <c r="BP52" s="76"/>
      <c r="BQ52" s="76"/>
      <c r="BR52" s="76"/>
      <c r="BS52" s="76"/>
      <c r="BT52" s="76"/>
      <c r="BU52" s="76"/>
      <c r="BV52" s="76"/>
      <c r="BW52" s="76"/>
      <c r="BX52" s="76"/>
      <c r="BY52" s="76"/>
      <c r="BZ52" s="76"/>
      <c r="CA52" s="76"/>
      <c r="CB52" s="76"/>
      <c r="CC52" s="76"/>
      <c r="CD52" s="76"/>
      <c r="CE52" s="76"/>
      <c r="CF52" s="76">
        <f>+CE52*28000</f>
        <v>0</v>
      </c>
      <c r="CG52" s="76"/>
      <c r="CH52" s="76">
        <f>+CG52*22500</f>
        <v>0</v>
      </c>
      <c r="CI52" s="76"/>
      <c r="CJ52" s="76">
        <f>+CI52*26000</f>
        <v>0</v>
      </c>
      <c r="CK52" s="76"/>
      <c r="CL52" s="76"/>
      <c r="CM52" s="76"/>
      <c r="CN52" s="76">
        <f>+CM52*22000</f>
        <v>0</v>
      </c>
      <c r="CO52" s="76"/>
      <c r="CP52" s="76">
        <f>+CO52*46000</f>
        <v>0</v>
      </c>
      <c r="CQ52" s="76"/>
      <c r="CR52" s="76">
        <f>+CQ52*49000</f>
        <v>0</v>
      </c>
      <c r="CS52" s="76"/>
      <c r="CT52" s="76"/>
      <c r="CU52" s="56">
        <f>AN52+AP52+AR52+AT52+AV52+AX52+AZ52+BB52+BD52+BF52+BH52+BJ52+BL52+BN52+BP52+BR52+BT52+BV52+BX52+BZ52+CB52+CD52+CF52+CH52+CJ52+CL52+CN52+CP52+CR52+CT52</f>
        <v>0</v>
      </c>
      <c r="CV52" s="76"/>
      <c r="CW52" s="76">
        <f>+CV52*1100</f>
        <v>0</v>
      </c>
      <c r="CX52" s="76"/>
      <c r="CY52" s="76">
        <f>+CX52*106250</f>
        <v>0</v>
      </c>
      <c r="CZ52" s="76"/>
      <c r="DA52" s="76">
        <f>+CZ52*34500</f>
        <v>0</v>
      </c>
      <c r="DB52" s="76"/>
      <c r="DC52" s="76">
        <f>+DB52*25000</f>
        <v>0</v>
      </c>
      <c r="DD52" s="219"/>
      <c r="DE52" s="219"/>
      <c r="DF52" s="164"/>
      <c r="DG52" s="116"/>
      <c r="DH52" s="117"/>
      <c r="DI52" s="24"/>
      <c r="DJ52" s="24"/>
      <c r="DK52" s="24"/>
      <c r="DL52" s="24"/>
      <c r="DM52" s="24"/>
      <c r="DN52" s="24"/>
      <c r="DO52" s="24"/>
      <c r="DP52" s="24"/>
      <c r="DQ52" s="24"/>
      <c r="DR52" s="24"/>
      <c r="DS52" s="24"/>
      <c r="DT52" s="24"/>
      <c r="DU52" s="24"/>
    </row>
    <row r="53" spans="1:125" s="8" customFormat="1" ht="48" x14ac:dyDescent="0.2">
      <c r="A53" s="77">
        <v>41279</v>
      </c>
      <c r="B53" s="80" t="s">
        <v>2700</v>
      </c>
      <c r="C53" s="81" t="s">
        <v>685</v>
      </c>
      <c r="D53" s="81" t="s">
        <v>2846</v>
      </c>
      <c r="E53" s="75" t="str">
        <f>VLOOKUP(B53&amp;C53,Divipola!$C$2:$F$1138,4,FALSE)</f>
        <v>15774</v>
      </c>
      <c r="F53" s="87"/>
      <c r="G53" s="87"/>
      <c r="H53" s="87"/>
      <c r="I53" s="87"/>
      <c r="J53" s="87"/>
      <c r="K53" s="87"/>
      <c r="L53" s="87"/>
      <c r="M53" s="87"/>
      <c r="N53" s="87"/>
      <c r="O53" s="87"/>
      <c r="P53" s="87"/>
      <c r="Q53" s="87"/>
      <c r="R53" s="87"/>
      <c r="S53" s="87"/>
      <c r="T53" s="87"/>
      <c r="U53" s="127">
        <v>3</v>
      </c>
      <c r="V53" s="89"/>
      <c r="W53" s="96">
        <v>0</v>
      </c>
      <c r="X53" s="71">
        <f>CU53</f>
        <v>0</v>
      </c>
      <c r="Y53" s="71">
        <f>CY53</f>
        <v>0</v>
      </c>
      <c r="Z53" s="71">
        <f>DA53+DC53+DE53</f>
        <v>0</v>
      </c>
      <c r="AA53" s="71">
        <f>CW53</f>
        <v>0</v>
      </c>
      <c r="AB53" s="71"/>
      <c r="AC53" s="71">
        <v>0</v>
      </c>
      <c r="AD53" s="71">
        <f>W53+X53+Y53+Z53+AA53+AB53+AC53</f>
        <v>0</v>
      </c>
      <c r="AE53" s="72">
        <v>0</v>
      </c>
      <c r="AF53" s="5"/>
      <c r="AG53" s="6"/>
      <c r="AH53" s="27" t="s">
        <v>3392</v>
      </c>
      <c r="AI53" s="44" t="s">
        <v>3393</v>
      </c>
      <c r="AJ53" s="26"/>
      <c r="AK53" s="5"/>
      <c r="AL53" s="82" t="s">
        <v>2908</v>
      </c>
      <c r="AM53" s="76"/>
      <c r="AN53" s="76"/>
      <c r="AO53" s="76"/>
      <c r="AP53" s="76"/>
      <c r="AQ53" s="76"/>
      <c r="AR53" s="76"/>
      <c r="AS53" s="76"/>
      <c r="AT53" s="76"/>
      <c r="AU53" s="76"/>
      <c r="AV53" s="76"/>
      <c r="AW53" s="76"/>
      <c r="AX53" s="76">
        <f>+AW53*600000</f>
        <v>0</v>
      </c>
      <c r="AY53" s="76"/>
      <c r="AZ53" s="76">
        <f>+AY53*70000</f>
        <v>0</v>
      </c>
      <c r="BA53" s="76"/>
      <c r="BB53" s="76"/>
      <c r="BC53" s="76"/>
      <c r="BD53" s="76">
        <f>+BC53*30000</f>
        <v>0</v>
      </c>
      <c r="BE53" s="76"/>
      <c r="BF53" s="76"/>
      <c r="BG53" s="76"/>
      <c r="BH53" s="76"/>
      <c r="BI53" s="76"/>
      <c r="BJ53" s="76"/>
      <c r="BK53" s="76"/>
      <c r="BL53" s="76">
        <f>+BK53*31500</f>
        <v>0</v>
      </c>
      <c r="BM53" s="76"/>
      <c r="BN53" s="76"/>
      <c r="BO53" s="76"/>
      <c r="BP53" s="76"/>
      <c r="BQ53" s="76"/>
      <c r="BR53" s="76"/>
      <c r="BS53" s="76"/>
      <c r="BT53" s="76"/>
      <c r="BU53" s="76"/>
      <c r="BV53" s="76"/>
      <c r="BW53" s="76"/>
      <c r="BX53" s="76"/>
      <c r="BY53" s="76"/>
      <c r="BZ53" s="76"/>
      <c r="CA53" s="76"/>
      <c r="CB53" s="76"/>
      <c r="CC53" s="76"/>
      <c r="CD53" s="76"/>
      <c r="CE53" s="76"/>
      <c r="CF53" s="76">
        <f>+CE53*28000</f>
        <v>0</v>
      </c>
      <c r="CG53" s="76"/>
      <c r="CH53" s="76">
        <f>+CG53*22500</f>
        <v>0</v>
      </c>
      <c r="CI53" s="76"/>
      <c r="CJ53" s="76">
        <f>+CI53*26000</f>
        <v>0</v>
      </c>
      <c r="CK53" s="76"/>
      <c r="CL53" s="76"/>
      <c r="CM53" s="76"/>
      <c r="CN53" s="76">
        <f>+CM53*22000</f>
        <v>0</v>
      </c>
      <c r="CO53" s="76"/>
      <c r="CP53" s="76">
        <f>+CO53*46000</f>
        <v>0</v>
      </c>
      <c r="CQ53" s="76"/>
      <c r="CR53" s="76">
        <f>+CQ53*49000</f>
        <v>0</v>
      </c>
      <c r="CS53" s="76"/>
      <c r="CT53" s="76"/>
      <c r="CU53" s="56">
        <f>AN53+AP53+AR53+AT53+AV53+AX53+AZ53+BB53+BD53+BF53+BH53+BJ53+BL53+BN53+BP53+BR53+BT53+BV53+BX53+BZ53+CB53+CD53+CF53+CH53+CJ53+CL53+CN53+CP53+CR53+CT53</f>
        <v>0</v>
      </c>
      <c r="CV53" s="76"/>
      <c r="CW53" s="76">
        <f>+CV53*1100</f>
        <v>0</v>
      </c>
      <c r="CX53" s="76"/>
      <c r="CY53" s="76">
        <f>+CX53*106250</f>
        <v>0</v>
      </c>
      <c r="CZ53" s="76"/>
      <c r="DA53" s="76">
        <f>+CZ53*34500</f>
        <v>0</v>
      </c>
      <c r="DB53" s="76"/>
      <c r="DC53" s="76">
        <f>+DB53*25000</f>
        <v>0</v>
      </c>
      <c r="DD53" s="219"/>
      <c r="DE53" s="219"/>
      <c r="DF53" s="164"/>
      <c r="DG53" s="116"/>
      <c r="DH53" s="117"/>
      <c r="DI53" s="24"/>
      <c r="DJ53" s="24"/>
      <c r="DK53" s="24"/>
      <c r="DL53" s="24"/>
      <c r="DM53" s="24"/>
      <c r="DN53" s="24"/>
      <c r="DO53" s="24"/>
      <c r="DP53" s="24"/>
      <c r="DQ53" s="24"/>
      <c r="DR53" s="24"/>
      <c r="DS53" s="24"/>
      <c r="DT53" s="24"/>
      <c r="DU53" s="24"/>
    </row>
    <row r="54" spans="1:125" s="8" customFormat="1" ht="24" x14ac:dyDescent="0.2">
      <c r="A54" s="77">
        <v>41279</v>
      </c>
      <c r="B54" s="80" t="s">
        <v>2700</v>
      </c>
      <c r="C54" s="81" t="s">
        <v>710</v>
      </c>
      <c r="D54" s="81" t="s">
        <v>2846</v>
      </c>
      <c r="E54" s="75" t="str">
        <f>VLOOKUP(B54&amp;C54,Divipola!$C$2:$F$1138,4,FALSE)</f>
        <v>15816</v>
      </c>
      <c r="F54" s="87"/>
      <c r="G54" s="87"/>
      <c r="H54" s="87"/>
      <c r="I54" s="87"/>
      <c r="J54" s="87"/>
      <c r="K54" s="87"/>
      <c r="L54" s="87"/>
      <c r="M54" s="87"/>
      <c r="N54" s="87"/>
      <c r="O54" s="87"/>
      <c r="P54" s="87"/>
      <c r="Q54" s="87"/>
      <c r="R54" s="87"/>
      <c r="S54" s="87"/>
      <c r="T54" s="87"/>
      <c r="U54" s="127"/>
      <c r="V54" s="89"/>
      <c r="W54" s="96">
        <v>0</v>
      </c>
      <c r="X54" s="71">
        <f>CU54</f>
        <v>0</v>
      </c>
      <c r="Y54" s="71">
        <f>CY54</f>
        <v>0</v>
      </c>
      <c r="Z54" s="71">
        <f>DA54+DC54+DE54</f>
        <v>0</v>
      </c>
      <c r="AA54" s="71">
        <f>CW54</f>
        <v>0</v>
      </c>
      <c r="AB54" s="71"/>
      <c r="AC54" s="71">
        <v>0</v>
      </c>
      <c r="AD54" s="71">
        <f>W54+X54+Y54+Z54+AA54+AB54+AC54</f>
        <v>0</v>
      </c>
      <c r="AE54" s="72">
        <v>0</v>
      </c>
      <c r="AF54" s="5"/>
      <c r="AG54" s="6"/>
      <c r="AH54" s="27" t="s">
        <v>3392</v>
      </c>
      <c r="AI54" s="44" t="s">
        <v>3393</v>
      </c>
      <c r="AJ54" s="26"/>
      <c r="AK54" s="5"/>
      <c r="AL54" s="82" t="s">
        <v>2918</v>
      </c>
      <c r="AM54" s="76"/>
      <c r="AN54" s="76"/>
      <c r="AO54" s="76"/>
      <c r="AP54" s="76"/>
      <c r="AQ54" s="76"/>
      <c r="AR54" s="76"/>
      <c r="AS54" s="76"/>
      <c r="AT54" s="76"/>
      <c r="AU54" s="76"/>
      <c r="AV54" s="76"/>
      <c r="AW54" s="76"/>
      <c r="AX54" s="76">
        <f>+AW54*600000</f>
        <v>0</v>
      </c>
      <c r="AY54" s="76"/>
      <c r="AZ54" s="76">
        <f>+AY54*70000</f>
        <v>0</v>
      </c>
      <c r="BA54" s="76"/>
      <c r="BB54" s="76"/>
      <c r="BC54" s="76"/>
      <c r="BD54" s="76">
        <f>+BC54*30000</f>
        <v>0</v>
      </c>
      <c r="BE54" s="76"/>
      <c r="BF54" s="76"/>
      <c r="BG54" s="76"/>
      <c r="BH54" s="76"/>
      <c r="BI54" s="76"/>
      <c r="BJ54" s="76"/>
      <c r="BK54" s="76"/>
      <c r="BL54" s="76">
        <f>+BK54*31500</f>
        <v>0</v>
      </c>
      <c r="BM54" s="76"/>
      <c r="BN54" s="76"/>
      <c r="BO54" s="76"/>
      <c r="BP54" s="76"/>
      <c r="BQ54" s="76"/>
      <c r="BR54" s="76"/>
      <c r="BS54" s="76"/>
      <c r="BT54" s="76"/>
      <c r="BU54" s="76"/>
      <c r="BV54" s="76"/>
      <c r="BW54" s="76"/>
      <c r="BX54" s="76"/>
      <c r="BY54" s="76"/>
      <c r="BZ54" s="76"/>
      <c r="CA54" s="76"/>
      <c r="CB54" s="76"/>
      <c r="CC54" s="76"/>
      <c r="CD54" s="76"/>
      <c r="CE54" s="76"/>
      <c r="CF54" s="76">
        <f>+CE54*28000</f>
        <v>0</v>
      </c>
      <c r="CG54" s="76"/>
      <c r="CH54" s="76">
        <f>+CG54*22500</f>
        <v>0</v>
      </c>
      <c r="CI54" s="76"/>
      <c r="CJ54" s="76">
        <f>+CI54*26000</f>
        <v>0</v>
      </c>
      <c r="CK54" s="76"/>
      <c r="CL54" s="76"/>
      <c r="CM54" s="76"/>
      <c r="CN54" s="76">
        <f>+CM54*22000</f>
        <v>0</v>
      </c>
      <c r="CO54" s="76"/>
      <c r="CP54" s="76">
        <f>+CO54*46000</f>
        <v>0</v>
      </c>
      <c r="CQ54" s="76"/>
      <c r="CR54" s="76">
        <f>+CQ54*49000</f>
        <v>0</v>
      </c>
      <c r="CS54" s="76"/>
      <c r="CT54" s="76"/>
      <c r="CU54" s="56">
        <f>AN54+AP54+AR54+AT54+AV54+AX54+AZ54+BB54+BD54+BF54+BH54+BJ54+BL54+BN54+BP54+BR54+BT54+BV54+BX54+BZ54+CB54+CD54+CF54+CH54+CJ54+CL54+CN54+CP54+CR54+CT54</f>
        <v>0</v>
      </c>
      <c r="CV54" s="76"/>
      <c r="CW54" s="76">
        <f>+CV54*1100</f>
        <v>0</v>
      </c>
      <c r="CX54" s="76"/>
      <c r="CY54" s="76">
        <f>+CX54*106250</f>
        <v>0</v>
      </c>
      <c r="CZ54" s="76"/>
      <c r="DA54" s="76">
        <f>+CZ54*34500</f>
        <v>0</v>
      </c>
      <c r="DB54" s="76"/>
      <c r="DC54" s="76">
        <f>+DB54*25000</f>
        <v>0</v>
      </c>
      <c r="DD54" s="219"/>
      <c r="DE54" s="219"/>
      <c r="DF54" s="164"/>
      <c r="DG54" s="116"/>
      <c r="DH54" s="117"/>
      <c r="DI54" s="24"/>
      <c r="DJ54" s="24"/>
      <c r="DK54" s="24"/>
      <c r="DL54" s="24"/>
      <c r="DM54" s="24"/>
      <c r="DN54" s="24"/>
      <c r="DO54" s="24"/>
      <c r="DP54" s="24"/>
      <c r="DQ54" s="24"/>
      <c r="DR54" s="24"/>
      <c r="DS54" s="24"/>
      <c r="DT54" s="24"/>
      <c r="DU54" s="24"/>
    </row>
    <row r="55" spans="1:125" s="8" customFormat="1" ht="48" x14ac:dyDescent="0.2">
      <c r="A55" s="77">
        <v>41279</v>
      </c>
      <c r="B55" s="60" t="s">
        <v>2700</v>
      </c>
      <c r="C55" s="55" t="s">
        <v>560</v>
      </c>
      <c r="D55" s="81" t="s">
        <v>2846</v>
      </c>
      <c r="E55" s="75" t="str">
        <f>VLOOKUP(B55&amp;C55,Divipola!$C$2:$F$1138,4,FALSE)</f>
        <v>15407</v>
      </c>
      <c r="F55" s="87"/>
      <c r="G55" s="87"/>
      <c r="H55" s="87"/>
      <c r="I55" s="87"/>
      <c r="J55" s="87"/>
      <c r="K55" s="87"/>
      <c r="L55" s="87"/>
      <c r="M55" s="87"/>
      <c r="N55" s="87"/>
      <c r="O55" s="87"/>
      <c r="P55" s="87"/>
      <c r="Q55" s="87"/>
      <c r="R55" s="87"/>
      <c r="S55" s="87"/>
      <c r="T55" s="87"/>
      <c r="U55" s="127">
        <v>0.5</v>
      </c>
      <c r="V55" s="89"/>
      <c r="W55" s="96">
        <v>0</v>
      </c>
      <c r="X55" s="71">
        <f>CU55</f>
        <v>0</v>
      </c>
      <c r="Y55" s="71">
        <f>CY55</f>
        <v>0</v>
      </c>
      <c r="Z55" s="71">
        <f>DA55+DC55+DE55</f>
        <v>0</v>
      </c>
      <c r="AA55" s="71">
        <f>CW55</f>
        <v>0</v>
      </c>
      <c r="AB55" s="71"/>
      <c r="AC55" s="71">
        <v>0</v>
      </c>
      <c r="AD55" s="71">
        <f>W55+X55+Y55+Z55+AA55+AB55+AC55</f>
        <v>0</v>
      </c>
      <c r="AE55" s="72">
        <v>0</v>
      </c>
      <c r="AF55" s="5"/>
      <c r="AG55" s="6"/>
      <c r="AH55" s="27" t="s">
        <v>3392</v>
      </c>
      <c r="AI55" s="44" t="s">
        <v>3393</v>
      </c>
      <c r="AJ55" s="26"/>
      <c r="AK55" s="5"/>
      <c r="AL55" s="82" t="s">
        <v>2912</v>
      </c>
      <c r="AM55" s="76"/>
      <c r="AN55" s="76"/>
      <c r="AO55" s="76"/>
      <c r="AP55" s="76"/>
      <c r="AQ55" s="76"/>
      <c r="AR55" s="76"/>
      <c r="AS55" s="76"/>
      <c r="AT55" s="76"/>
      <c r="AU55" s="76"/>
      <c r="AV55" s="76"/>
      <c r="AW55" s="76"/>
      <c r="AX55" s="76">
        <f>+AW55*600000</f>
        <v>0</v>
      </c>
      <c r="AY55" s="76"/>
      <c r="AZ55" s="76">
        <f>+AY55*70000</f>
        <v>0</v>
      </c>
      <c r="BA55" s="76"/>
      <c r="BB55" s="76"/>
      <c r="BC55" s="76"/>
      <c r="BD55" s="76">
        <f>+BC55*30000</f>
        <v>0</v>
      </c>
      <c r="BE55" s="76"/>
      <c r="BF55" s="76"/>
      <c r="BG55" s="76"/>
      <c r="BH55" s="76"/>
      <c r="BI55" s="76"/>
      <c r="BJ55" s="76"/>
      <c r="BK55" s="76"/>
      <c r="BL55" s="76">
        <f>+BK55*31500</f>
        <v>0</v>
      </c>
      <c r="BM55" s="76"/>
      <c r="BN55" s="76"/>
      <c r="BO55" s="76"/>
      <c r="BP55" s="76"/>
      <c r="BQ55" s="76"/>
      <c r="BR55" s="76"/>
      <c r="BS55" s="76"/>
      <c r="BT55" s="76"/>
      <c r="BU55" s="76"/>
      <c r="BV55" s="76"/>
      <c r="BW55" s="76"/>
      <c r="BX55" s="76"/>
      <c r="BY55" s="76"/>
      <c r="BZ55" s="76"/>
      <c r="CA55" s="76"/>
      <c r="CB55" s="76"/>
      <c r="CC55" s="76"/>
      <c r="CD55" s="76"/>
      <c r="CE55" s="76"/>
      <c r="CF55" s="76">
        <f>+CE55*28000</f>
        <v>0</v>
      </c>
      <c r="CG55" s="76"/>
      <c r="CH55" s="76">
        <f>+CG55*22500</f>
        <v>0</v>
      </c>
      <c r="CI55" s="76"/>
      <c r="CJ55" s="76">
        <f>+CI55*26000</f>
        <v>0</v>
      </c>
      <c r="CK55" s="76"/>
      <c r="CL55" s="76"/>
      <c r="CM55" s="76"/>
      <c r="CN55" s="76">
        <f>+CM55*22000</f>
        <v>0</v>
      </c>
      <c r="CO55" s="76"/>
      <c r="CP55" s="76">
        <f>+CO55*46000</f>
        <v>0</v>
      </c>
      <c r="CQ55" s="76"/>
      <c r="CR55" s="76">
        <f>+CQ55*49000</f>
        <v>0</v>
      </c>
      <c r="CS55" s="76"/>
      <c r="CT55" s="76"/>
      <c r="CU55" s="56">
        <f>AN55+AP55+AR55+AT55+AV55+AX55+AZ55+BB55+BD55+BF55+BH55+BJ55+BL55+BN55+BP55+BR55+BT55+BV55+BX55+BZ55+CB55+CD55+CF55+CH55+CJ55+CL55+CN55+CP55+CR55+CT55</f>
        <v>0</v>
      </c>
      <c r="CV55" s="76"/>
      <c r="CW55" s="76">
        <f>+CV55*1100</f>
        <v>0</v>
      </c>
      <c r="CX55" s="76"/>
      <c r="CY55" s="76">
        <f>+CX55*106250</f>
        <v>0</v>
      </c>
      <c r="CZ55" s="76"/>
      <c r="DA55" s="76">
        <f>+CZ55*34500</f>
        <v>0</v>
      </c>
      <c r="DB55" s="76"/>
      <c r="DC55" s="76">
        <f>+DB55*25000</f>
        <v>0</v>
      </c>
      <c r="DD55" s="219"/>
      <c r="DE55" s="219"/>
      <c r="DF55" s="164"/>
      <c r="DG55" s="116"/>
      <c r="DH55" s="117"/>
      <c r="DI55" s="24"/>
      <c r="DJ55" s="24"/>
      <c r="DK55" s="24"/>
      <c r="DL55" s="24"/>
      <c r="DM55" s="24"/>
      <c r="DN55" s="24"/>
      <c r="DO55" s="24"/>
      <c r="DP55" s="24"/>
      <c r="DQ55" s="24"/>
      <c r="DR55" s="24"/>
      <c r="DS55" s="24"/>
      <c r="DT55" s="24"/>
      <c r="DU55" s="24"/>
    </row>
    <row r="56" spans="1:125" s="8" customFormat="1" ht="48" x14ac:dyDescent="0.2">
      <c r="A56" s="77">
        <v>41279</v>
      </c>
      <c r="B56" s="78" t="s">
        <v>2778</v>
      </c>
      <c r="C56" s="75" t="s">
        <v>1344</v>
      </c>
      <c r="D56" s="81" t="s">
        <v>2846</v>
      </c>
      <c r="E56" s="75" t="str">
        <f>VLOOKUP(B56&amp;C56,Divipola!$C$2:$F$1138,4,FALSE)</f>
        <v>85001</v>
      </c>
      <c r="F56" s="87"/>
      <c r="G56" s="87"/>
      <c r="H56" s="87"/>
      <c r="I56" s="87"/>
      <c r="J56" s="87"/>
      <c r="K56" s="87"/>
      <c r="L56" s="87"/>
      <c r="M56" s="87"/>
      <c r="N56" s="87"/>
      <c r="O56" s="87"/>
      <c r="P56" s="87"/>
      <c r="Q56" s="87"/>
      <c r="R56" s="87"/>
      <c r="S56" s="87"/>
      <c r="T56" s="87"/>
      <c r="U56" s="127">
        <v>1</v>
      </c>
      <c r="V56" s="89"/>
      <c r="W56" s="96">
        <v>0</v>
      </c>
      <c r="X56" s="71">
        <f>CU56</f>
        <v>0</v>
      </c>
      <c r="Y56" s="71">
        <f>CY56</f>
        <v>0</v>
      </c>
      <c r="Z56" s="71">
        <f>DA56+DC56+DE56</f>
        <v>0</v>
      </c>
      <c r="AA56" s="71">
        <f>CW56</f>
        <v>0</v>
      </c>
      <c r="AB56" s="71"/>
      <c r="AC56" s="71">
        <v>0</v>
      </c>
      <c r="AD56" s="71">
        <f>W56+X56+Y56+Z56+AA56+AB56+AC56</f>
        <v>0</v>
      </c>
      <c r="AE56" s="72">
        <v>0</v>
      </c>
      <c r="AF56" s="5"/>
      <c r="AG56" s="6"/>
      <c r="AH56" s="27" t="s">
        <v>3390</v>
      </c>
      <c r="AI56" s="44" t="s">
        <v>3391</v>
      </c>
      <c r="AJ56" s="26"/>
      <c r="AK56" s="5" t="s">
        <v>3397</v>
      </c>
      <c r="AL56" s="82" t="s">
        <v>2903</v>
      </c>
      <c r="AM56" s="76"/>
      <c r="AN56" s="76"/>
      <c r="AO56" s="76"/>
      <c r="AP56" s="76"/>
      <c r="AQ56" s="76"/>
      <c r="AR56" s="76"/>
      <c r="AS56" s="76"/>
      <c r="AT56" s="76"/>
      <c r="AU56" s="76"/>
      <c r="AV56" s="76"/>
      <c r="AW56" s="76"/>
      <c r="AX56" s="76">
        <f>+AW56*600000</f>
        <v>0</v>
      </c>
      <c r="AY56" s="76"/>
      <c r="AZ56" s="76">
        <f>+AY56*70000</f>
        <v>0</v>
      </c>
      <c r="BA56" s="76"/>
      <c r="BB56" s="76"/>
      <c r="BC56" s="76"/>
      <c r="BD56" s="76">
        <f>+BC56*30000</f>
        <v>0</v>
      </c>
      <c r="BE56" s="76"/>
      <c r="BF56" s="76"/>
      <c r="BG56" s="76"/>
      <c r="BH56" s="76"/>
      <c r="BI56" s="76"/>
      <c r="BJ56" s="76"/>
      <c r="BK56" s="76"/>
      <c r="BL56" s="76">
        <f>+BK56*31500</f>
        <v>0</v>
      </c>
      <c r="BM56" s="76"/>
      <c r="BN56" s="76"/>
      <c r="BO56" s="76"/>
      <c r="BP56" s="76"/>
      <c r="BQ56" s="76"/>
      <c r="BR56" s="76"/>
      <c r="BS56" s="76"/>
      <c r="BT56" s="76"/>
      <c r="BU56" s="76"/>
      <c r="BV56" s="76"/>
      <c r="BW56" s="76"/>
      <c r="BX56" s="76"/>
      <c r="BY56" s="76"/>
      <c r="BZ56" s="76"/>
      <c r="CA56" s="76"/>
      <c r="CB56" s="76"/>
      <c r="CC56" s="76"/>
      <c r="CD56" s="76"/>
      <c r="CE56" s="76"/>
      <c r="CF56" s="76">
        <f>+CE56*28000</f>
        <v>0</v>
      </c>
      <c r="CG56" s="76"/>
      <c r="CH56" s="76">
        <f>+CG56*22500</f>
        <v>0</v>
      </c>
      <c r="CI56" s="76"/>
      <c r="CJ56" s="76">
        <f>+CI56*26000</f>
        <v>0</v>
      </c>
      <c r="CK56" s="76"/>
      <c r="CL56" s="76"/>
      <c r="CM56" s="76"/>
      <c r="CN56" s="76">
        <f>+CM56*22000</f>
        <v>0</v>
      </c>
      <c r="CO56" s="76"/>
      <c r="CP56" s="76">
        <f>+CO56*46000</f>
        <v>0</v>
      </c>
      <c r="CQ56" s="76"/>
      <c r="CR56" s="76">
        <f>+CQ56*49000</f>
        <v>0</v>
      </c>
      <c r="CS56" s="76"/>
      <c r="CT56" s="76"/>
      <c r="CU56" s="56">
        <f>AN56+AP56+AR56+AT56+AV56+AX56+AZ56+BB56+BD56+BF56+BH56+BJ56+BL56+BN56+BP56+BR56+BT56+BV56+BX56+BZ56+CB56+CD56+CF56+CH56+CJ56+CL56+CN56+CP56+CR56+CT56</f>
        <v>0</v>
      </c>
      <c r="CV56" s="76"/>
      <c r="CW56" s="76">
        <f>+CV56*1100</f>
        <v>0</v>
      </c>
      <c r="CX56" s="76"/>
      <c r="CY56" s="76">
        <f>+CX56*106250</f>
        <v>0</v>
      </c>
      <c r="CZ56" s="76"/>
      <c r="DA56" s="76">
        <f>+CZ56*34500</f>
        <v>0</v>
      </c>
      <c r="DB56" s="76"/>
      <c r="DC56" s="76">
        <f>+DB56*25000</f>
        <v>0</v>
      </c>
      <c r="DD56" s="219"/>
      <c r="DE56" s="219"/>
      <c r="DF56" s="164"/>
      <c r="DG56" s="116"/>
      <c r="DH56" s="117"/>
      <c r="DI56" s="24"/>
      <c r="DJ56" s="24"/>
      <c r="DK56" s="24"/>
      <c r="DL56" s="24"/>
      <c r="DM56" s="24"/>
      <c r="DN56" s="24"/>
      <c r="DO56" s="24"/>
      <c r="DP56" s="24"/>
      <c r="DQ56" s="24"/>
      <c r="DR56" s="24"/>
      <c r="DS56" s="24"/>
      <c r="DT56" s="24"/>
      <c r="DU56" s="24"/>
    </row>
    <row r="57" spans="1:125" s="8" customFormat="1" ht="36" x14ac:dyDescent="0.2">
      <c r="A57" s="77">
        <v>41279</v>
      </c>
      <c r="B57" s="78" t="s">
        <v>2772</v>
      </c>
      <c r="C57" s="75" t="s">
        <v>2792</v>
      </c>
      <c r="D57" s="81" t="s">
        <v>2846</v>
      </c>
      <c r="E57" s="75" t="str">
        <f>VLOOKUP(B57&amp;C57,Divipola!$C$2:$F$1138,4,FALSE)</f>
        <v>25154</v>
      </c>
      <c r="F57" s="87"/>
      <c r="G57" s="87"/>
      <c r="H57" s="87"/>
      <c r="I57" s="87"/>
      <c r="J57" s="87"/>
      <c r="K57" s="87"/>
      <c r="L57" s="87"/>
      <c r="M57" s="87"/>
      <c r="N57" s="87"/>
      <c r="O57" s="87"/>
      <c r="P57" s="87"/>
      <c r="Q57" s="87"/>
      <c r="R57" s="87"/>
      <c r="S57" s="87"/>
      <c r="T57" s="87"/>
      <c r="U57" s="127">
        <v>5.5</v>
      </c>
      <c r="V57" s="89"/>
      <c r="W57" s="96">
        <v>0</v>
      </c>
      <c r="X57" s="71">
        <f>CU57</f>
        <v>0</v>
      </c>
      <c r="Y57" s="71">
        <f>CY57</f>
        <v>0</v>
      </c>
      <c r="Z57" s="71">
        <f>DA57+DC57+DE57</f>
        <v>0</v>
      </c>
      <c r="AA57" s="71">
        <f>CW57</f>
        <v>0</v>
      </c>
      <c r="AB57" s="71"/>
      <c r="AC57" s="71">
        <v>0</v>
      </c>
      <c r="AD57" s="71">
        <f>W57+X57+Y57+Z57+AA57+AB57+AC57</f>
        <v>0</v>
      </c>
      <c r="AE57" s="72">
        <v>0</v>
      </c>
      <c r="AF57" s="5"/>
      <c r="AG57" s="6"/>
      <c r="AH57" s="27" t="s">
        <v>3392</v>
      </c>
      <c r="AI57" s="44" t="s">
        <v>3393</v>
      </c>
      <c r="AJ57" s="26"/>
      <c r="AK57" s="5"/>
      <c r="AL57" s="82" t="s">
        <v>2904</v>
      </c>
      <c r="AM57" s="76"/>
      <c r="AN57" s="76"/>
      <c r="AO57" s="76"/>
      <c r="AP57" s="76"/>
      <c r="AQ57" s="76"/>
      <c r="AR57" s="76"/>
      <c r="AS57" s="76"/>
      <c r="AT57" s="76"/>
      <c r="AU57" s="76"/>
      <c r="AV57" s="76"/>
      <c r="AW57" s="76"/>
      <c r="AX57" s="76">
        <f>+AW57*600000</f>
        <v>0</v>
      </c>
      <c r="AY57" s="76"/>
      <c r="AZ57" s="76">
        <f>+AY57*70000</f>
        <v>0</v>
      </c>
      <c r="BA57" s="76"/>
      <c r="BB57" s="76"/>
      <c r="BC57" s="76"/>
      <c r="BD57" s="76">
        <f>+BC57*30000</f>
        <v>0</v>
      </c>
      <c r="BE57" s="76"/>
      <c r="BF57" s="76"/>
      <c r="BG57" s="76"/>
      <c r="BH57" s="76"/>
      <c r="BI57" s="76"/>
      <c r="BJ57" s="76"/>
      <c r="BK57" s="76"/>
      <c r="BL57" s="76">
        <f>+BK57*31500</f>
        <v>0</v>
      </c>
      <c r="BM57" s="76"/>
      <c r="BN57" s="76"/>
      <c r="BO57" s="76"/>
      <c r="BP57" s="76"/>
      <c r="BQ57" s="76"/>
      <c r="BR57" s="76"/>
      <c r="BS57" s="76"/>
      <c r="BT57" s="76"/>
      <c r="BU57" s="76"/>
      <c r="BV57" s="76"/>
      <c r="BW57" s="76"/>
      <c r="BX57" s="76"/>
      <c r="BY57" s="76"/>
      <c r="BZ57" s="76"/>
      <c r="CA57" s="76"/>
      <c r="CB57" s="76"/>
      <c r="CC57" s="76"/>
      <c r="CD57" s="76"/>
      <c r="CE57" s="76"/>
      <c r="CF57" s="76">
        <f>+CE57*28000</f>
        <v>0</v>
      </c>
      <c r="CG57" s="76"/>
      <c r="CH57" s="76">
        <f>+CG57*22500</f>
        <v>0</v>
      </c>
      <c r="CI57" s="76"/>
      <c r="CJ57" s="76">
        <f>+CI57*26000</f>
        <v>0</v>
      </c>
      <c r="CK57" s="76"/>
      <c r="CL57" s="76"/>
      <c r="CM57" s="76"/>
      <c r="CN57" s="76">
        <f>+CM57*22000</f>
        <v>0</v>
      </c>
      <c r="CO57" s="76"/>
      <c r="CP57" s="76">
        <f>+CO57*46000</f>
        <v>0</v>
      </c>
      <c r="CQ57" s="76"/>
      <c r="CR57" s="76">
        <f>+CQ57*49000</f>
        <v>0</v>
      </c>
      <c r="CS57" s="76"/>
      <c r="CT57" s="76"/>
      <c r="CU57" s="56">
        <f>AN57+AP57+AR57+AT57+AV57+AX57+AZ57+BB57+BD57+BF57+BH57+BJ57+BL57+BN57+BP57+BR57+BT57+BV57+BX57+BZ57+CB57+CD57+CF57+CH57+CJ57+CL57+CN57+CP57+CR57+CT57</f>
        <v>0</v>
      </c>
      <c r="CV57" s="76"/>
      <c r="CW57" s="76">
        <f>+CV57*1100</f>
        <v>0</v>
      </c>
      <c r="CX57" s="76"/>
      <c r="CY57" s="76">
        <f>+CX57*106250</f>
        <v>0</v>
      </c>
      <c r="CZ57" s="76"/>
      <c r="DA57" s="76">
        <f>+CZ57*34500</f>
        <v>0</v>
      </c>
      <c r="DB57" s="76"/>
      <c r="DC57" s="76">
        <f>+DB57*25000</f>
        <v>0</v>
      </c>
      <c r="DD57" s="219"/>
      <c r="DE57" s="219"/>
      <c r="DF57" s="164"/>
      <c r="DG57" s="116"/>
      <c r="DH57" s="117"/>
      <c r="DI57" s="24"/>
      <c r="DJ57" s="24"/>
      <c r="DK57" s="24"/>
      <c r="DL57" s="24"/>
      <c r="DM57" s="24"/>
      <c r="DN57" s="24"/>
      <c r="DO57" s="24"/>
      <c r="DP57" s="24"/>
      <c r="DQ57" s="24"/>
      <c r="DR57" s="24"/>
      <c r="DS57" s="24"/>
      <c r="DT57" s="24"/>
      <c r="DU57" s="24"/>
    </row>
    <row r="58" spans="1:125" s="8" customFormat="1" ht="72" x14ac:dyDescent="0.2">
      <c r="A58" s="77">
        <v>41279</v>
      </c>
      <c r="B58" s="80" t="s">
        <v>2772</v>
      </c>
      <c r="C58" s="81" t="s">
        <v>1062</v>
      </c>
      <c r="D58" s="81" t="s">
        <v>2846</v>
      </c>
      <c r="E58" s="75" t="str">
        <f>VLOOKUP(B58&amp;C58,Divipola!$C$2:$F$1138,4,FALSE)</f>
        <v>25293</v>
      </c>
      <c r="F58" s="87"/>
      <c r="G58" s="87"/>
      <c r="H58" s="87"/>
      <c r="I58" s="87"/>
      <c r="J58" s="87"/>
      <c r="K58" s="87"/>
      <c r="L58" s="87"/>
      <c r="M58" s="87"/>
      <c r="N58" s="87"/>
      <c r="O58" s="87"/>
      <c r="P58" s="87"/>
      <c r="Q58" s="87"/>
      <c r="R58" s="87"/>
      <c r="S58" s="87"/>
      <c r="T58" s="87"/>
      <c r="U58" s="127">
        <v>6</v>
      </c>
      <c r="V58" s="89"/>
      <c r="W58" s="96">
        <v>0</v>
      </c>
      <c r="X58" s="71">
        <f>CU58</f>
        <v>0</v>
      </c>
      <c r="Y58" s="71">
        <f>CY58</f>
        <v>0</v>
      </c>
      <c r="Z58" s="71">
        <f>DA58+DC58+DE58</f>
        <v>0</v>
      </c>
      <c r="AA58" s="71">
        <f>CW58</f>
        <v>0</v>
      </c>
      <c r="AB58" s="71"/>
      <c r="AC58" s="71">
        <v>0</v>
      </c>
      <c r="AD58" s="71">
        <f>W58+X58+Y58+Z58+AA58+AB58+AC58</f>
        <v>0</v>
      </c>
      <c r="AE58" s="72">
        <v>0</v>
      </c>
      <c r="AF58" s="5"/>
      <c r="AG58" s="6"/>
      <c r="AH58" s="27" t="s">
        <v>3392</v>
      </c>
      <c r="AI58" s="44" t="s">
        <v>3393</v>
      </c>
      <c r="AJ58" s="26"/>
      <c r="AK58" s="5"/>
      <c r="AL58" s="82" t="s">
        <v>2932</v>
      </c>
      <c r="AM58" s="76"/>
      <c r="AN58" s="76"/>
      <c r="AO58" s="76"/>
      <c r="AP58" s="76"/>
      <c r="AQ58" s="76"/>
      <c r="AR58" s="76"/>
      <c r="AS58" s="76"/>
      <c r="AT58" s="76"/>
      <c r="AU58" s="76"/>
      <c r="AV58" s="76"/>
      <c r="AW58" s="76"/>
      <c r="AX58" s="76">
        <f>+AW58*600000</f>
        <v>0</v>
      </c>
      <c r="AY58" s="76"/>
      <c r="AZ58" s="76">
        <f>+AY58*70000</f>
        <v>0</v>
      </c>
      <c r="BA58" s="76"/>
      <c r="BB58" s="76"/>
      <c r="BC58" s="76"/>
      <c r="BD58" s="76">
        <f>+BC58*30000</f>
        <v>0</v>
      </c>
      <c r="BE58" s="76"/>
      <c r="BF58" s="76"/>
      <c r="BG58" s="76"/>
      <c r="BH58" s="76"/>
      <c r="BI58" s="76"/>
      <c r="BJ58" s="76"/>
      <c r="BK58" s="76"/>
      <c r="BL58" s="76">
        <f>+BK58*31500</f>
        <v>0</v>
      </c>
      <c r="BM58" s="76"/>
      <c r="BN58" s="76"/>
      <c r="BO58" s="76"/>
      <c r="BP58" s="76"/>
      <c r="BQ58" s="76"/>
      <c r="BR58" s="76"/>
      <c r="BS58" s="76"/>
      <c r="BT58" s="76"/>
      <c r="BU58" s="76"/>
      <c r="BV58" s="76"/>
      <c r="BW58" s="76"/>
      <c r="BX58" s="76"/>
      <c r="BY58" s="76"/>
      <c r="BZ58" s="76"/>
      <c r="CA58" s="76"/>
      <c r="CB58" s="76"/>
      <c r="CC58" s="76"/>
      <c r="CD58" s="76"/>
      <c r="CE58" s="76"/>
      <c r="CF58" s="76">
        <f>+CE58*28000</f>
        <v>0</v>
      </c>
      <c r="CG58" s="76"/>
      <c r="CH58" s="76">
        <f>+CG58*22500</f>
        <v>0</v>
      </c>
      <c r="CI58" s="76"/>
      <c r="CJ58" s="76">
        <f>+CI58*26000</f>
        <v>0</v>
      </c>
      <c r="CK58" s="76"/>
      <c r="CL58" s="76"/>
      <c r="CM58" s="76"/>
      <c r="CN58" s="76">
        <f>+CM58*22000</f>
        <v>0</v>
      </c>
      <c r="CO58" s="76"/>
      <c r="CP58" s="76">
        <f>+CO58*46000</f>
        <v>0</v>
      </c>
      <c r="CQ58" s="76"/>
      <c r="CR58" s="76">
        <f>+CQ58*49000</f>
        <v>0</v>
      </c>
      <c r="CS58" s="76"/>
      <c r="CT58" s="76"/>
      <c r="CU58" s="56">
        <f>AN58+AP58+AR58+AT58+AV58+AX58+AZ58+BB58+BD58+BF58+BH58+BJ58+BL58+BN58+BP58+BR58+BT58+BV58+BX58+BZ58+CB58+CD58+CF58+CH58+CJ58+CL58+CN58+CP58+CR58+CT58</f>
        <v>0</v>
      </c>
      <c r="CV58" s="76"/>
      <c r="CW58" s="76">
        <f>+CV58*1100</f>
        <v>0</v>
      </c>
      <c r="CX58" s="76"/>
      <c r="CY58" s="76">
        <f>+CX58*106250</f>
        <v>0</v>
      </c>
      <c r="CZ58" s="76"/>
      <c r="DA58" s="76">
        <f>+CZ58*34500</f>
        <v>0</v>
      </c>
      <c r="DB58" s="76"/>
      <c r="DC58" s="76">
        <f>+DB58*25000</f>
        <v>0</v>
      </c>
      <c r="DD58" s="219"/>
      <c r="DE58" s="219"/>
      <c r="DF58" s="164"/>
      <c r="DG58" s="116"/>
      <c r="DH58" s="117"/>
      <c r="DI58" s="24"/>
      <c r="DJ58" s="24"/>
      <c r="DK58" s="24"/>
      <c r="DL58" s="24"/>
      <c r="DM58" s="24"/>
      <c r="DN58" s="24"/>
      <c r="DO58" s="24"/>
      <c r="DP58" s="24"/>
      <c r="DQ58" s="24"/>
      <c r="DR58" s="24"/>
      <c r="DS58" s="24"/>
      <c r="DT58" s="24"/>
      <c r="DU58" s="24"/>
    </row>
    <row r="59" spans="1:125" s="8" customFormat="1" ht="36" x14ac:dyDescent="0.2">
      <c r="A59" s="77">
        <v>41279</v>
      </c>
      <c r="B59" s="78" t="s">
        <v>2772</v>
      </c>
      <c r="C59" s="83" t="s">
        <v>1334</v>
      </c>
      <c r="D59" s="81" t="s">
        <v>2846</v>
      </c>
      <c r="E59" s="75" t="str">
        <f>VLOOKUP(B59&amp;C59,Divipola!$C$2:$F$1138,4,FALSE)</f>
        <v>25317</v>
      </c>
      <c r="F59" s="93"/>
      <c r="G59" s="93"/>
      <c r="H59" s="93"/>
      <c r="I59" s="93"/>
      <c r="J59" s="93"/>
      <c r="K59" s="93"/>
      <c r="L59" s="93"/>
      <c r="M59" s="93"/>
      <c r="N59" s="93"/>
      <c r="O59" s="93"/>
      <c r="P59" s="93"/>
      <c r="Q59" s="93"/>
      <c r="R59" s="93"/>
      <c r="S59" s="93"/>
      <c r="T59" s="93"/>
      <c r="U59" s="125">
        <v>5</v>
      </c>
      <c r="V59" s="89"/>
      <c r="W59" s="96">
        <v>0</v>
      </c>
      <c r="X59" s="71">
        <f>CU59</f>
        <v>0</v>
      </c>
      <c r="Y59" s="71">
        <f>CY59</f>
        <v>0</v>
      </c>
      <c r="Z59" s="71">
        <f>DA59+DC59+DE59</f>
        <v>0</v>
      </c>
      <c r="AA59" s="71">
        <f>CW59</f>
        <v>0</v>
      </c>
      <c r="AB59" s="71"/>
      <c r="AC59" s="71">
        <v>0</v>
      </c>
      <c r="AD59" s="71">
        <f>W59+X59+Y59+Z59+AA59+AB59+AC59</f>
        <v>0</v>
      </c>
      <c r="AE59" s="72">
        <v>0</v>
      </c>
      <c r="AF59" s="5"/>
      <c r="AG59" s="6"/>
      <c r="AH59" s="27" t="s">
        <v>3392</v>
      </c>
      <c r="AI59" s="44" t="s">
        <v>3393</v>
      </c>
      <c r="AJ59" s="26"/>
      <c r="AK59" s="5"/>
      <c r="AL59" s="82" t="s">
        <v>3242</v>
      </c>
      <c r="AM59" s="76"/>
      <c r="AN59" s="76"/>
      <c r="AO59" s="76"/>
      <c r="AP59" s="76"/>
      <c r="AQ59" s="76"/>
      <c r="AR59" s="76"/>
      <c r="AS59" s="76"/>
      <c r="AT59" s="76"/>
      <c r="AU59" s="76"/>
      <c r="AV59" s="76"/>
      <c r="AW59" s="76"/>
      <c r="AX59" s="76">
        <f>+AW59*600000</f>
        <v>0</v>
      </c>
      <c r="AY59" s="76"/>
      <c r="AZ59" s="76">
        <f>+AY59*70000</f>
        <v>0</v>
      </c>
      <c r="BA59" s="76"/>
      <c r="BB59" s="76"/>
      <c r="BC59" s="76"/>
      <c r="BD59" s="76">
        <f>+BC59*30000</f>
        <v>0</v>
      </c>
      <c r="BE59" s="76"/>
      <c r="BF59" s="76"/>
      <c r="BG59" s="76"/>
      <c r="BH59" s="76"/>
      <c r="BI59" s="76"/>
      <c r="BJ59" s="76"/>
      <c r="BK59" s="76"/>
      <c r="BL59" s="76">
        <f>+BK59*31500</f>
        <v>0</v>
      </c>
      <c r="BM59" s="76"/>
      <c r="BN59" s="76"/>
      <c r="BO59" s="76"/>
      <c r="BP59" s="76"/>
      <c r="BQ59" s="76"/>
      <c r="BR59" s="76"/>
      <c r="BS59" s="76"/>
      <c r="BT59" s="76"/>
      <c r="BU59" s="76"/>
      <c r="BV59" s="76"/>
      <c r="BW59" s="76"/>
      <c r="BX59" s="76"/>
      <c r="BY59" s="76"/>
      <c r="BZ59" s="76"/>
      <c r="CA59" s="76"/>
      <c r="CB59" s="76"/>
      <c r="CC59" s="76"/>
      <c r="CD59" s="76"/>
      <c r="CE59" s="76"/>
      <c r="CF59" s="76">
        <f>+CE59*28000</f>
        <v>0</v>
      </c>
      <c r="CG59" s="76"/>
      <c r="CH59" s="76">
        <f>+CG59*22500</f>
        <v>0</v>
      </c>
      <c r="CI59" s="76"/>
      <c r="CJ59" s="76">
        <f>+CI59*26000</f>
        <v>0</v>
      </c>
      <c r="CK59" s="76"/>
      <c r="CL59" s="76"/>
      <c r="CM59" s="76"/>
      <c r="CN59" s="76">
        <f>+CM59*22000</f>
        <v>0</v>
      </c>
      <c r="CO59" s="76"/>
      <c r="CP59" s="76">
        <f>+CO59*46000</f>
        <v>0</v>
      </c>
      <c r="CQ59" s="76"/>
      <c r="CR59" s="76">
        <f>+CQ59*49000</f>
        <v>0</v>
      </c>
      <c r="CS59" s="76"/>
      <c r="CT59" s="76"/>
      <c r="CU59" s="56">
        <f>AN59+AP59+AR59+AT59+AV59+AX59+AZ59+BB59+BD59+BF59+BH59+BJ59+BL59+BN59+BP59+BR59+BT59+BV59+BX59+BZ59+CB59+CD59+CF59+CH59+CJ59+CL59+CN59+CP59+CR59+CT59</f>
        <v>0</v>
      </c>
      <c r="CV59" s="76"/>
      <c r="CW59" s="76">
        <f>+CV59*1100</f>
        <v>0</v>
      </c>
      <c r="CX59" s="76"/>
      <c r="CY59" s="76">
        <f>+CX59*106250</f>
        <v>0</v>
      </c>
      <c r="CZ59" s="76"/>
      <c r="DA59" s="76">
        <f>+CZ59*34500</f>
        <v>0</v>
      </c>
      <c r="DB59" s="76"/>
      <c r="DC59" s="76">
        <f>+DB59*25000</f>
        <v>0</v>
      </c>
      <c r="DD59" s="219"/>
      <c r="DE59" s="219"/>
      <c r="DF59" s="164"/>
      <c r="DG59" s="116"/>
      <c r="DH59" s="117"/>
      <c r="DI59" s="24"/>
      <c r="DJ59" s="24"/>
      <c r="DK59" s="24"/>
      <c r="DL59" s="24"/>
      <c r="DM59" s="24"/>
      <c r="DN59" s="24"/>
      <c r="DO59" s="24"/>
      <c r="DP59" s="24"/>
      <c r="DQ59" s="24"/>
      <c r="DR59" s="24"/>
      <c r="DS59" s="24"/>
      <c r="DT59" s="24"/>
      <c r="DU59" s="24"/>
    </row>
    <row r="60" spans="1:125" s="8" customFormat="1" ht="48" x14ac:dyDescent="0.2">
      <c r="A60" s="77">
        <v>41279</v>
      </c>
      <c r="B60" s="80" t="s">
        <v>2772</v>
      </c>
      <c r="C60" s="81" t="s">
        <v>2830</v>
      </c>
      <c r="D60" s="81" t="s">
        <v>2846</v>
      </c>
      <c r="E60" s="75" t="str">
        <f>VLOOKUP(B60&amp;C60,Divipola!$C$2:$F$1138,4,FALSE)</f>
        <v>25486</v>
      </c>
      <c r="F60" s="87"/>
      <c r="G60" s="87"/>
      <c r="H60" s="87"/>
      <c r="I60" s="87"/>
      <c r="J60" s="87"/>
      <c r="K60" s="87"/>
      <c r="L60" s="87"/>
      <c r="M60" s="87"/>
      <c r="N60" s="87"/>
      <c r="O60" s="87"/>
      <c r="P60" s="87"/>
      <c r="Q60" s="87"/>
      <c r="R60" s="87"/>
      <c r="S60" s="87"/>
      <c r="T60" s="87"/>
      <c r="U60" s="127"/>
      <c r="V60" s="89"/>
      <c r="W60" s="96">
        <v>0</v>
      </c>
      <c r="X60" s="71">
        <f>CU60</f>
        <v>0</v>
      </c>
      <c r="Y60" s="71">
        <f>CY60</f>
        <v>0</v>
      </c>
      <c r="Z60" s="71">
        <f>DA60+DC60+DE60</f>
        <v>0</v>
      </c>
      <c r="AA60" s="71">
        <f>CW60</f>
        <v>0</v>
      </c>
      <c r="AB60" s="71"/>
      <c r="AC60" s="71">
        <v>0</v>
      </c>
      <c r="AD60" s="71">
        <f>W60+X60+Y60+Z60+AA60+AB60+AC60</f>
        <v>0</v>
      </c>
      <c r="AE60" s="72">
        <v>0</v>
      </c>
      <c r="AF60" s="5"/>
      <c r="AG60" s="6"/>
      <c r="AH60" s="27" t="s">
        <v>3392</v>
      </c>
      <c r="AI60" s="44" t="s">
        <v>3393</v>
      </c>
      <c r="AJ60" s="26"/>
      <c r="AK60" s="124"/>
      <c r="AL60" s="82" t="s">
        <v>3307</v>
      </c>
      <c r="AM60" s="76"/>
      <c r="AN60" s="76"/>
      <c r="AO60" s="76"/>
      <c r="AP60" s="76"/>
      <c r="AQ60" s="76"/>
      <c r="AR60" s="76"/>
      <c r="AS60" s="76"/>
      <c r="AT60" s="76"/>
      <c r="AU60" s="76"/>
      <c r="AV60" s="76"/>
      <c r="AW60" s="76"/>
      <c r="AX60" s="76">
        <f>+AW60*600000</f>
        <v>0</v>
      </c>
      <c r="AY60" s="76"/>
      <c r="AZ60" s="76">
        <f>+AY60*70000</f>
        <v>0</v>
      </c>
      <c r="BA60" s="76"/>
      <c r="BB60" s="76"/>
      <c r="BC60" s="76"/>
      <c r="BD60" s="76">
        <f>+BC60*30000</f>
        <v>0</v>
      </c>
      <c r="BE60" s="76"/>
      <c r="BF60" s="76"/>
      <c r="BG60" s="76"/>
      <c r="BH60" s="76"/>
      <c r="BI60" s="76"/>
      <c r="BJ60" s="76"/>
      <c r="BK60" s="76"/>
      <c r="BL60" s="76">
        <f>+BK60*31500</f>
        <v>0</v>
      </c>
      <c r="BM60" s="76"/>
      <c r="BN60" s="76"/>
      <c r="BO60" s="76"/>
      <c r="BP60" s="76"/>
      <c r="BQ60" s="76"/>
      <c r="BR60" s="76"/>
      <c r="BS60" s="76"/>
      <c r="BT60" s="76"/>
      <c r="BU60" s="76"/>
      <c r="BV60" s="76"/>
      <c r="BW60" s="76"/>
      <c r="BX60" s="76"/>
      <c r="BY60" s="76"/>
      <c r="BZ60" s="76"/>
      <c r="CA60" s="76"/>
      <c r="CB60" s="76"/>
      <c r="CC60" s="76"/>
      <c r="CD60" s="76"/>
      <c r="CE60" s="76"/>
      <c r="CF60" s="76">
        <f>+CE60*28000</f>
        <v>0</v>
      </c>
      <c r="CG60" s="76"/>
      <c r="CH60" s="76">
        <f>+CG60*22500</f>
        <v>0</v>
      </c>
      <c r="CI60" s="76"/>
      <c r="CJ60" s="76">
        <f>+CI60*26000</f>
        <v>0</v>
      </c>
      <c r="CK60" s="76"/>
      <c r="CL60" s="76"/>
      <c r="CM60" s="76"/>
      <c r="CN60" s="76">
        <f>+CM60*22000</f>
        <v>0</v>
      </c>
      <c r="CO60" s="76"/>
      <c r="CP60" s="76">
        <f>+CO60*46000</f>
        <v>0</v>
      </c>
      <c r="CQ60" s="76"/>
      <c r="CR60" s="76">
        <f>+CQ60*49000</f>
        <v>0</v>
      </c>
      <c r="CS60" s="76"/>
      <c r="CT60" s="76"/>
      <c r="CU60" s="56">
        <f>AN60+AP60+AR60+AT60+AV60+AX60+AZ60+BB60+BD60+BF60+BH60+BJ60+BL60+BN60+BP60+BR60+BT60+BV60+BX60+BZ60+CB60+CD60+CF60+CH60+CJ60+CL60+CN60+CP60+CR60+CT60</f>
        <v>0</v>
      </c>
      <c r="CV60" s="76"/>
      <c r="CW60" s="76">
        <f>+CV60*1100</f>
        <v>0</v>
      </c>
      <c r="CX60" s="76"/>
      <c r="CY60" s="76">
        <f>+CX60*106250</f>
        <v>0</v>
      </c>
      <c r="CZ60" s="76"/>
      <c r="DA60" s="76">
        <f>+CZ60*34500</f>
        <v>0</v>
      </c>
      <c r="DB60" s="76"/>
      <c r="DC60" s="76">
        <f>+DB60*25000</f>
        <v>0</v>
      </c>
      <c r="DD60" s="219"/>
      <c r="DE60" s="219"/>
      <c r="DF60" s="164"/>
      <c r="DG60" s="116"/>
      <c r="DH60" s="117"/>
      <c r="DI60" s="24"/>
      <c r="DJ60" s="24"/>
      <c r="DK60" s="24"/>
      <c r="DL60" s="24"/>
      <c r="DM60" s="24"/>
      <c r="DN60" s="24"/>
      <c r="DO60" s="24"/>
      <c r="DP60" s="24"/>
      <c r="DQ60" s="24"/>
      <c r="DR60" s="24"/>
      <c r="DS60" s="24"/>
      <c r="DT60" s="24"/>
      <c r="DU60" s="24"/>
    </row>
    <row r="61" spans="1:125" s="8" customFormat="1" ht="36" x14ac:dyDescent="0.2">
      <c r="A61" s="77">
        <v>41279</v>
      </c>
      <c r="B61" s="84" t="s">
        <v>2772</v>
      </c>
      <c r="C61" s="84" t="s">
        <v>2158</v>
      </c>
      <c r="D61" s="81" t="s">
        <v>2846</v>
      </c>
      <c r="E61" s="75" t="str">
        <f>VLOOKUP(B61&amp;C61,Divipola!$C$2:$F$1138,4,FALSE)</f>
        <v>25899</v>
      </c>
      <c r="F61" s="89"/>
      <c r="G61" s="89"/>
      <c r="H61" s="89"/>
      <c r="I61" s="89"/>
      <c r="J61" s="89"/>
      <c r="K61" s="89"/>
      <c r="L61" s="89"/>
      <c r="M61" s="89"/>
      <c r="N61" s="89"/>
      <c r="O61" s="89"/>
      <c r="P61" s="89"/>
      <c r="Q61" s="89"/>
      <c r="R61" s="89"/>
      <c r="S61" s="89"/>
      <c r="T61" s="89"/>
      <c r="U61" s="126">
        <v>1</v>
      </c>
      <c r="V61" s="89"/>
      <c r="W61" s="96">
        <v>0</v>
      </c>
      <c r="X61" s="71">
        <f>CU61</f>
        <v>0</v>
      </c>
      <c r="Y61" s="71">
        <f>CY61</f>
        <v>0</v>
      </c>
      <c r="Z61" s="71">
        <f>DA61+DC61+DE61</f>
        <v>0</v>
      </c>
      <c r="AA61" s="71">
        <f>CW61</f>
        <v>0</v>
      </c>
      <c r="AB61" s="71"/>
      <c r="AC61" s="71">
        <v>0</v>
      </c>
      <c r="AD61" s="71">
        <f>W61+X61+Y61+Z61+AA61+AB61+AC61</f>
        <v>0</v>
      </c>
      <c r="AE61" s="72">
        <v>0</v>
      </c>
      <c r="AF61" s="5"/>
      <c r="AG61" s="6"/>
      <c r="AH61" s="27" t="s">
        <v>3392</v>
      </c>
      <c r="AI61" s="44" t="s">
        <v>3393</v>
      </c>
      <c r="AJ61" s="26"/>
      <c r="AK61" s="5"/>
      <c r="AL61" s="82" t="s">
        <v>2905</v>
      </c>
      <c r="AM61" s="76"/>
      <c r="AN61" s="76"/>
      <c r="AO61" s="76"/>
      <c r="AP61" s="76"/>
      <c r="AQ61" s="76"/>
      <c r="AR61" s="76"/>
      <c r="AS61" s="76"/>
      <c r="AT61" s="76"/>
      <c r="AU61" s="76"/>
      <c r="AV61" s="76"/>
      <c r="AW61" s="76"/>
      <c r="AX61" s="76">
        <f>+AW61*600000</f>
        <v>0</v>
      </c>
      <c r="AY61" s="76"/>
      <c r="AZ61" s="76">
        <f>+AY61*70000</f>
        <v>0</v>
      </c>
      <c r="BA61" s="76"/>
      <c r="BB61" s="76"/>
      <c r="BC61" s="76"/>
      <c r="BD61" s="76">
        <f>+BC61*30000</f>
        <v>0</v>
      </c>
      <c r="BE61" s="76"/>
      <c r="BF61" s="76"/>
      <c r="BG61" s="76"/>
      <c r="BH61" s="76"/>
      <c r="BI61" s="76"/>
      <c r="BJ61" s="76"/>
      <c r="BK61" s="76"/>
      <c r="BL61" s="76">
        <f>+BK61*31500</f>
        <v>0</v>
      </c>
      <c r="BM61" s="76"/>
      <c r="BN61" s="76"/>
      <c r="BO61" s="76"/>
      <c r="BP61" s="76"/>
      <c r="BQ61" s="76"/>
      <c r="BR61" s="76"/>
      <c r="BS61" s="76"/>
      <c r="BT61" s="76"/>
      <c r="BU61" s="76"/>
      <c r="BV61" s="76"/>
      <c r="BW61" s="76"/>
      <c r="BX61" s="76"/>
      <c r="BY61" s="76"/>
      <c r="BZ61" s="76"/>
      <c r="CA61" s="76"/>
      <c r="CB61" s="76"/>
      <c r="CC61" s="76"/>
      <c r="CD61" s="76"/>
      <c r="CE61" s="76"/>
      <c r="CF61" s="76">
        <f>+CE61*28000</f>
        <v>0</v>
      </c>
      <c r="CG61" s="76"/>
      <c r="CH61" s="76">
        <f>+CG61*22500</f>
        <v>0</v>
      </c>
      <c r="CI61" s="76"/>
      <c r="CJ61" s="76">
        <f>+CI61*26000</f>
        <v>0</v>
      </c>
      <c r="CK61" s="76"/>
      <c r="CL61" s="76"/>
      <c r="CM61" s="76"/>
      <c r="CN61" s="76">
        <f>+CM61*22000</f>
        <v>0</v>
      </c>
      <c r="CO61" s="76"/>
      <c r="CP61" s="76">
        <f>+CO61*46000</f>
        <v>0</v>
      </c>
      <c r="CQ61" s="76"/>
      <c r="CR61" s="76">
        <f>+CQ61*49000</f>
        <v>0</v>
      </c>
      <c r="CS61" s="76"/>
      <c r="CT61" s="76"/>
      <c r="CU61" s="56">
        <f>AN61+AP61+AR61+AT61+AV61+AX61+AZ61+BB61+BD61+BF61+BH61+BJ61+BL61+BN61+BP61+BR61+BT61+BV61+BX61+BZ61+CB61+CD61+CF61+CH61+CJ61+CL61+CN61+CP61+CR61+CT61</f>
        <v>0</v>
      </c>
      <c r="CV61" s="76"/>
      <c r="CW61" s="76">
        <f>+CV61*1100</f>
        <v>0</v>
      </c>
      <c r="CX61" s="76"/>
      <c r="CY61" s="76">
        <f>+CX61*106250</f>
        <v>0</v>
      </c>
      <c r="CZ61" s="76"/>
      <c r="DA61" s="76">
        <f>+CZ61*34500</f>
        <v>0</v>
      </c>
      <c r="DB61" s="76"/>
      <c r="DC61" s="76">
        <f>+DB61*25000</f>
        <v>0</v>
      </c>
      <c r="DD61" s="219"/>
      <c r="DE61" s="219"/>
      <c r="DF61" s="164"/>
      <c r="DG61" s="116"/>
      <c r="DH61" s="117"/>
      <c r="DI61" s="24"/>
      <c r="DJ61" s="24"/>
      <c r="DK61" s="24"/>
      <c r="DL61" s="24"/>
      <c r="DM61" s="24"/>
      <c r="DN61" s="24"/>
      <c r="DO61" s="24"/>
      <c r="DP61" s="24"/>
      <c r="DQ61" s="24"/>
      <c r="DR61" s="24"/>
      <c r="DS61" s="24"/>
      <c r="DT61" s="24"/>
      <c r="DU61" s="24"/>
    </row>
    <row r="62" spans="1:125" s="8" customFormat="1" ht="72" x14ac:dyDescent="0.2">
      <c r="A62" s="77">
        <v>41279</v>
      </c>
      <c r="B62" s="80" t="s">
        <v>2906</v>
      </c>
      <c r="C62" s="81" t="s">
        <v>437</v>
      </c>
      <c r="D62" s="81" t="s">
        <v>2846</v>
      </c>
      <c r="E62" s="75" t="str">
        <f>VLOOKUP(B62&amp;C62,Divipola!$C$2:$F$1138,4,FALSE)</f>
        <v>47288</v>
      </c>
      <c r="F62" s="87"/>
      <c r="G62" s="87"/>
      <c r="H62" s="87"/>
      <c r="I62" s="87"/>
      <c r="J62" s="87"/>
      <c r="K62" s="87"/>
      <c r="L62" s="87"/>
      <c r="M62" s="87"/>
      <c r="N62" s="87"/>
      <c r="O62" s="87"/>
      <c r="P62" s="87"/>
      <c r="Q62" s="87"/>
      <c r="R62" s="87"/>
      <c r="S62" s="87"/>
      <c r="T62" s="87"/>
      <c r="U62" s="127">
        <v>4</v>
      </c>
      <c r="V62" s="89"/>
      <c r="W62" s="96">
        <v>0</v>
      </c>
      <c r="X62" s="71">
        <f>CU62</f>
        <v>0</v>
      </c>
      <c r="Y62" s="71">
        <f>CY62</f>
        <v>0</v>
      </c>
      <c r="Z62" s="71">
        <f>DA62+DC62+DE62</f>
        <v>0</v>
      </c>
      <c r="AA62" s="71">
        <f>CW62</f>
        <v>0</v>
      </c>
      <c r="AB62" s="71"/>
      <c r="AC62" s="71">
        <v>0</v>
      </c>
      <c r="AD62" s="71">
        <f>W62+X62+Y62+Z62+AA62+AB62+AC62</f>
        <v>0</v>
      </c>
      <c r="AE62" s="72">
        <v>0</v>
      </c>
      <c r="AF62" s="5"/>
      <c r="AG62" s="6"/>
      <c r="AH62" s="27" t="s">
        <v>3392</v>
      </c>
      <c r="AI62" s="44" t="s">
        <v>3393</v>
      </c>
      <c r="AJ62" s="26"/>
      <c r="AK62" s="5"/>
      <c r="AL62" s="82" t="s">
        <v>2915</v>
      </c>
      <c r="AM62" s="76"/>
      <c r="AN62" s="76"/>
      <c r="AO62" s="76"/>
      <c r="AP62" s="76"/>
      <c r="AQ62" s="76"/>
      <c r="AR62" s="76"/>
      <c r="AS62" s="76"/>
      <c r="AT62" s="76"/>
      <c r="AU62" s="76"/>
      <c r="AV62" s="76"/>
      <c r="AW62" s="76"/>
      <c r="AX62" s="76">
        <f>+AW62*600000</f>
        <v>0</v>
      </c>
      <c r="AY62" s="76"/>
      <c r="AZ62" s="76">
        <f>+AY62*70000</f>
        <v>0</v>
      </c>
      <c r="BA62" s="76"/>
      <c r="BB62" s="76"/>
      <c r="BC62" s="76"/>
      <c r="BD62" s="76">
        <f>+BC62*30000</f>
        <v>0</v>
      </c>
      <c r="BE62" s="76"/>
      <c r="BF62" s="76"/>
      <c r="BG62" s="76"/>
      <c r="BH62" s="76"/>
      <c r="BI62" s="76"/>
      <c r="BJ62" s="76"/>
      <c r="BK62" s="76"/>
      <c r="BL62" s="76">
        <f>+BK62*31500</f>
        <v>0</v>
      </c>
      <c r="BM62" s="76"/>
      <c r="BN62" s="76"/>
      <c r="BO62" s="76"/>
      <c r="BP62" s="76"/>
      <c r="BQ62" s="76"/>
      <c r="BR62" s="76"/>
      <c r="BS62" s="76"/>
      <c r="BT62" s="76"/>
      <c r="BU62" s="76"/>
      <c r="BV62" s="76"/>
      <c r="BW62" s="76"/>
      <c r="BX62" s="76"/>
      <c r="BY62" s="76"/>
      <c r="BZ62" s="76"/>
      <c r="CA62" s="76"/>
      <c r="CB62" s="76"/>
      <c r="CC62" s="76"/>
      <c r="CD62" s="76"/>
      <c r="CE62" s="76"/>
      <c r="CF62" s="76">
        <f>+CE62*28000</f>
        <v>0</v>
      </c>
      <c r="CG62" s="76"/>
      <c r="CH62" s="76">
        <f>+CG62*22500</f>
        <v>0</v>
      </c>
      <c r="CI62" s="76"/>
      <c r="CJ62" s="76">
        <f>+CI62*26000</f>
        <v>0</v>
      </c>
      <c r="CK62" s="76"/>
      <c r="CL62" s="76"/>
      <c r="CM62" s="76"/>
      <c r="CN62" s="76">
        <f>+CM62*22000</f>
        <v>0</v>
      </c>
      <c r="CO62" s="76"/>
      <c r="CP62" s="76">
        <f>+CO62*46000</f>
        <v>0</v>
      </c>
      <c r="CQ62" s="76"/>
      <c r="CR62" s="76">
        <f>+CQ62*49000</f>
        <v>0</v>
      </c>
      <c r="CS62" s="76"/>
      <c r="CT62" s="76"/>
      <c r="CU62" s="56">
        <f>AN62+AP62+AR62+AT62+AV62+AX62+AZ62+BB62+BD62+BF62+BH62+BJ62+BL62+BN62+BP62+BR62+BT62+BV62+BX62+BZ62+CB62+CD62+CF62+CH62+CJ62+CL62+CN62+CP62+CR62+CT62</f>
        <v>0</v>
      </c>
      <c r="CV62" s="76"/>
      <c r="CW62" s="76">
        <f>+CV62*1100</f>
        <v>0</v>
      </c>
      <c r="CX62" s="76"/>
      <c r="CY62" s="76">
        <f>+CX62*106250</f>
        <v>0</v>
      </c>
      <c r="CZ62" s="76"/>
      <c r="DA62" s="76">
        <f>+CZ62*34500</f>
        <v>0</v>
      </c>
      <c r="DB62" s="76"/>
      <c r="DC62" s="76">
        <f>+DB62*25000</f>
        <v>0</v>
      </c>
      <c r="DD62" s="219"/>
      <c r="DE62" s="219"/>
      <c r="DF62" s="164"/>
      <c r="DG62" s="116"/>
      <c r="DH62" s="117"/>
      <c r="DI62" s="24"/>
      <c r="DJ62" s="24"/>
      <c r="DK62" s="24"/>
      <c r="DL62" s="24"/>
      <c r="DM62" s="24"/>
      <c r="DN62" s="24"/>
      <c r="DO62" s="24"/>
      <c r="DP62" s="24"/>
      <c r="DQ62" s="24"/>
      <c r="DR62" s="24"/>
      <c r="DS62" s="24"/>
      <c r="DT62" s="24"/>
      <c r="DU62" s="24"/>
    </row>
    <row r="63" spans="1:125" s="8" customFormat="1" ht="48" x14ac:dyDescent="0.2">
      <c r="A63" s="77">
        <v>41279</v>
      </c>
      <c r="B63" s="80" t="s">
        <v>506</v>
      </c>
      <c r="C63" s="81" t="s">
        <v>100</v>
      </c>
      <c r="D63" s="81" t="s">
        <v>2846</v>
      </c>
      <c r="E63" s="75" t="str">
        <f>VLOOKUP(B63&amp;C63,Divipola!$C$2:$F$1138,4,FALSE)</f>
        <v>50573</v>
      </c>
      <c r="F63" s="87"/>
      <c r="G63" s="87"/>
      <c r="H63" s="87"/>
      <c r="I63" s="87"/>
      <c r="J63" s="87"/>
      <c r="K63" s="87"/>
      <c r="L63" s="87"/>
      <c r="M63" s="87"/>
      <c r="N63" s="87"/>
      <c r="O63" s="87"/>
      <c r="P63" s="87"/>
      <c r="Q63" s="87"/>
      <c r="R63" s="87"/>
      <c r="S63" s="87"/>
      <c r="T63" s="87"/>
      <c r="U63" s="127">
        <v>400</v>
      </c>
      <c r="V63" s="89"/>
      <c r="W63" s="96">
        <v>0</v>
      </c>
      <c r="X63" s="71">
        <f>CU63</f>
        <v>0</v>
      </c>
      <c r="Y63" s="71">
        <f>CY63</f>
        <v>0</v>
      </c>
      <c r="Z63" s="71">
        <f>DA63+DC63+DE63</f>
        <v>0</v>
      </c>
      <c r="AA63" s="71">
        <f>CW63</f>
        <v>0</v>
      </c>
      <c r="AB63" s="71"/>
      <c r="AC63" s="71">
        <v>0</v>
      </c>
      <c r="AD63" s="71">
        <f>W63+X63+Y63+Z63+AA63+AB63+AC63</f>
        <v>0</v>
      </c>
      <c r="AE63" s="72">
        <v>0</v>
      </c>
      <c r="AF63" s="5"/>
      <c r="AG63" s="6"/>
      <c r="AH63" s="27" t="s">
        <v>3392</v>
      </c>
      <c r="AI63" s="44" t="s">
        <v>3393</v>
      </c>
      <c r="AJ63" s="26"/>
      <c r="AK63" s="5"/>
      <c r="AL63" s="82" t="s">
        <v>2919</v>
      </c>
      <c r="AM63" s="76"/>
      <c r="AN63" s="76"/>
      <c r="AO63" s="76"/>
      <c r="AP63" s="76"/>
      <c r="AQ63" s="76"/>
      <c r="AR63" s="76"/>
      <c r="AS63" s="76"/>
      <c r="AT63" s="76"/>
      <c r="AU63" s="76"/>
      <c r="AV63" s="76"/>
      <c r="AW63" s="76"/>
      <c r="AX63" s="76">
        <f>+AW63*600000</f>
        <v>0</v>
      </c>
      <c r="AY63" s="76"/>
      <c r="AZ63" s="76">
        <f>+AY63*70000</f>
        <v>0</v>
      </c>
      <c r="BA63" s="76"/>
      <c r="BB63" s="76"/>
      <c r="BC63" s="76"/>
      <c r="BD63" s="76">
        <f>+BC63*30000</f>
        <v>0</v>
      </c>
      <c r="BE63" s="76"/>
      <c r="BF63" s="76"/>
      <c r="BG63" s="76"/>
      <c r="BH63" s="76"/>
      <c r="BI63" s="76"/>
      <c r="BJ63" s="76"/>
      <c r="BK63" s="76"/>
      <c r="BL63" s="76">
        <f>+BK63*31500</f>
        <v>0</v>
      </c>
      <c r="BM63" s="76"/>
      <c r="BN63" s="76"/>
      <c r="BO63" s="76"/>
      <c r="BP63" s="76"/>
      <c r="BQ63" s="76"/>
      <c r="BR63" s="76"/>
      <c r="BS63" s="76"/>
      <c r="BT63" s="76"/>
      <c r="BU63" s="76"/>
      <c r="BV63" s="76"/>
      <c r="BW63" s="76"/>
      <c r="BX63" s="76"/>
      <c r="BY63" s="76"/>
      <c r="BZ63" s="76"/>
      <c r="CA63" s="76"/>
      <c r="CB63" s="76"/>
      <c r="CC63" s="76"/>
      <c r="CD63" s="76"/>
      <c r="CE63" s="76"/>
      <c r="CF63" s="76">
        <f>+CE63*28000</f>
        <v>0</v>
      </c>
      <c r="CG63" s="76"/>
      <c r="CH63" s="76">
        <f>+CG63*22500</f>
        <v>0</v>
      </c>
      <c r="CI63" s="76"/>
      <c r="CJ63" s="76">
        <f>+CI63*26000</f>
        <v>0</v>
      </c>
      <c r="CK63" s="76"/>
      <c r="CL63" s="76"/>
      <c r="CM63" s="76"/>
      <c r="CN63" s="76">
        <f>+CM63*22000</f>
        <v>0</v>
      </c>
      <c r="CO63" s="76"/>
      <c r="CP63" s="76">
        <f>+CO63*46000</f>
        <v>0</v>
      </c>
      <c r="CQ63" s="76"/>
      <c r="CR63" s="76">
        <f>+CQ63*49000</f>
        <v>0</v>
      </c>
      <c r="CS63" s="76"/>
      <c r="CT63" s="76"/>
      <c r="CU63" s="56">
        <f>AN63+AP63+AR63+AT63+AV63+AX63+AZ63+BB63+BD63+BF63+BH63+BJ63+BL63+BN63+BP63+BR63+BT63+BV63+BX63+BZ63+CB63+CD63+CF63+CH63+CJ63+CL63+CN63+CP63+CR63+CT63</f>
        <v>0</v>
      </c>
      <c r="CV63" s="76"/>
      <c r="CW63" s="76">
        <f>+CV63*1100</f>
        <v>0</v>
      </c>
      <c r="CX63" s="76"/>
      <c r="CY63" s="76">
        <f>+CX63*106250</f>
        <v>0</v>
      </c>
      <c r="CZ63" s="76"/>
      <c r="DA63" s="76">
        <f>+CZ63*34500</f>
        <v>0</v>
      </c>
      <c r="DB63" s="76"/>
      <c r="DC63" s="76">
        <f>+DB63*25000</f>
        <v>0</v>
      </c>
      <c r="DD63" s="219"/>
      <c r="DE63" s="219"/>
      <c r="DF63" s="164"/>
      <c r="DG63" s="116"/>
      <c r="DH63" s="117"/>
      <c r="DI63" s="24"/>
      <c r="DJ63" s="24"/>
      <c r="DK63" s="24"/>
      <c r="DL63" s="24"/>
      <c r="DM63" s="24"/>
      <c r="DN63" s="24"/>
      <c r="DO63" s="24"/>
      <c r="DP63" s="24"/>
      <c r="DQ63" s="24"/>
      <c r="DR63" s="24"/>
      <c r="DS63" s="24"/>
      <c r="DT63" s="24"/>
      <c r="DU63" s="24"/>
    </row>
    <row r="64" spans="1:125" s="8" customFormat="1" ht="36" x14ac:dyDescent="0.2">
      <c r="A64" s="77">
        <v>41279</v>
      </c>
      <c r="B64" s="80" t="s">
        <v>2774</v>
      </c>
      <c r="C64" s="81" t="s">
        <v>2106</v>
      </c>
      <c r="D64" s="81" t="s">
        <v>2846</v>
      </c>
      <c r="E64" s="75" t="str">
        <f>VLOOKUP(B64&amp;C64,Divipola!$C$2:$F$1138,4,FALSE)</f>
        <v>66400</v>
      </c>
      <c r="F64" s="87"/>
      <c r="G64" s="87"/>
      <c r="H64" s="87"/>
      <c r="I64" s="87"/>
      <c r="J64" s="87"/>
      <c r="K64" s="87"/>
      <c r="L64" s="87"/>
      <c r="M64" s="87"/>
      <c r="N64" s="87"/>
      <c r="O64" s="87"/>
      <c r="P64" s="87"/>
      <c r="Q64" s="87"/>
      <c r="R64" s="87"/>
      <c r="S64" s="87"/>
      <c r="T64" s="87"/>
      <c r="U64" s="127"/>
      <c r="V64" s="89"/>
      <c r="W64" s="96">
        <v>0</v>
      </c>
      <c r="X64" s="71">
        <f>CU64</f>
        <v>0</v>
      </c>
      <c r="Y64" s="71">
        <f>CY64</f>
        <v>0</v>
      </c>
      <c r="Z64" s="71">
        <f>DA64+DC64+DE64</f>
        <v>0</v>
      </c>
      <c r="AA64" s="71">
        <f>CW64</f>
        <v>0</v>
      </c>
      <c r="AB64" s="71"/>
      <c r="AC64" s="71">
        <v>0</v>
      </c>
      <c r="AD64" s="71">
        <f>W64+X64+Y64+Z64+AA64+AB64+AC64</f>
        <v>0</v>
      </c>
      <c r="AE64" s="72">
        <v>0</v>
      </c>
      <c r="AF64" s="5"/>
      <c r="AG64" s="6"/>
      <c r="AH64" s="27" t="s">
        <v>3392</v>
      </c>
      <c r="AI64" s="44" t="s">
        <v>3393</v>
      </c>
      <c r="AJ64" s="26"/>
      <c r="AK64" s="5"/>
      <c r="AL64" s="82" t="s">
        <v>2931</v>
      </c>
      <c r="AM64" s="76"/>
      <c r="AN64" s="76"/>
      <c r="AO64" s="76"/>
      <c r="AP64" s="76"/>
      <c r="AQ64" s="76"/>
      <c r="AR64" s="76"/>
      <c r="AS64" s="76"/>
      <c r="AT64" s="76"/>
      <c r="AU64" s="76"/>
      <c r="AV64" s="76"/>
      <c r="AW64" s="76"/>
      <c r="AX64" s="76">
        <f>+AW64*600000</f>
        <v>0</v>
      </c>
      <c r="AY64" s="76"/>
      <c r="AZ64" s="76">
        <f>+AY64*70000</f>
        <v>0</v>
      </c>
      <c r="BA64" s="76"/>
      <c r="BB64" s="76"/>
      <c r="BC64" s="76"/>
      <c r="BD64" s="76">
        <f>+BC64*30000</f>
        <v>0</v>
      </c>
      <c r="BE64" s="76"/>
      <c r="BF64" s="76"/>
      <c r="BG64" s="76"/>
      <c r="BH64" s="76"/>
      <c r="BI64" s="76"/>
      <c r="BJ64" s="76"/>
      <c r="BK64" s="76"/>
      <c r="BL64" s="76">
        <f>+BK64*31500</f>
        <v>0</v>
      </c>
      <c r="BM64" s="76"/>
      <c r="BN64" s="76"/>
      <c r="BO64" s="76"/>
      <c r="BP64" s="76"/>
      <c r="BQ64" s="76"/>
      <c r="BR64" s="76"/>
      <c r="BS64" s="76"/>
      <c r="BT64" s="76"/>
      <c r="BU64" s="76"/>
      <c r="BV64" s="76"/>
      <c r="BW64" s="76"/>
      <c r="BX64" s="76"/>
      <c r="BY64" s="76"/>
      <c r="BZ64" s="76"/>
      <c r="CA64" s="76"/>
      <c r="CB64" s="76"/>
      <c r="CC64" s="76"/>
      <c r="CD64" s="76"/>
      <c r="CE64" s="76"/>
      <c r="CF64" s="76">
        <f>+CE64*28000</f>
        <v>0</v>
      </c>
      <c r="CG64" s="76"/>
      <c r="CH64" s="76">
        <f>+CG64*22500</f>
        <v>0</v>
      </c>
      <c r="CI64" s="76"/>
      <c r="CJ64" s="76">
        <f>+CI64*26000</f>
        <v>0</v>
      </c>
      <c r="CK64" s="76"/>
      <c r="CL64" s="76"/>
      <c r="CM64" s="76"/>
      <c r="CN64" s="76">
        <f>+CM64*22000</f>
        <v>0</v>
      </c>
      <c r="CO64" s="76"/>
      <c r="CP64" s="76">
        <f>+CO64*46000</f>
        <v>0</v>
      </c>
      <c r="CQ64" s="76"/>
      <c r="CR64" s="76">
        <f>+CQ64*49000</f>
        <v>0</v>
      </c>
      <c r="CS64" s="76"/>
      <c r="CT64" s="76"/>
      <c r="CU64" s="56">
        <f>AN64+AP64+AR64+AT64+AV64+AX64+AZ64+BB64+BD64+BF64+BH64+BJ64+BL64+BN64+BP64+BR64+BT64+BV64+BX64+BZ64+CB64+CD64+CF64+CH64+CJ64+CL64+CN64+CP64+CR64+CT64</f>
        <v>0</v>
      </c>
      <c r="CV64" s="76"/>
      <c r="CW64" s="76">
        <f>+CV64*1100</f>
        <v>0</v>
      </c>
      <c r="CX64" s="76"/>
      <c r="CY64" s="76">
        <f>+CX64*106250</f>
        <v>0</v>
      </c>
      <c r="CZ64" s="76"/>
      <c r="DA64" s="76">
        <f>+CZ64*34500</f>
        <v>0</v>
      </c>
      <c r="DB64" s="76"/>
      <c r="DC64" s="76">
        <f>+DB64*25000</f>
        <v>0</v>
      </c>
      <c r="DD64" s="219"/>
      <c r="DE64" s="219"/>
      <c r="DF64" s="164"/>
      <c r="DG64" s="116"/>
      <c r="DH64" s="117"/>
      <c r="DI64" s="24"/>
      <c r="DJ64" s="24"/>
      <c r="DK64" s="24"/>
      <c r="DL64" s="24"/>
      <c r="DM64" s="24"/>
      <c r="DN64" s="24"/>
      <c r="DO64" s="24"/>
      <c r="DP64" s="24"/>
      <c r="DQ64" s="24"/>
      <c r="DR64" s="24"/>
      <c r="DS64" s="24"/>
      <c r="DT64" s="24"/>
      <c r="DU64" s="24"/>
    </row>
    <row r="65" spans="1:125" s="8" customFormat="1" ht="72" x14ac:dyDescent="0.2">
      <c r="A65" s="77">
        <v>41279</v>
      </c>
      <c r="B65" s="80" t="s">
        <v>2847</v>
      </c>
      <c r="C65" s="81" t="s">
        <v>2673</v>
      </c>
      <c r="D65" s="81" t="s">
        <v>2846</v>
      </c>
      <c r="E65" s="75" t="str">
        <f>VLOOKUP(B65&amp;C65,Divipola!$C$2:$F$1138,4,FALSE)</f>
        <v>68001</v>
      </c>
      <c r="F65" s="87"/>
      <c r="G65" s="87"/>
      <c r="H65" s="87"/>
      <c r="I65" s="87"/>
      <c r="J65" s="87"/>
      <c r="K65" s="87"/>
      <c r="L65" s="87"/>
      <c r="M65" s="87"/>
      <c r="N65" s="87"/>
      <c r="O65" s="87"/>
      <c r="P65" s="87"/>
      <c r="Q65" s="87"/>
      <c r="R65" s="87"/>
      <c r="S65" s="87"/>
      <c r="T65" s="87"/>
      <c r="U65" s="127"/>
      <c r="V65" s="89"/>
      <c r="W65" s="96">
        <v>0</v>
      </c>
      <c r="X65" s="71">
        <f>CU65</f>
        <v>0</v>
      </c>
      <c r="Y65" s="71">
        <f>CY65</f>
        <v>0</v>
      </c>
      <c r="Z65" s="71">
        <f>DA65+DC65+DE65</f>
        <v>0</v>
      </c>
      <c r="AA65" s="71">
        <f>CW65</f>
        <v>0</v>
      </c>
      <c r="AB65" s="71"/>
      <c r="AC65" s="71">
        <v>0</v>
      </c>
      <c r="AD65" s="71">
        <f>W65+X65+Y65+Z65+AA65+AB65+AC65</f>
        <v>0</v>
      </c>
      <c r="AE65" s="72">
        <v>0</v>
      </c>
      <c r="AF65" s="5"/>
      <c r="AG65" s="6"/>
      <c r="AH65" s="27" t="s">
        <v>3392</v>
      </c>
      <c r="AI65" s="44" t="s">
        <v>3393</v>
      </c>
      <c r="AJ65" s="26"/>
      <c r="AK65" s="5"/>
      <c r="AL65" s="82" t="s">
        <v>2913</v>
      </c>
      <c r="AM65" s="76"/>
      <c r="AN65" s="76"/>
      <c r="AO65" s="76"/>
      <c r="AP65" s="76"/>
      <c r="AQ65" s="76"/>
      <c r="AR65" s="76"/>
      <c r="AS65" s="76"/>
      <c r="AT65" s="76"/>
      <c r="AU65" s="76"/>
      <c r="AV65" s="76"/>
      <c r="AW65" s="76"/>
      <c r="AX65" s="76">
        <f>+AW65*600000</f>
        <v>0</v>
      </c>
      <c r="AY65" s="76"/>
      <c r="AZ65" s="76">
        <f>+AY65*70000</f>
        <v>0</v>
      </c>
      <c r="BA65" s="76"/>
      <c r="BB65" s="76"/>
      <c r="BC65" s="76"/>
      <c r="BD65" s="76">
        <f>+BC65*30000</f>
        <v>0</v>
      </c>
      <c r="BE65" s="76"/>
      <c r="BF65" s="76"/>
      <c r="BG65" s="76"/>
      <c r="BH65" s="76"/>
      <c r="BI65" s="76"/>
      <c r="BJ65" s="76"/>
      <c r="BK65" s="76"/>
      <c r="BL65" s="76">
        <f>+BK65*31500</f>
        <v>0</v>
      </c>
      <c r="BM65" s="76"/>
      <c r="BN65" s="76"/>
      <c r="BO65" s="76"/>
      <c r="BP65" s="76"/>
      <c r="BQ65" s="76"/>
      <c r="BR65" s="76"/>
      <c r="BS65" s="76"/>
      <c r="BT65" s="76"/>
      <c r="BU65" s="76"/>
      <c r="BV65" s="76"/>
      <c r="BW65" s="76"/>
      <c r="BX65" s="76"/>
      <c r="BY65" s="76"/>
      <c r="BZ65" s="76"/>
      <c r="CA65" s="76"/>
      <c r="CB65" s="76"/>
      <c r="CC65" s="76"/>
      <c r="CD65" s="76"/>
      <c r="CE65" s="76"/>
      <c r="CF65" s="76">
        <f>+CE65*28000</f>
        <v>0</v>
      </c>
      <c r="CG65" s="76"/>
      <c r="CH65" s="76">
        <f>+CG65*22500</f>
        <v>0</v>
      </c>
      <c r="CI65" s="76"/>
      <c r="CJ65" s="76">
        <f>+CI65*26000</f>
        <v>0</v>
      </c>
      <c r="CK65" s="76"/>
      <c r="CL65" s="76"/>
      <c r="CM65" s="76"/>
      <c r="CN65" s="76">
        <f>+CM65*22000</f>
        <v>0</v>
      </c>
      <c r="CO65" s="76"/>
      <c r="CP65" s="76">
        <f>+CO65*46000</f>
        <v>0</v>
      </c>
      <c r="CQ65" s="76"/>
      <c r="CR65" s="76">
        <f>+CQ65*49000</f>
        <v>0</v>
      </c>
      <c r="CS65" s="76"/>
      <c r="CT65" s="76"/>
      <c r="CU65" s="56">
        <f>AN65+AP65+AR65+AT65+AV65+AX65+AZ65+BB65+BD65+BF65+BH65+BJ65+BL65+BN65+BP65+BR65+BT65+BV65+BX65+BZ65+CB65+CD65+CF65+CH65+CJ65+CL65+CN65+CP65+CR65+CT65</f>
        <v>0</v>
      </c>
      <c r="CV65" s="76"/>
      <c r="CW65" s="76">
        <f>+CV65*1100</f>
        <v>0</v>
      </c>
      <c r="CX65" s="76"/>
      <c r="CY65" s="76">
        <f>+CX65*106250</f>
        <v>0</v>
      </c>
      <c r="CZ65" s="76"/>
      <c r="DA65" s="76">
        <f>+CZ65*34500</f>
        <v>0</v>
      </c>
      <c r="DB65" s="76"/>
      <c r="DC65" s="76">
        <f>+DB65*25000</f>
        <v>0</v>
      </c>
      <c r="DD65" s="219"/>
      <c r="DE65" s="219"/>
      <c r="DF65" s="164"/>
      <c r="DG65" s="116"/>
      <c r="DH65" s="117"/>
      <c r="DI65" s="24"/>
      <c r="DJ65" s="24"/>
      <c r="DK65" s="24"/>
      <c r="DL65" s="24"/>
      <c r="DM65" s="24"/>
      <c r="DN65" s="24"/>
      <c r="DO65" s="24"/>
      <c r="DP65" s="24"/>
      <c r="DQ65" s="24"/>
      <c r="DR65" s="24"/>
      <c r="DS65" s="24"/>
      <c r="DT65" s="24"/>
      <c r="DU65" s="24"/>
    </row>
    <row r="66" spans="1:125" s="8" customFormat="1" ht="120" x14ac:dyDescent="0.2">
      <c r="A66" s="77">
        <v>41279</v>
      </c>
      <c r="B66" s="80" t="s">
        <v>2847</v>
      </c>
      <c r="C66" s="81" t="s">
        <v>2673</v>
      </c>
      <c r="D66" s="81" t="s">
        <v>2846</v>
      </c>
      <c r="E66" s="75" t="str">
        <f>VLOOKUP(B66&amp;C66,Divipola!$C$2:$F$1138,4,FALSE)</f>
        <v>68001</v>
      </c>
      <c r="F66" s="87"/>
      <c r="G66" s="87">
        <v>1</v>
      </c>
      <c r="H66" s="87"/>
      <c r="I66" s="87">
        <v>1</v>
      </c>
      <c r="J66" s="87"/>
      <c r="K66" s="87"/>
      <c r="L66" s="87"/>
      <c r="M66" s="87"/>
      <c r="N66" s="87"/>
      <c r="O66" s="87"/>
      <c r="P66" s="87"/>
      <c r="Q66" s="87"/>
      <c r="R66" s="87"/>
      <c r="S66" s="87"/>
      <c r="T66" s="87"/>
      <c r="U66" s="127"/>
      <c r="V66" s="89"/>
      <c r="W66" s="96">
        <v>0</v>
      </c>
      <c r="X66" s="71">
        <f>CU66</f>
        <v>0</v>
      </c>
      <c r="Y66" s="71">
        <f>CY66</f>
        <v>0</v>
      </c>
      <c r="Z66" s="71">
        <f>DA66+DC66+DE66</f>
        <v>0</v>
      </c>
      <c r="AA66" s="71">
        <f>CW66</f>
        <v>0</v>
      </c>
      <c r="AB66" s="71"/>
      <c r="AC66" s="71">
        <v>0</v>
      </c>
      <c r="AD66" s="71">
        <f>W66+X66+Y66+Z66+AA66+AB66+AC66</f>
        <v>0</v>
      </c>
      <c r="AE66" s="72">
        <v>0</v>
      </c>
      <c r="AF66" s="5"/>
      <c r="AG66" s="6"/>
      <c r="AH66" s="27" t="s">
        <v>3392</v>
      </c>
      <c r="AI66" s="44" t="s">
        <v>3393</v>
      </c>
      <c r="AJ66" s="26"/>
      <c r="AK66" s="5"/>
      <c r="AL66" s="82" t="s">
        <v>2914</v>
      </c>
      <c r="AM66" s="76"/>
      <c r="AN66" s="76"/>
      <c r="AO66" s="76"/>
      <c r="AP66" s="76"/>
      <c r="AQ66" s="76"/>
      <c r="AR66" s="76"/>
      <c r="AS66" s="76"/>
      <c r="AT66" s="76"/>
      <c r="AU66" s="76"/>
      <c r="AV66" s="76"/>
      <c r="AW66" s="76"/>
      <c r="AX66" s="76">
        <f>+AW66*600000</f>
        <v>0</v>
      </c>
      <c r="AY66" s="76"/>
      <c r="AZ66" s="76">
        <f>+AY66*70000</f>
        <v>0</v>
      </c>
      <c r="BA66" s="76"/>
      <c r="BB66" s="76"/>
      <c r="BC66" s="76"/>
      <c r="BD66" s="76">
        <f>+BC66*30000</f>
        <v>0</v>
      </c>
      <c r="BE66" s="76"/>
      <c r="BF66" s="76"/>
      <c r="BG66" s="76"/>
      <c r="BH66" s="76"/>
      <c r="BI66" s="76"/>
      <c r="BJ66" s="76"/>
      <c r="BK66" s="76"/>
      <c r="BL66" s="76">
        <f>+BK66*31500</f>
        <v>0</v>
      </c>
      <c r="BM66" s="76"/>
      <c r="BN66" s="76"/>
      <c r="BO66" s="76"/>
      <c r="BP66" s="76"/>
      <c r="BQ66" s="76"/>
      <c r="BR66" s="76"/>
      <c r="BS66" s="76"/>
      <c r="BT66" s="76"/>
      <c r="BU66" s="76"/>
      <c r="BV66" s="76"/>
      <c r="BW66" s="76"/>
      <c r="BX66" s="76"/>
      <c r="BY66" s="76"/>
      <c r="BZ66" s="76"/>
      <c r="CA66" s="76"/>
      <c r="CB66" s="76"/>
      <c r="CC66" s="76"/>
      <c r="CD66" s="76"/>
      <c r="CE66" s="76"/>
      <c r="CF66" s="76">
        <f>+CE66*28000</f>
        <v>0</v>
      </c>
      <c r="CG66" s="76"/>
      <c r="CH66" s="76">
        <f>+CG66*22500</f>
        <v>0</v>
      </c>
      <c r="CI66" s="76"/>
      <c r="CJ66" s="76">
        <f>+CI66*26000</f>
        <v>0</v>
      </c>
      <c r="CK66" s="76"/>
      <c r="CL66" s="76"/>
      <c r="CM66" s="76"/>
      <c r="CN66" s="76">
        <f>+CM66*22000</f>
        <v>0</v>
      </c>
      <c r="CO66" s="76"/>
      <c r="CP66" s="76">
        <f>+CO66*46000</f>
        <v>0</v>
      </c>
      <c r="CQ66" s="76"/>
      <c r="CR66" s="76">
        <f>+CQ66*49000</f>
        <v>0</v>
      </c>
      <c r="CS66" s="76"/>
      <c r="CT66" s="76"/>
      <c r="CU66" s="56">
        <f>AN66+AP66+AR66+AT66+AV66+AX66+AZ66+BB66+BD66+BF66+BH66+BJ66+BL66+BN66+BP66+BR66+BT66+BV66+BX66+BZ66+CB66+CD66+CF66+CH66+CJ66+CL66+CN66+CP66+CR66+CT66</f>
        <v>0</v>
      </c>
      <c r="CV66" s="76"/>
      <c r="CW66" s="76">
        <f>+CV66*1100</f>
        <v>0</v>
      </c>
      <c r="CX66" s="76"/>
      <c r="CY66" s="76">
        <f>+CX66*106250</f>
        <v>0</v>
      </c>
      <c r="CZ66" s="76"/>
      <c r="DA66" s="76">
        <f>+CZ66*34500</f>
        <v>0</v>
      </c>
      <c r="DB66" s="76"/>
      <c r="DC66" s="76">
        <f>+DB66*25000</f>
        <v>0</v>
      </c>
      <c r="DD66" s="219"/>
      <c r="DE66" s="219"/>
      <c r="DF66" s="164"/>
      <c r="DG66" s="116"/>
      <c r="DH66" s="117"/>
      <c r="DI66" s="24"/>
      <c r="DJ66" s="24"/>
      <c r="DK66" s="24"/>
      <c r="DL66" s="24"/>
      <c r="DM66" s="24"/>
      <c r="DN66" s="24"/>
      <c r="DO66" s="24"/>
      <c r="DP66" s="24"/>
      <c r="DQ66" s="24"/>
      <c r="DR66" s="24"/>
      <c r="DS66" s="24"/>
      <c r="DT66" s="24"/>
      <c r="DU66" s="24"/>
    </row>
    <row r="67" spans="1:125" s="8" customFormat="1" ht="108" x14ac:dyDescent="0.2">
      <c r="A67" s="77">
        <v>41279</v>
      </c>
      <c r="B67" s="80" t="s">
        <v>2847</v>
      </c>
      <c r="C67" s="81" t="s">
        <v>2814</v>
      </c>
      <c r="D67" s="81" t="s">
        <v>2846</v>
      </c>
      <c r="E67" s="75" t="str">
        <f>VLOOKUP(B67&amp;C67,Divipola!$C$2:$F$1138,4,FALSE)</f>
        <v>68307</v>
      </c>
      <c r="F67" s="87"/>
      <c r="G67" s="87"/>
      <c r="H67" s="87"/>
      <c r="I67" s="87"/>
      <c r="J67" s="87"/>
      <c r="K67" s="87"/>
      <c r="L67" s="87"/>
      <c r="M67" s="87"/>
      <c r="N67" s="87"/>
      <c r="O67" s="87"/>
      <c r="P67" s="87"/>
      <c r="Q67" s="87"/>
      <c r="R67" s="87"/>
      <c r="S67" s="87"/>
      <c r="T67" s="87"/>
      <c r="U67" s="127">
        <v>30</v>
      </c>
      <c r="V67" s="89"/>
      <c r="W67" s="96">
        <v>0</v>
      </c>
      <c r="X67" s="71">
        <f>CU67</f>
        <v>0</v>
      </c>
      <c r="Y67" s="71">
        <f>CY67</f>
        <v>0</v>
      </c>
      <c r="Z67" s="71">
        <f>DA67+DC67+DE67</f>
        <v>0</v>
      </c>
      <c r="AA67" s="71">
        <f>CW67</f>
        <v>0</v>
      </c>
      <c r="AB67" s="71"/>
      <c r="AC67" s="71">
        <v>0</v>
      </c>
      <c r="AD67" s="71">
        <f>W67+X67+Y67+Z67+AA67+AB67+AC67</f>
        <v>0</v>
      </c>
      <c r="AE67" s="72">
        <v>0</v>
      </c>
      <c r="AF67" s="5"/>
      <c r="AG67" s="6"/>
      <c r="AH67" s="27" t="s">
        <v>3392</v>
      </c>
      <c r="AI67" s="44" t="s">
        <v>3393</v>
      </c>
      <c r="AJ67" s="26"/>
      <c r="AK67" s="5"/>
      <c r="AL67" s="82" t="s">
        <v>2921</v>
      </c>
      <c r="AM67" s="76"/>
      <c r="AN67" s="76"/>
      <c r="AO67" s="76"/>
      <c r="AP67" s="76"/>
      <c r="AQ67" s="76"/>
      <c r="AR67" s="76"/>
      <c r="AS67" s="76"/>
      <c r="AT67" s="76"/>
      <c r="AU67" s="76"/>
      <c r="AV67" s="76"/>
      <c r="AW67" s="76"/>
      <c r="AX67" s="76">
        <f>+AW67*600000</f>
        <v>0</v>
      </c>
      <c r="AY67" s="76"/>
      <c r="AZ67" s="76">
        <f>+AY67*70000</f>
        <v>0</v>
      </c>
      <c r="BA67" s="76"/>
      <c r="BB67" s="76"/>
      <c r="BC67" s="76"/>
      <c r="BD67" s="76">
        <f>+BC67*30000</f>
        <v>0</v>
      </c>
      <c r="BE67" s="76"/>
      <c r="BF67" s="76"/>
      <c r="BG67" s="76"/>
      <c r="BH67" s="76"/>
      <c r="BI67" s="76"/>
      <c r="BJ67" s="76"/>
      <c r="BK67" s="76"/>
      <c r="BL67" s="76">
        <f>+BK67*31500</f>
        <v>0</v>
      </c>
      <c r="BM67" s="76"/>
      <c r="BN67" s="76"/>
      <c r="BO67" s="76"/>
      <c r="BP67" s="76"/>
      <c r="BQ67" s="76"/>
      <c r="BR67" s="76"/>
      <c r="BS67" s="76"/>
      <c r="BT67" s="76"/>
      <c r="BU67" s="76"/>
      <c r="BV67" s="76"/>
      <c r="BW67" s="76"/>
      <c r="BX67" s="76"/>
      <c r="BY67" s="76"/>
      <c r="BZ67" s="76"/>
      <c r="CA67" s="76"/>
      <c r="CB67" s="76"/>
      <c r="CC67" s="76"/>
      <c r="CD67" s="76"/>
      <c r="CE67" s="76"/>
      <c r="CF67" s="76">
        <f>+CE67*28000</f>
        <v>0</v>
      </c>
      <c r="CG67" s="76"/>
      <c r="CH67" s="76">
        <f>+CG67*22500</f>
        <v>0</v>
      </c>
      <c r="CI67" s="76"/>
      <c r="CJ67" s="76">
        <f>+CI67*26000</f>
        <v>0</v>
      </c>
      <c r="CK67" s="76"/>
      <c r="CL67" s="76"/>
      <c r="CM67" s="76"/>
      <c r="CN67" s="76">
        <f>+CM67*22000</f>
        <v>0</v>
      </c>
      <c r="CO67" s="76"/>
      <c r="CP67" s="76">
        <f>+CO67*46000</f>
        <v>0</v>
      </c>
      <c r="CQ67" s="76"/>
      <c r="CR67" s="76">
        <f>+CQ67*49000</f>
        <v>0</v>
      </c>
      <c r="CS67" s="76"/>
      <c r="CT67" s="76"/>
      <c r="CU67" s="56">
        <f>AN67+AP67+AR67+AT67+AV67+AX67+AZ67+BB67+BD67+BF67+BH67+BJ67+BL67+BN67+BP67+BR67+BT67+BV67+BX67+BZ67+CB67+CD67+CF67+CH67+CJ67+CL67+CN67+CP67+CR67+CT67</f>
        <v>0</v>
      </c>
      <c r="CV67" s="76"/>
      <c r="CW67" s="76">
        <f>+CV67*1100</f>
        <v>0</v>
      </c>
      <c r="CX67" s="76"/>
      <c r="CY67" s="76">
        <f>+CX67*106250</f>
        <v>0</v>
      </c>
      <c r="CZ67" s="76"/>
      <c r="DA67" s="76">
        <f>+CZ67*34500</f>
        <v>0</v>
      </c>
      <c r="DB67" s="76"/>
      <c r="DC67" s="76">
        <f>+DB67*25000</f>
        <v>0</v>
      </c>
      <c r="DD67" s="219"/>
      <c r="DE67" s="219"/>
      <c r="DF67" s="164"/>
      <c r="DG67" s="116"/>
      <c r="DH67" s="117"/>
      <c r="DI67" s="24"/>
      <c r="DJ67" s="24"/>
      <c r="DK67" s="24"/>
      <c r="DL67" s="24"/>
      <c r="DM67" s="24"/>
      <c r="DN67" s="24"/>
      <c r="DO67" s="24"/>
      <c r="DP67" s="24"/>
      <c r="DQ67" s="24"/>
      <c r="DR67" s="24"/>
      <c r="DS67" s="24"/>
      <c r="DT67" s="24"/>
      <c r="DU67" s="24"/>
    </row>
    <row r="68" spans="1:125" s="8" customFormat="1" ht="72" x14ac:dyDescent="0.2">
      <c r="A68" s="77">
        <v>41279</v>
      </c>
      <c r="B68" s="80" t="s">
        <v>2848</v>
      </c>
      <c r="C68" s="81" t="s">
        <v>2755</v>
      </c>
      <c r="D68" s="81" t="s">
        <v>2859</v>
      </c>
      <c r="E68" s="75" t="str">
        <f>VLOOKUP(B68&amp;C68,Divipola!$C$2:$F$1138,4,FALSE)</f>
        <v>73001</v>
      </c>
      <c r="F68" s="87"/>
      <c r="G68" s="87">
        <v>5</v>
      </c>
      <c r="H68" s="87"/>
      <c r="I68" s="87">
        <v>5</v>
      </c>
      <c r="J68" s="87">
        <v>1</v>
      </c>
      <c r="K68" s="87"/>
      <c r="L68" s="87">
        <v>1</v>
      </c>
      <c r="M68" s="87"/>
      <c r="N68" s="87"/>
      <c r="O68" s="87"/>
      <c r="P68" s="87"/>
      <c r="Q68" s="87"/>
      <c r="R68" s="87"/>
      <c r="S68" s="87"/>
      <c r="T68" s="87"/>
      <c r="U68" s="127"/>
      <c r="V68" s="89"/>
      <c r="W68" s="96">
        <v>0</v>
      </c>
      <c r="X68" s="71">
        <f>CU68</f>
        <v>0</v>
      </c>
      <c r="Y68" s="71">
        <f>CY68</f>
        <v>0</v>
      </c>
      <c r="Z68" s="71">
        <f>DA68+DC68+DE68</f>
        <v>0</v>
      </c>
      <c r="AA68" s="71">
        <f>CW68</f>
        <v>0</v>
      </c>
      <c r="AB68" s="71"/>
      <c r="AC68" s="71">
        <v>0</v>
      </c>
      <c r="AD68" s="71">
        <f>W68+X68+Y68+Z68+AA68+AB68+AC68</f>
        <v>0</v>
      </c>
      <c r="AE68" s="72">
        <v>0</v>
      </c>
      <c r="AF68" s="5"/>
      <c r="AG68" s="6"/>
      <c r="AH68" s="27" t="s">
        <v>3392</v>
      </c>
      <c r="AI68" s="44" t="s">
        <v>3393</v>
      </c>
      <c r="AJ68" s="26"/>
      <c r="AK68" s="5"/>
      <c r="AL68" s="82" t="s">
        <v>2916</v>
      </c>
      <c r="AM68" s="76"/>
      <c r="AN68" s="76"/>
      <c r="AO68" s="76"/>
      <c r="AP68" s="76"/>
      <c r="AQ68" s="76"/>
      <c r="AR68" s="76"/>
      <c r="AS68" s="76"/>
      <c r="AT68" s="76"/>
      <c r="AU68" s="76"/>
      <c r="AV68" s="76"/>
      <c r="AW68" s="76"/>
      <c r="AX68" s="76">
        <f>+AW68*600000</f>
        <v>0</v>
      </c>
      <c r="AY68" s="76"/>
      <c r="AZ68" s="76">
        <f>+AY68*70000</f>
        <v>0</v>
      </c>
      <c r="BA68" s="76"/>
      <c r="BB68" s="76"/>
      <c r="BC68" s="76"/>
      <c r="BD68" s="76">
        <f>+BC68*30000</f>
        <v>0</v>
      </c>
      <c r="BE68" s="76"/>
      <c r="BF68" s="76"/>
      <c r="BG68" s="76"/>
      <c r="BH68" s="76"/>
      <c r="BI68" s="76"/>
      <c r="BJ68" s="76"/>
      <c r="BK68" s="76"/>
      <c r="BL68" s="76">
        <f>+BK68*31500</f>
        <v>0</v>
      </c>
      <c r="BM68" s="76"/>
      <c r="BN68" s="76"/>
      <c r="BO68" s="76"/>
      <c r="BP68" s="76"/>
      <c r="BQ68" s="76"/>
      <c r="BR68" s="76"/>
      <c r="BS68" s="76"/>
      <c r="BT68" s="76"/>
      <c r="BU68" s="76"/>
      <c r="BV68" s="76"/>
      <c r="BW68" s="76"/>
      <c r="BX68" s="76"/>
      <c r="BY68" s="76"/>
      <c r="BZ68" s="76"/>
      <c r="CA68" s="76"/>
      <c r="CB68" s="76"/>
      <c r="CC68" s="76"/>
      <c r="CD68" s="76"/>
      <c r="CE68" s="76"/>
      <c r="CF68" s="76">
        <f>+CE68*28000</f>
        <v>0</v>
      </c>
      <c r="CG68" s="76"/>
      <c r="CH68" s="76">
        <f>+CG68*22500</f>
        <v>0</v>
      </c>
      <c r="CI68" s="76"/>
      <c r="CJ68" s="76">
        <f>+CI68*26000</f>
        <v>0</v>
      </c>
      <c r="CK68" s="76"/>
      <c r="CL68" s="76"/>
      <c r="CM68" s="76"/>
      <c r="CN68" s="76">
        <f>+CM68*22000</f>
        <v>0</v>
      </c>
      <c r="CO68" s="76"/>
      <c r="CP68" s="76">
        <f>+CO68*46000</f>
        <v>0</v>
      </c>
      <c r="CQ68" s="76"/>
      <c r="CR68" s="76">
        <f>+CQ68*49000</f>
        <v>0</v>
      </c>
      <c r="CS68" s="76"/>
      <c r="CT68" s="76"/>
      <c r="CU68" s="56">
        <f>AN68+AP68+AR68+AT68+AV68+AX68+AZ68+BB68+BD68+BF68+BH68+BJ68+BL68+BN68+BP68+BR68+BT68+BV68+BX68+BZ68+CB68+CD68+CF68+CH68+CJ68+CL68+CN68+CP68+CR68+CT68</f>
        <v>0</v>
      </c>
      <c r="CV68" s="76"/>
      <c r="CW68" s="76">
        <f>+CV68*1100</f>
        <v>0</v>
      </c>
      <c r="CX68" s="76"/>
      <c r="CY68" s="76">
        <f>+CX68*106250</f>
        <v>0</v>
      </c>
      <c r="CZ68" s="76"/>
      <c r="DA68" s="76">
        <f>+CZ68*34500</f>
        <v>0</v>
      </c>
      <c r="DB68" s="76"/>
      <c r="DC68" s="76">
        <f>+DB68*25000</f>
        <v>0</v>
      </c>
      <c r="DD68" s="219"/>
      <c r="DE68" s="219"/>
      <c r="DF68" s="164"/>
      <c r="DG68" s="116"/>
      <c r="DH68" s="117"/>
      <c r="DI68" s="24"/>
      <c r="DJ68" s="24"/>
      <c r="DK68" s="24"/>
      <c r="DL68" s="24"/>
      <c r="DM68" s="24"/>
      <c r="DN68" s="24"/>
      <c r="DO68" s="24"/>
      <c r="DP68" s="24"/>
      <c r="DQ68" s="24"/>
      <c r="DR68" s="24"/>
      <c r="DS68" s="24"/>
      <c r="DT68" s="24"/>
      <c r="DU68" s="24"/>
    </row>
    <row r="69" spans="1:125" s="8" customFormat="1" ht="48" x14ac:dyDescent="0.2">
      <c r="A69" s="77">
        <v>41280</v>
      </c>
      <c r="B69" s="80" t="s">
        <v>2894</v>
      </c>
      <c r="C69" s="81" t="s">
        <v>2371</v>
      </c>
      <c r="D69" s="81" t="s">
        <v>2846</v>
      </c>
      <c r="E69" s="75" t="str">
        <f>VLOOKUP(B69&amp;C69,Divipola!$C$2:$F$1138,4,FALSE)</f>
        <v>05091</v>
      </c>
      <c r="F69" s="87"/>
      <c r="G69" s="87"/>
      <c r="H69" s="87"/>
      <c r="I69" s="87"/>
      <c r="J69" s="87"/>
      <c r="K69" s="87"/>
      <c r="L69" s="87"/>
      <c r="M69" s="87"/>
      <c r="N69" s="87"/>
      <c r="O69" s="87"/>
      <c r="P69" s="87"/>
      <c r="Q69" s="87"/>
      <c r="R69" s="87"/>
      <c r="S69" s="87"/>
      <c r="T69" s="87"/>
      <c r="U69" s="127">
        <v>40</v>
      </c>
      <c r="V69" s="89"/>
      <c r="W69" s="96">
        <v>0</v>
      </c>
      <c r="X69" s="71">
        <f>CU69</f>
        <v>0</v>
      </c>
      <c r="Y69" s="71">
        <f>CY69</f>
        <v>0</v>
      </c>
      <c r="Z69" s="71">
        <f>DA69+DC69+DE69</f>
        <v>0</v>
      </c>
      <c r="AA69" s="71">
        <f>CW69</f>
        <v>0</v>
      </c>
      <c r="AB69" s="71"/>
      <c r="AC69" s="71">
        <v>0</v>
      </c>
      <c r="AD69" s="71">
        <f>W69+X69+Y69+Z69+AA69+AB69+AC69</f>
        <v>0</v>
      </c>
      <c r="AE69" s="72">
        <v>0</v>
      </c>
      <c r="AF69" s="5"/>
      <c r="AG69" s="6"/>
      <c r="AH69" s="27" t="s">
        <v>3392</v>
      </c>
      <c r="AI69" s="44" t="s">
        <v>3393</v>
      </c>
      <c r="AJ69" s="26"/>
      <c r="AK69" s="5"/>
      <c r="AL69" s="82" t="s">
        <v>2929</v>
      </c>
      <c r="AM69" s="76"/>
      <c r="AN69" s="76"/>
      <c r="AO69" s="76"/>
      <c r="AP69" s="76"/>
      <c r="AQ69" s="76"/>
      <c r="AR69" s="76"/>
      <c r="AS69" s="76"/>
      <c r="AT69" s="76"/>
      <c r="AU69" s="76"/>
      <c r="AV69" s="76"/>
      <c r="AW69" s="76"/>
      <c r="AX69" s="76">
        <f>+AW69*600000</f>
        <v>0</v>
      </c>
      <c r="AY69" s="76"/>
      <c r="AZ69" s="76">
        <f>+AY69*70000</f>
        <v>0</v>
      </c>
      <c r="BA69" s="76"/>
      <c r="BB69" s="76"/>
      <c r="BC69" s="76"/>
      <c r="BD69" s="76">
        <f>+BC69*30000</f>
        <v>0</v>
      </c>
      <c r="BE69" s="76"/>
      <c r="BF69" s="76"/>
      <c r="BG69" s="76"/>
      <c r="BH69" s="76"/>
      <c r="BI69" s="76"/>
      <c r="BJ69" s="76"/>
      <c r="BK69" s="76"/>
      <c r="BL69" s="76">
        <f>+BK69*31500</f>
        <v>0</v>
      </c>
      <c r="BM69" s="76"/>
      <c r="BN69" s="76"/>
      <c r="BO69" s="76"/>
      <c r="BP69" s="76"/>
      <c r="BQ69" s="76"/>
      <c r="BR69" s="76"/>
      <c r="BS69" s="76"/>
      <c r="BT69" s="76"/>
      <c r="BU69" s="76"/>
      <c r="BV69" s="76"/>
      <c r="BW69" s="76"/>
      <c r="BX69" s="76"/>
      <c r="BY69" s="76"/>
      <c r="BZ69" s="76"/>
      <c r="CA69" s="76"/>
      <c r="CB69" s="76"/>
      <c r="CC69" s="76"/>
      <c r="CD69" s="76"/>
      <c r="CE69" s="76"/>
      <c r="CF69" s="76">
        <f>+CE69*28000</f>
        <v>0</v>
      </c>
      <c r="CG69" s="76"/>
      <c r="CH69" s="76">
        <f>+CG69*22500</f>
        <v>0</v>
      </c>
      <c r="CI69" s="76"/>
      <c r="CJ69" s="76">
        <f>+CI69*26000</f>
        <v>0</v>
      </c>
      <c r="CK69" s="76"/>
      <c r="CL69" s="76"/>
      <c r="CM69" s="76"/>
      <c r="CN69" s="76">
        <f>+CM69*22000</f>
        <v>0</v>
      </c>
      <c r="CO69" s="76"/>
      <c r="CP69" s="76">
        <f>+CO69*46000</f>
        <v>0</v>
      </c>
      <c r="CQ69" s="76"/>
      <c r="CR69" s="76">
        <f>+CQ69*49000</f>
        <v>0</v>
      </c>
      <c r="CS69" s="76"/>
      <c r="CT69" s="76"/>
      <c r="CU69" s="56">
        <f>AN69+AP69+AR69+AT69+AV69+AX69+AZ69+BB69+BD69+BF69+BH69+BJ69+BL69+BN69+BP69+BR69+BT69+BV69+BX69+BZ69+CB69+CD69+CF69+CH69+CJ69+CL69+CN69+CP69+CR69+CT69</f>
        <v>0</v>
      </c>
      <c r="CV69" s="76"/>
      <c r="CW69" s="76">
        <f>+CV69*1100</f>
        <v>0</v>
      </c>
      <c r="CX69" s="76"/>
      <c r="CY69" s="76">
        <f>+CX69*106250</f>
        <v>0</v>
      </c>
      <c r="CZ69" s="76"/>
      <c r="DA69" s="76">
        <f>+CZ69*34500</f>
        <v>0</v>
      </c>
      <c r="DB69" s="76"/>
      <c r="DC69" s="76">
        <f>+DB69*25000</f>
        <v>0</v>
      </c>
      <c r="DD69" s="219"/>
      <c r="DE69" s="219"/>
      <c r="DF69" s="164"/>
      <c r="DG69" s="116"/>
      <c r="DH69" s="117"/>
      <c r="DI69" s="24"/>
      <c r="DJ69" s="24"/>
      <c r="DK69" s="24"/>
      <c r="DL69" s="24"/>
      <c r="DM69" s="24"/>
      <c r="DN69" s="24"/>
      <c r="DO69" s="24"/>
      <c r="DP69" s="24"/>
      <c r="DQ69" s="24"/>
      <c r="DR69" s="24"/>
      <c r="DS69" s="24"/>
      <c r="DT69" s="24"/>
      <c r="DU69" s="24"/>
    </row>
    <row r="70" spans="1:125" s="8" customFormat="1" ht="60" x14ac:dyDescent="0.2">
      <c r="A70" s="77">
        <v>41280</v>
      </c>
      <c r="B70" s="78" t="s">
        <v>2700</v>
      </c>
      <c r="C70" s="75" t="s">
        <v>688</v>
      </c>
      <c r="D70" s="81" t="s">
        <v>2846</v>
      </c>
      <c r="E70" s="75" t="str">
        <f>VLOOKUP(B70&amp;C70,Divipola!$C$2:$F$1138,4,FALSE)</f>
        <v>15776</v>
      </c>
      <c r="F70" s="87"/>
      <c r="G70" s="87"/>
      <c r="H70" s="87"/>
      <c r="I70" s="87"/>
      <c r="J70" s="87"/>
      <c r="K70" s="87"/>
      <c r="L70" s="87"/>
      <c r="M70" s="87"/>
      <c r="N70" s="87"/>
      <c r="O70" s="87"/>
      <c r="P70" s="87"/>
      <c r="Q70" s="87"/>
      <c r="R70" s="87"/>
      <c r="S70" s="87"/>
      <c r="T70" s="87"/>
      <c r="U70" s="127">
        <v>5</v>
      </c>
      <c r="V70" s="89"/>
      <c r="W70" s="96">
        <v>0</v>
      </c>
      <c r="X70" s="71">
        <f>CU70</f>
        <v>0</v>
      </c>
      <c r="Y70" s="71">
        <f>CY70</f>
        <v>0</v>
      </c>
      <c r="Z70" s="71">
        <f>DA70+DC70+DE70</f>
        <v>0</v>
      </c>
      <c r="AA70" s="71">
        <f>CW70</f>
        <v>0</v>
      </c>
      <c r="AB70" s="71"/>
      <c r="AC70" s="71">
        <v>0</v>
      </c>
      <c r="AD70" s="71">
        <f>W70+X70+Y70+Z70+AA70+AB70+AC70</f>
        <v>0</v>
      </c>
      <c r="AE70" s="72">
        <v>0</v>
      </c>
      <c r="AF70" s="5"/>
      <c r="AG70" s="6"/>
      <c r="AH70" s="27" t="s">
        <v>3392</v>
      </c>
      <c r="AI70" s="44" t="s">
        <v>3393</v>
      </c>
      <c r="AJ70" s="26"/>
      <c r="AK70" s="5"/>
      <c r="AL70" s="82" t="s">
        <v>2923</v>
      </c>
      <c r="AM70" s="76"/>
      <c r="AN70" s="76"/>
      <c r="AO70" s="76"/>
      <c r="AP70" s="76"/>
      <c r="AQ70" s="76"/>
      <c r="AR70" s="76"/>
      <c r="AS70" s="76"/>
      <c r="AT70" s="76"/>
      <c r="AU70" s="76"/>
      <c r="AV70" s="76"/>
      <c r="AW70" s="76"/>
      <c r="AX70" s="76">
        <f>+AW70*600000</f>
        <v>0</v>
      </c>
      <c r="AY70" s="76"/>
      <c r="AZ70" s="76">
        <f>+AY70*70000</f>
        <v>0</v>
      </c>
      <c r="BA70" s="76"/>
      <c r="BB70" s="76"/>
      <c r="BC70" s="76"/>
      <c r="BD70" s="76">
        <f>+BC70*30000</f>
        <v>0</v>
      </c>
      <c r="BE70" s="76"/>
      <c r="BF70" s="76"/>
      <c r="BG70" s="76"/>
      <c r="BH70" s="76"/>
      <c r="BI70" s="76"/>
      <c r="BJ70" s="76"/>
      <c r="BK70" s="76"/>
      <c r="BL70" s="76">
        <f>+BK70*31500</f>
        <v>0</v>
      </c>
      <c r="BM70" s="76"/>
      <c r="BN70" s="76"/>
      <c r="BO70" s="76"/>
      <c r="BP70" s="76"/>
      <c r="BQ70" s="76"/>
      <c r="BR70" s="76"/>
      <c r="BS70" s="76"/>
      <c r="BT70" s="76"/>
      <c r="BU70" s="76"/>
      <c r="BV70" s="76"/>
      <c r="BW70" s="76"/>
      <c r="BX70" s="76"/>
      <c r="BY70" s="76"/>
      <c r="BZ70" s="76"/>
      <c r="CA70" s="76"/>
      <c r="CB70" s="76"/>
      <c r="CC70" s="76"/>
      <c r="CD70" s="76"/>
      <c r="CE70" s="76"/>
      <c r="CF70" s="76">
        <f>+CE70*28000</f>
        <v>0</v>
      </c>
      <c r="CG70" s="76"/>
      <c r="CH70" s="76">
        <f>+CG70*22500</f>
        <v>0</v>
      </c>
      <c r="CI70" s="76"/>
      <c r="CJ70" s="76">
        <f>+CI70*26000</f>
        <v>0</v>
      </c>
      <c r="CK70" s="76"/>
      <c r="CL70" s="76"/>
      <c r="CM70" s="76"/>
      <c r="CN70" s="76">
        <f>+CM70*22000</f>
        <v>0</v>
      </c>
      <c r="CO70" s="76"/>
      <c r="CP70" s="76">
        <f>+CO70*46000</f>
        <v>0</v>
      </c>
      <c r="CQ70" s="76"/>
      <c r="CR70" s="76">
        <f>+CQ70*49000</f>
        <v>0</v>
      </c>
      <c r="CS70" s="76"/>
      <c r="CT70" s="76"/>
      <c r="CU70" s="56">
        <f>AN70+AP70+AR70+AT70+AV70+AX70+AZ70+BB70+BD70+BF70+BH70+BJ70+BL70+BN70+BP70+BR70+BT70+BV70+BX70+BZ70+CB70+CD70+CF70+CH70+CJ70+CL70+CN70+CP70+CR70+CT70</f>
        <v>0</v>
      </c>
      <c r="CV70" s="76"/>
      <c r="CW70" s="76">
        <f>+CV70*1100</f>
        <v>0</v>
      </c>
      <c r="CX70" s="76"/>
      <c r="CY70" s="76">
        <f>+CX70*106250</f>
        <v>0</v>
      </c>
      <c r="CZ70" s="76"/>
      <c r="DA70" s="76">
        <f>+CZ70*34500</f>
        <v>0</v>
      </c>
      <c r="DB70" s="76"/>
      <c r="DC70" s="76">
        <f>+DB70*25000</f>
        <v>0</v>
      </c>
      <c r="DD70" s="219"/>
      <c r="DE70" s="219"/>
      <c r="DF70" s="164"/>
      <c r="DG70" s="116"/>
      <c r="DH70" s="117"/>
      <c r="DI70" s="24"/>
      <c r="DJ70" s="24"/>
      <c r="DK70" s="24"/>
      <c r="DL70" s="24"/>
      <c r="DM70" s="24"/>
      <c r="DN70" s="24"/>
      <c r="DO70" s="24"/>
      <c r="DP70" s="24"/>
      <c r="DQ70" s="24"/>
      <c r="DR70" s="24"/>
      <c r="DS70" s="24"/>
      <c r="DT70" s="24"/>
      <c r="DU70" s="24"/>
    </row>
    <row r="71" spans="1:125" s="8" customFormat="1" ht="48" x14ac:dyDescent="0.2">
      <c r="A71" s="77">
        <v>41280</v>
      </c>
      <c r="B71" s="80" t="s">
        <v>2700</v>
      </c>
      <c r="C71" s="81" t="s">
        <v>2671</v>
      </c>
      <c r="D71" s="81" t="s">
        <v>2846</v>
      </c>
      <c r="E71" s="75" t="str">
        <f>VLOOKUP(B71&amp;C71,Divipola!$C$2:$F$1138,4,FALSE)</f>
        <v>15001</v>
      </c>
      <c r="F71" s="87"/>
      <c r="G71" s="87"/>
      <c r="H71" s="87"/>
      <c r="I71" s="87"/>
      <c r="J71" s="87"/>
      <c r="K71" s="87"/>
      <c r="L71" s="87"/>
      <c r="M71" s="87"/>
      <c r="N71" s="87"/>
      <c r="O71" s="87"/>
      <c r="P71" s="87"/>
      <c r="Q71" s="87"/>
      <c r="R71" s="87"/>
      <c r="S71" s="87"/>
      <c r="T71" s="87"/>
      <c r="U71" s="127">
        <v>3</v>
      </c>
      <c r="V71" s="89"/>
      <c r="W71" s="96">
        <v>0</v>
      </c>
      <c r="X71" s="71">
        <f>CU71</f>
        <v>0</v>
      </c>
      <c r="Y71" s="71">
        <f>CY71</f>
        <v>0</v>
      </c>
      <c r="Z71" s="71">
        <f>DA71+DC71+DE71</f>
        <v>0</v>
      </c>
      <c r="AA71" s="71">
        <f>CW71</f>
        <v>0</v>
      </c>
      <c r="AB71" s="71"/>
      <c r="AC71" s="71">
        <v>0</v>
      </c>
      <c r="AD71" s="71">
        <f>W71+X71+Y71+Z71+AA71+AB71+AC71</f>
        <v>0</v>
      </c>
      <c r="AE71" s="72">
        <v>0</v>
      </c>
      <c r="AF71" s="5"/>
      <c r="AG71" s="6"/>
      <c r="AH71" s="27" t="s">
        <v>3392</v>
      </c>
      <c r="AI71" s="44" t="s">
        <v>3393</v>
      </c>
      <c r="AJ71" s="26"/>
      <c r="AK71" s="5"/>
      <c r="AL71" s="82" t="s">
        <v>2920</v>
      </c>
      <c r="AM71" s="76"/>
      <c r="AN71" s="76"/>
      <c r="AO71" s="76"/>
      <c r="AP71" s="76"/>
      <c r="AQ71" s="76"/>
      <c r="AR71" s="76"/>
      <c r="AS71" s="76"/>
      <c r="AT71" s="76"/>
      <c r="AU71" s="76"/>
      <c r="AV71" s="76"/>
      <c r="AW71" s="76"/>
      <c r="AX71" s="76">
        <f>+AW71*600000</f>
        <v>0</v>
      </c>
      <c r="AY71" s="76"/>
      <c r="AZ71" s="76">
        <f>+AY71*70000</f>
        <v>0</v>
      </c>
      <c r="BA71" s="76"/>
      <c r="BB71" s="76"/>
      <c r="BC71" s="76"/>
      <c r="BD71" s="76">
        <f>+BC71*30000</f>
        <v>0</v>
      </c>
      <c r="BE71" s="76"/>
      <c r="BF71" s="76"/>
      <c r="BG71" s="76"/>
      <c r="BH71" s="76"/>
      <c r="BI71" s="76"/>
      <c r="BJ71" s="76"/>
      <c r="BK71" s="76"/>
      <c r="BL71" s="76">
        <f>+BK71*31500</f>
        <v>0</v>
      </c>
      <c r="BM71" s="76"/>
      <c r="BN71" s="76"/>
      <c r="BO71" s="76"/>
      <c r="BP71" s="76"/>
      <c r="BQ71" s="76"/>
      <c r="BR71" s="76"/>
      <c r="BS71" s="76"/>
      <c r="BT71" s="76"/>
      <c r="BU71" s="76"/>
      <c r="BV71" s="76"/>
      <c r="BW71" s="76"/>
      <c r="BX71" s="76"/>
      <c r="BY71" s="76"/>
      <c r="BZ71" s="76"/>
      <c r="CA71" s="76"/>
      <c r="CB71" s="76"/>
      <c r="CC71" s="76"/>
      <c r="CD71" s="76"/>
      <c r="CE71" s="76"/>
      <c r="CF71" s="76">
        <f>+CE71*28000</f>
        <v>0</v>
      </c>
      <c r="CG71" s="76"/>
      <c r="CH71" s="76">
        <f>+CG71*22500</f>
        <v>0</v>
      </c>
      <c r="CI71" s="76"/>
      <c r="CJ71" s="76">
        <f>+CI71*26000</f>
        <v>0</v>
      </c>
      <c r="CK71" s="76"/>
      <c r="CL71" s="76"/>
      <c r="CM71" s="76"/>
      <c r="CN71" s="76">
        <f>+CM71*22000</f>
        <v>0</v>
      </c>
      <c r="CO71" s="76"/>
      <c r="CP71" s="76">
        <f>+CO71*46000</f>
        <v>0</v>
      </c>
      <c r="CQ71" s="76"/>
      <c r="CR71" s="76">
        <f>+CQ71*49000</f>
        <v>0</v>
      </c>
      <c r="CS71" s="76"/>
      <c r="CT71" s="76"/>
      <c r="CU71" s="56">
        <f>AN71+AP71+AR71+AT71+AV71+AX71+AZ71+BB71+BD71+BF71+BH71+BJ71+BL71+BN71+BP71+BR71+BT71+BV71+BX71+BZ71+CB71+CD71+CF71+CH71+CJ71+CL71+CN71+CP71+CR71+CT71</f>
        <v>0</v>
      </c>
      <c r="CV71" s="76"/>
      <c r="CW71" s="76">
        <f>+CV71*1100</f>
        <v>0</v>
      </c>
      <c r="CX71" s="76"/>
      <c r="CY71" s="76">
        <f>+CX71*106250</f>
        <v>0</v>
      </c>
      <c r="CZ71" s="76"/>
      <c r="DA71" s="76">
        <f>+CZ71*34500</f>
        <v>0</v>
      </c>
      <c r="DB71" s="76"/>
      <c r="DC71" s="76">
        <f>+DB71*25000</f>
        <v>0</v>
      </c>
      <c r="DD71" s="219"/>
      <c r="DE71" s="219"/>
      <c r="DF71" s="164"/>
      <c r="DG71" s="116"/>
      <c r="DH71" s="117"/>
      <c r="DI71" s="24"/>
      <c r="DJ71" s="24"/>
      <c r="DK71" s="24"/>
      <c r="DL71" s="24"/>
      <c r="DM71" s="24"/>
      <c r="DN71" s="24"/>
      <c r="DO71" s="24"/>
      <c r="DP71" s="24"/>
      <c r="DQ71" s="24"/>
      <c r="DR71" s="24"/>
      <c r="DS71" s="24"/>
      <c r="DT71" s="24"/>
      <c r="DU71" s="24"/>
    </row>
    <row r="72" spans="1:125" s="8" customFormat="1" ht="60" x14ac:dyDescent="0.2">
      <c r="A72" s="77">
        <v>41280</v>
      </c>
      <c r="B72" s="78" t="s">
        <v>2880</v>
      </c>
      <c r="C72" s="75" t="s">
        <v>2086</v>
      </c>
      <c r="D72" s="81" t="s">
        <v>2846</v>
      </c>
      <c r="E72" s="75" t="str">
        <f>VLOOKUP(B72&amp;C72,Divipola!$C$2:$F$1138,4,FALSE)</f>
        <v>54518</v>
      </c>
      <c r="F72" s="87"/>
      <c r="G72" s="87"/>
      <c r="H72" s="87"/>
      <c r="I72" s="87"/>
      <c r="J72" s="87"/>
      <c r="K72" s="87"/>
      <c r="L72" s="87"/>
      <c r="M72" s="87"/>
      <c r="N72" s="87"/>
      <c r="O72" s="87"/>
      <c r="P72" s="87"/>
      <c r="Q72" s="87"/>
      <c r="R72" s="87"/>
      <c r="S72" s="87"/>
      <c r="T72" s="87"/>
      <c r="U72" s="127">
        <v>5</v>
      </c>
      <c r="V72" s="89"/>
      <c r="W72" s="96">
        <v>0</v>
      </c>
      <c r="X72" s="71">
        <f>CU72</f>
        <v>0</v>
      </c>
      <c r="Y72" s="71">
        <f>CY72</f>
        <v>0</v>
      </c>
      <c r="Z72" s="71">
        <f>DA72+DC72+DE72</f>
        <v>0</v>
      </c>
      <c r="AA72" s="71">
        <f>CW72</f>
        <v>0</v>
      </c>
      <c r="AB72" s="71"/>
      <c r="AC72" s="71">
        <v>0</v>
      </c>
      <c r="AD72" s="71">
        <f>W72+X72+Y72+Z72+AA72+AB72+AC72</f>
        <v>0</v>
      </c>
      <c r="AE72" s="72">
        <v>0</v>
      </c>
      <c r="AF72" s="5"/>
      <c r="AG72" s="6"/>
      <c r="AH72" s="27" t="s">
        <v>3392</v>
      </c>
      <c r="AI72" s="44" t="s">
        <v>3393</v>
      </c>
      <c r="AJ72" s="26"/>
      <c r="AK72" s="5"/>
      <c r="AL72" s="82" t="s">
        <v>2922</v>
      </c>
      <c r="AM72" s="76"/>
      <c r="AN72" s="76"/>
      <c r="AO72" s="76"/>
      <c r="AP72" s="76"/>
      <c r="AQ72" s="76"/>
      <c r="AR72" s="76"/>
      <c r="AS72" s="76"/>
      <c r="AT72" s="76"/>
      <c r="AU72" s="76"/>
      <c r="AV72" s="76"/>
      <c r="AW72" s="76"/>
      <c r="AX72" s="76">
        <f>+AW72*600000</f>
        <v>0</v>
      </c>
      <c r="AY72" s="76"/>
      <c r="AZ72" s="76">
        <f>+AY72*70000</f>
        <v>0</v>
      </c>
      <c r="BA72" s="76"/>
      <c r="BB72" s="76"/>
      <c r="BC72" s="76"/>
      <c r="BD72" s="76">
        <f>+BC72*30000</f>
        <v>0</v>
      </c>
      <c r="BE72" s="76"/>
      <c r="BF72" s="76"/>
      <c r="BG72" s="76"/>
      <c r="BH72" s="76"/>
      <c r="BI72" s="76"/>
      <c r="BJ72" s="76"/>
      <c r="BK72" s="76"/>
      <c r="BL72" s="76">
        <f>+BK72*31500</f>
        <v>0</v>
      </c>
      <c r="BM72" s="76"/>
      <c r="BN72" s="76"/>
      <c r="BO72" s="76"/>
      <c r="BP72" s="76"/>
      <c r="BQ72" s="76"/>
      <c r="BR72" s="76"/>
      <c r="BS72" s="76"/>
      <c r="BT72" s="76"/>
      <c r="BU72" s="76"/>
      <c r="BV72" s="76"/>
      <c r="BW72" s="76"/>
      <c r="BX72" s="76"/>
      <c r="BY72" s="76"/>
      <c r="BZ72" s="76"/>
      <c r="CA72" s="76"/>
      <c r="CB72" s="76"/>
      <c r="CC72" s="76"/>
      <c r="CD72" s="76"/>
      <c r="CE72" s="76"/>
      <c r="CF72" s="76">
        <f>+CE72*28000</f>
        <v>0</v>
      </c>
      <c r="CG72" s="76"/>
      <c r="CH72" s="76">
        <f>+CG72*22500</f>
        <v>0</v>
      </c>
      <c r="CI72" s="76"/>
      <c r="CJ72" s="76">
        <f>+CI72*26000</f>
        <v>0</v>
      </c>
      <c r="CK72" s="76"/>
      <c r="CL72" s="76"/>
      <c r="CM72" s="76"/>
      <c r="CN72" s="76">
        <f>+CM72*22000</f>
        <v>0</v>
      </c>
      <c r="CO72" s="76"/>
      <c r="CP72" s="76">
        <f>+CO72*46000</f>
        <v>0</v>
      </c>
      <c r="CQ72" s="76"/>
      <c r="CR72" s="76">
        <f>+CQ72*49000</f>
        <v>0</v>
      </c>
      <c r="CS72" s="76"/>
      <c r="CT72" s="76"/>
      <c r="CU72" s="56">
        <f>AN72+AP72+AR72+AT72+AV72+AX72+AZ72+BB72+BD72+BF72+BH72+BJ72+BL72+BN72+BP72+BR72+BT72+BV72+BX72+BZ72+CB72+CD72+CF72+CH72+CJ72+CL72+CN72+CP72+CR72+CT72</f>
        <v>0</v>
      </c>
      <c r="CV72" s="76"/>
      <c r="CW72" s="76">
        <f>+CV72*1100</f>
        <v>0</v>
      </c>
      <c r="CX72" s="76"/>
      <c r="CY72" s="76">
        <f>+CX72*106250</f>
        <v>0</v>
      </c>
      <c r="CZ72" s="76"/>
      <c r="DA72" s="76">
        <f>+CZ72*34500</f>
        <v>0</v>
      </c>
      <c r="DB72" s="76"/>
      <c r="DC72" s="76">
        <f>+DB72*25000</f>
        <v>0</v>
      </c>
      <c r="DD72" s="219"/>
      <c r="DE72" s="219"/>
      <c r="DF72" s="164"/>
      <c r="DG72" s="116"/>
      <c r="DH72" s="117"/>
      <c r="DI72" s="24"/>
      <c r="DJ72" s="24"/>
      <c r="DK72" s="24"/>
      <c r="DL72" s="24"/>
      <c r="DM72" s="24"/>
      <c r="DN72" s="24"/>
      <c r="DO72" s="24"/>
      <c r="DP72" s="24"/>
      <c r="DQ72" s="24"/>
      <c r="DR72" s="24"/>
      <c r="DS72" s="24"/>
      <c r="DT72" s="24"/>
      <c r="DU72" s="24"/>
    </row>
    <row r="73" spans="1:125" s="8" customFormat="1" ht="48" x14ac:dyDescent="0.2">
      <c r="A73" s="77">
        <v>41280</v>
      </c>
      <c r="B73" s="80" t="s">
        <v>2880</v>
      </c>
      <c r="C73" s="81" t="s">
        <v>2086</v>
      </c>
      <c r="D73" s="81" t="s">
        <v>2846</v>
      </c>
      <c r="E73" s="75" t="str">
        <f>VLOOKUP(B73&amp;C73,Divipola!$C$2:$F$1138,4,FALSE)</f>
        <v>54518</v>
      </c>
      <c r="F73" s="87"/>
      <c r="G73" s="87"/>
      <c r="H73" s="87"/>
      <c r="I73" s="87"/>
      <c r="J73" s="87"/>
      <c r="K73" s="87"/>
      <c r="L73" s="87"/>
      <c r="M73" s="87"/>
      <c r="N73" s="87"/>
      <c r="O73" s="87"/>
      <c r="P73" s="87"/>
      <c r="Q73" s="87"/>
      <c r="R73" s="87"/>
      <c r="S73" s="87"/>
      <c r="T73" s="87"/>
      <c r="U73" s="127">
        <v>5</v>
      </c>
      <c r="V73" s="89"/>
      <c r="W73" s="96">
        <v>0</v>
      </c>
      <c r="X73" s="71">
        <f>CU73</f>
        <v>0</v>
      </c>
      <c r="Y73" s="71">
        <f>CY73</f>
        <v>0</v>
      </c>
      <c r="Z73" s="71">
        <f>DA73+DC73+DE73</f>
        <v>0</v>
      </c>
      <c r="AA73" s="71">
        <f>CW73</f>
        <v>0</v>
      </c>
      <c r="AB73" s="71"/>
      <c r="AC73" s="71">
        <v>0</v>
      </c>
      <c r="AD73" s="71">
        <f>W73+X73+Y73+Z73+AA73+AB73+AC73</f>
        <v>0</v>
      </c>
      <c r="AE73" s="72">
        <v>0</v>
      </c>
      <c r="AF73" s="5"/>
      <c r="AG73" s="6"/>
      <c r="AH73" s="27" t="s">
        <v>3392</v>
      </c>
      <c r="AI73" s="44" t="s">
        <v>3393</v>
      </c>
      <c r="AJ73" s="26"/>
      <c r="AK73" s="5"/>
      <c r="AL73" s="82" t="s">
        <v>2924</v>
      </c>
      <c r="AM73" s="76"/>
      <c r="AN73" s="76"/>
      <c r="AO73" s="76"/>
      <c r="AP73" s="76"/>
      <c r="AQ73" s="76"/>
      <c r="AR73" s="76"/>
      <c r="AS73" s="76"/>
      <c r="AT73" s="76"/>
      <c r="AU73" s="76"/>
      <c r="AV73" s="76"/>
      <c r="AW73" s="76"/>
      <c r="AX73" s="76">
        <f>+AW73*600000</f>
        <v>0</v>
      </c>
      <c r="AY73" s="76"/>
      <c r="AZ73" s="76">
        <f>+AY73*70000</f>
        <v>0</v>
      </c>
      <c r="BA73" s="76"/>
      <c r="BB73" s="76"/>
      <c r="BC73" s="76"/>
      <c r="BD73" s="76">
        <f>+BC73*30000</f>
        <v>0</v>
      </c>
      <c r="BE73" s="76"/>
      <c r="BF73" s="76"/>
      <c r="BG73" s="76"/>
      <c r="BH73" s="76"/>
      <c r="BI73" s="76"/>
      <c r="BJ73" s="76"/>
      <c r="BK73" s="76"/>
      <c r="BL73" s="76">
        <f>+BK73*31500</f>
        <v>0</v>
      </c>
      <c r="BM73" s="76"/>
      <c r="BN73" s="76"/>
      <c r="BO73" s="76"/>
      <c r="BP73" s="76"/>
      <c r="BQ73" s="76"/>
      <c r="BR73" s="76"/>
      <c r="BS73" s="76"/>
      <c r="BT73" s="76"/>
      <c r="BU73" s="76"/>
      <c r="BV73" s="76"/>
      <c r="BW73" s="76"/>
      <c r="BX73" s="76"/>
      <c r="BY73" s="76"/>
      <c r="BZ73" s="76"/>
      <c r="CA73" s="76"/>
      <c r="CB73" s="76"/>
      <c r="CC73" s="76"/>
      <c r="CD73" s="76"/>
      <c r="CE73" s="76"/>
      <c r="CF73" s="76">
        <f>+CE73*28000</f>
        <v>0</v>
      </c>
      <c r="CG73" s="76"/>
      <c r="CH73" s="76">
        <f>+CG73*22500</f>
        <v>0</v>
      </c>
      <c r="CI73" s="76"/>
      <c r="CJ73" s="76">
        <f>+CI73*26000</f>
        <v>0</v>
      </c>
      <c r="CK73" s="76"/>
      <c r="CL73" s="76"/>
      <c r="CM73" s="76"/>
      <c r="CN73" s="76">
        <f>+CM73*22000</f>
        <v>0</v>
      </c>
      <c r="CO73" s="76"/>
      <c r="CP73" s="76">
        <f>+CO73*46000</f>
        <v>0</v>
      </c>
      <c r="CQ73" s="76"/>
      <c r="CR73" s="76">
        <f>+CQ73*49000</f>
        <v>0</v>
      </c>
      <c r="CS73" s="76"/>
      <c r="CT73" s="76"/>
      <c r="CU73" s="56">
        <f>AN73+AP73+AR73+AT73+AV73+AX73+AZ73+BB73+BD73+BF73+BH73+BJ73+BL73+BN73+BP73+BR73+BT73+BV73+BX73+BZ73+CB73+CD73+CF73+CH73+CJ73+CL73+CN73+CP73+CR73+CT73</f>
        <v>0</v>
      </c>
      <c r="CV73" s="76"/>
      <c r="CW73" s="76">
        <f>+CV73*1100</f>
        <v>0</v>
      </c>
      <c r="CX73" s="76"/>
      <c r="CY73" s="76">
        <f>+CX73*106250</f>
        <v>0</v>
      </c>
      <c r="CZ73" s="76"/>
      <c r="DA73" s="76">
        <f>+CZ73*34500</f>
        <v>0</v>
      </c>
      <c r="DB73" s="76"/>
      <c r="DC73" s="76">
        <f>+DB73*25000</f>
        <v>0</v>
      </c>
      <c r="DD73" s="219"/>
      <c r="DE73" s="219"/>
      <c r="DF73" s="164"/>
      <c r="DG73" s="116"/>
      <c r="DH73" s="117"/>
      <c r="DI73" s="24"/>
      <c r="DJ73" s="24"/>
      <c r="DK73" s="24"/>
      <c r="DL73" s="24"/>
      <c r="DM73" s="24"/>
      <c r="DN73" s="24"/>
      <c r="DO73" s="24"/>
      <c r="DP73" s="24"/>
      <c r="DQ73" s="24"/>
      <c r="DR73" s="24"/>
      <c r="DS73" s="24"/>
      <c r="DT73" s="24"/>
      <c r="DU73" s="24"/>
    </row>
    <row r="74" spans="1:125" s="8" customFormat="1" ht="36" x14ac:dyDescent="0.2">
      <c r="A74" s="77">
        <v>41280</v>
      </c>
      <c r="B74" s="78" t="s">
        <v>2847</v>
      </c>
      <c r="C74" s="75" t="s">
        <v>2841</v>
      </c>
      <c r="D74" s="81" t="s">
        <v>2846</v>
      </c>
      <c r="E74" s="75" t="str">
        <f>VLOOKUP(B74&amp;C74,Divipola!$C$2:$F$1138,4,FALSE)</f>
        <v>68162</v>
      </c>
      <c r="F74" s="87"/>
      <c r="G74" s="87"/>
      <c r="H74" s="87"/>
      <c r="I74" s="87"/>
      <c r="J74" s="87"/>
      <c r="K74" s="87"/>
      <c r="L74" s="87"/>
      <c r="M74" s="87"/>
      <c r="N74" s="87"/>
      <c r="O74" s="87"/>
      <c r="P74" s="87"/>
      <c r="Q74" s="87"/>
      <c r="R74" s="87"/>
      <c r="S74" s="87"/>
      <c r="T74" s="87"/>
      <c r="U74" s="127">
        <v>2</v>
      </c>
      <c r="V74" s="89"/>
      <c r="W74" s="96">
        <v>0</v>
      </c>
      <c r="X74" s="71">
        <f>CU74</f>
        <v>0</v>
      </c>
      <c r="Y74" s="71">
        <f>CY74</f>
        <v>0</v>
      </c>
      <c r="Z74" s="71">
        <f>DA74+DC74+DE74</f>
        <v>0</v>
      </c>
      <c r="AA74" s="71">
        <f>CW74</f>
        <v>0</v>
      </c>
      <c r="AB74" s="71"/>
      <c r="AC74" s="71">
        <v>0</v>
      </c>
      <c r="AD74" s="71">
        <f>W74+X74+Y74+Z74+AA74+AB74+AC74</f>
        <v>0</v>
      </c>
      <c r="AE74" s="72">
        <v>0</v>
      </c>
      <c r="AF74" s="5"/>
      <c r="AG74" s="6"/>
      <c r="AH74" s="27" t="s">
        <v>3392</v>
      </c>
      <c r="AI74" s="44" t="s">
        <v>3393</v>
      </c>
      <c r="AJ74" s="26"/>
      <c r="AK74" s="5"/>
      <c r="AL74" s="82" t="s">
        <v>2927</v>
      </c>
      <c r="AM74" s="76"/>
      <c r="AN74" s="76"/>
      <c r="AO74" s="76"/>
      <c r="AP74" s="76"/>
      <c r="AQ74" s="76"/>
      <c r="AR74" s="76"/>
      <c r="AS74" s="76"/>
      <c r="AT74" s="76"/>
      <c r="AU74" s="76"/>
      <c r="AV74" s="76"/>
      <c r="AW74" s="76"/>
      <c r="AX74" s="76">
        <f>+AW74*600000</f>
        <v>0</v>
      </c>
      <c r="AY74" s="76"/>
      <c r="AZ74" s="76">
        <f>+AY74*70000</f>
        <v>0</v>
      </c>
      <c r="BA74" s="76"/>
      <c r="BB74" s="76"/>
      <c r="BC74" s="76"/>
      <c r="BD74" s="76">
        <f>+BC74*30000</f>
        <v>0</v>
      </c>
      <c r="BE74" s="76"/>
      <c r="BF74" s="76"/>
      <c r="BG74" s="76"/>
      <c r="BH74" s="76"/>
      <c r="BI74" s="76"/>
      <c r="BJ74" s="76"/>
      <c r="BK74" s="76"/>
      <c r="BL74" s="76">
        <f>+BK74*31500</f>
        <v>0</v>
      </c>
      <c r="BM74" s="76"/>
      <c r="BN74" s="76"/>
      <c r="BO74" s="76"/>
      <c r="BP74" s="76"/>
      <c r="BQ74" s="76"/>
      <c r="BR74" s="76"/>
      <c r="BS74" s="76"/>
      <c r="BT74" s="76"/>
      <c r="BU74" s="76"/>
      <c r="BV74" s="76"/>
      <c r="BW74" s="76"/>
      <c r="BX74" s="76"/>
      <c r="BY74" s="76"/>
      <c r="BZ74" s="76"/>
      <c r="CA74" s="76"/>
      <c r="CB74" s="76"/>
      <c r="CC74" s="76"/>
      <c r="CD74" s="76"/>
      <c r="CE74" s="76"/>
      <c r="CF74" s="76">
        <f>+CE74*28000</f>
        <v>0</v>
      </c>
      <c r="CG74" s="76"/>
      <c r="CH74" s="76">
        <f>+CG74*22500</f>
        <v>0</v>
      </c>
      <c r="CI74" s="76"/>
      <c r="CJ74" s="76">
        <f>+CI74*26000</f>
        <v>0</v>
      </c>
      <c r="CK74" s="76"/>
      <c r="CL74" s="76"/>
      <c r="CM74" s="76"/>
      <c r="CN74" s="76">
        <f>+CM74*22000</f>
        <v>0</v>
      </c>
      <c r="CO74" s="76"/>
      <c r="CP74" s="76">
        <f>+CO74*46000</f>
        <v>0</v>
      </c>
      <c r="CQ74" s="76"/>
      <c r="CR74" s="76">
        <f>+CQ74*49000</f>
        <v>0</v>
      </c>
      <c r="CS74" s="76"/>
      <c r="CT74" s="76"/>
      <c r="CU74" s="56">
        <f>AN74+AP74+AR74+AT74+AV74+AX74+AZ74+BB74+BD74+BF74+BH74+BJ74+BL74+BN74+BP74+BR74+BT74+BV74+BX74+BZ74+CB74+CD74+CF74+CH74+CJ74+CL74+CN74+CP74+CR74+CT74</f>
        <v>0</v>
      </c>
      <c r="CV74" s="76"/>
      <c r="CW74" s="76">
        <f>+CV74*1100</f>
        <v>0</v>
      </c>
      <c r="CX74" s="76"/>
      <c r="CY74" s="76">
        <f>+CX74*106250</f>
        <v>0</v>
      </c>
      <c r="CZ74" s="76"/>
      <c r="DA74" s="76">
        <f>+CZ74*34500</f>
        <v>0</v>
      </c>
      <c r="DB74" s="76"/>
      <c r="DC74" s="76">
        <f>+DB74*25000</f>
        <v>0</v>
      </c>
      <c r="DD74" s="219"/>
      <c r="DE74" s="219"/>
      <c r="DF74" s="164"/>
      <c r="DG74" s="116"/>
      <c r="DH74" s="117"/>
      <c r="DI74" s="24"/>
      <c r="DJ74" s="24"/>
      <c r="DK74" s="24"/>
      <c r="DL74" s="24"/>
      <c r="DM74" s="24"/>
      <c r="DN74" s="24"/>
      <c r="DO74" s="24"/>
      <c r="DP74" s="24"/>
      <c r="DQ74" s="24"/>
      <c r="DR74" s="24"/>
      <c r="DS74" s="24"/>
      <c r="DT74" s="24"/>
      <c r="DU74" s="24"/>
    </row>
    <row r="75" spans="1:125" s="8" customFormat="1" ht="72" x14ac:dyDescent="0.2">
      <c r="A75" s="77">
        <v>41280</v>
      </c>
      <c r="B75" s="80" t="s">
        <v>2847</v>
      </c>
      <c r="C75" s="81" t="s">
        <v>1380</v>
      </c>
      <c r="D75" s="81" t="s">
        <v>2846</v>
      </c>
      <c r="E75" s="75" t="str">
        <f>VLOOKUP(B75&amp;C75,Divipola!$C$2:$F$1138,4,FALSE)</f>
        <v>68615</v>
      </c>
      <c r="F75" s="87"/>
      <c r="G75" s="87"/>
      <c r="H75" s="87"/>
      <c r="I75" s="87"/>
      <c r="J75" s="87"/>
      <c r="K75" s="87"/>
      <c r="L75" s="87"/>
      <c r="M75" s="87"/>
      <c r="N75" s="87"/>
      <c r="O75" s="87"/>
      <c r="P75" s="87"/>
      <c r="Q75" s="87"/>
      <c r="R75" s="87"/>
      <c r="S75" s="87"/>
      <c r="T75" s="87"/>
      <c r="U75" s="127">
        <v>5</v>
      </c>
      <c r="V75" s="89"/>
      <c r="W75" s="96">
        <v>0</v>
      </c>
      <c r="X75" s="71">
        <f>CU75</f>
        <v>0</v>
      </c>
      <c r="Y75" s="71">
        <f>CY75</f>
        <v>0</v>
      </c>
      <c r="Z75" s="71">
        <f>DA75+DC75+DE75</f>
        <v>0</v>
      </c>
      <c r="AA75" s="71">
        <f>CW75</f>
        <v>0</v>
      </c>
      <c r="AB75" s="71"/>
      <c r="AC75" s="71">
        <v>0</v>
      </c>
      <c r="AD75" s="71">
        <f>W75+X75+Y75+Z75+AA75+AB75+AC75</f>
        <v>0</v>
      </c>
      <c r="AE75" s="72">
        <v>0</v>
      </c>
      <c r="AF75" s="5"/>
      <c r="AG75" s="6"/>
      <c r="AH75" s="27" t="s">
        <v>3392</v>
      </c>
      <c r="AI75" s="44" t="s">
        <v>3393</v>
      </c>
      <c r="AJ75" s="26"/>
      <c r="AK75" s="5"/>
      <c r="AL75" s="82" t="s">
        <v>2928</v>
      </c>
      <c r="AM75" s="76"/>
      <c r="AN75" s="76"/>
      <c r="AO75" s="76"/>
      <c r="AP75" s="76"/>
      <c r="AQ75" s="76"/>
      <c r="AR75" s="76"/>
      <c r="AS75" s="76"/>
      <c r="AT75" s="76"/>
      <c r="AU75" s="76"/>
      <c r="AV75" s="76"/>
      <c r="AW75" s="76"/>
      <c r="AX75" s="76">
        <f>+AW75*600000</f>
        <v>0</v>
      </c>
      <c r="AY75" s="76"/>
      <c r="AZ75" s="76">
        <f>+AY75*70000</f>
        <v>0</v>
      </c>
      <c r="BA75" s="76"/>
      <c r="BB75" s="76"/>
      <c r="BC75" s="76"/>
      <c r="BD75" s="76">
        <f>+BC75*30000</f>
        <v>0</v>
      </c>
      <c r="BE75" s="76"/>
      <c r="BF75" s="76"/>
      <c r="BG75" s="76"/>
      <c r="BH75" s="76"/>
      <c r="BI75" s="76"/>
      <c r="BJ75" s="76"/>
      <c r="BK75" s="76"/>
      <c r="BL75" s="76">
        <f>+BK75*31500</f>
        <v>0</v>
      </c>
      <c r="BM75" s="76"/>
      <c r="BN75" s="76"/>
      <c r="BO75" s="76"/>
      <c r="BP75" s="76"/>
      <c r="BQ75" s="76"/>
      <c r="BR75" s="76"/>
      <c r="BS75" s="76"/>
      <c r="BT75" s="76"/>
      <c r="BU75" s="76"/>
      <c r="BV75" s="76"/>
      <c r="BW75" s="76"/>
      <c r="BX75" s="76"/>
      <c r="BY75" s="76"/>
      <c r="BZ75" s="76"/>
      <c r="CA75" s="76"/>
      <c r="CB75" s="76"/>
      <c r="CC75" s="76"/>
      <c r="CD75" s="76"/>
      <c r="CE75" s="76"/>
      <c r="CF75" s="76">
        <f>+CE75*28000</f>
        <v>0</v>
      </c>
      <c r="CG75" s="76"/>
      <c r="CH75" s="76">
        <f>+CG75*22500</f>
        <v>0</v>
      </c>
      <c r="CI75" s="76"/>
      <c r="CJ75" s="76">
        <f>+CI75*26000</f>
        <v>0</v>
      </c>
      <c r="CK75" s="76"/>
      <c r="CL75" s="76"/>
      <c r="CM75" s="76"/>
      <c r="CN75" s="76">
        <f>+CM75*22000</f>
        <v>0</v>
      </c>
      <c r="CO75" s="76"/>
      <c r="CP75" s="76">
        <f>+CO75*46000</f>
        <v>0</v>
      </c>
      <c r="CQ75" s="76"/>
      <c r="CR75" s="76">
        <f>+CQ75*49000</f>
        <v>0</v>
      </c>
      <c r="CS75" s="76"/>
      <c r="CT75" s="76"/>
      <c r="CU75" s="56">
        <f>AN75+AP75+AR75+AT75+AV75+AX75+AZ75+BB75+BD75+BF75+BH75+BJ75+BL75+BN75+BP75+BR75+BT75+BV75+BX75+BZ75+CB75+CD75+CF75+CH75+CJ75+CL75+CN75+CP75+CR75+CT75</f>
        <v>0</v>
      </c>
      <c r="CV75" s="76"/>
      <c r="CW75" s="76">
        <f>+CV75*1100</f>
        <v>0</v>
      </c>
      <c r="CX75" s="76"/>
      <c r="CY75" s="76">
        <f>+CX75*106250</f>
        <v>0</v>
      </c>
      <c r="CZ75" s="76"/>
      <c r="DA75" s="76">
        <f>+CZ75*34500</f>
        <v>0</v>
      </c>
      <c r="DB75" s="76"/>
      <c r="DC75" s="76">
        <f>+DB75*25000</f>
        <v>0</v>
      </c>
      <c r="DD75" s="219"/>
      <c r="DE75" s="219"/>
      <c r="DF75" s="164"/>
      <c r="DG75" s="116"/>
      <c r="DH75" s="117"/>
      <c r="DI75" s="24"/>
      <c r="DJ75" s="24"/>
      <c r="DK75" s="24"/>
      <c r="DL75" s="24"/>
      <c r="DM75" s="24"/>
      <c r="DN75" s="24"/>
      <c r="DO75" s="24"/>
      <c r="DP75" s="24"/>
      <c r="DQ75" s="24"/>
      <c r="DR75" s="24"/>
      <c r="DS75" s="24"/>
      <c r="DT75" s="24"/>
      <c r="DU75" s="24"/>
    </row>
    <row r="76" spans="1:125" s="8" customFormat="1" ht="36" x14ac:dyDescent="0.2">
      <c r="A76" s="77">
        <v>41280</v>
      </c>
      <c r="B76" s="78" t="s">
        <v>2847</v>
      </c>
      <c r="C76" s="75" t="s">
        <v>1326</v>
      </c>
      <c r="D76" s="81" t="s">
        <v>2846</v>
      </c>
      <c r="E76" s="75" t="str">
        <f>VLOOKUP(B76&amp;C76,Divipola!$C$2:$F$1138,4,FALSE)</f>
        <v>68773</v>
      </c>
      <c r="F76" s="87"/>
      <c r="G76" s="87"/>
      <c r="H76" s="87"/>
      <c r="I76" s="87"/>
      <c r="J76" s="87"/>
      <c r="K76" s="87"/>
      <c r="L76" s="87"/>
      <c r="M76" s="87"/>
      <c r="N76" s="87"/>
      <c r="O76" s="87"/>
      <c r="P76" s="87"/>
      <c r="Q76" s="87"/>
      <c r="R76" s="87"/>
      <c r="S76" s="87"/>
      <c r="T76" s="87"/>
      <c r="U76" s="127">
        <v>3</v>
      </c>
      <c r="V76" s="89"/>
      <c r="W76" s="96">
        <v>0</v>
      </c>
      <c r="X76" s="71">
        <f>CU76</f>
        <v>0</v>
      </c>
      <c r="Y76" s="71">
        <f>CY76</f>
        <v>0</v>
      </c>
      <c r="Z76" s="71">
        <f>DA76+DC76+DE76</f>
        <v>0</v>
      </c>
      <c r="AA76" s="71">
        <f>CW76</f>
        <v>0</v>
      </c>
      <c r="AB76" s="71"/>
      <c r="AC76" s="71">
        <v>0</v>
      </c>
      <c r="AD76" s="71">
        <f>W76+X76+Y76+Z76+AA76+AB76+AC76</f>
        <v>0</v>
      </c>
      <c r="AE76" s="72">
        <v>0</v>
      </c>
      <c r="AF76" s="5"/>
      <c r="AG76" s="6"/>
      <c r="AH76" s="27" t="s">
        <v>3392</v>
      </c>
      <c r="AI76" s="44" t="s">
        <v>3393</v>
      </c>
      <c r="AJ76" s="26"/>
      <c r="AK76" s="5"/>
      <c r="AL76" s="82" t="s">
        <v>2926</v>
      </c>
      <c r="AM76" s="76"/>
      <c r="AN76" s="76"/>
      <c r="AO76" s="76"/>
      <c r="AP76" s="76"/>
      <c r="AQ76" s="76"/>
      <c r="AR76" s="76"/>
      <c r="AS76" s="76"/>
      <c r="AT76" s="76"/>
      <c r="AU76" s="76"/>
      <c r="AV76" s="76"/>
      <c r="AW76" s="76"/>
      <c r="AX76" s="76">
        <f>+AW76*600000</f>
        <v>0</v>
      </c>
      <c r="AY76" s="76"/>
      <c r="AZ76" s="76">
        <f>+AY76*70000</f>
        <v>0</v>
      </c>
      <c r="BA76" s="76"/>
      <c r="BB76" s="76"/>
      <c r="BC76" s="76"/>
      <c r="BD76" s="76">
        <f>+BC76*30000</f>
        <v>0</v>
      </c>
      <c r="BE76" s="76"/>
      <c r="BF76" s="76"/>
      <c r="BG76" s="76"/>
      <c r="BH76" s="76"/>
      <c r="BI76" s="76"/>
      <c r="BJ76" s="76"/>
      <c r="BK76" s="76"/>
      <c r="BL76" s="76">
        <f>+BK76*31500</f>
        <v>0</v>
      </c>
      <c r="BM76" s="76"/>
      <c r="BN76" s="76"/>
      <c r="BO76" s="76"/>
      <c r="BP76" s="76"/>
      <c r="BQ76" s="76"/>
      <c r="BR76" s="76"/>
      <c r="BS76" s="76"/>
      <c r="BT76" s="76"/>
      <c r="BU76" s="76"/>
      <c r="BV76" s="76"/>
      <c r="BW76" s="76"/>
      <c r="BX76" s="76"/>
      <c r="BY76" s="76"/>
      <c r="BZ76" s="76"/>
      <c r="CA76" s="76"/>
      <c r="CB76" s="76"/>
      <c r="CC76" s="76"/>
      <c r="CD76" s="76"/>
      <c r="CE76" s="76"/>
      <c r="CF76" s="76">
        <f>+CE76*28000</f>
        <v>0</v>
      </c>
      <c r="CG76" s="76"/>
      <c r="CH76" s="76">
        <f>+CG76*22500</f>
        <v>0</v>
      </c>
      <c r="CI76" s="76"/>
      <c r="CJ76" s="76">
        <f>+CI76*26000</f>
        <v>0</v>
      </c>
      <c r="CK76" s="76"/>
      <c r="CL76" s="76"/>
      <c r="CM76" s="76"/>
      <c r="CN76" s="76">
        <f>+CM76*22000</f>
        <v>0</v>
      </c>
      <c r="CO76" s="76"/>
      <c r="CP76" s="76">
        <f>+CO76*46000</f>
        <v>0</v>
      </c>
      <c r="CQ76" s="76"/>
      <c r="CR76" s="76">
        <f>+CQ76*49000</f>
        <v>0</v>
      </c>
      <c r="CS76" s="76"/>
      <c r="CT76" s="76"/>
      <c r="CU76" s="56">
        <f>AN76+AP76+AR76+AT76+AV76+AX76+AZ76+BB76+BD76+BF76+BH76+BJ76+BL76+BN76+BP76+BR76+BT76+BV76+BX76+BZ76+CB76+CD76+CF76+CH76+CJ76+CL76+CN76+CP76+CR76+CT76</f>
        <v>0</v>
      </c>
      <c r="CV76" s="76"/>
      <c r="CW76" s="76">
        <f>+CV76*1100</f>
        <v>0</v>
      </c>
      <c r="CX76" s="76"/>
      <c r="CY76" s="76">
        <f>+CX76*106250</f>
        <v>0</v>
      </c>
      <c r="CZ76" s="76"/>
      <c r="DA76" s="76">
        <f>+CZ76*34500</f>
        <v>0</v>
      </c>
      <c r="DB76" s="76"/>
      <c r="DC76" s="76">
        <f>+DB76*25000</f>
        <v>0</v>
      </c>
      <c r="DD76" s="219"/>
      <c r="DE76" s="219"/>
      <c r="DF76" s="164"/>
      <c r="DG76" s="116"/>
      <c r="DH76" s="117"/>
      <c r="DI76" s="24"/>
      <c r="DJ76" s="24"/>
      <c r="DK76" s="24"/>
      <c r="DL76" s="24"/>
      <c r="DM76" s="24"/>
      <c r="DN76" s="24"/>
      <c r="DO76" s="24"/>
      <c r="DP76" s="24"/>
      <c r="DQ76" s="24"/>
      <c r="DR76" s="24"/>
      <c r="DS76" s="24"/>
      <c r="DT76" s="24"/>
      <c r="DU76" s="24"/>
    </row>
    <row r="77" spans="1:125" s="8" customFormat="1" ht="36" x14ac:dyDescent="0.2">
      <c r="A77" s="77">
        <v>41280</v>
      </c>
      <c r="B77" s="80" t="s">
        <v>2851</v>
      </c>
      <c r="C77" s="81" t="s">
        <v>2667</v>
      </c>
      <c r="D77" s="81" t="s">
        <v>2846</v>
      </c>
      <c r="E77" s="75" t="str">
        <f>VLOOKUP(B77&amp;C77,Divipola!$C$2:$F$1138,4,FALSE)</f>
        <v>76364</v>
      </c>
      <c r="F77" s="87"/>
      <c r="G77" s="87"/>
      <c r="H77" s="87"/>
      <c r="I77" s="87"/>
      <c r="J77" s="87"/>
      <c r="K77" s="87"/>
      <c r="L77" s="87"/>
      <c r="M77" s="87"/>
      <c r="N77" s="87"/>
      <c r="O77" s="87"/>
      <c r="P77" s="87"/>
      <c r="Q77" s="87"/>
      <c r="R77" s="87"/>
      <c r="S77" s="87"/>
      <c r="T77" s="87"/>
      <c r="U77" s="127">
        <v>7</v>
      </c>
      <c r="V77" s="89"/>
      <c r="W77" s="96">
        <v>0</v>
      </c>
      <c r="X77" s="71">
        <f>CU77</f>
        <v>0</v>
      </c>
      <c r="Y77" s="71">
        <f>CY77</f>
        <v>0</v>
      </c>
      <c r="Z77" s="71">
        <f>DA77+DC77+DE77</f>
        <v>0</v>
      </c>
      <c r="AA77" s="71">
        <f>CW77</f>
        <v>0</v>
      </c>
      <c r="AB77" s="71"/>
      <c r="AC77" s="71">
        <v>0</v>
      </c>
      <c r="AD77" s="71">
        <f>W77+X77+Y77+Z77+AA77+AB77+AC77</f>
        <v>0</v>
      </c>
      <c r="AE77" s="72">
        <v>0</v>
      </c>
      <c r="AF77" s="5"/>
      <c r="AG77" s="6"/>
      <c r="AH77" s="27" t="s">
        <v>3392</v>
      </c>
      <c r="AI77" s="44" t="s">
        <v>3393</v>
      </c>
      <c r="AJ77" s="26"/>
      <c r="AK77" s="5"/>
      <c r="AL77" s="82" t="s">
        <v>2930</v>
      </c>
      <c r="AM77" s="76"/>
      <c r="AN77" s="76"/>
      <c r="AO77" s="76"/>
      <c r="AP77" s="76"/>
      <c r="AQ77" s="76"/>
      <c r="AR77" s="76"/>
      <c r="AS77" s="76"/>
      <c r="AT77" s="76"/>
      <c r="AU77" s="76"/>
      <c r="AV77" s="76"/>
      <c r="AW77" s="76"/>
      <c r="AX77" s="76">
        <f>+AW77*600000</f>
        <v>0</v>
      </c>
      <c r="AY77" s="76"/>
      <c r="AZ77" s="76">
        <f>+AY77*70000</f>
        <v>0</v>
      </c>
      <c r="BA77" s="76"/>
      <c r="BB77" s="76"/>
      <c r="BC77" s="76"/>
      <c r="BD77" s="76">
        <f>+BC77*30000</f>
        <v>0</v>
      </c>
      <c r="BE77" s="76"/>
      <c r="BF77" s="76"/>
      <c r="BG77" s="76"/>
      <c r="BH77" s="76"/>
      <c r="BI77" s="76"/>
      <c r="BJ77" s="76"/>
      <c r="BK77" s="76"/>
      <c r="BL77" s="76">
        <f>+BK77*31500</f>
        <v>0</v>
      </c>
      <c r="BM77" s="76"/>
      <c r="BN77" s="76"/>
      <c r="BO77" s="76"/>
      <c r="BP77" s="76"/>
      <c r="BQ77" s="76"/>
      <c r="BR77" s="76"/>
      <c r="BS77" s="76"/>
      <c r="BT77" s="76"/>
      <c r="BU77" s="76"/>
      <c r="BV77" s="76"/>
      <c r="BW77" s="76"/>
      <c r="BX77" s="76"/>
      <c r="BY77" s="76"/>
      <c r="BZ77" s="76"/>
      <c r="CA77" s="76"/>
      <c r="CB77" s="76"/>
      <c r="CC77" s="76"/>
      <c r="CD77" s="76"/>
      <c r="CE77" s="76"/>
      <c r="CF77" s="76">
        <f>+CE77*28000</f>
        <v>0</v>
      </c>
      <c r="CG77" s="76"/>
      <c r="CH77" s="76">
        <f>+CG77*22500</f>
        <v>0</v>
      </c>
      <c r="CI77" s="76"/>
      <c r="CJ77" s="76">
        <f>+CI77*26000</f>
        <v>0</v>
      </c>
      <c r="CK77" s="76"/>
      <c r="CL77" s="76"/>
      <c r="CM77" s="76"/>
      <c r="CN77" s="76">
        <f>+CM77*22000</f>
        <v>0</v>
      </c>
      <c r="CO77" s="76"/>
      <c r="CP77" s="76">
        <f>+CO77*46000</f>
        <v>0</v>
      </c>
      <c r="CQ77" s="76"/>
      <c r="CR77" s="76">
        <f>+CQ77*49000</f>
        <v>0</v>
      </c>
      <c r="CS77" s="76"/>
      <c r="CT77" s="76"/>
      <c r="CU77" s="56">
        <f>AN77+AP77+AR77+AT77+AV77+AX77+AZ77+BB77+BD77+BF77+BH77+BJ77+BL77+BN77+BP77+BR77+BT77+BV77+BX77+BZ77+CB77+CD77+CF77+CH77+CJ77+CL77+CN77+CP77+CR77+CT77</f>
        <v>0</v>
      </c>
      <c r="CV77" s="76"/>
      <c r="CW77" s="76">
        <f>+CV77*1100</f>
        <v>0</v>
      </c>
      <c r="CX77" s="76"/>
      <c r="CY77" s="76">
        <f>+CX77*106250</f>
        <v>0</v>
      </c>
      <c r="CZ77" s="76"/>
      <c r="DA77" s="76">
        <f>+CZ77*34500</f>
        <v>0</v>
      </c>
      <c r="DB77" s="76"/>
      <c r="DC77" s="76">
        <f>+DB77*25000</f>
        <v>0</v>
      </c>
      <c r="DD77" s="219"/>
      <c r="DE77" s="219"/>
      <c r="DF77" s="164"/>
      <c r="DG77" s="116"/>
      <c r="DH77" s="117"/>
      <c r="DI77" s="24"/>
      <c r="DJ77" s="24"/>
      <c r="DK77" s="24"/>
      <c r="DL77" s="24"/>
      <c r="DM77" s="24"/>
      <c r="DN77" s="24"/>
      <c r="DO77" s="24"/>
      <c r="DP77" s="24"/>
      <c r="DQ77" s="24"/>
      <c r="DR77" s="24"/>
      <c r="DS77" s="24"/>
      <c r="DT77" s="24"/>
      <c r="DU77" s="24"/>
    </row>
    <row r="78" spans="1:125" s="8" customFormat="1" ht="36" x14ac:dyDescent="0.2">
      <c r="A78" s="77">
        <v>41281</v>
      </c>
      <c r="B78" s="78" t="s">
        <v>2894</v>
      </c>
      <c r="C78" s="75" t="s">
        <v>2006</v>
      </c>
      <c r="D78" s="81" t="s">
        <v>2846</v>
      </c>
      <c r="E78" s="75" t="str">
        <f>VLOOKUP(B78&amp;C78,Divipola!$C$2:$F$1138,4,FALSE)</f>
        <v>05360</v>
      </c>
      <c r="F78" s="87"/>
      <c r="G78" s="87"/>
      <c r="H78" s="87"/>
      <c r="I78" s="87"/>
      <c r="J78" s="87"/>
      <c r="K78" s="87"/>
      <c r="L78" s="87"/>
      <c r="M78" s="87"/>
      <c r="N78" s="87"/>
      <c r="O78" s="87"/>
      <c r="P78" s="87"/>
      <c r="Q78" s="87"/>
      <c r="R78" s="87"/>
      <c r="S78" s="87"/>
      <c r="T78" s="87"/>
      <c r="U78" s="127"/>
      <c r="V78" s="89"/>
      <c r="W78" s="96">
        <v>0</v>
      </c>
      <c r="X78" s="71">
        <f>CU78</f>
        <v>0</v>
      </c>
      <c r="Y78" s="71">
        <f>CY78</f>
        <v>0</v>
      </c>
      <c r="Z78" s="71">
        <f>DA78+DC78+DE78</f>
        <v>0</v>
      </c>
      <c r="AA78" s="71">
        <f>CW78</f>
        <v>0</v>
      </c>
      <c r="AB78" s="71"/>
      <c r="AC78" s="71">
        <v>0</v>
      </c>
      <c r="AD78" s="71">
        <f>W78+X78+Y78+Z78+AA78+AB78+AC78</f>
        <v>0</v>
      </c>
      <c r="AE78" s="72">
        <v>0</v>
      </c>
      <c r="AF78" s="5"/>
      <c r="AG78" s="6"/>
      <c r="AH78" s="27" t="s">
        <v>3392</v>
      </c>
      <c r="AI78" s="44" t="s">
        <v>3393</v>
      </c>
      <c r="AJ78" s="26"/>
      <c r="AK78" s="5"/>
      <c r="AL78" s="82" t="s">
        <v>2935</v>
      </c>
      <c r="AM78" s="76"/>
      <c r="AN78" s="76"/>
      <c r="AO78" s="76"/>
      <c r="AP78" s="76"/>
      <c r="AQ78" s="76"/>
      <c r="AR78" s="76"/>
      <c r="AS78" s="76"/>
      <c r="AT78" s="76"/>
      <c r="AU78" s="76"/>
      <c r="AV78" s="76"/>
      <c r="AW78" s="76"/>
      <c r="AX78" s="76">
        <f>+AW78*600000</f>
        <v>0</v>
      </c>
      <c r="AY78" s="76"/>
      <c r="AZ78" s="76">
        <f>+AY78*70000</f>
        <v>0</v>
      </c>
      <c r="BA78" s="76"/>
      <c r="BB78" s="76"/>
      <c r="BC78" s="76"/>
      <c r="BD78" s="76">
        <f>+BC78*30000</f>
        <v>0</v>
      </c>
      <c r="BE78" s="76"/>
      <c r="BF78" s="76"/>
      <c r="BG78" s="76"/>
      <c r="BH78" s="76"/>
      <c r="BI78" s="76"/>
      <c r="BJ78" s="76"/>
      <c r="BK78" s="76"/>
      <c r="BL78" s="76">
        <f>+BK78*31500</f>
        <v>0</v>
      </c>
      <c r="BM78" s="76"/>
      <c r="BN78" s="76"/>
      <c r="BO78" s="76"/>
      <c r="BP78" s="76"/>
      <c r="BQ78" s="76"/>
      <c r="BR78" s="76"/>
      <c r="BS78" s="76"/>
      <c r="BT78" s="76"/>
      <c r="BU78" s="76"/>
      <c r="BV78" s="76"/>
      <c r="BW78" s="76"/>
      <c r="BX78" s="76"/>
      <c r="BY78" s="76"/>
      <c r="BZ78" s="76"/>
      <c r="CA78" s="76"/>
      <c r="CB78" s="76"/>
      <c r="CC78" s="76"/>
      <c r="CD78" s="76"/>
      <c r="CE78" s="76"/>
      <c r="CF78" s="76">
        <f>+CE78*28000</f>
        <v>0</v>
      </c>
      <c r="CG78" s="76"/>
      <c r="CH78" s="76">
        <f>+CG78*22500</f>
        <v>0</v>
      </c>
      <c r="CI78" s="76"/>
      <c r="CJ78" s="76">
        <f>+CI78*26000</f>
        <v>0</v>
      </c>
      <c r="CK78" s="76"/>
      <c r="CL78" s="76"/>
      <c r="CM78" s="76"/>
      <c r="CN78" s="76">
        <f>+CM78*22000</f>
        <v>0</v>
      </c>
      <c r="CO78" s="76"/>
      <c r="CP78" s="76">
        <f>+CO78*46000</f>
        <v>0</v>
      </c>
      <c r="CQ78" s="76"/>
      <c r="CR78" s="76">
        <f>+CQ78*49000</f>
        <v>0</v>
      </c>
      <c r="CS78" s="76"/>
      <c r="CT78" s="76"/>
      <c r="CU78" s="56">
        <f>AN78+AP78+AR78+AT78+AV78+AX78+AZ78+BB78+BD78+BF78+BH78+BJ78+BL78+BN78+BP78+BR78+BT78+BV78+BX78+BZ78+CB78+CD78+CF78+CH78+CJ78+CL78+CN78+CP78+CR78+CT78</f>
        <v>0</v>
      </c>
      <c r="CV78" s="76"/>
      <c r="CW78" s="76">
        <f>+CV78*1100</f>
        <v>0</v>
      </c>
      <c r="CX78" s="76"/>
      <c r="CY78" s="76">
        <f>+CX78*106250</f>
        <v>0</v>
      </c>
      <c r="CZ78" s="76"/>
      <c r="DA78" s="76">
        <f>+CZ78*34500</f>
        <v>0</v>
      </c>
      <c r="DB78" s="76"/>
      <c r="DC78" s="76">
        <f>+DB78*25000</f>
        <v>0</v>
      </c>
      <c r="DD78" s="219"/>
      <c r="DE78" s="219"/>
      <c r="DF78" s="164"/>
      <c r="DG78" s="116"/>
      <c r="DH78" s="117"/>
      <c r="DI78" s="24"/>
      <c r="DJ78" s="24"/>
      <c r="DK78" s="24"/>
      <c r="DL78" s="24"/>
      <c r="DM78" s="24"/>
      <c r="DN78" s="24"/>
      <c r="DO78" s="24"/>
      <c r="DP78" s="24"/>
      <c r="DQ78" s="24"/>
      <c r="DR78" s="24"/>
      <c r="DS78" s="24"/>
      <c r="DT78" s="24"/>
      <c r="DU78" s="24"/>
    </row>
    <row r="79" spans="1:125" s="8" customFormat="1" ht="48" x14ac:dyDescent="0.2">
      <c r="A79" s="77">
        <v>41281</v>
      </c>
      <c r="B79" s="80" t="s">
        <v>2700</v>
      </c>
      <c r="C79" s="81" t="s">
        <v>1595</v>
      </c>
      <c r="D79" s="81" t="s">
        <v>2846</v>
      </c>
      <c r="E79" s="75" t="str">
        <f>VLOOKUP(B79&amp;C79,Divipola!$C$2:$F$1138,4,FALSE)</f>
        <v>15172</v>
      </c>
      <c r="F79" s="87"/>
      <c r="G79" s="87"/>
      <c r="H79" s="87"/>
      <c r="I79" s="87"/>
      <c r="J79" s="87"/>
      <c r="K79" s="87"/>
      <c r="L79" s="87"/>
      <c r="M79" s="87"/>
      <c r="N79" s="87"/>
      <c r="O79" s="87"/>
      <c r="P79" s="87"/>
      <c r="Q79" s="87"/>
      <c r="R79" s="87"/>
      <c r="S79" s="87"/>
      <c r="T79" s="87"/>
      <c r="U79" s="127"/>
      <c r="V79" s="89"/>
      <c r="W79" s="96">
        <v>0</v>
      </c>
      <c r="X79" s="71">
        <f>CU79</f>
        <v>0</v>
      </c>
      <c r="Y79" s="71">
        <f>CY79</f>
        <v>0</v>
      </c>
      <c r="Z79" s="71">
        <f>DA79+DC79+DE79</f>
        <v>0</v>
      </c>
      <c r="AA79" s="71">
        <f>CW79</f>
        <v>0</v>
      </c>
      <c r="AB79" s="71"/>
      <c r="AC79" s="71">
        <v>0</v>
      </c>
      <c r="AD79" s="71">
        <f>W79+X79+Y79+Z79+AA79+AB79+AC79</f>
        <v>0</v>
      </c>
      <c r="AE79" s="72">
        <v>0</v>
      </c>
      <c r="AF79" s="5"/>
      <c r="AG79" s="6"/>
      <c r="AH79" s="27" t="s">
        <v>3392</v>
      </c>
      <c r="AI79" s="44" t="s">
        <v>3393</v>
      </c>
      <c r="AJ79" s="26"/>
      <c r="AK79" s="5"/>
      <c r="AL79" s="82" t="s">
        <v>2938</v>
      </c>
      <c r="AM79" s="76"/>
      <c r="AN79" s="76"/>
      <c r="AO79" s="76"/>
      <c r="AP79" s="76"/>
      <c r="AQ79" s="76"/>
      <c r="AR79" s="76"/>
      <c r="AS79" s="76"/>
      <c r="AT79" s="76"/>
      <c r="AU79" s="76"/>
      <c r="AV79" s="76"/>
      <c r="AW79" s="76"/>
      <c r="AX79" s="76">
        <f>+AW79*600000</f>
        <v>0</v>
      </c>
      <c r="AY79" s="76"/>
      <c r="AZ79" s="76">
        <f>+AY79*70000</f>
        <v>0</v>
      </c>
      <c r="BA79" s="76"/>
      <c r="BB79" s="76"/>
      <c r="BC79" s="76"/>
      <c r="BD79" s="76">
        <f>+BC79*30000</f>
        <v>0</v>
      </c>
      <c r="BE79" s="76"/>
      <c r="BF79" s="76"/>
      <c r="BG79" s="76"/>
      <c r="BH79" s="76"/>
      <c r="BI79" s="76"/>
      <c r="BJ79" s="76"/>
      <c r="BK79" s="76"/>
      <c r="BL79" s="76">
        <f>+BK79*31500</f>
        <v>0</v>
      </c>
      <c r="BM79" s="76"/>
      <c r="BN79" s="76"/>
      <c r="BO79" s="76"/>
      <c r="BP79" s="76"/>
      <c r="BQ79" s="76"/>
      <c r="BR79" s="76"/>
      <c r="BS79" s="76"/>
      <c r="BT79" s="76"/>
      <c r="BU79" s="76"/>
      <c r="BV79" s="76"/>
      <c r="BW79" s="76"/>
      <c r="BX79" s="76"/>
      <c r="BY79" s="76"/>
      <c r="BZ79" s="76"/>
      <c r="CA79" s="76"/>
      <c r="CB79" s="76"/>
      <c r="CC79" s="76"/>
      <c r="CD79" s="76"/>
      <c r="CE79" s="76"/>
      <c r="CF79" s="76">
        <f>+CE79*28000</f>
        <v>0</v>
      </c>
      <c r="CG79" s="76"/>
      <c r="CH79" s="76">
        <f>+CG79*22500</f>
        <v>0</v>
      </c>
      <c r="CI79" s="76"/>
      <c r="CJ79" s="76">
        <f>+CI79*26000</f>
        <v>0</v>
      </c>
      <c r="CK79" s="76"/>
      <c r="CL79" s="76"/>
      <c r="CM79" s="76"/>
      <c r="CN79" s="76">
        <f>+CM79*22000</f>
        <v>0</v>
      </c>
      <c r="CO79" s="76"/>
      <c r="CP79" s="76">
        <f>+CO79*46000</f>
        <v>0</v>
      </c>
      <c r="CQ79" s="76"/>
      <c r="CR79" s="76">
        <f>+CQ79*49000</f>
        <v>0</v>
      </c>
      <c r="CS79" s="76"/>
      <c r="CT79" s="76"/>
      <c r="CU79" s="56">
        <f>AN79+AP79+AR79+AT79+AV79+AX79+AZ79+BB79+BD79+BF79+BH79+BJ79+BL79+BN79+BP79+BR79+BT79+BV79+BX79+BZ79+CB79+CD79+CF79+CH79+CJ79+CL79+CN79+CP79+CR79+CT79</f>
        <v>0</v>
      </c>
      <c r="CV79" s="76"/>
      <c r="CW79" s="76">
        <f>+CV79*1100</f>
        <v>0</v>
      </c>
      <c r="CX79" s="76"/>
      <c r="CY79" s="76">
        <f>+CX79*106250</f>
        <v>0</v>
      </c>
      <c r="CZ79" s="76"/>
      <c r="DA79" s="76">
        <f>+CZ79*34500</f>
        <v>0</v>
      </c>
      <c r="DB79" s="76"/>
      <c r="DC79" s="76">
        <f>+DB79*25000</f>
        <v>0</v>
      </c>
      <c r="DD79" s="219"/>
      <c r="DE79" s="219"/>
      <c r="DF79" s="164"/>
      <c r="DG79" s="116"/>
      <c r="DH79" s="117"/>
      <c r="DI79" s="24"/>
      <c r="DJ79" s="24"/>
      <c r="DK79" s="24"/>
      <c r="DL79" s="24"/>
      <c r="DM79" s="24"/>
      <c r="DN79" s="24"/>
      <c r="DO79" s="24"/>
      <c r="DP79" s="24"/>
      <c r="DQ79" s="24"/>
      <c r="DR79" s="24"/>
      <c r="DS79" s="24"/>
      <c r="DT79" s="24"/>
      <c r="DU79" s="24"/>
    </row>
    <row r="80" spans="1:125" s="8" customFormat="1" ht="144" x14ac:dyDescent="0.2">
      <c r="A80" s="77">
        <v>41281</v>
      </c>
      <c r="B80" s="78" t="s">
        <v>2700</v>
      </c>
      <c r="C80" s="75" t="s">
        <v>1704</v>
      </c>
      <c r="D80" s="75" t="s">
        <v>2936</v>
      </c>
      <c r="E80" s="75" t="str">
        <f>VLOOKUP(B80&amp;C80,Divipola!$C$2:$F$1138,4,FALSE)</f>
        <v>15516</v>
      </c>
      <c r="F80" s="87">
        <v>3</v>
      </c>
      <c r="G80" s="87">
        <v>1</v>
      </c>
      <c r="H80" s="87"/>
      <c r="I80" s="87">
        <v>4</v>
      </c>
      <c r="J80" s="87"/>
      <c r="K80" s="87"/>
      <c r="L80" s="87"/>
      <c r="M80" s="87"/>
      <c r="N80" s="87"/>
      <c r="O80" s="87"/>
      <c r="P80" s="87"/>
      <c r="Q80" s="87"/>
      <c r="R80" s="87"/>
      <c r="S80" s="87"/>
      <c r="T80" s="87"/>
      <c r="U80" s="127"/>
      <c r="V80" s="89"/>
      <c r="W80" s="96">
        <v>0</v>
      </c>
      <c r="X80" s="71">
        <f>CU80</f>
        <v>0</v>
      </c>
      <c r="Y80" s="71">
        <f>CY80</f>
        <v>0</v>
      </c>
      <c r="Z80" s="71">
        <f>DA80+DC80+DE80</f>
        <v>0</v>
      </c>
      <c r="AA80" s="71">
        <f>CW80</f>
        <v>0</v>
      </c>
      <c r="AB80" s="71"/>
      <c r="AC80" s="71">
        <v>0</v>
      </c>
      <c r="AD80" s="71">
        <f>W80+X80+Y80+Z80+AA80+AB80+AC80</f>
        <v>0</v>
      </c>
      <c r="AE80" s="72">
        <v>0</v>
      </c>
      <c r="AF80" s="5"/>
      <c r="AG80" s="6"/>
      <c r="AH80" s="27" t="s">
        <v>3392</v>
      </c>
      <c r="AI80" s="44" t="s">
        <v>3393</v>
      </c>
      <c r="AJ80" s="26"/>
      <c r="AK80" s="5"/>
      <c r="AL80" s="82" t="s">
        <v>2937</v>
      </c>
      <c r="AM80" s="76"/>
      <c r="AN80" s="76"/>
      <c r="AO80" s="76"/>
      <c r="AP80" s="76"/>
      <c r="AQ80" s="76"/>
      <c r="AR80" s="76"/>
      <c r="AS80" s="76"/>
      <c r="AT80" s="76"/>
      <c r="AU80" s="76"/>
      <c r="AV80" s="76"/>
      <c r="AW80" s="76"/>
      <c r="AX80" s="76">
        <f>+AW80*600000</f>
        <v>0</v>
      </c>
      <c r="AY80" s="76"/>
      <c r="AZ80" s="76">
        <f>+AY80*70000</f>
        <v>0</v>
      </c>
      <c r="BA80" s="76"/>
      <c r="BB80" s="76"/>
      <c r="BC80" s="76"/>
      <c r="BD80" s="76">
        <f>+BC80*30000</f>
        <v>0</v>
      </c>
      <c r="BE80" s="76"/>
      <c r="BF80" s="76"/>
      <c r="BG80" s="76"/>
      <c r="BH80" s="76"/>
      <c r="BI80" s="76"/>
      <c r="BJ80" s="76"/>
      <c r="BK80" s="76"/>
      <c r="BL80" s="76">
        <f>+BK80*31500</f>
        <v>0</v>
      </c>
      <c r="BM80" s="76"/>
      <c r="BN80" s="76"/>
      <c r="BO80" s="76"/>
      <c r="BP80" s="76"/>
      <c r="BQ80" s="76"/>
      <c r="BR80" s="76"/>
      <c r="BS80" s="76"/>
      <c r="BT80" s="76"/>
      <c r="BU80" s="76"/>
      <c r="BV80" s="76"/>
      <c r="BW80" s="76"/>
      <c r="BX80" s="76"/>
      <c r="BY80" s="76"/>
      <c r="BZ80" s="76"/>
      <c r="CA80" s="76"/>
      <c r="CB80" s="76"/>
      <c r="CC80" s="76"/>
      <c r="CD80" s="76"/>
      <c r="CE80" s="76"/>
      <c r="CF80" s="76">
        <f>+CE80*28000</f>
        <v>0</v>
      </c>
      <c r="CG80" s="76"/>
      <c r="CH80" s="76">
        <f>+CG80*22500</f>
        <v>0</v>
      </c>
      <c r="CI80" s="76"/>
      <c r="CJ80" s="76">
        <f>+CI80*26000</f>
        <v>0</v>
      </c>
      <c r="CK80" s="76"/>
      <c r="CL80" s="76"/>
      <c r="CM80" s="76"/>
      <c r="CN80" s="76">
        <f>+CM80*22000</f>
        <v>0</v>
      </c>
      <c r="CO80" s="76"/>
      <c r="CP80" s="76">
        <f>+CO80*46000</f>
        <v>0</v>
      </c>
      <c r="CQ80" s="76"/>
      <c r="CR80" s="76">
        <f>+CQ80*49000</f>
        <v>0</v>
      </c>
      <c r="CS80" s="76"/>
      <c r="CT80" s="76"/>
      <c r="CU80" s="56">
        <f>AN80+AP80+AR80+AT80+AV80+AX80+AZ80+BB80+BD80+BF80+BH80+BJ80+BL80+BN80+BP80+BR80+BT80+BV80+BX80+BZ80+CB80+CD80+CF80+CH80+CJ80+CL80+CN80+CP80+CR80+CT80</f>
        <v>0</v>
      </c>
      <c r="CV80" s="76"/>
      <c r="CW80" s="76">
        <f>+CV80*1100</f>
        <v>0</v>
      </c>
      <c r="CX80" s="76"/>
      <c r="CY80" s="76">
        <f>+CX80*106250</f>
        <v>0</v>
      </c>
      <c r="CZ80" s="76"/>
      <c r="DA80" s="76">
        <f>+CZ80*34500</f>
        <v>0</v>
      </c>
      <c r="DB80" s="76"/>
      <c r="DC80" s="76">
        <f>+DB80*25000</f>
        <v>0</v>
      </c>
      <c r="DD80" s="219"/>
      <c r="DE80" s="219"/>
      <c r="DF80" s="164"/>
      <c r="DG80" s="116"/>
      <c r="DH80" s="117"/>
      <c r="DI80" s="24"/>
      <c r="DJ80" s="24"/>
      <c r="DK80" s="24"/>
      <c r="DL80" s="24"/>
      <c r="DM80" s="24"/>
      <c r="DN80" s="24"/>
      <c r="DO80" s="24"/>
      <c r="DP80" s="24"/>
      <c r="DQ80" s="24"/>
      <c r="DR80" s="24"/>
      <c r="DS80" s="24"/>
      <c r="DT80" s="24"/>
      <c r="DU80" s="24"/>
    </row>
    <row r="81" spans="1:125" s="8" customFormat="1" ht="36" x14ac:dyDescent="0.2">
      <c r="A81" s="77">
        <v>41281</v>
      </c>
      <c r="B81" s="78" t="s">
        <v>2700</v>
      </c>
      <c r="C81" s="75" t="s">
        <v>1704</v>
      </c>
      <c r="D81" s="81" t="s">
        <v>2846</v>
      </c>
      <c r="E81" s="75" t="str">
        <f>VLOOKUP(B81&amp;C81,Divipola!$C$2:$F$1138,4,FALSE)</f>
        <v>15516</v>
      </c>
      <c r="F81" s="87"/>
      <c r="G81" s="87"/>
      <c r="H81" s="87"/>
      <c r="I81" s="87"/>
      <c r="J81" s="87"/>
      <c r="K81" s="87"/>
      <c r="L81" s="87"/>
      <c r="M81" s="87"/>
      <c r="N81" s="87"/>
      <c r="O81" s="87"/>
      <c r="P81" s="87"/>
      <c r="Q81" s="87"/>
      <c r="R81" s="87"/>
      <c r="S81" s="87"/>
      <c r="T81" s="87"/>
      <c r="U81" s="127">
        <v>0.5</v>
      </c>
      <c r="V81" s="89"/>
      <c r="W81" s="96">
        <v>0</v>
      </c>
      <c r="X81" s="71">
        <f>CU81</f>
        <v>0</v>
      </c>
      <c r="Y81" s="71">
        <f>CY81</f>
        <v>0</v>
      </c>
      <c r="Z81" s="71">
        <f>DA81+DC81+DE81</f>
        <v>0</v>
      </c>
      <c r="AA81" s="71">
        <f>CW81</f>
        <v>0</v>
      </c>
      <c r="AB81" s="71"/>
      <c r="AC81" s="71">
        <v>0</v>
      </c>
      <c r="AD81" s="71">
        <f>W81+X81+Y81+Z81+AA81+AB81+AC81</f>
        <v>0</v>
      </c>
      <c r="AE81" s="72">
        <v>0</v>
      </c>
      <c r="AF81" s="5"/>
      <c r="AG81" s="6"/>
      <c r="AH81" s="27" t="s">
        <v>3392</v>
      </c>
      <c r="AI81" s="44" t="s">
        <v>3393</v>
      </c>
      <c r="AJ81" s="26"/>
      <c r="AK81" s="5"/>
      <c r="AL81" s="82" t="s">
        <v>2948</v>
      </c>
      <c r="AM81" s="76"/>
      <c r="AN81" s="76"/>
      <c r="AO81" s="76"/>
      <c r="AP81" s="76"/>
      <c r="AQ81" s="76"/>
      <c r="AR81" s="76"/>
      <c r="AS81" s="76"/>
      <c r="AT81" s="76"/>
      <c r="AU81" s="76"/>
      <c r="AV81" s="76"/>
      <c r="AW81" s="76"/>
      <c r="AX81" s="76">
        <f>+AW81*600000</f>
        <v>0</v>
      </c>
      <c r="AY81" s="76"/>
      <c r="AZ81" s="76">
        <f>+AY81*70000</f>
        <v>0</v>
      </c>
      <c r="BA81" s="76"/>
      <c r="BB81" s="76"/>
      <c r="BC81" s="76"/>
      <c r="BD81" s="76">
        <f>+BC81*30000</f>
        <v>0</v>
      </c>
      <c r="BE81" s="76"/>
      <c r="BF81" s="76"/>
      <c r="BG81" s="76"/>
      <c r="BH81" s="76"/>
      <c r="BI81" s="76"/>
      <c r="BJ81" s="76"/>
      <c r="BK81" s="76"/>
      <c r="BL81" s="76">
        <f>+BK81*31500</f>
        <v>0</v>
      </c>
      <c r="BM81" s="76"/>
      <c r="BN81" s="76"/>
      <c r="BO81" s="76"/>
      <c r="BP81" s="76"/>
      <c r="BQ81" s="76"/>
      <c r="BR81" s="76"/>
      <c r="BS81" s="76"/>
      <c r="BT81" s="76"/>
      <c r="BU81" s="76"/>
      <c r="BV81" s="76"/>
      <c r="BW81" s="76"/>
      <c r="BX81" s="76"/>
      <c r="BY81" s="76"/>
      <c r="BZ81" s="76"/>
      <c r="CA81" s="76"/>
      <c r="CB81" s="76"/>
      <c r="CC81" s="76"/>
      <c r="CD81" s="76"/>
      <c r="CE81" s="76"/>
      <c r="CF81" s="76">
        <f>+CE81*28000</f>
        <v>0</v>
      </c>
      <c r="CG81" s="76"/>
      <c r="CH81" s="76">
        <f>+CG81*22500</f>
        <v>0</v>
      </c>
      <c r="CI81" s="76"/>
      <c r="CJ81" s="76">
        <f>+CI81*26000</f>
        <v>0</v>
      </c>
      <c r="CK81" s="76"/>
      <c r="CL81" s="76"/>
      <c r="CM81" s="76"/>
      <c r="CN81" s="76">
        <f>+CM81*22000</f>
        <v>0</v>
      </c>
      <c r="CO81" s="76"/>
      <c r="CP81" s="76">
        <f>+CO81*46000</f>
        <v>0</v>
      </c>
      <c r="CQ81" s="76"/>
      <c r="CR81" s="76">
        <f>+CQ81*49000</f>
        <v>0</v>
      </c>
      <c r="CS81" s="76"/>
      <c r="CT81" s="76"/>
      <c r="CU81" s="56">
        <f>AN81+AP81+AR81+AT81+AV81+AX81+AZ81+BB81+BD81+BF81+BH81+BJ81+BL81+BN81+BP81+BR81+BT81+BV81+BX81+BZ81+CB81+CD81+CF81+CH81+CJ81+CL81+CN81+CP81+CR81+CT81</f>
        <v>0</v>
      </c>
      <c r="CV81" s="76"/>
      <c r="CW81" s="76">
        <f>+CV81*1100</f>
        <v>0</v>
      </c>
      <c r="CX81" s="76"/>
      <c r="CY81" s="76">
        <f>+CX81*106250</f>
        <v>0</v>
      </c>
      <c r="CZ81" s="76"/>
      <c r="DA81" s="76">
        <f>+CZ81*34500</f>
        <v>0</v>
      </c>
      <c r="DB81" s="76"/>
      <c r="DC81" s="76">
        <f>+DB81*25000</f>
        <v>0</v>
      </c>
      <c r="DD81" s="219"/>
      <c r="DE81" s="219"/>
      <c r="DF81" s="164"/>
      <c r="DG81" s="116"/>
      <c r="DH81" s="117"/>
      <c r="DI81" s="24"/>
      <c r="DJ81" s="24"/>
      <c r="DK81" s="24"/>
      <c r="DL81" s="24"/>
      <c r="DM81" s="24"/>
      <c r="DN81" s="24"/>
      <c r="DO81" s="24"/>
      <c r="DP81" s="24"/>
      <c r="DQ81" s="24"/>
      <c r="DR81" s="24"/>
      <c r="DS81" s="24"/>
      <c r="DT81" s="24"/>
      <c r="DU81" s="24"/>
    </row>
    <row r="82" spans="1:125" s="8" customFormat="1" ht="48" x14ac:dyDescent="0.2">
      <c r="A82" s="77">
        <v>41281</v>
      </c>
      <c r="B82" s="80" t="s">
        <v>2700</v>
      </c>
      <c r="C82" s="81" t="s">
        <v>614</v>
      </c>
      <c r="D82" s="81" t="s">
        <v>2846</v>
      </c>
      <c r="E82" s="75" t="str">
        <f>VLOOKUP(B82&amp;C82,Divipola!$C$2:$F$1138,4,FALSE)</f>
        <v>15542</v>
      </c>
      <c r="F82" s="87"/>
      <c r="G82" s="87"/>
      <c r="H82" s="87"/>
      <c r="I82" s="87"/>
      <c r="J82" s="87"/>
      <c r="K82" s="87"/>
      <c r="L82" s="87"/>
      <c r="M82" s="87"/>
      <c r="N82" s="87"/>
      <c r="O82" s="87"/>
      <c r="P82" s="87"/>
      <c r="Q82" s="87"/>
      <c r="R82" s="87"/>
      <c r="S82" s="87"/>
      <c r="T82" s="87"/>
      <c r="U82" s="127"/>
      <c r="V82" s="89"/>
      <c r="W82" s="96">
        <v>0</v>
      </c>
      <c r="X82" s="71">
        <f>CU82</f>
        <v>0</v>
      </c>
      <c r="Y82" s="71">
        <f>CY82</f>
        <v>0</v>
      </c>
      <c r="Z82" s="71">
        <f>DA82+DC82+DE82</f>
        <v>0</v>
      </c>
      <c r="AA82" s="71">
        <f>CW82</f>
        <v>0</v>
      </c>
      <c r="AB82" s="71"/>
      <c r="AC82" s="71">
        <v>0</v>
      </c>
      <c r="AD82" s="71">
        <f>W82+X82+Y82+Z82+AA82+AB82+AC82</f>
        <v>0</v>
      </c>
      <c r="AE82" s="72">
        <v>0</v>
      </c>
      <c r="AF82" s="5"/>
      <c r="AG82" s="6"/>
      <c r="AH82" s="27" t="s">
        <v>3392</v>
      </c>
      <c r="AI82" s="44" t="s">
        <v>3393</v>
      </c>
      <c r="AJ82" s="26"/>
      <c r="AK82" s="5"/>
      <c r="AL82" s="82" t="s">
        <v>2938</v>
      </c>
      <c r="AM82" s="76"/>
      <c r="AN82" s="76"/>
      <c r="AO82" s="76"/>
      <c r="AP82" s="76"/>
      <c r="AQ82" s="76"/>
      <c r="AR82" s="76"/>
      <c r="AS82" s="76"/>
      <c r="AT82" s="76"/>
      <c r="AU82" s="76"/>
      <c r="AV82" s="76"/>
      <c r="AW82" s="76"/>
      <c r="AX82" s="76">
        <f>+AW82*600000</f>
        <v>0</v>
      </c>
      <c r="AY82" s="76"/>
      <c r="AZ82" s="76">
        <f>+AY82*70000</f>
        <v>0</v>
      </c>
      <c r="BA82" s="76"/>
      <c r="BB82" s="76"/>
      <c r="BC82" s="76"/>
      <c r="BD82" s="76">
        <f>+BC82*30000</f>
        <v>0</v>
      </c>
      <c r="BE82" s="76"/>
      <c r="BF82" s="76"/>
      <c r="BG82" s="76"/>
      <c r="BH82" s="76"/>
      <c r="BI82" s="76"/>
      <c r="BJ82" s="76"/>
      <c r="BK82" s="76"/>
      <c r="BL82" s="76">
        <f>+BK82*31500</f>
        <v>0</v>
      </c>
      <c r="BM82" s="76"/>
      <c r="BN82" s="76"/>
      <c r="BO82" s="76"/>
      <c r="BP82" s="76"/>
      <c r="BQ82" s="76"/>
      <c r="BR82" s="76"/>
      <c r="BS82" s="76"/>
      <c r="BT82" s="76"/>
      <c r="BU82" s="76"/>
      <c r="BV82" s="76"/>
      <c r="BW82" s="76"/>
      <c r="BX82" s="76"/>
      <c r="BY82" s="76"/>
      <c r="BZ82" s="76"/>
      <c r="CA82" s="76"/>
      <c r="CB82" s="76"/>
      <c r="CC82" s="76"/>
      <c r="CD82" s="76"/>
      <c r="CE82" s="76"/>
      <c r="CF82" s="76">
        <f>+CE82*28000</f>
        <v>0</v>
      </c>
      <c r="CG82" s="76"/>
      <c r="CH82" s="76">
        <f>+CG82*22500</f>
        <v>0</v>
      </c>
      <c r="CI82" s="76"/>
      <c r="CJ82" s="76">
        <f>+CI82*26000</f>
        <v>0</v>
      </c>
      <c r="CK82" s="76"/>
      <c r="CL82" s="76"/>
      <c r="CM82" s="76"/>
      <c r="CN82" s="76">
        <f>+CM82*22000</f>
        <v>0</v>
      </c>
      <c r="CO82" s="76"/>
      <c r="CP82" s="76">
        <f>+CO82*46000</f>
        <v>0</v>
      </c>
      <c r="CQ82" s="76"/>
      <c r="CR82" s="76">
        <f>+CQ82*49000</f>
        <v>0</v>
      </c>
      <c r="CS82" s="76"/>
      <c r="CT82" s="76"/>
      <c r="CU82" s="56">
        <f>AN82+AP82+AR82+AT82+AV82+AX82+AZ82+BB82+BD82+BF82+BH82+BJ82+BL82+BN82+BP82+BR82+BT82+BV82+BX82+BZ82+CB82+CD82+CF82+CH82+CJ82+CL82+CN82+CP82+CR82+CT82</f>
        <v>0</v>
      </c>
      <c r="CV82" s="76"/>
      <c r="CW82" s="76">
        <f>+CV82*1100</f>
        <v>0</v>
      </c>
      <c r="CX82" s="76"/>
      <c r="CY82" s="76">
        <f>+CX82*106250</f>
        <v>0</v>
      </c>
      <c r="CZ82" s="76"/>
      <c r="DA82" s="76">
        <f>+CZ82*34500</f>
        <v>0</v>
      </c>
      <c r="DB82" s="76"/>
      <c r="DC82" s="76">
        <f>+DB82*25000</f>
        <v>0</v>
      </c>
      <c r="DD82" s="219"/>
      <c r="DE82" s="219"/>
      <c r="DF82" s="164"/>
      <c r="DG82" s="116"/>
      <c r="DH82" s="117"/>
      <c r="DI82" s="24"/>
      <c r="DJ82" s="24"/>
      <c r="DK82" s="24"/>
      <c r="DL82" s="24"/>
      <c r="DM82" s="24"/>
      <c r="DN82" s="24"/>
      <c r="DO82" s="24"/>
      <c r="DP82" s="24"/>
      <c r="DQ82" s="24"/>
      <c r="DR82" s="24"/>
      <c r="DS82" s="24"/>
      <c r="DT82" s="24"/>
      <c r="DU82" s="24"/>
    </row>
    <row r="83" spans="1:125" s="8" customFormat="1" ht="60" x14ac:dyDescent="0.2">
      <c r="A83" s="77">
        <v>41281</v>
      </c>
      <c r="B83" s="84" t="s">
        <v>2700</v>
      </c>
      <c r="C83" s="84" t="s">
        <v>1375</v>
      </c>
      <c r="D83" s="81" t="s">
        <v>2846</v>
      </c>
      <c r="E83" s="75" t="str">
        <f>VLOOKUP(B83&amp;C83,Divipola!$C$2:$F$1138,4,FALSE)</f>
        <v>15759</v>
      </c>
      <c r="F83" s="89"/>
      <c r="G83" s="89"/>
      <c r="H83" s="89"/>
      <c r="I83" s="89"/>
      <c r="J83" s="89"/>
      <c r="K83" s="89"/>
      <c r="L83" s="89"/>
      <c r="M83" s="89"/>
      <c r="N83" s="89"/>
      <c r="O83" s="89"/>
      <c r="P83" s="89"/>
      <c r="Q83" s="89"/>
      <c r="R83" s="89"/>
      <c r="S83" s="89"/>
      <c r="T83" s="89"/>
      <c r="U83" s="126"/>
      <c r="V83" s="89"/>
      <c r="W83" s="96">
        <v>0</v>
      </c>
      <c r="X83" s="71">
        <f>CU83</f>
        <v>0</v>
      </c>
      <c r="Y83" s="71">
        <f>CY83</f>
        <v>0</v>
      </c>
      <c r="Z83" s="71">
        <f>DA83+DC83+DE83</f>
        <v>0</v>
      </c>
      <c r="AA83" s="71">
        <f>CW83</f>
        <v>0</v>
      </c>
      <c r="AB83" s="71"/>
      <c r="AC83" s="71">
        <v>0</v>
      </c>
      <c r="AD83" s="71">
        <f>W83+X83+Y83+Z83+AA83+AB83+AC83</f>
        <v>0</v>
      </c>
      <c r="AE83" s="72">
        <v>0</v>
      </c>
      <c r="AF83" s="5"/>
      <c r="AG83" s="6"/>
      <c r="AH83" s="27" t="s">
        <v>3392</v>
      </c>
      <c r="AI83" s="44" t="s">
        <v>3393</v>
      </c>
      <c r="AJ83" s="26"/>
      <c r="AK83" s="5"/>
      <c r="AL83" s="82" t="s">
        <v>2961</v>
      </c>
      <c r="AM83" s="76"/>
      <c r="AN83" s="76"/>
      <c r="AO83" s="76"/>
      <c r="AP83" s="76"/>
      <c r="AQ83" s="76"/>
      <c r="AR83" s="76"/>
      <c r="AS83" s="76"/>
      <c r="AT83" s="76"/>
      <c r="AU83" s="76"/>
      <c r="AV83" s="76"/>
      <c r="AW83" s="76"/>
      <c r="AX83" s="76">
        <f>+AW83*600000</f>
        <v>0</v>
      </c>
      <c r="AY83" s="76"/>
      <c r="AZ83" s="76">
        <f>+AY83*70000</f>
        <v>0</v>
      </c>
      <c r="BA83" s="76"/>
      <c r="BB83" s="76"/>
      <c r="BC83" s="76"/>
      <c r="BD83" s="76">
        <f>+BC83*30000</f>
        <v>0</v>
      </c>
      <c r="BE83" s="76"/>
      <c r="BF83" s="76"/>
      <c r="BG83" s="76"/>
      <c r="BH83" s="76"/>
      <c r="BI83" s="76"/>
      <c r="BJ83" s="76"/>
      <c r="BK83" s="76"/>
      <c r="BL83" s="76">
        <f>+BK83*31500</f>
        <v>0</v>
      </c>
      <c r="BM83" s="76"/>
      <c r="BN83" s="76"/>
      <c r="BO83" s="76"/>
      <c r="BP83" s="76"/>
      <c r="BQ83" s="76"/>
      <c r="BR83" s="76"/>
      <c r="BS83" s="76"/>
      <c r="BT83" s="76"/>
      <c r="BU83" s="76"/>
      <c r="BV83" s="76"/>
      <c r="BW83" s="76"/>
      <c r="BX83" s="76"/>
      <c r="BY83" s="76"/>
      <c r="BZ83" s="76"/>
      <c r="CA83" s="76"/>
      <c r="CB83" s="76"/>
      <c r="CC83" s="76"/>
      <c r="CD83" s="76"/>
      <c r="CE83" s="76"/>
      <c r="CF83" s="76">
        <f>+CE83*28000</f>
        <v>0</v>
      </c>
      <c r="CG83" s="76"/>
      <c r="CH83" s="76">
        <f>+CG83*22500</f>
        <v>0</v>
      </c>
      <c r="CI83" s="76"/>
      <c r="CJ83" s="76">
        <f>+CI83*26000</f>
        <v>0</v>
      </c>
      <c r="CK83" s="76"/>
      <c r="CL83" s="76"/>
      <c r="CM83" s="76"/>
      <c r="CN83" s="76">
        <f>+CM83*22000</f>
        <v>0</v>
      </c>
      <c r="CO83" s="76"/>
      <c r="CP83" s="76">
        <f>+CO83*46000</f>
        <v>0</v>
      </c>
      <c r="CQ83" s="76"/>
      <c r="CR83" s="76">
        <f>+CQ83*49000</f>
        <v>0</v>
      </c>
      <c r="CS83" s="76"/>
      <c r="CT83" s="76"/>
      <c r="CU83" s="56">
        <f>AN83+AP83+AR83+AT83+AV83+AX83+AZ83+BB83+BD83+BF83+BH83+BJ83+BL83+BN83+BP83+BR83+BT83+BV83+BX83+BZ83+CB83+CD83+CF83+CH83+CJ83+CL83+CN83+CP83+CR83+CT83</f>
        <v>0</v>
      </c>
      <c r="CV83" s="76"/>
      <c r="CW83" s="76">
        <f>+CV83*1100</f>
        <v>0</v>
      </c>
      <c r="CX83" s="76"/>
      <c r="CY83" s="76">
        <f>+CX83*106250</f>
        <v>0</v>
      </c>
      <c r="CZ83" s="76"/>
      <c r="DA83" s="76">
        <f>+CZ83*34500</f>
        <v>0</v>
      </c>
      <c r="DB83" s="76"/>
      <c r="DC83" s="76">
        <f>+DB83*25000</f>
        <v>0</v>
      </c>
      <c r="DD83" s="219"/>
      <c r="DE83" s="219"/>
      <c r="DF83" s="164"/>
      <c r="DG83" s="116"/>
      <c r="DH83" s="117"/>
      <c r="DI83" s="24"/>
      <c r="DJ83" s="24"/>
      <c r="DK83" s="24"/>
      <c r="DL83" s="24"/>
      <c r="DM83" s="24"/>
      <c r="DN83" s="24"/>
      <c r="DO83" s="24"/>
      <c r="DP83" s="24"/>
      <c r="DQ83" s="24"/>
      <c r="DR83" s="24"/>
      <c r="DS83" s="24"/>
      <c r="DT83" s="24"/>
      <c r="DU83" s="24"/>
    </row>
    <row r="84" spans="1:125" s="8" customFormat="1" ht="48" x14ac:dyDescent="0.2">
      <c r="A84" s="77">
        <v>41281</v>
      </c>
      <c r="B84" s="80" t="s">
        <v>2772</v>
      </c>
      <c r="C84" s="81" t="s">
        <v>2831</v>
      </c>
      <c r="D84" s="81" t="s">
        <v>2846</v>
      </c>
      <c r="E84" s="75" t="str">
        <f>VLOOKUP(B84&amp;C84,Divipola!$C$2:$F$1138,4,FALSE)</f>
        <v>25592</v>
      </c>
      <c r="F84" s="87"/>
      <c r="G84" s="87"/>
      <c r="H84" s="87"/>
      <c r="I84" s="87"/>
      <c r="J84" s="87"/>
      <c r="K84" s="87"/>
      <c r="L84" s="87"/>
      <c r="M84" s="87"/>
      <c r="N84" s="87"/>
      <c r="O84" s="87"/>
      <c r="P84" s="87"/>
      <c r="Q84" s="87"/>
      <c r="R84" s="87"/>
      <c r="S84" s="87"/>
      <c r="T84" s="87"/>
      <c r="U84" s="127">
        <v>15</v>
      </c>
      <c r="V84" s="89"/>
      <c r="W84" s="96">
        <v>0</v>
      </c>
      <c r="X84" s="71">
        <f>CU84</f>
        <v>0</v>
      </c>
      <c r="Y84" s="71">
        <f>CY84</f>
        <v>0</v>
      </c>
      <c r="Z84" s="71">
        <f>DA84+DC84+DE84</f>
        <v>0</v>
      </c>
      <c r="AA84" s="71">
        <f>CW84</f>
        <v>0</v>
      </c>
      <c r="AB84" s="71"/>
      <c r="AC84" s="71">
        <v>0</v>
      </c>
      <c r="AD84" s="71">
        <f>W84+X84+Y84+Z84+AA84+AB84+AC84</f>
        <v>0</v>
      </c>
      <c r="AE84" s="72">
        <v>0</v>
      </c>
      <c r="AF84" s="5"/>
      <c r="AG84" s="6"/>
      <c r="AH84" s="27" t="s">
        <v>3392</v>
      </c>
      <c r="AI84" s="44" t="s">
        <v>3393</v>
      </c>
      <c r="AJ84" s="26"/>
      <c r="AK84" s="5"/>
      <c r="AL84" s="82" t="s">
        <v>2933</v>
      </c>
      <c r="AM84" s="76"/>
      <c r="AN84" s="76"/>
      <c r="AO84" s="76"/>
      <c r="AP84" s="76"/>
      <c r="AQ84" s="76"/>
      <c r="AR84" s="76"/>
      <c r="AS84" s="76"/>
      <c r="AT84" s="76"/>
      <c r="AU84" s="76"/>
      <c r="AV84" s="76"/>
      <c r="AW84" s="76"/>
      <c r="AX84" s="76">
        <f>+AW84*600000</f>
        <v>0</v>
      </c>
      <c r="AY84" s="76"/>
      <c r="AZ84" s="76">
        <f>+AY84*70000</f>
        <v>0</v>
      </c>
      <c r="BA84" s="76"/>
      <c r="BB84" s="76"/>
      <c r="BC84" s="76"/>
      <c r="BD84" s="76">
        <f>+BC84*30000</f>
        <v>0</v>
      </c>
      <c r="BE84" s="76"/>
      <c r="BF84" s="76"/>
      <c r="BG84" s="76"/>
      <c r="BH84" s="76"/>
      <c r="BI84" s="76"/>
      <c r="BJ84" s="76"/>
      <c r="BK84" s="76"/>
      <c r="BL84" s="76">
        <f>+BK84*31500</f>
        <v>0</v>
      </c>
      <c r="BM84" s="76"/>
      <c r="BN84" s="76"/>
      <c r="BO84" s="76"/>
      <c r="BP84" s="76"/>
      <c r="BQ84" s="76"/>
      <c r="BR84" s="76"/>
      <c r="BS84" s="76"/>
      <c r="BT84" s="76"/>
      <c r="BU84" s="76"/>
      <c r="BV84" s="76"/>
      <c r="BW84" s="76"/>
      <c r="BX84" s="76"/>
      <c r="BY84" s="76"/>
      <c r="BZ84" s="76"/>
      <c r="CA84" s="76"/>
      <c r="CB84" s="76"/>
      <c r="CC84" s="76"/>
      <c r="CD84" s="76"/>
      <c r="CE84" s="76"/>
      <c r="CF84" s="76">
        <f>+CE84*28000</f>
        <v>0</v>
      </c>
      <c r="CG84" s="76"/>
      <c r="CH84" s="76">
        <f>+CG84*22500</f>
        <v>0</v>
      </c>
      <c r="CI84" s="76"/>
      <c r="CJ84" s="76">
        <f>+CI84*26000</f>
        <v>0</v>
      </c>
      <c r="CK84" s="76"/>
      <c r="CL84" s="76"/>
      <c r="CM84" s="76"/>
      <c r="CN84" s="76">
        <f>+CM84*22000</f>
        <v>0</v>
      </c>
      <c r="CO84" s="76"/>
      <c r="CP84" s="76">
        <f>+CO84*46000</f>
        <v>0</v>
      </c>
      <c r="CQ84" s="76"/>
      <c r="CR84" s="76">
        <f>+CQ84*49000</f>
        <v>0</v>
      </c>
      <c r="CS84" s="76"/>
      <c r="CT84" s="76"/>
      <c r="CU84" s="56">
        <f>AN84+AP84+AR84+AT84+AV84+AX84+AZ84+BB84+BD84+BF84+BH84+BJ84+BL84+BN84+BP84+BR84+BT84+BV84+BX84+BZ84+CB84+CD84+CF84+CH84+CJ84+CL84+CN84+CP84+CR84+CT84</f>
        <v>0</v>
      </c>
      <c r="CV84" s="76"/>
      <c r="CW84" s="76">
        <f>+CV84*1100</f>
        <v>0</v>
      </c>
      <c r="CX84" s="76"/>
      <c r="CY84" s="76">
        <f>+CX84*106250</f>
        <v>0</v>
      </c>
      <c r="CZ84" s="76"/>
      <c r="DA84" s="76">
        <f>+CZ84*34500</f>
        <v>0</v>
      </c>
      <c r="DB84" s="76"/>
      <c r="DC84" s="76">
        <f>+DB84*25000</f>
        <v>0</v>
      </c>
      <c r="DD84" s="219"/>
      <c r="DE84" s="219"/>
      <c r="DF84" s="164"/>
      <c r="DG84" s="116"/>
      <c r="DH84" s="117"/>
      <c r="DI84" s="24"/>
      <c r="DJ84" s="24"/>
      <c r="DK84" s="24"/>
      <c r="DL84" s="24"/>
      <c r="DM84" s="24"/>
      <c r="DN84" s="24"/>
      <c r="DO84" s="24"/>
      <c r="DP84" s="24"/>
      <c r="DQ84" s="24"/>
      <c r="DR84" s="24"/>
      <c r="DS84" s="24"/>
      <c r="DT84" s="24"/>
      <c r="DU84" s="24"/>
    </row>
    <row r="85" spans="1:125" s="8" customFormat="1" ht="72" x14ac:dyDescent="0.2">
      <c r="A85" s="77">
        <v>41281</v>
      </c>
      <c r="B85" s="80" t="s">
        <v>2860</v>
      </c>
      <c r="C85" s="81" t="s">
        <v>2776</v>
      </c>
      <c r="D85" s="81" t="s">
        <v>2846</v>
      </c>
      <c r="E85" s="75" t="str">
        <f>VLOOKUP(B85&amp;C85,Divipola!$C$2:$F$1138,4,FALSE)</f>
        <v>63001</v>
      </c>
      <c r="F85" s="87"/>
      <c r="G85" s="87"/>
      <c r="H85" s="87"/>
      <c r="I85" s="87"/>
      <c r="J85" s="87"/>
      <c r="K85" s="87"/>
      <c r="L85" s="87"/>
      <c r="M85" s="87"/>
      <c r="N85" s="87"/>
      <c r="O85" s="87"/>
      <c r="P85" s="87"/>
      <c r="Q85" s="87"/>
      <c r="R85" s="87"/>
      <c r="S85" s="87"/>
      <c r="T85" s="87"/>
      <c r="U85" s="127"/>
      <c r="V85" s="89"/>
      <c r="W85" s="96">
        <v>0</v>
      </c>
      <c r="X85" s="71">
        <f>CU85</f>
        <v>0</v>
      </c>
      <c r="Y85" s="71">
        <f>CY85</f>
        <v>0</v>
      </c>
      <c r="Z85" s="71">
        <f>DA85+DC85+DE85</f>
        <v>0</v>
      </c>
      <c r="AA85" s="71">
        <f>CW85</f>
        <v>0</v>
      </c>
      <c r="AB85" s="71"/>
      <c r="AC85" s="71">
        <v>0</v>
      </c>
      <c r="AD85" s="71">
        <f>W85+X85+Y85+Z85+AA85+AB85+AC85</f>
        <v>0</v>
      </c>
      <c r="AE85" s="72">
        <v>0</v>
      </c>
      <c r="AF85" s="5"/>
      <c r="AG85" s="6"/>
      <c r="AH85" s="27" t="s">
        <v>3392</v>
      </c>
      <c r="AI85" s="44" t="s">
        <v>3393</v>
      </c>
      <c r="AJ85" s="26"/>
      <c r="AK85" s="5"/>
      <c r="AL85" s="82" t="s">
        <v>2940</v>
      </c>
      <c r="AM85" s="76"/>
      <c r="AN85" s="76"/>
      <c r="AO85" s="76"/>
      <c r="AP85" s="76"/>
      <c r="AQ85" s="76"/>
      <c r="AR85" s="76"/>
      <c r="AS85" s="76"/>
      <c r="AT85" s="76"/>
      <c r="AU85" s="76"/>
      <c r="AV85" s="76"/>
      <c r="AW85" s="76"/>
      <c r="AX85" s="76">
        <f>+AW85*600000</f>
        <v>0</v>
      </c>
      <c r="AY85" s="76"/>
      <c r="AZ85" s="76">
        <f>+AY85*70000</f>
        <v>0</v>
      </c>
      <c r="BA85" s="76"/>
      <c r="BB85" s="76"/>
      <c r="BC85" s="76"/>
      <c r="BD85" s="76">
        <f>+BC85*30000</f>
        <v>0</v>
      </c>
      <c r="BE85" s="76"/>
      <c r="BF85" s="76"/>
      <c r="BG85" s="76"/>
      <c r="BH85" s="76"/>
      <c r="BI85" s="76"/>
      <c r="BJ85" s="76"/>
      <c r="BK85" s="76"/>
      <c r="BL85" s="76">
        <f>+BK85*31500</f>
        <v>0</v>
      </c>
      <c r="BM85" s="76"/>
      <c r="BN85" s="76"/>
      <c r="BO85" s="76"/>
      <c r="BP85" s="76"/>
      <c r="BQ85" s="76"/>
      <c r="BR85" s="76"/>
      <c r="BS85" s="76"/>
      <c r="BT85" s="76"/>
      <c r="BU85" s="76"/>
      <c r="BV85" s="76"/>
      <c r="BW85" s="76"/>
      <c r="BX85" s="76"/>
      <c r="BY85" s="76"/>
      <c r="BZ85" s="76"/>
      <c r="CA85" s="76"/>
      <c r="CB85" s="76"/>
      <c r="CC85" s="76"/>
      <c r="CD85" s="76"/>
      <c r="CE85" s="76"/>
      <c r="CF85" s="76">
        <f>+CE85*28000</f>
        <v>0</v>
      </c>
      <c r="CG85" s="76"/>
      <c r="CH85" s="76">
        <f>+CG85*22500</f>
        <v>0</v>
      </c>
      <c r="CI85" s="76"/>
      <c r="CJ85" s="76">
        <f>+CI85*26000</f>
        <v>0</v>
      </c>
      <c r="CK85" s="76"/>
      <c r="CL85" s="76"/>
      <c r="CM85" s="76"/>
      <c r="CN85" s="76">
        <f>+CM85*22000</f>
        <v>0</v>
      </c>
      <c r="CO85" s="76"/>
      <c r="CP85" s="76">
        <f>+CO85*46000</f>
        <v>0</v>
      </c>
      <c r="CQ85" s="76"/>
      <c r="CR85" s="76">
        <f>+CQ85*49000</f>
        <v>0</v>
      </c>
      <c r="CS85" s="76"/>
      <c r="CT85" s="76"/>
      <c r="CU85" s="56">
        <f>AN85+AP85+AR85+AT85+AV85+AX85+AZ85+BB85+BD85+BF85+BH85+BJ85+BL85+BN85+BP85+BR85+BT85+BV85+BX85+BZ85+CB85+CD85+CF85+CH85+CJ85+CL85+CN85+CP85+CR85+CT85</f>
        <v>0</v>
      </c>
      <c r="CV85" s="76"/>
      <c r="CW85" s="76">
        <f>+CV85*1100</f>
        <v>0</v>
      </c>
      <c r="CX85" s="76"/>
      <c r="CY85" s="76">
        <f>+CX85*106250</f>
        <v>0</v>
      </c>
      <c r="CZ85" s="76"/>
      <c r="DA85" s="76">
        <f>+CZ85*34500</f>
        <v>0</v>
      </c>
      <c r="DB85" s="76"/>
      <c r="DC85" s="76">
        <f>+DB85*25000</f>
        <v>0</v>
      </c>
      <c r="DD85" s="219"/>
      <c r="DE85" s="219"/>
      <c r="DF85" s="164"/>
      <c r="DG85" s="116"/>
      <c r="DH85" s="117"/>
      <c r="DI85" s="24"/>
      <c r="DJ85" s="24"/>
      <c r="DK85" s="24"/>
      <c r="DL85" s="24"/>
      <c r="DM85" s="24"/>
      <c r="DN85" s="24"/>
      <c r="DO85" s="24"/>
      <c r="DP85" s="24"/>
      <c r="DQ85" s="24"/>
      <c r="DR85" s="24"/>
      <c r="DS85" s="24"/>
      <c r="DT85" s="24"/>
      <c r="DU85" s="24"/>
    </row>
    <row r="86" spans="1:125" s="8" customFormat="1" ht="60" x14ac:dyDescent="0.2">
      <c r="A86" s="77">
        <v>41281</v>
      </c>
      <c r="B86" s="80" t="s">
        <v>2860</v>
      </c>
      <c r="C86" s="81" t="s">
        <v>2768</v>
      </c>
      <c r="D86" s="81" t="s">
        <v>2846</v>
      </c>
      <c r="E86" s="75" t="str">
        <f>VLOOKUP(B86&amp;C86,Divipola!$C$2:$F$1138,4,FALSE)</f>
        <v>63401</v>
      </c>
      <c r="F86" s="87"/>
      <c r="G86" s="87"/>
      <c r="H86" s="87"/>
      <c r="I86" s="87"/>
      <c r="J86" s="87"/>
      <c r="K86" s="87"/>
      <c r="L86" s="87"/>
      <c r="M86" s="87"/>
      <c r="N86" s="87"/>
      <c r="O86" s="87"/>
      <c r="P86" s="87"/>
      <c r="Q86" s="87"/>
      <c r="R86" s="87"/>
      <c r="S86" s="87"/>
      <c r="T86" s="87"/>
      <c r="U86" s="127"/>
      <c r="V86" s="89"/>
      <c r="W86" s="96">
        <v>0</v>
      </c>
      <c r="X86" s="71">
        <f>CU86</f>
        <v>0</v>
      </c>
      <c r="Y86" s="71">
        <f>CY86</f>
        <v>0</v>
      </c>
      <c r="Z86" s="71">
        <f>DA86+DC86+DE86</f>
        <v>0</v>
      </c>
      <c r="AA86" s="71">
        <f>CW86</f>
        <v>0</v>
      </c>
      <c r="AB86" s="71"/>
      <c r="AC86" s="71">
        <v>0</v>
      </c>
      <c r="AD86" s="71">
        <f>W86+X86+Y86+Z86+AA86+AB86+AC86</f>
        <v>0</v>
      </c>
      <c r="AE86" s="72">
        <v>0</v>
      </c>
      <c r="AF86" s="5"/>
      <c r="AG86" s="6"/>
      <c r="AH86" s="27" t="s">
        <v>3392</v>
      </c>
      <c r="AI86" s="44" t="s">
        <v>3393</v>
      </c>
      <c r="AJ86" s="26"/>
      <c r="AK86" s="5"/>
      <c r="AL86" s="82" t="s">
        <v>2939</v>
      </c>
      <c r="AM86" s="76"/>
      <c r="AN86" s="76"/>
      <c r="AO86" s="76"/>
      <c r="AP86" s="76"/>
      <c r="AQ86" s="76"/>
      <c r="AR86" s="76"/>
      <c r="AS86" s="76"/>
      <c r="AT86" s="76"/>
      <c r="AU86" s="76"/>
      <c r="AV86" s="76"/>
      <c r="AW86" s="76"/>
      <c r="AX86" s="76">
        <f>+AW86*600000</f>
        <v>0</v>
      </c>
      <c r="AY86" s="76"/>
      <c r="AZ86" s="76">
        <f>+AY86*70000</f>
        <v>0</v>
      </c>
      <c r="BA86" s="76"/>
      <c r="BB86" s="76"/>
      <c r="BC86" s="76"/>
      <c r="BD86" s="76">
        <f>+BC86*30000</f>
        <v>0</v>
      </c>
      <c r="BE86" s="76"/>
      <c r="BF86" s="76"/>
      <c r="BG86" s="76"/>
      <c r="BH86" s="76"/>
      <c r="BI86" s="76"/>
      <c r="BJ86" s="76"/>
      <c r="BK86" s="76"/>
      <c r="BL86" s="76">
        <f>+BK86*31500</f>
        <v>0</v>
      </c>
      <c r="BM86" s="76"/>
      <c r="BN86" s="76"/>
      <c r="BO86" s="76"/>
      <c r="BP86" s="76"/>
      <c r="BQ86" s="76"/>
      <c r="BR86" s="76"/>
      <c r="BS86" s="76"/>
      <c r="BT86" s="76"/>
      <c r="BU86" s="76"/>
      <c r="BV86" s="76"/>
      <c r="BW86" s="76"/>
      <c r="BX86" s="76"/>
      <c r="BY86" s="76"/>
      <c r="BZ86" s="76"/>
      <c r="CA86" s="76"/>
      <c r="CB86" s="76"/>
      <c r="CC86" s="76"/>
      <c r="CD86" s="76"/>
      <c r="CE86" s="76"/>
      <c r="CF86" s="76">
        <f>+CE86*28000</f>
        <v>0</v>
      </c>
      <c r="CG86" s="76"/>
      <c r="CH86" s="76">
        <f>+CG86*22500</f>
        <v>0</v>
      </c>
      <c r="CI86" s="76"/>
      <c r="CJ86" s="76">
        <f>+CI86*26000</f>
        <v>0</v>
      </c>
      <c r="CK86" s="76"/>
      <c r="CL86" s="76"/>
      <c r="CM86" s="76"/>
      <c r="CN86" s="76">
        <f>+CM86*22000</f>
        <v>0</v>
      </c>
      <c r="CO86" s="76"/>
      <c r="CP86" s="76">
        <f>+CO86*46000</f>
        <v>0</v>
      </c>
      <c r="CQ86" s="76"/>
      <c r="CR86" s="76">
        <f>+CQ86*49000</f>
        <v>0</v>
      </c>
      <c r="CS86" s="76"/>
      <c r="CT86" s="76"/>
      <c r="CU86" s="56">
        <f>AN86+AP86+AR86+AT86+AV86+AX86+AZ86+BB86+BD86+BF86+BH86+BJ86+BL86+BN86+BP86+BR86+BT86+BV86+BX86+BZ86+CB86+CD86+CF86+CH86+CJ86+CL86+CN86+CP86+CR86+CT86</f>
        <v>0</v>
      </c>
      <c r="CV86" s="76"/>
      <c r="CW86" s="76">
        <f>+CV86*1100</f>
        <v>0</v>
      </c>
      <c r="CX86" s="76"/>
      <c r="CY86" s="76">
        <f>+CX86*106250</f>
        <v>0</v>
      </c>
      <c r="CZ86" s="76"/>
      <c r="DA86" s="76">
        <f>+CZ86*34500</f>
        <v>0</v>
      </c>
      <c r="DB86" s="76"/>
      <c r="DC86" s="76">
        <f>+DB86*25000</f>
        <v>0</v>
      </c>
      <c r="DD86" s="219"/>
      <c r="DE86" s="219"/>
      <c r="DF86" s="164"/>
      <c r="DG86" s="116"/>
      <c r="DH86" s="117"/>
      <c r="DI86" s="24"/>
      <c r="DJ86" s="24"/>
      <c r="DK86" s="24"/>
      <c r="DL86" s="24"/>
      <c r="DM86" s="24"/>
      <c r="DN86" s="24"/>
      <c r="DO86" s="24"/>
      <c r="DP86" s="24"/>
      <c r="DQ86" s="24"/>
      <c r="DR86" s="24"/>
      <c r="DS86" s="24"/>
      <c r="DT86" s="24"/>
      <c r="DU86" s="24"/>
    </row>
    <row r="87" spans="1:125" s="8" customFormat="1" ht="48" x14ac:dyDescent="0.2">
      <c r="A87" s="77">
        <v>41281</v>
      </c>
      <c r="B87" s="78" t="s">
        <v>2847</v>
      </c>
      <c r="C87" s="75" t="s">
        <v>1729</v>
      </c>
      <c r="D87" s="81" t="s">
        <v>2846</v>
      </c>
      <c r="E87" s="75" t="str">
        <f>VLOOKUP(B87&amp;C87,Divipola!$C$2:$F$1138,4,FALSE)</f>
        <v>68418</v>
      </c>
      <c r="F87" s="87"/>
      <c r="G87" s="87"/>
      <c r="H87" s="87"/>
      <c r="I87" s="87"/>
      <c r="J87" s="87"/>
      <c r="K87" s="87"/>
      <c r="L87" s="87"/>
      <c r="M87" s="87"/>
      <c r="N87" s="87"/>
      <c r="O87" s="87"/>
      <c r="P87" s="87"/>
      <c r="Q87" s="87"/>
      <c r="R87" s="87"/>
      <c r="S87" s="87"/>
      <c r="T87" s="87"/>
      <c r="U87" s="127"/>
      <c r="V87" s="89"/>
      <c r="W87" s="96">
        <v>0</v>
      </c>
      <c r="X87" s="71">
        <f>CU87</f>
        <v>0</v>
      </c>
      <c r="Y87" s="71">
        <f>CY87</f>
        <v>0</v>
      </c>
      <c r="Z87" s="71">
        <f>DA87+DC87+DE87</f>
        <v>0</v>
      </c>
      <c r="AA87" s="71">
        <f>CW87</f>
        <v>0</v>
      </c>
      <c r="AB87" s="71"/>
      <c r="AC87" s="71">
        <v>0</v>
      </c>
      <c r="AD87" s="71">
        <f>W87+X87+Y87+Z87+AA87+AB87+AC87</f>
        <v>0</v>
      </c>
      <c r="AE87" s="72">
        <v>0</v>
      </c>
      <c r="AF87" s="5"/>
      <c r="AG87" s="6"/>
      <c r="AH87" s="27" t="s">
        <v>3392</v>
      </c>
      <c r="AI87" s="44" t="s">
        <v>3393</v>
      </c>
      <c r="AJ87" s="26"/>
      <c r="AK87" s="5"/>
      <c r="AL87" s="82" t="s">
        <v>2925</v>
      </c>
      <c r="AM87" s="76"/>
      <c r="AN87" s="76"/>
      <c r="AO87" s="76"/>
      <c r="AP87" s="76"/>
      <c r="AQ87" s="76"/>
      <c r="AR87" s="76"/>
      <c r="AS87" s="76"/>
      <c r="AT87" s="76"/>
      <c r="AU87" s="76"/>
      <c r="AV87" s="76"/>
      <c r="AW87" s="76"/>
      <c r="AX87" s="76">
        <f>+AW87*600000</f>
        <v>0</v>
      </c>
      <c r="AY87" s="76"/>
      <c r="AZ87" s="76">
        <f>+AY87*70000</f>
        <v>0</v>
      </c>
      <c r="BA87" s="76"/>
      <c r="BB87" s="76"/>
      <c r="BC87" s="76"/>
      <c r="BD87" s="76">
        <f>+BC87*30000</f>
        <v>0</v>
      </c>
      <c r="BE87" s="76"/>
      <c r="BF87" s="76"/>
      <c r="BG87" s="76"/>
      <c r="BH87" s="76"/>
      <c r="BI87" s="76"/>
      <c r="BJ87" s="76"/>
      <c r="BK87" s="76"/>
      <c r="BL87" s="76">
        <f>+BK87*31500</f>
        <v>0</v>
      </c>
      <c r="BM87" s="76"/>
      <c r="BN87" s="76"/>
      <c r="BO87" s="76"/>
      <c r="BP87" s="76"/>
      <c r="BQ87" s="76"/>
      <c r="BR87" s="76"/>
      <c r="BS87" s="76"/>
      <c r="BT87" s="76"/>
      <c r="BU87" s="76"/>
      <c r="BV87" s="76"/>
      <c r="BW87" s="76"/>
      <c r="BX87" s="76"/>
      <c r="BY87" s="76"/>
      <c r="BZ87" s="76"/>
      <c r="CA87" s="76"/>
      <c r="CB87" s="76"/>
      <c r="CC87" s="76"/>
      <c r="CD87" s="76"/>
      <c r="CE87" s="76"/>
      <c r="CF87" s="76">
        <f>+CE87*28000</f>
        <v>0</v>
      </c>
      <c r="CG87" s="76"/>
      <c r="CH87" s="76">
        <f>+CG87*22500</f>
        <v>0</v>
      </c>
      <c r="CI87" s="76"/>
      <c r="CJ87" s="76">
        <f>+CI87*26000</f>
        <v>0</v>
      </c>
      <c r="CK87" s="76"/>
      <c r="CL87" s="76"/>
      <c r="CM87" s="76"/>
      <c r="CN87" s="76">
        <f>+CM87*22000</f>
        <v>0</v>
      </c>
      <c r="CO87" s="76"/>
      <c r="CP87" s="76">
        <f>+CO87*46000</f>
        <v>0</v>
      </c>
      <c r="CQ87" s="76"/>
      <c r="CR87" s="76">
        <f>+CQ87*49000</f>
        <v>0</v>
      </c>
      <c r="CS87" s="76"/>
      <c r="CT87" s="76"/>
      <c r="CU87" s="56">
        <f>AN87+AP87+AR87+AT87+AV87+AX87+AZ87+BB87+BD87+BF87+BH87+BJ87+BL87+BN87+BP87+BR87+BT87+BV87+BX87+BZ87+CB87+CD87+CF87+CH87+CJ87+CL87+CN87+CP87+CR87+CT87</f>
        <v>0</v>
      </c>
      <c r="CV87" s="76"/>
      <c r="CW87" s="76">
        <f>+CV87*1100</f>
        <v>0</v>
      </c>
      <c r="CX87" s="76"/>
      <c r="CY87" s="76">
        <f>+CX87*106250</f>
        <v>0</v>
      </c>
      <c r="CZ87" s="76"/>
      <c r="DA87" s="76">
        <f>+CZ87*34500</f>
        <v>0</v>
      </c>
      <c r="DB87" s="76"/>
      <c r="DC87" s="76">
        <f>+DB87*25000</f>
        <v>0</v>
      </c>
      <c r="DD87" s="219"/>
      <c r="DE87" s="219"/>
      <c r="DF87" s="164"/>
      <c r="DG87" s="116"/>
      <c r="DH87" s="117"/>
      <c r="DI87" s="24"/>
      <c r="DJ87" s="24"/>
      <c r="DK87" s="24"/>
      <c r="DL87" s="24"/>
      <c r="DM87" s="24"/>
      <c r="DN87" s="24"/>
      <c r="DO87" s="24"/>
      <c r="DP87" s="24"/>
      <c r="DQ87" s="24"/>
      <c r="DR87" s="24"/>
      <c r="DS87" s="24"/>
      <c r="DT87" s="24"/>
      <c r="DU87" s="24"/>
    </row>
    <row r="88" spans="1:125" s="8" customFormat="1" ht="48" x14ac:dyDescent="0.2">
      <c r="A88" s="77">
        <v>41281</v>
      </c>
      <c r="B88" s="78" t="s">
        <v>2848</v>
      </c>
      <c r="C88" s="75" t="s">
        <v>2211</v>
      </c>
      <c r="D88" s="81" t="s">
        <v>2846</v>
      </c>
      <c r="E88" s="75" t="str">
        <f>VLOOKUP(B88&amp;C88,Divipola!$C$2:$F$1138,4,FALSE)</f>
        <v>73861</v>
      </c>
      <c r="F88" s="87"/>
      <c r="G88" s="87"/>
      <c r="H88" s="87"/>
      <c r="I88" s="87"/>
      <c r="J88" s="87"/>
      <c r="K88" s="87"/>
      <c r="L88" s="87"/>
      <c r="M88" s="87"/>
      <c r="N88" s="87"/>
      <c r="O88" s="87"/>
      <c r="P88" s="87"/>
      <c r="Q88" s="87"/>
      <c r="R88" s="87"/>
      <c r="S88" s="87"/>
      <c r="T88" s="87"/>
      <c r="U88" s="127">
        <v>5</v>
      </c>
      <c r="V88" s="89"/>
      <c r="W88" s="96">
        <v>0</v>
      </c>
      <c r="X88" s="71">
        <f>CU88</f>
        <v>0</v>
      </c>
      <c r="Y88" s="71">
        <f>CY88</f>
        <v>0</v>
      </c>
      <c r="Z88" s="71">
        <f>DA88+DC88+DE88</f>
        <v>0</v>
      </c>
      <c r="AA88" s="71">
        <f>CW88</f>
        <v>0</v>
      </c>
      <c r="AB88" s="71"/>
      <c r="AC88" s="71">
        <v>0</v>
      </c>
      <c r="AD88" s="71">
        <f>W88+X88+Y88+Z88+AA88+AB88+AC88</f>
        <v>0</v>
      </c>
      <c r="AE88" s="72">
        <v>0</v>
      </c>
      <c r="AF88" s="5"/>
      <c r="AG88" s="6"/>
      <c r="AH88" s="27" t="s">
        <v>3392</v>
      </c>
      <c r="AI88" s="44" t="s">
        <v>3393</v>
      </c>
      <c r="AJ88" s="26"/>
      <c r="AK88" s="5"/>
      <c r="AL88" s="82" t="s">
        <v>2934</v>
      </c>
      <c r="AM88" s="76"/>
      <c r="AN88" s="76"/>
      <c r="AO88" s="76"/>
      <c r="AP88" s="76"/>
      <c r="AQ88" s="76"/>
      <c r="AR88" s="76"/>
      <c r="AS88" s="76"/>
      <c r="AT88" s="76"/>
      <c r="AU88" s="76"/>
      <c r="AV88" s="76"/>
      <c r="AW88" s="76"/>
      <c r="AX88" s="76">
        <f>+AW88*600000</f>
        <v>0</v>
      </c>
      <c r="AY88" s="76"/>
      <c r="AZ88" s="76">
        <f>+AY88*70000</f>
        <v>0</v>
      </c>
      <c r="BA88" s="76"/>
      <c r="BB88" s="76"/>
      <c r="BC88" s="76"/>
      <c r="BD88" s="76">
        <f>+BC88*30000</f>
        <v>0</v>
      </c>
      <c r="BE88" s="76"/>
      <c r="BF88" s="76"/>
      <c r="BG88" s="76"/>
      <c r="BH88" s="76"/>
      <c r="BI88" s="76"/>
      <c r="BJ88" s="76"/>
      <c r="BK88" s="76"/>
      <c r="BL88" s="76">
        <f>+BK88*31500</f>
        <v>0</v>
      </c>
      <c r="BM88" s="76"/>
      <c r="BN88" s="76"/>
      <c r="BO88" s="76"/>
      <c r="BP88" s="76"/>
      <c r="BQ88" s="76"/>
      <c r="BR88" s="76"/>
      <c r="BS88" s="76"/>
      <c r="BT88" s="76"/>
      <c r="BU88" s="76"/>
      <c r="BV88" s="76"/>
      <c r="BW88" s="76"/>
      <c r="BX88" s="76"/>
      <c r="BY88" s="76"/>
      <c r="BZ88" s="76"/>
      <c r="CA88" s="76"/>
      <c r="CB88" s="76"/>
      <c r="CC88" s="76"/>
      <c r="CD88" s="76"/>
      <c r="CE88" s="76"/>
      <c r="CF88" s="76">
        <f>+CE88*28000</f>
        <v>0</v>
      </c>
      <c r="CG88" s="76"/>
      <c r="CH88" s="76">
        <f>+CG88*22500</f>
        <v>0</v>
      </c>
      <c r="CI88" s="76"/>
      <c r="CJ88" s="76">
        <f>+CI88*26000</f>
        <v>0</v>
      </c>
      <c r="CK88" s="76"/>
      <c r="CL88" s="76"/>
      <c r="CM88" s="76"/>
      <c r="CN88" s="76">
        <f>+CM88*22000</f>
        <v>0</v>
      </c>
      <c r="CO88" s="76"/>
      <c r="CP88" s="76">
        <f>+CO88*46000</f>
        <v>0</v>
      </c>
      <c r="CQ88" s="76"/>
      <c r="CR88" s="76">
        <f>+CQ88*49000</f>
        <v>0</v>
      </c>
      <c r="CS88" s="76"/>
      <c r="CT88" s="76"/>
      <c r="CU88" s="56">
        <f>AN88+AP88+AR88+AT88+AV88+AX88+AZ88+BB88+BD88+BF88+BH88+BJ88+BL88+BN88+BP88+BR88+BT88+BV88+BX88+BZ88+CB88+CD88+CF88+CH88+CJ88+CL88+CN88+CP88+CR88+CT88</f>
        <v>0</v>
      </c>
      <c r="CV88" s="76"/>
      <c r="CW88" s="76">
        <f>+CV88*1100</f>
        <v>0</v>
      </c>
      <c r="CX88" s="76"/>
      <c r="CY88" s="76">
        <f>+CX88*106250</f>
        <v>0</v>
      </c>
      <c r="CZ88" s="76"/>
      <c r="DA88" s="76">
        <f>+CZ88*34500</f>
        <v>0</v>
      </c>
      <c r="DB88" s="76"/>
      <c r="DC88" s="76">
        <f>+DB88*25000</f>
        <v>0</v>
      </c>
      <c r="DD88" s="219"/>
      <c r="DE88" s="219"/>
      <c r="DF88" s="164"/>
      <c r="DG88" s="116"/>
      <c r="DH88" s="117"/>
      <c r="DI88" s="24"/>
      <c r="DJ88" s="24"/>
      <c r="DK88" s="24"/>
      <c r="DL88" s="24"/>
      <c r="DM88" s="24"/>
      <c r="DN88" s="24"/>
      <c r="DO88" s="24"/>
      <c r="DP88" s="24"/>
      <c r="DQ88" s="24"/>
      <c r="DR88" s="24"/>
      <c r="DS88" s="24"/>
      <c r="DT88" s="24"/>
      <c r="DU88" s="24"/>
    </row>
    <row r="89" spans="1:125" s="8" customFormat="1" ht="24" x14ac:dyDescent="0.2">
      <c r="A89" s="77">
        <v>41282</v>
      </c>
      <c r="B89" s="78" t="s">
        <v>2894</v>
      </c>
      <c r="C89" s="75" t="s">
        <v>2474</v>
      </c>
      <c r="D89" s="81" t="s">
        <v>2846</v>
      </c>
      <c r="E89" s="75" t="str">
        <f>VLOOKUP(B89&amp;C89,Divipola!$C$2:$F$1138,4,FALSE)</f>
        <v>05353</v>
      </c>
      <c r="F89" s="87"/>
      <c r="G89" s="87"/>
      <c r="H89" s="87"/>
      <c r="I89" s="87"/>
      <c r="J89" s="87"/>
      <c r="K89" s="87"/>
      <c r="L89" s="87"/>
      <c r="M89" s="87"/>
      <c r="N89" s="87"/>
      <c r="O89" s="87"/>
      <c r="P89" s="87"/>
      <c r="Q89" s="87"/>
      <c r="R89" s="87"/>
      <c r="S89" s="87"/>
      <c r="T89" s="87"/>
      <c r="U89" s="127"/>
      <c r="V89" s="89"/>
      <c r="W89" s="96">
        <v>0</v>
      </c>
      <c r="X89" s="71">
        <f>CU89</f>
        <v>0</v>
      </c>
      <c r="Y89" s="71">
        <f>CY89</f>
        <v>0</v>
      </c>
      <c r="Z89" s="71">
        <f>DA89+DC89+DE89</f>
        <v>0</v>
      </c>
      <c r="AA89" s="71">
        <f>CW89</f>
        <v>0</v>
      </c>
      <c r="AB89" s="71"/>
      <c r="AC89" s="71">
        <v>0</v>
      </c>
      <c r="AD89" s="71">
        <f>W89+X89+Y89+Z89+AA89+AB89+AC89</f>
        <v>0</v>
      </c>
      <c r="AE89" s="72">
        <v>0</v>
      </c>
      <c r="AF89" s="5"/>
      <c r="AG89" s="6"/>
      <c r="AH89" s="27" t="s">
        <v>3392</v>
      </c>
      <c r="AI89" s="44" t="s">
        <v>3393</v>
      </c>
      <c r="AJ89" s="26"/>
      <c r="AK89" s="5"/>
      <c r="AL89" s="82" t="s">
        <v>2957</v>
      </c>
      <c r="AM89" s="76"/>
      <c r="AN89" s="76"/>
      <c r="AO89" s="76"/>
      <c r="AP89" s="76"/>
      <c r="AQ89" s="76"/>
      <c r="AR89" s="76"/>
      <c r="AS89" s="76"/>
      <c r="AT89" s="76"/>
      <c r="AU89" s="76"/>
      <c r="AV89" s="76"/>
      <c r="AW89" s="76"/>
      <c r="AX89" s="76">
        <f>+AW89*600000</f>
        <v>0</v>
      </c>
      <c r="AY89" s="76"/>
      <c r="AZ89" s="76">
        <f>+AY89*70000</f>
        <v>0</v>
      </c>
      <c r="BA89" s="76"/>
      <c r="BB89" s="76"/>
      <c r="BC89" s="76"/>
      <c r="BD89" s="76">
        <f>+BC89*30000</f>
        <v>0</v>
      </c>
      <c r="BE89" s="76"/>
      <c r="BF89" s="76"/>
      <c r="BG89" s="76"/>
      <c r="BH89" s="76"/>
      <c r="BI89" s="76"/>
      <c r="BJ89" s="76"/>
      <c r="BK89" s="76"/>
      <c r="BL89" s="76">
        <f>+BK89*31500</f>
        <v>0</v>
      </c>
      <c r="BM89" s="76"/>
      <c r="BN89" s="76"/>
      <c r="BO89" s="76"/>
      <c r="BP89" s="76"/>
      <c r="BQ89" s="76"/>
      <c r="BR89" s="76"/>
      <c r="BS89" s="76"/>
      <c r="BT89" s="76"/>
      <c r="BU89" s="76"/>
      <c r="BV89" s="76"/>
      <c r="BW89" s="76"/>
      <c r="BX89" s="76"/>
      <c r="BY89" s="76"/>
      <c r="BZ89" s="76"/>
      <c r="CA89" s="76"/>
      <c r="CB89" s="76"/>
      <c r="CC89" s="76"/>
      <c r="CD89" s="76"/>
      <c r="CE89" s="76"/>
      <c r="CF89" s="76">
        <f>+CE89*28000</f>
        <v>0</v>
      </c>
      <c r="CG89" s="76"/>
      <c r="CH89" s="76">
        <f>+CG89*22500</f>
        <v>0</v>
      </c>
      <c r="CI89" s="76"/>
      <c r="CJ89" s="76">
        <f>+CI89*26000</f>
        <v>0</v>
      </c>
      <c r="CK89" s="76"/>
      <c r="CL89" s="76"/>
      <c r="CM89" s="76"/>
      <c r="CN89" s="76">
        <f>+CM89*22000</f>
        <v>0</v>
      </c>
      <c r="CO89" s="76"/>
      <c r="CP89" s="76">
        <f>+CO89*46000</f>
        <v>0</v>
      </c>
      <c r="CQ89" s="76"/>
      <c r="CR89" s="76">
        <f>+CQ89*49000</f>
        <v>0</v>
      </c>
      <c r="CS89" s="76"/>
      <c r="CT89" s="76"/>
      <c r="CU89" s="56">
        <f>AN89+AP89+AR89+AT89+AV89+AX89+AZ89+BB89+BD89+BF89+BH89+BJ89+BL89+BN89+BP89+BR89+BT89+BV89+BX89+BZ89+CB89+CD89+CF89+CH89+CJ89+CL89+CN89+CP89+CR89+CT89</f>
        <v>0</v>
      </c>
      <c r="CV89" s="76"/>
      <c r="CW89" s="76">
        <f>+CV89*1100</f>
        <v>0</v>
      </c>
      <c r="CX89" s="76"/>
      <c r="CY89" s="76">
        <f>+CX89*106250</f>
        <v>0</v>
      </c>
      <c r="CZ89" s="76"/>
      <c r="DA89" s="76">
        <f>+CZ89*34500</f>
        <v>0</v>
      </c>
      <c r="DB89" s="76"/>
      <c r="DC89" s="76">
        <f>+DB89*25000</f>
        <v>0</v>
      </c>
      <c r="DD89" s="219"/>
      <c r="DE89" s="219"/>
      <c r="DF89" s="164"/>
      <c r="DG89" s="116"/>
      <c r="DH89" s="117"/>
      <c r="DI89" s="24"/>
      <c r="DJ89" s="24"/>
      <c r="DK89" s="24"/>
      <c r="DL89" s="24"/>
      <c r="DM89" s="24"/>
      <c r="DN89" s="24"/>
      <c r="DO89" s="24"/>
      <c r="DP89" s="24"/>
      <c r="DQ89" s="24"/>
      <c r="DR89" s="24"/>
      <c r="DS89" s="24"/>
      <c r="DT89" s="24"/>
      <c r="DU89" s="24"/>
    </row>
    <row r="90" spans="1:125" s="8" customFormat="1" ht="36" x14ac:dyDescent="0.2">
      <c r="A90" s="85">
        <v>41282</v>
      </c>
      <c r="B90" s="80" t="s">
        <v>2894</v>
      </c>
      <c r="C90" s="81" t="s">
        <v>2542</v>
      </c>
      <c r="D90" s="81" t="s">
        <v>2846</v>
      </c>
      <c r="E90" s="75" t="str">
        <f>VLOOKUP(B90&amp;C90,Divipola!$C$2:$F$1138,4,FALSE)</f>
        <v>05607</v>
      </c>
      <c r="F90" s="87"/>
      <c r="G90" s="87"/>
      <c r="H90" s="87"/>
      <c r="I90" s="87"/>
      <c r="J90" s="87"/>
      <c r="K90" s="87"/>
      <c r="L90" s="87"/>
      <c r="M90" s="87"/>
      <c r="N90" s="87"/>
      <c r="O90" s="87"/>
      <c r="P90" s="87"/>
      <c r="Q90" s="87"/>
      <c r="R90" s="87"/>
      <c r="S90" s="87"/>
      <c r="T90" s="87"/>
      <c r="U90" s="127">
        <v>2</v>
      </c>
      <c r="V90" s="89"/>
      <c r="W90" s="96">
        <v>0</v>
      </c>
      <c r="X90" s="71">
        <f>CU90</f>
        <v>0</v>
      </c>
      <c r="Y90" s="71">
        <f>CY90</f>
        <v>0</v>
      </c>
      <c r="Z90" s="71">
        <f>DA90+DC90+DE90</f>
        <v>0</v>
      </c>
      <c r="AA90" s="71">
        <f>CW90</f>
        <v>0</v>
      </c>
      <c r="AB90" s="71"/>
      <c r="AC90" s="71">
        <v>0</v>
      </c>
      <c r="AD90" s="71">
        <f>W90+X90+Y90+Z90+AA90+AB90+AC90</f>
        <v>0</v>
      </c>
      <c r="AE90" s="72">
        <v>0</v>
      </c>
      <c r="AF90" s="5"/>
      <c r="AG90" s="6"/>
      <c r="AH90" s="27" t="s">
        <v>3392</v>
      </c>
      <c r="AI90" s="44" t="s">
        <v>3393</v>
      </c>
      <c r="AJ90" s="26"/>
      <c r="AK90" s="5"/>
      <c r="AL90" s="82" t="s">
        <v>2941</v>
      </c>
      <c r="AM90" s="82"/>
      <c r="AN90" s="76"/>
      <c r="AO90" s="76"/>
      <c r="AP90" s="76"/>
      <c r="AQ90" s="76"/>
      <c r="AR90" s="76"/>
      <c r="AS90" s="76"/>
      <c r="AT90" s="76"/>
      <c r="AU90" s="76"/>
      <c r="AV90" s="76"/>
      <c r="AW90" s="76"/>
      <c r="AX90" s="76">
        <f>+AW90*600000</f>
        <v>0</v>
      </c>
      <c r="AY90" s="76"/>
      <c r="AZ90" s="76">
        <f>+AY90*70000</f>
        <v>0</v>
      </c>
      <c r="BA90" s="76"/>
      <c r="BB90" s="76"/>
      <c r="BC90" s="76"/>
      <c r="BD90" s="76">
        <f>+BC90*30000</f>
        <v>0</v>
      </c>
      <c r="BE90" s="76"/>
      <c r="BF90" s="76"/>
      <c r="BG90" s="76"/>
      <c r="BH90" s="76"/>
      <c r="BI90" s="76"/>
      <c r="BJ90" s="76"/>
      <c r="BK90" s="76"/>
      <c r="BL90" s="76">
        <f>+BK90*31500</f>
        <v>0</v>
      </c>
      <c r="BM90" s="76"/>
      <c r="BN90" s="76"/>
      <c r="BO90" s="76"/>
      <c r="BP90" s="76"/>
      <c r="BQ90" s="76"/>
      <c r="BR90" s="76"/>
      <c r="BS90" s="76"/>
      <c r="BT90" s="76"/>
      <c r="BU90" s="76"/>
      <c r="BV90" s="76"/>
      <c r="BW90" s="76"/>
      <c r="BX90" s="76"/>
      <c r="BY90" s="76"/>
      <c r="BZ90" s="76"/>
      <c r="CA90" s="76"/>
      <c r="CB90" s="76"/>
      <c r="CC90" s="76"/>
      <c r="CD90" s="76"/>
      <c r="CE90" s="76"/>
      <c r="CF90" s="76">
        <f>+CE90*28000</f>
        <v>0</v>
      </c>
      <c r="CG90" s="76"/>
      <c r="CH90" s="76">
        <f>+CG90*22500</f>
        <v>0</v>
      </c>
      <c r="CI90" s="76"/>
      <c r="CJ90" s="76">
        <f>+CI90*26000</f>
        <v>0</v>
      </c>
      <c r="CK90" s="76"/>
      <c r="CL90" s="76"/>
      <c r="CM90" s="76"/>
      <c r="CN90" s="76">
        <f>+CM90*22000</f>
        <v>0</v>
      </c>
      <c r="CO90" s="76"/>
      <c r="CP90" s="76">
        <f>+CO90*46000</f>
        <v>0</v>
      </c>
      <c r="CQ90" s="76"/>
      <c r="CR90" s="76">
        <f>+CQ90*49000</f>
        <v>0</v>
      </c>
      <c r="CS90" s="76"/>
      <c r="CT90" s="76"/>
      <c r="CU90" s="56">
        <f>AN90+AP90+AR90+AT90+AV90+AX90+AZ90+BB90+BD90+BF90+BH90+BJ90+BL90+BN90+BP90+BR90+BT90+BV90+BX90+BZ90+CB90+CD90+CF90+CH90+CJ90+CL90+CN90+CP90+CR90+CT90</f>
        <v>0</v>
      </c>
      <c r="CV90" s="76"/>
      <c r="CW90" s="76">
        <f>+CV90*1100</f>
        <v>0</v>
      </c>
      <c r="CX90" s="76"/>
      <c r="CY90" s="76">
        <f>+CX90*106250</f>
        <v>0</v>
      </c>
      <c r="CZ90" s="76"/>
      <c r="DA90" s="76">
        <f>+CZ90*34500</f>
        <v>0</v>
      </c>
      <c r="DB90" s="76"/>
      <c r="DC90" s="76">
        <f>+DB90*25000</f>
        <v>0</v>
      </c>
      <c r="DD90" s="219"/>
      <c r="DE90" s="219"/>
      <c r="DF90" s="164"/>
      <c r="DG90" s="116"/>
      <c r="DH90" s="117"/>
      <c r="DI90" s="24"/>
      <c r="DJ90" s="24"/>
      <c r="DK90" s="24"/>
      <c r="DL90" s="24"/>
      <c r="DM90" s="24"/>
      <c r="DN90" s="24"/>
      <c r="DO90" s="24"/>
      <c r="DP90" s="24"/>
      <c r="DQ90" s="24"/>
      <c r="DR90" s="24"/>
      <c r="DS90" s="24"/>
      <c r="DT90" s="24"/>
      <c r="DU90" s="24"/>
    </row>
    <row r="91" spans="1:125" s="8" customFormat="1" ht="36" x14ac:dyDescent="0.2">
      <c r="A91" s="85">
        <v>41282</v>
      </c>
      <c r="B91" s="80" t="s">
        <v>2894</v>
      </c>
      <c r="C91" s="81" t="s">
        <v>2542</v>
      </c>
      <c r="D91" s="81" t="s">
        <v>2846</v>
      </c>
      <c r="E91" s="75" t="str">
        <f>VLOOKUP(B91&amp;C91,Divipola!$C$2:$F$1138,4,FALSE)</f>
        <v>05607</v>
      </c>
      <c r="F91" s="87"/>
      <c r="G91" s="87"/>
      <c r="H91" s="87"/>
      <c r="I91" s="87"/>
      <c r="J91" s="87"/>
      <c r="K91" s="87"/>
      <c r="L91" s="87"/>
      <c r="M91" s="87"/>
      <c r="N91" s="87"/>
      <c r="O91" s="87"/>
      <c r="P91" s="87"/>
      <c r="Q91" s="87"/>
      <c r="R91" s="87"/>
      <c r="S91" s="87"/>
      <c r="T91" s="87"/>
      <c r="U91" s="127">
        <v>6</v>
      </c>
      <c r="V91" s="89"/>
      <c r="W91" s="96">
        <v>0</v>
      </c>
      <c r="X91" s="71">
        <f>CU91</f>
        <v>0</v>
      </c>
      <c r="Y91" s="71">
        <f>CY91</f>
        <v>0</v>
      </c>
      <c r="Z91" s="71">
        <f>DA91+DC91+DE91</f>
        <v>0</v>
      </c>
      <c r="AA91" s="71">
        <f>CW91</f>
        <v>0</v>
      </c>
      <c r="AB91" s="71"/>
      <c r="AC91" s="71">
        <v>0</v>
      </c>
      <c r="AD91" s="71">
        <f>W91+X91+Y91+Z91+AA91+AB91+AC91</f>
        <v>0</v>
      </c>
      <c r="AE91" s="72">
        <v>0</v>
      </c>
      <c r="AF91" s="5"/>
      <c r="AG91" s="6"/>
      <c r="AH91" s="27" t="s">
        <v>3392</v>
      </c>
      <c r="AI91" s="44" t="s">
        <v>3393</v>
      </c>
      <c r="AJ91" s="26"/>
      <c r="AK91" s="5"/>
      <c r="AL91" s="82" t="s">
        <v>2942</v>
      </c>
      <c r="AM91" s="76"/>
      <c r="AN91" s="76"/>
      <c r="AO91" s="76"/>
      <c r="AP91" s="76"/>
      <c r="AQ91" s="76"/>
      <c r="AR91" s="76"/>
      <c r="AS91" s="76"/>
      <c r="AT91" s="76"/>
      <c r="AU91" s="76"/>
      <c r="AV91" s="76"/>
      <c r="AW91" s="76"/>
      <c r="AX91" s="76">
        <f>+AW91*600000</f>
        <v>0</v>
      </c>
      <c r="AY91" s="76"/>
      <c r="AZ91" s="76">
        <f>+AY91*70000</f>
        <v>0</v>
      </c>
      <c r="BA91" s="76"/>
      <c r="BB91" s="76"/>
      <c r="BC91" s="76"/>
      <c r="BD91" s="76">
        <f>+BC91*30000</f>
        <v>0</v>
      </c>
      <c r="BE91" s="76"/>
      <c r="BF91" s="76"/>
      <c r="BG91" s="76"/>
      <c r="BH91" s="76"/>
      <c r="BI91" s="76"/>
      <c r="BJ91" s="76"/>
      <c r="BK91" s="76"/>
      <c r="BL91" s="76">
        <f>+BK91*31500</f>
        <v>0</v>
      </c>
      <c r="BM91" s="76"/>
      <c r="BN91" s="76"/>
      <c r="BO91" s="76"/>
      <c r="BP91" s="76"/>
      <c r="BQ91" s="76"/>
      <c r="BR91" s="76"/>
      <c r="BS91" s="76"/>
      <c r="BT91" s="76"/>
      <c r="BU91" s="76"/>
      <c r="BV91" s="76"/>
      <c r="BW91" s="76"/>
      <c r="BX91" s="76"/>
      <c r="BY91" s="76"/>
      <c r="BZ91" s="76"/>
      <c r="CA91" s="76"/>
      <c r="CB91" s="76"/>
      <c r="CC91" s="76"/>
      <c r="CD91" s="76"/>
      <c r="CE91" s="76"/>
      <c r="CF91" s="76">
        <f>+CE91*28000</f>
        <v>0</v>
      </c>
      <c r="CG91" s="76"/>
      <c r="CH91" s="76">
        <f>+CG91*22500</f>
        <v>0</v>
      </c>
      <c r="CI91" s="76"/>
      <c r="CJ91" s="76">
        <f>+CI91*26000</f>
        <v>0</v>
      </c>
      <c r="CK91" s="76"/>
      <c r="CL91" s="76"/>
      <c r="CM91" s="76"/>
      <c r="CN91" s="76">
        <f>+CM91*22000</f>
        <v>0</v>
      </c>
      <c r="CO91" s="76"/>
      <c r="CP91" s="76">
        <f>+CO91*46000</f>
        <v>0</v>
      </c>
      <c r="CQ91" s="76"/>
      <c r="CR91" s="76">
        <f>+CQ91*49000</f>
        <v>0</v>
      </c>
      <c r="CS91" s="76"/>
      <c r="CT91" s="76"/>
      <c r="CU91" s="56">
        <f>AN91+AP91+AR91+AT91+AV91+AX91+AZ91+BB91+BD91+BF91+BH91+BJ91+BL91+BN91+BP91+BR91+BT91+BV91+BX91+BZ91+CB91+CD91+CF91+CH91+CJ91+CL91+CN91+CP91+CR91+CT91</f>
        <v>0</v>
      </c>
      <c r="CV91" s="76"/>
      <c r="CW91" s="76">
        <f>+CV91*1100</f>
        <v>0</v>
      </c>
      <c r="CX91" s="76"/>
      <c r="CY91" s="76">
        <f>+CX91*106250</f>
        <v>0</v>
      </c>
      <c r="CZ91" s="76"/>
      <c r="DA91" s="76">
        <f>+CZ91*34500</f>
        <v>0</v>
      </c>
      <c r="DB91" s="76"/>
      <c r="DC91" s="76">
        <f>+DB91*25000</f>
        <v>0</v>
      </c>
      <c r="DD91" s="219"/>
      <c r="DE91" s="219"/>
      <c r="DF91" s="164"/>
      <c r="DG91" s="116"/>
      <c r="DH91" s="117"/>
      <c r="DI91" s="24"/>
      <c r="DJ91" s="24"/>
      <c r="DK91" s="24"/>
      <c r="DL91" s="24"/>
      <c r="DM91" s="24"/>
      <c r="DN91" s="24"/>
      <c r="DO91" s="24"/>
      <c r="DP91" s="24"/>
      <c r="DQ91" s="24"/>
      <c r="DR91" s="24"/>
      <c r="DS91" s="24"/>
      <c r="DT91" s="24"/>
      <c r="DU91" s="24"/>
    </row>
    <row r="92" spans="1:125" s="8" customFormat="1" ht="24" x14ac:dyDescent="0.2">
      <c r="A92" s="77">
        <v>41282</v>
      </c>
      <c r="B92" s="78" t="s">
        <v>2894</v>
      </c>
      <c r="C92" s="75" t="s">
        <v>2590</v>
      </c>
      <c r="D92" s="81" t="s">
        <v>2846</v>
      </c>
      <c r="E92" s="75" t="str">
        <f>VLOOKUP(B92&amp;C92,Divipola!$C$2:$F$1138,4,FALSE)</f>
        <v>05690</v>
      </c>
      <c r="F92" s="87"/>
      <c r="G92" s="87"/>
      <c r="H92" s="87"/>
      <c r="I92" s="87"/>
      <c r="J92" s="87"/>
      <c r="K92" s="87"/>
      <c r="L92" s="87"/>
      <c r="M92" s="87"/>
      <c r="N92" s="87"/>
      <c r="O92" s="87"/>
      <c r="P92" s="87"/>
      <c r="Q92" s="87"/>
      <c r="R92" s="87"/>
      <c r="S92" s="87"/>
      <c r="T92" s="87"/>
      <c r="U92" s="127"/>
      <c r="V92" s="89"/>
      <c r="W92" s="96">
        <v>0</v>
      </c>
      <c r="X92" s="71">
        <f>CU92</f>
        <v>0</v>
      </c>
      <c r="Y92" s="71">
        <f>CY92</f>
        <v>0</v>
      </c>
      <c r="Z92" s="71">
        <f>DA92+DC92+DE92</f>
        <v>0</v>
      </c>
      <c r="AA92" s="71">
        <f>CW92</f>
        <v>0</v>
      </c>
      <c r="AB92" s="71"/>
      <c r="AC92" s="71">
        <v>0</v>
      </c>
      <c r="AD92" s="71">
        <f>W92+X92+Y92+Z92+AA92+AB92+AC92</f>
        <v>0</v>
      </c>
      <c r="AE92" s="72">
        <v>0</v>
      </c>
      <c r="AF92" s="5"/>
      <c r="AG92" s="6"/>
      <c r="AH92" s="27" t="s">
        <v>3392</v>
      </c>
      <c r="AI92" s="44" t="s">
        <v>3393</v>
      </c>
      <c r="AJ92" s="26"/>
      <c r="AK92" s="5"/>
      <c r="AL92" s="82" t="s">
        <v>2956</v>
      </c>
      <c r="AM92" s="76"/>
      <c r="AN92" s="76"/>
      <c r="AO92" s="76"/>
      <c r="AP92" s="76"/>
      <c r="AQ92" s="76"/>
      <c r="AR92" s="76"/>
      <c r="AS92" s="76"/>
      <c r="AT92" s="76"/>
      <c r="AU92" s="76"/>
      <c r="AV92" s="76"/>
      <c r="AW92" s="76"/>
      <c r="AX92" s="76">
        <f>+AW92*600000</f>
        <v>0</v>
      </c>
      <c r="AY92" s="76"/>
      <c r="AZ92" s="76">
        <f>+AY92*70000</f>
        <v>0</v>
      </c>
      <c r="BA92" s="76"/>
      <c r="BB92" s="76"/>
      <c r="BC92" s="76"/>
      <c r="BD92" s="76">
        <f>+BC92*30000</f>
        <v>0</v>
      </c>
      <c r="BE92" s="76"/>
      <c r="BF92" s="76"/>
      <c r="BG92" s="76"/>
      <c r="BH92" s="76"/>
      <c r="BI92" s="76"/>
      <c r="BJ92" s="76"/>
      <c r="BK92" s="76"/>
      <c r="BL92" s="76">
        <f>+BK92*31500</f>
        <v>0</v>
      </c>
      <c r="BM92" s="76"/>
      <c r="BN92" s="76"/>
      <c r="BO92" s="76"/>
      <c r="BP92" s="76"/>
      <c r="BQ92" s="76"/>
      <c r="BR92" s="76"/>
      <c r="BS92" s="76"/>
      <c r="BT92" s="76"/>
      <c r="BU92" s="76"/>
      <c r="BV92" s="76"/>
      <c r="BW92" s="76"/>
      <c r="BX92" s="76"/>
      <c r="BY92" s="76"/>
      <c r="BZ92" s="76"/>
      <c r="CA92" s="76"/>
      <c r="CB92" s="76"/>
      <c r="CC92" s="76"/>
      <c r="CD92" s="76"/>
      <c r="CE92" s="76"/>
      <c r="CF92" s="76">
        <f>+CE92*28000</f>
        <v>0</v>
      </c>
      <c r="CG92" s="76"/>
      <c r="CH92" s="76">
        <f>+CG92*22500</f>
        <v>0</v>
      </c>
      <c r="CI92" s="76"/>
      <c r="CJ92" s="76">
        <f>+CI92*26000</f>
        <v>0</v>
      </c>
      <c r="CK92" s="76"/>
      <c r="CL92" s="76"/>
      <c r="CM92" s="76"/>
      <c r="CN92" s="76">
        <f>+CM92*22000</f>
        <v>0</v>
      </c>
      <c r="CO92" s="76"/>
      <c r="CP92" s="76">
        <f>+CO92*46000</f>
        <v>0</v>
      </c>
      <c r="CQ92" s="76"/>
      <c r="CR92" s="76">
        <f>+CQ92*49000</f>
        <v>0</v>
      </c>
      <c r="CS92" s="76"/>
      <c r="CT92" s="76"/>
      <c r="CU92" s="56">
        <f>AN92+AP92+AR92+AT92+AV92+AX92+AZ92+BB92+BD92+BF92+BH92+BJ92+BL92+BN92+BP92+BR92+BT92+BV92+BX92+BZ92+CB92+CD92+CF92+CH92+CJ92+CL92+CN92+CP92+CR92+CT92</f>
        <v>0</v>
      </c>
      <c r="CV92" s="76"/>
      <c r="CW92" s="76">
        <f>+CV92*1100</f>
        <v>0</v>
      </c>
      <c r="CX92" s="76"/>
      <c r="CY92" s="76">
        <f>+CX92*106250</f>
        <v>0</v>
      </c>
      <c r="CZ92" s="76"/>
      <c r="DA92" s="76">
        <f>+CZ92*34500</f>
        <v>0</v>
      </c>
      <c r="DB92" s="76"/>
      <c r="DC92" s="76">
        <f>+DB92*25000</f>
        <v>0</v>
      </c>
      <c r="DD92" s="219"/>
      <c r="DE92" s="219"/>
      <c r="DF92" s="164"/>
      <c r="DG92" s="116"/>
      <c r="DH92" s="117"/>
      <c r="DI92" s="24"/>
      <c r="DJ92" s="24"/>
      <c r="DK92" s="24"/>
      <c r="DL92" s="24"/>
      <c r="DM92" s="24"/>
      <c r="DN92" s="24"/>
      <c r="DO92" s="24"/>
      <c r="DP92" s="24"/>
      <c r="DQ92" s="24"/>
      <c r="DR92" s="24"/>
      <c r="DS92" s="24"/>
      <c r="DT92" s="24"/>
      <c r="DU92" s="24"/>
    </row>
    <row r="93" spans="1:125" s="8" customFormat="1" ht="24" x14ac:dyDescent="0.2">
      <c r="A93" s="77">
        <v>41282</v>
      </c>
      <c r="B93" s="78" t="s">
        <v>2700</v>
      </c>
      <c r="C93" s="75" t="s">
        <v>1619</v>
      </c>
      <c r="D93" s="81" t="s">
        <v>2846</v>
      </c>
      <c r="E93" s="75" t="str">
        <f>VLOOKUP(B93&amp;C93,Divipola!$C$2:$F$1138,4,FALSE)</f>
        <v>15215</v>
      </c>
      <c r="F93" s="87"/>
      <c r="G93" s="87"/>
      <c r="H93" s="87"/>
      <c r="I93" s="87"/>
      <c r="J93" s="87"/>
      <c r="K93" s="87"/>
      <c r="L93" s="87"/>
      <c r="M93" s="87"/>
      <c r="N93" s="87"/>
      <c r="O93" s="87"/>
      <c r="P93" s="87"/>
      <c r="Q93" s="87"/>
      <c r="R93" s="87"/>
      <c r="S93" s="87"/>
      <c r="T93" s="87"/>
      <c r="U93" s="127"/>
      <c r="V93" s="89"/>
      <c r="W93" s="96">
        <v>0</v>
      </c>
      <c r="X93" s="71">
        <f>CU93</f>
        <v>0</v>
      </c>
      <c r="Y93" s="71">
        <f>CY93</f>
        <v>0</v>
      </c>
      <c r="Z93" s="71">
        <f>DA93+DC93+DE93</f>
        <v>0</v>
      </c>
      <c r="AA93" s="71">
        <f>CW93</f>
        <v>0</v>
      </c>
      <c r="AB93" s="71"/>
      <c r="AC93" s="71">
        <v>0</v>
      </c>
      <c r="AD93" s="71">
        <f>W93+X93+Y93+Z93+AA93+AB93+AC93</f>
        <v>0</v>
      </c>
      <c r="AE93" s="72">
        <v>0</v>
      </c>
      <c r="AF93" s="5"/>
      <c r="AG93" s="6"/>
      <c r="AH93" s="27" t="s">
        <v>3392</v>
      </c>
      <c r="AI93" s="44" t="s">
        <v>3393</v>
      </c>
      <c r="AJ93" s="26"/>
      <c r="AK93" s="5"/>
      <c r="AL93" s="82" t="s">
        <v>2946</v>
      </c>
      <c r="AM93" s="76"/>
      <c r="AN93" s="76"/>
      <c r="AO93" s="76"/>
      <c r="AP93" s="76"/>
      <c r="AQ93" s="76"/>
      <c r="AR93" s="76"/>
      <c r="AS93" s="76"/>
      <c r="AT93" s="76"/>
      <c r="AU93" s="76"/>
      <c r="AV93" s="76"/>
      <c r="AW93" s="76"/>
      <c r="AX93" s="76">
        <f>+AW93*600000</f>
        <v>0</v>
      </c>
      <c r="AY93" s="76"/>
      <c r="AZ93" s="76">
        <f>+AY93*70000</f>
        <v>0</v>
      </c>
      <c r="BA93" s="76"/>
      <c r="BB93" s="76"/>
      <c r="BC93" s="76"/>
      <c r="BD93" s="76">
        <f>+BC93*30000</f>
        <v>0</v>
      </c>
      <c r="BE93" s="76"/>
      <c r="BF93" s="76"/>
      <c r="BG93" s="76"/>
      <c r="BH93" s="76"/>
      <c r="BI93" s="76"/>
      <c r="BJ93" s="76"/>
      <c r="BK93" s="76"/>
      <c r="BL93" s="76">
        <f>+BK93*31500</f>
        <v>0</v>
      </c>
      <c r="BM93" s="76"/>
      <c r="BN93" s="76"/>
      <c r="BO93" s="76"/>
      <c r="BP93" s="76"/>
      <c r="BQ93" s="76"/>
      <c r="BR93" s="76"/>
      <c r="BS93" s="76"/>
      <c r="BT93" s="76"/>
      <c r="BU93" s="76"/>
      <c r="BV93" s="76"/>
      <c r="BW93" s="76"/>
      <c r="BX93" s="76"/>
      <c r="BY93" s="76"/>
      <c r="BZ93" s="76"/>
      <c r="CA93" s="76"/>
      <c r="CB93" s="76"/>
      <c r="CC93" s="76"/>
      <c r="CD93" s="76"/>
      <c r="CE93" s="76"/>
      <c r="CF93" s="76">
        <f>+CE93*28000</f>
        <v>0</v>
      </c>
      <c r="CG93" s="76"/>
      <c r="CH93" s="76">
        <f>+CG93*22500</f>
        <v>0</v>
      </c>
      <c r="CI93" s="76"/>
      <c r="CJ93" s="76">
        <f>+CI93*26000</f>
        <v>0</v>
      </c>
      <c r="CK93" s="76"/>
      <c r="CL93" s="76"/>
      <c r="CM93" s="76"/>
      <c r="CN93" s="76">
        <f>+CM93*22000</f>
        <v>0</v>
      </c>
      <c r="CO93" s="76"/>
      <c r="CP93" s="76">
        <f>+CO93*46000</f>
        <v>0</v>
      </c>
      <c r="CQ93" s="76"/>
      <c r="CR93" s="76">
        <f>+CQ93*49000</f>
        <v>0</v>
      </c>
      <c r="CS93" s="76"/>
      <c r="CT93" s="76"/>
      <c r="CU93" s="56">
        <f>AN93+AP93+AR93+AT93+AV93+AX93+AZ93+BB93+BD93+BF93+BH93+BJ93+BL93+BN93+BP93+BR93+BT93+BV93+BX93+BZ93+CB93+CD93+CF93+CH93+CJ93+CL93+CN93+CP93+CR93+CT93</f>
        <v>0</v>
      </c>
      <c r="CV93" s="76"/>
      <c r="CW93" s="76">
        <f>+CV93*1100</f>
        <v>0</v>
      </c>
      <c r="CX93" s="76"/>
      <c r="CY93" s="76">
        <f>+CX93*106250</f>
        <v>0</v>
      </c>
      <c r="CZ93" s="76"/>
      <c r="DA93" s="76">
        <f>+CZ93*34500</f>
        <v>0</v>
      </c>
      <c r="DB93" s="76"/>
      <c r="DC93" s="76">
        <f>+DB93*25000</f>
        <v>0</v>
      </c>
      <c r="DD93" s="219"/>
      <c r="DE93" s="219"/>
      <c r="DF93" s="164"/>
      <c r="DG93" s="116"/>
      <c r="DH93" s="117"/>
      <c r="DI93" s="24"/>
      <c r="DJ93" s="24"/>
      <c r="DK93" s="24"/>
      <c r="DL93" s="24"/>
      <c r="DM93" s="24"/>
      <c r="DN93" s="24"/>
      <c r="DO93" s="24"/>
      <c r="DP93" s="24"/>
      <c r="DQ93" s="24"/>
      <c r="DR93" s="24"/>
      <c r="DS93" s="24"/>
      <c r="DT93" s="24"/>
      <c r="DU93" s="24"/>
    </row>
    <row r="94" spans="1:125" s="8" customFormat="1" ht="36" x14ac:dyDescent="0.2">
      <c r="A94" s="5">
        <v>41282</v>
      </c>
      <c r="B94" s="84" t="s">
        <v>2700</v>
      </c>
      <c r="C94" s="84" t="s">
        <v>2010</v>
      </c>
      <c r="D94" s="81" t="s">
        <v>2846</v>
      </c>
      <c r="E94" s="75" t="str">
        <f>VLOOKUP(B94&amp;C94,Divipola!$C$2:$F$1138,4,FALSE)</f>
        <v>15646</v>
      </c>
      <c r="F94" s="89"/>
      <c r="G94" s="89"/>
      <c r="H94" s="89"/>
      <c r="I94" s="89"/>
      <c r="J94" s="89"/>
      <c r="K94" s="89"/>
      <c r="L94" s="89"/>
      <c r="M94" s="89"/>
      <c r="N94" s="89"/>
      <c r="O94" s="89"/>
      <c r="P94" s="89"/>
      <c r="Q94" s="89"/>
      <c r="R94" s="89"/>
      <c r="S94" s="89"/>
      <c r="T94" s="89"/>
      <c r="U94" s="126"/>
      <c r="V94" s="89"/>
      <c r="W94" s="96">
        <v>0</v>
      </c>
      <c r="X94" s="71">
        <f>CU94</f>
        <v>0</v>
      </c>
      <c r="Y94" s="71">
        <f>CY94</f>
        <v>0</v>
      </c>
      <c r="Z94" s="71">
        <f>DA94+DC94+DE94</f>
        <v>0</v>
      </c>
      <c r="AA94" s="71">
        <f>CW94</f>
        <v>0</v>
      </c>
      <c r="AB94" s="71"/>
      <c r="AC94" s="71">
        <v>0</v>
      </c>
      <c r="AD94" s="71">
        <f>W94+X94+Y94+Z94+AA94+AB94+AC94</f>
        <v>0</v>
      </c>
      <c r="AE94" s="72">
        <v>0</v>
      </c>
      <c r="AF94" s="5"/>
      <c r="AG94" s="6"/>
      <c r="AH94" s="27" t="s">
        <v>3392</v>
      </c>
      <c r="AI94" s="44" t="s">
        <v>3393</v>
      </c>
      <c r="AJ94" s="26"/>
      <c r="AK94" s="5"/>
      <c r="AL94" s="82" t="s">
        <v>2945</v>
      </c>
      <c r="AM94" s="76"/>
      <c r="AN94" s="76"/>
      <c r="AO94" s="76"/>
      <c r="AP94" s="76"/>
      <c r="AQ94" s="76"/>
      <c r="AR94" s="76"/>
      <c r="AS94" s="76"/>
      <c r="AT94" s="76"/>
      <c r="AU94" s="76"/>
      <c r="AV94" s="76"/>
      <c r="AW94" s="76"/>
      <c r="AX94" s="76">
        <f>+AW94*600000</f>
        <v>0</v>
      </c>
      <c r="AY94" s="76"/>
      <c r="AZ94" s="76">
        <f>+AY94*70000</f>
        <v>0</v>
      </c>
      <c r="BA94" s="76"/>
      <c r="BB94" s="76"/>
      <c r="BC94" s="76"/>
      <c r="BD94" s="76">
        <f>+BC94*30000</f>
        <v>0</v>
      </c>
      <c r="BE94" s="76"/>
      <c r="BF94" s="76"/>
      <c r="BG94" s="76"/>
      <c r="BH94" s="76"/>
      <c r="BI94" s="76"/>
      <c r="BJ94" s="76"/>
      <c r="BK94" s="76"/>
      <c r="BL94" s="76">
        <f>+BK94*31500</f>
        <v>0</v>
      </c>
      <c r="BM94" s="76"/>
      <c r="BN94" s="76"/>
      <c r="BO94" s="76"/>
      <c r="BP94" s="76"/>
      <c r="BQ94" s="76"/>
      <c r="BR94" s="76"/>
      <c r="BS94" s="76"/>
      <c r="BT94" s="76"/>
      <c r="BU94" s="76"/>
      <c r="BV94" s="76"/>
      <c r="BW94" s="76"/>
      <c r="BX94" s="76"/>
      <c r="BY94" s="76"/>
      <c r="BZ94" s="76"/>
      <c r="CA94" s="76"/>
      <c r="CB94" s="76"/>
      <c r="CC94" s="76"/>
      <c r="CD94" s="76"/>
      <c r="CE94" s="76"/>
      <c r="CF94" s="76">
        <f>+CE94*28000</f>
        <v>0</v>
      </c>
      <c r="CG94" s="76"/>
      <c r="CH94" s="76">
        <f>+CG94*22500</f>
        <v>0</v>
      </c>
      <c r="CI94" s="76"/>
      <c r="CJ94" s="76">
        <f>+CI94*26000</f>
        <v>0</v>
      </c>
      <c r="CK94" s="76"/>
      <c r="CL94" s="76"/>
      <c r="CM94" s="76"/>
      <c r="CN94" s="76">
        <f>+CM94*22000</f>
        <v>0</v>
      </c>
      <c r="CO94" s="76"/>
      <c r="CP94" s="76">
        <f>+CO94*46000</f>
        <v>0</v>
      </c>
      <c r="CQ94" s="76"/>
      <c r="CR94" s="76">
        <f>+CQ94*49000</f>
        <v>0</v>
      </c>
      <c r="CS94" s="76"/>
      <c r="CT94" s="76"/>
      <c r="CU94" s="56">
        <f>AN94+AP94+AR94+AT94+AV94+AX94+AZ94+BB94+BD94+BF94+BH94+BJ94+BL94+BN94+BP94+BR94+BT94+BV94+BX94+BZ94+CB94+CD94+CF94+CH94+CJ94+CL94+CN94+CP94+CR94+CT94</f>
        <v>0</v>
      </c>
      <c r="CV94" s="76"/>
      <c r="CW94" s="76">
        <f>+CV94*1100</f>
        <v>0</v>
      </c>
      <c r="CX94" s="76"/>
      <c r="CY94" s="76">
        <f>+CX94*106250</f>
        <v>0</v>
      </c>
      <c r="CZ94" s="76"/>
      <c r="DA94" s="76">
        <f>+CZ94*34500</f>
        <v>0</v>
      </c>
      <c r="DB94" s="76"/>
      <c r="DC94" s="76">
        <f>+DB94*25000</f>
        <v>0</v>
      </c>
      <c r="DD94" s="219"/>
      <c r="DE94" s="219"/>
      <c r="DF94" s="164"/>
      <c r="DG94" s="116"/>
      <c r="DH94" s="117"/>
      <c r="DI94" s="24"/>
      <c r="DJ94" s="24"/>
      <c r="DK94" s="24"/>
      <c r="DL94" s="24"/>
      <c r="DM94" s="24"/>
      <c r="DN94" s="24"/>
      <c r="DO94" s="24"/>
      <c r="DP94" s="24"/>
      <c r="DQ94" s="24"/>
      <c r="DR94" s="24"/>
      <c r="DS94" s="24"/>
      <c r="DT94" s="24"/>
      <c r="DU94" s="24"/>
    </row>
    <row r="95" spans="1:125" s="8" customFormat="1" ht="36" x14ac:dyDescent="0.2">
      <c r="A95" s="85">
        <v>41282</v>
      </c>
      <c r="B95" s="80" t="s">
        <v>2700</v>
      </c>
      <c r="C95" s="81" t="s">
        <v>666</v>
      </c>
      <c r="D95" s="81" t="s">
        <v>2846</v>
      </c>
      <c r="E95" s="75" t="str">
        <f>VLOOKUP(B95&amp;C95,Divipola!$C$2:$F$1138,4,FALSE)</f>
        <v>15755</v>
      </c>
      <c r="F95" s="90"/>
      <c r="G95" s="90"/>
      <c r="H95" s="90"/>
      <c r="I95" s="90"/>
      <c r="J95" s="90"/>
      <c r="K95" s="90"/>
      <c r="L95" s="90"/>
      <c r="M95" s="90"/>
      <c r="N95" s="90"/>
      <c r="O95" s="90"/>
      <c r="P95" s="90"/>
      <c r="Q95" s="90"/>
      <c r="R95" s="90"/>
      <c r="S95" s="90"/>
      <c r="T95" s="90"/>
      <c r="U95" s="128"/>
      <c r="V95" s="89"/>
      <c r="W95" s="96">
        <v>0</v>
      </c>
      <c r="X95" s="71">
        <f>CU95</f>
        <v>0</v>
      </c>
      <c r="Y95" s="71">
        <f>CY95</f>
        <v>0</v>
      </c>
      <c r="Z95" s="71">
        <f>DA95+DC95+DE95</f>
        <v>0</v>
      </c>
      <c r="AA95" s="71">
        <f>CW95</f>
        <v>0</v>
      </c>
      <c r="AB95" s="71"/>
      <c r="AC95" s="71">
        <v>0</v>
      </c>
      <c r="AD95" s="71">
        <f>W95+X95+Y95+Z95+AA95+AB95+AC95</f>
        <v>0</v>
      </c>
      <c r="AE95" s="72">
        <v>0</v>
      </c>
      <c r="AF95" s="5"/>
      <c r="AG95" s="6"/>
      <c r="AH95" s="27" t="s">
        <v>3392</v>
      </c>
      <c r="AI95" s="44" t="s">
        <v>3393</v>
      </c>
      <c r="AJ95" s="26"/>
      <c r="AK95" s="5"/>
      <c r="AL95" s="82" t="s">
        <v>2947</v>
      </c>
      <c r="AM95" s="76"/>
      <c r="AN95" s="76"/>
      <c r="AO95" s="76"/>
      <c r="AP95" s="76"/>
      <c r="AQ95" s="76"/>
      <c r="AR95" s="76"/>
      <c r="AS95" s="76"/>
      <c r="AT95" s="76"/>
      <c r="AU95" s="76"/>
      <c r="AV95" s="76"/>
      <c r="AW95" s="76"/>
      <c r="AX95" s="76">
        <f>+AW95*600000</f>
        <v>0</v>
      </c>
      <c r="AY95" s="76"/>
      <c r="AZ95" s="76">
        <f>+AY95*70000</f>
        <v>0</v>
      </c>
      <c r="BA95" s="76"/>
      <c r="BB95" s="76"/>
      <c r="BC95" s="76"/>
      <c r="BD95" s="76">
        <f>+BC95*30000</f>
        <v>0</v>
      </c>
      <c r="BE95" s="76"/>
      <c r="BF95" s="76"/>
      <c r="BG95" s="76"/>
      <c r="BH95" s="76"/>
      <c r="BI95" s="76"/>
      <c r="BJ95" s="76"/>
      <c r="BK95" s="76"/>
      <c r="BL95" s="76">
        <f>+BK95*31500</f>
        <v>0</v>
      </c>
      <c r="BM95" s="76"/>
      <c r="BN95" s="76"/>
      <c r="BO95" s="76"/>
      <c r="BP95" s="76"/>
      <c r="BQ95" s="76"/>
      <c r="BR95" s="76"/>
      <c r="BS95" s="76"/>
      <c r="BT95" s="76"/>
      <c r="BU95" s="76"/>
      <c r="BV95" s="76"/>
      <c r="BW95" s="76"/>
      <c r="BX95" s="76"/>
      <c r="BY95" s="76"/>
      <c r="BZ95" s="76"/>
      <c r="CA95" s="76"/>
      <c r="CB95" s="76"/>
      <c r="CC95" s="76"/>
      <c r="CD95" s="76"/>
      <c r="CE95" s="76"/>
      <c r="CF95" s="76">
        <f>+CE95*28000</f>
        <v>0</v>
      </c>
      <c r="CG95" s="76"/>
      <c r="CH95" s="76">
        <f>+CG95*22500</f>
        <v>0</v>
      </c>
      <c r="CI95" s="76"/>
      <c r="CJ95" s="76">
        <f>+CI95*26000</f>
        <v>0</v>
      </c>
      <c r="CK95" s="76"/>
      <c r="CL95" s="76"/>
      <c r="CM95" s="76"/>
      <c r="CN95" s="76">
        <f>+CM95*22000</f>
        <v>0</v>
      </c>
      <c r="CO95" s="76"/>
      <c r="CP95" s="76">
        <f>+CO95*46000</f>
        <v>0</v>
      </c>
      <c r="CQ95" s="76"/>
      <c r="CR95" s="76">
        <f>+CQ95*49000</f>
        <v>0</v>
      </c>
      <c r="CS95" s="76"/>
      <c r="CT95" s="76"/>
      <c r="CU95" s="56">
        <f>AN95+AP95+AR95+AT95+AV95+AX95+AZ95+BB95+BD95+BF95+BH95+BJ95+BL95+BN95+BP95+BR95+BT95+BV95+BX95+BZ95+CB95+CD95+CF95+CH95+CJ95+CL95+CN95+CP95+CR95+CT95</f>
        <v>0</v>
      </c>
      <c r="CV95" s="76"/>
      <c r="CW95" s="76">
        <f>+CV95*1100</f>
        <v>0</v>
      </c>
      <c r="CX95" s="76"/>
      <c r="CY95" s="76">
        <f>+CX95*106250</f>
        <v>0</v>
      </c>
      <c r="CZ95" s="76"/>
      <c r="DA95" s="76">
        <f>+CZ95*34500</f>
        <v>0</v>
      </c>
      <c r="DB95" s="76"/>
      <c r="DC95" s="76">
        <f>+DB95*25000</f>
        <v>0</v>
      </c>
      <c r="DD95" s="219"/>
      <c r="DE95" s="219"/>
      <c r="DF95" s="164"/>
      <c r="DG95" s="116"/>
      <c r="DH95" s="117"/>
      <c r="DI95" s="24"/>
      <c r="DJ95" s="24"/>
      <c r="DK95" s="24"/>
      <c r="DL95" s="24"/>
      <c r="DM95" s="24"/>
      <c r="DN95" s="24"/>
      <c r="DO95" s="24"/>
      <c r="DP95" s="24"/>
      <c r="DQ95" s="24"/>
      <c r="DR95" s="24"/>
      <c r="DS95" s="24"/>
      <c r="DT95" s="24"/>
      <c r="DU95" s="24"/>
    </row>
    <row r="96" spans="1:125" s="8" customFormat="1" ht="24" x14ac:dyDescent="0.2">
      <c r="A96" s="77">
        <v>41282</v>
      </c>
      <c r="B96" s="78" t="s">
        <v>2196</v>
      </c>
      <c r="C96" s="75" t="s">
        <v>1367</v>
      </c>
      <c r="D96" s="81" t="s">
        <v>2846</v>
      </c>
      <c r="E96" s="75" t="str">
        <f>VLOOKUP(B96&amp;C96,Divipola!$C$2:$F$1138,4,FALSE)</f>
        <v>17653</v>
      </c>
      <c r="F96" s="87"/>
      <c r="G96" s="87"/>
      <c r="H96" s="87"/>
      <c r="I96" s="87"/>
      <c r="J96" s="87"/>
      <c r="K96" s="87"/>
      <c r="L96" s="87"/>
      <c r="M96" s="87"/>
      <c r="N96" s="87"/>
      <c r="O96" s="87"/>
      <c r="P96" s="87"/>
      <c r="Q96" s="87"/>
      <c r="R96" s="87"/>
      <c r="S96" s="87"/>
      <c r="T96" s="87"/>
      <c r="U96" s="127"/>
      <c r="V96" s="89"/>
      <c r="W96" s="96">
        <v>0</v>
      </c>
      <c r="X96" s="71">
        <f>CU96</f>
        <v>0</v>
      </c>
      <c r="Y96" s="71">
        <f>CY96</f>
        <v>0</v>
      </c>
      <c r="Z96" s="71">
        <f>DA96+DC96+DE96</f>
        <v>0</v>
      </c>
      <c r="AA96" s="71">
        <f>CW96</f>
        <v>0</v>
      </c>
      <c r="AB96" s="71"/>
      <c r="AC96" s="71">
        <v>0</v>
      </c>
      <c r="AD96" s="71">
        <f>W96+X96+Y96+Z96+AA96+AB96+AC96</f>
        <v>0</v>
      </c>
      <c r="AE96" s="72">
        <v>0</v>
      </c>
      <c r="AF96" s="5"/>
      <c r="AG96" s="6"/>
      <c r="AH96" s="27" t="s">
        <v>3392</v>
      </c>
      <c r="AI96" s="44" t="s">
        <v>3393</v>
      </c>
      <c r="AJ96" s="26"/>
      <c r="AK96" s="105"/>
      <c r="AL96" s="82" t="s">
        <v>2954</v>
      </c>
      <c r="AM96" s="106"/>
      <c r="AN96" s="76"/>
      <c r="AO96" s="76"/>
      <c r="AP96" s="76"/>
      <c r="AQ96" s="76"/>
      <c r="AR96" s="76"/>
      <c r="AS96" s="76"/>
      <c r="AT96" s="76"/>
      <c r="AU96" s="76"/>
      <c r="AV96" s="76"/>
      <c r="AW96" s="76"/>
      <c r="AX96" s="76">
        <f>+AW96*600000</f>
        <v>0</v>
      </c>
      <c r="AY96" s="76"/>
      <c r="AZ96" s="76">
        <f>+AY96*70000</f>
        <v>0</v>
      </c>
      <c r="BA96" s="76"/>
      <c r="BB96" s="76"/>
      <c r="BC96" s="76"/>
      <c r="BD96" s="76">
        <f>+BC96*30000</f>
        <v>0</v>
      </c>
      <c r="BE96" s="76"/>
      <c r="BF96" s="76"/>
      <c r="BG96" s="76"/>
      <c r="BH96" s="76"/>
      <c r="BI96" s="76"/>
      <c r="BJ96" s="76"/>
      <c r="BK96" s="76"/>
      <c r="BL96" s="76">
        <f>+BK96*31500</f>
        <v>0</v>
      </c>
      <c r="BM96" s="76"/>
      <c r="BN96" s="76"/>
      <c r="BO96" s="76"/>
      <c r="BP96" s="76"/>
      <c r="BQ96" s="76"/>
      <c r="BR96" s="76"/>
      <c r="BS96" s="76"/>
      <c r="BT96" s="76"/>
      <c r="BU96" s="76"/>
      <c r="BV96" s="76"/>
      <c r="BW96" s="76"/>
      <c r="BX96" s="76"/>
      <c r="BY96" s="76"/>
      <c r="BZ96" s="76"/>
      <c r="CA96" s="76"/>
      <c r="CB96" s="76"/>
      <c r="CC96" s="76"/>
      <c r="CD96" s="76"/>
      <c r="CE96" s="76"/>
      <c r="CF96" s="76">
        <f>+CE96*28000</f>
        <v>0</v>
      </c>
      <c r="CG96" s="76"/>
      <c r="CH96" s="76">
        <f>+CG96*22500</f>
        <v>0</v>
      </c>
      <c r="CI96" s="76"/>
      <c r="CJ96" s="76">
        <f>+CI96*26000</f>
        <v>0</v>
      </c>
      <c r="CK96" s="76"/>
      <c r="CL96" s="76"/>
      <c r="CM96" s="76"/>
      <c r="CN96" s="76">
        <f>+CM96*22000</f>
        <v>0</v>
      </c>
      <c r="CO96" s="76"/>
      <c r="CP96" s="76">
        <f>+CO96*46000</f>
        <v>0</v>
      </c>
      <c r="CQ96" s="76"/>
      <c r="CR96" s="76">
        <f>+CQ96*49000</f>
        <v>0</v>
      </c>
      <c r="CS96" s="76"/>
      <c r="CT96" s="76"/>
      <c r="CU96" s="56">
        <f>AN96+AP96+AR96+AT96+AV96+AX96+AZ96+BB96+BD96+BF96+BH96+BJ96+BL96+BN96+BP96+BR96+BT96+BV96+BX96+BZ96+CB96+CD96+CF96+CH96+CJ96+CL96+CN96+CP96+CR96+CT96</f>
        <v>0</v>
      </c>
      <c r="CV96" s="76"/>
      <c r="CW96" s="76">
        <f>+CV96*1100</f>
        <v>0</v>
      </c>
      <c r="CX96" s="76"/>
      <c r="CY96" s="76">
        <f>+CX96*106250</f>
        <v>0</v>
      </c>
      <c r="CZ96" s="76"/>
      <c r="DA96" s="76">
        <f>+CZ96*34500</f>
        <v>0</v>
      </c>
      <c r="DB96" s="76"/>
      <c r="DC96" s="76">
        <f>+DB96*25000</f>
        <v>0</v>
      </c>
      <c r="DD96" s="219"/>
      <c r="DE96" s="219"/>
      <c r="DF96" s="164"/>
      <c r="DG96" s="116"/>
      <c r="DH96" s="117"/>
      <c r="DI96" s="24"/>
      <c r="DJ96" s="24"/>
      <c r="DK96" s="24"/>
      <c r="DL96" s="24"/>
      <c r="DM96" s="24"/>
      <c r="DN96" s="24"/>
      <c r="DO96" s="24"/>
      <c r="DP96" s="24"/>
      <c r="DQ96" s="24"/>
      <c r="DR96" s="24"/>
      <c r="DS96" s="24"/>
      <c r="DT96" s="24"/>
      <c r="DU96" s="24"/>
    </row>
    <row r="97" spans="1:125" s="8" customFormat="1" ht="36" x14ac:dyDescent="0.2">
      <c r="A97" s="77">
        <v>41282</v>
      </c>
      <c r="B97" s="78" t="s">
        <v>2854</v>
      </c>
      <c r="C97" s="75" t="s">
        <v>2066</v>
      </c>
      <c r="D97" s="75" t="s">
        <v>2882</v>
      </c>
      <c r="E97" s="75" t="str">
        <f>VLOOKUP(B97&amp;C97,Divipola!$C$2:$F$1138,4,FALSE)</f>
        <v>19130</v>
      </c>
      <c r="F97" s="87"/>
      <c r="G97" s="87"/>
      <c r="H97" s="87"/>
      <c r="I97" s="87">
        <v>200</v>
      </c>
      <c r="J97" s="87">
        <v>40</v>
      </c>
      <c r="K97" s="87"/>
      <c r="L97" s="87"/>
      <c r="M97" s="87"/>
      <c r="N97" s="87"/>
      <c r="O97" s="87"/>
      <c r="P97" s="87"/>
      <c r="Q97" s="87"/>
      <c r="R97" s="87"/>
      <c r="S97" s="87"/>
      <c r="T97" s="87"/>
      <c r="U97" s="127">
        <v>40</v>
      </c>
      <c r="V97" s="89"/>
      <c r="W97" s="96">
        <v>0</v>
      </c>
      <c r="X97" s="71">
        <f>CU97</f>
        <v>0</v>
      </c>
      <c r="Y97" s="71">
        <f>CY97</f>
        <v>0</v>
      </c>
      <c r="Z97" s="71">
        <f>DA97+DC97+DE97</f>
        <v>0</v>
      </c>
      <c r="AA97" s="71">
        <f>CW97</f>
        <v>0</v>
      </c>
      <c r="AB97" s="71"/>
      <c r="AC97" s="71">
        <v>0</v>
      </c>
      <c r="AD97" s="71">
        <f>W97+X97+Y97+Z97+AA97+AB97+AC97</f>
        <v>0</v>
      </c>
      <c r="AE97" s="72">
        <v>0</v>
      </c>
      <c r="AF97" s="5"/>
      <c r="AG97" s="6"/>
      <c r="AH97" s="27" t="s">
        <v>3392</v>
      </c>
      <c r="AI97" s="44" t="s">
        <v>3393</v>
      </c>
      <c r="AJ97" s="26"/>
      <c r="AK97" s="105"/>
      <c r="AL97" s="82" t="s">
        <v>2960</v>
      </c>
      <c r="AM97" s="106"/>
      <c r="AN97" s="76"/>
      <c r="AO97" s="76"/>
      <c r="AP97" s="76"/>
      <c r="AQ97" s="76"/>
      <c r="AR97" s="76"/>
      <c r="AS97" s="76"/>
      <c r="AT97" s="76"/>
      <c r="AU97" s="76"/>
      <c r="AV97" s="76"/>
      <c r="AW97" s="76"/>
      <c r="AX97" s="76">
        <f>+AW97*600000</f>
        <v>0</v>
      </c>
      <c r="AY97" s="76"/>
      <c r="AZ97" s="76">
        <f>+AY97*70000</f>
        <v>0</v>
      </c>
      <c r="BA97" s="76"/>
      <c r="BB97" s="76"/>
      <c r="BC97" s="76"/>
      <c r="BD97" s="76">
        <f>+BC97*30000</f>
        <v>0</v>
      </c>
      <c r="BE97" s="76"/>
      <c r="BF97" s="76"/>
      <c r="BG97" s="76"/>
      <c r="BH97" s="76"/>
      <c r="BI97" s="76"/>
      <c r="BJ97" s="76"/>
      <c r="BK97" s="76"/>
      <c r="BL97" s="76">
        <f>+BK97*31500</f>
        <v>0</v>
      </c>
      <c r="BM97" s="76"/>
      <c r="BN97" s="76"/>
      <c r="BO97" s="76"/>
      <c r="BP97" s="76"/>
      <c r="BQ97" s="76"/>
      <c r="BR97" s="76"/>
      <c r="BS97" s="76"/>
      <c r="BT97" s="76"/>
      <c r="BU97" s="76"/>
      <c r="BV97" s="76"/>
      <c r="BW97" s="76"/>
      <c r="BX97" s="76"/>
      <c r="BY97" s="76"/>
      <c r="BZ97" s="76"/>
      <c r="CA97" s="76"/>
      <c r="CB97" s="76"/>
      <c r="CC97" s="76"/>
      <c r="CD97" s="76"/>
      <c r="CE97" s="76"/>
      <c r="CF97" s="76">
        <f>+CE97*28000</f>
        <v>0</v>
      </c>
      <c r="CG97" s="76"/>
      <c r="CH97" s="76">
        <f>+CG97*22500</f>
        <v>0</v>
      </c>
      <c r="CI97" s="76"/>
      <c r="CJ97" s="76">
        <f>+CI97*26000</f>
        <v>0</v>
      </c>
      <c r="CK97" s="76"/>
      <c r="CL97" s="76"/>
      <c r="CM97" s="76"/>
      <c r="CN97" s="76">
        <f>+CM97*22000</f>
        <v>0</v>
      </c>
      <c r="CO97" s="76"/>
      <c r="CP97" s="76">
        <f>+CO97*46000</f>
        <v>0</v>
      </c>
      <c r="CQ97" s="76"/>
      <c r="CR97" s="76">
        <f>+CQ97*49000</f>
        <v>0</v>
      </c>
      <c r="CS97" s="76"/>
      <c r="CT97" s="76"/>
      <c r="CU97" s="56">
        <f>AN97+AP97+AR97+AT97+AV97+AX97+AZ97+BB97+BD97+BF97+BH97+BJ97+BL97+BN97+BP97+BR97+BT97+BV97+BX97+BZ97+CB97+CD97+CF97+CH97+CJ97+CL97+CN97+CP97+CR97+CT97</f>
        <v>0</v>
      </c>
      <c r="CV97" s="76"/>
      <c r="CW97" s="76">
        <f>+CV97*1100</f>
        <v>0</v>
      </c>
      <c r="CX97" s="76"/>
      <c r="CY97" s="76">
        <f>+CX97*106250</f>
        <v>0</v>
      </c>
      <c r="CZ97" s="76"/>
      <c r="DA97" s="76">
        <f>+CZ97*34500</f>
        <v>0</v>
      </c>
      <c r="DB97" s="76"/>
      <c r="DC97" s="76">
        <f>+DB97*25000</f>
        <v>0</v>
      </c>
      <c r="DD97" s="219"/>
      <c r="DE97" s="219"/>
      <c r="DF97" s="164"/>
      <c r="DG97" s="116"/>
      <c r="DH97" s="117"/>
      <c r="DI97" s="24"/>
      <c r="DJ97" s="24"/>
      <c r="DK97" s="24"/>
      <c r="DL97" s="24"/>
      <c r="DM97" s="24"/>
      <c r="DN97" s="24"/>
      <c r="DO97" s="24"/>
      <c r="DP97" s="24"/>
      <c r="DQ97" s="24"/>
      <c r="DR97" s="24"/>
      <c r="DS97" s="24"/>
      <c r="DT97" s="24"/>
      <c r="DU97" s="24"/>
    </row>
    <row r="98" spans="1:125" s="8" customFormat="1" ht="72" x14ac:dyDescent="0.2">
      <c r="A98" s="77">
        <v>41282</v>
      </c>
      <c r="B98" s="78" t="s">
        <v>2772</v>
      </c>
      <c r="C98" s="75" t="s">
        <v>2827</v>
      </c>
      <c r="D98" s="81" t="s">
        <v>2846</v>
      </c>
      <c r="E98" s="75" t="str">
        <f>VLOOKUP(B98&amp;C98,Divipola!$C$2:$F$1138,4,FALSE)</f>
        <v>25099</v>
      </c>
      <c r="F98" s="87"/>
      <c r="G98" s="87"/>
      <c r="H98" s="87"/>
      <c r="I98" s="87"/>
      <c r="J98" s="87"/>
      <c r="K98" s="87"/>
      <c r="L98" s="87"/>
      <c r="M98" s="87"/>
      <c r="N98" s="87"/>
      <c r="O98" s="87"/>
      <c r="P98" s="87"/>
      <c r="Q98" s="87"/>
      <c r="R98" s="87"/>
      <c r="S98" s="87"/>
      <c r="T98" s="87"/>
      <c r="U98" s="127">
        <v>5</v>
      </c>
      <c r="V98" s="89"/>
      <c r="W98" s="96">
        <v>0</v>
      </c>
      <c r="X98" s="71">
        <f>CU98</f>
        <v>0</v>
      </c>
      <c r="Y98" s="71">
        <f>CY98</f>
        <v>0</v>
      </c>
      <c r="Z98" s="71">
        <f>DA98+DC98+DE98</f>
        <v>0</v>
      </c>
      <c r="AA98" s="71">
        <f>CW98</f>
        <v>0</v>
      </c>
      <c r="AB98" s="71"/>
      <c r="AC98" s="71">
        <v>0</v>
      </c>
      <c r="AD98" s="71">
        <f>W98+X98+Y98+Z98+AA98+AB98+AC98</f>
        <v>0</v>
      </c>
      <c r="AE98" s="72">
        <v>0</v>
      </c>
      <c r="AF98" s="5"/>
      <c r="AG98" s="6"/>
      <c r="AH98" s="27" t="s">
        <v>3392</v>
      </c>
      <c r="AI98" s="44" t="s">
        <v>3393</v>
      </c>
      <c r="AJ98" s="26"/>
      <c r="AK98" s="105"/>
      <c r="AL98" s="82" t="s">
        <v>2951</v>
      </c>
      <c r="AM98" s="106"/>
      <c r="AN98" s="76"/>
      <c r="AO98" s="76"/>
      <c r="AP98" s="76"/>
      <c r="AQ98" s="76"/>
      <c r="AR98" s="76"/>
      <c r="AS98" s="76"/>
      <c r="AT98" s="76"/>
      <c r="AU98" s="76"/>
      <c r="AV98" s="76"/>
      <c r="AW98" s="76"/>
      <c r="AX98" s="76">
        <f>+AW98*600000</f>
        <v>0</v>
      </c>
      <c r="AY98" s="76"/>
      <c r="AZ98" s="76">
        <f>+AY98*70000</f>
        <v>0</v>
      </c>
      <c r="BA98" s="76"/>
      <c r="BB98" s="76"/>
      <c r="BC98" s="76"/>
      <c r="BD98" s="76">
        <f>+BC98*30000</f>
        <v>0</v>
      </c>
      <c r="BE98" s="76"/>
      <c r="BF98" s="76"/>
      <c r="BG98" s="76"/>
      <c r="BH98" s="76"/>
      <c r="BI98" s="76"/>
      <c r="BJ98" s="76"/>
      <c r="BK98" s="76"/>
      <c r="BL98" s="76">
        <f>+BK98*31500</f>
        <v>0</v>
      </c>
      <c r="BM98" s="76"/>
      <c r="BN98" s="76"/>
      <c r="BO98" s="76"/>
      <c r="BP98" s="76"/>
      <c r="BQ98" s="76"/>
      <c r="BR98" s="76"/>
      <c r="BS98" s="76"/>
      <c r="BT98" s="76"/>
      <c r="BU98" s="76"/>
      <c r="BV98" s="76"/>
      <c r="BW98" s="76"/>
      <c r="BX98" s="76"/>
      <c r="BY98" s="76"/>
      <c r="BZ98" s="76"/>
      <c r="CA98" s="76"/>
      <c r="CB98" s="76"/>
      <c r="CC98" s="76"/>
      <c r="CD98" s="76"/>
      <c r="CE98" s="76"/>
      <c r="CF98" s="76">
        <f>+CE98*28000</f>
        <v>0</v>
      </c>
      <c r="CG98" s="76"/>
      <c r="CH98" s="76">
        <f>+CG98*22500</f>
        <v>0</v>
      </c>
      <c r="CI98" s="76"/>
      <c r="CJ98" s="76">
        <f>+CI98*26000</f>
        <v>0</v>
      </c>
      <c r="CK98" s="76"/>
      <c r="CL98" s="76"/>
      <c r="CM98" s="76"/>
      <c r="CN98" s="76">
        <f>+CM98*22000</f>
        <v>0</v>
      </c>
      <c r="CO98" s="76"/>
      <c r="CP98" s="76">
        <f>+CO98*46000</f>
        <v>0</v>
      </c>
      <c r="CQ98" s="76"/>
      <c r="CR98" s="76">
        <f>+CQ98*49000</f>
        <v>0</v>
      </c>
      <c r="CS98" s="76"/>
      <c r="CT98" s="76"/>
      <c r="CU98" s="56">
        <f>AN98+AP98+AR98+AT98+AV98+AX98+AZ98+BB98+BD98+BF98+BH98+BJ98+BL98+BN98+BP98+BR98+BT98+BV98+BX98+BZ98+CB98+CD98+CF98+CH98+CJ98+CL98+CN98+CP98+CR98+CT98</f>
        <v>0</v>
      </c>
      <c r="CV98" s="76"/>
      <c r="CW98" s="76">
        <f>+CV98*1100</f>
        <v>0</v>
      </c>
      <c r="CX98" s="76"/>
      <c r="CY98" s="76">
        <f>+CX98*106250</f>
        <v>0</v>
      </c>
      <c r="CZ98" s="76"/>
      <c r="DA98" s="76">
        <f>+CZ98*34500</f>
        <v>0</v>
      </c>
      <c r="DB98" s="76"/>
      <c r="DC98" s="76">
        <f>+DB98*25000</f>
        <v>0</v>
      </c>
      <c r="DD98" s="219"/>
      <c r="DE98" s="219"/>
      <c r="DF98" s="164"/>
      <c r="DG98" s="116"/>
      <c r="DH98" s="117"/>
      <c r="DI98" s="24"/>
      <c r="DJ98" s="24"/>
      <c r="DK98" s="24"/>
      <c r="DL98" s="24"/>
      <c r="DM98" s="24"/>
      <c r="DN98" s="24"/>
      <c r="DO98" s="24"/>
      <c r="DP98" s="24"/>
      <c r="DQ98" s="24"/>
      <c r="DR98" s="24"/>
      <c r="DS98" s="24"/>
      <c r="DT98" s="24"/>
      <c r="DU98" s="24"/>
    </row>
    <row r="99" spans="1:125" s="8" customFormat="1" ht="96" x14ac:dyDescent="0.2">
      <c r="A99" s="77">
        <v>41282</v>
      </c>
      <c r="B99" s="78" t="s">
        <v>2772</v>
      </c>
      <c r="C99" s="75" t="s">
        <v>1022</v>
      </c>
      <c r="D99" s="81" t="s">
        <v>2846</v>
      </c>
      <c r="E99" s="75" t="str">
        <f>VLOOKUP(B99&amp;C99,Divipola!$C$2:$F$1138,4,FALSE)</f>
        <v>25123</v>
      </c>
      <c r="F99" s="87"/>
      <c r="G99" s="87"/>
      <c r="H99" s="87"/>
      <c r="I99" s="87"/>
      <c r="J99" s="87"/>
      <c r="K99" s="87"/>
      <c r="L99" s="87"/>
      <c r="M99" s="87"/>
      <c r="N99" s="87"/>
      <c r="O99" s="87"/>
      <c r="P99" s="87"/>
      <c r="Q99" s="87"/>
      <c r="R99" s="87"/>
      <c r="S99" s="87"/>
      <c r="T99" s="87"/>
      <c r="U99" s="127">
        <v>30</v>
      </c>
      <c r="V99" s="91"/>
      <c r="W99" s="96">
        <v>0</v>
      </c>
      <c r="X99" s="71">
        <f>CU99</f>
        <v>0</v>
      </c>
      <c r="Y99" s="71">
        <f>CY99</f>
        <v>0</v>
      </c>
      <c r="Z99" s="71">
        <f>DA99+DC99+DE99</f>
        <v>0</v>
      </c>
      <c r="AA99" s="71">
        <f>CW99</f>
        <v>0</v>
      </c>
      <c r="AB99" s="71"/>
      <c r="AC99" s="71">
        <v>0</v>
      </c>
      <c r="AD99" s="71">
        <f>W99+X99+Y99+Z99+AA99+AB99+AC99</f>
        <v>0</v>
      </c>
      <c r="AE99" s="72">
        <v>0</v>
      </c>
      <c r="AF99" s="5"/>
      <c r="AG99" s="6"/>
      <c r="AH99" s="27" t="s">
        <v>3392</v>
      </c>
      <c r="AI99" s="44" t="s">
        <v>3393</v>
      </c>
      <c r="AJ99" s="26"/>
      <c r="AK99" s="105"/>
      <c r="AL99" s="82" t="s">
        <v>2952</v>
      </c>
      <c r="AM99" s="106"/>
      <c r="AN99" s="76"/>
      <c r="AO99" s="76"/>
      <c r="AP99" s="76"/>
      <c r="AQ99" s="76"/>
      <c r="AR99" s="76"/>
      <c r="AS99" s="76"/>
      <c r="AT99" s="76"/>
      <c r="AU99" s="76"/>
      <c r="AV99" s="76"/>
      <c r="AW99" s="76"/>
      <c r="AX99" s="76">
        <f>+AW99*600000</f>
        <v>0</v>
      </c>
      <c r="AY99" s="76"/>
      <c r="AZ99" s="76">
        <f>+AY99*70000</f>
        <v>0</v>
      </c>
      <c r="BA99" s="76"/>
      <c r="BB99" s="76"/>
      <c r="BC99" s="76"/>
      <c r="BD99" s="76">
        <f>+BC99*30000</f>
        <v>0</v>
      </c>
      <c r="BE99" s="76"/>
      <c r="BF99" s="76"/>
      <c r="BG99" s="76"/>
      <c r="BH99" s="76"/>
      <c r="BI99" s="76"/>
      <c r="BJ99" s="76"/>
      <c r="BK99" s="76"/>
      <c r="BL99" s="76">
        <f>+BK99*31500</f>
        <v>0</v>
      </c>
      <c r="BM99" s="76"/>
      <c r="BN99" s="76"/>
      <c r="BO99" s="76"/>
      <c r="BP99" s="76"/>
      <c r="BQ99" s="76"/>
      <c r="BR99" s="76"/>
      <c r="BS99" s="76"/>
      <c r="BT99" s="76"/>
      <c r="BU99" s="76"/>
      <c r="BV99" s="76"/>
      <c r="BW99" s="76"/>
      <c r="BX99" s="76"/>
      <c r="BY99" s="76"/>
      <c r="BZ99" s="76"/>
      <c r="CA99" s="76"/>
      <c r="CB99" s="76"/>
      <c r="CC99" s="76"/>
      <c r="CD99" s="76"/>
      <c r="CE99" s="76"/>
      <c r="CF99" s="76">
        <f>+CE99*28000</f>
        <v>0</v>
      </c>
      <c r="CG99" s="76"/>
      <c r="CH99" s="76">
        <f>+CG99*22500</f>
        <v>0</v>
      </c>
      <c r="CI99" s="76"/>
      <c r="CJ99" s="76">
        <f>+CI99*26000</f>
        <v>0</v>
      </c>
      <c r="CK99" s="76"/>
      <c r="CL99" s="76"/>
      <c r="CM99" s="76"/>
      <c r="CN99" s="76">
        <f>+CM99*22000</f>
        <v>0</v>
      </c>
      <c r="CO99" s="76"/>
      <c r="CP99" s="76">
        <f>+CO99*46000</f>
        <v>0</v>
      </c>
      <c r="CQ99" s="76"/>
      <c r="CR99" s="76">
        <f>+CQ99*49000</f>
        <v>0</v>
      </c>
      <c r="CS99" s="76"/>
      <c r="CT99" s="76"/>
      <c r="CU99" s="56">
        <f>AN99+AP99+AR99+AT99+AV99+AX99+AZ99+BB99+BD99+BF99+BH99+BJ99+BL99+BN99+BP99+BR99+BT99+BV99+BX99+BZ99+CB99+CD99+CF99+CH99+CJ99+CL99+CN99+CP99+CR99+CT99</f>
        <v>0</v>
      </c>
      <c r="CV99" s="76"/>
      <c r="CW99" s="76">
        <f>+CV99*1100</f>
        <v>0</v>
      </c>
      <c r="CX99" s="76"/>
      <c r="CY99" s="76">
        <f>+CX99*106250</f>
        <v>0</v>
      </c>
      <c r="CZ99" s="76"/>
      <c r="DA99" s="76">
        <f>+CZ99*34500</f>
        <v>0</v>
      </c>
      <c r="DB99" s="76"/>
      <c r="DC99" s="76">
        <f>+DB99*25000</f>
        <v>0</v>
      </c>
      <c r="DD99" s="219"/>
      <c r="DE99" s="219"/>
      <c r="DF99" s="164"/>
      <c r="DG99" s="116"/>
      <c r="DH99" s="117"/>
      <c r="DI99" s="24"/>
      <c r="DJ99" s="24"/>
      <c r="DK99" s="24"/>
      <c r="DL99" s="24"/>
      <c r="DM99" s="24"/>
      <c r="DN99" s="24"/>
      <c r="DO99" s="24"/>
      <c r="DP99" s="24"/>
      <c r="DQ99" s="24"/>
      <c r="DR99" s="24"/>
      <c r="DS99" s="24"/>
      <c r="DT99" s="24"/>
      <c r="DU99" s="24"/>
    </row>
    <row r="100" spans="1:125" s="8" customFormat="1" ht="72" x14ac:dyDescent="0.2">
      <c r="A100" s="77">
        <v>41282</v>
      </c>
      <c r="B100" s="78" t="s">
        <v>2772</v>
      </c>
      <c r="C100" s="75" t="s">
        <v>1052</v>
      </c>
      <c r="D100" s="81" t="s">
        <v>2846</v>
      </c>
      <c r="E100" s="75" t="str">
        <f>VLOOKUP(B100&amp;C100,Divipola!$C$2:$F$1138,4,FALSE)</f>
        <v>25279</v>
      </c>
      <c r="F100" s="87"/>
      <c r="G100" s="87"/>
      <c r="H100" s="87"/>
      <c r="I100" s="87"/>
      <c r="J100" s="87"/>
      <c r="K100" s="87"/>
      <c r="L100" s="87"/>
      <c r="M100" s="87"/>
      <c r="N100" s="87"/>
      <c r="O100" s="87"/>
      <c r="P100" s="87"/>
      <c r="Q100" s="87"/>
      <c r="R100" s="87"/>
      <c r="S100" s="87"/>
      <c r="T100" s="87"/>
      <c r="U100" s="127">
        <v>5</v>
      </c>
      <c r="V100" s="91"/>
      <c r="W100" s="96">
        <v>0</v>
      </c>
      <c r="X100" s="71">
        <f>CU100</f>
        <v>0</v>
      </c>
      <c r="Y100" s="71">
        <f>CY100</f>
        <v>0</v>
      </c>
      <c r="Z100" s="71">
        <f>DA100+DC100+DE100</f>
        <v>0</v>
      </c>
      <c r="AA100" s="71">
        <f>CW100</f>
        <v>0</v>
      </c>
      <c r="AB100" s="71"/>
      <c r="AC100" s="71">
        <v>0</v>
      </c>
      <c r="AD100" s="71">
        <f>W100+X100+Y100+Z100+AA100+AB100+AC100</f>
        <v>0</v>
      </c>
      <c r="AE100" s="72">
        <v>0</v>
      </c>
      <c r="AF100" s="5"/>
      <c r="AG100" s="6"/>
      <c r="AH100" s="27" t="s">
        <v>3392</v>
      </c>
      <c r="AI100" s="44" t="s">
        <v>3393</v>
      </c>
      <c r="AJ100" s="26"/>
      <c r="AK100" s="105"/>
      <c r="AL100" s="82" t="s">
        <v>2953</v>
      </c>
      <c r="AM100" s="106"/>
      <c r="AN100" s="76"/>
      <c r="AO100" s="76"/>
      <c r="AP100" s="76"/>
      <c r="AQ100" s="76"/>
      <c r="AR100" s="76"/>
      <c r="AS100" s="76"/>
      <c r="AT100" s="76"/>
      <c r="AU100" s="76"/>
      <c r="AV100" s="76"/>
      <c r="AW100" s="76"/>
      <c r="AX100" s="76">
        <f>+AW100*600000</f>
        <v>0</v>
      </c>
      <c r="AY100" s="76"/>
      <c r="AZ100" s="76">
        <f>+AY100*70000</f>
        <v>0</v>
      </c>
      <c r="BA100" s="76"/>
      <c r="BB100" s="76"/>
      <c r="BC100" s="76"/>
      <c r="BD100" s="76">
        <f>+BC100*30000</f>
        <v>0</v>
      </c>
      <c r="BE100" s="76"/>
      <c r="BF100" s="76"/>
      <c r="BG100" s="76"/>
      <c r="BH100" s="76"/>
      <c r="BI100" s="76"/>
      <c r="BJ100" s="76"/>
      <c r="BK100" s="76"/>
      <c r="BL100" s="76">
        <f>+BK100*31500</f>
        <v>0</v>
      </c>
      <c r="BM100" s="76"/>
      <c r="BN100" s="76"/>
      <c r="BO100" s="76"/>
      <c r="BP100" s="76"/>
      <c r="BQ100" s="76"/>
      <c r="BR100" s="76"/>
      <c r="BS100" s="76"/>
      <c r="BT100" s="76"/>
      <c r="BU100" s="76"/>
      <c r="BV100" s="76"/>
      <c r="BW100" s="76"/>
      <c r="BX100" s="76"/>
      <c r="BY100" s="76"/>
      <c r="BZ100" s="76"/>
      <c r="CA100" s="76"/>
      <c r="CB100" s="76"/>
      <c r="CC100" s="76"/>
      <c r="CD100" s="76"/>
      <c r="CE100" s="76"/>
      <c r="CF100" s="76">
        <f>+CE100*28000</f>
        <v>0</v>
      </c>
      <c r="CG100" s="76"/>
      <c r="CH100" s="76">
        <f>+CG100*22500</f>
        <v>0</v>
      </c>
      <c r="CI100" s="76"/>
      <c r="CJ100" s="76">
        <f>+CI100*26000</f>
        <v>0</v>
      </c>
      <c r="CK100" s="76"/>
      <c r="CL100" s="76"/>
      <c r="CM100" s="76"/>
      <c r="CN100" s="76">
        <f>+CM100*22000</f>
        <v>0</v>
      </c>
      <c r="CO100" s="76"/>
      <c r="CP100" s="76">
        <f>+CO100*46000</f>
        <v>0</v>
      </c>
      <c r="CQ100" s="76"/>
      <c r="CR100" s="76">
        <f>+CQ100*49000</f>
        <v>0</v>
      </c>
      <c r="CS100" s="76"/>
      <c r="CT100" s="76"/>
      <c r="CU100" s="56">
        <f>AN100+AP100+AR100+AT100+AV100+AX100+AZ100+BB100+BD100+BF100+BH100+BJ100+BL100+BN100+BP100+BR100+BT100+BV100+BX100+BZ100+CB100+CD100+CF100+CH100+CJ100+CL100+CN100+CP100+CR100+CT100</f>
        <v>0</v>
      </c>
      <c r="CV100" s="76"/>
      <c r="CW100" s="76">
        <f>+CV100*1100</f>
        <v>0</v>
      </c>
      <c r="CX100" s="76"/>
      <c r="CY100" s="76">
        <f>+CX100*106250</f>
        <v>0</v>
      </c>
      <c r="CZ100" s="76"/>
      <c r="DA100" s="76">
        <f>+CZ100*34500</f>
        <v>0</v>
      </c>
      <c r="DB100" s="76"/>
      <c r="DC100" s="76">
        <f>+DB100*25000</f>
        <v>0</v>
      </c>
      <c r="DD100" s="219"/>
      <c r="DE100" s="219"/>
      <c r="DF100" s="164"/>
      <c r="DG100" s="116"/>
      <c r="DH100" s="117"/>
      <c r="DI100" s="24"/>
      <c r="DJ100" s="24"/>
      <c r="DK100" s="24"/>
      <c r="DL100" s="24"/>
      <c r="DM100" s="24"/>
      <c r="DN100" s="24"/>
      <c r="DO100" s="24"/>
      <c r="DP100" s="24"/>
      <c r="DQ100" s="24"/>
      <c r="DR100" s="24"/>
      <c r="DS100" s="24"/>
      <c r="DT100" s="24"/>
      <c r="DU100" s="24"/>
    </row>
    <row r="101" spans="1:125" s="8" customFormat="1" ht="24" x14ac:dyDescent="0.2">
      <c r="A101" s="77">
        <v>41282</v>
      </c>
      <c r="B101" s="78" t="s">
        <v>2772</v>
      </c>
      <c r="C101" s="75" t="s">
        <v>1394</v>
      </c>
      <c r="D101" s="81" t="s">
        <v>2846</v>
      </c>
      <c r="E101" s="75" t="str">
        <f>VLOOKUP(B101&amp;C101,Divipola!$C$2:$F$1138,4,FALSE)</f>
        <v>25297</v>
      </c>
      <c r="F101" s="87"/>
      <c r="G101" s="87"/>
      <c r="H101" s="87"/>
      <c r="I101" s="87"/>
      <c r="J101" s="87"/>
      <c r="K101" s="87"/>
      <c r="L101" s="87"/>
      <c r="M101" s="87"/>
      <c r="N101" s="87"/>
      <c r="O101" s="87"/>
      <c r="P101" s="87"/>
      <c r="Q101" s="87"/>
      <c r="R101" s="87"/>
      <c r="S101" s="87"/>
      <c r="T101" s="87"/>
      <c r="U101" s="127"/>
      <c r="V101" s="89"/>
      <c r="W101" s="96">
        <v>0</v>
      </c>
      <c r="X101" s="71">
        <f>CU101</f>
        <v>0</v>
      </c>
      <c r="Y101" s="71">
        <f>CY101</f>
        <v>0</v>
      </c>
      <c r="Z101" s="71">
        <f>DA101+DC101+DE101</f>
        <v>0</v>
      </c>
      <c r="AA101" s="71">
        <f>CW101</f>
        <v>0</v>
      </c>
      <c r="AB101" s="71"/>
      <c r="AC101" s="71">
        <v>0</v>
      </c>
      <c r="AD101" s="71">
        <f>W101+X101+Y101+Z101+AA101+AB101+AC101</f>
        <v>0</v>
      </c>
      <c r="AE101" s="72">
        <v>0</v>
      </c>
      <c r="AF101" s="5"/>
      <c r="AG101" s="6"/>
      <c r="AH101" s="27" t="s">
        <v>3392</v>
      </c>
      <c r="AI101" s="44" t="s">
        <v>3393</v>
      </c>
      <c r="AJ101" s="26"/>
      <c r="AK101" s="105"/>
      <c r="AL101" s="82" t="s">
        <v>2950</v>
      </c>
      <c r="AM101" s="106"/>
      <c r="AN101" s="76"/>
      <c r="AO101" s="76"/>
      <c r="AP101" s="76"/>
      <c r="AQ101" s="76"/>
      <c r="AR101" s="76"/>
      <c r="AS101" s="76"/>
      <c r="AT101" s="76"/>
      <c r="AU101" s="76"/>
      <c r="AV101" s="76"/>
      <c r="AW101" s="76"/>
      <c r="AX101" s="76">
        <f>+AW101*600000</f>
        <v>0</v>
      </c>
      <c r="AY101" s="76"/>
      <c r="AZ101" s="76">
        <f>+AY101*70000</f>
        <v>0</v>
      </c>
      <c r="BA101" s="76"/>
      <c r="BB101" s="76"/>
      <c r="BC101" s="76"/>
      <c r="BD101" s="76">
        <f>+BC101*30000</f>
        <v>0</v>
      </c>
      <c r="BE101" s="76"/>
      <c r="BF101" s="76"/>
      <c r="BG101" s="76"/>
      <c r="BH101" s="76"/>
      <c r="BI101" s="76"/>
      <c r="BJ101" s="76"/>
      <c r="BK101" s="76"/>
      <c r="BL101" s="76">
        <f>+BK101*31500</f>
        <v>0</v>
      </c>
      <c r="BM101" s="76"/>
      <c r="BN101" s="76"/>
      <c r="BO101" s="76"/>
      <c r="BP101" s="76"/>
      <c r="BQ101" s="76"/>
      <c r="BR101" s="76"/>
      <c r="BS101" s="76"/>
      <c r="BT101" s="76"/>
      <c r="BU101" s="76"/>
      <c r="BV101" s="76"/>
      <c r="BW101" s="76"/>
      <c r="BX101" s="76"/>
      <c r="BY101" s="76"/>
      <c r="BZ101" s="76"/>
      <c r="CA101" s="76"/>
      <c r="CB101" s="76"/>
      <c r="CC101" s="76"/>
      <c r="CD101" s="76"/>
      <c r="CE101" s="76"/>
      <c r="CF101" s="76">
        <f>+CE101*28000</f>
        <v>0</v>
      </c>
      <c r="CG101" s="76"/>
      <c r="CH101" s="76">
        <f>+CG101*22500</f>
        <v>0</v>
      </c>
      <c r="CI101" s="76"/>
      <c r="CJ101" s="76">
        <f>+CI101*26000</f>
        <v>0</v>
      </c>
      <c r="CK101" s="76"/>
      <c r="CL101" s="76"/>
      <c r="CM101" s="76"/>
      <c r="CN101" s="76">
        <f>+CM101*22000</f>
        <v>0</v>
      </c>
      <c r="CO101" s="76"/>
      <c r="CP101" s="76">
        <f>+CO101*46000</f>
        <v>0</v>
      </c>
      <c r="CQ101" s="76"/>
      <c r="CR101" s="76">
        <f>+CQ101*49000</f>
        <v>0</v>
      </c>
      <c r="CS101" s="76"/>
      <c r="CT101" s="76"/>
      <c r="CU101" s="56">
        <f>AN101+AP101+AR101+AT101+AV101+AX101+AZ101+BB101+BD101+BF101+BH101+BJ101+BL101+BN101+BP101+BR101+BT101+BV101+BX101+BZ101+CB101+CD101+CF101+CH101+CJ101+CL101+CN101+CP101+CR101+CT101</f>
        <v>0</v>
      </c>
      <c r="CV101" s="76"/>
      <c r="CW101" s="76">
        <f>+CV101*1100</f>
        <v>0</v>
      </c>
      <c r="CX101" s="76"/>
      <c r="CY101" s="76">
        <f>+CX101*106250</f>
        <v>0</v>
      </c>
      <c r="CZ101" s="76"/>
      <c r="DA101" s="76">
        <f>+CZ101*34500</f>
        <v>0</v>
      </c>
      <c r="DB101" s="76"/>
      <c r="DC101" s="76">
        <f>+DB101*25000</f>
        <v>0</v>
      </c>
      <c r="DD101" s="219"/>
      <c r="DE101" s="219"/>
      <c r="DF101" s="164"/>
      <c r="DG101" s="116"/>
      <c r="DH101" s="117"/>
      <c r="DI101" s="24"/>
      <c r="DJ101" s="24"/>
      <c r="DK101" s="24"/>
      <c r="DL101" s="24"/>
      <c r="DM101" s="24"/>
      <c r="DN101" s="24"/>
      <c r="DO101" s="24"/>
      <c r="DP101" s="24"/>
      <c r="DQ101" s="24"/>
      <c r="DR101" s="24"/>
      <c r="DS101" s="24"/>
      <c r="DT101" s="24"/>
      <c r="DU101" s="24"/>
    </row>
    <row r="102" spans="1:125" s="8" customFormat="1" ht="84" x14ac:dyDescent="0.2">
      <c r="A102" s="77">
        <v>41282</v>
      </c>
      <c r="B102" s="78" t="s">
        <v>2772</v>
      </c>
      <c r="C102" s="75" t="s">
        <v>1335</v>
      </c>
      <c r="D102" s="81" t="s">
        <v>2846</v>
      </c>
      <c r="E102" s="75" t="str">
        <f>VLOOKUP(B102&amp;C102,Divipola!$C$2:$F$1138,4,FALSE)</f>
        <v>25322</v>
      </c>
      <c r="F102" s="87"/>
      <c r="G102" s="87"/>
      <c r="H102" s="87"/>
      <c r="I102" s="87"/>
      <c r="J102" s="87"/>
      <c r="K102" s="87"/>
      <c r="L102" s="87"/>
      <c r="M102" s="87"/>
      <c r="N102" s="87"/>
      <c r="O102" s="87"/>
      <c r="P102" s="87"/>
      <c r="Q102" s="87"/>
      <c r="R102" s="87"/>
      <c r="S102" s="87"/>
      <c r="T102" s="87"/>
      <c r="U102" s="127">
        <v>1</v>
      </c>
      <c r="V102" s="91"/>
      <c r="W102" s="96">
        <v>0</v>
      </c>
      <c r="X102" s="71">
        <f>CU102</f>
        <v>0</v>
      </c>
      <c r="Y102" s="71">
        <f>CY102</f>
        <v>0</v>
      </c>
      <c r="Z102" s="71">
        <f>DA102+DC102+DE102</f>
        <v>0</v>
      </c>
      <c r="AA102" s="71">
        <f>CW102</f>
        <v>0</v>
      </c>
      <c r="AB102" s="71"/>
      <c r="AC102" s="71">
        <v>0</v>
      </c>
      <c r="AD102" s="71">
        <f>W102+X102+Y102+Z102+AA102+AB102+AC102</f>
        <v>0</v>
      </c>
      <c r="AE102" s="72">
        <v>0</v>
      </c>
      <c r="AF102" s="5"/>
      <c r="AG102" s="6"/>
      <c r="AH102" s="27" t="s">
        <v>3392</v>
      </c>
      <c r="AI102" s="44" t="s">
        <v>3393</v>
      </c>
      <c r="AJ102" s="26"/>
      <c r="AK102" s="105"/>
      <c r="AL102" s="82" t="s">
        <v>3243</v>
      </c>
      <c r="AM102" s="106"/>
      <c r="AN102" s="76"/>
      <c r="AO102" s="76"/>
      <c r="AP102" s="76"/>
      <c r="AQ102" s="76"/>
      <c r="AR102" s="76"/>
      <c r="AS102" s="76"/>
      <c r="AT102" s="76"/>
      <c r="AU102" s="76"/>
      <c r="AV102" s="76"/>
      <c r="AW102" s="76"/>
      <c r="AX102" s="76">
        <f>+AW102*600000</f>
        <v>0</v>
      </c>
      <c r="AY102" s="76"/>
      <c r="AZ102" s="76">
        <f>+AY102*70000</f>
        <v>0</v>
      </c>
      <c r="BA102" s="76"/>
      <c r="BB102" s="76"/>
      <c r="BC102" s="76"/>
      <c r="BD102" s="76">
        <f>+BC102*30000</f>
        <v>0</v>
      </c>
      <c r="BE102" s="76"/>
      <c r="BF102" s="76"/>
      <c r="BG102" s="76"/>
      <c r="BH102" s="76"/>
      <c r="BI102" s="76"/>
      <c r="BJ102" s="76"/>
      <c r="BK102" s="76"/>
      <c r="BL102" s="76">
        <f>+BK102*31500</f>
        <v>0</v>
      </c>
      <c r="BM102" s="76"/>
      <c r="BN102" s="76"/>
      <c r="BO102" s="76"/>
      <c r="BP102" s="76"/>
      <c r="BQ102" s="76"/>
      <c r="BR102" s="76"/>
      <c r="BS102" s="76"/>
      <c r="BT102" s="76"/>
      <c r="BU102" s="76"/>
      <c r="BV102" s="76"/>
      <c r="BW102" s="76"/>
      <c r="BX102" s="76"/>
      <c r="BY102" s="76"/>
      <c r="BZ102" s="76"/>
      <c r="CA102" s="76"/>
      <c r="CB102" s="76"/>
      <c r="CC102" s="76"/>
      <c r="CD102" s="76"/>
      <c r="CE102" s="76"/>
      <c r="CF102" s="76">
        <f>+CE102*28000</f>
        <v>0</v>
      </c>
      <c r="CG102" s="76"/>
      <c r="CH102" s="76">
        <f>+CG102*22500</f>
        <v>0</v>
      </c>
      <c r="CI102" s="76"/>
      <c r="CJ102" s="76">
        <f>+CI102*26000</f>
        <v>0</v>
      </c>
      <c r="CK102" s="76"/>
      <c r="CL102" s="76"/>
      <c r="CM102" s="76"/>
      <c r="CN102" s="76">
        <f>+CM102*22000</f>
        <v>0</v>
      </c>
      <c r="CO102" s="76"/>
      <c r="CP102" s="76">
        <f>+CO102*46000</f>
        <v>0</v>
      </c>
      <c r="CQ102" s="76"/>
      <c r="CR102" s="76">
        <f>+CQ102*49000</f>
        <v>0</v>
      </c>
      <c r="CS102" s="76"/>
      <c r="CT102" s="76"/>
      <c r="CU102" s="56">
        <f>AN102+AP102+AR102+AT102+AV102+AX102+AZ102+BB102+BD102+BF102+BH102+BJ102+BL102+BN102+BP102+BR102+BT102+BV102+BX102+BZ102+CB102+CD102+CF102+CH102+CJ102+CL102+CN102+CP102+CR102+CT102</f>
        <v>0</v>
      </c>
      <c r="CV102" s="76"/>
      <c r="CW102" s="76">
        <f>+CV102*1100</f>
        <v>0</v>
      </c>
      <c r="CX102" s="76"/>
      <c r="CY102" s="76">
        <f>+CX102*106250</f>
        <v>0</v>
      </c>
      <c r="CZ102" s="76"/>
      <c r="DA102" s="76">
        <f>+CZ102*34500</f>
        <v>0</v>
      </c>
      <c r="DB102" s="76"/>
      <c r="DC102" s="76">
        <f>+DB102*25000</f>
        <v>0</v>
      </c>
      <c r="DD102" s="219"/>
      <c r="DE102" s="219"/>
      <c r="DF102" s="164"/>
      <c r="DG102" s="116"/>
      <c r="DH102" s="117"/>
      <c r="DI102" s="24"/>
      <c r="DJ102" s="24"/>
      <c r="DK102" s="24"/>
      <c r="DL102" s="24"/>
      <c r="DM102" s="24"/>
      <c r="DN102" s="24"/>
      <c r="DO102" s="24"/>
      <c r="DP102" s="24"/>
      <c r="DQ102" s="24"/>
      <c r="DR102" s="24"/>
      <c r="DS102" s="24"/>
      <c r="DT102" s="24"/>
      <c r="DU102" s="24"/>
    </row>
    <row r="103" spans="1:125" s="8" customFormat="1" ht="24" x14ac:dyDescent="0.2">
      <c r="A103" s="77">
        <v>41282</v>
      </c>
      <c r="B103" s="78" t="s">
        <v>2772</v>
      </c>
      <c r="C103" s="75" t="s">
        <v>2158</v>
      </c>
      <c r="D103" s="81" t="s">
        <v>2846</v>
      </c>
      <c r="E103" s="75" t="str">
        <f>VLOOKUP(B103&amp;C103,Divipola!$C$2:$F$1138,4,FALSE)</f>
        <v>25899</v>
      </c>
      <c r="F103" s="87"/>
      <c r="G103" s="87"/>
      <c r="H103" s="87"/>
      <c r="I103" s="87"/>
      <c r="J103" s="87"/>
      <c r="K103" s="87"/>
      <c r="L103" s="87"/>
      <c r="M103" s="87"/>
      <c r="N103" s="87"/>
      <c r="O103" s="87"/>
      <c r="P103" s="87"/>
      <c r="Q103" s="87"/>
      <c r="R103" s="87"/>
      <c r="S103" s="87"/>
      <c r="T103" s="87"/>
      <c r="U103" s="127"/>
      <c r="V103" s="89"/>
      <c r="W103" s="96">
        <v>0</v>
      </c>
      <c r="X103" s="71">
        <f>CU103</f>
        <v>0</v>
      </c>
      <c r="Y103" s="71">
        <f>CY103</f>
        <v>0</v>
      </c>
      <c r="Z103" s="71">
        <f>DA103+DC103+DE103</f>
        <v>0</v>
      </c>
      <c r="AA103" s="71">
        <f>CW103</f>
        <v>0</v>
      </c>
      <c r="AB103" s="71"/>
      <c r="AC103" s="71">
        <v>0</v>
      </c>
      <c r="AD103" s="71">
        <f>W103+X103+Y103+Z103+AA103+AB103+AC103</f>
        <v>0</v>
      </c>
      <c r="AE103" s="72">
        <v>0</v>
      </c>
      <c r="AF103" s="5"/>
      <c r="AG103" s="6"/>
      <c r="AH103" s="27" t="s">
        <v>3392</v>
      </c>
      <c r="AI103" s="44" t="s">
        <v>3393</v>
      </c>
      <c r="AJ103" s="26"/>
      <c r="AK103" s="105"/>
      <c r="AL103" s="82" t="s">
        <v>2949</v>
      </c>
      <c r="AM103" s="106"/>
      <c r="AN103" s="76"/>
      <c r="AO103" s="76"/>
      <c r="AP103" s="76"/>
      <c r="AQ103" s="76"/>
      <c r="AR103" s="76"/>
      <c r="AS103" s="76"/>
      <c r="AT103" s="76"/>
      <c r="AU103" s="76"/>
      <c r="AV103" s="76"/>
      <c r="AW103" s="76"/>
      <c r="AX103" s="76">
        <f>+AW103*600000</f>
        <v>0</v>
      </c>
      <c r="AY103" s="76"/>
      <c r="AZ103" s="76">
        <f>+AY103*70000</f>
        <v>0</v>
      </c>
      <c r="BA103" s="76"/>
      <c r="BB103" s="76"/>
      <c r="BC103" s="76"/>
      <c r="BD103" s="76">
        <f>+BC103*30000</f>
        <v>0</v>
      </c>
      <c r="BE103" s="76"/>
      <c r="BF103" s="76"/>
      <c r="BG103" s="76"/>
      <c r="BH103" s="76"/>
      <c r="BI103" s="76"/>
      <c r="BJ103" s="76"/>
      <c r="BK103" s="76"/>
      <c r="BL103" s="76">
        <f>+BK103*31500</f>
        <v>0</v>
      </c>
      <c r="BM103" s="76"/>
      <c r="BN103" s="76"/>
      <c r="BO103" s="76"/>
      <c r="BP103" s="76"/>
      <c r="BQ103" s="76"/>
      <c r="BR103" s="76"/>
      <c r="BS103" s="76"/>
      <c r="BT103" s="76"/>
      <c r="BU103" s="76"/>
      <c r="BV103" s="76"/>
      <c r="BW103" s="76"/>
      <c r="BX103" s="76"/>
      <c r="BY103" s="76"/>
      <c r="BZ103" s="76"/>
      <c r="CA103" s="76"/>
      <c r="CB103" s="76"/>
      <c r="CC103" s="76"/>
      <c r="CD103" s="76"/>
      <c r="CE103" s="76"/>
      <c r="CF103" s="76">
        <f>+CE103*28000</f>
        <v>0</v>
      </c>
      <c r="CG103" s="76"/>
      <c r="CH103" s="76">
        <f>+CG103*22500</f>
        <v>0</v>
      </c>
      <c r="CI103" s="76"/>
      <c r="CJ103" s="76">
        <f>+CI103*26000</f>
        <v>0</v>
      </c>
      <c r="CK103" s="76"/>
      <c r="CL103" s="76"/>
      <c r="CM103" s="76"/>
      <c r="CN103" s="76">
        <f>+CM103*22000</f>
        <v>0</v>
      </c>
      <c r="CO103" s="76"/>
      <c r="CP103" s="76">
        <f>+CO103*46000</f>
        <v>0</v>
      </c>
      <c r="CQ103" s="76"/>
      <c r="CR103" s="76">
        <f>+CQ103*49000</f>
        <v>0</v>
      </c>
      <c r="CS103" s="76"/>
      <c r="CT103" s="76"/>
      <c r="CU103" s="56">
        <f>AN103+AP103+AR103+AT103+AV103+AX103+AZ103+BB103+BD103+BF103+BH103+BJ103+BL103+BN103+BP103+BR103+BT103+BV103+BX103+BZ103+CB103+CD103+CF103+CH103+CJ103+CL103+CN103+CP103+CR103+CT103</f>
        <v>0</v>
      </c>
      <c r="CV103" s="76"/>
      <c r="CW103" s="76">
        <f>+CV103*1100</f>
        <v>0</v>
      </c>
      <c r="CX103" s="76"/>
      <c r="CY103" s="76">
        <f>+CX103*106250</f>
        <v>0</v>
      </c>
      <c r="CZ103" s="76"/>
      <c r="DA103" s="76">
        <f>+CZ103*34500</f>
        <v>0</v>
      </c>
      <c r="DB103" s="76"/>
      <c r="DC103" s="76">
        <f>+DB103*25000</f>
        <v>0</v>
      </c>
      <c r="DD103" s="219"/>
      <c r="DE103" s="219"/>
      <c r="DF103" s="164"/>
      <c r="DG103" s="116"/>
      <c r="DH103" s="117"/>
      <c r="DI103" s="24"/>
      <c r="DJ103" s="24"/>
      <c r="DK103" s="24"/>
      <c r="DL103" s="24"/>
      <c r="DM103" s="24"/>
      <c r="DN103" s="24"/>
      <c r="DO103" s="24"/>
      <c r="DP103" s="24"/>
      <c r="DQ103" s="24"/>
      <c r="DR103" s="24"/>
      <c r="DS103" s="24"/>
      <c r="DT103" s="24"/>
      <c r="DU103" s="24"/>
    </row>
    <row r="104" spans="1:125" s="8" customFormat="1" ht="72" x14ac:dyDescent="0.2">
      <c r="A104" s="77">
        <v>41282</v>
      </c>
      <c r="B104" s="78" t="s">
        <v>2860</v>
      </c>
      <c r="C104" s="75" t="s">
        <v>2776</v>
      </c>
      <c r="D104" s="75" t="s">
        <v>2882</v>
      </c>
      <c r="E104" s="75" t="str">
        <f>VLOOKUP(B104&amp;C104,Divipola!$C$2:$F$1138,4,FALSE)</f>
        <v>63001</v>
      </c>
      <c r="F104" s="87"/>
      <c r="G104" s="87"/>
      <c r="H104" s="87"/>
      <c r="I104" s="87">
        <v>60</v>
      </c>
      <c r="J104" s="87">
        <v>12</v>
      </c>
      <c r="K104" s="87"/>
      <c r="L104" s="87">
        <v>12</v>
      </c>
      <c r="M104" s="87"/>
      <c r="N104" s="87"/>
      <c r="O104" s="87"/>
      <c r="P104" s="87"/>
      <c r="Q104" s="87"/>
      <c r="R104" s="87"/>
      <c r="S104" s="87"/>
      <c r="T104" s="87"/>
      <c r="U104" s="127"/>
      <c r="V104" s="89"/>
      <c r="W104" s="96">
        <v>0</v>
      </c>
      <c r="X104" s="71">
        <f>CU104</f>
        <v>0</v>
      </c>
      <c r="Y104" s="71">
        <f>CY104</f>
        <v>0</v>
      </c>
      <c r="Z104" s="71">
        <f>DA104+DC104+DE104</f>
        <v>0</v>
      </c>
      <c r="AA104" s="71">
        <f>CW104</f>
        <v>0</v>
      </c>
      <c r="AB104" s="71"/>
      <c r="AC104" s="71">
        <v>0</v>
      </c>
      <c r="AD104" s="71">
        <f>W104+X104+Y104+Z104+AA104+AB104+AC104</f>
        <v>0</v>
      </c>
      <c r="AE104" s="72">
        <v>0</v>
      </c>
      <c r="AF104" s="5"/>
      <c r="AG104" s="6"/>
      <c r="AH104" s="27" t="s">
        <v>3390</v>
      </c>
      <c r="AI104" s="44" t="s">
        <v>3391</v>
      </c>
      <c r="AJ104" s="26"/>
      <c r="AK104" s="5" t="s">
        <v>3480</v>
      </c>
      <c r="AL104" s="82" t="s">
        <v>2963</v>
      </c>
      <c r="AM104" s="76"/>
      <c r="AN104" s="76"/>
      <c r="AO104" s="76"/>
      <c r="AP104" s="76"/>
      <c r="AQ104" s="76"/>
      <c r="AR104" s="76"/>
      <c r="AS104" s="76"/>
      <c r="AT104" s="76"/>
      <c r="AU104" s="76"/>
      <c r="AV104" s="76"/>
      <c r="AW104" s="76"/>
      <c r="AX104" s="76">
        <f>+AW104*600000</f>
        <v>0</v>
      </c>
      <c r="AY104" s="76"/>
      <c r="AZ104" s="76">
        <f>+AY104*70000</f>
        <v>0</v>
      </c>
      <c r="BA104" s="76"/>
      <c r="BB104" s="76"/>
      <c r="BC104" s="76"/>
      <c r="BD104" s="76">
        <f>+BC104*30000</f>
        <v>0</v>
      </c>
      <c r="BE104" s="76"/>
      <c r="BF104" s="76"/>
      <c r="BG104" s="76"/>
      <c r="BH104" s="76"/>
      <c r="BI104" s="76"/>
      <c r="BJ104" s="76"/>
      <c r="BK104" s="76"/>
      <c r="BL104" s="76">
        <f>+BK104*31500</f>
        <v>0</v>
      </c>
      <c r="BM104" s="76"/>
      <c r="BN104" s="76"/>
      <c r="BO104" s="76"/>
      <c r="BP104" s="76"/>
      <c r="BQ104" s="76"/>
      <c r="BR104" s="76"/>
      <c r="BS104" s="76"/>
      <c r="BT104" s="76"/>
      <c r="BU104" s="76"/>
      <c r="BV104" s="76"/>
      <c r="BW104" s="76"/>
      <c r="BX104" s="76"/>
      <c r="BY104" s="76"/>
      <c r="BZ104" s="76"/>
      <c r="CA104" s="76"/>
      <c r="CB104" s="76"/>
      <c r="CC104" s="76"/>
      <c r="CD104" s="76"/>
      <c r="CE104" s="76"/>
      <c r="CF104" s="76">
        <f>+CE104*28000</f>
        <v>0</v>
      </c>
      <c r="CG104" s="76"/>
      <c r="CH104" s="76">
        <f>+CG104*22500</f>
        <v>0</v>
      </c>
      <c r="CI104" s="76"/>
      <c r="CJ104" s="76">
        <f>+CI104*26000</f>
        <v>0</v>
      </c>
      <c r="CK104" s="76"/>
      <c r="CL104" s="76"/>
      <c r="CM104" s="76"/>
      <c r="CN104" s="76">
        <f>+CM104*22000</f>
        <v>0</v>
      </c>
      <c r="CO104" s="76"/>
      <c r="CP104" s="76">
        <f>+CO104*46000</f>
        <v>0</v>
      </c>
      <c r="CQ104" s="76"/>
      <c r="CR104" s="76">
        <f>+CQ104*49000</f>
        <v>0</v>
      </c>
      <c r="CS104" s="76"/>
      <c r="CT104" s="76"/>
      <c r="CU104" s="56">
        <f>AN104+AP104+AR104+AT104+AV104+AX104+AZ104+BB104+BD104+BF104+BH104+BJ104+BL104+BN104+BP104+BR104+BT104+BV104+BX104+BZ104+CB104+CD104+CF104+CH104+CJ104+CL104+CN104+CP104+CR104+CT104</f>
        <v>0</v>
      </c>
      <c r="CV104" s="76"/>
      <c r="CW104" s="76">
        <f>+CV104*1100</f>
        <v>0</v>
      </c>
      <c r="CX104" s="76"/>
      <c r="CY104" s="76">
        <f>+CX104*106250</f>
        <v>0</v>
      </c>
      <c r="CZ104" s="76"/>
      <c r="DA104" s="76">
        <f>+CZ104*34500</f>
        <v>0</v>
      </c>
      <c r="DB104" s="76"/>
      <c r="DC104" s="76">
        <f>+DB104*25000</f>
        <v>0</v>
      </c>
      <c r="DD104" s="219"/>
      <c r="DE104" s="219"/>
      <c r="DF104" s="164"/>
      <c r="DG104" s="116"/>
      <c r="DH104" s="117"/>
      <c r="DI104" s="24"/>
      <c r="DJ104" s="24"/>
      <c r="DK104" s="24"/>
      <c r="DL104" s="24"/>
      <c r="DM104" s="24"/>
      <c r="DN104" s="24"/>
      <c r="DO104" s="24"/>
      <c r="DP104" s="24"/>
      <c r="DQ104" s="24"/>
      <c r="DR104" s="24"/>
      <c r="DS104" s="24"/>
      <c r="DT104" s="24"/>
      <c r="DU104" s="24"/>
    </row>
    <row r="105" spans="1:125" s="8" customFormat="1" ht="72" x14ac:dyDescent="0.2">
      <c r="A105" s="85">
        <v>41282</v>
      </c>
      <c r="B105" s="80" t="s">
        <v>2860</v>
      </c>
      <c r="C105" s="81" t="s">
        <v>2198</v>
      </c>
      <c r="D105" s="81" t="s">
        <v>2142</v>
      </c>
      <c r="E105" s="75" t="str">
        <f>VLOOKUP(B105&amp;C105,Divipola!$C$2:$F$1138,4,FALSE)</f>
        <v>63130</v>
      </c>
      <c r="F105" s="87"/>
      <c r="G105" s="87">
        <v>3</v>
      </c>
      <c r="H105" s="87"/>
      <c r="I105" s="87"/>
      <c r="J105" s="87"/>
      <c r="K105" s="87"/>
      <c r="L105" s="87"/>
      <c r="M105" s="87"/>
      <c r="N105" s="87"/>
      <c r="O105" s="87"/>
      <c r="P105" s="87"/>
      <c r="Q105" s="87"/>
      <c r="R105" s="87"/>
      <c r="S105" s="87"/>
      <c r="T105" s="87"/>
      <c r="U105" s="127"/>
      <c r="V105" s="89"/>
      <c r="W105" s="96">
        <v>0</v>
      </c>
      <c r="X105" s="71">
        <f>CU105</f>
        <v>0</v>
      </c>
      <c r="Y105" s="71">
        <f>CY105</f>
        <v>0</v>
      </c>
      <c r="Z105" s="71">
        <f>DA105+DC105+DE105</f>
        <v>0</v>
      </c>
      <c r="AA105" s="71">
        <f>CW105</f>
        <v>0</v>
      </c>
      <c r="AB105" s="71"/>
      <c r="AC105" s="71">
        <v>0</v>
      </c>
      <c r="AD105" s="71">
        <f>W105+X105+Y105+Z105+AA105+AB105+AC105</f>
        <v>0</v>
      </c>
      <c r="AE105" s="72">
        <v>0</v>
      </c>
      <c r="AF105" s="5"/>
      <c r="AG105" s="6"/>
      <c r="AH105" s="27" t="s">
        <v>3392</v>
      </c>
      <c r="AI105" s="44" t="s">
        <v>3393</v>
      </c>
      <c r="AJ105" s="26"/>
      <c r="AK105" s="5"/>
      <c r="AL105" s="82" t="s">
        <v>3396</v>
      </c>
      <c r="AM105" s="76"/>
      <c r="AN105" s="76"/>
      <c r="AO105" s="76"/>
      <c r="AP105" s="76"/>
      <c r="AQ105" s="76"/>
      <c r="AR105" s="76"/>
      <c r="AS105" s="76"/>
      <c r="AT105" s="76"/>
      <c r="AU105" s="76"/>
      <c r="AV105" s="76"/>
      <c r="AW105" s="76"/>
      <c r="AX105" s="76">
        <f>+AW105*600000</f>
        <v>0</v>
      </c>
      <c r="AY105" s="76"/>
      <c r="AZ105" s="76">
        <f>+AY105*70000</f>
        <v>0</v>
      </c>
      <c r="BA105" s="76"/>
      <c r="BB105" s="76"/>
      <c r="BC105" s="76"/>
      <c r="BD105" s="76">
        <f>+BC105*30000</f>
        <v>0</v>
      </c>
      <c r="BE105" s="76"/>
      <c r="BF105" s="76"/>
      <c r="BG105" s="76"/>
      <c r="BH105" s="76"/>
      <c r="BI105" s="76"/>
      <c r="BJ105" s="76"/>
      <c r="BK105" s="76"/>
      <c r="BL105" s="76">
        <f>+BK105*31500</f>
        <v>0</v>
      </c>
      <c r="BM105" s="76"/>
      <c r="BN105" s="76"/>
      <c r="BO105" s="76"/>
      <c r="BP105" s="76"/>
      <c r="BQ105" s="76"/>
      <c r="BR105" s="76"/>
      <c r="BS105" s="76"/>
      <c r="BT105" s="76"/>
      <c r="BU105" s="76"/>
      <c r="BV105" s="76"/>
      <c r="BW105" s="76"/>
      <c r="BX105" s="76"/>
      <c r="BY105" s="76"/>
      <c r="BZ105" s="76"/>
      <c r="CA105" s="76"/>
      <c r="CB105" s="76"/>
      <c r="CC105" s="76"/>
      <c r="CD105" s="76"/>
      <c r="CE105" s="76"/>
      <c r="CF105" s="76">
        <f>+CE105*28000</f>
        <v>0</v>
      </c>
      <c r="CG105" s="76"/>
      <c r="CH105" s="76">
        <f>+CG105*22500</f>
        <v>0</v>
      </c>
      <c r="CI105" s="76"/>
      <c r="CJ105" s="76">
        <f>+CI105*26000</f>
        <v>0</v>
      </c>
      <c r="CK105" s="76"/>
      <c r="CL105" s="76"/>
      <c r="CM105" s="76"/>
      <c r="CN105" s="76">
        <f>+CM105*22000</f>
        <v>0</v>
      </c>
      <c r="CO105" s="76"/>
      <c r="CP105" s="76">
        <f>+CO105*46000</f>
        <v>0</v>
      </c>
      <c r="CQ105" s="76"/>
      <c r="CR105" s="76">
        <f>+CQ105*49000</f>
        <v>0</v>
      </c>
      <c r="CS105" s="76"/>
      <c r="CT105" s="76"/>
      <c r="CU105" s="56">
        <f>AN105+AP105+AR105+AT105+AV105+AX105+AZ105+BB105+BD105+BF105+BH105+BJ105+BL105+BN105+BP105+BR105+BT105+BV105+BX105+BZ105+CB105+CD105+CF105+CH105+CJ105+CL105+CN105+CP105+CR105+CT105</f>
        <v>0</v>
      </c>
      <c r="CV105" s="76"/>
      <c r="CW105" s="76">
        <f>+CV105*1100</f>
        <v>0</v>
      </c>
      <c r="CX105" s="76"/>
      <c r="CY105" s="76">
        <f>+CX105*106250</f>
        <v>0</v>
      </c>
      <c r="CZ105" s="76"/>
      <c r="DA105" s="76">
        <f>+CZ105*34500</f>
        <v>0</v>
      </c>
      <c r="DB105" s="76"/>
      <c r="DC105" s="76">
        <f>+DB105*25000</f>
        <v>0</v>
      </c>
      <c r="DD105" s="219"/>
      <c r="DE105" s="219"/>
      <c r="DF105" s="164"/>
      <c r="DG105" s="116"/>
      <c r="DH105" s="117"/>
      <c r="DI105" s="24"/>
      <c r="DJ105" s="24"/>
      <c r="DK105" s="24"/>
      <c r="DL105" s="24"/>
      <c r="DM105" s="24"/>
      <c r="DN105" s="24"/>
      <c r="DO105" s="24"/>
      <c r="DP105" s="24"/>
      <c r="DQ105" s="24"/>
      <c r="DR105" s="24"/>
      <c r="DS105" s="24"/>
      <c r="DT105" s="24"/>
      <c r="DU105" s="24"/>
    </row>
    <row r="106" spans="1:125" s="8" customFormat="1" ht="48" x14ac:dyDescent="0.2">
      <c r="A106" s="85">
        <v>41282</v>
      </c>
      <c r="B106" s="80" t="s">
        <v>2860</v>
      </c>
      <c r="C106" s="81" t="s">
        <v>2691</v>
      </c>
      <c r="D106" s="81" t="s">
        <v>2859</v>
      </c>
      <c r="E106" s="75" t="str">
        <f>VLOOKUP(B106&amp;C106,Divipola!$C$2:$F$1138,4,FALSE)</f>
        <v>63690</v>
      </c>
      <c r="F106" s="87"/>
      <c r="G106" s="87"/>
      <c r="H106" s="87"/>
      <c r="I106" s="87"/>
      <c r="J106" s="87"/>
      <c r="K106" s="87"/>
      <c r="L106" s="87"/>
      <c r="M106" s="87"/>
      <c r="N106" s="87"/>
      <c r="O106" s="87"/>
      <c r="P106" s="87"/>
      <c r="Q106" s="87"/>
      <c r="R106" s="87"/>
      <c r="S106" s="87"/>
      <c r="T106" s="87"/>
      <c r="U106" s="127"/>
      <c r="V106" s="89"/>
      <c r="W106" s="96">
        <v>0</v>
      </c>
      <c r="X106" s="71">
        <f>CU106</f>
        <v>0</v>
      </c>
      <c r="Y106" s="71">
        <f>CY106</f>
        <v>0</v>
      </c>
      <c r="Z106" s="71">
        <f>DA106+DC106+DE106</f>
        <v>0</v>
      </c>
      <c r="AA106" s="71">
        <f>CW106</f>
        <v>0</v>
      </c>
      <c r="AB106" s="71"/>
      <c r="AC106" s="71">
        <v>0</v>
      </c>
      <c r="AD106" s="71">
        <f>W106+X106+Y106+Z106+AA106+AB106+AC106</f>
        <v>0</v>
      </c>
      <c r="AE106" s="72">
        <v>0</v>
      </c>
      <c r="AF106" s="5"/>
      <c r="AG106" s="6"/>
      <c r="AH106" s="27" t="s">
        <v>3392</v>
      </c>
      <c r="AI106" s="44" t="s">
        <v>3393</v>
      </c>
      <c r="AJ106" s="26"/>
      <c r="AK106" s="5"/>
      <c r="AL106" s="82" t="s">
        <v>2962</v>
      </c>
      <c r="AM106" s="76"/>
      <c r="AN106" s="76"/>
      <c r="AO106" s="76"/>
      <c r="AP106" s="76"/>
      <c r="AQ106" s="76"/>
      <c r="AR106" s="76"/>
      <c r="AS106" s="76"/>
      <c r="AT106" s="76"/>
      <c r="AU106" s="76"/>
      <c r="AV106" s="76"/>
      <c r="AW106" s="76"/>
      <c r="AX106" s="76">
        <f>+AW106*600000</f>
        <v>0</v>
      </c>
      <c r="AY106" s="76"/>
      <c r="AZ106" s="76">
        <f>+AY106*70000</f>
        <v>0</v>
      </c>
      <c r="BA106" s="76"/>
      <c r="BB106" s="76"/>
      <c r="BC106" s="76"/>
      <c r="BD106" s="76">
        <f>+BC106*30000</f>
        <v>0</v>
      </c>
      <c r="BE106" s="76"/>
      <c r="BF106" s="76"/>
      <c r="BG106" s="76"/>
      <c r="BH106" s="76"/>
      <c r="BI106" s="76"/>
      <c r="BJ106" s="76"/>
      <c r="BK106" s="76"/>
      <c r="BL106" s="76">
        <f>+BK106*31500</f>
        <v>0</v>
      </c>
      <c r="BM106" s="76"/>
      <c r="BN106" s="76"/>
      <c r="BO106" s="76"/>
      <c r="BP106" s="76"/>
      <c r="BQ106" s="76"/>
      <c r="BR106" s="76"/>
      <c r="BS106" s="76"/>
      <c r="BT106" s="76"/>
      <c r="BU106" s="76"/>
      <c r="BV106" s="76"/>
      <c r="BW106" s="76"/>
      <c r="BX106" s="76"/>
      <c r="BY106" s="76"/>
      <c r="BZ106" s="76"/>
      <c r="CA106" s="76"/>
      <c r="CB106" s="76"/>
      <c r="CC106" s="76"/>
      <c r="CD106" s="76"/>
      <c r="CE106" s="76"/>
      <c r="CF106" s="76">
        <f>+CE106*28000</f>
        <v>0</v>
      </c>
      <c r="CG106" s="76"/>
      <c r="CH106" s="76">
        <f>+CG106*22500</f>
        <v>0</v>
      </c>
      <c r="CI106" s="76"/>
      <c r="CJ106" s="76">
        <f>+CI106*26000</f>
        <v>0</v>
      </c>
      <c r="CK106" s="76"/>
      <c r="CL106" s="76"/>
      <c r="CM106" s="76"/>
      <c r="CN106" s="76">
        <f>+CM106*22000</f>
        <v>0</v>
      </c>
      <c r="CO106" s="76"/>
      <c r="CP106" s="76">
        <f>+CO106*46000</f>
        <v>0</v>
      </c>
      <c r="CQ106" s="76"/>
      <c r="CR106" s="76">
        <f>+CQ106*49000</f>
        <v>0</v>
      </c>
      <c r="CS106" s="76"/>
      <c r="CT106" s="76"/>
      <c r="CU106" s="56">
        <f>AN106+AP106+AR106+AT106+AV106+AX106+AZ106+BB106+BD106+BF106+BH106+BJ106+BL106+BN106+BP106+BR106+BT106+BV106+BX106+BZ106+CB106+CD106+CF106+CH106+CJ106+CL106+CN106+CP106+CR106+CT106</f>
        <v>0</v>
      </c>
      <c r="CV106" s="76"/>
      <c r="CW106" s="76">
        <f>+CV106*1100</f>
        <v>0</v>
      </c>
      <c r="CX106" s="76"/>
      <c r="CY106" s="76">
        <f>+CX106*106250</f>
        <v>0</v>
      </c>
      <c r="CZ106" s="76"/>
      <c r="DA106" s="76">
        <f>+CZ106*34500</f>
        <v>0</v>
      </c>
      <c r="DB106" s="76"/>
      <c r="DC106" s="76">
        <f>+DB106*25000</f>
        <v>0</v>
      </c>
      <c r="DD106" s="219"/>
      <c r="DE106" s="219"/>
      <c r="DF106" s="164"/>
      <c r="DG106" s="116"/>
      <c r="DH106" s="117"/>
      <c r="DI106" s="24"/>
      <c r="DJ106" s="24"/>
      <c r="DK106" s="24"/>
      <c r="DL106" s="24"/>
      <c r="DM106" s="24"/>
      <c r="DN106" s="24"/>
      <c r="DO106" s="24"/>
      <c r="DP106" s="24"/>
      <c r="DQ106" s="24"/>
      <c r="DR106" s="24"/>
      <c r="DS106" s="24"/>
      <c r="DT106" s="24"/>
      <c r="DU106" s="24"/>
    </row>
    <row r="107" spans="1:125" s="8" customFormat="1" ht="36" x14ac:dyDescent="0.2">
      <c r="A107" s="77">
        <v>41282</v>
      </c>
      <c r="B107" s="78" t="s">
        <v>2774</v>
      </c>
      <c r="C107" s="75" t="s">
        <v>284</v>
      </c>
      <c r="D107" s="81" t="s">
        <v>2846</v>
      </c>
      <c r="E107" s="75" t="str">
        <f>VLOOKUP(B107&amp;C107,Divipola!$C$2:$F$1138,4,FALSE)</f>
        <v>66170</v>
      </c>
      <c r="F107" s="87"/>
      <c r="G107" s="87"/>
      <c r="H107" s="87"/>
      <c r="I107" s="87"/>
      <c r="J107" s="87"/>
      <c r="K107" s="87"/>
      <c r="L107" s="87"/>
      <c r="M107" s="87"/>
      <c r="N107" s="87"/>
      <c r="O107" s="87"/>
      <c r="P107" s="87"/>
      <c r="Q107" s="87"/>
      <c r="R107" s="87"/>
      <c r="S107" s="87"/>
      <c r="T107" s="87"/>
      <c r="U107" s="127"/>
      <c r="V107" s="89"/>
      <c r="W107" s="96">
        <v>0</v>
      </c>
      <c r="X107" s="71">
        <f>CU107</f>
        <v>0</v>
      </c>
      <c r="Y107" s="71">
        <f>CY107</f>
        <v>0</v>
      </c>
      <c r="Z107" s="71">
        <f>DA107+DC107+DE107</f>
        <v>0</v>
      </c>
      <c r="AA107" s="71">
        <f>CW107</f>
        <v>0</v>
      </c>
      <c r="AB107" s="71"/>
      <c r="AC107" s="71">
        <v>0</v>
      </c>
      <c r="AD107" s="71">
        <f>W107+X107+Y107+Z107+AA107+AB107+AC107</f>
        <v>0</v>
      </c>
      <c r="AE107" s="72">
        <v>0</v>
      </c>
      <c r="AF107" s="5"/>
      <c r="AG107" s="6"/>
      <c r="AH107" s="27" t="s">
        <v>3392</v>
      </c>
      <c r="AI107" s="44" t="s">
        <v>3393</v>
      </c>
      <c r="AJ107" s="26"/>
      <c r="AK107" s="5"/>
      <c r="AL107" s="82" t="s">
        <v>2959</v>
      </c>
      <c r="AM107" s="76"/>
      <c r="AN107" s="76"/>
      <c r="AO107" s="76"/>
      <c r="AP107" s="76"/>
      <c r="AQ107" s="76"/>
      <c r="AR107" s="76"/>
      <c r="AS107" s="76"/>
      <c r="AT107" s="76"/>
      <c r="AU107" s="76"/>
      <c r="AV107" s="76"/>
      <c r="AW107" s="76"/>
      <c r="AX107" s="76">
        <f>+AW107*600000</f>
        <v>0</v>
      </c>
      <c r="AY107" s="76"/>
      <c r="AZ107" s="76">
        <f>+AY107*70000</f>
        <v>0</v>
      </c>
      <c r="BA107" s="76"/>
      <c r="BB107" s="76"/>
      <c r="BC107" s="76"/>
      <c r="BD107" s="76">
        <f>+BC107*30000</f>
        <v>0</v>
      </c>
      <c r="BE107" s="76"/>
      <c r="BF107" s="76"/>
      <c r="BG107" s="76"/>
      <c r="BH107" s="76"/>
      <c r="BI107" s="76"/>
      <c r="BJ107" s="76"/>
      <c r="BK107" s="76"/>
      <c r="BL107" s="76">
        <f>+BK107*31500</f>
        <v>0</v>
      </c>
      <c r="BM107" s="76"/>
      <c r="BN107" s="76"/>
      <c r="BO107" s="76"/>
      <c r="BP107" s="76"/>
      <c r="BQ107" s="76"/>
      <c r="BR107" s="76"/>
      <c r="BS107" s="76"/>
      <c r="BT107" s="76"/>
      <c r="BU107" s="76"/>
      <c r="BV107" s="76"/>
      <c r="BW107" s="76"/>
      <c r="BX107" s="76"/>
      <c r="BY107" s="76"/>
      <c r="BZ107" s="76"/>
      <c r="CA107" s="76"/>
      <c r="CB107" s="76"/>
      <c r="CC107" s="76"/>
      <c r="CD107" s="76"/>
      <c r="CE107" s="76"/>
      <c r="CF107" s="76">
        <f>+CE107*28000</f>
        <v>0</v>
      </c>
      <c r="CG107" s="76"/>
      <c r="CH107" s="76">
        <f>+CG107*22500</f>
        <v>0</v>
      </c>
      <c r="CI107" s="76"/>
      <c r="CJ107" s="76">
        <f>+CI107*26000</f>
        <v>0</v>
      </c>
      <c r="CK107" s="76"/>
      <c r="CL107" s="76"/>
      <c r="CM107" s="76"/>
      <c r="CN107" s="76">
        <f>+CM107*22000</f>
        <v>0</v>
      </c>
      <c r="CO107" s="76"/>
      <c r="CP107" s="76">
        <f>+CO107*46000</f>
        <v>0</v>
      </c>
      <c r="CQ107" s="76"/>
      <c r="CR107" s="76">
        <f>+CQ107*49000</f>
        <v>0</v>
      </c>
      <c r="CS107" s="76"/>
      <c r="CT107" s="76"/>
      <c r="CU107" s="56">
        <f>AN107+AP107+AR107+AT107+AV107+AX107+AZ107+BB107+BD107+BF107+BH107+BJ107+BL107+BN107+BP107+BR107+BT107+BV107+BX107+BZ107+CB107+CD107+CF107+CH107+CJ107+CL107+CN107+CP107+CR107+CT107</f>
        <v>0</v>
      </c>
      <c r="CV107" s="76"/>
      <c r="CW107" s="76">
        <f>+CV107*1100</f>
        <v>0</v>
      </c>
      <c r="CX107" s="76"/>
      <c r="CY107" s="76">
        <f>+CX107*106250</f>
        <v>0</v>
      </c>
      <c r="CZ107" s="76"/>
      <c r="DA107" s="76">
        <f>+CZ107*34500</f>
        <v>0</v>
      </c>
      <c r="DB107" s="76"/>
      <c r="DC107" s="76">
        <f>+DB107*25000</f>
        <v>0</v>
      </c>
      <c r="DD107" s="219"/>
      <c r="DE107" s="219"/>
      <c r="DF107" s="164"/>
      <c r="DG107" s="116"/>
      <c r="DH107" s="117"/>
      <c r="DI107" s="24"/>
      <c r="DJ107" s="24"/>
      <c r="DK107" s="24"/>
      <c r="DL107" s="24"/>
      <c r="DM107" s="24"/>
      <c r="DN107" s="24"/>
      <c r="DO107" s="24"/>
      <c r="DP107" s="24"/>
      <c r="DQ107" s="24"/>
      <c r="DR107" s="24"/>
      <c r="DS107" s="24"/>
      <c r="DT107" s="24"/>
      <c r="DU107" s="24"/>
    </row>
    <row r="108" spans="1:125" s="8" customFormat="1" ht="60" x14ac:dyDescent="0.2">
      <c r="A108" s="85">
        <v>41282</v>
      </c>
      <c r="B108" s="80" t="s">
        <v>2847</v>
      </c>
      <c r="C108" s="81" t="s">
        <v>1737</v>
      </c>
      <c r="D108" s="81" t="s">
        <v>2846</v>
      </c>
      <c r="E108" s="75" t="str">
        <f>VLOOKUP(B108&amp;C108,Divipola!$C$2:$F$1138,4,FALSE)</f>
        <v>68464</v>
      </c>
      <c r="F108" s="87"/>
      <c r="G108" s="87"/>
      <c r="H108" s="87"/>
      <c r="I108" s="87"/>
      <c r="J108" s="87"/>
      <c r="K108" s="87"/>
      <c r="L108" s="87"/>
      <c r="M108" s="87"/>
      <c r="N108" s="87"/>
      <c r="O108" s="87"/>
      <c r="P108" s="87"/>
      <c r="Q108" s="87"/>
      <c r="R108" s="87"/>
      <c r="S108" s="87"/>
      <c r="T108" s="87"/>
      <c r="U108" s="127">
        <v>1</v>
      </c>
      <c r="V108" s="89"/>
      <c r="W108" s="96">
        <v>0</v>
      </c>
      <c r="X108" s="71">
        <f>CU108</f>
        <v>0</v>
      </c>
      <c r="Y108" s="71">
        <f>CY108</f>
        <v>0</v>
      </c>
      <c r="Z108" s="71">
        <f>DA108+DC108+DE108</f>
        <v>0</v>
      </c>
      <c r="AA108" s="71">
        <f>CW108</f>
        <v>0</v>
      </c>
      <c r="AB108" s="71"/>
      <c r="AC108" s="71">
        <v>0</v>
      </c>
      <c r="AD108" s="71">
        <f>W108+X108+Y108+Z108+AA108+AB108+AC108</f>
        <v>0</v>
      </c>
      <c r="AE108" s="72">
        <v>0</v>
      </c>
      <c r="AF108" s="5"/>
      <c r="AG108" s="6"/>
      <c r="AH108" s="27" t="s">
        <v>3392</v>
      </c>
      <c r="AI108" s="44" t="s">
        <v>3393</v>
      </c>
      <c r="AJ108" s="26"/>
      <c r="AK108" s="5"/>
      <c r="AL108" s="82" t="s">
        <v>2944</v>
      </c>
      <c r="AM108" s="76"/>
      <c r="AN108" s="76"/>
      <c r="AO108" s="76"/>
      <c r="AP108" s="76"/>
      <c r="AQ108" s="76"/>
      <c r="AR108" s="76"/>
      <c r="AS108" s="76"/>
      <c r="AT108" s="76"/>
      <c r="AU108" s="76"/>
      <c r="AV108" s="76"/>
      <c r="AW108" s="76"/>
      <c r="AX108" s="76">
        <f>+AW108*600000</f>
        <v>0</v>
      </c>
      <c r="AY108" s="76"/>
      <c r="AZ108" s="76">
        <f>+AY108*70000</f>
        <v>0</v>
      </c>
      <c r="BA108" s="76"/>
      <c r="BB108" s="76"/>
      <c r="BC108" s="76"/>
      <c r="BD108" s="76">
        <f>+BC108*30000</f>
        <v>0</v>
      </c>
      <c r="BE108" s="76"/>
      <c r="BF108" s="76"/>
      <c r="BG108" s="76"/>
      <c r="BH108" s="76"/>
      <c r="BI108" s="76"/>
      <c r="BJ108" s="76"/>
      <c r="BK108" s="76"/>
      <c r="BL108" s="76">
        <f>+BK108*31500</f>
        <v>0</v>
      </c>
      <c r="BM108" s="76"/>
      <c r="BN108" s="76"/>
      <c r="BO108" s="76"/>
      <c r="BP108" s="76"/>
      <c r="BQ108" s="76"/>
      <c r="BR108" s="76"/>
      <c r="BS108" s="76"/>
      <c r="BT108" s="76"/>
      <c r="BU108" s="76"/>
      <c r="BV108" s="76"/>
      <c r="BW108" s="76"/>
      <c r="BX108" s="76"/>
      <c r="BY108" s="76"/>
      <c r="BZ108" s="76"/>
      <c r="CA108" s="76"/>
      <c r="CB108" s="76"/>
      <c r="CC108" s="76"/>
      <c r="CD108" s="76"/>
      <c r="CE108" s="76"/>
      <c r="CF108" s="76">
        <f>+CE108*28000</f>
        <v>0</v>
      </c>
      <c r="CG108" s="76"/>
      <c r="CH108" s="76">
        <f>+CG108*22500</f>
        <v>0</v>
      </c>
      <c r="CI108" s="76"/>
      <c r="CJ108" s="76">
        <f>+CI108*26000</f>
        <v>0</v>
      </c>
      <c r="CK108" s="76"/>
      <c r="CL108" s="76"/>
      <c r="CM108" s="76"/>
      <c r="CN108" s="76">
        <f>+CM108*22000</f>
        <v>0</v>
      </c>
      <c r="CO108" s="76"/>
      <c r="CP108" s="76">
        <f>+CO108*46000</f>
        <v>0</v>
      </c>
      <c r="CQ108" s="76"/>
      <c r="CR108" s="76">
        <f>+CQ108*49000</f>
        <v>0</v>
      </c>
      <c r="CS108" s="76"/>
      <c r="CT108" s="76"/>
      <c r="CU108" s="56">
        <f>AN108+AP108+AR108+AT108+AV108+AX108+AZ108+BB108+BD108+BF108+BH108+BJ108+BL108+BN108+BP108+BR108+BT108+BV108+BX108+BZ108+CB108+CD108+CF108+CH108+CJ108+CL108+CN108+CP108+CR108+CT108</f>
        <v>0</v>
      </c>
      <c r="CV108" s="76"/>
      <c r="CW108" s="76">
        <f>+CV108*1100</f>
        <v>0</v>
      </c>
      <c r="CX108" s="76"/>
      <c r="CY108" s="76">
        <f>+CX108*106250</f>
        <v>0</v>
      </c>
      <c r="CZ108" s="76"/>
      <c r="DA108" s="76">
        <f>+CZ108*34500</f>
        <v>0</v>
      </c>
      <c r="DB108" s="76"/>
      <c r="DC108" s="76">
        <f>+DB108*25000</f>
        <v>0</v>
      </c>
      <c r="DD108" s="219"/>
      <c r="DE108" s="219"/>
      <c r="DF108" s="164"/>
      <c r="DG108" s="116"/>
      <c r="DH108" s="117"/>
      <c r="DI108" s="24"/>
      <c r="DJ108" s="24"/>
      <c r="DK108" s="24"/>
      <c r="DL108" s="24"/>
      <c r="DM108" s="24"/>
      <c r="DN108" s="24"/>
      <c r="DO108" s="24"/>
      <c r="DP108" s="24"/>
      <c r="DQ108" s="24"/>
      <c r="DR108" s="24"/>
      <c r="DS108" s="24"/>
      <c r="DT108" s="24"/>
      <c r="DU108" s="24"/>
    </row>
    <row r="109" spans="1:125" s="8" customFormat="1" ht="72" x14ac:dyDescent="0.2">
      <c r="A109" s="77">
        <v>41282</v>
      </c>
      <c r="B109" s="80" t="s">
        <v>2847</v>
      </c>
      <c r="C109" s="81" t="s">
        <v>479</v>
      </c>
      <c r="D109" s="81" t="s">
        <v>2846</v>
      </c>
      <c r="E109" s="75" t="str">
        <f>VLOOKUP(B109&amp;C109,Divipola!$C$2:$F$1138,4,FALSE)</f>
        <v>68547</v>
      </c>
      <c r="F109" s="87"/>
      <c r="G109" s="87"/>
      <c r="H109" s="87"/>
      <c r="I109" s="87"/>
      <c r="J109" s="87"/>
      <c r="K109" s="87"/>
      <c r="L109" s="87"/>
      <c r="M109" s="87"/>
      <c r="N109" s="87"/>
      <c r="O109" s="87"/>
      <c r="P109" s="87"/>
      <c r="Q109" s="87"/>
      <c r="R109" s="87"/>
      <c r="S109" s="87"/>
      <c r="T109" s="87"/>
      <c r="U109" s="127">
        <v>300</v>
      </c>
      <c r="V109" s="89"/>
      <c r="W109" s="96">
        <v>0</v>
      </c>
      <c r="X109" s="71">
        <f>CU109</f>
        <v>0</v>
      </c>
      <c r="Y109" s="71">
        <f>CY109</f>
        <v>0</v>
      </c>
      <c r="Z109" s="71">
        <f>DA109+DC109+DE109</f>
        <v>0</v>
      </c>
      <c r="AA109" s="71">
        <f>CW109</f>
        <v>0</v>
      </c>
      <c r="AB109" s="71"/>
      <c r="AC109" s="71">
        <v>0</v>
      </c>
      <c r="AD109" s="71">
        <f>W109+X109+Y109+Z109+AA109+AB109+AC109</f>
        <v>0</v>
      </c>
      <c r="AE109" s="72">
        <v>0</v>
      </c>
      <c r="AF109" s="5"/>
      <c r="AG109" s="6"/>
      <c r="AH109" s="27" t="s">
        <v>3390</v>
      </c>
      <c r="AI109" s="44" t="s">
        <v>3391</v>
      </c>
      <c r="AJ109" s="26"/>
      <c r="AK109" s="5" t="s">
        <v>3397</v>
      </c>
      <c r="AL109" s="82" t="s">
        <v>2989</v>
      </c>
      <c r="AM109" s="76"/>
      <c r="AN109" s="76"/>
      <c r="AO109" s="76"/>
      <c r="AP109" s="76"/>
      <c r="AQ109" s="76"/>
      <c r="AR109" s="76"/>
      <c r="AS109" s="76"/>
      <c r="AT109" s="76"/>
      <c r="AU109" s="76"/>
      <c r="AV109" s="76"/>
      <c r="AW109" s="76"/>
      <c r="AX109" s="76">
        <f>+AW109*600000</f>
        <v>0</v>
      </c>
      <c r="AY109" s="76"/>
      <c r="AZ109" s="76">
        <f>+AY109*70000</f>
        <v>0</v>
      </c>
      <c r="BA109" s="76"/>
      <c r="BB109" s="76"/>
      <c r="BC109" s="76"/>
      <c r="BD109" s="76">
        <f>+BC109*30000</f>
        <v>0</v>
      </c>
      <c r="BE109" s="76"/>
      <c r="BF109" s="76"/>
      <c r="BG109" s="76"/>
      <c r="BH109" s="76"/>
      <c r="BI109" s="76"/>
      <c r="BJ109" s="76"/>
      <c r="BK109" s="76"/>
      <c r="BL109" s="76">
        <f>+BK109*31500</f>
        <v>0</v>
      </c>
      <c r="BM109" s="76"/>
      <c r="BN109" s="76"/>
      <c r="BO109" s="76"/>
      <c r="BP109" s="76"/>
      <c r="BQ109" s="76"/>
      <c r="BR109" s="76"/>
      <c r="BS109" s="76"/>
      <c r="BT109" s="76"/>
      <c r="BU109" s="76"/>
      <c r="BV109" s="76"/>
      <c r="BW109" s="76"/>
      <c r="BX109" s="76"/>
      <c r="BY109" s="76"/>
      <c r="BZ109" s="76"/>
      <c r="CA109" s="76"/>
      <c r="CB109" s="76"/>
      <c r="CC109" s="76"/>
      <c r="CD109" s="76"/>
      <c r="CE109" s="76"/>
      <c r="CF109" s="76">
        <f>+CE109*28000</f>
        <v>0</v>
      </c>
      <c r="CG109" s="76"/>
      <c r="CH109" s="76">
        <f>+CG109*22500</f>
        <v>0</v>
      </c>
      <c r="CI109" s="76"/>
      <c r="CJ109" s="76">
        <f>+CI109*26000</f>
        <v>0</v>
      </c>
      <c r="CK109" s="76"/>
      <c r="CL109" s="76"/>
      <c r="CM109" s="76"/>
      <c r="CN109" s="76">
        <f>+CM109*22000</f>
        <v>0</v>
      </c>
      <c r="CO109" s="76"/>
      <c r="CP109" s="76">
        <f>+CO109*46000</f>
        <v>0</v>
      </c>
      <c r="CQ109" s="76"/>
      <c r="CR109" s="76">
        <f>+CQ109*49000</f>
        <v>0</v>
      </c>
      <c r="CS109" s="76"/>
      <c r="CT109" s="76"/>
      <c r="CU109" s="56">
        <f>AN109+AP109+AR109+AT109+AV109+AX109+AZ109+BB109+BD109+BF109+BH109+BJ109+BL109+BN109+BP109+BR109+BT109+BV109+BX109+BZ109+CB109+CD109+CF109+CH109+CJ109+CL109+CN109+CP109+CR109+CT109</f>
        <v>0</v>
      </c>
      <c r="CV109" s="76"/>
      <c r="CW109" s="76">
        <f>+CV109*1100</f>
        <v>0</v>
      </c>
      <c r="CX109" s="76"/>
      <c r="CY109" s="76">
        <f>+CX109*106250</f>
        <v>0</v>
      </c>
      <c r="CZ109" s="76"/>
      <c r="DA109" s="76">
        <f>+CZ109*34500</f>
        <v>0</v>
      </c>
      <c r="DB109" s="76"/>
      <c r="DC109" s="76">
        <f>+DB109*25000</f>
        <v>0</v>
      </c>
      <c r="DD109" s="219"/>
      <c r="DE109" s="219"/>
      <c r="DF109" s="164"/>
      <c r="DG109" s="116"/>
      <c r="DH109" s="117"/>
      <c r="DI109" s="24"/>
      <c r="DJ109" s="24"/>
      <c r="DK109" s="24"/>
      <c r="DL109" s="24"/>
      <c r="DM109" s="24"/>
      <c r="DN109" s="24"/>
      <c r="DO109" s="24"/>
      <c r="DP109" s="24"/>
      <c r="DQ109" s="24"/>
      <c r="DR109" s="24"/>
      <c r="DS109" s="24"/>
      <c r="DT109" s="24"/>
      <c r="DU109" s="24"/>
    </row>
    <row r="110" spans="1:125" s="8" customFormat="1" ht="60" x14ac:dyDescent="0.2">
      <c r="A110" s="85">
        <v>41282</v>
      </c>
      <c r="B110" s="80" t="s">
        <v>2847</v>
      </c>
      <c r="C110" s="81" t="s">
        <v>1794</v>
      </c>
      <c r="D110" s="81" t="s">
        <v>2846</v>
      </c>
      <c r="E110" s="75" t="str">
        <f>VLOOKUP(B110&amp;C110,Divipola!$C$2:$F$1138,4,FALSE)</f>
        <v>68895</v>
      </c>
      <c r="F110" s="87"/>
      <c r="G110" s="87"/>
      <c r="H110" s="87"/>
      <c r="I110" s="87"/>
      <c r="J110" s="87"/>
      <c r="K110" s="87"/>
      <c r="L110" s="87"/>
      <c r="M110" s="87"/>
      <c r="N110" s="87"/>
      <c r="O110" s="87"/>
      <c r="P110" s="87"/>
      <c r="Q110" s="87"/>
      <c r="R110" s="87"/>
      <c r="S110" s="87"/>
      <c r="T110" s="87"/>
      <c r="U110" s="127">
        <v>1</v>
      </c>
      <c r="V110" s="89"/>
      <c r="W110" s="96">
        <v>0</v>
      </c>
      <c r="X110" s="71">
        <f>CU110</f>
        <v>0</v>
      </c>
      <c r="Y110" s="71">
        <f>CY110</f>
        <v>0</v>
      </c>
      <c r="Z110" s="71">
        <f>DA110+DC110+DE110</f>
        <v>0</v>
      </c>
      <c r="AA110" s="71">
        <f>CW110</f>
        <v>0</v>
      </c>
      <c r="AB110" s="71"/>
      <c r="AC110" s="71">
        <v>0</v>
      </c>
      <c r="AD110" s="71">
        <f>W110+X110+Y110+Z110+AA110+AB110+AC110</f>
        <v>0</v>
      </c>
      <c r="AE110" s="72">
        <v>0</v>
      </c>
      <c r="AF110" s="5"/>
      <c r="AG110" s="6"/>
      <c r="AH110" s="27" t="s">
        <v>3392</v>
      </c>
      <c r="AI110" s="44" t="s">
        <v>3393</v>
      </c>
      <c r="AJ110" s="26"/>
      <c r="AK110" s="5"/>
      <c r="AL110" s="82" t="s">
        <v>2943</v>
      </c>
      <c r="AM110" s="76"/>
      <c r="AN110" s="76"/>
      <c r="AO110" s="76"/>
      <c r="AP110" s="76"/>
      <c r="AQ110" s="76"/>
      <c r="AR110" s="76"/>
      <c r="AS110" s="76"/>
      <c r="AT110" s="76"/>
      <c r="AU110" s="76"/>
      <c r="AV110" s="76"/>
      <c r="AW110" s="76"/>
      <c r="AX110" s="76">
        <f>+AW110*600000</f>
        <v>0</v>
      </c>
      <c r="AY110" s="76"/>
      <c r="AZ110" s="76">
        <f>+AY110*70000</f>
        <v>0</v>
      </c>
      <c r="BA110" s="76"/>
      <c r="BB110" s="76"/>
      <c r="BC110" s="76"/>
      <c r="BD110" s="76">
        <f>+BC110*30000</f>
        <v>0</v>
      </c>
      <c r="BE110" s="76"/>
      <c r="BF110" s="76"/>
      <c r="BG110" s="76"/>
      <c r="BH110" s="76"/>
      <c r="BI110" s="76"/>
      <c r="BJ110" s="76"/>
      <c r="BK110" s="76"/>
      <c r="BL110" s="76">
        <f>+BK110*31500</f>
        <v>0</v>
      </c>
      <c r="BM110" s="76"/>
      <c r="BN110" s="76"/>
      <c r="BO110" s="76"/>
      <c r="BP110" s="76"/>
      <c r="BQ110" s="76"/>
      <c r="BR110" s="76"/>
      <c r="BS110" s="76"/>
      <c r="BT110" s="76"/>
      <c r="BU110" s="76"/>
      <c r="BV110" s="76"/>
      <c r="BW110" s="76"/>
      <c r="BX110" s="76"/>
      <c r="BY110" s="76"/>
      <c r="BZ110" s="76"/>
      <c r="CA110" s="76"/>
      <c r="CB110" s="76"/>
      <c r="CC110" s="76"/>
      <c r="CD110" s="76"/>
      <c r="CE110" s="76"/>
      <c r="CF110" s="76">
        <f>+CE110*28000</f>
        <v>0</v>
      </c>
      <c r="CG110" s="76"/>
      <c r="CH110" s="76">
        <f>+CG110*22500</f>
        <v>0</v>
      </c>
      <c r="CI110" s="76"/>
      <c r="CJ110" s="76">
        <f>+CI110*26000</f>
        <v>0</v>
      </c>
      <c r="CK110" s="76"/>
      <c r="CL110" s="76"/>
      <c r="CM110" s="76"/>
      <c r="CN110" s="76">
        <f>+CM110*22000</f>
        <v>0</v>
      </c>
      <c r="CO110" s="76"/>
      <c r="CP110" s="76">
        <f>+CO110*46000</f>
        <v>0</v>
      </c>
      <c r="CQ110" s="76"/>
      <c r="CR110" s="76">
        <f>+CQ110*49000</f>
        <v>0</v>
      </c>
      <c r="CS110" s="76"/>
      <c r="CT110" s="76"/>
      <c r="CU110" s="56">
        <f>AN110+AP110+AR110+AT110+AV110+AX110+AZ110+BB110+BD110+BF110+BH110+BJ110+BL110+BN110+BP110+BR110+BT110+BV110+BX110+BZ110+CB110+CD110+CF110+CH110+CJ110+CL110+CN110+CP110+CR110+CT110</f>
        <v>0</v>
      </c>
      <c r="CV110" s="76"/>
      <c r="CW110" s="76">
        <f>+CV110*1100</f>
        <v>0</v>
      </c>
      <c r="CX110" s="76"/>
      <c r="CY110" s="76">
        <f>+CX110*106250</f>
        <v>0</v>
      </c>
      <c r="CZ110" s="76"/>
      <c r="DA110" s="76">
        <f>+CZ110*34500</f>
        <v>0</v>
      </c>
      <c r="DB110" s="76"/>
      <c r="DC110" s="76">
        <f>+DB110*25000</f>
        <v>0</v>
      </c>
      <c r="DD110" s="219"/>
      <c r="DE110" s="219"/>
      <c r="DF110" s="164"/>
      <c r="DG110" s="116"/>
      <c r="DH110" s="117"/>
      <c r="DI110" s="24"/>
      <c r="DJ110" s="24"/>
      <c r="DK110" s="24"/>
      <c r="DL110" s="24"/>
      <c r="DM110" s="24"/>
      <c r="DN110" s="24"/>
      <c r="DO110" s="24"/>
      <c r="DP110" s="24"/>
      <c r="DQ110" s="24"/>
      <c r="DR110" s="24"/>
      <c r="DS110" s="24"/>
      <c r="DT110" s="24"/>
      <c r="DU110" s="24"/>
    </row>
    <row r="111" spans="1:125" s="8" customFormat="1" ht="36" x14ac:dyDescent="0.2">
      <c r="A111" s="77">
        <v>41282</v>
      </c>
      <c r="B111" s="78" t="s">
        <v>2851</v>
      </c>
      <c r="C111" s="75" t="s">
        <v>1686</v>
      </c>
      <c r="D111" s="81" t="s">
        <v>2846</v>
      </c>
      <c r="E111" s="75" t="str">
        <f>VLOOKUP(B111&amp;C111,Divipola!$C$2:$F$1138,4,FALSE)</f>
        <v>76001</v>
      </c>
      <c r="F111" s="87"/>
      <c r="G111" s="87"/>
      <c r="H111" s="87"/>
      <c r="I111" s="87"/>
      <c r="J111" s="87"/>
      <c r="K111" s="87"/>
      <c r="L111" s="87"/>
      <c r="M111" s="87"/>
      <c r="N111" s="87"/>
      <c r="O111" s="87"/>
      <c r="P111" s="87"/>
      <c r="Q111" s="87"/>
      <c r="R111" s="87"/>
      <c r="S111" s="87"/>
      <c r="T111" s="87"/>
      <c r="U111" s="127"/>
      <c r="V111" s="89"/>
      <c r="W111" s="96">
        <v>0</v>
      </c>
      <c r="X111" s="71">
        <f>CU111</f>
        <v>0</v>
      </c>
      <c r="Y111" s="71">
        <f>CY111</f>
        <v>0</v>
      </c>
      <c r="Z111" s="71">
        <f>DA111+DC111+DE111</f>
        <v>0</v>
      </c>
      <c r="AA111" s="71">
        <f>CW111</f>
        <v>0</v>
      </c>
      <c r="AB111" s="71"/>
      <c r="AC111" s="71">
        <v>0</v>
      </c>
      <c r="AD111" s="71">
        <f>W111+X111+Y111+Z111+AA111+AB111+AC111</f>
        <v>0</v>
      </c>
      <c r="AE111" s="72">
        <v>0</v>
      </c>
      <c r="AF111" s="5"/>
      <c r="AG111" s="6"/>
      <c r="AH111" s="27" t="s">
        <v>3392</v>
      </c>
      <c r="AI111" s="44" t="s">
        <v>3393</v>
      </c>
      <c r="AJ111" s="26"/>
      <c r="AK111" s="5"/>
      <c r="AL111" s="82" t="s">
        <v>2958</v>
      </c>
      <c r="AM111" s="76"/>
      <c r="AN111" s="76"/>
      <c r="AO111" s="76"/>
      <c r="AP111" s="76"/>
      <c r="AQ111" s="76"/>
      <c r="AR111" s="76"/>
      <c r="AS111" s="76"/>
      <c r="AT111" s="76"/>
      <c r="AU111" s="76"/>
      <c r="AV111" s="76"/>
      <c r="AW111" s="76"/>
      <c r="AX111" s="76">
        <f>+AW111*600000</f>
        <v>0</v>
      </c>
      <c r="AY111" s="76"/>
      <c r="AZ111" s="76">
        <f>+AY111*70000</f>
        <v>0</v>
      </c>
      <c r="BA111" s="76"/>
      <c r="BB111" s="76"/>
      <c r="BC111" s="76"/>
      <c r="BD111" s="76">
        <f>+BC111*30000</f>
        <v>0</v>
      </c>
      <c r="BE111" s="76"/>
      <c r="BF111" s="76"/>
      <c r="BG111" s="76"/>
      <c r="BH111" s="76"/>
      <c r="BI111" s="76"/>
      <c r="BJ111" s="76"/>
      <c r="BK111" s="76"/>
      <c r="BL111" s="76">
        <f>+BK111*31500</f>
        <v>0</v>
      </c>
      <c r="BM111" s="76"/>
      <c r="BN111" s="76"/>
      <c r="BO111" s="76"/>
      <c r="BP111" s="76"/>
      <c r="BQ111" s="76"/>
      <c r="BR111" s="76"/>
      <c r="BS111" s="76"/>
      <c r="BT111" s="76"/>
      <c r="BU111" s="76"/>
      <c r="BV111" s="76"/>
      <c r="BW111" s="76"/>
      <c r="BX111" s="76"/>
      <c r="BY111" s="76"/>
      <c r="BZ111" s="76"/>
      <c r="CA111" s="76"/>
      <c r="CB111" s="76"/>
      <c r="CC111" s="76"/>
      <c r="CD111" s="76"/>
      <c r="CE111" s="76"/>
      <c r="CF111" s="76">
        <f>+CE111*28000</f>
        <v>0</v>
      </c>
      <c r="CG111" s="76"/>
      <c r="CH111" s="76">
        <f>+CG111*22500</f>
        <v>0</v>
      </c>
      <c r="CI111" s="76"/>
      <c r="CJ111" s="76">
        <f>+CI111*26000</f>
        <v>0</v>
      </c>
      <c r="CK111" s="76"/>
      <c r="CL111" s="76"/>
      <c r="CM111" s="76"/>
      <c r="CN111" s="76">
        <f>+CM111*22000</f>
        <v>0</v>
      </c>
      <c r="CO111" s="76"/>
      <c r="CP111" s="76">
        <f>+CO111*46000</f>
        <v>0</v>
      </c>
      <c r="CQ111" s="76"/>
      <c r="CR111" s="76">
        <f>+CQ111*49000</f>
        <v>0</v>
      </c>
      <c r="CS111" s="76"/>
      <c r="CT111" s="76"/>
      <c r="CU111" s="56">
        <f>AN111+AP111+AR111+AT111+AV111+AX111+AZ111+BB111+BD111+BF111+BH111+BJ111+BL111+BN111+BP111+BR111+BT111+BV111+BX111+BZ111+CB111+CD111+CF111+CH111+CJ111+CL111+CN111+CP111+CR111+CT111</f>
        <v>0</v>
      </c>
      <c r="CV111" s="76"/>
      <c r="CW111" s="76">
        <f>+CV111*1100</f>
        <v>0</v>
      </c>
      <c r="CX111" s="76"/>
      <c r="CY111" s="76">
        <f>+CX111*106250</f>
        <v>0</v>
      </c>
      <c r="CZ111" s="76"/>
      <c r="DA111" s="76">
        <f>+CZ111*34500</f>
        <v>0</v>
      </c>
      <c r="DB111" s="76"/>
      <c r="DC111" s="76">
        <f>+DB111*25000</f>
        <v>0</v>
      </c>
      <c r="DD111" s="219"/>
      <c r="DE111" s="219"/>
      <c r="DF111" s="164"/>
      <c r="DG111" s="116"/>
      <c r="DH111" s="117"/>
      <c r="DI111" s="24"/>
      <c r="DJ111" s="24"/>
      <c r="DK111" s="24"/>
      <c r="DL111" s="24"/>
      <c r="DM111" s="24"/>
      <c r="DN111" s="24"/>
      <c r="DO111" s="24"/>
      <c r="DP111" s="24"/>
      <c r="DQ111" s="24"/>
      <c r="DR111" s="24"/>
      <c r="DS111" s="24"/>
      <c r="DT111" s="24"/>
      <c r="DU111" s="24"/>
    </row>
    <row r="112" spans="1:125" s="8" customFormat="1" ht="84" x14ac:dyDescent="0.2">
      <c r="A112" s="77">
        <v>41283</v>
      </c>
      <c r="B112" s="80" t="s">
        <v>2894</v>
      </c>
      <c r="C112" s="81" t="s">
        <v>2702</v>
      </c>
      <c r="D112" s="81" t="s">
        <v>2859</v>
      </c>
      <c r="E112" s="75" t="str">
        <f>VLOOKUP(B112&amp;C112,Divipola!$C$2:$F$1138,4,FALSE)</f>
        <v>05088</v>
      </c>
      <c r="F112" s="90"/>
      <c r="G112" s="90"/>
      <c r="H112" s="90"/>
      <c r="I112" s="90"/>
      <c r="J112" s="90"/>
      <c r="K112" s="90"/>
      <c r="L112" s="90"/>
      <c r="M112" s="90"/>
      <c r="N112" s="90"/>
      <c r="O112" s="90"/>
      <c r="P112" s="90"/>
      <c r="Q112" s="90"/>
      <c r="R112" s="90"/>
      <c r="S112" s="90"/>
      <c r="T112" s="90"/>
      <c r="U112" s="128"/>
      <c r="V112" s="89"/>
      <c r="W112" s="96">
        <v>0</v>
      </c>
      <c r="X112" s="71">
        <f>CU112</f>
        <v>0</v>
      </c>
      <c r="Y112" s="71">
        <f>CY112</f>
        <v>0</v>
      </c>
      <c r="Z112" s="71">
        <f>DA112+DC112+DE112</f>
        <v>0</v>
      </c>
      <c r="AA112" s="71">
        <f>CW112</f>
        <v>0</v>
      </c>
      <c r="AB112" s="71"/>
      <c r="AC112" s="71">
        <v>0</v>
      </c>
      <c r="AD112" s="71">
        <f>W112+X112+Y112+Z112+AA112+AB112+AC112</f>
        <v>0</v>
      </c>
      <c r="AE112" s="72">
        <v>0</v>
      </c>
      <c r="AF112" s="5"/>
      <c r="AG112" s="6"/>
      <c r="AH112" s="27" t="s">
        <v>3392</v>
      </c>
      <c r="AI112" s="44" t="s">
        <v>3393</v>
      </c>
      <c r="AJ112" s="26"/>
      <c r="AK112" s="5"/>
      <c r="AL112" s="82" t="s">
        <v>2974</v>
      </c>
      <c r="AM112" s="76"/>
      <c r="AN112" s="76"/>
      <c r="AO112" s="76"/>
      <c r="AP112" s="76"/>
      <c r="AQ112" s="76"/>
      <c r="AR112" s="76"/>
      <c r="AS112" s="76"/>
      <c r="AT112" s="76"/>
      <c r="AU112" s="76"/>
      <c r="AV112" s="76"/>
      <c r="AW112" s="76"/>
      <c r="AX112" s="76">
        <f>+AW112*600000</f>
        <v>0</v>
      </c>
      <c r="AY112" s="76"/>
      <c r="AZ112" s="76">
        <f>+AY112*70000</f>
        <v>0</v>
      </c>
      <c r="BA112" s="76"/>
      <c r="BB112" s="76"/>
      <c r="BC112" s="76"/>
      <c r="BD112" s="76">
        <f>+BC112*30000</f>
        <v>0</v>
      </c>
      <c r="BE112" s="76"/>
      <c r="BF112" s="76"/>
      <c r="BG112" s="76"/>
      <c r="BH112" s="76"/>
      <c r="BI112" s="76"/>
      <c r="BJ112" s="76"/>
      <c r="BK112" s="76"/>
      <c r="BL112" s="76">
        <f>+BK112*31500</f>
        <v>0</v>
      </c>
      <c r="BM112" s="76"/>
      <c r="BN112" s="76"/>
      <c r="BO112" s="76"/>
      <c r="BP112" s="76"/>
      <c r="BQ112" s="76"/>
      <c r="BR112" s="76"/>
      <c r="BS112" s="76"/>
      <c r="BT112" s="76"/>
      <c r="BU112" s="76"/>
      <c r="BV112" s="76"/>
      <c r="BW112" s="76"/>
      <c r="BX112" s="76"/>
      <c r="BY112" s="76"/>
      <c r="BZ112" s="76"/>
      <c r="CA112" s="76"/>
      <c r="CB112" s="76"/>
      <c r="CC112" s="76"/>
      <c r="CD112" s="76"/>
      <c r="CE112" s="76"/>
      <c r="CF112" s="76">
        <f>+CE112*28000</f>
        <v>0</v>
      </c>
      <c r="CG112" s="76"/>
      <c r="CH112" s="76">
        <f>+CG112*22500</f>
        <v>0</v>
      </c>
      <c r="CI112" s="76"/>
      <c r="CJ112" s="76">
        <f>+CI112*26000</f>
        <v>0</v>
      </c>
      <c r="CK112" s="76"/>
      <c r="CL112" s="76"/>
      <c r="CM112" s="76"/>
      <c r="CN112" s="76">
        <f>+CM112*22000</f>
        <v>0</v>
      </c>
      <c r="CO112" s="76"/>
      <c r="CP112" s="76">
        <f>+CO112*46000</f>
        <v>0</v>
      </c>
      <c r="CQ112" s="76"/>
      <c r="CR112" s="76">
        <f>+CQ112*49000</f>
        <v>0</v>
      </c>
      <c r="CS112" s="76"/>
      <c r="CT112" s="76"/>
      <c r="CU112" s="56">
        <f>AN112+AP112+AR112+AT112+AV112+AX112+AZ112+BB112+BD112+BF112+BH112+BJ112+BL112+BN112+BP112+BR112+BT112+BV112+BX112+BZ112+CB112+CD112+CF112+CH112+CJ112+CL112+CN112+CP112+CR112+CT112</f>
        <v>0</v>
      </c>
      <c r="CV112" s="76"/>
      <c r="CW112" s="76">
        <f>+CV112*1100</f>
        <v>0</v>
      </c>
      <c r="CX112" s="76"/>
      <c r="CY112" s="76">
        <f>+CX112*106250</f>
        <v>0</v>
      </c>
      <c r="CZ112" s="76"/>
      <c r="DA112" s="76">
        <f>+CZ112*34500</f>
        <v>0</v>
      </c>
      <c r="DB112" s="76"/>
      <c r="DC112" s="76">
        <f>+DB112*25000</f>
        <v>0</v>
      </c>
      <c r="DD112" s="219"/>
      <c r="DE112" s="219"/>
      <c r="DF112" s="164"/>
      <c r="DG112" s="116"/>
      <c r="DH112" s="117"/>
      <c r="DI112" s="24"/>
      <c r="DJ112" s="24"/>
      <c r="DK112" s="24"/>
      <c r="DL112" s="24"/>
      <c r="DM112" s="24"/>
      <c r="DN112" s="24"/>
      <c r="DO112" s="24"/>
      <c r="DP112" s="24"/>
      <c r="DQ112" s="24"/>
      <c r="DR112" s="24"/>
      <c r="DS112" s="24"/>
      <c r="DT112" s="24"/>
      <c r="DU112" s="24"/>
    </row>
    <row r="113" spans="1:125" s="8" customFormat="1" ht="36" x14ac:dyDescent="0.2">
      <c r="A113" s="77">
        <v>41283</v>
      </c>
      <c r="B113" s="78" t="s">
        <v>2894</v>
      </c>
      <c r="C113" s="75" t="s">
        <v>2681</v>
      </c>
      <c r="D113" s="81" t="s">
        <v>2846</v>
      </c>
      <c r="E113" s="75" t="str">
        <f>VLOOKUP(B113&amp;C113,Divipola!$C$2:$F$1138,4,FALSE)</f>
        <v>05212</v>
      </c>
      <c r="F113" s="87"/>
      <c r="G113" s="87"/>
      <c r="H113" s="87"/>
      <c r="I113" s="87"/>
      <c r="J113" s="87"/>
      <c r="K113" s="87"/>
      <c r="L113" s="87"/>
      <c r="M113" s="87"/>
      <c r="N113" s="87"/>
      <c r="O113" s="87"/>
      <c r="P113" s="87"/>
      <c r="Q113" s="87"/>
      <c r="R113" s="87"/>
      <c r="S113" s="87"/>
      <c r="T113" s="87"/>
      <c r="U113" s="127">
        <v>7</v>
      </c>
      <c r="V113" s="89"/>
      <c r="W113" s="96">
        <v>0</v>
      </c>
      <c r="X113" s="71">
        <f>CU113</f>
        <v>0</v>
      </c>
      <c r="Y113" s="71">
        <f>CY113</f>
        <v>0</v>
      </c>
      <c r="Z113" s="71">
        <f>DA113+DC113+DE113</f>
        <v>0</v>
      </c>
      <c r="AA113" s="71">
        <f>CW113</f>
        <v>0</v>
      </c>
      <c r="AB113" s="71"/>
      <c r="AC113" s="71">
        <v>0</v>
      </c>
      <c r="AD113" s="71">
        <f>W113+X113+Y113+Z113+AA113+AB113+AC113</f>
        <v>0</v>
      </c>
      <c r="AE113" s="72">
        <v>0</v>
      </c>
      <c r="AF113" s="5"/>
      <c r="AG113" s="6"/>
      <c r="AH113" s="27" t="s">
        <v>3392</v>
      </c>
      <c r="AI113" s="44" t="s">
        <v>3393</v>
      </c>
      <c r="AJ113" s="26"/>
      <c r="AK113" s="5"/>
      <c r="AL113" s="82" t="s">
        <v>2955</v>
      </c>
      <c r="AM113" s="76"/>
      <c r="AN113" s="76"/>
      <c r="AO113" s="76"/>
      <c r="AP113" s="76"/>
      <c r="AQ113" s="76"/>
      <c r="AR113" s="76"/>
      <c r="AS113" s="76"/>
      <c r="AT113" s="76"/>
      <c r="AU113" s="76"/>
      <c r="AV113" s="76"/>
      <c r="AW113" s="76"/>
      <c r="AX113" s="76">
        <f>+AW113*600000</f>
        <v>0</v>
      </c>
      <c r="AY113" s="76"/>
      <c r="AZ113" s="76">
        <f>+AY113*70000</f>
        <v>0</v>
      </c>
      <c r="BA113" s="76"/>
      <c r="BB113" s="76"/>
      <c r="BC113" s="76"/>
      <c r="BD113" s="76">
        <f>+BC113*30000</f>
        <v>0</v>
      </c>
      <c r="BE113" s="76"/>
      <c r="BF113" s="76"/>
      <c r="BG113" s="76"/>
      <c r="BH113" s="76"/>
      <c r="BI113" s="76"/>
      <c r="BJ113" s="76"/>
      <c r="BK113" s="76"/>
      <c r="BL113" s="76">
        <f>+BK113*31500</f>
        <v>0</v>
      </c>
      <c r="BM113" s="76"/>
      <c r="BN113" s="76"/>
      <c r="BO113" s="76"/>
      <c r="BP113" s="76"/>
      <c r="BQ113" s="76"/>
      <c r="BR113" s="76"/>
      <c r="BS113" s="76"/>
      <c r="BT113" s="76"/>
      <c r="BU113" s="76"/>
      <c r="BV113" s="76"/>
      <c r="BW113" s="76"/>
      <c r="BX113" s="76"/>
      <c r="BY113" s="76"/>
      <c r="BZ113" s="76"/>
      <c r="CA113" s="76"/>
      <c r="CB113" s="76"/>
      <c r="CC113" s="76"/>
      <c r="CD113" s="76"/>
      <c r="CE113" s="76"/>
      <c r="CF113" s="76">
        <f>+CE113*28000</f>
        <v>0</v>
      </c>
      <c r="CG113" s="76"/>
      <c r="CH113" s="76">
        <f>+CG113*22500</f>
        <v>0</v>
      </c>
      <c r="CI113" s="76"/>
      <c r="CJ113" s="76">
        <f>+CI113*26000</f>
        <v>0</v>
      </c>
      <c r="CK113" s="76"/>
      <c r="CL113" s="76"/>
      <c r="CM113" s="76"/>
      <c r="CN113" s="76">
        <f>+CM113*22000</f>
        <v>0</v>
      </c>
      <c r="CO113" s="76"/>
      <c r="CP113" s="76">
        <f>+CO113*46000</f>
        <v>0</v>
      </c>
      <c r="CQ113" s="76"/>
      <c r="CR113" s="76">
        <f>+CQ113*49000</f>
        <v>0</v>
      </c>
      <c r="CS113" s="76"/>
      <c r="CT113" s="76"/>
      <c r="CU113" s="56">
        <f>AN113+AP113+AR113+AT113+AV113+AX113+AZ113+BB113+BD113+BF113+BH113+BJ113+BL113+BN113+BP113+BR113+BT113+BV113+BX113+BZ113+CB113+CD113+CF113+CH113+CJ113+CL113+CN113+CP113+CR113+CT113</f>
        <v>0</v>
      </c>
      <c r="CV113" s="76"/>
      <c r="CW113" s="76">
        <f>+CV113*1100</f>
        <v>0</v>
      </c>
      <c r="CX113" s="76"/>
      <c r="CY113" s="76">
        <f>+CX113*106250</f>
        <v>0</v>
      </c>
      <c r="CZ113" s="76"/>
      <c r="DA113" s="76">
        <f>+CZ113*34500</f>
        <v>0</v>
      </c>
      <c r="DB113" s="76"/>
      <c r="DC113" s="76">
        <f>+DB113*25000</f>
        <v>0</v>
      </c>
      <c r="DD113" s="219"/>
      <c r="DE113" s="219"/>
      <c r="DF113" s="164"/>
      <c r="DG113" s="116"/>
      <c r="DH113" s="117"/>
      <c r="DI113" s="24"/>
      <c r="DJ113" s="24"/>
      <c r="DK113" s="24"/>
      <c r="DL113" s="24"/>
      <c r="DM113" s="24"/>
      <c r="DN113" s="24"/>
      <c r="DO113" s="24"/>
      <c r="DP113" s="24"/>
      <c r="DQ113" s="24"/>
      <c r="DR113" s="24"/>
      <c r="DS113" s="24"/>
      <c r="DT113" s="24"/>
      <c r="DU113" s="24"/>
    </row>
    <row r="114" spans="1:125" s="8" customFormat="1" ht="60" x14ac:dyDescent="0.2">
      <c r="A114" s="77">
        <v>41283</v>
      </c>
      <c r="B114" s="80" t="s">
        <v>2894</v>
      </c>
      <c r="C114" s="81" t="s">
        <v>2447</v>
      </c>
      <c r="D114" s="81" t="s">
        <v>2859</v>
      </c>
      <c r="E114" s="75" t="str">
        <f>VLOOKUP(B114&amp;C114,Divipola!$C$2:$F$1138,4,FALSE)</f>
        <v>05266</v>
      </c>
      <c r="F114" s="87"/>
      <c r="G114" s="87"/>
      <c r="H114" s="87"/>
      <c r="I114" s="87">
        <v>5</v>
      </c>
      <c r="J114" s="87">
        <v>1</v>
      </c>
      <c r="K114" s="87">
        <v>1</v>
      </c>
      <c r="L114" s="87"/>
      <c r="M114" s="87"/>
      <c r="N114" s="87"/>
      <c r="O114" s="87"/>
      <c r="P114" s="87"/>
      <c r="Q114" s="87"/>
      <c r="R114" s="87"/>
      <c r="S114" s="87"/>
      <c r="T114" s="87"/>
      <c r="U114" s="127"/>
      <c r="V114" s="89"/>
      <c r="W114" s="96">
        <v>0</v>
      </c>
      <c r="X114" s="71">
        <f>CU114</f>
        <v>0</v>
      </c>
      <c r="Y114" s="71">
        <f>CY114</f>
        <v>0</v>
      </c>
      <c r="Z114" s="71">
        <f>DA114+DC114+DE114</f>
        <v>0</v>
      </c>
      <c r="AA114" s="71">
        <f>CW114</f>
        <v>0</v>
      </c>
      <c r="AB114" s="71"/>
      <c r="AC114" s="71">
        <v>0</v>
      </c>
      <c r="AD114" s="71">
        <f>W114+X114+Y114+Z114+AA114+AB114+AC114</f>
        <v>0</v>
      </c>
      <c r="AE114" s="72">
        <v>0</v>
      </c>
      <c r="AF114" s="5"/>
      <c r="AG114" s="6"/>
      <c r="AH114" s="27" t="s">
        <v>3392</v>
      </c>
      <c r="AI114" s="44" t="s">
        <v>3393</v>
      </c>
      <c r="AJ114" s="26"/>
      <c r="AK114" s="5"/>
      <c r="AL114" s="82" t="s">
        <v>2967</v>
      </c>
      <c r="AM114" s="76"/>
      <c r="AN114" s="76"/>
      <c r="AO114" s="76"/>
      <c r="AP114" s="76"/>
      <c r="AQ114" s="76"/>
      <c r="AR114" s="76"/>
      <c r="AS114" s="76"/>
      <c r="AT114" s="76"/>
      <c r="AU114" s="76"/>
      <c r="AV114" s="76"/>
      <c r="AW114" s="76"/>
      <c r="AX114" s="76">
        <f>+AW114*600000</f>
        <v>0</v>
      </c>
      <c r="AY114" s="76"/>
      <c r="AZ114" s="76">
        <f>+AY114*70000</f>
        <v>0</v>
      </c>
      <c r="BA114" s="76"/>
      <c r="BB114" s="76"/>
      <c r="BC114" s="76"/>
      <c r="BD114" s="76">
        <f>+BC114*30000</f>
        <v>0</v>
      </c>
      <c r="BE114" s="76"/>
      <c r="BF114" s="76"/>
      <c r="BG114" s="76"/>
      <c r="BH114" s="76"/>
      <c r="BI114" s="76"/>
      <c r="BJ114" s="76"/>
      <c r="BK114" s="76"/>
      <c r="BL114" s="76">
        <f>+BK114*31500</f>
        <v>0</v>
      </c>
      <c r="BM114" s="76"/>
      <c r="BN114" s="76"/>
      <c r="BO114" s="76"/>
      <c r="BP114" s="76"/>
      <c r="BQ114" s="76"/>
      <c r="BR114" s="76"/>
      <c r="BS114" s="76"/>
      <c r="BT114" s="76"/>
      <c r="BU114" s="76"/>
      <c r="BV114" s="76"/>
      <c r="BW114" s="76"/>
      <c r="BX114" s="76"/>
      <c r="BY114" s="76"/>
      <c r="BZ114" s="76"/>
      <c r="CA114" s="76"/>
      <c r="CB114" s="76"/>
      <c r="CC114" s="76"/>
      <c r="CD114" s="76"/>
      <c r="CE114" s="76"/>
      <c r="CF114" s="76">
        <f>+CE114*28000</f>
        <v>0</v>
      </c>
      <c r="CG114" s="76"/>
      <c r="CH114" s="76">
        <f>+CG114*22500</f>
        <v>0</v>
      </c>
      <c r="CI114" s="76"/>
      <c r="CJ114" s="76">
        <f>+CI114*26000</f>
        <v>0</v>
      </c>
      <c r="CK114" s="76"/>
      <c r="CL114" s="76"/>
      <c r="CM114" s="76"/>
      <c r="CN114" s="76">
        <f>+CM114*22000</f>
        <v>0</v>
      </c>
      <c r="CO114" s="76"/>
      <c r="CP114" s="76">
        <f>+CO114*46000</f>
        <v>0</v>
      </c>
      <c r="CQ114" s="76"/>
      <c r="CR114" s="76">
        <f>+CQ114*49000</f>
        <v>0</v>
      </c>
      <c r="CS114" s="76"/>
      <c r="CT114" s="76"/>
      <c r="CU114" s="56">
        <f>AN114+AP114+AR114+AT114+AV114+AX114+AZ114+BB114+BD114+BF114+BH114+BJ114+BL114+BN114+BP114+BR114+BT114+BV114+BX114+BZ114+CB114+CD114+CF114+CH114+CJ114+CL114+CN114+CP114+CR114+CT114</f>
        <v>0</v>
      </c>
      <c r="CV114" s="76"/>
      <c r="CW114" s="76">
        <f>+CV114*1100</f>
        <v>0</v>
      </c>
      <c r="CX114" s="76"/>
      <c r="CY114" s="76">
        <f>+CX114*106250</f>
        <v>0</v>
      </c>
      <c r="CZ114" s="76"/>
      <c r="DA114" s="76">
        <f>+CZ114*34500</f>
        <v>0</v>
      </c>
      <c r="DB114" s="76"/>
      <c r="DC114" s="76">
        <f>+DB114*25000</f>
        <v>0</v>
      </c>
      <c r="DD114" s="219"/>
      <c r="DE114" s="219"/>
      <c r="DF114" s="164"/>
      <c r="DG114" s="116"/>
      <c r="DH114" s="117"/>
      <c r="DI114" s="24"/>
      <c r="DJ114" s="24"/>
      <c r="DK114" s="24"/>
      <c r="DL114" s="24"/>
      <c r="DM114" s="24"/>
      <c r="DN114" s="24"/>
      <c r="DO114" s="24"/>
      <c r="DP114" s="24"/>
      <c r="DQ114" s="24"/>
      <c r="DR114" s="24"/>
      <c r="DS114" s="24"/>
      <c r="DT114" s="24"/>
      <c r="DU114" s="24"/>
    </row>
    <row r="115" spans="1:125" s="8" customFormat="1" ht="84" x14ac:dyDescent="0.2">
      <c r="A115" s="77">
        <v>41283</v>
      </c>
      <c r="B115" s="84" t="s">
        <v>2894</v>
      </c>
      <c r="C115" s="84" t="s">
        <v>2032</v>
      </c>
      <c r="D115" s="81" t="s">
        <v>2846</v>
      </c>
      <c r="E115" s="75" t="str">
        <f>VLOOKUP(B115&amp;C115,Divipola!$C$2:$F$1138,4,FALSE)</f>
        <v>05001</v>
      </c>
      <c r="F115" s="89"/>
      <c r="G115" s="89"/>
      <c r="H115" s="89"/>
      <c r="I115" s="89"/>
      <c r="J115" s="89"/>
      <c r="K115" s="89"/>
      <c r="L115" s="89"/>
      <c r="M115" s="89"/>
      <c r="N115" s="89"/>
      <c r="O115" s="89"/>
      <c r="P115" s="89"/>
      <c r="Q115" s="89"/>
      <c r="R115" s="89"/>
      <c r="S115" s="89"/>
      <c r="T115" s="89"/>
      <c r="U115" s="126"/>
      <c r="V115" s="89"/>
      <c r="W115" s="96">
        <v>0</v>
      </c>
      <c r="X115" s="71">
        <f>CU115</f>
        <v>0</v>
      </c>
      <c r="Y115" s="71">
        <f>CY115</f>
        <v>0</v>
      </c>
      <c r="Z115" s="71">
        <f>DA115+DC115+DE115</f>
        <v>0</v>
      </c>
      <c r="AA115" s="71">
        <f>CW115</f>
        <v>0</v>
      </c>
      <c r="AB115" s="71"/>
      <c r="AC115" s="71">
        <v>0</v>
      </c>
      <c r="AD115" s="71">
        <f>W115+X115+Y115+Z115+AA115+AB115+AC115</f>
        <v>0</v>
      </c>
      <c r="AE115" s="72">
        <v>0</v>
      </c>
      <c r="AF115" s="5"/>
      <c r="AG115" s="6"/>
      <c r="AH115" s="27" t="s">
        <v>3392</v>
      </c>
      <c r="AI115" s="44" t="s">
        <v>3393</v>
      </c>
      <c r="AJ115" s="26"/>
      <c r="AK115" s="5"/>
      <c r="AL115" s="82" t="s">
        <v>2972</v>
      </c>
      <c r="AM115" s="76"/>
      <c r="AN115" s="76"/>
      <c r="AO115" s="76"/>
      <c r="AP115" s="76"/>
      <c r="AQ115" s="76"/>
      <c r="AR115" s="76"/>
      <c r="AS115" s="76"/>
      <c r="AT115" s="76"/>
      <c r="AU115" s="76"/>
      <c r="AV115" s="76"/>
      <c r="AW115" s="76"/>
      <c r="AX115" s="76">
        <f>+AW115*600000</f>
        <v>0</v>
      </c>
      <c r="AY115" s="76"/>
      <c r="AZ115" s="76">
        <f>+AY115*70000</f>
        <v>0</v>
      </c>
      <c r="BA115" s="76"/>
      <c r="BB115" s="76"/>
      <c r="BC115" s="76"/>
      <c r="BD115" s="76">
        <f>+BC115*30000</f>
        <v>0</v>
      </c>
      <c r="BE115" s="76"/>
      <c r="BF115" s="76"/>
      <c r="BG115" s="76"/>
      <c r="BH115" s="76"/>
      <c r="BI115" s="76"/>
      <c r="BJ115" s="76"/>
      <c r="BK115" s="76"/>
      <c r="BL115" s="76">
        <f>+BK115*31500</f>
        <v>0</v>
      </c>
      <c r="BM115" s="76"/>
      <c r="BN115" s="76"/>
      <c r="BO115" s="76"/>
      <c r="BP115" s="76"/>
      <c r="BQ115" s="76"/>
      <c r="BR115" s="76"/>
      <c r="BS115" s="76"/>
      <c r="BT115" s="76"/>
      <c r="BU115" s="76"/>
      <c r="BV115" s="76"/>
      <c r="BW115" s="76"/>
      <c r="BX115" s="76"/>
      <c r="BY115" s="76"/>
      <c r="BZ115" s="76"/>
      <c r="CA115" s="76"/>
      <c r="CB115" s="76"/>
      <c r="CC115" s="76"/>
      <c r="CD115" s="76"/>
      <c r="CE115" s="76"/>
      <c r="CF115" s="76">
        <f>+CE115*28000</f>
        <v>0</v>
      </c>
      <c r="CG115" s="76"/>
      <c r="CH115" s="76">
        <f>+CG115*22500</f>
        <v>0</v>
      </c>
      <c r="CI115" s="76"/>
      <c r="CJ115" s="76">
        <f>+CI115*26000</f>
        <v>0</v>
      </c>
      <c r="CK115" s="76"/>
      <c r="CL115" s="76"/>
      <c r="CM115" s="76"/>
      <c r="CN115" s="76">
        <f>+CM115*22000</f>
        <v>0</v>
      </c>
      <c r="CO115" s="76"/>
      <c r="CP115" s="76">
        <f>+CO115*46000</f>
        <v>0</v>
      </c>
      <c r="CQ115" s="76"/>
      <c r="CR115" s="76">
        <f>+CQ115*49000</f>
        <v>0</v>
      </c>
      <c r="CS115" s="76"/>
      <c r="CT115" s="76"/>
      <c r="CU115" s="56">
        <f>AN115+AP115+AR115+AT115+AV115+AX115+AZ115+BB115+BD115+BF115+BH115+BJ115+BL115+BN115+BP115+BR115+BT115+BV115+BX115+BZ115+CB115+CD115+CF115+CH115+CJ115+CL115+CN115+CP115+CR115+CT115</f>
        <v>0</v>
      </c>
      <c r="CV115" s="76"/>
      <c r="CW115" s="76">
        <f>+CV115*1100</f>
        <v>0</v>
      </c>
      <c r="CX115" s="76"/>
      <c r="CY115" s="76">
        <f>+CX115*106250</f>
        <v>0</v>
      </c>
      <c r="CZ115" s="76"/>
      <c r="DA115" s="76">
        <f>+CZ115*34500</f>
        <v>0</v>
      </c>
      <c r="DB115" s="76"/>
      <c r="DC115" s="76">
        <f>+DB115*25000</f>
        <v>0</v>
      </c>
      <c r="DD115" s="219"/>
      <c r="DE115" s="219"/>
      <c r="DF115" s="164"/>
      <c r="DG115" s="116"/>
      <c r="DH115" s="117"/>
      <c r="DI115" s="24"/>
      <c r="DJ115" s="24"/>
      <c r="DK115" s="24"/>
      <c r="DL115" s="24"/>
      <c r="DM115" s="24"/>
      <c r="DN115" s="24"/>
      <c r="DO115" s="24"/>
      <c r="DP115" s="24"/>
      <c r="DQ115" s="24"/>
      <c r="DR115" s="24"/>
      <c r="DS115" s="24"/>
      <c r="DT115" s="24"/>
      <c r="DU115" s="24"/>
    </row>
    <row r="116" spans="1:125" s="8" customFormat="1" ht="84" x14ac:dyDescent="0.2">
      <c r="A116" s="77">
        <v>41283</v>
      </c>
      <c r="B116" s="78" t="s">
        <v>529</v>
      </c>
      <c r="C116" s="75" t="s">
        <v>529</v>
      </c>
      <c r="D116" s="75" t="s">
        <v>2859</v>
      </c>
      <c r="E116" s="75" t="str">
        <f>VLOOKUP(B116&amp;C116,Divipola!$C$2:$F$1138,4,FALSE)</f>
        <v>11001</v>
      </c>
      <c r="F116" s="87"/>
      <c r="G116" s="87">
        <v>4</v>
      </c>
      <c r="H116" s="87"/>
      <c r="I116" s="87">
        <v>4</v>
      </c>
      <c r="J116" s="87">
        <v>1</v>
      </c>
      <c r="K116" s="87"/>
      <c r="L116" s="87">
        <v>1</v>
      </c>
      <c r="M116" s="87"/>
      <c r="N116" s="87"/>
      <c r="O116" s="87"/>
      <c r="P116" s="87"/>
      <c r="Q116" s="87"/>
      <c r="R116" s="87"/>
      <c r="S116" s="87"/>
      <c r="T116" s="87"/>
      <c r="U116" s="127"/>
      <c r="V116" s="89"/>
      <c r="W116" s="96">
        <v>0</v>
      </c>
      <c r="X116" s="71">
        <f>CU116</f>
        <v>0</v>
      </c>
      <c r="Y116" s="71">
        <f>CY116</f>
        <v>0</v>
      </c>
      <c r="Z116" s="71">
        <f>DA116+DC116+DE116</f>
        <v>0</v>
      </c>
      <c r="AA116" s="71">
        <f>CW116</f>
        <v>0</v>
      </c>
      <c r="AB116" s="71"/>
      <c r="AC116" s="71">
        <v>0</v>
      </c>
      <c r="AD116" s="71">
        <f>W116+X116+Y116+Z116+AA116+AB116+AC116</f>
        <v>0</v>
      </c>
      <c r="AE116" s="72">
        <v>0</v>
      </c>
      <c r="AF116" s="5"/>
      <c r="AG116" s="6"/>
      <c r="AH116" s="27" t="s">
        <v>3392</v>
      </c>
      <c r="AI116" s="44" t="s">
        <v>3393</v>
      </c>
      <c r="AJ116" s="26"/>
      <c r="AK116" s="5"/>
      <c r="AL116" s="82" t="s">
        <v>2973</v>
      </c>
      <c r="AM116" s="76"/>
      <c r="AN116" s="76"/>
      <c r="AO116" s="76"/>
      <c r="AP116" s="76"/>
      <c r="AQ116" s="76"/>
      <c r="AR116" s="76"/>
      <c r="AS116" s="76"/>
      <c r="AT116" s="76"/>
      <c r="AU116" s="76"/>
      <c r="AV116" s="76"/>
      <c r="AW116" s="76"/>
      <c r="AX116" s="76">
        <f>+AW116*600000</f>
        <v>0</v>
      </c>
      <c r="AY116" s="76"/>
      <c r="AZ116" s="76">
        <f>+AY116*70000</f>
        <v>0</v>
      </c>
      <c r="BA116" s="76"/>
      <c r="BB116" s="76"/>
      <c r="BC116" s="76"/>
      <c r="BD116" s="76">
        <f>+BC116*30000</f>
        <v>0</v>
      </c>
      <c r="BE116" s="76"/>
      <c r="BF116" s="76"/>
      <c r="BG116" s="76"/>
      <c r="BH116" s="76"/>
      <c r="BI116" s="76"/>
      <c r="BJ116" s="76"/>
      <c r="BK116" s="76"/>
      <c r="BL116" s="76">
        <f>+BK116*31500</f>
        <v>0</v>
      </c>
      <c r="BM116" s="76"/>
      <c r="BN116" s="76"/>
      <c r="BO116" s="76"/>
      <c r="BP116" s="76"/>
      <c r="BQ116" s="76"/>
      <c r="BR116" s="76"/>
      <c r="BS116" s="76"/>
      <c r="BT116" s="76"/>
      <c r="BU116" s="76"/>
      <c r="BV116" s="76"/>
      <c r="BW116" s="76"/>
      <c r="BX116" s="76"/>
      <c r="BY116" s="76"/>
      <c r="BZ116" s="76"/>
      <c r="CA116" s="76"/>
      <c r="CB116" s="76"/>
      <c r="CC116" s="76"/>
      <c r="CD116" s="76"/>
      <c r="CE116" s="76"/>
      <c r="CF116" s="76">
        <f>+CE116*28000</f>
        <v>0</v>
      </c>
      <c r="CG116" s="76"/>
      <c r="CH116" s="76">
        <f>+CG116*22500</f>
        <v>0</v>
      </c>
      <c r="CI116" s="76"/>
      <c r="CJ116" s="76">
        <f>+CI116*26000</f>
        <v>0</v>
      </c>
      <c r="CK116" s="76"/>
      <c r="CL116" s="76"/>
      <c r="CM116" s="76"/>
      <c r="CN116" s="76">
        <f>+CM116*22000</f>
        <v>0</v>
      </c>
      <c r="CO116" s="76"/>
      <c r="CP116" s="76">
        <f>+CO116*46000</f>
        <v>0</v>
      </c>
      <c r="CQ116" s="76"/>
      <c r="CR116" s="76">
        <f>+CQ116*49000</f>
        <v>0</v>
      </c>
      <c r="CS116" s="76"/>
      <c r="CT116" s="76"/>
      <c r="CU116" s="56">
        <f>AN116+AP116+AR116+AT116+AV116+AX116+AZ116+BB116+BD116+BF116+BH116+BJ116+BL116+BN116+BP116+BR116+BT116+BV116+BX116+BZ116+CB116+CD116+CF116+CH116+CJ116+CL116+CN116+CP116+CR116+CT116</f>
        <v>0</v>
      </c>
      <c r="CV116" s="76"/>
      <c r="CW116" s="76">
        <f>+CV116*1100</f>
        <v>0</v>
      </c>
      <c r="CX116" s="76"/>
      <c r="CY116" s="76">
        <f>+CX116*106250</f>
        <v>0</v>
      </c>
      <c r="CZ116" s="76"/>
      <c r="DA116" s="76">
        <f>+CZ116*34500</f>
        <v>0</v>
      </c>
      <c r="DB116" s="76"/>
      <c r="DC116" s="76">
        <f>+DB116*25000</f>
        <v>0</v>
      </c>
      <c r="DD116" s="219"/>
      <c r="DE116" s="219"/>
      <c r="DF116" s="164"/>
      <c r="DG116" s="116"/>
      <c r="DH116" s="117"/>
      <c r="DI116" s="24"/>
      <c r="DJ116" s="24"/>
      <c r="DK116" s="24"/>
      <c r="DL116" s="24"/>
      <c r="DM116" s="24"/>
      <c r="DN116" s="24"/>
      <c r="DO116" s="24"/>
      <c r="DP116" s="24"/>
      <c r="DQ116" s="24"/>
      <c r="DR116" s="24"/>
      <c r="DS116" s="24"/>
      <c r="DT116" s="24"/>
      <c r="DU116" s="24"/>
    </row>
    <row r="117" spans="1:125" s="8" customFormat="1" ht="84" x14ac:dyDescent="0.2">
      <c r="A117" s="85">
        <v>41283</v>
      </c>
      <c r="B117" s="80" t="s">
        <v>2777</v>
      </c>
      <c r="C117" s="81" t="s">
        <v>2761</v>
      </c>
      <c r="D117" s="81" t="s">
        <v>2846</v>
      </c>
      <c r="E117" s="75" t="str">
        <f>VLOOKUP(B117&amp;C117,Divipola!$C$2:$F$1138,4,FALSE)</f>
        <v>13188</v>
      </c>
      <c r="F117" s="87"/>
      <c r="G117" s="87"/>
      <c r="H117" s="87"/>
      <c r="I117" s="87"/>
      <c r="J117" s="87"/>
      <c r="K117" s="87"/>
      <c r="L117" s="87"/>
      <c r="M117" s="87"/>
      <c r="N117" s="87"/>
      <c r="O117" s="87"/>
      <c r="P117" s="87"/>
      <c r="Q117" s="87"/>
      <c r="R117" s="87"/>
      <c r="S117" s="87"/>
      <c r="T117" s="87"/>
      <c r="U117" s="127">
        <v>1</v>
      </c>
      <c r="V117" s="89"/>
      <c r="W117" s="96">
        <v>0</v>
      </c>
      <c r="X117" s="71">
        <f>CU117</f>
        <v>0</v>
      </c>
      <c r="Y117" s="71">
        <f>CY117</f>
        <v>0</v>
      </c>
      <c r="Z117" s="71">
        <f>DA117+DC117+DE117</f>
        <v>0</v>
      </c>
      <c r="AA117" s="71">
        <f>CW117</f>
        <v>0</v>
      </c>
      <c r="AB117" s="71"/>
      <c r="AC117" s="71">
        <v>0</v>
      </c>
      <c r="AD117" s="71">
        <f>W117+X117+Y117+Z117+AA117+AB117+AC117</f>
        <v>0</v>
      </c>
      <c r="AE117" s="72">
        <v>0</v>
      </c>
      <c r="AF117" s="5"/>
      <c r="AG117" s="6"/>
      <c r="AH117" s="27" t="s">
        <v>3392</v>
      </c>
      <c r="AI117" s="44" t="s">
        <v>3393</v>
      </c>
      <c r="AJ117" s="26"/>
      <c r="AK117" s="5"/>
      <c r="AL117" s="82" t="s">
        <v>2976</v>
      </c>
      <c r="AM117" s="76"/>
      <c r="AN117" s="76"/>
      <c r="AO117" s="76"/>
      <c r="AP117" s="76"/>
      <c r="AQ117" s="76"/>
      <c r="AR117" s="76"/>
      <c r="AS117" s="76"/>
      <c r="AT117" s="76"/>
      <c r="AU117" s="76"/>
      <c r="AV117" s="76"/>
      <c r="AW117" s="76"/>
      <c r="AX117" s="76">
        <f>+AW117*600000</f>
        <v>0</v>
      </c>
      <c r="AY117" s="76"/>
      <c r="AZ117" s="76">
        <f>+AY117*70000</f>
        <v>0</v>
      </c>
      <c r="BA117" s="76"/>
      <c r="BB117" s="76"/>
      <c r="BC117" s="76"/>
      <c r="BD117" s="76">
        <f>+BC117*30000</f>
        <v>0</v>
      </c>
      <c r="BE117" s="76"/>
      <c r="BF117" s="76"/>
      <c r="BG117" s="76"/>
      <c r="BH117" s="76"/>
      <c r="BI117" s="76"/>
      <c r="BJ117" s="76"/>
      <c r="BK117" s="76"/>
      <c r="BL117" s="76">
        <f>+BK117*31500</f>
        <v>0</v>
      </c>
      <c r="BM117" s="76"/>
      <c r="BN117" s="76"/>
      <c r="BO117" s="76"/>
      <c r="BP117" s="76"/>
      <c r="BQ117" s="76"/>
      <c r="BR117" s="76"/>
      <c r="BS117" s="76"/>
      <c r="BT117" s="76"/>
      <c r="BU117" s="76"/>
      <c r="BV117" s="76"/>
      <c r="BW117" s="76"/>
      <c r="BX117" s="76"/>
      <c r="BY117" s="76"/>
      <c r="BZ117" s="76"/>
      <c r="CA117" s="76"/>
      <c r="CB117" s="76"/>
      <c r="CC117" s="76"/>
      <c r="CD117" s="76"/>
      <c r="CE117" s="76"/>
      <c r="CF117" s="76">
        <f>+CE117*28000</f>
        <v>0</v>
      </c>
      <c r="CG117" s="76"/>
      <c r="CH117" s="76">
        <f>+CG117*22500</f>
        <v>0</v>
      </c>
      <c r="CI117" s="76"/>
      <c r="CJ117" s="76">
        <f>+CI117*26000</f>
        <v>0</v>
      </c>
      <c r="CK117" s="76"/>
      <c r="CL117" s="76"/>
      <c r="CM117" s="76"/>
      <c r="CN117" s="76">
        <f>+CM117*22000</f>
        <v>0</v>
      </c>
      <c r="CO117" s="76"/>
      <c r="CP117" s="76">
        <f>+CO117*46000</f>
        <v>0</v>
      </c>
      <c r="CQ117" s="76"/>
      <c r="CR117" s="76">
        <f>+CQ117*49000</f>
        <v>0</v>
      </c>
      <c r="CS117" s="76"/>
      <c r="CT117" s="76"/>
      <c r="CU117" s="56">
        <f>AN117+AP117+AR117+AT117+AV117+AX117+AZ117+BB117+BD117+BF117+BH117+BJ117+BL117+BN117+BP117+BR117+BT117+BV117+BX117+BZ117+CB117+CD117+CF117+CH117+CJ117+CL117+CN117+CP117+CR117+CT117</f>
        <v>0</v>
      </c>
      <c r="CV117" s="76"/>
      <c r="CW117" s="76">
        <f>+CV117*1100</f>
        <v>0</v>
      </c>
      <c r="CX117" s="76"/>
      <c r="CY117" s="76">
        <f>+CX117*106250</f>
        <v>0</v>
      </c>
      <c r="CZ117" s="76"/>
      <c r="DA117" s="76">
        <f>+CZ117*34500</f>
        <v>0</v>
      </c>
      <c r="DB117" s="76"/>
      <c r="DC117" s="76">
        <f>+DB117*25000</f>
        <v>0</v>
      </c>
      <c r="DD117" s="219"/>
      <c r="DE117" s="219"/>
      <c r="DF117" s="164"/>
      <c r="DG117" s="116"/>
      <c r="DH117" s="117"/>
      <c r="DI117" s="24"/>
      <c r="DJ117" s="24"/>
      <c r="DK117" s="24"/>
      <c r="DL117" s="24"/>
      <c r="DM117" s="24"/>
      <c r="DN117" s="24"/>
      <c r="DO117" s="24"/>
      <c r="DP117" s="24"/>
      <c r="DQ117" s="24"/>
      <c r="DR117" s="24"/>
      <c r="DS117" s="24"/>
      <c r="DT117" s="24"/>
      <c r="DU117" s="24"/>
    </row>
    <row r="118" spans="1:125" s="8" customFormat="1" ht="36" x14ac:dyDescent="0.2">
      <c r="A118" s="77">
        <v>41283</v>
      </c>
      <c r="B118" s="80" t="s">
        <v>2700</v>
      </c>
      <c r="C118" s="81" t="s">
        <v>1700</v>
      </c>
      <c r="D118" s="81" t="s">
        <v>2846</v>
      </c>
      <c r="E118" s="75" t="str">
        <f>VLOOKUP(B118&amp;C118,Divipola!$C$2:$F$1138,4,FALSE)</f>
        <v>15238</v>
      </c>
      <c r="F118" s="87"/>
      <c r="G118" s="87"/>
      <c r="H118" s="87"/>
      <c r="I118" s="87"/>
      <c r="J118" s="87"/>
      <c r="K118" s="87"/>
      <c r="L118" s="87"/>
      <c r="M118" s="87"/>
      <c r="N118" s="87"/>
      <c r="O118" s="87"/>
      <c r="P118" s="87"/>
      <c r="Q118" s="87"/>
      <c r="R118" s="87"/>
      <c r="S118" s="87"/>
      <c r="T118" s="87"/>
      <c r="U118" s="127"/>
      <c r="V118" s="89"/>
      <c r="W118" s="96">
        <v>0</v>
      </c>
      <c r="X118" s="71">
        <f>CU118</f>
        <v>0</v>
      </c>
      <c r="Y118" s="71">
        <f>CY118</f>
        <v>0</v>
      </c>
      <c r="Z118" s="71">
        <f>DA118+DC118+DE118</f>
        <v>0</v>
      </c>
      <c r="AA118" s="71">
        <f>CW118</f>
        <v>0</v>
      </c>
      <c r="AB118" s="71"/>
      <c r="AC118" s="71">
        <v>0</v>
      </c>
      <c r="AD118" s="71">
        <f>W118+X118+Y118+Z118+AA118+AB118+AC118</f>
        <v>0</v>
      </c>
      <c r="AE118" s="72">
        <v>0</v>
      </c>
      <c r="AF118" s="5"/>
      <c r="AG118" s="6"/>
      <c r="AH118" s="27" t="s">
        <v>3392</v>
      </c>
      <c r="AI118" s="44" t="s">
        <v>3393</v>
      </c>
      <c r="AJ118" s="26"/>
      <c r="AK118" s="5"/>
      <c r="AL118" s="82" t="s">
        <v>2969</v>
      </c>
      <c r="AM118" s="76"/>
      <c r="AN118" s="76"/>
      <c r="AO118" s="76"/>
      <c r="AP118" s="76"/>
      <c r="AQ118" s="76"/>
      <c r="AR118" s="76"/>
      <c r="AS118" s="76"/>
      <c r="AT118" s="76"/>
      <c r="AU118" s="76"/>
      <c r="AV118" s="76"/>
      <c r="AW118" s="76"/>
      <c r="AX118" s="76">
        <f>+AW118*600000</f>
        <v>0</v>
      </c>
      <c r="AY118" s="76"/>
      <c r="AZ118" s="76">
        <f>+AY118*70000</f>
        <v>0</v>
      </c>
      <c r="BA118" s="76"/>
      <c r="BB118" s="76"/>
      <c r="BC118" s="76"/>
      <c r="BD118" s="76">
        <f>+BC118*30000</f>
        <v>0</v>
      </c>
      <c r="BE118" s="76"/>
      <c r="BF118" s="76"/>
      <c r="BG118" s="76"/>
      <c r="BH118" s="76"/>
      <c r="BI118" s="76"/>
      <c r="BJ118" s="76"/>
      <c r="BK118" s="76"/>
      <c r="BL118" s="76">
        <f>+BK118*31500</f>
        <v>0</v>
      </c>
      <c r="BM118" s="76"/>
      <c r="BN118" s="76"/>
      <c r="BO118" s="76"/>
      <c r="BP118" s="76"/>
      <c r="BQ118" s="76"/>
      <c r="BR118" s="76"/>
      <c r="BS118" s="76"/>
      <c r="BT118" s="76"/>
      <c r="BU118" s="76"/>
      <c r="BV118" s="76"/>
      <c r="BW118" s="76"/>
      <c r="BX118" s="76"/>
      <c r="BY118" s="76"/>
      <c r="BZ118" s="76"/>
      <c r="CA118" s="76"/>
      <c r="CB118" s="76"/>
      <c r="CC118" s="76"/>
      <c r="CD118" s="76"/>
      <c r="CE118" s="76"/>
      <c r="CF118" s="76">
        <f>+CE118*28000</f>
        <v>0</v>
      </c>
      <c r="CG118" s="76"/>
      <c r="CH118" s="76">
        <f>+CG118*22500</f>
        <v>0</v>
      </c>
      <c r="CI118" s="76"/>
      <c r="CJ118" s="76">
        <f>+CI118*26000</f>
        <v>0</v>
      </c>
      <c r="CK118" s="76"/>
      <c r="CL118" s="76"/>
      <c r="CM118" s="76"/>
      <c r="CN118" s="76">
        <f>+CM118*22000</f>
        <v>0</v>
      </c>
      <c r="CO118" s="76"/>
      <c r="CP118" s="76">
        <f>+CO118*46000</f>
        <v>0</v>
      </c>
      <c r="CQ118" s="76"/>
      <c r="CR118" s="76">
        <f>+CQ118*49000</f>
        <v>0</v>
      </c>
      <c r="CS118" s="76"/>
      <c r="CT118" s="76"/>
      <c r="CU118" s="56">
        <f>AN118+AP118+AR118+AT118+AV118+AX118+AZ118+BB118+BD118+BF118+BH118+BJ118+BL118+BN118+BP118+BR118+BT118+BV118+BX118+BZ118+CB118+CD118+CF118+CH118+CJ118+CL118+CN118+CP118+CR118+CT118</f>
        <v>0</v>
      </c>
      <c r="CV118" s="76"/>
      <c r="CW118" s="76">
        <f>+CV118*1100</f>
        <v>0</v>
      </c>
      <c r="CX118" s="76"/>
      <c r="CY118" s="76">
        <f>+CX118*106250</f>
        <v>0</v>
      </c>
      <c r="CZ118" s="76"/>
      <c r="DA118" s="76">
        <f>+CZ118*34500</f>
        <v>0</v>
      </c>
      <c r="DB118" s="76"/>
      <c r="DC118" s="76">
        <f>+DB118*25000</f>
        <v>0</v>
      </c>
      <c r="DD118" s="219"/>
      <c r="DE118" s="219"/>
      <c r="DF118" s="164"/>
      <c r="DG118" s="116"/>
      <c r="DH118" s="117"/>
      <c r="DI118" s="24"/>
      <c r="DJ118" s="24"/>
      <c r="DK118" s="24"/>
      <c r="DL118" s="24"/>
      <c r="DM118" s="24"/>
      <c r="DN118" s="24"/>
      <c r="DO118" s="24"/>
      <c r="DP118" s="24"/>
      <c r="DQ118" s="24"/>
      <c r="DR118" s="24"/>
      <c r="DS118" s="24"/>
      <c r="DT118" s="24"/>
      <c r="DU118" s="24"/>
    </row>
    <row r="119" spans="1:125" s="8" customFormat="1" ht="36" x14ac:dyDescent="0.2">
      <c r="A119" s="77">
        <v>41283</v>
      </c>
      <c r="B119" s="80" t="s">
        <v>2700</v>
      </c>
      <c r="C119" s="81" t="s">
        <v>1653</v>
      </c>
      <c r="D119" s="81" t="s">
        <v>2846</v>
      </c>
      <c r="E119" s="75" t="str">
        <f>VLOOKUP(B119&amp;C119,Divipola!$C$2:$F$1138,4,FALSE)</f>
        <v>15296</v>
      </c>
      <c r="F119" s="87"/>
      <c r="G119" s="87"/>
      <c r="H119" s="87"/>
      <c r="I119" s="87"/>
      <c r="J119" s="87"/>
      <c r="K119" s="87"/>
      <c r="L119" s="87"/>
      <c r="M119" s="87"/>
      <c r="N119" s="87"/>
      <c r="O119" s="87"/>
      <c r="P119" s="87"/>
      <c r="Q119" s="87"/>
      <c r="R119" s="87"/>
      <c r="S119" s="87"/>
      <c r="T119" s="87"/>
      <c r="U119" s="127"/>
      <c r="V119" s="89"/>
      <c r="W119" s="96">
        <v>0</v>
      </c>
      <c r="X119" s="71">
        <f>CU119</f>
        <v>0</v>
      </c>
      <c r="Y119" s="71">
        <f>CY119</f>
        <v>0</v>
      </c>
      <c r="Z119" s="71">
        <f>DA119+DC119+DE119</f>
        <v>0</v>
      </c>
      <c r="AA119" s="71">
        <f>CW119</f>
        <v>0</v>
      </c>
      <c r="AB119" s="71"/>
      <c r="AC119" s="71">
        <v>0</v>
      </c>
      <c r="AD119" s="71">
        <f>W119+X119+Y119+Z119+AA119+AB119+AC119</f>
        <v>0</v>
      </c>
      <c r="AE119" s="72">
        <v>0</v>
      </c>
      <c r="AF119" s="5"/>
      <c r="AG119" s="6"/>
      <c r="AH119" s="27" t="s">
        <v>3392</v>
      </c>
      <c r="AI119" s="44" t="s">
        <v>3393</v>
      </c>
      <c r="AJ119" s="26"/>
      <c r="AK119" s="5"/>
      <c r="AL119" s="82" t="s">
        <v>2968</v>
      </c>
      <c r="AM119" s="76"/>
      <c r="AN119" s="76"/>
      <c r="AO119" s="76"/>
      <c r="AP119" s="76"/>
      <c r="AQ119" s="76"/>
      <c r="AR119" s="76"/>
      <c r="AS119" s="76"/>
      <c r="AT119" s="76"/>
      <c r="AU119" s="76"/>
      <c r="AV119" s="76"/>
      <c r="AW119" s="76"/>
      <c r="AX119" s="76">
        <f>+AW119*600000</f>
        <v>0</v>
      </c>
      <c r="AY119" s="76"/>
      <c r="AZ119" s="76">
        <f>+AY119*70000</f>
        <v>0</v>
      </c>
      <c r="BA119" s="76"/>
      <c r="BB119" s="76"/>
      <c r="BC119" s="76"/>
      <c r="BD119" s="76">
        <f>+BC119*30000</f>
        <v>0</v>
      </c>
      <c r="BE119" s="76"/>
      <c r="BF119" s="76"/>
      <c r="BG119" s="76"/>
      <c r="BH119" s="76"/>
      <c r="BI119" s="76"/>
      <c r="BJ119" s="76"/>
      <c r="BK119" s="76"/>
      <c r="BL119" s="76">
        <f>+BK119*31500</f>
        <v>0</v>
      </c>
      <c r="BM119" s="76"/>
      <c r="BN119" s="76"/>
      <c r="BO119" s="76"/>
      <c r="BP119" s="76"/>
      <c r="BQ119" s="76"/>
      <c r="BR119" s="76"/>
      <c r="BS119" s="76"/>
      <c r="BT119" s="76"/>
      <c r="BU119" s="76"/>
      <c r="BV119" s="76"/>
      <c r="BW119" s="76"/>
      <c r="BX119" s="76"/>
      <c r="BY119" s="76"/>
      <c r="BZ119" s="76"/>
      <c r="CA119" s="76"/>
      <c r="CB119" s="76"/>
      <c r="CC119" s="76"/>
      <c r="CD119" s="76"/>
      <c r="CE119" s="76"/>
      <c r="CF119" s="76">
        <f>+CE119*28000</f>
        <v>0</v>
      </c>
      <c r="CG119" s="76"/>
      <c r="CH119" s="76">
        <f>+CG119*22500</f>
        <v>0</v>
      </c>
      <c r="CI119" s="76"/>
      <c r="CJ119" s="76">
        <f>+CI119*26000</f>
        <v>0</v>
      </c>
      <c r="CK119" s="76"/>
      <c r="CL119" s="76"/>
      <c r="CM119" s="76"/>
      <c r="CN119" s="76">
        <f>+CM119*22000</f>
        <v>0</v>
      </c>
      <c r="CO119" s="76"/>
      <c r="CP119" s="76">
        <f>+CO119*46000</f>
        <v>0</v>
      </c>
      <c r="CQ119" s="76"/>
      <c r="CR119" s="76">
        <f>+CQ119*49000</f>
        <v>0</v>
      </c>
      <c r="CS119" s="76"/>
      <c r="CT119" s="76"/>
      <c r="CU119" s="56">
        <f>AN119+AP119+AR119+AT119+AV119+AX119+AZ119+BB119+BD119+BF119+BH119+BJ119+BL119+BN119+BP119+BR119+BT119+BV119+BX119+BZ119+CB119+CD119+CF119+CH119+CJ119+CL119+CN119+CP119+CR119+CT119</f>
        <v>0</v>
      </c>
      <c r="CV119" s="76"/>
      <c r="CW119" s="76">
        <f>+CV119*1100</f>
        <v>0</v>
      </c>
      <c r="CX119" s="76"/>
      <c r="CY119" s="76">
        <f>+CX119*106250</f>
        <v>0</v>
      </c>
      <c r="CZ119" s="76"/>
      <c r="DA119" s="76">
        <f>+CZ119*34500</f>
        <v>0</v>
      </c>
      <c r="DB119" s="76"/>
      <c r="DC119" s="76">
        <f>+DB119*25000</f>
        <v>0</v>
      </c>
      <c r="DD119" s="219"/>
      <c r="DE119" s="219"/>
      <c r="DF119" s="164"/>
      <c r="DG119" s="116"/>
      <c r="DH119" s="117"/>
      <c r="DI119" s="24"/>
      <c r="DJ119" s="24"/>
      <c r="DK119" s="24"/>
      <c r="DL119" s="24"/>
      <c r="DM119" s="24"/>
      <c r="DN119" s="24"/>
      <c r="DO119" s="24"/>
      <c r="DP119" s="24"/>
      <c r="DQ119" s="24"/>
      <c r="DR119" s="24"/>
      <c r="DS119" s="24"/>
      <c r="DT119" s="24"/>
      <c r="DU119" s="24"/>
    </row>
    <row r="120" spans="1:125" s="8" customFormat="1" ht="36" x14ac:dyDescent="0.2">
      <c r="A120" s="77">
        <v>41283</v>
      </c>
      <c r="B120" s="80" t="s">
        <v>2700</v>
      </c>
      <c r="C120" s="81" t="s">
        <v>679</v>
      </c>
      <c r="D120" s="81" t="s">
        <v>2846</v>
      </c>
      <c r="E120" s="75" t="str">
        <f>VLOOKUP(B120&amp;C120,Divipola!$C$2:$F$1138,4,FALSE)</f>
        <v>15763</v>
      </c>
      <c r="F120" s="87"/>
      <c r="G120" s="87"/>
      <c r="H120" s="87"/>
      <c r="I120" s="87"/>
      <c r="J120" s="87"/>
      <c r="K120" s="87"/>
      <c r="L120" s="87"/>
      <c r="M120" s="87"/>
      <c r="N120" s="87"/>
      <c r="O120" s="87"/>
      <c r="P120" s="87"/>
      <c r="Q120" s="87"/>
      <c r="R120" s="87"/>
      <c r="S120" s="87"/>
      <c r="T120" s="87"/>
      <c r="U120" s="127"/>
      <c r="V120" s="89"/>
      <c r="W120" s="96">
        <v>0</v>
      </c>
      <c r="X120" s="71">
        <f>CU120</f>
        <v>0</v>
      </c>
      <c r="Y120" s="71">
        <f>CY120</f>
        <v>0</v>
      </c>
      <c r="Z120" s="71">
        <f>DA120+DC120+DE120</f>
        <v>0</v>
      </c>
      <c r="AA120" s="71">
        <f>CW120</f>
        <v>0</v>
      </c>
      <c r="AB120" s="71"/>
      <c r="AC120" s="71">
        <v>0</v>
      </c>
      <c r="AD120" s="71">
        <f>W120+X120+Y120+Z120+AA120+AB120+AC120</f>
        <v>0</v>
      </c>
      <c r="AE120" s="72">
        <v>0</v>
      </c>
      <c r="AF120" s="5"/>
      <c r="AG120" s="6"/>
      <c r="AH120" s="27" t="s">
        <v>3392</v>
      </c>
      <c r="AI120" s="44" t="s">
        <v>3393</v>
      </c>
      <c r="AJ120" s="26"/>
      <c r="AK120" s="5"/>
      <c r="AL120" s="82" t="s">
        <v>2970</v>
      </c>
      <c r="AM120" s="76"/>
      <c r="AN120" s="76"/>
      <c r="AO120" s="76"/>
      <c r="AP120" s="76"/>
      <c r="AQ120" s="76"/>
      <c r="AR120" s="76"/>
      <c r="AS120" s="76"/>
      <c r="AT120" s="76"/>
      <c r="AU120" s="76"/>
      <c r="AV120" s="76"/>
      <c r="AW120" s="76"/>
      <c r="AX120" s="76">
        <f>+AW120*600000</f>
        <v>0</v>
      </c>
      <c r="AY120" s="76"/>
      <c r="AZ120" s="76">
        <f>+AY120*70000</f>
        <v>0</v>
      </c>
      <c r="BA120" s="76"/>
      <c r="BB120" s="76"/>
      <c r="BC120" s="76"/>
      <c r="BD120" s="76">
        <f>+BC120*30000</f>
        <v>0</v>
      </c>
      <c r="BE120" s="76"/>
      <c r="BF120" s="76"/>
      <c r="BG120" s="76"/>
      <c r="BH120" s="76"/>
      <c r="BI120" s="76"/>
      <c r="BJ120" s="76"/>
      <c r="BK120" s="76"/>
      <c r="BL120" s="76">
        <f>+BK120*31500</f>
        <v>0</v>
      </c>
      <c r="BM120" s="76"/>
      <c r="BN120" s="76"/>
      <c r="BO120" s="76"/>
      <c r="BP120" s="76"/>
      <c r="BQ120" s="76"/>
      <c r="BR120" s="76"/>
      <c r="BS120" s="76"/>
      <c r="BT120" s="76"/>
      <c r="BU120" s="76"/>
      <c r="BV120" s="76"/>
      <c r="BW120" s="76"/>
      <c r="BX120" s="76"/>
      <c r="BY120" s="76"/>
      <c r="BZ120" s="76"/>
      <c r="CA120" s="76"/>
      <c r="CB120" s="76"/>
      <c r="CC120" s="76"/>
      <c r="CD120" s="76"/>
      <c r="CE120" s="76"/>
      <c r="CF120" s="76">
        <f>+CE120*28000</f>
        <v>0</v>
      </c>
      <c r="CG120" s="76"/>
      <c r="CH120" s="76">
        <f>+CG120*22500</f>
        <v>0</v>
      </c>
      <c r="CI120" s="76"/>
      <c r="CJ120" s="76">
        <f>+CI120*26000</f>
        <v>0</v>
      </c>
      <c r="CK120" s="76"/>
      <c r="CL120" s="76"/>
      <c r="CM120" s="76"/>
      <c r="CN120" s="76">
        <f>+CM120*22000</f>
        <v>0</v>
      </c>
      <c r="CO120" s="76"/>
      <c r="CP120" s="76">
        <f>+CO120*46000</f>
        <v>0</v>
      </c>
      <c r="CQ120" s="76"/>
      <c r="CR120" s="76">
        <f>+CQ120*49000</f>
        <v>0</v>
      </c>
      <c r="CS120" s="76"/>
      <c r="CT120" s="76"/>
      <c r="CU120" s="56">
        <f>AN120+AP120+AR120+AT120+AV120+AX120+AZ120+BB120+BD120+BF120+BH120+BJ120+BL120+BN120+BP120+BR120+BT120+BV120+BX120+BZ120+CB120+CD120+CF120+CH120+CJ120+CL120+CN120+CP120+CR120+CT120</f>
        <v>0</v>
      </c>
      <c r="CV120" s="76"/>
      <c r="CW120" s="76">
        <f>+CV120*1100</f>
        <v>0</v>
      </c>
      <c r="CX120" s="76"/>
      <c r="CY120" s="76">
        <f>+CX120*106250</f>
        <v>0</v>
      </c>
      <c r="CZ120" s="76"/>
      <c r="DA120" s="76">
        <f>+CZ120*34500</f>
        <v>0</v>
      </c>
      <c r="DB120" s="76"/>
      <c r="DC120" s="76">
        <f>+DB120*25000</f>
        <v>0</v>
      </c>
      <c r="DD120" s="219"/>
      <c r="DE120" s="219"/>
      <c r="DF120" s="164"/>
      <c r="DG120" s="116"/>
      <c r="DH120" s="117"/>
      <c r="DI120" s="24"/>
      <c r="DJ120" s="24"/>
      <c r="DK120" s="24"/>
      <c r="DL120" s="24"/>
      <c r="DM120" s="24"/>
      <c r="DN120" s="24"/>
      <c r="DO120" s="24"/>
      <c r="DP120" s="24"/>
      <c r="DQ120" s="24"/>
      <c r="DR120" s="24"/>
      <c r="DS120" s="24"/>
      <c r="DT120" s="24"/>
      <c r="DU120" s="24"/>
    </row>
    <row r="121" spans="1:125" s="8" customFormat="1" ht="108" x14ac:dyDescent="0.2">
      <c r="A121" s="77">
        <v>41283</v>
      </c>
      <c r="B121" s="78" t="s">
        <v>2855</v>
      </c>
      <c r="C121" s="75" t="s">
        <v>909</v>
      </c>
      <c r="D121" s="81" t="s">
        <v>2846</v>
      </c>
      <c r="E121" s="75" t="str">
        <f>VLOOKUP(B121&amp;C121,Divipola!$C$2:$F$1138,4,FALSE)</f>
        <v>20238</v>
      </c>
      <c r="F121" s="87"/>
      <c r="G121" s="87"/>
      <c r="H121" s="87"/>
      <c r="I121" s="87"/>
      <c r="J121" s="87"/>
      <c r="K121" s="87"/>
      <c r="L121" s="87"/>
      <c r="M121" s="87"/>
      <c r="N121" s="87"/>
      <c r="O121" s="87"/>
      <c r="P121" s="87"/>
      <c r="Q121" s="87"/>
      <c r="R121" s="87"/>
      <c r="S121" s="87"/>
      <c r="T121" s="87"/>
      <c r="U121" s="127">
        <v>12</v>
      </c>
      <c r="V121" s="89"/>
      <c r="W121" s="96">
        <v>0</v>
      </c>
      <c r="X121" s="71">
        <f>CU121</f>
        <v>0</v>
      </c>
      <c r="Y121" s="71">
        <f>CY121</f>
        <v>0</v>
      </c>
      <c r="Z121" s="71">
        <f>DA121+DC121+DE121</f>
        <v>0</v>
      </c>
      <c r="AA121" s="71">
        <f>CW121</f>
        <v>0</v>
      </c>
      <c r="AB121" s="71"/>
      <c r="AC121" s="71">
        <v>0</v>
      </c>
      <c r="AD121" s="71">
        <f>W121+X121+Y121+Z121+AA121+AB121+AC121</f>
        <v>0</v>
      </c>
      <c r="AE121" s="72">
        <v>0</v>
      </c>
      <c r="AF121" s="5"/>
      <c r="AG121" s="6"/>
      <c r="AH121" s="27" t="s">
        <v>3392</v>
      </c>
      <c r="AI121" s="44" t="s">
        <v>3393</v>
      </c>
      <c r="AJ121" s="26"/>
      <c r="AK121" s="5"/>
      <c r="AL121" s="82" t="s">
        <v>3005</v>
      </c>
      <c r="AM121" s="76"/>
      <c r="AN121" s="76"/>
      <c r="AO121" s="76"/>
      <c r="AP121" s="76"/>
      <c r="AQ121" s="76"/>
      <c r="AR121" s="76"/>
      <c r="AS121" s="76"/>
      <c r="AT121" s="76"/>
      <c r="AU121" s="76"/>
      <c r="AV121" s="76"/>
      <c r="AW121" s="76"/>
      <c r="AX121" s="76">
        <f>+AW121*600000</f>
        <v>0</v>
      </c>
      <c r="AY121" s="76"/>
      <c r="AZ121" s="76">
        <f>+AY121*70000</f>
        <v>0</v>
      </c>
      <c r="BA121" s="76"/>
      <c r="BB121" s="76"/>
      <c r="BC121" s="76"/>
      <c r="BD121" s="76">
        <f>+BC121*30000</f>
        <v>0</v>
      </c>
      <c r="BE121" s="76"/>
      <c r="BF121" s="76"/>
      <c r="BG121" s="76"/>
      <c r="BH121" s="76"/>
      <c r="BI121" s="76"/>
      <c r="BJ121" s="76"/>
      <c r="BK121" s="76"/>
      <c r="BL121" s="76">
        <f>+BK121*31500</f>
        <v>0</v>
      </c>
      <c r="BM121" s="76"/>
      <c r="BN121" s="76"/>
      <c r="BO121" s="76"/>
      <c r="BP121" s="76"/>
      <c r="BQ121" s="76"/>
      <c r="BR121" s="76"/>
      <c r="BS121" s="76"/>
      <c r="BT121" s="76"/>
      <c r="BU121" s="76"/>
      <c r="BV121" s="76"/>
      <c r="BW121" s="76"/>
      <c r="BX121" s="76"/>
      <c r="BY121" s="76"/>
      <c r="BZ121" s="76"/>
      <c r="CA121" s="76"/>
      <c r="CB121" s="76"/>
      <c r="CC121" s="76"/>
      <c r="CD121" s="76"/>
      <c r="CE121" s="76"/>
      <c r="CF121" s="76">
        <f>+CE121*28000</f>
        <v>0</v>
      </c>
      <c r="CG121" s="76"/>
      <c r="CH121" s="76">
        <f>+CG121*22500</f>
        <v>0</v>
      </c>
      <c r="CI121" s="76"/>
      <c r="CJ121" s="76">
        <f>+CI121*26000</f>
        <v>0</v>
      </c>
      <c r="CK121" s="76"/>
      <c r="CL121" s="76"/>
      <c r="CM121" s="76"/>
      <c r="CN121" s="76">
        <f>+CM121*22000</f>
        <v>0</v>
      </c>
      <c r="CO121" s="76"/>
      <c r="CP121" s="76">
        <f>+CO121*46000</f>
        <v>0</v>
      </c>
      <c r="CQ121" s="76"/>
      <c r="CR121" s="76">
        <f>+CQ121*49000</f>
        <v>0</v>
      </c>
      <c r="CS121" s="76"/>
      <c r="CT121" s="76"/>
      <c r="CU121" s="56">
        <f>AN121+AP121+AR121+AT121+AV121+AX121+AZ121+BB121+BD121+BF121+BH121+BJ121+BL121+BN121+BP121+BR121+BT121+BV121+BX121+BZ121+CB121+CD121+CF121+CH121+CJ121+CL121+CN121+CP121+CR121+CT121</f>
        <v>0</v>
      </c>
      <c r="CV121" s="76"/>
      <c r="CW121" s="76">
        <f>+CV121*1100</f>
        <v>0</v>
      </c>
      <c r="CX121" s="76"/>
      <c r="CY121" s="76">
        <f>+CX121*106250</f>
        <v>0</v>
      </c>
      <c r="CZ121" s="76"/>
      <c r="DA121" s="76">
        <f>+CZ121*34500</f>
        <v>0</v>
      </c>
      <c r="DB121" s="76"/>
      <c r="DC121" s="76">
        <f>+DB121*25000</f>
        <v>0</v>
      </c>
      <c r="DD121" s="219"/>
      <c r="DE121" s="219"/>
      <c r="DF121" s="164"/>
      <c r="DG121" s="116"/>
      <c r="DH121" s="117"/>
      <c r="DI121" s="24"/>
      <c r="DJ121" s="24"/>
      <c r="DK121" s="24"/>
      <c r="DL121" s="24"/>
      <c r="DM121" s="24"/>
      <c r="DN121" s="24"/>
      <c r="DO121" s="24"/>
      <c r="DP121" s="24"/>
      <c r="DQ121" s="24"/>
      <c r="DR121" s="24"/>
      <c r="DS121" s="24"/>
      <c r="DT121" s="24"/>
      <c r="DU121" s="24"/>
    </row>
    <row r="122" spans="1:125" s="8" customFormat="1" ht="96" x14ac:dyDescent="0.2">
      <c r="A122" s="85">
        <v>41283</v>
      </c>
      <c r="B122" s="80" t="s">
        <v>2772</v>
      </c>
      <c r="C122" s="81" t="s">
        <v>2158</v>
      </c>
      <c r="D122" s="81" t="s">
        <v>2846</v>
      </c>
      <c r="E122" s="75" t="str">
        <f>VLOOKUP(B122&amp;C122,Divipola!$C$2:$F$1138,4,FALSE)</f>
        <v>25899</v>
      </c>
      <c r="F122" s="87"/>
      <c r="G122" s="87"/>
      <c r="H122" s="87"/>
      <c r="I122" s="87"/>
      <c r="J122" s="87"/>
      <c r="K122" s="87"/>
      <c r="L122" s="87"/>
      <c r="M122" s="87"/>
      <c r="N122" s="87"/>
      <c r="O122" s="87"/>
      <c r="P122" s="87"/>
      <c r="Q122" s="87"/>
      <c r="R122" s="87"/>
      <c r="S122" s="87"/>
      <c r="T122" s="87"/>
      <c r="U122" s="127">
        <v>4</v>
      </c>
      <c r="V122" s="89"/>
      <c r="W122" s="96">
        <v>0</v>
      </c>
      <c r="X122" s="71">
        <f>CU122</f>
        <v>0</v>
      </c>
      <c r="Y122" s="71">
        <f>CY122</f>
        <v>0</v>
      </c>
      <c r="Z122" s="71">
        <f>DA122+DC122+DE122</f>
        <v>0</v>
      </c>
      <c r="AA122" s="71">
        <f>CW122</f>
        <v>0</v>
      </c>
      <c r="AB122" s="71"/>
      <c r="AC122" s="71">
        <v>0</v>
      </c>
      <c r="AD122" s="71">
        <f>W122+X122+Y122+Z122+AA122+AB122+AC122</f>
        <v>0</v>
      </c>
      <c r="AE122" s="72">
        <v>0</v>
      </c>
      <c r="AF122" s="5"/>
      <c r="AG122" s="6"/>
      <c r="AH122" s="27" t="s">
        <v>3392</v>
      </c>
      <c r="AI122" s="44" t="s">
        <v>3393</v>
      </c>
      <c r="AJ122" s="26"/>
      <c r="AK122" s="5"/>
      <c r="AL122" s="82" t="s">
        <v>2979</v>
      </c>
      <c r="AM122" s="76"/>
      <c r="AN122" s="76"/>
      <c r="AO122" s="76"/>
      <c r="AP122" s="76"/>
      <c r="AQ122" s="76"/>
      <c r="AR122" s="76"/>
      <c r="AS122" s="76"/>
      <c r="AT122" s="76"/>
      <c r="AU122" s="76"/>
      <c r="AV122" s="76"/>
      <c r="AW122" s="76"/>
      <c r="AX122" s="76">
        <f>+AW122*600000</f>
        <v>0</v>
      </c>
      <c r="AY122" s="76"/>
      <c r="AZ122" s="76">
        <f>+AY122*70000</f>
        <v>0</v>
      </c>
      <c r="BA122" s="76"/>
      <c r="BB122" s="76"/>
      <c r="BC122" s="76"/>
      <c r="BD122" s="76">
        <f>+BC122*30000</f>
        <v>0</v>
      </c>
      <c r="BE122" s="76"/>
      <c r="BF122" s="76"/>
      <c r="BG122" s="76"/>
      <c r="BH122" s="76"/>
      <c r="BI122" s="76"/>
      <c r="BJ122" s="76"/>
      <c r="BK122" s="76"/>
      <c r="BL122" s="76">
        <f>+BK122*31500</f>
        <v>0</v>
      </c>
      <c r="BM122" s="76"/>
      <c r="BN122" s="76"/>
      <c r="BO122" s="76"/>
      <c r="BP122" s="76"/>
      <c r="BQ122" s="76"/>
      <c r="BR122" s="76"/>
      <c r="BS122" s="76"/>
      <c r="BT122" s="76"/>
      <c r="BU122" s="76"/>
      <c r="BV122" s="76"/>
      <c r="BW122" s="76"/>
      <c r="BX122" s="76"/>
      <c r="BY122" s="76"/>
      <c r="BZ122" s="76"/>
      <c r="CA122" s="76"/>
      <c r="CB122" s="76"/>
      <c r="CC122" s="76"/>
      <c r="CD122" s="76"/>
      <c r="CE122" s="76"/>
      <c r="CF122" s="76">
        <f>+CE122*28000</f>
        <v>0</v>
      </c>
      <c r="CG122" s="76"/>
      <c r="CH122" s="76">
        <f>+CG122*22500</f>
        <v>0</v>
      </c>
      <c r="CI122" s="76"/>
      <c r="CJ122" s="76">
        <f>+CI122*26000</f>
        <v>0</v>
      </c>
      <c r="CK122" s="76"/>
      <c r="CL122" s="76"/>
      <c r="CM122" s="76"/>
      <c r="CN122" s="76">
        <f>+CM122*22000</f>
        <v>0</v>
      </c>
      <c r="CO122" s="76"/>
      <c r="CP122" s="76">
        <f>+CO122*46000</f>
        <v>0</v>
      </c>
      <c r="CQ122" s="76"/>
      <c r="CR122" s="76">
        <f>+CQ122*49000</f>
        <v>0</v>
      </c>
      <c r="CS122" s="76"/>
      <c r="CT122" s="76"/>
      <c r="CU122" s="56">
        <f>AN122+AP122+AR122+AT122+AV122+AX122+AZ122+BB122+BD122+BF122+BH122+BJ122+BL122+BN122+BP122+BR122+BT122+BV122+BX122+BZ122+CB122+CD122+CF122+CH122+CJ122+CL122+CN122+CP122+CR122+CT122</f>
        <v>0</v>
      </c>
      <c r="CV122" s="76"/>
      <c r="CW122" s="76">
        <f>+CV122*1100</f>
        <v>0</v>
      </c>
      <c r="CX122" s="76"/>
      <c r="CY122" s="76">
        <f>+CX122*106250</f>
        <v>0</v>
      </c>
      <c r="CZ122" s="76"/>
      <c r="DA122" s="76">
        <f>+CZ122*34500</f>
        <v>0</v>
      </c>
      <c r="DB122" s="76"/>
      <c r="DC122" s="76">
        <f>+DB122*25000</f>
        <v>0</v>
      </c>
      <c r="DD122" s="219"/>
      <c r="DE122" s="219"/>
      <c r="DF122" s="164"/>
      <c r="DG122" s="116"/>
      <c r="DH122" s="117"/>
      <c r="DI122" s="24"/>
      <c r="DJ122" s="24"/>
      <c r="DK122" s="24"/>
      <c r="DL122" s="24"/>
      <c r="DM122" s="24"/>
      <c r="DN122" s="24"/>
      <c r="DO122" s="24"/>
      <c r="DP122" s="24"/>
      <c r="DQ122" s="24"/>
      <c r="DR122" s="24"/>
      <c r="DS122" s="24"/>
      <c r="DT122" s="24"/>
      <c r="DU122" s="24"/>
    </row>
    <row r="123" spans="1:125" s="8" customFormat="1" ht="48" x14ac:dyDescent="0.2">
      <c r="A123" s="77">
        <v>41283</v>
      </c>
      <c r="B123" s="80" t="s">
        <v>2291</v>
      </c>
      <c r="C123" s="81" t="s">
        <v>2292</v>
      </c>
      <c r="D123" s="81" t="s">
        <v>2846</v>
      </c>
      <c r="E123" s="75" t="str">
        <f>VLOOKUP(B123&amp;C123,Divipola!$C$2:$F$1138,4,FALSE)</f>
        <v>94001</v>
      </c>
      <c r="F123" s="87"/>
      <c r="G123" s="87"/>
      <c r="H123" s="87"/>
      <c r="I123" s="87"/>
      <c r="J123" s="87"/>
      <c r="K123" s="87"/>
      <c r="L123" s="87"/>
      <c r="M123" s="87"/>
      <c r="N123" s="87"/>
      <c r="O123" s="87"/>
      <c r="P123" s="87"/>
      <c r="Q123" s="87"/>
      <c r="R123" s="87"/>
      <c r="S123" s="87"/>
      <c r="T123" s="87"/>
      <c r="U123" s="127">
        <v>1</v>
      </c>
      <c r="V123" s="89"/>
      <c r="W123" s="96">
        <v>0</v>
      </c>
      <c r="X123" s="71">
        <f>CU123</f>
        <v>0</v>
      </c>
      <c r="Y123" s="71">
        <f>CY123</f>
        <v>0</v>
      </c>
      <c r="Z123" s="71">
        <f>DA123+DC123+DE123</f>
        <v>0</v>
      </c>
      <c r="AA123" s="71">
        <f>CW123</f>
        <v>0</v>
      </c>
      <c r="AB123" s="71"/>
      <c r="AC123" s="71">
        <v>0</v>
      </c>
      <c r="AD123" s="71">
        <f>W123+X123+Y123+Z123+AA123+AB123+AC123</f>
        <v>0</v>
      </c>
      <c r="AE123" s="72">
        <v>0</v>
      </c>
      <c r="AF123" s="5"/>
      <c r="AG123" s="6"/>
      <c r="AH123" s="27" t="s">
        <v>3392</v>
      </c>
      <c r="AI123" s="44" t="s">
        <v>3393</v>
      </c>
      <c r="AJ123" s="26"/>
      <c r="AK123" s="5"/>
      <c r="AL123" s="82" t="s">
        <v>2966</v>
      </c>
      <c r="AM123" s="76"/>
      <c r="AN123" s="76"/>
      <c r="AO123" s="76"/>
      <c r="AP123" s="76"/>
      <c r="AQ123" s="76"/>
      <c r="AR123" s="76"/>
      <c r="AS123" s="76"/>
      <c r="AT123" s="76"/>
      <c r="AU123" s="76"/>
      <c r="AV123" s="76"/>
      <c r="AW123" s="76"/>
      <c r="AX123" s="76">
        <f>+AW123*600000</f>
        <v>0</v>
      </c>
      <c r="AY123" s="76"/>
      <c r="AZ123" s="76">
        <f>+AY123*70000</f>
        <v>0</v>
      </c>
      <c r="BA123" s="76"/>
      <c r="BB123" s="76"/>
      <c r="BC123" s="76"/>
      <c r="BD123" s="76">
        <f>+BC123*30000</f>
        <v>0</v>
      </c>
      <c r="BE123" s="76"/>
      <c r="BF123" s="76"/>
      <c r="BG123" s="76"/>
      <c r="BH123" s="76"/>
      <c r="BI123" s="76"/>
      <c r="BJ123" s="76"/>
      <c r="BK123" s="76"/>
      <c r="BL123" s="76">
        <f>+BK123*31500</f>
        <v>0</v>
      </c>
      <c r="BM123" s="76"/>
      <c r="BN123" s="76"/>
      <c r="BO123" s="76"/>
      <c r="BP123" s="76"/>
      <c r="BQ123" s="76"/>
      <c r="BR123" s="76"/>
      <c r="BS123" s="76"/>
      <c r="BT123" s="76"/>
      <c r="BU123" s="76"/>
      <c r="BV123" s="76"/>
      <c r="BW123" s="76"/>
      <c r="BX123" s="76"/>
      <c r="BY123" s="76"/>
      <c r="BZ123" s="76"/>
      <c r="CA123" s="76"/>
      <c r="CB123" s="76"/>
      <c r="CC123" s="76"/>
      <c r="CD123" s="76"/>
      <c r="CE123" s="76"/>
      <c r="CF123" s="76">
        <f>+CE123*28000</f>
        <v>0</v>
      </c>
      <c r="CG123" s="76"/>
      <c r="CH123" s="76">
        <f>+CG123*22500</f>
        <v>0</v>
      </c>
      <c r="CI123" s="76"/>
      <c r="CJ123" s="76">
        <f>+CI123*26000</f>
        <v>0</v>
      </c>
      <c r="CK123" s="76"/>
      <c r="CL123" s="76"/>
      <c r="CM123" s="76"/>
      <c r="CN123" s="76">
        <f>+CM123*22000</f>
        <v>0</v>
      </c>
      <c r="CO123" s="76"/>
      <c r="CP123" s="76">
        <f>+CO123*46000</f>
        <v>0</v>
      </c>
      <c r="CQ123" s="76"/>
      <c r="CR123" s="76">
        <f>+CQ123*49000</f>
        <v>0</v>
      </c>
      <c r="CS123" s="76"/>
      <c r="CT123" s="76"/>
      <c r="CU123" s="56">
        <f>AN123+AP123+AR123+AT123+AV123+AX123+AZ123+BB123+BD123+BF123+BH123+BJ123+BL123+BN123+BP123+BR123+BT123+BV123+BX123+BZ123+CB123+CD123+CF123+CH123+CJ123+CL123+CN123+CP123+CR123+CT123</f>
        <v>0</v>
      </c>
      <c r="CV123" s="76"/>
      <c r="CW123" s="76">
        <f>+CV123*1100</f>
        <v>0</v>
      </c>
      <c r="CX123" s="76"/>
      <c r="CY123" s="76">
        <f>+CX123*106250</f>
        <v>0</v>
      </c>
      <c r="CZ123" s="76"/>
      <c r="DA123" s="76">
        <f>+CZ123*34500</f>
        <v>0</v>
      </c>
      <c r="DB123" s="76"/>
      <c r="DC123" s="76">
        <f>+DB123*25000</f>
        <v>0</v>
      </c>
      <c r="DD123" s="219"/>
      <c r="DE123" s="219"/>
      <c r="DF123" s="164"/>
      <c r="DG123" s="116"/>
      <c r="DH123" s="117"/>
      <c r="DI123" s="24"/>
      <c r="DJ123" s="24"/>
      <c r="DK123" s="24"/>
      <c r="DL123" s="24"/>
      <c r="DM123" s="24"/>
      <c r="DN123" s="24"/>
      <c r="DO123" s="24"/>
      <c r="DP123" s="24"/>
      <c r="DQ123" s="24"/>
      <c r="DR123" s="24"/>
      <c r="DS123" s="24"/>
      <c r="DT123" s="24"/>
      <c r="DU123" s="24"/>
    </row>
    <row r="124" spans="1:125" s="8" customFormat="1" ht="36" x14ac:dyDescent="0.2">
      <c r="A124" s="77">
        <v>41283</v>
      </c>
      <c r="B124" s="78" t="s">
        <v>2906</v>
      </c>
      <c r="C124" s="83" t="s">
        <v>437</v>
      </c>
      <c r="D124" s="81" t="s">
        <v>2846</v>
      </c>
      <c r="E124" s="75" t="str">
        <f>VLOOKUP(B124&amp;C124,Divipola!$C$2:$F$1138,4,FALSE)</f>
        <v>47288</v>
      </c>
      <c r="F124" s="87"/>
      <c r="G124" s="87"/>
      <c r="H124" s="87"/>
      <c r="I124" s="87"/>
      <c r="J124" s="87"/>
      <c r="K124" s="87"/>
      <c r="L124" s="87"/>
      <c r="M124" s="87"/>
      <c r="N124" s="87"/>
      <c r="O124" s="87"/>
      <c r="P124" s="87"/>
      <c r="Q124" s="87"/>
      <c r="R124" s="87"/>
      <c r="S124" s="87"/>
      <c r="T124" s="87"/>
      <c r="U124" s="127"/>
      <c r="V124" s="89"/>
      <c r="W124" s="96">
        <v>0</v>
      </c>
      <c r="X124" s="71">
        <f>CU124</f>
        <v>0</v>
      </c>
      <c r="Y124" s="71">
        <f>CY124</f>
        <v>0</v>
      </c>
      <c r="Z124" s="71">
        <f>DA124+DC124+DE124</f>
        <v>0</v>
      </c>
      <c r="AA124" s="71">
        <f>CW124</f>
        <v>0</v>
      </c>
      <c r="AB124" s="71"/>
      <c r="AC124" s="71">
        <v>0</v>
      </c>
      <c r="AD124" s="71">
        <f>W124+X124+Y124+Z124+AA124+AB124+AC124</f>
        <v>0</v>
      </c>
      <c r="AE124" s="72">
        <v>0</v>
      </c>
      <c r="AF124" s="5"/>
      <c r="AG124" s="6"/>
      <c r="AH124" s="27" t="s">
        <v>3392</v>
      </c>
      <c r="AI124" s="44" t="s">
        <v>3393</v>
      </c>
      <c r="AJ124" s="26"/>
      <c r="AK124" s="5"/>
      <c r="AL124" s="82" t="s">
        <v>2971</v>
      </c>
      <c r="AM124" s="76"/>
      <c r="AN124" s="76"/>
      <c r="AO124" s="76"/>
      <c r="AP124" s="76"/>
      <c r="AQ124" s="76"/>
      <c r="AR124" s="76"/>
      <c r="AS124" s="76"/>
      <c r="AT124" s="76"/>
      <c r="AU124" s="76"/>
      <c r="AV124" s="76"/>
      <c r="AW124" s="76"/>
      <c r="AX124" s="76">
        <f>+AW124*600000</f>
        <v>0</v>
      </c>
      <c r="AY124" s="76"/>
      <c r="AZ124" s="76">
        <f>+AY124*70000</f>
        <v>0</v>
      </c>
      <c r="BA124" s="76"/>
      <c r="BB124" s="76"/>
      <c r="BC124" s="76"/>
      <c r="BD124" s="76">
        <f>+BC124*30000</f>
        <v>0</v>
      </c>
      <c r="BE124" s="76"/>
      <c r="BF124" s="76"/>
      <c r="BG124" s="76"/>
      <c r="BH124" s="76"/>
      <c r="BI124" s="76"/>
      <c r="BJ124" s="76"/>
      <c r="BK124" s="76"/>
      <c r="BL124" s="76">
        <f>+BK124*31500</f>
        <v>0</v>
      </c>
      <c r="BM124" s="76"/>
      <c r="BN124" s="76"/>
      <c r="BO124" s="76"/>
      <c r="BP124" s="76"/>
      <c r="BQ124" s="76"/>
      <c r="BR124" s="76"/>
      <c r="BS124" s="76"/>
      <c r="BT124" s="76"/>
      <c r="BU124" s="76"/>
      <c r="BV124" s="76"/>
      <c r="BW124" s="76"/>
      <c r="BX124" s="76"/>
      <c r="BY124" s="76"/>
      <c r="BZ124" s="76"/>
      <c r="CA124" s="76"/>
      <c r="CB124" s="76"/>
      <c r="CC124" s="76"/>
      <c r="CD124" s="76"/>
      <c r="CE124" s="76"/>
      <c r="CF124" s="76">
        <f>+CE124*28000</f>
        <v>0</v>
      </c>
      <c r="CG124" s="76"/>
      <c r="CH124" s="76">
        <f>+CG124*22500</f>
        <v>0</v>
      </c>
      <c r="CI124" s="76"/>
      <c r="CJ124" s="76">
        <f>+CI124*26000</f>
        <v>0</v>
      </c>
      <c r="CK124" s="76"/>
      <c r="CL124" s="76"/>
      <c r="CM124" s="76"/>
      <c r="CN124" s="76">
        <f>+CM124*22000</f>
        <v>0</v>
      </c>
      <c r="CO124" s="76"/>
      <c r="CP124" s="76">
        <f>+CO124*46000</f>
        <v>0</v>
      </c>
      <c r="CQ124" s="76"/>
      <c r="CR124" s="76">
        <f>+CQ124*49000</f>
        <v>0</v>
      </c>
      <c r="CS124" s="76"/>
      <c r="CT124" s="76"/>
      <c r="CU124" s="56">
        <f>AN124+AP124+AR124+AT124+AV124+AX124+AZ124+BB124+BD124+BF124+BH124+BJ124+BL124+BN124+BP124+BR124+BT124+BV124+BX124+BZ124+CB124+CD124+CF124+CH124+CJ124+CL124+CN124+CP124+CR124+CT124</f>
        <v>0</v>
      </c>
      <c r="CV124" s="76"/>
      <c r="CW124" s="76">
        <f>+CV124*1100</f>
        <v>0</v>
      </c>
      <c r="CX124" s="76"/>
      <c r="CY124" s="76">
        <f>+CX124*106250</f>
        <v>0</v>
      </c>
      <c r="CZ124" s="76"/>
      <c r="DA124" s="76">
        <f>+CZ124*34500</f>
        <v>0</v>
      </c>
      <c r="DB124" s="76"/>
      <c r="DC124" s="76">
        <f>+DB124*25000</f>
        <v>0</v>
      </c>
      <c r="DD124" s="219"/>
      <c r="DE124" s="219"/>
      <c r="DF124" s="164"/>
      <c r="DG124" s="116"/>
      <c r="DH124" s="117"/>
      <c r="DI124" s="24"/>
      <c r="DJ124" s="24"/>
      <c r="DK124" s="24"/>
      <c r="DL124" s="24"/>
      <c r="DM124" s="24"/>
      <c r="DN124" s="24"/>
      <c r="DO124" s="24"/>
      <c r="DP124" s="24"/>
      <c r="DQ124" s="24"/>
      <c r="DR124" s="24"/>
      <c r="DS124" s="24"/>
      <c r="DT124" s="24"/>
      <c r="DU124" s="24"/>
    </row>
    <row r="125" spans="1:125" s="8" customFormat="1" ht="60" x14ac:dyDescent="0.2">
      <c r="A125" s="85">
        <v>41283</v>
      </c>
      <c r="B125" s="80" t="s">
        <v>2774</v>
      </c>
      <c r="C125" s="81" t="s">
        <v>1347</v>
      </c>
      <c r="D125" s="81" t="s">
        <v>2846</v>
      </c>
      <c r="E125" s="75" t="str">
        <f>VLOOKUP(B125&amp;C125,Divipola!$C$2:$F$1138,4,FALSE)</f>
        <v>66001</v>
      </c>
      <c r="F125" s="87"/>
      <c r="G125" s="87"/>
      <c r="H125" s="87"/>
      <c r="I125" s="87"/>
      <c r="J125" s="87"/>
      <c r="K125" s="87"/>
      <c r="L125" s="87"/>
      <c r="M125" s="87"/>
      <c r="N125" s="87"/>
      <c r="O125" s="87"/>
      <c r="P125" s="87"/>
      <c r="Q125" s="87"/>
      <c r="R125" s="87"/>
      <c r="S125" s="87"/>
      <c r="T125" s="87"/>
      <c r="U125" s="127">
        <v>1</v>
      </c>
      <c r="V125" s="89"/>
      <c r="W125" s="96">
        <v>0</v>
      </c>
      <c r="X125" s="71">
        <f>CU125</f>
        <v>0</v>
      </c>
      <c r="Y125" s="71">
        <f>CY125</f>
        <v>0</v>
      </c>
      <c r="Z125" s="71">
        <f>DA125+DC125+DE125</f>
        <v>0</v>
      </c>
      <c r="AA125" s="71">
        <f>CW125</f>
        <v>0</v>
      </c>
      <c r="AB125" s="71"/>
      <c r="AC125" s="71">
        <v>0</v>
      </c>
      <c r="AD125" s="71">
        <f>W125+X125+Y125+Z125+AA125+AB125+AC125</f>
        <v>0</v>
      </c>
      <c r="AE125" s="72">
        <v>0</v>
      </c>
      <c r="AF125" s="5"/>
      <c r="AG125" s="6"/>
      <c r="AH125" s="27" t="s">
        <v>3392</v>
      </c>
      <c r="AI125" s="44" t="s">
        <v>3393</v>
      </c>
      <c r="AJ125" s="26"/>
      <c r="AK125" s="5"/>
      <c r="AL125" s="82" t="s">
        <v>2978</v>
      </c>
      <c r="AM125" s="76"/>
      <c r="AN125" s="76"/>
      <c r="AO125" s="76"/>
      <c r="AP125" s="76"/>
      <c r="AQ125" s="76"/>
      <c r="AR125" s="76"/>
      <c r="AS125" s="76"/>
      <c r="AT125" s="76"/>
      <c r="AU125" s="76"/>
      <c r="AV125" s="76"/>
      <c r="AW125" s="76"/>
      <c r="AX125" s="76">
        <f>+AW125*600000</f>
        <v>0</v>
      </c>
      <c r="AY125" s="76"/>
      <c r="AZ125" s="76">
        <f>+AY125*70000</f>
        <v>0</v>
      </c>
      <c r="BA125" s="76"/>
      <c r="BB125" s="76"/>
      <c r="BC125" s="76"/>
      <c r="BD125" s="76">
        <f>+BC125*30000</f>
        <v>0</v>
      </c>
      <c r="BE125" s="76"/>
      <c r="BF125" s="76"/>
      <c r="BG125" s="76"/>
      <c r="BH125" s="76"/>
      <c r="BI125" s="76"/>
      <c r="BJ125" s="76"/>
      <c r="BK125" s="76"/>
      <c r="BL125" s="76">
        <f>+BK125*31500</f>
        <v>0</v>
      </c>
      <c r="BM125" s="76"/>
      <c r="BN125" s="76"/>
      <c r="BO125" s="76"/>
      <c r="BP125" s="76"/>
      <c r="BQ125" s="76"/>
      <c r="BR125" s="76"/>
      <c r="BS125" s="76"/>
      <c r="BT125" s="76"/>
      <c r="BU125" s="76"/>
      <c r="BV125" s="76"/>
      <c r="BW125" s="76"/>
      <c r="BX125" s="76"/>
      <c r="BY125" s="76"/>
      <c r="BZ125" s="76"/>
      <c r="CA125" s="76"/>
      <c r="CB125" s="76"/>
      <c r="CC125" s="76"/>
      <c r="CD125" s="76"/>
      <c r="CE125" s="76"/>
      <c r="CF125" s="76">
        <f>+CE125*28000</f>
        <v>0</v>
      </c>
      <c r="CG125" s="76"/>
      <c r="CH125" s="76">
        <f>+CG125*22500</f>
        <v>0</v>
      </c>
      <c r="CI125" s="76"/>
      <c r="CJ125" s="76">
        <f>+CI125*26000</f>
        <v>0</v>
      </c>
      <c r="CK125" s="76"/>
      <c r="CL125" s="76"/>
      <c r="CM125" s="76"/>
      <c r="CN125" s="76">
        <f>+CM125*22000</f>
        <v>0</v>
      </c>
      <c r="CO125" s="76"/>
      <c r="CP125" s="76">
        <f>+CO125*46000</f>
        <v>0</v>
      </c>
      <c r="CQ125" s="76"/>
      <c r="CR125" s="76">
        <f>+CQ125*49000</f>
        <v>0</v>
      </c>
      <c r="CS125" s="76"/>
      <c r="CT125" s="76"/>
      <c r="CU125" s="56">
        <f>AN125+AP125+AR125+AT125+AV125+AX125+AZ125+BB125+BD125+BF125+BH125+BJ125+BL125+BN125+BP125+BR125+BT125+BV125+BX125+BZ125+CB125+CD125+CF125+CH125+CJ125+CL125+CN125+CP125+CR125+CT125</f>
        <v>0</v>
      </c>
      <c r="CV125" s="76"/>
      <c r="CW125" s="76">
        <f>+CV125*1100</f>
        <v>0</v>
      </c>
      <c r="CX125" s="76"/>
      <c r="CY125" s="76">
        <f>+CX125*106250</f>
        <v>0</v>
      </c>
      <c r="CZ125" s="76"/>
      <c r="DA125" s="76">
        <f>+CZ125*34500</f>
        <v>0</v>
      </c>
      <c r="DB125" s="76"/>
      <c r="DC125" s="76">
        <f>+DB125*25000</f>
        <v>0</v>
      </c>
      <c r="DD125" s="219"/>
      <c r="DE125" s="219"/>
      <c r="DF125" s="164"/>
      <c r="DG125" s="116"/>
      <c r="DH125" s="117"/>
      <c r="DI125" s="24"/>
      <c r="DJ125" s="24"/>
      <c r="DK125" s="24"/>
      <c r="DL125" s="24"/>
      <c r="DM125" s="24"/>
      <c r="DN125" s="24"/>
      <c r="DO125" s="24"/>
      <c r="DP125" s="24"/>
      <c r="DQ125" s="24"/>
      <c r="DR125" s="24"/>
      <c r="DS125" s="24"/>
      <c r="DT125" s="24"/>
      <c r="DU125" s="24"/>
    </row>
    <row r="126" spans="1:125" s="8" customFormat="1" ht="60" x14ac:dyDescent="0.2">
      <c r="A126" s="85">
        <v>41283</v>
      </c>
      <c r="B126" s="80" t="s">
        <v>2774</v>
      </c>
      <c r="C126" s="81" t="s">
        <v>1370</v>
      </c>
      <c r="D126" s="81" t="s">
        <v>2846</v>
      </c>
      <c r="E126" s="75" t="str">
        <f>VLOOKUP(B126&amp;C126,Divipola!$C$2:$F$1138,4,FALSE)</f>
        <v>66594</v>
      </c>
      <c r="F126" s="87"/>
      <c r="G126" s="87"/>
      <c r="H126" s="87"/>
      <c r="I126" s="87"/>
      <c r="J126" s="87"/>
      <c r="K126" s="87"/>
      <c r="L126" s="87"/>
      <c r="M126" s="87"/>
      <c r="N126" s="87"/>
      <c r="O126" s="87"/>
      <c r="P126" s="87"/>
      <c r="Q126" s="87"/>
      <c r="R126" s="87"/>
      <c r="S126" s="87"/>
      <c r="T126" s="87"/>
      <c r="U126" s="127">
        <v>1</v>
      </c>
      <c r="V126" s="89"/>
      <c r="W126" s="96">
        <v>0</v>
      </c>
      <c r="X126" s="71">
        <f>CU126</f>
        <v>0</v>
      </c>
      <c r="Y126" s="71">
        <f>CY126</f>
        <v>0</v>
      </c>
      <c r="Z126" s="71">
        <f>DA126+DC126+DE126</f>
        <v>0</v>
      </c>
      <c r="AA126" s="71">
        <f>CW126</f>
        <v>0</v>
      </c>
      <c r="AB126" s="71"/>
      <c r="AC126" s="71">
        <v>0</v>
      </c>
      <c r="AD126" s="71">
        <f>W126+X126+Y126+Z126+AA126+AB126+AC126</f>
        <v>0</v>
      </c>
      <c r="AE126" s="72">
        <v>0</v>
      </c>
      <c r="AF126" s="5"/>
      <c r="AG126" s="6"/>
      <c r="AH126" s="27" t="s">
        <v>3392</v>
      </c>
      <c r="AI126" s="44" t="s">
        <v>3393</v>
      </c>
      <c r="AJ126" s="26"/>
      <c r="AK126" s="5"/>
      <c r="AL126" s="82" t="s">
        <v>2977</v>
      </c>
      <c r="AM126" s="76"/>
      <c r="AN126" s="76"/>
      <c r="AO126" s="76"/>
      <c r="AP126" s="76"/>
      <c r="AQ126" s="76"/>
      <c r="AR126" s="76"/>
      <c r="AS126" s="76"/>
      <c r="AT126" s="76"/>
      <c r="AU126" s="76"/>
      <c r="AV126" s="76"/>
      <c r="AW126" s="76"/>
      <c r="AX126" s="76">
        <f>+AW126*600000</f>
        <v>0</v>
      </c>
      <c r="AY126" s="76"/>
      <c r="AZ126" s="76">
        <f>+AY126*70000</f>
        <v>0</v>
      </c>
      <c r="BA126" s="76"/>
      <c r="BB126" s="76"/>
      <c r="BC126" s="76"/>
      <c r="BD126" s="76">
        <f>+BC126*30000</f>
        <v>0</v>
      </c>
      <c r="BE126" s="76"/>
      <c r="BF126" s="76"/>
      <c r="BG126" s="76"/>
      <c r="BH126" s="76"/>
      <c r="BI126" s="76"/>
      <c r="BJ126" s="76"/>
      <c r="BK126" s="76"/>
      <c r="BL126" s="76">
        <f>+BK126*31500</f>
        <v>0</v>
      </c>
      <c r="BM126" s="76"/>
      <c r="BN126" s="76"/>
      <c r="BO126" s="76"/>
      <c r="BP126" s="76"/>
      <c r="BQ126" s="76"/>
      <c r="BR126" s="76"/>
      <c r="BS126" s="76"/>
      <c r="BT126" s="76"/>
      <c r="BU126" s="76"/>
      <c r="BV126" s="76"/>
      <c r="BW126" s="76"/>
      <c r="BX126" s="76"/>
      <c r="BY126" s="76"/>
      <c r="BZ126" s="76"/>
      <c r="CA126" s="76"/>
      <c r="CB126" s="76"/>
      <c r="CC126" s="76"/>
      <c r="CD126" s="76"/>
      <c r="CE126" s="76"/>
      <c r="CF126" s="76">
        <f>+CE126*28000</f>
        <v>0</v>
      </c>
      <c r="CG126" s="76"/>
      <c r="CH126" s="76">
        <f>+CG126*22500</f>
        <v>0</v>
      </c>
      <c r="CI126" s="76"/>
      <c r="CJ126" s="76">
        <f>+CI126*26000</f>
        <v>0</v>
      </c>
      <c r="CK126" s="76"/>
      <c r="CL126" s="76"/>
      <c r="CM126" s="76"/>
      <c r="CN126" s="76">
        <f>+CM126*22000</f>
        <v>0</v>
      </c>
      <c r="CO126" s="76"/>
      <c r="CP126" s="76">
        <f>+CO126*46000</f>
        <v>0</v>
      </c>
      <c r="CQ126" s="76"/>
      <c r="CR126" s="76">
        <f>+CQ126*49000</f>
        <v>0</v>
      </c>
      <c r="CS126" s="76"/>
      <c r="CT126" s="76"/>
      <c r="CU126" s="56">
        <f>AN126+AP126+AR126+AT126+AV126+AX126+AZ126+BB126+BD126+BF126+BH126+BJ126+BL126+BN126+BP126+BR126+BT126+BV126+BX126+BZ126+CB126+CD126+CF126+CH126+CJ126+CL126+CN126+CP126+CR126+CT126</f>
        <v>0</v>
      </c>
      <c r="CV126" s="76"/>
      <c r="CW126" s="76">
        <f>+CV126*1100</f>
        <v>0</v>
      </c>
      <c r="CX126" s="76"/>
      <c r="CY126" s="76">
        <f>+CX126*106250</f>
        <v>0</v>
      </c>
      <c r="CZ126" s="76"/>
      <c r="DA126" s="76">
        <f>+CZ126*34500</f>
        <v>0</v>
      </c>
      <c r="DB126" s="76"/>
      <c r="DC126" s="76">
        <f>+DB126*25000</f>
        <v>0</v>
      </c>
      <c r="DD126" s="219"/>
      <c r="DE126" s="219"/>
      <c r="DF126" s="164"/>
      <c r="DG126" s="116"/>
      <c r="DH126" s="117"/>
      <c r="DI126" s="24"/>
      <c r="DJ126" s="24"/>
      <c r="DK126" s="24"/>
      <c r="DL126" s="24"/>
      <c r="DM126" s="24"/>
      <c r="DN126" s="24"/>
      <c r="DO126" s="24"/>
      <c r="DP126" s="24"/>
      <c r="DQ126" s="24"/>
      <c r="DR126" s="24"/>
      <c r="DS126" s="24"/>
      <c r="DT126" s="24"/>
      <c r="DU126" s="24"/>
    </row>
    <row r="127" spans="1:125" s="8" customFormat="1" ht="108" x14ac:dyDescent="0.2">
      <c r="A127" s="77">
        <v>41283</v>
      </c>
      <c r="B127" s="78" t="s">
        <v>1326</v>
      </c>
      <c r="C127" s="75" t="s">
        <v>1828</v>
      </c>
      <c r="D127" s="81" t="s">
        <v>2846</v>
      </c>
      <c r="E127" s="75" t="str">
        <f>VLOOKUP(B127&amp;C127,Divipola!$C$2:$F$1138,4,FALSE)</f>
        <v>70508</v>
      </c>
      <c r="F127" s="87"/>
      <c r="G127" s="87"/>
      <c r="H127" s="87"/>
      <c r="I127" s="87"/>
      <c r="J127" s="87"/>
      <c r="K127" s="87"/>
      <c r="L127" s="87"/>
      <c r="M127" s="87"/>
      <c r="N127" s="87"/>
      <c r="O127" s="87"/>
      <c r="P127" s="87"/>
      <c r="Q127" s="87"/>
      <c r="R127" s="87"/>
      <c r="S127" s="87"/>
      <c r="T127" s="87"/>
      <c r="U127" s="127">
        <v>5</v>
      </c>
      <c r="V127" s="89"/>
      <c r="W127" s="96">
        <v>0</v>
      </c>
      <c r="X127" s="71">
        <f>CU127</f>
        <v>0</v>
      </c>
      <c r="Y127" s="71">
        <f>CY127</f>
        <v>0</v>
      </c>
      <c r="Z127" s="71">
        <f>DA127+DC127+DE127</f>
        <v>0</v>
      </c>
      <c r="AA127" s="71">
        <f>CW127</f>
        <v>0</v>
      </c>
      <c r="AB127" s="71"/>
      <c r="AC127" s="71">
        <v>0</v>
      </c>
      <c r="AD127" s="71">
        <f>W127+X127+Y127+Z127+AA127+AB127+AC127</f>
        <v>0</v>
      </c>
      <c r="AE127" s="72">
        <v>0</v>
      </c>
      <c r="AF127" s="5"/>
      <c r="AG127" s="6"/>
      <c r="AH127" s="27" t="s">
        <v>3392</v>
      </c>
      <c r="AI127" s="44" t="s">
        <v>3393</v>
      </c>
      <c r="AJ127" s="26"/>
      <c r="AK127" s="5"/>
      <c r="AL127" s="82" t="s">
        <v>2975</v>
      </c>
      <c r="AM127" s="76"/>
      <c r="AN127" s="76"/>
      <c r="AO127" s="76"/>
      <c r="AP127" s="76"/>
      <c r="AQ127" s="76"/>
      <c r="AR127" s="76"/>
      <c r="AS127" s="76"/>
      <c r="AT127" s="76"/>
      <c r="AU127" s="76"/>
      <c r="AV127" s="76"/>
      <c r="AW127" s="76"/>
      <c r="AX127" s="76">
        <f>+AW127*600000</f>
        <v>0</v>
      </c>
      <c r="AY127" s="76"/>
      <c r="AZ127" s="76">
        <f>+AY127*70000</f>
        <v>0</v>
      </c>
      <c r="BA127" s="76"/>
      <c r="BB127" s="76"/>
      <c r="BC127" s="76"/>
      <c r="BD127" s="76">
        <f>+BC127*30000</f>
        <v>0</v>
      </c>
      <c r="BE127" s="76"/>
      <c r="BF127" s="76"/>
      <c r="BG127" s="76"/>
      <c r="BH127" s="76"/>
      <c r="BI127" s="76"/>
      <c r="BJ127" s="76"/>
      <c r="BK127" s="76"/>
      <c r="BL127" s="76">
        <f>+BK127*31500</f>
        <v>0</v>
      </c>
      <c r="BM127" s="76"/>
      <c r="BN127" s="76"/>
      <c r="BO127" s="76"/>
      <c r="BP127" s="76"/>
      <c r="BQ127" s="76"/>
      <c r="BR127" s="76"/>
      <c r="BS127" s="76"/>
      <c r="BT127" s="76"/>
      <c r="BU127" s="76"/>
      <c r="BV127" s="76"/>
      <c r="BW127" s="76"/>
      <c r="BX127" s="76"/>
      <c r="BY127" s="76"/>
      <c r="BZ127" s="76"/>
      <c r="CA127" s="76"/>
      <c r="CB127" s="76"/>
      <c r="CC127" s="76"/>
      <c r="CD127" s="76"/>
      <c r="CE127" s="76"/>
      <c r="CF127" s="76">
        <f>+CE127*28000</f>
        <v>0</v>
      </c>
      <c r="CG127" s="76"/>
      <c r="CH127" s="76">
        <f>+CG127*22500</f>
        <v>0</v>
      </c>
      <c r="CI127" s="76"/>
      <c r="CJ127" s="76">
        <f>+CI127*26000</f>
        <v>0</v>
      </c>
      <c r="CK127" s="76"/>
      <c r="CL127" s="76"/>
      <c r="CM127" s="76"/>
      <c r="CN127" s="76">
        <f>+CM127*22000</f>
        <v>0</v>
      </c>
      <c r="CO127" s="76"/>
      <c r="CP127" s="76">
        <f>+CO127*46000</f>
        <v>0</v>
      </c>
      <c r="CQ127" s="76"/>
      <c r="CR127" s="76">
        <f>+CQ127*49000</f>
        <v>0</v>
      </c>
      <c r="CS127" s="76"/>
      <c r="CT127" s="76"/>
      <c r="CU127" s="56">
        <f>AN127+AP127+AR127+AT127+AV127+AX127+AZ127+BB127+BD127+BF127+BH127+BJ127+BL127+BN127+BP127+BR127+BT127+BV127+BX127+BZ127+CB127+CD127+CF127+CH127+CJ127+CL127+CN127+CP127+CR127+CT127</f>
        <v>0</v>
      </c>
      <c r="CV127" s="76"/>
      <c r="CW127" s="76">
        <f>+CV127*1100</f>
        <v>0</v>
      </c>
      <c r="CX127" s="76"/>
      <c r="CY127" s="76">
        <f>+CX127*106250</f>
        <v>0</v>
      </c>
      <c r="CZ127" s="76"/>
      <c r="DA127" s="76">
        <f>+CZ127*34500</f>
        <v>0</v>
      </c>
      <c r="DB127" s="76"/>
      <c r="DC127" s="76">
        <f>+DB127*25000</f>
        <v>0</v>
      </c>
      <c r="DD127" s="219"/>
      <c r="DE127" s="219"/>
      <c r="DF127" s="164"/>
      <c r="DG127" s="116"/>
      <c r="DH127" s="117"/>
      <c r="DI127" s="24"/>
      <c r="DJ127" s="24"/>
      <c r="DK127" s="24"/>
      <c r="DL127" s="24"/>
      <c r="DM127" s="24"/>
      <c r="DN127" s="24"/>
      <c r="DO127" s="24"/>
      <c r="DP127" s="24"/>
      <c r="DQ127" s="24"/>
      <c r="DR127" s="24"/>
      <c r="DS127" s="24"/>
      <c r="DT127" s="24"/>
      <c r="DU127" s="24"/>
    </row>
    <row r="128" spans="1:125" s="8" customFormat="1" ht="72" x14ac:dyDescent="0.2">
      <c r="A128" s="77">
        <v>41283</v>
      </c>
      <c r="B128" s="78" t="s">
        <v>2848</v>
      </c>
      <c r="C128" s="75" t="s">
        <v>1392</v>
      </c>
      <c r="D128" s="81" t="s">
        <v>2846</v>
      </c>
      <c r="E128" s="75" t="str">
        <f>VLOOKUP(B128&amp;C128,Divipola!$C$2:$F$1138,4,FALSE)</f>
        <v>73520</v>
      </c>
      <c r="F128" s="87"/>
      <c r="G128" s="87"/>
      <c r="H128" s="87"/>
      <c r="I128" s="87"/>
      <c r="J128" s="87"/>
      <c r="K128" s="87"/>
      <c r="L128" s="87"/>
      <c r="M128" s="87"/>
      <c r="N128" s="87"/>
      <c r="O128" s="87"/>
      <c r="P128" s="87"/>
      <c r="Q128" s="87"/>
      <c r="R128" s="87"/>
      <c r="S128" s="87"/>
      <c r="T128" s="87"/>
      <c r="U128" s="127">
        <v>4</v>
      </c>
      <c r="V128" s="89"/>
      <c r="W128" s="96">
        <v>0</v>
      </c>
      <c r="X128" s="71">
        <f>CU128</f>
        <v>0</v>
      </c>
      <c r="Y128" s="71">
        <f>CY128</f>
        <v>0</v>
      </c>
      <c r="Z128" s="71">
        <f>DA128+DC128+DE128</f>
        <v>0</v>
      </c>
      <c r="AA128" s="71">
        <f>CW128</f>
        <v>0</v>
      </c>
      <c r="AB128" s="71"/>
      <c r="AC128" s="71">
        <v>0</v>
      </c>
      <c r="AD128" s="71">
        <f>W128+X128+Y128+Z128+AA128+AB128+AC128</f>
        <v>0</v>
      </c>
      <c r="AE128" s="72">
        <v>0</v>
      </c>
      <c r="AF128" s="5"/>
      <c r="AG128" s="6"/>
      <c r="AH128" s="27" t="s">
        <v>3392</v>
      </c>
      <c r="AI128" s="44" t="s">
        <v>3393</v>
      </c>
      <c r="AJ128" s="26"/>
      <c r="AK128" s="5"/>
      <c r="AL128" s="82" t="s">
        <v>2965</v>
      </c>
      <c r="AM128" s="76"/>
      <c r="AN128" s="76"/>
      <c r="AO128" s="76"/>
      <c r="AP128" s="76"/>
      <c r="AQ128" s="76"/>
      <c r="AR128" s="76"/>
      <c r="AS128" s="76"/>
      <c r="AT128" s="76"/>
      <c r="AU128" s="76"/>
      <c r="AV128" s="76"/>
      <c r="AW128" s="76"/>
      <c r="AX128" s="76">
        <f>+AW128*600000</f>
        <v>0</v>
      </c>
      <c r="AY128" s="76"/>
      <c r="AZ128" s="76">
        <f>+AY128*70000</f>
        <v>0</v>
      </c>
      <c r="BA128" s="76"/>
      <c r="BB128" s="76"/>
      <c r="BC128" s="76"/>
      <c r="BD128" s="76">
        <f>+BC128*30000</f>
        <v>0</v>
      </c>
      <c r="BE128" s="76"/>
      <c r="BF128" s="76"/>
      <c r="BG128" s="76"/>
      <c r="BH128" s="76"/>
      <c r="BI128" s="76"/>
      <c r="BJ128" s="76"/>
      <c r="BK128" s="76"/>
      <c r="BL128" s="76">
        <f>+BK128*31500</f>
        <v>0</v>
      </c>
      <c r="BM128" s="76"/>
      <c r="BN128" s="76"/>
      <c r="BO128" s="76"/>
      <c r="BP128" s="76"/>
      <c r="BQ128" s="76"/>
      <c r="BR128" s="76"/>
      <c r="BS128" s="76"/>
      <c r="BT128" s="76"/>
      <c r="BU128" s="76"/>
      <c r="BV128" s="76"/>
      <c r="BW128" s="76"/>
      <c r="BX128" s="76"/>
      <c r="BY128" s="76"/>
      <c r="BZ128" s="76"/>
      <c r="CA128" s="76"/>
      <c r="CB128" s="76"/>
      <c r="CC128" s="76"/>
      <c r="CD128" s="76"/>
      <c r="CE128" s="76"/>
      <c r="CF128" s="76">
        <f>+CE128*28000</f>
        <v>0</v>
      </c>
      <c r="CG128" s="76"/>
      <c r="CH128" s="76">
        <f>+CG128*22500</f>
        <v>0</v>
      </c>
      <c r="CI128" s="76"/>
      <c r="CJ128" s="76">
        <f>+CI128*26000</f>
        <v>0</v>
      </c>
      <c r="CK128" s="76"/>
      <c r="CL128" s="76"/>
      <c r="CM128" s="76"/>
      <c r="CN128" s="76">
        <f>+CM128*22000</f>
        <v>0</v>
      </c>
      <c r="CO128" s="76"/>
      <c r="CP128" s="76">
        <f>+CO128*46000</f>
        <v>0</v>
      </c>
      <c r="CQ128" s="76"/>
      <c r="CR128" s="76">
        <f>+CQ128*49000</f>
        <v>0</v>
      </c>
      <c r="CS128" s="76"/>
      <c r="CT128" s="76"/>
      <c r="CU128" s="56">
        <f>AN128+AP128+AR128+AT128+AV128+AX128+AZ128+BB128+BD128+BF128+BH128+BJ128+BL128+BN128+BP128+BR128+BT128+BV128+BX128+BZ128+CB128+CD128+CF128+CH128+CJ128+CL128+CN128+CP128+CR128+CT128</f>
        <v>0</v>
      </c>
      <c r="CV128" s="76"/>
      <c r="CW128" s="76">
        <f>+CV128*1100</f>
        <v>0</v>
      </c>
      <c r="CX128" s="76"/>
      <c r="CY128" s="76">
        <f>+CX128*106250</f>
        <v>0</v>
      </c>
      <c r="CZ128" s="76"/>
      <c r="DA128" s="76">
        <f>+CZ128*34500</f>
        <v>0</v>
      </c>
      <c r="DB128" s="76"/>
      <c r="DC128" s="76">
        <f>+DB128*25000</f>
        <v>0</v>
      </c>
      <c r="DD128" s="219"/>
      <c r="DE128" s="219"/>
      <c r="DF128" s="164"/>
      <c r="DG128" s="116"/>
      <c r="DH128" s="117"/>
      <c r="DI128" s="24"/>
      <c r="DJ128" s="24"/>
      <c r="DK128" s="24"/>
      <c r="DL128" s="24"/>
      <c r="DM128" s="24"/>
      <c r="DN128" s="24"/>
      <c r="DO128" s="24"/>
      <c r="DP128" s="24"/>
      <c r="DQ128" s="24"/>
      <c r="DR128" s="24"/>
      <c r="DS128" s="24"/>
      <c r="DT128" s="24"/>
      <c r="DU128" s="24"/>
    </row>
    <row r="129" spans="1:125" s="8" customFormat="1" ht="36" x14ac:dyDescent="0.2">
      <c r="A129" s="77">
        <v>41284</v>
      </c>
      <c r="B129" s="78" t="s">
        <v>529</v>
      </c>
      <c r="C129" s="75" t="s">
        <v>529</v>
      </c>
      <c r="D129" s="81" t="s">
        <v>2846</v>
      </c>
      <c r="E129" s="75" t="str">
        <f>VLOOKUP(B129&amp;C129,Divipola!$C$2:$F$1138,4,FALSE)</f>
        <v>11001</v>
      </c>
      <c r="F129" s="87"/>
      <c r="G129" s="87"/>
      <c r="H129" s="87"/>
      <c r="I129" s="87"/>
      <c r="J129" s="87"/>
      <c r="K129" s="87"/>
      <c r="L129" s="87"/>
      <c r="M129" s="87"/>
      <c r="N129" s="87"/>
      <c r="O129" s="87"/>
      <c r="P129" s="87"/>
      <c r="Q129" s="87"/>
      <c r="R129" s="87"/>
      <c r="S129" s="87"/>
      <c r="T129" s="87"/>
      <c r="U129" s="127"/>
      <c r="V129" s="89"/>
      <c r="W129" s="96">
        <v>0</v>
      </c>
      <c r="X129" s="71">
        <f>CU129</f>
        <v>0</v>
      </c>
      <c r="Y129" s="71">
        <f>CY129</f>
        <v>0</v>
      </c>
      <c r="Z129" s="71">
        <f>DA129+DC129+DE129</f>
        <v>0</v>
      </c>
      <c r="AA129" s="71">
        <f>CW129</f>
        <v>0</v>
      </c>
      <c r="AB129" s="71"/>
      <c r="AC129" s="71">
        <v>0</v>
      </c>
      <c r="AD129" s="71">
        <f>W129+X129+Y129+Z129+AA129+AB129+AC129</f>
        <v>0</v>
      </c>
      <c r="AE129" s="72">
        <v>0</v>
      </c>
      <c r="AF129" s="5"/>
      <c r="AG129" s="6"/>
      <c r="AH129" s="27" t="s">
        <v>3392</v>
      </c>
      <c r="AI129" s="44" t="s">
        <v>3393</v>
      </c>
      <c r="AJ129" s="26"/>
      <c r="AK129" s="5"/>
      <c r="AL129" s="82" t="s">
        <v>2980</v>
      </c>
      <c r="AM129" s="76"/>
      <c r="AN129" s="76"/>
      <c r="AO129" s="76"/>
      <c r="AP129" s="76"/>
      <c r="AQ129" s="76"/>
      <c r="AR129" s="76"/>
      <c r="AS129" s="76"/>
      <c r="AT129" s="76"/>
      <c r="AU129" s="76"/>
      <c r="AV129" s="76"/>
      <c r="AW129" s="76"/>
      <c r="AX129" s="76">
        <f>+AW129*600000</f>
        <v>0</v>
      </c>
      <c r="AY129" s="76"/>
      <c r="AZ129" s="76">
        <f>+AY129*70000</f>
        <v>0</v>
      </c>
      <c r="BA129" s="76"/>
      <c r="BB129" s="76"/>
      <c r="BC129" s="76"/>
      <c r="BD129" s="76">
        <f>+BC129*30000</f>
        <v>0</v>
      </c>
      <c r="BE129" s="76"/>
      <c r="BF129" s="76"/>
      <c r="BG129" s="76"/>
      <c r="BH129" s="76"/>
      <c r="BI129" s="76"/>
      <c r="BJ129" s="76"/>
      <c r="BK129" s="76"/>
      <c r="BL129" s="76">
        <f>+BK129*31500</f>
        <v>0</v>
      </c>
      <c r="BM129" s="76"/>
      <c r="BN129" s="76"/>
      <c r="BO129" s="76"/>
      <c r="BP129" s="76"/>
      <c r="BQ129" s="76"/>
      <c r="BR129" s="76"/>
      <c r="BS129" s="76"/>
      <c r="BT129" s="76"/>
      <c r="BU129" s="76"/>
      <c r="BV129" s="76"/>
      <c r="BW129" s="76"/>
      <c r="BX129" s="76"/>
      <c r="BY129" s="76"/>
      <c r="BZ129" s="76"/>
      <c r="CA129" s="76"/>
      <c r="CB129" s="76"/>
      <c r="CC129" s="76"/>
      <c r="CD129" s="76"/>
      <c r="CE129" s="76"/>
      <c r="CF129" s="76">
        <f>+CE129*28000</f>
        <v>0</v>
      </c>
      <c r="CG129" s="76"/>
      <c r="CH129" s="76">
        <f>+CG129*22500</f>
        <v>0</v>
      </c>
      <c r="CI129" s="76"/>
      <c r="CJ129" s="76">
        <f>+CI129*26000</f>
        <v>0</v>
      </c>
      <c r="CK129" s="76"/>
      <c r="CL129" s="76"/>
      <c r="CM129" s="76"/>
      <c r="CN129" s="76">
        <f>+CM129*22000</f>
        <v>0</v>
      </c>
      <c r="CO129" s="76"/>
      <c r="CP129" s="76">
        <f>+CO129*46000</f>
        <v>0</v>
      </c>
      <c r="CQ129" s="76"/>
      <c r="CR129" s="76">
        <f>+CQ129*49000</f>
        <v>0</v>
      </c>
      <c r="CS129" s="76"/>
      <c r="CT129" s="76"/>
      <c r="CU129" s="56">
        <f>AN129+AP129+AR129+AT129+AV129+AX129+AZ129+BB129+BD129+BF129+BH129+BJ129+BL129+BN129+BP129+BR129+BT129+BV129+BX129+BZ129+CB129+CD129+CF129+CH129+CJ129+CL129+CN129+CP129+CR129+CT129</f>
        <v>0</v>
      </c>
      <c r="CV129" s="76"/>
      <c r="CW129" s="76">
        <f>+CV129*1100</f>
        <v>0</v>
      </c>
      <c r="CX129" s="76"/>
      <c r="CY129" s="76">
        <f>+CX129*106250</f>
        <v>0</v>
      </c>
      <c r="CZ129" s="76"/>
      <c r="DA129" s="76">
        <f>+CZ129*34500</f>
        <v>0</v>
      </c>
      <c r="DB129" s="76"/>
      <c r="DC129" s="76">
        <f>+DB129*25000</f>
        <v>0</v>
      </c>
      <c r="DD129" s="219"/>
      <c r="DE129" s="219"/>
      <c r="DF129" s="164"/>
      <c r="DG129" s="116"/>
      <c r="DH129" s="117"/>
      <c r="DI129" s="24"/>
      <c r="DJ129" s="24"/>
      <c r="DK129" s="24"/>
      <c r="DL129" s="24"/>
      <c r="DM129" s="24"/>
      <c r="DN129" s="24"/>
      <c r="DO129" s="24"/>
      <c r="DP129" s="24"/>
      <c r="DQ129" s="24"/>
      <c r="DR129" s="24"/>
      <c r="DS129" s="24"/>
      <c r="DT129" s="24"/>
      <c r="DU129" s="24"/>
    </row>
    <row r="130" spans="1:125" s="8" customFormat="1" ht="96" x14ac:dyDescent="0.2">
      <c r="A130" s="77">
        <v>41284</v>
      </c>
      <c r="B130" s="80" t="s">
        <v>2855</v>
      </c>
      <c r="C130" s="81" t="s">
        <v>2749</v>
      </c>
      <c r="D130" s="81" t="s">
        <v>2846</v>
      </c>
      <c r="E130" s="75" t="str">
        <f>VLOOKUP(B130&amp;C130,Divipola!$C$2:$F$1138,4,FALSE)</f>
        <v>20011</v>
      </c>
      <c r="F130" s="90"/>
      <c r="G130" s="90"/>
      <c r="H130" s="90"/>
      <c r="I130" s="90"/>
      <c r="J130" s="90"/>
      <c r="K130" s="90"/>
      <c r="L130" s="90"/>
      <c r="M130" s="90"/>
      <c r="N130" s="90"/>
      <c r="O130" s="90"/>
      <c r="P130" s="90"/>
      <c r="Q130" s="90"/>
      <c r="R130" s="90"/>
      <c r="S130" s="90"/>
      <c r="T130" s="90"/>
      <c r="U130" s="128">
        <v>15</v>
      </c>
      <c r="V130" s="89"/>
      <c r="W130" s="96">
        <v>0</v>
      </c>
      <c r="X130" s="71">
        <f>CU130</f>
        <v>0</v>
      </c>
      <c r="Y130" s="71">
        <f>CY130</f>
        <v>0</v>
      </c>
      <c r="Z130" s="71">
        <f>DA130+DC130+DE130</f>
        <v>0</v>
      </c>
      <c r="AA130" s="71">
        <f>CW130</f>
        <v>0</v>
      </c>
      <c r="AB130" s="71"/>
      <c r="AC130" s="71">
        <v>0</v>
      </c>
      <c r="AD130" s="71">
        <f>W130+X130+Y130+Z130+AA130+AB130+AC130</f>
        <v>0</v>
      </c>
      <c r="AE130" s="72">
        <v>0</v>
      </c>
      <c r="AF130" s="5"/>
      <c r="AG130" s="6"/>
      <c r="AH130" s="27" t="s">
        <v>3392</v>
      </c>
      <c r="AI130" s="44" t="s">
        <v>3393</v>
      </c>
      <c r="AJ130" s="26"/>
      <c r="AK130" s="5"/>
      <c r="AL130" s="82" t="s">
        <v>3006</v>
      </c>
      <c r="AM130" s="76"/>
      <c r="AN130" s="76"/>
      <c r="AO130" s="76"/>
      <c r="AP130" s="76"/>
      <c r="AQ130" s="76"/>
      <c r="AR130" s="76"/>
      <c r="AS130" s="76"/>
      <c r="AT130" s="76"/>
      <c r="AU130" s="76"/>
      <c r="AV130" s="76"/>
      <c r="AW130" s="76"/>
      <c r="AX130" s="76">
        <f>+AW130*600000</f>
        <v>0</v>
      </c>
      <c r="AY130" s="76"/>
      <c r="AZ130" s="76">
        <f>+AY130*70000</f>
        <v>0</v>
      </c>
      <c r="BA130" s="76"/>
      <c r="BB130" s="76"/>
      <c r="BC130" s="76"/>
      <c r="BD130" s="76">
        <f>+BC130*30000</f>
        <v>0</v>
      </c>
      <c r="BE130" s="76"/>
      <c r="BF130" s="76"/>
      <c r="BG130" s="76"/>
      <c r="BH130" s="76"/>
      <c r="BI130" s="76"/>
      <c r="BJ130" s="76"/>
      <c r="BK130" s="76"/>
      <c r="BL130" s="76">
        <f>+BK130*31500</f>
        <v>0</v>
      </c>
      <c r="BM130" s="76"/>
      <c r="BN130" s="76"/>
      <c r="BO130" s="76"/>
      <c r="BP130" s="76"/>
      <c r="BQ130" s="76"/>
      <c r="BR130" s="76"/>
      <c r="BS130" s="76"/>
      <c r="BT130" s="76"/>
      <c r="BU130" s="76"/>
      <c r="BV130" s="76"/>
      <c r="BW130" s="76"/>
      <c r="BX130" s="76"/>
      <c r="BY130" s="76"/>
      <c r="BZ130" s="76"/>
      <c r="CA130" s="76"/>
      <c r="CB130" s="76"/>
      <c r="CC130" s="76"/>
      <c r="CD130" s="76"/>
      <c r="CE130" s="76"/>
      <c r="CF130" s="76">
        <f>+CE130*28000</f>
        <v>0</v>
      </c>
      <c r="CG130" s="76"/>
      <c r="CH130" s="76">
        <f>+CG130*22500</f>
        <v>0</v>
      </c>
      <c r="CI130" s="76"/>
      <c r="CJ130" s="76">
        <f>+CI130*26000</f>
        <v>0</v>
      </c>
      <c r="CK130" s="76"/>
      <c r="CL130" s="76"/>
      <c r="CM130" s="76"/>
      <c r="CN130" s="76">
        <f>+CM130*22000</f>
        <v>0</v>
      </c>
      <c r="CO130" s="76"/>
      <c r="CP130" s="76">
        <f>+CO130*46000</f>
        <v>0</v>
      </c>
      <c r="CQ130" s="76"/>
      <c r="CR130" s="76">
        <f>+CQ130*49000</f>
        <v>0</v>
      </c>
      <c r="CS130" s="76"/>
      <c r="CT130" s="76"/>
      <c r="CU130" s="56">
        <f>AN130+AP130+AR130+AT130+AV130+AX130+AZ130+BB130+BD130+BF130+BH130+BJ130+BL130+BN130+BP130+BR130+BT130+BV130+BX130+BZ130+CB130+CD130+CF130+CH130+CJ130+CL130+CN130+CP130+CR130+CT130</f>
        <v>0</v>
      </c>
      <c r="CV130" s="76"/>
      <c r="CW130" s="76">
        <f>+CV130*1100</f>
        <v>0</v>
      </c>
      <c r="CX130" s="76"/>
      <c r="CY130" s="76">
        <f>+CX130*106250</f>
        <v>0</v>
      </c>
      <c r="CZ130" s="76"/>
      <c r="DA130" s="76">
        <f>+CZ130*34500</f>
        <v>0</v>
      </c>
      <c r="DB130" s="76"/>
      <c r="DC130" s="76">
        <f>+DB130*25000</f>
        <v>0</v>
      </c>
      <c r="DD130" s="219"/>
      <c r="DE130" s="219"/>
      <c r="DF130" s="164"/>
      <c r="DG130" s="116"/>
      <c r="DH130" s="117"/>
      <c r="DI130" s="24"/>
      <c r="DJ130" s="24"/>
      <c r="DK130" s="24"/>
      <c r="DL130" s="24"/>
      <c r="DM130" s="24"/>
      <c r="DN130" s="24"/>
      <c r="DO130" s="24"/>
      <c r="DP130" s="24"/>
      <c r="DQ130" s="24"/>
      <c r="DR130" s="24"/>
      <c r="DS130" s="24"/>
      <c r="DT130" s="24"/>
      <c r="DU130" s="24"/>
    </row>
    <row r="131" spans="1:125" s="8" customFormat="1" ht="48" x14ac:dyDescent="0.2">
      <c r="A131" s="77">
        <v>41284</v>
      </c>
      <c r="B131" s="78" t="s">
        <v>2855</v>
      </c>
      <c r="C131" s="75" t="s">
        <v>919</v>
      </c>
      <c r="D131" s="81" t="s">
        <v>2846</v>
      </c>
      <c r="E131" s="75" t="str">
        <f>VLOOKUP(B131&amp;C131,Divipola!$C$2:$F$1138,4,FALSE)</f>
        <v>20400</v>
      </c>
      <c r="F131" s="87"/>
      <c r="G131" s="87"/>
      <c r="H131" s="87"/>
      <c r="I131" s="87"/>
      <c r="J131" s="87"/>
      <c r="K131" s="87"/>
      <c r="L131" s="87"/>
      <c r="M131" s="87"/>
      <c r="N131" s="87"/>
      <c r="O131" s="87"/>
      <c r="P131" s="87"/>
      <c r="Q131" s="87"/>
      <c r="R131" s="87"/>
      <c r="S131" s="87"/>
      <c r="T131" s="87"/>
      <c r="U131" s="127"/>
      <c r="V131" s="89"/>
      <c r="W131" s="96">
        <v>0</v>
      </c>
      <c r="X131" s="71">
        <f>CU131</f>
        <v>0</v>
      </c>
      <c r="Y131" s="71">
        <f>CY131</f>
        <v>0</v>
      </c>
      <c r="Z131" s="71">
        <f>DA131+DC131+DE131</f>
        <v>0</v>
      </c>
      <c r="AA131" s="71">
        <f>CW131</f>
        <v>0</v>
      </c>
      <c r="AB131" s="71"/>
      <c r="AC131" s="71">
        <v>0</v>
      </c>
      <c r="AD131" s="71">
        <f>W131+X131+Y131+Z131+AA131+AB131+AC131</f>
        <v>0</v>
      </c>
      <c r="AE131" s="72">
        <v>0</v>
      </c>
      <c r="AF131" s="5"/>
      <c r="AG131" s="6"/>
      <c r="AH131" s="27" t="s">
        <v>3392</v>
      </c>
      <c r="AI131" s="44" t="s">
        <v>3393</v>
      </c>
      <c r="AJ131" s="26"/>
      <c r="AK131" s="5"/>
      <c r="AL131" s="82" t="s">
        <v>2983</v>
      </c>
      <c r="AM131" s="76"/>
      <c r="AN131" s="76"/>
      <c r="AO131" s="76"/>
      <c r="AP131" s="76"/>
      <c r="AQ131" s="76"/>
      <c r="AR131" s="76"/>
      <c r="AS131" s="76"/>
      <c r="AT131" s="76"/>
      <c r="AU131" s="76"/>
      <c r="AV131" s="76"/>
      <c r="AW131" s="76"/>
      <c r="AX131" s="76">
        <f>+AW131*600000</f>
        <v>0</v>
      </c>
      <c r="AY131" s="76"/>
      <c r="AZ131" s="76">
        <f>+AY131*70000</f>
        <v>0</v>
      </c>
      <c r="BA131" s="76"/>
      <c r="BB131" s="76"/>
      <c r="BC131" s="76"/>
      <c r="BD131" s="76">
        <f>+BC131*30000</f>
        <v>0</v>
      </c>
      <c r="BE131" s="76"/>
      <c r="BF131" s="76"/>
      <c r="BG131" s="76"/>
      <c r="BH131" s="76"/>
      <c r="BI131" s="76"/>
      <c r="BJ131" s="76"/>
      <c r="BK131" s="76"/>
      <c r="BL131" s="76">
        <f>+BK131*31500</f>
        <v>0</v>
      </c>
      <c r="BM131" s="76"/>
      <c r="BN131" s="76"/>
      <c r="BO131" s="76"/>
      <c r="BP131" s="76"/>
      <c r="BQ131" s="76"/>
      <c r="BR131" s="76"/>
      <c r="BS131" s="76"/>
      <c r="BT131" s="76"/>
      <c r="BU131" s="76"/>
      <c r="BV131" s="76"/>
      <c r="BW131" s="76"/>
      <c r="BX131" s="76"/>
      <c r="BY131" s="76"/>
      <c r="BZ131" s="76"/>
      <c r="CA131" s="76"/>
      <c r="CB131" s="76"/>
      <c r="CC131" s="76"/>
      <c r="CD131" s="76"/>
      <c r="CE131" s="76"/>
      <c r="CF131" s="76">
        <f>+CE131*28000</f>
        <v>0</v>
      </c>
      <c r="CG131" s="76"/>
      <c r="CH131" s="76">
        <f>+CG131*22500</f>
        <v>0</v>
      </c>
      <c r="CI131" s="76"/>
      <c r="CJ131" s="76">
        <f>+CI131*26000</f>
        <v>0</v>
      </c>
      <c r="CK131" s="76"/>
      <c r="CL131" s="76"/>
      <c r="CM131" s="76"/>
      <c r="CN131" s="76">
        <f>+CM131*22000</f>
        <v>0</v>
      </c>
      <c r="CO131" s="76"/>
      <c r="CP131" s="76">
        <f>+CO131*46000</f>
        <v>0</v>
      </c>
      <c r="CQ131" s="76"/>
      <c r="CR131" s="76">
        <f>+CQ131*49000</f>
        <v>0</v>
      </c>
      <c r="CS131" s="76"/>
      <c r="CT131" s="76"/>
      <c r="CU131" s="56">
        <f>AN131+AP131+AR131+AT131+AV131+AX131+AZ131+BB131+BD131+BF131+BH131+BJ131+BL131+BN131+BP131+BR131+BT131+BV131+BX131+BZ131+CB131+CD131+CF131+CH131+CJ131+CL131+CN131+CP131+CR131+CT131</f>
        <v>0</v>
      </c>
      <c r="CV131" s="76"/>
      <c r="CW131" s="76">
        <f>+CV131*1100</f>
        <v>0</v>
      </c>
      <c r="CX131" s="76"/>
      <c r="CY131" s="76">
        <f>+CX131*106250</f>
        <v>0</v>
      </c>
      <c r="CZ131" s="76"/>
      <c r="DA131" s="76">
        <f>+CZ131*34500</f>
        <v>0</v>
      </c>
      <c r="DB131" s="76"/>
      <c r="DC131" s="76">
        <f>+DB131*25000</f>
        <v>0</v>
      </c>
      <c r="DD131" s="219"/>
      <c r="DE131" s="219"/>
      <c r="DF131" s="164"/>
      <c r="DG131" s="116"/>
      <c r="DH131" s="117"/>
      <c r="DI131" s="24"/>
      <c r="DJ131" s="24"/>
      <c r="DK131" s="24"/>
      <c r="DL131" s="24"/>
      <c r="DM131" s="24"/>
      <c r="DN131" s="24"/>
      <c r="DO131" s="24"/>
      <c r="DP131" s="24"/>
      <c r="DQ131" s="24"/>
      <c r="DR131" s="24"/>
      <c r="DS131" s="24"/>
      <c r="DT131" s="24"/>
      <c r="DU131" s="24"/>
    </row>
    <row r="132" spans="1:125" s="8" customFormat="1" ht="60" x14ac:dyDescent="0.2">
      <c r="A132" s="77">
        <v>41284</v>
      </c>
      <c r="B132" s="84" t="s">
        <v>2855</v>
      </c>
      <c r="C132" s="84" t="s">
        <v>2168</v>
      </c>
      <c r="D132" s="81" t="s">
        <v>2846</v>
      </c>
      <c r="E132" s="75" t="str">
        <f>VLOOKUP(B132&amp;C132,Divipola!$C$2:$F$1138,4,FALSE)</f>
        <v>20001</v>
      </c>
      <c r="F132" s="89"/>
      <c r="G132" s="89"/>
      <c r="H132" s="89"/>
      <c r="I132" s="89"/>
      <c r="J132" s="89"/>
      <c r="K132" s="89"/>
      <c r="L132" s="89"/>
      <c r="M132" s="89"/>
      <c r="N132" s="89"/>
      <c r="O132" s="89"/>
      <c r="P132" s="89"/>
      <c r="Q132" s="89"/>
      <c r="R132" s="89"/>
      <c r="S132" s="89"/>
      <c r="T132" s="89"/>
      <c r="U132" s="126">
        <v>10</v>
      </c>
      <c r="V132" s="89"/>
      <c r="W132" s="96">
        <v>0</v>
      </c>
      <c r="X132" s="71">
        <f>CU132</f>
        <v>0</v>
      </c>
      <c r="Y132" s="71">
        <f>CY132</f>
        <v>0</v>
      </c>
      <c r="Z132" s="71">
        <f>DA132+DC132+DE132</f>
        <v>0</v>
      </c>
      <c r="AA132" s="71">
        <f>CW132</f>
        <v>0</v>
      </c>
      <c r="AB132" s="71"/>
      <c r="AC132" s="71">
        <v>0</v>
      </c>
      <c r="AD132" s="71">
        <f>W132+X132+Y132+Z132+AA132+AB132+AC132</f>
        <v>0</v>
      </c>
      <c r="AE132" s="72">
        <v>0</v>
      </c>
      <c r="AF132" s="5"/>
      <c r="AG132" s="6"/>
      <c r="AH132" s="27" t="s">
        <v>3392</v>
      </c>
      <c r="AI132" s="44" t="s">
        <v>3393</v>
      </c>
      <c r="AJ132" s="26"/>
      <c r="AK132" s="5"/>
      <c r="AL132" s="82" t="s">
        <v>2982</v>
      </c>
      <c r="AM132" s="76"/>
      <c r="AN132" s="76"/>
      <c r="AO132" s="76"/>
      <c r="AP132" s="76"/>
      <c r="AQ132" s="76"/>
      <c r="AR132" s="76"/>
      <c r="AS132" s="76"/>
      <c r="AT132" s="76"/>
      <c r="AU132" s="76"/>
      <c r="AV132" s="76"/>
      <c r="AW132" s="76"/>
      <c r="AX132" s="76">
        <f>+AW132*600000</f>
        <v>0</v>
      </c>
      <c r="AY132" s="76"/>
      <c r="AZ132" s="76">
        <f>+AY132*70000</f>
        <v>0</v>
      </c>
      <c r="BA132" s="76"/>
      <c r="BB132" s="76"/>
      <c r="BC132" s="76"/>
      <c r="BD132" s="76">
        <f>+BC132*30000</f>
        <v>0</v>
      </c>
      <c r="BE132" s="76"/>
      <c r="BF132" s="76"/>
      <c r="BG132" s="76"/>
      <c r="BH132" s="76"/>
      <c r="BI132" s="76"/>
      <c r="BJ132" s="76"/>
      <c r="BK132" s="76"/>
      <c r="BL132" s="76">
        <f>+BK132*31500</f>
        <v>0</v>
      </c>
      <c r="BM132" s="76"/>
      <c r="BN132" s="76"/>
      <c r="BO132" s="76"/>
      <c r="BP132" s="76"/>
      <c r="BQ132" s="76"/>
      <c r="BR132" s="76"/>
      <c r="BS132" s="76"/>
      <c r="BT132" s="76"/>
      <c r="BU132" s="76"/>
      <c r="BV132" s="76"/>
      <c r="BW132" s="76"/>
      <c r="BX132" s="76"/>
      <c r="BY132" s="76"/>
      <c r="BZ132" s="76"/>
      <c r="CA132" s="76"/>
      <c r="CB132" s="76"/>
      <c r="CC132" s="76"/>
      <c r="CD132" s="76"/>
      <c r="CE132" s="76"/>
      <c r="CF132" s="76">
        <f>+CE132*28000</f>
        <v>0</v>
      </c>
      <c r="CG132" s="76"/>
      <c r="CH132" s="76">
        <f>+CG132*22500</f>
        <v>0</v>
      </c>
      <c r="CI132" s="76"/>
      <c r="CJ132" s="76">
        <f>+CI132*26000</f>
        <v>0</v>
      </c>
      <c r="CK132" s="76"/>
      <c r="CL132" s="76"/>
      <c r="CM132" s="76"/>
      <c r="CN132" s="76">
        <f>+CM132*22000</f>
        <v>0</v>
      </c>
      <c r="CO132" s="76"/>
      <c r="CP132" s="76">
        <f>+CO132*46000</f>
        <v>0</v>
      </c>
      <c r="CQ132" s="76"/>
      <c r="CR132" s="76">
        <f>+CQ132*49000</f>
        <v>0</v>
      </c>
      <c r="CS132" s="76"/>
      <c r="CT132" s="76"/>
      <c r="CU132" s="56">
        <f>AN132+AP132+AR132+AT132+AV132+AX132+AZ132+BB132+BD132+BF132+BH132+BJ132+BL132+BN132+BP132+BR132+BT132+BV132+BX132+BZ132+CB132+CD132+CF132+CH132+CJ132+CL132+CN132+CP132+CR132+CT132</f>
        <v>0</v>
      </c>
      <c r="CV132" s="76"/>
      <c r="CW132" s="76">
        <f>+CV132*1100</f>
        <v>0</v>
      </c>
      <c r="CX132" s="76"/>
      <c r="CY132" s="76">
        <f>+CX132*106250</f>
        <v>0</v>
      </c>
      <c r="CZ132" s="76"/>
      <c r="DA132" s="76">
        <f>+CZ132*34500</f>
        <v>0</v>
      </c>
      <c r="DB132" s="76"/>
      <c r="DC132" s="76">
        <f>+DB132*25000</f>
        <v>0</v>
      </c>
      <c r="DD132" s="219"/>
      <c r="DE132" s="219"/>
      <c r="DF132" s="164"/>
      <c r="DG132" s="116"/>
      <c r="DH132" s="117"/>
      <c r="DI132" s="24"/>
      <c r="DJ132" s="24"/>
      <c r="DK132" s="24"/>
      <c r="DL132" s="24"/>
      <c r="DM132" s="24"/>
      <c r="DN132" s="24"/>
      <c r="DO132" s="24"/>
      <c r="DP132" s="24"/>
      <c r="DQ132" s="24"/>
      <c r="DR132" s="24"/>
      <c r="DS132" s="24"/>
      <c r="DT132" s="24"/>
      <c r="DU132" s="24"/>
    </row>
    <row r="133" spans="1:125" s="8" customFormat="1" ht="24" x14ac:dyDescent="0.2">
      <c r="A133" s="77">
        <v>41284</v>
      </c>
      <c r="B133" s="80" t="s">
        <v>2661</v>
      </c>
      <c r="C133" s="81" t="s">
        <v>3</v>
      </c>
      <c r="D133" s="81" t="s">
        <v>2846</v>
      </c>
      <c r="E133" s="75" t="str">
        <f>VLOOKUP(B133&amp;C133,Divipola!$C$2:$F$1138,4,FALSE)</f>
        <v>41013</v>
      </c>
      <c r="F133" s="87"/>
      <c r="G133" s="87"/>
      <c r="H133" s="87"/>
      <c r="I133" s="87"/>
      <c r="J133" s="87"/>
      <c r="K133" s="87"/>
      <c r="L133" s="87"/>
      <c r="M133" s="87"/>
      <c r="N133" s="87"/>
      <c r="O133" s="87"/>
      <c r="P133" s="87"/>
      <c r="Q133" s="87"/>
      <c r="R133" s="87"/>
      <c r="S133" s="87"/>
      <c r="T133" s="87"/>
      <c r="U133" s="127">
        <v>2</v>
      </c>
      <c r="V133" s="89"/>
      <c r="W133" s="96">
        <v>0</v>
      </c>
      <c r="X133" s="71">
        <f>CU133</f>
        <v>0</v>
      </c>
      <c r="Y133" s="71">
        <f>CY133</f>
        <v>0</v>
      </c>
      <c r="Z133" s="71">
        <f>DA133+DC133+DE133</f>
        <v>0</v>
      </c>
      <c r="AA133" s="71">
        <f>CW133</f>
        <v>0</v>
      </c>
      <c r="AB133" s="71"/>
      <c r="AC133" s="71">
        <v>0</v>
      </c>
      <c r="AD133" s="71">
        <f>W133+X133+Y133+Z133+AA133+AB133+AC133</f>
        <v>0</v>
      </c>
      <c r="AE133" s="72">
        <v>0</v>
      </c>
      <c r="AF133" s="5"/>
      <c r="AG133" s="6"/>
      <c r="AH133" s="27" t="s">
        <v>3392</v>
      </c>
      <c r="AI133" s="44" t="s">
        <v>3393</v>
      </c>
      <c r="AJ133" s="26"/>
      <c r="AK133" s="5"/>
      <c r="AL133" s="82" t="s">
        <v>2981</v>
      </c>
      <c r="AM133" s="76"/>
      <c r="AN133" s="76"/>
      <c r="AO133" s="76"/>
      <c r="AP133" s="76"/>
      <c r="AQ133" s="76"/>
      <c r="AR133" s="76"/>
      <c r="AS133" s="76"/>
      <c r="AT133" s="76"/>
      <c r="AU133" s="76"/>
      <c r="AV133" s="76"/>
      <c r="AW133" s="76"/>
      <c r="AX133" s="76">
        <f>+AW133*600000</f>
        <v>0</v>
      </c>
      <c r="AY133" s="76"/>
      <c r="AZ133" s="76">
        <f>+AY133*70000</f>
        <v>0</v>
      </c>
      <c r="BA133" s="76"/>
      <c r="BB133" s="76"/>
      <c r="BC133" s="76"/>
      <c r="BD133" s="76">
        <f>+BC133*30000</f>
        <v>0</v>
      </c>
      <c r="BE133" s="76"/>
      <c r="BF133" s="76"/>
      <c r="BG133" s="76"/>
      <c r="BH133" s="76"/>
      <c r="BI133" s="76"/>
      <c r="BJ133" s="76"/>
      <c r="BK133" s="76"/>
      <c r="BL133" s="76">
        <f>+BK133*31500</f>
        <v>0</v>
      </c>
      <c r="BM133" s="76"/>
      <c r="BN133" s="76"/>
      <c r="BO133" s="76"/>
      <c r="BP133" s="76"/>
      <c r="BQ133" s="76"/>
      <c r="BR133" s="76"/>
      <c r="BS133" s="76"/>
      <c r="BT133" s="76"/>
      <c r="BU133" s="76"/>
      <c r="BV133" s="76"/>
      <c r="BW133" s="76"/>
      <c r="BX133" s="76"/>
      <c r="BY133" s="76"/>
      <c r="BZ133" s="76"/>
      <c r="CA133" s="76"/>
      <c r="CB133" s="76"/>
      <c r="CC133" s="76"/>
      <c r="CD133" s="76"/>
      <c r="CE133" s="76"/>
      <c r="CF133" s="76">
        <f>+CE133*28000</f>
        <v>0</v>
      </c>
      <c r="CG133" s="76"/>
      <c r="CH133" s="76">
        <f>+CG133*22500</f>
        <v>0</v>
      </c>
      <c r="CI133" s="76"/>
      <c r="CJ133" s="76">
        <f>+CI133*26000</f>
        <v>0</v>
      </c>
      <c r="CK133" s="76"/>
      <c r="CL133" s="76"/>
      <c r="CM133" s="76"/>
      <c r="CN133" s="76">
        <f>+CM133*22000</f>
        <v>0</v>
      </c>
      <c r="CO133" s="76"/>
      <c r="CP133" s="76">
        <f>+CO133*46000</f>
        <v>0</v>
      </c>
      <c r="CQ133" s="76"/>
      <c r="CR133" s="76">
        <f>+CQ133*49000</f>
        <v>0</v>
      </c>
      <c r="CS133" s="76"/>
      <c r="CT133" s="76"/>
      <c r="CU133" s="56">
        <f>AN133+AP133+AR133+AT133+AV133+AX133+AZ133+BB133+BD133+BF133+BH133+BJ133+BL133+BN133+BP133+BR133+BT133+BV133+BX133+BZ133+CB133+CD133+CF133+CH133+CJ133+CL133+CN133+CP133+CR133+CT133</f>
        <v>0</v>
      </c>
      <c r="CV133" s="76"/>
      <c r="CW133" s="76">
        <f>+CV133*1100</f>
        <v>0</v>
      </c>
      <c r="CX133" s="76"/>
      <c r="CY133" s="76">
        <f>+CX133*106250</f>
        <v>0</v>
      </c>
      <c r="CZ133" s="76"/>
      <c r="DA133" s="76">
        <f>+CZ133*34500</f>
        <v>0</v>
      </c>
      <c r="DB133" s="76"/>
      <c r="DC133" s="76">
        <f>+DB133*25000</f>
        <v>0</v>
      </c>
      <c r="DD133" s="219"/>
      <c r="DE133" s="219"/>
      <c r="DF133" s="164"/>
      <c r="DG133" s="116"/>
      <c r="DH133" s="117"/>
      <c r="DI133" s="24"/>
      <c r="DJ133" s="24"/>
      <c r="DK133" s="24"/>
      <c r="DL133" s="24"/>
      <c r="DM133" s="24"/>
      <c r="DN133" s="24"/>
      <c r="DO133" s="24"/>
      <c r="DP133" s="24"/>
      <c r="DQ133" s="24"/>
      <c r="DR133" s="24"/>
      <c r="DS133" s="24"/>
      <c r="DT133" s="24"/>
      <c r="DU133" s="24"/>
    </row>
    <row r="134" spans="1:125" s="8" customFormat="1" ht="24" x14ac:dyDescent="0.2">
      <c r="A134" s="77">
        <v>41284</v>
      </c>
      <c r="B134" s="80" t="s">
        <v>2661</v>
      </c>
      <c r="C134" s="81" t="s">
        <v>517</v>
      </c>
      <c r="D134" s="81" t="s">
        <v>2846</v>
      </c>
      <c r="E134" s="75" t="str">
        <f>VLOOKUP(B134&amp;C134,Divipola!$C$2:$F$1138,4,FALSE)</f>
        <v>41298</v>
      </c>
      <c r="F134" s="87"/>
      <c r="G134" s="87"/>
      <c r="H134" s="87"/>
      <c r="I134" s="87"/>
      <c r="J134" s="87"/>
      <c r="K134" s="87"/>
      <c r="L134" s="87"/>
      <c r="M134" s="87"/>
      <c r="N134" s="87"/>
      <c r="O134" s="87"/>
      <c r="P134" s="87"/>
      <c r="Q134" s="87"/>
      <c r="R134" s="87"/>
      <c r="S134" s="87"/>
      <c r="T134" s="87"/>
      <c r="U134" s="127">
        <v>1</v>
      </c>
      <c r="V134" s="89"/>
      <c r="W134" s="96">
        <v>0</v>
      </c>
      <c r="X134" s="71">
        <f>CU134</f>
        <v>0</v>
      </c>
      <c r="Y134" s="71">
        <f>CY134</f>
        <v>0</v>
      </c>
      <c r="Z134" s="71">
        <f>DA134+DC134+DE134</f>
        <v>0</v>
      </c>
      <c r="AA134" s="71">
        <f>CW134</f>
        <v>0</v>
      </c>
      <c r="AB134" s="71"/>
      <c r="AC134" s="71">
        <v>0</v>
      </c>
      <c r="AD134" s="71">
        <f>W134+X134+Y134+Z134+AA134+AB134+AC134</f>
        <v>0</v>
      </c>
      <c r="AE134" s="72">
        <v>0</v>
      </c>
      <c r="AF134" s="5"/>
      <c r="AG134" s="6"/>
      <c r="AH134" s="27" t="s">
        <v>3392</v>
      </c>
      <c r="AI134" s="44" t="s">
        <v>3393</v>
      </c>
      <c r="AJ134" s="26"/>
      <c r="AK134" s="5"/>
      <c r="AL134" s="82" t="s">
        <v>2981</v>
      </c>
      <c r="AM134" s="76"/>
      <c r="AN134" s="76"/>
      <c r="AO134" s="76"/>
      <c r="AP134" s="76"/>
      <c r="AQ134" s="76"/>
      <c r="AR134" s="76"/>
      <c r="AS134" s="76"/>
      <c r="AT134" s="76"/>
      <c r="AU134" s="76"/>
      <c r="AV134" s="76"/>
      <c r="AW134" s="76"/>
      <c r="AX134" s="76">
        <f>+AW134*600000</f>
        <v>0</v>
      </c>
      <c r="AY134" s="76"/>
      <c r="AZ134" s="76">
        <f>+AY134*70000</f>
        <v>0</v>
      </c>
      <c r="BA134" s="76"/>
      <c r="BB134" s="76"/>
      <c r="BC134" s="76"/>
      <c r="BD134" s="76">
        <f>+BC134*30000</f>
        <v>0</v>
      </c>
      <c r="BE134" s="76"/>
      <c r="BF134" s="76"/>
      <c r="BG134" s="76"/>
      <c r="BH134" s="76"/>
      <c r="BI134" s="76"/>
      <c r="BJ134" s="76"/>
      <c r="BK134" s="76"/>
      <c r="BL134" s="76">
        <f>+BK134*31500</f>
        <v>0</v>
      </c>
      <c r="BM134" s="76"/>
      <c r="BN134" s="76"/>
      <c r="BO134" s="76"/>
      <c r="BP134" s="76"/>
      <c r="BQ134" s="76"/>
      <c r="BR134" s="76"/>
      <c r="BS134" s="76"/>
      <c r="BT134" s="76"/>
      <c r="BU134" s="76"/>
      <c r="BV134" s="76"/>
      <c r="BW134" s="76"/>
      <c r="BX134" s="76"/>
      <c r="BY134" s="76"/>
      <c r="BZ134" s="76"/>
      <c r="CA134" s="76"/>
      <c r="CB134" s="76"/>
      <c r="CC134" s="76"/>
      <c r="CD134" s="76"/>
      <c r="CE134" s="76"/>
      <c r="CF134" s="76">
        <f>+CE134*28000</f>
        <v>0</v>
      </c>
      <c r="CG134" s="76"/>
      <c r="CH134" s="76">
        <f>+CG134*22500</f>
        <v>0</v>
      </c>
      <c r="CI134" s="76"/>
      <c r="CJ134" s="76">
        <f>+CI134*26000</f>
        <v>0</v>
      </c>
      <c r="CK134" s="76"/>
      <c r="CL134" s="76"/>
      <c r="CM134" s="76"/>
      <c r="CN134" s="76">
        <f>+CM134*22000</f>
        <v>0</v>
      </c>
      <c r="CO134" s="76"/>
      <c r="CP134" s="76">
        <f>+CO134*46000</f>
        <v>0</v>
      </c>
      <c r="CQ134" s="76"/>
      <c r="CR134" s="76">
        <f>+CQ134*49000</f>
        <v>0</v>
      </c>
      <c r="CS134" s="76"/>
      <c r="CT134" s="76"/>
      <c r="CU134" s="56">
        <f>AN134+AP134+AR134+AT134+AV134+AX134+AZ134+BB134+BD134+BF134+BH134+BJ134+BL134+BN134+BP134+BR134+BT134+BV134+BX134+BZ134+CB134+CD134+CF134+CH134+CJ134+CL134+CN134+CP134+CR134+CT134</f>
        <v>0</v>
      </c>
      <c r="CV134" s="76"/>
      <c r="CW134" s="76">
        <f>+CV134*1100</f>
        <v>0</v>
      </c>
      <c r="CX134" s="76"/>
      <c r="CY134" s="76">
        <f>+CX134*106250</f>
        <v>0</v>
      </c>
      <c r="CZ134" s="76"/>
      <c r="DA134" s="76">
        <f>+CZ134*34500</f>
        <v>0</v>
      </c>
      <c r="DB134" s="76"/>
      <c r="DC134" s="76">
        <f>+DB134*25000</f>
        <v>0</v>
      </c>
      <c r="DD134" s="219"/>
      <c r="DE134" s="219"/>
      <c r="DF134" s="164"/>
      <c r="DG134" s="116"/>
      <c r="DH134" s="117"/>
      <c r="DI134" s="24"/>
      <c r="DJ134" s="24"/>
      <c r="DK134" s="24"/>
      <c r="DL134" s="24"/>
      <c r="DM134" s="24"/>
      <c r="DN134" s="24"/>
      <c r="DO134" s="24"/>
      <c r="DP134" s="24"/>
      <c r="DQ134" s="24"/>
      <c r="DR134" s="24"/>
      <c r="DS134" s="24"/>
      <c r="DT134" s="24"/>
      <c r="DU134" s="24"/>
    </row>
    <row r="135" spans="1:125" s="8" customFormat="1" ht="24" x14ac:dyDescent="0.2">
      <c r="A135" s="77">
        <v>41284</v>
      </c>
      <c r="B135" s="80" t="s">
        <v>2661</v>
      </c>
      <c r="C135" s="81" t="s">
        <v>2694</v>
      </c>
      <c r="D135" s="81" t="s">
        <v>2846</v>
      </c>
      <c r="E135" s="75" t="str">
        <f>VLOOKUP(B135&amp;C135,Divipola!$C$2:$F$1138,4,FALSE)</f>
        <v>41396</v>
      </c>
      <c r="F135" s="87"/>
      <c r="G135" s="87"/>
      <c r="H135" s="87"/>
      <c r="I135" s="87"/>
      <c r="J135" s="87"/>
      <c r="K135" s="87"/>
      <c r="L135" s="87"/>
      <c r="M135" s="87"/>
      <c r="N135" s="87"/>
      <c r="O135" s="87"/>
      <c r="P135" s="87"/>
      <c r="Q135" s="87"/>
      <c r="R135" s="87"/>
      <c r="S135" s="87"/>
      <c r="T135" s="87"/>
      <c r="U135" s="127">
        <v>5</v>
      </c>
      <c r="V135" s="89"/>
      <c r="W135" s="96">
        <v>0</v>
      </c>
      <c r="X135" s="71">
        <f>CU135</f>
        <v>0</v>
      </c>
      <c r="Y135" s="71">
        <f>CY135</f>
        <v>0</v>
      </c>
      <c r="Z135" s="71">
        <f>DA135+DC135+DE135</f>
        <v>0</v>
      </c>
      <c r="AA135" s="71">
        <f>CW135</f>
        <v>0</v>
      </c>
      <c r="AB135" s="71"/>
      <c r="AC135" s="71">
        <v>0</v>
      </c>
      <c r="AD135" s="71">
        <f>W135+X135+Y135+Z135+AA135+AB135+AC135</f>
        <v>0</v>
      </c>
      <c r="AE135" s="72">
        <v>0</v>
      </c>
      <c r="AF135" s="5"/>
      <c r="AG135" s="6"/>
      <c r="AH135" s="27" t="s">
        <v>3392</v>
      </c>
      <c r="AI135" s="44" t="s">
        <v>3393</v>
      </c>
      <c r="AJ135" s="26"/>
      <c r="AK135" s="5"/>
      <c r="AL135" s="82" t="s">
        <v>2981</v>
      </c>
      <c r="AM135" s="76"/>
      <c r="AN135" s="76"/>
      <c r="AO135" s="76"/>
      <c r="AP135" s="76"/>
      <c r="AQ135" s="76"/>
      <c r="AR135" s="76"/>
      <c r="AS135" s="76"/>
      <c r="AT135" s="76"/>
      <c r="AU135" s="76"/>
      <c r="AV135" s="76"/>
      <c r="AW135" s="76"/>
      <c r="AX135" s="76">
        <f>+AW135*600000</f>
        <v>0</v>
      </c>
      <c r="AY135" s="76"/>
      <c r="AZ135" s="76">
        <f>+AY135*70000</f>
        <v>0</v>
      </c>
      <c r="BA135" s="76"/>
      <c r="BB135" s="76"/>
      <c r="BC135" s="76"/>
      <c r="BD135" s="76">
        <f>+BC135*30000</f>
        <v>0</v>
      </c>
      <c r="BE135" s="76"/>
      <c r="BF135" s="76"/>
      <c r="BG135" s="76"/>
      <c r="BH135" s="76"/>
      <c r="BI135" s="76"/>
      <c r="BJ135" s="76"/>
      <c r="BK135" s="76"/>
      <c r="BL135" s="76">
        <f>+BK135*31500</f>
        <v>0</v>
      </c>
      <c r="BM135" s="76"/>
      <c r="BN135" s="76"/>
      <c r="BO135" s="76"/>
      <c r="BP135" s="76"/>
      <c r="BQ135" s="76"/>
      <c r="BR135" s="76"/>
      <c r="BS135" s="76"/>
      <c r="BT135" s="76"/>
      <c r="BU135" s="76"/>
      <c r="BV135" s="76"/>
      <c r="BW135" s="76"/>
      <c r="BX135" s="76"/>
      <c r="BY135" s="76"/>
      <c r="BZ135" s="76"/>
      <c r="CA135" s="76"/>
      <c r="CB135" s="76"/>
      <c r="CC135" s="76"/>
      <c r="CD135" s="76"/>
      <c r="CE135" s="76"/>
      <c r="CF135" s="76">
        <f>+CE135*28000</f>
        <v>0</v>
      </c>
      <c r="CG135" s="76"/>
      <c r="CH135" s="76">
        <f>+CG135*22500</f>
        <v>0</v>
      </c>
      <c r="CI135" s="76"/>
      <c r="CJ135" s="76">
        <f>+CI135*26000</f>
        <v>0</v>
      </c>
      <c r="CK135" s="76"/>
      <c r="CL135" s="76"/>
      <c r="CM135" s="76"/>
      <c r="CN135" s="76">
        <f>+CM135*22000</f>
        <v>0</v>
      </c>
      <c r="CO135" s="76"/>
      <c r="CP135" s="76">
        <f>+CO135*46000</f>
        <v>0</v>
      </c>
      <c r="CQ135" s="76"/>
      <c r="CR135" s="76">
        <f>+CQ135*49000</f>
        <v>0</v>
      </c>
      <c r="CS135" s="76"/>
      <c r="CT135" s="76"/>
      <c r="CU135" s="56">
        <f>AN135+AP135+AR135+AT135+AV135+AX135+AZ135+BB135+BD135+BF135+BH135+BJ135+BL135+BN135+BP135+BR135+BT135+BV135+BX135+BZ135+CB135+CD135+CF135+CH135+CJ135+CL135+CN135+CP135+CR135+CT135</f>
        <v>0</v>
      </c>
      <c r="CV135" s="76"/>
      <c r="CW135" s="76">
        <f>+CV135*1100</f>
        <v>0</v>
      </c>
      <c r="CX135" s="76"/>
      <c r="CY135" s="76">
        <f>+CX135*106250</f>
        <v>0</v>
      </c>
      <c r="CZ135" s="76"/>
      <c r="DA135" s="76">
        <f>+CZ135*34500</f>
        <v>0</v>
      </c>
      <c r="DB135" s="76"/>
      <c r="DC135" s="76">
        <f>+DB135*25000</f>
        <v>0</v>
      </c>
      <c r="DD135" s="219"/>
      <c r="DE135" s="219"/>
      <c r="DF135" s="164"/>
      <c r="DG135" s="116"/>
      <c r="DH135" s="117"/>
      <c r="DI135" s="24"/>
      <c r="DJ135" s="24"/>
      <c r="DK135" s="24"/>
      <c r="DL135" s="24"/>
      <c r="DM135" s="24"/>
      <c r="DN135" s="24"/>
      <c r="DO135" s="24"/>
      <c r="DP135" s="24"/>
      <c r="DQ135" s="24"/>
      <c r="DR135" s="24"/>
      <c r="DS135" s="24"/>
      <c r="DT135" s="24"/>
      <c r="DU135" s="24"/>
    </row>
    <row r="136" spans="1:125" s="8" customFormat="1" ht="24" x14ac:dyDescent="0.2">
      <c r="A136" s="77">
        <v>41284</v>
      </c>
      <c r="B136" s="80" t="s">
        <v>2661</v>
      </c>
      <c r="C136" s="81" t="s">
        <v>2662</v>
      </c>
      <c r="D136" s="81" t="s">
        <v>2846</v>
      </c>
      <c r="E136" s="75" t="str">
        <f>VLOOKUP(B136&amp;C136,Divipola!$C$2:$F$1138,4,FALSE)</f>
        <v>41483</v>
      </c>
      <c r="F136" s="87"/>
      <c r="G136" s="87"/>
      <c r="H136" s="87"/>
      <c r="I136" s="87"/>
      <c r="J136" s="87"/>
      <c r="K136" s="87"/>
      <c r="L136" s="87"/>
      <c r="M136" s="87"/>
      <c r="N136" s="87"/>
      <c r="O136" s="87"/>
      <c r="P136" s="87"/>
      <c r="Q136" s="87"/>
      <c r="R136" s="87"/>
      <c r="S136" s="87"/>
      <c r="T136" s="87"/>
      <c r="U136" s="127">
        <v>1</v>
      </c>
      <c r="V136" s="89"/>
      <c r="W136" s="96">
        <v>0</v>
      </c>
      <c r="X136" s="71">
        <f>CU136</f>
        <v>0</v>
      </c>
      <c r="Y136" s="71">
        <f>CY136</f>
        <v>0</v>
      </c>
      <c r="Z136" s="71">
        <f>DA136+DC136+DE136</f>
        <v>0</v>
      </c>
      <c r="AA136" s="71">
        <f>CW136</f>
        <v>0</v>
      </c>
      <c r="AB136" s="71"/>
      <c r="AC136" s="71">
        <v>0</v>
      </c>
      <c r="AD136" s="71">
        <f>W136+X136+Y136+Z136+AA136+AB136+AC136</f>
        <v>0</v>
      </c>
      <c r="AE136" s="72">
        <v>0</v>
      </c>
      <c r="AF136" s="5"/>
      <c r="AG136" s="6"/>
      <c r="AH136" s="27" t="s">
        <v>3392</v>
      </c>
      <c r="AI136" s="44" t="s">
        <v>3393</v>
      </c>
      <c r="AJ136" s="26"/>
      <c r="AK136" s="5"/>
      <c r="AL136" s="82" t="s">
        <v>2981</v>
      </c>
      <c r="AM136" s="76"/>
      <c r="AN136" s="76"/>
      <c r="AO136" s="76"/>
      <c r="AP136" s="76"/>
      <c r="AQ136" s="76"/>
      <c r="AR136" s="76"/>
      <c r="AS136" s="76"/>
      <c r="AT136" s="76"/>
      <c r="AU136" s="76"/>
      <c r="AV136" s="76"/>
      <c r="AW136" s="76"/>
      <c r="AX136" s="76">
        <f>+AW136*600000</f>
        <v>0</v>
      </c>
      <c r="AY136" s="76"/>
      <c r="AZ136" s="76">
        <f>+AY136*70000</f>
        <v>0</v>
      </c>
      <c r="BA136" s="76"/>
      <c r="BB136" s="76"/>
      <c r="BC136" s="76"/>
      <c r="BD136" s="76">
        <f>+BC136*30000</f>
        <v>0</v>
      </c>
      <c r="BE136" s="76"/>
      <c r="BF136" s="76"/>
      <c r="BG136" s="76"/>
      <c r="BH136" s="76"/>
      <c r="BI136" s="76"/>
      <c r="BJ136" s="76"/>
      <c r="BK136" s="76"/>
      <c r="BL136" s="76">
        <f>+BK136*31500</f>
        <v>0</v>
      </c>
      <c r="BM136" s="76"/>
      <c r="BN136" s="76"/>
      <c r="BO136" s="76"/>
      <c r="BP136" s="76"/>
      <c r="BQ136" s="76"/>
      <c r="BR136" s="76"/>
      <c r="BS136" s="76"/>
      <c r="BT136" s="76"/>
      <c r="BU136" s="76"/>
      <c r="BV136" s="76"/>
      <c r="BW136" s="76"/>
      <c r="BX136" s="76"/>
      <c r="BY136" s="76"/>
      <c r="BZ136" s="76"/>
      <c r="CA136" s="76"/>
      <c r="CB136" s="76"/>
      <c r="CC136" s="76"/>
      <c r="CD136" s="76"/>
      <c r="CE136" s="76"/>
      <c r="CF136" s="76">
        <f>+CE136*28000</f>
        <v>0</v>
      </c>
      <c r="CG136" s="76"/>
      <c r="CH136" s="76">
        <f>+CG136*22500</f>
        <v>0</v>
      </c>
      <c r="CI136" s="76"/>
      <c r="CJ136" s="76">
        <f>+CI136*26000</f>
        <v>0</v>
      </c>
      <c r="CK136" s="76"/>
      <c r="CL136" s="76"/>
      <c r="CM136" s="76"/>
      <c r="CN136" s="76">
        <f>+CM136*22000</f>
        <v>0</v>
      </c>
      <c r="CO136" s="76"/>
      <c r="CP136" s="76">
        <f>+CO136*46000</f>
        <v>0</v>
      </c>
      <c r="CQ136" s="76"/>
      <c r="CR136" s="76">
        <f>+CQ136*49000</f>
        <v>0</v>
      </c>
      <c r="CS136" s="76"/>
      <c r="CT136" s="76"/>
      <c r="CU136" s="56">
        <f>AN136+AP136+AR136+AT136+AV136+AX136+AZ136+BB136+BD136+BF136+BH136+BJ136+BL136+BN136+BP136+BR136+BT136+BV136+BX136+BZ136+CB136+CD136+CF136+CH136+CJ136+CL136+CN136+CP136+CR136+CT136</f>
        <v>0</v>
      </c>
      <c r="CV136" s="76"/>
      <c r="CW136" s="76">
        <f>+CV136*1100</f>
        <v>0</v>
      </c>
      <c r="CX136" s="76"/>
      <c r="CY136" s="76">
        <f>+CX136*106250</f>
        <v>0</v>
      </c>
      <c r="CZ136" s="76"/>
      <c r="DA136" s="76">
        <f>+CZ136*34500</f>
        <v>0</v>
      </c>
      <c r="DB136" s="76"/>
      <c r="DC136" s="76">
        <f>+DB136*25000</f>
        <v>0</v>
      </c>
      <c r="DD136" s="219"/>
      <c r="DE136" s="219"/>
      <c r="DF136" s="164"/>
      <c r="DG136" s="116"/>
      <c r="DH136" s="117"/>
      <c r="DI136" s="24"/>
      <c r="DJ136" s="24"/>
      <c r="DK136" s="24"/>
      <c r="DL136" s="24"/>
      <c r="DM136" s="24"/>
      <c r="DN136" s="24"/>
      <c r="DO136" s="24"/>
      <c r="DP136" s="24"/>
      <c r="DQ136" s="24"/>
      <c r="DR136" s="24"/>
      <c r="DS136" s="24"/>
      <c r="DT136" s="24"/>
      <c r="DU136" s="24"/>
    </row>
    <row r="137" spans="1:125" s="8" customFormat="1" ht="24" x14ac:dyDescent="0.2">
      <c r="A137" s="77">
        <v>41284</v>
      </c>
      <c r="B137" s="80" t="s">
        <v>2661</v>
      </c>
      <c r="C137" s="81" t="s">
        <v>1368</v>
      </c>
      <c r="D137" s="81" t="s">
        <v>2846</v>
      </c>
      <c r="E137" s="75" t="str">
        <f>VLOOKUP(B137&amp;C137,Divipola!$C$2:$F$1138,4,FALSE)</f>
        <v>41770</v>
      </c>
      <c r="F137" s="87"/>
      <c r="G137" s="87"/>
      <c r="H137" s="87"/>
      <c r="I137" s="87"/>
      <c r="J137" s="87"/>
      <c r="K137" s="87"/>
      <c r="L137" s="87"/>
      <c r="M137" s="87"/>
      <c r="N137" s="87"/>
      <c r="O137" s="87"/>
      <c r="P137" s="87"/>
      <c r="Q137" s="87"/>
      <c r="R137" s="87"/>
      <c r="S137" s="87"/>
      <c r="T137" s="87"/>
      <c r="U137" s="127">
        <v>2</v>
      </c>
      <c r="V137" s="89"/>
      <c r="W137" s="96">
        <v>0</v>
      </c>
      <c r="X137" s="71">
        <f>CU137</f>
        <v>0</v>
      </c>
      <c r="Y137" s="71">
        <f>CY137</f>
        <v>0</v>
      </c>
      <c r="Z137" s="71">
        <f>DA137+DC137+DE137</f>
        <v>0</v>
      </c>
      <c r="AA137" s="71">
        <f>CW137</f>
        <v>0</v>
      </c>
      <c r="AB137" s="71"/>
      <c r="AC137" s="71">
        <v>0</v>
      </c>
      <c r="AD137" s="71">
        <f>W137+X137+Y137+Z137+AA137+AB137+AC137</f>
        <v>0</v>
      </c>
      <c r="AE137" s="72">
        <v>0</v>
      </c>
      <c r="AF137" s="5"/>
      <c r="AG137" s="6"/>
      <c r="AH137" s="27" t="s">
        <v>3392</v>
      </c>
      <c r="AI137" s="44" t="s">
        <v>3393</v>
      </c>
      <c r="AJ137" s="26"/>
      <c r="AK137" s="5"/>
      <c r="AL137" s="82" t="s">
        <v>2981</v>
      </c>
      <c r="AM137" s="76"/>
      <c r="AN137" s="76"/>
      <c r="AO137" s="76"/>
      <c r="AP137" s="76"/>
      <c r="AQ137" s="76"/>
      <c r="AR137" s="76"/>
      <c r="AS137" s="76"/>
      <c r="AT137" s="76"/>
      <c r="AU137" s="76"/>
      <c r="AV137" s="76"/>
      <c r="AW137" s="76"/>
      <c r="AX137" s="76">
        <f>+AW137*600000</f>
        <v>0</v>
      </c>
      <c r="AY137" s="76"/>
      <c r="AZ137" s="76">
        <f>+AY137*70000</f>
        <v>0</v>
      </c>
      <c r="BA137" s="76"/>
      <c r="BB137" s="76"/>
      <c r="BC137" s="76"/>
      <c r="BD137" s="76">
        <f>+BC137*30000</f>
        <v>0</v>
      </c>
      <c r="BE137" s="76"/>
      <c r="BF137" s="76"/>
      <c r="BG137" s="76"/>
      <c r="BH137" s="76"/>
      <c r="BI137" s="76"/>
      <c r="BJ137" s="76"/>
      <c r="BK137" s="76"/>
      <c r="BL137" s="76">
        <f>+BK137*31500</f>
        <v>0</v>
      </c>
      <c r="BM137" s="76"/>
      <c r="BN137" s="76"/>
      <c r="BO137" s="76"/>
      <c r="BP137" s="76"/>
      <c r="BQ137" s="76"/>
      <c r="BR137" s="76"/>
      <c r="BS137" s="76"/>
      <c r="BT137" s="76"/>
      <c r="BU137" s="76"/>
      <c r="BV137" s="76"/>
      <c r="BW137" s="76"/>
      <c r="BX137" s="76"/>
      <c r="BY137" s="76"/>
      <c r="BZ137" s="76"/>
      <c r="CA137" s="76"/>
      <c r="CB137" s="76"/>
      <c r="CC137" s="76"/>
      <c r="CD137" s="76"/>
      <c r="CE137" s="76"/>
      <c r="CF137" s="76">
        <f>+CE137*28000</f>
        <v>0</v>
      </c>
      <c r="CG137" s="76"/>
      <c r="CH137" s="76">
        <f>+CG137*22500</f>
        <v>0</v>
      </c>
      <c r="CI137" s="76"/>
      <c r="CJ137" s="76">
        <f>+CI137*26000</f>
        <v>0</v>
      </c>
      <c r="CK137" s="76"/>
      <c r="CL137" s="76"/>
      <c r="CM137" s="76"/>
      <c r="CN137" s="76">
        <f>+CM137*22000</f>
        <v>0</v>
      </c>
      <c r="CO137" s="76"/>
      <c r="CP137" s="76">
        <f>+CO137*46000</f>
        <v>0</v>
      </c>
      <c r="CQ137" s="76"/>
      <c r="CR137" s="76">
        <f>+CQ137*49000</f>
        <v>0</v>
      </c>
      <c r="CS137" s="76"/>
      <c r="CT137" s="76"/>
      <c r="CU137" s="56">
        <f>AN137+AP137+AR137+AT137+AV137+AX137+AZ137+BB137+BD137+BF137+BH137+BJ137+BL137+BN137+BP137+BR137+BT137+BV137+BX137+BZ137+CB137+CD137+CF137+CH137+CJ137+CL137+CN137+CP137+CR137+CT137</f>
        <v>0</v>
      </c>
      <c r="CV137" s="76"/>
      <c r="CW137" s="76">
        <f>+CV137*1100</f>
        <v>0</v>
      </c>
      <c r="CX137" s="76"/>
      <c r="CY137" s="76">
        <f>+CX137*106250</f>
        <v>0</v>
      </c>
      <c r="CZ137" s="76"/>
      <c r="DA137" s="76">
        <f>+CZ137*34500</f>
        <v>0</v>
      </c>
      <c r="DB137" s="76"/>
      <c r="DC137" s="76">
        <f>+DB137*25000</f>
        <v>0</v>
      </c>
      <c r="DD137" s="219"/>
      <c r="DE137" s="219"/>
      <c r="DF137" s="164"/>
      <c r="DG137" s="116"/>
      <c r="DH137" s="117"/>
      <c r="DI137" s="24"/>
      <c r="DJ137" s="24"/>
      <c r="DK137" s="24"/>
      <c r="DL137" s="24"/>
      <c r="DM137" s="24"/>
      <c r="DN137" s="24"/>
      <c r="DO137" s="24"/>
      <c r="DP137" s="24"/>
      <c r="DQ137" s="24"/>
      <c r="DR137" s="24"/>
      <c r="DS137" s="24"/>
      <c r="DT137" s="24"/>
      <c r="DU137" s="24"/>
    </row>
    <row r="138" spans="1:125" s="8" customFormat="1" ht="24" x14ac:dyDescent="0.2">
      <c r="A138" s="77">
        <v>41284</v>
      </c>
      <c r="B138" s="80" t="s">
        <v>2661</v>
      </c>
      <c r="C138" s="81" t="s">
        <v>2807</v>
      </c>
      <c r="D138" s="81" t="s">
        <v>2846</v>
      </c>
      <c r="E138" s="75" t="str">
        <f>VLOOKUP(B138&amp;C138,Divipola!$C$2:$F$1138,4,FALSE)</f>
        <v>41807</v>
      </c>
      <c r="F138" s="87"/>
      <c r="G138" s="87"/>
      <c r="H138" s="87"/>
      <c r="I138" s="87"/>
      <c r="J138" s="87"/>
      <c r="K138" s="87"/>
      <c r="L138" s="87"/>
      <c r="M138" s="87"/>
      <c r="N138" s="87"/>
      <c r="O138" s="87"/>
      <c r="P138" s="87"/>
      <c r="Q138" s="87"/>
      <c r="R138" s="87"/>
      <c r="S138" s="87"/>
      <c r="T138" s="87"/>
      <c r="U138" s="127">
        <v>4</v>
      </c>
      <c r="V138" s="89"/>
      <c r="W138" s="96">
        <v>0</v>
      </c>
      <c r="X138" s="71">
        <f>CU138</f>
        <v>0</v>
      </c>
      <c r="Y138" s="71">
        <f>CY138</f>
        <v>0</v>
      </c>
      <c r="Z138" s="71">
        <f>DA138+DC138+DE138</f>
        <v>0</v>
      </c>
      <c r="AA138" s="71">
        <f>CW138</f>
        <v>0</v>
      </c>
      <c r="AB138" s="71"/>
      <c r="AC138" s="71">
        <v>0</v>
      </c>
      <c r="AD138" s="71">
        <f>W138+X138+Y138+Z138+AA138+AB138+AC138</f>
        <v>0</v>
      </c>
      <c r="AE138" s="72">
        <v>0</v>
      </c>
      <c r="AF138" s="5"/>
      <c r="AG138" s="6"/>
      <c r="AH138" s="27" t="s">
        <v>3392</v>
      </c>
      <c r="AI138" s="44" t="s">
        <v>3393</v>
      </c>
      <c r="AJ138" s="26"/>
      <c r="AK138" s="5"/>
      <c r="AL138" s="82" t="s">
        <v>2981</v>
      </c>
      <c r="AM138" s="76"/>
      <c r="AN138" s="76"/>
      <c r="AO138" s="76"/>
      <c r="AP138" s="76"/>
      <c r="AQ138" s="76"/>
      <c r="AR138" s="76"/>
      <c r="AS138" s="76"/>
      <c r="AT138" s="76"/>
      <c r="AU138" s="76"/>
      <c r="AV138" s="76"/>
      <c r="AW138" s="76"/>
      <c r="AX138" s="76">
        <f>+AW138*600000</f>
        <v>0</v>
      </c>
      <c r="AY138" s="76"/>
      <c r="AZ138" s="76">
        <f>+AY138*70000</f>
        <v>0</v>
      </c>
      <c r="BA138" s="76"/>
      <c r="BB138" s="76"/>
      <c r="BC138" s="76"/>
      <c r="BD138" s="76">
        <f>+BC138*30000</f>
        <v>0</v>
      </c>
      <c r="BE138" s="76"/>
      <c r="BF138" s="76"/>
      <c r="BG138" s="76"/>
      <c r="BH138" s="76"/>
      <c r="BI138" s="76"/>
      <c r="BJ138" s="76"/>
      <c r="BK138" s="76"/>
      <c r="BL138" s="76">
        <f>+BK138*31500</f>
        <v>0</v>
      </c>
      <c r="BM138" s="76"/>
      <c r="BN138" s="76"/>
      <c r="BO138" s="76"/>
      <c r="BP138" s="76"/>
      <c r="BQ138" s="76"/>
      <c r="BR138" s="76"/>
      <c r="BS138" s="76"/>
      <c r="BT138" s="76"/>
      <c r="BU138" s="76"/>
      <c r="BV138" s="76"/>
      <c r="BW138" s="76"/>
      <c r="BX138" s="76"/>
      <c r="BY138" s="76"/>
      <c r="BZ138" s="76"/>
      <c r="CA138" s="76"/>
      <c r="CB138" s="76"/>
      <c r="CC138" s="76"/>
      <c r="CD138" s="76"/>
      <c r="CE138" s="76"/>
      <c r="CF138" s="76">
        <f>+CE138*28000</f>
        <v>0</v>
      </c>
      <c r="CG138" s="76"/>
      <c r="CH138" s="76">
        <f>+CG138*22500</f>
        <v>0</v>
      </c>
      <c r="CI138" s="76"/>
      <c r="CJ138" s="76">
        <f>+CI138*26000</f>
        <v>0</v>
      </c>
      <c r="CK138" s="76"/>
      <c r="CL138" s="76"/>
      <c r="CM138" s="76"/>
      <c r="CN138" s="76">
        <f>+CM138*22000</f>
        <v>0</v>
      </c>
      <c r="CO138" s="76"/>
      <c r="CP138" s="76">
        <f>+CO138*46000</f>
        <v>0</v>
      </c>
      <c r="CQ138" s="76"/>
      <c r="CR138" s="76">
        <f>+CQ138*49000</f>
        <v>0</v>
      </c>
      <c r="CS138" s="76"/>
      <c r="CT138" s="76"/>
      <c r="CU138" s="56">
        <f>AN138+AP138+AR138+AT138+AV138+AX138+AZ138+BB138+BD138+BF138+BH138+BJ138+BL138+BN138+BP138+BR138+BT138+BV138+BX138+BZ138+CB138+CD138+CF138+CH138+CJ138+CL138+CN138+CP138+CR138+CT138</f>
        <v>0</v>
      </c>
      <c r="CV138" s="76"/>
      <c r="CW138" s="76">
        <f>+CV138*1100</f>
        <v>0</v>
      </c>
      <c r="CX138" s="76"/>
      <c r="CY138" s="76">
        <f>+CX138*106250</f>
        <v>0</v>
      </c>
      <c r="CZ138" s="76"/>
      <c r="DA138" s="76">
        <f>+CZ138*34500</f>
        <v>0</v>
      </c>
      <c r="DB138" s="76"/>
      <c r="DC138" s="76">
        <f>+DB138*25000</f>
        <v>0</v>
      </c>
      <c r="DD138" s="219"/>
      <c r="DE138" s="219"/>
      <c r="DF138" s="164"/>
      <c r="DG138" s="116"/>
      <c r="DH138" s="117"/>
      <c r="DI138" s="24"/>
      <c r="DJ138" s="24"/>
      <c r="DK138" s="24"/>
      <c r="DL138" s="24"/>
      <c r="DM138" s="24"/>
      <c r="DN138" s="24"/>
      <c r="DO138" s="24"/>
      <c r="DP138" s="24"/>
      <c r="DQ138" s="24"/>
      <c r="DR138" s="24"/>
      <c r="DS138" s="24"/>
      <c r="DT138" s="24"/>
      <c r="DU138" s="24"/>
    </row>
    <row r="139" spans="1:125" s="8" customFormat="1" ht="48" x14ac:dyDescent="0.2">
      <c r="A139" s="77">
        <v>41284</v>
      </c>
      <c r="B139" s="80" t="s">
        <v>2906</v>
      </c>
      <c r="C139" s="81" t="s">
        <v>2739</v>
      </c>
      <c r="D139" s="81" t="s">
        <v>2846</v>
      </c>
      <c r="E139" s="75" t="str">
        <f>VLOOKUP(B139&amp;C139,Divipola!$C$2:$F$1138,4,FALSE)</f>
        <v>47001</v>
      </c>
      <c r="F139" s="87"/>
      <c r="G139" s="87"/>
      <c r="H139" s="87"/>
      <c r="I139" s="87"/>
      <c r="J139" s="87"/>
      <c r="K139" s="87"/>
      <c r="L139" s="87"/>
      <c r="M139" s="87"/>
      <c r="N139" s="87"/>
      <c r="O139" s="87"/>
      <c r="P139" s="87"/>
      <c r="Q139" s="87"/>
      <c r="R139" s="87"/>
      <c r="S139" s="87"/>
      <c r="T139" s="87"/>
      <c r="U139" s="127">
        <v>1</v>
      </c>
      <c r="V139" s="89"/>
      <c r="W139" s="96">
        <v>0</v>
      </c>
      <c r="X139" s="71">
        <f>CU139</f>
        <v>0</v>
      </c>
      <c r="Y139" s="71">
        <f>CY139</f>
        <v>0</v>
      </c>
      <c r="Z139" s="71">
        <f>DA139+DC139+DE139</f>
        <v>0</v>
      </c>
      <c r="AA139" s="71">
        <f>CW139</f>
        <v>0</v>
      </c>
      <c r="AB139" s="71"/>
      <c r="AC139" s="71">
        <v>0</v>
      </c>
      <c r="AD139" s="71">
        <f>W139+X139+Y139+Z139+AA139+AB139+AC139</f>
        <v>0</v>
      </c>
      <c r="AE139" s="72">
        <v>0</v>
      </c>
      <c r="AF139" s="5"/>
      <c r="AG139" s="6"/>
      <c r="AH139" s="27" t="s">
        <v>3392</v>
      </c>
      <c r="AI139" s="44" t="s">
        <v>3393</v>
      </c>
      <c r="AJ139" s="26"/>
      <c r="AK139" s="5"/>
      <c r="AL139" s="82" t="s">
        <v>2985</v>
      </c>
      <c r="AM139" s="76"/>
      <c r="AN139" s="76"/>
      <c r="AO139" s="76"/>
      <c r="AP139" s="76"/>
      <c r="AQ139" s="76"/>
      <c r="AR139" s="76"/>
      <c r="AS139" s="76"/>
      <c r="AT139" s="76"/>
      <c r="AU139" s="76"/>
      <c r="AV139" s="76"/>
      <c r="AW139" s="76"/>
      <c r="AX139" s="76">
        <f>+AW139*600000</f>
        <v>0</v>
      </c>
      <c r="AY139" s="76"/>
      <c r="AZ139" s="76">
        <f>+AY139*70000</f>
        <v>0</v>
      </c>
      <c r="BA139" s="76"/>
      <c r="BB139" s="76"/>
      <c r="BC139" s="76"/>
      <c r="BD139" s="76">
        <f>+BC139*30000</f>
        <v>0</v>
      </c>
      <c r="BE139" s="76"/>
      <c r="BF139" s="76"/>
      <c r="BG139" s="76"/>
      <c r="BH139" s="76"/>
      <c r="BI139" s="76"/>
      <c r="BJ139" s="76"/>
      <c r="BK139" s="76"/>
      <c r="BL139" s="76">
        <f>+BK139*31500</f>
        <v>0</v>
      </c>
      <c r="BM139" s="76"/>
      <c r="BN139" s="76"/>
      <c r="BO139" s="76"/>
      <c r="BP139" s="76"/>
      <c r="BQ139" s="76"/>
      <c r="BR139" s="76"/>
      <c r="BS139" s="76"/>
      <c r="BT139" s="76"/>
      <c r="BU139" s="76"/>
      <c r="BV139" s="76"/>
      <c r="BW139" s="76"/>
      <c r="BX139" s="76"/>
      <c r="BY139" s="76"/>
      <c r="BZ139" s="76"/>
      <c r="CA139" s="76"/>
      <c r="CB139" s="76"/>
      <c r="CC139" s="76"/>
      <c r="CD139" s="76"/>
      <c r="CE139" s="76"/>
      <c r="CF139" s="76">
        <f>+CE139*28000</f>
        <v>0</v>
      </c>
      <c r="CG139" s="76"/>
      <c r="CH139" s="76">
        <f>+CG139*22500</f>
        <v>0</v>
      </c>
      <c r="CI139" s="76"/>
      <c r="CJ139" s="76">
        <f>+CI139*26000</f>
        <v>0</v>
      </c>
      <c r="CK139" s="76"/>
      <c r="CL139" s="76"/>
      <c r="CM139" s="76"/>
      <c r="CN139" s="76">
        <f>+CM139*22000</f>
        <v>0</v>
      </c>
      <c r="CO139" s="76"/>
      <c r="CP139" s="76">
        <f>+CO139*46000</f>
        <v>0</v>
      </c>
      <c r="CQ139" s="76"/>
      <c r="CR139" s="76">
        <f>+CQ139*49000</f>
        <v>0</v>
      </c>
      <c r="CS139" s="76"/>
      <c r="CT139" s="76"/>
      <c r="CU139" s="56">
        <f>AN139+AP139+AR139+AT139+AV139+AX139+AZ139+BB139+BD139+BF139+BH139+BJ139+BL139+BN139+BP139+BR139+BT139+BV139+BX139+BZ139+CB139+CD139+CF139+CH139+CJ139+CL139+CN139+CP139+CR139+CT139</f>
        <v>0</v>
      </c>
      <c r="CV139" s="76"/>
      <c r="CW139" s="76">
        <f>+CV139*1100</f>
        <v>0</v>
      </c>
      <c r="CX139" s="76"/>
      <c r="CY139" s="76">
        <f>+CX139*106250</f>
        <v>0</v>
      </c>
      <c r="CZ139" s="76"/>
      <c r="DA139" s="76">
        <f>+CZ139*34500</f>
        <v>0</v>
      </c>
      <c r="DB139" s="76"/>
      <c r="DC139" s="76">
        <f>+DB139*25000</f>
        <v>0</v>
      </c>
      <c r="DD139" s="219"/>
      <c r="DE139" s="219"/>
      <c r="DF139" s="164"/>
      <c r="DG139" s="116"/>
      <c r="DH139" s="117"/>
      <c r="DI139" s="24"/>
      <c r="DJ139" s="24"/>
      <c r="DK139" s="24"/>
      <c r="DL139" s="24"/>
      <c r="DM139" s="24"/>
      <c r="DN139" s="24"/>
      <c r="DO139" s="24"/>
      <c r="DP139" s="24"/>
      <c r="DQ139" s="24"/>
      <c r="DR139" s="24"/>
      <c r="DS139" s="24"/>
      <c r="DT139" s="24"/>
      <c r="DU139" s="24"/>
    </row>
    <row r="140" spans="1:125" s="8" customFormat="1" ht="84" x14ac:dyDescent="0.2">
      <c r="A140" s="77">
        <v>41284</v>
      </c>
      <c r="B140" s="78" t="s">
        <v>2847</v>
      </c>
      <c r="C140" s="75" t="s">
        <v>2814</v>
      </c>
      <c r="D140" s="81" t="s">
        <v>2846</v>
      </c>
      <c r="E140" s="75" t="str">
        <f>VLOOKUP(B140&amp;C140,Divipola!$C$2:$F$1138,4,FALSE)</f>
        <v>68307</v>
      </c>
      <c r="F140" s="87"/>
      <c r="G140" s="87"/>
      <c r="H140" s="87"/>
      <c r="I140" s="87"/>
      <c r="J140" s="87"/>
      <c r="K140" s="87"/>
      <c r="L140" s="87"/>
      <c r="M140" s="87"/>
      <c r="N140" s="87"/>
      <c r="O140" s="87"/>
      <c r="P140" s="87"/>
      <c r="Q140" s="87"/>
      <c r="R140" s="87"/>
      <c r="S140" s="87"/>
      <c r="T140" s="87"/>
      <c r="U140" s="127">
        <v>900</v>
      </c>
      <c r="V140" s="89"/>
      <c r="W140" s="96">
        <v>0</v>
      </c>
      <c r="X140" s="71">
        <f>CU140</f>
        <v>0</v>
      </c>
      <c r="Y140" s="71">
        <f>CY140</f>
        <v>0</v>
      </c>
      <c r="Z140" s="71">
        <f>DA140+DC140+DE140</f>
        <v>0</v>
      </c>
      <c r="AA140" s="71">
        <f>CW140</f>
        <v>0</v>
      </c>
      <c r="AB140" s="71"/>
      <c r="AC140" s="71">
        <v>0</v>
      </c>
      <c r="AD140" s="71">
        <f>W140+X140+Y140+Z140+AA140+AB140+AC140</f>
        <v>0</v>
      </c>
      <c r="AE140" s="72">
        <v>0</v>
      </c>
      <c r="AF140" s="5"/>
      <c r="AG140" s="6"/>
      <c r="AH140" s="27" t="s">
        <v>3390</v>
      </c>
      <c r="AI140" s="44" t="s">
        <v>3391</v>
      </c>
      <c r="AJ140" s="26"/>
      <c r="AK140" s="105" t="s">
        <v>3397</v>
      </c>
      <c r="AL140" s="82" t="s">
        <v>2984</v>
      </c>
      <c r="AM140" s="106"/>
      <c r="AN140" s="76"/>
      <c r="AO140" s="76"/>
      <c r="AP140" s="76"/>
      <c r="AQ140" s="76"/>
      <c r="AR140" s="76"/>
      <c r="AS140" s="76"/>
      <c r="AT140" s="76"/>
      <c r="AU140" s="76"/>
      <c r="AV140" s="76"/>
      <c r="AW140" s="76"/>
      <c r="AX140" s="76">
        <f>+AW140*600000</f>
        <v>0</v>
      </c>
      <c r="AY140" s="76"/>
      <c r="AZ140" s="76">
        <f>+AY140*70000</f>
        <v>0</v>
      </c>
      <c r="BA140" s="76"/>
      <c r="BB140" s="76"/>
      <c r="BC140" s="76"/>
      <c r="BD140" s="76">
        <f>+BC140*30000</f>
        <v>0</v>
      </c>
      <c r="BE140" s="76"/>
      <c r="BF140" s="76"/>
      <c r="BG140" s="76"/>
      <c r="BH140" s="76"/>
      <c r="BI140" s="76"/>
      <c r="BJ140" s="76"/>
      <c r="BK140" s="76"/>
      <c r="BL140" s="76">
        <f>+BK140*31500</f>
        <v>0</v>
      </c>
      <c r="BM140" s="76"/>
      <c r="BN140" s="76"/>
      <c r="BO140" s="76"/>
      <c r="BP140" s="76"/>
      <c r="BQ140" s="76"/>
      <c r="BR140" s="76"/>
      <c r="BS140" s="76"/>
      <c r="BT140" s="76"/>
      <c r="BU140" s="76"/>
      <c r="BV140" s="76"/>
      <c r="BW140" s="76"/>
      <c r="BX140" s="76"/>
      <c r="BY140" s="76"/>
      <c r="BZ140" s="76"/>
      <c r="CA140" s="76"/>
      <c r="CB140" s="76"/>
      <c r="CC140" s="76"/>
      <c r="CD140" s="76"/>
      <c r="CE140" s="76"/>
      <c r="CF140" s="76">
        <f>+CE140*28000</f>
        <v>0</v>
      </c>
      <c r="CG140" s="76"/>
      <c r="CH140" s="76">
        <f>+CG140*22500</f>
        <v>0</v>
      </c>
      <c r="CI140" s="76"/>
      <c r="CJ140" s="76">
        <f>+CI140*26000</f>
        <v>0</v>
      </c>
      <c r="CK140" s="76"/>
      <c r="CL140" s="76"/>
      <c r="CM140" s="76"/>
      <c r="CN140" s="76">
        <f>+CM140*22000</f>
        <v>0</v>
      </c>
      <c r="CO140" s="76"/>
      <c r="CP140" s="76">
        <f>+CO140*46000</f>
        <v>0</v>
      </c>
      <c r="CQ140" s="76"/>
      <c r="CR140" s="76">
        <f>+CQ140*49000</f>
        <v>0</v>
      </c>
      <c r="CS140" s="76"/>
      <c r="CT140" s="76"/>
      <c r="CU140" s="56">
        <f>AN140+AP140+AR140+AT140+AV140+AX140+AZ140+BB140+BD140+BF140+BH140+BJ140+BL140+BN140+BP140+BR140+BT140+BV140+BX140+BZ140+CB140+CD140+CF140+CH140+CJ140+CL140+CN140+CP140+CR140+CT140</f>
        <v>0</v>
      </c>
      <c r="CV140" s="76"/>
      <c r="CW140" s="76">
        <f>+CV140*1100</f>
        <v>0</v>
      </c>
      <c r="CX140" s="76"/>
      <c r="CY140" s="76">
        <f>+CX140*106250</f>
        <v>0</v>
      </c>
      <c r="CZ140" s="76"/>
      <c r="DA140" s="76">
        <f>+CZ140*34500</f>
        <v>0</v>
      </c>
      <c r="DB140" s="76"/>
      <c r="DC140" s="76">
        <f>+DB140*25000</f>
        <v>0</v>
      </c>
      <c r="DD140" s="219"/>
      <c r="DE140" s="219"/>
      <c r="DF140" s="164"/>
      <c r="DG140" s="116"/>
      <c r="DH140" s="117"/>
      <c r="DI140" s="24"/>
      <c r="DJ140" s="24"/>
      <c r="DK140" s="24"/>
      <c r="DL140" s="24"/>
      <c r="DM140" s="24"/>
      <c r="DN140" s="24"/>
      <c r="DO140" s="24"/>
      <c r="DP140" s="24"/>
      <c r="DQ140" s="24"/>
      <c r="DR140" s="24"/>
      <c r="DS140" s="24"/>
      <c r="DT140" s="24"/>
      <c r="DU140" s="24"/>
    </row>
    <row r="141" spans="1:125" s="8" customFormat="1" ht="36" x14ac:dyDescent="0.2">
      <c r="A141" s="77">
        <v>41285</v>
      </c>
      <c r="B141" s="78" t="s">
        <v>2881</v>
      </c>
      <c r="C141" s="75" t="s">
        <v>2547</v>
      </c>
      <c r="D141" s="81" t="s">
        <v>2846</v>
      </c>
      <c r="E141" s="75" t="str">
        <f>VLOOKUP(B141&amp;C141,Divipola!$C$2:$F$1138,4,FALSE)</f>
        <v>08638</v>
      </c>
      <c r="F141" s="87"/>
      <c r="G141" s="87"/>
      <c r="H141" s="87"/>
      <c r="I141" s="87"/>
      <c r="J141" s="87"/>
      <c r="K141" s="87"/>
      <c r="L141" s="87"/>
      <c r="M141" s="87"/>
      <c r="N141" s="87"/>
      <c r="O141" s="87"/>
      <c r="P141" s="87"/>
      <c r="Q141" s="87"/>
      <c r="R141" s="87"/>
      <c r="S141" s="87"/>
      <c r="T141" s="87"/>
      <c r="U141" s="127"/>
      <c r="V141" s="89"/>
      <c r="W141" s="96">
        <v>0</v>
      </c>
      <c r="X141" s="71">
        <f>CU141</f>
        <v>0</v>
      </c>
      <c r="Y141" s="71">
        <f>CY141</f>
        <v>0</v>
      </c>
      <c r="Z141" s="71">
        <f>DA141+DC141+DE141</f>
        <v>0</v>
      </c>
      <c r="AA141" s="71">
        <f>CW141</f>
        <v>0</v>
      </c>
      <c r="AB141" s="71"/>
      <c r="AC141" s="71">
        <v>0</v>
      </c>
      <c r="AD141" s="71">
        <f>W141+X141+Y141+Z141+AA141+AB141+AC141</f>
        <v>0</v>
      </c>
      <c r="AE141" s="72">
        <v>0</v>
      </c>
      <c r="AF141" s="5"/>
      <c r="AG141" s="6"/>
      <c r="AH141" s="27" t="s">
        <v>3392</v>
      </c>
      <c r="AI141" s="44" t="s">
        <v>3393</v>
      </c>
      <c r="AJ141" s="26"/>
      <c r="AK141" s="105"/>
      <c r="AL141" s="82" t="s">
        <v>2995</v>
      </c>
      <c r="AM141" s="106"/>
      <c r="AN141" s="76"/>
      <c r="AO141" s="76"/>
      <c r="AP141" s="76"/>
      <c r="AQ141" s="76"/>
      <c r="AR141" s="76"/>
      <c r="AS141" s="76"/>
      <c r="AT141" s="76"/>
      <c r="AU141" s="76"/>
      <c r="AV141" s="76"/>
      <c r="AW141" s="76"/>
      <c r="AX141" s="76">
        <f>+AW141*600000</f>
        <v>0</v>
      </c>
      <c r="AY141" s="76"/>
      <c r="AZ141" s="76">
        <f>+AY141*70000</f>
        <v>0</v>
      </c>
      <c r="BA141" s="76"/>
      <c r="BB141" s="76"/>
      <c r="BC141" s="76"/>
      <c r="BD141" s="76">
        <f>+BC141*30000</f>
        <v>0</v>
      </c>
      <c r="BE141" s="76"/>
      <c r="BF141" s="76"/>
      <c r="BG141" s="76"/>
      <c r="BH141" s="76"/>
      <c r="BI141" s="76"/>
      <c r="BJ141" s="76"/>
      <c r="BK141" s="76"/>
      <c r="BL141" s="76">
        <f>+BK141*31500</f>
        <v>0</v>
      </c>
      <c r="BM141" s="76"/>
      <c r="BN141" s="76"/>
      <c r="BO141" s="76"/>
      <c r="BP141" s="76"/>
      <c r="BQ141" s="76"/>
      <c r="BR141" s="76"/>
      <c r="BS141" s="76"/>
      <c r="BT141" s="76"/>
      <c r="BU141" s="76"/>
      <c r="BV141" s="76"/>
      <c r="BW141" s="76"/>
      <c r="BX141" s="76"/>
      <c r="BY141" s="76"/>
      <c r="BZ141" s="76"/>
      <c r="CA141" s="76"/>
      <c r="CB141" s="76"/>
      <c r="CC141" s="76"/>
      <c r="CD141" s="76"/>
      <c r="CE141" s="76"/>
      <c r="CF141" s="76">
        <f>+CE141*28000</f>
        <v>0</v>
      </c>
      <c r="CG141" s="76"/>
      <c r="CH141" s="76">
        <f>+CG141*22500</f>
        <v>0</v>
      </c>
      <c r="CI141" s="76"/>
      <c r="CJ141" s="76">
        <f>+CI141*26000</f>
        <v>0</v>
      </c>
      <c r="CK141" s="76"/>
      <c r="CL141" s="76"/>
      <c r="CM141" s="76"/>
      <c r="CN141" s="76">
        <f>+CM141*22000</f>
        <v>0</v>
      </c>
      <c r="CO141" s="76"/>
      <c r="CP141" s="76">
        <f>+CO141*46000</f>
        <v>0</v>
      </c>
      <c r="CQ141" s="76"/>
      <c r="CR141" s="76">
        <f>+CQ141*49000</f>
        <v>0</v>
      </c>
      <c r="CS141" s="76"/>
      <c r="CT141" s="76"/>
      <c r="CU141" s="56">
        <f>AN141+AP141+AR141+AT141+AV141+AX141+AZ141+BB141+BD141+BF141+BH141+BJ141+BL141+BN141+BP141+BR141+BT141+BV141+BX141+BZ141+CB141+CD141+CF141+CH141+CJ141+CL141+CN141+CP141+CR141+CT141</f>
        <v>0</v>
      </c>
      <c r="CV141" s="76"/>
      <c r="CW141" s="76">
        <f>+CV141*1100</f>
        <v>0</v>
      </c>
      <c r="CX141" s="76"/>
      <c r="CY141" s="76">
        <f>+CX141*106250</f>
        <v>0</v>
      </c>
      <c r="CZ141" s="76"/>
      <c r="DA141" s="76">
        <f>+CZ141*34500</f>
        <v>0</v>
      </c>
      <c r="DB141" s="76"/>
      <c r="DC141" s="76">
        <f>+DB141*25000</f>
        <v>0</v>
      </c>
      <c r="DD141" s="219"/>
      <c r="DE141" s="219"/>
      <c r="DF141" s="164"/>
      <c r="DG141" s="116"/>
      <c r="DH141" s="117"/>
      <c r="DI141" s="24"/>
      <c r="DJ141" s="24"/>
      <c r="DK141" s="24"/>
      <c r="DL141" s="24"/>
      <c r="DM141" s="24"/>
      <c r="DN141" s="24"/>
      <c r="DO141" s="24"/>
      <c r="DP141" s="24"/>
      <c r="DQ141" s="24"/>
      <c r="DR141" s="24"/>
      <c r="DS141" s="24"/>
      <c r="DT141" s="24"/>
      <c r="DU141" s="24"/>
    </row>
    <row r="142" spans="1:125" s="8" customFormat="1" ht="48" x14ac:dyDescent="0.2">
      <c r="A142" s="77">
        <v>41285</v>
      </c>
      <c r="B142" s="78" t="s">
        <v>2881</v>
      </c>
      <c r="C142" s="75" t="s">
        <v>1439</v>
      </c>
      <c r="D142" s="81" t="s">
        <v>2846</v>
      </c>
      <c r="E142" s="75" t="str">
        <f>VLOOKUP(B142&amp;C142,Divipola!$C$2:$F$1138,4,FALSE)</f>
        <v>08675</v>
      </c>
      <c r="F142" s="87"/>
      <c r="G142" s="87"/>
      <c r="H142" s="87"/>
      <c r="I142" s="87"/>
      <c r="J142" s="87"/>
      <c r="K142" s="87"/>
      <c r="L142" s="87"/>
      <c r="M142" s="87"/>
      <c r="N142" s="87"/>
      <c r="O142" s="87"/>
      <c r="P142" s="87"/>
      <c r="Q142" s="87"/>
      <c r="R142" s="87"/>
      <c r="S142" s="87"/>
      <c r="T142" s="87"/>
      <c r="U142" s="127">
        <v>1</v>
      </c>
      <c r="V142" s="89"/>
      <c r="W142" s="96">
        <v>0</v>
      </c>
      <c r="X142" s="71">
        <f>CU142</f>
        <v>0</v>
      </c>
      <c r="Y142" s="71">
        <f>CY142</f>
        <v>0</v>
      </c>
      <c r="Z142" s="71">
        <f>DA142+DC142+DE142</f>
        <v>0</v>
      </c>
      <c r="AA142" s="71">
        <f>CW142</f>
        <v>0</v>
      </c>
      <c r="AB142" s="71"/>
      <c r="AC142" s="71">
        <v>0</v>
      </c>
      <c r="AD142" s="71">
        <f>W142+X142+Y142+Z142+AA142+AB142+AC142</f>
        <v>0</v>
      </c>
      <c r="AE142" s="72">
        <v>0</v>
      </c>
      <c r="AF142" s="5"/>
      <c r="AG142" s="6"/>
      <c r="AH142" s="27" t="s">
        <v>3392</v>
      </c>
      <c r="AI142" s="44" t="s">
        <v>3393</v>
      </c>
      <c r="AJ142" s="26"/>
      <c r="AK142" s="105"/>
      <c r="AL142" s="82" t="s">
        <v>2997</v>
      </c>
      <c r="AM142" s="106"/>
      <c r="AN142" s="76"/>
      <c r="AO142" s="76"/>
      <c r="AP142" s="76"/>
      <c r="AQ142" s="76"/>
      <c r="AR142" s="76"/>
      <c r="AS142" s="76"/>
      <c r="AT142" s="76"/>
      <c r="AU142" s="76"/>
      <c r="AV142" s="76"/>
      <c r="AW142" s="76"/>
      <c r="AX142" s="76">
        <f>+AW142*600000</f>
        <v>0</v>
      </c>
      <c r="AY142" s="76"/>
      <c r="AZ142" s="76">
        <f>+AY142*70000</f>
        <v>0</v>
      </c>
      <c r="BA142" s="76"/>
      <c r="BB142" s="76"/>
      <c r="BC142" s="76"/>
      <c r="BD142" s="76">
        <f>+BC142*30000</f>
        <v>0</v>
      </c>
      <c r="BE142" s="76"/>
      <c r="BF142" s="76"/>
      <c r="BG142" s="76"/>
      <c r="BH142" s="76"/>
      <c r="BI142" s="76"/>
      <c r="BJ142" s="76"/>
      <c r="BK142" s="76"/>
      <c r="BL142" s="76">
        <f>+BK142*31500</f>
        <v>0</v>
      </c>
      <c r="BM142" s="76"/>
      <c r="BN142" s="76"/>
      <c r="BO142" s="76"/>
      <c r="BP142" s="76"/>
      <c r="BQ142" s="76"/>
      <c r="BR142" s="76"/>
      <c r="BS142" s="76"/>
      <c r="BT142" s="76"/>
      <c r="BU142" s="76"/>
      <c r="BV142" s="76"/>
      <c r="BW142" s="76"/>
      <c r="BX142" s="76"/>
      <c r="BY142" s="76"/>
      <c r="BZ142" s="76"/>
      <c r="CA142" s="76"/>
      <c r="CB142" s="76"/>
      <c r="CC142" s="76"/>
      <c r="CD142" s="76"/>
      <c r="CE142" s="76"/>
      <c r="CF142" s="76">
        <f>+CE142*28000</f>
        <v>0</v>
      </c>
      <c r="CG142" s="76"/>
      <c r="CH142" s="76">
        <f>+CG142*22500</f>
        <v>0</v>
      </c>
      <c r="CI142" s="76"/>
      <c r="CJ142" s="76">
        <f>+CI142*26000</f>
        <v>0</v>
      </c>
      <c r="CK142" s="76"/>
      <c r="CL142" s="76"/>
      <c r="CM142" s="76"/>
      <c r="CN142" s="76">
        <f>+CM142*22000</f>
        <v>0</v>
      </c>
      <c r="CO142" s="76"/>
      <c r="CP142" s="76">
        <f>+CO142*46000</f>
        <v>0</v>
      </c>
      <c r="CQ142" s="76"/>
      <c r="CR142" s="76">
        <f>+CQ142*49000</f>
        <v>0</v>
      </c>
      <c r="CS142" s="76"/>
      <c r="CT142" s="76"/>
      <c r="CU142" s="56">
        <f>AN142+AP142+AR142+AT142+AV142+AX142+AZ142+BB142+BD142+BF142+BH142+BJ142+BL142+BN142+BP142+BR142+BT142+BV142+BX142+BZ142+CB142+CD142+CF142+CH142+CJ142+CL142+CN142+CP142+CR142+CT142</f>
        <v>0</v>
      </c>
      <c r="CV142" s="76"/>
      <c r="CW142" s="76">
        <f>+CV142*1100</f>
        <v>0</v>
      </c>
      <c r="CX142" s="76"/>
      <c r="CY142" s="76">
        <f>+CX142*106250</f>
        <v>0</v>
      </c>
      <c r="CZ142" s="76"/>
      <c r="DA142" s="76">
        <f>+CZ142*34500</f>
        <v>0</v>
      </c>
      <c r="DB142" s="76"/>
      <c r="DC142" s="76">
        <f>+DB142*25000</f>
        <v>0</v>
      </c>
      <c r="DD142" s="219"/>
      <c r="DE142" s="219"/>
      <c r="DF142" s="164"/>
      <c r="DG142" s="116"/>
      <c r="DH142" s="117"/>
      <c r="DI142" s="24"/>
      <c r="DJ142" s="24"/>
      <c r="DK142" s="24"/>
      <c r="DL142" s="24"/>
      <c r="DM142" s="24"/>
      <c r="DN142" s="24"/>
      <c r="DO142" s="24"/>
      <c r="DP142" s="24"/>
      <c r="DQ142" s="24"/>
      <c r="DR142" s="24"/>
      <c r="DS142" s="24"/>
      <c r="DT142" s="24"/>
      <c r="DU142" s="24"/>
    </row>
    <row r="143" spans="1:125" s="8" customFormat="1" ht="36" x14ac:dyDescent="0.2">
      <c r="A143" s="77">
        <v>41285</v>
      </c>
      <c r="B143" s="78" t="s">
        <v>2881</v>
      </c>
      <c r="C143" s="75" t="s">
        <v>1442</v>
      </c>
      <c r="D143" s="81" t="s">
        <v>2846</v>
      </c>
      <c r="E143" s="75" t="str">
        <f>VLOOKUP(B143&amp;C143,Divipola!$C$2:$F$1138,4,FALSE)</f>
        <v>08685</v>
      </c>
      <c r="F143" s="87"/>
      <c r="G143" s="87"/>
      <c r="H143" s="87"/>
      <c r="I143" s="87"/>
      <c r="J143" s="87"/>
      <c r="K143" s="87"/>
      <c r="L143" s="87"/>
      <c r="M143" s="87"/>
      <c r="N143" s="87"/>
      <c r="O143" s="87"/>
      <c r="P143" s="87"/>
      <c r="Q143" s="87"/>
      <c r="R143" s="87"/>
      <c r="S143" s="87"/>
      <c r="T143" s="87"/>
      <c r="U143" s="127">
        <v>1</v>
      </c>
      <c r="V143" s="89"/>
      <c r="W143" s="96">
        <v>0</v>
      </c>
      <c r="X143" s="71">
        <f>CU143</f>
        <v>0</v>
      </c>
      <c r="Y143" s="71">
        <f>CY143</f>
        <v>0</v>
      </c>
      <c r="Z143" s="71">
        <f>DA143+DC143+DE143</f>
        <v>0</v>
      </c>
      <c r="AA143" s="71">
        <f>CW143</f>
        <v>0</v>
      </c>
      <c r="AB143" s="71"/>
      <c r="AC143" s="71">
        <v>0</v>
      </c>
      <c r="AD143" s="71">
        <f>W143+X143+Y143+Z143+AA143+AB143+AC143</f>
        <v>0</v>
      </c>
      <c r="AE143" s="72">
        <v>0</v>
      </c>
      <c r="AF143" s="5"/>
      <c r="AG143" s="6"/>
      <c r="AH143" s="27" t="s">
        <v>3392</v>
      </c>
      <c r="AI143" s="44" t="s">
        <v>3393</v>
      </c>
      <c r="AJ143" s="26"/>
      <c r="AK143" s="105"/>
      <c r="AL143" s="82" t="s">
        <v>2996</v>
      </c>
      <c r="AM143" s="106"/>
      <c r="AN143" s="76"/>
      <c r="AO143" s="76"/>
      <c r="AP143" s="76"/>
      <c r="AQ143" s="76"/>
      <c r="AR143" s="76"/>
      <c r="AS143" s="76"/>
      <c r="AT143" s="76"/>
      <c r="AU143" s="76"/>
      <c r="AV143" s="76"/>
      <c r="AW143" s="76"/>
      <c r="AX143" s="76">
        <f>+AW143*600000</f>
        <v>0</v>
      </c>
      <c r="AY143" s="76"/>
      <c r="AZ143" s="76">
        <f>+AY143*70000</f>
        <v>0</v>
      </c>
      <c r="BA143" s="76"/>
      <c r="BB143" s="76"/>
      <c r="BC143" s="76"/>
      <c r="BD143" s="76">
        <f>+BC143*30000</f>
        <v>0</v>
      </c>
      <c r="BE143" s="76"/>
      <c r="BF143" s="76"/>
      <c r="BG143" s="76"/>
      <c r="BH143" s="76"/>
      <c r="BI143" s="76"/>
      <c r="BJ143" s="76"/>
      <c r="BK143" s="76"/>
      <c r="BL143" s="76">
        <f>+BK143*31500</f>
        <v>0</v>
      </c>
      <c r="BM143" s="76"/>
      <c r="BN143" s="76"/>
      <c r="BO143" s="76"/>
      <c r="BP143" s="76"/>
      <c r="BQ143" s="76"/>
      <c r="BR143" s="76"/>
      <c r="BS143" s="76"/>
      <c r="BT143" s="76"/>
      <c r="BU143" s="76"/>
      <c r="BV143" s="76"/>
      <c r="BW143" s="76"/>
      <c r="BX143" s="76"/>
      <c r="BY143" s="76"/>
      <c r="BZ143" s="76"/>
      <c r="CA143" s="76"/>
      <c r="CB143" s="76"/>
      <c r="CC143" s="76"/>
      <c r="CD143" s="76"/>
      <c r="CE143" s="76"/>
      <c r="CF143" s="76">
        <f>+CE143*28000</f>
        <v>0</v>
      </c>
      <c r="CG143" s="76"/>
      <c r="CH143" s="76">
        <f>+CG143*22500</f>
        <v>0</v>
      </c>
      <c r="CI143" s="76"/>
      <c r="CJ143" s="76">
        <f>+CI143*26000</f>
        <v>0</v>
      </c>
      <c r="CK143" s="76"/>
      <c r="CL143" s="76"/>
      <c r="CM143" s="76"/>
      <c r="CN143" s="76">
        <f>+CM143*22000</f>
        <v>0</v>
      </c>
      <c r="CO143" s="76"/>
      <c r="CP143" s="76">
        <f>+CO143*46000</f>
        <v>0</v>
      </c>
      <c r="CQ143" s="76"/>
      <c r="CR143" s="76">
        <f>+CQ143*49000</f>
        <v>0</v>
      </c>
      <c r="CS143" s="76"/>
      <c r="CT143" s="76"/>
      <c r="CU143" s="56">
        <f>AN143+AP143+AR143+AT143+AV143+AX143+AZ143+BB143+BD143+BF143+BH143+BJ143+BL143+BN143+BP143+BR143+BT143+BV143+BX143+BZ143+CB143+CD143+CF143+CH143+CJ143+CL143+CN143+CP143+CR143+CT143</f>
        <v>0</v>
      </c>
      <c r="CV143" s="76"/>
      <c r="CW143" s="76">
        <f>+CV143*1100</f>
        <v>0</v>
      </c>
      <c r="CX143" s="76"/>
      <c r="CY143" s="76">
        <f>+CX143*106250</f>
        <v>0</v>
      </c>
      <c r="CZ143" s="76"/>
      <c r="DA143" s="76">
        <f>+CZ143*34500</f>
        <v>0</v>
      </c>
      <c r="DB143" s="76"/>
      <c r="DC143" s="76">
        <f>+DB143*25000</f>
        <v>0</v>
      </c>
      <c r="DD143" s="219"/>
      <c r="DE143" s="219"/>
      <c r="DF143" s="164"/>
      <c r="DG143" s="116"/>
      <c r="DH143" s="117"/>
      <c r="DI143" s="24"/>
      <c r="DJ143" s="24"/>
      <c r="DK143" s="24"/>
      <c r="DL143" s="24"/>
      <c r="DM143" s="24"/>
      <c r="DN143" s="24"/>
      <c r="DO143" s="24"/>
      <c r="DP143" s="24"/>
      <c r="DQ143" s="24"/>
      <c r="DR143" s="24"/>
      <c r="DS143" s="24"/>
      <c r="DT143" s="24"/>
      <c r="DU143" s="24"/>
    </row>
    <row r="144" spans="1:125" s="8" customFormat="1" ht="36" x14ac:dyDescent="0.2">
      <c r="A144" s="77">
        <v>41285</v>
      </c>
      <c r="B144" s="80" t="s">
        <v>529</v>
      </c>
      <c r="C144" s="81" t="s">
        <v>529</v>
      </c>
      <c r="D144" s="81" t="s">
        <v>2846</v>
      </c>
      <c r="E144" s="75" t="str">
        <f>VLOOKUP(B144&amp;C144,Divipola!$C$2:$F$1138,4,FALSE)</f>
        <v>11001</v>
      </c>
      <c r="F144" s="87"/>
      <c r="G144" s="87"/>
      <c r="H144" s="87"/>
      <c r="I144" s="87"/>
      <c r="J144" s="87"/>
      <c r="K144" s="87"/>
      <c r="L144" s="87"/>
      <c r="M144" s="87"/>
      <c r="N144" s="87"/>
      <c r="O144" s="87"/>
      <c r="P144" s="87"/>
      <c r="Q144" s="87"/>
      <c r="R144" s="87"/>
      <c r="S144" s="87"/>
      <c r="T144" s="87"/>
      <c r="U144" s="127"/>
      <c r="V144" s="89"/>
      <c r="W144" s="96">
        <v>0</v>
      </c>
      <c r="X144" s="71">
        <f>CU144</f>
        <v>0</v>
      </c>
      <c r="Y144" s="71">
        <f>CY144</f>
        <v>0</v>
      </c>
      <c r="Z144" s="71">
        <f>DA144+DC144+DE144</f>
        <v>0</v>
      </c>
      <c r="AA144" s="71">
        <f>CW144</f>
        <v>0</v>
      </c>
      <c r="AB144" s="71"/>
      <c r="AC144" s="71">
        <v>0</v>
      </c>
      <c r="AD144" s="71">
        <f>W144+X144+Y144+Z144+AA144+AB144+AC144</f>
        <v>0</v>
      </c>
      <c r="AE144" s="72">
        <v>0</v>
      </c>
      <c r="AF144" s="5"/>
      <c r="AG144" s="6"/>
      <c r="AH144" s="27" t="s">
        <v>3392</v>
      </c>
      <c r="AI144" s="44" t="s">
        <v>3393</v>
      </c>
      <c r="AJ144" s="26"/>
      <c r="AK144" s="105"/>
      <c r="AL144" s="82" t="s">
        <v>2987</v>
      </c>
      <c r="AM144" s="106"/>
      <c r="AN144" s="76"/>
      <c r="AO144" s="76"/>
      <c r="AP144" s="76"/>
      <c r="AQ144" s="76"/>
      <c r="AR144" s="76"/>
      <c r="AS144" s="76"/>
      <c r="AT144" s="76"/>
      <c r="AU144" s="76"/>
      <c r="AV144" s="76"/>
      <c r="AW144" s="76"/>
      <c r="AX144" s="76">
        <f>+AW144*600000</f>
        <v>0</v>
      </c>
      <c r="AY144" s="76"/>
      <c r="AZ144" s="76">
        <f>+AY144*70000</f>
        <v>0</v>
      </c>
      <c r="BA144" s="76"/>
      <c r="BB144" s="76"/>
      <c r="BC144" s="76"/>
      <c r="BD144" s="76">
        <f>+BC144*30000</f>
        <v>0</v>
      </c>
      <c r="BE144" s="76"/>
      <c r="BF144" s="76"/>
      <c r="BG144" s="76"/>
      <c r="BH144" s="76"/>
      <c r="BI144" s="76"/>
      <c r="BJ144" s="76"/>
      <c r="BK144" s="76"/>
      <c r="BL144" s="76">
        <f>+BK144*31500</f>
        <v>0</v>
      </c>
      <c r="BM144" s="76"/>
      <c r="BN144" s="76"/>
      <c r="BO144" s="76"/>
      <c r="BP144" s="76"/>
      <c r="BQ144" s="76"/>
      <c r="BR144" s="76"/>
      <c r="BS144" s="76"/>
      <c r="BT144" s="76"/>
      <c r="BU144" s="76"/>
      <c r="BV144" s="76"/>
      <c r="BW144" s="76"/>
      <c r="BX144" s="76"/>
      <c r="BY144" s="76"/>
      <c r="BZ144" s="76"/>
      <c r="CA144" s="76"/>
      <c r="CB144" s="76"/>
      <c r="CC144" s="76"/>
      <c r="CD144" s="76"/>
      <c r="CE144" s="76"/>
      <c r="CF144" s="76">
        <f>+CE144*28000</f>
        <v>0</v>
      </c>
      <c r="CG144" s="76"/>
      <c r="CH144" s="76">
        <f>+CG144*22500</f>
        <v>0</v>
      </c>
      <c r="CI144" s="76"/>
      <c r="CJ144" s="76">
        <f>+CI144*26000</f>
        <v>0</v>
      </c>
      <c r="CK144" s="76"/>
      <c r="CL144" s="76"/>
      <c r="CM144" s="76"/>
      <c r="CN144" s="76">
        <f>+CM144*22000</f>
        <v>0</v>
      </c>
      <c r="CO144" s="76"/>
      <c r="CP144" s="76">
        <f>+CO144*46000</f>
        <v>0</v>
      </c>
      <c r="CQ144" s="76"/>
      <c r="CR144" s="76">
        <f>+CQ144*49000</f>
        <v>0</v>
      </c>
      <c r="CS144" s="76"/>
      <c r="CT144" s="76"/>
      <c r="CU144" s="56">
        <f>AN144+AP144+AR144+AT144+AV144+AX144+AZ144+BB144+BD144+BF144+BH144+BJ144+BL144+BN144+BP144+BR144+BT144+BV144+BX144+BZ144+CB144+CD144+CF144+CH144+CJ144+CL144+CN144+CP144+CR144+CT144</f>
        <v>0</v>
      </c>
      <c r="CV144" s="76"/>
      <c r="CW144" s="76">
        <f>+CV144*1100</f>
        <v>0</v>
      </c>
      <c r="CX144" s="76"/>
      <c r="CY144" s="76">
        <f>+CX144*106250</f>
        <v>0</v>
      </c>
      <c r="CZ144" s="76"/>
      <c r="DA144" s="76">
        <f>+CZ144*34500</f>
        <v>0</v>
      </c>
      <c r="DB144" s="76"/>
      <c r="DC144" s="76">
        <f>+DB144*25000</f>
        <v>0</v>
      </c>
      <c r="DD144" s="219"/>
      <c r="DE144" s="219"/>
      <c r="DF144" s="164"/>
      <c r="DG144" s="116"/>
      <c r="DH144" s="117"/>
      <c r="DI144" s="24"/>
      <c r="DJ144" s="24"/>
      <c r="DK144" s="24"/>
      <c r="DL144" s="24"/>
      <c r="DM144" s="24"/>
      <c r="DN144" s="24"/>
      <c r="DO144" s="24"/>
      <c r="DP144" s="24"/>
      <c r="DQ144" s="24"/>
      <c r="DR144" s="24"/>
      <c r="DS144" s="24"/>
      <c r="DT144" s="24"/>
      <c r="DU144" s="24"/>
    </row>
    <row r="145" spans="1:125" s="8" customFormat="1" ht="36" x14ac:dyDescent="0.2">
      <c r="A145" s="77">
        <v>41285</v>
      </c>
      <c r="B145" s="352" t="s">
        <v>2700</v>
      </c>
      <c r="C145" s="354" t="s">
        <v>1595</v>
      </c>
      <c r="D145" s="354" t="s">
        <v>3090</v>
      </c>
      <c r="E145" s="75" t="str">
        <f>VLOOKUP(B145&amp;C145,Divipola!$C$2:$F$1138,4,FALSE)</f>
        <v>15172</v>
      </c>
      <c r="F145" s="100"/>
      <c r="G145" s="100"/>
      <c r="H145" s="100"/>
      <c r="I145" s="100"/>
      <c r="J145" s="100"/>
      <c r="K145" s="100"/>
      <c r="L145" s="100"/>
      <c r="M145" s="100"/>
      <c r="N145" s="100"/>
      <c r="O145" s="100"/>
      <c r="P145" s="100"/>
      <c r="Q145" s="100"/>
      <c r="R145" s="100"/>
      <c r="S145" s="100"/>
      <c r="T145" s="100"/>
      <c r="U145" s="130"/>
      <c r="V145" s="91"/>
      <c r="W145" s="96">
        <v>0</v>
      </c>
      <c r="X145" s="71">
        <f>CU145</f>
        <v>0</v>
      </c>
      <c r="Y145" s="71">
        <f>CY145</f>
        <v>0</v>
      </c>
      <c r="Z145" s="71">
        <f>DA145+DC145+DE145</f>
        <v>15000000</v>
      </c>
      <c r="AA145" s="71">
        <f>CW145</f>
        <v>0</v>
      </c>
      <c r="AB145" s="71"/>
      <c r="AC145" s="71">
        <v>0</v>
      </c>
      <c r="AD145" s="71">
        <f>W145+X145+Y145+Z145+AA145+AB145+AC145</f>
        <v>15000000</v>
      </c>
      <c r="AE145" s="72">
        <v>0</v>
      </c>
      <c r="AF145" s="5"/>
      <c r="AG145" s="6"/>
      <c r="AH145" s="27" t="s">
        <v>3390</v>
      </c>
      <c r="AI145" s="44" t="s">
        <v>3391</v>
      </c>
      <c r="AJ145" s="26"/>
      <c r="AK145" s="105"/>
      <c r="AL145" s="82"/>
      <c r="AM145" s="106"/>
      <c r="AN145" s="76"/>
      <c r="AO145" s="76"/>
      <c r="AP145" s="76"/>
      <c r="AQ145" s="76"/>
      <c r="AR145" s="76"/>
      <c r="AS145" s="76"/>
      <c r="AT145" s="76"/>
      <c r="AU145" s="76"/>
      <c r="AV145" s="76"/>
      <c r="AW145" s="76"/>
      <c r="AX145" s="76">
        <f>+AW145*600000</f>
        <v>0</v>
      </c>
      <c r="AY145" s="76"/>
      <c r="AZ145" s="76">
        <f>+AY145*70000</f>
        <v>0</v>
      </c>
      <c r="BA145" s="76"/>
      <c r="BB145" s="76"/>
      <c r="BC145" s="76"/>
      <c r="BD145" s="76">
        <f>+BC145*30000</f>
        <v>0</v>
      </c>
      <c r="BE145" s="76"/>
      <c r="BF145" s="76"/>
      <c r="BG145" s="76"/>
      <c r="BH145" s="76"/>
      <c r="BI145" s="76"/>
      <c r="BJ145" s="76"/>
      <c r="BK145" s="76"/>
      <c r="BL145" s="76">
        <f>+BK145*31500</f>
        <v>0</v>
      </c>
      <c r="BM145" s="76"/>
      <c r="BN145" s="76"/>
      <c r="BO145" s="76"/>
      <c r="BP145" s="76"/>
      <c r="BQ145" s="76"/>
      <c r="BR145" s="76"/>
      <c r="BS145" s="76"/>
      <c r="BT145" s="76"/>
      <c r="BU145" s="76"/>
      <c r="BV145" s="76"/>
      <c r="BW145" s="76"/>
      <c r="BX145" s="76"/>
      <c r="BY145" s="76"/>
      <c r="BZ145" s="76"/>
      <c r="CA145" s="76"/>
      <c r="CB145" s="76"/>
      <c r="CC145" s="76"/>
      <c r="CD145" s="76"/>
      <c r="CE145" s="76"/>
      <c r="CF145" s="76">
        <f>+CE145*28000</f>
        <v>0</v>
      </c>
      <c r="CG145" s="76"/>
      <c r="CH145" s="76">
        <f>+CG145*22500</f>
        <v>0</v>
      </c>
      <c r="CI145" s="76"/>
      <c r="CJ145" s="76">
        <f>+CI145*26000</f>
        <v>0</v>
      </c>
      <c r="CK145" s="76"/>
      <c r="CL145" s="76"/>
      <c r="CM145" s="76"/>
      <c r="CN145" s="76">
        <f>+CM145*22000</f>
        <v>0</v>
      </c>
      <c r="CO145" s="76"/>
      <c r="CP145" s="76">
        <f>+CO145*46000</f>
        <v>0</v>
      </c>
      <c r="CQ145" s="76"/>
      <c r="CR145" s="76">
        <f>+CQ145*49000</f>
        <v>0</v>
      </c>
      <c r="CS145" s="76"/>
      <c r="CT145" s="76"/>
      <c r="CU145" s="56">
        <f>AN145+AP145+AR145+AT145+AV145+AX145+AZ145+BB145+BD145+BF145+BH145+BJ145+BL145+BN145+BP145+BR145+BT145+BV145+BX145+BZ145+CB145+CD145+CF145+CH145+CJ145+CL145+CN145+CP145+CR145+CT145</f>
        <v>0</v>
      </c>
      <c r="CV145" s="76"/>
      <c r="CW145" s="76">
        <f>+CV145*1100</f>
        <v>0</v>
      </c>
      <c r="CX145" s="76"/>
      <c r="CY145" s="76">
        <f>+CX145*106250</f>
        <v>0</v>
      </c>
      <c r="CZ145" s="76"/>
      <c r="DA145" s="76">
        <f>+CZ145*34500</f>
        <v>0</v>
      </c>
      <c r="DB145" s="76"/>
      <c r="DC145" s="76">
        <f>+DB145*25000</f>
        <v>0</v>
      </c>
      <c r="DD145" s="215" t="s">
        <v>3363</v>
      </c>
      <c r="DE145" s="219">
        <v>15000000</v>
      </c>
      <c r="DF145" s="164"/>
      <c r="DG145" s="116"/>
      <c r="DH145" s="117"/>
      <c r="DI145" s="24"/>
      <c r="DJ145" s="24"/>
      <c r="DK145" s="24"/>
      <c r="DL145" s="24"/>
      <c r="DM145" s="24"/>
      <c r="DN145" s="24"/>
      <c r="DO145" s="24"/>
      <c r="DP145" s="24"/>
      <c r="DQ145" s="24"/>
      <c r="DR145" s="24"/>
      <c r="DS145" s="24"/>
      <c r="DT145" s="24"/>
      <c r="DU145" s="24"/>
    </row>
    <row r="146" spans="1:125" s="8" customFormat="1" ht="84" x14ac:dyDescent="0.2">
      <c r="A146" s="77">
        <v>41285</v>
      </c>
      <c r="B146" s="80" t="s">
        <v>2772</v>
      </c>
      <c r="C146" s="81" t="s">
        <v>1394</v>
      </c>
      <c r="D146" s="81" t="s">
        <v>2846</v>
      </c>
      <c r="E146" s="75" t="str">
        <f>VLOOKUP(B146&amp;C146,Divipola!$C$2:$F$1138,4,FALSE)</f>
        <v>25297</v>
      </c>
      <c r="F146" s="87"/>
      <c r="G146" s="87"/>
      <c r="H146" s="87"/>
      <c r="I146" s="87"/>
      <c r="J146" s="87"/>
      <c r="K146" s="87"/>
      <c r="L146" s="87"/>
      <c r="M146" s="87"/>
      <c r="N146" s="87"/>
      <c r="O146" s="87"/>
      <c r="P146" s="87"/>
      <c r="Q146" s="87"/>
      <c r="R146" s="87"/>
      <c r="S146" s="87"/>
      <c r="T146" s="87"/>
      <c r="U146" s="127">
        <v>1</v>
      </c>
      <c r="V146" s="89"/>
      <c r="W146" s="96">
        <v>0</v>
      </c>
      <c r="X146" s="71">
        <f>CU146</f>
        <v>0</v>
      </c>
      <c r="Y146" s="71">
        <f>CY146</f>
        <v>0</v>
      </c>
      <c r="Z146" s="71">
        <f>DA146+DC146+DE146</f>
        <v>0</v>
      </c>
      <c r="AA146" s="71">
        <f>CW146</f>
        <v>0</v>
      </c>
      <c r="AB146" s="71"/>
      <c r="AC146" s="71">
        <v>0</v>
      </c>
      <c r="AD146" s="71">
        <f>W146+X146+Y146+Z146+AA146+AB146+AC146</f>
        <v>0</v>
      </c>
      <c r="AE146" s="72">
        <v>0</v>
      </c>
      <c r="AF146" s="5"/>
      <c r="AG146" s="6"/>
      <c r="AH146" s="27" t="s">
        <v>3392</v>
      </c>
      <c r="AI146" s="44" t="s">
        <v>3393</v>
      </c>
      <c r="AJ146" s="26"/>
      <c r="AK146" s="105"/>
      <c r="AL146" s="82" t="s">
        <v>2991</v>
      </c>
      <c r="AM146" s="106"/>
      <c r="AN146" s="76"/>
      <c r="AO146" s="76"/>
      <c r="AP146" s="76"/>
      <c r="AQ146" s="76"/>
      <c r="AR146" s="76"/>
      <c r="AS146" s="76"/>
      <c r="AT146" s="76"/>
      <c r="AU146" s="76"/>
      <c r="AV146" s="76"/>
      <c r="AW146" s="76"/>
      <c r="AX146" s="76">
        <f>+AW146*600000</f>
        <v>0</v>
      </c>
      <c r="AY146" s="76"/>
      <c r="AZ146" s="76">
        <f>+AY146*70000</f>
        <v>0</v>
      </c>
      <c r="BA146" s="76"/>
      <c r="BB146" s="76"/>
      <c r="BC146" s="76"/>
      <c r="BD146" s="76">
        <f>+BC146*30000</f>
        <v>0</v>
      </c>
      <c r="BE146" s="76"/>
      <c r="BF146" s="76"/>
      <c r="BG146" s="76"/>
      <c r="BH146" s="76"/>
      <c r="BI146" s="76"/>
      <c r="BJ146" s="76"/>
      <c r="BK146" s="76"/>
      <c r="BL146" s="76">
        <f>+BK146*31500</f>
        <v>0</v>
      </c>
      <c r="BM146" s="76"/>
      <c r="BN146" s="76"/>
      <c r="BO146" s="76"/>
      <c r="BP146" s="76"/>
      <c r="BQ146" s="76"/>
      <c r="BR146" s="76"/>
      <c r="BS146" s="76"/>
      <c r="BT146" s="76"/>
      <c r="BU146" s="76"/>
      <c r="BV146" s="76"/>
      <c r="BW146" s="76"/>
      <c r="BX146" s="76"/>
      <c r="BY146" s="76"/>
      <c r="BZ146" s="76"/>
      <c r="CA146" s="76"/>
      <c r="CB146" s="76"/>
      <c r="CC146" s="76"/>
      <c r="CD146" s="76"/>
      <c r="CE146" s="76"/>
      <c r="CF146" s="76">
        <f>+CE146*28000</f>
        <v>0</v>
      </c>
      <c r="CG146" s="76"/>
      <c r="CH146" s="76">
        <f>+CG146*22500</f>
        <v>0</v>
      </c>
      <c r="CI146" s="76"/>
      <c r="CJ146" s="76">
        <f>+CI146*26000</f>
        <v>0</v>
      </c>
      <c r="CK146" s="76"/>
      <c r="CL146" s="76"/>
      <c r="CM146" s="76"/>
      <c r="CN146" s="76">
        <f>+CM146*22000</f>
        <v>0</v>
      </c>
      <c r="CO146" s="76"/>
      <c r="CP146" s="76">
        <f>+CO146*46000</f>
        <v>0</v>
      </c>
      <c r="CQ146" s="76"/>
      <c r="CR146" s="76">
        <f>+CQ146*49000</f>
        <v>0</v>
      </c>
      <c r="CS146" s="76"/>
      <c r="CT146" s="76"/>
      <c r="CU146" s="56">
        <f>AN146+AP146+AR146+AT146+AV146+AX146+AZ146+BB146+BD146+BF146+BH146+BJ146+BL146+BN146+BP146+BR146+BT146+BV146+BX146+BZ146+CB146+CD146+CF146+CH146+CJ146+CL146+CN146+CP146+CR146+CT146</f>
        <v>0</v>
      </c>
      <c r="CV146" s="76"/>
      <c r="CW146" s="76">
        <f>+CV146*1100</f>
        <v>0</v>
      </c>
      <c r="CX146" s="76"/>
      <c r="CY146" s="76">
        <f>+CX146*106250</f>
        <v>0</v>
      </c>
      <c r="CZ146" s="76"/>
      <c r="DA146" s="76">
        <f>+CZ146*34500</f>
        <v>0</v>
      </c>
      <c r="DB146" s="76"/>
      <c r="DC146" s="76">
        <f>+DB146*25000</f>
        <v>0</v>
      </c>
      <c r="DD146" s="219"/>
      <c r="DE146" s="219"/>
      <c r="DF146" s="164"/>
      <c r="DG146" s="116"/>
      <c r="DH146" s="117"/>
      <c r="DI146" s="24"/>
      <c r="DJ146" s="24"/>
      <c r="DK146" s="24"/>
      <c r="DL146" s="24"/>
      <c r="DM146" s="24"/>
      <c r="DN146" s="24"/>
      <c r="DO146" s="24"/>
      <c r="DP146" s="24"/>
      <c r="DQ146" s="24"/>
      <c r="DR146" s="24"/>
      <c r="DS146" s="24"/>
      <c r="DT146" s="24"/>
      <c r="DU146" s="24"/>
    </row>
    <row r="147" spans="1:125" s="8" customFormat="1" ht="72" x14ac:dyDescent="0.2">
      <c r="A147" s="77">
        <v>41285</v>
      </c>
      <c r="B147" s="78" t="s">
        <v>2772</v>
      </c>
      <c r="C147" s="75" t="s">
        <v>1095</v>
      </c>
      <c r="D147" s="81" t="s">
        <v>2846</v>
      </c>
      <c r="E147" s="75" t="str">
        <f>VLOOKUP(B147&amp;C147,Divipola!$C$2:$F$1138,4,FALSE)</f>
        <v>25386</v>
      </c>
      <c r="F147" s="87"/>
      <c r="G147" s="87"/>
      <c r="H147" s="87"/>
      <c r="I147" s="87"/>
      <c r="J147" s="87"/>
      <c r="K147" s="87"/>
      <c r="L147" s="87"/>
      <c r="M147" s="87"/>
      <c r="N147" s="87"/>
      <c r="O147" s="87"/>
      <c r="P147" s="87"/>
      <c r="Q147" s="87"/>
      <c r="R147" s="87"/>
      <c r="S147" s="87"/>
      <c r="T147" s="87"/>
      <c r="U147" s="127">
        <v>1</v>
      </c>
      <c r="V147" s="89"/>
      <c r="W147" s="96">
        <v>0</v>
      </c>
      <c r="X147" s="71">
        <f>CU147</f>
        <v>0</v>
      </c>
      <c r="Y147" s="71">
        <f>CY147</f>
        <v>0</v>
      </c>
      <c r="Z147" s="71">
        <f>DA147+DC147+DE147</f>
        <v>0</v>
      </c>
      <c r="AA147" s="71">
        <f>CW147</f>
        <v>0</v>
      </c>
      <c r="AB147" s="71"/>
      <c r="AC147" s="71">
        <v>0</v>
      </c>
      <c r="AD147" s="71">
        <f>W147+X147+Y147+Z147+AA147+AB147+AC147</f>
        <v>0</v>
      </c>
      <c r="AE147" s="72">
        <v>0</v>
      </c>
      <c r="AF147" s="5"/>
      <c r="AG147" s="6"/>
      <c r="AH147" s="27" t="s">
        <v>3392</v>
      </c>
      <c r="AI147" s="44" t="s">
        <v>3393</v>
      </c>
      <c r="AJ147" s="26"/>
      <c r="AK147" s="5"/>
      <c r="AL147" s="82" t="s">
        <v>3255</v>
      </c>
      <c r="AM147" s="76"/>
      <c r="AN147" s="76"/>
      <c r="AO147" s="76"/>
      <c r="AP147" s="76"/>
      <c r="AQ147" s="76"/>
      <c r="AR147" s="76"/>
      <c r="AS147" s="76"/>
      <c r="AT147" s="76"/>
      <c r="AU147" s="76"/>
      <c r="AV147" s="76"/>
      <c r="AW147" s="76"/>
      <c r="AX147" s="76">
        <f>+AW147*600000</f>
        <v>0</v>
      </c>
      <c r="AY147" s="76"/>
      <c r="AZ147" s="76">
        <f>+AY147*70000</f>
        <v>0</v>
      </c>
      <c r="BA147" s="76"/>
      <c r="BB147" s="76"/>
      <c r="BC147" s="76"/>
      <c r="BD147" s="76">
        <f>+BC147*30000</f>
        <v>0</v>
      </c>
      <c r="BE147" s="76"/>
      <c r="BF147" s="76"/>
      <c r="BG147" s="76"/>
      <c r="BH147" s="76"/>
      <c r="BI147" s="76"/>
      <c r="BJ147" s="76"/>
      <c r="BK147" s="76"/>
      <c r="BL147" s="76">
        <f>+BK147*31500</f>
        <v>0</v>
      </c>
      <c r="BM147" s="76"/>
      <c r="BN147" s="76"/>
      <c r="BO147" s="76"/>
      <c r="BP147" s="76"/>
      <c r="BQ147" s="76"/>
      <c r="BR147" s="76"/>
      <c r="BS147" s="76"/>
      <c r="BT147" s="76"/>
      <c r="BU147" s="76"/>
      <c r="BV147" s="76"/>
      <c r="BW147" s="76"/>
      <c r="BX147" s="76"/>
      <c r="BY147" s="76"/>
      <c r="BZ147" s="76"/>
      <c r="CA147" s="76"/>
      <c r="CB147" s="76"/>
      <c r="CC147" s="76"/>
      <c r="CD147" s="76"/>
      <c r="CE147" s="76"/>
      <c r="CF147" s="76">
        <f>+CE147*28000</f>
        <v>0</v>
      </c>
      <c r="CG147" s="76"/>
      <c r="CH147" s="76">
        <f>+CG147*22500</f>
        <v>0</v>
      </c>
      <c r="CI147" s="76"/>
      <c r="CJ147" s="76">
        <f>+CI147*26000</f>
        <v>0</v>
      </c>
      <c r="CK147" s="76"/>
      <c r="CL147" s="76"/>
      <c r="CM147" s="76"/>
      <c r="CN147" s="76">
        <f>+CM147*22000</f>
        <v>0</v>
      </c>
      <c r="CO147" s="76"/>
      <c r="CP147" s="76">
        <f>+CO147*46000</f>
        <v>0</v>
      </c>
      <c r="CQ147" s="76"/>
      <c r="CR147" s="76">
        <f>+CQ147*49000</f>
        <v>0</v>
      </c>
      <c r="CS147" s="76"/>
      <c r="CT147" s="76"/>
      <c r="CU147" s="56">
        <f>AN147+AP147+AR147+AT147+AV147+AX147+AZ147+BB147+BD147+BF147+BH147+BJ147+BL147+BN147+BP147+BR147+BT147+BV147+BX147+BZ147+CB147+CD147+CF147+CH147+CJ147+CL147+CN147+CP147+CR147+CT147</f>
        <v>0</v>
      </c>
      <c r="CV147" s="76"/>
      <c r="CW147" s="76">
        <f>+CV147*1100</f>
        <v>0</v>
      </c>
      <c r="CX147" s="76"/>
      <c r="CY147" s="76">
        <f>+CX147*106250</f>
        <v>0</v>
      </c>
      <c r="CZ147" s="76"/>
      <c r="DA147" s="76">
        <f>+CZ147*34500</f>
        <v>0</v>
      </c>
      <c r="DB147" s="76"/>
      <c r="DC147" s="76">
        <f>+DB147*25000</f>
        <v>0</v>
      </c>
      <c r="DD147" s="219"/>
      <c r="DE147" s="219"/>
      <c r="DF147" s="164"/>
      <c r="DG147" s="116"/>
      <c r="DH147" s="117"/>
      <c r="DI147" s="24"/>
      <c r="DJ147" s="24"/>
      <c r="DK147" s="24"/>
      <c r="DL147" s="24"/>
      <c r="DM147" s="24"/>
      <c r="DN147" s="24"/>
      <c r="DO147" s="24"/>
      <c r="DP147" s="24"/>
      <c r="DQ147" s="24"/>
      <c r="DR147" s="24"/>
      <c r="DS147" s="24"/>
      <c r="DT147" s="24"/>
      <c r="DU147" s="24"/>
    </row>
    <row r="148" spans="1:125" s="8" customFormat="1" ht="72" x14ac:dyDescent="0.2">
      <c r="A148" s="77">
        <v>41285</v>
      </c>
      <c r="B148" s="78" t="s">
        <v>2772</v>
      </c>
      <c r="C148" s="75" t="s">
        <v>1095</v>
      </c>
      <c r="D148" s="81" t="s">
        <v>2846</v>
      </c>
      <c r="E148" s="75" t="str">
        <f>VLOOKUP(B148&amp;C148,Divipola!$C$2:$F$1138,4,FALSE)</f>
        <v>25386</v>
      </c>
      <c r="F148" s="87"/>
      <c r="G148" s="87"/>
      <c r="H148" s="87"/>
      <c r="I148" s="87"/>
      <c r="J148" s="87"/>
      <c r="K148" s="87"/>
      <c r="L148" s="87"/>
      <c r="M148" s="87"/>
      <c r="N148" s="87"/>
      <c r="O148" s="87"/>
      <c r="P148" s="87"/>
      <c r="Q148" s="87"/>
      <c r="R148" s="87"/>
      <c r="S148" s="87"/>
      <c r="T148" s="87"/>
      <c r="U148" s="127">
        <v>1</v>
      </c>
      <c r="V148" s="89"/>
      <c r="W148" s="96">
        <v>0</v>
      </c>
      <c r="X148" s="71">
        <f>CU148</f>
        <v>0</v>
      </c>
      <c r="Y148" s="71">
        <f>CY148</f>
        <v>0</v>
      </c>
      <c r="Z148" s="71">
        <f>DA148+DC148+DE148</f>
        <v>0</v>
      </c>
      <c r="AA148" s="71">
        <f>CW148</f>
        <v>0</v>
      </c>
      <c r="AB148" s="71"/>
      <c r="AC148" s="71">
        <v>0</v>
      </c>
      <c r="AD148" s="71">
        <f>W148+X148+Y148+Z148+AA148+AB148+AC148</f>
        <v>0</v>
      </c>
      <c r="AE148" s="72">
        <v>0</v>
      </c>
      <c r="AF148" s="5"/>
      <c r="AG148" s="6"/>
      <c r="AH148" s="27" t="s">
        <v>3392</v>
      </c>
      <c r="AI148" s="44" t="s">
        <v>3393</v>
      </c>
      <c r="AJ148" s="26"/>
      <c r="AK148" s="5"/>
      <c r="AL148" s="82" t="s">
        <v>3000</v>
      </c>
      <c r="AM148" s="76"/>
      <c r="AN148" s="76"/>
      <c r="AO148" s="76"/>
      <c r="AP148" s="76"/>
      <c r="AQ148" s="76"/>
      <c r="AR148" s="76"/>
      <c r="AS148" s="76"/>
      <c r="AT148" s="76"/>
      <c r="AU148" s="76"/>
      <c r="AV148" s="76"/>
      <c r="AW148" s="76"/>
      <c r="AX148" s="76">
        <f>+AW148*600000</f>
        <v>0</v>
      </c>
      <c r="AY148" s="76"/>
      <c r="AZ148" s="76">
        <f>+AY148*70000</f>
        <v>0</v>
      </c>
      <c r="BA148" s="76"/>
      <c r="BB148" s="76"/>
      <c r="BC148" s="76"/>
      <c r="BD148" s="76">
        <f>+BC148*30000</f>
        <v>0</v>
      </c>
      <c r="BE148" s="76"/>
      <c r="BF148" s="76"/>
      <c r="BG148" s="76"/>
      <c r="BH148" s="76"/>
      <c r="BI148" s="76"/>
      <c r="BJ148" s="76"/>
      <c r="BK148" s="76"/>
      <c r="BL148" s="76">
        <f>+BK148*31500</f>
        <v>0</v>
      </c>
      <c r="BM148" s="76"/>
      <c r="BN148" s="76"/>
      <c r="BO148" s="76"/>
      <c r="BP148" s="76"/>
      <c r="BQ148" s="76"/>
      <c r="BR148" s="76"/>
      <c r="BS148" s="76"/>
      <c r="BT148" s="76"/>
      <c r="BU148" s="76"/>
      <c r="BV148" s="76"/>
      <c r="BW148" s="76"/>
      <c r="BX148" s="76"/>
      <c r="BY148" s="76"/>
      <c r="BZ148" s="76"/>
      <c r="CA148" s="76"/>
      <c r="CB148" s="76"/>
      <c r="CC148" s="76"/>
      <c r="CD148" s="76"/>
      <c r="CE148" s="76"/>
      <c r="CF148" s="76">
        <f>+CE148*28000</f>
        <v>0</v>
      </c>
      <c r="CG148" s="76"/>
      <c r="CH148" s="76">
        <f>+CG148*22500</f>
        <v>0</v>
      </c>
      <c r="CI148" s="76"/>
      <c r="CJ148" s="76">
        <f>+CI148*26000</f>
        <v>0</v>
      </c>
      <c r="CK148" s="76"/>
      <c r="CL148" s="76"/>
      <c r="CM148" s="76"/>
      <c r="CN148" s="76">
        <f>+CM148*22000</f>
        <v>0</v>
      </c>
      <c r="CO148" s="76"/>
      <c r="CP148" s="76">
        <f>+CO148*46000</f>
        <v>0</v>
      </c>
      <c r="CQ148" s="76"/>
      <c r="CR148" s="76">
        <f>+CQ148*49000</f>
        <v>0</v>
      </c>
      <c r="CS148" s="76"/>
      <c r="CT148" s="76"/>
      <c r="CU148" s="56">
        <f>AN148+AP148+AR148+AT148+AV148+AX148+AZ148+BB148+BD148+BF148+BH148+BJ148+BL148+BN148+BP148+BR148+BT148+BV148+BX148+BZ148+CB148+CD148+CF148+CH148+CJ148+CL148+CN148+CP148+CR148+CT148</f>
        <v>0</v>
      </c>
      <c r="CV148" s="76"/>
      <c r="CW148" s="76">
        <f>+CV148*1100</f>
        <v>0</v>
      </c>
      <c r="CX148" s="76"/>
      <c r="CY148" s="76">
        <f>+CX148*106250</f>
        <v>0</v>
      </c>
      <c r="CZ148" s="76"/>
      <c r="DA148" s="76">
        <f>+CZ148*34500</f>
        <v>0</v>
      </c>
      <c r="DB148" s="76"/>
      <c r="DC148" s="76">
        <f>+DB148*25000</f>
        <v>0</v>
      </c>
      <c r="DD148" s="219"/>
      <c r="DE148" s="219"/>
      <c r="DF148" s="164"/>
      <c r="DG148" s="116"/>
      <c r="DH148" s="117"/>
      <c r="DI148" s="24"/>
      <c r="DJ148" s="24"/>
      <c r="DK148" s="24"/>
      <c r="DL148" s="24"/>
      <c r="DM148" s="24"/>
      <c r="DN148" s="24"/>
      <c r="DO148" s="24"/>
      <c r="DP148" s="24"/>
      <c r="DQ148" s="24"/>
      <c r="DR148" s="24"/>
      <c r="DS148" s="24"/>
      <c r="DT148" s="24"/>
      <c r="DU148" s="24"/>
    </row>
    <row r="149" spans="1:125" s="8" customFormat="1" ht="96" x14ac:dyDescent="0.2">
      <c r="A149" s="77">
        <v>41285</v>
      </c>
      <c r="B149" s="78" t="s">
        <v>2772</v>
      </c>
      <c r="C149" s="75" t="s">
        <v>1143</v>
      </c>
      <c r="D149" s="81" t="s">
        <v>2846</v>
      </c>
      <c r="E149" s="75" t="str">
        <f>VLOOKUP(B149&amp;C149,Divipola!$C$2:$F$1138,4,FALSE)</f>
        <v>25596</v>
      </c>
      <c r="F149" s="87"/>
      <c r="G149" s="87"/>
      <c r="H149" s="87"/>
      <c r="I149" s="87"/>
      <c r="J149" s="87"/>
      <c r="K149" s="87"/>
      <c r="L149" s="87"/>
      <c r="M149" s="87"/>
      <c r="N149" s="87"/>
      <c r="O149" s="87"/>
      <c r="P149" s="87"/>
      <c r="Q149" s="87"/>
      <c r="R149" s="87"/>
      <c r="S149" s="87"/>
      <c r="T149" s="87"/>
      <c r="U149" s="127">
        <v>0.5</v>
      </c>
      <c r="V149" s="89"/>
      <c r="W149" s="96">
        <v>0</v>
      </c>
      <c r="X149" s="71">
        <f>CU149</f>
        <v>0</v>
      </c>
      <c r="Y149" s="71">
        <f>CY149</f>
        <v>0</v>
      </c>
      <c r="Z149" s="71">
        <f>DA149+DC149+DE149</f>
        <v>0</v>
      </c>
      <c r="AA149" s="71">
        <f>CW149</f>
        <v>0</v>
      </c>
      <c r="AB149" s="71"/>
      <c r="AC149" s="71">
        <v>0</v>
      </c>
      <c r="AD149" s="71">
        <f>W149+X149+Y149+Z149+AA149+AB149+AC149</f>
        <v>0</v>
      </c>
      <c r="AE149" s="72">
        <v>0</v>
      </c>
      <c r="AF149" s="5"/>
      <c r="AG149" s="6"/>
      <c r="AH149" s="27" t="s">
        <v>3392</v>
      </c>
      <c r="AI149" s="44" t="s">
        <v>3393</v>
      </c>
      <c r="AJ149" s="26"/>
      <c r="AK149" s="5"/>
      <c r="AL149" s="82" t="s">
        <v>3001</v>
      </c>
      <c r="AM149" s="76"/>
      <c r="AN149" s="76"/>
      <c r="AO149" s="76"/>
      <c r="AP149" s="76"/>
      <c r="AQ149" s="76"/>
      <c r="AR149" s="76"/>
      <c r="AS149" s="76"/>
      <c r="AT149" s="76"/>
      <c r="AU149" s="76"/>
      <c r="AV149" s="76"/>
      <c r="AW149" s="76"/>
      <c r="AX149" s="76">
        <f>+AW149*600000</f>
        <v>0</v>
      </c>
      <c r="AY149" s="76"/>
      <c r="AZ149" s="76">
        <f>+AY149*70000</f>
        <v>0</v>
      </c>
      <c r="BA149" s="76"/>
      <c r="BB149" s="76"/>
      <c r="BC149" s="76"/>
      <c r="BD149" s="76">
        <f>+BC149*30000</f>
        <v>0</v>
      </c>
      <c r="BE149" s="76"/>
      <c r="BF149" s="76"/>
      <c r="BG149" s="76"/>
      <c r="BH149" s="76"/>
      <c r="BI149" s="76"/>
      <c r="BJ149" s="76"/>
      <c r="BK149" s="76"/>
      <c r="BL149" s="76">
        <f>+BK149*31500</f>
        <v>0</v>
      </c>
      <c r="BM149" s="76"/>
      <c r="BN149" s="76"/>
      <c r="BO149" s="76"/>
      <c r="BP149" s="76"/>
      <c r="BQ149" s="76"/>
      <c r="BR149" s="76"/>
      <c r="BS149" s="76"/>
      <c r="BT149" s="76"/>
      <c r="BU149" s="76"/>
      <c r="BV149" s="76"/>
      <c r="BW149" s="76"/>
      <c r="BX149" s="76"/>
      <c r="BY149" s="76"/>
      <c r="BZ149" s="76"/>
      <c r="CA149" s="76"/>
      <c r="CB149" s="76"/>
      <c r="CC149" s="76"/>
      <c r="CD149" s="76"/>
      <c r="CE149" s="76"/>
      <c r="CF149" s="76">
        <f>+CE149*28000</f>
        <v>0</v>
      </c>
      <c r="CG149" s="76"/>
      <c r="CH149" s="76">
        <f>+CG149*22500</f>
        <v>0</v>
      </c>
      <c r="CI149" s="76"/>
      <c r="CJ149" s="76">
        <f>+CI149*26000</f>
        <v>0</v>
      </c>
      <c r="CK149" s="76"/>
      <c r="CL149" s="76"/>
      <c r="CM149" s="76"/>
      <c r="CN149" s="76">
        <f>+CM149*22000</f>
        <v>0</v>
      </c>
      <c r="CO149" s="76"/>
      <c r="CP149" s="76">
        <f>+CO149*46000</f>
        <v>0</v>
      </c>
      <c r="CQ149" s="76"/>
      <c r="CR149" s="76">
        <f>+CQ149*49000</f>
        <v>0</v>
      </c>
      <c r="CS149" s="76"/>
      <c r="CT149" s="76"/>
      <c r="CU149" s="56">
        <f>AN149+AP149+AR149+AT149+AV149+AX149+AZ149+BB149+BD149+BF149+BH149+BJ149+BL149+BN149+BP149+BR149+BT149+BV149+BX149+BZ149+CB149+CD149+CF149+CH149+CJ149+CL149+CN149+CP149+CR149+CT149</f>
        <v>0</v>
      </c>
      <c r="CV149" s="76"/>
      <c r="CW149" s="76">
        <f>+CV149*1100</f>
        <v>0</v>
      </c>
      <c r="CX149" s="76"/>
      <c r="CY149" s="76">
        <f>+CX149*106250</f>
        <v>0</v>
      </c>
      <c r="CZ149" s="76"/>
      <c r="DA149" s="76">
        <f>+CZ149*34500</f>
        <v>0</v>
      </c>
      <c r="DB149" s="76"/>
      <c r="DC149" s="76">
        <f>+DB149*25000</f>
        <v>0</v>
      </c>
      <c r="DD149" s="219"/>
      <c r="DE149" s="219"/>
      <c r="DF149" s="164"/>
      <c r="DG149" s="116"/>
      <c r="DH149" s="117"/>
      <c r="DI149" s="24"/>
      <c r="DJ149" s="24"/>
      <c r="DK149" s="24"/>
      <c r="DL149" s="24"/>
      <c r="DM149" s="24"/>
      <c r="DN149" s="24"/>
      <c r="DO149" s="24"/>
      <c r="DP149" s="24"/>
      <c r="DQ149" s="24"/>
      <c r="DR149" s="24"/>
      <c r="DS149" s="24"/>
      <c r="DT149" s="24"/>
      <c r="DU149" s="24"/>
    </row>
    <row r="150" spans="1:125" s="8" customFormat="1" ht="72" x14ac:dyDescent="0.2">
      <c r="A150" s="77">
        <v>41285</v>
      </c>
      <c r="B150" s="78" t="s">
        <v>2772</v>
      </c>
      <c r="C150" s="75" t="s">
        <v>2832</v>
      </c>
      <c r="D150" s="81" t="s">
        <v>2846</v>
      </c>
      <c r="E150" s="75" t="str">
        <f>VLOOKUP(B150&amp;C150,Divipola!$C$2:$F$1138,4,FALSE)</f>
        <v>25736</v>
      </c>
      <c r="F150" s="87"/>
      <c r="G150" s="87"/>
      <c r="H150" s="87"/>
      <c r="I150" s="87"/>
      <c r="J150" s="87"/>
      <c r="K150" s="87"/>
      <c r="L150" s="87"/>
      <c r="M150" s="87"/>
      <c r="N150" s="87"/>
      <c r="O150" s="87"/>
      <c r="P150" s="87"/>
      <c r="Q150" s="87"/>
      <c r="R150" s="87"/>
      <c r="S150" s="87"/>
      <c r="T150" s="87"/>
      <c r="U150" s="127">
        <v>2</v>
      </c>
      <c r="V150" s="89"/>
      <c r="W150" s="96">
        <v>0</v>
      </c>
      <c r="X150" s="71">
        <f>CU150</f>
        <v>0</v>
      </c>
      <c r="Y150" s="71">
        <f>CY150</f>
        <v>0</v>
      </c>
      <c r="Z150" s="71">
        <f>DA150+DC150+DE150</f>
        <v>0</v>
      </c>
      <c r="AA150" s="71">
        <f>CW150</f>
        <v>0</v>
      </c>
      <c r="AB150" s="71"/>
      <c r="AC150" s="71">
        <v>0</v>
      </c>
      <c r="AD150" s="71">
        <f>W150+X150+Y150+Z150+AA150+AB150+AC150</f>
        <v>0</v>
      </c>
      <c r="AE150" s="72">
        <v>0</v>
      </c>
      <c r="AF150" s="5"/>
      <c r="AG150" s="6"/>
      <c r="AH150" s="27" t="s">
        <v>3392</v>
      </c>
      <c r="AI150" s="44" t="s">
        <v>3393</v>
      </c>
      <c r="AJ150" s="26"/>
      <c r="AK150" s="5"/>
      <c r="AL150" s="82" t="s">
        <v>3061</v>
      </c>
      <c r="AM150" s="76"/>
      <c r="AN150" s="76"/>
      <c r="AO150" s="76"/>
      <c r="AP150" s="76"/>
      <c r="AQ150" s="76"/>
      <c r="AR150" s="76"/>
      <c r="AS150" s="76"/>
      <c r="AT150" s="76"/>
      <c r="AU150" s="76"/>
      <c r="AV150" s="76"/>
      <c r="AW150" s="76"/>
      <c r="AX150" s="76">
        <f>+AW150*600000</f>
        <v>0</v>
      </c>
      <c r="AY150" s="76"/>
      <c r="AZ150" s="76">
        <f>+AY150*70000</f>
        <v>0</v>
      </c>
      <c r="BA150" s="76"/>
      <c r="BB150" s="76"/>
      <c r="BC150" s="76"/>
      <c r="BD150" s="76">
        <f>+BC150*30000</f>
        <v>0</v>
      </c>
      <c r="BE150" s="76"/>
      <c r="BF150" s="76"/>
      <c r="BG150" s="76"/>
      <c r="BH150" s="76"/>
      <c r="BI150" s="76"/>
      <c r="BJ150" s="76"/>
      <c r="BK150" s="76"/>
      <c r="BL150" s="76">
        <f>+BK150*31500</f>
        <v>0</v>
      </c>
      <c r="BM150" s="76"/>
      <c r="BN150" s="76"/>
      <c r="BO150" s="76"/>
      <c r="BP150" s="76"/>
      <c r="BQ150" s="76"/>
      <c r="BR150" s="76"/>
      <c r="BS150" s="76"/>
      <c r="BT150" s="76"/>
      <c r="BU150" s="76"/>
      <c r="BV150" s="76"/>
      <c r="BW150" s="76"/>
      <c r="BX150" s="76"/>
      <c r="BY150" s="76"/>
      <c r="BZ150" s="76"/>
      <c r="CA150" s="76"/>
      <c r="CB150" s="76"/>
      <c r="CC150" s="76"/>
      <c r="CD150" s="76"/>
      <c r="CE150" s="76"/>
      <c r="CF150" s="76">
        <f>+CE150*28000</f>
        <v>0</v>
      </c>
      <c r="CG150" s="76"/>
      <c r="CH150" s="76">
        <f>+CG150*22500</f>
        <v>0</v>
      </c>
      <c r="CI150" s="76"/>
      <c r="CJ150" s="76">
        <f>+CI150*26000</f>
        <v>0</v>
      </c>
      <c r="CK150" s="76"/>
      <c r="CL150" s="76"/>
      <c r="CM150" s="76"/>
      <c r="CN150" s="76">
        <f>+CM150*22000</f>
        <v>0</v>
      </c>
      <c r="CO150" s="76"/>
      <c r="CP150" s="76">
        <f>+CO150*46000</f>
        <v>0</v>
      </c>
      <c r="CQ150" s="76"/>
      <c r="CR150" s="76">
        <f>+CQ150*49000</f>
        <v>0</v>
      </c>
      <c r="CS150" s="76"/>
      <c r="CT150" s="76"/>
      <c r="CU150" s="56">
        <f>AN150+AP150+AR150+AT150+AV150+AX150+AZ150+BB150+BD150+BF150+BH150+BJ150+BL150+BN150+BP150+BR150+BT150+BV150+BX150+BZ150+CB150+CD150+CF150+CH150+CJ150+CL150+CN150+CP150+CR150+CT150</f>
        <v>0</v>
      </c>
      <c r="CV150" s="76"/>
      <c r="CW150" s="76">
        <f>+CV150*1100</f>
        <v>0</v>
      </c>
      <c r="CX150" s="76"/>
      <c r="CY150" s="76">
        <f>+CX150*106250</f>
        <v>0</v>
      </c>
      <c r="CZ150" s="76"/>
      <c r="DA150" s="76">
        <f>+CZ150*34500</f>
        <v>0</v>
      </c>
      <c r="DB150" s="76"/>
      <c r="DC150" s="76">
        <f>+DB150*25000</f>
        <v>0</v>
      </c>
      <c r="DD150" s="219"/>
      <c r="DE150" s="219"/>
      <c r="DF150" s="164"/>
      <c r="DG150" s="116"/>
      <c r="DH150" s="117"/>
      <c r="DI150" s="24"/>
      <c r="DJ150" s="24"/>
      <c r="DK150" s="24"/>
      <c r="DL150" s="24"/>
      <c r="DM150" s="24"/>
      <c r="DN150" s="24"/>
      <c r="DO150" s="24"/>
      <c r="DP150" s="24"/>
      <c r="DQ150" s="24"/>
      <c r="DR150" s="24"/>
      <c r="DS150" s="24"/>
      <c r="DT150" s="24"/>
      <c r="DU150" s="24"/>
    </row>
    <row r="151" spans="1:125" s="8" customFormat="1" ht="84" x14ac:dyDescent="0.2">
      <c r="A151" s="77">
        <v>41285</v>
      </c>
      <c r="B151" s="78" t="s">
        <v>2772</v>
      </c>
      <c r="C151" s="75" t="s">
        <v>1176</v>
      </c>
      <c r="D151" s="81" t="s">
        <v>2846</v>
      </c>
      <c r="E151" s="75" t="str">
        <f>VLOOKUP(B151&amp;C151,Divipola!$C$2:$F$1138,4,FALSE)</f>
        <v>25797</v>
      </c>
      <c r="F151" s="87"/>
      <c r="G151" s="87"/>
      <c r="H151" s="87"/>
      <c r="I151" s="87"/>
      <c r="J151" s="87"/>
      <c r="K151" s="87"/>
      <c r="L151" s="87"/>
      <c r="M151" s="87"/>
      <c r="N151" s="87"/>
      <c r="O151" s="87"/>
      <c r="P151" s="87"/>
      <c r="Q151" s="87"/>
      <c r="R151" s="87"/>
      <c r="S151" s="87"/>
      <c r="T151" s="87"/>
      <c r="U151" s="127">
        <v>2</v>
      </c>
      <c r="V151" s="89"/>
      <c r="W151" s="96">
        <v>0</v>
      </c>
      <c r="X151" s="71">
        <f>CU151</f>
        <v>0</v>
      </c>
      <c r="Y151" s="71">
        <f>CY151</f>
        <v>0</v>
      </c>
      <c r="Z151" s="71">
        <f>DA151+DC151+DE151</f>
        <v>0</v>
      </c>
      <c r="AA151" s="71">
        <f>CW151</f>
        <v>0</v>
      </c>
      <c r="AB151" s="71"/>
      <c r="AC151" s="71">
        <v>0</v>
      </c>
      <c r="AD151" s="71">
        <f>W151+X151+Y151+Z151+AA151+AB151+AC151</f>
        <v>0</v>
      </c>
      <c r="AE151" s="72">
        <v>0</v>
      </c>
      <c r="AF151" s="5"/>
      <c r="AG151" s="6"/>
      <c r="AH151" s="27" t="s">
        <v>3392</v>
      </c>
      <c r="AI151" s="44" t="s">
        <v>3393</v>
      </c>
      <c r="AJ151" s="26"/>
      <c r="AK151" s="5"/>
      <c r="AL151" s="82" t="s">
        <v>2999</v>
      </c>
      <c r="AM151" s="76"/>
      <c r="AN151" s="76"/>
      <c r="AO151" s="76"/>
      <c r="AP151" s="76"/>
      <c r="AQ151" s="76"/>
      <c r="AR151" s="76"/>
      <c r="AS151" s="76"/>
      <c r="AT151" s="76"/>
      <c r="AU151" s="76"/>
      <c r="AV151" s="76"/>
      <c r="AW151" s="76"/>
      <c r="AX151" s="76">
        <f>+AW151*600000</f>
        <v>0</v>
      </c>
      <c r="AY151" s="76"/>
      <c r="AZ151" s="76">
        <f>+AY151*70000</f>
        <v>0</v>
      </c>
      <c r="BA151" s="76"/>
      <c r="BB151" s="76"/>
      <c r="BC151" s="76"/>
      <c r="BD151" s="76">
        <f>+BC151*30000</f>
        <v>0</v>
      </c>
      <c r="BE151" s="76"/>
      <c r="BF151" s="76"/>
      <c r="BG151" s="76"/>
      <c r="BH151" s="76"/>
      <c r="BI151" s="76"/>
      <c r="BJ151" s="76"/>
      <c r="BK151" s="76"/>
      <c r="BL151" s="76">
        <f>+BK151*31500</f>
        <v>0</v>
      </c>
      <c r="BM151" s="76"/>
      <c r="BN151" s="76"/>
      <c r="BO151" s="76"/>
      <c r="BP151" s="76"/>
      <c r="BQ151" s="76"/>
      <c r="BR151" s="76"/>
      <c r="BS151" s="76"/>
      <c r="BT151" s="76"/>
      <c r="BU151" s="76"/>
      <c r="BV151" s="76"/>
      <c r="BW151" s="76"/>
      <c r="BX151" s="76"/>
      <c r="BY151" s="76"/>
      <c r="BZ151" s="76"/>
      <c r="CA151" s="76"/>
      <c r="CB151" s="76"/>
      <c r="CC151" s="76"/>
      <c r="CD151" s="76"/>
      <c r="CE151" s="76"/>
      <c r="CF151" s="76">
        <f>+CE151*28000</f>
        <v>0</v>
      </c>
      <c r="CG151" s="76"/>
      <c r="CH151" s="76">
        <f>+CG151*22500</f>
        <v>0</v>
      </c>
      <c r="CI151" s="76"/>
      <c r="CJ151" s="76">
        <f>+CI151*26000</f>
        <v>0</v>
      </c>
      <c r="CK151" s="76"/>
      <c r="CL151" s="76"/>
      <c r="CM151" s="76"/>
      <c r="CN151" s="76">
        <f>+CM151*22000</f>
        <v>0</v>
      </c>
      <c r="CO151" s="76"/>
      <c r="CP151" s="76">
        <f>+CO151*46000</f>
        <v>0</v>
      </c>
      <c r="CQ151" s="76"/>
      <c r="CR151" s="76">
        <f>+CQ151*49000</f>
        <v>0</v>
      </c>
      <c r="CS151" s="76"/>
      <c r="CT151" s="76"/>
      <c r="CU151" s="56">
        <f>AN151+AP151+AR151+AT151+AV151+AX151+AZ151+BB151+BD151+BF151+BH151+BJ151+BL151+BN151+BP151+BR151+BT151+BV151+BX151+BZ151+CB151+CD151+CF151+CH151+CJ151+CL151+CN151+CP151+CR151+CT151</f>
        <v>0</v>
      </c>
      <c r="CV151" s="76"/>
      <c r="CW151" s="76">
        <f>+CV151*1100</f>
        <v>0</v>
      </c>
      <c r="CX151" s="76"/>
      <c r="CY151" s="76">
        <f>+CX151*106250</f>
        <v>0</v>
      </c>
      <c r="CZ151" s="76"/>
      <c r="DA151" s="76">
        <f>+CZ151*34500</f>
        <v>0</v>
      </c>
      <c r="DB151" s="76"/>
      <c r="DC151" s="76">
        <f>+DB151*25000</f>
        <v>0</v>
      </c>
      <c r="DD151" s="219"/>
      <c r="DE151" s="219"/>
      <c r="DF151" s="164"/>
      <c r="DG151" s="116"/>
      <c r="DH151" s="117"/>
      <c r="DI151" s="24"/>
      <c r="DJ151" s="24"/>
      <c r="DK151" s="24"/>
      <c r="DL151" s="24"/>
      <c r="DM151" s="24"/>
      <c r="DN151" s="24"/>
      <c r="DO151" s="24"/>
      <c r="DP151" s="24"/>
      <c r="DQ151" s="24"/>
      <c r="DR151" s="24"/>
      <c r="DS151" s="24"/>
      <c r="DT151" s="24"/>
      <c r="DU151" s="24"/>
    </row>
    <row r="152" spans="1:125" s="8" customFormat="1" ht="84" x14ac:dyDescent="0.2">
      <c r="A152" s="77">
        <v>41285</v>
      </c>
      <c r="B152" s="80" t="s">
        <v>2772</v>
      </c>
      <c r="C152" s="81" t="s">
        <v>1188</v>
      </c>
      <c r="D152" s="81" t="s">
        <v>2846</v>
      </c>
      <c r="E152" s="75" t="str">
        <f>VLOOKUP(B152&amp;C152,Divipola!$C$2:$F$1138,4,FALSE)</f>
        <v>25839</v>
      </c>
      <c r="F152" s="87"/>
      <c r="G152" s="87"/>
      <c r="H152" s="87"/>
      <c r="I152" s="87"/>
      <c r="J152" s="87"/>
      <c r="K152" s="87"/>
      <c r="L152" s="87"/>
      <c r="M152" s="87"/>
      <c r="N152" s="87"/>
      <c r="O152" s="87"/>
      <c r="P152" s="87"/>
      <c r="Q152" s="87"/>
      <c r="R152" s="87"/>
      <c r="S152" s="87"/>
      <c r="T152" s="87"/>
      <c r="U152" s="127">
        <v>0.5</v>
      </c>
      <c r="V152" s="89"/>
      <c r="W152" s="96">
        <v>0</v>
      </c>
      <c r="X152" s="71">
        <f>CU152</f>
        <v>0</v>
      </c>
      <c r="Y152" s="71">
        <f>CY152</f>
        <v>0</v>
      </c>
      <c r="Z152" s="71">
        <f>DA152+DC152+DE152</f>
        <v>0</v>
      </c>
      <c r="AA152" s="71">
        <f>CW152</f>
        <v>0</v>
      </c>
      <c r="AB152" s="71"/>
      <c r="AC152" s="71">
        <v>0</v>
      </c>
      <c r="AD152" s="71">
        <f>W152+X152+Y152+Z152+AA152+AB152+AC152</f>
        <v>0</v>
      </c>
      <c r="AE152" s="72">
        <v>0</v>
      </c>
      <c r="AF152" s="5"/>
      <c r="AG152" s="6"/>
      <c r="AH152" s="27" t="s">
        <v>3392</v>
      </c>
      <c r="AI152" s="44" t="s">
        <v>3393</v>
      </c>
      <c r="AJ152" s="26"/>
      <c r="AK152" s="5"/>
      <c r="AL152" s="82" t="s">
        <v>2992</v>
      </c>
      <c r="AM152" s="76"/>
      <c r="AN152" s="76"/>
      <c r="AO152" s="76"/>
      <c r="AP152" s="76"/>
      <c r="AQ152" s="76"/>
      <c r="AR152" s="76"/>
      <c r="AS152" s="76"/>
      <c r="AT152" s="76"/>
      <c r="AU152" s="76"/>
      <c r="AV152" s="76"/>
      <c r="AW152" s="76"/>
      <c r="AX152" s="76">
        <f>+AW152*600000</f>
        <v>0</v>
      </c>
      <c r="AY152" s="76"/>
      <c r="AZ152" s="76">
        <f>+AY152*70000</f>
        <v>0</v>
      </c>
      <c r="BA152" s="76"/>
      <c r="BB152" s="76"/>
      <c r="BC152" s="76"/>
      <c r="BD152" s="76">
        <f>+BC152*30000</f>
        <v>0</v>
      </c>
      <c r="BE152" s="76"/>
      <c r="BF152" s="76"/>
      <c r="BG152" s="76"/>
      <c r="BH152" s="76"/>
      <c r="BI152" s="76"/>
      <c r="BJ152" s="76"/>
      <c r="BK152" s="76"/>
      <c r="BL152" s="76">
        <f>+BK152*31500</f>
        <v>0</v>
      </c>
      <c r="BM152" s="76"/>
      <c r="BN152" s="76"/>
      <c r="BO152" s="76"/>
      <c r="BP152" s="76"/>
      <c r="BQ152" s="76"/>
      <c r="BR152" s="76"/>
      <c r="BS152" s="76"/>
      <c r="BT152" s="76"/>
      <c r="BU152" s="76"/>
      <c r="BV152" s="76"/>
      <c r="BW152" s="76"/>
      <c r="BX152" s="76"/>
      <c r="BY152" s="76"/>
      <c r="BZ152" s="76"/>
      <c r="CA152" s="76"/>
      <c r="CB152" s="76"/>
      <c r="CC152" s="76"/>
      <c r="CD152" s="76"/>
      <c r="CE152" s="76"/>
      <c r="CF152" s="76">
        <f>+CE152*28000</f>
        <v>0</v>
      </c>
      <c r="CG152" s="76"/>
      <c r="CH152" s="76">
        <f>+CG152*22500</f>
        <v>0</v>
      </c>
      <c r="CI152" s="76"/>
      <c r="CJ152" s="76">
        <f>+CI152*26000</f>
        <v>0</v>
      </c>
      <c r="CK152" s="76"/>
      <c r="CL152" s="76"/>
      <c r="CM152" s="76"/>
      <c r="CN152" s="76">
        <f>+CM152*22000</f>
        <v>0</v>
      </c>
      <c r="CO152" s="76"/>
      <c r="CP152" s="76">
        <f>+CO152*46000</f>
        <v>0</v>
      </c>
      <c r="CQ152" s="76"/>
      <c r="CR152" s="76">
        <f>+CQ152*49000</f>
        <v>0</v>
      </c>
      <c r="CS152" s="76"/>
      <c r="CT152" s="76"/>
      <c r="CU152" s="56">
        <f>AN152+AP152+AR152+AT152+AV152+AX152+AZ152+BB152+BD152+BF152+BH152+BJ152+BL152+BN152+BP152+BR152+BT152+BV152+BX152+BZ152+CB152+CD152+CF152+CH152+CJ152+CL152+CN152+CP152+CR152+CT152</f>
        <v>0</v>
      </c>
      <c r="CV152" s="76"/>
      <c r="CW152" s="76">
        <f>+CV152*1100</f>
        <v>0</v>
      </c>
      <c r="CX152" s="76"/>
      <c r="CY152" s="76">
        <f>+CX152*106250</f>
        <v>0</v>
      </c>
      <c r="CZ152" s="76"/>
      <c r="DA152" s="76">
        <f>+CZ152*34500</f>
        <v>0</v>
      </c>
      <c r="DB152" s="76"/>
      <c r="DC152" s="76">
        <f>+DB152*25000</f>
        <v>0</v>
      </c>
      <c r="DD152" s="219"/>
      <c r="DE152" s="219"/>
      <c r="DF152" s="164"/>
      <c r="DG152" s="116"/>
      <c r="DH152" s="117"/>
      <c r="DI152" s="24"/>
      <c r="DJ152" s="24"/>
      <c r="DK152" s="24"/>
      <c r="DL152" s="24"/>
      <c r="DM152" s="24"/>
      <c r="DN152" s="24"/>
      <c r="DO152" s="24"/>
      <c r="DP152" s="24"/>
      <c r="DQ152" s="24"/>
      <c r="DR152" s="24"/>
      <c r="DS152" s="24"/>
      <c r="DT152" s="24"/>
      <c r="DU152" s="24"/>
    </row>
    <row r="153" spans="1:125" s="8" customFormat="1" ht="60" x14ac:dyDescent="0.2">
      <c r="A153" s="77">
        <v>41285</v>
      </c>
      <c r="B153" s="78" t="s">
        <v>2772</v>
      </c>
      <c r="C153" s="75" t="s">
        <v>2155</v>
      </c>
      <c r="D153" s="81" t="s">
        <v>2846</v>
      </c>
      <c r="E153" s="75" t="str">
        <f>VLOOKUP(B153&amp;C153,Divipola!$C$2:$F$1138,4,FALSE)</f>
        <v>25875</v>
      </c>
      <c r="F153" s="87"/>
      <c r="G153" s="87"/>
      <c r="H153" s="87"/>
      <c r="I153" s="87"/>
      <c r="J153" s="87"/>
      <c r="K153" s="87"/>
      <c r="L153" s="87"/>
      <c r="M153" s="87"/>
      <c r="N153" s="87"/>
      <c r="O153" s="87"/>
      <c r="P153" s="87"/>
      <c r="Q153" s="87"/>
      <c r="R153" s="87"/>
      <c r="S153" s="87"/>
      <c r="T153" s="87"/>
      <c r="U153" s="127">
        <v>2</v>
      </c>
      <c r="V153" s="89"/>
      <c r="W153" s="96">
        <v>0</v>
      </c>
      <c r="X153" s="71">
        <f>CU153</f>
        <v>0</v>
      </c>
      <c r="Y153" s="71">
        <f>CY153</f>
        <v>0</v>
      </c>
      <c r="Z153" s="71">
        <f>DA153+DC153+DE153</f>
        <v>0</v>
      </c>
      <c r="AA153" s="71">
        <f>CW153</f>
        <v>0</v>
      </c>
      <c r="AB153" s="71"/>
      <c r="AC153" s="71">
        <v>0</v>
      </c>
      <c r="AD153" s="71">
        <f>W153+X153+Y153+Z153+AA153+AB153+AC153</f>
        <v>0</v>
      </c>
      <c r="AE153" s="72">
        <v>0</v>
      </c>
      <c r="AF153" s="5"/>
      <c r="AG153" s="6"/>
      <c r="AH153" s="27" t="s">
        <v>3392</v>
      </c>
      <c r="AI153" s="44" t="s">
        <v>3393</v>
      </c>
      <c r="AJ153" s="26"/>
      <c r="AK153" s="5"/>
      <c r="AL153" s="82" t="s">
        <v>2998</v>
      </c>
      <c r="AM153" s="76"/>
      <c r="AN153" s="76"/>
      <c r="AO153" s="76"/>
      <c r="AP153" s="76"/>
      <c r="AQ153" s="76"/>
      <c r="AR153" s="76"/>
      <c r="AS153" s="76"/>
      <c r="AT153" s="76"/>
      <c r="AU153" s="76"/>
      <c r="AV153" s="76"/>
      <c r="AW153" s="76"/>
      <c r="AX153" s="76">
        <f>+AW153*600000</f>
        <v>0</v>
      </c>
      <c r="AY153" s="76"/>
      <c r="AZ153" s="76">
        <f>+AY153*70000</f>
        <v>0</v>
      </c>
      <c r="BA153" s="76"/>
      <c r="BB153" s="76"/>
      <c r="BC153" s="76"/>
      <c r="BD153" s="76">
        <f>+BC153*30000</f>
        <v>0</v>
      </c>
      <c r="BE153" s="76"/>
      <c r="BF153" s="76"/>
      <c r="BG153" s="76"/>
      <c r="BH153" s="76"/>
      <c r="BI153" s="76"/>
      <c r="BJ153" s="76"/>
      <c r="BK153" s="76"/>
      <c r="BL153" s="76">
        <f>+BK153*31500</f>
        <v>0</v>
      </c>
      <c r="BM153" s="76"/>
      <c r="BN153" s="76"/>
      <c r="BO153" s="76"/>
      <c r="BP153" s="76"/>
      <c r="BQ153" s="76"/>
      <c r="BR153" s="76"/>
      <c r="BS153" s="76"/>
      <c r="BT153" s="76"/>
      <c r="BU153" s="76"/>
      <c r="BV153" s="76"/>
      <c r="BW153" s="76"/>
      <c r="BX153" s="76"/>
      <c r="BY153" s="76"/>
      <c r="BZ153" s="76"/>
      <c r="CA153" s="76"/>
      <c r="CB153" s="76"/>
      <c r="CC153" s="76"/>
      <c r="CD153" s="76"/>
      <c r="CE153" s="76"/>
      <c r="CF153" s="76">
        <f>+CE153*28000</f>
        <v>0</v>
      </c>
      <c r="CG153" s="76"/>
      <c r="CH153" s="76">
        <f>+CG153*22500</f>
        <v>0</v>
      </c>
      <c r="CI153" s="76"/>
      <c r="CJ153" s="76">
        <f>+CI153*26000</f>
        <v>0</v>
      </c>
      <c r="CK153" s="76"/>
      <c r="CL153" s="76"/>
      <c r="CM153" s="76"/>
      <c r="CN153" s="76">
        <f>+CM153*22000</f>
        <v>0</v>
      </c>
      <c r="CO153" s="76"/>
      <c r="CP153" s="76">
        <f>+CO153*46000</f>
        <v>0</v>
      </c>
      <c r="CQ153" s="76"/>
      <c r="CR153" s="76">
        <f>+CQ153*49000</f>
        <v>0</v>
      </c>
      <c r="CS153" s="76"/>
      <c r="CT153" s="76"/>
      <c r="CU153" s="56">
        <f>AN153+AP153+AR153+AT153+AV153+AX153+AZ153+BB153+BD153+BF153+BH153+BJ153+BL153+BN153+BP153+BR153+BT153+BV153+BX153+BZ153+CB153+CD153+CF153+CH153+CJ153+CL153+CN153+CP153+CR153+CT153</f>
        <v>0</v>
      </c>
      <c r="CV153" s="76"/>
      <c r="CW153" s="76">
        <f>+CV153*1100</f>
        <v>0</v>
      </c>
      <c r="CX153" s="76"/>
      <c r="CY153" s="76">
        <f>+CX153*106250</f>
        <v>0</v>
      </c>
      <c r="CZ153" s="76"/>
      <c r="DA153" s="76">
        <f>+CZ153*34500</f>
        <v>0</v>
      </c>
      <c r="DB153" s="76"/>
      <c r="DC153" s="76">
        <f>+DB153*25000</f>
        <v>0</v>
      </c>
      <c r="DD153" s="219"/>
      <c r="DE153" s="219"/>
      <c r="DF153" s="164"/>
      <c r="DG153" s="116"/>
      <c r="DH153" s="117"/>
      <c r="DI153" s="24"/>
      <c r="DJ153" s="24"/>
      <c r="DK153" s="24"/>
      <c r="DL153" s="24"/>
      <c r="DM153" s="24"/>
      <c r="DN153" s="24"/>
      <c r="DO153" s="24"/>
      <c r="DP153" s="24"/>
      <c r="DQ153" s="24"/>
      <c r="DR153" s="24"/>
      <c r="DS153" s="24"/>
      <c r="DT153" s="24"/>
      <c r="DU153" s="24"/>
    </row>
    <row r="154" spans="1:125" s="8" customFormat="1" ht="36" x14ac:dyDescent="0.2">
      <c r="A154" s="77">
        <v>41285</v>
      </c>
      <c r="B154" s="80" t="s">
        <v>2661</v>
      </c>
      <c r="C154" s="81" t="s">
        <v>5</v>
      </c>
      <c r="D154" s="81" t="s">
        <v>2846</v>
      </c>
      <c r="E154" s="75" t="str">
        <f>VLOOKUP(B154&amp;C154,Divipola!$C$2:$F$1138,4,FALSE)</f>
        <v>41503</v>
      </c>
      <c r="F154" s="87"/>
      <c r="G154" s="87"/>
      <c r="H154" s="87"/>
      <c r="I154" s="87"/>
      <c r="J154" s="87"/>
      <c r="K154" s="87"/>
      <c r="L154" s="87"/>
      <c r="M154" s="87"/>
      <c r="N154" s="87"/>
      <c r="O154" s="87"/>
      <c r="P154" s="87"/>
      <c r="Q154" s="87"/>
      <c r="R154" s="87"/>
      <c r="S154" s="87"/>
      <c r="T154" s="87"/>
      <c r="U154" s="127">
        <v>1.5</v>
      </c>
      <c r="V154" s="89"/>
      <c r="W154" s="96">
        <v>0</v>
      </c>
      <c r="X154" s="71">
        <f>CU154</f>
        <v>0</v>
      </c>
      <c r="Y154" s="71">
        <f>CY154</f>
        <v>0</v>
      </c>
      <c r="Z154" s="71">
        <f>DA154+DC154+DE154</f>
        <v>0</v>
      </c>
      <c r="AA154" s="71">
        <f>CW154</f>
        <v>0</v>
      </c>
      <c r="AB154" s="71"/>
      <c r="AC154" s="71">
        <v>0</v>
      </c>
      <c r="AD154" s="71">
        <f>W154+X154+Y154+Z154+AA154+AB154+AC154</f>
        <v>0</v>
      </c>
      <c r="AE154" s="72">
        <v>0</v>
      </c>
      <c r="AF154" s="5"/>
      <c r="AG154" s="6"/>
      <c r="AH154" s="27" t="s">
        <v>3392</v>
      </c>
      <c r="AI154" s="44" t="s">
        <v>3393</v>
      </c>
      <c r="AJ154" s="26"/>
      <c r="AK154" s="5"/>
      <c r="AL154" s="82" t="s">
        <v>2988</v>
      </c>
      <c r="AM154" s="76"/>
      <c r="AN154" s="76"/>
      <c r="AO154" s="76"/>
      <c r="AP154" s="76"/>
      <c r="AQ154" s="76"/>
      <c r="AR154" s="76"/>
      <c r="AS154" s="76"/>
      <c r="AT154" s="76"/>
      <c r="AU154" s="76"/>
      <c r="AV154" s="76"/>
      <c r="AW154" s="76"/>
      <c r="AX154" s="76">
        <f>+AW154*600000</f>
        <v>0</v>
      </c>
      <c r="AY154" s="76"/>
      <c r="AZ154" s="76">
        <f>+AY154*70000</f>
        <v>0</v>
      </c>
      <c r="BA154" s="76"/>
      <c r="BB154" s="76"/>
      <c r="BC154" s="76"/>
      <c r="BD154" s="76">
        <f>+BC154*30000</f>
        <v>0</v>
      </c>
      <c r="BE154" s="76"/>
      <c r="BF154" s="76"/>
      <c r="BG154" s="76"/>
      <c r="BH154" s="76"/>
      <c r="BI154" s="76"/>
      <c r="BJ154" s="76"/>
      <c r="BK154" s="76"/>
      <c r="BL154" s="76">
        <f>+BK154*31500</f>
        <v>0</v>
      </c>
      <c r="BM154" s="76"/>
      <c r="BN154" s="76"/>
      <c r="BO154" s="76"/>
      <c r="BP154" s="76"/>
      <c r="BQ154" s="76"/>
      <c r="BR154" s="76"/>
      <c r="BS154" s="76"/>
      <c r="BT154" s="76"/>
      <c r="BU154" s="76"/>
      <c r="BV154" s="76"/>
      <c r="BW154" s="76"/>
      <c r="BX154" s="76"/>
      <c r="BY154" s="76"/>
      <c r="BZ154" s="76"/>
      <c r="CA154" s="76"/>
      <c r="CB154" s="76"/>
      <c r="CC154" s="76"/>
      <c r="CD154" s="76"/>
      <c r="CE154" s="76"/>
      <c r="CF154" s="76">
        <f>+CE154*28000</f>
        <v>0</v>
      </c>
      <c r="CG154" s="76"/>
      <c r="CH154" s="76">
        <f>+CG154*22500</f>
        <v>0</v>
      </c>
      <c r="CI154" s="76"/>
      <c r="CJ154" s="76">
        <f>+CI154*26000</f>
        <v>0</v>
      </c>
      <c r="CK154" s="76"/>
      <c r="CL154" s="76"/>
      <c r="CM154" s="76"/>
      <c r="CN154" s="76">
        <f>+CM154*22000</f>
        <v>0</v>
      </c>
      <c r="CO154" s="76"/>
      <c r="CP154" s="76">
        <f>+CO154*46000</f>
        <v>0</v>
      </c>
      <c r="CQ154" s="76"/>
      <c r="CR154" s="76">
        <f>+CQ154*49000</f>
        <v>0</v>
      </c>
      <c r="CS154" s="76"/>
      <c r="CT154" s="76"/>
      <c r="CU154" s="56">
        <f>AN154+AP154+AR154+AT154+AV154+AX154+AZ154+BB154+BD154+BF154+BH154+BJ154+BL154+BN154+BP154+BR154+BT154+BV154+BX154+BZ154+CB154+CD154+CF154+CH154+CJ154+CL154+CN154+CP154+CR154+CT154</f>
        <v>0</v>
      </c>
      <c r="CV154" s="76"/>
      <c r="CW154" s="76">
        <f>+CV154*1100</f>
        <v>0</v>
      </c>
      <c r="CX154" s="76"/>
      <c r="CY154" s="76">
        <f>+CX154*106250</f>
        <v>0</v>
      </c>
      <c r="CZ154" s="76"/>
      <c r="DA154" s="76">
        <f>+CZ154*34500</f>
        <v>0</v>
      </c>
      <c r="DB154" s="76"/>
      <c r="DC154" s="76">
        <f>+DB154*25000</f>
        <v>0</v>
      </c>
      <c r="DD154" s="219"/>
      <c r="DE154" s="219"/>
      <c r="DF154" s="164"/>
      <c r="DG154" s="116"/>
      <c r="DH154" s="117"/>
      <c r="DI154" s="24"/>
      <c r="DJ154" s="24"/>
      <c r="DK154" s="24"/>
      <c r="DL154" s="24"/>
      <c r="DM154" s="24"/>
      <c r="DN154" s="24"/>
      <c r="DO154" s="24"/>
      <c r="DP154" s="24"/>
      <c r="DQ154" s="24"/>
      <c r="DR154" s="24"/>
      <c r="DS154" s="24"/>
      <c r="DT154" s="24"/>
      <c r="DU154" s="24"/>
    </row>
    <row r="155" spans="1:125" s="8" customFormat="1" ht="36" x14ac:dyDescent="0.2">
      <c r="A155" s="77">
        <v>41285</v>
      </c>
      <c r="B155" s="78" t="s">
        <v>2661</v>
      </c>
      <c r="C155" s="75" t="s">
        <v>2</v>
      </c>
      <c r="D155" s="81" t="s">
        <v>2846</v>
      </c>
      <c r="E155" s="75" t="str">
        <f>VLOOKUP(B155&amp;C155,Divipola!$C$2:$F$1138,4,FALSE)</f>
        <v>41524</v>
      </c>
      <c r="F155" s="87"/>
      <c r="G155" s="87"/>
      <c r="H155" s="87"/>
      <c r="I155" s="87"/>
      <c r="J155" s="87"/>
      <c r="K155" s="87"/>
      <c r="L155" s="87"/>
      <c r="M155" s="87"/>
      <c r="N155" s="87"/>
      <c r="O155" s="87"/>
      <c r="P155" s="87"/>
      <c r="Q155" s="87"/>
      <c r="R155" s="87"/>
      <c r="S155" s="87"/>
      <c r="T155" s="87"/>
      <c r="U155" s="127"/>
      <c r="V155" s="89"/>
      <c r="W155" s="96">
        <v>0</v>
      </c>
      <c r="X155" s="71">
        <f>CU155</f>
        <v>0</v>
      </c>
      <c r="Y155" s="71">
        <f>CY155</f>
        <v>0</v>
      </c>
      <c r="Z155" s="71">
        <f>DA155+DC155+DE155</f>
        <v>0</v>
      </c>
      <c r="AA155" s="71">
        <f>CW155</f>
        <v>0</v>
      </c>
      <c r="AB155" s="71"/>
      <c r="AC155" s="71">
        <v>0</v>
      </c>
      <c r="AD155" s="71">
        <f>W155+X155+Y155+Z155+AA155+AB155+AC155</f>
        <v>0</v>
      </c>
      <c r="AE155" s="72">
        <v>0</v>
      </c>
      <c r="AF155" s="5"/>
      <c r="AG155" s="6"/>
      <c r="AH155" s="27" t="s">
        <v>3392</v>
      </c>
      <c r="AI155" s="44" t="s">
        <v>3393</v>
      </c>
      <c r="AJ155" s="26"/>
      <c r="AK155" s="5"/>
      <c r="AL155" s="82" t="s">
        <v>2994</v>
      </c>
      <c r="AM155" s="76"/>
      <c r="AN155" s="76"/>
      <c r="AO155" s="76"/>
      <c r="AP155" s="76"/>
      <c r="AQ155" s="76"/>
      <c r="AR155" s="76"/>
      <c r="AS155" s="76"/>
      <c r="AT155" s="76"/>
      <c r="AU155" s="76"/>
      <c r="AV155" s="76"/>
      <c r="AW155" s="76"/>
      <c r="AX155" s="76">
        <f>+AW155*600000</f>
        <v>0</v>
      </c>
      <c r="AY155" s="76"/>
      <c r="AZ155" s="76">
        <f>+AY155*70000</f>
        <v>0</v>
      </c>
      <c r="BA155" s="76"/>
      <c r="BB155" s="76"/>
      <c r="BC155" s="76"/>
      <c r="BD155" s="76">
        <f>+BC155*30000</f>
        <v>0</v>
      </c>
      <c r="BE155" s="76"/>
      <c r="BF155" s="76"/>
      <c r="BG155" s="76"/>
      <c r="BH155" s="76"/>
      <c r="BI155" s="76"/>
      <c r="BJ155" s="76"/>
      <c r="BK155" s="76"/>
      <c r="BL155" s="76">
        <f>+BK155*31500</f>
        <v>0</v>
      </c>
      <c r="BM155" s="76"/>
      <c r="BN155" s="76"/>
      <c r="BO155" s="76"/>
      <c r="BP155" s="76"/>
      <c r="BQ155" s="76"/>
      <c r="BR155" s="76"/>
      <c r="BS155" s="76"/>
      <c r="BT155" s="76"/>
      <c r="BU155" s="76"/>
      <c r="BV155" s="76"/>
      <c r="BW155" s="76"/>
      <c r="BX155" s="76"/>
      <c r="BY155" s="76"/>
      <c r="BZ155" s="76"/>
      <c r="CA155" s="76"/>
      <c r="CB155" s="76"/>
      <c r="CC155" s="76"/>
      <c r="CD155" s="76"/>
      <c r="CE155" s="76"/>
      <c r="CF155" s="76">
        <f>+CE155*28000</f>
        <v>0</v>
      </c>
      <c r="CG155" s="76"/>
      <c r="CH155" s="76">
        <f>+CG155*22500</f>
        <v>0</v>
      </c>
      <c r="CI155" s="76"/>
      <c r="CJ155" s="76">
        <f>+CI155*26000</f>
        <v>0</v>
      </c>
      <c r="CK155" s="76"/>
      <c r="CL155" s="76"/>
      <c r="CM155" s="76"/>
      <c r="CN155" s="76">
        <f>+CM155*22000</f>
        <v>0</v>
      </c>
      <c r="CO155" s="76"/>
      <c r="CP155" s="76">
        <f>+CO155*46000</f>
        <v>0</v>
      </c>
      <c r="CQ155" s="76"/>
      <c r="CR155" s="76">
        <f>+CQ155*49000</f>
        <v>0</v>
      </c>
      <c r="CS155" s="76"/>
      <c r="CT155" s="76"/>
      <c r="CU155" s="56">
        <f>AN155+AP155+AR155+AT155+AV155+AX155+AZ155+BB155+BD155+BF155+BH155+BJ155+BL155+BN155+BP155+BR155+BT155+BV155+BX155+BZ155+CB155+CD155+CF155+CH155+CJ155+CL155+CN155+CP155+CR155+CT155</f>
        <v>0</v>
      </c>
      <c r="CV155" s="76"/>
      <c r="CW155" s="76">
        <f>+CV155*1100</f>
        <v>0</v>
      </c>
      <c r="CX155" s="76"/>
      <c r="CY155" s="76">
        <f>+CX155*106250</f>
        <v>0</v>
      </c>
      <c r="CZ155" s="76"/>
      <c r="DA155" s="76">
        <f>+CZ155*34500</f>
        <v>0</v>
      </c>
      <c r="DB155" s="76"/>
      <c r="DC155" s="76">
        <f>+DB155*25000</f>
        <v>0</v>
      </c>
      <c r="DD155" s="219"/>
      <c r="DE155" s="219"/>
      <c r="DF155" s="164"/>
      <c r="DG155" s="116"/>
      <c r="DH155" s="117"/>
      <c r="DI155" s="24"/>
      <c r="DJ155" s="24"/>
      <c r="DK155" s="24"/>
      <c r="DL155" s="24"/>
      <c r="DM155" s="24"/>
      <c r="DN155" s="24"/>
      <c r="DO155" s="24"/>
      <c r="DP155" s="24"/>
      <c r="DQ155" s="24"/>
      <c r="DR155" s="24"/>
      <c r="DS155" s="24"/>
      <c r="DT155" s="24"/>
      <c r="DU155" s="24"/>
    </row>
    <row r="156" spans="1:125" s="8" customFormat="1" ht="36" x14ac:dyDescent="0.2">
      <c r="A156" s="77">
        <v>41285</v>
      </c>
      <c r="B156" s="78" t="s">
        <v>2661</v>
      </c>
      <c r="C156" s="75" t="s">
        <v>474</v>
      </c>
      <c r="D156" s="81" t="s">
        <v>2846</v>
      </c>
      <c r="E156" s="75" t="str">
        <f>VLOOKUP(B156&amp;C156,Divipola!$C$2:$F$1138,4,FALSE)</f>
        <v>41660</v>
      </c>
      <c r="F156" s="87"/>
      <c r="G156" s="87"/>
      <c r="H156" s="87"/>
      <c r="I156" s="87"/>
      <c r="J156" s="87"/>
      <c r="K156" s="87"/>
      <c r="L156" s="87"/>
      <c r="M156" s="87"/>
      <c r="N156" s="87"/>
      <c r="O156" s="87"/>
      <c r="P156" s="87"/>
      <c r="Q156" s="87"/>
      <c r="R156" s="87"/>
      <c r="S156" s="87"/>
      <c r="T156" s="87"/>
      <c r="U156" s="127">
        <v>2</v>
      </c>
      <c r="V156" s="89"/>
      <c r="W156" s="96">
        <v>0</v>
      </c>
      <c r="X156" s="71">
        <f>CU156</f>
        <v>0</v>
      </c>
      <c r="Y156" s="71">
        <f>CY156</f>
        <v>0</v>
      </c>
      <c r="Z156" s="71">
        <f>DA156+DC156+DE156</f>
        <v>0</v>
      </c>
      <c r="AA156" s="71">
        <f>CW156</f>
        <v>0</v>
      </c>
      <c r="AB156" s="71"/>
      <c r="AC156" s="71">
        <v>0</v>
      </c>
      <c r="AD156" s="71">
        <f>W156+X156+Y156+Z156+AA156+AB156+AC156</f>
        <v>0</v>
      </c>
      <c r="AE156" s="72">
        <v>0</v>
      </c>
      <c r="AF156" s="5"/>
      <c r="AG156" s="6"/>
      <c r="AH156" s="27" t="s">
        <v>3392</v>
      </c>
      <c r="AI156" s="44" t="s">
        <v>3393</v>
      </c>
      <c r="AJ156" s="26"/>
      <c r="AK156" s="5"/>
      <c r="AL156" s="82" t="s">
        <v>2993</v>
      </c>
      <c r="AM156" s="76"/>
      <c r="AN156" s="76"/>
      <c r="AO156" s="76"/>
      <c r="AP156" s="76"/>
      <c r="AQ156" s="76"/>
      <c r="AR156" s="76"/>
      <c r="AS156" s="76"/>
      <c r="AT156" s="76"/>
      <c r="AU156" s="76"/>
      <c r="AV156" s="76"/>
      <c r="AW156" s="76"/>
      <c r="AX156" s="76">
        <f>+AW156*600000</f>
        <v>0</v>
      </c>
      <c r="AY156" s="76"/>
      <c r="AZ156" s="76">
        <f>+AY156*70000</f>
        <v>0</v>
      </c>
      <c r="BA156" s="76"/>
      <c r="BB156" s="76"/>
      <c r="BC156" s="76"/>
      <c r="BD156" s="76">
        <f>+BC156*30000</f>
        <v>0</v>
      </c>
      <c r="BE156" s="76"/>
      <c r="BF156" s="76"/>
      <c r="BG156" s="76"/>
      <c r="BH156" s="76"/>
      <c r="BI156" s="76"/>
      <c r="BJ156" s="76"/>
      <c r="BK156" s="76"/>
      <c r="BL156" s="76">
        <f>+BK156*31500</f>
        <v>0</v>
      </c>
      <c r="BM156" s="76"/>
      <c r="BN156" s="76"/>
      <c r="BO156" s="76"/>
      <c r="BP156" s="76"/>
      <c r="BQ156" s="76"/>
      <c r="BR156" s="76"/>
      <c r="BS156" s="76"/>
      <c r="BT156" s="76"/>
      <c r="BU156" s="76"/>
      <c r="BV156" s="76"/>
      <c r="BW156" s="76"/>
      <c r="BX156" s="76"/>
      <c r="BY156" s="76"/>
      <c r="BZ156" s="76"/>
      <c r="CA156" s="76"/>
      <c r="CB156" s="76"/>
      <c r="CC156" s="76"/>
      <c r="CD156" s="76"/>
      <c r="CE156" s="76"/>
      <c r="CF156" s="76">
        <f>+CE156*28000</f>
        <v>0</v>
      </c>
      <c r="CG156" s="76"/>
      <c r="CH156" s="76">
        <f>+CG156*22500</f>
        <v>0</v>
      </c>
      <c r="CI156" s="76"/>
      <c r="CJ156" s="76">
        <f>+CI156*26000</f>
        <v>0</v>
      </c>
      <c r="CK156" s="76"/>
      <c r="CL156" s="76"/>
      <c r="CM156" s="76"/>
      <c r="CN156" s="76">
        <f>+CM156*22000</f>
        <v>0</v>
      </c>
      <c r="CO156" s="76"/>
      <c r="CP156" s="76">
        <f>+CO156*46000</f>
        <v>0</v>
      </c>
      <c r="CQ156" s="76"/>
      <c r="CR156" s="76">
        <f>+CQ156*49000</f>
        <v>0</v>
      </c>
      <c r="CS156" s="76"/>
      <c r="CT156" s="76"/>
      <c r="CU156" s="56">
        <f>AN156+AP156+AR156+AT156+AV156+AX156+AZ156+BB156+BD156+BF156+BH156+BJ156+BL156+BN156+BP156+BR156+BT156+BV156+BX156+BZ156+CB156+CD156+CF156+CH156+CJ156+CL156+CN156+CP156+CR156+CT156</f>
        <v>0</v>
      </c>
      <c r="CV156" s="76"/>
      <c r="CW156" s="76">
        <f>+CV156*1100</f>
        <v>0</v>
      </c>
      <c r="CX156" s="76"/>
      <c r="CY156" s="76">
        <f>+CX156*106250</f>
        <v>0</v>
      </c>
      <c r="CZ156" s="76"/>
      <c r="DA156" s="76">
        <f>+CZ156*34500</f>
        <v>0</v>
      </c>
      <c r="DB156" s="76"/>
      <c r="DC156" s="76">
        <f>+DB156*25000</f>
        <v>0</v>
      </c>
      <c r="DD156" s="219"/>
      <c r="DE156" s="219"/>
      <c r="DF156" s="164"/>
      <c r="DG156" s="116"/>
      <c r="DH156" s="117"/>
      <c r="DI156" s="24"/>
      <c r="DJ156" s="24"/>
      <c r="DK156" s="24"/>
      <c r="DL156" s="24"/>
      <c r="DM156" s="24"/>
      <c r="DN156" s="24"/>
      <c r="DO156" s="24"/>
      <c r="DP156" s="24"/>
      <c r="DQ156" s="24"/>
      <c r="DR156" s="24"/>
      <c r="DS156" s="24"/>
      <c r="DT156" s="24"/>
      <c r="DU156" s="24"/>
    </row>
    <row r="157" spans="1:125" s="8" customFormat="1" ht="96" x14ac:dyDescent="0.2">
      <c r="A157" s="77">
        <v>41285</v>
      </c>
      <c r="B157" s="78" t="s">
        <v>506</v>
      </c>
      <c r="C157" s="75" t="s">
        <v>1697</v>
      </c>
      <c r="D157" s="81" t="s">
        <v>2846</v>
      </c>
      <c r="E157" s="75" t="str">
        <f>VLOOKUP(B157&amp;C157,Divipola!$C$2:$F$1138,4,FALSE)</f>
        <v>50001</v>
      </c>
      <c r="F157" s="87"/>
      <c r="G157" s="87"/>
      <c r="H157" s="87"/>
      <c r="I157" s="87"/>
      <c r="J157" s="87"/>
      <c r="K157" s="87"/>
      <c r="L157" s="87"/>
      <c r="M157" s="87"/>
      <c r="N157" s="87"/>
      <c r="O157" s="87"/>
      <c r="P157" s="87"/>
      <c r="Q157" s="87"/>
      <c r="R157" s="87"/>
      <c r="S157" s="87"/>
      <c r="T157" s="87"/>
      <c r="U157" s="127">
        <v>3</v>
      </c>
      <c r="V157" s="89"/>
      <c r="W157" s="96">
        <v>0</v>
      </c>
      <c r="X157" s="71">
        <f>CU157</f>
        <v>0</v>
      </c>
      <c r="Y157" s="71">
        <f>CY157</f>
        <v>0</v>
      </c>
      <c r="Z157" s="71">
        <f>DA157+DC157+DE157</f>
        <v>0</v>
      </c>
      <c r="AA157" s="71">
        <f>CW157</f>
        <v>0</v>
      </c>
      <c r="AB157" s="71"/>
      <c r="AC157" s="71">
        <v>0</v>
      </c>
      <c r="AD157" s="71">
        <f>W157+X157+Y157+Z157+AA157+AB157+AC157</f>
        <v>0</v>
      </c>
      <c r="AE157" s="72">
        <v>0</v>
      </c>
      <c r="AF157" s="5"/>
      <c r="AG157" s="6"/>
      <c r="AH157" s="27" t="s">
        <v>3392</v>
      </c>
      <c r="AI157" s="44" t="s">
        <v>3393</v>
      </c>
      <c r="AJ157" s="26"/>
      <c r="AK157" s="5"/>
      <c r="AL157" s="82" t="s">
        <v>3007</v>
      </c>
      <c r="AM157" s="76"/>
      <c r="AN157" s="76"/>
      <c r="AO157" s="76"/>
      <c r="AP157" s="76"/>
      <c r="AQ157" s="76"/>
      <c r="AR157" s="76"/>
      <c r="AS157" s="76"/>
      <c r="AT157" s="76"/>
      <c r="AU157" s="76"/>
      <c r="AV157" s="76"/>
      <c r="AW157" s="76"/>
      <c r="AX157" s="76">
        <f>+AW157*600000</f>
        <v>0</v>
      </c>
      <c r="AY157" s="76"/>
      <c r="AZ157" s="76">
        <f>+AY157*70000</f>
        <v>0</v>
      </c>
      <c r="BA157" s="76"/>
      <c r="BB157" s="76"/>
      <c r="BC157" s="76"/>
      <c r="BD157" s="76">
        <f>+BC157*30000</f>
        <v>0</v>
      </c>
      <c r="BE157" s="76"/>
      <c r="BF157" s="76"/>
      <c r="BG157" s="76"/>
      <c r="BH157" s="76"/>
      <c r="BI157" s="76"/>
      <c r="BJ157" s="76"/>
      <c r="BK157" s="76"/>
      <c r="BL157" s="76">
        <f>+BK157*31500</f>
        <v>0</v>
      </c>
      <c r="BM157" s="76"/>
      <c r="BN157" s="76"/>
      <c r="BO157" s="76"/>
      <c r="BP157" s="76"/>
      <c r="BQ157" s="76"/>
      <c r="BR157" s="76"/>
      <c r="BS157" s="76"/>
      <c r="BT157" s="76"/>
      <c r="BU157" s="76"/>
      <c r="BV157" s="76"/>
      <c r="BW157" s="76"/>
      <c r="BX157" s="76"/>
      <c r="BY157" s="76"/>
      <c r="BZ157" s="76"/>
      <c r="CA157" s="76"/>
      <c r="CB157" s="76"/>
      <c r="CC157" s="76"/>
      <c r="CD157" s="76"/>
      <c r="CE157" s="76"/>
      <c r="CF157" s="76">
        <f>+CE157*28000</f>
        <v>0</v>
      </c>
      <c r="CG157" s="76"/>
      <c r="CH157" s="76">
        <f>+CG157*22500</f>
        <v>0</v>
      </c>
      <c r="CI157" s="76"/>
      <c r="CJ157" s="76">
        <f>+CI157*26000</f>
        <v>0</v>
      </c>
      <c r="CK157" s="76"/>
      <c r="CL157" s="76"/>
      <c r="CM157" s="76"/>
      <c r="CN157" s="76">
        <f>+CM157*22000</f>
        <v>0</v>
      </c>
      <c r="CO157" s="76"/>
      <c r="CP157" s="76">
        <f>+CO157*46000</f>
        <v>0</v>
      </c>
      <c r="CQ157" s="76"/>
      <c r="CR157" s="76">
        <f>+CQ157*49000</f>
        <v>0</v>
      </c>
      <c r="CS157" s="76"/>
      <c r="CT157" s="76"/>
      <c r="CU157" s="56">
        <f>AN157+AP157+AR157+AT157+AV157+AX157+AZ157+BB157+BD157+BF157+BH157+BJ157+BL157+BN157+BP157+BR157+BT157+BV157+BX157+BZ157+CB157+CD157+CF157+CH157+CJ157+CL157+CN157+CP157+CR157+CT157</f>
        <v>0</v>
      </c>
      <c r="CV157" s="76"/>
      <c r="CW157" s="76">
        <f>+CV157*1100</f>
        <v>0</v>
      </c>
      <c r="CX157" s="76"/>
      <c r="CY157" s="76">
        <f>+CX157*106250</f>
        <v>0</v>
      </c>
      <c r="CZ157" s="76"/>
      <c r="DA157" s="76">
        <f>+CZ157*34500</f>
        <v>0</v>
      </c>
      <c r="DB157" s="76"/>
      <c r="DC157" s="76">
        <f>+DB157*25000</f>
        <v>0</v>
      </c>
      <c r="DD157" s="219"/>
      <c r="DE157" s="219"/>
      <c r="DF157" s="164"/>
      <c r="DG157" s="116"/>
      <c r="DH157" s="117"/>
      <c r="DI157" s="24"/>
      <c r="DJ157" s="24"/>
      <c r="DK157" s="24"/>
      <c r="DL157" s="24"/>
      <c r="DM157" s="24"/>
      <c r="DN157" s="24"/>
      <c r="DO157" s="24"/>
      <c r="DP157" s="24"/>
      <c r="DQ157" s="24"/>
      <c r="DR157" s="24"/>
      <c r="DS157" s="24"/>
      <c r="DT157" s="24"/>
      <c r="DU157" s="24"/>
    </row>
    <row r="158" spans="1:125" s="8" customFormat="1" ht="36" x14ac:dyDescent="0.2">
      <c r="A158" s="77">
        <v>41285</v>
      </c>
      <c r="B158" s="78" t="s">
        <v>1764</v>
      </c>
      <c r="C158" s="75" t="s">
        <v>1764</v>
      </c>
      <c r="D158" s="75" t="s">
        <v>2986</v>
      </c>
      <c r="E158" s="75" t="str">
        <f>VLOOKUP(B158&amp;C158,Divipola!$C$2:$F$1138,4,FALSE)</f>
        <v>88001</v>
      </c>
      <c r="F158" s="87"/>
      <c r="G158" s="87"/>
      <c r="H158" s="87"/>
      <c r="I158" s="87">
        <v>40</v>
      </c>
      <c r="J158" s="87">
        <v>8</v>
      </c>
      <c r="K158" s="87">
        <v>8</v>
      </c>
      <c r="L158" s="87"/>
      <c r="M158" s="87"/>
      <c r="N158" s="87"/>
      <c r="O158" s="87"/>
      <c r="P158" s="87"/>
      <c r="Q158" s="87"/>
      <c r="R158" s="87"/>
      <c r="S158" s="87"/>
      <c r="T158" s="87"/>
      <c r="U158" s="127"/>
      <c r="V158" s="89"/>
      <c r="W158" s="96">
        <v>0</v>
      </c>
      <c r="X158" s="71">
        <f>CU158</f>
        <v>4424000</v>
      </c>
      <c r="Y158" s="71">
        <f>CY158</f>
        <v>4200000</v>
      </c>
      <c r="Z158" s="71">
        <f>DA158+DC158+DE158</f>
        <v>0</v>
      </c>
      <c r="AA158" s="71">
        <f>CW158</f>
        <v>0</v>
      </c>
      <c r="AB158" s="71"/>
      <c r="AC158" s="71">
        <v>0</v>
      </c>
      <c r="AD158" s="71">
        <f>W158+X158+Y158+Z158+AA158+AB158+AC158</f>
        <v>8624000</v>
      </c>
      <c r="AE158" s="72">
        <v>0</v>
      </c>
      <c r="AF158" s="5"/>
      <c r="AG158" s="6"/>
      <c r="AH158" s="27" t="s">
        <v>3390</v>
      </c>
      <c r="AI158" s="44" t="s">
        <v>3391</v>
      </c>
      <c r="AJ158" s="26"/>
      <c r="AK158" s="5"/>
      <c r="AL158" s="82" t="s">
        <v>3004</v>
      </c>
      <c r="AM158" s="76"/>
      <c r="AN158" s="76"/>
      <c r="AO158" s="76"/>
      <c r="AP158" s="76"/>
      <c r="AQ158" s="76"/>
      <c r="AR158" s="76"/>
      <c r="AS158" s="76"/>
      <c r="AT158" s="76"/>
      <c r="AU158" s="76"/>
      <c r="AV158" s="76"/>
      <c r="AW158" s="76"/>
      <c r="AX158" s="76">
        <f>+AW158*600000</f>
        <v>0</v>
      </c>
      <c r="AY158" s="76"/>
      <c r="AZ158" s="76">
        <f>+AY158*70000</f>
        <v>0</v>
      </c>
      <c r="BA158" s="76"/>
      <c r="BB158" s="76"/>
      <c r="BC158" s="76"/>
      <c r="BD158" s="76">
        <f>+BC158*30000</f>
        <v>0</v>
      </c>
      <c r="BE158" s="76"/>
      <c r="BF158" s="76"/>
      <c r="BG158" s="76"/>
      <c r="BH158" s="76"/>
      <c r="BI158" s="76"/>
      <c r="BJ158" s="76"/>
      <c r="BK158" s="76"/>
      <c r="BL158" s="76">
        <f>+BK158*31500</f>
        <v>0</v>
      </c>
      <c r="BM158" s="76"/>
      <c r="BN158" s="76"/>
      <c r="BO158" s="76"/>
      <c r="BP158" s="76"/>
      <c r="BQ158" s="76"/>
      <c r="BR158" s="76"/>
      <c r="BS158" s="76"/>
      <c r="BT158" s="76"/>
      <c r="BU158" s="76"/>
      <c r="BV158" s="76"/>
      <c r="BW158" s="76"/>
      <c r="BX158" s="76"/>
      <c r="BY158" s="76"/>
      <c r="BZ158" s="76"/>
      <c r="CA158" s="76"/>
      <c r="CB158" s="76"/>
      <c r="CC158" s="76"/>
      <c r="CD158" s="76"/>
      <c r="CE158" s="76"/>
      <c r="CF158" s="76">
        <f>+CE158*28000</f>
        <v>0</v>
      </c>
      <c r="CG158" s="76"/>
      <c r="CH158" s="76">
        <f>+CG158*22500</f>
        <v>0</v>
      </c>
      <c r="CI158" s="86">
        <v>24</v>
      </c>
      <c r="CJ158" s="86">
        <f>+CI158*26000</f>
        <v>624000</v>
      </c>
      <c r="CK158" s="86"/>
      <c r="CL158" s="76"/>
      <c r="CM158" s="76"/>
      <c r="CN158" s="76">
        <f>+CM158*22000</f>
        <v>0</v>
      </c>
      <c r="CO158" s="86">
        <v>40</v>
      </c>
      <c r="CP158" s="86">
        <f>+CO158*46000</f>
        <v>1840000</v>
      </c>
      <c r="CQ158" s="86">
        <v>40</v>
      </c>
      <c r="CR158" s="86">
        <f>+CQ158*49000</f>
        <v>1960000</v>
      </c>
      <c r="CS158" s="76"/>
      <c r="CT158" s="76"/>
      <c r="CU158" s="56">
        <f>AN158+AP158+AR158+AT158+AV158+AX158+AZ158+BB158+BD158+BF158+BH158+BJ158+BL158+BN158+BP158+BR158+BT158+BV158+BX158+BZ158+CB158+CD158+CF158+CH158+CJ158+CL158+CN158+CP158+CR158+CT158</f>
        <v>4424000</v>
      </c>
      <c r="CV158" s="76"/>
      <c r="CW158" s="76">
        <f>+CV158*1100</f>
        <v>0</v>
      </c>
      <c r="CX158" s="76">
        <v>40</v>
      </c>
      <c r="CY158" s="76">
        <f>+CX158*105000</f>
        <v>4200000</v>
      </c>
      <c r="CZ158" s="76"/>
      <c r="DA158" s="76">
        <f>+CZ158*34500</f>
        <v>0</v>
      </c>
      <c r="DB158" s="76"/>
      <c r="DC158" s="76">
        <f>+DB158*25000</f>
        <v>0</v>
      </c>
      <c r="DD158" s="219"/>
      <c r="DE158" s="219"/>
      <c r="DF158" s="164"/>
      <c r="DG158" s="116"/>
      <c r="DH158" s="117"/>
      <c r="DI158" s="24"/>
      <c r="DJ158" s="24"/>
      <c r="DK158" s="24"/>
      <c r="DL158" s="24"/>
      <c r="DM158" s="24"/>
      <c r="DN158" s="24"/>
      <c r="DO158" s="24"/>
      <c r="DP158" s="24"/>
      <c r="DQ158" s="24"/>
      <c r="DR158" s="24"/>
      <c r="DS158" s="24"/>
      <c r="DT158" s="24"/>
      <c r="DU158" s="24"/>
    </row>
    <row r="159" spans="1:125" s="8" customFormat="1" ht="48" x14ac:dyDescent="0.2">
      <c r="A159" s="77">
        <v>41285</v>
      </c>
      <c r="B159" s="80" t="s">
        <v>2847</v>
      </c>
      <c r="C159" s="81" t="s">
        <v>2742</v>
      </c>
      <c r="D159" s="81" t="s">
        <v>2846</v>
      </c>
      <c r="E159" s="75" t="str">
        <f>VLOOKUP(B159&amp;C159,Divipola!$C$2:$F$1138,4,FALSE)</f>
        <v>68250</v>
      </c>
      <c r="F159" s="87"/>
      <c r="G159" s="87"/>
      <c r="H159" s="87"/>
      <c r="I159" s="87"/>
      <c r="J159" s="87"/>
      <c r="K159" s="87"/>
      <c r="L159" s="87"/>
      <c r="M159" s="87"/>
      <c r="N159" s="87"/>
      <c r="O159" s="87"/>
      <c r="P159" s="87"/>
      <c r="Q159" s="87"/>
      <c r="R159" s="87"/>
      <c r="S159" s="87"/>
      <c r="T159" s="87"/>
      <c r="U159" s="127">
        <v>3</v>
      </c>
      <c r="V159" s="89"/>
      <c r="W159" s="96">
        <v>0</v>
      </c>
      <c r="X159" s="71">
        <f>CU159</f>
        <v>0</v>
      </c>
      <c r="Y159" s="71">
        <f>CY159</f>
        <v>0</v>
      </c>
      <c r="Z159" s="71">
        <f>DA159+DC159+DE159</f>
        <v>0</v>
      </c>
      <c r="AA159" s="71">
        <f>CW159</f>
        <v>0</v>
      </c>
      <c r="AB159" s="71"/>
      <c r="AC159" s="71">
        <v>0</v>
      </c>
      <c r="AD159" s="71">
        <f>W159+X159+Y159+Z159+AA159+AB159+AC159</f>
        <v>0</v>
      </c>
      <c r="AE159" s="72">
        <v>0</v>
      </c>
      <c r="AF159" s="5"/>
      <c r="AG159" s="6"/>
      <c r="AH159" s="27" t="s">
        <v>3392</v>
      </c>
      <c r="AI159" s="44" t="s">
        <v>3393</v>
      </c>
      <c r="AJ159" s="26"/>
      <c r="AK159" s="5"/>
      <c r="AL159" s="82" t="s">
        <v>2990</v>
      </c>
      <c r="AM159" s="76"/>
      <c r="AN159" s="76"/>
      <c r="AO159" s="76"/>
      <c r="AP159" s="76"/>
      <c r="AQ159" s="76"/>
      <c r="AR159" s="76"/>
      <c r="AS159" s="76"/>
      <c r="AT159" s="76"/>
      <c r="AU159" s="76"/>
      <c r="AV159" s="76"/>
      <c r="AW159" s="76"/>
      <c r="AX159" s="76">
        <f>+AW159*600000</f>
        <v>0</v>
      </c>
      <c r="AY159" s="76"/>
      <c r="AZ159" s="76">
        <f>+AY159*70000</f>
        <v>0</v>
      </c>
      <c r="BA159" s="76"/>
      <c r="BB159" s="76"/>
      <c r="BC159" s="76"/>
      <c r="BD159" s="76">
        <f>+BC159*30000</f>
        <v>0</v>
      </c>
      <c r="BE159" s="76"/>
      <c r="BF159" s="76"/>
      <c r="BG159" s="76"/>
      <c r="BH159" s="76"/>
      <c r="BI159" s="76"/>
      <c r="BJ159" s="76"/>
      <c r="BK159" s="76"/>
      <c r="BL159" s="76">
        <f>+BK159*31500</f>
        <v>0</v>
      </c>
      <c r="BM159" s="76"/>
      <c r="BN159" s="76"/>
      <c r="BO159" s="76"/>
      <c r="BP159" s="76"/>
      <c r="BQ159" s="76"/>
      <c r="BR159" s="76"/>
      <c r="BS159" s="76"/>
      <c r="BT159" s="76"/>
      <c r="BU159" s="76"/>
      <c r="BV159" s="76"/>
      <c r="BW159" s="76"/>
      <c r="BX159" s="76"/>
      <c r="BY159" s="76"/>
      <c r="BZ159" s="76"/>
      <c r="CA159" s="76"/>
      <c r="CB159" s="76"/>
      <c r="CC159" s="76"/>
      <c r="CD159" s="76"/>
      <c r="CE159" s="76"/>
      <c r="CF159" s="76">
        <f>+CE159*28000</f>
        <v>0</v>
      </c>
      <c r="CG159" s="76"/>
      <c r="CH159" s="76">
        <f>+CG159*22500</f>
        <v>0</v>
      </c>
      <c r="CI159" s="76"/>
      <c r="CJ159" s="76">
        <f>+CI159*26000</f>
        <v>0</v>
      </c>
      <c r="CK159" s="76"/>
      <c r="CL159" s="76"/>
      <c r="CM159" s="76"/>
      <c r="CN159" s="76">
        <f>+CM159*22000</f>
        <v>0</v>
      </c>
      <c r="CO159" s="76"/>
      <c r="CP159" s="76">
        <f>+CO159*46000</f>
        <v>0</v>
      </c>
      <c r="CQ159" s="76"/>
      <c r="CR159" s="76">
        <f>+CQ159*49000</f>
        <v>0</v>
      </c>
      <c r="CS159" s="76"/>
      <c r="CT159" s="76"/>
      <c r="CU159" s="56">
        <f>AN159+AP159+AR159+AT159+AV159+AX159+AZ159+BB159+BD159+BF159+BH159+BJ159+BL159+BN159+BP159+BR159+BT159+BV159+BX159+BZ159+CB159+CD159+CF159+CH159+CJ159+CL159+CN159+CP159+CR159+CT159</f>
        <v>0</v>
      </c>
      <c r="CV159" s="76"/>
      <c r="CW159" s="76">
        <f>+CV159*1100</f>
        <v>0</v>
      </c>
      <c r="CX159" s="76"/>
      <c r="CY159" s="76">
        <f>+CX159*106250</f>
        <v>0</v>
      </c>
      <c r="CZ159" s="76"/>
      <c r="DA159" s="76">
        <f>+CZ159*34500</f>
        <v>0</v>
      </c>
      <c r="DB159" s="76"/>
      <c r="DC159" s="76">
        <f>+DB159*25000</f>
        <v>0</v>
      </c>
      <c r="DD159" s="219"/>
      <c r="DE159" s="219"/>
      <c r="DF159" s="164"/>
      <c r="DG159" s="116"/>
      <c r="DH159" s="117"/>
      <c r="DI159" s="24"/>
      <c r="DJ159" s="24"/>
      <c r="DK159" s="24"/>
      <c r="DL159" s="24"/>
      <c r="DM159" s="24"/>
      <c r="DN159" s="24"/>
      <c r="DO159" s="24"/>
      <c r="DP159" s="24"/>
      <c r="DQ159" s="24"/>
      <c r="DR159" s="24"/>
      <c r="DS159" s="24"/>
      <c r="DT159" s="24"/>
      <c r="DU159" s="24"/>
    </row>
    <row r="160" spans="1:125" s="8" customFormat="1" ht="48" x14ac:dyDescent="0.2">
      <c r="A160" s="77">
        <v>41285</v>
      </c>
      <c r="B160" s="78" t="s">
        <v>2848</v>
      </c>
      <c r="C160" s="75" t="s">
        <v>1393</v>
      </c>
      <c r="D160" s="75" t="s">
        <v>2859</v>
      </c>
      <c r="E160" s="75" t="str">
        <f>VLOOKUP(B160&amp;C160,Divipola!$C$2:$F$1138,4,FALSE)</f>
        <v>73168</v>
      </c>
      <c r="F160" s="87"/>
      <c r="G160" s="87"/>
      <c r="H160" s="87"/>
      <c r="I160" s="87"/>
      <c r="J160" s="87"/>
      <c r="K160" s="87"/>
      <c r="L160" s="87"/>
      <c r="M160" s="87"/>
      <c r="N160" s="87"/>
      <c r="O160" s="87"/>
      <c r="P160" s="87"/>
      <c r="Q160" s="87"/>
      <c r="R160" s="87"/>
      <c r="S160" s="87"/>
      <c r="T160" s="87"/>
      <c r="U160" s="127"/>
      <c r="V160" s="89"/>
      <c r="W160" s="96">
        <v>0</v>
      </c>
      <c r="X160" s="71">
        <f>CU160</f>
        <v>0</v>
      </c>
      <c r="Y160" s="71">
        <f>CY160</f>
        <v>0</v>
      </c>
      <c r="Z160" s="71">
        <f>DA160+DC160+DE160</f>
        <v>0</v>
      </c>
      <c r="AA160" s="71">
        <f>CW160</f>
        <v>0</v>
      </c>
      <c r="AB160" s="71"/>
      <c r="AC160" s="71">
        <v>0</v>
      </c>
      <c r="AD160" s="71">
        <f>W160+X160+Y160+Z160+AA160+AB160+AC160</f>
        <v>0</v>
      </c>
      <c r="AE160" s="72">
        <v>0</v>
      </c>
      <c r="AF160" s="5"/>
      <c r="AG160" s="6"/>
      <c r="AH160" s="27" t="s">
        <v>3392</v>
      </c>
      <c r="AI160" s="44" t="s">
        <v>3393</v>
      </c>
      <c r="AJ160" s="26"/>
      <c r="AK160" s="5"/>
      <c r="AL160" s="82" t="s">
        <v>3003</v>
      </c>
      <c r="AM160" s="76"/>
      <c r="AN160" s="76"/>
      <c r="AO160" s="76"/>
      <c r="AP160" s="76"/>
      <c r="AQ160" s="76"/>
      <c r="AR160" s="76"/>
      <c r="AS160" s="76"/>
      <c r="AT160" s="76"/>
      <c r="AU160" s="76"/>
      <c r="AV160" s="76"/>
      <c r="AW160" s="76"/>
      <c r="AX160" s="76">
        <f>+AW160*600000</f>
        <v>0</v>
      </c>
      <c r="AY160" s="76"/>
      <c r="AZ160" s="76">
        <f>+AY160*70000</f>
        <v>0</v>
      </c>
      <c r="BA160" s="76"/>
      <c r="BB160" s="76"/>
      <c r="BC160" s="76"/>
      <c r="BD160" s="76">
        <f>+BC160*30000</f>
        <v>0</v>
      </c>
      <c r="BE160" s="76"/>
      <c r="BF160" s="76"/>
      <c r="BG160" s="76"/>
      <c r="BH160" s="76"/>
      <c r="BI160" s="76"/>
      <c r="BJ160" s="76"/>
      <c r="BK160" s="76"/>
      <c r="BL160" s="76">
        <f>+BK160*31500</f>
        <v>0</v>
      </c>
      <c r="BM160" s="76"/>
      <c r="BN160" s="76"/>
      <c r="BO160" s="76"/>
      <c r="BP160" s="76"/>
      <c r="BQ160" s="76"/>
      <c r="BR160" s="76"/>
      <c r="BS160" s="76"/>
      <c r="BT160" s="76"/>
      <c r="BU160" s="76"/>
      <c r="BV160" s="76"/>
      <c r="BW160" s="76"/>
      <c r="BX160" s="76"/>
      <c r="BY160" s="76"/>
      <c r="BZ160" s="76"/>
      <c r="CA160" s="76"/>
      <c r="CB160" s="76"/>
      <c r="CC160" s="76"/>
      <c r="CD160" s="76"/>
      <c r="CE160" s="76"/>
      <c r="CF160" s="76">
        <f>+CE160*28000</f>
        <v>0</v>
      </c>
      <c r="CG160" s="76"/>
      <c r="CH160" s="76">
        <f>+CG160*22500</f>
        <v>0</v>
      </c>
      <c r="CI160" s="76"/>
      <c r="CJ160" s="76">
        <f>+CI160*26000</f>
        <v>0</v>
      </c>
      <c r="CK160" s="76"/>
      <c r="CL160" s="76"/>
      <c r="CM160" s="76"/>
      <c r="CN160" s="76">
        <f>+CM160*22000</f>
        <v>0</v>
      </c>
      <c r="CO160" s="76"/>
      <c r="CP160" s="76">
        <f>+CO160*46000</f>
        <v>0</v>
      </c>
      <c r="CQ160" s="76"/>
      <c r="CR160" s="76">
        <f>+CQ160*49000</f>
        <v>0</v>
      </c>
      <c r="CS160" s="76"/>
      <c r="CT160" s="76"/>
      <c r="CU160" s="56">
        <f>AN160+AP160+AR160+AT160+AV160+AX160+AZ160+BB160+BD160+BF160+BH160+BJ160+BL160+BN160+BP160+BR160+BT160+BV160+BX160+BZ160+CB160+CD160+CF160+CH160+CJ160+CL160+CN160+CP160+CR160+CT160</f>
        <v>0</v>
      </c>
      <c r="CV160" s="76"/>
      <c r="CW160" s="76">
        <f>+CV160*1100</f>
        <v>0</v>
      </c>
      <c r="CX160" s="76"/>
      <c r="CY160" s="76">
        <f>+CX160*106250</f>
        <v>0</v>
      </c>
      <c r="CZ160" s="76"/>
      <c r="DA160" s="76">
        <f>+CZ160*34500</f>
        <v>0</v>
      </c>
      <c r="DB160" s="76"/>
      <c r="DC160" s="76">
        <f>+DB160*25000</f>
        <v>0</v>
      </c>
      <c r="DD160" s="219"/>
      <c r="DE160" s="219"/>
      <c r="DF160" s="164"/>
      <c r="DG160" s="116"/>
      <c r="DH160" s="117"/>
      <c r="DI160" s="24"/>
      <c r="DJ160" s="24"/>
      <c r="DK160" s="24"/>
      <c r="DL160" s="24"/>
      <c r="DM160" s="24"/>
      <c r="DN160" s="24"/>
      <c r="DO160" s="24"/>
      <c r="DP160" s="24"/>
      <c r="DQ160" s="24"/>
      <c r="DR160" s="24"/>
      <c r="DS160" s="24"/>
      <c r="DT160" s="24"/>
      <c r="DU160" s="24"/>
    </row>
    <row r="161" spans="1:125" s="8" customFormat="1" ht="36" x14ac:dyDescent="0.2">
      <c r="A161" s="77">
        <v>41285</v>
      </c>
      <c r="B161" s="78" t="s">
        <v>2309</v>
      </c>
      <c r="C161" s="75" t="s">
        <v>2310</v>
      </c>
      <c r="D161" s="81" t="s">
        <v>2846</v>
      </c>
      <c r="E161" s="75" t="str">
        <f>VLOOKUP(B161&amp;C161,Divipola!$C$2:$F$1138,4,FALSE)</f>
        <v>99001</v>
      </c>
      <c r="F161" s="87"/>
      <c r="G161" s="87"/>
      <c r="H161" s="87"/>
      <c r="I161" s="87"/>
      <c r="J161" s="87"/>
      <c r="K161" s="87"/>
      <c r="L161" s="87"/>
      <c r="M161" s="87"/>
      <c r="N161" s="87"/>
      <c r="O161" s="87"/>
      <c r="P161" s="87"/>
      <c r="Q161" s="87"/>
      <c r="R161" s="87"/>
      <c r="S161" s="87"/>
      <c r="T161" s="87"/>
      <c r="U161" s="127"/>
      <c r="V161" s="89"/>
      <c r="W161" s="96">
        <v>0</v>
      </c>
      <c r="X161" s="71">
        <f>CU161</f>
        <v>0</v>
      </c>
      <c r="Y161" s="71">
        <f>CY161</f>
        <v>0</v>
      </c>
      <c r="Z161" s="71">
        <f>DA161+DC161+DE161</f>
        <v>0</v>
      </c>
      <c r="AA161" s="71">
        <f>CW161</f>
        <v>0</v>
      </c>
      <c r="AB161" s="71"/>
      <c r="AC161" s="71">
        <v>0</v>
      </c>
      <c r="AD161" s="71">
        <f>W161+X161+Y161+Z161+AA161+AB161+AC161</f>
        <v>0</v>
      </c>
      <c r="AE161" s="72">
        <v>0</v>
      </c>
      <c r="AF161" s="5"/>
      <c r="AG161" s="6"/>
      <c r="AH161" s="27" t="s">
        <v>3392</v>
      </c>
      <c r="AI161" s="44" t="s">
        <v>3393</v>
      </c>
      <c r="AJ161" s="26"/>
      <c r="AK161" s="5"/>
      <c r="AL161" s="82" t="s">
        <v>3002</v>
      </c>
      <c r="AM161" s="76"/>
      <c r="AN161" s="76"/>
      <c r="AO161" s="76"/>
      <c r="AP161" s="76"/>
      <c r="AQ161" s="76"/>
      <c r="AR161" s="76"/>
      <c r="AS161" s="76"/>
      <c r="AT161" s="76"/>
      <c r="AU161" s="76"/>
      <c r="AV161" s="76"/>
      <c r="AW161" s="76"/>
      <c r="AX161" s="76">
        <f>+AW161*600000</f>
        <v>0</v>
      </c>
      <c r="AY161" s="76"/>
      <c r="AZ161" s="76">
        <f>+AY161*70000</f>
        <v>0</v>
      </c>
      <c r="BA161" s="76"/>
      <c r="BB161" s="76"/>
      <c r="BC161" s="76"/>
      <c r="BD161" s="76">
        <f>+BC161*30000</f>
        <v>0</v>
      </c>
      <c r="BE161" s="76"/>
      <c r="BF161" s="76"/>
      <c r="BG161" s="76"/>
      <c r="BH161" s="76"/>
      <c r="BI161" s="76"/>
      <c r="BJ161" s="76"/>
      <c r="BK161" s="76"/>
      <c r="BL161" s="76">
        <f>+BK161*31500</f>
        <v>0</v>
      </c>
      <c r="BM161" s="76"/>
      <c r="BN161" s="76"/>
      <c r="BO161" s="76"/>
      <c r="BP161" s="76"/>
      <c r="BQ161" s="76"/>
      <c r="BR161" s="76"/>
      <c r="BS161" s="76"/>
      <c r="BT161" s="76"/>
      <c r="BU161" s="76"/>
      <c r="BV161" s="76"/>
      <c r="BW161" s="76"/>
      <c r="BX161" s="76"/>
      <c r="BY161" s="76"/>
      <c r="BZ161" s="76"/>
      <c r="CA161" s="76"/>
      <c r="CB161" s="76"/>
      <c r="CC161" s="76"/>
      <c r="CD161" s="76"/>
      <c r="CE161" s="76"/>
      <c r="CF161" s="76">
        <f>+CE161*28000</f>
        <v>0</v>
      </c>
      <c r="CG161" s="76"/>
      <c r="CH161" s="76">
        <f>+CG161*22500</f>
        <v>0</v>
      </c>
      <c r="CI161" s="76"/>
      <c r="CJ161" s="76">
        <f>+CI161*26000</f>
        <v>0</v>
      </c>
      <c r="CK161" s="76"/>
      <c r="CL161" s="76"/>
      <c r="CM161" s="76"/>
      <c r="CN161" s="76">
        <f>+CM161*22000</f>
        <v>0</v>
      </c>
      <c r="CO161" s="76"/>
      <c r="CP161" s="76">
        <f>+CO161*46000</f>
        <v>0</v>
      </c>
      <c r="CQ161" s="76"/>
      <c r="CR161" s="76">
        <f>+CQ161*49000</f>
        <v>0</v>
      </c>
      <c r="CS161" s="76"/>
      <c r="CT161" s="76"/>
      <c r="CU161" s="56">
        <f>AN161+AP161+AR161+AT161+AV161+AX161+AZ161+BB161+BD161+BF161+BH161+BJ161+BL161+BN161+BP161+BR161+BT161+BV161+BX161+BZ161+CB161+CD161+CF161+CH161+CJ161+CL161+CN161+CP161+CR161+CT161</f>
        <v>0</v>
      </c>
      <c r="CV161" s="76"/>
      <c r="CW161" s="76">
        <f>+CV161*1100</f>
        <v>0</v>
      </c>
      <c r="CX161" s="76"/>
      <c r="CY161" s="76">
        <f>+CX161*106250</f>
        <v>0</v>
      </c>
      <c r="CZ161" s="76"/>
      <c r="DA161" s="76">
        <f>+CZ161*34500</f>
        <v>0</v>
      </c>
      <c r="DB161" s="76"/>
      <c r="DC161" s="76">
        <f>+DB161*25000</f>
        <v>0</v>
      </c>
      <c r="DD161" s="219"/>
      <c r="DE161" s="219"/>
      <c r="DF161" s="164"/>
      <c r="DG161" s="116"/>
      <c r="DH161" s="117"/>
      <c r="DI161" s="24"/>
      <c r="DJ161" s="24"/>
      <c r="DK161" s="24"/>
      <c r="DL161" s="24"/>
      <c r="DM161" s="24"/>
      <c r="DN161" s="24"/>
      <c r="DO161" s="24"/>
      <c r="DP161" s="24"/>
      <c r="DQ161" s="24"/>
      <c r="DR161" s="24"/>
      <c r="DS161" s="24"/>
      <c r="DT161" s="24"/>
      <c r="DU161" s="24"/>
    </row>
    <row r="162" spans="1:125" s="8" customFormat="1" ht="48" x14ac:dyDescent="0.2">
      <c r="A162" s="77">
        <v>41286</v>
      </c>
      <c r="B162" s="78" t="s">
        <v>2700</v>
      </c>
      <c r="C162" s="75" t="s">
        <v>1595</v>
      </c>
      <c r="D162" s="81" t="s">
        <v>2846</v>
      </c>
      <c r="E162" s="75" t="str">
        <f>VLOOKUP(B162&amp;C162,Divipola!$C$2:$F$1138,4,FALSE)</f>
        <v>15172</v>
      </c>
      <c r="F162" s="87"/>
      <c r="G162" s="87"/>
      <c r="H162" s="87"/>
      <c r="I162" s="87"/>
      <c r="J162" s="87"/>
      <c r="K162" s="87"/>
      <c r="L162" s="87"/>
      <c r="M162" s="87"/>
      <c r="N162" s="87"/>
      <c r="O162" s="87"/>
      <c r="P162" s="87"/>
      <c r="Q162" s="87"/>
      <c r="R162" s="87"/>
      <c r="S162" s="87"/>
      <c r="T162" s="87"/>
      <c r="U162" s="127">
        <v>5</v>
      </c>
      <c r="V162" s="89"/>
      <c r="W162" s="96">
        <v>0</v>
      </c>
      <c r="X162" s="71">
        <f>CU162</f>
        <v>0</v>
      </c>
      <c r="Y162" s="71">
        <f>CY162</f>
        <v>0</v>
      </c>
      <c r="Z162" s="71">
        <f>DA162+DC162+DE162</f>
        <v>0</v>
      </c>
      <c r="AA162" s="71">
        <f>CW162</f>
        <v>0</v>
      </c>
      <c r="AB162" s="71"/>
      <c r="AC162" s="71">
        <v>0</v>
      </c>
      <c r="AD162" s="71">
        <f>W162+X162+Y162+Z162+AA162+AB162+AC162</f>
        <v>0</v>
      </c>
      <c r="AE162" s="72">
        <v>0</v>
      </c>
      <c r="AF162" s="5"/>
      <c r="AG162" s="6"/>
      <c r="AH162" s="27" t="s">
        <v>3392</v>
      </c>
      <c r="AI162" s="44" t="s">
        <v>3393</v>
      </c>
      <c r="AJ162" s="26"/>
      <c r="AK162" s="5"/>
      <c r="AL162" s="82" t="s">
        <v>3015</v>
      </c>
      <c r="AM162" s="76"/>
      <c r="AN162" s="76"/>
      <c r="AO162" s="76"/>
      <c r="AP162" s="76"/>
      <c r="AQ162" s="76"/>
      <c r="AR162" s="76"/>
      <c r="AS162" s="76"/>
      <c r="AT162" s="76"/>
      <c r="AU162" s="76"/>
      <c r="AV162" s="76"/>
      <c r="AW162" s="76"/>
      <c r="AX162" s="76">
        <f>+AW162*600000</f>
        <v>0</v>
      </c>
      <c r="AY162" s="76"/>
      <c r="AZ162" s="76">
        <f>+AY162*70000</f>
        <v>0</v>
      </c>
      <c r="BA162" s="76"/>
      <c r="BB162" s="76"/>
      <c r="BC162" s="76"/>
      <c r="BD162" s="76">
        <f>+BC162*30000</f>
        <v>0</v>
      </c>
      <c r="BE162" s="76"/>
      <c r="BF162" s="76"/>
      <c r="BG162" s="76"/>
      <c r="BH162" s="76"/>
      <c r="BI162" s="76"/>
      <c r="BJ162" s="76"/>
      <c r="BK162" s="76"/>
      <c r="BL162" s="76">
        <f>+BK162*31500</f>
        <v>0</v>
      </c>
      <c r="BM162" s="76"/>
      <c r="BN162" s="76"/>
      <c r="BO162" s="76"/>
      <c r="BP162" s="76"/>
      <c r="BQ162" s="76"/>
      <c r="BR162" s="76"/>
      <c r="BS162" s="76"/>
      <c r="BT162" s="76"/>
      <c r="BU162" s="76"/>
      <c r="BV162" s="76"/>
      <c r="BW162" s="76"/>
      <c r="BX162" s="76"/>
      <c r="BY162" s="76"/>
      <c r="BZ162" s="76"/>
      <c r="CA162" s="76"/>
      <c r="CB162" s="76"/>
      <c r="CC162" s="76"/>
      <c r="CD162" s="76"/>
      <c r="CE162" s="76"/>
      <c r="CF162" s="76">
        <f>+CE162*28000</f>
        <v>0</v>
      </c>
      <c r="CG162" s="76"/>
      <c r="CH162" s="76">
        <f>+CG162*22500</f>
        <v>0</v>
      </c>
      <c r="CI162" s="76"/>
      <c r="CJ162" s="76">
        <f>+CI162*26000</f>
        <v>0</v>
      </c>
      <c r="CK162" s="76"/>
      <c r="CL162" s="76"/>
      <c r="CM162" s="76"/>
      <c r="CN162" s="76">
        <f>+CM162*22000</f>
        <v>0</v>
      </c>
      <c r="CO162" s="76"/>
      <c r="CP162" s="76">
        <f>+CO162*46000</f>
        <v>0</v>
      </c>
      <c r="CQ162" s="76"/>
      <c r="CR162" s="76">
        <f>+CQ162*49000</f>
        <v>0</v>
      </c>
      <c r="CS162" s="76"/>
      <c r="CT162" s="76"/>
      <c r="CU162" s="56">
        <f>AN162+AP162+AR162+AT162+AV162+AX162+AZ162+BB162+BD162+BF162+BH162+BJ162+BL162+BN162+BP162+BR162+BT162+BV162+BX162+BZ162+CB162+CD162+CF162+CH162+CJ162+CL162+CN162+CP162+CR162+CT162</f>
        <v>0</v>
      </c>
      <c r="CV162" s="76"/>
      <c r="CW162" s="76">
        <f>+CV162*1100</f>
        <v>0</v>
      </c>
      <c r="CX162" s="76"/>
      <c r="CY162" s="76">
        <f>+CX162*106250</f>
        <v>0</v>
      </c>
      <c r="CZ162" s="76"/>
      <c r="DA162" s="76">
        <f>+CZ162*34500</f>
        <v>0</v>
      </c>
      <c r="DB162" s="76"/>
      <c r="DC162" s="76">
        <f>+DB162*25000</f>
        <v>0</v>
      </c>
      <c r="DD162" s="219"/>
      <c r="DE162" s="219"/>
      <c r="DF162" s="164"/>
      <c r="DG162" s="116"/>
      <c r="DH162" s="117"/>
      <c r="DI162" s="24"/>
      <c r="DJ162" s="24"/>
      <c r="DK162" s="24"/>
      <c r="DL162" s="24"/>
      <c r="DM162" s="24"/>
      <c r="DN162" s="24"/>
      <c r="DO162" s="24"/>
      <c r="DP162" s="24"/>
      <c r="DQ162" s="24"/>
      <c r="DR162" s="24"/>
      <c r="DS162" s="24"/>
      <c r="DT162" s="24"/>
      <c r="DU162" s="24"/>
    </row>
    <row r="163" spans="1:125" s="8" customFormat="1" ht="60" x14ac:dyDescent="0.2">
      <c r="A163" s="85">
        <v>41286</v>
      </c>
      <c r="B163" s="80" t="s">
        <v>2700</v>
      </c>
      <c r="C163" s="81" t="s">
        <v>1622</v>
      </c>
      <c r="D163" s="81" t="s">
        <v>2846</v>
      </c>
      <c r="E163" s="75" t="str">
        <f>VLOOKUP(B163&amp;C163,Divipola!$C$2:$F$1138,4,FALSE)</f>
        <v>15218</v>
      </c>
      <c r="F163" s="87"/>
      <c r="G163" s="87"/>
      <c r="H163" s="87"/>
      <c r="I163" s="87"/>
      <c r="J163" s="87"/>
      <c r="K163" s="87"/>
      <c r="L163" s="87"/>
      <c r="M163" s="87"/>
      <c r="N163" s="87"/>
      <c r="O163" s="87"/>
      <c r="P163" s="87"/>
      <c r="Q163" s="87"/>
      <c r="R163" s="87"/>
      <c r="S163" s="87"/>
      <c r="T163" s="87"/>
      <c r="U163" s="127"/>
      <c r="V163" s="89"/>
      <c r="W163" s="96">
        <v>0</v>
      </c>
      <c r="X163" s="71">
        <f>CU163</f>
        <v>0</v>
      </c>
      <c r="Y163" s="71">
        <f>CY163</f>
        <v>0</v>
      </c>
      <c r="Z163" s="71">
        <f>DA163+DC163+DE163</f>
        <v>0</v>
      </c>
      <c r="AA163" s="71">
        <f>CW163</f>
        <v>0</v>
      </c>
      <c r="AB163" s="71"/>
      <c r="AC163" s="71">
        <v>0</v>
      </c>
      <c r="AD163" s="71">
        <f>W163+X163+Y163+Z163+AA163+AB163+AC163</f>
        <v>0</v>
      </c>
      <c r="AE163" s="72">
        <v>0</v>
      </c>
      <c r="AF163" s="5"/>
      <c r="AG163" s="6"/>
      <c r="AH163" s="27" t="s">
        <v>3392</v>
      </c>
      <c r="AI163" s="44" t="s">
        <v>3393</v>
      </c>
      <c r="AJ163" s="26"/>
      <c r="AK163" s="5"/>
      <c r="AL163" s="82" t="s">
        <v>3023</v>
      </c>
      <c r="AM163" s="76"/>
      <c r="AN163" s="76"/>
      <c r="AO163" s="76"/>
      <c r="AP163" s="76"/>
      <c r="AQ163" s="76"/>
      <c r="AR163" s="76"/>
      <c r="AS163" s="76"/>
      <c r="AT163" s="76"/>
      <c r="AU163" s="76"/>
      <c r="AV163" s="76"/>
      <c r="AW163" s="76"/>
      <c r="AX163" s="76">
        <f>+AW163*600000</f>
        <v>0</v>
      </c>
      <c r="AY163" s="76"/>
      <c r="AZ163" s="76">
        <f>+AY163*70000</f>
        <v>0</v>
      </c>
      <c r="BA163" s="76"/>
      <c r="BB163" s="76"/>
      <c r="BC163" s="76"/>
      <c r="BD163" s="76">
        <f>+BC163*30000</f>
        <v>0</v>
      </c>
      <c r="BE163" s="76"/>
      <c r="BF163" s="76"/>
      <c r="BG163" s="76"/>
      <c r="BH163" s="76"/>
      <c r="BI163" s="76"/>
      <c r="BJ163" s="76"/>
      <c r="BK163" s="76"/>
      <c r="BL163" s="76">
        <f>+BK163*31500</f>
        <v>0</v>
      </c>
      <c r="BM163" s="76"/>
      <c r="BN163" s="76"/>
      <c r="BO163" s="76"/>
      <c r="BP163" s="76"/>
      <c r="BQ163" s="76"/>
      <c r="BR163" s="76"/>
      <c r="BS163" s="76"/>
      <c r="BT163" s="76"/>
      <c r="BU163" s="76"/>
      <c r="BV163" s="76"/>
      <c r="BW163" s="76"/>
      <c r="BX163" s="76"/>
      <c r="BY163" s="76"/>
      <c r="BZ163" s="76"/>
      <c r="CA163" s="76"/>
      <c r="CB163" s="76"/>
      <c r="CC163" s="76"/>
      <c r="CD163" s="76"/>
      <c r="CE163" s="76"/>
      <c r="CF163" s="76">
        <f>+CE163*28000</f>
        <v>0</v>
      </c>
      <c r="CG163" s="76"/>
      <c r="CH163" s="76">
        <f>+CG163*22500</f>
        <v>0</v>
      </c>
      <c r="CI163" s="76"/>
      <c r="CJ163" s="76">
        <f>+CI163*26000</f>
        <v>0</v>
      </c>
      <c r="CK163" s="76"/>
      <c r="CL163" s="76"/>
      <c r="CM163" s="76"/>
      <c r="CN163" s="76">
        <f>+CM163*22000</f>
        <v>0</v>
      </c>
      <c r="CO163" s="76"/>
      <c r="CP163" s="76">
        <f>+CO163*46000</f>
        <v>0</v>
      </c>
      <c r="CQ163" s="76"/>
      <c r="CR163" s="76">
        <f>+CQ163*49000</f>
        <v>0</v>
      </c>
      <c r="CS163" s="76"/>
      <c r="CT163" s="76"/>
      <c r="CU163" s="56">
        <f>AN163+AP163+AR163+AT163+AV163+AX163+AZ163+BB163+BD163+BF163+BH163+BJ163+BL163+BN163+BP163+BR163+BT163+BV163+BX163+BZ163+CB163+CD163+CF163+CH163+CJ163+CL163+CN163+CP163+CR163+CT163</f>
        <v>0</v>
      </c>
      <c r="CV163" s="76"/>
      <c r="CW163" s="76">
        <f>+CV163*1100</f>
        <v>0</v>
      </c>
      <c r="CX163" s="76"/>
      <c r="CY163" s="76">
        <f>+CX163*106250</f>
        <v>0</v>
      </c>
      <c r="CZ163" s="76"/>
      <c r="DA163" s="76">
        <f>+CZ163*34500</f>
        <v>0</v>
      </c>
      <c r="DB163" s="76"/>
      <c r="DC163" s="76">
        <f>+DB163*25000</f>
        <v>0</v>
      </c>
      <c r="DD163" s="219"/>
      <c r="DE163" s="219"/>
      <c r="DF163" s="164"/>
      <c r="DG163" s="116"/>
      <c r="DH163" s="117"/>
      <c r="DI163" s="24"/>
      <c r="DJ163" s="24"/>
      <c r="DK163" s="24"/>
      <c r="DL163" s="24"/>
      <c r="DM163" s="24"/>
      <c r="DN163" s="24"/>
      <c r="DO163" s="24"/>
      <c r="DP163" s="24"/>
      <c r="DQ163" s="24"/>
      <c r="DR163" s="24"/>
      <c r="DS163" s="24"/>
      <c r="DT163" s="24"/>
      <c r="DU163" s="24"/>
    </row>
    <row r="164" spans="1:125" s="8" customFormat="1" ht="48" x14ac:dyDescent="0.2">
      <c r="A164" s="77">
        <v>41286</v>
      </c>
      <c r="B164" s="80" t="s">
        <v>2700</v>
      </c>
      <c r="C164" s="81" t="s">
        <v>679</v>
      </c>
      <c r="D164" s="81" t="s">
        <v>2846</v>
      </c>
      <c r="E164" s="75" t="str">
        <f>VLOOKUP(B164&amp;C164,Divipola!$C$2:$F$1138,4,FALSE)</f>
        <v>15763</v>
      </c>
      <c r="F164" s="90"/>
      <c r="G164" s="90"/>
      <c r="H164" s="90"/>
      <c r="I164" s="90"/>
      <c r="J164" s="90"/>
      <c r="K164" s="90"/>
      <c r="L164" s="90"/>
      <c r="M164" s="90"/>
      <c r="N164" s="90"/>
      <c r="O164" s="90"/>
      <c r="P164" s="90"/>
      <c r="Q164" s="90"/>
      <c r="R164" s="90"/>
      <c r="S164" s="90"/>
      <c r="T164" s="90"/>
      <c r="U164" s="128">
        <v>40</v>
      </c>
      <c r="V164" s="89"/>
      <c r="W164" s="96">
        <v>0</v>
      </c>
      <c r="X164" s="71">
        <f>CU164</f>
        <v>0</v>
      </c>
      <c r="Y164" s="71">
        <f>CY164</f>
        <v>0</v>
      </c>
      <c r="Z164" s="71">
        <f>DA164+DC164+DE164</f>
        <v>0</v>
      </c>
      <c r="AA164" s="71">
        <f>CW164</f>
        <v>0</v>
      </c>
      <c r="AB164" s="71"/>
      <c r="AC164" s="71">
        <v>0</v>
      </c>
      <c r="AD164" s="71">
        <f>W164+X164+Y164+Z164+AA164+AB164+AC164</f>
        <v>0</v>
      </c>
      <c r="AE164" s="72">
        <v>0</v>
      </c>
      <c r="AF164" s="5"/>
      <c r="AG164" s="6"/>
      <c r="AH164" s="27" t="s">
        <v>3392</v>
      </c>
      <c r="AI164" s="44" t="s">
        <v>3393</v>
      </c>
      <c r="AJ164" s="26"/>
      <c r="AK164" s="5"/>
      <c r="AL164" s="82" t="s">
        <v>3016</v>
      </c>
      <c r="AM164" s="76"/>
      <c r="AN164" s="76"/>
      <c r="AO164" s="76"/>
      <c r="AP164" s="76"/>
      <c r="AQ164" s="76"/>
      <c r="AR164" s="76"/>
      <c r="AS164" s="76"/>
      <c r="AT164" s="76"/>
      <c r="AU164" s="76"/>
      <c r="AV164" s="76"/>
      <c r="AW164" s="76"/>
      <c r="AX164" s="76">
        <f>+AW164*600000</f>
        <v>0</v>
      </c>
      <c r="AY164" s="76"/>
      <c r="AZ164" s="76">
        <f>+AY164*70000</f>
        <v>0</v>
      </c>
      <c r="BA164" s="76"/>
      <c r="BB164" s="76"/>
      <c r="BC164" s="76"/>
      <c r="BD164" s="76">
        <f>+BC164*30000</f>
        <v>0</v>
      </c>
      <c r="BE164" s="76"/>
      <c r="BF164" s="76"/>
      <c r="BG164" s="76"/>
      <c r="BH164" s="76"/>
      <c r="BI164" s="76"/>
      <c r="BJ164" s="76"/>
      <c r="BK164" s="76"/>
      <c r="BL164" s="76">
        <f>+BK164*31500</f>
        <v>0</v>
      </c>
      <c r="BM164" s="76"/>
      <c r="BN164" s="76"/>
      <c r="BO164" s="76"/>
      <c r="BP164" s="76"/>
      <c r="BQ164" s="76"/>
      <c r="BR164" s="76"/>
      <c r="BS164" s="76"/>
      <c r="BT164" s="76"/>
      <c r="BU164" s="76"/>
      <c r="BV164" s="76"/>
      <c r="BW164" s="76"/>
      <c r="BX164" s="76"/>
      <c r="BY164" s="76"/>
      <c r="BZ164" s="76"/>
      <c r="CA164" s="76"/>
      <c r="CB164" s="76"/>
      <c r="CC164" s="76"/>
      <c r="CD164" s="76"/>
      <c r="CE164" s="76"/>
      <c r="CF164" s="76">
        <f>+CE164*28000</f>
        <v>0</v>
      </c>
      <c r="CG164" s="76"/>
      <c r="CH164" s="76">
        <f>+CG164*22500</f>
        <v>0</v>
      </c>
      <c r="CI164" s="76"/>
      <c r="CJ164" s="76">
        <f>+CI164*26000</f>
        <v>0</v>
      </c>
      <c r="CK164" s="76"/>
      <c r="CL164" s="76"/>
      <c r="CM164" s="76"/>
      <c r="CN164" s="76">
        <f>+CM164*22000</f>
        <v>0</v>
      </c>
      <c r="CO164" s="76"/>
      <c r="CP164" s="76">
        <f>+CO164*46000</f>
        <v>0</v>
      </c>
      <c r="CQ164" s="76"/>
      <c r="CR164" s="76">
        <f>+CQ164*49000</f>
        <v>0</v>
      </c>
      <c r="CS164" s="76"/>
      <c r="CT164" s="76"/>
      <c r="CU164" s="56">
        <f>AN164+AP164+AR164+AT164+AV164+AX164+AZ164+BB164+BD164+BF164+BH164+BJ164+BL164+BN164+BP164+BR164+BT164+BV164+BX164+BZ164+CB164+CD164+CF164+CH164+CJ164+CL164+CN164+CP164+CR164+CT164</f>
        <v>0</v>
      </c>
      <c r="CV164" s="76"/>
      <c r="CW164" s="76">
        <f>+CV164*1100</f>
        <v>0</v>
      </c>
      <c r="CX164" s="76"/>
      <c r="CY164" s="76">
        <f>+CX164*106250</f>
        <v>0</v>
      </c>
      <c r="CZ164" s="76"/>
      <c r="DA164" s="76">
        <f>+CZ164*34500</f>
        <v>0</v>
      </c>
      <c r="DB164" s="76"/>
      <c r="DC164" s="76">
        <f>+DB164*25000</f>
        <v>0</v>
      </c>
      <c r="DD164" s="219"/>
      <c r="DE164" s="219"/>
      <c r="DF164" s="164"/>
      <c r="DG164" s="116"/>
      <c r="DH164" s="117"/>
      <c r="DI164" s="24"/>
      <c r="DJ164" s="24"/>
      <c r="DK164" s="24"/>
      <c r="DL164" s="24"/>
      <c r="DM164" s="24"/>
      <c r="DN164" s="24"/>
      <c r="DO164" s="24"/>
      <c r="DP164" s="24"/>
      <c r="DQ164" s="24"/>
      <c r="DR164" s="24"/>
      <c r="DS164" s="24"/>
      <c r="DT164" s="24"/>
      <c r="DU164" s="24"/>
    </row>
    <row r="165" spans="1:125" s="8" customFormat="1" ht="48" x14ac:dyDescent="0.2">
      <c r="A165" s="77">
        <v>41286</v>
      </c>
      <c r="B165" s="78" t="s">
        <v>2700</v>
      </c>
      <c r="C165" s="75" t="s">
        <v>728</v>
      </c>
      <c r="D165" s="81" t="s">
        <v>2846</v>
      </c>
      <c r="E165" s="75" t="str">
        <f>VLOOKUP(B165&amp;C165,Divipola!$C$2:$F$1138,4,FALSE)</f>
        <v>15861</v>
      </c>
      <c r="F165" s="87"/>
      <c r="G165" s="87"/>
      <c r="H165" s="87"/>
      <c r="I165" s="87"/>
      <c r="J165" s="87"/>
      <c r="K165" s="87"/>
      <c r="L165" s="87"/>
      <c r="M165" s="87"/>
      <c r="N165" s="87"/>
      <c r="O165" s="87"/>
      <c r="P165" s="87"/>
      <c r="Q165" s="87"/>
      <c r="R165" s="87"/>
      <c r="S165" s="87"/>
      <c r="T165" s="87"/>
      <c r="U165" s="127">
        <v>3</v>
      </c>
      <c r="V165" s="89"/>
      <c r="W165" s="96">
        <v>0</v>
      </c>
      <c r="X165" s="71">
        <f>CU165</f>
        <v>0</v>
      </c>
      <c r="Y165" s="71">
        <f>CY165</f>
        <v>0</v>
      </c>
      <c r="Z165" s="71">
        <f>DA165+DC165+DE165</f>
        <v>0</v>
      </c>
      <c r="AA165" s="71">
        <f>CW165</f>
        <v>0</v>
      </c>
      <c r="AB165" s="71"/>
      <c r="AC165" s="71">
        <v>0</v>
      </c>
      <c r="AD165" s="71">
        <f>W165+X165+Y165+Z165+AA165+AB165+AC165</f>
        <v>0</v>
      </c>
      <c r="AE165" s="72">
        <v>0</v>
      </c>
      <c r="AF165" s="5"/>
      <c r="AG165" s="6"/>
      <c r="AH165" s="27" t="s">
        <v>3392</v>
      </c>
      <c r="AI165" s="44" t="s">
        <v>3393</v>
      </c>
      <c r="AJ165" s="26"/>
      <c r="AK165" s="5"/>
      <c r="AL165" s="82" t="s">
        <v>3030</v>
      </c>
      <c r="AM165" s="76"/>
      <c r="AN165" s="76"/>
      <c r="AO165" s="76"/>
      <c r="AP165" s="76"/>
      <c r="AQ165" s="76"/>
      <c r="AR165" s="76"/>
      <c r="AS165" s="76"/>
      <c r="AT165" s="76"/>
      <c r="AU165" s="76"/>
      <c r="AV165" s="76"/>
      <c r="AW165" s="76"/>
      <c r="AX165" s="76">
        <f>+AW165*600000</f>
        <v>0</v>
      </c>
      <c r="AY165" s="76"/>
      <c r="AZ165" s="76">
        <f>+AY165*70000</f>
        <v>0</v>
      </c>
      <c r="BA165" s="76"/>
      <c r="BB165" s="76"/>
      <c r="BC165" s="76"/>
      <c r="BD165" s="76">
        <f>+BC165*30000</f>
        <v>0</v>
      </c>
      <c r="BE165" s="76"/>
      <c r="BF165" s="76"/>
      <c r="BG165" s="76"/>
      <c r="BH165" s="76"/>
      <c r="BI165" s="76"/>
      <c r="BJ165" s="76"/>
      <c r="BK165" s="76"/>
      <c r="BL165" s="76">
        <f>+BK165*31500</f>
        <v>0</v>
      </c>
      <c r="BM165" s="76"/>
      <c r="BN165" s="76"/>
      <c r="BO165" s="76"/>
      <c r="BP165" s="76"/>
      <c r="BQ165" s="76"/>
      <c r="BR165" s="76"/>
      <c r="BS165" s="76"/>
      <c r="BT165" s="76"/>
      <c r="BU165" s="76"/>
      <c r="BV165" s="76"/>
      <c r="BW165" s="76"/>
      <c r="BX165" s="76"/>
      <c r="BY165" s="76"/>
      <c r="BZ165" s="76"/>
      <c r="CA165" s="76"/>
      <c r="CB165" s="76"/>
      <c r="CC165" s="76"/>
      <c r="CD165" s="76"/>
      <c r="CE165" s="76"/>
      <c r="CF165" s="76">
        <f>+CE165*28000</f>
        <v>0</v>
      </c>
      <c r="CG165" s="76"/>
      <c r="CH165" s="76">
        <f>+CG165*22500</f>
        <v>0</v>
      </c>
      <c r="CI165" s="76"/>
      <c r="CJ165" s="76">
        <f>+CI165*26000</f>
        <v>0</v>
      </c>
      <c r="CK165" s="76"/>
      <c r="CL165" s="76"/>
      <c r="CM165" s="76"/>
      <c r="CN165" s="76">
        <f>+CM165*22000</f>
        <v>0</v>
      </c>
      <c r="CO165" s="76"/>
      <c r="CP165" s="76">
        <f>+CO165*46000</f>
        <v>0</v>
      </c>
      <c r="CQ165" s="76"/>
      <c r="CR165" s="76">
        <f>+CQ165*49000</f>
        <v>0</v>
      </c>
      <c r="CS165" s="76"/>
      <c r="CT165" s="76"/>
      <c r="CU165" s="56">
        <f>AN165+AP165+AR165+AT165+AV165+AX165+AZ165+BB165+BD165+BF165+BH165+BJ165+BL165+BN165+BP165+BR165+BT165+BV165+BX165+BZ165+CB165+CD165+CF165+CH165+CJ165+CL165+CN165+CP165+CR165+CT165</f>
        <v>0</v>
      </c>
      <c r="CV165" s="76"/>
      <c r="CW165" s="76">
        <f>+CV165*1100</f>
        <v>0</v>
      </c>
      <c r="CX165" s="76"/>
      <c r="CY165" s="76">
        <f>+CX165*106250</f>
        <v>0</v>
      </c>
      <c r="CZ165" s="76"/>
      <c r="DA165" s="76">
        <f>+CZ165*34500</f>
        <v>0</v>
      </c>
      <c r="DB165" s="76"/>
      <c r="DC165" s="76">
        <f>+DB165*25000</f>
        <v>0</v>
      </c>
      <c r="DD165" s="219"/>
      <c r="DE165" s="219"/>
      <c r="DF165" s="164"/>
      <c r="DG165" s="116"/>
      <c r="DH165" s="117"/>
      <c r="DI165" s="24"/>
      <c r="DJ165" s="24"/>
      <c r="DK165" s="24"/>
      <c r="DL165" s="24"/>
      <c r="DM165" s="24"/>
      <c r="DN165" s="24"/>
      <c r="DO165" s="24"/>
      <c r="DP165" s="24"/>
      <c r="DQ165" s="24"/>
      <c r="DR165" s="24"/>
      <c r="DS165" s="24"/>
      <c r="DT165" s="24"/>
      <c r="DU165" s="24"/>
    </row>
    <row r="166" spans="1:125" s="8" customFormat="1" ht="36" x14ac:dyDescent="0.2">
      <c r="A166" s="85">
        <v>41286</v>
      </c>
      <c r="B166" s="80" t="s">
        <v>2196</v>
      </c>
      <c r="C166" s="81" t="s">
        <v>2123</v>
      </c>
      <c r="D166" s="81" t="s">
        <v>2846</v>
      </c>
      <c r="E166" s="75" t="str">
        <f>VLOOKUP(B166&amp;C166,Divipola!$C$2:$F$1138,4,FALSE)</f>
        <v>17662</v>
      </c>
      <c r="F166" s="87"/>
      <c r="G166" s="87"/>
      <c r="H166" s="87"/>
      <c r="I166" s="87"/>
      <c r="J166" s="87"/>
      <c r="K166" s="87"/>
      <c r="L166" s="87"/>
      <c r="M166" s="87"/>
      <c r="N166" s="87"/>
      <c r="O166" s="87"/>
      <c r="P166" s="87"/>
      <c r="Q166" s="87"/>
      <c r="R166" s="87"/>
      <c r="S166" s="87"/>
      <c r="T166" s="87"/>
      <c r="U166" s="127">
        <v>6</v>
      </c>
      <c r="V166" s="89"/>
      <c r="W166" s="96">
        <v>0</v>
      </c>
      <c r="X166" s="71">
        <f>CU166</f>
        <v>0</v>
      </c>
      <c r="Y166" s="71">
        <f>CY166</f>
        <v>0</v>
      </c>
      <c r="Z166" s="71">
        <f>DA166+DC166+DE166</f>
        <v>0</v>
      </c>
      <c r="AA166" s="71">
        <f>CW166</f>
        <v>0</v>
      </c>
      <c r="AB166" s="71"/>
      <c r="AC166" s="71">
        <v>0</v>
      </c>
      <c r="AD166" s="71">
        <f>W166+X166+Y166+Z166+AA166+AB166+AC166</f>
        <v>0</v>
      </c>
      <c r="AE166" s="72">
        <v>0</v>
      </c>
      <c r="AF166" s="5"/>
      <c r="AG166" s="6"/>
      <c r="AH166" s="27" t="s">
        <v>3392</v>
      </c>
      <c r="AI166" s="44" t="s">
        <v>3393</v>
      </c>
      <c r="AJ166" s="26"/>
      <c r="AK166" s="5"/>
      <c r="AL166" s="82" t="s">
        <v>3026</v>
      </c>
      <c r="AM166" s="76"/>
      <c r="AN166" s="76"/>
      <c r="AO166" s="76"/>
      <c r="AP166" s="76"/>
      <c r="AQ166" s="76"/>
      <c r="AR166" s="76"/>
      <c r="AS166" s="76"/>
      <c r="AT166" s="76"/>
      <c r="AU166" s="76"/>
      <c r="AV166" s="76"/>
      <c r="AW166" s="76"/>
      <c r="AX166" s="76">
        <f>+AW166*600000</f>
        <v>0</v>
      </c>
      <c r="AY166" s="76"/>
      <c r="AZ166" s="76">
        <f>+AY166*70000</f>
        <v>0</v>
      </c>
      <c r="BA166" s="76"/>
      <c r="BB166" s="76"/>
      <c r="BC166" s="76"/>
      <c r="BD166" s="76">
        <f>+BC166*30000</f>
        <v>0</v>
      </c>
      <c r="BE166" s="76"/>
      <c r="BF166" s="76"/>
      <c r="BG166" s="76"/>
      <c r="BH166" s="76"/>
      <c r="BI166" s="76"/>
      <c r="BJ166" s="76"/>
      <c r="BK166" s="76"/>
      <c r="BL166" s="76">
        <f>+BK166*31500</f>
        <v>0</v>
      </c>
      <c r="BM166" s="76"/>
      <c r="BN166" s="76"/>
      <c r="BO166" s="76"/>
      <c r="BP166" s="76"/>
      <c r="BQ166" s="76"/>
      <c r="BR166" s="76"/>
      <c r="BS166" s="76"/>
      <c r="BT166" s="76"/>
      <c r="BU166" s="76"/>
      <c r="BV166" s="76"/>
      <c r="BW166" s="76"/>
      <c r="BX166" s="76"/>
      <c r="BY166" s="76"/>
      <c r="BZ166" s="76"/>
      <c r="CA166" s="76"/>
      <c r="CB166" s="76"/>
      <c r="CC166" s="76"/>
      <c r="CD166" s="76"/>
      <c r="CE166" s="76"/>
      <c r="CF166" s="76">
        <f>+CE166*28000</f>
        <v>0</v>
      </c>
      <c r="CG166" s="76"/>
      <c r="CH166" s="76">
        <f>+CG166*22500</f>
        <v>0</v>
      </c>
      <c r="CI166" s="76"/>
      <c r="CJ166" s="76">
        <f>+CI166*26000</f>
        <v>0</v>
      </c>
      <c r="CK166" s="76"/>
      <c r="CL166" s="76"/>
      <c r="CM166" s="76"/>
      <c r="CN166" s="76">
        <f>+CM166*22000</f>
        <v>0</v>
      </c>
      <c r="CO166" s="76"/>
      <c r="CP166" s="76">
        <f>+CO166*46000</f>
        <v>0</v>
      </c>
      <c r="CQ166" s="76"/>
      <c r="CR166" s="76">
        <f>+CQ166*49000</f>
        <v>0</v>
      </c>
      <c r="CS166" s="76"/>
      <c r="CT166" s="76"/>
      <c r="CU166" s="56">
        <f>AN166+AP166+AR166+AT166+AV166+AX166+AZ166+BB166+BD166+BF166+BH166+BJ166+BL166+BN166+BP166+BR166+BT166+BV166+BX166+BZ166+CB166+CD166+CF166+CH166+CJ166+CL166+CN166+CP166+CR166+CT166</f>
        <v>0</v>
      </c>
      <c r="CV166" s="76"/>
      <c r="CW166" s="76">
        <f>+CV166*1100</f>
        <v>0</v>
      </c>
      <c r="CX166" s="76"/>
      <c r="CY166" s="76">
        <f>+CX166*106250</f>
        <v>0</v>
      </c>
      <c r="CZ166" s="76"/>
      <c r="DA166" s="76">
        <f>+CZ166*34500</f>
        <v>0</v>
      </c>
      <c r="DB166" s="76"/>
      <c r="DC166" s="76">
        <f>+DB166*25000</f>
        <v>0</v>
      </c>
      <c r="DD166" s="219"/>
      <c r="DE166" s="219"/>
      <c r="DF166" s="164"/>
      <c r="DG166" s="116"/>
      <c r="DH166" s="117"/>
      <c r="DI166" s="24"/>
      <c r="DJ166" s="24"/>
      <c r="DK166" s="24"/>
      <c r="DL166" s="24"/>
      <c r="DM166" s="24"/>
      <c r="DN166" s="24"/>
      <c r="DO166" s="24"/>
      <c r="DP166" s="24"/>
      <c r="DQ166" s="24"/>
      <c r="DR166" s="24"/>
      <c r="DS166" s="24"/>
      <c r="DT166" s="24"/>
      <c r="DU166" s="24"/>
    </row>
    <row r="167" spans="1:125" s="8" customFormat="1" ht="48" x14ac:dyDescent="0.2">
      <c r="A167" s="77">
        <v>41286</v>
      </c>
      <c r="B167" s="80" t="s">
        <v>2778</v>
      </c>
      <c r="C167" s="81" t="s">
        <v>1344</v>
      </c>
      <c r="D167" s="81" t="s">
        <v>2846</v>
      </c>
      <c r="E167" s="75" t="str">
        <f>VLOOKUP(B167&amp;C167,Divipola!$C$2:$F$1138,4,FALSE)</f>
        <v>85001</v>
      </c>
      <c r="F167" s="87"/>
      <c r="G167" s="87"/>
      <c r="H167" s="87"/>
      <c r="I167" s="87"/>
      <c r="J167" s="87"/>
      <c r="K167" s="87"/>
      <c r="L167" s="87"/>
      <c r="M167" s="87"/>
      <c r="N167" s="87"/>
      <c r="O167" s="87"/>
      <c r="P167" s="87"/>
      <c r="Q167" s="87"/>
      <c r="R167" s="87"/>
      <c r="S167" s="87"/>
      <c r="T167" s="87"/>
      <c r="U167" s="127">
        <v>30</v>
      </c>
      <c r="V167" s="89"/>
      <c r="W167" s="96">
        <v>0</v>
      </c>
      <c r="X167" s="71">
        <f>CU167</f>
        <v>0</v>
      </c>
      <c r="Y167" s="71">
        <f>CY167</f>
        <v>0</v>
      </c>
      <c r="Z167" s="71">
        <f>DA167+DC167+DE167</f>
        <v>0</v>
      </c>
      <c r="AA167" s="71">
        <f>CW167</f>
        <v>0</v>
      </c>
      <c r="AB167" s="71"/>
      <c r="AC167" s="71">
        <v>0</v>
      </c>
      <c r="AD167" s="71">
        <f>W167+X167+Y167+Z167+AA167+AB167+AC167</f>
        <v>0</v>
      </c>
      <c r="AE167" s="72">
        <v>0</v>
      </c>
      <c r="AF167" s="5"/>
      <c r="AG167" s="6"/>
      <c r="AH167" s="27" t="s">
        <v>3392</v>
      </c>
      <c r="AI167" s="44" t="s">
        <v>3393</v>
      </c>
      <c r="AJ167" s="26"/>
      <c r="AK167" s="5"/>
      <c r="AL167" s="82" t="s">
        <v>3008</v>
      </c>
      <c r="AM167" s="76"/>
      <c r="AN167" s="76"/>
      <c r="AO167" s="76"/>
      <c r="AP167" s="76"/>
      <c r="AQ167" s="76"/>
      <c r="AR167" s="76"/>
      <c r="AS167" s="76"/>
      <c r="AT167" s="76"/>
      <c r="AU167" s="76"/>
      <c r="AV167" s="76"/>
      <c r="AW167" s="76"/>
      <c r="AX167" s="76">
        <f>+AW167*600000</f>
        <v>0</v>
      </c>
      <c r="AY167" s="76"/>
      <c r="AZ167" s="76">
        <f>+AY167*70000</f>
        <v>0</v>
      </c>
      <c r="BA167" s="76"/>
      <c r="BB167" s="76"/>
      <c r="BC167" s="76"/>
      <c r="BD167" s="76">
        <f>+BC167*30000</f>
        <v>0</v>
      </c>
      <c r="BE167" s="76"/>
      <c r="BF167" s="76"/>
      <c r="BG167" s="76"/>
      <c r="BH167" s="76"/>
      <c r="BI167" s="76"/>
      <c r="BJ167" s="76"/>
      <c r="BK167" s="76"/>
      <c r="BL167" s="76">
        <f>+BK167*31500</f>
        <v>0</v>
      </c>
      <c r="BM167" s="76"/>
      <c r="BN167" s="76"/>
      <c r="BO167" s="76"/>
      <c r="BP167" s="76"/>
      <c r="BQ167" s="76"/>
      <c r="BR167" s="76"/>
      <c r="BS167" s="76"/>
      <c r="BT167" s="76"/>
      <c r="BU167" s="76"/>
      <c r="BV167" s="76"/>
      <c r="BW167" s="76"/>
      <c r="BX167" s="76"/>
      <c r="BY167" s="76"/>
      <c r="BZ167" s="76"/>
      <c r="CA167" s="76"/>
      <c r="CB167" s="76"/>
      <c r="CC167" s="76"/>
      <c r="CD167" s="76"/>
      <c r="CE167" s="76"/>
      <c r="CF167" s="76">
        <f>+CE167*28000</f>
        <v>0</v>
      </c>
      <c r="CG167" s="76"/>
      <c r="CH167" s="76">
        <f>+CG167*22500</f>
        <v>0</v>
      </c>
      <c r="CI167" s="76"/>
      <c r="CJ167" s="76">
        <f>+CI167*26000</f>
        <v>0</v>
      </c>
      <c r="CK167" s="76"/>
      <c r="CL167" s="76"/>
      <c r="CM167" s="76"/>
      <c r="CN167" s="76">
        <f>+CM167*22000</f>
        <v>0</v>
      </c>
      <c r="CO167" s="76"/>
      <c r="CP167" s="76">
        <f>+CO167*46000</f>
        <v>0</v>
      </c>
      <c r="CQ167" s="76"/>
      <c r="CR167" s="76">
        <f>+CQ167*49000</f>
        <v>0</v>
      </c>
      <c r="CS167" s="76"/>
      <c r="CT167" s="76"/>
      <c r="CU167" s="56">
        <f>AN167+AP167+AR167+AT167+AV167+AX167+AZ167+BB167+BD167+BF167+BH167+BJ167+BL167+BN167+BP167+BR167+BT167+BV167+BX167+BZ167+CB167+CD167+CF167+CH167+CJ167+CL167+CN167+CP167+CR167+CT167</f>
        <v>0</v>
      </c>
      <c r="CV167" s="76"/>
      <c r="CW167" s="76">
        <f>+CV167*1100</f>
        <v>0</v>
      </c>
      <c r="CX167" s="76"/>
      <c r="CY167" s="76">
        <f>+CX167*106250</f>
        <v>0</v>
      </c>
      <c r="CZ167" s="76"/>
      <c r="DA167" s="76">
        <f>+CZ167*34500</f>
        <v>0</v>
      </c>
      <c r="DB167" s="76"/>
      <c r="DC167" s="76">
        <f>+DB167*25000</f>
        <v>0</v>
      </c>
      <c r="DD167" s="219"/>
      <c r="DE167" s="219"/>
      <c r="DF167" s="164"/>
      <c r="DG167" s="116"/>
      <c r="DH167" s="117"/>
      <c r="DI167" s="24"/>
      <c r="DJ167" s="24"/>
      <c r="DK167" s="24"/>
      <c r="DL167" s="24"/>
      <c r="DM167" s="24"/>
      <c r="DN167" s="24"/>
      <c r="DO167" s="24"/>
      <c r="DP167" s="24"/>
      <c r="DQ167" s="24"/>
      <c r="DR167" s="24"/>
      <c r="DS167" s="24"/>
      <c r="DT167" s="24"/>
      <c r="DU167" s="24"/>
    </row>
    <row r="168" spans="1:125" s="8" customFormat="1" ht="96" x14ac:dyDescent="0.2">
      <c r="A168" s="77">
        <v>41286</v>
      </c>
      <c r="B168" s="78" t="s">
        <v>2855</v>
      </c>
      <c r="C168" s="75" t="s">
        <v>922</v>
      </c>
      <c r="D168" s="81" t="s">
        <v>2846</v>
      </c>
      <c r="E168" s="75" t="str">
        <f>VLOOKUP(B168&amp;C168,Divipola!$C$2:$F$1138,4,FALSE)</f>
        <v>20443</v>
      </c>
      <c r="F168" s="87"/>
      <c r="G168" s="87"/>
      <c r="H168" s="87"/>
      <c r="I168" s="87"/>
      <c r="J168" s="87"/>
      <c r="K168" s="87"/>
      <c r="L168" s="87"/>
      <c r="M168" s="87"/>
      <c r="N168" s="87"/>
      <c r="O168" s="87"/>
      <c r="P168" s="87"/>
      <c r="Q168" s="87"/>
      <c r="R168" s="87"/>
      <c r="S168" s="87"/>
      <c r="T168" s="87"/>
      <c r="U168" s="127">
        <v>55</v>
      </c>
      <c r="V168" s="89"/>
      <c r="W168" s="96">
        <v>0</v>
      </c>
      <c r="X168" s="71">
        <f>CU168</f>
        <v>0</v>
      </c>
      <c r="Y168" s="71">
        <f>CY168</f>
        <v>0</v>
      </c>
      <c r="Z168" s="71">
        <f>DA168+DC168+DE168</f>
        <v>0</v>
      </c>
      <c r="AA168" s="71">
        <f>CW168</f>
        <v>0</v>
      </c>
      <c r="AB168" s="71"/>
      <c r="AC168" s="71">
        <v>0</v>
      </c>
      <c r="AD168" s="71">
        <f>W168+X168+Y168+Z168+AA168+AB168+AC168</f>
        <v>0</v>
      </c>
      <c r="AE168" s="72">
        <v>0</v>
      </c>
      <c r="AF168" s="5"/>
      <c r="AG168" s="6"/>
      <c r="AH168" s="27" t="s">
        <v>3392</v>
      </c>
      <c r="AI168" s="44" t="s">
        <v>3393</v>
      </c>
      <c r="AJ168" s="26"/>
      <c r="AK168" s="5"/>
      <c r="AL168" s="82" t="s">
        <v>3241</v>
      </c>
      <c r="AM168" s="76"/>
      <c r="AN168" s="76"/>
      <c r="AO168" s="76"/>
      <c r="AP168" s="76"/>
      <c r="AQ168" s="76"/>
      <c r="AR168" s="76"/>
      <c r="AS168" s="76"/>
      <c r="AT168" s="76"/>
      <c r="AU168" s="76"/>
      <c r="AV168" s="76"/>
      <c r="AW168" s="76"/>
      <c r="AX168" s="76">
        <f>+AW168*600000</f>
        <v>0</v>
      </c>
      <c r="AY168" s="76"/>
      <c r="AZ168" s="76">
        <f>+AY168*70000</f>
        <v>0</v>
      </c>
      <c r="BA168" s="76"/>
      <c r="BB168" s="76"/>
      <c r="BC168" s="76"/>
      <c r="BD168" s="76">
        <f>+BC168*30000</f>
        <v>0</v>
      </c>
      <c r="BE168" s="76"/>
      <c r="BF168" s="76"/>
      <c r="BG168" s="76"/>
      <c r="BH168" s="76"/>
      <c r="BI168" s="76"/>
      <c r="BJ168" s="76"/>
      <c r="BK168" s="76"/>
      <c r="BL168" s="76">
        <f>+BK168*31500</f>
        <v>0</v>
      </c>
      <c r="BM168" s="76"/>
      <c r="BN168" s="76"/>
      <c r="BO168" s="76"/>
      <c r="BP168" s="76"/>
      <c r="BQ168" s="76"/>
      <c r="BR168" s="76"/>
      <c r="BS168" s="76"/>
      <c r="BT168" s="76"/>
      <c r="BU168" s="76"/>
      <c r="BV168" s="76"/>
      <c r="BW168" s="76"/>
      <c r="BX168" s="76"/>
      <c r="BY168" s="76"/>
      <c r="BZ168" s="76"/>
      <c r="CA168" s="76"/>
      <c r="CB168" s="76"/>
      <c r="CC168" s="76"/>
      <c r="CD168" s="76"/>
      <c r="CE168" s="76"/>
      <c r="CF168" s="76">
        <f>+CE168*28000</f>
        <v>0</v>
      </c>
      <c r="CG168" s="76"/>
      <c r="CH168" s="76">
        <f>+CG168*22500</f>
        <v>0</v>
      </c>
      <c r="CI168" s="76"/>
      <c r="CJ168" s="76">
        <f>+CI168*26000</f>
        <v>0</v>
      </c>
      <c r="CK168" s="76"/>
      <c r="CL168" s="76"/>
      <c r="CM168" s="76"/>
      <c r="CN168" s="76">
        <f>+CM168*22000</f>
        <v>0</v>
      </c>
      <c r="CO168" s="76"/>
      <c r="CP168" s="76">
        <f>+CO168*46000</f>
        <v>0</v>
      </c>
      <c r="CQ168" s="76"/>
      <c r="CR168" s="76">
        <f>+CQ168*49000</f>
        <v>0</v>
      </c>
      <c r="CS168" s="76"/>
      <c r="CT168" s="76"/>
      <c r="CU168" s="56">
        <f>AN168+AP168+AR168+AT168+AV168+AX168+AZ168+BB168+BD168+BF168+BH168+BJ168+BL168+BN168+BP168+BR168+BT168+BV168+BX168+BZ168+CB168+CD168+CF168+CH168+CJ168+CL168+CN168+CP168+CR168+CT168</f>
        <v>0</v>
      </c>
      <c r="CV168" s="76"/>
      <c r="CW168" s="76">
        <f>+CV168*1100</f>
        <v>0</v>
      </c>
      <c r="CX168" s="76"/>
      <c r="CY168" s="76">
        <f>+CX168*106250</f>
        <v>0</v>
      </c>
      <c r="CZ168" s="76"/>
      <c r="DA168" s="76">
        <f>+CZ168*34500</f>
        <v>0</v>
      </c>
      <c r="DB168" s="76"/>
      <c r="DC168" s="76">
        <f>+DB168*25000</f>
        <v>0</v>
      </c>
      <c r="DD168" s="219"/>
      <c r="DE168" s="219"/>
      <c r="DF168" s="164"/>
      <c r="DG168" s="116"/>
      <c r="DH168" s="117"/>
      <c r="DI168" s="24"/>
      <c r="DJ168" s="24"/>
      <c r="DK168" s="24"/>
      <c r="DL168" s="24"/>
      <c r="DM168" s="24"/>
      <c r="DN168" s="24"/>
      <c r="DO168" s="24"/>
      <c r="DP168" s="24"/>
      <c r="DQ168" s="24"/>
      <c r="DR168" s="24"/>
      <c r="DS168" s="24"/>
      <c r="DT168" s="24"/>
      <c r="DU168" s="24"/>
    </row>
    <row r="169" spans="1:125" s="8" customFormat="1" ht="36" x14ac:dyDescent="0.2">
      <c r="A169" s="85">
        <v>41286</v>
      </c>
      <c r="B169" s="80" t="s">
        <v>2661</v>
      </c>
      <c r="C169" s="81" t="s">
        <v>1368</v>
      </c>
      <c r="D169" s="81" t="s">
        <v>2846</v>
      </c>
      <c r="E169" s="75" t="str">
        <f>VLOOKUP(B169&amp;C169,Divipola!$C$2:$F$1138,4,FALSE)</f>
        <v>41770</v>
      </c>
      <c r="F169" s="87"/>
      <c r="G169" s="87"/>
      <c r="H169" s="87"/>
      <c r="I169" s="87"/>
      <c r="J169" s="87"/>
      <c r="K169" s="87"/>
      <c r="L169" s="87"/>
      <c r="M169" s="87"/>
      <c r="N169" s="87"/>
      <c r="O169" s="87"/>
      <c r="P169" s="87"/>
      <c r="Q169" s="87"/>
      <c r="R169" s="87"/>
      <c r="S169" s="87"/>
      <c r="T169" s="87"/>
      <c r="U169" s="127">
        <v>1</v>
      </c>
      <c r="V169" s="89"/>
      <c r="W169" s="96">
        <v>0</v>
      </c>
      <c r="X169" s="71">
        <f>CU169</f>
        <v>0</v>
      </c>
      <c r="Y169" s="71">
        <f>CY169</f>
        <v>0</v>
      </c>
      <c r="Z169" s="71">
        <f>DA169+DC169+DE169</f>
        <v>0</v>
      </c>
      <c r="AA169" s="71">
        <f>CW169</f>
        <v>0</v>
      </c>
      <c r="AB169" s="71"/>
      <c r="AC169" s="71">
        <v>0</v>
      </c>
      <c r="AD169" s="71">
        <f>W169+X169+Y169+Z169+AA169+AB169+AC169</f>
        <v>0</v>
      </c>
      <c r="AE169" s="72">
        <v>0</v>
      </c>
      <c r="AF169" s="5"/>
      <c r="AG169" s="6"/>
      <c r="AH169" s="27" t="s">
        <v>3392</v>
      </c>
      <c r="AI169" s="44" t="s">
        <v>3393</v>
      </c>
      <c r="AJ169" s="26"/>
      <c r="AK169" s="5"/>
      <c r="AL169" s="82" t="s">
        <v>3020</v>
      </c>
      <c r="AM169" s="76"/>
      <c r="AN169" s="76"/>
      <c r="AO169" s="76"/>
      <c r="AP169" s="76"/>
      <c r="AQ169" s="76"/>
      <c r="AR169" s="76"/>
      <c r="AS169" s="76"/>
      <c r="AT169" s="76"/>
      <c r="AU169" s="76"/>
      <c r="AV169" s="76"/>
      <c r="AW169" s="76"/>
      <c r="AX169" s="76">
        <f>+AW169*600000</f>
        <v>0</v>
      </c>
      <c r="AY169" s="76"/>
      <c r="AZ169" s="76">
        <f>+AY169*70000</f>
        <v>0</v>
      </c>
      <c r="BA169" s="76"/>
      <c r="BB169" s="76"/>
      <c r="BC169" s="76"/>
      <c r="BD169" s="76">
        <f>+BC169*30000</f>
        <v>0</v>
      </c>
      <c r="BE169" s="76"/>
      <c r="BF169" s="76"/>
      <c r="BG169" s="76"/>
      <c r="BH169" s="76"/>
      <c r="BI169" s="76"/>
      <c r="BJ169" s="76"/>
      <c r="BK169" s="76"/>
      <c r="BL169" s="76">
        <f>+BK169*31500</f>
        <v>0</v>
      </c>
      <c r="BM169" s="76"/>
      <c r="BN169" s="76"/>
      <c r="BO169" s="76"/>
      <c r="BP169" s="76"/>
      <c r="BQ169" s="76"/>
      <c r="BR169" s="76"/>
      <c r="BS169" s="76"/>
      <c r="BT169" s="76"/>
      <c r="BU169" s="76"/>
      <c r="BV169" s="76"/>
      <c r="BW169" s="76"/>
      <c r="BX169" s="76"/>
      <c r="BY169" s="76"/>
      <c r="BZ169" s="76"/>
      <c r="CA169" s="76"/>
      <c r="CB169" s="76"/>
      <c r="CC169" s="76"/>
      <c r="CD169" s="76"/>
      <c r="CE169" s="76"/>
      <c r="CF169" s="76">
        <f>+CE169*28000</f>
        <v>0</v>
      </c>
      <c r="CG169" s="76"/>
      <c r="CH169" s="76">
        <f>+CG169*22500</f>
        <v>0</v>
      </c>
      <c r="CI169" s="76"/>
      <c r="CJ169" s="76">
        <f>+CI169*26000</f>
        <v>0</v>
      </c>
      <c r="CK169" s="76"/>
      <c r="CL169" s="76"/>
      <c r="CM169" s="76"/>
      <c r="CN169" s="76">
        <f>+CM169*22000</f>
        <v>0</v>
      </c>
      <c r="CO169" s="76"/>
      <c r="CP169" s="76">
        <f>+CO169*46000</f>
        <v>0</v>
      </c>
      <c r="CQ169" s="76"/>
      <c r="CR169" s="76">
        <f>+CQ169*49000</f>
        <v>0</v>
      </c>
      <c r="CS169" s="76"/>
      <c r="CT169" s="76"/>
      <c r="CU169" s="56">
        <f>AN169+AP169+AR169+AT169+AV169+AX169+AZ169+BB169+BD169+BF169+BH169+BJ169+BL169+BN169+BP169+BR169+BT169+BV169+BX169+BZ169+CB169+CD169+CF169+CH169+CJ169+CL169+CN169+CP169+CR169+CT169</f>
        <v>0</v>
      </c>
      <c r="CV169" s="76"/>
      <c r="CW169" s="76">
        <f>+CV169*1100</f>
        <v>0</v>
      </c>
      <c r="CX169" s="76"/>
      <c r="CY169" s="76">
        <f>+CX169*106250</f>
        <v>0</v>
      </c>
      <c r="CZ169" s="76"/>
      <c r="DA169" s="76">
        <f>+CZ169*34500</f>
        <v>0</v>
      </c>
      <c r="DB169" s="76"/>
      <c r="DC169" s="76">
        <f>+DB169*25000</f>
        <v>0</v>
      </c>
      <c r="DD169" s="219"/>
      <c r="DE169" s="219"/>
      <c r="DF169" s="164"/>
      <c r="DG169" s="116"/>
      <c r="DH169" s="117"/>
      <c r="DI169" s="24"/>
      <c r="DJ169" s="24"/>
      <c r="DK169" s="24"/>
      <c r="DL169" s="24"/>
      <c r="DM169" s="24"/>
      <c r="DN169" s="24"/>
      <c r="DO169" s="24"/>
      <c r="DP169" s="24"/>
      <c r="DQ169" s="24"/>
      <c r="DR169" s="24"/>
      <c r="DS169" s="24"/>
      <c r="DT169" s="24"/>
      <c r="DU169" s="24"/>
    </row>
    <row r="170" spans="1:125" s="8" customFormat="1" ht="24" x14ac:dyDescent="0.2">
      <c r="A170" s="85">
        <v>41286</v>
      </c>
      <c r="B170" s="60" t="s">
        <v>2661</v>
      </c>
      <c r="C170" s="55" t="s">
        <v>2807</v>
      </c>
      <c r="D170" s="81" t="s">
        <v>2846</v>
      </c>
      <c r="E170" s="75" t="str">
        <f>VLOOKUP(B170&amp;C170,Divipola!$C$2:$F$1138,4,FALSE)</f>
        <v>41807</v>
      </c>
      <c r="F170" s="87"/>
      <c r="G170" s="87"/>
      <c r="H170" s="87"/>
      <c r="I170" s="87"/>
      <c r="J170" s="87"/>
      <c r="K170" s="87"/>
      <c r="L170" s="87"/>
      <c r="M170" s="87"/>
      <c r="N170" s="87"/>
      <c r="O170" s="87"/>
      <c r="P170" s="87"/>
      <c r="Q170" s="87"/>
      <c r="R170" s="87"/>
      <c r="S170" s="87"/>
      <c r="T170" s="87"/>
      <c r="U170" s="127">
        <v>1</v>
      </c>
      <c r="V170" s="89"/>
      <c r="W170" s="96">
        <v>0</v>
      </c>
      <c r="X170" s="71">
        <f>CU170</f>
        <v>0</v>
      </c>
      <c r="Y170" s="71">
        <f>CY170</f>
        <v>0</v>
      </c>
      <c r="Z170" s="71">
        <f>DA170+DC170+DE170</f>
        <v>0</v>
      </c>
      <c r="AA170" s="71">
        <f>CW170</f>
        <v>0</v>
      </c>
      <c r="AB170" s="71"/>
      <c r="AC170" s="71">
        <v>0</v>
      </c>
      <c r="AD170" s="71">
        <f>W170+X170+Y170+Z170+AA170+AB170+AC170</f>
        <v>0</v>
      </c>
      <c r="AE170" s="72">
        <v>0</v>
      </c>
      <c r="AF170" s="5"/>
      <c r="AG170" s="6"/>
      <c r="AH170" s="27" t="s">
        <v>3392</v>
      </c>
      <c r="AI170" s="44" t="s">
        <v>3393</v>
      </c>
      <c r="AJ170" s="26"/>
      <c r="AK170" s="5"/>
      <c r="AL170" s="82" t="s">
        <v>3021</v>
      </c>
      <c r="AM170" s="76"/>
      <c r="AN170" s="76"/>
      <c r="AO170" s="76"/>
      <c r="AP170" s="76"/>
      <c r="AQ170" s="76"/>
      <c r="AR170" s="76"/>
      <c r="AS170" s="76"/>
      <c r="AT170" s="76"/>
      <c r="AU170" s="76"/>
      <c r="AV170" s="76"/>
      <c r="AW170" s="76"/>
      <c r="AX170" s="76">
        <f>+AW170*600000</f>
        <v>0</v>
      </c>
      <c r="AY170" s="76"/>
      <c r="AZ170" s="76">
        <f>+AY170*70000</f>
        <v>0</v>
      </c>
      <c r="BA170" s="76"/>
      <c r="BB170" s="76"/>
      <c r="BC170" s="76"/>
      <c r="BD170" s="76">
        <f>+BC170*30000</f>
        <v>0</v>
      </c>
      <c r="BE170" s="76"/>
      <c r="BF170" s="76"/>
      <c r="BG170" s="76"/>
      <c r="BH170" s="76"/>
      <c r="BI170" s="76"/>
      <c r="BJ170" s="76"/>
      <c r="BK170" s="76"/>
      <c r="BL170" s="76">
        <f>+BK170*31500</f>
        <v>0</v>
      </c>
      <c r="BM170" s="76"/>
      <c r="BN170" s="76"/>
      <c r="BO170" s="76"/>
      <c r="BP170" s="76"/>
      <c r="BQ170" s="76"/>
      <c r="BR170" s="76"/>
      <c r="BS170" s="76"/>
      <c r="BT170" s="76"/>
      <c r="BU170" s="76"/>
      <c r="BV170" s="76"/>
      <c r="BW170" s="76"/>
      <c r="BX170" s="76"/>
      <c r="BY170" s="76"/>
      <c r="BZ170" s="76"/>
      <c r="CA170" s="76"/>
      <c r="CB170" s="76"/>
      <c r="CC170" s="76"/>
      <c r="CD170" s="76"/>
      <c r="CE170" s="76"/>
      <c r="CF170" s="76">
        <f>+CE170*28000</f>
        <v>0</v>
      </c>
      <c r="CG170" s="76"/>
      <c r="CH170" s="76">
        <f>+CG170*22500</f>
        <v>0</v>
      </c>
      <c r="CI170" s="76"/>
      <c r="CJ170" s="76">
        <f>+CI170*26000</f>
        <v>0</v>
      </c>
      <c r="CK170" s="76"/>
      <c r="CL170" s="76"/>
      <c r="CM170" s="76"/>
      <c r="CN170" s="76">
        <f>+CM170*22000</f>
        <v>0</v>
      </c>
      <c r="CO170" s="76"/>
      <c r="CP170" s="76">
        <f>+CO170*46000</f>
        <v>0</v>
      </c>
      <c r="CQ170" s="76"/>
      <c r="CR170" s="76">
        <f>+CQ170*49000</f>
        <v>0</v>
      </c>
      <c r="CS170" s="76"/>
      <c r="CT170" s="76"/>
      <c r="CU170" s="56">
        <f>AN170+AP170+AR170+AT170+AV170+AX170+AZ170+BB170+BD170+BF170+BH170+BJ170+BL170+BN170+BP170+BR170+BT170+BV170+BX170+BZ170+CB170+CD170+CF170+CH170+CJ170+CL170+CN170+CP170+CR170+CT170</f>
        <v>0</v>
      </c>
      <c r="CV170" s="76"/>
      <c r="CW170" s="76">
        <f>+CV170*1100</f>
        <v>0</v>
      </c>
      <c r="CX170" s="76"/>
      <c r="CY170" s="76">
        <f>+CX170*106250</f>
        <v>0</v>
      </c>
      <c r="CZ170" s="76"/>
      <c r="DA170" s="76">
        <f>+CZ170*34500</f>
        <v>0</v>
      </c>
      <c r="DB170" s="76"/>
      <c r="DC170" s="76">
        <f>+DB170*25000</f>
        <v>0</v>
      </c>
      <c r="DD170" s="219"/>
      <c r="DE170" s="219"/>
      <c r="DF170" s="164"/>
      <c r="DG170" s="116"/>
      <c r="DH170" s="117"/>
      <c r="DI170" s="24"/>
      <c r="DJ170" s="24"/>
      <c r="DK170" s="24"/>
      <c r="DL170" s="24"/>
      <c r="DM170" s="24"/>
      <c r="DN170" s="24"/>
      <c r="DO170" s="24"/>
      <c r="DP170" s="24"/>
      <c r="DQ170" s="24"/>
      <c r="DR170" s="24"/>
      <c r="DS170" s="24"/>
      <c r="DT170" s="24"/>
      <c r="DU170" s="24"/>
    </row>
    <row r="171" spans="1:125" s="8" customFormat="1" ht="60" x14ac:dyDescent="0.2">
      <c r="A171" s="85">
        <v>41286</v>
      </c>
      <c r="B171" s="80" t="s">
        <v>2860</v>
      </c>
      <c r="C171" s="81" t="s">
        <v>2776</v>
      </c>
      <c r="D171" s="81" t="s">
        <v>3017</v>
      </c>
      <c r="E171" s="75" t="str">
        <f>VLOOKUP(B171&amp;C171,Divipola!$C$2:$F$1138,4,FALSE)</f>
        <v>63001</v>
      </c>
      <c r="F171" s="87"/>
      <c r="G171" s="87"/>
      <c r="H171" s="87"/>
      <c r="I171" s="87">
        <v>5</v>
      </c>
      <c r="J171" s="87">
        <v>1</v>
      </c>
      <c r="K171" s="87"/>
      <c r="L171" s="87">
        <v>1</v>
      </c>
      <c r="M171" s="87"/>
      <c r="N171" s="87"/>
      <c r="O171" s="87"/>
      <c r="P171" s="87"/>
      <c r="Q171" s="87"/>
      <c r="R171" s="87"/>
      <c r="S171" s="87"/>
      <c r="T171" s="87"/>
      <c r="U171" s="127"/>
      <c r="V171" s="89"/>
      <c r="W171" s="96">
        <v>0</v>
      </c>
      <c r="X171" s="71">
        <f>CU171</f>
        <v>0</v>
      </c>
      <c r="Y171" s="71">
        <f>CY171</f>
        <v>0</v>
      </c>
      <c r="Z171" s="71">
        <f>DA171+DC171+DE171</f>
        <v>0</v>
      </c>
      <c r="AA171" s="71">
        <f>CW171</f>
        <v>0</v>
      </c>
      <c r="AB171" s="71"/>
      <c r="AC171" s="71">
        <v>0</v>
      </c>
      <c r="AD171" s="71">
        <f>W171+X171+Y171+Z171+AA171+AB171+AC171</f>
        <v>0</v>
      </c>
      <c r="AE171" s="72">
        <v>0</v>
      </c>
      <c r="AF171" s="5"/>
      <c r="AG171" s="6"/>
      <c r="AH171" s="27" t="s">
        <v>3392</v>
      </c>
      <c r="AI171" s="44" t="s">
        <v>3393</v>
      </c>
      <c r="AJ171" s="26"/>
      <c r="AK171" s="5"/>
      <c r="AL171" s="82" t="s">
        <v>3022</v>
      </c>
      <c r="AM171" s="76"/>
      <c r="AN171" s="76"/>
      <c r="AO171" s="76"/>
      <c r="AP171" s="76"/>
      <c r="AQ171" s="76"/>
      <c r="AR171" s="76"/>
      <c r="AS171" s="76"/>
      <c r="AT171" s="76"/>
      <c r="AU171" s="76"/>
      <c r="AV171" s="76"/>
      <c r="AW171" s="76"/>
      <c r="AX171" s="76">
        <f>+AW171*600000</f>
        <v>0</v>
      </c>
      <c r="AY171" s="76"/>
      <c r="AZ171" s="76">
        <f>+AY171*70000</f>
        <v>0</v>
      </c>
      <c r="BA171" s="76"/>
      <c r="BB171" s="76"/>
      <c r="BC171" s="76"/>
      <c r="BD171" s="76">
        <f>+BC171*30000</f>
        <v>0</v>
      </c>
      <c r="BE171" s="76"/>
      <c r="BF171" s="76"/>
      <c r="BG171" s="76"/>
      <c r="BH171" s="76"/>
      <c r="BI171" s="76"/>
      <c r="BJ171" s="76"/>
      <c r="BK171" s="76"/>
      <c r="BL171" s="76">
        <f>+BK171*31500</f>
        <v>0</v>
      </c>
      <c r="BM171" s="76"/>
      <c r="BN171" s="76"/>
      <c r="BO171" s="76"/>
      <c r="BP171" s="76"/>
      <c r="BQ171" s="76"/>
      <c r="BR171" s="76"/>
      <c r="BS171" s="76"/>
      <c r="BT171" s="76"/>
      <c r="BU171" s="76"/>
      <c r="BV171" s="76"/>
      <c r="BW171" s="76"/>
      <c r="BX171" s="76"/>
      <c r="BY171" s="76"/>
      <c r="BZ171" s="76"/>
      <c r="CA171" s="76"/>
      <c r="CB171" s="76"/>
      <c r="CC171" s="76"/>
      <c r="CD171" s="76"/>
      <c r="CE171" s="76"/>
      <c r="CF171" s="76">
        <f>+CE171*28000</f>
        <v>0</v>
      </c>
      <c r="CG171" s="76"/>
      <c r="CH171" s="76">
        <f>+CG171*22500</f>
        <v>0</v>
      </c>
      <c r="CI171" s="76"/>
      <c r="CJ171" s="76">
        <f>+CI171*26000</f>
        <v>0</v>
      </c>
      <c r="CK171" s="76"/>
      <c r="CL171" s="76"/>
      <c r="CM171" s="76"/>
      <c r="CN171" s="76">
        <f>+CM171*22000</f>
        <v>0</v>
      </c>
      <c r="CO171" s="76"/>
      <c r="CP171" s="76">
        <f>+CO171*46000</f>
        <v>0</v>
      </c>
      <c r="CQ171" s="76"/>
      <c r="CR171" s="76">
        <f>+CQ171*49000</f>
        <v>0</v>
      </c>
      <c r="CS171" s="76"/>
      <c r="CT171" s="76"/>
      <c r="CU171" s="56">
        <f>AN171+AP171+AR171+AT171+AV171+AX171+AZ171+BB171+BD171+BF171+BH171+BJ171+BL171+BN171+BP171+BR171+BT171+BV171+BX171+BZ171+CB171+CD171+CF171+CH171+CJ171+CL171+CN171+CP171+CR171+CT171</f>
        <v>0</v>
      </c>
      <c r="CV171" s="76"/>
      <c r="CW171" s="76">
        <f>+CV171*1100</f>
        <v>0</v>
      </c>
      <c r="CX171" s="76"/>
      <c r="CY171" s="76">
        <f>+CX171*106250</f>
        <v>0</v>
      </c>
      <c r="CZ171" s="76"/>
      <c r="DA171" s="76">
        <f>+CZ171*34500</f>
        <v>0</v>
      </c>
      <c r="DB171" s="76"/>
      <c r="DC171" s="76">
        <f>+DB171*25000</f>
        <v>0</v>
      </c>
      <c r="DD171" s="219"/>
      <c r="DE171" s="219"/>
      <c r="DF171" s="164"/>
      <c r="DG171" s="116"/>
      <c r="DH171" s="117"/>
      <c r="DI171" s="24"/>
      <c r="DJ171" s="24"/>
      <c r="DK171" s="24"/>
      <c r="DL171" s="24"/>
      <c r="DM171" s="24"/>
      <c r="DN171" s="24"/>
      <c r="DO171" s="24"/>
      <c r="DP171" s="24"/>
      <c r="DQ171" s="24"/>
      <c r="DR171" s="24"/>
      <c r="DS171" s="24"/>
      <c r="DT171" s="24"/>
      <c r="DU171" s="24"/>
    </row>
    <row r="172" spans="1:125" s="8" customFormat="1" ht="60" x14ac:dyDescent="0.2">
      <c r="A172" s="85">
        <v>41286</v>
      </c>
      <c r="B172" s="80" t="s">
        <v>2774</v>
      </c>
      <c r="C172" s="81" t="s">
        <v>2216</v>
      </c>
      <c r="D172" s="81" t="s">
        <v>2846</v>
      </c>
      <c r="E172" s="75" t="str">
        <f>VLOOKUP(B172&amp;C172,Divipola!$C$2:$F$1138,4,FALSE)</f>
        <v>66075</v>
      </c>
      <c r="F172" s="87"/>
      <c r="G172" s="87"/>
      <c r="H172" s="87"/>
      <c r="I172" s="87"/>
      <c r="J172" s="87"/>
      <c r="K172" s="87"/>
      <c r="L172" s="87"/>
      <c r="M172" s="87"/>
      <c r="N172" s="87"/>
      <c r="O172" s="87"/>
      <c r="P172" s="87"/>
      <c r="Q172" s="87"/>
      <c r="R172" s="87"/>
      <c r="S172" s="87"/>
      <c r="T172" s="87"/>
      <c r="U172" s="127">
        <v>2</v>
      </c>
      <c r="V172" s="89"/>
      <c r="W172" s="96">
        <v>0</v>
      </c>
      <c r="X172" s="71">
        <f>CU172</f>
        <v>0</v>
      </c>
      <c r="Y172" s="71">
        <f>CY172</f>
        <v>0</v>
      </c>
      <c r="Z172" s="71">
        <f>DA172+DC172+DE172</f>
        <v>0</v>
      </c>
      <c r="AA172" s="71">
        <f>CW172</f>
        <v>0</v>
      </c>
      <c r="AB172" s="71"/>
      <c r="AC172" s="71">
        <v>0</v>
      </c>
      <c r="AD172" s="71">
        <f>W172+X172+Y172+Z172+AA172+AB172+AC172</f>
        <v>0</v>
      </c>
      <c r="AE172" s="72">
        <v>0</v>
      </c>
      <c r="AF172" s="5"/>
      <c r="AG172" s="6"/>
      <c r="AH172" s="27" t="s">
        <v>3392</v>
      </c>
      <c r="AI172" s="44" t="s">
        <v>3393</v>
      </c>
      <c r="AJ172" s="26"/>
      <c r="AK172" s="5"/>
      <c r="AL172" s="82" t="s">
        <v>3024</v>
      </c>
      <c r="AM172" s="76"/>
      <c r="AN172" s="76"/>
      <c r="AO172" s="76"/>
      <c r="AP172" s="76"/>
      <c r="AQ172" s="76"/>
      <c r="AR172" s="76"/>
      <c r="AS172" s="76"/>
      <c r="AT172" s="76"/>
      <c r="AU172" s="76"/>
      <c r="AV172" s="76"/>
      <c r="AW172" s="76"/>
      <c r="AX172" s="76">
        <f>+AW172*600000</f>
        <v>0</v>
      </c>
      <c r="AY172" s="76"/>
      <c r="AZ172" s="76">
        <f>+AY172*70000</f>
        <v>0</v>
      </c>
      <c r="BA172" s="76"/>
      <c r="BB172" s="76"/>
      <c r="BC172" s="76"/>
      <c r="BD172" s="76">
        <f>+BC172*30000</f>
        <v>0</v>
      </c>
      <c r="BE172" s="76"/>
      <c r="BF172" s="76"/>
      <c r="BG172" s="76"/>
      <c r="BH172" s="76"/>
      <c r="BI172" s="76"/>
      <c r="BJ172" s="76"/>
      <c r="BK172" s="76"/>
      <c r="BL172" s="76">
        <f>+BK172*31500</f>
        <v>0</v>
      </c>
      <c r="BM172" s="76"/>
      <c r="BN172" s="76"/>
      <c r="BO172" s="76"/>
      <c r="BP172" s="76"/>
      <c r="BQ172" s="76"/>
      <c r="BR172" s="76"/>
      <c r="BS172" s="76"/>
      <c r="BT172" s="76"/>
      <c r="BU172" s="76"/>
      <c r="BV172" s="76"/>
      <c r="BW172" s="76"/>
      <c r="BX172" s="76"/>
      <c r="BY172" s="76"/>
      <c r="BZ172" s="76"/>
      <c r="CA172" s="76"/>
      <c r="CB172" s="76"/>
      <c r="CC172" s="76"/>
      <c r="CD172" s="76"/>
      <c r="CE172" s="76"/>
      <c r="CF172" s="76">
        <f>+CE172*28000</f>
        <v>0</v>
      </c>
      <c r="CG172" s="76"/>
      <c r="CH172" s="76">
        <f>+CG172*22500</f>
        <v>0</v>
      </c>
      <c r="CI172" s="76"/>
      <c r="CJ172" s="76">
        <f>+CI172*26000</f>
        <v>0</v>
      </c>
      <c r="CK172" s="76"/>
      <c r="CL172" s="76"/>
      <c r="CM172" s="76"/>
      <c r="CN172" s="76">
        <f>+CM172*22000</f>
        <v>0</v>
      </c>
      <c r="CO172" s="76"/>
      <c r="CP172" s="76">
        <f>+CO172*46000</f>
        <v>0</v>
      </c>
      <c r="CQ172" s="76"/>
      <c r="CR172" s="76">
        <f>+CQ172*49000</f>
        <v>0</v>
      </c>
      <c r="CS172" s="76"/>
      <c r="CT172" s="76"/>
      <c r="CU172" s="56">
        <f>AN172+AP172+AR172+AT172+AV172+AX172+AZ172+BB172+BD172+BF172+BH172+BJ172+BL172+BN172+BP172+BR172+BT172+BV172+BX172+BZ172+CB172+CD172+CF172+CH172+CJ172+CL172+CN172+CP172+CR172+CT172</f>
        <v>0</v>
      </c>
      <c r="CV172" s="76"/>
      <c r="CW172" s="76">
        <f>+CV172*1100</f>
        <v>0</v>
      </c>
      <c r="CX172" s="76"/>
      <c r="CY172" s="76">
        <f>+CX172*106250</f>
        <v>0</v>
      </c>
      <c r="CZ172" s="76"/>
      <c r="DA172" s="76">
        <f>+CZ172*34500</f>
        <v>0</v>
      </c>
      <c r="DB172" s="76"/>
      <c r="DC172" s="76">
        <f>+DB172*25000</f>
        <v>0</v>
      </c>
      <c r="DD172" s="219"/>
      <c r="DE172" s="219"/>
      <c r="DF172" s="164"/>
      <c r="DG172" s="116"/>
      <c r="DH172" s="117"/>
      <c r="DI172" s="24"/>
      <c r="DJ172" s="24"/>
      <c r="DK172" s="24"/>
      <c r="DL172" s="24"/>
      <c r="DM172" s="24"/>
      <c r="DN172" s="24"/>
      <c r="DO172" s="24"/>
      <c r="DP172" s="24"/>
      <c r="DQ172" s="24"/>
      <c r="DR172" s="24"/>
      <c r="DS172" s="24"/>
      <c r="DT172" s="24"/>
      <c r="DU172" s="24"/>
    </row>
    <row r="173" spans="1:125" s="8" customFormat="1" ht="60" x14ac:dyDescent="0.2">
      <c r="A173" s="85">
        <v>41286</v>
      </c>
      <c r="B173" s="80" t="s">
        <v>2774</v>
      </c>
      <c r="C173" s="81" t="s">
        <v>2069</v>
      </c>
      <c r="D173" s="81" t="s">
        <v>2846</v>
      </c>
      <c r="E173" s="75" t="str">
        <f>VLOOKUP(B173&amp;C173,Divipola!$C$2:$F$1138,4,FALSE)</f>
        <v>66088</v>
      </c>
      <c r="F173" s="87"/>
      <c r="G173" s="87"/>
      <c r="H173" s="87"/>
      <c r="I173" s="87"/>
      <c r="J173" s="87"/>
      <c r="K173" s="87"/>
      <c r="L173" s="87"/>
      <c r="M173" s="87"/>
      <c r="N173" s="87"/>
      <c r="O173" s="87"/>
      <c r="P173" s="87"/>
      <c r="Q173" s="87"/>
      <c r="R173" s="87"/>
      <c r="S173" s="87"/>
      <c r="T173" s="87"/>
      <c r="U173" s="127">
        <v>1</v>
      </c>
      <c r="V173" s="89"/>
      <c r="W173" s="96">
        <v>0</v>
      </c>
      <c r="X173" s="71">
        <f>CU173</f>
        <v>0</v>
      </c>
      <c r="Y173" s="71">
        <f>CY173</f>
        <v>0</v>
      </c>
      <c r="Z173" s="71">
        <f>DA173+DC173+DE173</f>
        <v>0</v>
      </c>
      <c r="AA173" s="71">
        <f>CW173</f>
        <v>0</v>
      </c>
      <c r="AB173" s="71"/>
      <c r="AC173" s="71">
        <v>0</v>
      </c>
      <c r="AD173" s="71">
        <f>W173+X173+Y173+Z173+AA173+AB173+AC173</f>
        <v>0</v>
      </c>
      <c r="AE173" s="72">
        <v>0</v>
      </c>
      <c r="AF173" s="5"/>
      <c r="AG173" s="6"/>
      <c r="AH173" s="27" t="s">
        <v>3392</v>
      </c>
      <c r="AI173" s="44" t="s">
        <v>3393</v>
      </c>
      <c r="AJ173" s="26"/>
      <c r="AK173" s="5"/>
      <c r="AL173" s="82" t="s">
        <v>3025</v>
      </c>
      <c r="AM173" s="76"/>
      <c r="AN173" s="76"/>
      <c r="AO173" s="76"/>
      <c r="AP173" s="76"/>
      <c r="AQ173" s="76"/>
      <c r="AR173" s="76"/>
      <c r="AS173" s="76"/>
      <c r="AT173" s="76"/>
      <c r="AU173" s="76"/>
      <c r="AV173" s="76"/>
      <c r="AW173" s="76"/>
      <c r="AX173" s="76">
        <f>+AW173*600000</f>
        <v>0</v>
      </c>
      <c r="AY173" s="76"/>
      <c r="AZ173" s="76">
        <f>+AY173*70000</f>
        <v>0</v>
      </c>
      <c r="BA173" s="76"/>
      <c r="BB173" s="76"/>
      <c r="BC173" s="76"/>
      <c r="BD173" s="76">
        <f>+BC173*30000</f>
        <v>0</v>
      </c>
      <c r="BE173" s="76"/>
      <c r="BF173" s="76"/>
      <c r="BG173" s="76"/>
      <c r="BH173" s="76"/>
      <c r="BI173" s="76"/>
      <c r="BJ173" s="76"/>
      <c r="BK173" s="76"/>
      <c r="BL173" s="76">
        <f>+BK173*31500</f>
        <v>0</v>
      </c>
      <c r="BM173" s="76"/>
      <c r="BN173" s="76"/>
      <c r="BO173" s="76"/>
      <c r="BP173" s="76"/>
      <c r="BQ173" s="76"/>
      <c r="BR173" s="76"/>
      <c r="BS173" s="76"/>
      <c r="BT173" s="76"/>
      <c r="BU173" s="76"/>
      <c r="BV173" s="76"/>
      <c r="BW173" s="76"/>
      <c r="BX173" s="76"/>
      <c r="BY173" s="76"/>
      <c r="BZ173" s="76"/>
      <c r="CA173" s="76"/>
      <c r="CB173" s="76"/>
      <c r="CC173" s="76"/>
      <c r="CD173" s="76"/>
      <c r="CE173" s="76"/>
      <c r="CF173" s="76">
        <f>+CE173*28000</f>
        <v>0</v>
      </c>
      <c r="CG173" s="76"/>
      <c r="CH173" s="76">
        <f>+CG173*22500</f>
        <v>0</v>
      </c>
      <c r="CI173" s="76"/>
      <c r="CJ173" s="76">
        <f>+CI173*26000</f>
        <v>0</v>
      </c>
      <c r="CK173" s="76"/>
      <c r="CL173" s="76"/>
      <c r="CM173" s="76"/>
      <c r="CN173" s="76">
        <f>+CM173*22000</f>
        <v>0</v>
      </c>
      <c r="CO173" s="76"/>
      <c r="CP173" s="76">
        <f>+CO173*46000</f>
        <v>0</v>
      </c>
      <c r="CQ173" s="76"/>
      <c r="CR173" s="76">
        <f>+CQ173*49000</f>
        <v>0</v>
      </c>
      <c r="CS173" s="76"/>
      <c r="CT173" s="76"/>
      <c r="CU173" s="56">
        <f>AN173+AP173+AR173+AT173+AV173+AX173+AZ173+BB173+BD173+BF173+BH173+BJ173+BL173+BN173+BP173+BR173+BT173+BV173+BX173+BZ173+CB173+CD173+CF173+CH173+CJ173+CL173+CN173+CP173+CR173+CT173</f>
        <v>0</v>
      </c>
      <c r="CV173" s="76"/>
      <c r="CW173" s="76">
        <f>+CV173*1100</f>
        <v>0</v>
      </c>
      <c r="CX173" s="76"/>
      <c r="CY173" s="76">
        <f>+CX173*106250</f>
        <v>0</v>
      </c>
      <c r="CZ173" s="76"/>
      <c r="DA173" s="76">
        <f>+CZ173*34500</f>
        <v>0</v>
      </c>
      <c r="DB173" s="76"/>
      <c r="DC173" s="76">
        <f>+DB173*25000</f>
        <v>0</v>
      </c>
      <c r="DD173" s="219"/>
      <c r="DE173" s="219"/>
      <c r="DF173" s="164"/>
      <c r="DG173" s="116"/>
      <c r="DH173" s="117"/>
      <c r="DI173" s="24"/>
      <c r="DJ173" s="24"/>
      <c r="DK173" s="24"/>
      <c r="DL173" s="24"/>
      <c r="DM173" s="24"/>
      <c r="DN173" s="24"/>
      <c r="DO173" s="24"/>
      <c r="DP173" s="24"/>
      <c r="DQ173" s="24"/>
      <c r="DR173" s="24"/>
      <c r="DS173" s="24"/>
      <c r="DT173" s="24"/>
      <c r="DU173" s="24"/>
    </row>
    <row r="174" spans="1:125" s="8" customFormat="1" ht="108" x14ac:dyDescent="0.2">
      <c r="A174" s="77">
        <v>41286</v>
      </c>
      <c r="B174" s="80" t="s">
        <v>2847</v>
      </c>
      <c r="C174" s="81" t="s">
        <v>309</v>
      </c>
      <c r="D174" s="81" t="s">
        <v>2846</v>
      </c>
      <c r="E174" s="75" t="str">
        <f>VLOOKUP(B174&amp;C174,Divipola!$C$2:$F$1138,4,FALSE)</f>
        <v>68147</v>
      </c>
      <c r="F174" s="87"/>
      <c r="G174" s="87"/>
      <c r="H174" s="87"/>
      <c r="I174" s="87"/>
      <c r="J174" s="87"/>
      <c r="K174" s="87"/>
      <c r="L174" s="87"/>
      <c r="M174" s="87"/>
      <c r="N174" s="87"/>
      <c r="O174" s="87"/>
      <c r="P174" s="87"/>
      <c r="Q174" s="87"/>
      <c r="R174" s="87"/>
      <c r="S174" s="87"/>
      <c r="T174" s="87"/>
      <c r="U174" s="127">
        <v>15</v>
      </c>
      <c r="V174" s="89"/>
      <c r="W174" s="96">
        <v>0</v>
      </c>
      <c r="X174" s="71">
        <f>CU174</f>
        <v>0</v>
      </c>
      <c r="Y174" s="71">
        <f>CY174</f>
        <v>0</v>
      </c>
      <c r="Z174" s="71">
        <f>DA174+DC174+DE174</f>
        <v>0</v>
      </c>
      <c r="AA174" s="71">
        <f>CW174</f>
        <v>0</v>
      </c>
      <c r="AB174" s="71"/>
      <c r="AC174" s="71">
        <v>0</v>
      </c>
      <c r="AD174" s="71">
        <f>W174+X174+Y174+Z174+AA174+AB174+AC174</f>
        <v>0</v>
      </c>
      <c r="AE174" s="72">
        <v>0</v>
      </c>
      <c r="AF174" s="5"/>
      <c r="AG174" s="6"/>
      <c r="AH174" s="27" t="s">
        <v>3392</v>
      </c>
      <c r="AI174" s="44" t="s">
        <v>3393</v>
      </c>
      <c r="AJ174" s="26"/>
      <c r="AK174" s="5"/>
      <c r="AL174" s="82" t="s">
        <v>3031</v>
      </c>
      <c r="AM174" s="76"/>
      <c r="AN174" s="76"/>
      <c r="AO174" s="76"/>
      <c r="AP174" s="76"/>
      <c r="AQ174" s="76"/>
      <c r="AR174" s="76"/>
      <c r="AS174" s="76"/>
      <c r="AT174" s="76"/>
      <c r="AU174" s="76"/>
      <c r="AV174" s="76"/>
      <c r="AW174" s="76"/>
      <c r="AX174" s="76">
        <f>+AW174*600000</f>
        <v>0</v>
      </c>
      <c r="AY174" s="76"/>
      <c r="AZ174" s="76">
        <f>+AY174*70000</f>
        <v>0</v>
      </c>
      <c r="BA174" s="76"/>
      <c r="BB174" s="76"/>
      <c r="BC174" s="76"/>
      <c r="BD174" s="76">
        <f>+BC174*30000</f>
        <v>0</v>
      </c>
      <c r="BE174" s="76"/>
      <c r="BF174" s="76"/>
      <c r="BG174" s="76"/>
      <c r="BH174" s="76"/>
      <c r="BI174" s="76"/>
      <c r="BJ174" s="76"/>
      <c r="BK174" s="76"/>
      <c r="BL174" s="76">
        <f>+BK174*31500</f>
        <v>0</v>
      </c>
      <c r="BM174" s="76"/>
      <c r="BN174" s="76"/>
      <c r="BO174" s="76"/>
      <c r="BP174" s="76"/>
      <c r="BQ174" s="76"/>
      <c r="BR174" s="76"/>
      <c r="BS174" s="76"/>
      <c r="BT174" s="76"/>
      <c r="BU174" s="76"/>
      <c r="BV174" s="76"/>
      <c r="BW174" s="76"/>
      <c r="BX174" s="76"/>
      <c r="BY174" s="76"/>
      <c r="BZ174" s="76"/>
      <c r="CA174" s="76"/>
      <c r="CB174" s="76"/>
      <c r="CC174" s="76"/>
      <c r="CD174" s="76"/>
      <c r="CE174" s="76"/>
      <c r="CF174" s="76">
        <f>+CE174*28000</f>
        <v>0</v>
      </c>
      <c r="CG174" s="76"/>
      <c r="CH174" s="76">
        <f>+CG174*22500</f>
        <v>0</v>
      </c>
      <c r="CI174" s="76"/>
      <c r="CJ174" s="76">
        <f>+CI174*26000</f>
        <v>0</v>
      </c>
      <c r="CK174" s="76"/>
      <c r="CL174" s="76"/>
      <c r="CM174" s="76"/>
      <c r="CN174" s="76">
        <f>+CM174*22000</f>
        <v>0</v>
      </c>
      <c r="CO174" s="76"/>
      <c r="CP174" s="76">
        <f>+CO174*46000</f>
        <v>0</v>
      </c>
      <c r="CQ174" s="76"/>
      <c r="CR174" s="76">
        <f>+CQ174*49000</f>
        <v>0</v>
      </c>
      <c r="CS174" s="76"/>
      <c r="CT174" s="76"/>
      <c r="CU174" s="56">
        <f>AN174+AP174+AR174+AT174+AV174+AX174+AZ174+BB174+BD174+BF174+BH174+BJ174+BL174+BN174+BP174+BR174+BT174+BV174+BX174+BZ174+CB174+CD174+CF174+CH174+CJ174+CL174+CN174+CP174+CR174+CT174</f>
        <v>0</v>
      </c>
      <c r="CV174" s="76"/>
      <c r="CW174" s="76">
        <f>+CV174*1100</f>
        <v>0</v>
      </c>
      <c r="CX174" s="76"/>
      <c r="CY174" s="76">
        <f>+CX174*106250</f>
        <v>0</v>
      </c>
      <c r="CZ174" s="76"/>
      <c r="DA174" s="76">
        <f>+CZ174*34500</f>
        <v>0</v>
      </c>
      <c r="DB174" s="76"/>
      <c r="DC174" s="76">
        <f>+DB174*25000</f>
        <v>0</v>
      </c>
      <c r="DD174" s="219"/>
      <c r="DE174" s="219"/>
      <c r="DF174" s="164"/>
      <c r="DG174" s="116"/>
      <c r="DH174" s="117"/>
      <c r="DI174" s="24"/>
      <c r="DJ174" s="24"/>
      <c r="DK174" s="24"/>
      <c r="DL174" s="24"/>
      <c r="DM174" s="24"/>
      <c r="DN174" s="24"/>
      <c r="DO174" s="24"/>
      <c r="DP174" s="24"/>
      <c r="DQ174" s="24"/>
      <c r="DR174" s="24"/>
      <c r="DS174" s="24"/>
      <c r="DT174" s="24"/>
      <c r="DU174" s="24"/>
    </row>
    <row r="175" spans="1:125" s="8" customFormat="1" ht="36" x14ac:dyDescent="0.2">
      <c r="A175" s="85">
        <v>41286</v>
      </c>
      <c r="B175" s="80" t="s">
        <v>2847</v>
      </c>
      <c r="C175" s="81" t="s">
        <v>2795</v>
      </c>
      <c r="D175" s="81" t="s">
        <v>2846</v>
      </c>
      <c r="E175" s="75" t="str">
        <f>VLOOKUP(B175&amp;C175,Divipola!$C$2:$F$1138,4,FALSE)</f>
        <v>68169</v>
      </c>
      <c r="F175" s="87"/>
      <c r="G175" s="87"/>
      <c r="H175" s="87"/>
      <c r="I175" s="87"/>
      <c r="J175" s="87"/>
      <c r="K175" s="87"/>
      <c r="L175" s="87"/>
      <c r="M175" s="87"/>
      <c r="N175" s="87"/>
      <c r="O175" s="87"/>
      <c r="P175" s="87"/>
      <c r="Q175" s="87"/>
      <c r="R175" s="87"/>
      <c r="S175" s="87"/>
      <c r="T175" s="87"/>
      <c r="U175" s="127">
        <v>1</v>
      </c>
      <c r="V175" s="89"/>
      <c r="W175" s="96">
        <v>0</v>
      </c>
      <c r="X175" s="71">
        <f>CU175</f>
        <v>0</v>
      </c>
      <c r="Y175" s="71">
        <f>CY175</f>
        <v>0</v>
      </c>
      <c r="Z175" s="71">
        <f>DA175+DC175+DE175</f>
        <v>0</v>
      </c>
      <c r="AA175" s="71">
        <f>CW175</f>
        <v>0</v>
      </c>
      <c r="AB175" s="71"/>
      <c r="AC175" s="71">
        <v>0</v>
      </c>
      <c r="AD175" s="71">
        <f>W175+X175+Y175+Z175+AA175+AB175+AC175</f>
        <v>0</v>
      </c>
      <c r="AE175" s="72">
        <v>0</v>
      </c>
      <c r="AF175" s="5"/>
      <c r="AG175" s="6"/>
      <c r="AH175" s="27" t="s">
        <v>3392</v>
      </c>
      <c r="AI175" s="44" t="s">
        <v>3393</v>
      </c>
      <c r="AJ175" s="26"/>
      <c r="AK175" s="5"/>
      <c r="AL175" s="82" t="s">
        <v>3019</v>
      </c>
      <c r="AM175" s="76"/>
      <c r="AN175" s="76"/>
      <c r="AO175" s="76"/>
      <c r="AP175" s="76"/>
      <c r="AQ175" s="76"/>
      <c r="AR175" s="76"/>
      <c r="AS175" s="76"/>
      <c r="AT175" s="76"/>
      <c r="AU175" s="76"/>
      <c r="AV175" s="76"/>
      <c r="AW175" s="76"/>
      <c r="AX175" s="76">
        <f>+AW175*600000</f>
        <v>0</v>
      </c>
      <c r="AY175" s="76"/>
      <c r="AZ175" s="76">
        <f>+AY175*70000</f>
        <v>0</v>
      </c>
      <c r="BA175" s="76"/>
      <c r="BB175" s="76"/>
      <c r="BC175" s="76"/>
      <c r="BD175" s="76">
        <f>+BC175*30000</f>
        <v>0</v>
      </c>
      <c r="BE175" s="76"/>
      <c r="BF175" s="76"/>
      <c r="BG175" s="76"/>
      <c r="BH175" s="76"/>
      <c r="BI175" s="76"/>
      <c r="BJ175" s="76"/>
      <c r="BK175" s="76"/>
      <c r="BL175" s="76">
        <f>+BK175*31500</f>
        <v>0</v>
      </c>
      <c r="BM175" s="76"/>
      <c r="BN175" s="76"/>
      <c r="BO175" s="76"/>
      <c r="BP175" s="76"/>
      <c r="BQ175" s="76"/>
      <c r="BR175" s="76"/>
      <c r="BS175" s="76"/>
      <c r="BT175" s="76"/>
      <c r="BU175" s="76"/>
      <c r="BV175" s="76"/>
      <c r="BW175" s="76"/>
      <c r="BX175" s="76"/>
      <c r="BY175" s="76"/>
      <c r="BZ175" s="76"/>
      <c r="CA175" s="76"/>
      <c r="CB175" s="76"/>
      <c r="CC175" s="76"/>
      <c r="CD175" s="76"/>
      <c r="CE175" s="76"/>
      <c r="CF175" s="76">
        <f>+CE175*28000</f>
        <v>0</v>
      </c>
      <c r="CG175" s="76"/>
      <c r="CH175" s="76">
        <f>+CG175*22500</f>
        <v>0</v>
      </c>
      <c r="CI175" s="76"/>
      <c r="CJ175" s="76">
        <f>+CI175*26000</f>
        <v>0</v>
      </c>
      <c r="CK175" s="76"/>
      <c r="CL175" s="76"/>
      <c r="CM175" s="76"/>
      <c r="CN175" s="76">
        <f>+CM175*22000</f>
        <v>0</v>
      </c>
      <c r="CO175" s="76"/>
      <c r="CP175" s="76">
        <f>+CO175*46000</f>
        <v>0</v>
      </c>
      <c r="CQ175" s="76"/>
      <c r="CR175" s="76">
        <f>+CQ175*49000</f>
        <v>0</v>
      </c>
      <c r="CS175" s="76"/>
      <c r="CT175" s="76"/>
      <c r="CU175" s="56">
        <f>AN175+AP175+AR175+AT175+AV175+AX175+AZ175+BB175+BD175+BF175+BH175+BJ175+BL175+BN175+BP175+BR175+BT175+BV175+BX175+BZ175+CB175+CD175+CF175+CH175+CJ175+CL175+CN175+CP175+CR175+CT175</f>
        <v>0</v>
      </c>
      <c r="CV175" s="76"/>
      <c r="CW175" s="76">
        <f>+CV175*1100</f>
        <v>0</v>
      </c>
      <c r="CX175" s="76"/>
      <c r="CY175" s="76">
        <f>+CX175*106250</f>
        <v>0</v>
      </c>
      <c r="CZ175" s="76"/>
      <c r="DA175" s="76">
        <f>+CZ175*34500</f>
        <v>0</v>
      </c>
      <c r="DB175" s="76"/>
      <c r="DC175" s="76">
        <f>+DB175*25000</f>
        <v>0</v>
      </c>
      <c r="DD175" s="219"/>
      <c r="DE175" s="219"/>
      <c r="DF175" s="164"/>
      <c r="DG175" s="116"/>
      <c r="DH175" s="117"/>
      <c r="DI175" s="24"/>
      <c r="DJ175" s="24"/>
      <c r="DK175" s="24"/>
      <c r="DL175" s="24"/>
      <c r="DM175" s="24"/>
      <c r="DN175" s="24"/>
      <c r="DO175" s="24"/>
      <c r="DP175" s="24"/>
      <c r="DQ175" s="24"/>
      <c r="DR175" s="24"/>
      <c r="DS175" s="24"/>
      <c r="DT175" s="24"/>
      <c r="DU175" s="24"/>
    </row>
    <row r="176" spans="1:125" s="8" customFormat="1" ht="48" x14ac:dyDescent="0.2">
      <c r="A176" s="85">
        <v>41286</v>
      </c>
      <c r="B176" s="196" t="s">
        <v>2847</v>
      </c>
      <c r="C176" s="81" t="s">
        <v>2424</v>
      </c>
      <c r="D176" s="81" t="s">
        <v>2846</v>
      </c>
      <c r="E176" s="75" t="str">
        <f>VLOOKUP(B176&amp;C176,Divipola!$C$2:$F$1138,4,FALSE)</f>
        <v>68207</v>
      </c>
      <c r="F176" s="87"/>
      <c r="G176" s="87"/>
      <c r="H176" s="87"/>
      <c r="I176" s="87"/>
      <c r="J176" s="87"/>
      <c r="K176" s="87"/>
      <c r="L176" s="87"/>
      <c r="M176" s="87"/>
      <c r="N176" s="87"/>
      <c r="O176" s="87"/>
      <c r="P176" s="87"/>
      <c r="Q176" s="87"/>
      <c r="R176" s="87"/>
      <c r="S176" s="87"/>
      <c r="T176" s="87"/>
      <c r="U176" s="127">
        <v>14</v>
      </c>
      <c r="V176" s="135"/>
      <c r="W176" s="139">
        <v>0</v>
      </c>
      <c r="X176" s="140">
        <f>CU176</f>
        <v>0</v>
      </c>
      <c r="Y176" s="140">
        <f>CY176</f>
        <v>0</v>
      </c>
      <c r="Z176" s="140">
        <f>DA176+DC176+DE176</f>
        <v>0</v>
      </c>
      <c r="AA176" s="140">
        <f>CW176</f>
        <v>0</v>
      </c>
      <c r="AB176" s="140"/>
      <c r="AC176" s="140">
        <v>0</v>
      </c>
      <c r="AD176" s="140">
        <f>W176+X176+Y176+Z176+AA176+AB176+AC176</f>
        <v>0</v>
      </c>
      <c r="AE176" s="141">
        <v>0</v>
      </c>
      <c r="AF176" s="142"/>
      <c r="AG176" s="143"/>
      <c r="AH176" s="144" t="s">
        <v>3392</v>
      </c>
      <c r="AI176" s="145" t="s">
        <v>3393</v>
      </c>
      <c r="AJ176" s="146"/>
      <c r="AK176" s="142"/>
      <c r="AL176" s="82" t="s">
        <v>3018</v>
      </c>
      <c r="AM176" s="147"/>
      <c r="AN176" s="147"/>
      <c r="AO176" s="147"/>
      <c r="AP176" s="147"/>
      <c r="AQ176" s="147"/>
      <c r="AR176" s="147"/>
      <c r="AS176" s="147"/>
      <c r="AT176" s="147"/>
      <c r="AU176" s="147"/>
      <c r="AV176" s="147"/>
      <c r="AW176" s="147"/>
      <c r="AX176" s="147">
        <f>+AW176*600000</f>
        <v>0</v>
      </c>
      <c r="AY176" s="147"/>
      <c r="AZ176" s="147">
        <f>+AY176*70000</f>
        <v>0</v>
      </c>
      <c r="BA176" s="147"/>
      <c r="BB176" s="147"/>
      <c r="BC176" s="147"/>
      <c r="BD176" s="147">
        <f>+BC176*30000</f>
        <v>0</v>
      </c>
      <c r="BE176" s="147"/>
      <c r="BF176" s="147"/>
      <c r="BG176" s="147"/>
      <c r="BH176" s="147"/>
      <c r="BI176" s="147"/>
      <c r="BJ176" s="147"/>
      <c r="BK176" s="147"/>
      <c r="BL176" s="147">
        <f>+BK176*31500</f>
        <v>0</v>
      </c>
      <c r="BM176" s="147"/>
      <c r="BN176" s="147"/>
      <c r="BO176" s="147"/>
      <c r="BP176" s="147"/>
      <c r="BQ176" s="147"/>
      <c r="BR176" s="147"/>
      <c r="BS176" s="147"/>
      <c r="BT176" s="147"/>
      <c r="BU176" s="147"/>
      <c r="BV176" s="147"/>
      <c r="BW176" s="147"/>
      <c r="BX176" s="147"/>
      <c r="BY176" s="147"/>
      <c r="BZ176" s="147"/>
      <c r="CA176" s="147"/>
      <c r="CB176" s="147"/>
      <c r="CC176" s="147"/>
      <c r="CD176" s="147"/>
      <c r="CE176" s="147"/>
      <c r="CF176" s="147">
        <f>+CE176*28000</f>
        <v>0</v>
      </c>
      <c r="CG176" s="147"/>
      <c r="CH176" s="147">
        <f>+CG176*22500</f>
        <v>0</v>
      </c>
      <c r="CI176" s="147"/>
      <c r="CJ176" s="147">
        <f>+CI176*26000</f>
        <v>0</v>
      </c>
      <c r="CK176" s="147"/>
      <c r="CL176" s="147"/>
      <c r="CM176" s="147"/>
      <c r="CN176" s="147">
        <f>+CM176*22000</f>
        <v>0</v>
      </c>
      <c r="CO176" s="147"/>
      <c r="CP176" s="147">
        <f>+CO176*46000</f>
        <v>0</v>
      </c>
      <c r="CQ176" s="147"/>
      <c r="CR176" s="147">
        <f>+CQ176*49000</f>
        <v>0</v>
      </c>
      <c r="CS176" s="147"/>
      <c r="CT176" s="147"/>
      <c r="CU176" s="148">
        <f>AN176+AP176+AR176+AT176+AV176+AX176+AZ176+BB176+BD176+BF176+BH176+BJ176+BL176+BN176+BP176+BR176+BT176+BV176+BX176+BZ176+CB176+CD176+CF176+CH176+CJ176+CL176+CN176+CP176+CR176+CT176</f>
        <v>0</v>
      </c>
      <c r="CV176" s="147"/>
      <c r="CW176" s="147">
        <f>+CV176*1100</f>
        <v>0</v>
      </c>
      <c r="CX176" s="147"/>
      <c r="CY176" s="147">
        <f>+CX176*106250</f>
        <v>0</v>
      </c>
      <c r="CZ176" s="147"/>
      <c r="DA176" s="147">
        <f>+CZ176*34500</f>
        <v>0</v>
      </c>
      <c r="DB176" s="147"/>
      <c r="DC176" s="147">
        <f>+DB176*25000</f>
        <v>0</v>
      </c>
      <c r="DD176" s="220"/>
      <c r="DE176" s="220"/>
      <c r="DF176" s="165"/>
      <c r="DG176" s="149"/>
      <c r="DH176" s="150"/>
      <c r="DI176" s="24"/>
      <c r="DJ176" s="24"/>
      <c r="DK176" s="24"/>
      <c r="DL176" s="24"/>
      <c r="DM176" s="24"/>
      <c r="DN176" s="24"/>
      <c r="DO176" s="24"/>
      <c r="DP176" s="24"/>
      <c r="DQ176" s="24"/>
      <c r="DR176" s="24"/>
      <c r="DS176" s="24"/>
      <c r="DT176" s="24"/>
      <c r="DU176" s="24"/>
    </row>
    <row r="177" spans="1:125" s="8" customFormat="1" ht="120" x14ac:dyDescent="0.2">
      <c r="A177" s="77">
        <v>41286</v>
      </c>
      <c r="B177" s="80" t="s">
        <v>2847</v>
      </c>
      <c r="C177" s="75" t="s">
        <v>337</v>
      </c>
      <c r="D177" s="81" t="s">
        <v>2846</v>
      </c>
      <c r="E177" s="75" t="str">
        <f>VLOOKUP(B177&amp;C177,Divipola!$C$2:$F$1138,4,FALSE)</f>
        <v>68229</v>
      </c>
      <c r="F177" s="87"/>
      <c r="G177" s="87"/>
      <c r="H177" s="87"/>
      <c r="I177" s="87"/>
      <c r="J177" s="87"/>
      <c r="K177" s="87"/>
      <c r="L177" s="87"/>
      <c r="M177" s="87"/>
      <c r="N177" s="87"/>
      <c r="O177" s="87"/>
      <c r="P177" s="87"/>
      <c r="Q177" s="87"/>
      <c r="R177" s="87"/>
      <c r="S177" s="87"/>
      <c r="T177" s="87"/>
      <c r="U177" s="127">
        <v>50</v>
      </c>
      <c r="V177" s="89"/>
      <c r="W177" s="96">
        <v>0</v>
      </c>
      <c r="X177" s="71">
        <f>CU177</f>
        <v>0</v>
      </c>
      <c r="Y177" s="71">
        <f>CY177</f>
        <v>0</v>
      </c>
      <c r="Z177" s="71">
        <f>DA177+DC177+DE177</f>
        <v>0</v>
      </c>
      <c r="AA177" s="71">
        <f>CW177</f>
        <v>0</v>
      </c>
      <c r="AB177" s="71"/>
      <c r="AC177" s="71">
        <v>0</v>
      </c>
      <c r="AD177" s="71">
        <f>W177+X177+Y177+Z177+AA177+AB177+AC177</f>
        <v>0</v>
      </c>
      <c r="AE177" s="72">
        <v>0</v>
      </c>
      <c r="AF177" s="5"/>
      <c r="AG177" s="6"/>
      <c r="AH177" s="27" t="s">
        <v>3392</v>
      </c>
      <c r="AI177" s="44" t="s">
        <v>3393</v>
      </c>
      <c r="AJ177" s="26"/>
      <c r="AK177" s="5"/>
      <c r="AL177" s="82" t="s">
        <v>3014</v>
      </c>
      <c r="AM177" s="76"/>
      <c r="AN177" s="76"/>
      <c r="AO177" s="76"/>
      <c r="AP177" s="76"/>
      <c r="AQ177" s="76"/>
      <c r="AR177" s="76"/>
      <c r="AS177" s="76"/>
      <c r="AT177" s="76"/>
      <c r="AU177" s="76"/>
      <c r="AV177" s="76"/>
      <c r="AW177" s="76"/>
      <c r="AX177" s="76">
        <f>+AW177*600000</f>
        <v>0</v>
      </c>
      <c r="AY177" s="76"/>
      <c r="AZ177" s="76">
        <f>+AY177*70000</f>
        <v>0</v>
      </c>
      <c r="BA177" s="76"/>
      <c r="BB177" s="76"/>
      <c r="BC177" s="76"/>
      <c r="BD177" s="76">
        <f>+BC177*30000</f>
        <v>0</v>
      </c>
      <c r="BE177" s="76"/>
      <c r="BF177" s="76"/>
      <c r="BG177" s="76"/>
      <c r="BH177" s="76"/>
      <c r="BI177" s="76"/>
      <c r="BJ177" s="76"/>
      <c r="BK177" s="76"/>
      <c r="BL177" s="76">
        <f>+BK177*31500</f>
        <v>0</v>
      </c>
      <c r="BM177" s="76"/>
      <c r="BN177" s="76"/>
      <c r="BO177" s="76"/>
      <c r="BP177" s="76"/>
      <c r="BQ177" s="76"/>
      <c r="BR177" s="76"/>
      <c r="BS177" s="76"/>
      <c r="BT177" s="76"/>
      <c r="BU177" s="76"/>
      <c r="BV177" s="76"/>
      <c r="BW177" s="76"/>
      <c r="BX177" s="76"/>
      <c r="BY177" s="76"/>
      <c r="BZ177" s="76"/>
      <c r="CA177" s="76"/>
      <c r="CB177" s="76"/>
      <c r="CC177" s="76"/>
      <c r="CD177" s="76"/>
      <c r="CE177" s="76"/>
      <c r="CF177" s="76">
        <f>+CE177*28000</f>
        <v>0</v>
      </c>
      <c r="CG177" s="76"/>
      <c r="CH177" s="76">
        <f>+CG177*22500</f>
        <v>0</v>
      </c>
      <c r="CI177" s="76"/>
      <c r="CJ177" s="76">
        <f>+CI177*26000</f>
        <v>0</v>
      </c>
      <c r="CK177" s="76"/>
      <c r="CL177" s="76"/>
      <c r="CM177" s="76"/>
      <c r="CN177" s="76">
        <f>+CM177*22000</f>
        <v>0</v>
      </c>
      <c r="CO177" s="76"/>
      <c r="CP177" s="76">
        <f>+CO177*46000</f>
        <v>0</v>
      </c>
      <c r="CQ177" s="76"/>
      <c r="CR177" s="76">
        <f>+CQ177*49000</f>
        <v>0</v>
      </c>
      <c r="CS177" s="76"/>
      <c r="CT177" s="76"/>
      <c r="CU177" s="56">
        <f>AN177+AP177+AR177+AT177+AV177+AX177+AZ177+BB177+BD177+BF177+BH177+BJ177+BL177+BN177+BP177+BR177+BT177+BV177+BX177+BZ177+CB177+CD177+CF177+CH177+CJ177+CL177+CN177+CP177+CR177+CT177</f>
        <v>0</v>
      </c>
      <c r="CV177" s="76"/>
      <c r="CW177" s="76">
        <f>+CV177*1100</f>
        <v>0</v>
      </c>
      <c r="CX177" s="76"/>
      <c r="CY177" s="76">
        <f>+CX177*106250</f>
        <v>0</v>
      </c>
      <c r="CZ177" s="76"/>
      <c r="DA177" s="76">
        <f>+CZ177*34500</f>
        <v>0</v>
      </c>
      <c r="DB177" s="76"/>
      <c r="DC177" s="76">
        <f>+DB177*25000</f>
        <v>0</v>
      </c>
      <c r="DD177" s="219"/>
      <c r="DE177" s="219"/>
      <c r="DF177" s="164"/>
      <c r="DG177" s="116"/>
      <c r="DH177" s="117"/>
      <c r="DI177" s="24"/>
      <c r="DJ177" s="24"/>
      <c r="DK177" s="24"/>
      <c r="DL177" s="24"/>
      <c r="DM177" s="24"/>
      <c r="DN177" s="24"/>
      <c r="DO177" s="24"/>
      <c r="DP177" s="24"/>
      <c r="DQ177" s="24"/>
      <c r="DR177" s="24"/>
      <c r="DS177" s="24"/>
      <c r="DT177" s="24"/>
      <c r="DU177" s="24"/>
    </row>
    <row r="178" spans="1:125" s="8" customFormat="1" ht="84" x14ac:dyDescent="0.2">
      <c r="A178" s="77">
        <v>41286</v>
      </c>
      <c r="B178" s="80" t="s">
        <v>2847</v>
      </c>
      <c r="C178" s="81" t="s">
        <v>355</v>
      </c>
      <c r="D178" s="81" t="s">
        <v>2846</v>
      </c>
      <c r="E178" s="75" t="str">
        <f>VLOOKUP(B178&amp;C178,Divipola!$C$2:$F$1138,4,FALSE)</f>
        <v>68296</v>
      </c>
      <c r="F178" s="87"/>
      <c r="G178" s="87"/>
      <c r="H178" s="87"/>
      <c r="I178" s="87"/>
      <c r="J178" s="87"/>
      <c r="K178" s="87"/>
      <c r="L178" s="87"/>
      <c r="M178" s="87"/>
      <c r="N178" s="87"/>
      <c r="O178" s="87"/>
      <c r="P178" s="87"/>
      <c r="Q178" s="87"/>
      <c r="R178" s="87"/>
      <c r="S178" s="87"/>
      <c r="T178" s="87"/>
      <c r="U178" s="127">
        <v>3</v>
      </c>
      <c r="V178" s="89"/>
      <c r="W178" s="96">
        <v>0</v>
      </c>
      <c r="X178" s="71">
        <f>CU178</f>
        <v>0</v>
      </c>
      <c r="Y178" s="71">
        <f>CY178</f>
        <v>0</v>
      </c>
      <c r="Z178" s="71">
        <f>DA178+DC178+DE178</f>
        <v>0</v>
      </c>
      <c r="AA178" s="71">
        <f>CW178</f>
        <v>0</v>
      </c>
      <c r="AB178" s="71"/>
      <c r="AC178" s="71">
        <v>0</v>
      </c>
      <c r="AD178" s="71">
        <f>W178+X178+Y178+Z178+AA178+AB178+AC178</f>
        <v>0</v>
      </c>
      <c r="AE178" s="72">
        <v>0</v>
      </c>
      <c r="AF178" s="5"/>
      <c r="AG178" s="6"/>
      <c r="AH178" s="27" t="s">
        <v>3392</v>
      </c>
      <c r="AI178" s="44" t="s">
        <v>3393</v>
      </c>
      <c r="AJ178" s="26"/>
      <c r="AK178" s="5"/>
      <c r="AL178" s="82" t="s">
        <v>3010</v>
      </c>
      <c r="AM178" s="76"/>
      <c r="AN178" s="76"/>
      <c r="AO178" s="76"/>
      <c r="AP178" s="76"/>
      <c r="AQ178" s="76"/>
      <c r="AR178" s="76"/>
      <c r="AS178" s="76"/>
      <c r="AT178" s="76"/>
      <c r="AU178" s="76"/>
      <c r="AV178" s="76"/>
      <c r="AW178" s="76"/>
      <c r="AX178" s="76">
        <f>+AW178*600000</f>
        <v>0</v>
      </c>
      <c r="AY178" s="76"/>
      <c r="AZ178" s="76">
        <f>+AY178*70000</f>
        <v>0</v>
      </c>
      <c r="BA178" s="76"/>
      <c r="BB178" s="76"/>
      <c r="BC178" s="76"/>
      <c r="BD178" s="76">
        <f>+BC178*30000</f>
        <v>0</v>
      </c>
      <c r="BE178" s="76"/>
      <c r="BF178" s="76"/>
      <c r="BG178" s="76"/>
      <c r="BH178" s="76"/>
      <c r="BI178" s="76"/>
      <c r="BJ178" s="76"/>
      <c r="BK178" s="76"/>
      <c r="BL178" s="76">
        <f>+BK178*31500</f>
        <v>0</v>
      </c>
      <c r="BM178" s="76"/>
      <c r="BN178" s="76"/>
      <c r="BO178" s="76"/>
      <c r="BP178" s="76"/>
      <c r="BQ178" s="76"/>
      <c r="BR178" s="76"/>
      <c r="BS178" s="76"/>
      <c r="BT178" s="76"/>
      <c r="BU178" s="76"/>
      <c r="BV178" s="76"/>
      <c r="BW178" s="76"/>
      <c r="BX178" s="76"/>
      <c r="BY178" s="76"/>
      <c r="BZ178" s="76"/>
      <c r="CA178" s="76"/>
      <c r="CB178" s="76"/>
      <c r="CC178" s="76"/>
      <c r="CD178" s="76"/>
      <c r="CE178" s="76"/>
      <c r="CF178" s="76">
        <f>+CE178*28000</f>
        <v>0</v>
      </c>
      <c r="CG178" s="76"/>
      <c r="CH178" s="76">
        <f>+CG178*22500</f>
        <v>0</v>
      </c>
      <c r="CI178" s="76"/>
      <c r="CJ178" s="76">
        <f>+CI178*26000</f>
        <v>0</v>
      </c>
      <c r="CK178" s="76"/>
      <c r="CL178" s="76"/>
      <c r="CM178" s="76"/>
      <c r="CN178" s="76">
        <f>+CM178*22000</f>
        <v>0</v>
      </c>
      <c r="CO178" s="76"/>
      <c r="CP178" s="76">
        <f>+CO178*46000</f>
        <v>0</v>
      </c>
      <c r="CQ178" s="76"/>
      <c r="CR178" s="76">
        <f>+CQ178*49000</f>
        <v>0</v>
      </c>
      <c r="CS178" s="76"/>
      <c r="CT178" s="76"/>
      <c r="CU178" s="56">
        <f>AN178+AP178+AR178+AT178+AV178+AX178+AZ178+BB178+BD178+BF178+BH178+BJ178+BL178+BN178+BP178+BR178+BT178+BV178+BX178+BZ178+CB178+CD178+CF178+CH178+CJ178+CL178+CN178+CP178+CR178+CT178</f>
        <v>0</v>
      </c>
      <c r="CV178" s="76"/>
      <c r="CW178" s="76">
        <f>+CV178*1100</f>
        <v>0</v>
      </c>
      <c r="CX178" s="76"/>
      <c r="CY178" s="76">
        <f>+CX178*106250</f>
        <v>0</v>
      </c>
      <c r="CZ178" s="76"/>
      <c r="DA178" s="76">
        <f>+CZ178*34500</f>
        <v>0</v>
      </c>
      <c r="DB178" s="76"/>
      <c r="DC178" s="76">
        <f>+DB178*25000</f>
        <v>0</v>
      </c>
      <c r="DD178" s="219"/>
      <c r="DE178" s="219"/>
      <c r="DF178" s="164"/>
      <c r="DG178" s="116"/>
      <c r="DH178" s="117"/>
      <c r="DI178" s="24"/>
      <c r="DJ178" s="24"/>
      <c r="DK178" s="24"/>
      <c r="DL178" s="24"/>
      <c r="DM178" s="24"/>
      <c r="DN178" s="24"/>
      <c r="DO178" s="24"/>
      <c r="DP178" s="24"/>
      <c r="DQ178" s="24"/>
      <c r="DR178" s="24"/>
      <c r="DS178" s="24"/>
      <c r="DT178" s="24"/>
      <c r="DU178" s="24"/>
    </row>
    <row r="179" spans="1:125" s="8" customFormat="1" ht="84" x14ac:dyDescent="0.2">
      <c r="A179" s="77">
        <v>41286</v>
      </c>
      <c r="B179" s="80" t="s">
        <v>2847</v>
      </c>
      <c r="C179" s="81" t="s">
        <v>2109</v>
      </c>
      <c r="D179" s="81" t="s">
        <v>2846</v>
      </c>
      <c r="E179" s="75" t="str">
        <f>VLOOKUP(B179&amp;C179,Divipola!$C$2:$F$1138,4,FALSE)</f>
        <v>68575</v>
      </c>
      <c r="F179" s="87"/>
      <c r="G179" s="87"/>
      <c r="H179" s="87"/>
      <c r="I179" s="87"/>
      <c r="J179" s="87"/>
      <c r="K179" s="87"/>
      <c r="L179" s="87"/>
      <c r="M179" s="87"/>
      <c r="N179" s="87"/>
      <c r="O179" s="87"/>
      <c r="P179" s="87"/>
      <c r="Q179" s="87"/>
      <c r="R179" s="87"/>
      <c r="S179" s="87"/>
      <c r="T179" s="87"/>
      <c r="U179" s="127">
        <v>30</v>
      </c>
      <c r="V179" s="89"/>
      <c r="W179" s="96">
        <v>0</v>
      </c>
      <c r="X179" s="71">
        <f>CU179</f>
        <v>0</v>
      </c>
      <c r="Y179" s="71">
        <f>CY179</f>
        <v>0</v>
      </c>
      <c r="Z179" s="71">
        <f>DA179+DC179+DE179</f>
        <v>0</v>
      </c>
      <c r="AA179" s="71">
        <f>CW179</f>
        <v>0</v>
      </c>
      <c r="AB179" s="71"/>
      <c r="AC179" s="71">
        <v>0</v>
      </c>
      <c r="AD179" s="71">
        <f>W179+X179+Y179+Z179+AA179+AB179+AC179</f>
        <v>0</v>
      </c>
      <c r="AE179" s="72">
        <v>0</v>
      </c>
      <c r="AF179" s="5"/>
      <c r="AG179" s="6"/>
      <c r="AH179" s="27" t="s">
        <v>3392</v>
      </c>
      <c r="AI179" s="44" t="s">
        <v>3393</v>
      </c>
      <c r="AJ179" s="26"/>
      <c r="AK179" s="5"/>
      <c r="AL179" s="82" t="s">
        <v>3013</v>
      </c>
      <c r="AM179" s="76"/>
      <c r="AN179" s="76"/>
      <c r="AO179" s="76"/>
      <c r="AP179" s="76"/>
      <c r="AQ179" s="76"/>
      <c r="AR179" s="76"/>
      <c r="AS179" s="76"/>
      <c r="AT179" s="76"/>
      <c r="AU179" s="76"/>
      <c r="AV179" s="76"/>
      <c r="AW179" s="76"/>
      <c r="AX179" s="76">
        <f>+AW179*600000</f>
        <v>0</v>
      </c>
      <c r="AY179" s="76"/>
      <c r="AZ179" s="76">
        <f>+AY179*70000</f>
        <v>0</v>
      </c>
      <c r="BA179" s="76"/>
      <c r="BB179" s="76"/>
      <c r="BC179" s="76"/>
      <c r="BD179" s="76">
        <f>+BC179*30000</f>
        <v>0</v>
      </c>
      <c r="BE179" s="76"/>
      <c r="BF179" s="76"/>
      <c r="BG179" s="76"/>
      <c r="BH179" s="76"/>
      <c r="BI179" s="76"/>
      <c r="BJ179" s="76"/>
      <c r="BK179" s="76"/>
      <c r="BL179" s="76">
        <f>+BK179*31500</f>
        <v>0</v>
      </c>
      <c r="BM179" s="76"/>
      <c r="BN179" s="76"/>
      <c r="BO179" s="76"/>
      <c r="BP179" s="76"/>
      <c r="BQ179" s="76"/>
      <c r="BR179" s="76"/>
      <c r="BS179" s="76"/>
      <c r="BT179" s="76"/>
      <c r="BU179" s="76"/>
      <c r="BV179" s="76"/>
      <c r="BW179" s="76"/>
      <c r="BX179" s="76"/>
      <c r="BY179" s="76"/>
      <c r="BZ179" s="76"/>
      <c r="CA179" s="76"/>
      <c r="CB179" s="76"/>
      <c r="CC179" s="76"/>
      <c r="CD179" s="76"/>
      <c r="CE179" s="76"/>
      <c r="CF179" s="76">
        <f>+CE179*28000</f>
        <v>0</v>
      </c>
      <c r="CG179" s="76"/>
      <c r="CH179" s="76">
        <f>+CG179*22500</f>
        <v>0</v>
      </c>
      <c r="CI179" s="76"/>
      <c r="CJ179" s="76">
        <f>+CI179*26000</f>
        <v>0</v>
      </c>
      <c r="CK179" s="76"/>
      <c r="CL179" s="76"/>
      <c r="CM179" s="76"/>
      <c r="CN179" s="76">
        <f>+CM179*22000</f>
        <v>0</v>
      </c>
      <c r="CO179" s="76"/>
      <c r="CP179" s="76">
        <f>+CO179*46000</f>
        <v>0</v>
      </c>
      <c r="CQ179" s="76"/>
      <c r="CR179" s="76">
        <f>+CQ179*49000</f>
        <v>0</v>
      </c>
      <c r="CS179" s="76"/>
      <c r="CT179" s="76"/>
      <c r="CU179" s="56">
        <f>AN179+AP179+AR179+AT179+AV179+AX179+AZ179+BB179+BD179+BF179+BH179+BJ179+BL179+BN179+BP179+BR179+BT179+BV179+BX179+BZ179+CB179+CD179+CF179+CH179+CJ179+CL179+CN179+CP179+CR179+CT179</f>
        <v>0</v>
      </c>
      <c r="CV179" s="76"/>
      <c r="CW179" s="76">
        <f>+CV179*1100</f>
        <v>0</v>
      </c>
      <c r="CX179" s="76"/>
      <c r="CY179" s="76">
        <f>+CX179*106250</f>
        <v>0</v>
      </c>
      <c r="CZ179" s="76"/>
      <c r="DA179" s="76">
        <f>+CZ179*34500</f>
        <v>0</v>
      </c>
      <c r="DB179" s="76"/>
      <c r="DC179" s="76">
        <f>+DB179*25000</f>
        <v>0</v>
      </c>
      <c r="DD179" s="219"/>
      <c r="DE179" s="219"/>
      <c r="DF179" s="164"/>
      <c r="DG179" s="116"/>
      <c r="DH179" s="117"/>
      <c r="DI179" s="24"/>
      <c r="DJ179" s="24"/>
      <c r="DK179" s="24"/>
      <c r="DL179" s="24"/>
      <c r="DM179" s="24"/>
      <c r="DN179" s="24"/>
      <c r="DO179" s="24"/>
      <c r="DP179" s="24"/>
      <c r="DQ179" s="24"/>
      <c r="DR179" s="24"/>
      <c r="DS179" s="24"/>
      <c r="DT179" s="24"/>
      <c r="DU179" s="24"/>
    </row>
    <row r="180" spans="1:125" s="8" customFormat="1" ht="72" x14ac:dyDescent="0.2">
      <c r="A180" s="77">
        <v>41286</v>
      </c>
      <c r="B180" s="80" t="s">
        <v>2847</v>
      </c>
      <c r="C180" s="81" t="s">
        <v>2165</v>
      </c>
      <c r="D180" s="81" t="s">
        <v>2846</v>
      </c>
      <c r="E180" s="75" t="str">
        <f>VLOOKUP(B180&amp;C180,Divipola!$C$2:$F$1138,4,FALSE)</f>
        <v>68655</v>
      </c>
      <c r="F180" s="87"/>
      <c r="G180" s="87"/>
      <c r="H180" s="87"/>
      <c r="I180" s="87"/>
      <c r="J180" s="87"/>
      <c r="K180" s="87"/>
      <c r="L180" s="87"/>
      <c r="M180" s="87"/>
      <c r="N180" s="87"/>
      <c r="O180" s="87"/>
      <c r="P180" s="87"/>
      <c r="Q180" s="87"/>
      <c r="R180" s="87"/>
      <c r="S180" s="87"/>
      <c r="T180" s="87"/>
      <c r="U180" s="127">
        <v>7</v>
      </c>
      <c r="V180" s="89"/>
      <c r="W180" s="96">
        <v>0</v>
      </c>
      <c r="X180" s="71">
        <f>CU180</f>
        <v>0</v>
      </c>
      <c r="Y180" s="71">
        <f>CY180</f>
        <v>0</v>
      </c>
      <c r="Z180" s="71">
        <f>DA180+DC180+DE180</f>
        <v>0</v>
      </c>
      <c r="AA180" s="71">
        <f>CW180</f>
        <v>0</v>
      </c>
      <c r="AB180" s="71"/>
      <c r="AC180" s="71">
        <v>0</v>
      </c>
      <c r="AD180" s="71">
        <f>W180+X180+Y180+Z180+AA180+AB180+AC180</f>
        <v>0</v>
      </c>
      <c r="AE180" s="72">
        <v>0</v>
      </c>
      <c r="AF180" s="5"/>
      <c r="AG180" s="6"/>
      <c r="AH180" s="27" t="s">
        <v>3392</v>
      </c>
      <c r="AI180" s="44" t="s">
        <v>3393</v>
      </c>
      <c r="AJ180" s="26"/>
      <c r="AK180" s="5"/>
      <c r="AL180" s="82" t="s">
        <v>3011</v>
      </c>
      <c r="AM180" s="76"/>
      <c r="AN180" s="76"/>
      <c r="AO180" s="76"/>
      <c r="AP180" s="76"/>
      <c r="AQ180" s="76"/>
      <c r="AR180" s="76"/>
      <c r="AS180" s="76"/>
      <c r="AT180" s="76"/>
      <c r="AU180" s="76"/>
      <c r="AV180" s="76"/>
      <c r="AW180" s="76"/>
      <c r="AX180" s="76">
        <f>+AW180*600000</f>
        <v>0</v>
      </c>
      <c r="AY180" s="76"/>
      <c r="AZ180" s="76">
        <f>+AY180*70000</f>
        <v>0</v>
      </c>
      <c r="BA180" s="76"/>
      <c r="BB180" s="76"/>
      <c r="BC180" s="76"/>
      <c r="BD180" s="76">
        <f>+BC180*30000</f>
        <v>0</v>
      </c>
      <c r="BE180" s="76"/>
      <c r="BF180" s="76"/>
      <c r="BG180" s="76"/>
      <c r="BH180" s="76"/>
      <c r="BI180" s="76"/>
      <c r="BJ180" s="76"/>
      <c r="BK180" s="76"/>
      <c r="BL180" s="76">
        <f>+BK180*31500</f>
        <v>0</v>
      </c>
      <c r="BM180" s="76"/>
      <c r="BN180" s="76"/>
      <c r="BO180" s="76"/>
      <c r="BP180" s="76"/>
      <c r="BQ180" s="76"/>
      <c r="BR180" s="76"/>
      <c r="BS180" s="76"/>
      <c r="BT180" s="76"/>
      <c r="BU180" s="76"/>
      <c r="BV180" s="76"/>
      <c r="BW180" s="76"/>
      <c r="BX180" s="76"/>
      <c r="BY180" s="76"/>
      <c r="BZ180" s="76"/>
      <c r="CA180" s="76"/>
      <c r="CB180" s="76"/>
      <c r="CC180" s="76"/>
      <c r="CD180" s="76"/>
      <c r="CE180" s="76"/>
      <c r="CF180" s="76">
        <f>+CE180*28000</f>
        <v>0</v>
      </c>
      <c r="CG180" s="76"/>
      <c r="CH180" s="76">
        <f>+CG180*22500</f>
        <v>0</v>
      </c>
      <c r="CI180" s="76"/>
      <c r="CJ180" s="76">
        <f>+CI180*26000</f>
        <v>0</v>
      </c>
      <c r="CK180" s="76"/>
      <c r="CL180" s="76"/>
      <c r="CM180" s="76"/>
      <c r="CN180" s="76">
        <f>+CM180*22000</f>
        <v>0</v>
      </c>
      <c r="CO180" s="76"/>
      <c r="CP180" s="76">
        <f>+CO180*46000</f>
        <v>0</v>
      </c>
      <c r="CQ180" s="76"/>
      <c r="CR180" s="76">
        <f>+CQ180*49000</f>
        <v>0</v>
      </c>
      <c r="CS180" s="76"/>
      <c r="CT180" s="76"/>
      <c r="CU180" s="56">
        <f>AN180+AP180+AR180+AT180+AV180+AX180+AZ180+BB180+BD180+BF180+BH180+BJ180+BL180+BN180+BP180+BR180+BT180+BV180+BX180+BZ180+CB180+CD180+CF180+CH180+CJ180+CL180+CN180+CP180+CR180+CT180</f>
        <v>0</v>
      </c>
      <c r="CV180" s="76"/>
      <c r="CW180" s="76">
        <f>+CV180*1100</f>
        <v>0</v>
      </c>
      <c r="CX180" s="76"/>
      <c r="CY180" s="76">
        <f>+CX180*106250</f>
        <v>0</v>
      </c>
      <c r="CZ180" s="76"/>
      <c r="DA180" s="76">
        <f>+CZ180*34500</f>
        <v>0</v>
      </c>
      <c r="DB180" s="76"/>
      <c r="DC180" s="76">
        <f>+DB180*25000</f>
        <v>0</v>
      </c>
      <c r="DD180" s="219"/>
      <c r="DE180" s="219"/>
      <c r="DF180" s="164"/>
      <c r="DG180" s="116"/>
      <c r="DH180" s="117"/>
      <c r="DI180" s="24"/>
      <c r="DJ180" s="24"/>
      <c r="DK180" s="24"/>
      <c r="DL180" s="24"/>
      <c r="DM180" s="24"/>
      <c r="DN180" s="24"/>
      <c r="DO180" s="24"/>
      <c r="DP180" s="24"/>
      <c r="DQ180" s="24"/>
      <c r="DR180" s="24"/>
      <c r="DS180" s="24"/>
      <c r="DT180" s="24"/>
      <c r="DU180" s="24"/>
    </row>
    <row r="181" spans="1:125" s="8" customFormat="1" ht="72" x14ac:dyDescent="0.2">
      <c r="A181" s="77">
        <v>41286</v>
      </c>
      <c r="B181" s="80" t="s">
        <v>2847</v>
      </c>
      <c r="C181" s="81" t="s">
        <v>2137</v>
      </c>
      <c r="D181" s="81" t="s">
        <v>2846</v>
      </c>
      <c r="E181" s="75" t="str">
        <f>VLOOKUP(B181&amp;C181,Divipola!$C$2:$F$1138,4,FALSE)</f>
        <v>68745</v>
      </c>
      <c r="F181" s="87"/>
      <c r="G181" s="87"/>
      <c r="H181" s="87"/>
      <c r="I181" s="87"/>
      <c r="J181" s="87"/>
      <c r="K181" s="87"/>
      <c r="L181" s="87"/>
      <c r="M181" s="87"/>
      <c r="N181" s="87"/>
      <c r="O181" s="87"/>
      <c r="P181" s="87"/>
      <c r="Q181" s="87"/>
      <c r="R181" s="87"/>
      <c r="S181" s="87"/>
      <c r="T181" s="87"/>
      <c r="U181" s="127">
        <v>5</v>
      </c>
      <c r="V181" s="89"/>
      <c r="W181" s="96">
        <v>0</v>
      </c>
      <c r="X181" s="71">
        <f>CU181</f>
        <v>0</v>
      </c>
      <c r="Y181" s="71">
        <f>CY181</f>
        <v>0</v>
      </c>
      <c r="Z181" s="71">
        <f>DA181+DC181+DE181</f>
        <v>0</v>
      </c>
      <c r="AA181" s="71">
        <f>CW181</f>
        <v>0</v>
      </c>
      <c r="AB181" s="71"/>
      <c r="AC181" s="71">
        <v>0</v>
      </c>
      <c r="AD181" s="71">
        <f>W181+X181+Y181+Z181+AA181+AB181+AC181</f>
        <v>0</v>
      </c>
      <c r="AE181" s="72">
        <v>0</v>
      </c>
      <c r="AF181" s="5"/>
      <c r="AG181" s="6"/>
      <c r="AH181" s="27" t="s">
        <v>3392</v>
      </c>
      <c r="AI181" s="44" t="s">
        <v>3393</v>
      </c>
      <c r="AJ181" s="26"/>
      <c r="AK181" s="5"/>
      <c r="AL181" s="82" t="s">
        <v>3012</v>
      </c>
      <c r="AM181" s="76"/>
      <c r="AN181" s="76"/>
      <c r="AO181" s="76"/>
      <c r="AP181" s="76"/>
      <c r="AQ181" s="76"/>
      <c r="AR181" s="76"/>
      <c r="AS181" s="76"/>
      <c r="AT181" s="76"/>
      <c r="AU181" s="76"/>
      <c r="AV181" s="76"/>
      <c r="AW181" s="76"/>
      <c r="AX181" s="76">
        <f>+AW181*600000</f>
        <v>0</v>
      </c>
      <c r="AY181" s="76"/>
      <c r="AZ181" s="76">
        <f>+AY181*70000</f>
        <v>0</v>
      </c>
      <c r="BA181" s="76"/>
      <c r="BB181" s="76"/>
      <c r="BC181" s="76"/>
      <c r="BD181" s="76">
        <f>+BC181*30000</f>
        <v>0</v>
      </c>
      <c r="BE181" s="76"/>
      <c r="BF181" s="76"/>
      <c r="BG181" s="76"/>
      <c r="BH181" s="76"/>
      <c r="BI181" s="76"/>
      <c r="BJ181" s="76"/>
      <c r="BK181" s="76"/>
      <c r="BL181" s="76">
        <f>+BK181*31500</f>
        <v>0</v>
      </c>
      <c r="BM181" s="76"/>
      <c r="BN181" s="76"/>
      <c r="BO181" s="76"/>
      <c r="BP181" s="76"/>
      <c r="BQ181" s="76"/>
      <c r="BR181" s="76"/>
      <c r="BS181" s="76"/>
      <c r="BT181" s="76"/>
      <c r="BU181" s="76"/>
      <c r="BV181" s="76"/>
      <c r="BW181" s="76"/>
      <c r="BX181" s="76"/>
      <c r="BY181" s="76"/>
      <c r="BZ181" s="76"/>
      <c r="CA181" s="76"/>
      <c r="CB181" s="76"/>
      <c r="CC181" s="76"/>
      <c r="CD181" s="76"/>
      <c r="CE181" s="76"/>
      <c r="CF181" s="76">
        <f>+CE181*28000</f>
        <v>0</v>
      </c>
      <c r="CG181" s="76"/>
      <c r="CH181" s="76">
        <f>+CG181*22500</f>
        <v>0</v>
      </c>
      <c r="CI181" s="76"/>
      <c r="CJ181" s="76">
        <f>+CI181*26000</f>
        <v>0</v>
      </c>
      <c r="CK181" s="76"/>
      <c r="CL181" s="76"/>
      <c r="CM181" s="76"/>
      <c r="CN181" s="76">
        <f>+CM181*22000</f>
        <v>0</v>
      </c>
      <c r="CO181" s="76"/>
      <c r="CP181" s="76">
        <f>+CO181*46000</f>
        <v>0</v>
      </c>
      <c r="CQ181" s="76"/>
      <c r="CR181" s="76">
        <f>+CQ181*49000</f>
        <v>0</v>
      </c>
      <c r="CS181" s="76"/>
      <c r="CT181" s="76"/>
      <c r="CU181" s="56">
        <f>AN181+AP181+AR181+AT181+AV181+AX181+AZ181+BB181+BD181+BF181+BH181+BJ181+BL181+BN181+BP181+BR181+BT181+BV181+BX181+BZ181+CB181+CD181+CF181+CH181+CJ181+CL181+CN181+CP181+CR181+CT181</f>
        <v>0</v>
      </c>
      <c r="CV181" s="76"/>
      <c r="CW181" s="76">
        <f>+CV181*1100</f>
        <v>0</v>
      </c>
      <c r="CX181" s="76"/>
      <c r="CY181" s="76">
        <f>+CX181*106250</f>
        <v>0</v>
      </c>
      <c r="CZ181" s="76"/>
      <c r="DA181" s="76">
        <f>+CZ181*34500</f>
        <v>0</v>
      </c>
      <c r="DB181" s="76"/>
      <c r="DC181" s="76">
        <f>+DB181*25000</f>
        <v>0</v>
      </c>
      <c r="DD181" s="219"/>
      <c r="DE181" s="219"/>
      <c r="DF181" s="164"/>
      <c r="DG181" s="116"/>
      <c r="DH181" s="117"/>
      <c r="DI181" s="24"/>
      <c r="DJ181" s="24"/>
      <c r="DK181" s="24"/>
      <c r="DL181" s="24"/>
      <c r="DM181" s="24"/>
      <c r="DN181" s="24"/>
      <c r="DO181" s="24"/>
      <c r="DP181" s="24"/>
      <c r="DQ181" s="24"/>
      <c r="DR181" s="24"/>
      <c r="DS181" s="24"/>
      <c r="DT181" s="24"/>
      <c r="DU181" s="24"/>
    </row>
    <row r="182" spans="1:125" s="8" customFormat="1" ht="72" x14ac:dyDescent="0.2">
      <c r="A182" s="77">
        <v>41286</v>
      </c>
      <c r="B182" s="80" t="s">
        <v>2847</v>
      </c>
      <c r="C182" s="81" t="s">
        <v>480</v>
      </c>
      <c r="D182" s="81" t="s">
        <v>2846</v>
      </c>
      <c r="E182" s="75" t="str">
        <f>VLOOKUP(B182&amp;C182,Divipola!$C$2:$F$1138,4,FALSE)</f>
        <v>68820</v>
      </c>
      <c r="F182" s="87"/>
      <c r="G182" s="87"/>
      <c r="H182" s="87"/>
      <c r="I182" s="87"/>
      <c r="J182" s="87"/>
      <c r="K182" s="87"/>
      <c r="L182" s="87"/>
      <c r="M182" s="87"/>
      <c r="N182" s="87"/>
      <c r="O182" s="87"/>
      <c r="P182" s="87"/>
      <c r="Q182" s="87"/>
      <c r="R182" s="87"/>
      <c r="S182" s="87"/>
      <c r="T182" s="87"/>
      <c r="U182" s="127">
        <v>25</v>
      </c>
      <c r="V182" s="89"/>
      <c r="W182" s="96">
        <v>0</v>
      </c>
      <c r="X182" s="71">
        <f>CU182</f>
        <v>0</v>
      </c>
      <c r="Y182" s="71">
        <f>CY182</f>
        <v>0</v>
      </c>
      <c r="Z182" s="71">
        <f>DA182+DC182+DE182</f>
        <v>0</v>
      </c>
      <c r="AA182" s="71">
        <f>CW182</f>
        <v>0</v>
      </c>
      <c r="AB182" s="71"/>
      <c r="AC182" s="71">
        <v>0</v>
      </c>
      <c r="AD182" s="71">
        <f>W182+X182+Y182+Z182+AA182+AB182+AC182</f>
        <v>0</v>
      </c>
      <c r="AE182" s="72">
        <v>0</v>
      </c>
      <c r="AF182" s="5"/>
      <c r="AG182" s="6"/>
      <c r="AH182" s="27" t="s">
        <v>3392</v>
      </c>
      <c r="AI182" s="44" t="s">
        <v>3393</v>
      </c>
      <c r="AJ182" s="26"/>
      <c r="AK182" s="5"/>
      <c r="AL182" s="82" t="s">
        <v>3009</v>
      </c>
      <c r="AM182" s="76"/>
      <c r="AN182" s="76"/>
      <c r="AO182" s="76"/>
      <c r="AP182" s="76"/>
      <c r="AQ182" s="76"/>
      <c r="AR182" s="76"/>
      <c r="AS182" s="76"/>
      <c r="AT182" s="76"/>
      <c r="AU182" s="76"/>
      <c r="AV182" s="76"/>
      <c r="AW182" s="76"/>
      <c r="AX182" s="76">
        <f>+AW182*600000</f>
        <v>0</v>
      </c>
      <c r="AY182" s="76"/>
      <c r="AZ182" s="76">
        <f>+AY182*70000</f>
        <v>0</v>
      </c>
      <c r="BA182" s="76"/>
      <c r="BB182" s="76"/>
      <c r="BC182" s="76"/>
      <c r="BD182" s="76">
        <f>+BC182*30000</f>
        <v>0</v>
      </c>
      <c r="BE182" s="76"/>
      <c r="BF182" s="76"/>
      <c r="BG182" s="76"/>
      <c r="BH182" s="76"/>
      <c r="BI182" s="76"/>
      <c r="BJ182" s="76"/>
      <c r="BK182" s="76"/>
      <c r="BL182" s="76">
        <f>+BK182*31500</f>
        <v>0</v>
      </c>
      <c r="BM182" s="76"/>
      <c r="BN182" s="76"/>
      <c r="BO182" s="76"/>
      <c r="BP182" s="76"/>
      <c r="BQ182" s="76"/>
      <c r="BR182" s="76"/>
      <c r="BS182" s="76"/>
      <c r="BT182" s="76"/>
      <c r="BU182" s="76"/>
      <c r="BV182" s="76"/>
      <c r="BW182" s="76"/>
      <c r="BX182" s="76"/>
      <c r="BY182" s="76"/>
      <c r="BZ182" s="76"/>
      <c r="CA182" s="76"/>
      <c r="CB182" s="76"/>
      <c r="CC182" s="76"/>
      <c r="CD182" s="76"/>
      <c r="CE182" s="76"/>
      <c r="CF182" s="76">
        <f>+CE182*28000</f>
        <v>0</v>
      </c>
      <c r="CG182" s="76"/>
      <c r="CH182" s="76">
        <f>+CG182*22500</f>
        <v>0</v>
      </c>
      <c r="CI182" s="76"/>
      <c r="CJ182" s="76">
        <f>+CI182*26000</f>
        <v>0</v>
      </c>
      <c r="CK182" s="76"/>
      <c r="CL182" s="76"/>
      <c r="CM182" s="76"/>
      <c r="CN182" s="76">
        <f>+CM182*22000</f>
        <v>0</v>
      </c>
      <c r="CO182" s="76"/>
      <c r="CP182" s="76">
        <f>+CO182*46000</f>
        <v>0</v>
      </c>
      <c r="CQ182" s="76"/>
      <c r="CR182" s="76">
        <f>+CQ182*49000</f>
        <v>0</v>
      </c>
      <c r="CS182" s="76"/>
      <c r="CT182" s="76"/>
      <c r="CU182" s="56">
        <f>AN182+AP182+AR182+AT182+AV182+AX182+AZ182+BB182+BD182+BF182+BH182+BJ182+BL182+BN182+BP182+BR182+BT182+BV182+BX182+BZ182+CB182+CD182+CF182+CH182+CJ182+CL182+CN182+CP182+CR182+CT182</f>
        <v>0</v>
      </c>
      <c r="CV182" s="76"/>
      <c r="CW182" s="76">
        <f>+CV182*1100</f>
        <v>0</v>
      </c>
      <c r="CX182" s="76"/>
      <c r="CY182" s="76">
        <f>+CX182*106250</f>
        <v>0</v>
      </c>
      <c r="CZ182" s="76"/>
      <c r="DA182" s="76">
        <f>+CZ182*34500</f>
        <v>0</v>
      </c>
      <c r="DB182" s="76"/>
      <c r="DC182" s="76">
        <f>+DB182*25000</f>
        <v>0</v>
      </c>
      <c r="DD182" s="219"/>
      <c r="DE182" s="219"/>
      <c r="DF182" s="164"/>
      <c r="DG182" s="116"/>
      <c r="DH182" s="117"/>
      <c r="DI182" s="24"/>
      <c r="DJ182" s="24"/>
      <c r="DK182" s="24"/>
      <c r="DL182" s="24"/>
      <c r="DM182" s="24"/>
      <c r="DN182" s="24"/>
      <c r="DO182" s="24"/>
      <c r="DP182" s="24"/>
      <c r="DQ182" s="24"/>
      <c r="DR182" s="24"/>
      <c r="DS182" s="24"/>
      <c r="DT182" s="24"/>
      <c r="DU182" s="24"/>
    </row>
    <row r="183" spans="1:125" s="8" customFormat="1" ht="48" x14ac:dyDescent="0.2">
      <c r="A183" s="77">
        <v>41286</v>
      </c>
      <c r="B183" s="80" t="s">
        <v>2848</v>
      </c>
      <c r="C183" s="81" t="s">
        <v>2035</v>
      </c>
      <c r="D183" s="81" t="s">
        <v>2846</v>
      </c>
      <c r="E183" s="75" t="str">
        <f>VLOOKUP(B183&amp;C183,Divipola!$C$2:$F$1138,4,FALSE)</f>
        <v>73148</v>
      </c>
      <c r="F183" s="87"/>
      <c r="G183" s="87"/>
      <c r="H183" s="87"/>
      <c r="I183" s="87"/>
      <c r="J183" s="87"/>
      <c r="K183" s="87"/>
      <c r="L183" s="87"/>
      <c r="M183" s="87"/>
      <c r="N183" s="87"/>
      <c r="O183" s="87"/>
      <c r="P183" s="87"/>
      <c r="Q183" s="87"/>
      <c r="R183" s="87"/>
      <c r="S183" s="87"/>
      <c r="T183" s="87"/>
      <c r="U183" s="127">
        <v>10</v>
      </c>
      <c r="V183" s="89"/>
      <c r="W183" s="96">
        <v>0</v>
      </c>
      <c r="X183" s="71">
        <f>CU183</f>
        <v>0</v>
      </c>
      <c r="Y183" s="71">
        <f>CY183</f>
        <v>0</v>
      </c>
      <c r="Z183" s="71">
        <f>DA183+DC183+DE183</f>
        <v>0</v>
      </c>
      <c r="AA183" s="71">
        <f>CW183</f>
        <v>0</v>
      </c>
      <c r="AB183" s="71"/>
      <c r="AC183" s="71">
        <v>0</v>
      </c>
      <c r="AD183" s="71">
        <f>W183+X183+Y183+Z183+AA183+AB183+AC183</f>
        <v>0</v>
      </c>
      <c r="AE183" s="72">
        <v>0</v>
      </c>
      <c r="AF183" s="5"/>
      <c r="AG183" s="6"/>
      <c r="AH183" s="27" t="s">
        <v>3392</v>
      </c>
      <c r="AI183" s="44" t="s">
        <v>3393</v>
      </c>
      <c r="AJ183" s="26"/>
      <c r="AK183" s="5"/>
      <c r="AL183" s="82" t="s">
        <v>3028</v>
      </c>
      <c r="AM183" s="76"/>
      <c r="AN183" s="76"/>
      <c r="AO183" s="76"/>
      <c r="AP183" s="76"/>
      <c r="AQ183" s="76"/>
      <c r="AR183" s="76"/>
      <c r="AS183" s="76"/>
      <c r="AT183" s="76"/>
      <c r="AU183" s="76"/>
      <c r="AV183" s="76"/>
      <c r="AW183" s="76"/>
      <c r="AX183" s="76">
        <f>+AW183*600000</f>
        <v>0</v>
      </c>
      <c r="AY183" s="76"/>
      <c r="AZ183" s="76">
        <f>+AY183*70000</f>
        <v>0</v>
      </c>
      <c r="BA183" s="76"/>
      <c r="BB183" s="76"/>
      <c r="BC183" s="76"/>
      <c r="BD183" s="76">
        <f>+BC183*30000</f>
        <v>0</v>
      </c>
      <c r="BE183" s="76"/>
      <c r="BF183" s="76"/>
      <c r="BG183" s="76"/>
      <c r="BH183" s="76"/>
      <c r="BI183" s="76"/>
      <c r="BJ183" s="76"/>
      <c r="BK183" s="76"/>
      <c r="BL183" s="76">
        <f>+BK183*31500</f>
        <v>0</v>
      </c>
      <c r="BM183" s="76"/>
      <c r="BN183" s="76"/>
      <c r="BO183" s="76"/>
      <c r="BP183" s="76"/>
      <c r="BQ183" s="76"/>
      <c r="BR183" s="76"/>
      <c r="BS183" s="76"/>
      <c r="BT183" s="76"/>
      <c r="BU183" s="76"/>
      <c r="BV183" s="76"/>
      <c r="BW183" s="76"/>
      <c r="BX183" s="76"/>
      <c r="BY183" s="76"/>
      <c r="BZ183" s="76"/>
      <c r="CA183" s="76"/>
      <c r="CB183" s="76"/>
      <c r="CC183" s="76"/>
      <c r="CD183" s="76"/>
      <c r="CE183" s="76"/>
      <c r="CF183" s="76">
        <f>+CE183*28000</f>
        <v>0</v>
      </c>
      <c r="CG183" s="76"/>
      <c r="CH183" s="76">
        <f>+CG183*22500</f>
        <v>0</v>
      </c>
      <c r="CI183" s="76"/>
      <c r="CJ183" s="76">
        <f>+CI183*26000</f>
        <v>0</v>
      </c>
      <c r="CK183" s="76"/>
      <c r="CL183" s="76"/>
      <c r="CM183" s="76"/>
      <c r="CN183" s="76">
        <f>+CM183*22000</f>
        <v>0</v>
      </c>
      <c r="CO183" s="76"/>
      <c r="CP183" s="76">
        <f>+CO183*46000</f>
        <v>0</v>
      </c>
      <c r="CQ183" s="76"/>
      <c r="CR183" s="76">
        <f>+CQ183*49000</f>
        <v>0</v>
      </c>
      <c r="CS183" s="76"/>
      <c r="CT183" s="76"/>
      <c r="CU183" s="56">
        <f>AN183+AP183+AR183+AT183+AV183+AX183+AZ183+BB183+BD183+BF183+BH183+BJ183+BL183+BN183+BP183+BR183+BT183+BV183+BX183+BZ183+CB183+CD183+CF183+CH183+CJ183+CL183+CN183+CP183+CR183+CT183</f>
        <v>0</v>
      </c>
      <c r="CV183" s="76"/>
      <c r="CW183" s="76">
        <f>+CV183*1100</f>
        <v>0</v>
      </c>
      <c r="CX183" s="76"/>
      <c r="CY183" s="76">
        <f>+CX183*106250</f>
        <v>0</v>
      </c>
      <c r="CZ183" s="76"/>
      <c r="DA183" s="76">
        <f>+CZ183*34500</f>
        <v>0</v>
      </c>
      <c r="DB183" s="76"/>
      <c r="DC183" s="76">
        <f>+DB183*25000</f>
        <v>0</v>
      </c>
      <c r="DD183" s="219"/>
      <c r="DE183" s="219"/>
      <c r="DF183" s="164"/>
      <c r="DG183" s="116"/>
      <c r="DH183" s="117"/>
      <c r="DI183" s="24"/>
      <c r="DJ183" s="24"/>
      <c r="DK183" s="24"/>
      <c r="DL183" s="24"/>
      <c r="DM183" s="24"/>
      <c r="DN183" s="24"/>
      <c r="DO183" s="24"/>
      <c r="DP183" s="24"/>
      <c r="DQ183" s="24"/>
      <c r="DR183" s="24"/>
      <c r="DS183" s="24"/>
      <c r="DT183" s="24"/>
      <c r="DU183" s="24"/>
    </row>
    <row r="184" spans="1:125" s="8" customFormat="1" ht="60" x14ac:dyDescent="0.2">
      <c r="A184" s="77">
        <v>41287</v>
      </c>
      <c r="B184" s="78" t="s">
        <v>2700</v>
      </c>
      <c r="C184" s="75" t="s">
        <v>1564</v>
      </c>
      <c r="D184" s="81" t="s">
        <v>2846</v>
      </c>
      <c r="E184" s="75" t="str">
        <f>VLOOKUP(B184&amp;C184,Divipola!$C$2:$F$1138,4,FALSE)</f>
        <v>15047</v>
      </c>
      <c r="F184" s="87"/>
      <c r="G184" s="87"/>
      <c r="H184" s="87"/>
      <c r="I184" s="87"/>
      <c r="J184" s="87"/>
      <c r="K184" s="87"/>
      <c r="L184" s="87"/>
      <c r="M184" s="87"/>
      <c r="N184" s="87"/>
      <c r="O184" s="87"/>
      <c r="P184" s="87"/>
      <c r="Q184" s="87"/>
      <c r="R184" s="87"/>
      <c r="S184" s="87"/>
      <c r="T184" s="87"/>
      <c r="U184" s="127">
        <v>120</v>
      </c>
      <c r="V184" s="89"/>
      <c r="W184" s="96">
        <v>0</v>
      </c>
      <c r="X184" s="71">
        <f>CU184</f>
        <v>0</v>
      </c>
      <c r="Y184" s="71">
        <f>CY184</f>
        <v>0</v>
      </c>
      <c r="Z184" s="71">
        <f>DA184+DC184+DE184</f>
        <v>0</v>
      </c>
      <c r="AA184" s="71">
        <f>CW184</f>
        <v>0</v>
      </c>
      <c r="AB184" s="71"/>
      <c r="AC184" s="71">
        <v>0</v>
      </c>
      <c r="AD184" s="71">
        <f>W184+X184+Y184+Z184+AA184+AB184+AC184</f>
        <v>0</v>
      </c>
      <c r="AE184" s="72">
        <v>0</v>
      </c>
      <c r="AF184" s="5"/>
      <c r="AG184" s="6"/>
      <c r="AH184" s="27" t="s">
        <v>3392</v>
      </c>
      <c r="AI184" s="44" t="s">
        <v>3393</v>
      </c>
      <c r="AJ184" s="26"/>
      <c r="AK184" s="5"/>
      <c r="AL184" s="82" t="s">
        <v>3034</v>
      </c>
      <c r="AM184" s="76"/>
      <c r="AN184" s="76"/>
      <c r="AO184" s="76"/>
      <c r="AP184" s="76"/>
      <c r="AQ184" s="76"/>
      <c r="AR184" s="76"/>
      <c r="AS184" s="76"/>
      <c r="AT184" s="76"/>
      <c r="AU184" s="76"/>
      <c r="AV184" s="76"/>
      <c r="AW184" s="76"/>
      <c r="AX184" s="76">
        <f>+AW184*600000</f>
        <v>0</v>
      </c>
      <c r="AY184" s="76"/>
      <c r="AZ184" s="76">
        <f>+AY184*70000</f>
        <v>0</v>
      </c>
      <c r="BA184" s="76"/>
      <c r="BB184" s="76"/>
      <c r="BC184" s="76"/>
      <c r="BD184" s="76">
        <f>+BC184*30000</f>
        <v>0</v>
      </c>
      <c r="BE184" s="76"/>
      <c r="BF184" s="76"/>
      <c r="BG184" s="76"/>
      <c r="BH184" s="76"/>
      <c r="BI184" s="76"/>
      <c r="BJ184" s="76"/>
      <c r="BK184" s="76"/>
      <c r="BL184" s="76">
        <f>+BK184*31500</f>
        <v>0</v>
      </c>
      <c r="BM184" s="76"/>
      <c r="BN184" s="76"/>
      <c r="BO184" s="76"/>
      <c r="BP184" s="76"/>
      <c r="BQ184" s="76"/>
      <c r="BR184" s="76"/>
      <c r="BS184" s="76"/>
      <c r="BT184" s="76"/>
      <c r="BU184" s="76"/>
      <c r="BV184" s="76"/>
      <c r="BW184" s="76"/>
      <c r="BX184" s="76"/>
      <c r="BY184" s="76"/>
      <c r="BZ184" s="76"/>
      <c r="CA184" s="76"/>
      <c r="CB184" s="76"/>
      <c r="CC184" s="76"/>
      <c r="CD184" s="76"/>
      <c r="CE184" s="76"/>
      <c r="CF184" s="76">
        <f>+CE184*28000</f>
        <v>0</v>
      </c>
      <c r="CG184" s="76"/>
      <c r="CH184" s="76">
        <f>+CG184*22500</f>
        <v>0</v>
      </c>
      <c r="CI184" s="76"/>
      <c r="CJ184" s="76">
        <f>+CI184*26000</f>
        <v>0</v>
      </c>
      <c r="CK184" s="76"/>
      <c r="CL184" s="76"/>
      <c r="CM184" s="76"/>
      <c r="CN184" s="76">
        <f>+CM184*22000</f>
        <v>0</v>
      </c>
      <c r="CO184" s="76"/>
      <c r="CP184" s="76">
        <f>+CO184*46000</f>
        <v>0</v>
      </c>
      <c r="CQ184" s="76"/>
      <c r="CR184" s="76">
        <f>+CQ184*49000</f>
        <v>0</v>
      </c>
      <c r="CS184" s="76"/>
      <c r="CT184" s="76"/>
      <c r="CU184" s="56">
        <f>AN184+AP184+AR184+AT184+AV184+AX184+AZ184+BB184+BD184+BF184+BH184+BJ184+BL184+BN184+BP184+BR184+BT184+BV184+BX184+BZ184+CB184+CD184+CF184+CH184+CJ184+CL184+CN184+CP184+CR184+CT184</f>
        <v>0</v>
      </c>
      <c r="CV184" s="76"/>
      <c r="CW184" s="76">
        <f>+CV184*1100</f>
        <v>0</v>
      </c>
      <c r="CX184" s="76"/>
      <c r="CY184" s="76">
        <f>+CX184*106250</f>
        <v>0</v>
      </c>
      <c r="CZ184" s="76"/>
      <c r="DA184" s="76">
        <f>+CZ184*34500</f>
        <v>0</v>
      </c>
      <c r="DB184" s="76"/>
      <c r="DC184" s="76">
        <f>+DB184*25000</f>
        <v>0</v>
      </c>
      <c r="DD184" s="219"/>
      <c r="DE184" s="219"/>
      <c r="DF184" s="164"/>
      <c r="DG184" s="116"/>
      <c r="DH184" s="117"/>
      <c r="DI184" s="24"/>
      <c r="DJ184" s="24"/>
      <c r="DK184" s="24"/>
      <c r="DL184" s="24"/>
      <c r="DM184" s="24"/>
      <c r="DN184" s="24"/>
      <c r="DO184" s="24"/>
      <c r="DP184" s="24"/>
      <c r="DQ184" s="24"/>
      <c r="DR184" s="24"/>
      <c r="DS184" s="24"/>
      <c r="DT184" s="24"/>
      <c r="DU184" s="24"/>
    </row>
    <row r="185" spans="1:125" s="8" customFormat="1" ht="24" x14ac:dyDescent="0.2">
      <c r="A185" s="77">
        <v>41287</v>
      </c>
      <c r="B185" s="78" t="s">
        <v>2700</v>
      </c>
      <c r="C185" s="83" t="s">
        <v>1609</v>
      </c>
      <c r="D185" s="81" t="s">
        <v>2846</v>
      </c>
      <c r="E185" s="75" t="str">
        <f>VLOOKUP(B185&amp;C185,Divipola!$C$2:$F$1138,4,FALSE)</f>
        <v>15187</v>
      </c>
      <c r="F185" s="93"/>
      <c r="G185" s="93"/>
      <c r="H185" s="93"/>
      <c r="I185" s="93"/>
      <c r="J185" s="93"/>
      <c r="K185" s="93"/>
      <c r="L185" s="93"/>
      <c r="M185" s="93"/>
      <c r="N185" s="93"/>
      <c r="O185" s="93"/>
      <c r="P185" s="93"/>
      <c r="Q185" s="93"/>
      <c r="R185" s="93"/>
      <c r="S185" s="93"/>
      <c r="T185" s="93"/>
      <c r="U185" s="125"/>
      <c r="V185" s="89"/>
      <c r="W185" s="96">
        <v>0</v>
      </c>
      <c r="X185" s="71">
        <f>CU185</f>
        <v>0</v>
      </c>
      <c r="Y185" s="71">
        <f>CY185</f>
        <v>0</v>
      </c>
      <c r="Z185" s="71">
        <f>DA185+DC185+DE185</f>
        <v>0</v>
      </c>
      <c r="AA185" s="71">
        <f>CW185</f>
        <v>0</v>
      </c>
      <c r="AB185" s="71"/>
      <c r="AC185" s="71">
        <v>0</v>
      </c>
      <c r="AD185" s="71">
        <f>W185+X185+Y185+Z185+AA185+AB185+AC185</f>
        <v>0</v>
      </c>
      <c r="AE185" s="72">
        <v>0</v>
      </c>
      <c r="AF185" s="5"/>
      <c r="AG185" s="6"/>
      <c r="AH185" s="27" t="s">
        <v>3392</v>
      </c>
      <c r="AI185" s="44" t="s">
        <v>3393</v>
      </c>
      <c r="AJ185" s="26"/>
      <c r="AK185" s="5"/>
      <c r="AL185" s="82" t="s">
        <v>3033</v>
      </c>
      <c r="AM185" s="76"/>
      <c r="AN185" s="76"/>
      <c r="AO185" s="76"/>
      <c r="AP185" s="76"/>
      <c r="AQ185" s="76"/>
      <c r="AR185" s="76"/>
      <c r="AS185" s="76"/>
      <c r="AT185" s="76"/>
      <c r="AU185" s="76"/>
      <c r="AV185" s="76"/>
      <c r="AW185" s="76"/>
      <c r="AX185" s="76">
        <f>+AW185*600000</f>
        <v>0</v>
      </c>
      <c r="AY185" s="76"/>
      <c r="AZ185" s="76">
        <f>+AY185*70000</f>
        <v>0</v>
      </c>
      <c r="BA185" s="76"/>
      <c r="BB185" s="76"/>
      <c r="BC185" s="76"/>
      <c r="BD185" s="76">
        <f>+BC185*30000</f>
        <v>0</v>
      </c>
      <c r="BE185" s="76"/>
      <c r="BF185" s="76"/>
      <c r="BG185" s="76"/>
      <c r="BH185" s="76"/>
      <c r="BI185" s="76"/>
      <c r="BJ185" s="76"/>
      <c r="BK185" s="76"/>
      <c r="BL185" s="76">
        <f>+BK185*31500</f>
        <v>0</v>
      </c>
      <c r="BM185" s="76"/>
      <c r="BN185" s="76"/>
      <c r="BO185" s="76"/>
      <c r="BP185" s="76"/>
      <c r="BQ185" s="76"/>
      <c r="BR185" s="76"/>
      <c r="BS185" s="76"/>
      <c r="BT185" s="76"/>
      <c r="BU185" s="76"/>
      <c r="BV185" s="76"/>
      <c r="BW185" s="76"/>
      <c r="BX185" s="76"/>
      <c r="BY185" s="76"/>
      <c r="BZ185" s="76"/>
      <c r="CA185" s="76"/>
      <c r="CB185" s="76"/>
      <c r="CC185" s="76"/>
      <c r="CD185" s="76"/>
      <c r="CE185" s="76"/>
      <c r="CF185" s="76">
        <f>+CE185*28000</f>
        <v>0</v>
      </c>
      <c r="CG185" s="76"/>
      <c r="CH185" s="76">
        <f>+CG185*22500</f>
        <v>0</v>
      </c>
      <c r="CI185" s="76"/>
      <c r="CJ185" s="76">
        <f>+CI185*26000</f>
        <v>0</v>
      </c>
      <c r="CK185" s="76"/>
      <c r="CL185" s="76"/>
      <c r="CM185" s="76"/>
      <c r="CN185" s="76">
        <f>+CM185*22000</f>
        <v>0</v>
      </c>
      <c r="CO185" s="76"/>
      <c r="CP185" s="76">
        <f>+CO185*46000</f>
        <v>0</v>
      </c>
      <c r="CQ185" s="76"/>
      <c r="CR185" s="76">
        <f>+CQ185*49000</f>
        <v>0</v>
      </c>
      <c r="CS185" s="76"/>
      <c r="CT185" s="76"/>
      <c r="CU185" s="56">
        <f>AN185+AP185+AR185+AT185+AV185+AX185+AZ185+BB185+BD185+BF185+BH185+BJ185+BL185+BN185+BP185+BR185+BT185+BV185+BX185+BZ185+CB185+CD185+CF185+CH185+CJ185+CL185+CN185+CP185+CR185+CT185</f>
        <v>0</v>
      </c>
      <c r="CV185" s="76"/>
      <c r="CW185" s="76">
        <f>+CV185*1100</f>
        <v>0</v>
      </c>
      <c r="CX185" s="76"/>
      <c r="CY185" s="76">
        <f>+CX185*106250</f>
        <v>0</v>
      </c>
      <c r="CZ185" s="76"/>
      <c r="DA185" s="76">
        <f>+CZ185*34500</f>
        <v>0</v>
      </c>
      <c r="DB185" s="76"/>
      <c r="DC185" s="76">
        <f>+DB185*25000</f>
        <v>0</v>
      </c>
      <c r="DD185" s="219"/>
      <c r="DE185" s="219"/>
      <c r="DF185" s="164"/>
      <c r="DG185" s="116"/>
      <c r="DH185" s="117"/>
      <c r="DI185" s="24"/>
      <c r="DJ185" s="24"/>
      <c r="DK185" s="24"/>
      <c r="DL185" s="24"/>
      <c r="DM185" s="24"/>
      <c r="DN185" s="24"/>
      <c r="DO185" s="24"/>
      <c r="DP185" s="24"/>
      <c r="DQ185" s="24"/>
      <c r="DR185" s="24"/>
      <c r="DS185" s="24"/>
      <c r="DT185" s="24"/>
      <c r="DU185" s="24"/>
    </row>
    <row r="186" spans="1:125" s="8" customFormat="1" ht="60" x14ac:dyDescent="0.2">
      <c r="A186" s="77">
        <v>41287</v>
      </c>
      <c r="B186" s="78" t="s">
        <v>2700</v>
      </c>
      <c r="C186" s="78" t="s">
        <v>1622</v>
      </c>
      <c r="D186" s="81" t="s">
        <v>2846</v>
      </c>
      <c r="E186" s="75" t="str">
        <f>VLOOKUP(B186&amp;C186,Divipola!$C$2:$F$1138,4,FALSE)</f>
        <v>15218</v>
      </c>
      <c r="F186" s="87"/>
      <c r="G186" s="87"/>
      <c r="H186" s="87"/>
      <c r="I186" s="87"/>
      <c r="J186" s="87"/>
      <c r="K186" s="87"/>
      <c r="L186" s="87"/>
      <c r="M186" s="87"/>
      <c r="N186" s="87"/>
      <c r="O186" s="87"/>
      <c r="P186" s="87"/>
      <c r="Q186" s="87"/>
      <c r="R186" s="87"/>
      <c r="S186" s="87"/>
      <c r="T186" s="87"/>
      <c r="U186" s="127">
        <v>120</v>
      </c>
      <c r="V186" s="89"/>
      <c r="W186" s="96">
        <v>0</v>
      </c>
      <c r="X186" s="71">
        <f>CU186</f>
        <v>0</v>
      </c>
      <c r="Y186" s="71">
        <f>CY186</f>
        <v>0</v>
      </c>
      <c r="Z186" s="71">
        <f>DA186+DC186+DE186</f>
        <v>0</v>
      </c>
      <c r="AA186" s="71">
        <f>CW186</f>
        <v>0</v>
      </c>
      <c r="AB186" s="71"/>
      <c r="AC186" s="71">
        <v>0</v>
      </c>
      <c r="AD186" s="71">
        <f>W186+X186+Y186+Z186+AA186+AB186+AC186</f>
        <v>0</v>
      </c>
      <c r="AE186" s="72">
        <v>0</v>
      </c>
      <c r="AF186" s="5"/>
      <c r="AG186" s="6"/>
      <c r="AH186" s="27" t="s">
        <v>3392</v>
      </c>
      <c r="AI186" s="44" t="s">
        <v>3393</v>
      </c>
      <c r="AJ186" s="26"/>
      <c r="AK186" s="5"/>
      <c r="AL186" s="82" t="s">
        <v>3037</v>
      </c>
      <c r="AM186" s="76"/>
      <c r="AN186" s="76"/>
      <c r="AO186" s="76"/>
      <c r="AP186" s="76"/>
      <c r="AQ186" s="76"/>
      <c r="AR186" s="76"/>
      <c r="AS186" s="76"/>
      <c r="AT186" s="76"/>
      <c r="AU186" s="76"/>
      <c r="AV186" s="76"/>
      <c r="AW186" s="76"/>
      <c r="AX186" s="76">
        <f>+AW186*600000</f>
        <v>0</v>
      </c>
      <c r="AY186" s="76"/>
      <c r="AZ186" s="76">
        <f>+AY186*70000</f>
        <v>0</v>
      </c>
      <c r="BA186" s="76"/>
      <c r="BB186" s="76"/>
      <c r="BC186" s="76"/>
      <c r="BD186" s="76">
        <f>+BC186*30000</f>
        <v>0</v>
      </c>
      <c r="BE186" s="76"/>
      <c r="BF186" s="76"/>
      <c r="BG186" s="76"/>
      <c r="BH186" s="76"/>
      <c r="BI186" s="76"/>
      <c r="BJ186" s="76"/>
      <c r="BK186" s="76"/>
      <c r="BL186" s="76">
        <f>+BK186*31500</f>
        <v>0</v>
      </c>
      <c r="BM186" s="76"/>
      <c r="BN186" s="76"/>
      <c r="BO186" s="76"/>
      <c r="BP186" s="76"/>
      <c r="BQ186" s="76"/>
      <c r="BR186" s="76"/>
      <c r="BS186" s="76"/>
      <c r="BT186" s="76"/>
      <c r="BU186" s="76"/>
      <c r="BV186" s="76"/>
      <c r="BW186" s="76"/>
      <c r="BX186" s="76"/>
      <c r="BY186" s="76"/>
      <c r="BZ186" s="76"/>
      <c r="CA186" s="76"/>
      <c r="CB186" s="76"/>
      <c r="CC186" s="76"/>
      <c r="CD186" s="76"/>
      <c r="CE186" s="76"/>
      <c r="CF186" s="76">
        <f>+CE186*28000</f>
        <v>0</v>
      </c>
      <c r="CG186" s="76"/>
      <c r="CH186" s="76">
        <f>+CG186*22500</f>
        <v>0</v>
      </c>
      <c r="CI186" s="76"/>
      <c r="CJ186" s="76">
        <f>+CI186*26000</f>
        <v>0</v>
      </c>
      <c r="CK186" s="76"/>
      <c r="CL186" s="76"/>
      <c r="CM186" s="76"/>
      <c r="CN186" s="76">
        <f>+CM186*22000</f>
        <v>0</v>
      </c>
      <c r="CO186" s="76"/>
      <c r="CP186" s="76">
        <f>+CO186*46000</f>
        <v>0</v>
      </c>
      <c r="CQ186" s="76"/>
      <c r="CR186" s="76">
        <f>+CQ186*49000</f>
        <v>0</v>
      </c>
      <c r="CS186" s="76"/>
      <c r="CT186" s="76"/>
      <c r="CU186" s="56">
        <f>AN186+AP186+AR186+AT186+AV186+AX186+AZ186+BB186+BD186+BF186+BH186+BJ186+BL186+BN186+BP186+BR186+BT186+BV186+BX186+BZ186+CB186+CD186+CF186+CH186+CJ186+CL186+CN186+CP186+CR186+CT186</f>
        <v>0</v>
      </c>
      <c r="CV186" s="76"/>
      <c r="CW186" s="76">
        <f>+CV186*1100</f>
        <v>0</v>
      </c>
      <c r="CX186" s="76"/>
      <c r="CY186" s="76">
        <f>+CX186*106250</f>
        <v>0</v>
      </c>
      <c r="CZ186" s="76"/>
      <c r="DA186" s="76">
        <f>+CZ186*34500</f>
        <v>0</v>
      </c>
      <c r="DB186" s="76"/>
      <c r="DC186" s="76">
        <f>+DB186*25000</f>
        <v>0</v>
      </c>
      <c r="DD186" s="219"/>
      <c r="DE186" s="219"/>
      <c r="DF186" s="164"/>
      <c r="DG186" s="116"/>
      <c r="DH186" s="117"/>
      <c r="DI186" s="24"/>
      <c r="DJ186" s="24"/>
      <c r="DK186" s="24"/>
      <c r="DL186" s="24"/>
      <c r="DM186" s="24"/>
      <c r="DN186" s="24"/>
      <c r="DO186" s="24"/>
      <c r="DP186" s="24"/>
      <c r="DQ186" s="24"/>
      <c r="DR186" s="24"/>
      <c r="DS186" s="24"/>
      <c r="DT186" s="24"/>
      <c r="DU186" s="24"/>
    </row>
    <row r="187" spans="1:125" s="8" customFormat="1" ht="48" x14ac:dyDescent="0.2">
      <c r="A187" s="77">
        <v>41287</v>
      </c>
      <c r="B187" s="80" t="s">
        <v>2700</v>
      </c>
      <c r="C187" s="81" t="s">
        <v>1700</v>
      </c>
      <c r="D187" s="81" t="s">
        <v>2846</v>
      </c>
      <c r="E187" s="75" t="str">
        <f>VLOOKUP(B187&amp;C187,Divipola!$C$2:$F$1138,4,FALSE)</f>
        <v>15238</v>
      </c>
      <c r="F187" s="87"/>
      <c r="G187" s="87"/>
      <c r="H187" s="87"/>
      <c r="I187" s="87"/>
      <c r="J187" s="87"/>
      <c r="K187" s="87"/>
      <c r="L187" s="87"/>
      <c r="M187" s="87"/>
      <c r="N187" s="87"/>
      <c r="O187" s="87"/>
      <c r="P187" s="87"/>
      <c r="Q187" s="87"/>
      <c r="R187" s="87"/>
      <c r="S187" s="87"/>
      <c r="T187" s="87"/>
      <c r="U187" s="127">
        <v>40</v>
      </c>
      <c r="V187" s="89"/>
      <c r="W187" s="96">
        <v>0</v>
      </c>
      <c r="X187" s="71">
        <f>CU187</f>
        <v>0</v>
      </c>
      <c r="Y187" s="71">
        <f>CY187</f>
        <v>0</v>
      </c>
      <c r="Z187" s="71">
        <f>DA187+DC187+DE187</f>
        <v>0</v>
      </c>
      <c r="AA187" s="71">
        <f>CW187</f>
        <v>0</v>
      </c>
      <c r="AB187" s="71"/>
      <c r="AC187" s="71">
        <v>0</v>
      </c>
      <c r="AD187" s="71">
        <f>W187+X187+Y187+Z187+AA187+AB187+AC187</f>
        <v>0</v>
      </c>
      <c r="AE187" s="72">
        <v>0</v>
      </c>
      <c r="AF187" s="5"/>
      <c r="AG187" s="6"/>
      <c r="AH187" s="27" t="s">
        <v>3392</v>
      </c>
      <c r="AI187" s="44" t="s">
        <v>3393</v>
      </c>
      <c r="AJ187" s="26"/>
      <c r="AK187" s="5"/>
      <c r="AL187" s="82" t="s">
        <v>3046</v>
      </c>
      <c r="AM187" s="76"/>
      <c r="AN187" s="76"/>
      <c r="AO187" s="76"/>
      <c r="AP187" s="76"/>
      <c r="AQ187" s="76"/>
      <c r="AR187" s="76"/>
      <c r="AS187" s="76"/>
      <c r="AT187" s="76"/>
      <c r="AU187" s="76"/>
      <c r="AV187" s="76"/>
      <c r="AW187" s="76"/>
      <c r="AX187" s="76">
        <f>+AW187*600000</f>
        <v>0</v>
      </c>
      <c r="AY187" s="76"/>
      <c r="AZ187" s="76">
        <f>+AY187*70000</f>
        <v>0</v>
      </c>
      <c r="BA187" s="76"/>
      <c r="BB187" s="76"/>
      <c r="BC187" s="76"/>
      <c r="BD187" s="76">
        <f>+BC187*30000</f>
        <v>0</v>
      </c>
      <c r="BE187" s="76"/>
      <c r="BF187" s="76"/>
      <c r="BG187" s="76"/>
      <c r="BH187" s="76"/>
      <c r="BI187" s="76"/>
      <c r="BJ187" s="76"/>
      <c r="BK187" s="76"/>
      <c r="BL187" s="76">
        <f>+BK187*31500</f>
        <v>0</v>
      </c>
      <c r="BM187" s="76"/>
      <c r="BN187" s="76"/>
      <c r="BO187" s="76"/>
      <c r="BP187" s="76"/>
      <c r="BQ187" s="76"/>
      <c r="BR187" s="76"/>
      <c r="BS187" s="76"/>
      <c r="BT187" s="76"/>
      <c r="BU187" s="76"/>
      <c r="BV187" s="76"/>
      <c r="BW187" s="76"/>
      <c r="BX187" s="76"/>
      <c r="BY187" s="76"/>
      <c r="BZ187" s="76"/>
      <c r="CA187" s="76"/>
      <c r="CB187" s="76"/>
      <c r="CC187" s="76"/>
      <c r="CD187" s="76"/>
      <c r="CE187" s="76"/>
      <c r="CF187" s="76">
        <f>+CE187*28000</f>
        <v>0</v>
      </c>
      <c r="CG187" s="76"/>
      <c r="CH187" s="76">
        <f>+CG187*22500</f>
        <v>0</v>
      </c>
      <c r="CI187" s="76"/>
      <c r="CJ187" s="76">
        <f>+CI187*26000</f>
        <v>0</v>
      </c>
      <c r="CK187" s="76"/>
      <c r="CL187" s="76"/>
      <c r="CM187" s="76"/>
      <c r="CN187" s="76">
        <f>+CM187*22000</f>
        <v>0</v>
      </c>
      <c r="CO187" s="76"/>
      <c r="CP187" s="76">
        <f>+CO187*46000</f>
        <v>0</v>
      </c>
      <c r="CQ187" s="76"/>
      <c r="CR187" s="76">
        <f>+CQ187*49000</f>
        <v>0</v>
      </c>
      <c r="CS187" s="76"/>
      <c r="CT187" s="76"/>
      <c r="CU187" s="56">
        <f>AN187+AP187+AR187+AT187+AV187+AX187+AZ187+BB187+BD187+BF187+BH187+BJ187+BL187+BN187+BP187+BR187+BT187+BV187+BX187+BZ187+CB187+CD187+CF187+CH187+CJ187+CL187+CN187+CP187+CR187+CT187</f>
        <v>0</v>
      </c>
      <c r="CV187" s="76"/>
      <c r="CW187" s="76">
        <f>+CV187*1100</f>
        <v>0</v>
      </c>
      <c r="CX187" s="76"/>
      <c r="CY187" s="76">
        <f>+CX187*106250</f>
        <v>0</v>
      </c>
      <c r="CZ187" s="76"/>
      <c r="DA187" s="76">
        <f>+CZ187*34500</f>
        <v>0</v>
      </c>
      <c r="DB187" s="76"/>
      <c r="DC187" s="76">
        <f>+DB187*25000</f>
        <v>0</v>
      </c>
      <c r="DD187" s="219"/>
      <c r="DE187" s="219"/>
      <c r="DF187" s="164"/>
      <c r="DG187" s="116"/>
      <c r="DH187" s="117"/>
      <c r="DI187" s="24"/>
      <c r="DJ187" s="24"/>
      <c r="DK187" s="24"/>
      <c r="DL187" s="24"/>
      <c r="DM187" s="24"/>
      <c r="DN187" s="24"/>
      <c r="DO187" s="24"/>
      <c r="DP187" s="24"/>
      <c r="DQ187" s="24"/>
      <c r="DR187" s="24"/>
      <c r="DS187" s="24"/>
      <c r="DT187" s="24"/>
      <c r="DU187" s="24"/>
    </row>
    <row r="188" spans="1:125" s="8" customFormat="1" ht="48" x14ac:dyDescent="0.2">
      <c r="A188" s="77">
        <v>41287</v>
      </c>
      <c r="B188" s="80" t="s">
        <v>2700</v>
      </c>
      <c r="C188" s="81" t="s">
        <v>1645</v>
      </c>
      <c r="D188" s="81" t="s">
        <v>2846</v>
      </c>
      <c r="E188" s="75" t="str">
        <f>VLOOKUP(B188&amp;C188,Divipola!$C$2:$F$1138,4,FALSE)</f>
        <v>15272</v>
      </c>
      <c r="F188" s="87"/>
      <c r="G188" s="87"/>
      <c r="H188" s="87"/>
      <c r="I188" s="87"/>
      <c r="J188" s="87"/>
      <c r="K188" s="87"/>
      <c r="L188" s="87"/>
      <c r="M188" s="87"/>
      <c r="N188" s="87"/>
      <c r="O188" s="87"/>
      <c r="P188" s="87"/>
      <c r="Q188" s="87"/>
      <c r="R188" s="87"/>
      <c r="S188" s="87"/>
      <c r="T188" s="87"/>
      <c r="U188" s="127">
        <v>15</v>
      </c>
      <c r="V188" s="89"/>
      <c r="W188" s="96">
        <v>0</v>
      </c>
      <c r="X188" s="71">
        <f>CU188</f>
        <v>0</v>
      </c>
      <c r="Y188" s="71">
        <f>CY188</f>
        <v>0</v>
      </c>
      <c r="Z188" s="71">
        <f>DA188+DC188+DE188</f>
        <v>0</v>
      </c>
      <c r="AA188" s="71">
        <f>CW188</f>
        <v>0</v>
      </c>
      <c r="AB188" s="71"/>
      <c r="AC188" s="71">
        <v>0</v>
      </c>
      <c r="AD188" s="71">
        <f>W188+X188+Y188+Z188+AA188+AB188+AC188</f>
        <v>0</v>
      </c>
      <c r="AE188" s="72">
        <v>0</v>
      </c>
      <c r="AF188" s="5"/>
      <c r="AG188" s="6"/>
      <c r="AH188" s="27" t="s">
        <v>3392</v>
      </c>
      <c r="AI188" s="44" t="s">
        <v>3393</v>
      </c>
      <c r="AJ188" s="26"/>
      <c r="AK188" s="5"/>
      <c r="AL188" s="82" t="s">
        <v>3047</v>
      </c>
      <c r="AM188" s="76"/>
      <c r="AN188" s="76"/>
      <c r="AO188" s="76"/>
      <c r="AP188" s="76"/>
      <c r="AQ188" s="76"/>
      <c r="AR188" s="76"/>
      <c r="AS188" s="76"/>
      <c r="AT188" s="76"/>
      <c r="AU188" s="76"/>
      <c r="AV188" s="76"/>
      <c r="AW188" s="76"/>
      <c r="AX188" s="76">
        <f>+AW188*600000</f>
        <v>0</v>
      </c>
      <c r="AY188" s="76"/>
      <c r="AZ188" s="76">
        <f>+AY188*70000</f>
        <v>0</v>
      </c>
      <c r="BA188" s="76"/>
      <c r="BB188" s="76"/>
      <c r="BC188" s="76"/>
      <c r="BD188" s="76">
        <f>+BC188*30000</f>
        <v>0</v>
      </c>
      <c r="BE188" s="76"/>
      <c r="BF188" s="76"/>
      <c r="BG188" s="76"/>
      <c r="BH188" s="76"/>
      <c r="BI188" s="76"/>
      <c r="BJ188" s="76"/>
      <c r="BK188" s="76"/>
      <c r="BL188" s="76">
        <f>+BK188*31500</f>
        <v>0</v>
      </c>
      <c r="BM188" s="76"/>
      <c r="BN188" s="76"/>
      <c r="BO188" s="76"/>
      <c r="BP188" s="76"/>
      <c r="BQ188" s="76"/>
      <c r="BR188" s="76"/>
      <c r="BS188" s="76"/>
      <c r="BT188" s="76"/>
      <c r="BU188" s="76"/>
      <c r="BV188" s="76"/>
      <c r="BW188" s="76"/>
      <c r="BX188" s="76"/>
      <c r="BY188" s="76"/>
      <c r="BZ188" s="76"/>
      <c r="CA188" s="76"/>
      <c r="CB188" s="76"/>
      <c r="CC188" s="76"/>
      <c r="CD188" s="76"/>
      <c r="CE188" s="76"/>
      <c r="CF188" s="76">
        <f>+CE188*28000</f>
        <v>0</v>
      </c>
      <c r="CG188" s="76"/>
      <c r="CH188" s="76">
        <f>+CG188*22500</f>
        <v>0</v>
      </c>
      <c r="CI188" s="76"/>
      <c r="CJ188" s="76">
        <f>+CI188*26000</f>
        <v>0</v>
      </c>
      <c r="CK188" s="76"/>
      <c r="CL188" s="76"/>
      <c r="CM188" s="76"/>
      <c r="CN188" s="76">
        <f>+CM188*22000</f>
        <v>0</v>
      </c>
      <c r="CO188" s="76"/>
      <c r="CP188" s="76">
        <f>+CO188*46000</f>
        <v>0</v>
      </c>
      <c r="CQ188" s="76"/>
      <c r="CR188" s="76">
        <f>+CQ188*49000</f>
        <v>0</v>
      </c>
      <c r="CS188" s="76"/>
      <c r="CT188" s="76"/>
      <c r="CU188" s="56">
        <f>AN188+AP188+AR188+AT188+AV188+AX188+AZ188+BB188+BD188+BF188+BH188+BJ188+BL188+BN188+BP188+BR188+BT188+BV188+BX188+BZ188+CB188+CD188+CF188+CH188+CJ188+CL188+CN188+CP188+CR188+CT188</f>
        <v>0</v>
      </c>
      <c r="CV188" s="76"/>
      <c r="CW188" s="76">
        <f>+CV188*1100</f>
        <v>0</v>
      </c>
      <c r="CX188" s="76"/>
      <c r="CY188" s="76">
        <f>+CX188*106250</f>
        <v>0</v>
      </c>
      <c r="CZ188" s="76"/>
      <c r="DA188" s="76">
        <f>+CZ188*34500</f>
        <v>0</v>
      </c>
      <c r="DB188" s="76"/>
      <c r="DC188" s="76">
        <f>+DB188*25000</f>
        <v>0</v>
      </c>
      <c r="DD188" s="219"/>
      <c r="DE188" s="219"/>
      <c r="DF188" s="164"/>
      <c r="DG188" s="116"/>
      <c r="DH188" s="117"/>
      <c r="DI188" s="24"/>
      <c r="DJ188" s="24"/>
      <c r="DK188" s="24"/>
      <c r="DL188" s="24"/>
      <c r="DM188" s="24"/>
      <c r="DN188" s="24"/>
      <c r="DO188" s="24"/>
      <c r="DP188" s="24"/>
      <c r="DQ188" s="24"/>
      <c r="DR188" s="24"/>
      <c r="DS188" s="24"/>
      <c r="DT188" s="24"/>
      <c r="DU188" s="24"/>
    </row>
    <row r="189" spans="1:125" s="8" customFormat="1" ht="48" x14ac:dyDescent="0.2">
      <c r="A189" s="77">
        <v>41287</v>
      </c>
      <c r="B189" s="77" t="s">
        <v>2700</v>
      </c>
      <c r="C189" s="77" t="s">
        <v>572</v>
      </c>
      <c r="D189" s="81" t="s">
        <v>2846</v>
      </c>
      <c r="E189" s="75" t="str">
        <f>VLOOKUP(B189&amp;C189,Divipola!$C$2:$F$1138,4,FALSE)</f>
        <v>15466</v>
      </c>
      <c r="F189" s="94"/>
      <c r="G189" s="94"/>
      <c r="H189" s="94"/>
      <c r="I189" s="94"/>
      <c r="J189" s="94"/>
      <c r="K189" s="94"/>
      <c r="L189" s="94"/>
      <c r="M189" s="94"/>
      <c r="N189" s="94"/>
      <c r="O189" s="94"/>
      <c r="P189" s="94"/>
      <c r="Q189" s="94"/>
      <c r="R189" s="94"/>
      <c r="S189" s="94"/>
      <c r="T189" s="94"/>
      <c r="U189" s="131"/>
      <c r="V189" s="94"/>
      <c r="W189" s="96">
        <v>0</v>
      </c>
      <c r="X189" s="71">
        <f>CU189</f>
        <v>0</v>
      </c>
      <c r="Y189" s="71">
        <f>CY189</f>
        <v>0</v>
      </c>
      <c r="Z189" s="71">
        <f>DA189+DC189+DE189</f>
        <v>0</v>
      </c>
      <c r="AA189" s="71">
        <f>CW189</f>
        <v>0</v>
      </c>
      <c r="AB189" s="71"/>
      <c r="AC189" s="71">
        <v>0</v>
      </c>
      <c r="AD189" s="71">
        <f>W189+X189+Y189+Z189+AA189+AB189+AC189</f>
        <v>0</v>
      </c>
      <c r="AE189" s="72">
        <v>0</v>
      </c>
      <c r="AF189" s="5"/>
      <c r="AG189" s="6"/>
      <c r="AH189" s="27" t="s">
        <v>3392</v>
      </c>
      <c r="AI189" s="44" t="s">
        <v>3393</v>
      </c>
      <c r="AJ189" s="26"/>
      <c r="AK189" s="5"/>
      <c r="AL189" s="82" t="s">
        <v>3044</v>
      </c>
      <c r="AM189" s="76"/>
      <c r="AN189" s="76"/>
      <c r="AO189" s="76"/>
      <c r="AP189" s="76"/>
      <c r="AQ189" s="76"/>
      <c r="AR189" s="76"/>
      <c r="AS189" s="76"/>
      <c r="AT189" s="76"/>
      <c r="AU189" s="76"/>
      <c r="AV189" s="76"/>
      <c r="AW189" s="76"/>
      <c r="AX189" s="76">
        <f>+AW189*600000</f>
        <v>0</v>
      </c>
      <c r="AY189" s="76"/>
      <c r="AZ189" s="76">
        <f>+AY189*70000</f>
        <v>0</v>
      </c>
      <c r="BA189" s="76"/>
      <c r="BB189" s="76"/>
      <c r="BC189" s="76"/>
      <c r="BD189" s="76">
        <f>+BC189*30000</f>
        <v>0</v>
      </c>
      <c r="BE189" s="76"/>
      <c r="BF189" s="76"/>
      <c r="BG189" s="76"/>
      <c r="BH189" s="76"/>
      <c r="BI189" s="76"/>
      <c r="BJ189" s="76"/>
      <c r="BK189" s="76"/>
      <c r="BL189" s="76">
        <f>+BK189*31500</f>
        <v>0</v>
      </c>
      <c r="BM189" s="76"/>
      <c r="BN189" s="76"/>
      <c r="BO189" s="76"/>
      <c r="BP189" s="76"/>
      <c r="BQ189" s="76"/>
      <c r="BR189" s="76"/>
      <c r="BS189" s="76"/>
      <c r="BT189" s="76"/>
      <c r="BU189" s="76"/>
      <c r="BV189" s="76"/>
      <c r="BW189" s="76"/>
      <c r="BX189" s="76"/>
      <c r="BY189" s="76"/>
      <c r="BZ189" s="76"/>
      <c r="CA189" s="76"/>
      <c r="CB189" s="76"/>
      <c r="CC189" s="76"/>
      <c r="CD189" s="76"/>
      <c r="CE189" s="76"/>
      <c r="CF189" s="76">
        <f>+CE189*28000</f>
        <v>0</v>
      </c>
      <c r="CG189" s="76"/>
      <c r="CH189" s="76">
        <f>+CG189*22500</f>
        <v>0</v>
      </c>
      <c r="CI189" s="76"/>
      <c r="CJ189" s="76">
        <f>+CI189*26000</f>
        <v>0</v>
      </c>
      <c r="CK189" s="76"/>
      <c r="CL189" s="76"/>
      <c r="CM189" s="76"/>
      <c r="CN189" s="76">
        <f>+CM189*22000</f>
        <v>0</v>
      </c>
      <c r="CO189" s="76"/>
      <c r="CP189" s="76">
        <f>+CO189*46000</f>
        <v>0</v>
      </c>
      <c r="CQ189" s="76"/>
      <c r="CR189" s="76">
        <f>+CQ189*49000</f>
        <v>0</v>
      </c>
      <c r="CS189" s="76"/>
      <c r="CT189" s="76"/>
      <c r="CU189" s="56">
        <f>AN189+AP189+AR189+AT189+AV189+AX189+AZ189+BB189+BD189+BF189+BH189+BJ189+BL189+BN189+BP189+BR189+BT189+BV189+BX189+BZ189+CB189+CD189+CF189+CH189+CJ189+CL189+CN189+CP189+CR189+CT189</f>
        <v>0</v>
      </c>
      <c r="CV189" s="76"/>
      <c r="CW189" s="76">
        <f>+CV189*1100</f>
        <v>0</v>
      </c>
      <c r="CX189" s="76"/>
      <c r="CY189" s="76">
        <f>+CX189*106250</f>
        <v>0</v>
      </c>
      <c r="CZ189" s="76"/>
      <c r="DA189" s="76">
        <f>+CZ189*34500</f>
        <v>0</v>
      </c>
      <c r="DB189" s="76"/>
      <c r="DC189" s="76">
        <f>+DB189*25000</f>
        <v>0</v>
      </c>
      <c r="DD189" s="219"/>
      <c r="DE189" s="219"/>
      <c r="DF189" s="164"/>
      <c r="DG189" s="116"/>
      <c r="DH189" s="117"/>
      <c r="DI189" s="24"/>
      <c r="DJ189" s="24"/>
      <c r="DK189" s="24"/>
      <c r="DL189" s="24"/>
      <c r="DM189" s="24"/>
      <c r="DN189" s="24"/>
      <c r="DO189" s="24"/>
      <c r="DP189" s="24"/>
      <c r="DQ189" s="24"/>
      <c r="DR189" s="24"/>
      <c r="DS189" s="24"/>
      <c r="DT189" s="24"/>
      <c r="DU189" s="24"/>
    </row>
    <row r="190" spans="1:125" s="8" customFormat="1" ht="48" x14ac:dyDescent="0.2">
      <c r="A190" s="77">
        <v>41287</v>
      </c>
      <c r="B190" s="80" t="s">
        <v>2700</v>
      </c>
      <c r="C190" s="81" t="s">
        <v>1707</v>
      </c>
      <c r="D190" s="81" t="s">
        <v>2846</v>
      </c>
      <c r="E190" s="75" t="str">
        <f>VLOOKUP(B190&amp;C190,Divipola!$C$2:$F$1138,4,FALSE)</f>
        <v>15632</v>
      </c>
      <c r="F190" s="87"/>
      <c r="G190" s="87"/>
      <c r="H190" s="87"/>
      <c r="I190" s="87"/>
      <c r="J190" s="87"/>
      <c r="K190" s="87"/>
      <c r="L190" s="87"/>
      <c r="M190" s="87"/>
      <c r="N190" s="87"/>
      <c r="O190" s="87"/>
      <c r="P190" s="87"/>
      <c r="Q190" s="87"/>
      <c r="R190" s="87"/>
      <c r="S190" s="87"/>
      <c r="T190" s="87"/>
      <c r="U190" s="127">
        <v>10</v>
      </c>
      <c r="V190" s="89"/>
      <c r="W190" s="96">
        <v>0</v>
      </c>
      <c r="X190" s="71">
        <f>CU190</f>
        <v>0</v>
      </c>
      <c r="Y190" s="71">
        <f>CY190</f>
        <v>0</v>
      </c>
      <c r="Z190" s="71">
        <f>DA190+DC190+DE190</f>
        <v>0</v>
      </c>
      <c r="AA190" s="71">
        <f>CW190</f>
        <v>0</v>
      </c>
      <c r="AB190" s="71"/>
      <c r="AC190" s="71">
        <v>0</v>
      </c>
      <c r="AD190" s="71">
        <f>W190+X190+Y190+Z190+AA190+AB190+AC190</f>
        <v>0</v>
      </c>
      <c r="AE190" s="72">
        <v>0</v>
      </c>
      <c r="AF190" s="5"/>
      <c r="AG190" s="6"/>
      <c r="AH190" s="27" t="s">
        <v>3392</v>
      </c>
      <c r="AI190" s="44" t="s">
        <v>3393</v>
      </c>
      <c r="AJ190" s="26"/>
      <c r="AK190" s="5"/>
      <c r="AL190" s="82" t="s">
        <v>3045</v>
      </c>
      <c r="AM190" s="76"/>
      <c r="AN190" s="76"/>
      <c r="AO190" s="76"/>
      <c r="AP190" s="76"/>
      <c r="AQ190" s="76"/>
      <c r="AR190" s="76"/>
      <c r="AS190" s="76"/>
      <c r="AT190" s="76"/>
      <c r="AU190" s="76"/>
      <c r="AV190" s="76"/>
      <c r="AW190" s="76"/>
      <c r="AX190" s="76">
        <f>+AW190*600000</f>
        <v>0</v>
      </c>
      <c r="AY190" s="76"/>
      <c r="AZ190" s="76">
        <f>+AY190*70000</f>
        <v>0</v>
      </c>
      <c r="BA190" s="76"/>
      <c r="BB190" s="76"/>
      <c r="BC190" s="76"/>
      <c r="BD190" s="76">
        <f>+BC190*30000</f>
        <v>0</v>
      </c>
      <c r="BE190" s="76"/>
      <c r="BF190" s="76"/>
      <c r="BG190" s="76"/>
      <c r="BH190" s="76"/>
      <c r="BI190" s="76"/>
      <c r="BJ190" s="76"/>
      <c r="BK190" s="76"/>
      <c r="BL190" s="76">
        <f>+BK190*31500</f>
        <v>0</v>
      </c>
      <c r="BM190" s="76"/>
      <c r="BN190" s="76"/>
      <c r="BO190" s="76"/>
      <c r="BP190" s="76"/>
      <c r="BQ190" s="76"/>
      <c r="BR190" s="76"/>
      <c r="BS190" s="76"/>
      <c r="BT190" s="76"/>
      <c r="BU190" s="76"/>
      <c r="BV190" s="76"/>
      <c r="BW190" s="76"/>
      <c r="BX190" s="76"/>
      <c r="BY190" s="76"/>
      <c r="BZ190" s="76"/>
      <c r="CA190" s="76"/>
      <c r="CB190" s="76"/>
      <c r="CC190" s="76"/>
      <c r="CD190" s="76"/>
      <c r="CE190" s="76"/>
      <c r="CF190" s="76">
        <f>+CE190*28000</f>
        <v>0</v>
      </c>
      <c r="CG190" s="76"/>
      <c r="CH190" s="76">
        <f>+CG190*22500</f>
        <v>0</v>
      </c>
      <c r="CI190" s="76"/>
      <c r="CJ190" s="76">
        <f>+CI190*26000</f>
        <v>0</v>
      </c>
      <c r="CK190" s="76"/>
      <c r="CL190" s="76"/>
      <c r="CM190" s="76"/>
      <c r="CN190" s="76">
        <f>+CM190*22000</f>
        <v>0</v>
      </c>
      <c r="CO190" s="76"/>
      <c r="CP190" s="76">
        <f>+CO190*46000</f>
        <v>0</v>
      </c>
      <c r="CQ190" s="76"/>
      <c r="CR190" s="76">
        <f>+CQ190*49000</f>
        <v>0</v>
      </c>
      <c r="CS190" s="76"/>
      <c r="CT190" s="76"/>
      <c r="CU190" s="56">
        <f>AN190+AP190+AR190+AT190+AV190+AX190+AZ190+BB190+BD190+BF190+BH190+BJ190+BL190+BN190+BP190+BR190+BT190+BV190+BX190+BZ190+CB190+CD190+CF190+CH190+CJ190+CL190+CN190+CP190+CR190+CT190</f>
        <v>0</v>
      </c>
      <c r="CV190" s="76"/>
      <c r="CW190" s="76">
        <f>+CV190*1100</f>
        <v>0</v>
      </c>
      <c r="CX190" s="76"/>
      <c r="CY190" s="76">
        <f>+CX190*106250</f>
        <v>0</v>
      </c>
      <c r="CZ190" s="76"/>
      <c r="DA190" s="76">
        <f>+CZ190*34500</f>
        <v>0</v>
      </c>
      <c r="DB190" s="76"/>
      <c r="DC190" s="76">
        <f>+DB190*25000</f>
        <v>0</v>
      </c>
      <c r="DD190" s="219"/>
      <c r="DE190" s="219"/>
      <c r="DF190" s="164"/>
      <c r="DG190" s="116"/>
      <c r="DH190" s="117"/>
      <c r="DI190" s="24"/>
      <c r="DJ190" s="24"/>
      <c r="DK190" s="24"/>
      <c r="DL190" s="24"/>
      <c r="DM190" s="24"/>
      <c r="DN190" s="24"/>
      <c r="DO190" s="24"/>
      <c r="DP190" s="24"/>
      <c r="DQ190" s="24"/>
      <c r="DR190" s="24"/>
      <c r="DS190" s="24"/>
      <c r="DT190" s="24"/>
      <c r="DU190" s="24"/>
    </row>
    <row r="191" spans="1:125" s="8" customFormat="1" ht="48" x14ac:dyDescent="0.2">
      <c r="A191" s="77">
        <v>41287</v>
      </c>
      <c r="B191" s="78" t="s">
        <v>2700</v>
      </c>
      <c r="C191" s="81" t="s">
        <v>1375</v>
      </c>
      <c r="D191" s="81" t="s">
        <v>2846</v>
      </c>
      <c r="E191" s="75" t="str">
        <f>VLOOKUP(B191&amp;C191,Divipola!$C$2:$F$1138,4,FALSE)</f>
        <v>15759</v>
      </c>
      <c r="F191" s="87"/>
      <c r="G191" s="87"/>
      <c r="H191" s="87"/>
      <c r="I191" s="87"/>
      <c r="J191" s="87"/>
      <c r="K191" s="87"/>
      <c r="L191" s="87"/>
      <c r="M191" s="87"/>
      <c r="N191" s="87"/>
      <c r="O191" s="87"/>
      <c r="P191" s="87"/>
      <c r="Q191" s="87"/>
      <c r="R191" s="87"/>
      <c r="S191" s="87"/>
      <c r="T191" s="87"/>
      <c r="U191" s="127"/>
      <c r="V191" s="89"/>
      <c r="W191" s="96">
        <v>0</v>
      </c>
      <c r="X191" s="71">
        <f>CU191</f>
        <v>0</v>
      </c>
      <c r="Y191" s="71">
        <f>CY191</f>
        <v>0</v>
      </c>
      <c r="Z191" s="71">
        <f>DA191+DC191+DE191</f>
        <v>0</v>
      </c>
      <c r="AA191" s="71">
        <f>CW191</f>
        <v>0</v>
      </c>
      <c r="AB191" s="71"/>
      <c r="AC191" s="71">
        <v>0</v>
      </c>
      <c r="AD191" s="71">
        <f>W191+X191+Y191+Z191+AA191+AB191+AC191</f>
        <v>0</v>
      </c>
      <c r="AE191" s="72">
        <v>0</v>
      </c>
      <c r="AF191" s="5"/>
      <c r="AG191" s="6"/>
      <c r="AH191" s="27" t="s">
        <v>3392</v>
      </c>
      <c r="AI191" s="44" t="s">
        <v>3393</v>
      </c>
      <c r="AJ191" s="26"/>
      <c r="AK191" s="5"/>
      <c r="AL191" s="82" t="s">
        <v>3042</v>
      </c>
      <c r="AM191" s="76"/>
      <c r="AN191" s="76"/>
      <c r="AO191" s="76"/>
      <c r="AP191" s="76"/>
      <c r="AQ191" s="76"/>
      <c r="AR191" s="76"/>
      <c r="AS191" s="76"/>
      <c r="AT191" s="76"/>
      <c r="AU191" s="76"/>
      <c r="AV191" s="76"/>
      <c r="AW191" s="76"/>
      <c r="AX191" s="76">
        <f>+AW191*600000</f>
        <v>0</v>
      </c>
      <c r="AY191" s="76"/>
      <c r="AZ191" s="76">
        <f>+AY191*70000</f>
        <v>0</v>
      </c>
      <c r="BA191" s="76"/>
      <c r="BB191" s="76"/>
      <c r="BC191" s="76"/>
      <c r="BD191" s="76">
        <f>+BC191*30000</f>
        <v>0</v>
      </c>
      <c r="BE191" s="76"/>
      <c r="BF191" s="76"/>
      <c r="BG191" s="76"/>
      <c r="BH191" s="76"/>
      <c r="BI191" s="76"/>
      <c r="BJ191" s="76"/>
      <c r="BK191" s="76"/>
      <c r="BL191" s="76">
        <f>+BK191*31500</f>
        <v>0</v>
      </c>
      <c r="BM191" s="76"/>
      <c r="BN191" s="76"/>
      <c r="BO191" s="76"/>
      <c r="BP191" s="76"/>
      <c r="BQ191" s="76"/>
      <c r="BR191" s="76"/>
      <c r="BS191" s="76"/>
      <c r="BT191" s="76"/>
      <c r="BU191" s="76"/>
      <c r="BV191" s="76"/>
      <c r="BW191" s="76"/>
      <c r="BX191" s="76"/>
      <c r="BY191" s="76"/>
      <c r="BZ191" s="76"/>
      <c r="CA191" s="76"/>
      <c r="CB191" s="76"/>
      <c r="CC191" s="76"/>
      <c r="CD191" s="76"/>
      <c r="CE191" s="76"/>
      <c r="CF191" s="76">
        <f>+CE191*28000</f>
        <v>0</v>
      </c>
      <c r="CG191" s="76"/>
      <c r="CH191" s="76">
        <f>+CG191*22500</f>
        <v>0</v>
      </c>
      <c r="CI191" s="76"/>
      <c r="CJ191" s="76">
        <f>+CI191*26000</f>
        <v>0</v>
      </c>
      <c r="CK191" s="76"/>
      <c r="CL191" s="76"/>
      <c r="CM191" s="76"/>
      <c r="CN191" s="76">
        <f>+CM191*22000</f>
        <v>0</v>
      </c>
      <c r="CO191" s="76"/>
      <c r="CP191" s="76">
        <f>+CO191*46000</f>
        <v>0</v>
      </c>
      <c r="CQ191" s="76"/>
      <c r="CR191" s="76">
        <f>+CQ191*49000</f>
        <v>0</v>
      </c>
      <c r="CS191" s="76"/>
      <c r="CT191" s="76"/>
      <c r="CU191" s="56">
        <f>AN191+AP191+AR191+AT191+AV191+AX191+AZ191+BB191+BD191+BF191+BH191+BJ191+BL191+BN191+BP191+BR191+BT191+BV191+BX191+BZ191+CB191+CD191+CF191+CH191+CJ191+CL191+CN191+CP191+CR191+CT191</f>
        <v>0</v>
      </c>
      <c r="CV191" s="76"/>
      <c r="CW191" s="76">
        <f>+CV191*1100</f>
        <v>0</v>
      </c>
      <c r="CX191" s="76"/>
      <c r="CY191" s="76">
        <f>+CX191*106250</f>
        <v>0</v>
      </c>
      <c r="CZ191" s="76"/>
      <c r="DA191" s="76">
        <f>+CZ191*34500</f>
        <v>0</v>
      </c>
      <c r="DB191" s="76"/>
      <c r="DC191" s="76">
        <f>+DB191*25000</f>
        <v>0</v>
      </c>
      <c r="DD191" s="219"/>
      <c r="DE191" s="219"/>
      <c r="DF191" s="164"/>
      <c r="DG191" s="116"/>
      <c r="DH191" s="117"/>
      <c r="DI191" s="24"/>
      <c r="DJ191" s="24"/>
      <c r="DK191" s="24"/>
      <c r="DL191" s="24"/>
      <c r="DM191" s="24"/>
      <c r="DN191" s="24"/>
      <c r="DO191" s="24"/>
      <c r="DP191" s="24"/>
      <c r="DQ191" s="24"/>
      <c r="DR191" s="24"/>
      <c r="DS191" s="24"/>
      <c r="DT191" s="24"/>
      <c r="DU191" s="24"/>
    </row>
    <row r="192" spans="1:125" s="8" customFormat="1" ht="36" x14ac:dyDescent="0.2">
      <c r="A192" s="77">
        <v>41287</v>
      </c>
      <c r="B192" s="78" t="s">
        <v>2700</v>
      </c>
      <c r="C192" s="81" t="s">
        <v>1375</v>
      </c>
      <c r="D192" s="81" t="s">
        <v>2846</v>
      </c>
      <c r="E192" s="75" t="str">
        <f>VLOOKUP(B192&amp;C192,Divipola!$C$2:$F$1138,4,FALSE)</f>
        <v>15759</v>
      </c>
      <c r="F192" s="87"/>
      <c r="G192" s="87"/>
      <c r="H192" s="87"/>
      <c r="I192" s="87"/>
      <c r="J192" s="87"/>
      <c r="K192" s="87"/>
      <c r="L192" s="87"/>
      <c r="M192" s="87"/>
      <c r="N192" s="87"/>
      <c r="O192" s="87"/>
      <c r="P192" s="87"/>
      <c r="Q192" s="87"/>
      <c r="R192" s="87"/>
      <c r="S192" s="87"/>
      <c r="T192" s="87"/>
      <c r="U192" s="127"/>
      <c r="V192" s="89"/>
      <c r="W192" s="96">
        <v>0</v>
      </c>
      <c r="X192" s="71">
        <f>CU192</f>
        <v>0</v>
      </c>
      <c r="Y192" s="71">
        <f>CY192</f>
        <v>0</v>
      </c>
      <c r="Z192" s="71">
        <f>DA192+DC192+DE192</f>
        <v>0</v>
      </c>
      <c r="AA192" s="71">
        <f>CW192</f>
        <v>0</v>
      </c>
      <c r="AB192" s="71"/>
      <c r="AC192" s="71">
        <v>0</v>
      </c>
      <c r="AD192" s="71">
        <f>W192+X192+Y192+Z192+AA192+AB192+AC192</f>
        <v>0</v>
      </c>
      <c r="AE192" s="72">
        <v>0</v>
      </c>
      <c r="AF192" s="5"/>
      <c r="AG192" s="6"/>
      <c r="AH192" s="27" t="s">
        <v>3392</v>
      </c>
      <c r="AI192" s="44" t="s">
        <v>3393</v>
      </c>
      <c r="AJ192" s="26"/>
      <c r="AK192" s="5"/>
      <c r="AL192" s="82" t="s">
        <v>3043</v>
      </c>
      <c r="AM192" s="76"/>
      <c r="AN192" s="76"/>
      <c r="AO192" s="76"/>
      <c r="AP192" s="76"/>
      <c r="AQ192" s="76"/>
      <c r="AR192" s="76"/>
      <c r="AS192" s="76"/>
      <c r="AT192" s="76"/>
      <c r="AU192" s="76"/>
      <c r="AV192" s="76"/>
      <c r="AW192" s="76"/>
      <c r="AX192" s="76">
        <f>+AW192*600000</f>
        <v>0</v>
      </c>
      <c r="AY192" s="76"/>
      <c r="AZ192" s="76">
        <f>+AY192*70000</f>
        <v>0</v>
      </c>
      <c r="BA192" s="76"/>
      <c r="BB192" s="76"/>
      <c r="BC192" s="76"/>
      <c r="BD192" s="76">
        <f>+BC192*30000</f>
        <v>0</v>
      </c>
      <c r="BE192" s="76"/>
      <c r="BF192" s="76"/>
      <c r="BG192" s="76"/>
      <c r="BH192" s="76"/>
      <c r="BI192" s="76"/>
      <c r="BJ192" s="76"/>
      <c r="BK192" s="76"/>
      <c r="BL192" s="76">
        <f>+BK192*31500</f>
        <v>0</v>
      </c>
      <c r="BM192" s="76"/>
      <c r="BN192" s="76"/>
      <c r="BO192" s="76"/>
      <c r="BP192" s="76"/>
      <c r="BQ192" s="76"/>
      <c r="BR192" s="76"/>
      <c r="BS192" s="76"/>
      <c r="BT192" s="76"/>
      <c r="BU192" s="76"/>
      <c r="BV192" s="76"/>
      <c r="BW192" s="76"/>
      <c r="BX192" s="76"/>
      <c r="BY192" s="76"/>
      <c r="BZ192" s="76"/>
      <c r="CA192" s="76"/>
      <c r="CB192" s="76"/>
      <c r="CC192" s="76"/>
      <c r="CD192" s="76"/>
      <c r="CE192" s="76"/>
      <c r="CF192" s="76">
        <f>+CE192*28000</f>
        <v>0</v>
      </c>
      <c r="CG192" s="76"/>
      <c r="CH192" s="76">
        <f>+CG192*22500</f>
        <v>0</v>
      </c>
      <c r="CI192" s="76"/>
      <c r="CJ192" s="76">
        <f>+CI192*26000</f>
        <v>0</v>
      </c>
      <c r="CK192" s="76"/>
      <c r="CL192" s="76"/>
      <c r="CM192" s="76"/>
      <c r="CN192" s="76">
        <f>+CM192*22000</f>
        <v>0</v>
      </c>
      <c r="CO192" s="76"/>
      <c r="CP192" s="76">
        <f>+CO192*46000</f>
        <v>0</v>
      </c>
      <c r="CQ192" s="76"/>
      <c r="CR192" s="76">
        <f>+CQ192*49000</f>
        <v>0</v>
      </c>
      <c r="CS192" s="76"/>
      <c r="CT192" s="76"/>
      <c r="CU192" s="56">
        <f>AN192+AP192+AR192+AT192+AV192+AX192+AZ192+BB192+BD192+BF192+BH192+BJ192+BL192+BN192+BP192+BR192+BT192+BV192+BX192+BZ192+CB192+CD192+CF192+CH192+CJ192+CL192+CN192+CP192+CR192+CT192</f>
        <v>0</v>
      </c>
      <c r="CV192" s="76"/>
      <c r="CW192" s="76">
        <f>+CV192*1100</f>
        <v>0</v>
      </c>
      <c r="CX192" s="76"/>
      <c r="CY192" s="76">
        <f>+CX192*106250</f>
        <v>0</v>
      </c>
      <c r="CZ192" s="76"/>
      <c r="DA192" s="76">
        <f>+CZ192*34500</f>
        <v>0</v>
      </c>
      <c r="DB192" s="76"/>
      <c r="DC192" s="76">
        <f>+DB192*25000</f>
        <v>0</v>
      </c>
      <c r="DD192" s="219"/>
      <c r="DE192" s="219"/>
      <c r="DF192" s="164"/>
      <c r="DG192" s="116"/>
      <c r="DH192" s="117"/>
      <c r="DI192" s="24"/>
      <c r="DJ192" s="24"/>
      <c r="DK192" s="24"/>
      <c r="DL192" s="24"/>
      <c r="DM192" s="24"/>
      <c r="DN192" s="24"/>
      <c r="DO192" s="24"/>
      <c r="DP192" s="24"/>
      <c r="DQ192" s="24"/>
      <c r="DR192" s="24"/>
      <c r="DS192" s="24"/>
      <c r="DT192" s="24"/>
      <c r="DU192" s="24"/>
    </row>
    <row r="193" spans="1:125" s="8" customFormat="1" ht="48" x14ac:dyDescent="0.2">
      <c r="A193" s="77">
        <v>41287</v>
      </c>
      <c r="B193" s="78" t="s">
        <v>2700</v>
      </c>
      <c r="C193" s="75" t="s">
        <v>682</v>
      </c>
      <c r="D193" s="81" t="s">
        <v>2846</v>
      </c>
      <c r="E193" s="75" t="str">
        <f>VLOOKUP(B193&amp;C193,Divipola!$C$2:$F$1138,4,FALSE)</f>
        <v>15764</v>
      </c>
      <c r="F193" s="87"/>
      <c r="G193" s="87"/>
      <c r="H193" s="87"/>
      <c r="I193" s="87"/>
      <c r="J193" s="87"/>
      <c r="K193" s="87"/>
      <c r="L193" s="87"/>
      <c r="M193" s="87"/>
      <c r="N193" s="87"/>
      <c r="O193" s="87"/>
      <c r="P193" s="87"/>
      <c r="Q193" s="87"/>
      <c r="R193" s="87"/>
      <c r="S193" s="87"/>
      <c r="T193" s="87"/>
      <c r="U193" s="127">
        <v>0.8</v>
      </c>
      <c r="V193" s="89"/>
      <c r="W193" s="96">
        <v>0</v>
      </c>
      <c r="X193" s="71">
        <f>CU193</f>
        <v>0</v>
      </c>
      <c r="Y193" s="71">
        <f>CY193</f>
        <v>0</v>
      </c>
      <c r="Z193" s="71">
        <f>DA193+DC193+DE193</f>
        <v>0</v>
      </c>
      <c r="AA193" s="71">
        <f>CW193</f>
        <v>0</v>
      </c>
      <c r="AB193" s="71"/>
      <c r="AC193" s="71">
        <v>0</v>
      </c>
      <c r="AD193" s="71">
        <f>W193+X193+Y193+Z193+AA193+AB193+AC193</f>
        <v>0</v>
      </c>
      <c r="AE193" s="72">
        <v>0</v>
      </c>
      <c r="AF193" s="5"/>
      <c r="AG193" s="6"/>
      <c r="AH193" s="27" t="s">
        <v>3392</v>
      </c>
      <c r="AI193" s="44" t="s">
        <v>3393</v>
      </c>
      <c r="AJ193" s="26"/>
      <c r="AK193" s="5"/>
      <c r="AL193" s="82" t="s">
        <v>3040</v>
      </c>
      <c r="AM193" s="76"/>
      <c r="AN193" s="76"/>
      <c r="AO193" s="76"/>
      <c r="AP193" s="76"/>
      <c r="AQ193" s="76"/>
      <c r="AR193" s="76"/>
      <c r="AS193" s="76"/>
      <c r="AT193" s="76"/>
      <c r="AU193" s="76"/>
      <c r="AV193" s="76"/>
      <c r="AW193" s="76"/>
      <c r="AX193" s="76">
        <f>+AW193*600000</f>
        <v>0</v>
      </c>
      <c r="AY193" s="76"/>
      <c r="AZ193" s="76">
        <f>+AY193*70000</f>
        <v>0</v>
      </c>
      <c r="BA193" s="76"/>
      <c r="BB193" s="76"/>
      <c r="BC193" s="76"/>
      <c r="BD193" s="76">
        <f>+BC193*30000</f>
        <v>0</v>
      </c>
      <c r="BE193" s="76"/>
      <c r="BF193" s="76"/>
      <c r="BG193" s="76"/>
      <c r="BH193" s="76"/>
      <c r="BI193" s="76"/>
      <c r="BJ193" s="76"/>
      <c r="BK193" s="76"/>
      <c r="BL193" s="76">
        <f>+BK193*31500</f>
        <v>0</v>
      </c>
      <c r="BM193" s="76"/>
      <c r="BN193" s="76"/>
      <c r="BO193" s="76"/>
      <c r="BP193" s="76"/>
      <c r="BQ193" s="76"/>
      <c r="BR193" s="76"/>
      <c r="BS193" s="76"/>
      <c r="BT193" s="76"/>
      <c r="BU193" s="76"/>
      <c r="BV193" s="76"/>
      <c r="BW193" s="76"/>
      <c r="BX193" s="76"/>
      <c r="BY193" s="76"/>
      <c r="BZ193" s="76"/>
      <c r="CA193" s="76"/>
      <c r="CB193" s="76"/>
      <c r="CC193" s="76"/>
      <c r="CD193" s="76"/>
      <c r="CE193" s="76"/>
      <c r="CF193" s="76">
        <f>+CE193*28000</f>
        <v>0</v>
      </c>
      <c r="CG193" s="76"/>
      <c r="CH193" s="76">
        <f>+CG193*22500</f>
        <v>0</v>
      </c>
      <c r="CI193" s="76"/>
      <c r="CJ193" s="76">
        <f>+CI193*26000</f>
        <v>0</v>
      </c>
      <c r="CK193" s="76"/>
      <c r="CL193" s="76"/>
      <c r="CM193" s="76"/>
      <c r="CN193" s="76">
        <f>+CM193*22000</f>
        <v>0</v>
      </c>
      <c r="CO193" s="76"/>
      <c r="CP193" s="76">
        <f>+CO193*46000</f>
        <v>0</v>
      </c>
      <c r="CQ193" s="76"/>
      <c r="CR193" s="76">
        <f>+CQ193*49000</f>
        <v>0</v>
      </c>
      <c r="CS193" s="76"/>
      <c r="CT193" s="76"/>
      <c r="CU193" s="56">
        <f>AN193+AP193+AR193+AT193+AV193+AX193+AZ193+BB193+BD193+BF193+BH193+BJ193+BL193+BN193+BP193+BR193+BT193+BV193+BX193+BZ193+CB193+CD193+CF193+CH193+CJ193+CL193+CN193+CP193+CR193+CT193</f>
        <v>0</v>
      </c>
      <c r="CV193" s="76"/>
      <c r="CW193" s="76">
        <f>+CV193*1100</f>
        <v>0</v>
      </c>
      <c r="CX193" s="76"/>
      <c r="CY193" s="76">
        <f>+CX193*106250</f>
        <v>0</v>
      </c>
      <c r="CZ193" s="76"/>
      <c r="DA193" s="76">
        <f>+CZ193*34500</f>
        <v>0</v>
      </c>
      <c r="DB193" s="76"/>
      <c r="DC193" s="76">
        <f>+DB193*25000</f>
        <v>0</v>
      </c>
      <c r="DD193" s="219"/>
      <c r="DE193" s="219"/>
      <c r="DF193" s="164"/>
      <c r="DG193" s="116"/>
      <c r="DH193" s="117"/>
      <c r="DI193" s="24"/>
      <c r="DJ193" s="24"/>
      <c r="DK193" s="24"/>
      <c r="DL193" s="24"/>
      <c r="DM193" s="24"/>
      <c r="DN193" s="24"/>
      <c r="DO193" s="24"/>
      <c r="DP193" s="24"/>
      <c r="DQ193" s="24"/>
      <c r="DR193" s="24"/>
      <c r="DS193" s="24"/>
      <c r="DT193" s="24"/>
      <c r="DU193" s="24"/>
    </row>
    <row r="194" spans="1:125" s="8" customFormat="1" ht="24" x14ac:dyDescent="0.2">
      <c r="A194" s="77">
        <v>41287</v>
      </c>
      <c r="B194" s="78" t="s">
        <v>2700</v>
      </c>
      <c r="C194" s="75" t="s">
        <v>704</v>
      </c>
      <c r="D194" s="81" t="s">
        <v>2846</v>
      </c>
      <c r="E194" s="75" t="str">
        <f>VLOOKUP(B194&amp;C194,Divipola!$C$2:$F$1138,4,FALSE)</f>
        <v>15810</v>
      </c>
      <c r="F194" s="87"/>
      <c r="G194" s="87"/>
      <c r="H194" s="87"/>
      <c r="I194" s="87"/>
      <c r="J194" s="87"/>
      <c r="K194" s="87"/>
      <c r="L194" s="87"/>
      <c r="M194" s="87"/>
      <c r="N194" s="87"/>
      <c r="O194" s="87"/>
      <c r="P194" s="87"/>
      <c r="Q194" s="87"/>
      <c r="R194" s="87"/>
      <c r="S194" s="87"/>
      <c r="T194" s="87"/>
      <c r="U194" s="127"/>
      <c r="V194" s="89"/>
      <c r="W194" s="96">
        <v>0</v>
      </c>
      <c r="X194" s="71">
        <f>CU194</f>
        <v>0</v>
      </c>
      <c r="Y194" s="71">
        <f>CY194</f>
        <v>0</v>
      </c>
      <c r="Z194" s="71">
        <f>DA194+DC194+DE194</f>
        <v>0</v>
      </c>
      <c r="AA194" s="71">
        <f>CW194</f>
        <v>0</v>
      </c>
      <c r="AB194" s="71"/>
      <c r="AC194" s="71">
        <v>0</v>
      </c>
      <c r="AD194" s="71">
        <f>W194+X194+Y194+Z194+AA194+AB194+AC194</f>
        <v>0</v>
      </c>
      <c r="AE194" s="72">
        <v>0</v>
      </c>
      <c r="AF194" s="5"/>
      <c r="AG194" s="6"/>
      <c r="AH194" s="27" t="s">
        <v>3392</v>
      </c>
      <c r="AI194" s="44" t="s">
        <v>3393</v>
      </c>
      <c r="AJ194" s="26"/>
      <c r="AK194" s="5"/>
      <c r="AL194" s="82" t="s">
        <v>3041</v>
      </c>
      <c r="AM194" s="76"/>
      <c r="AN194" s="76"/>
      <c r="AO194" s="76"/>
      <c r="AP194" s="76"/>
      <c r="AQ194" s="76"/>
      <c r="AR194" s="76"/>
      <c r="AS194" s="76"/>
      <c r="AT194" s="76"/>
      <c r="AU194" s="76"/>
      <c r="AV194" s="76"/>
      <c r="AW194" s="76"/>
      <c r="AX194" s="76">
        <f>+AW194*600000</f>
        <v>0</v>
      </c>
      <c r="AY194" s="76"/>
      <c r="AZ194" s="76">
        <f>+AY194*70000</f>
        <v>0</v>
      </c>
      <c r="BA194" s="76"/>
      <c r="BB194" s="76"/>
      <c r="BC194" s="76"/>
      <c r="BD194" s="76">
        <f>+BC194*30000</f>
        <v>0</v>
      </c>
      <c r="BE194" s="76"/>
      <c r="BF194" s="76"/>
      <c r="BG194" s="76"/>
      <c r="BH194" s="76"/>
      <c r="BI194" s="76"/>
      <c r="BJ194" s="76"/>
      <c r="BK194" s="76"/>
      <c r="BL194" s="76">
        <f>+BK194*31500</f>
        <v>0</v>
      </c>
      <c r="BM194" s="76"/>
      <c r="BN194" s="76"/>
      <c r="BO194" s="76"/>
      <c r="BP194" s="76"/>
      <c r="BQ194" s="76"/>
      <c r="BR194" s="76"/>
      <c r="BS194" s="76"/>
      <c r="BT194" s="76"/>
      <c r="BU194" s="76"/>
      <c r="BV194" s="76"/>
      <c r="BW194" s="76"/>
      <c r="BX194" s="76"/>
      <c r="BY194" s="76"/>
      <c r="BZ194" s="76"/>
      <c r="CA194" s="76"/>
      <c r="CB194" s="76"/>
      <c r="CC194" s="76"/>
      <c r="CD194" s="76"/>
      <c r="CE194" s="76"/>
      <c r="CF194" s="76">
        <f>+CE194*28000</f>
        <v>0</v>
      </c>
      <c r="CG194" s="76"/>
      <c r="CH194" s="76">
        <f>+CG194*22500</f>
        <v>0</v>
      </c>
      <c r="CI194" s="76"/>
      <c r="CJ194" s="76">
        <f>+CI194*26000</f>
        <v>0</v>
      </c>
      <c r="CK194" s="76"/>
      <c r="CL194" s="76"/>
      <c r="CM194" s="76"/>
      <c r="CN194" s="76">
        <f>+CM194*22000</f>
        <v>0</v>
      </c>
      <c r="CO194" s="76"/>
      <c r="CP194" s="76">
        <f>+CO194*46000</f>
        <v>0</v>
      </c>
      <c r="CQ194" s="76"/>
      <c r="CR194" s="76">
        <f>+CQ194*49000</f>
        <v>0</v>
      </c>
      <c r="CS194" s="76"/>
      <c r="CT194" s="76"/>
      <c r="CU194" s="56">
        <f>AN194+AP194+AR194+AT194+AV194+AX194+AZ194+BB194+BD194+BF194+BH194+BJ194+BL194+BN194+BP194+BR194+BT194+BV194+BX194+BZ194+CB194+CD194+CF194+CH194+CJ194+CL194+CN194+CP194+CR194+CT194</f>
        <v>0</v>
      </c>
      <c r="CV194" s="76"/>
      <c r="CW194" s="76">
        <f>+CV194*1100</f>
        <v>0</v>
      </c>
      <c r="CX194" s="76"/>
      <c r="CY194" s="76">
        <f>+CX194*106250</f>
        <v>0</v>
      </c>
      <c r="CZ194" s="76"/>
      <c r="DA194" s="76">
        <f>+CZ194*34500</f>
        <v>0</v>
      </c>
      <c r="DB194" s="76"/>
      <c r="DC194" s="76">
        <f>+DB194*25000</f>
        <v>0</v>
      </c>
      <c r="DD194" s="219"/>
      <c r="DE194" s="219"/>
      <c r="DF194" s="164"/>
      <c r="DG194" s="116"/>
      <c r="DH194" s="117"/>
      <c r="DI194" s="24"/>
      <c r="DJ194" s="24"/>
      <c r="DK194" s="24"/>
      <c r="DL194" s="24"/>
      <c r="DM194" s="24"/>
      <c r="DN194" s="24"/>
      <c r="DO194" s="24"/>
      <c r="DP194" s="24"/>
      <c r="DQ194" s="24"/>
      <c r="DR194" s="24"/>
      <c r="DS194" s="24"/>
      <c r="DT194" s="24"/>
      <c r="DU194" s="24"/>
    </row>
    <row r="195" spans="1:125" s="8" customFormat="1" ht="60" x14ac:dyDescent="0.2">
      <c r="A195" s="77">
        <v>41287</v>
      </c>
      <c r="B195" s="78" t="s">
        <v>2700</v>
      </c>
      <c r="C195" s="78" t="s">
        <v>710</v>
      </c>
      <c r="D195" s="81" t="s">
        <v>2846</v>
      </c>
      <c r="E195" s="75" t="str">
        <f>VLOOKUP(B195&amp;C195,Divipola!$C$2:$F$1138,4,FALSE)</f>
        <v>15816</v>
      </c>
      <c r="F195" s="87"/>
      <c r="G195" s="87"/>
      <c r="H195" s="87"/>
      <c r="I195" s="87"/>
      <c r="J195" s="87"/>
      <c r="K195" s="87"/>
      <c r="L195" s="87"/>
      <c r="M195" s="87"/>
      <c r="N195" s="87"/>
      <c r="O195" s="87"/>
      <c r="P195" s="87"/>
      <c r="Q195" s="87"/>
      <c r="R195" s="87"/>
      <c r="S195" s="87"/>
      <c r="T195" s="87"/>
      <c r="U195" s="127">
        <v>10</v>
      </c>
      <c r="V195" s="89"/>
      <c r="W195" s="96">
        <v>0</v>
      </c>
      <c r="X195" s="71">
        <f>CU195</f>
        <v>0</v>
      </c>
      <c r="Y195" s="71">
        <f>CY195</f>
        <v>0</v>
      </c>
      <c r="Z195" s="71">
        <f>DA195+DC195+DE195</f>
        <v>0</v>
      </c>
      <c r="AA195" s="71">
        <f>CW195</f>
        <v>0</v>
      </c>
      <c r="AB195" s="71"/>
      <c r="AC195" s="71">
        <v>0</v>
      </c>
      <c r="AD195" s="71">
        <f>W195+X195+Y195+Z195+AA195+AB195+AC195</f>
        <v>0</v>
      </c>
      <c r="AE195" s="72">
        <v>0</v>
      </c>
      <c r="AF195" s="5"/>
      <c r="AG195" s="6"/>
      <c r="AH195" s="27" t="s">
        <v>3392</v>
      </c>
      <c r="AI195" s="44" t="s">
        <v>3393</v>
      </c>
      <c r="AJ195" s="26"/>
      <c r="AK195" s="5"/>
      <c r="AL195" s="82" t="s">
        <v>3038</v>
      </c>
      <c r="AM195" s="76"/>
      <c r="AN195" s="76"/>
      <c r="AO195" s="76"/>
      <c r="AP195" s="76"/>
      <c r="AQ195" s="76"/>
      <c r="AR195" s="76"/>
      <c r="AS195" s="76"/>
      <c r="AT195" s="76"/>
      <c r="AU195" s="76"/>
      <c r="AV195" s="76"/>
      <c r="AW195" s="76"/>
      <c r="AX195" s="76">
        <f>+AW195*600000</f>
        <v>0</v>
      </c>
      <c r="AY195" s="76"/>
      <c r="AZ195" s="76">
        <f>+AY195*70000</f>
        <v>0</v>
      </c>
      <c r="BA195" s="76"/>
      <c r="BB195" s="76"/>
      <c r="BC195" s="76"/>
      <c r="BD195" s="76">
        <f>+BC195*30000</f>
        <v>0</v>
      </c>
      <c r="BE195" s="76"/>
      <c r="BF195" s="76"/>
      <c r="BG195" s="76"/>
      <c r="BH195" s="76"/>
      <c r="BI195" s="76"/>
      <c r="BJ195" s="76"/>
      <c r="BK195" s="76"/>
      <c r="BL195" s="76">
        <f>+BK195*31500</f>
        <v>0</v>
      </c>
      <c r="BM195" s="76"/>
      <c r="BN195" s="76"/>
      <c r="BO195" s="76"/>
      <c r="BP195" s="76"/>
      <c r="BQ195" s="76"/>
      <c r="BR195" s="76"/>
      <c r="BS195" s="76"/>
      <c r="BT195" s="76"/>
      <c r="BU195" s="76"/>
      <c r="BV195" s="76"/>
      <c r="BW195" s="76"/>
      <c r="BX195" s="76"/>
      <c r="BY195" s="76"/>
      <c r="BZ195" s="76"/>
      <c r="CA195" s="76"/>
      <c r="CB195" s="76"/>
      <c r="CC195" s="76"/>
      <c r="CD195" s="76"/>
      <c r="CE195" s="76"/>
      <c r="CF195" s="76">
        <f>+CE195*28000</f>
        <v>0</v>
      </c>
      <c r="CG195" s="76"/>
      <c r="CH195" s="76">
        <f>+CG195*22500</f>
        <v>0</v>
      </c>
      <c r="CI195" s="76"/>
      <c r="CJ195" s="76">
        <f>+CI195*26000</f>
        <v>0</v>
      </c>
      <c r="CK195" s="76"/>
      <c r="CL195" s="76"/>
      <c r="CM195" s="76"/>
      <c r="CN195" s="76">
        <f>+CM195*22000</f>
        <v>0</v>
      </c>
      <c r="CO195" s="76"/>
      <c r="CP195" s="76">
        <f>+CO195*46000</f>
        <v>0</v>
      </c>
      <c r="CQ195" s="76"/>
      <c r="CR195" s="76">
        <f>+CQ195*49000</f>
        <v>0</v>
      </c>
      <c r="CS195" s="76"/>
      <c r="CT195" s="76"/>
      <c r="CU195" s="56">
        <f>AN195+AP195+AR195+AT195+AV195+AX195+AZ195+BB195+BD195+BF195+BH195+BJ195+BL195+BN195+BP195+BR195+BT195+BV195+BX195+BZ195+CB195+CD195+CF195+CH195+CJ195+CL195+CN195+CP195+CR195+CT195</f>
        <v>0</v>
      </c>
      <c r="CV195" s="76"/>
      <c r="CW195" s="76">
        <f>+CV195*1100</f>
        <v>0</v>
      </c>
      <c r="CX195" s="76"/>
      <c r="CY195" s="76">
        <f>+CX195*106250</f>
        <v>0</v>
      </c>
      <c r="CZ195" s="76"/>
      <c r="DA195" s="76">
        <f>+CZ195*34500</f>
        <v>0</v>
      </c>
      <c r="DB195" s="76"/>
      <c r="DC195" s="76">
        <f>+DB195*25000</f>
        <v>0</v>
      </c>
      <c r="DD195" s="219"/>
      <c r="DE195" s="219"/>
      <c r="DF195" s="164"/>
      <c r="DG195" s="116"/>
      <c r="DH195" s="117"/>
      <c r="DI195" s="24"/>
      <c r="DJ195" s="24"/>
      <c r="DK195" s="24"/>
      <c r="DL195" s="24"/>
      <c r="DM195" s="24"/>
      <c r="DN195" s="24"/>
      <c r="DO195" s="24"/>
      <c r="DP195" s="24"/>
      <c r="DQ195" s="24"/>
      <c r="DR195" s="24"/>
      <c r="DS195" s="24"/>
      <c r="DT195" s="24"/>
      <c r="DU195" s="24"/>
    </row>
    <row r="196" spans="1:125" s="8" customFormat="1" ht="84" x14ac:dyDescent="0.2">
      <c r="A196" s="77">
        <v>41287</v>
      </c>
      <c r="B196" s="78" t="s">
        <v>2778</v>
      </c>
      <c r="C196" s="78" t="s">
        <v>1344</v>
      </c>
      <c r="D196" s="81" t="s">
        <v>2846</v>
      </c>
      <c r="E196" s="75" t="str">
        <f>VLOOKUP(B196&amp;C196,Divipola!$C$2:$F$1138,4,FALSE)</f>
        <v>85001</v>
      </c>
      <c r="F196" s="87"/>
      <c r="G196" s="87"/>
      <c r="H196" s="87"/>
      <c r="I196" s="87"/>
      <c r="J196" s="87"/>
      <c r="K196" s="87"/>
      <c r="L196" s="87"/>
      <c r="M196" s="87"/>
      <c r="N196" s="87"/>
      <c r="O196" s="87"/>
      <c r="P196" s="87"/>
      <c r="Q196" s="87"/>
      <c r="R196" s="87"/>
      <c r="S196" s="87"/>
      <c r="T196" s="87"/>
      <c r="U196" s="127"/>
      <c r="V196" s="89"/>
      <c r="W196" s="96">
        <v>0</v>
      </c>
      <c r="X196" s="71">
        <f>CU196</f>
        <v>0</v>
      </c>
      <c r="Y196" s="71">
        <f>CY196</f>
        <v>0</v>
      </c>
      <c r="Z196" s="71">
        <f>DA196+DC196+DE196</f>
        <v>0</v>
      </c>
      <c r="AA196" s="71">
        <f>CW196</f>
        <v>0</v>
      </c>
      <c r="AB196" s="71"/>
      <c r="AC196" s="71">
        <v>0</v>
      </c>
      <c r="AD196" s="71">
        <f>W196+X196+Y196+Z196+AA196+AB196+AC196</f>
        <v>0</v>
      </c>
      <c r="AE196" s="72">
        <v>0</v>
      </c>
      <c r="AF196" s="5"/>
      <c r="AG196" s="6"/>
      <c r="AH196" s="27" t="s">
        <v>3392</v>
      </c>
      <c r="AI196" s="44" t="s">
        <v>3393</v>
      </c>
      <c r="AJ196" s="26"/>
      <c r="AK196" s="5"/>
      <c r="AL196" s="82" t="s">
        <v>3039</v>
      </c>
      <c r="AM196" s="76"/>
      <c r="AN196" s="76"/>
      <c r="AO196" s="76"/>
      <c r="AP196" s="76"/>
      <c r="AQ196" s="76"/>
      <c r="AR196" s="76"/>
      <c r="AS196" s="76"/>
      <c r="AT196" s="76"/>
      <c r="AU196" s="76"/>
      <c r="AV196" s="76"/>
      <c r="AW196" s="76"/>
      <c r="AX196" s="76">
        <f>+AW196*600000</f>
        <v>0</v>
      </c>
      <c r="AY196" s="76"/>
      <c r="AZ196" s="76">
        <f>+AY196*70000</f>
        <v>0</v>
      </c>
      <c r="BA196" s="76"/>
      <c r="BB196" s="76"/>
      <c r="BC196" s="76"/>
      <c r="BD196" s="76">
        <f>+BC196*30000</f>
        <v>0</v>
      </c>
      <c r="BE196" s="76"/>
      <c r="BF196" s="76"/>
      <c r="BG196" s="76"/>
      <c r="BH196" s="76"/>
      <c r="BI196" s="76"/>
      <c r="BJ196" s="76"/>
      <c r="BK196" s="76"/>
      <c r="BL196" s="76">
        <f>+BK196*31500</f>
        <v>0</v>
      </c>
      <c r="BM196" s="76"/>
      <c r="BN196" s="76"/>
      <c r="BO196" s="76"/>
      <c r="BP196" s="76"/>
      <c r="BQ196" s="76"/>
      <c r="BR196" s="76"/>
      <c r="BS196" s="76"/>
      <c r="BT196" s="76"/>
      <c r="BU196" s="76"/>
      <c r="BV196" s="76"/>
      <c r="BW196" s="76"/>
      <c r="BX196" s="76"/>
      <c r="BY196" s="76"/>
      <c r="BZ196" s="76"/>
      <c r="CA196" s="76"/>
      <c r="CB196" s="76"/>
      <c r="CC196" s="76"/>
      <c r="CD196" s="76"/>
      <c r="CE196" s="76"/>
      <c r="CF196" s="76">
        <f>+CE196*28000</f>
        <v>0</v>
      </c>
      <c r="CG196" s="76"/>
      <c r="CH196" s="76">
        <f>+CG196*22500</f>
        <v>0</v>
      </c>
      <c r="CI196" s="76"/>
      <c r="CJ196" s="76">
        <f>+CI196*26000</f>
        <v>0</v>
      </c>
      <c r="CK196" s="76"/>
      <c r="CL196" s="76"/>
      <c r="CM196" s="76"/>
      <c r="CN196" s="76">
        <f>+CM196*22000</f>
        <v>0</v>
      </c>
      <c r="CO196" s="76"/>
      <c r="CP196" s="76">
        <f>+CO196*46000</f>
        <v>0</v>
      </c>
      <c r="CQ196" s="76"/>
      <c r="CR196" s="76">
        <f>+CQ196*49000</f>
        <v>0</v>
      </c>
      <c r="CS196" s="76"/>
      <c r="CT196" s="76"/>
      <c r="CU196" s="56">
        <f>AN196+AP196+AR196+AT196+AV196+AX196+AZ196+BB196+BD196+BF196+BH196+BJ196+BL196+BN196+BP196+BR196+BT196+BV196+BX196+BZ196+CB196+CD196+CF196+CH196+CJ196+CL196+CN196+CP196+CR196+CT196</f>
        <v>0</v>
      </c>
      <c r="CV196" s="76"/>
      <c r="CW196" s="76">
        <f>+CV196*1100</f>
        <v>0</v>
      </c>
      <c r="CX196" s="76"/>
      <c r="CY196" s="76">
        <f>+CX196*106250</f>
        <v>0</v>
      </c>
      <c r="CZ196" s="76"/>
      <c r="DA196" s="76">
        <f>+CZ196*34500</f>
        <v>0</v>
      </c>
      <c r="DB196" s="76"/>
      <c r="DC196" s="76">
        <f>+DB196*25000</f>
        <v>0</v>
      </c>
      <c r="DD196" s="219"/>
      <c r="DE196" s="219"/>
      <c r="DF196" s="164"/>
      <c r="DG196" s="116"/>
      <c r="DH196" s="117"/>
      <c r="DI196" s="24"/>
      <c r="DJ196" s="24"/>
      <c r="DK196" s="24"/>
      <c r="DL196" s="24"/>
      <c r="DM196" s="24"/>
      <c r="DN196" s="24"/>
      <c r="DO196" s="24"/>
      <c r="DP196" s="24"/>
      <c r="DQ196" s="24"/>
      <c r="DR196" s="24"/>
      <c r="DS196" s="24"/>
      <c r="DT196" s="24"/>
      <c r="DU196" s="24"/>
    </row>
    <row r="197" spans="1:125" s="8" customFormat="1" ht="36" x14ac:dyDescent="0.2">
      <c r="A197" s="77">
        <v>41287</v>
      </c>
      <c r="B197" s="80" t="s">
        <v>2854</v>
      </c>
      <c r="C197" s="81" t="s">
        <v>867</v>
      </c>
      <c r="D197" s="81" t="s">
        <v>2846</v>
      </c>
      <c r="E197" s="75" t="str">
        <f>VLOOKUP(B197&amp;C197,Divipola!$C$2:$F$1138,4,FALSE)</f>
        <v>19693</v>
      </c>
      <c r="F197" s="87"/>
      <c r="G197" s="87"/>
      <c r="H197" s="87"/>
      <c r="I197" s="87"/>
      <c r="J197" s="87"/>
      <c r="K197" s="87"/>
      <c r="L197" s="87"/>
      <c r="M197" s="87"/>
      <c r="N197" s="87"/>
      <c r="O197" s="87"/>
      <c r="P197" s="87"/>
      <c r="Q197" s="87"/>
      <c r="R197" s="87"/>
      <c r="S197" s="87"/>
      <c r="T197" s="87"/>
      <c r="U197" s="127"/>
      <c r="V197" s="89"/>
      <c r="W197" s="96">
        <v>0</v>
      </c>
      <c r="X197" s="71">
        <f>CU197</f>
        <v>0</v>
      </c>
      <c r="Y197" s="71">
        <f>CY197</f>
        <v>0</v>
      </c>
      <c r="Z197" s="71">
        <f>DA197+DC197+DE197</f>
        <v>0</v>
      </c>
      <c r="AA197" s="71">
        <f>CW197</f>
        <v>0</v>
      </c>
      <c r="AB197" s="71"/>
      <c r="AC197" s="71">
        <v>0</v>
      </c>
      <c r="AD197" s="71">
        <f>W197+X197+Y197+Z197+AA197+AB197+AC197</f>
        <v>0</v>
      </c>
      <c r="AE197" s="72">
        <v>0</v>
      </c>
      <c r="AF197" s="5"/>
      <c r="AG197" s="6"/>
      <c r="AH197" s="27" t="s">
        <v>3392</v>
      </c>
      <c r="AI197" s="44" t="s">
        <v>3393</v>
      </c>
      <c r="AJ197" s="26"/>
      <c r="AK197" s="5"/>
      <c r="AL197" s="82" t="s">
        <v>3049</v>
      </c>
      <c r="AM197" s="76"/>
      <c r="AN197" s="76"/>
      <c r="AO197" s="76"/>
      <c r="AP197" s="76"/>
      <c r="AQ197" s="76"/>
      <c r="AR197" s="76"/>
      <c r="AS197" s="76"/>
      <c r="AT197" s="76"/>
      <c r="AU197" s="76"/>
      <c r="AV197" s="76"/>
      <c r="AW197" s="76"/>
      <c r="AX197" s="76">
        <f>+AW197*600000</f>
        <v>0</v>
      </c>
      <c r="AY197" s="76"/>
      <c r="AZ197" s="76">
        <f>+AY197*70000</f>
        <v>0</v>
      </c>
      <c r="BA197" s="76"/>
      <c r="BB197" s="76"/>
      <c r="BC197" s="76"/>
      <c r="BD197" s="76">
        <f>+BC197*30000</f>
        <v>0</v>
      </c>
      <c r="BE197" s="76"/>
      <c r="BF197" s="76"/>
      <c r="BG197" s="76"/>
      <c r="BH197" s="76"/>
      <c r="BI197" s="76"/>
      <c r="BJ197" s="76"/>
      <c r="BK197" s="76"/>
      <c r="BL197" s="76">
        <f>+BK197*31500</f>
        <v>0</v>
      </c>
      <c r="BM197" s="76"/>
      <c r="BN197" s="76"/>
      <c r="BO197" s="76"/>
      <c r="BP197" s="76"/>
      <c r="BQ197" s="76"/>
      <c r="BR197" s="76"/>
      <c r="BS197" s="76"/>
      <c r="BT197" s="76"/>
      <c r="BU197" s="76"/>
      <c r="BV197" s="76"/>
      <c r="BW197" s="76"/>
      <c r="BX197" s="76"/>
      <c r="BY197" s="76"/>
      <c r="BZ197" s="76"/>
      <c r="CA197" s="76"/>
      <c r="CB197" s="76"/>
      <c r="CC197" s="76"/>
      <c r="CD197" s="76"/>
      <c r="CE197" s="76"/>
      <c r="CF197" s="76">
        <f>+CE197*28000</f>
        <v>0</v>
      </c>
      <c r="CG197" s="76"/>
      <c r="CH197" s="76">
        <f>+CG197*22500</f>
        <v>0</v>
      </c>
      <c r="CI197" s="76"/>
      <c r="CJ197" s="76">
        <f>+CI197*26000</f>
        <v>0</v>
      </c>
      <c r="CK197" s="76"/>
      <c r="CL197" s="76"/>
      <c r="CM197" s="76"/>
      <c r="CN197" s="76">
        <f>+CM197*22000</f>
        <v>0</v>
      </c>
      <c r="CO197" s="76"/>
      <c r="CP197" s="76">
        <f>+CO197*46000</f>
        <v>0</v>
      </c>
      <c r="CQ197" s="76"/>
      <c r="CR197" s="76">
        <f>+CQ197*49000</f>
        <v>0</v>
      </c>
      <c r="CS197" s="76"/>
      <c r="CT197" s="76"/>
      <c r="CU197" s="56">
        <f>AN197+AP197+AR197+AT197+AV197+AX197+AZ197+BB197+BD197+BF197+BH197+BJ197+BL197+BN197+BP197+BR197+BT197+BV197+BX197+BZ197+CB197+CD197+CF197+CH197+CJ197+CL197+CN197+CP197+CR197+CT197</f>
        <v>0</v>
      </c>
      <c r="CV197" s="76"/>
      <c r="CW197" s="76">
        <f>+CV197*1100</f>
        <v>0</v>
      </c>
      <c r="CX197" s="76"/>
      <c r="CY197" s="76">
        <f>+CX197*106250</f>
        <v>0</v>
      </c>
      <c r="CZ197" s="76"/>
      <c r="DA197" s="76">
        <f>+CZ197*34500</f>
        <v>0</v>
      </c>
      <c r="DB197" s="76"/>
      <c r="DC197" s="76">
        <f>+DB197*25000</f>
        <v>0</v>
      </c>
      <c r="DD197" s="219"/>
      <c r="DE197" s="219"/>
      <c r="DF197" s="164"/>
      <c r="DG197" s="116"/>
      <c r="DH197" s="117"/>
      <c r="DI197" s="24"/>
      <c r="DJ197" s="24"/>
      <c r="DK197" s="24"/>
      <c r="DL197" s="24"/>
      <c r="DM197" s="24"/>
      <c r="DN197" s="24"/>
      <c r="DO197" s="24"/>
      <c r="DP197" s="24"/>
      <c r="DQ197" s="24"/>
      <c r="DR197" s="24"/>
      <c r="DS197" s="24"/>
      <c r="DT197" s="24"/>
      <c r="DU197" s="24"/>
    </row>
    <row r="198" spans="1:125" s="8" customFormat="1" ht="36" x14ac:dyDescent="0.2">
      <c r="A198" s="77">
        <v>41287</v>
      </c>
      <c r="B198" s="80" t="s">
        <v>2852</v>
      </c>
      <c r="C198" s="81" t="s">
        <v>1245</v>
      </c>
      <c r="D198" s="81" t="s">
        <v>2859</v>
      </c>
      <c r="E198" s="75" t="str">
        <f>VLOOKUP(B198&amp;C198,Divipola!$C$2:$F$1138,4,FALSE)</f>
        <v>27450</v>
      </c>
      <c r="F198" s="87"/>
      <c r="G198" s="87"/>
      <c r="H198" s="87"/>
      <c r="I198" s="87">
        <v>10</v>
      </c>
      <c r="J198" s="87">
        <v>2</v>
      </c>
      <c r="K198" s="87"/>
      <c r="L198" s="87">
        <v>2</v>
      </c>
      <c r="M198" s="87"/>
      <c r="N198" s="87"/>
      <c r="O198" s="87"/>
      <c r="P198" s="87"/>
      <c r="Q198" s="87"/>
      <c r="R198" s="87"/>
      <c r="S198" s="87"/>
      <c r="T198" s="87"/>
      <c r="U198" s="127"/>
      <c r="V198" s="89"/>
      <c r="W198" s="96">
        <v>0</v>
      </c>
      <c r="X198" s="71">
        <f>CU198</f>
        <v>0</v>
      </c>
      <c r="Y198" s="71">
        <f>CY198</f>
        <v>0</v>
      </c>
      <c r="Z198" s="71">
        <f>DA198+DC198+DE198</f>
        <v>0</v>
      </c>
      <c r="AA198" s="71">
        <f>CW198</f>
        <v>0</v>
      </c>
      <c r="AB198" s="71"/>
      <c r="AC198" s="71">
        <v>0</v>
      </c>
      <c r="AD198" s="71">
        <f>W198+X198+Y198+Z198+AA198+AB198+AC198</f>
        <v>0</v>
      </c>
      <c r="AE198" s="72">
        <v>0</v>
      </c>
      <c r="AF198" s="5"/>
      <c r="AG198" s="6"/>
      <c r="AH198" s="27" t="s">
        <v>3392</v>
      </c>
      <c r="AI198" s="44" t="s">
        <v>3393</v>
      </c>
      <c r="AJ198" s="26"/>
      <c r="AK198" s="5"/>
      <c r="AL198" s="82" t="s">
        <v>3048</v>
      </c>
      <c r="AM198" s="76"/>
      <c r="AN198" s="76"/>
      <c r="AO198" s="76"/>
      <c r="AP198" s="76"/>
      <c r="AQ198" s="76"/>
      <c r="AR198" s="76"/>
      <c r="AS198" s="76"/>
      <c r="AT198" s="76"/>
      <c r="AU198" s="76"/>
      <c r="AV198" s="76"/>
      <c r="AW198" s="76"/>
      <c r="AX198" s="76">
        <f>+AW198*600000</f>
        <v>0</v>
      </c>
      <c r="AY198" s="76"/>
      <c r="AZ198" s="76">
        <f>+AY198*70000</f>
        <v>0</v>
      </c>
      <c r="BA198" s="76"/>
      <c r="BB198" s="76"/>
      <c r="BC198" s="76"/>
      <c r="BD198" s="76">
        <f>+BC198*30000</f>
        <v>0</v>
      </c>
      <c r="BE198" s="76"/>
      <c r="BF198" s="76"/>
      <c r="BG198" s="76"/>
      <c r="BH198" s="76"/>
      <c r="BI198" s="76"/>
      <c r="BJ198" s="76"/>
      <c r="BK198" s="76"/>
      <c r="BL198" s="76">
        <f>+BK198*31500</f>
        <v>0</v>
      </c>
      <c r="BM198" s="76"/>
      <c r="BN198" s="76"/>
      <c r="BO198" s="76"/>
      <c r="BP198" s="76"/>
      <c r="BQ198" s="76"/>
      <c r="BR198" s="76"/>
      <c r="BS198" s="76"/>
      <c r="BT198" s="76"/>
      <c r="BU198" s="76"/>
      <c r="BV198" s="76"/>
      <c r="BW198" s="76"/>
      <c r="BX198" s="76"/>
      <c r="BY198" s="76"/>
      <c r="BZ198" s="76"/>
      <c r="CA198" s="76"/>
      <c r="CB198" s="76"/>
      <c r="CC198" s="76"/>
      <c r="CD198" s="76"/>
      <c r="CE198" s="76"/>
      <c r="CF198" s="76">
        <f>+CE198*28000</f>
        <v>0</v>
      </c>
      <c r="CG198" s="76"/>
      <c r="CH198" s="76">
        <f>+CG198*22500</f>
        <v>0</v>
      </c>
      <c r="CI198" s="76"/>
      <c r="CJ198" s="76">
        <f>+CI198*26000</f>
        <v>0</v>
      </c>
      <c r="CK198" s="76"/>
      <c r="CL198" s="76"/>
      <c r="CM198" s="76"/>
      <c r="CN198" s="76">
        <f>+CM198*22000</f>
        <v>0</v>
      </c>
      <c r="CO198" s="76"/>
      <c r="CP198" s="76">
        <f>+CO198*46000</f>
        <v>0</v>
      </c>
      <c r="CQ198" s="76"/>
      <c r="CR198" s="76">
        <f>+CQ198*49000</f>
        <v>0</v>
      </c>
      <c r="CS198" s="76"/>
      <c r="CT198" s="76"/>
      <c r="CU198" s="56">
        <f>AN198+AP198+AR198+AT198+AV198+AX198+AZ198+BB198+BD198+BF198+BH198+BJ198+BL198+BN198+BP198+BR198+BT198+BV198+BX198+BZ198+CB198+CD198+CF198+CH198+CJ198+CL198+CN198+CP198+CR198+CT198</f>
        <v>0</v>
      </c>
      <c r="CV198" s="76"/>
      <c r="CW198" s="76">
        <f>+CV198*1100</f>
        <v>0</v>
      </c>
      <c r="CX198" s="76"/>
      <c r="CY198" s="76">
        <f>+CX198*106250</f>
        <v>0</v>
      </c>
      <c r="CZ198" s="76"/>
      <c r="DA198" s="76">
        <f>+CZ198*34500</f>
        <v>0</v>
      </c>
      <c r="DB198" s="76"/>
      <c r="DC198" s="76">
        <f>+DB198*25000</f>
        <v>0</v>
      </c>
      <c r="DD198" s="219"/>
      <c r="DE198" s="219"/>
      <c r="DF198" s="164"/>
      <c r="DG198" s="116"/>
      <c r="DH198" s="117"/>
      <c r="DI198" s="24"/>
      <c r="DJ198" s="24"/>
      <c r="DK198" s="24"/>
      <c r="DL198" s="24"/>
      <c r="DM198" s="24"/>
      <c r="DN198" s="24"/>
      <c r="DO198" s="24"/>
      <c r="DP198" s="24"/>
      <c r="DQ198" s="24"/>
      <c r="DR198" s="24"/>
      <c r="DS198" s="24"/>
      <c r="DT198" s="24"/>
      <c r="DU198" s="24"/>
    </row>
    <row r="199" spans="1:125" s="8" customFormat="1" ht="24" x14ac:dyDescent="0.2">
      <c r="A199" s="77">
        <v>41287</v>
      </c>
      <c r="B199" s="78" t="s">
        <v>2772</v>
      </c>
      <c r="C199" s="75" t="s">
        <v>1064</v>
      </c>
      <c r="D199" s="81" t="s">
        <v>2846</v>
      </c>
      <c r="E199" s="75" t="str">
        <f>VLOOKUP(B199&amp;C199,Divipola!$C$2:$F$1138,4,FALSE)</f>
        <v>25295</v>
      </c>
      <c r="F199" s="87"/>
      <c r="G199" s="87"/>
      <c r="H199" s="87"/>
      <c r="I199" s="87"/>
      <c r="J199" s="87"/>
      <c r="K199" s="87"/>
      <c r="L199" s="87"/>
      <c r="M199" s="87"/>
      <c r="N199" s="87"/>
      <c r="O199" s="87"/>
      <c r="P199" s="87"/>
      <c r="Q199" s="87"/>
      <c r="R199" s="87"/>
      <c r="S199" s="87"/>
      <c r="T199" s="87"/>
      <c r="U199" s="127">
        <v>2</v>
      </c>
      <c r="V199" s="89"/>
      <c r="W199" s="96">
        <v>0</v>
      </c>
      <c r="X199" s="71">
        <f>CU199</f>
        <v>0</v>
      </c>
      <c r="Y199" s="71">
        <f>CY199</f>
        <v>0</v>
      </c>
      <c r="Z199" s="71">
        <f>DA199+DC199+DE199</f>
        <v>0</v>
      </c>
      <c r="AA199" s="71">
        <f>CW199</f>
        <v>0</v>
      </c>
      <c r="AB199" s="71"/>
      <c r="AC199" s="71">
        <v>0</v>
      </c>
      <c r="AD199" s="71">
        <f>W199+X199+Y199+Z199+AA199+AB199+AC199</f>
        <v>0</v>
      </c>
      <c r="AE199" s="72">
        <v>0</v>
      </c>
      <c r="AF199" s="5"/>
      <c r="AG199" s="6"/>
      <c r="AH199" s="27" t="s">
        <v>3392</v>
      </c>
      <c r="AI199" s="44" t="s">
        <v>3393</v>
      </c>
      <c r="AJ199" s="26"/>
      <c r="AK199" s="5"/>
      <c r="AL199" s="82" t="s">
        <v>3035</v>
      </c>
      <c r="AM199" s="76"/>
      <c r="AN199" s="76"/>
      <c r="AO199" s="76"/>
      <c r="AP199" s="76"/>
      <c r="AQ199" s="76"/>
      <c r="AR199" s="76"/>
      <c r="AS199" s="76"/>
      <c r="AT199" s="76"/>
      <c r="AU199" s="76"/>
      <c r="AV199" s="76"/>
      <c r="AW199" s="76"/>
      <c r="AX199" s="76">
        <f>+AW199*600000</f>
        <v>0</v>
      </c>
      <c r="AY199" s="76"/>
      <c r="AZ199" s="76">
        <f>+AY199*70000</f>
        <v>0</v>
      </c>
      <c r="BA199" s="76"/>
      <c r="BB199" s="76"/>
      <c r="BC199" s="76"/>
      <c r="BD199" s="76">
        <f>+BC199*30000</f>
        <v>0</v>
      </c>
      <c r="BE199" s="76"/>
      <c r="BF199" s="76"/>
      <c r="BG199" s="76"/>
      <c r="BH199" s="76"/>
      <c r="BI199" s="76"/>
      <c r="BJ199" s="76"/>
      <c r="BK199" s="76"/>
      <c r="BL199" s="76">
        <f>+BK199*31500</f>
        <v>0</v>
      </c>
      <c r="BM199" s="76"/>
      <c r="BN199" s="76"/>
      <c r="BO199" s="76"/>
      <c r="BP199" s="76"/>
      <c r="BQ199" s="76"/>
      <c r="BR199" s="76"/>
      <c r="BS199" s="76"/>
      <c r="BT199" s="76"/>
      <c r="BU199" s="76"/>
      <c r="BV199" s="76"/>
      <c r="BW199" s="76"/>
      <c r="BX199" s="76"/>
      <c r="BY199" s="76"/>
      <c r="BZ199" s="76"/>
      <c r="CA199" s="76"/>
      <c r="CB199" s="76"/>
      <c r="CC199" s="76"/>
      <c r="CD199" s="76"/>
      <c r="CE199" s="76"/>
      <c r="CF199" s="76">
        <f>+CE199*28000</f>
        <v>0</v>
      </c>
      <c r="CG199" s="76"/>
      <c r="CH199" s="76">
        <f>+CG199*22500</f>
        <v>0</v>
      </c>
      <c r="CI199" s="76"/>
      <c r="CJ199" s="76">
        <f>+CI199*26000</f>
        <v>0</v>
      </c>
      <c r="CK199" s="76"/>
      <c r="CL199" s="76"/>
      <c r="CM199" s="76"/>
      <c r="CN199" s="76">
        <f>+CM199*22000</f>
        <v>0</v>
      </c>
      <c r="CO199" s="76"/>
      <c r="CP199" s="76">
        <f>+CO199*46000</f>
        <v>0</v>
      </c>
      <c r="CQ199" s="76"/>
      <c r="CR199" s="76">
        <f>+CQ199*49000</f>
        <v>0</v>
      </c>
      <c r="CS199" s="76"/>
      <c r="CT199" s="76"/>
      <c r="CU199" s="56">
        <f>AN199+AP199+AR199+AT199+AV199+AX199+AZ199+BB199+BD199+BF199+BH199+BJ199+BL199+BN199+BP199+BR199+BT199+BV199+BX199+BZ199+CB199+CD199+CF199+CH199+CJ199+CL199+CN199+CP199+CR199+CT199</f>
        <v>0</v>
      </c>
      <c r="CV199" s="76"/>
      <c r="CW199" s="76">
        <f>+CV199*1100</f>
        <v>0</v>
      </c>
      <c r="CX199" s="76"/>
      <c r="CY199" s="76">
        <f>+CX199*106250</f>
        <v>0</v>
      </c>
      <c r="CZ199" s="76"/>
      <c r="DA199" s="76">
        <f>+CZ199*34500</f>
        <v>0</v>
      </c>
      <c r="DB199" s="76"/>
      <c r="DC199" s="76">
        <f>+DB199*25000</f>
        <v>0</v>
      </c>
      <c r="DD199" s="219"/>
      <c r="DE199" s="219"/>
      <c r="DF199" s="164"/>
      <c r="DG199" s="116"/>
      <c r="DH199" s="117"/>
      <c r="DI199" s="24"/>
      <c r="DJ199" s="24"/>
      <c r="DK199" s="24"/>
      <c r="DL199" s="24"/>
      <c r="DM199" s="24"/>
      <c r="DN199" s="24"/>
      <c r="DO199" s="24"/>
      <c r="DP199" s="24"/>
      <c r="DQ199" s="24"/>
      <c r="DR199" s="24"/>
      <c r="DS199" s="24"/>
      <c r="DT199" s="24"/>
      <c r="DU199" s="24"/>
    </row>
    <row r="200" spans="1:125" s="8" customFormat="1" ht="48" x14ac:dyDescent="0.2">
      <c r="A200" s="77">
        <v>41287</v>
      </c>
      <c r="B200" s="80" t="s">
        <v>2661</v>
      </c>
      <c r="C200" s="81" t="s">
        <v>4</v>
      </c>
      <c r="D200" s="81" t="s">
        <v>2846</v>
      </c>
      <c r="E200" s="75" t="str">
        <f>VLOOKUP(B200&amp;C200,Divipola!$C$2:$F$1138,4,FALSE)</f>
        <v>41026</v>
      </c>
      <c r="F200" s="87"/>
      <c r="G200" s="87"/>
      <c r="H200" s="87"/>
      <c r="I200" s="87"/>
      <c r="J200" s="87"/>
      <c r="K200" s="87"/>
      <c r="L200" s="87"/>
      <c r="M200" s="87"/>
      <c r="N200" s="87"/>
      <c r="O200" s="87"/>
      <c r="P200" s="87"/>
      <c r="Q200" s="87"/>
      <c r="R200" s="87"/>
      <c r="S200" s="87"/>
      <c r="T200" s="87"/>
      <c r="U200" s="127">
        <v>2</v>
      </c>
      <c r="V200" s="89"/>
      <c r="W200" s="96">
        <v>0</v>
      </c>
      <c r="X200" s="71">
        <f>CU200</f>
        <v>0</v>
      </c>
      <c r="Y200" s="71">
        <f>CY200</f>
        <v>0</v>
      </c>
      <c r="Z200" s="71">
        <f>DA200+DC200+DE200</f>
        <v>0</v>
      </c>
      <c r="AA200" s="71">
        <f>CW200</f>
        <v>0</v>
      </c>
      <c r="AB200" s="71"/>
      <c r="AC200" s="71">
        <v>0</v>
      </c>
      <c r="AD200" s="71">
        <f>W200+X200+Y200+Z200+AA200+AB200+AC200</f>
        <v>0</v>
      </c>
      <c r="AE200" s="72">
        <v>0</v>
      </c>
      <c r="AF200" s="5"/>
      <c r="AG200" s="6"/>
      <c r="AH200" s="27" t="s">
        <v>3392</v>
      </c>
      <c r="AI200" s="44" t="s">
        <v>3393</v>
      </c>
      <c r="AJ200" s="26"/>
      <c r="AK200" s="5"/>
      <c r="AL200" s="82" t="s">
        <v>3032</v>
      </c>
      <c r="AM200" s="76"/>
      <c r="AN200" s="76"/>
      <c r="AO200" s="76"/>
      <c r="AP200" s="76"/>
      <c r="AQ200" s="76"/>
      <c r="AR200" s="76"/>
      <c r="AS200" s="76"/>
      <c r="AT200" s="76"/>
      <c r="AU200" s="76"/>
      <c r="AV200" s="76"/>
      <c r="AW200" s="76"/>
      <c r="AX200" s="76">
        <f>+AW200*600000</f>
        <v>0</v>
      </c>
      <c r="AY200" s="76"/>
      <c r="AZ200" s="76">
        <f>+AY200*70000</f>
        <v>0</v>
      </c>
      <c r="BA200" s="76"/>
      <c r="BB200" s="76"/>
      <c r="BC200" s="76"/>
      <c r="BD200" s="76">
        <f>+BC200*30000</f>
        <v>0</v>
      </c>
      <c r="BE200" s="76"/>
      <c r="BF200" s="76"/>
      <c r="BG200" s="76"/>
      <c r="BH200" s="76"/>
      <c r="BI200" s="76"/>
      <c r="BJ200" s="76"/>
      <c r="BK200" s="76"/>
      <c r="BL200" s="76">
        <f>+BK200*31500</f>
        <v>0</v>
      </c>
      <c r="BM200" s="76"/>
      <c r="BN200" s="76"/>
      <c r="BO200" s="76"/>
      <c r="BP200" s="76"/>
      <c r="BQ200" s="76"/>
      <c r="BR200" s="76"/>
      <c r="BS200" s="76"/>
      <c r="BT200" s="76"/>
      <c r="BU200" s="76"/>
      <c r="BV200" s="76"/>
      <c r="BW200" s="76"/>
      <c r="BX200" s="76"/>
      <c r="BY200" s="76"/>
      <c r="BZ200" s="76"/>
      <c r="CA200" s="76"/>
      <c r="CB200" s="76"/>
      <c r="CC200" s="76"/>
      <c r="CD200" s="76"/>
      <c r="CE200" s="76"/>
      <c r="CF200" s="76">
        <f>+CE200*28000</f>
        <v>0</v>
      </c>
      <c r="CG200" s="76"/>
      <c r="CH200" s="76">
        <f>+CG200*22500</f>
        <v>0</v>
      </c>
      <c r="CI200" s="76"/>
      <c r="CJ200" s="76">
        <f>+CI200*26000</f>
        <v>0</v>
      </c>
      <c r="CK200" s="76"/>
      <c r="CL200" s="76"/>
      <c r="CM200" s="76"/>
      <c r="CN200" s="76">
        <f>+CM200*22000</f>
        <v>0</v>
      </c>
      <c r="CO200" s="76"/>
      <c r="CP200" s="76">
        <f>+CO200*46000</f>
        <v>0</v>
      </c>
      <c r="CQ200" s="76"/>
      <c r="CR200" s="76">
        <f>+CQ200*49000</f>
        <v>0</v>
      </c>
      <c r="CS200" s="76"/>
      <c r="CT200" s="76"/>
      <c r="CU200" s="56">
        <f>AN200+AP200+AR200+AT200+AV200+AX200+AZ200+BB200+BD200+BF200+BH200+BJ200+BL200+BN200+BP200+BR200+BT200+BV200+BX200+BZ200+CB200+CD200+CF200+CH200+CJ200+CL200+CN200+CP200+CR200+CT200</f>
        <v>0</v>
      </c>
      <c r="CV200" s="76"/>
      <c r="CW200" s="76">
        <f>+CV200*1100</f>
        <v>0</v>
      </c>
      <c r="CX200" s="76"/>
      <c r="CY200" s="76">
        <f>+CX200*106250</f>
        <v>0</v>
      </c>
      <c r="CZ200" s="76"/>
      <c r="DA200" s="76">
        <f>+CZ200*34500</f>
        <v>0</v>
      </c>
      <c r="DB200" s="76"/>
      <c r="DC200" s="76">
        <f>+DB200*25000</f>
        <v>0</v>
      </c>
      <c r="DD200" s="219"/>
      <c r="DE200" s="219"/>
      <c r="DF200" s="164"/>
      <c r="DG200" s="116"/>
      <c r="DH200" s="117"/>
      <c r="DI200" s="24"/>
      <c r="DJ200" s="24"/>
      <c r="DK200" s="24"/>
      <c r="DL200" s="24"/>
      <c r="DM200" s="24"/>
      <c r="DN200" s="24"/>
      <c r="DO200" s="24"/>
      <c r="DP200" s="24"/>
      <c r="DQ200" s="24"/>
      <c r="DR200" s="24"/>
      <c r="DS200" s="24"/>
      <c r="DT200" s="24"/>
      <c r="DU200" s="24"/>
    </row>
    <row r="201" spans="1:125" s="8" customFormat="1" ht="72" x14ac:dyDescent="0.2">
      <c r="A201" s="77">
        <v>41287</v>
      </c>
      <c r="B201" s="80" t="s">
        <v>2847</v>
      </c>
      <c r="C201" s="81" t="s">
        <v>2197</v>
      </c>
      <c r="D201" s="81" t="s">
        <v>2859</v>
      </c>
      <c r="E201" s="75" t="str">
        <f>VLOOKUP(B201&amp;C201,Divipola!$C$2:$F$1138,4,FALSE)</f>
        <v>68276</v>
      </c>
      <c r="F201" s="87"/>
      <c r="G201" s="87"/>
      <c r="H201" s="87"/>
      <c r="I201" s="87"/>
      <c r="J201" s="87"/>
      <c r="K201" s="87"/>
      <c r="L201" s="87"/>
      <c r="M201" s="87"/>
      <c r="N201" s="87"/>
      <c r="O201" s="87"/>
      <c r="P201" s="87"/>
      <c r="Q201" s="87"/>
      <c r="R201" s="87"/>
      <c r="S201" s="87"/>
      <c r="T201" s="87"/>
      <c r="U201" s="127"/>
      <c r="V201" s="157">
        <v>1</v>
      </c>
      <c r="W201" s="96">
        <v>0</v>
      </c>
      <c r="X201" s="71">
        <f>CU201</f>
        <v>0</v>
      </c>
      <c r="Y201" s="71">
        <f>CY201</f>
        <v>0</v>
      </c>
      <c r="Z201" s="71">
        <f>DA201+DC201+DE201</f>
        <v>0</v>
      </c>
      <c r="AA201" s="71">
        <f>CW201</f>
        <v>0</v>
      </c>
      <c r="AB201" s="71"/>
      <c r="AC201" s="71">
        <v>0</v>
      </c>
      <c r="AD201" s="71">
        <f>W201+X201+Y201+Z201+AA201+AB201+AC201</f>
        <v>0</v>
      </c>
      <c r="AE201" s="72">
        <v>0</v>
      </c>
      <c r="AF201" s="5"/>
      <c r="AG201" s="6"/>
      <c r="AH201" s="27" t="s">
        <v>3392</v>
      </c>
      <c r="AI201" s="44" t="s">
        <v>3393</v>
      </c>
      <c r="AJ201" s="26"/>
      <c r="AK201" s="5"/>
      <c r="AL201" s="82" t="s">
        <v>3050</v>
      </c>
      <c r="AM201" s="76"/>
      <c r="AN201" s="76"/>
      <c r="AO201" s="76"/>
      <c r="AP201" s="76"/>
      <c r="AQ201" s="76"/>
      <c r="AR201" s="76"/>
      <c r="AS201" s="76"/>
      <c r="AT201" s="76"/>
      <c r="AU201" s="76"/>
      <c r="AV201" s="76"/>
      <c r="AW201" s="76"/>
      <c r="AX201" s="76">
        <f>+AW201*600000</f>
        <v>0</v>
      </c>
      <c r="AY201" s="76"/>
      <c r="AZ201" s="76">
        <f>+AY201*70000</f>
        <v>0</v>
      </c>
      <c r="BA201" s="76"/>
      <c r="BB201" s="76"/>
      <c r="BC201" s="76"/>
      <c r="BD201" s="76">
        <f>+BC201*30000</f>
        <v>0</v>
      </c>
      <c r="BE201" s="76"/>
      <c r="BF201" s="76"/>
      <c r="BG201" s="76"/>
      <c r="BH201" s="76"/>
      <c r="BI201" s="76"/>
      <c r="BJ201" s="76"/>
      <c r="BK201" s="76"/>
      <c r="BL201" s="76">
        <f>+BK201*31500</f>
        <v>0</v>
      </c>
      <c r="BM201" s="76"/>
      <c r="BN201" s="76"/>
      <c r="BO201" s="76"/>
      <c r="BP201" s="76"/>
      <c r="BQ201" s="76"/>
      <c r="BR201" s="76"/>
      <c r="BS201" s="76"/>
      <c r="BT201" s="76"/>
      <c r="BU201" s="76"/>
      <c r="BV201" s="76"/>
      <c r="BW201" s="76"/>
      <c r="BX201" s="76"/>
      <c r="BY201" s="76"/>
      <c r="BZ201" s="76"/>
      <c r="CA201" s="76"/>
      <c r="CB201" s="76"/>
      <c r="CC201" s="76"/>
      <c r="CD201" s="76"/>
      <c r="CE201" s="76"/>
      <c r="CF201" s="76">
        <f>+CE201*28000</f>
        <v>0</v>
      </c>
      <c r="CG201" s="76"/>
      <c r="CH201" s="76">
        <f>+CG201*22500</f>
        <v>0</v>
      </c>
      <c r="CI201" s="76"/>
      <c r="CJ201" s="76">
        <f>+CI201*26000</f>
        <v>0</v>
      </c>
      <c r="CK201" s="76"/>
      <c r="CL201" s="76"/>
      <c r="CM201" s="76"/>
      <c r="CN201" s="76">
        <f>+CM201*22000</f>
        <v>0</v>
      </c>
      <c r="CO201" s="76"/>
      <c r="CP201" s="76">
        <f>+CO201*46000</f>
        <v>0</v>
      </c>
      <c r="CQ201" s="76"/>
      <c r="CR201" s="76">
        <f>+CQ201*49000</f>
        <v>0</v>
      </c>
      <c r="CS201" s="76"/>
      <c r="CT201" s="76"/>
      <c r="CU201" s="56">
        <f>AN201+AP201+AR201+AT201+AV201+AX201+AZ201+BB201+BD201+BF201+BH201+BJ201+BL201+BN201+BP201+BR201+BT201+BV201+BX201+BZ201+CB201+CD201+CF201+CH201+CJ201+CL201+CN201+CP201+CR201+CT201</f>
        <v>0</v>
      </c>
      <c r="CV201" s="76"/>
      <c r="CW201" s="76">
        <f>+CV201*1100</f>
        <v>0</v>
      </c>
      <c r="CX201" s="76"/>
      <c r="CY201" s="76">
        <f>+CX201*106250</f>
        <v>0</v>
      </c>
      <c r="CZ201" s="76"/>
      <c r="DA201" s="76">
        <f>+CZ201*34500</f>
        <v>0</v>
      </c>
      <c r="DB201" s="76"/>
      <c r="DC201" s="76">
        <f>+DB201*25000</f>
        <v>0</v>
      </c>
      <c r="DD201" s="219"/>
      <c r="DE201" s="219"/>
      <c r="DF201" s="164"/>
      <c r="DG201" s="116"/>
      <c r="DH201" s="117"/>
      <c r="DI201" s="24"/>
      <c r="DJ201" s="24"/>
      <c r="DK201" s="24"/>
      <c r="DL201" s="24"/>
      <c r="DM201" s="24"/>
      <c r="DN201" s="24"/>
      <c r="DO201" s="24"/>
      <c r="DP201" s="24"/>
      <c r="DQ201" s="24"/>
      <c r="DR201" s="24"/>
      <c r="DS201" s="24"/>
      <c r="DT201" s="24"/>
      <c r="DU201" s="24"/>
    </row>
    <row r="202" spans="1:125" s="8" customFormat="1" ht="48" x14ac:dyDescent="0.2">
      <c r="A202" s="77">
        <v>41287</v>
      </c>
      <c r="B202" s="78" t="s">
        <v>2847</v>
      </c>
      <c r="C202" s="78" t="s">
        <v>1737</v>
      </c>
      <c r="D202" s="81" t="s">
        <v>2846</v>
      </c>
      <c r="E202" s="75" t="str">
        <f>VLOOKUP(B202&amp;C202,Divipola!$C$2:$F$1138,4,FALSE)</f>
        <v>68464</v>
      </c>
      <c r="F202" s="87"/>
      <c r="G202" s="87"/>
      <c r="H202" s="87"/>
      <c r="I202" s="87"/>
      <c r="J202" s="87"/>
      <c r="K202" s="87"/>
      <c r="L202" s="87"/>
      <c r="M202" s="87"/>
      <c r="N202" s="87"/>
      <c r="O202" s="87"/>
      <c r="P202" s="87"/>
      <c r="Q202" s="87"/>
      <c r="R202" s="87"/>
      <c r="S202" s="87"/>
      <c r="T202" s="87"/>
      <c r="U202" s="127">
        <v>3</v>
      </c>
      <c r="V202" s="89"/>
      <c r="W202" s="96">
        <v>0</v>
      </c>
      <c r="X202" s="71">
        <f>CU202</f>
        <v>0</v>
      </c>
      <c r="Y202" s="71">
        <f>CY202</f>
        <v>0</v>
      </c>
      <c r="Z202" s="71">
        <f>DA202+DC202+DE202</f>
        <v>0</v>
      </c>
      <c r="AA202" s="71">
        <f>CW202</f>
        <v>0</v>
      </c>
      <c r="AB202" s="71"/>
      <c r="AC202" s="71">
        <v>0</v>
      </c>
      <c r="AD202" s="71">
        <f>W202+X202+Y202+Z202+AA202+AB202+AC202</f>
        <v>0</v>
      </c>
      <c r="AE202" s="72">
        <v>0</v>
      </c>
      <c r="AF202" s="5"/>
      <c r="AG202" s="6"/>
      <c r="AH202" s="27" t="s">
        <v>3392</v>
      </c>
      <c r="AI202" s="44" t="s">
        <v>3393</v>
      </c>
      <c r="AJ202" s="26"/>
      <c r="AK202" s="5"/>
      <c r="AL202" s="82" t="s">
        <v>3036</v>
      </c>
      <c r="AM202" s="76"/>
      <c r="AN202" s="76"/>
      <c r="AO202" s="76"/>
      <c r="AP202" s="76"/>
      <c r="AQ202" s="76"/>
      <c r="AR202" s="76"/>
      <c r="AS202" s="76"/>
      <c r="AT202" s="76"/>
      <c r="AU202" s="76"/>
      <c r="AV202" s="76"/>
      <c r="AW202" s="76"/>
      <c r="AX202" s="76">
        <f>+AW202*600000</f>
        <v>0</v>
      </c>
      <c r="AY202" s="76"/>
      <c r="AZ202" s="76">
        <f>+AY202*70000</f>
        <v>0</v>
      </c>
      <c r="BA202" s="76"/>
      <c r="BB202" s="76"/>
      <c r="BC202" s="76"/>
      <c r="BD202" s="76">
        <f>+BC202*30000</f>
        <v>0</v>
      </c>
      <c r="BE202" s="76"/>
      <c r="BF202" s="76"/>
      <c r="BG202" s="76"/>
      <c r="BH202" s="76"/>
      <c r="BI202" s="76"/>
      <c r="BJ202" s="76"/>
      <c r="BK202" s="76"/>
      <c r="BL202" s="76">
        <f>+BK202*31500</f>
        <v>0</v>
      </c>
      <c r="BM202" s="76"/>
      <c r="BN202" s="76"/>
      <c r="BO202" s="76"/>
      <c r="BP202" s="76"/>
      <c r="BQ202" s="76"/>
      <c r="BR202" s="76"/>
      <c r="BS202" s="76"/>
      <c r="BT202" s="76"/>
      <c r="BU202" s="76"/>
      <c r="BV202" s="76"/>
      <c r="BW202" s="76"/>
      <c r="BX202" s="76"/>
      <c r="BY202" s="76"/>
      <c r="BZ202" s="76"/>
      <c r="CA202" s="76"/>
      <c r="CB202" s="76"/>
      <c r="CC202" s="76"/>
      <c r="CD202" s="76"/>
      <c r="CE202" s="76"/>
      <c r="CF202" s="76">
        <f>+CE202*28000</f>
        <v>0</v>
      </c>
      <c r="CG202" s="76"/>
      <c r="CH202" s="76">
        <f>+CG202*22500</f>
        <v>0</v>
      </c>
      <c r="CI202" s="76"/>
      <c r="CJ202" s="76">
        <f>+CI202*26000</f>
        <v>0</v>
      </c>
      <c r="CK202" s="76"/>
      <c r="CL202" s="76"/>
      <c r="CM202" s="76"/>
      <c r="CN202" s="76">
        <f>+CM202*22000</f>
        <v>0</v>
      </c>
      <c r="CO202" s="76"/>
      <c r="CP202" s="76">
        <f>+CO202*46000</f>
        <v>0</v>
      </c>
      <c r="CQ202" s="76"/>
      <c r="CR202" s="76">
        <f>+CQ202*49000</f>
        <v>0</v>
      </c>
      <c r="CS202" s="76"/>
      <c r="CT202" s="76"/>
      <c r="CU202" s="56">
        <f>AN202+AP202+AR202+AT202+AV202+AX202+AZ202+BB202+BD202+BF202+BH202+BJ202+BL202+BN202+BP202+BR202+BT202+BV202+BX202+BZ202+CB202+CD202+CF202+CH202+CJ202+CL202+CN202+CP202+CR202+CT202</f>
        <v>0</v>
      </c>
      <c r="CV202" s="76"/>
      <c r="CW202" s="76">
        <f>+CV202*1100</f>
        <v>0</v>
      </c>
      <c r="CX202" s="76"/>
      <c r="CY202" s="76">
        <f>+CX202*106250</f>
        <v>0</v>
      </c>
      <c r="CZ202" s="76"/>
      <c r="DA202" s="76">
        <f>+CZ202*34500</f>
        <v>0</v>
      </c>
      <c r="DB202" s="76"/>
      <c r="DC202" s="76">
        <f>+DB202*25000</f>
        <v>0</v>
      </c>
      <c r="DD202" s="219"/>
      <c r="DE202" s="219"/>
      <c r="DF202" s="164"/>
      <c r="DG202" s="116"/>
      <c r="DH202" s="117"/>
      <c r="DI202" s="24"/>
      <c r="DJ202" s="24"/>
      <c r="DK202" s="24"/>
      <c r="DL202" s="24"/>
      <c r="DM202" s="24"/>
      <c r="DN202" s="24"/>
      <c r="DO202" s="24"/>
      <c r="DP202" s="24"/>
      <c r="DQ202" s="24"/>
      <c r="DR202" s="24"/>
      <c r="DS202" s="24"/>
      <c r="DT202" s="24"/>
      <c r="DU202" s="24"/>
    </row>
    <row r="203" spans="1:125" s="8" customFormat="1" ht="84" x14ac:dyDescent="0.2">
      <c r="A203" s="77">
        <v>41287</v>
      </c>
      <c r="B203" s="80" t="s">
        <v>2848</v>
      </c>
      <c r="C203" s="81" t="s">
        <v>2791</v>
      </c>
      <c r="D203" s="81" t="s">
        <v>3027</v>
      </c>
      <c r="E203" s="75" t="str">
        <f>VLOOKUP(B203&amp;C203,Divipola!$C$2:$F$1138,4,FALSE)</f>
        <v>73585</v>
      </c>
      <c r="F203" s="87"/>
      <c r="G203" s="87"/>
      <c r="H203" s="87"/>
      <c r="I203" s="87"/>
      <c r="J203" s="87"/>
      <c r="K203" s="87"/>
      <c r="L203" s="87"/>
      <c r="M203" s="87"/>
      <c r="N203" s="87"/>
      <c r="O203" s="87"/>
      <c r="P203" s="87"/>
      <c r="Q203" s="87"/>
      <c r="R203" s="87"/>
      <c r="S203" s="87"/>
      <c r="T203" s="87"/>
      <c r="U203" s="127"/>
      <c r="V203" s="89">
        <v>1</v>
      </c>
      <c r="W203" s="96">
        <v>0</v>
      </c>
      <c r="X203" s="71">
        <f>CU203</f>
        <v>0</v>
      </c>
      <c r="Y203" s="71">
        <f>CY203</f>
        <v>0</v>
      </c>
      <c r="Z203" s="71">
        <f>DA203+DC203+DE203</f>
        <v>0</v>
      </c>
      <c r="AA203" s="71">
        <f>CW203</f>
        <v>0</v>
      </c>
      <c r="AB203" s="71"/>
      <c r="AC203" s="71">
        <v>0</v>
      </c>
      <c r="AD203" s="71">
        <f>W203+X203+Y203+Z203+AA203+AB203+AC203</f>
        <v>0</v>
      </c>
      <c r="AE203" s="72">
        <v>0</v>
      </c>
      <c r="AF203" s="5"/>
      <c r="AG203" s="6"/>
      <c r="AH203" s="27" t="s">
        <v>3392</v>
      </c>
      <c r="AI203" s="44" t="s">
        <v>3393</v>
      </c>
      <c r="AJ203" s="26"/>
      <c r="AK203" s="5"/>
      <c r="AL203" s="82" t="s">
        <v>3029</v>
      </c>
      <c r="AM203" s="76"/>
      <c r="AN203" s="76"/>
      <c r="AO203" s="76"/>
      <c r="AP203" s="76"/>
      <c r="AQ203" s="76"/>
      <c r="AR203" s="76"/>
      <c r="AS203" s="76"/>
      <c r="AT203" s="76"/>
      <c r="AU203" s="76"/>
      <c r="AV203" s="76"/>
      <c r="AW203" s="76"/>
      <c r="AX203" s="76">
        <f>+AW203*600000</f>
        <v>0</v>
      </c>
      <c r="AY203" s="76"/>
      <c r="AZ203" s="76">
        <f>+AY203*70000</f>
        <v>0</v>
      </c>
      <c r="BA203" s="76"/>
      <c r="BB203" s="76"/>
      <c r="BC203" s="76"/>
      <c r="BD203" s="76">
        <f>+BC203*30000</f>
        <v>0</v>
      </c>
      <c r="BE203" s="76"/>
      <c r="BF203" s="76"/>
      <c r="BG203" s="76"/>
      <c r="BH203" s="76"/>
      <c r="BI203" s="76"/>
      <c r="BJ203" s="76"/>
      <c r="BK203" s="76"/>
      <c r="BL203" s="76">
        <f>+BK203*31500</f>
        <v>0</v>
      </c>
      <c r="BM203" s="76"/>
      <c r="BN203" s="76"/>
      <c r="BO203" s="76"/>
      <c r="BP203" s="76"/>
      <c r="BQ203" s="76"/>
      <c r="BR203" s="76"/>
      <c r="BS203" s="76"/>
      <c r="BT203" s="76"/>
      <c r="BU203" s="76"/>
      <c r="BV203" s="76"/>
      <c r="BW203" s="76"/>
      <c r="BX203" s="76"/>
      <c r="BY203" s="76"/>
      <c r="BZ203" s="76"/>
      <c r="CA203" s="76"/>
      <c r="CB203" s="76"/>
      <c r="CC203" s="76"/>
      <c r="CD203" s="76"/>
      <c r="CE203" s="76"/>
      <c r="CF203" s="76">
        <f>+CE203*28000</f>
        <v>0</v>
      </c>
      <c r="CG203" s="76"/>
      <c r="CH203" s="76">
        <f>+CG203*22500</f>
        <v>0</v>
      </c>
      <c r="CI203" s="76"/>
      <c r="CJ203" s="76">
        <f>+CI203*26000</f>
        <v>0</v>
      </c>
      <c r="CK203" s="76"/>
      <c r="CL203" s="76"/>
      <c r="CM203" s="76"/>
      <c r="CN203" s="76">
        <f>+CM203*22000</f>
        <v>0</v>
      </c>
      <c r="CO203" s="76"/>
      <c r="CP203" s="76">
        <f>+CO203*46000</f>
        <v>0</v>
      </c>
      <c r="CQ203" s="76"/>
      <c r="CR203" s="76">
        <f>+CQ203*49000</f>
        <v>0</v>
      </c>
      <c r="CS203" s="76"/>
      <c r="CT203" s="76"/>
      <c r="CU203" s="56">
        <f>AN203+AP203+AR203+AT203+AV203+AX203+AZ203+BB203+BD203+BF203+BH203+BJ203+BL203+BN203+BP203+BR203+BT203+BV203+BX203+BZ203+CB203+CD203+CF203+CH203+CJ203+CL203+CN203+CP203+CR203+CT203</f>
        <v>0</v>
      </c>
      <c r="CV203" s="76"/>
      <c r="CW203" s="76">
        <f>+CV203*1100</f>
        <v>0</v>
      </c>
      <c r="CX203" s="76"/>
      <c r="CY203" s="76">
        <f>+CX203*106250</f>
        <v>0</v>
      </c>
      <c r="CZ203" s="76"/>
      <c r="DA203" s="76">
        <f>+CZ203*34500</f>
        <v>0</v>
      </c>
      <c r="DB203" s="76"/>
      <c r="DC203" s="76">
        <f>+DB203*25000</f>
        <v>0</v>
      </c>
      <c r="DD203" s="219"/>
      <c r="DE203" s="219"/>
      <c r="DF203" s="164"/>
      <c r="DG203" s="116"/>
      <c r="DH203" s="117"/>
      <c r="DI203" s="24"/>
      <c r="DJ203" s="24"/>
      <c r="DK203" s="24"/>
      <c r="DL203" s="24"/>
      <c r="DM203" s="24"/>
      <c r="DN203" s="24"/>
      <c r="DO203" s="24"/>
      <c r="DP203" s="24"/>
      <c r="DQ203" s="24"/>
      <c r="DR203" s="24"/>
      <c r="DS203" s="24"/>
      <c r="DT203" s="24"/>
      <c r="DU203" s="24"/>
    </row>
    <row r="204" spans="1:125" s="8" customFormat="1" ht="36" x14ac:dyDescent="0.2">
      <c r="A204" s="77">
        <v>41288</v>
      </c>
      <c r="B204" s="78" t="s">
        <v>2881</v>
      </c>
      <c r="C204" s="75" t="s">
        <v>1410</v>
      </c>
      <c r="D204" s="81" t="s">
        <v>2846</v>
      </c>
      <c r="E204" s="75" t="str">
        <f>VLOOKUP(B204&amp;C204,Divipola!$C$2:$F$1138,4,FALSE)</f>
        <v>08421</v>
      </c>
      <c r="F204" s="87"/>
      <c r="G204" s="87"/>
      <c r="H204" s="87"/>
      <c r="I204" s="87"/>
      <c r="J204" s="87"/>
      <c r="K204" s="87"/>
      <c r="L204" s="87"/>
      <c r="M204" s="87"/>
      <c r="N204" s="87"/>
      <c r="O204" s="87"/>
      <c r="P204" s="87"/>
      <c r="Q204" s="87"/>
      <c r="R204" s="87"/>
      <c r="S204" s="87"/>
      <c r="T204" s="87"/>
      <c r="U204" s="127"/>
      <c r="V204" s="89"/>
      <c r="W204" s="96">
        <v>0</v>
      </c>
      <c r="X204" s="71">
        <f>CU204</f>
        <v>0</v>
      </c>
      <c r="Y204" s="71">
        <f>CY204</f>
        <v>0</v>
      </c>
      <c r="Z204" s="71">
        <f>DA204+DC204+DE204</f>
        <v>0</v>
      </c>
      <c r="AA204" s="71">
        <f>CW204</f>
        <v>0</v>
      </c>
      <c r="AB204" s="71"/>
      <c r="AC204" s="71">
        <v>0</v>
      </c>
      <c r="AD204" s="71">
        <f>W204+X204+Y204+Z204+AA204+AB204+AC204</f>
        <v>0</v>
      </c>
      <c r="AE204" s="72">
        <v>0</v>
      </c>
      <c r="AF204" s="5"/>
      <c r="AG204" s="6"/>
      <c r="AH204" s="27" t="s">
        <v>3392</v>
      </c>
      <c r="AI204" s="44" t="s">
        <v>3393</v>
      </c>
      <c r="AJ204" s="26"/>
      <c r="AK204" s="5"/>
      <c r="AL204" s="82" t="s">
        <v>3065</v>
      </c>
      <c r="AM204" s="76"/>
      <c r="AN204" s="76"/>
      <c r="AO204" s="76"/>
      <c r="AP204" s="76"/>
      <c r="AQ204" s="76"/>
      <c r="AR204" s="76"/>
      <c r="AS204" s="76"/>
      <c r="AT204" s="76"/>
      <c r="AU204" s="76"/>
      <c r="AV204" s="76"/>
      <c r="AW204" s="76"/>
      <c r="AX204" s="76">
        <f>+AW204*600000</f>
        <v>0</v>
      </c>
      <c r="AY204" s="76"/>
      <c r="AZ204" s="76">
        <f>+AY204*70000</f>
        <v>0</v>
      </c>
      <c r="BA204" s="76"/>
      <c r="BB204" s="76"/>
      <c r="BC204" s="76"/>
      <c r="BD204" s="76">
        <f>+BC204*30000</f>
        <v>0</v>
      </c>
      <c r="BE204" s="76"/>
      <c r="BF204" s="76"/>
      <c r="BG204" s="76"/>
      <c r="BH204" s="76"/>
      <c r="BI204" s="76"/>
      <c r="BJ204" s="76"/>
      <c r="BK204" s="76"/>
      <c r="BL204" s="76">
        <f>+BK204*31500</f>
        <v>0</v>
      </c>
      <c r="BM204" s="76"/>
      <c r="BN204" s="76"/>
      <c r="BO204" s="76"/>
      <c r="BP204" s="76"/>
      <c r="BQ204" s="76"/>
      <c r="BR204" s="76"/>
      <c r="BS204" s="76"/>
      <c r="BT204" s="76"/>
      <c r="BU204" s="76"/>
      <c r="BV204" s="76"/>
      <c r="BW204" s="76"/>
      <c r="BX204" s="76"/>
      <c r="BY204" s="76"/>
      <c r="BZ204" s="76"/>
      <c r="CA204" s="76"/>
      <c r="CB204" s="76"/>
      <c r="CC204" s="76"/>
      <c r="CD204" s="76"/>
      <c r="CE204" s="76"/>
      <c r="CF204" s="76">
        <f>+CE204*28000</f>
        <v>0</v>
      </c>
      <c r="CG204" s="76"/>
      <c r="CH204" s="76">
        <f>+CG204*22500</f>
        <v>0</v>
      </c>
      <c r="CI204" s="76"/>
      <c r="CJ204" s="76">
        <f>+CI204*26000</f>
        <v>0</v>
      </c>
      <c r="CK204" s="76"/>
      <c r="CL204" s="76"/>
      <c r="CM204" s="76"/>
      <c r="CN204" s="76">
        <f>+CM204*22000</f>
        <v>0</v>
      </c>
      <c r="CO204" s="76"/>
      <c r="CP204" s="76">
        <f>+CO204*46000</f>
        <v>0</v>
      </c>
      <c r="CQ204" s="76"/>
      <c r="CR204" s="76">
        <f>+CQ204*49000</f>
        <v>0</v>
      </c>
      <c r="CS204" s="76"/>
      <c r="CT204" s="76"/>
      <c r="CU204" s="56">
        <f>AN204+AP204+AR204+AT204+AV204+AX204+AZ204+BB204+BD204+BF204+BH204+BJ204+BL204+BN204+BP204+BR204+BT204+BV204+BX204+BZ204+CB204+CD204+CF204+CH204+CJ204+CL204+CN204+CP204+CR204+CT204</f>
        <v>0</v>
      </c>
      <c r="CV204" s="76"/>
      <c r="CW204" s="76">
        <f>+CV204*1100</f>
        <v>0</v>
      </c>
      <c r="CX204" s="76"/>
      <c r="CY204" s="76">
        <f>+CX204*106250</f>
        <v>0</v>
      </c>
      <c r="CZ204" s="76"/>
      <c r="DA204" s="76">
        <f>+CZ204*34500</f>
        <v>0</v>
      </c>
      <c r="DB204" s="76"/>
      <c r="DC204" s="76">
        <f>+DB204*25000</f>
        <v>0</v>
      </c>
      <c r="DD204" s="219"/>
      <c r="DE204" s="219"/>
      <c r="DF204" s="164"/>
      <c r="DG204" s="116"/>
      <c r="DH204" s="117"/>
      <c r="DI204" s="24"/>
      <c r="DJ204" s="24"/>
      <c r="DK204" s="24"/>
      <c r="DL204" s="24"/>
      <c r="DM204" s="24"/>
      <c r="DN204" s="24"/>
      <c r="DO204" s="24"/>
      <c r="DP204" s="24"/>
      <c r="DQ204" s="24"/>
      <c r="DR204" s="24"/>
      <c r="DS204" s="24"/>
      <c r="DT204" s="24"/>
      <c r="DU204" s="24"/>
    </row>
    <row r="205" spans="1:125" s="8" customFormat="1" ht="72" x14ac:dyDescent="0.2">
      <c r="A205" s="77">
        <v>41288</v>
      </c>
      <c r="B205" s="80" t="s">
        <v>2700</v>
      </c>
      <c r="C205" s="81" t="s">
        <v>1630</v>
      </c>
      <c r="D205" s="81" t="s">
        <v>2846</v>
      </c>
      <c r="E205" s="75" t="str">
        <f>VLOOKUP(B205&amp;C205,Divipola!$C$2:$F$1138,4,FALSE)</f>
        <v>15226</v>
      </c>
      <c r="F205" s="87"/>
      <c r="G205" s="87"/>
      <c r="H205" s="87"/>
      <c r="I205" s="87"/>
      <c r="J205" s="87"/>
      <c r="K205" s="87"/>
      <c r="L205" s="87"/>
      <c r="M205" s="87"/>
      <c r="N205" s="87"/>
      <c r="O205" s="87"/>
      <c r="P205" s="87"/>
      <c r="Q205" s="87"/>
      <c r="R205" s="87"/>
      <c r="S205" s="87"/>
      <c r="T205" s="87"/>
      <c r="U205" s="127">
        <v>15</v>
      </c>
      <c r="V205" s="89"/>
      <c r="W205" s="96">
        <v>0</v>
      </c>
      <c r="X205" s="71">
        <f>CU205</f>
        <v>0</v>
      </c>
      <c r="Y205" s="71">
        <f>CY205</f>
        <v>0</v>
      </c>
      <c r="Z205" s="71">
        <f>DA205+DC205+DE205</f>
        <v>0</v>
      </c>
      <c r="AA205" s="71">
        <f>CW205</f>
        <v>0</v>
      </c>
      <c r="AB205" s="71"/>
      <c r="AC205" s="71">
        <v>0</v>
      </c>
      <c r="AD205" s="71">
        <f>W205+X205+Y205+Z205+AA205+AB205+AC205</f>
        <v>0</v>
      </c>
      <c r="AE205" s="72">
        <v>0</v>
      </c>
      <c r="AF205" s="5"/>
      <c r="AG205" s="6"/>
      <c r="AH205" s="27" t="s">
        <v>3392</v>
      </c>
      <c r="AI205" s="44" t="s">
        <v>3393</v>
      </c>
      <c r="AJ205" s="26"/>
      <c r="AK205" s="5"/>
      <c r="AL205" s="82" t="s">
        <v>3066</v>
      </c>
      <c r="AM205" s="76"/>
      <c r="AN205" s="76"/>
      <c r="AO205" s="76"/>
      <c r="AP205" s="76"/>
      <c r="AQ205" s="76"/>
      <c r="AR205" s="76"/>
      <c r="AS205" s="76"/>
      <c r="AT205" s="76"/>
      <c r="AU205" s="76"/>
      <c r="AV205" s="76"/>
      <c r="AW205" s="76"/>
      <c r="AX205" s="76">
        <f>+AW205*600000</f>
        <v>0</v>
      </c>
      <c r="AY205" s="76"/>
      <c r="AZ205" s="76">
        <f>+AY205*70000</f>
        <v>0</v>
      </c>
      <c r="BA205" s="76"/>
      <c r="BB205" s="76"/>
      <c r="BC205" s="76"/>
      <c r="BD205" s="76">
        <f>+BC205*30000</f>
        <v>0</v>
      </c>
      <c r="BE205" s="76"/>
      <c r="BF205" s="76"/>
      <c r="BG205" s="76"/>
      <c r="BH205" s="76"/>
      <c r="BI205" s="76"/>
      <c r="BJ205" s="76"/>
      <c r="BK205" s="76"/>
      <c r="BL205" s="76">
        <f>+BK205*31500</f>
        <v>0</v>
      </c>
      <c r="BM205" s="76"/>
      <c r="BN205" s="76"/>
      <c r="BO205" s="76"/>
      <c r="BP205" s="76"/>
      <c r="BQ205" s="76"/>
      <c r="BR205" s="76"/>
      <c r="BS205" s="76"/>
      <c r="BT205" s="76"/>
      <c r="BU205" s="76"/>
      <c r="BV205" s="76"/>
      <c r="BW205" s="76"/>
      <c r="BX205" s="76"/>
      <c r="BY205" s="76"/>
      <c r="BZ205" s="76"/>
      <c r="CA205" s="76"/>
      <c r="CB205" s="76"/>
      <c r="CC205" s="76"/>
      <c r="CD205" s="76"/>
      <c r="CE205" s="76"/>
      <c r="CF205" s="76">
        <f>+CE205*28000</f>
        <v>0</v>
      </c>
      <c r="CG205" s="76"/>
      <c r="CH205" s="76">
        <f>+CG205*22500</f>
        <v>0</v>
      </c>
      <c r="CI205" s="76"/>
      <c r="CJ205" s="76">
        <f>+CI205*26000</f>
        <v>0</v>
      </c>
      <c r="CK205" s="76"/>
      <c r="CL205" s="76"/>
      <c r="CM205" s="76"/>
      <c r="CN205" s="76">
        <f>+CM205*22000</f>
        <v>0</v>
      </c>
      <c r="CO205" s="76"/>
      <c r="CP205" s="76">
        <f>+CO205*46000</f>
        <v>0</v>
      </c>
      <c r="CQ205" s="76"/>
      <c r="CR205" s="76">
        <f>+CQ205*49000</f>
        <v>0</v>
      </c>
      <c r="CS205" s="76"/>
      <c r="CT205" s="76"/>
      <c r="CU205" s="56">
        <f>AN205+AP205+AR205+AT205+AV205+AX205+AZ205+BB205+BD205+BF205+BH205+BJ205+BL205+BN205+BP205+BR205+BT205+BV205+BX205+BZ205+CB205+CD205+CF205+CH205+CJ205+CL205+CN205+CP205+CR205+CT205</f>
        <v>0</v>
      </c>
      <c r="CV205" s="76"/>
      <c r="CW205" s="76">
        <f>+CV205*1100</f>
        <v>0</v>
      </c>
      <c r="CX205" s="76"/>
      <c r="CY205" s="76">
        <f>+CX205*106250</f>
        <v>0</v>
      </c>
      <c r="CZ205" s="76"/>
      <c r="DA205" s="76">
        <f>+CZ205*34500</f>
        <v>0</v>
      </c>
      <c r="DB205" s="76"/>
      <c r="DC205" s="76">
        <f>+DB205*25000</f>
        <v>0</v>
      </c>
      <c r="DD205" s="219"/>
      <c r="DE205" s="219"/>
      <c r="DF205" s="164"/>
      <c r="DG205" s="116"/>
      <c r="DH205" s="117"/>
      <c r="DI205" s="24"/>
      <c r="DJ205" s="24"/>
      <c r="DK205" s="24"/>
      <c r="DL205" s="24"/>
      <c r="DM205" s="24"/>
      <c r="DN205" s="24"/>
      <c r="DO205" s="24"/>
      <c r="DP205" s="24"/>
      <c r="DQ205" s="24"/>
      <c r="DR205" s="24"/>
      <c r="DS205" s="24"/>
      <c r="DT205" s="24"/>
      <c r="DU205" s="24"/>
    </row>
    <row r="206" spans="1:125" s="8" customFormat="1" ht="36" x14ac:dyDescent="0.2">
      <c r="A206" s="77">
        <v>41288</v>
      </c>
      <c r="B206" s="84" t="s">
        <v>2087</v>
      </c>
      <c r="C206" s="84" t="s">
        <v>795</v>
      </c>
      <c r="D206" s="81" t="s">
        <v>2846</v>
      </c>
      <c r="E206" s="75" t="str">
        <f>VLOOKUP(B206&amp;C206,Divipola!$C$2:$F$1138,4,FALSE)</f>
        <v>18247</v>
      </c>
      <c r="F206" s="89"/>
      <c r="G206" s="89"/>
      <c r="H206" s="89"/>
      <c r="I206" s="89"/>
      <c r="J206" s="89"/>
      <c r="K206" s="89"/>
      <c r="L206" s="89"/>
      <c r="M206" s="89"/>
      <c r="N206" s="89"/>
      <c r="O206" s="89"/>
      <c r="P206" s="89"/>
      <c r="Q206" s="89"/>
      <c r="R206" s="89"/>
      <c r="S206" s="89"/>
      <c r="T206" s="89"/>
      <c r="U206" s="126">
        <v>5</v>
      </c>
      <c r="V206" s="89"/>
      <c r="W206" s="96">
        <v>0</v>
      </c>
      <c r="X206" s="71">
        <f>CU206</f>
        <v>0</v>
      </c>
      <c r="Y206" s="71">
        <f>CY206</f>
        <v>0</v>
      </c>
      <c r="Z206" s="71">
        <f>DA206+DC206+DE206</f>
        <v>0</v>
      </c>
      <c r="AA206" s="71">
        <f>CW206</f>
        <v>0</v>
      </c>
      <c r="AB206" s="71"/>
      <c r="AC206" s="71">
        <v>0</v>
      </c>
      <c r="AD206" s="71">
        <f>W206+X206+Y206+Z206+AA206+AB206+AC206</f>
        <v>0</v>
      </c>
      <c r="AE206" s="72">
        <v>0</v>
      </c>
      <c r="AF206" s="5"/>
      <c r="AG206" s="6"/>
      <c r="AH206" s="27" t="s">
        <v>3392</v>
      </c>
      <c r="AI206" s="44" t="s">
        <v>3393</v>
      </c>
      <c r="AJ206" s="26"/>
      <c r="AK206" s="5"/>
      <c r="AL206" s="82" t="s">
        <v>3056</v>
      </c>
      <c r="AM206" s="76"/>
      <c r="AN206" s="76"/>
      <c r="AO206" s="76"/>
      <c r="AP206" s="76"/>
      <c r="AQ206" s="76"/>
      <c r="AR206" s="76"/>
      <c r="AS206" s="76"/>
      <c r="AT206" s="76"/>
      <c r="AU206" s="76"/>
      <c r="AV206" s="76"/>
      <c r="AW206" s="76"/>
      <c r="AX206" s="76">
        <f>+AW206*600000</f>
        <v>0</v>
      </c>
      <c r="AY206" s="76"/>
      <c r="AZ206" s="76">
        <f>+AY206*70000</f>
        <v>0</v>
      </c>
      <c r="BA206" s="76"/>
      <c r="BB206" s="76"/>
      <c r="BC206" s="76"/>
      <c r="BD206" s="76">
        <f>+BC206*30000</f>
        <v>0</v>
      </c>
      <c r="BE206" s="76"/>
      <c r="BF206" s="76"/>
      <c r="BG206" s="76"/>
      <c r="BH206" s="76"/>
      <c r="BI206" s="76"/>
      <c r="BJ206" s="76"/>
      <c r="BK206" s="76"/>
      <c r="BL206" s="76">
        <f>+BK206*31500</f>
        <v>0</v>
      </c>
      <c r="BM206" s="76"/>
      <c r="BN206" s="76"/>
      <c r="BO206" s="76"/>
      <c r="BP206" s="76"/>
      <c r="BQ206" s="76"/>
      <c r="BR206" s="76"/>
      <c r="BS206" s="76"/>
      <c r="BT206" s="76"/>
      <c r="BU206" s="76"/>
      <c r="BV206" s="76"/>
      <c r="BW206" s="76"/>
      <c r="BX206" s="76"/>
      <c r="BY206" s="76"/>
      <c r="BZ206" s="76"/>
      <c r="CA206" s="76"/>
      <c r="CB206" s="76"/>
      <c r="CC206" s="76"/>
      <c r="CD206" s="76"/>
      <c r="CE206" s="76"/>
      <c r="CF206" s="76">
        <f>+CE206*28000</f>
        <v>0</v>
      </c>
      <c r="CG206" s="76"/>
      <c r="CH206" s="76">
        <f>+CG206*22500</f>
        <v>0</v>
      </c>
      <c r="CI206" s="76"/>
      <c r="CJ206" s="76">
        <f>+CI206*26000</f>
        <v>0</v>
      </c>
      <c r="CK206" s="76"/>
      <c r="CL206" s="76"/>
      <c r="CM206" s="76"/>
      <c r="CN206" s="76">
        <f>+CM206*22000</f>
        <v>0</v>
      </c>
      <c r="CO206" s="76"/>
      <c r="CP206" s="76">
        <f>+CO206*46000</f>
        <v>0</v>
      </c>
      <c r="CQ206" s="76"/>
      <c r="CR206" s="76">
        <f>+CQ206*49000</f>
        <v>0</v>
      </c>
      <c r="CS206" s="76"/>
      <c r="CT206" s="76"/>
      <c r="CU206" s="56">
        <f>AN206+AP206+AR206+AT206+AV206+AX206+AZ206+BB206+BD206+BF206+BH206+BJ206+BL206+BN206+BP206+BR206+BT206+BV206+BX206+BZ206+CB206+CD206+CF206+CH206+CJ206+CL206+CN206+CP206+CR206+CT206</f>
        <v>0</v>
      </c>
      <c r="CV206" s="76"/>
      <c r="CW206" s="76">
        <f>+CV206*1100</f>
        <v>0</v>
      </c>
      <c r="CX206" s="76"/>
      <c r="CY206" s="76">
        <f>+CX206*106250</f>
        <v>0</v>
      </c>
      <c r="CZ206" s="76"/>
      <c r="DA206" s="76">
        <f>+CZ206*34500</f>
        <v>0</v>
      </c>
      <c r="DB206" s="76"/>
      <c r="DC206" s="76">
        <f>+DB206*25000</f>
        <v>0</v>
      </c>
      <c r="DD206" s="219"/>
      <c r="DE206" s="219"/>
      <c r="DF206" s="164"/>
      <c r="DG206" s="116"/>
      <c r="DH206" s="117"/>
      <c r="DI206" s="24"/>
      <c r="DJ206" s="24"/>
      <c r="DK206" s="24"/>
      <c r="DL206" s="24"/>
      <c r="DM206" s="24"/>
      <c r="DN206" s="24"/>
      <c r="DO206" s="24"/>
      <c r="DP206" s="24"/>
      <c r="DQ206" s="24"/>
      <c r="DR206" s="24"/>
      <c r="DS206" s="24"/>
      <c r="DT206" s="24"/>
      <c r="DU206" s="24"/>
    </row>
    <row r="207" spans="1:125" s="8" customFormat="1" ht="36" x14ac:dyDescent="0.2">
      <c r="A207" s="77">
        <v>41288</v>
      </c>
      <c r="B207" s="80" t="s">
        <v>2778</v>
      </c>
      <c r="C207" s="81" t="s">
        <v>1344</v>
      </c>
      <c r="D207" s="81" t="s">
        <v>2846</v>
      </c>
      <c r="E207" s="75" t="str">
        <f>VLOOKUP(B207&amp;C207,Divipola!$C$2:$F$1138,4,FALSE)</f>
        <v>85001</v>
      </c>
      <c r="F207" s="90"/>
      <c r="G207" s="90"/>
      <c r="H207" s="90"/>
      <c r="I207" s="90"/>
      <c r="J207" s="90"/>
      <c r="K207" s="90"/>
      <c r="L207" s="90"/>
      <c r="M207" s="90"/>
      <c r="N207" s="90"/>
      <c r="O207" s="90"/>
      <c r="P207" s="90"/>
      <c r="Q207" s="90"/>
      <c r="R207" s="90"/>
      <c r="S207" s="90"/>
      <c r="T207" s="90"/>
      <c r="U207" s="128">
        <v>4</v>
      </c>
      <c r="V207" s="89"/>
      <c r="W207" s="96">
        <v>0</v>
      </c>
      <c r="X207" s="71">
        <f>CU207</f>
        <v>0</v>
      </c>
      <c r="Y207" s="71">
        <f>CY207</f>
        <v>0</v>
      </c>
      <c r="Z207" s="71">
        <f>DA207+DC207+DE207</f>
        <v>0</v>
      </c>
      <c r="AA207" s="71">
        <f>CW207</f>
        <v>0</v>
      </c>
      <c r="AB207" s="71"/>
      <c r="AC207" s="71">
        <v>0</v>
      </c>
      <c r="AD207" s="71">
        <f>W207+X207+Y207+Z207+AA207+AB207+AC207</f>
        <v>0</v>
      </c>
      <c r="AE207" s="72">
        <v>0</v>
      </c>
      <c r="AF207" s="5"/>
      <c r="AG207" s="6"/>
      <c r="AH207" s="27" t="s">
        <v>3392</v>
      </c>
      <c r="AI207" s="44" t="s">
        <v>3393</v>
      </c>
      <c r="AJ207" s="26"/>
      <c r="AK207" s="5"/>
      <c r="AL207" s="82" t="s">
        <v>3058</v>
      </c>
      <c r="AM207" s="76"/>
      <c r="AN207" s="76"/>
      <c r="AO207" s="76"/>
      <c r="AP207" s="76"/>
      <c r="AQ207" s="76"/>
      <c r="AR207" s="76"/>
      <c r="AS207" s="76"/>
      <c r="AT207" s="76"/>
      <c r="AU207" s="76"/>
      <c r="AV207" s="76"/>
      <c r="AW207" s="76"/>
      <c r="AX207" s="76">
        <f>+AW207*600000</f>
        <v>0</v>
      </c>
      <c r="AY207" s="76"/>
      <c r="AZ207" s="76">
        <f>+AY207*70000</f>
        <v>0</v>
      </c>
      <c r="BA207" s="76"/>
      <c r="BB207" s="76"/>
      <c r="BC207" s="76"/>
      <c r="BD207" s="76">
        <f>+BC207*30000</f>
        <v>0</v>
      </c>
      <c r="BE207" s="76"/>
      <c r="BF207" s="76"/>
      <c r="BG207" s="76"/>
      <c r="BH207" s="76"/>
      <c r="BI207" s="76"/>
      <c r="BJ207" s="76"/>
      <c r="BK207" s="76"/>
      <c r="BL207" s="76">
        <f>+BK207*31500</f>
        <v>0</v>
      </c>
      <c r="BM207" s="76"/>
      <c r="BN207" s="76"/>
      <c r="BO207" s="76"/>
      <c r="BP207" s="76"/>
      <c r="BQ207" s="76"/>
      <c r="BR207" s="76"/>
      <c r="BS207" s="76"/>
      <c r="BT207" s="76"/>
      <c r="BU207" s="76"/>
      <c r="BV207" s="76"/>
      <c r="BW207" s="76"/>
      <c r="BX207" s="76"/>
      <c r="BY207" s="76"/>
      <c r="BZ207" s="76"/>
      <c r="CA207" s="76"/>
      <c r="CB207" s="76"/>
      <c r="CC207" s="76"/>
      <c r="CD207" s="76"/>
      <c r="CE207" s="76"/>
      <c r="CF207" s="76">
        <f>+CE207*28000</f>
        <v>0</v>
      </c>
      <c r="CG207" s="76"/>
      <c r="CH207" s="76">
        <f>+CG207*22500</f>
        <v>0</v>
      </c>
      <c r="CI207" s="76"/>
      <c r="CJ207" s="76">
        <f>+CI207*26000</f>
        <v>0</v>
      </c>
      <c r="CK207" s="76"/>
      <c r="CL207" s="76"/>
      <c r="CM207" s="76"/>
      <c r="CN207" s="76">
        <f>+CM207*22000</f>
        <v>0</v>
      </c>
      <c r="CO207" s="76"/>
      <c r="CP207" s="76">
        <f>+CO207*46000</f>
        <v>0</v>
      </c>
      <c r="CQ207" s="76"/>
      <c r="CR207" s="76">
        <f>+CQ207*49000</f>
        <v>0</v>
      </c>
      <c r="CS207" s="76"/>
      <c r="CT207" s="76"/>
      <c r="CU207" s="56">
        <f>AN207+AP207+AR207+AT207+AV207+AX207+AZ207+BB207+BD207+BF207+BH207+BJ207+BL207+BN207+BP207+BR207+BT207+BV207+BX207+BZ207+CB207+CD207+CF207+CH207+CJ207+CL207+CN207+CP207+CR207+CT207</f>
        <v>0</v>
      </c>
      <c r="CV207" s="76"/>
      <c r="CW207" s="76">
        <f>+CV207*1100</f>
        <v>0</v>
      </c>
      <c r="CX207" s="76"/>
      <c r="CY207" s="76">
        <f>+CX207*106250</f>
        <v>0</v>
      </c>
      <c r="CZ207" s="76"/>
      <c r="DA207" s="76">
        <f>+CZ207*34500</f>
        <v>0</v>
      </c>
      <c r="DB207" s="76"/>
      <c r="DC207" s="76">
        <f>+DB207*25000</f>
        <v>0</v>
      </c>
      <c r="DD207" s="219"/>
      <c r="DE207" s="307"/>
      <c r="DF207" s="164"/>
      <c r="DG207" s="116"/>
      <c r="DH207" s="117"/>
      <c r="DI207" s="24"/>
      <c r="DJ207" s="24"/>
      <c r="DK207" s="24"/>
      <c r="DL207" s="24"/>
      <c r="DM207" s="24"/>
      <c r="DN207" s="24"/>
      <c r="DO207" s="24"/>
      <c r="DP207" s="24"/>
      <c r="DQ207" s="24"/>
      <c r="DR207" s="24"/>
      <c r="DS207" s="24"/>
      <c r="DT207" s="24"/>
      <c r="DU207" s="24"/>
    </row>
    <row r="208" spans="1:125" s="8" customFormat="1" ht="409.5" x14ac:dyDescent="0.2">
      <c r="A208" s="77">
        <v>41288</v>
      </c>
      <c r="B208" s="78" t="s">
        <v>2772</v>
      </c>
      <c r="C208" s="75" t="s">
        <v>1331</v>
      </c>
      <c r="D208" s="81" t="s">
        <v>2846</v>
      </c>
      <c r="E208" s="75" t="str">
        <f>VLOOKUP(B208&amp;C208,Divipola!$C$2:$F$1138,4,FALSE)</f>
        <v>25214</v>
      </c>
      <c r="F208" s="87"/>
      <c r="G208" s="87"/>
      <c r="H208" s="87"/>
      <c r="I208" s="87"/>
      <c r="J208" s="87"/>
      <c r="K208" s="87"/>
      <c r="L208" s="87"/>
      <c r="M208" s="87"/>
      <c r="N208" s="87"/>
      <c r="O208" s="87"/>
      <c r="P208" s="87"/>
      <c r="Q208" s="87"/>
      <c r="R208" s="87"/>
      <c r="S208" s="87"/>
      <c r="T208" s="87"/>
      <c r="U208" s="127">
        <v>77.17</v>
      </c>
      <c r="V208" s="89"/>
      <c r="W208" s="96">
        <v>0</v>
      </c>
      <c r="X208" s="71">
        <f>CU208</f>
        <v>24929676</v>
      </c>
      <c r="Y208" s="71">
        <f>CY208</f>
        <v>6309960</v>
      </c>
      <c r="Z208" s="71">
        <f>DA208+DC208+DE208</f>
        <v>0</v>
      </c>
      <c r="AA208" s="71">
        <f>CW208</f>
        <v>0</v>
      </c>
      <c r="AB208" s="71">
        <f>2000*686.72+50*39173.2+200*20999.48+200*6375.36+200*20875.36+200*8999.28+30*7499.4+40*3107499.64+165*167999.32+160*203000+30*245998.88</f>
        <v>206886817.80000004</v>
      </c>
      <c r="AC208" s="71">
        <v>101000000</v>
      </c>
      <c r="AD208" s="71">
        <f>W208+X208+Y208+Z208+AA208+AB208+AC208</f>
        <v>339126453.80000007</v>
      </c>
      <c r="AE208" s="72">
        <v>0</v>
      </c>
      <c r="AF208" s="5"/>
      <c r="AG208" s="6"/>
      <c r="AH208" s="27" t="s">
        <v>3390</v>
      </c>
      <c r="AI208" s="44" t="s">
        <v>3391</v>
      </c>
      <c r="AJ208" s="26"/>
      <c r="AK208" s="5"/>
      <c r="AL208" s="82" t="s">
        <v>5175</v>
      </c>
      <c r="AM208" s="76"/>
      <c r="AN208" s="76"/>
      <c r="AO208" s="76"/>
      <c r="AP208" s="76"/>
      <c r="AQ208" s="76"/>
      <c r="AR208" s="76"/>
      <c r="AS208" s="76"/>
      <c r="AT208" s="76"/>
      <c r="AU208" s="76"/>
      <c r="AV208" s="76"/>
      <c r="AW208" s="76"/>
      <c r="AX208" s="76">
        <f>+AW208*600000</f>
        <v>0</v>
      </c>
      <c r="AY208" s="86">
        <v>180</v>
      </c>
      <c r="AZ208" s="86">
        <f>+AY208*69999.04</f>
        <v>12599827.199999999</v>
      </c>
      <c r="BA208" s="76"/>
      <c r="BB208" s="76"/>
      <c r="BC208" s="76"/>
      <c r="BD208" s="76">
        <f>+BC208*30000</f>
        <v>0</v>
      </c>
      <c r="BE208" s="76"/>
      <c r="BF208" s="76"/>
      <c r="BG208" s="76"/>
      <c r="BH208" s="76"/>
      <c r="BI208" s="76"/>
      <c r="BJ208" s="76"/>
      <c r="BK208" s="76"/>
      <c r="BL208" s="76">
        <f>+BK208*31500</f>
        <v>0</v>
      </c>
      <c r="BM208" s="76"/>
      <c r="BN208" s="76"/>
      <c r="BO208" s="76"/>
      <c r="BP208" s="76"/>
      <c r="BQ208" s="76"/>
      <c r="BR208" s="76"/>
      <c r="BS208" s="76"/>
      <c r="BT208" s="76"/>
      <c r="BU208" s="76"/>
      <c r="BV208" s="76"/>
      <c r="BW208" s="76"/>
      <c r="BX208" s="76"/>
      <c r="BY208" s="76"/>
      <c r="BZ208" s="76"/>
      <c r="CA208" s="76"/>
      <c r="CB208" s="76"/>
      <c r="CC208" s="76"/>
      <c r="CD208" s="76"/>
      <c r="CE208" s="76"/>
      <c r="CF208" s="76">
        <f>+CE208*28000</f>
        <v>0</v>
      </c>
      <c r="CG208" s="76"/>
      <c r="CH208" s="76">
        <f>+CG208*22500</f>
        <v>0</v>
      </c>
      <c r="CI208" s="86">
        <v>180</v>
      </c>
      <c r="CJ208" s="86">
        <f>+CI208*22499.36</f>
        <v>4049884.8000000003</v>
      </c>
      <c r="CK208" s="76"/>
      <c r="CL208" s="76"/>
      <c r="CM208" s="76"/>
      <c r="CN208" s="76">
        <f>+CM208*22000</f>
        <v>0</v>
      </c>
      <c r="CO208" s="86">
        <v>180</v>
      </c>
      <c r="CP208" s="86">
        <f>+CO208*45999.8</f>
        <v>8279964.0000000009</v>
      </c>
      <c r="CQ208" s="76"/>
      <c r="CR208" s="76">
        <f>+CQ208*49000</f>
        <v>0</v>
      </c>
      <c r="CS208" s="76"/>
      <c r="CT208" s="76"/>
      <c r="CU208" s="56">
        <f>AN208+AP208+AR208+AT208+AV208+AX208+AZ208+BB208+BD208+BF208+BH208+BJ208+BL208+BN208+BP208+BR208+BT208+BV208+BX208+BZ208+CB208+CD208+CF208+CH208+CJ208+CL208+CN208+CP208+CR208+CT208</f>
        <v>24929676</v>
      </c>
      <c r="CV208" s="76"/>
      <c r="CW208" s="76">
        <f>+CV208*1100</f>
        <v>0</v>
      </c>
      <c r="CX208" s="86">
        <v>60</v>
      </c>
      <c r="CY208" s="86">
        <f>+CX208*105166</f>
        <v>6309960</v>
      </c>
      <c r="CZ208" s="76"/>
      <c r="DA208" s="76">
        <f>+CZ208*34500</f>
        <v>0</v>
      </c>
      <c r="DB208" s="76"/>
      <c r="DC208" s="76">
        <f>+DB208*25000</f>
        <v>0</v>
      </c>
      <c r="DD208" s="215"/>
      <c r="DE208" s="308"/>
      <c r="DF208" s="166" t="s">
        <v>3247</v>
      </c>
      <c r="DG208" s="192" t="s">
        <v>5176</v>
      </c>
      <c r="DH208" s="117"/>
      <c r="DI208" s="24"/>
      <c r="DJ208" s="24"/>
      <c r="DK208" s="24"/>
      <c r="DL208" s="24"/>
      <c r="DM208" s="24"/>
      <c r="DN208" s="24"/>
      <c r="DO208" s="24"/>
      <c r="DP208" s="24"/>
      <c r="DQ208" s="24"/>
      <c r="DR208" s="24"/>
      <c r="DS208" s="24"/>
      <c r="DT208" s="24"/>
      <c r="DU208" s="24"/>
    </row>
    <row r="209" spans="1:125" s="8" customFormat="1" ht="36" x14ac:dyDescent="0.2">
      <c r="A209" s="77">
        <v>41288</v>
      </c>
      <c r="B209" s="78" t="s">
        <v>2772</v>
      </c>
      <c r="C209" s="75" t="s">
        <v>1064</v>
      </c>
      <c r="D209" s="81" t="s">
        <v>2846</v>
      </c>
      <c r="E209" s="75" t="str">
        <f>VLOOKUP(B209&amp;C209,Divipola!$C$2:$F$1138,4,FALSE)</f>
        <v>25295</v>
      </c>
      <c r="F209" s="87"/>
      <c r="G209" s="87"/>
      <c r="H209" s="87"/>
      <c r="I209" s="87"/>
      <c r="J209" s="87"/>
      <c r="K209" s="87"/>
      <c r="L209" s="87"/>
      <c r="M209" s="87"/>
      <c r="N209" s="87"/>
      <c r="O209" s="87"/>
      <c r="P209" s="87"/>
      <c r="Q209" s="87"/>
      <c r="R209" s="87"/>
      <c r="S209" s="87"/>
      <c r="T209" s="87"/>
      <c r="U209" s="127">
        <v>1.5</v>
      </c>
      <c r="V209" s="89"/>
      <c r="W209" s="96">
        <v>0</v>
      </c>
      <c r="X209" s="71">
        <f>CU209</f>
        <v>0</v>
      </c>
      <c r="Y209" s="71">
        <f>CY209</f>
        <v>0</v>
      </c>
      <c r="Z209" s="71">
        <f>DA209+DC209+DE209</f>
        <v>0</v>
      </c>
      <c r="AA209" s="71">
        <f>CW209</f>
        <v>0</v>
      </c>
      <c r="AB209" s="71"/>
      <c r="AC209" s="71">
        <v>0</v>
      </c>
      <c r="AD209" s="71">
        <f>W209+X209+Y209+Z209+AA209+AB209+AC209</f>
        <v>0</v>
      </c>
      <c r="AE209" s="72">
        <v>0</v>
      </c>
      <c r="AF209" s="5"/>
      <c r="AG209" s="6"/>
      <c r="AH209" s="27" t="s">
        <v>3392</v>
      </c>
      <c r="AI209" s="44" t="s">
        <v>3393</v>
      </c>
      <c r="AJ209" s="26"/>
      <c r="AK209" s="5"/>
      <c r="AL209" s="82" t="s">
        <v>3055</v>
      </c>
      <c r="AM209" s="76"/>
      <c r="AN209" s="76"/>
      <c r="AO209" s="76"/>
      <c r="AP209" s="76"/>
      <c r="AQ209" s="76"/>
      <c r="AR209" s="76"/>
      <c r="AS209" s="76"/>
      <c r="AT209" s="76"/>
      <c r="AU209" s="76"/>
      <c r="AV209" s="76"/>
      <c r="AW209" s="76"/>
      <c r="AX209" s="76">
        <f>+AW209*600000</f>
        <v>0</v>
      </c>
      <c r="AY209" s="76"/>
      <c r="AZ209" s="76">
        <f>+AY209*70000</f>
        <v>0</v>
      </c>
      <c r="BA209" s="76"/>
      <c r="BB209" s="76"/>
      <c r="BC209" s="76"/>
      <c r="BD209" s="76">
        <f>+BC209*30000</f>
        <v>0</v>
      </c>
      <c r="BE209" s="76"/>
      <c r="BF209" s="76"/>
      <c r="BG209" s="76"/>
      <c r="BH209" s="76"/>
      <c r="BI209" s="76"/>
      <c r="BJ209" s="76"/>
      <c r="BK209" s="76"/>
      <c r="BL209" s="76">
        <f>+BK209*31500</f>
        <v>0</v>
      </c>
      <c r="BM209" s="76"/>
      <c r="BN209" s="76"/>
      <c r="BO209" s="76"/>
      <c r="BP209" s="76"/>
      <c r="BQ209" s="76"/>
      <c r="BR209" s="76"/>
      <c r="BS209" s="76"/>
      <c r="BT209" s="76"/>
      <c r="BU209" s="76"/>
      <c r="BV209" s="76"/>
      <c r="BW209" s="76"/>
      <c r="BX209" s="76"/>
      <c r="BY209" s="76"/>
      <c r="BZ209" s="76"/>
      <c r="CA209" s="76"/>
      <c r="CB209" s="76"/>
      <c r="CC209" s="76"/>
      <c r="CD209" s="76"/>
      <c r="CE209" s="76"/>
      <c r="CF209" s="76">
        <f>+CE209*28000</f>
        <v>0</v>
      </c>
      <c r="CG209" s="76"/>
      <c r="CH209" s="76">
        <f>+CG209*22500</f>
        <v>0</v>
      </c>
      <c r="CI209" s="76"/>
      <c r="CJ209" s="76">
        <f>+CI209*26000</f>
        <v>0</v>
      </c>
      <c r="CK209" s="76"/>
      <c r="CL209" s="76"/>
      <c r="CM209" s="76"/>
      <c r="CN209" s="76">
        <f>+CM209*22000</f>
        <v>0</v>
      </c>
      <c r="CO209" s="76"/>
      <c r="CP209" s="76">
        <f>+CO209*46000</f>
        <v>0</v>
      </c>
      <c r="CQ209" s="76"/>
      <c r="CR209" s="76">
        <f>+CQ209*49000</f>
        <v>0</v>
      </c>
      <c r="CS209" s="76"/>
      <c r="CT209" s="76"/>
      <c r="CU209" s="56">
        <f>AN209+AP209+AR209+AT209+AV209+AX209+AZ209+BB209+BD209+BF209+BH209+BJ209+BL209+BN209+BP209+BR209+BT209+BV209+BX209+BZ209+CB209+CD209+CF209+CH209+CJ209+CL209+CN209+CP209+CR209+CT209</f>
        <v>0</v>
      </c>
      <c r="CV209" s="76"/>
      <c r="CW209" s="76">
        <f>+CV209*1100</f>
        <v>0</v>
      </c>
      <c r="CX209" s="76"/>
      <c r="CY209" s="76">
        <f>+CX209*106250</f>
        <v>0</v>
      </c>
      <c r="CZ209" s="76"/>
      <c r="DA209" s="76">
        <f>+CZ209*34500</f>
        <v>0</v>
      </c>
      <c r="DB209" s="76"/>
      <c r="DC209" s="76">
        <f>+DB209*25000</f>
        <v>0</v>
      </c>
      <c r="DD209" s="219"/>
      <c r="DE209" s="219"/>
      <c r="DF209" s="164"/>
      <c r="DG209" s="116"/>
      <c r="DH209" s="117"/>
      <c r="DI209" s="24"/>
      <c r="DJ209" s="24"/>
      <c r="DK209" s="24"/>
      <c r="DL209" s="24"/>
      <c r="DM209" s="24"/>
      <c r="DN209" s="24"/>
      <c r="DO209" s="24"/>
      <c r="DP209" s="24"/>
      <c r="DQ209" s="24"/>
      <c r="DR209" s="24"/>
      <c r="DS209" s="24"/>
      <c r="DT209" s="24"/>
      <c r="DU209" s="24"/>
    </row>
    <row r="210" spans="1:125" s="8" customFormat="1" ht="36" x14ac:dyDescent="0.2">
      <c r="A210" s="77">
        <v>41288</v>
      </c>
      <c r="B210" s="80" t="s">
        <v>2772</v>
      </c>
      <c r="C210" s="81" t="s">
        <v>1394</v>
      </c>
      <c r="D210" s="81" t="s">
        <v>2846</v>
      </c>
      <c r="E210" s="75" t="str">
        <f>VLOOKUP(B210&amp;C210,Divipola!$C$2:$F$1138,4,FALSE)</f>
        <v>25297</v>
      </c>
      <c r="F210" s="87"/>
      <c r="G210" s="87"/>
      <c r="H210" s="87"/>
      <c r="I210" s="87"/>
      <c r="J210" s="87"/>
      <c r="K210" s="87"/>
      <c r="L210" s="87"/>
      <c r="M210" s="87"/>
      <c r="N210" s="87"/>
      <c r="O210" s="87"/>
      <c r="P210" s="87"/>
      <c r="Q210" s="87"/>
      <c r="R210" s="87"/>
      <c r="S210" s="87"/>
      <c r="T210" s="87"/>
      <c r="U210" s="127">
        <v>4.5</v>
      </c>
      <c r="V210" s="89"/>
      <c r="W210" s="96">
        <v>0</v>
      </c>
      <c r="X210" s="71">
        <f>CU210</f>
        <v>0</v>
      </c>
      <c r="Y210" s="71">
        <f>CY210</f>
        <v>0</v>
      </c>
      <c r="Z210" s="71">
        <f>DA210+DC210+DE210</f>
        <v>0</v>
      </c>
      <c r="AA210" s="71">
        <f>CW210</f>
        <v>0</v>
      </c>
      <c r="AB210" s="71"/>
      <c r="AC210" s="71">
        <v>0</v>
      </c>
      <c r="AD210" s="71">
        <f>W210+X210+Y210+Z210+AA210+AB210+AC210</f>
        <v>0</v>
      </c>
      <c r="AE210" s="72">
        <v>0</v>
      </c>
      <c r="AF210" s="5"/>
      <c r="AG210" s="6"/>
      <c r="AH210" s="27" t="s">
        <v>3392</v>
      </c>
      <c r="AI210" s="44" t="s">
        <v>3393</v>
      </c>
      <c r="AJ210" s="26"/>
      <c r="AK210" s="5"/>
      <c r="AL210" s="82" t="s">
        <v>3055</v>
      </c>
      <c r="AM210" s="76"/>
      <c r="AN210" s="76"/>
      <c r="AO210" s="76"/>
      <c r="AP210" s="76"/>
      <c r="AQ210" s="76"/>
      <c r="AR210" s="76"/>
      <c r="AS210" s="76"/>
      <c r="AT210" s="76"/>
      <c r="AU210" s="76"/>
      <c r="AV210" s="76"/>
      <c r="AW210" s="76"/>
      <c r="AX210" s="76">
        <f>+AW210*600000</f>
        <v>0</v>
      </c>
      <c r="AY210" s="76"/>
      <c r="AZ210" s="76">
        <f>+AY210*70000</f>
        <v>0</v>
      </c>
      <c r="BA210" s="76"/>
      <c r="BB210" s="76"/>
      <c r="BC210" s="76"/>
      <c r="BD210" s="76">
        <f>+BC210*30000</f>
        <v>0</v>
      </c>
      <c r="BE210" s="76"/>
      <c r="BF210" s="76"/>
      <c r="BG210" s="76"/>
      <c r="BH210" s="76"/>
      <c r="BI210" s="76"/>
      <c r="BJ210" s="76"/>
      <c r="BK210" s="76"/>
      <c r="BL210" s="76">
        <f>+BK210*31500</f>
        <v>0</v>
      </c>
      <c r="BM210" s="76"/>
      <c r="BN210" s="76"/>
      <c r="BO210" s="76"/>
      <c r="BP210" s="76"/>
      <c r="BQ210" s="76"/>
      <c r="BR210" s="76"/>
      <c r="BS210" s="76"/>
      <c r="BT210" s="76"/>
      <c r="BU210" s="76"/>
      <c r="BV210" s="76"/>
      <c r="BW210" s="76"/>
      <c r="BX210" s="76"/>
      <c r="BY210" s="76"/>
      <c r="BZ210" s="76"/>
      <c r="CA210" s="76"/>
      <c r="CB210" s="76"/>
      <c r="CC210" s="76"/>
      <c r="CD210" s="76"/>
      <c r="CE210" s="76"/>
      <c r="CF210" s="76">
        <f>+CE210*28000</f>
        <v>0</v>
      </c>
      <c r="CG210" s="76"/>
      <c r="CH210" s="76">
        <f>+CG210*22500</f>
        <v>0</v>
      </c>
      <c r="CI210" s="76"/>
      <c r="CJ210" s="76">
        <f>+CI210*26000</f>
        <v>0</v>
      </c>
      <c r="CK210" s="76"/>
      <c r="CL210" s="76"/>
      <c r="CM210" s="76"/>
      <c r="CN210" s="76">
        <f>+CM210*22000</f>
        <v>0</v>
      </c>
      <c r="CO210" s="76"/>
      <c r="CP210" s="76">
        <f>+CO210*46000</f>
        <v>0</v>
      </c>
      <c r="CQ210" s="76"/>
      <c r="CR210" s="76">
        <f>+CQ210*49000</f>
        <v>0</v>
      </c>
      <c r="CS210" s="76"/>
      <c r="CT210" s="76"/>
      <c r="CU210" s="56">
        <f>AN210+AP210+AR210+AT210+AV210+AX210+AZ210+BB210+BD210+BF210+BH210+BJ210+BL210+BN210+BP210+BR210+BT210+BV210+BX210+BZ210+CB210+CD210+CF210+CH210+CJ210+CL210+CN210+CP210+CR210+CT210</f>
        <v>0</v>
      </c>
      <c r="CV210" s="76"/>
      <c r="CW210" s="76">
        <f>+CV210*1100</f>
        <v>0</v>
      </c>
      <c r="CX210" s="76"/>
      <c r="CY210" s="76">
        <f>+CX210*106250</f>
        <v>0</v>
      </c>
      <c r="CZ210" s="76"/>
      <c r="DA210" s="76">
        <f>+CZ210*34500</f>
        <v>0</v>
      </c>
      <c r="DB210" s="76"/>
      <c r="DC210" s="76">
        <f>+DB210*25000</f>
        <v>0</v>
      </c>
      <c r="DD210" s="219"/>
      <c r="DE210" s="219"/>
      <c r="DF210" s="164"/>
      <c r="DG210" s="116"/>
      <c r="DH210" s="117"/>
      <c r="DI210" s="24"/>
      <c r="DJ210" s="24"/>
      <c r="DK210" s="24"/>
      <c r="DL210" s="24"/>
      <c r="DM210" s="24"/>
      <c r="DN210" s="24"/>
      <c r="DO210" s="24"/>
      <c r="DP210" s="24"/>
      <c r="DQ210" s="24"/>
      <c r="DR210" s="24"/>
      <c r="DS210" s="24"/>
      <c r="DT210" s="24"/>
      <c r="DU210" s="24"/>
    </row>
    <row r="211" spans="1:125" s="8" customFormat="1" ht="36" x14ac:dyDescent="0.2">
      <c r="A211" s="77">
        <v>41288</v>
      </c>
      <c r="B211" s="80" t="s">
        <v>2772</v>
      </c>
      <c r="C211" s="81" t="s">
        <v>2829</v>
      </c>
      <c r="D211" s="81" t="s">
        <v>2846</v>
      </c>
      <c r="E211" s="75" t="str">
        <f>VLOOKUP(B211&amp;C211,Divipola!$C$2:$F$1138,4,FALSE)</f>
        <v>25372</v>
      </c>
      <c r="F211" s="87"/>
      <c r="G211" s="87"/>
      <c r="H211" s="87"/>
      <c r="I211" s="87"/>
      <c r="J211" s="87"/>
      <c r="K211" s="87"/>
      <c r="L211" s="87"/>
      <c r="M211" s="87"/>
      <c r="N211" s="87"/>
      <c r="O211" s="87"/>
      <c r="P211" s="87"/>
      <c r="Q211" s="87"/>
      <c r="R211" s="87"/>
      <c r="S211" s="87"/>
      <c r="T211" s="87"/>
      <c r="U211" s="127">
        <v>9</v>
      </c>
      <c r="V211" s="89"/>
      <c r="W211" s="96">
        <v>0</v>
      </c>
      <c r="X211" s="71">
        <f>CU211</f>
        <v>0</v>
      </c>
      <c r="Y211" s="71">
        <f>CY211</f>
        <v>0</v>
      </c>
      <c r="Z211" s="71">
        <f>DA211+DC211+DE211</f>
        <v>0</v>
      </c>
      <c r="AA211" s="71">
        <f>CW211</f>
        <v>0</v>
      </c>
      <c r="AB211" s="71"/>
      <c r="AC211" s="71">
        <v>0</v>
      </c>
      <c r="AD211" s="71">
        <f>W211+X211+Y211+Z211+AA211+AB211+AC211</f>
        <v>0</v>
      </c>
      <c r="AE211" s="72">
        <v>0</v>
      </c>
      <c r="AF211" s="5"/>
      <c r="AG211" s="6"/>
      <c r="AH211" s="27" t="s">
        <v>3392</v>
      </c>
      <c r="AI211" s="44" t="s">
        <v>3393</v>
      </c>
      <c r="AJ211" s="26"/>
      <c r="AK211" s="5"/>
      <c r="AL211" s="82" t="s">
        <v>3055</v>
      </c>
      <c r="AM211" s="76"/>
      <c r="AN211" s="76"/>
      <c r="AO211" s="76"/>
      <c r="AP211" s="76"/>
      <c r="AQ211" s="76"/>
      <c r="AR211" s="76"/>
      <c r="AS211" s="76"/>
      <c r="AT211" s="76"/>
      <c r="AU211" s="76"/>
      <c r="AV211" s="76"/>
      <c r="AW211" s="76"/>
      <c r="AX211" s="76">
        <f>+AW211*600000</f>
        <v>0</v>
      </c>
      <c r="AY211" s="76"/>
      <c r="AZ211" s="76">
        <f>+AY211*70000</f>
        <v>0</v>
      </c>
      <c r="BA211" s="76"/>
      <c r="BB211" s="76"/>
      <c r="BC211" s="76"/>
      <c r="BD211" s="76">
        <f>+BC211*30000</f>
        <v>0</v>
      </c>
      <c r="BE211" s="76"/>
      <c r="BF211" s="76"/>
      <c r="BG211" s="76"/>
      <c r="BH211" s="76"/>
      <c r="BI211" s="76"/>
      <c r="BJ211" s="76"/>
      <c r="BK211" s="76"/>
      <c r="BL211" s="76">
        <f>+BK211*31500</f>
        <v>0</v>
      </c>
      <c r="BM211" s="76"/>
      <c r="BN211" s="76"/>
      <c r="BO211" s="76"/>
      <c r="BP211" s="76"/>
      <c r="BQ211" s="76"/>
      <c r="BR211" s="76"/>
      <c r="BS211" s="76"/>
      <c r="BT211" s="76"/>
      <c r="BU211" s="76"/>
      <c r="BV211" s="76"/>
      <c r="BW211" s="76"/>
      <c r="BX211" s="76"/>
      <c r="BY211" s="76"/>
      <c r="BZ211" s="76"/>
      <c r="CA211" s="76"/>
      <c r="CB211" s="76"/>
      <c r="CC211" s="76"/>
      <c r="CD211" s="76"/>
      <c r="CE211" s="76"/>
      <c r="CF211" s="76">
        <f>+CE211*28000</f>
        <v>0</v>
      </c>
      <c r="CG211" s="76"/>
      <c r="CH211" s="76">
        <f>+CG211*22500</f>
        <v>0</v>
      </c>
      <c r="CI211" s="76"/>
      <c r="CJ211" s="76">
        <f>+CI211*26000</f>
        <v>0</v>
      </c>
      <c r="CK211" s="76"/>
      <c r="CL211" s="76"/>
      <c r="CM211" s="76"/>
      <c r="CN211" s="76">
        <f>+CM211*22000</f>
        <v>0</v>
      </c>
      <c r="CO211" s="76"/>
      <c r="CP211" s="76">
        <f>+CO211*46000</f>
        <v>0</v>
      </c>
      <c r="CQ211" s="76"/>
      <c r="CR211" s="76">
        <f>+CQ211*49000</f>
        <v>0</v>
      </c>
      <c r="CS211" s="76"/>
      <c r="CT211" s="76"/>
      <c r="CU211" s="56">
        <f>AN211+AP211+AR211+AT211+AV211+AX211+AZ211+BB211+BD211+BF211+BH211+BJ211+BL211+BN211+BP211+BR211+BT211+BV211+BX211+BZ211+CB211+CD211+CF211+CH211+CJ211+CL211+CN211+CP211+CR211+CT211</f>
        <v>0</v>
      </c>
      <c r="CV211" s="76"/>
      <c r="CW211" s="76">
        <f>+CV211*1100</f>
        <v>0</v>
      </c>
      <c r="CX211" s="76"/>
      <c r="CY211" s="76">
        <f>+CX211*106250</f>
        <v>0</v>
      </c>
      <c r="CZ211" s="76"/>
      <c r="DA211" s="76">
        <f>+CZ211*34500</f>
        <v>0</v>
      </c>
      <c r="DB211" s="76"/>
      <c r="DC211" s="76">
        <f>+DB211*25000</f>
        <v>0</v>
      </c>
      <c r="DD211" s="219"/>
      <c r="DE211" s="219"/>
      <c r="DF211" s="164"/>
      <c r="DG211" s="116"/>
      <c r="DH211" s="117"/>
      <c r="DI211" s="24"/>
      <c r="DJ211" s="24"/>
      <c r="DK211" s="24"/>
      <c r="DL211" s="24"/>
      <c r="DM211" s="24"/>
      <c r="DN211" s="24"/>
      <c r="DO211" s="24"/>
      <c r="DP211" s="24"/>
      <c r="DQ211" s="24"/>
      <c r="DR211" s="24"/>
      <c r="DS211" s="24"/>
      <c r="DT211" s="24"/>
      <c r="DU211" s="24"/>
    </row>
    <row r="212" spans="1:125" s="8" customFormat="1" ht="84" x14ac:dyDescent="0.2">
      <c r="A212" s="77">
        <v>41288</v>
      </c>
      <c r="B212" s="78" t="s">
        <v>2772</v>
      </c>
      <c r="C212" s="75" t="s">
        <v>1110</v>
      </c>
      <c r="D212" s="81" t="s">
        <v>2846</v>
      </c>
      <c r="E212" s="75" t="str">
        <f>VLOOKUP(B212&amp;C212,Divipola!$C$2:$F$1138,4,FALSE)</f>
        <v>25436</v>
      </c>
      <c r="F212" s="87"/>
      <c r="G212" s="87"/>
      <c r="H212" s="87"/>
      <c r="I212" s="87"/>
      <c r="J212" s="87"/>
      <c r="K212" s="87"/>
      <c r="L212" s="87"/>
      <c r="M212" s="87"/>
      <c r="N212" s="87"/>
      <c r="O212" s="87"/>
      <c r="P212" s="87"/>
      <c r="Q212" s="87"/>
      <c r="R212" s="87"/>
      <c r="S212" s="87"/>
      <c r="T212" s="87"/>
      <c r="U212" s="127">
        <v>1</v>
      </c>
      <c r="V212" s="89"/>
      <c r="W212" s="96">
        <v>0</v>
      </c>
      <c r="X212" s="71">
        <f>CU212</f>
        <v>0</v>
      </c>
      <c r="Y212" s="71">
        <f>CY212</f>
        <v>0</v>
      </c>
      <c r="Z212" s="71">
        <f>DA212+DC212+DE212</f>
        <v>0</v>
      </c>
      <c r="AA212" s="71">
        <f>CW212</f>
        <v>0</v>
      </c>
      <c r="AB212" s="71"/>
      <c r="AC212" s="71">
        <v>0</v>
      </c>
      <c r="AD212" s="71">
        <f>W212+X212+Y212+Z212+AA212+AB212+AC212</f>
        <v>0</v>
      </c>
      <c r="AE212" s="72">
        <v>0</v>
      </c>
      <c r="AF212" s="5"/>
      <c r="AG212" s="6"/>
      <c r="AH212" s="27" t="s">
        <v>3392</v>
      </c>
      <c r="AI212" s="44" t="s">
        <v>3393</v>
      </c>
      <c r="AJ212" s="26"/>
      <c r="AK212" s="5"/>
      <c r="AL212" s="82" t="s">
        <v>3064</v>
      </c>
      <c r="AM212" s="76"/>
      <c r="AN212" s="76"/>
      <c r="AO212" s="76"/>
      <c r="AP212" s="76"/>
      <c r="AQ212" s="76"/>
      <c r="AR212" s="76"/>
      <c r="AS212" s="76"/>
      <c r="AT212" s="76"/>
      <c r="AU212" s="76"/>
      <c r="AV212" s="76"/>
      <c r="AW212" s="76"/>
      <c r="AX212" s="76">
        <f>+AW212*600000</f>
        <v>0</v>
      </c>
      <c r="AY212" s="76"/>
      <c r="AZ212" s="76">
        <f>+AY212*70000</f>
        <v>0</v>
      </c>
      <c r="BA212" s="76"/>
      <c r="BB212" s="76"/>
      <c r="BC212" s="76"/>
      <c r="BD212" s="76">
        <f>+BC212*30000</f>
        <v>0</v>
      </c>
      <c r="BE212" s="76"/>
      <c r="BF212" s="76"/>
      <c r="BG212" s="76"/>
      <c r="BH212" s="76"/>
      <c r="BI212" s="76"/>
      <c r="BJ212" s="76"/>
      <c r="BK212" s="76"/>
      <c r="BL212" s="76">
        <f>+BK212*31500</f>
        <v>0</v>
      </c>
      <c r="BM212" s="76"/>
      <c r="BN212" s="76"/>
      <c r="BO212" s="76"/>
      <c r="BP212" s="76"/>
      <c r="BQ212" s="76"/>
      <c r="BR212" s="76"/>
      <c r="BS212" s="76"/>
      <c r="BT212" s="76"/>
      <c r="BU212" s="76"/>
      <c r="BV212" s="76"/>
      <c r="BW212" s="76"/>
      <c r="BX212" s="76"/>
      <c r="BY212" s="76"/>
      <c r="BZ212" s="76"/>
      <c r="CA212" s="76"/>
      <c r="CB212" s="76"/>
      <c r="CC212" s="76"/>
      <c r="CD212" s="76"/>
      <c r="CE212" s="76"/>
      <c r="CF212" s="76">
        <f>+CE212*28000</f>
        <v>0</v>
      </c>
      <c r="CG212" s="76"/>
      <c r="CH212" s="76">
        <f>+CG212*22500</f>
        <v>0</v>
      </c>
      <c r="CI212" s="76"/>
      <c r="CJ212" s="76">
        <f>+CI212*26000</f>
        <v>0</v>
      </c>
      <c r="CK212" s="76"/>
      <c r="CL212" s="76"/>
      <c r="CM212" s="76"/>
      <c r="CN212" s="76">
        <f>+CM212*22000</f>
        <v>0</v>
      </c>
      <c r="CO212" s="76"/>
      <c r="CP212" s="76">
        <f>+CO212*46000</f>
        <v>0</v>
      </c>
      <c r="CQ212" s="76"/>
      <c r="CR212" s="76">
        <f>+CQ212*49000</f>
        <v>0</v>
      </c>
      <c r="CS212" s="76"/>
      <c r="CT212" s="76"/>
      <c r="CU212" s="56">
        <f>AN212+AP212+AR212+AT212+AV212+AX212+AZ212+BB212+BD212+BF212+BH212+BJ212+BL212+BN212+BP212+BR212+BT212+BV212+BX212+BZ212+CB212+CD212+CF212+CH212+CJ212+CL212+CN212+CP212+CR212+CT212</f>
        <v>0</v>
      </c>
      <c r="CV212" s="76"/>
      <c r="CW212" s="76">
        <f>+CV212*1100</f>
        <v>0</v>
      </c>
      <c r="CX212" s="76"/>
      <c r="CY212" s="76">
        <f>+CX212*106250</f>
        <v>0</v>
      </c>
      <c r="CZ212" s="76"/>
      <c r="DA212" s="76">
        <f>+CZ212*34500</f>
        <v>0</v>
      </c>
      <c r="DB212" s="76"/>
      <c r="DC212" s="76">
        <f>+DB212*25000</f>
        <v>0</v>
      </c>
      <c r="DD212" s="219"/>
      <c r="DE212" s="219"/>
      <c r="DF212" s="164"/>
      <c r="DG212" s="116"/>
      <c r="DH212" s="117"/>
      <c r="DI212" s="24"/>
      <c r="DJ212" s="24"/>
      <c r="DK212" s="24"/>
      <c r="DL212" s="24"/>
      <c r="DM212" s="24"/>
      <c r="DN212" s="24"/>
      <c r="DO212" s="24"/>
      <c r="DP212" s="24"/>
      <c r="DQ212" s="24"/>
      <c r="DR212" s="24"/>
      <c r="DS212" s="24"/>
      <c r="DT212" s="24"/>
      <c r="DU212" s="24"/>
    </row>
    <row r="213" spans="1:125" s="8" customFormat="1" ht="72" x14ac:dyDescent="0.2">
      <c r="A213" s="77">
        <v>41288</v>
      </c>
      <c r="B213" s="78" t="s">
        <v>2772</v>
      </c>
      <c r="C213" s="75" t="s">
        <v>2132</v>
      </c>
      <c r="D213" s="81" t="s">
        <v>2846</v>
      </c>
      <c r="E213" s="75" t="str">
        <f>VLOOKUP(B213&amp;C213,Divipola!$C$2:$F$1138,4,FALSE)</f>
        <v>25740</v>
      </c>
      <c r="F213" s="87"/>
      <c r="G213" s="87"/>
      <c r="H213" s="87"/>
      <c r="I213" s="87"/>
      <c r="J213" s="87"/>
      <c r="K213" s="87"/>
      <c r="L213" s="87"/>
      <c r="M213" s="87"/>
      <c r="N213" s="87"/>
      <c r="O213" s="87"/>
      <c r="P213" s="87"/>
      <c r="Q213" s="87"/>
      <c r="R213" s="87"/>
      <c r="S213" s="87"/>
      <c r="T213" s="87"/>
      <c r="U213" s="127">
        <v>0.5</v>
      </c>
      <c r="V213" s="89"/>
      <c r="W213" s="96">
        <v>0</v>
      </c>
      <c r="X213" s="71">
        <f>CU213</f>
        <v>0</v>
      </c>
      <c r="Y213" s="71">
        <f>CY213</f>
        <v>0</v>
      </c>
      <c r="Z213" s="71">
        <f>DA213+DC213+DE213</f>
        <v>0</v>
      </c>
      <c r="AA213" s="71">
        <f>CW213</f>
        <v>0</v>
      </c>
      <c r="AB213" s="71"/>
      <c r="AC213" s="71">
        <v>0</v>
      </c>
      <c r="AD213" s="71">
        <f>W213+X213+Y213+Z213+AA213+AB213+AC213</f>
        <v>0</v>
      </c>
      <c r="AE213" s="72">
        <v>0</v>
      </c>
      <c r="AF213" s="5"/>
      <c r="AG213" s="6"/>
      <c r="AH213" s="27" t="s">
        <v>3392</v>
      </c>
      <c r="AI213" s="44" t="s">
        <v>3393</v>
      </c>
      <c r="AJ213" s="26"/>
      <c r="AK213" s="5"/>
      <c r="AL213" s="82" t="s">
        <v>3063</v>
      </c>
      <c r="AM213" s="76"/>
      <c r="AN213" s="76"/>
      <c r="AO213" s="76"/>
      <c r="AP213" s="76"/>
      <c r="AQ213" s="76"/>
      <c r="AR213" s="76"/>
      <c r="AS213" s="76"/>
      <c r="AT213" s="76"/>
      <c r="AU213" s="76"/>
      <c r="AV213" s="76"/>
      <c r="AW213" s="76"/>
      <c r="AX213" s="76">
        <f>+AW213*600000</f>
        <v>0</v>
      </c>
      <c r="AY213" s="76"/>
      <c r="AZ213" s="76">
        <f>+AY213*70000</f>
        <v>0</v>
      </c>
      <c r="BA213" s="76"/>
      <c r="BB213" s="76"/>
      <c r="BC213" s="76"/>
      <c r="BD213" s="76">
        <f>+BC213*30000</f>
        <v>0</v>
      </c>
      <c r="BE213" s="76"/>
      <c r="BF213" s="76"/>
      <c r="BG213" s="76"/>
      <c r="BH213" s="76"/>
      <c r="BI213" s="76"/>
      <c r="BJ213" s="76"/>
      <c r="BK213" s="76"/>
      <c r="BL213" s="76">
        <f>+BK213*31500</f>
        <v>0</v>
      </c>
      <c r="BM213" s="76"/>
      <c r="BN213" s="76"/>
      <c r="BO213" s="76"/>
      <c r="BP213" s="76"/>
      <c r="BQ213" s="76"/>
      <c r="BR213" s="76"/>
      <c r="BS213" s="76"/>
      <c r="BT213" s="76"/>
      <c r="BU213" s="76"/>
      <c r="BV213" s="76"/>
      <c r="BW213" s="76"/>
      <c r="BX213" s="76"/>
      <c r="BY213" s="76"/>
      <c r="BZ213" s="76"/>
      <c r="CA213" s="76"/>
      <c r="CB213" s="76"/>
      <c r="CC213" s="76"/>
      <c r="CD213" s="76"/>
      <c r="CE213" s="76"/>
      <c r="CF213" s="76">
        <f>+CE213*28000</f>
        <v>0</v>
      </c>
      <c r="CG213" s="76"/>
      <c r="CH213" s="76">
        <f>+CG213*22500</f>
        <v>0</v>
      </c>
      <c r="CI213" s="76"/>
      <c r="CJ213" s="76">
        <f>+CI213*26000</f>
        <v>0</v>
      </c>
      <c r="CK213" s="76"/>
      <c r="CL213" s="76"/>
      <c r="CM213" s="76"/>
      <c r="CN213" s="76">
        <f>+CM213*22000</f>
        <v>0</v>
      </c>
      <c r="CO213" s="76"/>
      <c r="CP213" s="76">
        <f>+CO213*46000</f>
        <v>0</v>
      </c>
      <c r="CQ213" s="76"/>
      <c r="CR213" s="76">
        <f>+CQ213*49000</f>
        <v>0</v>
      </c>
      <c r="CS213" s="76"/>
      <c r="CT213" s="76"/>
      <c r="CU213" s="56">
        <f>AN213+AP213+AR213+AT213+AV213+AX213+AZ213+BB213+BD213+BF213+BH213+BJ213+BL213+BN213+BP213+BR213+BT213+BV213+BX213+BZ213+CB213+CD213+CF213+CH213+CJ213+CL213+CN213+CP213+CR213+CT213</f>
        <v>0</v>
      </c>
      <c r="CV213" s="76"/>
      <c r="CW213" s="76">
        <f>+CV213*1100</f>
        <v>0</v>
      </c>
      <c r="CX213" s="76"/>
      <c r="CY213" s="76">
        <f>+CX213*106250</f>
        <v>0</v>
      </c>
      <c r="CZ213" s="76"/>
      <c r="DA213" s="76">
        <f>+CZ213*34500</f>
        <v>0</v>
      </c>
      <c r="DB213" s="76"/>
      <c r="DC213" s="76">
        <f>+DB213*25000</f>
        <v>0</v>
      </c>
      <c r="DD213" s="219"/>
      <c r="DE213" s="219"/>
      <c r="DF213" s="164"/>
      <c r="DG213" s="116"/>
      <c r="DH213" s="117"/>
      <c r="DI213" s="24"/>
      <c r="DJ213" s="24"/>
      <c r="DK213" s="24"/>
      <c r="DL213" s="24"/>
      <c r="DM213" s="24"/>
      <c r="DN213" s="24"/>
      <c r="DO213" s="24"/>
      <c r="DP213" s="24"/>
      <c r="DQ213" s="24"/>
      <c r="DR213" s="24"/>
      <c r="DS213" s="24"/>
      <c r="DT213" s="24"/>
      <c r="DU213" s="24"/>
    </row>
    <row r="214" spans="1:125" s="8" customFormat="1" ht="36" x14ac:dyDescent="0.2">
      <c r="A214" s="77">
        <v>41288</v>
      </c>
      <c r="B214" s="80" t="s">
        <v>2772</v>
      </c>
      <c r="C214" s="81" t="s">
        <v>2709</v>
      </c>
      <c r="D214" s="81" t="s">
        <v>2846</v>
      </c>
      <c r="E214" s="75" t="str">
        <f>VLOOKUP(B214&amp;C214,Divipola!$C$2:$F$1138,4,FALSE)</f>
        <v>25745</v>
      </c>
      <c r="F214" s="87"/>
      <c r="G214" s="87"/>
      <c r="H214" s="87"/>
      <c r="I214" s="87"/>
      <c r="J214" s="87"/>
      <c r="K214" s="87"/>
      <c r="L214" s="87"/>
      <c r="M214" s="87"/>
      <c r="N214" s="87"/>
      <c r="O214" s="87"/>
      <c r="P214" s="87"/>
      <c r="Q214" s="87"/>
      <c r="R214" s="87"/>
      <c r="S214" s="87"/>
      <c r="T214" s="87"/>
      <c r="U214" s="127">
        <v>3</v>
      </c>
      <c r="V214" s="89"/>
      <c r="W214" s="96">
        <v>0</v>
      </c>
      <c r="X214" s="71">
        <f>CU214</f>
        <v>0</v>
      </c>
      <c r="Y214" s="71">
        <f>CY214</f>
        <v>0</v>
      </c>
      <c r="Z214" s="71">
        <f>DA214+DC214+DE214</f>
        <v>0</v>
      </c>
      <c r="AA214" s="71">
        <f>CW214</f>
        <v>0</v>
      </c>
      <c r="AB214" s="71"/>
      <c r="AC214" s="71">
        <v>0</v>
      </c>
      <c r="AD214" s="71">
        <f>W214+X214+Y214+Z214+AA214+AB214+AC214</f>
        <v>0</v>
      </c>
      <c r="AE214" s="72">
        <v>0</v>
      </c>
      <c r="AF214" s="5"/>
      <c r="AG214" s="6"/>
      <c r="AH214" s="27" t="s">
        <v>3392</v>
      </c>
      <c r="AI214" s="44" t="s">
        <v>3393</v>
      </c>
      <c r="AJ214" s="26"/>
      <c r="AK214" s="5"/>
      <c r="AL214" s="82" t="s">
        <v>3055</v>
      </c>
      <c r="AM214" s="76"/>
      <c r="AN214" s="76"/>
      <c r="AO214" s="76"/>
      <c r="AP214" s="76"/>
      <c r="AQ214" s="76"/>
      <c r="AR214" s="76"/>
      <c r="AS214" s="76"/>
      <c r="AT214" s="76"/>
      <c r="AU214" s="76"/>
      <c r="AV214" s="76"/>
      <c r="AW214" s="76"/>
      <c r="AX214" s="76">
        <f>+AW214*600000</f>
        <v>0</v>
      </c>
      <c r="AY214" s="76"/>
      <c r="AZ214" s="76">
        <f>+AY214*70000</f>
        <v>0</v>
      </c>
      <c r="BA214" s="76"/>
      <c r="BB214" s="76"/>
      <c r="BC214" s="76"/>
      <c r="BD214" s="76">
        <f>+BC214*30000</f>
        <v>0</v>
      </c>
      <c r="BE214" s="76"/>
      <c r="BF214" s="76"/>
      <c r="BG214" s="76"/>
      <c r="BH214" s="76"/>
      <c r="BI214" s="76"/>
      <c r="BJ214" s="76"/>
      <c r="BK214" s="76"/>
      <c r="BL214" s="76">
        <f>+BK214*31500</f>
        <v>0</v>
      </c>
      <c r="BM214" s="76"/>
      <c r="BN214" s="76"/>
      <c r="BO214" s="76"/>
      <c r="BP214" s="76"/>
      <c r="BQ214" s="76"/>
      <c r="BR214" s="76"/>
      <c r="BS214" s="76"/>
      <c r="BT214" s="76"/>
      <c r="BU214" s="76"/>
      <c r="BV214" s="76"/>
      <c r="BW214" s="76"/>
      <c r="BX214" s="76"/>
      <c r="BY214" s="76"/>
      <c r="BZ214" s="76"/>
      <c r="CA214" s="76"/>
      <c r="CB214" s="76"/>
      <c r="CC214" s="76"/>
      <c r="CD214" s="76"/>
      <c r="CE214" s="76"/>
      <c r="CF214" s="76">
        <f>+CE214*28000</f>
        <v>0</v>
      </c>
      <c r="CG214" s="76"/>
      <c r="CH214" s="76">
        <f>+CG214*22500</f>
        <v>0</v>
      </c>
      <c r="CI214" s="76"/>
      <c r="CJ214" s="76">
        <f>+CI214*26000</f>
        <v>0</v>
      </c>
      <c r="CK214" s="76"/>
      <c r="CL214" s="76"/>
      <c r="CM214" s="76"/>
      <c r="CN214" s="76">
        <f>+CM214*22000</f>
        <v>0</v>
      </c>
      <c r="CO214" s="76"/>
      <c r="CP214" s="76">
        <f>+CO214*46000</f>
        <v>0</v>
      </c>
      <c r="CQ214" s="76"/>
      <c r="CR214" s="76">
        <f>+CQ214*49000</f>
        <v>0</v>
      </c>
      <c r="CS214" s="76"/>
      <c r="CT214" s="76"/>
      <c r="CU214" s="56">
        <f>AN214+AP214+AR214+AT214+AV214+AX214+AZ214+BB214+BD214+BF214+BH214+BJ214+BL214+BN214+BP214+BR214+BT214+BV214+BX214+BZ214+CB214+CD214+CF214+CH214+CJ214+CL214+CN214+CP214+CR214+CT214</f>
        <v>0</v>
      </c>
      <c r="CV214" s="76"/>
      <c r="CW214" s="76">
        <f>+CV214*1100</f>
        <v>0</v>
      </c>
      <c r="CX214" s="76"/>
      <c r="CY214" s="76">
        <f>+CX214*106250</f>
        <v>0</v>
      </c>
      <c r="CZ214" s="76"/>
      <c r="DA214" s="76">
        <f>+CZ214*34500</f>
        <v>0</v>
      </c>
      <c r="DB214" s="76"/>
      <c r="DC214" s="76">
        <f>+DB214*25000</f>
        <v>0</v>
      </c>
      <c r="DD214" s="219"/>
      <c r="DE214" s="219"/>
      <c r="DF214" s="164"/>
      <c r="DG214" s="116"/>
      <c r="DH214" s="117"/>
      <c r="DI214" s="24"/>
      <c r="DJ214" s="24"/>
      <c r="DK214" s="24"/>
      <c r="DL214" s="24"/>
      <c r="DM214" s="24"/>
      <c r="DN214" s="24"/>
      <c r="DO214" s="24"/>
      <c r="DP214" s="24"/>
      <c r="DQ214" s="24"/>
      <c r="DR214" s="24"/>
      <c r="DS214" s="24"/>
      <c r="DT214" s="24"/>
      <c r="DU214" s="24"/>
    </row>
    <row r="215" spans="1:125" s="8" customFormat="1" ht="84" x14ac:dyDescent="0.2">
      <c r="A215" s="77">
        <v>41288</v>
      </c>
      <c r="B215" s="78" t="s">
        <v>2772</v>
      </c>
      <c r="C215" s="75" t="s">
        <v>2030</v>
      </c>
      <c r="D215" s="81" t="s">
        <v>2846</v>
      </c>
      <c r="E215" s="75" t="str">
        <f>VLOOKUP(B215&amp;C215,Divipola!$C$2:$F$1138,4,FALSE)</f>
        <v>25754</v>
      </c>
      <c r="F215" s="87"/>
      <c r="G215" s="87"/>
      <c r="H215" s="87"/>
      <c r="I215" s="87"/>
      <c r="J215" s="87"/>
      <c r="K215" s="87"/>
      <c r="L215" s="87"/>
      <c r="M215" s="87"/>
      <c r="N215" s="87"/>
      <c r="O215" s="87"/>
      <c r="P215" s="87"/>
      <c r="Q215" s="87"/>
      <c r="R215" s="87"/>
      <c r="S215" s="87"/>
      <c r="T215" s="87"/>
      <c r="U215" s="127">
        <v>0.5</v>
      </c>
      <c r="V215" s="89"/>
      <c r="W215" s="96">
        <v>0</v>
      </c>
      <c r="X215" s="71">
        <f>CU215</f>
        <v>0</v>
      </c>
      <c r="Y215" s="71">
        <f>CY215</f>
        <v>0</v>
      </c>
      <c r="Z215" s="71">
        <f>DA215+DC215+DE215</f>
        <v>0</v>
      </c>
      <c r="AA215" s="71">
        <f>CW215</f>
        <v>0</v>
      </c>
      <c r="AB215" s="71"/>
      <c r="AC215" s="71">
        <v>0</v>
      </c>
      <c r="AD215" s="71">
        <f>W215+X215+Y215+Z215+AA215+AB215+AC215</f>
        <v>0</v>
      </c>
      <c r="AE215" s="72">
        <v>0</v>
      </c>
      <c r="AF215" s="5"/>
      <c r="AG215" s="6"/>
      <c r="AH215" s="27" t="s">
        <v>3392</v>
      </c>
      <c r="AI215" s="44" t="s">
        <v>3393</v>
      </c>
      <c r="AJ215" s="26"/>
      <c r="AK215" s="5"/>
      <c r="AL215" s="82" t="s">
        <v>3062</v>
      </c>
      <c r="AM215" s="76"/>
      <c r="AN215" s="76"/>
      <c r="AO215" s="76"/>
      <c r="AP215" s="76"/>
      <c r="AQ215" s="76"/>
      <c r="AR215" s="76"/>
      <c r="AS215" s="76"/>
      <c r="AT215" s="76"/>
      <c r="AU215" s="76"/>
      <c r="AV215" s="76"/>
      <c r="AW215" s="76"/>
      <c r="AX215" s="76">
        <f>+AW215*600000</f>
        <v>0</v>
      </c>
      <c r="AY215" s="76"/>
      <c r="AZ215" s="76">
        <f>+AY215*70000</f>
        <v>0</v>
      </c>
      <c r="BA215" s="76"/>
      <c r="BB215" s="76"/>
      <c r="BC215" s="76"/>
      <c r="BD215" s="76">
        <f>+BC215*30000</f>
        <v>0</v>
      </c>
      <c r="BE215" s="76"/>
      <c r="BF215" s="76"/>
      <c r="BG215" s="76"/>
      <c r="BH215" s="76"/>
      <c r="BI215" s="76"/>
      <c r="BJ215" s="76"/>
      <c r="BK215" s="76"/>
      <c r="BL215" s="76">
        <f>+BK215*31500</f>
        <v>0</v>
      </c>
      <c r="BM215" s="76"/>
      <c r="BN215" s="76"/>
      <c r="BO215" s="76"/>
      <c r="BP215" s="76"/>
      <c r="BQ215" s="76"/>
      <c r="BR215" s="76"/>
      <c r="BS215" s="76"/>
      <c r="BT215" s="76"/>
      <c r="BU215" s="76"/>
      <c r="BV215" s="76"/>
      <c r="BW215" s="76"/>
      <c r="BX215" s="76"/>
      <c r="BY215" s="76"/>
      <c r="BZ215" s="76"/>
      <c r="CA215" s="76"/>
      <c r="CB215" s="76"/>
      <c r="CC215" s="76"/>
      <c r="CD215" s="76"/>
      <c r="CE215" s="76"/>
      <c r="CF215" s="76">
        <f>+CE215*28000</f>
        <v>0</v>
      </c>
      <c r="CG215" s="76"/>
      <c r="CH215" s="76">
        <f>+CG215*22500</f>
        <v>0</v>
      </c>
      <c r="CI215" s="76"/>
      <c r="CJ215" s="76">
        <f>+CI215*26000</f>
        <v>0</v>
      </c>
      <c r="CK215" s="76"/>
      <c r="CL215" s="76"/>
      <c r="CM215" s="76"/>
      <c r="CN215" s="76">
        <f>+CM215*22000</f>
        <v>0</v>
      </c>
      <c r="CO215" s="76"/>
      <c r="CP215" s="76">
        <f>+CO215*46000</f>
        <v>0</v>
      </c>
      <c r="CQ215" s="76"/>
      <c r="CR215" s="76">
        <f>+CQ215*49000</f>
        <v>0</v>
      </c>
      <c r="CS215" s="76"/>
      <c r="CT215" s="76"/>
      <c r="CU215" s="56">
        <f>AN215+AP215+AR215+AT215+AV215+AX215+AZ215+BB215+BD215+BF215+BH215+BJ215+BL215+BN215+BP215+BR215+BT215+BV215+BX215+BZ215+CB215+CD215+CF215+CH215+CJ215+CL215+CN215+CP215+CR215+CT215</f>
        <v>0</v>
      </c>
      <c r="CV215" s="76"/>
      <c r="CW215" s="76">
        <f>+CV215*1100</f>
        <v>0</v>
      </c>
      <c r="CX215" s="76"/>
      <c r="CY215" s="76">
        <f>+CX215*106250</f>
        <v>0</v>
      </c>
      <c r="CZ215" s="76"/>
      <c r="DA215" s="76">
        <f>+CZ215*34500</f>
        <v>0</v>
      </c>
      <c r="DB215" s="76"/>
      <c r="DC215" s="76">
        <f>+DB215*25000</f>
        <v>0</v>
      </c>
      <c r="DD215" s="219"/>
      <c r="DE215" s="219"/>
      <c r="DF215" s="164"/>
      <c r="DG215" s="116"/>
      <c r="DH215" s="117"/>
      <c r="DI215" s="24"/>
      <c r="DJ215" s="24"/>
      <c r="DK215" s="24"/>
      <c r="DL215" s="24"/>
      <c r="DM215" s="24"/>
      <c r="DN215" s="24"/>
      <c r="DO215" s="24"/>
      <c r="DP215" s="24"/>
      <c r="DQ215" s="24"/>
      <c r="DR215" s="24"/>
      <c r="DS215" s="24"/>
      <c r="DT215" s="24"/>
      <c r="DU215" s="24"/>
    </row>
    <row r="216" spans="1:125" s="8" customFormat="1" ht="36" x14ac:dyDescent="0.2">
      <c r="A216" s="77">
        <v>41288</v>
      </c>
      <c r="B216" s="78" t="s">
        <v>2772</v>
      </c>
      <c r="C216" s="83" t="s">
        <v>1183</v>
      </c>
      <c r="D216" s="81" t="s">
        <v>2846</v>
      </c>
      <c r="E216" s="75" t="str">
        <f>VLOOKUP(B216&amp;C216,Divipola!$C$2:$F$1138,4,FALSE)</f>
        <v>25807</v>
      </c>
      <c r="F216" s="93"/>
      <c r="G216" s="93"/>
      <c r="H216" s="93"/>
      <c r="I216" s="93"/>
      <c r="J216" s="93"/>
      <c r="K216" s="93"/>
      <c r="L216" s="93"/>
      <c r="M216" s="93"/>
      <c r="N216" s="93"/>
      <c r="O216" s="93"/>
      <c r="P216" s="93"/>
      <c r="Q216" s="93"/>
      <c r="R216" s="93"/>
      <c r="S216" s="93"/>
      <c r="T216" s="93"/>
      <c r="U216" s="125">
        <v>0.5</v>
      </c>
      <c r="V216" s="89"/>
      <c r="W216" s="96">
        <v>0</v>
      </c>
      <c r="X216" s="71">
        <f>CU216</f>
        <v>0</v>
      </c>
      <c r="Y216" s="71">
        <f>CY216</f>
        <v>0</v>
      </c>
      <c r="Z216" s="71">
        <f>DA216+DC216+DE216</f>
        <v>0</v>
      </c>
      <c r="AA216" s="71">
        <f>CW216</f>
        <v>0</v>
      </c>
      <c r="AB216" s="71"/>
      <c r="AC216" s="71">
        <v>0</v>
      </c>
      <c r="AD216" s="71">
        <f>W216+X216+Y216+Z216+AA216+AB216+AC216</f>
        <v>0</v>
      </c>
      <c r="AE216" s="72">
        <v>0</v>
      </c>
      <c r="AF216" s="5"/>
      <c r="AG216" s="6"/>
      <c r="AH216" s="27" t="s">
        <v>3392</v>
      </c>
      <c r="AI216" s="44" t="s">
        <v>3393</v>
      </c>
      <c r="AJ216" s="26"/>
      <c r="AK216" s="5"/>
      <c r="AL216" s="82" t="s">
        <v>3055</v>
      </c>
      <c r="AM216" s="76"/>
      <c r="AN216" s="76"/>
      <c r="AO216" s="76"/>
      <c r="AP216" s="76"/>
      <c r="AQ216" s="76"/>
      <c r="AR216" s="76"/>
      <c r="AS216" s="76"/>
      <c r="AT216" s="76"/>
      <c r="AU216" s="76"/>
      <c r="AV216" s="76"/>
      <c r="AW216" s="76"/>
      <c r="AX216" s="76">
        <f>+AW216*600000</f>
        <v>0</v>
      </c>
      <c r="AY216" s="76"/>
      <c r="AZ216" s="76">
        <f>+AY216*70000</f>
        <v>0</v>
      </c>
      <c r="BA216" s="76"/>
      <c r="BB216" s="76"/>
      <c r="BC216" s="76"/>
      <c r="BD216" s="76">
        <f>+BC216*30000</f>
        <v>0</v>
      </c>
      <c r="BE216" s="76"/>
      <c r="BF216" s="76"/>
      <c r="BG216" s="76"/>
      <c r="BH216" s="76"/>
      <c r="BI216" s="76"/>
      <c r="BJ216" s="76"/>
      <c r="BK216" s="76"/>
      <c r="BL216" s="76">
        <f>+BK216*31500</f>
        <v>0</v>
      </c>
      <c r="BM216" s="76"/>
      <c r="BN216" s="76"/>
      <c r="BO216" s="76"/>
      <c r="BP216" s="76"/>
      <c r="BQ216" s="76"/>
      <c r="BR216" s="76"/>
      <c r="BS216" s="76"/>
      <c r="BT216" s="76"/>
      <c r="BU216" s="76"/>
      <c r="BV216" s="76"/>
      <c r="BW216" s="76"/>
      <c r="BX216" s="76"/>
      <c r="BY216" s="76"/>
      <c r="BZ216" s="76"/>
      <c r="CA216" s="76"/>
      <c r="CB216" s="76"/>
      <c r="CC216" s="76"/>
      <c r="CD216" s="76"/>
      <c r="CE216" s="76"/>
      <c r="CF216" s="76">
        <f>+CE216*28000</f>
        <v>0</v>
      </c>
      <c r="CG216" s="76"/>
      <c r="CH216" s="76">
        <f>+CG216*22500</f>
        <v>0</v>
      </c>
      <c r="CI216" s="76"/>
      <c r="CJ216" s="76">
        <f>+CI216*26000</f>
        <v>0</v>
      </c>
      <c r="CK216" s="76"/>
      <c r="CL216" s="76"/>
      <c r="CM216" s="76"/>
      <c r="CN216" s="76">
        <f>+CM216*22000</f>
        <v>0</v>
      </c>
      <c r="CO216" s="76"/>
      <c r="CP216" s="76">
        <f>+CO216*46000</f>
        <v>0</v>
      </c>
      <c r="CQ216" s="76"/>
      <c r="CR216" s="76">
        <f>+CQ216*49000</f>
        <v>0</v>
      </c>
      <c r="CS216" s="76"/>
      <c r="CT216" s="76"/>
      <c r="CU216" s="56">
        <f>AN216+AP216+AR216+AT216+AV216+AX216+AZ216+BB216+BD216+BF216+BH216+BJ216+BL216+BN216+BP216+BR216+BT216+BV216+BX216+BZ216+CB216+CD216+CF216+CH216+CJ216+CL216+CN216+CP216+CR216+CT216</f>
        <v>0</v>
      </c>
      <c r="CV216" s="76"/>
      <c r="CW216" s="76">
        <f>+CV216*1100</f>
        <v>0</v>
      </c>
      <c r="CX216" s="76"/>
      <c r="CY216" s="76">
        <f>+CX216*106250</f>
        <v>0</v>
      </c>
      <c r="CZ216" s="76"/>
      <c r="DA216" s="76">
        <f>+CZ216*34500</f>
        <v>0</v>
      </c>
      <c r="DB216" s="76"/>
      <c r="DC216" s="76">
        <f>+DB216*25000</f>
        <v>0</v>
      </c>
      <c r="DD216" s="219"/>
      <c r="DE216" s="219"/>
      <c r="DF216" s="164"/>
      <c r="DG216" s="116"/>
      <c r="DH216" s="117"/>
      <c r="DI216" s="24"/>
      <c r="DJ216" s="24"/>
      <c r="DK216" s="24"/>
      <c r="DL216" s="24"/>
      <c r="DM216" s="24"/>
      <c r="DN216" s="24"/>
      <c r="DO216" s="24"/>
      <c r="DP216" s="24"/>
      <c r="DQ216" s="24"/>
      <c r="DR216" s="24"/>
      <c r="DS216" s="24"/>
      <c r="DT216" s="24"/>
      <c r="DU216" s="24"/>
    </row>
    <row r="217" spans="1:125" s="8" customFormat="1" ht="36" x14ac:dyDescent="0.2">
      <c r="A217" s="77">
        <v>41288</v>
      </c>
      <c r="B217" s="78" t="s">
        <v>2772</v>
      </c>
      <c r="C217" s="75" t="s">
        <v>2155</v>
      </c>
      <c r="D217" s="81" t="s">
        <v>2846</v>
      </c>
      <c r="E217" s="75" t="str">
        <f>VLOOKUP(B217&amp;C217,Divipola!$C$2:$F$1138,4,FALSE)</f>
        <v>25875</v>
      </c>
      <c r="F217" s="87"/>
      <c r="G217" s="87"/>
      <c r="H217" s="87"/>
      <c r="I217" s="87"/>
      <c r="J217" s="87"/>
      <c r="K217" s="87"/>
      <c r="L217" s="87"/>
      <c r="M217" s="87"/>
      <c r="N217" s="87"/>
      <c r="O217" s="87"/>
      <c r="P217" s="87"/>
      <c r="Q217" s="87"/>
      <c r="R217" s="87"/>
      <c r="S217" s="87"/>
      <c r="T217" s="87"/>
      <c r="U217" s="127">
        <v>1</v>
      </c>
      <c r="V217" s="89"/>
      <c r="W217" s="96">
        <v>0</v>
      </c>
      <c r="X217" s="71">
        <f>CU217</f>
        <v>0</v>
      </c>
      <c r="Y217" s="71">
        <f>CY217</f>
        <v>0</v>
      </c>
      <c r="Z217" s="71">
        <f>DA217+DC217+DE217</f>
        <v>0</v>
      </c>
      <c r="AA217" s="71">
        <f>CW217</f>
        <v>0</v>
      </c>
      <c r="AB217" s="71"/>
      <c r="AC217" s="71">
        <v>0</v>
      </c>
      <c r="AD217" s="71">
        <f>W217+X217+Y217+Z217+AA217+AB217+AC217</f>
        <v>0</v>
      </c>
      <c r="AE217" s="72">
        <v>0</v>
      </c>
      <c r="AF217" s="5"/>
      <c r="AG217" s="6"/>
      <c r="AH217" s="27" t="s">
        <v>3392</v>
      </c>
      <c r="AI217" s="44" t="s">
        <v>3393</v>
      </c>
      <c r="AJ217" s="26"/>
      <c r="AK217" s="5"/>
      <c r="AL217" s="82" t="s">
        <v>3055</v>
      </c>
      <c r="AM217" s="76"/>
      <c r="AN217" s="76"/>
      <c r="AO217" s="76"/>
      <c r="AP217" s="76"/>
      <c r="AQ217" s="76"/>
      <c r="AR217" s="76"/>
      <c r="AS217" s="76"/>
      <c r="AT217" s="76"/>
      <c r="AU217" s="76"/>
      <c r="AV217" s="76"/>
      <c r="AW217" s="76"/>
      <c r="AX217" s="76">
        <f>+AW217*600000</f>
        <v>0</v>
      </c>
      <c r="AY217" s="76"/>
      <c r="AZ217" s="76">
        <f>+AY217*70000</f>
        <v>0</v>
      </c>
      <c r="BA217" s="76"/>
      <c r="BB217" s="76"/>
      <c r="BC217" s="76"/>
      <c r="BD217" s="76">
        <f>+BC217*30000</f>
        <v>0</v>
      </c>
      <c r="BE217" s="76"/>
      <c r="BF217" s="76"/>
      <c r="BG217" s="76"/>
      <c r="BH217" s="76"/>
      <c r="BI217" s="76"/>
      <c r="BJ217" s="76"/>
      <c r="BK217" s="76"/>
      <c r="BL217" s="76">
        <f>+BK217*31500</f>
        <v>0</v>
      </c>
      <c r="BM217" s="76"/>
      <c r="BN217" s="76"/>
      <c r="BO217" s="76"/>
      <c r="BP217" s="76"/>
      <c r="BQ217" s="76"/>
      <c r="BR217" s="76"/>
      <c r="BS217" s="76"/>
      <c r="BT217" s="76"/>
      <c r="BU217" s="76"/>
      <c r="BV217" s="76"/>
      <c r="BW217" s="76"/>
      <c r="BX217" s="76"/>
      <c r="BY217" s="76"/>
      <c r="BZ217" s="76"/>
      <c r="CA217" s="76"/>
      <c r="CB217" s="76"/>
      <c r="CC217" s="76"/>
      <c r="CD217" s="76"/>
      <c r="CE217" s="76"/>
      <c r="CF217" s="76">
        <f>+CE217*28000</f>
        <v>0</v>
      </c>
      <c r="CG217" s="76"/>
      <c r="CH217" s="76">
        <f>+CG217*22500</f>
        <v>0</v>
      </c>
      <c r="CI217" s="76"/>
      <c r="CJ217" s="76">
        <f>+CI217*26000</f>
        <v>0</v>
      </c>
      <c r="CK217" s="76"/>
      <c r="CL217" s="76"/>
      <c r="CM217" s="76"/>
      <c r="CN217" s="76">
        <f>+CM217*22000</f>
        <v>0</v>
      </c>
      <c r="CO217" s="76"/>
      <c r="CP217" s="76">
        <f>+CO217*46000</f>
        <v>0</v>
      </c>
      <c r="CQ217" s="76"/>
      <c r="CR217" s="76">
        <f>+CQ217*49000</f>
        <v>0</v>
      </c>
      <c r="CS217" s="76"/>
      <c r="CT217" s="76"/>
      <c r="CU217" s="56">
        <f>AN217+AP217+AR217+AT217+AV217+AX217+AZ217+BB217+BD217+BF217+BH217+BJ217+BL217+BN217+BP217+BR217+BT217+BV217+BX217+BZ217+CB217+CD217+CF217+CH217+CJ217+CL217+CN217+CP217+CR217+CT217</f>
        <v>0</v>
      </c>
      <c r="CV217" s="76"/>
      <c r="CW217" s="76">
        <f>+CV217*1100</f>
        <v>0</v>
      </c>
      <c r="CX217" s="76"/>
      <c r="CY217" s="76">
        <f>+CX217*106250</f>
        <v>0</v>
      </c>
      <c r="CZ217" s="76"/>
      <c r="DA217" s="76">
        <f>+CZ217*34500</f>
        <v>0</v>
      </c>
      <c r="DB217" s="76"/>
      <c r="DC217" s="76">
        <f>+DB217*25000</f>
        <v>0</v>
      </c>
      <c r="DD217" s="219"/>
      <c r="DE217" s="219"/>
      <c r="DF217" s="164"/>
      <c r="DG217" s="116"/>
      <c r="DH217" s="117"/>
      <c r="DI217" s="24"/>
      <c r="DJ217" s="24"/>
      <c r="DK217" s="24"/>
      <c r="DL217" s="24"/>
      <c r="DM217" s="24"/>
      <c r="DN217" s="24"/>
      <c r="DO217" s="24"/>
      <c r="DP217" s="24"/>
      <c r="DQ217" s="24"/>
      <c r="DR217" s="24"/>
      <c r="DS217" s="24"/>
      <c r="DT217" s="24"/>
      <c r="DU217" s="24"/>
    </row>
    <row r="218" spans="1:125" s="8" customFormat="1" ht="48" x14ac:dyDescent="0.2">
      <c r="A218" s="77">
        <v>41288</v>
      </c>
      <c r="B218" s="78" t="s">
        <v>506</v>
      </c>
      <c r="C218" s="75" t="s">
        <v>1697</v>
      </c>
      <c r="D218" s="81" t="s">
        <v>2846</v>
      </c>
      <c r="E218" s="75" t="str">
        <f>VLOOKUP(B218&amp;C218,Divipola!$C$2:$F$1138,4,FALSE)</f>
        <v>50001</v>
      </c>
      <c r="F218" s="87"/>
      <c r="G218" s="87"/>
      <c r="H218" s="87"/>
      <c r="I218" s="87"/>
      <c r="J218" s="87"/>
      <c r="K218" s="87"/>
      <c r="L218" s="87"/>
      <c r="M218" s="87"/>
      <c r="N218" s="87"/>
      <c r="O218" s="87"/>
      <c r="P218" s="87"/>
      <c r="Q218" s="87"/>
      <c r="R218" s="87"/>
      <c r="S218" s="87"/>
      <c r="T218" s="87"/>
      <c r="U218" s="127">
        <v>3</v>
      </c>
      <c r="V218" s="89"/>
      <c r="W218" s="96">
        <v>0</v>
      </c>
      <c r="X218" s="71">
        <f>CU218</f>
        <v>0</v>
      </c>
      <c r="Y218" s="71">
        <f>CY218</f>
        <v>0</v>
      </c>
      <c r="Z218" s="71">
        <f>DA218+DC218+DE218</f>
        <v>0</v>
      </c>
      <c r="AA218" s="71">
        <f>CW218</f>
        <v>0</v>
      </c>
      <c r="AB218" s="71"/>
      <c r="AC218" s="71">
        <v>0</v>
      </c>
      <c r="AD218" s="71">
        <f>W218+X218+Y218+Z218+AA218+AB218+AC218</f>
        <v>0</v>
      </c>
      <c r="AE218" s="72">
        <v>0</v>
      </c>
      <c r="AF218" s="5"/>
      <c r="AG218" s="6"/>
      <c r="AH218" s="27" t="s">
        <v>3392</v>
      </c>
      <c r="AI218" s="44" t="s">
        <v>3393</v>
      </c>
      <c r="AJ218" s="26"/>
      <c r="AK218" s="5"/>
      <c r="AL218" s="82" t="s">
        <v>3057</v>
      </c>
      <c r="AM218" s="76"/>
      <c r="AN218" s="76"/>
      <c r="AO218" s="76"/>
      <c r="AP218" s="76"/>
      <c r="AQ218" s="76"/>
      <c r="AR218" s="76"/>
      <c r="AS218" s="76"/>
      <c r="AT218" s="76"/>
      <c r="AU218" s="76"/>
      <c r="AV218" s="76"/>
      <c r="AW218" s="76"/>
      <c r="AX218" s="76">
        <f>+AW218*600000</f>
        <v>0</v>
      </c>
      <c r="AY218" s="76"/>
      <c r="AZ218" s="76">
        <f>+AY218*70000</f>
        <v>0</v>
      </c>
      <c r="BA218" s="76"/>
      <c r="BB218" s="76"/>
      <c r="BC218" s="76"/>
      <c r="BD218" s="76">
        <f>+BC218*30000</f>
        <v>0</v>
      </c>
      <c r="BE218" s="76"/>
      <c r="BF218" s="76"/>
      <c r="BG218" s="76"/>
      <c r="BH218" s="76"/>
      <c r="BI218" s="76"/>
      <c r="BJ218" s="76"/>
      <c r="BK218" s="76"/>
      <c r="BL218" s="76">
        <f>+BK218*31500</f>
        <v>0</v>
      </c>
      <c r="BM218" s="76"/>
      <c r="BN218" s="76"/>
      <c r="BO218" s="76"/>
      <c r="BP218" s="76"/>
      <c r="BQ218" s="76"/>
      <c r="BR218" s="76"/>
      <c r="BS218" s="76"/>
      <c r="BT218" s="76"/>
      <c r="BU218" s="76"/>
      <c r="BV218" s="76"/>
      <c r="BW218" s="76"/>
      <c r="BX218" s="76"/>
      <c r="BY218" s="76"/>
      <c r="BZ218" s="76"/>
      <c r="CA218" s="76"/>
      <c r="CB218" s="76"/>
      <c r="CC218" s="76"/>
      <c r="CD218" s="76"/>
      <c r="CE218" s="76"/>
      <c r="CF218" s="76">
        <f>+CE218*28000</f>
        <v>0</v>
      </c>
      <c r="CG218" s="76"/>
      <c r="CH218" s="76">
        <f>+CG218*22500</f>
        <v>0</v>
      </c>
      <c r="CI218" s="76"/>
      <c r="CJ218" s="76">
        <f>+CI218*26000</f>
        <v>0</v>
      </c>
      <c r="CK218" s="76"/>
      <c r="CL218" s="76"/>
      <c r="CM218" s="76"/>
      <c r="CN218" s="76">
        <f>+CM218*22000</f>
        <v>0</v>
      </c>
      <c r="CO218" s="76"/>
      <c r="CP218" s="76">
        <f>+CO218*46000</f>
        <v>0</v>
      </c>
      <c r="CQ218" s="76"/>
      <c r="CR218" s="76">
        <f>+CQ218*49000</f>
        <v>0</v>
      </c>
      <c r="CS218" s="76"/>
      <c r="CT218" s="76"/>
      <c r="CU218" s="56">
        <f>AN218+AP218+AR218+AT218+AV218+AX218+AZ218+BB218+BD218+BF218+BH218+BJ218+BL218+BN218+BP218+BR218+BT218+BV218+BX218+BZ218+CB218+CD218+CF218+CH218+CJ218+CL218+CN218+CP218+CR218+CT218</f>
        <v>0</v>
      </c>
      <c r="CV218" s="76"/>
      <c r="CW218" s="76">
        <f>+CV218*1100</f>
        <v>0</v>
      </c>
      <c r="CX218" s="76"/>
      <c r="CY218" s="76">
        <f>+CX218*106250</f>
        <v>0</v>
      </c>
      <c r="CZ218" s="76"/>
      <c r="DA218" s="76">
        <f>+CZ218*34500</f>
        <v>0</v>
      </c>
      <c r="DB218" s="76"/>
      <c r="DC218" s="76">
        <f>+DB218*25000</f>
        <v>0</v>
      </c>
      <c r="DD218" s="219"/>
      <c r="DE218" s="219"/>
      <c r="DF218" s="164"/>
      <c r="DG218" s="116"/>
      <c r="DH218" s="117"/>
      <c r="DI218" s="24"/>
      <c r="DJ218" s="24"/>
      <c r="DK218" s="24"/>
      <c r="DL218" s="24"/>
      <c r="DM218" s="24"/>
      <c r="DN218" s="24"/>
      <c r="DO218" s="24"/>
      <c r="DP218" s="24"/>
      <c r="DQ218" s="24"/>
      <c r="DR218" s="24"/>
      <c r="DS218" s="24"/>
      <c r="DT218" s="24"/>
      <c r="DU218" s="24"/>
    </row>
    <row r="219" spans="1:125" s="8" customFormat="1" ht="22.5" x14ac:dyDescent="0.2">
      <c r="A219" s="77">
        <v>41288</v>
      </c>
      <c r="B219" s="78" t="s">
        <v>2860</v>
      </c>
      <c r="C219" s="75" t="s">
        <v>2776</v>
      </c>
      <c r="D219" s="75" t="s">
        <v>2882</v>
      </c>
      <c r="E219" s="75" t="str">
        <f>VLOOKUP(B219&amp;C219,Divipola!$C$2:$F$1138,4,FALSE)</f>
        <v>63001</v>
      </c>
      <c r="F219" s="87"/>
      <c r="G219" s="87"/>
      <c r="H219" s="87"/>
      <c r="I219" s="87"/>
      <c r="J219" s="87"/>
      <c r="K219" s="87"/>
      <c r="L219" s="87"/>
      <c r="M219" s="87"/>
      <c r="N219" s="87"/>
      <c r="O219" s="87"/>
      <c r="P219" s="87"/>
      <c r="Q219" s="87"/>
      <c r="R219" s="87"/>
      <c r="S219" s="87"/>
      <c r="T219" s="87"/>
      <c r="U219" s="127"/>
      <c r="V219" s="89"/>
      <c r="W219" s="96">
        <v>0</v>
      </c>
      <c r="X219" s="71">
        <f>CU219</f>
        <v>0</v>
      </c>
      <c r="Y219" s="71">
        <f>CY219</f>
        <v>0</v>
      </c>
      <c r="Z219" s="71">
        <f>DA219+DC219+DE219</f>
        <v>57193104</v>
      </c>
      <c r="AA219" s="71">
        <f>CW219</f>
        <v>0</v>
      </c>
      <c r="AB219" s="71"/>
      <c r="AC219" s="71">
        <v>0</v>
      </c>
      <c r="AD219" s="71">
        <f>W219+X219+Y219+Z219+AA219+AB219+AC219</f>
        <v>57193104</v>
      </c>
      <c r="AE219" s="72">
        <v>0</v>
      </c>
      <c r="AF219" s="5"/>
      <c r="AG219" s="6"/>
      <c r="AH219" s="27" t="s">
        <v>3390</v>
      </c>
      <c r="AI219" s="44" t="s">
        <v>3391</v>
      </c>
      <c r="AJ219" s="26"/>
      <c r="AK219" s="5" t="s">
        <v>3480</v>
      </c>
      <c r="AL219" s="82"/>
      <c r="AM219" s="76"/>
      <c r="AN219" s="76"/>
      <c r="AO219" s="76"/>
      <c r="AP219" s="76"/>
      <c r="AQ219" s="76"/>
      <c r="AR219" s="76"/>
      <c r="AS219" s="76"/>
      <c r="AT219" s="76"/>
      <c r="AU219" s="76"/>
      <c r="AV219" s="76"/>
      <c r="AW219" s="76"/>
      <c r="AX219" s="76">
        <f>+AW219*600000</f>
        <v>0</v>
      </c>
      <c r="AY219" s="76"/>
      <c r="AZ219" s="76">
        <f>+AY219*70000</f>
        <v>0</v>
      </c>
      <c r="BA219" s="76"/>
      <c r="BB219" s="76"/>
      <c r="BC219" s="76"/>
      <c r="BD219" s="76">
        <f>+BC219*30000</f>
        <v>0</v>
      </c>
      <c r="BE219" s="76"/>
      <c r="BF219" s="76"/>
      <c r="BG219" s="76"/>
      <c r="BH219" s="76"/>
      <c r="BI219" s="76"/>
      <c r="BJ219" s="76"/>
      <c r="BK219" s="76"/>
      <c r="BL219" s="76">
        <f>+BK219*31500</f>
        <v>0</v>
      </c>
      <c r="BM219" s="76"/>
      <c r="BN219" s="76"/>
      <c r="BO219" s="76"/>
      <c r="BP219" s="76"/>
      <c r="BQ219" s="76"/>
      <c r="BR219" s="76"/>
      <c r="BS219" s="76"/>
      <c r="BT219" s="76"/>
      <c r="BU219" s="76"/>
      <c r="BV219" s="76"/>
      <c r="BW219" s="76"/>
      <c r="BX219" s="76"/>
      <c r="BY219" s="76"/>
      <c r="BZ219" s="76"/>
      <c r="CA219" s="76"/>
      <c r="CB219" s="76"/>
      <c r="CC219" s="76"/>
      <c r="CD219" s="76"/>
      <c r="CE219" s="76"/>
      <c r="CF219" s="76">
        <f>+CE219*28000</f>
        <v>0</v>
      </c>
      <c r="CG219" s="76"/>
      <c r="CH219" s="76">
        <f>+CG219*22500</f>
        <v>0</v>
      </c>
      <c r="CI219" s="76"/>
      <c r="CJ219" s="76">
        <f>+CI219*26000</f>
        <v>0</v>
      </c>
      <c r="CK219" s="76"/>
      <c r="CL219" s="76"/>
      <c r="CM219" s="76"/>
      <c r="CN219" s="76">
        <f>+CM219*22000</f>
        <v>0</v>
      </c>
      <c r="CO219" s="76"/>
      <c r="CP219" s="76">
        <f>+CO219*46000</f>
        <v>0</v>
      </c>
      <c r="CQ219" s="76"/>
      <c r="CR219" s="76">
        <f>+CQ219*49000</f>
        <v>0</v>
      </c>
      <c r="CS219" s="76"/>
      <c r="CT219" s="76"/>
      <c r="CU219" s="56">
        <f>AN219+AP219+AR219+AT219+AV219+AX219+AZ219+BB219+BD219+BF219+BH219+BJ219+BL219+BN219+BP219+BR219+BT219+BV219+BX219+BZ219+CB219+CD219+CF219+CH219+CJ219+CL219+CN219+CP219+CR219+CT219</f>
        <v>0</v>
      </c>
      <c r="CV219" s="76"/>
      <c r="CW219" s="76">
        <f>+CV219*1100</f>
        <v>0</v>
      </c>
      <c r="CX219" s="76"/>
      <c r="CY219" s="76">
        <f>+CX219*106250</f>
        <v>0</v>
      </c>
      <c r="CZ219" s="76"/>
      <c r="DA219" s="76">
        <f>+CZ219*34500</f>
        <v>0</v>
      </c>
      <c r="DB219" s="86">
        <f>1200+800</f>
        <v>2000</v>
      </c>
      <c r="DC219" s="86">
        <f>1200*24999.16+800*30999.84+12000*199.52</f>
        <v>57193104</v>
      </c>
      <c r="DD219" s="219"/>
      <c r="DE219" s="219"/>
      <c r="DF219" s="164"/>
      <c r="DG219" s="116"/>
      <c r="DH219" s="117"/>
      <c r="DI219" s="24"/>
      <c r="DJ219" s="24"/>
      <c r="DK219" s="24"/>
      <c r="DL219" s="24"/>
      <c r="DM219" s="24"/>
      <c r="DN219" s="24"/>
      <c r="DO219" s="24"/>
      <c r="DP219" s="24"/>
      <c r="DQ219" s="24"/>
      <c r="DR219" s="24"/>
      <c r="DS219" s="24"/>
      <c r="DT219" s="24"/>
      <c r="DU219" s="24"/>
    </row>
    <row r="220" spans="1:125" s="8" customFormat="1" x14ac:dyDescent="0.2">
      <c r="A220" s="77">
        <v>41288</v>
      </c>
      <c r="B220" s="78" t="s">
        <v>2860</v>
      </c>
      <c r="C220" s="75" t="s">
        <v>2773</v>
      </c>
      <c r="D220" s="75" t="s">
        <v>2882</v>
      </c>
      <c r="E220" s="75">
        <f>VLOOKUP(B220&amp;C220,Divipola!$C$2:$F$1138,4,FALSE)</f>
        <v>63</v>
      </c>
      <c r="F220" s="163"/>
      <c r="G220" s="163"/>
      <c r="H220" s="163"/>
      <c r="I220" s="163"/>
      <c r="J220" s="163"/>
      <c r="K220" s="163"/>
      <c r="L220" s="163"/>
      <c r="M220" s="163"/>
      <c r="N220" s="163"/>
      <c r="O220" s="163"/>
      <c r="P220" s="163"/>
      <c r="Q220" s="163"/>
      <c r="R220" s="163"/>
      <c r="S220" s="163"/>
      <c r="T220" s="163"/>
      <c r="U220" s="163"/>
      <c r="V220" s="134"/>
      <c r="W220" s="96">
        <v>0</v>
      </c>
      <c r="X220" s="71">
        <f>CU220</f>
        <v>13419930.960000001</v>
      </c>
      <c r="Y220" s="71">
        <f>CY220</f>
        <v>21132656</v>
      </c>
      <c r="Z220" s="71">
        <f>DA220+DC220+DE220</f>
        <v>51397048</v>
      </c>
      <c r="AA220" s="71">
        <f>CW220</f>
        <v>0</v>
      </c>
      <c r="AB220" s="71"/>
      <c r="AC220" s="71">
        <v>0</v>
      </c>
      <c r="AD220" s="71">
        <f>W220+X220+Y220+Z220+AA220+AB220+AC220</f>
        <v>85949634.960000008</v>
      </c>
      <c r="AE220" s="72">
        <v>0</v>
      </c>
      <c r="AF220" s="5"/>
      <c r="AG220" s="6"/>
      <c r="AH220" s="27" t="s">
        <v>3390</v>
      </c>
      <c r="AI220" s="44" t="s">
        <v>3391</v>
      </c>
      <c r="AJ220" s="26"/>
      <c r="AK220" s="5"/>
      <c r="AL220" s="82" t="s">
        <v>3484</v>
      </c>
      <c r="AM220" s="76"/>
      <c r="AN220" s="76"/>
      <c r="AO220" s="76"/>
      <c r="AP220" s="76"/>
      <c r="AQ220" s="76"/>
      <c r="AR220" s="76"/>
      <c r="AS220" s="76"/>
      <c r="AT220" s="76"/>
      <c r="AU220" s="76"/>
      <c r="AV220" s="76"/>
      <c r="AW220" s="76"/>
      <c r="AX220" s="76">
        <f>+AW220*600000</f>
        <v>0</v>
      </c>
      <c r="AY220" s="76"/>
      <c r="AZ220" s="76">
        <f>+AY220*70000</f>
        <v>0</v>
      </c>
      <c r="BA220" s="76"/>
      <c r="BB220" s="76"/>
      <c r="BC220" s="76"/>
      <c r="BD220" s="76">
        <f>+BC220*30000</f>
        <v>0</v>
      </c>
      <c r="BE220" s="76"/>
      <c r="BF220" s="76"/>
      <c r="BG220" s="76"/>
      <c r="BH220" s="76"/>
      <c r="BI220" s="76"/>
      <c r="BJ220" s="76"/>
      <c r="BK220" s="76"/>
      <c r="BL220" s="76">
        <f>+BK220*31500</f>
        <v>0</v>
      </c>
      <c r="BM220" s="76"/>
      <c r="BN220" s="76"/>
      <c r="BO220" s="76"/>
      <c r="BP220" s="76"/>
      <c r="BQ220" s="76"/>
      <c r="BR220" s="76"/>
      <c r="BS220" s="76"/>
      <c r="BT220" s="76"/>
      <c r="BU220" s="76"/>
      <c r="BV220" s="76"/>
      <c r="BW220" s="76"/>
      <c r="BX220" s="76"/>
      <c r="BY220" s="86">
        <v>7</v>
      </c>
      <c r="BZ220" s="86">
        <f>7*559999.28</f>
        <v>3919994.96</v>
      </c>
      <c r="CA220" s="76"/>
      <c r="CB220" s="76"/>
      <c r="CC220" s="76"/>
      <c r="CD220" s="76"/>
      <c r="CE220" s="76"/>
      <c r="CF220" s="76">
        <f>+CE220*28000</f>
        <v>0</v>
      </c>
      <c r="CG220" s="76"/>
      <c r="CH220" s="76">
        <f>+CG220*22500</f>
        <v>0</v>
      </c>
      <c r="CI220" s="76"/>
      <c r="CJ220" s="76">
        <f>+CI220*26000</f>
        <v>0</v>
      </c>
      <c r="CK220" s="76"/>
      <c r="CL220" s="76"/>
      <c r="CM220" s="76"/>
      <c r="CN220" s="76">
        <f>+CM220*22000</f>
        <v>0</v>
      </c>
      <c r="CO220" s="86">
        <v>100</v>
      </c>
      <c r="CP220" s="86">
        <f>+CO220*45999.8</f>
        <v>4599980</v>
      </c>
      <c r="CQ220" s="86">
        <v>100</v>
      </c>
      <c r="CR220" s="86">
        <f>+CQ220*48999.56</f>
        <v>4899956</v>
      </c>
      <c r="CS220" s="76"/>
      <c r="CT220" s="76"/>
      <c r="CU220" s="56">
        <f>AN220+AP220+AR220+AT220+AV220+AX220+AZ220+BB220+BD220+BF220+BH220+BJ220+BL220+BN220+BP220+BR220+BT220+BV220+BX220+BZ220+CB220+CD220+CF220+CH220+CJ220+CL220+CN220+CP220+CR220+CT220</f>
        <v>13419930.960000001</v>
      </c>
      <c r="CV220" s="76"/>
      <c r="CW220" s="76">
        <f>+CV220*1100</f>
        <v>0</v>
      </c>
      <c r="CX220" s="86">
        <v>200</v>
      </c>
      <c r="CY220" s="86">
        <f>+CX220*105663.28</f>
        <v>21132656</v>
      </c>
      <c r="CZ220" s="76"/>
      <c r="DA220" s="76">
        <f>+CZ220*34500</f>
        <v>0</v>
      </c>
      <c r="DB220" s="86">
        <f>1000+800</f>
        <v>1800</v>
      </c>
      <c r="DC220" s="86">
        <f>1000*24999.16+800*30999.84+1600*499.96+4000*199.52</f>
        <v>51397048</v>
      </c>
      <c r="DD220" s="219"/>
      <c r="DE220" s="219"/>
      <c r="DF220" s="166"/>
      <c r="DG220" s="116"/>
      <c r="DH220" s="117"/>
      <c r="DI220" s="24"/>
      <c r="DJ220" s="24"/>
      <c r="DK220" s="24"/>
      <c r="DL220" s="24"/>
      <c r="DM220" s="24"/>
      <c r="DN220" s="24"/>
      <c r="DO220" s="24"/>
      <c r="DP220" s="24"/>
      <c r="DQ220" s="24"/>
      <c r="DR220" s="24"/>
      <c r="DS220" s="24"/>
      <c r="DT220" s="24"/>
      <c r="DU220" s="24"/>
    </row>
    <row r="221" spans="1:125" s="8" customFormat="1" ht="24" x14ac:dyDescent="0.2">
      <c r="A221" s="77">
        <v>41288</v>
      </c>
      <c r="B221" s="80" t="s">
        <v>2774</v>
      </c>
      <c r="C221" s="81" t="s">
        <v>2037</v>
      </c>
      <c r="D221" s="81" t="s">
        <v>3090</v>
      </c>
      <c r="E221" s="75" t="str">
        <f>VLOOKUP(B221&amp;C221,Divipola!$C$2:$F$1138,4,FALSE)</f>
        <v>66045</v>
      </c>
      <c r="F221" s="87"/>
      <c r="G221" s="87"/>
      <c r="H221" s="87"/>
      <c r="I221" s="87"/>
      <c r="J221" s="87"/>
      <c r="K221" s="87"/>
      <c r="L221" s="87"/>
      <c r="M221" s="87"/>
      <c r="N221" s="87"/>
      <c r="O221" s="87"/>
      <c r="P221" s="87"/>
      <c r="Q221" s="87"/>
      <c r="R221" s="87"/>
      <c r="S221" s="87"/>
      <c r="T221" s="87"/>
      <c r="U221" s="127"/>
      <c r="V221" s="89"/>
      <c r="W221" s="96">
        <v>0</v>
      </c>
      <c r="X221" s="71">
        <f>CU221</f>
        <v>0</v>
      </c>
      <c r="Y221" s="71">
        <f>CY221</f>
        <v>0</v>
      </c>
      <c r="Z221" s="71">
        <f>DA221+DC221+DE221</f>
        <v>29674917</v>
      </c>
      <c r="AA221" s="71">
        <f>CW221</f>
        <v>0</v>
      </c>
      <c r="AB221" s="95"/>
      <c r="AC221" s="71">
        <v>0</v>
      </c>
      <c r="AD221" s="71">
        <f>W221+X221+Y221+Z221+AA221+AB221+AC221</f>
        <v>29674917</v>
      </c>
      <c r="AE221" s="72">
        <v>0</v>
      </c>
      <c r="AF221" s="5"/>
      <c r="AG221" s="6"/>
      <c r="AH221" s="27" t="s">
        <v>3390</v>
      </c>
      <c r="AI221" s="44" t="s">
        <v>3391</v>
      </c>
      <c r="AJ221" s="26"/>
      <c r="AK221" s="5"/>
      <c r="AL221" s="82"/>
      <c r="AM221" s="76"/>
      <c r="AN221" s="76"/>
      <c r="AO221" s="76"/>
      <c r="AP221" s="76"/>
      <c r="AQ221" s="76"/>
      <c r="AR221" s="76"/>
      <c r="AS221" s="76"/>
      <c r="AT221" s="76"/>
      <c r="AU221" s="76"/>
      <c r="AV221" s="76"/>
      <c r="AW221" s="76"/>
      <c r="AX221" s="76">
        <f>+AW221*600000</f>
        <v>0</v>
      </c>
      <c r="AY221" s="76"/>
      <c r="AZ221" s="76">
        <f>+AY221*70000</f>
        <v>0</v>
      </c>
      <c r="BA221" s="76"/>
      <c r="BB221" s="76"/>
      <c r="BC221" s="76"/>
      <c r="BD221" s="76">
        <f>+BC221*30000</f>
        <v>0</v>
      </c>
      <c r="BE221" s="76"/>
      <c r="BF221" s="76"/>
      <c r="BG221" s="76"/>
      <c r="BH221" s="76"/>
      <c r="BI221" s="76"/>
      <c r="BJ221" s="76"/>
      <c r="BK221" s="76"/>
      <c r="BL221" s="76">
        <f>+BK221*31500</f>
        <v>0</v>
      </c>
      <c r="BM221" s="76"/>
      <c r="BN221" s="76"/>
      <c r="BO221" s="76"/>
      <c r="BP221" s="76"/>
      <c r="BQ221" s="76"/>
      <c r="BR221" s="76"/>
      <c r="BS221" s="76"/>
      <c r="BT221" s="76"/>
      <c r="BU221" s="76"/>
      <c r="BV221" s="76"/>
      <c r="BW221" s="76"/>
      <c r="BX221" s="76"/>
      <c r="BY221" s="76"/>
      <c r="BZ221" s="76"/>
      <c r="CA221" s="76"/>
      <c r="CB221" s="76"/>
      <c r="CC221" s="76"/>
      <c r="CD221" s="76"/>
      <c r="CE221" s="76"/>
      <c r="CF221" s="76">
        <f>+CE221*28000</f>
        <v>0</v>
      </c>
      <c r="CG221" s="76"/>
      <c r="CH221" s="76">
        <f>+CG221*22500</f>
        <v>0</v>
      </c>
      <c r="CI221" s="76"/>
      <c r="CJ221" s="76">
        <f>+CI221*26000</f>
        <v>0</v>
      </c>
      <c r="CK221" s="76"/>
      <c r="CL221" s="76"/>
      <c r="CM221" s="76"/>
      <c r="CN221" s="76">
        <f>+CM221*22000</f>
        <v>0</v>
      </c>
      <c r="CO221" s="76"/>
      <c r="CP221" s="76">
        <f>+CO221*46000</f>
        <v>0</v>
      </c>
      <c r="CQ221" s="76"/>
      <c r="CR221" s="76">
        <f>+CQ221*49000</f>
        <v>0</v>
      </c>
      <c r="CS221" s="76"/>
      <c r="CT221" s="76"/>
      <c r="CU221" s="56">
        <f>AN221+AP221+AR221+AT221+AV221+AX221+AZ221+BB221+BD221+BF221+BH221+BJ221+BL221+BN221+BP221+BR221+BT221+BV221+BX221+BZ221+CB221+CD221+CF221+CH221+CJ221+CL221+CN221+CP221+CR221+CT221</f>
        <v>0</v>
      </c>
      <c r="CV221" s="76"/>
      <c r="CW221" s="76">
        <f>+CV221*1100</f>
        <v>0</v>
      </c>
      <c r="CX221" s="76"/>
      <c r="CY221" s="76">
        <f>+CX221*106250</f>
        <v>0</v>
      </c>
      <c r="CZ221" s="76"/>
      <c r="DA221" s="76">
        <f>+CZ221*34500</f>
        <v>0</v>
      </c>
      <c r="DB221" s="76"/>
      <c r="DC221" s="76">
        <f>+DB221*25000</f>
        <v>0</v>
      </c>
      <c r="DD221" s="221" t="s">
        <v>3094</v>
      </c>
      <c r="DE221" s="223">
        <f>50*67499.24+50*265999.6+25*519999</f>
        <v>29674917</v>
      </c>
      <c r="DF221" s="164"/>
      <c r="DG221" s="116"/>
      <c r="DH221" s="117"/>
      <c r="DI221" s="24"/>
      <c r="DJ221" s="24"/>
      <c r="DK221" s="24"/>
      <c r="DL221" s="24"/>
      <c r="DM221" s="24"/>
      <c r="DN221" s="24"/>
      <c r="DO221" s="24"/>
      <c r="DP221" s="24"/>
      <c r="DQ221" s="24"/>
      <c r="DR221" s="24"/>
      <c r="DS221" s="24"/>
      <c r="DT221" s="24"/>
      <c r="DU221" s="24"/>
    </row>
    <row r="222" spans="1:125" s="8" customFormat="1" ht="24" x14ac:dyDescent="0.2">
      <c r="A222" s="77">
        <v>41288</v>
      </c>
      <c r="B222" s="80" t="s">
        <v>2774</v>
      </c>
      <c r="C222" s="75" t="s">
        <v>2216</v>
      </c>
      <c r="D222" s="81" t="s">
        <v>3090</v>
      </c>
      <c r="E222" s="75" t="str">
        <f>VLOOKUP(B222&amp;C222,Divipola!$C$2:$F$1138,4,FALSE)</f>
        <v>66075</v>
      </c>
      <c r="F222" s="87"/>
      <c r="G222" s="87"/>
      <c r="H222" s="87"/>
      <c r="I222" s="87"/>
      <c r="J222" s="87"/>
      <c r="K222" s="87"/>
      <c r="L222" s="87"/>
      <c r="M222" s="87"/>
      <c r="N222" s="87"/>
      <c r="O222" s="87"/>
      <c r="P222" s="87"/>
      <c r="Q222" s="87"/>
      <c r="R222" s="87"/>
      <c r="S222" s="87"/>
      <c r="T222" s="87"/>
      <c r="U222" s="127"/>
      <c r="V222" s="89"/>
      <c r="W222" s="96">
        <v>0</v>
      </c>
      <c r="X222" s="71">
        <f>CU222</f>
        <v>0</v>
      </c>
      <c r="Y222" s="71">
        <f>CY222</f>
        <v>0</v>
      </c>
      <c r="Z222" s="71">
        <f>DA222+DC222+DE222</f>
        <v>27014921</v>
      </c>
      <c r="AA222" s="71">
        <f>CW222</f>
        <v>0</v>
      </c>
      <c r="AB222" s="95"/>
      <c r="AC222" s="71">
        <v>0</v>
      </c>
      <c r="AD222" s="71">
        <f>W222+X222+Y222+Z222+AA222+AB222+AC222</f>
        <v>27014921</v>
      </c>
      <c r="AE222" s="72">
        <v>0</v>
      </c>
      <c r="AF222" s="5"/>
      <c r="AG222" s="6"/>
      <c r="AH222" s="27" t="s">
        <v>3390</v>
      </c>
      <c r="AI222" s="44" t="s">
        <v>3391</v>
      </c>
      <c r="AJ222" s="26"/>
      <c r="AK222" s="5"/>
      <c r="AL222" s="82"/>
      <c r="AM222" s="76"/>
      <c r="AN222" s="76"/>
      <c r="AO222" s="76"/>
      <c r="AP222" s="76"/>
      <c r="AQ222" s="76"/>
      <c r="AR222" s="76"/>
      <c r="AS222" s="76"/>
      <c r="AT222" s="76"/>
      <c r="AU222" s="76"/>
      <c r="AV222" s="76"/>
      <c r="AW222" s="76"/>
      <c r="AX222" s="76">
        <f>+AW222*600000</f>
        <v>0</v>
      </c>
      <c r="AY222" s="76"/>
      <c r="AZ222" s="76">
        <f>+AY222*70000</f>
        <v>0</v>
      </c>
      <c r="BA222" s="76"/>
      <c r="BB222" s="76"/>
      <c r="BC222" s="76"/>
      <c r="BD222" s="76">
        <f>+BC222*30000</f>
        <v>0</v>
      </c>
      <c r="BE222" s="76"/>
      <c r="BF222" s="76"/>
      <c r="BG222" s="76"/>
      <c r="BH222" s="76"/>
      <c r="BI222" s="76"/>
      <c r="BJ222" s="76"/>
      <c r="BK222" s="76"/>
      <c r="BL222" s="76">
        <f>+BK222*31500</f>
        <v>0</v>
      </c>
      <c r="BM222" s="76"/>
      <c r="BN222" s="76"/>
      <c r="BO222" s="76"/>
      <c r="BP222" s="76"/>
      <c r="BQ222" s="76"/>
      <c r="BR222" s="76"/>
      <c r="BS222" s="76"/>
      <c r="BT222" s="76"/>
      <c r="BU222" s="76"/>
      <c r="BV222" s="76"/>
      <c r="BW222" s="76"/>
      <c r="BX222" s="76"/>
      <c r="BY222" s="76"/>
      <c r="BZ222" s="76"/>
      <c r="CA222" s="76"/>
      <c r="CB222" s="76"/>
      <c r="CC222" s="76"/>
      <c r="CD222" s="76"/>
      <c r="CE222" s="76"/>
      <c r="CF222" s="76">
        <f>+CE222*28000</f>
        <v>0</v>
      </c>
      <c r="CG222" s="76"/>
      <c r="CH222" s="76">
        <f>+CG222*22500</f>
        <v>0</v>
      </c>
      <c r="CI222" s="76"/>
      <c r="CJ222" s="76">
        <f>+CI222*26000</f>
        <v>0</v>
      </c>
      <c r="CK222" s="76"/>
      <c r="CL222" s="76"/>
      <c r="CM222" s="76"/>
      <c r="CN222" s="76">
        <f>+CM222*22000</f>
        <v>0</v>
      </c>
      <c r="CO222" s="76"/>
      <c r="CP222" s="76">
        <f>+CO222*46000</f>
        <v>0</v>
      </c>
      <c r="CQ222" s="76"/>
      <c r="CR222" s="76">
        <f>+CQ222*49000</f>
        <v>0</v>
      </c>
      <c r="CS222" s="76"/>
      <c r="CT222" s="76"/>
      <c r="CU222" s="56">
        <f>AN222+AP222+AR222+AT222+AV222+AX222+AZ222+BB222+BD222+BF222+BH222+BJ222+BL222+BN222+BP222+BR222+BT222+BV222+BX222+BZ222+CB222+CD222+CF222+CH222+CJ222+CL222+CN222+CP222+CR222+CT222</f>
        <v>0</v>
      </c>
      <c r="CV222" s="76"/>
      <c r="CW222" s="76">
        <f>+CV222*1100</f>
        <v>0</v>
      </c>
      <c r="CX222" s="76"/>
      <c r="CY222" s="76">
        <f>+CX222*106250</f>
        <v>0</v>
      </c>
      <c r="CZ222" s="76"/>
      <c r="DA222" s="76">
        <f>+CZ222*34500</f>
        <v>0</v>
      </c>
      <c r="DB222" s="76"/>
      <c r="DC222" s="76">
        <f>+DB222*25000</f>
        <v>0</v>
      </c>
      <c r="DD222" s="221" t="s">
        <v>3092</v>
      </c>
      <c r="DE222" s="223">
        <f>50*67499.24+40*265999.6+25*519999</f>
        <v>27014921</v>
      </c>
      <c r="DF222" s="164"/>
      <c r="DG222" s="116"/>
      <c r="DH222" s="117"/>
      <c r="DI222" s="24"/>
      <c r="DJ222" s="24"/>
      <c r="DK222" s="24"/>
      <c r="DL222" s="24"/>
      <c r="DM222" s="24"/>
      <c r="DN222" s="24"/>
      <c r="DO222" s="24"/>
      <c r="DP222" s="24"/>
      <c r="DQ222" s="24"/>
      <c r="DR222" s="24"/>
      <c r="DS222" s="24"/>
      <c r="DT222" s="24"/>
      <c r="DU222" s="24"/>
    </row>
    <row r="223" spans="1:125" s="8" customFormat="1" ht="24" x14ac:dyDescent="0.2">
      <c r="A223" s="77">
        <v>41288</v>
      </c>
      <c r="B223" s="80" t="s">
        <v>2774</v>
      </c>
      <c r="C223" s="84" t="s">
        <v>2745</v>
      </c>
      <c r="D223" s="81" t="s">
        <v>3090</v>
      </c>
      <c r="E223" s="75" t="str">
        <f>VLOOKUP(B223&amp;C223,Divipola!$C$2:$F$1138,4,FALSE)</f>
        <v>66318</v>
      </c>
      <c r="F223" s="87"/>
      <c r="G223" s="87"/>
      <c r="H223" s="87"/>
      <c r="I223" s="87"/>
      <c r="J223" s="87"/>
      <c r="K223" s="87"/>
      <c r="L223" s="87"/>
      <c r="M223" s="87"/>
      <c r="N223" s="87"/>
      <c r="O223" s="87"/>
      <c r="P223" s="87"/>
      <c r="Q223" s="87"/>
      <c r="R223" s="87"/>
      <c r="S223" s="87"/>
      <c r="T223" s="87"/>
      <c r="U223" s="127"/>
      <c r="V223" s="89"/>
      <c r="W223" s="96">
        <v>0</v>
      </c>
      <c r="X223" s="71">
        <f>CU223</f>
        <v>0</v>
      </c>
      <c r="Y223" s="71">
        <f>CY223</f>
        <v>0</v>
      </c>
      <c r="Z223" s="71">
        <f>DA223+DC223+DE223</f>
        <v>27014921</v>
      </c>
      <c r="AA223" s="71">
        <f>CW223</f>
        <v>0</v>
      </c>
      <c r="AB223" s="95"/>
      <c r="AC223" s="71">
        <v>0</v>
      </c>
      <c r="AD223" s="71">
        <f>W223+X223+Y223+Z223+AA223+AB223+AC223</f>
        <v>27014921</v>
      </c>
      <c r="AE223" s="72">
        <v>0</v>
      </c>
      <c r="AF223" s="5"/>
      <c r="AG223" s="6"/>
      <c r="AH223" s="27" t="s">
        <v>3390</v>
      </c>
      <c r="AI223" s="44" t="s">
        <v>3391</v>
      </c>
      <c r="AJ223" s="26"/>
      <c r="AK223" s="5"/>
      <c r="AL223" s="82"/>
      <c r="AM223" s="76"/>
      <c r="AN223" s="76"/>
      <c r="AO223" s="76"/>
      <c r="AP223" s="76"/>
      <c r="AQ223" s="76"/>
      <c r="AR223" s="76"/>
      <c r="AS223" s="76"/>
      <c r="AT223" s="76"/>
      <c r="AU223" s="76"/>
      <c r="AV223" s="76"/>
      <c r="AW223" s="76"/>
      <c r="AX223" s="76">
        <f>+AW223*600000</f>
        <v>0</v>
      </c>
      <c r="AY223" s="76"/>
      <c r="AZ223" s="76">
        <f>+AY223*70000</f>
        <v>0</v>
      </c>
      <c r="BA223" s="76"/>
      <c r="BB223" s="76"/>
      <c r="BC223" s="76"/>
      <c r="BD223" s="76">
        <f>+BC223*30000</f>
        <v>0</v>
      </c>
      <c r="BE223" s="76"/>
      <c r="BF223" s="76"/>
      <c r="BG223" s="76"/>
      <c r="BH223" s="76"/>
      <c r="BI223" s="76"/>
      <c r="BJ223" s="76"/>
      <c r="BK223" s="76"/>
      <c r="BL223" s="76">
        <f>+BK223*31500</f>
        <v>0</v>
      </c>
      <c r="BM223" s="76"/>
      <c r="BN223" s="76"/>
      <c r="BO223" s="76"/>
      <c r="BP223" s="76"/>
      <c r="BQ223" s="76"/>
      <c r="BR223" s="76"/>
      <c r="BS223" s="76"/>
      <c r="BT223" s="76"/>
      <c r="BU223" s="76"/>
      <c r="BV223" s="76"/>
      <c r="BW223" s="76"/>
      <c r="BX223" s="76"/>
      <c r="BY223" s="76"/>
      <c r="BZ223" s="76"/>
      <c r="CA223" s="76"/>
      <c r="CB223" s="76"/>
      <c r="CC223" s="76"/>
      <c r="CD223" s="76"/>
      <c r="CE223" s="76"/>
      <c r="CF223" s="76">
        <f>+CE223*28000</f>
        <v>0</v>
      </c>
      <c r="CG223" s="76"/>
      <c r="CH223" s="76">
        <f>+CG223*22500</f>
        <v>0</v>
      </c>
      <c r="CI223" s="76"/>
      <c r="CJ223" s="76">
        <f>+CI223*26000</f>
        <v>0</v>
      </c>
      <c r="CK223" s="76"/>
      <c r="CL223" s="76"/>
      <c r="CM223" s="76"/>
      <c r="CN223" s="76">
        <f>+CM223*22000</f>
        <v>0</v>
      </c>
      <c r="CO223" s="76"/>
      <c r="CP223" s="76">
        <f>+CO223*46000</f>
        <v>0</v>
      </c>
      <c r="CQ223" s="76"/>
      <c r="CR223" s="76">
        <f>+CQ223*49000</f>
        <v>0</v>
      </c>
      <c r="CS223" s="76"/>
      <c r="CT223" s="76"/>
      <c r="CU223" s="56">
        <f>AN223+AP223+AR223+AT223+AV223+AX223+AZ223+BB223+BD223+BF223+BH223+BJ223+BL223+BN223+BP223+BR223+BT223+BV223+BX223+BZ223+CB223+CD223+CF223+CH223+CJ223+CL223+CN223+CP223+CR223+CT223</f>
        <v>0</v>
      </c>
      <c r="CV223" s="76"/>
      <c r="CW223" s="76">
        <f>+CV223*1100</f>
        <v>0</v>
      </c>
      <c r="CX223" s="76"/>
      <c r="CY223" s="76">
        <f>+CX223*106250</f>
        <v>0</v>
      </c>
      <c r="CZ223" s="76"/>
      <c r="DA223" s="76">
        <f>+CZ223*34500</f>
        <v>0</v>
      </c>
      <c r="DB223" s="76"/>
      <c r="DC223" s="76">
        <f>+DB223*25000</f>
        <v>0</v>
      </c>
      <c r="DD223" s="221" t="s">
        <v>3092</v>
      </c>
      <c r="DE223" s="223">
        <f>50*67499.24+40*265999.6+25*519999</f>
        <v>27014921</v>
      </c>
      <c r="DF223" s="164"/>
      <c r="DG223" s="116"/>
      <c r="DH223" s="117"/>
      <c r="DI223" s="24"/>
      <c r="DJ223" s="24"/>
      <c r="DK223" s="24"/>
      <c r="DL223" s="24"/>
      <c r="DM223" s="24"/>
      <c r="DN223" s="24"/>
      <c r="DO223" s="24"/>
      <c r="DP223" s="24"/>
      <c r="DQ223" s="24"/>
      <c r="DR223" s="24"/>
      <c r="DS223" s="24"/>
      <c r="DT223" s="24"/>
      <c r="DU223" s="24"/>
    </row>
    <row r="224" spans="1:125" s="8" customFormat="1" ht="24" x14ac:dyDescent="0.2">
      <c r="A224" s="77">
        <v>41288</v>
      </c>
      <c r="B224" s="80" t="s">
        <v>2774</v>
      </c>
      <c r="C224" s="81" t="s">
        <v>2073</v>
      </c>
      <c r="D224" s="81" t="s">
        <v>3090</v>
      </c>
      <c r="E224" s="75" t="str">
        <f>VLOOKUP(B224&amp;C224,Divipola!$C$2:$F$1138,4,FALSE)</f>
        <v>66383</v>
      </c>
      <c r="F224" s="87"/>
      <c r="G224" s="87"/>
      <c r="H224" s="87"/>
      <c r="I224" s="87"/>
      <c r="J224" s="87"/>
      <c r="K224" s="87"/>
      <c r="L224" s="87"/>
      <c r="M224" s="87"/>
      <c r="N224" s="87"/>
      <c r="O224" s="87"/>
      <c r="P224" s="87"/>
      <c r="Q224" s="87"/>
      <c r="R224" s="87"/>
      <c r="S224" s="87"/>
      <c r="T224" s="87"/>
      <c r="U224" s="127"/>
      <c r="V224" s="89"/>
      <c r="W224" s="96">
        <v>0</v>
      </c>
      <c r="X224" s="71">
        <f>CU224</f>
        <v>0</v>
      </c>
      <c r="Y224" s="71">
        <f>CY224</f>
        <v>0</v>
      </c>
      <c r="Z224" s="71">
        <f>DA224+DC224+DE224</f>
        <v>41222384.079999998</v>
      </c>
      <c r="AA224" s="71">
        <f>CW224</f>
        <v>0</v>
      </c>
      <c r="AB224" s="95"/>
      <c r="AC224" s="71">
        <v>0</v>
      </c>
      <c r="AD224" s="71">
        <f>W224+X224+Y224+Z224+AA224+AB224+AC224</f>
        <v>41222384.079999998</v>
      </c>
      <c r="AE224" s="72">
        <v>0</v>
      </c>
      <c r="AF224" s="5"/>
      <c r="AG224" s="6"/>
      <c r="AH224" s="27" t="s">
        <v>3390</v>
      </c>
      <c r="AI224" s="44" t="s">
        <v>3391</v>
      </c>
      <c r="AJ224" s="26"/>
      <c r="AK224" s="5"/>
      <c r="AL224" s="82"/>
      <c r="AM224" s="76"/>
      <c r="AN224" s="76"/>
      <c r="AO224" s="76"/>
      <c r="AP224" s="76"/>
      <c r="AQ224" s="76"/>
      <c r="AR224" s="76"/>
      <c r="AS224" s="76"/>
      <c r="AT224" s="76"/>
      <c r="AU224" s="76"/>
      <c r="AV224" s="76"/>
      <c r="AW224" s="76"/>
      <c r="AX224" s="76">
        <f>+AW224*600000</f>
        <v>0</v>
      </c>
      <c r="AY224" s="76"/>
      <c r="AZ224" s="76">
        <f>+AY224*70000</f>
        <v>0</v>
      </c>
      <c r="BA224" s="76"/>
      <c r="BB224" s="76"/>
      <c r="BC224" s="76"/>
      <c r="BD224" s="76">
        <f>+BC224*30000</f>
        <v>0</v>
      </c>
      <c r="BE224" s="76"/>
      <c r="BF224" s="76"/>
      <c r="BG224" s="76"/>
      <c r="BH224" s="76"/>
      <c r="BI224" s="76"/>
      <c r="BJ224" s="76"/>
      <c r="BK224" s="76"/>
      <c r="BL224" s="76">
        <f>+BK224*31500</f>
        <v>0</v>
      </c>
      <c r="BM224" s="76"/>
      <c r="BN224" s="76"/>
      <c r="BO224" s="76"/>
      <c r="BP224" s="76"/>
      <c r="BQ224" s="76"/>
      <c r="BR224" s="76"/>
      <c r="BS224" s="76"/>
      <c r="BT224" s="76"/>
      <c r="BU224" s="76"/>
      <c r="BV224" s="76"/>
      <c r="BW224" s="76"/>
      <c r="BX224" s="76"/>
      <c r="BY224" s="76"/>
      <c r="BZ224" s="76"/>
      <c r="CA224" s="76"/>
      <c r="CB224" s="76"/>
      <c r="CC224" s="76"/>
      <c r="CD224" s="76"/>
      <c r="CE224" s="76"/>
      <c r="CF224" s="76">
        <f>+CE224*28000</f>
        <v>0</v>
      </c>
      <c r="CG224" s="76"/>
      <c r="CH224" s="76">
        <f>+CG224*22500</f>
        <v>0</v>
      </c>
      <c r="CI224" s="76"/>
      <c r="CJ224" s="76">
        <f>+CI224*26000</f>
        <v>0</v>
      </c>
      <c r="CK224" s="76"/>
      <c r="CL224" s="76"/>
      <c r="CM224" s="76"/>
      <c r="CN224" s="76">
        <f>+CM224*22000</f>
        <v>0</v>
      </c>
      <c r="CO224" s="76"/>
      <c r="CP224" s="76">
        <f>+CO224*46000</f>
        <v>0</v>
      </c>
      <c r="CQ224" s="76"/>
      <c r="CR224" s="76">
        <f>+CQ224*49000</f>
        <v>0</v>
      </c>
      <c r="CS224" s="76"/>
      <c r="CT224" s="76"/>
      <c r="CU224" s="56">
        <f>AN224+AP224+AR224+AT224+AV224+AX224+AZ224+BB224+BD224+BF224+BH224+BJ224+BL224+BN224+BP224+BR224+BT224+BV224+BX224+BZ224+CB224+CD224+CF224+CH224+CJ224+CL224+CN224+CP224+CR224+CT224</f>
        <v>0</v>
      </c>
      <c r="CV224" s="76"/>
      <c r="CW224" s="76">
        <f>+CV224*1100</f>
        <v>0</v>
      </c>
      <c r="CX224" s="76"/>
      <c r="CY224" s="76">
        <f>+CX224*106250</f>
        <v>0</v>
      </c>
      <c r="CZ224" s="76"/>
      <c r="DA224" s="76">
        <f>+CZ224*34500</f>
        <v>0</v>
      </c>
      <c r="DB224" s="76"/>
      <c r="DC224" s="76">
        <f>+DB224*25000</f>
        <v>0</v>
      </c>
      <c r="DD224" s="221" t="s">
        <v>3091</v>
      </c>
      <c r="DE224" s="223">
        <f>67*67499.24+50*265999.6+45*519999</f>
        <v>41222384.079999998</v>
      </c>
      <c r="DF224" s="164"/>
      <c r="DG224" s="116"/>
      <c r="DH224" s="117"/>
      <c r="DI224" s="24"/>
      <c r="DJ224" s="24"/>
      <c r="DK224" s="24"/>
      <c r="DL224" s="24"/>
      <c r="DM224" s="24"/>
      <c r="DN224" s="24"/>
      <c r="DO224" s="24"/>
      <c r="DP224" s="24"/>
      <c r="DQ224" s="24"/>
      <c r="DR224" s="24"/>
      <c r="DS224" s="24"/>
      <c r="DT224" s="24"/>
      <c r="DU224" s="24"/>
    </row>
    <row r="225" spans="1:125" s="8" customFormat="1" ht="24" x14ac:dyDescent="0.2">
      <c r="A225" s="77">
        <v>41288</v>
      </c>
      <c r="B225" s="80" t="s">
        <v>2774</v>
      </c>
      <c r="C225" s="75" t="s">
        <v>2038</v>
      </c>
      <c r="D225" s="81" t="s">
        <v>3090</v>
      </c>
      <c r="E225" s="75" t="str">
        <f>VLOOKUP(B225&amp;C225,Divipola!$C$2:$F$1138,4,FALSE)</f>
        <v>66456</v>
      </c>
      <c r="F225" s="87"/>
      <c r="G225" s="87"/>
      <c r="H225" s="87"/>
      <c r="I225" s="87"/>
      <c r="J225" s="87"/>
      <c r="K225" s="87"/>
      <c r="L225" s="87"/>
      <c r="M225" s="87"/>
      <c r="N225" s="87"/>
      <c r="O225" s="87"/>
      <c r="P225" s="87"/>
      <c r="Q225" s="87"/>
      <c r="R225" s="87"/>
      <c r="S225" s="87"/>
      <c r="T225" s="87"/>
      <c r="U225" s="127"/>
      <c r="V225" s="89"/>
      <c r="W225" s="96">
        <v>0</v>
      </c>
      <c r="X225" s="71">
        <f>CU225</f>
        <v>0</v>
      </c>
      <c r="Y225" s="71">
        <f>CY225</f>
        <v>0</v>
      </c>
      <c r="Z225" s="71">
        <f>DA225+DC225+DE225</f>
        <v>27074922</v>
      </c>
      <c r="AA225" s="71">
        <f>CW225</f>
        <v>0</v>
      </c>
      <c r="AB225" s="95"/>
      <c r="AC225" s="71">
        <v>0</v>
      </c>
      <c r="AD225" s="71">
        <f>W225+X225+Y225+Z225+AA225+AB225+AC225</f>
        <v>27074922</v>
      </c>
      <c r="AE225" s="72">
        <v>0</v>
      </c>
      <c r="AF225" s="5"/>
      <c r="AG225" s="6"/>
      <c r="AH225" s="27" t="s">
        <v>3390</v>
      </c>
      <c r="AI225" s="44" t="s">
        <v>3391</v>
      </c>
      <c r="AJ225" s="26"/>
      <c r="AK225" s="5"/>
      <c r="AL225" s="82"/>
      <c r="AM225" s="76"/>
      <c r="AN225" s="76"/>
      <c r="AO225" s="76"/>
      <c r="AP225" s="76"/>
      <c r="AQ225" s="76"/>
      <c r="AR225" s="76"/>
      <c r="AS225" s="76"/>
      <c r="AT225" s="76"/>
      <c r="AU225" s="76"/>
      <c r="AV225" s="76"/>
      <c r="AW225" s="76"/>
      <c r="AX225" s="76">
        <f>+AW225*600000</f>
        <v>0</v>
      </c>
      <c r="AY225" s="76"/>
      <c r="AZ225" s="76">
        <f>+AY225*70000</f>
        <v>0</v>
      </c>
      <c r="BA225" s="76"/>
      <c r="BB225" s="76"/>
      <c r="BC225" s="76"/>
      <c r="BD225" s="76">
        <f>+BC225*30000</f>
        <v>0</v>
      </c>
      <c r="BE225" s="76"/>
      <c r="BF225" s="76"/>
      <c r="BG225" s="76"/>
      <c r="BH225" s="76"/>
      <c r="BI225" s="76"/>
      <c r="BJ225" s="76"/>
      <c r="BK225" s="76"/>
      <c r="BL225" s="76">
        <f>+BK225*31500</f>
        <v>0</v>
      </c>
      <c r="BM225" s="76"/>
      <c r="BN225" s="76"/>
      <c r="BO225" s="76"/>
      <c r="BP225" s="76"/>
      <c r="BQ225" s="76"/>
      <c r="BR225" s="76"/>
      <c r="BS225" s="76"/>
      <c r="BT225" s="76"/>
      <c r="BU225" s="76"/>
      <c r="BV225" s="76"/>
      <c r="BW225" s="76"/>
      <c r="BX225" s="76"/>
      <c r="BY225" s="76"/>
      <c r="BZ225" s="76"/>
      <c r="CA225" s="76"/>
      <c r="CB225" s="76"/>
      <c r="CC225" s="76"/>
      <c r="CD225" s="76"/>
      <c r="CE225" s="76"/>
      <c r="CF225" s="76">
        <f>+CE225*28000</f>
        <v>0</v>
      </c>
      <c r="CG225" s="76"/>
      <c r="CH225" s="76">
        <f>+CG225*22500</f>
        <v>0</v>
      </c>
      <c r="CI225" s="76"/>
      <c r="CJ225" s="76">
        <f>+CI225*26000</f>
        <v>0</v>
      </c>
      <c r="CK225" s="76"/>
      <c r="CL225" s="76"/>
      <c r="CM225" s="76"/>
      <c r="CN225" s="76">
        <f>+CM225*22000</f>
        <v>0</v>
      </c>
      <c r="CO225" s="76"/>
      <c r="CP225" s="76">
        <f>+CO225*46000</f>
        <v>0</v>
      </c>
      <c r="CQ225" s="76"/>
      <c r="CR225" s="76">
        <f>+CQ225*49000</f>
        <v>0</v>
      </c>
      <c r="CS225" s="76"/>
      <c r="CT225" s="76"/>
      <c r="CU225" s="56">
        <f>AN225+AP225+AR225+AT225+AV225+AX225+AZ225+BB225+BD225+BF225+BH225+BJ225+BL225+BN225+BP225+BR225+BT225+BV225+BX225+BZ225+CB225+CD225+CF225+CH225+CJ225+CL225+CN225+CP225+CR225+CT225</f>
        <v>0</v>
      </c>
      <c r="CV225" s="76"/>
      <c r="CW225" s="76">
        <f>+CV225*1100</f>
        <v>0</v>
      </c>
      <c r="CX225" s="76"/>
      <c r="CY225" s="76">
        <f>+CX225*106250</f>
        <v>0</v>
      </c>
      <c r="CZ225" s="76"/>
      <c r="DA225" s="76">
        <f>+CZ225*34500</f>
        <v>0</v>
      </c>
      <c r="DB225" s="76"/>
      <c r="DC225" s="76">
        <f>+DB225*25000</f>
        <v>0</v>
      </c>
      <c r="DD225" s="221" t="s">
        <v>3093</v>
      </c>
      <c r="DE225" s="223">
        <f>50*67499.24+50*265999.6+20*519999</f>
        <v>27074922</v>
      </c>
      <c r="DF225" s="164"/>
      <c r="DG225" s="116"/>
      <c r="DH225" s="117"/>
      <c r="DI225" s="24"/>
      <c r="DJ225" s="24"/>
      <c r="DK225" s="24"/>
      <c r="DL225" s="24"/>
      <c r="DM225" s="24"/>
      <c r="DN225" s="24"/>
      <c r="DO225" s="24"/>
      <c r="DP225" s="24"/>
      <c r="DQ225" s="24"/>
      <c r="DR225" s="24"/>
      <c r="DS225" s="24"/>
      <c r="DT225" s="24"/>
      <c r="DU225" s="24"/>
    </row>
    <row r="226" spans="1:125" s="8" customFormat="1" ht="48" x14ac:dyDescent="0.2">
      <c r="A226" s="77">
        <v>41288</v>
      </c>
      <c r="B226" s="78" t="s">
        <v>2847</v>
      </c>
      <c r="C226" s="75" t="s">
        <v>2673</v>
      </c>
      <c r="D226" s="81" t="s">
        <v>2846</v>
      </c>
      <c r="E226" s="75" t="str">
        <f>VLOOKUP(B226&amp;C226,Divipola!$C$2:$F$1138,4,FALSE)</f>
        <v>68001</v>
      </c>
      <c r="F226" s="87"/>
      <c r="G226" s="87"/>
      <c r="H226" s="87"/>
      <c r="I226" s="87"/>
      <c r="J226" s="87"/>
      <c r="K226" s="87"/>
      <c r="L226" s="87"/>
      <c r="M226" s="87"/>
      <c r="N226" s="87"/>
      <c r="O226" s="87"/>
      <c r="P226" s="87"/>
      <c r="Q226" s="87"/>
      <c r="R226" s="87"/>
      <c r="S226" s="87"/>
      <c r="T226" s="87"/>
      <c r="U226" s="127">
        <v>4</v>
      </c>
      <c r="V226" s="89"/>
      <c r="W226" s="96">
        <v>0</v>
      </c>
      <c r="X226" s="71">
        <f>CU226</f>
        <v>0</v>
      </c>
      <c r="Y226" s="71">
        <f>CY226</f>
        <v>0</v>
      </c>
      <c r="Z226" s="71">
        <f>DA226+DC226+DE226</f>
        <v>0</v>
      </c>
      <c r="AA226" s="71">
        <f>CW226</f>
        <v>0</v>
      </c>
      <c r="AB226" s="71"/>
      <c r="AC226" s="71">
        <v>0</v>
      </c>
      <c r="AD226" s="71">
        <f>W226+X226+Y226+Z226+AA226+AB226+AC226</f>
        <v>0</v>
      </c>
      <c r="AE226" s="72">
        <v>0</v>
      </c>
      <c r="AF226" s="5"/>
      <c r="AG226" s="6"/>
      <c r="AH226" s="27" t="s">
        <v>3392</v>
      </c>
      <c r="AI226" s="44" t="s">
        <v>3393</v>
      </c>
      <c r="AJ226" s="26"/>
      <c r="AK226" s="5"/>
      <c r="AL226" s="82" t="s">
        <v>3052</v>
      </c>
      <c r="AM226" s="76"/>
      <c r="AN226" s="76"/>
      <c r="AO226" s="76"/>
      <c r="AP226" s="76"/>
      <c r="AQ226" s="76"/>
      <c r="AR226" s="76"/>
      <c r="AS226" s="76"/>
      <c r="AT226" s="76"/>
      <c r="AU226" s="76"/>
      <c r="AV226" s="76"/>
      <c r="AW226" s="76"/>
      <c r="AX226" s="76">
        <f>+AW226*600000</f>
        <v>0</v>
      </c>
      <c r="AY226" s="76"/>
      <c r="AZ226" s="76">
        <f>+AY226*70000</f>
        <v>0</v>
      </c>
      <c r="BA226" s="76"/>
      <c r="BB226" s="76"/>
      <c r="BC226" s="76"/>
      <c r="BD226" s="76">
        <f>+BC226*30000</f>
        <v>0</v>
      </c>
      <c r="BE226" s="76"/>
      <c r="BF226" s="76"/>
      <c r="BG226" s="76"/>
      <c r="BH226" s="76"/>
      <c r="BI226" s="76"/>
      <c r="BJ226" s="76"/>
      <c r="BK226" s="76"/>
      <c r="BL226" s="76">
        <f>+BK226*31500</f>
        <v>0</v>
      </c>
      <c r="BM226" s="76"/>
      <c r="BN226" s="76"/>
      <c r="BO226" s="76"/>
      <c r="BP226" s="76"/>
      <c r="BQ226" s="76"/>
      <c r="BR226" s="76"/>
      <c r="BS226" s="76"/>
      <c r="BT226" s="76"/>
      <c r="BU226" s="76"/>
      <c r="BV226" s="76"/>
      <c r="BW226" s="76"/>
      <c r="BX226" s="76"/>
      <c r="BY226" s="76"/>
      <c r="BZ226" s="76"/>
      <c r="CA226" s="76"/>
      <c r="CB226" s="76"/>
      <c r="CC226" s="76"/>
      <c r="CD226" s="76"/>
      <c r="CE226" s="76"/>
      <c r="CF226" s="76">
        <f>+CE226*28000</f>
        <v>0</v>
      </c>
      <c r="CG226" s="76"/>
      <c r="CH226" s="76">
        <f>+CG226*22500</f>
        <v>0</v>
      </c>
      <c r="CI226" s="76"/>
      <c r="CJ226" s="76">
        <f>+CI226*26000</f>
        <v>0</v>
      </c>
      <c r="CK226" s="76"/>
      <c r="CL226" s="76"/>
      <c r="CM226" s="76"/>
      <c r="CN226" s="76">
        <f>+CM226*22000</f>
        <v>0</v>
      </c>
      <c r="CO226" s="76"/>
      <c r="CP226" s="76">
        <f>+CO226*46000</f>
        <v>0</v>
      </c>
      <c r="CQ226" s="76"/>
      <c r="CR226" s="76">
        <f>+CQ226*49000</f>
        <v>0</v>
      </c>
      <c r="CS226" s="76"/>
      <c r="CT226" s="76"/>
      <c r="CU226" s="56">
        <f>AN226+AP226+AR226+AT226+AV226+AX226+AZ226+BB226+BD226+BF226+BH226+BJ226+BL226+BN226+BP226+BR226+BT226+BV226+BX226+BZ226+CB226+CD226+CF226+CH226+CJ226+CL226+CN226+CP226+CR226+CT226</f>
        <v>0</v>
      </c>
      <c r="CV226" s="76"/>
      <c r="CW226" s="76">
        <f>+CV226*1100</f>
        <v>0</v>
      </c>
      <c r="CX226" s="76"/>
      <c r="CY226" s="76">
        <f>+CX226*106250</f>
        <v>0</v>
      </c>
      <c r="CZ226" s="76"/>
      <c r="DA226" s="76">
        <f>+CZ226*34500</f>
        <v>0</v>
      </c>
      <c r="DB226" s="76"/>
      <c r="DC226" s="76">
        <f>+DB226*25000</f>
        <v>0</v>
      </c>
      <c r="DD226" s="219"/>
      <c r="DE226" s="219"/>
      <c r="DF226" s="164"/>
      <c r="DG226" s="116"/>
      <c r="DH226" s="117"/>
      <c r="DI226" s="24"/>
      <c r="DJ226" s="24"/>
      <c r="DK226" s="24"/>
      <c r="DL226" s="24"/>
      <c r="DM226" s="24"/>
      <c r="DN226" s="24"/>
      <c r="DO226" s="24"/>
      <c r="DP226" s="24"/>
      <c r="DQ226" s="24"/>
      <c r="DR226" s="24"/>
      <c r="DS226" s="24"/>
      <c r="DT226" s="24"/>
      <c r="DU226" s="24"/>
    </row>
    <row r="227" spans="1:125" s="8" customFormat="1" ht="48" x14ac:dyDescent="0.2">
      <c r="A227" s="77">
        <v>41288</v>
      </c>
      <c r="B227" s="80" t="s">
        <v>2847</v>
      </c>
      <c r="C227" s="81" t="s">
        <v>1789</v>
      </c>
      <c r="D227" s="81" t="s">
        <v>2846</v>
      </c>
      <c r="E227" s="75" t="str">
        <f>VLOOKUP(B227&amp;C227,Divipola!$C$2:$F$1138,4,FALSE)</f>
        <v>68861</v>
      </c>
      <c r="F227" s="87"/>
      <c r="G227" s="87"/>
      <c r="H227" s="87"/>
      <c r="I227" s="87"/>
      <c r="J227" s="87"/>
      <c r="K227" s="87"/>
      <c r="L227" s="87"/>
      <c r="M227" s="87"/>
      <c r="N227" s="87"/>
      <c r="O227" s="87"/>
      <c r="P227" s="87"/>
      <c r="Q227" s="87"/>
      <c r="R227" s="87"/>
      <c r="S227" s="87"/>
      <c r="T227" s="87"/>
      <c r="U227" s="127">
        <v>0.2</v>
      </c>
      <c r="V227" s="89"/>
      <c r="W227" s="96">
        <v>0</v>
      </c>
      <c r="X227" s="71">
        <f>CU227</f>
        <v>0</v>
      </c>
      <c r="Y227" s="71">
        <f>CY227</f>
        <v>0</v>
      </c>
      <c r="Z227" s="71">
        <f>DA227+DC227+DE227</f>
        <v>0</v>
      </c>
      <c r="AA227" s="71">
        <f>CW227</f>
        <v>0</v>
      </c>
      <c r="AB227" s="71"/>
      <c r="AC227" s="71">
        <v>0</v>
      </c>
      <c r="AD227" s="71">
        <f>W227+X227+Y227+Z227+AA227+AB227+AC227</f>
        <v>0</v>
      </c>
      <c r="AE227" s="72">
        <v>0</v>
      </c>
      <c r="AF227" s="5"/>
      <c r="AG227" s="6"/>
      <c r="AH227" s="27" t="s">
        <v>3392</v>
      </c>
      <c r="AI227" s="44" t="s">
        <v>3393</v>
      </c>
      <c r="AJ227" s="26"/>
      <c r="AK227" s="5"/>
      <c r="AL227" s="82" t="s">
        <v>3054</v>
      </c>
      <c r="AM227" s="76"/>
      <c r="AN227" s="76"/>
      <c r="AO227" s="76"/>
      <c r="AP227" s="76"/>
      <c r="AQ227" s="76"/>
      <c r="AR227" s="76"/>
      <c r="AS227" s="76"/>
      <c r="AT227" s="76"/>
      <c r="AU227" s="76"/>
      <c r="AV227" s="76"/>
      <c r="AW227" s="76"/>
      <c r="AX227" s="76">
        <f>+AW227*600000</f>
        <v>0</v>
      </c>
      <c r="AY227" s="76"/>
      <c r="AZ227" s="76">
        <f>+AY227*70000</f>
        <v>0</v>
      </c>
      <c r="BA227" s="76"/>
      <c r="BB227" s="76"/>
      <c r="BC227" s="76"/>
      <c r="BD227" s="76">
        <f>+BC227*30000</f>
        <v>0</v>
      </c>
      <c r="BE227" s="76"/>
      <c r="BF227" s="76"/>
      <c r="BG227" s="76"/>
      <c r="BH227" s="76"/>
      <c r="BI227" s="76"/>
      <c r="BJ227" s="76"/>
      <c r="BK227" s="76"/>
      <c r="BL227" s="76">
        <f>+BK227*31500</f>
        <v>0</v>
      </c>
      <c r="BM227" s="76"/>
      <c r="BN227" s="76"/>
      <c r="BO227" s="76"/>
      <c r="BP227" s="76"/>
      <c r="BQ227" s="76"/>
      <c r="BR227" s="76"/>
      <c r="BS227" s="76"/>
      <c r="BT227" s="76"/>
      <c r="BU227" s="76"/>
      <c r="BV227" s="76"/>
      <c r="BW227" s="76"/>
      <c r="BX227" s="76"/>
      <c r="BY227" s="76"/>
      <c r="BZ227" s="76"/>
      <c r="CA227" s="76"/>
      <c r="CB227" s="76"/>
      <c r="CC227" s="76"/>
      <c r="CD227" s="76"/>
      <c r="CE227" s="76"/>
      <c r="CF227" s="76">
        <f>+CE227*28000</f>
        <v>0</v>
      </c>
      <c r="CG227" s="76"/>
      <c r="CH227" s="76">
        <f>+CG227*22500</f>
        <v>0</v>
      </c>
      <c r="CI227" s="76"/>
      <c r="CJ227" s="76">
        <f>+CI227*26000</f>
        <v>0</v>
      </c>
      <c r="CK227" s="76"/>
      <c r="CL227" s="76"/>
      <c r="CM227" s="76"/>
      <c r="CN227" s="76">
        <f>+CM227*22000</f>
        <v>0</v>
      </c>
      <c r="CO227" s="76"/>
      <c r="CP227" s="76">
        <f>+CO227*46000</f>
        <v>0</v>
      </c>
      <c r="CQ227" s="76"/>
      <c r="CR227" s="76">
        <f>+CQ227*49000</f>
        <v>0</v>
      </c>
      <c r="CS227" s="76"/>
      <c r="CT227" s="76"/>
      <c r="CU227" s="56">
        <f>AN227+AP227+AR227+AT227+AV227+AX227+AZ227+BB227+BD227+BF227+BH227+BJ227+BL227+BN227+BP227+BR227+BT227+BV227+BX227+BZ227+CB227+CD227+CF227+CH227+CJ227+CL227+CN227+CP227+CR227+CT227</f>
        <v>0</v>
      </c>
      <c r="CV227" s="76"/>
      <c r="CW227" s="76">
        <f>+CV227*1100</f>
        <v>0</v>
      </c>
      <c r="CX227" s="76"/>
      <c r="CY227" s="76">
        <f>+CX227*106250</f>
        <v>0</v>
      </c>
      <c r="CZ227" s="76"/>
      <c r="DA227" s="76">
        <f>+CZ227*34500</f>
        <v>0</v>
      </c>
      <c r="DB227" s="76"/>
      <c r="DC227" s="76">
        <f>+DB227*25000</f>
        <v>0</v>
      </c>
      <c r="DD227" s="219"/>
      <c r="DE227" s="219"/>
      <c r="DF227" s="164"/>
      <c r="DG227" s="116"/>
      <c r="DH227" s="117"/>
      <c r="DI227" s="24"/>
      <c r="DJ227" s="24"/>
      <c r="DK227" s="24"/>
      <c r="DL227" s="24"/>
      <c r="DM227" s="24"/>
      <c r="DN227" s="24"/>
      <c r="DO227" s="24"/>
      <c r="DP227" s="24"/>
      <c r="DQ227" s="24"/>
      <c r="DR227" s="24"/>
      <c r="DS227" s="24"/>
      <c r="DT227" s="24"/>
      <c r="DU227" s="24"/>
    </row>
    <row r="228" spans="1:125" s="8" customFormat="1" ht="36" x14ac:dyDescent="0.2">
      <c r="A228" s="77">
        <v>41288</v>
      </c>
      <c r="B228" s="80" t="s">
        <v>2847</v>
      </c>
      <c r="C228" s="81" t="s">
        <v>1794</v>
      </c>
      <c r="D228" s="81" t="s">
        <v>2846</v>
      </c>
      <c r="E228" s="75" t="str">
        <f>VLOOKUP(B228&amp;C228,Divipola!$C$2:$F$1138,4,FALSE)</f>
        <v>68895</v>
      </c>
      <c r="F228" s="87"/>
      <c r="G228" s="87"/>
      <c r="H228" s="87"/>
      <c r="I228" s="87"/>
      <c r="J228" s="87"/>
      <c r="K228" s="87"/>
      <c r="L228" s="87"/>
      <c r="M228" s="87"/>
      <c r="N228" s="87"/>
      <c r="O228" s="87"/>
      <c r="P228" s="87"/>
      <c r="Q228" s="87"/>
      <c r="R228" s="87"/>
      <c r="S228" s="87"/>
      <c r="T228" s="87"/>
      <c r="U228" s="127"/>
      <c r="V228" s="89"/>
      <c r="W228" s="96">
        <v>0</v>
      </c>
      <c r="X228" s="71">
        <f>CU228</f>
        <v>0</v>
      </c>
      <c r="Y228" s="71">
        <f>CY228</f>
        <v>0</v>
      </c>
      <c r="Z228" s="71">
        <f>DA228+DC228+DE228</f>
        <v>0</v>
      </c>
      <c r="AA228" s="71">
        <f>CW228</f>
        <v>0</v>
      </c>
      <c r="AB228" s="71"/>
      <c r="AC228" s="71">
        <v>0</v>
      </c>
      <c r="AD228" s="71">
        <f>W228+X228+Y228+Z228+AA228+AB228+AC228</f>
        <v>0</v>
      </c>
      <c r="AE228" s="72">
        <v>0</v>
      </c>
      <c r="AF228" s="5"/>
      <c r="AG228" s="6"/>
      <c r="AH228" s="27" t="s">
        <v>3392</v>
      </c>
      <c r="AI228" s="44" t="s">
        <v>3393</v>
      </c>
      <c r="AJ228" s="26"/>
      <c r="AK228" s="5"/>
      <c r="AL228" s="82" t="s">
        <v>3053</v>
      </c>
      <c r="AM228" s="76"/>
      <c r="AN228" s="76"/>
      <c r="AO228" s="76"/>
      <c r="AP228" s="76"/>
      <c r="AQ228" s="76"/>
      <c r="AR228" s="76"/>
      <c r="AS228" s="76"/>
      <c r="AT228" s="76"/>
      <c r="AU228" s="76"/>
      <c r="AV228" s="76"/>
      <c r="AW228" s="76"/>
      <c r="AX228" s="76">
        <f>+AW228*600000</f>
        <v>0</v>
      </c>
      <c r="AY228" s="76"/>
      <c r="AZ228" s="76">
        <f>+AY228*70000</f>
        <v>0</v>
      </c>
      <c r="BA228" s="76"/>
      <c r="BB228" s="76"/>
      <c r="BC228" s="76"/>
      <c r="BD228" s="76">
        <f>+BC228*30000</f>
        <v>0</v>
      </c>
      <c r="BE228" s="76"/>
      <c r="BF228" s="76"/>
      <c r="BG228" s="76"/>
      <c r="BH228" s="76"/>
      <c r="BI228" s="76"/>
      <c r="BJ228" s="76"/>
      <c r="BK228" s="76"/>
      <c r="BL228" s="76">
        <f>+BK228*31500</f>
        <v>0</v>
      </c>
      <c r="BM228" s="76"/>
      <c r="BN228" s="76"/>
      <c r="BO228" s="76"/>
      <c r="BP228" s="76"/>
      <c r="BQ228" s="76"/>
      <c r="BR228" s="76"/>
      <c r="BS228" s="76"/>
      <c r="BT228" s="76"/>
      <c r="BU228" s="76"/>
      <c r="BV228" s="76"/>
      <c r="BW228" s="76"/>
      <c r="BX228" s="76"/>
      <c r="BY228" s="76"/>
      <c r="BZ228" s="76"/>
      <c r="CA228" s="76"/>
      <c r="CB228" s="76"/>
      <c r="CC228" s="76"/>
      <c r="CD228" s="76"/>
      <c r="CE228" s="76"/>
      <c r="CF228" s="76">
        <f>+CE228*28000</f>
        <v>0</v>
      </c>
      <c r="CG228" s="76"/>
      <c r="CH228" s="76">
        <f>+CG228*22500</f>
        <v>0</v>
      </c>
      <c r="CI228" s="76"/>
      <c r="CJ228" s="76">
        <f>+CI228*26000</f>
        <v>0</v>
      </c>
      <c r="CK228" s="76"/>
      <c r="CL228" s="76"/>
      <c r="CM228" s="76"/>
      <c r="CN228" s="76">
        <f>+CM228*22000</f>
        <v>0</v>
      </c>
      <c r="CO228" s="76"/>
      <c r="CP228" s="76">
        <f>+CO228*46000</f>
        <v>0</v>
      </c>
      <c r="CQ228" s="76"/>
      <c r="CR228" s="76">
        <f>+CQ228*49000</f>
        <v>0</v>
      </c>
      <c r="CS228" s="76"/>
      <c r="CT228" s="76"/>
      <c r="CU228" s="56">
        <f>AN228+AP228+AR228+AT228+AV228+AX228+AZ228+BB228+BD228+BF228+BH228+BJ228+BL228+BN228+BP228+BR228+BT228+BV228+BX228+BZ228+CB228+CD228+CF228+CH228+CJ228+CL228+CN228+CP228+CR228+CT228</f>
        <v>0</v>
      </c>
      <c r="CV228" s="76"/>
      <c r="CW228" s="76">
        <f>+CV228*1100</f>
        <v>0</v>
      </c>
      <c r="CX228" s="76"/>
      <c r="CY228" s="76">
        <f>+CX228*106250</f>
        <v>0</v>
      </c>
      <c r="CZ228" s="76"/>
      <c r="DA228" s="76">
        <f>+CZ228*34500</f>
        <v>0</v>
      </c>
      <c r="DB228" s="76"/>
      <c r="DC228" s="76">
        <f>+DB228*25000</f>
        <v>0</v>
      </c>
      <c r="DD228" s="219"/>
      <c r="DE228" s="219"/>
      <c r="DF228" s="164"/>
      <c r="DG228" s="116"/>
      <c r="DH228" s="117"/>
      <c r="DI228" s="24"/>
      <c r="DJ228" s="24"/>
      <c r="DK228" s="24"/>
      <c r="DL228" s="24"/>
      <c r="DM228" s="24"/>
      <c r="DN228" s="24"/>
      <c r="DO228" s="24"/>
      <c r="DP228" s="24"/>
      <c r="DQ228" s="24"/>
      <c r="DR228" s="24"/>
      <c r="DS228" s="24"/>
      <c r="DT228" s="24"/>
      <c r="DU228" s="24"/>
    </row>
    <row r="229" spans="1:125" s="8" customFormat="1" ht="36" x14ac:dyDescent="0.2">
      <c r="A229" s="77">
        <v>41288</v>
      </c>
      <c r="B229" s="78" t="s">
        <v>2848</v>
      </c>
      <c r="C229" s="75" t="s">
        <v>2755</v>
      </c>
      <c r="D229" s="75" t="s">
        <v>3051</v>
      </c>
      <c r="E229" s="75" t="str">
        <f>VLOOKUP(B229&amp;C229,Divipola!$C$2:$F$1138,4,FALSE)</f>
        <v>73001</v>
      </c>
      <c r="F229" s="87"/>
      <c r="G229" s="87"/>
      <c r="H229" s="87"/>
      <c r="I229" s="87"/>
      <c r="J229" s="87"/>
      <c r="K229" s="87"/>
      <c r="L229" s="87"/>
      <c r="M229" s="87"/>
      <c r="N229" s="87"/>
      <c r="O229" s="87"/>
      <c r="P229" s="87"/>
      <c r="Q229" s="87"/>
      <c r="R229" s="87"/>
      <c r="S229" s="87"/>
      <c r="T229" s="87"/>
      <c r="U229" s="127"/>
      <c r="V229" s="89"/>
      <c r="W229" s="96">
        <v>0</v>
      </c>
      <c r="X229" s="71">
        <f>CU229</f>
        <v>0</v>
      </c>
      <c r="Y229" s="71">
        <f>CY229</f>
        <v>0</v>
      </c>
      <c r="Z229" s="71">
        <f>DA229+DC229+DE229</f>
        <v>0</v>
      </c>
      <c r="AA229" s="71">
        <f>CW229</f>
        <v>0</v>
      </c>
      <c r="AB229" s="71"/>
      <c r="AC229" s="71">
        <v>0</v>
      </c>
      <c r="AD229" s="71">
        <f>W229+X229+Y229+Z229+AA229+AB229+AC229</f>
        <v>0</v>
      </c>
      <c r="AE229" s="72">
        <v>0</v>
      </c>
      <c r="AF229" s="5"/>
      <c r="AG229" s="6"/>
      <c r="AH229" s="27" t="s">
        <v>3392</v>
      </c>
      <c r="AI229" s="44" t="s">
        <v>3393</v>
      </c>
      <c r="AJ229" s="26"/>
      <c r="AK229" s="5"/>
      <c r="AL229" s="82" t="s">
        <v>3059</v>
      </c>
      <c r="AM229" s="76"/>
      <c r="AN229" s="76"/>
      <c r="AO229" s="76"/>
      <c r="AP229" s="76"/>
      <c r="AQ229" s="76"/>
      <c r="AR229" s="76"/>
      <c r="AS229" s="76"/>
      <c r="AT229" s="76"/>
      <c r="AU229" s="76"/>
      <c r="AV229" s="76"/>
      <c r="AW229" s="76"/>
      <c r="AX229" s="76">
        <f>+AW229*600000</f>
        <v>0</v>
      </c>
      <c r="AY229" s="76"/>
      <c r="AZ229" s="76">
        <f>+AY229*70000</f>
        <v>0</v>
      </c>
      <c r="BA229" s="76"/>
      <c r="BB229" s="76"/>
      <c r="BC229" s="76"/>
      <c r="BD229" s="76">
        <f>+BC229*30000</f>
        <v>0</v>
      </c>
      <c r="BE229" s="76"/>
      <c r="BF229" s="76"/>
      <c r="BG229" s="76"/>
      <c r="BH229" s="76"/>
      <c r="BI229" s="76"/>
      <c r="BJ229" s="76"/>
      <c r="BK229" s="76"/>
      <c r="BL229" s="76">
        <f>+BK229*31500</f>
        <v>0</v>
      </c>
      <c r="BM229" s="76"/>
      <c r="BN229" s="76"/>
      <c r="BO229" s="76"/>
      <c r="BP229" s="76"/>
      <c r="BQ229" s="76"/>
      <c r="BR229" s="76"/>
      <c r="BS229" s="76"/>
      <c r="BT229" s="76"/>
      <c r="BU229" s="76"/>
      <c r="BV229" s="76"/>
      <c r="BW229" s="76"/>
      <c r="BX229" s="76"/>
      <c r="BY229" s="76"/>
      <c r="BZ229" s="76"/>
      <c r="CA229" s="76"/>
      <c r="CB229" s="76"/>
      <c r="CC229" s="76"/>
      <c r="CD229" s="76"/>
      <c r="CE229" s="76"/>
      <c r="CF229" s="76">
        <f>+CE229*28000</f>
        <v>0</v>
      </c>
      <c r="CG229" s="76"/>
      <c r="CH229" s="76">
        <f>+CG229*22500</f>
        <v>0</v>
      </c>
      <c r="CI229" s="76"/>
      <c r="CJ229" s="76">
        <f>+CI229*26000</f>
        <v>0</v>
      </c>
      <c r="CK229" s="76"/>
      <c r="CL229" s="76"/>
      <c r="CM229" s="76"/>
      <c r="CN229" s="76">
        <f>+CM229*22000</f>
        <v>0</v>
      </c>
      <c r="CO229" s="76"/>
      <c r="CP229" s="76">
        <f>+CO229*46000</f>
        <v>0</v>
      </c>
      <c r="CQ229" s="76"/>
      <c r="CR229" s="76">
        <f>+CQ229*49000</f>
        <v>0</v>
      </c>
      <c r="CS229" s="76"/>
      <c r="CT229" s="76"/>
      <c r="CU229" s="56">
        <f>AN229+AP229+AR229+AT229+AV229+AX229+AZ229+BB229+BD229+BF229+BH229+BJ229+BL229+BN229+BP229+BR229+BT229+BV229+BX229+BZ229+CB229+CD229+CF229+CH229+CJ229+CL229+CN229+CP229+CR229+CT229</f>
        <v>0</v>
      </c>
      <c r="CV229" s="76"/>
      <c r="CW229" s="76">
        <f>+CV229*1100</f>
        <v>0</v>
      </c>
      <c r="CX229" s="76"/>
      <c r="CY229" s="76">
        <f>+CX229*106250</f>
        <v>0</v>
      </c>
      <c r="CZ229" s="76"/>
      <c r="DA229" s="76">
        <f>+CZ229*34500</f>
        <v>0</v>
      </c>
      <c r="DB229" s="76"/>
      <c r="DC229" s="76">
        <f>+DB229*25000</f>
        <v>0</v>
      </c>
      <c r="DD229" s="219"/>
      <c r="DE229" s="219"/>
      <c r="DF229" s="164"/>
      <c r="DG229" s="116"/>
      <c r="DH229" s="117"/>
      <c r="DI229" s="24"/>
      <c r="DJ229" s="24"/>
      <c r="DK229" s="24"/>
      <c r="DL229" s="24"/>
      <c r="DM229" s="24"/>
      <c r="DN229" s="24"/>
      <c r="DO229" s="24"/>
      <c r="DP229" s="24"/>
      <c r="DQ229" s="24"/>
      <c r="DR229" s="24"/>
      <c r="DS229" s="24"/>
      <c r="DT229" s="24"/>
      <c r="DU229" s="24"/>
    </row>
    <row r="230" spans="1:125" s="8" customFormat="1" ht="84" x14ac:dyDescent="0.2">
      <c r="A230" s="77">
        <v>41288</v>
      </c>
      <c r="B230" s="78" t="s">
        <v>2851</v>
      </c>
      <c r="C230" s="75" t="s">
        <v>2113</v>
      </c>
      <c r="D230" s="81" t="s">
        <v>2846</v>
      </c>
      <c r="E230" s="75" t="str">
        <f>VLOOKUP(B230&amp;C230,Divipola!$C$2:$F$1138,4,FALSE)</f>
        <v>76892</v>
      </c>
      <c r="F230" s="87"/>
      <c r="G230" s="87"/>
      <c r="H230" s="87"/>
      <c r="I230" s="87"/>
      <c r="J230" s="87"/>
      <c r="K230" s="87"/>
      <c r="L230" s="87"/>
      <c r="M230" s="87"/>
      <c r="N230" s="87"/>
      <c r="O230" s="87"/>
      <c r="P230" s="87"/>
      <c r="Q230" s="87"/>
      <c r="R230" s="87"/>
      <c r="S230" s="87"/>
      <c r="T230" s="87"/>
      <c r="U230" s="127">
        <v>135</v>
      </c>
      <c r="V230" s="89"/>
      <c r="W230" s="96">
        <v>0</v>
      </c>
      <c r="X230" s="71">
        <f>CU230</f>
        <v>0</v>
      </c>
      <c r="Y230" s="71">
        <f>CY230</f>
        <v>0</v>
      </c>
      <c r="Z230" s="71">
        <f>DA230+DC230+DE230</f>
        <v>0</v>
      </c>
      <c r="AA230" s="71">
        <f>CW230</f>
        <v>0</v>
      </c>
      <c r="AB230" s="71"/>
      <c r="AC230" s="71">
        <v>0</v>
      </c>
      <c r="AD230" s="71">
        <f>W230+X230+Y230+Z230+AA230+AB230+AC230</f>
        <v>0</v>
      </c>
      <c r="AE230" s="72">
        <v>0</v>
      </c>
      <c r="AF230" s="5"/>
      <c r="AG230" s="6"/>
      <c r="AH230" s="27" t="s">
        <v>3390</v>
      </c>
      <c r="AI230" s="44" t="s">
        <v>3391</v>
      </c>
      <c r="AJ230" s="26"/>
      <c r="AK230" s="5" t="s">
        <v>3397</v>
      </c>
      <c r="AL230" s="82" t="s">
        <v>3259</v>
      </c>
      <c r="AM230" s="76"/>
      <c r="AN230" s="76"/>
      <c r="AO230" s="76"/>
      <c r="AP230" s="76"/>
      <c r="AQ230" s="76"/>
      <c r="AR230" s="76"/>
      <c r="AS230" s="76"/>
      <c r="AT230" s="76"/>
      <c r="AU230" s="76"/>
      <c r="AV230" s="76"/>
      <c r="AW230" s="76"/>
      <c r="AX230" s="76">
        <f>+AW230*600000</f>
        <v>0</v>
      </c>
      <c r="AY230" s="76"/>
      <c r="AZ230" s="76">
        <f>+AY230*70000</f>
        <v>0</v>
      </c>
      <c r="BA230" s="76"/>
      <c r="BB230" s="76"/>
      <c r="BC230" s="76"/>
      <c r="BD230" s="76">
        <f>+BC230*30000</f>
        <v>0</v>
      </c>
      <c r="BE230" s="76"/>
      <c r="BF230" s="76"/>
      <c r="BG230" s="76"/>
      <c r="BH230" s="76"/>
      <c r="BI230" s="76"/>
      <c r="BJ230" s="76"/>
      <c r="BK230" s="76"/>
      <c r="BL230" s="76">
        <f>+BK230*31500</f>
        <v>0</v>
      </c>
      <c r="BM230" s="76"/>
      <c r="BN230" s="76"/>
      <c r="BO230" s="76"/>
      <c r="BP230" s="76"/>
      <c r="BQ230" s="76"/>
      <c r="BR230" s="76"/>
      <c r="BS230" s="76"/>
      <c r="BT230" s="76"/>
      <c r="BU230" s="76"/>
      <c r="BV230" s="76"/>
      <c r="BW230" s="76"/>
      <c r="BX230" s="76"/>
      <c r="BY230" s="76"/>
      <c r="BZ230" s="76"/>
      <c r="CA230" s="76"/>
      <c r="CB230" s="76"/>
      <c r="CC230" s="76"/>
      <c r="CD230" s="76"/>
      <c r="CE230" s="76"/>
      <c r="CF230" s="76">
        <f>+CE230*28000</f>
        <v>0</v>
      </c>
      <c r="CG230" s="76"/>
      <c r="CH230" s="76">
        <f>+CG230*22500</f>
        <v>0</v>
      </c>
      <c r="CI230" s="76"/>
      <c r="CJ230" s="76">
        <f>+CI230*26000</f>
        <v>0</v>
      </c>
      <c r="CK230" s="76"/>
      <c r="CL230" s="76"/>
      <c r="CM230" s="76"/>
      <c r="CN230" s="76">
        <f>+CM230*22000</f>
        <v>0</v>
      </c>
      <c r="CO230" s="76"/>
      <c r="CP230" s="76">
        <f>+CO230*46000</f>
        <v>0</v>
      </c>
      <c r="CQ230" s="76"/>
      <c r="CR230" s="76">
        <f>+CQ230*49000</f>
        <v>0</v>
      </c>
      <c r="CS230" s="76"/>
      <c r="CT230" s="76"/>
      <c r="CU230" s="56">
        <f>AN230+AP230+AR230+AT230+AV230+AX230+AZ230+BB230+BD230+BF230+BH230+BJ230+BL230+BN230+BP230+BR230+BT230+BV230+BX230+BZ230+CB230+CD230+CF230+CH230+CJ230+CL230+CN230+CP230+CR230+CT230</f>
        <v>0</v>
      </c>
      <c r="CV230" s="76"/>
      <c r="CW230" s="76">
        <f>+CV230*1100</f>
        <v>0</v>
      </c>
      <c r="CX230" s="76"/>
      <c r="CY230" s="76">
        <f>+CX230*106250</f>
        <v>0</v>
      </c>
      <c r="CZ230" s="76"/>
      <c r="DA230" s="76">
        <f>+CZ230*34500</f>
        <v>0</v>
      </c>
      <c r="DB230" s="76"/>
      <c r="DC230" s="76">
        <f>+DB230*25000</f>
        <v>0</v>
      </c>
      <c r="DD230" s="219"/>
      <c r="DE230" s="219"/>
      <c r="DF230" s="164"/>
      <c r="DG230" s="116"/>
      <c r="DH230" s="117"/>
      <c r="DI230" s="24"/>
      <c r="DJ230" s="24"/>
      <c r="DK230" s="24"/>
      <c r="DL230" s="24"/>
      <c r="DM230" s="24"/>
      <c r="DN230" s="24"/>
      <c r="DO230" s="24"/>
      <c r="DP230" s="24"/>
      <c r="DQ230" s="24"/>
      <c r="DR230" s="24"/>
      <c r="DS230" s="24"/>
      <c r="DT230" s="24"/>
      <c r="DU230" s="24"/>
    </row>
    <row r="231" spans="1:125" s="8" customFormat="1" ht="48" x14ac:dyDescent="0.2">
      <c r="A231" s="77">
        <v>41288</v>
      </c>
      <c r="B231" s="78" t="s">
        <v>2309</v>
      </c>
      <c r="C231" s="75" t="s">
        <v>2310</v>
      </c>
      <c r="D231" s="81" t="s">
        <v>2846</v>
      </c>
      <c r="E231" s="75" t="str">
        <f>VLOOKUP(B231&amp;C231,Divipola!$C$2:$F$1138,4,FALSE)</f>
        <v>99001</v>
      </c>
      <c r="F231" s="87"/>
      <c r="G231" s="87"/>
      <c r="H231" s="87"/>
      <c r="I231" s="87"/>
      <c r="J231" s="87"/>
      <c r="K231" s="87"/>
      <c r="L231" s="87"/>
      <c r="M231" s="87"/>
      <c r="N231" s="87"/>
      <c r="O231" s="87"/>
      <c r="P231" s="87"/>
      <c r="Q231" s="87"/>
      <c r="R231" s="87"/>
      <c r="S231" s="87"/>
      <c r="T231" s="87"/>
      <c r="U231" s="127"/>
      <c r="V231" s="89"/>
      <c r="W231" s="96">
        <v>0</v>
      </c>
      <c r="X231" s="71">
        <f>CU231</f>
        <v>0</v>
      </c>
      <c r="Y231" s="71">
        <f>CY231</f>
        <v>0</v>
      </c>
      <c r="Z231" s="71">
        <f>DA231+DC231+DE231</f>
        <v>0</v>
      </c>
      <c r="AA231" s="71">
        <f>CW231</f>
        <v>0</v>
      </c>
      <c r="AB231" s="71"/>
      <c r="AC231" s="71">
        <v>0</v>
      </c>
      <c r="AD231" s="71">
        <f>W231+X231+Y231+Z231+AA231+AB231+AC231</f>
        <v>0</v>
      </c>
      <c r="AE231" s="72">
        <v>0</v>
      </c>
      <c r="AF231" s="5"/>
      <c r="AG231" s="6"/>
      <c r="AH231" s="27" t="s">
        <v>3392</v>
      </c>
      <c r="AI231" s="44" t="s">
        <v>3393</v>
      </c>
      <c r="AJ231" s="26"/>
      <c r="AK231" s="5"/>
      <c r="AL231" s="82" t="s">
        <v>3060</v>
      </c>
      <c r="AM231" s="76"/>
      <c r="AN231" s="76"/>
      <c r="AO231" s="76"/>
      <c r="AP231" s="76"/>
      <c r="AQ231" s="76"/>
      <c r="AR231" s="76"/>
      <c r="AS231" s="76"/>
      <c r="AT231" s="76"/>
      <c r="AU231" s="76"/>
      <c r="AV231" s="76"/>
      <c r="AW231" s="76"/>
      <c r="AX231" s="76">
        <f>+AW231*600000</f>
        <v>0</v>
      </c>
      <c r="AY231" s="76"/>
      <c r="AZ231" s="76">
        <f>+AY231*70000</f>
        <v>0</v>
      </c>
      <c r="BA231" s="76"/>
      <c r="BB231" s="76"/>
      <c r="BC231" s="76"/>
      <c r="BD231" s="76">
        <f>+BC231*30000</f>
        <v>0</v>
      </c>
      <c r="BE231" s="76"/>
      <c r="BF231" s="76"/>
      <c r="BG231" s="76"/>
      <c r="BH231" s="76"/>
      <c r="BI231" s="76"/>
      <c r="BJ231" s="76"/>
      <c r="BK231" s="76"/>
      <c r="BL231" s="76">
        <f>+BK231*31500</f>
        <v>0</v>
      </c>
      <c r="BM231" s="76"/>
      <c r="BN231" s="76"/>
      <c r="BO231" s="76"/>
      <c r="BP231" s="76"/>
      <c r="BQ231" s="76"/>
      <c r="BR231" s="76"/>
      <c r="BS231" s="76"/>
      <c r="BT231" s="76"/>
      <c r="BU231" s="76"/>
      <c r="BV231" s="76"/>
      <c r="BW231" s="76"/>
      <c r="BX231" s="76"/>
      <c r="BY231" s="76"/>
      <c r="BZ231" s="76"/>
      <c r="CA231" s="76"/>
      <c r="CB231" s="76"/>
      <c r="CC231" s="76"/>
      <c r="CD231" s="76"/>
      <c r="CE231" s="76"/>
      <c r="CF231" s="76">
        <f>+CE231*28000</f>
        <v>0</v>
      </c>
      <c r="CG231" s="76"/>
      <c r="CH231" s="76">
        <f>+CG231*22500</f>
        <v>0</v>
      </c>
      <c r="CI231" s="76"/>
      <c r="CJ231" s="76">
        <f>+CI231*26000</f>
        <v>0</v>
      </c>
      <c r="CK231" s="76"/>
      <c r="CL231" s="76"/>
      <c r="CM231" s="76"/>
      <c r="CN231" s="76">
        <f>+CM231*22000</f>
        <v>0</v>
      </c>
      <c r="CO231" s="76"/>
      <c r="CP231" s="76">
        <f>+CO231*46000</f>
        <v>0</v>
      </c>
      <c r="CQ231" s="76"/>
      <c r="CR231" s="76">
        <f>+CQ231*49000</f>
        <v>0</v>
      </c>
      <c r="CS231" s="76"/>
      <c r="CT231" s="76"/>
      <c r="CU231" s="56">
        <f>AN231+AP231+AR231+AT231+AV231+AX231+AZ231+BB231+BD231+BF231+BH231+BJ231+BL231+BN231+BP231+BR231+BT231+BV231+BX231+BZ231+CB231+CD231+CF231+CH231+CJ231+CL231+CN231+CP231+CR231+CT231</f>
        <v>0</v>
      </c>
      <c r="CV231" s="76"/>
      <c r="CW231" s="76">
        <f>+CV231*1100</f>
        <v>0</v>
      </c>
      <c r="CX231" s="76"/>
      <c r="CY231" s="76">
        <f>+CX231*106250</f>
        <v>0</v>
      </c>
      <c r="CZ231" s="76"/>
      <c r="DA231" s="76">
        <f>+CZ231*34500</f>
        <v>0</v>
      </c>
      <c r="DB231" s="76"/>
      <c r="DC231" s="76">
        <f>+DB231*25000</f>
        <v>0</v>
      </c>
      <c r="DD231" s="219"/>
      <c r="DE231" s="219"/>
      <c r="DF231" s="164"/>
      <c r="DG231" s="116"/>
      <c r="DH231" s="117"/>
      <c r="DI231" s="24"/>
      <c r="DJ231" s="24"/>
      <c r="DK231" s="24"/>
      <c r="DL231" s="24"/>
      <c r="DM231" s="24"/>
      <c r="DN231" s="24"/>
      <c r="DO231" s="24"/>
      <c r="DP231" s="24"/>
      <c r="DQ231" s="24"/>
      <c r="DR231" s="24"/>
      <c r="DS231" s="24"/>
      <c r="DT231" s="24"/>
      <c r="DU231" s="24"/>
    </row>
    <row r="232" spans="1:125" s="8" customFormat="1" ht="36" x14ac:dyDescent="0.2">
      <c r="A232" s="77">
        <v>41289</v>
      </c>
      <c r="B232" s="80" t="s">
        <v>2894</v>
      </c>
      <c r="C232" s="81" t="s">
        <v>2032</v>
      </c>
      <c r="D232" s="81" t="s">
        <v>2846</v>
      </c>
      <c r="E232" s="75" t="str">
        <f>VLOOKUP(B232&amp;C232,Divipola!$C$2:$F$1138,4,FALSE)</f>
        <v>05001</v>
      </c>
      <c r="F232" s="87"/>
      <c r="G232" s="87"/>
      <c r="H232" s="87"/>
      <c r="I232" s="87"/>
      <c r="J232" s="87"/>
      <c r="K232" s="87"/>
      <c r="L232" s="87"/>
      <c r="M232" s="87"/>
      <c r="N232" s="87"/>
      <c r="O232" s="87"/>
      <c r="P232" s="87"/>
      <c r="Q232" s="87"/>
      <c r="R232" s="87"/>
      <c r="S232" s="87"/>
      <c r="T232" s="87"/>
      <c r="U232" s="127">
        <v>20</v>
      </c>
      <c r="V232" s="89"/>
      <c r="W232" s="96">
        <v>0</v>
      </c>
      <c r="X232" s="71">
        <f>CU232</f>
        <v>0</v>
      </c>
      <c r="Y232" s="71">
        <f>CY232</f>
        <v>0</v>
      </c>
      <c r="Z232" s="71">
        <f>DA232+DC232+DE232</f>
        <v>0</v>
      </c>
      <c r="AA232" s="71">
        <f>CW232</f>
        <v>0</v>
      </c>
      <c r="AB232" s="71"/>
      <c r="AC232" s="71">
        <v>0</v>
      </c>
      <c r="AD232" s="71">
        <f>W232+X232+Y232+Z232+AA232+AB232+AC232</f>
        <v>0</v>
      </c>
      <c r="AE232" s="72">
        <v>0</v>
      </c>
      <c r="AF232" s="5"/>
      <c r="AG232" s="6"/>
      <c r="AH232" s="27" t="s">
        <v>3392</v>
      </c>
      <c r="AI232" s="44" t="s">
        <v>3393</v>
      </c>
      <c r="AJ232" s="26"/>
      <c r="AK232" s="5"/>
      <c r="AL232" s="82" t="s">
        <v>3080</v>
      </c>
      <c r="AM232" s="76"/>
      <c r="AN232" s="76"/>
      <c r="AO232" s="76"/>
      <c r="AP232" s="76"/>
      <c r="AQ232" s="76"/>
      <c r="AR232" s="76"/>
      <c r="AS232" s="76"/>
      <c r="AT232" s="76"/>
      <c r="AU232" s="76"/>
      <c r="AV232" s="76"/>
      <c r="AW232" s="76"/>
      <c r="AX232" s="76">
        <f>+AW232*600000</f>
        <v>0</v>
      </c>
      <c r="AY232" s="76"/>
      <c r="AZ232" s="76">
        <f>+AY232*70000</f>
        <v>0</v>
      </c>
      <c r="BA232" s="76"/>
      <c r="BB232" s="76"/>
      <c r="BC232" s="76"/>
      <c r="BD232" s="76">
        <f>+BC232*30000</f>
        <v>0</v>
      </c>
      <c r="BE232" s="76"/>
      <c r="BF232" s="76"/>
      <c r="BG232" s="76"/>
      <c r="BH232" s="76"/>
      <c r="BI232" s="76"/>
      <c r="BJ232" s="76"/>
      <c r="BK232" s="76"/>
      <c r="BL232" s="76">
        <f>+BK232*31500</f>
        <v>0</v>
      </c>
      <c r="BM232" s="76"/>
      <c r="BN232" s="76"/>
      <c r="BO232" s="76"/>
      <c r="BP232" s="76"/>
      <c r="BQ232" s="76"/>
      <c r="BR232" s="76"/>
      <c r="BS232" s="76"/>
      <c r="BT232" s="76"/>
      <c r="BU232" s="76"/>
      <c r="BV232" s="76"/>
      <c r="BW232" s="76"/>
      <c r="BX232" s="76"/>
      <c r="BY232" s="76"/>
      <c r="BZ232" s="76"/>
      <c r="CA232" s="76"/>
      <c r="CB232" s="76"/>
      <c r="CC232" s="76"/>
      <c r="CD232" s="76"/>
      <c r="CE232" s="76"/>
      <c r="CF232" s="76">
        <f>+CE232*28000</f>
        <v>0</v>
      </c>
      <c r="CG232" s="76"/>
      <c r="CH232" s="76">
        <f>+CG232*22500</f>
        <v>0</v>
      </c>
      <c r="CI232" s="76"/>
      <c r="CJ232" s="76">
        <f>+CI232*26000</f>
        <v>0</v>
      </c>
      <c r="CK232" s="76"/>
      <c r="CL232" s="76"/>
      <c r="CM232" s="76"/>
      <c r="CN232" s="76">
        <f>+CM232*22000</f>
        <v>0</v>
      </c>
      <c r="CO232" s="76"/>
      <c r="CP232" s="76">
        <f>+CO232*46000</f>
        <v>0</v>
      </c>
      <c r="CQ232" s="76"/>
      <c r="CR232" s="76">
        <f>+CQ232*49000</f>
        <v>0</v>
      </c>
      <c r="CS232" s="76"/>
      <c r="CT232" s="76"/>
      <c r="CU232" s="56">
        <f>AN232+AP232+AR232+AT232+AV232+AX232+AZ232+BB232+BD232+BF232+BH232+BJ232+BL232+BN232+BP232+BR232+BT232+BV232+BX232+BZ232+CB232+CD232+CF232+CH232+CJ232+CL232+CN232+CP232+CR232+CT232</f>
        <v>0</v>
      </c>
      <c r="CV232" s="76"/>
      <c r="CW232" s="76">
        <f>+CV232*1100</f>
        <v>0</v>
      </c>
      <c r="CX232" s="76"/>
      <c r="CY232" s="76">
        <f>+CX232*106250</f>
        <v>0</v>
      </c>
      <c r="CZ232" s="76"/>
      <c r="DA232" s="76">
        <f>+CZ232*34500</f>
        <v>0</v>
      </c>
      <c r="DB232" s="76"/>
      <c r="DC232" s="76">
        <f>+DB232*25000</f>
        <v>0</v>
      </c>
      <c r="DD232" s="219"/>
      <c r="DE232" s="219"/>
      <c r="DF232" s="164"/>
      <c r="DG232" s="116"/>
      <c r="DH232" s="117"/>
      <c r="DI232" s="24"/>
      <c r="DJ232" s="24"/>
      <c r="DK232" s="24"/>
      <c r="DL232" s="24"/>
      <c r="DM232" s="24"/>
      <c r="DN232" s="24"/>
      <c r="DO232" s="24"/>
      <c r="DP232" s="24"/>
      <c r="DQ232" s="24"/>
      <c r="DR232" s="24"/>
      <c r="DS232" s="24"/>
      <c r="DT232" s="24"/>
      <c r="DU232" s="24"/>
    </row>
    <row r="233" spans="1:125" s="8" customFormat="1" ht="132" x14ac:dyDescent="0.2">
      <c r="A233" s="77">
        <v>41289</v>
      </c>
      <c r="B233" s="78" t="s">
        <v>2855</v>
      </c>
      <c r="C233" s="75" t="s">
        <v>900</v>
      </c>
      <c r="D233" s="75" t="s">
        <v>2849</v>
      </c>
      <c r="E233" s="75" t="str">
        <f>VLOOKUP(B233&amp;C233,Divipola!$C$2:$F$1138,4,FALSE)</f>
        <v>20060</v>
      </c>
      <c r="F233" s="87">
        <v>2</v>
      </c>
      <c r="G233" s="87">
        <v>20</v>
      </c>
      <c r="H233" s="87"/>
      <c r="I233" s="87">
        <v>22</v>
      </c>
      <c r="J233" s="87"/>
      <c r="K233" s="87"/>
      <c r="L233" s="87"/>
      <c r="M233" s="87"/>
      <c r="N233" s="87"/>
      <c r="O233" s="87"/>
      <c r="P233" s="87"/>
      <c r="Q233" s="87"/>
      <c r="R233" s="87"/>
      <c r="S233" s="87"/>
      <c r="T233" s="87"/>
      <c r="U233" s="127"/>
      <c r="V233" s="89">
        <v>2</v>
      </c>
      <c r="W233" s="96">
        <v>0</v>
      </c>
      <c r="X233" s="71">
        <f>CU233</f>
        <v>0</v>
      </c>
      <c r="Y233" s="71">
        <f>CY233</f>
        <v>0</v>
      </c>
      <c r="Z233" s="71">
        <f>DA233+DC233+DE233</f>
        <v>0</v>
      </c>
      <c r="AA233" s="71">
        <f>CW233</f>
        <v>0</v>
      </c>
      <c r="AB233" s="71"/>
      <c r="AC233" s="71">
        <v>0</v>
      </c>
      <c r="AD233" s="71">
        <f>W233+X233+Y233+Z233+AA233+AB233+AC233</f>
        <v>0</v>
      </c>
      <c r="AE233" s="72">
        <v>0</v>
      </c>
      <c r="AF233" s="5"/>
      <c r="AG233" s="6"/>
      <c r="AH233" s="27" t="s">
        <v>3392</v>
      </c>
      <c r="AI233" s="44" t="s">
        <v>3393</v>
      </c>
      <c r="AJ233" s="26"/>
      <c r="AK233" s="5"/>
      <c r="AL233" s="82" t="s">
        <v>3075</v>
      </c>
      <c r="AM233" s="76"/>
      <c r="AN233" s="76"/>
      <c r="AO233" s="76"/>
      <c r="AP233" s="76"/>
      <c r="AQ233" s="76"/>
      <c r="AR233" s="76"/>
      <c r="AS233" s="76"/>
      <c r="AT233" s="76"/>
      <c r="AU233" s="76"/>
      <c r="AV233" s="76"/>
      <c r="AW233" s="76"/>
      <c r="AX233" s="76">
        <f>+AW233*600000</f>
        <v>0</v>
      </c>
      <c r="AY233" s="76"/>
      <c r="AZ233" s="76">
        <f>+AY233*70000</f>
        <v>0</v>
      </c>
      <c r="BA233" s="76"/>
      <c r="BB233" s="76"/>
      <c r="BC233" s="76"/>
      <c r="BD233" s="76">
        <f>+BC233*30000</f>
        <v>0</v>
      </c>
      <c r="BE233" s="76"/>
      <c r="BF233" s="76"/>
      <c r="BG233" s="76"/>
      <c r="BH233" s="76"/>
      <c r="BI233" s="76"/>
      <c r="BJ233" s="76"/>
      <c r="BK233" s="76"/>
      <c r="BL233" s="76">
        <f>+BK233*31500</f>
        <v>0</v>
      </c>
      <c r="BM233" s="76"/>
      <c r="BN233" s="76"/>
      <c r="BO233" s="76"/>
      <c r="BP233" s="76"/>
      <c r="BQ233" s="76"/>
      <c r="BR233" s="76"/>
      <c r="BS233" s="76"/>
      <c r="BT233" s="76"/>
      <c r="BU233" s="76"/>
      <c r="BV233" s="76"/>
      <c r="BW233" s="76"/>
      <c r="BX233" s="76"/>
      <c r="BY233" s="76"/>
      <c r="BZ233" s="76"/>
      <c r="CA233" s="76"/>
      <c r="CB233" s="76"/>
      <c r="CC233" s="76"/>
      <c r="CD233" s="76"/>
      <c r="CE233" s="76"/>
      <c r="CF233" s="76">
        <f>+CE233*28000</f>
        <v>0</v>
      </c>
      <c r="CG233" s="76"/>
      <c r="CH233" s="76">
        <f>+CG233*22500</f>
        <v>0</v>
      </c>
      <c r="CI233" s="76"/>
      <c r="CJ233" s="76">
        <f>+CI233*26000</f>
        <v>0</v>
      </c>
      <c r="CK233" s="76"/>
      <c r="CL233" s="76"/>
      <c r="CM233" s="76"/>
      <c r="CN233" s="76">
        <f>+CM233*22000</f>
        <v>0</v>
      </c>
      <c r="CO233" s="76"/>
      <c r="CP233" s="76">
        <f>+CO233*46000</f>
        <v>0</v>
      </c>
      <c r="CQ233" s="76"/>
      <c r="CR233" s="76">
        <f>+CQ233*49000</f>
        <v>0</v>
      </c>
      <c r="CS233" s="76"/>
      <c r="CT233" s="76"/>
      <c r="CU233" s="56">
        <f>AN233+AP233+AR233+AT233+AV233+AX233+AZ233+BB233+BD233+BF233+BH233+BJ233+BL233+BN233+BP233+BR233+BT233+BV233+BX233+BZ233+CB233+CD233+CF233+CH233+CJ233+CL233+CN233+CP233+CR233+CT233</f>
        <v>0</v>
      </c>
      <c r="CV233" s="76"/>
      <c r="CW233" s="76">
        <f>+CV233*1100</f>
        <v>0</v>
      </c>
      <c r="CX233" s="76"/>
      <c r="CY233" s="76">
        <f>+CX233*106250</f>
        <v>0</v>
      </c>
      <c r="CZ233" s="76"/>
      <c r="DA233" s="76">
        <f>+CZ233*34500</f>
        <v>0</v>
      </c>
      <c r="DB233" s="76"/>
      <c r="DC233" s="76">
        <f>+DB233*25000</f>
        <v>0</v>
      </c>
      <c r="DD233" s="219"/>
      <c r="DE233" s="219"/>
      <c r="DF233" s="164"/>
      <c r="DG233" s="116"/>
      <c r="DH233" s="117"/>
      <c r="DI233" s="24"/>
      <c r="DJ233" s="24"/>
      <c r="DK233" s="24"/>
      <c r="DL233" s="24"/>
      <c r="DM233" s="24"/>
      <c r="DN233" s="24"/>
      <c r="DO233" s="24"/>
      <c r="DP233" s="24"/>
      <c r="DQ233" s="24"/>
      <c r="DR233" s="24"/>
      <c r="DS233" s="24"/>
      <c r="DT233" s="24"/>
      <c r="DU233" s="24"/>
    </row>
    <row r="234" spans="1:125" s="8" customFormat="1" ht="48" x14ac:dyDescent="0.2">
      <c r="A234" s="77">
        <v>41289</v>
      </c>
      <c r="B234" s="80" t="s">
        <v>2855</v>
      </c>
      <c r="C234" s="81" t="s">
        <v>909</v>
      </c>
      <c r="D234" s="81" t="s">
        <v>2846</v>
      </c>
      <c r="E234" s="75" t="str">
        <f>VLOOKUP(B234&amp;C234,Divipola!$C$2:$F$1138,4,FALSE)</f>
        <v>20238</v>
      </c>
      <c r="F234" s="87"/>
      <c r="G234" s="87"/>
      <c r="H234" s="87"/>
      <c r="I234" s="87"/>
      <c r="J234" s="87"/>
      <c r="K234" s="87"/>
      <c r="L234" s="87"/>
      <c r="M234" s="87"/>
      <c r="N234" s="87"/>
      <c r="O234" s="87"/>
      <c r="P234" s="87"/>
      <c r="Q234" s="87"/>
      <c r="R234" s="87"/>
      <c r="S234" s="87"/>
      <c r="T234" s="87"/>
      <c r="U234" s="127">
        <v>1</v>
      </c>
      <c r="V234" s="89"/>
      <c r="W234" s="96">
        <v>0</v>
      </c>
      <c r="X234" s="71">
        <f>CU234</f>
        <v>0</v>
      </c>
      <c r="Y234" s="71">
        <f>CY234</f>
        <v>0</v>
      </c>
      <c r="Z234" s="71">
        <f>DA234+DC234+DE234</f>
        <v>0</v>
      </c>
      <c r="AA234" s="71">
        <f>CW234</f>
        <v>0</v>
      </c>
      <c r="AB234" s="71"/>
      <c r="AC234" s="71">
        <v>0</v>
      </c>
      <c r="AD234" s="71">
        <f>W234+X234+Y234+Z234+AA234+AB234+AC234</f>
        <v>0</v>
      </c>
      <c r="AE234" s="72">
        <v>0</v>
      </c>
      <c r="AF234" s="5"/>
      <c r="AG234" s="6"/>
      <c r="AH234" s="27" t="s">
        <v>3392</v>
      </c>
      <c r="AI234" s="44" t="s">
        <v>3393</v>
      </c>
      <c r="AJ234" s="26"/>
      <c r="AK234" s="5"/>
      <c r="AL234" s="82" t="s">
        <v>3079</v>
      </c>
      <c r="AM234" s="76"/>
      <c r="AN234" s="76"/>
      <c r="AO234" s="76"/>
      <c r="AP234" s="76"/>
      <c r="AQ234" s="76"/>
      <c r="AR234" s="76"/>
      <c r="AS234" s="76"/>
      <c r="AT234" s="76"/>
      <c r="AU234" s="76"/>
      <c r="AV234" s="76"/>
      <c r="AW234" s="76"/>
      <c r="AX234" s="76">
        <f>+AW234*600000</f>
        <v>0</v>
      </c>
      <c r="AY234" s="76"/>
      <c r="AZ234" s="76">
        <f>+AY234*70000</f>
        <v>0</v>
      </c>
      <c r="BA234" s="76"/>
      <c r="BB234" s="76"/>
      <c r="BC234" s="76"/>
      <c r="BD234" s="76">
        <f>+BC234*30000</f>
        <v>0</v>
      </c>
      <c r="BE234" s="76"/>
      <c r="BF234" s="76"/>
      <c r="BG234" s="76"/>
      <c r="BH234" s="76"/>
      <c r="BI234" s="76"/>
      <c r="BJ234" s="76"/>
      <c r="BK234" s="76"/>
      <c r="BL234" s="76">
        <f>+BK234*31500</f>
        <v>0</v>
      </c>
      <c r="BM234" s="76"/>
      <c r="BN234" s="76"/>
      <c r="BO234" s="76"/>
      <c r="BP234" s="76"/>
      <c r="BQ234" s="76"/>
      <c r="BR234" s="76"/>
      <c r="BS234" s="76"/>
      <c r="BT234" s="76"/>
      <c r="BU234" s="76"/>
      <c r="BV234" s="76"/>
      <c r="BW234" s="76"/>
      <c r="BX234" s="76"/>
      <c r="BY234" s="76"/>
      <c r="BZ234" s="76"/>
      <c r="CA234" s="76"/>
      <c r="CB234" s="76"/>
      <c r="CC234" s="76"/>
      <c r="CD234" s="76"/>
      <c r="CE234" s="76"/>
      <c r="CF234" s="76">
        <f>+CE234*28000</f>
        <v>0</v>
      </c>
      <c r="CG234" s="76"/>
      <c r="CH234" s="76">
        <f>+CG234*22500</f>
        <v>0</v>
      </c>
      <c r="CI234" s="76"/>
      <c r="CJ234" s="76">
        <f>+CI234*26000</f>
        <v>0</v>
      </c>
      <c r="CK234" s="76"/>
      <c r="CL234" s="76"/>
      <c r="CM234" s="76"/>
      <c r="CN234" s="76">
        <f>+CM234*22000</f>
        <v>0</v>
      </c>
      <c r="CO234" s="76"/>
      <c r="CP234" s="76">
        <f>+CO234*46000</f>
        <v>0</v>
      </c>
      <c r="CQ234" s="76"/>
      <c r="CR234" s="76">
        <f>+CQ234*49000</f>
        <v>0</v>
      </c>
      <c r="CS234" s="76"/>
      <c r="CT234" s="76"/>
      <c r="CU234" s="56">
        <f>AN234+AP234+AR234+AT234+AV234+AX234+AZ234+BB234+BD234+BF234+BH234+BJ234+BL234+BN234+BP234+BR234+BT234+BV234+BX234+BZ234+CB234+CD234+CF234+CH234+CJ234+CL234+CN234+CP234+CR234+CT234</f>
        <v>0</v>
      </c>
      <c r="CV234" s="76"/>
      <c r="CW234" s="76">
        <f>+CV234*1100</f>
        <v>0</v>
      </c>
      <c r="CX234" s="76"/>
      <c r="CY234" s="76">
        <f>+CX234*106250</f>
        <v>0</v>
      </c>
      <c r="CZ234" s="76"/>
      <c r="DA234" s="76">
        <f>+CZ234*34500</f>
        <v>0</v>
      </c>
      <c r="DB234" s="76"/>
      <c r="DC234" s="76">
        <f>+DB234*25000</f>
        <v>0</v>
      </c>
      <c r="DD234" s="219"/>
      <c r="DE234" s="219"/>
      <c r="DF234" s="164"/>
      <c r="DG234" s="116"/>
      <c r="DH234" s="117"/>
      <c r="DI234" s="24"/>
      <c r="DJ234" s="24"/>
      <c r="DK234" s="24"/>
      <c r="DL234" s="24"/>
      <c r="DM234" s="24"/>
      <c r="DN234" s="24"/>
      <c r="DO234" s="24"/>
      <c r="DP234" s="24"/>
      <c r="DQ234" s="24"/>
      <c r="DR234" s="24"/>
      <c r="DS234" s="24"/>
      <c r="DT234" s="24"/>
      <c r="DU234" s="24"/>
    </row>
    <row r="235" spans="1:125" s="8" customFormat="1" ht="84" x14ac:dyDescent="0.2">
      <c r="A235" s="77">
        <v>41289</v>
      </c>
      <c r="B235" s="78" t="s">
        <v>2772</v>
      </c>
      <c r="C235" s="75" t="s">
        <v>2209</v>
      </c>
      <c r="D235" s="81" t="s">
        <v>2846</v>
      </c>
      <c r="E235" s="75" t="str">
        <f>VLOOKUP(B235&amp;C235,Divipola!$C$2:$F$1138,4,FALSE)</f>
        <v>25181</v>
      </c>
      <c r="F235" s="87"/>
      <c r="G235" s="87"/>
      <c r="H235" s="87"/>
      <c r="I235" s="87"/>
      <c r="J235" s="87"/>
      <c r="K235" s="87"/>
      <c r="L235" s="87"/>
      <c r="M235" s="87"/>
      <c r="N235" s="87"/>
      <c r="O235" s="87"/>
      <c r="P235" s="87"/>
      <c r="Q235" s="87"/>
      <c r="R235" s="87"/>
      <c r="S235" s="87"/>
      <c r="T235" s="87"/>
      <c r="U235" s="127">
        <v>0.5</v>
      </c>
      <c r="V235" s="89"/>
      <c r="W235" s="96">
        <v>0</v>
      </c>
      <c r="X235" s="71">
        <f>CU235</f>
        <v>0</v>
      </c>
      <c r="Y235" s="71">
        <f>CY235</f>
        <v>0</v>
      </c>
      <c r="Z235" s="71">
        <f>DA235+DC235+DE235</f>
        <v>0</v>
      </c>
      <c r="AA235" s="71">
        <f>CW235</f>
        <v>0</v>
      </c>
      <c r="AB235" s="71"/>
      <c r="AC235" s="71">
        <v>0</v>
      </c>
      <c r="AD235" s="71">
        <f>W235+X235+Y235+Z235+AA235+AB235+AC235</f>
        <v>0</v>
      </c>
      <c r="AE235" s="72">
        <v>0</v>
      </c>
      <c r="AF235" s="5"/>
      <c r="AG235" s="6"/>
      <c r="AH235" s="27" t="s">
        <v>3392</v>
      </c>
      <c r="AI235" s="44" t="s">
        <v>3393</v>
      </c>
      <c r="AJ235" s="26"/>
      <c r="AK235" s="5"/>
      <c r="AL235" s="82" t="s">
        <v>3074</v>
      </c>
      <c r="AM235" s="76"/>
      <c r="AN235" s="76"/>
      <c r="AO235" s="76"/>
      <c r="AP235" s="76"/>
      <c r="AQ235" s="76"/>
      <c r="AR235" s="76"/>
      <c r="AS235" s="76"/>
      <c r="AT235" s="76"/>
      <c r="AU235" s="76"/>
      <c r="AV235" s="76"/>
      <c r="AW235" s="76"/>
      <c r="AX235" s="76">
        <f>+AW235*600000</f>
        <v>0</v>
      </c>
      <c r="AY235" s="76"/>
      <c r="AZ235" s="76">
        <f>+AY235*70000</f>
        <v>0</v>
      </c>
      <c r="BA235" s="76"/>
      <c r="BB235" s="76"/>
      <c r="BC235" s="76"/>
      <c r="BD235" s="76">
        <f>+BC235*30000</f>
        <v>0</v>
      </c>
      <c r="BE235" s="76"/>
      <c r="BF235" s="76"/>
      <c r="BG235" s="76"/>
      <c r="BH235" s="76"/>
      <c r="BI235" s="76"/>
      <c r="BJ235" s="76"/>
      <c r="BK235" s="76"/>
      <c r="BL235" s="76">
        <f>+BK235*31500</f>
        <v>0</v>
      </c>
      <c r="BM235" s="76"/>
      <c r="BN235" s="76"/>
      <c r="BO235" s="76"/>
      <c r="BP235" s="76"/>
      <c r="BQ235" s="76"/>
      <c r="BR235" s="76"/>
      <c r="BS235" s="76"/>
      <c r="BT235" s="76"/>
      <c r="BU235" s="76"/>
      <c r="BV235" s="76"/>
      <c r="BW235" s="76"/>
      <c r="BX235" s="76"/>
      <c r="BY235" s="76"/>
      <c r="BZ235" s="76"/>
      <c r="CA235" s="76"/>
      <c r="CB235" s="76"/>
      <c r="CC235" s="76"/>
      <c r="CD235" s="76"/>
      <c r="CE235" s="76"/>
      <c r="CF235" s="76">
        <f>+CE235*28000</f>
        <v>0</v>
      </c>
      <c r="CG235" s="76"/>
      <c r="CH235" s="76">
        <f>+CG235*22500</f>
        <v>0</v>
      </c>
      <c r="CI235" s="76"/>
      <c r="CJ235" s="76">
        <f>+CI235*26000</f>
        <v>0</v>
      </c>
      <c r="CK235" s="76"/>
      <c r="CL235" s="76"/>
      <c r="CM235" s="76"/>
      <c r="CN235" s="76">
        <f>+CM235*22000</f>
        <v>0</v>
      </c>
      <c r="CO235" s="76"/>
      <c r="CP235" s="76">
        <f>+CO235*46000</f>
        <v>0</v>
      </c>
      <c r="CQ235" s="76"/>
      <c r="CR235" s="76">
        <f>+CQ235*49000</f>
        <v>0</v>
      </c>
      <c r="CS235" s="76"/>
      <c r="CT235" s="76"/>
      <c r="CU235" s="56">
        <f>AN235+AP235+AR235+AT235+AV235+AX235+AZ235+BB235+BD235+BF235+BH235+BJ235+BL235+BN235+BP235+BR235+BT235+BV235+BX235+BZ235+CB235+CD235+CF235+CH235+CJ235+CL235+CN235+CP235+CR235+CT235</f>
        <v>0</v>
      </c>
      <c r="CV235" s="76"/>
      <c r="CW235" s="76">
        <f>+CV235*1100</f>
        <v>0</v>
      </c>
      <c r="CX235" s="76"/>
      <c r="CY235" s="76">
        <f>+CX235*106250</f>
        <v>0</v>
      </c>
      <c r="CZ235" s="76"/>
      <c r="DA235" s="76">
        <f>+CZ235*34500</f>
        <v>0</v>
      </c>
      <c r="DB235" s="76"/>
      <c r="DC235" s="76">
        <f>+DB235*25000</f>
        <v>0</v>
      </c>
      <c r="DD235" s="219"/>
      <c r="DE235" s="219"/>
      <c r="DF235" s="164"/>
      <c r="DG235" s="116"/>
      <c r="DH235" s="117"/>
      <c r="DI235" s="24"/>
      <c r="DJ235" s="24"/>
      <c r="DK235" s="24"/>
      <c r="DL235" s="24"/>
      <c r="DM235" s="24"/>
      <c r="DN235" s="24"/>
      <c r="DO235" s="24"/>
      <c r="DP235" s="24"/>
      <c r="DQ235" s="24"/>
      <c r="DR235" s="24"/>
      <c r="DS235" s="24"/>
      <c r="DT235" s="24"/>
      <c r="DU235" s="24"/>
    </row>
    <row r="236" spans="1:125" s="8" customFormat="1" ht="48" x14ac:dyDescent="0.2">
      <c r="A236" s="77">
        <v>41289</v>
      </c>
      <c r="B236" s="78" t="s">
        <v>2661</v>
      </c>
      <c r="C236" s="81" t="s">
        <v>1365</v>
      </c>
      <c r="D236" s="81" t="s">
        <v>2846</v>
      </c>
      <c r="E236" s="75" t="str">
        <f>VLOOKUP(B236&amp;C236,Divipola!$C$2:$F$1138,4,FALSE)</f>
        <v>41378</v>
      </c>
      <c r="F236" s="87"/>
      <c r="G236" s="87"/>
      <c r="H236" s="87"/>
      <c r="I236" s="87"/>
      <c r="J236" s="87"/>
      <c r="K236" s="87"/>
      <c r="L236" s="87"/>
      <c r="M236" s="87"/>
      <c r="N236" s="87"/>
      <c r="O236" s="87"/>
      <c r="P236" s="87"/>
      <c r="Q236" s="87"/>
      <c r="R236" s="87"/>
      <c r="S236" s="87"/>
      <c r="T236" s="87"/>
      <c r="U236" s="127">
        <v>0.5</v>
      </c>
      <c r="V236" s="89"/>
      <c r="W236" s="96">
        <v>0</v>
      </c>
      <c r="X236" s="71">
        <f>CU236</f>
        <v>0</v>
      </c>
      <c r="Y236" s="71">
        <f>CY236</f>
        <v>0</v>
      </c>
      <c r="Z236" s="71">
        <f>DA236+DC236+DE236</f>
        <v>0</v>
      </c>
      <c r="AA236" s="71">
        <f>CW236</f>
        <v>0</v>
      </c>
      <c r="AB236" s="71"/>
      <c r="AC236" s="71">
        <v>0</v>
      </c>
      <c r="AD236" s="71">
        <f>W236+X236+Y236+Z236+AA236+AB236+AC236</f>
        <v>0</v>
      </c>
      <c r="AE236" s="72">
        <v>0</v>
      </c>
      <c r="AF236" s="5"/>
      <c r="AG236" s="6"/>
      <c r="AH236" s="27" t="s">
        <v>3392</v>
      </c>
      <c r="AI236" s="44" t="s">
        <v>3393</v>
      </c>
      <c r="AJ236" s="26"/>
      <c r="AK236" s="5"/>
      <c r="AL236" s="82" t="s">
        <v>3078</v>
      </c>
      <c r="AM236" s="76"/>
      <c r="AN236" s="76"/>
      <c r="AO236" s="76"/>
      <c r="AP236" s="76"/>
      <c r="AQ236" s="76"/>
      <c r="AR236" s="76"/>
      <c r="AS236" s="76"/>
      <c r="AT236" s="76"/>
      <c r="AU236" s="76"/>
      <c r="AV236" s="76"/>
      <c r="AW236" s="76"/>
      <c r="AX236" s="76">
        <f>+AW236*600000</f>
        <v>0</v>
      </c>
      <c r="AY236" s="76"/>
      <c r="AZ236" s="76">
        <f>+AY236*70000</f>
        <v>0</v>
      </c>
      <c r="BA236" s="76"/>
      <c r="BB236" s="76"/>
      <c r="BC236" s="76"/>
      <c r="BD236" s="76">
        <f>+BC236*30000</f>
        <v>0</v>
      </c>
      <c r="BE236" s="76"/>
      <c r="BF236" s="76"/>
      <c r="BG236" s="76"/>
      <c r="BH236" s="76"/>
      <c r="BI236" s="76"/>
      <c r="BJ236" s="76"/>
      <c r="BK236" s="76"/>
      <c r="BL236" s="76">
        <f>+BK236*31500</f>
        <v>0</v>
      </c>
      <c r="BM236" s="76"/>
      <c r="BN236" s="76"/>
      <c r="BO236" s="76"/>
      <c r="BP236" s="76"/>
      <c r="BQ236" s="76"/>
      <c r="BR236" s="76"/>
      <c r="BS236" s="76"/>
      <c r="BT236" s="76"/>
      <c r="BU236" s="76"/>
      <c r="BV236" s="76"/>
      <c r="BW236" s="76"/>
      <c r="BX236" s="76"/>
      <c r="BY236" s="76"/>
      <c r="BZ236" s="76"/>
      <c r="CA236" s="76"/>
      <c r="CB236" s="76"/>
      <c r="CC236" s="76"/>
      <c r="CD236" s="76"/>
      <c r="CE236" s="76"/>
      <c r="CF236" s="76">
        <f>+CE236*28000</f>
        <v>0</v>
      </c>
      <c r="CG236" s="76"/>
      <c r="CH236" s="76">
        <f>+CG236*22500</f>
        <v>0</v>
      </c>
      <c r="CI236" s="76"/>
      <c r="CJ236" s="76">
        <f>+CI236*26000</f>
        <v>0</v>
      </c>
      <c r="CK236" s="76"/>
      <c r="CL236" s="76"/>
      <c r="CM236" s="76"/>
      <c r="CN236" s="76">
        <f>+CM236*22000</f>
        <v>0</v>
      </c>
      <c r="CO236" s="76"/>
      <c r="CP236" s="76">
        <f>+CO236*46000</f>
        <v>0</v>
      </c>
      <c r="CQ236" s="76"/>
      <c r="CR236" s="76">
        <f>+CQ236*49000</f>
        <v>0</v>
      </c>
      <c r="CS236" s="76"/>
      <c r="CT236" s="76"/>
      <c r="CU236" s="56">
        <f>AN236+AP236+AR236+AT236+AV236+AX236+AZ236+BB236+BD236+BF236+BH236+BJ236+BL236+BN236+BP236+BR236+BT236+BV236+BX236+BZ236+CB236+CD236+CF236+CH236+CJ236+CL236+CN236+CP236+CR236+CT236</f>
        <v>0</v>
      </c>
      <c r="CV236" s="76"/>
      <c r="CW236" s="76">
        <f>+CV236*1100</f>
        <v>0</v>
      </c>
      <c r="CX236" s="76"/>
      <c r="CY236" s="76">
        <f>+CX236*106250</f>
        <v>0</v>
      </c>
      <c r="CZ236" s="76"/>
      <c r="DA236" s="76">
        <f>+CZ236*34500</f>
        <v>0</v>
      </c>
      <c r="DB236" s="76"/>
      <c r="DC236" s="76">
        <f>+DB236*25000</f>
        <v>0</v>
      </c>
      <c r="DD236" s="219"/>
      <c r="DE236" s="219"/>
      <c r="DF236" s="164"/>
      <c r="DG236" s="116"/>
      <c r="DH236" s="117"/>
      <c r="DI236" s="24"/>
      <c r="DJ236" s="24"/>
      <c r="DK236" s="24"/>
      <c r="DL236" s="24"/>
      <c r="DM236" s="24"/>
      <c r="DN236" s="24"/>
      <c r="DO236" s="24"/>
      <c r="DP236" s="24"/>
      <c r="DQ236" s="24"/>
      <c r="DR236" s="24"/>
      <c r="DS236" s="24"/>
      <c r="DT236" s="24"/>
      <c r="DU236" s="24"/>
    </row>
    <row r="237" spans="1:125" s="8" customFormat="1" ht="48" x14ac:dyDescent="0.2">
      <c r="A237" s="77">
        <v>41289</v>
      </c>
      <c r="B237" s="78" t="s">
        <v>2661</v>
      </c>
      <c r="C237" s="75" t="s">
        <v>2807</v>
      </c>
      <c r="D237" s="81" t="s">
        <v>2846</v>
      </c>
      <c r="E237" s="75" t="str">
        <f>VLOOKUP(B237&amp;C237,Divipola!$C$2:$F$1138,4,FALSE)</f>
        <v>41807</v>
      </c>
      <c r="F237" s="87"/>
      <c r="G237" s="87"/>
      <c r="H237" s="87"/>
      <c r="I237" s="87"/>
      <c r="J237" s="87"/>
      <c r="K237" s="87"/>
      <c r="L237" s="87"/>
      <c r="M237" s="87"/>
      <c r="N237" s="87"/>
      <c r="O237" s="87"/>
      <c r="P237" s="87"/>
      <c r="Q237" s="87"/>
      <c r="R237" s="87"/>
      <c r="S237" s="87"/>
      <c r="T237" s="87"/>
      <c r="U237" s="127">
        <v>1</v>
      </c>
      <c r="V237" s="89"/>
      <c r="W237" s="96">
        <v>0</v>
      </c>
      <c r="X237" s="71">
        <f>CU237</f>
        <v>0</v>
      </c>
      <c r="Y237" s="71">
        <f>CY237</f>
        <v>0</v>
      </c>
      <c r="Z237" s="71">
        <f>DA237+DC237+DE237</f>
        <v>0</v>
      </c>
      <c r="AA237" s="71">
        <f>CW237</f>
        <v>0</v>
      </c>
      <c r="AB237" s="71"/>
      <c r="AC237" s="71">
        <v>0</v>
      </c>
      <c r="AD237" s="71">
        <f>W237+X237+Y237+Z237+AA237+AB237+AC237</f>
        <v>0</v>
      </c>
      <c r="AE237" s="72">
        <v>0</v>
      </c>
      <c r="AF237" s="5"/>
      <c r="AG237" s="6"/>
      <c r="AH237" s="27" t="s">
        <v>3392</v>
      </c>
      <c r="AI237" s="44" t="s">
        <v>3393</v>
      </c>
      <c r="AJ237" s="26"/>
      <c r="AK237" s="5"/>
      <c r="AL237" s="82" t="s">
        <v>3076</v>
      </c>
      <c r="AM237" s="76"/>
      <c r="AN237" s="76"/>
      <c r="AO237" s="76"/>
      <c r="AP237" s="76"/>
      <c r="AQ237" s="76"/>
      <c r="AR237" s="76"/>
      <c r="AS237" s="76"/>
      <c r="AT237" s="76"/>
      <c r="AU237" s="76"/>
      <c r="AV237" s="76"/>
      <c r="AW237" s="76"/>
      <c r="AX237" s="76">
        <f>+AW237*600000</f>
        <v>0</v>
      </c>
      <c r="AY237" s="76"/>
      <c r="AZ237" s="76">
        <f>+AY237*70000</f>
        <v>0</v>
      </c>
      <c r="BA237" s="76"/>
      <c r="BB237" s="76"/>
      <c r="BC237" s="76"/>
      <c r="BD237" s="76">
        <f>+BC237*30000</f>
        <v>0</v>
      </c>
      <c r="BE237" s="76"/>
      <c r="BF237" s="76"/>
      <c r="BG237" s="76"/>
      <c r="BH237" s="76"/>
      <c r="BI237" s="76"/>
      <c r="BJ237" s="76"/>
      <c r="BK237" s="76"/>
      <c r="BL237" s="76">
        <f>+BK237*31500</f>
        <v>0</v>
      </c>
      <c r="BM237" s="76"/>
      <c r="BN237" s="76"/>
      <c r="BO237" s="76"/>
      <c r="BP237" s="76"/>
      <c r="BQ237" s="76"/>
      <c r="BR237" s="76"/>
      <c r="BS237" s="76"/>
      <c r="BT237" s="76"/>
      <c r="BU237" s="76"/>
      <c r="BV237" s="76"/>
      <c r="BW237" s="76"/>
      <c r="BX237" s="76"/>
      <c r="BY237" s="76"/>
      <c r="BZ237" s="76"/>
      <c r="CA237" s="76"/>
      <c r="CB237" s="76"/>
      <c r="CC237" s="76"/>
      <c r="CD237" s="76"/>
      <c r="CE237" s="76"/>
      <c r="CF237" s="76">
        <f>+CE237*28000</f>
        <v>0</v>
      </c>
      <c r="CG237" s="76"/>
      <c r="CH237" s="76">
        <f>+CG237*22500</f>
        <v>0</v>
      </c>
      <c r="CI237" s="76"/>
      <c r="CJ237" s="76">
        <f>+CI237*26000</f>
        <v>0</v>
      </c>
      <c r="CK237" s="76"/>
      <c r="CL237" s="76"/>
      <c r="CM237" s="76"/>
      <c r="CN237" s="76">
        <f>+CM237*22000</f>
        <v>0</v>
      </c>
      <c r="CO237" s="76"/>
      <c r="CP237" s="76">
        <f>+CO237*46000</f>
        <v>0</v>
      </c>
      <c r="CQ237" s="76"/>
      <c r="CR237" s="76">
        <f>+CQ237*49000</f>
        <v>0</v>
      </c>
      <c r="CS237" s="76"/>
      <c r="CT237" s="76"/>
      <c r="CU237" s="56">
        <f>AN237+AP237+AR237+AT237+AV237+AX237+AZ237+BB237+BD237+BF237+BH237+BJ237+BL237+BN237+BP237+BR237+BT237+BV237+BX237+BZ237+CB237+CD237+CF237+CH237+CJ237+CL237+CN237+CP237+CR237+CT237</f>
        <v>0</v>
      </c>
      <c r="CV237" s="76"/>
      <c r="CW237" s="76">
        <f>+CV237*1100</f>
        <v>0</v>
      </c>
      <c r="CX237" s="76"/>
      <c r="CY237" s="76">
        <f>+CX237*106250</f>
        <v>0</v>
      </c>
      <c r="CZ237" s="76"/>
      <c r="DA237" s="76">
        <f>+CZ237*34500</f>
        <v>0</v>
      </c>
      <c r="DB237" s="76"/>
      <c r="DC237" s="76">
        <f>+DB237*25000</f>
        <v>0</v>
      </c>
      <c r="DD237" s="219"/>
      <c r="DE237" s="219"/>
      <c r="DF237" s="164"/>
      <c r="DG237" s="116"/>
      <c r="DH237" s="117"/>
      <c r="DI237" s="24"/>
      <c r="DJ237" s="24"/>
      <c r="DK237" s="24"/>
      <c r="DL237" s="24"/>
      <c r="DM237" s="24"/>
      <c r="DN237" s="24"/>
      <c r="DO237" s="24"/>
      <c r="DP237" s="24"/>
      <c r="DQ237" s="24"/>
      <c r="DR237" s="24"/>
      <c r="DS237" s="24"/>
      <c r="DT237" s="24"/>
      <c r="DU237" s="24"/>
    </row>
    <row r="238" spans="1:125" s="8" customFormat="1" ht="48" x14ac:dyDescent="0.2">
      <c r="A238" s="77">
        <v>41289</v>
      </c>
      <c r="B238" s="78" t="s">
        <v>2661</v>
      </c>
      <c r="C238" s="75" t="s">
        <v>2807</v>
      </c>
      <c r="D238" s="81" t="s">
        <v>2846</v>
      </c>
      <c r="E238" s="75" t="str">
        <f>VLOOKUP(B238&amp;C238,Divipola!$C$2:$F$1138,4,FALSE)</f>
        <v>41807</v>
      </c>
      <c r="F238" s="87"/>
      <c r="G238" s="87"/>
      <c r="H238" s="87"/>
      <c r="I238" s="87"/>
      <c r="J238" s="87"/>
      <c r="K238" s="87"/>
      <c r="L238" s="87"/>
      <c r="M238" s="87"/>
      <c r="N238" s="87"/>
      <c r="O238" s="87"/>
      <c r="P238" s="87"/>
      <c r="Q238" s="87"/>
      <c r="R238" s="87"/>
      <c r="S238" s="87"/>
      <c r="T238" s="87"/>
      <c r="U238" s="127">
        <v>6</v>
      </c>
      <c r="V238" s="89"/>
      <c r="W238" s="96">
        <v>0</v>
      </c>
      <c r="X238" s="71">
        <f>CU238</f>
        <v>0</v>
      </c>
      <c r="Y238" s="71">
        <f>CY238</f>
        <v>0</v>
      </c>
      <c r="Z238" s="71">
        <f>DA238+DC238+DE238</f>
        <v>0</v>
      </c>
      <c r="AA238" s="71">
        <f>CW238</f>
        <v>0</v>
      </c>
      <c r="AB238" s="71"/>
      <c r="AC238" s="71">
        <v>0</v>
      </c>
      <c r="AD238" s="71">
        <f>W238+X238+Y238+Z238+AA238+AB238+AC238</f>
        <v>0</v>
      </c>
      <c r="AE238" s="72">
        <v>0</v>
      </c>
      <c r="AF238" s="5"/>
      <c r="AG238" s="6"/>
      <c r="AH238" s="27" t="s">
        <v>3392</v>
      </c>
      <c r="AI238" s="44" t="s">
        <v>3393</v>
      </c>
      <c r="AJ238" s="26"/>
      <c r="AK238" s="5"/>
      <c r="AL238" s="82" t="s">
        <v>3077</v>
      </c>
      <c r="AM238" s="76"/>
      <c r="AN238" s="76"/>
      <c r="AO238" s="76"/>
      <c r="AP238" s="76"/>
      <c r="AQ238" s="76"/>
      <c r="AR238" s="76"/>
      <c r="AS238" s="76"/>
      <c r="AT238" s="76"/>
      <c r="AU238" s="76"/>
      <c r="AV238" s="76"/>
      <c r="AW238" s="76"/>
      <c r="AX238" s="76">
        <f>+AW238*600000</f>
        <v>0</v>
      </c>
      <c r="AY238" s="76"/>
      <c r="AZ238" s="76">
        <f>+AY238*70000</f>
        <v>0</v>
      </c>
      <c r="BA238" s="76"/>
      <c r="BB238" s="76"/>
      <c r="BC238" s="76"/>
      <c r="BD238" s="76">
        <f>+BC238*30000</f>
        <v>0</v>
      </c>
      <c r="BE238" s="76"/>
      <c r="BF238" s="76"/>
      <c r="BG238" s="76"/>
      <c r="BH238" s="76"/>
      <c r="BI238" s="76"/>
      <c r="BJ238" s="76"/>
      <c r="BK238" s="76"/>
      <c r="BL238" s="76">
        <f>+BK238*31500</f>
        <v>0</v>
      </c>
      <c r="BM238" s="76"/>
      <c r="BN238" s="76"/>
      <c r="BO238" s="76"/>
      <c r="BP238" s="76"/>
      <c r="BQ238" s="76"/>
      <c r="BR238" s="76"/>
      <c r="BS238" s="76"/>
      <c r="BT238" s="76"/>
      <c r="BU238" s="76"/>
      <c r="BV238" s="76"/>
      <c r="BW238" s="76"/>
      <c r="BX238" s="76"/>
      <c r="BY238" s="76"/>
      <c r="BZ238" s="76"/>
      <c r="CA238" s="76"/>
      <c r="CB238" s="76"/>
      <c r="CC238" s="76"/>
      <c r="CD238" s="76"/>
      <c r="CE238" s="76"/>
      <c r="CF238" s="76">
        <f>+CE238*28000</f>
        <v>0</v>
      </c>
      <c r="CG238" s="76"/>
      <c r="CH238" s="76">
        <f>+CG238*22500</f>
        <v>0</v>
      </c>
      <c r="CI238" s="76"/>
      <c r="CJ238" s="76">
        <f>+CI238*26000</f>
        <v>0</v>
      </c>
      <c r="CK238" s="76"/>
      <c r="CL238" s="76"/>
      <c r="CM238" s="76"/>
      <c r="CN238" s="76">
        <f>+CM238*22000</f>
        <v>0</v>
      </c>
      <c r="CO238" s="76"/>
      <c r="CP238" s="76">
        <f>+CO238*46000</f>
        <v>0</v>
      </c>
      <c r="CQ238" s="76"/>
      <c r="CR238" s="76">
        <f>+CQ238*49000</f>
        <v>0</v>
      </c>
      <c r="CS238" s="76"/>
      <c r="CT238" s="76"/>
      <c r="CU238" s="56">
        <f>AN238+AP238+AR238+AT238+AV238+AX238+AZ238+BB238+BD238+BF238+BH238+BJ238+BL238+BN238+BP238+BR238+BT238+BV238+BX238+BZ238+CB238+CD238+CF238+CH238+CJ238+CL238+CN238+CP238+CR238+CT238</f>
        <v>0</v>
      </c>
      <c r="CV238" s="76"/>
      <c r="CW238" s="76">
        <f>+CV238*1100</f>
        <v>0</v>
      </c>
      <c r="CX238" s="76"/>
      <c r="CY238" s="76">
        <f>+CX238*106250</f>
        <v>0</v>
      </c>
      <c r="CZ238" s="76"/>
      <c r="DA238" s="76">
        <f>+CZ238*34500</f>
        <v>0</v>
      </c>
      <c r="DB238" s="76"/>
      <c r="DC238" s="76">
        <f>+DB238*25000</f>
        <v>0</v>
      </c>
      <c r="DD238" s="219"/>
      <c r="DE238" s="219"/>
      <c r="DF238" s="164"/>
      <c r="DG238" s="116"/>
      <c r="DH238" s="117"/>
      <c r="DI238" s="24"/>
      <c r="DJ238" s="24"/>
      <c r="DK238" s="24"/>
      <c r="DL238" s="24"/>
      <c r="DM238" s="24"/>
      <c r="DN238" s="24"/>
      <c r="DO238" s="24"/>
      <c r="DP238" s="24"/>
      <c r="DQ238" s="24"/>
      <c r="DR238" s="24"/>
      <c r="DS238" s="24"/>
      <c r="DT238" s="24"/>
      <c r="DU238" s="24"/>
    </row>
    <row r="239" spans="1:125" s="8" customFormat="1" ht="48" x14ac:dyDescent="0.2">
      <c r="A239" s="77">
        <v>41289</v>
      </c>
      <c r="B239" s="78" t="s">
        <v>2775</v>
      </c>
      <c r="C239" s="75" t="s">
        <v>2775</v>
      </c>
      <c r="D239" s="75" t="s">
        <v>3121</v>
      </c>
      <c r="E239" s="75" t="str">
        <f>VLOOKUP(B239&amp;C239,Divipola!$C$2:$F$1138,4,FALSE)</f>
        <v>00000</v>
      </c>
      <c r="F239" s="153"/>
      <c r="G239" s="153"/>
      <c r="H239" s="153"/>
      <c r="I239" s="153"/>
      <c r="J239" s="153"/>
      <c r="K239" s="153"/>
      <c r="L239" s="153"/>
      <c r="M239" s="153"/>
      <c r="N239" s="153"/>
      <c r="O239" s="153"/>
      <c r="P239" s="153"/>
      <c r="Q239" s="153"/>
      <c r="R239" s="153"/>
      <c r="S239" s="153"/>
      <c r="T239" s="153"/>
      <c r="U239" s="154"/>
      <c r="V239" s="134"/>
      <c r="W239" s="96">
        <v>0</v>
      </c>
      <c r="X239" s="71">
        <f>CU239</f>
        <v>0</v>
      </c>
      <c r="Y239" s="71">
        <f>CY239</f>
        <v>0</v>
      </c>
      <c r="Z239" s="71">
        <f>DA239+DC239+DE239</f>
        <v>0</v>
      </c>
      <c r="AA239" s="71">
        <f>CW239</f>
        <v>0</v>
      </c>
      <c r="AB239" s="71">
        <v>175000000</v>
      </c>
      <c r="AC239" s="71">
        <v>0</v>
      </c>
      <c r="AD239" s="71">
        <f>W239+X239+Y239+Z239+AA239+AB239+AC239</f>
        <v>175000000</v>
      </c>
      <c r="AE239" s="72">
        <v>0</v>
      </c>
      <c r="AF239" s="5"/>
      <c r="AG239" s="6"/>
      <c r="AH239" s="27" t="s">
        <v>3390</v>
      </c>
      <c r="AI239" s="44" t="s">
        <v>3391</v>
      </c>
      <c r="AJ239" s="26"/>
      <c r="AK239" s="5"/>
      <c r="AL239" s="82" t="s">
        <v>3122</v>
      </c>
      <c r="AM239" s="76"/>
      <c r="AN239" s="76"/>
      <c r="AO239" s="76"/>
      <c r="AP239" s="76"/>
      <c r="AQ239" s="76"/>
      <c r="AR239" s="76"/>
      <c r="AS239" s="76"/>
      <c r="AT239" s="76"/>
      <c r="AU239" s="76"/>
      <c r="AV239" s="76"/>
      <c r="AW239" s="76"/>
      <c r="AX239" s="76">
        <f>+AW239*600000</f>
        <v>0</v>
      </c>
      <c r="AY239" s="76"/>
      <c r="AZ239" s="76">
        <f>+AY239*70000</f>
        <v>0</v>
      </c>
      <c r="BA239" s="76"/>
      <c r="BB239" s="76"/>
      <c r="BC239" s="76"/>
      <c r="BD239" s="76">
        <f>+BC239*30000</f>
        <v>0</v>
      </c>
      <c r="BE239" s="76"/>
      <c r="BF239" s="76"/>
      <c r="BG239" s="76"/>
      <c r="BH239" s="76"/>
      <c r="BI239" s="76"/>
      <c r="BJ239" s="76"/>
      <c r="BK239" s="76"/>
      <c r="BL239" s="76">
        <f>+BK239*31500</f>
        <v>0</v>
      </c>
      <c r="BM239" s="76"/>
      <c r="BN239" s="76"/>
      <c r="BO239" s="76"/>
      <c r="BP239" s="76"/>
      <c r="BQ239" s="76"/>
      <c r="BR239" s="76"/>
      <c r="BS239" s="76"/>
      <c r="BT239" s="76"/>
      <c r="BU239" s="76"/>
      <c r="BV239" s="76"/>
      <c r="BW239" s="76"/>
      <c r="BX239" s="76"/>
      <c r="BY239" s="76"/>
      <c r="BZ239" s="76"/>
      <c r="CA239" s="76"/>
      <c r="CB239" s="76"/>
      <c r="CC239" s="76"/>
      <c r="CD239" s="76"/>
      <c r="CE239" s="76"/>
      <c r="CF239" s="76">
        <f>+CE239*28000</f>
        <v>0</v>
      </c>
      <c r="CG239" s="76"/>
      <c r="CH239" s="76">
        <f>+CG239*22500</f>
        <v>0</v>
      </c>
      <c r="CI239" s="76"/>
      <c r="CJ239" s="76">
        <f>+CI239*26000</f>
        <v>0</v>
      </c>
      <c r="CK239" s="76"/>
      <c r="CL239" s="76"/>
      <c r="CM239" s="76"/>
      <c r="CN239" s="76">
        <f>+CM239*22000</f>
        <v>0</v>
      </c>
      <c r="CO239" s="76"/>
      <c r="CP239" s="76">
        <f>+CO239*46000</f>
        <v>0</v>
      </c>
      <c r="CQ239" s="76"/>
      <c r="CR239" s="76">
        <f>+CQ239*49000</f>
        <v>0</v>
      </c>
      <c r="CS239" s="76"/>
      <c r="CT239" s="76"/>
      <c r="CU239" s="56">
        <f>AN239+AP239+AR239+AT239+AV239+AX239+AZ239+BB239+BD239+BF239+BH239+BJ239+BL239+BN239+BP239+BR239+BT239+BV239+BX239+BZ239+CB239+CD239+CF239+CH239+CJ239+CL239+CN239+CP239+CR239+CT239</f>
        <v>0</v>
      </c>
      <c r="CV239" s="76"/>
      <c r="CW239" s="76">
        <f>+CV239*1100</f>
        <v>0</v>
      </c>
      <c r="CX239" s="76"/>
      <c r="CY239" s="76">
        <f>+CX239*106250</f>
        <v>0</v>
      </c>
      <c r="CZ239" s="76"/>
      <c r="DA239" s="76">
        <f>+CZ239*34500</f>
        <v>0</v>
      </c>
      <c r="DB239" s="76"/>
      <c r="DC239" s="76">
        <f>+DB239*25000</f>
        <v>0</v>
      </c>
      <c r="DD239" s="219"/>
      <c r="DE239" s="219"/>
      <c r="DF239" s="164"/>
      <c r="DG239" s="116"/>
      <c r="DH239" s="117"/>
      <c r="DI239" s="24"/>
      <c r="DJ239" s="24"/>
      <c r="DK239" s="24"/>
      <c r="DL239" s="24"/>
      <c r="DM239" s="24"/>
      <c r="DN239" s="24"/>
      <c r="DO239" s="24"/>
      <c r="DP239" s="24"/>
      <c r="DQ239" s="24"/>
      <c r="DR239" s="24"/>
      <c r="DS239" s="24"/>
      <c r="DT239" s="24"/>
      <c r="DU239" s="24"/>
    </row>
    <row r="240" spans="1:125" s="8" customFormat="1" ht="36" x14ac:dyDescent="0.2">
      <c r="A240" s="77">
        <v>41289</v>
      </c>
      <c r="B240" s="78" t="s">
        <v>2811</v>
      </c>
      <c r="C240" s="83" t="s">
        <v>1115</v>
      </c>
      <c r="D240" s="75" t="s">
        <v>3051</v>
      </c>
      <c r="E240" s="75" t="str">
        <f>VLOOKUP(B240&amp;C240,Divipola!$C$2:$F$1138,4,FALSE)</f>
        <v>52473</v>
      </c>
      <c r="F240" s="93"/>
      <c r="G240" s="93"/>
      <c r="H240" s="93"/>
      <c r="I240" s="93">
        <v>35</v>
      </c>
      <c r="J240" s="93">
        <v>7</v>
      </c>
      <c r="K240" s="93"/>
      <c r="L240" s="93">
        <v>7</v>
      </c>
      <c r="M240" s="93"/>
      <c r="N240" s="93"/>
      <c r="O240" s="93"/>
      <c r="P240" s="93"/>
      <c r="Q240" s="93"/>
      <c r="R240" s="93"/>
      <c r="S240" s="93"/>
      <c r="T240" s="93"/>
      <c r="U240" s="125"/>
      <c r="V240" s="89"/>
      <c r="W240" s="96">
        <v>0</v>
      </c>
      <c r="X240" s="71">
        <f>CU240</f>
        <v>0</v>
      </c>
      <c r="Y240" s="71">
        <f>CY240</f>
        <v>0</v>
      </c>
      <c r="Z240" s="71">
        <f>DA240+DC240+DE240</f>
        <v>0</v>
      </c>
      <c r="AA240" s="71">
        <f>CW240</f>
        <v>0</v>
      </c>
      <c r="AB240" s="71"/>
      <c r="AC240" s="71">
        <v>0</v>
      </c>
      <c r="AD240" s="71">
        <f>W240+X240+Y240+Z240+AA240+AB240+AC240</f>
        <v>0</v>
      </c>
      <c r="AE240" s="72">
        <v>0</v>
      </c>
      <c r="AF240" s="5"/>
      <c r="AG240" s="6"/>
      <c r="AH240" s="27" t="s">
        <v>3392</v>
      </c>
      <c r="AI240" s="44" t="s">
        <v>3393</v>
      </c>
      <c r="AJ240" s="26"/>
      <c r="AK240" s="5"/>
      <c r="AL240" s="82" t="s">
        <v>3072</v>
      </c>
      <c r="AM240" s="76"/>
      <c r="AN240" s="76"/>
      <c r="AO240" s="76"/>
      <c r="AP240" s="76"/>
      <c r="AQ240" s="76"/>
      <c r="AR240" s="76"/>
      <c r="AS240" s="76"/>
      <c r="AT240" s="76"/>
      <c r="AU240" s="76"/>
      <c r="AV240" s="76"/>
      <c r="AW240" s="76"/>
      <c r="AX240" s="76">
        <f>+AW240*600000</f>
        <v>0</v>
      </c>
      <c r="AY240" s="76"/>
      <c r="AZ240" s="76">
        <f>+AY240*70000</f>
        <v>0</v>
      </c>
      <c r="BA240" s="76"/>
      <c r="BB240" s="76"/>
      <c r="BC240" s="76"/>
      <c r="BD240" s="76">
        <f>+BC240*30000</f>
        <v>0</v>
      </c>
      <c r="BE240" s="76"/>
      <c r="BF240" s="76"/>
      <c r="BG240" s="76"/>
      <c r="BH240" s="76"/>
      <c r="BI240" s="76"/>
      <c r="BJ240" s="76"/>
      <c r="BK240" s="76"/>
      <c r="BL240" s="76">
        <f>+BK240*31500</f>
        <v>0</v>
      </c>
      <c r="BM240" s="76"/>
      <c r="BN240" s="76"/>
      <c r="BO240" s="76"/>
      <c r="BP240" s="76"/>
      <c r="BQ240" s="76"/>
      <c r="BR240" s="76"/>
      <c r="BS240" s="76"/>
      <c r="BT240" s="76"/>
      <c r="BU240" s="76"/>
      <c r="BV240" s="76"/>
      <c r="BW240" s="76"/>
      <c r="BX240" s="76"/>
      <c r="BY240" s="76"/>
      <c r="BZ240" s="76"/>
      <c r="CA240" s="76"/>
      <c r="CB240" s="76"/>
      <c r="CC240" s="76"/>
      <c r="CD240" s="76"/>
      <c r="CE240" s="76"/>
      <c r="CF240" s="76">
        <f>+CE240*28000</f>
        <v>0</v>
      </c>
      <c r="CG240" s="76"/>
      <c r="CH240" s="76">
        <f>+CG240*22500</f>
        <v>0</v>
      </c>
      <c r="CI240" s="76"/>
      <c r="CJ240" s="76">
        <f>+CI240*26000</f>
        <v>0</v>
      </c>
      <c r="CK240" s="76"/>
      <c r="CL240" s="76"/>
      <c r="CM240" s="76"/>
      <c r="CN240" s="76">
        <f>+CM240*22000</f>
        <v>0</v>
      </c>
      <c r="CO240" s="76"/>
      <c r="CP240" s="76">
        <f>+CO240*46000</f>
        <v>0</v>
      </c>
      <c r="CQ240" s="76"/>
      <c r="CR240" s="76">
        <f>+CQ240*49000</f>
        <v>0</v>
      </c>
      <c r="CS240" s="76"/>
      <c r="CT240" s="76"/>
      <c r="CU240" s="56">
        <f>AN240+AP240+AR240+AT240+AV240+AX240+AZ240+BB240+BD240+BF240+BH240+BJ240+BL240+BN240+BP240+BR240+BT240+BV240+BX240+BZ240+CB240+CD240+CF240+CH240+CJ240+CL240+CN240+CP240+CR240+CT240</f>
        <v>0</v>
      </c>
      <c r="CV240" s="76"/>
      <c r="CW240" s="76">
        <f>+CV240*1100</f>
        <v>0</v>
      </c>
      <c r="CX240" s="76"/>
      <c r="CY240" s="76">
        <f>+CX240*106250</f>
        <v>0</v>
      </c>
      <c r="CZ240" s="76"/>
      <c r="DA240" s="76">
        <f>+CZ240*34500</f>
        <v>0</v>
      </c>
      <c r="DB240" s="76"/>
      <c r="DC240" s="76">
        <f>+DB240*25000</f>
        <v>0</v>
      </c>
      <c r="DD240" s="219"/>
      <c r="DE240" s="219"/>
      <c r="DF240" s="164"/>
      <c r="DG240" s="116"/>
      <c r="DH240" s="117"/>
      <c r="DI240" s="24"/>
      <c r="DJ240" s="24"/>
      <c r="DK240" s="24"/>
      <c r="DL240" s="24"/>
      <c r="DM240" s="24"/>
      <c r="DN240" s="24"/>
      <c r="DO240" s="24"/>
      <c r="DP240" s="24"/>
      <c r="DQ240" s="24"/>
      <c r="DR240" s="24"/>
      <c r="DS240" s="24"/>
      <c r="DT240" s="24"/>
      <c r="DU240" s="24"/>
    </row>
    <row r="241" spans="1:125" s="8" customFormat="1" ht="60" x14ac:dyDescent="0.2">
      <c r="A241" s="77">
        <v>41289</v>
      </c>
      <c r="B241" s="84" t="s">
        <v>2860</v>
      </c>
      <c r="C241" s="84" t="s">
        <v>2776</v>
      </c>
      <c r="D241" s="75" t="s">
        <v>2859</v>
      </c>
      <c r="E241" s="75" t="str">
        <f>VLOOKUP(B241&amp;C241,Divipola!$C$2:$F$1138,4,FALSE)</f>
        <v>63001</v>
      </c>
      <c r="F241" s="89"/>
      <c r="G241" s="89"/>
      <c r="H241" s="89"/>
      <c r="I241" s="89">
        <v>5</v>
      </c>
      <c r="J241" s="89">
        <v>1</v>
      </c>
      <c r="K241" s="89"/>
      <c r="L241" s="89">
        <v>1</v>
      </c>
      <c r="M241" s="89"/>
      <c r="N241" s="89"/>
      <c r="O241" s="89"/>
      <c r="P241" s="89"/>
      <c r="Q241" s="89"/>
      <c r="R241" s="89"/>
      <c r="S241" s="89"/>
      <c r="T241" s="89"/>
      <c r="U241" s="126"/>
      <c r="V241" s="89"/>
      <c r="W241" s="96">
        <v>0</v>
      </c>
      <c r="X241" s="71">
        <f>CU241</f>
        <v>0</v>
      </c>
      <c r="Y241" s="71">
        <f>CY241</f>
        <v>0</v>
      </c>
      <c r="Z241" s="71">
        <f>DA241+DC241+DE241</f>
        <v>0</v>
      </c>
      <c r="AA241" s="71">
        <f>CW241</f>
        <v>0</v>
      </c>
      <c r="AB241" s="71"/>
      <c r="AC241" s="71">
        <v>0</v>
      </c>
      <c r="AD241" s="71">
        <f>W241+X241+Y241+Z241+AA241+AB241+AC241</f>
        <v>0</v>
      </c>
      <c r="AE241" s="72">
        <v>0</v>
      </c>
      <c r="AF241" s="5"/>
      <c r="AG241" s="6"/>
      <c r="AH241" s="27" t="s">
        <v>3392</v>
      </c>
      <c r="AI241" s="44" t="s">
        <v>3393</v>
      </c>
      <c r="AJ241" s="26"/>
      <c r="AK241" s="5"/>
      <c r="AL241" s="82" t="s">
        <v>3073</v>
      </c>
      <c r="AM241" s="76"/>
      <c r="AN241" s="76"/>
      <c r="AO241" s="76"/>
      <c r="AP241" s="76"/>
      <c r="AQ241" s="76"/>
      <c r="AR241" s="76"/>
      <c r="AS241" s="76"/>
      <c r="AT241" s="76"/>
      <c r="AU241" s="76"/>
      <c r="AV241" s="76"/>
      <c r="AW241" s="76"/>
      <c r="AX241" s="76">
        <f>+AW241*600000</f>
        <v>0</v>
      </c>
      <c r="AY241" s="76"/>
      <c r="AZ241" s="76">
        <f>+AY241*70000</f>
        <v>0</v>
      </c>
      <c r="BA241" s="76"/>
      <c r="BB241" s="76"/>
      <c r="BC241" s="76"/>
      <c r="BD241" s="76">
        <f>+BC241*30000</f>
        <v>0</v>
      </c>
      <c r="BE241" s="76"/>
      <c r="BF241" s="76"/>
      <c r="BG241" s="76"/>
      <c r="BH241" s="76"/>
      <c r="BI241" s="76"/>
      <c r="BJ241" s="76"/>
      <c r="BK241" s="76"/>
      <c r="BL241" s="76">
        <f>+BK241*31500</f>
        <v>0</v>
      </c>
      <c r="BM241" s="76"/>
      <c r="BN241" s="76"/>
      <c r="BO241" s="76"/>
      <c r="BP241" s="76"/>
      <c r="BQ241" s="76"/>
      <c r="BR241" s="76"/>
      <c r="BS241" s="76"/>
      <c r="BT241" s="76"/>
      <c r="BU241" s="76"/>
      <c r="BV241" s="76"/>
      <c r="BW241" s="76"/>
      <c r="BX241" s="76"/>
      <c r="BY241" s="76"/>
      <c r="BZ241" s="76"/>
      <c r="CA241" s="76"/>
      <c r="CB241" s="76"/>
      <c r="CC241" s="76"/>
      <c r="CD241" s="76"/>
      <c r="CE241" s="76"/>
      <c r="CF241" s="76">
        <f>+CE241*28000</f>
        <v>0</v>
      </c>
      <c r="CG241" s="76"/>
      <c r="CH241" s="76">
        <f>+CG241*22500</f>
        <v>0</v>
      </c>
      <c r="CI241" s="76"/>
      <c r="CJ241" s="76">
        <f>+CI241*26000</f>
        <v>0</v>
      </c>
      <c r="CK241" s="76"/>
      <c r="CL241" s="76"/>
      <c r="CM241" s="76"/>
      <c r="CN241" s="76">
        <f>+CM241*22000</f>
        <v>0</v>
      </c>
      <c r="CO241" s="76"/>
      <c r="CP241" s="76">
        <f>+CO241*46000</f>
        <v>0</v>
      </c>
      <c r="CQ241" s="76"/>
      <c r="CR241" s="76">
        <f>+CQ241*49000</f>
        <v>0</v>
      </c>
      <c r="CS241" s="76"/>
      <c r="CT241" s="76"/>
      <c r="CU241" s="56">
        <f>AN241+AP241+AR241+AT241+AV241+AX241+AZ241+BB241+BD241+BF241+BH241+BJ241+BL241+BN241+BP241+BR241+BT241+BV241+BX241+BZ241+CB241+CD241+CF241+CH241+CJ241+CL241+CN241+CP241+CR241+CT241</f>
        <v>0</v>
      </c>
      <c r="CV241" s="76"/>
      <c r="CW241" s="76">
        <f>+CV241*1100</f>
        <v>0</v>
      </c>
      <c r="CX241" s="76"/>
      <c r="CY241" s="76">
        <f>+CX241*106250</f>
        <v>0</v>
      </c>
      <c r="CZ241" s="76"/>
      <c r="DA241" s="76">
        <f>+CZ241*34500</f>
        <v>0</v>
      </c>
      <c r="DB241" s="76"/>
      <c r="DC241" s="76">
        <f>+DB241*25000</f>
        <v>0</v>
      </c>
      <c r="DD241" s="219"/>
      <c r="DE241" s="219"/>
      <c r="DF241" s="164"/>
      <c r="DG241" s="116"/>
      <c r="DH241" s="117"/>
      <c r="DI241" s="24"/>
      <c r="DJ241" s="24"/>
      <c r="DK241" s="24"/>
      <c r="DL241" s="24"/>
      <c r="DM241" s="24"/>
      <c r="DN241" s="24"/>
      <c r="DO241" s="24"/>
      <c r="DP241" s="24"/>
      <c r="DQ241" s="24"/>
      <c r="DR241" s="24"/>
      <c r="DS241" s="24"/>
      <c r="DT241" s="24"/>
      <c r="DU241" s="24"/>
    </row>
    <row r="242" spans="1:125" s="8" customFormat="1" ht="24" x14ac:dyDescent="0.2">
      <c r="A242" s="77">
        <v>41289</v>
      </c>
      <c r="B242" s="80" t="s">
        <v>2847</v>
      </c>
      <c r="C242" s="81" t="s">
        <v>2684</v>
      </c>
      <c r="D242" s="81" t="s">
        <v>2846</v>
      </c>
      <c r="E242" s="75" t="str">
        <f>VLOOKUP(B242&amp;C242,Divipola!$C$2:$F$1138,4,FALSE)</f>
        <v>68081</v>
      </c>
      <c r="F242" s="87"/>
      <c r="G242" s="87"/>
      <c r="H242" s="87"/>
      <c r="I242" s="87"/>
      <c r="J242" s="87"/>
      <c r="K242" s="87"/>
      <c r="L242" s="87"/>
      <c r="M242" s="87"/>
      <c r="N242" s="87"/>
      <c r="O242" s="87"/>
      <c r="P242" s="87"/>
      <c r="Q242" s="87"/>
      <c r="R242" s="87"/>
      <c r="S242" s="87"/>
      <c r="T242" s="87"/>
      <c r="U242" s="127">
        <v>1</v>
      </c>
      <c r="V242" s="89"/>
      <c r="W242" s="96">
        <v>0</v>
      </c>
      <c r="X242" s="71">
        <f>CU242</f>
        <v>0</v>
      </c>
      <c r="Y242" s="71">
        <f>CY242</f>
        <v>0</v>
      </c>
      <c r="Z242" s="71">
        <f>DA242+DC242+DE242</f>
        <v>0</v>
      </c>
      <c r="AA242" s="71">
        <f>CW242</f>
        <v>0</v>
      </c>
      <c r="AB242" s="71"/>
      <c r="AC242" s="71">
        <v>0</v>
      </c>
      <c r="AD242" s="71">
        <f>W242+X242+Y242+Z242+AA242+AB242+AC242</f>
        <v>0</v>
      </c>
      <c r="AE242" s="72">
        <v>0</v>
      </c>
      <c r="AF242" s="5"/>
      <c r="AG242" s="6"/>
      <c r="AH242" s="27" t="s">
        <v>3392</v>
      </c>
      <c r="AI242" s="44" t="s">
        <v>3393</v>
      </c>
      <c r="AJ242" s="26"/>
      <c r="AK242" s="5"/>
      <c r="AL242" s="82" t="s">
        <v>3069</v>
      </c>
      <c r="AM242" s="76"/>
      <c r="AN242" s="76"/>
      <c r="AO242" s="76"/>
      <c r="AP242" s="76"/>
      <c r="AQ242" s="76"/>
      <c r="AR242" s="76"/>
      <c r="AS242" s="76"/>
      <c r="AT242" s="76"/>
      <c r="AU242" s="76"/>
      <c r="AV242" s="76"/>
      <c r="AW242" s="76"/>
      <c r="AX242" s="76">
        <f>+AW242*600000</f>
        <v>0</v>
      </c>
      <c r="AY242" s="76"/>
      <c r="AZ242" s="76">
        <f>+AY242*70000</f>
        <v>0</v>
      </c>
      <c r="BA242" s="76"/>
      <c r="BB242" s="76"/>
      <c r="BC242" s="76"/>
      <c r="BD242" s="76">
        <f>+BC242*30000</f>
        <v>0</v>
      </c>
      <c r="BE242" s="76"/>
      <c r="BF242" s="76"/>
      <c r="BG242" s="76"/>
      <c r="BH242" s="76"/>
      <c r="BI242" s="76"/>
      <c r="BJ242" s="76"/>
      <c r="BK242" s="76"/>
      <c r="BL242" s="76">
        <f>+BK242*31500</f>
        <v>0</v>
      </c>
      <c r="BM242" s="76"/>
      <c r="BN242" s="76"/>
      <c r="BO242" s="76"/>
      <c r="BP242" s="76"/>
      <c r="BQ242" s="76"/>
      <c r="BR242" s="76"/>
      <c r="BS242" s="76"/>
      <c r="BT242" s="76"/>
      <c r="BU242" s="76"/>
      <c r="BV242" s="76"/>
      <c r="BW242" s="76"/>
      <c r="BX242" s="76"/>
      <c r="BY242" s="76"/>
      <c r="BZ242" s="76"/>
      <c r="CA242" s="76"/>
      <c r="CB242" s="76"/>
      <c r="CC242" s="76"/>
      <c r="CD242" s="76"/>
      <c r="CE242" s="76"/>
      <c r="CF242" s="76">
        <f>+CE242*28000</f>
        <v>0</v>
      </c>
      <c r="CG242" s="76"/>
      <c r="CH242" s="76">
        <f>+CG242*22500</f>
        <v>0</v>
      </c>
      <c r="CI242" s="76"/>
      <c r="CJ242" s="76">
        <f>+CI242*26000</f>
        <v>0</v>
      </c>
      <c r="CK242" s="76"/>
      <c r="CL242" s="76"/>
      <c r="CM242" s="76"/>
      <c r="CN242" s="76">
        <f>+CM242*22000</f>
        <v>0</v>
      </c>
      <c r="CO242" s="76"/>
      <c r="CP242" s="76">
        <f>+CO242*46000</f>
        <v>0</v>
      </c>
      <c r="CQ242" s="76"/>
      <c r="CR242" s="76">
        <f>+CQ242*49000</f>
        <v>0</v>
      </c>
      <c r="CS242" s="76"/>
      <c r="CT242" s="76"/>
      <c r="CU242" s="56">
        <f>AN242+AP242+AR242+AT242+AV242+AX242+AZ242+BB242+BD242+BF242+BH242+BJ242+BL242+BN242+BP242+BR242+BT242+BV242+BX242+BZ242+CB242+CD242+CF242+CH242+CJ242+CL242+CN242+CP242+CR242+CT242</f>
        <v>0</v>
      </c>
      <c r="CV242" s="76"/>
      <c r="CW242" s="76">
        <f>+CV242*1100</f>
        <v>0</v>
      </c>
      <c r="CX242" s="76"/>
      <c r="CY242" s="76">
        <f>+CX242*106250</f>
        <v>0</v>
      </c>
      <c r="CZ242" s="76"/>
      <c r="DA242" s="76">
        <f>+CZ242*34500</f>
        <v>0</v>
      </c>
      <c r="DB242" s="76"/>
      <c r="DC242" s="76">
        <f>+DB242*25000</f>
        <v>0</v>
      </c>
      <c r="DD242" s="219"/>
      <c r="DE242" s="219"/>
      <c r="DF242" s="164"/>
      <c r="DG242" s="116"/>
      <c r="DH242" s="117"/>
      <c r="DI242" s="24"/>
      <c r="DJ242" s="24"/>
      <c r="DK242" s="24"/>
      <c r="DL242" s="24"/>
      <c r="DM242" s="24"/>
      <c r="DN242" s="24"/>
      <c r="DO242" s="24"/>
      <c r="DP242" s="24"/>
      <c r="DQ242" s="24"/>
      <c r="DR242" s="24"/>
      <c r="DS242" s="24"/>
      <c r="DT242" s="24"/>
      <c r="DU242" s="24"/>
    </row>
    <row r="243" spans="1:125" s="8" customFormat="1" ht="72" x14ac:dyDescent="0.2">
      <c r="A243" s="77">
        <v>41289</v>
      </c>
      <c r="B243" s="78" t="s">
        <v>2847</v>
      </c>
      <c r="C243" s="75" t="s">
        <v>2197</v>
      </c>
      <c r="D243" s="81" t="s">
        <v>2846</v>
      </c>
      <c r="E243" s="75" t="str">
        <f>VLOOKUP(B243&amp;C243,Divipola!$C$2:$F$1138,4,FALSE)</f>
        <v>68276</v>
      </c>
      <c r="F243" s="87"/>
      <c r="G243" s="87"/>
      <c r="H243" s="87"/>
      <c r="I243" s="87"/>
      <c r="J243" s="87"/>
      <c r="K243" s="87"/>
      <c r="L243" s="87"/>
      <c r="M243" s="87"/>
      <c r="N243" s="87"/>
      <c r="O243" s="87"/>
      <c r="P243" s="87"/>
      <c r="Q243" s="87"/>
      <c r="R243" s="87"/>
      <c r="S243" s="87"/>
      <c r="T243" s="87"/>
      <c r="U243" s="127">
        <v>1</v>
      </c>
      <c r="V243" s="89"/>
      <c r="W243" s="96">
        <v>0</v>
      </c>
      <c r="X243" s="71">
        <f>CU243</f>
        <v>0</v>
      </c>
      <c r="Y243" s="71">
        <f>CY243</f>
        <v>0</v>
      </c>
      <c r="Z243" s="71">
        <f>DA243+DC243+DE243</f>
        <v>0</v>
      </c>
      <c r="AA243" s="71">
        <f>CW243</f>
        <v>0</v>
      </c>
      <c r="AB243" s="71"/>
      <c r="AC243" s="71">
        <v>0</v>
      </c>
      <c r="AD243" s="71">
        <f>W243+X243+Y243+Z243+AA243+AB243+AC243</f>
        <v>0</v>
      </c>
      <c r="AE243" s="72">
        <v>0</v>
      </c>
      <c r="AF243" s="5"/>
      <c r="AG243" s="6"/>
      <c r="AH243" s="27" t="s">
        <v>3392</v>
      </c>
      <c r="AI243" s="44" t="s">
        <v>3393</v>
      </c>
      <c r="AJ243" s="26"/>
      <c r="AK243" s="5"/>
      <c r="AL243" s="82" t="s">
        <v>3071</v>
      </c>
      <c r="AM243" s="76"/>
      <c r="AN243" s="76"/>
      <c r="AO243" s="76"/>
      <c r="AP243" s="76"/>
      <c r="AQ243" s="76"/>
      <c r="AR243" s="76"/>
      <c r="AS243" s="76"/>
      <c r="AT243" s="76"/>
      <c r="AU243" s="76"/>
      <c r="AV243" s="76"/>
      <c r="AW243" s="76"/>
      <c r="AX243" s="76">
        <f>+AW243*600000</f>
        <v>0</v>
      </c>
      <c r="AY243" s="76"/>
      <c r="AZ243" s="76">
        <f>+AY243*70000</f>
        <v>0</v>
      </c>
      <c r="BA243" s="76"/>
      <c r="BB243" s="76"/>
      <c r="BC243" s="76"/>
      <c r="BD243" s="76">
        <f>+BC243*30000</f>
        <v>0</v>
      </c>
      <c r="BE243" s="76"/>
      <c r="BF243" s="76"/>
      <c r="BG243" s="76"/>
      <c r="BH243" s="76"/>
      <c r="BI243" s="76"/>
      <c r="BJ243" s="76"/>
      <c r="BK243" s="76"/>
      <c r="BL243" s="76">
        <f>+BK243*31500</f>
        <v>0</v>
      </c>
      <c r="BM243" s="76"/>
      <c r="BN243" s="76"/>
      <c r="BO243" s="76"/>
      <c r="BP243" s="76"/>
      <c r="BQ243" s="76"/>
      <c r="BR243" s="76"/>
      <c r="BS243" s="76"/>
      <c r="BT243" s="76"/>
      <c r="BU243" s="76"/>
      <c r="BV243" s="76"/>
      <c r="BW243" s="76"/>
      <c r="BX243" s="76"/>
      <c r="BY243" s="76"/>
      <c r="BZ243" s="76"/>
      <c r="CA243" s="76"/>
      <c r="CB243" s="76"/>
      <c r="CC243" s="76"/>
      <c r="CD243" s="76"/>
      <c r="CE243" s="76"/>
      <c r="CF243" s="76">
        <f>+CE243*28000</f>
        <v>0</v>
      </c>
      <c r="CG243" s="76"/>
      <c r="CH243" s="76">
        <f>+CG243*22500</f>
        <v>0</v>
      </c>
      <c r="CI243" s="76"/>
      <c r="CJ243" s="76">
        <f>+CI243*26000</f>
        <v>0</v>
      </c>
      <c r="CK243" s="76"/>
      <c r="CL243" s="76"/>
      <c r="CM243" s="76"/>
      <c r="CN243" s="76">
        <f>+CM243*22000</f>
        <v>0</v>
      </c>
      <c r="CO243" s="76"/>
      <c r="CP243" s="76">
        <f>+CO243*46000</f>
        <v>0</v>
      </c>
      <c r="CQ243" s="76"/>
      <c r="CR243" s="76">
        <f>+CQ243*49000</f>
        <v>0</v>
      </c>
      <c r="CS243" s="76"/>
      <c r="CT243" s="76"/>
      <c r="CU243" s="56">
        <f>AN243+AP243+AR243+AT243+AV243+AX243+AZ243+BB243+BD243+BF243+BH243+BJ243+BL243+BN243+BP243+BR243+BT243+BV243+BX243+BZ243+CB243+CD243+CF243+CH243+CJ243+CL243+CN243+CP243+CR243+CT243</f>
        <v>0</v>
      </c>
      <c r="CV243" s="76"/>
      <c r="CW243" s="76">
        <f>+CV243*1100</f>
        <v>0</v>
      </c>
      <c r="CX243" s="76"/>
      <c r="CY243" s="76">
        <f>+CX243*106250</f>
        <v>0</v>
      </c>
      <c r="CZ243" s="76"/>
      <c r="DA243" s="76">
        <f>+CZ243*34500</f>
        <v>0</v>
      </c>
      <c r="DB243" s="76"/>
      <c r="DC243" s="76">
        <f>+DB243*25000</f>
        <v>0</v>
      </c>
      <c r="DD243" s="219"/>
      <c r="DE243" s="219"/>
      <c r="DF243" s="164"/>
      <c r="DG243" s="116"/>
      <c r="DH243" s="117"/>
      <c r="DI243" s="24"/>
      <c r="DJ243" s="24"/>
      <c r="DK243" s="24"/>
      <c r="DL243" s="24"/>
      <c r="DM243" s="24"/>
      <c r="DN243" s="24"/>
      <c r="DO243" s="24"/>
      <c r="DP243" s="24"/>
      <c r="DQ243" s="24"/>
      <c r="DR243" s="24"/>
      <c r="DS243" s="24"/>
      <c r="DT243" s="24"/>
      <c r="DU243" s="24"/>
    </row>
    <row r="244" spans="1:125" s="8" customFormat="1" ht="48" x14ac:dyDescent="0.2">
      <c r="A244" s="77">
        <v>41289</v>
      </c>
      <c r="B244" s="80" t="s">
        <v>2847</v>
      </c>
      <c r="C244" s="81" t="s">
        <v>2814</v>
      </c>
      <c r="D244" s="81" t="s">
        <v>2846</v>
      </c>
      <c r="E244" s="75" t="str">
        <f>VLOOKUP(B244&amp;C244,Divipola!$C$2:$F$1138,4,FALSE)</f>
        <v>68307</v>
      </c>
      <c r="F244" s="87"/>
      <c r="G244" s="87"/>
      <c r="H244" s="87"/>
      <c r="I244" s="87"/>
      <c r="J244" s="87"/>
      <c r="K244" s="87"/>
      <c r="L244" s="87"/>
      <c r="M244" s="87"/>
      <c r="N244" s="87"/>
      <c r="O244" s="87"/>
      <c r="P244" s="87"/>
      <c r="Q244" s="87"/>
      <c r="R244" s="87"/>
      <c r="S244" s="87"/>
      <c r="T244" s="87"/>
      <c r="U244" s="127">
        <v>1</v>
      </c>
      <c r="V244" s="89"/>
      <c r="W244" s="96">
        <v>0</v>
      </c>
      <c r="X244" s="71">
        <f>CU244</f>
        <v>0</v>
      </c>
      <c r="Y244" s="71">
        <f>CY244</f>
        <v>0</v>
      </c>
      <c r="Z244" s="71">
        <f>DA244+DC244+DE244</f>
        <v>0</v>
      </c>
      <c r="AA244" s="71">
        <f>CW244</f>
        <v>0</v>
      </c>
      <c r="AB244" s="71"/>
      <c r="AC244" s="71">
        <v>0</v>
      </c>
      <c r="AD244" s="71">
        <f>W244+X244+Y244+Z244+AA244+AB244+AC244</f>
        <v>0</v>
      </c>
      <c r="AE244" s="72">
        <v>0</v>
      </c>
      <c r="AF244" s="5"/>
      <c r="AG244" s="6"/>
      <c r="AH244" s="27" t="s">
        <v>3392</v>
      </c>
      <c r="AI244" s="44" t="s">
        <v>3393</v>
      </c>
      <c r="AJ244" s="26"/>
      <c r="AK244" s="5"/>
      <c r="AL244" s="82" t="s">
        <v>3070</v>
      </c>
      <c r="AM244" s="76"/>
      <c r="AN244" s="76"/>
      <c r="AO244" s="76"/>
      <c r="AP244" s="76"/>
      <c r="AQ244" s="76"/>
      <c r="AR244" s="76"/>
      <c r="AS244" s="76"/>
      <c r="AT244" s="76"/>
      <c r="AU244" s="76"/>
      <c r="AV244" s="76"/>
      <c r="AW244" s="76"/>
      <c r="AX244" s="76">
        <f>+AW244*600000</f>
        <v>0</v>
      </c>
      <c r="AY244" s="76"/>
      <c r="AZ244" s="76">
        <f>+AY244*70000</f>
        <v>0</v>
      </c>
      <c r="BA244" s="76"/>
      <c r="BB244" s="76"/>
      <c r="BC244" s="76"/>
      <c r="BD244" s="76">
        <f>+BC244*30000</f>
        <v>0</v>
      </c>
      <c r="BE244" s="76"/>
      <c r="BF244" s="76"/>
      <c r="BG244" s="76"/>
      <c r="BH244" s="76"/>
      <c r="BI244" s="76"/>
      <c r="BJ244" s="76"/>
      <c r="BK244" s="76"/>
      <c r="BL244" s="76">
        <f>+BK244*31500</f>
        <v>0</v>
      </c>
      <c r="BM244" s="76"/>
      <c r="BN244" s="76"/>
      <c r="BO244" s="76"/>
      <c r="BP244" s="76"/>
      <c r="BQ244" s="76"/>
      <c r="BR244" s="76"/>
      <c r="BS244" s="76"/>
      <c r="BT244" s="76"/>
      <c r="BU244" s="76"/>
      <c r="BV244" s="76"/>
      <c r="BW244" s="76"/>
      <c r="BX244" s="76"/>
      <c r="BY244" s="76"/>
      <c r="BZ244" s="76"/>
      <c r="CA244" s="76"/>
      <c r="CB244" s="76"/>
      <c r="CC244" s="76"/>
      <c r="CD244" s="76"/>
      <c r="CE244" s="76"/>
      <c r="CF244" s="76">
        <f>+CE244*28000</f>
        <v>0</v>
      </c>
      <c r="CG244" s="76"/>
      <c r="CH244" s="76">
        <f>+CG244*22500</f>
        <v>0</v>
      </c>
      <c r="CI244" s="76"/>
      <c r="CJ244" s="76">
        <f>+CI244*26000</f>
        <v>0</v>
      </c>
      <c r="CK244" s="76"/>
      <c r="CL244" s="76"/>
      <c r="CM244" s="76"/>
      <c r="CN244" s="76">
        <f>+CM244*22000</f>
        <v>0</v>
      </c>
      <c r="CO244" s="76"/>
      <c r="CP244" s="76">
        <f>+CO244*46000</f>
        <v>0</v>
      </c>
      <c r="CQ244" s="76"/>
      <c r="CR244" s="76">
        <f>+CQ244*49000</f>
        <v>0</v>
      </c>
      <c r="CS244" s="76"/>
      <c r="CT244" s="76"/>
      <c r="CU244" s="56">
        <f>AN244+AP244+AR244+AT244+AV244+AX244+AZ244+BB244+BD244+BF244+BH244+BJ244+BL244+BN244+BP244+BR244+BT244+BV244+BX244+BZ244+CB244+CD244+CF244+CH244+CJ244+CL244+CN244+CP244+CR244+CT244</f>
        <v>0</v>
      </c>
      <c r="CV244" s="76"/>
      <c r="CW244" s="76">
        <f>+CV244*1100</f>
        <v>0</v>
      </c>
      <c r="CX244" s="76"/>
      <c r="CY244" s="76">
        <f>+CX244*106250</f>
        <v>0</v>
      </c>
      <c r="CZ244" s="76"/>
      <c r="DA244" s="76">
        <f>+CZ244*34500</f>
        <v>0</v>
      </c>
      <c r="DB244" s="76"/>
      <c r="DC244" s="76">
        <f>+DB244*25000</f>
        <v>0</v>
      </c>
      <c r="DD244" s="219"/>
      <c r="DE244" s="219"/>
      <c r="DF244" s="164"/>
      <c r="DG244" s="116"/>
      <c r="DH244" s="117"/>
      <c r="DI244" s="24"/>
      <c r="DJ244" s="24"/>
      <c r="DK244" s="24"/>
      <c r="DL244" s="24"/>
      <c r="DM244" s="24"/>
      <c r="DN244" s="24"/>
      <c r="DO244" s="24"/>
      <c r="DP244" s="24"/>
      <c r="DQ244" s="24"/>
      <c r="DR244" s="24"/>
      <c r="DS244" s="24"/>
      <c r="DT244" s="24"/>
      <c r="DU244" s="24"/>
    </row>
    <row r="245" spans="1:125" s="8" customFormat="1" ht="84" x14ac:dyDescent="0.2">
      <c r="A245" s="77">
        <v>41289</v>
      </c>
      <c r="B245" s="80" t="s">
        <v>2847</v>
      </c>
      <c r="C245" s="81" t="s">
        <v>1737</v>
      </c>
      <c r="D245" s="81" t="s">
        <v>2846</v>
      </c>
      <c r="E245" s="75" t="str">
        <f>VLOOKUP(B245&amp;C245,Divipola!$C$2:$F$1138,4,FALSE)</f>
        <v>68464</v>
      </c>
      <c r="F245" s="87"/>
      <c r="G245" s="87"/>
      <c r="H245" s="87"/>
      <c r="I245" s="87"/>
      <c r="J245" s="87"/>
      <c r="K245" s="87"/>
      <c r="L245" s="87"/>
      <c r="M245" s="87"/>
      <c r="N245" s="87"/>
      <c r="O245" s="87"/>
      <c r="P245" s="87"/>
      <c r="Q245" s="87"/>
      <c r="R245" s="87"/>
      <c r="S245" s="87"/>
      <c r="T245" s="87"/>
      <c r="U245" s="127">
        <v>5</v>
      </c>
      <c r="V245" s="89"/>
      <c r="W245" s="96">
        <v>0</v>
      </c>
      <c r="X245" s="71">
        <f>CU245</f>
        <v>0</v>
      </c>
      <c r="Y245" s="71">
        <f>CY245</f>
        <v>0</v>
      </c>
      <c r="Z245" s="71">
        <f>DA245+DC245+DE245</f>
        <v>0</v>
      </c>
      <c r="AA245" s="71">
        <f>CW245</f>
        <v>0</v>
      </c>
      <c r="AB245" s="71"/>
      <c r="AC245" s="71">
        <v>0</v>
      </c>
      <c r="AD245" s="71">
        <f>W245+X245+Y245+Z245+AA245+AB245+AC245</f>
        <v>0</v>
      </c>
      <c r="AE245" s="72">
        <v>0</v>
      </c>
      <c r="AF245" s="5"/>
      <c r="AG245" s="6"/>
      <c r="AH245" s="27" t="s">
        <v>3392</v>
      </c>
      <c r="AI245" s="44" t="s">
        <v>3393</v>
      </c>
      <c r="AJ245" s="26"/>
      <c r="AK245" s="5"/>
      <c r="AL245" s="82" t="s">
        <v>3067</v>
      </c>
      <c r="AM245" s="76"/>
      <c r="AN245" s="76"/>
      <c r="AO245" s="76"/>
      <c r="AP245" s="76"/>
      <c r="AQ245" s="76"/>
      <c r="AR245" s="76"/>
      <c r="AS245" s="76"/>
      <c r="AT245" s="76"/>
      <c r="AU245" s="76"/>
      <c r="AV245" s="76"/>
      <c r="AW245" s="76"/>
      <c r="AX245" s="76">
        <f>+AW245*600000</f>
        <v>0</v>
      </c>
      <c r="AY245" s="76"/>
      <c r="AZ245" s="76">
        <f>+AY245*70000</f>
        <v>0</v>
      </c>
      <c r="BA245" s="76"/>
      <c r="BB245" s="76"/>
      <c r="BC245" s="76"/>
      <c r="BD245" s="76">
        <f>+BC245*30000</f>
        <v>0</v>
      </c>
      <c r="BE245" s="76"/>
      <c r="BF245" s="76"/>
      <c r="BG245" s="76"/>
      <c r="BH245" s="76"/>
      <c r="BI245" s="76"/>
      <c r="BJ245" s="76"/>
      <c r="BK245" s="76"/>
      <c r="BL245" s="76">
        <f>+BK245*31500</f>
        <v>0</v>
      </c>
      <c r="BM245" s="76"/>
      <c r="BN245" s="76"/>
      <c r="BO245" s="76"/>
      <c r="BP245" s="76"/>
      <c r="BQ245" s="76"/>
      <c r="BR245" s="76"/>
      <c r="BS245" s="76"/>
      <c r="BT245" s="76"/>
      <c r="BU245" s="76"/>
      <c r="BV245" s="76"/>
      <c r="BW245" s="76"/>
      <c r="BX245" s="76"/>
      <c r="BY245" s="76"/>
      <c r="BZ245" s="76"/>
      <c r="CA245" s="76"/>
      <c r="CB245" s="76"/>
      <c r="CC245" s="76"/>
      <c r="CD245" s="76"/>
      <c r="CE245" s="76"/>
      <c r="CF245" s="76">
        <f>+CE245*28000</f>
        <v>0</v>
      </c>
      <c r="CG245" s="76"/>
      <c r="CH245" s="76">
        <f>+CG245*22500</f>
        <v>0</v>
      </c>
      <c r="CI245" s="76"/>
      <c r="CJ245" s="76">
        <f>+CI245*26000</f>
        <v>0</v>
      </c>
      <c r="CK245" s="76"/>
      <c r="CL245" s="76"/>
      <c r="CM245" s="76"/>
      <c r="CN245" s="76">
        <f>+CM245*22000</f>
        <v>0</v>
      </c>
      <c r="CO245" s="76"/>
      <c r="CP245" s="76">
        <f>+CO245*46000</f>
        <v>0</v>
      </c>
      <c r="CQ245" s="76"/>
      <c r="CR245" s="76">
        <f>+CQ245*49000</f>
        <v>0</v>
      </c>
      <c r="CS245" s="76"/>
      <c r="CT245" s="76"/>
      <c r="CU245" s="56">
        <f>AN245+AP245+AR245+AT245+AV245+AX245+AZ245+BB245+BD245+BF245+BH245+BJ245+BL245+BN245+BP245+BR245+BT245+BV245+BX245+BZ245+CB245+CD245+CF245+CH245+CJ245+CL245+CN245+CP245+CR245+CT245</f>
        <v>0</v>
      </c>
      <c r="CV245" s="76"/>
      <c r="CW245" s="76">
        <f>+CV245*1100</f>
        <v>0</v>
      </c>
      <c r="CX245" s="76"/>
      <c r="CY245" s="76">
        <f>+CX245*106250</f>
        <v>0</v>
      </c>
      <c r="CZ245" s="76"/>
      <c r="DA245" s="76">
        <f>+CZ245*34500</f>
        <v>0</v>
      </c>
      <c r="DB245" s="76"/>
      <c r="DC245" s="76">
        <f>+DB245*25000</f>
        <v>0</v>
      </c>
      <c r="DD245" s="219"/>
      <c r="DE245" s="219"/>
      <c r="DF245" s="164"/>
      <c r="DG245" s="116"/>
      <c r="DH245" s="117"/>
      <c r="DI245" s="24"/>
      <c r="DJ245" s="24"/>
      <c r="DK245" s="24"/>
      <c r="DL245" s="24"/>
      <c r="DM245" s="24"/>
      <c r="DN245" s="24"/>
      <c r="DO245" s="24"/>
      <c r="DP245" s="24"/>
      <c r="DQ245" s="24"/>
      <c r="DR245" s="24"/>
      <c r="DS245" s="24"/>
      <c r="DT245" s="24"/>
      <c r="DU245" s="24"/>
    </row>
    <row r="246" spans="1:125" s="8" customFormat="1" ht="48" x14ac:dyDescent="0.2">
      <c r="A246" s="77">
        <v>41289</v>
      </c>
      <c r="B246" s="80" t="s">
        <v>2847</v>
      </c>
      <c r="C246" s="81" t="s">
        <v>479</v>
      </c>
      <c r="D246" s="81" t="s">
        <v>2846</v>
      </c>
      <c r="E246" s="75" t="str">
        <f>VLOOKUP(B246&amp;C246,Divipola!$C$2:$F$1138,4,FALSE)</f>
        <v>68547</v>
      </c>
      <c r="F246" s="87"/>
      <c r="G246" s="87"/>
      <c r="H246" s="87"/>
      <c r="I246" s="87"/>
      <c r="J246" s="87"/>
      <c r="K246" s="87"/>
      <c r="L246" s="87"/>
      <c r="M246" s="87"/>
      <c r="N246" s="87"/>
      <c r="O246" s="87"/>
      <c r="P246" s="87"/>
      <c r="Q246" s="87"/>
      <c r="R246" s="87"/>
      <c r="S246" s="87"/>
      <c r="T246" s="87"/>
      <c r="U246" s="127">
        <v>1</v>
      </c>
      <c r="V246" s="89"/>
      <c r="W246" s="96">
        <v>0</v>
      </c>
      <c r="X246" s="71">
        <f>CU246</f>
        <v>0</v>
      </c>
      <c r="Y246" s="71">
        <f>CY246</f>
        <v>0</v>
      </c>
      <c r="Z246" s="71">
        <f>DA246+DC246+DE246</f>
        <v>0</v>
      </c>
      <c r="AA246" s="71">
        <f>CW246</f>
        <v>0</v>
      </c>
      <c r="AB246" s="71"/>
      <c r="AC246" s="71">
        <v>0</v>
      </c>
      <c r="AD246" s="71">
        <f>W246+X246+Y246+Z246+AA246+AB246+AC246</f>
        <v>0</v>
      </c>
      <c r="AE246" s="72">
        <v>0</v>
      </c>
      <c r="AF246" s="5"/>
      <c r="AG246" s="6"/>
      <c r="AH246" s="27" t="s">
        <v>3392</v>
      </c>
      <c r="AI246" s="44" t="s">
        <v>3393</v>
      </c>
      <c r="AJ246" s="26"/>
      <c r="AK246" s="5"/>
      <c r="AL246" s="82" t="s">
        <v>3994</v>
      </c>
      <c r="AM246" s="76"/>
      <c r="AN246" s="76"/>
      <c r="AO246" s="76"/>
      <c r="AP246" s="76"/>
      <c r="AQ246" s="76"/>
      <c r="AR246" s="76"/>
      <c r="AS246" s="76"/>
      <c r="AT246" s="76"/>
      <c r="AU246" s="76"/>
      <c r="AV246" s="76"/>
      <c r="AW246" s="76"/>
      <c r="AX246" s="76">
        <f>+AW246*600000</f>
        <v>0</v>
      </c>
      <c r="AY246" s="76"/>
      <c r="AZ246" s="76">
        <f>+AY246*70000</f>
        <v>0</v>
      </c>
      <c r="BA246" s="76"/>
      <c r="BB246" s="76"/>
      <c r="BC246" s="76"/>
      <c r="BD246" s="76">
        <f>+BC246*30000</f>
        <v>0</v>
      </c>
      <c r="BE246" s="76"/>
      <c r="BF246" s="76"/>
      <c r="BG246" s="76"/>
      <c r="BH246" s="76"/>
      <c r="BI246" s="76"/>
      <c r="BJ246" s="76"/>
      <c r="BK246" s="76"/>
      <c r="BL246" s="76">
        <f>+BK246*31500</f>
        <v>0</v>
      </c>
      <c r="BM246" s="76"/>
      <c r="BN246" s="76"/>
      <c r="BO246" s="76"/>
      <c r="BP246" s="76"/>
      <c r="BQ246" s="76"/>
      <c r="BR246" s="76"/>
      <c r="BS246" s="76"/>
      <c r="BT246" s="76"/>
      <c r="BU246" s="76"/>
      <c r="BV246" s="76"/>
      <c r="BW246" s="76"/>
      <c r="BX246" s="76"/>
      <c r="BY246" s="76"/>
      <c r="BZ246" s="76"/>
      <c r="CA246" s="76"/>
      <c r="CB246" s="76"/>
      <c r="CC246" s="76"/>
      <c r="CD246" s="76"/>
      <c r="CE246" s="76"/>
      <c r="CF246" s="76">
        <f>+CE246*28000</f>
        <v>0</v>
      </c>
      <c r="CG246" s="76"/>
      <c r="CH246" s="76">
        <f>+CG246*22500</f>
        <v>0</v>
      </c>
      <c r="CI246" s="76"/>
      <c r="CJ246" s="76">
        <f>+CI246*26000</f>
        <v>0</v>
      </c>
      <c r="CK246" s="76"/>
      <c r="CL246" s="76"/>
      <c r="CM246" s="76"/>
      <c r="CN246" s="76">
        <f>+CM246*22000</f>
        <v>0</v>
      </c>
      <c r="CO246" s="76"/>
      <c r="CP246" s="76">
        <f>+CO246*46000</f>
        <v>0</v>
      </c>
      <c r="CQ246" s="76"/>
      <c r="CR246" s="76">
        <f>+CQ246*49000</f>
        <v>0</v>
      </c>
      <c r="CS246" s="76"/>
      <c r="CT246" s="76"/>
      <c r="CU246" s="56">
        <f>AN246+AP246+AR246+AT246+AV246+AX246+AZ246+BB246+BD246+BF246+BH246+BJ246+BL246+BN246+BP246+BR246+BT246+BV246+BX246+BZ246+CB246+CD246+CF246+CH246+CJ246+CL246+CN246+CP246+CR246+CT246</f>
        <v>0</v>
      </c>
      <c r="CV246" s="76"/>
      <c r="CW246" s="76">
        <f>+CV246*1100</f>
        <v>0</v>
      </c>
      <c r="CX246" s="76"/>
      <c r="CY246" s="76">
        <f>+CX246*106250</f>
        <v>0</v>
      </c>
      <c r="CZ246" s="76"/>
      <c r="DA246" s="76">
        <f>+CZ246*34500</f>
        <v>0</v>
      </c>
      <c r="DB246" s="76"/>
      <c r="DC246" s="76">
        <f>+DB246*25000</f>
        <v>0</v>
      </c>
      <c r="DD246" s="219"/>
      <c r="DE246" s="219"/>
      <c r="DF246" s="164"/>
      <c r="DG246" s="116"/>
      <c r="DH246" s="117"/>
      <c r="DI246" s="24"/>
      <c r="DJ246" s="24"/>
      <c r="DK246" s="24"/>
      <c r="DL246" s="24"/>
      <c r="DM246" s="24"/>
      <c r="DN246" s="24"/>
      <c r="DO246" s="24"/>
      <c r="DP246" s="24"/>
      <c r="DQ246" s="24"/>
      <c r="DR246" s="24"/>
      <c r="DS246" s="24"/>
      <c r="DT246" s="24"/>
      <c r="DU246" s="24"/>
    </row>
    <row r="247" spans="1:125" s="8" customFormat="1" ht="96" x14ac:dyDescent="0.2">
      <c r="A247" s="77">
        <v>41289</v>
      </c>
      <c r="B247" s="80" t="s">
        <v>2847</v>
      </c>
      <c r="C247" s="81" t="s">
        <v>1780</v>
      </c>
      <c r="D247" s="81" t="s">
        <v>2846</v>
      </c>
      <c r="E247" s="75" t="str">
        <f>VLOOKUP(B247&amp;C247,Divipola!$C$2:$F$1138,4,FALSE)</f>
        <v>68755</v>
      </c>
      <c r="F247" s="87"/>
      <c r="G247" s="87"/>
      <c r="H247" s="87"/>
      <c r="I247" s="87"/>
      <c r="J247" s="87"/>
      <c r="K247" s="87"/>
      <c r="L247" s="87"/>
      <c r="M247" s="87"/>
      <c r="N247" s="87"/>
      <c r="O247" s="87"/>
      <c r="P247" s="87"/>
      <c r="Q247" s="87"/>
      <c r="R247" s="87"/>
      <c r="S247" s="87"/>
      <c r="T247" s="87"/>
      <c r="U247" s="127">
        <v>2</v>
      </c>
      <c r="V247" s="89"/>
      <c r="W247" s="96">
        <v>0</v>
      </c>
      <c r="X247" s="71">
        <f>CU247</f>
        <v>0</v>
      </c>
      <c r="Y247" s="71">
        <f>CY247</f>
        <v>0</v>
      </c>
      <c r="Z247" s="71">
        <f>DA247+DC247+DE247</f>
        <v>0</v>
      </c>
      <c r="AA247" s="71">
        <f>CW247</f>
        <v>0</v>
      </c>
      <c r="AB247" s="71"/>
      <c r="AC247" s="71">
        <v>0</v>
      </c>
      <c r="AD247" s="71">
        <f>W247+X247+Y247+Z247+AA247+AB247+AC247</f>
        <v>0</v>
      </c>
      <c r="AE247" s="72">
        <v>0</v>
      </c>
      <c r="AF247" s="5"/>
      <c r="AG247" s="6"/>
      <c r="AH247" s="27" t="s">
        <v>3392</v>
      </c>
      <c r="AI247" s="44" t="s">
        <v>3393</v>
      </c>
      <c r="AJ247" s="26"/>
      <c r="AK247" s="5"/>
      <c r="AL247" s="82" t="s">
        <v>3068</v>
      </c>
      <c r="AM247" s="76"/>
      <c r="AN247" s="76"/>
      <c r="AO247" s="76"/>
      <c r="AP247" s="76"/>
      <c r="AQ247" s="76"/>
      <c r="AR247" s="76"/>
      <c r="AS247" s="76"/>
      <c r="AT247" s="76"/>
      <c r="AU247" s="76"/>
      <c r="AV247" s="76"/>
      <c r="AW247" s="76"/>
      <c r="AX247" s="76">
        <f>+AW247*600000</f>
        <v>0</v>
      </c>
      <c r="AY247" s="76"/>
      <c r="AZ247" s="76">
        <f>+AY247*70000</f>
        <v>0</v>
      </c>
      <c r="BA247" s="76"/>
      <c r="BB247" s="76"/>
      <c r="BC247" s="76"/>
      <c r="BD247" s="76">
        <f>+BC247*30000</f>
        <v>0</v>
      </c>
      <c r="BE247" s="76"/>
      <c r="BF247" s="76"/>
      <c r="BG247" s="76"/>
      <c r="BH247" s="76"/>
      <c r="BI247" s="76"/>
      <c r="BJ247" s="76"/>
      <c r="BK247" s="76"/>
      <c r="BL247" s="76">
        <f>+BK247*31500</f>
        <v>0</v>
      </c>
      <c r="BM247" s="76"/>
      <c r="BN247" s="76"/>
      <c r="BO247" s="76"/>
      <c r="BP247" s="76"/>
      <c r="BQ247" s="76"/>
      <c r="BR247" s="76"/>
      <c r="BS247" s="76"/>
      <c r="BT247" s="76"/>
      <c r="BU247" s="76"/>
      <c r="BV247" s="76"/>
      <c r="BW247" s="76"/>
      <c r="BX247" s="76"/>
      <c r="BY247" s="76"/>
      <c r="BZ247" s="76"/>
      <c r="CA247" s="76"/>
      <c r="CB247" s="76"/>
      <c r="CC247" s="76"/>
      <c r="CD247" s="76"/>
      <c r="CE247" s="76"/>
      <c r="CF247" s="76">
        <f>+CE247*28000</f>
        <v>0</v>
      </c>
      <c r="CG247" s="76"/>
      <c r="CH247" s="76">
        <f>+CG247*22500</f>
        <v>0</v>
      </c>
      <c r="CI247" s="76"/>
      <c r="CJ247" s="76">
        <f>+CI247*26000</f>
        <v>0</v>
      </c>
      <c r="CK247" s="76"/>
      <c r="CL247" s="76"/>
      <c r="CM247" s="76"/>
      <c r="CN247" s="76">
        <f>+CM247*22000</f>
        <v>0</v>
      </c>
      <c r="CO247" s="76"/>
      <c r="CP247" s="76">
        <f>+CO247*46000</f>
        <v>0</v>
      </c>
      <c r="CQ247" s="76"/>
      <c r="CR247" s="76">
        <f>+CQ247*49000</f>
        <v>0</v>
      </c>
      <c r="CS247" s="76"/>
      <c r="CT247" s="76"/>
      <c r="CU247" s="56">
        <f>AN247+AP247+AR247+AT247+AV247+AX247+AZ247+BB247+BD247+BF247+BH247+BJ247+BL247+BN247+BP247+BR247+BT247+BV247+BX247+BZ247+CB247+CD247+CF247+CH247+CJ247+CL247+CN247+CP247+CR247+CT247</f>
        <v>0</v>
      </c>
      <c r="CV247" s="76"/>
      <c r="CW247" s="76">
        <f>+CV247*1100</f>
        <v>0</v>
      </c>
      <c r="CX247" s="76"/>
      <c r="CY247" s="76">
        <f>+CX247*106250</f>
        <v>0</v>
      </c>
      <c r="CZ247" s="76"/>
      <c r="DA247" s="76">
        <f>+CZ247*34500</f>
        <v>0</v>
      </c>
      <c r="DB247" s="76"/>
      <c r="DC247" s="76">
        <f>+DB247*25000</f>
        <v>0</v>
      </c>
      <c r="DD247" s="219"/>
      <c r="DE247" s="219"/>
      <c r="DF247" s="164"/>
      <c r="DG247" s="116"/>
      <c r="DH247" s="117"/>
      <c r="DI247" s="24"/>
      <c r="DJ247" s="24"/>
      <c r="DK247" s="24"/>
      <c r="DL247" s="24"/>
      <c r="DM247" s="24"/>
      <c r="DN247" s="24"/>
      <c r="DO247" s="24"/>
      <c r="DP247" s="24"/>
      <c r="DQ247" s="24"/>
      <c r="DR247" s="24"/>
      <c r="DS247" s="24"/>
      <c r="DT247" s="24"/>
      <c r="DU247" s="24"/>
    </row>
    <row r="248" spans="1:125" s="8" customFormat="1" ht="108" x14ac:dyDescent="0.2">
      <c r="A248" s="77">
        <v>41290</v>
      </c>
      <c r="B248" s="80" t="s">
        <v>2894</v>
      </c>
      <c r="C248" s="81" t="s">
        <v>2210</v>
      </c>
      <c r="D248" s="81" t="s">
        <v>2859</v>
      </c>
      <c r="E248" s="75" t="str">
        <f>VLOOKUP(B248&amp;C248,Divipola!$C$2:$F$1138,4,FALSE)</f>
        <v>05579</v>
      </c>
      <c r="F248" s="87"/>
      <c r="G248" s="87">
        <v>4</v>
      </c>
      <c r="H248" s="87"/>
      <c r="I248" s="87"/>
      <c r="J248" s="87"/>
      <c r="K248" s="87"/>
      <c r="L248" s="87"/>
      <c r="M248" s="87"/>
      <c r="N248" s="87"/>
      <c r="O248" s="87"/>
      <c r="P248" s="87"/>
      <c r="Q248" s="87"/>
      <c r="R248" s="87"/>
      <c r="S248" s="87"/>
      <c r="T248" s="87"/>
      <c r="U248" s="127"/>
      <c r="V248" s="89"/>
      <c r="W248" s="96">
        <v>0</v>
      </c>
      <c r="X248" s="71">
        <f>CU248</f>
        <v>0</v>
      </c>
      <c r="Y248" s="71">
        <f>CY248</f>
        <v>0</v>
      </c>
      <c r="Z248" s="71">
        <f>DA248+DC248+DE248</f>
        <v>0</v>
      </c>
      <c r="AA248" s="71">
        <f>CW248</f>
        <v>0</v>
      </c>
      <c r="AB248" s="71"/>
      <c r="AC248" s="71">
        <v>0</v>
      </c>
      <c r="AD248" s="71">
        <f>W248+X248+Y248+Z248+AA248+AB248+AC248</f>
        <v>0</v>
      </c>
      <c r="AE248" s="72">
        <v>0</v>
      </c>
      <c r="AF248" s="5"/>
      <c r="AG248" s="6"/>
      <c r="AH248" s="27" t="s">
        <v>3392</v>
      </c>
      <c r="AI248" s="44" t="s">
        <v>3393</v>
      </c>
      <c r="AJ248" s="26"/>
      <c r="AK248" s="5"/>
      <c r="AL248" s="82" t="s">
        <v>3086</v>
      </c>
      <c r="AM248" s="76"/>
      <c r="AN248" s="76"/>
      <c r="AO248" s="76"/>
      <c r="AP248" s="76"/>
      <c r="AQ248" s="76"/>
      <c r="AR248" s="76"/>
      <c r="AS248" s="76"/>
      <c r="AT248" s="76"/>
      <c r="AU248" s="76"/>
      <c r="AV248" s="76"/>
      <c r="AW248" s="76"/>
      <c r="AX248" s="76">
        <f>+AW248*600000</f>
        <v>0</v>
      </c>
      <c r="AY248" s="76"/>
      <c r="AZ248" s="76">
        <f>+AY248*70000</f>
        <v>0</v>
      </c>
      <c r="BA248" s="76"/>
      <c r="BB248" s="76"/>
      <c r="BC248" s="76"/>
      <c r="BD248" s="76">
        <f>+BC248*30000</f>
        <v>0</v>
      </c>
      <c r="BE248" s="76"/>
      <c r="BF248" s="76"/>
      <c r="BG248" s="76"/>
      <c r="BH248" s="76"/>
      <c r="BI248" s="76"/>
      <c r="BJ248" s="76"/>
      <c r="BK248" s="76"/>
      <c r="BL248" s="76">
        <f>+BK248*31500</f>
        <v>0</v>
      </c>
      <c r="BM248" s="76"/>
      <c r="BN248" s="76"/>
      <c r="BO248" s="76"/>
      <c r="BP248" s="76"/>
      <c r="BQ248" s="76"/>
      <c r="BR248" s="76"/>
      <c r="BS248" s="76"/>
      <c r="BT248" s="76"/>
      <c r="BU248" s="76"/>
      <c r="BV248" s="76"/>
      <c r="BW248" s="76"/>
      <c r="BX248" s="76"/>
      <c r="BY248" s="76"/>
      <c r="BZ248" s="76"/>
      <c r="CA248" s="76"/>
      <c r="CB248" s="76"/>
      <c r="CC248" s="76"/>
      <c r="CD248" s="76"/>
      <c r="CE248" s="76"/>
      <c r="CF248" s="76">
        <f>+CE248*28000</f>
        <v>0</v>
      </c>
      <c r="CG248" s="76"/>
      <c r="CH248" s="76">
        <f>+CG248*22500</f>
        <v>0</v>
      </c>
      <c r="CI248" s="76"/>
      <c r="CJ248" s="76">
        <f>+CI248*26000</f>
        <v>0</v>
      </c>
      <c r="CK248" s="76"/>
      <c r="CL248" s="76"/>
      <c r="CM248" s="76"/>
      <c r="CN248" s="76">
        <f>+CM248*22000</f>
        <v>0</v>
      </c>
      <c r="CO248" s="76"/>
      <c r="CP248" s="76">
        <f>+CO248*46000</f>
        <v>0</v>
      </c>
      <c r="CQ248" s="76"/>
      <c r="CR248" s="76">
        <f>+CQ248*49000</f>
        <v>0</v>
      </c>
      <c r="CS248" s="76"/>
      <c r="CT248" s="76"/>
      <c r="CU248" s="56">
        <f>AN248+AP248+AR248+AT248+AV248+AX248+AZ248+BB248+BD248+BF248+BH248+BJ248+BL248+BN248+BP248+BR248+BT248+BV248+BX248+BZ248+CB248+CD248+CF248+CH248+CJ248+CL248+CN248+CP248+CR248+CT248</f>
        <v>0</v>
      </c>
      <c r="CV248" s="76"/>
      <c r="CW248" s="76">
        <f>+CV248*1100</f>
        <v>0</v>
      </c>
      <c r="CX248" s="76"/>
      <c r="CY248" s="76">
        <f>+CX248*106250</f>
        <v>0</v>
      </c>
      <c r="CZ248" s="76"/>
      <c r="DA248" s="76">
        <f>+CZ248*34500</f>
        <v>0</v>
      </c>
      <c r="DB248" s="76"/>
      <c r="DC248" s="76">
        <f>+DB248*25000</f>
        <v>0</v>
      </c>
      <c r="DD248" s="219"/>
      <c r="DE248" s="219"/>
      <c r="DF248" s="164"/>
      <c r="DG248" s="116"/>
      <c r="DH248" s="117"/>
      <c r="DI248" s="24"/>
      <c r="DJ248" s="24"/>
      <c r="DK248" s="24"/>
      <c r="DL248" s="24"/>
      <c r="DM248" s="24"/>
      <c r="DN248" s="24"/>
      <c r="DO248" s="24"/>
      <c r="DP248" s="24"/>
      <c r="DQ248" s="24"/>
      <c r="DR248" s="24"/>
      <c r="DS248" s="24"/>
      <c r="DT248" s="24"/>
      <c r="DU248" s="24"/>
    </row>
    <row r="249" spans="1:125" s="8" customFormat="1" x14ac:dyDescent="0.2">
      <c r="A249" s="77">
        <v>41290</v>
      </c>
      <c r="B249" s="225" t="s">
        <v>2881</v>
      </c>
      <c r="C249" s="227" t="s">
        <v>2773</v>
      </c>
      <c r="D249" s="75" t="s">
        <v>3051</v>
      </c>
      <c r="E249" s="75">
        <f>VLOOKUP(B249&amp;C249,Divipola!$C$2:$F$1138,4,FALSE)</f>
        <v>8</v>
      </c>
      <c r="F249" s="100"/>
      <c r="G249" s="100"/>
      <c r="H249" s="100"/>
      <c r="I249" s="100"/>
      <c r="J249" s="100"/>
      <c r="K249" s="100"/>
      <c r="L249" s="100"/>
      <c r="M249" s="100"/>
      <c r="N249" s="100"/>
      <c r="O249" s="100"/>
      <c r="P249" s="100"/>
      <c r="Q249" s="100"/>
      <c r="R249" s="100"/>
      <c r="S249" s="100"/>
      <c r="T249" s="100"/>
      <c r="U249" s="130"/>
      <c r="V249" s="89"/>
      <c r="W249" s="96">
        <v>0</v>
      </c>
      <c r="X249" s="71">
        <f>CU249</f>
        <v>0</v>
      </c>
      <c r="Y249" s="71">
        <f>CY249</f>
        <v>157749000</v>
      </c>
      <c r="Z249" s="71">
        <f>DA249+DC249+DE249</f>
        <v>23642312.640000001</v>
      </c>
      <c r="AA249" s="71">
        <f>CW249</f>
        <v>0</v>
      </c>
      <c r="AB249" s="71"/>
      <c r="AC249" s="71">
        <v>0</v>
      </c>
      <c r="AD249" s="71">
        <f>W249+X249+Y249+Z249+AA249+AB249+AC249</f>
        <v>181391312.63999999</v>
      </c>
      <c r="AE249" s="72">
        <v>0</v>
      </c>
      <c r="AF249" s="5"/>
      <c r="AG249" s="6"/>
      <c r="AH249" s="27" t="s">
        <v>3390</v>
      </c>
      <c r="AI249" s="44" t="s">
        <v>3391</v>
      </c>
      <c r="AJ249" s="26"/>
      <c r="AK249" s="5"/>
      <c r="AL249" s="82"/>
      <c r="AM249" s="76"/>
      <c r="AN249" s="76"/>
      <c r="AO249" s="76"/>
      <c r="AP249" s="76"/>
      <c r="AQ249" s="76"/>
      <c r="AR249" s="76"/>
      <c r="AS249" s="76"/>
      <c r="AT249" s="76"/>
      <c r="AU249" s="76"/>
      <c r="AV249" s="76"/>
      <c r="AW249" s="76"/>
      <c r="AX249" s="76">
        <f>+AW249*600000</f>
        <v>0</v>
      </c>
      <c r="AY249" s="76"/>
      <c r="AZ249" s="76">
        <f>+AY249*70000</f>
        <v>0</v>
      </c>
      <c r="BA249" s="76"/>
      <c r="BB249" s="76"/>
      <c r="BC249" s="76"/>
      <c r="BD249" s="76">
        <f>+BC249*30000</f>
        <v>0</v>
      </c>
      <c r="BE249" s="76"/>
      <c r="BF249" s="76"/>
      <c r="BG249" s="76"/>
      <c r="BH249" s="76"/>
      <c r="BI249" s="76"/>
      <c r="BJ249" s="76"/>
      <c r="BK249" s="76"/>
      <c r="BL249" s="76">
        <f>+BK249*31500</f>
        <v>0</v>
      </c>
      <c r="BM249" s="76"/>
      <c r="BN249" s="76"/>
      <c r="BO249" s="76"/>
      <c r="BP249" s="76"/>
      <c r="BQ249" s="76"/>
      <c r="BR249" s="76"/>
      <c r="BS249" s="76"/>
      <c r="BT249" s="76"/>
      <c r="BU249" s="76"/>
      <c r="BV249" s="76"/>
      <c r="BW249" s="76"/>
      <c r="BX249" s="76"/>
      <c r="BY249" s="76"/>
      <c r="BZ249" s="76"/>
      <c r="CA249" s="76"/>
      <c r="CB249" s="76"/>
      <c r="CC249" s="76"/>
      <c r="CD249" s="76"/>
      <c r="CE249" s="76"/>
      <c r="CF249" s="76">
        <f>+CE249*28000</f>
        <v>0</v>
      </c>
      <c r="CG249" s="76"/>
      <c r="CH249" s="76">
        <f>+CG249*22500</f>
        <v>0</v>
      </c>
      <c r="CI249" s="76"/>
      <c r="CJ249" s="76">
        <f>+CI249*26000</f>
        <v>0</v>
      </c>
      <c r="CK249" s="76"/>
      <c r="CL249" s="76"/>
      <c r="CM249" s="76"/>
      <c r="CN249" s="76">
        <f>+CM249*22000</f>
        <v>0</v>
      </c>
      <c r="CO249" s="76"/>
      <c r="CP249" s="76">
        <f>+CO249*46000</f>
        <v>0</v>
      </c>
      <c r="CQ249" s="76"/>
      <c r="CR249" s="76">
        <f>+CQ249*49000</f>
        <v>0</v>
      </c>
      <c r="CS249" s="76"/>
      <c r="CT249" s="76"/>
      <c r="CU249" s="56">
        <f>AN249+AP249+AR249+AT249+AV249+AX249+AZ249+BB249+BD249+BF249+BH249+BJ249+BL249+BN249+BP249+BR249+BT249+BV249+BX249+BZ249+CB249+CD249+CF249+CH249+CJ249+CL249+CN249+CP249+CR249+CT249</f>
        <v>0</v>
      </c>
      <c r="CV249" s="76"/>
      <c r="CW249" s="76">
        <f>+CV249*1100</f>
        <v>0</v>
      </c>
      <c r="CX249" s="86">
        <v>1500</v>
      </c>
      <c r="CY249" s="86">
        <f>+CX249*105166</f>
        <v>157749000</v>
      </c>
      <c r="CZ249" s="76"/>
      <c r="DA249" s="76">
        <f>+CZ249*34500</f>
        <v>0</v>
      </c>
      <c r="DB249" s="76"/>
      <c r="DC249" s="76">
        <f>+DB249*25000</f>
        <v>0</v>
      </c>
      <c r="DD249" s="221" t="s">
        <v>3364</v>
      </c>
      <c r="DE249" s="223">
        <f>12*1970192.72</f>
        <v>23642312.640000001</v>
      </c>
      <c r="DF249" s="164"/>
      <c r="DG249" s="134" t="s">
        <v>3564</v>
      </c>
      <c r="DH249" s="117"/>
      <c r="DI249" s="24"/>
      <c r="DJ249" s="24"/>
      <c r="DK249" s="24"/>
      <c r="DL249" s="24"/>
      <c r="DM249" s="24"/>
      <c r="DN249" s="24"/>
      <c r="DO249" s="24"/>
      <c r="DP249" s="24"/>
      <c r="DQ249" s="24"/>
      <c r="DR249" s="24"/>
      <c r="DS249" s="24"/>
      <c r="DT249" s="24"/>
      <c r="DU249" s="24"/>
    </row>
    <row r="250" spans="1:125" s="8" customFormat="1" ht="132" x14ac:dyDescent="0.2">
      <c r="A250" s="77">
        <v>41290</v>
      </c>
      <c r="B250" s="80" t="s">
        <v>2700</v>
      </c>
      <c r="C250" s="81" t="s">
        <v>699</v>
      </c>
      <c r="D250" s="81" t="s">
        <v>2846</v>
      </c>
      <c r="E250" s="75" t="str">
        <f>VLOOKUP(B250&amp;C250,Divipola!$C$2:$F$1138,4,FALSE)</f>
        <v>15806</v>
      </c>
      <c r="F250" s="87"/>
      <c r="G250" s="87"/>
      <c r="H250" s="87"/>
      <c r="I250" s="87"/>
      <c r="J250" s="87"/>
      <c r="K250" s="87"/>
      <c r="L250" s="87"/>
      <c r="M250" s="87"/>
      <c r="N250" s="87"/>
      <c r="O250" s="87"/>
      <c r="P250" s="87"/>
      <c r="Q250" s="87"/>
      <c r="R250" s="87"/>
      <c r="S250" s="87"/>
      <c r="T250" s="87"/>
      <c r="U250" s="127"/>
      <c r="V250" s="89"/>
      <c r="W250" s="96">
        <v>0</v>
      </c>
      <c r="X250" s="71">
        <f>CU250</f>
        <v>0</v>
      </c>
      <c r="Y250" s="71">
        <f>CY250</f>
        <v>0</v>
      </c>
      <c r="Z250" s="71">
        <f>DA250+DC250+DE250</f>
        <v>0</v>
      </c>
      <c r="AA250" s="71">
        <f>CW250</f>
        <v>0</v>
      </c>
      <c r="AB250" s="71"/>
      <c r="AC250" s="71">
        <v>0</v>
      </c>
      <c r="AD250" s="71">
        <f>W250+X250+Y250+Z250+AA250+AB250+AC250</f>
        <v>0</v>
      </c>
      <c r="AE250" s="72">
        <v>0</v>
      </c>
      <c r="AF250" s="5"/>
      <c r="AG250" s="6"/>
      <c r="AH250" s="27" t="s">
        <v>3392</v>
      </c>
      <c r="AI250" s="44" t="s">
        <v>3393</v>
      </c>
      <c r="AJ250" s="26"/>
      <c r="AK250" s="5"/>
      <c r="AL250" s="82" t="s">
        <v>3084</v>
      </c>
      <c r="AM250" s="76"/>
      <c r="AN250" s="76"/>
      <c r="AO250" s="76"/>
      <c r="AP250" s="76"/>
      <c r="AQ250" s="76"/>
      <c r="AR250" s="76"/>
      <c r="AS250" s="76"/>
      <c r="AT250" s="76"/>
      <c r="AU250" s="76"/>
      <c r="AV250" s="76"/>
      <c r="AW250" s="76"/>
      <c r="AX250" s="76">
        <f>+AW250*600000</f>
        <v>0</v>
      </c>
      <c r="AY250" s="76"/>
      <c r="AZ250" s="76">
        <f>+AY250*70000</f>
        <v>0</v>
      </c>
      <c r="BA250" s="76"/>
      <c r="BB250" s="76"/>
      <c r="BC250" s="76"/>
      <c r="BD250" s="76">
        <f>+BC250*30000</f>
        <v>0</v>
      </c>
      <c r="BE250" s="76"/>
      <c r="BF250" s="76"/>
      <c r="BG250" s="76"/>
      <c r="BH250" s="76"/>
      <c r="BI250" s="76"/>
      <c r="BJ250" s="76"/>
      <c r="BK250" s="76"/>
      <c r="BL250" s="76">
        <f>+BK250*31500</f>
        <v>0</v>
      </c>
      <c r="BM250" s="76"/>
      <c r="BN250" s="76"/>
      <c r="BO250" s="76"/>
      <c r="BP250" s="76"/>
      <c r="BQ250" s="76"/>
      <c r="BR250" s="76"/>
      <c r="BS250" s="76"/>
      <c r="BT250" s="76"/>
      <c r="BU250" s="76"/>
      <c r="BV250" s="76"/>
      <c r="BW250" s="76"/>
      <c r="BX250" s="76"/>
      <c r="BY250" s="76"/>
      <c r="BZ250" s="76"/>
      <c r="CA250" s="76"/>
      <c r="CB250" s="76"/>
      <c r="CC250" s="76"/>
      <c r="CD250" s="76"/>
      <c r="CE250" s="76"/>
      <c r="CF250" s="76">
        <f>+CE250*28000</f>
        <v>0</v>
      </c>
      <c r="CG250" s="76"/>
      <c r="CH250" s="76">
        <f>+CG250*22500</f>
        <v>0</v>
      </c>
      <c r="CI250" s="76"/>
      <c r="CJ250" s="76">
        <f>+CI250*26000</f>
        <v>0</v>
      </c>
      <c r="CK250" s="76"/>
      <c r="CL250" s="76"/>
      <c r="CM250" s="76"/>
      <c r="CN250" s="76">
        <f>+CM250*22000</f>
        <v>0</v>
      </c>
      <c r="CO250" s="76"/>
      <c r="CP250" s="76">
        <f>+CO250*46000</f>
        <v>0</v>
      </c>
      <c r="CQ250" s="76"/>
      <c r="CR250" s="76">
        <f>+CQ250*49000</f>
        <v>0</v>
      </c>
      <c r="CS250" s="76"/>
      <c r="CT250" s="76"/>
      <c r="CU250" s="56">
        <f>AN250+AP250+AR250+AT250+AV250+AX250+AZ250+BB250+BD250+BF250+BH250+BJ250+BL250+BN250+BP250+BR250+BT250+BV250+BX250+BZ250+CB250+CD250+CF250+CH250+CJ250+CL250+CN250+CP250+CR250+CT250</f>
        <v>0</v>
      </c>
      <c r="CV250" s="76"/>
      <c r="CW250" s="76">
        <f>+CV250*1100</f>
        <v>0</v>
      </c>
      <c r="CX250" s="76"/>
      <c r="CY250" s="76">
        <f>+CX250*106250</f>
        <v>0</v>
      </c>
      <c r="CZ250" s="76"/>
      <c r="DA250" s="76">
        <f>+CZ250*34500</f>
        <v>0</v>
      </c>
      <c r="DB250" s="76"/>
      <c r="DC250" s="76">
        <f>+DB250*25000</f>
        <v>0</v>
      </c>
      <c r="DD250" s="219"/>
      <c r="DE250" s="219"/>
      <c r="DF250" s="164"/>
      <c r="DG250" s="116"/>
      <c r="DH250" s="117"/>
      <c r="DI250" s="24"/>
      <c r="DJ250" s="24"/>
      <c r="DK250" s="24"/>
      <c r="DL250" s="24"/>
      <c r="DM250" s="24"/>
      <c r="DN250" s="24"/>
      <c r="DO250" s="24"/>
      <c r="DP250" s="24"/>
      <c r="DQ250" s="24"/>
      <c r="DR250" s="24"/>
      <c r="DS250" s="24"/>
      <c r="DT250" s="24"/>
      <c r="DU250" s="24"/>
    </row>
    <row r="251" spans="1:125" s="8" customFormat="1" ht="48" x14ac:dyDescent="0.2">
      <c r="A251" s="77">
        <v>41290</v>
      </c>
      <c r="B251" s="80" t="s">
        <v>2700</v>
      </c>
      <c r="C251" s="81" t="s">
        <v>707</v>
      </c>
      <c r="D251" s="81" t="s">
        <v>2846</v>
      </c>
      <c r="E251" s="75" t="str">
        <f>VLOOKUP(B251&amp;C251,Divipola!$C$2:$F$1138,4,FALSE)</f>
        <v>15814</v>
      </c>
      <c r="F251" s="87"/>
      <c r="G251" s="87"/>
      <c r="H251" s="87"/>
      <c r="I251" s="87"/>
      <c r="J251" s="87"/>
      <c r="K251" s="87"/>
      <c r="L251" s="87"/>
      <c r="M251" s="87"/>
      <c r="N251" s="87"/>
      <c r="O251" s="87"/>
      <c r="P251" s="87"/>
      <c r="Q251" s="87"/>
      <c r="R251" s="87"/>
      <c r="S251" s="87"/>
      <c r="T251" s="87"/>
      <c r="U251" s="127"/>
      <c r="V251" s="89"/>
      <c r="W251" s="96">
        <v>0</v>
      </c>
      <c r="X251" s="71">
        <f>CU251</f>
        <v>0</v>
      </c>
      <c r="Y251" s="71">
        <f>CY251</f>
        <v>0</v>
      </c>
      <c r="Z251" s="71">
        <f>DA251+DC251+DE251</f>
        <v>0</v>
      </c>
      <c r="AA251" s="71">
        <f>CW251</f>
        <v>0</v>
      </c>
      <c r="AB251" s="71"/>
      <c r="AC251" s="71">
        <v>0</v>
      </c>
      <c r="AD251" s="71">
        <f>W251+X251+Y251+Z251+AA251+AB251+AC251</f>
        <v>0</v>
      </c>
      <c r="AE251" s="72">
        <v>0</v>
      </c>
      <c r="AF251" s="5"/>
      <c r="AG251" s="6"/>
      <c r="AH251" s="27" t="s">
        <v>3392</v>
      </c>
      <c r="AI251" s="44" t="s">
        <v>3393</v>
      </c>
      <c r="AJ251" s="26"/>
      <c r="AK251" s="5"/>
      <c r="AL251" s="82" t="s">
        <v>3085</v>
      </c>
      <c r="AM251" s="76"/>
      <c r="AN251" s="76"/>
      <c r="AO251" s="76"/>
      <c r="AP251" s="76"/>
      <c r="AQ251" s="76"/>
      <c r="AR251" s="76"/>
      <c r="AS251" s="76"/>
      <c r="AT251" s="76"/>
      <c r="AU251" s="76"/>
      <c r="AV251" s="76"/>
      <c r="AW251" s="76"/>
      <c r="AX251" s="76">
        <f>+AW251*600000</f>
        <v>0</v>
      </c>
      <c r="AY251" s="76"/>
      <c r="AZ251" s="76">
        <f>+AY251*70000</f>
        <v>0</v>
      </c>
      <c r="BA251" s="76"/>
      <c r="BB251" s="76"/>
      <c r="BC251" s="76"/>
      <c r="BD251" s="76">
        <f>+BC251*30000</f>
        <v>0</v>
      </c>
      <c r="BE251" s="76"/>
      <c r="BF251" s="76"/>
      <c r="BG251" s="76"/>
      <c r="BH251" s="76"/>
      <c r="BI251" s="76"/>
      <c r="BJ251" s="76"/>
      <c r="BK251" s="76"/>
      <c r="BL251" s="76">
        <f>+BK251*31500</f>
        <v>0</v>
      </c>
      <c r="BM251" s="76"/>
      <c r="BN251" s="76"/>
      <c r="BO251" s="76"/>
      <c r="BP251" s="76"/>
      <c r="BQ251" s="76"/>
      <c r="BR251" s="76"/>
      <c r="BS251" s="76"/>
      <c r="BT251" s="76"/>
      <c r="BU251" s="76"/>
      <c r="BV251" s="76"/>
      <c r="BW251" s="76"/>
      <c r="BX251" s="76"/>
      <c r="BY251" s="76"/>
      <c r="BZ251" s="76"/>
      <c r="CA251" s="76"/>
      <c r="CB251" s="76"/>
      <c r="CC251" s="76"/>
      <c r="CD251" s="76"/>
      <c r="CE251" s="76"/>
      <c r="CF251" s="76">
        <f>+CE251*28000</f>
        <v>0</v>
      </c>
      <c r="CG251" s="76"/>
      <c r="CH251" s="76">
        <f>+CG251*22500</f>
        <v>0</v>
      </c>
      <c r="CI251" s="76"/>
      <c r="CJ251" s="76">
        <f>+CI251*26000</f>
        <v>0</v>
      </c>
      <c r="CK251" s="76"/>
      <c r="CL251" s="76"/>
      <c r="CM251" s="76"/>
      <c r="CN251" s="76">
        <f>+CM251*22000</f>
        <v>0</v>
      </c>
      <c r="CO251" s="76"/>
      <c r="CP251" s="76">
        <f>+CO251*46000</f>
        <v>0</v>
      </c>
      <c r="CQ251" s="76"/>
      <c r="CR251" s="76">
        <f>+CQ251*49000</f>
        <v>0</v>
      </c>
      <c r="CS251" s="76"/>
      <c r="CT251" s="76"/>
      <c r="CU251" s="56">
        <f>AN251+AP251+AR251+AT251+AV251+AX251+AZ251+BB251+BD251+BF251+BH251+BJ251+BL251+BN251+BP251+BR251+BT251+BV251+BX251+BZ251+CB251+CD251+CF251+CH251+CJ251+CL251+CN251+CP251+CR251+CT251</f>
        <v>0</v>
      </c>
      <c r="CV251" s="76"/>
      <c r="CW251" s="76">
        <f>+CV251*1100</f>
        <v>0</v>
      </c>
      <c r="CX251" s="76"/>
      <c r="CY251" s="76">
        <f>+CX251*106250</f>
        <v>0</v>
      </c>
      <c r="CZ251" s="76"/>
      <c r="DA251" s="76">
        <f>+CZ251*34500</f>
        <v>0</v>
      </c>
      <c r="DB251" s="76"/>
      <c r="DC251" s="76">
        <f>+DB251*25000</f>
        <v>0</v>
      </c>
      <c r="DD251" s="219"/>
      <c r="DE251" s="219"/>
      <c r="DF251" s="164"/>
      <c r="DG251" s="116"/>
      <c r="DH251" s="117"/>
      <c r="DI251" s="24"/>
      <c r="DJ251" s="24"/>
      <c r="DK251" s="24"/>
      <c r="DL251" s="24"/>
      <c r="DM251" s="24"/>
      <c r="DN251" s="24"/>
      <c r="DO251" s="24"/>
      <c r="DP251" s="24"/>
      <c r="DQ251" s="24"/>
      <c r="DR251" s="24"/>
      <c r="DS251" s="24"/>
      <c r="DT251" s="24"/>
      <c r="DU251" s="24"/>
    </row>
    <row r="252" spans="1:125" s="8" customFormat="1" ht="144" x14ac:dyDescent="0.2">
      <c r="A252" s="77">
        <v>41290</v>
      </c>
      <c r="B252" s="80" t="s">
        <v>2854</v>
      </c>
      <c r="C252" s="81" t="s">
        <v>2773</v>
      </c>
      <c r="D252" s="75" t="s">
        <v>3051</v>
      </c>
      <c r="E252" s="75">
        <f>VLOOKUP(B252&amp;C252,Divipola!$C$2:$F$1138,4,FALSE)</f>
        <v>19</v>
      </c>
      <c r="F252" s="87"/>
      <c r="G252" s="87"/>
      <c r="H252" s="87"/>
      <c r="I252" s="87"/>
      <c r="J252" s="87"/>
      <c r="K252" s="87"/>
      <c r="L252" s="87"/>
      <c r="M252" s="87"/>
      <c r="N252" s="87"/>
      <c r="O252" s="87"/>
      <c r="P252" s="87"/>
      <c r="Q252" s="87"/>
      <c r="R252" s="87"/>
      <c r="S252" s="87"/>
      <c r="T252" s="87"/>
      <c r="U252" s="127"/>
      <c r="V252" s="89"/>
      <c r="W252" s="96">
        <v>0</v>
      </c>
      <c r="X252" s="71">
        <f>CU252</f>
        <v>0</v>
      </c>
      <c r="Y252" s="71">
        <f>CY252</f>
        <v>0</v>
      </c>
      <c r="Z252" s="71">
        <f>DA252+DC252+DE252</f>
        <v>0</v>
      </c>
      <c r="AA252" s="71">
        <f>CW252</f>
        <v>0</v>
      </c>
      <c r="AB252" s="71"/>
      <c r="AC252" s="71">
        <v>1600000000</v>
      </c>
      <c r="AD252" s="71">
        <f>W252+X252+Y252+Z252+AA252+AB252+AC252</f>
        <v>1600000000</v>
      </c>
      <c r="AE252" s="72">
        <v>0</v>
      </c>
      <c r="AF252" s="5"/>
      <c r="AG252" s="6"/>
      <c r="AH252" s="27" t="s">
        <v>3390</v>
      </c>
      <c r="AI252" s="44" t="s">
        <v>3391</v>
      </c>
      <c r="AJ252" s="26"/>
      <c r="AK252" s="5"/>
      <c r="AL252" s="82" t="s">
        <v>3081</v>
      </c>
      <c r="AM252" s="76"/>
      <c r="AN252" s="76"/>
      <c r="AO252" s="76"/>
      <c r="AP252" s="76"/>
      <c r="AQ252" s="76"/>
      <c r="AR252" s="76"/>
      <c r="AS252" s="76"/>
      <c r="AT252" s="76"/>
      <c r="AU252" s="76"/>
      <c r="AV252" s="76"/>
      <c r="AW252" s="76"/>
      <c r="AX252" s="76">
        <f>+AW252*600000</f>
        <v>0</v>
      </c>
      <c r="AY252" s="76"/>
      <c r="AZ252" s="76">
        <f>+AY252*70000</f>
        <v>0</v>
      </c>
      <c r="BA252" s="76"/>
      <c r="BB252" s="76"/>
      <c r="BC252" s="76"/>
      <c r="BD252" s="76">
        <f>+BC252*30000</f>
        <v>0</v>
      </c>
      <c r="BE252" s="76"/>
      <c r="BF252" s="76"/>
      <c r="BG252" s="76"/>
      <c r="BH252" s="76"/>
      <c r="BI252" s="76"/>
      <c r="BJ252" s="76"/>
      <c r="BK252" s="76"/>
      <c r="BL252" s="76">
        <f>+BK252*31500</f>
        <v>0</v>
      </c>
      <c r="BM252" s="76"/>
      <c r="BN252" s="76"/>
      <c r="BO252" s="76"/>
      <c r="BP252" s="76"/>
      <c r="BQ252" s="76"/>
      <c r="BR252" s="76"/>
      <c r="BS252" s="76"/>
      <c r="BT252" s="76"/>
      <c r="BU252" s="76"/>
      <c r="BV252" s="76"/>
      <c r="BW252" s="76"/>
      <c r="BX252" s="76"/>
      <c r="BY252" s="76"/>
      <c r="BZ252" s="76"/>
      <c r="CA252" s="76"/>
      <c r="CB252" s="76"/>
      <c r="CC252" s="76"/>
      <c r="CD252" s="76"/>
      <c r="CE252" s="76"/>
      <c r="CF252" s="76">
        <f>+CE252*28000</f>
        <v>0</v>
      </c>
      <c r="CG252" s="76"/>
      <c r="CH252" s="76">
        <f>+CG252*22500</f>
        <v>0</v>
      </c>
      <c r="CI252" s="76"/>
      <c r="CJ252" s="76">
        <f>+CI252*26000</f>
        <v>0</v>
      </c>
      <c r="CK252" s="76"/>
      <c r="CL252" s="76"/>
      <c r="CM252" s="76"/>
      <c r="CN252" s="76">
        <f>+CM252*22000</f>
        <v>0</v>
      </c>
      <c r="CO252" s="76"/>
      <c r="CP252" s="76">
        <f>+CO252*46000</f>
        <v>0</v>
      </c>
      <c r="CQ252" s="76"/>
      <c r="CR252" s="76">
        <f>+CQ252*49000</f>
        <v>0</v>
      </c>
      <c r="CS252" s="76"/>
      <c r="CT252" s="76"/>
      <c r="CU252" s="56">
        <f>AN252+AP252+AR252+AT252+AV252+AX252+AZ252+BB252+BD252+BF252+BH252+BJ252+BL252+BN252+BP252+BR252+BT252+BV252+BX252+BZ252+CB252+CD252+CF252+CH252+CJ252+CL252+CN252+CP252+CR252+CT252</f>
        <v>0</v>
      </c>
      <c r="CV252" s="76"/>
      <c r="CW252" s="76">
        <f>+CV252*1100</f>
        <v>0</v>
      </c>
      <c r="CX252" s="76"/>
      <c r="CY252" s="76">
        <f>+CX252*106250</f>
        <v>0</v>
      </c>
      <c r="CZ252" s="76"/>
      <c r="DA252" s="76">
        <f>+CZ252*34500</f>
        <v>0</v>
      </c>
      <c r="DB252" s="76"/>
      <c r="DC252" s="76">
        <f>+DB252*25000</f>
        <v>0</v>
      </c>
      <c r="DD252" s="219"/>
      <c r="DE252" s="219"/>
      <c r="DF252" s="166" t="s">
        <v>3248</v>
      </c>
      <c r="DG252" s="134" t="s">
        <v>4126</v>
      </c>
      <c r="DH252" s="117"/>
      <c r="DI252" s="24"/>
      <c r="DJ252" s="24"/>
      <c r="DK252" s="24"/>
      <c r="DL252" s="24"/>
      <c r="DM252" s="24"/>
      <c r="DN252" s="24"/>
      <c r="DO252" s="24"/>
      <c r="DP252" s="24"/>
      <c r="DQ252" s="24"/>
      <c r="DR252" s="24"/>
      <c r="DS252" s="24"/>
      <c r="DT252" s="24"/>
      <c r="DU252" s="24"/>
    </row>
    <row r="253" spans="1:125" s="8" customFormat="1" ht="24" x14ac:dyDescent="0.2">
      <c r="A253" s="77">
        <v>41290</v>
      </c>
      <c r="B253" s="80" t="s">
        <v>2661</v>
      </c>
      <c r="C253" s="81" t="s">
        <v>1351</v>
      </c>
      <c r="D253" s="81" t="s">
        <v>2846</v>
      </c>
      <c r="E253" s="75" t="str">
        <f>VLOOKUP(B253&amp;C253,Divipola!$C$2:$F$1138,4,FALSE)</f>
        <v>41551</v>
      </c>
      <c r="F253" s="87"/>
      <c r="G253" s="87"/>
      <c r="H253" s="87"/>
      <c r="I253" s="87"/>
      <c r="J253" s="87"/>
      <c r="K253" s="87"/>
      <c r="L253" s="87"/>
      <c r="M253" s="87"/>
      <c r="N253" s="87"/>
      <c r="O253" s="87"/>
      <c r="P253" s="87"/>
      <c r="Q253" s="87"/>
      <c r="R253" s="87"/>
      <c r="S253" s="87"/>
      <c r="T253" s="87"/>
      <c r="U253" s="127">
        <v>1</v>
      </c>
      <c r="V253" s="89"/>
      <c r="W253" s="96">
        <v>0</v>
      </c>
      <c r="X253" s="71">
        <f>CU253</f>
        <v>0</v>
      </c>
      <c r="Y253" s="71">
        <f>CY253</f>
        <v>0</v>
      </c>
      <c r="Z253" s="71">
        <f>DA253+DC253+DE253</f>
        <v>0</v>
      </c>
      <c r="AA253" s="71">
        <f>CW253</f>
        <v>0</v>
      </c>
      <c r="AB253" s="71"/>
      <c r="AC253" s="71">
        <v>0</v>
      </c>
      <c r="AD253" s="71">
        <f>W253+X253+Y253+Z253+AA253+AB253+AC253</f>
        <v>0</v>
      </c>
      <c r="AE253" s="72">
        <v>0</v>
      </c>
      <c r="AF253" s="5"/>
      <c r="AG253" s="6"/>
      <c r="AH253" s="27" t="s">
        <v>3392</v>
      </c>
      <c r="AI253" s="44" t="s">
        <v>3393</v>
      </c>
      <c r="AJ253" s="26"/>
      <c r="AK253" s="5"/>
      <c r="AL253" s="82" t="s">
        <v>3083</v>
      </c>
      <c r="AM253" s="76"/>
      <c r="AN253" s="76"/>
      <c r="AO253" s="76"/>
      <c r="AP253" s="76"/>
      <c r="AQ253" s="76"/>
      <c r="AR253" s="76"/>
      <c r="AS253" s="76"/>
      <c r="AT253" s="76"/>
      <c r="AU253" s="76"/>
      <c r="AV253" s="76"/>
      <c r="AW253" s="76"/>
      <c r="AX253" s="76">
        <f>+AW253*600000</f>
        <v>0</v>
      </c>
      <c r="AY253" s="76"/>
      <c r="AZ253" s="76">
        <f>+AY253*70000</f>
        <v>0</v>
      </c>
      <c r="BA253" s="76"/>
      <c r="BB253" s="76"/>
      <c r="BC253" s="76"/>
      <c r="BD253" s="76">
        <f>+BC253*30000</f>
        <v>0</v>
      </c>
      <c r="BE253" s="76"/>
      <c r="BF253" s="76"/>
      <c r="BG253" s="76"/>
      <c r="BH253" s="76"/>
      <c r="BI253" s="76"/>
      <c r="BJ253" s="76"/>
      <c r="BK253" s="76"/>
      <c r="BL253" s="76">
        <f>+BK253*31500</f>
        <v>0</v>
      </c>
      <c r="BM253" s="76"/>
      <c r="BN253" s="76"/>
      <c r="BO253" s="76"/>
      <c r="BP253" s="76"/>
      <c r="BQ253" s="76"/>
      <c r="BR253" s="76"/>
      <c r="BS253" s="76"/>
      <c r="BT253" s="76"/>
      <c r="BU253" s="76"/>
      <c r="BV253" s="76"/>
      <c r="BW253" s="76"/>
      <c r="BX253" s="76"/>
      <c r="BY253" s="76"/>
      <c r="BZ253" s="76"/>
      <c r="CA253" s="76"/>
      <c r="CB253" s="76"/>
      <c r="CC253" s="76"/>
      <c r="CD253" s="76"/>
      <c r="CE253" s="76"/>
      <c r="CF253" s="76">
        <f>+CE253*28000</f>
        <v>0</v>
      </c>
      <c r="CG253" s="76"/>
      <c r="CH253" s="76">
        <f>+CG253*22500</f>
        <v>0</v>
      </c>
      <c r="CI253" s="76"/>
      <c r="CJ253" s="76">
        <f>+CI253*26000</f>
        <v>0</v>
      </c>
      <c r="CK253" s="76"/>
      <c r="CL253" s="76"/>
      <c r="CM253" s="76"/>
      <c r="CN253" s="76">
        <f>+CM253*22000</f>
        <v>0</v>
      </c>
      <c r="CO253" s="76"/>
      <c r="CP253" s="76">
        <f>+CO253*46000</f>
        <v>0</v>
      </c>
      <c r="CQ253" s="76"/>
      <c r="CR253" s="76">
        <f>+CQ253*49000</f>
        <v>0</v>
      </c>
      <c r="CS253" s="76"/>
      <c r="CT253" s="76"/>
      <c r="CU253" s="56">
        <f>AN253+AP253+AR253+AT253+AV253+AX253+AZ253+BB253+BD253+BF253+BH253+BJ253+BL253+BN253+BP253+BR253+BT253+BV253+BX253+BZ253+CB253+CD253+CF253+CH253+CJ253+CL253+CN253+CP253+CR253+CT253</f>
        <v>0</v>
      </c>
      <c r="CV253" s="76"/>
      <c r="CW253" s="76">
        <f>+CV253*1100</f>
        <v>0</v>
      </c>
      <c r="CX253" s="76"/>
      <c r="CY253" s="76">
        <f>+CX253*106250</f>
        <v>0</v>
      </c>
      <c r="CZ253" s="76"/>
      <c r="DA253" s="76">
        <f>+CZ253*34500</f>
        <v>0</v>
      </c>
      <c r="DB253" s="76"/>
      <c r="DC253" s="76">
        <f>+DB253*25000</f>
        <v>0</v>
      </c>
      <c r="DD253" s="219"/>
      <c r="DE253" s="219"/>
      <c r="DF253" s="164"/>
      <c r="DG253" s="116"/>
      <c r="DH253" s="117"/>
      <c r="DI253" s="24"/>
      <c r="DJ253" s="24"/>
      <c r="DK253" s="24"/>
      <c r="DL253" s="24"/>
      <c r="DM253" s="24"/>
      <c r="DN253" s="24"/>
      <c r="DO253" s="24"/>
      <c r="DP253" s="24"/>
      <c r="DQ253" s="24"/>
      <c r="DR253" s="24"/>
      <c r="DS253" s="24"/>
      <c r="DT253" s="24"/>
      <c r="DU253" s="24"/>
    </row>
    <row r="254" spans="1:125" s="8" customFormat="1" ht="36" x14ac:dyDescent="0.2">
      <c r="A254" s="77">
        <v>41290</v>
      </c>
      <c r="B254" s="78" t="s">
        <v>2661</v>
      </c>
      <c r="C254" s="75" t="s">
        <v>2105</v>
      </c>
      <c r="D254" s="75" t="s">
        <v>3051</v>
      </c>
      <c r="E254" s="75" t="str">
        <f>VLOOKUP(B254&amp;C254,Divipola!$C$2:$F$1138,4,FALSE)</f>
        <v>41615</v>
      </c>
      <c r="F254" s="87"/>
      <c r="G254" s="87"/>
      <c r="H254" s="87"/>
      <c r="I254" s="87">
        <v>10</v>
      </c>
      <c r="J254" s="87">
        <v>2</v>
      </c>
      <c r="K254" s="87"/>
      <c r="L254" s="87">
        <v>2</v>
      </c>
      <c r="M254" s="87"/>
      <c r="N254" s="87"/>
      <c r="O254" s="87"/>
      <c r="P254" s="87"/>
      <c r="Q254" s="87"/>
      <c r="R254" s="87"/>
      <c r="S254" s="87"/>
      <c r="T254" s="87"/>
      <c r="U254" s="127"/>
      <c r="V254" s="89"/>
      <c r="W254" s="96">
        <v>0</v>
      </c>
      <c r="X254" s="71">
        <f>CU254</f>
        <v>0</v>
      </c>
      <c r="Y254" s="71">
        <f>CY254</f>
        <v>0</v>
      </c>
      <c r="Z254" s="71">
        <f>DA254+DC254+DE254</f>
        <v>0</v>
      </c>
      <c r="AA254" s="71">
        <f>CW254</f>
        <v>0</v>
      </c>
      <c r="AB254" s="71"/>
      <c r="AC254" s="71">
        <v>0</v>
      </c>
      <c r="AD254" s="71">
        <f>W254+X254+Y254+Z254+AA254+AB254+AC254</f>
        <v>0</v>
      </c>
      <c r="AE254" s="72">
        <v>0</v>
      </c>
      <c r="AF254" s="5"/>
      <c r="AG254" s="6"/>
      <c r="AH254" s="27" t="s">
        <v>3392</v>
      </c>
      <c r="AI254" s="44" t="s">
        <v>3393</v>
      </c>
      <c r="AJ254" s="26"/>
      <c r="AK254" s="5"/>
      <c r="AL254" s="82" t="s">
        <v>3082</v>
      </c>
      <c r="AM254" s="76"/>
      <c r="AN254" s="76"/>
      <c r="AO254" s="76"/>
      <c r="AP254" s="76"/>
      <c r="AQ254" s="76"/>
      <c r="AR254" s="76"/>
      <c r="AS254" s="76"/>
      <c r="AT254" s="76"/>
      <c r="AU254" s="76"/>
      <c r="AV254" s="76"/>
      <c r="AW254" s="76"/>
      <c r="AX254" s="76">
        <f>+AW254*600000</f>
        <v>0</v>
      </c>
      <c r="AY254" s="76"/>
      <c r="AZ254" s="76">
        <f>+AY254*70000</f>
        <v>0</v>
      </c>
      <c r="BA254" s="76"/>
      <c r="BB254" s="76"/>
      <c r="BC254" s="76"/>
      <c r="BD254" s="76">
        <f>+BC254*30000</f>
        <v>0</v>
      </c>
      <c r="BE254" s="76"/>
      <c r="BF254" s="76"/>
      <c r="BG254" s="76"/>
      <c r="BH254" s="76"/>
      <c r="BI254" s="76"/>
      <c r="BJ254" s="76"/>
      <c r="BK254" s="76"/>
      <c r="BL254" s="76">
        <f>+BK254*31500</f>
        <v>0</v>
      </c>
      <c r="BM254" s="76"/>
      <c r="BN254" s="76"/>
      <c r="BO254" s="76"/>
      <c r="BP254" s="76"/>
      <c r="BQ254" s="76"/>
      <c r="BR254" s="76"/>
      <c r="BS254" s="76"/>
      <c r="BT254" s="76"/>
      <c r="BU254" s="76"/>
      <c r="BV254" s="76"/>
      <c r="BW254" s="76"/>
      <c r="BX254" s="76"/>
      <c r="BY254" s="76"/>
      <c r="BZ254" s="76"/>
      <c r="CA254" s="76"/>
      <c r="CB254" s="76"/>
      <c r="CC254" s="76"/>
      <c r="CD254" s="76"/>
      <c r="CE254" s="76"/>
      <c r="CF254" s="76">
        <f>+CE254*28000</f>
        <v>0</v>
      </c>
      <c r="CG254" s="76"/>
      <c r="CH254" s="76">
        <f>+CG254*22500</f>
        <v>0</v>
      </c>
      <c r="CI254" s="76"/>
      <c r="CJ254" s="76">
        <f>+CI254*26000</f>
        <v>0</v>
      </c>
      <c r="CK254" s="76"/>
      <c r="CL254" s="76"/>
      <c r="CM254" s="76"/>
      <c r="CN254" s="76">
        <f>+CM254*22000</f>
        <v>0</v>
      </c>
      <c r="CO254" s="76"/>
      <c r="CP254" s="76">
        <f>+CO254*46000</f>
        <v>0</v>
      </c>
      <c r="CQ254" s="76"/>
      <c r="CR254" s="76">
        <f>+CQ254*49000</f>
        <v>0</v>
      </c>
      <c r="CS254" s="76"/>
      <c r="CT254" s="76"/>
      <c r="CU254" s="56">
        <f>AN254+AP254+AR254+AT254+AV254+AX254+AZ254+BB254+BD254+BF254+BH254+BJ254+BL254+BN254+BP254+BR254+BT254+BV254+BX254+BZ254+CB254+CD254+CF254+CH254+CJ254+CL254+CN254+CP254+CR254+CT254</f>
        <v>0</v>
      </c>
      <c r="CV254" s="76"/>
      <c r="CW254" s="76">
        <f>+CV254*1100</f>
        <v>0</v>
      </c>
      <c r="CX254" s="76"/>
      <c r="CY254" s="76">
        <f>+CX254*106250</f>
        <v>0</v>
      </c>
      <c r="CZ254" s="76"/>
      <c r="DA254" s="76">
        <f>+CZ254*34500</f>
        <v>0</v>
      </c>
      <c r="DB254" s="76"/>
      <c r="DC254" s="76">
        <f>+DB254*25000</f>
        <v>0</v>
      </c>
      <c r="DD254" s="219"/>
      <c r="DE254" s="219"/>
      <c r="DF254" s="164"/>
      <c r="DG254" s="116"/>
      <c r="DH254" s="117"/>
      <c r="DI254" s="24"/>
      <c r="DJ254" s="24"/>
      <c r="DK254" s="24"/>
      <c r="DL254" s="24"/>
      <c r="DM254" s="24"/>
      <c r="DN254" s="24"/>
      <c r="DO254" s="24"/>
      <c r="DP254" s="24"/>
      <c r="DQ254" s="24"/>
      <c r="DR254" s="24"/>
      <c r="DS254" s="24"/>
      <c r="DT254" s="24"/>
      <c r="DU254" s="24"/>
    </row>
    <row r="255" spans="1:125" s="8" customFormat="1" ht="60" x14ac:dyDescent="0.2">
      <c r="A255" s="77">
        <v>41290</v>
      </c>
      <c r="B255" s="80" t="s">
        <v>2906</v>
      </c>
      <c r="C255" s="81" t="s">
        <v>2739</v>
      </c>
      <c r="D255" s="81" t="s">
        <v>3027</v>
      </c>
      <c r="E255" s="75" t="str">
        <f>VLOOKUP(B255&amp;C255,Divipola!$C$2:$F$1138,4,FALSE)</f>
        <v>47001</v>
      </c>
      <c r="F255" s="87"/>
      <c r="G255" s="87"/>
      <c r="H255" s="87"/>
      <c r="I255" s="87"/>
      <c r="J255" s="87"/>
      <c r="K255" s="87"/>
      <c r="L255" s="87"/>
      <c r="M255" s="87"/>
      <c r="N255" s="87"/>
      <c r="O255" s="87"/>
      <c r="P255" s="87"/>
      <c r="Q255" s="87"/>
      <c r="R255" s="87"/>
      <c r="S255" s="87"/>
      <c r="T255" s="87"/>
      <c r="U255" s="127"/>
      <c r="V255" s="89"/>
      <c r="W255" s="96">
        <v>0</v>
      </c>
      <c r="X255" s="71">
        <f>CU255</f>
        <v>0</v>
      </c>
      <c r="Y255" s="71">
        <f>CY255</f>
        <v>0</v>
      </c>
      <c r="Z255" s="71">
        <f>DA255+DC255+DE255</f>
        <v>0</v>
      </c>
      <c r="AA255" s="71">
        <f>CW255</f>
        <v>0</v>
      </c>
      <c r="AB255" s="71"/>
      <c r="AC255" s="71">
        <v>0</v>
      </c>
      <c r="AD255" s="71">
        <f>W255+X255+Y255+Z255+AA255+AB255+AC255</f>
        <v>0</v>
      </c>
      <c r="AE255" s="72">
        <v>0</v>
      </c>
      <c r="AF255" s="5"/>
      <c r="AG255" s="6"/>
      <c r="AH255" s="27" t="s">
        <v>3392</v>
      </c>
      <c r="AI255" s="44" t="s">
        <v>3393</v>
      </c>
      <c r="AJ255" s="26"/>
      <c r="AK255" s="5"/>
      <c r="AL255" s="82" t="s">
        <v>3087</v>
      </c>
      <c r="AM255" s="76"/>
      <c r="AN255" s="76"/>
      <c r="AO255" s="76"/>
      <c r="AP255" s="76"/>
      <c r="AQ255" s="76"/>
      <c r="AR255" s="76"/>
      <c r="AS255" s="76"/>
      <c r="AT255" s="76"/>
      <c r="AU255" s="76"/>
      <c r="AV255" s="76"/>
      <c r="AW255" s="76"/>
      <c r="AX255" s="76">
        <f>+AW255*600000</f>
        <v>0</v>
      </c>
      <c r="AY255" s="76"/>
      <c r="AZ255" s="76">
        <f>+AY255*70000</f>
        <v>0</v>
      </c>
      <c r="BA255" s="76"/>
      <c r="BB255" s="76"/>
      <c r="BC255" s="76"/>
      <c r="BD255" s="76">
        <f>+BC255*30000</f>
        <v>0</v>
      </c>
      <c r="BE255" s="76"/>
      <c r="BF255" s="76"/>
      <c r="BG255" s="76"/>
      <c r="BH255" s="76"/>
      <c r="BI255" s="76"/>
      <c r="BJ255" s="76"/>
      <c r="BK255" s="76"/>
      <c r="BL255" s="76">
        <f>+BK255*31500</f>
        <v>0</v>
      </c>
      <c r="BM255" s="76"/>
      <c r="BN255" s="76"/>
      <c r="BO255" s="76"/>
      <c r="BP255" s="76"/>
      <c r="BQ255" s="76"/>
      <c r="BR255" s="76"/>
      <c r="BS255" s="76"/>
      <c r="BT255" s="76"/>
      <c r="BU255" s="76"/>
      <c r="BV255" s="76"/>
      <c r="BW255" s="76"/>
      <c r="BX255" s="76"/>
      <c r="BY255" s="76"/>
      <c r="BZ255" s="76"/>
      <c r="CA255" s="76"/>
      <c r="CB255" s="76"/>
      <c r="CC255" s="76"/>
      <c r="CD255" s="76"/>
      <c r="CE255" s="76"/>
      <c r="CF255" s="76">
        <f>+CE255*28000</f>
        <v>0</v>
      </c>
      <c r="CG255" s="76"/>
      <c r="CH255" s="76">
        <f>+CG255*22500</f>
        <v>0</v>
      </c>
      <c r="CI255" s="76"/>
      <c r="CJ255" s="76">
        <f>+CI255*26000</f>
        <v>0</v>
      </c>
      <c r="CK255" s="76"/>
      <c r="CL255" s="76"/>
      <c r="CM255" s="76"/>
      <c r="CN255" s="76">
        <f>+CM255*22000</f>
        <v>0</v>
      </c>
      <c r="CO255" s="76"/>
      <c r="CP255" s="76">
        <f>+CO255*46000</f>
        <v>0</v>
      </c>
      <c r="CQ255" s="76"/>
      <c r="CR255" s="76">
        <f>+CQ255*49000</f>
        <v>0</v>
      </c>
      <c r="CS255" s="76"/>
      <c r="CT255" s="76"/>
      <c r="CU255" s="56">
        <f>AN255+AP255+AR255+AT255+AV255+AX255+AZ255+BB255+BD255+BF255+BH255+BJ255+BL255+BN255+BP255+BR255+BT255+BV255+BX255+BZ255+CB255+CD255+CF255+CH255+CJ255+CL255+CN255+CP255+CR255+CT255</f>
        <v>0</v>
      </c>
      <c r="CV255" s="76"/>
      <c r="CW255" s="76">
        <f>+CV255*1100</f>
        <v>0</v>
      </c>
      <c r="CX255" s="76"/>
      <c r="CY255" s="76">
        <f>+CX255*106250</f>
        <v>0</v>
      </c>
      <c r="CZ255" s="76"/>
      <c r="DA255" s="76">
        <f>+CZ255*34500</f>
        <v>0</v>
      </c>
      <c r="DB255" s="76"/>
      <c r="DC255" s="76">
        <f>+DB255*25000</f>
        <v>0</v>
      </c>
      <c r="DD255" s="219"/>
      <c r="DE255" s="219"/>
      <c r="DF255" s="164"/>
      <c r="DG255" s="116"/>
      <c r="DH255" s="117"/>
      <c r="DI255" s="24"/>
      <c r="DJ255" s="24"/>
      <c r="DK255" s="24"/>
      <c r="DL255" s="24"/>
      <c r="DM255" s="24"/>
      <c r="DN255" s="24"/>
      <c r="DO255" s="24"/>
      <c r="DP255" s="24"/>
      <c r="DQ255" s="24"/>
      <c r="DR255" s="24"/>
      <c r="DS255" s="24"/>
      <c r="DT255" s="24"/>
      <c r="DU255" s="24"/>
    </row>
    <row r="256" spans="1:125" s="8" customFormat="1" ht="60" x14ac:dyDescent="0.2">
      <c r="A256" s="77">
        <v>41291</v>
      </c>
      <c r="B256" s="80" t="s">
        <v>2894</v>
      </c>
      <c r="C256" s="81" t="s">
        <v>2823</v>
      </c>
      <c r="D256" s="81" t="s">
        <v>2846</v>
      </c>
      <c r="E256" s="75" t="str">
        <f>VLOOKUP(B256&amp;C256,Divipola!$C$2:$F$1138,4,FALSE)</f>
        <v>05670</v>
      </c>
      <c r="F256" s="87"/>
      <c r="G256" s="87"/>
      <c r="H256" s="87"/>
      <c r="I256" s="87"/>
      <c r="J256" s="87"/>
      <c r="K256" s="87"/>
      <c r="L256" s="87"/>
      <c r="M256" s="87"/>
      <c r="N256" s="87"/>
      <c r="O256" s="87"/>
      <c r="P256" s="87"/>
      <c r="Q256" s="87"/>
      <c r="R256" s="87"/>
      <c r="S256" s="87"/>
      <c r="T256" s="87"/>
      <c r="U256" s="127">
        <v>7</v>
      </c>
      <c r="V256" s="89"/>
      <c r="W256" s="96">
        <v>0</v>
      </c>
      <c r="X256" s="71">
        <f>CU256</f>
        <v>0</v>
      </c>
      <c r="Y256" s="71">
        <f>CY256</f>
        <v>0</v>
      </c>
      <c r="Z256" s="71">
        <f>DA256+DC256+DE256</f>
        <v>0</v>
      </c>
      <c r="AA256" s="71">
        <f>CW256</f>
        <v>0</v>
      </c>
      <c r="AB256" s="71"/>
      <c r="AC256" s="71">
        <v>0</v>
      </c>
      <c r="AD256" s="71">
        <f>W256+X256+Y256+Z256+AA256+AB256+AC256</f>
        <v>0</v>
      </c>
      <c r="AE256" s="72">
        <v>0</v>
      </c>
      <c r="AF256" s="5"/>
      <c r="AG256" s="6"/>
      <c r="AH256" s="27" t="s">
        <v>3392</v>
      </c>
      <c r="AI256" s="44" t="s">
        <v>3393</v>
      </c>
      <c r="AJ256" s="26"/>
      <c r="AK256" s="5"/>
      <c r="AL256" s="82" t="s">
        <v>3097</v>
      </c>
      <c r="AM256" s="76"/>
      <c r="AN256" s="76"/>
      <c r="AO256" s="76"/>
      <c r="AP256" s="76"/>
      <c r="AQ256" s="76"/>
      <c r="AR256" s="76"/>
      <c r="AS256" s="76"/>
      <c r="AT256" s="76"/>
      <c r="AU256" s="76"/>
      <c r="AV256" s="76"/>
      <c r="AW256" s="76"/>
      <c r="AX256" s="76">
        <f>+AW256*600000</f>
        <v>0</v>
      </c>
      <c r="AY256" s="76"/>
      <c r="AZ256" s="76">
        <f>+AY256*70000</f>
        <v>0</v>
      </c>
      <c r="BA256" s="76"/>
      <c r="BB256" s="76"/>
      <c r="BC256" s="76"/>
      <c r="BD256" s="76">
        <f>+BC256*30000</f>
        <v>0</v>
      </c>
      <c r="BE256" s="76"/>
      <c r="BF256" s="76"/>
      <c r="BG256" s="76"/>
      <c r="BH256" s="76"/>
      <c r="BI256" s="76"/>
      <c r="BJ256" s="76"/>
      <c r="BK256" s="76"/>
      <c r="BL256" s="76">
        <f>+BK256*31500</f>
        <v>0</v>
      </c>
      <c r="BM256" s="76"/>
      <c r="BN256" s="76"/>
      <c r="BO256" s="76"/>
      <c r="BP256" s="76"/>
      <c r="BQ256" s="76"/>
      <c r="BR256" s="76"/>
      <c r="BS256" s="76"/>
      <c r="BT256" s="76"/>
      <c r="BU256" s="76"/>
      <c r="BV256" s="76"/>
      <c r="BW256" s="76"/>
      <c r="BX256" s="76"/>
      <c r="BY256" s="76"/>
      <c r="BZ256" s="76"/>
      <c r="CA256" s="76"/>
      <c r="CB256" s="76"/>
      <c r="CC256" s="76"/>
      <c r="CD256" s="76"/>
      <c r="CE256" s="76"/>
      <c r="CF256" s="76">
        <f>+CE256*28000</f>
        <v>0</v>
      </c>
      <c r="CG256" s="76"/>
      <c r="CH256" s="76">
        <f>+CG256*22500</f>
        <v>0</v>
      </c>
      <c r="CI256" s="76"/>
      <c r="CJ256" s="76">
        <f>+CI256*26000</f>
        <v>0</v>
      </c>
      <c r="CK256" s="76"/>
      <c r="CL256" s="76"/>
      <c r="CM256" s="76"/>
      <c r="CN256" s="76">
        <f>+CM256*22000</f>
        <v>0</v>
      </c>
      <c r="CO256" s="76"/>
      <c r="CP256" s="76">
        <f>+CO256*46000</f>
        <v>0</v>
      </c>
      <c r="CQ256" s="76"/>
      <c r="CR256" s="76">
        <f>+CQ256*49000</f>
        <v>0</v>
      </c>
      <c r="CS256" s="76"/>
      <c r="CT256" s="76"/>
      <c r="CU256" s="56">
        <f>AN256+AP256+AR256+AT256+AV256+AX256+AZ256+BB256+BD256+BF256+BH256+BJ256+BL256+BN256+BP256+BR256+BT256+BV256+BX256+BZ256+CB256+CD256+CF256+CH256+CJ256+CL256+CN256+CP256+CR256+CT256</f>
        <v>0</v>
      </c>
      <c r="CV256" s="76"/>
      <c r="CW256" s="76">
        <f>+CV256*1100</f>
        <v>0</v>
      </c>
      <c r="CX256" s="76"/>
      <c r="CY256" s="76">
        <f>+CX256*106250</f>
        <v>0</v>
      </c>
      <c r="CZ256" s="76"/>
      <c r="DA256" s="76">
        <f>+CZ256*34500</f>
        <v>0</v>
      </c>
      <c r="DB256" s="76"/>
      <c r="DC256" s="76">
        <f>+DB256*25000</f>
        <v>0</v>
      </c>
      <c r="DD256" s="219"/>
      <c r="DE256" s="219"/>
      <c r="DF256" s="164"/>
      <c r="DG256" s="116"/>
      <c r="DH256" s="117"/>
      <c r="DI256" s="24"/>
      <c r="DJ256" s="24"/>
      <c r="DK256" s="24"/>
      <c r="DL256" s="24"/>
      <c r="DM256" s="24"/>
      <c r="DN256" s="24"/>
      <c r="DO256" s="24"/>
      <c r="DP256" s="24"/>
      <c r="DQ256" s="24"/>
      <c r="DR256" s="24"/>
      <c r="DS256" s="24"/>
      <c r="DT256" s="24"/>
      <c r="DU256" s="24"/>
    </row>
    <row r="257" spans="1:125" s="8" customFormat="1" ht="48" x14ac:dyDescent="0.2">
      <c r="A257" s="77">
        <v>41291</v>
      </c>
      <c r="B257" s="78" t="s">
        <v>2894</v>
      </c>
      <c r="C257" s="75" t="s">
        <v>2590</v>
      </c>
      <c r="D257" s="81" t="s">
        <v>2846</v>
      </c>
      <c r="E257" s="75" t="str">
        <f>VLOOKUP(B257&amp;C257,Divipola!$C$2:$F$1138,4,FALSE)</f>
        <v>05690</v>
      </c>
      <c r="F257" s="87"/>
      <c r="G257" s="87"/>
      <c r="H257" s="87"/>
      <c r="I257" s="87"/>
      <c r="J257" s="87"/>
      <c r="K257" s="87"/>
      <c r="L257" s="87"/>
      <c r="M257" s="87"/>
      <c r="N257" s="87"/>
      <c r="O257" s="87"/>
      <c r="P257" s="87"/>
      <c r="Q257" s="87"/>
      <c r="R257" s="87"/>
      <c r="S257" s="87"/>
      <c r="T257" s="87"/>
      <c r="U257" s="127">
        <v>10</v>
      </c>
      <c r="V257" s="89"/>
      <c r="W257" s="96">
        <v>0</v>
      </c>
      <c r="X257" s="71">
        <f>CU257</f>
        <v>0</v>
      </c>
      <c r="Y257" s="71">
        <f>CY257</f>
        <v>0</v>
      </c>
      <c r="Z257" s="71">
        <f>DA257+DC257+DE257</f>
        <v>0</v>
      </c>
      <c r="AA257" s="71">
        <f>CW257</f>
        <v>0</v>
      </c>
      <c r="AB257" s="71"/>
      <c r="AC257" s="71">
        <v>0</v>
      </c>
      <c r="AD257" s="71">
        <f>W257+X257+Y257+Z257+AA257+AB257+AC257</f>
        <v>0</v>
      </c>
      <c r="AE257" s="72">
        <v>0</v>
      </c>
      <c r="AF257" s="5"/>
      <c r="AG257" s="6"/>
      <c r="AH257" s="27" t="s">
        <v>3392</v>
      </c>
      <c r="AI257" s="44" t="s">
        <v>3393</v>
      </c>
      <c r="AJ257" s="26"/>
      <c r="AK257" s="5"/>
      <c r="AL257" s="82" t="s">
        <v>3117</v>
      </c>
      <c r="AM257" s="76"/>
      <c r="AN257" s="76"/>
      <c r="AO257" s="76"/>
      <c r="AP257" s="76"/>
      <c r="AQ257" s="76"/>
      <c r="AR257" s="76"/>
      <c r="AS257" s="76"/>
      <c r="AT257" s="76"/>
      <c r="AU257" s="76"/>
      <c r="AV257" s="76"/>
      <c r="AW257" s="76"/>
      <c r="AX257" s="76">
        <f>+AW257*600000</f>
        <v>0</v>
      </c>
      <c r="AY257" s="76"/>
      <c r="AZ257" s="76">
        <f>+AY257*70000</f>
        <v>0</v>
      </c>
      <c r="BA257" s="76"/>
      <c r="BB257" s="76"/>
      <c r="BC257" s="76"/>
      <c r="BD257" s="76">
        <f>+BC257*30000</f>
        <v>0</v>
      </c>
      <c r="BE257" s="76"/>
      <c r="BF257" s="76"/>
      <c r="BG257" s="76"/>
      <c r="BH257" s="76"/>
      <c r="BI257" s="76"/>
      <c r="BJ257" s="76"/>
      <c r="BK257" s="76"/>
      <c r="BL257" s="76">
        <f>+BK257*31500</f>
        <v>0</v>
      </c>
      <c r="BM257" s="76"/>
      <c r="BN257" s="76"/>
      <c r="BO257" s="76"/>
      <c r="BP257" s="76"/>
      <c r="BQ257" s="76"/>
      <c r="BR257" s="76"/>
      <c r="BS257" s="76"/>
      <c r="BT257" s="76"/>
      <c r="BU257" s="76"/>
      <c r="BV257" s="76"/>
      <c r="BW257" s="76"/>
      <c r="BX257" s="76"/>
      <c r="BY257" s="76"/>
      <c r="BZ257" s="76"/>
      <c r="CA257" s="76"/>
      <c r="CB257" s="76"/>
      <c r="CC257" s="76"/>
      <c r="CD257" s="76"/>
      <c r="CE257" s="76"/>
      <c r="CF257" s="76">
        <f>+CE257*28000</f>
        <v>0</v>
      </c>
      <c r="CG257" s="76"/>
      <c r="CH257" s="76">
        <f>+CG257*22500</f>
        <v>0</v>
      </c>
      <c r="CI257" s="76"/>
      <c r="CJ257" s="76">
        <f>+CI257*26000</f>
        <v>0</v>
      </c>
      <c r="CK257" s="76"/>
      <c r="CL257" s="76"/>
      <c r="CM257" s="76"/>
      <c r="CN257" s="76">
        <f>+CM257*22000</f>
        <v>0</v>
      </c>
      <c r="CO257" s="76"/>
      <c r="CP257" s="76">
        <f>+CO257*46000</f>
        <v>0</v>
      </c>
      <c r="CQ257" s="76"/>
      <c r="CR257" s="76">
        <f>+CQ257*49000</f>
        <v>0</v>
      </c>
      <c r="CS257" s="76"/>
      <c r="CT257" s="76"/>
      <c r="CU257" s="56">
        <f>AN257+AP257+AR257+AT257+AV257+AX257+AZ257+BB257+BD257+BF257+BH257+BJ257+BL257+BN257+BP257+BR257+BT257+BV257+BX257+BZ257+CB257+CD257+CF257+CH257+CJ257+CL257+CN257+CP257+CR257+CT257</f>
        <v>0</v>
      </c>
      <c r="CV257" s="76"/>
      <c r="CW257" s="76">
        <f>+CV257*1100</f>
        <v>0</v>
      </c>
      <c r="CX257" s="76"/>
      <c r="CY257" s="76">
        <f>+CX257*106250</f>
        <v>0</v>
      </c>
      <c r="CZ257" s="76"/>
      <c r="DA257" s="76">
        <f>+CZ257*34500</f>
        <v>0</v>
      </c>
      <c r="DB257" s="76"/>
      <c r="DC257" s="76">
        <f>+DB257*25000</f>
        <v>0</v>
      </c>
      <c r="DD257" s="219"/>
      <c r="DE257" s="219"/>
      <c r="DF257" s="164"/>
      <c r="DG257" s="116"/>
      <c r="DH257" s="117"/>
      <c r="DI257" s="24"/>
      <c r="DJ257" s="24"/>
      <c r="DK257" s="24"/>
      <c r="DL257" s="24"/>
      <c r="DM257" s="24"/>
      <c r="DN257" s="24"/>
      <c r="DO257" s="24"/>
      <c r="DP257" s="24"/>
      <c r="DQ257" s="24"/>
      <c r="DR257" s="24"/>
      <c r="DS257" s="24"/>
      <c r="DT257" s="24"/>
      <c r="DU257" s="24"/>
    </row>
    <row r="258" spans="1:125" s="8" customFormat="1" ht="48" x14ac:dyDescent="0.2">
      <c r="A258" s="77">
        <v>41291</v>
      </c>
      <c r="B258" s="78" t="s">
        <v>2700</v>
      </c>
      <c r="C258" s="75" t="s">
        <v>1564</v>
      </c>
      <c r="D258" s="81" t="s">
        <v>2846</v>
      </c>
      <c r="E258" s="75" t="str">
        <f>VLOOKUP(B258&amp;C258,Divipola!$C$2:$F$1138,4,FALSE)</f>
        <v>15047</v>
      </c>
      <c r="F258" s="87"/>
      <c r="G258" s="87"/>
      <c r="H258" s="87"/>
      <c r="I258" s="87"/>
      <c r="J258" s="87"/>
      <c r="K258" s="87"/>
      <c r="L258" s="87"/>
      <c r="M258" s="87"/>
      <c r="N258" s="87"/>
      <c r="O258" s="87"/>
      <c r="P258" s="87"/>
      <c r="Q258" s="87"/>
      <c r="R258" s="87"/>
      <c r="S258" s="87"/>
      <c r="T258" s="87"/>
      <c r="U258" s="127">
        <v>1</v>
      </c>
      <c r="V258" s="89"/>
      <c r="W258" s="96">
        <v>0</v>
      </c>
      <c r="X258" s="71">
        <f>CU258</f>
        <v>0</v>
      </c>
      <c r="Y258" s="71">
        <f>CY258</f>
        <v>0</v>
      </c>
      <c r="Z258" s="71">
        <f>DA258+DC258+DE258</f>
        <v>0</v>
      </c>
      <c r="AA258" s="71">
        <f>CW258</f>
        <v>0</v>
      </c>
      <c r="AB258" s="71"/>
      <c r="AC258" s="71">
        <v>0</v>
      </c>
      <c r="AD258" s="71">
        <f>W258+X258+Y258+Z258+AA258+AB258+AC258</f>
        <v>0</v>
      </c>
      <c r="AE258" s="72">
        <v>0</v>
      </c>
      <c r="AF258" s="5"/>
      <c r="AG258" s="6"/>
      <c r="AH258" s="27" t="s">
        <v>3392</v>
      </c>
      <c r="AI258" s="44" t="s">
        <v>3393</v>
      </c>
      <c r="AJ258" s="26"/>
      <c r="AK258" s="5"/>
      <c r="AL258" s="82" t="s">
        <v>3102</v>
      </c>
      <c r="AM258" s="76"/>
      <c r="AN258" s="76"/>
      <c r="AO258" s="76"/>
      <c r="AP258" s="76"/>
      <c r="AQ258" s="76"/>
      <c r="AR258" s="76"/>
      <c r="AS258" s="76"/>
      <c r="AT258" s="76"/>
      <c r="AU258" s="76"/>
      <c r="AV258" s="76"/>
      <c r="AW258" s="76"/>
      <c r="AX258" s="76">
        <f>+AW258*600000</f>
        <v>0</v>
      </c>
      <c r="AY258" s="76"/>
      <c r="AZ258" s="76">
        <f>+AY258*70000</f>
        <v>0</v>
      </c>
      <c r="BA258" s="76"/>
      <c r="BB258" s="76"/>
      <c r="BC258" s="76"/>
      <c r="BD258" s="76">
        <f>+BC258*30000</f>
        <v>0</v>
      </c>
      <c r="BE258" s="76"/>
      <c r="BF258" s="76"/>
      <c r="BG258" s="76"/>
      <c r="BH258" s="76"/>
      <c r="BI258" s="76"/>
      <c r="BJ258" s="76"/>
      <c r="BK258" s="76"/>
      <c r="BL258" s="76">
        <f>+BK258*31500</f>
        <v>0</v>
      </c>
      <c r="BM258" s="76"/>
      <c r="BN258" s="76"/>
      <c r="BO258" s="76"/>
      <c r="BP258" s="76"/>
      <c r="BQ258" s="76"/>
      <c r="BR258" s="76"/>
      <c r="BS258" s="76"/>
      <c r="BT258" s="76"/>
      <c r="BU258" s="76"/>
      <c r="BV258" s="76"/>
      <c r="BW258" s="76"/>
      <c r="BX258" s="76"/>
      <c r="BY258" s="76"/>
      <c r="BZ258" s="76"/>
      <c r="CA258" s="76"/>
      <c r="CB258" s="76"/>
      <c r="CC258" s="76"/>
      <c r="CD258" s="76"/>
      <c r="CE258" s="76"/>
      <c r="CF258" s="76">
        <f>+CE258*28000</f>
        <v>0</v>
      </c>
      <c r="CG258" s="76"/>
      <c r="CH258" s="76">
        <f>+CG258*22500</f>
        <v>0</v>
      </c>
      <c r="CI258" s="76"/>
      <c r="CJ258" s="76">
        <f>+CI258*26000</f>
        <v>0</v>
      </c>
      <c r="CK258" s="76"/>
      <c r="CL258" s="76"/>
      <c r="CM258" s="76"/>
      <c r="CN258" s="76">
        <f>+CM258*22000</f>
        <v>0</v>
      </c>
      <c r="CO258" s="76"/>
      <c r="CP258" s="76">
        <f>+CO258*46000</f>
        <v>0</v>
      </c>
      <c r="CQ258" s="76"/>
      <c r="CR258" s="76">
        <f>+CQ258*49000</f>
        <v>0</v>
      </c>
      <c r="CS258" s="76"/>
      <c r="CT258" s="76"/>
      <c r="CU258" s="56">
        <f>AN258+AP258+AR258+AT258+AV258+AX258+AZ258+BB258+BD258+BF258+BH258+BJ258+BL258+BN258+BP258+BR258+BT258+BV258+BX258+BZ258+CB258+CD258+CF258+CH258+CJ258+CL258+CN258+CP258+CR258+CT258</f>
        <v>0</v>
      </c>
      <c r="CV258" s="76"/>
      <c r="CW258" s="76">
        <f>+CV258*1100</f>
        <v>0</v>
      </c>
      <c r="CX258" s="76"/>
      <c r="CY258" s="76">
        <f>+CX258*106250</f>
        <v>0</v>
      </c>
      <c r="CZ258" s="76"/>
      <c r="DA258" s="76">
        <f>+CZ258*34500</f>
        <v>0</v>
      </c>
      <c r="DB258" s="76"/>
      <c r="DC258" s="76">
        <f>+DB258*25000</f>
        <v>0</v>
      </c>
      <c r="DD258" s="219"/>
      <c r="DE258" s="219"/>
      <c r="DF258" s="164"/>
      <c r="DG258" s="116"/>
      <c r="DH258" s="117"/>
      <c r="DI258" s="24"/>
      <c r="DJ258" s="24"/>
      <c r="DK258" s="24"/>
      <c r="DL258" s="24"/>
      <c r="DM258" s="24"/>
      <c r="DN258" s="24"/>
      <c r="DO258" s="24"/>
      <c r="DP258" s="24"/>
      <c r="DQ258" s="24"/>
      <c r="DR258" s="24"/>
      <c r="DS258" s="24"/>
      <c r="DT258" s="24"/>
      <c r="DU258" s="24"/>
    </row>
    <row r="259" spans="1:125" s="8" customFormat="1" ht="60" x14ac:dyDescent="0.2">
      <c r="A259" s="77">
        <v>41291</v>
      </c>
      <c r="B259" s="78" t="s">
        <v>2700</v>
      </c>
      <c r="C259" s="75" t="s">
        <v>1698</v>
      </c>
      <c r="D259" s="81" t="s">
        <v>2846</v>
      </c>
      <c r="E259" s="75" t="str">
        <f>VLOOKUP(B259&amp;C259,Divipola!$C$2:$F$1138,4,FALSE)</f>
        <v>15176</v>
      </c>
      <c r="F259" s="87"/>
      <c r="G259" s="87"/>
      <c r="H259" s="87"/>
      <c r="I259" s="87"/>
      <c r="J259" s="87"/>
      <c r="K259" s="87"/>
      <c r="L259" s="87"/>
      <c r="M259" s="87"/>
      <c r="N259" s="87"/>
      <c r="O259" s="87"/>
      <c r="P259" s="87"/>
      <c r="Q259" s="87"/>
      <c r="R259" s="87"/>
      <c r="S259" s="87"/>
      <c r="T259" s="87"/>
      <c r="U259" s="127">
        <v>0.75</v>
      </c>
      <c r="V259" s="89"/>
      <c r="W259" s="96">
        <v>0</v>
      </c>
      <c r="X259" s="71">
        <f>CU259</f>
        <v>0</v>
      </c>
      <c r="Y259" s="71">
        <f>CY259</f>
        <v>0</v>
      </c>
      <c r="Z259" s="71">
        <f>DA259+DC259+DE259</f>
        <v>0</v>
      </c>
      <c r="AA259" s="71">
        <f>CW259</f>
        <v>0</v>
      </c>
      <c r="AB259" s="71"/>
      <c r="AC259" s="71">
        <v>0</v>
      </c>
      <c r="AD259" s="71">
        <f>W259+X259+Y259+Z259+AA259+AB259+AC259</f>
        <v>0</v>
      </c>
      <c r="AE259" s="72">
        <v>0</v>
      </c>
      <c r="AF259" s="5"/>
      <c r="AG259" s="6"/>
      <c r="AH259" s="27" t="s">
        <v>3392</v>
      </c>
      <c r="AI259" s="44" t="s">
        <v>3393</v>
      </c>
      <c r="AJ259" s="26"/>
      <c r="AK259" s="5"/>
      <c r="AL259" s="82" t="s">
        <v>3103</v>
      </c>
      <c r="AM259" s="76"/>
      <c r="AN259" s="76"/>
      <c r="AO259" s="76"/>
      <c r="AP259" s="76"/>
      <c r="AQ259" s="76"/>
      <c r="AR259" s="76"/>
      <c r="AS259" s="76"/>
      <c r="AT259" s="76"/>
      <c r="AU259" s="76"/>
      <c r="AV259" s="76"/>
      <c r="AW259" s="76"/>
      <c r="AX259" s="76">
        <f>+AW259*600000</f>
        <v>0</v>
      </c>
      <c r="AY259" s="76"/>
      <c r="AZ259" s="76">
        <f>+AY259*70000</f>
        <v>0</v>
      </c>
      <c r="BA259" s="76"/>
      <c r="BB259" s="76"/>
      <c r="BC259" s="76"/>
      <c r="BD259" s="76">
        <f>+BC259*30000</f>
        <v>0</v>
      </c>
      <c r="BE259" s="76"/>
      <c r="BF259" s="76"/>
      <c r="BG259" s="76"/>
      <c r="BH259" s="76"/>
      <c r="BI259" s="76"/>
      <c r="BJ259" s="76"/>
      <c r="BK259" s="76"/>
      <c r="BL259" s="76">
        <f>+BK259*31500</f>
        <v>0</v>
      </c>
      <c r="BM259" s="76"/>
      <c r="BN259" s="76"/>
      <c r="BO259" s="76"/>
      <c r="BP259" s="76"/>
      <c r="BQ259" s="76"/>
      <c r="BR259" s="76"/>
      <c r="BS259" s="76"/>
      <c r="BT259" s="76"/>
      <c r="BU259" s="76"/>
      <c r="BV259" s="76"/>
      <c r="BW259" s="76"/>
      <c r="BX259" s="76"/>
      <c r="BY259" s="76"/>
      <c r="BZ259" s="76"/>
      <c r="CA259" s="76"/>
      <c r="CB259" s="76"/>
      <c r="CC259" s="76"/>
      <c r="CD259" s="76"/>
      <c r="CE259" s="76"/>
      <c r="CF259" s="76">
        <f>+CE259*28000</f>
        <v>0</v>
      </c>
      <c r="CG259" s="76"/>
      <c r="CH259" s="76">
        <f>+CG259*22500</f>
        <v>0</v>
      </c>
      <c r="CI259" s="76"/>
      <c r="CJ259" s="76">
        <f>+CI259*26000</f>
        <v>0</v>
      </c>
      <c r="CK259" s="76"/>
      <c r="CL259" s="76"/>
      <c r="CM259" s="76"/>
      <c r="CN259" s="76">
        <f>+CM259*22000</f>
        <v>0</v>
      </c>
      <c r="CO259" s="76"/>
      <c r="CP259" s="76">
        <f>+CO259*46000</f>
        <v>0</v>
      </c>
      <c r="CQ259" s="76"/>
      <c r="CR259" s="76">
        <f>+CQ259*49000</f>
        <v>0</v>
      </c>
      <c r="CS259" s="76"/>
      <c r="CT259" s="76"/>
      <c r="CU259" s="56">
        <f>AN259+AP259+AR259+AT259+AV259+AX259+AZ259+BB259+BD259+BF259+BH259+BJ259+BL259+BN259+BP259+BR259+BT259+BV259+BX259+BZ259+CB259+CD259+CF259+CH259+CJ259+CL259+CN259+CP259+CR259+CT259</f>
        <v>0</v>
      </c>
      <c r="CV259" s="76"/>
      <c r="CW259" s="76">
        <f>+CV259*1100</f>
        <v>0</v>
      </c>
      <c r="CX259" s="76"/>
      <c r="CY259" s="76">
        <f>+CX259*106250</f>
        <v>0</v>
      </c>
      <c r="CZ259" s="76"/>
      <c r="DA259" s="76">
        <f>+CZ259*34500</f>
        <v>0</v>
      </c>
      <c r="DB259" s="76"/>
      <c r="DC259" s="76">
        <f>+DB259*25000</f>
        <v>0</v>
      </c>
      <c r="DD259" s="219"/>
      <c r="DE259" s="219"/>
      <c r="DF259" s="164"/>
      <c r="DG259" s="116"/>
      <c r="DH259" s="117"/>
      <c r="DI259" s="24"/>
      <c r="DJ259" s="24"/>
      <c r="DK259" s="24"/>
      <c r="DL259" s="24"/>
      <c r="DM259" s="24"/>
      <c r="DN259" s="24"/>
      <c r="DO259" s="24"/>
      <c r="DP259" s="24"/>
      <c r="DQ259" s="24"/>
      <c r="DR259" s="24"/>
      <c r="DS259" s="24"/>
      <c r="DT259" s="24"/>
      <c r="DU259" s="24"/>
    </row>
    <row r="260" spans="1:125" s="8" customFormat="1" ht="168" x14ac:dyDescent="0.2">
      <c r="A260" s="77">
        <v>41291</v>
      </c>
      <c r="B260" s="80" t="s">
        <v>2700</v>
      </c>
      <c r="C260" s="81" t="s">
        <v>1645</v>
      </c>
      <c r="D260" s="81" t="s">
        <v>2846</v>
      </c>
      <c r="E260" s="75" t="str">
        <f>VLOOKUP(B260&amp;C260,Divipola!$C$2:$F$1138,4,FALSE)</f>
        <v>15272</v>
      </c>
      <c r="F260" s="87"/>
      <c r="G260" s="87"/>
      <c r="H260" s="87"/>
      <c r="I260" s="87">
        <v>20</v>
      </c>
      <c r="J260" s="87">
        <v>4</v>
      </c>
      <c r="K260" s="87">
        <v>4</v>
      </c>
      <c r="L260" s="87"/>
      <c r="M260" s="87"/>
      <c r="N260" s="87"/>
      <c r="O260" s="87"/>
      <c r="P260" s="87"/>
      <c r="Q260" s="87"/>
      <c r="R260" s="87"/>
      <c r="S260" s="87"/>
      <c r="T260" s="87"/>
      <c r="U260" s="127">
        <v>300</v>
      </c>
      <c r="V260" s="89"/>
      <c r="W260" s="96">
        <v>0</v>
      </c>
      <c r="X260" s="71">
        <f>CU260</f>
        <v>0</v>
      </c>
      <c r="Y260" s="71">
        <f>CY260</f>
        <v>0</v>
      </c>
      <c r="Z260" s="71">
        <f>DA260+DC260+DE260</f>
        <v>0</v>
      </c>
      <c r="AA260" s="71">
        <f>CW260</f>
        <v>0</v>
      </c>
      <c r="AB260" s="71"/>
      <c r="AC260" s="71">
        <v>0</v>
      </c>
      <c r="AD260" s="71">
        <f>W260+X260+Y260+Z260+AA260+AB260+AC260</f>
        <v>0</v>
      </c>
      <c r="AE260" s="72">
        <v>0</v>
      </c>
      <c r="AF260" s="5"/>
      <c r="AG260" s="6"/>
      <c r="AH260" s="27" t="s">
        <v>3390</v>
      </c>
      <c r="AI260" s="44" t="s">
        <v>3391</v>
      </c>
      <c r="AJ260" s="26"/>
      <c r="AK260" s="5" t="s">
        <v>3397</v>
      </c>
      <c r="AL260" s="82" t="s">
        <v>3098</v>
      </c>
      <c r="AM260" s="76"/>
      <c r="AN260" s="76"/>
      <c r="AO260" s="76"/>
      <c r="AP260" s="76"/>
      <c r="AQ260" s="76"/>
      <c r="AR260" s="76"/>
      <c r="AS260" s="76"/>
      <c r="AT260" s="76"/>
      <c r="AU260" s="76"/>
      <c r="AV260" s="76"/>
      <c r="AW260" s="76"/>
      <c r="AX260" s="76">
        <f>+AW260*600000</f>
        <v>0</v>
      </c>
      <c r="AY260" s="76"/>
      <c r="AZ260" s="76">
        <f>+AY260*70000</f>
        <v>0</v>
      </c>
      <c r="BA260" s="76"/>
      <c r="BB260" s="76"/>
      <c r="BC260" s="76"/>
      <c r="BD260" s="76">
        <f>+BC260*30000</f>
        <v>0</v>
      </c>
      <c r="BE260" s="76"/>
      <c r="BF260" s="76"/>
      <c r="BG260" s="76"/>
      <c r="BH260" s="76"/>
      <c r="BI260" s="76"/>
      <c r="BJ260" s="76"/>
      <c r="BK260" s="76"/>
      <c r="BL260" s="76">
        <f>+BK260*31500</f>
        <v>0</v>
      </c>
      <c r="BM260" s="76"/>
      <c r="BN260" s="76"/>
      <c r="BO260" s="76"/>
      <c r="BP260" s="76"/>
      <c r="BQ260" s="76"/>
      <c r="BR260" s="76"/>
      <c r="BS260" s="76"/>
      <c r="BT260" s="76"/>
      <c r="BU260" s="76"/>
      <c r="BV260" s="76"/>
      <c r="BW260" s="76"/>
      <c r="BX260" s="76"/>
      <c r="BY260" s="76"/>
      <c r="BZ260" s="76"/>
      <c r="CA260" s="76"/>
      <c r="CB260" s="76"/>
      <c r="CC260" s="76"/>
      <c r="CD260" s="76"/>
      <c r="CE260" s="76"/>
      <c r="CF260" s="76">
        <f>+CE260*28000</f>
        <v>0</v>
      </c>
      <c r="CG260" s="76"/>
      <c r="CH260" s="76">
        <f>+CG260*22500</f>
        <v>0</v>
      </c>
      <c r="CI260" s="76"/>
      <c r="CJ260" s="76">
        <f>+CI260*26000</f>
        <v>0</v>
      </c>
      <c r="CK260" s="76"/>
      <c r="CL260" s="76"/>
      <c r="CM260" s="76"/>
      <c r="CN260" s="76">
        <f>+CM260*22000</f>
        <v>0</v>
      </c>
      <c r="CO260" s="76"/>
      <c r="CP260" s="76">
        <f>+CO260*46000</f>
        <v>0</v>
      </c>
      <c r="CQ260" s="76"/>
      <c r="CR260" s="76">
        <f>+CQ260*49000</f>
        <v>0</v>
      </c>
      <c r="CS260" s="76"/>
      <c r="CT260" s="76"/>
      <c r="CU260" s="56">
        <f>AN260+AP260+AR260+AT260+AV260+AX260+AZ260+BB260+BD260+BF260+BH260+BJ260+BL260+BN260+BP260+BR260+BT260+BV260+BX260+BZ260+CB260+CD260+CF260+CH260+CJ260+CL260+CN260+CP260+CR260+CT260</f>
        <v>0</v>
      </c>
      <c r="CV260" s="76"/>
      <c r="CW260" s="76">
        <f>+CV260*1100</f>
        <v>0</v>
      </c>
      <c r="CX260" s="76"/>
      <c r="CY260" s="76">
        <f>+CX260*106250</f>
        <v>0</v>
      </c>
      <c r="CZ260" s="76"/>
      <c r="DA260" s="76">
        <f>+CZ260*34500</f>
        <v>0</v>
      </c>
      <c r="DB260" s="76"/>
      <c r="DC260" s="76">
        <f>+DB260*25000</f>
        <v>0</v>
      </c>
      <c r="DD260" s="219"/>
      <c r="DE260" s="219"/>
      <c r="DF260" s="164"/>
      <c r="DG260" s="116"/>
      <c r="DH260" s="117"/>
      <c r="DI260" s="24"/>
      <c r="DJ260" s="24"/>
      <c r="DK260" s="24"/>
      <c r="DL260" s="24"/>
      <c r="DM260" s="24"/>
      <c r="DN260" s="24"/>
      <c r="DO260" s="24"/>
      <c r="DP260" s="24"/>
      <c r="DQ260" s="24"/>
      <c r="DR260" s="24"/>
      <c r="DS260" s="24"/>
      <c r="DT260" s="24"/>
      <c r="DU260" s="24"/>
    </row>
    <row r="261" spans="1:125" s="8" customFormat="1" ht="36" x14ac:dyDescent="0.2">
      <c r="A261" s="77">
        <v>41291</v>
      </c>
      <c r="B261" s="80" t="s">
        <v>2700</v>
      </c>
      <c r="C261" s="81" t="s">
        <v>614</v>
      </c>
      <c r="D261" s="81" t="s">
        <v>2846</v>
      </c>
      <c r="E261" s="75" t="str">
        <f>VLOOKUP(B261&amp;C261,Divipola!$C$2:$F$1138,4,FALSE)</f>
        <v>15542</v>
      </c>
      <c r="F261" s="87"/>
      <c r="G261" s="87"/>
      <c r="H261" s="87"/>
      <c r="I261" s="87"/>
      <c r="J261" s="87"/>
      <c r="K261" s="87"/>
      <c r="L261" s="87"/>
      <c r="M261" s="87"/>
      <c r="N261" s="87"/>
      <c r="O261" s="87"/>
      <c r="P261" s="87"/>
      <c r="Q261" s="87"/>
      <c r="R261" s="87"/>
      <c r="S261" s="87"/>
      <c r="T261" s="87"/>
      <c r="U261" s="127"/>
      <c r="V261" s="89"/>
      <c r="W261" s="96">
        <v>0</v>
      </c>
      <c r="X261" s="71">
        <f>CU261</f>
        <v>0</v>
      </c>
      <c r="Y261" s="71">
        <f>CY261</f>
        <v>0</v>
      </c>
      <c r="Z261" s="71">
        <f>DA261+DC261+DE261</f>
        <v>0</v>
      </c>
      <c r="AA261" s="71">
        <f>CW261</f>
        <v>0</v>
      </c>
      <c r="AB261" s="71"/>
      <c r="AC261" s="71">
        <v>0</v>
      </c>
      <c r="AD261" s="71">
        <f>W261+X261+Y261+Z261+AA261+AB261+AC261</f>
        <v>0</v>
      </c>
      <c r="AE261" s="72">
        <v>0</v>
      </c>
      <c r="AF261" s="5"/>
      <c r="AG261" s="6"/>
      <c r="AH261" s="27" t="s">
        <v>3392</v>
      </c>
      <c r="AI261" s="44" t="s">
        <v>3393</v>
      </c>
      <c r="AJ261" s="26"/>
      <c r="AK261" s="5"/>
      <c r="AL261" s="82" t="s">
        <v>3100</v>
      </c>
      <c r="AM261" s="76"/>
      <c r="AN261" s="76"/>
      <c r="AO261" s="76"/>
      <c r="AP261" s="76"/>
      <c r="AQ261" s="76"/>
      <c r="AR261" s="76"/>
      <c r="AS261" s="76"/>
      <c r="AT261" s="76"/>
      <c r="AU261" s="76"/>
      <c r="AV261" s="76"/>
      <c r="AW261" s="76"/>
      <c r="AX261" s="76">
        <f>+AW261*600000</f>
        <v>0</v>
      </c>
      <c r="AY261" s="76"/>
      <c r="AZ261" s="76">
        <f>+AY261*70000</f>
        <v>0</v>
      </c>
      <c r="BA261" s="76"/>
      <c r="BB261" s="76"/>
      <c r="BC261" s="76"/>
      <c r="BD261" s="76">
        <f>+BC261*30000</f>
        <v>0</v>
      </c>
      <c r="BE261" s="76"/>
      <c r="BF261" s="76"/>
      <c r="BG261" s="76"/>
      <c r="BH261" s="76"/>
      <c r="BI261" s="76"/>
      <c r="BJ261" s="76"/>
      <c r="BK261" s="76"/>
      <c r="BL261" s="76">
        <f>+BK261*31500</f>
        <v>0</v>
      </c>
      <c r="BM261" s="76"/>
      <c r="BN261" s="76"/>
      <c r="BO261" s="76"/>
      <c r="BP261" s="76"/>
      <c r="BQ261" s="76"/>
      <c r="BR261" s="76"/>
      <c r="BS261" s="76"/>
      <c r="BT261" s="76"/>
      <c r="BU261" s="76"/>
      <c r="BV261" s="76"/>
      <c r="BW261" s="76"/>
      <c r="BX261" s="76"/>
      <c r="BY261" s="76"/>
      <c r="BZ261" s="76"/>
      <c r="CA261" s="76"/>
      <c r="CB261" s="76"/>
      <c r="CC261" s="76"/>
      <c r="CD261" s="76"/>
      <c r="CE261" s="76"/>
      <c r="CF261" s="76">
        <f>+CE261*28000</f>
        <v>0</v>
      </c>
      <c r="CG261" s="76"/>
      <c r="CH261" s="76">
        <f>+CG261*22500</f>
        <v>0</v>
      </c>
      <c r="CI261" s="76"/>
      <c r="CJ261" s="76">
        <f>+CI261*26000</f>
        <v>0</v>
      </c>
      <c r="CK261" s="76"/>
      <c r="CL261" s="76"/>
      <c r="CM261" s="76"/>
      <c r="CN261" s="76">
        <f>+CM261*22000</f>
        <v>0</v>
      </c>
      <c r="CO261" s="76"/>
      <c r="CP261" s="76">
        <f>+CO261*46000</f>
        <v>0</v>
      </c>
      <c r="CQ261" s="76"/>
      <c r="CR261" s="76">
        <f>+CQ261*49000</f>
        <v>0</v>
      </c>
      <c r="CS261" s="76"/>
      <c r="CT261" s="76"/>
      <c r="CU261" s="56">
        <f>AN261+AP261+AR261+AT261+AV261+AX261+AZ261+BB261+BD261+BF261+BH261+BJ261+BL261+BN261+BP261+BR261+BT261+BV261+BX261+BZ261+CB261+CD261+CF261+CH261+CJ261+CL261+CN261+CP261+CR261+CT261</f>
        <v>0</v>
      </c>
      <c r="CV261" s="76"/>
      <c r="CW261" s="76">
        <f>+CV261*1100</f>
        <v>0</v>
      </c>
      <c r="CX261" s="76"/>
      <c r="CY261" s="76">
        <f>+CX261*106250</f>
        <v>0</v>
      </c>
      <c r="CZ261" s="76"/>
      <c r="DA261" s="76">
        <f>+CZ261*34500</f>
        <v>0</v>
      </c>
      <c r="DB261" s="76"/>
      <c r="DC261" s="76">
        <f>+DB261*25000</f>
        <v>0</v>
      </c>
      <c r="DD261" s="219"/>
      <c r="DE261" s="219"/>
      <c r="DF261" s="164"/>
      <c r="DG261" s="116"/>
      <c r="DH261" s="117"/>
      <c r="DI261" s="24"/>
      <c r="DJ261" s="24"/>
      <c r="DK261" s="24"/>
      <c r="DL261" s="24"/>
      <c r="DM261" s="24"/>
      <c r="DN261" s="24"/>
      <c r="DO261" s="24"/>
      <c r="DP261" s="24"/>
      <c r="DQ261" s="24"/>
      <c r="DR261" s="24"/>
      <c r="DS261" s="24"/>
      <c r="DT261" s="24"/>
      <c r="DU261" s="24"/>
    </row>
    <row r="262" spans="1:125" s="8" customFormat="1" ht="48" x14ac:dyDescent="0.2">
      <c r="A262" s="77">
        <v>41291</v>
      </c>
      <c r="B262" s="80" t="s">
        <v>2700</v>
      </c>
      <c r="C262" s="81" t="s">
        <v>663</v>
      </c>
      <c r="D262" s="81" t="s">
        <v>2846</v>
      </c>
      <c r="E262" s="75" t="str">
        <f>VLOOKUP(B262&amp;C262,Divipola!$C$2:$F$1138,4,FALSE)</f>
        <v>15753</v>
      </c>
      <c r="F262" s="87"/>
      <c r="G262" s="87"/>
      <c r="H262" s="87"/>
      <c r="I262" s="87"/>
      <c r="J262" s="87"/>
      <c r="K262" s="87"/>
      <c r="L262" s="87"/>
      <c r="M262" s="87"/>
      <c r="N262" s="87"/>
      <c r="O262" s="87"/>
      <c r="P262" s="87"/>
      <c r="Q262" s="87"/>
      <c r="R262" s="87"/>
      <c r="S262" s="87"/>
      <c r="T262" s="87"/>
      <c r="U262" s="127">
        <v>40</v>
      </c>
      <c r="V262" s="89"/>
      <c r="W262" s="96">
        <v>0</v>
      </c>
      <c r="X262" s="71">
        <f>CU262</f>
        <v>0</v>
      </c>
      <c r="Y262" s="71">
        <f>CY262</f>
        <v>0</v>
      </c>
      <c r="Z262" s="71">
        <f>DA262+DC262+DE262</f>
        <v>0</v>
      </c>
      <c r="AA262" s="71">
        <f>CW262</f>
        <v>0</v>
      </c>
      <c r="AB262" s="71"/>
      <c r="AC262" s="71">
        <v>0</v>
      </c>
      <c r="AD262" s="71">
        <f>W262+X262+Y262+Z262+AA262+AB262+AC262</f>
        <v>0</v>
      </c>
      <c r="AE262" s="72">
        <v>0</v>
      </c>
      <c r="AF262" s="5"/>
      <c r="AG262" s="6"/>
      <c r="AH262" s="27" t="s">
        <v>3392</v>
      </c>
      <c r="AI262" s="44" t="s">
        <v>3393</v>
      </c>
      <c r="AJ262" s="26"/>
      <c r="AK262" s="5"/>
      <c r="AL262" s="82" t="s">
        <v>3099</v>
      </c>
      <c r="AM262" s="76"/>
      <c r="AN262" s="76"/>
      <c r="AO262" s="76"/>
      <c r="AP262" s="76"/>
      <c r="AQ262" s="76"/>
      <c r="AR262" s="76"/>
      <c r="AS262" s="76"/>
      <c r="AT262" s="76"/>
      <c r="AU262" s="76"/>
      <c r="AV262" s="76"/>
      <c r="AW262" s="76"/>
      <c r="AX262" s="76">
        <f>+AW262*600000</f>
        <v>0</v>
      </c>
      <c r="AY262" s="76"/>
      <c r="AZ262" s="76">
        <f>+AY262*70000</f>
        <v>0</v>
      </c>
      <c r="BA262" s="76"/>
      <c r="BB262" s="76"/>
      <c r="BC262" s="76"/>
      <c r="BD262" s="76">
        <f>+BC262*30000</f>
        <v>0</v>
      </c>
      <c r="BE262" s="76"/>
      <c r="BF262" s="76"/>
      <c r="BG262" s="76"/>
      <c r="BH262" s="76"/>
      <c r="BI262" s="76"/>
      <c r="BJ262" s="76"/>
      <c r="BK262" s="76"/>
      <c r="BL262" s="76">
        <f>+BK262*31500</f>
        <v>0</v>
      </c>
      <c r="BM262" s="76"/>
      <c r="BN262" s="76"/>
      <c r="BO262" s="76"/>
      <c r="BP262" s="76"/>
      <c r="BQ262" s="76"/>
      <c r="BR262" s="76"/>
      <c r="BS262" s="76"/>
      <c r="BT262" s="76"/>
      <c r="BU262" s="76"/>
      <c r="BV262" s="76"/>
      <c r="BW262" s="76"/>
      <c r="BX262" s="76"/>
      <c r="BY262" s="76"/>
      <c r="BZ262" s="76"/>
      <c r="CA262" s="76"/>
      <c r="CB262" s="76"/>
      <c r="CC262" s="76"/>
      <c r="CD262" s="76"/>
      <c r="CE262" s="76"/>
      <c r="CF262" s="76">
        <f>+CE262*28000</f>
        <v>0</v>
      </c>
      <c r="CG262" s="76"/>
      <c r="CH262" s="76">
        <f>+CG262*22500</f>
        <v>0</v>
      </c>
      <c r="CI262" s="76"/>
      <c r="CJ262" s="76">
        <f>+CI262*26000</f>
        <v>0</v>
      </c>
      <c r="CK262" s="76"/>
      <c r="CL262" s="76"/>
      <c r="CM262" s="76"/>
      <c r="CN262" s="76">
        <f>+CM262*22000</f>
        <v>0</v>
      </c>
      <c r="CO262" s="76"/>
      <c r="CP262" s="76">
        <f>+CO262*46000</f>
        <v>0</v>
      </c>
      <c r="CQ262" s="76"/>
      <c r="CR262" s="76">
        <f>+CQ262*49000</f>
        <v>0</v>
      </c>
      <c r="CS262" s="76"/>
      <c r="CT262" s="76"/>
      <c r="CU262" s="56">
        <f>AN262+AP262+AR262+AT262+AV262+AX262+AZ262+BB262+BD262+BF262+BH262+BJ262+BL262+BN262+BP262+BR262+BT262+BV262+BX262+BZ262+CB262+CD262+CF262+CH262+CJ262+CL262+CN262+CP262+CR262+CT262</f>
        <v>0</v>
      </c>
      <c r="CV262" s="76"/>
      <c r="CW262" s="76">
        <f>+CV262*1100</f>
        <v>0</v>
      </c>
      <c r="CX262" s="76"/>
      <c r="CY262" s="76">
        <f>+CX262*106250</f>
        <v>0</v>
      </c>
      <c r="CZ262" s="76"/>
      <c r="DA262" s="76">
        <f>+CZ262*34500</f>
        <v>0</v>
      </c>
      <c r="DB262" s="76"/>
      <c r="DC262" s="76">
        <f>+DB262*25000</f>
        <v>0</v>
      </c>
      <c r="DD262" s="219"/>
      <c r="DE262" s="219"/>
      <c r="DF262" s="164"/>
      <c r="DG262" s="116"/>
      <c r="DH262" s="117"/>
      <c r="DI262" s="24"/>
      <c r="DJ262" s="24"/>
      <c r="DK262" s="24"/>
      <c r="DL262" s="24"/>
      <c r="DM262" s="24"/>
      <c r="DN262" s="24"/>
      <c r="DO262" s="24"/>
      <c r="DP262" s="24"/>
      <c r="DQ262" s="24"/>
      <c r="DR262" s="24"/>
      <c r="DS262" s="24"/>
      <c r="DT262" s="24"/>
      <c r="DU262" s="24"/>
    </row>
    <row r="263" spans="1:125" s="8" customFormat="1" ht="60" x14ac:dyDescent="0.2">
      <c r="A263" s="77">
        <v>41291</v>
      </c>
      <c r="B263" s="80" t="s">
        <v>2700</v>
      </c>
      <c r="C263" s="81" t="s">
        <v>2671</v>
      </c>
      <c r="D263" s="81" t="s">
        <v>2846</v>
      </c>
      <c r="E263" s="75" t="str">
        <f>VLOOKUP(B263&amp;C263,Divipola!$C$2:$F$1138,4,FALSE)</f>
        <v>15001</v>
      </c>
      <c r="F263" s="87"/>
      <c r="G263" s="87"/>
      <c r="H263" s="87"/>
      <c r="I263" s="87"/>
      <c r="J263" s="87"/>
      <c r="K263" s="87"/>
      <c r="L263" s="87"/>
      <c r="M263" s="87"/>
      <c r="N263" s="87"/>
      <c r="O263" s="87"/>
      <c r="P263" s="87"/>
      <c r="Q263" s="87"/>
      <c r="R263" s="87"/>
      <c r="S263" s="87"/>
      <c r="T263" s="87"/>
      <c r="U263" s="127">
        <v>0.7</v>
      </c>
      <c r="V263" s="89"/>
      <c r="W263" s="96">
        <v>0</v>
      </c>
      <c r="X263" s="71">
        <f>CU263</f>
        <v>0</v>
      </c>
      <c r="Y263" s="71">
        <f>CY263</f>
        <v>0</v>
      </c>
      <c r="Z263" s="71">
        <f>DA263+DC263+DE263</f>
        <v>0</v>
      </c>
      <c r="AA263" s="71">
        <f>CW263</f>
        <v>0</v>
      </c>
      <c r="AB263" s="71"/>
      <c r="AC263" s="71">
        <v>0</v>
      </c>
      <c r="AD263" s="71">
        <f>W263+X263+Y263+Z263+AA263+AB263+AC263</f>
        <v>0</v>
      </c>
      <c r="AE263" s="72">
        <v>0</v>
      </c>
      <c r="AF263" s="5"/>
      <c r="AG263" s="6"/>
      <c r="AH263" s="27" t="s">
        <v>3392</v>
      </c>
      <c r="AI263" s="44" t="s">
        <v>3393</v>
      </c>
      <c r="AJ263" s="26"/>
      <c r="AK263" s="5"/>
      <c r="AL263" s="82" t="s">
        <v>3101</v>
      </c>
      <c r="AM263" s="76"/>
      <c r="AN263" s="76"/>
      <c r="AO263" s="76"/>
      <c r="AP263" s="76"/>
      <c r="AQ263" s="76"/>
      <c r="AR263" s="76"/>
      <c r="AS263" s="76"/>
      <c r="AT263" s="76"/>
      <c r="AU263" s="76"/>
      <c r="AV263" s="76"/>
      <c r="AW263" s="76"/>
      <c r="AX263" s="76">
        <f>+AW263*600000</f>
        <v>0</v>
      </c>
      <c r="AY263" s="76"/>
      <c r="AZ263" s="76">
        <f>+AY263*70000</f>
        <v>0</v>
      </c>
      <c r="BA263" s="76"/>
      <c r="BB263" s="76"/>
      <c r="BC263" s="76"/>
      <c r="BD263" s="76">
        <f>+BC263*30000</f>
        <v>0</v>
      </c>
      <c r="BE263" s="76"/>
      <c r="BF263" s="76"/>
      <c r="BG263" s="76"/>
      <c r="BH263" s="76"/>
      <c r="BI263" s="76"/>
      <c r="BJ263" s="76"/>
      <c r="BK263" s="76"/>
      <c r="BL263" s="76">
        <f>+BK263*31500</f>
        <v>0</v>
      </c>
      <c r="BM263" s="76"/>
      <c r="BN263" s="76"/>
      <c r="BO263" s="76"/>
      <c r="BP263" s="76"/>
      <c r="BQ263" s="76"/>
      <c r="BR263" s="76"/>
      <c r="BS263" s="76"/>
      <c r="BT263" s="76"/>
      <c r="BU263" s="76"/>
      <c r="BV263" s="76"/>
      <c r="BW263" s="76"/>
      <c r="BX263" s="76"/>
      <c r="BY263" s="76"/>
      <c r="BZ263" s="76"/>
      <c r="CA263" s="76"/>
      <c r="CB263" s="76"/>
      <c r="CC263" s="76"/>
      <c r="CD263" s="76"/>
      <c r="CE263" s="76"/>
      <c r="CF263" s="76">
        <f>+CE263*28000</f>
        <v>0</v>
      </c>
      <c r="CG263" s="76"/>
      <c r="CH263" s="76">
        <f>+CG263*22500</f>
        <v>0</v>
      </c>
      <c r="CI263" s="76"/>
      <c r="CJ263" s="76">
        <f>+CI263*26000</f>
        <v>0</v>
      </c>
      <c r="CK263" s="76"/>
      <c r="CL263" s="76"/>
      <c r="CM263" s="76"/>
      <c r="CN263" s="76">
        <f>+CM263*22000</f>
        <v>0</v>
      </c>
      <c r="CO263" s="76"/>
      <c r="CP263" s="76">
        <f>+CO263*46000</f>
        <v>0</v>
      </c>
      <c r="CQ263" s="76"/>
      <c r="CR263" s="76">
        <f>+CQ263*49000</f>
        <v>0</v>
      </c>
      <c r="CS263" s="76"/>
      <c r="CT263" s="76"/>
      <c r="CU263" s="56">
        <f>AN263+AP263+AR263+AT263+AV263+AX263+AZ263+BB263+BD263+BF263+BH263+BJ263+BL263+BN263+BP263+BR263+BT263+BV263+BX263+BZ263+CB263+CD263+CF263+CH263+CJ263+CL263+CN263+CP263+CR263+CT263</f>
        <v>0</v>
      </c>
      <c r="CV263" s="76"/>
      <c r="CW263" s="76">
        <f>+CV263*1100</f>
        <v>0</v>
      </c>
      <c r="CX263" s="76"/>
      <c r="CY263" s="76">
        <f>+CX263*106250</f>
        <v>0</v>
      </c>
      <c r="CZ263" s="76"/>
      <c r="DA263" s="76">
        <f>+CZ263*34500</f>
        <v>0</v>
      </c>
      <c r="DB263" s="76"/>
      <c r="DC263" s="76">
        <f>+DB263*25000</f>
        <v>0</v>
      </c>
      <c r="DD263" s="219"/>
      <c r="DE263" s="219"/>
      <c r="DF263" s="164"/>
      <c r="DG263" s="116"/>
      <c r="DH263" s="117"/>
      <c r="DI263" s="24"/>
      <c r="DJ263" s="24"/>
      <c r="DK263" s="24"/>
      <c r="DL263" s="24"/>
      <c r="DM263" s="24"/>
      <c r="DN263" s="24"/>
      <c r="DO263" s="24"/>
      <c r="DP263" s="24"/>
      <c r="DQ263" s="24"/>
      <c r="DR263" s="24"/>
      <c r="DS263" s="24"/>
      <c r="DT263" s="24"/>
      <c r="DU263" s="24"/>
    </row>
    <row r="264" spans="1:125" s="8" customFormat="1" ht="72" x14ac:dyDescent="0.2">
      <c r="A264" s="77">
        <v>41291</v>
      </c>
      <c r="B264" s="78" t="s">
        <v>2778</v>
      </c>
      <c r="C264" s="75" t="s">
        <v>1343</v>
      </c>
      <c r="D264" s="81" t="s">
        <v>2846</v>
      </c>
      <c r="E264" s="75" t="str">
        <f>VLOOKUP(B264&amp;C264,Divipola!$C$2:$F$1138,4,FALSE)</f>
        <v>85139</v>
      </c>
      <c r="F264" s="87"/>
      <c r="G264" s="87"/>
      <c r="H264" s="87"/>
      <c r="I264" s="87"/>
      <c r="J264" s="87"/>
      <c r="K264" s="87"/>
      <c r="L264" s="87"/>
      <c r="M264" s="87"/>
      <c r="N264" s="87"/>
      <c r="O264" s="87"/>
      <c r="P264" s="87"/>
      <c r="Q264" s="87"/>
      <c r="R264" s="87"/>
      <c r="S264" s="87"/>
      <c r="T264" s="87"/>
      <c r="U264" s="127">
        <v>20</v>
      </c>
      <c r="V264" s="89"/>
      <c r="W264" s="96">
        <v>0</v>
      </c>
      <c r="X264" s="71">
        <f>CU264</f>
        <v>0</v>
      </c>
      <c r="Y264" s="71">
        <f>CY264</f>
        <v>0</v>
      </c>
      <c r="Z264" s="71">
        <f>DA264+DC264+DE264</f>
        <v>0</v>
      </c>
      <c r="AA264" s="71">
        <f>CW264</f>
        <v>0</v>
      </c>
      <c r="AB264" s="71"/>
      <c r="AC264" s="71">
        <v>0</v>
      </c>
      <c r="AD264" s="71">
        <f>W264+X264+Y264+Z264+AA264+AB264+AC264</f>
        <v>0</v>
      </c>
      <c r="AE264" s="72">
        <v>0</v>
      </c>
      <c r="AF264" s="5"/>
      <c r="AG264" s="6"/>
      <c r="AH264" s="27" t="s">
        <v>3392</v>
      </c>
      <c r="AI264" s="44" t="s">
        <v>3393</v>
      </c>
      <c r="AJ264" s="26"/>
      <c r="AK264" s="5"/>
      <c r="AL264" s="82" t="s">
        <v>3112</v>
      </c>
      <c r="AM264" s="76"/>
      <c r="AN264" s="76"/>
      <c r="AO264" s="76"/>
      <c r="AP264" s="76"/>
      <c r="AQ264" s="76"/>
      <c r="AR264" s="76"/>
      <c r="AS264" s="76"/>
      <c r="AT264" s="76"/>
      <c r="AU264" s="76"/>
      <c r="AV264" s="76"/>
      <c r="AW264" s="76"/>
      <c r="AX264" s="76">
        <f>+AW264*600000</f>
        <v>0</v>
      </c>
      <c r="AY264" s="76"/>
      <c r="AZ264" s="76">
        <f>+AY264*70000</f>
        <v>0</v>
      </c>
      <c r="BA264" s="76"/>
      <c r="BB264" s="76"/>
      <c r="BC264" s="76"/>
      <c r="BD264" s="76">
        <f>+BC264*30000</f>
        <v>0</v>
      </c>
      <c r="BE264" s="76"/>
      <c r="BF264" s="76"/>
      <c r="BG264" s="76"/>
      <c r="BH264" s="76"/>
      <c r="BI264" s="76"/>
      <c r="BJ264" s="76"/>
      <c r="BK264" s="76"/>
      <c r="BL264" s="76">
        <f>+BK264*31500</f>
        <v>0</v>
      </c>
      <c r="BM264" s="76"/>
      <c r="BN264" s="76"/>
      <c r="BO264" s="76"/>
      <c r="BP264" s="76"/>
      <c r="BQ264" s="76"/>
      <c r="BR264" s="76"/>
      <c r="BS264" s="76"/>
      <c r="BT264" s="76"/>
      <c r="BU264" s="76"/>
      <c r="BV264" s="76"/>
      <c r="BW264" s="76"/>
      <c r="BX264" s="76"/>
      <c r="BY264" s="76"/>
      <c r="BZ264" s="76"/>
      <c r="CA264" s="76"/>
      <c r="CB264" s="76"/>
      <c r="CC264" s="76"/>
      <c r="CD264" s="76"/>
      <c r="CE264" s="76"/>
      <c r="CF264" s="76">
        <f>+CE264*28000</f>
        <v>0</v>
      </c>
      <c r="CG264" s="76"/>
      <c r="CH264" s="76">
        <f>+CG264*22500</f>
        <v>0</v>
      </c>
      <c r="CI264" s="76"/>
      <c r="CJ264" s="76">
        <f>+CI264*26000</f>
        <v>0</v>
      </c>
      <c r="CK264" s="76"/>
      <c r="CL264" s="76"/>
      <c r="CM264" s="76"/>
      <c r="CN264" s="76">
        <f>+CM264*22000</f>
        <v>0</v>
      </c>
      <c r="CO264" s="76"/>
      <c r="CP264" s="76">
        <f>+CO264*46000</f>
        <v>0</v>
      </c>
      <c r="CQ264" s="76"/>
      <c r="CR264" s="76">
        <f>+CQ264*49000</f>
        <v>0</v>
      </c>
      <c r="CS264" s="76"/>
      <c r="CT264" s="76"/>
      <c r="CU264" s="56">
        <f>AN264+AP264+AR264+AT264+AV264+AX264+AZ264+BB264+BD264+BF264+BH264+BJ264+BL264+BN264+BP264+BR264+BT264+BV264+BX264+BZ264+CB264+CD264+CF264+CH264+CJ264+CL264+CN264+CP264+CR264+CT264</f>
        <v>0</v>
      </c>
      <c r="CV264" s="76"/>
      <c r="CW264" s="76">
        <f>+CV264*1100</f>
        <v>0</v>
      </c>
      <c r="CX264" s="76"/>
      <c r="CY264" s="76">
        <f>+CX264*106250</f>
        <v>0</v>
      </c>
      <c r="CZ264" s="76"/>
      <c r="DA264" s="76">
        <f>+CZ264*34500</f>
        <v>0</v>
      </c>
      <c r="DB264" s="76"/>
      <c r="DC264" s="76">
        <f>+DB264*25000</f>
        <v>0</v>
      </c>
      <c r="DD264" s="219"/>
      <c r="DE264" s="219"/>
      <c r="DF264" s="164"/>
      <c r="DG264" s="116"/>
      <c r="DH264" s="117"/>
      <c r="DI264" s="24"/>
      <c r="DJ264" s="24"/>
      <c r="DK264" s="24"/>
      <c r="DL264" s="24"/>
      <c r="DM264" s="24"/>
      <c r="DN264" s="24"/>
      <c r="DO264" s="24"/>
      <c r="DP264" s="24"/>
      <c r="DQ264" s="24"/>
      <c r="DR264" s="24"/>
      <c r="DS264" s="24"/>
      <c r="DT264" s="24"/>
      <c r="DU264" s="24"/>
    </row>
    <row r="265" spans="1:125" s="8" customFormat="1" ht="72" x14ac:dyDescent="0.2">
      <c r="A265" s="77">
        <v>41291</v>
      </c>
      <c r="B265" s="78" t="s">
        <v>2778</v>
      </c>
      <c r="C265" s="75" t="s">
        <v>2001</v>
      </c>
      <c r="D265" s="81" t="s">
        <v>2846</v>
      </c>
      <c r="E265" s="75" t="str">
        <f>VLOOKUP(B265&amp;C265,Divipola!$C$2:$F$1138,4,FALSE)</f>
        <v>85162</v>
      </c>
      <c r="F265" s="87"/>
      <c r="G265" s="87"/>
      <c r="H265" s="87"/>
      <c r="I265" s="87"/>
      <c r="J265" s="87"/>
      <c r="K265" s="87"/>
      <c r="L265" s="87"/>
      <c r="M265" s="87"/>
      <c r="N265" s="87"/>
      <c r="O265" s="87"/>
      <c r="P265" s="87"/>
      <c r="Q265" s="87"/>
      <c r="R265" s="87"/>
      <c r="S265" s="87"/>
      <c r="T265" s="87"/>
      <c r="U265" s="127">
        <v>15</v>
      </c>
      <c r="V265" s="89"/>
      <c r="W265" s="96">
        <v>0</v>
      </c>
      <c r="X265" s="71">
        <f>CU265</f>
        <v>0</v>
      </c>
      <c r="Y265" s="71">
        <f>CY265</f>
        <v>0</v>
      </c>
      <c r="Z265" s="71">
        <f>DA265+DC265+DE265</f>
        <v>0</v>
      </c>
      <c r="AA265" s="71">
        <f>CW265</f>
        <v>0</v>
      </c>
      <c r="AB265" s="71"/>
      <c r="AC265" s="71">
        <v>0</v>
      </c>
      <c r="AD265" s="71">
        <f>W265+X265+Y265+Z265+AA265+AB265+AC265</f>
        <v>0</v>
      </c>
      <c r="AE265" s="72">
        <v>0</v>
      </c>
      <c r="AF265" s="5"/>
      <c r="AG265" s="6"/>
      <c r="AH265" s="27" t="s">
        <v>3392</v>
      </c>
      <c r="AI265" s="44" t="s">
        <v>3393</v>
      </c>
      <c r="AJ265" s="26"/>
      <c r="AK265" s="5"/>
      <c r="AL265" s="82" t="s">
        <v>3115</v>
      </c>
      <c r="AM265" s="76"/>
      <c r="AN265" s="76"/>
      <c r="AO265" s="76"/>
      <c r="AP265" s="76"/>
      <c r="AQ265" s="76"/>
      <c r="AR265" s="76"/>
      <c r="AS265" s="76"/>
      <c r="AT265" s="76"/>
      <c r="AU265" s="76"/>
      <c r="AV265" s="76"/>
      <c r="AW265" s="76"/>
      <c r="AX265" s="76">
        <f>+AW265*600000</f>
        <v>0</v>
      </c>
      <c r="AY265" s="76"/>
      <c r="AZ265" s="76">
        <f>+AY265*70000</f>
        <v>0</v>
      </c>
      <c r="BA265" s="76"/>
      <c r="BB265" s="76"/>
      <c r="BC265" s="76"/>
      <c r="BD265" s="76">
        <f>+BC265*30000</f>
        <v>0</v>
      </c>
      <c r="BE265" s="76"/>
      <c r="BF265" s="76"/>
      <c r="BG265" s="76"/>
      <c r="BH265" s="76"/>
      <c r="BI265" s="76"/>
      <c r="BJ265" s="76"/>
      <c r="BK265" s="76"/>
      <c r="BL265" s="76">
        <f>+BK265*31500</f>
        <v>0</v>
      </c>
      <c r="BM265" s="76"/>
      <c r="BN265" s="76"/>
      <c r="BO265" s="76"/>
      <c r="BP265" s="76"/>
      <c r="BQ265" s="76"/>
      <c r="BR265" s="76"/>
      <c r="BS265" s="76"/>
      <c r="BT265" s="76"/>
      <c r="BU265" s="76"/>
      <c r="BV265" s="76"/>
      <c r="BW265" s="76"/>
      <c r="BX265" s="76"/>
      <c r="BY265" s="76"/>
      <c r="BZ265" s="76"/>
      <c r="CA265" s="76"/>
      <c r="CB265" s="76"/>
      <c r="CC265" s="76"/>
      <c r="CD265" s="76"/>
      <c r="CE265" s="76"/>
      <c r="CF265" s="76">
        <f>+CE265*28000</f>
        <v>0</v>
      </c>
      <c r="CG265" s="76"/>
      <c r="CH265" s="76">
        <f>+CG265*22500</f>
        <v>0</v>
      </c>
      <c r="CI265" s="76"/>
      <c r="CJ265" s="76">
        <f>+CI265*26000</f>
        <v>0</v>
      </c>
      <c r="CK265" s="76"/>
      <c r="CL265" s="76"/>
      <c r="CM265" s="76"/>
      <c r="CN265" s="76">
        <f>+CM265*22000</f>
        <v>0</v>
      </c>
      <c r="CO265" s="76"/>
      <c r="CP265" s="76">
        <f>+CO265*46000</f>
        <v>0</v>
      </c>
      <c r="CQ265" s="76"/>
      <c r="CR265" s="76">
        <f>+CQ265*49000</f>
        <v>0</v>
      </c>
      <c r="CS265" s="76"/>
      <c r="CT265" s="76"/>
      <c r="CU265" s="56">
        <f>AN265+AP265+AR265+AT265+AV265+AX265+AZ265+BB265+BD265+BF265+BH265+BJ265+BL265+BN265+BP265+BR265+BT265+BV265+BX265+BZ265+CB265+CD265+CF265+CH265+CJ265+CL265+CN265+CP265+CR265+CT265</f>
        <v>0</v>
      </c>
      <c r="CV265" s="76"/>
      <c r="CW265" s="76">
        <f>+CV265*1100</f>
        <v>0</v>
      </c>
      <c r="CX265" s="76"/>
      <c r="CY265" s="76">
        <f>+CX265*106250</f>
        <v>0</v>
      </c>
      <c r="CZ265" s="76"/>
      <c r="DA265" s="76">
        <f>+CZ265*34500</f>
        <v>0</v>
      </c>
      <c r="DB265" s="76"/>
      <c r="DC265" s="76">
        <f>+DB265*25000</f>
        <v>0</v>
      </c>
      <c r="DD265" s="219"/>
      <c r="DE265" s="219"/>
      <c r="DF265" s="164"/>
      <c r="DG265" s="116"/>
      <c r="DH265" s="117"/>
      <c r="DI265" s="24"/>
      <c r="DJ265" s="24"/>
      <c r="DK265" s="24"/>
      <c r="DL265" s="24"/>
      <c r="DM265" s="24"/>
      <c r="DN265" s="24"/>
      <c r="DO265" s="24"/>
      <c r="DP265" s="24"/>
      <c r="DQ265" s="24"/>
      <c r="DR265" s="24"/>
      <c r="DS265" s="24"/>
      <c r="DT265" s="24"/>
      <c r="DU265" s="24"/>
    </row>
    <row r="266" spans="1:125" s="8" customFormat="1" ht="72" x14ac:dyDescent="0.2">
      <c r="A266" s="77">
        <v>41291</v>
      </c>
      <c r="B266" s="78" t="s">
        <v>2778</v>
      </c>
      <c r="C266" s="75" t="s">
        <v>2129</v>
      </c>
      <c r="D266" s="81" t="s">
        <v>2846</v>
      </c>
      <c r="E266" s="75" t="str">
        <f>VLOOKUP(B266&amp;C266,Divipola!$C$2:$F$1138,4,FALSE)</f>
        <v>85225</v>
      </c>
      <c r="F266" s="87"/>
      <c r="G266" s="87"/>
      <c r="H266" s="87"/>
      <c r="I266" s="87"/>
      <c r="J266" s="87"/>
      <c r="K266" s="87"/>
      <c r="L266" s="87"/>
      <c r="M266" s="87"/>
      <c r="N266" s="87"/>
      <c r="O266" s="87"/>
      <c r="P266" s="87"/>
      <c r="Q266" s="87"/>
      <c r="R266" s="87"/>
      <c r="S266" s="87"/>
      <c r="T266" s="87"/>
      <c r="U266" s="127">
        <v>10</v>
      </c>
      <c r="V266" s="89"/>
      <c r="W266" s="96">
        <v>0</v>
      </c>
      <c r="X266" s="71">
        <f>CU266</f>
        <v>0</v>
      </c>
      <c r="Y266" s="71">
        <f>CY266</f>
        <v>0</v>
      </c>
      <c r="Z266" s="71">
        <f>DA266+DC266+DE266</f>
        <v>0</v>
      </c>
      <c r="AA266" s="71">
        <f>CW266</f>
        <v>0</v>
      </c>
      <c r="AB266" s="71"/>
      <c r="AC266" s="71">
        <v>0</v>
      </c>
      <c r="AD266" s="71">
        <f>W266+X266+Y266+Z266+AA266+AB266+AC266</f>
        <v>0</v>
      </c>
      <c r="AE266" s="72">
        <v>0</v>
      </c>
      <c r="AF266" s="5"/>
      <c r="AG266" s="6"/>
      <c r="AH266" s="27" t="s">
        <v>3392</v>
      </c>
      <c r="AI266" s="44" t="s">
        <v>3393</v>
      </c>
      <c r="AJ266" s="26"/>
      <c r="AK266" s="5"/>
      <c r="AL266" s="82" t="s">
        <v>3116</v>
      </c>
      <c r="AM266" s="76"/>
      <c r="AN266" s="76"/>
      <c r="AO266" s="76"/>
      <c r="AP266" s="76"/>
      <c r="AQ266" s="76"/>
      <c r="AR266" s="76"/>
      <c r="AS266" s="76"/>
      <c r="AT266" s="76"/>
      <c r="AU266" s="76"/>
      <c r="AV266" s="76"/>
      <c r="AW266" s="76"/>
      <c r="AX266" s="76">
        <f>+AW266*600000</f>
        <v>0</v>
      </c>
      <c r="AY266" s="76"/>
      <c r="AZ266" s="76">
        <f>+AY266*70000</f>
        <v>0</v>
      </c>
      <c r="BA266" s="76"/>
      <c r="BB266" s="76"/>
      <c r="BC266" s="76"/>
      <c r="BD266" s="76">
        <f>+BC266*30000</f>
        <v>0</v>
      </c>
      <c r="BE266" s="76"/>
      <c r="BF266" s="76"/>
      <c r="BG266" s="76"/>
      <c r="BH266" s="76"/>
      <c r="BI266" s="76"/>
      <c r="BJ266" s="76"/>
      <c r="BK266" s="76"/>
      <c r="BL266" s="76">
        <f>+BK266*31500</f>
        <v>0</v>
      </c>
      <c r="BM266" s="76"/>
      <c r="BN266" s="76"/>
      <c r="BO266" s="76"/>
      <c r="BP266" s="76"/>
      <c r="BQ266" s="76"/>
      <c r="BR266" s="76"/>
      <c r="BS266" s="76"/>
      <c r="BT266" s="76"/>
      <c r="BU266" s="76"/>
      <c r="BV266" s="76"/>
      <c r="BW266" s="76"/>
      <c r="BX266" s="76"/>
      <c r="BY266" s="76"/>
      <c r="BZ266" s="76"/>
      <c r="CA266" s="76"/>
      <c r="CB266" s="76"/>
      <c r="CC266" s="76"/>
      <c r="CD266" s="76"/>
      <c r="CE266" s="76"/>
      <c r="CF266" s="76">
        <f>+CE266*28000</f>
        <v>0</v>
      </c>
      <c r="CG266" s="76"/>
      <c r="CH266" s="76">
        <f>+CG266*22500</f>
        <v>0</v>
      </c>
      <c r="CI266" s="76"/>
      <c r="CJ266" s="76">
        <f>+CI266*26000</f>
        <v>0</v>
      </c>
      <c r="CK266" s="76"/>
      <c r="CL266" s="76"/>
      <c r="CM266" s="76"/>
      <c r="CN266" s="76">
        <f>+CM266*22000</f>
        <v>0</v>
      </c>
      <c r="CO266" s="76"/>
      <c r="CP266" s="76">
        <f>+CO266*46000</f>
        <v>0</v>
      </c>
      <c r="CQ266" s="76"/>
      <c r="CR266" s="76">
        <f>+CQ266*49000</f>
        <v>0</v>
      </c>
      <c r="CS266" s="76"/>
      <c r="CT266" s="76"/>
      <c r="CU266" s="56">
        <f>AN266+AP266+AR266+AT266+AV266+AX266+AZ266+BB266+BD266+BF266+BH266+BJ266+BL266+BN266+BP266+BR266+BT266+BV266+BX266+BZ266+CB266+CD266+CF266+CH266+CJ266+CL266+CN266+CP266+CR266+CT266</f>
        <v>0</v>
      </c>
      <c r="CV266" s="76"/>
      <c r="CW266" s="76">
        <f>+CV266*1100</f>
        <v>0</v>
      </c>
      <c r="CX266" s="76"/>
      <c r="CY266" s="76">
        <f>+CX266*106250</f>
        <v>0</v>
      </c>
      <c r="CZ266" s="76"/>
      <c r="DA266" s="76">
        <f>+CZ266*34500</f>
        <v>0</v>
      </c>
      <c r="DB266" s="76"/>
      <c r="DC266" s="76">
        <f>+DB266*25000</f>
        <v>0</v>
      </c>
      <c r="DD266" s="219"/>
      <c r="DE266" s="219"/>
      <c r="DF266" s="164"/>
      <c r="DG266" s="116"/>
      <c r="DH266" s="117"/>
      <c r="DI266" s="24"/>
      <c r="DJ266" s="24"/>
      <c r="DK266" s="24"/>
      <c r="DL266" s="24"/>
      <c r="DM266" s="24"/>
      <c r="DN266" s="24"/>
      <c r="DO266" s="24"/>
      <c r="DP266" s="24"/>
      <c r="DQ266" s="24"/>
      <c r="DR266" s="24"/>
      <c r="DS266" s="24"/>
      <c r="DT266" s="24"/>
      <c r="DU266" s="24"/>
    </row>
    <row r="267" spans="1:125" s="8" customFormat="1" ht="72" x14ac:dyDescent="0.2">
      <c r="A267" s="77">
        <v>41291</v>
      </c>
      <c r="B267" s="78" t="s">
        <v>2778</v>
      </c>
      <c r="C267" s="75" t="s">
        <v>2212</v>
      </c>
      <c r="D267" s="81" t="s">
        <v>2846</v>
      </c>
      <c r="E267" s="75" t="str">
        <f>VLOOKUP(B267&amp;C267,Divipola!$C$2:$F$1138,4,FALSE)</f>
        <v>85250</v>
      </c>
      <c r="F267" s="87"/>
      <c r="G267" s="87"/>
      <c r="H267" s="87"/>
      <c r="I267" s="87"/>
      <c r="J267" s="87"/>
      <c r="K267" s="87"/>
      <c r="L267" s="87"/>
      <c r="M267" s="87"/>
      <c r="N267" s="87"/>
      <c r="O267" s="87"/>
      <c r="P267" s="87"/>
      <c r="Q267" s="87"/>
      <c r="R267" s="87"/>
      <c r="S267" s="87"/>
      <c r="T267" s="87"/>
      <c r="U267" s="127">
        <v>1</v>
      </c>
      <c r="V267" s="89"/>
      <c r="W267" s="96">
        <v>0</v>
      </c>
      <c r="X267" s="71">
        <f>CU267</f>
        <v>0</v>
      </c>
      <c r="Y267" s="71">
        <f>CY267</f>
        <v>0</v>
      </c>
      <c r="Z267" s="71">
        <f>DA267+DC267+DE267</f>
        <v>0</v>
      </c>
      <c r="AA267" s="71">
        <f>CW267</f>
        <v>0</v>
      </c>
      <c r="AB267" s="71"/>
      <c r="AC267" s="71">
        <v>0</v>
      </c>
      <c r="AD267" s="71">
        <f>W267+X267+Y267+Z267+AA267+AB267+AC267</f>
        <v>0</v>
      </c>
      <c r="AE267" s="72">
        <v>0</v>
      </c>
      <c r="AF267" s="5"/>
      <c r="AG267" s="6"/>
      <c r="AH267" s="27" t="s">
        <v>3392</v>
      </c>
      <c r="AI267" s="44" t="s">
        <v>3393</v>
      </c>
      <c r="AJ267" s="26"/>
      <c r="AK267" s="5"/>
      <c r="AL267" s="82" t="s">
        <v>3113</v>
      </c>
      <c r="AM267" s="76"/>
      <c r="AN267" s="76"/>
      <c r="AO267" s="76"/>
      <c r="AP267" s="76"/>
      <c r="AQ267" s="76"/>
      <c r="AR267" s="76"/>
      <c r="AS267" s="76"/>
      <c r="AT267" s="76"/>
      <c r="AU267" s="76"/>
      <c r="AV267" s="76"/>
      <c r="AW267" s="76"/>
      <c r="AX267" s="76">
        <f>+AW267*600000</f>
        <v>0</v>
      </c>
      <c r="AY267" s="76"/>
      <c r="AZ267" s="76">
        <f>+AY267*70000</f>
        <v>0</v>
      </c>
      <c r="BA267" s="76"/>
      <c r="BB267" s="76"/>
      <c r="BC267" s="76"/>
      <c r="BD267" s="76">
        <f>+BC267*30000</f>
        <v>0</v>
      </c>
      <c r="BE267" s="76"/>
      <c r="BF267" s="76"/>
      <c r="BG267" s="76"/>
      <c r="BH267" s="76"/>
      <c r="BI267" s="76"/>
      <c r="BJ267" s="76"/>
      <c r="BK267" s="76"/>
      <c r="BL267" s="76">
        <f>+BK267*31500</f>
        <v>0</v>
      </c>
      <c r="BM267" s="76"/>
      <c r="BN267" s="76"/>
      <c r="BO267" s="76"/>
      <c r="BP267" s="76"/>
      <c r="BQ267" s="76"/>
      <c r="BR267" s="76"/>
      <c r="BS267" s="76"/>
      <c r="BT267" s="76"/>
      <c r="BU267" s="76"/>
      <c r="BV267" s="76"/>
      <c r="BW267" s="76"/>
      <c r="BX267" s="76"/>
      <c r="BY267" s="76"/>
      <c r="BZ267" s="76"/>
      <c r="CA267" s="76"/>
      <c r="CB267" s="76"/>
      <c r="CC267" s="76"/>
      <c r="CD267" s="76"/>
      <c r="CE267" s="76"/>
      <c r="CF267" s="76">
        <f>+CE267*28000</f>
        <v>0</v>
      </c>
      <c r="CG267" s="76"/>
      <c r="CH267" s="76">
        <f>+CG267*22500</f>
        <v>0</v>
      </c>
      <c r="CI267" s="76"/>
      <c r="CJ267" s="76">
        <f>+CI267*26000</f>
        <v>0</v>
      </c>
      <c r="CK267" s="76"/>
      <c r="CL267" s="76"/>
      <c r="CM267" s="76"/>
      <c r="CN267" s="76">
        <f>+CM267*22000</f>
        <v>0</v>
      </c>
      <c r="CO267" s="76"/>
      <c r="CP267" s="76">
        <f>+CO267*46000</f>
        <v>0</v>
      </c>
      <c r="CQ267" s="76"/>
      <c r="CR267" s="76">
        <f>+CQ267*49000</f>
        <v>0</v>
      </c>
      <c r="CS267" s="76"/>
      <c r="CT267" s="76"/>
      <c r="CU267" s="56">
        <f>AN267+AP267+AR267+AT267+AV267+AX267+AZ267+BB267+BD267+BF267+BH267+BJ267+BL267+BN267+BP267+BR267+BT267+BV267+BX267+BZ267+CB267+CD267+CF267+CH267+CJ267+CL267+CN267+CP267+CR267+CT267</f>
        <v>0</v>
      </c>
      <c r="CV267" s="76"/>
      <c r="CW267" s="76">
        <f>+CV267*1100</f>
        <v>0</v>
      </c>
      <c r="CX267" s="76"/>
      <c r="CY267" s="76">
        <f>+CX267*106250</f>
        <v>0</v>
      </c>
      <c r="CZ267" s="76"/>
      <c r="DA267" s="76">
        <f>+CZ267*34500</f>
        <v>0</v>
      </c>
      <c r="DB267" s="76"/>
      <c r="DC267" s="76">
        <f>+DB267*25000</f>
        <v>0</v>
      </c>
      <c r="DD267" s="219"/>
      <c r="DE267" s="219"/>
      <c r="DF267" s="164"/>
      <c r="DG267" s="116"/>
      <c r="DH267" s="117"/>
      <c r="DI267" s="24"/>
      <c r="DJ267" s="24"/>
      <c r="DK267" s="24"/>
      <c r="DL267" s="24"/>
      <c r="DM267" s="24"/>
      <c r="DN267" s="24"/>
      <c r="DO267" s="24"/>
      <c r="DP267" s="24"/>
      <c r="DQ267" s="24"/>
      <c r="DR267" s="24"/>
      <c r="DS267" s="24"/>
      <c r="DT267" s="24"/>
      <c r="DU267" s="24"/>
    </row>
    <row r="268" spans="1:125" s="8" customFormat="1" ht="72" x14ac:dyDescent="0.2">
      <c r="A268" s="77">
        <v>41291</v>
      </c>
      <c r="B268" s="78" t="s">
        <v>2778</v>
      </c>
      <c r="C268" s="75" t="s">
        <v>2195</v>
      </c>
      <c r="D268" s="81" t="s">
        <v>2846</v>
      </c>
      <c r="E268" s="75" t="str">
        <f>VLOOKUP(B268&amp;C268,Divipola!$C$2:$F$1138,4,FALSE)</f>
        <v>85430</v>
      </c>
      <c r="F268" s="87"/>
      <c r="G268" s="87"/>
      <c r="H268" s="87"/>
      <c r="I268" s="87"/>
      <c r="J268" s="87"/>
      <c r="K268" s="87"/>
      <c r="L268" s="87"/>
      <c r="M268" s="87"/>
      <c r="N268" s="87"/>
      <c r="O268" s="87"/>
      <c r="P268" s="87"/>
      <c r="Q268" s="87"/>
      <c r="R268" s="87"/>
      <c r="S268" s="87"/>
      <c r="T268" s="87"/>
      <c r="U268" s="127">
        <v>20</v>
      </c>
      <c r="V268" s="89"/>
      <c r="W268" s="96">
        <v>0</v>
      </c>
      <c r="X268" s="71">
        <f>CU268</f>
        <v>0</v>
      </c>
      <c r="Y268" s="71">
        <f>CY268</f>
        <v>0</v>
      </c>
      <c r="Z268" s="71">
        <f>DA268+DC268+DE268</f>
        <v>0</v>
      </c>
      <c r="AA268" s="71">
        <f>CW268</f>
        <v>0</v>
      </c>
      <c r="AB268" s="71"/>
      <c r="AC268" s="71">
        <v>0</v>
      </c>
      <c r="AD268" s="71">
        <f>W268+X268+Y268+Z268+AA268+AB268+AC268</f>
        <v>0</v>
      </c>
      <c r="AE268" s="72">
        <v>0</v>
      </c>
      <c r="AF268" s="5"/>
      <c r="AG268" s="6"/>
      <c r="AH268" s="27" t="s">
        <v>3392</v>
      </c>
      <c r="AI268" s="44" t="s">
        <v>3393</v>
      </c>
      <c r="AJ268" s="26"/>
      <c r="AK268" s="5"/>
      <c r="AL268" s="82" t="s">
        <v>3114</v>
      </c>
      <c r="AM268" s="76"/>
      <c r="AN268" s="76"/>
      <c r="AO268" s="76"/>
      <c r="AP268" s="76"/>
      <c r="AQ268" s="76"/>
      <c r="AR268" s="76"/>
      <c r="AS268" s="76"/>
      <c r="AT268" s="76"/>
      <c r="AU268" s="76"/>
      <c r="AV268" s="76"/>
      <c r="AW268" s="76"/>
      <c r="AX268" s="76">
        <f>+AW268*600000</f>
        <v>0</v>
      </c>
      <c r="AY268" s="76"/>
      <c r="AZ268" s="76">
        <f>+AY268*70000</f>
        <v>0</v>
      </c>
      <c r="BA268" s="76"/>
      <c r="BB268" s="76"/>
      <c r="BC268" s="76"/>
      <c r="BD268" s="76">
        <f>+BC268*30000</f>
        <v>0</v>
      </c>
      <c r="BE268" s="76"/>
      <c r="BF268" s="76"/>
      <c r="BG268" s="76"/>
      <c r="BH268" s="76"/>
      <c r="BI268" s="76"/>
      <c r="BJ268" s="76"/>
      <c r="BK268" s="76"/>
      <c r="BL268" s="76">
        <f>+BK268*31500</f>
        <v>0</v>
      </c>
      <c r="BM268" s="76"/>
      <c r="BN268" s="76"/>
      <c r="BO268" s="76"/>
      <c r="BP268" s="76"/>
      <c r="BQ268" s="76"/>
      <c r="BR268" s="76"/>
      <c r="BS268" s="76"/>
      <c r="BT268" s="76"/>
      <c r="BU268" s="76"/>
      <c r="BV268" s="76"/>
      <c r="BW268" s="76"/>
      <c r="BX268" s="76"/>
      <c r="BY268" s="76"/>
      <c r="BZ268" s="76"/>
      <c r="CA268" s="76"/>
      <c r="CB268" s="76"/>
      <c r="CC268" s="76"/>
      <c r="CD268" s="76"/>
      <c r="CE268" s="76"/>
      <c r="CF268" s="76">
        <f>+CE268*28000</f>
        <v>0</v>
      </c>
      <c r="CG268" s="76"/>
      <c r="CH268" s="76">
        <f>+CG268*22500</f>
        <v>0</v>
      </c>
      <c r="CI268" s="76"/>
      <c r="CJ268" s="76">
        <f>+CI268*26000</f>
        <v>0</v>
      </c>
      <c r="CK268" s="76"/>
      <c r="CL268" s="76"/>
      <c r="CM268" s="76"/>
      <c r="CN268" s="76">
        <f>+CM268*22000</f>
        <v>0</v>
      </c>
      <c r="CO268" s="76"/>
      <c r="CP268" s="76">
        <f>+CO268*46000</f>
        <v>0</v>
      </c>
      <c r="CQ268" s="76"/>
      <c r="CR268" s="76">
        <f>+CQ268*49000</f>
        <v>0</v>
      </c>
      <c r="CS268" s="76"/>
      <c r="CT268" s="76"/>
      <c r="CU268" s="56">
        <f>AN268+AP268+AR268+AT268+AV268+AX268+AZ268+BB268+BD268+BF268+BH268+BJ268+BL268+BN268+BP268+BR268+BT268+BV268+BX268+BZ268+CB268+CD268+CF268+CH268+CJ268+CL268+CN268+CP268+CR268+CT268</f>
        <v>0</v>
      </c>
      <c r="CV268" s="76"/>
      <c r="CW268" s="76">
        <f>+CV268*1100</f>
        <v>0</v>
      </c>
      <c r="CX268" s="76"/>
      <c r="CY268" s="76">
        <f>+CX268*106250</f>
        <v>0</v>
      </c>
      <c r="CZ268" s="76"/>
      <c r="DA268" s="76">
        <f>+CZ268*34500</f>
        <v>0</v>
      </c>
      <c r="DB268" s="76"/>
      <c r="DC268" s="76">
        <f>+DB268*25000</f>
        <v>0</v>
      </c>
      <c r="DD268" s="219"/>
      <c r="DE268" s="219"/>
      <c r="DF268" s="164"/>
      <c r="DG268" s="116"/>
      <c r="DH268" s="117"/>
      <c r="DI268" s="24"/>
      <c r="DJ268" s="24"/>
      <c r="DK268" s="24"/>
      <c r="DL268" s="24"/>
      <c r="DM268" s="24"/>
      <c r="DN268" s="24"/>
      <c r="DO268" s="24"/>
      <c r="DP268" s="24"/>
      <c r="DQ268" s="24"/>
      <c r="DR268" s="24"/>
      <c r="DS268" s="24"/>
      <c r="DT268" s="24"/>
      <c r="DU268" s="24"/>
    </row>
    <row r="269" spans="1:125" s="8" customFormat="1" ht="72" x14ac:dyDescent="0.2">
      <c r="A269" s="77">
        <v>41291</v>
      </c>
      <c r="B269" s="78" t="s">
        <v>2778</v>
      </c>
      <c r="C269" s="75" t="s">
        <v>1344</v>
      </c>
      <c r="D269" s="81" t="s">
        <v>2846</v>
      </c>
      <c r="E269" s="75" t="str">
        <f>VLOOKUP(B269&amp;C269,Divipola!$C$2:$F$1138,4,FALSE)</f>
        <v>85001</v>
      </c>
      <c r="F269" s="87"/>
      <c r="G269" s="87"/>
      <c r="H269" s="87"/>
      <c r="I269" s="87"/>
      <c r="J269" s="87"/>
      <c r="K269" s="87"/>
      <c r="L269" s="87"/>
      <c r="M269" s="87"/>
      <c r="N269" s="87"/>
      <c r="O269" s="87"/>
      <c r="P269" s="87"/>
      <c r="Q269" s="87"/>
      <c r="R269" s="87"/>
      <c r="S269" s="87"/>
      <c r="T269" s="87"/>
      <c r="U269" s="127">
        <v>40</v>
      </c>
      <c r="V269" s="89"/>
      <c r="W269" s="96">
        <v>0</v>
      </c>
      <c r="X269" s="71">
        <f>CU269</f>
        <v>0</v>
      </c>
      <c r="Y269" s="71">
        <f>CY269</f>
        <v>0</v>
      </c>
      <c r="Z269" s="71">
        <f>DA269+DC269+DE269</f>
        <v>0</v>
      </c>
      <c r="AA269" s="71">
        <f>CW269</f>
        <v>0</v>
      </c>
      <c r="AB269" s="71"/>
      <c r="AC269" s="71">
        <v>0</v>
      </c>
      <c r="AD269" s="71">
        <f>W269+X269+Y269+Z269+AA269+AB269+AC269</f>
        <v>0</v>
      </c>
      <c r="AE269" s="72">
        <v>0</v>
      </c>
      <c r="AF269" s="5"/>
      <c r="AG269" s="6"/>
      <c r="AH269" s="27" t="s">
        <v>3392</v>
      </c>
      <c r="AI269" s="44" t="s">
        <v>3393</v>
      </c>
      <c r="AJ269" s="26"/>
      <c r="AK269" s="5"/>
      <c r="AL269" s="82" t="s">
        <v>3111</v>
      </c>
      <c r="AM269" s="76"/>
      <c r="AN269" s="76"/>
      <c r="AO269" s="76"/>
      <c r="AP269" s="76"/>
      <c r="AQ269" s="76"/>
      <c r="AR269" s="76"/>
      <c r="AS269" s="76"/>
      <c r="AT269" s="76"/>
      <c r="AU269" s="76"/>
      <c r="AV269" s="76"/>
      <c r="AW269" s="76"/>
      <c r="AX269" s="76">
        <f>+AW269*600000</f>
        <v>0</v>
      </c>
      <c r="AY269" s="76"/>
      <c r="AZ269" s="76">
        <f>+AY269*70000</f>
        <v>0</v>
      </c>
      <c r="BA269" s="76"/>
      <c r="BB269" s="76"/>
      <c r="BC269" s="76"/>
      <c r="BD269" s="76">
        <f>+BC269*30000</f>
        <v>0</v>
      </c>
      <c r="BE269" s="76"/>
      <c r="BF269" s="76"/>
      <c r="BG269" s="76"/>
      <c r="BH269" s="76"/>
      <c r="BI269" s="76"/>
      <c r="BJ269" s="76"/>
      <c r="BK269" s="76"/>
      <c r="BL269" s="76">
        <f>+BK269*31500</f>
        <v>0</v>
      </c>
      <c r="BM269" s="76"/>
      <c r="BN269" s="76"/>
      <c r="BO269" s="76"/>
      <c r="BP269" s="76"/>
      <c r="BQ269" s="76"/>
      <c r="BR269" s="76"/>
      <c r="BS269" s="76"/>
      <c r="BT269" s="76"/>
      <c r="BU269" s="76"/>
      <c r="BV269" s="76"/>
      <c r="BW269" s="76"/>
      <c r="BX269" s="76"/>
      <c r="BY269" s="76"/>
      <c r="BZ269" s="76"/>
      <c r="CA269" s="76"/>
      <c r="CB269" s="76"/>
      <c r="CC269" s="76"/>
      <c r="CD269" s="76"/>
      <c r="CE269" s="76"/>
      <c r="CF269" s="76">
        <f>+CE269*28000</f>
        <v>0</v>
      </c>
      <c r="CG269" s="76"/>
      <c r="CH269" s="76">
        <f>+CG269*22500</f>
        <v>0</v>
      </c>
      <c r="CI269" s="76"/>
      <c r="CJ269" s="76">
        <f>+CI269*26000</f>
        <v>0</v>
      </c>
      <c r="CK269" s="76"/>
      <c r="CL269" s="76"/>
      <c r="CM269" s="76"/>
      <c r="CN269" s="76">
        <f>+CM269*22000</f>
        <v>0</v>
      </c>
      <c r="CO269" s="76"/>
      <c r="CP269" s="76">
        <f>+CO269*46000</f>
        <v>0</v>
      </c>
      <c r="CQ269" s="76"/>
      <c r="CR269" s="76">
        <f>+CQ269*49000</f>
        <v>0</v>
      </c>
      <c r="CS269" s="76"/>
      <c r="CT269" s="76"/>
      <c r="CU269" s="56">
        <f>AN269+AP269+AR269+AT269+AV269+AX269+AZ269+BB269+BD269+BF269+BH269+BJ269+BL269+BN269+BP269+BR269+BT269+BV269+BX269+BZ269+CB269+CD269+CF269+CH269+CJ269+CL269+CN269+CP269+CR269+CT269</f>
        <v>0</v>
      </c>
      <c r="CV269" s="76"/>
      <c r="CW269" s="76">
        <f>+CV269*1100</f>
        <v>0</v>
      </c>
      <c r="CX269" s="76"/>
      <c r="CY269" s="76">
        <f>+CX269*106250</f>
        <v>0</v>
      </c>
      <c r="CZ269" s="76"/>
      <c r="DA269" s="76">
        <f>+CZ269*34500</f>
        <v>0</v>
      </c>
      <c r="DB269" s="76"/>
      <c r="DC269" s="76">
        <f>+DB269*25000</f>
        <v>0</v>
      </c>
      <c r="DD269" s="219"/>
      <c r="DE269" s="219"/>
      <c r="DF269" s="164"/>
      <c r="DG269" s="116"/>
      <c r="DH269" s="117"/>
      <c r="DI269" s="24"/>
      <c r="DJ269" s="24"/>
      <c r="DK269" s="24"/>
      <c r="DL269" s="24"/>
      <c r="DM269" s="24"/>
      <c r="DN269" s="24"/>
      <c r="DO269" s="24"/>
      <c r="DP269" s="24"/>
      <c r="DQ269" s="24"/>
      <c r="DR269" s="24"/>
      <c r="DS269" s="24"/>
      <c r="DT269" s="24"/>
      <c r="DU269" s="24"/>
    </row>
    <row r="270" spans="1:125" s="8" customFormat="1" ht="36" x14ac:dyDescent="0.2">
      <c r="A270" s="77">
        <v>41291</v>
      </c>
      <c r="B270" s="84" t="s">
        <v>2852</v>
      </c>
      <c r="C270" s="84" t="s">
        <v>2094</v>
      </c>
      <c r="D270" s="75" t="s">
        <v>2859</v>
      </c>
      <c r="E270" s="75" t="str">
        <f>VLOOKUP(B270&amp;C270,Divipola!$C$2:$F$1138,4,FALSE)</f>
        <v>27413</v>
      </c>
      <c r="F270" s="89"/>
      <c r="G270" s="89"/>
      <c r="H270" s="89"/>
      <c r="I270" s="89">
        <v>12</v>
      </c>
      <c r="J270" s="89">
        <v>1</v>
      </c>
      <c r="K270" s="89">
        <v>1</v>
      </c>
      <c r="L270" s="89"/>
      <c r="M270" s="89"/>
      <c r="N270" s="89"/>
      <c r="O270" s="89"/>
      <c r="P270" s="89"/>
      <c r="Q270" s="89"/>
      <c r="R270" s="89"/>
      <c r="S270" s="89"/>
      <c r="T270" s="89"/>
      <c r="U270" s="126"/>
      <c r="V270" s="89"/>
      <c r="W270" s="96">
        <v>0</v>
      </c>
      <c r="X270" s="71">
        <f>CU270</f>
        <v>0</v>
      </c>
      <c r="Y270" s="71">
        <f>CY270</f>
        <v>0</v>
      </c>
      <c r="Z270" s="71">
        <f>DA270+DC270+DE270</f>
        <v>0</v>
      </c>
      <c r="AA270" s="71">
        <f>CW270</f>
        <v>0</v>
      </c>
      <c r="AB270" s="71"/>
      <c r="AC270" s="71">
        <v>0</v>
      </c>
      <c r="AD270" s="71">
        <f>W270+X270+Y270+Z270+AA270+AB270+AC270</f>
        <v>0</v>
      </c>
      <c r="AE270" s="72">
        <v>0</v>
      </c>
      <c r="AF270" s="5"/>
      <c r="AG270" s="6"/>
      <c r="AH270" s="27" t="s">
        <v>3392</v>
      </c>
      <c r="AI270" s="44" t="s">
        <v>3393</v>
      </c>
      <c r="AJ270" s="26"/>
      <c r="AK270" s="5"/>
      <c r="AL270" s="82" t="s">
        <v>3104</v>
      </c>
      <c r="AM270" s="76"/>
      <c r="AN270" s="76"/>
      <c r="AO270" s="76"/>
      <c r="AP270" s="76"/>
      <c r="AQ270" s="76"/>
      <c r="AR270" s="76"/>
      <c r="AS270" s="76"/>
      <c r="AT270" s="76"/>
      <c r="AU270" s="76"/>
      <c r="AV270" s="76"/>
      <c r="AW270" s="76"/>
      <c r="AX270" s="76">
        <f>+AW270*600000</f>
        <v>0</v>
      </c>
      <c r="AY270" s="76"/>
      <c r="AZ270" s="76">
        <f>+AY270*70000</f>
        <v>0</v>
      </c>
      <c r="BA270" s="76"/>
      <c r="BB270" s="76"/>
      <c r="BC270" s="76"/>
      <c r="BD270" s="76">
        <f>+BC270*30000</f>
        <v>0</v>
      </c>
      <c r="BE270" s="76"/>
      <c r="BF270" s="76"/>
      <c r="BG270" s="76"/>
      <c r="BH270" s="76"/>
      <c r="BI270" s="76"/>
      <c r="BJ270" s="76"/>
      <c r="BK270" s="76"/>
      <c r="BL270" s="76">
        <f>+BK270*31500</f>
        <v>0</v>
      </c>
      <c r="BM270" s="76"/>
      <c r="BN270" s="76"/>
      <c r="BO270" s="76"/>
      <c r="BP270" s="76"/>
      <c r="BQ270" s="76"/>
      <c r="BR270" s="76"/>
      <c r="BS270" s="76"/>
      <c r="BT270" s="76"/>
      <c r="BU270" s="76"/>
      <c r="BV270" s="76"/>
      <c r="BW270" s="76"/>
      <c r="BX270" s="76"/>
      <c r="BY270" s="76"/>
      <c r="BZ270" s="76"/>
      <c r="CA270" s="76"/>
      <c r="CB270" s="76"/>
      <c r="CC270" s="76"/>
      <c r="CD270" s="76"/>
      <c r="CE270" s="76"/>
      <c r="CF270" s="76">
        <f>+CE270*28000</f>
        <v>0</v>
      </c>
      <c r="CG270" s="76"/>
      <c r="CH270" s="76">
        <f>+CG270*22500</f>
        <v>0</v>
      </c>
      <c r="CI270" s="76"/>
      <c r="CJ270" s="76">
        <f>+CI270*26000</f>
        <v>0</v>
      </c>
      <c r="CK270" s="76"/>
      <c r="CL270" s="76"/>
      <c r="CM270" s="76"/>
      <c r="CN270" s="76">
        <f>+CM270*22000</f>
        <v>0</v>
      </c>
      <c r="CO270" s="76"/>
      <c r="CP270" s="76">
        <f>+CO270*46000</f>
        <v>0</v>
      </c>
      <c r="CQ270" s="76"/>
      <c r="CR270" s="76">
        <f>+CQ270*49000</f>
        <v>0</v>
      </c>
      <c r="CS270" s="76"/>
      <c r="CT270" s="76"/>
      <c r="CU270" s="56">
        <f>AN270+AP270+AR270+AT270+AV270+AX270+AZ270+BB270+BD270+BF270+BH270+BJ270+BL270+BN270+BP270+BR270+BT270+BV270+BX270+BZ270+CB270+CD270+CF270+CH270+CJ270+CL270+CN270+CP270+CR270+CT270</f>
        <v>0</v>
      </c>
      <c r="CV270" s="76"/>
      <c r="CW270" s="76">
        <f>+CV270*1100</f>
        <v>0</v>
      </c>
      <c r="CX270" s="76"/>
      <c r="CY270" s="76">
        <f>+CX270*106250</f>
        <v>0</v>
      </c>
      <c r="CZ270" s="76"/>
      <c r="DA270" s="76">
        <f>+CZ270*34500</f>
        <v>0</v>
      </c>
      <c r="DB270" s="76"/>
      <c r="DC270" s="76">
        <f>+DB270*25000</f>
        <v>0</v>
      </c>
      <c r="DD270" s="219"/>
      <c r="DE270" s="219"/>
      <c r="DF270" s="164"/>
      <c r="DG270" s="116"/>
      <c r="DH270" s="117"/>
      <c r="DI270" s="24"/>
      <c r="DJ270" s="24"/>
      <c r="DK270" s="24"/>
      <c r="DL270" s="24"/>
      <c r="DM270" s="24"/>
      <c r="DN270" s="24"/>
      <c r="DO270" s="24"/>
      <c r="DP270" s="24"/>
      <c r="DQ270" s="24"/>
      <c r="DR270" s="24"/>
      <c r="DS270" s="24"/>
      <c r="DT270" s="24"/>
      <c r="DU270" s="24"/>
    </row>
    <row r="271" spans="1:125" s="8" customFormat="1" ht="84" x14ac:dyDescent="0.2">
      <c r="A271" s="77">
        <v>41291</v>
      </c>
      <c r="B271" s="78" t="s">
        <v>2772</v>
      </c>
      <c r="C271" s="75" t="s">
        <v>2084</v>
      </c>
      <c r="D271" s="81" t="s">
        <v>2846</v>
      </c>
      <c r="E271" s="75" t="str">
        <f>VLOOKUP(B271&amp;C271,Divipola!$C$2:$F$1138,4,FALSE)</f>
        <v>25269</v>
      </c>
      <c r="F271" s="87"/>
      <c r="G271" s="87"/>
      <c r="H271" s="87"/>
      <c r="I271" s="87"/>
      <c r="J271" s="87"/>
      <c r="K271" s="87"/>
      <c r="L271" s="87"/>
      <c r="M271" s="87"/>
      <c r="N271" s="87"/>
      <c r="O271" s="87"/>
      <c r="P271" s="87"/>
      <c r="Q271" s="87"/>
      <c r="R271" s="87"/>
      <c r="S271" s="87"/>
      <c r="T271" s="87"/>
      <c r="U271" s="127">
        <v>3</v>
      </c>
      <c r="V271" s="89"/>
      <c r="W271" s="96">
        <v>0</v>
      </c>
      <c r="X271" s="71">
        <f>CU271</f>
        <v>0</v>
      </c>
      <c r="Y271" s="71">
        <f>CY271</f>
        <v>0</v>
      </c>
      <c r="Z271" s="71">
        <f>DA271+DC271+DE271</f>
        <v>0</v>
      </c>
      <c r="AA271" s="71">
        <f>CW271</f>
        <v>0</v>
      </c>
      <c r="AB271" s="71"/>
      <c r="AC271" s="71">
        <v>0</v>
      </c>
      <c r="AD271" s="71">
        <f>W271+X271+Y271+Z271+AA271+AB271+AC271</f>
        <v>0</v>
      </c>
      <c r="AE271" s="72">
        <v>0</v>
      </c>
      <c r="AF271" s="5"/>
      <c r="AG271" s="6"/>
      <c r="AH271" s="27" t="s">
        <v>3392</v>
      </c>
      <c r="AI271" s="44" t="s">
        <v>3393</v>
      </c>
      <c r="AJ271" s="26"/>
      <c r="AK271" s="5"/>
      <c r="AL271" s="82" t="s">
        <v>3110</v>
      </c>
      <c r="AM271" s="76"/>
      <c r="AN271" s="76"/>
      <c r="AO271" s="76"/>
      <c r="AP271" s="76"/>
      <c r="AQ271" s="76"/>
      <c r="AR271" s="76"/>
      <c r="AS271" s="76"/>
      <c r="AT271" s="76"/>
      <c r="AU271" s="76"/>
      <c r="AV271" s="76"/>
      <c r="AW271" s="76"/>
      <c r="AX271" s="76">
        <f>+AW271*600000</f>
        <v>0</v>
      </c>
      <c r="AY271" s="76"/>
      <c r="AZ271" s="76">
        <f>+AY271*70000</f>
        <v>0</v>
      </c>
      <c r="BA271" s="76"/>
      <c r="BB271" s="76"/>
      <c r="BC271" s="76"/>
      <c r="BD271" s="76">
        <f>+BC271*30000</f>
        <v>0</v>
      </c>
      <c r="BE271" s="76"/>
      <c r="BF271" s="76"/>
      <c r="BG271" s="76"/>
      <c r="BH271" s="76"/>
      <c r="BI271" s="76"/>
      <c r="BJ271" s="76"/>
      <c r="BK271" s="76"/>
      <c r="BL271" s="76">
        <f>+BK271*31500</f>
        <v>0</v>
      </c>
      <c r="BM271" s="76"/>
      <c r="BN271" s="76"/>
      <c r="BO271" s="76"/>
      <c r="BP271" s="76"/>
      <c r="BQ271" s="76"/>
      <c r="BR271" s="76"/>
      <c r="BS271" s="76"/>
      <c r="BT271" s="76"/>
      <c r="BU271" s="76"/>
      <c r="BV271" s="76"/>
      <c r="BW271" s="76"/>
      <c r="BX271" s="76"/>
      <c r="BY271" s="76"/>
      <c r="BZ271" s="76"/>
      <c r="CA271" s="76"/>
      <c r="CB271" s="76"/>
      <c r="CC271" s="76"/>
      <c r="CD271" s="76"/>
      <c r="CE271" s="76"/>
      <c r="CF271" s="76">
        <f>+CE271*28000</f>
        <v>0</v>
      </c>
      <c r="CG271" s="76"/>
      <c r="CH271" s="76">
        <f>+CG271*22500</f>
        <v>0</v>
      </c>
      <c r="CI271" s="76"/>
      <c r="CJ271" s="76">
        <f>+CI271*26000</f>
        <v>0</v>
      </c>
      <c r="CK271" s="76"/>
      <c r="CL271" s="76"/>
      <c r="CM271" s="76"/>
      <c r="CN271" s="76">
        <f>+CM271*22000</f>
        <v>0</v>
      </c>
      <c r="CO271" s="76"/>
      <c r="CP271" s="76">
        <f>+CO271*46000</f>
        <v>0</v>
      </c>
      <c r="CQ271" s="76"/>
      <c r="CR271" s="76">
        <f>+CQ271*49000</f>
        <v>0</v>
      </c>
      <c r="CS271" s="76"/>
      <c r="CT271" s="76"/>
      <c r="CU271" s="56">
        <f>AN271+AP271+AR271+AT271+AV271+AX271+AZ271+BB271+BD271+BF271+BH271+BJ271+BL271+BN271+BP271+BR271+BT271+BV271+BX271+BZ271+CB271+CD271+CF271+CH271+CJ271+CL271+CN271+CP271+CR271+CT271</f>
        <v>0</v>
      </c>
      <c r="CV271" s="76"/>
      <c r="CW271" s="76">
        <f>+CV271*1100</f>
        <v>0</v>
      </c>
      <c r="CX271" s="76"/>
      <c r="CY271" s="76">
        <f>+CX271*106250</f>
        <v>0</v>
      </c>
      <c r="CZ271" s="76"/>
      <c r="DA271" s="76">
        <f>+CZ271*34500</f>
        <v>0</v>
      </c>
      <c r="DB271" s="76"/>
      <c r="DC271" s="76">
        <f>+DB271*25000</f>
        <v>0</v>
      </c>
      <c r="DD271" s="219"/>
      <c r="DE271" s="219"/>
      <c r="DF271" s="164"/>
      <c r="DG271" s="116"/>
      <c r="DH271" s="117"/>
      <c r="DI271" s="24"/>
      <c r="DJ271" s="24"/>
      <c r="DK271" s="24"/>
      <c r="DL271" s="24"/>
      <c r="DM271" s="24"/>
      <c r="DN271" s="24"/>
      <c r="DO271" s="24"/>
      <c r="DP271" s="24"/>
      <c r="DQ271" s="24"/>
      <c r="DR271" s="24"/>
      <c r="DS271" s="24"/>
      <c r="DT271" s="24"/>
      <c r="DU271" s="24"/>
    </row>
    <row r="272" spans="1:125" s="8" customFormat="1" ht="84" x14ac:dyDescent="0.2">
      <c r="A272" s="77">
        <v>41291</v>
      </c>
      <c r="B272" s="78" t="s">
        <v>2772</v>
      </c>
      <c r="C272" s="75" t="s">
        <v>2672</v>
      </c>
      <c r="D272" s="81" t="s">
        <v>2846</v>
      </c>
      <c r="E272" s="75" t="str">
        <f>VLOOKUP(B272&amp;C272,Divipola!$C$2:$F$1138,4,FALSE)</f>
        <v>25290</v>
      </c>
      <c r="F272" s="87"/>
      <c r="G272" s="87"/>
      <c r="H272" s="87"/>
      <c r="I272" s="87"/>
      <c r="J272" s="87"/>
      <c r="K272" s="87"/>
      <c r="L272" s="87"/>
      <c r="M272" s="87"/>
      <c r="N272" s="87"/>
      <c r="O272" s="87"/>
      <c r="P272" s="87"/>
      <c r="Q272" s="87"/>
      <c r="R272" s="87"/>
      <c r="S272" s="87"/>
      <c r="T272" s="87"/>
      <c r="U272" s="127">
        <v>1</v>
      </c>
      <c r="V272" s="89"/>
      <c r="W272" s="96">
        <v>0</v>
      </c>
      <c r="X272" s="71">
        <f>CU272</f>
        <v>0</v>
      </c>
      <c r="Y272" s="71">
        <f>CY272</f>
        <v>0</v>
      </c>
      <c r="Z272" s="71">
        <f>DA272+DC272+DE272</f>
        <v>0</v>
      </c>
      <c r="AA272" s="71">
        <f>CW272</f>
        <v>0</v>
      </c>
      <c r="AB272" s="71"/>
      <c r="AC272" s="71">
        <v>0</v>
      </c>
      <c r="AD272" s="71">
        <f>W272+X272+Y272+Z272+AA272+AB272+AC272</f>
        <v>0</v>
      </c>
      <c r="AE272" s="72">
        <v>0</v>
      </c>
      <c r="AF272" s="5"/>
      <c r="AG272" s="6"/>
      <c r="AH272" s="27" t="s">
        <v>3392</v>
      </c>
      <c r="AI272" s="44" t="s">
        <v>3393</v>
      </c>
      <c r="AJ272" s="26"/>
      <c r="AK272" s="5"/>
      <c r="AL272" s="82" t="s">
        <v>3107</v>
      </c>
      <c r="AM272" s="76"/>
      <c r="AN272" s="76"/>
      <c r="AO272" s="76"/>
      <c r="AP272" s="76"/>
      <c r="AQ272" s="76"/>
      <c r="AR272" s="76"/>
      <c r="AS272" s="76"/>
      <c r="AT272" s="76"/>
      <c r="AU272" s="76"/>
      <c r="AV272" s="76"/>
      <c r="AW272" s="76"/>
      <c r="AX272" s="76">
        <f>+AW272*600000</f>
        <v>0</v>
      </c>
      <c r="AY272" s="76"/>
      <c r="AZ272" s="76">
        <f>+AY272*70000</f>
        <v>0</v>
      </c>
      <c r="BA272" s="76"/>
      <c r="BB272" s="76"/>
      <c r="BC272" s="76"/>
      <c r="BD272" s="76">
        <f>+BC272*30000</f>
        <v>0</v>
      </c>
      <c r="BE272" s="76"/>
      <c r="BF272" s="76"/>
      <c r="BG272" s="76"/>
      <c r="BH272" s="76"/>
      <c r="BI272" s="76"/>
      <c r="BJ272" s="76"/>
      <c r="BK272" s="76"/>
      <c r="BL272" s="76">
        <f>+BK272*31500</f>
        <v>0</v>
      </c>
      <c r="BM272" s="76"/>
      <c r="BN272" s="76"/>
      <c r="BO272" s="76"/>
      <c r="BP272" s="76"/>
      <c r="BQ272" s="76"/>
      <c r="BR272" s="76"/>
      <c r="BS272" s="76"/>
      <c r="BT272" s="76"/>
      <c r="BU272" s="76"/>
      <c r="BV272" s="76"/>
      <c r="BW272" s="76"/>
      <c r="BX272" s="76"/>
      <c r="BY272" s="76"/>
      <c r="BZ272" s="76"/>
      <c r="CA272" s="76"/>
      <c r="CB272" s="76"/>
      <c r="CC272" s="76"/>
      <c r="CD272" s="76"/>
      <c r="CE272" s="76"/>
      <c r="CF272" s="76">
        <f>+CE272*28000</f>
        <v>0</v>
      </c>
      <c r="CG272" s="76"/>
      <c r="CH272" s="76">
        <f>+CG272*22500</f>
        <v>0</v>
      </c>
      <c r="CI272" s="76"/>
      <c r="CJ272" s="76">
        <f>+CI272*26000</f>
        <v>0</v>
      </c>
      <c r="CK272" s="76"/>
      <c r="CL272" s="76"/>
      <c r="CM272" s="76"/>
      <c r="CN272" s="76">
        <f>+CM272*22000</f>
        <v>0</v>
      </c>
      <c r="CO272" s="76"/>
      <c r="CP272" s="76">
        <f>+CO272*46000</f>
        <v>0</v>
      </c>
      <c r="CQ272" s="76"/>
      <c r="CR272" s="76">
        <f>+CQ272*49000</f>
        <v>0</v>
      </c>
      <c r="CS272" s="76"/>
      <c r="CT272" s="76"/>
      <c r="CU272" s="56">
        <f>AN272+AP272+AR272+AT272+AV272+AX272+AZ272+BB272+BD272+BF272+BH272+BJ272+BL272+BN272+BP272+BR272+BT272+BV272+BX272+BZ272+CB272+CD272+CF272+CH272+CJ272+CL272+CN272+CP272+CR272+CT272</f>
        <v>0</v>
      </c>
      <c r="CV272" s="76"/>
      <c r="CW272" s="76">
        <f>+CV272*1100</f>
        <v>0</v>
      </c>
      <c r="CX272" s="76"/>
      <c r="CY272" s="76">
        <f>+CX272*106250</f>
        <v>0</v>
      </c>
      <c r="CZ272" s="76"/>
      <c r="DA272" s="76">
        <f>+CZ272*34500</f>
        <v>0</v>
      </c>
      <c r="DB272" s="76"/>
      <c r="DC272" s="76">
        <f>+DB272*25000</f>
        <v>0</v>
      </c>
      <c r="DD272" s="219"/>
      <c r="DE272" s="219"/>
      <c r="DF272" s="164"/>
      <c r="DG272" s="116"/>
      <c r="DH272" s="117"/>
      <c r="DI272" s="24"/>
      <c r="DJ272" s="24"/>
      <c r="DK272" s="24"/>
      <c r="DL272" s="24"/>
      <c r="DM272" s="24"/>
      <c r="DN272" s="24"/>
      <c r="DO272" s="24"/>
      <c r="DP272" s="24"/>
      <c r="DQ272" s="24"/>
      <c r="DR272" s="24"/>
      <c r="DS272" s="24"/>
      <c r="DT272" s="24"/>
      <c r="DU272" s="24"/>
    </row>
    <row r="273" spans="1:125" s="8" customFormat="1" ht="84" x14ac:dyDescent="0.2">
      <c r="A273" s="77">
        <v>41291</v>
      </c>
      <c r="B273" s="78" t="s">
        <v>2772</v>
      </c>
      <c r="C273" s="75" t="s">
        <v>2672</v>
      </c>
      <c r="D273" s="81" t="s">
        <v>2846</v>
      </c>
      <c r="E273" s="75" t="str">
        <f>VLOOKUP(B273&amp;C273,Divipola!$C$2:$F$1138,4,FALSE)</f>
        <v>25290</v>
      </c>
      <c r="F273" s="87"/>
      <c r="G273" s="87"/>
      <c r="H273" s="87"/>
      <c r="I273" s="87"/>
      <c r="J273" s="87"/>
      <c r="K273" s="87"/>
      <c r="L273" s="87"/>
      <c r="M273" s="87"/>
      <c r="N273" s="87"/>
      <c r="O273" s="87"/>
      <c r="P273" s="87"/>
      <c r="Q273" s="87"/>
      <c r="R273" s="87"/>
      <c r="S273" s="87"/>
      <c r="T273" s="87"/>
      <c r="U273" s="127">
        <v>0.5</v>
      </c>
      <c r="V273" s="89"/>
      <c r="W273" s="96">
        <v>0</v>
      </c>
      <c r="X273" s="71">
        <f>CU273</f>
        <v>0</v>
      </c>
      <c r="Y273" s="71">
        <f>CY273</f>
        <v>0</v>
      </c>
      <c r="Z273" s="71">
        <f>DA273+DC273+DE273</f>
        <v>0</v>
      </c>
      <c r="AA273" s="71">
        <f>CW273</f>
        <v>0</v>
      </c>
      <c r="AB273" s="71"/>
      <c r="AC273" s="71">
        <v>0</v>
      </c>
      <c r="AD273" s="71">
        <f>W273+X273+Y273+Z273+AA273+AB273+AC273</f>
        <v>0</v>
      </c>
      <c r="AE273" s="72">
        <v>0</v>
      </c>
      <c r="AF273" s="5"/>
      <c r="AG273" s="6"/>
      <c r="AH273" s="27" t="s">
        <v>3392</v>
      </c>
      <c r="AI273" s="44" t="s">
        <v>3393</v>
      </c>
      <c r="AJ273" s="26"/>
      <c r="AK273" s="5"/>
      <c r="AL273" s="82" t="s">
        <v>3108</v>
      </c>
      <c r="AM273" s="76"/>
      <c r="AN273" s="76"/>
      <c r="AO273" s="76"/>
      <c r="AP273" s="76"/>
      <c r="AQ273" s="76"/>
      <c r="AR273" s="76"/>
      <c r="AS273" s="76"/>
      <c r="AT273" s="76"/>
      <c r="AU273" s="76"/>
      <c r="AV273" s="76"/>
      <c r="AW273" s="76"/>
      <c r="AX273" s="76">
        <f>+AW273*600000</f>
        <v>0</v>
      </c>
      <c r="AY273" s="76"/>
      <c r="AZ273" s="76">
        <f>+AY273*70000</f>
        <v>0</v>
      </c>
      <c r="BA273" s="76"/>
      <c r="BB273" s="76"/>
      <c r="BC273" s="76"/>
      <c r="BD273" s="76">
        <f>+BC273*30000</f>
        <v>0</v>
      </c>
      <c r="BE273" s="76"/>
      <c r="BF273" s="76"/>
      <c r="BG273" s="76"/>
      <c r="BH273" s="76"/>
      <c r="BI273" s="76"/>
      <c r="BJ273" s="76"/>
      <c r="BK273" s="76"/>
      <c r="BL273" s="76">
        <f>+BK273*31500</f>
        <v>0</v>
      </c>
      <c r="BM273" s="76"/>
      <c r="BN273" s="76"/>
      <c r="BO273" s="76"/>
      <c r="BP273" s="76"/>
      <c r="BQ273" s="76"/>
      <c r="BR273" s="76"/>
      <c r="BS273" s="76"/>
      <c r="BT273" s="76"/>
      <c r="BU273" s="76"/>
      <c r="BV273" s="76"/>
      <c r="BW273" s="76"/>
      <c r="BX273" s="76"/>
      <c r="BY273" s="76"/>
      <c r="BZ273" s="76"/>
      <c r="CA273" s="76"/>
      <c r="CB273" s="76"/>
      <c r="CC273" s="76"/>
      <c r="CD273" s="76"/>
      <c r="CE273" s="76"/>
      <c r="CF273" s="76">
        <f>+CE273*28000</f>
        <v>0</v>
      </c>
      <c r="CG273" s="76"/>
      <c r="CH273" s="76">
        <f>+CG273*22500</f>
        <v>0</v>
      </c>
      <c r="CI273" s="76"/>
      <c r="CJ273" s="76">
        <f>+CI273*26000</f>
        <v>0</v>
      </c>
      <c r="CK273" s="76"/>
      <c r="CL273" s="76"/>
      <c r="CM273" s="76"/>
      <c r="CN273" s="76">
        <f>+CM273*22000</f>
        <v>0</v>
      </c>
      <c r="CO273" s="76"/>
      <c r="CP273" s="76">
        <f>+CO273*46000</f>
        <v>0</v>
      </c>
      <c r="CQ273" s="76"/>
      <c r="CR273" s="76">
        <f>+CQ273*49000</f>
        <v>0</v>
      </c>
      <c r="CS273" s="76"/>
      <c r="CT273" s="76"/>
      <c r="CU273" s="56">
        <f>AN273+AP273+AR273+AT273+AV273+AX273+AZ273+BB273+BD273+BF273+BH273+BJ273+BL273+BN273+BP273+BR273+BT273+BV273+BX273+BZ273+CB273+CD273+CF273+CH273+CJ273+CL273+CN273+CP273+CR273+CT273</f>
        <v>0</v>
      </c>
      <c r="CV273" s="76"/>
      <c r="CW273" s="76">
        <f>+CV273*1100</f>
        <v>0</v>
      </c>
      <c r="CX273" s="76"/>
      <c r="CY273" s="76">
        <f>+CX273*106250</f>
        <v>0</v>
      </c>
      <c r="CZ273" s="76"/>
      <c r="DA273" s="76">
        <f>+CZ273*34500</f>
        <v>0</v>
      </c>
      <c r="DB273" s="76"/>
      <c r="DC273" s="76">
        <f>+DB273*25000</f>
        <v>0</v>
      </c>
      <c r="DD273" s="219"/>
      <c r="DE273" s="219"/>
      <c r="DF273" s="164"/>
      <c r="DG273" s="116"/>
      <c r="DH273" s="117"/>
      <c r="DI273" s="24"/>
      <c r="DJ273" s="24"/>
      <c r="DK273" s="24"/>
      <c r="DL273" s="24"/>
      <c r="DM273" s="24"/>
      <c r="DN273" s="24"/>
      <c r="DO273" s="24"/>
      <c r="DP273" s="24"/>
      <c r="DQ273" s="24"/>
      <c r="DR273" s="24"/>
      <c r="DS273" s="24"/>
      <c r="DT273" s="24"/>
      <c r="DU273" s="24"/>
    </row>
    <row r="274" spans="1:125" s="8" customFormat="1" ht="36" x14ac:dyDescent="0.2">
      <c r="A274" s="77">
        <v>41291</v>
      </c>
      <c r="B274" s="78" t="s">
        <v>2291</v>
      </c>
      <c r="C274" s="75" t="s">
        <v>2292</v>
      </c>
      <c r="D274" s="81" t="s">
        <v>2846</v>
      </c>
      <c r="E274" s="75" t="str">
        <f>VLOOKUP(B274&amp;C274,Divipola!$C$2:$F$1138,4,FALSE)</f>
        <v>94001</v>
      </c>
      <c r="F274" s="87"/>
      <c r="G274" s="87"/>
      <c r="H274" s="87"/>
      <c r="I274" s="87"/>
      <c r="J274" s="87"/>
      <c r="K274" s="87"/>
      <c r="L274" s="87"/>
      <c r="M274" s="87"/>
      <c r="N274" s="87"/>
      <c r="O274" s="87"/>
      <c r="P274" s="87"/>
      <c r="Q274" s="87"/>
      <c r="R274" s="87"/>
      <c r="S274" s="87"/>
      <c r="T274" s="87"/>
      <c r="U274" s="127">
        <v>24</v>
      </c>
      <c r="V274" s="89"/>
      <c r="W274" s="96">
        <v>0</v>
      </c>
      <c r="X274" s="71">
        <f>CU274</f>
        <v>0</v>
      </c>
      <c r="Y274" s="71">
        <f>CY274</f>
        <v>0</v>
      </c>
      <c r="Z274" s="71">
        <f>DA274+DC274+DE274</f>
        <v>0</v>
      </c>
      <c r="AA274" s="71">
        <f>CW274</f>
        <v>0</v>
      </c>
      <c r="AB274" s="71"/>
      <c r="AC274" s="71">
        <v>0</v>
      </c>
      <c r="AD274" s="71">
        <f>W274+X274+Y274+Z274+AA274+AB274+AC274</f>
        <v>0</v>
      </c>
      <c r="AE274" s="72">
        <v>0</v>
      </c>
      <c r="AF274" s="5"/>
      <c r="AG274" s="6"/>
      <c r="AH274" s="27" t="s">
        <v>3392</v>
      </c>
      <c r="AI274" s="44" t="s">
        <v>3393</v>
      </c>
      <c r="AJ274" s="26"/>
      <c r="AK274" s="5"/>
      <c r="AL274" s="82" t="s">
        <v>3105</v>
      </c>
      <c r="AM274" s="76"/>
      <c r="AN274" s="76"/>
      <c r="AO274" s="76"/>
      <c r="AP274" s="76"/>
      <c r="AQ274" s="76"/>
      <c r="AR274" s="76"/>
      <c r="AS274" s="76"/>
      <c r="AT274" s="76"/>
      <c r="AU274" s="76"/>
      <c r="AV274" s="76"/>
      <c r="AW274" s="76"/>
      <c r="AX274" s="76">
        <f>+AW274*600000</f>
        <v>0</v>
      </c>
      <c r="AY274" s="76"/>
      <c r="AZ274" s="76">
        <f>+AY274*70000</f>
        <v>0</v>
      </c>
      <c r="BA274" s="76"/>
      <c r="BB274" s="76"/>
      <c r="BC274" s="76"/>
      <c r="BD274" s="76">
        <f>+BC274*30000</f>
        <v>0</v>
      </c>
      <c r="BE274" s="76"/>
      <c r="BF274" s="76"/>
      <c r="BG274" s="76"/>
      <c r="BH274" s="76"/>
      <c r="BI274" s="76"/>
      <c r="BJ274" s="76"/>
      <c r="BK274" s="76"/>
      <c r="BL274" s="76">
        <f>+BK274*31500</f>
        <v>0</v>
      </c>
      <c r="BM274" s="76"/>
      <c r="BN274" s="76"/>
      <c r="BO274" s="76"/>
      <c r="BP274" s="76"/>
      <c r="BQ274" s="76"/>
      <c r="BR274" s="76"/>
      <c r="BS274" s="76"/>
      <c r="BT274" s="76"/>
      <c r="BU274" s="76"/>
      <c r="BV274" s="76"/>
      <c r="BW274" s="76"/>
      <c r="BX274" s="76"/>
      <c r="BY274" s="76"/>
      <c r="BZ274" s="76"/>
      <c r="CA274" s="76"/>
      <c r="CB274" s="76"/>
      <c r="CC274" s="76"/>
      <c r="CD274" s="76"/>
      <c r="CE274" s="76"/>
      <c r="CF274" s="76">
        <f>+CE274*28000</f>
        <v>0</v>
      </c>
      <c r="CG274" s="76"/>
      <c r="CH274" s="76">
        <f>+CG274*22500</f>
        <v>0</v>
      </c>
      <c r="CI274" s="76"/>
      <c r="CJ274" s="76">
        <f>+CI274*26000</f>
        <v>0</v>
      </c>
      <c r="CK274" s="76"/>
      <c r="CL274" s="76"/>
      <c r="CM274" s="76"/>
      <c r="CN274" s="76">
        <f>+CM274*22000</f>
        <v>0</v>
      </c>
      <c r="CO274" s="76"/>
      <c r="CP274" s="76">
        <f>+CO274*46000</f>
        <v>0</v>
      </c>
      <c r="CQ274" s="76"/>
      <c r="CR274" s="76">
        <f>+CQ274*49000</f>
        <v>0</v>
      </c>
      <c r="CS274" s="76"/>
      <c r="CT274" s="76"/>
      <c r="CU274" s="56">
        <f>AN274+AP274+AR274+AT274+AV274+AX274+AZ274+BB274+BD274+BF274+BH274+BJ274+BL274+BN274+BP274+BR274+BT274+BV274+BX274+BZ274+CB274+CD274+CF274+CH274+CJ274+CL274+CN274+CP274+CR274+CT274</f>
        <v>0</v>
      </c>
      <c r="CV274" s="76"/>
      <c r="CW274" s="76">
        <f>+CV274*1100</f>
        <v>0</v>
      </c>
      <c r="CX274" s="76"/>
      <c r="CY274" s="76">
        <f>+CX274*106250</f>
        <v>0</v>
      </c>
      <c r="CZ274" s="76"/>
      <c r="DA274" s="76">
        <f>+CZ274*34500</f>
        <v>0</v>
      </c>
      <c r="DB274" s="76"/>
      <c r="DC274" s="76">
        <f>+DB274*25000</f>
        <v>0</v>
      </c>
      <c r="DD274" s="219"/>
      <c r="DE274" s="219"/>
      <c r="DF274" s="164"/>
      <c r="DG274" s="116"/>
      <c r="DH274" s="117"/>
      <c r="DI274" s="24"/>
      <c r="DJ274" s="24"/>
      <c r="DK274" s="24"/>
      <c r="DL274" s="24"/>
      <c r="DM274" s="24"/>
      <c r="DN274" s="24"/>
      <c r="DO274" s="24"/>
      <c r="DP274" s="24"/>
      <c r="DQ274" s="24"/>
      <c r="DR274" s="24"/>
      <c r="DS274" s="24"/>
      <c r="DT274" s="24"/>
      <c r="DU274" s="24"/>
    </row>
    <row r="275" spans="1:125" s="8" customFormat="1" ht="48" x14ac:dyDescent="0.2">
      <c r="A275" s="77">
        <v>41291</v>
      </c>
      <c r="B275" s="80" t="s">
        <v>2661</v>
      </c>
      <c r="C275" s="81" t="s">
        <v>475</v>
      </c>
      <c r="D275" s="81" t="s">
        <v>2846</v>
      </c>
      <c r="E275" s="75" t="str">
        <f>VLOOKUP(B275&amp;C275,Divipola!$C$2:$F$1138,4,FALSE)</f>
        <v>41006</v>
      </c>
      <c r="F275" s="90"/>
      <c r="G275" s="90"/>
      <c r="H275" s="90"/>
      <c r="I275" s="90"/>
      <c r="J275" s="90"/>
      <c r="K275" s="90"/>
      <c r="L275" s="90"/>
      <c r="M275" s="90"/>
      <c r="N275" s="90"/>
      <c r="O275" s="90"/>
      <c r="P275" s="90"/>
      <c r="Q275" s="90"/>
      <c r="R275" s="90"/>
      <c r="S275" s="90"/>
      <c r="T275" s="90"/>
      <c r="U275" s="128">
        <v>1</v>
      </c>
      <c r="V275" s="89"/>
      <c r="W275" s="96">
        <v>0</v>
      </c>
      <c r="X275" s="71">
        <f>CU275</f>
        <v>0</v>
      </c>
      <c r="Y275" s="71">
        <f>CY275</f>
        <v>0</v>
      </c>
      <c r="Z275" s="71">
        <f>DA275+DC275+DE275</f>
        <v>0</v>
      </c>
      <c r="AA275" s="71">
        <f>CW275</f>
        <v>0</v>
      </c>
      <c r="AB275" s="71"/>
      <c r="AC275" s="71">
        <v>0</v>
      </c>
      <c r="AD275" s="71">
        <f>W275+X275+Y275+Z275+AA275+AB275+AC275</f>
        <v>0</v>
      </c>
      <c r="AE275" s="72">
        <v>0</v>
      </c>
      <c r="AF275" s="5"/>
      <c r="AG275" s="6"/>
      <c r="AH275" s="27" t="s">
        <v>3392</v>
      </c>
      <c r="AI275" s="44" t="s">
        <v>3393</v>
      </c>
      <c r="AJ275" s="26"/>
      <c r="AK275" s="5"/>
      <c r="AL275" s="82" t="s">
        <v>3106</v>
      </c>
      <c r="AM275" s="76"/>
      <c r="AN275" s="76"/>
      <c r="AO275" s="76"/>
      <c r="AP275" s="76"/>
      <c r="AQ275" s="76"/>
      <c r="AR275" s="76"/>
      <c r="AS275" s="76"/>
      <c r="AT275" s="76"/>
      <c r="AU275" s="76"/>
      <c r="AV275" s="76"/>
      <c r="AW275" s="76"/>
      <c r="AX275" s="76">
        <f>+AW275*600000</f>
        <v>0</v>
      </c>
      <c r="AY275" s="76"/>
      <c r="AZ275" s="76">
        <f>+AY275*70000</f>
        <v>0</v>
      </c>
      <c r="BA275" s="76"/>
      <c r="BB275" s="76"/>
      <c r="BC275" s="76"/>
      <c r="BD275" s="76">
        <f>+BC275*30000</f>
        <v>0</v>
      </c>
      <c r="BE275" s="76"/>
      <c r="BF275" s="76"/>
      <c r="BG275" s="76"/>
      <c r="BH275" s="76"/>
      <c r="BI275" s="76"/>
      <c r="BJ275" s="76"/>
      <c r="BK275" s="76"/>
      <c r="BL275" s="76">
        <f>+BK275*31500</f>
        <v>0</v>
      </c>
      <c r="BM275" s="76"/>
      <c r="BN275" s="76"/>
      <c r="BO275" s="76"/>
      <c r="BP275" s="76"/>
      <c r="BQ275" s="76"/>
      <c r="BR275" s="76"/>
      <c r="BS275" s="76"/>
      <c r="BT275" s="76"/>
      <c r="BU275" s="76"/>
      <c r="BV275" s="76"/>
      <c r="BW275" s="76"/>
      <c r="BX275" s="76"/>
      <c r="BY275" s="76"/>
      <c r="BZ275" s="76"/>
      <c r="CA275" s="76"/>
      <c r="CB275" s="76"/>
      <c r="CC275" s="76"/>
      <c r="CD275" s="76"/>
      <c r="CE275" s="76"/>
      <c r="CF275" s="76">
        <f>+CE275*28000</f>
        <v>0</v>
      </c>
      <c r="CG275" s="76"/>
      <c r="CH275" s="76">
        <f>+CG275*22500</f>
        <v>0</v>
      </c>
      <c r="CI275" s="76"/>
      <c r="CJ275" s="76">
        <f>+CI275*26000</f>
        <v>0</v>
      </c>
      <c r="CK275" s="76"/>
      <c r="CL275" s="76"/>
      <c r="CM275" s="76"/>
      <c r="CN275" s="76">
        <f>+CM275*22000</f>
        <v>0</v>
      </c>
      <c r="CO275" s="76"/>
      <c r="CP275" s="76">
        <f>+CO275*46000</f>
        <v>0</v>
      </c>
      <c r="CQ275" s="76"/>
      <c r="CR275" s="76">
        <f>+CQ275*49000</f>
        <v>0</v>
      </c>
      <c r="CS275" s="76"/>
      <c r="CT275" s="76"/>
      <c r="CU275" s="56">
        <f>AN275+AP275+AR275+AT275+AV275+AX275+AZ275+BB275+BD275+BF275+BH275+BJ275+BL275+BN275+BP275+BR275+BT275+BV275+BX275+BZ275+CB275+CD275+CF275+CH275+CJ275+CL275+CN275+CP275+CR275+CT275</f>
        <v>0</v>
      </c>
      <c r="CV275" s="76"/>
      <c r="CW275" s="76">
        <f>+CV275*1100</f>
        <v>0</v>
      </c>
      <c r="CX275" s="76"/>
      <c r="CY275" s="76">
        <f>+CX275*106250</f>
        <v>0</v>
      </c>
      <c r="CZ275" s="76"/>
      <c r="DA275" s="76">
        <f>+CZ275*34500</f>
        <v>0</v>
      </c>
      <c r="DB275" s="76"/>
      <c r="DC275" s="76">
        <f>+DB275*25000</f>
        <v>0</v>
      </c>
      <c r="DD275" s="219"/>
      <c r="DE275" s="219"/>
      <c r="DF275" s="164"/>
      <c r="DG275" s="116"/>
      <c r="DH275" s="117"/>
      <c r="DI275" s="24"/>
      <c r="DJ275" s="24"/>
      <c r="DK275" s="24"/>
      <c r="DL275" s="24"/>
      <c r="DM275" s="24"/>
      <c r="DN275" s="24"/>
      <c r="DO275" s="24"/>
      <c r="DP275" s="24"/>
      <c r="DQ275" s="24"/>
      <c r="DR275" s="24"/>
      <c r="DS275" s="24"/>
      <c r="DT275" s="24"/>
      <c r="DU275" s="24"/>
    </row>
    <row r="276" spans="1:125" s="8" customFormat="1" ht="96" x14ac:dyDescent="0.2">
      <c r="A276" s="77">
        <v>41291</v>
      </c>
      <c r="B276" s="78" t="s">
        <v>2906</v>
      </c>
      <c r="C276" s="75" t="s">
        <v>2739</v>
      </c>
      <c r="D276" s="81" t="s">
        <v>2846</v>
      </c>
      <c r="E276" s="75" t="str">
        <f>VLOOKUP(B276&amp;C276,Divipola!$C$2:$F$1138,4,FALSE)</f>
        <v>47001</v>
      </c>
      <c r="F276" s="87"/>
      <c r="G276" s="87"/>
      <c r="H276" s="87"/>
      <c r="I276" s="87"/>
      <c r="J276" s="87"/>
      <c r="K276" s="87"/>
      <c r="L276" s="87"/>
      <c r="M276" s="87"/>
      <c r="N276" s="87"/>
      <c r="O276" s="87"/>
      <c r="P276" s="87"/>
      <c r="Q276" s="87"/>
      <c r="R276" s="87"/>
      <c r="S276" s="87"/>
      <c r="T276" s="87"/>
      <c r="U276" s="127"/>
      <c r="V276" s="89"/>
      <c r="W276" s="96">
        <v>0</v>
      </c>
      <c r="X276" s="71">
        <f>CU276</f>
        <v>0</v>
      </c>
      <c r="Y276" s="71">
        <f>CY276</f>
        <v>0</v>
      </c>
      <c r="Z276" s="71">
        <f>DA276+DC276+DE276</f>
        <v>0</v>
      </c>
      <c r="AA276" s="71">
        <f>CW276</f>
        <v>0</v>
      </c>
      <c r="AB276" s="71"/>
      <c r="AC276" s="71">
        <v>0</v>
      </c>
      <c r="AD276" s="71">
        <f>W276+X276+Y276+Z276+AA276+AB276+AC276</f>
        <v>0</v>
      </c>
      <c r="AE276" s="72">
        <v>0</v>
      </c>
      <c r="AF276" s="5"/>
      <c r="AG276" s="6"/>
      <c r="AH276" s="27" t="s">
        <v>3390</v>
      </c>
      <c r="AI276" s="44" t="s">
        <v>3391</v>
      </c>
      <c r="AJ276" s="26"/>
      <c r="AK276" s="5" t="s">
        <v>3397</v>
      </c>
      <c r="AL276" s="82" t="s">
        <v>3109</v>
      </c>
      <c r="AM276" s="76"/>
      <c r="AN276" s="76"/>
      <c r="AO276" s="76"/>
      <c r="AP276" s="76"/>
      <c r="AQ276" s="76"/>
      <c r="AR276" s="76"/>
      <c r="AS276" s="76"/>
      <c r="AT276" s="76"/>
      <c r="AU276" s="76"/>
      <c r="AV276" s="76"/>
      <c r="AW276" s="76"/>
      <c r="AX276" s="76">
        <f>+AW276*600000</f>
        <v>0</v>
      </c>
      <c r="AY276" s="76"/>
      <c r="AZ276" s="76">
        <f>+AY276*70000</f>
        <v>0</v>
      </c>
      <c r="BA276" s="76"/>
      <c r="BB276" s="76"/>
      <c r="BC276" s="76"/>
      <c r="BD276" s="76">
        <f>+BC276*30000</f>
        <v>0</v>
      </c>
      <c r="BE276" s="76"/>
      <c r="BF276" s="76"/>
      <c r="BG276" s="76"/>
      <c r="BH276" s="76"/>
      <c r="BI276" s="76"/>
      <c r="BJ276" s="76"/>
      <c r="BK276" s="76"/>
      <c r="BL276" s="76">
        <f>+BK276*31500</f>
        <v>0</v>
      </c>
      <c r="BM276" s="76"/>
      <c r="BN276" s="76"/>
      <c r="BO276" s="76"/>
      <c r="BP276" s="76"/>
      <c r="BQ276" s="76"/>
      <c r="BR276" s="76"/>
      <c r="BS276" s="76"/>
      <c r="BT276" s="76"/>
      <c r="BU276" s="76"/>
      <c r="BV276" s="76"/>
      <c r="BW276" s="76"/>
      <c r="BX276" s="76"/>
      <c r="BY276" s="76"/>
      <c r="BZ276" s="76"/>
      <c r="CA276" s="76"/>
      <c r="CB276" s="76"/>
      <c r="CC276" s="76"/>
      <c r="CD276" s="76"/>
      <c r="CE276" s="76"/>
      <c r="CF276" s="76">
        <f>+CE276*28000</f>
        <v>0</v>
      </c>
      <c r="CG276" s="76"/>
      <c r="CH276" s="76">
        <f>+CG276*22500</f>
        <v>0</v>
      </c>
      <c r="CI276" s="76"/>
      <c r="CJ276" s="76">
        <f>+CI276*26000</f>
        <v>0</v>
      </c>
      <c r="CK276" s="76"/>
      <c r="CL276" s="76"/>
      <c r="CM276" s="76"/>
      <c r="CN276" s="76">
        <f>+CM276*22000</f>
        <v>0</v>
      </c>
      <c r="CO276" s="76"/>
      <c r="CP276" s="76">
        <f>+CO276*46000</f>
        <v>0</v>
      </c>
      <c r="CQ276" s="76"/>
      <c r="CR276" s="76">
        <f>+CQ276*49000</f>
        <v>0</v>
      </c>
      <c r="CS276" s="76"/>
      <c r="CT276" s="76"/>
      <c r="CU276" s="56">
        <f>AN276+AP276+AR276+AT276+AV276+AX276+AZ276+BB276+BD276+BF276+BH276+BJ276+BL276+BN276+BP276+BR276+BT276+BV276+BX276+BZ276+CB276+CD276+CF276+CH276+CJ276+CL276+CN276+CP276+CR276+CT276</f>
        <v>0</v>
      </c>
      <c r="CV276" s="76"/>
      <c r="CW276" s="76">
        <f>+CV276*1100</f>
        <v>0</v>
      </c>
      <c r="CX276" s="76"/>
      <c r="CY276" s="76">
        <f>+CX276*106250</f>
        <v>0</v>
      </c>
      <c r="CZ276" s="76"/>
      <c r="DA276" s="76">
        <f>+CZ276*34500</f>
        <v>0</v>
      </c>
      <c r="DB276" s="76"/>
      <c r="DC276" s="76">
        <f>+DB276*25000</f>
        <v>0</v>
      </c>
      <c r="DD276" s="219"/>
      <c r="DE276" s="219"/>
      <c r="DF276" s="164"/>
      <c r="DG276" s="116"/>
      <c r="DH276" s="117"/>
      <c r="DI276" s="24"/>
      <c r="DJ276" s="24"/>
      <c r="DK276" s="24"/>
      <c r="DL276" s="24"/>
      <c r="DM276" s="24"/>
      <c r="DN276" s="24"/>
      <c r="DO276" s="24"/>
      <c r="DP276" s="24"/>
      <c r="DQ276" s="24"/>
      <c r="DR276" s="24"/>
      <c r="DS276" s="24"/>
      <c r="DT276" s="24"/>
      <c r="DU276" s="24"/>
    </row>
    <row r="277" spans="1:125" s="8" customFormat="1" ht="24" x14ac:dyDescent="0.2">
      <c r="A277" s="5">
        <v>41291</v>
      </c>
      <c r="B277" s="84" t="s">
        <v>2880</v>
      </c>
      <c r="C277" s="84" t="s">
        <v>241</v>
      </c>
      <c r="D277" s="84" t="s">
        <v>3088</v>
      </c>
      <c r="E277" s="75" t="str">
        <f>VLOOKUP(B277&amp;C277,Divipola!$C$2:$F$1138,4,FALSE)</f>
        <v>54313</v>
      </c>
      <c r="F277" s="87"/>
      <c r="G277" s="87"/>
      <c r="H277" s="87"/>
      <c r="I277" s="87"/>
      <c r="J277" s="87"/>
      <c r="K277" s="87"/>
      <c r="L277" s="87"/>
      <c r="M277" s="87"/>
      <c r="N277" s="87"/>
      <c r="O277" s="87"/>
      <c r="P277" s="87"/>
      <c r="Q277" s="87"/>
      <c r="R277" s="87"/>
      <c r="S277" s="87"/>
      <c r="T277" s="87"/>
      <c r="U277" s="127"/>
      <c r="V277" s="89"/>
      <c r="W277" s="96">
        <v>0</v>
      </c>
      <c r="X277" s="71">
        <f>CU277</f>
        <v>0</v>
      </c>
      <c r="Y277" s="71">
        <f>CY277</f>
        <v>163485000</v>
      </c>
      <c r="Z277" s="71">
        <f>DA277+DC277+DE277</f>
        <v>0</v>
      </c>
      <c r="AA277" s="71">
        <f>CW277</f>
        <v>0</v>
      </c>
      <c r="AB277" s="71"/>
      <c r="AC277" s="71">
        <v>0</v>
      </c>
      <c r="AD277" s="71">
        <f>W277+X277+Y277+Z277+AA277+AB277+AC277</f>
        <v>163485000</v>
      </c>
      <c r="AE277" s="72">
        <v>0</v>
      </c>
      <c r="AF277" s="5"/>
      <c r="AG277" s="6"/>
      <c r="AH277" s="27" t="s">
        <v>3390</v>
      </c>
      <c r="AI277" s="44" t="s">
        <v>3391</v>
      </c>
      <c r="AJ277" s="26"/>
      <c r="AK277" s="5"/>
      <c r="AL277" s="82" t="s">
        <v>3089</v>
      </c>
      <c r="AM277" s="76"/>
      <c r="AN277" s="76"/>
      <c r="AO277" s="76"/>
      <c r="AP277" s="76"/>
      <c r="AQ277" s="76"/>
      <c r="AR277" s="76"/>
      <c r="AS277" s="76"/>
      <c r="AT277" s="76"/>
      <c r="AU277" s="76"/>
      <c r="AV277" s="76"/>
      <c r="AW277" s="76"/>
      <c r="AX277" s="76">
        <f>+AW277*600000</f>
        <v>0</v>
      </c>
      <c r="AY277" s="76"/>
      <c r="AZ277" s="76">
        <f>+AY277*70000</f>
        <v>0</v>
      </c>
      <c r="BA277" s="76"/>
      <c r="BB277" s="76"/>
      <c r="BC277" s="76"/>
      <c r="BD277" s="76">
        <f>+BC277*30000</f>
        <v>0</v>
      </c>
      <c r="BE277" s="76"/>
      <c r="BF277" s="76"/>
      <c r="BG277" s="76"/>
      <c r="BH277" s="76"/>
      <c r="BI277" s="76"/>
      <c r="BJ277" s="76"/>
      <c r="BK277" s="76"/>
      <c r="BL277" s="76">
        <f>+BK277*31500</f>
        <v>0</v>
      </c>
      <c r="BM277" s="76"/>
      <c r="BN277" s="76"/>
      <c r="BO277" s="76"/>
      <c r="BP277" s="76"/>
      <c r="BQ277" s="76"/>
      <c r="BR277" s="76"/>
      <c r="BS277" s="76"/>
      <c r="BT277" s="76"/>
      <c r="BU277" s="76"/>
      <c r="BV277" s="76"/>
      <c r="BW277" s="76"/>
      <c r="BX277" s="76"/>
      <c r="BY277" s="76"/>
      <c r="BZ277" s="76"/>
      <c r="CA277" s="76"/>
      <c r="CB277" s="76"/>
      <c r="CC277" s="76"/>
      <c r="CD277" s="76"/>
      <c r="CE277" s="76"/>
      <c r="CF277" s="76">
        <f>+CE277*28000</f>
        <v>0</v>
      </c>
      <c r="CG277" s="76"/>
      <c r="CH277" s="76">
        <f>+CG277*22500</f>
        <v>0</v>
      </c>
      <c r="CI277" s="76"/>
      <c r="CJ277" s="76">
        <f>+CI277*26000</f>
        <v>0</v>
      </c>
      <c r="CK277" s="76"/>
      <c r="CL277" s="76"/>
      <c r="CM277" s="76"/>
      <c r="CN277" s="76">
        <f>+CM277*22000</f>
        <v>0</v>
      </c>
      <c r="CO277" s="76"/>
      <c r="CP277" s="76">
        <f>+CO277*46000</f>
        <v>0</v>
      </c>
      <c r="CQ277" s="76"/>
      <c r="CR277" s="76">
        <f>+CQ277*49000</f>
        <v>0</v>
      </c>
      <c r="CS277" s="76"/>
      <c r="CT277" s="76"/>
      <c r="CU277" s="56">
        <f>AN277+AP277+AR277+AT277+AV277+AX277+AZ277+BB277+BD277+BF277+BH277+BJ277+BL277+BN277+BP277+BR277+BT277+BV277+BX277+BZ277+CB277+CD277+CF277+CH277+CJ277+CL277+CN277+CP277+CR277+CT277</f>
        <v>0</v>
      </c>
      <c r="CV277" s="76"/>
      <c r="CW277" s="76">
        <f>+CV277*1100</f>
        <v>0</v>
      </c>
      <c r="CX277" s="86">
        <v>1557</v>
      </c>
      <c r="CY277" s="86">
        <f>+CX277*105000</f>
        <v>163485000</v>
      </c>
      <c r="CZ277" s="76"/>
      <c r="DA277" s="76">
        <f>+CZ277*34500</f>
        <v>0</v>
      </c>
      <c r="DB277" s="76"/>
      <c r="DC277" s="76">
        <f>+DB277*25000</f>
        <v>0</v>
      </c>
      <c r="DD277" s="219"/>
      <c r="DE277" s="219"/>
      <c r="DF277" s="164"/>
      <c r="DG277" s="134" t="s">
        <v>5107</v>
      </c>
      <c r="DH277" s="117"/>
      <c r="DI277" s="24"/>
      <c r="DJ277" s="24"/>
      <c r="DK277" s="24"/>
      <c r="DL277" s="24"/>
      <c r="DM277" s="24"/>
      <c r="DN277" s="24"/>
      <c r="DO277" s="24"/>
      <c r="DP277" s="24"/>
      <c r="DQ277" s="24"/>
      <c r="DR277" s="24"/>
      <c r="DS277" s="24"/>
      <c r="DT277" s="24"/>
      <c r="DU277" s="24"/>
    </row>
    <row r="278" spans="1:125" s="8" customFormat="1" ht="48" x14ac:dyDescent="0.2">
      <c r="A278" s="77">
        <v>41291</v>
      </c>
      <c r="B278" s="80" t="s">
        <v>2860</v>
      </c>
      <c r="C278" s="81" t="s">
        <v>2768</v>
      </c>
      <c r="D278" s="81" t="s">
        <v>2859</v>
      </c>
      <c r="E278" s="75" t="str">
        <f>VLOOKUP(B278&amp;C278,Divipola!$C$2:$F$1138,4,FALSE)</f>
        <v>63401</v>
      </c>
      <c r="F278" s="87"/>
      <c r="G278" s="87"/>
      <c r="H278" s="87"/>
      <c r="I278" s="87">
        <v>5</v>
      </c>
      <c r="J278" s="87">
        <v>1</v>
      </c>
      <c r="K278" s="87"/>
      <c r="L278" s="87">
        <v>1</v>
      </c>
      <c r="M278" s="87"/>
      <c r="N278" s="87"/>
      <c r="O278" s="87"/>
      <c r="P278" s="87"/>
      <c r="Q278" s="87"/>
      <c r="R278" s="87"/>
      <c r="S278" s="87"/>
      <c r="T278" s="87"/>
      <c r="U278" s="127"/>
      <c r="V278" s="89"/>
      <c r="W278" s="96">
        <v>0</v>
      </c>
      <c r="X278" s="71">
        <f>CU278</f>
        <v>0</v>
      </c>
      <c r="Y278" s="71">
        <f>CY278</f>
        <v>0</v>
      </c>
      <c r="Z278" s="71">
        <f>DA278+DC278+DE278</f>
        <v>0</v>
      </c>
      <c r="AA278" s="71">
        <f>CW278</f>
        <v>0</v>
      </c>
      <c r="AB278" s="71"/>
      <c r="AC278" s="71">
        <v>0</v>
      </c>
      <c r="AD278" s="71">
        <f>W278+X278+Y278+Z278+AA278+AB278+AC278</f>
        <v>0</v>
      </c>
      <c r="AE278" s="72">
        <v>0</v>
      </c>
      <c r="AF278" s="5"/>
      <c r="AG278" s="6"/>
      <c r="AH278" s="27" t="s">
        <v>3392</v>
      </c>
      <c r="AI278" s="44" t="s">
        <v>3393</v>
      </c>
      <c r="AJ278" s="26"/>
      <c r="AK278" s="5"/>
      <c r="AL278" s="82" t="s">
        <v>3119</v>
      </c>
      <c r="AM278" s="76"/>
      <c r="AN278" s="76"/>
      <c r="AO278" s="76"/>
      <c r="AP278" s="76"/>
      <c r="AQ278" s="76"/>
      <c r="AR278" s="76"/>
      <c r="AS278" s="76"/>
      <c r="AT278" s="76"/>
      <c r="AU278" s="76"/>
      <c r="AV278" s="76"/>
      <c r="AW278" s="76"/>
      <c r="AX278" s="76">
        <f>+AW278*600000</f>
        <v>0</v>
      </c>
      <c r="AY278" s="76"/>
      <c r="AZ278" s="76">
        <f>+AY278*70000</f>
        <v>0</v>
      </c>
      <c r="BA278" s="76"/>
      <c r="BB278" s="76"/>
      <c r="BC278" s="76"/>
      <c r="BD278" s="76">
        <f>+BC278*30000</f>
        <v>0</v>
      </c>
      <c r="BE278" s="76"/>
      <c r="BF278" s="76"/>
      <c r="BG278" s="76"/>
      <c r="BH278" s="76"/>
      <c r="BI278" s="76"/>
      <c r="BJ278" s="76"/>
      <c r="BK278" s="76"/>
      <c r="BL278" s="76">
        <f>+BK278*31500</f>
        <v>0</v>
      </c>
      <c r="BM278" s="76"/>
      <c r="BN278" s="76"/>
      <c r="BO278" s="76"/>
      <c r="BP278" s="76"/>
      <c r="BQ278" s="76"/>
      <c r="BR278" s="76"/>
      <c r="BS278" s="76"/>
      <c r="BT278" s="76"/>
      <c r="BU278" s="76"/>
      <c r="BV278" s="76"/>
      <c r="BW278" s="76"/>
      <c r="BX278" s="76"/>
      <c r="BY278" s="76"/>
      <c r="BZ278" s="76"/>
      <c r="CA278" s="76"/>
      <c r="CB278" s="76"/>
      <c r="CC278" s="76"/>
      <c r="CD278" s="76"/>
      <c r="CE278" s="76"/>
      <c r="CF278" s="76">
        <f>+CE278*28000</f>
        <v>0</v>
      </c>
      <c r="CG278" s="76"/>
      <c r="CH278" s="76">
        <f>+CG278*22500</f>
        <v>0</v>
      </c>
      <c r="CI278" s="76"/>
      <c r="CJ278" s="76">
        <f>+CI278*26000</f>
        <v>0</v>
      </c>
      <c r="CK278" s="76"/>
      <c r="CL278" s="76"/>
      <c r="CM278" s="76"/>
      <c r="CN278" s="76">
        <f>+CM278*22000</f>
        <v>0</v>
      </c>
      <c r="CO278" s="76"/>
      <c r="CP278" s="76">
        <f>+CO278*46000</f>
        <v>0</v>
      </c>
      <c r="CQ278" s="76"/>
      <c r="CR278" s="76">
        <f>+CQ278*49000</f>
        <v>0</v>
      </c>
      <c r="CS278" s="76"/>
      <c r="CT278" s="76"/>
      <c r="CU278" s="56">
        <f>AN278+AP278+AR278+AT278+AV278+AX278+AZ278+BB278+BD278+BF278+BH278+BJ278+BL278+BN278+BP278+BR278+BT278+BV278+BX278+BZ278+CB278+CD278+CF278+CH278+CJ278+CL278+CN278+CP278+CR278+CT278</f>
        <v>0</v>
      </c>
      <c r="CV278" s="76"/>
      <c r="CW278" s="76">
        <f>+CV278*1100</f>
        <v>0</v>
      </c>
      <c r="CX278" s="76"/>
      <c r="CY278" s="76">
        <f>+CX278*106250</f>
        <v>0</v>
      </c>
      <c r="CZ278" s="76"/>
      <c r="DA278" s="76">
        <f>+CZ278*34500</f>
        <v>0</v>
      </c>
      <c r="DB278" s="76"/>
      <c r="DC278" s="76">
        <f>+DB278*25000</f>
        <v>0</v>
      </c>
      <c r="DD278" s="219"/>
      <c r="DE278" s="219"/>
      <c r="DF278" s="164"/>
      <c r="DG278" s="116"/>
      <c r="DH278" s="117"/>
      <c r="DI278" s="24"/>
      <c r="DJ278" s="24"/>
      <c r="DK278" s="24"/>
      <c r="DL278" s="24"/>
      <c r="DM278" s="24"/>
      <c r="DN278" s="24"/>
      <c r="DO278" s="24"/>
      <c r="DP278" s="24"/>
      <c r="DQ278" s="24"/>
      <c r="DR278" s="24"/>
      <c r="DS278" s="24"/>
      <c r="DT278" s="24"/>
      <c r="DU278" s="24"/>
    </row>
    <row r="279" spans="1:125" s="8" customFormat="1" ht="48" x14ac:dyDescent="0.2">
      <c r="A279" s="77">
        <v>41291</v>
      </c>
      <c r="B279" s="80" t="s">
        <v>2860</v>
      </c>
      <c r="C279" s="81" t="s">
        <v>2764</v>
      </c>
      <c r="D279" s="81" t="s">
        <v>2846</v>
      </c>
      <c r="E279" s="75" t="str">
        <f>VLOOKUP(B279&amp;C279,Divipola!$C$2:$F$1138,4,FALSE)</f>
        <v>63594</v>
      </c>
      <c r="F279" s="87"/>
      <c r="G279" s="87"/>
      <c r="H279" s="87"/>
      <c r="I279" s="87"/>
      <c r="J279" s="87"/>
      <c r="K279" s="87"/>
      <c r="L279" s="87"/>
      <c r="M279" s="87"/>
      <c r="N279" s="87"/>
      <c r="O279" s="87"/>
      <c r="P279" s="87"/>
      <c r="Q279" s="87"/>
      <c r="R279" s="87"/>
      <c r="S279" s="87"/>
      <c r="T279" s="87"/>
      <c r="U279" s="127"/>
      <c r="V279" s="89"/>
      <c r="W279" s="96">
        <v>0</v>
      </c>
      <c r="X279" s="71">
        <f>CU279</f>
        <v>0</v>
      </c>
      <c r="Y279" s="71">
        <f>CY279</f>
        <v>0</v>
      </c>
      <c r="Z279" s="71">
        <f>DA279+DC279+DE279</f>
        <v>0</v>
      </c>
      <c r="AA279" s="71">
        <f>CW279</f>
        <v>0</v>
      </c>
      <c r="AB279" s="71"/>
      <c r="AC279" s="71">
        <v>0</v>
      </c>
      <c r="AD279" s="71">
        <f>W279+X279+Y279+Z279+AA279+AB279+AC279</f>
        <v>0</v>
      </c>
      <c r="AE279" s="72">
        <v>0</v>
      </c>
      <c r="AF279" s="5"/>
      <c r="AG279" s="6"/>
      <c r="AH279" s="27" t="s">
        <v>3392</v>
      </c>
      <c r="AI279" s="44" t="s">
        <v>3393</v>
      </c>
      <c r="AJ279" s="26"/>
      <c r="AK279" s="5"/>
      <c r="AL279" s="82" t="s">
        <v>3118</v>
      </c>
      <c r="AM279" s="76"/>
      <c r="AN279" s="76"/>
      <c r="AO279" s="76"/>
      <c r="AP279" s="76"/>
      <c r="AQ279" s="76"/>
      <c r="AR279" s="76"/>
      <c r="AS279" s="76"/>
      <c r="AT279" s="76"/>
      <c r="AU279" s="76"/>
      <c r="AV279" s="76"/>
      <c r="AW279" s="76"/>
      <c r="AX279" s="76">
        <f>+AW279*600000</f>
        <v>0</v>
      </c>
      <c r="AY279" s="76"/>
      <c r="AZ279" s="76">
        <f>+AY279*70000</f>
        <v>0</v>
      </c>
      <c r="BA279" s="76"/>
      <c r="BB279" s="76"/>
      <c r="BC279" s="76"/>
      <c r="BD279" s="76">
        <f>+BC279*30000</f>
        <v>0</v>
      </c>
      <c r="BE279" s="76"/>
      <c r="BF279" s="76"/>
      <c r="BG279" s="76"/>
      <c r="BH279" s="76"/>
      <c r="BI279" s="76"/>
      <c r="BJ279" s="76"/>
      <c r="BK279" s="76"/>
      <c r="BL279" s="76">
        <f>+BK279*31500</f>
        <v>0</v>
      </c>
      <c r="BM279" s="76"/>
      <c r="BN279" s="76"/>
      <c r="BO279" s="76"/>
      <c r="BP279" s="76"/>
      <c r="BQ279" s="76"/>
      <c r="BR279" s="76"/>
      <c r="BS279" s="76"/>
      <c r="BT279" s="76"/>
      <c r="BU279" s="76"/>
      <c r="BV279" s="76"/>
      <c r="BW279" s="76"/>
      <c r="BX279" s="76"/>
      <c r="BY279" s="76"/>
      <c r="BZ279" s="76"/>
      <c r="CA279" s="76"/>
      <c r="CB279" s="76"/>
      <c r="CC279" s="76"/>
      <c r="CD279" s="76"/>
      <c r="CE279" s="76"/>
      <c r="CF279" s="76">
        <f>+CE279*28000</f>
        <v>0</v>
      </c>
      <c r="CG279" s="76"/>
      <c r="CH279" s="76">
        <f>+CG279*22500</f>
        <v>0</v>
      </c>
      <c r="CI279" s="76"/>
      <c r="CJ279" s="76">
        <f>+CI279*26000</f>
        <v>0</v>
      </c>
      <c r="CK279" s="76"/>
      <c r="CL279" s="76"/>
      <c r="CM279" s="76"/>
      <c r="CN279" s="76">
        <f>+CM279*22000</f>
        <v>0</v>
      </c>
      <c r="CO279" s="76"/>
      <c r="CP279" s="76">
        <f>+CO279*46000</f>
        <v>0</v>
      </c>
      <c r="CQ279" s="76"/>
      <c r="CR279" s="76">
        <f>+CQ279*49000</f>
        <v>0</v>
      </c>
      <c r="CS279" s="76"/>
      <c r="CT279" s="76"/>
      <c r="CU279" s="56">
        <f>AN279+AP279+AR279+AT279+AV279+AX279+AZ279+BB279+BD279+BF279+BH279+BJ279+BL279+BN279+BP279+BR279+BT279+BV279+BX279+BZ279+CB279+CD279+CF279+CH279+CJ279+CL279+CN279+CP279+CR279+CT279</f>
        <v>0</v>
      </c>
      <c r="CV279" s="76"/>
      <c r="CW279" s="76">
        <f>+CV279*1100</f>
        <v>0</v>
      </c>
      <c r="CX279" s="76"/>
      <c r="CY279" s="76">
        <f>+CX279*106250</f>
        <v>0</v>
      </c>
      <c r="CZ279" s="76"/>
      <c r="DA279" s="76">
        <f>+CZ279*34500</f>
        <v>0</v>
      </c>
      <c r="DB279" s="76"/>
      <c r="DC279" s="76">
        <f>+DB279*25000</f>
        <v>0</v>
      </c>
      <c r="DD279" s="219"/>
      <c r="DE279" s="219"/>
      <c r="DF279" s="164"/>
      <c r="DG279" s="116"/>
      <c r="DH279" s="117"/>
      <c r="DI279" s="24"/>
      <c r="DJ279" s="24"/>
      <c r="DK279" s="24"/>
      <c r="DL279" s="24"/>
      <c r="DM279" s="24"/>
      <c r="DN279" s="24"/>
      <c r="DO279" s="24"/>
      <c r="DP279" s="24"/>
      <c r="DQ279" s="24"/>
      <c r="DR279" s="24"/>
      <c r="DS279" s="24"/>
      <c r="DT279" s="24"/>
      <c r="DU279" s="24"/>
    </row>
    <row r="280" spans="1:125" s="8" customFormat="1" ht="72" x14ac:dyDescent="0.2">
      <c r="A280" s="77">
        <v>41291</v>
      </c>
      <c r="B280" s="78" t="s">
        <v>2847</v>
      </c>
      <c r="C280" s="75" t="s">
        <v>1378</v>
      </c>
      <c r="D280" s="81" t="s">
        <v>2846</v>
      </c>
      <c r="E280" s="75" t="str">
        <f>VLOOKUP(B280&amp;C280,Divipola!$C$2:$F$1138,4,FALSE)</f>
        <v>68077</v>
      </c>
      <c r="F280" s="87"/>
      <c r="G280" s="87"/>
      <c r="H280" s="87"/>
      <c r="I280" s="87"/>
      <c r="J280" s="87"/>
      <c r="K280" s="87"/>
      <c r="L280" s="87"/>
      <c r="M280" s="87"/>
      <c r="N280" s="87"/>
      <c r="O280" s="87"/>
      <c r="P280" s="87"/>
      <c r="Q280" s="87"/>
      <c r="R280" s="87"/>
      <c r="S280" s="87"/>
      <c r="T280" s="87"/>
      <c r="U280" s="127">
        <v>3</v>
      </c>
      <c r="V280" s="89"/>
      <c r="W280" s="96">
        <v>0</v>
      </c>
      <c r="X280" s="71">
        <f>CU280</f>
        <v>0</v>
      </c>
      <c r="Y280" s="71">
        <f>CY280</f>
        <v>0</v>
      </c>
      <c r="Z280" s="71">
        <f>DA280+DC280+DE280</f>
        <v>0</v>
      </c>
      <c r="AA280" s="71">
        <f>CW280</f>
        <v>0</v>
      </c>
      <c r="AB280" s="71"/>
      <c r="AC280" s="71">
        <v>0</v>
      </c>
      <c r="AD280" s="71">
        <f>W280+X280+Y280+Z280+AA280+AB280+AC280</f>
        <v>0</v>
      </c>
      <c r="AE280" s="72">
        <v>0</v>
      </c>
      <c r="AF280" s="5"/>
      <c r="AG280" s="6"/>
      <c r="AH280" s="27" t="s">
        <v>3392</v>
      </c>
      <c r="AI280" s="44" t="s">
        <v>3393</v>
      </c>
      <c r="AJ280" s="26"/>
      <c r="AK280" s="5"/>
      <c r="AL280" s="82" t="s">
        <v>3096</v>
      </c>
      <c r="AM280" s="76"/>
      <c r="AN280" s="76"/>
      <c r="AO280" s="76"/>
      <c r="AP280" s="76"/>
      <c r="AQ280" s="76"/>
      <c r="AR280" s="76"/>
      <c r="AS280" s="76"/>
      <c r="AT280" s="76"/>
      <c r="AU280" s="76"/>
      <c r="AV280" s="76"/>
      <c r="AW280" s="76"/>
      <c r="AX280" s="76">
        <f>+AW280*600000</f>
        <v>0</v>
      </c>
      <c r="AY280" s="76"/>
      <c r="AZ280" s="76">
        <f>+AY280*70000</f>
        <v>0</v>
      </c>
      <c r="BA280" s="76"/>
      <c r="BB280" s="76"/>
      <c r="BC280" s="76"/>
      <c r="BD280" s="76">
        <f>+BC280*30000</f>
        <v>0</v>
      </c>
      <c r="BE280" s="76"/>
      <c r="BF280" s="76"/>
      <c r="BG280" s="76"/>
      <c r="BH280" s="76"/>
      <c r="BI280" s="76"/>
      <c r="BJ280" s="76"/>
      <c r="BK280" s="76"/>
      <c r="BL280" s="76">
        <f>+BK280*31500</f>
        <v>0</v>
      </c>
      <c r="BM280" s="76"/>
      <c r="BN280" s="76"/>
      <c r="BO280" s="76"/>
      <c r="BP280" s="76"/>
      <c r="BQ280" s="76"/>
      <c r="BR280" s="76"/>
      <c r="BS280" s="76"/>
      <c r="BT280" s="76"/>
      <c r="BU280" s="76"/>
      <c r="BV280" s="76"/>
      <c r="BW280" s="76"/>
      <c r="BX280" s="76"/>
      <c r="BY280" s="76"/>
      <c r="BZ280" s="76"/>
      <c r="CA280" s="76"/>
      <c r="CB280" s="76"/>
      <c r="CC280" s="76"/>
      <c r="CD280" s="76"/>
      <c r="CE280" s="76"/>
      <c r="CF280" s="76">
        <f>+CE280*28000</f>
        <v>0</v>
      </c>
      <c r="CG280" s="76"/>
      <c r="CH280" s="76">
        <f>+CG280*22500</f>
        <v>0</v>
      </c>
      <c r="CI280" s="76"/>
      <c r="CJ280" s="76">
        <f>+CI280*26000</f>
        <v>0</v>
      </c>
      <c r="CK280" s="76"/>
      <c r="CL280" s="76"/>
      <c r="CM280" s="76"/>
      <c r="CN280" s="76">
        <f>+CM280*22000</f>
        <v>0</v>
      </c>
      <c r="CO280" s="76"/>
      <c r="CP280" s="76">
        <f>+CO280*46000</f>
        <v>0</v>
      </c>
      <c r="CQ280" s="76"/>
      <c r="CR280" s="76">
        <f>+CQ280*49000</f>
        <v>0</v>
      </c>
      <c r="CS280" s="76"/>
      <c r="CT280" s="76"/>
      <c r="CU280" s="56">
        <f>AN280+AP280+AR280+AT280+AV280+AX280+AZ280+BB280+BD280+BF280+BH280+BJ280+BL280+BN280+BP280+BR280+BT280+BV280+BX280+BZ280+CB280+CD280+CF280+CH280+CJ280+CL280+CN280+CP280+CR280+CT280</f>
        <v>0</v>
      </c>
      <c r="CV280" s="76"/>
      <c r="CW280" s="76">
        <f>+CV280*1100</f>
        <v>0</v>
      </c>
      <c r="CX280" s="76"/>
      <c r="CY280" s="76">
        <f>+CX280*106250</f>
        <v>0</v>
      </c>
      <c r="CZ280" s="76"/>
      <c r="DA280" s="76">
        <f>+CZ280*34500</f>
        <v>0</v>
      </c>
      <c r="DB280" s="76"/>
      <c r="DC280" s="76">
        <f>+DB280*25000</f>
        <v>0</v>
      </c>
      <c r="DD280" s="219"/>
      <c r="DE280" s="219"/>
      <c r="DF280" s="164"/>
      <c r="DG280" s="116"/>
      <c r="DH280" s="117"/>
      <c r="DI280" s="24"/>
      <c r="DJ280" s="24"/>
      <c r="DK280" s="24"/>
      <c r="DL280" s="24"/>
      <c r="DM280" s="24"/>
      <c r="DN280" s="24"/>
      <c r="DO280" s="24"/>
      <c r="DP280" s="24"/>
      <c r="DQ280" s="24"/>
      <c r="DR280" s="24"/>
      <c r="DS280" s="24"/>
      <c r="DT280" s="24"/>
      <c r="DU280" s="24"/>
    </row>
    <row r="281" spans="1:125" s="8" customFormat="1" ht="72" x14ac:dyDescent="0.2">
      <c r="A281" s="77">
        <v>41291</v>
      </c>
      <c r="B281" s="78" t="s">
        <v>2847</v>
      </c>
      <c r="C281" s="75" t="s">
        <v>1745</v>
      </c>
      <c r="D281" s="84" t="s">
        <v>3088</v>
      </c>
      <c r="E281" s="75" t="str">
        <f>VLOOKUP(B281&amp;C281,Divipola!$C$2:$F$1138,4,FALSE)</f>
        <v>68502</v>
      </c>
      <c r="F281" s="87"/>
      <c r="G281" s="87"/>
      <c r="H281" s="87"/>
      <c r="I281" s="87"/>
      <c r="J281" s="87"/>
      <c r="K281" s="87"/>
      <c r="L281" s="87"/>
      <c r="M281" s="87"/>
      <c r="N281" s="87"/>
      <c r="O281" s="87"/>
      <c r="P281" s="87"/>
      <c r="Q281" s="87"/>
      <c r="R281" s="87"/>
      <c r="S281" s="87"/>
      <c r="T281" s="87"/>
      <c r="U281" s="127"/>
      <c r="V281" s="89"/>
      <c r="W281" s="96">
        <v>0</v>
      </c>
      <c r="X281" s="71">
        <f>CU281</f>
        <v>0</v>
      </c>
      <c r="Y281" s="71">
        <f>CY281</f>
        <v>0</v>
      </c>
      <c r="Z281" s="71">
        <f>DA281+DC281+DE281</f>
        <v>0</v>
      </c>
      <c r="AA281" s="71">
        <f>CW281</f>
        <v>0</v>
      </c>
      <c r="AB281" s="71"/>
      <c r="AC281" s="71">
        <v>300950637</v>
      </c>
      <c r="AD281" s="71">
        <f>W281+X281+Y281+Z281+AA281+AB281+AC281</f>
        <v>300950637</v>
      </c>
      <c r="AE281" s="72">
        <v>0</v>
      </c>
      <c r="AF281" s="5"/>
      <c r="AG281" s="6"/>
      <c r="AH281" s="27" t="s">
        <v>3390</v>
      </c>
      <c r="AI281" s="44" t="s">
        <v>3391</v>
      </c>
      <c r="AJ281" s="26"/>
      <c r="AK281" s="5"/>
      <c r="AL281" s="82" t="s">
        <v>3095</v>
      </c>
      <c r="AM281" s="76"/>
      <c r="AN281" s="76"/>
      <c r="AO281" s="76"/>
      <c r="AP281" s="76"/>
      <c r="AQ281" s="76"/>
      <c r="AR281" s="76"/>
      <c r="AS281" s="76"/>
      <c r="AT281" s="76"/>
      <c r="AU281" s="76"/>
      <c r="AV281" s="76"/>
      <c r="AW281" s="76"/>
      <c r="AX281" s="76">
        <f>+AW281*600000</f>
        <v>0</v>
      </c>
      <c r="AY281" s="76"/>
      <c r="AZ281" s="76">
        <f>+AY281*70000</f>
        <v>0</v>
      </c>
      <c r="BA281" s="76"/>
      <c r="BB281" s="76"/>
      <c r="BC281" s="76"/>
      <c r="BD281" s="76">
        <f>+BC281*30000</f>
        <v>0</v>
      </c>
      <c r="BE281" s="76"/>
      <c r="BF281" s="76"/>
      <c r="BG281" s="76"/>
      <c r="BH281" s="76"/>
      <c r="BI281" s="76"/>
      <c r="BJ281" s="76"/>
      <c r="BK281" s="76"/>
      <c r="BL281" s="76">
        <f>+BK281*31500</f>
        <v>0</v>
      </c>
      <c r="BM281" s="76"/>
      <c r="BN281" s="76"/>
      <c r="BO281" s="76"/>
      <c r="BP281" s="76"/>
      <c r="BQ281" s="76"/>
      <c r="BR281" s="76"/>
      <c r="BS281" s="76"/>
      <c r="BT281" s="76"/>
      <c r="BU281" s="76"/>
      <c r="BV281" s="76"/>
      <c r="BW281" s="76"/>
      <c r="BX281" s="76"/>
      <c r="BY281" s="76"/>
      <c r="BZ281" s="76"/>
      <c r="CA281" s="76"/>
      <c r="CB281" s="76"/>
      <c r="CC281" s="76"/>
      <c r="CD281" s="76"/>
      <c r="CE281" s="76"/>
      <c r="CF281" s="76">
        <f>+CE281*28000</f>
        <v>0</v>
      </c>
      <c r="CG281" s="76"/>
      <c r="CH281" s="76">
        <f>+CG281*22500</f>
        <v>0</v>
      </c>
      <c r="CI281" s="76"/>
      <c r="CJ281" s="76">
        <f>+CI281*26000</f>
        <v>0</v>
      </c>
      <c r="CK281" s="76"/>
      <c r="CL281" s="76"/>
      <c r="CM281" s="76"/>
      <c r="CN281" s="76">
        <f>+CM281*22000</f>
        <v>0</v>
      </c>
      <c r="CO281" s="76"/>
      <c r="CP281" s="76">
        <f>+CO281*46000</f>
        <v>0</v>
      </c>
      <c r="CQ281" s="76"/>
      <c r="CR281" s="76">
        <f>+CQ281*49000</f>
        <v>0</v>
      </c>
      <c r="CS281" s="76"/>
      <c r="CT281" s="76"/>
      <c r="CU281" s="56">
        <f>AN281+AP281+AR281+AT281+AV281+AX281+AZ281+BB281+BD281+BF281+BH281+BJ281+BL281+BN281+BP281+BR281+BT281+BV281+BX281+BZ281+CB281+CD281+CF281+CH281+CJ281+CL281+CN281+CP281+CR281+CT281</f>
        <v>0</v>
      </c>
      <c r="CV281" s="76"/>
      <c r="CW281" s="76">
        <f>+CV281*1100</f>
        <v>0</v>
      </c>
      <c r="CX281" s="76"/>
      <c r="CY281" s="76">
        <f>+CX281*106250</f>
        <v>0</v>
      </c>
      <c r="CZ281" s="76"/>
      <c r="DA281" s="76">
        <f>+CZ281*34500</f>
        <v>0</v>
      </c>
      <c r="DB281" s="76"/>
      <c r="DC281" s="76">
        <f>+DB281*25000</f>
        <v>0</v>
      </c>
      <c r="DD281" s="219"/>
      <c r="DE281" s="219"/>
      <c r="DF281" s="166" t="s">
        <v>3248</v>
      </c>
      <c r="DG281" s="134" t="s">
        <v>4129</v>
      </c>
      <c r="DH281" s="117"/>
      <c r="DI281" s="24"/>
      <c r="DJ281" s="24"/>
      <c r="DK281" s="24"/>
      <c r="DL281" s="24"/>
      <c r="DM281" s="24"/>
      <c r="DN281" s="24"/>
      <c r="DO281" s="24"/>
      <c r="DP281" s="24"/>
      <c r="DQ281" s="24"/>
      <c r="DR281" s="24"/>
      <c r="DS281" s="24"/>
      <c r="DT281" s="24"/>
      <c r="DU281" s="24"/>
    </row>
    <row r="282" spans="1:125" s="8" customFormat="1" ht="60" x14ac:dyDescent="0.2">
      <c r="A282" s="85">
        <v>41292</v>
      </c>
      <c r="B282" s="80" t="s">
        <v>2894</v>
      </c>
      <c r="C282" s="81" t="s">
        <v>2032</v>
      </c>
      <c r="D282" s="81" t="s">
        <v>2859</v>
      </c>
      <c r="E282" s="75" t="str">
        <f>VLOOKUP(B282&amp;C282,Divipola!$C$2:$F$1138,4,FALSE)</f>
        <v>05001</v>
      </c>
      <c r="F282" s="87">
        <v>1</v>
      </c>
      <c r="G282" s="87">
        <v>2</v>
      </c>
      <c r="H282" s="87"/>
      <c r="I282" s="87">
        <v>4</v>
      </c>
      <c r="J282" s="87">
        <v>1</v>
      </c>
      <c r="K282" s="87">
        <v>1</v>
      </c>
      <c r="L282" s="87"/>
      <c r="M282" s="87"/>
      <c r="N282" s="87"/>
      <c r="O282" s="87"/>
      <c r="P282" s="87"/>
      <c r="Q282" s="87"/>
      <c r="R282" s="87"/>
      <c r="S282" s="87"/>
      <c r="T282" s="87"/>
      <c r="U282" s="127"/>
      <c r="V282" s="89"/>
      <c r="W282" s="96">
        <v>0</v>
      </c>
      <c r="X282" s="71">
        <f>CU282</f>
        <v>0</v>
      </c>
      <c r="Y282" s="71">
        <f>CY282</f>
        <v>0</v>
      </c>
      <c r="Z282" s="71">
        <f>DA282+DC282+DE282</f>
        <v>0</v>
      </c>
      <c r="AA282" s="71">
        <f>CW282</f>
        <v>0</v>
      </c>
      <c r="AB282" s="71"/>
      <c r="AC282" s="71">
        <v>0</v>
      </c>
      <c r="AD282" s="71">
        <f>W282+X282+Y282+Z282+AA282+AB282+AC282</f>
        <v>0</v>
      </c>
      <c r="AE282" s="72">
        <v>0</v>
      </c>
      <c r="AF282" s="5"/>
      <c r="AG282" s="6"/>
      <c r="AH282" s="27" t="s">
        <v>3392</v>
      </c>
      <c r="AI282" s="44" t="s">
        <v>3393</v>
      </c>
      <c r="AJ282" s="26"/>
      <c r="AK282" s="5"/>
      <c r="AL282" s="82" t="s">
        <v>3141</v>
      </c>
      <c r="AM282" s="76"/>
      <c r="AN282" s="76"/>
      <c r="AO282" s="76"/>
      <c r="AP282" s="76"/>
      <c r="AQ282" s="76"/>
      <c r="AR282" s="76"/>
      <c r="AS282" s="76"/>
      <c r="AT282" s="76"/>
      <c r="AU282" s="76"/>
      <c r="AV282" s="76"/>
      <c r="AW282" s="76"/>
      <c r="AX282" s="76">
        <f>+AW282*600000</f>
        <v>0</v>
      </c>
      <c r="AY282" s="76"/>
      <c r="AZ282" s="76">
        <f>+AY282*70000</f>
        <v>0</v>
      </c>
      <c r="BA282" s="76"/>
      <c r="BB282" s="76"/>
      <c r="BC282" s="76"/>
      <c r="BD282" s="76">
        <f>+BC282*30000</f>
        <v>0</v>
      </c>
      <c r="BE282" s="76"/>
      <c r="BF282" s="76"/>
      <c r="BG282" s="76"/>
      <c r="BH282" s="76"/>
      <c r="BI282" s="76"/>
      <c r="BJ282" s="76"/>
      <c r="BK282" s="76"/>
      <c r="BL282" s="76">
        <f>+BK282*31500</f>
        <v>0</v>
      </c>
      <c r="BM282" s="76"/>
      <c r="BN282" s="76"/>
      <c r="BO282" s="76"/>
      <c r="BP282" s="76"/>
      <c r="BQ282" s="76"/>
      <c r="BR282" s="76"/>
      <c r="BS282" s="76"/>
      <c r="BT282" s="76"/>
      <c r="BU282" s="76"/>
      <c r="BV282" s="76"/>
      <c r="BW282" s="76"/>
      <c r="BX282" s="76"/>
      <c r="BY282" s="76"/>
      <c r="BZ282" s="76"/>
      <c r="CA282" s="76"/>
      <c r="CB282" s="76"/>
      <c r="CC282" s="76"/>
      <c r="CD282" s="76"/>
      <c r="CE282" s="76"/>
      <c r="CF282" s="76">
        <f>+CE282*28000</f>
        <v>0</v>
      </c>
      <c r="CG282" s="76"/>
      <c r="CH282" s="76">
        <f>+CG282*22500</f>
        <v>0</v>
      </c>
      <c r="CI282" s="76"/>
      <c r="CJ282" s="76">
        <f>+CI282*26000</f>
        <v>0</v>
      </c>
      <c r="CK282" s="76"/>
      <c r="CL282" s="76"/>
      <c r="CM282" s="76"/>
      <c r="CN282" s="76">
        <f>+CM282*22000</f>
        <v>0</v>
      </c>
      <c r="CO282" s="76"/>
      <c r="CP282" s="76">
        <f>+CO282*46000</f>
        <v>0</v>
      </c>
      <c r="CQ282" s="76"/>
      <c r="CR282" s="76">
        <f>+CQ282*49000</f>
        <v>0</v>
      </c>
      <c r="CS282" s="76"/>
      <c r="CT282" s="76"/>
      <c r="CU282" s="56">
        <f>AN282+AP282+AR282+AT282+AV282+AX282+AZ282+BB282+BD282+BF282+BH282+BJ282+BL282+BN282+BP282+BR282+BT282+BV282+BX282+BZ282+CB282+CD282+CF282+CH282+CJ282+CL282+CN282+CP282+CR282+CT282</f>
        <v>0</v>
      </c>
      <c r="CV282" s="76"/>
      <c r="CW282" s="76">
        <f>+CV282*1100</f>
        <v>0</v>
      </c>
      <c r="CX282" s="76"/>
      <c r="CY282" s="76">
        <f>+CX282*106250</f>
        <v>0</v>
      </c>
      <c r="CZ282" s="76"/>
      <c r="DA282" s="76">
        <f>+CZ282*34500</f>
        <v>0</v>
      </c>
      <c r="DB282" s="76"/>
      <c r="DC282" s="76">
        <f>+DB282*25000</f>
        <v>0</v>
      </c>
      <c r="DD282" s="219"/>
      <c r="DE282" s="219"/>
      <c r="DF282" s="164"/>
      <c r="DG282" s="116"/>
      <c r="DH282" s="117"/>
      <c r="DI282" s="24"/>
      <c r="DJ282" s="24"/>
      <c r="DK282" s="24"/>
      <c r="DL282" s="24"/>
      <c r="DM282" s="24"/>
      <c r="DN282" s="24"/>
      <c r="DO282" s="24"/>
      <c r="DP282" s="24"/>
      <c r="DQ282" s="24"/>
      <c r="DR282" s="24"/>
      <c r="DS282" s="24"/>
      <c r="DT282" s="24"/>
      <c r="DU282" s="24"/>
    </row>
    <row r="283" spans="1:125" s="8" customFormat="1" ht="48" x14ac:dyDescent="0.2">
      <c r="A283" s="85">
        <v>41292</v>
      </c>
      <c r="B283" s="80" t="s">
        <v>2894</v>
      </c>
      <c r="C283" s="81" t="s">
        <v>2032</v>
      </c>
      <c r="D283" s="81" t="s">
        <v>2846</v>
      </c>
      <c r="E283" s="75" t="str">
        <f>VLOOKUP(B283&amp;C283,Divipola!$C$2:$F$1138,4,FALSE)</f>
        <v>05001</v>
      </c>
      <c r="F283" s="87"/>
      <c r="G283" s="87"/>
      <c r="H283" s="87"/>
      <c r="I283" s="87"/>
      <c r="J283" s="87"/>
      <c r="K283" s="87"/>
      <c r="L283" s="87"/>
      <c r="M283" s="87"/>
      <c r="N283" s="87"/>
      <c r="O283" s="87"/>
      <c r="P283" s="87"/>
      <c r="Q283" s="87"/>
      <c r="R283" s="87"/>
      <c r="S283" s="87"/>
      <c r="T283" s="87"/>
      <c r="U283" s="127">
        <v>60</v>
      </c>
      <c r="V283" s="89"/>
      <c r="W283" s="96">
        <v>0</v>
      </c>
      <c r="X283" s="71">
        <f>CU283</f>
        <v>0</v>
      </c>
      <c r="Y283" s="71">
        <f>CY283</f>
        <v>0</v>
      </c>
      <c r="Z283" s="71">
        <f>DA283+DC283+DE283</f>
        <v>0</v>
      </c>
      <c r="AA283" s="71">
        <f>CW283</f>
        <v>0</v>
      </c>
      <c r="AB283" s="71"/>
      <c r="AC283" s="71">
        <v>0</v>
      </c>
      <c r="AD283" s="71">
        <f>W283+X283+Y283+Z283+AA283+AB283+AC283</f>
        <v>0</v>
      </c>
      <c r="AE283" s="72">
        <v>0</v>
      </c>
      <c r="AF283" s="5"/>
      <c r="AG283" s="6"/>
      <c r="AH283" s="27" t="s">
        <v>3392</v>
      </c>
      <c r="AI283" s="44" t="s">
        <v>3393</v>
      </c>
      <c r="AJ283" s="26"/>
      <c r="AK283" s="5"/>
      <c r="AL283" s="82" t="s">
        <v>3142</v>
      </c>
      <c r="AM283" s="76"/>
      <c r="AN283" s="76"/>
      <c r="AO283" s="76"/>
      <c r="AP283" s="76"/>
      <c r="AQ283" s="76"/>
      <c r="AR283" s="76"/>
      <c r="AS283" s="76"/>
      <c r="AT283" s="76"/>
      <c r="AU283" s="76"/>
      <c r="AV283" s="76"/>
      <c r="AW283" s="76"/>
      <c r="AX283" s="76">
        <f>+AW283*600000</f>
        <v>0</v>
      </c>
      <c r="AY283" s="76"/>
      <c r="AZ283" s="76">
        <f>+AY283*70000</f>
        <v>0</v>
      </c>
      <c r="BA283" s="76"/>
      <c r="BB283" s="76"/>
      <c r="BC283" s="76"/>
      <c r="BD283" s="76">
        <f>+BC283*30000</f>
        <v>0</v>
      </c>
      <c r="BE283" s="76"/>
      <c r="BF283" s="76"/>
      <c r="BG283" s="76"/>
      <c r="BH283" s="76"/>
      <c r="BI283" s="76"/>
      <c r="BJ283" s="76"/>
      <c r="BK283" s="76"/>
      <c r="BL283" s="76">
        <f>+BK283*31500</f>
        <v>0</v>
      </c>
      <c r="BM283" s="76"/>
      <c r="BN283" s="76"/>
      <c r="BO283" s="76"/>
      <c r="BP283" s="76"/>
      <c r="BQ283" s="76"/>
      <c r="BR283" s="76"/>
      <c r="BS283" s="76"/>
      <c r="BT283" s="76"/>
      <c r="BU283" s="76"/>
      <c r="BV283" s="76"/>
      <c r="BW283" s="76"/>
      <c r="BX283" s="76"/>
      <c r="BY283" s="76"/>
      <c r="BZ283" s="76"/>
      <c r="CA283" s="76"/>
      <c r="CB283" s="76"/>
      <c r="CC283" s="76"/>
      <c r="CD283" s="76"/>
      <c r="CE283" s="76"/>
      <c r="CF283" s="76">
        <f>+CE283*28000</f>
        <v>0</v>
      </c>
      <c r="CG283" s="76"/>
      <c r="CH283" s="76">
        <f>+CG283*22500</f>
        <v>0</v>
      </c>
      <c r="CI283" s="76"/>
      <c r="CJ283" s="76">
        <f>+CI283*26000</f>
        <v>0</v>
      </c>
      <c r="CK283" s="76"/>
      <c r="CL283" s="76"/>
      <c r="CM283" s="76"/>
      <c r="CN283" s="76">
        <f>+CM283*22000</f>
        <v>0</v>
      </c>
      <c r="CO283" s="76"/>
      <c r="CP283" s="76">
        <f>+CO283*46000</f>
        <v>0</v>
      </c>
      <c r="CQ283" s="76"/>
      <c r="CR283" s="76">
        <f>+CQ283*49000</f>
        <v>0</v>
      </c>
      <c r="CS283" s="76"/>
      <c r="CT283" s="76"/>
      <c r="CU283" s="56">
        <f>AN283+AP283+AR283+AT283+AV283+AX283+AZ283+BB283+BD283+BF283+BH283+BJ283+BL283+BN283+BP283+BR283+BT283+BV283+BX283+BZ283+CB283+CD283+CF283+CH283+CJ283+CL283+CN283+CP283+CR283+CT283</f>
        <v>0</v>
      </c>
      <c r="CV283" s="76"/>
      <c r="CW283" s="76">
        <f>+CV283*1100</f>
        <v>0</v>
      </c>
      <c r="CX283" s="76"/>
      <c r="CY283" s="76">
        <f>+CX283*106250</f>
        <v>0</v>
      </c>
      <c r="CZ283" s="76"/>
      <c r="DA283" s="76">
        <f>+CZ283*34500</f>
        <v>0</v>
      </c>
      <c r="DB283" s="76"/>
      <c r="DC283" s="76">
        <f>+DB283*25000</f>
        <v>0</v>
      </c>
      <c r="DD283" s="219"/>
      <c r="DE283" s="219"/>
      <c r="DF283" s="164"/>
      <c r="DG283" s="116"/>
      <c r="DH283" s="117"/>
      <c r="DI283" s="24"/>
      <c r="DJ283" s="24"/>
      <c r="DK283" s="24"/>
      <c r="DL283" s="24"/>
      <c r="DM283" s="24"/>
      <c r="DN283" s="24"/>
      <c r="DO283" s="24"/>
      <c r="DP283" s="24"/>
      <c r="DQ283" s="24"/>
      <c r="DR283" s="24"/>
      <c r="DS283" s="24"/>
      <c r="DT283" s="24"/>
      <c r="DU283" s="24"/>
    </row>
    <row r="284" spans="1:125" s="8" customFormat="1" ht="60" x14ac:dyDescent="0.2">
      <c r="A284" s="77">
        <v>41292</v>
      </c>
      <c r="B284" s="80" t="s">
        <v>2881</v>
      </c>
      <c r="C284" s="81" t="s">
        <v>2756</v>
      </c>
      <c r="D284" s="81" t="s">
        <v>2846</v>
      </c>
      <c r="E284" s="75" t="str">
        <f>VLOOKUP(B284&amp;C284,Divipola!$C$2:$F$1138,4,FALSE)</f>
        <v>08137</v>
      </c>
      <c r="F284" s="87"/>
      <c r="G284" s="87"/>
      <c r="H284" s="87"/>
      <c r="I284" s="87"/>
      <c r="J284" s="87"/>
      <c r="K284" s="87"/>
      <c r="L284" s="87"/>
      <c r="M284" s="87"/>
      <c r="N284" s="87"/>
      <c r="O284" s="87"/>
      <c r="P284" s="87"/>
      <c r="Q284" s="87"/>
      <c r="R284" s="87"/>
      <c r="S284" s="87"/>
      <c r="T284" s="87"/>
      <c r="U284" s="127">
        <v>30</v>
      </c>
      <c r="V284" s="89"/>
      <c r="W284" s="96">
        <v>0</v>
      </c>
      <c r="X284" s="71">
        <f>CU284</f>
        <v>0</v>
      </c>
      <c r="Y284" s="71">
        <f>CY284</f>
        <v>0</v>
      </c>
      <c r="Z284" s="71">
        <f>DA284+DC284+DE284</f>
        <v>0</v>
      </c>
      <c r="AA284" s="71">
        <f>CW284</f>
        <v>0</v>
      </c>
      <c r="AB284" s="71"/>
      <c r="AC284" s="71">
        <v>0</v>
      </c>
      <c r="AD284" s="71">
        <f>W284+X284+Y284+Z284+AA284+AB284+AC284</f>
        <v>0</v>
      </c>
      <c r="AE284" s="72">
        <v>0</v>
      </c>
      <c r="AF284" s="5"/>
      <c r="AG284" s="6"/>
      <c r="AH284" s="27" t="s">
        <v>3392</v>
      </c>
      <c r="AI284" s="44" t="s">
        <v>3393</v>
      </c>
      <c r="AJ284" s="26"/>
      <c r="AK284" s="5"/>
      <c r="AL284" s="82" t="s">
        <v>3135</v>
      </c>
      <c r="AM284" s="76"/>
      <c r="AN284" s="76"/>
      <c r="AO284" s="76"/>
      <c r="AP284" s="76"/>
      <c r="AQ284" s="76"/>
      <c r="AR284" s="76"/>
      <c r="AS284" s="76"/>
      <c r="AT284" s="76"/>
      <c r="AU284" s="76"/>
      <c r="AV284" s="76"/>
      <c r="AW284" s="76"/>
      <c r="AX284" s="76">
        <f>+AW284*600000</f>
        <v>0</v>
      </c>
      <c r="AY284" s="76"/>
      <c r="AZ284" s="76">
        <f>+AY284*70000</f>
        <v>0</v>
      </c>
      <c r="BA284" s="76"/>
      <c r="BB284" s="76"/>
      <c r="BC284" s="76"/>
      <c r="BD284" s="76">
        <f>+BC284*30000</f>
        <v>0</v>
      </c>
      <c r="BE284" s="76"/>
      <c r="BF284" s="76"/>
      <c r="BG284" s="76"/>
      <c r="BH284" s="76"/>
      <c r="BI284" s="76"/>
      <c r="BJ284" s="76"/>
      <c r="BK284" s="76"/>
      <c r="BL284" s="76">
        <f>+BK284*31500</f>
        <v>0</v>
      </c>
      <c r="BM284" s="76"/>
      <c r="BN284" s="76"/>
      <c r="BO284" s="76"/>
      <c r="BP284" s="76"/>
      <c r="BQ284" s="76"/>
      <c r="BR284" s="76"/>
      <c r="BS284" s="76"/>
      <c r="BT284" s="76"/>
      <c r="BU284" s="76"/>
      <c r="BV284" s="76"/>
      <c r="BW284" s="76"/>
      <c r="BX284" s="76"/>
      <c r="BY284" s="76"/>
      <c r="BZ284" s="76"/>
      <c r="CA284" s="76"/>
      <c r="CB284" s="76"/>
      <c r="CC284" s="76"/>
      <c r="CD284" s="76"/>
      <c r="CE284" s="76"/>
      <c r="CF284" s="76">
        <f>+CE284*28000</f>
        <v>0</v>
      </c>
      <c r="CG284" s="76"/>
      <c r="CH284" s="76">
        <f>+CG284*22500</f>
        <v>0</v>
      </c>
      <c r="CI284" s="76"/>
      <c r="CJ284" s="76">
        <f>+CI284*26000</f>
        <v>0</v>
      </c>
      <c r="CK284" s="76"/>
      <c r="CL284" s="76"/>
      <c r="CM284" s="76"/>
      <c r="CN284" s="76">
        <f>+CM284*22000</f>
        <v>0</v>
      </c>
      <c r="CO284" s="76"/>
      <c r="CP284" s="76">
        <f>+CO284*46000</f>
        <v>0</v>
      </c>
      <c r="CQ284" s="76"/>
      <c r="CR284" s="76">
        <f>+CQ284*49000</f>
        <v>0</v>
      </c>
      <c r="CS284" s="76"/>
      <c r="CT284" s="76"/>
      <c r="CU284" s="56">
        <f>AN284+AP284+AR284+AT284+AV284+AX284+AZ284+BB284+BD284+BF284+BH284+BJ284+BL284+BN284+BP284+BR284+BT284+BV284+BX284+BZ284+CB284+CD284+CF284+CH284+CJ284+CL284+CN284+CP284+CR284+CT284</f>
        <v>0</v>
      </c>
      <c r="CV284" s="76"/>
      <c r="CW284" s="76">
        <f>+CV284*1100</f>
        <v>0</v>
      </c>
      <c r="CX284" s="76"/>
      <c r="CY284" s="76">
        <f>+CX284*106250</f>
        <v>0</v>
      </c>
      <c r="CZ284" s="76"/>
      <c r="DA284" s="76">
        <f>+CZ284*34500</f>
        <v>0</v>
      </c>
      <c r="DB284" s="76"/>
      <c r="DC284" s="76">
        <f>+DB284*25000</f>
        <v>0</v>
      </c>
      <c r="DD284" s="219"/>
      <c r="DE284" s="219"/>
      <c r="DF284" s="164"/>
      <c r="DG284" s="116"/>
      <c r="DH284" s="117"/>
      <c r="DI284" s="24"/>
      <c r="DJ284" s="24"/>
      <c r="DK284" s="24"/>
      <c r="DL284" s="24"/>
      <c r="DM284" s="24"/>
      <c r="DN284" s="24"/>
      <c r="DO284" s="24"/>
      <c r="DP284" s="24"/>
      <c r="DQ284" s="24"/>
      <c r="DR284" s="24"/>
      <c r="DS284" s="24"/>
      <c r="DT284" s="24"/>
      <c r="DU284" s="24"/>
    </row>
    <row r="285" spans="1:125" s="8" customFormat="1" ht="60" x14ac:dyDescent="0.2">
      <c r="A285" s="85">
        <v>41292</v>
      </c>
      <c r="B285" s="80" t="s">
        <v>2700</v>
      </c>
      <c r="C285" s="81" t="s">
        <v>2773</v>
      </c>
      <c r="D285" s="81" t="s">
        <v>2846</v>
      </c>
      <c r="E285" s="75">
        <f>VLOOKUP(B285&amp;C285,Divipola!$C$2:$F$1138,4,FALSE)</f>
        <v>15</v>
      </c>
      <c r="F285" s="153"/>
      <c r="G285" s="153"/>
      <c r="H285" s="153"/>
      <c r="I285" s="153"/>
      <c r="J285" s="153"/>
      <c r="K285" s="153"/>
      <c r="L285" s="153"/>
      <c r="M285" s="153"/>
      <c r="N285" s="153"/>
      <c r="O285" s="153"/>
      <c r="P285" s="153"/>
      <c r="Q285" s="153"/>
      <c r="R285" s="153"/>
      <c r="S285" s="153"/>
      <c r="T285" s="153"/>
      <c r="U285" s="154"/>
      <c r="V285" s="134"/>
      <c r="W285" s="96">
        <v>0</v>
      </c>
      <c r="X285" s="71">
        <f>CU285</f>
        <v>0</v>
      </c>
      <c r="Y285" s="71">
        <f>CY285</f>
        <v>0</v>
      </c>
      <c r="Z285" s="71">
        <f>DA285+DC285+DE285</f>
        <v>0</v>
      </c>
      <c r="AA285" s="71">
        <f>CW285</f>
        <v>0</v>
      </c>
      <c r="AB285" s="71">
        <v>158298581.40000001</v>
      </c>
      <c r="AC285" s="71">
        <v>0</v>
      </c>
      <c r="AD285" s="71">
        <f>W285+X285+Y285+Z285+AA285+AB285+AC285</f>
        <v>158298581.40000001</v>
      </c>
      <c r="AE285" s="72">
        <v>0</v>
      </c>
      <c r="AF285" s="5"/>
      <c r="AG285" s="6"/>
      <c r="AH285" s="27" t="s">
        <v>3390</v>
      </c>
      <c r="AI285" s="44" t="s">
        <v>3391</v>
      </c>
      <c r="AJ285" s="26"/>
      <c r="AK285" s="5"/>
      <c r="AL285" s="82" t="s">
        <v>4006</v>
      </c>
      <c r="AM285" s="76"/>
      <c r="AN285" s="76"/>
      <c r="AO285" s="76"/>
      <c r="AP285" s="76"/>
      <c r="AQ285" s="76"/>
      <c r="AR285" s="76"/>
      <c r="AS285" s="76"/>
      <c r="AT285" s="76"/>
      <c r="AU285" s="76"/>
      <c r="AV285" s="76"/>
      <c r="AW285" s="76"/>
      <c r="AX285" s="76">
        <f>+AW285*600000</f>
        <v>0</v>
      </c>
      <c r="AY285" s="76"/>
      <c r="AZ285" s="76">
        <f>+AY285*70000</f>
        <v>0</v>
      </c>
      <c r="BA285" s="76"/>
      <c r="BB285" s="76"/>
      <c r="BC285" s="76"/>
      <c r="BD285" s="76">
        <f>+BC285*30000</f>
        <v>0</v>
      </c>
      <c r="BE285" s="76"/>
      <c r="BF285" s="76"/>
      <c r="BG285" s="76"/>
      <c r="BH285" s="76"/>
      <c r="BI285" s="76"/>
      <c r="BJ285" s="76"/>
      <c r="BK285" s="76"/>
      <c r="BL285" s="76">
        <f>+BK285*31500</f>
        <v>0</v>
      </c>
      <c r="BM285" s="76"/>
      <c r="BN285" s="76"/>
      <c r="BO285" s="76"/>
      <c r="BP285" s="76"/>
      <c r="BQ285" s="76"/>
      <c r="BR285" s="76"/>
      <c r="BS285" s="76"/>
      <c r="BT285" s="76"/>
      <c r="BU285" s="76"/>
      <c r="BV285" s="76"/>
      <c r="BW285" s="76"/>
      <c r="BX285" s="76"/>
      <c r="BY285" s="76"/>
      <c r="BZ285" s="76"/>
      <c r="CA285" s="76"/>
      <c r="CB285" s="76"/>
      <c r="CC285" s="76"/>
      <c r="CD285" s="76"/>
      <c r="CE285" s="76"/>
      <c r="CF285" s="76">
        <f>+CE285*28000</f>
        <v>0</v>
      </c>
      <c r="CG285" s="76"/>
      <c r="CH285" s="76">
        <f>+CG285*22500</f>
        <v>0</v>
      </c>
      <c r="CI285" s="76"/>
      <c r="CJ285" s="76">
        <f>+CI285*26000</f>
        <v>0</v>
      </c>
      <c r="CK285" s="76"/>
      <c r="CL285" s="76"/>
      <c r="CM285" s="76"/>
      <c r="CN285" s="76">
        <f>+CM285*22000</f>
        <v>0</v>
      </c>
      <c r="CO285" s="76"/>
      <c r="CP285" s="76">
        <f>+CO285*46000</f>
        <v>0</v>
      </c>
      <c r="CQ285" s="76"/>
      <c r="CR285" s="76">
        <f>+CQ285*49000</f>
        <v>0</v>
      </c>
      <c r="CS285" s="76"/>
      <c r="CT285" s="76"/>
      <c r="CU285" s="56">
        <f>AN285+AP285+AR285+AT285+AV285+AX285+AZ285+BB285+BD285+BF285+BH285+BJ285+BL285+BN285+BP285+BR285+BT285+BV285+BX285+BZ285+CB285+CD285+CF285+CH285+CJ285+CL285+CN285+CP285+CR285+CT285</f>
        <v>0</v>
      </c>
      <c r="CV285" s="76"/>
      <c r="CW285" s="76">
        <f>+CV285*1100</f>
        <v>0</v>
      </c>
      <c r="CX285" s="76"/>
      <c r="CY285" s="76">
        <f>+CX285*106250</f>
        <v>0</v>
      </c>
      <c r="CZ285" s="76"/>
      <c r="DA285" s="76">
        <f>+CZ285*34500</f>
        <v>0</v>
      </c>
      <c r="DB285" s="76"/>
      <c r="DC285" s="76">
        <f>+DB285*25000</f>
        <v>0</v>
      </c>
      <c r="DD285" s="215"/>
      <c r="DE285" s="219"/>
      <c r="DF285" s="164"/>
      <c r="DG285" s="116"/>
      <c r="DH285" s="117"/>
      <c r="DI285" s="24"/>
      <c r="DJ285" s="24"/>
      <c r="DK285" s="24"/>
      <c r="DL285" s="24"/>
      <c r="DM285" s="24"/>
      <c r="DN285" s="24"/>
      <c r="DO285" s="24"/>
      <c r="DP285" s="24"/>
      <c r="DQ285" s="24"/>
      <c r="DR285" s="24"/>
      <c r="DS285" s="24"/>
      <c r="DT285" s="24"/>
      <c r="DU285" s="24"/>
    </row>
    <row r="286" spans="1:125" s="8" customFormat="1" ht="96" x14ac:dyDescent="0.2">
      <c r="A286" s="85">
        <v>41292</v>
      </c>
      <c r="B286" s="80" t="s">
        <v>2196</v>
      </c>
      <c r="C286" s="81" t="s">
        <v>508</v>
      </c>
      <c r="D286" s="81" t="s">
        <v>2859</v>
      </c>
      <c r="E286" s="75" t="str">
        <f>VLOOKUP(B286&amp;C286,Divipola!$C$2:$F$1138,4,FALSE)</f>
        <v>17001</v>
      </c>
      <c r="F286" s="87"/>
      <c r="G286" s="87"/>
      <c r="H286" s="87"/>
      <c r="I286" s="87">
        <v>2</v>
      </c>
      <c r="J286" s="87">
        <v>1</v>
      </c>
      <c r="K286" s="87"/>
      <c r="L286" s="87">
        <v>1</v>
      </c>
      <c r="M286" s="87"/>
      <c r="N286" s="87"/>
      <c r="O286" s="87"/>
      <c r="P286" s="87"/>
      <c r="Q286" s="87"/>
      <c r="R286" s="87"/>
      <c r="S286" s="87"/>
      <c r="T286" s="87"/>
      <c r="U286" s="127"/>
      <c r="V286" s="89"/>
      <c r="W286" s="96">
        <v>0</v>
      </c>
      <c r="X286" s="71">
        <f>CU286</f>
        <v>0</v>
      </c>
      <c r="Y286" s="71">
        <f>CY286</f>
        <v>0</v>
      </c>
      <c r="Z286" s="71">
        <f>DA286+DC286+DE286</f>
        <v>0</v>
      </c>
      <c r="AA286" s="71">
        <f>CW286</f>
        <v>0</v>
      </c>
      <c r="AB286" s="71"/>
      <c r="AC286" s="71">
        <v>0</v>
      </c>
      <c r="AD286" s="71">
        <f>W286+X286+Y286+Z286+AA286+AB286+AC286</f>
        <v>0</v>
      </c>
      <c r="AE286" s="72">
        <v>0</v>
      </c>
      <c r="AF286" s="5"/>
      <c r="AG286" s="6"/>
      <c r="AH286" s="27" t="s">
        <v>3392</v>
      </c>
      <c r="AI286" s="44" t="s">
        <v>3393</v>
      </c>
      <c r="AJ286" s="26"/>
      <c r="AK286" s="5"/>
      <c r="AL286" s="82" t="s">
        <v>3140</v>
      </c>
      <c r="AM286" s="76"/>
      <c r="AN286" s="76"/>
      <c r="AO286" s="76"/>
      <c r="AP286" s="76"/>
      <c r="AQ286" s="76"/>
      <c r="AR286" s="76"/>
      <c r="AS286" s="76"/>
      <c r="AT286" s="76"/>
      <c r="AU286" s="76"/>
      <c r="AV286" s="76"/>
      <c r="AW286" s="76"/>
      <c r="AX286" s="76">
        <f>+AW286*600000</f>
        <v>0</v>
      </c>
      <c r="AY286" s="76"/>
      <c r="AZ286" s="76">
        <f>+AY286*70000</f>
        <v>0</v>
      </c>
      <c r="BA286" s="76"/>
      <c r="BB286" s="76"/>
      <c r="BC286" s="76"/>
      <c r="BD286" s="76">
        <f>+BC286*30000</f>
        <v>0</v>
      </c>
      <c r="BE286" s="76"/>
      <c r="BF286" s="76"/>
      <c r="BG286" s="76"/>
      <c r="BH286" s="76"/>
      <c r="BI286" s="76"/>
      <c r="BJ286" s="76"/>
      <c r="BK286" s="76"/>
      <c r="BL286" s="76">
        <f>+BK286*31500</f>
        <v>0</v>
      </c>
      <c r="BM286" s="76"/>
      <c r="BN286" s="76"/>
      <c r="BO286" s="76"/>
      <c r="BP286" s="76"/>
      <c r="BQ286" s="76"/>
      <c r="BR286" s="76"/>
      <c r="BS286" s="76"/>
      <c r="BT286" s="76"/>
      <c r="BU286" s="76"/>
      <c r="BV286" s="76"/>
      <c r="BW286" s="76"/>
      <c r="BX286" s="76"/>
      <c r="BY286" s="76"/>
      <c r="BZ286" s="76"/>
      <c r="CA286" s="76"/>
      <c r="CB286" s="76"/>
      <c r="CC286" s="76"/>
      <c r="CD286" s="76"/>
      <c r="CE286" s="76"/>
      <c r="CF286" s="76">
        <f>+CE286*28000</f>
        <v>0</v>
      </c>
      <c r="CG286" s="76"/>
      <c r="CH286" s="76">
        <f>+CG286*22500</f>
        <v>0</v>
      </c>
      <c r="CI286" s="76"/>
      <c r="CJ286" s="76">
        <f>+CI286*26000</f>
        <v>0</v>
      </c>
      <c r="CK286" s="76"/>
      <c r="CL286" s="76"/>
      <c r="CM286" s="76"/>
      <c r="CN286" s="76">
        <f>+CM286*22000</f>
        <v>0</v>
      </c>
      <c r="CO286" s="76"/>
      <c r="CP286" s="76">
        <f>+CO286*46000</f>
        <v>0</v>
      </c>
      <c r="CQ286" s="76"/>
      <c r="CR286" s="76">
        <f>+CQ286*49000</f>
        <v>0</v>
      </c>
      <c r="CS286" s="76"/>
      <c r="CT286" s="76"/>
      <c r="CU286" s="56">
        <f>AN286+AP286+AR286+AT286+AV286+AX286+AZ286+BB286+BD286+BF286+BH286+BJ286+BL286+BN286+BP286+BR286+BT286+BV286+BX286+BZ286+CB286+CD286+CF286+CH286+CJ286+CL286+CN286+CP286+CR286+CT286</f>
        <v>0</v>
      </c>
      <c r="CV286" s="76"/>
      <c r="CW286" s="76">
        <f>+CV286*1100</f>
        <v>0</v>
      </c>
      <c r="CX286" s="76"/>
      <c r="CY286" s="76">
        <f>+CX286*106250</f>
        <v>0</v>
      </c>
      <c r="CZ286" s="76"/>
      <c r="DA286" s="76">
        <f>+CZ286*34500</f>
        <v>0</v>
      </c>
      <c r="DB286" s="76"/>
      <c r="DC286" s="76">
        <f>+DB286*25000</f>
        <v>0</v>
      </c>
      <c r="DD286" s="219"/>
      <c r="DE286" s="219"/>
      <c r="DF286" s="164"/>
      <c r="DG286" s="116"/>
      <c r="DH286" s="117"/>
      <c r="DI286" s="24"/>
      <c r="DJ286" s="24"/>
      <c r="DK286" s="24"/>
      <c r="DL286" s="24"/>
      <c r="DM286" s="24"/>
      <c r="DN286" s="24"/>
      <c r="DO286" s="24"/>
      <c r="DP286" s="24"/>
      <c r="DQ286" s="24"/>
      <c r="DR286" s="24"/>
      <c r="DS286" s="24"/>
      <c r="DT286" s="24"/>
      <c r="DU286" s="24"/>
    </row>
    <row r="287" spans="1:125" s="8" customFormat="1" ht="72" x14ac:dyDescent="0.2">
      <c r="A287" s="85">
        <v>41292</v>
      </c>
      <c r="B287" s="80" t="s">
        <v>2855</v>
      </c>
      <c r="C287" s="81" t="s">
        <v>909</v>
      </c>
      <c r="D287" s="81" t="s">
        <v>2846</v>
      </c>
      <c r="E287" s="75" t="str">
        <f>VLOOKUP(B287&amp;C287,Divipola!$C$2:$F$1138,4,FALSE)</f>
        <v>20238</v>
      </c>
      <c r="F287" s="87"/>
      <c r="G287" s="87"/>
      <c r="H287" s="87"/>
      <c r="I287" s="87"/>
      <c r="J287" s="87"/>
      <c r="K287" s="87"/>
      <c r="L287" s="87"/>
      <c r="M287" s="87"/>
      <c r="N287" s="87"/>
      <c r="O287" s="87"/>
      <c r="P287" s="87"/>
      <c r="Q287" s="87"/>
      <c r="R287" s="87"/>
      <c r="S287" s="87"/>
      <c r="T287" s="87"/>
      <c r="U287" s="127">
        <v>50</v>
      </c>
      <c r="V287" s="89"/>
      <c r="W287" s="96">
        <v>0</v>
      </c>
      <c r="X287" s="71">
        <f>CU287</f>
        <v>0</v>
      </c>
      <c r="Y287" s="71">
        <f>CY287</f>
        <v>0</v>
      </c>
      <c r="Z287" s="71">
        <f>DA287+DC287+DE287</f>
        <v>0</v>
      </c>
      <c r="AA287" s="71">
        <f>CW287</f>
        <v>0</v>
      </c>
      <c r="AB287" s="71"/>
      <c r="AC287" s="71">
        <v>0</v>
      </c>
      <c r="AD287" s="71">
        <f>W287+X287+Y287+Z287+AA287+AB287+AC287</f>
        <v>0</v>
      </c>
      <c r="AE287" s="72">
        <v>0</v>
      </c>
      <c r="AF287" s="5"/>
      <c r="AG287" s="6"/>
      <c r="AH287" s="27" t="s">
        <v>3392</v>
      </c>
      <c r="AI287" s="44" t="s">
        <v>3393</v>
      </c>
      <c r="AJ287" s="26"/>
      <c r="AK287" s="5"/>
      <c r="AL287" s="82" t="s">
        <v>3144</v>
      </c>
      <c r="AM287" s="76"/>
      <c r="AN287" s="76"/>
      <c r="AO287" s="76"/>
      <c r="AP287" s="76"/>
      <c r="AQ287" s="76"/>
      <c r="AR287" s="76"/>
      <c r="AS287" s="76"/>
      <c r="AT287" s="76"/>
      <c r="AU287" s="76"/>
      <c r="AV287" s="76"/>
      <c r="AW287" s="76"/>
      <c r="AX287" s="76">
        <f>+AW287*600000</f>
        <v>0</v>
      </c>
      <c r="AY287" s="76"/>
      <c r="AZ287" s="76">
        <f>+AY287*70000</f>
        <v>0</v>
      </c>
      <c r="BA287" s="76"/>
      <c r="BB287" s="76"/>
      <c r="BC287" s="76"/>
      <c r="BD287" s="76">
        <f>+BC287*30000</f>
        <v>0</v>
      </c>
      <c r="BE287" s="76"/>
      <c r="BF287" s="76"/>
      <c r="BG287" s="76"/>
      <c r="BH287" s="76"/>
      <c r="BI287" s="76"/>
      <c r="BJ287" s="76"/>
      <c r="BK287" s="76"/>
      <c r="BL287" s="76">
        <f>+BK287*31500</f>
        <v>0</v>
      </c>
      <c r="BM287" s="76"/>
      <c r="BN287" s="76"/>
      <c r="BO287" s="76"/>
      <c r="BP287" s="76"/>
      <c r="BQ287" s="76"/>
      <c r="BR287" s="76"/>
      <c r="BS287" s="76"/>
      <c r="BT287" s="76"/>
      <c r="BU287" s="76"/>
      <c r="BV287" s="76"/>
      <c r="BW287" s="76"/>
      <c r="BX287" s="76"/>
      <c r="BY287" s="76"/>
      <c r="BZ287" s="76"/>
      <c r="CA287" s="76"/>
      <c r="CB287" s="76"/>
      <c r="CC287" s="76"/>
      <c r="CD287" s="76"/>
      <c r="CE287" s="76"/>
      <c r="CF287" s="76">
        <f>+CE287*28000</f>
        <v>0</v>
      </c>
      <c r="CG287" s="76"/>
      <c r="CH287" s="76">
        <f>+CG287*22500</f>
        <v>0</v>
      </c>
      <c r="CI287" s="76"/>
      <c r="CJ287" s="76">
        <f>+CI287*26000</f>
        <v>0</v>
      </c>
      <c r="CK287" s="76"/>
      <c r="CL287" s="76"/>
      <c r="CM287" s="76"/>
      <c r="CN287" s="76">
        <f>+CM287*22000</f>
        <v>0</v>
      </c>
      <c r="CO287" s="76"/>
      <c r="CP287" s="76">
        <f>+CO287*46000</f>
        <v>0</v>
      </c>
      <c r="CQ287" s="76"/>
      <c r="CR287" s="76">
        <f>+CQ287*49000</f>
        <v>0</v>
      </c>
      <c r="CS287" s="76"/>
      <c r="CT287" s="76"/>
      <c r="CU287" s="56">
        <f>AN287+AP287+AR287+AT287+AV287+AX287+AZ287+BB287+BD287+BF287+BH287+BJ287+BL287+BN287+BP287+BR287+BT287+BV287+BX287+BZ287+CB287+CD287+CF287+CH287+CJ287+CL287+CN287+CP287+CR287+CT287</f>
        <v>0</v>
      </c>
      <c r="CV287" s="76"/>
      <c r="CW287" s="76">
        <f>+CV287*1100</f>
        <v>0</v>
      </c>
      <c r="CX287" s="76"/>
      <c r="CY287" s="76">
        <f>+CX287*106250</f>
        <v>0</v>
      </c>
      <c r="CZ287" s="76"/>
      <c r="DA287" s="76">
        <f>+CZ287*34500</f>
        <v>0</v>
      </c>
      <c r="DB287" s="76"/>
      <c r="DC287" s="76">
        <f>+DB287*25000</f>
        <v>0</v>
      </c>
      <c r="DD287" s="219"/>
      <c r="DE287" s="219"/>
      <c r="DF287" s="164"/>
      <c r="DG287" s="116"/>
      <c r="DH287" s="117"/>
      <c r="DI287" s="24"/>
      <c r="DJ287" s="24"/>
      <c r="DK287" s="24"/>
      <c r="DL287" s="24"/>
      <c r="DM287" s="24"/>
      <c r="DN287" s="24"/>
      <c r="DO287" s="24"/>
      <c r="DP287" s="24"/>
      <c r="DQ287" s="24"/>
      <c r="DR287" s="24"/>
      <c r="DS287" s="24"/>
      <c r="DT287" s="24"/>
      <c r="DU287" s="24"/>
    </row>
    <row r="288" spans="1:125" s="8" customFormat="1" ht="60" x14ac:dyDescent="0.2">
      <c r="A288" s="85">
        <v>41292</v>
      </c>
      <c r="B288" s="80" t="s">
        <v>2855</v>
      </c>
      <c r="C288" s="81" t="s">
        <v>933</v>
      </c>
      <c r="D288" s="81" t="s">
        <v>2846</v>
      </c>
      <c r="E288" s="75" t="str">
        <f>VLOOKUP(B288&amp;C288,Divipola!$C$2:$F$1138,4,FALSE)</f>
        <v>20621</v>
      </c>
      <c r="F288" s="87"/>
      <c r="G288" s="87"/>
      <c r="H288" s="87"/>
      <c r="I288" s="87"/>
      <c r="J288" s="87"/>
      <c r="K288" s="87"/>
      <c r="L288" s="87"/>
      <c r="M288" s="87"/>
      <c r="N288" s="87"/>
      <c r="O288" s="87"/>
      <c r="P288" s="87"/>
      <c r="Q288" s="87"/>
      <c r="R288" s="87"/>
      <c r="S288" s="87"/>
      <c r="T288" s="87"/>
      <c r="U288" s="127">
        <v>5</v>
      </c>
      <c r="V288" s="89"/>
      <c r="W288" s="96">
        <v>0</v>
      </c>
      <c r="X288" s="71">
        <f>CU288</f>
        <v>0</v>
      </c>
      <c r="Y288" s="71">
        <f>CY288</f>
        <v>0</v>
      </c>
      <c r="Z288" s="71">
        <f>DA288+DC288+DE288</f>
        <v>0</v>
      </c>
      <c r="AA288" s="71">
        <f>CW288</f>
        <v>0</v>
      </c>
      <c r="AB288" s="71"/>
      <c r="AC288" s="71">
        <v>0</v>
      </c>
      <c r="AD288" s="71">
        <f>W288+X288+Y288+Z288+AA288+AB288+AC288</f>
        <v>0</v>
      </c>
      <c r="AE288" s="72">
        <v>0</v>
      </c>
      <c r="AF288" s="5"/>
      <c r="AG288" s="6"/>
      <c r="AH288" s="27" t="s">
        <v>3392</v>
      </c>
      <c r="AI288" s="44" t="s">
        <v>3393</v>
      </c>
      <c r="AJ288" s="26"/>
      <c r="AK288" s="5"/>
      <c r="AL288" s="82" t="s">
        <v>3137</v>
      </c>
      <c r="AM288" s="76"/>
      <c r="AN288" s="76"/>
      <c r="AO288" s="76"/>
      <c r="AP288" s="76"/>
      <c r="AQ288" s="76"/>
      <c r="AR288" s="76"/>
      <c r="AS288" s="76"/>
      <c r="AT288" s="76"/>
      <c r="AU288" s="76"/>
      <c r="AV288" s="76"/>
      <c r="AW288" s="76"/>
      <c r="AX288" s="76">
        <f>+AW288*600000</f>
        <v>0</v>
      </c>
      <c r="AY288" s="76"/>
      <c r="AZ288" s="76">
        <f>+AY288*70000</f>
        <v>0</v>
      </c>
      <c r="BA288" s="76"/>
      <c r="BB288" s="76"/>
      <c r="BC288" s="76"/>
      <c r="BD288" s="76">
        <f>+BC288*30000</f>
        <v>0</v>
      </c>
      <c r="BE288" s="76"/>
      <c r="BF288" s="76"/>
      <c r="BG288" s="76"/>
      <c r="BH288" s="76"/>
      <c r="BI288" s="76"/>
      <c r="BJ288" s="76"/>
      <c r="BK288" s="76"/>
      <c r="BL288" s="76">
        <f>+BK288*31500</f>
        <v>0</v>
      </c>
      <c r="BM288" s="76"/>
      <c r="BN288" s="76"/>
      <c r="BO288" s="76"/>
      <c r="BP288" s="76"/>
      <c r="BQ288" s="76"/>
      <c r="BR288" s="76"/>
      <c r="BS288" s="76"/>
      <c r="BT288" s="76"/>
      <c r="BU288" s="76"/>
      <c r="BV288" s="76"/>
      <c r="BW288" s="76"/>
      <c r="BX288" s="76"/>
      <c r="BY288" s="76"/>
      <c r="BZ288" s="76"/>
      <c r="CA288" s="76"/>
      <c r="CB288" s="76"/>
      <c r="CC288" s="76"/>
      <c r="CD288" s="76"/>
      <c r="CE288" s="76"/>
      <c r="CF288" s="76">
        <f>+CE288*28000</f>
        <v>0</v>
      </c>
      <c r="CG288" s="76"/>
      <c r="CH288" s="76">
        <f>+CG288*22500</f>
        <v>0</v>
      </c>
      <c r="CI288" s="76"/>
      <c r="CJ288" s="76">
        <f>+CI288*26000</f>
        <v>0</v>
      </c>
      <c r="CK288" s="76"/>
      <c r="CL288" s="76"/>
      <c r="CM288" s="76"/>
      <c r="CN288" s="76">
        <f>+CM288*22000</f>
        <v>0</v>
      </c>
      <c r="CO288" s="76"/>
      <c r="CP288" s="76">
        <f>+CO288*46000</f>
        <v>0</v>
      </c>
      <c r="CQ288" s="76"/>
      <c r="CR288" s="76">
        <f>+CQ288*49000</f>
        <v>0</v>
      </c>
      <c r="CS288" s="76"/>
      <c r="CT288" s="76"/>
      <c r="CU288" s="56">
        <f>AN288+AP288+AR288+AT288+AV288+AX288+AZ288+BB288+BD288+BF288+BH288+BJ288+BL288+BN288+BP288+BR288+BT288+BV288+BX288+BZ288+CB288+CD288+CF288+CH288+CJ288+CL288+CN288+CP288+CR288+CT288</f>
        <v>0</v>
      </c>
      <c r="CV288" s="76"/>
      <c r="CW288" s="76">
        <f>+CV288*1100</f>
        <v>0</v>
      </c>
      <c r="CX288" s="76"/>
      <c r="CY288" s="76">
        <f>+CX288*106250</f>
        <v>0</v>
      </c>
      <c r="CZ288" s="76"/>
      <c r="DA288" s="76">
        <f>+CZ288*34500</f>
        <v>0</v>
      </c>
      <c r="DB288" s="76"/>
      <c r="DC288" s="76">
        <f>+DB288*25000</f>
        <v>0</v>
      </c>
      <c r="DD288" s="219"/>
      <c r="DE288" s="219"/>
      <c r="DF288" s="164"/>
      <c r="DG288" s="116"/>
      <c r="DH288" s="117"/>
      <c r="DI288" s="24"/>
      <c r="DJ288" s="24"/>
      <c r="DK288" s="24"/>
      <c r="DL288" s="24"/>
      <c r="DM288" s="24"/>
      <c r="DN288" s="24"/>
      <c r="DO288" s="24"/>
      <c r="DP288" s="24"/>
      <c r="DQ288" s="24"/>
      <c r="DR288" s="24"/>
      <c r="DS288" s="24"/>
      <c r="DT288" s="24"/>
      <c r="DU288" s="24"/>
    </row>
    <row r="289" spans="1:125" s="8" customFormat="1" ht="84" x14ac:dyDescent="0.2">
      <c r="A289" s="85">
        <v>41292</v>
      </c>
      <c r="B289" s="80" t="s">
        <v>2855</v>
      </c>
      <c r="C289" s="81" t="s">
        <v>929</v>
      </c>
      <c r="D289" s="81" t="s">
        <v>2846</v>
      </c>
      <c r="E289" s="75" t="str">
        <f>VLOOKUP(B289&amp;C289,Divipola!$C$2:$F$1138,4,FALSE)</f>
        <v>20570</v>
      </c>
      <c r="F289" s="87"/>
      <c r="G289" s="87"/>
      <c r="H289" s="87"/>
      <c r="I289" s="87"/>
      <c r="J289" s="87"/>
      <c r="K289" s="87"/>
      <c r="L289" s="87"/>
      <c r="M289" s="87"/>
      <c r="N289" s="87"/>
      <c r="O289" s="87"/>
      <c r="P289" s="87"/>
      <c r="Q289" s="87"/>
      <c r="R289" s="87"/>
      <c r="S289" s="87"/>
      <c r="T289" s="87"/>
      <c r="U289" s="127"/>
      <c r="V289" s="89"/>
      <c r="W289" s="96">
        <v>0</v>
      </c>
      <c r="X289" s="71">
        <f>CU289</f>
        <v>0</v>
      </c>
      <c r="Y289" s="71">
        <f>CY289</f>
        <v>0</v>
      </c>
      <c r="Z289" s="71">
        <f>DA289+DC289+DE289</f>
        <v>0</v>
      </c>
      <c r="AA289" s="71">
        <f>CW289</f>
        <v>0</v>
      </c>
      <c r="AB289" s="71"/>
      <c r="AC289" s="71">
        <v>0</v>
      </c>
      <c r="AD289" s="71">
        <f>W289+X289+Y289+Z289+AA289+AB289+AC289</f>
        <v>0</v>
      </c>
      <c r="AE289" s="72">
        <v>0</v>
      </c>
      <c r="AF289" s="5"/>
      <c r="AG289" s="6"/>
      <c r="AH289" s="27" t="s">
        <v>3392</v>
      </c>
      <c r="AI289" s="44" t="s">
        <v>3393</v>
      </c>
      <c r="AJ289" s="26"/>
      <c r="AK289" s="5"/>
      <c r="AL289" s="82" t="s">
        <v>3138</v>
      </c>
      <c r="AM289" s="76"/>
      <c r="AN289" s="76"/>
      <c r="AO289" s="76"/>
      <c r="AP289" s="76"/>
      <c r="AQ289" s="76"/>
      <c r="AR289" s="76"/>
      <c r="AS289" s="76"/>
      <c r="AT289" s="76"/>
      <c r="AU289" s="76"/>
      <c r="AV289" s="76"/>
      <c r="AW289" s="76"/>
      <c r="AX289" s="76">
        <f>+AW289*600000</f>
        <v>0</v>
      </c>
      <c r="AY289" s="76"/>
      <c r="AZ289" s="76">
        <f>+AY289*70000</f>
        <v>0</v>
      </c>
      <c r="BA289" s="76"/>
      <c r="BB289" s="76"/>
      <c r="BC289" s="76"/>
      <c r="BD289" s="76">
        <f>+BC289*30000</f>
        <v>0</v>
      </c>
      <c r="BE289" s="76"/>
      <c r="BF289" s="76"/>
      <c r="BG289" s="76"/>
      <c r="BH289" s="76"/>
      <c r="BI289" s="76"/>
      <c r="BJ289" s="76"/>
      <c r="BK289" s="76"/>
      <c r="BL289" s="76">
        <f>+BK289*31500</f>
        <v>0</v>
      </c>
      <c r="BM289" s="76"/>
      <c r="BN289" s="76"/>
      <c r="BO289" s="76"/>
      <c r="BP289" s="76"/>
      <c r="BQ289" s="76"/>
      <c r="BR289" s="76"/>
      <c r="BS289" s="76"/>
      <c r="BT289" s="76"/>
      <c r="BU289" s="76"/>
      <c r="BV289" s="76"/>
      <c r="BW289" s="76"/>
      <c r="BX289" s="76"/>
      <c r="BY289" s="76"/>
      <c r="BZ289" s="76"/>
      <c r="CA289" s="76"/>
      <c r="CB289" s="76"/>
      <c r="CC289" s="76"/>
      <c r="CD289" s="76"/>
      <c r="CE289" s="76"/>
      <c r="CF289" s="76">
        <f>+CE289*28000</f>
        <v>0</v>
      </c>
      <c r="CG289" s="76"/>
      <c r="CH289" s="76">
        <f>+CG289*22500</f>
        <v>0</v>
      </c>
      <c r="CI289" s="76"/>
      <c r="CJ289" s="76">
        <f>+CI289*26000</f>
        <v>0</v>
      </c>
      <c r="CK289" s="76"/>
      <c r="CL289" s="76"/>
      <c r="CM289" s="76"/>
      <c r="CN289" s="76">
        <f>+CM289*22000</f>
        <v>0</v>
      </c>
      <c r="CO289" s="76"/>
      <c r="CP289" s="76">
        <f>+CO289*46000</f>
        <v>0</v>
      </c>
      <c r="CQ289" s="76"/>
      <c r="CR289" s="76">
        <f>+CQ289*49000</f>
        <v>0</v>
      </c>
      <c r="CS289" s="76"/>
      <c r="CT289" s="76"/>
      <c r="CU289" s="56">
        <f>AN289+AP289+AR289+AT289+AV289+AX289+AZ289+BB289+BD289+BF289+BH289+BJ289+BL289+BN289+BP289+BR289+BT289+BV289+BX289+BZ289+CB289+CD289+CF289+CH289+CJ289+CL289+CN289+CP289+CR289+CT289</f>
        <v>0</v>
      </c>
      <c r="CV289" s="76"/>
      <c r="CW289" s="76">
        <f>+CV289*1100</f>
        <v>0</v>
      </c>
      <c r="CX289" s="76"/>
      <c r="CY289" s="76">
        <f>+CX289*106250</f>
        <v>0</v>
      </c>
      <c r="CZ289" s="76"/>
      <c r="DA289" s="76">
        <f>+CZ289*34500</f>
        <v>0</v>
      </c>
      <c r="DB289" s="76"/>
      <c r="DC289" s="76">
        <f>+DB289*25000</f>
        <v>0</v>
      </c>
      <c r="DD289" s="219"/>
      <c r="DE289" s="219"/>
      <c r="DF289" s="164"/>
      <c r="DG289" s="116"/>
      <c r="DH289" s="117"/>
      <c r="DI289" s="24"/>
      <c r="DJ289" s="24"/>
      <c r="DK289" s="24"/>
      <c r="DL289" s="24"/>
      <c r="DM289" s="24"/>
      <c r="DN289" s="24"/>
      <c r="DO289" s="24"/>
      <c r="DP289" s="24"/>
      <c r="DQ289" s="24"/>
      <c r="DR289" s="24"/>
      <c r="DS289" s="24"/>
      <c r="DT289" s="24"/>
      <c r="DU289" s="24"/>
    </row>
    <row r="290" spans="1:125" s="8" customFormat="1" ht="84" x14ac:dyDescent="0.2">
      <c r="A290" s="85">
        <v>41292</v>
      </c>
      <c r="B290" s="80" t="s">
        <v>2718</v>
      </c>
      <c r="C290" s="81" t="s">
        <v>975</v>
      </c>
      <c r="D290" s="81" t="s">
        <v>2846</v>
      </c>
      <c r="E290" s="75" t="str">
        <f>VLOOKUP(B290&amp;C290,Divipola!$C$2:$F$1138,4,FALSE)</f>
        <v>23555</v>
      </c>
      <c r="F290" s="87"/>
      <c r="G290" s="87"/>
      <c r="H290" s="87"/>
      <c r="I290" s="87"/>
      <c r="J290" s="87"/>
      <c r="K290" s="87"/>
      <c r="L290" s="87"/>
      <c r="M290" s="87"/>
      <c r="N290" s="87"/>
      <c r="O290" s="87"/>
      <c r="P290" s="87"/>
      <c r="Q290" s="87"/>
      <c r="R290" s="87"/>
      <c r="S290" s="87"/>
      <c r="T290" s="87"/>
      <c r="U290" s="127">
        <v>1</v>
      </c>
      <c r="V290" s="89"/>
      <c r="W290" s="96">
        <v>0</v>
      </c>
      <c r="X290" s="71">
        <f>CU290</f>
        <v>0</v>
      </c>
      <c r="Y290" s="71">
        <f>CY290</f>
        <v>0</v>
      </c>
      <c r="Z290" s="71">
        <f>DA290+DC290+DE290</f>
        <v>0</v>
      </c>
      <c r="AA290" s="71">
        <f>CW290</f>
        <v>0</v>
      </c>
      <c r="AB290" s="71"/>
      <c r="AC290" s="71">
        <v>0</v>
      </c>
      <c r="AD290" s="71">
        <f>W290+X290+Y290+Z290+AA290+AB290+AC290</f>
        <v>0</v>
      </c>
      <c r="AE290" s="72">
        <v>0</v>
      </c>
      <c r="AF290" s="5"/>
      <c r="AG290" s="6"/>
      <c r="AH290" s="27" t="s">
        <v>3392</v>
      </c>
      <c r="AI290" s="44" t="s">
        <v>3393</v>
      </c>
      <c r="AJ290" s="26"/>
      <c r="AK290" s="5"/>
      <c r="AL290" s="82" t="s">
        <v>3146</v>
      </c>
      <c r="AM290" s="76"/>
      <c r="AN290" s="76"/>
      <c r="AO290" s="76"/>
      <c r="AP290" s="76"/>
      <c r="AQ290" s="76"/>
      <c r="AR290" s="76"/>
      <c r="AS290" s="76"/>
      <c r="AT290" s="76"/>
      <c r="AU290" s="76"/>
      <c r="AV290" s="76"/>
      <c r="AW290" s="76"/>
      <c r="AX290" s="76">
        <f>+AW290*600000</f>
        <v>0</v>
      </c>
      <c r="AY290" s="76"/>
      <c r="AZ290" s="76">
        <f>+AY290*70000</f>
        <v>0</v>
      </c>
      <c r="BA290" s="76"/>
      <c r="BB290" s="76"/>
      <c r="BC290" s="76"/>
      <c r="BD290" s="76">
        <f>+BC290*30000</f>
        <v>0</v>
      </c>
      <c r="BE290" s="76"/>
      <c r="BF290" s="76"/>
      <c r="BG290" s="76"/>
      <c r="BH290" s="76"/>
      <c r="BI290" s="76"/>
      <c r="BJ290" s="76"/>
      <c r="BK290" s="76"/>
      <c r="BL290" s="76">
        <f>+BK290*31500</f>
        <v>0</v>
      </c>
      <c r="BM290" s="76"/>
      <c r="BN290" s="76"/>
      <c r="BO290" s="76"/>
      <c r="BP290" s="76"/>
      <c r="BQ290" s="76"/>
      <c r="BR290" s="76"/>
      <c r="BS290" s="76"/>
      <c r="BT290" s="76"/>
      <c r="BU290" s="76"/>
      <c r="BV290" s="76"/>
      <c r="BW290" s="76"/>
      <c r="BX290" s="76"/>
      <c r="BY290" s="76"/>
      <c r="BZ290" s="76"/>
      <c r="CA290" s="76"/>
      <c r="CB290" s="76"/>
      <c r="CC290" s="76"/>
      <c r="CD290" s="76"/>
      <c r="CE290" s="76"/>
      <c r="CF290" s="76">
        <f>+CE290*28000</f>
        <v>0</v>
      </c>
      <c r="CG290" s="76"/>
      <c r="CH290" s="76">
        <f>+CG290*22500</f>
        <v>0</v>
      </c>
      <c r="CI290" s="76"/>
      <c r="CJ290" s="76">
        <f>+CI290*26000</f>
        <v>0</v>
      </c>
      <c r="CK290" s="76"/>
      <c r="CL290" s="76"/>
      <c r="CM290" s="76"/>
      <c r="CN290" s="76">
        <f>+CM290*22000</f>
        <v>0</v>
      </c>
      <c r="CO290" s="76"/>
      <c r="CP290" s="76">
        <f>+CO290*46000</f>
        <v>0</v>
      </c>
      <c r="CQ290" s="76"/>
      <c r="CR290" s="76">
        <f>+CQ290*49000</f>
        <v>0</v>
      </c>
      <c r="CS290" s="76"/>
      <c r="CT290" s="76"/>
      <c r="CU290" s="56">
        <f>AN290+AP290+AR290+AT290+AV290+AX290+AZ290+BB290+BD290+BF290+BH290+BJ290+BL290+BN290+BP290+BR290+BT290+BV290+BX290+BZ290+CB290+CD290+CF290+CH290+CJ290+CL290+CN290+CP290+CR290+CT290</f>
        <v>0</v>
      </c>
      <c r="CV290" s="76"/>
      <c r="CW290" s="76">
        <f>+CV290*1100</f>
        <v>0</v>
      </c>
      <c r="CX290" s="76"/>
      <c r="CY290" s="76">
        <f>+CX290*106250</f>
        <v>0</v>
      </c>
      <c r="CZ290" s="76"/>
      <c r="DA290" s="76">
        <f>+CZ290*34500</f>
        <v>0</v>
      </c>
      <c r="DB290" s="76"/>
      <c r="DC290" s="76">
        <f>+DB290*25000</f>
        <v>0</v>
      </c>
      <c r="DD290" s="219"/>
      <c r="DE290" s="219"/>
      <c r="DF290" s="164"/>
      <c r="DG290" s="116"/>
      <c r="DH290" s="117"/>
      <c r="DI290" s="24"/>
      <c r="DJ290" s="24"/>
      <c r="DK290" s="24"/>
      <c r="DL290" s="24"/>
      <c r="DM290" s="24"/>
      <c r="DN290" s="24"/>
      <c r="DO290" s="24"/>
      <c r="DP290" s="24"/>
      <c r="DQ290" s="24"/>
      <c r="DR290" s="24"/>
      <c r="DS290" s="24"/>
      <c r="DT290" s="24"/>
      <c r="DU290" s="24"/>
    </row>
    <row r="291" spans="1:125" s="8" customFormat="1" ht="60" x14ac:dyDescent="0.2">
      <c r="A291" s="77">
        <v>41292</v>
      </c>
      <c r="B291" s="80" t="s">
        <v>2772</v>
      </c>
      <c r="C291" s="81" t="s">
        <v>2084</v>
      </c>
      <c r="D291" s="75" t="s">
        <v>3051</v>
      </c>
      <c r="E291" s="75" t="str">
        <f>VLOOKUP(B291&amp;C291,Divipola!$C$2:$F$1138,4,FALSE)</f>
        <v>25269</v>
      </c>
      <c r="F291" s="87"/>
      <c r="G291" s="87"/>
      <c r="H291" s="87"/>
      <c r="I291" s="87"/>
      <c r="J291" s="87"/>
      <c r="K291" s="87"/>
      <c r="L291" s="87"/>
      <c r="M291" s="87"/>
      <c r="N291" s="87"/>
      <c r="O291" s="87"/>
      <c r="P291" s="87"/>
      <c r="Q291" s="87"/>
      <c r="R291" s="87"/>
      <c r="S291" s="87"/>
      <c r="T291" s="87"/>
      <c r="U291" s="127"/>
      <c r="V291" s="89"/>
      <c r="W291" s="96">
        <v>0</v>
      </c>
      <c r="X291" s="71">
        <f>CU291</f>
        <v>0</v>
      </c>
      <c r="Y291" s="71">
        <f>CY291</f>
        <v>0</v>
      </c>
      <c r="Z291" s="71">
        <f>DA291+DC291+DE291</f>
        <v>0</v>
      </c>
      <c r="AA291" s="71">
        <f>CW291</f>
        <v>0</v>
      </c>
      <c r="AB291" s="71"/>
      <c r="AC291" s="71">
        <v>0</v>
      </c>
      <c r="AD291" s="71">
        <f>W291+X291+Y291+Z291+AA291+AB291+AC291</f>
        <v>0</v>
      </c>
      <c r="AE291" s="72">
        <v>0</v>
      </c>
      <c r="AF291" s="5"/>
      <c r="AG291" s="6"/>
      <c r="AH291" s="27" t="s">
        <v>3392</v>
      </c>
      <c r="AI291" s="44" t="s">
        <v>3393</v>
      </c>
      <c r="AJ291" s="26"/>
      <c r="AK291" s="5"/>
      <c r="AL291" s="82" t="s">
        <v>3132</v>
      </c>
      <c r="AM291" s="76"/>
      <c r="AN291" s="76"/>
      <c r="AO291" s="76"/>
      <c r="AP291" s="76"/>
      <c r="AQ291" s="76"/>
      <c r="AR291" s="76"/>
      <c r="AS291" s="76"/>
      <c r="AT291" s="76"/>
      <c r="AU291" s="76"/>
      <c r="AV291" s="76"/>
      <c r="AW291" s="76"/>
      <c r="AX291" s="76">
        <f>+AW291*600000</f>
        <v>0</v>
      </c>
      <c r="AY291" s="76"/>
      <c r="AZ291" s="76">
        <f>+AY291*70000</f>
        <v>0</v>
      </c>
      <c r="BA291" s="76"/>
      <c r="BB291" s="76"/>
      <c r="BC291" s="76"/>
      <c r="BD291" s="76">
        <f>+BC291*30000</f>
        <v>0</v>
      </c>
      <c r="BE291" s="76"/>
      <c r="BF291" s="76"/>
      <c r="BG291" s="76"/>
      <c r="BH291" s="76"/>
      <c r="BI291" s="76"/>
      <c r="BJ291" s="76"/>
      <c r="BK291" s="76"/>
      <c r="BL291" s="76">
        <f>+BK291*31500</f>
        <v>0</v>
      </c>
      <c r="BM291" s="76"/>
      <c r="BN291" s="76"/>
      <c r="BO291" s="76"/>
      <c r="BP291" s="76"/>
      <c r="BQ291" s="76"/>
      <c r="BR291" s="76"/>
      <c r="BS291" s="76"/>
      <c r="BT291" s="76"/>
      <c r="BU291" s="76"/>
      <c r="BV291" s="76"/>
      <c r="BW291" s="76"/>
      <c r="BX291" s="76"/>
      <c r="BY291" s="76"/>
      <c r="BZ291" s="76"/>
      <c r="CA291" s="76"/>
      <c r="CB291" s="76"/>
      <c r="CC291" s="76"/>
      <c r="CD291" s="76"/>
      <c r="CE291" s="76"/>
      <c r="CF291" s="76">
        <f>+CE291*28000</f>
        <v>0</v>
      </c>
      <c r="CG291" s="76"/>
      <c r="CH291" s="76">
        <f>+CG291*22500</f>
        <v>0</v>
      </c>
      <c r="CI291" s="76"/>
      <c r="CJ291" s="76">
        <f>+CI291*26000</f>
        <v>0</v>
      </c>
      <c r="CK291" s="76"/>
      <c r="CL291" s="76"/>
      <c r="CM291" s="76"/>
      <c r="CN291" s="76">
        <f>+CM291*22000</f>
        <v>0</v>
      </c>
      <c r="CO291" s="76"/>
      <c r="CP291" s="76">
        <f>+CO291*46000</f>
        <v>0</v>
      </c>
      <c r="CQ291" s="76"/>
      <c r="CR291" s="76">
        <f>+CQ291*49000</f>
        <v>0</v>
      </c>
      <c r="CS291" s="76"/>
      <c r="CT291" s="76"/>
      <c r="CU291" s="56">
        <f>AN291+AP291+AR291+AT291+AV291+AX291+AZ291+BB291+BD291+BF291+BH291+BJ291+BL291+BN291+BP291+BR291+BT291+BV291+BX291+BZ291+CB291+CD291+CF291+CH291+CJ291+CL291+CN291+CP291+CR291+CT291</f>
        <v>0</v>
      </c>
      <c r="CV291" s="76"/>
      <c r="CW291" s="76">
        <f>+CV291*1100</f>
        <v>0</v>
      </c>
      <c r="CX291" s="76"/>
      <c r="CY291" s="76">
        <f>+CX291*106250</f>
        <v>0</v>
      </c>
      <c r="CZ291" s="76"/>
      <c r="DA291" s="76">
        <f>+CZ291*34500</f>
        <v>0</v>
      </c>
      <c r="DB291" s="76"/>
      <c r="DC291" s="76">
        <f>+DB291*25000</f>
        <v>0</v>
      </c>
      <c r="DD291" s="219"/>
      <c r="DE291" s="219"/>
      <c r="DF291" s="164"/>
      <c r="DG291" s="116"/>
      <c r="DH291" s="117"/>
      <c r="DI291" s="24"/>
      <c r="DJ291" s="24"/>
      <c r="DK291" s="24"/>
      <c r="DL291" s="24"/>
      <c r="DM291" s="24"/>
      <c r="DN291" s="24"/>
      <c r="DO291" s="24"/>
      <c r="DP291" s="24"/>
      <c r="DQ291" s="24"/>
      <c r="DR291" s="24"/>
      <c r="DS291" s="24"/>
      <c r="DT291" s="24"/>
      <c r="DU291" s="24"/>
    </row>
    <row r="292" spans="1:125" s="8" customFormat="1" ht="96" x14ac:dyDescent="0.2">
      <c r="A292" s="85">
        <v>41292</v>
      </c>
      <c r="B292" s="80" t="s">
        <v>2772</v>
      </c>
      <c r="C292" s="81" t="s">
        <v>1068</v>
      </c>
      <c r="D292" s="81" t="s">
        <v>2846</v>
      </c>
      <c r="E292" s="75" t="str">
        <f>VLOOKUP(B292&amp;C292,Divipola!$C$2:$F$1138,4,FALSE)</f>
        <v>25299</v>
      </c>
      <c r="F292" s="87"/>
      <c r="G292" s="87"/>
      <c r="H292" s="87"/>
      <c r="I292" s="87"/>
      <c r="J292" s="87"/>
      <c r="K292" s="87"/>
      <c r="L292" s="87"/>
      <c r="M292" s="87"/>
      <c r="N292" s="87"/>
      <c r="O292" s="87"/>
      <c r="P292" s="87"/>
      <c r="Q292" s="87"/>
      <c r="R292" s="87"/>
      <c r="S292" s="87"/>
      <c r="T292" s="87"/>
      <c r="U292" s="127">
        <v>7</v>
      </c>
      <c r="V292" s="89"/>
      <c r="W292" s="96">
        <v>0</v>
      </c>
      <c r="X292" s="71">
        <f>CU292</f>
        <v>0</v>
      </c>
      <c r="Y292" s="71">
        <f>CY292</f>
        <v>0</v>
      </c>
      <c r="Z292" s="71">
        <f>DA292+DC292+DE292</f>
        <v>0</v>
      </c>
      <c r="AA292" s="71">
        <f>CW292</f>
        <v>0</v>
      </c>
      <c r="AB292" s="71"/>
      <c r="AC292" s="71">
        <v>0</v>
      </c>
      <c r="AD292" s="71">
        <f>W292+X292+Y292+Z292+AA292+AB292+AC292</f>
        <v>0</v>
      </c>
      <c r="AE292" s="72">
        <v>0</v>
      </c>
      <c r="AF292" s="5"/>
      <c r="AG292" s="6"/>
      <c r="AH292" s="27" t="s">
        <v>3392</v>
      </c>
      <c r="AI292" s="44" t="s">
        <v>3393</v>
      </c>
      <c r="AJ292" s="26"/>
      <c r="AK292" s="5"/>
      <c r="AL292" s="82" t="s">
        <v>3145</v>
      </c>
      <c r="AM292" s="76"/>
      <c r="AN292" s="76"/>
      <c r="AO292" s="76"/>
      <c r="AP292" s="76"/>
      <c r="AQ292" s="76"/>
      <c r="AR292" s="76"/>
      <c r="AS292" s="76"/>
      <c r="AT292" s="76"/>
      <c r="AU292" s="76"/>
      <c r="AV292" s="76"/>
      <c r="AW292" s="76"/>
      <c r="AX292" s="76">
        <f>+AW292*600000</f>
        <v>0</v>
      </c>
      <c r="AY292" s="76"/>
      <c r="AZ292" s="76">
        <f>+AY292*70000</f>
        <v>0</v>
      </c>
      <c r="BA292" s="76"/>
      <c r="BB292" s="76"/>
      <c r="BC292" s="76"/>
      <c r="BD292" s="76">
        <f>+BC292*30000</f>
        <v>0</v>
      </c>
      <c r="BE292" s="76"/>
      <c r="BF292" s="76"/>
      <c r="BG292" s="76"/>
      <c r="BH292" s="76"/>
      <c r="BI292" s="76"/>
      <c r="BJ292" s="76"/>
      <c r="BK292" s="76"/>
      <c r="BL292" s="76">
        <f>+BK292*31500</f>
        <v>0</v>
      </c>
      <c r="BM292" s="76"/>
      <c r="BN292" s="76"/>
      <c r="BO292" s="76"/>
      <c r="BP292" s="76"/>
      <c r="BQ292" s="76"/>
      <c r="BR292" s="76"/>
      <c r="BS292" s="76"/>
      <c r="BT292" s="76"/>
      <c r="BU292" s="76"/>
      <c r="BV292" s="76"/>
      <c r="BW292" s="76"/>
      <c r="BX292" s="76"/>
      <c r="BY292" s="76"/>
      <c r="BZ292" s="76"/>
      <c r="CA292" s="76"/>
      <c r="CB292" s="76"/>
      <c r="CC292" s="76"/>
      <c r="CD292" s="76"/>
      <c r="CE292" s="76"/>
      <c r="CF292" s="76">
        <f>+CE292*28000</f>
        <v>0</v>
      </c>
      <c r="CG292" s="76"/>
      <c r="CH292" s="76">
        <f>+CG292*22500</f>
        <v>0</v>
      </c>
      <c r="CI292" s="76"/>
      <c r="CJ292" s="76">
        <f>+CI292*26000</f>
        <v>0</v>
      </c>
      <c r="CK292" s="76"/>
      <c r="CL292" s="76"/>
      <c r="CM292" s="76"/>
      <c r="CN292" s="76">
        <f>+CM292*22000</f>
        <v>0</v>
      </c>
      <c r="CO292" s="76"/>
      <c r="CP292" s="76">
        <f>+CO292*46000</f>
        <v>0</v>
      </c>
      <c r="CQ292" s="76"/>
      <c r="CR292" s="76">
        <f>+CQ292*49000</f>
        <v>0</v>
      </c>
      <c r="CS292" s="76"/>
      <c r="CT292" s="76"/>
      <c r="CU292" s="56">
        <f>AN292+AP292+AR292+AT292+AV292+AX292+AZ292+BB292+BD292+BF292+BH292+BJ292+BL292+BN292+BP292+BR292+BT292+BV292+BX292+BZ292+CB292+CD292+CF292+CH292+CJ292+CL292+CN292+CP292+CR292+CT292</f>
        <v>0</v>
      </c>
      <c r="CV292" s="76"/>
      <c r="CW292" s="76">
        <f>+CV292*1100</f>
        <v>0</v>
      </c>
      <c r="CX292" s="76"/>
      <c r="CY292" s="76">
        <f>+CX292*106250</f>
        <v>0</v>
      </c>
      <c r="CZ292" s="76"/>
      <c r="DA292" s="76">
        <f>+CZ292*34500</f>
        <v>0</v>
      </c>
      <c r="DB292" s="76"/>
      <c r="DC292" s="76">
        <f>+DB292*25000</f>
        <v>0</v>
      </c>
      <c r="DD292" s="219"/>
      <c r="DE292" s="219"/>
      <c r="DF292" s="164"/>
      <c r="DG292" s="116"/>
      <c r="DH292" s="117"/>
      <c r="DI292" s="24"/>
      <c r="DJ292" s="24"/>
      <c r="DK292" s="24"/>
      <c r="DL292" s="24"/>
      <c r="DM292" s="24"/>
      <c r="DN292" s="24"/>
      <c r="DO292" s="24"/>
      <c r="DP292" s="24"/>
      <c r="DQ292" s="24"/>
      <c r="DR292" s="24"/>
      <c r="DS292" s="24"/>
      <c r="DT292" s="24"/>
      <c r="DU292" s="24"/>
    </row>
    <row r="293" spans="1:125" s="8" customFormat="1" ht="108" x14ac:dyDescent="0.2">
      <c r="A293" s="85">
        <v>41292</v>
      </c>
      <c r="B293" s="80" t="s">
        <v>3136</v>
      </c>
      <c r="C293" s="81" t="s">
        <v>401</v>
      </c>
      <c r="D293" s="81" t="s">
        <v>2142</v>
      </c>
      <c r="E293" s="75" t="str">
        <f>VLOOKUP(B293&amp;C293,Divipola!$C$2:$F$1138,4,FALSE)</f>
        <v>44420</v>
      </c>
      <c r="F293" s="87">
        <v>1</v>
      </c>
      <c r="G293" s="87">
        <v>2</v>
      </c>
      <c r="H293" s="87"/>
      <c r="I293" s="87"/>
      <c r="J293" s="87"/>
      <c r="K293" s="87"/>
      <c r="L293" s="87"/>
      <c r="M293" s="87"/>
      <c r="N293" s="87"/>
      <c r="O293" s="87"/>
      <c r="P293" s="87"/>
      <c r="Q293" s="87"/>
      <c r="R293" s="87"/>
      <c r="S293" s="87"/>
      <c r="T293" s="87"/>
      <c r="U293" s="127"/>
      <c r="V293" s="89"/>
      <c r="W293" s="96">
        <v>0</v>
      </c>
      <c r="X293" s="71">
        <f>CU293</f>
        <v>0</v>
      </c>
      <c r="Y293" s="71">
        <f>CY293</f>
        <v>0</v>
      </c>
      <c r="Z293" s="71">
        <f>DA293+DC293+DE293</f>
        <v>0</v>
      </c>
      <c r="AA293" s="71">
        <f>CW293</f>
        <v>0</v>
      </c>
      <c r="AB293" s="71"/>
      <c r="AC293" s="71">
        <v>0</v>
      </c>
      <c r="AD293" s="71">
        <f>W293+X293+Y293+Z293+AA293+AB293+AC293</f>
        <v>0</v>
      </c>
      <c r="AE293" s="72">
        <v>0</v>
      </c>
      <c r="AF293" s="5"/>
      <c r="AG293" s="6"/>
      <c r="AH293" s="27" t="s">
        <v>3392</v>
      </c>
      <c r="AI293" s="44" t="s">
        <v>3393</v>
      </c>
      <c r="AJ293" s="26"/>
      <c r="AK293" s="5"/>
      <c r="AL293" s="82" t="s">
        <v>3395</v>
      </c>
      <c r="AM293" s="76"/>
      <c r="AN293" s="76"/>
      <c r="AO293" s="76"/>
      <c r="AP293" s="76"/>
      <c r="AQ293" s="76"/>
      <c r="AR293" s="76"/>
      <c r="AS293" s="76"/>
      <c r="AT293" s="76"/>
      <c r="AU293" s="76"/>
      <c r="AV293" s="76"/>
      <c r="AW293" s="76"/>
      <c r="AX293" s="76">
        <f>+AW293*600000</f>
        <v>0</v>
      </c>
      <c r="AY293" s="76"/>
      <c r="AZ293" s="76">
        <f>+AY293*70000</f>
        <v>0</v>
      </c>
      <c r="BA293" s="76"/>
      <c r="BB293" s="76"/>
      <c r="BC293" s="76"/>
      <c r="BD293" s="76">
        <f>+BC293*30000</f>
        <v>0</v>
      </c>
      <c r="BE293" s="76"/>
      <c r="BF293" s="76"/>
      <c r="BG293" s="76"/>
      <c r="BH293" s="76"/>
      <c r="BI293" s="76"/>
      <c r="BJ293" s="76"/>
      <c r="BK293" s="76"/>
      <c r="BL293" s="76">
        <f>+BK293*31500</f>
        <v>0</v>
      </c>
      <c r="BM293" s="76"/>
      <c r="BN293" s="76"/>
      <c r="BO293" s="76"/>
      <c r="BP293" s="76"/>
      <c r="BQ293" s="76"/>
      <c r="BR293" s="76"/>
      <c r="BS293" s="76"/>
      <c r="BT293" s="76"/>
      <c r="BU293" s="76"/>
      <c r="BV293" s="76"/>
      <c r="BW293" s="76"/>
      <c r="BX293" s="76"/>
      <c r="BY293" s="76"/>
      <c r="BZ293" s="76"/>
      <c r="CA293" s="76"/>
      <c r="CB293" s="76"/>
      <c r="CC293" s="76"/>
      <c r="CD293" s="76"/>
      <c r="CE293" s="76"/>
      <c r="CF293" s="76">
        <f>+CE293*28000</f>
        <v>0</v>
      </c>
      <c r="CG293" s="76"/>
      <c r="CH293" s="76">
        <f>+CG293*22500</f>
        <v>0</v>
      </c>
      <c r="CI293" s="76"/>
      <c r="CJ293" s="76">
        <f>+CI293*26000</f>
        <v>0</v>
      </c>
      <c r="CK293" s="76"/>
      <c r="CL293" s="76"/>
      <c r="CM293" s="76"/>
      <c r="CN293" s="76">
        <f>+CM293*22000</f>
        <v>0</v>
      </c>
      <c r="CO293" s="76"/>
      <c r="CP293" s="76">
        <f>+CO293*46000</f>
        <v>0</v>
      </c>
      <c r="CQ293" s="76"/>
      <c r="CR293" s="76">
        <f>+CQ293*49000</f>
        <v>0</v>
      </c>
      <c r="CS293" s="76"/>
      <c r="CT293" s="76"/>
      <c r="CU293" s="56">
        <f>AN293+AP293+AR293+AT293+AV293+AX293+AZ293+BB293+BD293+BF293+BH293+BJ293+BL293+BN293+BP293+BR293+BT293+BV293+BX293+BZ293+CB293+CD293+CF293+CH293+CJ293+CL293+CN293+CP293+CR293+CT293</f>
        <v>0</v>
      </c>
      <c r="CV293" s="76"/>
      <c r="CW293" s="76">
        <f>+CV293*1100</f>
        <v>0</v>
      </c>
      <c r="CX293" s="76"/>
      <c r="CY293" s="76">
        <f>+CX293*106250</f>
        <v>0</v>
      </c>
      <c r="CZ293" s="76"/>
      <c r="DA293" s="76">
        <f>+CZ293*34500</f>
        <v>0</v>
      </c>
      <c r="DB293" s="76"/>
      <c r="DC293" s="76">
        <f>+DB293*25000</f>
        <v>0</v>
      </c>
      <c r="DD293" s="219"/>
      <c r="DE293" s="219"/>
      <c r="DF293" s="164"/>
      <c r="DG293" s="116"/>
      <c r="DH293" s="117"/>
      <c r="DI293" s="24"/>
      <c r="DJ293" s="24"/>
      <c r="DK293" s="24"/>
      <c r="DL293" s="24"/>
      <c r="DM293" s="24"/>
      <c r="DN293" s="24"/>
      <c r="DO293" s="24"/>
      <c r="DP293" s="24"/>
      <c r="DQ293" s="24"/>
      <c r="DR293" s="24"/>
      <c r="DS293" s="24"/>
      <c r="DT293" s="24"/>
      <c r="DU293" s="24"/>
    </row>
    <row r="294" spans="1:125" s="8" customFormat="1" ht="22.5" x14ac:dyDescent="0.2">
      <c r="A294" s="77">
        <v>41292</v>
      </c>
      <c r="B294" s="78" t="s">
        <v>2775</v>
      </c>
      <c r="C294" s="75" t="s">
        <v>2775</v>
      </c>
      <c r="D294" s="81" t="s">
        <v>2846</v>
      </c>
      <c r="E294" s="75" t="str">
        <f>VLOOKUP(B294&amp;C294,Divipola!$C$2:$F$1138,4,FALSE)</f>
        <v>00000</v>
      </c>
      <c r="F294" s="87"/>
      <c r="G294" s="87"/>
      <c r="H294" s="87"/>
      <c r="I294" s="87"/>
      <c r="J294" s="87"/>
      <c r="K294" s="87"/>
      <c r="L294" s="87"/>
      <c r="M294" s="87"/>
      <c r="N294" s="87"/>
      <c r="O294" s="87"/>
      <c r="P294" s="87"/>
      <c r="Q294" s="87"/>
      <c r="R294" s="87"/>
      <c r="S294" s="87"/>
      <c r="T294" s="87"/>
      <c r="U294" s="127"/>
      <c r="V294" s="89"/>
      <c r="W294" s="96">
        <v>0</v>
      </c>
      <c r="X294" s="71">
        <f>CU294</f>
        <v>0</v>
      </c>
      <c r="Y294" s="71">
        <f>CY294</f>
        <v>0</v>
      </c>
      <c r="Z294" s="71">
        <f>DA294+DC294+DE294</f>
        <v>0</v>
      </c>
      <c r="AA294" s="71">
        <f>CW294</f>
        <v>0</v>
      </c>
      <c r="AB294" s="71">
        <f>400*556800</f>
        <v>222720000</v>
      </c>
      <c r="AC294" s="71">
        <v>0</v>
      </c>
      <c r="AD294" s="71">
        <f>W294+X294+Y294+Z294+AA294+AB294+AC294</f>
        <v>222720000</v>
      </c>
      <c r="AE294" s="72">
        <v>0</v>
      </c>
      <c r="AF294" s="5"/>
      <c r="AG294" s="6"/>
      <c r="AH294" s="27" t="s">
        <v>3390</v>
      </c>
      <c r="AI294" s="44" t="s">
        <v>3391</v>
      </c>
      <c r="AJ294" s="26"/>
      <c r="AK294" s="5"/>
      <c r="AL294" s="82" t="s">
        <v>3120</v>
      </c>
      <c r="AM294" s="76"/>
      <c r="AN294" s="76"/>
      <c r="AO294" s="76"/>
      <c r="AP294" s="76"/>
      <c r="AQ294" s="76"/>
      <c r="AR294" s="76"/>
      <c r="AS294" s="76"/>
      <c r="AT294" s="76"/>
      <c r="AU294" s="76"/>
      <c r="AV294" s="76"/>
      <c r="AW294" s="76"/>
      <c r="AX294" s="76">
        <f>+AW294*600000</f>
        <v>0</v>
      </c>
      <c r="AY294" s="76"/>
      <c r="AZ294" s="76">
        <f>+AY294*70000</f>
        <v>0</v>
      </c>
      <c r="BA294" s="76"/>
      <c r="BB294" s="76"/>
      <c r="BC294" s="76"/>
      <c r="BD294" s="76">
        <f>+BC294*30000</f>
        <v>0</v>
      </c>
      <c r="BE294" s="76"/>
      <c r="BF294" s="76"/>
      <c r="BG294" s="76"/>
      <c r="BH294" s="76"/>
      <c r="BI294" s="76"/>
      <c r="BJ294" s="76"/>
      <c r="BK294" s="76"/>
      <c r="BL294" s="76">
        <f>+BK294*31500</f>
        <v>0</v>
      </c>
      <c r="BM294" s="76"/>
      <c r="BN294" s="76"/>
      <c r="BO294" s="76"/>
      <c r="BP294" s="76"/>
      <c r="BQ294" s="76"/>
      <c r="BR294" s="76"/>
      <c r="BS294" s="76"/>
      <c r="BT294" s="76"/>
      <c r="BU294" s="76"/>
      <c r="BV294" s="76"/>
      <c r="BW294" s="76"/>
      <c r="BX294" s="76"/>
      <c r="BY294" s="76"/>
      <c r="BZ294" s="76"/>
      <c r="CA294" s="76"/>
      <c r="CB294" s="76"/>
      <c r="CC294" s="76"/>
      <c r="CD294" s="76"/>
      <c r="CE294" s="76"/>
      <c r="CF294" s="76">
        <f>+CE294*28000</f>
        <v>0</v>
      </c>
      <c r="CG294" s="76"/>
      <c r="CH294" s="76">
        <f>+CG294*22500</f>
        <v>0</v>
      </c>
      <c r="CI294" s="76"/>
      <c r="CJ294" s="76">
        <f>+CI294*26000</f>
        <v>0</v>
      </c>
      <c r="CK294" s="76"/>
      <c r="CL294" s="76"/>
      <c r="CM294" s="76"/>
      <c r="CN294" s="76">
        <f>+CM294*22000</f>
        <v>0</v>
      </c>
      <c r="CO294" s="76"/>
      <c r="CP294" s="76">
        <f>+CO294*46000</f>
        <v>0</v>
      </c>
      <c r="CQ294" s="76"/>
      <c r="CR294" s="76">
        <f>+CQ294*49000</f>
        <v>0</v>
      </c>
      <c r="CS294" s="76"/>
      <c r="CT294" s="76"/>
      <c r="CU294" s="56">
        <f>AN294+AP294+AR294+AT294+AV294+AX294+AZ294+BB294+BD294+BF294+BH294+BJ294+BL294+BN294+BP294+BR294+BT294+BV294+BX294+BZ294+CB294+CD294+CF294+CH294+CJ294+CL294+CN294+CP294+CR294+CT294</f>
        <v>0</v>
      </c>
      <c r="CV294" s="76"/>
      <c r="CW294" s="76">
        <f>+CV294*1100</f>
        <v>0</v>
      </c>
      <c r="CX294" s="76"/>
      <c r="CY294" s="76">
        <f>+CX294*106250</f>
        <v>0</v>
      </c>
      <c r="CZ294" s="76"/>
      <c r="DA294" s="76">
        <f>+CZ294*34500</f>
        <v>0</v>
      </c>
      <c r="DB294" s="76"/>
      <c r="DC294" s="76">
        <f>+DB294*25000</f>
        <v>0</v>
      </c>
      <c r="DD294" s="219"/>
      <c r="DE294" s="219"/>
      <c r="DF294" s="164"/>
      <c r="DG294" s="134" t="s">
        <v>3283</v>
      </c>
      <c r="DH294" s="155" t="s">
        <v>3565</v>
      </c>
      <c r="DI294" s="24"/>
      <c r="DJ294" s="24"/>
      <c r="DK294" s="24"/>
      <c r="DL294" s="24"/>
      <c r="DM294" s="24"/>
      <c r="DN294" s="24"/>
      <c r="DO294" s="24"/>
      <c r="DP294" s="24"/>
      <c r="DQ294" s="24"/>
      <c r="DR294" s="24"/>
      <c r="DS294" s="24"/>
      <c r="DT294" s="24"/>
      <c r="DU294" s="24"/>
    </row>
    <row r="295" spans="1:125" s="8" customFormat="1" ht="24" x14ac:dyDescent="0.2">
      <c r="A295" s="77">
        <v>41292</v>
      </c>
      <c r="B295" s="80" t="s">
        <v>3131</v>
      </c>
      <c r="C295" s="81" t="s">
        <v>2689</v>
      </c>
      <c r="D295" s="81" t="s">
        <v>2846</v>
      </c>
      <c r="E295" s="75" t="str">
        <f>VLOOKUP(B295&amp;C295,Divipola!$C$2:$F$1138,4,FALSE)</f>
        <v>86320</v>
      </c>
      <c r="F295" s="87"/>
      <c r="G295" s="87"/>
      <c r="H295" s="87"/>
      <c r="I295" s="87"/>
      <c r="J295" s="87"/>
      <c r="K295" s="87"/>
      <c r="L295" s="87"/>
      <c r="M295" s="87"/>
      <c r="N295" s="87"/>
      <c r="O295" s="87"/>
      <c r="P295" s="87"/>
      <c r="Q295" s="87"/>
      <c r="R295" s="87"/>
      <c r="S295" s="87"/>
      <c r="T295" s="87"/>
      <c r="U295" s="127"/>
      <c r="V295" s="89"/>
      <c r="W295" s="96">
        <v>0</v>
      </c>
      <c r="X295" s="71">
        <f>CU295</f>
        <v>0</v>
      </c>
      <c r="Y295" s="71">
        <f>CY295</f>
        <v>0</v>
      </c>
      <c r="Z295" s="71">
        <f>DA295+DC295+DE295</f>
        <v>0</v>
      </c>
      <c r="AA295" s="71">
        <f>CW295</f>
        <v>0</v>
      </c>
      <c r="AB295" s="71"/>
      <c r="AC295" s="71">
        <v>0</v>
      </c>
      <c r="AD295" s="71">
        <f>W295+X295+Y295+Z295+AA295+AB295+AC295</f>
        <v>0</v>
      </c>
      <c r="AE295" s="72">
        <v>0</v>
      </c>
      <c r="AF295" s="5"/>
      <c r="AG295" s="6"/>
      <c r="AH295" s="27" t="s">
        <v>3392</v>
      </c>
      <c r="AI295" s="44" t="s">
        <v>3393</v>
      </c>
      <c r="AJ295" s="26"/>
      <c r="AK295" s="5"/>
      <c r="AL295" s="82" t="s">
        <v>3134</v>
      </c>
      <c r="AM295" s="76"/>
      <c r="AN295" s="76"/>
      <c r="AO295" s="76"/>
      <c r="AP295" s="76"/>
      <c r="AQ295" s="76"/>
      <c r="AR295" s="76"/>
      <c r="AS295" s="76"/>
      <c r="AT295" s="76"/>
      <c r="AU295" s="76"/>
      <c r="AV295" s="76"/>
      <c r="AW295" s="76"/>
      <c r="AX295" s="76">
        <f>+AW295*600000</f>
        <v>0</v>
      </c>
      <c r="AY295" s="76"/>
      <c r="AZ295" s="76">
        <f>+AY295*70000</f>
        <v>0</v>
      </c>
      <c r="BA295" s="76"/>
      <c r="BB295" s="76"/>
      <c r="BC295" s="76"/>
      <c r="BD295" s="76">
        <f>+BC295*30000</f>
        <v>0</v>
      </c>
      <c r="BE295" s="76"/>
      <c r="BF295" s="76"/>
      <c r="BG295" s="76"/>
      <c r="BH295" s="76"/>
      <c r="BI295" s="76"/>
      <c r="BJ295" s="76"/>
      <c r="BK295" s="76"/>
      <c r="BL295" s="76">
        <f>+BK295*31500</f>
        <v>0</v>
      </c>
      <c r="BM295" s="76"/>
      <c r="BN295" s="76"/>
      <c r="BO295" s="76"/>
      <c r="BP295" s="76"/>
      <c r="BQ295" s="76"/>
      <c r="BR295" s="76"/>
      <c r="BS295" s="76"/>
      <c r="BT295" s="76"/>
      <c r="BU295" s="76"/>
      <c r="BV295" s="76"/>
      <c r="BW295" s="76"/>
      <c r="BX295" s="76"/>
      <c r="BY295" s="76"/>
      <c r="BZ295" s="76"/>
      <c r="CA295" s="76"/>
      <c r="CB295" s="76"/>
      <c r="CC295" s="76"/>
      <c r="CD295" s="76"/>
      <c r="CE295" s="76"/>
      <c r="CF295" s="76">
        <f>+CE295*28000</f>
        <v>0</v>
      </c>
      <c r="CG295" s="76"/>
      <c r="CH295" s="76">
        <f>+CG295*22500</f>
        <v>0</v>
      </c>
      <c r="CI295" s="76"/>
      <c r="CJ295" s="76">
        <f>+CI295*26000</f>
        <v>0</v>
      </c>
      <c r="CK295" s="76"/>
      <c r="CL295" s="76"/>
      <c r="CM295" s="76"/>
      <c r="CN295" s="76">
        <f>+CM295*22000</f>
        <v>0</v>
      </c>
      <c r="CO295" s="76"/>
      <c r="CP295" s="76">
        <f>+CO295*46000</f>
        <v>0</v>
      </c>
      <c r="CQ295" s="76"/>
      <c r="CR295" s="76">
        <f>+CQ295*49000</f>
        <v>0</v>
      </c>
      <c r="CS295" s="76"/>
      <c r="CT295" s="76"/>
      <c r="CU295" s="56">
        <f>AN295+AP295+AR295+AT295+AV295+AX295+AZ295+BB295+BD295+BF295+BH295+BJ295+BL295+BN295+BP295+BR295+BT295+BV295+BX295+BZ295+CB295+CD295+CF295+CH295+CJ295+CL295+CN295+CP295+CR295+CT295</f>
        <v>0</v>
      </c>
      <c r="CV295" s="76"/>
      <c r="CW295" s="76">
        <f>+CV295*1100</f>
        <v>0</v>
      </c>
      <c r="CX295" s="76"/>
      <c r="CY295" s="76">
        <f>+CX295*106250</f>
        <v>0</v>
      </c>
      <c r="CZ295" s="76"/>
      <c r="DA295" s="76">
        <f>+CZ295*34500</f>
        <v>0</v>
      </c>
      <c r="DB295" s="76"/>
      <c r="DC295" s="76">
        <f>+DB295*25000</f>
        <v>0</v>
      </c>
      <c r="DD295" s="219"/>
      <c r="DE295" s="219"/>
      <c r="DF295" s="164"/>
      <c r="DG295" s="116"/>
      <c r="DH295" s="117"/>
      <c r="DI295" s="24"/>
      <c r="DJ295" s="24"/>
      <c r="DK295" s="24"/>
      <c r="DL295" s="24"/>
      <c r="DM295" s="24"/>
      <c r="DN295" s="24"/>
      <c r="DO295" s="24"/>
      <c r="DP295" s="24"/>
      <c r="DQ295" s="24"/>
      <c r="DR295" s="24"/>
      <c r="DS295" s="24"/>
      <c r="DT295" s="24"/>
      <c r="DU295" s="24"/>
    </row>
    <row r="296" spans="1:125" s="8" customFormat="1" ht="36" x14ac:dyDescent="0.2">
      <c r="A296" s="77">
        <v>41292</v>
      </c>
      <c r="B296" s="80" t="s">
        <v>3131</v>
      </c>
      <c r="C296" s="81" t="s">
        <v>11</v>
      </c>
      <c r="D296" s="81" t="s">
        <v>2846</v>
      </c>
      <c r="E296" s="75" t="str">
        <f>VLOOKUP(B296&amp;C296,Divipola!$C$2:$F$1138,4,FALSE)</f>
        <v>86573</v>
      </c>
      <c r="F296" s="87"/>
      <c r="G296" s="87"/>
      <c r="H296" s="87"/>
      <c r="I296" s="87"/>
      <c r="J296" s="87"/>
      <c r="K296" s="87"/>
      <c r="L296" s="87"/>
      <c r="M296" s="87"/>
      <c r="N296" s="87"/>
      <c r="O296" s="87"/>
      <c r="P296" s="87"/>
      <c r="Q296" s="87"/>
      <c r="R296" s="87"/>
      <c r="S296" s="87"/>
      <c r="T296" s="87"/>
      <c r="U296" s="127">
        <v>40</v>
      </c>
      <c r="V296" s="89"/>
      <c r="W296" s="96">
        <v>0</v>
      </c>
      <c r="X296" s="71">
        <f>CU296</f>
        <v>0</v>
      </c>
      <c r="Y296" s="71">
        <f>CY296</f>
        <v>0</v>
      </c>
      <c r="Z296" s="71">
        <f>DA296+DC296+DE296</f>
        <v>0</v>
      </c>
      <c r="AA296" s="71">
        <f>CW296</f>
        <v>0</v>
      </c>
      <c r="AB296" s="71"/>
      <c r="AC296" s="71">
        <v>0</v>
      </c>
      <c r="AD296" s="71">
        <f>W296+X296+Y296+Z296+AA296+AB296+AC296</f>
        <v>0</v>
      </c>
      <c r="AE296" s="72">
        <v>0</v>
      </c>
      <c r="AF296" s="5"/>
      <c r="AG296" s="6"/>
      <c r="AH296" s="27" t="s">
        <v>3392</v>
      </c>
      <c r="AI296" s="44" t="s">
        <v>3393</v>
      </c>
      <c r="AJ296" s="26"/>
      <c r="AK296" s="5"/>
      <c r="AL296" s="82" t="s">
        <v>3133</v>
      </c>
      <c r="AM296" s="76"/>
      <c r="AN296" s="76"/>
      <c r="AO296" s="76"/>
      <c r="AP296" s="76"/>
      <c r="AQ296" s="76"/>
      <c r="AR296" s="76"/>
      <c r="AS296" s="76"/>
      <c r="AT296" s="76"/>
      <c r="AU296" s="76"/>
      <c r="AV296" s="76"/>
      <c r="AW296" s="76"/>
      <c r="AX296" s="76">
        <f>+AW296*600000</f>
        <v>0</v>
      </c>
      <c r="AY296" s="76"/>
      <c r="AZ296" s="76">
        <f>+AY296*70000</f>
        <v>0</v>
      </c>
      <c r="BA296" s="76"/>
      <c r="BB296" s="76"/>
      <c r="BC296" s="76"/>
      <c r="BD296" s="76">
        <f>+BC296*30000</f>
        <v>0</v>
      </c>
      <c r="BE296" s="76"/>
      <c r="BF296" s="76"/>
      <c r="BG296" s="76"/>
      <c r="BH296" s="76"/>
      <c r="BI296" s="76"/>
      <c r="BJ296" s="76"/>
      <c r="BK296" s="76"/>
      <c r="BL296" s="76">
        <f>+BK296*31500</f>
        <v>0</v>
      </c>
      <c r="BM296" s="76"/>
      <c r="BN296" s="76"/>
      <c r="BO296" s="76"/>
      <c r="BP296" s="76"/>
      <c r="BQ296" s="76"/>
      <c r="BR296" s="76"/>
      <c r="BS296" s="76"/>
      <c r="BT296" s="76"/>
      <c r="BU296" s="76"/>
      <c r="BV296" s="76"/>
      <c r="BW296" s="76"/>
      <c r="BX296" s="76"/>
      <c r="BY296" s="76"/>
      <c r="BZ296" s="76"/>
      <c r="CA296" s="76"/>
      <c r="CB296" s="76"/>
      <c r="CC296" s="76"/>
      <c r="CD296" s="76"/>
      <c r="CE296" s="76"/>
      <c r="CF296" s="76">
        <f>+CE296*28000</f>
        <v>0</v>
      </c>
      <c r="CG296" s="76"/>
      <c r="CH296" s="76">
        <f>+CG296*22500</f>
        <v>0</v>
      </c>
      <c r="CI296" s="76"/>
      <c r="CJ296" s="76">
        <f>+CI296*26000</f>
        <v>0</v>
      </c>
      <c r="CK296" s="76"/>
      <c r="CL296" s="76"/>
      <c r="CM296" s="76"/>
      <c r="CN296" s="76">
        <f>+CM296*22000</f>
        <v>0</v>
      </c>
      <c r="CO296" s="76"/>
      <c r="CP296" s="76">
        <f>+CO296*46000</f>
        <v>0</v>
      </c>
      <c r="CQ296" s="76"/>
      <c r="CR296" s="76">
        <f>+CQ296*49000</f>
        <v>0</v>
      </c>
      <c r="CS296" s="76"/>
      <c r="CT296" s="76"/>
      <c r="CU296" s="56">
        <f>AN296+AP296+AR296+AT296+AV296+AX296+AZ296+BB296+BD296+BF296+BH296+BJ296+BL296+BN296+BP296+BR296+BT296+BV296+BX296+BZ296+CB296+CD296+CF296+CH296+CJ296+CL296+CN296+CP296+CR296+CT296</f>
        <v>0</v>
      </c>
      <c r="CV296" s="76"/>
      <c r="CW296" s="76">
        <f>+CV296*1100</f>
        <v>0</v>
      </c>
      <c r="CX296" s="76"/>
      <c r="CY296" s="76">
        <f>+CX296*106250</f>
        <v>0</v>
      </c>
      <c r="CZ296" s="76"/>
      <c r="DA296" s="76">
        <f>+CZ296*34500</f>
        <v>0</v>
      </c>
      <c r="DB296" s="76"/>
      <c r="DC296" s="76">
        <f>+DB296*25000</f>
        <v>0</v>
      </c>
      <c r="DD296" s="219"/>
      <c r="DE296" s="219"/>
      <c r="DF296" s="164"/>
      <c r="DG296" s="116"/>
      <c r="DH296" s="117"/>
      <c r="DI296" s="24"/>
      <c r="DJ296" s="24"/>
      <c r="DK296" s="24"/>
      <c r="DL296" s="24"/>
      <c r="DM296" s="24"/>
      <c r="DN296" s="24"/>
      <c r="DO296" s="24"/>
      <c r="DP296" s="24"/>
      <c r="DQ296" s="24"/>
      <c r="DR296" s="24"/>
      <c r="DS296" s="24"/>
      <c r="DT296" s="24"/>
      <c r="DU296" s="24"/>
    </row>
    <row r="297" spans="1:125" s="8" customFormat="1" ht="60" x14ac:dyDescent="0.2">
      <c r="A297" s="97">
        <v>41292</v>
      </c>
      <c r="B297" s="60" t="s">
        <v>2774</v>
      </c>
      <c r="C297" s="55" t="s">
        <v>2752</v>
      </c>
      <c r="D297" s="81" t="s">
        <v>2846</v>
      </c>
      <c r="E297" s="75" t="str">
        <f>VLOOKUP(B297&amp;C297,Divipola!$C$2:$F$1138,4,FALSE)</f>
        <v>66687</v>
      </c>
      <c r="F297" s="87"/>
      <c r="G297" s="87"/>
      <c r="H297" s="87"/>
      <c r="I297" s="87"/>
      <c r="J297" s="87"/>
      <c r="K297" s="87"/>
      <c r="L297" s="87"/>
      <c r="M297" s="87"/>
      <c r="N297" s="87"/>
      <c r="O297" s="87"/>
      <c r="P297" s="87"/>
      <c r="Q297" s="87"/>
      <c r="R297" s="87"/>
      <c r="S297" s="87"/>
      <c r="T297" s="87"/>
      <c r="U297" s="127"/>
      <c r="V297" s="89"/>
      <c r="W297" s="96">
        <v>0</v>
      </c>
      <c r="X297" s="71">
        <f>CU297</f>
        <v>0</v>
      </c>
      <c r="Y297" s="71">
        <f>CY297</f>
        <v>0</v>
      </c>
      <c r="Z297" s="71">
        <f>DA297+DC297+DE297</f>
        <v>0</v>
      </c>
      <c r="AA297" s="71">
        <f>CW297</f>
        <v>0</v>
      </c>
      <c r="AB297" s="71"/>
      <c r="AC297" s="71">
        <v>0</v>
      </c>
      <c r="AD297" s="71">
        <f>W297+X297+Y297+Z297+AA297+AB297+AC297</f>
        <v>0</v>
      </c>
      <c r="AE297" s="72">
        <v>0</v>
      </c>
      <c r="AF297" s="5"/>
      <c r="AG297" s="6"/>
      <c r="AH297" s="27" t="s">
        <v>3392</v>
      </c>
      <c r="AI297" s="44" t="s">
        <v>3393</v>
      </c>
      <c r="AJ297" s="26"/>
      <c r="AK297" s="5"/>
      <c r="AL297" s="82" t="s">
        <v>3143</v>
      </c>
      <c r="AM297" s="76"/>
      <c r="AN297" s="76"/>
      <c r="AO297" s="76"/>
      <c r="AP297" s="76"/>
      <c r="AQ297" s="76"/>
      <c r="AR297" s="76"/>
      <c r="AS297" s="76"/>
      <c r="AT297" s="76"/>
      <c r="AU297" s="76"/>
      <c r="AV297" s="76"/>
      <c r="AW297" s="76"/>
      <c r="AX297" s="76">
        <f>+AW297*600000</f>
        <v>0</v>
      </c>
      <c r="AY297" s="76"/>
      <c r="AZ297" s="76">
        <f>+AY297*70000</f>
        <v>0</v>
      </c>
      <c r="BA297" s="76"/>
      <c r="BB297" s="76"/>
      <c r="BC297" s="76"/>
      <c r="BD297" s="76">
        <f>+BC297*30000</f>
        <v>0</v>
      </c>
      <c r="BE297" s="76"/>
      <c r="BF297" s="76"/>
      <c r="BG297" s="76"/>
      <c r="BH297" s="76"/>
      <c r="BI297" s="76"/>
      <c r="BJ297" s="76"/>
      <c r="BK297" s="76"/>
      <c r="BL297" s="76">
        <f>+BK297*31500</f>
        <v>0</v>
      </c>
      <c r="BM297" s="76"/>
      <c r="BN297" s="76"/>
      <c r="BO297" s="76"/>
      <c r="BP297" s="76"/>
      <c r="BQ297" s="76"/>
      <c r="BR297" s="76"/>
      <c r="BS297" s="76"/>
      <c r="BT297" s="76"/>
      <c r="BU297" s="76"/>
      <c r="BV297" s="76"/>
      <c r="BW297" s="76"/>
      <c r="BX297" s="76"/>
      <c r="BY297" s="76"/>
      <c r="BZ297" s="76"/>
      <c r="CA297" s="76"/>
      <c r="CB297" s="76"/>
      <c r="CC297" s="76"/>
      <c r="CD297" s="76"/>
      <c r="CE297" s="76"/>
      <c r="CF297" s="76">
        <f>+CE297*28000</f>
        <v>0</v>
      </c>
      <c r="CG297" s="76"/>
      <c r="CH297" s="76">
        <f>+CG297*22500</f>
        <v>0</v>
      </c>
      <c r="CI297" s="76"/>
      <c r="CJ297" s="76">
        <f>+CI297*26000</f>
        <v>0</v>
      </c>
      <c r="CK297" s="76"/>
      <c r="CL297" s="76"/>
      <c r="CM297" s="76"/>
      <c r="CN297" s="76">
        <f>+CM297*22000</f>
        <v>0</v>
      </c>
      <c r="CO297" s="76"/>
      <c r="CP297" s="76">
        <f>+CO297*46000</f>
        <v>0</v>
      </c>
      <c r="CQ297" s="76"/>
      <c r="CR297" s="76">
        <f>+CQ297*49000</f>
        <v>0</v>
      </c>
      <c r="CS297" s="76"/>
      <c r="CT297" s="76"/>
      <c r="CU297" s="56">
        <f>AN297+AP297+AR297+AT297+AV297+AX297+AZ297+BB297+BD297+BF297+BH297+BJ297+BL297+BN297+BP297+BR297+BT297+BV297+BX297+BZ297+CB297+CD297+CF297+CH297+CJ297+CL297+CN297+CP297+CR297+CT297</f>
        <v>0</v>
      </c>
      <c r="CV297" s="76"/>
      <c r="CW297" s="76">
        <f>+CV297*1100</f>
        <v>0</v>
      </c>
      <c r="CX297" s="76"/>
      <c r="CY297" s="76">
        <f>+CX297*106250</f>
        <v>0</v>
      </c>
      <c r="CZ297" s="76"/>
      <c r="DA297" s="76">
        <f>+CZ297*34500</f>
        <v>0</v>
      </c>
      <c r="DB297" s="76"/>
      <c r="DC297" s="76">
        <f>+DB297*25000</f>
        <v>0</v>
      </c>
      <c r="DD297" s="219"/>
      <c r="DE297" s="219"/>
      <c r="DF297" s="164"/>
      <c r="DG297" s="116"/>
      <c r="DH297" s="117"/>
      <c r="DI297" s="24"/>
      <c r="DJ297" s="24"/>
      <c r="DK297" s="24"/>
      <c r="DL297" s="24"/>
      <c r="DM297" s="24"/>
      <c r="DN297" s="24"/>
      <c r="DO297" s="24"/>
      <c r="DP297" s="24"/>
      <c r="DQ297" s="24"/>
      <c r="DR297" s="24"/>
      <c r="DS297" s="24"/>
      <c r="DT297" s="24"/>
      <c r="DU297" s="24"/>
    </row>
    <row r="298" spans="1:125" s="8" customFormat="1" ht="108" x14ac:dyDescent="0.2">
      <c r="A298" s="85">
        <v>41292</v>
      </c>
      <c r="B298" s="80" t="s">
        <v>2847</v>
      </c>
      <c r="C298" s="81" t="s">
        <v>2673</v>
      </c>
      <c r="D298" s="81" t="s">
        <v>2859</v>
      </c>
      <c r="E298" s="75" t="str">
        <f>VLOOKUP(B298&amp;C298,Divipola!$C$2:$F$1138,4,FALSE)</f>
        <v>68001</v>
      </c>
      <c r="F298" s="87"/>
      <c r="G298" s="87"/>
      <c r="H298" s="87"/>
      <c r="I298" s="87">
        <v>5</v>
      </c>
      <c r="J298" s="87">
        <v>1</v>
      </c>
      <c r="K298" s="87"/>
      <c r="L298" s="87">
        <v>1</v>
      </c>
      <c r="M298" s="87"/>
      <c r="N298" s="87"/>
      <c r="O298" s="87"/>
      <c r="P298" s="87"/>
      <c r="Q298" s="87"/>
      <c r="R298" s="87"/>
      <c r="S298" s="87"/>
      <c r="T298" s="87"/>
      <c r="U298" s="127"/>
      <c r="V298" s="89"/>
      <c r="W298" s="96">
        <v>0</v>
      </c>
      <c r="X298" s="71">
        <f>CU298</f>
        <v>0</v>
      </c>
      <c r="Y298" s="71">
        <f>CY298</f>
        <v>0</v>
      </c>
      <c r="Z298" s="71">
        <f>DA298+DC298+DE298</f>
        <v>0</v>
      </c>
      <c r="AA298" s="71">
        <f>CW298</f>
        <v>0</v>
      </c>
      <c r="AB298" s="71"/>
      <c r="AC298" s="71">
        <v>0</v>
      </c>
      <c r="AD298" s="71">
        <f>W298+X298+Y298+Z298+AA298+AB298+AC298</f>
        <v>0</v>
      </c>
      <c r="AE298" s="72">
        <v>0</v>
      </c>
      <c r="AF298" s="5"/>
      <c r="AG298" s="6"/>
      <c r="AH298" s="27" t="s">
        <v>3392</v>
      </c>
      <c r="AI298" s="44" t="s">
        <v>3393</v>
      </c>
      <c r="AJ298" s="26"/>
      <c r="AK298" s="5"/>
      <c r="AL298" s="82" t="s">
        <v>3139</v>
      </c>
      <c r="AM298" s="76"/>
      <c r="AN298" s="76"/>
      <c r="AO298" s="76"/>
      <c r="AP298" s="76"/>
      <c r="AQ298" s="76"/>
      <c r="AR298" s="76"/>
      <c r="AS298" s="76"/>
      <c r="AT298" s="76"/>
      <c r="AU298" s="76"/>
      <c r="AV298" s="76"/>
      <c r="AW298" s="76"/>
      <c r="AX298" s="76">
        <f>+AW298*600000</f>
        <v>0</v>
      </c>
      <c r="AY298" s="76"/>
      <c r="AZ298" s="76">
        <f>+AY298*70000</f>
        <v>0</v>
      </c>
      <c r="BA298" s="76"/>
      <c r="BB298" s="76"/>
      <c r="BC298" s="76"/>
      <c r="BD298" s="76">
        <f>+BC298*30000</f>
        <v>0</v>
      </c>
      <c r="BE298" s="76"/>
      <c r="BF298" s="76"/>
      <c r="BG298" s="76"/>
      <c r="BH298" s="76"/>
      <c r="BI298" s="76"/>
      <c r="BJ298" s="76"/>
      <c r="BK298" s="76"/>
      <c r="BL298" s="76">
        <f>+BK298*31500</f>
        <v>0</v>
      </c>
      <c r="BM298" s="76"/>
      <c r="BN298" s="76"/>
      <c r="BO298" s="76"/>
      <c r="BP298" s="76"/>
      <c r="BQ298" s="76"/>
      <c r="BR298" s="76"/>
      <c r="BS298" s="76"/>
      <c r="BT298" s="76"/>
      <c r="BU298" s="76"/>
      <c r="BV298" s="76"/>
      <c r="BW298" s="76"/>
      <c r="BX298" s="76"/>
      <c r="BY298" s="76"/>
      <c r="BZ298" s="76"/>
      <c r="CA298" s="76"/>
      <c r="CB298" s="76"/>
      <c r="CC298" s="76"/>
      <c r="CD298" s="76"/>
      <c r="CE298" s="76"/>
      <c r="CF298" s="76">
        <f>+CE298*28000</f>
        <v>0</v>
      </c>
      <c r="CG298" s="76"/>
      <c r="CH298" s="76">
        <f>+CG298*22500</f>
        <v>0</v>
      </c>
      <c r="CI298" s="76"/>
      <c r="CJ298" s="76">
        <f>+CI298*26000</f>
        <v>0</v>
      </c>
      <c r="CK298" s="76"/>
      <c r="CL298" s="76"/>
      <c r="CM298" s="76"/>
      <c r="CN298" s="76">
        <f>+CM298*22000</f>
        <v>0</v>
      </c>
      <c r="CO298" s="76"/>
      <c r="CP298" s="76">
        <f>+CO298*46000</f>
        <v>0</v>
      </c>
      <c r="CQ298" s="76"/>
      <c r="CR298" s="76">
        <f>+CQ298*49000</f>
        <v>0</v>
      </c>
      <c r="CS298" s="76"/>
      <c r="CT298" s="76"/>
      <c r="CU298" s="56">
        <f>AN298+AP298+AR298+AT298+AV298+AX298+AZ298+BB298+BD298+BF298+BH298+BJ298+BL298+BN298+BP298+BR298+BT298+BV298+BX298+BZ298+CB298+CD298+CF298+CH298+CJ298+CL298+CN298+CP298+CR298+CT298</f>
        <v>0</v>
      </c>
      <c r="CV298" s="76"/>
      <c r="CW298" s="76">
        <f>+CV298*1100</f>
        <v>0</v>
      </c>
      <c r="CX298" s="76"/>
      <c r="CY298" s="76">
        <f>+CX298*106250</f>
        <v>0</v>
      </c>
      <c r="CZ298" s="76"/>
      <c r="DA298" s="76">
        <f>+CZ298*34500</f>
        <v>0</v>
      </c>
      <c r="DB298" s="76"/>
      <c r="DC298" s="76">
        <f>+DB298*25000</f>
        <v>0</v>
      </c>
      <c r="DD298" s="219"/>
      <c r="DE298" s="219"/>
      <c r="DF298" s="164"/>
      <c r="DG298" s="116"/>
      <c r="DH298" s="117"/>
      <c r="DI298" s="24"/>
      <c r="DJ298" s="24"/>
      <c r="DK298" s="24"/>
      <c r="DL298" s="24"/>
      <c r="DM298" s="24"/>
      <c r="DN298" s="24"/>
      <c r="DO298" s="24"/>
      <c r="DP298" s="24"/>
      <c r="DQ298" s="24"/>
      <c r="DR298" s="24"/>
      <c r="DS298" s="24"/>
      <c r="DT298" s="24"/>
      <c r="DU298" s="24"/>
    </row>
    <row r="299" spans="1:125" s="8" customFormat="1" ht="96" x14ac:dyDescent="0.2">
      <c r="A299" s="77">
        <v>41293</v>
      </c>
      <c r="B299" s="80" t="s">
        <v>529</v>
      </c>
      <c r="C299" s="81" t="s">
        <v>529</v>
      </c>
      <c r="D299" s="81" t="s">
        <v>2859</v>
      </c>
      <c r="E299" s="75" t="str">
        <f>VLOOKUP(B299&amp;C299,Divipola!$C$2:$F$1138,4,FALSE)</f>
        <v>11001</v>
      </c>
      <c r="F299" s="87"/>
      <c r="G299" s="87">
        <v>4</v>
      </c>
      <c r="H299" s="87"/>
      <c r="I299" s="87">
        <v>6</v>
      </c>
      <c r="J299" s="87">
        <v>1</v>
      </c>
      <c r="K299" s="87"/>
      <c r="L299" s="87">
        <v>1</v>
      </c>
      <c r="M299" s="87"/>
      <c r="N299" s="87"/>
      <c r="O299" s="87"/>
      <c r="P299" s="87"/>
      <c r="Q299" s="87"/>
      <c r="R299" s="87"/>
      <c r="S299" s="87"/>
      <c r="T299" s="87"/>
      <c r="U299" s="127"/>
      <c r="V299" s="89"/>
      <c r="W299" s="96">
        <v>0</v>
      </c>
      <c r="X299" s="71">
        <f>CU299</f>
        <v>0</v>
      </c>
      <c r="Y299" s="71">
        <f>CY299</f>
        <v>0</v>
      </c>
      <c r="Z299" s="71">
        <f>DA299+DC299+DE299</f>
        <v>0</v>
      </c>
      <c r="AA299" s="71">
        <f>CW299</f>
        <v>0</v>
      </c>
      <c r="AB299" s="71"/>
      <c r="AC299" s="71">
        <v>0</v>
      </c>
      <c r="AD299" s="71">
        <f>W299+X299+Y299+Z299+AA299+AB299+AC299</f>
        <v>0</v>
      </c>
      <c r="AE299" s="72">
        <v>0</v>
      </c>
      <c r="AF299" s="5"/>
      <c r="AG299" s="6"/>
      <c r="AH299" s="27" t="s">
        <v>3392</v>
      </c>
      <c r="AI299" s="44" t="s">
        <v>3393</v>
      </c>
      <c r="AJ299" s="26"/>
      <c r="AK299" s="5"/>
      <c r="AL299" s="82" t="s">
        <v>3154</v>
      </c>
      <c r="AM299" s="76"/>
      <c r="AN299" s="76"/>
      <c r="AO299" s="76"/>
      <c r="AP299" s="76"/>
      <c r="AQ299" s="76"/>
      <c r="AR299" s="76"/>
      <c r="AS299" s="76"/>
      <c r="AT299" s="76"/>
      <c r="AU299" s="76"/>
      <c r="AV299" s="76"/>
      <c r="AW299" s="76"/>
      <c r="AX299" s="76">
        <f>+AW299*600000</f>
        <v>0</v>
      </c>
      <c r="AY299" s="76"/>
      <c r="AZ299" s="76">
        <f>+AY299*70000</f>
        <v>0</v>
      </c>
      <c r="BA299" s="76"/>
      <c r="BB299" s="76"/>
      <c r="BC299" s="76"/>
      <c r="BD299" s="76">
        <f>+BC299*30000</f>
        <v>0</v>
      </c>
      <c r="BE299" s="76"/>
      <c r="BF299" s="76"/>
      <c r="BG299" s="76"/>
      <c r="BH299" s="76"/>
      <c r="BI299" s="76"/>
      <c r="BJ299" s="76"/>
      <c r="BK299" s="76"/>
      <c r="BL299" s="76">
        <f>+BK299*31500</f>
        <v>0</v>
      </c>
      <c r="BM299" s="76"/>
      <c r="BN299" s="76"/>
      <c r="BO299" s="76"/>
      <c r="BP299" s="76"/>
      <c r="BQ299" s="76"/>
      <c r="BR299" s="76"/>
      <c r="BS299" s="76"/>
      <c r="BT299" s="76"/>
      <c r="BU299" s="76"/>
      <c r="BV299" s="76"/>
      <c r="BW299" s="76"/>
      <c r="BX299" s="76"/>
      <c r="BY299" s="76"/>
      <c r="BZ299" s="76"/>
      <c r="CA299" s="76"/>
      <c r="CB299" s="76"/>
      <c r="CC299" s="76"/>
      <c r="CD299" s="76"/>
      <c r="CE299" s="76"/>
      <c r="CF299" s="76">
        <f>+CE299*28000</f>
        <v>0</v>
      </c>
      <c r="CG299" s="76"/>
      <c r="CH299" s="76">
        <f>+CG299*22500</f>
        <v>0</v>
      </c>
      <c r="CI299" s="76"/>
      <c r="CJ299" s="76">
        <f>+CI299*26000</f>
        <v>0</v>
      </c>
      <c r="CK299" s="76"/>
      <c r="CL299" s="76"/>
      <c r="CM299" s="76"/>
      <c r="CN299" s="76">
        <f>+CM299*22000</f>
        <v>0</v>
      </c>
      <c r="CO299" s="76"/>
      <c r="CP299" s="76">
        <f>+CO299*46000</f>
        <v>0</v>
      </c>
      <c r="CQ299" s="76"/>
      <c r="CR299" s="76">
        <f>+CQ299*49000</f>
        <v>0</v>
      </c>
      <c r="CS299" s="76"/>
      <c r="CT299" s="76"/>
      <c r="CU299" s="56">
        <f>AN299+AP299+AR299+AT299+AV299+AX299+AZ299+BB299+BD299+BF299+BH299+BJ299+BL299+BN299+BP299+BR299+BT299+BV299+BX299+BZ299+CB299+CD299+CF299+CH299+CJ299+CL299+CN299+CP299+CR299+CT299</f>
        <v>0</v>
      </c>
      <c r="CV299" s="76"/>
      <c r="CW299" s="76">
        <f>+CV299*1100</f>
        <v>0</v>
      </c>
      <c r="CX299" s="76"/>
      <c r="CY299" s="76">
        <f>+CX299*106250</f>
        <v>0</v>
      </c>
      <c r="CZ299" s="76"/>
      <c r="DA299" s="76">
        <f>+CZ299*34500</f>
        <v>0</v>
      </c>
      <c r="DB299" s="76"/>
      <c r="DC299" s="76">
        <f>+DB299*25000</f>
        <v>0</v>
      </c>
      <c r="DD299" s="219"/>
      <c r="DE299" s="219"/>
      <c r="DF299" s="164"/>
      <c r="DG299" s="116"/>
      <c r="DH299" s="117"/>
      <c r="DI299" s="24"/>
      <c r="DJ299" s="24"/>
      <c r="DK299" s="24"/>
      <c r="DL299" s="24"/>
      <c r="DM299" s="24"/>
      <c r="DN299" s="24"/>
      <c r="DO299" s="24"/>
      <c r="DP299" s="24"/>
      <c r="DQ299" s="24"/>
      <c r="DR299" s="24"/>
      <c r="DS299" s="24"/>
      <c r="DT299" s="24"/>
      <c r="DU299" s="24"/>
    </row>
    <row r="300" spans="1:125" s="8" customFormat="1" ht="48" x14ac:dyDescent="0.2">
      <c r="A300" s="77">
        <v>41293</v>
      </c>
      <c r="B300" s="80" t="s">
        <v>2778</v>
      </c>
      <c r="C300" s="81" t="s">
        <v>1344</v>
      </c>
      <c r="D300" s="81" t="s">
        <v>2846</v>
      </c>
      <c r="E300" s="75" t="str">
        <f>VLOOKUP(B300&amp;C300,Divipola!$C$2:$F$1138,4,FALSE)</f>
        <v>85001</v>
      </c>
      <c r="F300" s="87"/>
      <c r="G300" s="87"/>
      <c r="H300" s="87"/>
      <c r="I300" s="87"/>
      <c r="J300" s="87"/>
      <c r="K300" s="87"/>
      <c r="L300" s="87"/>
      <c r="M300" s="87"/>
      <c r="N300" s="87"/>
      <c r="O300" s="87"/>
      <c r="P300" s="87"/>
      <c r="Q300" s="87"/>
      <c r="R300" s="87"/>
      <c r="S300" s="87"/>
      <c r="T300" s="87"/>
      <c r="U300" s="127">
        <v>1.5</v>
      </c>
      <c r="V300" s="89"/>
      <c r="W300" s="96">
        <v>0</v>
      </c>
      <c r="X300" s="71">
        <f>CU300</f>
        <v>0</v>
      </c>
      <c r="Y300" s="71">
        <f>CY300</f>
        <v>0</v>
      </c>
      <c r="Z300" s="71">
        <f>DA300+DC300+DE300</f>
        <v>0</v>
      </c>
      <c r="AA300" s="71">
        <f>CW300</f>
        <v>0</v>
      </c>
      <c r="AB300" s="71"/>
      <c r="AC300" s="71">
        <v>0</v>
      </c>
      <c r="AD300" s="71">
        <f>W300+X300+Y300+Z300+AA300+AB300+AC300</f>
        <v>0</v>
      </c>
      <c r="AE300" s="72">
        <v>0</v>
      </c>
      <c r="AF300" s="5"/>
      <c r="AG300" s="6"/>
      <c r="AH300" s="27" t="s">
        <v>3392</v>
      </c>
      <c r="AI300" s="44" t="s">
        <v>3393</v>
      </c>
      <c r="AJ300" s="26"/>
      <c r="AK300" s="5"/>
      <c r="AL300" s="82" t="s">
        <v>3150</v>
      </c>
      <c r="AM300" s="76"/>
      <c r="AN300" s="76"/>
      <c r="AO300" s="76"/>
      <c r="AP300" s="76"/>
      <c r="AQ300" s="76"/>
      <c r="AR300" s="76"/>
      <c r="AS300" s="76"/>
      <c r="AT300" s="76"/>
      <c r="AU300" s="76"/>
      <c r="AV300" s="76"/>
      <c r="AW300" s="76"/>
      <c r="AX300" s="76">
        <f>+AW300*600000</f>
        <v>0</v>
      </c>
      <c r="AY300" s="76"/>
      <c r="AZ300" s="76">
        <f>+AY300*70000</f>
        <v>0</v>
      </c>
      <c r="BA300" s="76"/>
      <c r="BB300" s="76"/>
      <c r="BC300" s="76"/>
      <c r="BD300" s="76">
        <f>+BC300*30000</f>
        <v>0</v>
      </c>
      <c r="BE300" s="76"/>
      <c r="BF300" s="76"/>
      <c r="BG300" s="76"/>
      <c r="BH300" s="76"/>
      <c r="BI300" s="76"/>
      <c r="BJ300" s="76"/>
      <c r="BK300" s="76"/>
      <c r="BL300" s="76">
        <f>+BK300*31500</f>
        <v>0</v>
      </c>
      <c r="BM300" s="76"/>
      <c r="BN300" s="76"/>
      <c r="BO300" s="76"/>
      <c r="BP300" s="76"/>
      <c r="BQ300" s="76"/>
      <c r="BR300" s="76"/>
      <c r="BS300" s="76"/>
      <c r="BT300" s="76"/>
      <c r="BU300" s="76"/>
      <c r="BV300" s="76"/>
      <c r="BW300" s="76"/>
      <c r="BX300" s="76"/>
      <c r="BY300" s="76"/>
      <c r="BZ300" s="76"/>
      <c r="CA300" s="76"/>
      <c r="CB300" s="76"/>
      <c r="CC300" s="76"/>
      <c r="CD300" s="76"/>
      <c r="CE300" s="76"/>
      <c r="CF300" s="76">
        <f>+CE300*28000</f>
        <v>0</v>
      </c>
      <c r="CG300" s="76"/>
      <c r="CH300" s="76">
        <f>+CG300*22500</f>
        <v>0</v>
      </c>
      <c r="CI300" s="76"/>
      <c r="CJ300" s="76">
        <f>+CI300*26000</f>
        <v>0</v>
      </c>
      <c r="CK300" s="76"/>
      <c r="CL300" s="76"/>
      <c r="CM300" s="76"/>
      <c r="CN300" s="76">
        <f>+CM300*22000</f>
        <v>0</v>
      </c>
      <c r="CO300" s="76"/>
      <c r="CP300" s="76">
        <f>+CO300*46000</f>
        <v>0</v>
      </c>
      <c r="CQ300" s="76"/>
      <c r="CR300" s="76">
        <f>+CQ300*49000</f>
        <v>0</v>
      </c>
      <c r="CS300" s="76"/>
      <c r="CT300" s="76"/>
      <c r="CU300" s="56">
        <f>AN300+AP300+AR300+AT300+AV300+AX300+AZ300+BB300+BD300+BF300+BH300+BJ300+BL300+BN300+BP300+BR300+BT300+BV300+BX300+BZ300+CB300+CD300+CF300+CH300+CJ300+CL300+CN300+CP300+CR300+CT300</f>
        <v>0</v>
      </c>
      <c r="CV300" s="76"/>
      <c r="CW300" s="76">
        <f>+CV300*1100</f>
        <v>0</v>
      </c>
      <c r="CX300" s="76"/>
      <c r="CY300" s="76">
        <f>+CX300*106250</f>
        <v>0</v>
      </c>
      <c r="CZ300" s="76"/>
      <c r="DA300" s="76">
        <f>+CZ300*34500</f>
        <v>0</v>
      </c>
      <c r="DB300" s="76"/>
      <c r="DC300" s="76">
        <f>+DB300*25000</f>
        <v>0</v>
      </c>
      <c r="DD300" s="219"/>
      <c r="DE300" s="219"/>
      <c r="DF300" s="164"/>
      <c r="DG300" s="116"/>
      <c r="DH300" s="117"/>
      <c r="DI300" s="24"/>
      <c r="DJ300" s="24"/>
      <c r="DK300" s="24"/>
      <c r="DL300" s="24"/>
      <c r="DM300" s="24"/>
      <c r="DN300" s="24"/>
      <c r="DO300" s="24"/>
      <c r="DP300" s="24"/>
      <c r="DQ300" s="24"/>
      <c r="DR300" s="24"/>
      <c r="DS300" s="24"/>
      <c r="DT300" s="24"/>
      <c r="DU300" s="24"/>
    </row>
    <row r="301" spans="1:125" s="8" customFormat="1" ht="96" x14ac:dyDescent="0.2">
      <c r="A301" s="77">
        <v>41293</v>
      </c>
      <c r="B301" s="80" t="s">
        <v>2772</v>
      </c>
      <c r="C301" s="81" t="s">
        <v>2830</v>
      </c>
      <c r="D301" s="81" t="s">
        <v>2846</v>
      </c>
      <c r="E301" s="75" t="str">
        <f>VLOOKUP(B301&amp;C301,Divipola!$C$2:$F$1138,4,FALSE)</f>
        <v>25486</v>
      </c>
      <c r="F301" s="87"/>
      <c r="G301" s="87"/>
      <c r="H301" s="87"/>
      <c r="I301" s="87"/>
      <c r="J301" s="87"/>
      <c r="K301" s="87"/>
      <c r="L301" s="87"/>
      <c r="M301" s="87"/>
      <c r="N301" s="87"/>
      <c r="O301" s="87"/>
      <c r="P301" s="87"/>
      <c r="Q301" s="87"/>
      <c r="R301" s="87"/>
      <c r="S301" s="87"/>
      <c r="T301" s="87"/>
      <c r="U301" s="127">
        <v>1</v>
      </c>
      <c r="V301" s="89"/>
      <c r="W301" s="96">
        <v>0</v>
      </c>
      <c r="X301" s="71">
        <f>CU301</f>
        <v>0</v>
      </c>
      <c r="Y301" s="71">
        <f>CY301</f>
        <v>0</v>
      </c>
      <c r="Z301" s="71">
        <f>DA301+DC301+DE301</f>
        <v>0</v>
      </c>
      <c r="AA301" s="71">
        <f>CW301</f>
        <v>0</v>
      </c>
      <c r="AB301" s="71"/>
      <c r="AC301" s="71">
        <v>0</v>
      </c>
      <c r="AD301" s="71">
        <f>W301+X301+Y301+Z301+AA301+AB301+AC301</f>
        <v>0</v>
      </c>
      <c r="AE301" s="72">
        <v>0</v>
      </c>
      <c r="AF301" s="5"/>
      <c r="AG301" s="6"/>
      <c r="AH301" s="27" t="s">
        <v>3392</v>
      </c>
      <c r="AI301" s="44" t="s">
        <v>3393</v>
      </c>
      <c r="AJ301" s="26"/>
      <c r="AK301" s="124"/>
      <c r="AL301" s="82" t="s">
        <v>3308</v>
      </c>
      <c r="AM301" s="76"/>
      <c r="AN301" s="76"/>
      <c r="AO301" s="76"/>
      <c r="AP301" s="76"/>
      <c r="AQ301" s="76"/>
      <c r="AR301" s="76"/>
      <c r="AS301" s="76"/>
      <c r="AT301" s="76"/>
      <c r="AU301" s="76"/>
      <c r="AV301" s="76"/>
      <c r="AW301" s="76"/>
      <c r="AX301" s="76">
        <f>+AW301*600000</f>
        <v>0</v>
      </c>
      <c r="AY301" s="76"/>
      <c r="AZ301" s="76">
        <f>+AY301*70000</f>
        <v>0</v>
      </c>
      <c r="BA301" s="76"/>
      <c r="BB301" s="76"/>
      <c r="BC301" s="76"/>
      <c r="BD301" s="76">
        <f>+BC301*30000</f>
        <v>0</v>
      </c>
      <c r="BE301" s="76"/>
      <c r="BF301" s="76"/>
      <c r="BG301" s="76"/>
      <c r="BH301" s="76"/>
      <c r="BI301" s="76"/>
      <c r="BJ301" s="76"/>
      <c r="BK301" s="76"/>
      <c r="BL301" s="76">
        <f>+BK301*31500</f>
        <v>0</v>
      </c>
      <c r="BM301" s="76"/>
      <c r="BN301" s="76"/>
      <c r="BO301" s="76"/>
      <c r="BP301" s="76"/>
      <c r="BQ301" s="76"/>
      <c r="BR301" s="76"/>
      <c r="BS301" s="76"/>
      <c r="BT301" s="76"/>
      <c r="BU301" s="76"/>
      <c r="BV301" s="76"/>
      <c r="BW301" s="76"/>
      <c r="BX301" s="76"/>
      <c r="BY301" s="76"/>
      <c r="BZ301" s="76"/>
      <c r="CA301" s="76"/>
      <c r="CB301" s="76"/>
      <c r="CC301" s="76"/>
      <c r="CD301" s="76"/>
      <c r="CE301" s="76"/>
      <c r="CF301" s="76">
        <f>+CE301*28000</f>
        <v>0</v>
      </c>
      <c r="CG301" s="76"/>
      <c r="CH301" s="76">
        <f>+CG301*22500</f>
        <v>0</v>
      </c>
      <c r="CI301" s="76"/>
      <c r="CJ301" s="76">
        <f>+CI301*26000</f>
        <v>0</v>
      </c>
      <c r="CK301" s="76"/>
      <c r="CL301" s="76"/>
      <c r="CM301" s="76"/>
      <c r="CN301" s="76">
        <f>+CM301*22000</f>
        <v>0</v>
      </c>
      <c r="CO301" s="76"/>
      <c r="CP301" s="76">
        <f>+CO301*46000</f>
        <v>0</v>
      </c>
      <c r="CQ301" s="76"/>
      <c r="CR301" s="76">
        <f>+CQ301*49000</f>
        <v>0</v>
      </c>
      <c r="CS301" s="76"/>
      <c r="CT301" s="76"/>
      <c r="CU301" s="56">
        <f>AN301+AP301+AR301+AT301+AV301+AX301+AZ301+BB301+BD301+BF301+BH301+BJ301+BL301+BN301+BP301+BR301+BT301+BV301+BX301+BZ301+CB301+CD301+CF301+CH301+CJ301+CL301+CN301+CP301+CR301+CT301</f>
        <v>0</v>
      </c>
      <c r="CV301" s="76"/>
      <c r="CW301" s="76">
        <f>+CV301*1100</f>
        <v>0</v>
      </c>
      <c r="CX301" s="76"/>
      <c r="CY301" s="76">
        <f>+CX301*106250</f>
        <v>0</v>
      </c>
      <c r="CZ301" s="76"/>
      <c r="DA301" s="76">
        <f>+CZ301*34500</f>
        <v>0</v>
      </c>
      <c r="DB301" s="76"/>
      <c r="DC301" s="76">
        <f>+DB301*25000</f>
        <v>0</v>
      </c>
      <c r="DD301" s="219"/>
      <c r="DE301" s="219"/>
      <c r="DF301" s="164"/>
      <c r="DG301" s="116"/>
      <c r="DH301" s="117"/>
      <c r="DI301" s="24"/>
      <c r="DJ301" s="24"/>
      <c r="DK301" s="24"/>
      <c r="DL301" s="24"/>
      <c r="DM301" s="24"/>
      <c r="DN301" s="24"/>
      <c r="DO301" s="24"/>
      <c r="DP301" s="24"/>
      <c r="DQ301" s="24"/>
      <c r="DR301" s="24"/>
      <c r="DS301" s="24"/>
      <c r="DT301" s="24"/>
      <c r="DU301" s="24"/>
    </row>
    <row r="302" spans="1:125" s="8" customFormat="1" ht="72" x14ac:dyDescent="0.2">
      <c r="A302" s="77">
        <v>41293</v>
      </c>
      <c r="B302" s="80" t="s">
        <v>2860</v>
      </c>
      <c r="C302" s="81" t="s">
        <v>2776</v>
      </c>
      <c r="D302" s="81" t="s">
        <v>2846</v>
      </c>
      <c r="E302" s="75" t="str">
        <f>VLOOKUP(B302&amp;C302,Divipola!$C$2:$F$1138,4,FALSE)</f>
        <v>63001</v>
      </c>
      <c r="F302" s="87"/>
      <c r="G302" s="87"/>
      <c r="H302" s="87"/>
      <c r="I302" s="87"/>
      <c r="J302" s="87"/>
      <c r="K302" s="87"/>
      <c r="L302" s="87"/>
      <c r="M302" s="87"/>
      <c r="N302" s="87"/>
      <c r="O302" s="87"/>
      <c r="P302" s="87"/>
      <c r="Q302" s="87"/>
      <c r="R302" s="87"/>
      <c r="S302" s="87"/>
      <c r="T302" s="87"/>
      <c r="U302" s="127"/>
      <c r="V302" s="89"/>
      <c r="W302" s="96">
        <v>0</v>
      </c>
      <c r="X302" s="71">
        <f>CU302</f>
        <v>0</v>
      </c>
      <c r="Y302" s="71">
        <f>CY302</f>
        <v>0</v>
      </c>
      <c r="Z302" s="71">
        <f>DA302+DC302+DE302</f>
        <v>0</v>
      </c>
      <c r="AA302" s="71">
        <f>CW302</f>
        <v>0</v>
      </c>
      <c r="AB302" s="71"/>
      <c r="AC302" s="71">
        <v>0</v>
      </c>
      <c r="AD302" s="71">
        <f>W302+X302+Y302+Z302+AA302+AB302+AC302</f>
        <v>0</v>
      </c>
      <c r="AE302" s="72">
        <v>0</v>
      </c>
      <c r="AF302" s="5"/>
      <c r="AG302" s="6"/>
      <c r="AH302" s="27" t="s">
        <v>3392</v>
      </c>
      <c r="AI302" s="44" t="s">
        <v>3393</v>
      </c>
      <c r="AJ302" s="26"/>
      <c r="AK302" s="5"/>
      <c r="AL302" s="82" t="s">
        <v>3153</v>
      </c>
      <c r="AM302" s="76"/>
      <c r="AN302" s="76"/>
      <c r="AO302" s="76"/>
      <c r="AP302" s="76"/>
      <c r="AQ302" s="76"/>
      <c r="AR302" s="76"/>
      <c r="AS302" s="76"/>
      <c r="AT302" s="76"/>
      <c r="AU302" s="76"/>
      <c r="AV302" s="76"/>
      <c r="AW302" s="76"/>
      <c r="AX302" s="76">
        <f>+AW302*600000</f>
        <v>0</v>
      </c>
      <c r="AY302" s="76"/>
      <c r="AZ302" s="76">
        <f>+AY302*70000</f>
        <v>0</v>
      </c>
      <c r="BA302" s="76"/>
      <c r="BB302" s="76"/>
      <c r="BC302" s="76"/>
      <c r="BD302" s="76">
        <f>+BC302*30000</f>
        <v>0</v>
      </c>
      <c r="BE302" s="76"/>
      <c r="BF302" s="76"/>
      <c r="BG302" s="76"/>
      <c r="BH302" s="76"/>
      <c r="BI302" s="76"/>
      <c r="BJ302" s="76"/>
      <c r="BK302" s="76"/>
      <c r="BL302" s="76">
        <f>+BK302*31500</f>
        <v>0</v>
      </c>
      <c r="BM302" s="76"/>
      <c r="BN302" s="76"/>
      <c r="BO302" s="76"/>
      <c r="BP302" s="76"/>
      <c r="BQ302" s="76"/>
      <c r="BR302" s="76"/>
      <c r="BS302" s="76"/>
      <c r="BT302" s="76"/>
      <c r="BU302" s="76"/>
      <c r="BV302" s="76"/>
      <c r="BW302" s="76"/>
      <c r="BX302" s="76"/>
      <c r="BY302" s="76"/>
      <c r="BZ302" s="76"/>
      <c r="CA302" s="76"/>
      <c r="CB302" s="76"/>
      <c r="CC302" s="76"/>
      <c r="CD302" s="76"/>
      <c r="CE302" s="76"/>
      <c r="CF302" s="76">
        <f>+CE302*28000</f>
        <v>0</v>
      </c>
      <c r="CG302" s="76"/>
      <c r="CH302" s="76">
        <f>+CG302*22500</f>
        <v>0</v>
      </c>
      <c r="CI302" s="76"/>
      <c r="CJ302" s="76">
        <f>+CI302*26000</f>
        <v>0</v>
      </c>
      <c r="CK302" s="76"/>
      <c r="CL302" s="76"/>
      <c r="CM302" s="76"/>
      <c r="CN302" s="76">
        <f>+CM302*22000</f>
        <v>0</v>
      </c>
      <c r="CO302" s="76"/>
      <c r="CP302" s="76">
        <f>+CO302*46000</f>
        <v>0</v>
      </c>
      <c r="CQ302" s="76"/>
      <c r="CR302" s="76">
        <f>+CQ302*49000</f>
        <v>0</v>
      </c>
      <c r="CS302" s="76"/>
      <c r="CT302" s="76"/>
      <c r="CU302" s="56">
        <f>AN302+AP302+AR302+AT302+AV302+AX302+AZ302+BB302+BD302+BF302+BH302+BJ302+BL302+BN302+BP302+BR302+BT302+BV302+BX302+BZ302+CB302+CD302+CF302+CH302+CJ302+CL302+CN302+CP302+CR302+CT302</f>
        <v>0</v>
      </c>
      <c r="CV302" s="76"/>
      <c r="CW302" s="76">
        <f>+CV302*1100</f>
        <v>0</v>
      </c>
      <c r="CX302" s="76"/>
      <c r="CY302" s="76">
        <f>+CX302*106250</f>
        <v>0</v>
      </c>
      <c r="CZ302" s="76"/>
      <c r="DA302" s="76">
        <f>+CZ302*34500</f>
        <v>0</v>
      </c>
      <c r="DB302" s="76"/>
      <c r="DC302" s="76">
        <f>+DB302*25000</f>
        <v>0</v>
      </c>
      <c r="DD302" s="219"/>
      <c r="DE302" s="219"/>
      <c r="DF302" s="164"/>
      <c r="DG302" s="116"/>
      <c r="DH302" s="117"/>
      <c r="DI302" s="24"/>
      <c r="DJ302" s="24"/>
      <c r="DK302" s="24"/>
      <c r="DL302" s="24"/>
      <c r="DM302" s="24"/>
      <c r="DN302" s="24"/>
      <c r="DO302" s="24"/>
      <c r="DP302" s="24"/>
      <c r="DQ302" s="24"/>
      <c r="DR302" s="24"/>
      <c r="DS302" s="24"/>
      <c r="DT302" s="24"/>
      <c r="DU302" s="24"/>
    </row>
    <row r="303" spans="1:125" s="8" customFormat="1" ht="48" x14ac:dyDescent="0.2">
      <c r="A303" s="77">
        <v>41293</v>
      </c>
      <c r="B303" s="80" t="s">
        <v>2847</v>
      </c>
      <c r="C303" s="81" t="s">
        <v>2673</v>
      </c>
      <c r="D303" s="81" t="s">
        <v>2859</v>
      </c>
      <c r="E303" s="75" t="str">
        <f>VLOOKUP(B303&amp;C303,Divipola!$C$2:$F$1138,4,FALSE)</f>
        <v>68001</v>
      </c>
      <c r="F303" s="87"/>
      <c r="G303" s="87"/>
      <c r="H303" s="87"/>
      <c r="I303" s="87">
        <v>5</v>
      </c>
      <c r="J303" s="87">
        <v>1</v>
      </c>
      <c r="K303" s="87"/>
      <c r="L303" s="87">
        <v>1</v>
      </c>
      <c r="M303" s="87"/>
      <c r="N303" s="87"/>
      <c r="O303" s="87"/>
      <c r="P303" s="87"/>
      <c r="Q303" s="87"/>
      <c r="R303" s="87"/>
      <c r="S303" s="87"/>
      <c r="T303" s="87"/>
      <c r="U303" s="127"/>
      <c r="V303" s="89"/>
      <c r="W303" s="96">
        <v>0</v>
      </c>
      <c r="X303" s="71">
        <f>CU303</f>
        <v>0</v>
      </c>
      <c r="Y303" s="71">
        <f>CY303</f>
        <v>0</v>
      </c>
      <c r="Z303" s="71">
        <f>DA303+DC303+DE303</f>
        <v>0</v>
      </c>
      <c r="AA303" s="71">
        <f>CW303</f>
        <v>0</v>
      </c>
      <c r="AB303" s="71"/>
      <c r="AC303" s="71">
        <v>0</v>
      </c>
      <c r="AD303" s="71">
        <f>W303+X303+Y303+Z303+AA303+AB303+AC303</f>
        <v>0</v>
      </c>
      <c r="AE303" s="72">
        <v>0</v>
      </c>
      <c r="AF303" s="5"/>
      <c r="AG303" s="6"/>
      <c r="AH303" s="27" t="s">
        <v>3392</v>
      </c>
      <c r="AI303" s="44" t="s">
        <v>3393</v>
      </c>
      <c r="AJ303" s="26"/>
      <c r="AK303" s="5"/>
      <c r="AL303" s="82" t="s">
        <v>3152</v>
      </c>
      <c r="AM303" s="76"/>
      <c r="AN303" s="76"/>
      <c r="AO303" s="76"/>
      <c r="AP303" s="76"/>
      <c r="AQ303" s="76"/>
      <c r="AR303" s="76"/>
      <c r="AS303" s="76"/>
      <c r="AT303" s="76"/>
      <c r="AU303" s="76"/>
      <c r="AV303" s="76"/>
      <c r="AW303" s="76"/>
      <c r="AX303" s="76">
        <f>+AW303*600000</f>
        <v>0</v>
      </c>
      <c r="AY303" s="76"/>
      <c r="AZ303" s="76">
        <f>+AY303*70000</f>
        <v>0</v>
      </c>
      <c r="BA303" s="76"/>
      <c r="BB303" s="76"/>
      <c r="BC303" s="76"/>
      <c r="BD303" s="76">
        <f>+BC303*30000</f>
        <v>0</v>
      </c>
      <c r="BE303" s="76"/>
      <c r="BF303" s="76"/>
      <c r="BG303" s="76"/>
      <c r="BH303" s="76"/>
      <c r="BI303" s="76"/>
      <c r="BJ303" s="76"/>
      <c r="BK303" s="76"/>
      <c r="BL303" s="76">
        <f>+BK303*31500</f>
        <v>0</v>
      </c>
      <c r="BM303" s="76"/>
      <c r="BN303" s="76"/>
      <c r="BO303" s="76"/>
      <c r="BP303" s="76"/>
      <c r="BQ303" s="76"/>
      <c r="BR303" s="76"/>
      <c r="BS303" s="76"/>
      <c r="BT303" s="76"/>
      <c r="BU303" s="76"/>
      <c r="BV303" s="76"/>
      <c r="BW303" s="76"/>
      <c r="BX303" s="76"/>
      <c r="BY303" s="76"/>
      <c r="BZ303" s="76"/>
      <c r="CA303" s="76"/>
      <c r="CB303" s="76"/>
      <c r="CC303" s="76"/>
      <c r="CD303" s="76"/>
      <c r="CE303" s="76"/>
      <c r="CF303" s="76">
        <f>+CE303*28000</f>
        <v>0</v>
      </c>
      <c r="CG303" s="76"/>
      <c r="CH303" s="76">
        <f>+CG303*22500</f>
        <v>0</v>
      </c>
      <c r="CI303" s="76"/>
      <c r="CJ303" s="76">
        <f>+CI303*26000</f>
        <v>0</v>
      </c>
      <c r="CK303" s="76"/>
      <c r="CL303" s="76"/>
      <c r="CM303" s="76"/>
      <c r="CN303" s="76">
        <f>+CM303*22000</f>
        <v>0</v>
      </c>
      <c r="CO303" s="76"/>
      <c r="CP303" s="76">
        <f>+CO303*46000</f>
        <v>0</v>
      </c>
      <c r="CQ303" s="76"/>
      <c r="CR303" s="76">
        <f>+CQ303*49000</f>
        <v>0</v>
      </c>
      <c r="CS303" s="76"/>
      <c r="CT303" s="76"/>
      <c r="CU303" s="56">
        <f>AN303+AP303+AR303+AT303+AV303+AX303+AZ303+BB303+BD303+BF303+BH303+BJ303+BL303+BN303+BP303+BR303+BT303+BV303+BX303+BZ303+CB303+CD303+CF303+CH303+CJ303+CL303+CN303+CP303+CR303+CT303</f>
        <v>0</v>
      </c>
      <c r="CV303" s="76"/>
      <c r="CW303" s="76">
        <f>+CV303*1100</f>
        <v>0</v>
      </c>
      <c r="CX303" s="76"/>
      <c r="CY303" s="76">
        <f>+CX303*106250</f>
        <v>0</v>
      </c>
      <c r="CZ303" s="76"/>
      <c r="DA303" s="76">
        <f>+CZ303*34500</f>
        <v>0</v>
      </c>
      <c r="DB303" s="76"/>
      <c r="DC303" s="76">
        <f>+DB303*25000</f>
        <v>0</v>
      </c>
      <c r="DD303" s="219"/>
      <c r="DE303" s="219"/>
      <c r="DF303" s="164"/>
      <c r="DG303" s="116"/>
      <c r="DH303" s="117"/>
      <c r="DI303" s="24"/>
      <c r="DJ303" s="24"/>
      <c r="DK303" s="24"/>
      <c r="DL303" s="24"/>
      <c r="DM303" s="24"/>
      <c r="DN303" s="24"/>
      <c r="DO303" s="24"/>
      <c r="DP303" s="24"/>
      <c r="DQ303" s="24"/>
      <c r="DR303" s="24"/>
      <c r="DS303" s="24"/>
      <c r="DT303" s="24"/>
      <c r="DU303" s="24"/>
    </row>
    <row r="304" spans="1:125" s="8" customFormat="1" ht="96" x14ac:dyDescent="0.2">
      <c r="A304" s="77">
        <v>41293</v>
      </c>
      <c r="B304" s="78" t="s">
        <v>2847</v>
      </c>
      <c r="C304" s="75" t="s">
        <v>2673</v>
      </c>
      <c r="D304" s="81" t="s">
        <v>2846</v>
      </c>
      <c r="E304" s="75" t="str">
        <f>VLOOKUP(B304&amp;C304,Divipola!$C$2:$F$1138,4,FALSE)</f>
        <v>68001</v>
      </c>
      <c r="F304" s="87"/>
      <c r="G304" s="87"/>
      <c r="H304" s="87"/>
      <c r="I304" s="87"/>
      <c r="J304" s="87"/>
      <c r="K304" s="87"/>
      <c r="L304" s="87"/>
      <c r="M304" s="87"/>
      <c r="N304" s="87"/>
      <c r="O304" s="87"/>
      <c r="P304" s="87"/>
      <c r="Q304" s="87"/>
      <c r="R304" s="87"/>
      <c r="S304" s="87"/>
      <c r="T304" s="87"/>
      <c r="U304" s="127">
        <v>15</v>
      </c>
      <c r="V304" s="89"/>
      <c r="W304" s="96">
        <v>0</v>
      </c>
      <c r="X304" s="71">
        <f>CU304</f>
        <v>0</v>
      </c>
      <c r="Y304" s="71">
        <f>CY304</f>
        <v>0</v>
      </c>
      <c r="Z304" s="71">
        <f>DA304+DC304+DE304</f>
        <v>0</v>
      </c>
      <c r="AA304" s="71">
        <f>CW304</f>
        <v>0</v>
      </c>
      <c r="AB304" s="71"/>
      <c r="AC304" s="71">
        <v>0</v>
      </c>
      <c r="AD304" s="71">
        <f>W304+X304+Y304+Z304+AA304+AB304+AC304</f>
        <v>0</v>
      </c>
      <c r="AE304" s="72">
        <v>0</v>
      </c>
      <c r="AF304" s="5"/>
      <c r="AG304" s="6"/>
      <c r="AH304" s="27" t="s">
        <v>3392</v>
      </c>
      <c r="AI304" s="44" t="s">
        <v>3393</v>
      </c>
      <c r="AJ304" s="26"/>
      <c r="AK304" s="5"/>
      <c r="AL304" s="82" t="s">
        <v>3151</v>
      </c>
      <c r="AM304" s="76"/>
      <c r="AN304" s="76"/>
      <c r="AO304" s="76"/>
      <c r="AP304" s="76"/>
      <c r="AQ304" s="76"/>
      <c r="AR304" s="76"/>
      <c r="AS304" s="76"/>
      <c r="AT304" s="76"/>
      <c r="AU304" s="76"/>
      <c r="AV304" s="76"/>
      <c r="AW304" s="76"/>
      <c r="AX304" s="76">
        <f>+AW304*600000</f>
        <v>0</v>
      </c>
      <c r="AY304" s="76"/>
      <c r="AZ304" s="76">
        <f>+AY304*70000</f>
        <v>0</v>
      </c>
      <c r="BA304" s="76"/>
      <c r="BB304" s="76"/>
      <c r="BC304" s="76"/>
      <c r="BD304" s="76">
        <f>+BC304*30000</f>
        <v>0</v>
      </c>
      <c r="BE304" s="76"/>
      <c r="BF304" s="76"/>
      <c r="BG304" s="76"/>
      <c r="BH304" s="76"/>
      <c r="BI304" s="76"/>
      <c r="BJ304" s="76"/>
      <c r="BK304" s="76"/>
      <c r="BL304" s="76">
        <f>+BK304*31500</f>
        <v>0</v>
      </c>
      <c r="BM304" s="76"/>
      <c r="BN304" s="76"/>
      <c r="BO304" s="76"/>
      <c r="BP304" s="76"/>
      <c r="BQ304" s="76"/>
      <c r="BR304" s="76"/>
      <c r="BS304" s="76"/>
      <c r="BT304" s="76"/>
      <c r="BU304" s="76"/>
      <c r="BV304" s="76"/>
      <c r="BW304" s="76"/>
      <c r="BX304" s="76"/>
      <c r="BY304" s="76"/>
      <c r="BZ304" s="76"/>
      <c r="CA304" s="76"/>
      <c r="CB304" s="76"/>
      <c r="CC304" s="76"/>
      <c r="CD304" s="76"/>
      <c r="CE304" s="76"/>
      <c r="CF304" s="76">
        <f>+CE304*28000</f>
        <v>0</v>
      </c>
      <c r="CG304" s="76"/>
      <c r="CH304" s="76">
        <f>+CG304*22500</f>
        <v>0</v>
      </c>
      <c r="CI304" s="76"/>
      <c r="CJ304" s="76">
        <f>+CI304*26000</f>
        <v>0</v>
      </c>
      <c r="CK304" s="76"/>
      <c r="CL304" s="76"/>
      <c r="CM304" s="76"/>
      <c r="CN304" s="76">
        <f>+CM304*22000</f>
        <v>0</v>
      </c>
      <c r="CO304" s="76"/>
      <c r="CP304" s="76">
        <f>+CO304*46000</f>
        <v>0</v>
      </c>
      <c r="CQ304" s="76"/>
      <c r="CR304" s="76">
        <f>+CQ304*49000</f>
        <v>0</v>
      </c>
      <c r="CS304" s="76"/>
      <c r="CT304" s="76"/>
      <c r="CU304" s="56">
        <f>AN304+AP304+AR304+AT304+AV304+AX304+AZ304+BB304+BD304+BF304+BH304+BJ304+BL304+BN304+BP304+BR304+BT304+BV304+BX304+BZ304+CB304+CD304+CF304+CH304+CJ304+CL304+CN304+CP304+CR304+CT304</f>
        <v>0</v>
      </c>
      <c r="CV304" s="76"/>
      <c r="CW304" s="76">
        <f>+CV304*1100</f>
        <v>0</v>
      </c>
      <c r="CX304" s="76"/>
      <c r="CY304" s="76">
        <f>+CX304*106250</f>
        <v>0</v>
      </c>
      <c r="CZ304" s="76"/>
      <c r="DA304" s="76">
        <f>+CZ304*34500</f>
        <v>0</v>
      </c>
      <c r="DB304" s="76"/>
      <c r="DC304" s="76">
        <f>+DB304*25000</f>
        <v>0</v>
      </c>
      <c r="DD304" s="219"/>
      <c r="DE304" s="219"/>
      <c r="DF304" s="164"/>
      <c r="DG304" s="116"/>
      <c r="DH304" s="117"/>
      <c r="DI304" s="24"/>
      <c r="DJ304" s="24"/>
      <c r="DK304" s="24"/>
      <c r="DL304" s="24"/>
      <c r="DM304" s="24"/>
      <c r="DN304" s="24"/>
      <c r="DO304" s="24"/>
      <c r="DP304" s="24"/>
      <c r="DQ304" s="24"/>
      <c r="DR304" s="24"/>
      <c r="DS304" s="24"/>
      <c r="DT304" s="24"/>
      <c r="DU304" s="24"/>
    </row>
    <row r="305" spans="1:125" s="8" customFormat="1" ht="96" x14ac:dyDescent="0.2">
      <c r="A305" s="77">
        <v>41293</v>
      </c>
      <c r="B305" s="78" t="s">
        <v>2847</v>
      </c>
      <c r="C305" s="75" t="s">
        <v>2814</v>
      </c>
      <c r="D305" s="81" t="s">
        <v>2846</v>
      </c>
      <c r="E305" s="75" t="str">
        <f>VLOOKUP(B305&amp;C305,Divipola!$C$2:$F$1138,4,FALSE)</f>
        <v>68307</v>
      </c>
      <c r="F305" s="87"/>
      <c r="G305" s="87"/>
      <c r="H305" s="87"/>
      <c r="I305" s="87"/>
      <c r="J305" s="87"/>
      <c r="K305" s="87"/>
      <c r="L305" s="87"/>
      <c r="M305" s="87"/>
      <c r="N305" s="87"/>
      <c r="O305" s="87"/>
      <c r="P305" s="87"/>
      <c r="Q305" s="87"/>
      <c r="R305" s="87"/>
      <c r="S305" s="87"/>
      <c r="T305" s="87"/>
      <c r="U305" s="127">
        <v>10</v>
      </c>
      <c r="V305" s="89"/>
      <c r="W305" s="96">
        <v>0</v>
      </c>
      <c r="X305" s="71">
        <f>CU305</f>
        <v>0</v>
      </c>
      <c r="Y305" s="71">
        <f>CY305</f>
        <v>0</v>
      </c>
      <c r="Z305" s="71">
        <f>DA305+DC305+DE305</f>
        <v>0</v>
      </c>
      <c r="AA305" s="71">
        <f>CW305</f>
        <v>0</v>
      </c>
      <c r="AB305" s="71"/>
      <c r="AC305" s="71">
        <v>0</v>
      </c>
      <c r="AD305" s="71">
        <f>W305+X305+Y305+Z305+AA305+AB305+AC305</f>
        <v>0</v>
      </c>
      <c r="AE305" s="72">
        <v>0</v>
      </c>
      <c r="AF305" s="5"/>
      <c r="AG305" s="6"/>
      <c r="AH305" s="27" t="s">
        <v>3392</v>
      </c>
      <c r="AI305" s="44" t="s">
        <v>3393</v>
      </c>
      <c r="AJ305" s="26"/>
      <c r="AK305" s="5"/>
      <c r="AL305" s="82" t="s">
        <v>3147</v>
      </c>
      <c r="AM305" s="76"/>
      <c r="AN305" s="76"/>
      <c r="AO305" s="76"/>
      <c r="AP305" s="76"/>
      <c r="AQ305" s="76"/>
      <c r="AR305" s="76"/>
      <c r="AS305" s="76"/>
      <c r="AT305" s="76"/>
      <c r="AU305" s="76"/>
      <c r="AV305" s="76"/>
      <c r="AW305" s="76"/>
      <c r="AX305" s="76">
        <f>+AW305*600000</f>
        <v>0</v>
      </c>
      <c r="AY305" s="76"/>
      <c r="AZ305" s="76">
        <f>+AY305*70000</f>
        <v>0</v>
      </c>
      <c r="BA305" s="76"/>
      <c r="BB305" s="76"/>
      <c r="BC305" s="76"/>
      <c r="BD305" s="76">
        <f>+BC305*30000</f>
        <v>0</v>
      </c>
      <c r="BE305" s="76"/>
      <c r="BF305" s="76"/>
      <c r="BG305" s="76"/>
      <c r="BH305" s="76"/>
      <c r="BI305" s="76"/>
      <c r="BJ305" s="76"/>
      <c r="BK305" s="76"/>
      <c r="BL305" s="76">
        <f>+BK305*31500</f>
        <v>0</v>
      </c>
      <c r="BM305" s="76"/>
      <c r="BN305" s="76"/>
      <c r="BO305" s="76"/>
      <c r="BP305" s="76"/>
      <c r="BQ305" s="76"/>
      <c r="BR305" s="76"/>
      <c r="BS305" s="76"/>
      <c r="BT305" s="76"/>
      <c r="BU305" s="76"/>
      <c r="BV305" s="76"/>
      <c r="BW305" s="76"/>
      <c r="BX305" s="76"/>
      <c r="BY305" s="76"/>
      <c r="BZ305" s="76"/>
      <c r="CA305" s="76"/>
      <c r="CB305" s="76"/>
      <c r="CC305" s="76"/>
      <c r="CD305" s="76"/>
      <c r="CE305" s="76"/>
      <c r="CF305" s="76">
        <f>+CE305*28000</f>
        <v>0</v>
      </c>
      <c r="CG305" s="76"/>
      <c r="CH305" s="76">
        <f>+CG305*22500</f>
        <v>0</v>
      </c>
      <c r="CI305" s="76"/>
      <c r="CJ305" s="76">
        <f>+CI305*26000</f>
        <v>0</v>
      </c>
      <c r="CK305" s="76"/>
      <c r="CL305" s="76"/>
      <c r="CM305" s="76"/>
      <c r="CN305" s="76">
        <f>+CM305*22000</f>
        <v>0</v>
      </c>
      <c r="CO305" s="76"/>
      <c r="CP305" s="76">
        <f>+CO305*46000</f>
        <v>0</v>
      </c>
      <c r="CQ305" s="76"/>
      <c r="CR305" s="76">
        <f>+CQ305*49000</f>
        <v>0</v>
      </c>
      <c r="CS305" s="76"/>
      <c r="CT305" s="76"/>
      <c r="CU305" s="56">
        <f>AN305+AP305+AR305+AT305+AV305+AX305+AZ305+BB305+BD305+BF305+BH305+BJ305+BL305+BN305+BP305+BR305+BT305+BV305+BX305+BZ305+CB305+CD305+CF305+CH305+CJ305+CL305+CN305+CP305+CR305+CT305</f>
        <v>0</v>
      </c>
      <c r="CV305" s="76"/>
      <c r="CW305" s="76">
        <f>+CV305*1100</f>
        <v>0</v>
      </c>
      <c r="CX305" s="76"/>
      <c r="CY305" s="76">
        <f>+CX305*106250</f>
        <v>0</v>
      </c>
      <c r="CZ305" s="76"/>
      <c r="DA305" s="76">
        <f>+CZ305*34500</f>
        <v>0</v>
      </c>
      <c r="DB305" s="76"/>
      <c r="DC305" s="76">
        <f>+DB305*25000</f>
        <v>0</v>
      </c>
      <c r="DD305" s="219"/>
      <c r="DE305" s="219"/>
      <c r="DF305" s="164"/>
      <c r="DG305" s="116"/>
      <c r="DH305" s="117"/>
      <c r="DI305" s="24"/>
      <c r="DJ305" s="24"/>
      <c r="DK305" s="24"/>
      <c r="DL305" s="24"/>
      <c r="DM305" s="24"/>
      <c r="DN305" s="24"/>
      <c r="DO305" s="24"/>
      <c r="DP305" s="24"/>
      <c r="DQ305" s="24"/>
      <c r="DR305" s="24"/>
      <c r="DS305" s="24"/>
      <c r="DT305" s="24"/>
      <c r="DU305" s="24"/>
    </row>
    <row r="306" spans="1:125" s="8" customFormat="1" ht="132" x14ac:dyDescent="0.2">
      <c r="A306" s="77">
        <v>41293</v>
      </c>
      <c r="B306" s="80" t="s">
        <v>2847</v>
      </c>
      <c r="C306" s="81" t="s">
        <v>1737</v>
      </c>
      <c r="D306" s="81" t="s">
        <v>2846</v>
      </c>
      <c r="E306" s="75" t="str">
        <f>VLOOKUP(B306&amp;C306,Divipola!$C$2:$F$1138,4,FALSE)</f>
        <v>68464</v>
      </c>
      <c r="F306" s="87"/>
      <c r="G306" s="87"/>
      <c r="H306" s="87"/>
      <c r="I306" s="87"/>
      <c r="J306" s="87"/>
      <c r="K306" s="87"/>
      <c r="L306" s="87"/>
      <c r="M306" s="87"/>
      <c r="N306" s="87"/>
      <c r="O306" s="87"/>
      <c r="P306" s="87"/>
      <c r="Q306" s="87"/>
      <c r="R306" s="87"/>
      <c r="S306" s="87"/>
      <c r="T306" s="87"/>
      <c r="U306" s="127">
        <v>7</v>
      </c>
      <c r="V306" s="89"/>
      <c r="W306" s="96">
        <v>0</v>
      </c>
      <c r="X306" s="71">
        <f>CU306</f>
        <v>0</v>
      </c>
      <c r="Y306" s="71">
        <f>CY306</f>
        <v>0</v>
      </c>
      <c r="Z306" s="71">
        <f>DA306+DC306+DE306</f>
        <v>0</v>
      </c>
      <c r="AA306" s="71">
        <f>CW306</f>
        <v>0</v>
      </c>
      <c r="AB306" s="71"/>
      <c r="AC306" s="71">
        <v>0</v>
      </c>
      <c r="AD306" s="71">
        <f>W306+X306+Y306+Z306+AA306+AB306+AC306</f>
        <v>0</v>
      </c>
      <c r="AE306" s="72">
        <v>0</v>
      </c>
      <c r="AF306" s="5"/>
      <c r="AG306" s="6"/>
      <c r="AH306" s="27" t="s">
        <v>3392</v>
      </c>
      <c r="AI306" s="44" t="s">
        <v>3393</v>
      </c>
      <c r="AJ306" s="26"/>
      <c r="AK306" s="5"/>
      <c r="AL306" s="82" t="s">
        <v>3148</v>
      </c>
      <c r="AM306" s="76"/>
      <c r="AN306" s="76"/>
      <c r="AO306" s="76"/>
      <c r="AP306" s="76"/>
      <c r="AQ306" s="76"/>
      <c r="AR306" s="76"/>
      <c r="AS306" s="76"/>
      <c r="AT306" s="76"/>
      <c r="AU306" s="76"/>
      <c r="AV306" s="76"/>
      <c r="AW306" s="76"/>
      <c r="AX306" s="76">
        <f>+AW306*600000</f>
        <v>0</v>
      </c>
      <c r="AY306" s="76"/>
      <c r="AZ306" s="76">
        <f>+AY306*70000</f>
        <v>0</v>
      </c>
      <c r="BA306" s="76"/>
      <c r="BB306" s="76"/>
      <c r="BC306" s="76"/>
      <c r="BD306" s="76">
        <f>+BC306*30000</f>
        <v>0</v>
      </c>
      <c r="BE306" s="76"/>
      <c r="BF306" s="76"/>
      <c r="BG306" s="76"/>
      <c r="BH306" s="76"/>
      <c r="BI306" s="76"/>
      <c r="BJ306" s="76"/>
      <c r="BK306" s="76"/>
      <c r="BL306" s="76">
        <f>+BK306*31500</f>
        <v>0</v>
      </c>
      <c r="BM306" s="76"/>
      <c r="BN306" s="76"/>
      <c r="BO306" s="76"/>
      <c r="BP306" s="76"/>
      <c r="BQ306" s="76"/>
      <c r="BR306" s="76"/>
      <c r="BS306" s="76"/>
      <c r="BT306" s="76"/>
      <c r="BU306" s="76"/>
      <c r="BV306" s="76"/>
      <c r="BW306" s="76"/>
      <c r="BX306" s="76"/>
      <c r="BY306" s="76"/>
      <c r="BZ306" s="76"/>
      <c r="CA306" s="76"/>
      <c r="CB306" s="76"/>
      <c r="CC306" s="76"/>
      <c r="CD306" s="76"/>
      <c r="CE306" s="76"/>
      <c r="CF306" s="76">
        <f>+CE306*28000</f>
        <v>0</v>
      </c>
      <c r="CG306" s="76"/>
      <c r="CH306" s="76">
        <f>+CG306*22500</f>
        <v>0</v>
      </c>
      <c r="CI306" s="76"/>
      <c r="CJ306" s="76">
        <f>+CI306*26000</f>
        <v>0</v>
      </c>
      <c r="CK306" s="76"/>
      <c r="CL306" s="76"/>
      <c r="CM306" s="76"/>
      <c r="CN306" s="76">
        <f>+CM306*22000</f>
        <v>0</v>
      </c>
      <c r="CO306" s="76"/>
      <c r="CP306" s="76">
        <f>+CO306*46000</f>
        <v>0</v>
      </c>
      <c r="CQ306" s="76"/>
      <c r="CR306" s="76">
        <f>+CQ306*49000</f>
        <v>0</v>
      </c>
      <c r="CS306" s="76"/>
      <c r="CT306" s="76"/>
      <c r="CU306" s="56">
        <f>AN306+AP306+AR306+AT306+AV306+AX306+AZ306+BB306+BD306+BF306+BH306+BJ306+BL306+BN306+BP306+BR306+BT306+BV306+BX306+BZ306+CB306+CD306+CF306+CH306+CJ306+CL306+CN306+CP306+CR306+CT306</f>
        <v>0</v>
      </c>
      <c r="CV306" s="76"/>
      <c r="CW306" s="76">
        <f>+CV306*1100</f>
        <v>0</v>
      </c>
      <c r="CX306" s="76"/>
      <c r="CY306" s="76">
        <f>+CX306*106250</f>
        <v>0</v>
      </c>
      <c r="CZ306" s="76"/>
      <c r="DA306" s="76">
        <f>+CZ306*34500</f>
        <v>0</v>
      </c>
      <c r="DB306" s="76"/>
      <c r="DC306" s="76">
        <f>+DB306*25000</f>
        <v>0</v>
      </c>
      <c r="DD306" s="219"/>
      <c r="DE306" s="219"/>
      <c r="DF306" s="164"/>
      <c r="DG306" s="116"/>
      <c r="DH306" s="117"/>
      <c r="DI306" s="24"/>
      <c r="DJ306" s="24"/>
      <c r="DK306" s="24"/>
      <c r="DL306" s="24"/>
      <c r="DM306" s="24"/>
      <c r="DN306" s="24"/>
      <c r="DO306" s="24"/>
      <c r="DP306" s="24"/>
      <c r="DQ306" s="24"/>
      <c r="DR306" s="24"/>
      <c r="DS306" s="24"/>
      <c r="DT306" s="24"/>
      <c r="DU306" s="24"/>
    </row>
    <row r="307" spans="1:125" s="8" customFormat="1" ht="120" x14ac:dyDescent="0.2">
      <c r="A307" s="77">
        <v>41293</v>
      </c>
      <c r="B307" s="80" t="s">
        <v>2847</v>
      </c>
      <c r="C307" s="81" t="s">
        <v>1380</v>
      </c>
      <c r="D307" s="81" t="s">
        <v>2846</v>
      </c>
      <c r="E307" s="75" t="str">
        <f>VLOOKUP(B307&amp;C307,Divipola!$C$2:$F$1138,4,FALSE)</f>
        <v>68615</v>
      </c>
      <c r="F307" s="87"/>
      <c r="G307" s="87"/>
      <c r="H307" s="87"/>
      <c r="I307" s="87"/>
      <c r="J307" s="87"/>
      <c r="K307" s="87"/>
      <c r="L307" s="87"/>
      <c r="M307" s="87"/>
      <c r="N307" s="87"/>
      <c r="O307" s="87"/>
      <c r="P307" s="87"/>
      <c r="Q307" s="87"/>
      <c r="R307" s="87"/>
      <c r="S307" s="87"/>
      <c r="T307" s="87"/>
      <c r="U307" s="127">
        <v>30</v>
      </c>
      <c r="V307" s="89"/>
      <c r="W307" s="96">
        <v>0</v>
      </c>
      <c r="X307" s="71">
        <f>CU307</f>
        <v>0</v>
      </c>
      <c r="Y307" s="71">
        <f>CY307</f>
        <v>0</v>
      </c>
      <c r="Z307" s="71">
        <f>DA307+DC307+DE307</f>
        <v>0</v>
      </c>
      <c r="AA307" s="71">
        <f>CW307</f>
        <v>0</v>
      </c>
      <c r="AB307" s="71"/>
      <c r="AC307" s="71">
        <v>0</v>
      </c>
      <c r="AD307" s="71">
        <f>W307+X307+Y307+Z307+AA307+AB307+AC307</f>
        <v>0</v>
      </c>
      <c r="AE307" s="72">
        <v>0</v>
      </c>
      <c r="AF307" s="5"/>
      <c r="AG307" s="6"/>
      <c r="AH307" s="27" t="s">
        <v>3392</v>
      </c>
      <c r="AI307" s="44" t="s">
        <v>3393</v>
      </c>
      <c r="AJ307" s="26"/>
      <c r="AK307" s="5"/>
      <c r="AL307" s="82" t="s">
        <v>3149</v>
      </c>
      <c r="AM307" s="76"/>
      <c r="AN307" s="76"/>
      <c r="AO307" s="76"/>
      <c r="AP307" s="76"/>
      <c r="AQ307" s="76"/>
      <c r="AR307" s="76"/>
      <c r="AS307" s="76"/>
      <c r="AT307" s="76"/>
      <c r="AU307" s="76"/>
      <c r="AV307" s="76"/>
      <c r="AW307" s="76"/>
      <c r="AX307" s="76">
        <f>+AW307*600000</f>
        <v>0</v>
      </c>
      <c r="AY307" s="76"/>
      <c r="AZ307" s="76">
        <f>+AY307*70000</f>
        <v>0</v>
      </c>
      <c r="BA307" s="76"/>
      <c r="BB307" s="76"/>
      <c r="BC307" s="76"/>
      <c r="BD307" s="76">
        <f>+BC307*30000</f>
        <v>0</v>
      </c>
      <c r="BE307" s="76"/>
      <c r="BF307" s="76"/>
      <c r="BG307" s="76"/>
      <c r="BH307" s="76"/>
      <c r="BI307" s="76"/>
      <c r="BJ307" s="76"/>
      <c r="BK307" s="76"/>
      <c r="BL307" s="76">
        <f>+BK307*31500</f>
        <v>0</v>
      </c>
      <c r="BM307" s="76"/>
      <c r="BN307" s="76"/>
      <c r="BO307" s="76"/>
      <c r="BP307" s="76"/>
      <c r="BQ307" s="76"/>
      <c r="BR307" s="76"/>
      <c r="BS307" s="76"/>
      <c r="BT307" s="76"/>
      <c r="BU307" s="76"/>
      <c r="BV307" s="76"/>
      <c r="BW307" s="76"/>
      <c r="BX307" s="76"/>
      <c r="BY307" s="76"/>
      <c r="BZ307" s="76"/>
      <c r="CA307" s="76"/>
      <c r="CB307" s="76"/>
      <c r="CC307" s="76"/>
      <c r="CD307" s="76"/>
      <c r="CE307" s="76"/>
      <c r="CF307" s="76">
        <f>+CE307*28000</f>
        <v>0</v>
      </c>
      <c r="CG307" s="76"/>
      <c r="CH307" s="76">
        <f>+CG307*22500</f>
        <v>0</v>
      </c>
      <c r="CI307" s="76"/>
      <c r="CJ307" s="76">
        <f>+CI307*26000</f>
        <v>0</v>
      </c>
      <c r="CK307" s="76"/>
      <c r="CL307" s="76"/>
      <c r="CM307" s="76"/>
      <c r="CN307" s="76">
        <f>+CM307*22000</f>
        <v>0</v>
      </c>
      <c r="CO307" s="76"/>
      <c r="CP307" s="76">
        <f>+CO307*46000</f>
        <v>0</v>
      </c>
      <c r="CQ307" s="76"/>
      <c r="CR307" s="76">
        <f>+CQ307*49000</f>
        <v>0</v>
      </c>
      <c r="CS307" s="76"/>
      <c r="CT307" s="76"/>
      <c r="CU307" s="56">
        <f>AN307+AP307+AR307+AT307+AV307+AX307+AZ307+BB307+BD307+BF307+BH307+BJ307+BL307+BN307+BP307+BR307+BT307+BV307+BX307+BZ307+CB307+CD307+CF307+CH307+CJ307+CL307+CN307+CP307+CR307+CT307</f>
        <v>0</v>
      </c>
      <c r="CV307" s="76"/>
      <c r="CW307" s="76">
        <f>+CV307*1100</f>
        <v>0</v>
      </c>
      <c r="CX307" s="76"/>
      <c r="CY307" s="76">
        <f>+CX307*106250</f>
        <v>0</v>
      </c>
      <c r="CZ307" s="76"/>
      <c r="DA307" s="76">
        <f>+CZ307*34500</f>
        <v>0</v>
      </c>
      <c r="DB307" s="76"/>
      <c r="DC307" s="76">
        <f>+DB307*25000</f>
        <v>0</v>
      </c>
      <c r="DD307" s="219"/>
      <c r="DE307" s="219"/>
      <c r="DF307" s="164"/>
      <c r="DG307" s="116"/>
      <c r="DH307" s="117"/>
      <c r="DI307" s="24"/>
      <c r="DJ307" s="24"/>
      <c r="DK307" s="24"/>
      <c r="DL307" s="24"/>
      <c r="DM307" s="24"/>
      <c r="DN307" s="24"/>
      <c r="DO307" s="24"/>
      <c r="DP307" s="24"/>
      <c r="DQ307" s="24"/>
      <c r="DR307" s="24"/>
      <c r="DS307" s="24"/>
      <c r="DT307" s="24"/>
      <c r="DU307" s="24"/>
    </row>
    <row r="308" spans="1:125" s="8" customFormat="1" ht="60" x14ac:dyDescent="0.2">
      <c r="A308" s="77">
        <v>41294</v>
      </c>
      <c r="B308" s="78" t="s">
        <v>2881</v>
      </c>
      <c r="C308" s="75" t="s">
        <v>2767</v>
      </c>
      <c r="D308" s="81" t="s">
        <v>2846</v>
      </c>
      <c r="E308" s="75" t="str">
        <f>VLOOKUP(B308&amp;C308,Divipola!$C$2:$F$1138,4,FALSE)</f>
        <v>08001</v>
      </c>
      <c r="F308" s="87"/>
      <c r="G308" s="87"/>
      <c r="H308" s="87"/>
      <c r="I308" s="87"/>
      <c r="J308" s="87"/>
      <c r="K308" s="87"/>
      <c r="L308" s="87"/>
      <c r="M308" s="87"/>
      <c r="N308" s="87"/>
      <c r="O308" s="87"/>
      <c r="P308" s="87"/>
      <c r="Q308" s="87"/>
      <c r="R308" s="87"/>
      <c r="S308" s="87"/>
      <c r="T308" s="87"/>
      <c r="U308" s="127"/>
      <c r="V308" s="89"/>
      <c r="W308" s="96">
        <v>0</v>
      </c>
      <c r="X308" s="71">
        <f>CU308</f>
        <v>0</v>
      </c>
      <c r="Y308" s="71">
        <f>CY308</f>
        <v>0</v>
      </c>
      <c r="Z308" s="71">
        <f>DA308+DC308+DE308</f>
        <v>0</v>
      </c>
      <c r="AA308" s="71">
        <f>CW308</f>
        <v>0</v>
      </c>
      <c r="AB308" s="71"/>
      <c r="AC308" s="71">
        <v>0</v>
      </c>
      <c r="AD308" s="71">
        <f>W308+X308+Y308+Z308+AA308+AB308+AC308</f>
        <v>0</v>
      </c>
      <c r="AE308" s="72">
        <v>0</v>
      </c>
      <c r="AF308" s="5"/>
      <c r="AG308" s="6"/>
      <c r="AH308" s="27" t="s">
        <v>3392</v>
      </c>
      <c r="AI308" s="44" t="s">
        <v>3393</v>
      </c>
      <c r="AJ308" s="26"/>
      <c r="AK308" s="5"/>
      <c r="AL308" s="82" t="s">
        <v>3156</v>
      </c>
      <c r="AM308" s="76"/>
      <c r="AN308" s="76"/>
      <c r="AO308" s="76"/>
      <c r="AP308" s="76"/>
      <c r="AQ308" s="76"/>
      <c r="AR308" s="76"/>
      <c r="AS308" s="76"/>
      <c r="AT308" s="76"/>
      <c r="AU308" s="76"/>
      <c r="AV308" s="76"/>
      <c r="AW308" s="76"/>
      <c r="AX308" s="76">
        <f>+AW308*600000</f>
        <v>0</v>
      </c>
      <c r="AY308" s="76"/>
      <c r="AZ308" s="76">
        <f>+AY308*70000</f>
        <v>0</v>
      </c>
      <c r="BA308" s="76"/>
      <c r="BB308" s="76"/>
      <c r="BC308" s="76"/>
      <c r="BD308" s="76">
        <f>+BC308*30000</f>
        <v>0</v>
      </c>
      <c r="BE308" s="76"/>
      <c r="BF308" s="76"/>
      <c r="BG308" s="76"/>
      <c r="BH308" s="76"/>
      <c r="BI308" s="76"/>
      <c r="BJ308" s="76"/>
      <c r="BK308" s="76"/>
      <c r="BL308" s="76">
        <f>+BK308*31500</f>
        <v>0</v>
      </c>
      <c r="BM308" s="76"/>
      <c r="BN308" s="76"/>
      <c r="BO308" s="76"/>
      <c r="BP308" s="76"/>
      <c r="BQ308" s="76"/>
      <c r="BR308" s="76"/>
      <c r="BS308" s="76"/>
      <c r="BT308" s="76"/>
      <c r="BU308" s="76"/>
      <c r="BV308" s="76"/>
      <c r="BW308" s="76"/>
      <c r="BX308" s="76"/>
      <c r="BY308" s="76"/>
      <c r="BZ308" s="76"/>
      <c r="CA308" s="76"/>
      <c r="CB308" s="76"/>
      <c r="CC308" s="76"/>
      <c r="CD308" s="76"/>
      <c r="CE308" s="76"/>
      <c r="CF308" s="76">
        <f>+CE308*28000</f>
        <v>0</v>
      </c>
      <c r="CG308" s="76"/>
      <c r="CH308" s="76">
        <f>+CG308*22500</f>
        <v>0</v>
      </c>
      <c r="CI308" s="76"/>
      <c r="CJ308" s="76">
        <f>+CI308*26000</f>
        <v>0</v>
      </c>
      <c r="CK308" s="76"/>
      <c r="CL308" s="76"/>
      <c r="CM308" s="76"/>
      <c r="CN308" s="76">
        <f>+CM308*22000</f>
        <v>0</v>
      </c>
      <c r="CO308" s="76"/>
      <c r="CP308" s="76">
        <f>+CO308*46000</f>
        <v>0</v>
      </c>
      <c r="CQ308" s="76"/>
      <c r="CR308" s="76">
        <f>+CQ308*49000</f>
        <v>0</v>
      </c>
      <c r="CS308" s="76"/>
      <c r="CT308" s="76"/>
      <c r="CU308" s="56">
        <f>AN308+AP308+AR308+AT308+AV308+AX308+AZ308+BB308+BD308+BF308+BH308+BJ308+BL308+BN308+BP308+BR308+BT308+BV308+BX308+BZ308+CB308+CD308+CF308+CH308+CJ308+CL308+CN308+CP308+CR308+CT308</f>
        <v>0</v>
      </c>
      <c r="CV308" s="76"/>
      <c r="CW308" s="76">
        <f>+CV308*1100</f>
        <v>0</v>
      </c>
      <c r="CX308" s="76"/>
      <c r="CY308" s="76">
        <f>+CX308*106250</f>
        <v>0</v>
      </c>
      <c r="CZ308" s="76"/>
      <c r="DA308" s="76">
        <f>+CZ308*34500</f>
        <v>0</v>
      </c>
      <c r="DB308" s="76"/>
      <c r="DC308" s="76">
        <f>+DB308*25000</f>
        <v>0</v>
      </c>
      <c r="DD308" s="219"/>
      <c r="DE308" s="219"/>
      <c r="DF308" s="164"/>
      <c r="DG308" s="116"/>
      <c r="DH308" s="117"/>
      <c r="DI308" s="24"/>
      <c r="DJ308" s="24"/>
      <c r="DK308" s="24"/>
      <c r="DL308" s="24"/>
      <c r="DM308" s="24"/>
      <c r="DN308" s="24"/>
      <c r="DO308" s="24"/>
      <c r="DP308" s="24"/>
      <c r="DQ308" s="24"/>
      <c r="DR308" s="24"/>
      <c r="DS308" s="24"/>
      <c r="DT308" s="24"/>
      <c r="DU308" s="24"/>
    </row>
    <row r="309" spans="1:125" s="8" customFormat="1" ht="60" x14ac:dyDescent="0.2">
      <c r="A309" s="77">
        <v>41294</v>
      </c>
      <c r="B309" s="78" t="s">
        <v>2906</v>
      </c>
      <c r="C309" s="75" t="s">
        <v>470</v>
      </c>
      <c r="D309" s="81" t="s">
        <v>2846</v>
      </c>
      <c r="E309" s="75" t="str">
        <f>VLOOKUP(B309&amp;C309,Divipola!$C$2:$F$1138,4,FALSE)</f>
        <v>47745</v>
      </c>
      <c r="F309" s="87"/>
      <c r="G309" s="87"/>
      <c r="H309" s="87"/>
      <c r="I309" s="87"/>
      <c r="J309" s="87"/>
      <c r="K309" s="87"/>
      <c r="L309" s="87"/>
      <c r="M309" s="87"/>
      <c r="N309" s="87"/>
      <c r="O309" s="87"/>
      <c r="P309" s="87"/>
      <c r="Q309" s="87"/>
      <c r="R309" s="87"/>
      <c r="S309" s="87"/>
      <c r="T309" s="87"/>
      <c r="U309" s="127"/>
      <c r="V309" s="89"/>
      <c r="W309" s="96">
        <v>0</v>
      </c>
      <c r="X309" s="71">
        <f>CU309</f>
        <v>0</v>
      </c>
      <c r="Y309" s="71">
        <f>CY309</f>
        <v>0</v>
      </c>
      <c r="Z309" s="71">
        <f>DA309+DC309+DE309</f>
        <v>0</v>
      </c>
      <c r="AA309" s="71">
        <f>CW309</f>
        <v>0</v>
      </c>
      <c r="AB309" s="71"/>
      <c r="AC309" s="71">
        <v>0</v>
      </c>
      <c r="AD309" s="71">
        <f>W309+X309+Y309+Z309+AA309+AB309+AC309</f>
        <v>0</v>
      </c>
      <c r="AE309" s="72">
        <v>0</v>
      </c>
      <c r="AF309" s="5"/>
      <c r="AG309" s="6"/>
      <c r="AH309" s="27" t="s">
        <v>3392</v>
      </c>
      <c r="AI309" s="44" t="s">
        <v>3393</v>
      </c>
      <c r="AJ309" s="26"/>
      <c r="AK309" s="5"/>
      <c r="AL309" s="82" t="s">
        <v>3157</v>
      </c>
      <c r="AM309" s="76"/>
      <c r="AN309" s="76"/>
      <c r="AO309" s="76"/>
      <c r="AP309" s="76"/>
      <c r="AQ309" s="76"/>
      <c r="AR309" s="76"/>
      <c r="AS309" s="76"/>
      <c r="AT309" s="76"/>
      <c r="AU309" s="76"/>
      <c r="AV309" s="76"/>
      <c r="AW309" s="76"/>
      <c r="AX309" s="76">
        <f>+AW309*600000</f>
        <v>0</v>
      </c>
      <c r="AY309" s="76"/>
      <c r="AZ309" s="76">
        <f>+AY309*70000</f>
        <v>0</v>
      </c>
      <c r="BA309" s="76"/>
      <c r="BB309" s="76"/>
      <c r="BC309" s="76"/>
      <c r="BD309" s="76">
        <f>+BC309*30000</f>
        <v>0</v>
      </c>
      <c r="BE309" s="76"/>
      <c r="BF309" s="76"/>
      <c r="BG309" s="76"/>
      <c r="BH309" s="76"/>
      <c r="BI309" s="76"/>
      <c r="BJ309" s="76"/>
      <c r="BK309" s="76"/>
      <c r="BL309" s="76">
        <f>+BK309*31500</f>
        <v>0</v>
      </c>
      <c r="BM309" s="76"/>
      <c r="BN309" s="76"/>
      <c r="BO309" s="76"/>
      <c r="BP309" s="76"/>
      <c r="BQ309" s="76"/>
      <c r="BR309" s="76"/>
      <c r="BS309" s="76"/>
      <c r="BT309" s="76"/>
      <c r="BU309" s="76"/>
      <c r="BV309" s="76"/>
      <c r="BW309" s="76"/>
      <c r="BX309" s="76"/>
      <c r="BY309" s="76"/>
      <c r="BZ309" s="76"/>
      <c r="CA309" s="76"/>
      <c r="CB309" s="76"/>
      <c r="CC309" s="76"/>
      <c r="CD309" s="76"/>
      <c r="CE309" s="76"/>
      <c r="CF309" s="76">
        <f>+CE309*28000</f>
        <v>0</v>
      </c>
      <c r="CG309" s="76"/>
      <c r="CH309" s="76">
        <f>+CG309*22500</f>
        <v>0</v>
      </c>
      <c r="CI309" s="76"/>
      <c r="CJ309" s="76">
        <f>+CI309*26000</f>
        <v>0</v>
      </c>
      <c r="CK309" s="76"/>
      <c r="CL309" s="76"/>
      <c r="CM309" s="76"/>
      <c r="CN309" s="76">
        <f>+CM309*22000</f>
        <v>0</v>
      </c>
      <c r="CO309" s="76"/>
      <c r="CP309" s="76">
        <f>+CO309*46000</f>
        <v>0</v>
      </c>
      <c r="CQ309" s="76"/>
      <c r="CR309" s="76">
        <f>+CQ309*49000</f>
        <v>0</v>
      </c>
      <c r="CS309" s="76"/>
      <c r="CT309" s="76"/>
      <c r="CU309" s="56">
        <f>AN309+AP309+AR309+AT309+AV309+AX309+AZ309+BB309+BD309+BF309+BH309+BJ309+BL309+BN309+BP309+BR309+BT309+BV309+BX309+BZ309+CB309+CD309+CF309+CH309+CJ309+CL309+CN309+CP309+CR309+CT309</f>
        <v>0</v>
      </c>
      <c r="CV309" s="76"/>
      <c r="CW309" s="76">
        <f>+CV309*1100</f>
        <v>0</v>
      </c>
      <c r="CX309" s="76"/>
      <c r="CY309" s="76">
        <f>+CX309*106250</f>
        <v>0</v>
      </c>
      <c r="CZ309" s="76"/>
      <c r="DA309" s="76">
        <f>+CZ309*34500</f>
        <v>0</v>
      </c>
      <c r="DB309" s="76"/>
      <c r="DC309" s="76">
        <f>+DB309*25000</f>
        <v>0</v>
      </c>
      <c r="DD309" s="219"/>
      <c r="DE309" s="219"/>
      <c r="DF309" s="164"/>
      <c r="DG309" s="116"/>
      <c r="DH309" s="117"/>
      <c r="DI309" s="24"/>
      <c r="DJ309" s="24"/>
      <c r="DK309" s="24"/>
      <c r="DL309" s="24"/>
      <c r="DM309" s="24"/>
      <c r="DN309" s="24"/>
      <c r="DO309" s="24"/>
      <c r="DP309" s="24"/>
      <c r="DQ309" s="24"/>
      <c r="DR309" s="24"/>
      <c r="DS309" s="24"/>
      <c r="DT309" s="24"/>
      <c r="DU309" s="24"/>
    </row>
    <row r="310" spans="1:125" s="8" customFormat="1" ht="96" x14ac:dyDescent="0.2">
      <c r="A310" s="353">
        <v>41294</v>
      </c>
      <c r="B310" s="99" t="s">
        <v>2774</v>
      </c>
      <c r="C310" s="98" t="s">
        <v>1347</v>
      </c>
      <c r="D310" s="81" t="s">
        <v>2846</v>
      </c>
      <c r="E310" s="75" t="str">
        <f>VLOOKUP(B310&amp;C310,Divipola!$C$2:$F$1138,4,FALSE)</f>
        <v>66001</v>
      </c>
      <c r="F310" s="87"/>
      <c r="G310" s="87"/>
      <c r="H310" s="87"/>
      <c r="I310" s="87"/>
      <c r="J310" s="87"/>
      <c r="K310" s="87"/>
      <c r="L310" s="87"/>
      <c r="M310" s="87"/>
      <c r="N310" s="87"/>
      <c r="O310" s="87"/>
      <c r="P310" s="87"/>
      <c r="Q310" s="87"/>
      <c r="R310" s="87"/>
      <c r="S310" s="87"/>
      <c r="T310" s="87"/>
      <c r="U310" s="127">
        <v>50</v>
      </c>
      <c r="V310" s="89"/>
      <c r="W310" s="96">
        <v>0</v>
      </c>
      <c r="X310" s="71">
        <f>CU310</f>
        <v>0</v>
      </c>
      <c r="Y310" s="71">
        <f>CY310</f>
        <v>0</v>
      </c>
      <c r="Z310" s="71">
        <f>DA310+DC310+DE310</f>
        <v>0</v>
      </c>
      <c r="AA310" s="71">
        <f>CW310</f>
        <v>0</v>
      </c>
      <c r="AB310" s="71"/>
      <c r="AC310" s="71">
        <v>0</v>
      </c>
      <c r="AD310" s="71">
        <f>W310+X310+Y310+Z310+AA310+AB310+AC310</f>
        <v>0</v>
      </c>
      <c r="AE310" s="72">
        <v>0</v>
      </c>
      <c r="AF310" s="5"/>
      <c r="AG310" s="6"/>
      <c r="AH310" s="27" t="s">
        <v>3392</v>
      </c>
      <c r="AI310" s="44" t="s">
        <v>3393</v>
      </c>
      <c r="AJ310" s="26"/>
      <c r="AK310" s="5"/>
      <c r="AL310" s="82" t="s">
        <v>3159</v>
      </c>
      <c r="AM310" s="76"/>
      <c r="AN310" s="76"/>
      <c r="AO310" s="76"/>
      <c r="AP310" s="76"/>
      <c r="AQ310" s="76"/>
      <c r="AR310" s="76"/>
      <c r="AS310" s="76"/>
      <c r="AT310" s="76"/>
      <c r="AU310" s="76"/>
      <c r="AV310" s="76"/>
      <c r="AW310" s="76"/>
      <c r="AX310" s="76">
        <f>+AW310*600000</f>
        <v>0</v>
      </c>
      <c r="AY310" s="76"/>
      <c r="AZ310" s="76">
        <f>+AY310*70000</f>
        <v>0</v>
      </c>
      <c r="BA310" s="76"/>
      <c r="BB310" s="76"/>
      <c r="BC310" s="76"/>
      <c r="BD310" s="76">
        <f>+BC310*30000</f>
        <v>0</v>
      </c>
      <c r="BE310" s="76"/>
      <c r="BF310" s="76"/>
      <c r="BG310" s="76"/>
      <c r="BH310" s="76"/>
      <c r="BI310" s="76"/>
      <c r="BJ310" s="76"/>
      <c r="BK310" s="76"/>
      <c r="BL310" s="76">
        <f>+BK310*31500</f>
        <v>0</v>
      </c>
      <c r="BM310" s="76"/>
      <c r="BN310" s="76"/>
      <c r="BO310" s="76"/>
      <c r="BP310" s="76"/>
      <c r="BQ310" s="76"/>
      <c r="BR310" s="76"/>
      <c r="BS310" s="76"/>
      <c r="BT310" s="76"/>
      <c r="BU310" s="76"/>
      <c r="BV310" s="76"/>
      <c r="BW310" s="76"/>
      <c r="BX310" s="76"/>
      <c r="BY310" s="76"/>
      <c r="BZ310" s="76"/>
      <c r="CA310" s="76"/>
      <c r="CB310" s="76"/>
      <c r="CC310" s="76"/>
      <c r="CD310" s="76"/>
      <c r="CE310" s="76"/>
      <c r="CF310" s="76">
        <f>+CE310*28000</f>
        <v>0</v>
      </c>
      <c r="CG310" s="76"/>
      <c r="CH310" s="76">
        <f>+CG310*22500</f>
        <v>0</v>
      </c>
      <c r="CI310" s="76"/>
      <c r="CJ310" s="76">
        <f>+CI310*26000</f>
        <v>0</v>
      </c>
      <c r="CK310" s="76"/>
      <c r="CL310" s="76"/>
      <c r="CM310" s="76"/>
      <c r="CN310" s="76">
        <f>+CM310*22000</f>
        <v>0</v>
      </c>
      <c r="CO310" s="76"/>
      <c r="CP310" s="76">
        <f>+CO310*46000</f>
        <v>0</v>
      </c>
      <c r="CQ310" s="76"/>
      <c r="CR310" s="76">
        <f>+CQ310*49000</f>
        <v>0</v>
      </c>
      <c r="CS310" s="76"/>
      <c r="CT310" s="76"/>
      <c r="CU310" s="56">
        <f>AN310+AP310+AR310+AT310+AV310+AX310+AZ310+BB310+BD310+BF310+BH310+BJ310+BL310+BN310+BP310+BR310+BT310+BV310+BX310+BZ310+CB310+CD310+CF310+CH310+CJ310+CL310+CN310+CP310+CR310+CT310</f>
        <v>0</v>
      </c>
      <c r="CV310" s="76"/>
      <c r="CW310" s="76">
        <f>+CV310*1100</f>
        <v>0</v>
      </c>
      <c r="CX310" s="76"/>
      <c r="CY310" s="76">
        <f>+CX310*106250</f>
        <v>0</v>
      </c>
      <c r="CZ310" s="76"/>
      <c r="DA310" s="76">
        <f>+CZ310*34500</f>
        <v>0</v>
      </c>
      <c r="DB310" s="76"/>
      <c r="DC310" s="76">
        <f>+DB310*25000</f>
        <v>0</v>
      </c>
      <c r="DD310" s="219"/>
      <c r="DE310" s="219"/>
      <c r="DF310" s="164"/>
      <c r="DG310" s="116"/>
      <c r="DH310" s="117"/>
      <c r="DI310" s="24"/>
      <c r="DJ310" s="24"/>
      <c r="DK310" s="24"/>
      <c r="DL310" s="24"/>
      <c r="DM310" s="24"/>
      <c r="DN310" s="24"/>
      <c r="DO310" s="24"/>
      <c r="DP310" s="24"/>
      <c r="DQ310" s="24"/>
      <c r="DR310" s="24"/>
      <c r="DS310" s="24"/>
      <c r="DT310" s="24"/>
      <c r="DU310" s="24"/>
    </row>
    <row r="311" spans="1:125" s="8" customFormat="1" ht="48" x14ac:dyDescent="0.2">
      <c r="A311" s="77">
        <v>41294</v>
      </c>
      <c r="B311" s="80" t="s">
        <v>2848</v>
      </c>
      <c r="C311" s="81" t="s">
        <v>2755</v>
      </c>
      <c r="D311" s="81" t="s">
        <v>2846</v>
      </c>
      <c r="E311" s="75" t="str">
        <f>VLOOKUP(B311&amp;C311,Divipola!$C$2:$F$1138,4,FALSE)</f>
        <v>73001</v>
      </c>
      <c r="F311" s="87"/>
      <c r="G311" s="87"/>
      <c r="H311" s="87"/>
      <c r="I311" s="87"/>
      <c r="J311" s="87"/>
      <c r="K311" s="87"/>
      <c r="L311" s="87"/>
      <c r="M311" s="87"/>
      <c r="N311" s="87"/>
      <c r="O311" s="87"/>
      <c r="P311" s="87"/>
      <c r="Q311" s="87"/>
      <c r="R311" s="87"/>
      <c r="S311" s="87"/>
      <c r="T311" s="87"/>
      <c r="U311" s="127"/>
      <c r="V311" s="89"/>
      <c r="W311" s="96">
        <v>0</v>
      </c>
      <c r="X311" s="71">
        <f>CU311</f>
        <v>0</v>
      </c>
      <c r="Y311" s="71">
        <f>CY311</f>
        <v>0</v>
      </c>
      <c r="Z311" s="71">
        <f>DA311+DC311+DE311</f>
        <v>0</v>
      </c>
      <c r="AA311" s="71">
        <f>CW311</f>
        <v>0</v>
      </c>
      <c r="AB311" s="71"/>
      <c r="AC311" s="71">
        <v>0</v>
      </c>
      <c r="AD311" s="71">
        <f>W311+X311+Y311+Z311+AA311+AB311+AC311</f>
        <v>0</v>
      </c>
      <c r="AE311" s="72">
        <v>0</v>
      </c>
      <c r="AF311" s="5"/>
      <c r="AG311" s="6"/>
      <c r="AH311" s="27" t="s">
        <v>3392</v>
      </c>
      <c r="AI311" s="44" t="s">
        <v>3393</v>
      </c>
      <c r="AJ311" s="26"/>
      <c r="AK311" s="5"/>
      <c r="AL311" s="82" t="s">
        <v>3158</v>
      </c>
      <c r="AM311" s="76"/>
      <c r="AN311" s="76"/>
      <c r="AO311" s="76"/>
      <c r="AP311" s="76"/>
      <c r="AQ311" s="76"/>
      <c r="AR311" s="76"/>
      <c r="AS311" s="76"/>
      <c r="AT311" s="76"/>
      <c r="AU311" s="76"/>
      <c r="AV311" s="76"/>
      <c r="AW311" s="76"/>
      <c r="AX311" s="76">
        <f>+AW311*600000</f>
        <v>0</v>
      </c>
      <c r="AY311" s="76"/>
      <c r="AZ311" s="76">
        <f>+AY311*70000</f>
        <v>0</v>
      </c>
      <c r="BA311" s="76"/>
      <c r="BB311" s="76"/>
      <c r="BC311" s="76"/>
      <c r="BD311" s="76">
        <f>+BC311*30000</f>
        <v>0</v>
      </c>
      <c r="BE311" s="76"/>
      <c r="BF311" s="76"/>
      <c r="BG311" s="76"/>
      <c r="BH311" s="76"/>
      <c r="BI311" s="76"/>
      <c r="BJ311" s="76"/>
      <c r="BK311" s="76"/>
      <c r="BL311" s="76">
        <f>+BK311*31500</f>
        <v>0</v>
      </c>
      <c r="BM311" s="76"/>
      <c r="BN311" s="76"/>
      <c r="BO311" s="76"/>
      <c r="BP311" s="76"/>
      <c r="BQ311" s="76"/>
      <c r="BR311" s="76"/>
      <c r="BS311" s="76"/>
      <c r="BT311" s="76"/>
      <c r="BU311" s="76"/>
      <c r="BV311" s="76"/>
      <c r="BW311" s="76"/>
      <c r="BX311" s="76"/>
      <c r="BY311" s="76"/>
      <c r="BZ311" s="76"/>
      <c r="CA311" s="76"/>
      <c r="CB311" s="76"/>
      <c r="CC311" s="76"/>
      <c r="CD311" s="76"/>
      <c r="CE311" s="76"/>
      <c r="CF311" s="76">
        <f>+CE311*28000</f>
        <v>0</v>
      </c>
      <c r="CG311" s="76"/>
      <c r="CH311" s="76">
        <f>+CG311*22500</f>
        <v>0</v>
      </c>
      <c r="CI311" s="76"/>
      <c r="CJ311" s="76">
        <f>+CI311*26000</f>
        <v>0</v>
      </c>
      <c r="CK311" s="76"/>
      <c r="CL311" s="76"/>
      <c r="CM311" s="76"/>
      <c r="CN311" s="76">
        <f>+CM311*22000</f>
        <v>0</v>
      </c>
      <c r="CO311" s="76"/>
      <c r="CP311" s="76">
        <f>+CO311*46000</f>
        <v>0</v>
      </c>
      <c r="CQ311" s="76"/>
      <c r="CR311" s="76">
        <f>+CQ311*49000</f>
        <v>0</v>
      </c>
      <c r="CS311" s="76"/>
      <c r="CT311" s="76"/>
      <c r="CU311" s="56">
        <f>AN311+AP311+AR311+AT311+AV311+AX311+AZ311+BB311+BD311+BF311+BH311+BJ311+BL311+BN311+BP311+BR311+BT311+BV311+BX311+BZ311+CB311+CD311+CF311+CH311+CJ311+CL311+CN311+CP311+CR311+CT311</f>
        <v>0</v>
      </c>
      <c r="CV311" s="76"/>
      <c r="CW311" s="76">
        <f>+CV311*1100</f>
        <v>0</v>
      </c>
      <c r="CX311" s="76"/>
      <c r="CY311" s="76">
        <f>+CX311*106250</f>
        <v>0</v>
      </c>
      <c r="CZ311" s="76"/>
      <c r="DA311" s="76">
        <f>+CZ311*34500</f>
        <v>0</v>
      </c>
      <c r="DB311" s="76"/>
      <c r="DC311" s="76">
        <f>+DB311*25000</f>
        <v>0</v>
      </c>
      <c r="DD311" s="219"/>
      <c r="DE311" s="219"/>
      <c r="DF311" s="164"/>
      <c r="DG311" s="116"/>
      <c r="DH311" s="117"/>
      <c r="DI311" s="24"/>
      <c r="DJ311" s="24"/>
      <c r="DK311" s="24"/>
      <c r="DL311" s="24"/>
      <c r="DM311" s="24"/>
      <c r="DN311" s="24"/>
      <c r="DO311" s="24"/>
      <c r="DP311" s="24"/>
      <c r="DQ311" s="24"/>
      <c r="DR311" s="24"/>
      <c r="DS311" s="24"/>
      <c r="DT311" s="24"/>
      <c r="DU311" s="24"/>
    </row>
    <row r="312" spans="1:125" s="8" customFormat="1" ht="24" x14ac:dyDescent="0.2">
      <c r="A312" s="77">
        <v>41294</v>
      </c>
      <c r="B312" s="78" t="s">
        <v>2851</v>
      </c>
      <c r="C312" s="75" t="s">
        <v>2113</v>
      </c>
      <c r="D312" s="81" t="s">
        <v>2846</v>
      </c>
      <c r="E312" s="75" t="str">
        <f>VLOOKUP(B312&amp;C312,Divipola!$C$2:$F$1138,4,FALSE)</f>
        <v>76892</v>
      </c>
      <c r="F312" s="87"/>
      <c r="G312" s="87"/>
      <c r="H312" s="87"/>
      <c r="I312" s="87"/>
      <c r="J312" s="87"/>
      <c r="K312" s="87"/>
      <c r="L312" s="87"/>
      <c r="M312" s="87"/>
      <c r="N312" s="87"/>
      <c r="O312" s="87"/>
      <c r="P312" s="87"/>
      <c r="Q312" s="87"/>
      <c r="R312" s="87"/>
      <c r="S312" s="87"/>
      <c r="T312" s="87"/>
      <c r="U312" s="127">
        <v>15</v>
      </c>
      <c r="V312" s="89"/>
      <c r="W312" s="96">
        <v>0</v>
      </c>
      <c r="X312" s="71">
        <f>CU312</f>
        <v>0</v>
      </c>
      <c r="Y312" s="71">
        <f>CY312</f>
        <v>0</v>
      </c>
      <c r="Z312" s="71">
        <f>DA312+DC312+DE312</f>
        <v>0</v>
      </c>
      <c r="AA312" s="71">
        <f>CW312</f>
        <v>0</v>
      </c>
      <c r="AB312" s="71"/>
      <c r="AC312" s="71">
        <v>0</v>
      </c>
      <c r="AD312" s="71">
        <f>W312+X312+Y312+Z312+AA312+AB312+AC312</f>
        <v>0</v>
      </c>
      <c r="AE312" s="72">
        <v>0</v>
      </c>
      <c r="AF312" s="5"/>
      <c r="AG312" s="6"/>
      <c r="AH312" s="27" t="s">
        <v>3392</v>
      </c>
      <c r="AI312" s="44" t="s">
        <v>3393</v>
      </c>
      <c r="AJ312" s="26"/>
      <c r="AK312" s="5"/>
      <c r="AL312" s="82" t="s">
        <v>3155</v>
      </c>
      <c r="AM312" s="76"/>
      <c r="AN312" s="76"/>
      <c r="AO312" s="76"/>
      <c r="AP312" s="76"/>
      <c r="AQ312" s="76"/>
      <c r="AR312" s="76"/>
      <c r="AS312" s="76"/>
      <c r="AT312" s="76"/>
      <c r="AU312" s="76"/>
      <c r="AV312" s="76"/>
      <c r="AW312" s="76"/>
      <c r="AX312" s="76">
        <f>+AW312*600000</f>
        <v>0</v>
      </c>
      <c r="AY312" s="76"/>
      <c r="AZ312" s="76">
        <f>+AY312*70000</f>
        <v>0</v>
      </c>
      <c r="BA312" s="76"/>
      <c r="BB312" s="76"/>
      <c r="BC312" s="76"/>
      <c r="BD312" s="76">
        <f>+BC312*30000</f>
        <v>0</v>
      </c>
      <c r="BE312" s="76"/>
      <c r="BF312" s="76"/>
      <c r="BG312" s="76"/>
      <c r="BH312" s="76"/>
      <c r="BI312" s="76"/>
      <c r="BJ312" s="76"/>
      <c r="BK312" s="76"/>
      <c r="BL312" s="76">
        <f>+BK312*31500</f>
        <v>0</v>
      </c>
      <c r="BM312" s="76"/>
      <c r="BN312" s="76"/>
      <c r="BO312" s="76"/>
      <c r="BP312" s="76"/>
      <c r="BQ312" s="76"/>
      <c r="BR312" s="76"/>
      <c r="BS312" s="76"/>
      <c r="BT312" s="76"/>
      <c r="BU312" s="76"/>
      <c r="BV312" s="76"/>
      <c r="BW312" s="76"/>
      <c r="BX312" s="76"/>
      <c r="BY312" s="76"/>
      <c r="BZ312" s="76"/>
      <c r="CA312" s="76"/>
      <c r="CB312" s="76"/>
      <c r="CC312" s="76"/>
      <c r="CD312" s="76"/>
      <c r="CE312" s="76"/>
      <c r="CF312" s="76">
        <f>+CE312*28000</f>
        <v>0</v>
      </c>
      <c r="CG312" s="76"/>
      <c r="CH312" s="76">
        <f>+CG312*22500</f>
        <v>0</v>
      </c>
      <c r="CI312" s="76"/>
      <c r="CJ312" s="76">
        <f>+CI312*26000</f>
        <v>0</v>
      </c>
      <c r="CK312" s="76"/>
      <c r="CL312" s="76"/>
      <c r="CM312" s="76"/>
      <c r="CN312" s="76">
        <f>+CM312*22000</f>
        <v>0</v>
      </c>
      <c r="CO312" s="76"/>
      <c r="CP312" s="76">
        <f>+CO312*46000</f>
        <v>0</v>
      </c>
      <c r="CQ312" s="76"/>
      <c r="CR312" s="76">
        <f>+CQ312*49000</f>
        <v>0</v>
      </c>
      <c r="CS312" s="76"/>
      <c r="CT312" s="76"/>
      <c r="CU312" s="56">
        <f>AN312+AP312+AR312+AT312+AV312+AX312+AZ312+BB312+BD312+BF312+BH312+BJ312+BL312+BN312+BP312+BR312+BT312+BV312+BX312+BZ312+CB312+CD312+CF312+CH312+CJ312+CL312+CN312+CP312+CR312+CT312</f>
        <v>0</v>
      </c>
      <c r="CV312" s="76"/>
      <c r="CW312" s="76">
        <f>+CV312*1100</f>
        <v>0</v>
      </c>
      <c r="CX312" s="76"/>
      <c r="CY312" s="76">
        <f>+CX312*106250</f>
        <v>0</v>
      </c>
      <c r="CZ312" s="76"/>
      <c r="DA312" s="76">
        <f>+CZ312*34500</f>
        <v>0</v>
      </c>
      <c r="DB312" s="76"/>
      <c r="DC312" s="76">
        <f>+DB312*25000</f>
        <v>0</v>
      </c>
      <c r="DD312" s="219"/>
      <c r="DE312" s="219"/>
      <c r="DF312" s="164"/>
      <c r="DG312" s="116"/>
      <c r="DH312" s="117"/>
      <c r="DI312" s="24"/>
      <c r="DJ312" s="24"/>
      <c r="DK312" s="24"/>
      <c r="DL312" s="24"/>
      <c r="DM312" s="24"/>
      <c r="DN312" s="24"/>
      <c r="DO312" s="24"/>
      <c r="DP312" s="24"/>
      <c r="DQ312" s="24"/>
      <c r="DR312" s="24"/>
      <c r="DS312" s="24"/>
      <c r="DT312" s="24"/>
      <c r="DU312" s="24"/>
    </row>
    <row r="313" spans="1:125" s="8" customFormat="1" ht="72" x14ac:dyDescent="0.2">
      <c r="A313" s="226">
        <v>41295</v>
      </c>
      <c r="B313" s="225" t="s">
        <v>2700</v>
      </c>
      <c r="C313" s="227" t="s">
        <v>587</v>
      </c>
      <c r="D313" s="81" t="s">
        <v>2846</v>
      </c>
      <c r="E313" s="75" t="str">
        <f>VLOOKUP(B313&amp;C313,Divipola!$C$2:$F$1138,4,FALSE)</f>
        <v>15500</v>
      </c>
      <c r="F313" s="87"/>
      <c r="G313" s="87"/>
      <c r="H313" s="87"/>
      <c r="I313" s="87"/>
      <c r="J313" s="87"/>
      <c r="K313" s="87"/>
      <c r="L313" s="87"/>
      <c r="M313" s="87"/>
      <c r="N313" s="87"/>
      <c r="O313" s="87"/>
      <c r="P313" s="87"/>
      <c r="Q313" s="87"/>
      <c r="R313" s="87"/>
      <c r="S313" s="87"/>
      <c r="T313" s="87"/>
      <c r="U313" s="127">
        <v>30</v>
      </c>
      <c r="V313" s="89"/>
      <c r="W313" s="96">
        <v>0</v>
      </c>
      <c r="X313" s="71">
        <f>CU313</f>
        <v>0</v>
      </c>
      <c r="Y313" s="71">
        <f>CY313</f>
        <v>0</v>
      </c>
      <c r="Z313" s="71">
        <f>DA313+DC313+DE313</f>
        <v>0</v>
      </c>
      <c r="AA313" s="71">
        <f>CW313</f>
        <v>0</v>
      </c>
      <c r="AB313" s="71"/>
      <c r="AC313" s="71">
        <v>0</v>
      </c>
      <c r="AD313" s="71">
        <f>W313+X313+Y313+Z313+AA313+AB313+AC313</f>
        <v>0</v>
      </c>
      <c r="AE313" s="72">
        <v>0</v>
      </c>
      <c r="AF313" s="5"/>
      <c r="AG313" s="6"/>
      <c r="AH313" s="27" t="s">
        <v>3390</v>
      </c>
      <c r="AI313" s="44" t="s">
        <v>3391</v>
      </c>
      <c r="AJ313" s="26"/>
      <c r="AK313" s="5" t="s">
        <v>3397</v>
      </c>
      <c r="AL313" s="82" t="s">
        <v>3196</v>
      </c>
      <c r="AM313" s="76"/>
      <c r="AN313" s="76"/>
      <c r="AO313" s="76"/>
      <c r="AP313" s="76"/>
      <c r="AQ313" s="76"/>
      <c r="AR313" s="76"/>
      <c r="AS313" s="76"/>
      <c r="AT313" s="76"/>
      <c r="AU313" s="76"/>
      <c r="AV313" s="76"/>
      <c r="AW313" s="76"/>
      <c r="AX313" s="76">
        <f>+AW313*600000</f>
        <v>0</v>
      </c>
      <c r="AY313" s="76"/>
      <c r="AZ313" s="76">
        <f>+AY313*70000</f>
        <v>0</v>
      </c>
      <c r="BA313" s="76"/>
      <c r="BB313" s="76"/>
      <c r="BC313" s="76"/>
      <c r="BD313" s="76">
        <f>+BC313*30000</f>
        <v>0</v>
      </c>
      <c r="BE313" s="76"/>
      <c r="BF313" s="76"/>
      <c r="BG313" s="76"/>
      <c r="BH313" s="76"/>
      <c r="BI313" s="76"/>
      <c r="BJ313" s="76"/>
      <c r="BK313" s="76"/>
      <c r="BL313" s="76">
        <f>+BK313*31500</f>
        <v>0</v>
      </c>
      <c r="BM313" s="76"/>
      <c r="BN313" s="76"/>
      <c r="BO313" s="76"/>
      <c r="BP313" s="76"/>
      <c r="BQ313" s="76"/>
      <c r="BR313" s="76"/>
      <c r="BS313" s="76"/>
      <c r="BT313" s="76"/>
      <c r="BU313" s="76"/>
      <c r="BV313" s="76"/>
      <c r="BW313" s="76"/>
      <c r="BX313" s="76"/>
      <c r="BY313" s="76"/>
      <c r="BZ313" s="76"/>
      <c r="CA313" s="76"/>
      <c r="CB313" s="76"/>
      <c r="CC313" s="76"/>
      <c r="CD313" s="76"/>
      <c r="CE313" s="76"/>
      <c r="CF313" s="76">
        <f>+CE313*28000</f>
        <v>0</v>
      </c>
      <c r="CG313" s="76"/>
      <c r="CH313" s="76">
        <f>+CG313*22500</f>
        <v>0</v>
      </c>
      <c r="CI313" s="76"/>
      <c r="CJ313" s="76">
        <f>+CI313*26000</f>
        <v>0</v>
      </c>
      <c r="CK313" s="76"/>
      <c r="CL313" s="76"/>
      <c r="CM313" s="76"/>
      <c r="CN313" s="76">
        <f>+CM313*22000</f>
        <v>0</v>
      </c>
      <c r="CO313" s="76"/>
      <c r="CP313" s="76">
        <f>+CO313*46000</f>
        <v>0</v>
      </c>
      <c r="CQ313" s="76"/>
      <c r="CR313" s="76">
        <f>+CQ313*49000</f>
        <v>0</v>
      </c>
      <c r="CS313" s="76"/>
      <c r="CT313" s="76"/>
      <c r="CU313" s="56">
        <f>AN313+AP313+AR313+AT313+AV313+AX313+AZ313+BB313+BD313+BF313+BH313+BJ313+BL313+BN313+BP313+BR313+BT313+BV313+BX313+BZ313+CB313+CD313+CF313+CH313+CJ313+CL313+CN313+CP313+CR313+CT313</f>
        <v>0</v>
      </c>
      <c r="CV313" s="76"/>
      <c r="CW313" s="76">
        <f>+CV313*1100</f>
        <v>0</v>
      </c>
      <c r="CX313" s="76"/>
      <c r="CY313" s="76">
        <f>+CX313*106250</f>
        <v>0</v>
      </c>
      <c r="CZ313" s="76"/>
      <c r="DA313" s="76">
        <f>+CZ313*34500</f>
        <v>0</v>
      </c>
      <c r="DB313" s="76"/>
      <c r="DC313" s="76">
        <f>+DB313*25000</f>
        <v>0</v>
      </c>
      <c r="DD313" s="219"/>
      <c r="DE313" s="219"/>
      <c r="DF313" s="164"/>
      <c r="DG313" s="116"/>
      <c r="DH313" s="117"/>
      <c r="DI313" s="24"/>
      <c r="DJ313" s="24"/>
      <c r="DK313" s="24"/>
      <c r="DL313" s="24"/>
      <c r="DM313" s="24"/>
      <c r="DN313" s="24"/>
      <c r="DO313" s="24"/>
      <c r="DP313" s="24"/>
      <c r="DQ313" s="24"/>
      <c r="DR313" s="24"/>
      <c r="DS313" s="24"/>
      <c r="DT313" s="24"/>
      <c r="DU313" s="24"/>
    </row>
    <row r="314" spans="1:125" s="8" customFormat="1" ht="36" x14ac:dyDescent="0.2">
      <c r="A314" s="77">
        <v>41295</v>
      </c>
      <c r="B314" s="78" t="s">
        <v>2196</v>
      </c>
      <c r="C314" s="75" t="s">
        <v>764</v>
      </c>
      <c r="D314" s="75" t="s">
        <v>2859</v>
      </c>
      <c r="E314" s="75" t="str">
        <f>VLOOKUP(B314&amp;C314,Divipola!$C$2:$F$1138,4,FALSE)</f>
        <v>17541</v>
      </c>
      <c r="F314" s="153"/>
      <c r="G314" s="153"/>
      <c r="H314" s="153"/>
      <c r="I314" s="153"/>
      <c r="J314" s="153"/>
      <c r="K314" s="153"/>
      <c r="L314" s="153"/>
      <c r="M314" s="153"/>
      <c r="N314" s="153"/>
      <c r="O314" s="153"/>
      <c r="P314" s="153"/>
      <c r="Q314" s="153"/>
      <c r="R314" s="153"/>
      <c r="S314" s="153"/>
      <c r="T314" s="153"/>
      <c r="U314" s="154"/>
      <c r="V314" s="134"/>
      <c r="W314" s="96">
        <v>1200000</v>
      </c>
      <c r="X314" s="71">
        <f>CU314</f>
        <v>0</v>
      </c>
      <c r="Y314" s="71">
        <f>CY314</f>
        <v>0</v>
      </c>
      <c r="Z314" s="71">
        <f>DA314+DC314+DE314</f>
        <v>0</v>
      </c>
      <c r="AA314" s="71">
        <f>CW314</f>
        <v>0</v>
      </c>
      <c r="AB314" s="71"/>
      <c r="AC314" s="71">
        <v>0</v>
      </c>
      <c r="AD314" s="71">
        <f>W314+X314+Y314+Z314+AA314+AB314+AC314</f>
        <v>1200000</v>
      </c>
      <c r="AE314" s="72">
        <v>0</v>
      </c>
      <c r="AF314" s="5"/>
      <c r="AG314" s="6"/>
      <c r="AH314" s="27" t="s">
        <v>3390</v>
      </c>
      <c r="AI314" s="44" t="s">
        <v>3391</v>
      </c>
      <c r="AJ314" s="26"/>
      <c r="AK314" s="5"/>
      <c r="AL314" s="82" t="s">
        <v>3126</v>
      </c>
      <c r="AM314" s="76"/>
      <c r="AN314" s="76"/>
      <c r="AO314" s="76"/>
      <c r="AP314" s="76"/>
      <c r="AQ314" s="76"/>
      <c r="AR314" s="76"/>
      <c r="AS314" s="76"/>
      <c r="AT314" s="76"/>
      <c r="AU314" s="76"/>
      <c r="AV314" s="76"/>
      <c r="AW314" s="76"/>
      <c r="AX314" s="76">
        <f>+AW314*600000</f>
        <v>0</v>
      </c>
      <c r="AY314" s="76"/>
      <c r="AZ314" s="76">
        <f>+AY314*70000</f>
        <v>0</v>
      </c>
      <c r="BA314" s="76"/>
      <c r="BB314" s="76"/>
      <c r="BC314" s="76"/>
      <c r="BD314" s="76">
        <f>+BC314*30000</f>
        <v>0</v>
      </c>
      <c r="BE314" s="76"/>
      <c r="BF314" s="76"/>
      <c r="BG314" s="76"/>
      <c r="BH314" s="76"/>
      <c r="BI314" s="76"/>
      <c r="BJ314" s="76"/>
      <c r="BK314" s="76"/>
      <c r="BL314" s="76">
        <f>+BK314*31500</f>
        <v>0</v>
      </c>
      <c r="BM314" s="76"/>
      <c r="BN314" s="76"/>
      <c r="BO314" s="76"/>
      <c r="BP314" s="76"/>
      <c r="BQ314" s="76"/>
      <c r="BR314" s="76"/>
      <c r="BS314" s="76"/>
      <c r="BT314" s="76"/>
      <c r="BU314" s="76"/>
      <c r="BV314" s="76"/>
      <c r="BW314" s="76"/>
      <c r="BX314" s="76"/>
      <c r="BY314" s="76"/>
      <c r="BZ314" s="76"/>
      <c r="CA314" s="76"/>
      <c r="CB314" s="76"/>
      <c r="CC314" s="76"/>
      <c r="CD314" s="76"/>
      <c r="CE314" s="76"/>
      <c r="CF314" s="76">
        <f>+CE314*28000</f>
        <v>0</v>
      </c>
      <c r="CG314" s="76"/>
      <c r="CH314" s="76">
        <f>+CG314*22500</f>
        <v>0</v>
      </c>
      <c r="CI314" s="76"/>
      <c r="CJ314" s="76">
        <f>+CI314*26000</f>
        <v>0</v>
      </c>
      <c r="CK314" s="76"/>
      <c r="CL314" s="76"/>
      <c r="CM314" s="76"/>
      <c r="CN314" s="76">
        <f>+CM314*22000</f>
        <v>0</v>
      </c>
      <c r="CO314" s="76"/>
      <c r="CP314" s="76">
        <f>+CO314*46000</f>
        <v>0</v>
      </c>
      <c r="CQ314" s="76"/>
      <c r="CR314" s="76">
        <f>+CQ314*49000</f>
        <v>0</v>
      </c>
      <c r="CS314" s="76"/>
      <c r="CT314" s="76"/>
      <c r="CU314" s="56">
        <f>AN314+AP314+AR314+AT314+AV314+AX314+AZ314+BB314+BD314+BF314+BH314+BJ314+BL314+BN314+BP314+BR314+BT314+BV314+BX314+BZ314+CB314+CD314+CF314+CH314+CJ314+CL314+CN314+CP314+CR314+CT314</f>
        <v>0</v>
      </c>
      <c r="CV314" s="76"/>
      <c r="CW314" s="76">
        <f>+CV314*1100</f>
        <v>0</v>
      </c>
      <c r="CX314" s="76"/>
      <c r="CY314" s="76">
        <f>+CX314*106250</f>
        <v>0</v>
      </c>
      <c r="CZ314" s="76"/>
      <c r="DA314" s="76">
        <f>+CZ314*34500</f>
        <v>0</v>
      </c>
      <c r="DB314" s="76"/>
      <c r="DC314" s="76">
        <f>+DB314*25000</f>
        <v>0</v>
      </c>
      <c r="DD314" s="219"/>
      <c r="DE314" s="219"/>
      <c r="DF314" s="164"/>
      <c r="DG314" s="116"/>
      <c r="DH314" s="117"/>
      <c r="DI314" s="24"/>
      <c r="DJ314" s="24"/>
      <c r="DK314" s="24"/>
      <c r="DL314" s="24"/>
      <c r="DM314" s="24"/>
      <c r="DN314" s="24"/>
      <c r="DO314" s="24"/>
      <c r="DP314" s="24"/>
      <c r="DQ314" s="24"/>
      <c r="DR314" s="24"/>
      <c r="DS314" s="24"/>
      <c r="DT314" s="24"/>
      <c r="DU314" s="24"/>
    </row>
    <row r="315" spans="1:125" s="8" customFormat="1" ht="36" x14ac:dyDescent="0.2">
      <c r="A315" s="77">
        <v>41295</v>
      </c>
      <c r="B315" s="78" t="s">
        <v>2087</v>
      </c>
      <c r="C315" s="75" t="s">
        <v>2692</v>
      </c>
      <c r="D315" s="75" t="s">
        <v>3051</v>
      </c>
      <c r="E315" s="75" t="str">
        <f>VLOOKUP(B315&amp;C315,Divipola!$C$2:$F$1138,4,FALSE)</f>
        <v>18001</v>
      </c>
      <c r="F315" s="153"/>
      <c r="G315" s="153"/>
      <c r="H315" s="153"/>
      <c r="I315" s="153"/>
      <c r="J315" s="153"/>
      <c r="K315" s="153"/>
      <c r="L315" s="153"/>
      <c r="M315" s="153"/>
      <c r="N315" s="153"/>
      <c r="O315" s="153"/>
      <c r="P315" s="153"/>
      <c r="Q315" s="153"/>
      <c r="R315" s="153"/>
      <c r="S315" s="153"/>
      <c r="T315" s="153"/>
      <c r="U315" s="154"/>
      <c r="V315" s="134"/>
      <c r="W315" s="96">
        <v>2700000</v>
      </c>
      <c r="X315" s="71">
        <f>CU315</f>
        <v>0</v>
      </c>
      <c r="Y315" s="71">
        <f>CY315</f>
        <v>0</v>
      </c>
      <c r="Z315" s="71">
        <f>DA315+DC315+DE315</f>
        <v>0</v>
      </c>
      <c r="AA315" s="71">
        <f>CW315</f>
        <v>0</v>
      </c>
      <c r="AB315" s="71"/>
      <c r="AC315" s="71">
        <v>0</v>
      </c>
      <c r="AD315" s="71">
        <f>W315+X315+Y315+Z315+AA315+AB315+AC315</f>
        <v>2700000</v>
      </c>
      <c r="AE315" s="72">
        <v>0</v>
      </c>
      <c r="AF315" s="5"/>
      <c r="AG315" s="6"/>
      <c r="AH315" s="27" t="s">
        <v>3390</v>
      </c>
      <c r="AI315" s="44" t="s">
        <v>3391</v>
      </c>
      <c r="AJ315" s="26"/>
      <c r="AK315" s="5"/>
      <c r="AL315" s="82" t="s">
        <v>3125</v>
      </c>
      <c r="AM315" s="76"/>
      <c r="AN315" s="76"/>
      <c r="AO315" s="76"/>
      <c r="AP315" s="76"/>
      <c r="AQ315" s="76"/>
      <c r="AR315" s="76"/>
      <c r="AS315" s="76"/>
      <c r="AT315" s="76"/>
      <c r="AU315" s="76"/>
      <c r="AV315" s="76"/>
      <c r="AW315" s="76"/>
      <c r="AX315" s="76">
        <f>+AW315*600000</f>
        <v>0</v>
      </c>
      <c r="AY315" s="76"/>
      <c r="AZ315" s="76">
        <f>+AY315*70000</f>
        <v>0</v>
      </c>
      <c r="BA315" s="76"/>
      <c r="BB315" s="76"/>
      <c r="BC315" s="76"/>
      <c r="BD315" s="76">
        <f>+BC315*30000</f>
        <v>0</v>
      </c>
      <c r="BE315" s="76"/>
      <c r="BF315" s="76"/>
      <c r="BG315" s="76"/>
      <c r="BH315" s="76"/>
      <c r="BI315" s="76"/>
      <c r="BJ315" s="76"/>
      <c r="BK315" s="76"/>
      <c r="BL315" s="76">
        <f>+BK315*31500</f>
        <v>0</v>
      </c>
      <c r="BM315" s="76"/>
      <c r="BN315" s="76"/>
      <c r="BO315" s="76"/>
      <c r="BP315" s="76"/>
      <c r="BQ315" s="76"/>
      <c r="BR315" s="76"/>
      <c r="BS315" s="76"/>
      <c r="BT315" s="76"/>
      <c r="BU315" s="76"/>
      <c r="BV315" s="76"/>
      <c r="BW315" s="76"/>
      <c r="BX315" s="76"/>
      <c r="BY315" s="76"/>
      <c r="BZ315" s="76"/>
      <c r="CA315" s="76"/>
      <c r="CB315" s="76"/>
      <c r="CC315" s="76"/>
      <c r="CD315" s="76"/>
      <c r="CE315" s="76"/>
      <c r="CF315" s="76">
        <f>+CE315*28000</f>
        <v>0</v>
      </c>
      <c r="CG315" s="76"/>
      <c r="CH315" s="76">
        <f>+CG315*22500</f>
        <v>0</v>
      </c>
      <c r="CI315" s="76"/>
      <c r="CJ315" s="76">
        <f>+CI315*26000</f>
        <v>0</v>
      </c>
      <c r="CK315" s="76"/>
      <c r="CL315" s="76"/>
      <c r="CM315" s="76"/>
      <c r="CN315" s="76">
        <f>+CM315*22000</f>
        <v>0</v>
      </c>
      <c r="CO315" s="76"/>
      <c r="CP315" s="76">
        <f>+CO315*46000</f>
        <v>0</v>
      </c>
      <c r="CQ315" s="76"/>
      <c r="CR315" s="76">
        <f>+CQ315*49000</f>
        <v>0</v>
      </c>
      <c r="CS315" s="76"/>
      <c r="CT315" s="76"/>
      <c r="CU315" s="56">
        <f>AN315+AP315+AR315+AT315+AV315+AX315+AZ315+BB315+BD315+BF315+BH315+BJ315+BL315+BN315+BP315+BR315+BT315+BV315+BX315+BZ315+CB315+CD315+CF315+CH315+CJ315+CL315+CN315+CP315+CR315+CT315</f>
        <v>0</v>
      </c>
      <c r="CV315" s="76"/>
      <c r="CW315" s="76">
        <f>+CV315*1100</f>
        <v>0</v>
      </c>
      <c r="CX315" s="76"/>
      <c r="CY315" s="76">
        <f>+CX315*106250</f>
        <v>0</v>
      </c>
      <c r="CZ315" s="76"/>
      <c r="DA315" s="76">
        <f>+CZ315*34500</f>
        <v>0</v>
      </c>
      <c r="DB315" s="76"/>
      <c r="DC315" s="76">
        <f>+DB315*25000</f>
        <v>0</v>
      </c>
      <c r="DD315" s="219"/>
      <c r="DE315" s="219"/>
      <c r="DF315" s="164"/>
      <c r="DG315" s="116"/>
      <c r="DH315" s="117"/>
      <c r="DI315" s="24"/>
      <c r="DJ315" s="24"/>
      <c r="DK315" s="24"/>
      <c r="DL315" s="24"/>
      <c r="DM315" s="24"/>
      <c r="DN315" s="24"/>
      <c r="DO315" s="24"/>
      <c r="DP315" s="24"/>
      <c r="DQ315" s="24"/>
      <c r="DR315" s="24"/>
      <c r="DS315" s="24"/>
      <c r="DT315" s="24"/>
      <c r="DU315" s="24"/>
    </row>
    <row r="316" spans="1:125" s="8" customFormat="1" ht="24" x14ac:dyDescent="0.2">
      <c r="A316" s="77">
        <v>41295</v>
      </c>
      <c r="B316" s="225" t="s">
        <v>2855</v>
      </c>
      <c r="C316" s="227" t="s">
        <v>909</v>
      </c>
      <c r="D316" s="81" t="s">
        <v>2846</v>
      </c>
      <c r="E316" s="75" t="str">
        <f>VLOOKUP(B316&amp;C316,Divipola!$C$2:$F$1138,4,FALSE)</f>
        <v>20238</v>
      </c>
      <c r="F316" s="87"/>
      <c r="G316" s="87"/>
      <c r="H316" s="87"/>
      <c r="I316" s="87"/>
      <c r="J316" s="87"/>
      <c r="K316" s="87"/>
      <c r="L316" s="87"/>
      <c r="M316" s="87"/>
      <c r="N316" s="87"/>
      <c r="O316" s="87"/>
      <c r="P316" s="87"/>
      <c r="Q316" s="87"/>
      <c r="R316" s="87"/>
      <c r="S316" s="87"/>
      <c r="T316" s="87"/>
      <c r="U316" s="127"/>
      <c r="V316" s="89"/>
      <c r="W316" s="96">
        <v>0</v>
      </c>
      <c r="X316" s="71">
        <f>CU316</f>
        <v>0</v>
      </c>
      <c r="Y316" s="71">
        <f>CY316</f>
        <v>0</v>
      </c>
      <c r="Z316" s="71">
        <f>DA316+DC316+DE316</f>
        <v>0</v>
      </c>
      <c r="AA316" s="71">
        <f>CW316</f>
        <v>0</v>
      </c>
      <c r="AB316" s="71"/>
      <c r="AC316" s="71">
        <v>0</v>
      </c>
      <c r="AD316" s="71">
        <f>W316+X316+Y316+Z316+AA316+AB316+AC316</f>
        <v>0</v>
      </c>
      <c r="AE316" s="72">
        <v>0</v>
      </c>
      <c r="AF316" s="5"/>
      <c r="AG316" s="6"/>
      <c r="AH316" s="27" t="s">
        <v>3392</v>
      </c>
      <c r="AI316" s="44" t="s">
        <v>3393</v>
      </c>
      <c r="AJ316" s="26"/>
      <c r="AK316" s="5"/>
      <c r="AL316" s="82" t="s">
        <v>3163</v>
      </c>
      <c r="AM316" s="76"/>
      <c r="AN316" s="76"/>
      <c r="AO316" s="76"/>
      <c r="AP316" s="76"/>
      <c r="AQ316" s="76"/>
      <c r="AR316" s="76"/>
      <c r="AS316" s="76"/>
      <c r="AT316" s="76"/>
      <c r="AU316" s="76"/>
      <c r="AV316" s="76"/>
      <c r="AW316" s="76"/>
      <c r="AX316" s="76">
        <f>+AW316*600000</f>
        <v>0</v>
      </c>
      <c r="AY316" s="76"/>
      <c r="AZ316" s="76">
        <f>+AY316*70000</f>
        <v>0</v>
      </c>
      <c r="BA316" s="76"/>
      <c r="BB316" s="76"/>
      <c r="BC316" s="76"/>
      <c r="BD316" s="76">
        <f>+BC316*30000</f>
        <v>0</v>
      </c>
      <c r="BE316" s="76"/>
      <c r="BF316" s="76"/>
      <c r="BG316" s="76"/>
      <c r="BH316" s="76"/>
      <c r="BI316" s="76"/>
      <c r="BJ316" s="76"/>
      <c r="BK316" s="76"/>
      <c r="BL316" s="76">
        <f>+BK316*31500</f>
        <v>0</v>
      </c>
      <c r="BM316" s="76"/>
      <c r="BN316" s="76"/>
      <c r="BO316" s="76"/>
      <c r="BP316" s="76"/>
      <c r="BQ316" s="76"/>
      <c r="BR316" s="76"/>
      <c r="BS316" s="76"/>
      <c r="BT316" s="76"/>
      <c r="BU316" s="76"/>
      <c r="BV316" s="76"/>
      <c r="BW316" s="76"/>
      <c r="BX316" s="76"/>
      <c r="BY316" s="76"/>
      <c r="BZ316" s="76"/>
      <c r="CA316" s="76"/>
      <c r="CB316" s="76"/>
      <c r="CC316" s="76"/>
      <c r="CD316" s="76"/>
      <c r="CE316" s="76"/>
      <c r="CF316" s="76">
        <f>+CE316*28000</f>
        <v>0</v>
      </c>
      <c r="CG316" s="76"/>
      <c r="CH316" s="76">
        <f>+CG316*22500</f>
        <v>0</v>
      </c>
      <c r="CI316" s="76"/>
      <c r="CJ316" s="76">
        <f>+CI316*26000</f>
        <v>0</v>
      </c>
      <c r="CK316" s="76"/>
      <c r="CL316" s="76"/>
      <c r="CM316" s="76"/>
      <c r="CN316" s="76">
        <f>+CM316*22000</f>
        <v>0</v>
      </c>
      <c r="CO316" s="76"/>
      <c r="CP316" s="76">
        <f>+CO316*46000</f>
        <v>0</v>
      </c>
      <c r="CQ316" s="76"/>
      <c r="CR316" s="76">
        <f>+CQ316*49000</f>
        <v>0</v>
      </c>
      <c r="CS316" s="76"/>
      <c r="CT316" s="76"/>
      <c r="CU316" s="56">
        <f>AN316+AP316+AR316+AT316+AV316+AX316+AZ316+BB316+BD316+BF316+BH316+BJ316+BL316+BN316+BP316+BR316+BT316+BV316+BX316+BZ316+CB316+CD316+CF316+CH316+CJ316+CL316+CN316+CP316+CR316+CT316</f>
        <v>0</v>
      </c>
      <c r="CV316" s="76"/>
      <c r="CW316" s="76">
        <f>+CV316*1100</f>
        <v>0</v>
      </c>
      <c r="CX316" s="76"/>
      <c r="CY316" s="76">
        <f>+CX316*106250</f>
        <v>0</v>
      </c>
      <c r="CZ316" s="76"/>
      <c r="DA316" s="76">
        <f>+CZ316*34500</f>
        <v>0</v>
      </c>
      <c r="DB316" s="76"/>
      <c r="DC316" s="76">
        <f>+DB316*25000</f>
        <v>0</v>
      </c>
      <c r="DD316" s="219"/>
      <c r="DE316" s="219"/>
      <c r="DF316" s="164"/>
      <c r="DG316" s="116"/>
      <c r="DH316" s="117"/>
      <c r="DI316" s="24"/>
      <c r="DJ316" s="24"/>
      <c r="DK316" s="24"/>
      <c r="DL316" s="24"/>
      <c r="DM316" s="24"/>
      <c r="DN316" s="24"/>
      <c r="DO316" s="24"/>
      <c r="DP316" s="24"/>
      <c r="DQ316" s="24"/>
      <c r="DR316" s="24"/>
      <c r="DS316" s="24"/>
      <c r="DT316" s="24"/>
      <c r="DU316" s="24"/>
    </row>
    <row r="317" spans="1:125" s="111" customFormat="1" ht="84" x14ac:dyDescent="0.2">
      <c r="A317" s="77">
        <v>41295</v>
      </c>
      <c r="B317" s="78" t="s">
        <v>2772</v>
      </c>
      <c r="C317" s="75" t="s">
        <v>2828</v>
      </c>
      <c r="D317" s="81" t="s">
        <v>2846</v>
      </c>
      <c r="E317" s="75" t="str">
        <f>VLOOKUP(B317&amp;C317,Divipola!$C$2:$F$1138,4,FALSE)</f>
        <v>25183</v>
      </c>
      <c r="F317" s="87"/>
      <c r="G317" s="87"/>
      <c r="H317" s="87"/>
      <c r="I317" s="87"/>
      <c r="J317" s="87"/>
      <c r="K317" s="87"/>
      <c r="L317" s="87"/>
      <c r="M317" s="87"/>
      <c r="N317" s="87"/>
      <c r="O317" s="87"/>
      <c r="P317" s="87"/>
      <c r="Q317" s="87"/>
      <c r="R317" s="87"/>
      <c r="S317" s="87"/>
      <c r="T317" s="87"/>
      <c r="U317" s="127">
        <v>3</v>
      </c>
      <c r="V317" s="89"/>
      <c r="W317" s="96">
        <v>0</v>
      </c>
      <c r="X317" s="71">
        <f>CU317</f>
        <v>0</v>
      </c>
      <c r="Y317" s="71">
        <f>CY317</f>
        <v>0</v>
      </c>
      <c r="Z317" s="71">
        <f>DA317+DC317+DE317</f>
        <v>0</v>
      </c>
      <c r="AA317" s="71">
        <f>CW317</f>
        <v>0</v>
      </c>
      <c r="AB317" s="71"/>
      <c r="AC317" s="71">
        <v>0</v>
      </c>
      <c r="AD317" s="71">
        <f>W317+X317+Y317+Z317+AA317+AB317+AC317</f>
        <v>0</v>
      </c>
      <c r="AE317" s="72">
        <v>0</v>
      </c>
      <c r="AF317" s="5"/>
      <c r="AG317" s="6"/>
      <c r="AH317" s="27" t="s">
        <v>3392</v>
      </c>
      <c r="AI317" s="44" t="s">
        <v>3393</v>
      </c>
      <c r="AJ317" s="26"/>
      <c r="AK317" s="5"/>
      <c r="AL317" s="82" t="s">
        <v>3168</v>
      </c>
      <c r="AM317" s="76"/>
      <c r="AN317" s="76"/>
      <c r="AO317" s="76"/>
      <c r="AP317" s="76"/>
      <c r="AQ317" s="76"/>
      <c r="AR317" s="76"/>
      <c r="AS317" s="76"/>
      <c r="AT317" s="76"/>
      <c r="AU317" s="76"/>
      <c r="AV317" s="76"/>
      <c r="AW317" s="76"/>
      <c r="AX317" s="76">
        <f>+AW317*600000</f>
        <v>0</v>
      </c>
      <c r="AY317" s="76"/>
      <c r="AZ317" s="76">
        <f>+AY317*70000</f>
        <v>0</v>
      </c>
      <c r="BA317" s="76"/>
      <c r="BB317" s="76"/>
      <c r="BC317" s="76"/>
      <c r="BD317" s="76">
        <f>+BC317*30000</f>
        <v>0</v>
      </c>
      <c r="BE317" s="76"/>
      <c r="BF317" s="76"/>
      <c r="BG317" s="76"/>
      <c r="BH317" s="76"/>
      <c r="BI317" s="76"/>
      <c r="BJ317" s="76"/>
      <c r="BK317" s="76"/>
      <c r="BL317" s="76">
        <f>+BK317*31500</f>
        <v>0</v>
      </c>
      <c r="BM317" s="76"/>
      <c r="BN317" s="76"/>
      <c r="BO317" s="76"/>
      <c r="BP317" s="76"/>
      <c r="BQ317" s="76"/>
      <c r="BR317" s="76"/>
      <c r="BS317" s="76"/>
      <c r="BT317" s="76"/>
      <c r="BU317" s="76"/>
      <c r="BV317" s="76"/>
      <c r="BW317" s="76"/>
      <c r="BX317" s="76"/>
      <c r="BY317" s="76"/>
      <c r="BZ317" s="76"/>
      <c r="CA317" s="76"/>
      <c r="CB317" s="76"/>
      <c r="CC317" s="76"/>
      <c r="CD317" s="76"/>
      <c r="CE317" s="76"/>
      <c r="CF317" s="76">
        <f>+CE317*28000</f>
        <v>0</v>
      </c>
      <c r="CG317" s="76"/>
      <c r="CH317" s="76">
        <f>+CG317*22500</f>
        <v>0</v>
      </c>
      <c r="CI317" s="76"/>
      <c r="CJ317" s="76">
        <f>+CI317*26000</f>
        <v>0</v>
      </c>
      <c r="CK317" s="76"/>
      <c r="CL317" s="76"/>
      <c r="CM317" s="76"/>
      <c r="CN317" s="76">
        <f>+CM317*22000</f>
        <v>0</v>
      </c>
      <c r="CO317" s="76"/>
      <c r="CP317" s="76">
        <f>+CO317*46000</f>
        <v>0</v>
      </c>
      <c r="CQ317" s="76"/>
      <c r="CR317" s="76">
        <f>+CQ317*49000</f>
        <v>0</v>
      </c>
      <c r="CS317" s="76"/>
      <c r="CT317" s="76"/>
      <c r="CU317" s="56">
        <f>AN317+AP317+AR317+AT317+AV317+AX317+AZ317+BB317+BD317+BF317+BH317+BJ317+BL317+BN317+BP317+BR317+BT317+BV317+BX317+BZ317+CB317+CD317+CF317+CH317+CJ317+CL317+CN317+CP317+CR317+CT317</f>
        <v>0</v>
      </c>
      <c r="CV317" s="76"/>
      <c r="CW317" s="76">
        <f>+CV317*1100</f>
        <v>0</v>
      </c>
      <c r="CX317" s="76"/>
      <c r="CY317" s="76">
        <f>+CX317*106250</f>
        <v>0</v>
      </c>
      <c r="CZ317" s="76"/>
      <c r="DA317" s="76">
        <f>+CZ317*34500</f>
        <v>0</v>
      </c>
      <c r="DB317" s="76"/>
      <c r="DC317" s="76">
        <f>+DB317*25000</f>
        <v>0</v>
      </c>
      <c r="DD317" s="219"/>
      <c r="DE317" s="219"/>
      <c r="DF317" s="164"/>
      <c r="DG317" s="116"/>
      <c r="DH317" s="117"/>
      <c r="DI317" s="24"/>
      <c r="DJ317" s="24"/>
      <c r="DK317" s="24"/>
      <c r="DL317" s="24"/>
      <c r="DM317" s="24"/>
      <c r="DN317" s="24"/>
      <c r="DO317" s="24"/>
      <c r="DP317" s="24"/>
      <c r="DQ317" s="24"/>
      <c r="DR317" s="24"/>
      <c r="DS317" s="24"/>
      <c r="DT317" s="24"/>
      <c r="DU317" s="24"/>
    </row>
    <row r="318" spans="1:125" s="111" customFormat="1" ht="84" x14ac:dyDescent="0.2">
      <c r="A318" s="77">
        <v>41295</v>
      </c>
      <c r="B318" s="352" t="s">
        <v>2772</v>
      </c>
      <c r="C318" s="354" t="s">
        <v>1062</v>
      </c>
      <c r="D318" s="81" t="s">
        <v>2846</v>
      </c>
      <c r="E318" s="75" t="str">
        <f>VLOOKUP(B318&amp;C318,Divipola!$C$2:$F$1138,4,FALSE)</f>
        <v>25293</v>
      </c>
      <c r="F318" s="100"/>
      <c r="G318" s="100"/>
      <c r="H318" s="100"/>
      <c r="I318" s="100"/>
      <c r="J318" s="100"/>
      <c r="K318" s="100"/>
      <c r="L318" s="100"/>
      <c r="M318" s="100"/>
      <c r="N318" s="100"/>
      <c r="O318" s="100"/>
      <c r="P318" s="100"/>
      <c r="Q318" s="100"/>
      <c r="R318" s="100"/>
      <c r="S318" s="100"/>
      <c r="T318" s="100"/>
      <c r="U318" s="130">
        <v>4</v>
      </c>
      <c r="V318" s="89"/>
      <c r="W318" s="96">
        <v>0</v>
      </c>
      <c r="X318" s="71">
        <f>CU318</f>
        <v>0</v>
      </c>
      <c r="Y318" s="71">
        <f>CY318</f>
        <v>0</v>
      </c>
      <c r="Z318" s="71">
        <f>DA318+DC318+DE318</f>
        <v>0</v>
      </c>
      <c r="AA318" s="71">
        <f>CW318</f>
        <v>0</v>
      </c>
      <c r="AB318" s="71"/>
      <c r="AC318" s="71">
        <v>0</v>
      </c>
      <c r="AD318" s="71">
        <f>W318+X318+Y318+Z318+AA318+AB318+AC318</f>
        <v>0</v>
      </c>
      <c r="AE318" s="72">
        <v>0</v>
      </c>
      <c r="AF318" s="5"/>
      <c r="AG318" s="6"/>
      <c r="AH318" s="27" t="s">
        <v>3392</v>
      </c>
      <c r="AI318" s="44" t="s">
        <v>3393</v>
      </c>
      <c r="AJ318" s="26"/>
      <c r="AK318" s="5"/>
      <c r="AL318" s="82" t="s">
        <v>3169</v>
      </c>
      <c r="AM318" s="76"/>
      <c r="AN318" s="76"/>
      <c r="AO318" s="76"/>
      <c r="AP318" s="76"/>
      <c r="AQ318" s="76"/>
      <c r="AR318" s="76"/>
      <c r="AS318" s="76"/>
      <c r="AT318" s="76"/>
      <c r="AU318" s="76"/>
      <c r="AV318" s="76"/>
      <c r="AW318" s="76"/>
      <c r="AX318" s="76">
        <f>+AW318*600000</f>
        <v>0</v>
      </c>
      <c r="AY318" s="76"/>
      <c r="AZ318" s="76">
        <f>+AY318*70000</f>
        <v>0</v>
      </c>
      <c r="BA318" s="76"/>
      <c r="BB318" s="76"/>
      <c r="BC318" s="76"/>
      <c r="BD318" s="76">
        <f>+BC318*30000</f>
        <v>0</v>
      </c>
      <c r="BE318" s="76"/>
      <c r="BF318" s="76"/>
      <c r="BG318" s="76"/>
      <c r="BH318" s="76"/>
      <c r="BI318" s="76"/>
      <c r="BJ318" s="76"/>
      <c r="BK318" s="76"/>
      <c r="BL318" s="76">
        <f>+BK318*31500</f>
        <v>0</v>
      </c>
      <c r="BM318" s="76"/>
      <c r="BN318" s="76"/>
      <c r="BO318" s="76"/>
      <c r="BP318" s="76"/>
      <c r="BQ318" s="76"/>
      <c r="BR318" s="76"/>
      <c r="BS318" s="76"/>
      <c r="BT318" s="76"/>
      <c r="BU318" s="76"/>
      <c r="BV318" s="76"/>
      <c r="BW318" s="76"/>
      <c r="BX318" s="76"/>
      <c r="BY318" s="76"/>
      <c r="BZ318" s="76"/>
      <c r="CA318" s="76"/>
      <c r="CB318" s="76"/>
      <c r="CC318" s="76"/>
      <c r="CD318" s="76"/>
      <c r="CE318" s="76"/>
      <c r="CF318" s="76">
        <f>+CE318*28000</f>
        <v>0</v>
      </c>
      <c r="CG318" s="76"/>
      <c r="CH318" s="76">
        <f>+CG318*22500</f>
        <v>0</v>
      </c>
      <c r="CI318" s="76"/>
      <c r="CJ318" s="76">
        <f>+CI318*26000</f>
        <v>0</v>
      </c>
      <c r="CK318" s="76"/>
      <c r="CL318" s="76"/>
      <c r="CM318" s="76"/>
      <c r="CN318" s="76">
        <f>+CM318*22000</f>
        <v>0</v>
      </c>
      <c r="CO318" s="76"/>
      <c r="CP318" s="76">
        <f>+CO318*46000</f>
        <v>0</v>
      </c>
      <c r="CQ318" s="76"/>
      <c r="CR318" s="76">
        <f>+CQ318*49000</f>
        <v>0</v>
      </c>
      <c r="CS318" s="76"/>
      <c r="CT318" s="76"/>
      <c r="CU318" s="56">
        <f>AN318+AP318+AR318+AT318+AV318+AX318+AZ318+BB318+BD318+BF318+BH318+BJ318+BL318+BN318+BP318+BR318+BT318+BV318+BX318+BZ318+CB318+CD318+CF318+CH318+CJ318+CL318+CN318+CP318+CR318+CT318</f>
        <v>0</v>
      </c>
      <c r="CV318" s="76"/>
      <c r="CW318" s="76">
        <f>+CV318*1100</f>
        <v>0</v>
      </c>
      <c r="CX318" s="76"/>
      <c r="CY318" s="76">
        <f>+CX318*106250</f>
        <v>0</v>
      </c>
      <c r="CZ318" s="76"/>
      <c r="DA318" s="76">
        <f>+CZ318*34500</f>
        <v>0</v>
      </c>
      <c r="DB318" s="76"/>
      <c r="DC318" s="76">
        <f>+DB318*25000</f>
        <v>0</v>
      </c>
      <c r="DD318" s="219"/>
      <c r="DE318" s="219"/>
      <c r="DF318" s="164"/>
      <c r="DG318" s="116"/>
      <c r="DH318" s="117"/>
      <c r="DI318" s="24"/>
      <c r="DJ318" s="24"/>
      <c r="DK318" s="24"/>
      <c r="DL318" s="24"/>
      <c r="DM318" s="24"/>
      <c r="DN318" s="24"/>
      <c r="DO318" s="24"/>
      <c r="DP318" s="24"/>
      <c r="DQ318" s="24"/>
      <c r="DR318" s="24"/>
      <c r="DS318" s="24"/>
      <c r="DT318" s="24"/>
      <c r="DU318" s="24"/>
    </row>
    <row r="319" spans="1:125" s="8" customFormat="1" ht="72" x14ac:dyDescent="0.2">
      <c r="A319" s="77">
        <v>41295</v>
      </c>
      <c r="B319" s="84" t="s">
        <v>2772</v>
      </c>
      <c r="C319" s="84" t="s">
        <v>2829</v>
      </c>
      <c r="D319" s="81" t="s">
        <v>2846</v>
      </c>
      <c r="E319" s="75" t="str">
        <f>VLOOKUP(B319&amp;C319,Divipola!$C$2:$F$1138,4,FALSE)</f>
        <v>25372</v>
      </c>
      <c r="F319" s="89"/>
      <c r="G319" s="89"/>
      <c r="H319" s="89"/>
      <c r="I319" s="89"/>
      <c r="J319" s="89"/>
      <c r="K319" s="89"/>
      <c r="L319" s="89"/>
      <c r="M319" s="89"/>
      <c r="N319" s="89"/>
      <c r="O319" s="89"/>
      <c r="P319" s="89"/>
      <c r="Q319" s="89"/>
      <c r="R319" s="89"/>
      <c r="S319" s="89"/>
      <c r="T319" s="89"/>
      <c r="U319" s="126">
        <v>1</v>
      </c>
      <c r="V319" s="89"/>
      <c r="W319" s="96">
        <v>0</v>
      </c>
      <c r="X319" s="71">
        <f>CU319</f>
        <v>0</v>
      </c>
      <c r="Y319" s="71">
        <f>CY319</f>
        <v>0</v>
      </c>
      <c r="Z319" s="71">
        <f>DA319+DC319+DE319</f>
        <v>0</v>
      </c>
      <c r="AA319" s="71">
        <f>CW319</f>
        <v>0</v>
      </c>
      <c r="AB319" s="71"/>
      <c r="AC319" s="71">
        <v>0</v>
      </c>
      <c r="AD319" s="71">
        <f>W319+X319+Y319+Z319+AA319+AB319+AC319</f>
        <v>0</v>
      </c>
      <c r="AE319" s="72">
        <v>0</v>
      </c>
      <c r="AF319" s="5"/>
      <c r="AG319" s="6"/>
      <c r="AH319" s="27" t="s">
        <v>3392</v>
      </c>
      <c r="AI319" s="44" t="s">
        <v>3393</v>
      </c>
      <c r="AJ319" s="26"/>
      <c r="AK319" s="5"/>
      <c r="AL319" s="82" t="s">
        <v>3167</v>
      </c>
      <c r="AM319" s="76"/>
      <c r="AN319" s="76"/>
      <c r="AO319" s="76"/>
      <c r="AP319" s="76"/>
      <c r="AQ319" s="76"/>
      <c r="AR319" s="76"/>
      <c r="AS319" s="76"/>
      <c r="AT319" s="76"/>
      <c r="AU319" s="76"/>
      <c r="AV319" s="76"/>
      <c r="AW319" s="76"/>
      <c r="AX319" s="76">
        <f>+AW319*600000</f>
        <v>0</v>
      </c>
      <c r="AY319" s="76"/>
      <c r="AZ319" s="76">
        <f>+AY319*70000</f>
        <v>0</v>
      </c>
      <c r="BA319" s="76"/>
      <c r="BB319" s="76"/>
      <c r="BC319" s="76"/>
      <c r="BD319" s="76">
        <f>+BC319*30000</f>
        <v>0</v>
      </c>
      <c r="BE319" s="76"/>
      <c r="BF319" s="76"/>
      <c r="BG319" s="76"/>
      <c r="BH319" s="76"/>
      <c r="BI319" s="76"/>
      <c r="BJ319" s="76"/>
      <c r="BK319" s="76"/>
      <c r="BL319" s="76">
        <f>+BK319*31500</f>
        <v>0</v>
      </c>
      <c r="BM319" s="76"/>
      <c r="BN319" s="76"/>
      <c r="BO319" s="76"/>
      <c r="BP319" s="76"/>
      <c r="BQ319" s="76"/>
      <c r="BR319" s="76"/>
      <c r="BS319" s="76"/>
      <c r="BT319" s="76"/>
      <c r="BU319" s="76"/>
      <c r="BV319" s="76"/>
      <c r="BW319" s="76"/>
      <c r="BX319" s="76"/>
      <c r="BY319" s="76"/>
      <c r="BZ319" s="76"/>
      <c r="CA319" s="76"/>
      <c r="CB319" s="76"/>
      <c r="CC319" s="76"/>
      <c r="CD319" s="76"/>
      <c r="CE319" s="76"/>
      <c r="CF319" s="76">
        <f>+CE319*28000</f>
        <v>0</v>
      </c>
      <c r="CG319" s="76"/>
      <c r="CH319" s="76">
        <f>+CG319*22500</f>
        <v>0</v>
      </c>
      <c r="CI319" s="76"/>
      <c r="CJ319" s="76">
        <f>+CI319*26000</f>
        <v>0</v>
      </c>
      <c r="CK319" s="76"/>
      <c r="CL319" s="76"/>
      <c r="CM319" s="76"/>
      <c r="CN319" s="76">
        <f>+CM319*22000</f>
        <v>0</v>
      </c>
      <c r="CO319" s="76"/>
      <c r="CP319" s="76">
        <f>+CO319*46000</f>
        <v>0</v>
      </c>
      <c r="CQ319" s="76"/>
      <c r="CR319" s="76">
        <f>+CQ319*49000</f>
        <v>0</v>
      </c>
      <c r="CS319" s="76"/>
      <c r="CT319" s="76"/>
      <c r="CU319" s="56">
        <f>AN319+AP319+AR319+AT319+AV319+AX319+AZ319+BB319+BD319+BF319+BH319+BJ319+BL319+BN319+BP319+BR319+BT319+BV319+BX319+BZ319+CB319+CD319+CF319+CH319+CJ319+CL319+CN319+CP319+CR319+CT319</f>
        <v>0</v>
      </c>
      <c r="CV319" s="76"/>
      <c r="CW319" s="76">
        <f>+CV319*1100</f>
        <v>0</v>
      </c>
      <c r="CX319" s="76"/>
      <c r="CY319" s="76">
        <f>+CX319*106250</f>
        <v>0</v>
      </c>
      <c r="CZ319" s="76"/>
      <c r="DA319" s="76">
        <f>+CZ319*34500</f>
        <v>0</v>
      </c>
      <c r="DB319" s="76"/>
      <c r="DC319" s="76">
        <f>+DB319*25000</f>
        <v>0</v>
      </c>
      <c r="DD319" s="219"/>
      <c r="DE319" s="219"/>
      <c r="DF319" s="164"/>
      <c r="DG319" s="116"/>
      <c r="DH319" s="117"/>
      <c r="DI319" s="24"/>
      <c r="DJ319" s="24"/>
      <c r="DK319" s="24"/>
      <c r="DL319" s="24"/>
      <c r="DM319" s="24"/>
      <c r="DN319" s="24"/>
      <c r="DO319" s="24"/>
      <c r="DP319" s="24"/>
      <c r="DQ319" s="24"/>
      <c r="DR319" s="24"/>
      <c r="DS319" s="24"/>
      <c r="DT319" s="24"/>
      <c r="DU319" s="24"/>
    </row>
    <row r="320" spans="1:125" s="8" customFormat="1" ht="60" x14ac:dyDescent="0.2">
      <c r="A320" s="77">
        <v>41295</v>
      </c>
      <c r="B320" s="78" t="s">
        <v>2772</v>
      </c>
      <c r="C320" s="83" t="s">
        <v>2664</v>
      </c>
      <c r="D320" s="81" t="s">
        <v>2846</v>
      </c>
      <c r="E320" s="75" t="str">
        <f>VLOOKUP(B320&amp;C320,Divipola!$C$2:$F$1138,4,FALSE)</f>
        <v>25815</v>
      </c>
      <c r="F320" s="93"/>
      <c r="G320" s="93"/>
      <c r="H320" s="93"/>
      <c r="I320" s="93"/>
      <c r="J320" s="93"/>
      <c r="K320" s="93"/>
      <c r="L320" s="93"/>
      <c r="M320" s="93"/>
      <c r="N320" s="93"/>
      <c r="O320" s="93"/>
      <c r="P320" s="93"/>
      <c r="Q320" s="93"/>
      <c r="R320" s="93"/>
      <c r="S320" s="93"/>
      <c r="T320" s="93"/>
      <c r="U320" s="127">
        <v>1</v>
      </c>
      <c r="V320" s="89"/>
      <c r="W320" s="96">
        <v>0</v>
      </c>
      <c r="X320" s="71">
        <f>CU320</f>
        <v>0</v>
      </c>
      <c r="Y320" s="71">
        <f>CY320</f>
        <v>0</v>
      </c>
      <c r="Z320" s="71">
        <f>DA320+DC320+DE320</f>
        <v>0</v>
      </c>
      <c r="AA320" s="71">
        <f>CW320</f>
        <v>0</v>
      </c>
      <c r="AB320" s="71"/>
      <c r="AC320" s="71">
        <v>0</v>
      </c>
      <c r="AD320" s="71">
        <f>W320+X320+Y320+Z320+AA320+AB320+AC320</f>
        <v>0</v>
      </c>
      <c r="AE320" s="72">
        <v>0</v>
      </c>
      <c r="AF320" s="5"/>
      <c r="AG320" s="6"/>
      <c r="AH320" s="27" t="s">
        <v>3392</v>
      </c>
      <c r="AI320" s="44" t="s">
        <v>3393</v>
      </c>
      <c r="AJ320" s="26"/>
      <c r="AK320" s="5"/>
      <c r="AL320" s="82" t="s">
        <v>3166</v>
      </c>
      <c r="AM320" s="76"/>
      <c r="AN320" s="76"/>
      <c r="AO320" s="76"/>
      <c r="AP320" s="76"/>
      <c r="AQ320" s="76"/>
      <c r="AR320" s="76"/>
      <c r="AS320" s="76"/>
      <c r="AT320" s="76"/>
      <c r="AU320" s="76"/>
      <c r="AV320" s="76"/>
      <c r="AW320" s="76"/>
      <c r="AX320" s="76">
        <f>+AW320*600000</f>
        <v>0</v>
      </c>
      <c r="AY320" s="76"/>
      <c r="AZ320" s="76">
        <f>+AY320*70000</f>
        <v>0</v>
      </c>
      <c r="BA320" s="76"/>
      <c r="BB320" s="76"/>
      <c r="BC320" s="76"/>
      <c r="BD320" s="76">
        <f>+BC320*30000</f>
        <v>0</v>
      </c>
      <c r="BE320" s="76"/>
      <c r="BF320" s="76"/>
      <c r="BG320" s="76"/>
      <c r="BH320" s="76"/>
      <c r="BI320" s="76"/>
      <c r="BJ320" s="76"/>
      <c r="BK320" s="76"/>
      <c r="BL320" s="76">
        <f>+BK320*31500</f>
        <v>0</v>
      </c>
      <c r="BM320" s="76"/>
      <c r="BN320" s="76"/>
      <c r="BO320" s="76"/>
      <c r="BP320" s="76"/>
      <c r="BQ320" s="76"/>
      <c r="BR320" s="76"/>
      <c r="BS320" s="76"/>
      <c r="BT320" s="76"/>
      <c r="BU320" s="76"/>
      <c r="BV320" s="76"/>
      <c r="BW320" s="76"/>
      <c r="BX320" s="76"/>
      <c r="BY320" s="76"/>
      <c r="BZ320" s="76"/>
      <c r="CA320" s="76"/>
      <c r="CB320" s="76"/>
      <c r="CC320" s="76"/>
      <c r="CD320" s="76"/>
      <c r="CE320" s="76"/>
      <c r="CF320" s="76">
        <f>+CE320*28000</f>
        <v>0</v>
      </c>
      <c r="CG320" s="76"/>
      <c r="CH320" s="76">
        <f>+CG320*22500</f>
        <v>0</v>
      </c>
      <c r="CI320" s="76"/>
      <c r="CJ320" s="76">
        <f>+CI320*26000</f>
        <v>0</v>
      </c>
      <c r="CK320" s="76"/>
      <c r="CL320" s="76"/>
      <c r="CM320" s="76"/>
      <c r="CN320" s="76">
        <f>+CM320*22000</f>
        <v>0</v>
      </c>
      <c r="CO320" s="76"/>
      <c r="CP320" s="76">
        <f>+CO320*46000</f>
        <v>0</v>
      </c>
      <c r="CQ320" s="76"/>
      <c r="CR320" s="76">
        <f>+CQ320*49000</f>
        <v>0</v>
      </c>
      <c r="CS320" s="76"/>
      <c r="CT320" s="76"/>
      <c r="CU320" s="56">
        <f>AN320+AP320+AR320+AT320+AV320+AX320+AZ320+BB320+BD320+BF320+BH320+BJ320+BL320+BN320+BP320+BR320+BT320+BV320+BX320+BZ320+CB320+CD320+CF320+CH320+CJ320+CL320+CN320+CP320+CR320+CT320</f>
        <v>0</v>
      </c>
      <c r="CV320" s="76"/>
      <c r="CW320" s="76">
        <f>+CV320*1100</f>
        <v>0</v>
      </c>
      <c r="CX320" s="76"/>
      <c r="CY320" s="76">
        <f>+CX320*106250</f>
        <v>0</v>
      </c>
      <c r="CZ320" s="76"/>
      <c r="DA320" s="76">
        <f>+CZ320*34500</f>
        <v>0</v>
      </c>
      <c r="DB320" s="76"/>
      <c r="DC320" s="76">
        <f>+DB320*25000</f>
        <v>0</v>
      </c>
      <c r="DD320" s="219"/>
      <c r="DE320" s="219"/>
      <c r="DF320" s="164"/>
      <c r="DG320" s="116"/>
      <c r="DH320" s="117"/>
      <c r="DI320" s="24"/>
      <c r="DJ320" s="24"/>
      <c r="DK320" s="24"/>
      <c r="DL320" s="24"/>
      <c r="DM320" s="24"/>
      <c r="DN320" s="24"/>
      <c r="DO320" s="24"/>
      <c r="DP320" s="24"/>
      <c r="DQ320" s="24"/>
      <c r="DR320" s="24"/>
      <c r="DS320" s="24"/>
      <c r="DT320" s="24"/>
      <c r="DU320" s="24"/>
    </row>
    <row r="321" spans="1:125" s="8" customFormat="1" ht="36" x14ac:dyDescent="0.2">
      <c r="A321" s="77">
        <v>41295</v>
      </c>
      <c r="B321" s="78" t="s">
        <v>2661</v>
      </c>
      <c r="C321" s="75" t="s">
        <v>2169</v>
      </c>
      <c r="D321" s="75" t="s">
        <v>2859</v>
      </c>
      <c r="E321" s="75" t="str">
        <f>VLOOKUP(B321&amp;C321,Divipola!$C$2:$F$1138,4,FALSE)</f>
        <v>41001</v>
      </c>
      <c r="F321" s="153"/>
      <c r="G321" s="153"/>
      <c r="H321" s="153"/>
      <c r="I321" s="153"/>
      <c r="J321" s="153"/>
      <c r="K321" s="153"/>
      <c r="L321" s="153"/>
      <c r="M321" s="153"/>
      <c r="N321" s="153"/>
      <c r="O321" s="153"/>
      <c r="P321" s="153"/>
      <c r="Q321" s="153"/>
      <c r="R321" s="153"/>
      <c r="S321" s="153"/>
      <c r="T321" s="153"/>
      <c r="U321" s="154"/>
      <c r="V321" s="134"/>
      <c r="W321" s="96">
        <v>1500000</v>
      </c>
      <c r="X321" s="71">
        <f>CU321</f>
        <v>0</v>
      </c>
      <c r="Y321" s="71">
        <f>CY321</f>
        <v>0</v>
      </c>
      <c r="Z321" s="71">
        <f>DA321+DC321+DE321</f>
        <v>0</v>
      </c>
      <c r="AA321" s="71">
        <f>CW321</f>
        <v>0</v>
      </c>
      <c r="AB321" s="71"/>
      <c r="AC321" s="71">
        <v>0</v>
      </c>
      <c r="AD321" s="71">
        <f>W321+X321+Y321+Z321+AA321+AB321+AC321</f>
        <v>1500000</v>
      </c>
      <c r="AE321" s="72">
        <v>0</v>
      </c>
      <c r="AF321" s="5"/>
      <c r="AG321" s="6"/>
      <c r="AH321" s="27" t="s">
        <v>3390</v>
      </c>
      <c r="AI321" s="44" t="s">
        <v>3391</v>
      </c>
      <c r="AJ321" s="26"/>
      <c r="AK321" s="5"/>
      <c r="AL321" s="82" t="s">
        <v>3130</v>
      </c>
      <c r="AM321" s="76"/>
      <c r="AN321" s="76"/>
      <c r="AO321" s="76"/>
      <c r="AP321" s="76"/>
      <c r="AQ321" s="76"/>
      <c r="AR321" s="76"/>
      <c r="AS321" s="76"/>
      <c r="AT321" s="76"/>
      <c r="AU321" s="76"/>
      <c r="AV321" s="76"/>
      <c r="AW321" s="76"/>
      <c r="AX321" s="76">
        <f>+AW321*600000</f>
        <v>0</v>
      </c>
      <c r="AY321" s="76"/>
      <c r="AZ321" s="76">
        <f>+AY321*70000</f>
        <v>0</v>
      </c>
      <c r="BA321" s="76"/>
      <c r="BB321" s="76"/>
      <c r="BC321" s="76"/>
      <c r="BD321" s="76">
        <f>+BC321*30000</f>
        <v>0</v>
      </c>
      <c r="BE321" s="76"/>
      <c r="BF321" s="76"/>
      <c r="BG321" s="76"/>
      <c r="BH321" s="76"/>
      <c r="BI321" s="76"/>
      <c r="BJ321" s="76"/>
      <c r="BK321" s="76"/>
      <c r="BL321" s="76">
        <f>+BK321*31500</f>
        <v>0</v>
      </c>
      <c r="BM321" s="76"/>
      <c r="BN321" s="76"/>
      <c r="BO321" s="76"/>
      <c r="BP321" s="76"/>
      <c r="BQ321" s="76"/>
      <c r="BR321" s="76"/>
      <c r="BS321" s="76"/>
      <c r="BT321" s="76"/>
      <c r="BU321" s="76"/>
      <c r="BV321" s="76"/>
      <c r="BW321" s="76"/>
      <c r="BX321" s="76"/>
      <c r="BY321" s="76"/>
      <c r="BZ321" s="76"/>
      <c r="CA321" s="76"/>
      <c r="CB321" s="76"/>
      <c r="CC321" s="76"/>
      <c r="CD321" s="76"/>
      <c r="CE321" s="76"/>
      <c r="CF321" s="76">
        <f>+CE321*28000</f>
        <v>0</v>
      </c>
      <c r="CG321" s="76"/>
      <c r="CH321" s="76">
        <f>+CG321*22500</f>
        <v>0</v>
      </c>
      <c r="CI321" s="76"/>
      <c r="CJ321" s="76">
        <f>+CI321*26000</f>
        <v>0</v>
      </c>
      <c r="CK321" s="76"/>
      <c r="CL321" s="76"/>
      <c r="CM321" s="76"/>
      <c r="CN321" s="76">
        <f>+CM321*22000</f>
        <v>0</v>
      </c>
      <c r="CO321" s="76"/>
      <c r="CP321" s="76">
        <f>+CO321*46000</f>
        <v>0</v>
      </c>
      <c r="CQ321" s="76"/>
      <c r="CR321" s="76">
        <f>+CQ321*49000</f>
        <v>0</v>
      </c>
      <c r="CS321" s="76"/>
      <c r="CT321" s="76"/>
      <c r="CU321" s="56">
        <f>AN321+AP321+AR321+AT321+AV321+AX321+AZ321+BB321+BD321+BF321+BH321+BJ321+BL321+BN321+BP321+BR321+BT321+BV321+BX321+BZ321+CB321+CD321+CF321+CH321+CJ321+CL321+CN321+CP321+CR321+CT321</f>
        <v>0</v>
      </c>
      <c r="CV321" s="76"/>
      <c r="CW321" s="76">
        <f>+CV321*1100</f>
        <v>0</v>
      </c>
      <c r="CX321" s="76"/>
      <c r="CY321" s="76">
        <f>+CX321*106250</f>
        <v>0</v>
      </c>
      <c r="CZ321" s="76"/>
      <c r="DA321" s="76">
        <f>+CZ321*34500</f>
        <v>0</v>
      </c>
      <c r="DB321" s="76"/>
      <c r="DC321" s="76">
        <f>+DB321*25000</f>
        <v>0</v>
      </c>
      <c r="DD321" s="219"/>
      <c r="DE321" s="219"/>
      <c r="DF321" s="164"/>
      <c r="DG321" s="116"/>
      <c r="DH321" s="117"/>
      <c r="DI321" s="24"/>
      <c r="DJ321" s="24"/>
      <c r="DK321" s="24"/>
      <c r="DL321" s="24"/>
      <c r="DM321" s="24"/>
      <c r="DN321" s="24"/>
      <c r="DO321" s="24"/>
      <c r="DP321" s="24"/>
      <c r="DQ321" s="24"/>
      <c r="DR321" s="24"/>
      <c r="DS321" s="24"/>
      <c r="DT321" s="24"/>
      <c r="DU321" s="24"/>
    </row>
    <row r="322" spans="1:125" s="8" customFormat="1" ht="36" x14ac:dyDescent="0.2">
      <c r="A322" s="77">
        <v>41295</v>
      </c>
      <c r="B322" s="78" t="s">
        <v>2811</v>
      </c>
      <c r="C322" s="75" t="s">
        <v>1362</v>
      </c>
      <c r="D322" s="75" t="s">
        <v>3051</v>
      </c>
      <c r="E322" s="75" t="str">
        <f>VLOOKUP(B322&amp;C322,Divipola!$C$2:$F$1138,4,FALSE)</f>
        <v>52083</v>
      </c>
      <c r="F322" s="153"/>
      <c r="G322" s="153"/>
      <c r="H322" s="153"/>
      <c r="I322" s="153"/>
      <c r="J322" s="153"/>
      <c r="K322" s="153"/>
      <c r="L322" s="153"/>
      <c r="M322" s="153"/>
      <c r="N322" s="153"/>
      <c r="O322" s="153"/>
      <c r="P322" s="153"/>
      <c r="Q322" s="153"/>
      <c r="R322" s="153"/>
      <c r="S322" s="153"/>
      <c r="T322" s="153"/>
      <c r="U322" s="154"/>
      <c r="V322" s="134"/>
      <c r="W322" s="96">
        <v>8550000</v>
      </c>
      <c r="X322" s="71">
        <f>CU322</f>
        <v>0</v>
      </c>
      <c r="Y322" s="71">
        <f>CY322</f>
        <v>0</v>
      </c>
      <c r="Z322" s="71">
        <f>DA322+DC322+DE322</f>
        <v>0</v>
      </c>
      <c r="AA322" s="71">
        <f>CW322</f>
        <v>0</v>
      </c>
      <c r="AB322" s="71"/>
      <c r="AC322" s="71">
        <v>0</v>
      </c>
      <c r="AD322" s="71">
        <f>W322+X322+Y322+Z322+AA322+AB322+AC322</f>
        <v>8550000</v>
      </c>
      <c r="AE322" s="72">
        <v>0</v>
      </c>
      <c r="AF322" s="5"/>
      <c r="AG322" s="6"/>
      <c r="AH322" s="27" t="s">
        <v>3390</v>
      </c>
      <c r="AI322" s="44" t="s">
        <v>3391</v>
      </c>
      <c r="AJ322" s="26"/>
      <c r="AK322" s="5"/>
      <c r="AL322" s="82" t="s">
        <v>3127</v>
      </c>
      <c r="AM322" s="76"/>
      <c r="AN322" s="76"/>
      <c r="AO322" s="76"/>
      <c r="AP322" s="76"/>
      <c r="AQ322" s="76"/>
      <c r="AR322" s="76"/>
      <c r="AS322" s="76"/>
      <c r="AT322" s="76"/>
      <c r="AU322" s="76"/>
      <c r="AV322" s="76"/>
      <c r="AW322" s="76"/>
      <c r="AX322" s="76">
        <f>+AW322*600000</f>
        <v>0</v>
      </c>
      <c r="AY322" s="76"/>
      <c r="AZ322" s="76">
        <f>+AY322*70000</f>
        <v>0</v>
      </c>
      <c r="BA322" s="76"/>
      <c r="BB322" s="76"/>
      <c r="BC322" s="76"/>
      <c r="BD322" s="76">
        <f>+BC322*30000</f>
        <v>0</v>
      </c>
      <c r="BE322" s="76"/>
      <c r="BF322" s="76"/>
      <c r="BG322" s="76"/>
      <c r="BH322" s="76"/>
      <c r="BI322" s="76"/>
      <c r="BJ322" s="76"/>
      <c r="BK322" s="76"/>
      <c r="BL322" s="76">
        <f>+BK322*31500</f>
        <v>0</v>
      </c>
      <c r="BM322" s="76"/>
      <c r="BN322" s="76"/>
      <c r="BO322" s="76"/>
      <c r="BP322" s="76"/>
      <c r="BQ322" s="76"/>
      <c r="BR322" s="76"/>
      <c r="BS322" s="76"/>
      <c r="BT322" s="76"/>
      <c r="BU322" s="76"/>
      <c r="BV322" s="76"/>
      <c r="BW322" s="76"/>
      <c r="BX322" s="76"/>
      <c r="BY322" s="76"/>
      <c r="BZ322" s="76"/>
      <c r="CA322" s="76"/>
      <c r="CB322" s="76"/>
      <c r="CC322" s="76"/>
      <c r="CD322" s="76"/>
      <c r="CE322" s="76"/>
      <c r="CF322" s="76">
        <f>+CE322*28000</f>
        <v>0</v>
      </c>
      <c r="CG322" s="76"/>
      <c r="CH322" s="76">
        <f>+CG322*22500</f>
        <v>0</v>
      </c>
      <c r="CI322" s="76"/>
      <c r="CJ322" s="76">
        <f>+CI322*26000</f>
        <v>0</v>
      </c>
      <c r="CK322" s="76"/>
      <c r="CL322" s="76"/>
      <c r="CM322" s="76"/>
      <c r="CN322" s="76">
        <f>+CM322*22000</f>
        <v>0</v>
      </c>
      <c r="CO322" s="76"/>
      <c r="CP322" s="76">
        <f>+CO322*46000</f>
        <v>0</v>
      </c>
      <c r="CQ322" s="76"/>
      <c r="CR322" s="76">
        <f>+CQ322*49000</f>
        <v>0</v>
      </c>
      <c r="CS322" s="76"/>
      <c r="CT322" s="76"/>
      <c r="CU322" s="56">
        <f>AN322+AP322+AR322+AT322+AV322+AX322+AZ322+BB322+BD322+BF322+BH322+BJ322+BL322+BN322+BP322+BR322+BT322+BV322+BX322+BZ322+CB322+CD322+CF322+CH322+CJ322+CL322+CN322+CP322+CR322+CT322</f>
        <v>0</v>
      </c>
      <c r="CV322" s="76"/>
      <c r="CW322" s="76">
        <f>+CV322*1100</f>
        <v>0</v>
      </c>
      <c r="CX322" s="76"/>
      <c r="CY322" s="76">
        <f>+CX322*106250</f>
        <v>0</v>
      </c>
      <c r="CZ322" s="76"/>
      <c r="DA322" s="76">
        <f>+CZ322*34500</f>
        <v>0</v>
      </c>
      <c r="DB322" s="76"/>
      <c r="DC322" s="76">
        <f>+DB322*25000</f>
        <v>0</v>
      </c>
      <c r="DD322" s="219"/>
      <c r="DE322" s="219"/>
      <c r="DF322" s="164"/>
      <c r="DG322" s="116"/>
      <c r="DH322" s="117"/>
      <c r="DI322" s="24"/>
      <c r="DJ322" s="24"/>
      <c r="DK322" s="24"/>
      <c r="DL322" s="24"/>
      <c r="DM322" s="24"/>
      <c r="DN322" s="24"/>
      <c r="DO322" s="24"/>
      <c r="DP322" s="24"/>
      <c r="DQ322" s="24"/>
      <c r="DR322" s="24"/>
      <c r="DS322" s="24"/>
      <c r="DT322" s="24"/>
      <c r="DU322" s="24"/>
    </row>
    <row r="323" spans="1:125" s="8" customFormat="1" ht="36" x14ac:dyDescent="0.2">
      <c r="A323" s="77">
        <v>41295</v>
      </c>
      <c r="B323" s="78" t="s">
        <v>2811</v>
      </c>
      <c r="C323" s="75" t="s">
        <v>170</v>
      </c>
      <c r="D323" s="75" t="s">
        <v>3051</v>
      </c>
      <c r="E323" s="75" t="str">
        <f>VLOOKUP(B323&amp;C323,Divipola!$C$2:$F$1138,4,FALSE)</f>
        <v>52378</v>
      </c>
      <c r="F323" s="153"/>
      <c r="G323" s="153"/>
      <c r="H323" s="153"/>
      <c r="I323" s="153"/>
      <c r="J323" s="153"/>
      <c r="K323" s="153"/>
      <c r="L323" s="153"/>
      <c r="M323" s="153"/>
      <c r="N323" s="153"/>
      <c r="O323" s="153"/>
      <c r="P323" s="153"/>
      <c r="Q323" s="153"/>
      <c r="R323" s="153"/>
      <c r="S323" s="153"/>
      <c r="T323" s="153"/>
      <c r="U323" s="154"/>
      <c r="V323" s="134"/>
      <c r="W323" s="96">
        <v>147150000</v>
      </c>
      <c r="X323" s="71">
        <f>CU323</f>
        <v>0</v>
      </c>
      <c r="Y323" s="71">
        <f>CY323</f>
        <v>0</v>
      </c>
      <c r="Z323" s="71">
        <f>DA323+DC323+DE323</f>
        <v>0</v>
      </c>
      <c r="AA323" s="71">
        <f>CW323</f>
        <v>0</v>
      </c>
      <c r="AB323" s="71"/>
      <c r="AC323" s="71">
        <v>0</v>
      </c>
      <c r="AD323" s="71">
        <f>W323+X323+Y323+Z323+AA323+AB323+AC323</f>
        <v>147150000</v>
      </c>
      <c r="AE323" s="72">
        <v>0</v>
      </c>
      <c r="AF323" s="5"/>
      <c r="AG323" s="6"/>
      <c r="AH323" s="27" t="s">
        <v>3390</v>
      </c>
      <c r="AI323" s="44" t="s">
        <v>3391</v>
      </c>
      <c r="AJ323" s="26"/>
      <c r="AK323" s="5"/>
      <c r="AL323" s="82" t="s">
        <v>3129</v>
      </c>
      <c r="AM323" s="76"/>
      <c r="AN323" s="76"/>
      <c r="AO323" s="76"/>
      <c r="AP323" s="76"/>
      <c r="AQ323" s="76"/>
      <c r="AR323" s="76"/>
      <c r="AS323" s="76"/>
      <c r="AT323" s="76"/>
      <c r="AU323" s="76"/>
      <c r="AV323" s="76"/>
      <c r="AW323" s="76"/>
      <c r="AX323" s="76">
        <f>+AW323*600000</f>
        <v>0</v>
      </c>
      <c r="AY323" s="76"/>
      <c r="AZ323" s="76">
        <f>+AY323*70000</f>
        <v>0</v>
      </c>
      <c r="BA323" s="76"/>
      <c r="BB323" s="76"/>
      <c r="BC323" s="76"/>
      <c r="BD323" s="76">
        <f>+BC323*30000</f>
        <v>0</v>
      </c>
      <c r="BE323" s="76"/>
      <c r="BF323" s="76"/>
      <c r="BG323" s="76"/>
      <c r="BH323" s="76"/>
      <c r="BI323" s="76"/>
      <c r="BJ323" s="76"/>
      <c r="BK323" s="76"/>
      <c r="BL323" s="76">
        <f>+BK323*31500</f>
        <v>0</v>
      </c>
      <c r="BM323" s="76"/>
      <c r="BN323" s="76"/>
      <c r="BO323" s="76"/>
      <c r="BP323" s="76"/>
      <c r="BQ323" s="76"/>
      <c r="BR323" s="76"/>
      <c r="BS323" s="76"/>
      <c r="BT323" s="76"/>
      <c r="BU323" s="76"/>
      <c r="BV323" s="76"/>
      <c r="BW323" s="76"/>
      <c r="BX323" s="76"/>
      <c r="BY323" s="76"/>
      <c r="BZ323" s="76"/>
      <c r="CA323" s="76"/>
      <c r="CB323" s="76"/>
      <c r="CC323" s="76"/>
      <c r="CD323" s="76"/>
      <c r="CE323" s="76"/>
      <c r="CF323" s="76">
        <f>+CE323*28000</f>
        <v>0</v>
      </c>
      <c r="CG323" s="76"/>
      <c r="CH323" s="76">
        <f>+CG323*22500</f>
        <v>0</v>
      </c>
      <c r="CI323" s="76"/>
      <c r="CJ323" s="76">
        <f>+CI323*26000</f>
        <v>0</v>
      </c>
      <c r="CK323" s="76"/>
      <c r="CL323" s="76"/>
      <c r="CM323" s="76"/>
      <c r="CN323" s="76">
        <f>+CM323*22000</f>
        <v>0</v>
      </c>
      <c r="CO323" s="76"/>
      <c r="CP323" s="76">
        <f>+CO323*46000</f>
        <v>0</v>
      </c>
      <c r="CQ323" s="76"/>
      <c r="CR323" s="76">
        <f>+CQ323*49000</f>
        <v>0</v>
      </c>
      <c r="CS323" s="76"/>
      <c r="CT323" s="76"/>
      <c r="CU323" s="56">
        <f>AN323+AP323+AR323+AT323+AV323+AX323+AZ323+BB323+BD323+BF323+BH323+BJ323+BL323+BN323+BP323+BR323+BT323+BV323+BX323+BZ323+CB323+CD323+CF323+CH323+CJ323+CL323+CN323+CP323+CR323+CT323</f>
        <v>0</v>
      </c>
      <c r="CV323" s="76"/>
      <c r="CW323" s="76">
        <f>+CV323*1100</f>
        <v>0</v>
      </c>
      <c r="CX323" s="76"/>
      <c r="CY323" s="76">
        <f>+CX323*106250</f>
        <v>0</v>
      </c>
      <c r="CZ323" s="76"/>
      <c r="DA323" s="76">
        <f>+CZ323*34500</f>
        <v>0</v>
      </c>
      <c r="DB323" s="76"/>
      <c r="DC323" s="76">
        <f>+DB323*25000</f>
        <v>0</v>
      </c>
      <c r="DD323" s="219"/>
      <c r="DE323" s="219"/>
      <c r="DF323" s="164"/>
      <c r="DG323" s="116"/>
      <c r="DH323" s="117"/>
      <c r="DI323" s="24"/>
      <c r="DJ323" s="24"/>
      <c r="DK323" s="24"/>
      <c r="DL323" s="24"/>
      <c r="DM323" s="24"/>
      <c r="DN323" s="24"/>
      <c r="DO323" s="24"/>
      <c r="DP323" s="24"/>
      <c r="DQ323" s="24"/>
      <c r="DR323" s="24"/>
      <c r="DS323" s="24"/>
      <c r="DT323" s="24"/>
      <c r="DU323" s="24"/>
    </row>
    <row r="324" spans="1:125" s="8" customFormat="1" ht="108" x14ac:dyDescent="0.2">
      <c r="A324" s="77">
        <v>41295</v>
      </c>
      <c r="B324" s="225" t="s">
        <v>2847</v>
      </c>
      <c r="C324" s="227" t="s">
        <v>2695</v>
      </c>
      <c r="D324" s="81" t="s">
        <v>2846</v>
      </c>
      <c r="E324" s="75" t="str">
        <f>VLOOKUP(B324&amp;C324,Divipola!$C$2:$F$1138,4,FALSE)</f>
        <v>68092</v>
      </c>
      <c r="F324" s="87"/>
      <c r="G324" s="87"/>
      <c r="H324" s="87"/>
      <c r="I324" s="87"/>
      <c r="J324" s="87"/>
      <c r="K324" s="87"/>
      <c r="L324" s="87"/>
      <c r="M324" s="87"/>
      <c r="N324" s="87"/>
      <c r="O324" s="87"/>
      <c r="P324" s="87"/>
      <c r="Q324" s="87"/>
      <c r="R324" s="87"/>
      <c r="S324" s="87"/>
      <c r="T324" s="87"/>
      <c r="U324" s="127">
        <v>12</v>
      </c>
      <c r="V324" s="89"/>
      <c r="W324" s="96">
        <v>0</v>
      </c>
      <c r="X324" s="71">
        <f>CU324</f>
        <v>0</v>
      </c>
      <c r="Y324" s="71">
        <f>CY324</f>
        <v>0</v>
      </c>
      <c r="Z324" s="71">
        <f>DA324+DC324+DE324</f>
        <v>0</v>
      </c>
      <c r="AA324" s="71">
        <f>CW324</f>
        <v>0</v>
      </c>
      <c r="AB324" s="71"/>
      <c r="AC324" s="71">
        <v>0</v>
      </c>
      <c r="AD324" s="71">
        <f>W324+X324+Y324+Z324+AA324+AB324+AC324</f>
        <v>0</v>
      </c>
      <c r="AE324" s="72">
        <v>0</v>
      </c>
      <c r="AF324" s="5"/>
      <c r="AG324" s="6"/>
      <c r="AH324" s="27" t="s">
        <v>3392</v>
      </c>
      <c r="AI324" s="44" t="s">
        <v>3393</v>
      </c>
      <c r="AJ324" s="26"/>
      <c r="AK324" s="5"/>
      <c r="AL324" s="82" t="s">
        <v>3162</v>
      </c>
      <c r="AM324" s="76"/>
      <c r="AN324" s="76"/>
      <c r="AO324" s="76"/>
      <c r="AP324" s="76"/>
      <c r="AQ324" s="76"/>
      <c r="AR324" s="76"/>
      <c r="AS324" s="76"/>
      <c r="AT324" s="76"/>
      <c r="AU324" s="76"/>
      <c r="AV324" s="76"/>
      <c r="AW324" s="76"/>
      <c r="AX324" s="76">
        <f>+AW324*600000</f>
        <v>0</v>
      </c>
      <c r="AY324" s="76"/>
      <c r="AZ324" s="76">
        <f>+AY324*70000</f>
        <v>0</v>
      </c>
      <c r="BA324" s="76"/>
      <c r="BB324" s="76"/>
      <c r="BC324" s="76"/>
      <c r="BD324" s="76">
        <f>+BC324*30000</f>
        <v>0</v>
      </c>
      <c r="BE324" s="76"/>
      <c r="BF324" s="76"/>
      <c r="BG324" s="76"/>
      <c r="BH324" s="76"/>
      <c r="BI324" s="76"/>
      <c r="BJ324" s="76"/>
      <c r="BK324" s="76"/>
      <c r="BL324" s="76">
        <f>+BK324*31500</f>
        <v>0</v>
      </c>
      <c r="BM324" s="76"/>
      <c r="BN324" s="76"/>
      <c r="BO324" s="76"/>
      <c r="BP324" s="76"/>
      <c r="BQ324" s="76"/>
      <c r="BR324" s="76"/>
      <c r="BS324" s="76"/>
      <c r="BT324" s="76"/>
      <c r="BU324" s="76"/>
      <c r="BV324" s="76"/>
      <c r="BW324" s="76"/>
      <c r="BX324" s="76"/>
      <c r="BY324" s="76"/>
      <c r="BZ324" s="76"/>
      <c r="CA324" s="76"/>
      <c r="CB324" s="76"/>
      <c r="CC324" s="76"/>
      <c r="CD324" s="76"/>
      <c r="CE324" s="76"/>
      <c r="CF324" s="76">
        <f>+CE324*28000</f>
        <v>0</v>
      </c>
      <c r="CG324" s="76"/>
      <c r="CH324" s="76">
        <f>+CG324*22500</f>
        <v>0</v>
      </c>
      <c r="CI324" s="76"/>
      <c r="CJ324" s="76">
        <f>+CI324*26000</f>
        <v>0</v>
      </c>
      <c r="CK324" s="76"/>
      <c r="CL324" s="76"/>
      <c r="CM324" s="76"/>
      <c r="CN324" s="76">
        <f>+CM324*22000</f>
        <v>0</v>
      </c>
      <c r="CO324" s="76"/>
      <c r="CP324" s="76">
        <f>+CO324*46000</f>
        <v>0</v>
      </c>
      <c r="CQ324" s="76"/>
      <c r="CR324" s="76">
        <f>+CQ324*49000</f>
        <v>0</v>
      </c>
      <c r="CS324" s="76"/>
      <c r="CT324" s="76"/>
      <c r="CU324" s="56">
        <f>AN324+AP324+AR324+AT324+AV324+AX324+AZ324+BB324+BD324+BF324+BH324+BJ324+BL324+BN324+BP324+BR324+BT324+BV324+BX324+BZ324+CB324+CD324+CF324+CH324+CJ324+CL324+CN324+CP324+CR324+CT324</f>
        <v>0</v>
      </c>
      <c r="CV324" s="76"/>
      <c r="CW324" s="76">
        <f>+CV324*1100</f>
        <v>0</v>
      </c>
      <c r="CX324" s="76"/>
      <c r="CY324" s="76">
        <f>+CX324*106250</f>
        <v>0</v>
      </c>
      <c r="CZ324" s="76"/>
      <c r="DA324" s="76">
        <f>+CZ324*34500</f>
        <v>0</v>
      </c>
      <c r="DB324" s="76"/>
      <c r="DC324" s="76">
        <f>+DB324*25000</f>
        <v>0</v>
      </c>
      <c r="DD324" s="219"/>
      <c r="DE324" s="219"/>
      <c r="DF324" s="164"/>
      <c r="DG324" s="116"/>
      <c r="DH324" s="117"/>
      <c r="DI324" s="24"/>
      <c r="DJ324" s="24"/>
      <c r="DK324" s="24"/>
      <c r="DL324" s="24"/>
      <c r="DM324" s="24"/>
      <c r="DN324" s="24"/>
      <c r="DO324" s="24"/>
      <c r="DP324" s="24"/>
      <c r="DQ324" s="24"/>
      <c r="DR324" s="24"/>
      <c r="DS324" s="24"/>
      <c r="DT324" s="24"/>
      <c r="DU324" s="24"/>
    </row>
    <row r="325" spans="1:125" s="8" customFormat="1" ht="60" x14ac:dyDescent="0.2">
      <c r="A325" s="353">
        <v>41295</v>
      </c>
      <c r="B325" s="352" t="s">
        <v>2847</v>
      </c>
      <c r="C325" s="354" t="s">
        <v>2695</v>
      </c>
      <c r="D325" s="81" t="s">
        <v>2846</v>
      </c>
      <c r="E325" s="75" t="str">
        <f>VLOOKUP(B325&amp;C325,Divipola!$C$2:$F$1138,4,FALSE)</f>
        <v>68092</v>
      </c>
      <c r="F325" s="87"/>
      <c r="G325" s="87"/>
      <c r="H325" s="87"/>
      <c r="I325" s="87"/>
      <c r="J325" s="87"/>
      <c r="K325" s="87"/>
      <c r="L325" s="87"/>
      <c r="M325" s="87"/>
      <c r="N325" s="87"/>
      <c r="O325" s="87"/>
      <c r="P325" s="87"/>
      <c r="Q325" s="87"/>
      <c r="R325" s="87"/>
      <c r="S325" s="87"/>
      <c r="T325" s="87"/>
      <c r="U325" s="127">
        <v>3</v>
      </c>
      <c r="V325" s="89"/>
      <c r="W325" s="96">
        <v>0</v>
      </c>
      <c r="X325" s="71">
        <f>CU325</f>
        <v>0</v>
      </c>
      <c r="Y325" s="71">
        <f>CY325</f>
        <v>0</v>
      </c>
      <c r="Z325" s="71">
        <f>DA325+DC325+DE325</f>
        <v>0</v>
      </c>
      <c r="AA325" s="71">
        <f>CW325</f>
        <v>0</v>
      </c>
      <c r="AB325" s="71"/>
      <c r="AC325" s="71">
        <v>0</v>
      </c>
      <c r="AD325" s="71">
        <f>W325+X325+Y325+Z325+AA325+AB325+AC325</f>
        <v>0</v>
      </c>
      <c r="AE325" s="72">
        <v>0</v>
      </c>
      <c r="AF325" s="5"/>
      <c r="AG325" s="6"/>
      <c r="AH325" s="27" t="s">
        <v>3392</v>
      </c>
      <c r="AI325" s="44" t="s">
        <v>3393</v>
      </c>
      <c r="AJ325" s="26"/>
      <c r="AK325" s="5"/>
      <c r="AL325" s="82" t="s">
        <v>3174</v>
      </c>
      <c r="AM325" s="76"/>
      <c r="AN325" s="76"/>
      <c r="AO325" s="76"/>
      <c r="AP325" s="76"/>
      <c r="AQ325" s="76"/>
      <c r="AR325" s="76"/>
      <c r="AS325" s="76"/>
      <c r="AT325" s="76"/>
      <c r="AU325" s="76"/>
      <c r="AV325" s="76"/>
      <c r="AW325" s="76"/>
      <c r="AX325" s="76">
        <f>+AW325*600000</f>
        <v>0</v>
      </c>
      <c r="AY325" s="76"/>
      <c r="AZ325" s="76">
        <f>+AY325*70000</f>
        <v>0</v>
      </c>
      <c r="BA325" s="76"/>
      <c r="BB325" s="76"/>
      <c r="BC325" s="76"/>
      <c r="BD325" s="76">
        <f>+BC325*30000</f>
        <v>0</v>
      </c>
      <c r="BE325" s="76"/>
      <c r="BF325" s="76"/>
      <c r="BG325" s="76"/>
      <c r="BH325" s="76"/>
      <c r="BI325" s="76"/>
      <c r="BJ325" s="76"/>
      <c r="BK325" s="76"/>
      <c r="BL325" s="76">
        <f>+BK325*31500</f>
        <v>0</v>
      </c>
      <c r="BM325" s="76"/>
      <c r="BN325" s="76"/>
      <c r="BO325" s="76"/>
      <c r="BP325" s="76"/>
      <c r="BQ325" s="76"/>
      <c r="BR325" s="76"/>
      <c r="BS325" s="76"/>
      <c r="BT325" s="76"/>
      <c r="BU325" s="76"/>
      <c r="BV325" s="76"/>
      <c r="BW325" s="76"/>
      <c r="BX325" s="76"/>
      <c r="BY325" s="76"/>
      <c r="BZ325" s="76"/>
      <c r="CA325" s="76"/>
      <c r="CB325" s="76"/>
      <c r="CC325" s="76"/>
      <c r="CD325" s="76"/>
      <c r="CE325" s="76"/>
      <c r="CF325" s="76">
        <f>+CE325*28000</f>
        <v>0</v>
      </c>
      <c r="CG325" s="76"/>
      <c r="CH325" s="76">
        <f>+CG325*22500</f>
        <v>0</v>
      </c>
      <c r="CI325" s="76"/>
      <c r="CJ325" s="76">
        <f>+CI325*26000</f>
        <v>0</v>
      </c>
      <c r="CK325" s="76"/>
      <c r="CL325" s="76"/>
      <c r="CM325" s="76"/>
      <c r="CN325" s="76">
        <f>+CM325*22000</f>
        <v>0</v>
      </c>
      <c r="CO325" s="76"/>
      <c r="CP325" s="76">
        <f>+CO325*46000</f>
        <v>0</v>
      </c>
      <c r="CQ325" s="76"/>
      <c r="CR325" s="76">
        <f>+CQ325*49000</f>
        <v>0</v>
      </c>
      <c r="CS325" s="76"/>
      <c r="CT325" s="76"/>
      <c r="CU325" s="56">
        <f>AN325+AP325+AR325+AT325+AV325+AX325+AZ325+BB325+BD325+BF325+BH325+BJ325+BL325+BN325+BP325+BR325+BT325+BV325+BX325+BZ325+CB325+CD325+CF325+CH325+CJ325+CL325+CN325+CP325+CR325+CT325</f>
        <v>0</v>
      </c>
      <c r="CV325" s="76"/>
      <c r="CW325" s="76">
        <f>+CV325*1100</f>
        <v>0</v>
      </c>
      <c r="CX325" s="76"/>
      <c r="CY325" s="76">
        <f>+CX325*106250</f>
        <v>0</v>
      </c>
      <c r="CZ325" s="76"/>
      <c r="DA325" s="76">
        <f>+CZ325*34500</f>
        <v>0</v>
      </c>
      <c r="DB325" s="76"/>
      <c r="DC325" s="76">
        <f>+DB325*25000</f>
        <v>0</v>
      </c>
      <c r="DD325" s="219"/>
      <c r="DE325" s="219"/>
      <c r="DF325" s="164"/>
      <c r="DG325" s="116"/>
      <c r="DH325" s="117"/>
      <c r="DI325" s="24"/>
      <c r="DJ325" s="24"/>
      <c r="DK325" s="24"/>
      <c r="DL325" s="24"/>
      <c r="DM325" s="24"/>
      <c r="DN325" s="24"/>
      <c r="DO325" s="24"/>
      <c r="DP325" s="24"/>
      <c r="DQ325" s="24"/>
      <c r="DR325" s="24"/>
      <c r="DS325" s="24"/>
      <c r="DT325" s="24"/>
      <c r="DU325" s="24"/>
    </row>
    <row r="326" spans="1:125" s="8" customFormat="1" ht="72" x14ac:dyDescent="0.2">
      <c r="A326" s="226">
        <v>41295</v>
      </c>
      <c r="B326" s="225" t="s">
        <v>2847</v>
      </c>
      <c r="C326" s="227" t="s">
        <v>2673</v>
      </c>
      <c r="D326" s="227" t="s">
        <v>2859</v>
      </c>
      <c r="E326" s="75" t="str">
        <f>VLOOKUP(B326&amp;C326,Divipola!$C$2:$F$1138,4,FALSE)</f>
        <v>68001</v>
      </c>
      <c r="F326" s="87"/>
      <c r="G326" s="87"/>
      <c r="H326" s="87"/>
      <c r="I326" s="87">
        <v>5</v>
      </c>
      <c r="J326" s="87">
        <v>1</v>
      </c>
      <c r="K326" s="87"/>
      <c r="L326" s="87">
        <v>1</v>
      </c>
      <c r="M326" s="87"/>
      <c r="N326" s="87"/>
      <c r="O326" s="87"/>
      <c r="P326" s="87"/>
      <c r="Q326" s="87"/>
      <c r="R326" s="87"/>
      <c r="S326" s="87"/>
      <c r="T326" s="87"/>
      <c r="U326" s="127"/>
      <c r="V326" s="89"/>
      <c r="W326" s="96">
        <v>0</v>
      </c>
      <c r="X326" s="71">
        <f>CU326</f>
        <v>0</v>
      </c>
      <c r="Y326" s="71">
        <f>CY326</f>
        <v>0</v>
      </c>
      <c r="Z326" s="71">
        <f>DA326+DC326+DE326</f>
        <v>0</v>
      </c>
      <c r="AA326" s="71">
        <f>CW326</f>
        <v>0</v>
      </c>
      <c r="AB326" s="71"/>
      <c r="AC326" s="71">
        <v>0</v>
      </c>
      <c r="AD326" s="71">
        <f>W326+X326+Y326+Z326+AA326+AB326+AC326</f>
        <v>0</v>
      </c>
      <c r="AE326" s="72">
        <v>0</v>
      </c>
      <c r="AF326" s="5"/>
      <c r="AG326" s="6"/>
      <c r="AH326" s="27" t="s">
        <v>3392</v>
      </c>
      <c r="AI326" s="44" t="s">
        <v>3393</v>
      </c>
      <c r="AJ326" s="26"/>
      <c r="AK326" s="5"/>
      <c r="AL326" s="82" t="s">
        <v>3173</v>
      </c>
      <c r="AM326" s="76"/>
      <c r="AN326" s="76"/>
      <c r="AO326" s="76"/>
      <c r="AP326" s="76"/>
      <c r="AQ326" s="76"/>
      <c r="AR326" s="76"/>
      <c r="AS326" s="76"/>
      <c r="AT326" s="76"/>
      <c r="AU326" s="76"/>
      <c r="AV326" s="76"/>
      <c r="AW326" s="76"/>
      <c r="AX326" s="76">
        <f>+AW326*600000</f>
        <v>0</v>
      </c>
      <c r="AY326" s="76"/>
      <c r="AZ326" s="76">
        <f>+AY326*70000</f>
        <v>0</v>
      </c>
      <c r="BA326" s="76"/>
      <c r="BB326" s="76"/>
      <c r="BC326" s="76"/>
      <c r="BD326" s="76">
        <f>+BC326*30000</f>
        <v>0</v>
      </c>
      <c r="BE326" s="76"/>
      <c r="BF326" s="76"/>
      <c r="BG326" s="76"/>
      <c r="BH326" s="76"/>
      <c r="BI326" s="76"/>
      <c r="BJ326" s="76"/>
      <c r="BK326" s="76"/>
      <c r="BL326" s="76">
        <f>+BK326*31500</f>
        <v>0</v>
      </c>
      <c r="BM326" s="76"/>
      <c r="BN326" s="76"/>
      <c r="BO326" s="76"/>
      <c r="BP326" s="76"/>
      <c r="BQ326" s="76"/>
      <c r="BR326" s="76"/>
      <c r="BS326" s="76"/>
      <c r="BT326" s="76"/>
      <c r="BU326" s="76"/>
      <c r="BV326" s="76"/>
      <c r="BW326" s="76"/>
      <c r="BX326" s="76"/>
      <c r="BY326" s="76"/>
      <c r="BZ326" s="76"/>
      <c r="CA326" s="76"/>
      <c r="CB326" s="76"/>
      <c r="CC326" s="76"/>
      <c r="CD326" s="76"/>
      <c r="CE326" s="76"/>
      <c r="CF326" s="76">
        <f>+CE326*28000</f>
        <v>0</v>
      </c>
      <c r="CG326" s="76"/>
      <c r="CH326" s="76">
        <f>+CG326*22500</f>
        <v>0</v>
      </c>
      <c r="CI326" s="76"/>
      <c r="CJ326" s="76">
        <f>+CI326*26000</f>
        <v>0</v>
      </c>
      <c r="CK326" s="76"/>
      <c r="CL326" s="76"/>
      <c r="CM326" s="76"/>
      <c r="CN326" s="76">
        <f>+CM326*22000</f>
        <v>0</v>
      </c>
      <c r="CO326" s="76"/>
      <c r="CP326" s="76">
        <f>+CO326*46000</f>
        <v>0</v>
      </c>
      <c r="CQ326" s="76"/>
      <c r="CR326" s="76">
        <f>+CQ326*49000</f>
        <v>0</v>
      </c>
      <c r="CS326" s="76"/>
      <c r="CT326" s="76"/>
      <c r="CU326" s="56">
        <f>AN326+AP326+AR326+AT326+AV326+AX326+AZ326+BB326+BD326+BF326+BH326+BJ326+BL326+BN326+BP326+BR326+BT326+BV326+BX326+BZ326+CB326+CD326+CF326+CH326+CJ326+CL326+CN326+CP326+CR326+CT326</f>
        <v>0</v>
      </c>
      <c r="CV326" s="76"/>
      <c r="CW326" s="76">
        <f>+CV326*1100</f>
        <v>0</v>
      </c>
      <c r="CX326" s="76"/>
      <c r="CY326" s="76">
        <f>+CX326*106250</f>
        <v>0</v>
      </c>
      <c r="CZ326" s="76"/>
      <c r="DA326" s="76">
        <f>+CZ326*34500</f>
        <v>0</v>
      </c>
      <c r="DB326" s="76"/>
      <c r="DC326" s="76">
        <f>+DB326*25000</f>
        <v>0</v>
      </c>
      <c r="DD326" s="219"/>
      <c r="DE326" s="219"/>
      <c r="DF326" s="164"/>
      <c r="DG326" s="116"/>
      <c r="DH326" s="117"/>
      <c r="DI326" s="24"/>
      <c r="DJ326" s="24"/>
      <c r="DK326" s="24"/>
      <c r="DL326" s="24"/>
      <c r="DM326" s="24"/>
      <c r="DN326" s="24"/>
      <c r="DO326" s="24"/>
      <c r="DP326" s="24"/>
      <c r="DQ326" s="24"/>
      <c r="DR326" s="24"/>
      <c r="DS326" s="24"/>
      <c r="DT326" s="24"/>
      <c r="DU326" s="24"/>
    </row>
    <row r="327" spans="1:125" s="8" customFormat="1" ht="36" x14ac:dyDescent="0.2">
      <c r="A327" s="77">
        <v>41295</v>
      </c>
      <c r="B327" s="78" t="s">
        <v>2847</v>
      </c>
      <c r="C327" s="75" t="s">
        <v>2197</v>
      </c>
      <c r="D327" s="81" t="s">
        <v>2846</v>
      </c>
      <c r="E327" s="75" t="str">
        <f>VLOOKUP(B327&amp;C327,Divipola!$C$2:$F$1138,4,FALSE)</f>
        <v>68276</v>
      </c>
      <c r="F327" s="87"/>
      <c r="G327" s="87"/>
      <c r="H327" s="87"/>
      <c r="I327" s="87"/>
      <c r="J327" s="87"/>
      <c r="K327" s="87"/>
      <c r="L327" s="87"/>
      <c r="M327" s="87"/>
      <c r="N327" s="87"/>
      <c r="O327" s="87"/>
      <c r="P327" s="87"/>
      <c r="Q327" s="87"/>
      <c r="R327" s="87"/>
      <c r="S327" s="87"/>
      <c r="T327" s="87"/>
      <c r="U327" s="127">
        <v>1</v>
      </c>
      <c r="V327" s="89"/>
      <c r="W327" s="96">
        <v>0</v>
      </c>
      <c r="X327" s="71">
        <f>CU327</f>
        <v>0</v>
      </c>
      <c r="Y327" s="71">
        <f>CY327</f>
        <v>0</v>
      </c>
      <c r="Z327" s="71">
        <f>DA327+DC327+DE327</f>
        <v>0</v>
      </c>
      <c r="AA327" s="71">
        <f>CW327</f>
        <v>0</v>
      </c>
      <c r="AB327" s="71"/>
      <c r="AC327" s="71">
        <v>0</v>
      </c>
      <c r="AD327" s="71">
        <f>W327+X327+Y327+Z327+AA327+AB327+AC327</f>
        <v>0</v>
      </c>
      <c r="AE327" s="72">
        <v>0</v>
      </c>
      <c r="AF327" s="5"/>
      <c r="AG327" s="6"/>
      <c r="AH327" s="27" t="s">
        <v>3392</v>
      </c>
      <c r="AI327" s="44" t="s">
        <v>3393</v>
      </c>
      <c r="AJ327" s="26"/>
      <c r="AK327" s="5"/>
      <c r="AL327" s="82" t="s">
        <v>3160</v>
      </c>
      <c r="AM327" s="76"/>
      <c r="AN327" s="76"/>
      <c r="AO327" s="76"/>
      <c r="AP327" s="76"/>
      <c r="AQ327" s="76"/>
      <c r="AR327" s="76"/>
      <c r="AS327" s="76"/>
      <c r="AT327" s="76"/>
      <c r="AU327" s="76"/>
      <c r="AV327" s="76"/>
      <c r="AW327" s="76"/>
      <c r="AX327" s="76">
        <f>+AW327*600000</f>
        <v>0</v>
      </c>
      <c r="AY327" s="76"/>
      <c r="AZ327" s="76">
        <f>+AY327*70000</f>
        <v>0</v>
      </c>
      <c r="BA327" s="76"/>
      <c r="BB327" s="76"/>
      <c r="BC327" s="76"/>
      <c r="BD327" s="76">
        <f>+BC327*30000</f>
        <v>0</v>
      </c>
      <c r="BE327" s="76"/>
      <c r="BF327" s="76"/>
      <c r="BG327" s="76"/>
      <c r="BH327" s="76"/>
      <c r="BI327" s="76"/>
      <c r="BJ327" s="76"/>
      <c r="BK327" s="76"/>
      <c r="BL327" s="76">
        <f>+BK327*31500</f>
        <v>0</v>
      </c>
      <c r="BM327" s="76"/>
      <c r="BN327" s="76"/>
      <c r="BO327" s="76"/>
      <c r="BP327" s="76"/>
      <c r="BQ327" s="76"/>
      <c r="BR327" s="76"/>
      <c r="BS327" s="76"/>
      <c r="BT327" s="76"/>
      <c r="BU327" s="76"/>
      <c r="BV327" s="76"/>
      <c r="BW327" s="76"/>
      <c r="BX327" s="76"/>
      <c r="BY327" s="76"/>
      <c r="BZ327" s="76"/>
      <c r="CA327" s="76"/>
      <c r="CB327" s="76"/>
      <c r="CC327" s="76"/>
      <c r="CD327" s="76"/>
      <c r="CE327" s="76"/>
      <c r="CF327" s="76">
        <f>+CE327*28000</f>
        <v>0</v>
      </c>
      <c r="CG327" s="76"/>
      <c r="CH327" s="76">
        <f>+CG327*22500</f>
        <v>0</v>
      </c>
      <c r="CI327" s="76"/>
      <c r="CJ327" s="76">
        <f>+CI327*26000</f>
        <v>0</v>
      </c>
      <c r="CK327" s="76"/>
      <c r="CL327" s="76"/>
      <c r="CM327" s="76"/>
      <c r="CN327" s="76">
        <f>+CM327*22000</f>
        <v>0</v>
      </c>
      <c r="CO327" s="76"/>
      <c r="CP327" s="76">
        <f>+CO327*46000</f>
        <v>0</v>
      </c>
      <c r="CQ327" s="76"/>
      <c r="CR327" s="76">
        <f>+CQ327*49000</f>
        <v>0</v>
      </c>
      <c r="CS327" s="76"/>
      <c r="CT327" s="76"/>
      <c r="CU327" s="56">
        <f>AN327+AP327+AR327+AT327+AV327+AX327+AZ327+BB327+BD327+BF327+BH327+BJ327+BL327+BN327+BP327+BR327+BT327+BV327+BX327+BZ327+CB327+CD327+CF327+CH327+CJ327+CL327+CN327+CP327+CR327+CT327</f>
        <v>0</v>
      </c>
      <c r="CV327" s="76"/>
      <c r="CW327" s="76">
        <f>+CV327*1100</f>
        <v>0</v>
      </c>
      <c r="CX327" s="76"/>
      <c r="CY327" s="76">
        <f>+CX327*106250</f>
        <v>0</v>
      </c>
      <c r="CZ327" s="76"/>
      <c r="DA327" s="76">
        <f>+CZ327*34500</f>
        <v>0</v>
      </c>
      <c r="DB327" s="76"/>
      <c r="DC327" s="76">
        <f>+DB327*25000</f>
        <v>0</v>
      </c>
      <c r="DD327" s="219"/>
      <c r="DE327" s="219"/>
      <c r="DF327" s="164"/>
      <c r="DG327" s="116"/>
      <c r="DH327" s="117"/>
      <c r="DI327" s="24"/>
      <c r="DJ327" s="24"/>
      <c r="DK327" s="24"/>
      <c r="DL327" s="24"/>
      <c r="DM327" s="24"/>
      <c r="DN327" s="24"/>
      <c r="DO327" s="24"/>
      <c r="DP327" s="24"/>
      <c r="DQ327" s="24"/>
      <c r="DR327" s="24"/>
      <c r="DS327" s="24"/>
      <c r="DT327" s="24"/>
      <c r="DU327" s="24"/>
    </row>
    <row r="328" spans="1:125" s="8" customFormat="1" ht="372" x14ac:dyDescent="0.2">
      <c r="A328" s="77">
        <v>41295</v>
      </c>
      <c r="B328" s="352" t="s">
        <v>2847</v>
      </c>
      <c r="C328" s="354" t="s">
        <v>1729</v>
      </c>
      <c r="D328" s="81" t="s">
        <v>2846</v>
      </c>
      <c r="E328" s="75" t="str">
        <f>VLOOKUP(B328&amp;C328,Divipola!$C$2:$F$1138,4,FALSE)</f>
        <v>68418</v>
      </c>
      <c r="F328" s="87"/>
      <c r="G328" s="87"/>
      <c r="H328" s="87"/>
      <c r="I328" s="87"/>
      <c r="J328" s="87"/>
      <c r="K328" s="87"/>
      <c r="L328" s="87"/>
      <c r="M328" s="87"/>
      <c r="N328" s="87"/>
      <c r="O328" s="87"/>
      <c r="P328" s="87"/>
      <c r="Q328" s="87"/>
      <c r="R328" s="87"/>
      <c r="S328" s="87"/>
      <c r="T328" s="87"/>
      <c r="U328" s="127">
        <v>300</v>
      </c>
      <c r="V328" s="89"/>
      <c r="W328" s="96">
        <v>0</v>
      </c>
      <c r="X328" s="71">
        <f>CU328</f>
        <v>0</v>
      </c>
      <c r="Y328" s="71">
        <f>CY328</f>
        <v>0</v>
      </c>
      <c r="Z328" s="71">
        <f>DA328+DC328+DE328</f>
        <v>0</v>
      </c>
      <c r="AA328" s="71">
        <f>CW328</f>
        <v>0</v>
      </c>
      <c r="AB328" s="71"/>
      <c r="AC328" s="71">
        <v>0</v>
      </c>
      <c r="AD328" s="71">
        <f>W328+X328+Y328+Z328+AA328+AB328+AC328</f>
        <v>0</v>
      </c>
      <c r="AE328" s="72">
        <v>0</v>
      </c>
      <c r="AF328" s="5"/>
      <c r="AG328" s="6"/>
      <c r="AH328" s="27" t="s">
        <v>3392</v>
      </c>
      <c r="AI328" s="44" t="s">
        <v>3393</v>
      </c>
      <c r="AJ328" s="26"/>
      <c r="AK328" s="5"/>
      <c r="AL328" s="82" t="s">
        <v>3193</v>
      </c>
      <c r="AM328" s="76"/>
      <c r="AN328" s="76"/>
      <c r="AO328" s="76"/>
      <c r="AP328" s="76"/>
      <c r="AQ328" s="76"/>
      <c r="AR328" s="76"/>
      <c r="AS328" s="76"/>
      <c r="AT328" s="76"/>
      <c r="AU328" s="76"/>
      <c r="AV328" s="76"/>
      <c r="AW328" s="76"/>
      <c r="AX328" s="76">
        <f>+AW328*600000</f>
        <v>0</v>
      </c>
      <c r="AY328" s="76"/>
      <c r="AZ328" s="76">
        <f>+AY328*70000</f>
        <v>0</v>
      </c>
      <c r="BA328" s="76"/>
      <c r="BB328" s="76"/>
      <c r="BC328" s="76"/>
      <c r="BD328" s="76">
        <f>+BC328*30000</f>
        <v>0</v>
      </c>
      <c r="BE328" s="76"/>
      <c r="BF328" s="76"/>
      <c r="BG328" s="76"/>
      <c r="BH328" s="76"/>
      <c r="BI328" s="76"/>
      <c r="BJ328" s="76"/>
      <c r="BK328" s="76"/>
      <c r="BL328" s="76">
        <f>+BK328*31500</f>
        <v>0</v>
      </c>
      <c r="BM328" s="76"/>
      <c r="BN328" s="76"/>
      <c r="BO328" s="76"/>
      <c r="BP328" s="76"/>
      <c r="BQ328" s="76"/>
      <c r="BR328" s="76"/>
      <c r="BS328" s="76"/>
      <c r="BT328" s="76"/>
      <c r="BU328" s="76"/>
      <c r="BV328" s="76"/>
      <c r="BW328" s="76"/>
      <c r="BX328" s="76"/>
      <c r="BY328" s="76"/>
      <c r="BZ328" s="76"/>
      <c r="CA328" s="76"/>
      <c r="CB328" s="76"/>
      <c r="CC328" s="76"/>
      <c r="CD328" s="76"/>
      <c r="CE328" s="76"/>
      <c r="CF328" s="76">
        <f>+CE328*28000</f>
        <v>0</v>
      </c>
      <c r="CG328" s="76"/>
      <c r="CH328" s="76">
        <f>+CG328*22500</f>
        <v>0</v>
      </c>
      <c r="CI328" s="76"/>
      <c r="CJ328" s="76">
        <f>+CI328*26000</f>
        <v>0</v>
      </c>
      <c r="CK328" s="76"/>
      <c r="CL328" s="76"/>
      <c r="CM328" s="76"/>
      <c r="CN328" s="76">
        <f>+CM328*22000</f>
        <v>0</v>
      </c>
      <c r="CO328" s="76"/>
      <c r="CP328" s="76">
        <f>+CO328*46000</f>
        <v>0</v>
      </c>
      <c r="CQ328" s="76"/>
      <c r="CR328" s="76">
        <f>+CQ328*49000</f>
        <v>0</v>
      </c>
      <c r="CS328" s="76"/>
      <c r="CT328" s="76"/>
      <c r="CU328" s="56">
        <f>AN328+AP328+AR328+AT328+AV328+AX328+AZ328+BB328+BD328+BF328+BH328+BJ328+BL328+BN328+BP328+BR328+BT328+BV328+BX328+BZ328+CB328+CD328+CF328+CH328+CJ328+CL328+CN328+CP328+CR328+CT328</f>
        <v>0</v>
      </c>
      <c r="CV328" s="76"/>
      <c r="CW328" s="76">
        <f>+CV328*1100</f>
        <v>0</v>
      </c>
      <c r="CX328" s="76"/>
      <c r="CY328" s="76">
        <f>+CX328*106250</f>
        <v>0</v>
      </c>
      <c r="CZ328" s="76"/>
      <c r="DA328" s="76">
        <f>+CZ328*34500</f>
        <v>0</v>
      </c>
      <c r="DB328" s="76"/>
      <c r="DC328" s="76">
        <f>+DB328*25000</f>
        <v>0</v>
      </c>
      <c r="DD328" s="219"/>
      <c r="DE328" s="219"/>
      <c r="DF328" s="164"/>
      <c r="DG328" s="116"/>
      <c r="DH328" s="117"/>
      <c r="DI328" s="24"/>
      <c r="DJ328" s="24"/>
      <c r="DK328" s="24"/>
      <c r="DL328" s="24"/>
      <c r="DM328" s="24"/>
      <c r="DN328" s="24"/>
      <c r="DO328" s="24"/>
      <c r="DP328" s="24"/>
      <c r="DQ328" s="24"/>
      <c r="DR328" s="24"/>
      <c r="DS328" s="24"/>
      <c r="DT328" s="24"/>
      <c r="DU328" s="24"/>
    </row>
    <row r="329" spans="1:125" s="8" customFormat="1" ht="48" x14ac:dyDescent="0.2">
      <c r="A329" s="77">
        <v>41295</v>
      </c>
      <c r="B329" s="78" t="s">
        <v>2847</v>
      </c>
      <c r="C329" s="75" t="s">
        <v>1780</v>
      </c>
      <c r="D329" s="81" t="s">
        <v>2846</v>
      </c>
      <c r="E329" s="75" t="str">
        <f>VLOOKUP(B329&amp;C329,Divipola!$C$2:$F$1138,4,FALSE)</f>
        <v>68755</v>
      </c>
      <c r="F329" s="87"/>
      <c r="G329" s="87"/>
      <c r="H329" s="87"/>
      <c r="I329" s="87"/>
      <c r="J329" s="87"/>
      <c r="K329" s="87"/>
      <c r="L329" s="87"/>
      <c r="M329" s="87"/>
      <c r="N329" s="87"/>
      <c r="O329" s="87"/>
      <c r="P329" s="87"/>
      <c r="Q329" s="87"/>
      <c r="R329" s="87"/>
      <c r="S329" s="87"/>
      <c r="T329" s="87"/>
      <c r="U329" s="127">
        <v>3</v>
      </c>
      <c r="V329" s="89"/>
      <c r="W329" s="96">
        <v>0</v>
      </c>
      <c r="X329" s="71">
        <f>CU329</f>
        <v>0</v>
      </c>
      <c r="Y329" s="71">
        <f>CY329</f>
        <v>0</v>
      </c>
      <c r="Z329" s="71">
        <f>DA329+DC329+DE329</f>
        <v>0</v>
      </c>
      <c r="AA329" s="71">
        <f>CW329</f>
        <v>0</v>
      </c>
      <c r="AB329" s="71"/>
      <c r="AC329" s="71">
        <v>0</v>
      </c>
      <c r="AD329" s="71">
        <f>W329+X329+Y329+Z329+AA329+AB329+AC329</f>
        <v>0</v>
      </c>
      <c r="AE329" s="72">
        <v>0</v>
      </c>
      <c r="AF329" s="5"/>
      <c r="AG329" s="6"/>
      <c r="AH329" s="27" t="s">
        <v>3392</v>
      </c>
      <c r="AI329" s="44" t="s">
        <v>3393</v>
      </c>
      <c r="AJ329" s="26"/>
      <c r="AK329" s="5"/>
      <c r="AL329" s="82" t="s">
        <v>3165</v>
      </c>
      <c r="AM329" s="76"/>
      <c r="AN329" s="76"/>
      <c r="AO329" s="76"/>
      <c r="AP329" s="76"/>
      <c r="AQ329" s="76"/>
      <c r="AR329" s="76"/>
      <c r="AS329" s="76"/>
      <c r="AT329" s="76"/>
      <c r="AU329" s="76"/>
      <c r="AV329" s="76"/>
      <c r="AW329" s="76"/>
      <c r="AX329" s="76">
        <f>+AW329*600000</f>
        <v>0</v>
      </c>
      <c r="AY329" s="76"/>
      <c r="AZ329" s="76">
        <f>+AY329*70000</f>
        <v>0</v>
      </c>
      <c r="BA329" s="76"/>
      <c r="BB329" s="76"/>
      <c r="BC329" s="76"/>
      <c r="BD329" s="76">
        <f>+BC329*30000</f>
        <v>0</v>
      </c>
      <c r="BE329" s="76"/>
      <c r="BF329" s="76"/>
      <c r="BG329" s="76"/>
      <c r="BH329" s="76"/>
      <c r="BI329" s="76"/>
      <c r="BJ329" s="76"/>
      <c r="BK329" s="76"/>
      <c r="BL329" s="76">
        <f>+BK329*31500</f>
        <v>0</v>
      </c>
      <c r="BM329" s="76"/>
      <c r="BN329" s="76"/>
      <c r="BO329" s="76"/>
      <c r="BP329" s="76"/>
      <c r="BQ329" s="76"/>
      <c r="BR329" s="76"/>
      <c r="BS329" s="76"/>
      <c r="BT329" s="76"/>
      <c r="BU329" s="76"/>
      <c r="BV329" s="76"/>
      <c r="BW329" s="76"/>
      <c r="BX329" s="76"/>
      <c r="BY329" s="76"/>
      <c r="BZ329" s="76"/>
      <c r="CA329" s="76"/>
      <c r="CB329" s="76"/>
      <c r="CC329" s="76"/>
      <c r="CD329" s="76"/>
      <c r="CE329" s="76"/>
      <c r="CF329" s="76">
        <f>+CE329*28000</f>
        <v>0</v>
      </c>
      <c r="CG329" s="76"/>
      <c r="CH329" s="76">
        <f>+CG329*22500</f>
        <v>0</v>
      </c>
      <c r="CI329" s="76"/>
      <c r="CJ329" s="76">
        <f>+CI329*26000</f>
        <v>0</v>
      </c>
      <c r="CK329" s="76"/>
      <c r="CL329" s="76"/>
      <c r="CM329" s="76"/>
      <c r="CN329" s="76">
        <f>+CM329*22000</f>
        <v>0</v>
      </c>
      <c r="CO329" s="76"/>
      <c r="CP329" s="76">
        <f>+CO329*46000</f>
        <v>0</v>
      </c>
      <c r="CQ329" s="76"/>
      <c r="CR329" s="76">
        <f>+CQ329*49000</f>
        <v>0</v>
      </c>
      <c r="CS329" s="76"/>
      <c r="CT329" s="76"/>
      <c r="CU329" s="56">
        <f>AN329+AP329+AR329+AT329+AV329+AX329+AZ329+BB329+BD329+BF329+BH329+BJ329+BL329+BN329+BP329+BR329+BT329+BV329+BX329+BZ329+CB329+CD329+CF329+CH329+CJ329+CL329+CN329+CP329+CR329+CT329</f>
        <v>0</v>
      </c>
      <c r="CV329" s="76"/>
      <c r="CW329" s="76">
        <f>+CV329*1100</f>
        <v>0</v>
      </c>
      <c r="CX329" s="76"/>
      <c r="CY329" s="76">
        <f>+CX329*106250</f>
        <v>0</v>
      </c>
      <c r="CZ329" s="76"/>
      <c r="DA329" s="76">
        <f>+CZ329*34500</f>
        <v>0</v>
      </c>
      <c r="DB329" s="76"/>
      <c r="DC329" s="76">
        <f>+DB329*25000</f>
        <v>0</v>
      </c>
      <c r="DD329" s="219"/>
      <c r="DE329" s="219"/>
      <c r="DF329" s="164"/>
      <c r="DG329" s="116"/>
      <c r="DH329" s="117"/>
      <c r="DI329" s="24"/>
      <c r="DJ329" s="24"/>
      <c r="DK329" s="24"/>
      <c r="DL329" s="24"/>
      <c r="DM329" s="24"/>
      <c r="DN329" s="24"/>
      <c r="DO329" s="24"/>
      <c r="DP329" s="24"/>
      <c r="DQ329" s="24"/>
      <c r="DR329" s="24"/>
      <c r="DS329" s="24"/>
      <c r="DT329" s="24"/>
      <c r="DU329" s="24"/>
    </row>
    <row r="330" spans="1:125" s="8" customFormat="1" ht="96" x14ac:dyDescent="0.2">
      <c r="A330" s="77">
        <v>41295</v>
      </c>
      <c r="B330" s="352" t="s">
        <v>2847</v>
      </c>
      <c r="C330" s="354" t="s">
        <v>1787</v>
      </c>
      <c r="D330" s="81" t="s">
        <v>2846</v>
      </c>
      <c r="E330" s="75" t="str">
        <f>VLOOKUP(B330&amp;C330,Divipola!$C$2:$F$1138,4,FALSE)</f>
        <v>68855</v>
      </c>
      <c r="F330" s="87"/>
      <c r="G330" s="87"/>
      <c r="H330" s="87"/>
      <c r="I330" s="87"/>
      <c r="J330" s="87"/>
      <c r="K330" s="87"/>
      <c r="L330" s="87"/>
      <c r="M330" s="87"/>
      <c r="N330" s="87"/>
      <c r="O330" s="87"/>
      <c r="P330" s="87"/>
      <c r="Q330" s="87"/>
      <c r="R330" s="87"/>
      <c r="S330" s="87"/>
      <c r="T330" s="87"/>
      <c r="U330" s="127">
        <v>3</v>
      </c>
      <c r="V330" s="89"/>
      <c r="W330" s="96">
        <v>0</v>
      </c>
      <c r="X330" s="71">
        <f>CU330</f>
        <v>0</v>
      </c>
      <c r="Y330" s="71">
        <f>CY330</f>
        <v>0</v>
      </c>
      <c r="Z330" s="71">
        <f>DA330+DC330+DE330</f>
        <v>0</v>
      </c>
      <c r="AA330" s="71">
        <f>CW330</f>
        <v>0</v>
      </c>
      <c r="AB330" s="71"/>
      <c r="AC330" s="71">
        <v>0</v>
      </c>
      <c r="AD330" s="71">
        <f>W330+X330+Y330+Z330+AA330+AB330+AC330</f>
        <v>0</v>
      </c>
      <c r="AE330" s="72">
        <v>0</v>
      </c>
      <c r="AF330" s="5"/>
      <c r="AG330" s="6"/>
      <c r="AH330" s="27" t="s">
        <v>3392</v>
      </c>
      <c r="AI330" s="44" t="s">
        <v>3393</v>
      </c>
      <c r="AJ330" s="26"/>
      <c r="AK330" s="5"/>
      <c r="AL330" s="82" t="s">
        <v>3161</v>
      </c>
      <c r="AM330" s="76"/>
      <c r="AN330" s="76"/>
      <c r="AO330" s="76"/>
      <c r="AP330" s="76"/>
      <c r="AQ330" s="76"/>
      <c r="AR330" s="76"/>
      <c r="AS330" s="76"/>
      <c r="AT330" s="76"/>
      <c r="AU330" s="76"/>
      <c r="AV330" s="76"/>
      <c r="AW330" s="76"/>
      <c r="AX330" s="76">
        <f>+AW330*600000</f>
        <v>0</v>
      </c>
      <c r="AY330" s="76"/>
      <c r="AZ330" s="76">
        <f>+AY330*70000</f>
        <v>0</v>
      </c>
      <c r="BA330" s="76"/>
      <c r="BB330" s="76"/>
      <c r="BC330" s="76"/>
      <c r="BD330" s="76">
        <f>+BC330*30000</f>
        <v>0</v>
      </c>
      <c r="BE330" s="76"/>
      <c r="BF330" s="76"/>
      <c r="BG330" s="76"/>
      <c r="BH330" s="76"/>
      <c r="BI330" s="76"/>
      <c r="BJ330" s="76"/>
      <c r="BK330" s="76"/>
      <c r="BL330" s="76">
        <f>+BK330*31500</f>
        <v>0</v>
      </c>
      <c r="BM330" s="76"/>
      <c r="BN330" s="76"/>
      <c r="BO330" s="76"/>
      <c r="BP330" s="76"/>
      <c r="BQ330" s="76"/>
      <c r="BR330" s="76"/>
      <c r="BS330" s="76"/>
      <c r="BT330" s="76"/>
      <c r="BU330" s="76"/>
      <c r="BV330" s="76"/>
      <c r="BW330" s="76"/>
      <c r="BX330" s="76"/>
      <c r="BY330" s="76"/>
      <c r="BZ330" s="76"/>
      <c r="CA330" s="76"/>
      <c r="CB330" s="76"/>
      <c r="CC330" s="76"/>
      <c r="CD330" s="76"/>
      <c r="CE330" s="76"/>
      <c r="CF330" s="76">
        <f>+CE330*28000</f>
        <v>0</v>
      </c>
      <c r="CG330" s="76"/>
      <c r="CH330" s="76">
        <f>+CG330*22500</f>
        <v>0</v>
      </c>
      <c r="CI330" s="76"/>
      <c r="CJ330" s="76">
        <f>+CI330*26000</f>
        <v>0</v>
      </c>
      <c r="CK330" s="76"/>
      <c r="CL330" s="76"/>
      <c r="CM330" s="76"/>
      <c r="CN330" s="76">
        <f>+CM330*22000</f>
        <v>0</v>
      </c>
      <c r="CO330" s="76"/>
      <c r="CP330" s="76">
        <f>+CO330*46000</f>
        <v>0</v>
      </c>
      <c r="CQ330" s="76"/>
      <c r="CR330" s="76">
        <f>+CQ330*49000</f>
        <v>0</v>
      </c>
      <c r="CS330" s="76"/>
      <c r="CT330" s="76"/>
      <c r="CU330" s="56">
        <f>AN330+AP330+AR330+AT330+AV330+AX330+AZ330+BB330+BD330+BF330+BH330+BJ330+BL330+BN330+BP330+BR330+BT330+BV330+BX330+BZ330+CB330+CD330+CF330+CH330+CJ330+CL330+CN330+CP330+CR330+CT330</f>
        <v>0</v>
      </c>
      <c r="CV330" s="76"/>
      <c r="CW330" s="76">
        <f>+CV330*1100</f>
        <v>0</v>
      </c>
      <c r="CX330" s="76"/>
      <c r="CY330" s="76">
        <f>+CX330*106250</f>
        <v>0</v>
      </c>
      <c r="CZ330" s="76"/>
      <c r="DA330" s="76">
        <f>+CZ330*34500</f>
        <v>0</v>
      </c>
      <c r="DB330" s="76"/>
      <c r="DC330" s="76">
        <f>+DB330*25000</f>
        <v>0</v>
      </c>
      <c r="DD330" s="219"/>
      <c r="DE330" s="219"/>
      <c r="DF330" s="164"/>
      <c r="DG330" s="116"/>
      <c r="DH330" s="117"/>
      <c r="DI330" s="24"/>
      <c r="DJ330" s="24"/>
      <c r="DK330" s="24"/>
      <c r="DL330" s="24"/>
      <c r="DM330" s="24"/>
      <c r="DN330" s="24"/>
      <c r="DO330" s="24"/>
      <c r="DP330" s="24"/>
      <c r="DQ330" s="24"/>
      <c r="DR330" s="24"/>
      <c r="DS330" s="24"/>
      <c r="DT330" s="24"/>
      <c r="DU330" s="24"/>
    </row>
    <row r="331" spans="1:125" s="8" customFormat="1" ht="48" x14ac:dyDescent="0.2">
      <c r="A331" s="77">
        <v>41295</v>
      </c>
      <c r="B331" s="78" t="s">
        <v>2848</v>
      </c>
      <c r="C331" s="75" t="s">
        <v>2755</v>
      </c>
      <c r="D331" s="75" t="s">
        <v>3051</v>
      </c>
      <c r="E331" s="75" t="str">
        <f>VLOOKUP(B331&amp;C331,Divipola!$C$2:$F$1138,4,FALSE)</f>
        <v>73001</v>
      </c>
      <c r="F331" s="153"/>
      <c r="G331" s="153"/>
      <c r="H331" s="153"/>
      <c r="I331" s="153"/>
      <c r="J331" s="153"/>
      <c r="K331" s="153"/>
      <c r="L331" s="153"/>
      <c r="M331" s="153"/>
      <c r="N331" s="153"/>
      <c r="O331" s="153"/>
      <c r="P331" s="153"/>
      <c r="Q331" s="153"/>
      <c r="R331" s="153"/>
      <c r="S331" s="153"/>
      <c r="T331" s="153"/>
      <c r="U331" s="154"/>
      <c r="V331" s="134"/>
      <c r="W331" s="96">
        <v>13800000</v>
      </c>
      <c r="X331" s="71">
        <f>CU331</f>
        <v>0</v>
      </c>
      <c r="Y331" s="71">
        <f>CY331</f>
        <v>0</v>
      </c>
      <c r="Z331" s="71">
        <f>DA331+DC331+DE331</f>
        <v>0</v>
      </c>
      <c r="AA331" s="71">
        <f>CW331</f>
        <v>0</v>
      </c>
      <c r="AB331" s="71"/>
      <c r="AC331" s="71">
        <v>0</v>
      </c>
      <c r="AD331" s="71">
        <f>W331+X331+Y331+Z331+AA331+AB331+AC331</f>
        <v>13800000</v>
      </c>
      <c r="AE331" s="72">
        <v>0</v>
      </c>
      <c r="AF331" s="5"/>
      <c r="AG331" s="6"/>
      <c r="AH331" s="27" t="s">
        <v>3390</v>
      </c>
      <c r="AI331" s="44" t="s">
        <v>3391</v>
      </c>
      <c r="AJ331" s="26"/>
      <c r="AK331" s="5"/>
      <c r="AL331" s="82" t="s">
        <v>3124</v>
      </c>
      <c r="AM331" s="76"/>
      <c r="AN331" s="76"/>
      <c r="AO331" s="76"/>
      <c r="AP331" s="76"/>
      <c r="AQ331" s="76"/>
      <c r="AR331" s="76"/>
      <c r="AS331" s="76"/>
      <c r="AT331" s="76"/>
      <c r="AU331" s="76"/>
      <c r="AV331" s="76"/>
      <c r="AW331" s="76"/>
      <c r="AX331" s="76">
        <f>+AW331*600000</f>
        <v>0</v>
      </c>
      <c r="AY331" s="76"/>
      <c r="AZ331" s="76">
        <f>+AY331*70000</f>
        <v>0</v>
      </c>
      <c r="BA331" s="76"/>
      <c r="BB331" s="76"/>
      <c r="BC331" s="76"/>
      <c r="BD331" s="76">
        <f>+BC331*30000</f>
        <v>0</v>
      </c>
      <c r="BE331" s="76"/>
      <c r="BF331" s="76"/>
      <c r="BG331" s="76"/>
      <c r="BH331" s="76"/>
      <c r="BI331" s="76"/>
      <c r="BJ331" s="76"/>
      <c r="BK331" s="76"/>
      <c r="BL331" s="76">
        <f>+BK331*31500</f>
        <v>0</v>
      </c>
      <c r="BM331" s="76"/>
      <c r="BN331" s="76"/>
      <c r="BO331" s="76"/>
      <c r="BP331" s="76"/>
      <c r="BQ331" s="76"/>
      <c r="BR331" s="76"/>
      <c r="BS331" s="76"/>
      <c r="BT331" s="76"/>
      <c r="BU331" s="76"/>
      <c r="BV331" s="76"/>
      <c r="BW331" s="76"/>
      <c r="BX331" s="76"/>
      <c r="BY331" s="76"/>
      <c r="BZ331" s="76"/>
      <c r="CA331" s="76"/>
      <c r="CB331" s="76"/>
      <c r="CC331" s="76"/>
      <c r="CD331" s="76"/>
      <c r="CE331" s="76"/>
      <c r="CF331" s="76">
        <f>+CE331*28000</f>
        <v>0</v>
      </c>
      <c r="CG331" s="76"/>
      <c r="CH331" s="76">
        <f>+CG331*22500</f>
        <v>0</v>
      </c>
      <c r="CI331" s="76"/>
      <c r="CJ331" s="76">
        <f>+CI331*26000</f>
        <v>0</v>
      </c>
      <c r="CK331" s="76"/>
      <c r="CL331" s="76"/>
      <c r="CM331" s="76"/>
      <c r="CN331" s="76">
        <f>+CM331*22000</f>
        <v>0</v>
      </c>
      <c r="CO331" s="76"/>
      <c r="CP331" s="76">
        <f>+CO331*46000</f>
        <v>0</v>
      </c>
      <c r="CQ331" s="76"/>
      <c r="CR331" s="76">
        <f>+CQ331*49000</f>
        <v>0</v>
      </c>
      <c r="CS331" s="76"/>
      <c r="CT331" s="76"/>
      <c r="CU331" s="56">
        <f>AN331+AP331+AR331+AT331+AV331+AX331+AZ331+BB331+BD331+BF331+BH331+BJ331+BL331+BN331+BP331+BR331+BT331+BV331+BX331+BZ331+CB331+CD331+CF331+CH331+CJ331+CL331+CN331+CP331+CR331+CT331</f>
        <v>0</v>
      </c>
      <c r="CV331" s="76"/>
      <c r="CW331" s="76">
        <f>+CV331*1100</f>
        <v>0</v>
      </c>
      <c r="CX331" s="76"/>
      <c r="CY331" s="76">
        <f>+CX331*106250</f>
        <v>0</v>
      </c>
      <c r="CZ331" s="76"/>
      <c r="DA331" s="76">
        <f>+CZ331*34500</f>
        <v>0</v>
      </c>
      <c r="DB331" s="76"/>
      <c r="DC331" s="76">
        <f>+DB331*25000</f>
        <v>0</v>
      </c>
      <c r="DD331" s="219"/>
      <c r="DE331" s="219"/>
      <c r="DF331" s="164"/>
      <c r="DG331" s="116"/>
      <c r="DH331" s="117"/>
      <c r="DI331" s="24"/>
      <c r="DJ331" s="24"/>
      <c r="DK331" s="24"/>
      <c r="DL331" s="24"/>
      <c r="DM331" s="24"/>
      <c r="DN331" s="24"/>
      <c r="DO331" s="24"/>
      <c r="DP331" s="24"/>
      <c r="DQ331" s="24"/>
      <c r="DR331" s="24"/>
      <c r="DS331" s="24"/>
      <c r="DT331" s="24"/>
      <c r="DU331" s="24"/>
    </row>
    <row r="332" spans="1:125" s="8" customFormat="1" ht="36" x14ac:dyDescent="0.2">
      <c r="A332" s="77">
        <v>41295</v>
      </c>
      <c r="B332" s="78" t="s">
        <v>2848</v>
      </c>
      <c r="C332" s="75" t="s">
        <v>1912</v>
      </c>
      <c r="D332" s="75" t="s">
        <v>3051</v>
      </c>
      <c r="E332" s="75" t="str">
        <f>VLOOKUP(B332&amp;C332,Divipola!$C$2:$F$1138,4,FALSE)</f>
        <v>73675</v>
      </c>
      <c r="F332" s="153"/>
      <c r="G332" s="153"/>
      <c r="H332" s="153"/>
      <c r="I332" s="153"/>
      <c r="J332" s="153"/>
      <c r="K332" s="153"/>
      <c r="L332" s="153"/>
      <c r="M332" s="153"/>
      <c r="N332" s="153"/>
      <c r="O332" s="153"/>
      <c r="P332" s="153"/>
      <c r="Q332" s="153"/>
      <c r="R332" s="153"/>
      <c r="S332" s="153"/>
      <c r="T332" s="153"/>
      <c r="U332" s="154"/>
      <c r="V332" s="134"/>
      <c r="W332" s="96">
        <v>4050000</v>
      </c>
      <c r="X332" s="71">
        <f>CU332</f>
        <v>0</v>
      </c>
      <c r="Y332" s="71">
        <f>CY332</f>
        <v>0</v>
      </c>
      <c r="Z332" s="71">
        <f>DA332+DC332+DE332</f>
        <v>0</v>
      </c>
      <c r="AA332" s="71">
        <f>CW332</f>
        <v>0</v>
      </c>
      <c r="AB332" s="71"/>
      <c r="AC332" s="71">
        <v>0</v>
      </c>
      <c r="AD332" s="71">
        <f>W332+X332+Y332+Z332+AA332+AB332+AC332</f>
        <v>4050000</v>
      </c>
      <c r="AE332" s="72">
        <v>0</v>
      </c>
      <c r="AF332" s="5"/>
      <c r="AG332" s="6"/>
      <c r="AH332" s="27" t="s">
        <v>3390</v>
      </c>
      <c r="AI332" s="44" t="s">
        <v>3391</v>
      </c>
      <c r="AJ332" s="26"/>
      <c r="AK332" s="5"/>
      <c r="AL332" s="82" t="s">
        <v>3128</v>
      </c>
      <c r="AM332" s="76"/>
      <c r="AN332" s="76"/>
      <c r="AO332" s="76"/>
      <c r="AP332" s="76"/>
      <c r="AQ332" s="76"/>
      <c r="AR332" s="76"/>
      <c r="AS332" s="76"/>
      <c r="AT332" s="76"/>
      <c r="AU332" s="76"/>
      <c r="AV332" s="76"/>
      <c r="AW332" s="76"/>
      <c r="AX332" s="76">
        <f>+AW332*600000</f>
        <v>0</v>
      </c>
      <c r="AY332" s="76"/>
      <c r="AZ332" s="76">
        <f>+AY332*70000</f>
        <v>0</v>
      </c>
      <c r="BA332" s="76"/>
      <c r="BB332" s="76"/>
      <c r="BC332" s="76"/>
      <c r="BD332" s="76">
        <f>+BC332*30000</f>
        <v>0</v>
      </c>
      <c r="BE332" s="76"/>
      <c r="BF332" s="76"/>
      <c r="BG332" s="76"/>
      <c r="BH332" s="76"/>
      <c r="BI332" s="76"/>
      <c r="BJ332" s="76"/>
      <c r="BK332" s="76"/>
      <c r="BL332" s="76">
        <f>+BK332*31500</f>
        <v>0</v>
      </c>
      <c r="BM332" s="76"/>
      <c r="BN332" s="76"/>
      <c r="BO332" s="76"/>
      <c r="BP332" s="76"/>
      <c r="BQ332" s="76"/>
      <c r="BR332" s="76"/>
      <c r="BS332" s="76"/>
      <c r="BT332" s="76"/>
      <c r="BU332" s="76"/>
      <c r="BV332" s="76"/>
      <c r="BW332" s="76"/>
      <c r="BX332" s="76"/>
      <c r="BY332" s="76"/>
      <c r="BZ332" s="76"/>
      <c r="CA332" s="76"/>
      <c r="CB332" s="76"/>
      <c r="CC332" s="76"/>
      <c r="CD332" s="76"/>
      <c r="CE332" s="76"/>
      <c r="CF332" s="76">
        <f>+CE332*28000</f>
        <v>0</v>
      </c>
      <c r="CG332" s="76"/>
      <c r="CH332" s="76">
        <f>+CG332*22500</f>
        <v>0</v>
      </c>
      <c r="CI332" s="76"/>
      <c r="CJ332" s="76">
        <f>+CI332*26000</f>
        <v>0</v>
      </c>
      <c r="CK332" s="76"/>
      <c r="CL332" s="76"/>
      <c r="CM332" s="76"/>
      <c r="CN332" s="76">
        <f>+CM332*22000</f>
        <v>0</v>
      </c>
      <c r="CO332" s="76"/>
      <c r="CP332" s="76">
        <f>+CO332*46000</f>
        <v>0</v>
      </c>
      <c r="CQ332" s="76"/>
      <c r="CR332" s="76">
        <f>+CQ332*49000</f>
        <v>0</v>
      </c>
      <c r="CS332" s="76"/>
      <c r="CT332" s="76"/>
      <c r="CU332" s="56">
        <f>AN332+AP332+AR332+AT332+AV332+AX332+AZ332+BB332+BD332+BF332+BH332+BJ332+BL332+BN332+BP332+BR332+BT332+BV332+BX332+BZ332+CB332+CD332+CF332+CH332+CJ332+CL332+CN332+CP332+CR332+CT332</f>
        <v>0</v>
      </c>
      <c r="CV332" s="76"/>
      <c r="CW332" s="76">
        <f>+CV332*1100</f>
        <v>0</v>
      </c>
      <c r="CX332" s="76"/>
      <c r="CY332" s="76">
        <f>+CX332*106250</f>
        <v>0</v>
      </c>
      <c r="CZ332" s="76"/>
      <c r="DA332" s="76">
        <f>+CZ332*34500</f>
        <v>0</v>
      </c>
      <c r="DB332" s="76"/>
      <c r="DC332" s="76">
        <f>+DB332*25000</f>
        <v>0</v>
      </c>
      <c r="DD332" s="219"/>
      <c r="DE332" s="219"/>
      <c r="DF332" s="164"/>
      <c r="DG332" s="116"/>
      <c r="DH332" s="117"/>
      <c r="DI332" s="24"/>
      <c r="DJ332" s="24"/>
      <c r="DK332" s="24"/>
      <c r="DL332" s="24"/>
      <c r="DM332" s="24"/>
      <c r="DN332" s="24"/>
      <c r="DO332" s="24"/>
      <c r="DP332" s="24"/>
      <c r="DQ332" s="24"/>
      <c r="DR332" s="24"/>
      <c r="DS332" s="24"/>
      <c r="DT332" s="24"/>
      <c r="DU332" s="24"/>
    </row>
    <row r="333" spans="1:125" s="8" customFormat="1" ht="72" x14ac:dyDescent="0.2">
      <c r="A333" s="77">
        <v>41295</v>
      </c>
      <c r="B333" s="352" t="s">
        <v>2848</v>
      </c>
      <c r="C333" s="354" t="s">
        <v>2698</v>
      </c>
      <c r="D333" s="81" t="s">
        <v>2846</v>
      </c>
      <c r="E333" s="75" t="str">
        <f>VLOOKUP(B333&amp;C333,Divipola!$C$2:$F$1138,4,FALSE)</f>
        <v>73770</v>
      </c>
      <c r="F333" s="87"/>
      <c r="G333" s="87"/>
      <c r="H333" s="87"/>
      <c r="I333" s="87"/>
      <c r="J333" s="87"/>
      <c r="K333" s="87"/>
      <c r="L333" s="87"/>
      <c r="M333" s="87"/>
      <c r="N333" s="87"/>
      <c r="O333" s="87"/>
      <c r="P333" s="87"/>
      <c r="Q333" s="87"/>
      <c r="R333" s="87"/>
      <c r="S333" s="87"/>
      <c r="T333" s="87"/>
      <c r="U333" s="127"/>
      <c r="V333" s="89"/>
      <c r="W333" s="96">
        <v>0</v>
      </c>
      <c r="X333" s="71">
        <f>CU333</f>
        <v>0</v>
      </c>
      <c r="Y333" s="71">
        <f>CY333</f>
        <v>0</v>
      </c>
      <c r="Z333" s="71">
        <f>DA333+DC333+DE333</f>
        <v>0</v>
      </c>
      <c r="AA333" s="71">
        <f>CW333</f>
        <v>0</v>
      </c>
      <c r="AB333" s="71"/>
      <c r="AC333" s="71">
        <v>0</v>
      </c>
      <c r="AD333" s="71">
        <f>W333+X333+Y333+Z333+AA333+AB333+AC333</f>
        <v>0</v>
      </c>
      <c r="AE333" s="72">
        <v>0</v>
      </c>
      <c r="AF333" s="5"/>
      <c r="AG333" s="6"/>
      <c r="AH333" s="27" t="s">
        <v>3392</v>
      </c>
      <c r="AI333" s="44" t="s">
        <v>3393</v>
      </c>
      <c r="AJ333" s="26"/>
      <c r="AK333" s="5"/>
      <c r="AL333" s="82" t="s">
        <v>3164</v>
      </c>
      <c r="AM333" s="76"/>
      <c r="AN333" s="76"/>
      <c r="AO333" s="76"/>
      <c r="AP333" s="76"/>
      <c r="AQ333" s="76"/>
      <c r="AR333" s="76"/>
      <c r="AS333" s="76"/>
      <c r="AT333" s="76"/>
      <c r="AU333" s="76"/>
      <c r="AV333" s="76"/>
      <c r="AW333" s="76"/>
      <c r="AX333" s="76">
        <f>+AW333*600000</f>
        <v>0</v>
      </c>
      <c r="AY333" s="76"/>
      <c r="AZ333" s="76">
        <f>+AY333*70000</f>
        <v>0</v>
      </c>
      <c r="BA333" s="76"/>
      <c r="BB333" s="76"/>
      <c r="BC333" s="76"/>
      <c r="BD333" s="76">
        <f>+BC333*30000</f>
        <v>0</v>
      </c>
      <c r="BE333" s="76"/>
      <c r="BF333" s="76"/>
      <c r="BG333" s="76"/>
      <c r="BH333" s="76"/>
      <c r="BI333" s="76"/>
      <c r="BJ333" s="76"/>
      <c r="BK333" s="76"/>
      <c r="BL333" s="76">
        <f>+BK333*31500</f>
        <v>0</v>
      </c>
      <c r="BM333" s="76"/>
      <c r="BN333" s="76"/>
      <c r="BO333" s="76"/>
      <c r="BP333" s="76"/>
      <c r="BQ333" s="76"/>
      <c r="BR333" s="76"/>
      <c r="BS333" s="76"/>
      <c r="BT333" s="76"/>
      <c r="BU333" s="76"/>
      <c r="BV333" s="76"/>
      <c r="BW333" s="76"/>
      <c r="BX333" s="76"/>
      <c r="BY333" s="76"/>
      <c r="BZ333" s="76"/>
      <c r="CA333" s="76"/>
      <c r="CB333" s="76"/>
      <c r="CC333" s="76"/>
      <c r="CD333" s="76"/>
      <c r="CE333" s="76"/>
      <c r="CF333" s="76">
        <f>+CE333*28000</f>
        <v>0</v>
      </c>
      <c r="CG333" s="76"/>
      <c r="CH333" s="76">
        <f>+CG333*22500</f>
        <v>0</v>
      </c>
      <c r="CI333" s="76"/>
      <c r="CJ333" s="76">
        <f>+CI333*26000</f>
        <v>0</v>
      </c>
      <c r="CK333" s="76"/>
      <c r="CL333" s="76"/>
      <c r="CM333" s="76"/>
      <c r="CN333" s="76">
        <f>+CM333*22000</f>
        <v>0</v>
      </c>
      <c r="CO333" s="76"/>
      <c r="CP333" s="76">
        <f>+CO333*46000</f>
        <v>0</v>
      </c>
      <c r="CQ333" s="76"/>
      <c r="CR333" s="76">
        <f>+CQ333*49000</f>
        <v>0</v>
      </c>
      <c r="CS333" s="76"/>
      <c r="CT333" s="76"/>
      <c r="CU333" s="56">
        <f>AN333+AP333+AR333+AT333+AV333+AX333+AZ333+BB333+BD333+BF333+BH333+BJ333+BL333+BN333+BP333+BR333+BT333+BV333+BX333+BZ333+CB333+CD333+CF333+CH333+CJ333+CL333+CN333+CP333+CR333+CT333</f>
        <v>0</v>
      </c>
      <c r="CV333" s="76"/>
      <c r="CW333" s="76">
        <f>+CV333*1100</f>
        <v>0</v>
      </c>
      <c r="CX333" s="76"/>
      <c r="CY333" s="76">
        <f>+CX333*106250</f>
        <v>0</v>
      </c>
      <c r="CZ333" s="76"/>
      <c r="DA333" s="76">
        <f>+CZ333*34500</f>
        <v>0</v>
      </c>
      <c r="DB333" s="76"/>
      <c r="DC333" s="76">
        <f>+DB333*25000</f>
        <v>0</v>
      </c>
      <c r="DD333" s="219"/>
      <c r="DE333" s="219"/>
      <c r="DF333" s="164"/>
      <c r="DG333" s="116"/>
      <c r="DH333" s="117"/>
      <c r="DI333" s="24"/>
      <c r="DJ333" s="24"/>
      <c r="DK333" s="24"/>
      <c r="DL333" s="24"/>
      <c r="DM333" s="24"/>
      <c r="DN333" s="24"/>
      <c r="DO333" s="24"/>
      <c r="DP333" s="24"/>
      <c r="DQ333" s="24"/>
      <c r="DR333" s="24"/>
      <c r="DS333" s="24"/>
      <c r="DT333" s="24"/>
      <c r="DU333" s="24"/>
    </row>
    <row r="334" spans="1:125" s="8" customFormat="1" ht="48" x14ac:dyDescent="0.2">
      <c r="A334" s="353">
        <v>41295</v>
      </c>
      <c r="B334" s="225" t="s">
        <v>2848</v>
      </c>
      <c r="C334" s="227" t="s">
        <v>2211</v>
      </c>
      <c r="D334" s="81" t="s">
        <v>2846</v>
      </c>
      <c r="E334" s="75" t="str">
        <f>VLOOKUP(B334&amp;C334,Divipola!$C$2:$F$1138,4,FALSE)</f>
        <v>73861</v>
      </c>
      <c r="F334" s="87"/>
      <c r="G334" s="87"/>
      <c r="H334" s="87"/>
      <c r="I334" s="87"/>
      <c r="J334" s="87"/>
      <c r="K334" s="87"/>
      <c r="L334" s="87"/>
      <c r="M334" s="87"/>
      <c r="N334" s="87"/>
      <c r="O334" s="87"/>
      <c r="P334" s="87"/>
      <c r="Q334" s="87"/>
      <c r="R334" s="87"/>
      <c r="S334" s="87"/>
      <c r="T334" s="87"/>
      <c r="U334" s="127">
        <v>4</v>
      </c>
      <c r="V334" s="89"/>
      <c r="W334" s="96">
        <v>0</v>
      </c>
      <c r="X334" s="71">
        <f>CU334</f>
        <v>0</v>
      </c>
      <c r="Y334" s="71">
        <f>CY334</f>
        <v>0</v>
      </c>
      <c r="Z334" s="71">
        <f>DA334+DC334+DE334</f>
        <v>0</v>
      </c>
      <c r="AA334" s="71">
        <f>CW334</f>
        <v>0</v>
      </c>
      <c r="AB334" s="71"/>
      <c r="AC334" s="71">
        <v>0</v>
      </c>
      <c r="AD334" s="71">
        <f>W334+X334+Y334+Z334+AA334+AB334+AC334</f>
        <v>0</v>
      </c>
      <c r="AE334" s="72">
        <v>0</v>
      </c>
      <c r="AF334" s="5"/>
      <c r="AG334" s="6"/>
      <c r="AH334" s="27" t="s">
        <v>3392</v>
      </c>
      <c r="AI334" s="44" t="s">
        <v>3393</v>
      </c>
      <c r="AJ334" s="26"/>
      <c r="AK334" s="5"/>
      <c r="AL334" s="82" t="s">
        <v>3171</v>
      </c>
      <c r="AM334" s="76"/>
      <c r="AN334" s="76"/>
      <c r="AO334" s="76"/>
      <c r="AP334" s="76"/>
      <c r="AQ334" s="76"/>
      <c r="AR334" s="76"/>
      <c r="AS334" s="76"/>
      <c r="AT334" s="76"/>
      <c r="AU334" s="76"/>
      <c r="AV334" s="76"/>
      <c r="AW334" s="76"/>
      <c r="AX334" s="76">
        <f>+AW334*600000</f>
        <v>0</v>
      </c>
      <c r="AY334" s="76"/>
      <c r="AZ334" s="76">
        <f>+AY334*70000</f>
        <v>0</v>
      </c>
      <c r="BA334" s="76"/>
      <c r="BB334" s="76"/>
      <c r="BC334" s="76"/>
      <c r="BD334" s="76">
        <f>+BC334*30000</f>
        <v>0</v>
      </c>
      <c r="BE334" s="76"/>
      <c r="BF334" s="76"/>
      <c r="BG334" s="76"/>
      <c r="BH334" s="76"/>
      <c r="BI334" s="76"/>
      <c r="BJ334" s="76"/>
      <c r="BK334" s="76"/>
      <c r="BL334" s="76">
        <f>+BK334*31500</f>
        <v>0</v>
      </c>
      <c r="BM334" s="76"/>
      <c r="BN334" s="76"/>
      <c r="BO334" s="76"/>
      <c r="BP334" s="76"/>
      <c r="BQ334" s="76"/>
      <c r="BR334" s="76"/>
      <c r="BS334" s="76"/>
      <c r="BT334" s="76"/>
      <c r="BU334" s="76"/>
      <c r="BV334" s="76"/>
      <c r="BW334" s="76"/>
      <c r="BX334" s="76"/>
      <c r="BY334" s="76"/>
      <c r="BZ334" s="76"/>
      <c r="CA334" s="76"/>
      <c r="CB334" s="76"/>
      <c r="CC334" s="76"/>
      <c r="CD334" s="76"/>
      <c r="CE334" s="76"/>
      <c r="CF334" s="76">
        <f>+CE334*28000</f>
        <v>0</v>
      </c>
      <c r="CG334" s="76"/>
      <c r="CH334" s="76">
        <f>+CG334*22500</f>
        <v>0</v>
      </c>
      <c r="CI334" s="76"/>
      <c r="CJ334" s="76">
        <f>+CI334*26000</f>
        <v>0</v>
      </c>
      <c r="CK334" s="76"/>
      <c r="CL334" s="76"/>
      <c r="CM334" s="76"/>
      <c r="CN334" s="76">
        <f>+CM334*22000</f>
        <v>0</v>
      </c>
      <c r="CO334" s="76"/>
      <c r="CP334" s="76">
        <f>+CO334*46000</f>
        <v>0</v>
      </c>
      <c r="CQ334" s="76"/>
      <c r="CR334" s="76">
        <f>+CQ334*49000</f>
        <v>0</v>
      </c>
      <c r="CS334" s="76"/>
      <c r="CT334" s="76"/>
      <c r="CU334" s="56">
        <f>AN334+AP334+AR334+AT334+AV334+AX334+AZ334+BB334+BD334+BF334+BH334+BJ334+BL334+BN334+BP334+BR334+BT334+BV334+BX334+BZ334+CB334+CD334+CF334+CH334+CJ334+CL334+CN334+CP334+CR334+CT334</f>
        <v>0</v>
      </c>
      <c r="CV334" s="76"/>
      <c r="CW334" s="76">
        <f>+CV334*1100</f>
        <v>0</v>
      </c>
      <c r="CX334" s="76"/>
      <c r="CY334" s="76">
        <f>+CX334*106250</f>
        <v>0</v>
      </c>
      <c r="CZ334" s="76"/>
      <c r="DA334" s="76">
        <f>+CZ334*34500</f>
        <v>0</v>
      </c>
      <c r="DB334" s="76"/>
      <c r="DC334" s="76">
        <f>+DB334*25000</f>
        <v>0</v>
      </c>
      <c r="DD334" s="219"/>
      <c r="DE334" s="219"/>
      <c r="DF334" s="164"/>
      <c r="DG334" s="116"/>
      <c r="DH334" s="117"/>
      <c r="DI334" s="24"/>
      <c r="DJ334" s="24"/>
      <c r="DK334" s="24"/>
      <c r="DL334" s="24"/>
      <c r="DM334" s="24"/>
      <c r="DN334" s="24"/>
      <c r="DO334" s="24"/>
      <c r="DP334" s="24"/>
      <c r="DQ334" s="24"/>
      <c r="DR334" s="24"/>
      <c r="DS334" s="24"/>
      <c r="DT334" s="24"/>
      <c r="DU334" s="24"/>
    </row>
    <row r="335" spans="1:125" s="8" customFormat="1" ht="48" x14ac:dyDescent="0.2">
      <c r="A335" s="353">
        <v>41295</v>
      </c>
      <c r="B335" s="225" t="s">
        <v>2848</v>
      </c>
      <c r="C335" s="227" t="s">
        <v>2211</v>
      </c>
      <c r="D335" s="81" t="s">
        <v>2846</v>
      </c>
      <c r="E335" s="75" t="str">
        <f>VLOOKUP(B335&amp;C335,Divipola!$C$2:$F$1138,4,FALSE)</f>
        <v>73861</v>
      </c>
      <c r="F335" s="87"/>
      <c r="G335" s="87"/>
      <c r="H335" s="87"/>
      <c r="I335" s="87"/>
      <c r="J335" s="87"/>
      <c r="K335" s="87"/>
      <c r="L335" s="87"/>
      <c r="M335" s="87"/>
      <c r="N335" s="87"/>
      <c r="O335" s="87"/>
      <c r="P335" s="87"/>
      <c r="Q335" s="87"/>
      <c r="R335" s="87"/>
      <c r="S335" s="87"/>
      <c r="T335" s="87"/>
      <c r="U335" s="127">
        <v>1</v>
      </c>
      <c r="V335" s="89"/>
      <c r="W335" s="96">
        <v>0</v>
      </c>
      <c r="X335" s="71">
        <f>CU335</f>
        <v>0</v>
      </c>
      <c r="Y335" s="71">
        <f>CY335</f>
        <v>0</v>
      </c>
      <c r="Z335" s="71">
        <f>DA335+DC335+DE335</f>
        <v>0</v>
      </c>
      <c r="AA335" s="71">
        <f>CW335</f>
        <v>0</v>
      </c>
      <c r="AB335" s="71"/>
      <c r="AC335" s="71">
        <v>0</v>
      </c>
      <c r="AD335" s="71">
        <f>W335+X335+Y335+Z335+AA335+AB335+AC335</f>
        <v>0</v>
      </c>
      <c r="AE335" s="72">
        <v>0</v>
      </c>
      <c r="AF335" s="5"/>
      <c r="AG335" s="6"/>
      <c r="AH335" s="27" t="s">
        <v>3392</v>
      </c>
      <c r="AI335" s="44" t="s">
        <v>3393</v>
      </c>
      <c r="AJ335" s="26"/>
      <c r="AK335" s="5"/>
      <c r="AL335" s="82" t="s">
        <v>3172</v>
      </c>
      <c r="AM335" s="76"/>
      <c r="AN335" s="76"/>
      <c r="AO335" s="76"/>
      <c r="AP335" s="76"/>
      <c r="AQ335" s="76"/>
      <c r="AR335" s="76"/>
      <c r="AS335" s="76"/>
      <c r="AT335" s="76"/>
      <c r="AU335" s="76"/>
      <c r="AV335" s="76"/>
      <c r="AW335" s="76"/>
      <c r="AX335" s="76">
        <f>+AW335*600000</f>
        <v>0</v>
      </c>
      <c r="AY335" s="76"/>
      <c r="AZ335" s="76">
        <f>+AY335*70000</f>
        <v>0</v>
      </c>
      <c r="BA335" s="76"/>
      <c r="BB335" s="76"/>
      <c r="BC335" s="76"/>
      <c r="BD335" s="76">
        <f>+BC335*30000</f>
        <v>0</v>
      </c>
      <c r="BE335" s="76"/>
      <c r="BF335" s="76"/>
      <c r="BG335" s="76"/>
      <c r="BH335" s="76"/>
      <c r="BI335" s="76"/>
      <c r="BJ335" s="76"/>
      <c r="BK335" s="76"/>
      <c r="BL335" s="76">
        <f>+BK335*31500</f>
        <v>0</v>
      </c>
      <c r="BM335" s="76"/>
      <c r="BN335" s="76"/>
      <c r="BO335" s="76"/>
      <c r="BP335" s="76"/>
      <c r="BQ335" s="76"/>
      <c r="BR335" s="76"/>
      <c r="BS335" s="76"/>
      <c r="BT335" s="76"/>
      <c r="BU335" s="76"/>
      <c r="BV335" s="76"/>
      <c r="BW335" s="76"/>
      <c r="BX335" s="76"/>
      <c r="BY335" s="76"/>
      <c r="BZ335" s="76"/>
      <c r="CA335" s="76"/>
      <c r="CB335" s="76"/>
      <c r="CC335" s="76"/>
      <c r="CD335" s="76"/>
      <c r="CE335" s="76"/>
      <c r="CF335" s="76">
        <f>+CE335*28000</f>
        <v>0</v>
      </c>
      <c r="CG335" s="76"/>
      <c r="CH335" s="76">
        <f>+CG335*22500</f>
        <v>0</v>
      </c>
      <c r="CI335" s="76"/>
      <c r="CJ335" s="76">
        <f>+CI335*26000</f>
        <v>0</v>
      </c>
      <c r="CK335" s="76"/>
      <c r="CL335" s="76"/>
      <c r="CM335" s="76"/>
      <c r="CN335" s="76">
        <f>+CM335*22000</f>
        <v>0</v>
      </c>
      <c r="CO335" s="76"/>
      <c r="CP335" s="76">
        <f>+CO335*46000</f>
        <v>0</v>
      </c>
      <c r="CQ335" s="76"/>
      <c r="CR335" s="76">
        <f>+CQ335*49000</f>
        <v>0</v>
      </c>
      <c r="CS335" s="76"/>
      <c r="CT335" s="76"/>
      <c r="CU335" s="56">
        <f>AN335+AP335+AR335+AT335+AV335+AX335+AZ335+BB335+BD335+BF335+BH335+BJ335+BL335+BN335+BP335+BR335+BT335+BV335+BX335+BZ335+CB335+CD335+CF335+CH335+CJ335+CL335+CN335+CP335+CR335+CT335</f>
        <v>0</v>
      </c>
      <c r="CV335" s="76"/>
      <c r="CW335" s="76">
        <f>+CV335*1100</f>
        <v>0</v>
      </c>
      <c r="CX335" s="76"/>
      <c r="CY335" s="76">
        <f>+CX335*106250</f>
        <v>0</v>
      </c>
      <c r="CZ335" s="76"/>
      <c r="DA335" s="76">
        <f>+CZ335*34500</f>
        <v>0</v>
      </c>
      <c r="DB335" s="76"/>
      <c r="DC335" s="76">
        <f>+DB335*25000</f>
        <v>0</v>
      </c>
      <c r="DD335" s="219"/>
      <c r="DE335" s="219"/>
      <c r="DF335" s="164"/>
      <c r="DG335" s="116"/>
      <c r="DH335" s="117"/>
      <c r="DI335" s="24"/>
      <c r="DJ335" s="24"/>
      <c r="DK335" s="24"/>
      <c r="DL335" s="24"/>
      <c r="DM335" s="24"/>
      <c r="DN335" s="24"/>
      <c r="DO335" s="24"/>
      <c r="DP335" s="24"/>
      <c r="DQ335" s="24"/>
      <c r="DR335" s="24"/>
      <c r="DS335" s="24"/>
      <c r="DT335" s="24"/>
      <c r="DU335" s="24"/>
    </row>
    <row r="336" spans="1:125" s="8" customFormat="1" ht="84" x14ac:dyDescent="0.2">
      <c r="A336" s="77">
        <v>41295</v>
      </c>
      <c r="B336" s="78" t="s">
        <v>2851</v>
      </c>
      <c r="C336" s="75" t="s">
        <v>1686</v>
      </c>
      <c r="D336" s="81" t="s">
        <v>2846</v>
      </c>
      <c r="E336" s="75" t="str">
        <f>VLOOKUP(B336&amp;C336,Divipola!$C$2:$F$1138,4,FALSE)</f>
        <v>76001</v>
      </c>
      <c r="F336" s="87"/>
      <c r="G336" s="87"/>
      <c r="H336" s="87"/>
      <c r="I336" s="87"/>
      <c r="J336" s="87"/>
      <c r="K336" s="87"/>
      <c r="L336" s="87"/>
      <c r="M336" s="87"/>
      <c r="N336" s="87"/>
      <c r="O336" s="87"/>
      <c r="P336" s="87"/>
      <c r="Q336" s="87"/>
      <c r="R336" s="87"/>
      <c r="S336" s="87"/>
      <c r="T336" s="87"/>
      <c r="U336" s="127">
        <v>4</v>
      </c>
      <c r="V336" s="89"/>
      <c r="W336" s="96">
        <v>0</v>
      </c>
      <c r="X336" s="71">
        <f>CU336</f>
        <v>0</v>
      </c>
      <c r="Y336" s="71">
        <f>CY336</f>
        <v>0</v>
      </c>
      <c r="Z336" s="71">
        <f>DA336+DC336+DE336</f>
        <v>0</v>
      </c>
      <c r="AA336" s="71">
        <f>CW336</f>
        <v>0</v>
      </c>
      <c r="AB336" s="71"/>
      <c r="AC336" s="71">
        <v>0</v>
      </c>
      <c r="AD336" s="71">
        <f>W336+X336+Y336+Z336+AA336+AB336+AC336</f>
        <v>0</v>
      </c>
      <c r="AE336" s="72">
        <v>0</v>
      </c>
      <c r="AF336" s="5"/>
      <c r="AG336" s="6"/>
      <c r="AH336" s="27" t="s">
        <v>3390</v>
      </c>
      <c r="AI336" s="44" t="s">
        <v>3391</v>
      </c>
      <c r="AJ336" s="26"/>
      <c r="AK336" s="5" t="s">
        <v>3397</v>
      </c>
      <c r="AL336" s="82" t="s">
        <v>3170</v>
      </c>
      <c r="AM336" s="76"/>
      <c r="AN336" s="76"/>
      <c r="AO336" s="76"/>
      <c r="AP336" s="76"/>
      <c r="AQ336" s="76"/>
      <c r="AR336" s="76"/>
      <c r="AS336" s="76"/>
      <c r="AT336" s="76"/>
      <c r="AU336" s="76"/>
      <c r="AV336" s="76"/>
      <c r="AW336" s="76"/>
      <c r="AX336" s="76">
        <f>+AW336*600000</f>
        <v>0</v>
      </c>
      <c r="AY336" s="76"/>
      <c r="AZ336" s="76">
        <f>+AY336*70000</f>
        <v>0</v>
      </c>
      <c r="BA336" s="76"/>
      <c r="BB336" s="76"/>
      <c r="BC336" s="76"/>
      <c r="BD336" s="76">
        <f>+BC336*30000</f>
        <v>0</v>
      </c>
      <c r="BE336" s="76"/>
      <c r="BF336" s="76"/>
      <c r="BG336" s="76"/>
      <c r="BH336" s="76"/>
      <c r="BI336" s="76"/>
      <c r="BJ336" s="76"/>
      <c r="BK336" s="76"/>
      <c r="BL336" s="76">
        <f>+BK336*31500</f>
        <v>0</v>
      </c>
      <c r="BM336" s="76"/>
      <c r="BN336" s="76"/>
      <c r="BO336" s="76"/>
      <c r="BP336" s="76"/>
      <c r="BQ336" s="76"/>
      <c r="BR336" s="76"/>
      <c r="BS336" s="76"/>
      <c r="BT336" s="76"/>
      <c r="BU336" s="76"/>
      <c r="BV336" s="76"/>
      <c r="BW336" s="76"/>
      <c r="BX336" s="76"/>
      <c r="BY336" s="76"/>
      <c r="BZ336" s="76"/>
      <c r="CA336" s="76"/>
      <c r="CB336" s="76"/>
      <c r="CC336" s="76"/>
      <c r="CD336" s="76"/>
      <c r="CE336" s="76"/>
      <c r="CF336" s="76">
        <f>+CE336*28000</f>
        <v>0</v>
      </c>
      <c r="CG336" s="76"/>
      <c r="CH336" s="76">
        <f>+CG336*22500</f>
        <v>0</v>
      </c>
      <c r="CI336" s="76"/>
      <c r="CJ336" s="76">
        <f>+CI336*26000</f>
        <v>0</v>
      </c>
      <c r="CK336" s="76"/>
      <c r="CL336" s="76"/>
      <c r="CM336" s="76"/>
      <c r="CN336" s="76">
        <f>+CM336*22000</f>
        <v>0</v>
      </c>
      <c r="CO336" s="76"/>
      <c r="CP336" s="76">
        <f>+CO336*46000</f>
        <v>0</v>
      </c>
      <c r="CQ336" s="76"/>
      <c r="CR336" s="76">
        <f>+CQ336*49000</f>
        <v>0</v>
      </c>
      <c r="CS336" s="76"/>
      <c r="CT336" s="76"/>
      <c r="CU336" s="56">
        <f>AN336+AP336+AR336+AT336+AV336+AX336+AZ336+BB336+BD336+BF336+BH336+BJ336+BL336+BN336+BP336+BR336+BT336+BV336+BX336+BZ336+CB336+CD336+CF336+CH336+CJ336+CL336+CN336+CP336+CR336+CT336</f>
        <v>0</v>
      </c>
      <c r="CV336" s="76"/>
      <c r="CW336" s="76">
        <f>+CV336*1100</f>
        <v>0</v>
      </c>
      <c r="CX336" s="76"/>
      <c r="CY336" s="76">
        <f>+CX336*106250</f>
        <v>0</v>
      </c>
      <c r="CZ336" s="76"/>
      <c r="DA336" s="76">
        <f>+CZ336*34500</f>
        <v>0</v>
      </c>
      <c r="DB336" s="76"/>
      <c r="DC336" s="76">
        <f>+DB336*25000</f>
        <v>0</v>
      </c>
      <c r="DD336" s="219"/>
      <c r="DE336" s="219"/>
      <c r="DF336" s="164"/>
      <c r="DG336" s="116"/>
      <c r="DH336" s="117"/>
      <c r="DI336" s="24"/>
      <c r="DJ336" s="24"/>
      <c r="DK336" s="24"/>
      <c r="DL336" s="24"/>
      <c r="DM336" s="24"/>
      <c r="DN336" s="24"/>
      <c r="DO336" s="24"/>
      <c r="DP336" s="24"/>
      <c r="DQ336" s="24"/>
      <c r="DR336" s="24"/>
      <c r="DS336" s="24"/>
      <c r="DT336" s="24"/>
      <c r="DU336" s="24"/>
    </row>
    <row r="337" spans="1:125" s="8" customFormat="1" ht="60" x14ac:dyDescent="0.2">
      <c r="A337" s="353">
        <v>41296</v>
      </c>
      <c r="B337" s="352" t="s">
        <v>2881</v>
      </c>
      <c r="C337" s="354" t="s">
        <v>2680</v>
      </c>
      <c r="D337" s="354" t="s">
        <v>2882</v>
      </c>
      <c r="E337" s="75" t="str">
        <f>VLOOKUP(B337&amp;C337,Divipola!$C$2:$F$1138,4,FALSE)</f>
        <v>08758</v>
      </c>
      <c r="F337" s="101"/>
      <c r="G337" s="101"/>
      <c r="H337" s="101"/>
      <c r="I337" s="101">
        <v>175</v>
      </c>
      <c r="J337" s="101">
        <v>35</v>
      </c>
      <c r="K337" s="101">
        <v>35</v>
      </c>
      <c r="L337" s="101"/>
      <c r="M337" s="101"/>
      <c r="N337" s="101"/>
      <c r="O337" s="101"/>
      <c r="P337" s="101"/>
      <c r="Q337" s="101"/>
      <c r="R337" s="101"/>
      <c r="S337" s="101"/>
      <c r="T337" s="101"/>
      <c r="U337" s="129"/>
      <c r="V337" s="193"/>
      <c r="W337" s="96">
        <v>0</v>
      </c>
      <c r="X337" s="71">
        <f>CU337</f>
        <v>0</v>
      </c>
      <c r="Y337" s="71">
        <f>CY337</f>
        <v>0</v>
      </c>
      <c r="Z337" s="71">
        <f>DA337+DC337+DE337</f>
        <v>0</v>
      </c>
      <c r="AA337" s="71">
        <f>CW337</f>
        <v>0</v>
      </c>
      <c r="AB337" s="71"/>
      <c r="AC337" s="71">
        <v>0</v>
      </c>
      <c r="AD337" s="71">
        <f>W337+X337+Y337+Z337+AA337+AB337+AC337</f>
        <v>0</v>
      </c>
      <c r="AE337" s="72">
        <v>0</v>
      </c>
      <c r="AF337" s="5"/>
      <c r="AG337" s="6"/>
      <c r="AH337" s="27" t="s">
        <v>3392</v>
      </c>
      <c r="AI337" s="44" t="s">
        <v>3393</v>
      </c>
      <c r="AJ337" s="26"/>
      <c r="AK337" s="5"/>
      <c r="AL337" s="82" t="s">
        <v>3176</v>
      </c>
      <c r="AM337" s="76"/>
      <c r="AN337" s="76"/>
      <c r="AO337" s="76"/>
      <c r="AP337" s="76"/>
      <c r="AQ337" s="76"/>
      <c r="AR337" s="76"/>
      <c r="AS337" s="76"/>
      <c r="AT337" s="76"/>
      <c r="AU337" s="76"/>
      <c r="AV337" s="76"/>
      <c r="AW337" s="76"/>
      <c r="AX337" s="76">
        <f>+AW337*600000</f>
        <v>0</v>
      </c>
      <c r="AY337" s="76"/>
      <c r="AZ337" s="76">
        <f>+AY337*70000</f>
        <v>0</v>
      </c>
      <c r="BA337" s="76"/>
      <c r="BB337" s="76"/>
      <c r="BC337" s="76"/>
      <c r="BD337" s="76">
        <f>+BC337*30000</f>
        <v>0</v>
      </c>
      <c r="BE337" s="76"/>
      <c r="BF337" s="76"/>
      <c r="BG337" s="76"/>
      <c r="BH337" s="76"/>
      <c r="BI337" s="76"/>
      <c r="BJ337" s="76"/>
      <c r="BK337" s="76"/>
      <c r="BL337" s="76">
        <f>+BK337*31500</f>
        <v>0</v>
      </c>
      <c r="BM337" s="76"/>
      <c r="BN337" s="76"/>
      <c r="BO337" s="76"/>
      <c r="BP337" s="76"/>
      <c r="BQ337" s="76"/>
      <c r="BR337" s="76"/>
      <c r="BS337" s="76"/>
      <c r="BT337" s="76"/>
      <c r="BU337" s="76"/>
      <c r="BV337" s="76"/>
      <c r="BW337" s="76"/>
      <c r="BX337" s="76"/>
      <c r="BY337" s="76"/>
      <c r="BZ337" s="76"/>
      <c r="CA337" s="76"/>
      <c r="CB337" s="76"/>
      <c r="CC337" s="76"/>
      <c r="CD337" s="76"/>
      <c r="CE337" s="76"/>
      <c r="CF337" s="76">
        <f>+CE337*28000</f>
        <v>0</v>
      </c>
      <c r="CG337" s="76"/>
      <c r="CH337" s="76">
        <f>+CG337*22500</f>
        <v>0</v>
      </c>
      <c r="CI337" s="76"/>
      <c r="CJ337" s="76">
        <f>+CI337*26000</f>
        <v>0</v>
      </c>
      <c r="CK337" s="76"/>
      <c r="CL337" s="76"/>
      <c r="CM337" s="76"/>
      <c r="CN337" s="76">
        <f>+CM337*22000</f>
        <v>0</v>
      </c>
      <c r="CO337" s="76"/>
      <c r="CP337" s="76">
        <f>+CO337*46000</f>
        <v>0</v>
      </c>
      <c r="CQ337" s="76"/>
      <c r="CR337" s="76">
        <f>+CQ337*49000</f>
        <v>0</v>
      </c>
      <c r="CS337" s="76"/>
      <c r="CT337" s="76"/>
      <c r="CU337" s="56">
        <f>AN337+AP337+AR337+AT337+AV337+AX337+AZ337+BB337+BD337+BF337+BH337+BJ337+BL337+BN337+BP337+BR337+BT337+BV337+BX337+BZ337+CB337+CD337+CF337+CH337+CJ337+CL337+CN337+CP337+CR337+CT337</f>
        <v>0</v>
      </c>
      <c r="CV337" s="76"/>
      <c r="CW337" s="76">
        <f>+CV337*1100</f>
        <v>0</v>
      </c>
      <c r="CX337" s="76"/>
      <c r="CY337" s="76">
        <f>+CX337*106250</f>
        <v>0</v>
      </c>
      <c r="CZ337" s="76"/>
      <c r="DA337" s="76">
        <f>+CZ337*34500</f>
        <v>0</v>
      </c>
      <c r="DB337" s="76"/>
      <c r="DC337" s="76">
        <f>+DB337*25000</f>
        <v>0</v>
      </c>
      <c r="DD337" s="219"/>
      <c r="DE337" s="219"/>
      <c r="DF337" s="164"/>
      <c r="DG337" s="116"/>
      <c r="DH337" s="117"/>
      <c r="DI337" s="24"/>
      <c r="DJ337" s="24"/>
      <c r="DK337" s="24"/>
      <c r="DL337" s="24"/>
      <c r="DM337" s="24"/>
      <c r="DN337" s="24"/>
      <c r="DO337" s="24"/>
      <c r="DP337" s="24"/>
      <c r="DQ337" s="24"/>
      <c r="DR337" s="24"/>
      <c r="DS337" s="24"/>
      <c r="DT337" s="24"/>
      <c r="DU337" s="24"/>
    </row>
    <row r="338" spans="1:125" s="8" customFormat="1" ht="36" x14ac:dyDescent="0.2">
      <c r="A338" s="353">
        <v>41296</v>
      </c>
      <c r="B338" s="352" t="s">
        <v>2777</v>
      </c>
      <c r="C338" s="354" t="s">
        <v>2748</v>
      </c>
      <c r="D338" s="354" t="s">
        <v>2859</v>
      </c>
      <c r="E338" s="75" t="str">
        <f>VLOOKUP(B338&amp;C338,Divipola!$C$2:$F$1138,4,FALSE)</f>
        <v>13440</v>
      </c>
      <c r="F338" s="101"/>
      <c r="G338" s="101"/>
      <c r="H338" s="101"/>
      <c r="I338" s="101">
        <v>55</v>
      </c>
      <c r="J338" s="101">
        <v>11</v>
      </c>
      <c r="K338" s="101">
        <v>11</v>
      </c>
      <c r="L338" s="101"/>
      <c r="M338" s="101"/>
      <c r="N338" s="101"/>
      <c r="O338" s="101"/>
      <c r="P338" s="101"/>
      <c r="Q338" s="101"/>
      <c r="R338" s="101"/>
      <c r="S338" s="101"/>
      <c r="T338" s="101"/>
      <c r="U338" s="129"/>
      <c r="V338" s="193"/>
      <c r="W338" s="96">
        <v>0</v>
      </c>
      <c r="X338" s="71">
        <f>CU338</f>
        <v>0</v>
      </c>
      <c r="Y338" s="71">
        <f>CY338</f>
        <v>0</v>
      </c>
      <c r="Z338" s="71">
        <f>DA338+DC338+DE338</f>
        <v>0</v>
      </c>
      <c r="AA338" s="71">
        <f>CW338</f>
        <v>0</v>
      </c>
      <c r="AB338" s="71"/>
      <c r="AC338" s="71">
        <v>0</v>
      </c>
      <c r="AD338" s="71">
        <f>W338+X338+Y338+Z338+AA338+AB338+AC338</f>
        <v>0</v>
      </c>
      <c r="AE338" s="72">
        <v>0</v>
      </c>
      <c r="AF338" s="5"/>
      <c r="AG338" s="6"/>
      <c r="AH338" s="27" t="s">
        <v>3392</v>
      </c>
      <c r="AI338" s="44" t="s">
        <v>3393</v>
      </c>
      <c r="AJ338" s="26"/>
      <c r="AK338" s="5"/>
      <c r="AL338" s="82" t="s">
        <v>3175</v>
      </c>
      <c r="AM338" s="76"/>
      <c r="AN338" s="76"/>
      <c r="AO338" s="76"/>
      <c r="AP338" s="76"/>
      <c r="AQ338" s="76"/>
      <c r="AR338" s="76"/>
      <c r="AS338" s="76"/>
      <c r="AT338" s="76"/>
      <c r="AU338" s="76"/>
      <c r="AV338" s="76"/>
      <c r="AW338" s="76"/>
      <c r="AX338" s="76">
        <f>+AW338*600000</f>
        <v>0</v>
      </c>
      <c r="AY338" s="76"/>
      <c r="AZ338" s="76">
        <f>+AY338*70000</f>
        <v>0</v>
      </c>
      <c r="BA338" s="76"/>
      <c r="BB338" s="76"/>
      <c r="BC338" s="76"/>
      <c r="BD338" s="76">
        <f>+BC338*30000</f>
        <v>0</v>
      </c>
      <c r="BE338" s="76"/>
      <c r="BF338" s="76"/>
      <c r="BG338" s="76"/>
      <c r="BH338" s="76"/>
      <c r="BI338" s="76"/>
      <c r="BJ338" s="76"/>
      <c r="BK338" s="76"/>
      <c r="BL338" s="76">
        <f>+BK338*31500</f>
        <v>0</v>
      </c>
      <c r="BM338" s="76"/>
      <c r="BN338" s="76"/>
      <c r="BO338" s="76"/>
      <c r="BP338" s="76"/>
      <c r="BQ338" s="76"/>
      <c r="BR338" s="76"/>
      <c r="BS338" s="76"/>
      <c r="BT338" s="76"/>
      <c r="BU338" s="76"/>
      <c r="BV338" s="76"/>
      <c r="BW338" s="76"/>
      <c r="BX338" s="76"/>
      <c r="BY338" s="76"/>
      <c r="BZ338" s="76"/>
      <c r="CA338" s="76"/>
      <c r="CB338" s="76"/>
      <c r="CC338" s="76"/>
      <c r="CD338" s="76"/>
      <c r="CE338" s="76"/>
      <c r="CF338" s="76">
        <f>+CE338*28000</f>
        <v>0</v>
      </c>
      <c r="CG338" s="76"/>
      <c r="CH338" s="76">
        <f>+CG338*22500</f>
        <v>0</v>
      </c>
      <c r="CI338" s="76"/>
      <c r="CJ338" s="76">
        <f>+CI338*26000</f>
        <v>0</v>
      </c>
      <c r="CK338" s="76"/>
      <c r="CL338" s="76"/>
      <c r="CM338" s="76"/>
      <c r="CN338" s="76">
        <f>+CM338*22000</f>
        <v>0</v>
      </c>
      <c r="CO338" s="76"/>
      <c r="CP338" s="76">
        <f>+CO338*46000</f>
        <v>0</v>
      </c>
      <c r="CQ338" s="76"/>
      <c r="CR338" s="76">
        <f>+CQ338*49000</f>
        <v>0</v>
      </c>
      <c r="CS338" s="76"/>
      <c r="CT338" s="76"/>
      <c r="CU338" s="56">
        <f>AN338+AP338+AR338+AT338+AV338+AX338+AZ338+BB338+BD338+BF338+BH338+BJ338+BL338+BN338+BP338+BR338+BT338+BV338+BX338+BZ338+CB338+CD338+CF338+CH338+CJ338+CL338+CN338+CP338+CR338+CT338</f>
        <v>0</v>
      </c>
      <c r="CV338" s="76"/>
      <c r="CW338" s="76">
        <f>+CV338*1100</f>
        <v>0</v>
      </c>
      <c r="CX338" s="76"/>
      <c r="CY338" s="76">
        <f>+CX338*106250</f>
        <v>0</v>
      </c>
      <c r="CZ338" s="76"/>
      <c r="DA338" s="76">
        <f>+CZ338*34500</f>
        <v>0</v>
      </c>
      <c r="DB338" s="76"/>
      <c r="DC338" s="76">
        <f>+DB338*25000</f>
        <v>0</v>
      </c>
      <c r="DD338" s="219"/>
      <c r="DE338" s="219"/>
      <c r="DF338" s="164"/>
      <c r="DG338" s="116"/>
      <c r="DH338" s="117"/>
      <c r="DI338" s="24"/>
      <c r="DJ338" s="24"/>
      <c r="DK338" s="24"/>
      <c r="DL338" s="24"/>
      <c r="DM338" s="24"/>
      <c r="DN338" s="24"/>
      <c r="DO338" s="24"/>
      <c r="DP338" s="24"/>
      <c r="DQ338" s="24"/>
      <c r="DR338" s="24"/>
      <c r="DS338" s="24"/>
      <c r="DT338" s="24"/>
      <c r="DU338" s="24"/>
    </row>
    <row r="339" spans="1:125" s="8" customFormat="1" ht="60" x14ac:dyDescent="0.2">
      <c r="A339" s="353">
        <v>41296</v>
      </c>
      <c r="B339" s="208" t="s">
        <v>2196</v>
      </c>
      <c r="C339" s="354" t="s">
        <v>758</v>
      </c>
      <c r="D339" s="354" t="s">
        <v>2859</v>
      </c>
      <c r="E339" s="75" t="str">
        <f>VLOOKUP(B339&amp;C339,Divipola!$C$2:$F$1138,4,FALSE)</f>
        <v>17486</v>
      </c>
      <c r="F339" s="101"/>
      <c r="G339" s="101"/>
      <c r="H339" s="101"/>
      <c r="I339" s="101">
        <v>15</v>
      </c>
      <c r="J339" s="101">
        <v>4</v>
      </c>
      <c r="K339" s="101">
        <v>2</v>
      </c>
      <c r="L339" s="101">
        <v>2</v>
      </c>
      <c r="M339" s="101"/>
      <c r="N339" s="101"/>
      <c r="O339" s="101"/>
      <c r="P339" s="101"/>
      <c r="Q339" s="101"/>
      <c r="R339" s="101"/>
      <c r="S339" s="101"/>
      <c r="T339" s="101"/>
      <c r="U339" s="129"/>
      <c r="V339" s="193"/>
      <c r="W339" s="96">
        <v>0</v>
      </c>
      <c r="X339" s="71">
        <f>CU339</f>
        <v>0</v>
      </c>
      <c r="Y339" s="71">
        <f>CY339</f>
        <v>0</v>
      </c>
      <c r="Z339" s="71">
        <f>DA339+DC339+DE339</f>
        <v>0</v>
      </c>
      <c r="AA339" s="71">
        <f>CW339</f>
        <v>0</v>
      </c>
      <c r="AB339" s="71"/>
      <c r="AC339" s="71">
        <v>0</v>
      </c>
      <c r="AD339" s="71">
        <f>W339+X339+Y339+Z339+AA339+AB339+AC339</f>
        <v>0</v>
      </c>
      <c r="AE339" s="72">
        <v>0</v>
      </c>
      <c r="AF339" s="5"/>
      <c r="AG339" s="6"/>
      <c r="AH339" s="27" t="s">
        <v>3392</v>
      </c>
      <c r="AI339" s="44" t="s">
        <v>3393</v>
      </c>
      <c r="AJ339" s="26"/>
      <c r="AK339" s="5"/>
      <c r="AL339" s="82" t="s">
        <v>3180</v>
      </c>
      <c r="AM339" s="76"/>
      <c r="AN339" s="76"/>
      <c r="AO339" s="76"/>
      <c r="AP339" s="76"/>
      <c r="AQ339" s="76"/>
      <c r="AR339" s="76"/>
      <c r="AS339" s="76"/>
      <c r="AT339" s="76"/>
      <c r="AU339" s="76"/>
      <c r="AV339" s="76"/>
      <c r="AW339" s="76"/>
      <c r="AX339" s="76">
        <f>+AW339*600000</f>
        <v>0</v>
      </c>
      <c r="AY339" s="76"/>
      <c r="AZ339" s="76">
        <f>+AY339*70000</f>
        <v>0</v>
      </c>
      <c r="BA339" s="76"/>
      <c r="BB339" s="76"/>
      <c r="BC339" s="76"/>
      <c r="BD339" s="76">
        <f>+BC339*30000</f>
        <v>0</v>
      </c>
      <c r="BE339" s="76"/>
      <c r="BF339" s="76"/>
      <c r="BG339" s="76"/>
      <c r="BH339" s="76"/>
      <c r="BI339" s="76"/>
      <c r="BJ339" s="76"/>
      <c r="BK339" s="76"/>
      <c r="BL339" s="76">
        <f>+BK339*31500</f>
        <v>0</v>
      </c>
      <c r="BM339" s="76"/>
      <c r="BN339" s="76"/>
      <c r="BO339" s="76"/>
      <c r="BP339" s="76"/>
      <c r="BQ339" s="76"/>
      <c r="BR339" s="76"/>
      <c r="BS339" s="76"/>
      <c r="BT339" s="76"/>
      <c r="BU339" s="76"/>
      <c r="BV339" s="76"/>
      <c r="BW339" s="76"/>
      <c r="BX339" s="76"/>
      <c r="BY339" s="76"/>
      <c r="BZ339" s="76"/>
      <c r="CA339" s="76"/>
      <c r="CB339" s="76"/>
      <c r="CC339" s="76"/>
      <c r="CD339" s="76"/>
      <c r="CE339" s="76"/>
      <c r="CF339" s="76">
        <f>+CE339*28000</f>
        <v>0</v>
      </c>
      <c r="CG339" s="76"/>
      <c r="CH339" s="76">
        <f>+CG339*22500</f>
        <v>0</v>
      </c>
      <c r="CI339" s="76"/>
      <c r="CJ339" s="76">
        <f>+CI339*26000</f>
        <v>0</v>
      </c>
      <c r="CK339" s="76"/>
      <c r="CL339" s="76"/>
      <c r="CM339" s="76"/>
      <c r="CN339" s="76">
        <f>+CM339*22000</f>
        <v>0</v>
      </c>
      <c r="CO339" s="76"/>
      <c r="CP339" s="76">
        <f>+CO339*46000</f>
        <v>0</v>
      </c>
      <c r="CQ339" s="76"/>
      <c r="CR339" s="76">
        <f>+CQ339*49000</f>
        <v>0</v>
      </c>
      <c r="CS339" s="76"/>
      <c r="CT339" s="76"/>
      <c r="CU339" s="56">
        <f>AN339+AP339+AR339+AT339+AV339+AX339+AZ339+BB339+BD339+BF339+BH339+BJ339+BL339+BN339+BP339+BR339+BT339+BV339+BX339+BZ339+CB339+CD339+CF339+CH339+CJ339+CL339+CN339+CP339+CR339+CT339</f>
        <v>0</v>
      </c>
      <c r="CV339" s="76"/>
      <c r="CW339" s="76">
        <f>+CV339*1100</f>
        <v>0</v>
      </c>
      <c r="CX339" s="76"/>
      <c r="CY339" s="76">
        <f>+CX339*106250</f>
        <v>0</v>
      </c>
      <c r="CZ339" s="76"/>
      <c r="DA339" s="76">
        <f>+CZ339*34500</f>
        <v>0</v>
      </c>
      <c r="DB339" s="76"/>
      <c r="DC339" s="76">
        <f>+DB339*25000</f>
        <v>0</v>
      </c>
      <c r="DD339" s="219"/>
      <c r="DE339" s="219"/>
      <c r="DF339" s="164"/>
      <c r="DG339" s="116"/>
      <c r="DH339" s="117"/>
      <c r="DI339" s="24"/>
      <c r="DJ339" s="24"/>
      <c r="DK339" s="24"/>
      <c r="DL339" s="24"/>
      <c r="DM339" s="24"/>
      <c r="DN339" s="24"/>
      <c r="DO339" s="24"/>
      <c r="DP339" s="24"/>
      <c r="DQ339" s="24"/>
      <c r="DR339" s="24"/>
      <c r="DS339" s="24"/>
      <c r="DT339" s="24"/>
      <c r="DU339" s="24"/>
    </row>
    <row r="340" spans="1:125" s="8" customFormat="1" ht="96" x14ac:dyDescent="0.2">
      <c r="A340" s="226">
        <v>41296</v>
      </c>
      <c r="B340" s="352" t="s">
        <v>2855</v>
      </c>
      <c r="C340" s="354" t="s">
        <v>2801</v>
      </c>
      <c r="D340" s="81" t="s">
        <v>2846</v>
      </c>
      <c r="E340" s="75" t="str">
        <f>VLOOKUP(B340&amp;C340,Divipola!$C$2:$F$1138,4,FALSE)</f>
        <v>20383</v>
      </c>
      <c r="F340" s="101"/>
      <c r="G340" s="101"/>
      <c r="H340" s="101"/>
      <c r="I340" s="101"/>
      <c r="J340" s="101"/>
      <c r="K340" s="101"/>
      <c r="L340" s="101"/>
      <c r="M340" s="101"/>
      <c r="N340" s="101"/>
      <c r="O340" s="101"/>
      <c r="P340" s="101"/>
      <c r="Q340" s="101"/>
      <c r="R340" s="101"/>
      <c r="S340" s="101"/>
      <c r="T340" s="101"/>
      <c r="U340" s="129">
        <v>30</v>
      </c>
      <c r="V340" s="193"/>
      <c r="W340" s="96">
        <v>0</v>
      </c>
      <c r="X340" s="71">
        <f>CU340</f>
        <v>0</v>
      </c>
      <c r="Y340" s="71">
        <f>CY340</f>
        <v>0</v>
      </c>
      <c r="Z340" s="71">
        <f>DA340+DC340+DE340</f>
        <v>0</v>
      </c>
      <c r="AA340" s="71">
        <f>CW340</f>
        <v>0</v>
      </c>
      <c r="AB340" s="71"/>
      <c r="AC340" s="71">
        <v>0</v>
      </c>
      <c r="AD340" s="71">
        <f>W340+X340+Y340+Z340+AA340+AB340+AC340</f>
        <v>0</v>
      </c>
      <c r="AE340" s="72">
        <v>0</v>
      </c>
      <c r="AF340" s="5"/>
      <c r="AG340" s="6"/>
      <c r="AH340" s="27" t="s">
        <v>3392</v>
      </c>
      <c r="AI340" s="44" t="s">
        <v>3393</v>
      </c>
      <c r="AJ340" s="26"/>
      <c r="AK340" s="5"/>
      <c r="AL340" s="82" t="s">
        <v>3178</v>
      </c>
      <c r="AM340" s="76"/>
      <c r="AN340" s="76"/>
      <c r="AO340" s="76"/>
      <c r="AP340" s="76"/>
      <c r="AQ340" s="76"/>
      <c r="AR340" s="76"/>
      <c r="AS340" s="76"/>
      <c r="AT340" s="76"/>
      <c r="AU340" s="76"/>
      <c r="AV340" s="76"/>
      <c r="AW340" s="76"/>
      <c r="AX340" s="76">
        <f>+AW340*600000</f>
        <v>0</v>
      </c>
      <c r="AY340" s="76"/>
      <c r="AZ340" s="76">
        <f>+AY340*70000</f>
        <v>0</v>
      </c>
      <c r="BA340" s="76"/>
      <c r="BB340" s="76"/>
      <c r="BC340" s="76"/>
      <c r="BD340" s="76">
        <f>+BC340*30000</f>
        <v>0</v>
      </c>
      <c r="BE340" s="76"/>
      <c r="BF340" s="76"/>
      <c r="BG340" s="76"/>
      <c r="BH340" s="76"/>
      <c r="BI340" s="76"/>
      <c r="BJ340" s="76"/>
      <c r="BK340" s="76"/>
      <c r="BL340" s="76">
        <f>+BK340*31500</f>
        <v>0</v>
      </c>
      <c r="BM340" s="76"/>
      <c r="BN340" s="76"/>
      <c r="BO340" s="76"/>
      <c r="BP340" s="76"/>
      <c r="BQ340" s="76"/>
      <c r="BR340" s="76"/>
      <c r="BS340" s="76"/>
      <c r="BT340" s="76"/>
      <c r="BU340" s="76"/>
      <c r="BV340" s="76"/>
      <c r="BW340" s="76"/>
      <c r="BX340" s="76"/>
      <c r="BY340" s="76"/>
      <c r="BZ340" s="76"/>
      <c r="CA340" s="76"/>
      <c r="CB340" s="76"/>
      <c r="CC340" s="76"/>
      <c r="CD340" s="76"/>
      <c r="CE340" s="76"/>
      <c r="CF340" s="76">
        <f>+CE340*28000</f>
        <v>0</v>
      </c>
      <c r="CG340" s="76"/>
      <c r="CH340" s="76">
        <f>+CG340*22500</f>
        <v>0</v>
      </c>
      <c r="CI340" s="76"/>
      <c r="CJ340" s="76">
        <f>+CI340*26000</f>
        <v>0</v>
      </c>
      <c r="CK340" s="76"/>
      <c r="CL340" s="76"/>
      <c r="CM340" s="76"/>
      <c r="CN340" s="76">
        <f>+CM340*22000</f>
        <v>0</v>
      </c>
      <c r="CO340" s="76"/>
      <c r="CP340" s="76">
        <f>+CO340*46000</f>
        <v>0</v>
      </c>
      <c r="CQ340" s="76"/>
      <c r="CR340" s="76">
        <f>+CQ340*49000</f>
        <v>0</v>
      </c>
      <c r="CS340" s="76"/>
      <c r="CT340" s="76"/>
      <c r="CU340" s="56">
        <f>AN340+AP340+AR340+AT340+AV340+AX340+AZ340+BB340+BD340+BF340+BH340+BJ340+BL340+BN340+BP340+BR340+BT340+BV340+BX340+BZ340+CB340+CD340+CF340+CH340+CJ340+CL340+CN340+CP340+CR340+CT340</f>
        <v>0</v>
      </c>
      <c r="CV340" s="76"/>
      <c r="CW340" s="76">
        <f>+CV340*1100</f>
        <v>0</v>
      </c>
      <c r="CX340" s="76"/>
      <c r="CY340" s="76">
        <f>+CX340*106250</f>
        <v>0</v>
      </c>
      <c r="CZ340" s="76"/>
      <c r="DA340" s="76">
        <f>+CZ340*34500</f>
        <v>0</v>
      </c>
      <c r="DB340" s="76"/>
      <c r="DC340" s="76">
        <f>+DB340*25000</f>
        <v>0</v>
      </c>
      <c r="DD340" s="219"/>
      <c r="DE340" s="219"/>
      <c r="DF340" s="164"/>
      <c r="DG340" s="116"/>
      <c r="DH340" s="117"/>
      <c r="DI340" s="24"/>
      <c r="DJ340" s="24"/>
      <c r="DK340" s="24"/>
      <c r="DL340" s="24"/>
      <c r="DM340" s="24"/>
      <c r="DN340" s="24"/>
      <c r="DO340" s="24"/>
      <c r="DP340" s="24"/>
      <c r="DQ340" s="24"/>
      <c r="DR340" s="24"/>
      <c r="DS340" s="24"/>
      <c r="DT340" s="24"/>
      <c r="DU340" s="24"/>
    </row>
    <row r="341" spans="1:125" s="8" customFormat="1" ht="108" x14ac:dyDescent="0.2">
      <c r="A341" s="353">
        <v>41296</v>
      </c>
      <c r="B341" s="352" t="s">
        <v>2855</v>
      </c>
      <c r="C341" s="354" t="s">
        <v>2168</v>
      </c>
      <c r="D341" s="81" t="s">
        <v>2846</v>
      </c>
      <c r="E341" s="75" t="str">
        <f>VLOOKUP(B341&amp;C341,Divipola!$C$2:$F$1138,4,FALSE)</f>
        <v>20001</v>
      </c>
      <c r="F341" s="101"/>
      <c r="G341" s="101"/>
      <c r="H341" s="101"/>
      <c r="I341" s="101"/>
      <c r="J341" s="101"/>
      <c r="K341" s="101"/>
      <c r="L341" s="101"/>
      <c r="M341" s="101"/>
      <c r="N341" s="101"/>
      <c r="O341" s="101"/>
      <c r="P341" s="101"/>
      <c r="Q341" s="101"/>
      <c r="R341" s="101"/>
      <c r="S341" s="101"/>
      <c r="T341" s="101"/>
      <c r="U341" s="129"/>
      <c r="V341" s="193"/>
      <c r="W341" s="96">
        <v>0</v>
      </c>
      <c r="X341" s="71">
        <f>CU341</f>
        <v>0</v>
      </c>
      <c r="Y341" s="71">
        <f>CY341</f>
        <v>0</v>
      </c>
      <c r="Z341" s="71">
        <f>DA341+DC341+DE341</f>
        <v>0</v>
      </c>
      <c r="AA341" s="71">
        <f>CW341</f>
        <v>0</v>
      </c>
      <c r="AB341" s="71"/>
      <c r="AC341" s="71">
        <v>0</v>
      </c>
      <c r="AD341" s="71">
        <f>W341+X341+Y341+Z341+AA341+AB341+AC341</f>
        <v>0</v>
      </c>
      <c r="AE341" s="72">
        <v>0</v>
      </c>
      <c r="AF341" s="5"/>
      <c r="AG341" s="6"/>
      <c r="AH341" s="27" t="s">
        <v>3392</v>
      </c>
      <c r="AI341" s="44" t="s">
        <v>3393</v>
      </c>
      <c r="AJ341" s="26"/>
      <c r="AK341" s="5"/>
      <c r="AL341" s="82" t="s">
        <v>3177</v>
      </c>
      <c r="AM341" s="76"/>
      <c r="AN341" s="76"/>
      <c r="AO341" s="76"/>
      <c r="AP341" s="76"/>
      <c r="AQ341" s="76"/>
      <c r="AR341" s="76"/>
      <c r="AS341" s="76"/>
      <c r="AT341" s="76"/>
      <c r="AU341" s="76"/>
      <c r="AV341" s="76"/>
      <c r="AW341" s="76"/>
      <c r="AX341" s="76">
        <f>+AW341*600000</f>
        <v>0</v>
      </c>
      <c r="AY341" s="76"/>
      <c r="AZ341" s="76">
        <f>+AY341*70000</f>
        <v>0</v>
      </c>
      <c r="BA341" s="76"/>
      <c r="BB341" s="76"/>
      <c r="BC341" s="76"/>
      <c r="BD341" s="76">
        <f>+BC341*30000</f>
        <v>0</v>
      </c>
      <c r="BE341" s="76"/>
      <c r="BF341" s="76"/>
      <c r="BG341" s="76"/>
      <c r="BH341" s="76"/>
      <c r="BI341" s="76"/>
      <c r="BJ341" s="76"/>
      <c r="BK341" s="76"/>
      <c r="BL341" s="76">
        <f>+BK341*31500</f>
        <v>0</v>
      </c>
      <c r="BM341" s="76"/>
      <c r="BN341" s="76"/>
      <c r="BO341" s="76"/>
      <c r="BP341" s="76"/>
      <c r="BQ341" s="76"/>
      <c r="BR341" s="76"/>
      <c r="BS341" s="76"/>
      <c r="BT341" s="76"/>
      <c r="BU341" s="76"/>
      <c r="BV341" s="76"/>
      <c r="BW341" s="76"/>
      <c r="BX341" s="76"/>
      <c r="BY341" s="76"/>
      <c r="BZ341" s="76"/>
      <c r="CA341" s="76"/>
      <c r="CB341" s="76"/>
      <c r="CC341" s="76"/>
      <c r="CD341" s="76"/>
      <c r="CE341" s="76"/>
      <c r="CF341" s="76">
        <f>+CE341*28000</f>
        <v>0</v>
      </c>
      <c r="CG341" s="76"/>
      <c r="CH341" s="76">
        <f>+CG341*22500</f>
        <v>0</v>
      </c>
      <c r="CI341" s="76"/>
      <c r="CJ341" s="76">
        <f>+CI341*26000</f>
        <v>0</v>
      </c>
      <c r="CK341" s="76"/>
      <c r="CL341" s="76"/>
      <c r="CM341" s="76"/>
      <c r="CN341" s="76">
        <f>+CM341*22000</f>
        <v>0</v>
      </c>
      <c r="CO341" s="76"/>
      <c r="CP341" s="76">
        <f>+CO341*46000</f>
        <v>0</v>
      </c>
      <c r="CQ341" s="76"/>
      <c r="CR341" s="76">
        <f>+CQ341*49000</f>
        <v>0</v>
      </c>
      <c r="CS341" s="76"/>
      <c r="CT341" s="76"/>
      <c r="CU341" s="56">
        <f>AN341+AP341+AR341+AT341+AV341+AX341+AZ341+BB341+BD341+BF341+BH341+BJ341+BL341+BN341+BP341+BR341+BT341+BV341+BX341+BZ341+CB341+CD341+CF341+CH341+CJ341+CL341+CN341+CP341+CR341+CT341</f>
        <v>0</v>
      </c>
      <c r="CV341" s="76"/>
      <c r="CW341" s="76">
        <f>+CV341*1100</f>
        <v>0</v>
      </c>
      <c r="CX341" s="76"/>
      <c r="CY341" s="76">
        <f>+CX341*106250</f>
        <v>0</v>
      </c>
      <c r="CZ341" s="76"/>
      <c r="DA341" s="76">
        <f>+CZ341*34500</f>
        <v>0</v>
      </c>
      <c r="DB341" s="76"/>
      <c r="DC341" s="76">
        <f>+DB341*25000</f>
        <v>0</v>
      </c>
      <c r="DD341" s="219"/>
      <c r="DE341" s="219"/>
      <c r="DF341" s="164"/>
      <c r="DG341" s="116"/>
      <c r="DH341" s="117"/>
      <c r="DI341" s="24"/>
      <c r="DJ341" s="24"/>
      <c r="DK341" s="24"/>
      <c r="DL341" s="24"/>
      <c r="DM341" s="24"/>
      <c r="DN341" s="24"/>
      <c r="DO341" s="24"/>
      <c r="DP341" s="24"/>
      <c r="DQ341" s="24"/>
      <c r="DR341" s="24"/>
      <c r="DS341" s="24"/>
      <c r="DT341" s="24"/>
      <c r="DU341" s="24"/>
    </row>
    <row r="342" spans="1:125" s="8" customFormat="1" ht="120" x14ac:dyDescent="0.2">
      <c r="A342" s="77">
        <v>41296</v>
      </c>
      <c r="B342" s="78" t="s">
        <v>2852</v>
      </c>
      <c r="C342" s="75" t="s">
        <v>1327</v>
      </c>
      <c r="D342" s="75" t="s">
        <v>2859</v>
      </c>
      <c r="E342" s="75" t="str">
        <f>VLOOKUP(B342&amp;C342,Divipola!$C$2:$F$1138,4,FALSE)</f>
        <v>27001</v>
      </c>
      <c r="F342" s="87"/>
      <c r="G342" s="87"/>
      <c r="H342" s="87"/>
      <c r="I342" s="87">
        <v>32</v>
      </c>
      <c r="J342" s="87">
        <v>9</v>
      </c>
      <c r="K342" s="87">
        <v>6</v>
      </c>
      <c r="L342" s="87">
        <v>1</v>
      </c>
      <c r="M342" s="87"/>
      <c r="N342" s="87"/>
      <c r="O342" s="87"/>
      <c r="P342" s="87"/>
      <c r="Q342" s="87"/>
      <c r="R342" s="87"/>
      <c r="S342" s="87"/>
      <c r="T342" s="87"/>
      <c r="U342" s="127"/>
      <c r="V342" s="89"/>
      <c r="W342" s="96">
        <v>0</v>
      </c>
      <c r="X342" s="71">
        <f>CU342</f>
        <v>0</v>
      </c>
      <c r="Y342" s="71">
        <f>CY342</f>
        <v>0</v>
      </c>
      <c r="Z342" s="71">
        <f>DA342+DC342+DE342</f>
        <v>106816807.8</v>
      </c>
      <c r="AA342" s="71">
        <f>CW342</f>
        <v>0</v>
      </c>
      <c r="AB342" s="71"/>
      <c r="AC342" s="71">
        <v>0</v>
      </c>
      <c r="AD342" s="71">
        <f>W342+X342+Y342+Z342+AA342+AB342+AC342</f>
        <v>106816807.8</v>
      </c>
      <c r="AE342" s="72">
        <v>0</v>
      </c>
      <c r="AF342" s="5"/>
      <c r="AG342" s="6"/>
      <c r="AH342" s="27" t="s">
        <v>3390</v>
      </c>
      <c r="AI342" s="44" t="s">
        <v>3391</v>
      </c>
      <c r="AJ342" s="26"/>
      <c r="AK342" s="5"/>
      <c r="AL342" s="82" t="s">
        <v>3486</v>
      </c>
      <c r="AM342" s="76"/>
      <c r="AN342" s="76"/>
      <c r="AO342" s="76"/>
      <c r="AP342" s="76"/>
      <c r="AQ342" s="76"/>
      <c r="AR342" s="76"/>
      <c r="AS342" s="76"/>
      <c r="AT342" s="76"/>
      <c r="AU342" s="76"/>
      <c r="AV342" s="76"/>
      <c r="AW342" s="76"/>
      <c r="AX342" s="76">
        <f>+AW342*600000</f>
        <v>0</v>
      </c>
      <c r="AY342" s="76"/>
      <c r="AZ342" s="76">
        <f>+AY342*70000</f>
        <v>0</v>
      </c>
      <c r="BA342" s="76"/>
      <c r="BB342" s="76"/>
      <c r="BC342" s="76"/>
      <c r="BD342" s="76">
        <f>+BC342*30000</f>
        <v>0</v>
      </c>
      <c r="BE342" s="76"/>
      <c r="BF342" s="76"/>
      <c r="BG342" s="76"/>
      <c r="BH342" s="76"/>
      <c r="BI342" s="76"/>
      <c r="BJ342" s="76"/>
      <c r="BK342" s="76"/>
      <c r="BL342" s="76">
        <f>+BK342*31500</f>
        <v>0</v>
      </c>
      <c r="BM342" s="76"/>
      <c r="BN342" s="76"/>
      <c r="BO342" s="76"/>
      <c r="BP342" s="76"/>
      <c r="BQ342" s="76"/>
      <c r="BR342" s="76"/>
      <c r="BS342" s="76"/>
      <c r="BT342" s="76"/>
      <c r="BU342" s="76"/>
      <c r="BV342" s="76"/>
      <c r="BW342" s="76"/>
      <c r="BX342" s="76"/>
      <c r="BY342" s="76"/>
      <c r="BZ342" s="76"/>
      <c r="CA342" s="76"/>
      <c r="CB342" s="76"/>
      <c r="CC342" s="76"/>
      <c r="CD342" s="76"/>
      <c r="CE342" s="76"/>
      <c r="CF342" s="76">
        <f>+CE342*28000</f>
        <v>0</v>
      </c>
      <c r="CG342" s="76"/>
      <c r="CH342" s="76">
        <f>+CG342*22500</f>
        <v>0</v>
      </c>
      <c r="CI342" s="76"/>
      <c r="CJ342" s="76">
        <f>+CI342*26000</f>
        <v>0</v>
      </c>
      <c r="CK342" s="76"/>
      <c r="CL342" s="76"/>
      <c r="CM342" s="76"/>
      <c r="CN342" s="76">
        <f>+CM342*22000</f>
        <v>0</v>
      </c>
      <c r="CO342" s="76"/>
      <c r="CP342" s="76">
        <f>+CO342*46000</f>
        <v>0</v>
      </c>
      <c r="CQ342" s="76"/>
      <c r="CR342" s="76">
        <f>+CQ342*49000</f>
        <v>0</v>
      </c>
      <c r="CS342" s="76"/>
      <c r="CT342" s="76"/>
      <c r="CU342" s="56">
        <f>AN342+AP342+AR342+AT342+AV342+AX342+AZ342+BB342+BD342+BF342+BH342+BJ342+BL342+BN342+BP342+BR342+BT342+BV342+BX342+BZ342+CB342+CD342+CF342+CH342+CJ342+CL342+CN342+CP342+CR342+CT342</f>
        <v>0</v>
      </c>
      <c r="CV342" s="76"/>
      <c r="CW342" s="76">
        <f>+CV342*1100</f>
        <v>0</v>
      </c>
      <c r="CX342" s="76"/>
      <c r="CY342" s="76">
        <f>+CX342*106250</f>
        <v>0</v>
      </c>
      <c r="CZ342" s="76"/>
      <c r="DA342" s="76">
        <f>+CZ342*34500</f>
        <v>0</v>
      </c>
      <c r="DB342" s="76"/>
      <c r="DC342" s="76">
        <f>+DB342*25000</f>
        <v>0</v>
      </c>
      <c r="DD342" s="92" t="s">
        <v>4897</v>
      </c>
      <c r="DE342" s="223">
        <v>106816807.8</v>
      </c>
      <c r="DF342" s="164"/>
      <c r="DG342" s="116"/>
      <c r="DH342" s="117"/>
      <c r="DI342" s="24"/>
      <c r="DJ342" s="24"/>
      <c r="DK342" s="24"/>
      <c r="DL342" s="24"/>
      <c r="DM342" s="24"/>
      <c r="DN342" s="24"/>
      <c r="DO342" s="24"/>
      <c r="DP342" s="24"/>
      <c r="DQ342" s="24"/>
      <c r="DR342" s="24"/>
      <c r="DS342" s="24"/>
      <c r="DT342" s="24"/>
      <c r="DU342" s="24"/>
    </row>
    <row r="343" spans="1:125" s="8" customFormat="1" ht="96" x14ac:dyDescent="0.2">
      <c r="A343" s="353">
        <v>41296</v>
      </c>
      <c r="B343" s="208" t="s">
        <v>2772</v>
      </c>
      <c r="C343" s="103" t="s">
        <v>1335</v>
      </c>
      <c r="D343" s="81" t="s">
        <v>2846</v>
      </c>
      <c r="E343" s="75" t="str">
        <f>VLOOKUP(B343&amp;C343,Divipola!$C$2:$F$1138,4,FALSE)</f>
        <v>25322</v>
      </c>
      <c r="F343" s="100"/>
      <c r="G343" s="100"/>
      <c r="H343" s="100"/>
      <c r="I343" s="100"/>
      <c r="J343" s="100"/>
      <c r="K343" s="100"/>
      <c r="L343" s="100"/>
      <c r="M343" s="100"/>
      <c r="N343" s="100"/>
      <c r="O343" s="100"/>
      <c r="P343" s="100"/>
      <c r="Q343" s="100"/>
      <c r="R343" s="100"/>
      <c r="S343" s="100"/>
      <c r="T343" s="100"/>
      <c r="U343" s="130">
        <v>1</v>
      </c>
      <c r="V343" s="193"/>
      <c r="W343" s="96">
        <v>0</v>
      </c>
      <c r="X343" s="71">
        <f>CU343</f>
        <v>0</v>
      </c>
      <c r="Y343" s="71">
        <f>CY343</f>
        <v>0</v>
      </c>
      <c r="Z343" s="71">
        <f>DA343+DC343+DE343</f>
        <v>0</v>
      </c>
      <c r="AA343" s="71">
        <f>CW343</f>
        <v>0</v>
      </c>
      <c r="AB343" s="71"/>
      <c r="AC343" s="71">
        <v>0</v>
      </c>
      <c r="AD343" s="71">
        <f>W343+X343+Y343+Z343+AA343+AB343+AC343</f>
        <v>0</v>
      </c>
      <c r="AE343" s="72">
        <v>0</v>
      </c>
      <c r="AF343" s="5"/>
      <c r="AG343" s="6"/>
      <c r="AH343" s="27" t="s">
        <v>3392</v>
      </c>
      <c r="AI343" s="44" t="s">
        <v>3393</v>
      </c>
      <c r="AJ343" s="26"/>
      <c r="AK343" s="5"/>
      <c r="AL343" s="82" t="s">
        <v>3181</v>
      </c>
      <c r="AM343" s="76"/>
      <c r="AN343" s="76"/>
      <c r="AO343" s="76"/>
      <c r="AP343" s="76"/>
      <c r="AQ343" s="76"/>
      <c r="AR343" s="76"/>
      <c r="AS343" s="76"/>
      <c r="AT343" s="76"/>
      <c r="AU343" s="76"/>
      <c r="AV343" s="76"/>
      <c r="AW343" s="76"/>
      <c r="AX343" s="76">
        <f>+AW343*600000</f>
        <v>0</v>
      </c>
      <c r="AY343" s="76"/>
      <c r="AZ343" s="76">
        <f>+AY343*70000</f>
        <v>0</v>
      </c>
      <c r="BA343" s="76"/>
      <c r="BB343" s="76"/>
      <c r="BC343" s="76"/>
      <c r="BD343" s="76">
        <f>+BC343*30000</f>
        <v>0</v>
      </c>
      <c r="BE343" s="76"/>
      <c r="BF343" s="76"/>
      <c r="BG343" s="76"/>
      <c r="BH343" s="76"/>
      <c r="BI343" s="76"/>
      <c r="BJ343" s="76"/>
      <c r="BK343" s="76"/>
      <c r="BL343" s="76">
        <f>+BK343*31500</f>
        <v>0</v>
      </c>
      <c r="BM343" s="76"/>
      <c r="BN343" s="76"/>
      <c r="BO343" s="76"/>
      <c r="BP343" s="76"/>
      <c r="BQ343" s="76"/>
      <c r="BR343" s="76"/>
      <c r="BS343" s="76"/>
      <c r="BT343" s="76"/>
      <c r="BU343" s="76"/>
      <c r="BV343" s="76"/>
      <c r="BW343" s="76"/>
      <c r="BX343" s="76"/>
      <c r="BY343" s="76"/>
      <c r="BZ343" s="76"/>
      <c r="CA343" s="76"/>
      <c r="CB343" s="76"/>
      <c r="CC343" s="76"/>
      <c r="CD343" s="76"/>
      <c r="CE343" s="76"/>
      <c r="CF343" s="76">
        <f>+CE343*28000</f>
        <v>0</v>
      </c>
      <c r="CG343" s="76"/>
      <c r="CH343" s="76">
        <f>+CG343*22500</f>
        <v>0</v>
      </c>
      <c r="CI343" s="76"/>
      <c r="CJ343" s="76">
        <f>+CI343*26000</f>
        <v>0</v>
      </c>
      <c r="CK343" s="76"/>
      <c r="CL343" s="76"/>
      <c r="CM343" s="76"/>
      <c r="CN343" s="76">
        <f>+CM343*22000</f>
        <v>0</v>
      </c>
      <c r="CO343" s="76"/>
      <c r="CP343" s="76">
        <f>+CO343*46000</f>
        <v>0</v>
      </c>
      <c r="CQ343" s="76"/>
      <c r="CR343" s="76">
        <f>+CQ343*49000</f>
        <v>0</v>
      </c>
      <c r="CS343" s="76"/>
      <c r="CT343" s="76"/>
      <c r="CU343" s="56">
        <f>AN343+AP343+AR343+AT343+AV343+AX343+AZ343+BB343+BD343+BF343+BH343+BJ343+BL343+BN343+BP343+BR343+BT343+BV343+BX343+BZ343+CB343+CD343+CF343+CH343+CJ343+CL343+CN343+CP343+CR343+CT343</f>
        <v>0</v>
      </c>
      <c r="CV343" s="76"/>
      <c r="CW343" s="76">
        <f>+CV343*1100</f>
        <v>0</v>
      </c>
      <c r="CX343" s="76"/>
      <c r="CY343" s="76">
        <f>+CX343*106250</f>
        <v>0</v>
      </c>
      <c r="CZ343" s="76"/>
      <c r="DA343" s="76">
        <f>+CZ343*34500</f>
        <v>0</v>
      </c>
      <c r="DB343" s="76"/>
      <c r="DC343" s="76">
        <f>+DB343*25000</f>
        <v>0</v>
      </c>
      <c r="DD343" s="219"/>
      <c r="DE343" s="219"/>
      <c r="DF343" s="164"/>
      <c r="DG343" s="116"/>
      <c r="DH343" s="117"/>
      <c r="DI343" s="24"/>
      <c r="DJ343" s="24"/>
      <c r="DK343" s="24"/>
      <c r="DL343" s="24"/>
      <c r="DM343" s="24"/>
      <c r="DN343" s="24"/>
      <c r="DO343" s="24"/>
      <c r="DP343" s="24"/>
      <c r="DQ343" s="24"/>
      <c r="DR343" s="24"/>
      <c r="DS343" s="24"/>
      <c r="DT343" s="24"/>
      <c r="DU343" s="24"/>
    </row>
    <row r="344" spans="1:125" s="8" customFormat="1" ht="96" x14ac:dyDescent="0.2">
      <c r="A344" s="226">
        <v>41296</v>
      </c>
      <c r="B344" s="208" t="s">
        <v>2772</v>
      </c>
      <c r="C344" s="354" t="s">
        <v>2829</v>
      </c>
      <c r="D344" s="81" t="s">
        <v>2846</v>
      </c>
      <c r="E344" s="75" t="str">
        <f>VLOOKUP(B344&amp;C344,Divipola!$C$2:$F$1138,4,FALSE)</f>
        <v>25372</v>
      </c>
      <c r="F344" s="101"/>
      <c r="G344" s="101"/>
      <c r="H344" s="101"/>
      <c r="I344" s="101"/>
      <c r="J344" s="101"/>
      <c r="K344" s="101"/>
      <c r="L344" s="101"/>
      <c r="M344" s="101"/>
      <c r="N344" s="101"/>
      <c r="O344" s="101"/>
      <c r="P344" s="101"/>
      <c r="Q344" s="101"/>
      <c r="R344" s="101"/>
      <c r="S344" s="101"/>
      <c r="T344" s="101"/>
      <c r="U344" s="129">
        <v>4</v>
      </c>
      <c r="V344" s="193"/>
      <c r="W344" s="96">
        <v>0</v>
      </c>
      <c r="X344" s="71">
        <f>CU344</f>
        <v>0</v>
      </c>
      <c r="Y344" s="71">
        <f>CY344</f>
        <v>0</v>
      </c>
      <c r="Z344" s="71">
        <f>DA344+DC344+DE344</f>
        <v>0</v>
      </c>
      <c r="AA344" s="71">
        <f>CW344</f>
        <v>0</v>
      </c>
      <c r="AB344" s="71"/>
      <c r="AC344" s="71">
        <v>0</v>
      </c>
      <c r="AD344" s="71">
        <f>W344+X344+Y344+Z344+AA344+AB344+AC344</f>
        <v>0</v>
      </c>
      <c r="AE344" s="72">
        <v>0</v>
      </c>
      <c r="AF344" s="5"/>
      <c r="AG344" s="6"/>
      <c r="AH344" s="27" t="s">
        <v>3392</v>
      </c>
      <c r="AI344" s="44" t="s">
        <v>3393</v>
      </c>
      <c r="AJ344" s="26"/>
      <c r="AK344" s="5"/>
      <c r="AL344" s="82" t="s">
        <v>3244</v>
      </c>
      <c r="AM344" s="76"/>
      <c r="AN344" s="76"/>
      <c r="AO344" s="76"/>
      <c r="AP344" s="76"/>
      <c r="AQ344" s="76"/>
      <c r="AR344" s="76"/>
      <c r="AS344" s="76"/>
      <c r="AT344" s="76"/>
      <c r="AU344" s="76"/>
      <c r="AV344" s="76"/>
      <c r="AW344" s="76"/>
      <c r="AX344" s="76">
        <f>+AW344*600000</f>
        <v>0</v>
      </c>
      <c r="AY344" s="76"/>
      <c r="AZ344" s="76">
        <f>+AY344*70000</f>
        <v>0</v>
      </c>
      <c r="BA344" s="76"/>
      <c r="BB344" s="76"/>
      <c r="BC344" s="76"/>
      <c r="BD344" s="76">
        <f>+BC344*30000</f>
        <v>0</v>
      </c>
      <c r="BE344" s="76"/>
      <c r="BF344" s="76"/>
      <c r="BG344" s="76"/>
      <c r="BH344" s="76"/>
      <c r="BI344" s="76"/>
      <c r="BJ344" s="76"/>
      <c r="BK344" s="76"/>
      <c r="BL344" s="76">
        <f>+BK344*31500</f>
        <v>0</v>
      </c>
      <c r="BM344" s="76"/>
      <c r="BN344" s="76"/>
      <c r="BO344" s="76"/>
      <c r="BP344" s="76"/>
      <c r="BQ344" s="76"/>
      <c r="BR344" s="76"/>
      <c r="BS344" s="76"/>
      <c r="BT344" s="76"/>
      <c r="BU344" s="76"/>
      <c r="BV344" s="76"/>
      <c r="BW344" s="76"/>
      <c r="BX344" s="76"/>
      <c r="BY344" s="76"/>
      <c r="BZ344" s="76"/>
      <c r="CA344" s="76"/>
      <c r="CB344" s="76"/>
      <c r="CC344" s="76"/>
      <c r="CD344" s="76"/>
      <c r="CE344" s="76"/>
      <c r="CF344" s="76">
        <f>+CE344*28000</f>
        <v>0</v>
      </c>
      <c r="CG344" s="76"/>
      <c r="CH344" s="76">
        <f>+CG344*22500</f>
        <v>0</v>
      </c>
      <c r="CI344" s="76"/>
      <c r="CJ344" s="76">
        <f>+CI344*26000</f>
        <v>0</v>
      </c>
      <c r="CK344" s="76"/>
      <c r="CL344" s="76"/>
      <c r="CM344" s="76"/>
      <c r="CN344" s="76">
        <f>+CM344*22000</f>
        <v>0</v>
      </c>
      <c r="CO344" s="76"/>
      <c r="CP344" s="76">
        <f>+CO344*46000</f>
        <v>0</v>
      </c>
      <c r="CQ344" s="76"/>
      <c r="CR344" s="76">
        <f>+CQ344*49000</f>
        <v>0</v>
      </c>
      <c r="CS344" s="76"/>
      <c r="CT344" s="76"/>
      <c r="CU344" s="56">
        <f>AN344+AP344+AR344+AT344+AV344+AX344+AZ344+BB344+BD344+BF344+BH344+BJ344+BL344+BN344+BP344+BR344+BT344+BV344+BX344+BZ344+CB344+CD344+CF344+CH344+CJ344+CL344+CN344+CP344+CR344+CT344</f>
        <v>0</v>
      </c>
      <c r="CV344" s="76"/>
      <c r="CW344" s="76">
        <f>+CV344*1100</f>
        <v>0</v>
      </c>
      <c r="CX344" s="76"/>
      <c r="CY344" s="76">
        <f>+CX344*106250</f>
        <v>0</v>
      </c>
      <c r="CZ344" s="76"/>
      <c r="DA344" s="76">
        <f>+CZ344*34500</f>
        <v>0</v>
      </c>
      <c r="DB344" s="76"/>
      <c r="DC344" s="76">
        <f>+DB344*25000</f>
        <v>0</v>
      </c>
      <c r="DD344" s="219"/>
      <c r="DE344" s="219"/>
      <c r="DF344" s="164"/>
      <c r="DG344" s="116"/>
      <c r="DH344" s="117"/>
      <c r="DI344" s="24"/>
      <c r="DJ344" s="24"/>
      <c r="DK344" s="24"/>
      <c r="DL344" s="24"/>
      <c r="DM344" s="24"/>
      <c r="DN344" s="24"/>
      <c r="DO344" s="24"/>
      <c r="DP344" s="24"/>
      <c r="DQ344" s="24"/>
      <c r="DR344" s="24"/>
      <c r="DS344" s="24"/>
      <c r="DT344" s="24"/>
      <c r="DU344" s="24"/>
    </row>
    <row r="345" spans="1:125" s="8" customFormat="1" ht="72" x14ac:dyDescent="0.2">
      <c r="A345" s="226">
        <v>41296</v>
      </c>
      <c r="B345" s="102" t="s">
        <v>2772</v>
      </c>
      <c r="C345" s="102" t="s">
        <v>1110</v>
      </c>
      <c r="D345" s="81" t="s">
        <v>2846</v>
      </c>
      <c r="E345" s="75" t="str">
        <f>VLOOKUP(B345&amp;C345,Divipola!$C$2:$F$1138,4,FALSE)</f>
        <v>25436</v>
      </c>
      <c r="F345" s="193"/>
      <c r="G345" s="193"/>
      <c r="H345" s="193"/>
      <c r="I345" s="193"/>
      <c r="J345" s="193"/>
      <c r="K345" s="193"/>
      <c r="L345" s="193"/>
      <c r="M345" s="193"/>
      <c r="N345" s="193"/>
      <c r="O345" s="193"/>
      <c r="P345" s="193"/>
      <c r="Q345" s="193"/>
      <c r="R345" s="193"/>
      <c r="S345" s="193"/>
      <c r="T345" s="193"/>
      <c r="U345" s="132">
        <v>2</v>
      </c>
      <c r="V345" s="193"/>
      <c r="W345" s="96">
        <v>0</v>
      </c>
      <c r="X345" s="71">
        <f>CU345</f>
        <v>0</v>
      </c>
      <c r="Y345" s="71">
        <f>CY345</f>
        <v>0</v>
      </c>
      <c r="Z345" s="71">
        <f>DA345+DC345+DE345</f>
        <v>0</v>
      </c>
      <c r="AA345" s="71">
        <f>CW345</f>
        <v>0</v>
      </c>
      <c r="AB345" s="71"/>
      <c r="AC345" s="71">
        <v>0</v>
      </c>
      <c r="AD345" s="71">
        <f>W345+X345+Y345+Z345+AA345+AB345+AC345</f>
        <v>0</v>
      </c>
      <c r="AE345" s="72">
        <v>0</v>
      </c>
      <c r="AF345" s="5"/>
      <c r="AG345" s="6"/>
      <c r="AH345" s="27" t="s">
        <v>3392</v>
      </c>
      <c r="AI345" s="44" t="s">
        <v>3393</v>
      </c>
      <c r="AJ345" s="26"/>
      <c r="AK345" s="5"/>
      <c r="AL345" s="82" t="s">
        <v>3182</v>
      </c>
      <c r="AM345" s="76"/>
      <c r="AN345" s="76"/>
      <c r="AO345" s="76"/>
      <c r="AP345" s="76"/>
      <c r="AQ345" s="76"/>
      <c r="AR345" s="76"/>
      <c r="AS345" s="76"/>
      <c r="AT345" s="76"/>
      <c r="AU345" s="76"/>
      <c r="AV345" s="76"/>
      <c r="AW345" s="76"/>
      <c r="AX345" s="76">
        <f>+AW345*600000</f>
        <v>0</v>
      </c>
      <c r="AY345" s="76"/>
      <c r="AZ345" s="76">
        <f>+AY345*70000</f>
        <v>0</v>
      </c>
      <c r="BA345" s="76"/>
      <c r="BB345" s="76"/>
      <c r="BC345" s="76"/>
      <c r="BD345" s="76">
        <f>+BC345*30000</f>
        <v>0</v>
      </c>
      <c r="BE345" s="76"/>
      <c r="BF345" s="76"/>
      <c r="BG345" s="76"/>
      <c r="BH345" s="76"/>
      <c r="BI345" s="76"/>
      <c r="BJ345" s="76"/>
      <c r="BK345" s="76"/>
      <c r="BL345" s="76">
        <f>+BK345*31500</f>
        <v>0</v>
      </c>
      <c r="BM345" s="76"/>
      <c r="BN345" s="76"/>
      <c r="BO345" s="76"/>
      <c r="BP345" s="76"/>
      <c r="BQ345" s="76"/>
      <c r="BR345" s="76"/>
      <c r="BS345" s="76"/>
      <c r="BT345" s="76"/>
      <c r="BU345" s="76"/>
      <c r="BV345" s="76"/>
      <c r="BW345" s="76"/>
      <c r="BX345" s="76"/>
      <c r="BY345" s="76"/>
      <c r="BZ345" s="76"/>
      <c r="CA345" s="76"/>
      <c r="CB345" s="76"/>
      <c r="CC345" s="76"/>
      <c r="CD345" s="76"/>
      <c r="CE345" s="76"/>
      <c r="CF345" s="76">
        <f>+CE345*28000</f>
        <v>0</v>
      </c>
      <c r="CG345" s="76"/>
      <c r="CH345" s="76">
        <f>+CG345*22500</f>
        <v>0</v>
      </c>
      <c r="CI345" s="76"/>
      <c r="CJ345" s="76">
        <f>+CI345*26000</f>
        <v>0</v>
      </c>
      <c r="CK345" s="76"/>
      <c r="CL345" s="76"/>
      <c r="CM345" s="76"/>
      <c r="CN345" s="76">
        <f>+CM345*22000</f>
        <v>0</v>
      </c>
      <c r="CO345" s="76"/>
      <c r="CP345" s="76">
        <f>+CO345*46000</f>
        <v>0</v>
      </c>
      <c r="CQ345" s="76"/>
      <c r="CR345" s="76">
        <f>+CQ345*49000</f>
        <v>0</v>
      </c>
      <c r="CS345" s="76"/>
      <c r="CT345" s="76"/>
      <c r="CU345" s="56">
        <f>AN345+AP345+AR345+AT345+AV345+AX345+AZ345+BB345+BD345+BF345+BH345+BJ345+BL345+BN345+BP345+BR345+BT345+BV345+BX345+BZ345+CB345+CD345+CF345+CH345+CJ345+CL345+CN345+CP345+CR345+CT345</f>
        <v>0</v>
      </c>
      <c r="CV345" s="76"/>
      <c r="CW345" s="76">
        <f>+CV345*1100</f>
        <v>0</v>
      </c>
      <c r="CX345" s="76"/>
      <c r="CY345" s="76">
        <f>+CX345*106250</f>
        <v>0</v>
      </c>
      <c r="CZ345" s="76"/>
      <c r="DA345" s="76">
        <f>+CZ345*34500</f>
        <v>0</v>
      </c>
      <c r="DB345" s="76"/>
      <c r="DC345" s="76">
        <f>+DB345*25000</f>
        <v>0</v>
      </c>
      <c r="DD345" s="219"/>
      <c r="DE345" s="219"/>
      <c r="DF345" s="164"/>
      <c r="DG345" s="116"/>
      <c r="DH345" s="117"/>
      <c r="DI345" s="24"/>
      <c r="DJ345" s="24"/>
      <c r="DK345" s="24"/>
      <c r="DL345" s="24"/>
      <c r="DM345" s="24"/>
      <c r="DN345" s="24"/>
      <c r="DO345" s="24"/>
      <c r="DP345" s="24"/>
      <c r="DQ345" s="24"/>
      <c r="DR345" s="24"/>
      <c r="DS345" s="24"/>
      <c r="DT345" s="24"/>
      <c r="DU345" s="24"/>
    </row>
    <row r="346" spans="1:125" s="8" customFormat="1" ht="48" x14ac:dyDescent="0.2">
      <c r="A346" s="353">
        <v>41296</v>
      </c>
      <c r="B346" s="352" t="s">
        <v>1695</v>
      </c>
      <c r="C346" s="354" t="s">
        <v>2296</v>
      </c>
      <c r="D346" s="81" t="s">
        <v>2846</v>
      </c>
      <c r="E346" s="75" t="str">
        <f>VLOOKUP(B346&amp;C346,Divipola!$C$2:$F$1138,4,FALSE)</f>
        <v>95025</v>
      </c>
      <c r="F346" s="101"/>
      <c r="G346" s="101"/>
      <c r="H346" s="101"/>
      <c r="I346" s="101"/>
      <c r="J346" s="101"/>
      <c r="K346" s="101"/>
      <c r="L346" s="101"/>
      <c r="M346" s="101"/>
      <c r="N346" s="101"/>
      <c r="O346" s="101"/>
      <c r="P346" s="101"/>
      <c r="Q346" s="101"/>
      <c r="R346" s="101"/>
      <c r="S346" s="101"/>
      <c r="T346" s="101"/>
      <c r="U346" s="129">
        <v>4</v>
      </c>
      <c r="V346" s="193"/>
      <c r="W346" s="96">
        <v>0</v>
      </c>
      <c r="X346" s="71">
        <f>CU346</f>
        <v>0</v>
      </c>
      <c r="Y346" s="71">
        <f>CY346</f>
        <v>0</v>
      </c>
      <c r="Z346" s="71">
        <f>DA346+DC346+DE346</f>
        <v>0</v>
      </c>
      <c r="AA346" s="71">
        <f>CW346</f>
        <v>0</v>
      </c>
      <c r="AB346" s="71"/>
      <c r="AC346" s="71">
        <v>0</v>
      </c>
      <c r="AD346" s="71">
        <f>W346+X346+Y346+Z346+AA346+AB346+AC346</f>
        <v>0</v>
      </c>
      <c r="AE346" s="72">
        <v>0</v>
      </c>
      <c r="AF346" s="5"/>
      <c r="AG346" s="6"/>
      <c r="AH346" s="27" t="s">
        <v>3392</v>
      </c>
      <c r="AI346" s="44" t="s">
        <v>3393</v>
      </c>
      <c r="AJ346" s="26"/>
      <c r="AK346" s="5"/>
      <c r="AL346" s="82" t="s">
        <v>3179</v>
      </c>
      <c r="AM346" s="76"/>
      <c r="AN346" s="76"/>
      <c r="AO346" s="76"/>
      <c r="AP346" s="76"/>
      <c r="AQ346" s="76"/>
      <c r="AR346" s="76"/>
      <c r="AS346" s="76"/>
      <c r="AT346" s="76"/>
      <c r="AU346" s="76"/>
      <c r="AV346" s="76"/>
      <c r="AW346" s="76"/>
      <c r="AX346" s="76">
        <f>+AW346*600000</f>
        <v>0</v>
      </c>
      <c r="AY346" s="76"/>
      <c r="AZ346" s="76">
        <f>+AY346*70000</f>
        <v>0</v>
      </c>
      <c r="BA346" s="76"/>
      <c r="BB346" s="76"/>
      <c r="BC346" s="76"/>
      <c r="BD346" s="76">
        <f>+BC346*30000</f>
        <v>0</v>
      </c>
      <c r="BE346" s="76"/>
      <c r="BF346" s="76"/>
      <c r="BG346" s="76"/>
      <c r="BH346" s="76"/>
      <c r="BI346" s="76"/>
      <c r="BJ346" s="76"/>
      <c r="BK346" s="76"/>
      <c r="BL346" s="76">
        <f>+BK346*31500</f>
        <v>0</v>
      </c>
      <c r="BM346" s="76"/>
      <c r="BN346" s="76"/>
      <c r="BO346" s="76"/>
      <c r="BP346" s="76"/>
      <c r="BQ346" s="76"/>
      <c r="BR346" s="76"/>
      <c r="BS346" s="76"/>
      <c r="BT346" s="76"/>
      <c r="BU346" s="76"/>
      <c r="BV346" s="76"/>
      <c r="BW346" s="76"/>
      <c r="BX346" s="76"/>
      <c r="BY346" s="76"/>
      <c r="BZ346" s="76"/>
      <c r="CA346" s="76"/>
      <c r="CB346" s="76"/>
      <c r="CC346" s="76"/>
      <c r="CD346" s="76"/>
      <c r="CE346" s="76"/>
      <c r="CF346" s="76">
        <f>+CE346*28000</f>
        <v>0</v>
      </c>
      <c r="CG346" s="76"/>
      <c r="CH346" s="76">
        <f>+CG346*22500</f>
        <v>0</v>
      </c>
      <c r="CI346" s="76"/>
      <c r="CJ346" s="76">
        <f>+CI346*26000</f>
        <v>0</v>
      </c>
      <c r="CK346" s="76"/>
      <c r="CL346" s="76"/>
      <c r="CM346" s="76"/>
      <c r="CN346" s="76">
        <f>+CM346*22000</f>
        <v>0</v>
      </c>
      <c r="CO346" s="76"/>
      <c r="CP346" s="76">
        <f>+CO346*46000</f>
        <v>0</v>
      </c>
      <c r="CQ346" s="76"/>
      <c r="CR346" s="76">
        <f>+CQ346*49000</f>
        <v>0</v>
      </c>
      <c r="CS346" s="76"/>
      <c r="CT346" s="76"/>
      <c r="CU346" s="56">
        <f>AN346+AP346+AR346+AT346+AV346+AX346+AZ346+BB346+BD346+BF346+BH346+BJ346+BL346+BN346+BP346+BR346+BT346+BV346+BX346+BZ346+CB346+CD346+CF346+CH346+CJ346+CL346+CN346+CP346+CR346+CT346</f>
        <v>0</v>
      </c>
      <c r="CV346" s="76"/>
      <c r="CW346" s="76">
        <f>+CV346*1100</f>
        <v>0</v>
      </c>
      <c r="CX346" s="76"/>
      <c r="CY346" s="76">
        <f>+CX346*106250</f>
        <v>0</v>
      </c>
      <c r="CZ346" s="76"/>
      <c r="DA346" s="76">
        <f>+CZ346*34500</f>
        <v>0</v>
      </c>
      <c r="DB346" s="76"/>
      <c r="DC346" s="76">
        <f>+DB346*25000</f>
        <v>0</v>
      </c>
      <c r="DD346" s="219"/>
      <c r="DE346" s="219"/>
      <c r="DF346" s="164"/>
      <c r="DG346" s="116"/>
      <c r="DH346" s="117"/>
      <c r="DI346" s="24"/>
      <c r="DJ346" s="24"/>
      <c r="DK346" s="24"/>
      <c r="DL346" s="24"/>
      <c r="DM346" s="24"/>
      <c r="DN346" s="24"/>
      <c r="DO346" s="24"/>
      <c r="DP346" s="24"/>
      <c r="DQ346" s="24"/>
      <c r="DR346" s="24"/>
      <c r="DS346" s="24"/>
      <c r="DT346" s="24"/>
      <c r="DU346" s="24"/>
    </row>
    <row r="347" spans="1:125" s="8" customFormat="1" ht="48" x14ac:dyDescent="0.2">
      <c r="A347" s="77">
        <v>41297</v>
      </c>
      <c r="B347" s="352" t="s">
        <v>2778</v>
      </c>
      <c r="C347" s="354" t="s">
        <v>2001</v>
      </c>
      <c r="D347" s="81" t="s">
        <v>2846</v>
      </c>
      <c r="E347" s="75" t="str">
        <f>VLOOKUP(B347&amp;C347,Divipola!$C$2:$F$1138,4,FALSE)</f>
        <v>85162</v>
      </c>
      <c r="F347" s="87"/>
      <c r="G347" s="87"/>
      <c r="H347" s="87"/>
      <c r="I347" s="87"/>
      <c r="J347" s="87"/>
      <c r="K347" s="87"/>
      <c r="L347" s="87"/>
      <c r="M347" s="87"/>
      <c r="N347" s="87"/>
      <c r="O347" s="87"/>
      <c r="P347" s="87"/>
      <c r="Q347" s="87"/>
      <c r="R347" s="87"/>
      <c r="S347" s="87"/>
      <c r="T347" s="87"/>
      <c r="U347" s="127">
        <v>40</v>
      </c>
      <c r="V347" s="89"/>
      <c r="W347" s="96">
        <v>0</v>
      </c>
      <c r="X347" s="71">
        <f>CU347</f>
        <v>0</v>
      </c>
      <c r="Y347" s="71">
        <f>CY347</f>
        <v>0</v>
      </c>
      <c r="Z347" s="71">
        <f>DA347+DC347+DE347</f>
        <v>0</v>
      </c>
      <c r="AA347" s="71">
        <f>CW347</f>
        <v>0</v>
      </c>
      <c r="AB347" s="71"/>
      <c r="AC347" s="71">
        <v>0</v>
      </c>
      <c r="AD347" s="71">
        <f>W347+X347+Y347+Z347+AA347+AB347+AC347</f>
        <v>0</v>
      </c>
      <c r="AE347" s="72">
        <v>0</v>
      </c>
      <c r="AF347" s="5"/>
      <c r="AG347" s="6"/>
      <c r="AH347" s="27" t="s">
        <v>3392</v>
      </c>
      <c r="AI347" s="44" t="s">
        <v>3393</v>
      </c>
      <c r="AJ347" s="26"/>
      <c r="AK347" s="5"/>
      <c r="AL347" s="82" t="s">
        <v>3186</v>
      </c>
      <c r="AM347" s="76"/>
      <c r="AN347" s="76"/>
      <c r="AO347" s="76"/>
      <c r="AP347" s="76"/>
      <c r="AQ347" s="76"/>
      <c r="AR347" s="76"/>
      <c r="AS347" s="76"/>
      <c r="AT347" s="76"/>
      <c r="AU347" s="76"/>
      <c r="AV347" s="76"/>
      <c r="AW347" s="76"/>
      <c r="AX347" s="76">
        <f>+AW347*600000</f>
        <v>0</v>
      </c>
      <c r="AY347" s="76"/>
      <c r="AZ347" s="76">
        <f>+AY347*70000</f>
        <v>0</v>
      </c>
      <c r="BA347" s="76"/>
      <c r="BB347" s="76"/>
      <c r="BC347" s="76"/>
      <c r="BD347" s="76">
        <f>+BC347*30000</f>
        <v>0</v>
      </c>
      <c r="BE347" s="76"/>
      <c r="BF347" s="76"/>
      <c r="BG347" s="76"/>
      <c r="BH347" s="76"/>
      <c r="BI347" s="76"/>
      <c r="BJ347" s="76"/>
      <c r="BK347" s="76"/>
      <c r="BL347" s="76">
        <f>+BK347*31500</f>
        <v>0</v>
      </c>
      <c r="BM347" s="76"/>
      <c r="BN347" s="76"/>
      <c r="BO347" s="76"/>
      <c r="BP347" s="76"/>
      <c r="BQ347" s="76"/>
      <c r="BR347" s="76"/>
      <c r="BS347" s="76"/>
      <c r="BT347" s="76"/>
      <c r="BU347" s="76"/>
      <c r="BV347" s="76"/>
      <c r="BW347" s="76"/>
      <c r="BX347" s="76"/>
      <c r="BY347" s="76"/>
      <c r="BZ347" s="76"/>
      <c r="CA347" s="76"/>
      <c r="CB347" s="76"/>
      <c r="CC347" s="76"/>
      <c r="CD347" s="76"/>
      <c r="CE347" s="76"/>
      <c r="CF347" s="76">
        <f>+CE347*28000</f>
        <v>0</v>
      </c>
      <c r="CG347" s="76"/>
      <c r="CH347" s="76">
        <f>+CG347*22500</f>
        <v>0</v>
      </c>
      <c r="CI347" s="76"/>
      <c r="CJ347" s="76">
        <f>+CI347*26000</f>
        <v>0</v>
      </c>
      <c r="CK347" s="76"/>
      <c r="CL347" s="76"/>
      <c r="CM347" s="76"/>
      <c r="CN347" s="76">
        <f>+CM347*22000</f>
        <v>0</v>
      </c>
      <c r="CO347" s="76"/>
      <c r="CP347" s="76">
        <f>+CO347*46000</f>
        <v>0</v>
      </c>
      <c r="CQ347" s="76"/>
      <c r="CR347" s="76">
        <f>+CQ347*49000</f>
        <v>0</v>
      </c>
      <c r="CS347" s="76"/>
      <c r="CT347" s="76"/>
      <c r="CU347" s="56">
        <f>AN347+AP347+AR347+AT347+AV347+AX347+AZ347+BB347+BD347+BF347+BH347+BJ347+BL347+BN347+BP347+BR347+BT347+BV347+BX347+BZ347+CB347+CD347+CF347+CH347+CJ347+CL347+CN347+CP347+CR347+CT347</f>
        <v>0</v>
      </c>
      <c r="CV347" s="76"/>
      <c r="CW347" s="76">
        <f>+CV347*1100</f>
        <v>0</v>
      </c>
      <c r="CX347" s="76"/>
      <c r="CY347" s="76">
        <f>+CX347*106250</f>
        <v>0</v>
      </c>
      <c r="CZ347" s="76"/>
      <c r="DA347" s="76">
        <f>+CZ347*34500</f>
        <v>0</v>
      </c>
      <c r="DB347" s="76"/>
      <c r="DC347" s="76">
        <f>+DB347*25000</f>
        <v>0</v>
      </c>
      <c r="DD347" s="219"/>
      <c r="DE347" s="219"/>
      <c r="DF347" s="164"/>
      <c r="DG347" s="116"/>
      <c r="DH347" s="117"/>
      <c r="DI347" s="24"/>
      <c r="DJ347" s="24"/>
      <c r="DK347" s="24"/>
      <c r="DL347" s="24"/>
      <c r="DM347" s="24"/>
      <c r="DN347" s="24"/>
      <c r="DO347" s="24"/>
      <c r="DP347" s="24"/>
      <c r="DQ347" s="24"/>
      <c r="DR347" s="24"/>
      <c r="DS347" s="24"/>
      <c r="DT347" s="24"/>
      <c r="DU347" s="24"/>
    </row>
    <row r="348" spans="1:125" s="8" customFormat="1" ht="60" x14ac:dyDescent="0.2">
      <c r="A348" s="77">
        <v>41297</v>
      </c>
      <c r="B348" s="225" t="s">
        <v>2772</v>
      </c>
      <c r="C348" s="227" t="s">
        <v>1394</v>
      </c>
      <c r="D348" s="81" t="s">
        <v>2846</v>
      </c>
      <c r="E348" s="75" t="str">
        <f>VLOOKUP(B348&amp;C348,Divipola!$C$2:$F$1138,4,FALSE)</f>
        <v>25297</v>
      </c>
      <c r="F348" s="87"/>
      <c r="G348" s="87"/>
      <c r="H348" s="87"/>
      <c r="I348" s="87"/>
      <c r="J348" s="87"/>
      <c r="K348" s="87"/>
      <c r="L348" s="87"/>
      <c r="M348" s="87"/>
      <c r="N348" s="87"/>
      <c r="O348" s="87"/>
      <c r="P348" s="87"/>
      <c r="Q348" s="87"/>
      <c r="R348" s="87"/>
      <c r="S348" s="87"/>
      <c r="T348" s="87"/>
      <c r="U348" s="127">
        <v>10</v>
      </c>
      <c r="V348" s="89"/>
      <c r="W348" s="96">
        <v>0</v>
      </c>
      <c r="X348" s="71">
        <f>CU348</f>
        <v>0</v>
      </c>
      <c r="Y348" s="71">
        <f>CY348</f>
        <v>0</v>
      </c>
      <c r="Z348" s="71">
        <f>DA348+DC348+DE348</f>
        <v>0</v>
      </c>
      <c r="AA348" s="71">
        <f>CW348</f>
        <v>0</v>
      </c>
      <c r="AB348" s="71"/>
      <c r="AC348" s="71">
        <v>0</v>
      </c>
      <c r="AD348" s="71">
        <f>W348+X348+Y348+Z348+AA348+AB348+AC348</f>
        <v>0</v>
      </c>
      <c r="AE348" s="72">
        <v>0</v>
      </c>
      <c r="AF348" s="5"/>
      <c r="AG348" s="6"/>
      <c r="AH348" s="27" t="s">
        <v>3392</v>
      </c>
      <c r="AI348" s="44" t="s">
        <v>3393</v>
      </c>
      <c r="AJ348" s="26"/>
      <c r="AK348" s="5"/>
      <c r="AL348" s="82" t="s">
        <v>3184</v>
      </c>
      <c r="AM348" s="76"/>
      <c r="AN348" s="76"/>
      <c r="AO348" s="76"/>
      <c r="AP348" s="76"/>
      <c r="AQ348" s="76"/>
      <c r="AR348" s="76"/>
      <c r="AS348" s="76"/>
      <c r="AT348" s="76"/>
      <c r="AU348" s="76"/>
      <c r="AV348" s="76"/>
      <c r="AW348" s="76"/>
      <c r="AX348" s="76">
        <f>+AW348*600000</f>
        <v>0</v>
      </c>
      <c r="AY348" s="76"/>
      <c r="AZ348" s="76">
        <f>+AY348*70000</f>
        <v>0</v>
      </c>
      <c r="BA348" s="76"/>
      <c r="BB348" s="76"/>
      <c r="BC348" s="76"/>
      <c r="BD348" s="76">
        <f>+BC348*30000</f>
        <v>0</v>
      </c>
      <c r="BE348" s="76"/>
      <c r="BF348" s="76"/>
      <c r="BG348" s="76"/>
      <c r="BH348" s="76"/>
      <c r="BI348" s="76"/>
      <c r="BJ348" s="76"/>
      <c r="BK348" s="76"/>
      <c r="BL348" s="76">
        <f>+BK348*31500</f>
        <v>0</v>
      </c>
      <c r="BM348" s="76"/>
      <c r="BN348" s="76"/>
      <c r="BO348" s="76"/>
      <c r="BP348" s="76"/>
      <c r="BQ348" s="76"/>
      <c r="BR348" s="76"/>
      <c r="BS348" s="76"/>
      <c r="BT348" s="76"/>
      <c r="BU348" s="76"/>
      <c r="BV348" s="76"/>
      <c r="BW348" s="76"/>
      <c r="BX348" s="76"/>
      <c r="BY348" s="76"/>
      <c r="BZ348" s="76"/>
      <c r="CA348" s="76"/>
      <c r="CB348" s="76"/>
      <c r="CC348" s="76"/>
      <c r="CD348" s="76"/>
      <c r="CE348" s="76"/>
      <c r="CF348" s="76">
        <f>+CE348*28000</f>
        <v>0</v>
      </c>
      <c r="CG348" s="76"/>
      <c r="CH348" s="76">
        <f>+CG348*22500</f>
        <v>0</v>
      </c>
      <c r="CI348" s="76"/>
      <c r="CJ348" s="76">
        <f>+CI348*26000</f>
        <v>0</v>
      </c>
      <c r="CK348" s="76"/>
      <c r="CL348" s="76"/>
      <c r="CM348" s="76"/>
      <c r="CN348" s="76">
        <f>+CM348*22000</f>
        <v>0</v>
      </c>
      <c r="CO348" s="76"/>
      <c r="CP348" s="76">
        <f>+CO348*46000</f>
        <v>0</v>
      </c>
      <c r="CQ348" s="76"/>
      <c r="CR348" s="76">
        <f>+CQ348*49000</f>
        <v>0</v>
      </c>
      <c r="CS348" s="76"/>
      <c r="CT348" s="76"/>
      <c r="CU348" s="56">
        <f>AN348+AP348+AR348+AT348+AV348+AX348+AZ348+BB348+BD348+BF348+BH348+BJ348+BL348+BN348+BP348+BR348+BT348+BV348+BX348+BZ348+CB348+CD348+CF348+CH348+CJ348+CL348+CN348+CP348+CR348+CT348</f>
        <v>0</v>
      </c>
      <c r="CV348" s="76"/>
      <c r="CW348" s="76">
        <f>+CV348*1100</f>
        <v>0</v>
      </c>
      <c r="CX348" s="76"/>
      <c r="CY348" s="76">
        <f>+CX348*106250</f>
        <v>0</v>
      </c>
      <c r="CZ348" s="76"/>
      <c r="DA348" s="76">
        <f>+CZ348*34500</f>
        <v>0</v>
      </c>
      <c r="DB348" s="76"/>
      <c r="DC348" s="76">
        <f>+DB348*25000</f>
        <v>0</v>
      </c>
      <c r="DD348" s="219"/>
      <c r="DE348" s="219"/>
      <c r="DF348" s="164"/>
      <c r="DG348" s="116"/>
      <c r="DH348" s="117"/>
      <c r="DI348" s="24"/>
      <c r="DJ348" s="24"/>
      <c r="DK348" s="24"/>
      <c r="DL348" s="24"/>
      <c r="DM348" s="24"/>
      <c r="DN348" s="24"/>
      <c r="DO348" s="24"/>
      <c r="DP348" s="24"/>
      <c r="DQ348" s="24"/>
      <c r="DR348" s="24"/>
      <c r="DS348" s="24"/>
      <c r="DT348" s="24"/>
      <c r="DU348" s="24"/>
    </row>
    <row r="349" spans="1:125" s="8" customFormat="1" ht="84" x14ac:dyDescent="0.2">
      <c r="A349" s="77">
        <v>41297</v>
      </c>
      <c r="B349" s="225" t="s">
        <v>2661</v>
      </c>
      <c r="C349" s="227" t="s">
        <v>1365</v>
      </c>
      <c r="D349" s="81" t="s">
        <v>2846</v>
      </c>
      <c r="E349" s="75" t="str">
        <f>VLOOKUP(B349&amp;C349,Divipola!$C$2:$F$1138,4,FALSE)</f>
        <v>41378</v>
      </c>
      <c r="F349" s="87"/>
      <c r="G349" s="87">
        <v>1</v>
      </c>
      <c r="H349" s="87"/>
      <c r="I349" s="87"/>
      <c r="J349" s="87"/>
      <c r="K349" s="87"/>
      <c r="L349" s="87"/>
      <c r="M349" s="87"/>
      <c r="N349" s="87"/>
      <c r="O349" s="87"/>
      <c r="P349" s="87"/>
      <c r="Q349" s="87"/>
      <c r="R349" s="87"/>
      <c r="S349" s="87"/>
      <c r="T349" s="87"/>
      <c r="U349" s="127">
        <v>33</v>
      </c>
      <c r="V349" s="89"/>
      <c r="W349" s="96">
        <v>0</v>
      </c>
      <c r="X349" s="71">
        <f>CU349</f>
        <v>0</v>
      </c>
      <c r="Y349" s="71">
        <f>CY349</f>
        <v>0</v>
      </c>
      <c r="Z349" s="71">
        <f>DA349+DC349+DE349</f>
        <v>0</v>
      </c>
      <c r="AA349" s="71">
        <f>CW349</f>
        <v>0</v>
      </c>
      <c r="AB349" s="71"/>
      <c r="AC349" s="71">
        <v>0</v>
      </c>
      <c r="AD349" s="71">
        <f>W349+X349+Y349+Z349+AA349+AB349+AC349</f>
        <v>0</v>
      </c>
      <c r="AE349" s="72">
        <v>0</v>
      </c>
      <c r="AF349" s="5"/>
      <c r="AG349" s="6"/>
      <c r="AH349" s="27" t="s">
        <v>3392</v>
      </c>
      <c r="AI349" s="44" t="s">
        <v>3393</v>
      </c>
      <c r="AJ349" s="26"/>
      <c r="AK349" s="5"/>
      <c r="AL349" s="82" t="s">
        <v>3187</v>
      </c>
      <c r="AM349" s="76"/>
      <c r="AN349" s="76"/>
      <c r="AO349" s="76"/>
      <c r="AP349" s="76"/>
      <c r="AQ349" s="76"/>
      <c r="AR349" s="76"/>
      <c r="AS349" s="76"/>
      <c r="AT349" s="76"/>
      <c r="AU349" s="76"/>
      <c r="AV349" s="76"/>
      <c r="AW349" s="76"/>
      <c r="AX349" s="76">
        <f>+AW349*600000</f>
        <v>0</v>
      </c>
      <c r="AY349" s="76"/>
      <c r="AZ349" s="76">
        <f>+AY349*70000</f>
        <v>0</v>
      </c>
      <c r="BA349" s="76"/>
      <c r="BB349" s="76"/>
      <c r="BC349" s="76"/>
      <c r="BD349" s="76">
        <f>+BC349*30000</f>
        <v>0</v>
      </c>
      <c r="BE349" s="76"/>
      <c r="BF349" s="76"/>
      <c r="BG349" s="76"/>
      <c r="BH349" s="76"/>
      <c r="BI349" s="76"/>
      <c r="BJ349" s="76"/>
      <c r="BK349" s="76"/>
      <c r="BL349" s="76">
        <f>+BK349*31500</f>
        <v>0</v>
      </c>
      <c r="BM349" s="76"/>
      <c r="BN349" s="76"/>
      <c r="BO349" s="76"/>
      <c r="BP349" s="76"/>
      <c r="BQ349" s="76"/>
      <c r="BR349" s="76"/>
      <c r="BS349" s="76"/>
      <c r="BT349" s="76"/>
      <c r="BU349" s="76"/>
      <c r="BV349" s="76"/>
      <c r="BW349" s="76"/>
      <c r="BX349" s="76"/>
      <c r="BY349" s="76"/>
      <c r="BZ349" s="76"/>
      <c r="CA349" s="76"/>
      <c r="CB349" s="76"/>
      <c r="CC349" s="76"/>
      <c r="CD349" s="76"/>
      <c r="CE349" s="76"/>
      <c r="CF349" s="76">
        <f>+CE349*28000</f>
        <v>0</v>
      </c>
      <c r="CG349" s="76"/>
      <c r="CH349" s="76">
        <f>+CG349*22500</f>
        <v>0</v>
      </c>
      <c r="CI349" s="76"/>
      <c r="CJ349" s="76">
        <f>+CI349*26000</f>
        <v>0</v>
      </c>
      <c r="CK349" s="76"/>
      <c r="CL349" s="76"/>
      <c r="CM349" s="76"/>
      <c r="CN349" s="76">
        <f>+CM349*22000</f>
        <v>0</v>
      </c>
      <c r="CO349" s="76"/>
      <c r="CP349" s="76">
        <f>+CO349*46000</f>
        <v>0</v>
      </c>
      <c r="CQ349" s="76"/>
      <c r="CR349" s="76">
        <f>+CQ349*49000</f>
        <v>0</v>
      </c>
      <c r="CS349" s="76"/>
      <c r="CT349" s="76"/>
      <c r="CU349" s="56">
        <f>AN349+AP349+AR349+AT349+AV349+AX349+AZ349+BB349+BD349+BF349+BH349+BJ349+BL349+BN349+BP349+BR349+BT349+BV349+BX349+BZ349+CB349+CD349+CF349+CH349+CJ349+CL349+CN349+CP349+CR349+CT349</f>
        <v>0</v>
      </c>
      <c r="CV349" s="76"/>
      <c r="CW349" s="76">
        <f>+CV349*1100</f>
        <v>0</v>
      </c>
      <c r="CX349" s="76"/>
      <c r="CY349" s="76">
        <f>+CX349*106250</f>
        <v>0</v>
      </c>
      <c r="CZ349" s="76"/>
      <c r="DA349" s="76">
        <f>+CZ349*34500</f>
        <v>0</v>
      </c>
      <c r="DB349" s="76"/>
      <c r="DC349" s="76">
        <f>+DB349*25000</f>
        <v>0</v>
      </c>
      <c r="DD349" s="219"/>
      <c r="DE349" s="219"/>
      <c r="DF349" s="164"/>
      <c r="DG349" s="116"/>
      <c r="DH349" s="117"/>
      <c r="DI349" s="24"/>
      <c r="DJ349" s="24"/>
      <c r="DK349" s="24"/>
      <c r="DL349" s="24"/>
      <c r="DM349" s="24"/>
      <c r="DN349" s="24"/>
      <c r="DO349" s="24"/>
      <c r="DP349" s="24"/>
      <c r="DQ349" s="24"/>
      <c r="DR349" s="24"/>
      <c r="DS349" s="24"/>
      <c r="DT349" s="24"/>
      <c r="DU349" s="24"/>
    </row>
    <row r="350" spans="1:125" s="8" customFormat="1" ht="36" x14ac:dyDescent="0.2">
      <c r="A350" s="77">
        <v>41297</v>
      </c>
      <c r="B350" s="78" t="s">
        <v>2661</v>
      </c>
      <c r="C350" s="75" t="s">
        <v>1368</v>
      </c>
      <c r="D350" s="81" t="s">
        <v>2846</v>
      </c>
      <c r="E350" s="75" t="str">
        <f>VLOOKUP(B350&amp;C350,Divipola!$C$2:$F$1138,4,FALSE)</f>
        <v>41770</v>
      </c>
      <c r="F350" s="87"/>
      <c r="G350" s="87"/>
      <c r="H350" s="87"/>
      <c r="I350" s="87"/>
      <c r="J350" s="87"/>
      <c r="K350" s="87"/>
      <c r="L350" s="87"/>
      <c r="M350" s="87"/>
      <c r="N350" s="87"/>
      <c r="O350" s="87"/>
      <c r="P350" s="87"/>
      <c r="Q350" s="87"/>
      <c r="R350" s="87"/>
      <c r="S350" s="87"/>
      <c r="T350" s="87"/>
      <c r="U350" s="127">
        <v>4</v>
      </c>
      <c r="V350" s="89"/>
      <c r="W350" s="96">
        <v>0</v>
      </c>
      <c r="X350" s="71">
        <f>CU350</f>
        <v>0</v>
      </c>
      <c r="Y350" s="71">
        <f>CY350</f>
        <v>0</v>
      </c>
      <c r="Z350" s="71">
        <f>DA350+DC350+DE350</f>
        <v>0</v>
      </c>
      <c r="AA350" s="71">
        <f>CW350</f>
        <v>0</v>
      </c>
      <c r="AB350" s="71"/>
      <c r="AC350" s="71">
        <v>0</v>
      </c>
      <c r="AD350" s="71">
        <f>W350+X350+Y350+Z350+AA350+AB350+AC350</f>
        <v>0</v>
      </c>
      <c r="AE350" s="72">
        <v>0</v>
      </c>
      <c r="AF350" s="5"/>
      <c r="AG350" s="6"/>
      <c r="AH350" s="27" t="s">
        <v>3392</v>
      </c>
      <c r="AI350" s="44" t="s">
        <v>3393</v>
      </c>
      <c r="AJ350" s="26"/>
      <c r="AK350" s="5"/>
      <c r="AL350" s="82" t="s">
        <v>3188</v>
      </c>
      <c r="AM350" s="76"/>
      <c r="AN350" s="76"/>
      <c r="AO350" s="76"/>
      <c r="AP350" s="76"/>
      <c r="AQ350" s="76"/>
      <c r="AR350" s="76"/>
      <c r="AS350" s="76"/>
      <c r="AT350" s="76"/>
      <c r="AU350" s="76"/>
      <c r="AV350" s="76"/>
      <c r="AW350" s="76"/>
      <c r="AX350" s="76">
        <f>+AW350*600000</f>
        <v>0</v>
      </c>
      <c r="AY350" s="76"/>
      <c r="AZ350" s="76">
        <f>+AY350*70000</f>
        <v>0</v>
      </c>
      <c r="BA350" s="76"/>
      <c r="BB350" s="76"/>
      <c r="BC350" s="76"/>
      <c r="BD350" s="76">
        <f>+BC350*30000</f>
        <v>0</v>
      </c>
      <c r="BE350" s="76"/>
      <c r="BF350" s="76"/>
      <c r="BG350" s="76"/>
      <c r="BH350" s="76"/>
      <c r="BI350" s="76"/>
      <c r="BJ350" s="76"/>
      <c r="BK350" s="76"/>
      <c r="BL350" s="76">
        <f>+BK350*31500</f>
        <v>0</v>
      </c>
      <c r="BM350" s="76"/>
      <c r="BN350" s="76"/>
      <c r="BO350" s="76"/>
      <c r="BP350" s="76"/>
      <c r="BQ350" s="76"/>
      <c r="BR350" s="76"/>
      <c r="BS350" s="76"/>
      <c r="BT350" s="76"/>
      <c r="BU350" s="76"/>
      <c r="BV350" s="76"/>
      <c r="BW350" s="76"/>
      <c r="BX350" s="76"/>
      <c r="BY350" s="76"/>
      <c r="BZ350" s="76"/>
      <c r="CA350" s="76"/>
      <c r="CB350" s="76"/>
      <c r="CC350" s="76"/>
      <c r="CD350" s="76"/>
      <c r="CE350" s="76"/>
      <c r="CF350" s="76">
        <f>+CE350*28000</f>
        <v>0</v>
      </c>
      <c r="CG350" s="76"/>
      <c r="CH350" s="76">
        <f>+CG350*22500</f>
        <v>0</v>
      </c>
      <c r="CI350" s="76"/>
      <c r="CJ350" s="76">
        <f>+CI350*26000</f>
        <v>0</v>
      </c>
      <c r="CK350" s="76"/>
      <c r="CL350" s="76"/>
      <c r="CM350" s="76"/>
      <c r="CN350" s="76">
        <f>+CM350*22000</f>
        <v>0</v>
      </c>
      <c r="CO350" s="76"/>
      <c r="CP350" s="76">
        <f>+CO350*46000</f>
        <v>0</v>
      </c>
      <c r="CQ350" s="76"/>
      <c r="CR350" s="76">
        <f>+CQ350*49000</f>
        <v>0</v>
      </c>
      <c r="CS350" s="76"/>
      <c r="CT350" s="76"/>
      <c r="CU350" s="56">
        <f>AN350+AP350+AR350+AT350+AV350+AX350+AZ350+BB350+BD350+BF350+BH350+BJ350+BL350+BN350+BP350+BR350+BT350+BV350+BX350+BZ350+CB350+CD350+CF350+CH350+CJ350+CL350+CN350+CP350+CR350+CT350</f>
        <v>0</v>
      </c>
      <c r="CV350" s="76"/>
      <c r="CW350" s="76">
        <f>+CV350*1100</f>
        <v>0</v>
      </c>
      <c r="CX350" s="76"/>
      <c r="CY350" s="76">
        <f>+CX350*106250</f>
        <v>0</v>
      </c>
      <c r="CZ350" s="76"/>
      <c r="DA350" s="76">
        <f>+CZ350*34500</f>
        <v>0</v>
      </c>
      <c r="DB350" s="76"/>
      <c r="DC350" s="76">
        <f>+DB350*25000</f>
        <v>0</v>
      </c>
      <c r="DD350" s="219"/>
      <c r="DE350" s="219"/>
      <c r="DF350" s="164"/>
      <c r="DG350" s="116"/>
      <c r="DH350" s="117"/>
      <c r="DI350" s="24"/>
      <c r="DJ350" s="24"/>
      <c r="DK350" s="24"/>
      <c r="DL350" s="24"/>
      <c r="DM350" s="24"/>
      <c r="DN350" s="24"/>
      <c r="DO350" s="24"/>
      <c r="DP350" s="24"/>
      <c r="DQ350" s="24"/>
      <c r="DR350" s="24"/>
      <c r="DS350" s="24"/>
      <c r="DT350" s="24"/>
      <c r="DU350" s="24"/>
    </row>
    <row r="351" spans="1:125" s="8" customFormat="1" ht="84" x14ac:dyDescent="0.2">
      <c r="A351" s="77">
        <v>41297</v>
      </c>
      <c r="B351" s="352" t="s">
        <v>2906</v>
      </c>
      <c r="C351" s="354" t="s">
        <v>429</v>
      </c>
      <c r="D351" s="81" t="s">
        <v>2846</v>
      </c>
      <c r="E351" s="75" t="str">
        <f>VLOOKUP(B351&amp;C351,Divipola!$C$2:$F$1138,4,FALSE)</f>
        <v>47189</v>
      </c>
      <c r="F351" s="87"/>
      <c r="G351" s="87"/>
      <c r="H351" s="87"/>
      <c r="I351" s="87"/>
      <c r="J351" s="87"/>
      <c r="K351" s="87"/>
      <c r="L351" s="87"/>
      <c r="M351" s="87"/>
      <c r="N351" s="87"/>
      <c r="O351" s="87"/>
      <c r="P351" s="87"/>
      <c r="Q351" s="87"/>
      <c r="R351" s="87"/>
      <c r="S351" s="87"/>
      <c r="T351" s="87"/>
      <c r="U351" s="127"/>
      <c r="V351" s="89"/>
      <c r="W351" s="96">
        <v>0</v>
      </c>
      <c r="X351" s="71">
        <f>CU351</f>
        <v>0</v>
      </c>
      <c r="Y351" s="71">
        <f>CY351</f>
        <v>0</v>
      </c>
      <c r="Z351" s="71">
        <f>DA351+DC351+DE351</f>
        <v>0</v>
      </c>
      <c r="AA351" s="71">
        <f>CW351</f>
        <v>0</v>
      </c>
      <c r="AB351" s="71"/>
      <c r="AC351" s="71">
        <v>0</v>
      </c>
      <c r="AD351" s="71">
        <f>W351+X351+Y351+Z351+AA351+AB351+AC351</f>
        <v>0</v>
      </c>
      <c r="AE351" s="72">
        <v>0</v>
      </c>
      <c r="AF351" s="5"/>
      <c r="AG351" s="6"/>
      <c r="AH351" s="27" t="s">
        <v>3390</v>
      </c>
      <c r="AI351" s="44" t="s">
        <v>3391</v>
      </c>
      <c r="AJ351" s="26"/>
      <c r="AK351" s="5" t="s">
        <v>3397</v>
      </c>
      <c r="AL351" s="82" t="s">
        <v>3183</v>
      </c>
      <c r="AM351" s="76"/>
      <c r="AN351" s="76"/>
      <c r="AO351" s="76"/>
      <c r="AP351" s="76"/>
      <c r="AQ351" s="76"/>
      <c r="AR351" s="76"/>
      <c r="AS351" s="76"/>
      <c r="AT351" s="76"/>
      <c r="AU351" s="76"/>
      <c r="AV351" s="76"/>
      <c r="AW351" s="76"/>
      <c r="AX351" s="76">
        <f>+AW351*600000</f>
        <v>0</v>
      </c>
      <c r="AY351" s="76"/>
      <c r="AZ351" s="76">
        <f>+AY351*70000</f>
        <v>0</v>
      </c>
      <c r="BA351" s="76"/>
      <c r="BB351" s="76"/>
      <c r="BC351" s="76"/>
      <c r="BD351" s="76">
        <f>+BC351*30000</f>
        <v>0</v>
      </c>
      <c r="BE351" s="76"/>
      <c r="BF351" s="76"/>
      <c r="BG351" s="76"/>
      <c r="BH351" s="76"/>
      <c r="BI351" s="76"/>
      <c r="BJ351" s="76"/>
      <c r="BK351" s="76"/>
      <c r="BL351" s="76">
        <f>+BK351*31500</f>
        <v>0</v>
      </c>
      <c r="BM351" s="76"/>
      <c r="BN351" s="76"/>
      <c r="BO351" s="76"/>
      <c r="BP351" s="76"/>
      <c r="BQ351" s="76"/>
      <c r="BR351" s="76"/>
      <c r="BS351" s="76"/>
      <c r="BT351" s="76"/>
      <c r="BU351" s="76"/>
      <c r="BV351" s="76"/>
      <c r="BW351" s="76"/>
      <c r="BX351" s="76"/>
      <c r="BY351" s="76"/>
      <c r="BZ351" s="76"/>
      <c r="CA351" s="76"/>
      <c r="CB351" s="76"/>
      <c r="CC351" s="76"/>
      <c r="CD351" s="76"/>
      <c r="CE351" s="76"/>
      <c r="CF351" s="76">
        <f>+CE351*28000</f>
        <v>0</v>
      </c>
      <c r="CG351" s="76"/>
      <c r="CH351" s="76">
        <f>+CG351*22500</f>
        <v>0</v>
      </c>
      <c r="CI351" s="76"/>
      <c r="CJ351" s="76">
        <f>+CI351*26000</f>
        <v>0</v>
      </c>
      <c r="CK351" s="76"/>
      <c r="CL351" s="76"/>
      <c r="CM351" s="76"/>
      <c r="CN351" s="76">
        <f>+CM351*22000</f>
        <v>0</v>
      </c>
      <c r="CO351" s="76"/>
      <c r="CP351" s="76">
        <f>+CO351*46000</f>
        <v>0</v>
      </c>
      <c r="CQ351" s="76"/>
      <c r="CR351" s="76">
        <f>+CQ351*49000</f>
        <v>0</v>
      </c>
      <c r="CS351" s="76"/>
      <c r="CT351" s="76"/>
      <c r="CU351" s="56">
        <f>AN351+AP351+AR351+AT351+AV351+AX351+AZ351+BB351+BD351+BF351+BH351+BJ351+BL351+BN351+BP351+BR351+BT351+BV351+BX351+BZ351+CB351+CD351+CF351+CH351+CJ351+CL351+CN351+CP351+CR351+CT351</f>
        <v>0</v>
      </c>
      <c r="CV351" s="76"/>
      <c r="CW351" s="76">
        <f>+CV351*1100</f>
        <v>0</v>
      </c>
      <c r="CX351" s="76"/>
      <c r="CY351" s="76">
        <f>+CX351*106250</f>
        <v>0</v>
      </c>
      <c r="CZ351" s="76"/>
      <c r="DA351" s="76">
        <f>+CZ351*34500</f>
        <v>0</v>
      </c>
      <c r="DB351" s="76"/>
      <c r="DC351" s="76">
        <f>+DB351*25000</f>
        <v>0</v>
      </c>
      <c r="DD351" s="219"/>
      <c r="DE351" s="219"/>
      <c r="DF351" s="164"/>
      <c r="DG351" s="116"/>
      <c r="DH351" s="117"/>
      <c r="DI351" s="24"/>
      <c r="DJ351" s="24"/>
      <c r="DK351" s="24"/>
      <c r="DL351" s="24"/>
      <c r="DM351" s="24"/>
      <c r="DN351" s="24"/>
      <c r="DO351" s="24"/>
      <c r="DP351" s="24"/>
      <c r="DQ351" s="24"/>
      <c r="DR351" s="24"/>
      <c r="DS351" s="24"/>
      <c r="DT351" s="24"/>
      <c r="DU351" s="24"/>
    </row>
    <row r="352" spans="1:125" s="8" customFormat="1" ht="72" x14ac:dyDescent="0.2">
      <c r="A352" s="226">
        <v>41297</v>
      </c>
      <c r="B352" s="60" t="s">
        <v>506</v>
      </c>
      <c r="C352" s="55" t="s">
        <v>1697</v>
      </c>
      <c r="D352" s="81" t="s">
        <v>2846</v>
      </c>
      <c r="E352" s="75" t="str">
        <f>VLOOKUP(B352&amp;C352,Divipola!$C$2:$F$1138,4,FALSE)</f>
        <v>50001</v>
      </c>
      <c r="F352" s="87"/>
      <c r="G352" s="87"/>
      <c r="H352" s="87"/>
      <c r="I352" s="87"/>
      <c r="J352" s="87"/>
      <c r="K352" s="87"/>
      <c r="L352" s="87"/>
      <c r="M352" s="87"/>
      <c r="N352" s="87"/>
      <c r="O352" s="87"/>
      <c r="P352" s="87"/>
      <c r="Q352" s="87"/>
      <c r="R352" s="87"/>
      <c r="S352" s="87"/>
      <c r="T352" s="87"/>
      <c r="U352" s="127">
        <v>10</v>
      </c>
      <c r="V352" s="89"/>
      <c r="W352" s="96">
        <v>0</v>
      </c>
      <c r="X352" s="71">
        <f>CU352</f>
        <v>0</v>
      </c>
      <c r="Y352" s="71">
        <f>CY352</f>
        <v>0</v>
      </c>
      <c r="Z352" s="71">
        <f>DA352+DC352+DE352</f>
        <v>0</v>
      </c>
      <c r="AA352" s="71">
        <f>CW352</f>
        <v>0</v>
      </c>
      <c r="AB352" s="71"/>
      <c r="AC352" s="71">
        <v>0</v>
      </c>
      <c r="AD352" s="71">
        <f>W352+X352+Y352+Z352+AA352+AB352+AC352</f>
        <v>0</v>
      </c>
      <c r="AE352" s="72">
        <v>0</v>
      </c>
      <c r="AF352" s="5"/>
      <c r="AG352" s="6"/>
      <c r="AH352" s="27" t="s">
        <v>3392</v>
      </c>
      <c r="AI352" s="44" t="s">
        <v>3393</v>
      </c>
      <c r="AJ352" s="26"/>
      <c r="AK352" s="5"/>
      <c r="AL352" s="82" t="s">
        <v>3192</v>
      </c>
      <c r="AM352" s="76"/>
      <c r="AN352" s="76"/>
      <c r="AO352" s="76"/>
      <c r="AP352" s="76"/>
      <c r="AQ352" s="76"/>
      <c r="AR352" s="76"/>
      <c r="AS352" s="76"/>
      <c r="AT352" s="76"/>
      <c r="AU352" s="76"/>
      <c r="AV352" s="76"/>
      <c r="AW352" s="76"/>
      <c r="AX352" s="76">
        <f>+AW352*600000</f>
        <v>0</v>
      </c>
      <c r="AY352" s="76"/>
      <c r="AZ352" s="76">
        <f>+AY352*70000</f>
        <v>0</v>
      </c>
      <c r="BA352" s="76"/>
      <c r="BB352" s="76"/>
      <c r="BC352" s="76"/>
      <c r="BD352" s="76">
        <f>+BC352*30000</f>
        <v>0</v>
      </c>
      <c r="BE352" s="76"/>
      <c r="BF352" s="76"/>
      <c r="BG352" s="76"/>
      <c r="BH352" s="76"/>
      <c r="BI352" s="76"/>
      <c r="BJ352" s="76"/>
      <c r="BK352" s="76"/>
      <c r="BL352" s="76">
        <f>+BK352*31500</f>
        <v>0</v>
      </c>
      <c r="BM352" s="76"/>
      <c r="BN352" s="76"/>
      <c r="BO352" s="76"/>
      <c r="BP352" s="76"/>
      <c r="BQ352" s="76"/>
      <c r="BR352" s="76"/>
      <c r="BS352" s="76"/>
      <c r="BT352" s="76"/>
      <c r="BU352" s="76"/>
      <c r="BV352" s="76"/>
      <c r="BW352" s="76"/>
      <c r="BX352" s="76"/>
      <c r="BY352" s="76"/>
      <c r="BZ352" s="76"/>
      <c r="CA352" s="76"/>
      <c r="CB352" s="76"/>
      <c r="CC352" s="76"/>
      <c r="CD352" s="76"/>
      <c r="CE352" s="76"/>
      <c r="CF352" s="76">
        <f>+CE352*28000</f>
        <v>0</v>
      </c>
      <c r="CG352" s="76"/>
      <c r="CH352" s="76">
        <f>+CG352*22500</f>
        <v>0</v>
      </c>
      <c r="CI352" s="76"/>
      <c r="CJ352" s="76">
        <f>+CI352*26000</f>
        <v>0</v>
      </c>
      <c r="CK352" s="76"/>
      <c r="CL352" s="76"/>
      <c r="CM352" s="76"/>
      <c r="CN352" s="76">
        <f>+CM352*22000</f>
        <v>0</v>
      </c>
      <c r="CO352" s="76"/>
      <c r="CP352" s="76">
        <f>+CO352*46000</f>
        <v>0</v>
      </c>
      <c r="CQ352" s="76"/>
      <c r="CR352" s="76">
        <f>+CQ352*49000</f>
        <v>0</v>
      </c>
      <c r="CS352" s="76"/>
      <c r="CT352" s="76"/>
      <c r="CU352" s="56">
        <f>AN352+AP352+AR352+AT352+AV352+AX352+AZ352+BB352+BD352+BF352+BH352+BJ352+BL352+BN352+BP352+BR352+BT352+BV352+BX352+BZ352+CB352+CD352+CF352+CH352+CJ352+CL352+CN352+CP352+CR352+CT352</f>
        <v>0</v>
      </c>
      <c r="CV352" s="76"/>
      <c r="CW352" s="76">
        <f>+CV352*1100</f>
        <v>0</v>
      </c>
      <c r="CX352" s="76"/>
      <c r="CY352" s="76">
        <f>+CX352*106250</f>
        <v>0</v>
      </c>
      <c r="CZ352" s="76"/>
      <c r="DA352" s="76">
        <f>+CZ352*34500</f>
        <v>0</v>
      </c>
      <c r="DB352" s="76"/>
      <c r="DC352" s="76">
        <f>+DB352*25000</f>
        <v>0</v>
      </c>
      <c r="DD352" s="219"/>
      <c r="DE352" s="219"/>
      <c r="DF352" s="164"/>
      <c r="DG352" s="116"/>
      <c r="DH352" s="117"/>
      <c r="DI352" s="24"/>
      <c r="DJ352" s="24"/>
      <c r="DK352" s="24"/>
      <c r="DL352" s="24"/>
      <c r="DM352" s="24"/>
      <c r="DN352" s="24"/>
      <c r="DO352" s="24"/>
      <c r="DP352" s="24"/>
      <c r="DQ352" s="24"/>
      <c r="DR352" s="24"/>
      <c r="DS352" s="24"/>
      <c r="DT352" s="24"/>
      <c r="DU352" s="24"/>
    </row>
    <row r="353" spans="1:125" s="8" customFormat="1" ht="72" x14ac:dyDescent="0.2">
      <c r="A353" s="353">
        <v>41297</v>
      </c>
      <c r="B353" s="352" t="s">
        <v>2860</v>
      </c>
      <c r="C353" s="354" t="s">
        <v>2776</v>
      </c>
      <c r="D353" s="81" t="s">
        <v>2846</v>
      </c>
      <c r="E353" s="75" t="str">
        <f>VLOOKUP(B353&amp;C353,Divipola!$C$2:$F$1138,4,FALSE)</f>
        <v>63001</v>
      </c>
      <c r="F353" s="87"/>
      <c r="G353" s="87"/>
      <c r="H353" s="87"/>
      <c r="I353" s="87"/>
      <c r="J353" s="87"/>
      <c r="K353" s="87"/>
      <c r="L353" s="87"/>
      <c r="M353" s="87"/>
      <c r="N353" s="87"/>
      <c r="O353" s="87"/>
      <c r="P353" s="87"/>
      <c r="Q353" s="87"/>
      <c r="R353" s="87"/>
      <c r="S353" s="87"/>
      <c r="T353" s="87"/>
      <c r="U353" s="127"/>
      <c r="V353" s="89"/>
      <c r="W353" s="96">
        <v>0</v>
      </c>
      <c r="X353" s="71">
        <f>CU353</f>
        <v>0</v>
      </c>
      <c r="Y353" s="71">
        <f>CY353</f>
        <v>0</v>
      </c>
      <c r="Z353" s="71">
        <f>DA353+DC353+DE353</f>
        <v>0</v>
      </c>
      <c r="AA353" s="71">
        <f>CW353</f>
        <v>0</v>
      </c>
      <c r="AB353" s="71"/>
      <c r="AC353" s="71">
        <v>0</v>
      </c>
      <c r="AD353" s="71">
        <f>W353+X353+Y353+Z353+AA353+AB353+AC353</f>
        <v>0</v>
      </c>
      <c r="AE353" s="72">
        <v>0</v>
      </c>
      <c r="AF353" s="5"/>
      <c r="AG353" s="6"/>
      <c r="AH353" s="27" t="s">
        <v>3392</v>
      </c>
      <c r="AI353" s="44" t="s">
        <v>3393</v>
      </c>
      <c r="AJ353" s="26"/>
      <c r="AK353" s="5"/>
      <c r="AL353" s="82" t="s">
        <v>3191</v>
      </c>
      <c r="AM353" s="76"/>
      <c r="AN353" s="76"/>
      <c r="AO353" s="76"/>
      <c r="AP353" s="76"/>
      <c r="AQ353" s="76"/>
      <c r="AR353" s="76"/>
      <c r="AS353" s="76"/>
      <c r="AT353" s="76"/>
      <c r="AU353" s="76"/>
      <c r="AV353" s="76"/>
      <c r="AW353" s="76"/>
      <c r="AX353" s="76">
        <f>+AW353*600000</f>
        <v>0</v>
      </c>
      <c r="AY353" s="76"/>
      <c r="AZ353" s="76">
        <f>+AY353*70000</f>
        <v>0</v>
      </c>
      <c r="BA353" s="76"/>
      <c r="BB353" s="76"/>
      <c r="BC353" s="76"/>
      <c r="BD353" s="76">
        <f>+BC353*30000</f>
        <v>0</v>
      </c>
      <c r="BE353" s="76"/>
      <c r="BF353" s="76"/>
      <c r="BG353" s="76"/>
      <c r="BH353" s="76"/>
      <c r="BI353" s="76"/>
      <c r="BJ353" s="76"/>
      <c r="BK353" s="76"/>
      <c r="BL353" s="76">
        <f>+BK353*31500</f>
        <v>0</v>
      </c>
      <c r="BM353" s="76"/>
      <c r="BN353" s="76"/>
      <c r="BO353" s="76"/>
      <c r="BP353" s="76"/>
      <c r="BQ353" s="76"/>
      <c r="BR353" s="76"/>
      <c r="BS353" s="76"/>
      <c r="BT353" s="76"/>
      <c r="BU353" s="76"/>
      <c r="BV353" s="76"/>
      <c r="BW353" s="76"/>
      <c r="BX353" s="76"/>
      <c r="BY353" s="76"/>
      <c r="BZ353" s="76"/>
      <c r="CA353" s="76"/>
      <c r="CB353" s="76"/>
      <c r="CC353" s="76"/>
      <c r="CD353" s="76"/>
      <c r="CE353" s="76"/>
      <c r="CF353" s="76">
        <f>+CE353*28000</f>
        <v>0</v>
      </c>
      <c r="CG353" s="76"/>
      <c r="CH353" s="76">
        <f>+CG353*22500</f>
        <v>0</v>
      </c>
      <c r="CI353" s="76"/>
      <c r="CJ353" s="76">
        <f>+CI353*26000</f>
        <v>0</v>
      </c>
      <c r="CK353" s="76"/>
      <c r="CL353" s="76"/>
      <c r="CM353" s="76"/>
      <c r="CN353" s="76">
        <f>+CM353*22000</f>
        <v>0</v>
      </c>
      <c r="CO353" s="76"/>
      <c r="CP353" s="76">
        <f>+CO353*46000</f>
        <v>0</v>
      </c>
      <c r="CQ353" s="76"/>
      <c r="CR353" s="76">
        <f>+CQ353*49000</f>
        <v>0</v>
      </c>
      <c r="CS353" s="76"/>
      <c r="CT353" s="76"/>
      <c r="CU353" s="56">
        <f>AN353+AP353+AR353+AT353+AV353+AX353+AZ353+BB353+BD353+BF353+BH353+BJ353+BL353+BN353+BP353+BR353+BT353+BV353+BX353+BZ353+CB353+CD353+CF353+CH353+CJ353+CL353+CN353+CP353+CR353+CT353</f>
        <v>0</v>
      </c>
      <c r="CV353" s="76"/>
      <c r="CW353" s="76">
        <f>+CV353*1100</f>
        <v>0</v>
      </c>
      <c r="CX353" s="76"/>
      <c r="CY353" s="76">
        <f>+CX353*106250</f>
        <v>0</v>
      </c>
      <c r="CZ353" s="76"/>
      <c r="DA353" s="76">
        <f>+CZ353*34500</f>
        <v>0</v>
      </c>
      <c r="DB353" s="76"/>
      <c r="DC353" s="76">
        <f>+DB353*25000</f>
        <v>0</v>
      </c>
      <c r="DD353" s="219"/>
      <c r="DE353" s="219"/>
      <c r="DF353" s="164"/>
      <c r="DG353" s="116"/>
      <c r="DH353" s="117"/>
      <c r="DI353" s="24"/>
      <c r="DJ353" s="24"/>
      <c r="DK353" s="24"/>
      <c r="DL353" s="24"/>
      <c r="DM353" s="24"/>
      <c r="DN353" s="24"/>
      <c r="DO353" s="24"/>
      <c r="DP353" s="24"/>
      <c r="DQ353" s="24"/>
      <c r="DR353" s="24"/>
      <c r="DS353" s="24"/>
      <c r="DT353" s="24"/>
      <c r="DU353" s="24"/>
    </row>
    <row r="354" spans="1:125" s="8" customFormat="1" ht="60" x14ac:dyDescent="0.2">
      <c r="A354" s="353">
        <v>41297</v>
      </c>
      <c r="B354" s="352" t="s">
        <v>2847</v>
      </c>
      <c r="C354" s="354" t="s">
        <v>2673</v>
      </c>
      <c r="D354" s="81" t="s">
        <v>2846</v>
      </c>
      <c r="E354" s="75" t="str">
        <f>VLOOKUP(B354&amp;C354,Divipola!$C$2:$F$1138,4,FALSE)</f>
        <v>68001</v>
      </c>
      <c r="F354" s="87"/>
      <c r="G354" s="87"/>
      <c r="H354" s="87"/>
      <c r="I354" s="87"/>
      <c r="J354" s="87"/>
      <c r="K354" s="87"/>
      <c r="L354" s="87"/>
      <c r="M354" s="87"/>
      <c r="N354" s="87"/>
      <c r="O354" s="87"/>
      <c r="P354" s="87"/>
      <c r="Q354" s="87"/>
      <c r="R354" s="87"/>
      <c r="S354" s="87"/>
      <c r="T354" s="87"/>
      <c r="U354" s="127"/>
      <c r="V354" s="89"/>
      <c r="W354" s="96">
        <v>0</v>
      </c>
      <c r="X354" s="71">
        <f>CU354</f>
        <v>0</v>
      </c>
      <c r="Y354" s="71">
        <f>CY354</f>
        <v>0</v>
      </c>
      <c r="Z354" s="71">
        <f>DA354+DC354+DE354</f>
        <v>0</v>
      </c>
      <c r="AA354" s="71">
        <f>CW354</f>
        <v>0</v>
      </c>
      <c r="AB354" s="71"/>
      <c r="AC354" s="71">
        <v>0</v>
      </c>
      <c r="AD354" s="71">
        <f>W354+X354+Y354+Z354+AA354+AB354+AC354</f>
        <v>0</v>
      </c>
      <c r="AE354" s="72">
        <v>0</v>
      </c>
      <c r="AF354" s="5"/>
      <c r="AG354" s="6"/>
      <c r="AH354" s="27" t="s">
        <v>3392</v>
      </c>
      <c r="AI354" s="44" t="s">
        <v>3393</v>
      </c>
      <c r="AJ354" s="26"/>
      <c r="AK354" s="5"/>
      <c r="AL354" s="82" t="s">
        <v>3190</v>
      </c>
      <c r="AM354" s="76"/>
      <c r="AN354" s="76"/>
      <c r="AO354" s="76"/>
      <c r="AP354" s="76"/>
      <c r="AQ354" s="76"/>
      <c r="AR354" s="76"/>
      <c r="AS354" s="76"/>
      <c r="AT354" s="76"/>
      <c r="AU354" s="76"/>
      <c r="AV354" s="76"/>
      <c r="AW354" s="76"/>
      <c r="AX354" s="76">
        <f>+AW354*600000</f>
        <v>0</v>
      </c>
      <c r="AY354" s="76"/>
      <c r="AZ354" s="76">
        <f>+AY354*70000</f>
        <v>0</v>
      </c>
      <c r="BA354" s="76"/>
      <c r="BB354" s="76"/>
      <c r="BC354" s="76"/>
      <c r="BD354" s="76">
        <f>+BC354*30000</f>
        <v>0</v>
      </c>
      <c r="BE354" s="76"/>
      <c r="BF354" s="76"/>
      <c r="BG354" s="76"/>
      <c r="BH354" s="76"/>
      <c r="BI354" s="76"/>
      <c r="BJ354" s="76"/>
      <c r="BK354" s="76"/>
      <c r="BL354" s="76">
        <f>+BK354*31500</f>
        <v>0</v>
      </c>
      <c r="BM354" s="76"/>
      <c r="BN354" s="76"/>
      <c r="BO354" s="76"/>
      <c r="BP354" s="76"/>
      <c r="BQ354" s="76"/>
      <c r="BR354" s="76"/>
      <c r="BS354" s="76"/>
      <c r="BT354" s="76"/>
      <c r="BU354" s="76"/>
      <c r="BV354" s="76"/>
      <c r="BW354" s="76"/>
      <c r="BX354" s="76"/>
      <c r="BY354" s="76"/>
      <c r="BZ354" s="76"/>
      <c r="CA354" s="76"/>
      <c r="CB354" s="76"/>
      <c r="CC354" s="76"/>
      <c r="CD354" s="76"/>
      <c r="CE354" s="76"/>
      <c r="CF354" s="76">
        <f>+CE354*28000</f>
        <v>0</v>
      </c>
      <c r="CG354" s="76"/>
      <c r="CH354" s="76">
        <f>+CG354*22500</f>
        <v>0</v>
      </c>
      <c r="CI354" s="76"/>
      <c r="CJ354" s="76">
        <f>+CI354*26000</f>
        <v>0</v>
      </c>
      <c r="CK354" s="76"/>
      <c r="CL354" s="76"/>
      <c r="CM354" s="76"/>
      <c r="CN354" s="76">
        <f>+CM354*22000</f>
        <v>0</v>
      </c>
      <c r="CO354" s="76"/>
      <c r="CP354" s="76">
        <f>+CO354*46000</f>
        <v>0</v>
      </c>
      <c r="CQ354" s="76"/>
      <c r="CR354" s="76">
        <f>+CQ354*49000</f>
        <v>0</v>
      </c>
      <c r="CS354" s="76"/>
      <c r="CT354" s="76"/>
      <c r="CU354" s="56">
        <f>AN354+AP354+AR354+AT354+AV354+AX354+AZ354+BB354+BD354+BF354+BH354+BJ354+BL354+BN354+BP354+BR354+BT354+BV354+BX354+BZ354+CB354+CD354+CF354+CH354+CJ354+CL354+CN354+CP354+CR354+CT354</f>
        <v>0</v>
      </c>
      <c r="CV354" s="76"/>
      <c r="CW354" s="76">
        <f>+CV354*1100</f>
        <v>0</v>
      </c>
      <c r="CX354" s="76"/>
      <c r="CY354" s="76">
        <f>+CX354*106250</f>
        <v>0</v>
      </c>
      <c r="CZ354" s="76"/>
      <c r="DA354" s="76">
        <f>+CZ354*34500</f>
        <v>0</v>
      </c>
      <c r="DB354" s="76"/>
      <c r="DC354" s="76">
        <f>+DB354*25000</f>
        <v>0</v>
      </c>
      <c r="DD354" s="219"/>
      <c r="DE354" s="219"/>
      <c r="DF354" s="164"/>
      <c r="DG354" s="116"/>
      <c r="DH354" s="117"/>
      <c r="DI354" s="24"/>
      <c r="DJ354" s="24"/>
      <c r="DK354" s="24"/>
      <c r="DL354" s="24"/>
      <c r="DM354" s="24"/>
      <c r="DN354" s="24"/>
      <c r="DO354" s="24"/>
      <c r="DP354" s="24"/>
      <c r="DQ354" s="24"/>
      <c r="DR354" s="24"/>
      <c r="DS354" s="24"/>
      <c r="DT354" s="24"/>
      <c r="DU354" s="24"/>
    </row>
    <row r="355" spans="1:125" s="8" customFormat="1" ht="108" x14ac:dyDescent="0.2">
      <c r="A355" s="353">
        <v>41297</v>
      </c>
      <c r="B355" s="352" t="s">
        <v>2847</v>
      </c>
      <c r="C355" s="354" t="s">
        <v>1739</v>
      </c>
      <c r="D355" s="81" t="s">
        <v>2846</v>
      </c>
      <c r="E355" s="75" t="str">
        <f>VLOOKUP(B355&amp;C355,Divipola!$C$2:$F$1138,4,FALSE)</f>
        <v>68468</v>
      </c>
      <c r="F355" s="87"/>
      <c r="G355" s="87"/>
      <c r="H355" s="87"/>
      <c r="I355" s="87"/>
      <c r="J355" s="87"/>
      <c r="K355" s="87"/>
      <c r="L355" s="87"/>
      <c r="M355" s="87"/>
      <c r="N355" s="87"/>
      <c r="O355" s="87"/>
      <c r="P355" s="87"/>
      <c r="Q355" s="87"/>
      <c r="R355" s="87"/>
      <c r="S355" s="87"/>
      <c r="T355" s="87"/>
      <c r="U355" s="127"/>
      <c r="V355" s="89"/>
      <c r="W355" s="96">
        <v>0</v>
      </c>
      <c r="X355" s="71">
        <f>CU355</f>
        <v>0</v>
      </c>
      <c r="Y355" s="71">
        <f>CY355</f>
        <v>0</v>
      </c>
      <c r="Z355" s="71">
        <f>DA355+DC355+DE355</f>
        <v>0</v>
      </c>
      <c r="AA355" s="71">
        <f>CW355</f>
        <v>0</v>
      </c>
      <c r="AB355" s="71"/>
      <c r="AC355" s="71">
        <v>0</v>
      </c>
      <c r="AD355" s="71">
        <f>W355+X355+Y355+Z355+AA355+AB355+AC355</f>
        <v>0</v>
      </c>
      <c r="AE355" s="72">
        <v>0</v>
      </c>
      <c r="AF355" s="5"/>
      <c r="AG355" s="6"/>
      <c r="AH355" s="27" t="s">
        <v>3392</v>
      </c>
      <c r="AI355" s="44" t="s">
        <v>3393</v>
      </c>
      <c r="AJ355" s="26"/>
      <c r="AK355" s="5"/>
      <c r="AL355" s="82" t="s">
        <v>3189</v>
      </c>
      <c r="AM355" s="76"/>
      <c r="AN355" s="76"/>
      <c r="AO355" s="76"/>
      <c r="AP355" s="76"/>
      <c r="AQ355" s="76"/>
      <c r="AR355" s="76"/>
      <c r="AS355" s="76"/>
      <c r="AT355" s="76"/>
      <c r="AU355" s="76"/>
      <c r="AV355" s="76"/>
      <c r="AW355" s="76"/>
      <c r="AX355" s="76">
        <f>+AW355*600000</f>
        <v>0</v>
      </c>
      <c r="AY355" s="76"/>
      <c r="AZ355" s="76">
        <f>+AY355*70000</f>
        <v>0</v>
      </c>
      <c r="BA355" s="76"/>
      <c r="BB355" s="76"/>
      <c r="BC355" s="76"/>
      <c r="BD355" s="76">
        <f>+BC355*30000</f>
        <v>0</v>
      </c>
      <c r="BE355" s="76"/>
      <c r="BF355" s="76"/>
      <c r="BG355" s="76"/>
      <c r="BH355" s="76"/>
      <c r="BI355" s="76"/>
      <c r="BJ355" s="76"/>
      <c r="BK355" s="76"/>
      <c r="BL355" s="76">
        <f>+BK355*31500</f>
        <v>0</v>
      </c>
      <c r="BM355" s="76"/>
      <c r="BN355" s="76"/>
      <c r="BO355" s="76"/>
      <c r="BP355" s="76"/>
      <c r="BQ355" s="76"/>
      <c r="BR355" s="76"/>
      <c r="BS355" s="76"/>
      <c r="BT355" s="76"/>
      <c r="BU355" s="76"/>
      <c r="BV355" s="76"/>
      <c r="BW355" s="76"/>
      <c r="BX355" s="76"/>
      <c r="BY355" s="76"/>
      <c r="BZ355" s="76"/>
      <c r="CA355" s="76"/>
      <c r="CB355" s="76"/>
      <c r="CC355" s="76"/>
      <c r="CD355" s="76"/>
      <c r="CE355" s="76"/>
      <c r="CF355" s="76">
        <f>+CE355*28000</f>
        <v>0</v>
      </c>
      <c r="CG355" s="76"/>
      <c r="CH355" s="76">
        <f>+CG355*22500</f>
        <v>0</v>
      </c>
      <c r="CI355" s="76"/>
      <c r="CJ355" s="76">
        <f>+CI355*26000</f>
        <v>0</v>
      </c>
      <c r="CK355" s="76"/>
      <c r="CL355" s="76"/>
      <c r="CM355" s="76"/>
      <c r="CN355" s="76">
        <f>+CM355*22000</f>
        <v>0</v>
      </c>
      <c r="CO355" s="76"/>
      <c r="CP355" s="76">
        <f>+CO355*46000</f>
        <v>0</v>
      </c>
      <c r="CQ355" s="76"/>
      <c r="CR355" s="76">
        <f>+CQ355*49000</f>
        <v>0</v>
      </c>
      <c r="CS355" s="76"/>
      <c r="CT355" s="76"/>
      <c r="CU355" s="56">
        <f>AN355+AP355+AR355+AT355+AV355+AX355+AZ355+BB355+BD355+BF355+BH355+BJ355+BL355+BN355+BP355+BR355+BT355+BV355+BX355+BZ355+CB355+CD355+CF355+CH355+CJ355+CL355+CN355+CP355+CR355+CT355</f>
        <v>0</v>
      </c>
      <c r="CV355" s="76"/>
      <c r="CW355" s="76">
        <f>+CV355*1100</f>
        <v>0</v>
      </c>
      <c r="CX355" s="76"/>
      <c r="CY355" s="76">
        <f>+CX355*106250</f>
        <v>0</v>
      </c>
      <c r="CZ355" s="76"/>
      <c r="DA355" s="76">
        <f>+CZ355*34500</f>
        <v>0</v>
      </c>
      <c r="DB355" s="76"/>
      <c r="DC355" s="76">
        <f>+DB355*25000</f>
        <v>0</v>
      </c>
      <c r="DD355" s="219"/>
      <c r="DE355" s="219"/>
      <c r="DF355" s="164"/>
      <c r="DG355" s="116"/>
      <c r="DH355" s="117"/>
      <c r="DI355" s="24"/>
      <c r="DJ355" s="24"/>
      <c r="DK355" s="24"/>
      <c r="DL355" s="24"/>
      <c r="DM355" s="24"/>
      <c r="DN355" s="24"/>
      <c r="DO355" s="24"/>
      <c r="DP355" s="24"/>
      <c r="DQ355" s="24"/>
      <c r="DR355" s="24"/>
      <c r="DS355" s="24"/>
      <c r="DT355" s="24"/>
      <c r="DU355" s="24"/>
    </row>
    <row r="356" spans="1:125" s="8" customFormat="1" ht="48" x14ac:dyDescent="0.2">
      <c r="A356" s="77">
        <v>41297</v>
      </c>
      <c r="B356" s="225" t="s">
        <v>2847</v>
      </c>
      <c r="C356" s="227" t="s">
        <v>479</v>
      </c>
      <c r="D356" s="81" t="s">
        <v>2846</v>
      </c>
      <c r="E356" s="75" t="str">
        <f>VLOOKUP(B356&amp;C356,Divipola!$C$2:$F$1138,4,FALSE)</f>
        <v>68547</v>
      </c>
      <c r="F356" s="87"/>
      <c r="G356" s="87"/>
      <c r="H356" s="87"/>
      <c r="I356" s="87"/>
      <c r="J356" s="87"/>
      <c r="K356" s="87"/>
      <c r="L356" s="87"/>
      <c r="M356" s="87"/>
      <c r="N356" s="87"/>
      <c r="O356" s="87"/>
      <c r="P356" s="87"/>
      <c r="Q356" s="87"/>
      <c r="R356" s="87"/>
      <c r="S356" s="87"/>
      <c r="T356" s="87"/>
      <c r="U356" s="127">
        <v>80</v>
      </c>
      <c r="V356" s="89"/>
      <c r="W356" s="96">
        <v>0</v>
      </c>
      <c r="X356" s="71">
        <f>CU356</f>
        <v>0</v>
      </c>
      <c r="Y356" s="71">
        <f>CY356</f>
        <v>0</v>
      </c>
      <c r="Z356" s="71">
        <f>DA356+DC356+DE356</f>
        <v>0</v>
      </c>
      <c r="AA356" s="71">
        <f>CW356</f>
        <v>0</v>
      </c>
      <c r="AB356" s="71"/>
      <c r="AC356" s="71">
        <v>0</v>
      </c>
      <c r="AD356" s="71">
        <f>W356+X356+Y356+Z356+AA356+AB356+AC356</f>
        <v>0</v>
      </c>
      <c r="AE356" s="72">
        <v>0</v>
      </c>
      <c r="AF356" s="5"/>
      <c r="AG356" s="6"/>
      <c r="AH356" s="27" t="s">
        <v>3392</v>
      </c>
      <c r="AI356" s="44" t="s">
        <v>3393</v>
      </c>
      <c r="AJ356" s="26"/>
      <c r="AK356" s="5"/>
      <c r="AL356" s="82" t="s">
        <v>3185</v>
      </c>
      <c r="AM356" s="76"/>
      <c r="AN356" s="76"/>
      <c r="AO356" s="76"/>
      <c r="AP356" s="76"/>
      <c r="AQ356" s="76"/>
      <c r="AR356" s="76"/>
      <c r="AS356" s="76"/>
      <c r="AT356" s="76"/>
      <c r="AU356" s="76"/>
      <c r="AV356" s="76"/>
      <c r="AW356" s="76"/>
      <c r="AX356" s="76">
        <f>+AW356*600000</f>
        <v>0</v>
      </c>
      <c r="AY356" s="76"/>
      <c r="AZ356" s="76">
        <f>+AY356*70000</f>
        <v>0</v>
      </c>
      <c r="BA356" s="76"/>
      <c r="BB356" s="76"/>
      <c r="BC356" s="76"/>
      <c r="BD356" s="76">
        <f>+BC356*30000</f>
        <v>0</v>
      </c>
      <c r="BE356" s="76"/>
      <c r="BF356" s="76"/>
      <c r="BG356" s="76"/>
      <c r="BH356" s="76"/>
      <c r="BI356" s="76"/>
      <c r="BJ356" s="76"/>
      <c r="BK356" s="76"/>
      <c r="BL356" s="76">
        <f>+BK356*31500</f>
        <v>0</v>
      </c>
      <c r="BM356" s="76"/>
      <c r="BN356" s="76"/>
      <c r="BO356" s="76"/>
      <c r="BP356" s="76"/>
      <c r="BQ356" s="76"/>
      <c r="BR356" s="76"/>
      <c r="BS356" s="76"/>
      <c r="BT356" s="76"/>
      <c r="BU356" s="76"/>
      <c r="BV356" s="76"/>
      <c r="BW356" s="76"/>
      <c r="BX356" s="76"/>
      <c r="BY356" s="76"/>
      <c r="BZ356" s="76"/>
      <c r="CA356" s="76"/>
      <c r="CB356" s="76"/>
      <c r="CC356" s="76"/>
      <c r="CD356" s="76"/>
      <c r="CE356" s="76"/>
      <c r="CF356" s="76">
        <f>+CE356*28000</f>
        <v>0</v>
      </c>
      <c r="CG356" s="76"/>
      <c r="CH356" s="76">
        <f>+CG356*22500</f>
        <v>0</v>
      </c>
      <c r="CI356" s="76"/>
      <c r="CJ356" s="76">
        <f>+CI356*26000</f>
        <v>0</v>
      </c>
      <c r="CK356" s="76"/>
      <c r="CL356" s="76"/>
      <c r="CM356" s="76"/>
      <c r="CN356" s="76">
        <f>+CM356*22000</f>
        <v>0</v>
      </c>
      <c r="CO356" s="76"/>
      <c r="CP356" s="76">
        <f>+CO356*46000</f>
        <v>0</v>
      </c>
      <c r="CQ356" s="76"/>
      <c r="CR356" s="76">
        <f>+CQ356*49000</f>
        <v>0</v>
      </c>
      <c r="CS356" s="76"/>
      <c r="CT356" s="76"/>
      <c r="CU356" s="56">
        <f>AN356+AP356+AR356+AT356+AV356+AX356+AZ356+BB356+BD356+BF356+BH356+BJ356+BL356+BN356+BP356+BR356+BT356+BV356+BX356+BZ356+CB356+CD356+CF356+CH356+CJ356+CL356+CN356+CP356+CR356+CT356</f>
        <v>0</v>
      </c>
      <c r="CV356" s="76"/>
      <c r="CW356" s="76">
        <f>+CV356*1100</f>
        <v>0</v>
      </c>
      <c r="CX356" s="76"/>
      <c r="CY356" s="76">
        <f>+CX356*106250</f>
        <v>0</v>
      </c>
      <c r="CZ356" s="76"/>
      <c r="DA356" s="76">
        <f>+CZ356*34500</f>
        <v>0</v>
      </c>
      <c r="DB356" s="76"/>
      <c r="DC356" s="76">
        <f>+DB356*25000</f>
        <v>0</v>
      </c>
      <c r="DD356" s="219"/>
      <c r="DE356" s="219"/>
      <c r="DF356" s="164"/>
      <c r="DG356" s="116"/>
      <c r="DH356" s="117"/>
      <c r="DI356" s="24"/>
      <c r="DJ356" s="24"/>
      <c r="DK356" s="24"/>
      <c r="DL356" s="24"/>
      <c r="DM356" s="24"/>
      <c r="DN356" s="24"/>
      <c r="DO356" s="24"/>
      <c r="DP356" s="24"/>
      <c r="DQ356" s="24"/>
      <c r="DR356" s="24"/>
      <c r="DS356" s="24"/>
      <c r="DT356" s="24"/>
      <c r="DU356" s="24"/>
    </row>
    <row r="357" spans="1:125" s="8" customFormat="1" ht="36" x14ac:dyDescent="0.2">
      <c r="A357" s="353">
        <v>41298</v>
      </c>
      <c r="B357" s="225" t="s">
        <v>2700</v>
      </c>
      <c r="C357" s="227" t="s">
        <v>1619</v>
      </c>
      <c r="D357" s="81" t="s">
        <v>2846</v>
      </c>
      <c r="E357" s="75" t="str">
        <f>VLOOKUP(B357&amp;C357,Divipola!$C$2:$F$1138,4,FALSE)</f>
        <v>15215</v>
      </c>
      <c r="F357" s="87"/>
      <c r="G357" s="87"/>
      <c r="H357" s="87"/>
      <c r="I357" s="87"/>
      <c r="J357" s="87"/>
      <c r="K357" s="87"/>
      <c r="L357" s="87"/>
      <c r="M357" s="87"/>
      <c r="N357" s="87"/>
      <c r="O357" s="87"/>
      <c r="P357" s="87"/>
      <c r="Q357" s="87"/>
      <c r="R357" s="87"/>
      <c r="S357" s="87"/>
      <c r="T357" s="87"/>
      <c r="U357" s="127">
        <v>25</v>
      </c>
      <c r="V357" s="89"/>
      <c r="W357" s="96">
        <v>0</v>
      </c>
      <c r="X357" s="71">
        <f>CU357</f>
        <v>0</v>
      </c>
      <c r="Y357" s="71">
        <f>CY357</f>
        <v>0</v>
      </c>
      <c r="Z357" s="71">
        <f>DA357+DC357+DE357</f>
        <v>0</v>
      </c>
      <c r="AA357" s="71">
        <f>CW357</f>
        <v>0</v>
      </c>
      <c r="AB357" s="71"/>
      <c r="AC357" s="71">
        <v>0</v>
      </c>
      <c r="AD357" s="71">
        <f>W357+X357+Y357+Z357+AA357+AB357+AC357</f>
        <v>0</v>
      </c>
      <c r="AE357" s="72">
        <v>0</v>
      </c>
      <c r="AF357" s="5"/>
      <c r="AG357" s="6"/>
      <c r="AH357" s="27" t="s">
        <v>3392</v>
      </c>
      <c r="AI357" s="44" t="s">
        <v>3393</v>
      </c>
      <c r="AJ357" s="26"/>
      <c r="AK357" s="5"/>
      <c r="AL357" s="82" t="s">
        <v>3199</v>
      </c>
      <c r="AM357" s="76"/>
      <c r="AN357" s="76"/>
      <c r="AO357" s="76"/>
      <c r="AP357" s="76"/>
      <c r="AQ357" s="76"/>
      <c r="AR357" s="76"/>
      <c r="AS357" s="76"/>
      <c r="AT357" s="76"/>
      <c r="AU357" s="76"/>
      <c r="AV357" s="76"/>
      <c r="AW357" s="76"/>
      <c r="AX357" s="76">
        <f>+AW357*600000</f>
        <v>0</v>
      </c>
      <c r="AY357" s="76"/>
      <c r="AZ357" s="76">
        <f>+AY357*70000</f>
        <v>0</v>
      </c>
      <c r="BA357" s="76"/>
      <c r="BB357" s="76"/>
      <c r="BC357" s="76"/>
      <c r="BD357" s="76">
        <f>+BC357*30000</f>
        <v>0</v>
      </c>
      <c r="BE357" s="76"/>
      <c r="BF357" s="76"/>
      <c r="BG357" s="76"/>
      <c r="BH357" s="76"/>
      <c r="BI357" s="76"/>
      <c r="BJ357" s="76"/>
      <c r="BK357" s="76"/>
      <c r="BL357" s="76">
        <f>+BK357*31500</f>
        <v>0</v>
      </c>
      <c r="BM357" s="76"/>
      <c r="BN357" s="76"/>
      <c r="BO357" s="76"/>
      <c r="BP357" s="76"/>
      <c r="BQ357" s="76"/>
      <c r="BR357" s="76"/>
      <c r="BS357" s="76"/>
      <c r="BT357" s="76"/>
      <c r="BU357" s="76"/>
      <c r="BV357" s="76"/>
      <c r="BW357" s="76"/>
      <c r="BX357" s="76"/>
      <c r="BY357" s="76"/>
      <c r="BZ357" s="76"/>
      <c r="CA357" s="76"/>
      <c r="CB357" s="76"/>
      <c r="CC357" s="76"/>
      <c r="CD357" s="76"/>
      <c r="CE357" s="76"/>
      <c r="CF357" s="76">
        <f>+CE357*28000</f>
        <v>0</v>
      </c>
      <c r="CG357" s="76"/>
      <c r="CH357" s="76">
        <f>+CG357*22500</f>
        <v>0</v>
      </c>
      <c r="CI357" s="76"/>
      <c r="CJ357" s="76">
        <f>+CI357*26000</f>
        <v>0</v>
      </c>
      <c r="CK357" s="76"/>
      <c r="CL357" s="76"/>
      <c r="CM357" s="76"/>
      <c r="CN357" s="76">
        <f>+CM357*22000</f>
        <v>0</v>
      </c>
      <c r="CO357" s="76"/>
      <c r="CP357" s="76">
        <f>+CO357*46000</f>
        <v>0</v>
      </c>
      <c r="CQ357" s="76"/>
      <c r="CR357" s="76">
        <f>+CQ357*49000</f>
        <v>0</v>
      </c>
      <c r="CS357" s="76"/>
      <c r="CT357" s="76"/>
      <c r="CU357" s="56">
        <f>AN357+AP357+AR357+AT357+AV357+AX357+AZ357+BB357+BD357+BF357+BH357+BJ357+BL357+BN357+BP357+BR357+BT357+BV357+BX357+BZ357+CB357+CD357+CF357+CH357+CJ357+CL357+CN357+CP357+CR357+CT357</f>
        <v>0</v>
      </c>
      <c r="CV357" s="76"/>
      <c r="CW357" s="76">
        <f>+CV357*1100</f>
        <v>0</v>
      </c>
      <c r="CX357" s="76"/>
      <c r="CY357" s="76">
        <f>+CX357*106250</f>
        <v>0</v>
      </c>
      <c r="CZ357" s="76"/>
      <c r="DA357" s="76">
        <f>+CZ357*34500</f>
        <v>0</v>
      </c>
      <c r="DB357" s="76"/>
      <c r="DC357" s="76">
        <f>+DB357*25000</f>
        <v>0</v>
      </c>
      <c r="DD357" s="219"/>
      <c r="DE357" s="219"/>
      <c r="DF357" s="164"/>
      <c r="DG357" s="116"/>
      <c r="DH357" s="117"/>
      <c r="DI357" s="24"/>
      <c r="DJ357" s="24"/>
      <c r="DK357" s="24"/>
      <c r="DL357" s="24"/>
      <c r="DM357" s="24"/>
      <c r="DN357" s="24"/>
      <c r="DO357" s="24"/>
      <c r="DP357" s="24"/>
      <c r="DQ357" s="24"/>
      <c r="DR357" s="24"/>
      <c r="DS357" s="24"/>
      <c r="DT357" s="24"/>
      <c r="DU357" s="24"/>
    </row>
    <row r="358" spans="1:125" s="8" customFormat="1" ht="48" x14ac:dyDescent="0.2">
      <c r="A358" s="353">
        <v>41298</v>
      </c>
      <c r="B358" s="352" t="s">
        <v>2700</v>
      </c>
      <c r="C358" s="354" t="s">
        <v>679</v>
      </c>
      <c r="D358" s="81" t="s">
        <v>2846</v>
      </c>
      <c r="E358" s="75" t="str">
        <f>VLOOKUP(B358&amp;C358,Divipola!$C$2:$F$1138,4,FALSE)</f>
        <v>15763</v>
      </c>
      <c r="F358" s="87"/>
      <c r="G358" s="87"/>
      <c r="H358" s="87"/>
      <c r="I358" s="87"/>
      <c r="J358" s="87"/>
      <c r="K358" s="87"/>
      <c r="L358" s="87"/>
      <c r="M358" s="87"/>
      <c r="N358" s="87"/>
      <c r="O358" s="87"/>
      <c r="P358" s="87"/>
      <c r="Q358" s="87"/>
      <c r="R358" s="87"/>
      <c r="S358" s="87"/>
      <c r="T358" s="87"/>
      <c r="U358" s="127">
        <v>3</v>
      </c>
      <c r="V358" s="89"/>
      <c r="W358" s="96">
        <v>0</v>
      </c>
      <c r="X358" s="71">
        <f>CU358</f>
        <v>0</v>
      </c>
      <c r="Y358" s="71">
        <f>CY358</f>
        <v>0</v>
      </c>
      <c r="Z358" s="71">
        <f>DA358+DC358+DE358</f>
        <v>0</v>
      </c>
      <c r="AA358" s="71">
        <f>CW358</f>
        <v>0</v>
      </c>
      <c r="AB358" s="71"/>
      <c r="AC358" s="71">
        <v>0</v>
      </c>
      <c r="AD358" s="71">
        <f>W358+X358+Y358+Z358+AA358+AB358+AC358</f>
        <v>0</v>
      </c>
      <c r="AE358" s="72">
        <v>0</v>
      </c>
      <c r="AF358" s="5"/>
      <c r="AG358" s="6"/>
      <c r="AH358" s="27" t="s">
        <v>3392</v>
      </c>
      <c r="AI358" s="44" t="s">
        <v>3393</v>
      </c>
      <c r="AJ358" s="26"/>
      <c r="AK358" s="5"/>
      <c r="AL358" s="82" t="s">
        <v>3198</v>
      </c>
      <c r="AM358" s="76"/>
      <c r="AN358" s="76"/>
      <c r="AO358" s="76"/>
      <c r="AP358" s="76"/>
      <c r="AQ358" s="76"/>
      <c r="AR358" s="76"/>
      <c r="AS358" s="76"/>
      <c r="AT358" s="76"/>
      <c r="AU358" s="76"/>
      <c r="AV358" s="76"/>
      <c r="AW358" s="76"/>
      <c r="AX358" s="76">
        <f>+AW358*600000</f>
        <v>0</v>
      </c>
      <c r="AY358" s="76"/>
      <c r="AZ358" s="76">
        <f>+AY358*70000</f>
        <v>0</v>
      </c>
      <c r="BA358" s="76"/>
      <c r="BB358" s="76"/>
      <c r="BC358" s="76"/>
      <c r="BD358" s="76">
        <f>+BC358*30000</f>
        <v>0</v>
      </c>
      <c r="BE358" s="76"/>
      <c r="BF358" s="76"/>
      <c r="BG358" s="76"/>
      <c r="BH358" s="76"/>
      <c r="BI358" s="76"/>
      <c r="BJ358" s="76"/>
      <c r="BK358" s="76"/>
      <c r="BL358" s="76">
        <f>+BK358*31500</f>
        <v>0</v>
      </c>
      <c r="BM358" s="76"/>
      <c r="BN358" s="76"/>
      <c r="BO358" s="76"/>
      <c r="BP358" s="76"/>
      <c r="BQ358" s="76"/>
      <c r="BR358" s="76"/>
      <c r="BS358" s="76"/>
      <c r="BT358" s="76"/>
      <c r="BU358" s="76"/>
      <c r="BV358" s="76"/>
      <c r="BW358" s="76"/>
      <c r="BX358" s="76"/>
      <c r="BY358" s="76"/>
      <c r="BZ358" s="76"/>
      <c r="CA358" s="76"/>
      <c r="CB358" s="76"/>
      <c r="CC358" s="76"/>
      <c r="CD358" s="76"/>
      <c r="CE358" s="76"/>
      <c r="CF358" s="76">
        <f>+CE358*28000</f>
        <v>0</v>
      </c>
      <c r="CG358" s="76"/>
      <c r="CH358" s="76">
        <f>+CG358*22500</f>
        <v>0</v>
      </c>
      <c r="CI358" s="76"/>
      <c r="CJ358" s="76">
        <f>+CI358*26000</f>
        <v>0</v>
      </c>
      <c r="CK358" s="76"/>
      <c r="CL358" s="76"/>
      <c r="CM358" s="76"/>
      <c r="CN358" s="76">
        <f>+CM358*22000</f>
        <v>0</v>
      </c>
      <c r="CO358" s="76"/>
      <c r="CP358" s="76">
        <f>+CO358*46000</f>
        <v>0</v>
      </c>
      <c r="CQ358" s="76"/>
      <c r="CR358" s="76">
        <f>+CQ358*49000</f>
        <v>0</v>
      </c>
      <c r="CS358" s="76"/>
      <c r="CT358" s="76"/>
      <c r="CU358" s="56">
        <f>AN358+AP358+AR358+AT358+AV358+AX358+AZ358+BB358+BD358+BF358+BH358+BJ358+BL358+BN358+BP358+BR358+BT358+BV358+BX358+BZ358+CB358+CD358+CF358+CH358+CJ358+CL358+CN358+CP358+CR358+CT358</f>
        <v>0</v>
      </c>
      <c r="CV358" s="76"/>
      <c r="CW358" s="76">
        <f>+CV358*1100</f>
        <v>0</v>
      </c>
      <c r="CX358" s="76"/>
      <c r="CY358" s="76">
        <f>+CX358*106250</f>
        <v>0</v>
      </c>
      <c r="CZ358" s="76"/>
      <c r="DA358" s="76">
        <f>+CZ358*34500</f>
        <v>0</v>
      </c>
      <c r="DB358" s="76"/>
      <c r="DC358" s="76">
        <f>+DB358*25000</f>
        <v>0</v>
      </c>
      <c r="DD358" s="219"/>
      <c r="DE358" s="219"/>
      <c r="DF358" s="164"/>
      <c r="DG358" s="116"/>
      <c r="DH358" s="117"/>
      <c r="DI358" s="24"/>
      <c r="DJ358" s="24"/>
      <c r="DK358" s="24"/>
      <c r="DL358" s="24"/>
      <c r="DM358" s="24"/>
      <c r="DN358" s="24"/>
      <c r="DO358" s="24"/>
      <c r="DP358" s="24"/>
      <c r="DQ358" s="24"/>
      <c r="DR358" s="24"/>
      <c r="DS358" s="24"/>
      <c r="DT358" s="24"/>
      <c r="DU358" s="24"/>
    </row>
    <row r="359" spans="1:125" s="8" customFormat="1" ht="48" x14ac:dyDescent="0.2">
      <c r="A359" s="353">
        <v>41298</v>
      </c>
      <c r="B359" s="352" t="s">
        <v>2700</v>
      </c>
      <c r="C359" s="354" t="s">
        <v>560</v>
      </c>
      <c r="D359" s="81" t="s">
        <v>2846</v>
      </c>
      <c r="E359" s="75" t="str">
        <f>VLOOKUP(B359&amp;C359,Divipola!$C$2:$F$1138,4,FALSE)</f>
        <v>15407</v>
      </c>
      <c r="F359" s="87"/>
      <c r="G359" s="87"/>
      <c r="H359" s="87"/>
      <c r="I359" s="87"/>
      <c r="J359" s="87"/>
      <c r="K359" s="87"/>
      <c r="L359" s="87"/>
      <c r="M359" s="87"/>
      <c r="N359" s="87"/>
      <c r="O359" s="87"/>
      <c r="P359" s="87"/>
      <c r="Q359" s="87"/>
      <c r="R359" s="87"/>
      <c r="S359" s="87"/>
      <c r="T359" s="87"/>
      <c r="U359" s="127"/>
      <c r="V359" s="89"/>
      <c r="W359" s="96">
        <v>0</v>
      </c>
      <c r="X359" s="71">
        <f>CU359</f>
        <v>0</v>
      </c>
      <c r="Y359" s="71">
        <f>CY359</f>
        <v>0</v>
      </c>
      <c r="Z359" s="71">
        <f>DA359+DC359+DE359</f>
        <v>0</v>
      </c>
      <c r="AA359" s="71">
        <f>CW359</f>
        <v>0</v>
      </c>
      <c r="AB359" s="71"/>
      <c r="AC359" s="71">
        <v>0</v>
      </c>
      <c r="AD359" s="71">
        <f>W359+X359+Y359+Z359+AA359+AB359+AC359</f>
        <v>0</v>
      </c>
      <c r="AE359" s="72">
        <v>0</v>
      </c>
      <c r="AF359" s="5"/>
      <c r="AG359" s="6"/>
      <c r="AH359" s="27" t="s">
        <v>3392</v>
      </c>
      <c r="AI359" s="44" t="s">
        <v>3393</v>
      </c>
      <c r="AJ359" s="26"/>
      <c r="AK359" s="5"/>
      <c r="AL359" s="82" t="s">
        <v>3197</v>
      </c>
      <c r="AM359" s="76"/>
      <c r="AN359" s="76"/>
      <c r="AO359" s="76"/>
      <c r="AP359" s="76"/>
      <c r="AQ359" s="76"/>
      <c r="AR359" s="76"/>
      <c r="AS359" s="76"/>
      <c r="AT359" s="76"/>
      <c r="AU359" s="76"/>
      <c r="AV359" s="76"/>
      <c r="AW359" s="76"/>
      <c r="AX359" s="76">
        <f>+AW359*600000</f>
        <v>0</v>
      </c>
      <c r="AY359" s="76"/>
      <c r="AZ359" s="76">
        <f>+AY359*70000</f>
        <v>0</v>
      </c>
      <c r="BA359" s="76"/>
      <c r="BB359" s="76"/>
      <c r="BC359" s="76"/>
      <c r="BD359" s="76">
        <f>+BC359*30000</f>
        <v>0</v>
      </c>
      <c r="BE359" s="76"/>
      <c r="BF359" s="76"/>
      <c r="BG359" s="76"/>
      <c r="BH359" s="76"/>
      <c r="BI359" s="76"/>
      <c r="BJ359" s="76"/>
      <c r="BK359" s="76"/>
      <c r="BL359" s="76">
        <f>+BK359*31500</f>
        <v>0</v>
      </c>
      <c r="BM359" s="76"/>
      <c r="BN359" s="76"/>
      <c r="BO359" s="76"/>
      <c r="BP359" s="76"/>
      <c r="BQ359" s="76"/>
      <c r="BR359" s="76"/>
      <c r="BS359" s="76"/>
      <c r="BT359" s="76"/>
      <c r="BU359" s="76"/>
      <c r="BV359" s="76"/>
      <c r="BW359" s="76"/>
      <c r="BX359" s="76"/>
      <c r="BY359" s="76"/>
      <c r="BZ359" s="76"/>
      <c r="CA359" s="76"/>
      <c r="CB359" s="76"/>
      <c r="CC359" s="76"/>
      <c r="CD359" s="76"/>
      <c r="CE359" s="76"/>
      <c r="CF359" s="76">
        <f>+CE359*28000</f>
        <v>0</v>
      </c>
      <c r="CG359" s="76"/>
      <c r="CH359" s="76">
        <f>+CG359*22500</f>
        <v>0</v>
      </c>
      <c r="CI359" s="76"/>
      <c r="CJ359" s="76">
        <f>+CI359*26000</f>
        <v>0</v>
      </c>
      <c r="CK359" s="76"/>
      <c r="CL359" s="76"/>
      <c r="CM359" s="76"/>
      <c r="CN359" s="76">
        <f>+CM359*22000</f>
        <v>0</v>
      </c>
      <c r="CO359" s="76"/>
      <c r="CP359" s="76">
        <f>+CO359*46000</f>
        <v>0</v>
      </c>
      <c r="CQ359" s="76"/>
      <c r="CR359" s="76">
        <f>+CQ359*49000</f>
        <v>0</v>
      </c>
      <c r="CS359" s="76"/>
      <c r="CT359" s="76"/>
      <c r="CU359" s="56">
        <f>AN359+AP359+AR359+AT359+AV359+AX359+AZ359+BB359+BD359+BF359+BH359+BJ359+BL359+BN359+BP359+BR359+BT359+BV359+BX359+BZ359+CB359+CD359+CF359+CH359+CJ359+CL359+CN359+CP359+CR359+CT359</f>
        <v>0</v>
      </c>
      <c r="CV359" s="76"/>
      <c r="CW359" s="76">
        <f>+CV359*1100</f>
        <v>0</v>
      </c>
      <c r="CX359" s="76"/>
      <c r="CY359" s="76">
        <f>+CX359*106250</f>
        <v>0</v>
      </c>
      <c r="CZ359" s="76"/>
      <c r="DA359" s="76">
        <f>+CZ359*34500</f>
        <v>0</v>
      </c>
      <c r="DB359" s="76"/>
      <c r="DC359" s="76">
        <f>+DB359*25000</f>
        <v>0</v>
      </c>
      <c r="DD359" s="219"/>
      <c r="DE359" s="219"/>
      <c r="DF359" s="164"/>
      <c r="DG359" s="116"/>
      <c r="DH359" s="117"/>
      <c r="DI359" s="24"/>
      <c r="DJ359" s="24"/>
      <c r="DK359" s="24"/>
      <c r="DL359" s="24"/>
      <c r="DM359" s="24"/>
      <c r="DN359" s="24"/>
      <c r="DO359" s="24"/>
      <c r="DP359" s="24"/>
      <c r="DQ359" s="24"/>
      <c r="DR359" s="24"/>
      <c r="DS359" s="24"/>
      <c r="DT359" s="24"/>
      <c r="DU359" s="24"/>
    </row>
    <row r="360" spans="1:125" s="8" customFormat="1" ht="72" x14ac:dyDescent="0.2">
      <c r="A360" s="97">
        <v>41298</v>
      </c>
      <c r="B360" s="60" t="s">
        <v>2855</v>
      </c>
      <c r="C360" s="55" t="s">
        <v>2168</v>
      </c>
      <c r="D360" s="81" t="s">
        <v>2846</v>
      </c>
      <c r="E360" s="75" t="str">
        <f>VLOOKUP(B360&amp;C360,Divipola!$C$2:$F$1138,4,FALSE)</f>
        <v>20001</v>
      </c>
      <c r="F360" s="87"/>
      <c r="G360" s="87"/>
      <c r="H360" s="87"/>
      <c r="I360" s="87"/>
      <c r="J360" s="87"/>
      <c r="K360" s="87"/>
      <c r="L360" s="87"/>
      <c r="M360" s="87"/>
      <c r="N360" s="87"/>
      <c r="O360" s="87"/>
      <c r="P360" s="87"/>
      <c r="Q360" s="87"/>
      <c r="R360" s="87"/>
      <c r="S360" s="87"/>
      <c r="T360" s="87"/>
      <c r="U360" s="127">
        <v>30</v>
      </c>
      <c r="V360" s="89"/>
      <c r="W360" s="96">
        <v>0</v>
      </c>
      <c r="X360" s="71">
        <f>CU360</f>
        <v>0</v>
      </c>
      <c r="Y360" s="71">
        <f>CY360</f>
        <v>0</v>
      </c>
      <c r="Z360" s="71">
        <f>DA360+DC360+DE360</f>
        <v>0</v>
      </c>
      <c r="AA360" s="71">
        <f>CW360</f>
        <v>0</v>
      </c>
      <c r="AB360" s="71"/>
      <c r="AC360" s="71">
        <v>0</v>
      </c>
      <c r="AD360" s="71">
        <f>W360+X360+Y360+Z360+AA360+AB360+AC360</f>
        <v>0</v>
      </c>
      <c r="AE360" s="72">
        <v>0</v>
      </c>
      <c r="AF360" s="5"/>
      <c r="AG360" s="6"/>
      <c r="AH360" s="27" t="s">
        <v>3392</v>
      </c>
      <c r="AI360" s="44" t="s">
        <v>3393</v>
      </c>
      <c r="AJ360" s="26"/>
      <c r="AK360" s="5"/>
      <c r="AL360" s="82" t="s">
        <v>3202</v>
      </c>
      <c r="AM360" s="76"/>
      <c r="AN360" s="76"/>
      <c r="AO360" s="76"/>
      <c r="AP360" s="76"/>
      <c r="AQ360" s="76"/>
      <c r="AR360" s="76"/>
      <c r="AS360" s="76"/>
      <c r="AT360" s="76"/>
      <c r="AU360" s="76"/>
      <c r="AV360" s="76"/>
      <c r="AW360" s="76"/>
      <c r="AX360" s="76">
        <f>+AW360*600000</f>
        <v>0</v>
      </c>
      <c r="AY360" s="76"/>
      <c r="AZ360" s="76">
        <f>+AY360*70000</f>
        <v>0</v>
      </c>
      <c r="BA360" s="76"/>
      <c r="BB360" s="76"/>
      <c r="BC360" s="76"/>
      <c r="BD360" s="76">
        <f>+BC360*30000</f>
        <v>0</v>
      </c>
      <c r="BE360" s="76"/>
      <c r="BF360" s="76"/>
      <c r="BG360" s="76"/>
      <c r="BH360" s="76"/>
      <c r="BI360" s="76"/>
      <c r="BJ360" s="76"/>
      <c r="BK360" s="76"/>
      <c r="BL360" s="76">
        <f>+BK360*31500</f>
        <v>0</v>
      </c>
      <c r="BM360" s="76"/>
      <c r="BN360" s="76"/>
      <c r="BO360" s="76"/>
      <c r="BP360" s="76"/>
      <c r="BQ360" s="76"/>
      <c r="BR360" s="76"/>
      <c r="BS360" s="76"/>
      <c r="BT360" s="76"/>
      <c r="BU360" s="76"/>
      <c r="BV360" s="76"/>
      <c r="BW360" s="76"/>
      <c r="BX360" s="76"/>
      <c r="BY360" s="76"/>
      <c r="BZ360" s="76"/>
      <c r="CA360" s="76"/>
      <c r="CB360" s="76"/>
      <c r="CC360" s="76"/>
      <c r="CD360" s="76"/>
      <c r="CE360" s="76"/>
      <c r="CF360" s="76">
        <f>+CE360*28000</f>
        <v>0</v>
      </c>
      <c r="CG360" s="76"/>
      <c r="CH360" s="76">
        <f>+CG360*22500</f>
        <v>0</v>
      </c>
      <c r="CI360" s="76"/>
      <c r="CJ360" s="76">
        <f>+CI360*26000</f>
        <v>0</v>
      </c>
      <c r="CK360" s="76"/>
      <c r="CL360" s="76"/>
      <c r="CM360" s="76"/>
      <c r="CN360" s="76">
        <f>+CM360*22000</f>
        <v>0</v>
      </c>
      <c r="CO360" s="76"/>
      <c r="CP360" s="76">
        <f>+CO360*46000</f>
        <v>0</v>
      </c>
      <c r="CQ360" s="76"/>
      <c r="CR360" s="76">
        <f>+CQ360*49000</f>
        <v>0</v>
      </c>
      <c r="CS360" s="76"/>
      <c r="CT360" s="76"/>
      <c r="CU360" s="56">
        <f>AN360+AP360+AR360+AT360+AV360+AX360+AZ360+BB360+BD360+BF360+BH360+BJ360+BL360+BN360+BP360+BR360+BT360+BV360+BX360+BZ360+CB360+CD360+CF360+CH360+CJ360+CL360+CN360+CP360+CR360+CT360</f>
        <v>0</v>
      </c>
      <c r="CV360" s="76"/>
      <c r="CW360" s="76">
        <f>+CV360*1100</f>
        <v>0</v>
      </c>
      <c r="CX360" s="76"/>
      <c r="CY360" s="76">
        <f>+CX360*106250</f>
        <v>0</v>
      </c>
      <c r="CZ360" s="76"/>
      <c r="DA360" s="76">
        <f>+CZ360*34500</f>
        <v>0</v>
      </c>
      <c r="DB360" s="76"/>
      <c r="DC360" s="76">
        <f>+DB360*25000</f>
        <v>0</v>
      </c>
      <c r="DD360" s="219"/>
      <c r="DE360" s="219"/>
      <c r="DF360" s="164"/>
      <c r="DG360" s="116"/>
      <c r="DH360" s="117"/>
      <c r="DI360" s="24"/>
      <c r="DJ360" s="24"/>
      <c r="DK360" s="24"/>
      <c r="DL360" s="24"/>
      <c r="DM360" s="24"/>
      <c r="DN360" s="24"/>
      <c r="DO360" s="24"/>
      <c r="DP360" s="24"/>
      <c r="DQ360" s="24"/>
      <c r="DR360" s="24"/>
      <c r="DS360" s="24"/>
      <c r="DT360" s="24"/>
      <c r="DU360" s="24"/>
    </row>
    <row r="361" spans="1:125" s="8" customFormat="1" ht="72" x14ac:dyDescent="0.2">
      <c r="A361" s="77">
        <v>41298</v>
      </c>
      <c r="B361" s="78" t="s">
        <v>2772</v>
      </c>
      <c r="C361" s="75" t="s">
        <v>1108</v>
      </c>
      <c r="D361" s="81" t="s">
        <v>2846</v>
      </c>
      <c r="E361" s="75" t="str">
        <f>VLOOKUP(B361&amp;C361,Divipola!$C$2:$F$1138,4,FALSE)</f>
        <v>25430</v>
      </c>
      <c r="F361" s="87"/>
      <c r="G361" s="87"/>
      <c r="H361" s="87"/>
      <c r="I361" s="87"/>
      <c r="J361" s="87"/>
      <c r="K361" s="87"/>
      <c r="L361" s="87"/>
      <c r="M361" s="87"/>
      <c r="N361" s="87"/>
      <c r="O361" s="87"/>
      <c r="P361" s="87"/>
      <c r="Q361" s="87"/>
      <c r="R361" s="87"/>
      <c r="S361" s="87"/>
      <c r="T361" s="87"/>
      <c r="U361" s="127">
        <v>4</v>
      </c>
      <c r="V361" s="89"/>
      <c r="W361" s="96">
        <v>0</v>
      </c>
      <c r="X361" s="71">
        <f>CU361</f>
        <v>0</v>
      </c>
      <c r="Y361" s="71">
        <f>CY361</f>
        <v>0</v>
      </c>
      <c r="Z361" s="71">
        <f>DA361+DC361+DE361</f>
        <v>0</v>
      </c>
      <c r="AA361" s="71">
        <f>CW361</f>
        <v>0</v>
      </c>
      <c r="AB361" s="71"/>
      <c r="AC361" s="71">
        <v>0</v>
      </c>
      <c r="AD361" s="71">
        <f>W361+X361+Y361+Z361+AA361+AB361+AC361</f>
        <v>0</v>
      </c>
      <c r="AE361" s="72">
        <v>0</v>
      </c>
      <c r="AF361" s="5"/>
      <c r="AG361" s="6"/>
      <c r="AH361" s="27" t="s">
        <v>3392</v>
      </c>
      <c r="AI361" s="44" t="s">
        <v>3393</v>
      </c>
      <c r="AJ361" s="26"/>
      <c r="AK361" s="5"/>
      <c r="AL361" s="82" t="s">
        <v>3256</v>
      </c>
      <c r="AM361" s="76"/>
      <c r="AN361" s="76"/>
      <c r="AO361" s="76"/>
      <c r="AP361" s="76"/>
      <c r="AQ361" s="76"/>
      <c r="AR361" s="76"/>
      <c r="AS361" s="76"/>
      <c r="AT361" s="76"/>
      <c r="AU361" s="76"/>
      <c r="AV361" s="76"/>
      <c r="AW361" s="76"/>
      <c r="AX361" s="76">
        <f>+AW361*600000</f>
        <v>0</v>
      </c>
      <c r="AY361" s="76"/>
      <c r="AZ361" s="76">
        <f>+AY361*70000</f>
        <v>0</v>
      </c>
      <c r="BA361" s="76"/>
      <c r="BB361" s="76"/>
      <c r="BC361" s="76"/>
      <c r="BD361" s="76">
        <f>+BC361*30000</f>
        <v>0</v>
      </c>
      <c r="BE361" s="76"/>
      <c r="BF361" s="76"/>
      <c r="BG361" s="76"/>
      <c r="BH361" s="76"/>
      <c r="BI361" s="76"/>
      <c r="BJ361" s="76"/>
      <c r="BK361" s="76"/>
      <c r="BL361" s="76">
        <f>+BK361*31500</f>
        <v>0</v>
      </c>
      <c r="BM361" s="76"/>
      <c r="BN361" s="76"/>
      <c r="BO361" s="76"/>
      <c r="BP361" s="76"/>
      <c r="BQ361" s="76"/>
      <c r="BR361" s="76"/>
      <c r="BS361" s="76"/>
      <c r="BT361" s="76"/>
      <c r="BU361" s="76"/>
      <c r="BV361" s="76"/>
      <c r="BW361" s="76"/>
      <c r="BX361" s="76"/>
      <c r="BY361" s="76"/>
      <c r="BZ361" s="76"/>
      <c r="CA361" s="76"/>
      <c r="CB361" s="76"/>
      <c r="CC361" s="76"/>
      <c r="CD361" s="76"/>
      <c r="CE361" s="76"/>
      <c r="CF361" s="76">
        <f>+CE361*28000</f>
        <v>0</v>
      </c>
      <c r="CG361" s="76"/>
      <c r="CH361" s="76">
        <f>+CG361*22500</f>
        <v>0</v>
      </c>
      <c r="CI361" s="76"/>
      <c r="CJ361" s="76">
        <f>+CI361*26000</f>
        <v>0</v>
      </c>
      <c r="CK361" s="76"/>
      <c r="CL361" s="76"/>
      <c r="CM361" s="76"/>
      <c r="CN361" s="76">
        <f>+CM361*22000</f>
        <v>0</v>
      </c>
      <c r="CO361" s="76"/>
      <c r="CP361" s="76">
        <f>+CO361*46000</f>
        <v>0</v>
      </c>
      <c r="CQ361" s="76"/>
      <c r="CR361" s="76">
        <f>+CQ361*49000</f>
        <v>0</v>
      </c>
      <c r="CS361" s="76"/>
      <c r="CT361" s="76"/>
      <c r="CU361" s="56">
        <f>AN361+AP361+AR361+AT361+AV361+AX361+AZ361+BB361+BD361+BF361+BH361+BJ361+BL361+BN361+BP361+BR361+BT361+BV361+BX361+BZ361+CB361+CD361+CF361+CH361+CJ361+CL361+CN361+CP361+CR361+CT361</f>
        <v>0</v>
      </c>
      <c r="CV361" s="76"/>
      <c r="CW361" s="76">
        <f>+CV361*1100</f>
        <v>0</v>
      </c>
      <c r="CX361" s="76"/>
      <c r="CY361" s="76">
        <f>+CX361*106250</f>
        <v>0</v>
      </c>
      <c r="CZ361" s="76"/>
      <c r="DA361" s="76">
        <f>+CZ361*34500</f>
        <v>0</v>
      </c>
      <c r="DB361" s="76"/>
      <c r="DC361" s="76">
        <f>+DB361*25000</f>
        <v>0</v>
      </c>
      <c r="DD361" s="219"/>
      <c r="DE361" s="219"/>
      <c r="DF361" s="164"/>
      <c r="DG361" s="116"/>
      <c r="DH361" s="117"/>
      <c r="DI361" s="24"/>
      <c r="DJ361" s="24"/>
      <c r="DK361" s="24"/>
      <c r="DL361" s="24"/>
      <c r="DM361" s="24"/>
      <c r="DN361" s="24"/>
      <c r="DO361" s="24"/>
      <c r="DP361" s="24"/>
      <c r="DQ361" s="24"/>
      <c r="DR361" s="24"/>
      <c r="DS361" s="24"/>
      <c r="DT361" s="24"/>
      <c r="DU361" s="24"/>
    </row>
    <row r="362" spans="1:125" s="8" customFormat="1" ht="36" x14ac:dyDescent="0.2">
      <c r="A362" s="353">
        <v>41298</v>
      </c>
      <c r="B362" s="225" t="s">
        <v>3136</v>
      </c>
      <c r="C362" s="227" t="s">
        <v>406</v>
      </c>
      <c r="D362" s="227" t="s">
        <v>2936</v>
      </c>
      <c r="E362" s="75" t="str">
        <f>VLOOKUP(B362&amp;C362,Divipola!$C$2:$F$1138,4,FALSE)</f>
        <v>44650</v>
      </c>
      <c r="F362" s="87"/>
      <c r="G362" s="87"/>
      <c r="H362" s="87"/>
      <c r="I362" s="87"/>
      <c r="J362" s="87"/>
      <c r="K362" s="87"/>
      <c r="L362" s="87"/>
      <c r="M362" s="87"/>
      <c r="N362" s="87"/>
      <c r="O362" s="87"/>
      <c r="P362" s="87"/>
      <c r="Q362" s="87"/>
      <c r="R362" s="87"/>
      <c r="S362" s="87"/>
      <c r="T362" s="87"/>
      <c r="U362" s="127"/>
      <c r="V362" s="89"/>
      <c r="W362" s="96">
        <v>0</v>
      </c>
      <c r="X362" s="71">
        <f>CU362</f>
        <v>0</v>
      </c>
      <c r="Y362" s="71">
        <f>CY362</f>
        <v>0</v>
      </c>
      <c r="Z362" s="71">
        <f>DA362+DC362+DE362</f>
        <v>0</v>
      </c>
      <c r="AA362" s="71">
        <f>CW362</f>
        <v>0</v>
      </c>
      <c r="AB362" s="71"/>
      <c r="AC362" s="71">
        <v>0</v>
      </c>
      <c r="AD362" s="71">
        <f>W362+X362+Y362+Z362+AA362+AB362+AC362</f>
        <v>0</v>
      </c>
      <c r="AE362" s="72">
        <v>0</v>
      </c>
      <c r="AF362" s="5"/>
      <c r="AG362" s="6"/>
      <c r="AH362" s="27" t="s">
        <v>3392</v>
      </c>
      <c r="AI362" s="44" t="s">
        <v>3393</v>
      </c>
      <c r="AJ362" s="26"/>
      <c r="AK362" s="5"/>
      <c r="AL362" s="82" t="s">
        <v>3204</v>
      </c>
      <c r="AM362" s="76"/>
      <c r="AN362" s="76"/>
      <c r="AO362" s="76"/>
      <c r="AP362" s="76"/>
      <c r="AQ362" s="76"/>
      <c r="AR362" s="76"/>
      <c r="AS362" s="76"/>
      <c r="AT362" s="76"/>
      <c r="AU362" s="76"/>
      <c r="AV362" s="76"/>
      <c r="AW362" s="76"/>
      <c r="AX362" s="76">
        <f>+AW362*600000</f>
        <v>0</v>
      </c>
      <c r="AY362" s="76"/>
      <c r="AZ362" s="76">
        <f>+AY362*70000</f>
        <v>0</v>
      </c>
      <c r="BA362" s="76"/>
      <c r="BB362" s="76"/>
      <c r="BC362" s="76"/>
      <c r="BD362" s="76">
        <f>+BC362*30000</f>
        <v>0</v>
      </c>
      <c r="BE362" s="76"/>
      <c r="BF362" s="76"/>
      <c r="BG362" s="76"/>
      <c r="BH362" s="76"/>
      <c r="BI362" s="76"/>
      <c r="BJ362" s="76"/>
      <c r="BK362" s="76"/>
      <c r="BL362" s="76">
        <f>+BK362*31500</f>
        <v>0</v>
      </c>
      <c r="BM362" s="76"/>
      <c r="BN362" s="76"/>
      <c r="BO362" s="76"/>
      <c r="BP362" s="76"/>
      <c r="BQ362" s="76"/>
      <c r="BR362" s="76"/>
      <c r="BS362" s="76"/>
      <c r="BT362" s="76"/>
      <c r="BU362" s="76"/>
      <c r="BV362" s="76"/>
      <c r="BW362" s="76"/>
      <c r="BX362" s="76"/>
      <c r="BY362" s="76"/>
      <c r="BZ362" s="76"/>
      <c r="CA362" s="76"/>
      <c r="CB362" s="76"/>
      <c r="CC362" s="76"/>
      <c r="CD362" s="76"/>
      <c r="CE362" s="76"/>
      <c r="CF362" s="76">
        <f>+CE362*28000</f>
        <v>0</v>
      </c>
      <c r="CG362" s="76"/>
      <c r="CH362" s="76">
        <f>+CG362*22500</f>
        <v>0</v>
      </c>
      <c r="CI362" s="76"/>
      <c r="CJ362" s="76">
        <f>+CI362*26000</f>
        <v>0</v>
      </c>
      <c r="CK362" s="76"/>
      <c r="CL362" s="76"/>
      <c r="CM362" s="76"/>
      <c r="CN362" s="76">
        <f>+CM362*22000</f>
        <v>0</v>
      </c>
      <c r="CO362" s="76"/>
      <c r="CP362" s="76">
        <f>+CO362*46000</f>
        <v>0</v>
      </c>
      <c r="CQ362" s="76"/>
      <c r="CR362" s="76">
        <f>+CQ362*49000</f>
        <v>0</v>
      </c>
      <c r="CS362" s="76"/>
      <c r="CT362" s="76"/>
      <c r="CU362" s="56">
        <f>AN362+AP362+AR362+AT362+AV362+AX362+AZ362+BB362+BD362+BF362+BH362+BJ362+BL362+BN362+BP362+BR362+BT362+BV362+BX362+BZ362+CB362+CD362+CF362+CH362+CJ362+CL362+CN362+CP362+CR362+CT362</f>
        <v>0</v>
      </c>
      <c r="CV362" s="76"/>
      <c r="CW362" s="76">
        <f>+CV362*1100</f>
        <v>0</v>
      </c>
      <c r="CX362" s="76"/>
      <c r="CY362" s="76">
        <f>+CX362*106250</f>
        <v>0</v>
      </c>
      <c r="CZ362" s="76"/>
      <c r="DA362" s="76">
        <f>+CZ362*34500</f>
        <v>0</v>
      </c>
      <c r="DB362" s="76"/>
      <c r="DC362" s="76">
        <f>+DB362*25000</f>
        <v>0</v>
      </c>
      <c r="DD362" s="219"/>
      <c r="DE362" s="219"/>
      <c r="DF362" s="164"/>
      <c r="DG362" s="116"/>
      <c r="DH362" s="117"/>
      <c r="DI362" s="24"/>
      <c r="DJ362" s="24"/>
      <c r="DK362" s="24"/>
      <c r="DL362" s="24"/>
      <c r="DM362" s="24"/>
      <c r="DN362" s="24"/>
      <c r="DO362" s="24"/>
      <c r="DP362" s="24"/>
      <c r="DQ362" s="24"/>
      <c r="DR362" s="24"/>
      <c r="DS362" s="24"/>
      <c r="DT362" s="24"/>
      <c r="DU362" s="24"/>
    </row>
    <row r="363" spans="1:125" s="8" customFormat="1" ht="84" x14ac:dyDescent="0.2">
      <c r="A363" s="353">
        <v>41298</v>
      </c>
      <c r="B363" s="225" t="s">
        <v>506</v>
      </c>
      <c r="C363" s="227" t="s">
        <v>100</v>
      </c>
      <c r="D363" s="81" t="s">
        <v>2846</v>
      </c>
      <c r="E363" s="75" t="str">
        <f>VLOOKUP(B363&amp;C363,Divipola!$C$2:$F$1138,4,FALSE)</f>
        <v>50573</v>
      </c>
      <c r="F363" s="87"/>
      <c r="G363" s="87"/>
      <c r="H363" s="87"/>
      <c r="I363" s="87"/>
      <c r="J363" s="87"/>
      <c r="K363" s="87"/>
      <c r="L363" s="87"/>
      <c r="M363" s="87"/>
      <c r="N363" s="87"/>
      <c r="O363" s="87"/>
      <c r="P363" s="87"/>
      <c r="Q363" s="87"/>
      <c r="R363" s="87"/>
      <c r="S363" s="87"/>
      <c r="T363" s="87"/>
      <c r="U363" s="127">
        <v>700</v>
      </c>
      <c r="V363" s="89"/>
      <c r="W363" s="96">
        <v>0</v>
      </c>
      <c r="X363" s="71">
        <f>CU363</f>
        <v>0</v>
      </c>
      <c r="Y363" s="71">
        <f>CY363</f>
        <v>0</v>
      </c>
      <c r="Z363" s="71">
        <f>DA363+DC363+DE363</f>
        <v>0</v>
      </c>
      <c r="AA363" s="71">
        <f>CW363</f>
        <v>0</v>
      </c>
      <c r="AB363" s="71"/>
      <c r="AC363" s="71">
        <v>0</v>
      </c>
      <c r="AD363" s="71">
        <f>W363+X363+Y363+Z363+AA363+AB363+AC363</f>
        <v>0</v>
      </c>
      <c r="AE363" s="72">
        <v>0</v>
      </c>
      <c r="AF363" s="5"/>
      <c r="AG363" s="6"/>
      <c r="AH363" s="27" t="s">
        <v>3392</v>
      </c>
      <c r="AI363" s="44" t="s">
        <v>3393</v>
      </c>
      <c r="AJ363" s="26"/>
      <c r="AK363" s="5"/>
      <c r="AL363" s="82" t="s">
        <v>3200</v>
      </c>
      <c r="AM363" s="76"/>
      <c r="AN363" s="76"/>
      <c r="AO363" s="76"/>
      <c r="AP363" s="76"/>
      <c r="AQ363" s="76"/>
      <c r="AR363" s="76"/>
      <c r="AS363" s="76"/>
      <c r="AT363" s="76"/>
      <c r="AU363" s="76"/>
      <c r="AV363" s="76"/>
      <c r="AW363" s="76"/>
      <c r="AX363" s="76">
        <f>+AW363*600000</f>
        <v>0</v>
      </c>
      <c r="AY363" s="76"/>
      <c r="AZ363" s="76">
        <f>+AY363*70000</f>
        <v>0</v>
      </c>
      <c r="BA363" s="76"/>
      <c r="BB363" s="76"/>
      <c r="BC363" s="76"/>
      <c r="BD363" s="76">
        <f>+BC363*30000</f>
        <v>0</v>
      </c>
      <c r="BE363" s="76"/>
      <c r="BF363" s="76"/>
      <c r="BG363" s="76"/>
      <c r="BH363" s="76"/>
      <c r="BI363" s="76"/>
      <c r="BJ363" s="76"/>
      <c r="BK363" s="76"/>
      <c r="BL363" s="76">
        <f>+BK363*31500</f>
        <v>0</v>
      </c>
      <c r="BM363" s="76"/>
      <c r="BN363" s="76"/>
      <c r="BO363" s="76"/>
      <c r="BP363" s="76"/>
      <c r="BQ363" s="76"/>
      <c r="BR363" s="76"/>
      <c r="BS363" s="76"/>
      <c r="BT363" s="76"/>
      <c r="BU363" s="76"/>
      <c r="BV363" s="76"/>
      <c r="BW363" s="76"/>
      <c r="BX363" s="76"/>
      <c r="BY363" s="76"/>
      <c r="BZ363" s="76"/>
      <c r="CA363" s="76"/>
      <c r="CB363" s="76"/>
      <c r="CC363" s="76"/>
      <c r="CD363" s="76"/>
      <c r="CE363" s="76"/>
      <c r="CF363" s="76">
        <f>+CE363*28000</f>
        <v>0</v>
      </c>
      <c r="CG363" s="76"/>
      <c r="CH363" s="76">
        <f>+CG363*22500</f>
        <v>0</v>
      </c>
      <c r="CI363" s="76"/>
      <c r="CJ363" s="76">
        <f>+CI363*26000</f>
        <v>0</v>
      </c>
      <c r="CK363" s="76"/>
      <c r="CL363" s="76"/>
      <c r="CM363" s="76"/>
      <c r="CN363" s="76">
        <f>+CM363*22000</f>
        <v>0</v>
      </c>
      <c r="CO363" s="76"/>
      <c r="CP363" s="76">
        <f>+CO363*46000</f>
        <v>0</v>
      </c>
      <c r="CQ363" s="76"/>
      <c r="CR363" s="76">
        <f>+CQ363*49000</f>
        <v>0</v>
      </c>
      <c r="CS363" s="76"/>
      <c r="CT363" s="76"/>
      <c r="CU363" s="56">
        <f>AN363+AP363+AR363+AT363+AV363+AX363+AZ363+BB363+BD363+BF363+BH363+BJ363+BL363+BN363+BP363+BR363+BT363+BV363+BX363+BZ363+CB363+CD363+CF363+CH363+CJ363+CL363+CN363+CP363+CR363+CT363</f>
        <v>0</v>
      </c>
      <c r="CV363" s="76"/>
      <c r="CW363" s="76">
        <f>+CV363*1100</f>
        <v>0</v>
      </c>
      <c r="CX363" s="76"/>
      <c r="CY363" s="76">
        <f>+CX363*106250</f>
        <v>0</v>
      </c>
      <c r="CZ363" s="76"/>
      <c r="DA363" s="76">
        <f>+CZ363*34500</f>
        <v>0</v>
      </c>
      <c r="DB363" s="76"/>
      <c r="DC363" s="76">
        <f>+DB363*25000</f>
        <v>0</v>
      </c>
      <c r="DD363" s="219"/>
      <c r="DE363" s="219"/>
      <c r="DF363" s="164"/>
      <c r="DG363" s="116"/>
      <c r="DH363" s="117"/>
      <c r="DI363" s="24"/>
      <c r="DJ363" s="24"/>
      <c r="DK363" s="24"/>
      <c r="DL363" s="24"/>
      <c r="DM363" s="24"/>
      <c r="DN363" s="24"/>
      <c r="DO363" s="24"/>
      <c r="DP363" s="24"/>
      <c r="DQ363" s="24"/>
      <c r="DR363" s="24"/>
      <c r="DS363" s="24"/>
      <c r="DT363" s="24"/>
      <c r="DU363" s="24"/>
    </row>
    <row r="364" spans="1:125" s="8" customFormat="1" ht="84" x14ac:dyDescent="0.2">
      <c r="A364" s="353">
        <v>41298</v>
      </c>
      <c r="B364" s="352" t="s">
        <v>506</v>
      </c>
      <c r="C364" s="354" t="s">
        <v>100</v>
      </c>
      <c r="D364" s="81" t="s">
        <v>2846</v>
      </c>
      <c r="E364" s="75" t="str">
        <f>VLOOKUP(B364&amp;C364,Divipola!$C$2:$F$1138,4,FALSE)</f>
        <v>50573</v>
      </c>
      <c r="F364" s="87"/>
      <c r="G364" s="87"/>
      <c r="H364" s="87"/>
      <c r="I364" s="87"/>
      <c r="J364" s="87"/>
      <c r="K364" s="87"/>
      <c r="L364" s="87"/>
      <c r="M364" s="87"/>
      <c r="N364" s="87"/>
      <c r="O364" s="87"/>
      <c r="P364" s="87"/>
      <c r="Q364" s="87"/>
      <c r="R364" s="87"/>
      <c r="S364" s="87"/>
      <c r="T364" s="87"/>
      <c r="U364" s="127"/>
      <c r="V364" s="89"/>
      <c r="W364" s="96">
        <v>0</v>
      </c>
      <c r="X364" s="71">
        <f>CU364</f>
        <v>0</v>
      </c>
      <c r="Y364" s="71">
        <f>CY364</f>
        <v>0</v>
      </c>
      <c r="Z364" s="71">
        <f>DA364+DC364+DE364</f>
        <v>0</v>
      </c>
      <c r="AA364" s="71">
        <f>CW364</f>
        <v>0</v>
      </c>
      <c r="AB364" s="71"/>
      <c r="AC364" s="71">
        <v>0</v>
      </c>
      <c r="AD364" s="71">
        <f>W364+X364+Y364+Z364+AA364+AB364+AC364</f>
        <v>0</v>
      </c>
      <c r="AE364" s="72">
        <v>0</v>
      </c>
      <c r="AF364" s="5"/>
      <c r="AG364" s="6"/>
      <c r="AH364" s="27" t="s">
        <v>3392</v>
      </c>
      <c r="AI364" s="44" t="s">
        <v>3393</v>
      </c>
      <c r="AJ364" s="26"/>
      <c r="AK364" s="5"/>
      <c r="AL364" s="82" t="s">
        <v>3201</v>
      </c>
      <c r="AM364" s="76"/>
      <c r="AN364" s="76"/>
      <c r="AO364" s="76"/>
      <c r="AP364" s="76"/>
      <c r="AQ364" s="76"/>
      <c r="AR364" s="76"/>
      <c r="AS364" s="76"/>
      <c r="AT364" s="76"/>
      <c r="AU364" s="76"/>
      <c r="AV364" s="76"/>
      <c r="AW364" s="76"/>
      <c r="AX364" s="76">
        <f>+AW364*600000</f>
        <v>0</v>
      </c>
      <c r="AY364" s="76"/>
      <c r="AZ364" s="76">
        <f>+AY364*70000</f>
        <v>0</v>
      </c>
      <c r="BA364" s="76"/>
      <c r="BB364" s="76"/>
      <c r="BC364" s="76"/>
      <c r="BD364" s="76">
        <f>+BC364*30000</f>
        <v>0</v>
      </c>
      <c r="BE364" s="76"/>
      <c r="BF364" s="76"/>
      <c r="BG364" s="76"/>
      <c r="BH364" s="76"/>
      <c r="BI364" s="76"/>
      <c r="BJ364" s="76"/>
      <c r="BK364" s="76"/>
      <c r="BL364" s="76">
        <f>+BK364*31500</f>
        <v>0</v>
      </c>
      <c r="BM364" s="76"/>
      <c r="BN364" s="76"/>
      <c r="BO364" s="76"/>
      <c r="BP364" s="76"/>
      <c r="BQ364" s="76"/>
      <c r="BR364" s="76"/>
      <c r="BS364" s="76"/>
      <c r="BT364" s="76"/>
      <c r="BU364" s="76"/>
      <c r="BV364" s="76"/>
      <c r="BW364" s="76"/>
      <c r="BX364" s="76"/>
      <c r="BY364" s="76"/>
      <c r="BZ364" s="76"/>
      <c r="CA364" s="76"/>
      <c r="CB364" s="76"/>
      <c r="CC364" s="76"/>
      <c r="CD364" s="76"/>
      <c r="CE364" s="76"/>
      <c r="CF364" s="76">
        <f>+CE364*28000</f>
        <v>0</v>
      </c>
      <c r="CG364" s="76"/>
      <c r="CH364" s="76">
        <f>+CG364*22500</f>
        <v>0</v>
      </c>
      <c r="CI364" s="76"/>
      <c r="CJ364" s="76">
        <f>+CI364*26000</f>
        <v>0</v>
      </c>
      <c r="CK364" s="76"/>
      <c r="CL364" s="76"/>
      <c r="CM364" s="76"/>
      <c r="CN364" s="76">
        <f>+CM364*22000</f>
        <v>0</v>
      </c>
      <c r="CO364" s="76"/>
      <c r="CP364" s="76">
        <f>+CO364*46000</f>
        <v>0</v>
      </c>
      <c r="CQ364" s="76"/>
      <c r="CR364" s="76">
        <f>+CQ364*49000</f>
        <v>0</v>
      </c>
      <c r="CS364" s="76"/>
      <c r="CT364" s="76"/>
      <c r="CU364" s="56">
        <f>AN364+AP364+AR364+AT364+AV364+AX364+AZ364+BB364+BD364+BF364+BH364+BJ364+BL364+BN364+BP364+BR364+BT364+BV364+BX364+BZ364+CB364+CD364+CF364+CH364+CJ364+CL364+CN364+CP364+CR364+CT364</f>
        <v>0</v>
      </c>
      <c r="CV364" s="76"/>
      <c r="CW364" s="76">
        <f>+CV364*1100</f>
        <v>0</v>
      </c>
      <c r="CX364" s="76"/>
      <c r="CY364" s="76">
        <f>+CX364*106250</f>
        <v>0</v>
      </c>
      <c r="CZ364" s="76"/>
      <c r="DA364" s="76">
        <f>+CZ364*34500</f>
        <v>0</v>
      </c>
      <c r="DB364" s="76"/>
      <c r="DC364" s="76">
        <f>+DB364*25000</f>
        <v>0</v>
      </c>
      <c r="DD364" s="219"/>
      <c r="DE364" s="219"/>
      <c r="DF364" s="164"/>
      <c r="DG364" s="116"/>
      <c r="DH364" s="117"/>
      <c r="DI364" s="24"/>
      <c r="DJ364" s="24"/>
      <c r="DK364" s="24"/>
      <c r="DL364" s="24"/>
      <c r="DM364" s="24"/>
      <c r="DN364" s="24"/>
      <c r="DO364" s="24"/>
      <c r="DP364" s="24"/>
      <c r="DQ364" s="24"/>
      <c r="DR364" s="24"/>
      <c r="DS364" s="24"/>
      <c r="DT364" s="24"/>
      <c r="DU364" s="24"/>
    </row>
    <row r="365" spans="1:125" s="8" customFormat="1" ht="48" x14ac:dyDescent="0.2">
      <c r="A365" s="226">
        <v>41298</v>
      </c>
      <c r="B365" s="225" t="s">
        <v>2860</v>
      </c>
      <c r="C365" s="227" t="s">
        <v>2768</v>
      </c>
      <c r="D365" s="227" t="s">
        <v>2859</v>
      </c>
      <c r="E365" s="75" t="str">
        <f>VLOOKUP(B365&amp;C365,Divipola!$C$2:$F$1138,4,FALSE)</f>
        <v>63401</v>
      </c>
      <c r="F365" s="87"/>
      <c r="G365" s="87"/>
      <c r="H365" s="87"/>
      <c r="I365" s="87">
        <v>5</v>
      </c>
      <c r="J365" s="87">
        <v>1</v>
      </c>
      <c r="K365" s="87"/>
      <c r="L365" s="87">
        <v>1</v>
      </c>
      <c r="M365" s="87"/>
      <c r="N365" s="87"/>
      <c r="O365" s="87"/>
      <c r="P365" s="87"/>
      <c r="Q365" s="87"/>
      <c r="R365" s="87"/>
      <c r="S365" s="87"/>
      <c r="T365" s="87"/>
      <c r="U365" s="127"/>
      <c r="V365" s="89"/>
      <c r="W365" s="96">
        <v>0</v>
      </c>
      <c r="X365" s="71">
        <f>CU365</f>
        <v>0</v>
      </c>
      <c r="Y365" s="71">
        <f>CY365</f>
        <v>0</v>
      </c>
      <c r="Z365" s="71">
        <f>DA365+DC365+DE365</f>
        <v>0</v>
      </c>
      <c r="AA365" s="71">
        <f>CW365</f>
        <v>0</v>
      </c>
      <c r="AB365" s="71"/>
      <c r="AC365" s="71">
        <v>0</v>
      </c>
      <c r="AD365" s="71">
        <f>W365+X365+Y365+Z365+AA365+AB365+AC365</f>
        <v>0</v>
      </c>
      <c r="AE365" s="72">
        <v>0</v>
      </c>
      <c r="AF365" s="5"/>
      <c r="AG365" s="6"/>
      <c r="AH365" s="27" t="s">
        <v>3392</v>
      </c>
      <c r="AI365" s="44" t="s">
        <v>3393</v>
      </c>
      <c r="AJ365" s="26"/>
      <c r="AK365" s="5"/>
      <c r="AL365" s="82" t="s">
        <v>3203</v>
      </c>
      <c r="AM365" s="76"/>
      <c r="AN365" s="76"/>
      <c r="AO365" s="76"/>
      <c r="AP365" s="76"/>
      <c r="AQ365" s="76"/>
      <c r="AR365" s="76"/>
      <c r="AS365" s="76"/>
      <c r="AT365" s="76"/>
      <c r="AU365" s="76"/>
      <c r="AV365" s="76"/>
      <c r="AW365" s="76"/>
      <c r="AX365" s="76">
        <f>+AW365*600000</f>
        <v>0</v>
      </c>
      <c r="AY365" s="76"/>
      <c r="AZ365" s="76">
        <f>+AY365*70000</f>
        <v>0</v>
      </c>
      <c r="BA365" s="76"/>
      <c r="BB365" s="76"/>
      <c r="BC365" s="76"/>
      <c r="BD365" s="76">
        <f>+BC365*30000</f>
        <v>0</v>
      </c>
      <c r="BE365" s="76"/>
      <c r="BF365" s="76"/>
      <c r="BG365" s="76"/>
      <c r="BH365" s="76"/>
      <c r="BI365" s="76"/>
      <c r="BJ365" s="76"/>
      <c r="BK365" s="76"/>
      <c r="BL365" s="76">
        <f>+BK365*31500</f>
        <v>0</v>
      </c>
      <c r="BM365" s="76"/>
      <c r="BN365" s="76"/>
      <c r="BO365" s="76"/>
      <c r="BP365" s="76"/>
      <c r="BQ365" s="76"/>
      <c r="BR365" s="76"/>
      <c r="BS365" s="76"/>
      <c r="BT365" s="76"/>
      <c r="BU365" s="76"/>
      <c r="BV365" s="76"/>
      <c r="BW365" s="76"/>
      <c r="BX365" s="76"/>
      <c r="BY365" s="76"/>
      <c r="BZ365" s="76"/>
      <c r="CA365" s="76"/>
      <c r="CB365" s="76"/>
      <c r="CC365" s="76"/>
      <c r="CD365" s="76"/>
      <c r="CE365" s="76"/>
      <c r="CF365" s="76">
        <f>+CE365*28000</f>
        <v>0</v>
      </c>
      <c r="CG365" s="76"/>
      <c r="CH365" s="76">
        <f>+CG365*22500</f>
        <v>0</v>
      </c>
      <c r="CI365" s="76"/>
      <c r="CJ365" s="76">
        <f>+CI365*26000</f>
        <v>0</v>
      </c>
      <c r="CK365" s="76"/>
      <c r="CL365" s="76"/>
      <c r="CM365" s="76"/>
      <c r="CN365" s="76">
        <f>+CM365*22000</f>
        <v>0</v>
      </c>
      <c r="CO365" s="76"/>
      <c r="CP365" s="76">
        <f>+CO365*46000</f>
        <v>0</v>
      </c>
      <c r="CQ365" s="76"/>
      <c r="CR365" s="76">
        <f>+CQ365*49000</f>
        <v>0</v>
      </c>
      <c r="CS365" s="76"/>
      <c r="CT365" s="76"/>
      <c r="CU365" s="56">
        <f>AN365+AP365+AR365+AT365+AV365+AX365+AZ365+BB365+BD365+BF365+BH365+BJ365+BL365+BN365+BP365+BR365+BT365+BV365+BX365+BZ365+CB365+CD365+CF365+CH365+CJ365+CL365+CN365+CP365+CR365+CT365</f>
        <v>0</v>
      </c>
      <c r="CV365" s="76"/>
      <c r="CW365" s="76">
        <f>+CV365*1100</f>
        <v>0</v>
      </c>
      <c r="CX365" s="76"/>
      <c r="CY365" s="76">
        <f>+CX365*106250</f>
        <v>0</v>
      </c>
      <c r="CZ365" s="76"/>
      <c r="DA365" s="76">
        <f>+CZ365*34500</f>
        <v>0</v>
      </c>
      <c r="DB365" s="76"/>
      <c r="DC365" s="76">
        <f>+DB365*25000</f>
        <v>0</v>
      </c>
      <c r="DD365" s="219"/>
      <c r="DE365" s="219"/>
      <c r="DF365" s="164"/>
      <c r="DG365" s="116"/>
      <c r="DH365" s="117"/>
      <c r="DI365" s="24"/>
      <c r="DJ365" s="24"/>
      <c r="DK365" s="24"/>
      <c r="DL365" s="24"/>
      <c r="DM365" s="24"/>
      <c r="DN365" s="24"/>
      <c r="DO365" s="24"/>
      <c r="DP365" s="24"/>
      <c r="DQ365" s="24"/>
      <c r="DR365" s="24"/>
      <c r="DS365" s="24"/>
      <c r="DT365" s="24"/>
      <c r="DU365" s="24"/>
    </row>
    <row r="366" spans="1:125" s="8" customFormat="1" ht="48" x14ac:dyDescent="0.2">
      <c r="A366" s="77">
        <v>41298</v>
      </c>
      <c r="B366" s="225" t="s">
        <v>2848</v>
      </c>
      <c r="C366" s="227" t="s">
        <v>515</v>
      </c>
      <c r="D366" s="81" t="s">
        <v>2846</v>
      </c>
      <c r="E366" s="75" t="str">
        <f>VLOOKUP(B366&amp;C366,Divipola!$C$2:$F$1138,4,FALSE)</f>
        <v>73030</v>
      </c>
      <c r="F366" s="87"/>
      <c r="G366" s="87"/>
      <c r="H366" s="87"/>
      <c r="I366" s="87"/>
      <c r="J366" s="87"/>
      <c r="K366" s="87"/>
      <c r="L366" s="87"/>
      <c r="M366" s="87"/>
      <c r="N366" s="87"/>
      <c r="O366" s="87"/>
      <c r="P366" s="87"/>
      <c r="Q366" s="87"/>
      <c r="R366" s="87"/>
      <c r="S366" s="87"/>
      <c r="T366" s="87"/>
      <c r="U366" s="127">
        <v>12</v>
      </c>
      <c r="V366" s="89"/>
      <c r="W366" s="96">
        <v>0</v>
      </c>
      <c r="X366" s="71">
        <f>CU366</f>
        <v>0</v>
      </c>
      <c r="Y366" s="71">
        <f>CY366</f>
        <v>0</v>
      </c>
      <c r="Z366" s="71">
        <f>DA366+DC366+DE366</f>
        <v>0</v>
      </c>
      <c r="AA366" s="71">
        <f>CW366</f>
        <v>0</v>
      </c>
      <c r="AB366" s="71"/>
      <c r="AC366" s="71">
        <v>0</v>
      </c>
      <c r="AD366" s="71">
        <f>W366+X366+Y366+Z366+AA366+AB366+AC366</f>
        <v>0</v>
      </c>
      <c r="AE366" s="72">
        <v>0</v>
      </c>
      <c r="AF366" s="5"/>
      <c r="AG366" s="6"/>
      <c r="AH366" s="27" t="s">
        <v>3392</v>
      </c>
      <c r="AI366" s="44" t="s">
        <v>3393</v>
      </c>
      <c r="AJ366" s="26"/>
      <c r="AK366" s="5"/>
      <c r="AL366" s="82" t="s">
        <v>3195</v>
      </c>
      <c r="AM366" s="76"/>
      <c r="AN366" s="76"/>
      <c r="AO366" s="76"/>
      <c r="AP366" s="76"/>
      <c r="AQ366" s="76"/>
      <c r="AR366" s="76"/>
      <c r="AS366" s="76"/>
      <c r="AT366" s="76"/>
      <c r="AU366" s="76"/>
      <c r="AV366" s="76"/>
      <c r="AW366" s="76"/>
      <c r="AX366" s="76">
        <f>+AW366*600000</f>
        <v>0</v>
      </c>
      <c r="AY366" s="76"/>
      <c r="AZ366" s="76">
        <f>+AY366*70000</f>
        <v>0</v>
      </c>
      <c r="BA366" s="76"/>
      <c r="BB366" s="76"/>
      <c r="BC366" s="76"/>
      <c r="BD366" s="76">
        <f>+BC366*30000</f>
        <v>0</v>
      </c>
      <c r="BE366" s="76"/>
      <c r="BF366" s="76"/>
      <c r="BG366" s="76"/>
      <c r="BH366" s="76"/>
      <c r="BI366" s="76"/>
      <c r="BJ366" s="76"/>
      <c r="BK366" s="76"/>
      <c r="BL366" s="76">
        <f>+BK366*31500</f>
        <v>0</v>
      </c>
      <c r="BM366" s="76"/>
      <c r="BN366" s="76"/>
      <c r="BO366" s="76"/>
      <c r="BP366" s="76"/>
      <c r="BQ366" s="76"/>
      <c r="BR366" s="76"/>
      <c r="BS366" s="76"/>
      <c r="BT366" s="76"/>
      <c r="BU366" s="76"/>
      <c r="BV366" s="76"/>
      <c r="BW366" s="76"/>
      <c r="BX366" s="76"/>
      <c r="BY366" s="76"/>
      <c r="BZ366" s="76"/>
      <c r="CA366" s="76"/>
      <c r="CB366" s="76"/>
      <c r="CC366" s="76"/>
      <c r="CD366" s="76"/>
      <c r="CE366" s="76"/>
      <c r="CF366" s="76">
        <f>+CE366*28000</f>
        <v>0</v>
      </c>
      <c r="CG366" s="76"/>
      <c r="CH366" s="76">
        <f>+CG366*22500</f>
        <v>0</v>
      </c>
      <c r="CI366" s="76"/>
      <c r="CJ366" s="76">
        <f>+CI366*26000</f>
        <v>0</v>
      </c>
      <c r="CK366" s="76"/>
      <c r="CL366" s="76"/>
      <c r="CM366" s="76"/>
      <c r="CN366" s="76">
        <f>+CM366*22000</f>
        <v>0</v>
      </c>
      <c r="CO366" s="76"/>
      <c r="CP366" s="76">
        <f>+CO366*46000</f>
        <v>0</v>
      </c>
      <c r="CQ366" s="76"/>
      <c r="CR366" s="76">
        <f>+CQ366*49000</f>
        <v>0</v>
      </c>
      <c r="CS366" s="76"/>
      <c r="CT366" s="76"/>
      <c r="CU366" s="56">
        <f>AN366+AP366+AR366+AT366+AV366+AX366+AZ366+BB366+BD366+BF366+BH366+BJ366+BL366+BN366+BP366+BR366+BT366+BV366+BX366+BZ366+CB366+CD366+CF366+CH366+CJ366+CL366+CN366+CP366+CR366+CT366</f>
        <v>0</v>
      </c>
      <c r="CV366" s="76"/>
      <c r="CW366" s="76">
        <f>+CV366*1100</f>
        <v>0</v>
      </c>
      <c r="CX366" s="76"/>
      <c r="CY366" s="76">
        <f>+CX366*106250</f>
        <v>0</v>
      </c>
      <c r="CZ366" s="76"/>
      <c r="DA366" s="76">
        <f>+CZ366*34500</f>
        <v>0</v>
      </c>
      <c r="DB366" s="76"/>
      <c r="DC366" s="76">
        <f>+DB366*25000</f>
        <v>0</v>
      </c>
      <c r="DD366" s="219"/>
      <c r="DE366" s="219"/>
      <c r="DF366" s="164"/>
      <c r="DG366" s="116"/>
      <c r="DH366" s="117"/>
      <c r="DI366" s="24"/>
      <c r="DJ366" s="24"/>
      <c r="DK366" s="24"/>
      <c r="DL366" s="24"/>
      <c r="DM366" s="24"/>
      <c r="DN366" s="24"/>
      <c r="DO366" s="24"/>
      <c r="DP366" s="24"/>
      <c r="DQ366" s="24"/>
      <c r="DR366" s="24"/>
      <c r="DS366" s="24"/>
      <c r="DT366" s="24"/>
      <c r="DU366" s="24"/>
    </row>
    <row r="367" spans="1:125" s="8" customFormat="1" ht="48" x14ac:dyDescent="0.2">
      <c r="A367" s="77">
        <v>41299</v>
      </c>
      <c r="B367" s="225" t="s">
        <v>2894</v>
      </c>
      <c r="C367" s="352" t="s">
        <v>2811</v>
      </c>
      <c r="D367" s="352" t="s">
        <v>3205</v>
      </c>
      <c r="E367" s="75" t="str">
        <f>VLOOKUP(B367&amp;C367,Divipola!$C$2:$F$1138,4,FALSE)</f>
        <v>05483</v>
      </c>
      <c r="F367" s="87"/>
      <c r="G367" s="87"/>
      <c r="H367" s="87"/>
      <c r="I367" s="87"/>
      <c r="J367" s="87"/>
      <c r="K367" s="87"/>
      <c r="L367" s="87"/>
      <c r="M367" s="87"/>
      <c r="N367" s="87"/>
      <c r="O367" s="87">
        <v>1</v>
      </c>
      <c r="P367" s="87"/>
      <c r="Q367" s="87"/>
      <c r="R367" s="87"/>
      <c r="S367" s="87"/>
      <c r="T367" s="87"/>
      <c r="U367" s="127"/>
      <c r="V367" s="89"/>
      <c r="W367" s="96">
        <v>0</v>
      </c>
      <c r="X367" s="71">
        <f>CU367</f>
        <v>0</v>
      </c>
      <c r="Y367" s="71">
        <f>CY367</f>
        <v>0</v>
      </c>
      <c r="Z367" s="71">
        <f>DA367+DC367+DE367</f>
        <v>0</v>
      </c>
      <c r="AA367" s="71">
        <f>CW367</f>
        <v>0</v>
      </c>
      <c r="AB367" s="71"/>
      <c r="AC367" s="71">
        <v>0</v>
      </c>
      <c r="AD367" s="71">
        <f>W367+X367+Y367+Z367+AA367+AB367+AC367</f>
        <v>0</v>
      </c>
      <c r="AE367" s="72">
        <v>0</v>
      </c>
      <c r="AF367" s="5"/>
      <c r="AG367" s="6"/>
      <c r="AH367" s="27" t="s">
        <v>3392</v>
      </c>
      <c r="AI367" s="44" t="s">
        <v>3393</v>
      </c>
      <c r="AJ367" s="26"/>
      <c r="AK367" s="5"/>
      <c r="AL367" s="82" t="s">
        <v>3208</v>
      </c>
      <c r="AM367" s="76"/>
      <c r="AN367" s="76"/>
      <c r="AO367" s="76"/>
      <c r="AP367" s="76"/>
      <c r="AQ367" s="76"/>
      <c r="AR367" s="76"/>
      <c r="AS367" s="76"/>
      <c r="AT367" s="76"/>
      <c r="AU367" s="76"/>
      <c r="AV367" s="76"/>
      <c r="AW367" s="76"/>
      <c r="AX367" s="76">
        <f>+AW367*600000</f>
        <v>0</v>
      </c>
      <c r="AY367" s="76"/>
      <c r="AZ367" s="76">
        <f>+AY367*70000</f>
        <v>0</v>
      </c>
      <c r="BA367" s="76"/>
      <c r="BB367" s="76"/>
      <c r="BC367" s="76"/>
      <c r="BD367" s="76">
        <f>+BC367*30000</f>
        <v>0</v>
      </c>
      <c r="BE367" s="76"/>
      <c r="BF367" s="76"/>
      <c r="BG367" s="76"/>
      <c r="BH367" s="76"/>
      <c r="BI367" s="76"/>
      <c r="BJ367" s="76"/>
      <c r="BK367" s="76"/>
      <c r="BL367" s="76">
        <f>+BK367*31500</f>
        <v>0</v>
      </c>
      <c r="BM367" s="76"/>
      <c r="BN367" s="76"/>
      <c r="BO367" s="76"/>
      <c r="BP367" s="76"/>
      <c r="BQ367" s="76"/>
      <c r="BR367" s="76"/>
      <c r="BS367" s="76"/>
      <c r="BT367" s="76"/>
      <c r="BU367" s="76"/>
      <c r="BV367" s="76"/>
      <c r="BW367" s="76"/>
      <c r="BX367" s="76"/>
      <c r="BY367" s="76"/>
      <c r="BZ367" s="76"/>
      <c r="CA367" s="76"/>
      <c r="CB367" s="76"/>
      <c r="CC367" s="76"/>
      <c r="CD367" s="76"/>
      <c r="CE367" s="76"/>
      <c r="CF367" s="76">
        <f>+CE367*28000</f>
        <v>0</v>
      </c>
      <c r="CG367" s="76"/>
      <c r="CH367" s="76">
        <f>+CG367*22500</f>
        <v>0</v>
      </c>
      <c r="CI367" s="76"/>
      <c r="CJ367" s="76">
        <f>+CI367*26000</f>
        <v>0</v>
      </c>
      <c r="CK367" s="76"/>
      <c r="CL367" s="76"/>
      <c r="CM367" s="76"/>
      <c r="CN367" s="76">
        <f>+CM367*22000</f>
        <v>0</v>
      </c>
      <c r="CO367" s="76"/>
      <c r="CP367" s="76">
        <f>+CO367*46000</f>
        <v>0</v>
      </c>
      <c r="CQ367" s="76"/>
      <c r="CR367" s="76">
        <f>+CQ367*49000</f>
        <v>0</v>
      </c>
      <c r="CS367" s="76"/>
      <c r="CT367" s="76"/>
      <c r="CU367" s="56">
        <f>AN367+AP367+AR367+AT367+AV367+AX367+AZ367+BB367+BD367+BF367+BH367+BJ367+BL367+BN367+BP367+BR367+BT367+BV367+BX367+BZ367+CB367+CD367+CF367+CH367+CJ367+CL367+CN367+CP367+CR367+CT367</f>
        <v>0</v>
      </c>
      <c r="CV367" s="76"/>
      <c r="CW367" s="76">
        <f>+CV367*1100</f>
        <v>0</v>
      </c>
      <c r="CX367" s="76"/>
      <c r="CY367" s="76">
        <f>+CX367*106250</f>
        <v>0</v>
      </c>
      <c r="CZ367" s="76"/>
      <c r="DA367" s="76">
        <f>+CZ367*34500</f>
        <v>0</v>
      </c>
      <c r="DB367" s="76"/>
      <c r="DC367" s="76">
        <f>+DB367*25000</f>
        <v>0</v>
      </c>
      <c r="DD367" s="219"/>
      <c r="DE367" s="219"/>
      <c r="DF367" s="164"/>
      <c r="DG367" s="116"/>
      <c r="DH367" s="117"/>
      <c r="DI367" s="24"/>
      <c r="DJ367" s="24"/>
      <c r="DK367" s="24"/>
      <c r="DL367" s="24"/>
      <c r="DM367" s="24"/>
      <c r="DN367" s="24"/>
      <c r="DO367" s="24"/>
      <c r="DP367" s="24"/>
      <c r="DQ367" s="24"/>
      <c r="DR367" s="24"/>
      <c r="DS367" s="24"/>
      <c r="DT367" s="24"/>
      <c r="DU367" s="24"/>
    </row>
    <row r="368" spans="1:125" s="8" customFormat="1" ht="48" x14ac:dyDescent="0.2">
      <c r="A368" s="353">
        <v>41299</v>
      </c>
      <c r="B368" s="352" t="s">
        <v>2087</v>
      </c>
      <c r="C368" s="354" t="s">
        <v>811</v>
      </c>
      <c r="D368" s="354" t="s">
        <v>2849</v>
      </c>
      <c r="E368" s="75" t="str">
        <f>VLOOKUP(B368&amp;C368,Divipola!$C$2:$F$1138,4,FALSE)</f>
        <v>18610</v>
      </c>
      <c r="F368" s="87">
        <v>1</v>
      </c>
      <c r="G368" s="87">
        <v>1</v>
      </c>
      <c r="H368" s="87"/>
      <c r="I368" s="87">
        <v>2</v>
      </c>
      <c r="J368" s="87">
        <v>1</v>
      </c>
      <c r="K368" s="87"/>
      <c r="L368" s="87"/>
      <c r="M368" s="87"/>
      <c r="N368" s="87"/>
      <c r="O368" s="87"/>
      <c r="P368" s="87"/>
      <c r="Q368" s="87"/>
      <c r="R368" s="87"/>
      <c r="S368" s="87"/>
      <c r="T368" s="87"/>
      <c r="U368" s="127"/>
      <c r="V368" s="89"/>
      <c r="W368" s="96">
        <v>0</v>
      </c>
      <c r="X368" s="71">
        <f>CU368</f>
        <v>0</v>
      </c>
      <c r="Y368" s="71">
        <f>CY368</f>
        <v>0</v>
      </c>
      <c r="Z368" s="71">
        <f>DA368+DC368+DE368</f>
        <v>0</v>
      </c>
      <c r="AA368" s="71">
        <f>CW368</f>
        <v>0</v>
      </c>
      <c r="AB368" s="71"/>
      <c r="AC368" s="71">
        <v>0</v>
      </c>
      <c r="AD368" s="71">
        <f>W368+X368+Y368+Z368+AA368+AB368+AC368</f>
        <v>0</v>
      </c>
      <c r="AE368" s="72">
        <v>0</v>
      </c>
      <c r="AF368" s="5"/>
      <c r="AG368" s="6"/>
      <c r="AH368" s="27" t="s">
        <v>3392</v>
      </c>
      <c r="AI368" s="44" t="s">
        <v>3393</v>
      </c>
      <c r="AJ368" s="26"/>
      <c r="AK368" s="5"/>
      <c r="AL368" s="82" t="s">
        <v>3209</v>
      </c>
      <c r="AM368" s="76"/>
      <c r="AN368" s="76"/>
      <c r="AO368" s="76"/>
      <c r="AP368" s="76"/>
      <c r="AQ368" s="76"/>
      <c r="AR368" s="76"/>
      <c r="AS368" s="76"/>
      <c r="AT368" s="76"/>
      <c r="AU368" s="76"/>
      <c r="AV368" s="76"/>
      <c r="AW368" s="76"/>
      <c r="AX368" s="76">
        <f>+AW368*600000</f>
        <v>0</v>
      </c>
      <c r="AY368" s="76"/>
      <c r="AZ368" s="76">
        <f>+AY368*70000</f>
        <v>0</v>
      </c>
      <c r="BA368" s="76"/>
      <c r="BB368" s="76"/>
      <c r="BC368" s="76"/>
      <c r="BD368" s="76">
        <f>+BC368*30000</f>
        <v>0</v>
      </c>
      <c r="BE368" s="76"/>
      <c r="BF368" s="76"/>
      <c r="BG368" s="76"/>
      <c r="BH368" s="76"/>
      <c r="BI368" s="76"/>
      <c r="BJ368" s="76"/>
      <c r="BK368" s="76"/>
      <c r="BL368" s="76">
        <f>+BK368*31500</f>
        <v>0</v>
      </c>
      <c r="BM368" s="76"/>
      <c r="BN368" s="76"/>
      <c r="BO368" s="76"/>
      <c r="BP368" s="76"/>
      <c r="BQ368" s="76"/>
      <c r="BR368" s="76"/>
      <c r="BS368" s="76"/>
      <c r="BT368" s="76"/>
      <c r="BU368" s="76"/>
      <c r="BV368" s="76"/>
      <c r="BW368" s="76"/>
      <c r="BX368" s="76"/>
      <c r="BY368" s="76"/>
      <c r="BZ368" s="76"/>
      <c r="CA368" s="76"/>
      <c r="CB368" s="76"/>
      <c r="CC368" s="76"/>
      <c r="CD368" s="76"/>
      <c r="CE368" s="76"/>
      <c r="CF368" s="76">
        <f>+CE368*28000</f>
        <v>0</v>
      </c>
      <c r="CG368" s="76"/>
      <c r="CH368" s="76">
        <f>+CG368*22500</f>
        <v>0</v>
      </c>
      <c r="CI368" s="76"/>
      <c r="CJ368" s="76">
        <f>+CI368*26000</f>
        <v>0</v>
      </c>
      <c r="CK368" s="76"/>
      <c r="CL368" s="76"/>
      <c r="CM368" s="76"/>
      <c r="CN368" s="76">
        <f>+CM368*22000</f>
        <v>0</v>
      </c>
      <c r="CO368" s="76"/>
      <c r="CP368" s="76">
        <f>+CO368*46000</f>
        <v>0</v>
      </c>
      <c r="CQ368" s="76"/>
      <c r="CR368" s="76">
        <f>+CQ368*49000</f>
        <v>0</v>
      </c>
      <c r="CS368" s="76"/>
      <c r="CT368" s="76"/>
      <c r="CU368" s="56">
        <f>AN368+AP368+AR368+AT368+AV368+AX368+AZ368+BB368+BD368+BF368+BH368+BJ368+BL368+BN368+BP368+BR368+BT368+BV368+BX368+BZ368+CB368+CD368+CF368+CH368+CJ368+CL368+CN368+CP368+CR368+CT368</f>
        <v>0</v>
      </c>
      <c r="CV368" s="76"/>
      <c r="CW368" s="76">
        <f>+CV368*1100</f>
        <v>0</v>
      </c>
      <c r="CX368" s="76"/>
      <c r="CY368" s="76">
        <f>+CX368*106250</f>
        <v>0</v>
      </c>
      <c r="CZ368" s="76"/>
      <c r="DA368" s="76">
        <f>+CZ368*34500</f>
        <v>0</v>
      </c>
      <c r="DB368" s="76"/>
      <c r="DC368" s="76">
        <f>+DB368*25000</f>
        <v>0</v>
      </c>
      <c r="DD368" s="219"/>
      <c r="DE368" s="219"/>
      <c r="DF368" s="164"/>
      <c r="DG368" s="116"/>
      <c r="DH368" s="117"/>
      <c r="DI368" s="24"/>
      <c r="DJ368" s="24"/>
      <c r="DK368" s="24"/>
      <c r="DL368" s="24"/>
      <c r="DM368" s="24"/>
      <c r="DN368" s="24"/>
      <c r="DO368" s="24"/>
      <c r="DP368" s="24"/>
      <c r="DQ368" s="24"/>
      <c r="DR368" s="24"/>
      <c r="DS368" s="24"/>
      <c r="DT368" s="24"/>
      <c r="DU368" s="24"/>
    </row>
    <row r="369" spans="1:125" s="8" customFormat="1" ht="36" x14ac:dyDescent="0.2">
      <c r="A369" s="77">
        <v>41299</v>
      </c>
      <c r="B369" s="78" t="s">
        <v>2778</v>
      </c>
      <c r="C369" s="75" t="s">
        <v>1344</v>
      </c>
      <c r="D369" s="81" t="s">
        <v>2846</v>
      </c>
      <c r="E369" s="75" t="str">
        <f>VLOOKUP(B369&amp;C369,Divipola!$C$2:$F$1138,4,FALSE)</f>
        <v>85001</v>
      </c>
      <c r="F369" s="87"/>
      <c r="G369" s="87"/>
      <c r="H369" s="87"/>
      <c r="I369" s="87"/>
      <c r="J369" s="87"/>
      <c r="K369" s="87"/>
      <c r="L369" s="87"/>
      <c r="M369" s="87"/>
      <c r="N369" s="87"/>
      <c r="O369" s="87"/>
      <c r="P369" s="87"/>
      <c r="Q369" s="87"/>
      <c r="R369" s="87"/>
      <c r="S369" s="87"/>
      <c r="T369" s="87"/>
      <c r="U369" s="127">
        <v>6</v>
      </c>
      <c r="V369" s="89"/>
      <c r="W369" s="96">
        <v>0</v>
      </c>
      <c r="X369" s="71">
        <f>CU369</f>
        <v>0</v>
      </c>
      <c r="Y369" s="71">
        <f>CY369</f>
        <v>0</v>
      </c>
      <c r="Z369" s="71">
        <f>DA369+DC369+DE369</f>
        <v>0</v>
      </c>
      <c r="AA369" s="71">
        <f>CW369</f>
        <v>0</v>
      </c>
      <c r="AB369" s="71"/>
      <c r="AC369" s="71">
        <v>0</v>
      </c>
      <c r="AD369" s="71">
        <f>W369+X369+Y369+Z369+AA369+AB369+AC369</f>
        <v>0</v>
      </c>
      <c r="AE369" s="72">
        <v>0</v>
      </c>
      <c r="AF369" s="5"/>
      <c r="AG369" s="6"/>
      <c r="AH369" s="27" t="s">
        <v>3392</v>
      </c>
      <c r="AI369" s="44" t="s">
        <v>3393</v>
      </c>
      <c r="AJ369" s="26"/>
      <c r="AK369" s="5"/>
      <c r="AL369" s="82" t="s">
        <v>3206</v>
      </c>
      <c r="AM369" s="76"/>
      <c r="AN369" s="76"/>
      <c r="AO369" s="76"/>
      <c r="AP369" s="76"/>
      <c r="AQ369" s="76"/>
      <c r="AR369" s="76"/>
      <c r="AS369" s="76"/>
      <c r="AT369" s="76"/>
      <c r="AU369" s="76"/>
      <c r="AV369" s="76"/>
      <c r="AW369" s="76"/>
      <c r="AX369" s="76">
        <f>+AW369*600000</f>
        <v>0</v>
      </c>
      <c r="AY369" s="76"/>
      <c r="AZ369" s="76">
        <f>+AY369*70000</f>
        <v>0</v>
      </c>
      <c r="BA369" s="76"/>
      <c r="BB369" s="76"/>
      <c r="BC369" s="76"/>
      <c r="BD369" s="76">
        <f>+BC369*30000</f>
        <v>0</v>
      </c>
      <c r="BE369" s="76"/>
      <c r="BF369" s="76"/>
      <c r="BG369" s="76"/>
      <c r="BH369" s="76"/>
      <c r="BI369" s="76"/>
      <c r="BJ369" s="76"/>
      <c r="BK369" s="76"/>
      <c r="BL369" s="76">
        <f>+BK369*31500</f>
        <v>0</v>
      </c>
      <c r="BM369" s="76"/>
      <c r="BN369" s="76"/>
      <c r="BO369" s="76"/>
      <c r="BP369" s="76"/>
      <c r="BQ369" s="76"/>
      <c r="BR369" s="76"/>
      <c r="BS369" s="76"/>
      <c r="BT369" s="76"/>
      <c r="BU369" s="76"/>
      <c r="BV369" s="76"/>
      <c r="BW369" s="76"/>
      <c r="BX369" s="76"/>
      <c r="BY369" s="76"/>
      <c r="BZ369" s="76"/>
      <c r="CA369" s="76"/>
      <c r="CB369" s="76"/>
      <c r="CC369" s="76"/>
      <c r="CD369" s="76"/>
      <c r="CE369" s="76"/>
      <c r="CF369" s="76">
        <f>+CE369*28000</f>
        <v>0</v>
      </c>
      <c r="CG369" s="76"/>
      <c r="CH369" s="76">
        <f>+CG369*22500</f>
        <v>0</v>
      </c>
      <c r="CI369" s="76"/>
      <c r="CJ369" s="76">
        <f>+CI369*26000</f>
        <v>0</v>
      </c>
      <c r="CK369" s="76"/>
      <c r="CL369" s="76"/>
      <c r="CM369" s="76"/>
      <c r="CN369" s="76">
        <f>+CM369*22000</f>
        <v>0</v>
      </c>
      <c r="CO369" s="76"/>
      <c r="CP369" s="76">
        <f>+CO369*46000</f>
        <v>0</v>
      </c>
      <c r="CQ369" s="76"/>
      <c r="CR369" s="76">
        <f>+CQ369*49000</f>
        <v>0</v>
      </c>
      <c r="CS369" s="76"/>
      <c r="CT369" s="76"/>
      <c r="CU369" s="56">
        <f>AN369+AP369+AR369+AT369+AV369+AX369+AZ369+BB369+BD369+BF369+BH369+BJ369+BL369+BN369+BP369+BR369+BT369+BV369+BX369+BZ369+CB369+CD369+CF369+CH369+CJ369+CL369+CN369+CP369+CR369+CT369</f>
        <v>0</v>
      </c>
      <c r="CV369" s="76"/>
      <c r="CW369" s="76">
        <f>+CV369*1100</f>
        <v>0</v>
      </c>
      <c r="CX369" s="76"/>
      <c r="CY369" s="76">
        <f>+CX369*106250</f>
        <v>0</v>
      </c>
      <c r="CZ369" s="76"/>
      <c r="DA369" s="76">
        <f>+CZ369*34500</f>
        <v>0</v>
      </c>
      <c r="DB369" s="76"/>
      <c r="DC369" s="76">
        <f>+DB369*25000</f>
        <v>0</v>
      </c>
      <c r="DD369" s="219"/>
      <c r="DE369" s="219"/>
      <c r="DF369" s="164"/>
      <c r="DG369" s="116"/>
      <c r="DH369" s="117"/>
      <c r="DI369" s="24"/>
      <c r="DJ369" s="24"/>
      <c r="DK369" s="24"/>
      <c r="DL369" s="24"/>
      <c r="DM369" s="24"/>
      <c r="DN369" s="24"/>
      <c r="DO369" s="24"/>
      <c r="DP369" s="24"/>
      <c r="DQ369" s="24"/>
      <c r="DR369" s="24"/>
      <c r="DS369" s="24"/>
      <c r="DT369" s="24"/>
      <c r="DU369" s="24"/>
    </row>
    <row r="370" spans="1:125" s="8" customFormat="1" ht="84" x14ac:dyDescent="0.2">
      <c r="A370" s="226">
        <v>41299</v>
      </c>
      <c r="B370" s="225" t="s">
        <v>2772</v>
      </c>
      <c r="C370" s="227" t="s">
        <v>1110</v>
      </c>
      <c r="D370" s="81" t="s">
        <v>2846</v>
      </c>
      <c r="E370" s="75" t="str">
        <f>VLOOKUP(B370&amp;C370,Divipola!$C$2:$F$1138,4,FALSE)</f>
        <v>25436</v>
      </c>
      <c r="F370" s="87"/>
      <c r="G370" s="87"/>
      <c r="H370" s="87"/>
      <c r="I370" s="87"/>
      <c r="J370" s="87"/>
      <c r="K370" s="87"/>
      <c r="L370" s="87"/>
      <c r="M370" s="87"/>
      <c r="N370" s="87"/>
      <c r="O370" s="87"/>
      <c r="P370" s="87"/>
      <c r="Q370" s="87"/>
      <c r="R370" s="87"/>
      <c r="S370" s="87"/>
      <c r="T370" s="87"/>
      <c r="U370" s="127">
        <v>1</v>
      </c>
      <c r="V370" s="89"/>
      <c r="W370" s="96">
        <v>0</v>
      </c>
      <c r="X370" s="71">
        <f>CU370</f>
        <v>0</v>
      </c>
      <c r="Y370" s="71">
        <f>CY370</f>
        <v>0</v>
      </c>
      <c r="Z370" s="71">
        <f>DA370+DC370+DE370</f>
        <v>0</v>
      </c>
      <c r="AA370" s="71">
        <f>CW370</f>
        <v>0</v>
      </c>
      <c r="AB370" s="71"/>
      <c r="AC370" s="71">
        <v>0</v>
      </c>
      <c r="AD370" s="71">
        <f>W370+X370+Y370+Z370+AA370+AB370+AC370</f>
        <v>0</v>
      </c>
      <c r="AE370" s="72">
        <v>0</v>
      </c>
      <c r="AF370" s="5"/>
      <c r="AG370" s="6"/>
      <c r="AH370" s="27" t="s">
        <v>3392</v>
      </c>
      <c r="AI370" s="44" t="s">
        <v>3393</v>
      </c>
      <c r="AJ370" s="26"/>
      <c r="AK370" s="5"/>
      <c r="AL370" s="82" t="s">
        <v>3210</v>
      </c>
      <c r="AM370" s="76"/>
      <c r="AN370" s="76"/>
      <c r="AO370" s="76"/>
      <c r="AP370" s="76"/>
      <c r="AQ370" s="76"/>
      <c r="AR370" s="76"/>
      <c r="AS370" s="76"/>
      <c r="AT370" s="76"/>
      <c r="AU370" s="76"/>
      <c r="AV370" s="76"/>
      <c r="AW370" s="76"/>
      <c r="AX370" s="76">
        <f>+AW370*600000</f>
        <v>0</v>
      </c>
      <c r="AY370" s="76"/>
      <c r="AZ370" s="76">
        <f>+AY370*70000</f>
        <v>0</v>
      </c>
      <c r="BA370" s="76"/>
      <c r="BB370" s="76"/>
      <c r="BC370" s="76"/>
      <c r="BD370" s="76">
        <f>+BC370*30000</f>
        <v>0</v>
      </c>
      <c r="BE370" s="76"/>
      <c r="BF370" s="76"/>
      <c r="BG370" s="76"/>
      <c r="BH370" s="76"/>
      <c r="BI370" s="76"/>
      <c r="BJ370" s="76"/>
      <c r="BK370" s="76"/>
      <c r="BL370" s="76">
        <f>+BK370*31500</f>
        <v>0</v>
      </c>
      <c r="BM370" s="76"/>
      <c r="BN370" s="76"/>
      <c r="BO370" s="76"/>
      <c r="BP370" s="76"/>
      <c r="BQ370" s="76"/>
      <c r="BR370" s="76"/>
      <c r="BS370" s="76"/>
      <c r="BT370" s="76"/>
      <c r="BU370" s="76"/>
      <c r="BV370" s="76"/>
      <c r="BW370" s="76"/>
      <c r="BX370" s="76"/>
      <c r="BY370" s="76"/>
      <c r="BZ370" s="76"/>
      <c r="CA370" s="76"/>
      <c r="CB370" s="76"/>
      <c r="CC370" s="76"/>
      <c r="CD370" s="76"/>
      <c r="CE370" s="76"/>
      <c r="CF370" s="76">
        <f>+CE370*28000</f>
        <v>0</v>
      </c>
      <c r="CG370" s="76"/>
      <c r="CH370" s="76">
        <f>+CG370*22500</f>
        <v>0</v>
      </c>
      <c r="CI370" s="76"/>
      <c r="CJ370" s="76">
        <f>+CI370*26000</f>
        <v>0</v>
      </c>
      <c r="CK370" s="76"/>
      <c r="CL370" s="76"/>
      <c r="CM370" s="76"/>
      <c r="CN370" s="76">
        <f>+CM370*22000</f>
        <v>0</v>
      </c>
      <c r="CO370" s="76"/>
      <c r="CP370" s="76">
        <f>+CO370*46000</f>
        <v>0</v>
      </c>
      <c r="CQ370" s="76"/>
      <c r="CR370" s="76">
        <f>+CQ370*49000</f>
        <v>0</v>
      </c>
      <c r="CS370" s="76"/>
      <c r="CT370" s="76"/>
      <c r="CU370" s="56">
        <f>AN370+AP370+AR370+AT370+AV370+AX370+AZ370+BB370+BD370+BF370+BH370+BJ370+BL370+BN370+BP370+BR370+BT370+BV370+BX370+BZ370+CB370+CD370+CF370+CH370+CJ370+CL370+CN370+CP370+CR370+CT370</f>
        <v>0</v>
      </c>
      <c r="CV370" s="76"/>
      <c r="CW370" s="76">
        <f>+CV370*1100</f>
        <v>0</v>
      </c>
      <c r="CX370" s="76"/>
      <c r="CY370" s="76">
        <f>+CX370*106250</f>
        <v>0</v>
      </c>
      <c r="CZ370" s="76"/>
      <c r="DA370" s="76">
        <f>+CZ370*34500</f>
        <v>0</v>
      </c>
      <c r="DB370" s="76"/>
      <c r="DC370" s="76">
        <f>+DB370*25000</f>
        <v>0</v>
      </c>
      <c r="DD370" s="219"/>
      <c r="DE370" s="219"/>
      <c r="DF370" s="164"/>
      <c r="DG370" s="116"/>
      <c r="DH370" s="117"/>
      <c r="DI370" s="24"/>
      <c r="DJ370" s="24"/>
      <c r="DK370" s="24"/>
      <c r="DL370" s="24"/>
      <c r="DM370" s="24"/>
      <c r="DN370" s="24"/>
      <c r="DO370" s="24"/>
      <c r="DP370" s="24"/>
      <c r="DQ370" s="24"/>
      <c r="DR370" s="24"/>
      <c r="DS370" s="24"/>
      <c r="DT370" s="24"/>
      <c r="DU370" s="24"/>
    </row>
    <row r="371" spans="1:125" s="8" customFormat="1" ht="84" x14ac:dyDescent="0.2">
      <c r="A371" s="353">
        <v>41299</v>
      </c>
      <c r="B371" s="352" t="s">
        <v>2772</v>
      </c>
      <c r="C371" s="354" t="s">
        <v>1110</v>
      </c>
      <c r="D371" s="81" t="s">
        <v>2846</v>
      </c>
      <c r="E371" s="75" t="str">
        <f>VLOOKUP(B371&amp;C371,Divipola!$C$2:$F$1138,4,FALSE)</f>
        <v>25436</v>
      </c>
      <c r="F371" s="87"/>
      <c r="G371" s="87"/>
      <c r="H371" s="87"/>
      <c r="I371" s="87"/>
      <c r="J371" s="87"/>
      <c r="K371" s="87"/>
      <c r="L371" s="87"/>
      <c r="M371" s="87"/>
      <c r="N371" s="87"/>
      <c r="O371" s="87"/>
      <c r="P371" s="87"/>
      <c r="Q371" s="87"/>
      <c r="R371" s="87"/>
      <c r="S371" s="87"/>
      <c r="T371" s="87"/>
      <c r="U371" s="127">
        <v>2</v>
      </c>
      <c r="V371" s="89"/>
      <c r="W371" s="96">
        <v>0</v>
      </c>
      <c r="X371" s="71">
        <f>CU371</f>
        <v>0</v>
      </c>
      <c r="Y371" s="71">
        <f>CY371</f>
        <v>0</v>
      </c>
      <c r="Z371" s="71">
        <f>DA371+DC371+DE371</f>
        <v>0</v>
      </c>
      <c r="AA371" s="71">
        <f>CW371</f>
        <v>0</v>
      </c>
      <c r="AB371" s="71"/>
      <c r="AC371" s="71">
        <v>0</v>
      </c>
      <c r="AD371" s="71">
        <f>W371+X371+Y371+Z371+AA371+AB371+AC371</f>
        <v>0</v>
      </c>
      <c r="AE371" s="72">
        <v>0</v>
      </c>
      <c r="AF371" s="5"/>
      <c r="AG371" s="6"/>
      <c r="AH371" s="27" t="s">
        <v>3392</v>
      </c>
      <c r="AI371" s="44" t="s">
        <v>3393</v>
      </c>
      <c r="AJ371" s="26"/>
      <c r="AK371" s="5"/>
      <c r="AL371" s="82" t="s">
        <v>3257</v>
      </c>
      <c r="AM371" s="76"/>
      <c r="AN371" s="76"/>
      <c r="AO371" s="76"/>
      <c r="AP371" s="76"/>
      <c r="AQ371" s="76"/>
      <c r="AR371" s="76"/>
      <c r="AS371" s="76"/>
      <c r="AT371" s="76"/>
      <c r="AU371" s="76"/>
      <c r="AV371" s="76"/>
      <c r="AW371" s="76"/>
      <c r="AX371" s="76">
        <f>+AW371*600000</f>
        <v>0</v>
      </c>
      <c r="AY371" s="76"/>
      <c r="AZ371" s="76">
        <f>+AY371*70000</f>
        <v>0</v>
      </c>
      <c r="BA371" s="76"/>
      <c r="BB371" s="76"/>
      <c r="BC371" s="76"/>
      <c r="BD371" s="76">
        <f>+BC371*30000</f>
        <v>0</v>
      </c>
      <c r="BE371" s="76"/>
      <c r="BF371" s="76"/>
      <c r="BG371" s="76"/>
      <c r="BH371" s="76"/>
      <c r="BI371" s="76"/>
      <c r="BJ371" s="76"/>
      <c r="BK371" s="76"/>
      <c r="BL371" s="76">
        <f>+BK371*31500</f>
        <v>0</v>
      </c>
      <c r="BM371" s="76"/>
      <c r="BN371" s="76"/>
      <c r="BO371" s="76"/>
      <c r="BP371" s="76"/>
      <c r="BQ371" s="76"/>
      <c r="BR371" s="76"/>
      <c r="BS371" s="76"/>
      <c r="BT371" s="76"/>
      <c r="BU371" s="76"/>
      <c r="BV371" s="76"/>
      <c r="BW371" s="76"/>
      <c r="BX371" s="76"/>
      <c r="BY371" s="76"/>
      <c r="BZ371" s="76"/>
      <c r="CA371" s="76"/>
      <c r="CB371" s="76"/>
      <c r="CC371" s="76"/>
      <c r="CD371" s="76"/>
      <c r="CE371" s="76"/>
      <c r="CF371" s="76">
        <f>+CE371*28000</f>
        <v>0</v>
      </c>
      <c r="CG371" s="76"/>
      <c r="CH371" s="76">
        <f>+CG371*22500</f>
        <v>0</v>
      </c>
      <c r="CI371" s="76"/>
      <c r="CJ371" s="76">
        <f>+CI371*26000</f>
        <v>0</v>
      </c>
      <c r="CK371" s="76"/>
      <c r="CL371" s="76"/>
      <c r="CM371" s="76"/>
      <c r="CN371" s="76">
        <f>+CM371*22000</f>
        <v>0</v>
      </c>
      <c r="CO371" s="76"/>
      <c r="CP371" s="76">
        <f>+CO371*46000</f>
        <v>0</v>
      </c>
      <c r="CQ371" s="76"/>
      <c r="CR371" s="76">
        <f>+CQ371*49000</f>
        <v>0</v>
      </c>
      <c r="CS371" s="76"/>
      <c r="CT371" s="76"/>
      <c r="CU371" s="56">
        <f>AN371+AP371+AR371+AT371+AV371+AX371+AZ371+BB371+BD371+BF371+BH371+BJ371+BL371+BN371+BP371+BR371+BT371+BV371+BX371+BZ371+CB371+CD371+CF371+CH371+CJ371+CL371+CN371+CP371+CR371+CT371</f>
        <v>0</v>
      </c>
      <c r="CV371" s="76"/>
      <c r="CW371" s="76">
        <f>+CV371*1100</f>
        <v>0</v>
      </c>
      <c r="CX371" s="76"/>
      <c r="CY371" s="76">
        <f>+CX371*106250</f>
        <v>0</v>
      </c>
      <c r="CZ371" s="76"/>
      <c r="DA371" s="76">
        <f>+CZ371*34500</f>
        <v>0</v>
      </c>
      <c r="DB371" s="76"/>
      <c r="DC371" s="76">
        <f>+DB371*25000</f>
        <v>0</v>
      </c>
      <c r="DD371" s="219"/>
      <c r="DE371" s="219"/>
      <c r="DF371" s="164"/>
      <c r="DG371" s="116"/>
      <c r="DH371" s="117"/>
      <c r="DI371" s="24"/>
      <c r="DJ371" s="24"/>
      <c r="DK371" s="24"/>
      <c r="DL371" s="24"/>
      <c r="DM371" s="24"/>
      <c r="DN371" s="24"/>
      <c r="DO371" s="24"/>
      <c r="DP371" s="24"/>
      <c r="DQ371" s="24"/>
      <c r="DR371" s="24"/>
      <c r="DS371" s="24"/>
      <c r="DT371" s="24"/>
      <c r="DU371" s="24"/>
    </row>
    <row r="372" spans="1:125" s="8" customFormat="1" ht="48" x14ac:dyDescent="0.2">
      <c r="A372" s="77">
        <v>41299</v>
      </c>
      <c r="B372" s="225" t="s">
        <v>1695</v>
      </c>
      <c r="C372" s="227" t="s">
        <v>1696</v>
      </c>
      <c r="D372" s="81" t="s">
        <v>2846</v>
      </c>
      <c r="E372" s="75" t="str">
        <f>VLOOKUP(B372&amp;C372,Divipola!$C$2:$F$1138,4,FALSE)</f>
        <v>95001</v>
      </c>
      <c r="F372" s="87"/>
      <c r="G372" s="87"/>
      <c r="H372" s="87"/>
      <c r="I372" s="87"/>
      <c r="J372" s="87"/>
      <c r="K372" s="87"/>
      <c r="L372" s="87"/>
      <c r="M372" s="87"/>
      <c r="N372" s="87"/>
      <c r="O372" s="87"/>
      <c r="P372" s="87"/>
      <c r="Q372" s="87"/>
      <c r="R372" s="87"/>
      <c r="S372" s="87"/>
      <c r="T372" s="87"/>
      <c r="U372" s="127">
        <v>12</v>
      </c>
      <c r="V372" s="89"/>
      <c r="W372" s="96">
        <v>0</v>
      </c>
      <c r="X372" s="71">
        <f>CU372</f>
        <v>0</v>
      </c>
      <c r="Y372" s="71">
        <f>CY372</f>
        <v>0</v>
      </c>
      <c r="Z372" s="71">
        <f>DA372+DC372+DE372</f>
        <v>0</v>
      </c>
      <c r="AA372" s="71">
        <f>CW372</f>
        <v>0</v>
      </c>
      <c r="AB372" s="71"/>
      <c r="AC372" s="71">
        <v>0</v>
      </c>
      <c r="AD372" s="71">
        <f>W372+X372+Y372+Z372+AA372+AB372+AC372</f>
        <v>0</v>
      </c>
      <c r="AE372" s="72">
        <v>0</v>
      </c>
      <c r="AF372" s="5"/>
      <c r="AG372" s="6"/>
      <c r="AH372" s="27" t="s">
        <v>3392</v>
      </c>
      <c r="AI372" s="44" t="s">
        <v>3393</v>
      </c>
      <c r="AJ372" s="26"/>
      <c r="AK372" s="5"/>
      <c r="AL372" s="82" t="s">
        <v>3207</v>
      </c>
      <c r="AM372" s="76"/>
      <c r="AN372" s="76"/>
      <c r="AO372" s="76"/>
      <c r="AP372" s="76"/>
      <c r="AQ372" s="76"/>
      <c r="AR372" s="76"/>
      <c r="AS372" s="76"/>
      <c r="AT372" s="76"/>
      <c r="AU372" s="76"/>
      <c r="AV372" s="76"/>
      <c r="AW372" s="76"/>
      <c r="AX372" s="76">
        <f>+AW372*600000</f>
        <v>0</v>
      </c>
      <c r="AY372" s="76"/>
      <c r="AZ372" s="76">
        <f>+AY372*70000</f>
        <v>0</v>
      </c>
      <c r="BA372" s="76"/>
      <c r="BB372" s="76"/>
      <c r="BC372" s="76"/>
      <c r="BD372" s="76">
        <f>+BC372*30000</f>
        <v>0</v>
      </c>
      <c r="BE372" s="76"/>
      <c r="BF372" s="76"/>
      <c r="BG372" s="76"/>
      <c r="BH372" s="76"/>
      <c r="BI372" s="76"/>
      <c r="BJ372" s="76"/>
      <c r="BK372" s="76"/>
      <c r="BL372" s="76">
        <f>+BK372*31500</f>
        <v>0</v>
      </c>
      <c r="BM372" s="76"/>
      <c r="BN372" s="76"/>
      <c r="BO372" s="76"/>
      <c r="BP372" s="76"/>
      <c r="BQ372" s="76"/>
      <c r="BR372" s="76"/>
      <c r="BS372" s="76"/>
      <c r="BT372" s="76"/>
      <c r="BU372" s="76"/>
      <c r="BV372" s="76"/>
      <c r="BW372" s="76"/>
      <c r="BX372" s="76"/>
      <c r="BY372" s="76"/>
      <c r="BZ372" s="76"/>
      <c r="CA372" s="76"/>
      <c r="CB372" s="76"/>
      <c r="CC372" s="76"/>
      <c r="CD372" s="76"/>
      <c r="CE372" s="76"/>
      <c r="CF372" s="76">
        <f>+CE372*28000</f>
        <v>0</v>
      </c>
      <c r="CG372" s="76"/>
      <c r="CH372" s="76">
        <f>+CG372*22500</f>
        <v>0</v>
      </c>
      <c r="CI372" s="76"/>
      <c r="CJ372" s="76">
        <f>+CI372*26000</f>
        <v>0</v>
      </c>
      <c r="CK372" s="76"/>
      <c r="CL372" s="76"/>
      <c r="CM372" s="76"/>
      <c r="CN372" s="76">
        <f>+CM372*22000</f>
        <v>0</v>
      </c>
      <c r="CO372" s="76"/>
      <c r="CP372" s="76">
        <f>+CO372*46000</f>
        <v>0</v>
      </c>
      <c r="CQ372" s="76"/>
      <c r="CR372" s="76">
        <f>+CQ372*49000</f>
        <v>0</v>
      </c>
      <c r="CS372" s="76"/>
      <c r="CT372" s="76"/>
      <c r="CU372" s="56">
        <f>AN372+AP372+AR372+AT372+AV372+AX372+AZ372+BB372+BD372+BF372+BH372+BJ372+BL372+BN372+BP372+BR372+BT372+BV372+BX372+BZ372+CB372+CD372+CF372+CH372+CJ372+CL372+CN372+CP372+CR372+CT372</f>
        <v>0</v>
      </c>
      <c r="CV372" s="76"/>
      <c r="CW372" s="76">
        <f>+CV372*1100</f>
        <v>0</v>
      </c>
      <c r="CX372" s="76"/>
      <c r="CY372" s="76">
        <f>+CX372*106250</f>
        <v>0</v>
      </c>
      <c r="CZ372" s="76"/>
      <c r="DA372" s="76">
        <f>+CZ372*34500</f>
        <v>0</v>
      </c>
      <c r="DB372" s="76"/>
      <c r="DC372" s="76">
        <f>+DB372*25000</f>
        <v>0</v>
      </c>
      <c r="DD372" s="219"/>
      <c r="DE372" s="219"/>
      <c r="DF372" s="164"/>
      <c r="DG372" s="116"/>
      <c r="DH372" s="117"/>
      <c r="DI372" s="24"/>
      <c r="DJ372" s="24"/>
      <c r="DK372" s="24"/>
      <c r="DL372" s="24"/>
      <c r="DM372" s="24"/>
      <c r="DN372" s="24"/>
      <c r="DO372" s="24"/>
      <c r="DP372" s="24"/>
      <c r="DQ372" s="24"/>
      <c r="DR372" s="24"/>
      <c r="DS372" s="24"/>
      <c r="DT372" s="24"/>
      <c r="DU372" s="24"/>
    </row>
    <row r="373" spans="1:125" s="8" customFormat="1" ht="48" x14ac:dyDescent="0.2">
      <c r="A373" s="353">
        <v>41299</v>
      </c>
      <c r="B373" s="352" t="s">
        <v>3136</v>
      </c>
      <c r="C373" s="354" t="s">
        <v>2758</v>
      </c>
      <c r="D373" s="354" t="s">
        <v>2936</v>
      </c>
      <c r="E373" s="75" t="str">
        <f>VLOOKUP(B373&amp;C373,Divipola!$C$2:$F$1138,4,FALSE)</f>
        <v>44874</v>
      </c>
      <c r="F373" s="87"/>
      <c r="G373" s="87"/>
      <c r="H373" s="87"/>
      <c r="I373" s="87"/>
      <c r="J373" s="87"/>
      <c r="K373" s="87"/>
      <c r="L373" s="87"/>
      <c r="M373" s="87"/>
      <c r="N373" s="87"/>
      <c r="O373" s="87"/>
      <c r="P373" s="87"/>
      <c r="Q373" s="87"/>
      <c r="R373" s="87"/>
      <c r="S373" s="87"/>
      <c r="T373" s="87"/>
      <c r="U373" s="127"/>
      <c r="V373" s="89"/>
      <c r="W373" s="96">
        <v>0</v>
      </c>
      <c r="X373" s="71">
        <f>CU373</f>
        <v>0</v>
      </c>
      <c r="Y373" s="71">
        <f>CY373</f>
        <v>0</v>
      </c>
      <c r="Z373" s="71">
        <f>DA373+DC373+DE373</f>
        <v>0</v>
      </c>
      <c r="AA373" s="71">
        <f>CW373</f>
        <v>0</v>
      </c>
      <c r="AB373" s="71"/>
      <c r="AC373" s="71">
        <v>0</v>
      </c>
      <c r="AD373" s="71">
        <f>W373+X373+Y373+Z373+AA373+AB373+AC373</f>
        <v>0</v>
      </c>
      <c r="AE373" s="72">
        <v>0</v>
      </c>
      <c r="AF373" s="5"/>
      <c r="AG373" s="6"/>
      <c r="AH373" s="27" t="s">
        <v>3392</v>
      </c>
      <c r="AI373" s="44" t="s">
        <v>3393</v>
      </c>
      <c r="AJ373" s="26"/>
      <c r="AK373" s="5"/>
      <c r="AL373" s="82" t="s">
        <v>3211</v>
      </c>
      <c r="AM373" s="76"/>
      <c r="AN373" s="76"/>
      <c r="AO373" s="76"/>
      <c r="AP373" s="76"/>
      <c r="AQ373" s="76"/>
      <c r="AR373" s="76"/>
      <c r="AS373" s="76"/>
      <c r="AT373" s="76"/>
      <c r="AU373" s="76"/>
      <c r="AV373" s="76"/>
      <c r="AW373" s="76"/>
      <c r="AX373" s="76">
        <f>+AW373*600000</f>
        <v>0</v>
      </c>
      <c r="AY373" s="76"/>
      <c r="AZ373" s="76">
        <f>+AY373*70000</f>
        <v>0</v>
      </c>
      <c r="BA373" s="76"/>
      <c r="BB373" s="76"/>
      <c r="BC373" s="76"/>
      <c r="BD373" s="76">
        <f>+BC373*30000</f>
        <v>0</v>
      </c>
      <c r="BE373" s="76"/>
      <c r="BF373" s="76"/>
      <c r="BG373" s="76"/>
      <c r="BH373" s="76"/>
      <c r="BI373" s="76"/>
      <c r="BJ373" s="76"/>
      <c r="BK373" s="76"/>
      <c r="BL373" s="76">
        <f>+BK373*31500</f>
        <v>0</v>
      </c>
      <c r="BM373" s="76"/>
      <c r="BN373" s="76"/>
      <c r="BO373" s="76"/>
      <c r="BP373" s="76"/>
      <c r="BQ373" s="76"/>
      <c r="BR373" s="76"/>
      <c r="BS373" s="76"/>
      <c r="BT373" s="76"/>
      <c r="BU373" s="76"/>
      <c r="BV373" s="76"/>
      <c r="BW373" s="76"/>
      <c r="BX373" s="76"/>
      <c r="BY373" s="76"/>
      <c r="BZ373" s="76"/>
      <c r="CA373" s="76"/>
      <c r="CB373" s="76"/>
      <c r="CC373" s="76"/>
      <c r="CD373" s="76"/>
      <c r="CE373" s="76"/>
      <c r="CF373" s="76">
        <f>+CE373*28000</f>
        <v>0</v>
      </c>
      <c r="CG373" s="76"/>
      <c r="CH373" s="76">
        <f>+CG373*22500</f>
        <v>0</v>
      </c>
      <c r="CI373" s="76"/>
      <c r="CJ373" s="76">
        <f>+CI373*26000</f>
        <v>0</v>
      </c>
      <c r="CK373" s="76"/>
      <c r="CL373" s="76"/>
      <c r="CM373" s="76"/>
      <c r="CN373" s="76">
        <f>+CM373*22000</f>
        <v>0</v>
      </c>
      <c r="CO373" s="76"/>
      <c r="CP373" s="76">
        <f>+CO373*46000</f>
        <v>0</v>
      </c>
      <c r="CQ373" s="76"/>
      <c r="CR373" s="76">
        <f>+CQ373*49000</f>
        <v>0</v>
      </c>
      <c r="CS373" s="76"/>
      <c r="CT373" s="76"/>
      <c r="CU373" s="56">
        <f>AN373+AP373+AR373+AT373+AV373+AX373+AZ373+BB373+BD373+BF373+BH373+BJ373+BL373+BN373+BP373+BR373+BT373+BV373+BX373+BZ373+CB373+CD373+CF373+CH373+CJ373+CL373+CN373+CP373+CR373+CT373</f>
        <v>0</v>
      </c>
      <c r="CV373" s="76"/>
      <c r="CW373" s="76">
        <f>+CV373*1100</f>
        <v>0</v>
      </c>
      <c r="CX373" s="76"/>
      <c r="CY373" s="76">
        <f>+CX373*106250</f>
        <v>0</v>
      </c>
      <c r="CZ373" s="76"/>
      <c r="DA373" s="76">
        <f>+CZ373*34500</f>
        <v>0</v>
      </c>
      <c r="DB373" s="76"/>
      <c r="DC373" s="76">
        <f>+DB373*25000</f>
        <v>0</v>
      </c>
      <c r="DD373" s="219"/>
      <c r="DE373" s="219"/>
      <c r="DF373" s="164"/>
      <c r="DG373" s="116"/>
      <c r="DH373" s="117"/>
      <c r="DI373" s="24"/>
      <c r="DJ373" s="24"/>
      <c r="DK373" s="24"/>
      <c r="DL373" s="24"/>
      <c r="DM373" s="24"/>
      <c r="DN373" s="24"/>
      <c r="DO373" s="24"/>
      <c r="DP373" s="24"/>
      <c r="DQ373" s="24"/>
      <c r="DR373" s="24"/>
      <c r="DS373" s="24"/>
      <c r="DT373" s="24"/>
      <c r="DU373" s="24"/>
    </row>
    <row r="374" spans="1:125" s="8" customFormat="1" ht="60" x14ac:dyDescent="0.2">
      <c r="A374" s="77">
        <v>41300</v>
      </c>
      <c r="B374" s="225" t="s">
        <v>2036</v>
      </c>
      <c r="C374" s="227" t="s">
        <v>2036</v>
      </c>
      <c r="D374" s="81" t="s">
        <v>2846</v>
      </c>
      <c r="E374" s="75" t="str">
        <f>VLOOKUP(B374&amp;C374,Divipola!$C$2:$F$1138,4,FALSE)</f>
        <v>81001</v>
      </c>
      <c r="F374" s="87"/>
      <c r="G374" s="87"/>
      <c r="H374" s="87"/>
      <c r="I374" s="87"/>
      <c r="J374" s="87"/>
      <c r="K374" s="87"/>
      <c r="L374" s="87"/>
      <c r="M374" s="87"/>
      <c r="N374" s="87"/>
      <c r="O374" s="87"/>
      <c r="P374" s="87"/>
      <c r="Q374" s="87"/>
      <c r="R374" s="87"/>
      <c r="S374" s="87"/>
      <c r="T374" s="87"/>
      <c r="U374" s="127"/>
      <c r="V374" s="89"/>
      <c r="W374" s="96">
        <v>0</v>
      </c>
      <c r="X374" s="71">
        <f>CU374</f>
        <v>0</v>
      </c>
      <c r="Y374" s="71">
        <f>CY374</f>
        <v>0</v>
      </c>
      <c r="Z374" s="71">
        <f>DA374+DC374+DE374</f>
        <v>0</v>
      </c>
      <c r="AA374" s="71">
        <f>CW374</f>
        <v>0</v>
      </c>
      <c r="AB374" s="71"/>
      <c r="AC374" s="71">
        <v>0</v>
      </c>
      <c r="AD374" s="71">
        <f>W374+X374+Y374+Z374+AA374+AB374+AC374</f>
        <v>0</v>
      </c>
      <c r="AE374" s="72">
        <v>0</v>
      </c>
      <c r="AF374" s="5"/>
      <c r="AG374" s="6"/>
      <c r="AH374" s="27" t="s">
        <v>3392</v>
      </c>
      <c r="AI374" s="44" t="s">
        <v>3393</v>
      </c>
      <c r="AJ374" s="26"/>
      <c r="AK374" s="5"/>
      <c r="AL374" s="82" t="s">
        <v>3224</v>
      </c>
      <c r="AM374" s="76"/>
      <c r="AN374" s="76"/>
      <c r="AO374" s="76"/>
      <c r="AP374" s="76"/>
      <c r="AQ374" s="76"/>
      <c r="AR374" s="76"/>
      <c r="AS374" s="76"/>
      <c r="AT374" s="76"/>
      <c r="AU374" s="76"/>
      <c r="AV374" s="76"/>
      <c r="AW374" s="76"/>
      <c r="AX374" s="76">
        <f>+AW374*600000</f>
        <v>0</v>
      </c>
      <c r="AY374" s="76"/>
      <c r="AZ374" s="76">
        <f>+AY374*70000</f>
        <v>0</v>
      </c>
      <c r="BA374" s="76"/>
      <c r="BB374" s="76"/>
      <c r="BC374" s="76"/>
      <c r="BD374" s="76">
        <f>+BC374*30000</f>
        <v>0</v>
      </c>
      <c r="BE374" s="76"/>
      <c r="BF374" s="76"/>
      <c r="BG374" s="76"/>
      <c r="BH374" s="76"/>
      <c r="BI374" s="76"/>
      <c r="BJ374" s="76"/>
      <c r="BK374" s="76"/>
      <c r="BL374" s="76">
        <f>+BK374*31500</f>
        <v>0</v>
      </c>
      <c r="BM374" s="76"/>
      <c r="BN374" s="76"/>
      <c r="BO374" s="76"/>
      <c r="BP374" s="76"/>
      <c r="BQ374" s="76"/>
      <c r="BR374" s="76"/>
      <c r="BS374" s="76"/>
      <c r="BT374" s="76"/>
      <c r="BU374" s="76"/>
      <c r="BV374" s="76"/>
      <c r="BW374" s="76"/>
      <c r="BX374" s="76"/>
      <c r="BY374" s="76"/>
      <c r="BZ374" s="76"/>
      <c r="CA374" s="76"/>
      <c r="CB374" s="76"/>
      <c r="CC374" s="76"/>
      <c r="CD374" s="76"/>
      <c r="CE374" s="76"/>
      <c r="CF374" s="76">
        <f>+CE374*28000</f>
        <v>0</v>
      </c>
      <c r="CG374" s="76"/>
      <c r="CH374" s="76">
        <f>+CG374*22500</f>
        <v>0</v>
      </c>
      <c r="CI374" s="76"/>
      <c r="CJ374" s="76">
        <f>+CI374*26000</f>
        <v>0</v>
      </c>
      <c r="CK374" s="76"/>
      <c r="CL374" s="76"/>
      <c r="CM374" s="76"/>
      <c r="CN374" s="76">
        <f>+CM374*22000</f>
        <v>0</v>
      </c>
      <c r="CO374" s="76"/>
      <c r="CP374" s="76">
        <f>+CO374*46000</f>
        <v>0</v>
      </c>
      <c r="CQ374" s="76"/>
      <c r="CR374" s="76">
        <f>+CQ374*49000</f>
        <v>0</v>
      </c>
      <c r="CS374" s="76"/>
      <c r="CT374" s="76"/>
      <c r="CU374" s="56">
        <f>AN374+AP374+AR374+AT374+AV374+AX374+AZ374+BB374+BD374+BF374+BH374+BJ374+BL374+BN374+BP374+BR374+BT374+BV374+BX374+BZ374+CB374+CD374+CF374+CH374+CJ374+CL374+CN374+CP374+CR374+CT374</f>
        <v>0</v>
      </c>
      <c r="CV374" s="76"/>
      <c r="CW374" s="76">
        <f>+CV374*1100</f>
        <v>0</v>
      </c>
      <c r="CX374" s="76"/>
      <c r="CY374" s="76">
        <f>+CX374*106250</f>
        <v>0</v>
      </c>
      <c r="CZ374" s="76"/>
      <c r="DA374" s="76">
        <f>+CZ374*34500</f>
        <v>0</v>
      </c>
      <c r="DB374" s="76"/>
      <c r="DC374" s="76">
        <f>+DB374*25000</f>
        <v>0</v>
      </c>
      <c r="DD374" s="219"/>
      <c r="DE374" s="219"/>
      <c r="DF374" s="164"/>
      <c r="DG374" s="116"/>
      <c r="DH374" s="117"/>
      <c r="DI374" s="24"/>
      <c r="DJ374" s="24"/>
      <c r="DK374" s="24"/>
      <c r="DL374" s="24"/>
      <c r="DM374" s="24"/>
      <c r="DN374" s="24"/>
      <c r="DO374" s="24"/>
      <c r="DP374" s="24"/>
      <c r="DQ374" s="24"/>
      <c r="DR374" s="24"/>
      <c r="DS374" s="24"/>
      <c r="DT374" s="24"/>
      <c r="DU374" s="24"/>
    </row>
    <row r="375" spans="1:125" s="8" customFormat="1" ht="36" x14ac:dyDescent="0.2">
      <c r="A375" s="77">
        <v>41300</v>
      </c>
      <c r="B375" s="84" t="s">
        <v>2881</v>
      </c>
      <c r="C375" s="84" t="s">
        <v>2547</v>
      </c>
      <c r="D375" s="75" t="s">
        <v>3017</v>
      </c>
      <c r="E375" s="75" t="str">
        <f>VLOOKUP(B375&amp;C375,Divipola!$C$2:$F$1138,4,FALSE)</f>
        <v>08638</v>
      </c>
      <c r="F375" s="89"/>
      <c r="G375" s="89">
        <v>4</v>
      </c>
      <c r="H375" s="89"/>
      <c r="I375" s="89">
        <v>4</v>
      </c>
      <c r="J375" s="89">
        <v>1</v>
      </c>
      <c r="K375" s="89">
        <v>1</v>
      </c>
      <c r="L375" s="89"/>
      <c r="M375" s="89"/>
      <c r="N375" s="89"/>
      <c r="O375" s="89"/>
      <c r="P375" s="89"/>
      <c r="Q375" s="89"/>
      <c r="R375" s="89"/>
      <c r="S375" s="89"/>
      <c r="T375" s="89"/>
      <c r="U375" s="126"/>
      <c r="V375" s="89"/>
      <c r="W375" s="96">
        <v>0</v>
      </c>
      <c r="X375" s="71">
        <f>CU375</f>
        <v>0</v>
      </c>
      <c r="Y375" s="71">
        <f>CY375</f>
        <v>0</v>
      </c>
      <c r="Z375" s="71">
        <f>DA375+DC375+DE375</f>
        <v>0</v>
      </c>
      <c r="AA375" s="71">
        <f>CW375</f>
        <v>0</v>
      </c>
      <c r="AB375" s="71"/>
      <c r="AC375" s="71">
        <v>0</v>
      </c>
      <c r="AD375" s="71">
        <f>W375+X375+Y375+Z375+AA375+AB375+AC375</f>
        <v>0</v>
      </c>
      <c r="AE375" s="72">
        <v>0</v>
      </c>
      <c r="AF375" s="5"/>
      <c r="AG375" s="6"/>
      <c r="AH375" s="27" t="s">
        <v>3392</v>
      </c>
      <c r="AI375" s="44" t="s">
        <v>3393</v>
      </c>
      <c r="AJ375" s="26"/>
      <c r="AK375" s="5"/>
      <c r="AL375" s="82" t="s">
        <v>3217</v>
      </c>
      <c r="AM375" s="76"/>
      <c r="AN375" s="76"/>
      <c r="AO375" s="76"/>
      <c r="AP375" s="76"/>
      <c r="AQ375" s="76"/>
      <c r="AR375" s="76"/>
      <c r="AS375" s="76"/>
      <c r="AT375" s="76"/>
      <c r="AU375" s="76"/>
      <c r="AV375" s="76"/>
      <c r="AW375" s="76"/>
      <c r="AX375" s="76">
        <f>+AW375*600000</f>
        <v>0</v>
      </c>
      <c r="AY375" s="76"/>
      <c r="AZ375" s="76">
        <f>+AY375*70000</f>
        <v>0</v>
      </c>
      <c r="BA375" s="76"/>
      <c r="BB375" s="76"/>
      <c r="BC375" s="76"/>
      <c r="BD375" s="76">
        <f>+BC375*30000</f>
        <v>0</v>
      </c>
      <c r="BE375" s="76"/>
      <c r="BF375" s="76"/>
      <c r="BG375" s="76"/>
      <c r="BH375" s="76"/>
      <c r="BI375" s="76"/>
      <c r="BJ375" s="76"/>
      <c r="BK375" s="76"/>
      <c r="BL375" s="76">
        <f>+BK375*31500</f>
        <v>0</v>
      </c>
      <c r="BM375" s="76"/>
      <c r="BN375" s="76"/>
      <c r="BO375" s="76"/>
      <c r="BP375" s="76"/>
      <c r="BQ375" s="76"/>
      <c r="BR375" s="76"/>
      <c r="BS375" s="76"/>
      <c r="BT375" s="76"/>
      <c r="BU375" s="76"/>
      <c r="BV375" s="76"/>
      <c r="BW375" s="76"/>
      <c r="BX375" s="76"/>
      <c r="BY375" s="76"/>
      <c r="BZ375" s="76"/>
      <c r="CA375" s="76"/>
      <c r="CB375" s="76"/>
      <c r="CC375" s="76"/>
      <c r="CD375" s="76"/>
      <c r="CE375" s="76"/>
      <c r="CF375" s="76">
        <f>+CE375*28000</f>
        <v>0</v>
      </c>
      <c r="CG375" s="76"/>
      <c r="CH375" s="76">
        <f>+CG375*22500</f>
        <v>0</v>
      </c>
      <c r="CI375" s="76"/>
      <c r="CJ375" s="76">
        <f>+CI375*26000</f>
        <v>0</v>
      </c>
      <c r="CK375" s="76"/>
      <c r="CL375" s="76"/>
      <c r="CM375" s="76"/>
      <c r="CN375" s="76">
        <f>+CM375*22000</f>
        <v>0</v>
      </c>
      <c r="CO375" s="76"/>
      <c r="CP375" s="76">
        <f>+CO375*46000</f>
        <v>0</v>
      </c>
      <c r="CQ375" s="76"/>
      <c r="CR375" s="76">
        <f>+CQ375*49000</f>
        <v>0</v>
      </c>
      <c r="CS375" s="76"/>
      <c r="CT375" s="76"/>
      <c r="CU375" s="56">
        <f>AN375+AP375+AR375+AT375+AV375+AX375+AZ375+BB375+BD375+BF375+BH375+BJ375+BL375+BN375+BP375+BR375+BT375+BV375+BX375+BZ375+CB375+CD375+CF375+CH375+CJ375+CL375+CN375+CP375+CR375+CT375</f>
        <v>0</v>
      </c>
      <c r="CV375" s="76"/>
      <c r="CW375" s="76">
        <f>+CV375*1100</f>
        <v>0</v>
      </c>
      <c r="CX375" s="76"/>
      <c r="CY375" s="76">
        <f>+CX375*106250</f>
        <v>0</v>
      </c>
      <c r="CZ375" s="76"/>
      <c r="DA375" s="76">
        <f>+CZ375*34500</f>
        <v>0</v>
      </c>
      <c r="DB375" s="76"/>
      <c r="DC375" s="76">
        <f>+DB375*25000</f>
        <v>0</v>
      </c>
      <c r="DD375" s="219"/>
      <c r="DE375" s="219"/>
      <c r="DF375" s="164"/>
      <c r="DG375" s="116"/>
      <c r="DH375" s="117"/>
      <c r="DI375" s="24"/>
      <c r="DJ375" s="24"/>
      <c r="DK375" s="24"/>
      <c r="DL375" s="24"/>
      <c r="DM375" s="24"/>
      <c r="DN375" s="24"/>
      <c r="DO375" s="24"/>
      <c r="DP375" s="24"/>
      <c r="DQ375" s="24"/>
      <c r="DR375" s="24"/>
      <c r="DS375" s="24"/>
      <c r="DT375" s="24"/>
      <c r="DU375" s="24"/>
    </row>
    <row r="376" spans="1:125" s="8" customFormat="1" ht="36" x14ac:dyDescent="0.2">
      <c r="A376" s="77">
        <v>41300</v>
      </c>
      <c r="B376" s="78" t="s">
        <v>2700</v>
      </c>
      <c r="C376" s="75" t="s">
        <v>1362</v>
      </c>
      <c r="D376" s="81" t="s">
        <v>2846</v>
      </c>
      <c r="E376" s="75" t="str">
        <f>VLOOKUP(B376&amp;C376,Divipola!$C$2:$F$1138,4,FALSE)</f>
        <v>15087</v>
      </c>
      <c r="F376" s="87"/>
      <c r="G376" s="87"/>
      <c r="H376" s="87"/>
      <c r="I376" s="87"/>
      <c r="J376" s="87"/>
      <c r="K376" s="87"/>
      <c r="L376" s="87"/>
      <c r="M376" s="87"/>
      <c r="N376" s="87"/>
      <c r="O376" s="87"/>
      <c r="P376" s="87"/>
      <c r="Q376" s="87"/>
      <c r="R376" s="87"/>
      <c r="S376" s="87"/>
      <c r="T376" s="87"/>
      <c r="U376" s="127">
        <v>3</v>
      </c>
      <c r="V376" s="89"/>
      <c r="W376" s="96">
        <v>0</v>
      </c>
      <c r="X376" s="71">
        <f>CU376</f>
        <v>0</v>
      </c>
      <c r="Y376" s="71">
        <f>CY376</f>
        <v>0</v>
      </c>
      <c r="Z376" s="71">
        <f>DA376+DC376+DE376</f>
        <v>0</v>
      </c>
      <c r="AA376" s="71">
        <f>CW376</f>
        <v>0</v>
      </c>
      <c r="AB376" s="71"/>
      <c r="AC376" s="71">
        <v>0</v>
      </c>
      <c r="AD376" s="71">
        <f>W376+X376+Y376+Z376+AA376+AB376+AC376</f>
        <v>0</v>
      </c>
      <c r="AE376" s="72">
        <v>0</v>
      </c>
      <c r="AF376" s="5"/>
      <c r="AG376" s="6"/>
      <c r="AH376" s="27" t="s">
        <v>3392</v>
      </c>
      <c r="AI376" s="44" t="s">
        <v>3393</v>
      </c>
      <c r="AJ376" s="26"/>
      <c r="AK376" s="5"/>
      <c r="AL376" s="82" t="s">
        <v>3220</v>
      </c>
      <c r="AM376" s="76"/>
      <c r="AN376" s="76"/>
      <c r="AO376" s="76"/>
      <c r="AP376" s="76"/>
      <c r="AQ376" s="76"/>
      <c r="AR376" s="76"/>
      <c r="AS376" s="76"/>
      <c r="AT376" s="76"/>
      <c r="AU376" s="76"/>
      <c r="AV376" s="76"/>
      <c r="AW376" s="76"/>
      <c r="AX376" s="76">
        <f>+AW376*600000</f>
        <v>0</v>
      </c>
      <c r="AY376" s="76"/>
      <c r="AZ376" s="76">
        <f>+AY376*70000</f>
        <v>0</v>
      </c>
      <c r="BA376" s="76"/>
      <c r="BB376" s="76"/>
      <c r="BC376" s="76"/>
      <c r="BD376" s="76">
        <f>+BC376*30000</f>
        <v>0</v>
      </c>
      <c r="BE376" s="76"/>
      <c r="BF376" s="76"/>
      <c r="BG376" s="76"/>
      <c r="BH376" s="76"/>
      <c r="BI376" s="76"/>
      <c r="BJ376" s="76"/>
      <c r="BK376" s="76"/>
      <c r="BL376" s="76">
        <f>+BK376*31500</f>
        <v>0</v>
      </c>
      <c r="BM376" s="76"/>
      <c r="BN376" s="76"/>
      <c r="BO376" s="76"/>
      <c r="BP376" s="76"/>
      <c r="BQ376" s="76"/>
      <c r="BR376" s="76"/>
      <c r="BS376" s="76"/>
      <c r="BT376" s="76"/>
      <c r="BU376" s="76"/>
      <c r="BV376" s="76"/>
      <c r="BW376" s="76"/>
      <c r="BX376" s="76"/>
      <c r="BY376" s="76"/>
      <c r="BZ376" s="76"/>
      <c r="CA376" s="76"/>
      <c r="CB376" s="76"/>
      <c r="CC376" s="76"/>
      <c r="CD376" s="76"/>
      <c r="CE376" s="76"/>
      <c r="CF376" s="76">
        <f>+CE376*28000</f>
        <v>0</v>
      </c>
      <c r="CG376" s="76"/>
      <c r="CH376" s="76">
        <f>+CG376*22500</f>
        <v>0</v>
      </c>
      <c r="CI376" s="76"/>
      <c r="CJ376" s="76">
        <f>+CI376*26000</f>
        <v>0</v>
      </c>
      <c r="CK376" s="76"/>
      <c r="CL376" s="76"/>
      <c r="CM376" s="76"/>
      <c r="CN376" s="76">
        <f>+CM376*22000</f>
        <v>0</v>
      </c>
      <c r="CO376" s="76"/>
      <c r="CP376" s="76">
        <f>+CO376*46000</f>
        <v>0</v>
      </c>
      <c r="CQ376" s="76"/>
      <c r="CR376" s="76">
        <f>+CQ376*49000</f>
        <v>0</v>
      </c>
      <c r="CS376" s="76"/>
      <c r="CT376" s="76"/>
      <c r="CU376" s="56">
        <f>AN376+AP376+AR376+AT376+AV376+AX376+AZ376+BB376+BD376+BF376+BH376+BJ376+BL376+BN376+BP376+BR376+BT376+BV376+BX376+BZ376+CB376+CD376+CF376+CH376+CJ376+CL376+CN376+CP376+CR376+CT376</f>
        <v>0</v>
      </c>
      <c r="CV376" s="76"/>
      <c r="CW376" s="76">
        <f>+CV376*1100</f>
        <v>0</v>
      </c>
      <c r="CX376" s="76"/>
      <c r="CY376" s="76">
        <f>+CX376*106250</f>
        <v>0</v>
      </c>
      <c r="CZ376" s="76"/>
      <c r="DA376" s="76">
        <f>+CZ376*34500</f>
        <v>0</v>
      </c>
      <c r="DB376" s="76"/>
      <c r="DC376" s="76">
        <f>+DB376*25000</f>
        <v>0</v>
      </c>
      <c r="DD376" s="219"/>
      <c r="DE376" s="219"/>
      <c r="DF376" s="164"/>
      <c r="DG376" s="116"/>
      <c r="DH376" s="117"/>
      <c r="DI376" s="24"/>
      <c r="DJ376" s="24"/>
      <c r="DK376" s="24"/>
      <c r="DL376" s="24"/>
      <c r="DM376" s="24"/>
      <c r="DN376" s="24"/>
      <c r="DO376" s="24"/>
      <c r="DP376" s="24"/>
      <c r="DQ376" s="24"/>
      <c r="DR376" s="24"/>
      <c r="DS376" s="24"/>
      <c r="DT376" s="24"/>
      <c r="DU376" s="24"/>
    </row>
    <row r="377" spans="1:125" s="8" customFormat="1" ht="48" x14ac:dyDescent="0.2">
      <c r="A377" s="77">
        <v>41300</v>
      </c>
      <c r="B377" s="78" t="s">
        <v>2855</v>
      </c>
      <c r="C377" s="75" t="s">
        <v>929</v>
      </c>
      <c r="D377" s="81" t="s">
        <v>2846</v>
      </c>
      <c r="E377" s="75" t="str">
        <f>VLOOKUP(B377&amp;C377,Divipola!$C$2:$F$1138,4,FALSE)</f>
        <v>20570</v>
      </c>
      <c r="F377" s="87"/>
      <c r="G377" s="87"/>
      <c r="H377" s="87"/>
      <c r="I377" s="87"/>
      <c r="J377" s="87"/>
      <c r="K377" s="87"/>
      <c r="L377" s="87"/>
      <c r="M377" s="87"/>
      <c r="N377" s="87"/>
      <c r="O377" s="87"/>
      <c r="P377" s="87"/>
      <c r="Q377" s="87"/>
      <c r="R377" s="87"/>
      <c r="S377" s="87"/>
      <c r="T377" s="88"/>
      <c r="U377" s="126">
        <v>15</v>
      </c>
      <c r="V377" s="155"/>
      <c r="W377" s="96">
        <v>0</v>
      </c>
      <c r="X377" s="71">
        <f>CU377</f>
        <v>0</v>
      </c>
      <c r="Y377" s="71">
        <f>CY377</f>
        <v>0</v>
      </c>
      <c r="Z377" s="71">
        <f>DA377+DC377+DE377</f>
        <v>0</v>
      </c>
      <c r="AA377" s="71">
        <f>CW377</f>
        <v>0</v>
      </c>
      <c r="AB377" s="71"/>
      <c r="AC377" s="71">
        <v>0</v>
      </c>
      <c r="AD377" s="71">
        <f>W377+X377+Y377+Z377+AA377+AB377+AC377</f>
        <v>0</v>
      </c>
      <c r="AE377" s="72">
        <v>0</v>
      </c>
      <c r="AF377" s="5"/>
      <c r="AG377" s="6"/>
      <c r="AH377" s="27" t="s">
        <v>3392</v>
      </c>
      <c r="AI377" s="44" t="s">
        <v>3393</v>
      </c>
      <c r="AJ377" s="26"/>
      <c r="AK377" s="5"/>
      <c r="AL377" s="82" t="s">
        <v>3260</v>
      </c>
      <c r="AM377" s="76"/>
      <c r="AN377" s="76"/>
      <c r="AO377" s="76"/>
      <c r="AP377" s="76"/>
      <c r="AQ377" s="76"/>
      <c r="AR377" s="76"/>
      <c r="AS377" s="76"/>
      <c r="AT377" s="76"/>
      <c r="AU377" s="76"/>
      <c r="AV377" s="76"/>
      <c r="AW377" s="76"/>
      <c r="AX377" s="76">
        <f>+AW377*600000</f>
        <v>0</v>
      </c>
      <c r="AY377" s="76"/>
      <c r="AZ377" s="76">
        <f>+AY377*70000</f>
        <v>0</v>
      </c>
      <c r="BA377" s="76"/>
      <c r="BB377" s="76"/>
      <c r="BC377" s="76"/>
      <c r="BD377" s="76">
        <f>+BC377*30000</f>
        <v>0</v>
      </c>
      <c r="BE377" s="76"/>
      <c r="BF377" s="76"/>
      <c r="BG377" s="76"/>
      <c r="BH377" s="76"/>
      <c r="BI377" s="76"/>
      <c r="BJ377" s="76"/>
      <c r="BK377" s="76"/>
      <c r="BL377" s="76">
        <f>+BK377*31500</f>
        <v>0</v>
      </c>
      <c r="BM377" s="76"/>
      <c r="BN377" s="76"/>
      <c r="BO377" s="76"/>
      <c r="BP377" s="76"/>
      <c r="BQ377" s="76"/>
      <c r="BR377" s="76"/>
      <c r="BS377" s="76"/>
      <c r="BT377" s="76"/>
      <c r="BU377" s="76"/>
      <c r="BV377" s="76"/>
      <c r="BW377" s="76"/>
      <c r="BX377" s="76"/>
      <c r="BY377" s="76"/>
      <c r="BZ377" s="76"/>
      <c r="CA377" s="76"/>
      <c r="CB377" s="76"/>
      <c r="CC377" s="76"/>
      <c r="CD377" s="76"/>
      <c r="CE377" s="76"/>
      <c r="CF377" s="76">
        <f>+CE377*28000</f>
        <v>0</v>
      </c>
      <c r="CG377" s="76"/>
      <c r="CH377" s="76">
        <f>+CG377*22500</f>
        <v>0</v>
      </c>
      <c r="CI377" s="76"/>
      <c r="CJ377" s="76">
        <f>+CI377*26000</f>
        <v>0</v>
      </c>
      <c r="CK377" s="76"/>
      <c r="CL377" s="76"/>
      <c r="CM377" s="76"/>
      <c r="CN377" s="76">
        <f>+CM377*22000</f>
        <v>0</v>
      </c>
      <c r="CO377" s="76"/>
      <c r="CP377" s="76">
        <f>+CO377*46000</f>
        <v>0</v>
      </c>
      <c r="CQ377" s="76"/>
      <c r="CR377" s="76">
        <f>+CQ377*49000</f>
        <v>0</v>
      </c>
      <c r="CS377" s="76"/>
      <c r="CT377" s="76"/>
      <c r="CU377" s="56">
        <f>AN377+AP377+AR377+AT377+AV377+AX377+AZ377+BB377+BD377+BF377+BH377+BJ377+BL377+BN377+BP377+BR377+BT377+BV377+BX377+BZ377+CB377+CD377+CF377+CH377+CJ377+CL377+CN377+CP377+CR377+CT377</f>
        <v>0</v>
      </c>
      <c r="CV377" s="76"/>
      <c r="CW377" s="76">
        <f>+CV377*1100</f>
        <v>0</v>
      </c>
      <c r="CX377" s="76"/>
      <c r="CY377" s="76">
        <f>+CX377*106250</f>
        <v>0</v>
      </c>
      <c r="CZ377" s="76"/>
      <c r="DA377" s="76">
        <f>+CZ377*34500</f>
        <v>0</v>
      </c>
      <c r="DB377" s="76"/>
      <c r="DC377" s="76">
        <f>+DB377*25000</f>
        <v>0</v>
      </c>
      <c r="DD377" s="219"/>
      <c r="DE377" s="219"/>
      <c r="DF377" s="166"/>
      <c r="DG377" s="116"/>
      <c r="DH377" s="117"/>
      <c r="DI377" s="24"/>
      <c r="DJ377" s="24"/>
      <c r="DK377" s="24"/>
      <c r="DL377" s="24"/>
      <c r="DM377" s="24"/>
      <c r="DN377" s="24"/>
      <c r="DO377" s="24"/>
      <c r="DP377" s="24"/>
      <c r="DQ377" s="24"/>
      <c r="DR377" s="24"/>
      <c r="DS377" s="24"/>
      <c r="DT377" s="24"/>
      <c r="DU377" s="24"/>
    </row>
    <row r="378" spans="1:125" s="8" customFormat="1" ht="96" x14ac:dyDescent="0.2">
      <c r="A378" s="77">
        <v>41300</v>
      </c>
      <c r="B378" s="225" t="s">
        <v>2291</v>
      </c>
      <c r="C378" s="227" t="s">
        <v>2292</v>
      </c>
      <c r="D378" s="227" t="s">
        <v>2859</v>
      </c>
      <c r="E378" s="75" t="str">
        <f>VLOOKUP(B378&amp;C378,Divipola!$C$2:$F$1138,4,FALSE)</f>
        <v>94001</v>
      </c>
      <c r="F378" s="100"/>
      <c r="G378" s="100">
        <v>5</v>
      </c>
      <c r="H378" s="100"/>
      <c r="I378" s="100">
        <v>5</v>
      </c>
      <c r="J378" s="100">
        <v>1</v>
      </c>
      <c r="K378" s="100">
        <v>1</v>
      </c>
      <c r="L378" s="100"/>
      <c r="M378" s="100"/>
      <c r="N378" s="100"/>
      <c r="O378" s="100"/>
      <c r="P378" s="100"/>
      <c r="Q378" s="100"/>
      <c r="R378" s="100"/>
      <c r="S378" s="100"/>
      <c r="T378" s="100"/>
      <c r="U378" s="130"/>
      <c r="V378" s="89"/>
      <c r="W378" s="96">
        <v>0</v>
      </c>
      <c r="X378" s="71">
        <f>CU378</f>
        <v>0</v>
      </c>
      <c r="Y378" s="71">
        <f>CY378</f>
        <v>0</v>
      </c>
      <c r="Z378" s="71">
        <f>DA378+DC378+DE378</f>
        <v>0</v>
      </c>
      <c r="AA378" s="71">
        <f>CW378</f>
        <v>0</v>
      </c>
      <c r="AB378" s="71"/>
      <c r="AC378" s="71">
        <v>0</v>
      </c>
      <c r="AD378" s="71">
        <f>W378+X378+Y378+Z378+AA378+AB378+AC378</f>
        <v>0</v>
      </c>
      <c r="AE378" s="72">
        <v>0</v>
      </c>
      <c r="AF378" s="5"/>
      <c r="AG378" s="6"/>
      <c r="AH378" s="27" t="s">
        <v>3392</v>
      </c>
      <c r="AI378" s="44" t="s">
        <v>3393</v>
      </c>
      <c r="AJ378" s="26"/>
      <c r="AK378" s="5"/>
      <c r="AL378" s="82" t="s">
        <v>3219</v>
      </c>
      <c r="AM378" s="76"/>
      <c r="AN378" s="76"/>
      <c r="AO378" s="76"/>
      <c r="AP378" s="76"/>
      <c r="AQ378" s="76"/>
      <c r="AR378" s="76"/>
      <c r="AS378" s="76"/>
      <c r="AT378" s="76"/>
      <c r="AU378" s="76"/>
      <c r="AV378" s="76"/>
      <c r="AW378" s="76"/>
      <c r="AX378" s="76">
        <f>+AW378*600000</f>
        <v>0</v>
      </c>
      <c r="AY378" s="76"/>
      <c r="AZ378" s="76">
        <f>+AY378*70000</f>
        <v>0</v>
      </c>
      <c r="BA378" s="76"/>
      <c r="BB378" s="76"/>
      <c r="BC378" s="76"/>
      <c r="BD378" s="76">
        <f>+BC378*30000</f>
        <v>0</v>
      </c>
      <c r="BE378" s="76"/>
      <c r="BF378" s="76"/>
      <c r="BG378" s="76"/>
      <c r="BH378" s="76"/>
      <c r="BI378" s="76"/>
      <c r="BJ378" s="76"/>
      <c r="BK378" s="76"/>
      <c r="BL378" s="76">
        <f>+BK378*31500</f>
        <v>0</v>
      </c>
      <c r="BM378" s="76"/>
      <c r="BN378" s="76"/>
      <c r="BO378" s="76"/>
      <c r="BP378" s="76"/>
      <c r="BQ378" s="76"/>
      <c r="BR378" s="76"/>
      <c r="BS378" s="76"/>
      <c r="BT378" s="76"/>
      <c r="BU378" s="76"/>
      <c r="BV378" s="76"/>
      <c r="BW378" s="76"/>
      <c r="BX378" s="76"/>
      <c r="BY378" s="76"/>
      <c r="BZ378" s="76"/>
      <c r="CA378" s="76"/>
      <c r="CB378" s="76"/>
      <c r="CC378" s="76"/>
      <c r="CD378" s="76"/>
      <c r="CE378" s="76"/>
      <c r="CF378" s="76">
        <f>+CE378*28000</f>
        <v>0</v>
      </c>
      <c r="CG378" s="76"/>
      <c r="CH378" s="76">
        <f>+CG378*22500</f>
        <v>0</v>
      </c>
      <c r="CI378" s="76"/>
      <c r="CJ378" s="76">
        <f>+CI378*26000</f>
        <v>0</v>
      </c>
      <c r="CK378" s="76"/>
      <c r="CL378" s="76"/>
      <c r="CM378" s="76"/>
      <c r="CN378" s="76">
        <f>+CM378*22000</f>
        <v>0</v>
      </c>
      <c r="CO378" s="76"/>
      <c r="CP378" s="76">
        <f>+CO378*46000</f>
        <v>0</v>
      </c>
      <c r="CQ378" s="76"/>
      <c r="CR378" s="76">
        <f>+CQ378*49000</f>
        <v>0</v>
      </c>
      <c r="CS378" s="76"/>
      <c r="CT378" s="76"/>
      <c r="CU378" s="56">
        <f>AN378+AP378+AR378+AT378+AV378+AX378+AZ378+BB378+BD378+BF378+BH378+BJ378+BL378+BN378+BP378+BR378+BT378+BV378+BX378+BZ378+CB378+CD378+CF378+CH378+CJ378+CL378+CN378+CP378+CR378+CT378</f>
        <v>0</v>
      </c>
      <c r="CV378" s="76"/>
      <c r="CW378" s="76">
        <f>+CV378*1100</f>
        <v>0</v>
      </c>
      <c r="CX378" s="76"/>
      <c r="CY378" s="76">
        <f>+CX378*106250</f>
        <v>0</v>
      </c>
      <c r="CZ378" s="76"/>
      <c r="DA378" s="76">
        <f>+CZ378*34500</f>
        <v>0</v>
      </c>
      <c r="DB378" s="76"/>
      <c r="DC378" s="76">
        <f>+DB378*25000</f>
        <v>0</v>
      </c>
      <c r="DD378" s="219"/>
      <c r="DE378" s="219"/>
      <c r="DF378" s="164"/>
      <c r="DG378" s="116"/>
      <c r="DH378" s="117"/>
      <c r="DI378" s="24"/>
      <c r="DJ378" s="24"/>
      <c r="DK378" s="24"/>
      <c r="DL378" s="24"/>
      <c r="DM378" s="24"/>
      <c r="DN378" s="24"/>
      <c r="DO378" s="24"/>
      <c r="DP378" s="24"/>
      <c r="DQ378" s="24"/>
      <c r="DR378" s="24"/>
      <c r="DS378" s="24"/>
      <c r="DT378" s="24"/>
      <c r="DU378" s="24"/>
    </row>
    <row r="379" spans="1:125" s="8" customFormat="1" ht="48" x14ac:dyDescent="0.2">
      <c r="A379" s="77">
        <v>41300</v>
      </c>
      <c r="B379" s="225" t="s">
        <v>2661</v>
      </c>
      <c r="C379" s="227" t="s">
        <v>475</v>
      </c>
      <c r="D379" s="81" t="s">
        <v>2846</v>
      </c>
      <c r="E379" s="75" t="str">
        <f>VLOOKUP(B379&amp;C379,Divipola!$C$2:$F$1138,4,FALSE)</f>
        <v>41006</v>
      </c>
      <c r="F379" s="87"/>
      <c r="G379" s="87"/>
      <c r="H379" s="87"/>
      <c r="I379" s="87"/>
      <c r="J379" s="87"/>
      <c r="K379" s="87"/>
      <c r="L379" s="87"/>
      <c r="M379" s="87"/>
      <c r="N379" s="87"/>
      <c r="O379" s="87"/>
      <c r="P379" s="87"/>
      <c r="Q379" s="87"/>
      <c r="R379" s="87"/>
      <c r="S379" s="87"/>
      <c r="T379" s="87"/>
      <c r="U379" s="127">
        <v>2.5</v>
      </c>
      <c r="V379" s="89"/>
      <c r="W379" s="96">
        <v>0</v>
      </c>
      <c r="X379" s="71">
        <f>CU379</f>
        <v>0</v>
      </c>
      <c r="Y379" s="71">
        <f>CY379</f>
        <v>0</v>
      </c>
      <c r="Z379" s="71">
        <f>DA379+DC379+DE379</f>
        <v>0</v>
      </c>
      <c r="AA379" s="71">
        <f>CW379</f>
        <v>0</v>
      </c>
      <c r="AB379" s="71"/>
      <c r="AC379" s="71">
        <v>0</v>
      </c>
      <c r="AD379" s="71">
        <f>W379+X379+Y379+Z379+AA379+AB379+AC379</f>
        <v>0</v>
      </c>
      <c r="AE379" s="72">
        <v>0</v>
      </c>
      <c r="AF379" s="5"/>
      <c r="AG379" s="6"/>
      <c r="AH379" s="27" t="s">
        <v>3392</v>
      </c>
      <c r="AI379" s="44" t="s">
        <v>3393</v>
      </c>
      <c r="AJ379" s="26"/>
      <c r="AK379" s="5"/>
      <c r="AL379" s="82" t="s">
        <v>3213</v>
      </c>
      <c r="AM379" s="76"/>
      <c r="AN379" s="76"/>
      <c r="AO379" s="76"/>
      <c r="AP379" s="76"/>
      <c r="AQ379" s="76"/>
      <c r="AR379" s="76"/>
      <c r="AS379" s="76"/>
      <c r="AT379" s="76"/>
      <c r="AU379" s="76"/>
      <c r="AV379" s="76"/>
      <c r="AW379" s="76"/>
      <c r="AX379" s="76">
        <f>+AW379*600000</f>
        <v>0</v>
      </c>
      <c r="AY379" s="76"/>
      <c r="AZ379" s="76">
        <f>+AY379*70000</f>
        <v>0</v>
      </c>
      <c r="BA379" s="76"/>
      <c r="BB379" s="76"/>
      <c r="BC379" s="76"/>
      <c r="BD379" s="76">
        <f>+BC379*30000</f>
        <v>0</v>
      </c>
      <c r="BE379" s="76"/>
      <c r="BF379" s="76"/>
      <c r="BG379" s="76"/>
      <c r="BH379" s="76"/>
      <c r="BI379" s="76"/>
      <c r="BJ379" s="76"/>
      <c r="BK379" s="76"/>
      <c r="BL379" s="76">
        <f>+BK379*31500</f>
        <v>0</v>
      </c>
      <c r="BM379" s="76"/>
      <c r="BN379" s="76"/>
      <c r="BO379" s="76"/>
      <c r="BP379" s="76"/>
      <c r="BQ379" s="76"/>
      <c r="BR379" s="76"/>
      <c r="BS379" s="76"/>
      <c r="BT379" s="76"/>
      <c r="BU379" s="76"/>
      <c r="BV379" s="76"/>
      <c r="BW379" s="76"/>
      <c r="BX379" s="76"/>
      <c r="BY379" s="76"/>
      <c r="BZ379" s="76"/>
      <c r="CA379" s="76"/>
      <c r="CB379" s="76"/>
      <c r="CC379" s="76"/>
      <c r="CD379" s="76"/>
      <c r="CE379" s="76"/>
      <c r="CF379" s="76">
        <f>+CE379*28000</f>
        <v>0</v>
      </c>
      <c r="CG379" s="76"/>
      <c r="CH379" s="76">
        <f>+CG379*22500</f>
        <v>0</v>
      </c>
      <c r="CI379" s="76"/>
      <c r="CJ379" s="76">
        <f>+CI379*26000</f>
        <v>0</v>
      </c>
      <c r="CK379" s="76"/>
      <c r="CL379" s="76"/>
      <c r="CM379" s="76"/>
      <c r="CN379" s="76">
        <f>+CM379*22000</f>
        <v>0</v>
      </c>
      <c r="CO379" s="76"/>
      <c r="CP379" s="76">
        <f>+CO379*46000</f>
        <v>0</v>
      </c>
      <c r="CQ379" s="76"/>
      <c r="CR379" s="76">
        <f>+CQ379*49000</f>
        <v>0</v>
      </c>
      <c r="CS379" s="76"/>
      <c r="CT379" s="76"/>
      <c r="CU379" s="56">
        <f>AN379+AP379+AR379+AT379+AV379+AX379+AZ379+BB379+BD379+BF379+BH379+BJ379+BL379+BN379+BP379+BR379+BT379+BV379+BX379+BZ379+CB379+CD379+CF379+CH379+CJ379+CL379+CN379+CP379+CR379+CT379</f>
        <v>0</v>
      </c>
      <c r="CV379" s="76"/>
      <c r="CW379" s="76">
        <f>+CV379*1100</f>
        <v>0</v>
      </c>
      <c r="CX379" s="76"/>
      <c r="CY379" s="76">
        <f>+CX379*106250</f>
        <v>0</v>
      </c>
      <c r="CZ379" s="76"/>
      <c r="DA379" s="76">
        <f>+CZ379*34500</f>
        <v>0</v>
      </c>
      <c r="DB379" s="76"/>
      <c r="DC379" s="76">
        <f>+DB379*25000</f>
        <v>0</v>
      </c>
      <c r="DD379" s="219"/>
      <c r="DE379" s="219"/>
      <c r="DF379" s="164"/>
      <c r="DG379" s="116"/>
      <c r="DH379" s="117"/>
      <c r="DI379" s="24"/>
      <c r="DJ379" s="24"/>
      <c r="DK379" s="24"/>
      <c r="DL379" s="24"/>
      <c r="DM379" s="24"/>
      <c r="DN379" s="24"/>
      <c r="DO379" s="24"/>
      <c r="DP379" s="24"/>
      <c r="DQ379" s="24"/>
      <c r="DR379" s="24"/>
      <c r="DS379" s="24"/>
      <c r="DT379" s="24"/>
      <c r="DU379" s="24"/>
    </row>
    <row r="380" spans="1:125" s="8" customFormat="1" ht="36" x14ac:dyDescent="0.2">
      <c r="A380" s="77">
        <v>41300</v>
      </c>
      <c r="B380" s="225" t="s">
        <v>2661</v>
      </c>
      <c r="C380" s="227" t="s">
        <v>2169</v>
      </c>
      <c r="D380" s="227" t="s">
        <v>2859</v>
      </c>
      <c r="E380" s="75" t="str">
        <f>VLOOKUP(B380&amp;C380,Divipola!$C$2:$F$1138,4,FALSE)</f>
        <v>41001</v>
      </c>
      <c r="F380" s="87"/>
      <c r="G380" s="87"/>
      <c r="H380" s="87"/>
      <c r="I380" s="87"/>
      <c r="J380" s="87"/>
      <c r="K380" s="87"/>
      <c r="L380" s="87">
        <v>1</v>
      </c>
      <c r="M380" s="87"/>
      <c r="N380" s="87"/>
      <c r="O380" s="87"/>
      <c r="P380" s="87"/>
      <c r="Q380" s="87"/>
      <c r="R380" s="87"/>
      <c r="S380" s="87"/>
      <c r="T380" s="87"/>
      <c r="U380" s="127"/>
      <c r="V380" s="89"/>
      <c r="W380" s="96">
        <v>0</v>
      </c>
      <c r="X380" s="71">
        <f>CU380</f>
        <v>0</v>
      </c>
      <c r="Y380" s="71">
        <f>CY380</f>
        <v>0</v>
      </c>
      <c r="Z380" s="71">
        <f>DA380+DC380+DE380</f>
        <v>0</v>
      </c>
      <c r="AA380" s="71">
        <f>CW380</f>
        <v>0</v>
      </c>
      <c r="AB380" s="71"/>
      <c r="AC380" s="71">
        <v>0</v>
      </c>
      <c r="AD380" s="71">
        <f>W380+X380+Y380+Z380+AA380+AB380+AC380</f>
        <v>0</v>
      </c>
      <c r="AE380" s="72">
        <v>0</v>
      </c>
      <c r="AF380" s="5"/>
      <c r="AG380" s="6"/>
      <c r="AH380" s="27" t="s">
        <v>3392</v>
      </c>
      <c r="AI380" s="44" t="s">
        <v>3393</v>
      </c>
      <c r="AJ380" s="26"/>
      <c r="AK380" s="5"/>
      <c r="AL380" s="82" t="s">
        <v>3214</v>
      </c>
      <c r="AM380" s="76"/>
      <c r="AN380" s="76"/>
      <c r="AO380" s="76"/>
      <c r="AP380" s="76"/>
      <c r="AQ380" s="76"/>
      <c r="AR380" s="76"/>
      <c r="AS380" s="76"/>
      <c r="AT380" s="76"/>
      <c r="AU380" s="76"/>
      <c r="AV380" s="76"/>
      <c r="AW380" s="76"/>
      <c r="AX380" s="76">
        <f>+AW380*600000</f>
        <v>0</v>
      </c>
      <c r="AY380" s="76"/>
      <c r="AZ380" s="76">
        <f>+AY380*70000</f>
        <v>0</v>
      </c>
      <c r="BA380" s="76"/>
      <c r="BB380" s="76"/>
      <c r="BC380" s="76"/>
      <c r="BD380" s="76">
        <f>+BC380*30000</f>
        <v>0</v>
      </c>
      <c r="BE380" s="76"/>
      <c r="BF380" s="76"/>
      <c r="BG380" s="76"/>
      <c r="BH380" s="76"/>
      <c r="BI380" s="76"/>
      <c r="BJ380" s="76"/>
      <c r="BK380" s="76"/>
      <c r="BL380" s="76">
        <f>+BK380*31500</f>
        <v>0</v>
      </c>
      <c r="BM380" s="76"/>
      <c r="BN380" s="76"/>
      <c r="BO380" s="76"/>
      <c r="BP380" s="76"/>
      <c r="BQ380" s="76"/>
      <c r="BR380" s="76"/>
      <c r="BS380" s="76"/>
      <c r="BT380" s="76"/>
      <c r="BU380" s="76"/>
      <c r="BV380" s="76"/>
      <c r="BW380" s="76"/>
      <c r="BX380" s="76"/>
      <c r="BY380" s="76"/>
      <c r="BZ380" s="76"/>
      <c r="CA380" s="76"/>
      <c r="CB380" s="76"/>
      <c r="CC380" s="76"/>
      <c r="CD380" s="76"/>
      <c r="CE380" s="76"/>
      <c r="CF380" s="76">
        <f>+CE380*28000</f>
        <v>0</v>
      </c>
      <c r="CG380" s="76"/>
      <c r="CH380" s="76">
        <f>+CG380*22500</f>
        <v>0</v>
      </c>
      <c r="CI380" s="76"/>
      <c r="CJ380" s="76">
        <f>+CI380*26000</f>
        <v>0</v>
      </c>
      <c r="CK380" s="76"/>
      <c r="CL380" s="76"/>
      <c r="CM380" s="76"/>
      <c r="CN380" s="76">
        <f>+CM380*22000</f>
        <v>0</v>
      </c>
      <c r="CO380" s="76"/>
      <c r="CP380" s="76">
        <f>+CO380*46000</f>
        <v>0</v>
      </c>
      <c r="CQ380" s="76"/>
      <c r="CR380" s="76">
        <f>+CQ380*49000</f>
        <v>0</v>
      </c>
      <c r="CS380" s="76"/>
      <c r="CT380" s="76"/>
      <c r="CU380" s="56">
        <f>AN380+AP380+AR380+AT380+AV380+AX380+AZ380+BB380+BD380+BF380+BH380+BJ380+BL380+BN380+BP380+BR380+BT380+BV380+BX380+BZ380+CB380+CD380+CF380+CH380+CJ380+CL380+CN380+CP380+CR380+CT380</f>
        <v>0</v>
      </c>
      <c r="CV380" s="76"/>
      <c r="CW380" s="76">
        <f>+CV380*1100</f>
        <v>0</v>
      </c>
      <c r="CX380" s="76"/>
      <c r="CY380" s="76">
        <f>+CX380*106250</f>
        <v>0</v>
      </c>
      <c r="CZ380" s="76"/>
      <c r="DA380" s="76">
        <f>+CZ380*34500</f>
        <v>0</v>
      </c>
      <c r="DB380" s="76"/>
      <c r="DC380" s="76">
        <f>+DB380*25000</f>
        <v>0</v>
      </c>
      <c r="DD380" s="219"/>
      <c r="DE380" s="219"/>
      <c r="DF380" s="164"/>
      <c r="DG380" s="116"/>
      <c r="DH380" s="117"/>
      <c r="DI380" s="24"/>
      <c r="DJ380" s="24"/>
      <c r="DK380" s="24"/>
      <c r="DL380" s="24"/>
      <c r="DM380" s="24"/>
      <c r="DN380" s="24"/>
      <c r="DO380" s="24"/>
      <c r="DP380" s="24"/>
      <c r="DQ380" s="24"/>
      <c r="DR380" s="24"/>
      <c r="DS380" s="24"/>
      <c r="DT380" s="24"/>
      <c r="DU380" s="24"/>
    </row>
    <row r="381" spans="1:125" s="8" customFormat="1" ht="48" x14ac:dyDescent="0.2">
      <c r="A381" s="77">
        <v>41300</v>
      </c>
      <c r="B381" s="78" t="s">
        <v>2906</v>
      </c>
      <c r="C381" s="83" t="s">
        <v>418</v>
      </c>
      <c r="D381" s="81" t="s">
        <v>2846</v>
      </c>
      <c r="E381" s="75" t="str">
        <f>VLOOKUP(B381&amp;C381,Divipola!$C$2:$F$1138,4,FALSE)</f>
        <v>47053</v>
      </c>
      <c r="F381" s="93"/>
      <c r="G381" s="93"/>
      <c r="H381" s="93"/>
      <c r="I381" s="93"/>
      <c r="J381" s="93"/>
      <c r="K381" s="93"/>
      <c r="L381" s="93"/>
      <c r="M381" s="93"/>
      <c r="N381" s="93"/>
      <c r="O381" s="93"/>
      <c r="P381" s="93"/>
      <c r="Q381" s="93"/>
      <c r="R381" s="93"/>
      <c r="S381" s="93"/>
      <c r="T381" s="93"/>
      <c r="U381" s="125">
        <v>1</v>
      </c>
      <c r="V381" s="89"/>
      <c r="W381" s="96">
        <v>0</v>
      </c>
      <c r="X381" s="71">
        <f>CU381</f>
        <v>0</v>
      </c>
      <c r="Y381" s="71">
        <f>CY381</f>
        <v>0</v>
      </c>
      <c r="Z381" s="71">
        <f>DA381+DC381+DE381</f>
        <v>0</v>
      </c>
      <c r="AA381" s="71">
        <f>CW381</f>
        <v>0</v>
      </c>
      <c r="AB381" s="71"/>
      <c r="AC381" s="71">
        <v>0</v>
      </c>
      <c r="AD381" s="71">
        <f>W381+X381+Y381+Z381+AA381+AB381+AC381</f>
        <v>0</v>
      </c>
      <c r="AE381" s="72">
        <v>0</v>
      </c>
      <c r="AF381" s="5"/>
      <c r="AG381" s="6"/>
      <c r="AH381" s="27" t="s">
        <v>3392</v>
      </c>
      <c r="AI381" s="44" t="s">
        <v>3393</v>
      </c>
      <c r="AJ381" s="26"/>
      <c r="AK381" s="5"/>
      <c r="AL381" s="82" t="s">
        <v>3216</v>
      </c>
      <c r="AM381" s="76"/>
      <c r="AN381" s="76"/>
      <c r="AO381" s="76"/>
      <c r="AP381" s="76"/>
      <c r="AQ381" s="76"/>
      <c r="AR381" s="76"/>
      <c r="AS381" s="76"/>
      <c r="AT381" s="76"/>
      <c r="AU381" s="76"/>
      <c r="AV381" s="76"/>
      <c r="AW381" s="76"/>
      <c r="AX381" s="76">
        <f>+AW381*600000</f>
        <v>0</v>
      </c>
      <c r="AY381" s="76"/>
      <c r="AZ381" s="76">
        <f>+AY381*70000</f>
        <v>0</v>
      </c>
      <c r="BA381" s="76"/>
      <c r="BB381" s="76"/>
      <c r="BC381" s="76"/>
      <c r="BD381" s="76">
        <f>+BC381*30000</f>
        <v>0</v>
      </c>
      <c r="BE381" s="76"/>
      <c r="BF381" s="76"/>
      <c r="BG381" s="76"/>
      <c r="BH381" s="76"/>
      <c r="BI381" s="76"/>
      <c r="BJ381" s="76"/>
      <c r="BK381" s="76"/>
      <c r="BL381" s="76">
        <f>+BK381*31500</f>
        <v>0</v>
      </c>
      <c r="BM381" s="76"/>
      <c r="BN381" s="76"/>
      <c r="BO381" s="76"/>
      <c r="BP381" s="76"/>
      <c r="BQ381" s="76"/>
      <c r="BR381" s="76"/>
      <c r="BS381" s="76"/>
      <c r="BT381" s="76"/>
      <c r="BU381" s="76"/>
      <c r="BV381" s="76"/>
      <c r="BW381" s="76"/>
      <c r="BX381" s="76"/>
      <c r="BY381" s="76"/>
      <c r="BZ381" s="76"/>
      <c r="CA381" s="76"/>
      <c r="CB381" s="76"/>
      <c r="CC381" s="76"/>
      <c r="CD381" s="76"/>
      <c r="CE381" s="76"/>
      <c r="CF381" s="76">
        <f>+CE381*28000</f>
        <v>0</v>
      </c>
      <c r="CG381" s="76"/>
      <c r="CH381" s="76">
        <f>+CG381*22500</f>
        <v>0</v>
      </c>
      <c r="CI381" s="76"/>
      <c r="CJ381" s="76">
        <f>+CI381*26000</f>
        <v>0</v>
      </c>
      <c r="CK381" s="76"/>
      <c r="CL381" s="76"/>
      <c r="CM381" s="76"/>
      <c r="CN381" s="76">
        <f>+CM381*22000</f>
        <v>0</v>
      </c>
      <c r="CO381" s="76"/>
      <c r="CP381" s="76">
        <f>+CO381*46000</f>
        <v>0</v>
      </c>
      <c r="CQ381" s="76"/>
      <c r="CR381" s="76">
        <f>+CQ381*49000</f>
        <v>0</v>
      </c>
      <c r="CS381" s="76"/>
      <c r="CT381" s="76"/>
      <c r="CU381" s="56">
        <f>AN381+AP381+AR381+AT381+AV381+AX381+AZ381+BB381+BD381+BF381+BH381+BJ381+BL381+BN381+BP381+BR381+BT381+BV381+BX381+BZ381+CB381+CD381+CF381+CH381+CJ381+CL381+CN381+CP381+CR381+CT381</f>
        <v>0</v>
      </c>
      <c r="CV381" s="76"/>
      <c r="CW381" s="76">
        <f>+CV381*1100</f>
        <v>0</v>
      </c>
      <c r="CX381" s="76"/>
      <c r="CY381" s="76">
        <f>+CX381*106250</f>
        <v>0</v>
      </c>
      <c r="CZ381" s="76"/>
      <c r="DA381" s="76">
        <f>+CZ381*34500</f>
        <v>0</v>
      </c>
      <c r="DB381" s="76"/>
      <c r="DC381" s="76">
        <f>+DB381*25000</f>
        <v>0</v>
      </c>
      <c r="DD381" s="219"/>
      <c r="DE381" s="219"/>
      <c r="DF381" s="164"/>
      <c r="DG381" s="116"/>
      <c r="DH381" s="117"/>
      <c r="DI381" s="24"/>
      <c r="DJ381" s="24"/>
      <c r="DK381" s="24"/>
      <c r="DL381" s="24"/>
      <c r="DM381" s="24"/>
      <c r="DN381" s="24"/>
      <c r="DO381" s="24"/>
      <c r="DP381" s="24"/>
      <c r="DQ381" s="24"/>
      <c r="DR381" s="24"/>
      <c r="DS381" s="24"/>
      <c r="DT381" s="24"/>
      <c r="DU381" s="24"/>
    </row>
    <row r="382" spans="1:125" s="8" customFormat="1" ht="24" x14ac:dyDescent="0.2">
      <c r="A382" s="77">
        <v>41300</v>
      </c>
      <c r="B382" s="78" t="s">
        <v>2811</v>
      </c>
      <c r="C382" s="75" t="s">
        <v>2065</v>
      </c>
      <c r="D382" s="75" t="s">
        <v>2859</v>
      </c>
      <c r="E382" s="75" t="str">
        <f>VLOOKUP(B382&amp;C382,Divipola!$C$2:$F$1138,4,FALSE)</f>
        <v>52683</v>
      </c>
      <c r="F382" s="87"/>
      <c r="G382" s="87"/>
      <c r="H382" s="87"/>
      <c r="I382" s="87">
        <v>4</v>
      </c>
      <c r="J382" s="87">
        <v>1</v>
      </c>
      <c r="K382" s="87"/>
      <c r="L382" s="87">
        <v>1</v>
      </c>
      <c r="M382" s="87"/>
      <c r="N382" s="87"/>
      <c r="O382" s="87"/>
      <c r="P382" s="87"/>
      <c r="Q382" s="87"/>
      <c r="R382" s="87"/>
      <c r="S382" s="87"/>
      <c r="T382" s="87"/>
      <c r="U382" s="127"/>
      <c r="V382" s="89"/>
      <c r="W382" s="96">
        <v>0</v>
      </c>
      <c r="X382" s="71">
        <f>CU382</f>
        <v>0</v>
      </c>
      <c r="Y382" s="71">
        <f>CY382</f>
        <v>0</v>
      </c>
      <c r="Z382" s="71">
        <f>DA382+DC382+DE382</f>
        <v>0</v>
      </c>
      <c r="AA382" s="71">
        <f>CW382</f>
        <v>0</v>
      </c>
      <c r="AB382" s="71"/>
      <c r="AC382" s="71">
        <v>0</v>
      </c>
      <c r="AD382" s="71">
        <f>W382+X382+Y382+Z382+AA382+AB382+AC382</f>
        <v>0</v>
      </c>
      <c r="AE382" s="72">
        <v>0</v>
      </c>
      <c r="AF382" s="5"/>
      <c r="AG382" s="6"/>
      <c r="AH382" s="27" t="s">
        <v>3392</v>
      </c>
      <c r="AI382" s="44" t="s">
        <v>3393</v>
      </c>
      <c r="AJ382" s="26"/>
      <c r="AK382" s="5"/>
      <c r="AL382" s="82" t="s">
        <v>3218</v>
      </c>
      <c r="AM382" s="76"/>
      <c r="AN382" s="76"/>
      <c r="AO382" s="76"/>
      <c r="AP382" s="76"/>
      <c r="AQ382" s="76"/>
      <c r="AR382" s="76"/>
      <c r="AS382" s="76"/>
      <c r="AT382" s="76"/>
      <c r="AU382" s="76"/>
      <c r="AV382" s="76"/>
      <c r="AW382" s="76"/>
      <c r="AX382" s="76">
        <f>+AW382*600000</f>
        <v>0</v>
      </c>
      <c r="AY382" s="76"/>
      <c r="AZ382" s="76">
        <f>+AY382*70000</f>
        <v>0</v>
      </c>
      <c r="BA382" s="76"/>
      <c r="BB382" s="76"/>
      <c r="BC382" s="76"/>
      <c r="BD382" s="76">
        <f>+BC382*30000</f>
        <v>0</v>
      </c>
      <c r="BE382" s="76"/>
      <c r="BF382" s="76"/>
      <c r="BG382" s="76"/>
      <c r="BH382" s="76"/>
      <c r="BI382" s="76"/>
      <c r="BJ382" s="76"/>
      <c r="BK382" s="76"/>
      <c r="BL382" s="76">
        <f>+BK382*31500</f>
        <v>0</v>
      </c>
      <c r="BM382" s="76"/>
      <c r="BN382" s="76"/>
      <c r="BO382" s="76"/>
      <c r="BP382" s="76"/>
      <c r="BQ382" s="76"/>
      <c r="BR382" s="76"/>
      <c r="BS382" s="76"/>
      <c r="BT382" s="76"/>
      <c r="BU382" s="76"/>
      <c r="BV382" s="76"/>
      <c r="BW382" s="76"/>
      <c r="BX382" s="76"/>
      <c r="BY382" s="76"/>
      <c r="BZ382" s="76"/>
      <c r="CA382" s="76"/>
      <c r="CB382" s="76"/>
      <c r="CC382" s="76"/>
      <c r="CD382" s="76"/>
      <c r="CE382" s="76"/>
      <c r="CF382" s="76">
        <f>+CE382*28000</f>
        <v>0</v>
      </c>
      <c r="CG382" s="76"/>
      <c r="CH382" s="76">
        <f>+CG382*22500</f>
        <v>0</v>
      </c>
      <c r="CI382" s="76"/>
      <c r="CJ382" s="76">
        <f>+CI382*26000</f>
        <v>0</v>
      </c>
      <c r="CK382" s="76"/>
      <c r="CL382" s="76"/>
      <c r="CM382" s="76"/>
      <c r="CN382" s="76">
        <f>+CM382*22000</f>
        <v>0</v>
      </c>
      <c r="CO382" s="76"/>
      <c r="CP382" s="76">
        <f>+CO382*46000</f>
        <v>0</v>
      </c>
      <c r="CQ382" s="76"/>
      <c r="CR382" s="76">
        <f>+CQ382*49000</f>
        <v>0</v>
      </c>
      <c r="CS382" s="76"/>
      <c r="CT382" s="76"/>
      <c r="CU382" s="56">
        <f>AN382+AP382+AR382+AT382+AV382+AX382+AZ382+BB382+BD382+BF382+BH382+BJ382+BL382+BN382+BP382+BR382+BT382+BV382+BX382+BZ382+CB382+CD382+CF382+CH382+CJ382+CL382+CN382+CP382+CR382+CT382</f>
        <v>0</v>
      </c>
      <c r="CV382" s="76"/>
      <c r="CW382" s="76">
        <f>+CV382*1100</f>
        <v>0</v>
      </c>
      <c r="CX382" s="76"/>
      <c r="CY382" s="76">
        <f>+CX382*106250</f>
        <v>0</v>
      </c>
      <c r="CZ382" s="76"/>
      <c r="DA382" s="76">
        <f>+CZ382*34500</f>
        <v>0</v>
      </c>
      <c r="DB382" s="76"/>
      <c r="DC382" s="76">
        <f>+DB382*25000</f>
        <v>0</v>
      </c>
      <c r="DD382" s="219"/>
      <c r="DE382" s="219"/>
      <c r="DF382" s="164"/>
      <c r="DG382" s="116"/>
      <c r="DH382" s="117"/>
      <c r="DI382" s="24"/>
      <c r="DJ382" s="24"/>
      <c r="DK382" s="24"/>
      <c r="DL382" s="24"/>
      <c r="DM382" s="24"/>
      <c r="DN382" s="24"/>
      <c r="DO382" s="24"/>
      <c r="DP382" s="24"/>
      <c r="DQ382" s="24"/>
      <c r="DR382" s="24"/>
      <c r="DS382" s="24"/>
      <c r="DT382" s="24"/>
      <c r="DU382" s="24"/>
    </row>
    <row r="383" spans="1:125" s="8" customFormat="1" ht="84" x14ac:dyDescent="0.2">
      <c r="A383" s="77">
        <v>41300</v>
      </c>
      <c r="B383" s="107" t="s">
        <v>2847</v>
      </c>
      <c r="C383" s="108" t="s">
        <v>2684</v>
      </c>
      <c r="D383" s="81" t="s">
        <v>2846</v>
      </c>
      <c r="E383" s="75" t="str">
        <f>VLOOKUP(B383&amp;C383,Divipola!$C$2:$F$1138,4,FALSE)</f>
        <v>68081</v>
      </c>
      <c r="F383" s="87"/>
      <c r="G383" s="87"/>
      <c r="H383" s="87"/>
      <c r="I383" s="87"/>
      <c r="J383" s="87"/>
      <c r="K383" s="87"/>
      <c r="L383" s="87"/>
      <c r="M383" s="87"/>
      <c r="N383" s="87"/>
      <c r="O383" s="87"/>
      <c r="P383" s="87"/>
      <c r="Q383" s="87"/>
      <c r="R383" s="87"/>
      <c r="S383" s="87"/>
      <c r="T383" s="87"/>
      <c r="U383" s="127"/>
      <c r="V383" s="89"/>
      <c r="W383" s="96">
        <v>0</v>
      </c>
      <c r="X383" s="71">
        <f>CU383</f>
        <v>0</v>
      </c>
      <c r="Y383" s="71">
        <f>CY383</f>
        <v>0</v>
      </c>
      <c r="Z383" s="71">
        <f>DA383+DC383+DE383</f>
        <v>0</v>
      </c>
      <c r="AA383" s="71">
        <f>CW383</f>
        <v>0</v>
      </c>
      <c r="AB383" s="71"/>
      <c r="AC383" s="71">
        <v>0</v>
      </c>
      <c r="AD383" s="71">
        <f>W383+X383+Y383+Z383+AA383+AB383+AC383</f>
        <v>0</v>
      </c>
      <c r="AE383" s="72">
        <v>0</v>
      </c>
      <c r="AF383" s="5"/>
      <c r="AG383" s="6"/>
      <c r="AH383" s="27" t="s">
        <v>3392</v>
      </c>
      <c r="AI383" s="44" t="s">
        <v>3393</v>
      </c>
      <c r="AJ383" s="26"/>
      <c r="AK383" s="5"/>
      <c r="AL383" s="82" t="s">
        <v>3227</v>
      </c>
      <c r="AM383" s="76"/>
      <c r="AN383" s="76"/>
      <c r="AO383" s="76"/>
      <c r="AP383" s="76"/>
      <c r="AQ383" s="76"/>
      <c r="AR383" s="76"/>
      <c r="AS383" s="76"/>
      <c r="AT383" s="76"/>
      <c r="AU383" s="76"/>
      <c r="AV383" s="76"/>
      <c r="AW383" s="76"/>
      <c r="AX383" s="76">
        <f>+AW383*600000</f>
        <v>0</v>
      </c>
      <c r="AY383" s="76"/>
      <c r="AZ383" s="76">
        <f>+AY383*70000</f>
        <v>0</v>
      </c>
      <c r="BA383" s="76"/>
      <c r="BB383" s="76"/>
      <c r="BC383" s="76"/>
      <c r="BD383" s="76">
        <f>+BC383*30000</f>
        <v>0</v>
      </c>
      <c r="BE383" s="76"/>
      <c r="BF383" s="76"/>
      <c r="BG383" s="76"/>
      <c r="BH383" s="76"/>
      <c r="BI383" s="76"/>
      <c r="BJ383" s="76"/>
      <c r="BK383" s="76"/>
      <c r="BL383" s="76">
        <f>+BK383*31500</f>
        <v>0</v>
      </c>
      <c r="BM383" s="76"/>
      <c r="BN383" s="76"/>
      <c r="BO383" s="76"/>
      <c r="BP383" s="76"/>
      <c r="BQ383" s="76"/>
      <c r="BR383" s="76"/>
      <c r="BS383" s="76"/>
      <c r="BT383" s="76"/>
      <c r="BU383" s="76"/>
      <c r="BV383" s="76"/>
      <c r="BW383" s="76"/>
      <c r="BX383" s="76"/>
      <c r="BY383" s="76"/>
      <c r="BZ383" s="76"/>
      <c r="CA383" s="76"/>
      <c r="CB383" s="76"/>
      <c r="CC383" s="76"/>
      <c r="CD383" s="76"/>
      <c r="CE383" s="76"/>
      <c r="CF383" s="76">
        <f>+CE383*28000</f>
        <v>0</v>
      </c>
      <c r="CG383" s="76"/>
      <c r="CH383" s="76">
        <f>+CG383*22500</f>
        <v>0</v>
      </c>
      <c r="CI383" s="76"/>
      <c r="CJ383" s="76">
        <f>+CI383*26000</f>
        <v>0</v>
      </c>
      <c r="CK383" s="76"/>
      <c r="CL383" s="76"/>
      <c r="CM383" s="76"/>
      <c r="CN383" s="76">
        <f>+CM383*22000</f>
        <v>0</v>
      </c>
      <c r="CO383" s="76"/>
      <c r="CP383" s="76">
        <f>+CO383*46000</f>
        <v>0</v>
      </c>
      <c r="CQ383" s="76"/>
      <c r="CR383" s="76">
        <f>+CQ383*49000</f>
        <v>0</v>
      </c>
      <c r="CS383" s="76"/>
      <c r="CT383" s="76"/>
      <c r="CU383" s="56">
        <f>AN383+AP383+AR383+AT383+AV383+AX383+AZ383+BB383+BD383+BF383+BH383+BJ383+BL383+BN383+BP383+BR383+BT383+BV383+BX383+BZ383+CB383+CD383+CF383+CH383+CJ383+CL383+CN383+CP383+CR383+CT383</f>
        <v>0</v>
      </c>
      <c r="CV383" s="76"/>
      <c r="CW383" s="76">
        <f>+CV383*1100</f>
        <v>0</v>
      </c>
      <c r="CX383" s="76"/>
      <c r="CY383" s="76">
        <f>+CX383*106250</f>
        <v>0</v>
      </c>
      <c r="CZ383" s="76"/>
      <c r="DA383" s="76">
        <f>+CZ383*34500</f>
        <v>0</v>
      </c>
      <c r="DB383" s="76"/>
      <c r="DC383" s="76">
        <f>+DB383*25000</f>
        <v>0</v>
      </c>
      <c r="DD383" s="219"/>
      <c r="DE383" s="219"/>
      <c r="DF383" s="164"/>
      <c r="DG383" s="116"/>
      <c r="DH383" s="117"/>
      <c r="DI383" s="24"/>
      <c r="DJ383" s="24"/>
      <c r="DK383" s="24"/>
      <c r="DL383" s="24"/>
      <c r="DM383" s="24"/>
      <c r="DN383" s="24"/>
      <c r="DO383" s="24"/>
      <c r="DP383" s="24"/>
      <c r="DQ383" s="24"/>
      <c r="DR383" s="24"/>
      <c r="DS383" s="24"/>
      <c r="DT383" s="24"/>
      <c r="DU383" s="24"/>
    </row>
    <row r="384" spans="1:125" s="8" customFormat="1" ht="84" x14ac:dyDescent="0.2">
      <c r="A384" s="77">
        <v>41300</v>
      </c>
      <c r="B384" s="352" t="s">
        <v>2847</v>
      </c>
      <c r="C384" s="354" t="s">
        <v>2777</v>
      </c>
      <c r="D384" s="81" t="s">
        <v>2846</v>
      </c>
      <c r="E384" s="75" t="str">
        <f>VLOOKUP(B384&amp;C384,Divipola!$C$2:$F$1138,4,FALSE)</f>
        <v>68101</v>
      </c>
      <c r="F384" s="87"/>
      <c r="G384" s="87"/>
      <c r="H384" s="87"/>
      <c r="I384" s="87"/>
      <c r="J384" s="87"/>
      <c r="K384" s="87"/>
      <c r="L384" s="87"/>
      <c r="M384" s="87"/>
      <c r="N384" s="87"/>
      <c r="O384" s="87"/>
      <c r="P384" s="87"/>
      <c r="Q384" s="87"/>
      <c r="R384" s="87"/>
      <c r="S384" s="87"/>
      <c r="T384" s="87"/>
      <c r="U384" s="127"/>
      <c r="V384" s="89"/>
      <c r="W384" s="96">
        <v>0</v>
      </c>
      <c r="X384" s="71">
        <f>CU384</f>
        <v>0</v>
      </c>
      <c r="Y384" s="71">
        <f>CY384</f>
        <v>0</v>
      </c>
      <c r="Z384" s="71">
        <f>DA384+DC384+DE384</f>
        <v>0</v>
      </c>
      <c r="AA384" s="71">
        <f>CW384</f>
        <v>0</v>
      </c>
      <c r="AB384" s="71"/>
      <c r="AC384" s="71">
        <v>0</v>
      </c>
      <c r="AD384" s="71">
        <f>W384+X384+Y384+Z384+AA384+AB384+AC384</f>
        <v>0</v>
      </c>
      <c r="AE384" s="72">
        <v>0</v>
      </c>
      <c r="AF384" s="5"/>
      <c r="AG384" s="6"/>
      <c r="AH384" s="27" t="s">
        <v>3392</v>
      </c>
      <c r="AI384" s="44" t="s">
        <v>3393</v>
      </c>
      <c r="AJ384" s="26"/>
      <c r="AK384" s="5"/>
      <c r="AL384" s="82" t="s">
        <v>3228</v>
      </c>
      <c r="AM384" s="76"/>
      <c r="AN384" s="76"/>
      <c r="AO384" s="76"/>
      <c r="AP384" s="76"/>
      <c r="AQ384" s="76"/>
      <c r="AR384" s="76"/>
      <c r="AS384" s="76"/>
      <c r="AT384" s="76"/>
      <c r="AU384" s="76"/>
      <c r="AV384" s="76"/>
      <c r="AW384" s="76"/>
      <c r="AX384" s="76">
        <f>+AW384*600000</f>
        <v>0</v>
      </c>
      <c r="AY384" s="76"/>
      <c r="AZ384" s="76">
        <f>+AY384*70000</f>
        <v>0</v>
      </c>
      <c r="BA384" s="76"/>
      <c r="BB384" s="76"/>
      <c r="BC384" s="76"/>
      <c r="BD384" s="76">
        <f>+BC384*30000</f>
        <v>0</v>
      </c>
      <c r="BE384" s="76"/>
      <c r="BF384" s="76"/>
      <c r="BG384" s="76"/>
      <c r="BH384" s="76"/>
      <c r="BI384" s="76"/>
      <c r="BJ384" s="76"/>
      <c r="BK384" s="76"/>
      <c r="BL384" s="76">
        <f>+BK384*31500</f>
        <v>0</v>
      </c>
      <c r="BM384" s="76"/>
      <c r="BN384" s="76"/>
      <c r="BO384" s="76"/>
      <c r="BP384" s="76"/>
      <c r="BQ384" s="76"/>
      <c r="BR384" s="76"/>
      <c r="BS384" s="76"/>
      <c r="BT384" s="76"/>
      <c r="BU384" s="76"/>
      <c r="BV384" s="76"/>
      <c r="BW384" s="76"/>
      <c r="BX384" s="76"/>
      <c r="BY384" s="76"/>
      <c r="BZ384" s="76"/>
      <c r="CA384" s="76"/>
      <c r="CB384" s="76"/>
      <c r="CC384" s="76"/>
      <c r="CD384" s="76"/>
      <c r="CE384" s="76"/>
      <c r="CF384" s="76">
        <f>+CE384*28000</f>
        <v>0</v>
      </c>
      <c r="CG384" s="76"/>
      <c r="CH384" s="76">
        <f>+CG384*22500</f>
        <v>0</v>
      </c>
      <c r="CI384" s="76"/>
      <c r="CJ384" s="76">
        <f>+CI384*26000</f>
        <v>0</v>
      </c>
      <c r="CK384" s="76"/>
      <c r="CL384" s="76"/>
      <c r="CM384" s="76"/>
      <c r="CN384" s="76">
        <f>+CM384*22000</f>
        <v>0</v>
      </c>
      <c r="CO384" s="76"/>
      <c r="CP384" s="76">
        <f>+CO384*46000</f>
        <v>0</v>
      </c>
      <c r="CQ384" s="76"/>
      <c r="CR384" s="76">
        <f>+CQ384*49000</f>
        <v>0</v>
      </c>
      <c r="CS384" s="76"/>
      <c r="CT384" s="76"/>
      <c r="CU384" s="56">
        <f>AN384+AP384+AR384+AT384+AV384+AX384+AZ384+BB384+BD384+BF384+BH384+BJ384+BL384+BN384+BP384+BR384+BT384+BV384+BX384+BZ384+CB384+CD384+CF384+CH384+CJ384+CL384+CN384+CP384+CR384+CT384</f>
        <v>0</v>
      </c>
      <c r="CV384" s="76"/>
      <c r="CW384" s="76">
        <f>+CV384*1100</f>
        <v>0</v>
      </c>
      <c r="CX384" s="76"/>
      <c r="CY384" s="76">
        <f>+CX384*106250</f>
        <v>0</v>
      </c>
      <c r="CZ384" s="76"/>
      <c r="DA384" s="76">
        <f>+CZ384*34500</f>
        <v>0</v>
      </c>
      <c r="DB384" s="76"/>
      <c r="DC384" s="76">
        <f>+DB384*25000</f>
        <v>0</v>
      </c>
      <c r="DD384" s="219"/>
      <c r="DE384" s="219"/>
      <c r="DF384" s="164"/>
      <c r="DG384" s="116"/>
      <c r="DH384" s="117"/>
      <c r="DI384" s="24"/>
      <c r="DJ384" s="24"/>
      <c r="DK384" s="24"/>
      <c r="DL384" s="24"/>
      <c r="DM384" s="24"/>
      <c r="DN384" s="24"/>
      <c r="DO384" s="24"/>
      <c r="DP384" s="24"/>
      <c r="DQ384" s="24"/>
      <c r="DR384" s="24"/>
      <c r="DS384" s="24"/>
      <c r="DT384" s="24"/>
      <c r="DU384" s="24"/>
    </row>
    <row r="385" spans="1:125" s="8" customFormat="1" ht="60" x14ac:dyDescent="0.2">
      <c r="A385" s="77">
        <v>41300</v>
      </c>
      <c r="B385" s="225" t="s">
        <v>2847</v>
      </c>
      <c r="C385" s="227" t="s">
        <v>2673</v>
      </c>
      <c r="D385" s="81" t="s">
        <v>2846</v>
      </c>
      <c r="E385" s="75" t="str">
        <f>VLOOKUP(B385&amp;C385,Divipola!$C$2:$F$1138,4,FALSE)</f>
        <v>68001</v>
      </c>
      <c r="F385" s="87"/>
      <c r="G385" s="87"/>
      <c r="H385" s="87"/>
      <c r="I385" s="87"/>
      <c r="J385" s="87"/>
      <c r="K385" s="87"/>
      <c r="L385" s="87"/>
      <c r="M385" s="87"/>
      <c r="N385" s="87"/>
      <c r="O385" s="87"/>
      <c r="P385" s="87"/>
      <c r="Q385" s="87"/>
      <c r="R385" s="87"/>
      <c r="S385" s="87"/>
      <c r="T385" s="87"/>
      <c r="U385" s="127"/>
      <c r="V385" s="89"/>
      <c r="W385" s="96">
        <v>0</v>
      </c>
      <c r="X385" s="71">
        <f>CU385</f>
        <v>0</v>
      </c>
      <c r="Y385" s="71">
        <f>CY385</f>
        <v>0</v>
      </c>
      <c r="Z385" s="71">
        <f>DA385+DC385+DE385</f>
        <v>0</v>
      </c>
      <c r="AA385" s="71">
        <f>CW385</f>
        <v>0</v>
      </c>
      <c r="AB385" s="71"/>
      <c r="AC385" s="71">
        <v>0</v>
      </c>
      <c r="AD385" s="71">
        <f>W385+X385+Y385+Z385+AA385+AB385+AC385</f>
        <v>0</v>
      </c>
      <c r="AE385" s="72">
        <v>0</v>
      </c>
      <c r="AF385" s="5"/>
      <c r="AG385" s="6"/>
      <c r="AH385" s="27" t="s">
        <v>3392</v>
      </c>
      <c r="AI385" s="44" t="s">
        <v>3393</v>
      </c>
      <c r="AJ385" s="26"/>
      <c r="AK385" s="5"/>
      <c r="AL385" s="82" t="s">
        <v>3225</v>
      </c>
      <c r="AM385" s="76"/>
      <c r="AN385" s="76"/>
      <c r="AO385" s="76"/>
      <c r="AP385" s="76"/>
      <c r="AQ385" s="76"/>
      <c r="AR385" s="76"/>
      <c r="AS385" s="76"/>
      <c r="AT385" s="76"/>
      <c r="AU385" s="76"/>
      <c r="AV385" s="76"/>
      <c r="AW385" s="76"/>
      <c r="AX385" s="76">
        <f>+AW385*600000</f>
        <v>0</v>
      </c>
      <c r="AY385" s="76"/>
      <c r="AZ385" s="76">
        <f>+AY385*70000</f>
        <v>0</v>
      </c>
      <c r="BA385" s="76"/>
      <c r="BB385" s="76"/>
      <c r="BC385" s="76"/>
      <c r="BD385" s="76">
        <f>+BC385*30000</f>
        <v>0</v>
      </c>
      <c r="BE385" s="76"/>
      <c r="BF385" s="76"/>
      <c r="BG385" s="76"/>
      <c r="BH385" s="76"/>
      <c r="BI385" s="76"/>
      <c r="BJ385" s="76"/>
      <c r="BK385" s="76"/>
      <c r="BL385" s="76">
        <f>+BK385*31500</f>
        <v>0</v>
      </c>
      <c r="BM385" s="76"/>
      <c r="BN385" s="76"/>
      <c r="BO385" s="76"/>
      <c r="BP385" s="76"/>
      <c r="BQ385" s="76"/>
      <c r="BR385" s="76"/>
      <c r="BS385" s="76"/>
      <c r="BT385" s="76"/>
      <c r="BU385" s="76"/>
      <c r="BV385" s="76"/>
      <c r="BW385" s="76"/>
      <c r="BX385" s="76"/>
      <c r="BY385" s="76"/>
      <c r="BZ385" s="76"/>
      <c r="CA385" s="76"/>
      <c r="CB385" s="76"/>
      <c r="CC385" s="76"/>
      <c r="CD385" s="76"/>
      <c r="CE385" s="76"/>
      <c r="CF385" s="76">
        <f>+CE385*28000</f>
        <v>0</v>
      </c>
      <c r="CG385" s="76"/>
      <c r="CH385" s="76">
        <f>+CG385*22500</f>
        <v>0</v>
      </c>
      <c r="CI385" s="76"/>
      <c r="CJ385" s="76">
        <f>+CI385*26000</f>
        <v>0</v>
      </c>
      <c r="CK385" s="76"/>
      <c r="CL385" s="76"/>
      <c r="CM385" s="76"/>
      <c r="CN385" s="76">
        <f>+CM385*22000</f>
        <v>0</v>
      </c>
      <c r="CO385" s="76"/>
      <c r="CP385" s="76">
        <f>+CO385*46000</f>
        <v>0</v>
      </c>
      <c r="CQ385" s="76"/>
      <c r="CR385" s="76">
        <f>+CQ385*49000</f>
        <v>0</v>
      </c>
      <c r="CS385" s="76"/>
      <c r="CT385" s="76"/>
      <c r="CU385" s="56">
        <f>AN385+AP385+AR385+AT385+AV385+AX385+AZ385+BB385+BD385+BF385+BH385+BJ385+BL385+BN385+BP385+BR385+BT385+BV385+BX385+BZ385+CB385+CD385+CF385+CH385+CJ385+CL385+CN385+CP385+CR385+CT385</f>
        <v>0</v>
      </c>
      <c r="CV385" s="76"/>
      <c r="CW385" s="76">
        <f>+CV385*1100</f>
        <v>0</v>
      </c>
      <c r="CX385" s="76"/>
      <c r="CY385" s="76">
        <f>+CX385*106250</f>
        <v>0</v>
      </c>
      <c r="CZ385" s="76"/>
      <c r="DA385" s="76">
        <f>+CZ385*34500</f>
        <v>0</v>
      </c>
      <c r="DB385" s="76"/>
      <c r="DC385" s="76">
        <f>+DB385*25000</f>
        <v>0</v>
      </c>
      <c r="DD385" s="219"/>
      <c r="DE385" s="219"/>
      <c r="DF385" s="164"/>
      <c r="DG385" s="116"/>
      <c r="DH385" s="117"/>
      <c r="DI385" s="24"/>
      <c r="DJ385" s="24"/>
      <c r="DK385" s="24"/>
      <c r="DL385" s="24"/>
      <c r="DM385" s="24"/>
      <c r="DN385" s="24"/>
      <c r="DO385" s="24"/>
      <c r="DP385" s="24"/>
      <c r="DQ385" s="24"/>
      <c r="DR385" s="24"/>
      <c r="DS385" s="24"/>
      <c r="DT385" s="24"/>
      <c r="DU385" s="24"/>
    </row>
    <row r="386" spans="1:125" s="8" customFormat="1" ht="96" x14ac:dyDescent="0.2">
      <c r="A386" s="77">
        <v>41300</v>
      </c>
      <c r="B386" s="352" t="s">
        <v>2847</v>
      </c>
      <c r="C386" s="354" t="s">
        <v>2197</v>
      </c>
      <c r="D386" s="81" t="s">
        <v>2846</v>
      </c>
      <c r="E386" s="75" t="str">
        <f>VLOOKUP(B386&amp;C386,Divipola!$C$2:$F$1138,4,FALSE)</f>
        <v>68276</v>
      </c>
      <c r="F386" s="87"/>
      <c r="G386" s="87"/>
      <c r="H386" s="87"/>
      <c r="I386" s="87"/>
      <c r="J386" s="87"/>
      <c r="K386" s="87"/>
      <c r="L386" s="87"/>
      <c r="M386" s="87"/>
      <c r="N386" s="87"/>
      <c r="O386" s="87"/>
      <c r="P386" s="87"/>
      <c r="Q386" s="87"/>
      <c r="R386" s="87"/>
      <c r="S386" s="87"/>
      <c r="T386" s="87"/>
      <c r="U386" s="127"/>
      <c r="V386" s="89"/>
      <c r="W386" s="96">
        <v>0</v>
      </c>
      <c r="X386" s="71">
        <f>CU386</f>
        <v>0</v>
      </c>
      <c r="Y386" s="71">
        <f>CY386</f>
        <v>0</v>
      </c>
      <c r="Z386" s="71">
        <f>DA386+DC386+DE386</f>
        <v>0</v>
      </c>
      <c r="AA386" s="71">
        <f>CW386</f>
        <v>0</v>
      </c>
      <c r="AB386" s="71"/>
      <c r="AC386" s="71">
        <v>0</v>
      </c>
      <c r="AD386" s="71">
        <f>W386+X386+Y386+Z386+AA386+AB386+AC386</f>
        <v>0</v>
      </c>
      <c r="AE386" s="72">
        <v>0</v>
      </c>
      <c r="AF386" s="5"/>
      <c r="AG386" s="6"/>
      <c r="AH386" s="27" t="s">
        <v>3392</v>
      </c>
      <c r="AI386" s="44" t="s">
        <v>3393</v>
      </c>
      <c r="AJ386" s="26"/>
      <c r="AK386" s="5"/>
      <c r="AL386" s="82" t="s">
        <v>3226</v>
      </c>
      <c r="AM386" s="76"/>
      <c r="AN386" s="76"/>
      <c r="AO386" s="76"/>
      <c r="AP386" s="76"/>
      <c r="AQ386" s="76"/>
      <c r="AR386" s="76"/>
      <c r="AS386" s="76"/>
      <c r="AT386" s="76"/>
      <c r="AU386" s="76"/>
      <c r="AV386" s="76"/>
      <c r="AW386" s="76"/>
      <c r="AX386" s="76">
        <f>+AW386*600000</f>
        <v>0</v>
      </c>
      <c r="AY386" s="76"/>
      <c r="AZ386" s="76">
        <f>+AY386*70000</f>
        <v>0</v>
      </c>
      <c r="BA386" s="76"/>
      <c r="BB386" s="76"/>
      <c r="BC386" s="76"/>
      <c r="BD386" s="76">
        <f>+BC386*30000</f>
        <v>0</v>
      </c>
      <c r="BE386" s="76"/>
      <c r="BF386" s="76"/>
      <c r="BG386" s="76"/>
      <c r="BH386" s="76"/>
      <c r="BI386" s="76"/>
      <c r="BJ386" s="76"/>
      <c r="BK386" s="76"/>
      <c r="BL386" s="76">
        <f>+BK386*31500</f>
        <v>0</v>
      </c>
      <c r="BM386" s="76"/>
      <c r="BN386" s="76"/>
      <c r="BO386" s="76"/>
      <c r="BP386" s="76"/>
      <c r="BQ386" s="76"/>
      <c r="BR386" s="76"/>
      <c r="BS386" s="76"/>
      <c r="BT386" s="76"/>
      <c r="BU386" s="76"/>
      <c r="BV386" s="76"/>
      <c r="BW386" s="76"/>
      <c r="BX386" s="76"/>
      <c r="BY386" s="76"/>
      <c r="BZ386" s="76"/>
      <c r="CA386" s="76"/>
      <c r="CB386" s="76"/>
      <c r="CC386" s="76"/>
      <c r="CD386" s="76"/>
      <c r="CE386" s="76"/>
      <c r="CF386" s="76">
        <f>+CE386*28000</f>
        <v>0</v>
      </c>
      <c r="CG386" s="76"/>
      <c r="CH386" s="76">
        <f>+CG386*22500</f>
        <v>0</v>
      </c>
      <c r="CI386" s="76"/>
      <c r="CJ386" s="76">
        <f>+CI386*26000</f>
        <v>0</v>
      </c>
      <c r="CK386" s="76"/>
      <c r="CL386" s="76"/>
      <c r="CM386" s="76"/>
      <c r="CN386" s="76">
        <f>+CM386*22000</f>
        <v>0</v>
      </c>
      <c r="CO386" s="76"/>
      <c r="CP386" s="76">
        <f>+CO386*46000</f>
        <v>0</v>
      </c>
      <c r="CQ386" s="76"/>
      <c r="CR386" s="76">
        <f>+CQ386*49000</f>
        <v>0</v>
      </c>
      <c r="CS386" s="76"/>
      <c r="CT386" s="76"/>
      <c r="CU386" s="56">
        <f>AN386+AP386+AR386+AT386+AV386+AX386+AZ386+BB386+BD386+BF386+BH386+BJ386+BL386+BN386+BP386+BR386+BT386+BV386+BX386+BZ386+CB386+CD386+CF386+CH386+CJ386+CL386+CN386+CP386+CR386+CT386</f>
        <v>0</v>
      </c>
      <c r="CV386" s="76"/>
      <c r="CW386" s="76">
        <f>+CV386*1100</f>
        <v>0</v>
      </c>
      <c r="CX386" s="76"/>
      <c r="CY386" s="76">
        <f>+CX386*106250</f>
        <v>0</v>
      </c>
      <c r="CZ386" s="76"/>
      <c r="DA386" s="76">
        <f>+CZ386*34500</f>
        <v>0</v>
      </c>
      <c r="DB386" s="76"/>
      <c r="DC386" s="76">
        <f>+DB386*25000</f>
        <v>0</v>
      </c>
      <c r="DD386" s="219"/>
      <c r="DE386" s="219"/>
      <c r="DF386" s="164"/>
      <c r="DG386" s="116"/>
      <c r="DH386" s="117"/>
      <c r="DI386" s="24"/>
      <c r="DJ386" s="24"/>
      <c r="DK386" s="24"/>
      <c r="DL386" s="24"/>
      <c r="DM386" s="24"/>
      <c r="DN386" s="24"/>
      <c r="DO386" s="24"/>
      <c r="DP386" s="24"/>
      <c r="DQ386" s="24"/>
      <c r="DR386" s="24"/>
      <c r="DS386" s="24"/>
      <c r="DT386" s="24"/>
      <c r="DU386" s="24"/>
    </row>
    <row r="387" spans="1:125" s="8" customFormat="1" ht="36" x14ac:dyDescent="0.2">
      <c r="A387" s="77">
        <v>41300</v>
      </c>
      <c r="B387" s="78" t="s">
        <v>2847</v>
      </c>
      <c r="C387" s="75" t="s">
        <v>2109</v>
      </c>
      <c r="D387" s="81" t="s">
        <v>2846</v>
      </c>
      <c r="E387" s="75" t="str">
        <f>VLOOKUP(B387&amp;C387,Divipola!$C$2:$F$1138,4,FALSE)</f>
        <v>68575</v>
      </c>
      <c r="F387" s="87"/>
      <c r="G387" s="87"/>
      <c r="H387" s="87"/>
      <c r="I387" s="87"/>
      <c r="J387" s="87"/>
      <c r="K387" s="87"/>
      <c r="L387" s="87"/>
      <c r="M387" s="87"/>
      <c r="N387" s="87"/>
      <c r="O387" s="87"/>
      <c r="P387" s="87"/>
      <c r="Q387" s="87"/>
      <c r="R387" s="87"/>
      <c r="S387" s="87"/>
      <c r="T387" s="87"/>
      <c r="U387" s="127">
        <v>8</v>
      </c>
      <c r="V387" s="89"/>
      <c r="W387" s="96">
        <v>0</v>
      </c>
      <c r="X387" s="71">
        <f>CU387</f>
        <v>0</v>
      </c>
      <c r="Y387" s="71">
        <f>CY387</f>
        <v>0</v>
      </c>
      <c r="Z387" s="71">
        <f>DA387+DC387+DE387</f>
        <v>0</v>
      </c>
      <c r="AA387" s="71">
        <f>CW387</f>
        <v>0</v>
      </c>
      <c r="AB387" s="71"/>
      <c r="AC387" s="71">
        <v>0</v>
      </c>
      <c r="AD387" s="71">
        <f>W387+X387+Y387+Z387+AA387+AB387+AC387</f>
        <v>0</v>
      </c>
      <c r="AE387" s="72">
        <v>0</v>
      </c>
      <c r="AF387" s="5"/>
      <c r="AG387" s="6"/>
      <c r="AH387" s="27" t="s">
        <v>3392</v>
      </c>
      <c r="AI387" s="44" t="s">
        <v>3393</v>
      </c>
      <c r="AJ387" s="26"/>
      <c r="AK387" s="5"/>
      <c r="AL387" s="82" t="s">
        <v>3223</v>
      </c>
      <c r="AM387" s="76"/>
      <c r="AN387" s="76"/>
      <c r="AO387" s="76"/>
      <c r="AP387" s="76"/>
      <c r="AQ387" s="76"/>
      <c r="AR387" s="76"/>
      <c r="AS387" s="76"/>
      <c r="AT387" s="76"/>
      <c r="AU387" s="76"/>
      <c r="AV387" s="76"/>
      <c r="AW387" s="76"/>
      <c r="AX387" s="76">
        <f>+AW387*600000</f>
        <v>0</v>
      </c>
      <c r="AY387" s="76"/>
      <c r="AZ387" s="76">
        <f>+AY387*70000</f>
        <v>0</v>
      </c>
      <c r="BA387" s="76"/>
      <c r="BB387" s="76"/>
      <c r="BC387" s="76"/>
      <c r="BD387" s="76">
        <f>+BC387*30000</f>
        <v>0</v>
      </c>
      <c r="BE387" s="76"/>
      <c r="BF387" s="76"/>
      <c r="BG387" s="76"/>
      <c r="BH387" s="76"/>
      <c r="BI387" s="76"/>
      <c r="BJ387" s="76"/>
      <c r="BK387" s="76"/>
      <c r="BL387" s="76">
        <f>+BK387*31500</f>
        <v>0</v>
      </c>
      <c r="BM387" s="76"/>
      <c r="BN387" s="76"/>
      <c r="BO387" s="76"/>
      <c r="BP387" s="76"/>
      <c r="BQ387" s="76"/>
      <c r="BR387" s="76"/>
      <c r="BS387" s="76"/>
      <c r="BT387" s="76"/>
      <c r="BU387" s="76"/>
      <c r="BV387" s="76"/>
      <c r="BW387" s="76"/>
      <c r="BX387" s="76"/>
      <c r="BY387" s="76"/>
      <c r="BZ387" s="76"/>
      <c r="CA387" s="76"/>
      <c r="CB387" s="76"/>
      <c r="CC387" s="76"/>
      <c r="CD387" s="76"/>
      <c r="CE387" s="76"/>
      <c r="CF387" s="76">
        <f>+CE387*28000</f>
        <v>0</v>
      </c>
      <c r="CG387" s="76"/>
      <c r="CH387" s="76">
        <f>+CG387*22500</f>
        <v>0</v>
      </c>
      <c r="CI387" s="76"/>
      <c r="CJ387" s="76">
        <f>+CI387*26000</f>
        <v>0</v>
      </c>
      <c r="CK387" s="76"/>
      <c r="CL387" s="76"/>
      <c r="CM387" s="76"/>
      <c r="CN387" s="76">
        <f>+CM387*22000</f>
        <v>0</v>
      </c>
      <c r="CO387" s="76"/>
      <c r="CP387" s="76">
        <f>+CO387*46000</f>
        <v>0</v>
      </c>
      <c r="CQ387" s="76"/>
      <c r="CR387" s="76">
        <f>+CQ387*49000</f>
        <v>0</v>
      </c>
      <c r="CS387" s="76"/>
      <c r="CT387" s="76"/>
      <c r="CU387" s="56">
        <f>AN387+AP387+AR387+AT387+AV387+AX387+AZ387+BB387+BD387+BF387+BH387+BJ387+BL387+BN387+BP387+BR387+BT387+BV387+BX387+BZ387+CB387+CD387+CF387+CH387+CJ387+CL387+CN387+CP387+CR387+CT387</f>
        <v>0</v>
      </c>
      <c r="CV387" s="76"/>
      <c r="CW387" s="76">
        <f>+CV387*1100</f>
        <v>0</v>
      </c>
      <c r="CX387" s="76"/>
      <c r="CY387" s="76">
        <f>+CX387*106250</f>
        <v>0</v>
      </c>
      <c r="CZ387" s="76"/>
      <c r="DA387" s="76">
        <f>+CZ387*34500</f>
        <v>0</v>
      </c>
      <c r="DB387" s="76"/>
      <c r="DC387" s="76">
        <f>+DB387*25000</f>
        <v>0</v>
      </c>
      <c r="DD387" s="219"/>
      <c r="DE387" s="219"/>
      <c r="DF387" s="164"/>
      <c r="DG387" s="116"/>
      <c r="DH387" s="117"/>
      <c r="DI387" s="24"/>
      <c r="DJ387" s="24"/>
      <c r="DK387" s="24"/>
      <c r="DL387" s="24"/>
      <c r="DM387" s="24"/>
      <c r="DN387" s="24"/>
      <c r="DO387" s="24"/>
      <c r="DP387" s="24"/>
      <c r="DQ387" s="24"/>
      <c r="DR387" s="24"/>
      <c r="DS387" s="24"/>
      <c r="DT387" s="24"/>
      <c r="DU387" s="24"/>
    </row>
    <row r="388" spans="1:125" s="8" customFormat="1" ht="60" x14ac:dyDescent="0.2">
      <c r="A388" s="77">
        <v>41300</v>
      </c>
      <c r="B388" s="78" t="s">
        <v>2847</v>
      </c>
      <c r="C388" s="75" t="s">
        <v>1770</v>
      </c>
      <c r="D388" s="81" t="s">
        <v>2846</v>
      </c>
      <c r="E388" s="75" t="str">
        <f>VLOOKUP(B388&amp;C388,Divipola!$C$2:$F$1138,4,FALSE)</f>
        <v>68682</v>
      </c>
      <c r="F388" s="87"/>
      <c r="G388" s="87"/>
      <c r="H388" s="87"/>
      <c r="I388" s="87"/>
      <c r="J388" s="87"/>
      <c r="K388" s="87"/>
      <c r="L388" s="87"/>
      <c r="M388" s="87"/>
      <c r="N388" s="87"/>
      <c r="O388" s="87"/>
      <c r="P388" s="87"/>
      <c r="Q388" s="87"/>
      <c r="R388" s="87"/>
      <c r="S388" s="87"/>
      <c r="T388" s="87"/>
      <c r="U388" s="127">
        <v>2.5</v>
      </c>
      <c r="V388" s="89"/>
      <c r="W388" s="96">
        <v>0</v>
      </c>
      <c r="X388" s="71">
        <f>CU388</f>
        <v>0</v>
      </c>
      <c r="Y388" s="71">
        <f>CY388</f>
        <v>0</v>
      </c>
      <c r="Z388" s="71">
        <f>DA388+DC388+DE388</f>
        <v>0</v>
      </c>
      <c r="AA388" s="71">
        <f>CW388</f>
        <v>0</v>
      </c>
      <c r="AB388" s="71"/>
      <c r="AC388" s="71">
        <v>0</v>
      </c>
      <c r="AD388" s="71">
        <f>W388+X388+Y388+Z388+AA388+AB388+AC388</f>
        <v>0</v>
      </c>
      <c r="AE388" s="72">
        <v>0</v>
      </c>
      <c r="AF388" s="5"/>
      <c r="AG388" s="6"/>
      <c r="AH388" s="27" t="s">
        <v>3392</v>
      </c>
      <c r="AI388" s="44" t="s">
        <v>3393</v>
      </c>
      <c r="AJ388" s="26"/>
      <c r="AK388" s="5"/>
      <c r="AL388" s="82" t="s">
        <v>3212</v>
      </c>
      <c r="AM388" s="76"/>
      <c r="AN388" s="76"/>
      <c r="AO388" s="76"/>
      <c r="AP388" s="76"/>
      <c r="AQ388" s="76"/>
      <c r="AR388" s="76"/>
      <c r="AS388" s="76"/>
      <c r="AT388" s="76"/>
      <c r="AU388" s="76"/>
      <c r="AV388" s="76"/>
      <c r="AW388" s="76"/>
      <c r="AX388" s="76">
        <f>+AW388*600000</f>
        <v>0</v>
      </c>
      <c r="AY388" s="76"/>
      <c r="AZ388" s="76">
        <f>+AY388*70000</f>
        <v>0</v>
      </c>
      <c r="BA388" s="76"/>
      <c r="BB388" s="76"/>
      <c r="BC388" s="76"/>
      <c r="BD388" s="76">
        <f>+BC388*30000</f>
        <v>0</v>
      </c>
      <c r="BE388" s="76"/>
      <c r="BF388" s="76"/>
      <c r="BG388" s="76"/>
      <c r="BH388" s="76"/>
      <c r="BI388" s="76"/>
      <c r="BJ388" s="76"/>
      <c r="BK388" s="76"/>
      <c r="BL388" s="76">
        <f>+BK388*31500</f>
        <v>0</v>
      </c>
      <c r="BM388" s="76"/>
      <c r="BN388" s="76"/>
      <c r="BO388" s="76"/>
      <c r="BP388" s="76"/>
      <c r="BQ388" s="76"/>
      <c r="BR388" s="76"/>
      <c r="BS388" s="76"/>
      <c r="BT388" s="76"/>
      <c r="BU388" s="76"/>
      <c r="BV388" s="76"/>
      <c r="BW388" s="76"/>
      <c r="BX388" s="76"/>
      <c r="BY388" s="76"/>
      <c r="BZ388" s="76"/>
      <c r="CA388" s="76"/>
      <c r="CB388" s="76"/>
      <c r="CC388" s="76"/>
      <c r="CD388" s="76"/>
      <c r="CE388" s="76"/>
      <c r="CF388" s="76">
        <f>+CE388*28000</f>
        <v>0</v>
      </c>
      <c r="CG388" s="76"/>
      <c r="CH388" s="76">
        <f>+CG388*22500</f>
        <v>0</v>
      </c>
      <c r="CI388" s="76"/>
      <c r="CJ388" s="76">
        <f>+CI388*26000</f>
        <v>0</v>
      </c>
      <c r="CK388" s="76"/>
      <c r="CL388" s="76"/>
      <c r="CM388" s="76"/>
      <c r="CN388" s="76">
        <f>+CM388*22000</f>
        <v>0</v>
      </c>
      <c r="CO388" s="76"/>
      <c r="CP388" s="76">
        <f>+CO388*46000</f>
        <v>0</v>
      </c>
      <c r="CQ388" s="76"/>
      <c r="CR388" s="76">
        <f>+CQ388*49000</f>
        <v>0</v>
      </c>
      <c r="CS388" s="76"/>
      <c r="CT388" s="76"/>
      <c r="CU388" s="56">
        <f>AN388+AP388+AR388+AT388+AV388+AX388+AZ388+BB388+BD388+BF388+BH388+BJ388+BL388+BN388+BP388+BR388+BT388+BV388+BX388+BZ388+CB388+CD388+CF388+CH388+CJ388+CL388+CN388+CP388+CR388+CT388</f>
        <v>0</v>
      </c>
      <c r="CV388" s="76"/>
      <c r="CW388" s="76">
        <f>+CV388*1100</f>
        <v>0</v>
      </c>
      <c r="CX388" s="76"/>
      <c r="CY388" s="76">
        <f>+CX388*106250</f>
        <v>0</v>
      </c>
      <c r="CZ388" s="76"/>
      <c r="DA388" s="76">
        <f>+CZ388*34500</f>
        <v>0</v>
      </c>
      <c r="DB388" s="76"/>
      <c r="DC388" s="76">
        <f>+DB388*25000</f>
        <v>0</v>
      </c>
      <c r="DD388" s="219"/>
      <c r="DE388" s="219"/>
      <c r="DF388" s="164"/>
      <c r="DG388" s="116"/>
      <c r="DH388" s="117"/>
      <c r="DI388" s="24"/>
      <c r="DJ388" s="24"/>
      <c r="DK388" s="24"/>
      <c r="DL388" s="24"/>
      <c r="DM388" s="24"/>
      <c r="DN388" s="24"/>
      <c r="DO388" s="24"/>
      <c r="DP388" s="24"/>
      <c r="DQ388" s="24"/>
      <c r="DR388" s="24"/>
      <c r="DS388" s="24"/>
      <c r="DT388" s="24"/>
      <c r="DU388" s="24"/>
    </row>
    <row r="389" spans="1:125" s="8" customFormat="1" ht="36" x14ac:dyDescent="0.2">
      <c r="A389" s="77">
        <v>41300</v>
      </c>
      <c r="B389" s="78" t="s">
        <v>2847</v>
      </c>
      <c r="C389" s="75" t="s">
        <v>1382</v>
      </c>
      <c r="D389" s="81" t="s">
        <v>2846</v>
      </c>
      <c r="E389" s="75" t="str">
        <f>VLOOKUP(B389&amp;C389,Divipola!$C$2:$F$1138,4,FALSE)</f>
        <v>68780</v>
      </c>
      <c r="F389" s="87"/>
      <c r="G389" s="87"/>
      <c r="H389" s="87"/>
      <c r="I389" s="87"/>
      <c r="J389" s="87"/>
      <c r="K389" s="87"/>
      <c r="L389" s="87"/>
      <c r="M389" s="87"/>
      <c r="N389" s="87"/>
      <c r="O389" s="87"/>
      <c r="P389" s="87"/>
      <c r="Q389" s="87"/>
      <c r="R389" s="87"/>
      <c r="S389" s="87"/>
      <c r="T389" s="87"/>
      <c r="U389" s="127">
        <v>2</v>
      </c>
      <c r="V389" s="89"/>
      <c r="W389" s="96">
        <v>0</v>
      </c>
      <c r="X389" s="71">
        <f>CU389</f>
        <v>0</v>
      </c>
      <c r="Y389" s="71">
        <f>CY389</f>
        <v>0</v>
      </c>
      <c r="Z389" s="71">
        <f>DA389+DC389+DE389</f>
        <v>0</v>
      </c>
      <c r="AA389" s="71">
        <f>CW389</f>
        <v>0</v>
      </c>
      <c r="AB389" s="71"/>
      <c r="AC389" s="71">
        <v>0</v>
      </c>
      <c r="AD389" s="71">
        <f>W389+X389+Y389+Z389+AA389+AB389+AC389</f>
        <v>0</v>
      </c>
      <c r="AE389" s="72">
        <v>0</v>
      </c>
      <c r="AF389" s="5"/>
      <c r="AG389" s="6"/>
      <c r="AH389" s="27" t="s">
        <v>3392</v>
      </c>
      <c r="AI389" s="44" t="s">
        <v>3393</v>
      </c>
      <c r="AJ389" s="26"/>
      <c r="AK389" s="5"/>
      <c r="AL389" s="82" t="s">
        <v>3222</v>
      </c>
      <c r="AM389" s="76"/>
      <c r="AN389" s="76"/>
      <c r="AO389" s="76"/>
      <c r="AP389" s="76"/>
      <c r="AQ389" s="76"/>
      <c r="AR389" s="76"/>
      <c r="AS389" s="76"/>
      <c r="AT389" s="76"/>
      <c r="AU389" s="76"/>
      <c r="AV389" s="76"/>
      <c r="AW389" s="76"/>
      <c r="AX389" s="76">
        <f>+AW389*600000</f>
        <v>0</v>
      </c>
      <c r="AY389" s="76"/>
      <c r="AZ389" s="76">
        <f>+AY389*70000</f>
        <v>0</v>
      </c>
      <c r="BA389" s="76"/>
      <c r="BB389" s="76"/>
      <c r="BC389" s="76"/>
      <c r="BD389" s="76">
        <f>+BC389*30000</f>
        <v>0</v>
      </c>
      <c r="BE389" s="76"/>
      <c r="BF389" s="76"/>
      <c r="BG389" s="76"/>
      <c r="BH389" s="76"/>
      <c r="BI389" s="76"/>
      <c r="BJ389" s="76"/>
      <c r="BK389" s="76"/>
      <c r="BL389" s="76">
        <f>+BK389*31500</f>
        <v>0</v>
      </c>
      <c r="BM389" s="76"/>
      <c r="BN389" s="76"/>
      <c r="BO389" s="76"/>
      <c r="BP389" s="76"/>
      <c r="BQ389" s="76"/>
      <c r="BR389" s="76"/>
      <c r="BS389" s="76"/>
      <c r="BT389" s="76"/>
      <c r="BU389" s="76"/>
      <c r="BV389" s="76"/>
      <c r="BW389" s="76"/>
      <c r="BX389" s="76"/>
      <c r="BY389" s="76"/>
      <c r="BZ389" s="76"/>
      <c r="CA389" s="76"/>
      <c r="CB389" s="76"/>
      <c r="CC389" s="76"/>
      <c r="CD389" s="76"/>
      <c r="CE389" s="76"/>
      <c r="CF389" s="76">
        <f>+CE389*28000</f>
        <v>0</v>
      </c>
      <c r="CG389" s="76"/>
      <c r="CH389" s="76">
        <f>+CG389*22500</f>
        <v>0</v>
      </c>
      <c r="CI389" s="76"/>
      <c r="CJ389" s="76">
        <f>+CI389*26000</f>
        <v>0</v>
      </c>
      <c r="CK389" s="76"/>
      <c r="CL389" s="76"/>
      <c r="CM389" s="76"/>
      <c r="CN389" s="76">
        <f>+CM389*22000</f>
        <v>0</v>
      </c>
      <c r="CO389" s="76"/>
      <c r="CP389" s="76">
        <f>+CO389*46000</f>
        <v>0</v>
      </c>
      <c r="CQ389" s="76"/>
      <c r="CR389" s="76">
        <f>+CQ389*49000</f>
        <v>0</v>
      </c>
      <c r="CS389" s="76"/>
      <c r="CT389" s="76"/>
      <c r="CU389" s="56">
        <f>AN389+AP389+AR389+AT389+AV389+AX389+AZ389+BB389+BD389+BF389+BH389+BJ389+BL389+BN389+BP389+BR389+BT389+BV389+BX389+BZ389+CB389+CD389+CF389+CH389+CJ389+CL389+CN389+CP389+CR389+CT389</f>
        <v>0</v>
      </c>
      <c r="CV389" s="76"/>
      <c r="CW389" s="76">
        <f>+CV389*1100</f>
        <v>0</v>
      </c>
      <c r="CX389" s="76"/>
      <c r="CY389" s="76">
        <f>+CX389*106250</f>
        <v>0</v>
      </c>
      <c r="CZ389" s="76"/>
      <c r="DA389" s="76">
        <f>+CZ389*34500</f>
        <v>0</v>
      </c>
      <c r="DB389" s="76"/>
      <c r="DC389" s="76">
        <f>+DB389*25000</f>
        <v>0</v>
      </c>
      <c r="DD389" s="219"/>
      <c r="DE389" s="219"/>
      <c r="DF389" s="164"/>
      <c r="DG389" s="116"/>
      <c r="DH389" s="117"/>
      <c r="DI389" s="24"/>
      <c r="DJ389" s="24"/>
      <c r="DK389" s="24"/>
      <c r="DL389" s="24"/>
      <c r="DM389" s="24"/>
      <c r="DN389" s="24"/>
      <c r="DO389" s="24"/>
      <c r="DP389" s="24"/>
      <c r="DQ389" s="24"/>
      <c r="DR389" s="24"/>
      <c r="DS389" s="24"/>
      <c r="DT389" s="24"/>
      <c r="DU389" s="24"/>
    </row>
    <row r="390" spans="1:125" s="8" customFormat="1" ht="48" x14ac:dyDescent="0.2">
      <c r="A390" s="77">
        <v>41300</v>
      </c>
      <c r="B390" s="352" t="s">
        <v>1326</v>
      </c>
      <c r="C390" s="354" t="s">
        <v>1828</v>
      </c>
      <c r="D390" s="81" t="s">
        <v>2846</v>
      </c>
      <c r="E390" s="75" t="str">
        <f>VLOOKUP(B390&amp;C390,Divipola!$C$2:$F$1138,4,FALSE)</f>
        <v>70508</v>
      </c>
      <c r="F390" s="87"/>
      <c r="G390" s="87"/>
      <c r="H390" s="87"/>
      <c r="I390" s="87"/>
      <c r="J390" s="87"/>
      <c r="K390" s="87"/>
      <c r="L390" s="87"/>
      <c r="M390" s="87"/>
      <c r="N390" s="87"/>
      <c r="O390" s="87"/>
      <c r="P390" s="87"/>
      <c r="Q390" s="87"/>
      <c r="R390" s="87"/>
      <c r="S390" s="87"/>
      <c r="T390" s="87"/>
      <c r="U390" s="127">
        <v>3</v>
      </c>
      <c r="V390" s="89"/>
      <c r="W390" s="96">
        <v>0</v>
      </c>
      <c r="X390" s="71">
        <f>CU390</f>
        <v>0</v>
      </c>
      <c r="Y390" s="71">
        <f>CY390</f>
        <v>0</v>
      </c>
      <c r="Z390" s="71">
        <f>DA390+DC390+DE390</f>
        <v>0</v>
      </c>
      <c r="AA390" s="71">
        <f>CW390</f>
        <v>0</v>
      </c>
      <c r="AB390" s="71"/>
      <c r="AC390" s="71">
        <v>0</v>
      </c>
      <c r="AD390" s="71">
        <f>W390+X390+Y390+Z390+AA390+AB390+AC390</f>
        <v>0</v>
      </c>
      <c r="AE390" s="72">
        <v>0</v>
      </c>
      <c r="AF390" s="5"/>
      <c r="AG390" s="6"/>
      <c r="AH390" s="27" t="s">
        <v>3392</v>
      </c>
      <c r="AI390" s="44" t="s">
        <v>3393</v>
      </c>
      <c r="AJ390" s="26"/>
      <c r="AK390" s="5"/>
      <c r="AL390" s="82" t="s">
        <v>3215</v>
      </c>
      <c r="AM390" s="76"/>
      <c r="AN390" s="76"/>
      <c r="AO390" s="76"/>
      <c r="AP390" s="76"/>
      <c r="AQ390" s="76"/>
      <c r="AR390" s="76"/>
      <c r="AS390" s="76"/>
      <c r="AT390" s="76"/>
      <c r="AU390" s="76"/>
      <c r="AV390" s="76"/>
      <c r="AW390" s="76"/>
      <c r="AX390" s="76">
        <f>+AW390*600000</f>
        <v>0</v>
      </c>
      <c r="AY390" s="76"/>
      <c r="AZ390" s="76">
        <f>+AY390*70000</f>
        <v>0</v>
      </c>
      <c r="BA390" s="76"/>
      <c r="BB390" s="76"/>
      <c r="BC390" s="76"/>
      <c r="BD390" s="76">
        <f>+BC390*30000</f>
        <v>0</v>
      </c>
      <c r="BE390" s="76"/>
      <c r="BF390" s="76"/>
      <c r="BG390" s="76"/>
      <c r="BH390" s="76"/>
      <c r="BI390" s="76"/>
      <c r="BJ390" s="76"/>
      <c r="BK390" s="76"/>
      <c r="BL390" s="76">
        <f>+BK390*31500</f>
        <v>0</v>
      </c>
      <c r="BM390" s="76"/>
      <c r="BN390" s="76"/>
      <c r="BO390" s="76"/>
      <c r="BP390" s="76"/>
      <c r="BQ390" s="76"/>
      <c r="BR390" s="76"/>
      <c r="BS390" s="76"/>
      <c r="BT390" s="76"/>
      <c r="BU390" s="76"/>
      <c r="BV390" s="76"/>
      <c r="BW390" s="76"/>
      <c r="BX390" s="76"/>
      <c r="BY390" s="76"/>
      <c r="BZ390" s="76"/>
      <c r="CA390" s="76"/>
      <c r="CB390" s="76"/>
      <c r="CC390" s="76"/>
      <c r="CD390" s="76"/>
      <c r="CE390" s="76"/>
      <c r="CF390" s="76">
        <f>+CE390*28000</f>
        <v>0</v>
      </c>
      <c r="CG390" s="76"/>
      <c r="CH390" s="76">
        <f>+CG390*22500</f>
        <v>0</v>
      </c>
      <c r="CI390" s="76"/>
      <c r="CJ390" s="76">
        <f>+CI390*26000</f>
        <v>0</v>
      </c>
      <c r="CK390" s="76"/>
      <c r="CL390" s="76"/>
      <c r="CM390" s="76"/>
      <c r="CN390" s="76">
        <f>+CM390*22000</f>
        <v>0</v>
      </c>
      <c r="CO390" s="76"/>
      <c r="CP390" s="76">
        <f>+CO390*46000</f>
        <v>0</v>
      </c>
      <c r="CQ390" s="76"/>
      <c r="CR390" s="76">
        <f>+CQ390*49000</f>
        <v>0</v>
      </c>
      <c r="CS390" s="76"/>
      <c r="CT390" s="76"/>
      <c r="CU390" s="56">
        <f>AN390+AP390+AR390+AT390+AV390+AX390+AZ390+BB390+BD390+BF390+BH390+BJ390+BL390+BN390+BP390+BR390+BT390+BV390+BX390+BZ390+CB390+CD390+CF390+CH390+CJ390+CL390+CN390+CP390+CR390+CT390</f>
        <v>0</v>
      </c>
      <c r="CV390" s="76"/>
      <c r="CW390" s="76">
        <f>+CV390*1100</f>
        <v>0</v>
      </c>
      <c r="CX390" s="76"/>
      <c r="CY390" s="76">
        <f>+CX390*106250</f>
        <v>0</v>
      </c>
      <c r="CZ390" s="76"/>
      <c r="DA390" s="76">
        <f>+CZ390*34500</f>
        <v>0</v>
      </c>
      <c r="DB390" s="76"/>
      <c r="DC390" s="76">
        <f>+DB390*25000</f>
        <v>0</v>
      </c>
      <c r="DD390" s="219"/>
      <c r="DE390" s="219"/>
      <c r="DF390" s="164"/>
      <c r="DG390" s="116"/>
      <c r="DH390" s="117"/>
      <c r="DI390" s="24"/>
      <c r="DJ390" s="24"/>
      <c r="DK390" s="24"/>
      <c r="DL390" s="24"/>
      <c r="DM390" s="24"/>
      <c r="DN390" s="24"/>
      <c r="DO390" s="24"/>
      <c r="DP390" s="24"/>
      <c r="DQ390" s="24"/>
      <c r="DR390" s="24"/>
      <c r="DS390" s="24"/>
      <c r="DT390" s="24"/>
      <c r="DU390" s="24"/>
    </row>
    <row r="391" spans="1:125" s="8" customFormat="1" ht="48" x14ac:dyDescent="0.2">
      <c r="A391" s="77">
        <v>41300</v>
      </c>
      <c r="B391" s="78" t="s">
        <v>2851</v>
      </c>
      <c r="C391" s="75" t="s">
        <v>2688</v>
      </c>
      <c r="D391" s="75" t="s">
        <v>3017</v>
      </c>
      <c r="E391" s="75" t="str">
        <f>VLOOKUP(B391&amp;C391,Divipola!$C$2:$F$1138,4,FALSE)</f>
        <v>76736</v>
      </c>
      <c r="F391" s="87"/>
      <c r="G391" s="87"/>
      <c r="H391" s="87"/>
      <c r="I391" s="87">
        <v>45</v>
      </c>
      <c r="J391" s="87">
        <v>15</v>
      </c>
      <c r="K391" s="87"/>
      <c r="L391" s="87">
        <v>1</v>
      </c>
      <c r="M391" s="87"/>
      <c r="N391" s="87"/>
      <c r="O391" s="87"/>
      <c r="P391" s="87"/>
      <c r="Q391" s="87"/>
      <c r="R391" s="87"/>
      <c r="S391" s="87"/>
      <c r="T391" s="87"/>
      <c r="U391" s="127"/>
      <c r="V391" s="89"/>
      <c r="W391" s="96">
        <v>0</v>
      </c>
      <c r="X391" s="71">
        <f>CU391</f>
        <v>0</v>
      </c>
      <c r="Y391" s="71">
        <f>CY391</f>
        <v>0</v>
      </c>
      <c r="Z391" s="71">
        <f>DA391+DC391+DE391</f>
        <v>0</v>
      </c>
      <c r="AA391" s="71">
        <f>CW391</f>
        <v>0</v>
      </c>
      <c r="AB391" s="71"/>
      <c r="AC391" s="71">
        <v>0</v>
      </c>
      <c r="AD391" s="71">
        <f>W391+X391+Y391+Z391+AA391+AB391+AC391</f>
        <v>0</v>
      </c>
      <c r="AE391" s="72">
        <v>0</v>
      </c>
      <c r="AF391" s="5"/>
      <c r="AG391" s="6"/>
      <c r="AH391" s="27" t="s">
        <v>3392</v>
      </c>
      <c r="AI391" s="44" t="s">
        <v>3393</v>
      </c>
      <c r="AJ391" s="26"/>
      <c r="AK391" s="5"/>
      <c r="AL391" s="82" t="s">
        <v>3221</v>
      </c>
      <c r="AM391" s="76"/>
      <c r="AN391" s="76"/>
      <c r="AO391" s="76"/>
      <c r="AP391" s="76"/>
      <c r="AQ391" s="76"/>
      <c r="AR391" s="76"/>
      <c r="AS391" s="76"/>
      <c r="AT391" s="76"/>
      <c r="AU391" s="76"/>
      <c r="AV391" s="76"/>
      <c r="AW391" s="76"/>
      <c r="AX391" s="76">
        <f>+AW391*600000</f>
        <v>0</v>
      </c>
      <c r="AY391" s="76"/>
      <c r="AZ391" s="76">
        <f>+AY391*70000</f>
        <v>0</v>
      </c>
      <c r="BA391" s="76"/>
      <c r="BB391" s="76"/>
      <c r="BC391" s="76"/>
      <c r="BD391" s="76">
        <f>+BC391*30000</f>
        <v>0</v>
      </c>
      <c r="BE391" s="76"/>
      <c r="BF391" s="76"/>
      <c r="BG391" s="76"/>
      <c r="BH391" s="76"/>
      <c r="BI391" s="76"/>
      <c r="BJ391" s="76"/>
      <c r="BK391" s="76"/>
      <c r="BL391" s="76">
        <f>+BK391*31500</f>
        <v>0</v>
      </c>
      <c r="BM391" s="76"/>
      <c r="BN391" s="76"/>
      <c r="BO391" s="76"/>
      <c r="BP391" s="76"/>
      <c r="BQ391" s="76"/>
      <c r="BR391" s="76"/>
      <c r="BS391" s="76"/>
      <c r="BT391" s="76"/>
      <c r="BU391" s="76"/>
      <c r="BV391" s="76"/>
      <c r="BW391" s="76"/>
      <c r="BX391" s="76"/>
      <c r="BY391" s="76"/>
      <c r="BZ391" s="76"/>
      <c r="CA391" s="76"/>
      <c r="CB391" s="76"/>
      <c r="CC391" s="76"/>
      <c r="CD391" s="76"/>
      <c r="CE391" s="76"/>
      <c r="CF391" s="76">
        <f>+CE391*28000</f>
        <v>0</v>
      </c>
      <c r="CG391" s="76"/>
      <c r="CH391" s="76">
        <f>+CG391*22500</f>
        <v>0</v>
      </c>
      <c r="CI391" s="76"/>
      <c r="CJ391" s="76">
        <f>+CI391*26000</f>
        <v>0</v>
      </c>
      <c r="CK391" s="76"/>
      <c r="CL391" s="76"/>
      <c r="CM391" s="76"/>
      <c r="CN391" s="76">
        <f>+CM391*22000</f>
        <v>0</v>
      </c>
      <c r="CO391" s="76"/>
      <c r="CP391" s="76">
        <f>+CO391*46000</f>
        <v>0</v>
      </c>
      <c r="CQ391" s="76"/>
      <c r="CR391" s="76">
        <f>+CQ391*49000</f>
        <v>0</v>
      </c>
      <c r="CS391" s="76"/>
      <c r="CT391" s="76"/>
      <c r="CU391" s="56">
        <f>AN391+AP391+AR391+AT391+AV391+AX391+AZ391+BB391+BD391+BF391+BH391+BJ391+BL391+BN391+BP391+BR391+BT391+BV391+BX391+BZ391+CB391+CD391+CF391+CH391+CJ391+CL391+CN391+CP391+CR391+CT391</f>
        <v>0</v>
      </c>
      <c r="CV391" s="76"/>
      <c r="CW391" s="76">
        <f>+CV391*1100</f>
        <v>0</v>
      </c>
      <c r="CX391" s="76"/>
      <c r="CY391" s="76">
        <f>+CX391*106250</f>
        <v>0</v>
      </c>
      <c r="CZ391" s="76"/>
      <c r="DA391" s="76">
        <f>+CZ391*34500</f>
        <v>0</v>
      </c>
      <c r="DB391" s="76"/>
      <c r="DC391" s="76">
        <f>+DB391*25000</f>
        <v>0</v>
      </c>
      <c r="DD391" s="219"/>
      <c r="DE391" s="219"/>
      <c r="DF391" s="164"/>
      <c r="DG391" s="116"/>
      <c r="DH391" s="117"/>
      <c r="DI391" s="24"/>
      <c r="DJ391" s="24"/>
      <c r="DK391" s="24"/>
      <c r="DL391" s="24"/>
      <c r="DM391" s="24"/>
      <c r="DN391" s="24"/>
      <c r="DO391" s="24"/>
      <c r="DP391" s="24"/>
      <c r="DQ391" s="24"/>
      <c r="DR391" s="24"/>
      <c r="DS391" s="24"/>
      <c r="DT391" s="24"/>
      <c r="DU391" s="24"/>
    </row>
    <row r="392" spans="1:125" s="8" customFormat="1" ht="60" x14ac:dyDescent="0.2">
      <c r="A392" s="353">
        <v>41301</v>
      </c>
      <c r="B392" s="225" t="s">
        <v>529</v>
      </c>
      <c r="C392" s="227" t="s">
        <v>529</v>
      </c>
      <c r="D392" s="81" t="s">
        <v>2846</v>
      </c>
      <c r="E392" s="75" t="str">
        <f>VLOOKUP(B392&amp;C392,Divipola!$C$2:$F$1138,4,FALSE)</f>
        <v>11001</v>
      </c>
      <c r="F392" s="87"/>
      <c r="G392" s="87"/>
      <c r="H392" s="87"/>
      <c r="I392" s="87"/>
      <c r="J392" s="87"/>
      <c r="K392" s="87"/>
      <c r="L392" s="87"/>
      <c r="M392" s="87"/>
      <c r="N392" s="87"/>
      <c r="O392" s="87"/>
      <c r="P392" s="87"/>
      <c r="Q392" s="87"/>
      <c r="R392" s="87"/>
      <c r="S392" s="87"/>
      <c r="T392" s="87"/>
      <c r="U392" s="127"/>
      <c r="V392" s="89"/>
      <c r="W392" s="96">
        <v>0</v>
      </c>
      <c r="X392" s="71">
        <f>CU392</f>
        <v>0</v>
      </c>
      <c r="Y392" s="71">
        <f>CY392</f>
        <v>0</v>
      </c>
      <c r="Z392" s="71">
        <f>DA392+DC392+DE392</f>
        <v>0</v>
      </c>
      <c r="AA392" s="71">
        <f>CW392</f>
        <v>0</v>
      </c>
      <c r="AB392" s="71"/>
      <c r="AC392" s="71">
        <v>0</v>
      </c>
      <c r="AD392" s="71">
        <f>W392+X392+Y392+Z392+AA392+AB392+AC392</f>
        <v>0</v>
      </c>
      <c r="AE392" s="72">
        <v>0</v>
      </c>
      <c r="AF392" s="5"/>
      <c r="AG392" s="6"/>
      <c r="AH392" s="27" t="s">
        <v>3392</v>
      </c>
      <c r="AI392" s="44" t="s">
        <v>3393</v>
      </c>
      <c r="AJ392" s="26"/>
      <c r="AK392" s="5"/>
      <c r="AL392" s="82" t="s">
        <v>3240</v>
      </c>
      <c r="AM392" s="76"/>
      <c r="AN392" s="76"/>
      <c r="AO392" s="76"/>
      <c r="AP392" s="76"/>
      <c r="AQ392" s="76"/>
      <c r="AR392" s="76"/>
      <c r="AS392" s="76"/>
      <c r="AT392" s="76"/>
      <c r="AU392" s="76"/>
      <c r="AV392" s="76"/>
      <c r="AW392" s="76"/>
      <c r="AX392" s="76">
        <f>+AW392*600000</f>
        <v>0</v>
      </c>
      <c r="AY392" s="76"/>
      <c r="AZ392" s="76">
        <f>+AY392*70000</f>
        <v>0</v>
      </c>
      <c r="BA392" s="76"/>
      <c r="BB392" s="76"/>
      <c r="BC392" s="76"/>
      <c r="BD392" s="76">
        <f>+BC392*30000</f>
        <v>0</v>
      </c>
      <c r="BE392" s="76"/>
      <c r="BF392" s="76"/>
      <c r="BG392" s="76"/>
      <c r="BH392" s="76"/>
      <c r="BI392" s="76"/>
      <c r="BJ392" s="76"/>
      <c r="BK392" s="76"/>
      <c r="BL392" s="76">
        <f>+BK392*31500</f>
        <v>0</v>
      </c>
      <c r="BM392" s="76"/>
      <c r="BN392" s="76"/>
      <c r="BO392" s="76"/>
      <c r="BP392" s="76"/>
      <c r="BQ392" s="76"/>
      <c r="BR392" s="76"/>
      <c r="BS392" s="76"/>
      <c r="BT392" s="76"/>
      <c r="BU392" s="76"/>
      <c r="BV392" s="76"/>
      <c r="BW392" s="76"/>
      <c r="BX392" s="76"/>
      <c r="BY392" s="76"/>
      <c r="BZ392" s="76"/>
      <c r="CA392" s="76"/>
      <c r="CB392" s="76"/>
      <c r="CC392" s="76"/>
      <c r="CD392" s="76"/>
      <c r="CE392" s="76"/>
      <c r="CF392" s="76">
        <f>+CE392*28000</f>
        <v>0</v>
      </c>
      <c r="CG392" s="76"/>
      <c r="CH392" s="76">
        <f>+CG392*22500</f>
        <v>0</v>
      </c>
      <c r="CI392" s="76"/>
      <c r="CJ392" s="76">
        <f>+CI392*26000</f>
        <v>0</v>
      </c>
      <c r="CK392" s="76"/>
      <c r="CL392" s="76"/>
      <c r="CM392" s="76"/>
      <c r="CN392" s="76">
        <f>+CM392*22000</f>
        <v>0</v>
      </c>
      <c r="CO392" s="76"/>
      <c r="CP392" s="76">
        <f>+CO392*46000</f>
        <v>0</v>
      </c>
      <c r="CQ392" s="76"/>
      <c r="CR392" s="76">
        <f>+CQ392*49000</f>
        <v>0</v>
      </c>
      <c r="CS392" s="76"/>
      <c r="CT392" s="76"/>
      <c r="CU392" s="56">
        <f>AN392+AP392+AR392+AT392+AV392+AX392+AZ392+BB392+BD392+BF392+BH392+BJ392+BL392+BN392+BP392+BR392+BT392+BV392+BX392+BZ392+CB392+CD392+CF392+CH392+CJ392+CL392+CN392+CP392+CR392+CT392</f>
        <v>0</v>
      </c>
      <c r="CV392" s="76"/>
      <c r="CW392" s="76">
        <f>+CV392*1100</f>
        <v>0</v>
      </c>
      <c r="CX392" s="76"/>
      <c r="CY392" s="76">
        <f>+CX392*106250</f>
        <v>0</v>
      </c>
      <c r="CZ392" s="76"/>
      <c r="DA392" s="76">
        <f>+CZ392*34500</f>
        <v>0</v>
      </c>
      <c r="DB392" s="76"/>
      <c r="DC392" s="76">
        <f>+DB392*25000</f>
        <v>0</v>
      </c>
      <c r="DD392" s="219"/>
      <c r="DE392" s="219"/>
      <c r="DF392" s="164"/>
      <c r="DG392" s="116"/>
      <c r="DH392" s="117"/>
      <c r="DI392" s="24"/>
      <c r="DJ392" s="24"/>
      <c r="DK392" s="24"/>
      <c r="DL392" s="24"/>
      <c r="DM392" s="24"/>
      <c r="DN392" s="24"/>
      <c r="DO392" s="24"/>
      <c r="DP392" s="24"/>
      <c r="DQ392" s="24"/>
      <c r="DR392" s="24"/>
      <c r="DS392" s="24"/>
      <c r="DT392" s="24"/>
      <c r="DU392" s="24"/>
    </row>
    <row r="393" spans="1:125" s="8" customFormat="1" ht="60" x14ac:dyDescent="0.2">
      <c r="A393" s="77">
        <v>41301</v>
      </c>
      <c r="B393" s="225" t="s">
        <v>529</v>
      </c>
      <c r="C393" s="352" t="s">
        <v>529</v>
      </c>
      <c r="D393" s="227" t="s">
        <v>2882</v>
      </c>
      <c r="E393" s="75" t="str">
        <f>VLOOKUP(B393&amp;C393,Divipola!$C$2:$F$1138,4,FALSE)</f>
        <v>11001</v>
      </c>
      <c r="F393" s="100"/>
      <c r="G393" s="100"/>
      <c r="H393" s="100"/>
      <c r="I393" s="100">
        <v>60</v>
      </c>
      <c r="J393" s="100">
        <v>12</v>
      </c>
      <c r="K393" s="100"/>
      <c r="L393" s="100">
        <v>12</v>
      </c>
      <c r="M393" s="100"/>
      <c r="N393" s="100"/>
      <c r="O393" s="100"/>
      <c r="P393" s="100"/>
      <c r="Q393" s="100"/>
      <c r="R393" s="100"/>
      <c r="S393" s="100"/>
      <c r="T393" s="100"/>
      <c r="U393" s="130"/>
      <c r="V393" s="89"/>
      <c r="W393" s="96">
        <v>0</v>
      </c>
      <c r="X393" s="71">
        <f>CU393</f>
        <v>0</v>
      </c>
      <c r="Y393" s="71">
        <f>CY393</f>
        <v>0</v>
      </c>
      <c r="Z393" s="71">
        <f>DA393+DC393+DE393</f>
        <v>0</v>
      </c>
      <c r="AA393" s="71">
        <f>CW393</f>
        <v>0</v>
      </c>
      <c r="AB393" s="71"/>
      <c r="AC393" s="71">
        <v>0</v>
      </c>
      <c r="AD393" s="71">
        <f>W393+X393+Y393+Z393+AA393+AB393+AC393</f>
        <v>0</v>
      </c>
      <c r="AE393" s="72">
        <v>0</v>
      </c>
      <c r="AF393" s="5"/>
      <c r="AG393" s="6"/>
      <c r="AH393" s="27" t="s">
        <v>3392</v>
      </c>
      <c r="AI393" s="44" t="s">
        <v>3393</v>
      </c>
      <c r="AJ393" s="26"/>
      <c r="AK393" s="5"/>
      <c r="AL393" s="82" t="s">
        <v>3238</v>
      </c>
      <c r="AM393" s="76"/>
      <c r="AN393" s="76"/>
      <c r="AO393" s="76"/>
      <c r="AP393" s="76"/>
      <c r="AQ393" s="76"/>
      <c r="AR393" s="76"/>
      <c r="AS393" s="76"/>
      <c r="AT393" s="76"/>
      <c r="AU393" s="76"/>
      <c r="AV393" s="76"/>
      <c r="AW393" s="76"/>
      <c r="AX393" s="76">
        <f>+AW393*600000</f>
        <v>0</v>
      </c>
      <c r="AY393" s="76"/>
      <c r="AZ393" s="76">
        <f>+AY393*70000</f>
        <v>0</v>
      </c>
      <c r="BA393" s="76"/>
      <c r="BB393" s="76"/>
      <c r="BC393" s="76"/>
      <c r="BD393" s="76">
        <f>+BC393*30000</f>
        <v>0</v>
      </c>
      <c r="BE393" s="76"/>
      <c r="BF393" s="76"/>
      <c r="BG393" s="76"/>
      <c r="BH393" s="76"/>
      <c r="BI393" s="76"/>
      <c r="BJ393" s="76"/>
      <c r="BK393" s="76"/>
      <c r="BL393" s="76">
        <f>+BK393*31500</f>
        <v>0</v>
      </c>
      <c r="BM393" s="76"/>
      <c r="BN393" s="76"/>
      <c r="BO393" s="76"/>
      <c r="BP393" s="76"/>
      <c r="BQ393" s="76"/>
      <c r="BR393" s="76"/>
      <c r="BS393" s="76"/>
      <c r="BT393" s="76"/>
      <c r="BU393" s="76"/>
      <c r="BV393" s="76"/>
      <c r="BW393" s="76"/>
      <c r="BX393" s="76"/>
      <c r="BY393" s="76"/>
      <c r="BZ393" s="76"/>
      <c r="CA393" s="76"/>
      <c r="CB393" s="76"/>
      <c r="CC393" s="76"/>
      <c r="CD393" s="76"/>
      <c r="CE393" s="76"/>
      <c r="CF393" s="76">
        <f>+CE393*28000</f>
        <v>0</v>
      </c>
      <c r="CG393" s="76"/>
      <c r="CH393" s="76">
        <f>+CG393*22500</f>
        <v>0</v>
      </c>
      <c r="CI393" s="76"/>
      <c r="CJ393" s="76">
        <f>+CI393*26000</f>
        <v>0</v>
      </c>
      <c r="CK393" s="76"/>
      <c r="CL393" s="76"/>
      <c r="CM393" s="76"/>
      <c r="CN393" s="76">
        <f>+CM393*22000</f>
        <v>0</v>
      </c>
      <c r="CO393" s="76"/>
      <c r="CP393" s="76">
        <f>+CO393*46000</f>
        <v>0</v>
      </c>
      <c r="CQ393" s="76"/>
      <c r="CR393" s="76">
        <f>+CQ393*49000</f>
        <v>0</v>
      </c>
      <c r="CS393" s="76"/>
      <c r="CT393" s="76"/>
      <c r="CU393" s="56">
        <f>AN393+AP393+AR393+AT393+AV393+AX393+AZ393+BB393+BD393+BF393+BH393+BJ393+BL393+BN393+BP393+BR393+BT393+BV393+BX393+BZ393+CB393+CD393+CF393+CH393+CJ393+CL393+CN393+CP393+CR393+CT393</f>
        <v>0</v>
      </c>
      <c r="CV393" s="76"/>
      <c r="CW393" s="76">
        <f>+CV393*1100</f>
        <v>0</v>
      </c>
      <c r="CX393" s="76"/>
      <c r="CY393" s="76">
        <f>+CX393*106250</f>
        <v>0</v>
      </c>
      <c r="CZ393" s="76"/>
      <c r="DA393" s="76">
        <f>+CZ393*34500</f>
        <v>0</v>
      </c>
      <c r="DB393" s="76"/>
      <c r="DC393" s="76">
        <f>+DB393*25000</f>
        <v>0</v>
      </c>
      <c r="DD393" s="219"/>
      <c r="DE393" s="219"/>
      <c r="DF393" s="164"/>
      <c r="DG393" s="116"/>
      <c r="DH393" s="117"/>
      <c r="DI393" s="24"/>
      <c r="DJ393" s="24"/>
      <c r="DK393" s="24"/>
      <c r="DL393" s="24"/>
      <c r="DM393" s="24"/>
      <c r="DN393" s="24"/>
      <c r="DO393" s="24"/>
      <c r="DP393" s="24"/>
      <c r="DQ393" s="24"/>
      <c r="DR393" s="24"/>
      <c r="DS393" s="24"/>
      <c r="DT393" s="24"/>
      <c r="DU393" s="24"/>
    </row>
    <row r="394" spans="1:125" s="8" customFormat="1" ht="84" x14ac:dyDescent="0.2">
      <c r="A394" s="77">
        <v>41301</v>
      </c>
      <c r="B394" s="78" t="s">
        <v>2777</v>
      </c>
      <c r="C394" s="75" t="s">
        <v>2783</v>
      </c>
      <c r="D394" s="75" t="s">
        <v>2859</v>
      </c>
      <c r="E394" s="75" t="str">
        <f>VLOOKUP(B394&amp;C394,Divipola!$C$2:$F$1138,4,FALSE)</f>
        <v>13001</v>
      </c>
      <c r="F394" s="87"/>
      <c r="G394" s="87"/>
      <c r="H394" s="87"/>
      <c r="I394" s="87">
        <v>6</v>
      </c>
      <c r="J394" s="87">
        <v>1</v>
      </c>
      <c r="K394" s="87"/>
      <c r="L394" s="87">
        <v>1</v>
      </c>
      <c r="M394" s="87"/>
      <c r="N394" s="87"/>
      <c r="O394" s="87"/>
      <c r="P394" s="87"/>
      <c r="Q394" s="87"/>
      <c r="R394" s="87"/>
      <c r="S394" s="87"/>
      <c r="T394" s="87"/>
      <c r="U394" s="127"/>
      <c r="V394" s="89"/>
      <c r="W394" s="96">
        <v>0</v>
      </c>
      <c r="X394" s="71">
        <f>CU394</f>
        <v>0</v>
      </c>
      <c r="Y394" s="71">
        <f>CY394</f>
        <v>0</v>
      </c>
      <c r="Z394" s="71">
        <f>DA394+DC394+DE394</f>
        <v>0</v>
      </c>
      <c r="AA394" s="71">
        <f>CW394</f>
        <v>0</v>
      </c>
      <c r="AB394" s="71"/>
      <c r="AC394" s="71">
        <v>0</v>
      </c>
      <c r="AD394" s="71">
        <f>W394+X394+Y394+Z394+AA394+AB394+AC394</f>
        <v>0</v>
      </c>
      <c r="AE394" s="72">
        <v>0</v>
      </c>
      <c r="AF394" s="5"/>
      <c r="AG394" s="6"/>
      <c r="AH394" s="27" t="s">
        <v>3392</v>
      </c>
      <c r="AI394" s="44" t="s">
        <v>3393</v>
      </c>
      <c r="AJ394" s="26"/>
      <c r="AK394" s="5"/>
      <c r="AL394" s="82" t="s">
        <v>3229</v>
      </c>
      <c r="AM394" s="76"/>
      <c r="AN394" s="76"/>
      <c r="AO394" s="76"/>
      <c r="AP394" s="76"/>
      <c r="AQ394" s="76"/>
      <c r="AR394" s="76"/>
      <c r="AS394" s="76"/>
      <c r="AT394" s="76"/>
      <c r="AU394" s="76"/>
      <c r="AV394" s="76"/>
      <c r="AW394" s="76"/>
      <c r="AX394" s="76">
        <f>+AW394*600000</f>
        <v>0</v>
      </c>
      <c r="AY394" s="76"/>
      <c r="AZ394" s="76">
        <f>+AY394*70000</f>
        <v>0</v>
      </c>
      <c r="BA394" s="76"/>
      <c r="BB394" s="76"/>
      <c r="BC394" s="76"/>
      <c r="BD394" s="76">
        <f>+BC394*30000</f>
        <v>0</v>
      </c>
      <c r="BE394" s="76"/>
      <c r="BF394" s="76"/>
      <c r="BG394" s="76"/>
      <c r="BH394" s="76"/>
      <c r="BI394" s="76"/>
      <c r="BJ394" s="76"/>
      <c r="BK394" s="76"/>
      <c r="BL394" s="76">
        <f>+BK394*31500</f>
        <v>0</v>
      </c>
      <c r="BM394" s="76"/>
      <c r="BN394" s="76"/>
      <c r="BO394" s="76"/>
      <c r="BP394" s="76"/>
      <c r="BQ394" s="76"/>
      <c r="BR394" s="76"/>
      <c r="BS394" s="76"/>
      <c r="BT394" s="76"/>
      <c r="BU394" s="76"/>
      <c r="BV394" s="76"/>
      <c r="BW394" s="76"/>
      <c r="BX394" s="76"/>
      <c r="BY394" s="76"/>
      <c r="BZ394" s="76"/>
      <c r="CA394" s="76"/>
      <c r="CB394" s="76"/>
      <c r="CC394" s="76"/>
      <c r="CD394" s="76"/>
      <c r="CE394" s="76"/>
      <c r="CF394" s="76">
        <f>+CE394*28000</f>
        <v>0</v>
      </c>
      <c r="CG394" s="76"/>
      <c r="CH394" s="76">
        <f>+CG394*22500</f>
        <v>0</v>
      </c>
      <c r="CI394" s="76"/>
      <c r="CJ394" s="76">
        <f>+CI394*26000</f>
        <v>0</v>
      </c>
      <c r="CK394" s="76"/>
      <c r="CL394" s="76"/>
      <c r="CM394" s="76"/>
      <c r="CN394" s="76">
        <f>+CM394*22000</f>
        <v>0</v>
      </c>
      <c r="CO394" s="76"/>
      <c r="CP394" s="76">
        <f>+CO394*46000</f>
        <v>0</v>
      </c>
      <c r="CQ394" s="76"/>
      <c r="CR394" s="76">
        <f>+CQ394*49000</f>
        <v>0</v>
      </c>
      <c r="CS394" s="76"/>
      <c r="CT394" s="76"/>
      <c r="CU394" s="56">
        <f>AN394+AP394+AR394+AT394+AV394+AX394+AZ394+BB394+BD394+BF394+BH394+BJ394+BL394+BN394+BP394+BR394+BT394+BV394+BX394+BZ394+CB394+CD394+CF394+CH394+CJ394+CL394+CN394+CP394+CR394+CT394</f>
        <v>0</v>
      </c>
      <c r="CV394" s="76"/>
      <c r="CW394" s="76">
        <f>+CV394*1100</f>
        <v>0</v>
      </c>
      <c r="CX394" s="76"/>
      <c r="CY394" s="76">
        <f>+CX394*106250</f>
        <v>0</v>
      </c>
      <c r="CZ394" s="76"/>
      <c r="DA394" s="76">
        <f>+CZ394*34500</f>
        <v>0</v>
      </c>
      <c r="DB394" s="76"/>
      <c r="DC394" s="76">
        <f>+DB394*25000</f>
        <v>0</v>
      </c>
      <c r="DD394" s="219"/>
      <c r="DE394" s="219"/>
      <c r="DF394" s="164"/>
      <c r="DG394" s="116"/>
      <c r="DH394" s="117"/>
      <c r="DI394" s="24"/>
      <c r="DJ394" s="24"/>
      <c r="DK394" s="24"/>
      <c r="DL394" s="24"/>
      <c r="DM394" s="24"/>
      <c r="DN394" s="24"/>
      <c r="DO394" s="24"/>
      <c r="DP394" s="24"/>
      <c r="DQ394" s="24"/>
      <c r="DR394" s="24"/>
      <c r="DS394" s="24"/>
      <c r="DT394" s="24"/>
      <c r="DU394" s="24"/>
    </row>
    <row r="395" spans="1:125" s="8" customFormat="1" ht="48" x14ac:dyDescent="0.2">
      <c r="A395" s="77">
        <v>41301</v>
      </c>
      <c r="B395" s="78" t="s">
        <v>2700</v>
      </c>
      <c r="C395" s="75" t="s">
        <v>1640</v>
      </c>
      <c r="D395" s="81" t="s">
        <v>2846</v>
      </c>
      <c r="E395" s="75" t="str">
        <f>VLOOKUP(B395&amp;C395,Divipola!$C$2:$F$1138,4,FALSE)</f>
        <v>15244</v>
      </c>
      <c r="F395" s="87"/>
      <c r="G395" s="87"/>
      <c r="H395" s="87"/>
      <c r="I395" s="87"/>
      <c r="J395" s="87"/>
      <c r="K395" s="87"/>
      <c r="L395" s="87"/>
      <c r="M395" s="87"/>
      <c r="N395" s="87"/>
      <c r="O395" s="87"/>
      <c r="P395" s="87"/>
      <c r="Q395" s="87"/>
      <c r="R395" s="87"/>
      <c r="S395" s="87"/>
      <c r="T395" s="87"/>
      <c r="U395" s="127">
        <v>20</v>
      </c>
      <c r="V395" s="89"/>
      <c r="W395" s="96">
        <v>0</v>
      </c>
      <c r="X395" s="71">
        <f>CU395</f>
        <v>0</v>
      </c>
      <c r="Y395" s="71">
        <f>CY395</f>
        <v>0</v>
      </c>
      <c r="Z395" s="71">
        <f>DA395+DC395+DE395</f>
        <v>0</v>
      </c>
      <c r="AA395" s="71">
        <f>CW395</f>
        <v>0</v>
      </c>
      <c r="AB395" s="71"/>
      <c r="AC395" s="71">
        <v>0</v>
      </c>
      <c r="AD395" s="71">
        <f>W395+X395+Y395+Z395+AA395+AB395+AC395</f>
        <v>0</v>
      </c>
      <c r="AE395" s="72">
        <v>0</v>
      </c>
      <c r="AF395" s="5"/>
      <c r="AG395" s="6"/>
      <c r="AH395" s="27" t="s">
        <v>3392</v>
      </c>
      <c r="AI395" s="44" t="s">
        <v>3393</v>
      </c>
      <c r="AJ395" s="26"/>
      <c r="AK395" s="5"/>
      <c r="AL395" s="82" t="s">
        <v>3268</v>
      </c>
      <c r="AM395" s="76"/>
      <c r="AN395" s="76"/>
      <c r="AO395" s="76"/>
      <c r="AP395" s="76"/>
      <c r="AQ395" s="76"/>
      <c r="AR395" s="76"/>
      <c r="AS395" s="76"/>
      <c r="AT395" s="76"/>
      <c r="AU395" s="76"/>
      <c r="AV395" s="76"/>
      <c r="AW395" s="76"/>
      <c r="AX395" s="76">
        <f>+AW395*600000</f>
        <v>0</v>
      </c>
      <c r="AY395" s="76"/>
      <c r="AZ395" s="76">
        <f>+AY395*70000</f>
        <v>0</v>
      </c>
      <c r="BA395" s="76"/>
      <c r="BB395" s="76"/>
      <c r="BC395" s="76"/>
      <c r="BD395" s="76">
        <f>+BC395*30000</f>
        <v>0</v>
      </c>
      <c r="BE395" s="76"/>
      <c r="BF395" s="76"/>
      <c r="BG395" s="76"/>
      <c r="BH395" s="76"/>
      <c r="BI395" s="76"/>
      <c r="BJ395" s="76"/>
      <c r="BK395" s="76"/>
      <c r="BL395" s="76">
        <f>+BK395*31500</f>
        <v>0</v>
      </c>
      <c r="BM395" s="76"/>
      <c r="BN395" s="76"/>
      <c r="BO395" s="76"/>
      <c r="BP395" s="76"/>
      <c r="BQ395" s="76"/>
      <c r="BR395" s="76"/>
      <c r="BS395" s="76"/>
      <c r="BT395" s="76"/>
      <c r="BU395" s="76"/>
      <c r="BV395" s="76"/>
      <c r="BW395" s="76"/>
      <c r="BX395" s="76"/>
      <c r="BY395" s="76"/>
      <c r="BZ395" s="76"/>
      <c r="CA395" s="76"/>
      <c r="CB395" s="76"/>
      <c r="CC395" s="76"/>
      <c r="CD395" s="76"/>
      <c r="CE395" s="76"/>
      <c r="CF395" s="76">
        <f>+CE395*28000</f>
        <v>0</v>
      </c>
      <c r="CG395" s="76"/>
      <c r="CH395" s="76">
        <f>+CG395*22500</f>
        <v>0</v>
      </c>
      <c r="CI395" s="76"/>
      <c r="CJ395" s="76">
        <f>+CI395*26000</f>
        <v>0</v>
      </c>
      <c r="CK395" s="76"/>
      <c r="CL395" s="76"/>
      <c r="CM395" s="76"/>
      <c r="CN395" s="76">
        <f>+CM395*22000</f>
        <v>0</v>
      </c>
      <c r="CO395" s="76"/>
      <c r="CP395" s="76">
        <f>+CO395*46000</f>
        <v>0</v>
      </c>
      <c r="CQ395" s="76"/>
      <c r="CR395" s="76">
        <f>+CQ395*49000</f>
        <v>0</v>
      </c>
      <c r="CS395" s="76"/>
      <c r="CT395" s="76"/>
      <c r="CU395" s="56">
        <f>AN395+AP395+AR395+AT395+AV395+AX395+AZ395+BB395+BD395+BF395+BH395+BJ395+BL395+BN395+BP395+BR395+BT395+BV395+BX395+BZ395+CB395+CD395+CF395+CH395+CJ395+CL395+CN395+CP395+CR395+CT395</f>
        <v>0</v>
      </c>
      <c r="CV395" s="76"/>
      <c r="CW395" s="76">
        <f>+CV395*1100</f>
        <v>0</v>
      </c>
      <c r="CX395" s="76"/>
      <c r="CY395" s="76">
        <f>+CX395*106250</f>
        <v>0</v>
      </c>
      <c r="CZ395" s="76"/>
      <c r="DA395" s="76">
        <f>+CZ395*34500</f>
        <v>0</v>
      </c>
      <c r="DB395" s="76"/>
      <c r="DC395" s="76">
        <f>+DB395*25000</f>
        <v>0</v>
      </c>
      <c r="DD395" s="219"/>
      <c r="DE395" s="219"/>
      <c r="DF395" s="166"/>
      <c r="DG395" s="116"/>
      <c r="DH395" s="117"/>
      <c r="DI395" s="24"/>
      <c r="DJ395" s="24"/>
      <c r="DK395" s="24"/>
      <c r="DL395" s="24"/>
      <c r="DM395" s="24"/>
      <c r="DN395" s="24"/>
      <c r="DO395" s="24"/>
      <c r="DP395" s="24"/>
      <c r="DQ395" s="24"/>
      <c r="DR395" s="24"/>
      <c r="DS395" s="24"/>
      <c r="DT395" s="24"/>
      <c r="DU395" s="24"/>
    </row>
    <row r="396" spans="1:125" s="8" customFormat="1" ht="60" x14ac:dyDescent="0.2">
      <c r="A396" s="77">
        <v>41301</v>
      </c>
      <c r="B396" s="78" t="s">
        <v>2700</v>
      </c>
      <c r="C396" s="83" t="s">
        <v>2671</v>
      </c>
      <c r="D396" s="81" t="s">
        <v>2846</v>
      </c>
      <c r="E396" s="75" t="str">
        <f>VLOOKUP(B396&amp;C396,Divipola!$C$2:$F$1138,4,FALSE)</f>
        <v>15001</v>
      </c>
      <c r="F396" s="93"/>
      <c r="G396" s="93"/>
      <c r="H396" s="93"/>
      <c r="I396" s="93"/>
      <c r="J396" s="93"/>
      <c r="K396" s="93"/>
      <c r="L396" s="93"/>
      <c r="M396" s="93"/>
      <c r="N396" s="93"/>
      <c r="O396" s="93"/>
      <c r="P396" s="93"/>
      <c r="Q396" s="93"/>
      <c r="R396" s="93"/>
      <c r="S396" s="93"/>
      <c r="T396" s="93"/>
      <c r="U396" s="125">
        <v>1</v>
      </c>
      <c r="V396" s="89"/>
      <c r="W396" s="96">
        <v>0</v>
      </c>
      <c r="X396" s="71">
        <f>CU396</f>
        <v>0</v>
      </c>
      <c r="Y396" s="71">
        <f>CY396</f>
        <v>0</v>
      </c>
      <c r="Z396" s="71">
        <f>DA396+DC396+DE396</f>
        <v>0</v>
      </c>
      <c r="AA396" s="71">
        <f>CW396</f>
        <v>0</v>
      </c>
      <c r="AB396" s="71"/>
      <c r="AC396" s="71">
        <v>0</v>
      </c>
      <c r="AD396" s="71">
        <f>W396+X396+Y396+Z396+AA396+AB396+AC396</f>
        <v>0</v>
      </c>
      <c r="AE396" s="72">
        <v>0</v>
      </c>
      <c r="AF396" s="5"/>
      <c r="AG396" s="6"/>
      <c r="AH396" s="27" t="s">
        <v>3392</v>
      </c>
      <c r="AI396" s="44" t="s">
        <v>3393</v>
      </c>
      <c r="AJ396" s="26"/>
      <c r="AK396" s="5"/>
      <c r="AL396" s="82" t="s">
        <v>3269</v>
      </c>
      <c r="AM396" s="76"/>
      <c r="AN396" s="76"/>
      <c r="AO396" s="76"/>
      <c r="AP396" s="76"/>
      <c r="AQ396" s="76"/>
      <c r="AR396" s="76"/>
      <c r="AS396" s="76"/>
      <c r="AT396" s="76"/>
      <c r="AU396" s="76"/>
      <c r="AV396" s="76"/>
      <c r="AW396" s="76"/>
      <c r="AX396" s="76">
        <f>+AW396*600000</f>
        <v>0</v>
      </c>
      <c r="AY396" s="76"/>
      <c r="AZ396" s="76">
        <f>+AY396*70000</f>
        <v>0</v>
      </c>
      <c r="BA396" s="76"/>
      <c r="BB396" s="76"/>
      <c r="BC396" s="76"/>
      <c r="BD396" s="76">
        <f>+BC396*30000</f>
        <v>0</v>
      </c>
      <c r="BE396" s="76"/>
      <c r="BF396" s="76"/>
      <c r="BG396" s="76"/>
      <c r="BH396" s="76"/>
      <c r="BI396" s="76"/>
      <c r="BJ396" s="76"/>
      <c r="BK396" s="76"/>
      <c r="BL396" s="76">
        <f>+BK396*31500</f>
        <v>0</v>
      </c>
      <c r="BM396" s="76"/>
      <c r="BN396" s="76"/>
      <c r="BO396" s="76"/>
      <c r="BP396" s="76"/>
      <c r="BQ396" s="76"/>
      <c r="BR396" s="76"/>
      <c r="BS396" s="76"/>
      <c r="BT396" s="76"/>
      <c r="BU396" s="76"/>
      <c r="BV396" s="76"/>
      <c r="BW396" s="76"/>
      <c r="BX396" s="76"/>
      <c r="BY396" s="76"/>
      <c r="BZ396" s="76"/>
      <c r="CA396" s="76"/>
      <c r="CB396" s="76"/>
      <c r="CC396" s="76"/>
      <c r="CD396" s="76"/>
      <c r="CE396" s="76"/>
      <c r="CF396" s="76">
        <f>+CE396*28000</f>
        <v>0</v>
      </c>
      <c r="CG396" s="76"/>
      <c r="CH396" s="76">
        <f>+CG396*22500</f>
        <v>0</v>
      </c>
      <c r="CI396" s="76"/>
      <c r="CJ396" s="76">
        <f>+CI396*26000</f>
        <v>0</v>
      </c>
      <c r="CK396" s="76"/>
      <c r="CL396" s="76"/>
      <c r="CM396" s="76"/>
      <c r="CN396" s="76">
        <f>+CM396*22000</f>
        <v>0</v>
      </c>
      <c r="CO396" s="76"/>
      <c r="CP396" s="76">
        <f>+CO396*46000</f>
        <v>0</v>
      </c>
      <c r="CQ396" s="76"/>
      <c r="CR396" s="76">
        <f>+CQ396*49000</f>
        <v>0</v>
      </c>
      <c r="CS396" s="76"/>
      <c r="CT396" s="76"/>
      <c r="CU396" s="56">
        <f>AN396+AP396+AR396+AT396+AV396+AX396+AZ396+BB396+BD396+BF396+BH396+BJ396+BL396+BN396+BP396+BR396+BT396+BV396+BX396+BZ396+CB396+CD396+CF396+CH396+CJ396+CL396+CN396+CP396+CR396+CT396</f>
        <v>0</v>
      </c>
      <c r="CV396" s="76"/>
      <c r="CW396" s="76">
        <f>+CV396*1100</f>
        <v>0</v>
      </c>
      <c r="CX396" s="76"/>
      <c r="CY396" s="76">
        <f>+CX396*106250</f>
        <v>0</v>
      </c>
      <c r="CZ396" s="76"/>
      <c r="DA396" s="76">
        <f>+CZ396*34500</f>
        <v>0</v>
      </c>
      <c r="DB396" s="76"/>
      <c r="DC396" s="76">
        <f>+DB396*25000</f>
        <v>0</v>
      </c>
      <c r="DD396" s="219"/>
      <c r="DE396" s="219"/>
      <c r="DF396" s="166"/>
      <c r="DG396" s="116"/>
      <c r="DH396" s="117"/>
      <c r="DI396" s="24"/>
      <c r="DJ396" s="24"/>
      <c r="DK396" s="24"/>
      <c r="DL396" s="24"/>
      <c r="DM396" s="24"/>
      <c r="DN396" s="24"/>
      <c r="DO396" s="24"/>
      <c r="DP396" s="24"/>
      <c r="DQ396" s="24"/>
      <c r="DR396" s="24"/>
      <c r="DS396" s="24"/>
      <c r="DT396" s="24"/>
      <c r="DU396" s="24"/>
    </row>
    <row r="397" spans="1:125" s="8" customFormat="1" ht="36" x14ac:dyDescent="0.2">
      <c r="A397" s="77">
        <v>41301</v>
      </c>
      <c r="B397" s="78" t="s">
        <v>2778</v>
      </c>
      <c r="C397" s="75" t="s">
        <v>1344</v>
      </c>
      <c r="D397" s="81" t="s">
        <v>2846</v>
      </c>
      <c r="E397" s="75" t="str">
        <f>VLOOKUP(B397&amp;C397,Divipola!$C$2:$F$1138,4,FALSE)</f>
        <v>85001</v>
      </c>
      <c r="F397" s="87"/>
      <c r="G397" s="87"/>
      <c r="H397" s="87"/>
      <c r="I397" s="87"/>
      <c r="J397" s="87"/>
      <c r="K397" s="87"/>
      <c r="L397" s="87"/>
      <c r="M397" s="87"/>
      <c r="N397" s="87"/>
      <c r="O397" s="87"/>
      <c r="P397" s="87"/>
      <c r="Q397" s="87"/>
      <c r="R397" s="87"/>
      <c r="S397" s="87"/>
      <c r="T397" s="87"/>
      <c r="U397" s="127">
        <v>8</v>
      </c>
      <c r="V397" s="89"/>
      <c r="W397" s="96">
        <v>0</v>
      </c>
      <c r="X397" s="71">
        <f>CU397</f>
        <v>0</v>
      </c>
      <c r="Y397" s="71">
        <f>CY397</f>
        <v>0</v>
      </c>
      <c r="Z397" s="71">
        <f>DA397+DC397+DE397</f>
        <v>0</v>
      </c>
      <c r="AA397" s="71">
        <f>CW397</f>
        <v>0</v>
      </c>
      <c r="AB397" s="71"/>
      <c r="AC397" s="71">
        <v>0</v>
      </c>
      <c r="AD397" s="71">
        <f>W397+X397+Y397+Z397+AA397+AB397+AC397</f>
        <v>0</v>
      </c>
      <c r="AE397" s="72">
        <v>0</v>
      </c>
      <c r="AF397" s="5"/>
      <c r="AG397" s="6"/>
      <c r="AH397" s="27" t="s">
        <v>3392</v>
      </c>
      <c r="AI397" s="44" t="s">
        <v>3393</v>
      </c>
      <c r="AJ397" s="26"/>
      <c r="AK397" s="5"/>
      <c r="AL397" s="82" t="s">
        <v>3236</v>
      </c>
      <c r="AM397" s="76"/>
      <c r="AN397" s="76"/>
      <c r="AO397" s="76"/>
      <c r="AP397" s="76"/>
      <c r="AQ397" s="76"/>
      <c r="AR397" s="76"/>
      <c r="AS397" s="76"/>
      <c r="AT397" s="76"/>
      <c r="AU397" s="76"/>
      <c r="AV397" s="76"/>
      <c r="AW397" s="76"/>
      <c r="AX397" s="76">
        <f>+AW397*600000</f>
        <v>0</v>
      </c>
      <c r="AY397" s="76"/>
      <c r="AZ397" s="76">
        <f>+AY397*70000</f>
        <v>0</v>
      </c>
      <c r="BA397" s="76"/>
      <c r="BB397" s="76"/>
      <c r="BC397" s="76"/>
      <c r="BD397" s="76">
        <f>+BC397*30000</f>
        <v>0</v>
      </c>
      <c r="BE397" s="76"/>
      <c r="BF397" s="76"/>
      <c r="BG397" s="76"/>
      <c r="BH397" s="76"/>
      <c r="BI397" s="76"/>
      <c r="BJ397" s="76"/>
      <c r="BK397" s="76"/>
      <c r="BL397" s="76">
        <f>+BK397*31500</f>
        <v>0</v>
      </c>
      <c r="BM397" s="76"/>
      <c r="BN397" s="76"/>
      <c r="BO397" s="76"/>
      <c r="BP397" s="76"/>
      <c r="BQ397" s="76"/>
      <c r="BR397" s="76"/>
      <c r="BS397" s="76"/>
      <c r="BT397" s="76"/>
      <c r="BU397" s="76"/>
      <c r="BV397" s="76"/>
      <c r="BW397" s="76"/>
      <c r="BX397" s="76"/>
      <c r="BY397" s="76"/>
      <c r="BZ397" s="76"/>
      <c r="CA397" s="76"/>
      <c r="CB397" s="76"/>
      <c r="CC397" s="76"/>
      <c r="CD397" s="76"/>
      <c r="CE397" s="76"/>
      <c r="CF397" s="76">
        <f>+CE397*28000</f>
        <v>0</v>
      </c>
      <c r="CG397" s="76"/>
      <c r="CH397" s="76">
        <f>+CG397*22500</f>
        <v>0</v>
      </c>
      <c r="CI397" s="76"/>
      <c r="CJ397" s="76">
        <f>+CI397*26000</f>
        <v>0</v>
      </c>
      <c r="CK397" s="76"/>
      <c r="CL397" s="76"/>
      <c r="CM397" s="76"/>
      <c r="CN397" s="76">
        <f>+CM397*22000</f>
        <v>0</v>
      </c>
      <c r="CO397" s="76"/>
      <c r="CP397" s="76">
        <f>+CO397*46000</f>
        <v>0</v>
      </c>
      <c r="CQ397" s="76"/>
      <c r="CR397" s="76">
        <f>+CQ397*49000</f>
        <v>0</v>
      </c>
      <c r="CS397" s="76"/>
      <c r="CT397" s="76"/>
      <c r="CU397" s="56">
        <f>AN397+AP397+AR397+AT397+AV397+AX397+AZ397+BB397+BD397+BF397+BH397+BJ397+BL397+BN397+BP397+BR397+BT397+BV397+BX397+BZ397+CB397+CD397+CF397+CH397+CJ397+CL397+CN397+CP397+CR397+CT397</f>
        <v>0</v>
      </c>
      <c r="CV397" s="76"/>
      <c r="CW397" s="76">
        <f>+CV397*1100</f>
        <v>0</v>
      </c>
      <c r="CX397" s="76"/>
      <c r="CY397" s="76">
        <f>+CX397*106250</f>
        <v>0</v>
      </c>
      <c r="CZ397" s="76"/>
      <c r="DA397" s="76">
        <f>+CZ397*34500</f>
        <v>0</v>
      </c>
      <c r="DB397" s="76"/>
      <c r="DC397" s="76">
        <f>+DB397*25000</f>
        <v>0</v>
      </c>
      <c r="DD397" s="219"/>
      <c r="DE397" s="219"/>
      <c r="DF397" s="164"/>
      <c r="DG397" s="116"/>
      <c r="DH397" s="117"/>
      <c r="DI397" s="24"/>
      <c r="DJ397" s="24"/>
      <c r="DK397" s="24"/>
      <c r="DL397" s="24"/>
      <c r="DM397" s="24"/>
      <c r="DN397" s="24"/>
      <c r="DO397" s="24"/>
      <c r="DP397" s="24"/>
      <c r="DQ397" s="24"/>
      <c r="DR397" s="24"/>
      <c r="DS397" s="24"/>
      <c r="DT397" s="24"/>
      <c r="DU397" s="24"/>
    </row>
    <row r="398" spans="1:125" s="8" customFormat="1" ht="36" x14ac:dyDescent="0.2">
      <c r="A398" s="77">
        <v>41301</v>
      </c>
      <c r="B398" s="78" t="s">
        <v>2772</v>
      </c>
      <c r="C398" s="75" t="s">
        <v>1372</v>
      </c>
      <c r="D398" s="81" t="s">
        <v>2846</v>
      </c>
      <c r="E398" s="75" t="str">
        <f>VLOOKUP(B398&amp;C398,Divipola!$C$2:$F$1138,4,FALSE)</f>
        <v>25817</v>
      </c>
      <c r="F398" s="87"/>
      <c r="G398" s="87"/>
      <c r="H398" s="87"/>
      <c r="I398" s="87"/>
      <c r="J398" s="87"/>
      <c r="K398" s="87"/>
      <c r="L398" s="87"/>
      <c r="M398" s="87"/>
      <c r="N398" s="87"/>
      <c r="O398" s="87"/>
      <c r="P398" s="87"/>
      <c r="Q398" s="87"/>
      <c r="R398" s="87"/>
      <c r="S398" s="87"/>
      <c r="T398" s="87"/>
      <c r="U398" s="127">
        <v>2</v>
      </c>
      <c r="V398" s="89"/>
      <c r="W398" s="96">
        <v>0</v>
      </c>
      <c r="X398" s="71">
        <f>CU398</f>
        <v>0</v>
      </c>
      <c r="Y398" s="71">
        <f>CY398</f>
        <v>0</v>
      </c>
      <c r="Z398" s="71">
        <f>DA398+DC398+DE398</f>
        <v>0</v>
      </c>
      <c r="AA398" s="71">
        <f>CW398</f>
        <v>0</v>
      </c>
      <c r="AB398" s="71"/>
      <c r="AC398" s="71">
        <v>0</v>
      </c>
      <c r="AD398" s="71">
        <f>W398+X398+Y398+Z398+AA398+AB398+AC398</f>
        <v>0</v>
      </c>
      <c r="AE398" s="72">
        <v>0</v>
      </c>
      <c r="AF398" s="5"/>
      <c r="AG398" s="6"/>
      <c r="AH398" s="27" t="s">
        <v>3392</v>
      </c>
      <c r="AI398" s="44" t="s">
        <v>3393</v>
      </c>
      <c r="AJ398" s="26"/>
      <c r="AK398" s="5"/>
      <c r="AL398" s="82" t="s">
        <v>3235</v>
      </c>
      <c r="AM398" s="76"/>
      <c r="AN398" s="76"/>
      <c r="AO398" s="76"/>
      <c r="AP398" s="76"/>
      <c r="AQ398" s="76"/>
      <c r="AR398" s="76"/>
      <c r="AS398" s="76"/>
      <c r="AT398" s="76"/>
      <c r="AU398" s="76"/>
      <c r="AV398" s="76"/>
      <c r="AW398" s="76"/>
      <c r="AX398" s="76">
        <f>+AW398*600000</f>
        <v>0</v>
      </c>
      <c r="AY398" s="76"/>
      <c r="AZ398" s="76">
        <f>+AY398*70000</f>
        <v>0</v>
      </c>
      <c r="BA398" s="76"/>
      <c r="BB398" s="76"/>
      <c r="BC398" s="76"/>
      <c r="BD398" s="76">
        <f>+BC398*30000</f>
        <v>0</v>
      </c>
      <c r="BE398" s="76"/>
      <c r="BF398" s="76"/>
      <c r="BG398" s="76"/>
      <c r="BH398" s="76"/>
      <c r="BI398" s="76"/>
      <c r="BJ398" s="76"/>
      <c r="BK398" s="76"/>
      <c r="BL398" s="76">
        <f>+BK398*31500</f>
        <v>0</v>
      </c>
      <c r="BM398" s="76"/>
      <c r="BN398" s="76"/>
      <c r="BO398" s="76"/>
      <c r="BP398" s="76"/>
      <c r="BQ398" s="76"/>
      <c r="BR398" s="76"/>
      <c r="BS398" s="76"/>
      <c r="BT398" s="76"/>
      <c r="BU398" s="76"/>
      <c r="BV398" s="76"/>
      <c r="BW398" s="76"/>
      <c r="BX398" s="76"/>
      <c r="BY398" s="76"/>
      <c r="BZ398" s="76"/>
      <c r="CA398" s="76"/>
      <c r="CB398" s="76"/>
      <c r="CC398" s="76"/>
      <c r="CD398" s="76"/>
      <c r="CE398" s="76"/>
      <c r="CF398" s="76">
        <f>+CE398*28000</f>
        <v>0</v>
      </c>
      <c r="CG398" s="76"/>
      <c r="CH398" s="76">
        <f>+CG398*22500</f>
        <v>0</v>
      </c>
      <c r="CI398" s="76"/>
      <c r="CJ398" s="76">
        <f>+CI398*26000</f>
        <v>0</v>
      </c>
      <c r="CK398" s="76"/>
      <c r="CL398" s="76"/>
      <c r="CM398" s="76"/>
      <c r="CN398" s="76">
        <f>+CM398*22000</f>
        <v>0</v>
      </c>
      <c r="CO398" s="76"/>
      <c r="CP398" s="76">
        <f>+CO398*46000</f>
        <v>0</v>
      </c>
      <c r="CQ398" s="76"/>
      <c r="CR398" s="76">
        <f>+CQ398*49000</f>
        <v>0</v>
      </c>
      <c r="CS398" s="76"/>
      <c r="CT398" s="76"/>
      <c r="CU398" s="56">
        <f>AN398+AP398+AR398+AT398+AV398+AX398+AZ398+BB398+BD398+BF398+BH398+BJ398+BL398+BN398+BP398+BR398+BT398+BV398+BX398+BZ398+CB398+CD398+CF398+CH398+CJ398+CL398+CN398+CP398+CR398+CT398</f>
        <v>0</v>
      </c>
      <c r="CV398" s="76"/>
      <c r="CW398" s="76">
        <f>+CV398*1100</f>
        <v>0</v>
      </c>
      <c r="CX398" s="76"/>
      <c r="CY398" s="76">
        <f>+CX398*106250</f>
        <v>0</v>
      </c>
      <c r="CZ398" s="76"/>
      <c r="DA398" s="76">
        <f>+CZ398*34500</f>
        <v>0</v>
      </c>
      <c r="DB398" s="76"/>
      <c r="DC398" s="76">
        <f>+DB398*25000</f>
        <v>0</v>
      </c>
      <c r="DD398" s="219"/>
      <c r="DE398" s="219"/>
      <c r="DF398" s="164"/>
      <c r="DG398" s="116"/>
      <c r="DH398" s="117"/>
      <c r="DI398" s="24"/>
      <c r="DJ398" s="24"/>
      <c r="DK398" s="24"/>
      <c r="DL398" s="24"/>
      <c r="DM398" s="24"/>
      <c r="DN398" s="24"/>
      <c r="DO398" s="24"/>
      <c r="DP398" s="24"/>
      <c r="DQ398" s="24"/>
      <c r="DR398" s="24"/>
      <c r="DS398" s="24"/>
      <c r="DT398" s="24"/>
      <c r="DU398" s="24"/>
    </row>
    <row r="399" spans="1:125" s="8" customFormat="1" ht="36" x14ac:dyDescent="0.2">
      <c r="A399" s="77">
        <v>41301</v>
      </c>
      <c r="B399" s="352" t="s">
        <v>2661</v>
      </c>
      <c r="C399" s="354" t="s">
        <v>2808</v>
      </c>
      <c r="D399" s="81" t="s">
        <v>2846</v>
      </c>
      <c r="E399" s="75" t="str">
        <f>VLOOKUP(B399&amp;C399,Divipola!$C$2:$F$1138,4,FALSE)</f>
        <v>41359</v>
      </c>
      <c r="F399" s="87"/>
      <c r="G399" s="87"/>
      <c r="H399" s="87"/>
      <c r="I399" s="87"/>
      <c r="J399" s="87"/>
      <c r="K399" s="87"/>
      <c r="L399" s="87"/>
      <c r="M399" s="87"/>
      <c r="N399" s="87"/>
      <c r="O399" s="87"/>
      <c r="P399" s="87"/>
      <c r="Q399" s="87"/>
      <c r="R399" s="87"/>
      <c r="S399" s="87"/>
      <c r="T399" s="87"/>
      <c r="U399" s="127">
        <v>1</v>
      </c>
      <c r="V399" s="89"/>
      <c r="W399" s="96">
        <v>0</v>
      </c>
      <c r="X399" s="71">
        <f>CU399</f>
        <v>0</v>
      </c>
      <c r="Y399" s="71">
        <f>CY399</f>
        <v>0</v>
      </c>
      <c r="Z399" s="71">
        <f>DA399+DC399+DE399</f>
        <v>0</v>
      </c>
      <c r="AA399" s="71">
        <f>CW399</f>
        <v>0</v>
      </c>
      <c r="AB399" s="71"/>
      <c r="AC399" s="71">
        <v>0</v>
      </c>
      <c r="AD399" s="71">
        <f>W399+X399+Y399+Z399+AA399+AB399+AC399</f>
        <v>0</v>
      </c>
      <c r="AE399" s="72">
        <v>0</v>
      </c>
      <c r="AF399" s="5"/>
      <c r="AG399" s="6"/>
      <c r="AH399" s="27" t="s">
        <v>3392</v>
      </c>
      <c r="AI399" s="44" t="s">
        <v>3393</v>
      </c>
      <c r="AJ399" s="26"/>
      <c r="AK399" s="5"/>
      <c r="AL399" s="82" t="s">
        <v>3233</v>
      </c>
      <c r="AM399" s="76"/>
      <c r="AN399" s="76"/>
      <c r="AO399" s="76"/>
      <c r="AP399" s="76"/>
      <c r="AQ399" s="76"/>
      <c r="AR399" s="76"/>
      <c r="AS399" s="76"/>
      <c r="AT399" s="76"/>
      <c r="AU399" s="76"/>
      <c r="AV399" s="76"/>
      <c r="AW399" s="76"/>
      <c r="AX399" s="76">
        <f>+AW399*600000</f>
        <v>0</v>
      </c>
      <c r="AY399" s="76"/>
      <c r="AZ399" s="76">
        <f>+AY399*70000</f>
        <v>0</v>
      </c>
      <c r="BA399" s="76"/>
      <c r="BB399" s="76"/>
      <c r="BC399" s="76"/>
      <c r="BD399" s="76">
        <f>+BC399*30000</f>
        <v>0</v>
      </c>
      <c r="BE399" s="76"/>
      <c r="BF399" s="76"/>
      <c r="BG399" s="76"/>
      <c r="BH399" s="76"/>
      <c r="BI399" s="76"/>
      <c r="BJ399" s="76"/>
      <c r="BK399" s="76"/>
      <c r="BL399" s="76">
        <f>+BK399*31500</f>
        <v>0</v>
      </c>
      <c r="BM399" s="76"/>
      <c r="BN399" s="76"/>
      <c r="BO399" s="76"/>
      <c r="BP399" s="76"/>
      <c r="BQ399" s="76"/>
      <c r="BR399" s="76"/>
      <c r="BS399" s="76"/>
      <c r="BT399" s="76"/>
      <c r="BU399" s="76"/>
      <c r="BV399" s="76"/>
      <c r="BW399" s="76"/>
      <c r="BX399" s="76"/>
      <c r="BY399" s="76"/>
      <c r="BZ399" s="76"/>
      <c r="CA399" s="76"/>
      <c r="CB399" s="76"/>
      <c r="CC399" s="76"/>
      <c r="CD399" s="76"/>
      <c r="CE399" s="76"/>
      <c r="CF399" s="76">
        <f>+CE399*28000</f>
        <v>0</v>
      </c>
      <c r="CG399" s="76"/>
      <c r="CH399" s="76">
        <f>+CG399*22500</f>
        <v>0</v>
      </c>
      <c r="CI399" s="76"/>
      <c r="CJ399" s="76">
        <f>+CI399*26000</f>
        <v>0</v>
      </c>
      <c r="CK399" s="76"/>
      <c r="CL399" s="76"/>
      <c r="CM399" s="76"/>
      <c r="CN399" s="76">
        <f>+CM399*22000</f>
        <v>0</v>
      </c>
      <c r="CO399" s="76"/>
      <c r="CP399" s="76">
        <f>+CO399*46000</f>
        <v>0</v>
      </c>
      <c r="CQ399" s="76"/>
      <c r="CR399" s="76">
        <f>+CQ399*49000</f>
        <v>0</v>
      </c>
      <c r="CS399" s="76"/>
      <c r="CT399" s="76"/>
      <c r="CU399" s="56">
        <f>AN399+AP399+AR399+AT399+AV399+AX399+AZ399+BB399+BD399+BF399+BH399+BJ399+BL399+BN399+BP399+BR399+BT399+BV399+BX399+BZ399+CB399+CD399+CF399+CH399+CJ399+CL399+CN399+CP399+CR399+CT399</f>
        <v>0</v>
      </c>
      <c r="CV399" s="76"/>
      <c r="CW399" s="76">
        <f>+CV399*1100</f>
        <v>0</v>
      </c>
      <c r="CX399" s="76"/>
      <c r="CY399" s="76">
        <f>+CX399*106250</f>
        <v>0</v>
      </c>
      <c r="CZ399" s="76"/>
      <c r="DA399" s="76">
        <f>+CZ399*34500</f>
        <v>0</v>
      </c>
      <c r="DB399" s="76"/>
      <c r="DC399" s="76">
        <f>+DB399*25000</f>
        <v>0</v>
      </c>
      <c r="DD399" s="219"/>
      <c r="DE399" s="219"/>
      <c r="DF399" s="164"/>
      <c r="DG399" s="116"/>
      <c r="DH399" s="117"/>
      <c r="DI399" s="24"/>
      <c r="DJ399" s="24"/>
      <c r="DK399" s="24"/>
      <c r="DL399" s="24"/>
      <c r="DM399" s="24"/>
      <c r="DN399" s="24"/>
      <c r="DO399" s="24"/>
      <c r="DP399" s="24"/>
      <c r="DQ399" s="24"/>
      <c r="DR399" s="24"/>
      <c r="DS399" s="24"/>
      <c r="DT399" s="24"/>
      <c r="DU399" s="24"/>
    </row>
    <row r="400" spans="1:125" s="8" customFormat="1" ht="36" x14ac:dyDescent="0.2">
      <c r="A400" s="77">
        <v>41301</v>
      </c>
      <c r="B400" s="225" t="s">
        <v>2661</v>
      </c>
      <c r="C400" s="227" t="s">
        <v>2808</v>
      </c>
      <c r="D400" s="81" t="s">
        <v>2846</v>
      </c>
      <c r="E400" s="75" t="str">
        <f>VLOOKUP(B400&amp;C400,Divipola!$C$2:$F$1138,4,FALSE)</f>
        <v>41359</v>
      </c>
      <c r="F400" s="87"/>
      <c r="G400" s="87"/>
      <c r="H400" s="87"/>
      <c r="I400" s="87"/>
      <c r="J400" s="87"/>
      <c r="K400" s="87"/>
      <c r="L400" s="87"/>
      <c r="M400" s="87"/>
      <c r="N400" s="87"/>
      <c r="O400" s="87"/>
      <c r="P400" s="87"/>
      <c r="Q400" s="87"/>
      <c r="R400" s="87"/>
      <c r="S400" s="87"/>
      <c r="T400" s="87"/>
      <c r="U400" s="127">
        <v>1</v>
      </c>
      <c r="V400" s="89"/>
      <c r="W400" s="96">
        <v>0</v>
      </c>
      <c r="X400" s="71">
        <f>CU400</f>
        <v>0</v>
      </c>
      <c r="Y400" s="71">
        <f>CY400</f>
        <v>0</v>
      </c>
      <c r="Z400" s="71">
        <f>DA400+DC400+DE400</f>
        <v>0</v>
      </c>
      <c r="AA400" s="71">
        <f>CW400</f>
        <v>0</v>
      </c>
      <c r="AB400" s="71"/>
      <c r="AC400" s="71">
        <v>0</v>
      </c>
      <c r="AD400" s="71">
        <f>W400+X400+Y400+Z400+AA400+AB400+AC400</f>
        <v>0</v>
      </c>
      <c r="AE400" s="72">
        <v>0</v>
      </c>
      <c r="AF400" s="5"/>
      <c r="AG400" s="6"/>
      <c r="AH400" s="27" t="s">
        <v>3392</v>
      </c>
      <c r="AI400" s="44" t="s">
        <v>3393</v>
      </c>
      <c r="AJ400" s="26"/>
      <c r="AK400" s="5"/>
      <c r="AL400" s="82" t="s">
        <v>3234</v>
      </c>
      <c r="AM400" s="76"/>
      <c r="AN400" s="76"/>
      <c r="AO400" s="76"/>
      <c r="AP400" s="76"/>
      <c r="AQ400" s="76"/>
      <c r="AR400" s="76"/>
      <c r="AS400" s="76"/>
      <c r="AT400" s="76"/>
      <c r="AU400" s="76"/>
      <c r="AV400" s="76"/>
      <c r="AW400" s="76"/>
      <c r="AX400" s="76">
        <f>+AW400*600000</f>
        <v>0</v>
      </c>
      <c r="AY400" s="76"/>
      <c r="AZ400" s="76">
        <f>+AY400*70000</f>
        <v>0</v>
      </c>
      <c r="BA400" s="76"/>
      <c r="BB400" s="76"/>
      <c r="BC400" s="76"/>
      <c r="BD400" s="76">
        <f>+BC400*30000</f>
        <v>0</v>
      </c>
      <c r="BE400" s="76"/>
      <c r="BF400" s="76"/>
      <c r="BG400" s="76"/>
      <c r="BH400" s="76"/>
      <c r="BI400" s="76"/>
      <c r="BJ400" s="76"/>
      <c r="BK400" s="76"/>
      <c r="BL400" s="76">
        <f>+BK400*31500</f>
        <v>0</v>
      </c>
      <c r="BM400" s="76"/>
      <c r="BN400" s="76"/>
      <c r="BO400" s="76"/>
      <c r="BP400" s="76"/>
      <c r="BQ400" s="76"/>
      <c r="BR400" s="76"/>
      <c r="BS400" s="76"/>
      <c r="BT400" s="76"/>
      <c r="BU400" s="76"/>
      <c r="BV400" s="76"/>
      <c r="BW400" s="76"/>
      <c r="BX400" s="76"/>
      <c r="BY400" s="76"/>
      <c r="BZ400" s="76"/>
      <c r="CA400" s="76"/>
      <c r="CB400" s="76"/>
      <c r="CC400" s="76"/>
      <c r="CD400" s="76"/>
      <c r="CE400" s="76"/>
      <c r="CF400" s="76">
        <f>+CE400*28000</f>
        <v>0</v>
      </c>
      <c r="CG400" s="76"/>
      <c r="CH400" s="76">
        <f>+CG400*22500</f>
        <v>0</v>
      </c>
      <c r="CI400" s="76"/>
      <c r="CJ400" s="76">
        <f>+CI400*26000</f>
        <v>0</v>
      </c>
      <c r="CK400" s="76"/>
      <c r="CL400" s="76"/>
      <c r="CM400" s="76"/>
      <c r="CN400" s="76">
        <f>+CM400*22000</f>
        <v>0</v>
      </c>
      <c r="CO400" s="76"/>
      <c r="CP400" s="76">
        <f>+CO400*46000</f>
        <v>0</v>
      </c>
      <c r="CQ400" s="76"/>
      <c r="CR400" s="76">
        <f>+CQ400*49000</f>
        <v>0</v>
      </c>
      <c r="CS400" s="76"/>
      <c r="CT400" s="76"/>
      <c r="CU400" s="56">
        <f>AN400+AP400+AR400+AT400+AV400+AX400+AZ400+BB400+BD400+BF400+BH400+BJ400+BL400+BN400+BP400+BR400+BT400+BV400+BX400+BZ400+CB400+CD400+CF400+CH400+CJ400+CL400+CN400+CP400+CR400+CT400</f>
        <v>0</v>
      </c>
      <c r="CV400" s="76"/>
      <c r="CW400" s="76">
        <f>+CV400*1100</f>
        <v>0</v>
      </c>
      <c r="CX400" s="76"/>
      <c r="CY400" s="76">
        <f>+CX400*106250</f>
        <v>0</v>
      </c>
      <c r="CZ400" s="76"/>
      <c r="DA400" s="76">
        <f>+CZ400*34500</f>
        <v>0</v>
      </c>
      <c r="DB400" s="76"/>
      <c r="DC400" s="76">
        <f>+DB400*25000</f>
        <v>0</v>
      </c>
      <c r="DD400" s="219"/>
      <c r="DE400" s="219"/>
      <c r="DF400" s="164"/>
      <c r="DG400" s="116"/>
      <c r="DH400" s="117"/>
      <c r="DI400" s="24"/>
      <c r="DJ400" s="24"/>
      <c r="DK400" s="24"/>
      <c r="DL400" s="24"/>
      <c r="DM400" s="24"/>
      <c r="DN400" s="24"/>
      <c r="DO400" s="24"/>
      <c r="DP400" s="24"/>
      <c r="DQ400" s="24"/>
      <c r="DR400" s="24"/>
      <c r="DS400" s="24"/>
      <c r="DT400" s="24"/>
      <c r="DU400" s="24"/>
    </row>
    <row r="401" spans="1:125" s="8" customFormat="1" ht="60" x14ac:dyDescent="0.2">
      <c r="A401" s="77">
        <v>41301</v>
      </c>
      <c r="B401" s="225" t="s">
        <v>2661</v>
      </c>
      <c r="C401" s="227" t="s">
        <v>1351</v>
      </c>
      <c r="D401" s="81" t="s">
        <v>2846</v>
      </c>
      <c r="E401" s="75" t="str">
        <f>VLOOKUP(B401&amp;C401,Divipola!$C$2:$F$1138,4,FALSE)</f>
        <v>41551</v>
      </c>
      <c r="F401" s="87"/>
      <c r="G401" s="87"/>
      <c r="H401" s="87"/>
      <c r="I401" s="87"/>
      <c r="J401" s="87"/>
      <c r="K401" s="87"/>
      <c r="L401" s="87"/>
      <c r="M401" s="87"/>
      <c r="N401" s="87"/>
      <c r="O401" s="87"/>
      <c r="P401" s="87">
        <v>1</v>
      </c>
      <c r="Q401" s="87"/>
      <c r="R401" s="87"/>
      <c r="S401" s="87"/>
      <c r="T401" s="87"/>
      <c r="U401" s="127">
        <v>4</v>
      </c>
      <c r="V401" s="89"/>
      <c r="W401" s="96">
        <v>0</v>
      </c>
      <c r="X401" s="71">
        <f>CU401</f>
        <v>0</v>
      </c>
      <c r="Y401" s="71">
        <f>CY401</f>
        <v>0</v>
      </c>
      <c r="Z401" s="71">
        <f>DA401+DC401+DE401</f>
        <v>0</v>
      </c>
      <c r="AA401" s="71">
        <f>CW401</f>
        <v>0</v>
      </c>
      <c r="AB401" s="71"/>
      <c r="AC401" s="71">
        <v>0</v>
      </c>
      <c r="AD401" s="71">
        <f>W401+X401+Y401+Z401+AA401+AB401+AC401</f>
        <v>0</v>
      </c>
      <c r="AE401" s="72">
        <v>0</v>
      </c>
      <c r="AF401" s="5"/>
      <c r="AG401" s="6"/>
      <c r="AH401" s="27" t="s">
        <v>3392</v>
      </c>
      <c r="AI401" s="44" t="s">
        <v>3393</v>
      </c>
      <c r="AJ401" s="26"/>
      <c r="AK401" s="5"/>
      <c r="AL401" s="82" t="s">
        <v>3230</v>
      </c>
      <c r="AM401" s="76"/>
      <c r="AN401" s="76"/>
      <c r="AO401" s="76"/>
      <c r="AP401" s="76"/>
      <c r="AQ401" s="76"/>
      <c r="AR401" s="76"/>
      <c r="AS401" s="76"/>
      <c r="AT401" s="76"/>
      <c r="AU401" s="76"/>
      <c r="AV401" s="76"/>
      <c r="AW401" s="76"/>
      <c r="AX401" s="76">
        <f>+AW401*600000</f>
        <v>0</v>
      </c>
      <c r="AY401" s="76"/>
      <c r="AZ401" s="76">
        <f>+AY401*70000</f>
        <v>0</v>
      </c>
      <c r="BA401" s="76"/>
      <c r="BB401" s="76"/>
      <c r="BC401" s="76"/>
      <c r="BD401" s="76">
        <f>+BC401*30000</f>
        <v>0</v>
      </c>
      <c r="BE401" s="76"/>
      <c r="BF401" s="76"/>
      <c r="BG401" s="76"/>
      <c r="BH401" s="76"/>
      <c r="BI401" s="76"/>
      <c r="BJ401" s="76"/>
      <c r="BK401" s="76"/>
      <c r="BL401" s="76">
        <f>+BK401*31500</f>
        <v>0</v>
      </c>
      <c r="BM401" s="76"/>
      <c r="BN401" s="76"/>
      <c r="BO401" s="76"/>
      <c r="BP401" s="76"/>
      <c r="BQ401" s="76"/>
      <c r="BR401" s="76"/>
      <c r="BS401" s="76"/>
      <c r="BT401" s="76"/>
      <c r="BU401" s="76"/>
      <c r="BV401" s="76"/>
      <c r="BW401" s="76"/>
      <c r="BX401" s="76"/>
      <c r="BY401" s="76"/>
      <c r="BZ401" s="76"/>
      <c r="CA401" s="76"/>
      <c r="CB401" s="76"/>
      <c r="CC401" s="76"/>
      <c r="CD401" s="76"/>
      <c r="CE401" s="76"/>
      <c r="CF401" s="76">
        <f>+CE401*28000</f>
        <v>0</v>
      </c>
      <c r="CG401" s="76"/>
      <c r="CH401" s="76">
        <f>+CG401*22500</f>
        <v>0</v>
      </c>
      <c r="CI401" s="76"/>
      <c r="CJ401" s="76">
        <f>+CI401*26000</f>
        <v>0</v>
      </c>
      <c r="CK401" s="76"/>
      <c r="CL401" s="76"/>
      <c r="CM401" s="76"/>
      <c r="CN401" s="76">
        <f>+CM401*22000</f>
        <v>0</v>
      </c>
      <c r="CO401" s="76"/>
      <c r="CP401" s="76">
        <f>+CO401*46000</f>
        <v>0</v>
      </c>
      <c r="CQ401" s="76"/>
      <c r="CR401" s="76">
        <f>+CQ401*49000</f>
        <v>0</v>
      </c>
      <c r="CS401" s="76"/>
      <c r="CT401" s="76"/>
      <c r="CU401" s="56">
        <f>AN401+AP401+AR401+AT401+AV401+AX401+AZ401+BB401+BD401+BF401+BH401+BJ401+BL401+BN401+BP401+BR401+BT401+BV401+BX401+BZ401+CB401+CD401+CF401+CH401+CJ401+CL401+CN401+CP401+CR401+CT401</f>
        <v>0</v>
      </c>
      <c r="CV401" s="76"/>
      <c r="CW401" s="76">
        <f>+CV401*1100</f>
        <v>0</v>
      </c>
      <c r="CX401" s="76"/>
      <c r="CY401" s="76">
        <f>+CX401*106250</f>
        <v>0</v>
      </c>
      <c r="CZ401" s="76"/>
      <c r="DA401" s="76">
        <f>+CZ401*34500</f>
        <v>0</v>
      </c>
      <c r="DB401" s="76"/>
      <c r="DC401" s="76">
        <f>+DB401*25000</f>
        <v>0</v>
      </c>
      <c r="DD401" s="219"/>
      <c r="DE401" s="219"/>
      <c r="DF401" s="164"/>
      <c r="DG401" s="116"/>
      <c r="DH401" s="117"/>
      <c r="DI401" s="24"/>
      <c r="DJ401" s="24"/>
      <c r="DK401" s="24"/>
      <c r="DL401" s="24"/>
      <c r="DM401" s="24"/>
      <c r="DN401" s="24"/>
      <c r="DO401" s="24"/>
      <c r="DP401" s="24"/>
      <c r="DQ401" s="24"/>
      <c r="DR401" s="24"/>
      <c r="DS401" s="24"/>
      <c r="DT401" s="24"/>
      <c r="DU401" s="24"/>
    </row>
    <row r="402" spans="1:125" s="8" customFormat="1" ht="48" x14ac:dyDescent="0.2">
      <c r="A402" s="77">
        <v>41301</v>
      </c>
      <c r="B402" s="225" t="s">
        <v>2661</v>
      </c>
      <c r="C402" s="227" t="s">
        <v>1351</v>
      </c>
      <c r="D402" s="81" t="s">
        <v>2846</v>
      </c>
      <c r="E402" s="75" t="str">
        <f>VLOOKUP(B402&amp;C402,Divipola!$C$2:$F$1138,4,FALSE)</f>
        <v>41551</v>
      </c>
      <c r="F402" s="87"/>
      <c r="G402" s="87"/>
      <c r="H402" s="87"/>
      <c r="I402" s="87"/>
      <c r="J402" s="87"/>
      <c r="K402" s="87"/>
      <c r="L402" s="87"/>
      <c r="M402" s="87"/>
      <c r="N402" s="87"/>
      <c r="O402" s="87"/>
      <c r="P402" s="87"/>
      <c r="Q402" s="87"/>
      <c r="R402" s="87"/>
      <c r="S402" s="87"/>
      <c r="T402" s="87"/>
      <c r="U402" s="127">
        <v>1</v>
      </c>
      <c r="V402" s="89"/>
      <c r="W402" s="96">
        <v>0</v>
      </c>
      <c r="X402" s="71">
        <f>CU402</f>
        <v>0</v>
      </c>
      <c r="Y402" s="71">
        <f>CY402</f>
        <v>0</v>
      </c>
      <c r="Z402" s="71">
        <f>DA402+DC402+DE402</f>
        <v>0</v>
      </c>
      <c r="AA402" s="71">
        <f>CW402</f>
        <v>0</v>
      </c>
      <c r="AB402" s="71"/>
      <c r="AC402" s="71">
        <v>0</v>
      </c>
      <c r="AD402" s="71">
        <f>W402+X402+Y402+Z402+AA402+AB402+AC402</f>
        <v>0</v>
      </c>
      <c r="AE402" s="72">
        <v>0</v>
      </c>
      <c r="AF402" s="5"/>
      <c r="AG402" s="6"/>
      <c r="AH402" s="27" t="s">
        <v>3392</v>
      </c>
      <c r="AI402" s="44" t="s">
        <v>3393</v>
      </c>
      <c r="AJ402" s="26"/>
      <c r="AK402" s="5"/>
      <c r="AL402" s="82" t="s">
        <v>3231</v>
      </c>
      <c r="AM402" s="76"/>
      <c r="AN402" s="76"/>
      <c r="AO402" s="76"/>
      <c r="AP402" s="76"/>
      <c r="AQ402" s="76"/>
      <c r="AR402" s="76"/>
      <c r="AS402" s="76"/>
      <c r="AT402" s="76"/>
      <c r="AU402" s="76"/>
      <c r="AV402" s="76"/>
      <c r="AW402" s="76"/>
      <c r="AX402" s="76">
        <f>+AW402*600000</f>
        <v>0</v>
      </c>
      <c r="AY402" s="76"/>
      <c r="AZ402" s="76">
        <f>+AY402*70000</f>
        <v>0</v>
      </c>
      <c r="BA402" s="76"/>
      <c r="BB402" s="76"/>
      <c r="BC402" s="76"/>
      <c r="BD402" s="76">
        <f>+BC402*30000</f>
        <v>0</v>
      </c>
      <c r="BE402" s="76"/>
      <c r="BF402" s="76"/>
      <c r="BG402" s="76"/>
      <c r="BH402" s="76"/>
      <c r="BI402" s="76"/>
      <c r="BJ402" s="76"/>
      <c r="BK402" s="76"/>
      <c r="BL402" s="76">
        <f>+BK402*31500</f>
        <v>0</v>
      </c>
      <c r="BM402" s="76"/>
      <c r="BN402" s="76"/>
      <c r="BO402" s="76"/>
      <c r="BP402" s="76"/>
      <c r="BQ402" s="76"/>
      <c r="BR402" s="76"/>
      <c r="BS402" s="76"/>
      <c r="BT402" s="76"/>
      <c r="BU402" s="76"/>
      <c r="BV402" s="76"/>
      <c r="BW402" s="76"/>
      <c r="BX402" s="76"/>
      <c r="BY402" s="76"/>
      <c r="BZ402" s="76"/>
      <c r="CA402" s="76"/>
      <c r="CB402" s="76"/>
      <c r="CC402" s="76"/>
      <c r="CD402" s="76"/>
      <c r="CE402" s="76"/>
      <c r="CF402" s="76">
        <f>+CE402*28000</f>
        <v>0</v>
      </c>
      <c r="CG402" s="76"/>
      <c r="CH402" s="76">
        <f>+CG402*22500</f>
        <v>0</v>
      </c>
      <c r="CI402" s="76"/>
      <c r="CJ402" s="76">
        <f>+CI402*26000</f>
        <v>0</v>
      </c>
      <c r="CK402" s="76"/>
      <c r="CL402" s="76"/>
      <c r="CM402" s="76"/>
      <c r="CN402" s="76">
        <f>+CM402*22000</f>
        <v>0</v>
      </c>
      <c r="CO402" s="76"/>
      <c r="CP402" s="76">
        <f>+CO402*46000</f>
        <v>0</v>
      </c>
      <c r="CQ402" s="76"/>
      <c r="CR402" s="76">
        <f>+CQ402*49000</f>
        <v>0</v>
      </c>
      <c r="CS402" s="76"/>
      <c r="CT402" s="76"/>
      <c r="CU402" s="56">
        <f>AN402+AP402+AR402+AT402+AV402+AX402+AZ402+BB402+BD402+BF402+BH402+BJ402+BL402+BN402+BP402+BR402+BT402+BV402+BX402+BZ402+CB402+CD402+CF402+CH402+CJ402+CL402+CN402+CP402+CR402+CT402</f>
        <v>0</v>
      </c>
      <c r="CV402" s="76"/>
      <c r="CW402" s="76">
        <f>+CV402*1100</f>
        <v>0</v>
      </c>
      <c r="CX402" s="76"/>
      <c r="CY402" s="76">
        <f>+CX402*106250</f>
        <v>0</v>
      </c>
      <c r="CZ402" s="76"/>
      <c r="DA402" s="76">
        <f>+CZ402*34500</f>
        <v>0</v>
      </c>
      <c r="DB402" s="76"/>
      <c r="DC402" s="76">
        <f>+DB402*25000</f>
        <v>0</v>
      </c>
      <c r="DD402" s="219"/>
      <c r="DE402" s="219"/>
      <c r="DF402" s="164"/>
      <c r="DG402" s="116"/>
      <c r="DH402" s="117"/>
      <c r="DI402" s="24"/>
      <c r="DJ402" s="24"/>
      <c r="DK402" s="24"/>
      <c r="DL402" s="24"/>
      <c r="DM402" s="24"/>
      <c r="DN402" s="24"/>
      <c r="DO402" s="24"/>
      <c r="DP402" s="24"/>
      <c r="DQ402" s="24"/>
      <c r="DR402" s="24"/>
      <c r="DS402" s="24"/>
      <c r="DT402" s="24"/>
      <c r="DU402" s="24"/>
    </row>
    <row r="403" spans="1:125" s="8" customFormat="1" ht="36" x14ac:dyDescent="0.2">
      <c r="A403" s="77">
        <v>41301</v>
      </c>
      <c r="B403" s="225" t="s">
        <v>2661</v>
      </c>
      <c r="C403" s="227" t="s">
        <v>1351</v>
      </c>
      <c r="D403" s="81" t="s">
        <v>2846</v>
      </c>
      <c r="E403" s="75" t="str">
        <f>VLOOKUP(B403&amp;C403,Divipola!$C$2:$F$1138,4,FALSE)</f>
        <v>41551</v>
      </c>
      <c r="F403" s="87"/>
      <c r="G403" s="87"/>
      <c r="H403" s="87"/>
      <c r="I403" s="87"/>
      <c r="J403" s="87"/>
      <c r="K403" s="87"/>
      <c r="L403" s="87"/>
      <c r="M403" s="87"/>
      <c r="N403" s="87"/>
      <c r="O403" s="87"/>
      <c r="P403" s="87"/>
      <c r="Q403" s="87"/>
      <c r="R403" s="87"/>
      <c r="S403" s="87"/>
      <c r="T403" s="87"/>
      <c r="U403" s="127">
        <v>2</v>
      </c>
      <c r="V403" s="89"/>
      <c r="W403" s="96">
        <v>0</v>
      </c>
      <c r="X403" s="71">
        <f>CU403</f>
        <v>0</v>
      </c>
      <c r="Y403" s="71">
        <f>CY403</f>
        <v>0</v>
      </c>
      <c r="Z403" s="71">
        <f>DA403+DC403+DE403</f>
        <v>0</v>
      </c>
      <c r="AA403" s="71">
        <f>CW403</f>
        <v>0</v>
      </c>
      <c r="AB403" s="71"/>
      <c r="AC403" s="71">
        <v>0</v>
      </c>
      <c r="AD403" s="71">
        <f>W403+X403+Y403+Z403+AA403+AB403+AC403</f>
        <v>0</v>
      </c>
      <c r="AE403" s="72">
        <v>0</v>
      </c>
      <c r="AF403" s="5"/>
      <c r="AG403" s="6"/>
      <c r="AH403" s="27" t="s">
        <v>3392</v>
      </c>
      <c r="AI403" s="44" t="s">
        <v>3393</v>
      </c>
      <c r="AJ403" s="26"/>
      <c r="AK403" s="5"/>
      <c r="AL403" s="82" t="s">
        <v>3232</v>
      </c>
      <c r="AM403" s="76"/>
      <c r="AN403" s="76"/>
      <c r="AO403" s="76"/>
      <c r="AP403" s="76"/>
      <c r="AQ403" s="76"/>
      <c r="AR403" s="76"/>
      <c r="AS403" s="76"/>
      <c r="AT403" s="76"/>
      <c r="AU403" s="76"/>
      <c r="AV403" s="76"/>
      <c r="AW403" s="76"/>
      <c r="AX403" s="76">
        <f>+AW403*600000</f>
        <v>0</v>
      </c>
      <c r="AY403" s="76"/>
      <c r="AZ403" s="76">
        <f>+AY403*70000</f>
        <v>0</v>
      </c>
      <c r="BA403" s="76"/>
      <c r="BB403" s="76"/>
      <c r="BC403" s="76"/>
      <c r="BD403" s="76">
        <f>+BC403*30000</f>
        <v>0</v>
      </c>
      <c r="BE403" s="76"/>
      <c r="BF403" s="76"/>
      <c r="BG403" s="76"/>
      <c r="BH403" s="76"/>
      <c r="BI403" s="76"/>
      <c r="BJ403" s="76"/>
      <c r="BK403" s="76"/>
      <c r="BL403" s="76">
        <f>+BK403*31500</f>
        <v>0</v>
      </c>
      <c r="BM403" s="76"/>
      <c r="BN403" s="76"/>
      <c r="BO403" s="76"/>
      <c r="BP403" s="76"/>
      <c r="BQ403" s="76"/>
      <c r="BR403" s="76"/>
      <c r="BS403" s="76"/>
      <c r="BT403" s="76"/>
      <c r="BU403" s="76"/>
      <c r="BV403" s="76"/>
      <c r="BW403" s="76"/>
      <c r="BX403" s="76"/>
      <c r="BY403" s="76"/>
      <c r="BZ403" s="76"/>
      <c r="CA403" s="76"/>
      <c r="CB403" s="76"/>
      <c r="CC403" s="76"/>
      <c r="CD403" s="76"/>
      <c r="CE403" s="76"/>
      <c r="CF403" s="76">
        <f>+CE403*28000</f>
        <v>0</v>
      </c>
      <c r="CG403" s="76"/>
      <c r="CH403" s="76">
        <f>+CG403*22500</f>
        <v>0</v>
      </c>
      <c r="CI403" s="76"/>
      <c r="CJ403" s="76">
        <f>+CI403*26000</f>
        <v>0</v>
      </c>
      <c r="CK403" s="76"/>
      <c r="CL403" s="76"/>
      <c r="CM403" s="76"/>
      <c r="CN403" s="76">
        <f>+CM403*22000</f>
        <v>0</v>
      </c>
      <c r="CO403" s="76"/>
      <c r="CP403" s="76">
        <f>+CO403*46000</f>
        <v>0</v>
      </c>
      <c r="CQ403" s="76"/>
      <c r="CR403" s="76">
        <f>+CQ403*49000</f>
        <v>0</v>
      </c>
      <c r="CS403" s="76"/>
      <c r="CT403" s="76"/>
      <c r="CU403" s="56">
        <f>AN403+AP403+AR403+AT403+AV403+AX403+AZ403+BB403+BD403+BF403+BH403+BJ403+BL403+BN403+BP403+BR403+BT403+BV403+BX403+BZ403+CB403+CD403+CF403+CH403+CJ403+CL403+CN403+CP403+CR403+CT403</f>
        <v>0</v>
      </c>
      <c r="CV403" s="76"/>
      <c r="CW403" s="76">
        <f>+CV403*1100</f>
        <v>0</v>
      </c>
      <c r="CX403" s="76"/>
      <c r="CY403" s="76">
        <f>+CX403*106250</f>
        <v>0</v>
      </c>
      <c r="CZ403" s="76"/>
      <c r="DA403" s="76">
        <f>+CZ403*34500</f>
        <v>0</v>
      </c>
      <c r="DB403" s="76"/>
      <c r="DC403" s="76">
        <f>+DB403*25000</f>
        <v>0</v>
      </c>
      <c r="DD403" s="219"/>
      <c r="DE403" s="219"/>
      <c r="DF403" s="164"/>
      <c r="DG403" s="116"/>
      <c r="DH403" s="117"/>
      <c r="DI403" s="24"/>
      <c r="DJ403" s="24"/>
      <c r="DK403" s="24"/>
      <c r="DL403" s="24"/>
      <c r="DM403" s="24"/>
      <c r="DN403" s="24"/>
      <c r="DO403" s="24"/>
      <c r="DP403" s="24"/>
      <c r="DQ403" s="24"/>
      <c r="DR403" s="24"/>
      <c r="DS403" s="24"/>
      <c r="DT403" s="24"/>
      <c r="DU403" s="24"/>
    </row>
    <row r="404" spans="1:125" s="8" customFormat="1" ht="24" x14ac:dyDescent="0.2">
      <c r="A404" s="77">
        <v>41301</v>
      </c>
      <c r="B404" s="352" t="s">
        <v>2860</v>
      </c>
      <c r="C404" s="354" t="s">
        <v>2776</v>
      </c>
      <c r="D404" s="354" t="s">
        <v>2859</v>
      </c>
      <c r="E404" s="75" t="str">
        <f>VLOOKUP(B404&amp;C404,Divipola!$C$2:$F$1138,4,FALSE)</f>
        <v>63001</v>
      </c>
      <c r="F404" s="100"/>
      <c r="G404" s="100"/>
      <c r="H404" s="100"/>
      <c r="I404" s="100">
        <v>3</v>
      </c>
      <c r="J404" s="100">
        <v>1</v>
      </c>
      <c r="K404" s="100">
        <v>1</v>
      </c>
      <c r="L404" s="100"/>
      <c r="M404" s="100"/>
      <c r="N404" s="100"/>
      <c r="O404" s="100"/>
      <c r="P404" s="100"/>
      <c r="Q404" s="100"/>
      <c r="R404" s="100"/>
      <c r="S404" s="100"/>
      <c r="T404" s="100"/>
      <c r="U404" s="130"/>
      <c r="V404" s="89"/>
      <c r="W404" s="96">
        <v>0</v>
      </c>
      <c r="X404" s="71">
        <f>CU404</f>
        <v>0</v>
      </c>
      <c r="Y404" s="71">
        <f>CY404</f>
        <v>0</v>
      </c>
      <c r="Z404" s="71">
        <f>DA404+DC404+DE404</f>
        <v>0</v>
      </c>
      <c r="AA404" s="71">
        <f>CW404</f>
        <v>0</v>
      </c>
      <c r="AB404" s="71"/>
      <c r="AC404" s="71">
        <v>0</v>
      </c>
      <c r="AD404" s="71">
        <f>W404+X404+Y404+Z404+AA404+AB404+AC404</f>
        <v>0</v>
      </c>
      <c r="AE404" s="72">
        <v>0</v>
      </c>
      <c r="AF404" s="5"/>
      <c r="AG404" s="6"/>
      <c r="AH404" s="27" t="s">
        <v>3392</v>
      </c>
      <c r="AI404" s="44" t="s">
        <v>3393</v>
      </c>
      <c r="AJ404" s="26"/>
      <c r="AK404" s="5"/>
      <c r="AL404" s="82" t="s">
        <v>3239</v>
      </c>
      <c r="AM404" s="76"/>
      <c r="AN404" s="76"/>
      <c r="AO404" s="76"/>
      <c r="AP404" s="76"/>
      <c r="AQ404" s="76"/>
      <c r="AR404" s="76"/>
      <c r="AS404" s="76"/>
      <c r="AT404" s="76"/>
      <c r="AU404" s="76"/>
      <c r="AV404" s="76"/>
      <c r="AW404" s="76"/>
      <c r="AX404" s="76">
        <f>+AW404*600000</f>
        <v>0</v>
      </c>
      <c r="AY404" s="76"/>
      <c r="AZ404" s="76">
        <f>+AY404*70000</f>
        <v>0</v>
      </c>
      <c r="BA404" s="76"/>
      <c r="BB404" s="76"/>
      <c r="BC404" s="76"/>
      <c r="BD404" s="76">
        <f>+BC404*30000</f>
        <v>0</v>
      </c>
      <c r="BE404" s="76"/>
      <c r="BF404" s="76"/>
      <c r="BG404" s="76"/>
      <c r="BH404" s="76"/>
      <c r="BI404" s="76"/>
      <c r="BJ404" s="76"/>
      <c r="BK404" s="76"/>
      <c r="BL404" s="76">
        <f>+BK404*31500</f>
        <v>0</v>
      </c>
      <c r="BM404" s="76"/>
      <c r="BN404" s="76"/>
      <c r="BO404" s="76"/>
      <c r="BP404" s="76"/>
      <c r="BQ404" s="76"/>
      <c r="BR404" s="76"/>
      <c r="BS404" s="76"/>
      <c r="BT404" s="76"/>
      <c r="BU404" s="76"/>
      <c r="BV404" s="76"/>
      <c r="BW404" s="76"/>
      <c r="BX404" s="76"/>
      <c r="BY404" s="76"/>
      <c r="BZ404" s="76"/>
      <c r="CA404" s="76"/>
      <c r="CB404" s="76"/>
      <c r="CC404" s="76"/>
      <c r="CD404" s="76"/>
      <c r="CE404" s="76"/>
      <c r="CF404" s="76">
        <f>+CE404*28000</f>
        <v>0</v>
      </c>
      <c r="CG404" s="76"/>
      <c r="CH404" s="76">
        <f>+CG404*22500</f>
        <v>0</v>
      </c>
      <c r="CI404" s="76"/>
      <c r="CJ404" s="76">
        <f>+CI404*26000</f>
        <v>0</v>
      </c>
      <c r="CK404" s="76"/>
      <c r="CL404" s="76"/>
      <c r="CM404" s="76"/>
      <c r="CN404" s="76">
        <f>+CM404*22000</f>
        <v>0</v>
      </c>
      <c r="CO404" s="76"/>
      <c r="CP404" s="76">
        <f>+CO404*46000</f>
        <v>0</v>
      </c>
      <c r="CQ404" s="76"/>
      <c r="CR404" s="76">
        <f>+CQ404*49000</f>
        <v>0</v>
      </c>
      <c r="CS404" s="76"/>
      <c r="CT404" s="76"/>
      <c r="CU404" s="56">
        <f>AN404+AP404+AR404+AT404+AV404+AX404+AZ404+BB404+BD404+BF404+BH404+BJ404+BL404+BN404+BP404+BR404+BT404+BV404+BX404+BZ404+CB404+CD404+CF404+CH404+CJ404+CL404+CN404+CP404+CR404+CT404</f>
        <v>0</v>
      </c>
      <c r="CV404" s="76"/>
      <c r="CW404" s="76">
        <f>+CV404*1100</f>
        <v>0</v>
      </c>
      <c r="CX404" s="76"/>
      <c r="CY404" s="76">
        <f>+CX404*106250</f>
        <v>0</v>
      </c>
      <c r="CZ404" s="76"/>
      <c r="DA404" s="76">
        <f>+CZ404*34500</f>
        <v>0</v>
      </c>
      <c r="DB404" s="76"/>
      <c r="DC404" s="76">
        <f>+DB404*25000</f>
        <v>0</v>
      </c>
      <c r="DD404" s="219"/>
      <c r="DE404" s="219"/>
      <c r="DF404" s="164"/>
      <c r="DG404" s="116"/>
      <c r="DH404" s="117"/>
      <c r="DI404" s="24"/>
      <c r="DJ404" s="24"/>
      <c r="DK404" s="24"/>
      <c r="DL404" s="24"/>
      <c r="DM404" s="24"/>
      <c r="DN404" s="24"/>
      <c r="DO404" s="24"/>
      <c r="DP404" s="24"/>
      <c r="DQ404" s="24"/>
      <c r="DR404" s="24"/>
      <c r="DS404" s="24"/>
      <c r="DT404" s="24"/>
      <c r="DU404" s="24"/>
    </row>
    <row r="405" spans="1:125" s="8" customFormat="1" ht="48" x14ac:dyDescent="0.2">
      <c r="A405" s="77">
        <v>41301</v>
      </c>
      <c r="B405" s="225" t="s">
        <v>2309</v>
      </c>
      <c r="C405" s="227" t="s">
        <v>2310</v>
      </c>
      <c r="D405" s="81" t="s">
        <v>2846</v>
      </c>
      <c r="E405" s="75" t="str">
        <f>VLOOKUP(B405&amp;C405,Divipola!$C$2:$F$1138,4,FALSE)</f>
        <v>99001</v>
      </c>
      <c r="F405" s="100"/>
      <c r="G405" s="100"/>
      <c r="H405" s="100"/>
      <c r="I405" s="100"/>
      <c r="J405" s="100"/>
      <c r="K405" s="100"/>
      <c r="L405" s="100"/>
      <c r="M405" s="100"/>
      <c r="N405" s="100"/>
      <c r="O405" s="100"/>
      <c r="P405" s="100"/>
      <c r="Q405" s="100"/>
      <c r="R405" s="100"/>
      <c r="S405" s="100"/>
      <c r="T405" s="100"/>
      <c r="U405" s="130">
        <v>2</v>
      </c>
      <c r="V405" s="89"/>
      <c r="W405" s="96">
        <v>0</v>
      </c>
      <c r="X405" s="71">
        <f>CU405</f>
        <v>0</v>
      </c>
      <c r="Y405" s="71">
        <f>CY405</f>
        <v>0</v>
      </c>
      <c r="Z405" s="71">
        <f>DA405+DC405+DE405</f>
        <v>0</v>
      </c>
      <c r="AA405" s="71">
        <f>CW405</f>
        <v>0</v>
      </c>
      <c r="AB405" s="71"/>
      <c r="AC405" s="71">
        <v>0</v>
      </c>
      <c r="AD405" s="71">
        <f>W405+X405+Y405+Z405+AA405+AB405+AC405</f>
        <v>0</v>
      </c>
      <c r="AE405" s="72">
        <v>0</v>
      </c>
      <c r="AF405" s="5"/>
      <c r="AG405" s="6"/>
      <c r="AH405" s="27" t="s">
        <v>3392</v>
      </c>
      <c r="AI405" s="44" t="s">
        <v>3393</v>
      </c>
      <c r="AJ405" s="26"/>
      <c r="AK405" s="5"/>
      <c r="AL405" s="82" t="s">
        <v>3237</v>
      </c>
      <c r="AM405" s="76"/>
      <c r="AN405" s="76"/>
      <c r="AO405" s="76"/>
      <c r="AP405" s="76"/>
      <c r="AQ405" s="76"/>
      <c r="AR405" s="76"/>
      <c r="AS405" s="76"/>
      <c r="AT405" s="76"/>
      <c r="AU405" s="76"/>
      <c r="AV405" s="76"/>
      <c r="AW405" s="76"/>
      <c r="AX405" s="76">
        <f>+AW405*600000</f>
        <v>0</v>
      </c>
      <c r="AY405" s="76"/>
      <c r="AZ405" s="76">
        <f>+AY405*70000</f>
        <v>0</v>
      </c>
      <c r="BA405" s="76"/>
      <c r="BB405" s="76"/>
      <c r="BC405" s="76"/>
      <c r="BD405" s="76">
        <f>+BC405*30000</f>
        <v>0</v>
      </c>
      <c r="BE405" s="76"/>
      <c r="BF405" s="76"/>
      <c r="BG405" s="76"/>
      <c r="BH405" s="76"/>
      <c r="BI405" s="76"/>
      <c r="BJ405" s="76"/>
      <c r="BK405" s="76"/>
      <c r="BL405" s="76">
        <f>+BK405*31500</f>
        <v>0</v>
      </c>
      <c r="BM405" s="76"/>
      <c r="BN405" s="76"/>
      <c r="BO405" s="76"/>
      <c r="BP405" s="76"/>
      <c r="BQ405" s="76"/>
      <c r="BR405" s="76"/>
      <c r="BS405" s="76"/>
      <c r="BT405" s="76"/>
      <c r="BU405" s="76"/>
      <c r="BV405" s="76"/>
      <c r="BW405" s="76"/>
      <c r="BX405" s="76"/>
      <c r="BY405" s="76"/>
      <c r="BZ405" s="76"/>
      <c r="CA405" s="76"/>
      <c r="CB405" s="76"/>
      <c r="CC405" s="76"/>
      <c r="CD405" s="76"/>
      <c r="CE405" s="76"/>
      <c r="CF405" s="76">
        <f>+CE405*28000</f>
        <v>0</v>
      </c>
      <c r="CG405" s="76"/>
      <c r="CH405" s="76">
        <f>+CG405*22500</f>
        <v>0</v>
      </c>
      <c r="CI405" s="76"/>
      <c r="CJ405" s="76">
        <f>+CI405*26000</f>
        <v>0</v>
      </c>
      <c r="CK405" s="76"/>
      <c r="CL405" s="76"/>
      <c r="CM405" s="76"/>
      <c r="CN405" s="76">
        <f>+CM405*22000</f>
        <v>0</v>
      </c>
      <c r="CO405" s="76"/>
      <c r="CP405" s="76">
        <f>+CO405*46000</f>
        <v>0</v>
      </c>
      <c r="CQ405" s="76"/>
      <c r="CR405" s="76">
        <f>+CQ405*49000</f>
        <v>0</v>
      </c>
      <c r="CS405" s="76"/>
      <c r="CT405" s="76"/>
      <c r="CU405" s="56">
        <f>AN405+AP405+AR405+AT405+AV405+AX405+AZ405+BB405+BD405+BF405+BH405+BJ405+BL405+BN405+BP405+BR405+BT405+BV405+BX405+BZ405+CB405+CD405+CF405+CH405+CJ405+CL405+CN405+CP405+CR405+CT405</f>
        <v>0</v>
      </c>
      <c r="CV405" s="76"/>
      <c r="CW405" s="76">
        <f>+CV405*1100</f>
        <v>0</v>
      </c>
      <c r="CX405" s="76"/>
      <c r="CY405" s="76">
        <f>+CX405*106250</f>
        <v>0</v>
      </c>
      <c r="CZ405" s="76"/>
      <c r="DA405" s="76">
        <f>+CZ405*34500</f>
        <v>0</v>
      </c>
      <c r="DB405" s="76"/>
      <c r="DC405" s="76">
        <f>+DB405*25000</f>
        <v>0</v>
      </c>
      <c r="DD405" s="219"/>
      <c r="DE405" s="219"/>
      <c r="DF405" s="164"/>
      <c r="DG405" s="116"/>
      <c r="DH405" s="117"/>
      <c r="DI405" s="24"/>
      <c r="DJ405" s="24"/>
      <c r="DK405" s="24"/>
      <c r="DL405" s="24"/>
      <c r="DM405" s="24"/>
      <c r="DN405" s="24"/>
      <c r="DO405" s="24"/>
      <c r="DP405" s="24"/>
      <c r="DQ405" s="24"/>
      <c r="DR405" s="24"/>
      <c r="DS405" s="24"/>
      <c r="DT405" s="24"/>
      <c r="DU405" s="24"/>
    </row>
    <row r="406" spans="1:125" s="8" customFormat="1" ht="24" x14ac:dyDescent="0.2">
      <c r="A406" s="77">
        <v>41302</v>
      </c>
      <c r="B406" s="352" t="s">
        <v>2894</v>
      </c>
      <c r="C406" s="354" t="s">
        <v>2702</v>
      </c>
      <c r="D406" s="81" t="s">
        <v>2846</v>
      </c>
      <c r="E406" s="75" t="str">
        <f>VLOOKUP(B406&amp;C406,Divipola!$C$2:$F$1138,4,FALSE)</f>
        <v>05088</v>
      </c>
      <c r="F406" s="100"/>
      <c r="G406" s="100"/>
      <c r="H406" s="100"/>
      <c r="I406" s="100"/>
      <c r="J406" s="100"/>
      <c r="K406" s="100"/>
      <c r="L406" s="100"/>
      <c r="M406" s="100"/>
      <c r="N406" s="100"/>
      <c r="O406" s="100"/>
      <c r="P406" s="100"/>
      <c r="Q406" s="100"/>
      <c r="R406" s="100"/>
      <c r="S406" s="100"/>
      <c r="T406" s="100"/>
      <c r="U406" s="130"/>
      <c r="V406" s="89"/>
      <c r="W406" s="96">
        <v>0</v>
      </c>
      <c r="X406" s="71">
        <f>CU406</f>
        <v>0</v>
      </c>
      <c r="Y406" s="71">
        <f>CY406</f>
        <v>0</v>
      </c>
      <c r="Z406" s="71">
        <f>DA406+DC406+DE406</f>
        <v>0</v>
      </c>
      <c r="AA406" s="71">
        <f>CW406</f>
        <v>0</v>
      </c>
      <c r="AB406" s="71"/>
      <c r="AC406" s="71">
        <v>0</v>
      </c>
      <c r="AD406" s="71">
        <f>W406+X406+Y406+Z406+AA406+AB406+AC406</f>
        <v>0</v>
      </c>
      <c r="AE406" s="72">
        <v>0</v>
      </c>
      <c r="AF406" s="5"/>
      <c r="AG406" s="6"/>
      <c r="AH406" s="27" t="s">
        <v>3392</v>
      </c>
      <c r="AI406" s="44" t="s">
        <v>3393</v>
      </c>
      <c r="AJ406" s="26"/>
      <c r="AK406" s="5"/>
      <c r="AL406" s="82" t="s">
        <v>3276</v>
      </c>
      <c r="AM406" s="76"/>
      <c r="AN406" s="76"/>
      <c r="AO406" s="76"/>
      <c r="AP406" s="76"/>
      <c r="AQ406" s="76"/>
      <c r="AR406" s="76"/>
      <c r="AS406" s="76"/>
      <c r="AT406" s="76"/>
      <c r="AU406" s="76"/>
      <c r="AV406" s="76"/>
      <c r="AW406" s="76"/>
      <c r="AX406" s="76">
        <f>+AW406*600000</f>
        <v>0</v>
      </c>
      <c r="AY406" s="76"/>
      <c r="AZ406" s="76">
        <f>+AY406*70000</f>
        <v>0</v>
      </c>
      <c r="BA406" s="76"/>
      <c r="BB406" s="76"/>
      <c r="BC406" s="76"/>
      <c r="BD406" s="76">
        <f>+BC406*30000</f>
        <v>0</v>
      </c>
      <c r="BE406" s="76"/>
      <c r="BF406" s="76"/>
      <c r="BG406" s="76"/>
      <c r="BH406" s="76"/>
      <c r="BI406" s="76"/>
      <c r="BJ406" s="76"/>
      <c r="BK406" s="76"/>
      <c r="BL406" s="76">
        <f>+BK406*31500</f>
        <v>0</v>
      </c>
      <c r="BM406" s="76"/>
      <c r="BN406" s="76"/>
      <c r="BO406" s="76"/>
      <c r="BP406" s="76"/>
      <c r="BQ406" s="76"/>
      <c r="BR406" s="76"/>
      <c r="BS406" s="76"/>
      <c r="BT406" s="76"/>
      <c r="BU406" s="76"/>
      <c r="BV406" s="76"/>
      <c r="BW406" s="76"/>
      <c r="BX406" s="76"/>
      <c r="BY406" s="76"/>
      <c r="BZ406" s="76"/>
      <c r="CA406" s="76"/>
      <c r="CB406" s="76"/>
      <c r="CC406" s="76"/>
      <c r="CD406" s="76"/>
      <c r="CE406" s="76"/>
      <c r="CF406" s="76">
        <f>+CE406*28000</f>
        <v>0</v>
      </c>
      <c r="CG406" s="76"/>
      <c r="CH406" s="76">
        <f>+CG406*22500</f>
        <v>0</v>
      </c>
      <c r="CI406" s="76"/>
      <c r="CJ406" s="76">
        <f>+CI406*26000</f>
        <v>0</v>
      </c>
      <c r="CK406" s="76"/>
      <c r="CL406" s="76"/>
      <c r="CM406" s="76"/>
      <c r="CN406" s="76">
        <f>+CM406*22000</f>
        <v>0</v>
      </c>
      <c r="CO406" s="76"/>
      <c r="CP406" s="76">
        <f>+CO406*46000</f>
        <v>0</v>
      </c>
      <c r="CQ406" s="76"/>
      <c r="CR406" s="76">
        <f>+CQ406*49000</f>
        <v>0</v>
      </c>
      <c r="CS406" s="76"/>
      <c r="CT406" s="76"/>
      <c r="CU406" s="56">
        <f>AN406+AP406+AR406+AT406+AV406+AX406+AZ406+BB406+BD406+BF406+BH406+BJ406+BL406+BN406+BP406+BR406+BT406+BV406+BX406+BZ406+CB406+CD406+CF406+CH406+CJ406+CL406+CN406+CP406+CR406+CT406</f>
        <v>0</v>
      </c>
      <c r="CV406" s="76"/>
      <c r="CW406" s="76">
        <f>+CV406*1100</f>
        <v>0</v>
      </c>
      <c r="CX406" s="76"/>
      <c r="CY406" s="76">
        <f>+CX406*106250</f>
        <v>0</v>
      </c>
      <c r="CZ406" s="76"/>
      <c r="DA406" s="76">
        <f>+CZ406*34500</f>
        <v>0</v>
      </c>
      <c r="DB406" s="76"/>
      <c r="DC406" s="76">
        <f>+DB406*25000</f>
        <v>0</v>
      </c>
      <c r="DD406" s="219"/>
      <c r="DE406" s="219"/>
      <c r="DF406" s="166"/>
      <c r="DG406" s="116"/>
      <c r="DH406" s="117"/>
      <c r="DI406" s="24"/>
      <c r="DJ406" s="24"/>
      <c r="DK406" s="24"/>
      <c r="DL406" s="24"/>
      <c r="DM406" s="24"/>
      <c r="DN406" s="24"/>
      <c r="DO406" s="24"/>
      <c r="DP406" s="24"/>
      <c r="DQ406" s="24"/>
      <c r="DR406" s="24"/>
      <c r="DS406" s="24"/>
      <c r="DT406" s="24"/>
      <c r="DU406" s="24"/>
    </row>
    <row r="407" spans="1:125" s="8" customFormat="1" ht="48" x14ac:dyDescent="0.2">
      <c r="A407" s="77">
        <v>41302</v>
      </c>
      <c r="B407" s="225" t="s">
        <v>2894</v>
      </c>
      <c r="C407" s="227" t="s">
        <v>2159</v>
      </c>
      <c r="D407" s="81" t="s">
        <v>2846</v>
      </c>
      <c r="E407" s="75" t="str">
        <f>VLOOKUP(B407&amp;C407,Divipola!$C$2:$F$1138,4,FALSE)</f>
        <v>05664</v>
      </c>
      <c r="F407" s="100"/>
      <c r="G407" s="100"/>
      <c r="H407" s="100"/>
      <c r="I407" s="100"/>
      <c r="J407" s="100"/>
      <c r="K407" s="100"/>
      <c r="L407" s="100"/>
      <c r="M407" s="100"/>
      <c r="N407" s="100"/>
      <c r="O407" s="100"/>
      <c r="P407" s="100"/>
      <c r="Q407" s="100"/>
      <c r="R407" s="100"/>
      <c r="S407" s="100"/>
      <c r="T407" s="100"/>
      <c r="U407" s="130">
        <v>3</v>
      </c>
      <c r="V407" s="89"/>
      <c r="W407" s="96">
        <v>0</v>
      </c>
      <c r="X407" s="71">
        <f>CU407</f>
        <v>0</v>
      </c>
      <c r="Y407" s="71">
        <f>CY407</f>
        <v>0</v>
      </c>
      <c r="Z407" s="71">
        <f>DA407+DC407+DE407</f>
        <v>0</v>
      </c>
      <c r="AA407" s="71">
        <f>CW407</f>
        <v>0</v>
      </c>
      <c r="AB407" s="71"/>
      <c r="AC407" s="71">
        <v>0</v>
      </c>
      <c r="AD407" s="71">
        <f>W407+X407+Y407+Z407+AA407+AB407+AC407</f>
        <v>0</v>
      </c>
      <c r="AE407" s="72">
        <v>0</v>
      </c>
      <c r="AF407" s="5"/>
      <c r="AG407" s="6"/>
      <c r="AH407" s="27" t="s">
        <v>3392</v>
      </c>
      <c r="AI407" s="44" t="s">
        <v>3393</v>
      </c>
      <c r="AJ407" s="26"/>
      <c r="AK407" s="5"/>
      <c r="AL407" s="82" t="s">
        <v>3277</v>
      </c>
      <c r="AM407" s="76"/>
      <c r="AN407" s="76"/>
      <c r="AO407" s="76"/>
      <c r="AP407" s="76"/>
      <c r="AQ407" s="76"/>
      <c r="AR407" s="76"/>
      <c r="AS407" s="76"/>
      <c r="AT407" s="76"/>
      <c r="AU407" s="76"/>
      <c r="AV407" s="76"/>
      <c r="AW407" s="76"/>
      <c r="AX407" s="76">
        <f>+AW407*600000</f>
        <v>0</v>
      </c>
      <c r="AY407" s="76"/>
      <c r="AZ407" s="76">
        <f>+AY407*70000</f>
        <v>0</v>
      </c>
      <c r="BA407" s="76"/>
      <c r="BB407" s="76"/>
      <c r="BC407" s="76"/>
      <c r="BD407" s="76">
        <f>+BC407*30000</f>
        <v>0</v>
      </c>
      <c r="BE407" s="76"/>
      <c r="BF407" s="76"/>
      <c r="BG407" s="76"/>
      <c r="BH407" s="76"/>
      <c r="BI407" s="76"/>
      <c r="BJ407" s="76"/>
      <c r="BK407" s="76"/>
      <c r="BL407" s="76">
        <f>+BK407*31500</f>
        <v>0</v>
      </c>
      <c r="BM407" s="76"/>
      <c r="BN407" s="76"/>
      <c r="BO407" s="76"/>
      <c r="BP407" s="76"/>
      <c r="BQ407" s="76"/>
      <c r="BR407" s="76"/>
      <c r="BS407" s="76"/>
      <c r="BT407" s="76"/>
      <c r="BU407" s="76"/>
      <c r="BV407" s="76"/>
      <c r="BW407" s="76"/>
      <c r="BX407" s="76"/>
      <c r="BY407" s="76"/>
      <c r="BZ407" s="76"/>
      <c r="CA407" s="76"/>
      <c r="CB407" s="76"/>
      <c r="CC407" s="76"/>
      <c r="CD407" s="76"/>
      <c r="CE407" s="76"/>
      <c r="CF407" s="76">
        <f>+CE407*28000</f>
        <v>0</v>
      </c>
      <c r="CG407" s="76"/>
      <c r="CH407" s="76">
        <f>+CG407*22500</f>
        <v>0</v>
      </c>
      <c r="CI407" s="76"/>
      <c r="CJ407" s="76">
        <f>+CI407*26000</f>
        <v>0</v>
      </c>
      <c r="CK407" s="76"/>
      <c r="CL407" s="76"/>
      <c r="CM407" s="76"/>
      <c r="CN407" s="76">
        <f>+CM407*22000</f>
        <v>0</v>
      </c>
      <c r="CO407" s="76"/>
      <c r="CP407" s="76">
        <f>+CO407*46000</f>
        <v>0</v>
      </c>
      <c r="CQ407" s="76"/>
      <c r="CR407" s="76">
        <f>+CQ407*49000</f>
        <v>0</v>
      </c>
      <c r="CS407" s="76"/>
      <c r="CT407" s="76"/>
      <c r="CU407" s="56">
        <f>AN407+AP407+AR407+AT407+AV407+AX407+AZ407+BB407+BD407+BF407+BH407+BJ407+BL407+BN407+BP407+BR407+BT407+BV407+BX407+BZ407+CB407+CD407+CF407+CH407+CJ407+CL407+CN407+CP407+CR407+CT407</f>
        <v>0</v>
      </c>
      <c r="CV407" s="76"/>
      <c r="CW407" s="76">
        <f>+CV407*1100</f>
        <v>0</v>
      </c>
      <c r="CX407" s="76"/>
      <c r="CY407" s="76">
        <f>+CX407*106250</f>
        <v>0</v>
      </c>
      <c r="CZ407" s="76"/>
      <c r="DA407" s="76">
        <f>+CZ407*34500</f>
        <v>0</v>
      </c>
      <c r="DB407" s="76"/>
      <c r="DC407" s="76">
        <f>+DB407*25000</f>
        <v>0</v>
      </c>
      <c r="DD407" s="219"/>
      <c r="DE407" s="219"/>
      <c r="DF407" s="166"/>
      <c r="DG407" s="116"/>
      <c r="DH407" s="117"/>
      <c r="DI407" s="24"/>
      <c r="DJ407" s="24"/>
      <c r="DK407" s="24"/>
      <c r="DL407" s="24"/>
      <c r="DM407" s="24"/>
      <c r="DN407" s="24"/>
      <c r="DO407" s="24"/>
      <c r="DP407" s="24"/>
      <c r="DQ407" s="24"/>
      <c r="DR407" s="24"/>
      <c r="DS407" s="24"/>
      <c r="DT407" s="24"/>
      <c r="DU407" s="24"/>
    </row>
    <row r="408" spans="1:125" s="8" customFormat="1" ht="48" x14ac:dyDescent="0.2">
      <c r="A408" s="353">
        <v>41302</v>
      </c>
      <c r="B408" s="225" t="s">
        <v>2894</v>
      </c>
      <c r="C408" s="227" t="s">
        <v>2349</v>
      </c>
      <c r="D408" s="81" t="s">
        <v>2846</v>
      </c>
      <c r="E408" s="75" t="str">
        <f>VLOOKUP(B408&amp;C408,Divipola!$C$2:$F$1138,4,FALSE)</f>
        <v>05042</v>
      </c>
      <c r="F408" s="87"/>
      <c r="G408" s="87"/>
      <c r="H408" s="87"/>
      <c r="I408" s="87"/>
      <c r="J408" s="87"/>
      <c r="K408" s="87"/>
      <c r="L408" s="87"/>
      <c r="M408" s="87"/>
      <c r="N408" s="87"/>
      <c r="O408" s="87"/>
      <c r="P408" s="87"/>
      <c r="Q408" s="87"/>
      <c r="R408" s="87"/>
      <c r="S408" s="87"/>
      <c r="T408" s="87"/>
      <c r="U408" s="127"/>
      <c r="V408" s="89"/>
      <c r="W408" s="96">
        <v>0</v>
      </c>
      <c r="X408" s="71">
        <f>CU408</f>
        <v>0</v>
      </c>
      <c r="Y408" s="71">
        <f>CY408</f>
        <v>0</v>
      </c>
      <c r="Z408" s="71">
        <f>DA408+DC408+DE408</f>
        <v>0</v>
      </c>
      <c r="AA408" s="71">
        <f>CW408</f>
        <v>0</v>
      </c>
      <c r="AB408" s="71"/>
      <c r="AC408" s="71">
        <v>0</v>
      </c>
      <c r="AD408" s="71">
        <f>W408+X408+Y408+Z408+AA408+AB408+AC408</f>
        <v>0</v>
      </c>
      <c r="AE408" s="72">
        <v>0</v>
      </c>
      <c r="AF408" s="5"/>
      <c r="AG408" s="6"/>
      <c r="AH408" s="27" t="s">
        <v>3392</v>
      </c>
      <c r="AI408" s="44" t="s">
        <v>3393</v>
      </c>
      <c r="AJ408" s="26"/>
      <c r="AK408" s="5"/>
      <c r="AL408" s="82" t="s">
        <v>3280</v>
      </c>
      <c r="AM408" s="76"/>
      <c r="AN408" s="76"/>
      <c r="AO408" s="76"/>
      <c r="AP408" s="76"/>
      <c r="AQ408" s="76"/>
      <c r="AR408" s="76"/>
      <c r="AS408" s="76"/>
      <c r="AT408" s="76"/>
      <c r="AU408" s="76"/>
      <c r="AV408" s="76"/>
      <c r="AW408" s="76"/>
      <c r="AX408" s="76">
        <f>+AW408*600000</f>
        <v>0</v>
      </c>
      <c r="AY408" s="76"/>
      <c r="AZ408" s="76">
        <f>+AY408*70000</f>
        <v>0</v>
      </c>
      <c r="BA408" s="76"/>
      <c r="BB408" s="76"/>
      <c r="BC408" s="76"/>
      <c r="BD408" s="76">
        <f>+BC408*30000</f>
        <v>0</v>
      </c>
      <c r="BE408" s="76"/>
      <c r="BF408" s="76"/>
      <c r="BG408" s="76"/>
      <c r="BH408" s="76"/>
      <c r="BI408" s="76"/>
      <c r="BJ408" s="76"/>
      <c r="BK408" s="76"/>
      <c r="BL408" s="76">
        <f>+BK408*31500</f>
        <v>0</v>
      </c>
      <c r="BM408" s="76"/>
      <c r="BN408" s="76"/>
      <c r="BO408" s="76"/>
      <c r="BP408" s="76"/>
      <c r="BQ408" s="76"/>
      <c r="BR408" s="76"/>
      <c r="BS408" s="76"/>
      <c r="BT408" s="76"/>
      <c r="BU408" s="76"/>
      <c r="BV408" s="76"/>
      <c r="BW408" s="76"/>
      <c r="BX408" s="76"/>
      <c r="BY408" s="76"/>
      <c r="BZ408" s="76"/>
      <c r="CA408" s="76"/>
      <c r="CB408" s="76"/>
      <c r="CC408" s="76"/>
      <c r="CD408" s="76"/>
      <c r="CE408" s="76"/>
      <c r="CF408" s="76">
        <f>+CE408*28000</f>
        <v>0</v>
      </c>
      <c r="CG408" s="76"/>
      <c r="CH408" s="76">
        <f>+CG408*22500</f>
        <v>0</v>
      </c>
      <c r="CI408" s="76"/>
      <c r="CJ408" s="76">
        <f>+CI408*26000</f>
        <v>0</v>
      </c>
      <c r="CK408" s="76"/>
      <c r="CL408" s="76"/>
      <c r="CM408" s="76"/>
      <c r="CN408" s="76">
        <f>+CM408*22000</f>
        <v>0</v>
      </c>
      <c r="CO408" s="76"/>
      <c r="CP408" s="76">
        <f>+CO408*46000</f>
        <v>0</v>
      </c>
      <c r="CQ408" s="76"/>
      <c r="CR408" s="76">
        <f>+CQ408*49000</f>
        <v>0</v>
      </c>
      <c r="CS408" s="76"/>
      <c r="CT408" s="76"/>
      <c r="CU408" s="56">
        <f>AN408+AP408+AR408+AT408+AV408+AX408+AZ408+BB408+BD408+BF408+BH408+BJ408+BL408+BN408+BP408+BR408+BT408+BV408+BX408+BZ408+CB408+CD408+CF408+CH408+CJ408+CL408+CN408+CP408+CR408+CT408</f>
        <v>0</v>
      </c>
      <c r="CV408" s="76"/>
      <c r="CW408" s="76">
        <f>+CV408*1100</f>
        <v>0</v>
      </c>
      <c r="CX408" s="76"/>
      <c r="CY408" s="76">
        <f>+CX408*106250</f>
        <v>0</v>
      </c>
      <c r="CZ408" s="76"/>
      <c r="DA408" s="76">
        <f>+CZ408*34500</f>
        <v>0</v>
      </c>
      <c r="DB408" s="76"/>
      <c r="DC408" s="76">
        <f>+DB408*25000</f>
        <v>0</v>
      </c>
      <c r="DD408" s="219"/>
      <c r="DE408" s="219"/>
      <c r="DF408" s="166"/>
      <c r="DG408" s="116"/>
      <c r="DH408" s="117"/>
      <c r="DI408" s="24"/>
      <c r="DJ408" s="24"/>
      <c r="DK408" s="24"/>
      <c r="DL408" s="24"/>
      <c r="DM408" s="24"/>
      <c r="DN408" s="24"/>
      <c r="DO408" s="24"/>
      <c r="DP408" s="24"/>
      <c r="DQ408" s="24"/>
      <c r="DR408" s="24"/>
      <c r="DS408" s="24"/>
      <c r="DT408" s="24"/>
      <c r="DU408" s="24"/>
    </row>
    <row r="409" spans="1:125" s="8" customFormat="1" ht="96" x14ac:dyDescent="0.2">
      <c r="A409" s="77">
        <v>41302</v>
      </c>
      <c r="B409" s="352" t="s">
        <v>2894</v>
      </c>
      <c r="C409" s="354" t="s">
        <v>2642</v>
      </c>
      <c r="D409" s="81" t="s">
        <v>2846</v>
      </c>
      <c r="E409" s="75" t="str">
        <f>VLOOKUP(B409&amp;C409,Divipola!$C$2:$F$1138,4,FALSE)</f>
        <v>05890</v>
      </c>
      <c r="F409" s="100"/>
      <c r="G409" s="100"/>
      <c r="H409" s="100"/>
      <c r="I409" s="100"/>
      <c r="J409" s="100"/>
      <c r="K409" s="100"/>
      <c r="L409" s="100"/>
      <c r="M409" s="100"/>
      <c r="N409" s="100"/>
      <c r="O409" s="100"/>
      <c r="P409" s="100"/>
      <c r="Q409" s="100"/>
      <c r="R409" s="100"/>
      <c r="S409" s="100"/>
      <c r="T409" s="100"/>
      <c r="U409" s="130">
        <v>60</v>
      </c>
      <c r="V409" s="89"/>
      <c r="W409" s="96">
        <v>0</v>
      </c>
      <c r="X409" s="71">
        <f>CU409</f>
        <v>0</v>
      </c>
      <c r="Y409" s="71">
        <f>CY409</f>
        <v>0</v>
      </c>
      <c r="Z409" s="71">
        <f>DA409+DC409+DE409</f>
        <v>0</v>
      </c>
      <c r="AA409" s="71">
        <f>CW409</f>
        <v>0</v>
      </c>
      <c r="AB409" s="71"/>
      <c r="AC409" s="71">
        <v>0</v>
      </c>
      <c r="AD409" s="71">
        <f>W409+X409+Y409+Z409+AA409+AB409+AC409</f>
        <v>0</v>
      </c>
      <c r="AE409" s="72">
        <v>0</v>
      </c>
      <c r="AF409" s="5"/>
      <c r="AG409" s="6"/>
      <c r="AH409" s="27" t="s">
        <v>3392</v>
      </c>
      <c r="AI409" s="44" t="s">
        <v>3393</v>
      </c>
      <c r="AJ409" s="26"/>
      <c r="AK409" s="5"/>
      <c r="AL409" s="82" t="s">
        <v>3282</v>
      </c>
      <c r="AM409" s="76"/>
      <c r="AN409" s="76"/>
      <c r="AO409" s="76"/>
      <c r="AP409" s="76"/>
      <c r="AQ409" s="76"/>
      <c r="AR409" s="76"/>
      <c r="AS409" s="76"/>
      <c r="AT409" s="76"/>
      <c r="AU409" s="76"/>
      <c r="AV409" s="76"/>
      <c r="AW409" s="76"/>
      <c r="AX409" s="76">
        <f>+AW409*600000</f>
        <v>0</v>
      </c>
      <c r="AY409" s="76"/>
      <c r="AZ409" s="76">
        <f>+AY409*70000</f>
        <v>0</v>
      </c>
      <c r="BA409" s="76"/>
      <c r="BB409" s="76"/>
      <c r="BC409" s="76"/>
      <c r="BD409" s="76">
        <f>+BC409*30000</f>
        <v>0</v>
      </c>
      <c r="BE409" s="76"/>
      <c r="BF409" s="76"/>
      <c r="BG409" s="76"/>
      <c r="BH409" s="76"/>
      <c r="BI409" s="76"/>
      <c r="BJ409" s="76"/>
      <c r="BK409" s="76"/>
      <c r="BL409" s="76">
        <f>+BK409*31500</f>
        <v>0</v>
      </c>
      <c r="BM409" s="76"/>
      <c r="BN409" s="76"/>
      <c r="BO409" s="76"/>
      <c r="BP409" s="76"/>
      <c r="BQ409" s="76"/>
      <c r="BR409" s="76"/>
      <c r="BS409" s="76"/>
      <c r="BT409" s="76"/>
      <c r="BU409" s="76"/>
      <c r="BV409" s="76"/>
      <c r="BW409" s="76"/>
      <c r="BX409" s="76"/>
      <c r="BY409" s="76"/>
      <c r="BZ409" s="76"/>
      <c r="CA409" s="76"/>
      <c r="CB409" s="76"/>
      <c r="CC409" s="76"/>
      <c r="CD409" s="76"/>
      <c r="CE409" s="76"/>
      <c r="CF409" s="76">
        <f>+CE409*28000</f>
        <v>0</v>
      </c>
      <c r="CG409" s="76"/>
      <c r="CH409" s="76">
        <f>+CG409*22500</f>
        <v>0</v>
      </c>
      <c r="CI409" s="76"/>
      <c r="CJ409" s="76">
        <f>+CI409*26000</f>
        <v>0</v>
      </c>
      <c r="CK409" s="76"/>
      <c r="CL409" s="76"/>
      <c r="CM409" s="76"/>
      <c r="CN409" s="76">
        <f>+CM409*22000</f>
        <v>0</v>
      </c>
      <c r="CO409" s="76"/>
      <c r="CP409" s="76">
        <f>+CO409*46000</f>
        <v>0</v>
      </c>
      <c r="CQ409" s="76"/>
      <c r="CR409" s="76">
        <f>+CQ409*49000</f>
        <v>0</v>
      </c>
      <c r="CS409" s="76"/>
      <c r="CT409" s="76"/>
      <c r="CU409" s="56">
        <f>AN409+AP409+AR409+AT409+AV409+AX409+AZ409+BB409+BD409+BF409+BH409+BJ409+BL409+BN409+BP409+BR409+BT409+BV409+BX409+BZ409+CB409+CD409+CF409+CH409+CJ409+CL409+CN409+CP409+CR409+CT409</f>
        <v>0</v>
      </c>
      <c r="CV409" s="76"/>
      <c r="CW409" s="76">
        <f>+CV409*1100</f>
        <v>0</v>
      </c>
      <c r="CX409" s="76"/>
      <c r="CY409" s="76">
        <f>+CX409*106250</f>
        <v>0</v>
      </c>
      <c r="CZ409" s="76"/>
      <c r="DA409" s="76">
        <f>+CZ409*34500</f>
        <v>0</v>
      </c>
      <c r="DB409" s="76"/>
      <c r="DC409" s="76">
        <f>+DB409*25000</f>
        <v>0</v>
      </c>
      <c r="DD409" s="219"/>
      <c r="DE409" s="219"/>
      <c r="DF409" s="166"/>
      <c r="DG409" s="116"/>
      <c r="DH409" s="117"/>
      <c r="DI409" s="24"/>
      <c r="DJ409" s="24"/>
      <c r="DK409" s="24"/>
      <c r="DL409" s="24"/>
      <c r="DM409" s="24"/>
      <c r="DN409" s="24"/>
      <c r="DO409" s="24"/>
      <c r="DP409" s="24"/>
      <c r="DQ409" s="24"/>
      <c r="DR409" s="24"/>
      <c r="DS409" s="24"/>
      <c r="DT409" s="24"/>
      <c r="DU409" s="24"/>
    </row>
    <row r="410" spans="1:125" s="8" customFormat="1" ht="72" x14ac:dyDescent="0.2">
      <c r="A410" s="77">
        <v>41302</v>
      </c>
      <c r="B410" s="78" t="s">
        <v>2036</v>
      </c>
      <c r="C410" s="75" t="s">
        <v>2670</v>
      </c>
      <c r="D410" s="81" t="s">
        <v>2846</v>
      </c>
      <c r="E410" s="75" t="str">
        <f>VLOOKUP(B410&amp;C410,Divipola!$C$2:$F$1138,4,FALSE)</f>
        <v>81794</v>
      </c>
      <c r="F410" s="87"/>
      <c r="G410" s="87"/>
      <c r="H410" s="87"/>
      <c r="I410" s="87"/>
      <c r="J410" s="87"/>
      <c r="K410" s="87"/>
      <c r="L410" s="87"/>
      <c r="M410" s="87"/>
      <c r="N410" s="87"/>
      <c r="O410" s="87"/>
      <c r="P410" s="87"/>
      <c r="Q410" s="87"/>
      <c r="R410" s="87"/>
      <c r="S410" s="87"/>
      <c r="T410" s="87"/>
      <c r="U410" s="127">
        <v>20</v>
      </c>
      <c r="V410" s="89"/>
      <c r="W410" s="96">
        <v>0</v>
      </c>
      <c r="X410" s="71">
        <f>CU410</f>
        <v>0</v>
      </c>
      <c r="Y410" s="71">
        <f>CY410</f>
        <v>0</v>
      </c>
      <c r="Z410" s="71">
        <f>DA410+DC410+DE410</f>
        <v>0</v>
      </c>
      <c r="AA410" s="71">
        <f>CW410</f>
        <v>0</v>
      </c>
      <c r="AB410" s="71"/>
      <c r="AC410" s="71">
        <v>0</v>
      </c>
      <c r="AD410" s="71">
        <f>W410+X410+Y410+Z410+AA410+AB410+AC410</f>
        <v>0</v>
      </c>
      <c r="AE410" s="72">
        <v>0</v>
      </c>
      <c r="AF410" s="5"/>
      <c r="AG410" s="6"/>
      <c r="AH410" s="27" t="s">
        <v>3392</v>
      </c>
      <c r="AI410" s="44" t="s">
        <v>3393</v>
      </c>
      <c r="AJ410" s="26"/>
      <c r="AK410" s="5"/>
      <c r="AL410" s="82" t="s">
        <v>3275</v>
      </c>
      <c r="AM410" s="76"/>
      <c r="AN410" s="76"/>
      <c r="AO410" s="76"/>
      <c r="AP410" s="76"/>
      <c r="AQ410" s="76"/>
      <c r="AR410" s="76"/>
      <c r="AS410" s="76"/>
      <c r="AT410" s="76"/>
      <c r="AU410" s="76"/>
      <c r="AV410" s="76"/>
      <c r="AW410" s="76"/>
      <c r="AX410" s="76">
        <f>+AW410*600000</f>
        <v>0</v>
      </c>
      <c r="AY410" s="76"/>
      <c r="AZ410" s="76">
        <f>+AY410*70000</f>
        <v>0</v>
      </c>
      <c r="BA410" s="76"/>
      <c r="BB410" s="76"/>
      <c r="BC410" s="76"/>
      <c r="BD410" s="76">
        <f>+BC410*30000</f>
        <v>0</v>
      </c>
      <c r="BE410" s="76"/>
      <c r="BF410" s="76"/>
      <c r="BG410" s="76"/>
      <c r="BH410" s="76"/>
      <c r="BI410" s="76"/>
      <c r="BJ410" s="76"/>
      <c r="BK410" s="76"/>
      <c r="BL410" s="76">
        <f>+BK410*31500</f>
        <v>0</v>
      </c>
      <c r="BM410" s="76"/>
      <c r="BN410" s="76"/>
      <c r="BO410" s="76"/>
      <c r="BP410" s="76"/>
      <c r="BQ410" s="76"/>
      <c r="BR410" s="76"/>
      <c r="BS410" s="76"/>
      <c r="BT410" s="76"/>
      <c r="BU410" s="76"/>
      <c r="BV410" s="76"/>
      <c r="BW410" s="76"/>
      <c r="BX410" s="76"/>
      <c r="BY410" s="76"/>
      <c r="BZ410" s="76"/>
      <c r="CA410" s="76"/>
      <c r="CB410" s="76"/>
      <c r="CC410" s="76"/>
      <c r="CD410" s="76"/>
      <c r="CE410" s="76"/>
      <c r="CF410" s="76">
        <f>+CE410*28000</f>
        <v>0</v>
      </c>
      <c r="CG410" s="76"/>
      <c r="CH410" s="76">
        <f>+CG410*22500</f>
        <v>0</v>
      </c>
      <c r="CI410" s="76"/>
      <c r="CJ410" s="76">
        <f>+CI410*26000</f>
        <v>0</v>
      </c>
      <c r="CK410" s="76"/>
      <c r="CL410" s="76"/>
      <c r="CM410" s="76"/>
      <c r="CN410" s="76">
        <f>+CM410*22000</f>
        <v>0</v>
      </c>
      <c r="CO410" s="76"/>
      <c r="CP410" s="76">
        <f>+CO410*46000</f>
        <v>0</v>
      </c>
      <c r="CQ410" s="76"/>
      <c r="CR410" s="76">
        <f>+CQ410*49000</f>
        <v>0</v>
      </c>
      <c r="CS410" s="76"/>
      <c r="CT410" s="76"/>
      <c r="CU410" s="56">
        <f>AN410+AP410+AR410+AT410+AV410+AX410+AZ410+BB410+BD410+BF410+BH410+BJ410+BL410+BN410+BP410+BR410+BT410+BV410+BX410+BZ410+CB410+CD410+CF410+CH410+CJ410+CL410+CN410+CP410+CR410+CT410</f>
        <v>0</v>
      </c>
      <c r="CV410" s="76"/>
      <c r="CW410" s="76">
        <f>+CV410*1100</f>
        <v>0</v>
      </c>
      <c r="CX410" s="76"/>
      <c r="CY410" s="76">
        <f>+CX410*106250</f>
        <v>0</v>
      </c>
      <c r="CZ410" s="76"/>
      <c r="DA410" s="76">
        <f>+CZ410*34500</f>
        <v>0</v>
      </c>
      <c r="DB410" s="76"/>
      <c r="DC410" s="76">
        <f>+DB410*25000</f>
        <v>0</v>
      </c>
      <c r="DD410" s="219"/>
      <c r="DE410" s="219"/>
      <c r="DF410" s="166"/>
      <c r="DG410" s="116"/>
      <c r="DH410" s="117"/>
      <c r="DI410" s="24"/>
      <c r="DJ410" s="24"/>
      <c r="DK410" s="24"/>
      <c r="DL410" s="24"/>
      <c r="DM410" s="24"/>
      <c r="DN410" s="24"/>
      <c r="DO410" s="24"/>
      <c r="DP410" s="24"/>
      <c r="DQ410" s="24"/>
      <c r="DR410" s="24"/>
      <c r="DS410" s="24"/>
      <c r="DT410" s="24"/>
      <c r="DU410" s="24"/>
    </row>
    <row r="411" spans="1:125" s="8" customFormat="1" ht="60" x14ac:dyDescent="0.2">
      <c r="A411" s="77">
        <v>41302</v>
      </c>
      <c r="B411" s="78" t="s">
        <v>529</v>
      </c>
      <c r="C411" s="75" t="s">
        <v>529</v>
      </c>
      <c r="D411" s="75" t="s">
        <v>2859</v>
      </c>
      <c r="E411" s="75" t="str">
        <f>VLOOKUP(B411&amp;C411,Divipola!$C$2:$F$1138,4,FALSE)</f>
        <v>11001</v>
      </c>
      <c r="F411" s="87"/>
      <c r="G411" s="87"/>
      <c r="H411" s="87"/>
      <c r="I411" s="87"/>
      <c r="J411" s="87"/>
      <c r="K411" s="87"/>
      <c r="L411" s="87"/>
      <c r="M411" s="87"/>
      <c r="N411" s="87"/>
      <c r="O411" s="87"/>
      <c r="P411" s="87"/>
      <c r="Q411" s="87"/>
      <c r="R411" s="87"/>
      <c r="S411" s="87"/>
      <c r="T411" s="87"/>
      <c r="U411" s="127"/>
      <c r="V411" s="89"/>
      <c r="W411" s="96">
        <v>0</v>
      </c>
      <c r="X411" s="71">
        <f>CU411</f>
        <v>0</v>
      </c>
      <c r="Y411" s="71">
        <f>CY411</f>
        <v>0</v>
      </c>
      <c r="Z411" s="71">
        <f>DA411+DC411+DE411</f>
        <v>0</v>
      </c>
      <c r="AA411" s="71">
        <f>CW411</f>
        <v>0</v>
      </c>
      <c r="AB411" s="71"/>
      <c r="AC411" s="71">
        <v>0</v>
      </c>
      <c r="AD411" s="71">
        <f>W411+X411+Y411+Z411+AA411+AB411+AC411</f>
        <v>0</v>
      </c>
      <c r="AE411" s="72">
        <v>0</v>
      </c>
      <c r="AF411" s="5"/>
      <c r="AG411" s="6"/>
      <c r="AH411" s="27" t="s">
        <v>3392</v>
      </c>
      <c r="AI411" s="44" t="s">
        <v>3393</v>
      </c>
      <c r="AJ411" s="26"/>
      <c r="AK411" s="5"/>
      <c r="AL411" s="82" t="s">
        <v>3279</v>
      </c>
      <c r="AM411" s="76"/>
      <c r="AN411" s="76"/>
      <c r="AO411" s="76"/>
      <c r="AP411" s="76"/>
      <c r="AQ411" s="76"/>
      <c r="AR411" s="76"/>
      <c r="AS411" s="76"/>
      <c r="AT411" s="76"/>
      <c r="AU411" s="76"/>
      <c r="AV411" s="76"/>
      <c r="AW411" s="76"/>
      <c r="AX411" s="76">
        <f>+AW411*600000</f>
        <v>0</v>
      </c>
      <c r="AY411" s="76"/>
      <c r="AZ411" s="76">
        <f>+AY411*70000</f>
        <v>0</v>
      </c>
      <c r="BA411" s="76"/>
      <c r="BB411" s="76"/>
      <c r="BC411" s="76"/>
      <c r="BD411" s="76">
        <f>+BC411*30000</f>
        <v>0</v>
      </c>
      <c r="BE411" s="76"/>
      <c r="BF411" s="76"/>
      <c r="BG411" s="76"/>
      <c r="BH411" s="76"/>
      <c r="BI411" s="76"/>
      <c r="BJ411" s="76"/>
      <c r="BK411" s="76"/>
      <c r="BL411" s="76">
        <f>+BK411*31500</f>
        <v>0</v>
      </c>
      <c r="BM411" s="76"/>
      <c r="BN411" s="76"/>
      <c r="BO411" s="76"/>
      <c r="BP411" s="76"/>
      <c r="BQ411" s="76"/>
      <c r="BR411" s="76"/>
      <c r="BS411" s="76"/>
      <c r="BT411" s="76"/>
      <c r="BU411" s="76"/>
      <c r="BV411" s="76"/>
      <c r="BW411" s="76"/>
      <c r="BX411" s="76"/>
      <c r="BY411" s="76"/>
      <c r="BZ411" s="76"/>
      <c r="CA411" s="76"/>
      <c r="CB411" s="76"/>
      <c r="CC411" s="76"/>
      <c r="CD411" s="76"/>
      <c r="CE411" s="76"/>
      <c r="CF411" s="76">
        <f>+CE411*28000</f>
        <v>0</v>
      </c>
      <c r="CG411" s="76"/>
      <c r="CH411" s="76">
        <f>+CG411*22500</f>
        <v>0</v>
      </c>
      <c r="CI411" s="76"/>
      <c r="CJ411" s="76">
        <f>+CI411*26000</f>
        <v>0</v>
      </c>
      <c r="CK411" s="76"/>
      <c r="CL411" s="76"/>
      <c r="CM411" s="76"/>
      <c r="CN411" s="76">
        <f>+CM411*22000</f>
        <v>0</v>
      </c>
      <c r="CO411" s="76"/>
      <c r="CP411" s="76">
        <f>+CO411*46000</f>
        <v>0</v>
      </c>
      <c r="CQ411" s="76"/>
      <c r="CR411" s="76">
        <f>+CQ411*49000</f>
        <v>0</v>
      </c>
      <c r="CS411" s="76"/>
      <c r="CT411" s="76"/>
      <c r="CU411" s="56">
        <f>AN411+AP411+AR411+AT411+AV411+AX411+AZ411+BB411+BD411+BF411+BH411+BJ411+BL411+BN411+BP411+BR411+BT411+BV411+BX411+BZ411+CB411+CD411+CF411+CH411+CJ411+CL411+CN411+CP411+CR411+CT411</f>
        <v>0</v>
      </c>
      <c r="CV411" s="76"/>
      <c r="CW411" s="76">
        <f>+CV411*1100</f>
        <v>0</v>
      </c>
      <c r="CX411" s="76"/>
      <c r="CY411" s="76">
        <f>+CX411*106250</f>
        <v>0</v>
      </c>
      <c r="CZ411" s="76"/>
      <c r="DA411" s="76">
        <f>+CZ411*34500</f>
        <v>0</v>
      </c>
      <c r="DB411" s="76"/>
      <c r="DC411" s="76">
        <f>+DB411*25000</f>
        <v>0</v>
      </c>
      <c r="DD411" s="219"/>
      <c r="DE411" s="219"/>
      <c r="DF411" s="166"/>
      <c r="DG411" s="116"/>
      <c r="DH411" s="117"/>
      <c r="DI411" s="24"/>
      <c r="DJ411" s="24"/>
      <c r="DK411" s="24"/>
      <c r="DL411" s="24"/>
      <c r="DM411" s="24"/>
      <c r="DN411" s="24"/>
      <c r="DO411" s="24"/>
      <c r="DP411" s="24"/>
      <c r="DQ411" s="24"/>
      <c r="DR411" s="24"/>
      <c r="DS411" s="24"/>
      <c r="DT411" s="24"/>
      <c r="DU411" s="24"/>
    </row>
    <row r="412" spans="1:125" s="8" customFormat="1" ht="48" x14ac:dyDescent="0.2">
      <c r="A412" s="77">
        <v>41302</v>
      </c>
      <c r="B412" s="352" t="s">
        <v>2700</v>
      </c>
      <c r="C412" s="227" t="s">
        <v>1362</v>
      </c>
      <c r="D412" s="81" t="s">
        <v>2846</v>
      </c>
      <c r="E412" s="75" t="str">
        <f>VLOOKUP(B412&amp;C412,Divipola!$C$2:$F$1138,4,FALSE)</f>
        <v>15087</v>
      </c>
      <c r="F412" s="87"/>
      <c r="G412" s="87"/>
      <c r="H412" s="87"/>
      <c r="I412" s="87"/>
      <c r="J412" s="87"/>
      <c r="K412" s="87"/>
      <c r="L412" s="87"/>
      <c r="M412" s="87"/>
      <c r="N412" s="87"/>
      <c r="O412" s="87"/>
      <c r="P412" s="87"/>
      <c r="Q412" s="87"/>
      <c r="R412" s="87"/>
      <c r="S412" s="87"/>
      <c r="T412" s="87"/>
      <c r="U412" s="127"/>
      <c r="V412" s="89"/>
      <c r="W412" s="96">
        <v>0</v>
      </c>
      <c r="X412" s="71">
        <f>CU412</f>
        <v>0</v>
      </c>
      <c r="Y412" s="71">
        <f>CY412</f>
        <v>0</v>
      </c>
      <c r="Z412" s="71">
        <f>DA412+DC412+DE412</f>
        <v>0</v>
      </c>
      <c r="AA412" s="71">
        <f>CW412</f>
        <v>0</v>
      </c>
      <c r="AB412" s="71"/>
      <c r="AC412" s="71">
        <v>0</v>
      </c>
      <c r="AD412" s="71">
        <f>W412+X412+Y412+Z412+AA412+AB412+AC412</f>
        <v>0</v>
      </c>
      <c r="AE412" s="72">
        <v>0</v>
      </c>
      <c r="AF412" s="5"/>
      <c r="AG412" s="6"/>
      <c r="AH412" s="27" t="s">
        <v>3392</v>
      </c>
      <c r="AI412" s="44" t="s">
        <v>3393</v>
      </c>
      <c r="AJ412" s="26"/>
      <c r="AK412" s="5"/>
      <c r="AL412" s="82" t="s">
        <v>3261</v>
      </c>
      <c r="AM412" s="76"/>
      <c r="AN412" s="76"/>
      <c r="AO412" s="76"/>
      <c r="AP412" s="76"/>
      <c r="AQ412" s="76"/>
      <c r="AR412" s="76"/>
      <c r="AS412" s="76"/>
      <c r="AT412" s="76"/>
      <c r="AU412" s="76"/>
      <c r="AV412" s="76"/>
      <c r="AW412" s="76"/>
      <c r="AX412" s="76">
        <f>+AW412*600000</f>
        <v>0</v>
      </c>
      <c r="AY412" s="76"/>
      <c r="AZ412" s="76">
        <f>+AY412*70000</f>
        <v>0</v>
      </c>
      <c r="BA412" s="76"/>
      <c r="BB412" s="76"/>
      <c r="BC412" s="76"/>
      <c r="BD412" s="76">
        <f>+BC412*30000</f>
        <v>0</v>
      </c>
      <c r="BE412" s="76"/>
      <c r="BF412" s="76"/>
      <c r="BG412" s="76"/>
      <c r="BH412" s="76"/>
      <c r="BI412" s="76"/>
      <c r="BJ412" s="76"/>
      <c r="BK412" s="76"/>
      <c r="BL412" s="76">
        <f>+BK412*31500</f>
        <v>0</v>
      </c>
      <c r="BM412" s="76"/>
      <c r="BN412" s="76"/>
      <c r="BO412" s="76"/>
      <c r="BP412" s="76"/>
      <c r="BQ412" s="76"/>
      <c r="BR412" s="76"/>
      <c r="BS412" s="76"/>
      <c r="BT412" s="76"/>
      <c r="BU412" s="76"/>
      <c r="BV412" s="76"/>
      <c r="BW412" s="76"/>
      <c r="BX412" s="76"/>
      <c r="BY412" s="76"/>
      <c r="BZ412" s="76"/>
      <c r="CA412" s="76"/>
      <c r="CB412" s="76"/>
      <c r="CC412" s="76"/>
      <c r="CD412" s="76"/>
      <c r="CE412" s="76"/>
      <c r="CF412" s="76">
        <f>+CE412*28000</f>
        <v>0</v>
      </c>
      <c r="CG412" s="76"/>
      <c r="CH412" s="76">
        <f>+CG412*22500</f>
        <v>0</v>
      </c>
      <c r="CI412" s="76"/>
      <c r="CJ412" s="76">
        <f>+CI412*26000</f>
        <v>0</v>
      </c>
      <c r="CK412" s="76"/>
      <c r="CL412" s="76"/>
      <c r="CM412" s="76"/>
      <c r="CN412" s="76">
        <f>+CM412*22000</f>
        <v>0</v>
      </c>
      <c r="CO412" s="76"/>
      <c r="CP412" s="76">
        <f>+CO412*46000</f>
        <v>0</v>
      </c>
      <c r="CQ412" s="76"/>
      <c r="CR412" s="76">
        <f>+CQ412*49000</f>
        <v>0</v>
      </c>
      <c r="CS412" s="76"/>
      <c r="CT412" s="76"/>
      <c r="CU412" s="56">
        <f>AN412+AP412+AR412+AT412+AV412+AX412+AZ412+BB412+BD412+BF412+BH412+BJ412+BL412+BN412+BP412+BR412+BT412+BV412+BX412+BZ412+CB412+CD412+CF412+CH412+CJ412+CL412+CN412+CP412+CR412+CT412</f>
        <v>0</v>
      </c>
      <c r="CV412" s="76"/>
      <c r="CW412" s="76">
        <f>+CV412*1100</f>
        <v>0</v>
      </c>
      <c r="CX412" s="76"/>
      <c r="CY412" s="76">
        <f>+CX412*106250</f>
        <v>0</v>
      </c>
      <c r="CZ412" s="76"/>
      <c r="DA412" s="76">
        <f>+CZ412*34500</f>
        <v>0</v>
      </c>
      <c r="DB412" s="76"/>
      <c r="DC412" s="76">
        <f>+DB412*25000</f>
        <v>0</v>
      </c>
      <c r="DD412" s="219"/>
      <c r="DE412" s="219"/>
      <c r="DF412" s="166"/>
      <c r="DG412" s="116"/>
      <c r="DH412" s="117"/>
      <c r="DI412" s="24"/>
      <c r="DJ412" s="24"/>
      <c r="DK412" s="24"/>
      <c r="DL412" s="24"/>
      <c r="DM412" s="24"/>
      <c r="DN412" s="24"/>
      <c r="DO412" s="24"/>
      <c r="DP412" s="24"/>
      <c r="DQ412" s="24"/>
      <c r="DR412" s="24"/>
      <c r="DS412" s="24"/>
      <c r="DT412" s="24"/>
      <c r="DU412" s="24"/>
    </row>
    <row r="413" spans="1:125" s="8" customFormat="1" ht="24" x14ac:dyDescent="0.2">
      <c r="A413" s="77">
        <v>41302</v>
      </c>
      <c r="B413" s="78" t="s">
        <v>2700</v>
      </c>
      <c r="C413" s="75" t="s">
        <v>1593</v>
      </c>
      <c r="D413" s="81" t="s">
        <v>2846</v>
      </c>
      <c r="E413" s="75" t="str">
        <f>VLOOKUP(B413&amp;C413,Divipola!$C$2:$F$1138,4,FALSE)</f>
        <v>15162</v>
      </c>
      <c r="F413" s="87"/>
      <c r="G413" s="87"/>
      <c r="H413" s="87"/>
      <c r="I413" s="87"/>
      <c r="J413" s="87"/>
      <c r="K413" s="87"/>
      <c r="L413" s="87"/>
      <c r="M413" s="87"/>
      <c r="N413" s="87"/>
      <c r="O413" s="87"/>
      <c r="P413" s="87"/>
      <c r="Q413" s="87"/>
      <c r="R413" s="87"/>
      <c r="S413" s="87"/>
      <c r="T413" s="87"/>
      <c r="U413" s="127"/>
      <c r="V413" s="89"/>
      <c r="W413" s="96">
        <v>0</v>
      </c>
      <c r="X413" s="71">
        <f>CU413</f>
        <v>0</v>
      </c>
      <c r="Y413" s="71">
        <f>CY413</f>
        <v>0</v>
      </c>
      <c r="Z413" s="71">
        <f>DA413+DC413+DE413</f>
        <v>0</v>
      </c>
      <c r="AA413" s="71">
        <f>CW413</f>
        <v>0</v>
      </c>
      <c r="AB413" s="71"/>
      <c r="AC413" s="71">
        <v>0</v>
      </c>
      <c r="AD413" s="71">
        <f>W413+X413+Y413+Z413+AA413+AB413+AC413</f>
        <v>0</v>
      </c>
      <c r="AE413" s="72">
        <v>0</v>
      </c>
      <c r="AF413" s="5"/>
      <c r="AG413" s="6"/>
      <c r="AH413" s="27" t="s">
        <v>3392</v>
      </c>
      <c r="AI413" s="44" t="s">
        <v>3393</v>
      </c>
      <c r="AJ413" s="26"/>
      <c r="AK413" s="5"/>
      <c r="AL413" s="82" t="s">
        <v>3273</v>
      </c>
      <c r="AM413" s="76"/>
      <c r="AN413" s="76"/>
      <c r="AO413" s="76"/>
      <c r="AP413" s="76"/>
      <c r="AQ413" s="76"/>
      <c r="AR413" s="76"/>
      <c r="AS413" s="76"/>
      <c r="AT413" s="76"/>
      <c r="AU413" s="76"/>
      <c r="AV413" s="76"/>
      <c r="AW413" s="76"/>
      <c r="AX413" s="76">
        <f>+AW413*600000</f>
        <v>0</v>
      </c>
      <c r="AY413" s="76"/>
      <c r="AZ413" s="76">
        <f>+AY413*70000</f>
        <v>0</v>
      </c>
      <c r="BA413" s="76"/>
      <c r="BB413" s="76"/>
      <c r="BC413" s="76"/>
      <c r="BD413" s="76">
        <f>+BC413*30000</f>
        <v>0</v>
      </c>
      <c r="BE413" s="76"/>
      <c r="BF413" s="76"/>
      <c r="BG413" s="76"/>
      <c r="BH413" s="76"/>
      <c r="BI413" s="76"/>
      <c r="BJ413" s="76"/>
      <c r="BK413" s="76"/>
      <c r="BL413" s="76">
        <f>+BK413*31500</f>
        <v>0</v>
      </c>
      <c r="BM413" s="76"/>
      <c r="BN413" s="76"/>
      <c r="BO413" s="76"/>
      <c r="BP413" s="76"/>
      <c r="BQ413" s="76"/>
      <c r="BR413" s="76"/>
      <c r="BS413" s="76"/>
      <c r="BT413" s="76"/>
      <c r="BU413" s="76"/>
      <c r="BV413" s="76"/>
      <c r="BW413" s="76"/>
      <c r="BX413" s="76"/>
      <c r="BY413" s="76"/>
      <c r="BZ413" s="76"/>
      <c r="CA413" s="76"/>
      <c r="CB413" s="76"/>
      <c r="CC413" s="76"/>
      <c r="CD413" s="76"/>
      <c r="CE413" s="76"/>
      <c r="CF413" s="76">
        <f>+CE413*28000</f>
        <v>0</v>
      </c>
      <c r="CG413" s="76"/>
      <c r="CH413" s="76">
        <f>+CG413*22500</f>
        <v>0</v>
      </c>
      <c r="CI413" s="76"/>
      <c r="CJ413" s="76">
        <f>+CI413*26000</f>
        <v>0</v>
      </c>
      <c r="CK413" s="76"/>
      <c r="CL413" s="76"/>
      <c r="CM413" s="76"/>
      <c r="CN413" s="76">
        <f>+CM413*22000</f>
        <v>0</v>
      </c>
      <c r="CO413" s="76"/>
      <c r="CP413" s="76">
        <f>+CO413*46000</f>
        <v>0</v>
      </c>
      <c r="CQ413" s="76"/>
      <c r="CR413" s="76">
        <f>+CQ413*49000</f>
        <v>0</v>
      </c>
      <c r="CS413" s="76"/>
      <c r="CT413" s="76"/>
      <c r="CU413" s="56">
        <f>AN413+AP413+AR413+AT413+AV413+AX413+AZ413+BB413+BD413+BF413+BH413+BJ413+BL413+BN413+BP413+BR413+BT413+BV413+BX413+BZ413+CB413+CD413+CF413+CH413+CJ413+CL413+CN413+CP413+CR413+CT413</f>
        <v>0</v>
      </c>
      <c r="CV413" s="76"/>
      <c r="CW413" s="76">
        <f>+CV413*1100</f>
        <v>0</v>
      </c>
      <c r="CX413" s="76"/>
      <c r="CY413" s="76">
        <f>+CX413*106250</f>
        <v>0</v>
      </c>
      <c r="CZ413" s="76"/>
      <c r="DA413" s="76">
        <f>+CZ413*34500</f>
        <v>0</v>
      </c>
      <c r="DB413" s="76"/>
      <c r="DC413" s="76">
        <f>+DB413*25000</f>
        <v>0</v>
      </c>
      <c r="DD413" s="219"/>
      <c r="DE413" s="219"/>
      <c r="DF413" s="166"/>
      <c r="DG413" s="116"/>
      <c r="DH413" s="117"/>
      <c r="DI413" s="24"/>
      <c r="DJ413" s="24"/>
      <c r="DK413" s="24"/>
      <c r="DL413" s="24"/>
      <c r="DM413" s="24"/>
      <c r="DN413" s="24"/>
      <c r="DO413" s="24"/>
      <c r="DP413" s="24"/>
      <c r="DQ413" s="24"/>
      <c r="DR413" s="24"/>
      <c r="DS413" s="24"/>
      <c r="DT413" s="24"/>
      <c r="DU413" s="24"/>
    </row>
    <row r="414" spans="1:125" s="8" customFormat="1" ht="36" x14ac:dyDescent="0.2">
      <c r="A414" s="77">
        <v>41302</v>
      </c>
      <c r="B414" s="78" t="s">
        <v>2700</v>
      </c>
      <c r="C414" s="75" t="s">
        <v>2699</v>
      </c>
      <c r="D414" s="81" t="s">
        <v>2846</v>
      </c>
      <c r="E414" s="75" t="str">
        <f>VLOOKUP(B414&amp;C414,Divipola!$C$2:$F$1138,4,FALSE)</f>
        <v>15673</v>
      </c>
      <c r="F414" s="87"/>
      <c r="G414" s="87"/>
      <c r="H414" s="87"/>
      <c r="I414" s="87"/>
      <c r="J414" s="87"/>
      <c r="K414" s="87"/>
      <c r="L414" s="87"/>
      <c r="M414" s="87"/>
      <c r="N414" s="87"/>
      <c r="O414" s="87"/>
      <c r="P414" s="87"/>
      <c r="Q414" s="87"/>
      <c r="R414" s="87"/>
      <c r="S414" s="87"/>
      <c r="T414" s="87"/>
      <c r="U414" s="127"/>
      <c r="V414" s="89"/>
      <c r="W414" s="96">
        <v>0</v>
      </c>
      <c r="X414" s="71">
        <f>CU414</f>
        <v>0</v>
      </c>
      <c r="Y414" s="71">
        <f>CY414</f>
        <v>0</v>
      </c>
      <c r="Z414" s="71">
        <f>DA414+DC414+DE414</f>
        <v>0</v>
      </c>
      <c r="AA414" s="71">
        <f>CW414</f>
        <v>0</v>
      </c>
      <c r="AB414" s="71"/>
      <c r="AC414" s="71">
        <v>0</v>
      </c>
      <c r="AD414" s="71">
        <f>W414+X414+Y414+Z414+AA414+AB414+AC414</f>
        <v>0</v>
      </c>
      <c r="AE414" s="72">
        <v>0</v>
      </c>
      <c r="AF414" s="5"/>
      <c r="AG414" s="6"/>
      <c r="AH414" s="27" t="s">
        <v>3392</v>
      </c>
      <c r="AI414" s="44" t="s">
        <v>3393</v>
      </c>
      <c r="AJ414" s="26"/>
      <c r="AK414" s="5"/>
      <c r="AL414" s="82" t="s">
        <v>3272</v>
      </c>
      <c r="AM414" s="76"/>
      <c r="AN414" s="76"/>
      <c r="AO414" s="76"/>
      <c r="AP414" s="76"/>
      <c r="AQ414" s="76"/>
      <c r="AR414" s="76"/>
      <c r="AS414" s="76"/>
      <c r="AT414" s="76"/>
      <c r="AU414" s="76"/>
      <c r="AV414" s="76"/>
      <c r="AW414" s="76"/>
      <c r="AX414" s="76">
        <f>+AW414*600000</f>
        <v>0</v>
      </c>
      <c r="AY414" s="76"/>
      <c r="AZ414" s="76">
        <f>+AY414*70000</f>
        <v>0</v>
      </c>
      <c r="BA414" s="76"/>
      <c r="BB414" s="76"/>
      <c r="BC414" s="76"/>
      <c r="BD414" s="76">
        <f>+BC414*30000</f>
        <v>0</v>
      </c>
      <c r="BE414" s="76"/>
      <c r="BF414" s="76"/>
      <c r="BG414" s="76"/>
      <c r="BH414" s="76"/>
      <c r="BI414" s="76"/>
      <c r="BJ414" s="76"/>
      <c r="BK414" s="76"/>
      <c r="BL414" s="76">
        <f>+BK414*31500</f>
        <v>0</v>
      </c>
      <c r="BM414" s="76"/>
      <c r="BN414" s="76"/>
      <c r="BO414" s="76"/>
      <c r="BP414" s="76"/>
      <c r="BQ414" s="76"/>
      <c r="BR414" s="76"/>
      <c r="BS414" s="76"/>
      <c r="BT414" s="76"/>
      <c r="BU414" s="76"/>
      <c r="BV414" s="76"/>
      <c r="BW414" s="76"/>
      <c r="BX414" s="76"/>
      <c r="BY414" s="76"/>
      <c r="BZ414" s="76"/>
      <c r="CA414" s="76"/>
      <c r="CB414" s="76"/>
      <c r="CC414" s="76"/>
      <c r="CD414" s="76"/>
      <c r="CE414" s="76"/>
      <c r="CF414" s="76">
        <f>+CE414*28000</f>
        <v>0</v>
      </c>
      <c r="CG414" s="76"/>
      <c r="CH414" s="76">
        <f>+CG414*22500</f>
        <v>0</v>
      </c>
      <c r="CI414" s="76"/>
      <c r="CJ414" s="76">
        <f>+CI414*26000</f>
        <v>0</v>
      </c>
      <c r="CK414" s="76"/>
      <c r="CL414" s="76"/>
      <c r="CM414" s="76"/>
      <c r="CN414" s="76">
        <f>+CM414*22000</f>
        <v>0</v>
      </c>
      <c r="CO414" s="76"/>
      <c r="CP414" s="76">
        <f>+CO414*46000</f>
        <v>0</v>
      </c>
      <c r="CQ414" s="76"/>
      <c r="CR414" s="76">
        <f>+CQ414*49000</f>
        <v>0</v>
      </c>
      <c r="CS414" s="76"/>
      <c r="CT414" s="76"/>
      <c r="CU414" s="56">
        <f>AN414+AP414+AR414+AT414+AV414+AX414+AZ414+BB414+BD414+BF414+BH414+BJ414+BL414+BN414+BP414+BR414+BT414+BV414+BX414+BZ414+CB414+CD414+CF414+CH414+CJ414+CL414+CN414+CP414+CR414+CT414</f>
        <v>0</v>
      </c>
      <c r="CV414" s="76"/>
      <c r="CW414" s="76">
        <f>+CV414*1100</f>
        <v>0</v>
      </c>
      <c r="CX414" s="76"/>
      <c r="CY414" s="76">
        <f>+CX414*106250</f>
        <v>0</v>
      </c>
      <c r="CZ414" s="76"/>
      <c r="DA414" s="76">
        <f>+CZ414*34500</f>
        <v>0</v>
      </c>
      <c r="DB414" s="76"/>
      <c r="DC414" s="76">
        <f>+DB414*25000</f>
        <v>0</v>
      </c>
      <c r="DD414" s="219"/>
      <c r="DE414" s="219"/>
      <c r="DF414" s="166"/>
      <c r="DG414" s="116"/>
      <c r="DH414" s="117"/>
      <c r="DI414" s="24"/>
      <c r="DJ414" s="24"/>
      <c r="DK414" s="24"/>
      <c r="DL414" s="24"/>
      <c r="DM414" s="24"/>
      <c r="DN414" s="24"/>
      <c r="DO414" s="24"/>
      <c r="DP414" s="24"/>
      <c r="DQ414" s="24"/>
      <c r="DR414" s="24"/>
      <c r="DS414" s="24"/>
      <c r="DT414" s="24"/>
      <c r="DU414" s="24"/>
    </row>
    <row r="415" spans="1:125" s="8" customFormat="1" ht="48" x14ac:dyDescent="0.2">
      <c r="A415" s="77">
        <v>41302</v>
      </c>
      <c r="B415" s="84" t="s">
        <v>2700</v>
      </c>
      <c r="C415" s="84" t="s">
        <v>2671</v>
      </c>
      <c r="D415" s="81" t="s">
        <v>2846</v>
      </c>
      <c r="E415" s="75" t="str">
        <f>VLOOKUP(B415&amp;C415,Divipola!$C$2:$F$1138,4,FALSE)</f>
        <v>15001</v>
      </c>
      <c r="F415" s="89"/>
      <c r="G415" s="89"/>
      <c r="H415" s="89"/>
      <c r="I415" s="89"/>
      <c r="J415" s="89"/>
      <c r="K415" s="89"/>
      <c r="L415" s="89"/>
      <c r="M415" s="89"/>
      <c r="N415" s="89"/>
      <c r="O415" s="89"/>
      <c r="P415" s="89"/>
      <c r="Q415" s="89"/>
      <c r="R415" s="89"/>
      <c r="S415" s="89"/>
      <c r="T415" s="89"/>
      <c r="U415" s="126"/>
      <c r="V415" s="89"/>
      <c r="W415" s="96">
        <v>0</v>
      </c>
      <c r="X415" s="71">
        <f>CU415</f>
        <v>0</v>
      </c>
      <c r="Y415" s="71">
        <f>CY415</f>
        <v>0</v>
      </c>
      <c r="Z415" s="71">
        <f>DA415+DC415+DE415</f>
        <v>0</v>
      </c>
      <c r="AA415" s="71">
        <f>CW415</f>
        <v>0</v>
      </c>
      <c r="AB415" s="71"/>
      <c r="AC415" s="71">
        <v>0</v>
      </c>
      <c r="AD415" s="71">
        <f>W415+X415+Y415+Z415+AA415+AB415+AC415</f>
        <v>0</v>
      </c>
      <c r="AE415" s="72">
        <v>0</v>
      </c>
      <c r="AF415" s="5"/>
      <c r="AG415" s="6"/>
      <c r="AH415" s="27" t="s">
        <v>3392</v>
      </c>
      <c r="AI415" s="44" t="s">
        <v>3393</v>
      </c>
      <c r="AJ415" s="26"/>
      <c r="AK415" s="5"/>
      <c r="AL415" s="82" t="s">
        <v>3270</v>
      </c>
      <c r="AM415" s="76"/>
      <c r="AN415" s="76"/>
      <c r="AO415" s="76"/>
      <c r="AP415" s="76"/>
      <c r="AQ415" s="76"/>
      <c r="AR415" s="76"/>
      <c r="AS415" s="76"/>
      <c r="AT415" s="76"/>
      <c r="AU415" s="76"/>
      <c r="AV415" s="76"/>
      <c r="AW415" s="76"/>
      <c r="AX415" s="76">
        <f>+AW415*600000</f>
        <v>0</v>
      </c>
      <c r="AY415" s="76"/>
      <c r="AZ415" s="76">
        <f>+AY415*70000</f>
        <v>0</v>
      </c>
      <c r="BA415" s="76"/>
      <c r="BB415" s="76"/>
      <c r="BC415" s="76"/>
      <c r="BD415" s="76">
        <f>+BC415*30000</f>
        <v>0</v>
      </c>
      <c r="BE415" s="76"/>
      <c r="BF415" s="76"/>
      <c r="BG415" s="76"/>
      <c r="BH415" s="76"/>
      <c r="BI415" s="76"/>
      <c r="BJ415" s="76"/>
      <c r="BK415" s="76"/>
      <c r="BL415" s="76">
        <f>+BK415*31500</f>
        <v>0</v>
      </c>
      <c r="BM415" s="76"/>
      <c r="BN415" s="76"/>
      <c r="BO415" s="76"/>
      <c r="BP415" s="76"/>
      <c r="BQ415" s="76"/>
      <c r="BR415" s="76"/>
      <c r="BS415" s="76"/>
      <c r="BT415" s="76"/>
      <c r="BU415" s="76"/>
      <c r="BV415" s="76"/>
      <c r="BW415" s="76"/>
      <c r="BX415" s="76"/>
      <c r="BY415" s="76"/>
      <c r="BZ415" s="76"/>
      <c r="CA415" s="76"/>
      <c r="CB415" s="76"/>
      <c r="CC415" s="76"/>
      <c r="CD415" s="76"/>
      <c r="CE415" s="76"/>
      <c r="CF415" s="76">
        <f>+CE415*28000</f>
        <v>0</v>
      </c>
      <c r="CG415" s="76"/>
      <c r="CH415" s="76">
        <f>+CG415*22500</f>
        <v>0</v>
      </c>
      <c r="CI415" s="76"/>
      <c r="CJ415" s="76">
        <f>+CI415*26000</f>
        <v>0</v>
      </c>
      <c r="CK415" s="76"/>
      <c r="CL415" s="76"/>
      <c r="CM415" s="76"/>
      <c r="CN415" s="76">
        <f>+CM415*22000</f>
        <v>0</v>
      </c>
      <c r="CO415" s="76"/>
      <c r="CP415" s="76">
        <f>+CO415*46000</f>
        <v>0</v>
      </c>
      <c r="CQ415" s="76"/>
      <c r="CR415" s="76">
        <f>+CQ415*49000</f>
        <v>0</v>
      </c>
      <c r="CS415" s="76"/>
      <c r="CT415" s="76"/>
      <c r="CU415" s="56">
        <f>AN415+AP415+AR415+AT415+AV415+AX415+AZ415+BB415+BD415+BF415+BH415+BJ415+BL415+BN415+BP415+BR415+BT415+BV415+BX415+BZ415+CB415+CD415+CF415+CH415+CJ415+CL415+CN415+CP415+CR415+CT415</f>
        <v>0</v>
      </c>
      <c r="CV415" s="76"/>
      <c r="CW415" s="76">
        <f>+CV415*1100</f>
        <v>0</v>
      </c>
      <c r="CX415" s="76"/>
      <c r="CY415" s="76">
        <f>+CX415*106250</f>
        <v>0</v>
      </c>
      <c r="CZ415" s="76"/>
      <c r="DA415" s="76">
        <f>+CZ415*34500</f>
        <v>0</v>
      </c>
      <c r="DB415" s="76"/>
      <c r="DC415" s="76">
        <f>+DB415*25000</f>
        <v>0</v>
      </c>
      <c r="DD415" s="219"/>
      <c r="DE415" s="219"/>
      <c r="DF415" s="166"/>
      <c r="DG415" s="116"/>
      <c r="DH415" s="117"/>
      <c r="DI415" s="24"/>
      <c r="DJ415" s="24"/>
      <c r="DK415" s="24"/>
      <c r="DL415" s="24"/>
      <c r="DM415" s="24"/>
      <c r="DN415" s="24"/>
      <c r="DO415" s="24"/>
      <c r="DP415" s="24"/>
      <c r="DQ415" s="24"/>
      <c r="DR415" s="24"/>
      <c r="DS415" s="24"/>
      <c r="DT415" s="24"/>
      <c r="DU415" s="24"/>
    </row>
    <row r="416" spans="1:125" s="8" customFormat="1" ht="60" x14ac:dyDescent="0.2">
      <c r="A416" s="77">
        <v>41302</v>
      </c>
      <c r="B416" s="78" t="s">
        <v>2700</v>
      </c>
      <c r="C416" s="75" t="s">
        <v>2671</v>
      </c>
      <c r="D416" s="81" t="s">
        <v>2846</v>
      </c>
      <c r="E416" s="75" t="str">
        <f>VLOOKUP(B416&amp;C416,Divipola!$C$2:$F$1138,4,FALSE)</f>
        <v>15001</v>
      </c>
      <c r="F416" s="87"/>
      <c r="G416" s="87"/>
      <c r="H416" s="87"/>
      <c r="I416" s="87"/>
      <c r="J416" s="87"/>
      <c r="K416" s="87"/>
      <c r="L416" s="87"/>
      <c r="M416" s="87"/>
      <c r="N416" s="87"/>
      <c r="O416" s="87"/>
      <c r="P416" s="87"/>
      <c r="Q416" s="87"/>
      <c r="R416" s="87"/>
      <c r="S416" s="87"/>
      <c r="T416" s="87"/>
      <c r="U416" s="127">
        <v>0.5</v>
      </c>
      <c r="V416" s="89"/>
      <c r="W416" s="96">
        <v>0</v>
      </c>
      <c r="X416" s="71">
        <f>CU416</f>
        <v>0</v>
      </c>
      <c r="Y416" s="71">
        <f>CY416</f>
        <v>0</v>
      </c>
      <c r="Z416" s="71">
        <f>DA416+DC416+DE416</f>
        <v>0</v>
      </c>
      <c r="AA416" s="71">
        <f>CW416</f>
        <v>0</v>
      </c>
      <c r="AB416" s="71"/>
      <c r="AC416" s="71">
        <v>0</v>
      </c>
      <c r="AD416" s="71">
        <f>W416+X416+Y416+Z416+AA416+AB416+AC416</f>
        <v>0</v>
      </c>
      <c r="AE416" s="72">
        <v>0</v>
      </c>
      <c r="AF416" s="5"/>
      <c r="AG416" s="6"/>
      <c r="AH416" s="27" t="s">
        <v>3392</v>
      </c>
      <c r="AI416" s="44" t="s">
        <v>3393</v>
      </c>
      <c r="AJ416" s="26"/>
      <c r="AK416" s="5"/>
      <c r="AL416" s="82" t="s">
        <v>3271</v>
      </c>
      <c r="AM416" s="76"/>
      <c r="AN416" s="76"/>
      <c r="AO416" s="76"/>
      <c r="AP416" s="76"/>
      <c r="AQ416" s="76"/>
      <c r="AR416" s="76"/>
      <c r="AS416" s="76"/>
      <c r="AT416" s="76"/>
      <c r="AU416" s="76"/>
      <c r="AV416" s="76"/>
      <c r="AW416" s="76"/>
      <c r="AX416" s="76">
        <f>+AW416*600000</f>
        <v>0</v>
      </c>
      <c r="AY416" s="76"/>
      <c r="AZ416" s="76">
        <f>+AY416*70000</f>
        <v>0</v>
      </c>
      <c r="BA416" s="76"/>
      <c r="BB416" s="76"/>
      <c r="BC416" s="76"/>
      <c r="BD416" s="76">
        <f>+BC416*30000</f>
        <v>0</v>
      </c>
      <c r="BE416" s="76"/>
      <c r="BF416" s="76"/>
      <c r="BG416" s="76"/>
      <c r="BH416" s="76"/>
      <c r="BI416" s="76"/>
      <c r="BJ416" s="76"/>
      <c r="BK416" s="76"/>
      <c r="BL416" s="76">
        <f>+BK416*31500</f>
        <v>0</v>
      </c>
      <c r="BM416" s="76"/>
      <c r="BN416" s="76"/>
      <c r="BO416" s="76"/>
      <c r="BP416" s="76"/>
      <c r="BQ416" s="76"/>
      <c r="BR416" s="76"/>
      <c r="BS416" s="76"/>
      <c r="BT416" s="76"/>
      <c r="BU416" s="76"/>
      <c r="BV416" s="76"/>
      <c r="BW416" s="76"/>
      <c r="BX416" s="76"/>
      <c r="BY416" s="76"/>
      <c r="BZ416" s="76"/>
      <c r="CA416" s="76"/>
      <c r="CB416" s="76"/>
      <c r="CC416" s="76"/>
      <c r="CD416" s="76"/>
      <c r="CE416" s="76"/>
      <c r="CF416" s="76">
        <f>+CE416*28000</f>
        <v>0</v>
      </c>
      <c r="CG416" s="76"/>
      <c r="CH416" s="76">
        <f>+CG416*22500</f>
        <v>0</v>
      </c>
      <c r="CI416" s="76"/>
      <c r="CJ416" s="76">
        <f>+CI416*26000</f>
        <v>0</v>
      </c>
      <c r="CK416" s="76"/>
      <c r="CL416" s="76"/>
      <c r="CM416" s="76"/>
      <c r="CN416" s="76">
        <f>+CM416*22000</f>
        <v>0</v>
      </c>
      <c r="CO416" s="76"/>
      <c r="CP416" s="76">
        <f>+CO416*46000</f>
        <v>0</v>
      </c>
      <c r="CQ416" s="76"/>
      <c r="CR416" s="76">
        <f>+CQ416*49000</f>
        <v>0</v>
      </c>
      <c r="CS416" s="76"/>
      <c r="CT416" s="76"/>
      <c r="CU416" s="56">
        <f>AN416+AP416+AR416+AT416+AV416+AX416+AZ416+BB416+BD416+BF416+BH416+BJ416+BL416+BN416+BP416+BR416+BT416+BV416+BX416+BZ416+CB416+CD416+CF416+CH416+CJ416+CL416+CN416+CP416+CR416+CT416</f>
        <v>0</v>
      </c>
      <c r="CV416" s="76"/>
      <c r="CW416" s="76">
        <f>+CV416*1100</f>
        <v>0</v>
      </c>
      <c r="CX416" s="76"/>
      <c r="CY416" s="76">
        <f>+CX416*106250</f>
        <v>0</v>
      </c>
      <c r="CZ416" s="76"/>
      <c r="DA416" s="76">
        <f>+CZ416*34500</f>
        <v>0</v>
      </c>
      <c r="DB416" s="76"/>
      <c r="DC416" s="76">
        <f>+DB416*25000</f>
        <v>0</v>
      </c>
      <c r="DD416" s="219"/>
      <c r="DE416" s="219"/>
      <c r="DF416" s="166"/>
      <c r="DG416" s="116"/>
      <c r="DH416" s="117"/>
      <c r="DI416" s="24"/>
      <c r="DJ416" s="24"/>
      <c r="DK416" s="24"/>
      <c r="DL416" s="24"/>
      <c r="DM416" s="24"/>
      <c r="DN416" s="24"/>
      <c r="DO416" s="24"/>
      <c r="DP416" s="24"/>
      <c r="DQ416" s="24"/>
      <c r="DR416" s="24"/>
      <c r="DS416" s="24"/>
      <c r="DT416" s="24"/>
      <c r="DU416" s="24"/>
    </row>
    <row r="417" spans="1:125" s="8" customFormat="1" ht="60" x14ac:dyDescent="0.2">
      <c r="A417" s="77">
        <v>41302</v>
      </c>
      <c r="B417" s="225" t="s">
        <v>2778</v>
      </c>
      <c r="C417" s="227" t="s">
        <v>1344</v>
      </c>
      <c r="D417" s="81" t="s">
        <v>2846</v>
      </c>
      <c r="E417" s="75" t="str">
        <f>VLOOKUP(B417&amp;C417,Divipola!$C$2:$F$1138,4,FALSE)</f>
        <v>85001</v>
      </c>
      <c r="F417" s="87"/>
      <c r="G417" s="87"/>
      <c r="H417" s="87"/>
      <c r="I417" s="87"/>
      <c r="J417" s="87"/>
      <c r="K417" s="87"/>
      <c r="L417" s="87"/>
      <c r="M417" s="87"/>
      <c r="N417" s="87"/>
      <c r="O417" s="87"/>
      <c r="P417" s="87"/>
      <c r="Q417" s="87"/>
      <c r="R417" s="87"/>
      <c r="S417" s="87"/>
      <c r="T417" s="87"/>
      <c r="U417" s="127">
        <v>7</v>
      </c>
      <c r="V417" s="89"/>
      <c r="W417" s="96">
        <v>0</v>
      </c>
      <c r="X417" s="71">
        <f>CU417</f>
        <v>0</v>
      </c>
      <c r="Y417" s="71">
        <f>CY417</f>
        <v>0</v>
      </c>
      <c r="Z417" s="71">
        <f>DA417+DC417+DE417</f>
        <v>0</v>
      </c>
      <c r="AA417" s="71">
        <f>CW417</f>
        <v>0</v>
      </c>
      <c r="AB417" s="71"/>
      <c r="AC417" s="71">
        <v>0</v>
      </c>
      <c r="AD417" s="71">
        <f>W417+X417+Y417+Z417+AA417+AB417+AC417</f>
        <v>0</v>
      </c>
      <c r="AE417" s="72">
        <v>0</v>
      </c>
      <c r="AF417" s="5"/>
      <c r="AG417" s="6"/>
      <c r="AH417" s="27" t="s">
        <v>3392</v>
      </c>
      <c r="AI417" s="44" t="s">
        <v>3393</v>
      </c>
      <c r="AJ417" s="26"/>
      <c r="AK417" s="5"/>
      <c r="AL417" s="82" t="s">
        <v>3262</v>
      </c>
      <c r="AM417" s="76"/>
      <c r="AN417" s="76"/>
      <c r="AO417" s="76"/>
      <c r="AP417" s="76"/>
      <c r="AQ417" s="76"/>
      <c r="AR417" s="76"/>
      <c r="AS417" s="76"/>
      <c r="AT417" s="76"/>
      <c r="AU417" s="76"/>
      <c r="AV417" s="76"/>
      <c r="AW417" s="76"/>
      <c r="AX417" s="76">
        <f>+AW417*600000</f>
        <v>0</v>
      </c>
      <c r="AY417" s="76"/>
      <c r="AZ417" s="76">
        <f>+AY417*70000</f>
        <v>0</v>
      </c>
      <c r="BA417" s="76"/>
      <c r="BB417" s="76"/>
      <c r="BC417" s="76"/>
      <c r="BD417" s="76">
        <f>+BC417*30000</f>
        <v>0</v>
      </c>
      <c r="BE417" s="76"/>
      <c r="BF417" s="76"/>
      <c r="BG417" s="76"/>
      <c r="BH417" s="76"/>
      <c r="BI417" s="76"/>
      <c r="BJ417" s="76"/>
      <c r="BK417" s="76"/>
      <c r="BL417" s="76">
        <f>+BK417*31500</f>
        <v>0</v>
      </c>
      <c r="BM417" s="76"/>
      <c r="BN417" s="76"/>
      <c r="BO417" s="76"/>
      <c r="BP417" s="76"/>
      <c r="BQ417" s="76"/>
      <c r="BR417" s="76"/>
      <c r="BS417" s="76"/>
      <c r="BT417" s="76"/>
      <c r="BU417" s="76"/>
      <c r="BV417" s="76"/>
      <c r="BW417" s="76"/>
      <c r="BX417" s="76"/>
      <c r="BY417" s="76"/>
      <c r="BZ417" s="76"/>
      <c r="CA417" s="76"/>
      <c r="CB417" s="76"/>
      <c r="CC417" s="76"/>
      <c r="CD417" s="76"/>
      <c r="CE417" s="76"/>
      <c r="CF417" s="76">
        <f>+CE417*28000</f>
        <v>0</v>
      </c>
      <c r="CG417" s="76"/>
      <c r="CH417" s="76">
        <f>+CG417*22500</f>
        <v>0</v>
      </c>
      <c r="CI417" s="76"/>
      <c r="CJ417" s="76">
        <f>+CI417*26000</f>
        <v>0</v>
      </c>
      <c r="CK417" s="76"/>
      <c r="CL417" s="76"/>
      <c r="CM417" s="76"/>
      <c r="CN417" s="76">
        <f>+CM417*22000</f>
        <v>0</v>
      </c>
      <c r="CO417" s="76"/>
      <c r="CP417" s="76">
        <f>+CO417*46000</f>
        <v>0</v>
      </c>
      <c r="CQ417" s="76"/>
      <c r="CR417" s="76">
        <f>+CQ417*49000</f>
        <v>0</v>
      </c>
      <c r="CS417" s="76"/>
      <c r="CT417" s="76"/>
      <c r="CU417" s="56">
        <f>AN417+AP417+AR417+AT417+AV417+AX417+AZ417+BB417+BD417+BF417+BH417+BJ417+BL417+BN417+BP417+BR417+BT417+BV417+BX417+BZ417+CB417+CD417+CF417+CH417+CJ417+CL417+CN417+CP417+CR417+CT417</f>
        <v>0</v>
      </c>
      <c r="CV417" s="76"/>
      <c r="CW417" s="76">
        <f>+CV417*1100</f>
        <v>0</v>
      </c>
      <c r="CX417" s="76"/>
      <c r="CY417" s="76">
        <f>+CX417*106250</f>
        <v>0</v>
      </c>
      <c r="CZ417" s="76"/>
      <c r="DA417" s="76">
        <f>+CZ417*34500</f>
        <v>0</v>
      </c>
      <c r="DB417" s="76"/>
      <c r="DC417" s="76">
        <f>+DB417*25000</f>
        <v>0</v>
      </c>
      <c r="DD417" s="219"/>
      <c r="DE417" s="219"/>
      <c r="DF417" s="166"/>
      <c r="DG417" s="116"/>
      <c r="DH417" s="117"/>
      <c r="DI417" s="24"/>
      <c r="DJ417" s="24"/>
      <c r="DK417" s="24"/>
      <c r="DL417" s="24"/>
      <c r="DM417" s="24"/>
      <c r="DN417" s="24"/>
      <c r="DO417" s="24"/>
      <c r="DP417" s="24"/>
      <c r="DQ417" s="24"/>
      <c r="DR417" s="24"/>
      <c r="DS417" s="24"/>
      <c r="DT417" s="24"/>
      <c r="DU417" s="24"/>
    </row>
    <row r="418" spans="1:125" s="8" customFormat="1" ht="84" x14ac:dyDescent="0.2">
      <c r="A418" s="77">
        <v>41302</v>
      </c>
      <c r="B418" s="225" t="s">
        <v>2772</v>
      </c>
      <c r="C418" s="227" t="s">
        <v>2829</v>
      </c>
      <c r="D418" s="81" t="s">
        <v>2846</v>
      </c>
      <c r="E418" s="75" t="str">
        <f>VLOOKUP(B418&amp;C418,Divipola!$C$2:$F$1138,4,FALSE)</f>
        <v>25372</v>
      </c>
      <c r="F418" s="87"/>
      <c r="G418" s="87"/>
      <c r="H418" s="87"/>
      <c r="I418" s="87"/>
      <c r="J418" s="87"/>
      <c r="K418" s="87"/>
      <c r="L418" s="87"/>
      <c r="M418" s="87"/>
      <c r="N418" s="87"/>
      <c r="O418" s="87"/>
      <c r="P418" s="87"/>
      <c r="Q418" s="87"/>
      <c r="R418" s="87"/>
      <c r="S418" s="87"/>
      <c r="T418" s="87"/>
      <c r="U418" s="127">
        <v>2</v>
      </c>
      <c r="V418" s="89"/>
      <c r="W418" s="96">
        <v>0</v>
      </c>
      <c r="X418" s="71">
        <f>CU418</f>
        <v>0</v>
      </c>
      <c r="Y418" s="71">
        <f>CY418</f>
        <v>0</v>
      </c>
      <c r="Z418" s="71">
        <f>DA418+DC418+DE418</f>
        <v>0</v>
      </c>
      <c r="AA418" s="71">
        <f>CW418</f>
        <v>0</v>
      </c>
      <c r="AB418" s="71"/>
      <c r="AC418" s="71">
        <v>0</v>
      </c>
      <c r="AD418" s="71">
        <f>W418+X418+Y418+Z418+AA418+AB418+AC418</f>
        <v>0</v>
      </c>
      <c r="AE418" s="72">
        <v>0</v>
      </c>
      <c r="AF418" s="5"/>
      <c r="AG418" s="6"/>
      <c r="AH418" s="27" t="s">
        <v>3392</v>
      </c>
      <c r="AI418" s="44" t="s">
        <v>3393</v>
      </c>
      <c r="AJ418" s="26"/>
      <c r="AK418" s="5"/>
      <c r="AL418" s="82" t="s">
        <v>3264</v>
      </c>
      <c r="AM418" s="76"/>
      <c r="AN418" s="76"/>
      <c r="AO418" s="76"/>
      <c r="AP418" s="76"/>
      <c r="AQ418" s="76"/>
      <c r="AR418" s="76"/>
      <c r="AS418" s="76"/>
      <c r="AT418" s="76"/>
      <c r="AU418" s="76"/>
      <c r="AV418" s="76"/>
      <c r="AW418" s="76"/>
      <c r="AX418" s="76">
        <f>+AW418*600000</f>
        <v>0</v>
      </c>
      <c r="AY418" s="76"/>
      <c r="AZ418" s="76">
        <f>+AY418*70000</f>
        <v>0</v>
      </c>
      <c r="BA418" s="76"/>
      <c r="BB418" s="76"/>
      <c r="BC418" s="76"/>
      <c r="BD418" s="76">
        <f>+BC418*30000</f>
        <v>0</v>
      </c>
      <c r="BE418" s="76"/>
      <c r="BF418" s="76"/>
      <c r="BG418" s="76"/>
      <c r="BH418" s="76"/>
      <c r="BI418" s="76"/>
      <c r="BJ418" s="76"/>
      <c r="BK418" s="76"/>
      <c r="BL418" s="76">
        <f>+BK418*31500</f>
        <v>0</v>
      </c>
      <c r="BM418" s="76"/>
      <c r="BN418" s="76"/>
      <c r="BO418" s="76"/>
      <c r="BP418" s="76"/>
      <c r="BQ418" s="76"/>
      <c r="BR418" s="76"/>
      <c r="BS418" s="76"/>
      <c r="BT418" s="76"/>
      <c r="BU418" s="76"/>
      <c r="BV418" s="76"/>
      <c r="BW418" s="76"/>
      <c r="BX418" s="76"/>
      <c r="BY418" s="76"/>
      <c r="BZ418" s="76"/>
      <c r="CA418" s="76"/>
      <c r="CB418" s="76"/>
      <c r="CC418" s="76"/>
      <c r="CD418" s="76"/>
      <c r="CE418" s="76"/>
      <c r="CF418" s="76">
        <f>+CE418*28000</f>
        <v>0</v>
      </c>
      <c r="CG418" s="76"/>
      <c r="CH418" s="76">
        <f>+CG418*22500</f>
        <v>0</v>
      </c>
      <c r="CI418" s="76"/>
      <c r="CJ418" s="76">
        <f>+CI418*26000</f>
        <v>0</v>
      </c>
      <c r="CK418" s="76"/>
      <c r="CL418" s="76"/>
      <c r="CM418" s="76"/>
      <c r="CN418" s="76">
        <f>+CM418*22000</f>
        <v>0</v>
      </c>
      <c r="CO418" s="76"/>
      <c r="CP418" s="76">
        <f>+CO418*46000</f>
        <v>0</v>
      </c>
      <c r="CQ418" s="76"/>
      <c r="CR418" s="76">
        <f>+CQ418*49000</f>
        <v>0</v>
      </c>
      <c r="CS418" s="76"/>
      <c r="CT418" s="76"/>
      <c r="CU418" s="56">
        <f>AN418+AP418+AR418+AT418+AV418+AX418+AZ418+BB418+BD418+BF418+BH418+BJ418+BL418+BN418+BP418+BR418+BT418+BV418+BX418+BZ418+CB418+CD418+CF418+CH418+CJ418+CL418+CN418+CP418+CR418+CT418</f>
        <v>0</v>
      </c>
      <c r="CV418" s="76"/>
      <c r="CW418" s="76">
        <f>+CV418*1100</f>
        <v>0</v>
      </c>
      <c r="CX418" s="76"/>
      <c r="CY418" s="76">
        <f>+CX418*106250</f>
        <v>0</v>
      </c>
      <c r="CZ418" s="76"/>
      <c r="DA418" s="76">
        <f>+CZ418*34500</f>
        <v>0</v>
      </c>
      <c r="DB418" s="76"/>
      <c r="DC418" s="76">
        <f>+DB418*25000</f>
        <v>0</v>
      </c>
      <c r="DD418" s="219"/>
      <c r="DE418" s="219"/>
      <c r="DF418" s="166"/>
      <c r="DG418" s="116"/>
      <c r="DH418" s="117"/>
      <c r="DI418" s="24"/>
      <c r="DJ418" s="24"/>
      <c r="DK418" s="24"/>
      <c r="DL418" s="24"/>
      <c r="DM418" s="24"/>
      <c r="DN418" s="24"/>
      <c r="DO418" s="24"/>
      <c r="DP418" s="24"/>
      <c r="DQ418" s="24"/>
      <c r="DR418" s="24"/>
      <c r="DS418" s="24"/>
      <c r="DT418" s="24"/>
      <c r="DU418" s="24"/>
    </row>
    <row r="419" spans="1:125" s="8" customFormat="1" ht="84" x14ac:dyDescent="0.2">
      <c r="A419" s="77">
        <v>41302</v>
      </c>
      <c r="B419" s="225" t="s">
        <v>2772</v>
      </c>
      <c r="C419" s="227" t="s">
        <v>2829</v>
      </c>
      <c r="D419" s="81" t="s">
        <v>2846</v>
      </c>
      <c r="E419" s="75" t="str">
        <f>VLOOKUP(B419&amp;C419,Divipola!$C$2:$F$1138,4,FALSE)</f>
        <v>25372</v>
      </c>
      <c r="F419" s="87"/>
      <c r="G419" s="87"/>
      <c r="H419" s="87"/>
      <c r="I419" s="87"/>
      <c r="J419" s="87"/>
      <c r="K419" s="87"/>
      <c r="L419" s="87"/>
      <c r="M419" s="87"/>
      <c r="N419" s="87"/>
      <c r="O419" s="87"/>
      <c r="P419" s="87"/>
      <c r="Q419" s="87"/>
      <c r="R419" s="87"/>
      <c r="S419" s="87"/>
      <c r="T419" s="87"/>
      <c r="U419" s="127">
        <v>2</v>
      </c>
      <c r="V419" s="89"/>
      <c r="W419" s="96">
        <v>0</v>
      </c>
      <c r="X419" s="71">
        <f>CU419</f>
        <v>0</v>
      </c>
      <c r="Y419" s="71">
        <f>CY419</f>
        <v>0</v>
      </c>
      <c r="Z419" s="71">
        <f>DA419+DC419+DE419</f>
        <v>0</v>
      </c>
      <c r="AA419" s="71">
        <f>CW419</f>
        <v>0</v>
      </c>
      <c r="AB419" s="71"/>
      <c r="AC419" s="71">
        <v>0</v>
      </c>
      <c r="AD419" s="71">
        <f>W419+X419+Y419+Z419+AA419+AB419+AC419</f>
        <v>0</v>
      </c>
      <c r="AE419" s="72">
        <v>0</v>
      </c>
      <c r="AF419" s="5"/>
      <c r="AG419" s="6"/>
      <c r="AH419" s="27" t="s">
        <v>3392</v>
      </c>
      <c r="AI419" s="44" t="s">
        <v>3393</v>
      </c>
      <c r="AJ419" s="26"/>
      <c r="AK419" s="5"/>
      <c r="AL419" s="82" t="s">
        <v>3265</v>
      </c>
      <c r="AM419" s="76"/>
      <c r="AN419" s="76"/>
      <c r="AO419" s="76"/>
      <c r="AP419" s="76"/>
      <c r="AQ419" s="76"/>
      <c r="AR419" s="76"/>
      <c r="AS419" s="76"/>
      <c r="AT419" s="76"/>
      <c r="AU419" s="76"/>
      <c r="AV419" s="76"/>
      <c r="AW419" s="76"/>
      <c r="AX419" s="76">
        <f>+AW419*600000</f>
        <v>0</v>
      </c>
      <c r="AY419" s="76"/>
      <c r="AZ419" s="76">
        <f>+AY419*70000</f>
        <v>0</v>
      </c>
      <c r="BA419" s="76"/>
      <c r="BB419" s="76"/>
      <c r="BC419" s="76"/>
      <c r="BD419" s="76">
        <f>+BC419*30000</f>
        <v>0</v>
      </c>
      <c r="BE419" s="76"/>
      <c r="BF419" s="76"/>
      <c r="BG419" s="76"/>
      <c r="BH419" s="76"/>
      <c r="BI419" s="76"/>
      <c r="BJ419" s="76"/>
      <c r="BK419" s="76"/>
      <c r="BL419" s="76">
        <f>+BK419*31500</f>
        <v>0</v>
      </c>
      <c r="BM419" s="76"/>
      <c r="BN419" s="76"/>
      <c r="BO419" s="76"/>
      <c r="BP419" s="76"/>
      <c r="BQ419" s="76"/>
      <c r="BR419" s="76"/>
      <c r="BS419" s="76"/>
      <c r="BT419" s="76"/>
      <c r="BU419" s="76"/>
      <c r="BV419" s="76"/>
      <c r="BW419" s="76"/>
      <c r="BX419" s="76"/>
      <c r="BY419" s="76"/>
      <c r="BZ419" s="76"/>
      <c r="CA419" s="76"/>
      <c r="CB419" s="76"/>
      <c r="CC419" s="76"/>
      <c r="CD419" s="76"/>
      <c r="CE419" s="76"/>
      <c r="CF419" s="76">
        <f>+CE419*28000</f>
        <v>0</v>
      </c>
      <c r="CG419" s="76"/>
      <c r="CH419" s="76">
        <f>+CG419*22500</f>
        <v>0</v>
      </c>
      <c r="CI419" s="76"/>
      <c r="CJ419" s="76">
        <f>+CI419*26000</f>
        <v>0</v>
      </c>
      <c r="CK419" s="76"/>
      <c r="CL419" s="76"/>
      <c r="CM419" s="76"/>
      <c r="CN419" s="76">
        <f>+CM419*22000</f>
        <v>0</v>
      </c>
      <c r="CO419" s="76"/>
      <c r="CP419" s="76">
        <f>+CO419*46000</f>
        <v>0</v>
      </c>
      <c r="CQ419" s="76"/>
      <c r="CR419" s="76">
        <f>+CQ419*49000</f>
        <v>0</v>
      </c>
      <c r="CS419" s="76"/>
      <c r="CT419" s="76"/>
      <c r="CU419" s="56">
        <f>AN419+AP419+AR419+AT419+AV419+AX419+AZ419+BB419+BD419+BF419+BH419+BJ419+BL419+BN419+BP419+BR419+BT419+BV419+BX419+BZ419+CB419+CD419+CF419+CH419+CJ419+CL419+CN419+CP419+CR419+CT419</f>
        <v>0</v>
      </c>
      <c r="CV419" s="76"/>
      <c r="CW419" s="76">
        <f>+CV419*1100</f>
        <v>0</v>
      </c>
      <c r="CX419" s="76"/>
      <c r="CY419" s="76">
        <f>+CX419*106250</f>
        <v>0</v>
      </c>
      <c r="CZ419" s="76"/>
      <c r="DA419" s="76">
        <f>+CZ419*34500</f>
        <v>0</v>
      </c>
      <c r="DB419" s="76"/>
      <c r="DC419" s="76">
        <f>+DB419*25000</f>
        <v>0</v>
      </c>
      <c r="DD419" s="219"/>
      <c r="DE419" s="219"/>
      <c r="DF419" s="166"/>
      <c r="DG419" s="116"/>
      <c r="DH419" s="117"/>
      <c r="DI419" s="24"/>
      <c r="DJ419" s="24"/>
      <c r="DK419" s="24"/>
      <c r="DL419" s="24"/>
      <c r="DM419" s="24"/>
      <c r="DN419" s="24"/>
      <c r="DO419" s="24"/>
      <c r="DP419" s="24"/>
      <c r="DQ419" s="24"/>
      <c r="DR419" s="24"/>
      <c r="DS419" s="24"/>
      <c r="DT419" s="24"/>
      <c r="DU419" s="24"/>
    </row>
    <row r="420" spans="1:125" s="8" customFormat="1" ht="84" x14ac:dyDescent="0.2">
      <c r="A420" s="77">
        <v>41302</v>
      </c>
      <c r="B420" s="352" t="s">
        <v>2772</v>
      </c>
      <c r="C420" s="354" t="s">
        <v>1110</v>
      </c>
      <c r="D420" s="81" t="s">
        <v>2846</v>
      </c>
      <c r="E420" s="75" t="str">
        <f>VLOOKUP(B420&amp;C420,Divipola!$C$2:$F$1138,4,FALSE)</f>
        <v>25436</v>
      </c>
      <c r="F420" s="87"/>
      <c r="G420" s="87"/>
      <c r="H420" s="87"/>
      <c r="I420" s="87"/>
      <c r="J420" s="87"/>
      <c r="K420" s="87"/>
      <c r="L420" s="87"/>
      <c r="M420" s="87"/>
      <c r="N420" s="87"/>
      <c r="O420" s="87"/>
      <c r="P420" s="87"/>
      <c r="Q420" s="87"/>
      <c r="R420" s="87"/>
      <c r="S420" s="87"/>
      <c r="T420" s="87"/>
      <c r="U420" s="127">
        <v>2</v>
      </c>
      <c r="V420" s="89"/>
      <c r="W420" s="96">
        <v>0</v>
      </c>
      <c r="X420" s="71">
        <f>CU420</f>
        <v>0</v>
      </c>
      <c r="Y420" s="71">
        <f>CY420</f>
        <v>0</v>
      </c>
      <c r="Z420" s="71">
        <f>DA420+DC420+DE420</f>
        <v>0</v>
      </c>
      <c r="AA420" s="71">
        <f>CW420</f>
        <v>0</v>
      </c>
      <c r="AB420" s="71"/>
      <c r="AC420" s="71">
        <v>0</v>
      </c>
      <c r="AD420" s="71">
        <f>W420+X420+Y420+Z420+AA420+AB420+AC420</f>
        <v>0</v>
      </c>
      <c r="AE420" s="72">
        <v>0</v>
      </c>
      <c r="AF420" s="5"/>
      <c r="AG420" s="6"/>
      <c r="AH420" s="27" t="s">
        <v>3392</v>
      </c>
      <c r="AI420" s="44" t="s">
        <v>3393</v>
      </c>
      <c r="AJ420" s="26"/>
      <c r="AK420" s="5"/>
      <c r="AL420" s="82" t="s">
        <v>3266</v>
      </c>
      <c r="AM420" s="76"/>
      <c r="AN420" s="76"/>
      <c r="AO420" s="76"/>
      <c r="AP420" s="76"/>
      <c r="AQ420" s="76"/>
      <c r="AR420" s="76"/>
      <c r="AS420" s="76"/>
      <c r="AT420" s="76"/>
      <c r="AU420" s="76"/>
      <c r="AV420" s="76"/>
      <c r="AW420" s="76"/>
      <c r="AX420" s="76">
        <f>+AW420*600000</f>
        <v>0</v>
      </c>
      <c r="AY420" s="76"/>
      <c r="AZ420" s="76">
        <f>+AY420*70000</f>
        <v>0</v>
      </c>
      <c r="BA420" s="76"/>
      <c r="BB420" s="76"/>
      <c r="BC420" s="76"/>
      <c r="BD420" s="76">
        <f>+BC420*30000</f>
        <v>0</v>
      </c>
      <c r="BE420" s="76"/>
      <c r="BF420" s="76"/>
      <c r="BG420" s="76"/>
      <c r="BH420" s="76"/>
      <c r="BI420" s="76"/>
      <c r="BJ420" s="76"/>
      <c r="BK420" s="76"/>
      <c r="BL420" s="76">
        <f>+BK420*31500</f>
        <v>0</v>
      </c>
      <c r="BM420" s="76"/>
      <c r="BN420" s="76"/>
      <c r="BO420" s="76"/>
      <c r="BP420" s="76"/>
      <c r="BQ420" s="76"/>
      <c r="BR420" s="76"/>
      <c r="BS420" s="76"/>
      <c r="BT420" s="76"/>
      <c r="BU420" s="76"/>
      <c r="BV420" s="76"/>
      <c r="BW420" s="76"/>
      <c r="BX420" s="76"/>
      <c r="BY420" s="76"/>
      <c r="BZ420" s="76"/>
      <c r="CA420" s="76"/>
      <c r="CB420" s="76"/>
      <c r="CC420" s="76"/>
      <c r="CD420" s="76"/>
      <c r="CE420" s="76"/>
      <c r="CF420" s="76">
        <f>+CE420*28000</f>
        <v>0</v>
      </c>
      <c r="CG420" s="76"/>
      <c r="CH420" s="76">
        <f>+CG420*22500</f>
        <v>0</v>
      </c>
      <c r="CI420" s="76"/>
      <c r="CJ420" s="76">
        <f>+CI420*26000</f>
        <v>0</v>
      </c>
      <c r="CK420" s="76"/>
      <c r="CL420" s="76"/>
      <c r="CM420" s="76"/>
      <c r="CN420" s="76">
        <f>+CM420*22000</f>
        <v>0</v>
      </c>
      <c r="CO420" s="76"/>
      <c r="CP420" s="76">
        <f>+CO420*46000</f>
        <v>0</v>
      </c>
      <c r="CQ420" s="76"/>
      <c r="CR420" s="76">
        <f>+CQ420*49000</f>
        <v>0</v>
      </c>
      <c r="CS420" s="76"/>
      <c r="CT420" s="76"/>
      <c r="CU420" s="56">
        <f>AN420+AP420+AR420+AT420+AV420+AX420+AZ420+BB420+BD420+BF420+BH420+BJ420+BL420+BN420+BP420+BR420+BT420+BV420+BX420+BZ420+CB420+CD420+CF420+CH420+CJ420+CL420+CN420+CP420+CR420+CT420</f>
        <v>0</v>
      </c>
      <c r="CV420" s="76"/>
      <c r="CW420" s="76">
        <f>+CV420*1100</f>
        <v>0</v>
      </c>
      <c r="CX420" s="76"/>
      <c r="CY420" s="76">
        <f>+CX420*106250</f>
        <v>0</v>
      </c>
      <c r="CZ420" s="76"/>
      <c r="DA420" s="76">
        <f>+CZ420*34500</f>
        <v>0</v>
      </c>
      <c r="DB420" s="76"/>
      <c r="DC420" s="76">
        <f>+DB420*25000</f>
        <v>0</v>
      </c>
      <c r="DD420" s="219"/>
      <c r="DE420" s="219"/>
      <c r="DF420" s="166"/>
      <c r="DG420" s="116"/>
      <c r="DH420" s="117"/>
      <c r="DI420" s="24"/>
      <c r="DJ420" s="24"/>
      <c r="DK420" s="24"/>
      <c r="DL420" s="24"/>
      <c r="DM420" s="24"/>
      <c r="DN420" s="24"/>
      <c r="DO420" s="24"/>
      <c r="DP420" s="24"/>
      <c r="DQ420" s="24"/>
      <c r="DR420" s="24"/>
      <c r="DS420" s="24"/>
      <c r="DT420" s="24"/>
      <c r="DU420" s="24"/>
    </row>
    <row r="421" spans="1:125" s="8" customFormat="1" ht="72" x14ac:dyDescent="0.2">
      <c r="A421" s="77">
        <v>41302</v>
      </c>
      <c r="B421" s="352" t="s">
        <v>2772</v>
      </c>
      <c r="C421" s="354" t="s">
        <v>1133</v>
      </c>
      <c r="D421" s="81" t="s">
        <v>2846</v>
      </c>
      <c r="E421" s="75" t="str">
        <f>VLOOKUP(B421&amp;C421,Divipola!$C$2:$F$1138,4,FALSE)</f>
        <v>25535</v>
      </c>
      <c r="F421" s="87"/>
      <c r="G421" s="87"/>
      <c r="H421" s="87"/>
      <c r="I421" s="87"/>
      <c r="J421" s="87"/>
      <c r="K421" s="87"/>
      <c r="L421" s="87"/>
      <c r="M421" s="87"/>
      <c r="N421" s="87"/>
      <c r="O421" s="87"/>
      <c r="P421" s="87"/>
      <c r="Q421" s="87"/>
      <c r="R421" s="87"/>
      <c r="S421" s="87"/>
      <c r="T421" s="87"/>
      <c r="U421" s="127">
        <v>12</v>
      </c>
      <c r="V421" s="89"/>
      <c r="W421" s="96">
        <v>0</v>
      </c>
      <c r="X421" s="71">
        <f>CU421</f>
        <v>0</v>
      </c>
      <c r="Y421" s="71">
        <f>CY421</f>
        <v>0</v>
      </c>
      <c r="Z421" s="71">
        <f>DA421+DC421+DE421</f>
        <v>0</v>
      </c>
      <c r="AA421" s="71">
        <f>CW421</f>
        <v>0</v>
      </c>
      <c r="AB421" s="71"/>
      <c r="AC421" s="71">
        <v>0</v>
      </c>
      <c r="AD421" s="71">
        <f>W421+X421+Y421+Z421+AA421+AB421+AC421</f>
        <v>0</v>
      </c>
      <c r="AE421" s="72">
        <v>0</v>
      </c>
      <c r="AF421" s="5"/>
      <c r="AG421" s="6"/>
      <c r="AH421" s="27" t="s">
        <v>3392</v>
      </c>
      <c r="AI421" s="44" t="s">
        <v>3393</v>
      </c>
      <c r="AJ421" s="26"/>
      <c r="AK421" s="5"/>
      <c r="AL421" s="82" t="s">
        <v>3267</v>
      </c>
      <c r="AM421" s="76"/>
      <c r="AN421" s="76"/>
      <c r="AO421" s="76"/>
      <c r="AP421" s="76"/>
      <c r="AQ421" s="76"/>
      <c r="AR421" s="76"/>
      <c r="AS421" s="76"/>
      <c r="AT421" s="76"/>
      <c r="AU421" s="76"/>
      <c r="AV421" s="76"/>
      <c r="AW421" s="76"/>
      <c r="AX421" s="76">
        <f>+AW421*600000</f>
        <v>0</v>
      </c>
      <c r="AY421" s="76"/>
      <c r="AZ421" s="76">
        <f>+AY421*70000</f>
        <v>0</v>
      </c>
      <c r="BA421" s="76"/>
      <c r="BB421" s="76"/>
      <c r="BC421" s="76"/>
      <c r="BD421" s="76">
        <f>+BC421*30000</f>
        <v>0</v>
      </c>
      <c r="BE421" s="76"/>
      <c r="BF421" s="76"/>
      <c r="BG421" s="76"/>
      <c r="BH421" s="76"/>
      <c r="BI421" s="76"/>
      <c r="BJ421" s="76"/>
      <c r="BK421" s="76"/>
      <c r="BL421" s="76">
        <f>+BK421*31500</f>
        <v>0</v>
      </c>
      <c r="BM421" s="76"/>
      <c r="BN421" s="76"/>
      <c r="BO421" s="76"/>
      <c r="BP421" s="76"/>
      <c r="BQ421" s="76"/>
      <c r="BR421" s="76"/>
      <c r="BS421" s="76"/>
      <c r="BT421" s="76"/>
      <c r="BU421" s="76"/>
      <c r="BV421" s="76"/>
      <c r="BW421" s="76"/>
      <c r="BX421" s="76"/>
      <c r="BY421" s="76"/>
      <c r="BZ421" s="76"/>
      <c r="CA421" s="76"/>
      <c r="CB421" s="76"/>
      <c r="CC421" s="76"/>
      <c r="CD421" s="76"/>
      <c r="CE421" s="76"/>
      <c r="CF421" s="76">
        <f>+CE421*28000</f>
        <v>0</v>
      </c>
      <c r="CG421" s="76"/>
      <c r="CH421" s="76">
        <f>+CG421*22500</f>
        <v>0</v>
      </c>
      <c r="CI421" s="76"/>
      <c r="CJ421" s="76">
        <f>+CI421*26000</f>
        <v>0</v>
      </c>
      <c r="CK421" s="76"/>
      <c r="CL421" s="76"/>
      <c r="CM421" s="76"/>
      <c r="CN421" s="76">
        <f>+CM421*22000</f>
        <v>0</v>
      </c>
      <c r="CO421" s="76"/>
      <c r="CP421" s="76">
        <f>+CO421*46000</f>
        <v>0</v>
      </c>
      <c r="CQ421" s="76"/>
      <c r="CR421" s="76">
        <f>+CQ421*49000</f>
        <v>0</v>
      </c>
      <c r="CS421" s="76"/>
      <c r="CT421" s="76"/>
      <c r="CU421" s="56">
        <f>AN421+AP421+AR421+AT421+AV421+AX421+AZ421+BB421+BD421+BF421+BH421+BJ421+BL421+BN421+BP421+BR421+BT421+BV421+BX421+BZ421+CB421+CD421+CF421+CH421+CJ421+CL421+CN421+CP421+CR421+CT421</f>
        <v>0</v>
      </c>
      <c r="CV421" s="76"/>
      <c r="CW421" s="76">
        <f>+CV421*1100</f>
        <v>0</v>
      </c>
      <c r="CX421" s="76"/>
      <c r="CY421" s="76">
        <f>+CX421*106250</f>
        <v>0</v>
      </c>
      <c r="CZ421" s="76"/>
      <c r="DA421" s="76">
        <f>+CZ421*34500</f>
        <v>0</v>
      </c>
      <c r="DB421" s="76"/>
      <c r="DC421" s="76">
        <f>+DB421*25000</f>
        <v>0</v>
      </c>
      <c r="DD421" s="219"/>
      <c r="DE421" s="219"/>
      <c r="DF421" s="166"/>
      <c r="DG421" s="116"/>
      <c r="DH421" s="117"/>
      <c r="DI421" s="24"/>
      <c r="DJ421" s="24"/>
      <c r="DK421" s="24"/>
      <c r="DL421" s="24"/>
      <c r="DM421" s="24"/>
      <c r="DN421" s="24"/>
      <c r="DO421" s="24"/>
      <c r="DP421" s="24"/>
      <c r="DQ421" s="24"/>
      <c r="DR421" s="24"/>
      <c r="DS421" s="24"/>
      <c r="DT421" s="24"/>
      <c r="DU421" s="24"/>
    </row>
    <row r="422" spans="1:125" s="8" customFormat="1" ht="84" x14ac:dyDescent="0.2">
      <c r="A422" s="77">
        <v>41302</v>
      </c>
      <c r="B422" s="78" t="s">
        <v>2772</v>
      </c>
      <c r="C422" s="75" t="s">
        <v>2030</v>
      </c>
      <c r="D422" s="81" t="s">
        <v>2846</v>
      </c>
      <c r="E422" s="75" t="str">
        <f>VLOOKUP(B422&amp;C422,Divipola!$C$2:$F$1138,4,FALSE)</f>
        <v>25754</v>
      </c>
      <c r="F422" s="87"/>
      <c r="G422" s="87"/>
      <c r="H422" s="87"/>
      <c r="I422" s="87"/>
      <c r="J422" s="87"/>
      <c r="K422" s="87"/>
      <c r="L422" s="87"/>
      <c r="M422" s="87"/>
      <c r="N422" s="87"/>
      <c r="O422" s="87"/>
      <c r="P422" s="87"/>
      <c r="Q422" s="87"/>
      <c r="R422" s="87"/>
      <c r="S422" s="87"/>
      <c r="T422" s="87"/>
      <c r="U422" s="127">
        <v>1</v>
      </c>
      <c r="V422" s="89"/>
      <c r="W422" s="96">
        <v>0</v>
      </c>
      <c r="X422" s="71">
        <f>CU422</f>
        <v>0</v>
      </c>
      <c r="Y422" s="71">
        <f>CY422</f>
        <v>0</v>
      </c>
      <c r="Z422" s="71">
        <f>DA422+DC422+DE422</f>
        <v>0</v>
      </c>
      <c r="AA422" s="71">
        <f>CW422</f>
        <v>0</v>
      </c>
      <c r="AB422" s="71"/>
      <c r="AC422" s="71">
        <v>0</v>
      </c>
      <c r="AD422" s="71">
        <f>W422+X422+Y422+Z422+AA422+AB422+AC422</f>
        <v>0</v>
      </c>
      <c r="AE422" s="72">
        <v>0</v>
      </c>
      <c r="AF422" s="5"/>
      <c r="AG422" s="6"/>
      <c r="AH422" s="27" t="s">
        <v>3392</v>
      </c>
      <c r="AI422" s="44" t="s">
        <v>3393</v>
      </c>
      <c r="AJ422" s="26"/>
      <c r="AK422" s="5"/>
      <c r="AL422" s="82" t="s">
        <v>3274</v>
      </c>
      <c r="AM422" s="76"/>
      <c r="AN422" s="76"/>
      <c r="AO422" s="76"/>
      <c r="AP422" s="76"/>
      <c r="AQ422" s="76"/>
      <c r="AR422" s="76"/>
      <c r="AS422" s="76"/>
      <c r="AT422" s="76"/>
      <c r="AU422" s="76"/>
      <c r="AV422" s="76"/>
      <c r="AW422" s="76"/>
      <c r="AX422" s="76">
        <f>+AW422*600000</f>
        <v>0</v>
      </c>
      <c r="AY422" s="76"/>
      <c r="AZ422" s="76">
        <f>+AY422*70000</f>
        <v>0</v>
      </c>
      <c r="BA422" s="76"/>
      <c r="BB422" s="76"/>
      <c r="BC422" s="76"/>
      <c r="BD422" s="76">
        <f>+BC422*30000</f>
        <v>0</v>
      </c>
      <c r="BE422" s="76"/>
      <c r="BF422" s="76"/>
      <c r="BG422" s="76"/>
      <c r="BH422" s="76"/>
      <c r="BI422" s="76"/>
      <c r="BJ422" s="76"/>
      <c r="BK422" s="76"/>
      <c r="BL422" s="76">
        <f>+BK422*31500</f>
        <v>0</v>
      </c>
      <c r="BM422" s="76"/>
      <c r="BN422" s="76"/>
      <c r="BO422" s="76"/>
      <c r="BP422" s="76"/>
      <c r="BQ422" s="76"/>
      <c r="BR422" s="76"/>
      <c r="BS422" s="76"/>
      <c r="BT422" s="76"/>
      <c r="BU422" s="76"/>
      <c r="BV422" s="76"/>
      <c r="BW422" s="76"/>
      <c r="BX422" s="76"/>
      <c r="BY422" s="76"/>
      <c r="BZ422" s="76"/>
      <c r="CA422" s="76"/>
      <c r="CB422" s="76"/>
      <c r="CC422" s="76"/>
      <c r="CD422" s="76"/>
      <c r="CE422" s="76"/>
      <c r="CF422" s="76">
        <f>+CE422*28000</f>
        <v>0</v>
      </c>
      <c r="CG422" s="76"/>
      <c r="CH422" s="76">
        <f>+CG422*22500</f>
        <v>0</v>
      </c>
      <c r="CI422" s="76"/>
      <c r="CJ422" s="76">
        <f>+CI422*26000</f>
        <v>0</v>
      </c>
      <c r="CK422" s="76"/>
      <c r="CL422" s="76"/>
      <c r="CM422" s="76"/>
      <c r="CN422" s="76">
        <f>+CM422*22000</f>
        <v>0</v>
      </c>
      <c r="CO422" s="76"/>
      <c r="CP422" s="76">
        <f>+CO422*46000</f>
        <v>0</v>
      </c>
      <c r="CQ422" s="76"/>
      <c r="CR422" s="76">
        <f>+CQ422*49000</f>
        <v>0</v>
      </c>
      <c r="CS422" s="76"/>
      <c r="CT422" s="76"/>
      <c r="CU422" s="56">
        <f>AN422+AP422+AR422+AT422+AV422+AX422+AZ422+BB422+BD422+BF422+BH422+BJ422+BL422+BN422+BP422+BR422+BT422+BV422+BX422+BZ422+CB422+CD422+CF422+CH422+CJ422+CL422+CN422+CP422+CR422+CT422</f>
        <v>0</v>
      </c>
      <c r="CV422" s="76"/>
      <c r="CW422" s="76">
        <f>+CV422*1100</f>
        <v>0</v>
      </c>
      <c r="CX422" s="76"/>
      <c r="CY422" s="76">
        <f>+CX422*106250</f>
        <v>0</v>
      </c>
      <c r="CZ422" s="76"/>
      <c r="DA422" s="76">
        <f>+CZ422*34500</f>
        <v>0</v>
      </c>
      <c r="DB422" s="76"/>
      <c r="DC422" s="76">
        <f>+DB422*25000</f>
        <v>0</v>
      </c>
      <c r="DD422" s="219"/>
      <c r="DE422" s="219"/>
      <c r="DF422" s="166"/>
      <c r="DG422" s="116"/>
      <c r="DH422" s="117"/>
      <c r="DI422" s="24"/>
      <c r="DJ422" s="24"/>
      <c r="DK422" s="24"/>
      <c r="DL422" s="24"/>
      <c r="DM422" s="24"/>
      <c r="DN422" s="24"/>
      <c r="DO422" s="24"/>
      <c r="DP422" s="24"/>
      <c r="DQ422" s="24"/>
      <c r="DR422" s="24"/>
      <c r="DS422" s="24"/>
      <c r="DT422" s="24"/>
      <c r="DU422" s="24"/>
    </row>
    <row r="423" spans="1:125" s="8" customFormat="1" ht="96" x14ac:dyDescent="0.2">
      <c r="A423" s="77">
        <v>41302</v>
      </c>
      <c r="B423" s="78" t="s">
        <v>2772</v>
      </c>
      <c r="C423" s="75" t="s">
        <v>2030</v>
      </c>
      <c r="D423" s="81" t="s">
        <v>2846</v>
      </c>
      <c r="E423" s="75" t="str">
        <f>VLOOKUP(B423&amp;C423,Divipola!$C$2:$F$1138,4,FALSE)</f>
        <v>25754</v>
      </c>
      <c r="F423" s="87"/>
      <c r="G423" s="87"/>
      <c r="H423" s="87"/>
      <c r="I423" s="87"/>
      <c r="J423" s="87"/>
      <c r="K423" s="87"/>
      <c r="L423" s="87"/>
      <c r="M423" s="87"/>
      <c r="N423" s="87"/>
      <c r="O423" s="87"/>
      <c r="P423" s="87"/>
      <c r="Q423" s="87"/>
      <c r="R423" s="87"/>
      <c r="S423" s="87"/>
      <c r="T423" s="87"/>
      <c r="U423" s="127">
        <v>0.5</v>
      </c>
      <c r="V423" s="89"/>
      <c r="W423" s="96">
        <v>0</v>
      </c>
      <c r="X423" s="71">
        <f>CU423</f>
        <v>0</v>
      </c>
      <c r="Y423" s="71">
        <f>CY423</f>
        <v>0</v>
      </c>
      <c r="Z423" s="71">
        <f>DA423+DC423+DE423</f>
        <v>0</v>
      </c>
      <c r="AA423" s="71">
        <f>CW423</f>
        <v>0</v>
      </c>
      <c r="AB423" s="71"/>
      <c r="AC423" s="71">
        <v>0</v>
      </c>
      <c r="AD423" s="71">
        <f>W423+X423+Y423+Z423+AA423+AB423+AC423</f>
        <v>0</v>
      </c>
      <c r="AE423" s="72">
        <v>0</v>
      </c>
      <c r="AF423" s="5"/>
      <c r="AG423" s="6"/>
      <c r="AH423" s="27" t="s">
        <v>3392</v>
      </c>
      <c r="AI423" s="44" t="s">
        <v>3393</v>
      </c>
      <c r="AJ423" s="26"/>
      <c r="AK423" s="5"/>
      <c r="AL423" s="82" t="s">
        <v>3301</v>
      </c>
      <c r="AM423" s="76"/>
      <c r="AN423" s="76"/>
      <c r="AO423" s="76"/>
      <c r="AP423" s="76"/>
      <c r="AQ423" s="76"/>
      <c r="AR423" s="76"/>
      <c r="AS423" s="76"/>
      <c r="AT423" s="76"/>
      <c r="AU423" s="76"/>
      <c r="AV423" s="76"/>
      <c r="AW423" s="76"/>
      <c r="AX423" s="76">
        <f>+AW423*600000</f>
        <v>0</v>
      </c>
      <c r="AY423" s="76"/>
      <c r="AZ423" s="76">
        <f>+AY423*70000</f>
        <v>0</v>
      </c>
      <c r="BA423" s="76"/>
      <c r="BB423" s="76"/>
      <c r="BC423" s="76"/>
      <c r="BD423" s="76">
        <f>+BC423*30000</f>
        <v>0</v>
      </c>
      <c r="BE423" s="76"/>
      <c r="BF423" s="76"/>
      <c r="BG423" s="76"/>
      <c r="BH423" s="76"/>
      <c r="BI423" s="76"/>
      <c r="BJ423" s="76"/>
      <c r="BK423" s="76"/>
      <c r="BL423" s="76">
        <f>+BK423*31500</f>
        <v>0</v>
      </c>
      <c r="BM423" s="76"/>
      <c r="BN423" s="76"/>
      <c r="BO423" s="76"/>
      <c r="BP423" s="76"/>
      <c r="BQ423" s="76"/>
      <c r="BR423" s="76"/>
      <c r="BS423" s="76"/>
      <c r="BT423" s="76"/>
      <c r="BU423" s="76"/>
      <c r="BV423" s="76"/>
      <c r="BW423" s="76"/>
      <c r="BX423" s="76"/>
      <c r="BY423" s="76"/>
      <c r="BZ423" s="76"/>
      <c r="CA423" s="76"/>
      <c r="CB423" s="76"/>
      <c r="CC423" s="76"/>
      <c r="CD423" s="76"/>
      <c r="CE423" s="76"/>
      <c r="CF423" s="76">
        <f>+CE423*28000</f>
        <v>0</v>
      </c>
      <c r="CG423" s="76"/>
      <c r="CH423" s="76">
        <f>+CG423*22500</f>
        <v>0</v>
      </c>
      <c r="CI423" s="76"/>
      <c r="CJ423" s="76">
        <f>+CI423*26000</f>
        <v>0</v>
      </c>
      <c r="CK423" s="76"/>
      <c r="CL423" s="76"/>
      <c r="CM423" s="76"/>
      <c r="CN423" s="76">
        <f>+CM423*22000</f>
        <v>0</v>
      </c>
      <c r="CO423" s="76"/>
      <c r="CP423" s="76">
        <f>+CO423*46000</f>
        <v>0</v>
      </c>
      <c r="CQ423" s="76"/>
      <c r="CR423" s="76">
        <f>+CQ423*49000</f>
        <v>0</v>
      </c>
      <c r="CS423" s="76"/>
      <c r="CT423" s="76"/>
      <c r="CU423" s="56">
        <f>AN423+AP423+AR423+AT423+AV423+AX423+AZ423+BB423+BD423+BF423+BH423+BJ423+BL423+BN423+BP423+BR423+BT423+BV423+BX423+BZ423+CB423+CD423+CF423+CH423+CJ423+CL423+CN423+CP423+CR423+CT423</f>
        <v>0</v>
      </c>
      <c r="CV423" s="76"/>
      <c r="CW423" s="76">
        <f>+CV423*1100</f>
        <v>0</v>
      </c>
      <c r="CX423" s="76"/>
      <c r="CY423" s="76">
        <f>+CX423*106250</f>
        <v>0</v>
      </c>
      <c r="CZ423" s="76"/>
      <c r="DA423" s="76">
        <f>+CZ423*34500</f>
        <v>0</v>
      </c>
      <c r="DB423" s="76"/>
      <c r="DC423" s="76">
        <f>+DB423*25000</f>
        <v>0</v>
      </c>
      <c r="DD423" s="219"/>
      <c r="DE423" s="219"/>
      <c r="DF423" s="166"/>
      <c r="DG423" s="116"/>
      <c r="DH423" s="117"/>
      <c r="DI423" s="24"/>
      <c r="DJ423" s="24"/>
      <c r="DK423" s="24"/>
      <c r="DL423" s="24"/>
      <c r="DM423" s="24"/>
      <c r="DN423" s="24"/>
      <c r="DO423" s="24"/>
      <c r="DP423" s="24"/>
      <c r="DQ423" s="24"/>
      <c r="DR423" s="24"/>
      <c r="DS423" s="24"/>
      <c r="DT423" s="24"/>
      <c r="DU423" s="24"/>
    </row>
    <row r="424" spans="1:125" s="8" customFormat="1" ht="96" x14ac:dyDescent="0.2">
      <c r="A424" s="77">
        <v>41302</v>
      </c>
      <c r="B424" s="352" t="s">
        <v>2772</v>
      </c>
      <c r="C424" s="354" t="s">
        <v>1372</v>
      </c>
      <c r="D424" s="81" t="s">
        <v>2846</v>
      </c>
      <c r="E424" s="75" t="str">
        <f>VLOOKUP(B424&amp;C424,Divipola!$C$2:$F$1138,4,FALSE)</f>
        <v>25817</v>
      </c>
      <c r="F424" s="87"/>
      <c r="G424" s="87"/>
      <c r="H424" s="87"/>
      <c r="I424" s="87"/>
      <c r="J424" s="87"/>
      <c r="K424" s="87"/>
      <c r="L424" s="87"/>
      <c r="M424" s="87"/>
      <c r="N424" s="87"/>
      <c r="O424" s="87"/>
      <c r="P424" s="87"/>
      <c r="Q424" s="87"/>
      <c r="R424" s="87"/>
      <c r="S424" s="87"/>
      <c r="T424" s="87"/>
      <c r="U424" s="127">
        <v>1</v>
      </c>
      <c r="V424" s="89"/>
      <c r="W424" s="96">
        <v>0</v>
      </c>
      <c r="X424" s="71">
        <f>CU424</f>
        <v>0</v>
      </c>
      <c r="Y424" s="71">
        <f>CY424</f>
        <v>0</v>
      </c>
      <c r="Z424" s="71">
        <f>DA424+DC424+DE424</f>
        <v>0</v>
      </c>
      <c r="AA424" s="71">
        <f>CW424</f>
        <v>0</v>
      </c>
      <c r="AB424" s="71"/>
      <c r="AC424" s="71">
        <v>0</v>
      </c>
      <c r="AD424" s="71">
        <f>W424+X424+Y424+Z424+AA424+AB424+AC424</f>
        <v>0</v>
      </c>
      <c r="AE424" s="72">
        <v>0</v>
      </c>
      <c r="AF424" s="5"/>
      <c r="AG424" s="6"/>
      <c r="AH424" s="27" t="s">
        <v>3392</v>
      </c>
      <c r="AI424" s="44" t="s">
        <v>3393</v>
      </c>
      <c r="AJ424" s="26"/>
      <c r="AK424" s="5"/>
      <c r="AL424" s="82" t="s">
        <v>6396</v>
      </c>
      <c r="AM424" s="76"/>
      <c r="AN424" s="76"/>
      <c r="AO424" s="76"/>
      <c r="AP424" s="76"/>
      <c r="AQ424" s="76"/>
      <c r="AR424" s="76"/>
      <c r="AS424" s="76"/>
      <c r="AT424" s="76"/>
      <c r="AU424" s="76"/>
      <c r="AV424" s="76"/>
      <c r="AW424" s="76"/>
      <c r="AX424" s="76">
        <f>+AW424*600000</f>
        <v>0</v>
      </c>
      <c r="AY424" s="76"/>
      <c r="AZ424" s="76">
        <f>+AY424*70000</f>
        <v>0</v>
      </c>
      <c r="BA424" s="76"/>
      <c r="BB424" s="76"/>
      <c r="BC424" s="76"/>
      <c r="BD424" s="76">
        <f>+BC424*30000</f>
        <v>0</v>
      </c>
      <c r="BE424" s="76"/>
      <c r="BF424" s="76"/>
      <c r="BG424" s="76"/>
      <c r="BH424" s="76"/>
      <c r="BI424" s="76"/>
      <c r="BJ424" s="76"/>
      <c r="BK424" s="76"/>
      <c r="BL424" s="76">
        <f>+BK424*31500</f>
        <v>0</v>
      </c>
      <c r="BM424" s="76"/>
      <c r="BN424" s="76"/>
      <c r="BO424" s="76"/>
      <c r="BP424" s="76"/>
      <c r="BQ424" s="76"/>
      <c r="BR424" s="76"/>
      <c r="BS424" s="76"/>
      <c r="BT424" s="76"/>
      <c r="BU424" s="76"/>
      <c r="BV424" s="76"/>
      <c r="BW424" s="76"/>
      <c r="BX424" s="76"/>
      <c r="BY424" s="76"/>
      <c r="BZ424" s="76"/>
      <c r="CA424" s="76"/>
      <c r="CB424" s="76"/>
      <c r="CC424" s="76"/>
      <c r="CD424" s="76"/>
      <c r="CE424" s="76"/>
      <c r="CF424" s="76">
        <f>+CE424*28000</f>
        <v>0</v>
      </c>
      <c r="CG424" s="76"/>
      <c r="CH424" s="76">
        <f>+CG424*22500</f>
        <v>0</v>
      </c>
      <c r="CI424" s="76"/>
      <c r="CJ424" s="76">
        <f>+CI424*26000</f>
        <v>0</v>
      </c>
      <c r="CK424" s="76"/>
      <c r="CL424" s="76"/>
      <c r="CM424" s="76"/>
      <c r="CN424" s="76">
        <f>+CM424*22000</f>
        <v>0</v>
      </c>
      <c r="CO424" s="76"/>
      <c r="CP424" s="76">
        <f>+CO424*46000</f>
        <v>0</v>
      </c>
      <c r="CQ424" s="76"/>
      <c r="CR424" s="76">
        <f>+CQ424*49000</f>
        <v>0</v>
      </c>
      <c r="CS424" s="76"/>
      <c r="CT424" s="76"/>
      <c r="CU424" s="56">
        <f>AN424+AP424+AR424+AT424+AV424+AX424+AZ424+BB424+BD424+BF424+BH424+BJ424+BL424+BN424+BP424+BR424+BT424+BV424+BX424+BZ424+CB424+CD424+CF424+CH424+CJ424+CL424+CN424+CP424+CR424+CT424</f>
        <v>0</v>
      </c>
      <c r="CV424" s="76"/>
      <c r="CW424" s="76">
        <f>+CV424*1100</f>
        <v>0</v>
      </c>
      <c r="CX424" s="76"/>
      <c r="CY424" s="76">
        <f>+CX424*106250</f>
        <v>0</v>
      </c>
      <c r="CZ424" s="76"/>
      <c r="DA424" s="76">
        <f>+CZ424*34500</f>
        <v>0</v>
      </c>
      <c r="DB424" s="76"/>
      <c r="DC424" s="76">
        <f>+DB424*25000</f>
        <v>0</v>
      </c>
      <c r="DD424" s="219"/>
      <c r="DE424" s="219"/>
      <c r="DF424" s="166"/>
      <c r="DG424" s="116"/>
      <c r="DH424" s="117"/>
      <c r="DI424" s="24"/>
      <c r="DJ424" s="24"/>
      <c r="DK424" s="24"/>
      <c r="DL424" s="24"/>
      <c r="DM424" s="24"/>
      <c r="DN424" s="24"/>
      <c r="DO424" s="24"/>
      <c r="DP424" s="24"/>
      <c r="DQ424" s="24"/>
      <c r="DR424" s="24"/>
      <c r="DS424" s="24"/>
      <c r="DT424" s="24"/>
      <c r="DU424" s="24"/>
    </row>
    <row r="425" spans="1:125" s="8" customFormat="1" x14ac:dyDescent="0.2">
      <c r="A425" s="77">
        <v>41302</v>
      </c>
      <c r="B425" s="352" t="s">
        <v>2772</v>
      </c>
      <c r="C425" s="354" t="s">
        <v>2834</v>
      </c>
      <c r="D425" s="75" t="s">
        <v>3051</v>
      </c>
      <c r="E425" s="75" t="str">
        <f>VLOOKUP(B425&amp;C425,Divipola!$C$2:$F$1138,4,FALSE)</f>
        <v>25851</v>
      </c>
      <c r="F425" s="100"/>
      <c r="G425" s="100"/>
      <c r="H425" s="100"/>
      <c r="I425" s="100"/>
      <c r="J425" s="100"/>
      <c r="K425" s="100"/>
      <c r="L425" s="100"/>
      <c r="M425" s="100"/>
      <c r="N425" s="100"/>
      <c r="O425" s="100"/>
      <c r="P425" s="100"/>
      <c r="Q425" s="100"/>
      <c r="R425" s="100"/>
      <c r="S425" s="100"/>
      <c r="T425" s="100"/>
      <c r="U425" s="130"/>
      <c r="V425" s="89"/>
      <c r="W425" s="96">
        <v>0</v>
      </c>
      <c r="X425" s="71">
        <f>CU425</f>
        <v>0</v>
      </c>
      <c r="Y425" s="71">
        <f>CY425</f>
        <v>0</v>
      </c>
      <c r="Z425" s="71">
        <f>DA425+DC425+DE425</f>
        <v>38400000</v>
      </c>
      <c r="AA425" s="71">
        <f>CW425</f>
        <v>0</v>
      </c>
      <c r="AB425" s="71"/>
      <c r="AC425" s="71">
        <v>0</v>
      </c>
      <c r="AD425" s="71">
        <f>W425+X425+Y425+Z425+AA425+AB425+AC425</f>
        <v>38400000</v>
      </c>
      <c r="AE425" s="72">
        <v>0</v>
      </c>
      <c r="AF425" s="5"/>
      <c r="AG425" s="6"/>
      <c r="AH425" s="27" t="s">
        <v>3390</v>
      </c>
      <c r="AI425" s="44" t="s">
        <v>3391</v>
      </c>
      <c r="AJ425" s="26"/>
      <c r="AK425" s="5"/>
      <c r="AL425" s="82"/>
      <c r="AM425" s="76"/>
      <c r="AN425" s="76"/>
      <c r="AO425" s="76"/>
      <c r="AP425" s="76"/>
      <c r="AQ425" s="76"/>
      <c r="AR425" s="76"/>
      <c r="AS425" s="76"/>
      <c r="AT425" s="76"/>
      <c r="AU425" s="76"/>
      <c r="AV425" s="76"/>
      <c r="AW425" s="76"/>
      <c r="AX425" s="76">
        <f>+AW425*600000</f>
        <v>0</v>
      </c>
      <c r="AY425" s="76"/>
      <c r="AZ425" s="76">
        <f>+AY425*70000</f>
        <v>0</v>
      </c>
      <c r="BA425" s="76"/>
      <c r="BB425" s="76"/>
      <c r="BC425" s="76"/>
      <c r="BD425" s="76">
        <f>+BC425*30000</f>
        <v>0</v>
      </c>
      <c r="BE425" s="76"/>
      <c r="BF425" s="76"/>
      <c r="BG425" s="76"/>
      <c r="BH425" s="76"/>
      <c r="BI425" s="76"/>
      <c r="BJ425" s="76"/>
      <c r="BK425" s="76"/>
      <c r="BL425" s="76">
        <f>+BK425*31500</f>
        <v>0</v>
      </c>
      <c r="BM425" s="76"/>
      <c r="BN425" s="76"/>
      <c r="BO425" s="76"/>
      <c r="BP425" s="76"/>
      <c r="BQ425" s="76"/>
      <c r="BR425" s="76"/>
      <c r="BS425" s="76"/>
      <c r="BT425" s="76"/>
      <c r="BU425" s="76"/>
      <c r="BV425" s="76"/>
      <c r="BW425" s="76"/>
      <c r="BX425" s="76"/>
      <c r="BY425" s="76"/>
      <c r="BZ425" s="76"/>
      <c r="CA425" s="76"/>
      <c r="CB425" s="76"/>
      <c r="CC425" s="76"/>
      <c r="CD425" s="76"/>
      <c r="CE425" s="76"/>
      <c r="CF425" s="76">
        <f>+CE425*28000</f>
        <v>0</v>
      </c>
      <c r="CG425" s="76"/>
      <c r="CH425" s="76">
        <f>+CG425*22500</f>
        <v>0</v>
      </c>
      <c r="CI425" s="76"/>
      <c r="CJ425" s="76">
        <f>+CI425*26000</f>
        <v>0</v>
      </c>
      <c r="CK425" s="76"/>
      <c r="CL425" s="76"/>
      <c r="CM425" s="76"/>
      <c r="CN425" s="76">
        <f>+CM425*22000</f>
        <v>0</v>
      </c>
      <c r="CO425" s="76"/>
      <c r="CP425" s="76">
        <f>+CO425*46000</f>
        <v>0</v>
      </c>
      <c r="CQ425" s="76"/>
      <c r="CR425" s="76">
        <f>+CQ425*49000</f>
        <v>0</v>
      </c>
      <c r="CS425" s="76"/>
      <c r="CT425" s="76"/>
      <c r="CU425" s="56">
        <f>AN425+AP425+AR425+AT425+AV425+AX425+AZ425+BB425+BD425+BF425+BH425+BJ425+BL425+BN425+BP425+BR425+BT425+BV425+BX425+BZ425+CB425+CD425+CF425+CH425+CJ425+CL425+CN425+CP425+CR425+CT425</f>
        <v>0</v>
      </c>
      <c r="CV425" s="76"/>
      <c r="CW425" s="76">
        <f>+CV425*1100</f>
        <v>0</v>
      </c>
      <c r="CX425" s="76"/>
      <c r="CY425" s="76">
        <f>+CX425*106250</f>
        <v>0</v>
      </c>
      <c r="CZ425" s="86">
        <v>1200</v>
      </c>
      <c r="DA425" s="86">
        <f>+CZ425*32000</f>
        <v>38400000</v>
      </c>
      <c r="DB425" s="76"/>
      <c r="DC425" s="76">
        <f>+DB425*25000</f>
        <v>0</v>
      </c>
      <c r="DD425" s="219"/>
      <c r="DE425" s="219"/>
      <c r="DF425" s="164"/>
      <c r="DG425" s="116"/>
      <c r="DH425" s="117"/>
      <c r="DI425" s="24"/>
      <c r="DJ425" s="24"/>
      <c r="DK425" s="24"/>
      <c r="DL425" s="24"/>
      <c r="DM425" s="24"/>
      <c r="DN425" s="24"/>
      <c r="DO425" s="24"/>
      <c r="DP425" s="24"/>
      <c r="DQ425" s="24"/>
      <c r="DR425" s="24"/>
      <c r="DS425" s="24"/>
      <c r="DT425" s="24"/>
      <c r="DU425" s="24"/>
    </row>
    <row r="426" spans="1:125" s="8" customFormat="1" ht="48" x14ac:dyDescent="0.2">
      <c r="A426" s="226">
        <v>41302</v>
      </c>
      <c r="B426" s="225" t="s">
        <v>2291</v>
      </c>
      <c r="C426" s="227" t="s">
        <v>2292</v>
      </c>
      <c r="D426" s="227" t="s">
        <v>2859</v>
      </c>
      <c r="E426" s="75" t="str">
        <f>VLOOKUP(B426&amp;C426,Divipola!$C$2:$F$1138,4,FALSE)</f>
        <v>94001</v>
      </c>
      <c r="F426" s="87"/>
      <c r="G426" s="87"/>
      <c r="H426" s="87"/>
      <c r="I426" s="87">
        <v>6</v>
      </c>
      <c r="J426" s="87">
        <v>1</v>
      </c>
      <c r="K426" s="87"/>
      <c r="L426" s="87">
        <v>1</v>
      </c>
      <c r="M426" s="87"/>
      <c r="N426" s="87"/>
      <c r="O426" s="87"/>
      <c r="P426" s="87"/>
      <c r="Q426" s="87"/>
      <c r="R426" s="87"/>
      <c r="S426" s="87"/>
      <c r="T426" s="87"/>
      <c r="U426" s="127"/>
      <c r="V426" s="89"/>
      <c r="W426" s="96">
        <v>0</v>
      </c>
      <c r="X426" s="71">
        <f>CU426</f>
        <v>0</v>
      </c>
      <c r="Y426" s="71">
        <f>CY426</f>
        <v>0</v>
      </c>
      <c r="Z426" s="71">
        <f>DA426+DC426+DE426</f>
        <v>0</v>
      </c>
      <c r="AA426" s="71">
        <f>CW426</f>
        <v>0</v>
      </c>
      <c r="AB426" s="71"/>
      <c r="AC426" s="71">
        <v>0</v>
      </c>
      <c r="AD426" s="71">
        <f>W426+X426+Y426+Z426+AA426+AB426+AC426</f>
        <v>0</v>
      </c>
      <c r="AE426" s="72">
        <v>0</v>
      </c>
      <c r="AF426" s="5"/>
      <c r="AG426" s="6"/>
      <c r="AH426" s="27" t="s">
        <v>3392</v>
      </c>
      <c r="AI426" s="44" t="s">
        <v>3393</v>
      </c>
      <c r="AJ426" s="26"/>
      <c r="AK426" s="5"/>
      <c r="AL426" s="82" t="s">
        <v>3281</v>
      </c>
      <c r="AM426" s="76"/>
      <c r="AN426" s="76"/>
      <c r="AO426" s="76"/>
      <c r="AP426" s="76"/>
      <c r="AQ426" s="76"/>
      <c r="AR426" s="76"/>
      <c r="AS426" s="76"/>
      <c r="AT426" s="76"/>
      <c r="AU426" s="76"/>
      <c r="AV426" s="76"/>
      <c r="AW426" s="76"/>
      <c r="AX426" s="76">
        <f>+AW426*600000</f>
        <v>0</v>
      </c>
      <c r="AY426" s="76"/>
      <c r="AZ426" s="76">
        <f>+AY426*70000</f>
        <v>0</v>
      </c>
      <c r="BA426" s="76"/>
      <c r="BB426" s="76"/>
      <c r="BC426" s="76"/>
      <c r="BD426" s="76">
        <f>+BC426*30000</f>
        <v>0</v>
      </c>
      <c r="BE426" s="76"/>
      <c r="BF426" s="76"/>
      <c r="BG426" s="76"/>
      <c r="BH426" s="76"/>
      <c r="BI426" s="76"/>
      <c r="BJ426" s="76"/>
      <c r="BK426" s="76"/>
      <c r="BL426" s="76">
        <f>+BK426*31500</f>
        <v>0</v>
      </c>
      <c r="BM426" s="76"/>
      <c r="BN426" s="76"/>
      <c r="BO426" s="76"/>
      <c r="BP426" s="76"/>
      <c r="BQ426" s="76"/>
      <c r="BR426" s="76"/>
      <c r="BS426" s="76"/>
      <c r="BT426" s="76"/>
      <c r="BU426" s="76"/>
      <c r="BV426" s="76"/>
      <c r="BW426" s="76"/>
      <c r="BX426" s="76"/>
      <c r="BY426" s="76"/>
      <c r="BZ426" s="76"/>
      <c r="CA426" s="76"/>
      <c r="CB426" s="76"/>
      <c r="CC426" s="76"/>
      <c r="CD426" s="76"/>
      <c r="CE426" s="76"/>
      <c r="CF426" s="76">
        <f>+CE426*28000</f>
        <v>0</v>
      </c>
      <c r="CG426" s="76"/>
      <c r="CH426" s="76">
        <f>+CG426*22500</f>
        <v>0</v>
      </c>
      <c r="CI426" s="76"/>
      <c r="CJ426" s="76">
        <f>+CI426*26000</f>
        <v>0</v>
      </c>
      <c r="CK426" s="76"/>
      <c r="CL426" s="76"/>
      <c r="CM426" s="76"/>
      <c r="CN426" s="76">
        <f>+CM426*22000</f>
        <v>0</v>
      </c>
      <c r="CO426" s="76"/>
      <c r="CP426" s="76">
        <f>+CO426*46000</f>
        <v>0</v>
      </c>
      <c r="CQ426" s="76"/>
      <c r="CR426" s="76">
        <f>+CQ426*49000</f>
        <v>0</v>
      </c>
      <c r="CS426" s="76"/>
      <c r="CT426" s="76"/>
      <c r="CU426" s="56">
        <f>AN426+AP426+AR426+AT426+AV426+AX426+AZ426+BB426+BD426+BF426+BH426+BJ426+BL426+BN426+BP426+BR426+BT426+BV426+BX426+BZ426+CB426+CD426+CF426+CH426+CJ426+CL426+CN426+CP426+CR426+CT426</f>
        <v>0</v>
      </c>
      <c r="CV426" s="76"/>
      <c r="CW426" s="76">
        <f>+CV426*1100</f>
        <v>0</v>
      </c>
      <c r="CX426" s="76"/>
      <c r="CY426" s="76">
        <f>+CX426*106250</f>
        <v>0</v>
      </c>
      <c r="CZ426" s="76"/>
      <c r="DA426" s="76">
        <f>+CZ426*34500</f>
        <v>0</v>
      </c>
      <c r="DB426" s="76"/>
      <c r="DC426" s="76">
        <f>+DB426*25000</f>
        <v>0</v>
      </c>
      <c r="DD426" s="219"/>
      <c r="DE426" s="219"/>
      <c r="DF426" s="166"/>
      <c r="DG426" s="116"/>
      <c r="DH426" s="117"/>
      <c r="DI426" s="24"/>
      <c r="DJ426" s="24"/>
      <c r="DK426" s="24"/>
      <c r="DL426" s="24"/>
      <c r="DM426" s="24"/>
      <c r="DN426" s="24"/>
      <c r="DO426" s="24"/>
      <c r="DP426" s="24"/>
      <c r="DQ426" s="24"/>
      <c r="DR426" s="24"/>
      <c r="DS426" s="24"/>
      <c r="DT426" s="24"/>
      <c r="DU426" s="24"/>
    </row>
    <row r="427" spans="1:125" s="8" customFormat="1" ht="60" x14ac:dyDescent="0.2">
      <c r="A427" s="77">
        <v>41302</v>
      </c>
      <c r="B427" s="78" t="s">
        <v>1695</v>
      </c>
      <c r="C427" s="75" t="s">
        <v>2296</v>
      </c>
      <c r="D427" s="81" t="s">
        <v>2846</v>
      </c>
      <c r="E427" s="75" t="str">
        <f>VLOOKUP(B427&amp;C427,Divipola!$C$2:$F$1138,4,FALSE)</f>
        <v>95025</v>
      </c>
      <c r="F427" s="87"/>
      <c r="G427" s="87"/>
      <c r="H427" s="87"/>
      <c r="I427" s="87"/>
      <c r="J427" s="87"/>
      <c r="K427" s="87"/>
      <c r="L427" s="87"/>
      <c r="M427" s="87"/>
      <c r="N427" s="87"/>
      <c r="O427" s="87"/>
      <c r="P427" s="87"/>
      <c r="Q427" s="87"/>
      <c r="R427" s="87"/>
      <c r="S427" s="87"/>
      <c r="T427" s="87"/>
      <c r="U427" s="127">
        <v>120</v>
      </c>
      <c r="V427" s="89"/>
      <c r="W427" s="96">
        <v>0</v>
      </c>
      <c r="X427" s="71">
        <f>CU427</f>
        <v>0</v>
      </c>
      <c r="Y427" s="71">
        <f>CY427</f>
        <v>0</v>
      </c>
      <c r="Z427" s="71">
        <f>DA427+DC427+DE427</f>
        <v>0</v>
      </c>
      <c r="AA427" s="71">
        <f>CW427</f>
        <v>0</v>
      </c>
      <c r="AB427" s="71"/>
      <c r="AC427" s="71">
        <v>0</v>
      </c>
      <c r="AD427" s="71">
        <f>W427+X427+Y427+Z427+AA427+AB427+AC427</f>
        <v>0</v>
      </c>
      <c r="AE427" s="72">
        <v>0</v>
      </c>
      <c r="AF427" s="5"/>
      <c r="AG427" s="6"/>
      <c r="AH427" s="27" t="s">
        <v>3392</v>
      </c>
      <c r="AI427" s="44" t="s">
        <v>3393</v>
      </c>
      <c r="AJ427" s="26"/>
      <c r="AK427" s="5"/>
      <c r="AL427" s="82" t="s">
        <v>3278</v>
      </c>
      <c r="AM427" s="76"/>
      <c r="AN427" s="76"/>
      <c r="AO427" s="76"/>
      <c r="AP427" s="76"/>
      <c r="AQ427" s="76"/>
      <c r="AR427" s="76"/>
      <c r="AS427" s="76"/>
      <c r="AT427" s="76"/>
      <c r="AU427" s="76"/>
      <c r="AV427" s="76"/>
      <c r="AW427" s="76"/>
      <c r="AX427" s="76">
        <f>+AW427*600000</f>
        <v>0</v>
      </c>
      <c r="AY427" s="76"/>
      <c r="AZ427" s="76">
        <f>+AY427*70000</f>
        <v>0</v>
      </c>
      <c r="BA427" s="76"/>
      <c r="BB427" s="76"/>
      <c r="BC427" s="76"/>
      <c r="BD427" s="76">
        <f>+BC427*30000</f>
        <v>0</v>
      </c>
      <c r="BE427" s="76"/>
      <c r="BF427" s="76"/>
      <c r="BG427" s="76"/>
      <c r="BH427" s="76"/>
      <c r="BI427" s="76"/>
      <c r="BJ427" s="76"/>
      <c r="BK427" s="76"/>
      <c r="BL427" s="76">
        <f>+BK427*31500</f>
        <v>0</v>
      </c>
      <c r="BM427" s="76"/>
      <c r="BN427" s="76"/>
      <c r="BO427" s="76"/>
      <c r="BP427" s="76"/>
      <c r="BQ427" s="76"/>
      <c r="BR427" s="76"/>
      <c r="BS427" s="76"/>
      <c r="BT427" s="76"/>
      <c r="BU427" s="76"/>
      <c r="BV427" s="76"/>
      <c r="BW427" s="76"/>
      <c r="BX427" s="76"/>
      <c r="BY427" s="76"/>
      <c r="BZ427" s="76"/>
      <c r="CA427" s="76"/>
      <c r="CB427" s="76"/>
      <c r="CC427" s="76"/>
      <c r="CD427" s="76"/>
      <c r="CE427" s="76"/>
      <c r="CF427" s="76">
        <f>+CE427*28000</f>
        <v>0</v>
      </c>
      <c r="CG427" s="76"/>
      <c r="CH427" s="76">
        <f>+CG427*22500</f>
        <v>0</v>
      </c>
      <c r="CI427" s="76"/>
      <c r="CJ427" s="76">
        <f>+CI427*26000</f>
        <v>0</v>
      </c>
      <c r="CK427" s="76"/>
      <c r="CL427" s="76"/>
      <c r="CM427" s="76"/>
      <c r="CN427" s="76">
        <f>+CM427*22000</f>
        <v>0</v>
      </c>
      <c r="CO427" s="76"/>
      <c r="CP427" s="76">
        <f>+CO427*46000</f>
        <v>0</v>
      </c>
      <c r="CQ427" s="76"/>
      <c r="CR427" s="76">
        <f>+CQ427*49000</f>
        <v>0</v>
      </c>
      <c r="CS427" s="76"/>
      <c r="CT427" s="76"/>
      <c r="CU427" s="56">
        <f>AN427+AP427+AR427+AT427+AV427+AX427+AZ427+BB427+BD427+BF427+BH427+BJ427+BL427+BN427+BP427+BR427+BT427+BV427+BX427+BZ427+CB427+CD427+CF427+CH427+CJ427+CL427+CN427+CP427+CR427+CT427</f>
        <v>0</v>
      </c>
      <c r="CV427" s="76"/>
      <c r="CW427" s="76">
        <f>+CV427*1100</f>
        <v>0</v>
      </c>
      <c r="CX427" s="76"/>
      <c r="CY427" s="76">
        <f>+CX427*106250</f>
        <v>0</v>
      </c>
      <c r="CZ427" s="76"/>
      <c r="DA427" s="76">
        <f>+CZ427*34500</f>
        <v>0</v>
      </c>
      <c r="DB427" s="76"/>
      <c r="DC427" s="76">
        <f>+DB427*25000</f>
        <v>0</v>
      </c>
      <c r="DD427" s="219"/>
      <c r="DE427" s="219"/>
      <c r="DF427" s="166"/>
      <c r="DG427" s="116"/>
      <c r="DH427" s="117"/>
      <c r="DI427" s="24"/>
      <c r="DJ427" s="24"/>
      <c r="DK427" s="24"/>
      <c r="DL427" s="24"/>
      <c r="DM427" s="24"/>
      <c r="DN427" s="24"/>
      <c r="DO427" s="24"/>
      <c r="DP427" s="24"/>
      <c r="DQ427" s="24"/>
      <c r="DR427" s="24"/>
      <c r="DS427" s="24"/>
      <c r="DT427" s="24"/>
      <c r="DU427" s="24"/>
    </row>
    <row r="428" spans="1:125" s="8" customFormat="1" ht="36" x14ac:dyDescent="0.2">
      <c r="A428" s="77">
        <v>41302</v>
      </c>
      <c r="B428" s="225" t="s">
        <v>2847</v>
      </c>
      <c r="C428" s="227" t="s">
        <v>359</v>
      </c>
      <c r="D428" s="81" t="s">
        <v>2846</v>
      </c>
      <c r="E428" s="75" t="str">
        <f>VLOOKUP(B428&amp;C428,Divipola!$C$2:$F$1138,4,FALSE)</f>
        <v>68318</v>
      </c>
      <c r="F428" s="87"/>
      <c r="G428" s="87"/>
      <c r="H428" s="87"/>
      <c r="I428" s="87"/>
      <c r="J428" s="87"/>
      <c r="K428" s="87"/>
      <c r="L428" s="87"/>
      <c r="M428" s="87"/>
      <c r="N428" s="87"/>
      <c r="O428" s="87"/>
      <c r="P428" s="87"/>
      <c r="Q428" s="87"/>
      <c r="R428" s="87"/>
      <c r="S428" s="87"/>
      <c r="T428" s="87"/>
      <c r="U428" s="127"/>
      <c r="V428" s="89"/>
      <c r="W428" s="96">
        <v>0</v>
      </c>
      <c r="X428" s="71">
        <f>CU428</f>
        <v>0</v>
      </c>
      <c r="Y428" s="71">
        <f>CY428</f>
        <v>0</v>
      </c>
      <c r="Z428" s="71">
        <f>DA428+DC428+DE428</f>
        <v>0</v>
      </c>
      <c r="AA428" s="71">
        <f>CW428</f>
        <v>0</v>
      </c>
      <c r="AB428" s="71"/>
      <c r="AC428" s="71">
        <v>0</v>
      </c>
      <c r="AD428" s="71">
        <f>W428+X428+Y428+Z428+AA428+AB428+AC428</f>
        <v>0</v>
      </c>
      <c r="AE428" s="72">
        <v>0</v>
      </c>
      <c r="AF428" s="5"/>
      <c r="AG428" s="6"/>
      <c r="AH428" s="27" t="s">
        <v>3392</v>
      </c>
      <c r="AI428" s="44" t="s">
        <v>3393</v>
      </c>
      <c r="AJ428" s="26"/>
      <c r="AK428" s="5"/>
      <c r="AL428" s="82" t="s">
        <v>3263</v>
      </c>
      <c r="AM428" s="76"/>
      <c r="AN428" s="76"/>
      <c r="AO428" s="76"/>
      <c r="AP428" s="76"/>
      <c r="AQ428" s="76"/>
      <c r="AR428" s="76"/>
      <c r="AS428" s="76"/>
      <c r="AT428" s="76"/>
      <c r="AU428" s="76"/>
      <c r="AV428" s="76"/>
      <c r="AW428" s="76"/>
      <c r="AX428" s="76">
        <f>+AW428*600000</f>
        <v>0</v>
      </c>
      <c r="AY428" s="76"/>
      <c r="AZ428" s="76">
        <f>+AY428*70000</f>
        <v>0</v>
      </c>
      <c r="BA428" s="76"/>
      <c r="BB428" s="76"/>
      <c r="BC428" s="76"/>
      <c r="BD428" s="76">
        <f>+BC428*30000</f>
        <v>0</v>
      </c>
      <c r="BE428" s="76"/>
      <c r="BF428" s="76"/>
      <c r="BG428" s="76"/>
      <c r="BH428" s="76"/>
      <c r="BI428" s="76"/>
      <c r="BJ428" s="76"/>
      <c r="BK428" s="76"/>
      <c r="BL428" s="76">
        <f>+BK428*31500</f>
        <v>0</v>
      </c>
      <c r="BM428" s="76"/>
      <c r="BN428" s="76"/>
      <c r="BO428" s="76"/>
      <c r="BP428" s="76"/>
      <c r="BQ428" s="76"/>
      <c r="BR428" s="76"/>
      <c r="BS428" s="76"/>
      <c r="BT428" s="76"/>
      <c r="BU428" s="76"/>
      <c r="BV428" s="76"/>
      <c r="BW428" s="76"/>
      <c r="BX428" s="76"/>
      <c r="BY428" s="76"/>
      <c r="BZ428" s="76"/>
      <c r="CA428" s="76"/>
      <c r="CB428" s="76"/>
      <c r="CC428" s="76"/>
      <c r="CD428" s="76"/>
      <c r="CE428" s="76"/>
      <c r="CF428" s="76">
        <f>+CE428*28000</f>
        <v>0</v>
      </c>
      <c r="CG428" s="76"/>
      <c r="CH428" s="76">
        <f>+CG428*22500</f>
        <v>0</v>
      </c>
      <c r="CI428" s="76"/>
      <c r="CJ428" s="76">
        <f>+CI428*26000</f>
        <v>0</v>
      </c>
      <c r="CK428" s="76"/>
      <c r="CL428" s="76"/>
      <c r="CM428" s="76"/>
      <c r="CN428" s="76">
        <f>+CM428*22000</f>
        <v>0</v>
      </c>
      <c r="CO428" s="76"/>
      <c r="CP428" s="76">
        <f>+CO428*46000</f>
        <v>0</v>
      </c>
      <c r="CQ428" s="76"/>
      <c r="CR428" s="76">
        <f>+CQ428*49000</f>
        <v>0</v>
      </c>
      <c r="CS428" s="76"/>
      <c r="CT428" s="76"/>
      <c r="CU428" s="56">
        <f>AN428+AP428+AR428+AT428+AV428+AX428+AZ428+BB428+BD428+BF428+BH428+BJ428+BL428+BN428+BP428+BR428+BT428+BV428+BX428+BZ428+CB428+CD428+CF428+CH428+CJ428+CL428+CN428+CP428+CR428+CT428</f>
        <v>0</v>
      </c>
      <c r="CV428" s="76"/>
      <c r="CW428" s="76">
        <f>+CV428*1100</f>
        <v>0</v>
      </c>
      <c r="CX428" s="76"/>
      <c r="CY428" s="76">
        <f>+CX428*106250</f>
        <v>0</v>
      </c>
      <c r="CZ428" s="76"/>
      <c r="DA428" s="76">
        <f>+CZ428*34500</f>
        <v>0</v>
      </c>
      <c r="DB428" s="76"/>
      <c r="DC428" s="76">
        <f>+DB428*25000</f>
        <v>0</v>
      </c>
      <c r="DD428" s="219"/>
      <c r="DE428" s="219"/>
      <c r="DF428" s="166"/>
      <c r="DG428" s="116"/>
      <c r="DH428" s="117"/>
      <c r="DI428" s="24"/>
      <c r="DJ428" s="24"/>
      <c r="DK428" s="24"/>
      <c r="DL428" s="24"/>
      <c r="DM428" s="24"/>
      <c r="DN428" s="24"/>
      <c r="DO428" s="24"/>
      <c r="DP428" s="24"/>
      <c r="DQ428" s="24"/>
      <c r="DR428" s="24"/>
      <c r="DS428" s="24"/>
      <c r="DT428" s="24"/>
      <c r="DU428" s="24"/>
    </row>
    <row r="429" spans="1:125" s="152" customFormat="1" ht="84" x14ac:dyDescent="0.2">
      <c r="A429" s="77">
        <v>41302</v>
      </c>
      <c r="B429" s="225" t="s">
        <v>2847</v>
      </c>
      <c r="C429" s="227" t="s">
        <v>2109</v>
      </c>
      <c r="D429" s="81" t="s">
        <v>2846</v>
      </c>
      <c r="E429" s="75" t="str">
        <f>VLOOKUP(B429&amp;C429,Divipola!$C$2:$F$1138,4,FALSE)</f>
        <v>68575</v>
      </c>
      <c r="F429" s="87"/>
      <c r="G429" s="87"/>
      <c r="H429" s="87"/>
      <c r="I429" s="87"/>
      <c r="J429" s="87"/>
      <c r="K429" s="87"/>
      <c r="L429" s="87"/>
      <c r="M429" s="87"/>
      <c r="N429" s="87"/>
      <c r="O429" s="87"/>
      <c r="P429" s="87"/>
      <c r="Q429" s="87"/>
      <c r="R429" s="87"/>
      <c r="S429" s="87"/>
      <c r="T429" s="87"/>
      <c r="U429" s="127">
        <v>16</v>
      </c>
      <c r="V429" s="89"/>
      <c r="W429" s="96">
        <v>0</v>
      </c>
      <c r="X429" s="71">
        <f>CU429</f>
        <v>0</v>
      </c>
      <c r="Y429" s="71">
        <f>CY429</f>
        <v>0</v>
      </c>
      <c r="Z429" s="71">
        <f>DA429+DC429+DE429</f>
        <v>0</v>
      </c>
      <c r="AA429" s="71">
        <f>CW429</f>
        <v>0</v>
      </c>
      <c r="AB429" s="71"/>
      <c r="AC429" s="71">
        <v>0</v>
      </c>
      <c r="AD429" s="71">
        <f>W429+X429+Y429+Z429+AA429+AB429+AC429</f>
        <v>0</v>
      </c>
      <c r="AE429" s="72">
        <v>0</v>
      </c>
      <c r="AF429" s="5"/>
      <c r="AG429" s="6"/>
      <c r="AH429" s="27" t="s">
        <v>3392</v>
      </c>
      <c r="AI429" s="44" t="s">
        <v>3393</v>
      </c>
      <c r="AJ429" s="26"/>
      <c r="AK429" s="5"/>
      <c r="AL429" s="82" t="s">
        <v>3314</v>
      </c>
      <c r="AM429" s="76"/>
      <c r="AN429" s="76"/>
      <c r="AO429" s="76"/>
      <c r="AP429" s="76"/>
      <c r="AQ429" s="76"/>
      <c r="AR429" s="76"/>
      <c r="AS429" s="76"/>
      <c r="AT429" s="76"/>
      <c r="AU429" s="76"/>
      <c r="AV429" s="76"/>
      <c r="AW429" s="76"/>
      <c r="AX429" s="76">
        <f>+AW429*600000</f>
        <v>0</v>
      </c>
      <c r="AY429" s="76"/>
      <c r="AZ429" s="76">
        <f>+AY429*70000</f>
        <v>0</v>
      </c>
      <c r="BA429" s="76"/>
      <c r="BB429" s="76"/>
      <c r="BC429" s="76"/>
      <c r="BD429" s="76">
        <f>+BC429*30000</f>
        <v>0</v>
      </c>
      <c r="BE429" s="76"/>
      <c r="BF429" s="76"/>
      <c r="BG429" s="76"/>
      <c r="BH429" s="76"/>
      <c r="BI429" s="76"/>
      <c r="BJ429" s="76"/>
      <c r="BK429" s="76"/>
      <c r="BL429" s="76">
        <f>+BK429*31500</f>
        <v>0</v>
      </c>
      <c r="BM429" s="76"/>
      <c r="BN429" s="76"/>
      <c r="BO429" s="76"/>
      <c r="BP429" s="76"/>
      <c r="BQ429" s="76"/>
      <c r="BR429" s="76"/>
      <c r="BS429" s="76"/>
      <c r="BT429" s="76"/>
      <c r="BU429" s="76"/>
      <c r="BV429" s="76"/>
      <c r="BW429" s="76"/>
      <c r="BX429" s="76"/>
      <c r="BY429" s="76"/>
      <c r="BZ429" s="76"/>
      <c r="CA429" s="76"/>
      <c r="CB429" s="76"/>
      <c r="CC429" s="76"/>
      <c r="CD429" s="76"/>
      <c r="CE429" s="76"/>
      <c r="CF429" s="76">
        <f>+CE429*28000</f>
        <v>0</v>
      </c>
      <c r="CG429" s="76"/>
      <c r="CH429" s="76">
        <f>+CG429*22500</f>
        <v>0</v>
      </c>
      <c r="CI429" s="76"/>
      <c r="CJ429" s="76">
        <f>+CI429*26000</f>
        <v>0</v>
      </c>
      <c r="CK429" s="76"/>
      <c r="CL429" s="76"/>
      <c r="CM429" s="76"/>
      <c r="CN429" s="76">
        <f>+CM429*22000</f>
        <v>0</v>
      </c>
      <c r="CO429" s="76"/>
      <c r="CP429" s="76">
        <f>+CO429*46000</f>
        <v>0</v>
      </c>
      <c r="CQ429" s="76"/>
      <c r="CR429" s="76">
        <f>+CQ429*49000</f>
        <v>0</v>
      </c>
      <c r="CS429" s="76"/>
      <c r="CT429" s="76"/>
      <c r="CU429" s="56">
        <f>AN429+AP429+AR429+AT429+AV429+AX429+AZ429+BB429+BD429+BF429+BH429+BJ429+BL429+BN429+BP429+BR429+BT429+BV429+BX429+BZ429+CB429+CD429+CF429+CH429+CJ429+CL429+CN429+CP429+CR429+CT429</f>
        <v>0</v>
      </c>
      <c r="CV429" s="76"/>
      <c r="CW429" s="76">
        <f>+CV429*1100</f>
        <v>0</v>
      </c>
      <c r="CX429" s="76"/>
      <c r="CY429" s="76">
        <f>+CX429*106250</f>
        <v>0</v>
      </c>
      <c r="CZ429" s="76"/>
      <c r="DA429" s="76">
        <f>+CZ429*34500</f>
        <v>0</v>
      </c>
      <c r="DB429" s="76"/>
      <c r="DC429" s="76">
        <f>+DB429*25000</f>
        <v>0</v>
      </c>
      <c r="DD429" s="219"/>
      <c r="DE429" s="219"/>
      <c r="DF429" s="166"/>
      <c r="DG429" s="116"/>
      <c r="DH429" s="117"/>
      <c r="DI429" s="24"/>
      <c r="DJ429" s="24"/>
      <c r="DK429" s="24"/>
      <c r="DL429" s="24"/>
      <c r="DM429" s="24"/>
      <c r="DN429" s="24"/>
      <c r="DO429" s="24"/>
      <c r="DP429" s="24"/>
      <c r="DQ429" s="24"/>
      <c r="DR429" s="24"/>
      <c r="DS429" s="24"/>
      <c r="DT429" s="24"/>
      <c r="DU429" s="24"/>
    </row>
    <row r="430" spans="1:125" s="152" customFormat="1" ht="24" x14ac:dyDescent="0.2">
      <c r="A430" s="77">
        <v>41302</v>
      </c>
      <c r="B430" s="225" t="s">
        <v>2309</v>
      </c>
      <c r="C430" s="227" t="s">
        <v>2773</v>
      </c>
      <c r="D430" s="81" t="s">
        <v>2846</v>
      </c>
      <c r="E430" s="75">
        <f>VLOOKUP(B430&amp;C430,Divipola!$C$2:$F$1138,4,FALSE)</f>
        <v>99</v>
      </c>
      <c r="F430" s="100"/>
      <c r="G430" s="100"/>
      <c r="H430" s="100"/>
      <c r="I430" s="100"/>
      <c r="J430" s="100"/>
      <c r="K430" s="100"/>
      <c r="L430" s="100"/>
      <c r="M430" s="100"/>
      <c r="N430" s="100"/>
      <c r="O430" s="100"/>
      <c r="P430" s="100"/>
      <c r="Q430" s="100"/>
      <c r="R430" s="100"/>
      <c r="S430" s="100"/>
      <c r="T430" s="100"/>
      <c r="U430" s="130"/>
      <c r="V430" s="89"/>
      <c r="W430" s="96">
        <v>0</v>
      </c>
      <c r="X430" s="71">
        <f>CU430</f>
        <v>0</v>
      </c>
      <c r="Y430" s="71">
        <f>CY430</f>
        <v>0</v>
      </c>
      <c r="Z430" s="71">
        <f>DA430+DC430+DE430</f>
        <v>0</v>
      </c>
      <c r="AA430" s="71">
        <f>CW430</f>
        <v>0</v>
      </c>
      <c r="AB430" s="71">
        <v>48381915</v>
      </c>
      <c r="AC430" s="71">
        <v>0</v>
      </c>
      <c r="AD430" s="71">
        <f>W430+X430+Y430+Z430+AA430+AB430+AC430</f>
        <v>48381915</v>
      </c>
      <c r="AE430" s="72">
        <v>0</v>
      </c>
      <c r="AF430" s="5"/>
      <c r="AG430" s="6"/>
      <c r="AH430" s="27" t="s">
        <v>3390</v>
      </c>
      <c r="AI430" s="44" t="s">
        <v>3391</v>
      </c>
      <c r="AJ430" s="26"/>
      <c r="AK430" s="5"/>
      <c r="AL430" s="82" t="s">
        <v>4005</v>
      </c>
      <c r="AM430" s="76"/>
      <c r="AN430" s="76"/>
      <c r="AO430" s="76"/>
      <c r="AP430" s="76"/>
      <c r="AQ430" s="76"/>
      <c r="AR430" s="76"/>
      <c r="AS430" s="76"/>
      <c r="AT430" s="76"/>
      <c r="AU430" s="76"/>
      <c r="AV430" s="76"/>
      <c r="AW430" s="76"/>
      <c r="AX430" s="76">
        <f>+AW430*600000</f>
        <v>0</v>
      </c>
      <c r="AY430" s="76"/>
      <c r="AZ430" s="76">
        <f>+AY430*70000</f>
        <v>0</v>
      </c>
      <c r="BA430" s="76"/>
      <c r="BB430" s="76"/>
      <c r="BC430" s="76"/>
      <c r="BD430" s="76">
        <f>+BC430*30000</f>
        <v>0</v>
      </c>
      <c r="BE430" s="76"/>
      <c r="BF430" s="76"/>
      <c r="BG430" s="76"/>
      <c r="BH430" s="76"/>
      <c r="BI430" s="76"/>
      <c r="BJ430" s="76"/>
      <c r="BK430" s="76"/>
      <c r="BL430" s="76">
        <f>+BK430*31500</f>
        <v>0</v>
      </c>
      <c r="BM430" s="76"/>
      <c r="BN430" s="76"/>
      <c r="BO430" s="76"/>
      <c r="BP430" s="76"/>
      <c r="BQ430" s="76"/>
      <c r="BR430" s="76"/>
      <c r="BS430" s="76"/>
      <c r="BT430" s="76"/>
      <c r="BU430" s="76"/>
      <c r="BV430" s="76"/>
      <c r="BW430" s="76"/>
      <c r="BX430" s="76"/>
      <c r="BY430" s="76"/>
      <c r="BZ430" s="76"/>
      <c r="CA430" s="76"/>
      <c r="CB430" s="76"/>
      <c r="CC430" s="76"/>
      <c r="CD430" s="76"/>
      <c r="CE430" s="76"/>
      <c r="CF430" s="76">
        <f>+CE430*28000</f>
        <v>0</v>
      </c>
      <c r="CG430" s="76"/>
      <c r="CH430" s="76">
        <f>+CG430*22500</f>
        <v>0</v>
      </c>
      <c r="CI430" s="76"/>
      <c r="CJ430" s="76">
        <f>+CI430*26000</f>
        <v>0</v>
      </c>
      <c r="CK430" s="76"/>
      <c r="CL430" s="76"/>
      <c r="CM430" s="76"/>
      <c r="CN430" s="76">
        <f>+CM430*22000</f>
        <v>0</v>
      </c>
      <c r="CO430" s="76"/>
      <c r="CP430" s="76">
        <f>+CO430*46000</f>
        <v>0</v>
      </c>
      <c r="CQ430" s="76"/>
      <c r="CR430" s="76">
        <f>+CQ430*49000</f>
        <v>0</v>
      </c>
      <c r="CS430" s="76"/>
      <c r="CT430" s="76"/>
      <c r="CU430" s="56">
        <f>AN430+AP430+AR430+AT430+AV430+AX430+AZ430+BB430+BD430+BF430+BH430+BJ430+BL430+BN430+BP430+BR430+BT430+BV430+BX430+BZ430+CB430+CD430+CF430+CH430+CJ430+CL430+CN430+CP430+CR430+CT430</f>
        <v>0</v>
      </c>
      <c r="CV430" s="76"/>
      <c r="CW430" s="76">
        <f>+CV430*1100</f>
        <v>0</v>
      </c>
      <c r="CX430" s="76"/>
      <c r="CY430" s="76">
        <f>+CX430*106250</f>
        <v>0</v>
      </c>
      <c r="CZ430" s="76"/>
      <c r="DA430" s="76">
        <f>+CZ430*34500</f>
        <v>0</v>
      </c>
      <c r="DB430" s="76"/>
      <c r="DC430" s="76">
        <f>+DB430*25000</f>
        <v>0</v>
      </c>
      <c r="DD430" s="219"/>
      <c r="DE430" s="219"/>
      <c r="DF430" s="164"/>
      <c r="DG430" s="116"/>
      <c r="DH430" s="117"/>
      <c r="DI430" s="24"/>
      <c r="DJ430" s="24"/>
      <c r="DK430" s="24"/>
      <c r="DL430" s="24"/>
      <c r="DM430" s="24"/>
      <c r="DN430" s="24"/>
      <c r="DO430" s="24"/>
      <c r="DP430" s="24"/>
      <c r="DQ430" s="24"/>
      <c r="DR430" s="24"/>
      <c r="DS430" s="24"/>
      <c r="DT430" s="24"/>
      <c r="DU430" s="24"/>
    </row>
    <row r="431" spans="1:125" s="8" customFormat="1" ht="36" x14ac:dyDescent="0.2">
      <c r="A431" s="77">
        <v>41303</v>
      </c>
      <c r="B431" s="78" t="s">
        <v>2036</v>
      </c>
      <c r="C431" s="75" t="s">
        <v>2036</v>
      </c>
      <c r="D431" s="81" t="s">
        <v>2846</v>
      </c>
      <c r="E431" s="75" t="str">
        <f>VLOOKUP(B431&amp;C431,Divipola!$C$2:$F$1138,4,FALSE)</f>
        <v>81001</v>
      </c>
      <c r="F431" s="87"/>
      <c r="G431" s="87"/>
      <c r="H431" s="87"/>
      <c r="I431" s="87"/>
      <c r="J431" s="87"/>
      <c r="K431" s="87"/>
      <c r="L431" s="87"/>
      <c r="M431" s="87"/>
      <c r="N431" s="87"/>
      <c r="O431" s="87"/>
      <c r="P431" s="87"/>
      <c r="Q431" s="87"/>
      <c r="R431" s="87"/>
      <c r="S431" s="87"/>
      <c r="T431" s="87"/>
      <c r="U431" s="127">
        <v>60</v>
      </c>
      <c r="V431" s="89"/>
      <c r="W431" s="96">
        <v>0</v>
      </c>
      <c r="X431" s="71">
        <f>CU431</f>
        <v>0</v>
      </c>
      <c r="Y431" s="71">
        <f>CY431</f>
        <v>0</v>
      </c>
      <c r="Z431" s="71">
        <f>DA431+DC431+DE431</f>
        <v>0</v>
      </c>
      <c r="AA431" s="71">
        <f>CW431</f>
        <v>0</v>
      </c>
      <c r="AB431" s="71"/>
      <c r="AC431" s="71">
        <v>0</v>
      </c>
      <c r="AD431" s="71">
        <f>W431+X431+Y431+Z431+AA431+AB431+AC431</f>
        <v>0</v>
      </c>
      <c r="AE431" s="72">
        <v>0</v>
      </c>
      <c r="AF431" s="5"/>
      <c r="AG431" s="6"/>
      <c r="AH431" s="27" t="s">
        <v>3392</v>
      </c>
      <c r="AI431" s="44" t="s">
        <v>3393</v>
      </c>
      <c r="AJ431" s="26"/>
      <c r="AK431" s="5"/>
      <c r="AL431" s="82" t="s">
        <v>3303</v>
      </c>
      <c r="AM431" s="76"/>
      <c r="AN431" s="76"/>
      <c r="AO431" s="76"/>
      <c r="AP431" s="76"/>
      <c r="AQ431" s="76"/>
      <c r="AR431" s="76"/>
      <c r="AS431" s="76"/>
      <c r="AT431" s="76"/>
      <c r="AU431" s="76"/>
      <c r="AV431" s="76"/>
      <c r="AW431" s="76"/>
      <c r="AX431" s="76">
        <f>+AW431*600000</f>
        <v>0</v>
      </c>
      <c r="AY431" s="76"/>
      <c r="AZ431" s="76">
        <f>+AY431*70000</f>
        <v>0</v>
      </c>
      <c r="BA431" s="76"/>
      <c r="BB431" s="76"/>
      <c r="BC431" s="76"/>
      <c r="BD431" s="76">
        <f>+BC431*30000</f>
        <v>0</v>
      </c>
      <c r="BE431" s="76"/>
      <c r="BF431" s="76"/>
      <c r="BG431" s="76"/>
      <c r="BH431" s="76"/>
      <c r="BI431" s="76"/>
      <c r="BJ431" s="76"/>
      <c r="BK431" s="76"/>
      <c r="BL431" s="76">
        <f>+BK431*31500</f>
        <v>0</v>
      </c>
      <c r="BM431" s="76"/>
      <c r="BN431" s="76"/>
      <c r="BO431" s="76"/>
      <c r="BP431" s="76"/>
      <c r="BQ431" s="76"/>
      <c r="BR431" s="76"/>
      <c r="BS431" s="76"/>
      <c r="BT431" s="76"/>
      <c r="BU431" s="76"/>
      <c r="BV431" s="76"/>
      <c r="BW431" s="76"/>
      <c r="BX431" s="76"/>
      <c r="BY431" s="76"/>
      <c r="BZ431" s="76"/>
      <c r="CA431" s="76"/>
      <c r="CB431" s="76"/>
      <c r="CC431" s="76"/>
      <c r="CD431" s="76"/>
      <c r="CE431" s="76"/>
      <c r="CF431" s="76">
        <f>+CE431*28000</f>
        <v>0</v>
      </c>
      <c r="CG431" s="76"/>
      <c r="CH431" s="76">
        <f>+CG431*22500</f>
        <v>0</v>
      </c>
      <c r="CI431" s="76"/>
      <c r="CJ431" s="76">
        <f>+CI431*26000</f>
        <v>0</v>
      </c>
      <c r="CK431" s="76"/>
      <c r="CL431" s="76"/>
      <c r="CM431" s="76"/>
      <c r="CN431" s="76">
        <f>+CM431*22000</f>
        <v>0</v>
      </c>
      <c r="CO431" s="76"/>
      <c r="CP431" s="76">
        <f>+CO431*46000</f>
        <v>0</v>
      </c>
      <c r="CQ431" s="76"/>
      <c r="CR431" s="76">
        <f>+CQ431*49000</f>
        <v>0</v>
      </c>
      <c r="CS431" s="76"/>
      <c r="CT431" s="76"/>
      <c r="CU431" s="56">
        <f>AN431+AP431+AR431+AT431+AV431+AX431+AZ431+BB431+BD431+BF431+BH431+BJ431+BL431+BN431+BP431+BR431+BT431+BV431+BX431+BZ431+CB431+CD431+CF431+CH431+CJ431+CL431+CN431+CP431+CR431+CT431</f>
        <v>0</v>
      </c>
      <c r="CV431" s="76"/>
      <c r="CW431" s="76">
        <f>+CV431*1100</f>
        <v>0</v>
      </c>
      <c r="CX431" s="76"/>
      <c r="CY431" s="76">
        <f>+CX431*106250</f>
        <v>0</v>
      </c>
      <c r="CZ431" s="76"/>
      <c r="DA431" s="76">
        <f>+CZ431*34500</f>
        <v>0</v>
      </c>
      <c r="DB431" s="76"/>
      <c r="DC431" s="76">
        <f>+DB431*25000</f>
        <v>0</v>
      </c>
      <c r="DD431" s="219"/>
      <c r="DE431" s="219"/>
      <c r="DF431" s="166"/>
      <c r="DG431" s="116"/>
      <c r="DH431" s="117"/>
      <c r="DI431" s="24"/>
      <c r="DJ431" s="24"/>
      <c r="DK431" s="24"/>
      <c r="DL431" s="24"/>
      <c r="DM431" s="24"/>
      <c r="DN431" s="24"/>
      <c r="DO431" s="24"/>
      <c r="DP431" s="24"/>
      <c r="DQ431" s="24"/>
      <c r="DR431" s="24"/>
      <c r="DS431" s="24"/>
      <c r="DT431" s="24"/>
      <c r="DU431" s="24"/>
    </row>
    <row r="432" spans="1:125" s="8" customFormat="1" ht="60" x14ac:dyDescent="0.2">
      <c r="A432" s="77">
        <v>41303</v>
      </c>
      <c r="B432" s="78" t="s">
        <v>2700</v>
      </c>
      <c r="C432" s="75" t="s">
        <v>699</v>
      </c>
      <c r="D432" s="81" t="s">
        <v>2846</v>
      </c>
      <c r="E432" s="75" t="str">
        <f>VLOOKUP(B432&amp;C432,Divipola!$C$2:$F$1138,4,FALSE)</f>
        <v>15806</v>
      </c>
      <c r="F432" s="87"/>
      <c r="G432" s="87"/>
      <c r="H432" s="87"/>
      <c r="I432" s="87"/>
      <c r="J432" s="87"/>
      <c r="K432" s="87"/>
      <c r="L432" s="87"/>
      <c r="M432" s="87"/>
      <c r="N432" s="87"/>
      <c r="O432" s="87"/>
      <c r="P432" s="87"/>
      <c r="Q432" s="87"/>
      <c r="R432" s="87"/>
      <c r="S432" s="87"/>
      <c r="T432" s="87"/>
      <c r="U432" s="127"/>
      <c r="V432" s="89"/>
      <c r="W432" s="96">
        <v>0</v>
      </c>
      <c r="X432" s="71">
        <f>CU432</f>
        <v>0</v>
      </c>
      <c r="Y432" s="71">
        <f>CY432</f>
        <v>0</v>
      </c>
      <c r="Z432" s="71">
        <f>DA432+DC432+DE432</f>
        <v>0</v>
      </c>
      <c r="AA432" s="71">
        <f>CW432</f>
        <v>0</v>
      </c>
      <c r="AB432" s="71"/>
      <c r="AC432" s="71">
        <v>0</v>
      </c>
      <c r="AD432" s="71">
        <f>W432+X432+Y432+Z432+AA432+AB432+AC432</f>
        <v>0</v>
      </c>
      <c r="AE432" s="72">
        <v>0</v>
      </c>
      <c r="AF432" s="5"/>
      <c r="AG432" s="6"/>
      <c r="AH432" s="27" t="s">
        <v>3392</v>
      </c>
      <c r="AI432" s="44" t="s">
        <v>3393</v>
      </c>
      <c r="AJ432" s="26"/>
      <c r="AK432" s="5"/>
      <c r="AL432" s="82" t="s">
        <v>3302</v>
      </c>
      <c r="AM432" s="76"/>
      <c r="AN432" s="76"/>
      <c r="AO432" s="76"/>
      <c r="AP432" s="76"/>
      <c r="AQ432" s="76"/>
      <c r="AR432" s="76"/>
      <c r="AS432" s="76"/>
      <c r="AT432" s="76"/>
      <c r="AU432" s="76"/>
      <c r="AV432" s="76"/>
      <c r="AW432" s="76"/>
      <c r="AX432" s="76">
        <f>+AW432*600000</f>
        <v>0</v>
      </c>
      <c r="AY432" s="76"/>
      <c r="AZ432" s="76">
        <f>+AY432*70000</f>
        <v>0</v>
      </c>
      <c r="BA432" s="76"/>
      <c r="BB432" s="76"/>
      <c r="BC432" s="76"/>
      <c r="BD432" s="76">
        <f>+BC432*30000</f>
        <v>0</v>
      </c>
      <c r="BE432" s="76"/>
      <c r="BF432" s="76"/>
      <c r="BG432" s="76"/>
      <c r="BH432" s="76"/>
      <c r="BI432" s="76"/>
      <c r="BJ432" s="76"/>
      <c r="BK432" s="76"/>
      <c r="BL432" s="76">
        <f>+BK432*31500</f>
        <v>0</v>
      </c>
      <c r="BM432" s="76"/>
      <c r="BN432" s="76"/>
      <c r="BO432" s="76"/>
      <c r="BP432" s="76"/>
      <c r="BQ432" s="76"/>
      <c r="BR432" s="76"/>
      <c r="BS432" s="76"/>
      <c r="BT432" s="76"/>
      <c r="BU432" s="76"/>
      <c r="BV432" s="76"/>
      <c r="BW432" s="76"/>
      <c r="BX432" s="76"/>
      <c r="BY432" s="76"/>
      <c r="BZ432" s="76"/>
      <c r="CA432" s="76"/>
      <c r="CB432" s="76"/>
      <c r="CC432" s="76"/>
      <c r="CD432" s="76"/>
      <c r="CE432" s="76"/>
      <c r="CF432" s="76">
        <f>+CE432*28000</f>
        <v>0</v>
      </c>
      <c r="CG432" s="76"/>
      <c r="CH432" s="76">
        <f>+CG432*22500</f>
        <v>0</v>
      </c>
      <c r="CI432" s="76"/>
      <c r="CJ432" s="76">
        <f>+CI432*26000</f>
        <v>0</v>
      </c>
      <c r="CK432" s="76"/>
      <c r="CL432" s="76"/>
      <c r="CM432" s="76"/>
      <c r="CN432" s="76">
        <f>+CM432*22000</f>
        <v>0</v>
      </c>
      <c r="CO432" s="76"/>
      <c r="CP432" s="76">
        <f>+CO432*46000</f>
        <v>0</v>
      </c>
      <c r="CQ432" s="76"/>
      <c r="CR432" s="76">
        <f>+CQ432*49000</f>
        <v>0</v>
      </c>
      <c r="CS432" s="76"/>
      <c r="CT432" s="76"/>
      <c r="CU432" s="56">
        <f>AN432+AP432+AR432+AT432+AV432+AX432+AZ432+BB432+BD432+BF432+BH432+BJ432+BL432+BN432+BP432+BR432+BT432+BV432+BX432+BZ432+CB432+CD432+CF432+CH432+CJ432+CL432+CN432+CP432+CR432+CT432</f>
        <v>0</v>
      </c>
      <c r="CV432" s="76"/>
      <c r="CW432" s="76">
        <f>+CV432*1100</f>
        <v>0</v>
      </c>
      <c r="CX432" s="76"/>
      <c r="CY432" s="76">
        <f>+CX432*106250</f>
        <v>0</v>
      </c>
      <c r="CZ432" s="76"/>
      <c r="DA432" s="76">
        <f>+CZ432*34500</f>
        <v>0</v>
      </c>
      <c r="DB432" s="76"/>
      <c r="DC432" s="76">
        <f>+DB432*25000</f>
        <v>0</v>
      </c>
      <c r="DD432" s="219"/>
      <c r="DE432" s="219"/>
      <c r="DF432" s="166"/>
      <c r="DG432" s="116"/>
      <c r="DH432" s="117"/>
      <c r="DI432" s="24"/>
      <c r="DJ432" s="24"/>
      <c r="DK432" s="24"/>
      <c r="DL432" s="24"/>
      <c r="DM432" s="24"/>
      <c r="DN432" s="24"/>
      <c r="DO432" s="24"/>
      <c r="DP432" s="24"/>
      <c r="DQ432" s="24"/>
      <c r="DR432" s="24"/>
      <c r="DS432" s="24"/>
      <c r="DT432" s="24"/>
      <c r="DU432" s="24"/>
    </row>
    <row r="433" spans="1:125" s="8" customFormat="1" ht="48" x14ac:dyDescent="0.2">
      <c r="A433" s="77">
        <v>41303</v>
      </c>
      <c r="B433" s="78" t="s">
        <v>2778</v>
      </c>
      <c r="C433" s="75" t="s">
        <v>2194</v>
      </c>
      <c r="D433" s="81" t="s">
        <v>2846</v>
      </c>
      <c r="E433" s="75" t="str">
        <f>VLOOKUP(B433&amp;C433,Divipola!$C$2:$F$1138,4,FALSE)</f>
        <v>85010</v>
      </c>
      <c r="F433" s="87"/>
      <c r="G433" s="87"/>
      <c r="H433" s="87"/>
      <c r="I433" s="87"/>
      <c r="J433" s="87"/>
      <c r="K433" s="87"/>
      <c r="L433" s="87"/>
      <c r="M433" s="87"/>
      <c r="N433" s="87"/>
      <c r="O433" s="87"/>
      <c r="P433" s="87"/>
      <c r="Q433" s="87"/>
      <c r="R433" s="87"/>
      <c r="S433" s="87"/>
      <c r="T433" s="87"/>
      <c r="U433" s="127">
        <v>250</v>
      </c>
      <c r="V433" s="89"/>
      <c r="W433" s="96">
        <v>0</v>
      </c>
      <c r="X433" s="71">
        <f>CU433</f>
        <v>0</v>
      </c>
      <c r="Y433" s="71">
        <f>CY433</f>
        <v>0</v>
      </c>
      <c r="Z433" s="71">
        <f>DA433+DC433+DE433</f>
        <v>0</v>
      </c>
      <c r="AA433" s="71">
        <f>CW433</f>
        <v>0</v>
      </c>
      <c r="AB433" s="71"/>
      <c r="AC433" s="71">
        <v>0</v>
      </c>
      <c r="AD433" s="71">
        <f>W433+X433+Y433+Z433+AA433+AB433+AC433</f>
        <v>0</v>
      </c>
      <c r="AE433" s="72">
        <v>0</v>
      </c>
      <c r="AF433" s="5"/>
      <c r="AG433" s="6"/>
      <c r="AH433" s="27" t="s">
        <v>3392</v>
      </c>
      <c r="AI433" s="44" t="s">
        <v>3393</v>
      </c>
      <c r="AJ433" s="26"/>
      <c r="AK433" s="5"/>
      <c r="AL433" s="82" t="s">
        <v>3284</v>
      </c>
      <c r="AM433" s="76"/>
      <c r="AN433" s="76"/>
      <c r="AO433" s="76"/>
      <c r="AP433" s="76"/>
      <c r="AQ433" s="76"/>
      <c r="AR433" s="76"/>
      <c r="AS433" s="76"/>
      <c r="AT433" s="76"/>
      <c r="AU433" s="76"/>
      <c r="AV433" s="76"/>
      <c r="AW433" s="76"/>
      <c r="AX433" s="76">
        <f>+AW433*600000</f>
        <v>0</v>
      </c>
      <c r="AY433" s="76"/>
      <c r="AZ433" s="76">
        <f>+AY433*70000</f>
        <v>0</v>
      </c>
      <c r="BA433" s="76"/>
      <c r="BB433" s="76"/>
      <c r="BC433" s="76"/>
      <c r="BD433" s="76">
        <f>+BC433*30000</f>
        <v>0</v>
      </c>
      <c r="BE433" s="76"/>
      <c r="BF433" s="76"/>
      <c r="BG433" s="76"/>
      <c r="BH433" s="76"/>
      <c r="BI433" s="76"/>
      <c r="BJ433" s="76"/>
      <c r="BK433" s="76"/>
      <c r="BL433" s="76">
        <f>+BK433*31500</f>
        <v>0</v>
      </c>
      <c r="BM433" s="76"/>
      <c r="BN433" s="76"/>
      <c r="BO433" s="76"/>
      <c r="BP433" s="76"/>
      <c r="BQ433" s="76"/>
      <c r="BR433" s="76"/>
      <c r="BS433" s="76"/>
      <c r="BT433" s="76"/>
      <c r="BU433" s="76"/>
      <c r="BV433" s="76"/>
      <c r="BW433" s="76"/>
      <c r="BX433" s="76"/>
      <c r="BY433" s="76"/>
      <c r="BZ433" s="76"/>
      <c r="CA433" s="76"/>
      <c r="CB433" s="76"/>
      <c r="CC433" s="76"/>
      <c r="CD433" s="76"/>
      <c r="CE433" s="76"/>
      <c r="CF433" s="76">
        <f>+CE433*28000</f>
        <v>0</v>
      </c>
      <c r="CG433" s="76"/>
      <c r="CH433" s="76">
        <f>+CG433*22500</f>
        <v>0</v>
      </c>
      <c r="CI433" s="76"/>
      <c r="CJ433" s="76">
        <f>+CI433*26000</f>
        <v>0</v>
      </c>
      <c r="CK433" s="76"/>
      <c r="CL433" s="76"/>
      <c r="CM433" s="76"/>
      <c r="CN433" s="76">
        <f>+CM433*22000</f>
        <v>0</v>
      </c>
      <c r="CO433" s="76"/>
      <c r="CP433" s="76">
        <f>+CO433*46000</f>
        <v>0</v>
      </c>
      <c r="CQ433" s="76"/>
      <c r="CR433" s="76">
        <f>+CQ433*49000</f>
        <v>0</v>
      </c>
      <c r="CS433" s="76"/>
      <c r="CT433" s="76"/>
      <c r="CU433" s="56">
        <f>AN433+AP433+AR433+AT433+AV433+AX433+AZ433+BB433+BD433+BF433+BH433+BJ433+BL433+BN433+BP433+BR433+BT433+BV433+BX433+BZ433+CB433+CD433+CF433+CH433+CJ433+CL433+CN433+CP433+CR433+CT433</f>
        <v>0</v>
      </c>
      <c r="CV433" s="76"/>
      <c r="CW433" s="76">
        <f>+CV433*1100</f>
        <v>0</v>
      </c>
      <c r="CX433" s="76"/>
      <c r="CY433" s="76">
        <f>+CX433*106250</f>
        <v>0</v>
      </c>
      <c r="CZ433" s="76"/>
      <c r="DA433" s="76">
        <f>+CZ433*34500</f>
        <v>0</v>
      </c>
      <c r="DB433" s="76"/>
      <c r="DC433" s="76">
        <f>+DB433*25000</f>
        <v>0</v>
      </c>
      <c r="DD433" s="219"/>
      <c r="DE433" s="219"/>
      <c r="DF433" s="166"/>
      <c r="DG433" s="116"/>
      <c r="DH433" s="117"/>
      <c r="DI433" s="24"/>
      <c r="DJ433" s="24"/>
      <c r="DK433" s="24"/>
      <c r="DL433" s="24"/>
      <c r="DM433" s="24"/>
      <c r="DN433" s="24"/>
      <c r="DO433" s="24"/>
      <c r="DP433" s="24"/>
      <c r="DQ433" s="24"/>
      <c r="DR433" s="24"/>
      <c r="DS433" s="24"/>
      <c r="DT433" s="24"/>
      <c r="DU433" s="24"/>
    </row>
    <row r="434" spans="1:125" s="8" customFormat="1" ht="48" x14ac:dyDescent="0.2">
      <c r="A434" s="77">
        <v>41303</v>
      </c>
      <c r="B434" s="225" t="s">
        <v>2778</v>
      </c>
      <c r="C434" s="227" t="s">
        <v>2194</v>
      </c>
      <c r="D434" s="81" t="s">
        <v>2846</v>
      </c>
      <c r="E434" s="75" t="str">
        <f>VLOOKUP(B434&amp;C434,Divipola!$C$2:$F$1138,4,FALSE)</f>
        <v>85010</v>
      </c>
      <c r="F434" s="87"/>
      <c r="G434" s="87"/>
      <c r="H434" s="87"/>
      <c r="I434" s="87"/>
      <c r="J434" s="87"/>
      <c r="K434" s="87"/>
      <c r="L434" s="87"/>
      <c r="M434" s="87"/>
      <c r="N434" s="87"/>
      <c r="O434" s="87"/>
      <c r="P434" s="87"/>
      <c r="Q434" s="87"/>
      <c r="R434" s="87"/>
      <c r="S434" s="87"/>
      <c r="T434" s="87"/>
      <c r="U434" s="127">
        <v>6</v>
      </c>
      <c r="V434" s="89"/>
      <c r="W434" s="96">
        <v>0</v>
      </c>
      <c r="X434" s="71">
        <f>CU434</f>
        <v>0</v>
      </c>
      <c r="Y434" s="71">
        <f>CY434</f>
        <v>0</v>
      </c>
      <c r="Z434" s="71">
        <f>DA434+DC434+DE434</f>
        <v>0</v>
      </c>
      <c r="AA434" s="71">
        <f>CW434</f>
        <v>0</v>
      </c>
      <c r="AB434" s="71"/>
      <c r="AC434" s="71">
        <v>0</v>
      </c>
      <c r="AD434" s="71">
        <f>W434+X434+Y434+Z434+AA434+AB434+AC434</f>
        <v>0</v>
      </c>
      <c r="AE434" s="72">
        <v>0</v>
      </c>
      <c r="AF434" s="5"/>
      <c r="AG434" s="6"/>
      <c r="AH434" s="27" t="s">
        <v>3392</v>
      </c>
      <c r="AI434" s="44" t="s">
        <v>3393</v>
      </c>
      <c r="AJ434" s="26"/>
      <c r="AK434" s="5"/>
      <c r="AL434" s="82" t="s">
        <v>3285</v>
      </c>
      <c r="AM434" s="76"/>
      <c r="AN434" s="76"/>
      <c r="AO434" s="76"/>
      <c r="AP434" s="76"/>
      <c r="AQ434" s="76"/>
      <c r="AR434" s="76"/>
      <c r="AS434" s="76"/>
      <c r="AT434" s="76"/>
      <c r="AU434" s="76"/>
      <c r="AV434" s="76"/>
      <c r="AW434" s="76"/>
      <c r="AX434" s="76">
        <f>+AW434*600000</f>
        <v>0</v>
      </c>
      <c r="AY434" s="76"/>
      <c r="AZ434" s="76">
        <f>+AY434*70000</f>
        <v>0</v>
      </c>
      <c r="BA434" s="76"/>
      <c r="BB434" s="76"/>
      <c r="BC434" s="76"/>
      <c r="BD434" s="76">
        <f>+BC434*30000</f>
        <v>0</v>
      </c>
      <c r="BE434" s="76"/>
      <c r="BF434" s="76"/>
      <c r="BG434" s="76"/>
      <c r="BH434" s="76"/>
      <c r="BI434" s="76"/>
      <c r="BJ434" s="76"/>
      <c r="BK434" s="76"/>
      <c r="BL434" s="76">
        <f>+BK434*31500</f>
        <v>0</v>
      </c>
      <c r="BM434" s="76"/>
      <c r="BN434" s="76"/>
      <c r="BO434" s="76"/>
      <c r="BP434" s="76"/>
      <c r="BQ434" s="76"/>
      <c r="BR434" s="76"/>
      <c r="BS434" s="76"/>
      <c r="BT434" s="76"/>
      <c r="BU434" s="76"/>
      <c r="BV434" s="76"/>
      <c r="BW434" s="76"/>
      <c r="BX434" s="76"/>
      <c r="BY434" s="76"/>
      <c r="BZ434" s="76"/>
      <c r="CA434" s="76"/>
      <c r="CB434" s="76"/>
      <c r="CC434" s="76"/>
      <c r="CD434" s="76"/>
      <c r="CE434" s="76"/>
      <c r="CF434" s="76">
        <f>+CE434*28000</f>
        <v>0</v>
      </c>
      <c r="CG434" s="76"/>
      <c r="CH434" s="76">
        <f>+CG434*22500</f>
        <v>0</v>
      </c>
      <c r="CI434" s="76"/>
      <c r="CJ434" s="76">
        <f>+CI434*26000</f>
        <v>0</v>
      </c>
      <c r="CK434" s="76"/>
      <c r="CL434" s="76"/>
      <c r="CM434" s="76"/>
      <c r="CN434" s="76">
        <f>+CM434*22000</f>
        <v>0</v>
      </c>
      <c r="CO434" s="76"/>
      <c r="CP434" s="76">
        <f>+CO434*46000</f>
        <v>0</v>
      </c>
      <c r="CQ434" s="76"/>
      <c r="CR434" s="76">
        <f>+CQ434*49000</f>
        <v>0</v>
      </c>
      <c r="CS434" s="76"/>
      <c r="CT434" s="76"/>
      <c r="CU434" s="56">
        <f>AN434+AP434+AR434+AT434+AV434+AX434+AZ434+BB434+BD434+BF434+BH434+BJ434+BL434+BN434+BP434+BR434+BT434+BV434+BX434+BZ434+CB434+CD434+CF434+CH434+CJ434+CL434+CN434+CP434+CR434+CT434</f>
        <v>0</v>
      </c>
      <c r="CV434" s="76"/>
      <c r="CW434" s="76">
        <f>+CV434*1100</f>
        <v>0</v>
      </c>
      <c r="CX434" s="76"/>
      <c r="CY434" s="76">
        <f>+CX434*106250</f>
        <v>0</v>
      </c>
      <c r="CZ434" s="76"/>
      <c r="DA434" s="76">
        <f>+CZ434*34500</f>
        <v>0</v>
      </c>
      <c r="DB434" s="76"/>
      <c r="DC434" s="76">
        <f>+DB434*25000</f>
        <v>0</v>
      </c>
      <c r="DD434" s="219"/>
      <c r="DE434" s="219"/>
      <c r="DF434" s="166"/>
      <c r="DG434" s="116"/>
      <c r="DH434" s="117"/>
      <c r="DI434" s="24"/>
      <c r="DJ434" s="24"/>
      <c r="DK434" s="24"/>
      <c r="DL434" s="24"/>
      <c r="DM434" s="24"/>
      <c r="DN434" s="24"/>
      <c r="DO434" s="24"/>
      <c r="DP434" s="24"/>
      <c r="DQ434" s="24"/>
      <c r="DR434" s="24"/>
      <c r="DS434" s="24"/>
      <c r="DT434" s="24"/>
      <c r="DU434" s="24"/>
    </row>
    <row r="435" spans="1:125" s="8" customFormat="1" ht="24" x14ac:dyDescent="0.2">
      <c r="A435" s="77">
        <v>41303</v>
      </c>
      <c r="B435" s="225" t="s">
        <v>2778</v>
      </c>
      <c r="C435" s="227" t="s">
        <v>2194</v>
      </c>
      <c r="D435" s="81" t="s">
        <v>2846</v>
      </c>
      <c r="E435" s="75" t="str">
        <f>VLOOKUP(B435&amp;C435,Divipola!$C$2:$F$1138,4,FALSE)</f>
        <v>85010</v>
      </c>
      <c r="F435" s="87"/>
      <c r="G435" s="87"/>
      <c r="H435" s="87"/>
      <c r="I435" s="87"/>
      <c r="J435" s="87"/>
      <c r="K435" s="87"/>
      <c r="L435" s="87"/>
      <c r="M435" s="87"/>
      <c r="N435" s="87"/>
      <c r="O435" s="87"/>
      <c r="P435" s="87"/>
      <c r="Q435" s="87"/>
      <c r="R435" s="87"/>
      <c r="S435" s="87"/>
      <c r="T435" s="87"/>
      <c r="U435" s="127">
        <v>3</v>
      </c>
      <c r="V435" s="89"/>
      <c r="W435" s="96">
        <v>0</v>
      </c>
      <c r="X435" s="71">
        <f>CU435</f>
        <v>0</v>
      </c>
      <c r="Y435" s="71">
        <f>CY435</f>
        <v>0</v>
      </c>
      <c r="Z435" s="71">
        <f>DA435+DC435+DE435</f>
        <v>0</v>
      </c>
      <c r="AA435" s="71">
        <f>CW435</f>
        <v>0</v>
      </c>
      <c r="AB435" s="71"/>
      <c r="AC435" s="71">
        <v>0</v>
      </c>
      <c r="AD435" s="71">
        <f>W435+X435+Y435+Z435+AA435+AB435+AC435</f>
        <v>0</v>
      </c>
      <c r="AE435" s="72">
        <v>0</v>
      </c>
      <c r="AF435" s="5"/>
      <c r="AG435" s="6"/>
      <c r="AH435" s="27" t="s">
        <v>3392</v>
      </c>
      <c r="AI435" s="44" t="s">
        <v>3393</v>
      </c>
      <c r="AJ435" s="26"/>
      <c r="AK435" s="5"/>
      <c r="AL435" s="82" t="s">
        <v>3286</v>
      </c>
      <c r="AM435" s="76"/>
      <c r="AN435" s="76"/>
      <c r="AO435" s="76"/>
      <c r="AP435" s="76"/>
      <c r="AQ435" s="76"/>
      <c r="AR435" s="76"/>
      <c r="AS435" s="76"/>
      <c r="AT435" s="76"/>
      <c r="AU435" s="76"/>
      <c r="AV435" s="76"/>
      <c r="AW435" s="76"/>
      <c r="AX435" s="76">
        <f>+AW435*600000</f>
        <v>0</v>
      </c>
      <c r="AY435" s="76"/>
      <c r="AZ435" s="76">
        <f>+AY435*70000</f>
        <v>0</v>
      </c>
      <c r="BA435" s="76"/>
      <c r="BB435" s="76"/>
      <c r="BC435" s="76"/>
      <c r="BD435" s="76">
        <f>+BC435*30000</f>
        <v>0</v>
      </c>
      <c r="BE435" s="76"/>
      <c r="BF435" s="76"/>
      <c r="BG435" s="76"/>
      <c r="BH435" s="76"/>
      <c r="BI435" s="76"/>
      <c r="BJ435" s="76"/>
      <c r="BK435" s="76"/>
      <c r="BL435" s="76">
        <f>+BK435*31500</f>
        <v>0</v>
      </c>
      <c r="BM435" s="76"/>
      <c r="BN435" s="76"/>
      <c r="BO435" s="76"/>
      <c r="BP435" s="76"/>
      <c r="BQ435" s="76"/>
      <c r="BR435" s="76"/>
      <c r="BS435" s="76"/>
      <c r="BT435" s="76"/>
      <c r="BU435" s="76"/>
      <c r="BV435" s="76"/>
      <c r="BW435" s="76"/>
      <c r="BX435" s="76"/>
      <c r="BY435" s="76"/>
      <c r="BZ435" s="76"/>
      <c r="CA435" s="76"/>
      <c r="CB435" s="76"/>
      <c r="CC435" s="76"/>
      <c r="CD435" s="76"/>
      <c r="CE435" s="76"/>
      <c r="CF435" s="76">
        <f>+CE435*28000</f>
        <v>0</v>
      </c>
      <c r="CG435" s="76"/>
      <c r="CH435" s="76">
        <f>+CG435*22500</f>
        <v>0</v>
      </c>
      <c r="CI435" s="76"/>
      <c r="CJ435" s="76">
        <f>+CI435*26000</f>
        <v>0</v>
      </c>
      <c r="CK435" s="76"/>
      <c r="CL435" s="76"/>
      <c r="CM435" s="76"/>
      <c r="CN435" s="76">
        <f>+CM435*22000</f>
        <v>0</v>
      </c>
      <c r="CO435" s="76"/>
      <c r="CP435" s="76">
        <f>+CO435*46000</f>
        <v>0</v>
      </c>
      <c r="CQ435" s="76"/>
      <c r="CR435" s="76">
        <f>+CQ435*49000</f>
        <v>0</v>
      </c>
      <c r="CS435" s="76"/>
      <c r="CT435" s="76"/>
      <c r="CU435" s="56">
        <f>AN435+AP435+AR435+AT435+AV435+AX435+AZ435+BB435+BD435+BF435+BH435+BJ435+BL435+BN435+BP435+BR435+BT435+BV435+BX435+BZ435+CB435+CD435+CF435+CH435+CJ435+CL435+CN435+CP435+CR435+CT435</f>
        <v>0</v>
      </c>
      <c r="CV435" s="76"/>
      <c r="CW435" s="76">
        <f>+CV435*1100</f>
        <v>0</v>
      </c>
      <c r="CX435" s="76"/>
      <c r="CY435" s="76">
        <f>+CX435*106250</f>
        <v>0</v>
      </c>
      <c r="CZ435" s="76"/>
      <c r="DA435" s="76">
        <f>+CZ435*34500</f>
        <v>0</v>
      </c>
      <c r="DB435" s="76"/>
      <c r="DC435" s="76">
        <f>+DB435*25000</f>
        <v>0</v>
      </c>
      <c r="DD435" s="219"/>
      <c r="DE435" s="219"/>
      <c r="DF435" s="166"/>
      <c r="DG435" s="116"/>
      <c r="DH435" s="117"/>
      <c r="DI435" s="24"/>
      <c r="DJ435" s="24"/>
      <c r="DK435" s="24"/>
      <c r="DL435" s="24"/>
      <c r="DM435" s="24"/>
      <c r="DN435" s="24"/>
      <c r="DO435" s="24"/>
      <c r="DP435" s="24"/>
      <c r="DQ435" s="24"/>
      <c r="DR435" s="24"/>
      <c r="DS435" s="24"/>
      <c r="DT435" s="24"/>
      <c r="DU435" s="24"/>
    </row>
    <row r="436" spans="1:125" s="8" customFormat="1" ht="36" x14ac:dyDescent="0.2">
      <c r="A436" s="77">
        <v>41303</v>
      </c>
      <c r="B436" s="352" t="s">
        <v>2778</v>
      </c>
      <c r="C436" s="354" t="s">
        <v>1342</v>
      </c>
      <c r="D436" s="81" t="s">
        <v>2846</v>
      </c>
      <c r="E436" s="75" t="str">
        <f>VLOOKUP(B436&amp;C436,Divipola!$C$2:$F$1138,4,FALSE)</f>
        <v>85263</v>
      </c>
      <c r="F436" s="87"/>
      <c r="G436" s="87"/>
      <c r="H436" s="87"/>
      <c r="I436" s="87"/>
      <c r="J436" s="87"/>
      <c r="K436" s="87"/>
      <c r="L436" s="87"/>
      <c r="M436" s="87"/>
      <c r="N436" s="87"/>
      <c r="O436" s="87"/>
      <c r="P436" s="87"/>
      <c r="Q436" s="87"/>
      <c r="R436" s="87"/>
      <c r="S436" s="87"/>
      <c r="T436" s="87"/>
      <c r="U436" s="127"/>
      <c r="V436" s="89"/>
      <c r="W436" s="96">
        <v>0</v>
      </c>
      <c r="X436" s="71">
        <f>CU436</f>
        <v>0</v>
      </c>
      <c r="Y436" s="71">
        <f>CY436</f>
        <v>0</v>
      </c>
      <c r="Z436" s="71">
        <f>DA436+DC436+DE436</f>
        <v>0</v>
      </c>
      <c r="AA436" s="71">
        <f>CW436</f>
        <v>0</v>
      </c>
      <c r="AB436" s="71"/>
      <c r="AC436" s="71">
        <v>0</v>
      </c>
      <c r="AD436" s="71">
        <f>W436+X436+Y436+Z436+AA436+AB436+AC436</f>
        <v>0</v>
      </c>
      <c r="AE436" s="72">
        <v>0</v>
      </c>
      <c r="AF436" s="5"/>
      <c r="AG436" s="6"/>
      <c r="AH436" s="27" t="s">
        <v>3392</v>
      </c>
      <c r="AI436" s="44" t="s">
        <v>3393</v>
      </c>
      <c r="AJ436" s="26"/>
      <c r="AK436" s="5"/>
      <c r="AL436" s="82" t="s">
        <v>3287</v>
      </c>
      <c r="AM436" s="76"/>
      <c r="AN436" s="76"/>
      <c r="AO436" s="76"/>
      <c r="AP436" s="76"/>
      <c r="AQ436" s="76"/>
      <c r="AR436" s="76"/>
      <c r="AS436" s="76"/>
      <c r="AT436" s="76"/>
      <c r="AU436" s="76"/>
      <c r="AV436" s="76"/>
      <c r="AW436" s="76"/>
      <c r="AX436" s="76">
        <f>+AW436*600000</f>
        <v>0</v>
      </c>
      <c r="AY436" s="76"/>
      <c r="AZ436" s="76">
        <f>+AY436*70000</f>
        <v>0</v>
      </c>
      <c r="BA436" s="76"/>
      <c r="BB436" s="76"/>
      <c r="BC436" s="76"/>
      <c r="BD436" s="76">
        <f>+BC436*30000</f>
        <v>0</v>
      </c>
      <c r="BE436" s="76"/>
      <c r="BF436" s="76"/>
      <c r="BG436" s="76"/>
      <c r="BH436" s="76"/>
      <c r="BI436" s="76"/>
      <c r="BJ436" s="76"/>
      <c r="BK436" s="76"/>
      <c r="BL436" s="76">
        <f>+BK436*31500</f>
        <v>0</v>
      </c>
      <c r="BM436" s="76"/>
      <c r="BN436" s="76"/>
      <c r="BO436" s="76"/>
      <c r="BP436" s="76"/>
      <c r="BQ436" s="76"/>
      <c r="BR436" s="76"/>
      <c r="BS436" s="76"/>
      <c r="BT436" s="76"/>
      <c r="BU436" s="76"/>
      <c r="BV436" s="76"/>
      <c r="BW436" s="76"/>
      <c r="BX436" s="76"/>
      <c r="BY436" s="76"/>
      <c r="BZ436" s="76"/>
      <c r="CA436" s="76"/>
      <c r="CB436" s="76"/>
      <c r="CC436" s="76"/>
      <c r="CD436" s="76"/>
      <c r="CE436" s="76"/>
      <c r="CF436" s="76">
        <f>+CE436*28000</f>
        <v>0</v>
      </c>
      <c r="CG436" s="76"/>
      <c r="CH436" s="76">
        <f>+CG436*22500</f>
        <v>0</v>
      </c>
      <c r="CI436" s="76"/>
      <c r="CJ436" s="76">
        <f>+CI436*26000</f>
        <v>0</v>
      </c>
      <c r="CK436" s="76"/>
      <c r="CL436" s="76"/>
      <c r="CM436" s="76"/>
      <c r="CN436" s="76">
        <f>+CM436*22000</f>
        <v>0</v>
      </c>
      <c r="CO436" s="76"/>
      <c r="CP436" s="76">
        <f>+CO436*46000</f>
        <v>0</v>
      </c>
      <c r="CQ436" s="76"/>
      <c r="CR436" s="76">
        <f>+CQ436*49000</f>
        <v>0</v>
      </c>
      <c r="CS436" s="76"/>
      <c r="CT436" s="76"/>
      <c r="CU436" s="56">
        <f>AN436+AP436+AR436+AT436+AV436+AX436+AZ436+BB436+BD436+BF436+BH436+BJ436+BL436+BN436+BP436+BR436+BT436+BV436+BX436+BZ436+CB436+CD436+CF436+CH436+CJ436+CL436+CN436+CP436+CR436+CT436</f>
        <v>0</v>
      </c>
      <c r="CV436" s="76"/>
      <c r="CW436" s="76">
        <f>+CV436*1100</f>
        <v>0</v>
      </c>
      <c r="CX436" s="76"/>
      <c r="CY436" s="76">
        <f>+CX436*106250</f>
        <v>0</v>
      </c>
      <c r="CZ436" s="76"/>
      <c r="DA436" s="76">
        <f>+CZ436*34500</f>
        <v>0</v>
      </c>
      <c r="DB436" s="76"/>
      <c r="DC436" s="76">
        <f>+DB436*25000</f>
        <v>0</v>
      </c>
      <c r="DD436" s="219"/>
      <c r="DE436" s="219"/>
      <c r="DF436" s="166"/>
      <c r="DG436" s="116"/>
      <c r="DH436" s="117"/>
      <c r="DI436" s="24"/>
      <c r="DJ436" s="24"/>
      <c r="DK436" s="24"/>
      <c r="DL436" s="24"/>
      <c r="DM436" s="24"/>
      <c r="DN436" s="24"/>
      <c r="DO436" s="24"/>
      <c r="DP436" s="24"/>
      <c r="DQ436" s="24"/>
      <c r="DR436" s="24"/>
      <c r="DS436" s="24"/>
      <c r="DT436" s="24"/>
      <c r="DU436" s="24"/>
    </row>
    <row r="437" spans="1:125" s="8" customFormat="1" ht="84" x14ac:dyDescent="0.2">
      <c r="A437" s="77">
        <v>41303</v>
      </c>
      <c r="B437" s="78" t="s">
        <v>2772</v>
      </c>
      <c r="C437" s="75" t="s">
        <v>1052</v>
      </c>
      <c r="D437" s="81" t="s">
        <v>2846</v>
      </c>
      <c r="E437" s="75" t="str">
        <f>VLOOKUP(B437&amp;C437,Divipola!$C$2:$F$1138,4,FALSE)</f>
        <v>25279</v>
      </c>
      <c r="F437" s="87"/>
      <c r="G437" s="87"/>
      <c r="H437" s="87"/>
      <c r="I437" s="87"/>
      <c r="J437" s="87"/>
      <c r="K437" s="87"/>
      <c r="L437" s="87"/>
      <c r="M437" s="87"/>
      <c r="N437" s="87"/>
      <c r="O437" s="87"/>
      <c r="P437" s="87"/>
      <c r="Q437" s="87"/>
      <c r="R437" s="87"/>
      <c r="S437" s="87"/>
      <c r="T437" s="87"/>
      <c r="U437" s="127">
        <v>1</v>
      </c>
      <c r="V437" s="89"/>
      <c r="W437" s="96">
        <v>0</v>
      </c>
      <c r="X437" s="71">
        <f>CU437</f>
        <v>0</v>
      </c>
      <c r="Y437" s="71">
        <f>CY437</f>
        <v>0</v>
      </c>
      <c r="Z437" s="71">
        <f>DA437+DC437+DE437</f>
        <v>0</v>
      </c>
      <c r="AA437" s="71">
        <f>CW437</f>
        <v>0</v>
      </c>
      <c r="AB437" s="71"/>
      <c r="AC437" s="71">
        <v>0</v>
      </c>
      <c r="AD437" s="71">
        <f>W437+X437+Y437+Z437+AA437+AB437+AC437</f>
        <v>0</v>
      </c>
      <c r="AE437" s="72">
        <v>0</v>
      </c>
      <c r="AF437" s="5"/>
      <c r="AG437" s="6"/>
      <c r="AH437" s="27" t="s">
        <v>3392</v>
      </c>
      <c r="AI437" s="44" t="s">
        <v>3393</v>
      </c>
      <c r="AJ437" s="26"/>
      <c r="AK437" s="5"/>
      <c r="AL437" s="82" t="s">
        <v>3294</v>
      </c>
      <c r="AM437" s="76"/>
      <c r="AN437" s="76"/>
      <c r="AO437" s="76"/>
      <c r="AP437" s="76"/>
      <c r="AQ437" s="76"/>
      <c r="AR437" s="76"/>
      <c r="AS437" s="76"/>
      <c r="AT437" s="76"/>
      <c r="AU437" s="76"/>
      <c r="AV437" s="76"/>
      <c r="AW437" s="76"/>
      <c r="AX437" s="76">
        <f>+AW437*600000</f>
        <v>0</v>
      </c>
      <c r="AY437" s="76"/>
      <c r="AZ437" s="76">
        <f>+AY437*70000</f>
        <v>0</v>
      </c>
      <c r="BA437" s="76"/>
      <c r="BB437" s="76"/>
      <c r="BC437" s="76"/>
      <c r="BD437" s="76">
        <f>+BC437*30000</f>
        <v>0</v>
      </c>
      <c r="BE437" s="76"/>
      <c r="BF437" s="76"/>
      <c r="BG437" s="76"/>
      <c r="BH437" s="76"/>
      <c r="BI437" s="76"/>
      <c r="BJ437" s="76"/>
      <c r="BK437" s="76"/>
      <c r="BL437" s="76">
        <f>+BK437*31500</f>
        <v>0</v>
      </c>
      <c r="BM437" s="76"/>
      <c r="BN437" s="76"/>
      <c r="BO437" s="76"/>
      <c r="BP437" s="76"/>
      <c r="BQ437" s="76"/>
      <c r="BR437" s="76"/>
      <c r="BS437" s="76"/>
      <c r="BT437" s="76"/>
      <c r="BU437" s="76"/>
      <c r="BV437" s="76"/>
      <c r="BW437" s="76"/>
      <c r="BX437" s="76"/>
      <c r="BY437" s="76"/>
      <c r="BZ437" s="76"/>
      <c r="CA437" s="76"/>
      <c r="CB437" s="76"/>
      <c r="CC437" s="76"/>
      <c r="CD437" s="76"/>
      <c r="CE437" s="76"/>
      <c r="CF437" s="76">
        <f>+CE437*28000</f>
        <v>0</v>
      </c>
      <c r="CG437" s="76"/>
      <c r="CH437" s="76">
        <f>+CG437*22500</f>
        <v>0</v>
      </c>
      <c r="CI437" s="76"/>
      <c r="CJ437" s="76">
        <f>+CI437*26000</f>
        <v>0</v>
      </c>
      <c r="CK437" s="76"/>
      <c r="CL437" s="76"/>
      <c r="CM437" s="76"/>
      <c r="CN437" s="76">
        <f>+CM437*22000</f>
        <v>0</v>
      </c>
      <c r="CO437" s="76"/>
      <c r="CP437" s="76">
        <f>+CO437*46000</f>
        <v>0</v>
      </c>
      <c r="CQ437" s="76"/>
      <c r="CR437" s="76">
        <f>+CQ437*49000</f>
        <v>0</v>
      </c>
      <c r="CS437" s="76"/>
      <c r="CT437" s="76"/>
      <c r="CU437" s="56">
        <f>AN437+AP437+AR437+AT437+AV437+AX437+AZ437+BB437+BD437+BF437+BH437+BJ437+BL437+BN437+BP437+BR437+BT437+BV437+BX437+BZ437+CB437+CD437+CF437+CH437+CJ437+CL437+CN437+CP437+CR437+CT437</f>
        <v>0</v>
      </c>
      <c r="CV437" s="76"/>
      <c r="CW437" s="76">
        <f>+CV437*1100</f>
        <v>0</v>
      </c>
      <c r="CX437" s="76"/>
      <c r="CY437" s="76">
        <f>+CX437*106250</f>
        <v>0</v>
      </c>
      <c r="CZ437" s="76"/>
      <c r="DA437" s="76">
        <f>+CZ437*34500</f>
        <v>0</v>
      </c>
      <c r="DB437" s="76"/>
      <c r="DC437" s="76">
        <f>+DB437*25000</f>
        <v>0</v>
      </c>
      <c r="DD437" s="219"/>
      <c r="DE437" s="219"/>
      <c r="DF437" s="166"/>
      <c r="DG437" s="116"/>
      <c r="DH437" s="117"/>
      <c r="DI437" s="24"/>
      <c r="DJ437" s="24"/>
      <c r="DK437" s="24"/>
      <c r="DL437" s="24"/>
      <c r="DM437" s="24"/>
      <c r="DN437" s="24"/>
      <c r="DO437" s="24"/>
      <c r="DP437" s="24"/>
      <c r="DQ437" s="24"/>
      <c r="DR437" s="24"/>
      <c r="DS437" s="24"/>
      <c r="DT437" s="24"/>
      <c r="DU437" s="24"/>
    </row>
    <row r="438" spans="1:125" s="8" customFormat="1" ht="48" x14ac:dyDescent="0.2">
      <c r="A438" s="77">
        <v>41303</v>
      </c>
      <c r="B438" s="78" t="s">
        <v>2772</v>
      </c>
      <c r="C438" s="83" t="s">
        <v>1062</v>
      </c>
      <c r="D438" s="81" t="s">
        <v>2846</v>
      </c>
      <c r="E438" s="75" t="str">
        <f>VLOOKUP(B438&amp;C438,Divipola!$C$2:$F$1138,4,FALSE)</f>
        <v>25293</v>
      </c>
      <c r="F438" s="93"/>
      <c r="G438" s="93"/>
      <c r="H438" s="93"/>
      <c r="I438" s="93"/>
      <c r="J438" s="93"/>
      <c r="K438" s="93"/>
      <c r="L438" s="93"/>
      <c r="M438" s="93"/>
      <c r="N438" s="93"/>
      <c r="O438" s="93"/>
      <c r="P438" s="93"/>
      <c r="Q438" s="93"/>
      <c r="R438" s="93"/>
      <c r="S438" s="93"/>
      <c r="T438" s="93"/>
      <c r="U438" s="125">
        <v>3</v>
      </c>
      <c r="V438" s="89"/>
      <c r="W438" s="96">
        <v>0</v>
      </c>
      <c r="X438" s="71">
        <f>CU438</f>
        <v>0</v>
      </c>
      <c r="Y438" s="71">
        <f>CY438</f>
        <v>0</v>
      </c>
      <c r="Z438" s="71">
        <f>DA438+DC438+DE438</f>
        <v>0</v>
      </c>
      <c r="AA438" s="71">
        <f>CW438</f>
        <v>0</v>
      </c>
      <c r="AB438" s="71"/>
      <c r="AC438" s="71">
        <v>0</v>
      </c>
      <c r="AD438" s="71">
        <f>W438+X438+Y438+Z438+AA438+AB438+AC438</f>
        <v>0</v>
      </c>
      <c r="AE438" s="72">
        <v>0</v>
      </c>
      <c r="AF438" s="5"/>
      <c r="AG438" s="6"/>
      <c r="AH438" s="27" t="s">
        <v>3392</v>
      </c>
      <c r="AI438" s="44" t="s">
        <v>3393</v>
      </c>
      <c r="AJ438" s="26"/>
      <c r="AK438" s="5"/>
      <c r="AL438" s="82" t="s">
        <v>3292</v>
      </c>
      <c r="AM438" s="76"/>
      <c r="AN438" s="76"/>
      <c r="AO438" s="76"/>
      <c r="AP438" s="76"/>
      <c r="AQ438" s="76"/>
      <c r="AR438" s="76"/>
      <c r="AS438" s="76"/>
      <c r="AT438" s="76"/>
      <c r="AU438" s="76"/>
      <c r="AV438" s="76"/>
      <c r="AW438" s="76"/>
      <c r="AX438" s="76">
        <f>+AW438*600000</f>
        <v>0</v>
      </c>
      <c r="AY438" s="76"/>
      <c r="AZ438" s="76">
        <f>+AY438*70000</f>
        <v>0</v>
      </c>
      <c r="BA438" s="76"/>
      <c r="BB438" s="76"/>
      <c r="BC438" s="76"/>
      <c r="BD438" s="76">
        <f>+BC438*30000</f>
        <v>0</v>
      </c>
      <c r="BE438" s="76"/>
      <c r="BF438" s="76"/>
      <c r="BG438" s="76"/>
      <c r="BH438" s="76"/>
      <c r="BI438" s="76"/>
      <c r="BJ438" s="76"/>
      <c r="BK438" s="76"/>
      <c r="BL438" s="76">
        <f>+BK438*31500</f>
        <v>0</v>
      </c>
      <c r="BM438" s="76"/>
      <c r="BN438" s="76"/>
      <c r="BO438" s="76"/>
      <c r="BP438" s="76"/>
      <c r="BQ438" s="76"/>
      <c r="BR438" s="76"/>
      <c r="BS438" s="76"/>
      <c r="BT438" s="76"/>
      <c r="BU438" s="76"/>
      <c r="BV438" s="76"/>
      <c r="BW438" s="76"/>
      <c r="BX438" s="76"/>
      <c r="BY438" s="76"/>
      <c r="BZ438" s="76"/>
      <c r="CA438" s="76"/>
      <c r="CB438" s="76"/>
      <c r="CC438" s="76"/>
      <c r="CD438" s="76"/>
      <c r="CE438" s="76"/>
      <c r="CF438" s="76">
        <f>+CE438*28000</f>
        <v>0</v>
      </c>
      <c r="CG438" s="76"/>
      <c r="CH438" s="76">
        <f>+CG438*22500</f>
        <v>0</v>
      </c>
      <c r="CI438" s="76"/>
      <c r="CJ438" s="76">
        <f>+CI438*26000</f>
        <v>0</v>
      </c>
      <c r="CK438" s="76"/>
      <c r="CL438" s="76"/>
      <c r="CM438" s="76"/>
      <c r="CN438" s="76">
        <f>+CM438*22000</f>
        <v>0</v>
      </c>
      <c r="CO438" s="76"/>
      <c r="CP438" s="76">
        <f>+CO438*46000</f>
        <v>0</v>
      </c>
      <c r="CQ438" s="76"/>
      <c r="CR438" s="76">
        <f>+CQ438*49000</f>
        <v>0</v>
      </c>
      <c r="CS438" s="76"/>
      <c r="CT438" s="76"/>
      <c r="CU438" s="56">
        <f>AN438+AP438+AR438+AT438+AV438+AX438+AZ438+BB438+BD438+BF438+BH438+BJ438+BL438+BN438+BP438+BR438+BT438+BV438+BX438+BZ438+CB438+CD438+CF438+CH438+CJ438+CL438+CN438+CP438+CR438+CT438</f>
        <v>0</v>
      </c>
      <c r="CV438" s="76"/>
      <c r="CW438" s="76">
        <f>+CV438*1100</f>
        <v>0</v>
      </c>
      <c r="CX438" s="76"/>
      <c r="CY438" s="76">
        <f>+CX438*106250</f>
        <v>0</v>
      </c>
      <c r="CZ438" s="76"/>
      <c r="DA438" s="76">
        <f>+CZ438*34500</f>
        <v>0</v>
      </c>
      <c r="DB438" s="76"/>
      <c r="DC438" s="76">
        <f>+DB438*25000</f>
        <v>0</v>
      </c>
      <c r="DD438" s="219"/>
      <c r="DE438" s="219"/>
      <c r="DF438" s="166"/>
      <c r="DG438" s="116"/>
      <c r="DH438" s="117"/>
      <c r="DI438" s="24"/>
      <c r="DJ438" s="24"/>
      <c r="DK438" s="24"/>
      <c r="DL438" s="24"/>
      <c r="DM438" s="24"/>
      <c r="DN438" s="24"/>
      <c r="DO438" s="24"/>
      <c r="DP438" s="24"/>
      <c r="DQ438" s="24"/>
      <c r="DR438" s="24"/>
      <c r="DS438" s="24"/>
      <c r="DT438" s="24"/>
      <c r="DU438" s="24"/>
    </row>
    <row r="439" spans="1:125" s="8" customFormat="1" ht="84" x14ac:dyDescent="0.2">
      <c r="A439" s="77">
        <v>41303</v>
      </c>
      <c r="B439" s="78" t="s">
        <v>2772</v>
      </c>
      <c r="C439" s="75" t="s">
        <v>1389</v>
      </c>
      <c r="D439" s="81" t="s">
        <v>2846</v>
      </c>
      <c r="E439" s="75" t="str">
        <f>VLOOKUP(B439&amp;C439,Divipola!$C$2:$F$1138,4,FALSE)</f>
        <v>25335</v>
      </c>
      <c r="F439" s="87"/>
      <c r="G439" s="87"/>
      <c r="H439" s="87"/>
      <c r="I439" s="87"/>
      <c r="J439" s="87"/>
      <c r="K439" s="87"/>
      <c r="L439" s="87"/>
      <c r="M439" s="87"/>
      <c r="N439" s="87"/>
      <c r="O439" s="87"/>
      <c r="P439" s="87"/>
      <c r="Q439" s="87"/>
      <c r="R439" s="87"/>
      <c r="S439" s="87"/>
      <c r="T439" s="87"/>
      <c r="U439" s="127">
        <v>5</v>
      </c>
      <c r="V439" s="89"/>
      <c r="W439" s="96">
        <v>0</v>
      </c>
      <c r="X439" s="71">
        <f>CU439</f>
        <v>0</v>
      </c>
      <c r="Y439" s="71">
        <f>CY439</f>
        <v>0</v>
      </c>
      <c r="Z439" s="71">
        <f>DA439+DC439+DE439</f>
        <v>0</v>
      </c>
      <c r="AA439" s="71">
        <f>CW439</f>
        <v>0</v>
      </c>
      <c r="AB439" s="71"/>
      <c r="AC439" s="71">
        <v>0</v>
      </c>
      <c r="AD439" s="71">
        <f>W439+X439+Y439+Z439+AA439+AB439+AC439</f>
        <v>0</v>
      </c>
      <c r="AE439" s="72">
        <v>0</v>
      </c>
      <c r="AF439" s="5"/>
      <c r="AG439" s="6"/>
      <c r="AH439" s="27" t="s">
        <v>3392</v>
      </c>
      <c r="AI439" s="44" t="s">
        <v>3393</v>
      </c>
      <c r="AJ439" s="26"/>
      <c r="AK439" s="5"/>
      <c r="AL439" s="82" t="s">
        <v>3297</v>
      </c>
      <c r="AM439" s="76"/>
      <c r="AN439" s="76"/>
      <c r="AO439" s="76"/>
      <c r="AP439" s="76"/>
      <c r="AQ439" s="76"/>
      <c r="AR439" s="76"/>
      <c r="AS439" s="76"/>
      <c r="AT439" s="76"/>
      <c r="AU439" s="76"/>
      <c r="AV439" s="76"/>
      <c r="AW439" s="76"/>
      <c r="AX439" s="76">
        <f>+AW439*600000</f>
        <v>0</v>
      </c>
      <c r="AY439" s="76"/>
      <c r="AZ439" s="76">
        <f>+AY439*70000</f>
        <v>0</v>
      </c>
      <c r="BA439" s="76"/>
      <c r="BB439" s="76"/>
      <c r="BC439" s="76"/>
      <c r="BD439" s="76">
        <f>+BC439*30000</f>
        <v>0</v>
      </c>
      <c r="BE439" s="76"/>
      <c r="BF439" s="76"/>
      <c r="BG439" s="76"/>
      <c r="BH439" s="76"/>
      <c r="BI439" s="76"/>
      <c r="BJ439" s="76"/>
      <c r="BK439" s="76"/>
      <c r="BL439" s="76">
        <f>+BK439*31500</f>
        <v>0</v>
      </c>
      <c r="BM439" s="76"/>
      <c r="BN439" s="76"/>
      <c r="BO439" s="76"/>
      <c r="BP439" s="76"/>
      <c r="BQ439" s="76"/>
      <c r="BR439" s="76"/>
      <c r="BS439" s="76"/>
      <c r="BT439" s="76"/>
      <c r="BU439" s="76"/>
      <c r="BV439" s="76"/>
      <c r="BW439" s="76"/>
      <c r="BX439" s="76"/>
      <c r="BY439" s="76"/>
      <c r="BZ439" s="76"/>
      <c r="CA439" s="76"/>
      <c r="CB439" s="76"/>
      <c r="CC439" s="76"/>
      <c r="CD439" s="76"/>
      <c r="CE439" s="76"/>
      <c r="CF439" s="76">
        <f>+CE439*28000</f>
        <v>0</v>
      </c>
      <c r="CG439" s="76"/>
      <c r="CH439" s="76">
        <f>+CG439*22500</f>
        <v>0</v>
      </c>
      <c r="CI439" s="76"/>
      <c r="CJ439" s="76">
        <f>+CI439*26000</f>
        <v>0</v>
      </c>
      <c r="CK439" s="76"/>
      <c r="CL439" s="76"/>
      <c r="CM439" s="76"/>
      <c r="CN439" s="76">
        <f>+CM439*22000</f>
        <v>0</v>
      </c>
      <c r="CO439" s="76"/>
      <c r="CP439" s="76">
        <f>+CO439*46000</f>
        <v>0</v>
      </c>
      <c r="CQ439" s="76"/>
      <c r="CR439" s="76">
        <f>+CQ439*49000</f>
        <v>0</v>
      </c>
      <c r="CS439" s="76"/>
      <c r="CT439" s="76"/>
      <c r="CU439" s="56">
        <f>AN439+AP439+AR439+AT439+AV439+AX439+AZ439+BB439+BD439+BF439+BH439+BJ439+BL439+BN439+BP439+BR439+BT439+BV439+BX439+BZ439+CB439+CD439+CF439+CH439+CJ439+CL439+CN439+CP439+CR439+CT439</f>
        <v>0</v>
      </c>
      <c r="CV439" s="76"/>
      <c r="CW439" s="76">
        <f>+CV439*1100</f>
        <v>0</v>
      </c>
      <c r="CX439" s="76"/>
      <c r="CY439" s="76">
        <f>+CX439*106250</f>
        <v>0</v>
      </c>
      <c r="CZ439" s="76"/>
      <c r="DA439" s="76">
        <f>+CZ439*34500</f>
        <v>0</v>
      </c>
      <c r="DB439" s="76"/>
      <c r="DC439" s="76">
        <f>+DB439*25000</f>
        <v>0</v>
      </c>
      <c r="DD439" s="219"/>
      <c r="DE439" s="219"/>
      <c r="DF439" s="166"/>
      <c r="DG439" s="116"/>
      <c r="DH439" s="117"/>
      <c r="DI439" s="24"/>
      <c r="DJ439" s="24"/>
      <c r="DK439" s="24"/>
      <c r="DL439" s="24"/>
      <c r="DM439" s="24"/>
      <c r="DN439" s="24"/>
      <c r="DO439" s="24"/>
      <c r="DP439" s="24"/>
      <c r="DQ439" s="24"/>
      <c r="DR439" s="24"/>
      <c r="DS439" s="24"/>
      <c r="DT439" s="24"/>
      <c r="DU439" s="24"/>
    </row>
    <row r="440" spans="1:125" s="8" customFormat="1" ht="96" x14ac:dyDescent="0.2">
      <c r="A440" s="77">
        <v>41303</v>
      </c>
      <c r="B440" s="225" t="s">
        <v>2772</v>
      </c>
      <c r="C440" s="227" t="s">
        <v>1088</v>
      </c>
      <c r="D440" s="81" t="s">
        <v>2846</v>
      </c>
      <c r="E440" s="75" t="str">
        <f>VLOOKUP(B440&amp;C440,Divipola!$C$2:$F$1138,4,FALSE)</f>
        <v>25339</v>
      </c>
      <c r="F440" s="87"/>
      <c r="G440" s="87"/>
      <c r="H440" s="87"/>
      <c r="I440" s="87"/>
      <c r="J440" s="87"/>
      <c r="K440" s="87"/>
      <c r="L440" s="87"/>
      <c r="M440" s="87"/>
      <c r="N440" s="87"/>
      <c r="O440" s="87"/>
      <c r="P440" s="87"/>
      <c r="Q440" s="87"/>
      <c r="R440" s="87"/>
      <c r="S440" s="87"/>
      <c r="T440" s="87"/>
      <c r="U440" s="127">
        <v>7</v>
      </c>
      <c r="V440" s="89"/>
      <c r="W440" s="96">
        <v>0</v>
      </c>
      <c r="X440" s="71">
        <f>CU440</f>
        <v>0</v>
      </c>
      <c r="Y440" s="71">
        <f>CY440</f>
        <v>0</v>
      </c>
      <c r="Z440" s="71">
        <f>DA440+DC440+DE440</f>
        <v>0</v>
      </c>
      <c r="AA440" s="71">
        <f>CW440</f>
        <v>0</v>
      </c>
      <c r="AB440" s="71"/>
      <c r="AC440" s="71">
        <v>0</v>
      </c>
      <c r="AD440" s="71">
        <f>W440+X440+Y440+Z440+AA440+AB440+AC440</f>
        <v>0</v>
      </c>
      <c r="AE440" s="72">
        <v>0</v>
      </c>
      <c r="AF440" s="5"/>
      <c r="AG440" s="6"/>
      <c r="AH440" s="27" t="s">
        <v>3392</v>
      </c>
      <c r="AI440" s="44" t="s">
        <v>3393</v>
      </c>
      <c r="AJ440" s="26"/>
      <c r="AK440" s="5"/>
      <c r="AL440" s="82" t="s">
        <v>3289</v>
      </c>
      <c r="AM440" s="76"/>
      <c r="AN440" s="76"/>
      <c r="AO440" s="76"/>
      <c r="AP440" s="76"/>
      <c r="AQ440" s="76"/>
      <c r="AR440" s="76"/>
      <c r="AS440" s="76"/>
      <c r="AT440" s="76"/>
      <c r="AU440" s="76"/>
      <c r="AV440" s="76"/>
      <c r="AW440" s="76"/>
      <c r="AX440" s="76">
        <f>+AW440*600000</f>
        <v>0</v>
      </c>
      <c r="AY440" s="76"/>
      <c r="AZ440" s="76">
        <f>+AY440*70000</f>
        <v>0</v>
      </c>
      <c r="BA440" s="76"/>
      <c r="BB440" s="76"/>
      <c r="BC440" s="76"/>
      <c r="BD440" s="76">
        <f>+BC440*30000</f>
        <v>0</v>
      </c>
      <c r="BE440" s="76"/>
      <c r="BF440" s="76"/>
      <c r="BG440" s="76"/>
      <c r="BH440" s="76"/>
      <c r="BI440" s="76"/>
      <c r="BJ440" s="76"/>
      <c r="BK440" s="76"/>
      <c r="BL440" s="76">
        <f>+BK440*31500</f>
        <v>0</v>
      </c>
      <c r="BM440" s="76"/>
      <c r="BN440" s="76"/>
      <c r="BO440" s="76"/>
      <c r="BP440" s="76"/>
      <c r="BQ440" s="76"/>
      <c r="BR440" s="76"/>
      <c r="BS440" s="76"/>
      <c r="BT440" s="76"/>
      <c r="BU440" s="76"/>
      <c r="BV440" s="76"/>
      <c r="BW440" s="76"/>
      <c r="BX440" s="76"/>
      <c r="BY440" s="76"/>
      <c r="BZ440" s="76"/>
      <c r="CA440" s="76"/>
      <c r="CB440" s="76"/>
      <c r="CC440" s="76"/>
      <c r="CD440" s="76"/>
      <c r="CE440" s="76"/>
      <c r="CF440" s="76">
        <f>+CE440*28000</f>
        <v>0</v>
      </c>
      <c r="CG440" s="76"/>
      <c r="CH440" s="76">
        <f>+CG440*22500</f>
        <v>0</v>
      </c>
      <c r="CI440" s="76"/>
      <c r="CJ440" s="76">
        <f>+CI440*26000</f>
        <v>0</v>
      </c>
      <c r="CK440" s="76"/>
      <c r="CL440" s="76"/>
      <c r="CM440" s="76"/>
      <c r="CN440" s="76">
        <f>+CM440*22000</f>
        <v>0</v>
      </c>
      <c r="CO440" s="76"/>
      <c r="CP440" s="76">
        <f>+CO440*46000</f>
        <v>0</v>
      </c>
      <c r="CQ440" s="76"/>
      <c r="CR440" s="76">
        <f>+CQ440*49000</f>
        <v>0</v>
      </c>
      <c r="CS440" s="76"/>
      <c r="CT440" s="76"/>
      <c r="CU440" s="56">
        <f>AN440+AP440+AR440+AT440+AV440+AX440+AZ440+BB440+BD440+BF440+BH440+BJ440+BL440+BN440+BP440+BR440+BT440+BV440+BX440+BZ440+CB440+CD440+CF440+CH440+CJ440+CL440+CN440+CP440+CR440+CT440</f>
        <v>0</v>
      </c>
      <c r="CV440" s="76"/>
      <c r="CW440" s="76">
        <f>+CV440*1100</f>
        <v>0</v>
      </c>
      <c r="CX440" s="76"/>
      <c r="CY440" s="76">
        <f>+CX440*106250</f>
        <v>0</v>
      </c>
      <c r="CZ440" s="76"/>
      <c r="DA440" s="76">
        <f>+CZ440*34500</f>
        <v>0</v>
      </c>
      <c r="DB440" s="76"/>
      <c r="DC440" s="76">
        <f>+DB440*25000</f>
        <v>0</v>
      </c>
      <c r="DD440" s="219"/>
      <c r="DE440" s="219"/>
      <c r="DF440" s="166"/>
      <c r="DG440" s="116"/>
      <c r="DH440" s="117"/>
      <c r="DI440" s="24"/>
      <c r="DJ440" s="24"/>
      <c r="DK440" s="24"/>
      <c r="DL440" s="24"/>
      <c r="DM440" s="24"/>
      <c r="DN440" s="24"/>
      <c r="DO440" s="24"/>
      <c r="DP440" s="24"/>
      <c r="DQ440" s="24"/>
      <c r="DR440" s="24"/>
      <c r="DS440" s="24"/>
      <c r="DT440" s="24"/>
      <c r="DU440" s="24"/>
    </row>
    <row r="441" spans="1:125" s="8" customFormat="1" ht="132" x14ac:dyDescent="0.2">
      <c r="A441" s="77">
        <v>41303</v>
      </c>
      <c r="B441" s="78" t="s">
        <v>2772</v>
      </c>
      <c r="C441" s="75" t="s">
        <v>1088</v>
      </c>
      <c r="D441" s="81" t="s">
        <v>2846</v>
      </c>
      <c r="E441" s="75" t="str">
        <f>VLOOKUP(B441&amp;C441,Divipola!$C$2:$F$1138,4,FALSE)</f>
        <v>25339</v>
      </c>
      <c r="F441" s="87"/>
      <c r="G441" s="87"/>
      <c r="H441" s="87"/>
      <c r="I441" s="87"/>
      <c r="J441" s="87"/>
      <c r="K441" s="87"/>
      <c r="L441" s="87"/>
      <c r="M441" s="87"/>
      <c r="N441" s="87"/>
      <c r="O441" s="87"/>
      <c r="P441" s="87"/>
      <c r="Q441" s="87"/>
      <c r="R441" s="87"/>
      <c r="S441" s="87"/>
      <c r="T441" s="87"/>
      <c r="U441" s="127">
        <v>50</v>
      </c>
      <c r="V441" s="89"/>
      <c r="W441" s="96">
        <v>0</v>
      </c>
      <c r="X441" s="71">
        <f>CU441</f>
        <v>0</v>
      </c>
      <c r="Y441" s="71">
        <f>CY441</f>
        <v>0</v>
      </c>
      <c r="Z441" s="71">
        <f>DA441+DC441+DE441</f>
        <v>0</v>
      </c>
      <c r="AA441" s="71">
        <f>CW441</f>
        <v>0</v>
      </c>
      <c r="AB441" s="71"/>
      <c r="AC441" s="71">
        <v>0</v>
      </c>
      <c r="AD441" s="71">
        <f>W441+X441+Y441+Z441+AA441+AB441+AC441</f>
        <v>0</v>
      </c>
      <c r="AE441" s="72">
        <v>0</v>
      </c>
      <c r="AF441" s="5"/>
      <c r="AG441" s="6"/>
      <c r="AH441" s="27" t="s">
        <v>3392</v>
      </c>
      <c r="AI441" s="44" t="s">
        <v>3393</v>
      </c>
      <c r="AJ441" s="26"/>
      <c r="AK441" s="5"/>
      <c r="AL441" s="82" t="s">
        <v>3300</v>
      </c>
      <c r="AM441" s="76"/>
      <c r="AN441" s="76"/>
      <c r="AO441" s="76"/>
      <c r="AP441" s="76"/>
      <c r="AQ441" s="76"/>
      <c r="AR441" s="76"/>
      <c r="AS441" s="76"/>
      <c r="AT441" s="76"/>
      <c r="AU441" s="76"/>
      <c r="AV441" s="76"/>
      <c r="AW441" s="76"/>
      <c r="AX441" s="76">
        <f>+AW441*600000</f>
        <v>0</v>
      </c>
      <c r="AY441" s="76"/>
      <c r="AZ441" s="76">
        <f>+AY441*70000</f>
        <v>0</v>
      </c>
      <c r="BA441" s="76"/>
      <c r="BB441" s="76"/>
      <c r="BC441" s="76"/>
      <c r="BD441" s="76">
        <f>+BC441*30000</f>
        <v>0</v>
      </c>
      <c r="BE441" s="76"/>
      <c r="BF441" s="76"/>
      <c r="BG441" s="76"/>
      <c r="BH441" s="76"/>
      <c r="BI441" s="76"/>
      <c r="BJ441" s="76"/>
      <c r="BK441" s="76"/>
      <c r="BL441" s="76">
        <f>+BK441*31500</f>
        <v>0</v>
      </c>
      <c r="BM441" s="76"/>
      <c r="BN441" s="76"/>
      <c r="BO441" s="76"/>
      <c r="BP441" s="76"/>
      <c r="BQ441" s="76"/>
      <c r="BR441" s="76"/>
      <c r="BS441" s="76"/>
      <c r="BT441" s="76"/>
      <c r="BU441" s="76"/>
      <c r="BV441" s="76"/>
      <c r="BW441" s="76"/>
      <c r="BX441" s="76"/>
      <c r="BY441" s="76"/>
      <c r="BZ441" s="76"/>
      <c r="CA441" s="76"/>
      <c r="CB441" s="76"/>
      <c r="CC441" s="76"/>
      <c r="CD441" s="76"/>
      <c r="CE441" s="76"/>
      <c r="CF441" s="76">
        <f>+CE441*28000</f>
        <v>0</v>
      </c>
      <c r="CG441" s="76"/>
      <c r="CH441" s="76">
        <f>+CG441*22500</f>
        <v>0</v>
      </c>
      <c r="CI441" s="76"/>
      <c r="CJ441" s="76">
        <f>+CI441*26000</f>
        <v>0</v>
      </c>
      <c r="CK441" s="76"/>
      <c r="CL441" s="76"/>
      <c r="CM441" s="76"/>
      <c r="CN441" s="76">
        <f>+CM441*22000</f>
        <v>0</v>
      </c>
      <c r="CO441" s="76"/>
      <c r="CP441" s="76">
        <f>+CO441*46000</f>
        <v>0</v>
      </c>
      <c r="CQ441" s="76"/>
      <c r="CR441" s="76">
        <f>+CQ441*49000</f>
        <v>0</v>
      </c>
      <c r="CS441" s="76"/>
      <c r="CT441" s="76"/>
      <c r="CU441" s="56">
        <f>AN441+AP441+AR441+AT441+AV441+AX441+AZ441+BB441+BD441+BF441+BH441+BJ441+BL441+BN441+BP441+BR441+BT441+BV441+BX441+BZ441+CB441+CD441+CF441+CH441+CJ441+CL441+CN441+CP441+CR441+CT441</f>
        <v>0</v>
      </c>
      <c r="CV441" s="76"/>
      <c r="CW441" s="76">
        <f>+CV441*1100</f>
        <v>0</v>
      </c>
      <c r="CX441" s="76"/>
      <c r="CY441" s="76">
        <f>+CX441*106250</f>
        <v>0</v>
      </c>
      <c r="CZ441" s="76"/>
      <c r="DA441" s="76">
        <f>+CZ441*34500</f>
        <v>0</v>
      </c>
      <c r="DB441" s="76"/>
      <c r="DC441" s="76">
        <f>+DB441*25000</f>
        <v>0</v>
      </c>
      <c r="DD441" s="219"/>
      <c r="DE441" s="219"/>
      <c r="DF441" s="166"/>
      <c r="DG441" s="116"/>
      <c r="DH441" s="117"/>
      <c r="DI441" s="24"/>
      <c r="DJ441" s="24"/>
      <c r="DK441" s="24"/>
      <c r="DL441" s="24"/>
      <c r="DM441" s="24"/>
      <c r="DN441" s="24"/>
      <c r="DO441" s="24"/>
      <c r="DP441" s="24"/>
      <c r="DQ441" s="24"/>
      <c r="DR441" s="24"/>
      <c r="DS441" s="24"/>
      <c r="DT441" s="24"/>
      <c r="DU441" s="24"/>
    </row>
    <row r="442" spans="1:125" s="8" customFormat="1" ht="72" x14ac:dyDescent="0.2">
      <c r="A442" s="77">
        <v>41303</v>
      </c>
      <c r="B442" s="84" t="s">
        <v>2772</v>
      </c>
      <c r="C442" s="84" t="s">
        <v>2829</v>
      </c>
      <c r="D442" s="81" t="s">
        <v>2846</v>
      </c>
      <c r="E442" s="75" t="str">
        <f>VLOOKUP(B442&amp;C442,Divipola!$C$2:$F$1138,4,FALSE)</f>
        <v>25372</v>
      </c>
      <c r="F442" s="89"/>
      <c r="G442" s="89"/>
      <c r="H442" s="89"/>
      <c r="I442" s="89"/>
      <c r="J442" s="89"/>
      <c r="K442" s="89"/>
      <c r="L442" s="89"/>
      <c r="M442" s="89"/>
      <c r="N442" s="89"/>
      <c r="O442" s="89"/>
      <c r="P442" s="89"/>
      <c r="Q442" s="89"/>
      <c r="R442" s="89"/>
      <c r="S442" s="89"/>
      <c r="T442" s="89"/>
      <c r="U442" s="126">
        <v>4</v>
      </c>
      <c r="V442" s="89"/>
      <c r="W442" s="96">
        <v>0</v>
      </c>
      <c r="X442" s="71">
        <f>CU442</f>
        <v>0</v>
      </c>
      <c r="Y442" s="71">
        <f>CY442</f>
        <v>0</v>
      </c>
      <c r="Z442" s="71">
        <f>DA442+DC442+DE442</f>
        <v>0</v>
      </c>
      <c r="AA442" s="71">
        <f>CW442</f>
        <v>0</v>
      </c>
      <c r="AB442" s="71"/>
      <c r="AC442" s="71">
        <v>0</v>
      </c>
      <c r="AD442" s="71">
        <f>W442+X442+Y442+Z442+AA442+AB442+AC442</f>
        <v>0</v>
      </c>
      <c r="AE442" s="72">
        <v>0</v>
      </c>
      <c r="AF442" s="5"/>
      <c r="AG442" s="6"/>
      <c r="AH442" s="27" t="s">
        <v>3392</v>
      </c>
      <c r="AI442" s="44" t="s">
        <v>3393</v>
      </c>
      <c r="AJ442" s="26"/>
      <c r="AK442" s="5"/>
      <c r="AL442" s="82" t="s">
        <v>3293</v>
      </c>
      <c r="AM442" s="76"/>
      <c r="AN442" s="76"/>
      <c r="AO442" s="76"/>
      <c r="AP442" s="76"/>
      <c r="AQ442" s="76"/>
      <c r="AR442" s="76"/>
      <c r="AS442" s="76"/>
      <c r="AT442" s="76"/>
      <c r="AU442" s="76"/>
      <c r="AV442" s="76"/>
      <c r="AW442" s="76"/>
      <c r="AX442" s="76">
        <f>+AW442*600000</f>
        <v>0</v>
      </c>
      <c r="AY442" s="76"/>
      <c r="AZ442" s="76">
        <f>+AY442*70000</f>
        <v>0</v>
      </c>
      <c r="BA442" s="76"/>
      <c r="BB442" s="76"/>
      <c r="BC442" s="76"/>
      <c r="BD442" s="76">
        <f>+BC442*30000</f>
        <v>0</v>
      </c>
      <c r="BE442" s="76"/>
      <c r="BF442" s="76"/>
      <c r="BG442" s="76"/>
      <c r="BH442" s="76"/>
      <c r="BI442" s="76"/>
      <c r="BJ442" s="76"/>
      <c r="BK442" s="76"/>
      <c r="BL442" s="76">
        <f>+BK442*31500</f>
        <v>0</v>
      </c>
      <c r="BM442" s="76"/>
      <c r="BN442" s="76"/>
      <c r="BO442" s="76"/>
      <c r="BP442" s="76"/>
      <c r="BQ442" s="76"/>
      <c r="BR442" s="76"/>
      <c r="BS442" s="76"/>
      <c r="BT442" s="76"/>
      <c r="BU442" s="76"/>
      <c r="BV442" s="76"/>
      <c r="BW442" s="76"/>
      <c r="BX442" s="76"/>
      <c r="BY442" s="76"/>
      <c r="BZ442" s="76"/>
      <c r="CA442" s="76"/>
      <c r="CB442" s="76"/>
      <c r="CC442" s="76"/>
      <c r="CD442" s="76"/>
      <c r="CE442" s="76"/>
      <c r="CF442" s="76">
        <f>+CE442*28000</f>
        <v>0</v>
      </c>
      <c r="CG442" s="76"/>
      <c r="CH442" s="76">
        <f>+CG442*22500</f>
        <v>0</v>
      </c>
      <c r="CI442" s="76"/>
      <c r="CJ442" s="76">
        <f>+CI442*26000</f>
        <v>0</v>
      </c>
      <c r="CK442" s="76"/>
      <c r="CL442" s="76"/>
      <c r="CM442" s="76"/>
      <c r="CN442" s="76">
        <f>+CM442*22000</f>
        <v>0</v>
      </c>
      <c r="CO442" s="76"/>
      <c r="CP442" s="76">
        <f>+CO442*46000</f>
        <v>0</v>
      </c>
      <c r="CQ442" s="76"/>
      <c r="CR442" s="76">
        <f>+CQ442*49000</f>
        <v>0</v>
      </c>
      <c r="CS442" s="76"/>
      <c r="CT442" s="76"/>
      <c r="CU442" s="56">
        <f>AN442+AP442+AR442+AT442+AV442+AX442+AZ442+BB442+BD442+BF442+BH442+BJ442+BL442+BN442+BP442+BR442+BT442+BV442+BX442+BZ442+CB442+CD442+CF442+CH442+CJ442+CL442+CN442+CP442+CR442+CT442</f>
        <v>0</v>
      </c>
      <c r="CV442" s="76"/>
      <c r="CW442" s="76">
        <f>+CV442*1100</f>
        <v>0</v>
      </c>
      <c r="CX442" s="76"/>
      <c r="CY442" s="76">
        <f>+CX442*106250</f>
        <v>0</v>
      </c>
      <c r="CZ442" s="76"/>
      <c r="DA442" s="76">
        <f>+CZ442*34500</f>
        <v>0</v>
      </c>
      <c r="DB442" s="76"/>
      <c r="DC442" s="76">
        <f>+DB442*25000</f>
        <v>0</v>
      </c>
      <c r="DD442" s="219"/>
      <c r="DE442" s="219"/>
      <c r="DF442" s="166"/>
      <c r="DG442" s="116"/>
      <c r="DH442" s="117"/>
      <c r="DI442" s="24"/>
      <c r="DJ442" s="24"/>
      <c r="DK442" s="24"/>
      <c r="DL442" s="24"/>
      <c r="DM442" s="24"/>
      <c r="DN442" s="24"/>
      <c r="DO442" s="24"/>
      <c r="DP442" s="24"/>
      <c r="DQ442" s="24"/>
      <c r="DR442" s="24"/>
      <c r="DS442" s="24"/>
      <c r="DT442" s="24"/>
      <c r="DU442" s="24"/>
    </row>
    <row r="443" spans="1:125" s="8" customFormat="1" ht="96" x14ac:dyDescent="0.2">
      <c r="A443" s="77">
        <v>41303</v>
      </c>
      <c r="B443" s="225" t="s">
        <v>2772</v>
      </c>
      <c r="C443" s="227" t="s">
        <v>2167</v>
      </c>
      <c r="D443" s="81" t="s">
        <v>2846</v>
      </c>
      <c r="E443" s="75" t="str">
        <f>VLOOKUP(B443&amp;C443,Divipola!$C$2:$F$1138,4,FALSE)</f>
        <v>25377</v>
      </c>
      <c r="F443" s="100"/>
      <c r="G443" s="100"/>
      <c r="H443" s="100"/>
      <c r="I443" s="100"/>
      <c r="J443" s="100"/>
      <c r="K443" s="100"/>
      <c r="L443" s="100"/>
      <c r="M443" s="100"/>
      <c r="N443" s="100"/>
      <c r="O443" s="100"/>
      <c r="P443" s="100"/>
      <c r="Q443" s="100"/>
      <c r="R443" s="100"/>
      <c r="S443" s="100"/>
      <c r="T443" s="100"/>
      <c r="U443" s="130">
        <v>3</v>
      </c>
      <c r="V443" s="89"/>
      <c r="W443" s="96">
        <v>0</v>
      </c>
      <c r="X443" s="71">
        <f>CU443</f>
        <v>0</v>
      </c>
      <c r="Y443" s="71">
        <f>CY443</f>
        <v>0</v>
      </c>
      <c r="Z443" s="71">
        <f>DA443+DC443+DE443</f>
        <v>0</v>
      </c>
      <c r="AA443" s="71">
        <f>CW443</f>
        <v>0</v>
      </c>
      <c r="AB443" s="71"/>
      <c r="AC443" s="71">
        <v>0</v>
      </c>
      <c r="AD443" s="71">
        <f>W443+X443+Y443+Z443+AA443+AB443+AC443</f>
        <v>0</v>
      </c>
      <c r="AE443" s="72">
        <v>0</v>
      </c>
      <c r="AF443" s="5"/>
      <c r="AG443" s="6"/>
      <c r="AH443" s="27" t="s">
        <v>3392</v>
      </c>
      <c r="AI443" s="44" t="s">
        <v>3393</v>
      </c>
      <c r="AJ443" s="26"/>
      <c r="AK443" s="5"/>
      <c r="AL443" s="82" t="s">
        <v>3295</v>
      </c>
      <c r="AM443" s="76"/>
      <c r="AN443" s="76"/>
      <c r="AO443" s="76"/>
      <c r="AP443" s="76"/>
      <c r="AQ443" s="76"/>
      <c r="AR443" s="76"/>
      <c r="AS443" s="76"/>
      <c r="AT443" s="76"/>
      <c r="AU443" s="76"/>
      <c r="AV443" s="76"/>
      <c r="AW443" s="76"/>
      <c r="AX443" s="76">
        <f>+AW443*600000</f>
        <v>0</v>
      </c>
      <c r="AY443" s="76"/>
      <c r="AZ443" s="76">
        <f>+AY443*70000</f>
        <v>0</v>
      </c>
      <c r="BA443" s="76"/>
      <c r="BB443" s="76"/>
      <c r="BC443" s="76"/>
      <c r="BD443" s="76">
        <f>+BC443*30000</f>
        <v>0</v>
      </c>
      <c r="BE443" s="76"/>
      <c r="BF443" s="76"/>
      <c r="BG443" s="76"/>
      <c r="BH443" s="76"/>
      <c r="BI443" s="76"/>
      <c r="BJ443" s="76"/>
      <c r="BK443" s="76"/>
      <c r="BL443" s="76">
        <f>+BK443*31500</f>
        <v>0</v>
      </c>
      <c r="BM443" s="76"/>
      <c r="BN443" s="76"/>
      <c r="BO443" s="76"/>
      <c r="BP443" s="76"/>
      <c r="BQ443" s="76"/>
      <c r="BR443" s="76"/>
      <c r="BS443" s="76"/>
      <c r="BT443" s="76"/>
      <c r="BU443" s="76"/>
      <c r="BV443" s="76"/>
      <c r="BW443" s="76"/>
      <c r="BX443" s="76"/>
      <c r="BY443" s="76"/>
      <c r="BZ443" s="76"/>
      <c r="CA443" s="76"/>
      <c r="CB443" s="76"/>
      <c r="CC443" s="76"/>
      <c r="CD443" s="76"/>
      <c r="CE443" s="76"/>
      <c r="CF443" s="76">
        <f>+CE443*28000</f>
        <v>0</v>
      </c>
      <c r="CG443" s="76"/>
      <c r="CH443" s="76">
        <f>+CG443*22500</f>
        <v>0</v>
      </c>
      <c r="CI443" s="76"/>
      <c r="CJ443" s="76">
        <f>+CI443*26000</f>
        <v>0</v>
      </c>
      <c r="CK443" s="76"/>
      <c r="CL443" s="76"/>
      <c r="CM443" s="76"/>
      <c r="CN443" s="76">
        <f>+CM443*22000</f>
        <v>0</v>
      </c>
      <c r="CO443" s="76"/>
      <c r="CP443" s="76">
        <f>+CO443*46000</f>
        <v>0</v>
      </c>
      <c r="CQ443" s="76"/>
      <c r="CR443" s="76">
        <f>+CQ443*49000</f>
        <v>0</v>
      </c>
      <c r="CS443" s="76"/>
      <c r="CT443" s="76"/>
      <c r="CU443" s="56">
        <f>AN443+AP443+AR443+AT443+AV443+AX443+AZ443+BB443+BD443+BF443+BH443+BJ443+BL443+BN443+BP443+BR443+BT443+BV443+BX443+BZ443+CB443+CD443+CF443+CH443+CJ443+CL443+CN443+CP443+CR443+CT443</f>
        <v>0</v>
      </c>
      <c r="CV443" s="76"/>
      <c r="CW443" s="76">
        <f>+CV443*1100</f>
        <v>0</v>
      </c>
      <c r="CX443" s="76"/>
      <c r="CY443" s="76">
        <f>+CX443*106250</f>
        <v>0</v>
      </c>
      <c r="CZ443" s="76"/>
      <c r="DA443" s="76">
        <f>+CZ443*34500</f>
        <v>0</v>
      </c>
      <c r="DB443" s="76"/>
      <c r="DC443" s="76">
        <f>+DB443*25000</f>
        <v>0</v>
      </c>
      <c r="DD443" s="219"/>
      <c r="DE443" s="219"/>
      <c r="DF443" s="166"/>
      <c r="DG443" s="116"/>
      <c r="DH443" s="117"/>
      <c r="DI443" s="24"/>
      <c r="DJ443" s="24"/>
      <c r="DK443" s="24"/>
      <c r="DL443" s="24"/>
      <c r="DM443" s="24"/>
      <c r="DN443" s="24"/>
      <c r="DO443" s="24"/>
      <c r="DP443" s="24"/>
      <c r="DQ443" s="24"/>
      <c r="DR443" s="24"/>
      <c r="DS443" s="24"/>
      <c r="DT443" s="24"/>
      <c r="DU443" s="24"/>
    </row>
    <row r="444" spans="1:125" s="8" customFormat="1" ht="72" x14ac:dyDescent="0.2">
      <c r="A444" s="77">
        <v>41303</v>
      </c>
      <c r="B444" s="78" t="s">
        <v>2772</v>
      </c>
      <c r="C444" s="75" t="s">
        <v>1095</v>
      </c>
      <c r="D444" s="81" t="s">
        <v>2846</v>
      </c>
      <c r="E444" s="75" t="str">
        <f>VLOOKUP(B444&amp;C444,Divipola!$C$2:$F$1138,4,FALSE)</f>
        <v>25386</v>
      </c>
      <c r="F444" s="87"/>
      <c r="G444" s="87"/>
      <c r="H444" s="87"/>
      <c r="I444" s="87"/>
      <c r="J444" s="87"/>
      <c r="K444" s="87"/>
      <c r="L444" s="87"/>
      <c r="M444" s="87"/>
      <c r="N444" s="87"/>
      <c r="O444" s="87"/>
      <c r="P444" s="87"/>
      <c r="Q444" s="87"/>
      <c r="R444" s="87"/>
      <c r="S444" s="87"/>
      <c r="T444" s="87"/>
      <c r="U444" s="127">
        <v>0.5</v>
      </c>
      <c r="V444" s="89"/>
      <c r="W444" s="96">
        <v>0</v>
      </c>
      <c r="X444" s="71">
        <f>CU444</f>
        <v>0</v>
      </c>
      <c r="Y444" s="71">
        <f>CY444</f>
        <v>0</v>
      </c>
      <c r="Z444" s="71">
        <f>DA444+DC444+DE444</f>
        <v>0</v>
      </c>
      <c r="AA444" s="71">
        <f>CW444</f>
        <v>0</v>
      </c>
      <c r="AB444" s="71"/>
      <c r="AC444" s="71">
        <v>0</v>
      </c>
      <c r="AD444" s="71">
        <f>W444+X444+Y444+Z444+AA444+AB444+AC444</f>
        <v>0</v>
      </c>
      <c r="AE444" s="72">
        <v>0</v>
      </c>
      <c r="AF444" s="5"/>
      <c r="AG444" s="6"/>
      <c r="AH444" s="27" t="s">
        <v>3392</v>
      </c>
      <c r="AI444" s="44" t="s">
        <v>3393</v>
      </c>
      <c r="AJ444" s="26"/>
      <c r="AK444" s="5"/>
      <c r="AL444" s="82" t="s">
        <v>3291</v>
      </c>
      <c r="AM444" s="76"/>
      <c r="AN444" s="76"/>
      <c r="AO444" s="76"/>
      <c r="AP444" s="76"/>
      <c r="AQ444" s="76"/>
      <c r="AR444" s="76"/>
      <c r="AS444" s="76"/>
      <c r="AT444" s="76"/>
      <c r="AU444" s="76"/>
      <c r="AV444" s="76"/>
      <c r="AW444" s="76"/>
      <c r="AX444" s="76">
        <f>+AW444*600000</f>
        <v>0</v>
      </c>
      <c r="AY444" s="76"/>
      <c r="AZ444" s="76">
        <f>+AY444*70000</f>
        <v>0</v>
      </c>
      <c r="BA444" s="76"/>
      <c r="BB444" s="76"/>
      <c r="BC444" s="76"/>
      <c r="BD444" s="76">
        <f>+BC444*30000</f>
        <v>0</v>
      </c>
      <c r="BE444" s="76"/>
      <c r="BF444" s="76"/>
      <c r="BG444" s="76"/>
      <c r="BH444" s="76"/>
      <c r="BI444" s="76"/>
      <c r="BJ444" s="76"/>
      <c r="BK444" s="76"/>
      <c r="BL444" s="76">
        <f>+BK444*31500</f>
        <v>0</v>
      </c>
      <c r="BM444" s="76"/>
      <c r="BN444" s="76"/>
      <c r="BO444" s="76"/>
      <c r="BP444" s="76"/>
      <c r="BQ444" s="76"/>
      <c r="BR444" s="76"/>
      <c r="BS444" s="76"/>
      <c r="BT444" s="76"/>
      <c r="BU444" s="76"/>
      <c r="BV444" s="76"/>
      <c r="BW444" s="76"/>
      <c r="BX444" s="76"/>
      <c r="BY444" s="76"/>
      <c r="BZ444" s="76"/>
      <c r="CA444" s="76"/>
      <c r="CB444" s="76"/>
      <c r="CC444" s="76"/>
      <c r="CD444" s="76"/>
      <c r="CE444" s="76"/>
      <c r="CF444" s="76">
        <f>+CE444*28000</f>
        <v>0</v>
      </c>
      <c r="CG444" s="76"/>
      <c r="CH444" s="76">
        <f>+CG444*22500</f>
        <v>0</v>
      </c>
      <c r="CI444" s="76"/>
      <c r="CJ444" s="76">
        <f>+CI444*26000</f>
        <v>0</v>
      </c>
      <c r="CK444" s="76"/>
      <c r="CL444" s="76"/>
      <c r="CM444" s="76"/>
      <c r="CN444" s="76">
        <f>+CM444*22000</f>
        <v>0</v>
      </c>
      <c r="CO444" s="76"/>
      <c r="CP444" s="76">
        <f>+CO444*46000</f>
        <v>0</v>
      </c>
      <c r="CQ444" s="76"/>
      <c r="CR444" s="76">
        <f>+CQ444*49000</f>
        <v>0</v>
      </c>
      <c r="CS444" s="76"/>
      <c r="CT444" s="76"/>
      <c r="CU444" s="56">
        <f>AN444+AP444+AR444+AT444+AV444+AX444+AZ444+BB444+BD444+BF444+BH444+BJ444+BL444+BN444+BP444+BR444+BT444+BV444+BX444+BZ444+CB444+CD444+CF444+CH444+CJ444+CL444+CN444+CP444+CR444+CT444</f>
        <v>0</v>
      </c>
      <c r="CV444" s="76"/>
      <c r="CW444" s="76">
        <f>+CV444*1100</f>
        <v>0</v>
      </c>
      <c r="CX444" s="76"/>
      <c r="CY444" s="76">
        <f>+CX444*106250</f>
        <v>0</v>
      </c>
      <c r="CZ444" s="76"/>
      <c r="DA444" s="76">
        <f>+CZ444*34500</f>
        <v>0</v>
      </c>
      <c r="DB444" s="76"/>
      <c r="DC444" s="76">
        <f>+DB444*25000</f>
        <v>0</v>
      </c>
      <c r="DD444" s="219"/>
      <c r="DE444" s="219"/>
      <c r="DF444" s="166"/>
      <c r="DG444" s="116"/>
      <c r="DH444" s="117"/>
      <c r="DI444" s="24"/>
      <c r="DJ444" s="24"/>
      <c r="DK444" s="24"/>
      <c r="DL444" s="24"/>
      <c r="DM444" s="24"/>
      <c r="DN444" s="24"/>
      <c r="DO444" s="24"/>
      <c r="DP444" s="24"/>
      <c r="DQ444" s="24"/>
      <c r="DR444" s="24"/>
      <c r="DS444" s="24"/>
      <c r="DT444" s="24"/>
      <c r="DU444" s="24"/>
    </row>
    <row r="445" spans="1:125" s="8" customFormat="1" ht="36" x14ac:dyDescent="0.2">
      <c r="A445" s="77">
        <v>41303</v>
      </c>
      <c r="B445" s="78" t="s">
        <v>2772</v>
      </c>
      <c r="C445" s="75" t="s">
        <v>1095</v>
      </c>
      <c r="D445" s="81" t="s">
        <v>2846</v>
      </c>
      <c r="E445" s="75" t="str">
        <f>VLOOKUP(B445&amp;C445,Divipola!$C$2:$F$1138,4,FALSE)</f>
        <v>25386</v>
      </c>
      <c r="F445" s="87"/>
      <c r="G445" s="87"/>
      <c r="H445" s="87"/>
      <c r="I445" s="87"/>
      <c r="J445" s="87"/>
      <c r="K445" s="87"/>
      <c r="L445" s="87"/>
      <c r="M445" s="87"/>
      <c r="N445" s="87"/>
      <c r="O445" s="87"/>
      <c r="P445" s="87"/>
      <c r="Q445" s="87"/>
      <c r="R445" s="87"/>
      <c r="S445" s="87"/>
      <c r="T445" s="87"/>
      <c r="U445" s="127"/>
      <c r="V445" s="89"/>
      <c r="W445" s="96">
        <v>0</v>
      </c>
      <c r="X445" s="71">
        <f>CU445</f>
        <v>0</v>
      </c>
      <c r="Y445" s="71">
        <f>CY445</f>
        <v>0</v>
      </c>
      <c r="Z445" s="71">
        <f>DA445+DC445+DE445</f>
        <v>0</v>
      </c>
      <c r="AA445" s="71">
        <f>CW445</f>
        <v>0</v>
      </c>
      <c r="AB445" s="71"/>
      <c r="AC445" s="71">
        <v>0</v>
      </c>
      <c r="AD445" s="71">
        <f>W445+X445+Y445+Z445+AA445+AB445+AC445</f>
        <v>0</v>
      </c>
      <c r="AE445" s="72">
        <v>0</v>
      </c>
      <c r="AF445" s="5"/>
      <c r="AG445" s="6"/>
      <c r="AH445" s="27" t="s">
        <v>3392</v>
      </c>
      <c r="AI445" s="44" t="s">
        <v>3393</v>
      </c>
      <c r="AJ445" s="26"/>
      <c r="AK445" s="5"/>
      <c r="AL445" s="82" t="s">
        <v>3296</v>
      </c>
      <c r="AM445" s="76"/>
      <c r="AN445" s="76"/>
      <c r="AO445" s="76"/>
      <c r="AP445" s="76"/>
      <c r="AQ445" s="76"/>
      <c r="AR445" s="76"/>
      <c r="AS445" s="76"/>
      <c r="AT445" s="76"/>
      <c r="AU445" s="76"/>
      <c r="AV445" s="76"/>
      <c r="AW445" s="76"/>
      <c r="AX445" s="76">
        <f>+AW445*600000</f>
        <v>0</v>
      </c>
      <c r="AY445" s="76"/>
      <c r="AZ445" s="76">
        <f>+AY445*70000</f>
        <v>0</v>
      </c>
      <c r="BA445" s="76"/>
      <c r="BB445" s="76"/>
      <c r="BC445" s="76"/>
      <c r="BD445" s="76">
        <f>+BC445*30000</f>
        <v>0</v>
      </c>
      <c r="BE445" s="76"/>
      <c r="BF445" s="76"/>
      <c r="BG445" s="76"/>
      <c r="BH445" s="76"/>
      <c r="BI445" s="76"/>
      <c r="BJ445" s="76"/>
      <c r="BK445" s="76"/>
      <c r="BL445" s="76">
        <f>+BK445*31500</f>
        <v>0</v>
      </c>
      <c r="BM445" s="76"/>
      <c r="BN445" s="76"/>
      <c r="BO445" s="76"/>
      <c r="BP445" s="76"/>
      <c r="BQ445" s="76"/>
      <c r="BR445" s="76"/>
      <c r="BS445" s="76"/>
      <c r="BT445" s="76"/>
      <c r="BU445" s="76"/>
      <c r="BV445" s="76"/>
      <c r="BW445" s="76"/>
      <c r="BX445" s="76"/>
      <c r="BY445" s="76"/>
      <c r="BZ445" s="76"/>
      <c r="CA445" s="76"/>
      <c r="CB445" s="76"/>
      <c r="CC445" s="76"/>
      <c r="CD445" s="76"/>
      <c r="CE445" s="76"/>
      <c r="CF445" s="76">
        <f>+CE445*28000</f>
        <v>0</v>
      </c>
      <c r="CG445" s="76"/>
      <c r="CH445" s="76">
        <f>+CG445*22500</f>
        <v>0</v>
      </c>
      <c r="CI445" s="76"/>
      <c r="CJ445" s="76">
        <f>+CI445*26000</f>
        <v>0</v>
      </c>
      <c r="CK445" s="76"/>
      <c r="CL445" s="76"/>
      <c r="CM445" s="76"/>
      <c r="CN445" s="76">
        <f>+CM445*22000</f>
        <v>0</v>
      </c>
      <c r="CO445" s="76"/>
      <c r="CP445" s="76">
        <f>+CO445*46000</f>
        <v>0</v>
      </c>
      <c r="CQ445" s="76"/>
      <c r="CR445" s="76">
        <f>+CQ445*49000</f>
        <v>0</v>
      </c>
      <c r="CS445" s="76"/>
      <c r="CT445" s="76"/>
      <c r="CU445" s="56">
        <f>AN445+AP445+AR445+AT445+AV445+AX445+AZ445+BB445+BD445+BF445+BH445+BJ445+BL445+BN445+BP445+BR445+BT445+BV445+BX445+BZ445+CB445+CD445+CF445+CH445+CJ445+CL445+CN445+CP445+CR445+CT445</f>
        <v>0</v>
      </c>
      <c r="CV445" s="76"/>
      <c r="CW445" s="76">
        <f>+CV445*1100</f>
        <v>0</v>
      </c>
      <c r="CX445" s="76"/>
      <c r="CY445" s="76">
        <f>+CX445*106250</f>
        <v>0</v>
      </c>
      <c r="CZ445" s="76"/>
      <c r="DA445" s="76">
        <f>+CZ445*34500</f>
        <v>0</v>
      </c>
      <c r="DB445" s="76"/>
      <c r="DC445" s="76">
        <f>+DB445*25000</f>
        <v>0</v>
      </c>
      <c r="DD445" s="219"/>
      <c r="DE445" s="219"/>
      <c r="DF445" s="166"/>
      <c r="DG445" s="116"/>
      <c r="DH445" s="117"/>
      <c r="DI445" s="24"/>
      <c r="DJ445" s="24"/>
      <c r="DK445" s="24"/>
      <c r="DL445" s="24"/>
      <c r="DM445" s="24"/>
      <c r="DN445" s="24"/>
      <c r="DO445" s="24"/>
      <c r="DP445" s="24"/>
      <c r="DQ445" s="24"/>
      <c r="DR445" s="24"/>
      <c r="DS445" s="24"/>
      <c r="DT445" s="24"/>
      <c r="DU445" s="24"/>
    </row>
    <row r="446" spans="1:125" s="8" customFormat="1" ht="84" x14ac:dyDescent="0.2">
      <c r="A446" s="77">
        <v>41303</v>
      </c>
      <c r="B446" s="78" t="s">
        <v>2772</v>
      </c>
      <c r="C446" s="75" t="s">
        <v>1095</v>
      </c>
      <c r="D446" s="81" t="s">
        <v>2846</v>
      </c>
      <c r="E446" s="75" t="str">
        <f>VLOOKUP(B446&amp;C446,Divipola!$C$2:$F$1138,4,FALSE)</f>
        <v>25386</v>
      </c>
      <c r="F446" s="87"/>
      <c r="G446" s="87"/>
      <c r="H446" s="87"/>
      <c r="I446" s="87"/>
      <c r="J446" s="87"/>
      <c r="K446" s="87"/>
      <c r="L446" s="87"/>
      <c r="M446" s="87"/>
      <c r="N446" s="87"/>
      <c r="O446" s="87"/>
      <c r="P446" s="87"/>
      <c r="Q446" s="87"/>
      <c r="R446" s="87"/>
      <c r="S446" s="87"/>
      <c r="T446" s="87"/>
      <c r="U446" s="127">
        <v>1</v>
      </c>
      <c r="V446" s="89"/>
      <c r="W446" s="96">
        <v>0</v>
      </c>
      <c r="X446" s="71">
        <f>CU446</f>
        <v>0</v>
      </c>
      <c r="Y446" s="71">
        <f>CY446</f>
        <v>0</v>
      </c>
      <c r="Z446" s="71">
        <f>DA446+DC446+DE446</f>
        <v>0</v>
      </c>
      <c r="AA446" s="71">
        <f>CW446</f>
        <v>0</v>
      </c>
      <c r="AB446" s="71"/>
      <c r="AC446" s="71">
        <v>0</v>
      </c>
      <c r="AD446" s="71">
        <f>W446+X446+Y446+Z446+AA446+AB446+AC446</f>
        <v>0</v>
      </c>
      <c r="AE446" s="72">
        <v>0</v>
      </c>
      <c r="AF446" s="5"/>
      <c r="AG446" s="6"/>
      <c r="AH446" s="27" t="s">
        <v>3392</v>
      </c>
      <c r="AI446" s="44" t="s">
        <v>3393</v>
      </c>
      <c r="AJ446" s="26"/>
      <c r="AK446" s="5"/>
      <c r="AL446" s="82" t="s">
        <v>3298</v>
      </c>
      <c r="AM446" s="76"/>
      <c r="AN446" s="76"/>
      <c r="AO446" s="76"/>
      <c r="AP446" s="76"/>
      <c r="AQ446" s="76"/>
      <c r="AR446" s="76"/>
      <c r="AS446" s="76"/>
      <c r="AT446" s="76"/>
      <c r="AU446" s="76"/>
      <c r="AV446" s="76"/>
      <c r="AW446" s="76"/>
      <c r="AX446" s="76">
        <f>+AW446*600000</f>
        <v>0</v>
      </c>
      <c r="AY446" s="76"/>
      <c r="AZ446" s="76">
        <f>+AY446*70000</f>
        <v>0</v>
      </c>
      <c r="BA446" s="76"/>
      <c r="BB446" s="76"/>
      <c r="BC446" s="76"/>
      <c r="BD446" s="76">
        <f>+BC446*30000</f>
        <v>0</v>
      </c>
      <c r="BE446" s="76"/>
      <c r="BF446" s="76"/>
      <c r="BG446" s="76"/>
      <c r="BH446" s="76"/>
      <c r="BI446" s="76"/>
      <c r="BJ446" s="76"/>
      <c r="BK446" s="76"/>
      <c r="BL446" s="76">
        <f>+BK446*31500</f>
        <v>0</v>
      </c>
      <c r="BM446" s="76"/>
      <c r="BN446" s="76"/>
      <c r="BO446" s="76"/>
      <c r="BP446" s="76"/>
      <c r="BQ446" s="76"/>
      <c r="BR446" s="76"/>
      <c r="BS446" s="76"/>
      <c r="BT446" s="76"/>
      <c r="BU446" s="76"/>
      <c r="BV446" s="76"/>
      <c r="BW446" s="76"/>
      <c r="BX446" s="76"/>
      <c r="BY446" s="76"/>
      <c r="BZ446" s="76"/>
      <c r="CA446" s="76"/>
      <c r="CB446" s="76"/>
      <c r="CC446" s="76"/>
      <c r="CD446" s="76"/>
      <c r="CE446" s="76"/>
      <c r="CF446" s="76">
        <f>+CE446*28000</f>
        <v>0</v>
      </c>
      <c r="CG446" s="76"/>
      <c r="CH446" s="76">
        <f>+CG446*22500</f>
        <v>0</v>
      </c>
      <c r="CI446" s="76"/>
      <c r="CJ446" s="76">
        <f>+CI446*26000</f>
        <v>0</v>
      </c>
      <c r="CK446" s="76"/>
      <c r="CL446" s="76"/>
      <c r="CM446" s="76"/>
      <c r="CN446" s="76">
        <f>+CM446*22000</f>
        <v>0</v>
      </c>
      <c r="CO446" s="76"/>
      <c r="CP446" s="76">
        <f>+CO446*46000</f>
        <v>0</v>
      </c>
      <c r="CQ446" s="76"/>
      <c r="CR446" s="76">
        <f>+CQ446*49000</f>
        <v>0</v>
      </c>
      <c r="CS446" s="76"/>
      <c r="CT446" s="76"/>
      <c r="CU446" s="56">
        <f>AN446+AP446+AR446+AT446+AV446+AX446+AZ446+BB446+BD446+BF446+BH446+BJ446+BL446+BN446+BP446+BR446+BT446+BV446+BX446+BZ446+CB446+CD446+CF446+CH446+CJ446+CL446+CN446+CP446+CR446+CT446</f>
        <v>0</v>
      </c>
      <c r="CV446" s="76"/>
      <c r="CW446" s="76">
        <f>+CV446*1100</f>
        <v>0</v>
      </c>
      <c r="CX446" s="76"/>
      <c r="CY446" s="76">
        <f>+CX446*106250</f>
        <v>0</v>
      </c>
      <c r="CZ446" s="76"/>
      <c r="DA446" s="76">
        <f>+CZ446*34500</f>
        <v>0</v>
      </c>
      <c r="DB446" s="76"/>
      <c r="DC446" s="76">
        <f>+DB446*25000</f>
        <v>0</v>
      </c>
      <c r="DD446" s="219"/>
      <c r="DE446" s="219"/>
      <c r="DF446" s="166"/>
      <c r="DG446" s="116"/>
      <c r="DH446" s="117"/>
      <c r="DI446" s="24"/>
      <c r="DJ446" s="24"/>
      <c r="DK446" s="24"/>
      <c r="DL446" s="24"/>
      <c r="DM446" s="24"/>
      <c r="DN446" s="24"/>
      <c r="DO446" s="24"/>
      <c r="DP446" s="24"/>
      <c r="DQ446" s="24"/>
      <c r="DR446" s="24"/>
      <c r="DS446" s="24"/>
      <c r="DT446" s="24"/>
      <c r="DU446" s="24"/>
    </row>
    <row r="447" spans="1:125" s="8" customFormat="1" ht="108" x14ac:dyDescent="0.2">
      <c r="A447" s="77">
        <v>41303</v>
      </c>
      <c r="B447" s="352" t="s">
        <v>2772</v>
      </c>
      <c r="C447" s="354" t="s">
        <v>1337</v>
      </c>
      <c r="D447" s="354" t="s">
        <v>3635</v>
      </c>
      <c r="E447" s="75" t="str">
        <f>VLOOKUP(B447&amp;C447,Divipola!$C$2:$F$1138,4,FALSE)</f>
        <v>25407</v>
      </c>
      <c r="F447" s="87">
        <v>2</v>
      </c>
      <c r="G447" s="87"/>
      <c r="H447" s="87"/>
      <c r="I447" s="87"/>
      <c r="J447" s="87"/>
      <c r="K447" s="87"/>
      <c r="L447" s="87"/>
      <c r="M447" s="87"/>
      <c r="N447" s="87"/>
      <c r="O447" s="87"/>
      <c r="P447" s="87"/>
      <c r="Q447" s="87"/>
      <c r="R447" s="87"/>
      <c r="S447" s="87"/>
      <c r="T447" s="87"/>
      <c r="U447" s="127"/>
      <c r="V447" s="89"/>
      <c r="W447" s="96">
        <v>0</v>
      </c>
      <c r="X447" s="71">
        <f>CU447</f>
        <v>0</v>
      </c>
      <c r="Y447" s="71">
        <f>CY447</f>
        <v>0</v>
      </c>
      <c r="Z447" s="71">
        <f>DA447+DC447+DE447</f>
        <v>0</v>
      </c>
      <c r="AA447" s="71">
        <f>CW447</f>
        <v>0</v>
      </c>
      <c r="AB447" s="71"/>
      <c r="AC447" s="71">
        <v>0</v>
      </c>
      <c r="AD447" s="71">
        <f>W447+X447+Y447+Z447+AA447+AB447+AC447</f>
        <v>0</v>
      </c>
      <c r="AE447" s="72">
        <v>0</v>
      </c>
      <c r="AF447" s="5"/>
      <c r="AG447" s="6"/>
      <c r="AH447" s="27" t="s">
        <v>3392</v>
      </c>
      <c r="AI447" s="44" t="s">
        <v>3393</v>
      </c>
      <c r="AJ447" s="26"/>
      <c r="AK447" s="5"/>
      <c r="AL447" s="82" t="s">
        <v>3288</v>
      </c>
      <c r="AM447" s="76"/>
      <c r="AN447" s="76"/>
      <c r="AO447" s="76"/>
      <c r="AP447" s="76"/>
      <c r="AQ447" s="76"/>
      <c r="AR447" s="76"/>
      <c r="AS447" s="76"/>
      <c r="AT447" s="76"/>
      <c r="AU447" s="76"/>
      <c r="AV447" s="76"/>
      <c r="AW447" s="76"/>
      <c r="AX447" s="76">
        <f>+AW447*600000</f>
        <v>0</v>
      </c>
      <c r="AY447" s="76"/>
      <c r="AZ447" s="76">
        <f>+AY447*70000</f>
        <v>0</v>
      </c>
      <c r="BA447" s="76"/>
      <c r="BB447" s="76"/>
      <c r="BC447" s="76"/>
      <c r="BD447" s="76">
        <f>+BC447*30000</f>
        <v>0</v>
      </c>
      <c r="BE447" s="76"/>
      <c r="BF447" s="76"/>
      <c r="BG447" s="76"/>
      <c r="BH447" s="76"/>
      <c r="BI447" s="76"/>
      <c r="BJ447" s="76"/>
      <c r="BK447" s="76"/>
      <c r="BL447" s="76">
        <f>+BK447*31500</f>
        <v>0</v>
      </c>
      <c r="BM447" s="76"/>
      <c r="BN447" s="76"/>
      <c r="BO447" s="76"/>
      <c r="BP447" s="76"/>
      <c r="BQ447" s="76"/>
      <c r="BR447" s="76"/>
      <c r="BS447" s="76"/>
      <c r="BT447" s="76"/>
      <c r="BU447" s="76"/>
      <c r="BV447" s="76"/>
      <c r="BW447" s="76"/>
      <c r="BX447" s="76"/>
      <c r="BY447" s="76"/>
      <c r="BZ447" s="76"/>
      <c r="CA447" s="76"/>
      <c r="CB447" s="76"/>
      <c r="CC447" s="76"/>
      <c r="CD447" s="76"/>
      <c r="CE447" s="76"/>
      <c r="CF447" s="76">
        <f>+CE447*28000</f>
        <v>0</v>
      </c>
      <c r="CG447" s="76"/>
      <c r="CH447" s="76">
        <f>+CG447*22500</f>
        <v>0</v>
      </c>
      <c r="CI447" s="76"/>
      <c r="CJ447" s="76">
        <f>+CI447*26000</f>
        <v>0</v>
      </c>
      <c r="CK447" s="76"/>
      <c r="CL447" s="76"/>
      <c r="CM447" s="76"/>
      <c r="CN447" s="76">
        <f>+CM447*22000</f>
        <v>0</v>
      </c>
      <c r="CO447" s="76"/>
      <c r="CP447" s="76">
        <f>+CO447*46000</f>
        <v>0</v>
      </c>
      <c r="CQ447" s="76"/>
      <c r="CR447" s="76">
        <f>+CQ447*49000</f>
        <v>0</v>
      </c>
      <c r="CS447" s="76"/>
      <c r="CT447" s="76"/>
      <c r="CU447" s="56">
        <f>AN447+AP447+AR447+AT447+AV447+AX447+AZ447+BB447+BD447+BF447+BH447+BJ447+BL447+BN447+BP447+BR447+BT447+BV447+BX447+BZ447+CB447+CD447+CF447+CH447+CJ447+CL447+CN447+CP447+CR447+CT447</f>
        <v>0</v>
      </c>
      <c r="CV447" s="76"/>
      <c r="CW447" s="76">
        <f>+CV447*1100</f>
        <v>0</v>
      </c>
      <c r="CX447" s="76"/>
      <c r="CY447" s="76">
        <f>+CX447*106250</f>
        <v>0</v>
      </c>
      <c r="CZ447" s="76"/>
      <c r="DA447" s="76">
        <f>+CZ447*34500</f>
        <v>0</v>
      </c>
      <c r="DB447" s="76"/>
      <c r="DC447" s="76">
        <f>+DB447*25000</f>
        <v>0</v>
      </c>
      <c r="DD447" s="219"/>
      <c r="DE447" s="219"/>
      <c r="DF447" s="166"/>
      <c r="DG447" s="116"/>
      <c r="DH447" s="117"/>
      <c r="DI447" s="24"/>
      <c r="DJ447" s="24"/>
      <c r="DK447" s="24"/>
      <c r="DL447" s="24"/>
      <c r="DM447" s="24"/>
      <c r="DN447" s="24"/>
      <c r="DO447" s="24"/>
      <c r="DP447" s="24"/>
      <c r="DQ447" s="24"/>
      <c r="DR447" s="24"/>
      <c r="DS447" s="24"/>
      <c r="DT447" s="24"/>
      <c r="DU447" s="24"/>
    </row>
    <row r="448" spans="1:125" s="8" customFormat="1" ht="96" x14ac:dyDescent="0.2">
      <c r="A448" s="77">
        <v>41303</v>
      </c>
      <c r="B448" s="78" t="s">
        <v>2772</v>
      </c>
      <c r="C448" s="75" t="s">
        <v>2830</v>
      </c>
      <c r="D448" s="81" t="s">
        <v>2846</v>
      </c>
      <c r="E448" s="75" t="str">
        <f>VLOOKUP(B448&amp;C448,Divipola!$C$2:$F$1138,4,FALSE)</f>
        <v>25486</v>
      </c>
      <c r="F448" s="87"/>
      <c r="G448" s="87"/>
      <c r="H448" s="87"/>
      <c r="I448" s="87"/>
      <c r="J448" s="87"/>
      <c r="K448" s="87"/>
      <c r="L448" s="87"/>
      <c r="M448" s="87"/>
      <c r="N448" s="87"/>
      <c r="O448" s="87"/>
      <c r="P448" s="87"/>
      <c r="Q448" s="87"/>
      <c r="R448" s="87"/>
      <c r="S448" s="87"/>
      <c r="T448" s="87"/>
      <c r="U448" s="127">
        <v>5.5</v>
      </c>
      <c r="V448" s="89"/>
      <c r="W448" s="96">
        <v>0</v>
      </c>
      <c r="X448" s="71">
        <f>CU448</f>
        <v>0</v>
      </c>
      <c r="Y448" s="71">
        <f>CY448</f>
        <v>0</v>
      </c>
      <c r="Z448" s="71">
        <f>DA448+DC448+DE448</f>
        <v>0</v>
      </c>
      <c r="AA448" s="71">
        <f>CW448</f>
        <v>0</v>
      </c>
      <c r="AB448" s="71"/>
      <c r="AC448" s="71">
        <v>0</v>
      </c>
      <c r="AD448" s="71">
        <f>W448+X448+Y448+Z448+AA448+AB448+AC448</f>
        <v>0</v>
      </c>
      <c r="AE448" s="72">
        <v>0</v>
      </c>
      <c r="AF448" s="5"/>
      <c r="AG448" s="6"/>
      <c r="AH448" s="27" t="s">
        <v>3392</v>
      </c>
      <c r="AI448" s="44" t="s">
        <v>3393</v>
      </c>
      <c r="AJ448" s="26"/>
      <c r="AK448" s="5"/>
      <c r="AL448" s="82" t="s">
        <v>3299</v>
      </c>
      <c r="AM448" s="76"/>
      <c r="AN448" s="76"/>
      <c r="AO448" s="76"/>
      <c r="AP448" s="76"/>
      <c r="AQ448" s="76"/>
      <c r="AR448" s="76"/>
      <c r="AS448" s="76"/>
      <c r="AT448" s="76"/>
      <c r="AU448" s="76"/>
      <c r="AV448" s="76"/>
      <c r="AW448" s="76"/>
      <c r="AX448" s="76">
        <f>+AW448*600000</f>
        <v>0</v>
      </c>
      <c r="AY448" s="76"/>
      <c r="AZ448" s="76">
        <f>+AY448*70000</f>
        <v>0</v>
      </c>
      <c r="BA448" s="76"/>
      <c r="BB448" s="76"/>
      <c r="BC448" s="76"/>
      <c r="BD448" s="76">
        <f>+BC448*30000</f>
        <v>0</v>
      </c>
      <c r="BE448" s="76"/>
      <c r="BF448" s="76"/>
      <c r="BG448" s="76"/>
      <c r="BH448" s="76"/>
      <c r="BI448" s="76"/>
      <c r="BJ448" s="76"/>
      <c r="BK448" s="76"/>
      <c r="BL448" s="76">
        <f>+BK448*31500</f>
        <v>0</v>
      </c>
      <c r="BM448" s="76"/>
      <c r="BN448" s="76"/>
      <c r="BO448" s="76"/>
      <c r="BP448" s="76"/>
      <c r="BQ448" s="76"/>
      <c r="BR448" s="76"/>
      <c r="BS448" s="76"/>
      <c r="BT448" s="76"/>
      <c r="BU448" s="76"/>
      <c r="BV448" s="76"/>
      <c r="BW448" s="76"/>
      <c r="BX448" s="76"/>
      <c r="BY448" s="76"/>
      <c r="BZ448" s="76"/>
      <c r="CA448" s="76"/>
      <c r="CB448" s="76"/>
      <c r="CC448" s="76"/>
      <c r="CD448" s="76"/>
      <c r="CE448" s="76"/>
      <c r="CF448" s="76">
        <f>+CE448*28000</f>
        <v>0</v>
      </c>
      <c r="CG448" s="76"/>
      <c r="CH448" s="76">
        <f>+CG448*22500</f>
        <v>0</v>
      </c>
      <c r="CI448" s="76"/>
      <c r="CJ448" s="76">
        <f>+CI448*26000</f>
        <v>0</v>
      </c>
      <c r="CK448" s="76"/>
      <c r="CL448" s="76"/>
      <c r="CM448" s="76"/>
      <c r="CN448" s="76">
        <f>+CM448*22000</f>
        <v>0</v>
      </c>
      <c r="CO448" s="76"/>
      <c r="CP448" s="76">
        <f>+CO448*46000</f>
        <v>0</v>
      </c>
      <c r="CQ448" s="76"/>
      <c r="CR448" s="76">
        <f>+CQ448*49000</f>
        <v>0</v>
      </c>
      <c r="CS448" s="76"/>
      <c r="CT448" s="76"/>
      <c r="CU448" s="56">
        <f>AN448+AP448+AR448+AT448+AV448+AX448+AZ448+BB448+BD448+BF448+BH448+BJ448+BL448+BN448+BP448+BR448+BT448+BV448+BX448+BZ448+CB448+CD448+CF448+CH448+CJ448+CL448+CN448+CP448+CR448+CT448</f>
        <v>0</v>
      </c>
      <c r="CV448" s="76"/>
      <c r="CW448" s="76">
        <f>+CV448*1100</f>
        <v>0</v>
      </c>
      <c r="CX448" s="76"/>
      <c r="CY448" s="76">
        <f>+CX448*106250</f>
        <v>0</v>
      </c>
      <c r="CZ448" s="76"/>
      <c r="DA448" s="76">
        <f>+CZ448*34500</f>
        <v>0</v>
      </c>
      <c r="DB448" s="76"/>
      <c r="DC448" s="76">
        <f>+DB448*25000</f>
        <v>0</v>
      </c>
      <c r="DD448" s="219"/>
      <c r="DE448" s="219"/>
      <c r="DF448" s="166"/>
      <c r="DG448" s="116"/>
      <c r="DH448" s="117"/>
      <c r="DI448" s="24"/>
      <c r="DJ448" s="24"/>
      <c r="DK448" s="24"/>
      <c r="DL448" s="24"/>
      <c r="DM448" s="24"/>
      <c r="DN448" s="24"/>
      <c r="DO448" s="24"/>
      <c r="DP448" s="24"/>
      <c r="DQ448" s="24"/>
      <c r="DR448" s="24"/>
      <c r="DS448" s="24"/>
      <c r="DT448" s="24"/>
      <c r="DU448" s="24"/>
    </row>
    <row r="449" spans="1:125" s="8" customFormat="1" ht="168" x14ac:dyDescent="0.2">
      <c r="A449" s="77">
        <v>41303</v>
      </c>
      <c r="B449" s="352" t="s">
        <v>2772</v>
      </c>
      <c r="C449" s="354" t="s">
        <v>2030</v>
      </c>
      <c r="D449" s="81" t="s">
        <v>2846</v>
      </c>
      <c r="E449" s="75" t="str">
        <f>VLOOKUP(B449&amp;C449,Divipola!$C$2:$F$1138,4,FALSE)</f>
        <v>25754</v>
      </c>
      <c r="F449" s="87"/>
      <c r="G449" s="87"/>
      <c r="H449" s="87"/>
      <c r="I449" s="87"/>
      <c r="J449" s="87"/>
      <c r="K449" s="87"/>
      <c r="L449" s="87"/>
      <c r="M449" s="87"/>
      <c r="N449" s="87"/>
      <c r="O449" s="87"/>
      <c r="P449" s="87"/>
      <c r="Q449" s="87"/>
      <c r="R449" s="87"/>
      <c r="S449" s="87"/>
      <c r="T449" s="87"/>
      <c r="U449" s="127">
        <v>50</v>
      </c>
      <c r="V449" s="89"/>
      <c r="W449" s="96">
        <v>0</v>
      </c>
      <c r="X449" s="71">
        <f>CU449</f>
        <v>0</v>
      </c>
      <c r="Y449" s="71">
        <f>CY449</f>
        <v>0</v>
      </c>
      <c r="Z449" s="71">
        <f>DA449+DC449+DE449</f>
        <v>0</v>
      </c>
      <c r="AA449" s="71">
        <f>CW449</f>
        <v>0</v>
      </c>
      <c r="AB449" s="71"/>
      <c r="AC449" s="71">
        <v>0</v>
      </c>
      <c r="AD449" s="71">
        <f>W449+X449+Y449+Z449+AA449+AB449+AC449</f>
        <v>0</v>
      </c>
      <c r="AE449" s="72">
        <v>0</v>
      </c>
      <c r="AF449" s="5"/>
      <c r="AG449" s="6"/>
      <c r="AH449" s="27" t="s">
        <v>3392</v>
      </c>
      <c r="AI449" s="44" t="s">
        <v>3393</v>
      </c>
      <c r="AJ449" s="26"/>
      <c r="AK449" s="5"/>
      <c r="AL449" s="82" t="s">
        <v>3322</v>
      </c>
      <c r="AM449" s="76"/>
      <c r="AN449" s="76"/>
      <c r="AO449" s="76"/>
      <c r="AP449" s="76"/>
      <c r="AQ449" s="76"/>
      <c r="AR449" s="76"/>
      <c r="AS449" s="76"/>
      <c r="AT449" s="76"/>
      <c r="AU449" s="76"/>
      <c r="AV449" s="76"/>
      <c r="AW449" s="76"/>
      <c r="AX449" s="76">
        <f>+AW449*600000</f>
        <v>0</v>
      </c>
      <c r="AY449" s="76"/>
      <c r="AZ449" s="76">
        <f>+AY449*70000</f>
        <v>0</v>
      </c>
      <c r="BA449" s="76"/>
      <c r="BB449" s="76"/>
      <c r="BC449" s="76"/>
      <c r="BD449" s="76">
        <f>+BC449*30000</f>
        <v>0</v>
      </c>
      <c r="BE449" s="76"/>
      <c r="BF449" s="76"/>
      <c r="BG449" s="76"/>
      <c r="BH449" s="76"/>
      <c r="BI449" s="76"/>
      <c r="BJ449" s="76"/>
      <c r="BK449" s="76"/>
      <c r="BL449" s="76">
        <f>+BK449*31500</f>
        <v>0</v>
      </c>
      <c r="BM449" s="76"/>
      <c r="BN449" s="76"/>
      <c r="BO449" s="76"/>
      <c r="BP449" s="76"/>
      <c r="BQ449" s="76"/>
      <c r="BR449" s="76"/>
      <c r="BS449" s="76"/>
      <c r="BT449" s="76"/>
      <c r="BU449" s="76"/>
      <c r="BV449" s="76"/>
      <c r="BW449" s="76"/>
      <c r="BX449" s="76"/>
      <c r="BY449" s="76"/>
      <c r="BZ449" s="76"/>
      <c r="CA449" s="76"/>
      <c r="CB449" s="76"/>
      <c r="CC449" s="76"/>
      <c r="CD449" s="76"/>
      <c r="CE449" s="76"/>
      <c r="CF449" s="76">
        <f>+CE449*28000</f>
        <v>0</v>
      </c>
      <c r="CG449" s="76"/>
      <c r="CH449" s="76">
        <f>+CG449*22500</f>
        <v>0</v>
      </c>
      <c r="CI449" s="76"/>
      <c r="CJ449" s="76">
        <f>+CI449*26000</f>
        <v>0</v>
      </c>
      <c r="CK449" s="76"/>
      <c r="CL449" s="76"/>
      <c r="CM449" s="76"/>
      <c r="CN449" s="76">
        <f>+CM449*22000</f>
        <v>0</v>
      </c>
      <c r="CO449" s="76"/>
      <c r="CP449" s="76">
        <f>+CO449*46000</f>
        <v>0</v>
      </c>
      <c r="CQ449" s="76"/>
      <c r="CR449" s="76">
        <f>+CQ449*49000</f>
        <v>0</v>
      </c>
      <c r="CS449" s="76"/>
      <c r="CT449" s="76"/>
      <c r="CU449" s="56">
        <f>AN449+AP449+AR449+AT449+AV449+AX449+AZ449+BB449+BD449+BF449+BH449+BJ449+BL449+BN449+BP449+BR449+BT449+BV449+BX449+BZ449+CB449+CD449+CF449+CH449+CJ449+CL449+CN449+CP449+CR449+CT449</f>
        <v>0</v>
      </c>
      <c r="CV449" s="76"/>
      <c r="CW449" s="76">
        <f>+CV449*1100</f>
        <v>0</v>
      </c>
      <c r="CX449" s="76"/>
      <c r="CY449" s="76">
        <f>+CX449*106250</f>
        <v>0</v>
      </c>
      <c r="CZ449" s="76"/>
      <c r="DA449" s="76">
        <f>+CZ449*34500</f>
        <v>0</v>
      </c>
      <c r="DB449" s="76"/>
      <c r="DC449" s="76">
        <f>+DB449*25000</f>
        <v>0</v>
      </c>
      <c r="DD449" s="219"/>
      <c r="DE449" s="219"/>
      <c r="DF449" s="166"/>
      <c r="DG449" s="116"/>
      <c r="DH449" s="117"/>
      <c r="DI449" s="24"/>
      <c r="DJ449" s="24"/>
      <c r="DK449" s="24"/>
      <c r="DL449" s="24"/>
      <c r="DM449" s="24"/>
      <c r="DN449" s="24"/>
      <c r="DO449" s="24"/>
      <c r="DP449" s="24"/>
      <c r="DQ449" s="24"/>
      <c r="DR449" s="24"/>
      <c r="DS449" s="24"/>
      <c r="DT449" s="24"/>
      <c r="DU449" s="24"/>
    </row>
    <row r="450" spans="1:125" s="8" customFormat="1" ht="84" x14ac:dyDescent="0.2">
      <c r="A450" s="77">
        <v>41303</v>
      </c>
      <c r="B450" s="60" t="s">
        <v>2772</v>
      </c>
      <c r="C450" s="55" t="s">
        <v>1173</v>
      </c>
      <c r="D450" s="81" t="s">
        <v>2846</v>
      </c>
      <c r="E450" s="75" t="str">
        <f>VLOOKUP(B450&amp;C450,Divipola!$C$2:$F$1138,4,FALSE)</f>
        <v>25793</v>
      </c>
      <c r="F450" s="87"/>
      <c r="G450" s="87"/>
      <c r="H450" s="87"/>
      <c r="I450" s="87"/>
      <c r="J450" s="87"/>
      <c r="K450" s="87"/>
      <c r="L450" s="87"/>
      <c r="M450" s="87"/>
      <c r="N450" s="87"/>
      <c r="O450" s="87"/>
      <c r="P450" s="87"/>
      <c r="Q450" s="87"/>
      <c r="R450" s="87"/>
      <c r="S450" s="87"/>
      <c r="T450" s="87"/>
      <c r="U450" s="127">
        <v>4</v>
      </c>
      <c r="V450" s="89"/>
      <c r="W450" s="96">
        <v>0</v>
      </c>
      <c r="X450" s="71">
        <f>CU450</f>
        <v>0</v>
      </c>
      <c r="Y450" s="71">
        <f>CY450</f>
        <v>0</v>
      </c>
      <c r="Z450" s="71">
        <f>DA450+DC450+DE450</f>
        <v>0</v>
      </c>
      <c r="AA450" s="71">
        <f>CW450</f>
        <v>0</v>
      </c>
      <c r="AB450" s="71"/>
      <c r="AC450" s="71">
        <v>0</v>
      </c>
      <c r="AD450" s="71">
        <f>W450+X450+Y450+Z450+AA450+AB450+AC450</f>
        <v>0</v>
      </c>
      <c r="AE450" s="72">
        <v>0</v>
      </c>
      <c r="AF450" s="5"/>
      <c r="AG450" s="6"/>
      <c r="AH450" s="27" t="s">
        <v>3392</v>
      </c>
      <c r="AI450" s="44" t="s">
        <v>3393</v>
      </c>
      <c r="AJ450" s="26"/>
      <c r="AK450" s="5"/>
      <c r="AL450" s="82" t="s">
        <v>3321</v>
      </c>
      <c r="AM450" s="76"/>
      <c r="AN450" s="76"/>
      <c r="AO450" s="76"/>
      <c r="AP450" s="76"/>
      <c r="AQ450" s="76"/>
      <c r="AR450" s="76"/>
      <c r="AS450" s="76"/>
      <c r="AT450" s="76"/>
      <c r="AU450" s="76"/>
      <c r="AV450" s="76"/>
      <c r="AW450" s="76"/>
      <c r="AX450" s="76">
        <f>+AW450*600000</f>
        <v>0</v>
      </c>
      <c r="AY450" s="76"/>
      <c r="AZ450" s="76">
        <f>+AY450*70000</f>
        <v>0</v>
      </c>
      <c r="BA450" s="76"/>
      <c r="BB450" s="76"/>
      <c r="BC450" s="76"/>
      <c r="BD450" s="76">
        <f>+BC450*30000</f>
        <v>0</v>
      </c>
      <c r="BE450" s="76"/>
      <c r="BF450" s="76"/>
      <c r="BG450" s="76"/>
      <c r="BH450" s="76"/>
      <c r="BI450" s="76"/>
      <c r="BJ450" s="76"/>
      <c r="BK450" s="76"/>
      <c r="BL450" s="76">
        <f>+BK450*31500</f>
        <v>0</v>
      </c>
      <c r="BM450" s="76"/>
      <c r="BN450" s="76"/>
      <c r="BO450" s="76"/>
      <c r="BP450" s="76"/>
      <c r="BQ450" s="76"/>
      <c r="BR450" s="76"/>
      <c r="BS450" s="76"/>
      <c r="BT450" s="76"/>
      <c r="BU450" s="76"/>
      <c r="BV450" s="76"/>
      <c r="BW450" s="76"/>
      <c r="BX450" s="76"/>
      <c r="BY450" s="76"/>
      <c r="BZ450" s="76"/>
      <c r="CA450" s="76"/>
      <c r="CB450" s="76"/>
      <c r="CC450" s="76"/>
      <c r="CD450" s="76"/>
      <c r="CE450" s="76"/>
      <c r="CF450" s="76">
        <f>+CE450*28000</f>
        <v>0</v>
      </c>
      <c r="CG450" s="76"/>
      <c r="CH450" s="76">
        <f>+CG450*22500</f>
        <v>0</v>
      </c>
      <c r="CI450" s="76"/>
      <c r="CJ450" s="76">
        <f>+CI450*26000</f>
        <v>0</v>
      </c>
      <c r="CK450" s="76"/>
      <c r="CL450" s="76"/>
      <c r="CM450" s="76"/>
      <c r="CN450" s="76">
        <f>+CM450*22000</f>
        <v>0</v>
      </c>
      <c r="CO450" s="76"/>
      <c r="CP450" s="76">
        <f>+CO450*46000</f>
        <v>0</v>
      </c>
      <c r="CQ450" s="76"/>
      <c r="CR450" s="76">
        <f>+CQ450*49000</f>
        <v>0</v>
      </c>
      <c r="CS450" s="76"/>
      <c r="CT450" s="76"/>
      <c r="CU450" s="56">
        <f>AN450+AP450+AR450+AT450+AV450+AX450+AZ450+BB450+BD450+BF450+BH450+BJ450+BL450+BN450+BP450+BR450+BT450+BV450+BX450+BZ450+CB450+CD450+CF450+CH450+CJ450+CL450+CN450+CP450+CR450+CT450</f>
        <v>0</v>
      </c>
      <c r="CV450" s="76"/>
      <c r="CW450" s="76">
        <f>+CV450*1100</f>
        <v>0</v>
      </c>
      <c r="CX450" s="76"/>
      <c r="CY450" s="76">
        <f>+CX450*106250</f>
        <v>0</v>
      </c>
      <c r="CZ450" s="76"/>
      <c r="DA450" s="76">
        <f>+CZ450*34500</f>
        <v>0</v>
      </c>
      <c r="DB450" s="76"/>
      <c r="DC450" s="76">
        <f>+DB450*25000</f>
        <v>0</v>
      </c>
      <c r="DD450" s="219"/>
      <c r="DE450" s="219"/>
      <c r="DF450" s="166"/>
      <c r="DG450" s="116"/>
      <c r="DH450" s="117"/>
      <c r="DI450" s="24"/>
      <c r="DJ450" s="24"/>
      <c r="DK450" s="24"/>
      <c r="DL450" s="24"/>
      <c r="DM450" s="24"/>
      <c r="DN450" s="24"/>
      <c r="DO450" s="24"/>
      <c r="DP450" s="24"/>
      <c r="DQ450" s="24"/>
      <c r="DR450" s="24"/>
      <c r="DS450" s="24"/>
      <c r="DT450" s="24"/>
      <c r="DU450" s="24"/>
    </row>
    <row r="451" spans="1:125" s="8" customFormat="1" ht="24" x14ac:dyDescent="0.2">
      <c r="A451" s="77">
        <v>41303</v>
      </c>
      <c r="B451" s="78" t="s">
        <v>2661</v>
      </c>
      <c r="C451" s="75" t="s">
        <v>1368</v>
      </c>
      <c r="D451" s="81" t="s">
        <v>2846</v>
      </c>
      <c r="E451" s="75" t="str">
        <f>VLOOKUP(B451&amp;C451,Divipola!$C$2:$F$1138,4,FALSE)</f>
        <v>41770</v>
      </c>
      <c r="F451" s="87"/>
      <c r="G451" s="87"/>
      <c r="H451" s="87"/>
      <c r="I451" s="87"/>
      <c r="J451" s="87"/>
      <c r="K451" s="87"/>
      <c r="L451" s="87"/>
      <c r="M451" s="87"/>
      <c r="N451" s="87"/>
      <c r="O451" s="87"/>
      <c r="P451" s="87"/>
      <c r="Q451" s="87"/>
      <c r="R451" s="87"/>
      <c r="S451" s="87"/>
      <c r="T451" s="87"/>
      <c r="U451" s="127"/>
      <c r="V451" s="89"/>
      <c r="W451" s="96">
        <v>0</v>
      </c>
      <c r="X451" s="71">
        <f>CU451</f>
        <v>0</v>
      </c>
      <c r="Y451" s="71">
        <f>CY451</f>
        <v>0</v>
      </c>
      <c r="Z451" s="71">
        <f>DA451+DC451+DE451</f>
        <v>0</v>
      </c>
      <c r="AA451" s="71">
        <f>CW451</f>
        <v>0</v>
      </c>
      <c r="AB451" s="71"/>
      <c r="AC451" s="71">
        <v>0</v>
      </c>
      <c r="AD451" s="71">
        <f>W451+X451+Y451+Z451+AA451+AB451+AC451</f>
        <v>0</v>
      </c>
      <c r="AE451" s="72">
        <v>0</v>
      </c>
      <c r="AF451" s="5"/>
      <c r="AG451" s="6"/>
      <c r="AH451" s="27" t="s">
        <v>3392</v>
      </c>
      <c r="AI451" s="44" t="s">
        <v>3393</v>
      </c>
      <c r="AJ451" s="26"/>
      <c r="AK451" s="5"/>
      <c r="AL451" s="82" t="s">
        <v>3304</v>
      </c>
      <c r="AM451" s="76"/>
      <c r="AN451" s="76"/>
      <c r="AO451" s="76"/>
      <c r="AP451" s="76"/>
      <c r="AQ451" s="76"/>
      <c r="AR451" s="76"/>
      <c r="AS451" s="76"/>
      <c r="AT451" s="76"/>
      <c r="AU451" s="76"/>
      <c r="AV451" s="76"/>
      <c r="AW451" s="76"/>
      <c r="AX451" s="76">
        <f>+AW451*600000</f>
        <v>0</v>
      </c>
      <c r="AY451" s="76"/>
      <c r="AZ451" s="76">
        <f>+AY451*70000</f>
        <v>0</v>
      </c>
      <c r="BA451" s="76"/>
      <c r="BB451" s="76"/>
      <c r="BC451" s="76"/>
      <c r="BD451" s="76">
        <f>+BC451*30000</f>
        <v>0</v>
      </c>
      <c r="BE451" s="76"/>
      <c r="BF451" s="76"/>
      <c r="BG451" s="76"/>
      <c r="BH451" s="76"/>
      <c r="BI451" s="76"/>
      <c r="BJ451" s="76"/>
      <c r="BK451" s="76"/>
      <c r="BL451" s="76">
        <f>+BK451*31500</f>
        <v>0</v>
      </c>
      <c r="BM451" s="76"/>
      <c r="BN451" s="76"/>
      <c r="BO451" s="76"/>
      <c r="BP451" s="76"/>
      <c r="BQ451" s="76"/>
      <c r="BR451" s="76"/>
      <c r="BS451" s="76"/>
      <c r="BT451" s="76"/>
      <c r="BU451" s="76"/>
      <c r="BV451" s="76"/>
      <c r="BW451" s="76"/>
      <c r="BX451" s="76"/>
      <c r="BY451" s="76"/>
      <c r="BZ451" s="76"/>
      <c r="CA451" s="76"/>
      <c r="CB451" s="76"/>
      <c r="CC451" s="76"/>
      <c r="CD451" s="76"/>
      <c r="CE451" s="76"/>
      <c r="CF451" s="76">
        <f>+CE451*28000</f>
        <v>0</v>
      </c>
      <c r="CG451" s="76"/>
      <c r="CH451" s="76">
        <f>+CG451*22500</f>
        <v>0</v>
      </c>
      <c r="CI451" s="76"/>
      <c r="CJ451" s="76">
        <f>+CI451*26000</f>
        <v>0</v>
      </c>
      <c r="CK451" s="76"/>
      <c r="CL451" s="76"/>
      <c r="CM451" s="76"/>
      <c r="CN451" s="76">
        <f>+CM451*22000</f>
        <v>0</v>
      </c>
      <c r="CO451" s="76"/>
      <c r="CP451" s="76">
        <f>+CO451*46000</f>
        <v>0</v>
      </c>
      <c r="CQ451" s="76"/>
      <c r="CR451" s="76">
        <f>+CQ451*49000</f>
        <v>0</v>
      </c>
      <c r="CS451" s="76"/>
      <c r="CT451" s="76"/>
      <c r="CU451" s="56">
        <f>AN451+AP451+AR451+AT451+AV451+AX451+AZ451+BB451+BD451+BF451+BH451+BJ451+BL451+BN451+BP451+BR451+BT451+BV451+BX451+BZ451+CB451+CD451+CF451+CH451+CJ451+CL451+CN451+CP451+CR451+CT451</f>
        <v>0</v>
      </c>
      <c r="CV451" s="76"/>
      <c r="CW451" s="76">
        <f>+CV451*1100</f>
        <v>0</v>
      </c>
      <c r="CX451" s="76"/>
      <c r="CY451" s="76">
        <f>+CX451*106250</f>
        <v>0</v>
      </c>
      <c r="CZ451" s="76"/>
      <c r="DA451" s="76">
        <f>+CZ451*34500</f>
        <v>0</v>
      </c>
      <c r="DB451" s="76"/>
      <c r="DC451" s="76">
        <f>+DB451*25000</f>
        <v>0</v>
      </c>
      <c r="DD451" s="219"/>
      <c r="DE451" s="219"/>
      <c r="DF451" s="166"/>
      <c r="DG451" s="116"/>
      <c r="DH451" s="117"/>
      <c r="DI451" s="24"/>
      <c r="DJ451" s="24"/>
      <c r="DK451" s="24"/>
      <c r="DL451" s="24"/>
      <c r="DM451" s="24"/>
      <c r="DN451" s="24"/>
      <c r="DO451" s="24"/>
      <c r="DP451" s="24"/>
      <c r="DQ451" s="24"/>
      <c r="DR451" s="24"/>
      <c r="DS451" s="24"/>
      <c r="DT451" s="24"/>
      <c r="DU451" s="24"/>
    </row>
    <row r="452" spans="1:125" s="8" customFormat="1" ht="36" x14ac:dyDescent="0.2">
      <c r="A452" s="353">
        <v>41303</v>
      </c>
      <c r="B452" s="352" t="s">
        <v>2906</v>
      </c>
      <c r="C452" s="354" t="s">
        <v>2739</v>
      </c>
      <c r="D452" s="354" t="s">
        <v>2859</v>
      </c>
      <c r="E452" s="75" t="str">
        <f>VLOOKUP(B452&amp;C452,Divipola!$C$2:$F$1138,4,FALSE)</f>
        <v>47001</v>
      </c>
      <c r="F452" s="87"/>
      <c r="G452" s="87"/>
      <c r="H452" s="87"/>
      <c r="I452" s="87"/>
      <c r="J452" s="87"/>
      <c r="K452" s="87"/>
      <c r="L452" s="87"/>
      <c r="M452" s="87"/>
      <c r="N452" s="87"/>
      <c r="O452" s="87"/>
      <c r="P452" s="87"/>
      <c r="Q452" s="87"/>
      <c r="R452" s="87"/>
      <c r="S452" s="87"/>
      <c r="T452" s="87"/>
      <c r="U452" s="127"/>
      <c r="V452" s="89"/>
      <c r="W452" s="96">
        <v>0</v>
      </c>
      <c r="X452" s="71">
        <f>CU452</f>
        <v>0</v>
      </c>
      <c r="Y452" s="71">
        <f>CY452</f>
        <v>0</v>
      </c>
      <c r="Z452" s="71">
        <f>DA452+DC452+DE452</f>
        <v>0</v>
      </c>
      <c r="AA452" s="71">
        <f>CW452</f>
        <v>0</v>
      </c>
      <c r="AB452" s="71"/>
      <c r="AC452" s="71">
        <v>0</v>
      </c>
      <c r="AD452" s="71">
        <f>W452+X452+Y452+Z452+AA452+AB452+AC452</f>
        <v>0</v>
      </c>
      <c r="AE452" s="72">
        <v>0</v>
      </c>
      <c r="AF452" s="5"/>
      <c r="AG452" s="6"/>
      <c r="AH452" s="27" t="s">
        <v>3392</v>
      </c>
      <c r="AI452" s="44" t="s">
        <v>3393</v>
      </c>
      <c r="AJ452" s="26"/>
      <c r="AK452" s="5"/>
      <c r="AL452" s="82" t="s">
        <v>3309</v>
      </c>
      <c r="AM452" s="76"/>
      <c r="AN452" s="76"/>
      <c r="AO452" s="76"/>
      <c r="AP452" s="76"/>
      <c r="AQ452" s="76"/>
      <c r="AR452" s="76"/>
      <c r="AS452" s="76"/>
      <c r="AT452" s="76"/>
      <c r="AU452" s="76"/>
      <c r="AV452" s="76"/>
      <c r="AW452" s="76"/>
      <c r="AX452" s="76">
        <f>+AW452*600000</f>
        <v>0</v>
      </c>
      <c r="AY452" s="76"/>
      <c r="AZ452" s="76">
        <f>+AY452*70000</f>
        <v>0</v>
      </c>
      <c r="BA452" s="76"/>
      <c r="BB452" s="76"/>
      <c r="BC452" s="76"/>
      <c r="BD452" s="76">
        <f>+BC452*30000</f>
        <v>0</v>
      </c>
      <c r="BE452" s="76"/>
      <c r="BF452" s="76"/>
      <c r="BG452" s="76"/>
      <c r="BH452" s="76"/>
      <c r="BI452" s="76"/>
      <c r="BJ452" s="76"/>
      <c r="BK452" s="76"/>
      <c r="BL452" s="76">
        <f>+BK452*31500</f>
        <v>0</v>
      </c>
      <c r="BM452" s="76"/>
      <c r="BN452" s="76"/>
      <c r="BO452" s="76"/>
      <c r="BP452" s="76"/>
      <c r="BQ452" s="76"/>
      <c r="BR452" s="76"/>
      <c r="BS452" s="76"/>
      <c r="BT452" s="76"/>
      <c r="BU452" s="76"/>
      <c r="BV452" s="76"/>
      <c r="BW452" s="76"/>
      <c r="BX452" s="76"/>
      <c r="BY452" s="76"/>
      <c r="BZ452" s="76"/>
      <c r="CA452" s="76"/>
      <c r="CB452" s="76"/>
      <c r="CC452" s="76"/>
      <c r="CD452" s="76"/>
      <c r="CE452" s="76"/>
      <c r="CF452" s="76">
        <f>+CE452*28000</f>
        <v>0</v>
      </c>
      <c r="CG452" s="76"/>
      <c r="CH452" s="76">
        <f>+CG452*22500</f>
        <v>0</v>
      </c>
      <c r="CI452" s="76"/>
      <c r="CJ452" s="76">
        <f>+CI452*26000</f>
        <v>0</v>
      </c>
      <c r="CK452" s="76"/>
      <c r="CL452" s="76"/>
      <c r="CM452" s="76"/>
      <c r="CN452" s="76">
        <f>+CM452*22000</f>
        <v>0</v>
      </c>
      <c r="CO452" s="76"/>
      <c r="CP452" s="76">
        <f>+CO452*46000</f>
        <v>0</v>
      </c>
      <c r="CQ452" s="76"/>
      <c r="CR452" s="76">
        <f>+CQ452*49000</f>
        <v>0</v>
      </c>
      <c r="CS452" s="76"/>
      <c r="CT452" s="76"/>
      <c r="CU452" s="56">
        <f>AN452+AP452+AR452+AT452+AV452+AX452+AZ452+BB452+BD452+BF452+BH452+BJ452+BL452+BN452+BP452+BR452+BT452+BV452+BX452+BZ452+CB452+CD452+CF452+CH452+CJ452+CL452+CN452+CP452+CR452+CT452</f>
        <v>0</v>
      </c>
      <c r="CV452" s="76"/>
      <c r="CW452" s="76">
        <f>+CV452*1100</f>
        <v>0</v>
      </c>
      <c r="CX452" s="76"/>
      <c r="CY452" s="76">
        <f>+CX452*106250</f>
        <v>0</v>
      </c>
      <c r="CZ452" s="76"/>
      <c r="DA452" s="76">
        <f>+CZ452*34500</f>
        <v>0</v>
      </c>
      <c r="DB452" s="76"/>
      <c r="DC452" s="76">
        <f>+DB452*25000</f>
        <v>0</v>
      </c>
      <c r="DD452" s="219"/>
      <c r="DE452" s="219"/>
      <c r="DF452" s="166"/>
      <c r="DG452" s="116"/>
      <c r="DH452" s="117"/>
      <c r="DI452" s="24"/>
      <c r="DJ452" s="24"/>
      <c r="DK452" s="24"/>
      <c r="DL452" s="24"/>
      <c r="DM452" s="24"/>
      <c r="DN452" s="24"/>
      <c r="DO452" s="24"/>
      <c r="DP452" s="24"/>
      <c r="DQ452" s="24"/>
      <c r="DR452" s="24"/>
      <c r="DS452" s="24"/>
      <c r="DT452" s="24"/>
      <c r="DU452" s="24"/>
    </row>
    <row r="453" spans="1:125" s="8" customFormat="1" ht="48" x14ac:dyDescent="0.2">
      <c r="A453" s="77">
        <v>41303</v>
      </c>
      <c r="B453" s="225" t="s">
        <v>506</v>
      </c>
      <c r="C453" s="227" t="s">
        <v>98</v>
      </c>
      <c r="D453" s="81" t="s">
        <v>2846</v>
      </c>
      <c r="E453" s="75" t="str">
        <f>VLOOKUP(B453&amp;C453,Divipola!$C$2:$F$1138,4,FALSE)</f>
        <v>50568</v>
      </c>
      <c r="F453" s="87"/>
      <c r="G453" s="87"/>
      <c r="H453" s="87"/>
      <c r="I453" s="87"/>
      <c r="J453" s="87"/>
      <c r="K453" s="87"/>
      <c r="L453" s="87"/>
      <c r="M453" s="87"/>
      <c r="N453" s="87"/>
      <c r="O453" s="87"/>
      <c r="P453" s="87"/>
      <c r="Q453" s="87"/>
      <c r="R453" s="87"/>
      <c r="S453" s="87"/>
      <c r="T453" s="87"/>
      <c r="U453" s="127">
        <v>800</v>
      </c>
      <c r="V453" s="89"/>
      <c r="W453" s="96">
        <v>0</v>
      </c>
      <c r="X453" s="71">
        <f>CU453</f>
        <v>0</v>
      </c>
      <c r="Y453" s="71">
        <f>CY453</f>
        <v>0</v>
      </c>
      <c r="Z453" s="71">
        <f>DA453+DC453+DE453</f>
        <v>0</v>
      </c>
      <c r="AA453" s="71">
        <f>CW453</f>
        <v>0</v>
      </c>
      <c r="AB453" s="71"/>
      <c r="AC453" s="71">
        <v>0</v>
      </c>
      <c r="AD453" s="71">
        <f>W453+X453+Y453+Z453+AA453+AB453+AC453</f>
        <v>0</v>
      </c>
      <c r="AE453" s="72">
        <v>0</v>
      </c>
      <c r="AF453" s="5"/>
      <c r="AG453" s="6"/>
      <c r="AH453" s="27" t="s">
        <v>3392</v>
      </c>
      <c r="AI453" s="44" t="s">
        <v>3393</v>
      </c>
      <c r="AJ453" s="26"/>
      <c r="AK453" s="5"/>
      <c r="AL453" s="82" t="s">
        <v>3290</v>
      </c>
      <c r="AM453" s="76"/>
      <c r="AN453" s="76"/>
      <c r="AO453" s="76"/>
      <c r="AP453" s="76"/>
      <c r="AQ453" s="76"/>
      <c r="AR453" s="76"/>
      <c r="AS453" s="76"/>
      <c r="AT453" s="76"/>
      <c r="AU453" s="76"/>
      <c r="AV453" s="76"/>
      <c r="AW453" s="76"/>
      <c r="AX453" s="76">
        <f>+AW453*600000</f>
        <v>0</v>
      </c>
      <c r="AY453" s="76"/>
      <c r="AZ453" s="76">
        <f>+AY453*70000</f>
        <v>0</v>
      </c>
      <c r="BA453" s="76"/>
      <c r="BB453" s="76"/>
      <c r="BC453" s="76"/>
      <c r="BD453" s="76">
        <f>+BC453*30000</f>
        <v>0</v>
      </c>
      <c r="BE453" s="76"/>
      <c r="BF453" s="76"/>
      <c r="BG453" s="76"/>
      <c r="BH453" s="76"/>
      <c r="BI453" s="76"/>
      <c r="BJ453" s="76"/>
      <c r="BK453" s="76"/>
      <c r="BL453" s="76">
        <f>+BK453*31500</f>
        <v>0</v>
      </c>
      <c r="BM453" s="76"/>
      <c r="BN453" s="76"/>
      <c r="BO453" s="76"/>
      <c r="BP453" s="76"/>
      <c r="BQ453" s="76"/>
      <c r="BR453" s="76"/>
      <c r="BS453" s="76"/>
      <c r="BT453" s="76"/>
      <c r="BU453" s="76"/>
      <c r="BV453" s="76"/>
      <c r="BW453" s="76"/>
      <c r="BX453" s="76"/>
      <c r="BY453" s="76"/>
      <c r="BZ453" s="76"/>
      <c r="CA453" s="76"/>
      <c r="CB453" s="76"/>
      <c r="CC453" s="76"/>
      <c r="CD453" s="76"/>
      <c r="CE453" s="76"/>
      <c r="CF453" s="76">
        <f>+CE453*28000</f>
        <v>0</v>
      </c>
      <c r="CG453" s="76"/>
      <c r="CH453" s="76">
        <f>+CG453*22500</f>
        <v>0</v>
      </c>
      <c r="CI453" s="76"/>
      <c r="CJ453" s="76">
        <f>+CI453*26000</f>
        <v>0</v>
      </c>
      <c r="CK453" s="76"/>
      <c r="CL453" s="76"/>
      <c r="CM453" s="76"/>
      <c r="CN453" s="76">
        <f>+CM453*22000</f>
        <v>0</v>
      </c>
      <c r="CO453" s="76"/>
      <c r="CP453" s="76">
        <f>+CO453*46000</f>
        <v>0</v>
      </c>
      <c r="CQ453" s="76"/>
      <c r="CR453" s="76">
        <f>+CQ453*49000</f>
        <v>0</v>
      </c>
      <c r="CS453" s="76"/>
      <c r="CT453" s="76"/>
      <c r="CU453" s="56">
        <f>AN453+AP453+AR453+AT453+AV453+AX453+AZ453+BB453+BD453+BF453+BH453+BJ453+BL453+BN453+BP453+BR453+BT453+BV453+BX453+BZ453+CB453+CD453+CF453+CH453+CJ453+CL453+CN453+CP453+CR453+CT453</f>
        <v>0</v>
      </c>
      <c r="CV453" s="76"/>
      <c r="CW453" s="76">
        <f>+CV453*1100</f>
        <v>0</v>
      </c>
      <c r="CX453" s="76"/>
      <c r="CY453" s="76">
        <f>+CX453*106250</f>
        <v>0</v>
      </c>
      <c r="CZ453" s="76"/>
      <c r="DA453" s="76">
        <f>+CZ453*34500</f>
        <v>0</v>
      </c>
      <c r="DB453" s="76"/>
      <c r="DC453" s="76">
        <f>+DB453*25000</f>
        <v>0</v>
      </c>
      <c r="DD453" s="219"/>
      <c r="DE453" s="219"/>
      <c r="DF453" s="166"/>
      <c r="DG453" s="116"/>
      <c r="DH453" s="117"/>
      <c r="DI453" s="24"/>
      <c r="DJ453" s="24"/>
      <c r="DK453" s="24"/>
      <c r="DL453" s="24"/>
      <c r="DM453" s="24"/>
      <c r="DN453" s="24"/>
      <c r="DO453" s="24"/>
      <c r="DP453" s="24"/>
      <c r="DQ453" s="24"/>
      <c r="DR453" s="24"/>
      <c r="DS453" s="24"/>
      <c r="DT453" s="24"/>
      <c r="DU453" s="24"/>
    </row>
    <row r="454" spans="1:125" s="8" customFormat="1" ht="48" x14ac:dyDescent="0.2">
      <c r="A454" s="77">
        <v>41303</v>
      </c>
      <c r="B454" s="78" t="s">
        <v>506</v>
      </c>
      <c r="C454" s="75" t="s">
        <v>1697</v>
      </c>
      <c r="D454" s="81" t="s">
        <v>2846</v>
      </c>
      <c r="E454" s="75" t="str">
        <f>VLOOKUP(B454&amp;C454,Divipola!$C$2:$F$1138,4,FALSE)</f>
        <v>50001</v>
      </c>
      <c r="F454" s="87"/>
      <c r="G454" s="87"/>
      <c r="H454" s="87"/>
      <c r="I454" s="87"/>
      <c r="J454" s="87"/>
      <c r="K454" s="87"/>
      <c r="L454" s="87"/>
      <c r="M454" s="87"/>
      <c r="N454" s="87"/>
      <c r="O454" s="87"/>
      <c r="P454" s="87"/>
      <c r="Q454" s="87"/>
      <c r="R454" s="87"/>
      <c r="S454" s="87"/>
      <c r="T454" s="87"/>
      <c r="U454" s="127">
        <v>55</v>
      </c>
      <c r="V454" s="89"/>
      <c r="W454" s="96">
        <v>0</v>
      </c>
      <c r="X454" s="71">
        <f>CU454</f>
        <v>0</v>
      </c>
      <c r="Y454" s="71">
        <f>CY454</f>
        <v>0</v>
      </c>
      <c r="Z454" s="71">
        <f>DA454+DC454+DE454</f>
        <v>0</v>
      </c>
      <c r="AA454" s="71">
        <f>CW454</f>
        <v>0</v>
      </c>
      <c r="AB454" s="71"/>
      <c r="AC454" s="71">
        <v>0</v>
      </c>
      <c r="AD454" s="71">
        <f>W454+X454+Y454+Z454+AA454+AB454+AC454</f>
        <v>0</v>
      </c>
      <c r="AE454" s="72">
        <v>0</v>
      </c>
      <c r="AF454" s="5"/>
      <c r="AG454" s="6"/>
      <c r="AH454" s="27" t="s">
        <v>3392</v>
      </c>
      <c r="AI454" s="44" t="s">
        <v>3393</v>
      </c>
      <c r="AJ454" s="26"/>
      <c r="AK454" s="5"/>
      <c r="AL454" s="82" t="s">
        <v>3305</v>
      </c>
      <c r="AM454" s="76"/>
      <c r="AN454" s="76"/>
      <c r="AO454" s="76"/>
      <c r="AP454" s="76"/>
      <c r="AQ454" s="76"/>
      <c r="AR454" s="76"/>
      <c r="AS454" s="76"/>
      <c r="AT454" s="76"/>
      <c r="AU454" s="76"/>
      <c r="AV454" s="76"/>
      <c r="AW454" s="76"/>
      <c r="AX454" s="76">
        <f>+AW454*600000</f>
        <v>0</v>
      </c>
      <c r="AY454" s="76"/>
      <c r="AZ454" s="76">
        <f>+AY454*70000</f>
        <v>0</v>
      </c>
      <c r="BA454" s="76"/>
      <c r="BB454" s="76"/>
      <c r="BC454" s="76"/>
      <c r="BD454" s="76">
        <f>+BC454*30000</f>
        <v>0</v>
      </c>
      <c r="BE454" s="76"/>
      <c r="BF454" s="76"/>
      <c r="BG454" s="76"/>
      <c r="BH454" s="76"/>
      <c r="BI454" s="76"/>
      <c r="BJ454" s="76"/>
      <c r="BK454" s="76"/>
      <c r="BL454" s="76">
        <f>+BK454*31500</f>
        <v>0</v>
      </c>
      <c r="BM454" s="76"/>
      <c r="BN454" s="76"/>
      <c r="BO454" s="76"/>
      <c r="BP454" s="76"/>
      <c r="BQ454" s="76"/>
      <c r="BR454" s="76"/>
      <c r="BS454" s="76"/>
      <c r="BT454" s="76"/>
      <c r="BU454" s="76"/>
      <c r="BV454" s="76"/>
      <c r="BW454" s="76"/>
      <c r="BX454" s="76"/>
      <c r="BY454" s="76"/>
      <c r="BZ454" s="76"/>
      <c r="CA454" s="76"/>
      <c r="CB454" s="76"/>
      <c r="CC454" s="76"/>
      <c r="CD454" s="76"/>
      <c r="CE454" s="76"/>
      <c r="CF454" s="76">
        <f>+CE454*28000</f>
        <v>0</v>
      </c>
      <c r="CG454" s="76"/>
      <c r="CH454" s="76">
        <f>+CG454*22500</f>
        <v>0</v>
      </c>
      <c r="CI454" s="76"/>
      <c r="CJ454" s="76">
        <f>+CI454*26000</f>
        <v>0</v>
      </c>
      <c r="CK454" s="76"/>
      <c r="CL454" s="76"/>
      <c r="CM454" s="76"/>
      <c r="CN454" s="76">
        <f>+CM454*22000</f>
        <v>0</v>
      </c>
      <c r="CO454" s="76"/>
      <c r="CP454" s="76">
        <f>+CO454*46000</f>
        <v>0</v>
      </c>
      <c r="CQ454" s="76"/>
      <c r="CR454" s="76">
        <f>+CQ454*49000</f>
        <v>0</v>
      </c>
      <c r="CS454" s="76"/>
      <c r="CT454" s="76"/>
      <c r="CU454" s="56">
        <f>AN454+AP454+AR454+AT454+AV454+AX454+AZ454+BB454+BD454+BF454+BH454+BJ454+BL454+BN454+BP454+BR454+BT454+BV454+BX454+BZ454+CB454+CD454+CF454+CH454+CJ454+CL454+CN454+CP454+CR454+CT454</f>
        <v>0</v>
      </c>
      <c r="CV454" s="76"/>
      <c r="CW454" s="76">
        <f>+CV454*1100</f>
        <v>0</v>
      </c>
      <c r="CX454" s="76"/>
      <c r="CY454" s="76">
        <f>+CX454*106250</f>
        <v>0</v>
      </c>
      <c r="CZ454" s="76"/>
      <c r="DA454" s="76">
        <f>+CZ454*34500</f>
        <v>0</v>
      </c>
      <c r="DB454" s="76"/>
      <c r="DC454" s="76">
        <f>+DB454*25000</f>
        <v>0</v>
      </c>
      <c r="DD454" s="219"/>
      <c r="DE454" s="219"/>
      <c r="DF454" s="166"/>
      <c r="DG454" s="116"/>
      <c r="DH454" s="117"/>
      <c r="DI454" s="24"/>
      <c r="DJ454" s="24"/>
      <c r="DK454" s="24"/>
      <c r="DL454" s="24"/>
      <c r="DM454" s="24"/>
      <c r="DN454" s="24"/>
      <c r="DO454" s="24"/>
      <c r="DP454" s="24"/>
      <c r="DQ454" s="24"/>
      <c r="DR454" s="24"/>
      <c r="DS454" s="24"/>
      <c r="DT454" s="24"/>
      <c r="DU454" s="24"/>
    </row>
    <row r="455" spans="1:125" s="8" customFormat="1" ht="36" x14ac:dyDescent="0.2">
      <c r="A455" s="77">
        <v>41303</v>
      </c>
      <c r="B455" s="208" t="s">
        <v>2774</v>
      </c>
      <c r="C455" s="227" t="s">
        <v>2773</v>
      </c>
      <c r="D455" s="227" t="s">
        <v>3090</v>
      </c>
      <c r="E455" s="75">
        <f>VLOOKUP(B455&amp;C455,Divipola!$C$2:$F$1138,4,FALSE)</f>
        <v>66</v>
      </c>
      <c r="F455" s="163"/>
      <c r="G455" s="163"/>
      <c r="H455" s="163"/>
      <c r="I455" s="163"/>
      <c r="J455" s="163"/>
      <c r="K455" s="163"/>
      <c r="L455" s="163"/>
      <c r="M455" s="163"/>
      <c r="N455" s="163"/>
      <c r="O455" s="163"/>
      <c r="P455" s="163"/>
      <c r="Q455" s="163"/>
      <c r="R455" s="163"/>
      <c r="S455" s="163"/>
      <c r="T455" s="163"/>
      <c r="U455" s="163"/>
      <c r="V455" s="134"/>
      <c r="W455" s="96">
        <v>0</v>
      </c>
      <c r="X455" s="71">
        <f>CU455</f>
        <v>0</v>
      </c>
      <c r="Y455" s="71">
        <f>CY455</f>
        <v>0</v>
      </c>
      <c r="Z455" s="71">
        <f>DA455+DC455+DE455</f>
        <v>127996604</v>
      </c>
      <c r="AA455" s="71">
        <f>CW455</f>
        <v>0</v>
      </c>
      <c r="AB455" s="71"/>
      <c r="AC455" s="71">
        <v>0</v>
      </c>
      <c r="AD455" s="71">
        <f>W455+X455+Y455+Z455+AA455+AB455+AC455</f>
        <v>127996604</v>
      </c>
      <c r="AE455" s="72">
        <v>0</v>
      </c>
      <c r="AF455" s="5"/>
      <c r="AG455" s="6"/>
      <c r="AH455" s="27" t="s">
        <v>3390</v>
      </c>
      <c r="AI455" s="44" t="s">
        <v>3391</v>
      </c>
      <c r="AJ455" s="26"/>
      <c r="AK455" s="5"/>
      <c r="AL455" s="82" t="s">
        <v>3485</v>
      </c>
      <c r="AM455" s="76"/>
      <c r="AN455" s="76"/>
      <c r="AO455" s="76"/>
      <c r="AP455" s="76"/>
      <c r="AQ455" s="76"/>
      <c r="AR455" s="76"/>
      <c r="AS455" s="76"/>
      <c r="AT455" s="76"/>
      <c r="AU455" s="76"/>
      <c r="AV455" s="76"/>
      <c r="AW455" s="76"/>
      <c r="AX455" s="76">
        <f>+AW455*600000</f>
        <v>0</v>
      </c>
      <c r="AY455" s="76"/>
      <c r="AZ455" s="76">
        <f>+AY455*70000</f>
        <v>0</v>
      </c>
      <c r="BA455" s="76"/>
      <c r="BB455" s="76"/>
      <c r="BC455" s="76"/>
      <c r="BD455" s="76">
        <f>+BC455*30000</f>
        <v>0</v>
      </c>
      <c r="BE455" s="76"/>
      <c r="BF455" s="76"/>
      <c r="BG455" s="76"/>
      <c r="BH455" s="76"/>
      <c r="BI455" s="76"/>
      <c r="BJ455" s="76"/>
      <c r="BK455" s="76"/>
      <c r="BL455" s="76">
        <f>+BK455*31500</f>
        <v>0</v>
      </c>
      <c r="BM455" s="76"/>
      <c r="BN455" s="76"/>
      <c r="BO455" s="76"/>
      <c r="BP455" s="76"/>
      <c r="BQ455" s="76"/>
      <c r="BR455" s="76"/>
      <c r="BS455" s="76"/>
      <c r="BT455" s="76"/>
      <c r="BU455" s="76"/>
      <c r="BV455" s="76"/>
      <c r="BW455" s="76"/>
      <c r="BX455" s="76"/>
      <c r="BY455" s="76"/>
      <c r="BZ455" s="76"/>
      <c r="CA455" s="76"/>
      <c r="CB455" s="76"/>
      <c r="CC455" s="76"/>
      <c r="CD455" s="76"/>
      <c r="CE455" s="76"/>
      <c r="CF455" s="76">
        <f>+CE455*28000</f>
        <v>0</v>
      </c>
      <c r="CG455" s="76"/>
      <c r="CH455" s="76">
        <f>+CG455*22500</f>
        <v>0</v>
      </c>
      <c r="CI455" s="76"/>
      <c r="CJ455" s="76">
        <f>+CI455*26000</f>
        <v>0</v>
      </c>
      <c r="CK455" s="76"/>
      <c r="CL455" s="76"/>
      <c r="CM455" s="76"/>
      <c r="CN455" s="76">
        <f>+CM455*22000</f>
        <v>0</v>
      </c>
      <c r="CO455" s="76"/>
      <c r="CP455" s="76">
        <f>+CO455*46000</f>
        <v>0</v>
      </c>
      <c r="CQ455" s="76"/>
      <c r="CR455" s="76">
        <f>+CQ455*49000</f>
        <v>0</v>
      </c>
      <c r="CS455" s="76"/>
      <c r="CT455" s="76"/>
      <c r="CU455" s="56">
        <f>AN455+AP455+AR455+AT455+AV455+AX455+AZ455+BB455+BD455+BF455+BH455+BJ455+BL455+BN455+BP455+BR455+BT455+BV455+BX455+BZ455+CB455+CD455+CF455+CH455+CJ455+CL455+CN455+CP455+CR455+CT455</f>
        <v>0</v>
      </c>
      <c r="CV455" s="76"/>
      <c r="CW455" s="76">
        <f>+CV455*1100</f>
        <v>0</v>
      </c>
      <c r="CX455" s="76"/>
      <c r="CY455" s="76">
        <f>+CX455*106250</f>
        <v>0</v>
      </c>
      <c r="CZ455" s="76"/>
      <c r="DA455" s="76">
        <f>+CZ455*34500</f>
        <v>0</v>
      </c>
      <c r="DB455" s="76"/>
      <c r="DC455" s="76">
        <f>+DB455*25000</f>
        <v>0</v>
      </c>
      <c r="DD455" s="222" t="s">
        <v>3471</v>
      </c>
      <c r="DE455" s="309">
        <f>100*116000+16*324800+200*285999.16+100*539999.72</f>
        <v>127996604</v>
      </c>
      <c r="DF455" s="166"/>
      <c r="DG455" s="116"/>
      <c r="DH455" s="117"/>
      <c r="DI455" s="24"/>
      <c r="DJ455" s="24"/>
      <c r="DK455" s="24"/>
      <c r="DL455" s="24"/>
      <c r="DM455" s="24"/>
      <c r="DN455" s="24"/>
      <c r="DO455" s="24"/>
      <c r="DP455" s="24"/>
      <c r="DQ455" s="24"/>
      <c r="DR455" s="24"/>
      <c r="DS455" s="24"/>
      <c r="DT455" s="24"/>
      <c r="DU455" s="24"/>
    </row>
    <row r="456" spans="1:125" s="8" customFormat="1" ht="60" x14ac:dyDescent="0.2">
      <c r="A456" s="77">
        <v>41303</v>
      </c>
      <c r="B456" s="352" t="s">
        <v>2847</v>
      </c>
      <c r="C456" s="354" t="s">
        <v>2165</v>
      </c>
      <c r="D456" s="81" t="s">
        <v>2846</v>
      </c>
      <c r="E456" s="75" t="str">
        <f>VLOOKUP(B456&amp;C456,Divipola!$C$2:$F$1138,4,FALSE)</f>
        <v>68655</v>
      </c>
      <c r="F456" s="87"/>
      <c r="G456" s="87"/>
      <c r="H456" s="87"/>
      <c r="I456" s="87"/>
      <c r="J456" s="87"/>
      <c r="K456" s="87"/>
      <c r="L456" s="87"/>
      <c r="M456" s="87"/>
      <c r="N456" s="87"/>
      <c r="O456" s="87"/>
      <c r="P456" s="87"/>
      <c r="Q456" s="87"/>
      <c r="R456" s="87"/>
      <c r="S456" s="87"/>
      <c r="T456" s="87"/>
      <c r="U456" s="127">
        <v>4</v>
      </c>
      <c r="V456" s="89"/>
      <c r="W456" s="96">
        <v>0</v>
      </c>
      <c r="X456" s="71">
        <f>CU456</f>
        <v>0</v>
      </c>
      <c r="Y456" s="71">
        <f>CY456</f>
        <v>0</v>
      </c>
      <c r="Z456" s="71">
        <f>DA456+DC456+DE456</f>
        <v>0</v>
      </c>
      <c r="AA456" s="71">
        <f>CW456</f>
        <v>0</v>
      </c>
      <c r="AB456" s="71"/>
      <c r="AC456" s="71">
        <v>0</v>
      </c>
      <c r="AD456" s="71">
        <f>W456+X456+Y456+Z456+AA456+AB456+AC456</f>
        <v>0</v>
      </c>
      <c r="AE456" s="72">
        <v>0</v>
      </c>
      <c r="AF456" s="5"/>
      <c r="AG456" s="6"/>
      <c r="AH456" s="27" t="s">
        <v>3392</v>
      </c>
      <c r="AI456" s="44" t="s">
        <v>3393</v>
      </c>
      <c r="AJ456" s="26"/>
      <c r="AK456" s="5"/>
      <c r="AL456" s="82" t="s">
        <v>3310</v>
      </c>
      <c r="AM456" s="76"/>
      <c r="AN456" s="76"/>
      <c r="AO456" s="76"/>
      <c r="AP456" s="76"/>
      <c r="AQ456" s="76"/>
      <c r="AR456" s="76"/>
      <c r="AS456" s="76"/>
      <c r="AT456" s="76"/>
      <c r="AU456" s="76"/>
      <c r="AV456" s="76"/>
      <c r="AW456" s="76"/>
      <c r="AX456" s="76">
        <f>+AW456*600000</f>
        <v>0</v>
      </c>
      <c r="AY456" s="76"/>
      <c r="AZ456" s="76">
        <f>+AY456*70000</f>
        <v>0</v>
      </c>
      <c r="BA456" s="76"/>
      <c r="BB456" s="76"/>
      <c r="BC456" s="76"/>
      <c r="BD456" s="76">
        <f>+BC456*30000</f>
        <v>0</v>
      </c>
      <c r="BE456" s="76"/>
      <c r="BF456" s="76"/>
      <c r="BG456" s="76"/>
      <c r="BH456" s="76"/>
      <c r="BI456" s="76"/>
      <c r="BJ456" s="76"/>
      <c r="BK456" s="76"/>
      <c r="BL456" s="76">
        <f>+BK456*31500</f>
        <v>0</v>
      </c>
      <c r="BM456" s="76"/>
      <c r="BN456" s="76"/>
      <c r="BO456" s="76"/>
      <c r="BP456" s="76"/>
      <c r="BQ456" s="76"/>
      <c r="BR456" s="76"/>
      <c r="BS456" s="76"/>
      <c r="BT456" s="76"/>
      <c r="BU456" s="76"/>
      <c r="BV456" s="76"/>
      <c r="BW456" s="76"/>
      <c r="BX456" s="76"/>
      <c r="BY456" s="76"/>
      <c r="BZ456" s="76"/>
      <c r="CA456" s="76"/>
      <c r="CB456" s="76"/>
      <c r="CC456" s="76"/>
      <c r="CD456" s="76"/>
      <c r="CE456" s="76"/>
      <c r="CF456" s="76">
        <f>+CE456*28000</f>
        <v>0</v>
      </c>
      <c r="CG456" s="76"/>
      <c r="CH456" s="76">
        <f>+CG456*22500</f>
        <v>0</v>
      </c>
      <c r="CI456" s="76"/>
      <c r="CJ456" s="76">
        <f>+CI456*26000</f>
        <v>0</v>
      </c>
      <c r="CK456" s="76"/>
      <c r="CL456" s="76"/>
      <c r="CM456" s="76"/>
      <c r="CN456" s="76">
        <f>+CM456*22000</f>
        <v>0</v>
      </c>
      <c r="CO456" s="76"/>
      <c r="CP456" s="76">
        <f>+CO456*46000</f>
        <v>0</v>
      </c>
      <c r="CQ456" s="76"/>
      <c r="CR456" s="76">
        <f>+CQ456*49000</f>
        <v>0</v>
      </c>
      <c r="CS456" s="76"/>
      <c r="CT456" s="76"/>
      <c r="CU456" s="56">
        <f>AN456+AP456+AR456+AT456+AV456+AX456+AZ456+BB456+BD456+BF456+BH456+BJ456+BL456+BN456+BP456+BR456+BT456+BV456+BX456+BZ456+CB456+CD456+CF456+CH456+CJ456+CL456+CN456+CP456+CR456+CT456</f>
        <v>0</v>
      </c>
      <c r="CV456" s="76"/>
      <c r="CW456" s="76">
        <f>+CV456*1100</f>
        <v>0</v>
      </c>
      <c r="CX456" s="76"/>
      <c r="CY456" s="76">
        <f>+CX456*106250</f>
        <v>0</v>
      </c>
      <c r="CZ456" s="76"/>
      <c r="DA456" s="76">
        <f>+CZ456*34500</f>
        <v>0</v>
      </c>
      <c r="DB456" s="76"/>
      <c r="DC456" s="76">
        <f>+DB456*25000</f>
        <v>0</v>
      </c>
      <c r="DD456" s="219"/>
      <c r="DE456" s="219"/>
      <c r="DF456" s="166"/>
      <c r="DG456" s="116"/>
      <c r="DH456" s="117"/>
      <c r="DI456" s="24"/>
      <c r="DJ456" s="24"/>
      <c r="DK456" s="24"/>
      <c r="DL456" s="24"/>
      <c r="DM456" s="24"/>
      <c r="DN456" s="24"/>
      <c r="DO456" s="24"/>
      <c r="DP456" s="24"/>
      <c r="DQ456" s="24"/>
      <c r="DR456" s="24"/>
      <c r="DS456" s="24"/>
      <c r="DT456" s="24"/>
      <c r="DU456" s="24"/>
    </row>
    <row r="457" spans="1:125" s="8" customFormat="1" ht="72" x14ac:dyDescent="0.2">
      <c r="A457" s="77">
        <v>41304</v>
      </c>
      <c r="B457" s="78" t="s">
        <v>2854</v>
      </c>
      <c r="C457" s="75" t="s">
        <v>2809</v>
      </c>
      <c r="D457" s="81" t="s">
        <v>2846</v>
      </c>
      <c r="E457" s="75" t="str">
        <f>VLOOKUP(B457&amp;C457,Divipola!$C$2:$F$1138,4,FALSE)</f>
        <v>19355</v>
      </c>
      <c r="F457" s="87"/>
      <c r="G457" s="87"/>
      <c r="H457" s="87"/>
      <c r="I457" s="87"/>
      <c r="J457" s="87"/>
      <c r="K457" s="87"/>
      <c r="L457" s="87"/>
      <c r="M457" s="87"/>
      <c r="N457" s="87"/>
      <c r="O457" s="87"/>
      <c r="P457" s="87"/>
      <c r="Q457" s="87"/>
      <c r="R457" s="87"/>
      <c r="S457" s="87"/>
      <c r="T457" s="87"/>
      <c r="U457" s="127">
        <v>15</v>
      </c>
      <c r="V457" s="89"/>
      <c r="W457" s="96">
        <v>0</v>
      </c>
      <c r="X457" s="71">
        <f>CU457</f>
        <v>0</v>
      </c>
      <c r="Y457" s="71">
        <f>CY457</f>
        <v>0</v>
      </c>
      <c r="Z457" s="71">
        <f>DA457+DC457+DE457</f>
        <v>0</v>
      </c>
      <c r="AA457" s="71">
        <f>CW457</f>
        <v>0</v>
      </c>
      <c r="AB457" s="71"/>
      <c r="AC457" s="71">
        <v>0</v>
      </c>
      <c r="AD457" s="71">
        <f>W457+X457+Y457+Z457+AA457+AB457+AC457</f>
        <v>0</v>
      </c>
      <c r="AE457" s="72">
        <v>0</v>
      </c>
      <c r="AF457" s="5"/>
      <c r="AG457" s="6"/>
      <c r="AH457" s="27" t="s">
        <v>3392</v>
      </c>
      <c r="AI457" s="44" t="s">
        <v>3393</v>
      </c>
      <c r="AJ457" s="26"/>
      <c r="AK457" s="5"/>
      <c r="AL457" s="82" t="s">
        <v>3315</v>
      </c>
      <c r="AM457" s="76"/>
      <c r="AN457" s="76"/>
      <c r="AO457" s="76"/>
      <c r="AP457" s="76"/>
      <c r="AQ457" s="76"/>
      <c r="AR457" s="76"/>
      <c r="AS457" s="76"/>
      <c r="AT457" s="76"/>
      <c r="AU457" s="76"/>
      <c r="AV457" s="76"/>
      <c r="AW457" s="76"/>
      <c r="AX457" s="76">
        <f>+AW457*600000</f>
        <v>0</v>
      </c>
      <c r="AY457" s="76"/>
      <c r="AZ457" s="76">
        <f>+AY457*70000</f>
        <v>0</v>
      </c>
      <c r="BA457" s="76"/>
      <c r="BB457" s="76"/>
      <c r="BC457" s="76"/>
      <c r="BD457" s="76">
        <f>+BC457*30000</f>
        <v>0</v>
      </c>
      <c r="BE457" s="76"/>
      <c r="BF457" s="76"/>
      <c r="BG457" s="76"/>
      <c r="BH457" s="76"/>
      <c r="BI457" s="76"/>
      <c r="BJ457" s="76"/>
      <c r="BK457" s="76"/>
      <c r="BL457" s="76">
        <f>+BK457*31500</f>
        <v>0</v>
      </c>
      <c r="BM457" s="76"/>
      <c r="BN457" s="76"/>
      <c r="BO457" s="76"/>
      <c r="BP457" s="76"/>
      <c r="BQ457" s="76"/>
      <c r="BR457" s="76"/>
      <c r="BS457" s="76"/>
      <c r="BT457" s="76"/>
      <c r="BU457" s="76"/>
      <c r="BV457" s="76"/>
      <c r="BW457" s="76"/>
      <c r="BX457" s="76"/>
      <c r="BY457" s="76"/>
      <c r="BZ457" s="76"/>
      <c r="CA457" s="76"/>
      <c r="CB457" s="76"/>
      <c r="CC457" s="76"/>
      <c r="CD457" s="76"/>
      <c r="CE457" s="76"/>
      <c r="CF457" s="76">
        <f>+CE457*28000</f>
        <v>0</v>
      </c>
      <c r="CG457" s="76"/>
      <c r="CH457" s="76">
        <f>+CG457*22500</f>
        <v>0</v>
      </c>
      <c r="CI457" s="76"/>
      <c r="CJ457" s="76">
        <f>+CI457*26000</f>
        <v>0</v>
      </c>
      <c r="CK457" s="76"/>
      <c r="CL457" s="76"/>
      <c r="CM457" s="76"/>
      <c r="CN457" s="76">
        <f>+CM457*22000</f>
        <v>0</v>
      </c>
      <c r="CO457" s="76"/>
      <c r="CP457" s="76">
        <f>+CO457*46000</f>
        <v>0</v>
      </c>
      <c r="CQ457" s="76"/>
      <c r="CR457" s="76">
        <f>+CQ457*49000</f>
        <v>0</v>
      </c>
      <c r="CS457" s="76"/>
      <c r="CT457" s="76"/>
      <c r="CU457" s="56">
        <f>AN457+AP457+AR457+AT457+AV457+AX457+AZ457+BB457+BD457+BF457+BH457+BJ457+BL457+BN457+BP457+BR457+BT457+BV457+BX457+BZ457+CB457+CD457+CF457+CH457+CJ457+CL457+CN457+CP457+CR457+CT457</f>
        <v>0</v>
      </c>
      <c r="CV457" s="76"/>
      <c r="CW457" s="76">
        <f>+CV457*1100</f>
        <v>0</v>
      </c>
      <c r="CX457" s="76"/>
      <c r="CY457" s="76">
        <f>+CX457*106250</f>
        <v>0</v>
      </c>
      <c r="CZ457" s="76"/>
      <c r="DA457" s="76">
        <f>+CZ457*34500</f>
        <v>0</v>
      </c>
      <c r="DB457" s="76"/>
      <c r="DC457" s="76">
        <f>+DB457*25000</f>
        <v>0</v>
      </c>
      <c r="DD457" s="219"/>
      <c r="DE457" s="219"/>
      <c r="DF457" s="166"/>
      <c r="DG457" s="116"/>
      <c r="DH457" s="117"/>
      <c r="DI457" s="24"/>
      <c r="DJ457" s="24"/>
      <c r="DK457" s="24"/>
      <c r="DL457" s="24"/>
      <c r="DM457" s="24"/>
      <c r="DN457" s="24"/>
      <c r="DO457" s="24"/>
      <c r="DP457" s="24"/>
      <c r="DQ457" s="24"/>
      <c r="DR457" s="24"/>
      <c r="DS457" s="24"/>
      <c r="DT457" s="24"/>
      <c r="DU457" s="24"/>
    </row>
    <row r="458" spans="1:125" s="8" customFormat="1" ht="48" x14ac:dyDescent="0.2">
      <c r="A458" s="77">
        <v>41304</v>
      </c>
      <c r="B458" s="78" t="s">
        <v>2855</v>
      </c>
      <c r="C458" s="83" t="s">
        <v>2717</v>
      </c>
      <c r="D458" s="81" t="s">
        <v>2846</v>
      </c>
      <c r="E458" s="75" t="str">
        <f>VLOOKUP(B458&amp;C458,Divipola!$C$2:$F$1138,4,FALSE)</f>
        <v>20750</v>
      </c>
      <c r="F458" s="93"/>
      <c r="G458" s="93"/>
      <c r="H458" s="93"/>
      <c r="I458" s="93"/>
      <c r="J458" s="93"/>
      <c r="K458" s="93"/>
      <c r="L458" s="93"/>
      <c r="M458" s="93"/>
      <c r="N458" s="93"/>
      <c r="O458" s="93"/>
      <c r="P458" s="93"/>
      <c r="Q458" s="93"/>
      <c r="R458" s="93"/>
      <c r="S458" s="93"/>
      <c r="T458" s="93"/>
      <c r="U458" s="125">
        <v>2</v>
      </c>
      <c r="V458" s="89"/>
      <c r="W458" s="96">
        <v>0</v>
      </c>
      <c r="X458" s="71">
        <f>CU458</f>
        <v>0</v>
      </c>
      <c r="Y458" s="71">
        <f>CY458</f>
        <v>0</v>
      </c>
      <c r="Z458" s="71">
        <f>DA458+DC458+DE458</f>
        <v>0</v>
      </c>
      <c r="AA458" s="71">
        <f>CW458</f>
        <v>0</v>
      </c>
      <c r="AB458" s="71"/>
      <c r="AC458" s="71">
        <v>0</v>
      </c>
      <c r="AD458" s="71">
        <f>W458+X458+Y458+Z458+AA458+AB458+AC458</f>
        <v>0</v>
      </c>
      <c r="AE458" s="72">
        <v>0</v>
      </c>
      <c r="AF458" s="5"/>
      <c r="AG458" s="6"/>
      <c r="AH458" s="27" t="s">
        <v>3392</v>
      </c>
      <c r="AI458" s="44" t="s">
        <v>3393</v>
      </c>
      <c r="AJ458" s="26"/>
      <c r="AK458" s="5"/>
      <c r="AL458" s="82" t="s">
        <v>3312</v>
      </c>
      <c r="AM458" s="76"/>
      <c r="AN458" s="76"/>
      <c r="AO458" s="76"/>
      <c r="AP458" s="76"/>
      <c r="AQ458" s="76"/>
      <c r="AR458" s="76"/>
      <c r="AS458" s="76"/>
      <c r="AT458" s="76"/>
      <c r="AU458" s="76"/>
      <c r="AV458" s="76"/>
      <c r="AW458" s="76"/>
      <c r="AX458" s="76">
        <f>+AW458*600000</f>
        <v>0</v>
      </c>
      <c r="AY458" s="76"/>
      <c r="AZ458" s="76">
        <f>+AY458*70000</f>
        <v>0</v>
      </c>
      <c r="BA458" s="76"/>
      <c r="BB458" s="76"/>
      <c r="BC458" s="76"/>
      <c r="BD458" s="76">
        <f>+BC458*30000</f>
        <v>0</v>
      </c>
      <c r="BE458" s="76"/>
      <c r="BF458" s="76"/>
      <c r="BG458" s="76"/>
      <c r="BH458" s="76"/>
      <c r="BI458" s="76"/>
      <c r="BJ458" s="76"/>
      <c r="BK458" s="76"/>
      <c r="BL458" s="76">
        <f>+BK458*31500</f>
        <v>0</v>
      </c>
      <c r="BM458" s="76"/>
      <c r="BN458" s="76"/>
      <c r="BO458" s="76"/>
      <c r="BP458" s="76"/>
      <c r="BQ458" s="76"/>
      <c r="BR458" s="76"/>
      <c r="BS458" s="76"/>
      <c r="BT458" s="76"/>
      <c r="BU458" s="76"/>
      <c r="BV458" s="76"/>
      <c r="BW458" s="76"/>
      <c r="BX458" s="76"/>
      <c r="BY458" s="76"/>
      <c r="BZ458" s="76"/>
      <c r="CA458" s="76"/>
      <c r="CB458" s="76"/>
      <c r="CC458" s="76"/>
      <c r="CD458" s="76"/>
      <c r="CE458" s="76"/>
      <c r="CF458" s="76">
        <f>+CE458*28000</f>
        <v>0</v>
      </c>
      <c r="CG458" s="76"/>
      <c r="CH458" s="76">
        <f>+CG458*22500</f>
        <v>0</v>
      </c>
      <c r="CI458" s="76"/>
      <c r="CJ458" s="76">
        <f>+CI458*26000</f>
        <v>0</v>
      </c>
      <c r="CK458" s="76"/>
      <c r="CL458" s="76"/>
      <c r="CM458" s="76"/>
      <c r="CN458" s="76">
        <f>+CM458*22000</f>
        <v>0</v>
      </c>
      <c r="CO458" s="76"/>
      <c r="CP458" s="76">
        <f>+CO458*46000</f>
        <v>0</v>
      </c>
      <c r="CQ458" s="76"/>
      <c r="CR458" s="76">
        <f>+CQ458*49000</f>
        <v>0</v>
      </c>
      <c r="CS458" s="76"/>
      <c r="CT458" s="76"/>
      <c r="CU458" s="56">
        <f>AN458+AP458+AR458+AT458+AV458+AX458+AZ458+BB458+BD458+BF458+BH458+BJ458+BL458+BN458+BP458+BR458+BT458+BV458+BX458+BZ458+CB458+CD458+CF458+CH458+CJ458+CL458+CN458+CP458+CR458+CT458</f>
        <v>0</v>
      </c>
      <c r="CV458" s="76"/>
      <c r="CW458" s="76">
        <f>+CV458*1100</f>
        <v>0</v>
      </c>
      <c r="CX458" s="76"/>
      <c r="CY458" s="76">
        <f>+CX458*106250</f>
        <v>0</v>
      </c>
      <c r="CZ458" s="76"/>
      <c r="DA458" s="76">
        <f>+CZ458*34500</f>
        <v>0</v>
      </c>
      <c r="DB458" s="76"/>
      <c r="DC458" s="76">
        <f>+DB458*25000</f>
        <v>0</v>
      </c>
      <c r="DD458" s="219"/>
      <c r="DE458" s="219"/>
      <c r="DF458" s="166"/>
      <c r="DG458" s="116"/>
      <c r="DH458" s="117"/>
      <c r="DI458" s="24"/>
      <c r="DJ458" s="24"/>
      <c r="DK458" s="24"/>
      <c r="DL458" s="24"/>
      <c r="DM458" s="24"/>
      <c r="DN458" s="24"/>
      <c r="DO458" s="24"/>
      <c r="DP458" s="24"/>
      <c r="DQ458" s="24"/>
      <c r="DR458" s="24"/>
      <c r="DS458" s="24"/>
      <c r="DT458" s="24"/>
      <c r="DU458" s="24"/>
    </row>
    <row r="459" spans="1:125" s="8" customFormat="1" ht="84" x14ac:dyDescent="0.2">
      <c r="A459" s="77">
        <v>41304</v>
      </c>
      <c r="B459" s="225" t="s">
        <v>2718</v>
      </c>
      <c r="C459" s="227" t="s">
        <v>986</v>
      </c>
      <c r="D459" s="81" t="s">
        <v>2846</v>
      </c>
      <c r="E459" s="75" t="str">
        <f>VLOOKUP(B459&amp;C459,Divipola!$C$2:$F$1138,4,FALSE)</f>
        <v>23660</v>
      </c>
      <c r="F459" s="87"/>
      <c r="G459" s="87"/>
      <c r="H459" s="87"/>
      <c r="I459" s="87"/>
      <c r="J459" s="87"/>
      <c r="K459" s="87"/>
      <c r="L459" s="87"/>
      <c r="M459" s="87"/>
      <c r="N459" s="87"/>
      <c r="O459" s="87"/>
      <c r="P459" s="87"/>
      <c r="Q459" s="87"/>
      <c r="R459" s="87"/>
      <c r="S459" s="87"/>
      <c r="T459" s="87"/>
      <c r="U459" s="127">
        <v>2</v>
      </c>
      <c r="V459" s="89"/>
      <c r="W459" s="96">
        <v>0</v>
      </c>
      <c r="X459" s="71">
        <f>CU459</f>
        <v>0</v>
      </c>
      <c r="Y459" s="71">
        <f>CY459</f>
        <v>0</v>
      </c>
      <c r="Z459" s="71">
        <f>DA459+DC459+DE459</f>
        <v>0</v>
      </c>
      <c r="AA459" s="71">
        <f>CW459</f>
        <v>0</v>
      </c>
      <c r="AB459" s="71"/>
      <c r="AC459" s="71">
        <v>0</v>
      </c>
      <c r="AD459" s="71">
        <f>W459+X459+Y459+Z459+AA459+AB459+AC459</f>
        <v>0</v>
      </c>
      <c r="AE459" s="72">
        <v>0</v>
      </c>
      <c r="AF459" s="5"/>
      <c r="AG459" s="6"/>
      <c r="AH459" s="27" t="s">
        <v>3392</v>
      </c>
      <c r="AI459" s="44" t="s">
        <v>3393</v>
      </c>
      <c r="AJ459" s="26"/>
      <c r="AK459" s="5"/>
      <c r="AL459" s="82" t="s">
        <v>3323</v>
      </c>
      <c r="AM459" s="76"/>
      <c r="AN459" s="76"/>
      <c r="AO459" s="76"/>
      <c r="AP459" s="76"/>
      <c r="AQ459" s="76"/>
      <c r="AR459" s="76"/>
      <c r="AS459" s="76"/>
      <c r="AT459" s="76"/>
      <c r="AU459" s="76"/>
      <c r="AV459" s="76"/>
      <c r="AW459" s="76"/>
      <c r="AX459" s="76">
        <f>+AW459*600000</f>
        <v>0</v>
      </c>
      <c r="AY459" s="76"/>
      <c r="AZ459" s="76">
        <f>+AY459*70000</f>
        <v>0</v>
      </c>
      <c r="BA459" s="76"/>
      <c r="BB459" s="76"/>
      <c r="BC459" s="76"/>
      <c r="BD459" s="76">
        <f>+BC459*30000</f>
        <v>0</v>
      </c>
      <c r="BE459" s="76"/>
      <c r="BF459" s="76"/>
      <c r="BG459" s="76"/>
      <c r="BH459" s="76"/>
      <c r="BI459" s="76"/>
      <c r="BJ459" s="76"/>
      <c r="BK459" s="76"/>
      <c r="BL459" s="76">
        <f>+BK459*31500</f>
        <v>0</v>
      </c>
      <c r="BM459" s="76"/>
      <c r="BN459" s="76"/>
      <c r="BO459" s="76"/>
      <c r="BP459" s="76"/>
      <c r="BQ459" s="76"/>
      <c r="BR459" s="76"/>
      <c r="BS459" s="76"/>
      <c r="BT459" s="76"/>
      <c r="BU459" s="76"/>
      <c r="BV459" s="76"/>
      <c r="BW459" s="76"/>
      <c r="BX459" s="76"/>
      <c r="BY459" s="76"/>
      <c r="BZ459" s="76"/>
      <c r="CA459" s="76"/>
      <c r="CB459" s="76"/>
      <c r="CC459" s="76"/>
      <c r="CD459" s="76"/>
      <c r="CE459" s="76"/>
      <c r="CF459" s="76">
        <f>+CE459*28000</f>
        <v>0</v>
      </c>
      <c r="CG459" s="76"/>
      <c r="CH459" s="76">
        <f>+CG459*22500</f>
        <v>0</v>
      </c>
      <c r="CI459" s="76"/>
      <c r="CJ459" s="76">
        <f>+CI459*26000</f>
        <v>0</v>
      </c>
      <c r="CK459" s="76"/>
      <c r="CL459" s="76"/>
      <c r="CM459" s="76"/>
      <c r="CN459" s="76">
        <f>+CM459*22000</f>
        <v>0</v>
      </c>
      <c r="CO459" s="76"/>
      <c r="CP459" s="76">
        <f>+CO459*46000</f>
        <v>0</v>
      </c>
      <c r="CQ459" s="76"/>
      <c r="CR459" s="76">
        <f>+CQ459*49000</f>
        <v>0</v>
      </c>
      <c r="CS459" s="76"/>
      <c r="CT459" s="76"/>
      <c r="CU459" s="56">
        <f>AN459+AP459+AR459+AT459+AV459+AX459+AZ459+BB459+BD459+BF459+BH459+BJ459+BL459+BN459+BP459+BR459+BT459+BV459+BX459+BZ459+CB459+CD459+CF459+CH459+CJ459+CL459+CN459+CP459+CR459+CT459</f>
        <v>0</v>
      </c>
      <c r="CV459" s="76"/>
      <c r="CW459" s="76">
        <f>+CV459*1100</f>
        <v>0</v>
      </c>
      <c r="CX459" s="76"/>
      <c r="CY459" s="76">
        <f>+CX459*106250</f>
        <v>0</v>
      </c>
      <c r="CZ459" s="76"/>
      <c r="DA459" s="76">
        <f>+CZ459*34500</f>
        <v>0</v>
      </c>
      <c r="DB459" s="76"/>
      <c r="DC459" s="76">
        <f>+DB459*25000</f>
        <v>0</v>
      </c>
      <c r="DD459" s="219"/>
      <c r="DE459" s="219"/>
      <c r="DF459" s="166"/>
      <c r="DG459" s="116"/>
      <c r="DH459" s="117"/>
      <c r="DI459" s="24"/>
      <c r="DJ459" s="24"/>
      <c r="DK459" s="24"/>
      <c r="DL459" s="24"/>
      <c r="DM459" s="24"/>
      <c r="DN459" s="24"/>
      <c r="DO459" s="24"/>
      <c r="DP459" s="24"/>
      <c r="DQ459" s="24"/>
      <c r="DR459" s="24"/>
      <c r="DS459" s="24"/>
      <c r="DT459" s="24"/>
      <c r="DU459" s="24"/>
    </row>
    <row r="460" spans="1:125" s="8" customFormat="1" ht="72" x14ac:dyDescent="0.2">
      <c r="A460" s="77">
        <v>41304</v>
      </c>
      <c r="B460" s="78" t="s">
        <v>2772</v>
      </c>
      <c r="C460" s="227" t="s">
        <v>2826</v>
      </c>
      <c r="D460" s="81" t="s">
        <v>2846</v>
      </c>
      <c r="E460" s="75" t="str">
        <f>VLOOKUP(B460&amp;C460,Divipola!$C$2:$F$1138,4,FALSE)</f>
        <v>25086</v>
      </c>
      <c r="F460" s="87"/>
      <c r="G460" s="87"/>
      <c r="H460" s="87"/>
      <c r="I460" s="87"/>
      <c r="J460" s="87"/>
      <c r="K460" s="87"/>
      <c r="L460" s="87"/>
      <c r="M460" s="87"/>
      <c r="N460" s="87"/>
      <c r="O460" s="87"/>
      <c r="P460" s="87"/>
      <c r="Q460" s="87"/>
      <c r="R460" s="87"/>
      <c r="S460" s="87"/>
      <c r="T460" s="87"/>
      <c r="U460" s="127">
        <v>15</v>
      </c>
      <c r="V460" s="89"/>
      <c r="W460" s="96">
        <v>0</v>
      </c>
      <c r="X460" s="71">
        <f>CU460</f>
        <v>0</v>
      </c>
      <c r="Y460" s="71">
        <f>CY460</f>
        <v>0</v>
      </c>
      <c r="Z460" s="71">
        <f>DA460+DC460+DE460</f>
        <v>0</v>
      </c>
      <c r="AA460" s="71">
        <f>CW460</f>
        <v>0</v>
      </c>
      <c r="AB460" s="71"/>
      <c r="AC460" s="71">
        <v>0</v>
      </c>
      <c r="AD460" s="71">
        <f>W460+X460+Y460+Z460+AA460+AB460+AC460</f>
        <v>0</v>
      </c>
      <c r="AE460" s="72">
        <v>0</v>
      </c>
      <c r="AF460" s="5"/>
      <c r="AG460" s="6"/>
      <c r="AH460" s="27" t="s">
        <v>3392</v>
      </c>
      <c r="AI460" s="44" t="s">
        <v>3393</v>
      </c>
      <c r="AJ460" s="26"/>
      <c r="AK460" s="5"/>
      <c r="AL460" s="82" t="s">
        <v>3317</v>
      </c>
      <c r="AM460" s="76"/>
      <c r="AN460" s="76"/>
      <c r="AO460" s="76"/>
      <c r="AP460" s="76"/>
      <c r="AQ460" s="76"/>
      <c r="AR460" s="76"/>
      <c r="AS460" s="76"/>
      <c r="AT460" s="76"/>
      <c r="AU460" s="76"/>
      <c r="AV460" s="76"/>
      <c r="AW460" s="76"/>
      <c r="AX460" s="76">
        <f>+AW460*600000</f>
        <v>0</v>
      </c>
      <c r="AY460" s="76"/>
      <c r="AZ460" s="76">
        <f>+AY460*70000</f>
        <v>0</v>
      </c>
      <c r="BA460" s="76"/>
      <c r="BB460" s="76"/>
      <c r="BC460" s="76"/>
      <c r="BD460" s="76">
        <f>+BC460*30000</f>
        <v>0</v>
      </c>
      <c r="BE460" s="76"/>
      <c r="BF460" s="76"/>
      <c r="BG460" s="76"/>
      <c r="BH460" s="76"/>
      <c r="BI460" s="76"/>
      <c r="BJ460" s="76"/>
      <c r="BK460" s="76"/>
      <c r="BL460" s="76">
        <f>+BK460*31500</f>
        <v>0</v>
      </c>
      <c r="BM460" s="76"/>
      <c r="BN460" s="76"/>
      <c r="BO460" s="76"/>
      <c r="BP460" s="76"/>
      <c r="BQ460" s="76"/>
      <c r="BR460" s="76"/>
      <c r="BS460" s="76"/>
      <c r="BT460" s="76"/>
      <c r="BU460" s="76"/>
      <c r="BV460" s="76"/>
      <c r="BW460" s="76"/>
      <c r="BX460" s="76"/>
      <c r="BY460" s="76"/>
      <c r="BZ460" s="76"/>
      <c r="CA460" s="76"/>
      <c r="CB460" s="76"/>
      <c r="CC460" s="76"/>
      <c r="CD460" s="76"/>
      <c r="CE460" s="76"/>
      <c r="CF460" s="76">
        <f>+CE460*28000</f>
        <v>0</v>
      </c>
      <c r="CG460" s="76"/>
      <c r="CH460" s="76">
        <f>+CG460*22500</f>
        <v>0</v>
      </c>
      <c r="CI460" s="76"/>
      <c r="CJ460" s="76">
        <f>+CI460*26000</f>
        <v>0</v>
      </c>
      <c r="CK460" s="76"/>
      <c r="CL460" s="76"/>
      <c r="CM460" s="76"/>
      <c r="CN460" s="76">
        <f>+CM460*22000</f>
        <v>0</v>
      </c>
      <c r="CO460" s="76"/>
      <c r="CP460" s="76">
        <f>+CO460*46000</f>
        <v>0</v>
      </c>
      <c r="CQ460" s="76"/>
      <c r="CR460" s="76">
        <f>+CQ460*49000</f>
        <v>0</v>
      </c>
      <c r="CS460" s="76"/>
      <c r="CT460" s="76"/>
      <c r="CU460" s="56">
        <f>AN460+AP460+AR460+AT460+AV460+AX460+AZ460+BB460+BD460+BF460+BH460+BJ460+BL460+BN460+BP460+BR460+BT460+BV460+BX460+BZ460+CB460+CD460+CF460+CH460+CJ460+CL460+CN460+CP460+CR460+CT460</f>
        <v>0</v>
      </c>
      <c r="CV460" s="76"/>
      <c r="CW460" s="76">
        <f>+CV460*1100</f>
        <v>0</v>
      </c>
      <c r="CX460" s="76"/>
      <c r="CY460" s="76">
        <f>+CX460*106250</f>
        <v>0</v>
      </c>
      <c r="CZ460" s="76"/>
      <c r="DA460" s="76">
        <f>+CZ460*34500</f>
        <v>0</v>
      </c>
      <c r="DB460" s="76"/>
      <c r="DC460" s="76">
        <f>+DB460*25000</f>
        <v>0</v>
      </c>
      <c r="DD460" s="219"/>
      <c r="DE460" s="219"/>
      <c r="DF460" s="166"/>
      <c r="DG460" s="116"/>
      <c r="DH460" s="117"/>
      <c r="DI460" s="24"/>
      <c r="DJ460" s="24"/>
      <c r="DK460" s="24"/>
      <c r="DL460" s="24"/>
      <c r="DM460" s="24"/>
      <c r="DN460" s="24"/>
      <c r="DO460" s="24"/>
      <c r="DP460" s="24"/>
      <c r="DQ460" s="24"/>
      <c r="DR460" s="24"/>
      <c r="DS460" s="24"/>
      <c r="DT460" s="24"/>
      <c r="DU460" s="24"/>
    </row>
    <row r="461" spans="1:125" s="8" customFormat="1" ht="96" x14ac:dyDescent="0.2">
      <c r="A461" s="77">
        <v>41304</v>
      </c>
      <c r="B461" s="225" t="s">
        <v>2772</v>
      </c>
      <c r="C461" s="227" t="s">
        <v>1335</v>
      </c>
      <c r="D461" s="81" t="s">
        <v>2846</v>
      </c>
      <c r="E461" s="75" t="str">
        <f>VLOOKUP(B461&amp;C461,Divipola!$C$2:$F$1138,4,FALSE)</f>
        <v>25322</v>
      </c>
      <c r="F461" s="87"/>
      <c r="G461" s="87"/>
      <c r="H461" s="87"/>
      <c r="I461" s="87"/>
      <c r="J461" s="87"/>
      <c r="K461" s="87"/>
      <c r="L461" s="87"/>
      <c r="M461" s="87"/>
      <c r="N461" s="87"/>
      <c r="O461" s="87"/>
      <c r="P461" s="87"/>
      <c r="Q461" s="87"/>
      <c r="R461" s="87"/>
      <c r="S461" s="87"/>
      <c r="T461" s="87"/>
      <c r="U461" s="127">
        <v>4</v>
      </c>
      <c r="V461" s="89"/>
      <c r="W461" s="96">
        <v>0</v>
      </c>
      <c r="X461" s="71">
        <f>CU461</f>
        <v>0</v>
      </c>
      <c r="Y461" s="71">
        <f>CY461</f>
        <v>0</v>
      </c>
      <c r="Z461" s="71">
        <f>DA461+DC461+DE461</f>
        <v>0</v>
      </c>
      <c r="AA461" s="71">
        <f>CW461</f>
        <v>0</v>
      </c>
      <c r="AB461" s="71"/>
      <c r="AC461" s="71">
        <v>0</v>
      </c>
      <c r="AD461" s="71">
        <f>W461+X461+Y461+Z461+AA461+AB461+AC461</f>
        <v>0</v>
      </c>
      <c r="AE461" s="72">
        <v>0</v>
      </c>
      <c r="AF461" s="5"/>
      <c r="AG461" s="6"/>
      <c r="AH461" s="27" t="s">
        <v>3392</v>
      </c>
      <c r="AI461" s="44" t="s">
        <v>3393</v>
      </c>
      <c r="AJ461" s="26"/>
      <c r="AK461" s="5"/>
      <c r="AL461" s="82" t="s">
        <v>3320</v>
      </c>
      <c r="AM461" s="76"/>
      <c r="AN461" s="76"/>
      <c r="AO461" s="76"/>
      <c r="AP461" s="76"/>
      <c r="AQ461" s="76"/>
      <c r="AR461" s="76"/>
      <c r="AS461" s="76"/>
      <c r="AT461" s="76"/>
      <c r="AU461" s="76"/>
      <c r="AV461" s="76"/>
      <c r="AW461" s="76"/>
      <c r="AX461" s="76">
        <f>+AW461*600000</f>
        <v>0</v>
      </c>
      <c r="AY461" s="76"/>
      <c r="AZ461" s="76">
        <f>+AY461*70000</f>
        <v>0</v>
      </c>
      <c r="BA461" s="76"/>
      <c r="BB461" s="76"/>
      <c r="BC461" s="76"/>
      <c r="BD461" s="76">
        <f>+BC461*30000</f>
        <v>0</v>
      </c>
      <c r="BE461" s="76"/>
      <c r="BF461" s="76"/>
      <c r="BG461" s="76"/>
      <c r="BH461" s="76"/>
      <c r="BI461" s="76"/>
      <c r="BJ461" s="76"/>
      <c r="BK461" s="76"/>
      <c r="BL461" s="76">
        <f>+BK461*31500</f>
        <v>0</v>
      </c>
      <c r="BM461" s="76"/>
      <c r="BN461" s="76"/>
      <c r="BO461" s="76"/>
      <c r="BP461" s="76"/>
      <c r="BQ461" s="76"/>
      <c r="BR461" s="76"/>
      <c r="BS461" s="76"/>
      <c r="BT461" s="76"/>
      <c r="BU461" s="76"/>
      <c r="BV461" s="76"/>
      <c r="BW461" s="76"/>
      <c r="BX461" s="76"/>
      <c r="BY461" s="76"/>
      <c r="BZ461" s="76"/>
      <c r="CA461" s="76"/>
      <c r="CB461" s="76"/>
      <c r="CC461" s="76"/>
      <c r="CD461" s="76"/>
      <c r="CE461" s="76"/>
      <c r="CF461" s="76">
        <f>+CE461*28000</f>
        <v>0</v>
      </c>
      <c r="CG461" s="76"/>
      <c r="CH461" s="76">
        <f>+CG461*22500</f>
        <v>0</v>
      </c>
      <c r="CI461" s="76"/>
      <c r="CJ461" s="76">
        <f>+CI461*26000</f>
        <v>0</v>
      </c>
      <c r="CK461" s="76"/>
      <c r="CL461" s="76"/>
      <c r="CM461" s="76"/>
      <c r="CN461" s="76">
        <f>+CM461*22000</f>
        <v>0</v>
      </c>
      <c r="CO461" s="76"/>
      <c r="CP461" s="76">
        <f>+CO461*46000</f>
        <v>0</v>
      </c>
      <c r="CQ461" s="76"/>
      <c r="CR461" s="76">
        <f>+CQ461*49000</f>
        <v>0</v>
      </c>
      <c r="CS461" s="76"/>
      <c r="CT461" s="76"/>
      <c r="CU461" s="56">
        <f>AN461+AP461+AR461+AT461+AV461+AX461+AZ461+BB461+BD461+BF461+BH461+BJ461+BL461+BN461+BP461+BR461+BT461+BV461+BX461+BZ461+CB461+CD461+CF461+CH461+CJ461+CL461+CN461+CP461+CR461+CT461</f>
        <v>0</v>
      </c>
      <c r="CV461" s="76"/>
      <c r="CW461" s="76">
        <f>+CV461*1100</f>
        <v>0</v>
      </c>
      <c r="CX461" s="76"/>
      <c r="CY461" s="76">
        <f>+CX461*106250</f>
        <v>0</v>
      </c>
      <c r="CZ461" s="76"/>
      <c r="DA461" s="76">
        <f>+CZ461*34500</f>
        <v>0</v>
      </c>
      <c r="DB461" s="76"/>
      <c r="DC461" s="76">
        <f>+DB461*25000</f>
        <v>0</v>
      </c>
      <c r="DD461" s="219"/>
      <c r="DE461" s="219"/>
      <c r="DF461" s="166"/>
      <c r="DG461" s="116"/>
      <c r="DH461" s="117"/>
      <c r="DI461" s="24"/>
      <c r="DJ461" s="24"/>
      <c r="DK461" s="24"/>
      <c r="DL461" s="24"/>
      <c r="DM461" s="24"/>
      <c r="DN461" s="24"/>
      <c r="DO461" s="24"/>
      <c r="DP461" s="24"/>
      <c r="DQ461" s="24"/>
      <c r="DR461" s="24"/>
      <c r="DS461" s="24"/>
      <c r="DT461" s="24"/>
      <c r="DU461" s="24"/>
    </row>
    <row r="462" spans="1:125" s="8" customFormat="1" ht="84" x14ac:dyDescent="0.2">
      <c r="A462" s="77">
        <v>41304</v>
      </c>
      <c r="B462" s="78" t="s">
        <v>2772</v>
      </c>
      <c r="C462" s="227" t="s">
        <v>2690</v>
      </c>
      <c r="D462" s="227" t="s">
        <v>2859</v>
      </c>
      <c r="E462" s="75" t="str">
        <f>VLOOKUP(B462&amp;C462,Divipola!$C$2:$F$1138,4,FALSE)</f>
        <v>25513</v>
      </c>
      <c r="F462" s="87"/>
      <c r="G462" s="87"/>
      <c r="H462" s="87"/>
      <c r="I462" s="87">
        <v>5</v>
      </c>
      <c r="J462" s="87">
        <v>1</v>
      </c>
      <c r="K462" s="87">
        <v>1</v>
      </c>
      <c r="L462" s="87"/>
      <c r="M462" s="87"/>
      <c r="N462" s="87"/>
      <c r="O462" s="87"/>
      <c r="P462" s="87"/>
      <c r="Q462" s="87"/>
      <c r="R462" s="87"/>
      <c r="S462" s="87"/>
      <c r="T462" s="87"/>
      <c r="U462" s="127"/>
      <c r="V462" s="89"/>
      <c r="W462" s="96">
        <v>0</v>
      </c>
      <c r="X462" s="71">
        <f>CU462</f>
        <v>0</v>
      </c>
      <c r="Y462" s="71">
        <f>CY462</f>
        <v>0</v>
      </c>
      <c r="Z462" s="71">
        <f>DA462+DC462+DE462</f>
        <v>0</v>
      </c>
      <c r="AA462" s="71">
        <f>CW462</f>
        <v>0</v>
      </c>
      <c r="AB462" s="71"/>
      <c r="AC462" s="71">
        <v>0</v>
      </c>
      <c r="AD462" s="71">
        <f>W462+X462+Y462+Z462+AA462+AB462+AC462</f>
        <v>0</v>
      </c>
      <c r="AE462" s="72">
        <v>0</v>
      </c>
      <c r="AF462" s="5"/>
      <c r="AG462" s="6"/>
      <c r="AH462" s="27" t="s">
        <v>3392</v>
      </c>
      <c r="AI462" s="44" t="s">
        <v>3393</v>
      </c>
      <c r="AJ462" s="26"/>
      <c r="AK462" s="5"/>
      <c r="AL462" s="82" t="s">
        <v>3318</v>
      </c>
      <c r="AM462" s="76"/>
      <c r="AN462" s="76"/>
      <c r="AO462" s="76"/>
      <c r="AP462" s="76"/>
      <c r="AQ462" s="76"/>
      <c r="AR462" s="76"/>
      <c r="AS462" s="76"/>
      <c r="AT462" s="76"/>
      <c r="AU462" s="76"/>
      <c r="AV462" s="76"/>
      <c r="AW462" s="76"/>
      <c r="AX462" s="76">
        <f>+AW462*600000</f>
        <v>0</v>
      </c>
      <c r="AY462" s="76"/>
      <c r="AZ462" s="76">
        <f>+AY462*70000</f>
        <v>0</v>
      </c>
      <c r="BA462" s="76"/>
      <c r="BB462" s="76"/>
      <c r="BC462" s="76"/>
      <c r="BD462" s="76">
        <f>+BC462*30000</f>
        <v>0</v>
      </c>
      <c r="BE462" s="76"/>
      <c r="BF462" s="76"/>
      <c r="BG462" s="76"/>
      <c r="BH462" s="76"/>
      <c r="BI462" s="76"/>
      <c r="BJ462" s="76"/>
      <c r="BK462" s="76"/>
      <c r="BL462" s="76">
        <f>+BK462*31500</f>
        <v>0</v>
      </c>
      <c r="BM462" s="76"/>
      <c r="BN462" s="76"/>
      <c r="BO462" s="76"/>
      <c r="BP462" s="76"/>
      <c r="BQ462" s="76"/>
      <c r="BR462" s="76"/>
      <c r="BS462" s="76"/>
      <c r="BT462" s="76"/>
      <c r="BU462" s="76"/>
      <c r="BV462" s="76"/>
      <c r="BW462" s="76"/>
      <c r="BX462" s="76"/>
      <c r="BY462" s="76"/>
      <c r="BZ462" s="76"/>
      <c r="CA462" s="76"/>
      <c r="CB462" s="76"/>
      <c r="CC462" s="76"/>
      <c r="CD462" s="76"/>
      <c r="CE462" s="76"/>
      <c r="CF462" s="76">
        <f>+CE462*28000</f>
        <v>0</v>
      </c>
      <c r="CG462" s="76"/>
      <c r="CH462" s="76">
        <f>+CG462*22500</f>
        <v>0</v>
      </c>
      <c r="CI462" s="76"/>
      <c r="CJ462" s="76">
        <f>+CI462*26000</f>
        <v>0</v>
      </c>
      <c r="CK462" s="76"/>
      <c r="CL462" s="76"/>
      <c r="CM462" s="76"/>
      <c r="CN462" s="76">
        <f>+CM462*22000</f>
        <v>0</v>
      </c>
      <c r="CO462" s="76"/>
      <c r="CP462" s="76">
        <f>+CO462*46000</f>
        <v>0</v>
      </c>
      <c r="CQ462" s="76"/>
      <c r="CR462" s="76">
        <f>+CQ462*49000</f>
        <v>0</v>
      </c>
      <c r="CS462" s="76"/>
      <c r="CT462" s="76"/>
      <c r="CU462" s="56">
        <f>AN462+AP462+AR462+AT462+AV462+AX462+AZ462+BB462+BD462+BF462+BH462+BJ462+BL462+BN462+BP462+BR462+BT462+BV462+BX462+BZ462+CB462+CD462+CF462+CH462+CJ462+CL462+CN462+CP462+CR462+CT462</f>
        <v>0</v>
      </c>
      <c r="CV462" s="76"/>
      <c r="CW462" s="76">
        <f>+CV462*1100</f>
        <v>0</v>
      </c>
      <c r="CX462" s="76"/>
      <c r="CY462" s="76">
        <f>+CX462*106250</f>
        <v>0</v>
      </c>
      <c r="CZ462" s="76"/>
      <c r="DA462" s="76">
        <f>+CZ462*34500</f>
        <v>0</v>
      </c>
      <c r="DB462" s="76"/>
      <c r="DC462" s="76">
        <f>+DB462*25000</f>
        <v>0</v>
      </c>
      <c r="DD462" s="219"/>
      <c r="DE462" s="219"/>
      <c r="DF462" s="166"/>
      <c r="DG462" s="116"/>
      <c r="DH462" s="117"/>
      <c r="DI462" s="24"/>
      <c r="DJ462" s="24"/>
      <c r="DK462" s="24"/>
      <c r="DL462" s="24"/>
      <c r="DM462" s="24"/>
      <c r="DN462" s="24"/>
      <c r="DO462" s="24"/>
      <c r="DP462" s="24"/>
      <c r="DQ462" s="24"/>
      <c r="DR462" s="24"/>
      <c r="DS462" s="24"/>
      <c r="DT462" s="24"/>
      <c r="DU462" s="24"/>
    </row>
    <row r="463" spans="1:125" s="8" customFormat="1" ht="72" x14ac:dyDescent="0.2">
      <c r="A463" s="77">
        <v>41304</v>
      </c>
      <c r="B463" s="352" t="s">
        <v>2772</v>
      </c>
      <c r="C463" s="354" t="s">
        <v>2690</v>
      </c>
      <c r="D463" s="81" t="s">
        <v>2846</v>
      </c>
      <c r="E463" s="75" t="str">
        <f>VLOOKUP(B463&amp;C463,Divipola!$C$2:$F$1138,4,FALSE)</f>
        <v>25513</v>
      </c>
      <c r="F463" s="87"/>
      <c r="G463" s="87"/>
      <c r="H463" s="87"/>
      <c r="I463" s="87"/>
      <c r="J463" s="87"/>
      <c r="K463" s="87"/>
      <c r="L463" s="87"/>
      <c r="M463" s="87"/>
      <c r="N463" s="87"/>
      <c r="O463" s="87"/>
      <c r="P463" s="87"/>
      <c r="Q463" s="87"/>
      <c r="R463" s="87"/>
      <c r="S463" s="87"/>
      <c r="T463" s="87"/>
      <c r="U463" s="127">
        <v>0.5</v>
      </c>
      <c r="V463" s="89"/>
      <c r="W463" s="96">
        <v>0</v>
      </c>
      <c r="X463" s="71">
        <f>CU463</f>
        <v>0</v>
      </c>
      <c r="Y463" s="71">
        <f>CY463</f>
        <v>0</v>
      </c>
      <c r="Z463" s="71">
        <f>DA463+DC463+DE463</f>
        <v>0</v>
      </c>
      <c r="AA463" s="71">
        <f>CW463</f>
        <v>0</v>
      </c>
      <c r="AB463" s="71"/>
      <c r="AC463" s="71">
        <v>0</v>
      </c>
      <c r="AD463" s="71">
        <f>W463+X463+Y463+Z463+AA463+AB463+AC463</f>
        <v>0</v>
      </c>
      <c r="AE463" s="72">
        <v>0</v>
      </c>
      <c r="AF463" s="5"/>
      <c r="AG463" s="6"/>
      <c r="AH463" s="27" t="s">
        <v>3392</v>
      </c>
      <c r="AI463" s="44" t="s">
        <v>3393</v>
      </c>
      <c r="AJ463" s="26"/>
      <c r="AK463" s="5"/>
      <c r="AL463" s="82" t="s">
        <v>3319</v>
      </c>
      <c r="AM463" s="76"/>
      <c r="AN463" s="76"/>
      <c r="AO463" s="76"/>
      <c r="AP463" s="76"/>
      <c r="AQ463" s="76"/>
      <c r="AR463" s="76"/>
      <c r="AS463" s="76"/>
      <c r="AT463" s="76"/>
      <c r="AU463" s="76"/>
      <c r="AV463" s="76"/>
      <c r="AW463" s="76"/>
      <c r="AX463" s="76">
        <f>+AW463*600000</f>
        <v>0</v>
      </c>
      <c r="AY463" s="76"/>
      <c r="AZ463" s="76">
        <f>+AY463*70000</f>
        <v>0</v>
      </c>
      <c r="BA463" s="76"/>
      <c r="BB463" s="76"/>
      <c r="BC463" s="76"/>
      <c r="BD463" s="76">
        <f>+BC463*30000</f>
        <v>0</v>
      </c>
      <c r="BE463" s="76"/>
      <c r="BF463" s="76"/>
      <c r="BG463" s="76"/>
      <c r="BH463" s="76"/>
      <c r="BI463" s="76"/>
      <c r="BJ463" s="76"/>
      <c r="BK463" s="76"/>
      <c r="BL463" s="76">
        <f>+BK463*31500</f>
        <v>0</v>
      </c>
      <c r="BM463" s="76"/>
      <c r="BN463" s="76"/>
      <c r="BO463" s="76"/>
      <c r="BP463" s="76"/>
      <c r="BQ463" s="76"/>
      <c r="BR463" s="76"/>
      <c r="BS463" s="76"/>
      <c r="BT463" s="76"/>
      <c r="BU463" s="76"/>
      <c r="BV463" s="76"/>
      <c r="BW463" s="76"/>
      <c r="BX463" s="76"/>
      <c r="BY463" s="76"/>
      <c r="BZ463" s="76"/>
      <c r="CA463" s="76"/>
      <c r="CB463" s="76"/>
      <c r="CC463" s="76"/>
      <c r="CD463" s="76"/>
      <c r="CE463" s="76"/>
      <c r="CF463" s="76">
        <f>+CE463*28000</f>
        <v>0</v>
      </c>
      <c r="CG463" s="76"/>
      <c r="CH463" s="76">
        <f>+CG463*22500</f>
        <v>0</v>
      </c>
      <c r="CI463" s="76"/>
      <c r="CJ463" s="76">
        <f>+CI463*26000</f>
        <v>0</v>
      </c>
      <c r="CK463" s="76"/>
      <c r="CL463" s="76"/>
      <c r="CM463" s="76"/>
      <c r="CN463" s="76">
        <f>+CM463*22000</f>
        <v>0</v>
      </c>
      <c r="CO463" s="76"/>
      <c r="CP463" s="76">
        <f>+CO463*46000</f>
        <v>0</v>
      </c>
      <c r="CQ463" s="76"/>
      <c r="CR463" s="76">
        <f>+CQ463*49000</f>
        <v>0</v>
      </c>
      <c r="CS463" s="76"/>
      <c r="CT463" s="76"/>
      <c r="CU463" s="56">
        <f>AN463+AP463+AR463+AT463+AV463+AX463+AZ463+BB463+BD463+BF463+BH463+BJ463+BL463+BN463+BP463+BR463+BT463+BV463+BX463+BZ463+CB463+CD463+CF463+CH463+CJ463+CL463+CN463+CP463+CR463+CT463</f>
        <v>0</v>
      </c>
      <c r="CV463" s="76"/>
      <c r="CW463" s="76">
        <f>+CV463*1100</f>
        <v>0</v>
      </c>
      <c r="CX463" s="76"/>
      <c r="CY463" s="76">
        <f>+CX463*106250</f>
        <v>0</v>
      </c>
      <c r="CZ463" s="76"/>
      <c r="DA463" s="76">
        <f>+CZ463*34500</f>
        <v>0</v>
      </c>
      <c r="DB463" s="76"/>
      <c r="DC463" s="76">
        <f>+DB463*25000</f>
        <v>0</v>
      </c>
      <c r="DD463" s="219"/>
      <c r="DE463" s="219"/>
      <c r="DF463" s="166"/>
      <c r="DG463" s="116"/>
      <c r="DH463" s="117"/>
      <c r="DI463" s="24"/>
      <c r="DJ463" s="24"/>
      <c r="DK463" s="24"/>
      <c r="DL463" s="24"/>
      <c r="DM463" s="24"/>
      <c r="DN463" s="24"/>
      <c r="DO463" s="24"/>
      <c r="DP463" s="24"/>
      <c r="DQ463" s="24"/>
      <c r="DR463" s="24"/>
      <c r="DS463" s="24"/>
      <c r="DT463" s="24"/>
      <c r="DU463" s="24"/>
    </row>
    <row r="464" spans="1:125" s="8" customFormat="1" ht="24" x14ac:dyDescent="0.2">
      <c r="A464" s="77">
        <v>41304</v>
      </c>
      <c r="B464" s="208" t="s">
        <v>2772</v>
      </c>
      <c r="C464" s="227" t="s">
        <v>2030</v>
      </c>
      <c r="D464" s="81" t="s">
        <v>2846</v>
      </c>
      <c r="E464" s="75" t="str">
        <f>VLOOKUP(B464&amp;C464,Divipola!$C$2:$F$1138,4,FALSE)</f>
        <v>25754</v>
      </c>
      <c r="F464" s="87"/>
      <c r="G464" s="87"/>
      <c r="H464" s="87"/>
      <c r="I464" s="87"/>
      <c r="J464" s="87"/>
      <c r="K464" s="87"/>
      <c r="L464" s="87"/>
      <c r="M464" s="87"/>
      <c r="N464" s="87"/>
      <c r="O464" s="87"/>
      <c r="P464" s="87"/>
      <c r="Q464" s="87"/>
      <c r="R464" s="87"/>
      <c r="S464" s="87"/>
      <c r="T464" s="87"/>
      <c r="U464" s="127"/>
      <c r="V464" s="135"/>
      <c r="W464" s="96">
        <v>0</v>
      </c>
      <c r="X464" s="71">
        <f>CU464</f>
        <v>0</v>
      </c>
      <c r="Y464" s="71">
        <f>CY464</f>
        <v>0</v>
      </c>
      <c r="Z464" s="71">
        <f>DA464+DC464+DE464</f>
        <v>0</v>
      </c>
      <c r="AA464" s="71">
        <f>CW464</f>
        <v>0</v>
      </c>
      <c r="AB464" s="71"/>
      <c r="AC464" s="71">
        <v>0</v>
      </c>
      <c r="AD464" s="71">
        <f>W464+X464+Y464+Z464+AA464+AB464+AC464</f>
        <v>0</v>
      </c>
      <c r="AE464" s="72">
        <v>0</v>
      </c>
      <c r="AF464" s="5"/>
      <c r="AG464" s="6"/>
      <c r="AH464" s="27" t="s">
        <v>3392</v>
      </c>
      <c r="AI464" s="44" t="s">
        <v>3393</v>
      </c>
      <c r="AJ464" s="26"/>
      <c r="AK464" s="5"/>
      <c r="AL464" s="82" t="s">
        <v>3311</v>
      </c>
      <c r="AM464" s="76"/>
      <c r="AN464" s="76"/>
      <c r="AO464" s="76"/>
      <c r="AP464" s="76"/>
      <c r="AQ464" s="76"/>
      <c r="AR464" s="76"/>
      <c r="AS464" s="76"/>
      <c r="AT464" s="76"/>
      <c r="AU464" s="76"/>
      <c r="AV464" s="76"/>
      <c r="AW464" s="76"/>
      <c r="AX464" s="76">
        <f>+AW464*600000</f>
        <v>0</v>
      </c>
      <c r="AY464" s="76"/>
      <c r="AZ464" s="76">
        <f>+AY464*70000</f>
        <v>0</v>
      </c>
      <c r="BA464" s="76"/>
      <c r="BB464" s="76"/>
      <c r="BC464" s="76"/>
      <c r="BD464" s="76">
        <f>+BC464*30000</f>
        <v>0</v>
      </c>
      <c r="BE464" s="76"/>
      <c r="BF464" s="76"/>
      <c r="BG464" s="76"/>
      <c r="BH464" s="76"/>
      <c r="BI464" s="76"/>
      <c r="BJ464" s="76"/>
      <c r="BK464" s="76"/>
      <c r="BL464" s="76">
        <f>+BK464*31500</f>
        <v>0</v>
      </c>
      <c r="BM464" s="76"/>
      <c r="BN464" s="76"/>
      <c r="BO464" s="76"/>
      <c r="BP464" s="76"/>
      <c r="BQ464" s="76"/>
      <c r="BR464" s="76"/>
      <c r="BS464" s="76"/>
      <c r="BT464" s="76"/>
      <c r="BU464" s="76"/>
      <c r="BV464" s="76"/>
      <c r="BW464" s="76"/>
      <c r="BX464" s="76"/>
      <c r="BY464" s="76"/>
      <c r="BZ464" s="76"/>
      <c r="CA464" s="76"/>
      <c r="CB464" s="76"/>
      <c r="CC464" s="76"/>
      <c r="CD464" s="76"/>
      <c r="CE464" s="76"/>
      <c r="CF464" s="76">
        <f>+CE464*28000</f>
        <v>0</v>
      </c>
      <c r="CG464" s="76"/>
      <c r="CH464" s="76">
        <f>+CG464*22500</f>
        <v>0</v>
      </c>
      <c r="CI464" s="76"/>
      <c r="CJ464" s="76">
        <f>+CI464*26000</f>
        <v>0</v>
      </c>
      <c r="CK464" s="76"/>
      <c r="CL464" s="76"/>
      <c r="CM464" s="76"/>
      <c r="CN464" s="76">
        <f>+CM464*22000</f>
        <v>0</v>
      </c>
      <c r="CO464" s="76"/>
      <c r="CP464" s="76">
        <f>+CO464*46000</f>
        <v>0</v>
      </c>
      <c r="CQ464" s="76"/>
      <c r="CR464" s="76">
        <f>+CQ464*49000</f>
        <v>0</v>
      </c>
      <c r="CS464" s="76"/>
      <c r="CT464" s="76"/>
      <c r="CU464" s="56">
        <f>AN464+AP464+AR464+AT464+AV464+AX464+AZ464+BB464+BD464+BF464+BH464+BJ464+BL464+BN464+BP464+BR464+BT464+BV464+BX464+BZ464+CB464+CD464+CF464+CH464+CJ464+CL464+CN464+CP464+CR464+CT464</f>
        <v>0</v>
      </c>
      <c r="CV464" s="76"/>
      <c r="CW464" s="76">
        <f>+CV464*1100</f>
        <v>0</v>
      </c>
      <c r="CX464" s="76"/>
      <c r="CY464" s="76">
        <f>+CX464*106250</f>
        <v>0</v>
      </c>
      <c r="CZ464" s="76"/>
      <c r="DA464" s="76">
        <f>+CZ464*34500</f>
        <v>0</v>
      </c>
      <c r="DB464" s="76"/>
      <c r="DC464" s="76">
        <f>+DB464*25000</f>
        <v>0</v>
      </c>
      <c r="DD464" s="219"/>
      <c r="DE464" s="219"/>
      <c r="DF464" s="166"/>
      <c r="DG464" s="116"/>
      <c r="DH464" s="117"/>
      <c r="DI464" s="24"/>
      <c r="DJ464" s="24"/>
      <c r="DK464" s="24"/>
      <c r="DL464" s="24"/>
      <c r="DM464" s="24"/>
      <c r="DN464" s="24"/>
      <c r="DO464" s="24"/>
      <c r="DP464" s="24"/>
      <c r="DQ464" s="24"/>
      <c r="DR464" s="24"/>
      <c r="DS464" s="24"/>
      <c r="DT464" s="24"/>
      <c r="DU464" s="24"/>
    </row>
    <row r="465" spans="1:125" s="8" customFormat="1" ht="60" x14ac:dyDescent="0.2">
      <c r="A465" s="77">
        <v>41304</v>
      </c>
      <c r="B465" s="78" t="s">
        <v>2772</v>
      </c>
      <c r="C465" s="75" t="s">
        <v>2664</v>
      </c>
      <c r="D465" s="81" t="s">
        <v>2846</v>
      </c>
      <c r="E465" s="75" t="str">
        <f>VLOOKUP(B465&amp;C465,Divipola!$C$2:$F$1138,4,FALSE)</f>
        <v>25815</v>
      </c>
      <c r="F465" s="87"/>
      <c r="G465" s="87"/>
      <c r="H465" s="87"/>
      <c r="I465" s="87"/>
      <c r="J465" s="87"/>
      <c r="K465" s="87"/>
      <c r="L465" s="87"/>
      <c r="M465" s="87"/>
      <c r="N465" s="87"/>
      <c r="O465" s="87"/>
      <c r="P465" s="87"/>
      <c r="Q465" s="87"/>
      <c r="R465" s="87"/>
      <c r="S465" s="87"/>
      <c r="T465" s="87"/>
      <c r="U465" s="127">
        <v>1</v>
      </c>
      <c r="V465" s="89"/>
      <c r="W465" s="96">
        <v>0</v>
      </c>
      <c r="X465" s="71">
        <f>CU465</f>
        <v>0</v>
      </c>
      <c r="Y465" s="71">
        <f>CY465</f>
        <v>0</v>
      </c>
      <c r="Z465" s="71">
        <f>DA465+DC465+DE465</f>
        <v>0</v>
      </c>
      <c r="AA465" s="71">
        <f>CW465</f>
        <v>0</v>
      </c>
      <c r="AB465" s="71"/>
      <c r="AC465" s="71">
        <v>0</v>
      </c>
      <c r="AD465" s="71">
        <f>W465+X465+Y465+Z465+AA465+AB465+AC465</f>
        <v>0</v>
      </c>
      <c r="AE465" s="72">
        <v>0</v>
      </c>
      <c r="AF465" s="5"/>
      <c r="AG465" s="6"/>
      <c r="AH465" s="27" t="s">
        <v>3392</v>
      </c>
      <c r="AI465" s="44" t="s">
        <v>3393</v>
      </c>
      <c r="AJ465" s="26"/>
      <c r="AK465" s="5"/>
      <c r="AL465" s="82" t="s">
        <v>3316</v>
      </c>
      <c r="AM465" s="76"/>
      <c r="AN465" s="76"/>
      <c r="AO465" s="76"/>
      <c r="AP465" s="76"/>
      <c r="AQ465" s="76"/>
      <c r="AR465" s="76"/>
      <c r="AS465" s="76"/>
      <c r="AT465" s="76"/>
      <c r="AU465" s="76"/>
      <c r="AV465" s="76"/>
      <c r="AW465" s="76"/>
      <c r="AX465" s="76">
        <f>+AW465*600000</f>
        <v>0</v>
      </c>
      <c r="AY465" s="76"/>
      <c r="AZ465" s="76">
        <f>+AY465*70000</f>
        <v>0</v>
      </c>
      <c r="BA465" s="76"/>
      <c r="BB465" s="76"/>
      <c r="BC465" s="76"/>
      <c r="BD465" s="76">
        <f>+BC465*30000</f>
        <v>0</v>
      </c>
      <c r="BE465" s="76"/>
      <c r="BF465" s="76"/>
      <c r="BG465" s="76"/>
      <c r="BH465" s="76"/>
      <c r="BI465" s="76"/>
      <c r="BJ465" s="76"/>
      <c r="BK465" s="76"/>
      <c r="BL465" s="76">
        <f>+BK465*31500</f>
        <v>0</v>
      </c>
      <c r="BM465" s="76"/>
      <c r="BN465" s="76"/>
      <c r="BO465" s="76"/>
      <c r="BP465" s="76"/>
      <c r="BQ465" s="76"/>
      <c r="BR465" s="76"/>
      <c r="BS465" s="76"/>
      <c r="BT465" s="76"/>
      <c r="BU465" s="76"/>
      <c r="BV465" s="76"/>
      <c r="BW465" s="76"/>
      <c r="BX465" s="76"/>
      <c r="BY465" s="76"/>
      <c r="BZ465" s="76"/>
      <c r="CA465" s="76"/>
      <c r="CB465" s="76"/>
      <c r="CC465" s="76"/>
      <c r="CD465" s="76"/>
      <c r="CE465" s="76"/>
      <c r="CF465" s="76">
        <f>+CE465*28000</f>
        <v>0</v>
      </c>
      <c r="CG465" s="76"/>
      <c r="CH465" s="76">
        <f>+CG465*22500</f>
        <v>0</v>
      </c>
      <c r="CI465" s="76"/>
      <c r="CJ465" s="76">
        <f>+CI465*26000</f>
        <v>0</v>
      </c>
      <c r="CK465" s="76"/>
      <c r="CL465" s="76"/>
      <c r="CM465" s="76"/>
      <c r="CN465" s="76">
        <f>+CM465*22000</f>
        <v>0</v>
      </c>
      <c r="CO465" s="76"/>
      <c r="CP465" s="76">
        <f>+CO465*46000</f>
        <v>0</v>
      </c>
      <c r="CQ465" s="76"/>
      <c r="CR465" s="76">
        <f>+CQ465*49000</f>
        <v>0</v>
      </c>
      <c r="CS465" s="76"/>
      <c r="CT465" s="76"/>
      <c r="CU465" s="56">
        <f>AN465+AP465+AR465+AT465+AV465+AX465+AZ465+BB465+BD465+BF465+BH465+BJ465+BL465+BN465+BP465+BR465+BT465+BV465+BX465+BZ465+CB465+CD465+CF465+CH465+CJ465+CL465+CN465+CP465+CR465+CT465</f>
        <v>0</v>
      </c>
      <c r="CV465" s="76"/>
      <c r="CW465" s="76">
        <f>+CV465*1100</f>
        <v>0</v>
      </c>
      <c r="CX465" s="76"/>
      <c r="CY465" s="76">
        <f>+CX465*106250</f>
        <v>0</v>
      </c>
      <c r="CZ465" s="76"/>
      <c r="DA465" s="76">
        <f>+CZ465*34500</f>
        <v>0</v>
      </c>
      <c r="DB465" s="76"/>
      <c r="DC465" s="76">
        <f>+DB465*25000</f>
        <v>0</v>
      </c>
      <c r="DD465" s="219"/>
      <c r="DE465" s="219"/>
      <c r="DF465" s="166"/>
      <c r="DG465" s="116"/>
      <c r="DH465" s="117"/>
      <c r="DI465" s="24"/>
      <c r="DJ465" s="24"/>
      <c r="DK465" s="24"/>
      <c r="DL465" s="24"/>
      <c r="DM465" s="24"/>
      <c r="DN465" s="24"/>
      <c r="DO465" s="24"/>
      <c r="DP465" s="24"/>
      <c r="DQ465" s="24"/>
      <c r="DR465" s="24"/>
      <c r="DS465" s="24"/>
      <c r="DT465" s="24"/>
      <c r="DU465" s="24"/>
    </row>
    <row r="466" spans="1:125" s="8" customFormat="1" ht="84" x14ac:dyDescent="0.2">
      <c r="A466" s="77">
        <v>41304</v>
      </c>
      <c r="B466" s="225" t="s">
        <v>2906</v>
      </c>
      <c r="C466" s="227" t="s">
        <v>439</v>
      </c>
      <c r="D466" s="81" t="s">
        <v>2846</v>
      </c>
      <c r="E466" s="75" t="str">
        <f>VLOOKUP(B466&amp;C466,Divipola!$C$2:$F$1138,4,FALSE)</f>
        <v>47318</v>
      </c>
      <c r="F466" s="87"/>
      <c r="G466" s="87"/>
      <c r="H466" s="87"/>
      <c r="I466" s="87"/>
      <c r="J466" s="87"/>
      <c r="K466" s="87"/>
      <c r="L466" s="87"/>
      <c r="M466" s="87"/>
      <c r="N466" s="87"/>
      <c r="O466" s="87"/>
      <c r="P466" s="87"/>
      <c r="Q466" s="87"/>
      <c r="R466" s="87"/>
      <c r="S466" s="87"/>
      <c r="T466" s="87"/>
      <c r="U466" s="127">
        <v>30</v>
      </c>
      <c r="V466" s="89"/>
      <c r="W466" s="96">
        <v>0</v>
      </c>
      <c r="X466" s="71">
        <f>CU466</f>
        <v>0</v>
      </c>
      <c r="Y466" s="71">
        <f>CY466</f>
        <v>0</v>
      </c>
      <c r="Z466" s="71">
        <f>DA466+DC466+DE466</f>
        <v>0</v>
      </c>
      <c r="AA466" s="71">
        <f>CW466</f>
        <v>0</v>
      </c>
      <c r="AB466" s="71"/>
      <c r="AC466" s="71">
        <v>0</v>
      </c>
      <c r="AD466" s="71">
        <f>W466+X466+Y466+Z466+AA466+AB466+AC466</f>
        <v>0</v>
      </c>
      <c r="AE466" s="72">
        <v>0</v>
      </c>
      <c r="AF466" s="5"/>
      <c r="AG466" s="6"/>
      <c r="AH466" s="27" t="s">
        <v>3392</v>
      </c>
      <c r="AI466" s="44" t="s">
        <v>3393</v>
      </c>
      <c r="AJ466" s="26"/>
      <c r="AK466" s="5"/>
      <c r="AL466" s="82" t="s">
        <v>3324</v>
      </c>
      <c r="AM466" s="76"/>
      <c r="AN466" s="76"/>
      <c r="AO466" s="76"/>
      <c r="AP466" s="76"/>
      <c r="AQ466" s="76"/>
      <c r="AR466" s="76"/>
      <c r="AS466" s="76"/>
      <c r="AT466" s="76"/>
      <c r="AU466" s="76"/>
      <c r="AV466" s="76"/>
      <c r="AW466" s="76"/>
      <c r="AX466" s="76">
        <f>+AW466*600000</f>
        <v>0</v>
      </c>
      <c r="AY466" s="76"/>
      <c r="AZ466" s="76">
        <f>+AY466*70000</f>
        <v>0</v>
      </c>
      <c r="BA466" s="76"/>
      <c r="BB466" s="76"/>
      <c r="BC466" s="76"/>
      <c r="BD466" s="76">
        <f>+BC466*30000</f>
        <v>0</v>
      </c>
      <c r="BE466" s="76"/>
      <c r="BF466" s="76"/>
      <c r="BG466" s="76"/>
      <c r="BH466" s="76"/>
      <c r="BI466" s="76"/>
      <c r="BJ466" s="76"/>
      <c r="BK466" s="76"/>
      <c r="BL466" s="76">
        <f>+BK466*31500</f>
        <v>0</v>
      </c>
      <c r="BM466" s="76"/>
      <c r="BN466" s="76"/>
      <c r="BO466" s="76"/>
      <c r="BP466" s="76"/>
      <c r="BQ466" s="76"/>
      <c r="BR466" s="76"/>
      <c r="BS466" s="76"/>
      <c r="BT466" s="76"/>
      <c r="BU466" s="76"/>
      <c r="BV466" s="76"/>
      <c r="BW466" s="76"/>
      <c r="BX466" s="76"/>
      <c r="BY466" s="76"/>
      <c r="BZ466" s="76"/>
      <c r="CA466" s="76"/>
      <c r="CB466" s="76"/>
      <c r="CC466" s="76"/>
      <c r="CD466" s="76"/>
      <c r="CE466" s="76"/>
      <c r="CF466" s="76">
        <f>+CE466*28000</f>
        <v>0</v>
      </c>
      <c r="CG466" s="76"/>
      <c r="CH466" s="76">
        <f>+CG466*22500</f>
        <v>0</v>
      </c>
      <c r="CI466" s="76"/>
      <c r="CJ466" s="76">
        <f>+CI466*26000</f>
        <v>0</v>
      </c>
      <c r="CK466" s="76"/>
      <c r="CL466" s="76"/>
      <c r="CM466" s="76"/>
      <c r="CN466" s="76">
        <f>+CM466*22000</f>
        <v>0</v>
      </c>
      <c r="CO466" s="76"/>
      <c r="CP466" s="76">
        <f>+CO466*46000</f>
        <v>0</v>
      </c>
      <c r="CQ466" s="76"/>
      <c r="CR466" s="76">
        <f>+CQ466*49000</f>
        <v>0</v>
      </c>
      <c r="CS466" s="76"/>
      <c r="CT466" s="76"/>
      <c r="CU466" s="56">
        <f>AN466+AP466+AR466+AT466+AV466+AX466+AZ466+BB466+BD466+BF466+BH466+BJ466+BL466+BN466+BP466+BR466+BT466+BV466+BX466+BZ466+CB466+CD466+CF466+CH466+CJ466+CL466+CN466+CP466+CR466+CT466</f>
        <v>0</v>
      </c>
      <c r="CV466" s="76"/>
      <c r="CW466" s="76">
        <f>+CV466*1100</f>
        <v>0</v>
      </c>
      <c r="CX466" s="76"/>
      <c r="CY466" s="76">
        <f>+CX466*106250</f>
        <v>0</v>
      </c>
      <c r="CZ466" s="76"/>
      <c r="DA466" s="76">
        <f>+CZ466*34500</f>
        <v>0</v>
      </c>
      <c r="DB466" s="76"/>
      <c r="DC466" s="76">
        <f>+DB466*25000</f>
        <v>0</v>
      </c>
      <c r="DD466" s="219"/>
      <c r="DE466" s="219"/>
      <c r="DF466" s="166"/>
      <c r="DG466" s="116"/>
      <c r="DH466" s="117"/>
      <c r="DI466" s="24"/>
      <c r="DJ466" s="24"/>
      <c r="DK466" s="24"/>
      <c r="DL466" s="24"/>
      <c r="DM466" s="24"/>
      <c r="DN466" s="24"/>
      <c r="DO466" s="24"/>
      <c r="DP466" s="24"/>
      <c r="DQ466" s="24"/>
      <c r="DR466" s="24"/>
      <c r="DS466" s="24"/>
      <c r="DT466" s="24"/>
      <c r="DU466" s="24"/>
    </row>
    <row r="467" spans="1:125" s="8" customFormat="1" ht="36" x14ac:dyDescent="0.2">
      <c r="A467" s="77">
        <v>41304</v>
      </c>
      <c r="B467" s="84" t="s">
        <v>506</v>
      </c>
      <c r="C467" s="84" t="s">
        <v>1697</v>
      </c>
      <c r="D467" s="81" t="s">
        <v>2846</v>
      </c>
      <c r="E467" s="75" t="str">
        <f>VLOOKUP(B467&amp;C467,Divipola!$C$2:$F$1138,4,FALSE)</f>
        <v>50001</v>
      </c>
      <c r="F467" s="89"/>
      <c r="G467" s="89"/>
      <c r="H467" s="89"/>
      <c r="I467" s="89"/>
      <c r="J467" s="89"/>
      <c r="K467" s="89"/>
      <c r="L467" s="89"/>
      <c r="M467" s="89"/>
      <c r="N467" s="89"/>
      <c r="O467" s="89"/>
      <c r="P467" s="89"/>
      <c r="Q467" s="89"/>
      <c r="R467" s="89"/>
      <c r="S467" s="89"/>
      <c r="T467" s="89"/>
      <c r="U467" s="126"/>
      <c r="V467" s="89"/>
      <c r="W467" s="96">
        <v>0</v>
      </c>
      <c r="X467" s="71">
        <f>CU467</f>
        <v>0</v>
      </c>
      <c r="Y467" s="71">
        <f>CY467</f>
        <v>0</v>
      </c>
      <c r="Z467" s="71">
        <f>DA467+DC467+DE467</f>
        <v>0</v>
      </c>
      <c r="AA467" s="71">
        <f>CW467</f>
        <v>0</v>
      </c>
      <c r="AB467" s="71"/>
      <c r="AC467" s="71">
        <v>0</v>
      </c>
      <c r="AD467" s="71">
        <f>W467+X467+Y467+Z467+AA467+AB467+AC467</f>
        <v>0</v>
      </c>
      <c r="AE467" s="72">
        <v>0</v>
      </c>
      <c r="AF467" s="5"/>
      <c r="AG467" s="6"/>
      <c r="AH467" s="27" t="s">
        <v>3392</v>
      </c>
      <c r="AI467" s="44" t="s">
        <v>3393</v>
      </c>
      <c r="AJ467" s="26"/>
      <c r="AK467" s="5"/>
      <c r="AL467" s="82" t="s">
        <v>3313</v>
      </c>
      <c r="AM467" s="76"/>
      <c r="AN467" s="76"/>
      <c r="AO467" s="76"/>
      <c r="AP467" s="76"/>
      <c r="AQ467" s="76"/>
      <c r="AR467" s="76"/>
      <c r="AS467" s="76"/>
      <c r="AT467" s="76"/>
      <c r="AU467" s="76"/>
      <c r="AV467" s="76"/>
      <c r="AW467" s="76"/>
      <c r="AX467" s="76">
        <f>+AW467*600000</f>
        <v>0</v>
      </c>
      <c r="AY467" s="76"/>
      <c r="AZ467" s="76">
        <f>+AY467*70000</f>
        <v>0</v>
      </c>
      <c r="BA467" s="76"/>
      <c r="BB467" s="76"/>
      <c r="BC467" s="76"/>
      <c r="BD467" s="76">
        <f>+BC467*30000</f>
        <v>0</v>
      </c>
      <c r="BE467" s="76"/>
      <c r="BF467" s="76"/>
      <c r="BG467" s="76"/>
      <c r="BH467" s="76"/>
      <c r="BI467" s="76"/>
      <c r="BJ467" s="76"/>
      <c r="BK467" s="76"/>
      <c r="BL467" s="76">
        <f>+BK467*31500</f>
        <v>0</v>
      </c>
      <c r="BM467" s="76"/>
      <c r="BN467" s="76"/>
      <c r="BO467" s="76"/>
      <c r="BP467" s="76"/>
      <c r="BQ467" s="76"/>
      <c r="BR467" s="76"/>
      <c r="BS467" s="76"/>
      <c r="BT467" s="76"/>
      <c r="BU467" s="76"/>
      <c r="BV467" s="76"/>
      <c r="BW467" s="76"/>
      <c r="BX467" s="76"/>
      <c r="BY467" s="76"/>
      <c r="BZ467" s="76"/>
      <c r="CA467" s="76"/>
      <c r="CB467" s="76"/>
      <c r="CC467" s="76"/>
      <c r="CD467" s="76"/>
      <c r="CE467" s="76"/>
      <c r="CF467" s="76">
        <f>+CE467*28000</f>
        <v>0</v>
      </c>
      <c r="CG467" s="76"/>
      <c r="CH467" s="76">
        <f>+CG467*22500</f>
        <v>0</v>
      </c>
      <c r="CI467" s="76"/>
      <c r="CJ467" s="76">
        <f>+CI467*26000</f>
        <v>0</v>
      </c>
      <c r="CK467" s="76"/>
      <c r="CL467" s="76"/>
      <c r="CM467" s="76"/>
      <c r="CN467" s="76">
        <f>+CM467*22000</f>
        <v>0</v>
      </c>
      <c r="CO467" s="76"/>
      <c r="CP467" s="76">
        <f>+CO467*46000</f>
        <v>0</v>
      </c>
      <c r="CQ467" s="76"/>
      <c r="CR467" s="76">
        <f>+CQ467*49000</f>
        <v>0</v>
      </c>
      <c r="CS467" s="76"/>
      <c r="CT467" s="76"/>
      <c r="CU467" s="56">
        <f>AN467+AP467+AR467+AT467+AV467+AX467+AZ467+BB467+BD467+BF467+BH467+BJ467+BL467+BN467+BP467+BR467+BT467+BV467+BX467+BZ467+CB467+CD467+CF467+CH467+CJ467+CL467+CN467+CP467+CR467+CT467</f>
        <v>0</v>
      </c>
      <c r="CV467" s="76"/>
      <c r="CW467" s="76">
        <f>+CV467*1100</f>
        <v>0</v>
      </c>
      <c r="CX467" s="76"/>
      <c r="CY467" s="76">
        <f>+CX467*106250</f>
        <v>0</v>
      </c>
      <c r="CZ467" s="76"/>
      <c r="DA467" s="76">
        <f>+CZ467*34500</f>
        <v>0</v>
      </c>
      <c r="DB467" s="76"/>
      <c r="DC467" s="76">
        <f>+DB467*25000</f>
        <v>0</v>
      </c>
      <c r="DD467" s="219"/>
      <c r="DE467" s="219"/>
      <c r="DF467" s="166"/>
      <c r="DG467" s="116"/>
      <c r="DH467" s="117"/>
      <c r="DI467" s="24"/>
      <c r="DJ467" s="24"/>
      <c r="DK467" s="24"/>
      <c r="DL467" s="24"/>
      <c r="DM467" s="24"/>
      <c r="DN467" s="24"/>
      <c r="DO467" s="24"/>
      <c r="DP467" s="24"/>
      <c r="DQ467" s="24"/>
      <c r="DR467" s="24"/>
      <c r="DS467" s="24"/>
      <c r="DT467" s="24"/>
      <c r="DU467" s="24"/>
    </row>
    <row r="468" spans="1:125" s="8" customFormat="1" ht="60" x14ac:dyDescent="0.2">
      <c r="A468" s="77">
        <v>41305</v>
      </c>
      <c r="B468" s="352" t="s">
        <v>2700</v>
      </c>
      <c r="C468" s="354" t="s">
        <v>1701</v>
      </c>
      <c r="D468" s="81" t="s">
        <v>2846</v>
      </c>
      <c r="E468" s="75" t="str">
        <f>VLOOKUP(B468&amp;C468,Divipola!$C$2:$F$1138,4,FALSE)</f>
        <v>15299</v>
      </c>
      <c r="F468" s="87"/>
      <c r="G468" s="87"/>
      <c r="H468" s="87"/>
      <c r="I468" s="87"/>
      <c r="J468" s="87"/>
      <c r="K468" s="87"/>
      <c r="L468" s="87"/>
      <c r="M468" s="87"/>
      <c r="N468" s="87"/>
      <c r="O468" s="87"/>
      <c r="P468" s="87"/>
      <c r="Q468" s="87"/>
      <c r="R468" s="87"/>
      <c r="S468" s="87"/>
      <c r="T468" s="87"/>
      <c r="U468" s="88">
        <v>2</v>
      </c>
      <c r="V468" s="89"/>
      <c r="W468" s="96">
        <v>0</v>
      </c>
      <c r="X468" s="71">
        <f>CU468</f>
        <v>0</v>
      </c>
      <c r="Y468" s="71">
        <f>CY468</f>
        <v>0</v>
      </c>
      <c r="Z468" s="71">
        <f>DA468+DC468+DE468</f>
        <v>0</v>
      </c>
      <c r="AA468" s="71">
        <f>CW468</f>
        <v>0</v>
      </c>
      <c r="AB468" s="71"/>
      <c r="AC468" s="71">
        <v>0</v>
      </c>
      <c r="AD468" s="71">
        <f>W468+X468+Y468+Z468+AA468+AB468+AC468</f>
        <v>0</v>
      </c>
      <c r="AE468" s="72">
        <v>0</v>
      </c>
      <c r="AF468" s="5"/>
      <c r="AG468" s="6"/>
      <c r="AH468" s="27" t="s">
        <v>3392</v>
      </c>
      <c r="AI468" s="44" t="s">
        <v>3393</v>
      </c>
      <c r="AJ468" s="26"/>
      <c r="AK468" s="5"/>
      <c r="AL468" s="82" t="s">
        <v>3344</v>
      </c>
      <c r="AM468" s="76"/>
      <c r="AN468" s="76"/>
      <c r="AO468" s="76"/>
      <c r="AP468" s="76"/>
      <c r="AQ468" s="76"/>
      <c r="AR468" s="76"/>
      <c r="AS468" s="76"/>
      <c r="AT468" s="76"/>
      <c r="AU468" s="76"/>
      <c r="AV468" s="76"/>
      <c r="AW468" s="76"/>
      <c r="AX468" s="76">
        <f>+AW468*600000</f>
        <v>0</v>
      </c>
      <c r="AY468" s="76"/>
      <c r="AZ468" s="76">
        <f>+AY468*70000</f>
        <v>0</v>
      </c>
      <c r="BA468" s="76"/>
      <c r="BB468" s="76"/>
      <c r="BC468" s="76"/>
      <c r="BD468" s="76">
        <f>+BC468*30000</f>
        <v>0</v>
      </c>
      <c r="BE468" s="76"/>
      <c r="BF468" s="76"/>
      <c r="BG468" s="76"/>
      <c r="BH468" s="76"/>
      <c r="BI468" s="76"/>
      <c r="BJ468" s="76"/>
      <c r="BK468" s="76"/>
      <c r="BL468" s="76">
        <f>+BK468*31500</f>
        <v>0</v>
      </c>
      <c r="BM468" s="76"/>
      <c r="BN468" s="76"/>
      <c r="BO468" s="76"/>
      <c r="BP468" s="76"/>
      <c r="BQ468" s="76"/>
      <c r="BR468" s="76"/>
      <c r="BS468" s="76"/>
      <c r="BT468" s="76"/>
      <c r="BU468" s="76"/>
      <c r="BV468" s="76"/>
      <c r="BW468" s="76"/>
      <c r="BX468" s="76"/>
      <c r="BY468" s="76"/>
      <c r="BZ468" s="76"/>
      <c r="CA468" s="76"/>
      <c r="CB468" s="76"/>
      <c r="CC468" s="76"/>
      <c r="CD468" s="76"/>
      <c r="CE468" s="76"/>
      <c r="CF468" s="76">
        <f>+CE468*28000</f>
        <v>0</v>
      </c>
      <c r="CG468" s="76"/>
      <c r="CH468" s="76">
        <f>+CG468*22500</f>
        <v>0</v>
      </c>
      <c r="CI468" s="76"/>
      <c r="CJ468" s="76">
        <f>+CI468*26000</f>
        <v>0</v>
      </c>
      <c r="CK468" s="76"/>
      <c r="CL468" s="76"/>
      <c r="CM468" s="76"/>
      <c r="CN468" s="76">
        <f>+CM468*22000</f>
        <v>0</v>
      </c>
      <c r="CO468" s="76"/>
      <c r="CP468" s="76">
        <f>+CO468*46000</f>
        <v>0</v>
      </c>
      <c r="CQ468" s="76"/>
      <c r="CR468" s="76">
        <f>+CQ468*49000</f>
        <v>0</v>
      </c>
      <c r="CS468" s="76"/>
      <c r="CT468" s="76"/>
      <c r="CU468" s="56">
        <f>AN468+AP468+AR468+AT468+AV468+AX468+AZ468+BB468+BD468+BF468+BH468+BJ468+BL468+BN468+BP468+BR468+BT468+BV468+BX468+BZ468+CB468+CD468+CF468+CH468+CJ468+CL468+CN468+CP468+CR468+CT468</f>
        <v>0</v>
      </c>
      <c r="CV468" s="76"/>
      <c r="CW468" s="76">
        <f>+CV468*1100</f>
        <v>0</v>
      </c>
      <c r="CX468" s="76"/>
      <c r="CY468" s="76">
        <f>+CX468*106250</f>
        <v>0</v>
      </c>
      <c r="CZ468" s="76"/>
      <c r="DA468" s="76">
        <f>+CZ468*34500</f>
        <v>0</v>
      </c>
      <c r="DB468" s="76"/>
      <c r="DC468" s="76">
        <f>+DB468*25000</f>
        <v>0</v>
      </c>
      <c r="DD468" s="219"/>
      <c r="DE468" s="219"/>
      <c r="DF468" s="166"/>
      <c r="DG468" s="116"/>
      <c r="DH468" s="117"/>
      <c r="DI468" s="24"/>
      <c r="DJ468" s="24"/>
      <c r="DK468" s="24"/>
      <c r="DL468" s="24"/>
      <c r="DM468" s="24"/>
      <c r="DN468" s="24"/>
      <c r="DO468" s="24"/>
      <c r="DP468" s="24"/>
      <c r="DQ468" s="24"/>
      <c r="DR468" s="24"/>
      <c r="DS468" s="24"/>
      <c r="DT468" s="24"/>
      <c r="DU468" s="24"/>
    </row>
    <row r="469" spans="1:125" s="8" customFormat="1" ht="72" x14ac:dyDescent="0.2">
      <c r="A469" s="77">
        <v>41305</v>
      </c>
      <c r="B469" s="225" t="s">
        <v>2700</v>
      </c>
      <c r="C469" s="227" t="s">
        <v>2813</v>
      </c>
      <c r="D469" s="81" t="s">
        <v>2846</v>
      </c>
      <c r="E469" s="75" t="str">
        <f>VLOOKUP(B469&amp;C469,Divipola!$C$2:$F$1138,4,FALSE)</f>
        <v>15600</v>
      </c>
      <c r="F469" s="87"/>
      <c r="G469" s="87"/>
      <c r="H469" s="87"/>
      <c r="I469" s="87"/>
      <c r="J469" s="87"/>
      <c r="K469" s="87"/>
      <c r="L469" s="87"/>
      <c r="M469" s="87"/>
      <c r="N469" s="87"/>
      <c r="O469" s="87"/>
      <c r="P469" s="87"/>
      <c r="Q469" s="87"/>
      <c r="R469" s="87"/>
      <c r="S469" s="87"/>
      <c r="T469" s="87"/>
      <c r="U469" s="88">
        <v>0.5</v>
      </c>
      <c r="V469" s="89"/>
      <c r="W469" s="96">
        <v>0</v>
      </c>
      <c r="X469" s="71">
        <f>CU469</f>
        <v>0</v>
      </c>
      <c r="Y469" s="71">
        <f>CY469</f>
        <v>0</v>
      </c>
      <c r="Z469" s="71">
        <f>DA469+DC469+DE469</f>
        <v>0</v>
      </c>
      <c r="AA469" s="71">
        <f>CW469</f>
        <v>0</v>
      </c>
      <c r="AB469" s="71"/>
      <c r="AC469" s="71">
        <v>0</v>
      </c>
      <c r="AD469" s="71">
        <f>W469+X469+Y469+Z469+AA469+AB469+AC469</f>
        <v>0</v>
      </c>
      <c r="AE469" s="72">
        <v>0</v>
      </c>
      <c r="AF469" s="5"/>
      <c r="AG469" s="6"/>
      <c r="AH469" s="27" t="s">
        <v>3392</v>
      </c>
      <c r="AI469" s="44" t="s">
        <v>3393</v>
      </c>
      <c r="AJ469" s="26"/>
      <c r="AK469" s="5"/>
      <c r="AL469" s="82" t="s">
        <v>3343</v>
      </c>
      <c r="AM469" s="76"/>
      <c r="AN469" s="76"/>
      <c r="AO469" s="76"/>
      <c r="AP469" s="76"/>
      <c r="AQ469" s="76"/>
      <c r="AR469" s="76"/>
      <c r="AS469" s="76"/>
      <c r="AT469" s="76"/>
      <c r="AU469" s="76"/>
      <c r="AV469" s="76"/>
      <c r="AW469" s="76"/>
      <c r="AX469" s="76">
        <f>+AW469*600000</f>
        <v>0</v>
      </c>
      <c r="AY469" s="76"/>
      <c r="AZ469" s="76">
        <f>+AY469*70000</f>
        <v>0</v>
      </c>
      <c r="BA469" s="76"/>
      <c r="BB469" s="76"/>
      <c r="BC469" s="76"/>
      <c r="BD469" s="76">
        <f>+BC469*30000</f>
        <v>0</v>
      </c>
      <c r="BE469" s="76"/>
      <c r="BF469" s="76"/>
      <c r="BG469" s="76"/>
      <c r="BH469" s="76"/>
      <c r="BI469" s="76"/>
      <c r="BJ469" s="76"/>
      <c r="BK469" s="76"/>
      <c r="BL469" s="76">
        <f>+BK469*31500</f>
        <v>0</v>
      </c>
      <c r="BM469" s="76"/>
      <c r="BN469" s="76"/>
      <c r="BO469" s="76"/>
      <c r="BP469" s="76"/>
      <c r="BQ469" s="76"/>
      <c r="BR469" s="76"/>
      <c r="BS469" s="76"/>
      <c r="BT469" s="76"/>
      <c r="BU469" s="76"/>
      <c r="BV469" s="76"/>
      <c r="BW469" s="76"/>
      <c r="BX469" s="76"/>
      <c r="BY469" s="76"/>
      <c r="BZ469" s="76"/>
      <c r="CA469" s="76"/>
      <c r="CB469" s="76"/>
      <c r="CC469" s="76"/>
      <c r="CD469" s="76"/>
      <c r="CE469" s="76"/>
      <c r="CF469" s="76">
        <f>+CE469*28000</f>
        <v>0</v>
      </c>
      <c r="CG469" s="76"/>
      <c r="CH469" s="76">
        <f>+CG469*22500</f>
        <v>0</v>
      </c>
      <c r="CI469" s="76"/>
      <c r="CJ469" s="76">
        <f>+CI469*26000</f>
        <v>0</v>
      </c>
      <c r="CK469" s="76"/>
      <c r="CL469" s="76"/>
      <c r="CM469" s="76"/>
      <c r="CN469" s="76">
        <f>+CM469*22000</f>
        <v>0</v>
      </c>
      <c r="CO469" s="76"/>
      <c r="CP469" s="76">
        <f>+CO469*46000</f>
        <v>0</v>
      </c>
      <c r="CQ469" s="76"/>
      <c r="CR469" s="76">
        <f>+CQ469*49000</f>
        <v>0</v>
      </c>
      <c r="CS469" s="76"/>
      <c r="CT469" s="76"/>
      <c r="CU469" s="56">
        <f>AN469+AP469+AR469+AT469+AV469+AX469+AZ469+BB469+BD469+BF469+BH469+BJ469+BL469+BN469+BP469+BR469+BT469+BV469+BX469+BZ469+CB469+CD469+CF469+CH469+CJ469+CL469+CN469+CP469+CR469+CT469</f>
        <v>0</v>
      </c>
      <c r="CV469" s="76"/>
      <c r="CW469" s="76">
        <f>+CV469*1100</f>
        <v>0</v>
      </c>
      <c r="CX469" s="76"/>
      <c r="CY469" s="76">
        <f>+CX469*106250</f>
        <v>0</v>
      </c>
      <c r="CZ469" s="76"/>
      <c r="DA469" s="76">
        <f>+CZ469*34500</f>
        <v>0</v>
      </c>
      <c r="DB469" s="76"/>
      <c r="DC469" s="76">
        <f>+DB469*25000</f>
        <v>0</v>
      </c>
      <c r="DD469" s="219"/>
      <c r="DE469" s="219"/>
      <c r="DF469" s="166"/>
      <c r="DG469" s="116"/>
      <c r="DH469" s="117"/>
      <c r="DI469" s="24"/>
      <c r="DJ469" s="24"/>
      <c r="DK469" s="24"/>
      <c r="DL469" s="24"/>
      <c r="DM469" s="24"/>
      <c r="DN469" s="24"/>
      <c r="DO469" s="24"/>
      <c r="DP469" s="24"/>
      <c r="DQ469" s="24"/>
      <c r="DR469" s="24"/>
      <c r="DS469" s="24"/>
      <c r="DT469" s="24"/>
      <c r="DU469" s="24"/>
    </row>
    <row r="470" spans="1:125" s="8" customFormat="1" ht="48" x14ac:dyDescent="0.2">
      <c r="A470" s="77">
        <v>41305</v>
      </c>
      <c r="B470" s="225" t="s">
        <v>2700</v>
      </c>
      <c r="C470" s="227" t="s">
        <v>2813</v>
      </c>
      <c r="D470" s="81" t="s">
        <v>2846</v>
      </c>
      <c r="E470" s="75" t="str">
        <f>VLOOKUP(B470&amp;C470,Divipola!$C$2:$F$1138,4,FALSE)</f>
        <v>15600</v>
      </c>
      <c r="F470" s="100"/>
      <c r="G470" s="100"/>
      <c r="H470" s="100"/>
      <c r="I470" s="100"/>
      <c r="J470" s="100"/>
      <c r="K470" s="100"/>
      <c r="L470" s="100"/>
      <c r="M470" s="100"/>
      <c r="N470" s="100"/>
      <c r="O470" s="100"/>
      <c r="P470" s="100"/>
      <c r="Q470" s="100"/>
      <c r="R470" s="100"/>
      <c r="S470" s="100"/>
      <c r="T470" s="100"/>
      <c r="U470" s="136">
        <v>20</v>
      </c>
      <c r="V470" s="89"/>
      <c r="W470" s="96">
        <v>0</v>
      </c>
      <c r="X470" s="71">
        <f>CU470</f>
        <v>0</v>
      </c>
      <c r="Y470" s="71">
        <f>CY470</f>
        <v>0</v>
      </c>
      <c r="Z470" s="71">
        <f>DA470+DC470+DE470</f>
        <v>0</v>
      </c>
      <c r="AA470" s="71">
        <f>CW470</f>
        <v>0</v>
      </c>
      <c r="AB470" s="71"/>
      <c r="AC470" s="71">
        <v>0</v>
      </c>
      <c r="AD470" s="71">
        <f>W470+X470+Y470+Z470+AA470+AB470+AC470</f>
        <v>0</v>
      </c>
      <c r="AE470" s="72">
        <v>0</v>
      </c>
      <c r="AF470" s="5"/>
      <c r="AG470" s="6"/>
      <c r="AH470" s="27" t="s">
        <v>3392</v>
      </c>
      <c r="AI470" s="44" t="s">
        <v>3393</v>
      </c>
      <c r="AJ470" s="26"/>
      <c r="AK470" s="5"/>
      <c r="AL470" s="82" t="s">
        <v>3355</v>
      </c>
      <c r="AM470" s="76"/>
      <c r="AN470" s="76"/>
      <c r="AO470" s="76"/>
      <c r="AP470" s="76"/>
      <c r="AQ470" s="76"/>
      <c r="AR470" s="76"/>
      <c r="AS470" s="76"/>
      <c r="AT470" s="76"/>
      <c r="AU470" s="76"/>
      <c r="AV470" s="76"/>
      <c r="AW470" s="76"/>
      <c r="AX470" s="76">
        <f>+AW470*600000</f>
        <v>0</v>
      </c>
      <c r="AY470" s="76"/>
      <c r="AZ470" s="76">
        <f>+AY470*70000</f>
        <v>0</v>
      </c>
      <c r="BA470" s="76"/>
      <c r="BB470" s="76"/>
      <c r="BC470" s="76"/>
      <c r="BD470" s="76">
        <f>+BC470*30000</f>
        <v>0</v>
      </c>
      <c r="BE470" s="76"/>
      <c r="BF470" s="76"/>
      <c r="BG470" s="76"/>
      <c r="BH470" s="76"/>
      <c r="BI470" s="76"/>
      <c r="BJ470" s="76"/>
      <c r="BK470" s="76"/>
      <c r="BL470" s="76">
        <f>+BK470*31500</f>
        <v>0</v>
      </c>
      <c r="BM470" s="76"/>
      <c r="BN470" s="76"/>
      <c r="BO470" s="76"/>
      <c r="BP470" s="76"/>
      <c r="BQ470" s="76"/>
      <c r="BR470" s="76"/>
      <c r="BS470" s="76"/>
      <c r="BT470" s="76"/>
      <c r="BU470" s="76"/>
      <c r="BV470" s="76"/>
      <c r="BW470" s="76"/>
      <c r="BX470" s="76"/>
      <c r="BY470" s="76"/>
      <c r="BZ470" s="76"/>
      <c r="CA470" s="76"/>
      <c r="CB470" s="76"/>
      <c r="CC470" s="76"/>
      <c r="CD470" s="76"/>
      <c r="CE470" s="76"/>
      <c r="CF470" s="76">
        <f>+CE470*28000</f>
        <v>0</v>
      </c>
      <c r="CG470" s="76"/>
      <c r="CH470" s="76">
        <f>+CG470*22500</f>
        <v>0</v>
      </c>
      <c r="CI470" s="76"/>
      <c r="CJ470" s="76">
        <f>+CI470*26000</f>
        <v>0</v>
      </c>
      <c r="CK470" s="76"/>
      <c r="CL470" s="76"/>
      <c r="CM470" s="76"/>
      <c r="CN470" s="76">
        <f>+CM470*22000</f>
        <v>0</v>
      </c>
      <c r="CO470" s="76"/>
      <c r="CP470" s="76">
        <f>+CO470*46000</f>
        <v>0</v>
      </c>
      <c r="CQ470" s="76"/>
      <c r="CR470" s="76">
        <f>+CQ470*49000</f>
        <v>0</v>
      </c>
      <c r="CS470" s="76"/>
      <c r="CT470" s="76"/>
      <c r="CU470" s="56">
        <f>AN470+AP470+AR470+AT470+AV470+AX470+AZ470+BB470+BD470+BF470+BH470+BJ470+BL470+BN470+BP470+BR470+BT470+BV470+BX470+BZ470+CB470+CD470+CF470+CH470+CJ470+CL470+CN470+CP470+CR470+CT470</f>
        <v>0</v>
      </c>
      <c r="CV470" s="76"/>
      <c r="CW470" s="76">
        <f>+CV470*1100</f>
        <v>0</v>
      </c>
      <c r="CX470" s="76"/>
      <c r="CY470" s="76">
        <f>+CX470*106250</f>
        <v>0</v>
      </c>
      <c r="CZ470" s="76"/>
      <c r="DA470" s="76">
        <f>+CZ470*34500</f>
        <v>0</v>
      </c>
      <c r="DB470" s="76"/>
      <c r="DC470" s="76">
        <f>+DB470*25000</f>
        <v>0</v>
      </c>
      <c r="DD470" s="219"/>
      <c r="DE470" s="219"/>
      <c r="DF470" s="164"/>
      <c r="DG470" s="116"/>
      <c r="DH470" s="117"/>
      <c r="DI470" s="24"/>
      <c r="DJ470" s="24"/>
      <c r="DK470" s="24"/>
      <c r="DL470" s="24"/>
      <c r="DM470" s="24"/>
      <c r="DN470" s="24"/>
      <c r="DO470" s="24"/>
      <c r="DP470" s="24"/>
      <c r="DQ470" s="24"/>
      <c r="DR470" s="24"/>
      <c r="DS470" s="24"/>
      <c r="DT470" s="24"/>
      <c r="DU470" s="24"/>
    </row>
    <row r="471" spans="1:125" s="8" customFormat="1" ht="60" x14ac:dyDescent="0.2">
      <c r="A471" s="77">
        <v>41305</v>
      </c>
      <c r="B471" s="225" t="s">
        <v>2700</v>
      </c>
      <c r="C471" s="227" t="s">
        <v>716</v>
      </c>
      <c r="D471" s="81" t="s">
        <v>2846</v>
      </c>
      <c r="E471" s="75" t="str">
        <f>VLOOKUP(B471&amp;C471,Divipola!$C$2:$F$1138,4,FALSE)</f>
        <v>15822</v>
      </c>
      <c r="F471" s="87"/>
      <c r="G471" s="87"/>
      <c r="H471" s="87"/>
      <c r="I471" s="87"/>
      <c r="J471" s="87"/>
      <c r="K471" s="87"/>
      <c r="L471" s="87"/>
      <c r="M471" s="87"/>
      <c r="N471" s="87"/>
      <c r="O471" s="87"/>
      <c r="P471" s="87"/>
      <c r="Q471" s="87"/>
      <c r="R471" s="87"/>
      <c r="S471" s="87"/>
      <c r="T471" s="87"/>
      <c r="U471" s="88">
        <v>10</v>
      </c>
      <c r="V471" s="89"/>
      <c r="W471" s="96">
        <v>0</v>
      </c>
      <c r="X471" s="71">
        <f>CU471</f>
        <v>0</v>
      </c>
      <c r="Y471" s="71">
        <f>CY471</f>
        <v>0</v>
      </c>
      <c r="Z471" s="71">
        <f>DA471+DC471+DE471</f>
        <v>0</v>
      </c>
      <c r="AA471" s="71">
        <f>CW471</f>
        <v>0</v>
      </c>
      <c r="AB471" s="71"/>
      <c r="AC471" s="71">
        <v>0</v>
      </c>
      <c r="AD471" s="71">
        <f>W471+X471+Y471+Z471+AA471+AB471+AC471</f>
        <v>0</v>
      </c>
      <c r="AE471" s="72">
        <v>0</v>
      </c>
      <c r="AF471" s="5"/>
      <c r="AG471" s="6"/>
      <c r="AH471" s="27" t="s">
        <v>3392</v>
      </c>
      <c r="AI471" s="44" t="s">
        <v>3393</v>
      </c>
      <c r="AJ471" s="26"/>
      <c r="AK471" s="5"/>
      <c r="AL471" s="82" t="s">
        <v>3354</v>
      </c>
      <c r="AM471" s="76"/>
      <c r="AN471" s="76"/>
      <c r="AO471" s="76"/>
      <c r="AP471" s="76"/>
      <c r="AQ471" s="76"/>
      <c r="AR471" s="76"/>
      <c r="AS471" s="76"/>
      <c r="AT471" s="76"/>
      <c r="AU471" s="76"/>
      <c r="AV471" s="76"/>
      <c r="AW471" s="76"/>
      <c r="AX471" s="76">
        <f>+AW471*600000</f>
        <v>0</v>
      </c>
      <c r="AY471" s="76"/>
      <c r="AZ471" s="76">
        <f>+AY471*70000</f>
        <v>0</v>
      </c>
      <c r="BA471" s="76"/>
      <c r="BB471" s="76"/>
      <c r="BC471" s="76"/>
      <c r="BD471" s="76">
        <f>+BC471*30000</f>
        <v>0</v>
      </c>
      <c r="BE471" s="76"/>
      <c r="BF471" s="76"/>
      <c r="BG471" s="76"/>
      <c r="BH471" s="76"/>
      <c r="BI471" s="76"/>
      <c r="BJ471" s="76"/>
      <c r="BK471" s="76"/>
      <c r="BL471" s="76">
        <f>+BK471*31500</f>
        <v>0</v>
      </c>
      <c r="BM471" s="76"/>
      <c r="BN471" s="76"/>
      <c r="BO471" s="76"/>
      <c r="BP471" s="76"/>
      <c r="BQ471" s="76"/>
      <c r="BR471" s="76"/>
      <c r="BS471" s="76"/>
      <c r="BT471" s="76"/>
      <c r="BU471" s="76"/>
      <c r="BV471" s="76"/>
      <c r="BW471" s="76"/>
      <c r="BX471" s="76"/>
      <c r="BY471" s="76"/>
      <c r="BZ471" s="76"/>
      <c r="CA471" s="76"/>
      <c r="CB471" s="76"/>
      <c r="CC471" s="76"/>
      <c r="CD471" s="76"/>
      <c r="CE471" s="76"/>
      <c r="CF471" s="76">
        <f>+CE471*28000</f>
        <v>0</v>
      </c>
      <c r="CG471" s="76"/>
      <c r="CH471" s="76">
        <f>+CG471*22500</f>
        <v>0</v>
      </c>
      <c r="CI471" s="76"/>
      <c r="CJ471" s="76">
        <f>+CI471*26000</f>
        <v>0</v>
      </c>
      <c r="CK471" s="76"/>
      <c r="CL471" s="76"/>
      <c r="CM471" s="76"/>
      <c r="CN471" s="76">
        <f>+CM471*22000</f>
        <v>0</v>
      </c>
      <c r="CO471" s="76"/>
      <c r="CP471" s="76">
        <f>+CO471*46000</f>
        <v>0</v>
      </c>
      <c r="CQ471" s="76"/>
      <c r="CR471" s="76">
        <f>+CQ471*49000</f>
        <v>0</v>
      </c>
      <c r="CS471" s="76"/>
      <c r="CT471" s="76"/>
      <c r="CU471" s="56">
        <f>AN471+AP471+AR471+AT471+AV471+AX471+AZ471+BB471+BD471+BF471+BH471+BJ471+BL471+BN471+BP471+BR471+BT471+BV471+BX471+BZ471+CB471+CD471+CF471+CH471+CJ471+CL471+CN471+CP471+CR471+CT471</f>
        <v>0</v>
      </c>
      <c r="CV471" s="76"/>
      <c r="CW471" s="76">
        <f>+CV471*1100</f>
        <v>0</v>
      </c>
      <c r="CX471" s="76"/>
      <c r="CY471" s="76">
        <f>+CX471*106250</f>
        <v>0</v>
      </c>
      <c r="CZ471" s="76"/>
      <c r="DA471" s="76">
        <f>+CZ471*34500</f>
        <v>0</v>
      </c>
      <c r="DB471" s="76"/>
      <c r="DC471" s="76">
        <f>+DB471*25000</f>
        <v>0</v>
      </c>
      <c r="DD471" s="219"/>
      <c r="DE471" s="219"/>
      <c r="DF471" s="164"/>
      <c r="DG471" s="116"/>
      <c r="DH471" s="117"/>
      <c r="DI471" s="24"/>
      <c r="DJ471" s="24"/>
      <c r="DK471" s="24"/>
      <c r="DL471" s="24"/>
      <c r="DM471" s="24"/>
      <c r="DN471" s="24"/>
      <c r="DO471" s="24"/>
      <c r="DP471" s="24"/>
      <c r="DQ471" s="24"/>
      <c r="DR471" s="24"/>
      <c r="DS471" s="24"/>
      <c r="DT471" s="24"/>
      <c r="DU471" s="24"/>
    </row>
    <row r="472" spans="1:125" s="8" customFormat="1" ht="48" x14ac:dyDescent="0.2">
      <c r="A472" s="77">
        <v>41305</v>
      </c>
      <c r="B472" s="78" t="s">
        <v>2087</v>
      </c>
      <c r="C472" s="75" t="s">
        <v>2692</v>
      </c>
      <c r="D472" s="75" t="s">
        <v>2859</v>
      </c>
      <c r="E472" s="75" t="str">
        <f>VLOOKUP(B472&amp;C472,Divipola!$C$2:$F$1138,4,FALSE)</f>
        <v>18001</v>
      </c>
      <c r="F472" s="87"/>
      <c r="G472" s="87"/>
      <c r="H472" s="87"/>
      <c r="I472" s="87">
        <v>20</v>
      </c>
      <c r="J472" s="87">
        <v>4</v>
      </c>
      <c r="K472" s="87"/>
      <c r="L472" s="87">
        <v>4</v>
      </c>
      <c r="M472" s="87"/>
      <c r="N472" s="87"/>
      <c r="O472" s="87"/>
      <c r="P472" s="87"/>
      <c r="Q472" s="87"/>
      <c r="R472" s="87"/>
      <c r="S472" s="87"/>
      <c r="T472" s="87"/>
      <c r="U472" s="88"/>
      <c r="V472" s="89"/>
      <c r="W472" s="96">
        <v>0</v>
      </c>
      <c r="X472" s="71">
        <f>CU472</f>
        <v>0</v>
      </c>
      <c r="Y472" s="71">
        <f>CY472</f>
        <v>0</v>
      </c>
      <c r="Z472" s="71">
        <f>DA472+DC472+DE472</f>
        <v>0</v>
      </c>
      <c r="AA472" s="71">
        <f>CW472</f>
        <v>0</v>
      </c>
      <c r="AB472" s="71"/>
      <c r="AC472" s="71">
        <v>0</v>
      </c>
      <c r="AD472" s="71">
        <f>W472+X472+Y472+Z472+AA472+AB472+AC472</f>
        <v>0</v>
      </c>
      <c r="AE472" s="72">
        <v>0</v>
      </c>
      <c r="AF472" s="5"/>
      <c r="AG472" s="6"/>
      <c r="AH472" s="27" t="s">
        <v>3392</v>
      </c>
      <c r="AI472" s="44" t="s">
        <v>3393</v>
      </c>
      <c r="AJ472" s="26"/>
      <c r="AK472" s="5"/>
      <c r="AL472" s="82" t="s">
        <v>3340</v>
      </c>
      <c r="AM472" s="76"/>
      <c r="AN472" s="76"/>
      <c r="AO472" s="76"/>
      <c r="AP472" s="76"/>
      <c r="AQ472" s="76"/>
      <c r="AR472" s="76"/>
      <c r="AS472" s="76"/>
      <c r="AT472" s="76"/>
      <c r="AU472" s="76"/>
      <c r="AV472" s="76"/>
      <c r="AW472" s="76"/>
      <c r="AX472" s="76">
        <f>+AW472*600000</f>
        <v>0</v>
      </c>
      <c r="AY472" s="76"/>
      <c r="AZ472" s="76">
        <f>+AY472*70000</f>
        <v>0</v>
      </c>
      <c r="BA472" s="76"/>
      <c r="BB472" s="76"/>
      <c r="BC472" s="76"/>
      <c r="BD472" s="76">
        <f>+BC472*30000</f>
        <v>0</v>
      </c>
      <c r="BE472" s="76"/>
      <c r="BF472" s="76"/>
      <c r="BG472" s="76"/>
      <c r="BH472" s="76"/>
      <c r="BI472" s="76"/>
      <c r="BJ472" s="76"/>
      <c r="BK472" s="76"/>
      <c r="BL472" s="76">
        <f>+BK472*31500</f>
        <v>0</v>
      </c>
      <c r="BM472" s="76"/>
      <c r="BN472" s="76"/>
      <c r="BO472" s="76"/>
      <c r="BP472" s="76"/>
      <c r="BQ472" s="76"/>
      <c r="BR472" s="76"/>
      <c r="BS472" s="76"/>
      <c r="BT472" s="76"/>
      <c r="BU472" s="76"/>
      <c r="BV472" s="76"/>
      <c r="BW472" s="76"/>
      <c r="BX472" s="76"/>
      <c r="BY472" s="76"/>
      <c r="BZ472" s="76"/>
      <c r="CA472" s="76"/>
      <c r="CB472" s="76"/>
      <c r="CC472" s="76"/>
      <c r="CD472" s="76"/>
      <c r="CE472" s="76"/>
      <c r="CF472" s="76">
        <f>+CE472*28000</f>
        <v>0</v>
      </c>
      <c r="CG472" s="76"/>
      <c r="CH472" s="76">
        <f>+CG472*22500</f>
        <v>0</v>
      </c>
      <c r="CI472" s="76"/>
      <c r="CJ472" s="76">
        <f>+CI472*26000</f>
        <v>0</v>
      </c>
      <c r="CK472" s="76"/>
      <c r="CL472" s="76"/>
      <c r="CM472" s="76"/>
      <c r="CN472" s="76">
        <f>+CM472*22000</f>
        <v>0</v>
      </c>
      <c r="CO472" s="76"/>
      <c r="CP472" s="76">
        <f>+CO472*46000</f>
        <v>0</v>
      </c>
      <c r="CQ472" s="76"/>
      <c r="CR472" s="76">
        <f>+CQ472*49000</f>
        <v>0</v>
      </c>
      <c r="CS472" s="76"/>
      <c r="CT472" s="76"/>
      <c r="CU472" s="56">
        <f>AN472+AP472+AR472+AT472+AV472+AX472+AZ472+BB472+BD472+BF472+BH472+BJ472+BL472+BN472+BP472+BR472+BT472+BV472+BX472+BZ472+CB472+CD472+CF472+CH472+CJ472+CL472+CN472+CP472+CR472+CT472</f>
        <v>0</v>
      </c>
      <c r="CV472" s="76"/>
      <c r="CW472" s="76">
        <f>+CV472*1100</f>
        <v>0</v>
      </c>
      <c r="CX472" s="76"/>
      <c r="CY472" s="76">
        <f>+CX472*106250</f>
        <v>0</v>
      </c>
      <c r="CZ472" s="76"/>
      <c r="DA472" s="76">
        <f>+CZ472*34500</f>
        <v>0</v>
      </c>
      <c r="DB472" s="76"/>
      <c r="DC472" s="76">
        <f>+DB472*25000</f>
        <v>0</v>
      </c>
      <c r="DD472" s="219"/>
      <c r="DE472" s="219"/>
      <c r="DF472" s="166"/>
      <c r="DG472" s="116"/>
      <c r="DH472" s="117"/>
      <c r="DI472" s="24"/>
      <c r="DJ472" s="24"/>
      <c r="DK472" s="24"/>
      <c r="DL472" s="24"/>
      <c r="DM472" s="24"/>
      <c r="DN472" s="24"/>
      <c r="DO472" s="24"/>
      <c r="DP472" s="24"/>
      <c r="DQ472" s="24"/>
      <c r="DR472" s="24"/>
      <c r="DS472" s="24"/>
      <c r="DT472" s="24"/>
      <c r="DU472" s="24"/>
    </row>
    <row r="473" spans="1:125" s="8" customFormat="1" ht="24" x14ac:dyDescent="0.2">
      <c r="A473" s="77">
        <v>41305</v>
      </c>
      <c r="B473" s="78" t="s">
        <v>2087</v>
      </c>
      <c r="C473" s="75" t="s">
        <v>801</v>
      </c>
      <c r="D473" s="75" t="s">
        <v>2859</v>
      </c>
      <c r="E473" s="75" t="str">
        <f>VLOOKUP(B473&amp;C473,Divipola!$C$2:$F$1138,4,FALSE)</f>
        <v>18410</v>
      </c>
      <c r="F473" s="163"/>
      <c r="G473" s="163"/>
      <c r="H473" s="163"/>
      <c r="I473" s="163"/>
      <c r="J473" s="163"/>
      <c r="K473" s="163"/>
      <c r="L473" s="163"/>
      <c r="M473" s="163"/>
      <c r="N473" s="163"/>
      <c r="O473" s="163"/>
      <c r="P473" s="163"/>
      <c r="Q473" s="163"/>
      <c r="R473" s="163"/>
      <c r="S473" s="163">
        <v>1</v>
      </c>
      <c r="T473" s="163"/>
      <c r="U473" s="163"/>
      <c r="V473" s="134"/>
      <c r="W473" s="96">
        <v>0</v>
      </c>
      <c r="X473" s="71">
        <f>CU473</f>
        <v>0</v>
      </c>
      <c r="Y473" s="71">
        <f>CY473</f>
        <v>0</v>
      </c>
      <c r="Z473" s="71">
        <f>DA473+DC473+DE473</f>
        <v>29469162</v>
      </c>
      <c r="AA473" s="71">
        <f>CW473</f>
        <v>0</v>
      </c>
      <c r="AB473" s="71"/>
      <c r="AC473" s="71">
        <v>0</v>
      </c>
      <c r="AD473" s="71">
        <f>W473+X473+Y473+Z473+AA473+AB473+AC473</f>
        <v>29469162</v>
      </c>
      <c r="AE473" s="72">
        <v>0</v>
      </c>
      <c r="AF473" s="5"/>
      <c r="AG473" s="6"/>
      <c r="AH473" s="27" t="s">
        <v>3390</v>
      </c>
      <c r="AI473" s="44" t="s">
        <v>3391</v>
      </c>
      <c r="AJ473" s="26"/>
      <c r="AK473" s="5" t="s">
        <v>4243</v>
      </c>
      <c r="AL473" s="82" t="s">
        <v>4287</v>
      </c>
      <c r="AM473" s="76"/>
      <c r="AN473" s="76"/>
      <c r="AO473" s="76"/>
      <c r="AP473" s="76"/>
      <c r="AQ473" s="76"/>
      <c r="AR473" s="76"/>
      <c r="AS473" s="76"/>
      <c r="AT473" s="76"/>
      <c r="AU473" s="76"/>
      <c r="AV473" s="76"/>
      <c r="AW473" s="76"/>
      <c r="AX473" s="76">
        <f>+AW473*600000</f>
        <v>0</v>
      </c>
      <c r="AY473" s="76"/>
      <c r="AZ473" s="76">
        <f>+AY473*70000</f>
        <v>0</v>
      </c>
      <c r="BA473" s="76"/>
      <c r="BB473" s="76"/>
      <c r="BC473" s="76"/>
      <c r="BD473" s="76">
        <f>+BC473*30000</f>
        <v>0</v>
      </c>
      <c r="BE473" s="76"/>
      <c r="BF473" s="76"/>
      <c r="BG473" s="76"/>
      <c r="BH473" s="76"/>
      <c r="BI473" s="76"/>
      <c r="BJ473" s="76"/>
      <c r="BK473" s="76"/>
      <c r="BL473" s="76">
        <f>+BK473*31500</f>
        <v>0</v>
      </c>
      <c r="BM473" s="76"/>
      <c r="BN473" s="76"/>
      <c r="BO473" s="76"/>
      <c r="BP473" s="76"/>
      <c r="BQ473" s="76"/>
      <c r="BR473" s="76"/>
      <c r="BS473" s="76"/>
      <c r="BT473" s="76"/>
      <c r="BU473" s="76"/>
      <c r="BV473" s="76"/>
      <c r="BW473" s="76"/>
      <c r="BX473" s="76"/>
      <c r="BY473" s="76"/>
      <c r="BZ473" s="76"/>
      <c r="CA473" s="76"/>
      <c r="CB473" s="76"/>
      <c r="CC473" s="76"/>
      <c r="CD473" s="76"/>
      <c r="CE473" s="76"/>
      <c r="CF473" s="76">
        <f>+CE473*28000</f>
        <v>0</v>
      </c>
      <c r="CG473" s="76"/>
      <c r="CH473" s="76">
        <f>+CG473*22500</f>
        <v>0</v>
      </c>
      <c r="CI473" s="76"/>
      <c r="CJ473" s="76">
        <f>+CI473*26000</f>
        <v>0</v>
      </c>
      <c r="CK473" s="76"/>
      <c r="CL473" s="76"/>
      <c r="CM473" s="76"/>
      <c r="CN473" s="76">
        <f>+CM473*22000</f>
        <v>0</v>
      </c>
      <c r="CO473" s="76"/>
      <c r="CP473" s="76">
        <f>+CO473*46000</f>
        <v>0</v>
      </c>
      <c r="CQ473" s="76"/>
      <c r="CR473" s="76">
        <f>+CQ473*49000</f>
        <v>0</v>
      </c>
      <c r="CS473" s="76"/>
      <c r="CT473" s="76"/>
      <c r="CU473" s="56">
        <f>AN473+AP473+AR473+AT473+AV473+AX473+AZ473+BB473+BD473+BF473+BH473+BJ473+BL473+BN473+BP473+BR473+BT473+BV473+BX473+BZ473+CB473+CD473+CF473+CH473+CJ473+CL473+CN473+CP473+CR473+CT473</f>
        <v>0</v>
      </c>
      <c r="CV473" s="76"/>
      <c r="CW473" s="76">
        <f>+CV473*1100</f>
        <v>0</v>
      </c>
      <c r="CX473" s="76"/>
      <c r="CY473" s="76">
        <f>+CX473*106250</f>
        <v>0</v>
      </c>
      <c r="CZ473" s="86">
        <v>400</v>
      </c>
      <c r="DA473" s="86">
        <f>+CZ473*34499.56</f>
        <v>13799824</v>
      </c>
      <c r="DB473" s="86">
        <f>50+10+10</f>
        <v>70</v>
      </c>
      <c r="DC473" s="86">
        <f>50*21248.88+10*30999.84+240*699.48+10*39799.6</f>
        <v>1938313.5999999999</v>
      </c>
      <c r="DD473" s="222" t="s">
        <v>4384</v>
      </c>
      <c r="DE473" s="309">
        <f>2700*2299.12+145*21499.44+260*14999.96+100*5059.92</f>
        <v>13731024.4</v>
      </c>
      <c r="DF473" s="166"/>
      <c r="DG473" s="134" t="s">
        <v>5164</v>
      </c>
      <c r="DH473" s="117"/>
      <c r="DI473" s="24"/>
      <c r="DJ473" s="24"/>
      <c r="DK473" s="24"/>
      <c r="DL473" s="24"/>
      <c r="DM473" s="24"/>
      <c r="DN473" s="24"/>
      <c r="DO473" s="24"/>
      <c r="DP473" s="24"/>
      <c r="DQ473" s="24"/>
      <c r="DR473" s="24"/>
      <c r="DS473" s="24"/>
      <c r="DT473" s="24"/>
      <c r="DU473" s="24"/>
    </row>
    <row r="474" spans="1:125" s="8" customFormat="1" ht="96" x14ac:dyDescent="0.2">
      <c r="A474" s="77">
        <v>41305</v>
      </c>
      <c r="B474" s="352" t="s">
        <v>2854</v>
      </c>
      <c r="C474" s="354" t="s">
        <v>2731</v>
      </c>
      <c r="D474" s="354" t="s">
        <v>2142</v>
      </c>
      <c r="E474" s="75" t="str">
        <f>VLOOKUP(B474&amp;C474,Divipola!$C$2:$F$1138,4,FALSE)</f>
        <v>19001</v>
      </c>
      <c r="F474" s="87">
        <v>2</v>
      </c>
      <c r="G474" s="87"/>
      <c r="H474" s="87"/>
      <c r="I474" s="87"/>
      <c r="J474" s="87"/>
      <c r="K474" s="87"/>
      <c r="L474" s="87"/>
      <c r="M474" s="87"/>
      <c r="N474" s="87"/>
      <c r="O474" s="87"/>
      <c r="P474" s="87"/>
      <c r="Q474" s="87"/>
      <c r="R474" s="87"/>
      <c r="S474" s="87"/>
      <c r="T474" s="87"/>
      <c r="U474" s="88"/>
      <c r="V474" s="89"/>
      <c r="W474" s="96">
        <v>0</v>
      </c>
      <c r="X474" s="71">
        <f>CU474</f>
        <v>0</v>
      </c>
      <c r="Y474" s="71">
        <f>CY474</f>
        <v>0</v>
      </c>
      <c r="Z474" s="71">
        <f>DA474+DC474+DE474</f>
        <v>0</v>
      </c>
      <c r="AA474" s="71">
        <f>CW474</f>
        <v>0</v>
      </c>
      <c r="AB474" s="71"/>
      <c r="AC474" s="71">
        <v>0</v>
      </c>
      <c r="AD474" s="71">
        <f>W474+X474+Y474+Z474+AA474+AB474+AC474</f>
        <v>0</v>
      </c>
      <c r="AE474" s="72">
        <v>0</v>
      </c>
      <c r="AF474" s="5"/>
      <c r="AG474" s="6"/>
      <c r="AH474" s="27" t="s">
        <v>3392</v>
      </c>
      <c r="AI474" s="44" t="s">
        <v>3393</v>
      </c>
      <c r="AJ474" s="26"/>
      <c r="AK474" s="5"/>
      <c r="AL474" s="82" t="s">
        <v>3394</v>
      </c>
      <c r="AM474" s="76"/>
      <c r="AN474" s="76"/>
      <c r="AO474" s="76"/>
      <c r="AP474" s="76"/>
      <c r="AQ474" s="76"/>
      <c r="AR474" s="76"/>
      <c r="AS474" s="76"/>
      <c r="AT474" s="76"/>
      <c r="AU474" s="76"/>
      <c r="AV474" s="76"/>
      <c r="AW474" s="76"/>
      <c r="AX474" s="76">
        <f>+AW474*600000</f>
        <v>0</v>
      </c>
      <c r="AY474" s="76"/>
      <c r="AZ474" s="76">
        <f>+AY474*70000</f>
        <v>0</v>
      </c>
      <c r="BA474" s="76"/>
      <c r="BB474" s="76"/>
      <c r="BC474" s="76"/>
      <c r="BD474" s="76">
        <f>+BC474*30000</f>
        <v>0</v>
      </c>
      <c r="BE474" s="76"/>
      <c r="BF474" s="76"/>
      <c r="BG474" s="76"/>
      <c r="BH474" s="76"/>
      <c r="BI474" s="76"/>
      <c r="BJ474" s="76"/>
      <c r="BK474" s="76"/>
      <c r="BL474" s="76">
        <f>+BK474*31500</f>
        <v>0</v>
      </c>
      <c r="BM474" s="76"/>
      <c r="BN474" s="76"/>
      <c r="BO474" s="76"/>
      <c r="BP474" s="76"/>
      <c r="BQ474" s="76"/>
      <c r="BR474" s="76"/>
      <c r="BS474" s="76"/>
      <c r="BT474" s="76"/>
      <c r="BU474" s="76"/>
      <c r="BV474" s="76"/>
      <c r="BW474" s="76"/>
      <c r="BX474" s="76"/>
      <c r="BY474" s="76"/>
      <c r="BZ474" s="76"/>
      <c r="CA474" s="76"/>
      <c r="CB474" s="76"/>
      <c r="CC474" s="76"/>
      <c r="CD474" s="76"/>
      <c r="CE474" s="76"/>
      <c r="CF474" s="76">
        <f>+CE474*28000</f>
        <v>0</v>
      </c>
      <c r="CG474" s="76"/>
      <c r="CH474" s="76">
        <f>+CG474*22500</f>
        <v>0</v>
      </c>
      <c r="CI474" s="76"/>
      <c r="CJ474" s="76">
        <f>+CI474*26000</f>
        <v>0</v>
      </c>
      <c r="CK474" s="76"/>
      <c r="CL474" s="76"/>
      <c r="CM474" s="76"/>
      <c r="CN474" s="76">
        <f>+CM474*22000</f>
        <v>0</v>
      </c>
      <c r="CO474" s="76"/>
      <c r="CP474" s="76">
        <f>+CO474*46000</f>
        <v>0</v>
      </c>
      <c r="CQ474" s="76"/>
      <c r="CR474" s="76">
        <f>+CQ474*49000</f>
        <v>0</v>
      </c>
      <c r="CS474" s="76"/>
      <c r="CT474" s="76"/>
      <c r="CU474" s="56">
        <f>AN474+AP474+AR474+AT474+AV474+AX474+AZ474+BB474+BD474+BF474+BH474+BJ474+BL474+BN474+BP474+BR474+BT474+BV474+BX474+BZ474+CB474+CD474+CF474+CH474+CJ474+CL474+CN474+CP474+CR474+CT474</f>
        <v>0</v>
      </c>
      <c r="CV474" s="76"/>
      <c r="CW474" s="76">
        <f>+CV474*1100</f>
        <v>0</v>
      </c>
      <c r="CX474" s="76"/>
      <c r="CY474" s="76">
        <f>+CX474*106250</f>
        <v>0</v>
      </c>
      <c r="CZ474" s="76"/>
      <c r="DA474" s="76">
        <f>+CZ474*34500</f>
        <v>0</v>
      </c>
      <c r="DB474" s="76"/>
      <c r="DC474" s="76">
        <f>+DB474*25000</f>
        <v>0</v>
      </c>
      <c r="DD474" s="219"/>
      <c r="DE474" s="219"/>
      <c r="DF474" s="166"/>
      <c r="DG474" s="116"/>
      <c r="DH474" s="117"/>
      <c r="DI474" s="24"/>
      <c r="DJ474" s="24"/>
      <c r="DK474" s="24"/>
      <c r="DL474" s="24"/>
      <c r="DM474" s="24"/>
      <c r="DN474" s="24"/>
      <c r="DO474" s="24"/>
      <c r="DP474" s="24"/>
      <c r="DQ474" s="24"/>
      <c r="DR474" s="24"/>
      <c r="DS474" s="24"/>
      <c r="DT474" s="24"/>
      <c r="DU474" s="24"/>
    </row>
    <row r="475" spans="1:125" s="8" customFormat="1" ht="132" x14ac:dyDescent="0.2">
      <c r="A475" s="77">
        <v>41305</v>
      </c>
      <c r="B475" s="225" t="s">
        <v>2772</v>
      </c>
      <c r="C475" s="227" t="s">
        <v>1163</v>
      </c>
      <c r="D475" s="81" t="s">
        <v>2846</v>
      </c>
      <c r="E475" s="75" t="str">
        <f>VLOOKUP(B475&amp;C475,Divipola!$C$2:$F$1138,4,FALSE)</f>
        <v>25769</v>
      </c>
      <c r="F475" s="87"/>
      <c r="G475" s="87"/>
      <c r="H475" s="87"/>
      <c r="I475" s="87"/>
      <c r="J475" s="87"/>
      <c r="K475" s="87"/>
      <c r="L475" s="87"/>
      <c r="M475" s="87"/>
      <c r="N475" s="87"/>
      <c r="O475" s="87"/>
      <c r="P475" s="87"/>
      <c r="Q475" s="87"/>
      <c r="R475" s="87"/>
      <c r="S475" s="87"/>
      <c r="T475" s="87"/>
      <c r="U475" s="88">
        <v>3</v>
      </c>
      <c r="V475" s="89"/>
      <c r="W475" s="96">
        <v>0</v>
      </c>
      <c r="X475" s="71">
        <f>CU475</f>
        <v>0</v>
      </c>
      <c r="Y475" s="71">
        <f>CY475</f>
        <v>0</v>
      </c>
      <c r="Z475" s="71">
        <f>DA475+DC475+DE475</f>
        <v>0</v>
      </c>
      <c r="AA475" s="71">
        <f>CW475</f>
        <v>0</v>
      </c>
      <c r="AB475" s="71"/>
      <c r="AC475" s="71">
        <v>0</v>
      </c>
      <c r="AD475" s="71">
        <f>W475+X475+Y475+Z475+AA475+AB475+AC475</f>
        <v>0</v>
      </c>
      <c r="AE475" s="72">
        <v>0</v>
      </c>
      <c r="AF475" s="5"/>
      <c r="AG475" s="6"/>
      <c r="AH475" s="27" t="s">
        <v>3392</v>
      </c>
      <c r="AI475" s="44" t="s">
        <v>3393</v>
      </c>
      <c r="AJ475" s="26"/>
      <c r="AK475" s="5"/>
      <c r="AL475" s="82" t="s">
        <v>3362</v>
      </c>
      <c r="AM475" s="76"/>
      <c r="AN475" s="76"/>
      <c r="AO475" s="76"/>
      <c r="AP475" s="76"/>
      <c r="AQ475" s="76"/>
      <c r="AR475" s="76"/>
      <c r="AS475" s="76"/>
      <c r="AT475" s="76"/>
      <c r="AU475" s="76"/>
      <c r="AV475" s="76"/>
      <c r="AW475" s="76"/>
      <c r="AX475" s="76">
        <f>+AW475*600000</f>
        <v>0</v>
      </c>
      <c r="AY475" s="76"/>
      <c r="AZ475" s="76">
        <f>+AY475*70000</f>
        <v>0</v>
      </c>
      <c r="BA475" s="76"/>
      <c r="BB475" s="76"/>
      <c r="BC475" s="76"/>
      <c r="BD475" s="76">
        <f>+BC475*30000</f>
        <v>0</v>
      </c>
      <c r="BE475" s="76"/>
      <c r="BF475" s="76"/>
      <c r="BG475" s="76"/>
      <c r="BH475" s="76"/>
      <c r="BI475" s="76"/>
      <c r="BJ475" s="76"/>
      <c r="BK475" s="76"/>
      <c r="BL475" s="76">
        <f>+BK475*31500</f>
        <v>0</v>
      </c>
      <c r="BM475" s="76"/>
      <c r="BN475" s="76"/>
      <c r="BO475" s="76"/>
      <c r="BP475" s="76"/>
      <c r="BQ475" s="76"/>
      <c r="BR475" s="76"/>
      <c r="BS475" s="76"/>
      <c r="BT475" s="76"/>
      <c r="BU475" s="76"/>
      <c r="BV475" s="76"/>
      <c r="BW475" s="76"/>
      <c r="BX475" s="76"/>
      <c r="BY475" s="76"/>
      <c r="BZ475" s="76"/>
      <c r="CA475" s="76"/>
      <c r="CB475" s="76"/>
      <c r="CC475" s="76"/>
      <c r="CD475" s="76"/>
      <c r="CE475" s="76"/>
      <c r="CF475" s="76">
        <f>+CE475*28000</f>
        <v>0</v>
      </c>
      <c r="CG475" s="76"/>
      <c r="CH475" s="76">
        <f>+CG475*22500</f>
        <v>0</v>
      </c>
      <c r="CI475" s="76"/>
      <c r="CJ475" s="76">
        <f>+CI475*26000</f>
        <v>0</v>
      </c>
      <c r="CK475" s="76"/>
      <c r="CL475" s="76"/>
      <c r="CM475" s="76"/>
      <c r="CN475" s="76">
        <f>+CM475*22000</f>
        <v>0</v>
      </c>
      <c r="CO475" s="76"/>
      <c r="CP475" s="76">
        <f>+CO475*46000</f>
        <v>0</v>
      </c>
      <c r="CQ475" s="76"/>
      <c r="CR475" s="76">
        <f>+CQ475*49000</f>
        <v>0</v>
      </c>
      <c r="CS475" s="76"/>
      <c r="CT475" s="76"/>
      <c r="CU475" s="56">
        <f>AN475+AP475+AR475+AT475+AV475+AX475+AZ475+BB475+BD475+BF475+BH475+BJ475+BL475+BN475+BP475+BR475+BT475+BV475+BX475+BZ475+CB475+CD475+CF475+CH475+CJ475+CL475+CN475+CP475+CR475+CT475</f>
        <v>0</v>
      </c>
      <c r="CV475" s="76"/>
      <c r="CW475" s="76">
        <f>+CV475*1100</f>
        <v>0</v>
      </c>
      <c r="CX475" s="76"/>
      <c r="CY475" s="76">
        <f>+CX475*106250</f>
        <v>0</v>
      </c>
      <c r="CZ475" s="76"/>
      <c r="DA475" s="76">
        <f>+CZ475*34500</f>
        <v>0</v>
      </c>
      <c r="DB475" s="76"/>
      <c r="DC475" s="76">
        <f>+DB475*25000</f>
        <v>0</v>
      </c>
      <c r="DD475" s="219"/>
      <c r="DE475" s="219"/>
      <c r="DF475" s="166"/>
      <c r="DG475" s="116"/>
      <c r="DH475" s="117"/>
      <c r="DI475" s="24"/>
      <c r="DJ475" s="24"/>
      <c r="DK475" s="24"/>
      <c r="DL475" s="24"/>
      <c r="DM475" s="24"/>
      <c r="DN475" s="24"/>
      <c r="DO475" s="24"/>
      <c r="DP475" s="24"/>
      <c r="DQ475" s="24"/>
      <c r="DR475" s="24"/>
      <c r="DS475" s="24"/>
      <c r="DT475" s="24"/>
      <c r="DU475" s="24"/>
    </row>
    <row r="476" spans="1:125" s="8" customFormat="1" ht="96" x14ac:dyDescent="0.2">
      <c r="A476" s="77">
        <v>41305</v>
      </c>
      <c r="B476" s="60" t="s">
        <v>2772</v>
      </c>
      <c r="C476" s="55" t="s">
        <v>1183</v>
      </c>
      <c r="D476" s="81" t="s">
        <v>2846</v>
      </c>
      <c r="E476" s="75" t="str">
        <f>VLOOKUP(B476&amp;C476,Divipola!$C$2:$F$1138,4,FALSE)</f>
        <v>25807</v>
      </c>
      <c r="F476" s="87"/>
      <c r="G476" s="87"/>
      <c r="H476" s="87"/>
      <c r="I476" s="87"/>
      <c r="J476" s="87"/>
      <c r="K476" s="87"/>
      <c r="L476" s="87"/>
      <c r="M476" s="87"/>
      <c r="N476" s="87"/>
      <c r="O476" s="87"/>
      <c r="P476" s="87"/>
      <c r="Q476" s="87"/>
      <c r="R476" s="87"/>
      <c r="S476" s="87"/>
      <c r="T476" s="87"/>
      <c r="U476" s="88">
        <v>5</v>
      </c>
      <c r="V476" s="89"/>
      <c r="W476" s="96">
        <v>0</v>
      </c>
      <c r="X476" s="71">
        <f>CU476</f>
        <v>0</v>
      </c>
      <c r="Y476" s="71">
        <f>CY476</f>
        <v>0</v>
      </c>
      <c r="Z476" s="71">
        <f>DA476+DC476+DE476</f>
        <v>0</v>
      </c>
      <c r="AA476" s="71">
        <f>CW476</f>
        <v>0</v>
      </c>
      <c r="AB476" s="71"/>
      <c r="AC476" s="71">
        <v>0</v>
      </c>
      <c r="AD476" s="71">
        <f>W476+X476+Y476+Z476+AA476+AB476+AC476</f>
        <v>0</v>
      </c>
      <c r="AE476" s="72">
        <v>0</v>
      </c>
      <c r="AF476" s="5"/>
      <c r="AG476" s="6"/>
      <c r="AH476" s="27" t="s">
        <v>3392</v>
      </c>
      <c r="AI476" s="44" t="s">
        <v>3393</v>
      </c>
      <c r="AJ476" s="26"/>
      <c r="AK476" s="5"/>
      <c r="AL476" s="82" t="s">
        <v>3345</v>
      </c>
      <c r="AM476" s="76"/>
      <c r="AN476" s="76"/>
      <c r="AO476" s="76"/>
      <c r="AP476" s="76"/>
      <c r="AQ476" s="76"/>
      <c r="AR476" s="76"/>
      <c r="AS476" s="76"/>
      <c r="AT476" s="76"/>
      <c r="AU476" s="76"/>
      <c r="AV476" s="76"/>
      <c r="AW476" s="76"/>
      <c r="AX476" s="76">
        <f>+AW476*600000</f>
        <v>0</v>
      </c>
      <c r="AY476" s="76"/>
      <c r="AZ476" s="76">
        <f>+AY476*70000</f>
        <v>0</v>
      </c>
      <c r="BA476" s="76"/>
      <c r="BB476" s="76"/>
      <c r="BC476" s="76"/>
      <c r="BD476" s="76">
        <f>+BC476*30000</f>
        <v>0</v>
      </c>
      <c r="BE476" s="76"/>
      <c r="BF476" s="76"/>
      <c r="BG476" s="76"/>
      <c r="BH476" s="76"/>
      <c r="BI476" s="76"/>
      <c r="BJ476" s="76"/>
      <c r="BK476" s="76"/>
      <c r="BL476" s="76">
        <f>+BK476*31500</f>
        <v>0</v>
      </c>
      <c r="BM476" s="76"/>
      <c r="BN476" s="76"/>
      <c r="BO476" s="76"/>
      <c r="BP476" s="76"/>
      <c r="BQ476" s="76"/>
      <c r="BR476" s="76"/>
      <c r="BS476" s="76"/>
      <c r="BT476" s="76"/>
      <c r="BU476" s="76"/>
      <c r="BV476" s="76"/>
      <c r="BW476" s="76"/>
      <c r="BX476" s="76"/>
      <c r="BY476" s="76"/>
      <c r="BZ476" s="76"/>
      <c r="CA476" s="76"/>
      <c r="CB476" s="76"/>
      <c r="CC476" s="76"/>
      <c r="CD476" s="76"/>
      <c r="CE476" s="76"/>
      <c r="CF476" s="76">
        <f>+CE476*28000</f>
        <v>0</v>
      </c>
      <c r="CG476" s="76"/>
      <c r="CH476" s="76">
        <f>+CG476*22500</f>
        <v>0</v>
      </c>
      <c r="CI476" s="76"/>
      <c r="CJ476" s="76">
        <f>+CI476*26000</f>
        <v>0</v>
      </c>
      <c r="CK476" s="76"/>
      <c r="CL476" s="76"/>
      <c r="CM476" s="76"/>
      <c r="CN476" s="76">
        <f>+CM476*22000</f>
        <v>0</v>
      </c>
      <c r="CO476" s="76"/>
      <c r="CP476" s="76">
        <f>+CO476*46000</f>
        <v>0</v>
      </c>
      <c r="CQ476" s="76"/>
      <c r="CR476" s="76">
        <f>+CQ476*49000</f>
        <v>0</v>
      </c>
      <c r="CS476" s="76"/>
      <c r="CT476" s="76"/>
      <c r="CU476" s="56">
        <f>AN476+AP476+AR476+AT476+AV476+AX476+AZ476+BB476+BD476+BF476+BH476+BJ476+BL476+BN476+BP476+BR476+BT476+BV476+BX476+BZ476+CB476+CD476+CF476+CH476+CJ476+CL476+CN476+CP476+CR476+CT476</f>
        <v>0</v>
      </c>
      <c r="CV476" s="76"/>
      <c r="CW476" s="76">
        <f>+CV476*1100</f>
        <v>0</v>
      </c>
      <c r="CX476" s="76"/>
      <c r="CY476" s="76">
        <f>+CX476*106250</f>
        <v>0</v>
      </c>
      <c r="CZ476" s="76"/>
      <c r="DA476" s="76">
        <f>+CZ476*34500</f>
        <v>0</v>
      </c>
      <c r="DB476" s="76"/>
      <c r="DC476" s="76">
        <f>+DB476*25000</f>
        <v>0</v>
      </c>
      <c r="DD476" s="219"/>
      <c r="DE476" s="219"/>
      <c r="DF476" s="166"/>
      <c r="DG476" s="116"/>
      <c r="DH476" s="117"/>
      <c r="DI476" s="24"/>
      <c r="DJ476" s="24"/>
      <c r="DK476" s="24"/>
      <c r="DL476" s="24"/>
      <c r="DM476" s="24"/>
      <c r="DN476" s="24"/>
      <c r="DO476" s="24"/>
      <c r="DP476" s="24"/>
      <c r="DQ476" s="24"/>
      <c r="DR476" s="24"/>
      <c r="DS476" s="24"/>
      <c r="DT476" s="24"/>
      <c r="DU476" s="24"/>
    </row>
    <row r="477" spans="1:125" s="8" customFormat="1" ht="60" x14ac:dyDescent="0.2">
      <c r="A477" s="77">
        <v>41305</v>
      </c>
      <c r="B477" s="225" t="s">
        <v>2772</v>
      </c>
      <c r="C477" s="227" t="s">
        <v>2835</v>
      </c>
      <c r="D477" s="81" t="s">
        <v>2846</v>
      </c>
      <c r="E477" s="75" t="str">
        <f>VLOOKUP(B477&amp;C477,Divipola!$C$2:$F$1138,4,FALSE)</f>
        <v>25873</v>
      </c>
      <c r="F477" s="87"/>
      <c r="G477" s="87"/>
      <c r="H477" s="87"/>
      <c r="I477" s="87"/>
      <c r="J477" s="87"/>
      <c r="K477" s="87"/>
      <c r="L477" s="87"/>
      <c r="M477" s="87"/>
      <c r="N477" s="87"/>
      <c r="O477" s="87"/>
      <c r="P477" s="87"/>
      <c r="Q477" s="87"/>
      <c r="R477" s="87"/>
      <c r="S477" s="87"/>
      <c r="T477" s="87"/>
      <c r="U477" s="88"/>
      <c r="V477" s="89"/>
      <c r="W477" s="96">
        <v>0</v>
      </c>
      <c r="X477" s="71">
        <f>CU477</f>
        <v>0</v>
      </c>
      <c r="Y477" s="71">
        <f>CY477</f>
        <v>0</v>
      </c>
      <c r="Z477" s="71">
        <f>DA477+DC477+DE477</f>
        <v>0</v>
      </c>
      <c r="AA477" s="71">
        <f>CW477</f>
        <v>0</v>
      </c>
      <c r="AB477" s="71"/>
      <c r="AC477" s="71">
        <v>0</v>
      </c>
      <c r="AD477" s="71">
        <f>W477+X477+Y477+Z477+AA477+AB477+AC477</f>
        <v>0</v>
      </c>
      <c r="AE477" s="72">
        <v>0</v>
      </c>
      <c r="AF477" s="5"/>
      <c r="AG477" s="6"/>
      <c r="AH477" s="27" t="s">
        <v>3392</v>
      </c>
      <c r="AI477" s="44" t="s">
        <v>3393</v>
      </c>
      <c r="AJ477" s="26"/>
      <c r="AK477" s="5"/>
      <c r="AL477" s="82" t="s">
        <v>3346</v>
      </c>
      <c r="AM477" s="76"/>
      <c r="AN477" s="76"/>
      <c r="AO477" s="76"/>
      <c r="AP477" s="76"/>
      <c r="AQ477" s="76"/>
      <c r="AR477" s="76"/>
      <c r="AS477" s="76"/>
      <c r="AT477" s="76"/>
      <c r="AU477" s="76"/>
      <c r="AV477" s="76"/>
      <c r="AW477" s="76"/>
      <c r="AX477" s="76">
        <f>+AW477*600000</f>
        <v>0</v>
      </c>
      <c r="AY477" s="76"/>
      <c r="AZ477" s="76">
        <f>+AY477*70000</f>
        <v>0</v>
      </c>
      <c r="BA477" s="76"/>
      <c r="BB477" s="76"/>
      <c r="BC477" s="76"/>
      <c r="BD477" s="76">
        <f>+BC477*30000</f>
        <v>0</v>
      </c>
      <c r="BE477" s="76"/>
      <c r="BF477" s="76"/>
      <c r="BG477" s="76"/>
      <c r="BH477" s="76"/>
      <c r="BI477" s="76"/>
      <c r="BJ477" s="76"/>
      <c r="BK477" s="76"/>
      <c r="BL477" s="76">
        <f>+BK477*31500</f>
        <v>0</v>
      </c>
      <c r="BM477" s="76"/>
      <c r="BN477" s="76"/>
      <c r="BO477" s="76"/>
      <c r="BP477" s="76"/>
      <c r="BQ477" s="76"/>
      <c r="BR477" s="76"/>
      <c r="BS477" s="76"/>
      <c r="BT477" s="76"/>
      <c r="BU477" s="76"/>
      <c r="BV477" s="76"/>
      <c r="BW477" s="76"/>
      <c r="BX477" s="76"/>
      <c r="BY477" s="76"/>
      <c r="BZ477" s="76"/>
      <c r="CA477" s="76"/>
      <c r="CB477" s="76"/>
      <c r="CC477" s="76"/>
      <c r="CD477" s="76"/>
      <c r="CE477" s="76"/>
      <c r="CF477" s="76">
        <f>+CE477*28000</f>
        <v>0</v>
      </c>
      <c r="CG477" s="76"/>
      <c r="CH477" s="76">
        <f>+CG477*22500</f>
        <v>0</v>
      </c>
      <c r="CI477" s="76"/>
      <c r="CJ477" s="76">
        <f>+CI477*26000</f>
        <v>0</v>
      </c>
      <c r="CK477" s="76"/>
      <c r="CL477" s="76"/>
      <c r="CM477" s="76"/>
      <c r="CN477" s="76">
        <f>+CM477*22000</f>
        <v>0</v>
      </c>
      <c r="CO477" s="76"/>
      <c r="CP477" s="76">
        <f>+CO477*46000</f>
        <v>0</v>
      </c>
      <c r="CQ477" s="76"/>
      <c r="CR477" s="76">
        <f>+CQ477*49000</f>
        <v>0</v>
      </c>
      <c r="CS477" s="76"/>
      <c r="CT477" s="76"/>
      <c r="CU477" s="56">
        <f>AN477+AP477+AR477+AT477+AV477+AX477+AZ477+BB477+BD477+BF477+BH477+BJ477+BL477+BN477+BP477+BR477+BT477+BV477+BX477+BZ477+CB477+CD477+CF477+CH477+CJ477+CL477+CN477+CP477+CR477+CT477</f>
        <v>0</v>
      </c>
      <c r="CV477" s="76"/>
      <c r="CW477" s="76">
        <f>+CV477*1100</f>
        <v>0</v>
      </c>
      <c r="CX477" s="76"/>
      <c r="CY477" s="76">
        <f>+CX477*106250</f>
        <v>0</v>
      </c>
      <c r="CZ477" s="76"/>
      <c r="DA477" s="76">
        <f>+CZ477*34500</f>
        <v>0</v>
      </c>
      <c r="DB477" s="76"/>
      <c r="DC477" s="76">
        <f>+DB477*25000</f>
        <v>0</v>
      </c>
      <c r="DD477" s="219"/>
      <c r="DE477" s="219"/>
      <c r="DF477" s="166"/>
      <c r="DG477" s="116"/>
      <c r="DH477" s="117"/>
      <c r="DI477" s="24"/>
      <c r="DJ477" s="24"/>
      <c r="DK477" s="24"/>
      <c r="DL477" s="24"/>
      <c r="DM477" s="24"/>
      <c r="DN477" s="24"/>
      <c r="DO477" s="24"/>
      <c r="DP477" s="24"/>
      <c r="DQ477" s="24"/>
      <c r="DR477" s="24"/>
      <c r="DS477" s="24"/>
      <c r="DT477" s="24"/>
      <c r="DU477" s="24"/>
    </row>
    <row r="478" spans="1:125" s="8" customFormat="1" ht="60" x14ac:dyDescent="0.2">
      <c r="A478" s="77">
        <v>41305</v>
      </c>
      <c r="B478" s="352" t="s">
        <v>2772</v>
      </c>
      <c r="C478" s="354" t="s">
        <v>2835</v>
      </c>
      <c r="D478" s="81" t="s">
        <v>2846</v>
      </c>
      <c r="E478" s="75" t="str">
        <f>VLOOKUP(B478&amp;C478,Divipola!$C$2:$F$1138,4,FALSE)</f>
        <v>25873</v>
      </c>
      <c r="F478" s="87"/>
      <c r="G478" s="87"/>
      <c r="H478" s="87"/>
      <c r="I478" s="87"/>
      <c r="J478" s="87"/>
      <c r="K478" s="87"/>
      <c r="L478" s="87"/>
      <c r="M478" s="87"/>
      <c r="N478" s="87"/>
      <c r="O478" s="87"/>
      <c r="P478" s="87"/>
      <c r="Q478" s="87"/>
      <c r="R478" s="87"/>
      <c r="S478" s="87"/>
      <c r="T478" s="87"/>
      <c r="U478" s="88"/>
      <c r="V478" s="89"/>
      <c r="W478" s="96">
        <v>0</v>
      </c>
      <c r="X478" s="71">
        <f>CU478</f>
        <v>0</v>
      </c>
      <c r="Y478" s="71">
        <f>CY478</f>
        <v>0</v>
      </c>
      <c r="Z478" s="71">
        <f>DA478+DC478+DE478</f>
        <v>0</v>
      </c>
      <c r="AA478" s="71">
        <f>CW478</f>
        <v>0</v>
      </c>
      <c r="AB478" s="71"/>
      <c r="AC478" s="71">
        <v>0</v>
      </c>
      <c r="AD478" s="71">
        <f>W478+X478+Y478+Z478+AA478+AB478+AC478</f>
        <v>0</v>
      </c>
      <c r="AE478" s="72">
        <v>0</v>
      </c>
      <c r="AF478" s="5"/>
      <c r="AG478" s="6"/>
      <c r="AH478" s="27" t="s">
        <v>3392</v>
      </c>
      <c r="AI478" s="44" t="s">
        <v>3393</v>
      </c>
      <c r="AJ478" s="26"/>
      <c r="AK478" s="5"/>
      <c r="AL478" s="82" t="s">
        <v>3347</v>
      </c>
      <c r="AM478" s="76"/>
      <c r="AN478" s="76"/>
      <c r="AO478" s="76"/>
      <c r="AP478" s="76"/>
      <c r="AQ478" s="76"/>
      <c r="AR478" s="76"/>
      <c r="AS478" s="76"/>
      <c r="AT478" s="76"/>
      <c r="AU478" s="76"/>
      <c r="AV478" s="76"/>
      <c r="AW478" s="76"/>
      <c r="AX478" s="76">
        <f>+AW478*600000</f>
        <v>0</v>
      </c>
      <c r="AY478" s="76"/>
      <c r="AZ478" s="76">
        <f>+AY478*70000</f>
        <v>0</v>
      </c>
      <c r="BA478" s="76"/>
      <c r="BB478" s="76"/>
      <c r="BC478" s="76"/>
      <c r="BD478" s="76">
        <f>+BC478*30000</f>
        <v>0</v>
      </c>
      <c r="BE478" s="76"/>
      <c r="BF478" s="76"/>
      <c r="BG478" s="76"/>
      <c r="BH478" s="76"/>
      <c r="BI478" s="76"/>
      <c r="BJ478" s="76"/>
      <c r="BK478" s="76"/>
      <c r="BL478" s="76">
        <f>+BK478*31500</f>
        <v>0</v>
      </c>
      <c r="BM478" s="76"/>
      <c r="BN478" s="76"/>
      <c r="BO478" s="76"/>
      <c r="BP478" s="76"/>
      <c r="BQ478" s="76"/>
      <c r="BR478" s="76"/>
      <c r="BS478" s="76"/>
      <c r="BT478" s="76"/>
      <c r="BU478" s="76"/>
      <c r="BV478" s="76"/>
      <c r="BW478" s="76"/>
      <c r="BX478" s="76"/>
      <c r="BY478" s="76"/>
      <c r="BZ478" s="76"/>
      <c r="CA478" s="76"/>
      <c r="CB478" s="76"/>
      <c r="CC478" s="76"/>
      <c r="CD478" s="76"/>
      <c r="CE478" s="76"/>
      <c r="CF478" s="76">
        <f>+CE478*28000</f>
        <v>0</v>
      </c>
      <c r="CG478" s="76"/>
      <c r="CH478" s="76">
        <f>+CG478*22500</f>
        <v>0</v>
      </c>
      <c r="CI478" s="76"/>
      <c r="CJ478" s="76">
        <f>+CI478*26000</f>
        <v>0</v>
      </c>
      <c r="CK478" s="76"/>
      <c r="CL478" s="76"/>
      <c r="CM478" s="76"/>
      <c r="CN478" s="76">
        <f>+CM478*22000</f>
        <v>0</v>
      </c>
      <c r="CO478" s="76"/>
      <c r="CP478" s="76">
        <f>+CO478*46000</f>
        <v>0</v>
      </c>
      <c r="CQ478" s="76"/>
      <c r="CR478" s="76">
        <f>+CQ478*49000</f>
        <v>0</v>
      </c>
      <c r="CS478" s="76"/>
      <c r="CT478" s="76"/>
      <c r="CU478" s="56">
        <f>AN478+AP478+AR478+AT478+AV478+AX478+AZ478+BB478+BD478+BF478+BH478+BJ478+BL478+BN478+BP478+BR478+BT478+BV478+BX478+BZ478+CB478+CD478+CF478+CH478+CJ478+CL478+CN478+CP478+CR478+CT478</f>
        <v>0</v>
      </c>
      <c r="CV478" s="76"/>
      <c r="CW478" s="76">
        <f>+CV478*1100</f>
        <v>0</v>
      </c>
      <c r="CX478" s="76"/>
      <c r="CY478" s="76">
        <f>+CX478*106250</f>
        <v>0</v>
      </c>
      <c r="CZ478" s="76"/>
      <c r="DA478" s="76">
        <f>+CZ478*34500</f>
        <v>0</v>
      </c>
      <c r="DB478" s="76"/>
      <c r="DC478" s="76">
        <f>+DB478*25000</f>
        <v>0</v>
      </c>
      <c r="DD478" s="219"/>
      <c r="DE478" s="219"/>
      <c r="DF478" s="166"/>
      <c r="DG478" s="116"/>
      <c r="DH478" s="117"/>
      <c r="DI478" s="24"/>
      <c r="DJ478" s="24"/>
      <c r="DK478" s="24"/>
      <c r="DL478" s="24"/>
      <c r="DM478" s="24"/>
      <c r="DN478" s="24"/>
      <c r="DO478" s="24"/>
      <c r="DP478" s="24"/>
      <c r="DQ478" s="24"/>
      <c r="DR478" s="24"/>
      <c r="DS478" s="24"/>
      <c r="DT478" s="24"/>
      <c r="DU478" s="24"/>
    </row>
    <row r="479" spans="1:125" s="8" customFormat="1" ht="36" x14ac:dyDescent="0.2">
      <c r="A479" s="77">
        <v>41305</v>
      </c>
      <c r="B479" s="352" t="s">
        <v>2661</v>
      </c>
      <c r="C479" s="354" t="s">
        <v>4</v>
      </c>
      <c r="D479" s="81" t="s">
        <v>2846</v>
      </c>
      <c r="E479" s="75" t="str">
        <f>VLOOKUP(B479&amp;C479,Divipola!$C$2:$F$1138,4,FALSE)</f>
        <v>41026</v>
      </c>
      <c r="F479" s="100"/>
      <c r="G479" s="100"/>
      <c r="H479" s="100"/>
      <c r="I479" s="100"/>
      <c r="J479" s="100"/>
      <c r="K479" s="100"/>
      <c r="L479" s="100"/>
      <c r="M479" s="100"/>
      <c r="N479" s="100"/>
      <c r="O479" s="100"/>
      <c r="P479" s="100"/>
      <c r="Q479" s="100"/>
      <c r="R479" s="100"/>
      <c r="S479" s="100"/>
      <c r="T479" s="100"/>
      <c r="U479" s="136">
        <v>4</v>
      </c>
      <c r="V479" s="89"/>
      <c r="W479" s="96">
        <v>0</v>
      </c>
      <c r="X479" s="71">
        <f>CU479</f>
        <v>0</v>
      </c>
      <c r="Y479" s="71">
        <f>CY479</f>
        <v>0</v>
      </c>
      <c r="Z479" s="71">
        <f>DA479+DC479+DE479</f>
        <v>0</v>
      </c>
      <c r="AA479" s="71">
        <f>CW479</f>
        <v>0</v>
      </c>
      <c r="AB479" s="71"/>
      <c r="AC479" s="71">
        <v>0</v>
      </c>
      <c r="AD479" s="71">
        <f>W479+X479+Y479+Z479+AA479+AB479+AC479</f>
        <v>0</v>
      </c>
      <c r="AE479" s="72">
        <v>0</v>
      </c>
      <c r="AF479" s="5"/>
      <c r="AG479" s="6"/>
      <c r="AH479" s="27" t="s">
        <v>3392</v>
      </c>
      <c r="AI479" s="44" t="s">
        <v>3393</v>
      </c>
      <c r="AJ479" s="26"/>
      <c r="AK479" s="5"/>
      <c r="AL479" s="82" t="s">
        <v>3333</v>
      </c>
      <c r="AM479" s="76"/>
      <c r="AN479" s="76"/>
      <c r="AO479" s="76"/>
      <c r="AP479" s="76"/>
      <c r="AQ479" s="76"/>
      <c r="AR479" s="76"/>
      <c r="AS479" s="76"/>
      <c r="AT479" s="76"/>
      <c r="AU479" s="76"/>
      <c r="AV479" s="76"/>
      <c r="AW479" s="76"/>
      <c r="AX479" s="76">
        <f>+AW479*600000</f>
        <v>0</v>
      </c>
      <c r="AY479" s="76"/>
      <c r="AZ479" s="76">
        <f>+AY479*70000</f>
        <v>0</v>
      </c>
      <c r="BA479" s="76"/>
      <c r="BB479" s="76"/>
      <c r="BC479" s="76"/>
      <c r="BD479" s="76">
        <f>+BC479*30000</f>
        <v>0</v>
      </c>
      <c r="BE479" s="76"/>
      <c r="BF479" s="76"/>
      <c r="BG479" s="76"/>
      <c r="BH479" s="76"/>
      <c r="BI479" s="76"/>
      <c r="BJ479" s="76"/>
      <c r="BK479" s="76"/>
      <c r="BL479" s="76">
        <f>+BK479*31500</f>
        <v>0</v>
      </c>
      <c r="BM479" s="76"/>
      <c r="BN479" s="76"/>
      <c r="BO479" s="76"/>
      <c r="BP479" s="76"/>
      <c r="BQ479" s="76"/>
      <c r="BR479" s="76"/>
      <c r="BS479" s="76"/>
      <c r="BT479" s="76"/>
      <c r="BU479" s="76"/>
      <c r="BV479" s="76"/>
      <c r="BW479" s="76"/>
      <c r="BX479" s="76"/>
      <c r="BY479" s="76"/>
      <c r="BZ479" s="76"/>
      <c r="CA479" s="76"/>
      <c r="CB479" s="76"/>
      <c r="CC479" s="76"/>
      <c r="CD479" s="76"/>
      <c r="CE479" s="76"/>
      <c r="CF479" s="76">
        <f>+CE479*28000</f>
        <v>0</v>
      </c>
      <c r="CG479" s="76"/>
      <c r="CH479" s="76">
        <f>+CG479*22500</f>
        <v>0</v>
      </c>
      <c r="CI479" s="76"/>
      <c r="CJ479" s="76">
        <f>+CI479*26000</f>
        <v>0</v>
      </c>
      <c r="CK479" s="76"/>
      <c r="CL479" s="76"/>
      <c r="CM479" s="76"/>
      <c r="CN479" s="76">
        <f>+CM479*22000</f>
        <v>0</v>
      </c>
      <c r="CO479" s="76"/>
      <c r="CP479" s="76">
        <f>+CO479*46000</f>
        <v>0</v>
      </c>
      <c r="CQ479" s="76"/>
      <c r="CR479" s="76">
        <f>+CQ479*49000</f>
        <v>0</v>
      </c>
      <c r="CS479" s="76"/>
      <c r="CT479" s="76"/>
      <c r="CU479" s="56">
        <f>AN479+AP479+AR479+AT479+AV479+AX479+AZ479+BB479+BD479+BF479+BH479+BJ479+BL479+BN479+BP479+BR479+BT479+BV479+BX479+BZ479+CB479+CD479+CF479+CH479+CJ479+CL479+CN479+CP479+CR479+CT479</f>
        <v>0</v>
      </c>
      <c r="CV479" s="76"/>
      <c r="CW479" s="76">
        <f>+CV479*1100</f>
        <v>0</v>
      </c>
      <c r="CX479" s="76"/>
      <c r="CY479" s="76">
        <f>+CX479*106250</f>
        <v>0</v>
      </c>
      <c r="CZ479" s="76"/>
      <c r="DA479" s="76">
        <f>+CZ479*34500</f>
        <v>0</v>
      </c>
      <c r="DB479" s="76"/>
      <c r="DC479" s="76">
        <f>+DB479*25000</f>
        <v>0</v>
      </c>
      <c r="DD479" s="219"/>
      <c r="DE479" s="219"/>
      <c r="DF479" s="166"/>
      <c r="DG479" s="116"/>
      <c r="DH479" s="117"/>
      <c r="DI479" s="24"/>
      <c r="DJ479" s="24"/>
      <c r="DK479" s="24"/>
      <c r="DL479" s="24"/>
      <c r="DM479" s="24"/>
      <c r="DN479" s="24"/>
      <c r="DO479" s="24"/>
      <c r="DP479" s="24"/>
      <c r="DQ479" s="24"/>
      <c r="DR479" s="24"/>
      <c r="DS479" s="24"/>
      <c r="DT479" s="24"/>
      <c r="DU479" s="24"/>
    </row>
    <row r="480" spans="1:125" s="8" customFormat="1" ht="36" x14ac:dyDescent="0.2">
      <c r="A480" s="77">
        <v>41305</v>
      </c>
      <c r="B480" s="225" t="s">
        <v>2661</v>
      </c>
      <c r="C480" s="227" t="s">
        <v>2054</v>
      </c>
      <c r="D480" s="81" t="s">
        <v>2846</v>
      </c>
      <c r="E480" s="75" t="str">
        <f>VLOOKUP(B480&amp;C480,Divipola!$C$2:$F$1138,4,FALSE)</f>
        <v>41319</v>
      </c>
      <c r="F480" s="100"/>
      <c r="G480" s="100"/>
      <c r="H480" s="100"/>
      <c r="I480" s="100"/>
      <c r="J480" s="100"/>
      <c r="K480" s="100"/>
      <c r="L480" s="100"/>
      <c r="M480" s="100"/>
      <c r="N480" s="100"/>
      <c r="O480" s="100"/>
      <c r="P480" s="100"/>
      <c r="Q480" s="100"/>
      <c r="R480" s="100"/>
      <c r="S480" s="100"/>
      <c r="T480" s="100"/>
      <c r="U480" s="136">
        <v>2</v>
      </c>
      <c r="V480" s="89"/>
      <c r="W480" s="96">
        <v>0</v>
      </c>
      <c r="X480" s="71">
        <f>CU480</f>
        <v>0</v>
      </c>
      <c r="Y480" s="71">
        <f>CY480</f>
        <v>0</v>
      </c>
      <c r="Z480" s="71">
        <f>DA480+DC480+DE480</f>
        <v>0</v>
      </c>
      <c r="AA480" s="71">
        <f>CW480</f>
        <v>0</v>
      </c>
      <c r="AB480" s="71"/>
      <c r="AC480" s="71">
        <v>0</v>
      </c>
      <c r="AD480" s="71">
        <f>W480+X480+Y480+Z480+AA480+AB480+AC480</f>
        <v>0</v>
      </c>
      <c r="AE480" s="72">
        <v>0</v>
      </c>
      <c r="AF480" s="5"/>
      <c r="AG480" s="6"/>
      <c r="AH480" s="27" t="s">
        <v>3392</v>
      </c>
      <c r="AI480" s="44" t="s">
        <v>3393</v>
      </c>
      <c r="AJ480" s="26"/>
      <c r="AK480" s="5"/>
      <c r="AL480" s="82" t="s">
        <v>3337</v>
      </c>
      <c r="AM480" s="76"/>
      <c r="AN480" s="76"/>
      <c r="AO480" s="76"/>
      <c r="AP480" s="76"/>
      <c r="AQ480" s="76"/>
      <c r="AR480" s="76"/>
      <c r="AS480" s="76"/>
      <c r="AT480" s="76"/>
      <c r="AU480" s="76"/>
      <c r="AV480" s="76"/>
      <c r="AW480" s="76"/>
      <c r="AX480" s="76">
        <f>+AW480*600000</f>
        <v>0</v>
      </c>
      <c r="AY480" s="76"/>
      <c r="AZ480" s="76">
        <f>+AY480*70000</f>
        <v>0</v>
      </c>
      <c r="BA480" s="76"/>
      <c r="BB480" s="76"/>
      <c r="BC480" s="76"/>
      <c r="BD480" s="76">
        <f>+BC480*30000</f>
        <v>0</v>
      </c>
      <c r="BE480" s="76"/>
      <c r="BF480" s="76"/>
      <c r="BG480" s="76"/>
      <c r="BH480" s="76"/>
      <c r="BI480" s="76"/>
      <c r="BJ480" s="76"/>
      <c r="BK480" s="76"/>
      <c r="BL480" s="76">
        <f>+BK480*31500</f>
        <v>0</v>
      </c>
      <c r="BM480" s="76"/>
      <c r="BN480" s="76"/>
      <c r="BO480" s="76"/>
      <c r="BP480" s="76"/>
      <c r="BQ480" s="76"/>
      <c r="BR480" s="76"/>
      <c r="BS480" s="76"/>
      <c r="BT480" s="76"/>
      <c r="BU480" s="76"/>
      <c r="BV480" s="76"/>
      <c r="BW480" s="76"/>
      <c r="BX480" s="76"/>
      <c r="BY480" s="76"/>
      <c r="BZ480" s="76"/>
      <c r="CA480" s="76"/>
      <c r="CB480" s="76"/>
      <c r="CC480" s="76"/>
      <c r="CD480" s="76"/>
      <c r="CE480" s="76"/>
      <c r="CF480" s="76">
        <f>+CE480*28000</f>
        <v>0</v>
      </c>
      <c r="CG480" s="76"/>
      <c r="CH480" s="76">
        <f>+CG480*22500</f>
        <v>0</v>
      </c>
      <c r="CI480" s="76"/>
      <c r="CJ480" s="76">
        <f>+CI480*26000</f>
        <v>0</v>
      </c>
      <c r="CK480" s="76"/>
      <c r="CL480" s="76"/>
      <c r="CM480" s="76"/>
      <c r="CN480" s="76">
        <f>+CM480*22000</f>
        <v>0</v>
      </c>
      <c r="CO480" s="76"/>
      <c r="CP480" s="76">
        <f>+CO480*46000</f>
        <v>0</v>
      </c>
      <c r="CQ480" s="76"/>
      <c r="CR480" s="76">
        <f>+CQ480*49000</f>
        <v>0</v>
      </c>
      <c r="CS480" s="76"/>
      <c r="CT480" s="76"/>
      <c r="CU480" s="56">
        <f>AN480+AP480+AR480+AT480+AV480+AX480+AZ480+BB480+BD480+BF480+BH480+BJ480+BL480+BN480+BP480+BR480+BT480+BV480+BX480+BZ480+CB480+CD480+CF480+CH480+CJ480+CL480+CN480+CP480+CR480+CT480</f>
        <v>0</v>
      </c>
      <c r="CV480" s="76"/>
      <c r="CW480" s="76">
        <f>+CV480*1100</f>
        <v>0</v>
      </c>
      <c r="CX480" s="76"/>
      <c r="CY480" s="76">
        <f>+CX480*106250</f>
        <v>0</v>
      </c>
      <c r="CZ480" s="76"/>
      <c r="DA480" s="76">
        <f>+CZ480*34500</f>
        <v>0</v>
      </c>
      <c r="DB480" s="76"/>
      <c r="DC480" s="76">
        <f>+DB480*25000</f>
        <v>0</v>
      </c>
      <c r="DD480" s="219"/>
      <c r="DE480" s="219"/>
      <c r="DF480" s="166"/>
      <c r="DG480" s="116"/>
      <c r="DH480" s="117"/>
      <c r="DI480" s="24"/>
      <c r="DJ480" s="24"/>
      <c r="DK480" s="24"/>
      <c r="DL480" s="24"/>
      <c r="DM480" s="24"/>
      <c r="DN480" s="24"/>
      <c r="DO480" s="24"/>
      <c r="DP480" s="24"/>
      <c r="DQ480" s="24"/>
      <c r="DR480" s="24"/>
      <c r="DS480" s="24"/>
      <c r="DT480" s="24"/>
      <c r="DU480" s="24"/>
    </row>
    <row r="481" spans="1:125" s="8" customFormat="1" ht="36" x14ac:dyDescent="0.2">
      <c r="A481" s="77">
        <v>41305</v>
      </c>
      <c r="B481" s="78" t="s">
        <v>2661</v>
      </c>
      <c r="C481" s="75" t="s">
        <v>2808</v>
      </c>
      <c r="D481" s="81" t="s">
        <v>2846</v>
      </c>
      <c r="E481" s="75" t="str">
        <f>VLOOKUP(B481&amp;C481,Divipola!$C$2:$F$1138,4,FALSE)</f>
        <v>41359</v>
      </c>
      <c r="F481" s="87"/>
      <c r="G481" s="87"/>
      <c r="H481" s="87"/>
      <c r="I481" s="87"/>
      <c r="J481" s="87"/>
      <c r="K481" s="87"/>
      <c r="L481" s="87"/>
      <c r="M481" s="87"/>
      <c r="N481" s="87"/>
      <c r="O481" s="87"/>
      <c r="P481" s="87"/>
      <c r="Q481" s="87"/>
      <c r="R481" s="87"/>
      <c r="S481" s="87"/>
      <c r="T481" s="87"/>
      <c r="U481" s="87">
        <v>1</v>
      </c>
      <c r="V481" s="89"/>
      <c r="W481" s="96">
        <v>0</v>
      </c>
      <c r="X481" s="71">
        <f>CU481</f>
        <v>0</v>
      </c>
      <c r="Y481" s="71">
        <f>CY481</f>
        <v>0</v>
      </c>
      <c r="Z481" s="71">
        <f>DA481+DC481+DE481</f>
        <v>0</v>
      </c>
      <c r="AA481" s="71">
        <f>CW481</f>
        <v>0</v>
      </c>
      <c r="AB481" s="71"/>
      <c r="AC481" s="71">
        <v>0</v>
      </c>
      <c r="AD481" s="71">
        <f>W481+X481+Y481+Z481+AA481+AB481+AC481</f>
        <v>0</v>
      </c>
      <c r="AE481" s="72">
        <v>0</v>
      </c>
      <c r="AF481" s="5"/>
      <c r="AG481" s="6"/>
      <c r="AH481" s="27" t="s">
        <v>3392</v>
      </c>
      <c r="AI481" s="44" t="s">
        <v>3393</v>
      </c>
      <c r="AJ481" s="26"/>
      <c r="AK481" s="5"/>
      <c r="AL481" s="82" t="s">
        <v>3332</v>
      </c>
      <c r="AM481" s="76"/>
      <c r="AN481" s="76"/>
      <c r="AO481" s="76"/>
      <c r="AP481" s="76"/>
      <c r="AQ481" s="76"/>
      <c r="AR481" s="76"/>
      <c r="AS481" s="76"/>
      <c r="AT481" s="76"/>
      <c r="AU481" s="76"/>
      <c r="AV481" s="76"/>
      <c r="AW481" s="76"/>
      <c r="AX481" s="76">
        <f>+AW481*600000</f>
        <v>0</v>
      </c>
      <c r="AY481" s="76"/>
      <c r="AZ481" s="76">
        <f>+AY481*70000</f>
        <v>0</v>
      </c>
      <c r="BA481" s="76"/>
      <c r="BB481" s="76"/>
      <c r="BC481" s="76"/>
      <c r="BD481" s="76">
        <f>+BC481*30000</f>
        <v>0</v>
      </c>
      <c r="BE481" s="76"/>
      <c r="BF481" s="76"/>
      <c r="BG481" s="76"/>
      <c r="BH481" s="76"/>
      <c r="BI481" s="76"/>
      <c r="BJ481" s="76"/>
      <c r="BK481" s="76"/>
      <c r="BL481" s="76">
        <f>+BK481*31500</f>
        <v>0</v>
      </c>
      <c r="BM481" s="76"/>
      <c r="BN481" s="76"/>
      <c r="BO481" s="76"/>
      <c r="BP481" s="76"/>
      <c r="BQ481" s="76"/>
      <c r="BR481" s="76"/>
      <c r="BS481" s="76"/>
      <c r="BT481" s="76"/>
      <c r="BU481" s="76"/>
      <c r="BV481" s="76"/>
      <c r="BW481" s="76"/>
      <c r="BX481" s="76"/>
      <c r="BY481" s="76"/>
      <c r="BZ481" s="76"/>
      <c r="CA481" s="76"/>
      <c r="CB481" s="76"/>
      <c r="CC481" s="76"/>
      <c r="CD481" s="76"/>
      <c r="CE481" s="76"/>
      <c r="CF481" s="76">
        <f>+CE481*28000</f>
        <v>0</v>
      </c>
      <c r="CG481" s="76"/>
      <c r="CH481" s="76">
        <f>+CG481*22500</f>
        <v>0</v>
      </c>
      <c r="CI481" s="76"/>
      <c r="CJ481" s="76">
        <f>+CI481*26000</f>
        <v>0</v>
      </c>
      <c r="CK481" s="76"/>
      <c r="CL481" s="76"/>
      <c r="CM481" s="76"/>
      <c r="CN481" s="76">
        <f>+CM481*22000</f>
        <v>0</v>
      </c>
      <c r="CO481" s="76"/>
      <c r="CP481" s="76">
        <f>+CO481*46000</f>
        <v>0</v>
      </c>
      <c r="CQ481" s="76"/>
      <c r="CR481" s="76">
        <f>+CQ481*49000</f>
        <v>0</v>
      </c>
      <c r="CS481" s="76"/>
      <c r="CT481" s="76"/>
      <c r="CU481" s="56">
        <f>AN481+AP481+AR481+AT481+AV481+AX481+AZ481+BB481+BD481+BF481+BH481+BJ481+BL481+BN481+BP481+BR481+BT481+BV481+BX481+BZ481+CB481+CD481+CF481+CH481+CJ481+CL481+CN481+CP481+CR481+CT481</f>
        <v>0</v>
      </c>
      <c r="CV481" s="76"/>
      <c r="CW481" s="76">
        <f>+CV481*1100</f>
        <v>0</v>
      </c>
      <c r="CX481" s="76"/>
      <c r="CY481" s="76">
        <f>+CX481*106250</f>
        <v>0</v>
      </c>
      <c r="CZ481" s="76"/>
      <c r="DA481" s="76">
        <f>+CZ481*34500</f>
        <v>0</v>
      </c>
      <c r="DB481" s="76"/>
      <c r="DC481" s="76">
        <f>+DB481*25000</f>
        <v>0</v>
      </c>
      <c r="DD481" s="219"/>
      <c r="DE481" s="219"/>
      <c r="DF481" s="166"/>
      <c r="DG481" s="116"/>
      <c r="DH481" s="117"/>
      <c r="DI481" s="24"/>
      <c r="DJ481" s="24"/>
      <c r="DK481" s="24"/>
      <c r="DL481" s="24"/>
      <c r="DM481" s="24"/>
      <c r="DN481" s="24"/>
      <c r="DO481" s="24"/>
      <c r="DP481" s="24"/>
      <c r="DQ481" s="24"/>
      <c r="DR481" s="24"/>
      <c r="DS481" s="24"/>
      <c r="DT481" s="24"/>
      <c r="DU481" s="24"/>
    </row>
    <row r="482" spans="1:125" s="8" customFormat="1" ht="36" x14ac:dyDescent="0.2">
      <c r="A482" s="77">
        <v>41305</v>
      </c>
      <c r="B482" s="84" t="s">
        <v>2661</v>
      </c>
      <c r="C482" s="84" t="s">
        <v>1365</v>
      </c>
      <c r="D482" s="81" t="s">
        <v>2846</v>
      </c>
      <c r="E482" s="75" t="str">
        <f>VLOOKUP(B482&amp;C482,Divipola!$C$2:$F$1138,4,FALSE)</f>
        <v>41378</v>
      </c>
      <c r="F482" s="89"/>
      <c r="G482" s="89"/>
      <c r="H482" s="89"/>
      <c r="I482" s="89"/>
      <c r="J482" s="89"/>
      <c r="K482" s="89"/>
      <c r="L482" s="89"/>
      <c r="M482" s="89"/>
      <c r="N482" s="89"/>
      <c r="O482" s="89"/>
      <c r="P482" s="89"/>
      <c r="Q482" s="89"/>
      <c r="R482" s="89"/>
      <c r="S482" s="89"/>
      <c r="T482" s="89"/>
      <c r="U482" s="89">
        <v>4</v>
      </c>
      <c r="V482" s="89"/>
      <c r="W482" s="96">
        <v>0</v>
      </c>
      <c r="X482" s="71">
        <f>CU482</f>
        <v>0</v>
      </c>
      <c r="Y482" s="71">
        <f>CY482</f>
        <v>0</v>
      </c>
      <c r="Z482" s="71">
        <f>DA482+DC482+DE482</f>
        <v>0</v>
      </c>
      <c r="AA482" s="71">
        <f>CW482</f>
        <v>0</v>
      </c>
      <c r="AB482" s="71"/>
      <c r="AC482" s="71">
        <v>0</v>
      </c>
      <c r="AD482" s="71">
        <f>W482+X482+Y482+Z482+AA482+AB482+AC482</f>
        <v>0</v>
      </c>
      <c r="AE482" s="72">
        <v>0</v>
      </c>
      <c r="AF482" s="5"/>
      <c r="AG482" s="6"/>
      <c r="AH482" s="27" t="s">
        <v>3392</v>
      </c>
      <c r="AI482" s="44" t="s">
        <v>3393</v>
      </c>
      <c r="AJ482" s="26"/>
      <c r="AK482" s="5"/>
      <c r="AL482" s="82" t="s">
        <v>3331</v>
      </c>
      <c r="AM482" s="76"/>
      <c r="AN482" s="76"/>
      <c r="AO482" s="76"/>
      <c r="AP482" s="76"/>
      <c r="AQ482" s="76"/>
      <c r="AR482" s="76"/>
      <c r="AS482" s="76"/>
      <c r="AT482" s="76"/>
      <c r="AU482" s="76"/>
      <c r="AV482" s="76"/>
      <c r="AW482" s="76"/>
      <c r="AX482" s="76">
        <f>+AW482*600000</f>
        <v>0</v>
      </c>
      <c r="AY482" s="76"/>
      <c r="AZ482" s="76">
        <f>+AY482*70000</f>
        <v>0</v>
      </c>
      <c r="BA482" s="76"/>
      <c r="BB482" s="76"/>
      <c r="BC482" s="76"/>
      <c r="BD482" s="76">
        <f>+BC482*30000</f>
        <v>0</v>
      </c>
      <c r="BE482" s="76"/>
      <c r="BF482" s="76"/>
      <c r="BG482" s="76"/>
      <c r="BH482" s="76"/>
      <c r="BI482" s="76"/>
      <c r="BJ482" s="76"/>
      <c r="BK482" s="76"/>
      <c r="BL482" s="76">
        <f>+BK482*31500</f>
        <v>0</v>
      </c>
      <c r="BM482" s="76"/>
      <c r="BN482" s="76"/>
      <c r="BO482" s="76"/>
      <c r="BP482" s="76"/>
      <c r="BQ482" s="76"/>
      <c r="BR482" s="76"/>
      <c r="BS482" s="76"/>
      <c r="BT482" s="76"/>
      <c r="BU482" s="76"/>
      <c r="BV482" s="76"/>
      <c r="BW482" s="76"/>
      <c r="BX482" s="76"/>
      <c r="BY482" s="76"/>
      <c r="BZ482" s="76"/>
      <c r="CA482" s="76"/>
      <c r="CB482" s="76"/>
      <c r="CC482" s="76"/>
      <c r="CD482" s="76"/>
      <c r="CE482" s="76"/>
      <c r="CF482" s="76">
        <f>+CE482*28000</f>
        <v>0</v>
      </c>
      <c r="CG482" s="76"/>
      <c r="CH482" s="76">
        <f>+CG482*22500</f>
        <v>0</v>
      </c>
      <c r="CI482" s="76"/>
      <c r="CJ482" s="76">
        <f>+CI482*26000</f>
        <v>0</v>
      </c>
      <c r="CK482" s="76"/>
      <c r="CL482" s="76"/>
      <c r="CM482" s="76"/>
      <c r="CN482" s="76">
        <f>+CM482*22000</f>
        <v>0</v>
      </c>
      <c r="CO482" s="76"/>
      <c r="CP482" s="76">
        <f>+CO482*46000</f>
        <v>0</v>
      </c>
      <c r="CQ482" s="76"/>
      <c r="CR482" s="76">
        <f>+CQ482*49000</f>
        <v>0</v>
      </c>
      <c r="CS482" s="76"/>
      <c r="CT482" s="76"/>
      <c r="CU482" s="56">
        <f>AN482+AP482+AR482+AT482+AV482+AX482+AZ482+BB482+BD482+BF482+BH482+BJ482+BL482+BN482+BP482+BR482+BT482+BV482+BX482+BZ482+CB482+CD482+CF482+CH482+CJ482+CL482+CN482+CP482+CR482+CT482</f>
        <v>0</v>
      </c>
      <c r="CV482" s="76"/>
      <c r="CW482" s="76">
        <f>+CV482*1100</f>
        <v>0</v>
      </c>
      <c r="CX482" s="76"/>
      <c r="CY482" s="76">
        <f>+CX482*106250</f>
        <v>0</v>
      </c>
      <c r="CZ482" s="76"/>
      <c r="DA482" s="76">
        <f>+CZ482*34500</f>
        <v>0</v>
      </c>
      <c r="DB482" s="76"/>
      <c r="DC482" s="76">
        <f>+DB482*25000</f>
        <v>0</v>
      </c>
      <c r="DD482" s="219"/>
      <c r="DE482" s="219"/>
      <c r="DF482" s="166"/>
      <c r="DG482" s="116"/>
      <c r="DH482" s="117"/>
      <c r="DI482" s="24"/>
      <c r="DJ482" s="24"/>
      <c r="DK482" s="24"/>
      <c r="DL482" s="24"/>
      <c r="DM482" s="24"/>
      <c r="DN482" s="24"/>
      <c r="DO482" s="24"/>
      <c r="DP482" s="24"/>
      <c r="DQ482" s="24"/>
      <c r="DR482" s="24"/>
      <c r="DS482" s="24"/>
      <c r="DT482" s="24"/>
      <c r="DU482" s="24"/>
    </row>
    <row r="483" spans="1:125" s="8" customFormat="1" ht="36" x14ac:dyDescent="0.2">
      <c r="A483" s="77">
        <v>41305</v>
      </c>
      <c r="B483" s="78" t="s">
        <v>2661</v>
      </c>
      <c r="C483" s="75" t="s">
        <v>474</v>
      </c>
      <c r="D483" s="81" t="s">
        <v>2846</v>
      </c>
      <c r="E483" s="75" t="str">
        <f>VLOOKUP(B483&amp;C483,Divipola!$C$2:$F$1138,4,FALSE)</f>
        <v>41660</v>
      </c>
      <c r="F483" s="87"/>
      <c r="G483" s="87"/>
      <c r="H483" s="87"/>
      <c r="I483" s="87"/>
      <c r="J483" s="87"/>
      <c r="K483" s="87"/>
      <c r="L483" s="87"/>
      <c r="M483" s="87"/>
      <c r="N483" s="87"/>
      <c r="O483" s="87"/>
      <c r="P483" s="87"/>
      <c r="Q483" s="87"/>
      <c r="R483" s="87"/>
      <c r="S483" s="87"/>
      <c r="T483" s="87"/>
      <c r="U483" s="88">
        <v>2</v>
      </c>
      <c r="V483" s="89"/>
      <c r="W483" s="96">
        <v>0</v>
      </c>
      <c r="X483" s="71">
        <f>CU483</f>
        <v>0</v>
      </c>
      <c r="Y483" s="71">
        <f>CY483</f>
        <v>0</v>
      </c>
      <c r="Z483" s="71">
        <f>DA483+DC483+DE483</f>
        <v>0</v>
      </c>
      <c r="AA483" s="71">
        <f>CW483</f>
        <v>0</v>
      </c>
      <c r="AB483" s="71"/>
      <c r="AC483" s="71">
        <v>0</v>
      </c>
      <c r="AD483" s="71">
        <f>W483+X483+Y483+Z483+AA483+AB483+AC483</f>
        <v>0</v>
      </c>
      <c r="AE483" s="72">
        <v>0</v>
      </c>
      <c r="AF483" s="5"/>
      <c r="AG483" s="6"/>
      <c r="AH483" s="27" t="s">
        <v>3392</v>
      </c>
      <c r="AI483" s="44" t="s">
        <v>3393</v>
      </c>
      <c r="AJ483" s="26"/>
      <c r="AK483" s="5"/>
      <c r="AL483" s="82" t="s">
        <v>3339</v>
      </c>
      <c r="AM483" s="76"/>
      <c r="AN483" s="76"/>
      <c r="AO483" s="76"/>
      <c r="AP483" s="76"/>
      <c r="AQ483" s="76"/>
      <c r="AR483" s="76"/>
      <c r="AS483" s="76"/>
      <c r="AT483" s="76"/>
      <c r="AU483" s="76"/>
      <c r="AV483" s="76"/>
      <c r="AW483" s="76"/>
      <c r="AX483" s="76">
        <f>+AW483*600000</f>
        <v>0</v>
      </c>
      <c r="AY483" s="76"/>
      <c r="AZ483" s="76">
        <f>+AY483*70000</f>
        <v>0</v>
      </c>
      <c r="BA483" s="76"/>
      <c r="BB483" s="76"/>
      <c r="BC483" s="76"/>
      <c r="BD483" s="76">
        <f>+BC483*30000</f>
        <v>0</v>
      </c>
      <c r="BE483" s="76"/>
      <c r="BF483" s="76"/>
      <c r="BG483" s="76"/>
      <c r="BH483" s="76"/>
      <c r="BI483" s="76"/>
      <c r="BJ483" s="76"/>
      <c r="BK483" s="76"/>
      <c r="BL483" s="76">
        <f>+BK483*31500</f>
        <v>0</v>
      </c>
      <c r="BM483" s="76"/>
      <c r="BN483" s="76"/>
      <c r="BO483" s="76"/>
      <c r="BP483" s="76"/>
      <c r="BQ483" s="76"/>
      <c r="BR483" s="76"/>
      <c r="BS483" s="76"/>
      <c r="BT483" s="76"/>
      <c r="BU483" s="76"/>
      <c r="BV483" s="76"/>
      <c r="BW483" s="76"/>
      <c r="BX483" s="76"/>
      <c r="BY483" s="76"/>
      <c r="BZ483" s="76"/>
      <c r="CA483" s="76"/>
      <c r="CB483" s="76"/>
      <c r="CC483" s="76"/>
      <c r="CD483" s="76"/>
      <c r="CE483" s="76"/>
      <c r="CF483" s="76">
        <f>+CE483*28000</f>
        <v>0</v>
      </c>
      <c r="CG483" s="76"/>
      <c r="CH483" s="76">
        <f>+CG483*22500</f>
        <v>0</v>
      </c>
      <c r="CI483" s="76"/>
      <c r="CJ483" s="76">
        <f>+CI483*26000</f>
        <v>0</v>
      </c>
      <c r="CK483" s="76"/>
      <c r="CL483" s="76"/>
      <c r="CM483" s="76"/>
      <c r="CN483" s="76">
        <f>+CM483*22000</f>
        <v>0</v>
      </c>
      <c r="CO483" s="76"/>
      <c r="CP483" s="76">
        <f>+CO483*46000</f>
        <v>0</v>
      </c>
      <c r="CQ483" s="76"/>
      <c r="CR483" s="76">
        <f>+CQ483*49000</f>
        <v>0</v>
      </c>
      <c r="CS483" s="76"/>
      <c r="CT483" s="76"/>
      <c r="CU483" s="56">
        <f>AN483+AP483+AR483+AT483+AV483+AX483+AZ483+BB483+BD483+BF483+BH483+BJ483+BL483+BN483+BP483+BR483+BT483+BV483+BX483+BZ483+CB483+CD483+CF483+CH483+CJ483+CL483+CN483+CP483+CR483+CT483</f>
        <v>0</v>
      </c>
      <c r="CV483" s="76"/>
      <c r="CW483" s="76">
        <f>+CV483*1100</f>
        <v>0</v>
      </c>
      <c r="CX483" s="76"/>
      <c r="CY483" s="76">
        <f>+CX483*106250</f>
        <v>0</v>
      </c>
      <c r="CZ483" s="76"/>
      <c r="DA483" s="76">
        <f>+CZ483*34500</f>
        <v>0</v>
      </c>
      <c r="DB483" s="76"/>
      <c r="DC483" s="76">
        <f>+DB483*25000</f>
        <v>0</v>
      </c>
      <c r="DD483" s="219"/>
      <c r="DE483" s="219"/>
      <c r="DF483" s="166"/>
      <c r="DG483" s="116"/>
      <c r="DH483" s="117"/>
      <c r="DI483" s="24"/>
      <c r="DJ483" s="24"/>
      <c r="DK483" s="24"/>
      <c r="DL483" s="24"/>
      <c r="DM483" s="24"/>
      <c r="DN483" s="24"/>
      <c r="DO483" s="24"/>
      <c r="DP483" s="24"/>
      <c r="DQ483" s="24"/>
      <c r="DR483" s="24"/>
      <c r="DS483" s="24"/>
      <c r="DT483" s="24"/>
      <c r="DU483" s="24"/>
    </row>
    <row r="484" spans="1:125" s="8" customFormat="1" ht="36" x14ac:dyDescent="0.2">
      <c r="A484" s="77">
        <v>41305</v>
      </c>
      <c r="B484" s="352" t="s">
        <v>2661</v>
      </c>
      <c r="C484" s="354" t="s">
        <v>1368</v>
      </c>
      <c r="D484" s="81" t="s">
        <v>2846</v>
      </c>
      <c r="E484" s="75" t="str">
        <f>VLOOKUP(B484&amp;C484,Divipola!$C$2:$F$1138,4,FALSE)</f>
        <v>41770</v>
      </c>
      <c r="F484" s="100"/>
      <c r="G484" s="100"/>
      <c r="H484" s="100"/>
      <c r="I484" s="100"/>
      <c r="J484" s="100"/>
      <c r="K484" s="100"/>
      <c r="L484" s="100"/>
      <c r="M484" s="100"/>
      <c r="N484" s="100"/>
      <c r="O484" s="100"/>
      <c r="P484" s="100"/>
      <c r="Q484" s="100"/>
      <c r="R484" s="100"/>
      <c r="S484" s="100"/>
      <c r="T484" s="100"/>
      <c r="U484" s="136">
        <v>2</v>
      </c>
      <c r="V484" s="89"/>
      <c r="W484" s="96">
        <v>0</v>
      </c>
      <c r="X484" s="71">
        <f>CU484</f>
        <v>0</v>
      </c>
      <c r="Y484" s="71">
        <f>CY484</f>
        <v>0</v>
      </c>
      <c r="Z484" s="71">
        <f>DA484+DC484+DE484</f>
        <v>0</v>
      </c>
      <c r="AA484" s="71">
        <f>CW484</f>
        <v>0</v>
      </c>
      <c r="AB484" s="71"/>
      <c r="AC484" s="71">
        <v>0</v>
      </c>
      <c r="AD484" s="71">
        <f>W484+X484+Y484+Z484+AA484+AB484+AC484</f>
        <v>0</v>
      </c>
      <c r="AE484" s="72">
        <v>0</v>
      </c>
      <c r="AF484" s="5"/>
      <c r="AG484" s="6"/>
      <c r="AH484" s="27" t="s">
        <v>3392</v>
      </c>
      <c r="AI484" s="44" t="s">
        <v>3393</v>
      </c>
      <c r="AJ484" s="26"/>
      <c r="AK484" s="5"/>
      <c r="AL484" s="82" t="s">
        <v>3338</v>
      </c>
      <c r="AM484" s="76"/>
      <c r="AN484" s="76"/>
      <c r="AO484" s="76"/>
      <c r="AP484" s="76"/>
      <c r="AQ484" s="76"/>
      <c r="AR484" s="76"/>
      <c r="AS484" s="76"/>
      <c r="AT484" s="76"/>
      <c r="AU484" s="76"/>
      <c r="AV484" s="76"/>
      <c r="AW484" s="76"/>
      <c r="AX484" s="76">
        <f>+AW484*600000</f>
        <v>0</v>
      </c>
      <c r="AY484" s="76"/>
      <c r="AZ484" s="76">
        <f>+AY484*70000</f>
        <v>0</v>
      </c>
      <c r="BA484" s="76"/>
      <c r="BB484" s="76"/>
      <c r="BC484" s="76"/>
      <c r="BD484" s="76">
        <f>+BC484*30000</f>
        <v>0</v>
      </c>
      <c r="BE484" s="76"/>
      <c r="BF484" s="76"/>
      <c r="BG484" s="76"/>
      <c r="BH484" s="76"/>
      <c r="BI484" s="76"/>
      <c r="BJ484" s="76"/>
      <c r="BK484" s="76"/>
      <c r="BL484" s="76">
        <f>+BK484*31500</f>
        <v>0</v>
      </c>
      <c r="BM484" s="76"/>
      <c r="BN484" s="76"/>
      <c r="BO484" s="76"/>
      <c r="BP484" s="76"/>
      <c r="BQ484" s="76"/>
      <c r="BR484" s="76"/>
      <c r="BS484" s="76"/>
      <c r="BT484" s="76"/>
      <c r="BU484" s="76"/>
      <c r="BV484" s="76"/>
      <c r="BW484" s="76"/>
      <c r="BX484" s="76"/>
      <c r="BY484" s="76"/>
      <c r="BZ484" s="76"/>
      <c r="CA484" s="76"/>
      <c r="CB484" s="76"/>
      <c r="CC484" s="76"/>
      <c r="CD484" s="76"/>
      <c r="CE484" s="76"/>
      <c r="CF484" s="76">
        <f>+CE484*28000</f>
        <v>0</v>
      </c>
      <c r="CG484" s="76"/>
      <c r="CH484" s="76">
        <f>+CG484*22500</f>
        <v>0</v>
      </c>
      <c r="CI484" s="76"/>
      <c r="CJ484" s="76">
        <f>+CI484*26000</f>
        <v>0</v>
      </c>
      <c r="CK484" s="76"/>
      <c r="CL484" s="76"/>
      <c r="CM484" s="76"/>
      <c r="CN484" s="76">
        <f>+CM484*22000</f>
        <v>0</v>
      </c>
      <c r="CO484" s="76"/>
      <c r="CP484" s="76">
        <f>+CO484*46000</f>
        <v>0</v>
      </c>
      <c r="CQ484" s="76"/>
      <c r="CR484" s="76">
        <f>+CQ484*49000</f>
        <v>0</v>
      </c>
      <c r="CS484" s="76"/>
      <c r="CT484" s="76"/>
      <c r="CU484" s="56">
        <f>AN484+AP484+AR484+AT484+AV484+AX484+AZ484+BB484+BD484+BF484+BH484+BJ484+BL484+BN484+BP484+BR484+BT484+BV484+BX484+BZ484+CB484+CD484+CF484+CH484+CJ484+CL484+CN484+CP484+CR484+CT484</f>
        <v>0</v>
      </c>
      <c r="CV484" s="76"/>
      <c r="CW484" s="76">
        <f>+CV484*1100</f>
        <v>0</v>
      </c>
      <c r="CX484" s="76"/>
      <c r="CY484" s="76">
        <f>+CX484*106250</f>
        <v>0</v>
      </c>
      <c r="CZ484" s="76"/>
      <c r="DA484" s="76">
        <f>+CZ484*34500</f>
        <v>0</v>
      </c>
      <c r="DB484" s="76"/>
      <c r="DC484" s="76">
        <f>+DB484*25000</f>
        <v>0</v>
      </c>
      <c r="DD484" s="219"/>
      <c r="DE484" s="219"/>
      <c r="DF484" s="166"/>
      <c r="DG484" s="116"/>
      <c r="DH484" s="117"/>
      <c r="DI484" s="24"/>
      <c r="DJ484" s="24"/>
      <c r="DK484" s="24"/>
      <c r="DL484" s="24"/>
      <c r="DM484" s="24"/>
      <c r="DN484" s="24"/>
      <c r="DO484" s="24"/>
      <c r="DP484" s="24"/>
      <c r="DQ484" s="24"/>
      <c r="DR484" s="24"/>
      <c r="DS484" s="24"/>
      <c r="DT484" s="24"/>
      <c r="DU484" s="24"/>
    </row>
    <row r="485" spans="1:125" s="8" customFormat="1" ht="36" x14ac:dyDescent="0.2">
      <c r="A485" s="77">
        <v>41305</v>
      </c>
      <c r="B485" s="352" t="s">
        <v>2661</v>
      </c>
      <c r="C485" s="227" t="s">
        <v>2807</v>
      </c>
      <c r="D485" s="81" t="s">
        <v>2846</v>
      </c>
      <c r="E485" s="75" t="str">
        <f>VLOOKUP(B485&amp;C485,Divipola!$C$2:$F$1138,4,FALSE)</f>
        <v>41807</v>
      </c>
      <c r="F485" s="100"/>
      <c r="G485" s="100"/>
      <c r="H485" s="100"/>
      <c r="I485" s="100"/>
      <c r="J485" s="100"/>
      <c r="K485" s="100"/>
      <c r="L485" s="100"/>
      <c r="M485" s="100"/>
      <c r="N485" s="100"/>
      <c r="O485" s="100"/>
      <c r="P485" s="100"/>
      <c r="Q485" s="100"/>
      <c r="R485" s="100"/>
      <c r="S485" s="100"/>
      <c r="T485" s="100"/>
      <c r="U485" s="136">
        <v>5</v>
      </c>
      <c r="V485" s="89"/>
      <c r="W485" s="96">
        <v>0</v>
      </c>
      <c r="X485" s="71">
        <f>CU485</f>
        <v>0</v>
      </c>
      <c r="Y485" s="71">
        <f>CY485</f>
        <v>0</v>
      </c>
      <c r="Z485" s="71">
        <f>DA485+DC485+DE485</f>
        <v>0</v>
      </c>
      <c r="AA485" s="71">
        <f>CW485</f>
        <v>0</v>
      </c>
      <c r="AB485" s="71"/>
      <c r="AC485" s="71">
        <v>0</v>
      </c>
      <c r="AD485" s="71">
        <f>W485+X485+Y485+Z485+AA485+AB485+AC485</f>
        <v>0</v>
      </c>
      <c r="AE485" s="72">
        <v>0</v>
      </c>
      <c r="AF485" s="5"/>
      <c r="AG485" s="6"/>
      <c r="AH485" s="27" t="s">
        <v>3392</v>
      </c>
      <c r="AI485" s="44" t="s">
        <v>3393</v>
      </c>
      <c r="AJ485" s="26"/>
      <c r="AK485" s="5"/>
      <c r="AL485" s="82" t="s">
        <v>3334</v>
      </c>
      <c r="AM485" s="76"/>
      <c r="AN485" s="76"/>
      <c r="AO485" s="76"/>
      <c r="AP485" s="76"/>
      <c r="AQ485" s="76"/>
      <c r="AR485" s="76"/>
      <c r="AS485" s="76"/>
      <c r="AT485" s="76"/>
      <c r="AU485" s="76"/>
      <c r="AV485" s="76"/>
      <c r="AW485" s="76"/>
      <c r="AX485" s="76">
        <f>+AW485*600000</f>
        <v>0</v>
      </c>
      <c r="AY485" s="76"/>
      <c r="AZ485" s="76">
        <f>+AY485*70000</f>
        <v>0</v>
      </c>
      <c r="BA485" s="76"/>
      <c r="BB485" s="76"/>
      <c r="BC485" s="76"/>
      <c r="BD485" s="76">
        <f>+BC485*30000</f>
        <v>0</v>
      </c>
      <c r="BE485" s="76"/>
      <c r="BF485" s="76"/>
      <c r="BG485" s="76"/>
      <c r="BH485" s="76"/>
      <c r="BI485" s="76"/>
      <c r="BJ485" s="76"/>
      <c r="BK485" s="76"/>
      <c r="BL485" s="76">
        <f>+BK485*31500</f>
        <v>0</v>
      </c>
      <c r="BM485" s="76"/>
      <c r="BN485" s="76"/>
      <c r="BO485" s="76"/>
      <c r="BP485" s="76"/>
      <c r="BQ485" s="76"/>
      <c r="BR485" s="76"/>
      <c r="BS485" s="76"/>
      <c r="BT485" s="76"/>
      <c r="BU485" s="76"/>
      <c r="BV485" s="76"/>
      <c r="BW485" s="76"/>
      <c r="BX485" s="76"/>
      <c r="BY485" s="76"/>
      <c r="BZ485" s="76"/>
      <c r="CA485" s="76"/>
      <c r="CB485" s="76"/>
      <c r="CC485" s="76"/>
      <c r="CD485" s="76"/>
      <c r="CE485" s="76"/>
      <c r="CF485" s="76">
        <f>+CE485*28000</f>
        <v>0</v>
      </c>
      <c r="CG485" s="76"/>
      <c r="CH485" s="76">
        <f>+CG485*22500</f>
        <v>0</v>
      </c>
      <c r="CI485" s="76"/>
      <c r="CJ485" s="76">
        <f>+CI485*26000</f>
        <v>0</v>
      </c>
      <c r="CK485" s="76"/>
      <c r="CL485" s="76"/>
      <c r="CM485" s="76"/>
      <c r="CN485" s="76">
        <f>+CM485*22000</f>
        <v>0</v>
      </c>
      <c r="CO485" s="76"/>
      <c r="CP485" s="76">
        <f>+CO485*46000</f>
        <v>0</v>
      </c>
      <c r="CQ485" s="76"/>
      <c r="CR485" s="76">
        <f>+CQ485*49000</f>
        <v>0</v>
      </c>
      <c r="CS485" s="76"/>
      <c r="CT485" s="76"/>
      <c r="CU485" s="56">
        <f>AN485+AP485+AR485+AT485+AV485+AX485+AZ485+BB485+BD485+BF485+BH485+BJ485+BL485+BN485+BP485+BR485+BT485+BV485+BX485+BZ485+CB485+CD485+CF485+CH485+CJ485+CL485+CN485+CP485+CR485+CT485</f>
        <v>0</v>
      </c>
      <c r="CV485" s="76"/>
      <c r="CW485" s="76">
        <f>+CV485*1100</f>
        <v>0</v>
      </c>
      <c r="CX485" s="76"/>
      <c r="CY485" s="76">
        <f>+CX485*106250</f>
        <v>0</v>
      </c>
      <c r="CZ485" s="76"/>
      <c r="DA485" s="76">
        <f>+CZ485*34500</f>
        <v>0</v>
      </c>
      <c r="DB485" s="76"/>
      <c r="DC485" s="76">
        <f>+DB485*25000</f>
        <v>0</v>
      </c>
      <c r="DD485" s="219"/>
      <c r="DE485" s="219"/>
      <c r="DF485" s="166"/>
      <c r="DG485" s="116"/>
      <c r="DH485" s="117"/>
      <c r="DI485" s="24"/>
      <c r="DJ485" s="24"/>
      <c r="DK485" s="24"/>
      <c r="DL485" s="24"/>
      <c r="DM485" s="24"/>
      <c r="DN485" s="24"/>
      <c r="DO485" s="24"/>
      <c r="DP485" s="24"/>
      <c r="DQ485" s="24"/>
      <c r="DR485" s="24"/>
      <c r="DS485" s="24"/>
      <c r="DT485" s="24"/>
      <c r="DU485" s="24"/>
    </row>
    <row r="486" spans="1:125" s="8" customFormat="1" ht="36" x14ac:dyDescent="0.2">
      <c r="A486" s="77">
        <v>41305</v>
      </c>
      <c r="B486" s="225" t="s">
        <v>2661</v>
      </c>
      <c r="C486" s="227" t="s">
        <v>2807</v>
      </c>
      <c r="D486" s="81" t="s">
        <v>2846</v>
      </c>
      <c r="E486" s="75" t="str">
        <f>VLOOKUP(B486&amp;C486,Divipola!$C$2:$F$1138,4,FALSE)</f>
        <v>41807</v>
      </c>
      <c r="F486" s="100"/>
      <c r="G486" s="100"/>
      <c r="H486" s="100"/>
      <c r="I486" s="100"/>
      <c r="J486" s="100"/>
      <c r="K486" s="100"/>
      <c r="L486" s="100"/>
      <c r="M486" s="100"/>
      <c r="N486" s="100"/>
      <c r="O486" s="100"/>
      <c r="P486" s="100"/>
      <c r="Q486" s="100"/>
      <c r="R486" s="100"/>
      <c r="S486" s="100"/>
      <c r="T486" s="100"/>
      <c r="U486" s="136">
        <v>3</v>
      </c>
      <c r="V486" s="89"/>
      <c r="W486" s="96">
        <v>0</v>
      </c>
      <c r="X486" s="71">
        <f>CU486</f>
        <v>0</v>
      </c>
      <c r="Y486" s="71">
        <f>CY486</f>
        <v>0</v>
      </c>
      <c r="Z486" s="71">
        <f>DA486+DC486+DE486</f>
        <v>0</v>
      </c>
      <c r="AA486" s="71">
        <f>CW486</f>
        <v>0</v>
      </c>
      <c r="AB486" s="71"/>
      <c r="AC486" s="71">
        <v>0</v>
      </c>
      <c r="AD486" s="71">
        <f>W486+X486+Y486+Z486+AA486+AB486+AC486</f>
        <v>0</v>
      </c>
      <c r="AE486" s="72">
        <v>0</v>
      </c>
      <c r="AF486" s="5"/>
      <c r="AG486" s="6"/>
      <c r="AH486" s="27" t="s">
        <v>3392</v>
      </c>
      <c r="AI486" s="44" t="s">
        <v>3393</v>
      </c>
      <c r="AJ486" s="26"/>
      <c r="AK486" s="5"/>
      <c r="AL486" s="82" t="s">
        <v>3335</v>
      </c>
      <c r="AM486" s="76"/>
      <c r="AN486" s="76"/>
      <c r="AO486" s="76"/>
      <c r="AP486" s="76"/>
      <c r="AQ486" s="76"/>
      <c r="AR486" s="76"/>
      <c r="AS486" s="76"/>
      <c r="AT486" s="76"/>
      <c r="AU486" s="76"/>
      <c r="AV486" s="76"/>
      <c r="AW486" s="76"/>
      <c r="AX486" s="76">
        <f>+AW486*600000</f>
        <v>0</v>
      </c>
      <c r="AY486" s="76"/>
      <c r="AZ486" s="76">
        <f>+AY486*70000</f>
        <v>0</v>
      </c>
      <c r="BA486" s="76"/>
      <c r="BB486" s="76"/>
      <c r="BC486" s="76"/>
      <c r="BD486" s="76">
        <f>+BC486*30000</f>
        <v>0</v>
      </c>
      <c r="BE486" s="76"/>
      <c r="BF486" s="76"/>
      <c r="BG486" s="76"/>
      <c r="BH486" s="76"/>
      <c r="BI486" s="76"/>
      <c r="BJ486" s="76"/>
      <c r="BK486" s="76"/>
      <c r="BL486" s="76">
        <f>+BK486*31500</f>
        <v>0</v>
      </c>
      <c r="BM486" s="76"/>
      <c r="BN486" s="76"/>
      <c r="BO486" s="76"/>
      <c r="BP486" s="76"/>
      <c r="BQ486" s="76"/>
      <c r="BR486" s="76"/>
      <c r="BS486" s="76"/>
      <c r="BT486" s="76"/>
      <c r="BU486" s="76"/>
      <c r="BV486" s="76"/>
      <c r="BW486" s="76"/>
      <c r="BX486" s="76"/>
      <c r="BY486" s="76"/>
      <c r="BZ486" s="76"/>
      <c r="CA486" s="76"/>
      <c r="CB486" s="76"/>
      <c r="CC486" s="76"/>
      <c r="CD486" s="76"/>
      <c r="CE486" s="76"/>
      <c r="CF486" s="76">
        <f>+CE486*28000</f>
        <v>0</v>
      </c>
      <c r="CG486" s="76"/>
      <c r="CH486" s="76">
        <f>+CG486*22500</f>
        <v>0</v>
      </c>
      <c r="CI486" s="76"/>
      <c r="CJ486" s="76">
        <f>+CI486*26000</f>
        <v>0</v>
      </c>
      <c r="CK486" s="76"/>
      <c r="CL486" s="76"/>
      <c r="CM486" s="76"/>
      <c r="CN486" s="76">
        <f>+CM486*22000</f>
        <v>0</v>
      </c>
      <c r="CO486" s="76"/>
      <c r="CP486" s="76">
        <f>+CO486*46000</f>
        <v>0</v>
      </c>
      <c r="CQ486" s="76"/>
      <c r="CR486" s="76">
        <f>+CQ486*49000</f>
        <v>0</v>
      </c>
      <c r="CS486" s="76"/>
      <c r="CT486" s="76"/>
      <c r="CU486" s="56">
        <f>AN486+AP486+AR486+AT486+AV486+AX486+AZ486+BB486+BD486+BF486+BH486+BJ486+BL486+BN486+BP486+BR486+BT486+BV486+BX486+BZ486+CB486+CD486+CF486+CH486+CJ486+CL486+CN486+CP486+CR486+CT486</f>
        <v>0</v>
      </c>
      <c r="CV486" s="76"/>
      <c r="CW486" s="76">
        <f>+CV486*1100</f>
        <v>0</v>
      </c>
      <c r="CX486" s="76"/>
      <c r="CY486" s="76">
        <f>+CX486*106250</f>
        <v>0</v>
      </c>
      <c r="CZ486" s="76"/>
      <c r="DA486" s="76">
        <f>+CZ486*34500</f>
        <v>0</v>
      </c>
      <c r="DB486" s="76"/>
      <c r="DC486" s="76">
        <f>+DB486*25000</f>
        <v>0</v>
      </c>
      <c r="DD486" s="219"/>
      <c r="DE486" s="219"/>
      <c r="DF486" s="166"/>
      <c r="DG486" s="116"/>
      <c r="DH486" s="117"/>
      <c r="DI486" s="24"/>
      <c r="DJ486" s="24"/>
      <c r="DK486" s="24"/>
      <c r="DL486" s="24"/>
      <c r="DM486" s="24"/>
      <c r="DN486" s="24"/>
      <c r="DO486" s="24"/>
      <c r="DP486" s="24"/>
      <c r="DQ486" s="24"/>
      <c r="DR486" s="24"/>
      <c r="DS486" s="24"/>
      <c r="DT486" s="24"/>
      <c r="DU486" s="24"/>
    </row>
    <row r="487" spans="1:125" s="8" customFormat="1" ht="36" x14ac:dyDescent="0.2">
      <c r="A487" s="77">
        <v>41305</v>
      </c>
      <c r="B487" s="352" t="s">
        <v>2661</v>
      </c>
      <c r="C487" s="227" t="s">
        <v>2807</v>
      </c>
      <c r="D487" s="81" t="s">
        <v>2846</v>
      </c>
      <c r="E487" s="75" t="str">
        <f>VLOOKUP(B487&amp;C487,Divipola!$C$2:$F$1138,4,FALSE)</f>
        <v>41807</v>
      </c>
      <c r="F487" s="100"/>
      <c r="G487" s="100"/>
      <c r="H487" s="100"/>
      <c r="I487" s="100"/>
      <c r="J487" s="100"/>
      <c r="K487" s="100"/>
      <c r="L487" s="100"/>
      <c r="M487" s="100"/>
      <c r="N487" s="100"/>
      <c r="O487" s="100"/>
      <c r="P487" s="100"/>
      <c r="Q487" s="100"/>
      <c r="R487" s="100"/>
      <c r="S487" s="100"/>
      <c r="T487" s="100"/>
      <c r="U487" s="136">
        <v>1</v>
      </c>
      <c r="V487" s="89"/>
      <c r="W487" s="96">
        <v>0</v>
      </c>
      <c r="X487" s="71">
        <f>CU487</f>
        <v>0</v>
      </c>
      <c r="Y487" s="71">
        <f>CY487</f>
        <v>0</v>
      </c>
      <c r="Z487" s="71">
        <f>DA487+DC487+DE487</f>
        <v>0</v>
      </c>
      <c r="AA487" s="71">
        <f>CW487</f>
        <v>0</v>
      </c>
      <c r="AB487" s="71"/>
      <c r="AC487" s="71">
        <v>0</v>
      </c>
      <c r="AD487" s="71">
        <f>W487+X487+Y487+Z487+AA487+AB487+AC487</f>
        <v>0</v>
      </c>
      <c r="AE487" s="72">
        <v>0</v>
      </c>
      <c r="AF487" s="5"/>
      <c r="AG487" s="6"/>
      <c r="AH487" s="27" t="s">
        <v>3392</v>
      </c>
      <c r="AI487" s="44" t="s">
        <v>3393</v>
      </c>
      <c r="AJ487" s="26"/>
      <c r="AK487" s="5"/>
      <c r="AL487" s="82" t="s">
        <v>3336</v>
      </c>
      <c r="AM487" s="76"/>
      <c r="AN487" s="76"/>
      <c r="AO487" s="76"/>
      <c r="AP487" s="76"/>
      <c r="AQ487" s="76"/>
      <c r="AR487" s="76"/>
      <c r="AS487" s="76"/>
      <c r="AT487" s="76"/>
      <c r="AU487" s="76"/>
      <c r="AV487" s="76"/>
      <c r="AW487" s="76"/>
      <c r="AX487" s="76">
        <f>+AW487*600000</f>
        <v>0</v>
      </c>
      <c r="AY487" s="76"/>
      <c r="AZ487" s="76">
        <f>+AY487*70000</f>
        <v>0</v>
      </c>
      <c r="BA487" s="76"/>
      <c r="BB487" s="76"/>
      <c r="BC487" s="76"/>
      <c r="BD487" s="76">
        <f>+BC487*30000</f>
        <v>0</v>
      </c>
      <c r="BE487" s="76"/>
      <c r="BF487" s="76"/>
      <c r="BG487" s="76"/>
      <c r="BH487" s="76"/>
      <c r="BI487" s="76"/>
      <c r="BJ487" s="76"/>
      <c r="BK487" s="76"/>
      <c r="BL487" s="76">
        <f>+BK487*31500</f>
        <v>0</v>
      </c>
      <c r="BM487" s="76"/>
      <c r="BN487" s="76"/>
      <c r="BO487" s="76"/>
      <c r="BP487" s="76"/>
      <c r="BQ487" s="76"/>
      <c r="BR487" s="76"/>
      <c r="BS487" s="76"/>
      <c r="BT487" s="76"/>
      <c r="BU487" s="76"/>
      <c r="BV487" s="76"/>
      <c r="BW487" s="76"/>
      <c r="BX487" s="76"/>
      <c r="BY487" s="76"/>
      <c r="BZ487" s="76"/>
      <c r="CA487" s="76"/>
      <c r="CB487" s="76"/>
      <c r="CC487" s="76"/>
      <c r="CD487" s="76"/>
      <c r="CE487" s="76"/>
      <c r="CF487" s="76">
        <f>+CE487*28000</f>
        <v>0</v>
      </c>
      <c r="CG487" s="76"/>
      <c r="CH487" s="76">
        <f>+CG487*22500</f>
        <v>0</v>
      </c>
      <c r="CI487" s="76"/>
      <c r="CJ487" s="76">
        <f>+CI487*26000</f>
        <v>0</v>
      </c>
      <c r="CK487" s="76"/>
      <c r="CL487" s="76"/>
      <c r="CM487" s="76"/>
      <c r="CN487" s="76">
        <f>+CM487*22000</f>
        <v>0</v>
      </c>
      <c r="CO487" s="76"/>
      <c r="CP487" s="76">
        <f>+CO487*46000</f>
        <v>0</v>
      </c>
      <c r="CQ487" s="76"/>
      <c r="CR487" s="76">
        <f>+CQ487*49000</f>
        <v>0</v>
      </c>
      <c r="CS487" s="76"/>
      <c r="CT487" s="76"/>
      <c r="CU487" s="56">
        <f>AN487+AP487+AR487+AT487+AV487+AX487+AZ487+BB487+BD487+BF487+BH487+BJ487+BL487+BN487+BP487+BR487+BT487+BV487+BX487+BZ487+CB487+CD487+CF487+CH487+CJ487+CL487+CN487+CP487+CR487+CT487</f>
        <v>0</v>
      </c>
      <c r="CV487" s="76"/>
      <c r="CW487" s="76">
        <f>+CV487*1100</f>
        <v>0</v>
      </c>
      <c r="CX487" s="76"/>
      <c r="CY487" s="76">
        <f>+CX487*106250</f>
        <v>0</v>
      </c>
      <c r="CZ487" s="76"/>
      <c r="DA487" s="76">
        <f>+CZ487*34500</f>
        <v>0</v>
      </c>
      <c r="DB487" s="76"/>
      <c r="DC487" s="76">
        <f>+DB487*25000</f>
        <v>0</v>
      </c>
      <c r="DD487" s="219"/>
      <c r="DE487" s="219"/>
      <c r="DF487" s="166"/>
      <c r="DG487" s="116"/>
      <c r="DH487" s="117"/>
      <c r="DI487" s="24"/>
      <c r="DJ487" s="24"/>
      <c r="DK487" s="24"/>
      <c r="DL487" s="24"/>
      <c r="DM487" s="24"/>
      <c r="DN487" s="24"/>
      <c r="DO487" s="24"/>
      <c r="DP487" s="24"/>
      <c r="DQ487" s="24"/>
      <c r="DR487" s="24"/>
      <c r="DS487" s="24"/>
      <c r="DT487" s="24"/>
      <c r="DU487" s="24"/>
    </row>
    <row r="488" spans="1:125" s="8" customFormat="1" ht="48" x14ac:dyDescent="0.2">
      <c r="A488" s="77">
        <v>41305</v>
      </c>
      <c r="B488" s="352" t="s">
        <v>2847</v>
      </c>
      <c r="C488" s="227" t="s">
        <v>2684</v>
      </c>
      <c r="D488" s="81" t="s">
        <v>2846</v>
      </c>
      <c r="E488" s="75" t="str">
        <f>VLOOKUP(B488&amp;C488,Divipola!$C$2:$F$1138,4,FALSE)</f>
        <v>68081</v>
      </c>
      <c r="F488" s="87"/>
      <c r="G488" s="87"/>
      <c r="H488" s="87"/>
      <c r="I488" s="87"/>
      <c r="J488" s="87"/>
      <c r="K488" s="87"/>
      <c r="L488" s="87"/>
      <c r="M488" s="87"/>
      <c r="N488" s="87"/>
      <c r="O488" s="87"/>
      <c r="P488" s="87"/>
      <c r="Q488" s="87"/>
      <c r="R488" s="87"/>
      <c r="S488" s="87"/>
      <c r="T488" s="87"/>
      <c r="U488" s="88">
        <v>1</v>
      </c>
      <c r="V488" s="89"/>
      <c r="W488" s="96">
        <v>0</v>
      </c>
      <c r="X488" s="71">
        <f>CU488</f>
        <v>0</v>
      </c>
      <c r="Y488" s="71">
        <f>CY488</f>
        <v>0</v>
      </c>
      <c r="Z488" s="71">
        <f>DA488+DC488+DE488</f>
        <v>0</v>
      </c>
      <c r="AA488" s="71">
        <f>CW488</f>
        <v>0</v>
      </c>
      <c r="AB488" s="71"/>
      <c r="AC488" s="71">
        <v>0</v>
      </c>
      <c r="AD488" s="71">
        <f>W488+X488+Y488+Z488+AA488+AB488+AC488</f>
        <v>0</v>
      </c>
      <c r="AE488" s="72">
        <v>0</v>
      </c>
      <c r="AF488" s="5"/>
      <c r="AG488" s="6"/>
      <c r="AH488" s="27" t="s">
        <v>3392</v>
      </c>
      <c r="AI488" s="44" t="s">
        <v>3393</v>
      </c>
      <c r="AJ488" s="26"/>
      <c r="AK488" s="5"/>
      <c r="AL488" s="82" t="s">
        <v>3327</v>
      </c>
      <c r="AM488" s="76"/>
      <c r="AN488" s="76"/>
      <c r="AO488" s="76"/>
      <c r="AP488" s="76"/>
      <c r="AQ488" s="76"/>
      <c r="AR488" s="76"/>
      <c r="AS488" s="76"/>
      <c r="AT488" s="76"/>
      <c r="AU488" s="76"/>
      <c r="AV488" s="76"/>
      <c r="AW488" s="76"/>
      <c r="AX488" s="76">
        <f>+AW488*600000</f>
        <v>0</v>
      </c>
      <c r="AY488" s="76"/>
      <c r="AZ488" s="76">
        <f>+AY488*70000</f>
        <v>0</v>
      </c>
      <c r="BA488" s="76"/>
      <c r="BB488" s="76"/>
      <c r="BC488" s="76"/>
      <c r="BD488" s="76">
        <f>+BC488*30000</f>
        <v>0</v>
      </c>
      <c r="BE488" s="76"/>
      <c r="BF488" s="76"/>
      <c r="BG488" s="76"/>
      <c r="BH488" s="76"/>
      <c r="BI488" s="76"/>
      <c r="BJ488" s="76"/>
      <c r="BK488" s="76"/>
      <c r="BL488" s="76">
        <f>+BK488*31500</f>
        <v>0</v>
      </c>
      <c r="BM488" s="76"/>
      <c r="BN488" s="76"/>
      <c r="BO488" s="76"/>
      <c r="BP488" s="76"/>
      <c r="BQ488" s="76"/>
      <c r="BR488" s="76"/>
      <c r="BS488" s="76"/>
      <c r="BT488" s="76"/>
      <c r="BU488" s="76"/>
      <c r="BV488" s="76"/>
      <c r="BW488" s="76"/>
      <c r="BX488" s="76"/>
      <c r="BY488" s="76"/>
      <c r="BZ488" s="76"/>
      <c r="CA488" s="76"/>
      <c r="CB488" s="76"/>
      <c r="CC488" s="76"/>
      <c r="CD488" s="76"/>
      <c r="CE488" s="76"/>
      <c r="CF488" s="76">
        <f>+CE488*28000</f>
        <v>0</v>
      </c>
      <c r="CG488" s="76"/>
      <c r="CH488" s="76">
        <f>+CG488*22500</f>
        <v>0</v>
      </c>
      <c r="CI488" s="76"/>
      <c r="CJ488" s="76">
        <f>+CI488*26000</f>
        <v>0</v>
      </c>
      <c r="CK488" s="76"/>
      <c r="CL488" s="76"/>
      <c r="CM488" s="76"/>
      <c r="CN488" s="76">
        <f>+CM488*22000</f>
        <v>0</v>
      </c>
      <c r="CO488" s="76"/>
      <c r="CP488" s="76">
        <f>+CO488*46000</f>
        <v>0</v>
      </c>
      <c r="CQ488" s="76"/>
      <c r="CR488" s="76">
        <f>+CQ488*49000</f>
        <v>0</v>
      </c>
      <c r="CS488" s="76"/>
      <c r="CT488" s="76"/>
      <c r="CU488" s="56">
        <f>AN488+AP488+AR488+AT488+AV488+AX488+AZ488+BB488+BD488+BF488+BH488+BJ488+BL488+BN488+BP488+BR488+BT488+BV488+BX488+BZ488+CB488+CD488+CF488+CH488+CJ488+CL488+CN488+CP488+CR488+CT488</f>
        <v>0</v>
      </c>
      <c r="CV488" s="76"/>
      <c r="CW488" s="76">
        <f>+CV488*1100</f>
        <v>0</v>
      </c>
      <c r="CX488" s="76"/>
      <c r="CY488" s="76">
        <f>+CX488*106250</f>
        <v>0</v>
      </c>
      <c r="CZ488" s="76"/>
      <c r="DA488" s="76">
        <f>+CZ488*34500</f>
        <v>0</v>
      </c>
      <c r="DB488" s="76"/>
      <c r="DC488" s="76">
        <f>+DB488*25000</f>
        <v>0</v>
      </c>
      <c r="DD488" s="219"/>
      <c r="DE488" s="219"/>
      <c r="DF488" s="166"/>
      <c r="DG488" s="116"/>
      <c r="DH488" s="117"/>
      <c r="DI488" s="24"/>
      <c r="DJ488" s="24"/>
      <c r="DK488" s="24"/>
      <c r="DL488" s="24"/>
      <c r="DM488" s="24"/>
      <c r="DN488" s="24"/>
      <c r="DO488" s="24"/>
      <c r="DP488" s="24"/>
      <c r="DQ488" s="24"/>
      <c r="DR488" s="24"/>
      <c r="DS488" s="24"/>
      <c r="DT488" s="24"/>
      <c r="DU488" s="24"/>
    </row>
    <row r="489" spans="1:125" s="8" customFormat="1" ht="60" x14ac:dyDescent="0.2">
      <c r="A489" s="77">
        <v>41305</v>
      </c>
      <c r="B489" s="225" t="s">
        <v>2847</v>
      </c>
      <c r="C489" s="227" t="s">
        <v>2684</v>
      </c>
      <c r="D489" s="81" t="s">
        <v>2846</v>
      </c>
      <c r="E489" s="75" t="str">
        <f>VLOOKUP(B489&amp;C489,Divipola!$C$2:$F$1138,4,FALSE)</f>
        <v>68081</v>
      </c>
      <c r="F489" s="87"/>
      <c r="G489" s="87"/>
      <c r="H489" s="87"/>
      <c r="I489" s="87"/>
      <c r="J489" s="87"/>
      <c r="K489" s="87"/>
      <c r="L489" s="87"/>
      <c r="M489" s="87"/>
      <c r="N489" s="87"/>
      <c r="O489" s="87"/>
      <c r="P489" s="87"/>
      <c r="Q489" s="87"/>
      <c r="R489" s="87"/>
      <c r="S489" s="87"/>
      <c r="T489" s="87"/>
      <c r="U489" s="88">
        <v>1</v>
      </c>
      <c r="V489" s="89"/>
      <c r="W489" s="96">
        <v>0</v>
      </c>
      <c r="X489" s="71">
        <f>CU489</f>
        <v>0</v>
      </c>
      <c r="Y489" s="71">
        <f>CY489</f>
        <v>0</v>
      </c>
      <c r="Z489" s="71">
        <f>DA489+DC489+DE489</f>
        <v>0</v>
      </c>
      <c r="AA489" s="71">
        <f>CW489</f>
        <v>0</v>
      </c>
      <c r="AB489" s="71"/>
      <c r="AC489" s="71">
        <v>0</v>
      </c>
      <c r="AD489" s="71">
        <f>W489+X489+Y489+Z489+AA489+AB489+AC489</f>
        <v>0</v>
      </c>
      <c r="AE489" s="72">
        <v>0</v>
      </c>
      <c r="AF489" s="5"/>
      <c r="AG489" s="6"/>
      <c r="AH489" s="27" t="s">
        <v>3392</v>
      </c>
      <c r="AI489" s="44" t="s">
        <v>3393</v>
      </c>
      <c r="AJ489" s="26"/>
      <c r="AK489" s="5"/>
      <c r="AL489" s="82" t="s">
        <v>3328</v>
      </c>
      <c r="AM489" s="76"/>
      <c r="AN489" s="76"/>
      <c r="AO489" s="76"/>
      <c r="AP489" s="76"/>
      <c r="AQ489" s="76"/>
      <c r="AR489" s="76"/>
      <c r="AS489" s="76"/>
      <c r="AT489" s="76"/>
      <c r="AU489" s="76"/>
      <c r="AV489" s="76"/>
      <c r="AW489" s="76"/>
      <c r="AX489" s="76">
        <f>+AW489*600000</f>
        <v>0</v>
      </c>
      <c r="AY489" s="76"/>
      <c r="AZ489" s="76">
        <f>+AY489*70000</f>
        <v>0</v>
      </c>
      <c r="BA489" s="76"/>
      <c r="BB489" s="76"/>
      <c r="BC489" s="76"/>
      <c r="BD489" s="76">
        <f>+BC489*30000</f>
        <v>0</v>
      </c>
      <c r="BE489" s="76"/>
      <c r="BF489" s="76"/>
      <c r="BG489" s="76"/>
      <c r="BH489" s="76"/>
      <c r="BI489" s="76"/>
      <c r="BJ489" s="76"/>
      <c r="BK489" s="76"/>
      <c r="BL489" s="76">
        <f>+BK489*31500</f>
        <v>0</v>
      </c>
      <c r="BM489" s="76"/>
      <c r="BN489" s="76"/>
      <c r="BO489" s="76"/>
      <c r="BP489" s="76"/>
      <c r="BQ489" s="76"/>
      <c r="BR489" s="76"/>
      <c r="BS489" s="76"/>
      <c r="BT489" s="76"/>
      <c r="BU489" s="76"/>
      <c r="BV489" s="76"/>
      <c r="BW489" s="76"/>
      <c r="BX489" s="76"/>
      <c r="BY489" s="76"/>
      <c r="BZ489" s="76"/>
      <c r="CA489" s="76"/>
      <c r="CB489" s="76"/>
      <c r="CC489" s="76"/>
      <c r="CD489" s="76"/>
      <c r="CE489" s="76"/>
      <c r="CF489" s="76">
        <f>+CE489*28000</f>
        <v>0</v>
      </c>
      <c r="CG489" s="76"/>
      <c r="CH489" s="76">
        <f>+CG489*22500</f>
        <v>0</v>
      </c>
      <c r="CI489" s="76"/>
      <c r="CJ489" s="76">
        <f>+CI489*26000</f>
        <v>0</v>
      </c>
      <c r="CK489" s="76"/>
      <c r="CL489" s="76"/>
      <c r="CM489" s="76"/>
      <c r="CN489" s="76">
        <f>+CM489*22000</f>
        <v>0</v>
      </c>
      <c r="CO489" s="76"/>
      <c r="CP489" s="76">
        <f>+CO489*46000</f>
        <v>0</v>
      </c>
      <c r="CQ489" s="76"/>
      <c r="CR489" s="76">
        <f>+CQ489*49000</f>
        <v>0</v>
      </c>
      <c r="CS489" s="76"/>
      <c r="CT489" s="76"/>
      <c r="CU489" s="56">
        <f>AN489+AP489+AR489+AT489+AV489+AX489+AZ489+BB489+BD489+BF489+BH489+BJ489+BL489+BN489+BP489+BR489+BT489+BV489+BX489+BZ489+CB489+CD489+CF489+CH489+CJ489+CL489+CN489+CP489+CR489+CT489</f>
        <v>0</v>
      </c>
      <c r="CV489" s="76"/>
      <c r="CW489" s="76">
        <f>+CV489*1100</f>
        <v>0</v>
      </c>
      <c r="CX489" s="76"/>
      <c r="CY489" s="76">
        <f>+CX489*106250</f>
        <v>0</v>
      </c>
      <c r="CZ489" s="76"/>
      <c r="DA489" s="76">
        <f>+CZ489*34500</f>
        <v>0</v>
      </c>
      <c r="DB489" s="76"/>
      <c r="DC489" s="76">
        <f>+DB489*25000</f>
        <v>0</v>
      </c>
      <c r="DD489" s="219"/>
      <c r="DE489" s="219"/>
      <c r="DF489" s="166"/>
      <c r="DG489" s="116"/>
      <c r="DH489" s="117"/>
      <c r="DI489" s="24"/>
      <c r="DJ489" s="24"/>
      <c r="DK489" s="24"/>
      <c r="DL489" s="24"/>
      <c r="DM489" s="24"/>
      <c r="DN489" s="24"/>
      <c r="DO489" s="24"/>
      <c r="DP489" s="24"/>
      <c r="DQ489" s="24"/>
      <c r="DR489" s="24"/>
      <c r="DS489" s="24"/>
      <c r="DT489" s="24"/>
      <c r="DU489" s="24"/>
    </row>
    <row r="490" spans="1:125" s="8" customFormat="1" ht="48" x14ac:dyDescent="0.2">
      <c r="A490" s="77">
        <v>41305</v>
      </c>
      <c r="B490" s="78" t="s">
        <v>2847</v>
      </c>
      <c r="C490" s="75" t="s">
        <v>2684</v>
      </c>
      <c r="D490" s="81" t="s">
        <v>2846</v>
      </c>
      <c r="E490" s="75" t="str">
        <f>VLOOKUP(B490&amp;C490,Divipola!$C$2:$F$1138,4,FALSE)</f>
        <v>68081</v>
      </c>
      <c r="F490" s="87"/>
      <c r="G490" s="87"/>
      <c r="H490" s="87"/>
      <c r="I490" s="87"/>
      <c r="J490" s="87"/>
      <c r="K490" s="87"/>
      <c r="L490" s="87"/>
      <c r="M490" s="87"/>
      <c r="N490" s="87"/>
      <c r="O490" s="87"/>
      <c r="P490" s="87"/>
      <c r="Q490" s="87"/>
      <c r="R490" s="87"/>
      <c r="S490" s="87"/>
      <c r="T490" s="87"/>
      <c r="U490" s="87">
        <v>1</v>
      </c>
      <c r="V490" s="89"/>
      <c r="W490" s="96">
        <v>0</v>
      </c>
      <c r="X490" s="71">
        <f>CU490</f>
        <v>0</v>
      </c>
      <c r="Y490" s="71">
        <f>CY490</f>
        <v>0</v>
      </c>
      <c r="Z490" s="71">
        <f>DA490+DC490+DE490</f>
        <v>0</v>
      </c>
      <c r="AA490" s="71">
        <f>CW490</f>
        <v>0</v>
      </c>
      <c r="AB490" s="71"/>
      <c r="AC490" s="71">
        <v>0</v>
      </c>
      <c r="AD490" s="71">
        <f>W490+X490+Y490+Z490+AA490+AB490+AC490</f>
        <v>0</v>
      </c>
      <c r="AE490" s="72">
        <v>0</v>
      </c>
      <c r="AF490" s="5"/>
      <c r="AG490" s="6"/>
      <c r="AH490" s="27" t="s">
        <v>3392</v>
      </c>
      <c r="AI490" s="44" t="s">
        <v>3393</v>
      </c>
      <c r="AJ490" s="26"/>
      <c r="AK490" s="5"/>
      <c r="AL490" s="82" t="s">
        <v>3329</v>
      </c>
      <c r="AM490" s="76"/>
      <c r="AN490" s="76"/>
      <c r="AO490" s="76"/>
      <c r="AP490" s="76"/>
      <c r="AQ490" s="76"/>
      <c r="AR490" s="76"/>
      <c r="AS490" s="76"/>
      <c r="AT490" s="76"/>
      <c r="AU490" s="76"/>
      <c r="AV490" s="76"/>
      <c r="AW490" s="76"/>
      <c r="AX490" s="76">
        <f>+AW490*600000</f>
        <v>0</v>
      </c>
      <c r="AY490" s="76"/>
      <c r="AZ490" s="76">
        <f>+AY490*70000</f>
        <v>0</v>
      </c>
      <c r="BA490" s="76"/>
      <c r="BB490" s="76"/>
      <c r="BC490" s="76"/>
      <c r="BD490" s="76">
        <f>+BC490*30000</f>
        <v>0</v>
      </c>
      <c r="BE490" s="76"/>
      <c r="BF490" s="76"/>
      <c r="BG490" s="76"/>
      <c r="BH490" s="76"/>
      <c r="BI490" s="76"/>
      <c r="BJ490" s="76"/>
      <c r="BK490" s="76"/>
      <c r="BL490" s="76">
        <f>+BK490*31500</f>
        <v>0</v>
      </c>
      <c r="BM490" s="76"/>
      <c r="BN490" s="76"/>
      <c r="BO490" s="76"/>
      <c r="BP490" s="76"/>
      <c r="BQ490" s="76"/>
      <c r="BR490" s="76"/>
      <c r="BS490" s="76"/>
      <c r="BT490" s="76"/>
      <c r="BU490" s="76"/>
      <c r="BV490" s="76"/>
      <c r="BW490" s="76"/>
      <c r="BX490" s="76"/>
      <c r="BY490" s="76"/>
      <c r="BZ490" s="76"/>
      <c r="CA490" s="76"/>
      <c r="CB490" s="76"/>
      <c r="CC490" s="76"/>
      <c r="CD490" s="76"/>
      <c r="CE490" s="76"/>
      <c r="CF490" s="76">
        <f>+CE490*28000</f>
        <v>0</v>
      </c>
      <c r="CG490" s="76"/>
      <c r="CH490" s="76">
        <f>+CG490*22500</f>
        <v>0</v>
      </c>
      <c r="CI490" s="76"/>
      <c r="CJ490" s="76">
        <f>+CI490*26000</f>
        <v>0</v>
      </c>
      <c r="CK490" s="76"/>
      <c r="CL490" s="76"/>
      <c r="CM490" s="76"/>
      <c r="CN490" s="76">
        <f>+CM490*22000</f>
        <v>0</v>
      </c>
      <c r="CO490" s="76"/>
      <c r="CP490" s="76">
        <f>+CO490*46000</f>
        <v>0</v>
      </c>
      <c r="CQ490" s="76"/>
      <c r="CR490" s="76">
        <f>+CQ490*49000</f>
        <v>0</v>
      </c>
      <c r="CS490" s="76"/>
      <c r="CT490" s="76"/>
      <c r="CU490" s="56">
        <f>AN490+AP490+AR490+AT490+AV490+AX490+AZ490+BB490+BD490+BF490+BH490+BJ490+BL490+BN490+BP490+BR490+BT490+BV490+BX490+BZ490+CB490+CD490+CF490+CH490+CJ490+CL490+CN490+CP490+CR490+CT490</f>
        <v>0</v>
      </c>
      <c r="CV490" s="76"/>
      <c r="CW490" s="76">
        <f>+CV490*1100</f>
        <v>0</v>
      </c>
      <c r="CX490" s="76"/>
      <c r="CY490" s="76">
        <f>+CX490*106250</f>
        <v>0</v>
      </c>
      <c r="CZ490" s="76"/>
      <c r="DA490" s="76">
        <f>+CZ490*34500</f>
        <v>0</v>
      </c>
      <c r="DB490" s="76"/>
      <c r="DC490" s="76">
        <f>+DB490*25000</f>
        <v>0</v>
      </c>
      <c r="DD490" s="219"/>
      <c r="DE490" s="219"/>
      <c r="DF490" s="166"/>
      <c r="DG490" s="116"/>
      <c r="DH490" s="117"/>
      <c r="DI490" s="24"/>
      <c r="DJ490" s="24"/>
      <c r="DK490" s="24"/>
      <c r="DL490" s="24"/>
      <c r="DM490" s="24"/>
      <c r="DN490" s="24"/>
      <c r="DO490" s="24"/>
      <c r="DP490" s="24"/>
      <c r="DQ490" s="24"/>
      <c r="DR490" s="24"/>
      <c r="DS490" s="24"/>
      <c r="DT490" s="24"/>
      <c r="DU490" s="24"/>
    </row>
    <row r="491" spans="1:125" s="8" customFormat="1" ht="60" x14ac:dyDescent="0.2">
      <c r="A491" s="77">
        <v>41305</v>
      </c>
      <c r="B491" s="78" t="s">
        <v>2847</v>
      </c>
      <c r="C491" s="75" t="s">
        <v>2684</v>
      </c>
      <c r="D491" s="81" t="s">
        <v>2846</v>
      </c>
      <c r="E491" s="75" t="str">
        <f>VLOOKUP(B491&amp;C491,Divipola!$C$2:$F$1138,4,FALSE)</f>
        <v>68081</v>
      </c>
      <c r="F491" s="87"/>
      <c r="G491" s="87"/>
      <c r="H491" s="87"/>
      <c r="I491" s="87"/>
      <c r="J491" s="87"/>
      <c r="K491" s="87"/>
      <c r="L491" s="87"/>
      <c r="M491" s="87"/>
      <c r="N491" s="87"/>
      <c r="O491" s="87"/>
      <c r="P491" s="87"/>
      <c r="Q491" s="87"/>
      <c r="R491" s="87"/>
      <c r="S491" s="87"/>
      <c r="T491" s="87"/>
      <c r="U491" s="88">
        <v>1</v>
      </c>
      <c r="V491" s="89"/>
      <c r="W491" s="96">
        <v>0</v>
      </c>
      <c r="X491" s="71">
        <f>CU491</f>
        <v>0</v>
      </c>
      <c r="Y491" s="71">
        <f>CY491</f>
        <v>0</v>
      </c>
      <c r="Z491" s="71">
        <f>DA491+DC491+DE491</f>
        <v>0</v>
      </c>
      <c r="AA491" s="71">
        <f>CW491</f>
        <v>0</v>
      </c>
      <c r="AB491" s="71"/>
      <c r="AC491" s="71">
        <v>0</v>
      </c>
      <c r="AD491" s="71">
        <f>W491+X491+Y491+Z491+AA491+AB491+AC491</f>
        <v>0</v>
      </c>
      <c r="AE491" s="72">
        <v>0</v>
      </c>
      <c r="AF491" s="5"/>
      <c r="AG491" s="6"/>
      <c r="AH491" s="27" t="s">
        <v>3392</v>
      </c>
      <c r="AI491" s="44" t="s">
        <v>3393</v>
      </c>
      <c r="AJ491" s="26"/>
      <c r="AK491" s="5"/>
      <c r="AL491" s="82" t="s">
        <v>3330</v>
      </c>
      <c r="AM491" s="76"/>
      <c r="AN491" s="76"/>
      <c r="AO491" s="76"/>
      <c r="AP491" s="76"/>
      <c r="AQ491" s="76"/>
      <c r="AR491" s="76"/>
      <c r="AS491" s="76"/>
      <c r="AT491" s="76"/>
      <c r="AU491" s="76"/>
      <c r="AV491" s="76"/>
      <c r="AW491" s="76"/>
      <c r="AX491" s="76">
        <f>+AW491*600000</f>
        <v>0</v>
      </c>
      <c r="AY491" s="76"/>
      <c r="AZ491" s="76">
        <f>+AY491*70000</f>
        <v>0</v>
      </c>
      <c r="BA491" s="76"/>
      <c r="BB491" s="76"/>
      <c r="BC491" s="76"/>
      <c r="BD491" s="76">
        <f>+BC491*30000</f>
        <v>0</v>
      </c>
      <c r="BE491" s="76"/>
      <c r="BF491" s="76"/>
      <c r="BG491" s="76"/>
      <c r="BH491" s="76"/>
      <c r="BI491" s="76"/>
      <c r="BJ491" s="76"/>
      <c r="BK491" s="76"/>
      <c r="BL491" s="76">
        <f>+BK491*31500</f>
        <v>0</v>
      </c>
      <c r="BM491" s="76"/>
      <c r="BN491" s="76"/>
      <c r="BO491" s="76"/>
      <c r="BP491" s="76"/>
      <c r="BQ491" s="76"/>
      <c r="BR491" s="76"/>
      <c r="BS491" s="76"/>
      <c r="BT491" s="76"/>
      <c r="BU491" s="76"/>
      <c r="BV491" s="76"/>
      <c r="BW491" s="76"/>
      <c r="BX491" s="76"/>
      <c r="BY491" s="76"/>
      <c r="BZ491" s="76"/>
      <c r="CA491" s="76"/>
      <c r="CB491" s="76"/>
      <c r="CC491" s="76"/>
      <c r="CD491" s="76"/>
      <c r="CE491" s="76"/>
      <c r="CF491" s="76">
        <f>+CE491*28000</f>
        <v>0</v>
      </c>
      <c r="CG491" s="76"/>
      <c r="CH491" s="76">
        <f>+CG491*22500</f>
        <v>0</v>
      </c>
      <c r="CI491" s="76"/>
      <c r="CJ491" s="76">
        <f>+CI491*26000</f>
        <v>0</v>
      </c>
      <c r="CK491" s="76"/>
      <c r="CL491" s="76"/>
      <c r="CM491" s="76"/>
      <c r="CN491" s="76">
        <f>+CM491*22000</f>
        <v>0</v>
      </c>
      <c r="CO491" s="76"/>
      <c r="CP491" s="76">
        <f>+CO491*46000</f>
        <v>0</v>
      </c>
      <c r="CQ491" s="76"/>
      <c r="CR491" s="76">
        <f>+CQ491*49000</f>
        <v>0</v>
      </c>
      <c r="CS491" s="76"/>
      <c r="CT491" s="76"/>
      <c r="CU491" s="56">
        <f>AN491+AP491+AR491+AT491+AV491+AX491+AZ491+BB491+BD491+BF491+BH491+BJ491+BL491+BN491+BP491+BR491+BT491+BV491+BX491+BZ491+CB491+CD491+CF491+CH491+CJ491+CL491+CN491+CP491+CR491+CT491</f>
        <v>0</v>
      </c>
      <c r="CV491" s="76"/>
      <c r="CW491" s="76">
        <f>+CV491*1100</f>
        <v>0</v>
      </c>
      <c r="CX491" s="76"/>
      <c r="CY491" s="76">
        <f>+CX491*106250</f>
        <v>0</v>
      </c>
      <c r="CZ491" s="76"/>
      <c r="DA491" s="76">
        <f>+CZ491*34500</f>
        <v>0</v>
      </c>
      <c r="DB491" s="76"/>
      <c r="DC491" s="76">
        <f>+DB491*25000</f>
        <v>0</v>
      </c>
      <c r="DD491" s="219"/>
      <c r="DE491" s="219"/>
      <c r="DF491" s="166"/>
      <c r="DG491" s="116"/>
      <c r="DH491" s="117"/>
      <c r="DI491" s="24"/>
      <c r="DJ491" s="24"/>
      <c r="DK491" s="24"/>
      <c r="DL491" s="24"/>
      <c r="DM491" s="24"/>
      <c r="DN491" s="24"/>
      <c r="DO491" s="24"/>
      <c r="DP491" s="24"/>
      <c r="DQ491" s="24"/>
      <c r="DR491" s="24"/>
      <c r="DS491" s="24"/>
      <c r="DT491" s="24"/>
      <c r="DU491" s="24"/>
    </row>
    <row r="492" spans="1:125" s="8" customFormat="1" ht="60" x14ac:dyDescent="0.2">
      <c r="A492" s="77">
        <v>41305</v>
      </c>
      <c r="B492" s="225" t="s">
        <v>2847</v>
      </c>
      <c r="C492" s="227" t="s">
        <v>2673</v>
      </c>
      <c r="D492" s="81" t="s">
        <v>2846</v>
      </c>
      <c r="E492" s="75" t="str">
        <f>VLOOKUP(B492&amp;C492,Divipola!$C$2:$F$1138,4,FALSE)</f>
        <v>68001</v>
      </c>
      <c r="F492" s="87"/>
      <c r="G492" s="87"/>
      <c r="H492" s="87"/>
      <c r="I492" s="87"/>
      <c r="J492" s="87"/>
      <c r="K492" s="87"/>
      <c r="L492" s="87"/>
      <c r="M492" s="87"/>
      <c r="N492" s="87"/>
      <c r="O492" s="87"/>
      <c r="P492" s="87"/>
      <c r="Q492" s="87"/>
      <c r="R492" s="87"/>
      <c r="S492" s="87"/>
      <c r="T492" s="87"/>
      <c r="U492" s="88"/>
      <c r="V492" s="89"/>
      <c r="W492" s="96">
        <v>0</v>
      </c>
      <c r="X492" s="71">
        <f>CU492</f>
        <v>0</v>
      </c>
      <c r="Y492" s="71">
        <f>CY492</f>
        <v>0</v>
      </c>
      <c r="Z492" s="71">
        <f>DA492+DC492+DE492</f>
        <v>0</v>
      </c>
      <c r="AA492" s="71">
        <f>CW492</f>
        <v>0</v>
      </c>
      <c r="AB492" s="71"/>
      <c r="AC492" s="71">
        <v>0</v>
      </c>
      <c r="AD492" s="71">
        <f>W492+X492+Y492+Z492+AA492+AB492+AC492</f>
        <v>0</v>
      </c>
      <c r="AE492" s="72">
        <v>0</v>
      </c>
      <c r="AF492" s="5"/>
      <c r="AG492" s="6"/>
      <c r="AH492" s="27" t="s">
        <v>3392</v>
      </c>
      <c r="AI492" s="44" t="s">
        <v>3393</v>
      </c>
      <c r="AJ492" s="26"/>
      <c r="AK492" s="5"/>
      <c r="AL492" s="82" t="s">
        <v>3341</v>
      </c>
      <c r="AM492" s="76"/>
      <c r="AN492" s="76"/>
      <c r="AO492" s="76"/>
      <c r="AP492" s="76"/>
      <c r="AQ492" s="76"/>
      <c r="AR492" s="76"/>
      <c r="AS492" s="76"/>
      <c r="AT492" s="76"/>
      <c r="AU492" s="76"/>
      <c r="AV492" s="76"/>
      <c r="AW492" s="76"/>
      <c r="AX492" s="76">
        <f>+AW492*600000</f>
        <v>0</v>
      </c>
      <c r="AY492" s="76"/>
      <c r="AZ492" s="76">
        <f>+AY492*70000</f>
        <v>0</v>
      </c>
      <c r="BA492" s="76"/>
      <c r="BB492" s="76"/>
      <c r="BC492" s="76"/>
      <c r="BD492" s="76">
        <f>+BC492*30000</f>
        <v>0</v>
      </c>
      <c r="BE492" s="76"/>
      <c r="BF492" s="76"/>
      <c r="BG492" s="76"/>
      <c r="BH492" s="76"/>
      <c r="BI492" s="76"/>
      <c r="BJ492" s="76"/>
      <c r="BK492" s="76"/>
      <c r="BL492" s="76">
        <f>+BK492*31500</f>
        <v>0</v>
      </c>
      <c r="BM492" s="76"/>
      <c r="BN492" s="76"/>
      <c r="BO492" s="76"/>
      <c r="BP492" s="76"/>
      <c r="BQ492" s="76"/>
      <c r="BR492" s="76"/>
      <c r="BS492" s="76"/>
      <c r="BT492" s="76"/>
      <c r="BU492" s="76"/>
      <c r="BV492" s="76"/>
      <c r="BW492" s="76"/>
      <c r="BX492" s="76"/>
      <c r="BY492" s="76"/>
      <c r="BZ492" s="76"/>
      <c r="CA492" s="76"/>
      <c r="CB492" s="76"/>
      <c r="CC492" s="76"/>
      <c r="CD492" s="76"/>
      <c r="CE492" s="76"/>
      <c r="CF492" s="76">
        <f>+CE492*28000</f>
        <v>0</v>
      </c>
      <c r="CG492" s="76"/>
      <c r="CH492" s="76">
        <f>+CG492*22500</f>
        <v>0</v>
      </c>
      <c r="CI492" s="76"/>
      <c r="CJ492" s="76">
        <f>+CI492*26000</f>
        <v>0</v>
      </c>
      <c r="CK492" s="76"/>
      <c r="CL492" s="76"/>
      <c r="CM492" s="76"/>
      <c r="CN492" s="76">
        <f>+CM492*22000</f>
        <v>0</v>
      </c>
      <c r="CO492" s="76"/>
      <c r="CP492" s="76">
        <f>+CO492*46000</f>
        <v>0</v>
      </c>
      <c r="CQ492" s="76"/>
      <c r="CR492" s="76">
        <f>+CQ492*49000</f>
        <v>0</v>
      </c>
      <c r="CS492" s="76"/>
      <c r="CT492" s="76"/>
      <c r="CU492" s="56">
        <f>AN492+AP492+AR492+AT492+AV492+AX492+AZ492+BB492+BD492+BF492+BH492+BJ492+BL492+BN492+BP492+BR492+BT492+BV492+BX492+BZ492+CB492+CD492+CF492+CH492+CJ492+CL492+CN492+CP492+CR492+CT492</f>
        <v>0</v>
      </c>
      <c r="CV492" s="76"/>
      <c r="CW492" s="76">
        <f>+CV492*1100</f>
        <v>0</v>
      </c>
      <c r="CX492" s="76"/>
      <c r="CY492" s="76">
        <f>+CX492*106250</f>
        <v>0</v>
      </c>
      <c r="CZ492" s="76"/>
      <c r="DA492" s="76">
        <f>+CZ492*34500</f>
        <v>0</v>
      </c>
      <c r="DB492" s="76"/>
      <c r="DC492" s="76">
        <f>+DB492*25000</f>
        <v>0</v>
      </c>
      <c r="DD492" s="219"/>
      <c r="DE492" s="219"/>
      <c r="DF492" s="166"/>
      <c r="DG492" s="116"/>
      <c r="DH492" s="117"/>
      <c r="DI492" s="24"/>
      <c r="DJ492" s="24"/>
      <c r="DK492" s="24"/>
      <c r="DL492" s="24"/>
      <c r="DM492" s="24"/>
      <c r="DN492" s="24"/>
      <c r="DO492" s="24"/>
      <c r="DP492" s="24"/>
      <c r="DQ492" s="24"/>
      <c r="DR492" s="24"/>
      <c r="DS492" s="24"/>
      <c r="DT492" s="24"/>
      <c r="DU492" s="24"/>
    </row>
    <row r="493" spans="1:125" s="8" customFormat="1" ht="96" x14ac:dyDescent="0.2">
      <c r="A493" s="77">
        <v>41305</v>
      </c>
      <c r="B493" s="225" t="s">
        <v>2847</v>
      </c>
      <c r="C493" s="227" t="s">
        <v>2814</v>
      </c>
      <c r="D493" s="81" t="s">
        <v>2846</v>
      </c>
      <c r="E493" s="75" t="str">
        <f>VLOOKUP(B493&amp;C493,Divipola!$C$2:$F$1138,4,FALSE)</f>
        <v>68307</v>
      </c>
      <c r="F493" s="87"/>
      <c r="G493" s="87"/>
      <c r="H493" s="87"/>
      <c r="I493" s="87"/>
      <c r="J493" s="87"/>
      <c r="K493" s="87"/>
      <c r="L493" s="87"/>
      <c r="M493" s="87"/>
      <c r="N493" s="87"/>
      <c r="O493" s="87"/>
      <c r="P493" s="87"/>
      <c r="Q493" s="87"/>
      <c r="R493" s="87"/>
      <c r="S493" s="87"/>
      <c r="T493" s="87"/>
      <c r="U493" s="88">
        <v>2.5</v>
      </c>
      <c r="V493" s="89"/>
      <c r="W493" s="96">
        <v>0</v>
      </c>
      <c r="X493" s="71">
        <f>CU493</f>
        <v>0</v>
      </c>
      <c r="Y493" s="71">
        <f>CY493</f>
        <v>0</v>
      </c>
      <c r="Z493" s="71">
        <f>DA493+DC493+DE493</f>
        <v>0</v>
      </c>
      <c r="AA493" s="71">
        <f>CW493</f>
        <v>0</v>
      </c>
      <c r="AB493" s="71"/>
      <c r="AC493" s="71">
        <v>0</v>
      </c>
      <c r="AD493" s="71">
        <f>W493+X493+Y493+Z493+AA493+AB493+AC493</f>
        <v>0</v>
      </c>
      <c r="AE493" s="72">
        <v>0</v>
      </c>
      <c r="AF493" s="5"/>
      <c r="AG493" s="6"/>
      <c r="AH493" s="27" t="s">
        <v>3392</v>
      </c>
      <c r="AI493" s="44" t="s">
        <v>3393</v>
      </c>
      <c r="AJ493" s="26"/>
      <c r="AK493" s="5"/>
      <c r="AL493" s="82" t="s">
        <v>3342</v>
      </c>
      <c r="AM493" s="76"/>
      <c r="AN493" s="76"/>
      <c r="AO493" s="76"/>
      <c r="AP493" s="76"/>
      <c r="AQ493" s="76"/>
      <c r="AR493" s="76"/>
      <c r="AS493" s="76"/>
      <c r="AT493" s="76"/>
      <c r="AU493" s="76"/>
      <c r="AV493" s="76"/>
      <c r="AW493" s="76"/>
      <c r="AX493" s="76">
        <f>+AW493*600000</f>
        <v>0</v>
      </c>
      <c r="AY493" s="76"/>
      <c r="AZ493" s="76">
        <f>+AY493*70000</f>
        <v>0</v>
      </c>
      <c r="BA493" s="76"/>
      <c r="BB493" s="76"/>
      <c r="BC493" s="76"/>
      <c r="BD493" s="76">
        <f>+BC493*30000</f>
        <v>0</v>
      </c>
      <c r="BE493" s="76"/>
      <c r="BF493" s="76"/>
      <c r="BG493" s="76"/>
      <c r="BH493" s="76"/>
      <c r="BI493" s="76"/>
      <c r="BJ493" s="76"/>
      <c r="BK493" s="76"/>
      <c r="BL493" s="76">
        <f>+BK493*31500</f>
        <v>0</v>
      </c>
      <c r="BM493" s="76"/>
      <c r="BN493" s="76"/>
      <c r="BO493" s="76"/>
      <c r="BP493" s="76"/>
      <c r="BQ493" s="76"/>
      <c r="BR493" s="76"/>
      <c r="BS493" s="76"/>
      <c r="BT493" s="76"/>
      <c r="BU493" s="76"/>
      <c r="BV493" s="76"/>
      <c r="BW493" s="76"/>
      <c r="BX493" s="76"/>
      <c r="BY493" s="76"/>
      <c r="BZ493" s="76"/>
      <c r="CA493" s="76"/>
      <c r="CB493" s="76"/>
      <c r="CC493" s="76"/>
      <c r="CD493" s="76"/>
      <c r="CE493" s="76"/>
      <c r="CF493" s="76">
        <f>+CE493*28000</f>
        <v>0</v>
      </c>
      <c r="CG493" s="76"/>
      <c r="CH493" s="76">
        <f>+CG493*22500</f>
        <v>0</v>
      </c>
      <c r="CI493" s="76"/>
      <c r="CJ493" s="76">
        <f>+CI493*26000</f>
        <v>0</v>
      </c>
      <c r="CK493" s="76"/>
      <c r="CL493" s="76"/>
      <c r="CM493" s="76"/>
      <c r="CN493" s="76">
        <f>+CM493*22000</f>
        <v>0</v>
      </c>
      <c r="CO493" s="76"/>
      <c r="CP493" s="76">
        <f>+CO493*46000</f>
        <v>0</v>
      </c>
      <c r="CQ493" s="76"/>
      <c r="CR493" s="76">
        <f>+CQ493*49000</f>
        <v>0</v>
      </c>
      <c r="CS493" s="76"/>
      <c r="CT493" s="76"/>
      <c r="CU493" s="56">
        <f>AN493+AP493+AR493+AT493+AV493+AX493+AZ493+BB493+BD493+BF493+BH493+BJ493+BL493+BN493+BP493+BR493+BT493+BV493+BX493+BZ493+CB493+CD493+CF493+CH493+CJ493+CL493+CN493+CP493+CR493+CT493</f>
        <v>0</v>
      </c>
      <c r="CV493" s="76"/>
      <c r="CW493" s="76">
        <f>+CV493*1100</f>
        <v>0</v>
      </c>
      <c r="CX493" s="76"/>
      <c r="CY493" s="76">
        <f>+CX493*106250</f>
        <v>0</v>
      </c>
      <c r="CZ493" s="76"/>
      <c r="DA493" s="76">
        <f>+CZ493*34500</f>
        <v>0</v>
      </c>
      <c r="DB493" s="76"/>
      <c r="DC493" s="76">
        <f>+DB493*25000</f>
        <v>0</v>
      </c>
      <c r="DD493" s="219"/>
      <c r="DE493" s="219"/>
      <c r="DF493" s="166"/>
      <c r="DG493" s="116"/>
      <c r="DH493" s="117"/>
      <c r="DI493" s="24"/>
      <c r="DJ493" s="24"/>
      <c r="DK493" s="24"/>
      <c r="DL493" s="24"/>
      <c r="DM493" s="24"/>
      <c r="DN493" s="24"/>
      <c r="DO493" s="24"/>
      <c r="DP493" s="24"/>
      <c r="DQ493" s="24"/>
      <c r="DR493" s="24"/>
      <c r="DS493" s="24"/>
      <c r="DT493" s="24"/>
      <c r="DU493" s="24"/>
    </row>
    <row r="494" spans="1:125" s="8" customFormat="1" ht="60" x14ac:dyDescent="0.2">
      <c r="A494" s="77">
        <v>41305</v>
      </c>
      <c r="B494" s="225" t="s">
        <v>2847</v>
      </c>
      <c r="C494" s="227" t="s">
        <v>479</v>
      </c>
      <c r="D494" s="227" t="s">
        <v>2859</v>
      </c>
      <c r="E494" s="75" t="str">
        <f>VLOOKUP(B494&amp;C494,Divipola!$C$2:$F$1138,4,FALSE)</f>
        <v>68547</v>
      </c>
      <c r="F494" s="87"/>
      <c r="G494" s="87"/>
      <c r="H494" s="87"/>
      <c r="I494" s="87">
        <v>5</v>
      </c>
      <c r="J494" s="87">
        <v>1</v>
      </c>
      <c r="K494" s="87"/>
      <c r="L494" s="87">
        <v>1</v>
      </c>
      <c r="M494" s="87"/>
      <c r="N494" s="87"/>
      <c r="O494" s="87"/>
      <c r="P494" s="87"/>
      <c r="Q494" s="87"/>
      <c r="R494" s="87"/>
      <c r="S494" s="87"/>
      <c r="T494" s="87"/>
      <c r="U494" s="88"/>
      <c r="V494" s="89"/>
      <c r="W494" s="96">
        <v>0</v>
      </c>
      <c r="X494" s="71">
        <f>CU494</f>
        <v>0</v>
      </c>
      <c r="Y494" s="71">
        <f>CY494</f>
        <v>0</v>
      </c>
      <c r="Z494" s="71">
        <f>DA494+DC494+DE494</f>
        <v>0</v>
      </c>
      <c r="AA494" s="71">
        <f>CW494</f>
        <v>0</v>
      </c>
      <c r="AB494" s="71"/>
      <c r="AC494" s="71">
        <v>0</v>
      </c>
      <c r="AD494" s="71">
        <f>W494+X494+Y494+Z494+AA494+AB494+AC494</f>
        <v>0</v>
      </c>
      <c r="AE494" s="72">
        <v>0</v>
      </c>
      <c r="AF494" s="5"/>
      <c r="AG494" s="6"/>
      <c r="AH494" s="27" t="s">
        <v>3392</v>
      </c>
      <c r="AI494" s="44" t="s">
        <v>3393</v>
      </c>
      <c r="AJ494" s="26"/>
      <c r="AK494" s="5"/>
      <c r="AL494" s="82" t="s">
        <v>3326</v>
      </c>
      <c r="AM494" s="76"/>
      <c r="AN494" s="76"/>
      <c r="AO494" s="76"/>
      <c r="AP494" s="76"/>
      <c r="AQ494" s="76"/>
      <c r="AR494" s="76"/>
      <c r="AS494" s="76"/>
      <c r="AT494" s="76"/>
      <c r="AU494" s="76"/>
      <c r="AV494" s="76"/>
      <c r="AW494" s="76"/>
      <c r="AX494" s="76">
        <f>+AW494*600000</f>
        <v>0</v>
      </c>
      <c r="AY494" s="76"/>
      <c r="AZ494" s="76">
        <f>+AY494*70000</f>
        <v>0</v>
      </c>
      <c r="BA494" s="76"/>
      <c r="BB494" s="76"/>
      <c r="BC494" s="76"/>
      <c r="BD494" s="76">
        <f>+BC494*30000</f>
        <v>0</v>
      </c>
      <c r="BE494" s="76"/>
      <c r="BF494" s="76"/>
      <c r="BG494" s="76"/>
      <c r="BH494" s="76"/>
      <c r="BI494" s="76"/>
      <c r="BJ494" s="76"/>
      <c r="BK494" s="76"/>
      <c r="BL494" s="76">
        <f>+BK494*31500</f>
        <v>0</v>
      </c>
      <c r="BM494" s="76"/>
      <c r="BN494" s="76"/>
      <c r="BO494" s="76"/>
      <c r="BP494" s="76"/>
      <c r="BQ494" s="76"/>
      <c r="BR494" s="76"/>
      <c r="BS494" s="76"/>
      <c r="BT494" s="76"/>
      <c r="BU494" s="76"/>
      <c r="BV494" s="76"/>
      <c r="BW494" s="76"/>
      <c r="BX494" s="76"/>
      <c r="BY494" s="76"/>
      <c r="BZ494" s="76"/>
      <c r="CA494" s="76"/>
      <c r="CB494" s="76"/>
      <c r="CC494" s="76"/>
      <c r="CD494" s="76"/>
      <c r="CE494" s="76"/>
      <c r="CF494" s="76">
        <f>+CE494*28000</f>
        <v>0</v>
      </c>
      <c r="CG494" s="76"/>
      <c r="CH494" s="76">
        <f>+CG494*22500</f>
        <v>0</v>
      </c>
      <c r="CI494" s="76"/>
      <c r="CJ494" s="76">
        <f>+CI494*26000</f>
        <v>0</v>
      </c>
      <c r="CK494" s="76"/>
      <c r="CL494" s="76"/>
      <c r="CM494" s="76"/>
      <c r="CN494" s="76">
        <f>+CM494*22000</f>
        <v>0</v>
      </c>
      <c r="CO494" s="76"/>
      <c r="CP494" s="76">
        <f>+CO494*46000</f>
        <v>0</v>
      </c>
      <c r="CQ494" s="76"/>
      <c r="CR494" s="76">
        <f>+CQ494*49000</f>
        <v>0</v>
      </c>
      <c r="CS494" s="76"/>
      <c r="CT494" s="76"/>
      <c r="CU494" s="56">
        <f>AN494+AP494+AR494+AT494+AV494+AX494+AZ494+BB494+BD494+BF494+BH494+BJ494+BL494+BN494+BP494+BR494+BT494+BV494+BX494+BZ494+CB494+CD494+CF494+CH494+CJ494+CL494+CN494+CP494+CR494+CT494</f>
        <v>0</v>
      </c>
      <c r="CV494" s="76"/>
      <c r="CW494" s="76">
        <f>+CV494*1100</f>
        <v>0</v>
      </c>
      <c r="CX494" s="76"/>
      <c r="CY494" s="76">
        <f>+CX494*106250</f>
        <v>0</v>
      </c>
      <c r="CZ494" s="76"/>
      <c r="DA494" s="76">
        <f>+CZ494*34500</f>
        <v>0</v>
      </c>
      <c r="DB494" s="76"/>
      <c r="DC494" s="76">
        <f>+DB494*25000</f>
        <v>0</v>
      </c>
      <c r="DD494" s="219"/>
      <c r="DE494" s="219"/>
      <c r="DF494" s="166"/>
      <c r="DG494" s="116"/>
      <c r="DH494" s="117"/>
      <c r="DI494" s="24"/>
      <c r="DJ494" s="24"/>
      <c r="DK494" s="24"/>
      <c r="DL494" s="24"/>
      <c r="DM494" s="24"/>
      <c r="DN494" s="24"/>
      <c r="DO494" s="24"/>
      <c r="DP494" s="24"/>
      <c r="DQ494" s="24"/>
      <c r="DR494" s="24"/>
      <c r="DS494" s="24"/>
      <c r="DT494" s="24"/>
      <c r="DU494" s="24"/>
    </row>
    <row r="495" spans="1:125" s="8" customFormat="1" ht="252" x14ac:dyDescent="0.2">
      <c r="A495" s="77">
        <v>41305</v>
      </c>
      <c r="B495" s="78" t="s">
        <v>2847</v>
      </c>
      <c r="C495" s="75" t="s">
        <v>2109</v>
      </c>
      <c r="D495" s="81" t="s">
        <v>2846</v>
      </c>
      <c r="E495" s="75" t="str">
        <f>VLOOKUP(B495&amp;C495,Divipola!$C$2:$F$1138,4,FALSE)</f>
        <v>68575</v>
      </c>
      <c r="F495" s="87"/>
      <c r="G495" s="87"/>
      <c r="H495" s="87"/>
      <c r="I495" s="87"/>
      <c r="J495" s="87"/>
      <c r="K495" s="87"/>
      <c r="L495" s="87"/>
      <c r="M495" s="87"/>
      <c r="N495" s="87"/>
      <c r="O495" s="87"/>
      <c r="P495" s="87"/>
      <c r="Q495" s="87"/>
      <c r="R495" s="87"/>
      <c r="S495" s="87"/>
      <c r="T495" s="87"/>
      <c r="U495" s="88"/>
      <c r="V495" s="89"/>
      <c r="W495" s="96">
        <v>0</v>
      </c>
      <c r="X495" s="71">
        <f>CU495</f>
        <v>0</v>
      </c>
      <c r="Y495" s="71">
        <f>CY495</f>
        <v>0</v>
      </c>
      <c r="Z495" s="71">
        <f>DA495+DC495+DE495</f>
        <v>0</v>
      </c>
      <c r="AA495" s="71">
        <f>CW495</f>
        <v>0</v>
      </c>
      <c r="AB495" s="71"/>
      <c r="AC495" s="71">
        <v>0</v>
      </c>
      <c r="AD495" s="71">
        <f>W495+X495+Y495+Z495+AA495+AB495+AC495</f>
        <v>0</v>
      </c>
      <c r="AE495" s="72">
        <v>0</v>
      </c>
      <c r="AF495" s="5"/>
      <c r="AG495" s="6"/>
      <c r="AH495" s="27" t="s">
        <v>3392</v>
      </c>
      <c r="AI495" s="44" t="s">
        <v>3393</v>
      </c>
      <c r="AJ495" s="26"/>
      <c r="AK495" s="5"/>
      <c r="AL495" s="82" t="s">
        <v>3369</v>
      </c>
      <c r="AM495" s="76"/>
      <c r="AN495" s="76"/>
      <c r="AO495" s="76"/>
      <c r="AP495" s="76"/>
      <c r="AQ495" s="76"/>
      <c r="AR495" s="76"/>
      <c r="AS495" s="76"/>
      <c r="AT495" s="76"/>
      <c r="AU495" s="76"/>
      <c r="AV495" s="76"/>
      <c r="AW495" s="76"/>
      <c r="AX495" s="76">
        <f>+AW495*600000</f>
        <v>0</v>
      </c>
      <c r="AY495" s="76"/>
      <c r="AZ495" s="76">
        <f>+AY495*70000</f>
        <v>0</v>
      </c>
      <c r="BA495" s="76"/>
      <c r="BB495" s="76"/>
      <c r="BC495" s="76"/>
      <c r="BD495" s="76">
        <f>+BC495*30000</f>
        <v>0</v>
      </c>
      <c r="BE495" s="76"/>
      <c r="BF495" s="76"/>
      <c r="BG495" s="76"/>
      <c r="BH495" s="76"/>
      <c r="BI495" s="76"/>
      <c r="BJ495" s="76"/>
      <c r="BK495" s="76"/>
      <c r="BL495" s="76">
        <f>+BK495*31500</f>
        <v>0</v>
      </c>
      <c r="BM495" s="76"/>
      <c r="BN495" s="76"/>
      <c r="BO495" s="76"/>
      <c r="BP495" s="76"/>
      <c r="BQ495" s="76"/>
      <c r="BR495" s="76"/>
      <c r="BS495" s="76"/>
      <c r="BT495" s="76"/>
      <c r="BU495" s="76"/>
      <c r="BV495" s="76"/>
      <c r="BW495" s="76"/>
      <c r="BX495" s="76"/>
      <c r="BY495" s="76"/>
      <c r="BZ495" s="76"/>
      <c r="CA495" s="76"/>
      <c r="CB495" s="76"/>
      <c r="CC495" s="76"/>
      <c r="CD495" s="76"/>
      <c r="CE495" s="76"/>
      <c r="CF495" s="76">
        <f>+CE495*28000</f>
        <v>0</v>
      </c>
      <c r="CG495" s="76"/>
      <c r="CH495" s="76">
        <f>+CG495*22500</f>
        <v>0</v>
      </c>
      <c r="CI495" s="76"/>
      <c r="CJ495" s="76">
        <f>+CI495*26000</f>
        <v>0</v>
      </c>
      <c r="CK495" s="76"/>
      <c r="CL495" s="76"/>
      <c r="CM495" s="76"/>
      <c r="CN495" s="76">
        <f>+CM495*22000</f>
        <v>0</v>
      </c>
      <c r="CO495" s="76"/>
      <c r="CP495" s="76">
        <f>+CO495*46000</f>
        <v>0</v>
      </c>
      <c r="CQ495" s="76"/>
      <c r="CR495" s="76">
        <f>+CQ495*49000</f>
        <v>0</v>
      </c>
      <c r="CS495" s="76"/>
      <c r="CT495" s="76"/>
      <c r="CU495" s="56">
        <f>AN495+AP495+AR495+AT495+AV495+AX495+AZ495+BB495+BD495+BF495+BH495+BJ495+BL495+BN495+BP495+BR495+BT495+BV495+BX495+BZ495+CB495+CD495+CF495+CH495+CJ495+CL495+CN495+CP495+CR495+CT495</f>
        <v>0</v>
      </c>
      <c r="CV495" s="76"/>
      <c r="CW495" s="76">
        <f>+CV495*1100</f>
        <v>0</v>
      </c>
      <c r="CX495" s="76"/>
      <c r="CY495" s="76">
        <f>+CX495*106250</f>
        <v>0</v>
      </c>
      <c r="CZ495" s="76"/>
      <c r="DA495" s="76">
        <f>+CZ495*34500</f>
        <v>0</v>
      </c>
      <c r="DB495" s="76"/>
      <c r="DC495" s="76">
        <f>+DB495*25000</f>
        <v>0</v>
      </c>
      <c r="DD495" s="219"/>
      <c r="DE495" s="219"/>
      <c r="DF495" s="166"/>
      <c r="DG495" s="116"/>
      <c r="DH495" s="117"/>
      <c r="DI495" s="24"/>
      <c r="DJ495" s="24"/>
      <c r="DK495" s="24"/>
      <c r="DL495" s="24"/>
      <c r="DM495" s="24"/>
      <c r="DN495" s="24"/>
      <c r="DO495" s="24"/>
      <c r="DP495" s="24"/>
      <c r="DQ495" s="24"/>
      <c r="DR495" s="24"/>
      <c r="DS495" s="24"/>
      <c r="DT495" s="24"/>
      <c r="DU495" s="24"/>
    </row>
    <row r="496" spans="1:125" s="8" customFormat="1" ht="72" x14ac:dyDescent="0.2">
      <c r="A496" s="77">
        <v>41305</v>
      </c>
      <c r="B496" s="225" t="s">
        <v>2847</v>
      </c>
      <c r="C496" s="227" t="s">
        <v>2165</v>
      </c>
      <c r="D496" s="81" t="s">
        <v>2846</v>
      </c>
      <c r="E496" s="75" t="str">
        <f>VLOOKUP(B496&amp;C496,Divipola!$C$2:$F$1138,4,FALSE)</f>
        <v>68655</v>
      </c>
      <c r="F496" s="87"/>
      <c r="G496" s="87"/>
      <c r="H496" s="87"/>
      <c r="I496" s="87"/>
      <c r="J496" s="87"/>
      <c r="K496" s="87"/>
      <c r="L496" s="87"/>
      <c r="M496" s="87"/>
      <c r="N496" s="87"/>
      <c r="O496" s="87"/>
      <c r="P496" s="87"/>
      <c r="Q496" s="87"/>
      <c r="R496" s="87"/>
      <c r="S496" s="87"/>
      <c r="T496" s="87"/>
      <c r="U496" s="88">
        <v>1</v>
      </c>
      <c r="V496" s="89"/>
      <c r="W496" s="96">
        <v>0</v>
      </c>
      <c r="X496" s="71">
        <f>CU496</f>
        <v>0</v>
      </c>
      <c r="Y496" s="71">
        <f>CY496</f>
        <v>0</v>
      </c>
      <c r="Z496" s="71">
        <f>DA496+DC496+DE496</f>
        <v>0</v>
      </c>
      <c r="AA496" s="71">
        <f>CW496</f>
        <v>0</v>
      </c>
      <c r="AB496" s="71"/>
      <c r="AC496" s="71">
        <v>0</v>
      </c>
      <c r="AD496" s="71">
        <f>W496+X496+Y496+Z496+AA496+AB496+AC496</f>
        <v>0</v>
      </c>
      <c r="AE496" s="72">
        <v>0</v>
      </c>
      <c r="AF496" s="5"/>
      <c r="AG496" s="6"/>
      <c r="AH496" s="27" t="s">
        <v>3392</v>
      </c>
      <c r="AI496" s="44" t="s">
        <v>3393</v>
      </c>
      <c r="AJ496" s="26"/>
      <c r="AK496" s="5"/>
      <c r="AL496" s="82" t="s">
        <v>3325</v>
      </c>
      <c r="AM496" s="76"/>
      <c r="AN496" s="76"/>
      <c r="AO496" s="76"/>
      <c r="AP496" s="76"/>
      <c r="AQ496" s="76"/>
      <c r="AR496" s="76"/>
      <c r="AS496" s="76"/>
      <c r="AT496" s="76"/>
      <c r="AU496" s="76"/>
      <c r="AV496" s="76"/>
      <c r="AW496" s="76"/>
      <c r="AX496" s="76">
        <f>+AW496*600000</f>
        <v>0</v>
      </c>
      <c r="AY496" s="76"/>
      <c r="AZ496" s="76">
        <f>+AY496*70000</f>
        <v>0</v>
      </c>
      <c r="BA496" s="76"/>
      <c r="BB496" s="76"/>
      <c r="BC496" s="76"/>
      <c r="BD496" s="76">
        <f>+BC496*30000</f>
        <v>0</v>
      </c>
      <c r="BE496" s="76"/>
      <c r="BF496" s="76"/>
      <c r="BG496" s="76"/>
      <c r="BH496" s="76"/>
      <c r="BI496" s="76"/>
      <c r="BJ496" s="76"/>
      <c r="BK496" s="76"/>
      <c r="BL496" s="76">
        <f>+BK496*31500</f>
        <v>0</v>
      </c>
      <c r="BM496" s="76"/>
      <c r="BN496" s="76"/>
      <c r="BO496" s="76"/>
      <c r="BP496" s="76"/>
      <c r="BQ496" s="76"/>
      <c r="BR496" s="76"/>
      <c r="BS496" s="76"/>
      <c r="BT496" s="76"/>
      <c r="BU496" s="76"/>
      <c r="BV496" s="76"/>
      <c r="BW496" s="76"/>
      <c r="BX496" s="76"/>
      <c r="BY496" s="76"/>
      <c r="BZ496" s="76"/>
      <c r="CA496" s="76"/>
      <c r="CB496" s="76"/>
      <c r="CC496" s="76"/>
      <c r="CD496" s="76"/>
      <c r="CE496" s="76"/>
      <c r="CF496" s="76">
        <f>+CE496*28000</f>
        <v>0</v>
      </c>
      <c r="CG496" s="76"/>
      <c r="CH496" s="76">
        <f>+CG496*22500</f>
        <v>0</v>
      </c>
      <c r="CI496" s="76"/>
      <c r="CJ496" s="76">
        <f>+CI496*26000</f>
        <v>0</v>
      </c>
      <c r="CK496" s="76"/>
      <c r="CL496" s="76"/>
      <c r="CM496" s="76"/>
      <c r="CN496" s="76">
        <f>+CM496*22000</f>
        <v>0</v>
      </c>
      <c r="CO496" s="76"/>
      <c r="CP496" s="76">
        <f>+CO496*46000</f>
        <v>0</v>
      </c>
      <c r="CQ496" s="76"/>
      <c r="CR496" s="76">
        <f>+CQ496*49000</f>
        <v>0</v>
      </c>
      <c r="CS496" s="76"/>
      <c r="CT496" s="76"/>
      <c r="CU496" s="56">
        <f>AN496+AP496+AR496+AT496+AV496+AX496+AZ496+BB496+BD496+BF496+BH496+BJ496+BL496+BN496+BP496+BR496+BT496+BV496+BX496+BZ496+CB496+CD496+CF496+CH496+CJ496+CL496+CN496+CP496+CR496+CT496</f>
        <v>0</v>
      </c>
      <c r="CV496" s="76"/>
      <c r="CW496" s="76">
        <f>+CV496*1100</f>
        <v>0</v>
      </c>
      <c r="CX496" s="76"/>
      <c r="CY496" s="76">
        <f>+CX496*106250</f>
        <v>0</v>
      </c>
      <c r="CZ496" s="76"/>
      <c r="DA496" s="76">
        <f>+CZ496*34500</f>
        <v>0</v>
      </c>
      <c r="DB496" s="76"/>
      <c r="DC496" s="76">
        <f>+DB496*25000</f>
        <v>0</v>
      </c>
      <c r="DD496" s="219"/>
      <c r="DE496" s="219"/>
      <c r="DF496" s="166"/>
      <c r="DG496" s="116"/>
      <c r="DH496" s="117"/>
      <c r="DI496" s="24"/>
      <c r="DJ496" s="24"/>
      <c r="DK496" s="24"/>
      <c r="DL496" s="24"/>
      <c r="DM496" s="24"/>
      <c r="DN496" s="24"/>
      <c r="DO496" s="24"/>
      <c r="DP496" s="24"/>
      <c r="DQ496" s="24"/>
      <c r="DR496" s="24"/>
      <c r="DS496" s="24"/>
      <c r="DT496" s="24"/>
      <c r="DU496" s="24"/>
    </row>
    <row r="497" spans="1:125" s="8" customFormat="1" ht="60" x14ac:dyDescent="0.2">
      <c r="A497" s="77">
        <v>41306</v>
      </c>
      <c r="B497" s="352" t="s">
        <v>2881</v>
      </c>
      <c r="C497" s="354" t="s">
        <v>1413</v>
      </c>
      <c r="D497" s="354" t="s">
        <v>2882</v>
      </c>
      <c r="E497" s="75" t="str">
        <f>VLOOKUP(B497&amp;C497,Divipola!$C$2:$F$1138,4,FALSE)</f>
        <v>08433</v>
      </c>
      <c r="F497" s="100"/>
      <c r="G497" s="100"/>
      <c r="H497" s="100"/>
      <c r="I497" s="100"/>
      <c r="J497" s="100"/>
      <c r="K497" s="100"/>
      <c r="L497" s="100"/>
      <c r="M497" s="100"/>
      <c r="N497" s="100"/>
      <c r="O497" s="100"/>
      <c r="P497" s="100"/>
      <c r="Q497" s="100"/>
      <c r="R497" s="100"/>
      <c r="S497" s="100">
        <v>1</v>
      </c>
      <c r="T497" s="100"/>
      <c r="U497" s="136"/>
      <c r="V497" s="89"/>
      <c r="W497" s="96">
        <v>0</v>
      </c>
      <c r="X497" s="71">
        <f>CU497</f>
        <v>0</v>
      </c>
      <c r="Y497" s="71">
        <f>CY497</f>
        <v>0</v>
      </c>
      <c r="Z497" s="71">
        <f>DA497+DC497+DE497</f>
        <v>0</v>
      </c>
      <c r="AA497" s="71">
        <f>CW497</f>
        <v>0</v>
      </c>
      <c r="AB497" s="71"/>
      <c r="AC497" s="71">
        <v>0</v>
      </c>
      <c r="AD497" s="71">
        <f>W497+X497+Y497+Z497+AA497+AB497+AC497</f>
        <v>0</v>
      </c>
      <c r="AE497" s="72">
        <v>0</v>
      </c>
      <c r="AF497" s="5"/>
      <c r="AG497" s="6"/>
      <c r="AH497" s="27" t="s">
        <v>3392</v>
      </c>
      <c r="AI497" s="44" t="s">
        <v>3393</v>
      </c>
      <c r="AJ497" s="26"/>
      <c r="AK497" s="5"/>
      <c r="AL497" s="82" t="s">
        <v>3349</v>
      </c>
      <c r="AM497" s="76"/>
      <c r="AN497" s="76"/>
      <c r="AO497" s="76"/>
      <c r="AP497" s="76"/>
      <c r="AQ497" s="76"/>
      <c r="AR497" s="76"/>
      <c r="AS497" s="76"/>
      <c r="AT497" s="76"/>
      <c r="AU497" s="76"/>
      <c r="AV497" s="76"/>
      <c r="AW497" s="76"/>
      <c r="AX497" s="76">
        <f>+AW497*600000</f>
        <v>0</v>
      </c>
      <c r="AY497" s="76"/>
      <c r="AZ497" s="76">
        <f>+AY497*70000</f>
        <v>0</v>
      </c>
      <c r="BA497" s="76"/>
      <c r="BB497" s="76"/>
      <c r="BC497" s="76"/>
      <c r="BD497" s="76">
        <f>+BC497*30000</f>
        <v>0</v>
      </c>
      <c r="BE497" s="76"/>
      <c r="BF497" s="76"/>
      <c r="BG497" s="76"/>
      <c r="BH497" s="76"/>
      <c r="BI497" s="76"/>
      <c r="BJ497" s="76"/>
      <c r="BK497" s="76"/>
      <c r="BL497" s="76">
        <f>+BK497*31500</f>
        <v>0</v>
      </c>
      <c r="BM497" s="76"/>
      <c r="BN497" s="76"/>
      <c r="BO497" s="76"/>
      <c r="BP497" s="76"/>
      <c r="BQ497" s="76"/>
      <c r="BR497" s="76"/>
      <c r="BS497" s="76"/>
      <c r="BT497" s="76"/>
      <c r="BU497" s="76"/>
      <c r="BV497" s="76"/>
      <c r="BW497" s="76"/>
      <c r="BX497" s="76"/>
      <c r="BY497" s="76"/>
      <c r="BZ497" s="76"/>
      <c r="CA497" s="76"/>
      <c r="CB497" s="76"/>
      <c r="CC497" s="76"/>
      <c r="CD497" s="76"/>
      <c r="CE497" s="76"/>
      <c r="CF497" s="76">
        <f>+CE497*28000</f>
        <v>0</v>
      </c>
      <c r="CG497" s="76"/>
      <c r="CH497" s="76">
        <f>+CG497*22500</f>
        <v>0</v>
      </c>
      <c r="CI497" s="76"/>
      <c r="CJ497" s="76">
        <f>+CI497*26000</f>
        <v>0</v>
      </c>
      <c r="CK497" s="76"/>
      <c r="CL497" s="76"/>
      <c r="CM497" s="76"/>
      <c r="CN497" s="76">
        <f>+CM497*22000</f>
        <v>0</v>
      </c>
      <c r="CO497" s="76"/>
      <c r="CP497" s="76">
        <f>+CO497*46000</f>
        <v>0</v>
      </c>
      <c r="CQ497" s="76"/>
      <c r="CR497" s="76">
        <f>+CQ497*49000</f>
        <v>0</v>
      </c>
      <c r="CS497" s="76"/>
      <c r="CT497" s="76"/>
      <c r="CU497" s="56">
        <f>AN497+AP497+AR497+AT497+AV497+AX497+AZ497+BB497+BD497+BF497+BH497+BJ497+BL497+BN497+BP497+BR497+BT497+BV497+BX497+BZ497+CB497+CD497+CF497+CH497+CJ497+CL497+CN497+CP497+CR497+CT497</f>
        <v>0</v>
      </c>
      <c r="CV497" s="76"/>
      <c r="CW497" s="76">
        <f>+CV497*1100</f>
        <v>0</v>
      </c>
      <c r="CX497" s="76"/>
      <c r="CY497" s="76">
        <f>+CX497*106250</f>
        <v>0</v>
      </c>
      <c r="CZ497" s="76"/>
      <c r="DA497" s="76">
        <f>+CZ497*34500</f>
        <v>0</v>
      </c>
      <c r="DB497" s="76"/>
      <c r="DC497" s="76">
        <f>+DB497*25000</f>
        <v>0</v>
      </c>
      <c r="DD497" s="219"/>
      <c r="DE497" s="219"/>
      <c r="DF497" s="164"/>
      <c r="DG497" s="116"/>
      <c r="DH497" s="117"/>
      <c r="DI497" s="24"/>
      <c r="DJ497" s="24"/>
      <c r="DK497" s="24"/>
      <c r="DL497" s="24"/>
      <c r="DM497" s="24"/>
      <c r="DN497" s="24"/>
      <c r="DO497" s="24"/>
      <c r="DP497" s="24"/>
      <c r="DQ497" s="24"/>
      <c r="DR497" s="24"/>
      <c r="DS497" s="24"/>
      <c r="DT497" s="24"/>
      <c r="DU497" s="24"/>
    </row>
    <row r="498" spans="1:125" s="8" customFormat="1" ht="48" x14ac:dyDescent="0.2">
      <c r="A498" s="77">
        <v>41306</v>
      </c>
      <c r="B498" s="78" t="s">
        <v>2700</v>
      </c>
      <c r="C498" s="75" t="s">
        <v>1564</v>
      </c>
      <c r="D498" s="81" t="s">
        <v>2846</v>
      </c>
      <c r="E498" s="75" t="str">
        <f>VLOOKUP(B498&amp;C498,Divipola!$C$2:$F$1138,4,FALSE)</f>
        <v>15047</v>
      </c>
      <c r="F498" s="87"/>
      <c r="G498" s="87"/>
      <c r="H498" s="87"/>
      <c r="I498" s="87"/>
      <c r="J498" s="87"/>
      <c r="K498" s="87"/>
      <c r="L498" s="87"/>
      <c r="M498" s="87"/>
      <c r="N498" s="87"/>
      <c r="O498" s="87"/>
      <c r="P498" s="87"/>
      <c r="Q498" s="87"/>
      <c r="R498" s="87"/>
      <c r="S498" s="87"/>
      <c r="T498" s="87"/>
      <c r="U498" s="88">
        <v>2</v>
      </c>
      <c r="V498" s="89"/>
      <c r="W498" s="96">
        <v>0</v>
      </c>
      <c r="X498" s="71">
        <f>CU498</f>
        <v>0</v>
      </c>
      <c r="Y498" s="71">
        <f>CY498</f>
        <v>0</v>
      </c>
      <c r="Z498" s="71">
        <f>DA498+DC498+DE498</f>
        <v>0</v>
      </c>
      <c r="AA498" s="71">
        <f>CW498</f>
        <v>0</v>
      </c>
      <c r="AB498" s="71"/>
      <c r="AC498" s="71">
        <v>0</v>
      </c>
      <c r="AD498" s="71">
        <f>W498+X498+Y498+Z498+AA498+AB498+AC498</f>
        <v>0</v>
      </c>
      <c r="AE498" s="72">
        <v>0</v>
      </c>
      <c r="AF498" s="5"/>
      <c r="AG498" s="6"/>
      <c r="AH498" s="27" t="s">
        <v>3392</v>
      </c>
      <c r="AI498" s="44" t="s">
        <v>3393</v>
      </c>
      <c r="AJ498" s="26"/>
      <c r="AK498" s="5"/>
      <c r="AL498" s="82" t="s">
        <v>3356</v>
      </c>
      <c r="AM498" s="76"/>
      <c r="AN498" s="76"/>
      <c r="AO498" s="76"/>
      <c r="AP498" s="76"/>
      <c r="AQ498" s="76"/>
      <c r="AR498" s="76"/>
      <c r="AS498" s="76"/>
      <c r="AT498" s="76"/>
      <c r="AU498" s="76"/>
      <c r="AV498" s="76"/>
      <c r="AW498" s="76"/>
      <c r="AX498" s="76">
        <f>+AW498*600000</f>
        <v>0</v>
      </c>
      <c r="AY498" s="76"/>
      <c r="AZ498" s="76">
        <f>+AY498*70000</f>
        <v>0</v>
      </c>
      <c r="BA498" s="76"/>
      <c r="BB498" s="76"/>
      <c r="BC498" s="76"/>
      <c r="BD498" s="76">
        <f>+BC498*30000</f>
        <v>0</v>
      </c>
      <c r="BE498" s="76"/>
      <c r="BF498" s="76"/>
      <c r="BG498" s="76"/>
      <c r="BH498" s="76"/>
      <c r="BI498" s="76"/>
      <c r="BJ498" s="76"/>
      <c r="BK498" s="76"/>
      <c r="BL498" s="76">
        <f>+BK498*31500</f>
        <v>0</v>
      </c>
      <c r="BM498" s="76"/>
      <c r="BN498" s="76"/>
      <c r="BO498" s="76"/>
      <c r="BP498" s="76"/>
      <c r="BQ498" s="76"/>
      <c r="BR498" s="76"/>
      <c r="BS498" s="76"/>
      <c r="BT498" s="76"/>
      <c r="BU498" s="76"/>
      <c r="BV498" s="76"/>
      <c r="BW498" s="76"/>
      <c r="BX498" s="76"/>
      <c r="BY498" s="76"/>
      <c r="BZ498" s="76"/>
      <c r="CA498" s="76"/>
      <c r="CB498" s="76"/>
      <c r="CC498" s="76"/>
      <c r="CD498" s="76"/>
      <c r="CE498" s="76"/>
      <c r="CF498" s="76">
        <f>+CE498*28000</f>
        <v>0</v>
      </c>
      <c r="CG498" s="76"/>
      <c r="CH498" s="76">
        <f>+CG498*22500</f>
        <v>0</v>
      </c>
      <c r="CI498" s="76"/>
      <c r="CJ498" s="76">
        <f>+CI498*26000</f>
        <v>0</v>
      </c>
      <c r="CK498" s="76"/>
      <c r="CL498" s="76"/>
      <c r="CM498" s="76"/>
      <c r="CN498" s="76">
        <f>+CM498*22000</f>
        <v>0</v>
      </c>
      <c r="CO498" s="76"/>
      <c r="CP498" s="76">
        <f>+CO498*46000</f>
        <v>0</v>
      </c>
      <c r="CQ498" s="76"/>
      <c r="CR498" s="76">
        <f>+CQ498*49000</f>
        <v>0</v>
      </c>
      <c r="CS498" s="76"/>
      <c r="CT498" s="76"/>
      <c r="CU498" s="56">
        <f>AN498+AP498+AR498+AT498+AV498+AX498+AZ498+BB498+BD498+BF498+BH498+BJ498+BL498+BN498+BP498+BR498+BT498+BV498+BX498+BZ498+CB498+CD498+CF498+CH498+CJ498+CL498+CN498+CP498+CR498+CT498</f>
        <v>0</v>
      </c>
      <c r="CV498" s="76"/>
      <c r="CW498" s="76">
        <f>+CV498*1100</f>
        <v>0</v>
      </c>
      <c r="CX498" s="76"/>
      <c r="CY498" s="76">
        <f>+CX498*106250</f>
        <v>0</v>
      </c>
      <c r="CZ498" s="76"/>
      <c r="DA498" s="76">
        <f>+CZ498*34500</f>
        <v>0</v>
      </c>
      <c r="DB498" s="76"/>
      <c r="DC498" s="76">
        <f>+DB498*25000</f>
        <v>0</v>
      </c>
      <c r="DD498" s="219"/>
      <c r="DE498" s="219"/>
      <c r="DF498" s="164"/>
      <c r="DG498" s="116"/>
      <c r="DH498" s="117"/>
      <c r="DI498" s="24"/>
      <c r="DJ498" s="24"/>
      <c r="DK498" s="24"/>
      <c r="DL498" s="24"/>
      <c r="DM498" s="24"/>
      <c r="DN498" s="24"/>
      <c r="DO498" s="24"/>
      <c r="DP498" s="24"/>
      <c r="DQ498" s="24"/>
      <c r="DR498" s="24"/>
      <c r="DS498" s="24"/>
      <c r="DT498" s="24"/>
      <c r="DU498" s="24"/>
    </row>
    <row r="499" spans="1:125" s="8" customFormat="1" ht="48" x14ac:dyDescent="0.2">
      <c r="A499" s="77">
        <v>41306</v>
      </c>
      <c r="B499" s="78" t="s">
        <v>2700</v>
      </c>
      <c r="C499" s="75" t="s">
        <v>1375</v>
      </c>
      <c r="D499" s="81" t="s">
        <v>2846</v>
      </c>
      <c r="E499" s="75" t="str">
        <f>VLOOKUP(B499&amp;C499,Divipola!$C$2:$F$1138,4,FALSE)</f>
        <v>15759</v>
      </c>
      <c r="F499" s="87"/>
      <c r="G499" s="87"/>
      <c r="H499" s="87"/>
      <c r="I499" s="87"/>
      <c r="J499" s="87"/>
      <c r="K499" s="87"/>
      <c r="L499" s="87"/>
      <c r="M499" s="87"/>
      <c r="N499" s="87"/>
      <c r="O499" s="87"/>
      <c r="P499" s="87"/>
      <c r="Q499" s="87"/>
      <c r="R499" s="87"/>
      <c r="S499" s="87"/>
      <c r="T499" s="87"/>
      <c r="U499" s="88">
        <v>1</v>
      </c>
      <c r="V499" s="89"/>
      <c r="W499" s="96">
        <v>0</v>
      </c>
      <c r="X499" s="71">
        <f>CU499</f>
        <v>0</v>
      </c>
      <c r="Y499" s="71">
        <f>CY499</f>
        <v>0</v>
      </c>
      <c r="Z499" s="71">
        <f>DA499+DC499+DE499</f>
        <v>0</v>
      </c>
      <c r="AA499" s="71">
        <f>CW499</f>
        <v>0</v>
      </c>
      <c r="AB499" s="71"/>
      <c r="AC499" s="71">
        <v>0</v>
      </c>
      <c r="AD499" s="71">
        <f>W499+X499+Y499+Z499+AA499+AB499+AC499</f>
        <v>0</v>
      </c>
      <c r="AE499" s="72">
        <v>0</v>
      </c>
      <c r="AF499" s="5"/>
      <c r="AG499" s="6"/>
      <c r="AH499" s="27" t="s">
        <v>3392</v>
      </c>
      <c r="AI499" s="44" t="s">
        <v>3393</v>
      </c>
      <c r="AJ499" s="26"/>
      <c r="AK499" s="5"/>
      <c r="AL499" s="82" t="s">
        <v>3357</v>
      </c>
      <c r="AM499" s="76"/>
      <c r="AN499" s="76"/>
      <c r="AO499" s="76"/>
      <c r="AP499" s="76"/>
      <c r="AQ499" s="76"/>
      <c r="AR499" s="76"/>
      <c r="AS499" s="76"/>
      <c r="AT499" s="76"/>
      <c r="AU499" s="76"/>
      <c r="AV499" s="76"/>
      <c r="AW499" s="76"/>
      <c r="AX499" s="76">
        <f>+AW499*600000</f>
        <v>0</v>
      </c>
      <c r="AY499" s="76"/>
      <c r="AZ499" s="76">
        <f>+AY499*70000</f>
        <v>0</v>
      </c>
      <c r="BA499" s="76"/>
      <c r="BB499" s="76"/>
      <c r="BC499" s="76"/>
      <c r="BD499" s="76">
        <f>+BC499*30000</f>
        <v>0</v>
      </c>
      <c r="BE499" s="76"/>
      <c r="BF499" s="76"/>
      <c r="BG499" s="76"/>
      <c r="BH499" s="76"/>
      <c r="BI499" s="76"/>
      <c r="BJ499" s="76"/>
      <c r="BK499" s="76"/>
      <c r="BL499" s="76">
        <f>+BK499*31500</f>
        <v>0</v>
      </c>
      <c r="BM499" s="76"/>
      <c r="BN499" s="76"/>
      <c r="BO499" s="76"/>
      <c r="BP499" s="76"/>
      <c r="BQ499" s="76"/>
      <c r="BR499" s="76"/>
      <c r="BS499" s="76"/>
      <c r="BT499" s="76"/>
      <c r="BU499" s="76"/>
      <c r="BV499" s="76"/>
      <c r="BW499" s="76"/>
      <c r="BX499" s="76"/>
      <c r="BY499" s="76"/>
      <c r="BZ499" s="76"/>
      <c r="CA499" s="76"/>
      <c r="CB499" s="76"/>
      <c r="CC499" s="76"/>
      <c r="CD499" s="76"/>
      <c r="CE499" s="76"/>
      <c r="CF499" s="76">
        <f>+CE499*28000</f>
        <v>0</v>
      </c>
      <c r="CG499" s="76"/>
      <c r="CH499" s="76">
        <f>+CG499*22500</f>
        <v>0</v>
      </c>
      <c r="CI499" s="76"/>
      <c r="CJ499" s="76">
        <f>+CI499*26000</f>
        <v>0</v>
      </c>
      <c r="CK499" s="76"/>
      <c r="CL499" s="76"/>
      <c r="CM499" s="76"/>
      <c r="CN499" s="76">
        <f>+CM499*22000</f>
        <v>0</v>
      </c>
      <c r="CO499" s="76"/>
      <c r="CP499" s="76">
        <f>+CO499*46000</f>
        <v>0</v>
      </c>
      <c r="CQ499" s="76"/>
      <c r="CR499" s="76">
        <f>+CQ499*49000</f>
        <v>0</v>
      </c>
      <c r="CS499" s="76"/>
      <c r="CT499" s="76"/>
      <c r="CU499" s="56">
        <f>AN499+AP499+AR499+AT499+AV499+AX499+AZ499+BB499+BD499+BF499+BH499+BJ499+BL499+BN499+BP499+BR499+BT499+BV499+BX499+BZ499+CB499+CD499+CF499+CH499+CJ499+CL499+CN499+CP499+CR499+CT499</f>
        <v>0</v>
      </c>
      <c r="CV499" s="76"/>
      <c r="CW499" s="76">
        <f>+CV499*1100</f>
        <v>0</v>
      </c>
      <c r="CX499" s="76"/>
      <c r="CY499" s="76">
        <f>+CX499*106250</f>
        <v>0</v>
      </c>
      <c r="CZ499" s="76"/>
      <c r="DA499" s="76">
        <f>+CZ499*34500</f>
        <v>0</v>
      </c>
      <c r="DB499" s="76"/>
      <c r="DC499" s="76">
        <f>+DB499*25000</f>
        <v>0</v>
      </c>
      <c r="DD499" s="219"/>
      <c r="DE499" s="219"/>
      <c r="DF499" s="164"/>
      <c r="DG499" s="116"/>
      <c r="DH499" s="117"/>
      <c r="DI499" s="24"/>
      <c r="DJ499" s="24"/>
      <c r="DK499" s="24"/>
      <c r="DL499" s="24"/>
      <c r="DM499" s="24"/>
      <c r="DN499" s="24"/>
      <c r="DO499" s="24"/>
      <c r="DP499" s="24"/>
      <c r="DQ499" s="24"/>
      <c r="DR499" s="24"/>
      <c r="DS499" s="24"/>
      <c r="DT499" s="24"/>
      <c r="DU499" s="24"/>
    </row>
    <row r="500" spans="1:125" s="8" customFormat="1" ht="48" x14ac:dyDescent="0.2">
      <c r="A500" s="77">
        <v>41306</v>
      </c>
      <c r="B500" s="225" t="s">
        <v>2778</v>
      </c>
      <c r="C500" s="227" t="s">
        <v>1343</v>
      </c>
      <c r="D500" s="81" t="s">
        <v>2846</v>
      </c>
      <c r="E500" s="75" t="str">
        <f>VLOOKUP(B500&amp;C500,Divipola!$C$2:$F$1138,4,FALSE)</f>
        <v>85139</v>
      </c>
      <c r="F500" s="100"/>
      <c r="G500" s="100"/>
      <c r="H500" s="100"/>
      <c r="I500" s="100"/>
      <c r="J500" s="100"/>
      <c r="K500" s="100"/>
      <c r="L500" s="100"/>
      <c r="M500" s="100"/>
      <c r="N500" s="100"/>
      <c r="O500" s="100"/>
      <c r="P500" s="100"/>
      <c r="Q500" s="100"/>
      <c r="R500" s="100"/>
      <c r="S500" s="100"/>
      <c r="T500" s="100"/>
      <c r="U500" s="136">
        <v>1</v>
      </c>
      <c r="V500" s="89"/>
      <c r="W500" s="96">
        <v>0</v>
      </c>
      <c r="X500" s="71">
        <f>CU500</f>
        <v>0</v>
      </c>
      <c r="Y500" s="71">
        <f>CY500</f>
        <v>0</v>
      </c>
      <c r="Z500" s="71">
        <f>DA500+DC500+DE500</f>
        <v>0</v>
      </c>
      <c r="AA500" s="71">
        <f>CW500</f>
        <v>0</v>
      </c>
      <c r="AB500" s="71"/>
      <c r="AC500" s="71">
        <v>0</v>
      </c>
      <c r="AD500" s="71">
        <f>W500+X500+Y500+Z500+AA500+AB500+AC500</f>
        <v>0</v>
      </c>
      <c r="AE500" s="72">
        <v>0</v>
      </c>
      <c r="AF500" s="5"/>
      <c r="AG500" s="6"/>
      <c r="AH500" s="27" t="s">
        <v>3392</v>
      </c>
      <c r="AI500" s="44" t="s">
        <v>3393</v>
      </c>
      <c r="AJ500" s="26"/>
      <c r="AK500" s="5"/>
      <c r="AL500" s="82" t="s">
        <v>3674</v>
      </c>
      <c r="AM500" s="76"/>
      <c r="AN500" s="76"/>
      <c r="AO500" s="76"/>
      <c r="AP500" s="76"/>
      <c r="AQ500" s="76"/>
      <c r="AR500" s="76"/>
      <c r="AS500" s="76"/>
      <c r="AT500" s="76"/>
      <c r="AU500" s="76"/>
      <c r="AV500" s="76"/>
      <c r="AW500" s="76"/>
      <c r="AX500" s="76">
        <f>+AW500*600000</f>
        <v>0</v>
      </c>
      <c r="AY500" s="76"/>
      <c r="AZ500" s="76">
        <f>+AY500*70000</f>
        <v>0</v>
      </c>
      <c r="BA500" s="76"/>
      <c r="BB500" s="76"/>
      <c r="BC500" s="76"/>
      <c r="BD500" s="76">
        <f>+BC500*30000</f>
        <v>0</v>
      </c>
      <c r="BE500" s="76"/>
      <c r="BF500" s="76"/>
      <c r="BG500" s="76"/>
      <c r="BH500" s="76"/>
      <c r="BI500" s="76"/>
      <c r="BJ500" s="76"/>
      <c r="BK500" s="76"/>
      <c r="BL500" s="76">
        <f>+BK500*31500</f>
        <v>0</v>
      </c>
      <c r="BM500" s="76"/>
      <c r="BN500" s="76"/>
      <c r="BO500" s="76"/>
      <c r="BP500" s="76"/>
      <c r="BQ500" s="76"/>
      <c r="BR500" s="76"/>
      <c r="BS500" s="76"/>
      <c r="BT500" s="76"/>
      <c r="BU500" s="76"/>
      <c r="BV500" s="76"/>
      <c r="BW500" s="76"/>
      <c r="BX500" s="76"/>
      <c r="BY500" s="76"/>
      <c r="BZ500" s="76"/>
      <c r="CA500" s="76"/>
      <c r="CB500" s="76"/>
      <c r="CC500" s="76"/>
      <c r="CD500" s="76"/>
      <c r="CE500" s="76"/>
      <c r="CF500" s="76">
        <f>+CE500*28000</f>
        <v>0</v>
      </c>
      <c r="CG500" s="76"/>
      <c r="CH500" s="76">
        <f>+CG500*22500</f>
        <v>0</v>
      </c>
      <c r="CI500" s="76"/>
      <c r="CJ500" s="76">
        <f>+CI500*26000</f>
        <v>0</v>
      </c>
      <c r="CK500" s="76"/>
      <c r="CL500" s="76"/>
      <c r="CM500" s="76"/>
      <c r="CN500" s="76">
        <f>+CM500*22000</f>
        <v>0</v>
      </c>
      <c r="CO500" s="76"/>
      <c r="CP500" s="76">
        <f>+CO500*46000</f>
        <v>0</v>
      </c>
      <c r="CQ500" s="76"/>
      <c r="CR500" s="76">
        <f>+CQ500*49000</f>
        <v>0</v>
      </c>
      <c r="CS500" s="76"/>
      <c r="CT500" s="76"/>
      <c r="CU500" s="56">
        <f>AN500+AP500+AR500+AT500+AV500+AX500+AZ500+BB500+BD500+BF500+BH500+BJ500+BL500+BN500+BP500+BR500+BT500+BV500+BX500+BZ500+CB500+CD500+CF500+CH500+CJ500+CL500+CN500+CP500+CR500+CT500</f>
        <v>0</v>
      </c>
      <c r="CV500" s="76"/>
      <c r="CW500" s="76">
        <f>+CV500*1100</f>
        <v>0</v>
      </c>
      <c r="CX500" s="76"/>
      <c r="CY500" s="76">
        <f>+CX500*106250</f>
        <v>0</v>
      </c>
      <c r="CZ500" s="76"/>
      <c r="DA500" s="76">
        <f>+CZ500*34500</f>
        <v>0</v>
      </c>
      <c r="DB500" s="76"/>
      <c r="DC500" s="76">
        <f>+DB500*25000</f>
        <v>0</v>
      </c>
      <c r="DD500" s="219"/>
      <c r="DE500" s="219"/>
      <c r="DF500" s="166"/>
      <c r="DG500" s="116"/>
      <c r="DH500" s="117"/>
      <c r="DI500" s="24"/>
      <c r="DJ500" s="24"/>
      <c r="DK500" s="24"/>
      <c r="DL500" s="24"/>
      <c r="DM500" s="24"/>
      <c r="DN500" s="24"/>
      <c r="DO500" s="24"/>
      <c r="DP500" s="24"/>
      <c r="DQ500" s="24"/>
      <c r="DR500" s="24"/>
      <c r="DS500" s="24"/>
      <c r="DT500" s="24"/>
      <c r="DU500" s="24"/>
    </row>
    <row r="501" spans="1:125" s="8" customFormat="1" ht="48" x14ac:dyDescent="0.2">
      <c r="A501" s="77">
        <v>41306</v>
      </c>
      <c r="B501" s="78" t="s">
        <v>2778</v>
      </c>
      <c r="C501" s="75" t="s">
        <v>1344</v>
      </c>
      <c r="D501" s="75" t="s">
        <v>2859</v>
      </c>
      <c r="E501" s="75" t="str">
        <f>VLOOKUP(B501&amp;C501,Divipola!$C$2:$F$1138,4,FALSE)</f>
        <v>85001</v>
      </c>
      <c r="F501" s="87"/>
      <c r="G501" s="87"/>
      <c r="H501" s="87"/>
      <c r="I501" s="87">
        <v>5</v>
      </c>
      <c r="J501" s="87">
        <v>1</v>
      </c>
      <c r="K501" s="87">
        <v>1</v>
      </c>
      <c r="L501" s="87"/>
      <c r="M501" s="87"/>
      <c r="N501" s="87"/>
      <c r="O501" s="87"/>
      <c r="P501" s="87"/>
      <c r="Q501" s="87"/>
      <c r="R501" s="87"/>
      <c r="S501" s="87"/>
      <c r="T501" s="87"/>
      <c r="U501" s="88"/>
      <c r="V501" s="89"/>
      <c r="W501" s="96">
        <v>0</v>
      </c>
      <c r="X501" s="71">
        <f>CU501</f>
        <v>0</v>
      </c>
      <c r="Y501" s="71">
        <f>CY501</f>
        <v>0</v>
      </c>
      <c r="Z501" s="71">
        <f>DA501+DC501+DE501</f>
        <v>0</v>
      </c>
      <c r="AA501" s="71">
        <f>CW501</f>
        <v>0</v>
      </c>
      <c r="AB501" s="71"/>
      <c r="AC501" s="71">
        <v>0</v>
      </c>
      <c r="AD501" s="71">
        <f>W501+X501+Y501+Z501+AA501+AB501+AC501</f>
        <v>0</v>
      </c>
      <c r="AE501" s="72">
        <v>0</v>
      </c>
      <c r="AF501" s="5"/>
      <c r="AG501" s="6"/>
      <c r="AH501" s="27" t="s">
        <v>3392</v>
      </c>
      <c r="AI501" s="44" t="s">
        <v>3393</v>
      </c>
      <c r="AJ501" s="26"/>
      <c r="AK501" s="5"/>
      <c r="AL501" s="82" t="s">
        <v>3350</v>
      </c>
      <c r="AM501" s="76"/>
      <c r="AN501" s="76"/>
      <c r="AO501" s="76"/>
      <c r="AP501" s="76"/>
      <c r="AQ501" s="76"/>
      <c r="AR501" s="76"/>
      <c r="AS501" s="76"/>
      <c r="AT501" s="76"/>
      <c r="AU501" s="76"/>
      <c r="AV501" s="76"/>
      <c r="AW501" s="76"/>
      <c r="AX501" s="76">
        <f>+AW501*600000</f>
        <v>0</v>
      </c>
      <c r="AY501" s="76"/>
      <c r="AZ501" s="76">
        <f>+AY501*70000</f>
        <v>0</v>
      </c>
      <c r="BA501" s="76"/>
      <c r="BB501" s="76"/>
      <c r="BC501" s="76"/>
      <c r="BD501" s="76">
        <f>+BC501*30000</f>
        <v>0</v>
      </c>
      <c r="BE501" s="76"/>
      <c r="BF501" s="76"/>
      <c r="BG501" s="76"/>
      <c r="BH501" s="76"/>
      <c r="BI501" s="76"/>
      <c r="BJ501" s="76"/>
      <c r="BK501" s="76"/>
      <c r="BL501" s="76">
        <f>+BK501*31500</f>
        <v>0</v>
      </c>
      <c r="BM501" s="76"/>
      <c r="BN501" s="76"/>
      <c r="BO501" s="76"/>
      <c r="BP501" s="76"/>
      <c r="BQ501" s="76"/>
      <c r="BR501" s="76"/>
      <c r="BS501" s="76"/>
      <c r="BT501" s="76"/>
      <c r="BU501" s="76"/>
      <c r="BV501" s="76"/>
      <c r="BW501" s="76"/>
      <c r="BX501" s="76"/>
      <c r="BY501" s="76"/>
      <c r="BZ501" s="76"/>
      <c r="CA501" s="76"/>
      <c r="CB501" s="76"/>
      <c r="CC501" s="76"/>
      <c r="CD501" s="76"/>
      <c r="CE501" s="76"/>
      <c r="CF501" s="76">
        <f>+CE501*28000</f>
        <v>0</v>
      </c>
      <c r="CG501" s="76"/>
      <c r="CH501" s="76">
        <f>+CG501*22500</f>
        <v>0</v>
      </c>
      <c r="CI501" s="76"/>
      <c r="CJ501" s="76">
        <f>+CI501*26000</f>
        <v>0</v>
      </c>
      <c r="CK501" s="76"/>
      <c r="CL501" s="76"/>
      <c r="CM501" s="76"/>
      <c r="CN501" s="76">
        <f>+CM501*22000</f>
        <v>0</v>
      </c>
      <c r="CO501" s="76"/>
      <c r="CP501" s="76">
        <f>+CO501*46000</f>
        <v>0</v>
      </c>
      <c r="CQ501" s="76"/>
      <c r="CR501" s="76">
        <f>+CQ501*49000</f>
        <v>0</v>
      </c>
      <c r="CS501" s="76"/>
      <c r="CT501" s="76"/>
      <c r="CU501" s="56">
        <f>AN501+AP501+AR501+AT501+AV501+AX501+AZ501+BB501+BD501+BF501+BH501+BJ501+BL501+BN501+BP501+BR501+BT501+BV501+BX501+BZ501+CB501+CD501+CF501+CH501+CJ501+CL501+CN501+CP501+CR501+CT501</f>
        <v>0</v>
      </c>
      <c r="CV501" s="76"/>
      <c r="CW501" s="76">
        <f>+CV501*1100</f>
        <v>0</v>
      </c>
      <c r="CX501" s="76"/>
      <c r="CY501" s="76">
        <f>+CX501*106250</f>
        <v>0</v>
      </c>
      <c r="CZ501" s="76"/>
      <c r="DA501" s="76">
        <f>+CZ501*34500</f>
        <v>0</v>
      </c>
      <c r="DB501" s="76"/>
      <c r="DC501" s="76">
        <f>+DB501*25000</f>
        <v>0</v>
      </c>
      <c r="DD501" s="219"/>
      <c r="DE501" s="219"/>
      <c r="DF501" s="164"/>
      <c r="DG501" s="116"/>
      <c r="DH501" s="117"/>
      <c r="DI501" s="24"/>
      <c r="DJ501" s="24"/>
      <c r="DK501" s="24"/>
      <c r="DL501" s="24"/>
      <c r="DM501" s="24"/>
      <c r="DN501" s="24"/>
      <c r="DO501" s="24"/>
      <c r="DP501" s="24"/>
      <c r="DQ501" s="24"/>
      <c r="DR501" s="24"/>
      <c r="DS501" s="24"/>
      <c r="DT501" s="24"/>
      <c r="DU501" s="24"/>
    </row>
    <row r="502" spans="1:125" s="8" customFormat="1" ht="48" x14ac:dyDescent="0.2">
      <c r="A502" s="77">
        <v>41306</v>
      </c>
      <c r="B502" s="78" t="s">
        <v>2778</v>
      </c>
      <c r="C502" s="75" t="s">
        <v>1344</v>
      </c>
      <c r="D502" s="81" t="s">
        <v>2846</v>
      </c>
      <c r="E502" s="75" t="str">
        <f>VLOOKUP(B502&amp;C502,Divipola!$C$2:$F$1138,4,FALSE)</f>
        <v>85001</v>
      </c>
      <c r="F502" s="87"/>
      <c r="G502" s="87"/>
      <c r="H502" s="87"/>
      <c r="I502" s="87"/>
      <c r="J502" s="87"/>
      <c r="K502" s="87"/>
      <c r="L502" s="87"/>
      <c r="M502" s="87"/>
      <c r="N502" s="87"/>
      <c r="O502" s="87"/>
      <c r="P502" s="87"/>
      <c r="Q502" s="87"/>
      <c r="R502" s="87"/>
      <c r="S502" s="87"/>
      <c r="T502" s="87"/>
      <c r="U502" s="88">
        <v>1</v>
      </c>
      <c r="V502" s="89"/>
      <c r="W502" s="96">
        <v>0</v>
      </c>
      <c r="X502" s="71">
        <f>CU502</f>
        <v>0</v>
      </c>
      <c r="Y502" s="71">
        <f>CY502</f>
        <v>0</v>
      </c>
      <c r="Z502" s="71">
        <f>DA502+DC502+DE502</f>
        <v>0</v>
      </c>
      <c r="AA502" s="71">
        <f>CW502</f>
        <v>0</v>
      </c>
      <c r="AB502" s="71"/>
      <c r="AC502" s="71">
        <v>0</v>
      </c>
      <c r="AD502" s="71">
        <f>W502+X502+Y502+Z502+AA502+AB502+AC502</f>
        <v>0</v>
      </c>
      <c r="AE502" s="72">
        <v>0</v>
      </c>
      <c r="AF502" s="5"/>
      <c r="AG502" s="6"/>
      <c r="AH502" s="27" t="s">
        <v>3392</v>
      </c>
      <c r="AI502" s="44" t="s">
        <v>3393</v>
      </c>
      <c r="AJ502" s="26"/>
      <c r="AK502" s="5"/>
      <c r="AL502" s="82" t="s">
        <v>3766</v>
      </c>
      <c r="AM502" s="76"/>
      <c r="AN502" s="76"/>
      <c r="AO502" s="76"/>
      <c r="AP502" s="76"/>
      <c r="AQ502" s="76"/>
      <c r="AR502" s="76"/>
      <c r="AS502" s="76"/>
      <c r="AT502" s="76"/>
      <c r="AU502" s="76"/>
      <c r="AV502" s="76"/>
      <c r="AW502" s="76"/>
      <c r="AX502" s="76">
        <f>+AW502*600000</f>
        <v>0</v>
      </c>
      <c r="AY502" s="76"/>
      <c r="AZ502" s="76">
        <f>+AY502*70000</f>
        <v>0</v>
      </c>
      <c r="BA502" s="76"/>
      <c r="BB502" s="76"/>
      <c r="BC502" s="76"/>
      <c r="BD502" s="76">
        <f>+BC502*30000</f>
        <v>0</v>
      </c>
      <c r="BE502" s="76"/>
      <c r="BF502" s="76"/>
      <c r="BG502" s="76"/>
      <c r="BH502" s="76"/>
      <c r="BI502" s="76"/>
      <c r="BJ502" s="76"/>
      <c r="BK502" s="76"/>
      <c r="BL502" s="76">
        <f>+BK502*31500</f>
        <v>0</v>
      </c>
      <c r="BM502" s="76"/>
      <c r="BN502" s="76"/>
      <c r="BO502" s="76"/>
      <c r="BP502" s="76"/>
      <c r="BQ502" s="76"/>
      <c r="BR502" s="76"/>
      <c r="BS502" s="76"/>
      <c r="BT502" s="76"/>
      <c r="BU502" s="76"/>
      <c r="BV502" s="76"/>
      <c r="BW502" s="76"/>
      <c r="BX502" s="76"/>
      <c r="BY502" s="76"/>
      <c r="BZ502" s="76"/>
      <c r="CA502" s="76"/>
      <c r="CB502" s="76"/>
      <c r="CC502" s="76"/>
      <c r="CD502" s="76"/>
      <c r="CE502" s="76"/>
      <c r="CF502" s="76">
        <f>+CE502*28000</f>
        <v>0</v>
      </c>
      <c r="CG502" s="76"/>
      <c r="CH502" s="76">
        <f>+CG502*22500</f>
        <v>0</v>
      </c>
      <c r="CI502" s="76"/>
      <c r="CJ502" s="76">
        <f>+CI502*26000</f>
        <v>0</v>
      </c>
      <c r="CK502" s="76"/>
      <c r="CL502" s="76"/>
      <c r="CM502" s="76"/>
      <c r="CN502" s="76">
        <f>+CM502*22000</f>
        <v>0</v>
      </c>
      <c r="CO502" s="76"/>
      <c r="CP502" s="76">
        <f>+CO502*46000</f>
        <v>0</v>
      </c>
      <c r="CQ502" s="76"/>
      <c r="CR502" s="76">
        <f>+CQ502*49000</f>
        <v>0</v>
      </c>
      <c r="CS502" s="76"/>
      <c r="CT502" s="76"/>
      <c r="CU502" s="56">
        <f>AN502+AP502+AR502+AT502+AV502+AX502+AZ502+BB502+BD502+BF502+BH502+BJ502+BL502+BN502+BP502+BR502+BT502+BV502+BX502+BZ502+CB502+CD502+CF502+CH502+CJ502+CL502+CN502+CP502+CR502+CT502</f>
        <v>0</v>
      </c>
      <c r="CV502" s="76"/>
      <c r="CW502" s="76">
        <f>+CV502*1100</f>
        <v>0</v>
      </c>
      <c r="CX502" s="76"/>
      <c r="CY502" s="76">
        <f>+CX502*106250</f>
        <v>0</v>
      </c>
      <c r="CZ502" s="76"/>
      <c r="DA502" s="76">
        <f>+CZ502*34500</f>
        <v>0</v>
      </c>
      <c r="DB502" s="76"/>
      <c r="DC502" s="76">
        <f>+DB502*25000</f>
        <v>0</v>
      </c>
      <c r="DD502" s="219"/>
      <c r="DE502" s="219"/>
      <c r="DF502" s="166"/>
      <c r="DG502" s="116"/>
      <c r="DH502" s="117"/>
      <c r="DI502" s="24"/>
      <c r="DJ502" s="24"/>
      <c r="DK502" s="24"/>
      <c r="DL502" s="24"/>
      <c r="DM502" s="24"/>
      <c r="DN502" s="24"/>
      <c r="DO502" s="24"/>
      <c r="DP502" s="24"/>
      <c r="DQ502" s="24"/>
      <c r="DR502" s="24"/>
      <c r="DS502" s="24"/>
      <c r="DT502" s="24"/>
      <c r="DU502" s="24"/>
    </row>
    <row r="503" spans="1:125" s="8" customFormat="1" ht="48" x14ac:dyDescent="0.2">
      <c r="A503" s="77">
        <v>41306</v>
      </c>
      <c r="B503" s="78" t="s">
        <v>2778</v>
      </c>
      <c r="C503" s="75" t="s">
        <v>1344</v>
      </c>
      <c r="D503" s="81" t="s">
        <v>2846</v>
      </c>
      <c r="E503" s="75" t="str">
        <f>VLOOKUP(B503&amp;C503,Divipola!$C$2:$F$1138,4,FALSE)</f>
        <v>85001</v>
      </c>
      <c r="F503" s="87"/>
      <c r="G503" s="87"/>
      <c r="H503" s="87"/>
      <c r="I503" s="87"/>
      <c r="J503" s="87"/>
      <c r="K503" s="87"/>
      <c r="L503" s="87"/>
      <c r="M503" s="87"/>
      <c r="N503" s="87"/>
      <c r="O503" s="87"/>
      <c r="P503" s="87"/>
      <c r="Q503" s="87"/>
      <c r="R503" s="87"/>
      <c r="S503" s="87"/>
      <c r="T503" s="87"/>
      <c r="U503" s="88">
        <v>1</v>
      </c>
      <c r="V503" s="89"/>
      <c r="W503" s="96">
        <v>0</v>
      </c>
      <c r="X503" s="71">
        <f>CU503</f>
        <v>0</v>
      </c>
      <c r="Y503" s="71">
        <f>CY503</f>
        <v>0</v>
      </c>
      <c r="Z503" s="71">
        <f>DA503+DC503+DE503</f>
        <v>0</v>
      </c>
      <c r="AA503" s="71">
        <f>CW503</f>
        <v>0</v>
      </c>
      <c r="AB503" s="71"/>
      <c r="AC503" s="71">
        <v>0</v>
      </c>
      <c r="AD503" s="71">
        <f>W503+X503+Y503+Z503+AA503+AB503+AC503</f>
        <v>0</v>
      </c>
      <c r="AE503" s="72">
        <v>0</v>
      </c>
      <c r="AF503" s="5"/>
      <c r="AG503" s="6"/>
      <c r="AH503" s="27" t="s">
        <v>3392</v>
      </c>
      <c r="AI503" s="44" t="s">
        <v>3393</v>
      </c>
      <c r="AJ503" s="26"/>
      <c r="AK503" s="5"/>
      <c r="AL503" s="82" t="s">
        <v>3767</v>
      </c>
      <c r="AM503" s="76"/>
      <c r="AN503" s="76"/>
      <c r="AO503" s="76"/>
      <c r="AP503" s="76"/>
      <c r="AQ503" s="76"/>
      <c r="AR503" s="76"/>
      <c r="AS503" s="76"/>
      <c r="AT503" s="76"/>
      <c r="AU503" s="76"/>
      <c r="AV503" s="76"/>
      <c r="AW503" s="76"/>
      <c r="AX503" s="76">
        <f>+AW503*600000</f>
        <v>0</v>
      </c>
      <c r="AY503" s="76"/>
      <c r="AZ503" s="76">
        <f>+AY503*70000</f>
        <v>0</v>
      </c>
      <c r="BA503" s="76"/>
      <c r="BB503" s="76"/>
      <c r="BC503" s="76"/>
      <c r="BD503" s="76">
        <f>+BC503*30000</f>
        <v>0</v>
      </c>
      <c r="BE503" s="76"/>
      <c r="BF503" s="76"/>
      <c r="BG503" s="76"/>
      <c r="BH503" s="76"/>
      <c r="BI503" s="76"/>
      <c r="BJ503" s="76"/>
      <c r="BK503" s="76"/>
      <c r="BL503" s="76">
        <f>+BK503*31500</f>
        <v>0</v>
      </c>
      <c r="BM503" s="76"/>
      <c r="BN503" s="76"/>
      <c r="BO503" s="76"/>
      <c r="BP503" s="76"/>
      <c r="BQ503" s="76"/>
      <c r="BR503" s="76"/>
      <c r="BS503" s="76"/>
      <c r="BT503" s="76"/>
      <c r="BU503" s="76"/>
      <c r="BV503" s="76"/>
      <c r="BW503" s="76"/>
      <c r="BX503" s="76"/>
      <c r="BY503" s="76"/>
      <c r="BZ503" s="76"/>
      <c r="CA503" s="76"/>
      <c r="CB503" s="76"/>
      <c r="CC503" s="76"/>
      <c r="CD503" s="76"/>
      <c r="CE503" s="76"/>
      <c r="CF503" s="76">
        <f>+CE503*28000</f>
        <v>0</v>
      </c>
      <c r="CG503" s="76"/>
      <c r="CH503" s="76">
        <f>+CG503*22500</f>
        <v>0</v>
      </c>
      <c r="CI503" s="76"/>
      <c r="CJ503" s="76">
        <f>+CI503*26000</f>
        <v>0</v>
      </c>
      <c r="CK503" s="76"/>
      <c r="CL503" s="76"/>
      <c r="CM503" s="76"/>
      <c r="CN503" s="76">
        <f>+CM503*22000</f>
        <v>0</v>
      </c>
      <c r="CO503" s="76"/>
      <c r="CP503" s="76">
        <f>+CO503*46000</f>
        <v>0</v>
      </c>
      <c r="CQ503" s="76"/>
      <c r="CR503" s="76">
        <f>+CQ503*49000</f>
        <v>0</v>
      </c>
      <c r="CS503" s="76"/>
      <c r="CT503" s="76"/>
      <c r="CU503" s="56">
        <f>AN503+AP503+AR503+AT503+AV503+AX503+AZ503+BB503+BD503+BF503+BH503+BJ503+BL503+BN503+BP503+BR503+BT503+BV503+BX503+BZ503+CB503+CD503+CF503+CH503+CJ503+CL503+CN503+CP503+CR503+CT503</f>
        <v>0</v>
      </c>
      <c r="CV503" s="76"/>
      <c r="CW503" s="76">
        <f>+CV503*1100</f>
        <v>0</v>
      </c>
      <c r="CX503" s="76"/>
      <c r="CY503" s="76">
        <f>+CX503*106250</f>
        <v>0</v>
      </c>
      <c r="CZ503" s="76"/>
      <c r="DA503" s="76">
        <f>+CZ503*34500</f>
        <v>0</v>
      </c>
      <c r="DB503" s="76"/>
      <c r="DC503" s="76">
        <f>+DB503*25000</f>
        <v>0</v>
      </c>
      <c r="DD503" s="219"/>
      <c r="DE503" s="219"/>
      <c r="DF503" s="166"/>
      <c r="DG503" s="116"/>
      <c r="DH503" s="117"/>
      <c r="DI503" s="24"/>
      <c r="DJ503" s="24"/>
      <c r="DK503" s="24"/>
      <c r="DL503" s="24"/>
      <c r="DM503" s="24"/>
      <c r="DN503" s="24"/>
      <c r="DO503" s="24"/>
      <c r="DP503" s="24"/>
      <c r="DQ503" s="24"/>
      <c r="DR503" s="24"/>
      <c r="DS503" s="24"/>
      <c r="DT503" s="24"/>
      <c r="DU503" s="24"/>
    </row>
    <row r="504" spans="1:125" s="8" customFormat="1" ht="48" x14ac:dyDescent="0.2">
      <c r="A504" s="77">
        <v>41306</v>
      </c>
      <c r="B504" s="78" t="s">
        <v>2855</v>
      </c>
      <c r="C504" s="75" t="s">
        <v>897</v>
      </c>
      <c r="D504" s="75" t="s">
        <v>2859</v>
      </c>
      <c r="E504" s="75" t="str">
        <f>VLOOKUP(B504&amp;C504,Divipola!$C$2:$F$1138,4,FALSE)</f>
        <v>20045</v>
      </c>
      <c r="F504" s="87"/>
      <c r="G504" s="87"/>
      <c r="H504" s="87"/>
      <c r="I504" s="87"/>
      <c r="J504" s="87"/>
      <c r="K504" s="87"/>
      <c r="L504" s="87"/>
      <c r="M504" s="87"/>
      <c r="N504" s="87"/>
      <c r="O504" s="87"/>
      <c r="P504" s="87"/>
      <c r="Q504" s="87"/>
      <c r="R504" s="87"/>
      <c r="S504" s="87"/>
      <c r="T504" s="87"/>
      <c r="U504" s="88"/>
      <c r="V504" s="89"/>
      <c r="W504" s="96">
        <v>0</v>
      </c>
      <c r="X504" s="71">
        <f>CU504</f>
        <v>0</v>
      </c>
      <c r="Y504" s="71">
        <f>CY504</f>
        <v>0</v>
      </c>
      <c r="Z504" s="71">
        <f>DA504+DC504+DE504</f>
        <v>0</v>
      </c>
      <c r="AA504" s="71">
        <f>CW504</f>
        <v>0</v>
      </c>
      <c r="AB504" s="71"/>
      <c r="AC504" s="71">
        <v>0</v>
      </c>
      <c r="AD504" s="71">
        <f>W504+X504+Y504+Z504+AA504+AB504+AC504</f>
        <v>0</v>
      </c>
      <c r="AE504" s="72">
        <v>0</v>
      </c>
      <c r="AF504" s="5"/>
      <c r="AG504" s="6"/>
      <c r="AH504" s="27" t="s">
        <v>3392</v>
      </c>
      <c r="AI504" s="44" t="s">
        <v>3393</v>
      </c>
      <c r="AJ504" s="26"/>
      <c r="AK504" s="5"/>
      <c r="AL504" s="82" t="s">
        <v>3359</v>
      </c>
      <c r="AM504" s="76"/>
      <c r="AN504" s="76"/>
      <c r="AO504" s="76"/>
      <c r="AP504" s="76"/>
      <c r="AQ504" s="76"/>
      <c r="AR504" s="76"/>
      <c r="AS504" s="76"/>
      <c r="AT504" s="76"/>
      <c r="AU504" s="76"/>
      <c r="AV504" s="76"/>
      <c r="AW504" s="76"/>
      <c r="AX504" s="76">
        <f>+AW504*600000</f>
        <v>0</v>
      </c>
      <c r="AY504" s="76"/>
      <c r="AZ504" s="76">
        <f>+AY504*70000</f>
        <v>0</v>
      </c>
      <c r="BA504" s="76"/>
      <c r="BB504" s="76"/>
      <c r="BC504" s="76"/>
      <c r="BD504" s="76">
        <f>+BC504*30000</f>
        <v>0</v>
      </c>
      <c r="BE504" s="76"/>
      <c r="BF504" s="76"/>
      <c r="BG504" s="76"/>
      <c r="BH504" s="76"/>
      <c r="BI504" s="76"/>
      <c r="BJ504" s="76"/>
      <c r="BK504" s="76"/>
      <c r="BL504" s="76">
        <f>+BK504*31500</f>
        <v>0</v>
      </c>
      <c r="BM504" s="76"/>
      <c r="BN504" s="76"/>
      <c r="BO504" s="76"/>
      <c r="BP504" s="76"/>
      <c r="BQ504" s="76"/>
      <c r="BR504" s="76"/>
      <c r="BS504" s="76"/>
      <c r="BT504" s="76"/>
      <c r="BU504" s="76"/>
      <c r="BV504" s="76"/>
      <c r="BW504" s="76"/>
      <c r="BX504" s="76"/>
      <c r="BY504" s="76"/>
      <c r="BZ504" s="76"/>
      <c r="CA504" s="76"/>
      <c r="CB504" s="76"/>
      <c r="CC504" s="76"/>
      <c r="CD504" s="76"/>
      <c r="CE504" s="76"/>
      <c r="CF504" s="76">
        <f>+CE504*28000</f>
        <v>0</v>
      </c>
      <c r="CG504" s="76"/>
      <c r="CH504" s="76">
        <f>+CG504*22500</f>
        <v>0</v>
      </c>
      <c r="CI504" s="76"/>
      <c r="CJ504" s="76">
        <f>+CI504*26000</f>
        <v>0</v>
      </c>
      <c r="CK504" s="76"/>
      <c r="CL504" s="76"/>
      <c r="CM504" s="76"/>
      <c r="CN504" s="76">
        <f>+CM504*22000</f>
        <v>0</v>
      </c>
      <c r="CO504" s="76"/>
      <c r="CP504" s="76">
        <f>+CO504*46000</f>
        <v>0</v>
      </c>
      <c r="CQ504" s="76"/>
      <c r="CR504" s="76">
        <f>+CQ504*49000</f>
        <v>0</v>
      </c>
      <c r="CS504" s="76"/>
      <c r="CT504" s="76"/>
      <c r="CU504" s="56">
        <f>AN504+AP504+AR504+AT504+AV504+AX504+AZ504+BB504+BD504+BF504+BH504+BJ504+BL504+BN504+BP504+BR504+BT504+BV504+BX504+BZ504+CB504+CD504+CF504+CH504+CJ504+CL504+CN504+CP504+CR504+CT504</f>
        <v>0</v>
      </c>
      <c r="CV504" s="76"/>
      <c r="CW504" s="76">
        <f>+CV504*1100</f>
        <v>0</v>
      </c>
      <c r="CX504" s="76"/>
      <c r="CY504" s="76">
        <f>+CX504*106250</f>
        <v>0</v>
      </c>
      <c r="CZ504" s="76"/>
      <c r="DA504" s="76">
        <f>+CZ504*34500</f>
        <v>0</v>
      </c>
      <c r="DB504" s="76"/>
      <c r="DC504" s="76">
        <f>+DB504*25000</f>
        <v>0</v>
      </c>
      <c r="DD504" s="219"/>
      <c r="DE504" s="219"/>
      <c r="DF504" s="164"/>
      <c r="DG504" s="116"/>
      <c r="DH504" s="117"/>
      <c r="DI504" s="24"/>
      <c r="DJ504" s="24"/>
      <c r="DK504" s="24"/>
      <c r="DL504" s="24"/>
      <c r="DM504" s="24"/>
      <c r="DN504" s="24"/>
      <c r="DO504" s="24"/>
      <c r="DP504" s="24"/>
      <c r="DQ504" s="24"/>
      <c r="DR504" s="24"/>
      <c r="DS504" s="24"/>
      <c r="DT504" s="24"/>
      <c r="DU504" s="24"/>
    </row>
    <row r="505" spans="1:125" s="8" customFormat="1" ht="216" x14ac:dyDescent="0.2">
      <c r="A505" s="77">
        <v>41306</v>
      </c>
      <c r="B505" s="225" t="s">
        <v>2772</v>
      </c>
      <c r="C505" s="227" t="s">
        <v>1337</v>
      </c>
      <c r="D505" s="81" t="s">
        <v>2846</v>
      </c>
      <c r="E505" s="75" t="str">
        <f>VLOOKUP(B505&amp;C505,Divipola!$C$2:$F$1138,4,FALSE)</f>
        <v>25407</v>
      </c>
      <c r="F505" s="100"/>
      <c r="G505" s="100"/>
      <c r="H505" s="100"/>
      <c r="I505" s="100"/>
      <c r="J505" s="100"/>
      <c r="K505" s="100"/>
      <c r="L505" s="100"/>
      <c r="M505" s="100"/>
      <c r="N505" s="100"/>
      <c r="O505" s="100"/>
      <c r="P505" s="100"/>
      <c r="Q505" s="100"/>
      <c r="R505" s="100"/>
      <c r="S505" s="100"/>
      <c r="T505" s="100"/>
      <c r="U505" s="137">
        <v>3</v>
      </c>
      <c r="V505" s="89"/>
      <c r="W505" s="96">
        <v>0</v>
      </c>
      <c r="X505" s="71">
        <f>CU505</f>
        <v>0</v>
      </c>
      <c r="Y505" s="71">
        <f>CY505</f>
        <v>0</v>
      </c>
      <c r="Z505" s="71">
        <f>DA505+DC505+DE505</f>
        <v>0</v>
      </c>
      <c r="AA505" s="71">
        <f>CW505</f>
        <v>0</v>
      </c>
      <c r="AB505" s="71"/>
      <c r="AC505" s="71">
        <v>0</v>
      </c>
      <c r="AD505" s="71">
        <f>W505+X505+Y505+Z505+AA505+AB505+AC505</f>
        <v>0</v>
      </c>
      <c r="AE505" s="72">
        <v>0</v>
      </c>
      <c r="AF505" s="5"/>
      <c r="AG505" s="6"/>
      <c r="AH505" s="27" t="s">
        <v>3390</v>
      </c>
      <c r="AI505" s="44" t="s">
        <v>3391</v>
      </c>
      <c r="AJ505" s="26"/>
      <c r="AK505" s="5" t="s">
        <v>3397</v>
      </c>
      <c r="AL505" s="82" t="s">
        <v>3370</v>
      </c>
      <c r="AM505" s="76"/>
      <c r="AN505" s="76"/>
      <c r="AO505" s="76"/>
      <c r="AP505" s="76"/>
      <c r="AQ505" s="76"/>
      <c r="AR505" s="76"/>
      <c r="AS505" s="76"/>
      <c r="AT505" s="76"/>
      <c r="AU505" s="76"/>
      <c r="AV505" s="76"/>
      <c r="AW505" s="76"/>
      <c r="AX505" s="76">
        <f>+AW505*600000</f>
        <v>0</v>
      </c>
      <c r="AY505" s="76"/>
      <c r="AZ505" s="76">
        <f>+AY505*70000</f>
        <v>0</v>
      </c>
      <c r="BA505" s="76"/>
      <c r="BB505" s="76"/>
      <c r="BC505" s="76"/>
      <c r="BD505" s="76">
        <f>+BC505*30000</f>
        <v>0</v>
      </c>
      <c r="BE505" s="76"/>
      <c r="BF505" s="76"/>
      <c r="BG505" s="76"/>
      <c r="BH505" s="76"/>
      <c r="BI505" s="76"/>
      <c r="BJ505" s="76"/>
      <c r="BK505" s="76"/>
      <c r="BL505" s="76">
        <f>+BK505*31500</f>
        <v>0</v>
      </c>
      <c r="BM505" s="76"/>
      <c r="BN505" s="76"/>
      <c r="BO505" s="76"/>
      <c r="BP505" s="76"/>
      <c r="BQ505" s="76"/>
      <c r="BR505" s="76"/>
      <c r="BS505" s="76"/>
      <c r="BT505" s="76"/>
      <c r="BU505" s="76"/>
      <c r="BV505" s="76"/>
      <c r="BW505" s="76"/>
      <c r="BX505" s="76"/>
      <c r="BY505" s="76"/>
      <c r="BZ505" s="76"/>
      <c r="CA505" s="76"/>
      <c r="CB505" s="76"/>
      <c r="CC505" s="76"/>
      <c r="CD505" s="76"/>
      <c r="CE505" s="76"/>
      <c r="CF505" s="76">
        <f>+CE505*28000</f>
        <v>0</v>
      </c>
      <c r="CG505" s="76"/>
      <c r="CH505" s="76">
        <f>+CG505*22500</f>
        <v>0</v>
      </c>
      <c r="CI505" s="76"/>
      <c r="CJ505" s="76">
        <f>+CI505*26000</f>
        <v>0</v>
      </c>
      <c r="CK505" s="76"/>
      <c r="CL505" s="76"/>
      <c r="CM505" s="76"/>
      <c r="CN505" s="76">
        <f>+CM505*22000</f>
        <v>0</v>
      </c>
      <c r="CO505" s="76"/>
      <c r="CP505" s="76">
        <f>+CO505*46000</f>
        <v>0</v>
      </c>
      <c r="CQ505" s="76"/>
      <c r="CR505" s="76">
        <f>+CQ505*49000</f>
        <v>0</v>
      </c>
      <c r="CS505" s="76"/>
      <c r="CT505" s="76"/>
      <c r="CU505" s="56">
        <f>AN505+AP505+AR505+AT505+AV505+AX505+AZ505+BB505+BD505+BF505+BH505+BJ505+BL505+BN505+BP505+BR505+BT505+BV505+BX505+BZ505+CB505+CD505+CF505+CH505+CJ505+CL505+CN505+CP505+CR505+CT505</f>
        <v>0</v>
      </c>
      <c r="CV505" s="76"/>
      <c r="CW505" s="76">
        <f>+CV505*1100</f>
        <v>0</v>
      </c>
      <c r="CX505" s="76"/>
      <c r="CY505" s="76">
        <f>+CX505*106250</f>
        <v>0</v>
      </c>
      <c r="CZ505" s="76"/>
      <c r="DA505" s="76">
        <f>+CZ505*34500</f>
        <v>0</v>
      </c>
      <c r="DB505" s="76"/>
      <c r="DC505" s="76">
        <f>+DB505*25000</f>
        <v>0</v>
      </c>
      <c r="DD505" s="219"/>
      <c r="DE505" s="219"/>
      <c r="DF505" s="164"/>
      <c r="DG505" s="116"/>
      <c r="DH505" s="117"/>
      <c r="DI505" s="24"/>
      <c r="DJ505" s="24"/>
      <c r="DK505" s="24"/>
      <c r="DL505" s="24"/>
      <c r="DM505" s="24"/>
      <c r="DN505" s="24"/>
      <c r="DO505" s="24"/>
      <c r="DP505" s="24"/>
      <c r="DQ505" s="24"/>
      <c r="DR505" s="24"/>
      <c r="DS505" s="24"/>
      <c r="DT505" s="24"/>
      <c r="DU505" s="24"/>
    </row>
    <row r="506" spans="1:125" s="8" customFormat="1" ht="156" x14ac:dyDescent="0.2">
      <c r="A506" s="77">
        <v>41306</v>
      </c>
      <c r="B506" s="78" t="s">
        <v>2772</v>
      </c>
      <c r="C506" s="75" t="s">
        <v>1337</v>
      </c>
      <c r="D506" s="81" t="s">
        <v>2846</v>
      </c>
      <c r="E506" s="75" t="str">
        <f>VLOOKUP(B506&amp;C506,Divipola!$C$2:$F$1138,4,FALSE)</f>
        <v>25407</v>
      </c>
      <c r="F506" s="87"/>
      <c r="G506" s="87"/>
      <c r="H506" s="87"/>
      <c r="I506" s="87"/>
      <c r="J506" s="87"/>
      <c r="K506" s="87"/>
      <c r="L506" s="87"/>
      <c r="M506" s="87"/>
      <c r="N506" s="87"/>
      <c r="O506" s="87"/>
      <c r="P506" s="87"/>
      <c r="Q506" s="87"/>
      <c r="R506" s="87"/>
      <c r="S506" s="87"/>
      <c r="T506" s="87"/>
      <c r="U506" s="138">
        <v>30</v>
      </c>
      <c r="V506" s="89"/>
      <c r="W506" s="96">
        <v>0</v>
      </c>
      <c r="X506" s="71">
        <f>CU506</f>
        <v>0</v>
      </c>
      <c r="Y506" s="71">
        <f>CY506</f>
        <v>0</v>
      </c>
      <c r="Z506" s="71">
        <f>DA506+DC506+DE506</f>
        <v>0</v>
      </c>
      <c r="AA506" s="71">
        <f>CW506</f>
        <v>0</v>
      </c>
      <c r="AB506" s="71"/>
      <c r="AC506" s="71">
        <v>0</v>
      </c>
      <c r="AD506" s="71">
        <f>W506+X506+Y506+Z506+AA506+AB506+AC506</f>
        <v>0</v>
      </c>
      <c r="AE506" s="72">
        <v>0</v>
      </c>
      <c r="AF506" s="5"/>
      <c r="AG506" s="6"/>
      <c r="AH506" s="27" t="s">
        <v>3390</v>
      </c>
      <c r="AI506" s="44" t="s">
        <v>3391</v>
      </c>
      <c r="AJ506" s="26"/>
      <c r="AK506" s="5" t="s">
        <v>3397</v>
      </c>
      <c r="AL506" s="82" t="s">
        <v>3371</v>
      </c>
      <c r="AM506" s="76"/>
      <c r="AN506" s="76"/>
      <c r="AO506" s="76"/>
      <c r="AP506" s="76"/>
      <c r="AQ506" s="76"/>
      <c r="AR506" s="76"/>
      <c r="AS506" s="76"/>
      <c r="AT506" s="76"/>
      <c r="AU506" s="76"/>
      <c r="AV506" s="76"/>
      <c r="AW506" s="76"/>
      <c r="AX506" s="76">
        <f>+AW506*600000</f>
        <v>0</v>
      </c>
      <c r="AY506" s="76"/>
      <c r="AZ506" s="76">
        <f>+AY506*70000</f>
        <v>0</v>
      </c>
      <c r="BA506" s="76"/>
      <c r="BB506" s="76"/>
      <c r="BC506" s="76"/>
      <c r="BD506" s="76">
        <f>+BC506*30000</f>
        <v>0</v>
      </c>
      <c r="BE506" s="76"/>
      <c r="BF506" s="76"/>
      <c r="BG506" s="76"/>
      <c r="BH506" s="76"/>
      <c r="BI506" s="76"/>
      <c r="BJ506" s="76"/>
      <c r="BK506" s="76"/>
      <c r="BL506" s="76">
        <f>+BK506*31500</f>
        <v>0</v>
      </c>
      <c r="BM506" s="76"/>
      <c r="BN506" s="76"/>
      <c r="BO506" s="76"/>
      <c r="BP506" s="76"/>
      <c r="BQ506" s="76"/>
      <c r="BR506" s="76"/>
      <c r="BS506" s="76"/>
      <c r="BT506" s="76"/>
      <c r="BU506" s="76"/>
      <c r="BV506" s="76"/>
      <c r="BW506" s="76"/>
      <c r="BX506" s="76"/>
      <c r="BY506" s="76"/>
      <c r="BZ506" s="76"/>
      <c r="CA506" s="76"/>
      <c r="CB506" s="76"/>
      <c r="CC506" s="76"/>
      <c r="CD506" s="76"/>
      <c r="CE506" s="76"/>
      <c r="CF506" s="76">
        <f>+CE506*28000</f>
        <v>0</v>
      </c>
      <c r="CG506" s="76"/>
      <c r="CH506" s="76">
        <f>+CG506*22500</f>
        <v>0</v>
      </c>
      <c r="CI506" s="76"/>
      <c r="CJ506" s="76">
        <f>+CI506*26000</f>
        <v>0</v>
      </c>
      <c r="CK506" s="76"/>
      <c r="CL506" s="76"/>
      <c r="CM506" s="76"/>
      <c r="CN506" s="76">
        <f>+CM506*22000</f>
        <v>0</v>
      </c>
      <c r="CO506" s="76"/>
      <c r="CP506" s="76">
        <f>+CO506*46000</f>
        <v>0</v>
      </c>
      <c r="CQ506" s="76"/>
      <c r="CR506" s="76">
        <f>+CQ506*49000</f>
        <v>0</v>
      </c>
      <c r="CS506" s="76"/>
      <c r="CT506" s="76"/>
      <c r="CU506" s="56">
        <f>AN506+AP506+AR506+AT506+AV506+AX506+AZ506+BB506+BD506+BF506+BH506+BJ506+BL506+BN506+BP506+BR506+BT506+BV506+BX506+BZ506+CB506+CD506+CF506+CH506+CJ506+CL506+CN506+CP506+CR506+CT506</f>
        <v>0</v>
      </c>
      <c r="CV506" s="76"/>
      <c r="CW506" s="76">
        <f>+CV506*1100</f>
        <v>0</v>
      </c>
      <c r="CX506" s="76"/>
      <c r="CY506" s="76">
        <f>+CX506*106250</f>
        <v>0</v>
      </c>
      <c r="CZ506" s="76"/>
      <c r="DA506" s="76">
        <f>+CZ506*34500</f>
        <v>0</v>
      </c>
      <c r="DB506" s="76"/>
      <c r="DC506" s="76">
        <f>+DB506*25000</f>
        <v>0</v>
      </c>
      <c r="DD506" s="219"/>
      <c r="DE506" s="219"/>
      <c r="DF506" s="164"/>
      <c r="DG506" s="116"/>
      <c r="DH506" s="117"/>
      <c r="DI506" s="24"/>
      <c r="DJ506" s="24"/>
      <c r="DK506" s="24"/>
      <c r="DL506" s="24"/>
      <c r="DM506" s="24"/>
      <c r="DN506" s="24"/>
      <c r="DO506" s="24"/>
      <c r="DP506" s="24"/>
      <c r="DQ506" s="24"/>
      <c r="DR506" s="24"/>
      <c r="DS506" s="24"/>
      <c r="DT506" s="24"/>
      <c r="DU506" s="24"/>
    </row>
    <row r="507" spans="1:125" s="8" customFormat="1" ht="72" x14ac:dyDescent="0.2">
      <c r="A507" s="77">
        <v>41306</v>
      </c>
      <c r="B507" s="78" t="s">
        <v>2772</v>
      </c>
      <c r="C507" s="75" t="s">
        <v>2835</v>
      </c>
      <c r="D507" s="81" t="s">
        <v>2846</v>
      </c>
      <c r="E507" s="75" t="str">
        <f>VLOOKUP(B507&amp;C507,Divipola!$C$2:$F$1138,4,FALSE)</f>
        <v>25873</v>
      </c>
      <c r="F507" s="87"/>
      <c r="G507" s="87"/>
      <c r="H507" s="87"/>
      <c r="I507" s="87"/>
      <c r="J507" s="87"/>
      <c r="K507" s="87"/>
      <c r="L507" s="87"/>
      <c r="M507" s="87"/>
      <c r="N507" s="87"/>
      <c r="O507" s="87"/>
      <c r="P507" s="87"/>
      <c r="Q507" s="87"/>
      <c r="R507" s="87"/>
      <c r="S507" s="87"/>
      <c r="T507" s="87"/>
      <c r="U507" s="88">
        <v>0.5</v>
      </c>
      <c r="V507" s="89"/>
      <c r="W507" s="96">
        <v>0</v>
      </c>
      <c r="X507" s="71">
        <f>CU507</f>
        <v>0</v>
      </c>
      <c r="Y507" s="71">
        <f>CY507</f>
        <v>0</v>
      </c>
      <c r="Z507" s="71">
        <f>DA507+DC507+DE507</f>
        <v>0</v>
      </c>
      <c r="AA507" s="71">
        <f>CW507</f>
        <v>0</v>
      </c>
      <c r="AB507" s="71"/>
      <c r="AC507" s="71">
        <v>0</v>
      </c>
      <c r="AD507" s="71">
        <f>W507+X507+Y507+Z507+AA507+AB507+AC507</f>
        <v>0</v>
      </c>
      <c r="AE507" s="72">
        <v>0</v>
      </c>
      <c r="AF507" s="5"/>
      <c r="AG507" s="6"/>
      <c r="AH507" s="27" t="s">
        <v>3392</v>
      </c>
      <c r="AI507" s="44" t="s">
        <v>3393</v>
      </c>
      <c r="AJ507" s="26"/>
      <c r="AK507" s="5"/>
      <c r="AL507" s="82" t="s">
        <v>3351</v>
      </c>
      <c r="AM507" s="76"/>
      <c r="AN507" s="76"/>
      <c r="AO507" s="76"/>
      <c r="AP507" s="76"/>
      <c r="AQ507" s="76"/>
      <c r="AR507" s="76"/>
      <c r="AS507" s="76"/>
      <c r="AT507" s="76"/>
      <c r="AU507" s="76"/>
      <c r="AV507" s="76"/>
      <c r="AW507" s="76"/>
      <c r="AX507" s="76">
        <f>+AW507*600000</f>
        <v>0</v>
      </c>
      <c r="AY507" s="76"/>
      <c r="AZ507" s="76">
        <f>+AY507*70000</f>
        <v>0</v>
      </c>
      <c r="BA507" s="76"/>
      <c r="BB507" s="76"/>
      <c r="BC507" s="76"/>
      <c r="BD507" s="76">
        <f>+BC507*30000</f>
        <v>0</v>
      </c>
      <c r="BE507" s="76"/>
      <c r="BF507" s="76"/>
      <c r="BG507" s="76"/>
      <c r="BH507" s="76"/>
      <c r="BI507" s="76"/>
      <c r="BJ507" s="76"/>
      <c r="BK507" s="76"/>
      <c r="BL507" s="76">
        <f>+BK507*31500</f>
        <v>0</v>
      </c>
      <c r="BM507" s="76"/>
      <c r="BN507" s="76"/>
      <c r="BO507" s="76"/>
      <c r="BP507" s="76"/>
      <c r="BQ507" s="76"/>
      <c r="BR507" s="76"/>
      <c r="BS507" s="76"/>
      <c r="BT507" s="76"/>
      <c r="BU507" s="76"/>
      <c r="BV507" s="76"/>
      <c r="BW507" s="76"/>
      <c r="BX507" s="76"/>
      <c r="BY507" s="76"/>
      <c r="BZ507" s="76"/>
      <c r="CA507" s="76"/>
      <c r="CB507" s="76"/>
      <c r="CC507" s="76"/>
      <c r="CD507" s="76"/>
      <c r="CE507" s="76"/>
      <c r="CF507" s="76">
        <f>+CE507*28000</f>
        <v>0</v>
      </c>
      <c r="CG507" s="76"/>
      <c r="CH507" s="76">
        <f>+CG507*22500</f>
        <v>0</v>
      </c>
      <c r="CI507" s="76"/>
      <c r="CJ507" s="76">
        <f>+CI507*26000</f>
        <v>0</v>
      </c>
      <c r="CK507" s="76"/>
      <c r="CL507" s="76"/>
      <c r="CM507" s="76"/>
      <c r="CN507" s="76">
        <f>+CM507*22000</f>
        <v>0</v>
      </c>
      <c r="CO507" s="76"/>
      <c r="CP507" s="76">
        <f>+CO507*46000</f>
        <v>0</v>
      </c>
      <c r="CQ507" s="76"/>
      <c r="CR507" s="76">
        <f>+CQ507*49000</f>
        <v>0</v>
      </c>
      <c r="CS507" s="76"/>
      <c r="CT507" s="76"/>
      <c r="CU507" s="56">
        <f>AN507+AP507+AR507+AT507+AV507+AX507+AZ507+BB507+BD507+BF507+BH507+BJ507+BL507+BN507+BP507+BR507+BT507+BV507+BX507+BZ507+CB507+CD507+CF507+CH507+CJ507+CL507+CN507+CP507+CR507+CT507</f>
        <v>0</v>
      </c>
      <c r="CV507" s="76"/>
      <c r="CW507" s="76">
        <f>+CV507*1100</f>
        <v>0</v>
      </c>
      <c r="CX507" s="76"/>
      <c r="CY507" s="76">
        <f>+CX507*106250</f>
        <v>0</v>
      </c>
      <c r="CZ507" s="76"/>
      <c r="DA507" s="76">
        <f>+CZ507*34500</f>
        <v>0</v>
      </c>
      <c r="DB507" s="76"/>
      <c r="DC507" s="76">
        <f>+DB507*25000</f>
        <v>0</v>
      </c>
      <c r="DD507" s="219"/>
      <c r="DE507" s="219"/>
      <c r="DF507" s="164"/>
      <c r="DG507" s="116"/>
      <c r="DH507" s="117"/>
      <c r="DI507" s="24"/>
      <c r="DJ507" s="24"/>
      <c r="DK507" s="24"/>
      <c r="DL507" s="24"/>
      <c r="DM507" s="24"/>
      <c r="DN507" s="24"/>
      <c r="DO507" s="24"/>
      <c r="DP507" s="24"/>
      <c r="DQ507" s="24"/>
      <c r="DR507" s="24"/>
      <c r="DS507" s="24"/>
      <c r="DT507" s="24"/>
      <c r="DU507" s="24"/>
    </row>
    <row r="508" spans="1:125" s="8" customFormat="1" ht="84" x14ac:dyDescent="0.2">
      <c r="A508" s="77">
        <v>41306</v>
      </c>
      <c r="B508" s="78" t="s">
        <v>2772</v>
      </c>
      <c r="C508" s="75" t="s">
        <v>2835</v>
      </c>
      <c r="D508" s="81" t="s">
        <v>2846</v>
      </c>
      <c r="E508" s="75" t="str">
        <f>VLOOKUP(B508&amp;C508,Divipola!$C$2:$F$1138,4,FALSE)</f>
        <v>25873</v>
      </c>
      <c r="F508" s="87"/>
      <c r="G508" s="87"/>
      <c r="H508" s="87"/>
      <c r="I508" s="87"/>
      <c r="J508" s="87"/>
      <c r="K508" s="87"/>
      <c r="L508" s="87"/>
      <c r="M508" s="87"/>
      <c r="N508" s="87"/>
      <c r="O508" s="87"/>
      <c r="P508" s="87"/>
      <c r="Q508" s="87"/>
      <c r="R508" s="87"/>
      <c r="S508" s="87"/>
      <c r="T508" s="87"/>
      <c r="U508" s="88">
        <v>0.5</v>
      </c>
      <c r="V508" s="89"/>
      <c r="W508" s="96">
        <v>0</v>
      </c>
      <c r="X508" s="71">
        <f>CU508</f>
        <v>0</v>
      </c>
      <c r="Y508" s="71">
        <f>CY508</f>
        <v>0</v>
      </c>
      <c r="Z508" s="71">
        <f>DA508+DC508+DE508</f>
        <v>0</v>
      </c>
      <c r="AA508" s="71">
        <f>CW508</f>
        <v>0</v>
      </c>
      <c r="AB508" s="71"/>
      <c r="AC508" s="71">
        <v>0</v>
      </c>
      <c r="AD508" s="71">
        <f>W508+X508+Y508+Z508+AA508+AB508+AC508</f>
        <v>0</v>
      </c>
      <c r="AE508" s="72">
        <v>0</v>
      </c>
      <c r="AF508" s="5"/>
      <c r="AG508" s="6"/>
      <c r="AH508" s="27" t="s">
        <v>3392</v>
      </c>
      <c r="AI508" s="44" t="s">
        <v>3393</v>
      </c>
      <c r="AJ508" s="26"/>
      <c r="AK508" s="5"/>
      <c r="AL508" s="82" t="s">
        <v>3352</v>
      </c>
      <c r="AM508" s="76"/>
      <c r="AN508" s="76"/>
      <c r="AO508" s="76"/>
      <c r="AP508" s="76"/>
      <c r="AQ508" s="76"/>
      <c r="AR508" s="76"/>
      <c r="AS508" s="76"/>
      <c r="AT508" s="76"/>
      <c r="AU508" s="76"/>
      <c r="AV508" s="76"/>
      <c r="AW508" s="76"/>
      <c r="AX508" s="76">
        <f>+AW508*600000</f>
        <v>0</v>
      </c>
      <c r="AY508" s="76"/>
      <c r="AZ508" s="76">
        <f>+AY508*70000</f>
        <v>0</v>
      </c>
      <c r="BA508" s="76"/>
      <c r="BB508" s="76"/>
      <c r="BC508" s="76"/>
      <c r="BD508" s="76">
        <f>+BC508*30000</f>
        <v>0</v>
      </c>
      <c r="BE508" s="76"/>
      <c r="BF508" s="76"/>
      <c r="BG508" s="76"/>
      <c r="BH508" s="76"/>
      <c r="BI508" s="76"/>
      <c r="BJ508" s="76"/>
      <c r="BK508" s="76"/>
      <c r="BL508" s="76">
        <f>+BK508*31500</f>
        <v>0</v>
      </c>
      <c r="BM508" s="76"/>
      <c r="BN508" s="76"/>
      <c r="BO508" s="76"/>
      <c r="BP508" s="76"/>
      <c r="BQ508" s="76"/>
      <c r="BR508" s="76"/>
      <c r="BS508" s="76"/>
      <c r="BT508" s="76"/>
      <c r="BU508" s="76"/>
      <c r="BV508" s="76"/>
      <c r="BW508" s="76"/>
      <c r="BX508" s="76"/>
      <c r="BY508" s="76"/>
      <c r="BZ508" s="76"/>
      <c r="CA508" s="76"/>
      <c r="CB508" s="76"/>
      <c r="CC508" s="76"/>
      <c r="CD508" s="76"/>
      <c r="CE508" s="76"/>
      <c r="CF508" s="76">
        <f>+CE508*28000</f>
        <v>0</v>
      </c>
      <c r="CG508" s="76"/>
      <c r="CH508" s="76">
        <f>+CG508*22500</f>
        <v>0</v>
      </c>
      <c r="CI508" s="76"/>
      <c r="CJ508" s="76">
        <f>+CI508*26000</f>
        <v>0</v>
      </c>
      <c r="CK508" s="76"/>
      <c r="CL508" s="76"/>
      <c r="CM508" s="76"/>
      <c r="CN508" s="76">
        <f>+CM508*22000</f>
        <v>0</v>
      </c>
      <c r="CO508" s="76"/>
      <c r="CP508" s="76">
        <f>+CO508*46000</f>
        <v>0</v>
      </c>
      <c r="CQ508" s="76"/>
      <c r="CR508" s="76">
        <f>+CQ508*49000</f>
        <v>0</v>
      </c>
      <c r="CS508" s="76"/>
      <c r="CT508" s="76"/>
      <c r="CU508" s="56">
        <f>AN508+AP508+AR508+AT508+AV508+AX508+AZ508+BB508+BD508+BF508+BH508+BJ508+BL508+BN508+BP508+BR508+BT508+BV508+BX508+BZ508+CB508+CD508+CF508+CH508+CJ508+CL508+CN508+CP508+CR508+CT508</f>
        <v>0</v>
      </c>
      <c r="CV508" s="76"/>
      <c r="CW508" s="76">
        <f>+CV508*1100</f>
        <v>0</v>
      </c>
      <c r="CX508" s="76"/>
      <c r="CY508" s="76">
        <f>+CX508*106250</f>
        <v>0</v>
      </c>
      <c r="CZ508" s="76"/>
      <c r="DA508" s="76">
        <f>+CZ508*34500</f>
        <v>0</v>
      </c>
      <c r="DB508" s="76"/>
      <c r="DC508" s="76">
        <f>+DB508*25000</f>
        <v>0</v>
      </c>
      <c r="DD508" s="219"/>
      <c r="DE508" s="219"/>
      <c r="DF508" s="164"/>
      <c r="DG508" s="116"/>
      <c r="DH508" s="117"/>
      <c r="DI508" s="24"/>
      <c r="DJ508" s="24"/>
      <c r="DK508" s="24"/>
      <c r="DL508" s="24"/>
      <c r="DM508" s="24"/>
      <c r="DN508" s="24"/>
      <c r="DO508" s="24"/>
      <c r="DP508" s="24"/>
      <c r="DQ508" s="24"/>
      <c r="DR508" s="24"/>
      <c r="DS508" s="24"/>
      <c r="DT508" s="24"/>
      <c r="DU508" s="24"/>
    </row>
    <row r="509" spans="1:125" s="8" customFormat="1" ht="36" x14ac:dyDescent="0.2">
      <c r="A509" s="77">
        <v>41306</v>
      </c>
      <c r="B509" s="225" t="s">
        <v>1695</v>
      </c>
      <c r="C509" s="227" t="s">
        <v>1696</v>
      </c>
      <c r="D509" s="81" t="s">
        <v>2846</v>
      </c>
      <c r="E509" s="75" t="str">
        <f>VLOOKUP(B509&amp;C509,Divipola!$C$2:$F$1138,4,FALSE)</f>
        <v>95001</v>
      </c>
      <c r="F509" s="100"/>
      <c r="G509" s="100"/>
      <c r="H509" s="100"/>
      <c r="I509" s="100"/>
      <c r="J509" s="100"/>
      <c r="K509" s="100"/>
      <c r="L509" s="100"/>
      <c r="M509" s="100"/>
      <c r="N509" s="100"/>
      <c r="O509" s="100"/>
      <c r="P509" s="100"/>
      <c r="Q509" s="100"/>
      <c r="R509" s="100"/>
      <c r="S509" s="100"/>
      <c r="T509" s="100"/>
      <c r="U509" s="136"/>
      <c r="V509" s="89"/>
      <c r="W509" s="96">
        <v>0</v>
      </c>
      <c r="X509" s="71">
        <f>CU509</f>
        <v>0</v>
      </c>
      <c r="Y509" s="71">
        <f>CY509</f>
        <v>0</v>
      </c>
      <c r="Z509" s="71">
        <f>DA509+DC509+DE509</f>
        <v>0</v>
      </c>
      <c r="AA509" s="71">
        <f>CW509</f>
        <v>0</v>
      </c>
      <c r="AB509" s="71"/>
      <c r="AC509" s="71">
        <v>0</v>
      </c>
      <c r="AD509" s="71">
        <f>W509+X509+Y509+Z509+AA509+AB509+AC509</f>
        <v>0</v>
      </c>
      <c r="AE509" s="72">
        <v>0</v>
      </c>
      <c r="AF509" s="5"/>
      <c r="AG509" s="6"/>
      <c r="AH509" s="27" t="s">
        <v>3392</v>
      </c>
      <c r="AI509" s="44" t="s">
        <v>3393</v>
      </c>
      <c r="AJ509" s="26"/>
      <c r="AK509" s="5"/>
      <c r="AL509" s="82" t="s">
        <v>3361</v>
      </c>
      <c r="AM509" s="76"/>
      <c r="AN509" s="76"/>
      <c r="AO509" s="76"/>
      <c r="AP509" s="76"/>
      <c r="AQ509" s="76"/>
      <c r="AR509" s="76"/>
      <c r="AS509" s="76"/>
      <c r="AT509" s="76"/>
      <c r="AU509" s="76"/>
      <c r="AV509" s="76"/>
      <c r="AW509" s="76"/>
      <c r="AX509" s="76">
        <f>+AW509*600000</f>
        <v>0</v>
      </c>
      <c r="AY509" s="76"/>
      <c r="AZ509" s="76">
        <f>+AY509*70000</f>
        <v>0</v>
      </c>
      <c r="BA509" s="76"/>
      <c r="BB509" s="76"/>
      <c r="BC509" s="76"/>
      <c r="BD509" s="76">
        <f>+BC509*30000</f>
        <v>0</v>
      </c>
      <c r="BE509" s="76"/>
      <c r="BF509" s="76"/>
      <c r="BG509" s="76"/>
      <c r="BH509" s="76"/>
      <c r="BI509" s="76"/>
      <c r="BJ509" s="76"/>
      <c r="BK509" s="76"/>
      <c r="BL509" s="76">
        <f>+BK509*31500</f>
        <v>0</v>
      </c>
      <c r="BM509" s="76"/>
      <c r="BN509" s="76"/>
      <c r="BO509" s="76"/>
      <c r="BP509" s="76"/>
      <c r="BQ509" s="76"/>
      <c r="BR509" s="76"/>
      <c r="BS509" s="76"/>
      <c r="BT509" s="76"/>
      <c r="BU509" s="76"/>
      <c r="BV509" s="76"/>
      <c r="BW509" s="76"/>
      <c r="BX509" s="76"/>
      <c r="BY509" s="76"/>
      <c r="BZ509" s="76"/>
      <c r="CA509" s="76"/>
      <c r="CB509" s="76"/>
      <c r="CC509" s="76"/>
      <c r="CD509" s="76"/>
      <c r="CE509" s="76"/>
      <c r="CF509" s="76">
        <f>+CE509*28000</f>
        <v>0</v>
      </c>
      <c r="CG509" s="76"/>
      <c r="CH509" s="76">
        <f>+CG509*22500</f>
        <v>0</v>
      </c>
      <c r="CI509" s="76"/>
      <c r="CJ509" s="76">
        <f>+CI509*26000</f>
        <v>0</v>
      </c>
      <c r="CK509" s="76"/>
      <c r="CL509" s="76"/>
      <c r="CM509" s="76"/>
      <c r="CN509" s="76">
        <f>+CM509*22000</f>
        <v>0</v>
      </c>
      <c r="CO509" s="76"/>
      <c r="CP509" s="76">
        <f>+CO509*46000</f>
        <v>0</v>
      </c>
      <c r="CQ509" s="76"/>
      <c r="CR509" s="76">
        <f>+CQ509*49000</f>
        <v>0</v>
      </c>
      <c r="CS509" s="76"/>
      <c r="CT509" s="76"/>
      <c r="CU509" s="56">
        <f>AN509+AP509+AR509+AT509+AV509+AX509+AZ509+BB509+BD509+BF509+BH509+BJ509+BL509+BN509+BP509+BR509+BT509+BV509+BX509+BZ509+CB509+CD509+CF509+CH509+CJ509+CL509+CN509+CP509+CR509+CT509</f>
        <v>0</v>
      </c>
      <c r="CV509" s="76"/>
      <c r="CW509" s="76">
        <f>+CV509*1100</f>
        <v>0</v>
      </c>
      <c r="CX509" s="76"/>
      <c r="CY509" s="76">
        <f>+CX509*106250</f>
        <v>0</v>
      </c>
      <c r="CZ509" s="76"/>
      <c r="DA509" s="76">
        <f>+CZ509*34500</f>
        <v>0</v>
      </c>
      <c r="DB509" s="76"/>
      <c r="DC509" s="76">
        <f>+DB509*25000</f>
        <v>0</v>
      </c>
      <c r="DD509" s="219"/>
      <c r="DE509" s="219"/>
      <c r="DF509" s="164"/>
      <c r="DG509" s="116"/>
      <c r="DH509" s="117"/>
      <c r="DI509" s="24"/>
      <c r="DJ509" s="24"/>
      <c r="DK509" s="24"/>
      <c r="DL509" s="24"/>
      <c r="DM509" s="24"/>
      <c r="DN509" s="24"/>
      <c r="DO509" s="24"/>
      <c r="DP509" s="24"/>
      <c r="DQ509" s="24"/>
      <c r="DR509" s="24"/>
      <c r="DS509" s="24"/>
      <c r="DT509" s="24"/>
      <c r="DU509" s="24"/>
    </row>
    <row r="510" spans="1:125" s="8" customFormat="1" ht="24" x14ac:dyDescent="0.2">
      <c r="A510" s="77">
        <v>41306</v>
      </c>
      <c r="B510" s="225" t="s">
        <v>2811</v>
      </c>
      <c r="C510" s="227" t="s">
        <v>2111</v>
      </c>
      <c r="D510" s="227" t="s">
        <v>2859</v>
      </c>
      <c r="E510" s="75" t="str">
        <f>VLOOKUP(B510&amp;C510,Divipola!$C$2:$F$1138,4,FALSE)</f>
        <v>52490</v>
      </c>
      <c r="F510" s="100"/>
      <c r="G510" s="100"/>
      <c r="H510" s="100"/>
      <c r="I510" s="100">
        <v>13</v>
      </c>
      <c r="J510" s="100">
        <v>2</v>
      </c>
      <c r="K510" s="100">
        <v>2</v>
      </c>
      <c r="L510" s="100"/>
      <c r="M510" s="100"/>
      <c r="N510" s="100"/>
      <c r="O510" s="100"/>
      <c r="P510" s="100"/>
      <c r="Q510" s="100"/>
      <c r="R510" s="100"/>
      <c r="S510" s="100"/>
      <c r="T510" s="100"/>
      <c r="U510" s="136"/>
      <c r="V510" s="89"/>
      <c r="W510" s="96">
        <v>0</v>
      </c>
      <c r="X510" s="71">
        <f>CU510</f>
        <v>0</v>
      </c>
      <c r="Y510" s="71">
        <f>CY510</f>
        <v>0</v>
      </c>
      <c r="Z510" s="71">
        <f>DA510+DC510+DE510</f>
        <v>0</v>
      </c>
      <c r="AA510" s="71">
        <f>CW510</f>
        <v>0</v>
      </c>
      <c r="AB510" s="71"/>
      <c r="AC510" s="71">
        <v>0</v>
      </c>
      <c r="AD510" s="71">
        <f>W510+X510+Y510+Z510+AA510+AB510+AC510</f>
        <v>0</v>
      </c>
      <c r="AE510" s="72">
        <v>0</v>
      </c>
      <c r="AF510" s="5"/>
      <c r="AG510" s="6"/>
      <c r="AH510" s="27" t="s">
        <v>3392</v>
      </c>
      <c r="AI510" s="44" t="s">
        <v>3393</v>
      </c>
      <c r="AJ510" s="26"/>
      <c r="AK510" s="5"/>
      <c r="AL510" s="82" t="s">
        <v>3358</v>
      </c>
      <c r="AM510" s="76"/>
      <c r="AN510" s="76"/>
      <c r="AO510" s="76"/>
      <c r="AP510" s="76"/>
      <c r="AQ510" s="76"/>
      <c r="AR510" s="76"/>
      <c r="AS510" s="76"/>
      <c r="AT510" s="76"/>
      <c r="AU510" s="76"/>
      <c r="AV510" s="76"/>
      <c r="AW510" s="76"/>
      <c r="AX510" s="76">
        <f>+AW510*600000</f>
        <v>0</v>
      </c>
      <c r="AY510" s="76"/>
      <c r="AZ510" s="76">
        <f>+AY510*70000</f>
        <v>0</v>
      </c>
      <c r="BA510" s="76"/>
      <c r="BB510" s="76"/>
      <c r="BC510" s="76"/>
      <c r="BD510" s="76">
        <f>+BC510*30000</f>
        <v>0</v>
      </c>
      <c r="BE510" s="76"/>
      <c r="BF510" s="76"/>
      <c r="BG510" s="76"/>
      <c r="BH510" s="76"/>
      <c r="BI510" s="76"/>
      <c r="BJ510" s="76"/>
      <c r="BK510" s="76"/>
      <c r="BL510" s="76">
        <f>+BK510*31500</f>
        <v>0</v>
      </c>
      <c r="BM510" s="76"/>
      <c r="BN510" s="76"/>
      <c r="BO510" s="76"/>
      <c r="BP510" s="76"/>
      <c r="BQ510" s="76"/>
      <c r="BR510" s="76"/>
      <c r="BS510" s="76"/>
      <c r="BT510" s="76"/>
      <c r="BU510" s="76"/>
      <c r="BV510" s="76"/>
      <c r="BW510" s="76"/>
      <c r="BX510" s="76"/>
      <c r="BY510" s="76"/>
      <c r="BZ510" s="76"/>
      <c r="CA510" s="76"/>
      <c r="CB510" s="76"/>
      <c r="CC510" s="76"/>
      <c r="CD510" s="76"/>
      <c r="CE510" s="76"/>
      <c r="CF510" s="76">
        <f>+CE510*28000</f>
        <v>0</v>
      </c>
      <c r="CG510" s="76"/>
      <c r="CH510" s="76">
        <f>+CG510*22500</f>
        <v>0</v>
      </c>
      <c r="CI510" s="76"/>
      <c r="CJ510" s="76">
        <f>+CI510*26000</f>
        <v>0</v>
      </c>
      <c r="CK510" s="76"/>
      <c r="CL510" s="76"/>
      <c r="CM510" s="76"/>
      <c r="CN510" s="76">
        <f>+CM510*22000</f>
        <v>0</v>
      </c>
      <c r="CO510" s="76"/>
      <c r="CP510" s="76">
        <f>+CO510*46000</f>
        <v>0</v>
      </c>
      <c r="CQ510" s="76"/>
      <c r="CR510" s="76">
        <f>+CQ510*49000</f>
        <v>0</v>
      </c>
      <c r="CS510" s="76"/>
      <c r="CT510" s="76"/>
      <c r="CU510" s="56">
        <f>AN510+AP510+AR510+AT510+AV510+AX510+AZ510+BB510+BD510+BF510+BH510+BJ510+BL510+BN510+BP510+BR510+BT510+BV510+BX510+BZ510+CB510+CD510+CF510+CH510+CJ510+CL510+CN510+CP510+CR510+CT510</f>
        <v>0</v>
      </c>
      <c r="CV510" s="76"/>
      <c r="CW510" s="76">
        <f>+CV510*1100</f>
        <v>0</v>
      </c>
      <c r="CX510" s="76"/>
      <c r="CY510" s="76">
        <f>+CX510*106250</f>
        <v>0</v>
      </c>
      <c r="CZ510" s="76"/>
      <c r="DA510" s="76">
        <f>+CZ510*34500</f>
        <v>0</v>
      </c>
      <c r="DB510" s="76"/>
      <c r="DC510" s="76">
        <f>+DB510*25000</f>
        <v>0</v>
      </c>
      <c r="DD510" s="219"/>
      <c r="DE510" s="219"/>
      <c r="DF510" s="164"/>
      <c r="DG510" s="116"/>
      <c r="DH510" s="117"/>
      <c r="DI510" s="24"/>
      <c r="DJ510" s="24"/>
      <c r="DK510" s="24"/>
      <c r="DL510" s="24"/>
      <c r="DM510" s="24"/>
      <c r="DN510" s="24"/>
      <c r="DO510" s="24"/>
      <c r="DP510" s="24"/>
      <c r="DQ510" s="24"/>
      <c r="DR510" s="24"/>
      <c r="DS510" s="24"/>
      <c r="DT510" s="24"/>
      <c r="DU510" s="24"/>
    </row>
    <row r="511" spans="1:125" s="8" customFormat="1" ht="48" x14ac:dyDescent="0.2">
      <c r="A511" s="77">
        <v>41306</v>
      </c>
      <c r="B511" s="225" t="s">
        <v>3131</v>
      </c>
      <c r="C511" s="227" t="s">
        <v>2747</v>
      </c>
      <c r="D511" s="227" t="s">
        <v>2882</v>
      </c>
      <c r="E511" s="75" t="str">
        <f>VLOOKUP(B511&amp;C511,Divipola!$C$2:$F$1138,4,FALSE)</f>
        <v>86001</v>
      </c>
      <c r="F511" s="100"/>
      <c r="G511" s="100"/>
      <c r="H511" s="100"/>
      <c r="I511" s="100">
        <v>10</v>
      </c>
      <c r="J511" s="100">
        <v>2</v>
      </c>
      <c r="K511" s="100">
        <v>2</v>
      </c>
      <c r="L511" s="100"/>
      <c r="M511" s="100"/>
      <c r="N511" s="100"/>
      <c r="O511" s="100"/>
      <c r="P511" s="100"/>
      <c r="Q511" s="100"/>
      <c r="R511" s="100"/>
      <c r="S511" s="100"/>
      <c r="T511" s="100"/>
      <c r="U511" s="136"/>
      <c r="V511" s="89"/>
      <c r="W511" s="96">
        <v>0</v>
      </c>
      <c r="X511" s="71">
        <f>CU511</f>
        <v>0</v>
      </c>
      <c r="Y511" s="71">
        <f>CY511</f>
        <v>0</v>
      </c>
      <c r="Z511" s="71">
        <f>DA511+DC511+DE511</f>
        <v>0</v>
      </c>
      <c r="AA511" s="71">
        <f>CW511</f>
        <v>0</v>
      </c>
      <c r="AB511" s="71"/>
      <c r="AC511" s="71">
        <v>0</v>
      </c>
      <c r="AD511" s="71">
        <f>W511+X511+Y511+Z511+AA511+AB511+AC511</f>
        <v>0</v>
      </c>
      <c r="AE511" s="72">
        <v>0</v>
      </c>
      <c r="AF511" s="5"/>
      <c r="AG511" s="6"/>
      <c r="AH511" s="27" t="s">
        <v>3392</v>
      </c>
      <c r="AI511" s="44" t="s">
        <v>3393</v>
      </c>
      <c r="AJ511" s="26"/>
      <c r="AK511" s="5"/>
      <c r="AL511" s="82" t="s">
        <v>3365</v>
      </c>
      <c r="AM511" s="76"/>
      <c r="AN511" s="76"/>
      <c r="AO511" s="76"/>
      <c r="AP511" s="76"/>
      <c r="AQ511" s="76"/>
      <c r="AR511" s="76"/>
      <c r="AS511" s="76"/>
      <c r="AT511" s="76"/>
      <c r="AU511" s="76"/>
      <c r="AV511" s="76"/>
      <c r="AW511" s="76"/>
      <c r="AX511" s="76">
        <f>+AW511*600000</f>
        <v>0</v>
      </c>
      <c r="AY511" s="76"/>
      <c r="AZ511" s="76">
        <f>+AY511*70000</f>
        <v>0</v>
      </c>
      <c r="BA511" s="76"/>
      <c r="BB511" s="76"/>
      <c r="BC511" s="76"/>
      <c r="BD511" s="76">
        <f>+BC511*30000</f>
        <v>0</v>
      </c>
      <c r="BE511" s="76"/>
      <c r="BF511" s="76"/>
      <c r="BG511" s="76"/>
      <c r="BH511" s="76"/>
      <c r="BI511" s="76"/>
      <c r="BJ511" s="76"/>
      <c r="BK511" s="76"/>
      <c r="BL511" s="76">
        <f>+BK511*31500</f>
        <v>0</v>
      </c>
      <c r="BM511" s="76"/>
      <c r="BN511" s="76"/>
      <c r="BO511" s="76"/>
      <c r="BP511" s="76"/>
      <c r="BQ511" s="76"/>
      <c r="BR511" s="76"/>
      <c r="BS511" s="76"/>
      <c r="BT511" s="76"/>
      <c r="BU511" s="76"/>
      <c r="BV511" s="76"/>
      <c r="BW511" s="76"/>
      <c r="BX511" s="76"/>
      <c r="BY511" s="76"/>
      <c r="BZ511" s="76"/>
      <c r="CA511" s="76"/>
      <c r="CB511" s="76"/>
      <c r="CC511" s="76"/>
      <c r="CD511" s="76"/>
      <c r="CE511" s="76"/>
      <c r="CF511" s="76">
        <f>+CE511*28000</f>
        <v>0</v>
      </c>
      <c r="CG511" s="76"/>
      <c r="CH511" s="76">
        <f>+CG511*22500</f>
        <v>0</v>
      </c>
      <c r="CI511" s="76"/>
      <c r="CJ511" s="76">
        <f>+CI511*26000</f>
        <v>0</v>
      </c>
      <c r="CK511" s="76"/>
      <c r="CL511" s="76"/>
      <c r="CM511" s="76"/>
      <c r="CN511" s="76">
        <f>+CM511*22000</f>
        <v>0</v>
      </c>
      <c r="CO511" s="76"/>
      <c r="CP511" s="76">
        <f>+CO511*46000</f>
        <v>0</v>
      </c>
      <c r="CQ511" s="76"/>
      <c r="CR511" s="76">
        <f>+CQ511*49000</f>
        <v>0</v>
      </c>
      <c r="CS511" s="76"/>
      <c r="CT511" s="76"/>
      <c r="CU511" s="56">
        <f>AN511+AP511+AR511+AT511+AV511+AX511+AZ511+BB511+BD511+BF511+BH511+BJ511+BL511+BN511+BP511+BR511+BT511+BV511+BX511+BZ511+CB511+CD511+CF511+CH511+CJ511+CL511+CN511+CP511+CR511+CT511</f>
        <v>0</v>
      </c>
      <c r="CV511" s="76"/>
      <c r="CW511" s="76">
        <f>+CV511*1100</f>
        <v>0</v>
      </c>
      <c r="CX511" s="76"/>
      <c r="CY511" s="76">
        <f>+CX511*106250</f>
        <v>0</v>
      </c>
      <c r="CZ511" s="76"/>
      <c r="DA511" s="76">
        <f>+CZ511*34500</f>
        <v>0</v>
      </c>
      <c r="DB511" s="76"/>
      <c r="DC511" s="76">
        <f>+DB511*25000</f>
        <v>0</v>
      </c>
      <c r="DD511" s="219"/>
      <c r="DE511" s="219"/>
      <c r="DF511" s="164"/>
      <c r="DG511" s="116"/>
      <c r="DH511" s="117"/>
      <c r="DI511" s="24"/>
      <c r="DJ511" s="24"/>
      <c r="DK511" s="24"/>
      <c r="DL511" s="24"/>
      <c r="DM511" s="24"/>
      <c r="DN511" s="24"/>
      <c r="DO511" s="24"/>
      <c r="DP511" s="24"/>
      <c r="DQ511" s="24"/>
      <c r="DR511" s="24"/>
      <c r="DS511" s="24"/>
      <c r="DT511" s="24"/>
      <c r="DU511" s="24"/>
    </row>
    <row r="512" spans="1:125" s="8" customFormat="1" ht="36" x14ac:dyDescent="0.2">
      <c r="A512" s="77">
        <v>41306</v>
      </c>
      <c r="B512" s="225" t="s">
        <v>2860</v>
      </c>
      <c r="C512" s="227" t="s">
        <v>2198</v>
      </c>
      <c r="D512" s="227" t="s">
        <v>2859</v>
      </c>
      <c r="E512" s="75" t="str">
        <f>VLOOKUP(B512&amp;C512,Divipola!$C$2:$F$1138,4,FALSE)</f>
        <v>63130</v>
      </c>
      <c r="F512" s="87"/>
      <c r="G512" s="87"/>
      <c r="H512" s="87"/>
      <c r="I512" s="87">
        <v>5</v>
      </c>
      <c r="J512" s="87">
        <v>1</v>
      </c>
      <c r="K512" s="87"/>
      <c r="L512" s="87">
        <v>1</v>
      </c>
      <c r="M512" s="87"/>
      <c r="N512" s="87"/>
      <c r="O512" s="87"/>
      <c r="P512" s="87"/>
      <c r="Q512" s="87"/>
      <c r="R512" s="87"/>
      <c r="S512" s="87"/>
      <c r="T512" s="87"/>
      <c r="U512" s="88"/>
      <c r="V512" s="89"/>
      <c r="W512" s="96">
        <v>0</v>
      </c>
      <c r="X512" s="71">
        <f>CU512</f>
        <v>0</v>
      </c>
      <c r="Y512" s="71">
        <f>CY512</f>
        <v>0</v>
      </c>
      <c r="Z512" s="71">
        <f>DA512+DC512+DE512</f>
        <v>0</v>
      </c>
      <c r="AA512" s="71">
        <f>CW512</f>
        <v>0</v>
      </c>
      <c r="AB512" s="71"/>
      <c r="AC512" s="71">
        <v>0</v>
      </c>
      <c r="AD512" s="71">
        <f>W512+X512+Y512+Z512+AA512+AB512+AC512</f>
        <v>0</v>
      </c>
      <c r="AE512" s="72">
        <v>0</v>
      </c>
      <c r="AF512" s="5"/>
      <c r="AG512" s="6"/>
      <c r="AH512" s="27" t="s">
        <v>3392</v>
      </c>
      <c r="AI512" s="44" t="s">
        <v>3393</v>
      </c>
      <c r="AJ512" s="26"/>
      <c r="AK512" s="5"/>
      <c r="AL512" s="82" t="s">
        <v>3360</v>
      </c>
      <c r="AM512" s="76"/>
      <c r="AN512" s="76"/>
      <c r="AO512" s="76"/>
      <c r="AP512" s="76"/>
      <c r="AQ512" s="76"/>
      <c r="AR512" s="76"/>
      <c r="AS512" s="76"/>
      <c r="AT512" s="76"/>
      <c r="AU512" s="76"/>
      <c r="AV512" s="76"/>
      <c r="AW512" s="76"/>
      <c r="AX512" s="76">
        <f>+AW512*600000</f>
        <v>0</v>
      </c>
      <c r="AY512" s="76"/>
      <c r="AZ512" s="76">
        <f>+AY512*70000</f>
        <v>0</v>
      </c>
      <c r="BA512" s="76"/>
      <c r="BB512" s="76"/>
      <c r="BC512" s="76"/>
      <c r="BD512" s="76">
        <f>+BC512*30000</f>
        <v>0</v>
      </c>
      <c r="BE512" s="76"/>
      <c r="BF512" s="76"/>
      <c r="BG512" s="76"/>
      <c r="BH512" s="76"/>
      <c r="BI512" s="76"/>
      <c r="BJ512" s="76"/>
      <c r="BK512" s="76"/>
      <c r="BL512" s="76">
        <f>+BK512*31500</f>
        <v>0</v>
      </c>
      <c r="BM512" s="76"/>
      <c r="BN512" s="76"/>
      <c r="BO512" s="76"/>
      <c r="BP512" s="76"/>
      <c r="BQ512" s="76"/>
      <c r="BR512" s="76"/>
      <c r="BS512" s="76"/>
      <c r="BT512" s="76"/>
      <c r="BU512" s="76"/>
      <c r="BV512" s="76"/>
      <c r="BW512" s="76"/>
      <c r="BX512" s="76"/>
      <c r="BY512" s="76"/>
      <c r="BZ512" s="76"/>
      <c r="CA512" s="76"/>
      <c r="CB512" s="76"/>
      <c r="CC512" s="76"/>
      <c r="CD512" s="76"/>
      <c r="CE512" s="76"/>
      <c r="CF512" s="76">
        <f>+CE512*28000</f>
        <v>0</v>
      </c>
      <c r="CG512" s="76"/>
      <c r="CH512" s="76">
        <f>+CG512*22500</f>
        <v>0</v>
      </c>
      <c r="CI512" s="76"/>
      <c r="CJ512" s="76">
        <f>+CI512*26000</f>
        <v>0</v>
      </c>
      <c r="CK512" s="76"/>
      <c r="CL512" s="76"/>
      <c r="CM512" s="76"/>
      <c r="CN512" s="76">
        <f>+CM512*22000</f>
        <v>0</v>
      </c>
      <c r="CO512" s="76"/>
      <c r="CP512" s="76">
        <f>+CO512*46000</f>
        <v>0</v>
      </c>
      <c r="CQ512" s="76"/>
      <c r="CR512" s="76">
        <f>+CQ512*49000</f>
        <v>0</v>
      </c>
      <c r="CS512" s="76"/>
      <c r="CT512" s="76"/>
      <c r="CU512" s="56">
        <f>AN512+AP512+AR512+AT512+AV512+AX512+AZ512+BB512+BD512+BF512+BH512+BJ512+BL512+BN512+BP512+BR512+BT512+BV512+BX512+BZ512+CB512+CD512+CF512+CH512+CJ512+CL512+CN512+CP512+CR512+CT512</f>
        <v>0</v>
      </c>
      <c r="CV512" s="76"/>
      <c r="CW512" s="76">
        <f>+CV512*1100</f>
        <v>0</v>
      </c>
      <c r="CX512" s="76"/>
      <c r="CY512" s="76">
        <f>+CX512*106250</f>
        <v>0</v>
      </c>
      <c r="CZ512" s="76"/>
      <c r="DA512" s="76">
        <f>+CZ512*34500</f>
        <v>0</v>
      </c>
      <c r="DB512" s="76"/>
      <c r="DC512" s="76">
        <f>+DB512*25000</f>
        <v>0</v>
      </c>
      <c r="DD512" s="219"/>
      <c r="DE512" s="219"/>
      <c r="DF512" s="164"/>
      <c r="DG512" s="116"/>
      <c r="DH512" s="117"/>
      <c r="DI512" s="24"/>
      <c r="DJ512" s="24"/>
      <c r="DK512" s="24"/>
      <c r="DL512" s="24"/>
      <c r="DM512" s="24"/>
      <c r="DN512" s="24"/>
      <c r="DO512" s="24"/>
      <c r="DP512" s="24"/>
      <c r="DQ512" s="24"/>
      <c r="DR512" s="24"/>
      <c r="DS512" s="24"/>
      <c r="DT512" s="24"/>
      <c r="DU512" s="24"/>
    </row>
    <row r="513" spans="1:125" s="8" customFormat="1" ht="22.5" x14ac:dyDescent="0.2">
      <c r="A513" s="77">
        <v>41306</v>
      </c>
      <c r="B513" s="78" t="s">
        <v>2851</v>
      </c>
      <c r="C513" s="75" t="s">
        <v>2777</v>
      </c>
      <c r="D513" s="75" t="s">
        <v>2859</v>
      </c>
      <c r="E513" s="75" t="str">
        <f>VLOOKUP(B513&amp;C513,Divipola!$C$2:$F$1138,4,FALSE)</f>
        <v>76100</v>
      </c>
      <c r="F513" s="163"/>
      <c r="G513" s="163"/>
      <c r="H513" s="163"/>
      <c r="I513" s="163">
        <v>6</v>
      </c>
      <c r="J513" s="163">
        <v>1</v>
      </c>
      <c r="K513" s="163">
        <v>1</v>
      </c>
      <c r="L513" s="163"/>
      <c r="M513" s="163"/>
      <c r="N513" s="163"/>
      <c r="O513" s="163"/>
      <c r="P513" s="163"/>
      <c r="Q513" s="163"/>
      <c r="R513" s="163"/>
      <c r="S513" s="163"/>
      <c r="T513" s="163"/>
      <c r="U513" s="163"/>
      <c r="V513" s="134"/>
      <c r="W513" s="96">
        <v>0</v>
      </c>
      <c r="X513" s="71">
        <f>CU513</f>
        <v>0</v>
      </c>
      <c r="Y513" s="71">
        <f>CY513</f>
        <v>0</v>
      </c>
      <c r="Z513" s="71">
        <f>DA513+DC513+DE513</f>
        <v>0</v>
      </c>
      <c r="AA513" s="71">
        <f>CW513</f>
        <v>0</v>
      </c>
      <c r="AB513" s="71"/>
      <c r="AC513" s="71">
        <v>0</v>
      </c>
      <c r="AD513" s="71">
        <f>W513+X513+Y513+Z513+AA513+AB513+AC513</f>
        <v>0</v>
      </c>
      <c r="AE513" s="72">
        <v>0</v>
      </c>
      <c r="AF513" s="5"/>
      <c r="AG513" s="6"/>
      <c r="AH513" s="27" t="s">
        <v>3392</v>
      </c>
      <c r="AI513" s="44" t="s">
        <v>3393</v>
      </c>
      <c r="AJ513" s="26"/>
      <c r="AK513" s="5"/>
      <c r="AL513" s="82" t="s">
        <v>3503</v>
      </c>
      <c r="AM513" s="76"/>
      <c r="AN513" s="76"/>
      <c r="AO513" s="76"/>
      <c r="AP513" s="76"/>
      <c r="AQ513" s="76"/>
      <c r="AR513" s="76"/>
      <c r="AS513" s="76"/>
      <c r="AT513" s="76"/>
      <c r="AU513" s="76"/>
      <c r="AV513" s="76"/>
      <c r="AW513" s="76"/>
      <c r="AX513" s="76">
        <f>+AW513*600000</f>
        <v>0</v>
      </c>
      <c r="AY513" s="76"/>
      <c r="AZ513" s="76">
        <f>+AY513*70000</f>
        <v>0</v>
      </c>
      <c r="BA513" s="76"/>
      <c r="BB513" s="76"/>
      <c r="BC513" s="76"/>
      <c r="BD513" s="76">
        <f>+BC513*30000</f>
        <v>0</v>
      </c>
      <c r="BE513" s="76"/>
      <c r="BF513" s="76"/>
      <c r="BG513" s="76"/>
      <c r="BH513" s="76"/>
      <c r="BI513" s="76"/>
      <c r="BJ513" s="76"/>
      <c r="BK513" s="76"/>
      <c r="BL513" s="76">
        <f>+BK513*31500</f>
        <v>0</v>
      </c>
      <c r="BM513" s="76"/>
      <c r="BN513" s="76"/>
      <c r="BO513" s="76"/>
      <c r="BP513" s="76"/>
      <c r="BQ513" s="76"/>
      <c r="BR513" s="76"/>
      <c r="BS513" s="76"/>
      <c r="BT513" s="76"/>
      <c r="BU513" s="76"/>
      <c r="BV513" s="76"/>
      <c r="BW513" s="76"/>
      <c r="BX513" s="76"/>
      <c r="BY513" s="76"/>
      <c r="BZ513" s="76"/>
      <c r="CA513" s="76"/>
      <c r="CB513" s="76"/>
      <c r="CC513" s="76"/>
      <c r="CD513" s="76"/>
      <c r="CE513" s="76"/>
      <c r="CF513" s="76">
        <f>+CE513*28000</f>
        <v>0</v>
      </c>
      <c r="CG513" s="76"/>
      <c r="CH513" s="76">
        <f>+CG513*22500</f>
        <v>0</v>
      </c>
      <c r="CI513" s="76"/>
      <c r="CJ513" s="76">
        <f>+CI513*26000</f>
        <v>0</v>
      </c>
      <c r="CK513" s="76"/>
      <c r="CL513" s="76"/>
      <c r="CM513" s="76"/>
      <c r="CN513" s="76">
        <f>+CM513*22000</f>
        <v>0</v>
      </c>
      <c r="CO513" s="76"/>
      <c r="CP513" s="76">
        <f>+CO513*46000</f>
        <v>0</v>
      </c>
      <c r="CQ513" s="76"/>
      <c r="CR513" s="76">
        <f>+CQ513*49000</f>
        <v>0</v>
      </c>
      <c r="CS513" s="76"/>
      <c r="CT513" s="76"/>
      <c r="CU513" s="56">
        <f>AN513+AP513+AR513+AT513+AV513+AX513+AZ513+BB513+BD513+BF513+BH513+BJ513+BL513+BN513+BP513+BR513+BT513+BV513+BX513+BZ513+CB513+CD513+CF513+CH513+CJ513+CL513+CN513+CP513+CR513+CT513</f>
        <v>0</v>
      </c>
      <c r="CV513" s="76"/>
      <c r="CW513" s="76">
        <f>+CV513*1100</f>
        <v>0</v>
      </c>
      <c r="CX513" s="76"/>
      <c r="CY513" s="76">
        <f>+CX513*106250</f>
        <v>0</v>
      </c>
      <c r="CZ513" s="76"/>
      <c r="DA513" s="76">
        <f>+CZ513*34500</f>
        <v>0</v>
      </c>
      <c r="DB513" s="76"/>
      <c r="DC513" s="76">
        <f>+DB513*25000</f>
        <v>0</v>
      </c>
      <c r="DD513" s="219"/>
      <c r="DE513" s="219"/>
      <c r="DF513" s="166"/>
      <c r="DG513" s="116"/>
      <c r="DH513" s="117"/>
      <c r="DI513" s="24"/>
      <c r="DJ513" s="24"/>
      <c r="DK513" s="24"/>
      <c r="DL513" s="24"/>
      <c r="DM513" s="24"/>
      <c r="DN513" s="24"/>
      <c r="DO513" s="24"/>
      <c r="DP513" s="24"/>
      <c r="DQ513" s="24"/>
      <c r="DR513" s="24"/>
      <c r="DS513" s="24"/>
      <c r="DT513" s="24"/>
      <c r="DU513" s="24"/>
    </row>
    <row r="514" spans="1:125" s="8" customFormat="1" ht="60" x14ac:dyDescent="0.2">
      <c r="A514" s="77">
        <v>41306</v>
      </c>
      <c r="B514" s="225" t="s">
        <v>2851</v>
      </c>
      <c r="C514" s="227" t="s">
        <v>1686</v>
      </c>
      <c r="D514" s="227" t="s">
        <v>2859</v>
      </c>
      <c r="E514" s="75" t="str">
        <f>VLOOKUP(B514&amp;C514,Divipola!$C$2:$F$1138,4,FALSE)</f>
        <v>76001</v>
      </c>
      <c r="F514" s="87"/>
      <c r="G514" s="87"/>
      <c r="H514" s="87"/>
      <c r="I514" s="87"/>
      <c r="J514" s="87"/>
      <c r="K514" s="87"/>
      <c r="L514" s="87"/>
      <c r="M514" s="87"/>
      <c r="N514" s="87"/>
      <c r="O514" s="87"/>
      <c r="P514" s="87"/>
      <c r="Q514" s="87"/>
      <c r="R514" s="87"/>
      <c r="S514" s="87"/>
      <c r="T514" s="87"/>
      <c r="U514" s="88"/>
      <c r="V514" s="89"/>
      <c r="W514" s="96">
        <v>0</v>
      </c>
      <c r="X514" s="71">
        <f>CU514</f>
        <v>0</v>
      </c>
      <c r="Y514" s="71">
        <f>CY514</f>
        <v>0</v>
      </c>
      <c r="Z514" s="71">
        <f>DA514+DC514+DE514</f>
        <v>0</v>
      </c>
      <c r="AA514" s="71">
        <f>CW514</f>
        <v>0</v>
      </c>
      <c r="AB514" s="71"/>
      <c r="AC514" s="71">
        <v>0</v>
      </c>
      <c r="AD514" s="71">
        <f>W514+X514+Y514+Z514+AA514+AB514+AC514</f>
        <v>0</v>
      </c>
      <c r="AE514" s="72">
        <v>0</v>
      </c>
      <c r="AF514" s="5"/>
      <c r="AG514" s="6"/>
      <c r="AH514" s="27" t="s">
        <v>3392</v>
      </c>
      <c r="AI514" s="44" t="s">
        <v>3393</v>
      </c>
      <c r="AJ514" s="26"/>
      <c r="AK514" s="5"/>
      <c r="AL514" s="82" t="s">
        <v>3366</v>
      </c>
      <c r="AM514" s="76"/>
      <c r="AN514" s="76"/>
      <c r="AO514" s="76"/>
      <c r="AP514" s="76"/>
      <c r="AQ514" s="76"/>
      <c r="AR514" s="76"/>
      <c r="AS514" s="76"/>
      <c r="AT514" s="76"/>
      <c r="AU514" s="76"/>
      <c r="AV514" s="76"/>
      <c r="AW514" s="76"/>
      <c r="AX514" s="76">
        <f>+AW514*600000</f>
        <v>0</v>
      </c>
      <c r="AY514" s="76"/>
      <c r="AZ514" s="76">
        <f>+AY514*70000</f>
        <v>0</v>
      </c>
      <c r="BA514" s="76"/>
      <c r="BB514" s="76"/>
      <c r="BC514" s="76"/>
      <c r="BD514" s="76">
        <f>+BC514*30000</f>
        <v>0</v>
      </c>
      <c r="BE514" s="76"/>
      <c r="BF514" s="76"/>
      <c r="BG514" s="76"/>
      <c r="BH514" s="76"/>
      <c r="BI514" s="76"/>
      <c r="BJ514" s="76"/>
      <c r="BK514" s="76"/>
      <c r="BL514" s="76">
        <f>+BK514*31500</f>
        <v>0</v>
      </c>
      <c r="BM514" s="76"/>
      <c r="BN514" s="76"/>
      <c r="BO514" s="76"/>
      <c r="BP514" s="76"/>
      <c r="BQ514" s="76"/>
      <c r="BR514" s="76"/>
      <c r="BS514" s="76"/>
      <c r="BT514" s="76"/>
      <c r="BU514" s="76"/>
      <c r="BV514" s="76"/>
      <c r="BW514" s="76"/>
      <c r="BX514" s="76"/>
      <c r="BY514" s="76"/>
      <c r="BZ514" s="76"/>
      <c r="CA514" s="76"/>
      <c r="CB514" s="76"/>
      <c r="CC514" s="76"/>
      <c r="CD514" s="76"/>
      <c r="CE514" s="76"/>
      <c r="CF514" s="76">
        <f>+CE514*28000</f>
        <v>0</v>
      </c>
      <c r="CG514" s="76"/>
      <c r="CH514" s="76">
        <f>+CG514*22500</f>
        <v>0</v>
      </c>
      <c r="CI514" s="76"/>
      <c r="CJ514" s="76">
        <f>+CI514*26000</f>
        <v>0</v>
      </c>
      <c r="CK514" s="76"/>
      <c r="CL514" s="76"/>
      <c r="CM514" s="76"/>
      <c r="CN514" s="76">
        <f>+CM514*22000</f>
        <v>0</v>
      </c>
      <c r="CO514" s="76"/>
      <c r="CP514" s="76">
        <f>+CO514*46000</f>
        <v>0</v>
      </c>
      <c r="CQ514" s="76"/>
      <c r="CR514" s="76">
        <f>+CQ514*49000</f>
        <v>0</v>
      </c>
      <c r="CS514" s="76"/>
      <c r="CT514" s="76"/>
      <c r="CU514" s="56">
        <f>AN514+AP514+AR514+AT514+AV514+AX514+AZ514+BB514+BD514+BF514+BH514+BJ514+BL514+BN514+BP514+BR514+BT514+BV514+BX514+BZ514+CB514+CD514+CF514+CH514+CJ514+CL514+CN514+CP514+CR514+CT514</f>
        <v>0</v>
      </c>
      <c r="CV514" s="76"/>
      <c r="CW514" s="76">
        <f>+CV514*1100</f>
        <v>0</v>
      </c>
      <c r="CX514" s="76"/>
      <c r="CY514" s="76">
        <f>+CX514*106250</f>
        <v>0</v>
      </c>
      <c r="CZ514" s="76"/>
      <c r="DA514" s="76">
        <f>+CZ514*34500</f>
        <v>0</v>
      </c>
      <c r="DB514" s="76"/>
      <c r="DC514" s="76">
        <f>+DB514*25000</f>
        <v>0</v>
      </c>
      <c r="DD514" s="219"/>
      <c r="DE514" s="219"/>
      <c r="DF514" s="164"/>
      <c r="DG514" s="116"/>
      <c r="DH514" s="117"/>
      <c r="DI514" s="24"/>
      <c r="DJ514" s="24"/>
      <c r="DK514" s="24"/>
      <c r="DL514" s="24"/>
      <c r="DM514" s="24"/>
      <c r="DN514" s="24"/>
      <c r="DO514" s="24"/>
      <c r="DP514" s="24"/>
      <c r="DQ514" s="24"/>
      <c r="DR514" s="24"/>
      <c r="DS514" s="24"/>
      <c r="DT514" s="24"/>
      <c r="DU514" s="24"/>
    </row>
    <row r="515" spans="1:125" s="8" customFormat="1" ht="60" x14ac:dyDescent="0.2">
      <c r="A515" s="77">
        <v>41306</v>
      </c>
      <c r="B515" s="78" t="s">
        <v>2851</v>
      </c>
      <c r="C515" s="75" t="s">
        <v>2800</v>
      </c>
      <c r="D515" s="81" t="s">
        <v>2846</v>
      </c>
      <c r="E515" s="75" t="str">
        <f>VLOOKUP(B515&amp;C515,Divipola!$C$2:$F$1138,4,FALSE)</f>
        <v>76895</v>
      </c>
      <c r="F515" s="87"/>
      <c r="G515" s="87"/>
      <c r="H515" s="87"/>
      <c r="I515" s="87"/>
      <c r="J515" s="87"/>
      <c r="K515" s="87"/>
      <c r="L515" s="87"/>
      <c r="M515" s="87"/>
      <c r="N515" s="87"/>
      <c r="O515" s="87"/>
      <c r="P515" s="87"/>
      <c r="Q515" s="87"/>
      <c r="R515" s="87"/>
      <c r="S515" s="87"/>
      <c r="T515" s="87"/>
      <c r="U515" s="88">
        <v>15</v>
      </c>
      <c r="V515" s="89"/>
      <c r="W515" s="96">
        <v>0</v>
      </c>
      <c r="X515" s="71">
        <f>CU515</f>
        <v>0</v>
      </c>
      <c r="Y515" s="71">
        <f>CY515</f>
        <v>0</v>
      </c>
      <c r="Z515" s="71">
        <f>DA515+DC515+DE515</f>
        <v>0</v>
      </c>
      <c r="AA515" s="71">
        <f>CW515</f>
        <v>0</v>
      </c>
      <c r="AB515" s="71"/>
      <c r="AC515" s="71">
        <v>0</v>
      </c>
      <c r="AD515" s="71">
        <f>W515+X515+Y515+Z515+AA515+AB515+AC515</f>
        <v>0</v>
      </c>
      <c r="AE515" s="72">
        <v>0</v>
      </c>
      <c r="AF515" s="5"/>
      <c r="AG515" s="6"/>
      <c r="AH515" s="27" t="s">
        <v>3392</v>
      </c>
      <c r="AI515" s="44" t="s">
        <v>3393</v>
      </c>
      <c r="AJ515" s="26"/>
      <c r="AK515" s="5"/>
      <c r="AL515" s="82" t="s">
        <v>3353</v>
      </c>
      <c r="AM515" s="76"/>
      <c r="AN515" s="76"/>
      <c r="AO515" s="76"/>
      <c r="AP515" s="76"/>
      <c r="AQ515" s="76"/>
      <c r="AR515" s="76"/>
      <c r="AS515" s="76"/>
      <c r="AT515" s="76"/>
      <c r="AU515" s="76"/>
      <c r="AV515" s="76"/>
      <c r="AW515" s="76"/>
      <c r="AX515" s="76">
        <f>+AW515*600000</f>
        <v>0</v>
      </c>
      <c r="AY515" s="76"/>
      <c r="AZ515" s="76">
        <f>+AY515*70000</f>
        <v>0</v>
      </c>
      <c r="BA515" s="76"/>
      <c r="BB515" s="76"/>
      <c r="BC515" s="76"/>
      <c r="BD515" s="76">
        <f>+BC515*30000</f>
        <v>0</v>
      </c>
      <c r="BE515" s="76"/>
      <c r="BF515" s="76"/>
      <c r="BG515" s="76"/>
      <c r="BH515" s="76"/>
      <c r="BI515" s="76"/>
      <c r="BJ515" s="76"/>
      <c r="BK515" s="76"/>
      <c r="BL515" s="76">
        <f>+BK515*31500</f>
        <v>0</v>
      </c>
      <c r="BM515" s="76"/>
      <c r="BN515" s="76"/>
      <c r="BO515" s="76"/>
      <c r="BP515" s="76"/>
      <c r="BQ515" s="76"/>
      <c r="BR515" s="76"/>
      <c r="BS515" s="76"/>
      <c r="BT515" s="76"/>
      <c r="BU515" s="76"/>
      <c r="BV515" s="76"/>
      <c r="BW515" s="76"/>
      <c r="BX515" s="76"/>
      <c r="BY515" s="76"/>
      <c r="BZ515" s="76"/>
      <c r="CA515" s="76"/>
      <c r="CB515" s="76"/>
      <c r="CC515" s="76"/>
      <c r="CD515" s="76"/>
      <c r="CE515" s="76"/>
      <c r="CF515" s="76">
        <f>+CE515*28000</f>
        <v>0</v>
      </c>
      <c r="CG515" s="76"/>
      <c r="CH515" s="76">
        <f>+CG515*22500</f>
        <v>0</v>
      </c>
      <c r="CI515" s="76"/>
      <c r="CJ515" s="76">
        <f>+CI515*26000</f>
        <v>0</v>
      </c>
      <c r="CK515" s="76"/>
      <c r="CL515" s="76"/>
      <c r="CM515" s="76"/>
      <c r="CN515" s="76">
        <f>+CM515*22000</f>
        <v>0</v>
      </c>
      <c r="CO515" s="76"/>
      <c r="CP515" s="76">
        <f>+CO515*46000</f>
        <v>0</v>
      </c>
      <c r="CQ515" s="76"/>
      <c r="CR515" s="76">
        <f>+CQ515*49000</f>
        <v>0</v>
      </c>
      <c r="CS515" s="76"/>
      <c r="CT515" s="76"/>
      <c r="CU515" s="56">
        <f>AN515+AP515+AR515+AT515+AV515+AX515+AZ515+BB515+BD515+BF515+BH515+BJ515+BL515+BN515+BP515+BR515+BT515+BV515+BX515+BZ515+CB515+CD515+CF515+CH515+CJ515+CL515+CN515+CP515+CR515+CT515</f>
        <v>0</v>
      </c>
      <c r="CV515" s="76"/>
      <c r="CW515" s="76">
        <f>+CV515*1100</f>
        <v>0</v>
      </c>
      <c r="CX515" s="76"/>
      <c r="CY515" s="76">
        <f>+CX515*106250</f>
        <v>0</v>
      </c>
      <c r="CZ515" s="76"/>
      <c r="DA515" s="76">
        <f>+CZ515*34500</f>
        <v>0</v>
      </c>
      <c r="DB515" s="76"/>
      <c r="DC515" s="76">
        <f>+DB515*25000</f>
        <v>0</v>
      </c>
      <c r="DD515" s="219"/>
      <c r="DE515" s="219"/>
      <c r="DF515" s="164"/>
      <c r="DG515" s="116"/>
      <c r="DH515" s="117"/>
      <c r="DI515" s="24"/>
      <c r="DJ515" s="24"/>
      <c r="DK515" s="24"/>
      <c r="DL515" s="24"/>
      <c r="DM515" s="24"/>
      <c r="DN515" s="24"/>
      <c r="DO515" s="24"/>
      <c r="DP515" s="24"/>
      <c r="DQ515" s="24"/>
      <c r="DR515" s="24"/>
      <c r="DS515" s="24"/>
      <c r="DT515" s="24"/>
      <c r="DU515" s="24"/>
    </row>
    <row r="516" spans="1:125" s="8" customFormat="1" ht="36" x14ac:dyDescent="0.2">
      <c r="A516" s="77">
        <v>41307</v>
      </c>
      <c r="B516" s="78" t="s">
        <v>2036</v>
      </c>
      <c r="C516" s="75" t="s">
        <v>2036</v>
      </c>
      <c r="D516" s="81" t="s">
        <v>2846</v>
      </c>
      <c r="E516" s="75" t="str">
        <f>VLOOKUP(B516&amp;C516,Divipola!$C$2:$F$1138,4,FALSE)</f>
        <v>81001</v>
      </c>
      <c r="F516" s="87"/>
      <c r="G516" s="87"/>
      <c r="H516" s="87"/>
      <c r="I516" s="87"/>
      <c r="J516" s="87"/>
      <c r="K516" s="87"/>
      <c r="L516" s="87"/>
      <c r="M516" s="87"/>
      <c r="N516" s="87"/>
      <c r="O516" s="87"/>
      <c r="P516" s="87"/>
      <c r="Q516" s="87"/>
      <c r="R516" s="87"/>
      <c r="S516" s="87"/>
      <c r="T516" s="87"/>
      <c r="U516" s="88">
        <v>200</v>
      </c>
      <c r="V516" s="89"/>
      <c r="W516" s="96">
        <v>0</v>
      </c>
      <c r="X516" s="71">
        <f>CU516</f>
        <v>0</v>
      </c>
      <c r="Y516" s="71">
        <f>CY516</f>
        <v>0</v>
      </c>
      <c r="Z516" s="71">
        <f>DA516+DC516+DE516</f>
        <v>0</v>
      </c>
      <c r="AA516" s="71">
        <f>CW516</f>
        <v>0</v>
      </c>
      <c r="AB516" s="71"/>
      <c r="AC516" s="71">
        <v>0</v>
      </c>
      <c r="AD516" s="71">
        <f>W516+X516+Y516+Z516+AA516+AB516+AC516</f>
        <v>0</v>
      </c>
      <c r="AE516" s="72">
        <v>0</v>
      </c>
      <c r="AF516" s="5"/>
      <c r="AG516" s="6"/>
      <c r="AH516" s="27" t="s">
        <v>3392</v>
      </c>
      <c r="AI516" s="44" t="s">
        <v>3393</v>
      </c>
      <c r="AJ516" s="26"/>
      <c r="AK516" s="5"/>
      <c r="AL516" s="82" t="s">
        <v>3373</v>
      </c>
      <c r="AM516" s="76"/>
      <c r="AN516" s="76"/>
      <c r="AO516" s="76"/>
      <c r="AP516" s="76"/>
      <c r="AQ516" s="76"/>
      <c r="AR516" s="76"/>
      <c r="AS516" s="76"/>
      <c r="AT516" s="76"/>
      <c r="AU516" s="76"/>
      <c r="AV516" s="76"/>
      <c r="AW516" s="76"/>
      <c r="AX516" s="76">
        <f>+AW516*600000</f>
        <v>0</v>
      </c>
      <c r="AY516" s="76"/>
      <c r="AZ516" s="76">
        <f>+AY516*70000</f>
        <v>0</v>
      </c>
      <c r="BA516" s="76"/>
      <c r="BB516" s="76"/>
      <c r="BC516" s="76"/>
      <c r="BD516" s="76">
        <f>+BC516*30000</f>
        <v>0</v>
      </c>
      <c r="BE516" s="76"/>
      <c r="BF516" s="76"/>
      <c r="BG516" s="76"/>
      <c r="BH516" s="76"/>
      <c r="BI516" s="76"/>
      <c r="BJ516" s="76"/>
      <c r="BK516" s="76"/>
      <c r="BL516" s="76">
        <f>+BK516*31500</f>
        <v>0</v>
      </c>
      <c r="BM516" s="76"/>
      <c r="BN516" s="76"/>
      <c r="BO516" s="76"/>
      <c r="BP516" s="76"/>
      <c r="BQ516" s="76"/>
      <c r="BR516" s="76"/>
      <c r="BS516" s="76"/>
      <c r="BT516" s="76"/>
      <c r="BU516" s="76"/>
      <c r="BV516" s="76"/>
      <c r="BW516" s="76"/>
      <c r="BX516" s="76"/>
      <c r="BY516" s="76"/>
      <c r="BZ516" s="76"/>
      <c r="CA516" s="76"/>
      <c r="CB516" s="76"/>
      <c r="CC516" s="76"/>
      <c r="CD516" s="76"/>
      <c r="CE516" s="76"/>
      <c r="CF516" s="76">
        <f>+CE516*28000</f>
        <v>0</v>
      </c>
      <c r="CG516" s="76"/>
      <c r="CH516" s="76">
        <f>+CG516*22500</f>
        <v>0</v>
      </c>
      <c r="CI516" s="76"/>
      <c r="CJ516" s="76">
        <f>+CI516*26000</f>
        <v>0</v>
      </c>
      <c r="CK516" s="76"/>
      <c r="CL516" s="76"/>
      <c r="CM516" s="76"/>
      <c r="CN516" s="76">
        <f>+CM516*22000</f>
        <v>0</v>
      </c>
      <c r="CO516" s="76"/>
      <c r="CP516" s="76">
        <f>+CO516*46000</f>
        <v>0</v>
      </c>
      <c r="CQ516" s="76"/>
      <c r="CR516" s="76">
        <f>+CQ516*49000</f>
        <v>0</v>
      </c>
      <c r="CS516" s="76"/>
      <c r="CT516" s="76"/>
      <c r="CU516" s="56">
        <f>AN516+AP516+AR516+AT516+AV516+AX516+AZ516+BB516+BD516+BF516+BH516+BJ516+BL516+BN516+BP516+BR516+BT516+BV516+BX516+BZ516+CB516+CD516+CF516+CH516+CJ516+CL516+CN516+CP516+CR516+CT516</f>
        <v>0</v>
      </c>
      <c r="CV516" s="76"/>
      <c r="CW516" s="76">
        <f>+CV516*1100</f>
        <v>0</v>
      </c>
      <c r="CX516" s="76"/>
      <c r="CY516" s="76">
        <f>+CX516*106250</f>
        <v>0</v>
      </c>
      <c r="CZ516" s="76"/>
      <c r="DA516" s="76">
        <f>+CZ516*34500</f>
        <v>0</v>
      </c>
      <c r="DB516" s="76"/>
      <c r="DC516" s="76">
        <f>+DB516*25000</f>
        <v>0</v>
      </c>
      <c r="DD516" s="219"/>
      <c r="DE516" s="219"/>
      <c r="DF516" s="164"/>
      <c r="DG516" s="116"/>
      <c r="DH516" s="117"/>
      <c r="DI516" s="24"/>
      <c r="DJ516" s="24"/>
      <c r="DK516" s="24"/>
      <c r="DL516" s="24"/>
      <c r="DM516" s="24"/>
      <c r="DN516" s="24"/>
      <c r="DO516" s="24"/>
      <c r="DP516" s="24"/>
      <c r="DQ516" s="24"/>
      <c r="DR516" s="24"/>
      <c r="DS516" s="24"/>
      <c r="DT516" s="24"/>
      <c r="DU516" s="24"/>
    </row>
    <row r="517" spans="1:125" s="8" customFormat="1" ht="36" x14ac:dyDescent="0.2">
      <c r="A517" s="77">
        <v>41307</v>
      </c>
      <c r="B517" s="225" t="s">
        <v>2881</v>
      </c>
      <c r="C517" s="227" t="s">
        <v>2767</v>
      </c>
      <c r="D517" s="227" t="s">
        <v>2882</v>
      </c>
      <c r="E517" s="75" t="str">
        <f>VLOOKUP(B517&amp;C517,Divipola!$C$2:$F$1138,4,FALSE)</f>
        <v>08001</v>
      </c>
      <c r="F517" s="100"/>
      <c r="G517" s="100"/>
      <c r="H517" s="100"/>
      <c r="I517" s="100">
        <v>25</v>
      </c>
      <c r="J517" s="100">
        <v>5</v>
      </c>
      <c r="K517" s="100"/>
      <c r="L517" s="100">
        <v>5</v>
      </c>
      <c r="M517" s="100"/>
      <c r="N517" s="100"/>
      <c r="O517" s="100"/>
      <c r="P517" s="100"/>
      <c r="Q517" s="100"/>
      <c r="R517" s="100"/>
      <c r="S517" s="100"/>
      <c r="T517" s="100"/>
      <c r="U517" s="136"/>
      <c r="V517" s="89"/>
      <c r="W517" s="96">
        <v>0</v>
      </c>
      <c r="X517" s="71">
        <f>CU517</f>
        <v>0</v>
      </c>
      <c r="Y517" s="71">
        <f>CY517</f>
        <v>0</v>
      </c>
      <c r="Z517" s="71">
        <f>DA517+DC517+DE517</f>
        <v>0</v>
      </c>
      <c r="AA517" s="71">
        <f>CW517</f>
        <v>0</v>
      </c>
      <c r="AB517" s="71"/>
      <c r="AC517" s="71">
        <v>0</v>
      </c>
      <c r="AD517" s="71">
        <f>W517+X517+Y517+Z517+AA517+AB517+AC517</f>
        <v>0</v>
      </c>
      <c r="AE517" s="72">
        <v>0</v>
      </c>
      <c r="AF517" s="5"/>
      <c r="AG517" s="6"/>
      <c r="AH517" s="27" t="s">
        <v>3392</v>
      </c>
      <c r="AI517" s="44" t="s">
        <v>3393</v>
      </c>
      <c r="AJ517" s="26"/>
      <c r="AK517" s="5"/>
      <c r="AL517" s="82" t="s">
        <v>3375</v>
      </c>
      <c r="AM517" s="76"/>
      <c r="AN517" s="76"/>
      <c r="AO517" s="76"/>
      <c r="AP517" s="76"/>
      <c r="AQ517" s="76"/>
      <c r="AR517" s="76"/>
      <c r="AS517" s="76"/>
      <c r="AT517" s="76"/>
      <c r="AU517" s="76"/>
      <c r="AV517" s="76"/>
      <c r="AW517" s="76"/>
      <c r="AX517" s="76">
        <f>+AW517*600000</f>
        <v>0</v>
      </c>
      <c r="AY517" s="76"/>
      <c r="AZ517" s="76">
        <f>+AY517*70000</f>
        <v>0</v>
      </c>
      <c r="BA517" s="76"/>
      <c r="BB517" s="76"/>
      <c r="BC517" s="76"/>
      <c r="BD517" s="76">
        <f>+BC517*30000</f>
        <v>0</v>
      </c>
      <c r="BE517" s="76"/>
      <c r="BF517" s="76"/>
      <c r="BG517" s="76"/>
      <c r="BH517" s="76"/>
      <c r="BI517" s="76"/>
      <c r="BJ517" s="76"/>
      <c r="BK517" s="76"/>
      <c r="BL517" s="76">
        <f>+BK517*31500</f>
        <v>0</v>
      </c>
      <c r="BM517" s="76"/>
      <c r="BN517" s="76"/>
      <c r="BO517" s="76"/>
      <c r="BP517" s="76"/>
      <c r="BQ517" s="76"/>
      <c r="BR517" s="76"/>
      <c r="BS517" s="76"/>
      <c r="BT517" s="76"/>
      <c r="BU517" s="76"/>
      <c r="BV517" s="76"/>
      <c r="BW517" s="76"/>
      <c r="BX517" s="76"/>
      <c r="BY517" s="76"/>
      <c r="BZ517" s="76"/>
      <c r="CA517" s="76"/>
      <c r="CB517" s="76"/>
      <c r="CC517" s="76"/>
      <c r="CD517" s="76"/>
      <c r="CE517" s="76"/>
      <c r="CF517" s="76">
        <f>+CE517*28000</f>
        <v>0</v>
      </c>
      <c r="CG517" s="76"/>
      <c r="CH517" s="76">
        <f>+CG517*22500</f>
        <v>0</v>
      </c>
      <c r="CI517" s="76"/>
      <c r="CJ517" s="76">
        <f>+CI517*26000</f>
        <v>0</v>
      </c>
      <c r="CK517" s="76"/>
      <c r="CL517" s="76"/>
      <c r="CM517" s="76"/>
      <c r="CN517" s="76">
        <f>+CM517*22000</f>
        <v>0</v>
      </c>
      <c r="CO517" s="76"/>
      <c r="CP517" s="76">
        <f>+CO517*46000</f>
        <v>0</v>
      </c>
      <c r="CQ517" s="76"/>
      <c r="CR517" s="76">
        <f>+CQ517*49000</f>
        <v>0</v>
      </c>
      <c r="CS517" s="76"/>
      <c r="CT517" s="76"/>
      <c r="CU517" s="56">
        <f>AN517+AP517+AR517+AT517+AV517+AX517+AZ517+BB517+BD517+BF517+BH517+BJ517+BL517+BN517+BP517+BR517+BT517+BV517+BX517+BZ517+CB517+CD517+CF517+CH517+CJ517+CL517+CN517+CP517+CR517+CT517</f>
        <v>0</v>
      </c>
      <c r="CV517" s="76"/>
      <c r="CW517" s="76">
        <f>+CV517*1100</f>
        <v>0</v>
      </c>
      <c r="CX517" s="76"/>
      <c r="CY517" s="76">
        <f>+CX517*106250</f>
        <v>0</v>
      </c>
      <c r="CZ517" s="76"/>
      <c r="DA517" s="76">
        <f>+CZ517*34500</f>
        <v>0</v>
      </c>
      <c r="DB517" s="76"/>
      <c r="DC517" s="76">
        <f>+DB517*25000</f>
        <v>0</v>
      </c>
      <c r="DD517" s="219"/>
      <c r="DE517" s="219"/>
      <c r="DF517" s="164"/>
      <c r="DG517" s="116"/>
      <c r="DH517" s="117"/>
      <c r="DI517" s="24"/>
      <c r="DJ517" s="24"/>
      <c r="DK517" s="24"/>
      <c r="DL517" s="24"/>
      <c r="DM517" s="24"/>
      <c r="DN517" s="24"/>
      <c r="DO517" s="24"/>
      <c r="DP517" s="24"/>
      <c r="DQ517" s="24"/>
      <c r="DR517" s="24"/>
      <c r="DS517" s="24"/>
      <c r="DT517" s="24"/>
      <c r="DU517" s="24"/>
    </row>
    <row r="518" spans="1:125" s="8" customFormat="1" ht="144" x14ac:dyDescent="0.2">
      <c r="A518" s="77">
        <v>41307</v>
      </c>
      <c r="B518" s="78" t="s">
        <v>2881</v>
      </c>
      <c r="C518" s="75" t="s">
        <v>2756</v>
      </c>
      <c r="D518" s="81" t="s">
        <v>2846</v>
      </c>
      <c r="E518" s="75" t="str">
        <f>VLOOKUP(B518&amp;C518,Divipola!$C$2:$F$1138,4,FALSE)</f>
        <v>08137</v>
      </c>
      <c r="F518" s="87"/>
      <c r="G518" s="87"/>
      <c r="H518" s="87"/>
      <c r="I518" s="87"/>
      <c r="J518" s="87"/>
      <c r="K518" s="87"/>
      <c r="L518" s="87"/>
      <c r="M518" s="87"/>
      <c r="N518" s="87"/>
      <c r="O518" s="87"/>
      <c r="P518" s="87"/>
      <c r="Q518" s="87"/>
      <c r="R518" s="87"/>
      <c r="S518" s="87"/>
      <c r="T518" s="87"/>
      <c r="U518" s="88">
        <v>40</v>
      </c>
      <c r="V518" s="89"/>
      <c r="W518" s="96">
        <v>0</v>
      </c>
      <c r="X518" s="71">
        <f>CU518</f>
        <v>0</v>
      </c>
      <c r="Y518" s="71">
        <f>CY518</f>
        <v>0</v>
      </c>
      <c r="Z518" s="71">
        <f>DA518+DC518+DE518</f>
        <v>0</v>
      </c>
      <c r="AA518" s="71">
        <f>CW518</f>
        <v>0</v>
      </c>
      <c r="AB518" s="71"/>
      <c r="AC518" s="71">
        <v>0</v>
      </c>
      <c r="AD518" s="71">
        <f>W518+X518+Y518+Z518+AA518+AB518+AC518</f>
        <v>0</v>
      </c>
      <c r="AE518" s="72">
        <v>0</v>
      </c>
      <c r="AF518" s="5"/>
      <c r="AG518" s="6"/>
      <c r="AH518" s="27" t="s">
        <v>3392</v>
      </c>
      <c r="AI518" s="44" t="s">
        <v>3393</v>
      </c>
      <c r="AJ518" s="26"/>
      <c r="AK518" s="5"/>
      <c r="AL518" s="82" t="s">
        <v>3385</v>
      </c>
      <c r="AM518" s="76"/>
      <c r="AN518" s="76"/>
      <c r="AO518" s="76"/>
      <c r="AP518" s="76"/>
      <c r="AQ518" s="76"/>
      <c r="AR518" s="76"/>
      <c r="AS518" s="76"/>
      <c r="AT518" s="76"/>
      <c r="AU518" s="76"/>
      <c r="AV518" s="76"/>
      <c r="AW518" s="76"/>
      <c r="AX518" s="76">
        <f>+AW518*600000</f>
        <v>0</v>
      </c>
      <c r="AY518" s="76"/>
      <c r="AZ518" s="76">
        <f>+AY518*70000</f>
        <v>0</v>
      </c>
      <c r="BA518" s="76"/>
      <c r="BB518" s="76"/>
      <c r="BC518" s="76"/>
      <c r="BD518" s="76">
        <f>+BC518*30000</f>
        <v>0</v>
      </c>
      <c r="BE518" s="76"/>
      <c r="BF518" s="76"/>
      <c r="BG518" s="76"/>
      <c r="BH518" s="76"/>
      <c r="BI518" s="76"/>
      <c r="BJ518" s="76"/>
      <c r="BK518" s="76"/>
      <c r="BL518" s="76">
        <f>+BK518*31500</f>
        <v>0</v>
      </c>
      <c r="BM518" s="76"/>
      <c r="BN518" s="76"/>
      <c r="BO518" s="76"/>
      <c r="BP518" s="76"/>
      <c r="BQ518" s="76"/>
      <c r="BR518" s="76"/>
      <c r="BS518" s="76"/>
      <c r="BT518" s="76"/>
      <c r="BU518" s="76"/>
      <c r="BV518" s="76"/>
      <c r="BW518" s="76"/>
      <c r="BX518" s="76"/>
      <c r="BY518" s="76"/>
      <c r="BZ518" s="76"/>
      <c r="CA518" s="76"/>
      <c r="CB518" s="76"/>
      <c r="CC518" s="76"/>
      <c r="CD518" s="76"/>
      <c r="CE518" s="76"/>
      <c r="CF518" s="76">
        <f>+CE518*28000</f>
        <v>0</v>
      </c>
      <c r="CG518" s="76"/>
      <c r="CH518" s="76">
        <f>+CG518*22500</f>
        <v>0</v>
      </c>
      <c r="CI518" s="76"/>
      <c r="CJ518" s="76">
        <f>+CI518*26000</f>
        <v>0</v>
      </c>
      <c r="CK518" s="76"/>
      <c r="CL518" s="76"/>
      <c r="CM518" s="76"/>
      <c r="CN518" s="76">
        <f>+CM518*22000</f>
        <v>0</v>
      </c>
      <c r="CO518" s="76"/>
      <c r="CP518" s="76">
        <f>+CO518*46000</f>
        <v>0</v>
      </c>
      <c r="CQ518" s="76"/>
      <c r="CR518" s="76">
        <f>+CQ518*49000</f>
        <v>0</v>
      </c>
      <c r="CS518" s="76"/>
      <c r="CT518" s="76"/>
      <c r="CU518" s="56">
        <f>AN518+AP518+AR518+AT518+AV518+AX518+AZ518+BB518+BD518+BF518+BH518+BJ518+BL518+BN518+BP518+BR518+BT518+BV518+BX518+BZ518+CB518+CD518+CF518+CH518+CJ518+CL518+CN518+CP518+CR518+CT518</f>
        <v>0</v>
      </c>
      <c r="CV518" s="76"/>
      <c r="CW518" s="76">
        <f>+CV518*1100</f>
        <v>0</v>
      </c>
      <c r="CX518" s="76"/>
      <c r="CY518" s="76">
        <f>+CX518*106250</f>
        <v>0</v>
      </c>
      <c r="CZ518" s="76"/>
      <c r="DA518" s="76">
        <f>+CZ518*34500</f>
        <v>0</v>
      </c>
      <c r="DB518" s="76"/>
      <c r="DC518" s="76">
        <f>+DB518*25000</f>
        <v>0</v>
      </c>
      <c r="DD518" s="219"/>
      <c r="DE518" s="219"/>
      <c r="DF518" s="164"/>
      <c r="DG518" s="116"/>
      <c r="DH518" s="117"/>
      <c r="DI518" s="24"/>
      <c r="DJ518" s="24"/>
      <c r="DK518" s="24"/>
      <c r="DL518" s="24"/>
      <c r="DM518" s="24"/>
      <c r="DN518" s="24"/>
      <c r="DO518" s="24"/>
      <c r="DP518" s="24"/>
      <c r="DQ518" s="24"/>
      <c r="DR518" s="24"/>
      <c r="DS518" s="24"/>
      <c r="DT518" s="24"/>
      <c r="DU518" s="24"/>
    </row>
    <row r="519" spans="1:125" s="8" customFormat="1" ht="48" x14ac:dyDescent="0.2">
      <c r="A519" s="77">
        <v>41307</v>
      </c>
      <c r="B519" s="78" t="s">
        <v>2700</v>
      </c>
      <c r="C519" s="75" t="s">
        <v>688</v>
      </c>
      <c r="D519" s="81" t="s">
        <v>2846</v>
      </c>
      <c r="E519" s="75" t="str">
        <f>VLOOKUP(B519&amp;C519,Divipola!$C$2:$F$1138,4,FALSE)</f>
        <v>15776</v>
      </c>
      <c r="F519" s="87"/>
      <c r="G519" s="87"/>
      <c r="H519" s="87"/>
      <c r="I519" s="87"/>
      <c r="J519" s="87"/>
      <c r="K519" s="87"/>
      <c r="L519" s="87"/>
      <c r="M519" s="87"/>
      <c r="N519" s="87"/>
      <c r="O519" s="87"/>
      <c r="P519" s="87"/>
      <c r="Q519" s="87"/>
      <c r="R519" s="87"/>
      <c r="S519" s="87"/>
      <c r="T519" s="87"/>
      <c r="U519" s="88">
        <v>1</v>
      </c>
      <c r="V519" s="89"/>
      <c r="W519" s="96">
        <v>0</v>
      </c>
      <c r="X519" s="71">
        <f>CU519</f>
        <v>0</v>
      </c>
      <c r="Y519" s="71">
        <f>CY519</f>
        <v>0</v>
      </c>
      <c r="Z519" s="71">
        <f>DA519+DC519+DE519</f>
        <v>0</v>
      </c>
      <c r="AA519" s="71">
        <f>CW519</f>
        <v>0</v>
      </c>
      <c r="AB519" s="71"/>
      <c r="AC519" s="71">
        <v>0</v>
      </c>
      <c r="AD519" s="71">
        <f>W519+X519+Y519+Z519+AA519+AB519+AC519</f>
        <v>0</v>
      </c>
      <c r="AE519" s="72">
        <v>0</v>
      </c>
      <c r="AF519" s="5"/>
      <c r="AG519" s="6"/>
      <c r="AH519" s="27" t="s">
        <v>3392</v>
      </c>
      <c r="AI519" s="44" t="s">
        <v>3393</v>
      </c>
      <c r="AJ519" s="26"/>
      <c r="AK519" s="5"/>
      <c r="AL519" s="82" t="s">
        <v>3380</v>
      </c>
      <c r="AM519" s="76"/>
      <c r="AN519" s="76"/>
      <c r="AO519" s="76"/>
      <c r="AP519" s="76"/>
      <c r="AQ519" s="76"/>
      <c r="AR519" s="76"/>
      <c r="AS519" s="76"/>
      <c r="AT519" s="76"/>
      <c r="AU519" s="76"/>
      <c r="AV519" s="76"/>
      <c r="AW519" s="76"/>
      <c r="AX519" s="76">
        <f>+AW519*600000</f>
        <v>0</v>
      </c>
      <c r="AY519" s="76"/>
      <c r="AZ519" s="76">
        <f>+AY519*70000</f>
        <v>0</v>
      </c>
      <c r="BA519" s="76"/>
      <c r="BB519" s="76"/>
      <c r="BC519" s="76"/>
      <c r="BD519" s="76">
        <f>+BC519*30000</f>
        <v>0</v>
      </c>
      <c r="BE519" s="76"/>
      <c r="BF519" s="76"/>
      <c r="BG519" s="76"/>
      <c r="BH519" s="76"/>
      <c r="BI519" s="76"/>
      <c r="BJ519" s="76"/>
      <c r="BK519" s="76"/>
      <c r="BL519" s="76">
        <f>+BK519*31500</f>
        <v>0</v>
      </c>
      <c r="BM519" s="76"/>
      <c r="BN519" s="76"/>
      <c r="BO519" s="76"/>
      <c r="BP519" s="76"/>
      <c r="BQ519" s="76"/>
      <c r="BR519" s="76"/>
      <c r="BS519" s="76"/>
      <c r="BT519" s="76"/>
      <c r="BU519" s="76"/>
      <c r="BV519" s="76"/>
      <c r="BW519" s="76"/>
      <c r="BX519" s="76"/>
      <c r="BY519" s="76"/>
      <c r="BZ519" s="76"/>
      <c r="CA519" s="76"/>
      <c r="CB519" s="76"/>
      <c r="CC519" s="76"/>
      <c r="CD519" s="76"/>
      <c r="CE519" s="76"/>
      <c r="CF519" s="76">
        <f>+CE519*28000</f>
        <v>0</v>
      </c>
      <c r="CG519" s="76"/>
      <c r="CH519" s="76">
        <f>+CG519*22500</f>
        <v>0</v>
      </c>
      <c r="CI519" s="76"/>
      <c r="CJ519" s="76">
        <f>+CI519*26000</f>
        <v>0</v>
      </c>
      <c r="CK519" s="76"/>
      <c r="CL519" s="76"/>
      <c r="CM519" s="76"/>
      <c r="CN519" s="76">
        <f>+CM519*22000</f>
        <v>0</v>
      </c>
      <c r="CO519" s="76"/>
      <c r="CP519" s="76">
        <f>+CO519*46000</f>
        <v>0</v>
      </c>
      <c r="CQ519" s="76"/>
      <c r="CR519" s="76">
        <f>+CQ519*49000</f>
        <v>0</v>
      </c>
      <c r="CS519" s="76"/>
      <c r="CT519" s="76"/>
      <c r="CU519" s="56">
        <f>AN519+AP519+AR519+AT519+AV519+AX519+AZ519+BB519+BD519+BF519+BH519+BJ519+BL519+BN519+BP519+BR519+BT519+BV519+BX519+BZ519+CB519+CD519+CF519+CH519+CJ519+CL519+CN519+CP519+CR519+CT519</f>
        <v>0</v>
      </c>
      <c r="CV519" s="76"/>
      <c r="CW519" s="76">
        <f>+CV519*1100</f>
        <v>0</v>
      </c>
      <c r="CX519" s="76"/>
      <c r="CY519" s="76">
        <f>+CX519*106250</f>
        <v>0</v>
      </c>
      <c r="CZ519" s="76"/>
      <c r="DA519" s="76">
        <f>+CZ519*34500</f>
        <v>0</v>
      </c>
      <c r="DB519" s="76"/>
      <c r="DC519" s="76">
        <f>+DB519*25000</f>
        <v>0</v>
      </c>
      <c r="DD519" s="219"/>
      <c r="DE519" s="219"/>
      <c r="DF519" s="166"/>
      <c r="DG519" s="116"/>
      <c r="DH519" s="117"/>
      <c r="DI519" s="24"/>
      <c r="DJ519" s="24"/>
      <c r="DK519" s="24"/>
      <c r="DL519" s="24"/>
      <c r="DM519" s="24"/>
      <c r="DN519" s="24"/>
      <c r="DO519" s="24"/>
      <c r="DP519" s="24"/>
      <c r="DQ519" s="24"/>
      <c r="DR519" s="24"/>
      <c r="DS519" s="24"/>
      <c r="DT519" s="24"/>
      <c r="DU519" s="24"/>
    </row>
    <row r="520" spans="1:125" s="8" customFormat="1" ht="48" x14ac:dyDescent="0.2">
      <c r="A520" s="77">
        <v>41307</v>
      </c>
      <c r="B520" s="78" t="s">
        <v>2778</v>
      </c>
      <c r="C520" s="75" t="s">
        <v>2212</v>
      </c>
      <c r="D520" s="81" t="s">
        <v>2846</v>
      </c>
      <c r="E520" s="75" t="str">
        <f>VLOOKUP(B520&amp;C520,Divipola!$C$2:$F$1138,4,FALSE)</f>
        <v>85250</v>
      </c>
      <c r="F520" s="87"/>
      <c r="G520" s="87"/>
      <c r="H520" s="87"/>
      <c r="I520" s="87"/>
      <c r="J520" s="87"/>
      <c r="K520" s="87"/>
      <c r="L520" s="87"/>
      <c r="M520" s="87"/>
      <c r="N520" s="87"/>
      <c r="O520" s="87"/>
      <c r="P520" s="87"/>
      <c r="Q520" s="87"/>
      <c r="R520" s="87"/>
      <c r="S520" s="87"/>
      <c r="T520" s="87"/>
      <c r="U520" s="88">
        <v>2</v>
      </c>
      <c r="V520" s="89"/>
      <c r="W520" s="96">
        <v>0</v>
      </c>
      <c r="X520" s="71">
        <f>CU520</f>
        <v>0</v>
      </c>
      <c r="Y520" s="71">
        <f>CY520</f>
        <v>0</v>
      </c>
      <c r="Z520" s="71">
        <f>DA520+DC520+DE520</f>
        <v>0</v>
      </c>
      <c r="AA520" s="71">
        <f>CW520</f>
        <v>0</v>
      </c>
      <c r="AB520" s="71"/>
      <c r="AC520" s="71">
        <v>0</v>
      </c>
      <c r="AD520" s="71">
        <f>W520+X520+Y520+Z520+AA520+AB520+AC520</f>
        <v>0</v>
      </c>
      <c r="AE520" s="72">
        <v>0</v>
      </c>
      <c r="AF520" s="5"/>
      <c r="AG520" s="6"/>
      <c r="AH520" s="27" t="s">
        <v>3392</v>
      </c>
      <c r="AI520" s="44" t="s">
        <v>3393</v>
      </c>
      <c r="AJ520" s="26"/>
      <c r="AK520" s="5"/>
      <c r="AL520" s="82" t="s">
        <v>3758</v>
      </c>
      <c r="AM520" s="76"/>
      <c r="AN520" s="76"/>
      <c r="AO520" s="76"/>
      <c r="AP520" s="76"/>
      <c r="AQ520" s="76"/>
      <c r="AR520" s="76"/>
      <c r="AS520" s="76"/>
      <c r="AT520" s="76"/>
      <c r="AU520" s="76"/>
      <c r="AV520" s="76"/>
      <c r="AW520" s="76"/>
      <c r="AX520" s="76">
        <f>+AW520*600000</f>
        <v>0</v>
      </c>
      <c r="AY520" s="76"/>
      <c r="AZ520" s="76">
        <f>+AY520*70000</f>
        <v>0</v>
      </c>
      <c r="BA520" s="76"/>
      <c r="BB520" s="76"/>
      <c r="BC520" s="76"/>
      <c r="BD520" s="76">
        <f>+BC520*30000</f>
        <v>0</v>
      </c>
      <c r="BE520" s="76"/>
      <c r="BF520" s="76"/>
      <c r="BG520" s="76"/>
      <c r="BH520" s="76"/>
      <c r="BI520" s="76"/>
      <c r="BJ520" s="76"/>
      <c r="BK520" s="76"/>
      <c r="BL520" s="76">
        <f>+BK520*31500</f>
        <v>0</v>
      </c>
      <c r="BM520" s="76"/>
      <c r="BN520" s="76"/>
      <c r="BO520" s="76"/>
      <c r="BP520" s="76"/>
      <c r="BQ520" s="76"/>
      <c r="BR520" s="76"/>
      <c r="BS520" s="76"/>
      <c r="BT520" s="76"/>
      <c r="BU520" s="76"/>
      <c r="BV520" s="76"/>
      <c r="BW520" s="76"/>
      <c r="BX520" s="76"/>
      <c r="BY520" s="76"/>
      <c r="BZ520" s="76"/>
      <c r="CA520" s="76"/>
      <c r="CB520" s="76"/>
      <c r="CC520" s="76"/>
      <c r="CD520" s="76"/>
      <c r="CE520" s="76"/>
      <c r="CF520" s="76">
        <f>+CE520*28000</f>
        <v>0</v>
      </c>
      <c r="CG520" s="76"/>
      <c r="CH520" s="76">
        <f>+CG520*22500</f>
        <v>0</v>
      </c>
      <c r="CI520" s="76"/>
      <c r="CJ520" s="76">
        <f>+CI520*26000</f>
        <v>0</v>
      </c>
      <c r="CK520" s="76"/>
      <c r="CL520" s="76"/>
      <c r="CM520" s="76"/>
      <c r="CN520" s="76">
        <f>+CM520*22000</f>
        <v>0</v>
      </c>
      <c r="CO520" s="76"/>
      <c r="CP520" s="76">
        <f>+CO520*46000</f>
        <v>0</v>
      </c>
      <c r="CQ520" s="76"/>
      <c r="CR520" s="76">
        <f>+CQ520*49000</f>
        <v>0</v>
      </c>
      <c r="CS520" s="76"/>
      <c r="CT520" s="76"/>
      <c r="CU520" s="56">
        <f>AN520+AP520+AR520+AT520+AV520+AX520+AZ520+BB520+BD520+BF520+BH520+BJ520+BL520+BN520+BP520+BR520+BT520+BV520+BX520+BZ520+CB520+CD520+CF520+CH520+CJ520+CL520+CN520+CP520+CR520+CT520</f>
        <v>0</v>
      </c>
      <c r="CV520" s="76"/>
      <c r="CW520" s="76">
        <f>+CV520*1100</f>
        <v>0</v>
      </c>
      <c r="CX520" s="76"/>
      <c r="CY520" s="76">
        <f>+CX520*106250</f>
        <v>0</v>
      </c>
      <c r="CZ520" s="76"/>
      <c r="DA520" s="76">
        <f>+CZ520*34500</f>
        <v>0</v>
      </c>
      <c r="DB520" s="76"/>
      <c r="DC520" s="76">
        <f>+DB520*25000</f>
        <v>0</v>
      </c>
      <c r="DD520" s="219"/>
      <c r="DE520" s="219"/>
      <c r="DF520" s="166"/>
      <c r="DG520" s="116"/>
      <c r="DH520" s="117"/>
      <c r="DI520" s="24"/>
      <c r="DJ520" s="24"/>
      <c r="DK520" s="24"/>
      <c r="DL520" s="24"/>
      <c r="DM520" s="24"/>
      <c r="DN520" s="24"/>
      <c r="DO520" s="24"/>
      <c r="DP520" s="24"/>
      <c r="DQ520" s="24"/>
      <c r="DR520" s="24"/>
      <c r="DS520" s="24"/>
      <c r="DT520" s="24"/>
      <c r="DU520" s="24"/>
    </row>
    <row r="521" spans="1:125" s="8" customFormat="1" ht="48" x14ac:dyDescent="0.2">
      <c r="A521" s="77">
        <v>41307</v>
      </c>
      <c r="B521" s="78" t="s">
        <v>2778</v>
      </c>
      <c r="C521" s="75" t="s">
        <v>1344</v>
      </c>
      <c r="D521" s="81" t="s">
        <v>2846</v>
      </c>
      <c r="E521" s="75" t="str">
        <f>VLOOKUP(B521&amp;C521,Divipola!$C$2:$F$1138,4,FALSE)</f>
        <v>85001</v>
      </c>
      <c r="F521" s="87"/>
      <c r="G521" s="87"/>
      <c r="H521" s="87"/>
      <c r="I521" s="87"/>
      <c r="J521" s="87"/>
      <c r="K521" s="87"/>
      <c r="L521" s="87"/>
      <c r="M521" s="87"/>
      <c r="N521" s="87"/>
      <c r="O521" s="87"/>
      <c r="P521" s="87"/>
      <c r="Q521" s="87"/>
      <c r="R521" s="87"/>
      <c r="S521" s="87"/>
      <c r="T521" s="87"/>
      <c r="U521" s="88">
        <v>17</v>
      </c>
      <c r="V521" s="89"/>
      <c r="W521" s="96">
        <v>0</v>
      </c>
      <c r="X521" s="71">
        <f>CU521</f>
        <v>0</v>
      </c>
      <c r="Y521" s="71">
        <f>CY521</f>
        <v>0</v>
      </c>
      <c r="Z521" s="71">
        <f>DA521+DC521+DE521</f>
        <v>0</v>
      </c>
      <c r="AA521" s="71">
        <f>CW521</f>
        <v>0</v>
      </c>
      <c r="AB521" s="71"/>
      <c r="AC521" s="71">
        <v>0</v>
      </c>
      <c r="AD521" s="71">
        <f>W521+X521+Y521+Z521+AA521+AB521+AC521</f>
        <v>0</v>
      </c>
      <c r="AE521" s="72">
        <v>0</v>
      </c>
      <c r="AF521" s="5"/>
      <c r="AG521" s="6"/>
      <c r="AH521" s="27" t="s">
        <v>3392</v>
      </c>
      <c r="AI521" s="44" t="s">
        <v>3393</v>
      </c>
      <c r="AJ521" s="26"/>
      <c r="AK521" s="5"/>
      <c r="AL521" s="82" t="s">
        <v>3768</v>
      </c>
      <c r="AM521" s="76"/>
      <c r="AN521" s="76"/>
      <c r="AO521" s="76"/>
      <c r="AP521" s="76"/>
      <c r="AQ521" s="76"/>
      <c r="AR521" s="76"/>
      <c r="AS521" s="76"/>
      <c r="AT521" s="76"/>
      <c r="AU521" s="76"/>
      <c r="AV521" s="76"/>
      <c r="AW521" s="76"/>
      <c r="AX521" s="76">
        <f>+AW521*600000</f>
        <v>0</v>
      </c>
      <c r="AY521" s="76"/>
      <c r="AZ521" s="76">
        <f>+AY521*70000</f>
        <v>0</v>
      </c>
      <c r="BA521" s="76"/>
      <c r="BB521" s="76"/>
      <c r="BC521" s="76"/>
      <c r="BD521" s="76">
        <f>+BC521*30000</f>
        <v>0</v>
      </c>
      <c r="BE521" s="76"/>
      <c r="BF521" s="76"/>
      <c r="BG521" s="76"/>
      <c r="BH521" s="76"/>
      <c r="BI521" s="76"/>
      <c r="BJ521" s="76"/>
      <c r="BK521" s="76"/>
      <c r="BL521" s="76">
        <f>+BK521*31500</f>
        <v>0</v>
      </c>
      <c r="BM521" s="76"/>
      <c r="BN521" s="76"/>
      <c r="BO521" s="76"/>
      <c r="BP521" s="76"/>
      <c r="BQ521" s="76"/>
      <c r="BR521" s="76"/>
      <c r="BS521" s="76"/>
      <c r="BT521" s="76"/>
      <c r="BU521" s="76"/>
      <c r="BV521" s="76"/>
      <c r="BW521" s="76"/>
      <c r="BX521" s="76"/>
      <c r="BY521" s="76"/>
      <c r="BZ521" s="76"/>
      <c r="CA521" s="76"/>
      <c r="CB521" s="76"/>
      <c r="CC521" s="76"/>
      <c r="CD521" s="76"/>
      <c r="CE521" s="76"/>
      <c r="CF521" s="76">
        <f>+CE521*28000</f>
        <v>0</v>
      </c>
      <c r="CG521" s="76"/>
      <c r="CH521" s="76">
        <f>+CG521*22500</f>
        <v>0</v>
      </c>
      <c r="CI521" s="76"/>
      <c r="CJ521" s="76">
        <f>+CI521*26000</f>
        <v>0</v>
      </c>
      <c r="CK521" s="76"/>
      <c r="CL521" s="76"/>
      <c r="CM521" s="76"/>
      <c r="CN521" s="76">
        <f>+CM521*22000</f>
        <v>0</v>
      </c>
      <c r="CO521" s="76"/>
      <c r="CP521" s="76">
        <f>+CO521*46000</f>
        <v>0</v>
      </c>
      <c r="CQ521" s="76"/>
      <c r="CR521" s="76">
        <f>+CQ521*49000</f>
        <v>0</v>
      </c>
      <c r="CS521" s="76"/>
      <c r="CT521" s="76"/>
      <c r="CU521" s="56">
        <f>AN521+AP521+AR521+AT521+AV521+AX521+AZ521+BB521+BD521+BF521+BH521+BJ521+BL521+BN521+BP521+BR521+BT521+BV521+BX521+BZ521+CB521+CD521+CF521+CH521+CJ521+CL521+CN521+CP521+CR521+CT521</f>
        <v>0</v>
      </c>
      <c r="CV521" s="76"/>
      <c r="CW521" s="76">
        <f>+CV521*1100</f>
        <v>0</v>
      </c>
      <c r="CX521" s="76"/>
      <c r="CY521" s="76">
        <f>+CX521*106250</f>
        <v>0</v>
      </c>
      <c r="CZ521" s="76"/>
      <c r="DA521" s="76">
        <f>+CZ521*34500</f>
        <v>0</v>
      </c>
      <c r="DB521" s="76"/>
      <c r="DC521" s="76">
        <f>+DB521*25000</f>
        <v>0</v>
      </c>
      <c r="DD521" s="219"/>
      <c r="DE521" s="219"/>
      <c r="DF521" s="166"/>
      <c r="DG521" s="116"/>
      <c r="DH521" s="117"/>
      <c r="DI521" s="24"/>
      <c r="DJ521" s="24"/>
      <c r="DK521" s="24"/>
      <c r="DL521" s="24"/>
      <c r="DM521" s="24"/>
      <c r="DN521" s="24"/>
      <c r="DO521" s="24"/>
      <c r="DP521" s="24"/>
      <c r="DQ521" s="24"/>
      <c r="DR521" s="24"/>
      <c r="DS521" s="24"/>
      <c r="DT521" s="24"/>
      <c r="DU521" s="24"/>
    </row>
    <row r="522" spans="1:125" s="8" customFormat="1" ht="48" x14ac:dyDescent="0.2">
      <c r="A522" s="77">
        <v>41307</v>
      </c>
      <c r="B522" s="78" t="s">
        <v>2778</v>
      </c>
      <c r="C522" s="75" t="s">
        <v>1344</v>
      </c>
      <c r="D522" s="81" t="s">
        <v>2846</v>
      </c>
      <c r="E522" s="75" t="str">
        <f>VLOOKUP(B522&amp;C522,Divipola!$C$2:$F$1138,4,FALSE)</f>
        <v>85001</v>
      </c>
      <c r="F522" s="87"/>
      <c r="G522" s="87"/>
      <c r="H522" s="87"/>
      <c r="I522" s="87"/>
      <c r="J522" s="87"/>
      <c r="K522" s="87"/>
      <c r="L522" s="87"/>
      <c r="M522" s="87"/>
      <c r="N522" s="87"/>
      <c r="O522" s="87"/>
      <c r="P522" s="87"/>
      <c r="Q522" s="87"/>
      <c r="R522" s="87"/>
      <c r="S522" s="87"/>
      <c r="T522" s="87"/>
      <c r="U522" s="88">
        <v>7</v>
      </c>
      <c r="V522" s="89"/>
      <c r="W522" s="96">
        <v>0</v>
      </c>
      <c r="X522" s="71">
        <f>CU522</f>
        <v>0</v>
      </c>
      <c r="Y522" s="71">
        <f>CY522</f>
        <v>0</v>
      </c>
      <c r="Z522" s="71">
        <f>DA522+DC522+DE522</f>
        <v>0</v>
      </c>
      <c r="AA522" s="71">
        <f>CW522</f>
        <v>0</v>
      </c>
      <c r="AB522" s="71"/>
      <c r="AC522" s="71">
        <v>0</v>
      </c>
      <c r="AD522" s="71">
        <f>W522+X522+Y522+Z522+AA522+AB522+AC522</f>
        <v>0</v>
      </c>
      <c r="AE522" s="72">
        <v>0</v>
      </c>
      <c r="AF522" s="5"/>
      <c r="AG522" s="6"/>
      <c r="AH522" s="27" t="s">
        <v>3392</v>
      </c>
      <c r="AI522" s="44" t="s">
        <v>3393</v>
      </c>
      <c r="AJ522" s="26"/>
      <c r="AK522" s="5"/>
      <c r="AL522" s="82" t="s">
        <v>3769</v>
      </c>
      <c r="AM522" s="76"/>
      <c r="AN522" s="76"/>
      <c r="AO522" s="76"/>
      <c r="AP522" s="76"/>
      <c r="AQ522" s="76"/>
      <c r="AR522" s="76"/>
      <c r="AS522" s="76"/>
      <c r="AT522" s="76"/>
      <c r="AU522" s="76"/>
      <c r="AV522" s="76"/>
      <c r="AW522" s="76"/>
      <c r="AX522" s="76">
        <f>+AW522*600000</f>
        <v>0</v>
      </c>
      <c r="AY522" s="76"/>
      <c r="AZ522" s="76">
        <f>+AY522*70000</f>
        <v>0</v>
      </c>
      <c r="BA522" s="76"/>
      <c r="BB522" s="76"/>
      <c r="BC522" s="76"/>
      <c r="BD522" s="76">
        <f>+BC522*30000</f>
        <v>0</v>
      </c>
      <c r="BE522" s="76"/>
      <c r="BF522" s="76"/>
      <c r="BG522" s="76"/>
      <c r="BH522" s="76"/>
      <c r="BI522" s="76"/>
      <c r="BJ522" s="76"/>
      <c r="BK522" s="76"/>
      <c r="BL522" s="76">
        <f>+BK522*31500</f>
        <v>0</v>
      </c>
      <c r="BM522" s="76"/>
      <c r="BN522" s="76"/>
      <c r="BO522" s="76"/>
      <c r="BP522" s="76"/>
      <c r="BQ522" s="76"/>
      <c r="BR522" s="76"/>
      <c r="BS522" s="76"/>
      <c r="BT522" s="76"/>
      <c r="BU522" s="76"/>
      <c r="BV522" s="76"/>
      <c r="BW522" s="76"/>
      <c r="BX522" s="76"/>
      <c r="BY522" s="76"/>
      <c r="BZ522" s="76"/>
      <c r="CA522" s="76"/>
      <c r="CB522" s="76"/>
      <c r="CC522" s="76"/>
      <c r="CD522" s="76"/>
      <c r="CE522" s="76"/>
      <c r="CF522" s="76">
        <f>+CE522*28000</f>
        <v>0</v>
      </c>
      <c r="CG522" s="76"/>
      <c r="CH522" s="76">
        <f>+CG522*22500</f>
        <v>0</v>
      </c>
      <c r="CI522" s="76"/>
      <c r="CJ522" s="76">
        <f>+CI522*26000</f>
        <v>0</v>
      </c>
      <c r="CK522" s="76"/>
      <c r="CL522" s="76"/>
      <c r="CM522" s="76"/>
      <c r="CN522" s="76">
        <f>+CM522*22000</f>
        <v>0</v>
      </c>
      <c r="CO522" s="76"/>
      <c r="CP522" s="76">
        <f>+CO522*46000</f>
        <v>0</v>
      </c>
      <c r="CQ522" s="76"/>
      <c r="CR522" s="76">
        <f>+CQ522*49000</f>
        <v>0</v>
      </c>
      <c r="CS522" s="76"/>
      <c r="CT522" s="76"/>
      <c r="CU522" s="56">
        <f>AN522+AP522+AR522+AT522+AV522+AX522+AZ522+BB522+BD522+BF522+BH522+BJ522+BL522+BN522+BP522+BR522+BT522+BV522+BX522+BZ522+CB522+CD522+CF522+CH522+CJ522+CL522+CN522+CP522+CR522+CT522</f>
        <v>0</v>
      </c>
      <c r="CV522" s="76"/>
      <c r="CW522" s="76">
        <f>+CV522*1100</f>
        <v>0</v>
      </c>
      <c r="CX522" s="76"/>
      <c r="CY522" s="76">
        <f>+CX522*106250</f>
        <v>0</v>
      </c>
      <c r="CZ522" s="76"/>
      <c r="DA522" s="76">
        <f>+CZ522*34500</f>
        <v>0</v>
      </c>
      <c r="DB522" s="76"/>
      <c r="DC522" s="76">
        <f>+DB522*25000</f>
        <v>0</v>
      </c>
      <c r="DD522" s="219"/>
      <c r="DE522" s="219"/>
      <c r="DF522" s="166"/>
      <c r="DG522" s="116"/>
      <c r="DH522" s="117"/>
      <c r="DI522" s="24"/>
      <c r="DJ522" s="24"/>
      <c r="DK522" s="24"/>
      <c r="DL522" s="24"/>
      <c r="DM522" s="24"/>
      <c r="DN522" s="24"/>
      <c r="DO522" s="24"/>
      <c r="DP522" s="24"/>
      <c r="DQ522" s="24"/>
      <c r="DR522" s="24"/>
      <c r="DS522" s="24"/>
      <c r="DT522" s="24"/>
      <c r="DU522" s="24"/>
    </row>
    <row r="523" spans="1:125" s="8" customFormat="1" ht="180" x14ac:dyDescent="0.2">
      <c r="A523" s="77">
        <v>41307</v>
      </c>
      <c r="B523" s="352" t="s">
        <v>2852</v>
      </c>
      <c r="C523" s="354" t="s">
        <v>2050</v>
      </c>
      <c r="D523" s="75" t="s">
        <v>3051</v>
      </c>
      <c r="E523" s="75" t="str">
        <f>VLOOKUP(B523&amp;C523,Divipola!$C$2:$F$1138,4,FALSE)</f>
        <v>27073</v>
      </c>
      <c r="F523" s="87"/>
      <c r="G523" s="87"/>
      <c r="H523" s="87"/>
      <c r="I523" s="87"/>
      <c r="J523" s="87"/>
      <c r="K523" s="87"/>
      <c r="L523" s="87"/>
      <c r="M523" s="87"/>
      <c r="N523" s="87"/>
      <c r="O523" s="87"/>
      <c r="P523" s="87"/>
      <c r="Q523" s="87"/>
      <c r="R523" s="87"/>
      <c r="S523" s="87"/>
      <c r="T523" s="87"/>
      <c r="U523" s="88"/>
      <c r="V523" s="89"/>
      <c r="W523" s="96">
        <v>0</v>
      </c>
      <c r="X523" s="71">
        <f>CU523</f>
        <v>0</v>
      </c>
      <c r="Y523" s="71">
        <f>CY523</f>
        <v>0</v>
      </c>
      <c r="Z523" s="71">
        <f>DA523+DC523+DE523</f>
        <v>0</v>
      </c>
      <c r="AA523" s="71">
        <f>CW523</f>
        <v>0</v>
      </c>
      <c r="AB523" s="71"/>
      <c r="AC523" s="71">
        <v>0</v>
      </c>
      <c r="AD523" s="71">
        <f>W523+X523+Y523+Z523+AA523+AB523+AC523</f>
        <v>0</v>
      </c>
      <c r="AE523" s="72">
        <v>0</v>
      </c>
      <c r="AF523" s="5"/>
      <c r="AG523" s="6"/>
      <c r="AH523" s="27" t="s">
        <v>3392</v>
      </c>
      <c r="AI523" s="44" t="s">
        <v>3393</v>
      </c>
      <c r="AJ523" s="26"/>
      <c r="AK523" s="5"/>
      <c r="AL523" s="82" t="s">
        <v>3384</v>
      </c>
      <c r="AM523" s="76"/>
      <c r="AN523" s="76"/>
      <c r="AO523" s="76"/>
      <c r="AP523" s="76"/>
      <c r="AQ523" s="76"/>
      <c r="AR523" s="76"/>
      <c r="AS523" s="76"/>
      <c r="AT523" s="76"/>
      <c r="AU523" s="76"/>
      <c r="AV523" s="76"/>
      <c r="AW523" s="76"/>
      <c r="AX523" s="76">
        <f>+AW523*600000</f>
        <v>0</v>
      </c>
      <c r="AY523" s="76"/>
      <c r="AZ523" s="76">
        <f>+AY523*70000</f>
        <v>0</v>
      </c>
      <c r="BA523" s="76"/>
      <c r="BB523" s="76"/>
      <c r="BC523" s="76"/>
      <c r="BD523" s="76">
        <f>+BC523*30000</f>
        <v>0</v>
      </c>
      <c r="BE523" s="76"/>
      <c r="BF523" s="76"/>
      <c r="BG523" s="76"/>
      <c r="BH523" s="76"/>
      <c r="BI523" s="76"/>
      <c r="BJ523" s="76"/>
      <c r="BK523" s="76"/>
      <c r="BL523" s="76">
        <f>+BK523*31500</f>
        <v>0</v>
      </c>
      <c r="BM523" s="76"/>
      <c r="BN523" s="76"/>
      <c r="BO523" s="76"/>
      <c r="BP523" s="76"/>
      <c r="BQ523" s="76"/>
      <c r="BR523" s="76"/>
      <c r="BS523" s="76"/>
      <c r="BT523" s="76"/>
      <c r="BU523" s="76"/>
      <c r="BV523" s="76"/>
      <c r="BW523" s="76"/>
      <c r="BX523" s="76"/>
      <c r="BY523" s="76"/>
      <c r="BZ523" s="76"/>
      <c r="CA523" s="76"/>
      <c r="CB523" s="76"/>
      <c r="CC523" s="76"/>
      <c r="CD523" s="76"/>
      <c r="CE523" s="76"/>
      <c r="CF523" s="76">
        <f>+CE523*28000</f>
        <v>0</v>
      </c>
      <c r="CG523" s="76"/>
      <c r="CH523" s="76">
        <f>+CG523*22500</f>
        <v>0</v>
      </c>
      <c r="CI523" s="76"/>
      <c r="CJ523" s="76">
        <f>+CI523*26000</f>
        <v>0</v>
      </c>
      <c r="CK523" s="76"/>
      <c r="CL523" s="76"/>
      <c r="CM523" s="76"/>
      <c r="CN523" s="76">
        <f>+CM523*22000</f>
        <v>0</v>
      </c>
      <c r="CO523" s="76"/>
      <c r="CP523" s="76">
        <f>+CO523*46000</f>
        <v>0</v>
      </c>
      <c r="CQ523" s="76"/>
      <c r="CR523" s="76">
        <f>+CQ523*49000</f>
        <v>0</v>
      </c>
      <c r="CS523" s="76"/>
      <c r="CT523" s="76"/>
      <c r="CU523" s="56">
        <f>AN523+AP523+AR523+AT523+AV523+AX523+AZ523+BB523+BD523+BF523+BH523+BJ523+BL523+BN523+BP523+BR523+BT523+BV523+BX523+BZ523+CB523+CD523+CF523+CH523+CJ523+CL523+CN523+CP523+CR523+CT523</f>
        <v>0</v>
      </c>
      <c r="CV523" s="76"/>
      <c r="CW523" s="76">
        <f>+CV523*1100</f>
        <v>0</v>
      </c>
      <c r="CX523" s="76"/>
      <c r="CY523" s="76">
        <f>+CX523*106250</f>
        <v>0</v>
      </c>
      <c r="CZ523" s="76"/>
      <c r="DA523" s="76">
        <f>+CZ523*34500</f>
        <v>0</v>
      </c>
      <c r="DB523" s="76"/>
      <c r="DC523" s="76">
        <f>+DB523*25000</f>
        <v>0</v>
      </c>
      <c r="DD523" s="219"/>
      <c r="DE523" s="219"/>
      <c r="DF523" s="164"/>
      <c r="DG523" s="116"/>
      <c r="DH523" s="117"/>
      <c r="DI523" s="24"/>
      <c r="DJ523" s="24"/>
      <c r="DK523" s="24"/>
      <c r="DL523" s="24"/>
      <c r="DM523" s="24"/>
      <c r="DN523" s="24"/>
      <c r="DO523" s="24"/>
      <c r="DP523" s="24"/>
      <c r="DQ523" s="24"/>
      <c r="DR523" s="24"/>
      <c r="DS523" s="24"/>
      <c r="DT523" s="24"/>
      <c r="DU523" s="24"/>
    </row>
    <row r="524" spans="1:125" s="8" customFormat="1" x14ac:dyDescent="0.2">
      <c r="A524" s="77">
        <v>41307</v>
      </c>
      <c r="B524" s="78" t="s">
        <v>3136</v>
      </c>
      <c r="C524" s="75" t="s">
        <v>396</v>
      </c>
      <c r="D524" s="75" t="s">
        <v>2882</v>
      </c>
      <c r="E524" s="75" t="str">
        <f>VLOOKUP(B524&amp;C524,Divipola!$C$2:$F$1138,4,FALSE)</f>
        <v>44279</v>
      </c>
      <c r="F524" s="87"/>
      <c r="G524" s="87"/>
      <c r="H524" s="87"/>
      <c r="I524" s="87">
        <v>10</v>
      </c>
      <c r="J524" s="87">
        <v>2</v>
      </c>
      <c r="K524" s="87"/>
      <c r="L524" s="87">
        <v>2</v>
      </c>
      <c r="M524" s="87"/>
      <c r="N524" s="87"/>
      <c r="O524" s="87"/>
      <c r="P524" s="87"/>
      <c r="Q524" s="87"/>
      <c r="R524" s="87"/>
      <c r="S524" s="87"/>
      <c r="T524" s="87"/>
      <c r="U524" s="88"/>
      <c r="V524" s="89"/>
      <c r="W524" s="96">
        <v>0</v>
      </c>
      <c r="X524" s="71">
        <f>CU524</f>
        <v>0</v>
      </c>
      <c r="Y524" s="71">
        <f>CY524</f>
        <v>0</v>
      </c>
      <c r="Z524" s="71">
        <f>DA524+DC524+DE524</f>
        <v>0</v>
      </c>
      <c r="AA524" s="71">
        <f>CW524</f>
        <v>0</v>
      </c>
      <c r="AB524" s="71"/>
      <c r="AC524" s="71">
        <v>0</v>
      </c>
      <c r="AD524" s="71">
        <f>W524+X524+Y524+Z524+AA524+AB524+AC524</f>
        <v>0</v>
      </c>
      <c r="AE524" s="72">
        <v>0</v>
      </c>
      <c r="AF524" s="5"/>
      <c r="AG524" s="6"/>
      <c r="AH524" s="27" t="s">
        <v>3392</v>
      </c>
      <c r="AI524" s="44" t="s">
        <v>3393</v>
      </c>
      <c r="AJ524" s="26"/>
      <c r="AK524" s="5"/>
      <c r="AL524" s="82" t="s">
        <v>3381</v>
      </c>
      <c r="AM524" s="76"/>
      <c r="AN524" s="76"/>
      <c r="AO524" s="76"/>
      <c r="AP524" s="76"/>
      <c r="AQ524" s="76"/>
      <c r="AR524" s="76"/>
      <c r="AS524" s="76"/>
      <c r="AT524" s="76"/>
      <c r="AU524" s="76"/>
      <c r="AV524" s="76"/>
      <c r="AW524" s="76"/>
      <c r="AX524" s="76">
        <f>+AW524*600000</f>
        <v>0</v>
      </c>
      <c r="AY524" s="76"/>
      <c r="AZ524" s="76">
        <f>+AY524*70000</f>
        <v>0</v>
      </c>
      <c r="BA524" s="76"/>
      <c r="BB524" s="76"/>
      <c r="BC524" s="76"/>
      <c r="BD524" s="76">
        <f>+BC524*30000</f>
        <v>0</v>
      </c>
      <c r="BE524" s="76"/>
      <c r="BF524" s="76"/>
      <c r="BG524" s="76"/>
      <c r="BH524" s="76"/>
      <c r="BI524" s="76"/>
      <c r="BJ524" s="76"/>
      <c r="BK524" s="76"/>
      <c r="BL524" s="76">
        <f>+BK524*31500</f>
        <v>0</v>
      </c>
      <c r="BM524" s="76"/>
      <c r="BN524" s="76"/>
      <c r="BO524" s="76"/>
      <c r="BP524" s="76"/>
      <c r="BQ524" s="76"/>
      <c r="BR524" s="76"/>
      <c r="BS524" s="76"/>
      <c r="BT524" s="76"/>
      <c r="BU524" s="76"/>
      <c r="BV524" s="76"/>
      <c r="BW524" s="76"/>
      <c r="BX524" s="76"/>
      <c r="BY524" s="76"/>
      <c r="BZ524" s="76"/>
      <c r="CA524" s="76"/>
      <c r="CB524" s="76"/>
      <c r="CC524" s="76"/>
      <c r="CD524" s="76"/>
      <c r="CE524" s="76"/>
      <c r="CF524" s="76">
        <f>+CE524*28000</f>
        <v>0</v>
      </c>
      <c r="CG524" s="76"/>
      <c r="CH524" s="76">
        <f>+CG524*22500</f>
        <v>0</v>
      </c>
      <c r="CI524" s="76"/>
      <c r="CJ524" s="76">
        <f>+CI524*26000</f>
        <v>0</v>
      </c>
      <c r="CK524" s="76"/>
      <c r="CL524" s="76"/>
      <c r="CM524" s="76"/>
      <c r="CN524" s="76">
        <f>+CM524*22000</f>
        <v>0</v>
      </c>
      <c r="CO524" s="76"/>
      <c r="CP524" s="76">
        <f>+CO524*46000</f>
        <v>0</v>
      </c>
      <c r="CQ524" s="76"/>
      <c r="CR524" s="76">
        <f>+CQ524*49000</f>
        <v>0</v>
      </c>
      <c r="CS524" s="76"/>
      <c r="CT524" s="76"/>
      <c r="CU524" s="56">
        <f>AN524+AP524+AR524+AT524+AV524+AX524+AZ524+BB524+BD524+BF524+BH524+BJ524+BL524+BN524+BP524+BR524+BT524+BV524+BX524+BZ524+CB524+CD524+CF524+CH524+CJ524+CL524+CN524+CP524+CR524+CT524</f>
        <v>0</v>
      </c>
      <c r="CV524" s="76"/>
      <c r="CW524" s="76">
        <f>+CV524*1100</f>
        <v>0</v>
      </c>
      <c r="CX524" s="76"/>
      <c r="CY524" s="76">
        <f>+CX524*106250</f>
        <v>0</v>
      </c>
      <c r="CZ524" s="76"/>
      <c r="DA524" s="76">
        <f>+CZ524*34500</f>
        <v>0</v>
      </c>
      <c r="DB524" s="76"/>
      <c r="DC524" s="76">
        <f>+DB524*25000</f>
        <v>0</v>
      </c>
      <c r="DD524" s="219"/>
      <c r="DE524" s="219"/>
      <c r="DF524" s="166"/>
      <c r="DG524" s="116"/>
      <c r="DH524" s="117"/>
      <c r="DI524" s="24"/>
      <c r="DJ524" s="24"/>
      <c r="DK524" s="24"/>
      <c r="DL524" s="24"/>
      <c r="DM524" s="24"/>
      <c r="DN524" s="24"/>
      <c r="DO524" s="24"/>
      <c r="DP524" s="24"/>
      <c r="DQ524" s="24"/>
      <c r="DR524" s="24"/>
      <c r="DS524" s="24"/>
      <c r="DT524" s="24"/>
      <c r="DU524" s="24"/>
    </row>
    <row r="525" spans="1:125" s="8" customFormat="1" ht="84" x14ac:dyDescent="0.2">
      <c r="A525" s="77">
        <v>41307</v>
      </c>
      <c r="B525" s="225" t="s">
        <v>506</v>
      </c>
      <c r="C525" s="227" t="s">
        <v>2786</v>
      </c>
      <c r="D525" s="81" t="s">
        <v>2846</v>
      </c>
      <c r="E525" s="75" t="str">
        <f>VLOOKUP(B525&amp;C525,Divipola!$C$2:$F$1138,4,FALSE)</f>
        <v>50006</v>
      </c>
      <c r="F525" s="87"/>
      <c r="G525" s="87"/>
      <c r="H525" s="87"/>
      <c r="I525" s="87"/>
      <c r="J525" s="87"/>
      <c r="K525" s="87"/>
      <c r="L525" s="87"/>
      <c r="M525" s="87"/>
      <c r="N525" s="87"/>
      <c r="O525" s="87"/>
      <c r="P525" s="87"/>
      <c r="Q525" s="87"/>
      <c r="R525" s="87"/>
      <c r="S525" s="87"/>
      <c r="T525" s="87"/>
      <c r="U525" s="88">
        <v>2</v>
      </c>
      <c r="V525" s="89"/>
      <c r="W525" s="96">
        <v>0</v>
      </c>
      <c r="X525" s="71">
        <f>CU525</f>
        <v>0</v>
      </c>
      <c r="Y525" s="71">
        <f>CY525</f>
        <v>0</v>
      </c>
      <c r="Z525" s="71">
        <f>DA525+DC525+DE525</f>
        <v>0</v>
      </c>
      <c r="AA525" s="71">
        <f>CW525</f>
        <v>0</v>
      </c>
      <c r="AB525" s="71"/>
      <c r="AC525" s="71">
        <v>0</v>
      </c>
      <c r="AD525" s="71">
        <f>W525+X525+Y525+Z525+AA525+AB525+AC525</f>
        <v>0</v>
      </c>
      <c r="AE525" s="72">
        <v>0</v>
      </c>
      <c r="AF525" s="5"/>
      <c r="AG525" s="6"/>
      <c r="AH525" s="27" t="s">
        <v>3392</v>
      </c>
      <c r="AI525" s="44" t="s">
        <v>3393</v>
      </c>
      <c r="AJ525" s="26"/>
      <c r="AK525" s="5"/>
      <c r="AL525" s="82" t="s">
        <v>3378</v>
      </c>
      <c r="AM525" s="76"/>
      <c r="AN525" s="76"/>
      <c r="AO525" s="76"/>
      <c r="AP525" s="76"/>
      <c r="AQ525" s="76"/>
      <c r="AR525" s="76"/>
      <c r="AS525" s="76"/>
      <c r="AT525" s="76"/>
      <c r="AU525" s="76"/>
      <c r="AV525" s="76"/>
      <c r="AW525" s="76"/>
      <c r="AX525" s="76">
        <f>+AW525*600000</f>
        <v>0</v>
      </c>
      <c r="AY525" s="76"/>
      <c r="AZ525" s="76">
        <f>+AY525*70000</f>
        <v>0</v>
      </c>
      <c r="BA525" s="76"/>
      <c r="BB525" s="76"/>
      <c r="BC525" s="76"/>
      <c r="BD525" s="76">
        <f>+BC525*30000</f>
        <v>0</v>
      </c>
      <c r="BE525" s="76"/>
      <c r="BF525" s="76"/>
      <c r="BG525" s="76"/>
      <c r="BH525" s="76"/>
      <c r="BI525" s="76"/>
      <c r="BJ525" s="76"/>
      <c r="BK525" s="76"/>
      <c r="BL525" s="76">
        <f>+BK525*31500</f>
        <v>0</v>
      </c>
      <c r="BM525" s="76"/>
      <c r="BN525" s="76"/>
      <c r="BO525" s="76"/>
      <c r="BP525" s="76"/>
      <c r="BQ525" s="76"/>
      <c r="BR525" s="76"/>
      <c r="BS525" s="76"/>
      <c r="BT525" s="76"/>
      <c r="BU525" s="76"/>
      <c r="BV525" s="76"/>
      <c r="BW525" s="76"/>
      <c r="BX525" s="76"/>
      <c r="BY525" s="76"/>
      <c r="BZ525" s="76"/>
      <c r="CA525" s="76"/>
      <c r="CB525" s="76"/>
      <c r="CC525" s="76"/>
      <c r="CD525" s="76"/>
      <c r="CE525" s="76"/>
      <c r="CF525" s="76">
        <f>+CE525*28000</f>
        <v>0</v>
      </c>
      <c r="CG525" s="76"/>
      <c r="CH525" s="76">
        <f>+CG525*22500</f>
        <v>0</v>
      </c>
      <c r="CI525" s="76"/>
      <c r="CJ525" s="76">
        <f>+CI525*26000</f>
        <v>0</v>
      </c>
      <c r="CK525" s="76"/>
      <c r="CL525" s="76"/>
      <c r="CM525" s="76"/>
      <c r="CN525" s="76">
        <f>+CM525*22000</f>
        <v>0</v>
      </c>
      <c r="CO525" s="76"/>
      <c r="CP525" s="76">
        <f>+CO525*46000</f>
        <v>0</v>
      </c>
      <c r="CQ525" s="76"/>
      <c r="CR525" s="76">
        <f>+CQ525*49000</f>
        <v>0</v>
      </c>
      <c r="CS525" s="76"/>
      <c r="CT525" s="76"/>
      <c r="CU525" s="56">
        <f>AN525+AP525+AR525+AT525+AV525+AX525+AZ525+BB525+BD525+BF525+BH525+BJ525+BL525+BN525+BP525+BR525+BT525+BV525+BX525+BZ525+CB525+CD525+CF525+CH525+CJ525+CL525+CN525+CP525+CR525+CT525</f>
        <v>0</v>
      </c>
      <c r="CV525" s="76"/>
      <c r="CW525" s="76">
        <f>+CV525*1100</f>
        <v>0</v>
      </c>
      <c r="CX525" s="76"/>
      <c r="CY525" s="76">
        <f>+CX525*106250</f>
        <v>0</v>
      </c>
      <c r="CZ525" s="76"/>
      <c r="DA525" s="76">
        <f>+CZ525*34500</f>
        <v>0</v>
      </c>
      <c r="DB525" s="76"/>
      <c r="DC525" s="76">
        <f>+DB525*25000</f>
        <v>0</v>
      </c>
      <c r="DD525" s="219"/>
      <c r="DE525" s="219"/>
      <c r="DF525" s="164"/>
      <c r="DG525" s="116"/>
      <c r="DH525" s="117"/>
      <c r="DI525" s="24"/>
      <c r="DJ525" s="24"/>
      <c r="DK525" s="24"/>
      <c r="DL525" s="24"/>
      <c r="DM525" s="24"/>
      <c r="DN525" s="24"/>
      <c r="DO525" s="24"/>
      <c r="DP525" s="24"/>
      <c r="DQ525" s="24"/>
      <c r="DR525" s="24"/>
      <c r="DS525" s="24"/>
      <c r="DT525" s="24"/>
      <c r="DU525" s="24"/>
    </row>
    <row r="526" spans="1:125" s="8" customFormat="1" ht="84" x14ac:dyDescent="0.2">
      <c r="A526" s="77">
        <v>41307</v>
      </c>
      <c r="B526" s="352" t="s">
        <v>506</v>
      </c>
      <c r="C526" s="227" t="s">
        <v>1294</v>
      </c>
      <c r="D526" s="81" t="s">
        <v>2846</v>
      </c>
      <c r="E526" s="75" t="str">
        <f>VLOOKUP(B526&amp;C526,Divipola!$C$2:$F$1138,4,FALSE)</f>
        <v>50223</v>
      </c>
      <c r="F526" s="100"/>
      <c r="G526" s="100"/>
      <c r="H526" s="100"/>
      <c r="I526" s="100"/>
      <c r="J526" s="100"/>
      <c r="K526" s="100"/>
      <c r="L526" s="100"/>
      <c r="M526" s="100"/>
      <c r="N526" s="100"/>
      <c r="O526" s="100"/>
      <c r="P526" s="100"/>
      <c r="Q526" s="100"/>
      <c r="R526" s="100"/>
      <c r="S526" s="100"/>
      <c r="T526" s="100"/>
      <c r="U526" s="136">
        <v>3</v>
      </c>
      <c r="V526" s="89"/>
      <c r="W526" s="96">
        <v>0</v>
      </c>
      <c r="X526" s="71">
        <f>CU526</f>
        <v>0</v>
      </c>
      <c r="Y526" s="71">
        <f>CY526</f>
        <v>0</v>
      </c>
      <c r="Z526" s="71">
        <f>DA526+DC526+DE526</f>
        <v>0</v>
      </c>
      <c r="AA526" s="71">
        <f>CW526</f>
        <v>0</v>
      </c>
      <c r="AB526" s="71"/>
      <c r="AC526" s="71">
        <v>0</v>
      </c>
      <c r="AD526" s="71">
        <f>W526+X526+Y526+Z526+AA526+AB526+AC526</f>
        <v>0</v>
      </c>
      <c r="AE526" s="72">
        <v>0</v>
      </c>
      <c r="AF526" s="5"/>
      <c r="AG526" s="6"/>
      <c r="AH526" s="27" t="s">
        <v>3392</v>
      </c>
      <c r="AI526" s="44" t="s">
        <v>3393</v>
      </c>
      <c r="AJ526" s="26"/>
      <c r="AK526" s="5"/>
      <c r="AL526" s="82" t="s">
        <v>3379</v>
      </c>
      <c r="AM526" s="76"/>
      <c r="AN526" s="76"/>
      <c r="AO526" s="76"/>
      <c r="AP526" s="76"/>
      <c r="AQ526" s="76"/>
      <c r="AR526" s="76"/>
      <c r="AS526" s="76"/>
      <c r="AT526" s="76"/>
      <c r="AU526" s="76"/>
      <c r="AV526" s="76"/>
      <c r="AW526" s="76"/>
      <c r="AX526" s="76">
        <f>+AW526*600000</f>
        <v>0</v>
      </c>
      <c r="AY526" s="76"/>
      <c r="AZ526" s="76">
        <f>+AY526*70000</f>
        <v>0</v>
      </c>
      <c r="BA526" s="76"/>
      <c r="BB526" s="76"/>
      <c r="BC526" s="76"/>
      <c r="BD526" s="76">
        <f>+BC526*30000</f>
        <v>0</v>
      </c>
      <c r="BE526" s="76"/>
      <c r="BF526" s="76"/>
      <c r="BG526" s="76"/>
      <c r="BH526" s="76"/>
      <c r="BI526" s="76"/>
      <c r="BJ526" s="76"/>
      <c r="BK526" s="76"/>
      <c r="BL526" s="76">
        <f>+BK526*31500</f>
        <v>0</v>
      </c>
      <c r="BM526" s="76"/>
      <c r="BN526" s="76"/>
      <c r="BO526" s="76"/>
      <c r="BP526" s="76"/>
      <c r="BQ526" s="76"/>
      <c r="BR526" s="76"/>
      <c r="BS526" s="76"/>
      <c r="BT526" s="76"/>
      <c r="BU526" s="76"/>
      <c r="BV526" s="76"/>
      <c r="BW526" s="76"/>
      <c r="BX526" s="76"/>
      <c r="BY526" s="76"/>
      <c r="BZ526" s="76"/>
      <c r="CA526" s="76"/>
      <c r="CB526" s="76"/>
      <c r="CC526" s="76"/>
      <c r="CD526" s="76"/>
      <c r="CE526" s="76"/>
      <c r="CF526" s="76">
        <f>+CE526*28000</f>
        <v>0</v>
      </c>
      <c r="CG526" s="76"/>
      <c r="CH526" s="76">
        <f>+CG526*22500</f>
        <v>0</v>
      </c>
      <c r="CI526" s="76"/>
      <c r="CJ526" s="76">
        <f>+CI526*26000</f>
        <v>0</v>
      </c>
      <c r="CK526" s="76"/>
      <c r="CL526" s="76"/>
      <c r="CM526" s="76"/>
      <c r="CN526" s="76">
        <f>+CM526*22000</f>
        <v>0</v>
      </c>
      <c r="CO526" s="76"/>
      <c r="CP526" s="76">
        <f>+CO526*46000</f>
        <v>0</v>
      </c>
      <c r="CQ526" s="76"/>
      <c r="CR526" s="76">
        <f>+CQ526*49000</f>
        <v>0</v>
      </c>
      <c r="CS526" s="76"/>
      <c r="CT526" s="76"/>
      <c r="CU526" s="56">
        <f>AN526+AP526+AR526+AT526+AV526+AX526+AZ526+BB526+BD526+BF526+BH526+BJ526+BL526+BN526+BP526+BR526+BT526+BV526+BX526+BZ526+CB526+CD526+CF526+CH526+CJ526+CL526+CN526+CP526+CR526+CT526</f>
        <v>0</v>
      </c>
      <c r="CV526" s="76"/>
      <c r="CW526" s="76">
        <f>+CV526*1100</f>
        <v>0</v>
      </c>
      <c r="CX526" s="76"/>
      <c r="CY526" s="76">
        <f>+CX526*106250</f>
        <v>0</v>
      </c>
      <c r="CZ526" s="76"/>
      <c r="DA526" s="76">
        <f>+CZ526*34500</f>
        <v>0</v>
      </c>
      <c r="DB526" s="76"/>
      <c r="DC526" s="76">
        <f>+DB526*25000</f>
        <v>0</v>
      </c>
      <c r="DD526" s="219"/>
      <c r="DE526" s="219"/>
      <c r="DF526" s="166"/>
      <c r="DG526" s="116"/>
      <c r="DH526" s="117"/>
      <c r="DI526" s="24"/>
      <c r="DJ526" s="24"/>
      <c r="DK526" s="24"/>
      <c r="DL526" s="24"/>
      <c r="DM526" s="24"/>
      <c r="DN526" s="24"/>
      <c r="DO526" s="24"/>
      <c r="DP526" s="24"/>
      <c r="DQ526" s="24"/>
      <c r="DR526" s="24"/>
      <c r="DS526" s="24"/>
      <c r="DT526" s="24"/>
      <c r="DU526" s="24"/>
    </row>
    <row r="527" spans="1:125" s="8" customFormat="1" ht="84" x14ac:dyDescent="0.2">
      <c r="A527" s="77">
        <v>41307</v>
      </c>
      <c r="B527" s="78" t="s">
        <v>506</v>
      </c>
      <c r="C527" s="75" t="s">
        <v>103</v>
      </c>
      <c r="D527" s="81" t="s">
        <v>2846</v>
      </c>
      <c r="E527" s="75" t="str">
        <f>VLOOKUP(B527&amp;C527,Divipola!$C$2:$F$1138,4,FALSE)</f>
        <v>50577</v>
      </c>
      <c r="F527" s="87"/>
      <c r="G527" s="87"/>
      <c r="H527" s="87"/>
      <c r="I527" s="87"/>
      <c r="J527" s="87"/>
      <c r="K527" s="87"/>
      <c r="L527" s="87"/>
      <c r="M527" s="87"/>
      <c r="N527" s="87"/>
      <c r="O527" s="87"/>
      <c r="P527" s="87"/>
      <c r="Q527" s="87"/>
      <c r="R527" s="87"/>
      <c r="S527" s="87"/>
      <c r="T527" s="87"/>
      <c r="U527" s="88">
        <v>400</v>
      </c>
      <c r="V527" s="89"/>
      <c r="W527" s="96">
        <v>0</v>
      </c>
      <c r="X527" s="71">
        <f>CU527</f>
        <v>0</v>
      </c>
      <c r="Y527" s="71">
        <f>CY527</f>
        <v>0</v>
      </c>
      <c r="Z527" s="71">
        <f>DA527+DC527+DE527</f>
        <v>0</v>
      </c>
      <c r="AA527" s="71">
        <f>CW527</f>
        <v>0</v>
      </c>
      <c r="AB527" s="71"/>
      <c r="AC527" s="71">
        <v>0</v>
      </c>
      <c r="AD527" s="71">
        <f>W527+X527+Y527+Z527+AA527+AB527+AC527</f>
        <v>0</v>
      </c>
      <c r="AE527" s="72">
        <v>0</v>
      </c>
      <c r="AF527" s="5"/>
      <c r="AG527" s="6"/>
      <c r="AH527" s="27" t="s">
        <v>3392</v>
      </c>
      <c r="AI527" s="44" t="s">
        <v>3393</v>
      </c>
      <c r="AJ527" s="26"/>
      <c r="AK527" s="5"/>
      <c r="AL527" s="82" t="s">
        <v>3377</v>
      </c>
      <c r="AM527" s="76"/>
      <c r="AN527" s="76"/>
      <c r="AO527" s="76"/>
      <c r="AP527" s="76"/>
      <c r="AQ527" s="76"/>
      <c r="AR527" s="76"/>
      <c r="AS527" s="76"/>
      <c r="AT527" s="76"/>
      <c r="AU527" s="76"/>
      <c r="AV527" s="76"/>
      <c r="AW527" s="76"/>
      <c r="AX527" s="76">
        <f>+AW527*600000</f>
        <v>0</v>
      </c>
      <c r="AY527" s="76"/>
      <c r="AZ527" s="76">
        <f>+AY527*70000</f>
        <v>0</v>
      </c>
      <c r="BA527" s="76"/>
      <c r="BB527" s="76"/>
      <c r="BC527" s="76"/>
      <c r="BD527" s="76">
        <f>+BC527*30000</f>
        <v>0</v>
      </c>
      <c r="BE527" s="76"/>
      <c r="BF527" s="76"/>
      <c r="BG527" s="76"/>
      <c r="BH527" s="76"/>
      <c r="BI527" s="76"/>
      <c r="BJ527" s="76"/>
      <c r="BK527" s="76"/>
      <c r="BL527" s="76">
        <f>+BK527*31500</f>
        <v>0</v>
      </c>
      <c r="BM527" s="76"/>
      <c r="BN527" s="76"/>
      <c r="BO527" s="76"/>
      <c r="BP527" s="76"/>
      <c r="BQ527" s="76"/>
      <c r="BR527" s="76"/>
      <c r="BS527" s="76"/>
      <c r="BT527" s="76"/>
      <c r="BU527" s="76"/>
      <c r="BV527" s="76"/>
      <c r="BW527" s="76"/>
      <c r="BX527" s="76"/>
      <c r="BY527" s="76"/>
      <c r="BZ527" s="76"/>
      <c r="CA527" s="76"/>
      <c r="CB527" s="76"/>
      <c r="CC527" s="76"/>
      <c r="CD527" s="76"/>
      <c r="CE527" s="76"/>
      <c r="CF527" s="76">
        <f>+CE527*28000</f>
        <v>0</v>
      </c>
      <c r="CG527" s="76"/>
      <c r="CH527" s="76">
        <f>+CG527*22500</f>
        <v>0</v>
      </c>
      <c r="CI527" s="76"/>
      <c r="CJ527" s="76">
        <f>+CI527*26000</f>
        <v>0</v>
      </c>
      <c r="CK527" s="76"/>
      <c r="CL527" s="76"/>
      <c r="CM527" s="76"/>
      <c r="CN527" s="76">
        <f>+CM527*22000</f>
        <v>0</v>
      </c>
      <c r="CO527" s="76"/>
      <c r="CP527" s="76">
        <f>+CO527*46000</f>
        <v>0</v>
      </c>
      <c r="CQ527" s="76"/>
      <c r="CR527" s="76">
        <f>+CQ527*49000</f>
        <v>0</v>
      </c>
      <c r="CS527" s="76"/>
      <c r="CT527" s="76"/>
      <c r="CU527" s="56">
        <f>AN527+AP527+AR527+AT527+AV527+AX527+AZ527+BB527+BD527+BF527+BH527+BJ527+BL527+BN527+BP527+BR527+BT527+BV527+BX527+BZ527+CB527+CD527+CF527+CH527+CJ527+CL527+CN527+CP527+CR527+CT527</f>
        <v>0</v>
      </c>
      <c r="CV527" s="76"/>
      <c r="CW527" s="76">
        <f>+CV527*1100</f>
        <v>0</v>
      </c>
      <c r="CX527" s="76"/>
      <c r="CY527" s="76">
        <f>+CX527*106250</f>
        <v>0</v>
      </c>
      <c r="CZ527" s="76"/>
      <c r="DA527" s="76">
        <f>+CZ527*34500</f>
        <v>0</v>
      </c>
      <c r="DB527" s="76"/>
      <c r="DC527" s="76">
        <f>+DB527*25000</f>
        <v>0</v>
      </c>
      <c r="DD527" s="219"/>
      <c r="DE527" s="219"/>
      <c r="DF527" s="164"/>
      <c r="DG527" s="116"/>
      <c r="DH527" s="117"/>
      <c r="DI527" s="24"/>
      <c r="DJ527" s="24"/>
      <c r="DK527" s="24"/>
      <c r="DL527" s="24"/>
      <c r="DM527" s="24"/>
      <c r="DN527" s="24"/>
      <c r="DO527" s="24"/>
      <c r="DP527" s="24"/>
      <c r="DQ527" s="24"/>
      <c r="DR527" s="24"/>
      <c r="DS527" s="24"/>
      <c r="DT527" s="24"/>
      <c r="DU527" s="24"/>
    </row>
    <row r="528" spans="1:125" s="8" customFormat="1" ht="60" x14ac:dyDescent="0.2">
      <c r="A528" s="77">
        <v>41307</v>
      </c>
      <c r="B528" s="78" t="s">
        <v>2847</v>
      </c>
      <c r="C528" s="75" t="s">
        <v>2814</v>
      </c>
      <c r="D528" s="81" t="s">
        <v>2846</v>
      </c>
      <c r="E528" s="75" t="str">
        <f>VLOOKUP(B528&amp;C528,Divipola!$C$2:$F$1138,4,FALSE)</f>
        <v>68307</v>
      </c>
      <c r="F528" s="87"/>
      <c r="G528" s="87"/>
      <c r="H528" s="87"/>
      <c r="I528" s="87"/>
      <c r="J528" s="87"/>
      <c r="K528" s="87"/>
      <c r="L528" s="87"/>
      <c r="M528" s="87"/>
      <c r="N528" s="87"/>
      <c r="O528" s="87"/>
      <c r="P528" s="87"/>
      <c r="Q528" s="87"/>
      <c r="R528" s="87"/>
      <c r="S528" s="87"/>
      <c r="T528" s="87"/>
      <c r="U528" s="88">
        <v>2</v>
      </c>
      <c r="V528" s="89"/>
      <c r="W528" s="96">
        <v>0</v>
      </c>
      <c r="X528" s="71">
        <f>CU528</f>
        <v>0</v>
      </c>
      <c r="Y528" s="71">
        <f>CY528</f>
        <v>0</v>
      </c>
      <c r="Z528" s="71">
        <f>DA528+DC528+DE528</f>
        <v>0</v>
      </c>
      <c r="AA528" s="71">
        <f>CW528</f>
        <v>0</v>
      </c>
      <c r="AB528" s="71"/>
      <c r="AC528" s="71">
        <v>0</v>
      </c>
      <c r="AD528" s="71">
        <f>W528+X528+Y528+Z528+AA528+AB528+AC528</f>
        <v>0</v>
      </c>
      <c r="AE528" s="72">
        <v>0</v>
      </c>
      <c r="AF528" s="5"/>
      <c r="AG528" s="6"/>
      <c r="AH528" s="27" t="s">
        <v>3392</v>
      </c>
      <c r="AI528" s="44" t="s">
        <v>3393</v>
      </c>
      <c r="AJ528" s="26"/>
      <c r="AK528" s="5"/>
      <c r="AL528" s="82" t="s">
        <v>3383</v>
      </c>
      <c r="AM528" s="76"/>
      <c r="AN528" s="76"/>
      <c r="AO528" s="76"/>
      <c r="AP528" s="76"/>
      <c r="AQ528" s="76"/>
      <c r="AR528" s="76"/>
      <c r="AS528" s="76"/>
      <c r="AT528" s="76"/>
      <c r="AU528" s="76"/>
      <c r="AV528" s="76"/>
      <c r="AW528" s="76"/>
      <c r="AX528" s="76">
        <f>+AW528*600000</f>
        <v>0</v>
      </c>
      <c r="AY528" s="76"/>
      <c r="AZ528" s="76">
        <f>+AY528*70000</f>
        <v>0</v>
      </c>
      <c r="BA528" s="76"/>
      <c r="BB528" s="76"/>
      <c r="BC528" s="76"/>
      <c r="BD528" s="76">
        <f>+BC528*30000</f>
        <v>0</v>
      </c>
      <c r="BE528" s="76"/>
      <c r="BF528" s="76"/>
      <c r="BG528" s="76"/>
      <c r="BH528" s="76"/>
      <c r="BI528" s="76"/>
      <c r="BJ528" s="76"/>
      <c r="BK528" s="76"/>
      <c r="BL528" s="76">
        <f>+BK528*31500</f>
        <v>0</v>
      </c>
      <c r="BM528" s="76"/>
      <c r="BN528" s="76"/>
      <c r="BO528" s="76"/>
      <c r="BP528" s="76"/>
      <c r="BQ528" s="76"/>
      <c r="BR528" s="76"/>
      <c r="BS528" s="76"/>
      <c r="BT528" s="76"/>
      <c r="BU528" s="76"/>
      <c r="BV528" s="76"/>
      <c r="BW528" s="76"/>
      <c r="BX528" s="76"/>
      <c r="BY528" s="76"/>
      <c r="BZ528" s="76"/>
      <c r="CA528" s="76"/>
      <c r="CB528" s="76"/>
      <c r="CC528" s="76"/>
      <c r="CD528" s="76"/>
      <c r="CE528" s="76"/>
      <c r="CF528" s="76">
        <f>+CE528*28000</f>
        <v>0</v>
      </c>
      <c r="CG528" s="76"/>
      <c r="CH528" s="76">
        <f>+CG528*22500</f>
        <v>0</v>
      </c>
      <c r="CI528" s="76"/>
      <c r="CJ528" s="76">
        <f>+CI528*26000</f>
        <v>0</v>
      </c>
      <c r="CK528" s="76"/>
      <c r="CL528" s="76"/>
      <c r="CM528" s="76"/>
      <c r="CN528" s="76">
        <f>+CM528*22000</f>
        <v>0</v>
      </c>
      <c r="CO528" s="76"/>
      <c r="CP528" s="76">
        <f>+CO528*46000</f>
        <v>0</v>
      </c>
      <c r="CQ528" s="76"/>
      <c r="CR528" s="76">
        <f>+CQ528*49000</f>
        <v>0</v>
      </c>
      <c r="CS528" s="76"/>
      <c r="CT528" s="76"/>
      <c r="CU528" s="56">
        <f>AN528+AP528+AR528+AT528+AV528+AX528+AZ528+BB528+BD528+BF528+BH528+BJ528+BL528+BN528+BP528+BR528+BT528+BV528+BX528+BZ528+CB528+CD528+CF528+CH528+CJ528+CL528+CN528+CP528+CR528+CT528</f>
        <v>0</v>
      </c>
      <c r="CV528" s="76"/>
      <c r="CW528" s="76">
        <f>+CV528*1100</f>
        <v>0</v>
      </c>
      <c r="CX528" s="76"/>
      <c r="CY528" s="76">
        <f>+CX528*106250</f>
        <v>0</v>
      </c>
      <c r="CZ528" s="76"/>
      <c r="DA528" s="76">
        <f>+CZ528*34500</f>
        <v>0</v>
      </c>
      <c r="DB528" s="76"/>
      <c r="DC528" s="76">
        <f>+DB528*25000</f>
        <v>0</v>
      </c>
      <c r="DD528" s="219"/>
      <c r="DE528" s="219"/>
      <c r="DF528" s="164"/>
      <c r="DG528" s="116"/>
      <c r="DH528" s="117"/>
      <c r="DI528" s="24"/>
      <c r="DJ528" s="24"/>
      <c r="DK528" s="24"/>
      <c r="DL528" s="24"/>
      <c r="DM528" s="24"/>
      <c r="DN528" s="24"/>
      <c r="DO528" s="24"/>
      <c r="DP528" s="24"/>
      <c r="DQ528" s="24"/>
      <c r="DR528" s="24"/>
      <c r="DS528" s="24"/>
      <c r="DT528" s="24"/>
      <c r="DU528" s="24"/>
    </row>
    <row r="529" spans="1:125" s="8" customFormat="1" ht="60" x14ac:dyDescent="0.2">
      <c r="A529" s="77">
        <v>41307</v>
      </c>
      <c r="B529" s="225" t="s">
        <v>2847</v>
      </c>
      <c r="C529" s="227" t="s">
        <v>2109</v>
      </c>
      <c r="D529" s="81" t="s">
        <v>2846</v>
      </c>
      <c r="E529" s="75" t="str">
        <f>VLOOKUP(B529&amp;C529,Divipola!$C$2:$F$1138,4,FALSE)</f>
        <v>68575</v>
      </c>
      <c r="F529" s="100"/>
      <c r="G529" s="100"/>
      <c r="H529" s="100"/>
      <c r="I529" s="100"/>
      <c r="J529" s="100"/>
      <c r="K529" s="100"/>
      <c r="L529" s="100"/>
      <c r="M529" s="100"/>
      <c r="N529" s="100"/>
      <c r="O529" s="100"/>
      <c r="P529" s="100"/>
      <c r="Q529" s="100"/>
      <c r="R529" s="100"/>
      <c r="S529" s="100"/>
      <c r="T529" s="100"/>
      <c r="U529" s="136">
        <v>2</v>
      </c>
      <c r="V529" s="89"/>
      <c r="W529" s="96">
        <v>0</v>
      </c>
      <c r="X529" s="71">
        <f>CU529</f>
        <v>0</v>
      </c>
      <c r="Y529" s="71">
        <f>CY529</f>
        <v>0</v>
      </c>
      <c r="Z529" s="71">
        <f>DA529+DC529+DE529</f>
        <v>0</v>
      </c>
      <c r="AA529" s="71">
        <f>CW529</f>
        <v>0</v>
      </c>
      <c r="AB529" s="71"/>
      <c r="AC529" s="71">
        <v>0</v>
      </c>
      <c r="AD529" s="71">
        <f>W529+X529+Y529+Z529+AA529+AB529+AC529</f>
        <v>0</v>
      </c>
      <c r="AE529" s="72">
        <v>0</v>
      </c>
      <c r="AF529" s="5"/>
      <c r="AG529" s="6"/>
      <c r="AH529" s="27" t="s">
        <v>3392</v>
      </c>
      <c r="AI529" s="44" t="s">
        <v>3393</v>
      </c>
      <c r="AJ529" s="26"/>
      <c r="AK529" s="5"/>
      <c r="AL529" s="82" t="s">
        <v>3367</v>
      </c>
      <c r="AM529" s="76"/>
      <c r="AN529" s="76"/>
      <c r="AO529" s="76"/>
      <c r="AP529" s="76"/>
      <c r="AQ529" s="76"/>
      <c r="AR529" s="76"/>
      <c r="AS529" s="76"/>
      <c r="AT529" s="76"/>
      <c r="AU529" s="76"/>
      <c r="AV529" s="76"/>
      <c r="AW529" s="76"/>
      <c r="AX529" s="76">
        <f>+AW529*600000</f>
        <v>0</v>
      </c>
      <c r="AY529" s="76"/>
      <c r="AZ529" s="76">
        <f>+AY529*70000</f>
        <v>0</v>
      </c>
      <c r="BA529" s="76"/>
      <c r="BB529" s="76"/>
      <c r="BC529" s="76"/>
      <c r="BD529" s="76">
        <f>+BC529*30000</f>
        <v>0</v>
      </c>
      <c r="BE529" s="76"/>
      <c r="BF529" s="76"/>
      <c r="BG529" s="76"/>
      <c r="BH529" s="76"/>
      <c r="BI529" s="76"/>
      <c r="BJ529" s="76"/>
      <c r="BK529" s="76"/>
      <c r="BL529" s="76">
        <f>+BK529*31500</f>
        <v>0</v>
      </c>
      <c r="BM529" s="76"/>
      <c r="BN529" s="76"/>
      <c r="BO529" s="76"/>
      <c r="BP529" s="76"/>
      <c r="BQ529" s="76"/>
      <c r="BR529" s="76"/>
      <c r="BS529" s="76"/>
      <c r="BT529" s="76"/>
      <c r="BU529" s="76"/>
      <c r="BV529" s="76"/>
      <c r="BW529" s="76"/>
      <c r="BX529" s="76"/>
      <c r="BY529" s="76"/>
      <c r="BZ529" s="76"/>
      <c r="CA529" s="76"/>
      <c r="CB529" s="76"/>
      <c r="CC529" s="76"/>
      <c r="CD529" s="76"/>
      <c r="CE529" s="76"/>
      <c r="CF529" s="76">
        <f>+CE529*28000</f>
        <v>0</v>
      </c>
      <c r="CG529" s="76"/>
      <c r="CH529" s="76">
        <f>+CG529*22500</f>
        <v>0</v>
      </c>
      <c r="CI529" s="76"/>
      <c r="CJ529" s="76">
        <f>+CI529*26000</f>
        <v>0</v>
      </c>
      <c r="CK529" s="76"/>
      <c r="CL529" s="76"/>
      <c r="CM529" s="76"/>
      <c r="CN529" s="76">
        <f>+CM529*22000</f>
        <v>0</v>
      </c>
      <c r="CO529" s="76"/>
      <c r="CP529" s="76">
        <f>+CO529*46000</f>
        <v>0</v>
      </c>
      <c r="CQ529" s="76"/>
      <c r="CR529" s="76">
        <f>+CQ529*49000</f>
        <v>0</v>
      </c>
      <c r="CS529" s="76"/>
      <c r="CT529" s="76"/>
      <c r="CU529" s="56">
        <f>AN529+AP529+AR529+AT529+AV529+AX529+AZ529+BB529+BD529+BF529+BH529+BJ529+BL529+BN529+BP529+BR529+BT529+BV529+BX529+BZ529+CB529+CD529+CF529+CH529+CJ529+CL529+CN529+CP529+CR529+CT529</f>
        <v>0</v>
      </c>
      <c r="CV529" s="76"/>
      <c r="CW529" s="76">
        <f>+CV529*1100</f>
        <v>0</v>
      </c>
      <c r="CX529" s="76"/>
      <c r="CY529" s="76">
        <f>+CX529*106250</f>
        <v>0</v>
      </c>
      <c r="CZ529" s="76"/>
      <c r="DA529" s="76">
        <f>+CZ529*34500</f>
        <v>0</v>
      </c>
      <c r="DB529" s="76"/>
      <c r="DC529" s="76">
        <f>+DB529*25000</f>
        <v>0</v>
      </c>
      <c r="DD529" s="219"/>
      <c r="DE529" s="219"/>
      <c r="DF529" s="164"/>
      <c r="DG529" s="116"/>
      <c r="DH529" s="117"/>
      <c r="DI529" s="24"/>
      <c r="DJ529" s="24"/>
      <c r="DK529" s="24"/>
      <c r="DL529" s="24"/>
      <c r="DM529" s="24"/>
      <c r="DN529" s="24"/>
      <c r="DO529" s="24"/>
      <c r="DP529" s="24"/>
      <c r="DQ529" s="24"/>
      <c r="DR529" s="24"/>
      <c r="DS529" s="24"/>
      <c r="DT529" s="24"/>
      <c r="DU529" s="24"/>
    </row>
    <row r="530" spans="1:125" s="8" customFormat="1" ht="72" x14ac:dyDescent="0.2">
      <c r="A530" s="77">
        <v>41307</v>
      </c>
      <c r="B530" s="225" t="s">
        <v>2847</v>
      </c>
      <c r="C530" s="75" t="s">
        <v>2165</v>
      </c>
      <c r="D530" s="81" t="s">
        <v>2846</v>
      </c>
      <c r="E530" s="75" t="str">
        <f>VLOOKUP(B530&amp;C530,Divipola!$C$2:$F$1138,4,FALSE)</f>
        <v>68655</v>
      </c>
      <c r="F530" s="87"/>
      <c r="G530" s="87"/>
      <c r="H530" s="87"/>
      <c r="I530" s="87"/>
      <c r="J530" s="87"/>
      <c r="K530" s="87"/>
      <c r="L530" s="87"/>
      <c r="M530" s="87"/>
      <c r="N530" s="87"/>
      <c r="O530" s="87"/>
      <c r="P530" s="87"/>
      <c r="Q530" s="87"/>
      <c r="R530" s="87"/>
      <c r="S530" s="87"/>
      <c r="T530" s="87"/>
      <c r="U530" s="88">
        <v>4</v>
      </c>
      <c r="V530" s="89"/>
      <c r="W530" s="96">
        <v>0</v>
      </c>
      <c r="X530" s="71">
        <f>CU530</f>
        <v>0</v>
      </c>
      <c r="Y530" s="71">
        <f>CY530</f>
        <v>0</v>
      </c>
      <c r="Z530" s="71">
        <f>DA530+DC530+DE530</f>
        <v>0</v>
      </c>
      <c r="AA530" s="71">
        <f>CW530</f>
        <v>0</v>
      </c>
      <c r="AB530" s="71"/>
      <c r="AC530" s="71">
        <v>0</v>
      </c>
      <c r="AD530" s="71">
        <f>W530+X530+Y530+Z530+AA530+AB530+AC530</f>
        <v>0</v>
      </c>
      <c r="AE530" s="72">
        <v>0</v>
      </c>
      <c r="AF530" s="5"/>
      <c r="AG530" s="6"/>
      <c r="AH530" s="27" t="s">
        <v>3392</v>
      </c>
      <c r="AI530" s="44" t="s">
        <v>3393</v>
      </c>
      <c r="AJ530" s="26"/>
      <c r="AK530" s="5"/>
      <c r="AL530" s="82" t="s">
        <v>3368</v>
      </c>
      <c r="AM530" s="76"/>
      <c r="AN530" s="76"/>
      <c r="AO530" s="76"/>
      <c r="AP530" s="76"/>
      <c r="AQ530" s="76"/>
      <c r="AR530" s="76"/>
      <c r="AS530" s="76"/>
      <c r="AT530" s="76"/>
      <c r="AU530" s="76"/>
      <c r="AV530" s="76"/>
      <c r="AW530" s="76"/>
      <c r="AX530" s="76">
        <f>+AW530*600000</f>
        <v>0</v>
      </c>
      <c r="AY530" s="76"/>
      <c r="AZ530" s="76">
        <f>+AY530*70000</f>
        <v>0</v>
      </c>
      <c r="BA530" s="76"/>
      <c r="BB530" s="76"/>
      <c r="BC530" s="76"/>
      <c r="BD530" s="76">
        <f>+BC530*30000</f>
        <v>0</v>
      </c>
      <c r="BE530" s="76"/>
      <c r="BF530" s="76"/>
      <c r="BG530" s="76"/>
      <c r="BH530" s="76"/>
      <c r="BI530" s="76"/>
      <c r="BJ530" s="76"/>
      <c r="BK530" s="76"/>
      <c r="BL530" s="76">
        <f>+BK530*31500</f>
        <v>0</v>
      </c>
      <c r="BM530" s="76"/>
      <c r="BN530" s="76"/>
      <c r="BO530" s="76"/>
      <c r="BP530" s="76"/>
      <c r="BQ530" s="76"/>
      <c r="BR530" s="76"/>
      <c r="BS530" s="76"/>
      <c r="BT530" s="76"/>
      <c r="BU530" s="76"/>
      <c r="BV530" s="76"/>
      <c r="BW530" s="76"/>
      <c r="BX530" s="76"/>
      <c r="BY530" s="76"/>
      <c r="BZ530" s="76"/>
      <c r="CA530" s="76"/>
      <c r="CB530" s="76"/>
      <c r="CC530" s="76"/>
      <c r="CD530" s="76"/>
      <c r="CE530" s="76"/>
      <c r="CF530" s="76">
        <f>+CE530*28000</f>
        <v>0</v>
      </c>
      <c r="CG530" s="76"/>
      <c r="CH530" s="76">
        <f>+CG530*22500</f>
        <v>0</v>
      </c>
      <c r="CI530" s="76"/>
      <c r="CJ530" s="76">
        <f>+CI530*26000</f>
        <v>0</v>
      </c>
      <c r="CK530" s="76"/>
      <c r="CL530" s="76"/>
      <c r="CM530" s="76"/>
      <c r="CN530" s="76">
        <f>+CM530*22000</f>
        <v>0</v>
      </c>
      <c r="CO530" s="76"/>
      <c r="CP530" s="76">
        <f>+CO530*46000</f>
        <v>0</v>
      </c>
      <c r="CQ530" s="76"/>
      <c r="CR530" s="76">
        <f>+CQ530*49000</f>
        <v>0</v>
      </c>
      <c r="CS530" s="76"/>
      <c r="CT530" s="76"/>
      <c r="CU530" s="56">
        <f>AN530+AP530+AR530+AT530+AV530+AX530+AZ530+BB530+BD530+BF530+BH530+BJ530+BL530+BN530+BP530+BR530+BT530+BV530+BX530+BZ530+CB530+CD530+CF530+CH530+CJ530+CL530+CN530+CP530+CR530+CT530</f>
        <v>0</v>
      </c>
      <c r="CV530" s="76"/>
      <c r="CW530" s="76">
        <f>+CV530*1100</f>
        <v>0</v>
      </c>
      <c r="CX530" s="76"/>
      <c r="CY530" s="76">
        <f>+CX530*106250</f>
        <v>0</v>
      </c>
      <c r="CZ530" s="76"/>
      <c r="DA530" s="76">
        <f>+CZ530*34500</f>
        <v>0</v>
      </c>
      <c r="DB530" s="76"/>
      <c r="DC530" s="76">
        <f>+DB530*25000</f>
        <v>0</v>
      </c>
      <c r="DD530" s="219"/>
      <c r="DE530" s="219"/>
      <c r="DF530" s="164"/>
      <c r="DG530" s="116"/>
      <c r="DH530" s="117"/>
      <c r="DI530" s="24"/>
      <c r="DJ530" s="24"/>
      <c r="DK530" s="24"/>
      <c r="DL530" s="24"/>
      <c r="DM530" s="24"/>
      <c r="DN530" s="24"/>
      <c r="DO530" s="24"/>
      <c r="DP530" s="24"/>
      <c r="DQ530" s="24"/>
      <c r="DR530" s="24"/>
      <c r="DS530" s="24"/>
      <c r="DT530" s="24"/>
      <c r="DU530" s="24"/>
    </row>
    <row r="531" spans="1:125" s="8" customFormat="1" ht="48" x14ac:dyDescent="0.2">
      <c r="A531" s="77">
        <v>41307</v>
      </c>
      <c r="B531" s="78" t="s">
        <v>2851</v>
      </c>
      <c r="C531" s="75" t="s">
        <v>1686</v>
      </c>
      <c r="D531" s="81" t="s">
        <v>2846</v>
      </c>
      <c r="E531" s="75" t="str">
        <f>VLOOKUP(B531&amp;C531,Divipola!$C$2:$F$1138,4,FALSE)</f>
        <v>76001</v>
      </c>
      <c r="F531" s="87"/>
      <c r="G531" s="87"/>
      <c r="H531" s="87"/>
      <c r="I531" s="87"/>
      <c r="J531" s="87"/>
      <c r="K531" s="87"/>
      <c r="L531" s="87"/>
      <c r="M531" s="87"/>
      <c r="N531" s="87"/>
      <c r="O531" s="87"/>
      <c r="P531" s="87"/>
      <c r="Q531" s="87"/>
      <c r="R531" s="87"/>
      <c r="S531" s="87"/>
      <c r="T531" s="87"/>
      <c r="U531" s="88">
        <v>2</v>
      </c>
      <c r="V531" s="89"/>
      <c r="W531" s="96">
        <v>0</v>
      </c>
      <c r="X531" s="71">
        <f>CU531</f>
        <v>0</v>
      </c>
      <c r="Y531" s="71">
        <f>CY531</f>
        <v>0</v>
      </c>
      <c r="Z531" s="71">
        <f>DA531+DC531+DE531</f>
        <v>0</v>
      </c>
      <c r="AA531" s="71">
        <f>CW531</f>
        <v>0</v>
      </c>
      <c r="AB531" s="71"/>
      <c r="AC531" s="71">
        <v>0</v>
      </c>
      <c r="AD531" s="71">
        <f>W531+X531+Y531+Z531+AA531+AB531+AC531</f>
        <v>0</v>
      </c>
      <c r="AE531" s="72">
        <v>0</v>
      </c>
      <c r="AF531" s="5"/>
      <c r="AG531" s="6"/>
      <c r="AH531" s="27" t="s">
        <v>3392</v>
      </c>
      <c r="AI531" s="44" t="s">
        <v>3393</v>
      </c>
      <c r="AJ531" s="26"/>
      <c r="AK531" s="5"/>
      <c r="AL531" s="82" t="s">
        <v>3376</v>
      </c>
      <c r="AM531" s="76"/>
      <c r="AN531" s="76"/>
      <c r="AO531" s="76"/>
      <c r="AP531" s="76"/>
      <c r="AQ531" s="76"/>
      <c r="AR531" s="76"/>
      <c r="AS531" s="76"/>
      <c r="AT531" s="76"/>
      <c r="AU531" s="76"/>
      <c r="AV531" s="76"/>
      <c r="AW531" s="76"/>
      <c r="AX531" s="76">
        <f>+AW531*600000</f>
        <v>0</v>
      </c>
      <c r="AY531" s="76"/>
      <c r="AZ531" s="76">
        <f>+AY531*70000</f>
        <v>0</v>
      </c>
      <c r="BA531" s="76"/>
      <c r="BB531" s="76"/>
      <c r="BC531" s="76"/>
      <c r="BD531" s="76">
        <f>+BC531*30000</f>
        <v>0</v>
      </c>
      <c r="BE531" s="76"/>
      <c r="BF531" s="76"/>
      <c r="BG531" s="76"/>
      <c r="BH531" s="76"/>
      <c r="BI531" s="76"/>
      <c r="BJ531" s="76"/>
      <c r="BK531" s="76"/>
      <c r="BL531" s="76">
        <f>+BK531*31500</f>
        <v>0</v>
      </c>
      <c r="BM531" s="76"/>
      <c r="BN531" s="76"/>
      <c r="BO531" s="76"/>
      <c r="BP531" s="76"/>
      <c r="BQ531" s="76"/>
      <c r="BR531" s="76"/>
      <c r="BS531" s="76"/>
      <c r="BT531" s="76"/>
      <c r="BU531" s="76"/>
      <c r="BV531" s="76"/>
      <c r="BW531" s="76"/>
      <c r="BX531" s="76"/>
      <c r="BY531" s="76"/>
      <c r="BZ531" s="76"/>
      <c r="CA531" s="76"/>
      <c r="CB531" s="76"/>
      <c r="CC531" s="76"/>
      <c r="CD531" s="76"/>
      <c r="CE531" s="76"/>
      <c r="CF531" s="76">
        <f>+CE531*28000</f>
        <v>0</v>
      </c>
      <c r="CG531" s="76"/>
      <c r="CH531" s="76">
        <f>+CG531*22500</f>
        <v>0</v>
      </c>
      <c r="CI531" s="76"/>
      <c r="CJ531" s="76">
        <f>+CI531*26000</f>
        <v>0</v>
      </c>
      <c r="CK531" s="76"/>
      <c r="CL531" s="76"/>
      <c r="CM531" s="76"/>
      <c r="CN531" s="76">
        <f>+CM531*22000</f>
        <v>0</v>
      </c>
      <c r="CO531" s="76"/>
      <c r="CP531" s="76">
        <f>+CO531*46000</f>
        <v>0</v>
      </c>
      <c r="CQ531" s="76"/>
      <c r="CR531" s="76">
        <f>+CQ531*49000</f>
        <v>0</v>
      </c>
      <c r="CS531" s="76"/>
      <c r="CT531" s="76"/>
      <c r="CU531" s="56">
        <f>AN531+AP531+AR531+AT531+AV531+AX531+AZ531+BB531+BD531+BF531+BH531+BJ531+BL531+BN531+BP531+BR531+BT531+BV531+BX531+BZ531+CB531+CD531+CF531+CH531+CJ531+CL531+CN531+CP531+CR531+CT531</f>
        <v>0</v>
      </c>
      <c r="CV531" s="76"/>
      <c r="CW531" s="76">
        <f>+CV531*1100</f>
        <v>0</v>
      </c>
      <c r="CX531" s="76"/>
      <c r="CY531" s="76">
        <f>+CX531*106250</f>
        <v>0</v>
      </c>
      <c r="CZ531" s="76"/>
      <c r="DA531" s="76">
        <f>+CZ531*34500</f>
        <v>0</v>
      </c>
      <c r="DB531" s="76"/>
      <c r="DC531" s="76">
        <f>+DB531*25000</f>
        <v>0</v>
      </c>
      <c r="DD531" s="219"/>
      <c r="DE531" s="219"/>
      <c r="DF531" s="164"/>
      <c r="DG531" s="116"/>
      <c r="DH531" s="117"/>
      <c r="DI531" s="24"/>
      <c r="DJ531" s="24"/>
      <c r="DK531" s="24"/>
      <c r="DL531" s="24"/>
      <c r="DM531" s="24"/>
      <c r="DN531" s="24"/>
      <c r="DO531" s="24"/>
      <c r="DP531" s="24"/>
      <c r="DQ531" s="24"/>
      <c r="DR531" s="24"/>
      <c r="DS531" s="24"/>
      <c r="DT531" s="24"/>
      <c r="DU531" s="24"/>
    </row>
    <row r="532" spans="1:125" s="8" customFormat="1" ht="36" x14ac:dyDescent="0.2">
      <c r="A532" s="77">
        <v>41307</v>
      </c>
      <c r="B532" s="352" t="s">
        <v>2851</v>
      </c>
      <c r="C532" s="354" t="s">
        <v>2201</v>
      </c>
      <c r="D532" s="81" t="s">
        <v>2846</v>
      </c>
      <c r="E532" s="75" t="str">
        <f>VLOOKUP(B532&amp;C532,Divipola!$C$2:$F$1138,4,FALSE)</f>
        <v>76863</v>
      </c>
      <c r="F532" s="87"/>
      <c r="G532" s="87"/>
      <c r="H532" s="87"/>
      <c r="I532" s="87"/>
      <c r="J532" s="87"/>
      <c r="K532" s="87"/>
      <c r="L532" s="87"/>
      <c r="M532" s="87"/>
      <c r="N532" s="87"/>
      <c r="O532" s="87"/>
      <c r="P532" s="87"/>
      <c r="Q532" s="87"/>
      <c r="R532" s="87"/>
      <c r="S532" s="87"/>
      <c r="T532" s="87"/>
      <c r="U532" s="88">
        <v>8</v>
      </c>
      <c r="V532" s="89"/>
      <c r="W532" s="96">
        <v>0</v>
      </c>
      <c r="X532" s="71">
        <f>CU532</f>
        <v>0</v>
      </c>
      <c r="Y532" s="71">
        <f>CY532</f>
        <v>0</v>
      </c>
      <c r="Z532" s="71">
        <f>DA532+DC532+DE532</f>
        <v>0</v>
      </c>
      <c r="AA532" s="71">
        <f>CW532</f>
        <v>0</v>
      </c>
      <c r="AB532" s="71"/>
      <c r="AC532" s="71">
        <v>0</v>
      </c>
      <c r="AD532" s="71">
        <f>W532+X532+Y532+Z532+AA532+AB532+AC532</f>
        <v>0</v>
      </c>
      <c r="AE532" s="72">
        <v>0</v>
      </c>
      <c r="AF532" s="5"/>
      <c r="AG532" s="6"/>
      <c r="AH532" s="27" t="s">
        <v>3392</v>
      </c>
      <c r="AI532" s="44" t="s">
        <v>3393</v>
      </c>
      <c r="AJ532" s="26"/>
      <c r="AK532" s="5"/>
      <c r="AL532" s="82" t="s">
        <v>3374</v>
      </c>
      <c r="AM532" s="76"/>
      <c r="AN532" s="76"/>
      <c r="AO532" s="76"/>
      <c r="AP532" s="76"/>
      <c r="AQ532" s="76"/>
      <c r="AR532" s="76"/>
      <c r="AS532" s="76"/>
      <c r="AT532" s="76"/>
      <c r="AU532" s="76"/>
      <c r="AV532" s="76"/>
      <c r="AW532" s="76"/>
      <c r="AX532" s="76">
        <f>+AW532*600000</f>
        <v>0</v>
      </c>
      <c r="AY532" s="76"/>
      <c r="AZ532" s="76">
        <f>+AY532*70000</f>
        <v>0</v>
      </c>
      <c r="BA532" s="76"/>
      <c r="BB532" s="76"/>
      <c r="BC532" s="76"/>
      <c r="BD532" s="76">
        <f>+BC532*30000</f>
        <v>0</v>
      </c>
      <c r="BE532" s="76"/>
      <c r="BF532" s="76"/>
      <c r="BG532" s="76"/>
      <c r="BH532" s="76"/>
      <c r="BI532" s="76"/>
      <c r="BJ532" s="76"/>
      <c r="BK532" s="76"/>
      <c r="BL532" s="76">
        <f>+BK532*31500</f>
        <v>0</v>
      </c>
      <c r="BM532" s="76"/>
      <c r="BN532" s="76"/>
      <c r="BO532" s="76"/>
      <c r="BP532" s="76"/>
      <c r="BQ532" s="76"/>
      <c r="BR532" s="76"/>
      <c r="BS532" s="76"/>
      <c r="BT532" s="76"/>
      <c r="BU532" s="76"/>
      <c r="BV532" s="76"/>
      <c r="BW532" s="76"/>
      <c r="BX532" s="76"/>
      <c r="BY532" s="76"/>
      <c r="BZ532" s="76"/>
      <c r="CA532" s="76"/>
      <c r="CB532" s="76"/>
      <c r="CC532" s="76"/>
      <c r="CD532" s="76"/>
      <c r="CE532" s="76"/>
      <c r="CF532" s="76">
        <f>+CE532*28000</f>
        <v>0</v>
      </c>
      <c r="CG532" s="76"/>
      <c r="CH532" s="76">
        <f>+CG532*22500</f>
        <v>0</v>
      </c>
      <c r="CI532" s="76"/>
      <c r="CJ532" s="76">
        <f>+CI532*26000</f>
        <v>0</v>
      </c>
      <c r="CK532" s="76"/>
      <c r="CL532" s="76"/>
      <c r="CM532" s="76"/>
      <c r="CN532" s="76">
        <f>+CM532*22000</f>
        <v>0</v>
      </c>
      <c r="CO532" s="76"/>
      <c r="CP532" s="76">
        <f>+CO532*46000</f>
        <v>0</v>
      </c>
      <c r="CQ532" s="76"/>
      <c r="CR532" s="76">
        <f>+CQ532*49000</f>
        <v>0</v>
      </c>
      <c r="CS532" s="76"/>
      <c r="CT532" s="76"/>
      <c r="CU532" s="56">
        <f>AN532+AP532+AR532+AT532+AV532+AX532+AZ532+BB532+BD532+BF532+BH532+BJ532+BL532+BN532+BP532+BR532+BT532+BV532+BX532+BZ532+CB532+CD532+CF532+CH532+CJ532+CL532+CN532+CP532+CR532+CT532</f>
        <v>0</v>
      </c>
      <c r="CV532" s="76"/>
      <c r="CW532" s="76">
        <f>+CV532*1100</f>
        <v>0</v>
      </c>
      <c r="CX532" s="76"/>
      <c r="CY532" s="76">
        <f>+CX532*106250</f>
        <v>0</v>
      </c>
      <c r="CZ532" s="76"/>
      <c r="DA532" s="76">
        <f>+CZ532*34500</f>
        <v>0</v>
      </c>
      <c r="DB532" s="76"/>
      <c r="DC532" s="76">
        <f>+DB532*25000</f>
        <v>0</v>
      </c>
      <c r="DD532" s="219"/>
      <c r="DE532" s="219"/>
      <c r="DF532" s="164"/>
      <c r="DG532" s="116"/>
      <c r="DH532" s="117"/>
      <c r="DI532" s="24"/>
      <c r="DJ532" s="24"/>
      <c r="DK532" s="24"/>
      <c r="DL532" s="24"/>
      <c r="DM532" s="24"/>
      <c r="DN532" s="24"/>
      <c r="DO532" s="24"/>
      <c r="DP532" s="24"/>
      <c r="DQ532" s="24"/>
      <c r="DR532" s="24"/>
      <c r="DS532" s="24"/>
      <c r="DT532" s="24"/>
      <c r="DU532" s="24"/>
    </row>
    <row r="533" spans="1:125" s="8" customFormat="1" ht="48" x14ac:dyDescent="0.2">
      <c r="A533" s="77">
        <v>41307</v>
      </c>
      <c r="B533" s="225" t="s">
        <v>2309</v>
      </c>
      <c r="C533" s="227" t="s">
        <v>2310</v>
      </c>
      <c r="D533" s="81" t="s">
        <v>2846</v>
      </c>
      <c r="E533" s="75" t="str">
        <f>VLOOKUP(B533&amp;C533,Divipola!$C$2:$F$1138,4,FALSE)</f>
        <v>99001</v>
      </c>
      <c r="F533" s="100"/>
      <c r="G533" s="100"/>
      <c r="H533" s="100"/>
      <c r="I533" s="100"/>
      <c r="J533" s="100"/>
      <c r="K533" s="100"/>
      <c r="L533" s="100"/>
      <c r="M533" s="100"/>
      <c r="N533" s="100"/>
      <c r="O533" s="100"/>
      <c r="P533" s="100"/>
      <c r="Q533" s="100"/>
      <c r="R533" s="100"/>
      <c r="S533" s="100"/>
      <c r="T533" s="100"/>
      <c r="U533" s="136"/>
      <c r="V533" s="89"/>
      <c r="W533" s="96">
        <v>0</v>
      </c>
      <c r="X533" s="71">
        <f>CU533</f>
        <v>0</v>
      </c>
      <c r="Y533" s="71">
        <f>CY533</f>
        <v>0</v>
      </c>
      <c r="Z533" s="71">
        <f>DA533+DC533+DE533</f>
        <v>0</v>
      </c>
      <c r="AA533" s="71">
        <f>CW533</f>
        <v>0</v>
      </c>
      <c r="AB533" s="71"/>
      <c r="AC533" s="71">
        <v>0</v>
      </c>
      <c r="AD533" s="71">
        <f>W533+X533+Y533+Z533+AA533+AB533+AC533</f>
        <v>0</v>
      </c>
      <c r="AE533" s="72">
        <v>0</v>
      </c>
      <c r="AF533" s="5"/>
      <c r="AG533" s="6"/>
      <c r="AH533" s="27" t="s">
        <v>3390</v>
      </c>
      <c r="AI533" s="44" t="s">
        <v>3391</v>
      </c>
      <c r="AJ533" s="26"/>
      <c r="AK533" s="5" t="s">
        <v>3397</v>
      </c>
      <c r="AL533" s="82" t="s">
        <v>3372</v>
      </c>
      <c r="AM533" s="76"/>
      <c r="AN533" s="76"/>
      <c r="AO533" s="76"/>
      <c r="AP533" s="76"/>
      <c r="AQ533" s="76"/>
      <c r="AR533" s="76"/>
      <c r="AS533" s="76"/>
      <c r="AT533" s="76"/>
      <c r="AU533" s="76"/>
      <c r="AV533" s="76"/>
      <c r="AW533" s="76"/>
      <c r="AX533" s="76">
        <f>+AW533*600000</f>
        <v>0</v>
      </c>
      <c r="AY533" s="76"/>
      <c r="AZ533" s="76">
        <f>+AY533*70000</f>
        <v>0</v>
      </c>
      <c r="BA533" s="76"/>
      <c r="BB533" s="76"/>
      <c r="BC533" s="76"/>
      <c r="BD533" s="76">
        <f>+BC533*30000</f>
        <v>0</v>
      </c>
      <c r="BE533" s="76"/>
      <c r="BF533" s="76"/>
      <c r="BG533" s="76"/>
      <c r="BH533" s="76"/>
      <c r="BI533" s="76"/>
      <c r="BJ533" s="76"/>
      <c r="BK533" s="76"/>
      <c r="BL533" s="76">
        <f>+BK533*31500</f>
        <v>0</v>
      </c>
      <c r="BM533" s="76"/>
      <c r="BN533" s="76"/>
      <c r="BO533" s="76"/>
      <c r="BP533" s="76"/>
      <c r="BQ533" s="76"/>
      <c r="BR533" s="76"/>
      <c r="BS533" s="76"/>
      <c r="BT533" s="76"/>
      <c r="BU533" s="76"/>
      <c r="BV533" s="76"/>
      <c r="BW533" s="76"/>
      <c r="BX533" s="76"/>
      <c r="BY533" s="76"/>
      <c r="BZ533" s="76"/>
      <c r="CA533" s="76"/>
      <c r="CB533" s="76"/>
      <c r="CC533" s="76"/>
      <c r="CD533" s="76"/>
      <c r="CE533" s="76"/>
      <c r="CF533" s="76">
        <f>+CE533*28000</f>
        <v>0</v>
      </c>
      <c r="CG533" s="76"/>
      <c r="CH533" s="76">
        <f>+CG533*22500</f>
        <v>0</v>
      </c>
      <c r="CI533" s="76"/>
      <c r="CJ533" s="76">
        <f>+CI533*26000</f>
        <v>0</v>
      </c>
      <c r="CK533" s="76"/>
      <c r="CL533" s="76"/>
      <c r="CM533" s="76"/>
      <c r="CN533" s="76">
        <f>+CM533*22000</f>
        <v>0</v>
      </c>
      <c r="CO533" s="76"/>
      <c r="CP533" s="76">
        <f>+CO533*46000</f>
        <v>0</v>
      </c>
      <c r="CQ533" s="76"/>
      <c r="CR533" s="76">
        <f>+CQ533*49000</f>
        <v>0</v>
      </c>
      <c r="CS533" s="76"/>
      <c r="CT533" s="76"/>
      <c r="CU533" s="56">
        <f>AN533+AP533+AR533+AT533+AV533+AX533+AZ533+BB533+BD533+BF533+BH533+BJ533+BL533+BN533+BP533+BR533+BT533+BV533+BX533+BZ533+CB533+CD533+CF533+CH533+CJ533+CL533+CN533+CP533+CR533+CT533</f>
        <v>0</v>
      </c>
      <c r="CV533" s="76"/>
      <c r="CW533" s="76">
        <f>+CV533*1100</f>
        <v>0</v>
      </c>
      <c r="CX533" s="76"/>
      <c r="CY533" s="76">
        <f>+CX533*106250</f>
        <v>0</v>
      </c>
      <c r="CZ533" s="76"/>
      <c r="DA533" s="76">
        <f>+CZ533*34500</f>
        <v>0</v>
      </c>
      <c r="DB533" s="76"/>
      <c r="DC533" s="76">
        <f>+DB533*25000</f>
        <v>0</v>
      </c>
      <c r="DD533" s="219"/>
      <c r="DE533" s="219"/>
      <c r="DF533" s="164"/>
      <c r="DG533" s="116"/>
      <c r="DH533" s="117"/>
      <c r="DI533" s="24"/>
      <c r="DJ533" s="24"/>
      <c r="DK533" s="24"/>
      <c r="DL533" s="24"/>
      <c r="DM533" s="24"/>
      <c r="DN533" s="24"/>
      <c r="DO533" s="24"/>
      <c r="DP533" s="24"/>
      <c r="DQ533" s="24"/>
      <c r="DR533" s="24"/>
      <c r="DS533" s="24"/>
      <c r="DT533" s="24"/>
      <c r="DU533" s="24"/>
    </row>
    <row r="534" spans="1:125" s="8" customFormat="1" ht="84" x14ac:dyDescent="0.2">
      <c r="A534" s="77">
        <v>41308</v>
      </c>
      <c r="B534" s="225" t="s">
        <v>2196</v>
      </c>
      <c r="C534" s="227" t="s">
        <v>2683</v>
      </c>
      <c r="D534" s="84" t="s">
        <v>3088</v>
      </c>
      <c r="E534" s="75" t="str">
        <f>VLOOKUP(B534&amp;C534,Divipola!$C$2:$F$1138,4,FALSE)</f>
        <v>17873</v>
      </c>
      <c r="F534" s="100"/>
      <c r="G534" s="100"/>
      <c r="H534" s="100"/>
      <c r="I534" s="100"/>
      <c r="J534" s="100"/>
      <c r="K534" s="100"/>
      <c r="L534" s="100"/>
      <c r="M534" s="100"/>
      <c r="N534" s="100"/>
      <c r="O534" s="100"/>
      <c r="P534" s="100">
        <v>1</v>
      </c>
      <c r="Q534" s="100"/>
      <c r="R534" s="100"/>
      <c r="S534" s="100"/>
      <c r="T534" s="100"/>
      <c r="U534" s="136"/>
      <c r="V534" s="89"/>
      <c r="W534" s="96">
        <v>0</v>
      </c>
      <c r="X534" s="71">
        <f>CU534</f>
        <v>0</v>
      </c>
      <c r="Y534" s="71">
        <f>CY534</f>
        <v>0</v>
      </c>
      <c r="Z534" s="71">
        <f>DA534+DC534+DE534</f>
        <v>0</v>
      </c>
      <c r="AA534" s="71">
        <f>CW534</f>
        <v>0</v>
      </c>
      <c r="AB534" s="71"/>
      <c r="AC534" s="71">
        <v>0</v>
      </c>
      <c r="AD534" s="71">
        <f>W534+X534+Y534+Z534+AA534+AB534+AC534</f>
        <v>0</v>
      </c>
      <c r="AE534" s="72">
        <v>0</v>
      </c>
      <c r="AF534" s="5"/>
      <c r="AG534" s="6"/>
      <c r="AH534" s="27" t="s">
        <v>3392</v>
      </c>
      <c r="AI534" s="44" t="s">
        <v>3393</v>
      </c>
      <c r="AJ534" s="26"/>
      <c r="AK534" s="5"/>
      <c r="AL534" s="82" t="s">
        <v>3389</v>
      </c>
      <c r="AM534" s="76"/>
      <c r="AN534" s="76"/>
      <c r="AO534" s="76"/>
      <c r="AP534" s="76"/>
      <c r="AQ534" s="76"/>
      <c r="AR534" s="76"/>
      <c r="AS534" s="76"/>
      <c r="AT534" s="76"/>
      <c r="AU534" s="76"/>
      <c r="AV534" s="76"/>
      <c r="AW534" s="76"/>
      <c r="AX534" s="76">
        <f>+AW534*600000</f>
        <v>0</v>
      </c>
      <c r="AY534" s="76"/>
      <c r="AZ534" s="76">
        <f>+AY534*70000</f>
        <v>0</v>
      </c>
      <c r="BA534" s="76"/>
      <c r="BB534" s="76"/>
      <c r="BC534" s="76"/>
      <c r="BD534" s="76">
        <f>+BC534*30000</f>
        <v>0</v>
      </c>
      <c r="BE534" s="76"/>
      <c r="BF534" s="76"/>
      <c r="BG534" s="76"/>
      <c r="BH534" s="76"/>
      <c r="BI534" s="76"/>
      <c r="BJ534" s="76"/>
      <c r="BK534" s="76"/>
      <c r="BL534" s="76">
        <f>+BK534*31500</f>
        <v>0</v>
      </c>
      <c r="BM534" s="76"/>
      <c r="BN534" s="76"/>
      <c r="BO534" s="76"/>
      <c r="BP534" s="76"/>
      <c r="BQ534" s="76"/>
      <c r="BR534" s="76"/>
      <c r="BS534" s="76"/>
      <c r="BT534" s="76"/>
      <c r="BU534" s="76"/>
      <c r="BV534" s="76"/>
      <c r="BW534" s="76"/>
      <c r="BX534" s="76"/>
      <c r="BY534" s="76"/>
      <c r="BZ534" s="76"/>
      <c r="CA534" s="76"/>
      <c r="CB534" s="76"/>
      <c r="CC534" s="76"/>
      <c r="CD534" s="76"/>
      <c r="CE534" s="76"/>
      <c r="CF534" s="76">
        <f>+CE534*28000</f>
        <v>0</v>
      </c>
      <c r="CG534" s="76"/>
      <c r="CH534" s="76">
        <f>+CG534*22500</f>
        <v>0</v>
      </c>
      <c r="CI534" s="76"/>
      <c r="CJ534" s="76">
        <f>+CI534*26000</f>
        <v>0</v>
      </c>
      <c r="CK534" s="76"/>
      <c r="CL534" s="76"/>
      <c r="CM534" s="76"/>
      <c r="CN534" s="76">
        <f>+CM534*22000</f>
        <v>0</v>
      </c>
      <c r="CO534" s="76"/>
      <c r="CP534" s="76">
        <f>+CO534*46000</f>
        <v>0</v>
      </c>
      <c r="CQ534" s="76"/>
      <c r="CR534" s="76">
        <f>+CQ534*49000</f>
        <v>0</v>
      </c>
      <c r="CS534" s="76"/>
      <c r="CT534" s="76"/>
      <c r="CU534" s="56">
        <f>AN534+AP534+AR534+AT534+AV534+AX534+AZ534+BB534+BD534+BF534+BH534+BJ534+BL534+BN534+BP534+BR534+BT534+BV534+BX534+BZ534+CB534+CD534+CF534+CH534+CJ534+CL534+CN534+CP534+CR534+CT534</f>
        <v>0</v>
      </c>
      <c r="CV534" s="76"/>
      <c r="CW534" s="76">
        <f>+CV534*1100</f>
        <v>0</v>
      </c>
      <c r="CX534" s="76"/>
      <c r="CY534" s="76">
        <f>+CX534*106250</f>
        <v>0</v>
      </c>
      <c r="CZ534" s="76"/>
      <c r="DA534" s="76">
        <f>+CZ534*34500</f>
        <v>0</v>
      </c>
      <c r="DB534" s="76"/>
      <c r="DC534" s="76">
        <f>+DB534*25000</f>
        <v>0</v>
      </c>
      <c r="DD534" s="219"/>
      <c r="DE534" s="219"/>
      <c r="DF534" s="166"/>
      <c r="DG534" s="116"/>
      <c r="DH534" s="117"/>
      <c r="DI534" s="24"/>
      <c r="DJ534" s="24"/>
      <c r="DK534" s="24"/>
      <c r="DL534" s="24"/>
      <c r="DM534" s="24"/>
      <c r="DN534" s="24"/>
      <c r="DO534" s="24"/>
      <c r="DP534" s="24"/>
      <c r="DQ534" s="24"/>
      <c r="DR534" s="24"/>
      <c r="DS534" s="24"/>
      <c r="DT534" s="24"/>
      <c r="DU534" s="24"/>
    </row>
    <row r="535" spans="1:125" s="8" customFormat="1" ht="36" x14ac:dyDescent="0.2">
      <c r="A535" s="77">
        <v>41308</v>
      </c>
      <c r="B535" s="78" t="s">
        <v>2778</v>
      </c>
      <c r="C535" s="75" t="s">
        <v>1342</v>
      </c>
      <c r="D535" s="81" t="s">
        <v>2846</v>
      </c>
      <c r="E535" s="75" t="str">
        <f>VLOOKUP(B535&amp;C535,Divipola!$C$2:$F$1138,4,FALSE)</f>
        <v>85263</v>
      </c>
      <c r="F535" s="87"/>
      <c r="G535" s="87"/>
      <c r="H535" s="87"/>
      <c r="I535" s="87"/>
      <c r="J535" s="87"/>
      <c r="K535" s="87"/>
      <c r="L535" s="87"/>
      <c r="M535" s="87"/>
      <c r="N535" s="87"/>
      <c r="O535" s="87"/>
      <c r="P535" s="87"/>
      <c r="Q535" s="87"/>
      <c r="R535" s="87"/>
      <c r="S535" s="87"/>
      <c r="T535" s="87"/>
      <c r="U535" s="88">
        <v>1</v>
      </c>
      <c r="V535" s="89"/>
      <c r="W535" s="96">
        <v>0</v>
      </c>
      <c r="X535" s="71">
        <f>CU535</f>
        <v>0</v>
      </c>
      <c r="Y535" s="71">
        <f>CY535</f>
        <v>0</v>
      </c>
      <c r="Z535" s="71">
        <f>DA535+DC535+DE535</f>
        <v>0</v>
      </c>
      <c r="AA535" s="71">
        <f>CW535</f>
        <v>0</v>
      </c>
      <c r="AB535" s="71"/>
      <c r="AC535" s="71">
        <v>0</v>
      </c>
      <c r="AD535" s="71">
        <f>W535+X535+Y535+Z535+AA535+AB535+AC535</f>
        <v>0</v>
      </c>
      <c r="AE535" s="72">
        <v>0</v>
      </c>
      <c r="AF535" s="5"/>
      <c r="AG535" s="6"/>
      <c r="AH535" s="27" t="s">
        <v>3392</v>
      </c>
      <c r="AI535" s="44" t="s">
        <v>3393</v>
      </c>
      <c r="AJ535" s="26"/>
      <c r="AK535" s="5"/>
      <c r="AL535" s="82" t="s">
        <v>3765</v>
      </c>
      <c r="AM535" s="76"/>
      <c r="AN535" s="76"/>
      <c r="AO535" s="76"/>
      <c r="AP535" s="76"/>
      <c r="AQ535" s="76"/>
      <c r="AR535" s="76"/>
      <c r="AS535" s="76"/>
      <c r="AT535" s="76"/>
      <c r="AU535" s="76"/>
      <c r="AV535" s="76"/>
      <c r="AW535" s="76"/>
      <c r="AX535" s="76">
        <f>+AW535*600000</f>
        <v>0</v>
      </c>
      <c r="AY535" s="76"/>
      <c r="AZ535" s="76">
        <f>+AY535*70000</f>
        <v>0</v>
      </c>
      <c r="BA535" s="76"/>
      <c r="BB535" s="76"/>
      <c r="BC535" s="76"/>
      <c r="BD535" s="76">
        <f>+BC535*30000</f>
        <v>0</v>
      </c>
      <c r="BE535" s="76"/>
      <c r="BF535" s="76"/>
      <c r="BG535" s="76"/>
      <c r="BH535" s="76"/>
      <c r="BI535" s="76"/>
      <c r="BJ535" s="76"/>
      <c r="BK535" s="76"/>
      <c r="BL535" s="76">
        <f>+BK535*31500</f>
        <v>0</v>
      </c>
      <c r="BM535" s="76"/>
      <c r="BN535" s="76"/>
      <c r="BO535" s="76"/>
      <c r="BP535" s="76"/>
      <c r="BQ535" s="76"/>
      <c r="BR535" s="76"/>
      <c r="BS535" s="76"/>
      <c r="BT535" s="76"/>
      <c r="BU535" s="76"/>
      <c r="BV535" s="76"/>
      <c r="BW535" s="76"/>
      <c r="BX535" s="76"/>
      <c r="BY535" s="76"/>
      <c r="BZ535" s="76"/>
      <c r="CA535" s="76"/>
      <c r="CB535" s="76"/>
      <c r="CC535" s="76"/>
      <c r="CD535" s="76"/>
      <c r="CE535" s="76"/>
      <c r="CF535" s="76">
        <f>+CE535*28000</f>
        <v>0</v>
      </c>
      <c r="CG535" s="76"/>
      <c r="CH535" s="76">
        <f>+CG535*22500</f>
        <v>0</v>
      </c>
      <c r="CI535" s="76"/>
      <c r="CJ535" s="76">
        <f>+CI535*26000</f>
        <v>0</v>
      </c>
      <c r="CK535" s="76"/>
      <c r="CL535" s="76"/>
      <c r="CM535" s="76"/>
      <c r="CN535" s="76">
        <f>+CM535*22000</f>
        <v>0</v>
      </c>
      <c r="CO535" s="76"/>
      <c r="CP535" s="76">
        <f>+CO535*46000</f>
        <v>0</v>
      </c>
      <c r="CQ535" s="76"/>
      <c r="CR535" s="76">
        <f>+CQ535*49000</f>
        <v>0</v>
      </c>
      <c r="CS535" s="76"/>
      <c r="CT535" s="76"/>
      <c r="CU535" s="56">
        <f>AN535+AP535+AR535+AT535+AV535+AX535+AZ535+BB535+BD535+BF535+BH535+BJ535+BL535+BN535+BP535+BR535+BT535+BV535+BX535+BZ535+CB535+CD535+CF535+CH535+CJ535+CL535+CN535+CP535+CR535+CT535</f>
        <v>0</v>
      </c>
      <c r="CV535" s="76"/>
      <c r="CW535" s="76">
        <f>+CV535*1100</f>
        <v>0</v>
      </c>
      <c r="CX535" s="76"/>
      <c r="CY535" s="76">
        <f>+CX535*106250</f>
        <v>0</v>
      </c>
      <c r="CZ535" s="76"/>
      <c r="DA535" s="76">
        <f>+CZ535*34500</f>
        <v>0</v>
      </c>
      <c r="DB535" s="76"/>
      <c r="DC535" s="76">
        <f>+DB535*25000</f>
        <v>0</v>
      </c>
      <c r="DD535" s="219"/>
      <c r="DE535" s="219"/>
      <c r="DF535" s="166"/>
      <c r="DG535" s="116"/>
      <c r="DH535" s="117"/>
      <c r="DI535" s="24"/>
      <c r="DJ535" s="24"/>
      <c r="DK535" s="24"/>
      <c r="DL535" s="24"/>
      <c r="DM535" s="24"/>
      <c r="DN535" s="24"/>
      <c r="DO535" s="24"/>
      <c r="DP535" s="24"/>
      <c r="DQ535" s="24"/>
      <c r="DR535" s="24"/>
      <c r="DS535" s="24"/>
      <c r="DT535" s="24"/>
      <c r="DU535" s="24"/>
    </row>
    <row r="536" spans="1:125" s="8" customFormat="1" ht="48" x14ac:dyDescent="0.2">
      <c r="A536" s="77">
        <v>41308</v>
      </c>
      <c r="B536" s="78" t="s">
        <v>2778</v>
      </c>
      <c r="C536" s="75" t="s">
        <v>1271</v>
      </c>
      <c r="D536" s="81" t="s">
        <v>2846</v>
      </c>
      <c r="E536" s="75" t="str">
        <f>VLOOKUP(B536&amp;C536,Divipola!$C$2:$F$1138,4,FALSE)</f>
        <v>85410</v>
      </c>
      <c r="F536" s="87"/>
      <c r="G536" s="87"/>
      <c r="H536" s="87"/>
      <c r="I536" s="87"/>
      <c r="J536" s="87"/>
      <c r="K536" s="87"/>
      <c r="L536" s="87"/>
      <c r="M536" s="87"/>
      <c r="N536" s="87"/>
      <c r="O536" s="87"/>
      <c r="P536" s="87"/>
      <c r="Q536" s="87"/>
      <c r="R536" s="87"/>
      <c r="S536" s="87"/>
      <c r="T536" s="87"/>
      <c r="U536" s="88">
        <v>3</v>
      </c>
      <c r="V536" s="89"/>
      <c r="W536" s="96">
        <v>0</v>
      </c>
      <c r="X536" s="71">
        <f>CU536</f>
        <v>0</v>
      </c>
      <c r="Y536" s="71">
        <f>CY536</f>
        <v>0</v>
      </c>
      <c r="Z536" s="71">
        <f>DA536+DC536+DE536</f>
        <v>0</v>
      </c>
      <c r="AA536" s="71">
        <f>CW536</f>
        <v>0</v>
      </c>
      <c r="AB536" s="71"/>
      <c r="AC536" s="71">
        <v>0</v>
      </c>
      <c r="AD536" s="71">
        <f>W536+X536+Y536+Z536+AA536+AB536+AC536</f>
        <v>0</v>
      </c>
      <c r="AE536" s="72">
        <v>0</v>
      </c>
      <c r="AF536" s="5"/>
      <c r="AG536" s="6"/>
      <c r="AH536" s="27" t="s">
        <v>3392</v>
      </c>
      <c r="AI536" s="44" t="s">
        <v>3393</v>
      </c>
      <c r="AJ536" s="26"/>
      <c r="AK536" s="5"/>
      <c r="AL536" s="82" t="s">
        <v>3807</v>
      </c>
      <c r="AM536" s="76"/>
      <c r="AN536" s="76"/>
      <c r="AO536" s="76"/>
      <c r="AP536" s="76"/>
      <c r="AQ536" s="76"/>
      <c r="AR536" s="76"/>
      <c r="AS536" s="76"/>
      <c r="AT536" s="76"/>
      <c r="AU536" s="76"/>
      <c r="AV536" s="76"/>
      <c r="AW536" s="76"/>
      <c r="AX536" s="76">
        <f>+AW536*600000</f>
        <v>0</v>
      </c>
      <c r="AY536" s="76"/>
      <c r="AZ536" s="76">
        <f>+AY536*70000</f>
        <v>0</v>
      </c>
      <c r="BA536" s="76"/>
      <c r="BB536" s="76"/>
      <c r="BC536" s="76"/>
      <c r="BD536" s="76">
        <f>+BC536*30000</f>
        <v>0</v>
      </c>
      <c r="BE536" s="76"/>
      <c r="BF536" s="76"/>
      <c r="BG536" s="76"/>
      <c r="BH536" s="76"/>
      <c r="BI536" s="76"/>
      <c r="BJ536" s="76"/>
      <c r="BK536" s="76"/>
      <c r="BL536" s="76">
        <f>+BK536*31500</f>
        <v>0</v>
      </c>
      <c r="BM536" s="76"/>
      <c r="BN536" s="76"/>
      <c r="BO536" s="76"/>
      <c r="BP536" s="76"/>
      <c r="BQ536" s="76"/>
      <c r="BR536" s="76"/>
      <c r="BS536" s="76"/>
      <c r="BT536" s="76"/>
      <c r="BU536" s="76"/>
      <c r="BV536" s="76"/>
      <c r="BW536" s="76"/>
      <c r="BX536" s="76"/>
      <c r="BY536" s="76"/>
      <c r="BZ536" s="76"/>
      <c r="CA536" s="76"/>
      <c r="CB536" s="76"/>
      <c r="CC536" s="76"/>
      <c r="CD536" s="76"/>
      <c r="CE536" s="76"/>
      <c r="CF536" s="76">
        <f>+CE536*28000</f>
        <v>0</v>
      </c>
      <c r="CG536" s="76"/>
      <c r="CH536" s="76">
        <f>+CG536*22500</f>
        <v>0</v>
      </c>
      <c r="CI536" s="76"/>
      <c r="CJ536" s="76">
        <f>+CI536*26000</f>
        <v>0</v>
      </c>
      <c r="CK536" s="76"/>
      <c r="CL536" s="76"/>
      <c r="CM536" s="76"/>
      <c r="CN536" s="76">
        <f>+CM536*22000</f>
        <v>0</v>
      </c>
      <c r="CO536" s="76"/>
      <c r="CP536" s="76">
        <f>+CO536*46000</f>
        <v>0</v>
      </c>
      <c r="CQ536" s="76"/>
      <c r="CR536" s="76">
        <f>+CQ536*49000</f>
        <v>0</v>
      </c>
      <c r="CS536" s="76"/>
      <c r="CT536" s="76"/>
      <c r="CU536" s="56">
        <f>AN536+AP536+AR536+AT536+AV536+AX536+AZ536+BB536+BD536+BF536+BH536+BJ536+BL536+BN536+BP536+BR536+BT536+BV536+BX536+BZ536+CB536+CD536+CF536+CH536+CJ536+CL536+CN536+CP536+CR536+CT536</f>
        <v>0</v>
      </c>
      <c r="CV536" s="76"/>
      <c r="CW536" s="76">
        <f>+CV536*1100</f>
        <v>0</v>
      </c>
      <c r="CX536" s="76"/>
      <c r="CY536" s="76">
        <f>+CX536*106250</f>
        <v>0</v>
      </c>
      <c r="CZ536" s="76"/>
      <c r="DA536" s="76">
        <f>+CZ536*34500</f>
        <v>0</v>
      </c>
      <c r="DB536" s="76"/>
      <c r="DC536" s="76">
        <f>+DB536*25000</f>
        <v>0</v>
      </c>
      <c r="DD536" s="219"/>
      <c r="DE536" s="219"/>
      <c r="DF536" s="166"/>
      <c r="DG536" s="116"/>
      <c r="DH536" s="117"/>
      <c r="DI536" s="24"/>
      <c r="DJ536" s="24"/>
      <c r="DK536" s="24"/>
      <c r="DL536" s="24"/>
      <c r="DM536" s="24"/>
      <c r="DN536" s="24"/>
      <c r="DO536" s="24"/>
      <c r="DP536" s="24"/>
      <c r="DQ536" s="24"/>
      <c r="DR536" s="24"/>
      <c r="DS536" s="24"/>
      <c r="DT536" s="24"/>
      <c r="DU536" s="24"/>
    </row>
    <row r="537" spans="1:125" s="8" customFormat="1" ht="24" x14ac:dyDescent="0.2">
      <c r="A537" s="77">
        <v>41308</v>
      </c>
      <c r="B537" s="78" t="s">
        <v>2772</v>
      </c>
      <c r="C537" s="75" t="s">
        <v>2152</v>
      </c>
      <c r="D537" s="81" t="s">
        <v>2846</v>
      </c>
      <c r="E537" s="75" t="str">
        <f>VLOOKUP(B537&amp;C537,Divipola!$C$2:$F$1138,4,FALSE)</f>
        <v>25594</v>
      </c>
      <c r="F537" s="87"/>
      <c r="G537" s="87"/>
      <c r="H537" s="87"/>
      <c r="I537" s="87"/>
      <c r="J537" s="87"/>
      <c r="K537" s="87"/>
      <c r="L537" s="87"/>
      <c r="M537" s="87"/>
      <c r="N537" s="87"/>
      <c r="O537" s="87"/>
      <c r="P537" s="87"/>
      <c r="Q537" s="87"/>
      <c r="R537" s="87"/>
      <c r="S537" s="87"/>
      <c r="T537" s="87"/>
      <c r="U537" s="88"/>
      <c r="V537" s="89"/>
      <c r="W537" s="96">
        <v>0</v>
      </c>
      <c r="X537" s="71">
        <f>CU537</f>
        <v>0</v>
      </c>
      <c r="Y537" s="71">
        <f>CY537</f>
        <v>0</v>
      </c>
      <c r="Z537" s="71">
        <f>DA537+DC537+DE537</f>
        <v>0</v>
      </c>
      <c r="AA537" s="71">
        <f>CW537</f>
        <v>0</v>
      </c>
      <c r="AB537" s="71"/>
      <c r="AC537" s="71">
        <v>0</v>
      </c>
      <c r="AD537" s="71">
        <f>W537+X537+Y537+Z537+AA537+AB537+AC537</f>
        <v>0</v>
      </c>
      <c r="AE537" s="72">
        <v>0</v>
      </c>
      <c r="AF537" s="5"/>
      <c r="AG537" s="6"/>
      <c r="AH537" s="27" t="s">
        <v>3392</v>
      </c>
      <c r="AI537" s="44" t="s">
        <v>3393</v>
      </c>
      <c r="AJ537" s="26"/>
      <c r="AK537" s="5"/>
      <c r="AL537" s="82" t="s">
        <v>3388</v>
      </c>
      <c r="AM537" s="76"/>
      <c r="AN537" s="76"/>
      <c r="AO537" s="76"/>
      <c r="AP537" s="76"/>
      <c r="AQ537" s="76"/>
      <c r="AR537" s="76"/>
      <c r="AS537" s="76"/>
      <c r="AT537" s="76"/>
      <c r="AU537" s="76"/>
      <c r="AV537" s="76"/>
      <c r="AW537" s="76"/>
      <c r="AX537" s="76">
        <f>+AW537*600000</f>
        <v>0</v>
      </c>
      <c r="AY537" s="76"/>
      <c r="AZ537" s="76">
        <f>+AY537*70000</f>
        <v>0</v>
      </c>
      <c r="BA537" s="76"/>
      <c r="BB537" s="76"/>
      <c r="BC537" s="76"/>
      <c r="BD537" s="76">
        <f>+BC537*30000</f>
        <v>0</v>
      </c>
      <c r="BE537" s="76"/>
      <c r="BF537" s="76"/>
      <c r="BG537" s="76"/>
      <c r="BH537" s="76"/>
      <c r="BI537" s="76"/>
      <c r="BJ537" s="76"/>
      <c r="BK537" s="76"/>
      <c r="BL537" s="76">
        <f>+BK537*31500</f>
        <v>0</v>
      </c>
      <c r="BM537" s="76"/>
      <c r="BN537" s="76"/>
      <c r="BO537" s="76"/>
      <c r="BP537" s="76"/>
      <c r="BQ537" s="76"/>
      <c r="BR537" s="76"/>
      <c r="BS537" s="76"/>
      <c r="BT537" s="76"/>
      <c r="BU537" s="76"/>
      <c r="BV537" s="76"/>
      <c r="BW537" s="76"/>
      <c r="BX537" s="76"/>
      <c r="BY537" s="76"/>
      <c r="BZ537" s="76"/>
      <c r="CA537" s="76"/>
      <c r="CB537" s="76"/>
      <c r="CC537" s="76"/>
      <c r="CD537" s="76"/>
      <c r="CE537" s="76"/>
      <c r="CF537" s="76">
        <f>+CE537*28000</f>
        <v>0</v>
      </c>
      <c r="CG537" s="76"/>
      <c r="CH537" s="76">
        <f>+CG537*22500</f>
        <v>0</v>
      </c>
      <c r="CI537" s="76"/>
      <c r="CJ537" s="76">
        <f>+CI537*26000</f>
        <v>0</v>
      </c>
      <c r="CK537" s="76"/>
      <c r="CL537" s="76"/>
      <c r="CM537" s="76"/>
      <c r="CN537" s="76">
        <f>+CM537*22000</f>
        <v>0</v>
      </c>
      <c r="CO537" s="76"/>
      <c r="CP537" s="76">
        <f>+CO537*46000</f>
        <v>0</v>
      </c>
      <c r="CQ537" s="76"/>
      <c r="CR537" s="76">
        <f>+CQ537*49000</f>
        <v>0</v>
      </c>
      <c r="CS537" s="76"/>
      <c r="CT537" s="76"/>
      <c r="CU537" s="56">
        <f>AN537+AP537+AR537+AT537+AV537+AX537+AZ537+BB537+BD537+BF537+BH537+BJ537+BL537+BN537+BP537+BR537+BT537+BV537+BX537+BZ537+CB537+CD537+CF537+CH537+CJ537+CL537+CN537+CP537+CR537+CT537</f>
        <v>0</v>
      </c>
      <c r="CV537" s="76"/>
      <c r="CW537" s="76">
        <f>+CV537*1100</f>
        <v>0</v>
      </c>
      <c r="CX537" s="76"/>
      <c r="CY537" s="76">
        <f>+CX537*106250</f>
        <v>0</v>
      </c>
      <c r="CZ537" s="76"/>
      <c r="DA537" s="76">
        <f>+CZ537*34500</f>
        <v>0</v>
      </c>
      <c r="DB537" s="76"/>
      <c r="DC537" s="76">
        <f>+DB537*25000</f>
        <v>0</v>
      </c>
      <c r="DD537" s="219"/>
      <c r="DE537" s="219"/>
      <c r="DF537" s="166"/>
      <c r="DG537" s="116"/>
      <c r="DH537" s="117"/>
      <c r="DI537" s="24"/>
      <c r="DJ537" s="24"/>
      <c r="DK537" s="24"/>
      <c r="DL537" s="24"/>
      <c r="DM537" s="24"/>
      <c r="DN537" s="24"/>
      <c r="DO537" s="24"/>
      <c r="DP537" s="24"/>
      <c r="DQ537" s="24"/>
      <c r="DR537" s="24"/>
      <c r="DS537" s="24"/>
      <c r="DT537" s="24"/>
      <c r="DU537" s="24"/>
    </row>
    <row r="538" spans="1:125" s="8" customFormat="1" ht="144" x14ac:dyDescent="0.2">
      <c r="A538" s="77">
        <v>41308</v>
      </c>
      <c r="B538" s="78" t="s">
        <v>2772</v>
      </c>
      <c r="C538" s="75" t="s">
        <v>2835</v>
      </c>
      <c r="D538" s="81" t="s">
        <v>2846</v>
      </c>
      <c r="E538" s="75" t="str">
        <f>VLOOKUP(B538&amp;C538,Divipola!$C$2:$F$1138,4,FALSE)</f>
        <v>25873</v>
      </c>
      <c r="F538" s="87"/>
      <c r="G538" s="87"/>
      <c r="H538" s="87"/>
      <c r="I538" s="87"/>
      <c r="J538" s="87"/>
      <c r="K538" s="87"/>
      <c r="L538" s="87"/>
      <c r="M538" s="87"/>
      <c r="N538" s="87"/>
      <c r="O538" s="87"/>
      <c r="P538" s="87"/>
      <c r="Q538" s="87"/>
      <c r="R538" s="87"/>
      <c r="S538" s="87"/>
      <c r="T538" s="87"/>
      <c r="U538" s="88">
        <v>1.5</v>
      </c>
      <c r="V538" s="89"/>
      <c r="W538" s="96">
        <v>0</v>
      </c>
      <c r="X538" s="71">
        <f>CU538</f>
        <v>0</v>
      </c>
      <c r="Y538" s="71">
        <f>CY538</f>
        <v>0</v>
      </c>
      <c r="Z538" s="71">
        <f>DA538+DC538+DE538</f>
        <v>0</v>
      </c>
      <c r="AA538" s="71">
        <f>CW538</f>
        <v>0</v>
      </c>
      <c r="AB538" s="71"/>
      <c r="AC538" s="71">
        <v>0</v>
      </c>
      <c r="AD538" s="71">
        <f>W538+X538+Y538+Z538+AA538+AB538+AC538</f>
        <v>0</v>
      </c>
      <c r="AE538" s="72">
        <v>0</v>
      </c>
      <c r="AF538" s="5"/>
      <c r="AG538" s="6"/>
      <c r="AH538" s="27" t="s">
        <v>3390</v>
      </c>
      <c r="AI538" s="44" t="s">
        <v>3391</v>
      </c>
      <c r="AJ538" s="26"/>
      <c r="AK538" s="5" t="s">
        <v>3397</v>
      </c>
      <c r="AL538" s="82" t="s">
        <v>3382</v>
      </c>
      <c r="AM538" s="76"/>
      <c r="AN538" s="76"/>
      <c r="AO538" s="76"/>
      <c r="AP538" s="76"/>
      <c r="AQ538" s="76"/>
      <c r="AR538" s="76"/>
      <c r="AS538" s="76"/>
      <c r="AT538" s="76"/>
      <c r="AU538" s="76"/>
      <c r="AV538" s="76"/>
      <c r="AW538" s="76"/>
      <c r="AX538" s="76">
        <f>+AW538*600000</f>
        <v>0</v>
      </c>
      <c r="AY538" s="76"/>
      <c r="AZ538" s="76">
        <f>+AY538*70000</f>
        <v>0</v>
      </c>
      <c r="BA538" s="76"/>
      <c r="BB538" s="76"/>
      <c r="BC538" s="76"/>
      <c r="BD538" s="76">
        <f>+BC538*30000</f>
        <v>0</v>
      </c>
      <c r="BE538" s="76"/>
      <c r="BF538" s="76"/>
      <c r="BG538" s="76"/>
      <c r="BH538" s="76"/>
      <c r="BI538" s="76"/>
      <c r="BJ538" s="76"/>
      <c r="BK538" s="76"/>
      <c r="BL538" s="76">
        <f>+BK538*31500</f>
        <v>0</v>
      </c>
      <c r="BM538" s="76"/>
      <c r="BN538" s="76"/>
      <c r="BO538" s="76"/>
      <c r="BP538" s="76"/>
      <c r="BQ538" s="76"/>
      <c r="BR538" s="76"/>
      <c r="BS538" s="76"/>
      <c r="BT538" s="76"/>
      <c r="BU538" s="76"/>
      <c r="BV538" s="76"/>
      <c r="BW538" s="76"/>
      <c r="BX538" s="76"/>
      <c r="BY538" s="76"/>
      <c r="BZ538" s="76"/>
      <c r="CA538" s="76"/>
      <c r="CB538" s="76"/>
      <c r="CC538" s="76"/>
      <c r="CD538" s="76"/>
      <c r="CE538" s="76"/>
      <c r="CF538" s="76">
        <f>+CE538*28000</f>
        <v>0</v>
      </c>
      <c r="CG538" s="76"/>
      <c r="CH538" s="76">
        <f>+CG538*22500</f>
        <v>0</v>
      </c>
      <c r="CI538" s="76"/>
      <c r="CJ538" s="76">
        <f>+CI538*26000</f>
        <v>0</v>
      </c>
      <c r="CK538" s="76"/>
      <c r="CL538" s="76"/>
      <c r="CM538" s="76"/>
      <c r="CN538" s="76">
        <f>+CM538*22000</f>
        <v>0</v>
      </c>
      <c r="CO538" s="76"/>
      <c r="CP538" s="76">
        <f>+CO538*46000</f>
        <v>0</v>
      </c>
      <c r="CQ538" s="76"/>
      <c r="CR538" s="76">
        <f>+CQ538*49000</f>
        <v>0</v>
      </c>
      <c r="CS538" s="76"/>
      <c r="CT538" s="76"/>
      <c r="CU538" s="56">
        <f>AN538+AP538+AR538+AT538+AV538+AX538+AZ538+BB538+BD538+BF538+BH538+BJ538+BL538+BN538+BP538+BR538+BT538+BV538+BX538+BZ538+CB538+CD538+CF538+CH538+CJ538+CL538+CN538+CP538+CR538+CT538</f>
        <v>0</v>
      </c>
      <c r="CV538" s="76"/>
      <c r="CW538" s="76">
        <f>+CV538*1100</f>
        <v>0</v>
      </c>
      <c r="CX538" s="76"/>
      <c r="CY538" s="76">
        <f>+CX538*106250</f>
        <v>0</v>
      </c>
      <c r="CZ538" s="76"/>
      <c r="DA538" s="76">
        <f>+CZ538*34500</f>
        <v>0</v>
      </c>
      <c r="DB538" s="76"/>
      <c r="DC538" s="76">
        <f>+DB538*25000</f>
        <v>0</v>
      </c>
      <c r="DD538" s="219"/>
      <c r="DE538" s="219"/>
      <c r="DF538" s="166"/>
      <c r="DG538" s="116"/>
      <c r="DH538" s="117"/>
      <c r="DI538" s="24"/>
      <c r="DJ538" s="24"/>
      <c r="DK538" s="24"/>
      <c r="DL538" s="24"/>
      <c r="DM538" s="24"/>
      <c r="DN538" s="24"/>
      <c r="DO538" s="24"/>
      <c r="DP538" s="24"/>
      <c r="DQ538" s="24"/>
      <c r="DR538" s="24"/>
      <c r="DS538" s="24"/>
      <c r="DT538" s="24"/>
      <c r="DU538" s="24"/>
    </row>
    <row r="539" spans="1:125" s="8" customFormat="1" ht="48" x14ac:dyDescent="0.2">
      <c r="A539" s="77">
        <v>41308</v>
      </c>
      <c r="B539" s="352" t="s">
        <v>2848</v>
      </c>
      <c r="C539" s="227" t="s">
        <v>2211</v>
      </c>
      <c r="D539" s="81" t="s">
        <v>2846</v>
      </c>
      <c r="E539" s="75" t="str">
        <f>VLOOKUP(B539&amp;C539,Divipola!$C$2:$F$1138,4,FALSE)</f>
        <v>73861</v>
      </c>
      <c r="F539" s="100"/>
      <c r="G539" s="100"/>
      <c r="H539" s="100"/>
      <c r="I539" s="100"/>
      <c r="J539" s="100"/>
      <c r="K539" s="100"/>
      <c r="L539" s="100"/>
      <c r="M539" s="100"/>
      <c r="N539" s="100"/>
      <c r="O539" s="100"/>
      <c r="P539" s="100"/>
      <c r="Q539" s="100"/>
      <c r="R539" s="100"/>
      <c r="S539" s="100"/>
      <c r="T539" s="100"/>
      <c r="U539" s="136">
        <v>8.5</v>
      </c>
      <c r="V539" s="89"/>
      <c r="W539" s="96">
        <v>0</v>
      </c>
      <c r="X539" s="71">
        <f>CU539</f>
        <v>0</v>
      </c>
      <c r="Y539" s="71">
        <f>CY539</f>
        <v>0</v>
      </c>
      <c r="Z539" s="71">
        <f>DA539+DC539+DE539</f>
        <v>0</v>
      </c>
      <c r="AA539" s="71">
        <f>CW539</f>
        <v>0</v>
      </c>
      <c r="AB539" s="71"/>
      <c r="AC539" s="71">
        <v>0</v>
      </c>
      <c r="AD539" s="71">
        <f>W539+X539+Y539+Z539+AA539+AB539+AC539</f>
        <v>0</v>
      </c>
      <c r="AE539" s="72">
        <v>0</v>
      </c>
      <c r="AF539" s="5"/>
      <c r="AG539" s="6"/>
      <c r="AH539" s="27" t="s">
        <v>3392</v>
      </c>
      <c r="AI539" s="44" t="s">
        <v>3393</v>
      </c>
      <c r="AJ539" s="26"/>
      <c r="AK539" s="5"/>
      <c r="AL539" s="82" t="s">
        <v>3386</v>
      </c>
      <c r="AM539" s="76"/>
      <c r="AN539" s="76"/>
      <c r="AO539" s="76"/>
      <c r="AP539" s="76"/>
      <c r="AQ539" s="76"/>
      <c r="AR539" s="76"/>
      <c r="AS539" s="76"/>
      <c r="AT539" s="76"/>
      <c r="AU539" s="76"/>
      <c r="AV539" s="76"/>
      <c r="AW539" s="76"/>
      <c r="AX539" s="76">
        <f>+AW539*600000</f>
        <v>0</v>
      </c>
      <c r="AY539" s="76"/>
      <c r="AZ539" s="76">
        <f>+AY539*70000</f>
        <v>0</v>
      </c>
      <c r="BA539" s="76"/>
      <c r="BB539" s="76"/>
      <c r="BC539" s="76"/>
      <c r="BD539" s="76">
        <f>+BC539*30000</f>
        <v>0</v>
      </c>
      <c r="BE539" s="76"/>
      <c r="BF539" s="76"/>
      <c r="BG539" s="76"/>
      <c r="BH539" s="76"/>
      <c r="BI539" s="76"/>
      <c r="BJ539" s="76"/>
      <c r="BK539" s="76"/>
      <c r="BL539" s="76">
        <f>+BK539*31500</f>
        <v>0</v>
      </c>
      <c r="BM539" s="76"/>
      <c r="BN539" s="76"/>
      <c r="BO539" s="76"/>
      <c r="BP539" s="76"/>
      <c r="BQ539" s="76"/>
      <c r="BR539" s="76"/>
      <c r="BS539" s="76"/>
      <c r="BT539" s="76"/>
      <c r="BU539" s="76"/>
      <c r="BV539" s="76"/>
      <c r="BW539" s="76"/>
      <c r="BX539" s="76"/>
      <c r="BY539" s="76"/>
      <c r="BZ539" s="76"/>
      <c r="CA539" s="76"/>
      <c r="CB539" s="76"/>
      <c r="CC539" s="76"/>
      <c r="CD539" s="76"/>
      <c r="CE539" s="76"/>
      <c r="CF539" s="76">
        <f>+CE539*28000</f>
        <v>0</v>
      </c>
      <c r="CG539" s="76"/>
      <c r="CH539" s="76">
        <f>+CG539*22500</f>
        <v>0</v>
      </c>
      <c r="CI539" s="76"/>
      <c r="CJ539" s="76">
        <f>+CI539*26000</f>
        <v>0</v>
      </c>
      <c r="CK539" s="76"/>
      <c r="CL539" s="76"/>
      <c r="CM539" s="76"/>
      <c r="CN539" s="76">
        <f>+CM539*22000</f>
        <v>0</v>
      </c>
      <c r="CO539" s="76"/>
      <c r="CP539" s="76">
        <f>+CO539*46000</f>
        <v>0</v>
      </c>
      <c r="CQ539" s="76"/>
      <c r="CR539" s="76">
        <f>+CQ539*49000</f>
        <v>0</v>
      </c>
      <c r="CS539" s="76"/>
      <c r="CT539" s="76"/>
      <c r="CU539" s="56">
        <f>AN539+AP539+AR539+AT539+AV539+AX539+AZ539+BB539+BD539+BF539+BH539+BJ539+BL539+BN539+BP539+BR539+BT539+BV539+BX539+BZ539+CB539+CD539+CF539+CH539+CJ539+CL539+CN539+CP539+CR539+CT539</f>
        <v>0</v>
      </c>
      <c r="CV539" s="76"/>
      <c r="CW539" s="76">
        <f>+CV539*1100</f>
        <v>0</v>
      </c>
      <c r="CX539" s="76"/>
      <c r="CY539" s="76">
        <f>+CX539*106250</f>
        <v>0</v>
      </c>
      <c r="CZ539" s="76"/>
      <c r="DA539" s="76">
        <f>+CZ539*34500</f>
        <v>0</v>
      </c>
      <c r="DB539" s="76"/>
      <c r="DC539" s="76">
        <f>+DB539*25000</f>
        <v>0</v>
      </c>
      <c r="DD539" s="219"/>
      <c r="DE539" s="219"/>
      <c r="DF539" s="166"/>
      <c r="DG539" s="116"/>
      <c r="DH539" s="117"/>
      <c r="DI539" s="24"/>
      <c r="DJ539" s="24"/>
      <c r="DK539" s="24"/>
      <c r="DL539" s="24"/>
      <c r="DM539" s="24"/>
      <c r="DN539" s="24"/>
      <c r="DO539" s="24"/>
      <c r="DP539" s="24"/>
      <c r="DQ539" s="24"/>
      <c r="DR539" s="24"/>
      <c r="DS539" s="24"/>
      <c r="DT539" s="24"/>
      <c r="DU539" s="24"/>
    </row>
    <row r="540" spans="1:125" s="8" customFormat="1" ht="72" x14ac:dyDescent="0.2">
      <c r="A540" s="77">
        <v>41308</v>
      </c>
      <c r="B540" s="78" t="s">
        <v>2309</v>
      </c>
      <c r="C540" s="75" t="s">
        <v>2310</v>
      </c>
      <c r="D540" s="81" t="s">
        <v>2846</v>
      </c>
      <c r="E540" s="75" t="str">
        <f>VLOOKUP(B540&amp;C540,Divipola!$C$2:$F$1138,4,FALSE)</f>
        <v>99001</v>
      </c>
      <c r="F540" s="87"/>
      <c r="G540" s="87"/>
      <c r="H540" s="87"/>
      <c r="I540" s="87"/>
      <c r="J540" s="87"/>
      <c r="K540" s="87"/>
      <c r="L540" s="87"/>
      <c r="M540" s="87"/>
      <c r="N540" s="87"/>
      <c r="O540" s="87"/>
      <c r="P540" s="87"/>
      <c r="Q540" s="87"/>
      <c r="R540" s="87"/>
      <c r="S540" s="87"/>
      <c r="T540" s="87"/>
      <c r="U540" s="88"/>
      <c r="V540" s="89"/>
      <c r="W540" s="96">
        <v>0</v>
      </c>
      <c r="X540" s="71">
        <f>CU540</f>
        <v>0</v>
      </c>
      <c r="Y540" s="71">
        <f>CY540</f>
        <v>0</v>
      </c>
      <c r="Z540" s="71">
        <f>DA540+DC540+DE540</f>
        <v>0</v>
      </c>
      <c r="AA540" s="71">
        <f>CW540</f>
        <v>0</v>
      </c>
      <c r="AB540" s="71"/>
      <c r="AC540" s="71">
        <v>0</v>
      </c>
      <c r="AD540" s="71">
        <f>W540+X540+Y540+Z540+AA540+AB540+AC540</f>
        <v>0</v>
      </c>
      <c r="AE540" s="72">
        <v>0</v>
      </c>
      <c r="AF540" s="5"/>
      <c r="AG540" s="6"/>
      <c r="AH540" s="27" t="s">
        <v>3392</v>
      </c>
      <c r="AI540" s="44" t="s">
        <v>3393</v>
      </c>
      <c r="AJ540" s="26"/>
      <c r="AK540" s="5"/>
      <c r="AL540" s="82" t="s">
        <v>3387</v>
      </c>
      <c r="AM540" s="76"/>
      <c r="AN540" s="76"/>
      <c r="AO540" s="76"/>
      <c r="AP540" s="76"/>
      <c r="AQ540" s="76"/>
      <c r="AR540" s="76"/>
      <c r="AS540" s="76"/>
      <c r="AT540" s="76"/>
      <c r="AU540" s="76"/>
      <c r="AV540" s="76"/>
      <c r="AW540" s="76"/>
      <c r="AX540" s="76">
        <f>+AW540*600000</f>
        <v>0</v>
      </c>
      <c r="AY540" s="76"/>
      <c r="AZ540" s="76">
        <f>+AY540*70000</f>
        <v>0</v>
      </c>
      <c r="BA540" s="76"/>
      <c r="BB540" s="76"/>
      <c r="BC540" s="76"/>
      <c r="BD540" s="76">
        <f>+BC540*30000</f>
        <v>0</v>
      </c>
      <c r="BE540" s="76"/>
      <c r="BF540" s="76"/>
      <c r="BG540" s="76"/>
      <c r="BH540" s="76"/>
      <c r="BI540" s="76"/>
      <c r="BJ540" s="76"/>
      <c r="BK540" s="76"/>
      <c r="BL540" s="76">
        <f>+BK540*31500</f>
        <v>0</v>
      </c>
      <c r="BM540" s="76"/>
      <c r="BN540" s="76"/>
      <c r="BO540" s="76"/>
      <c r="BP540" s="76"/>
      <c r="BQ540" s="76"/>
      <c r="BR540" s="76"/>
      <c r="BS540" s="76"/>
      <c r="BT540" s="76"/>
      <c r="BU540" s="76"/>
      <c r="BV540" s="76"/>
      <c r="BW540" s="76"/>
      <c r="BX540" s="76"/>
      <c r="BY540" s="76"/>
      <c r="BZ540" s="76"/>
      <c r="CA540" s="76"/>
      <c r="CB540" s="76"/>
      <c r="CC540" s="76"/>
      <c r="CD540" s="76"/>
      <c r="CE540" s="76"/>
      <c r="CF540" s="76">
        <f>+CE540*28000</f>
        <v>0</v>
      </c>
      <c r="CG540" s="76"/>
      <c r="CH540" s="76">
        <f>+CG540*22500</f>
        <v>0</v>
      </c>
      <c r="CI540" s="76"/>
      <c r="CJ540" s="76">
        <f>+CI540*26000</f>
        <v>0</v>
      </c>
      <c r="CK540" s="76"/>
      <c r="CL540" s="76"/>
      <c r="CM540" s="76"/>
      <c r="CN540" s="76">
        <f>+CM540*22000</f>
        <v>0</v>
      </c>
      <c r="CO540" s="76"/>
      <c r="CP540" s="76">
        <f>+CO540*46000</f>
        <v>0</v>
      </c>
      <c r="CQ540" s="76"/>
      <c r="CR540" s="76">
        <f>+CQ540*49000</f>
        <v>0</v>
      </c>
      <c r="CS540" s="76"/>
      <c r="CT540" s="76"/>
      <c r="CU540" s="56">
        <f>AN540+AP540+AR540+AT540+AV540+AX540+AZ540+BB540+BD540+BF540+BH540+BJ540+BL540+BN540+BP540+BR540+BT540+BV540+BX540+BZ540+CB540+CD540+CF540+CH540+CJ540+CL540+CN540+CP540+CR540+CT540</f>
        <v>0</v>
      </c>
      <c r="CV540" s="76"/>
      <c r="CW540" s="76">
        <f>+CV540*1100</f>
        <v>0</v>
      </c>
      <c r="CX540" s="76"/>
      <c r="CY540" s="76">
        <f>+CX540*106250</f>
        <v>0</v>
      </c>
      <c r="CZ540" s="76"/>
      <c r="DA540" s="76">
        <f>+CZ540*34500</f>
        <v>0</v>
      </c>
      <c r="DB540" s="76"/>
      <c r="DC540" s="76">
        <f>+DB540*25000</f>
        <v>0</v>
      </c>
      <c r="DD540" s="219"/>
      <c r="DE540" s="219"/>
      <c r="DF540" s="166"/>
      <c r="DG540" s="116"/>
      <c r="DH540" s="117"/>
      <c r="DI540" s="24"/>
      <c r="DJ540" s="24"/>
      <c r="DK540" s="24"/>
      <c r="DL540" s="24"/>
      <c r="DM540" s="24"/>
      <c r="DN540" s="24"/>
      <c r="DO540" s="24"/>
      <c r="DP540" s="24"/>
      <c r="DQ540" s="24"/>
      <c r="DR540" s="24"/>
      <c r="DS540" s="24"/>
      <c r="DT540" s="24"/>
      <c r="DU540" s="24"/>
    </row>
    <row r="541" spans="1:125" s="8" customFormat="1" ht="84" x14ac:dyDescent="0.2">
      <c r="A541" s="77">
        <v>41309</v>
      </c>
      <c r="B541" s="225" t="s">
        <v>2196</v>
      </c>
      <c r="C541" s="227" t="s">
        <v>2676</v>
      </c>
      <c r="D541" s="227" t="s">
        <v>2882</v>
      </c>
      <c r="E541" s="75" t="str">
        <f>VLOOKUP(B541&amp;C541,Divipola!$C$2:$F$1138,4,FALSE)</f>
        <v>17380</v>
      </c>
      <c r="F541" s="100"/>
      <c r="G541" s="100">
        <v>8</v>
      </c>
      <c r="H541" s="100"/>
      <c r="I541" s="100">
        <f>720*5</f>
        <v>3600</v>
      </c>
      <c r="J541" s="100">
        <v>720</v>
      </c>
      <c r="K541" s="100"/>
      <c r="L541" s="100">
        <v>720</v>
      </c>
      <c r="M541" s="100">
        <v>8</v>
      </c>
      <c r="N541" s="100"/>
      <c r="O541" s="100"/>
      <c r="P541" s="100"/>
      <c r="Q541" s="100"/>
      <c r="R541" s="100"/>
      <c r="S541" s="100"/>
      <c r="T541" s="100"/>
      <c r="U541" s="136"/>
      <c r="V541" s="89"/>
      <c r="W541" s="96">
        <v>0</v>
      </c>
      <c r="X541" s="71">
        <f>CU541</f>
        <v>0</v>
      </c>
      <c r="Y541" s="71">
        <f>CY541</f>
        <v>0</v>
      </c>
      <c r="Z541" s="71">
        <f>DA541+DC541+DE541</f>
        <v>0</v>
      </c>
      <c r="AA541" s="71">
        <f>CW541</f>
        <v>0</v>
      </c>
      <c r="AB541" s="71"/>
      <c r="AC541" s="71">
        <v>0</v>
      </c>
      <c r="AD541" s="71">
        <f>W541+X541+Y541+Z541+AA541+AB541+AC541</f>
        <v>0</v>
      </c>
      <c r="AE541" s="72">
        <v>0</v>
      </c>
      <c r="AF541" s="5"/>
      <c r="AG541" s="6"/>
      <c r="AH541" s="27" t="s">
        <v>3390</v>
      </c>
      <c r="AI541" s="44" t="s">
        <v>3391</v>
      </c>
      <c r="AJ541" s="26"/>
      <c r="AK541" s="5" t="s">
        <v>3480</v>
      </c>
      <c r="AL541" s="82" t="s">
        <v>3400</v>
      </c>
      <c r="AM541" s="76"/>
      <c r="AN541" s="76"/>
      <c r="AO541" s="76"/>
      <c r="AP541" s="76"/>
      <c r="AQ541" s="76"/>
      <c r="AR541" s="76"/>
      <c r="AS541" s="76"/>
      <c r="AT541" s="76"/>
      <c r="AU541" s="76"/>
      <c r="AV541" s="76"/>
      <c r="AW541" s="76"/>
      <c r="AX541" s="76">
        <f>+AW541*600000</f>
        <v>0</v>
      </c>
      <c r="AY541" s="76"/>
      <c r="AZ541" s="76">
        <f>+AY541*70000</f>
        <v>0</v>
      </c>
      <c r="BA541" s="76"/>
      <c r="BB541" s="76"/>
      <c r="BC541" s="76"/>
      <c r="BD541" s="76">
        <f>+BC541*30000</f>
        <v>0</v>
      </c>
      <c r="BE541" s="76"/>
      <c r="BF541" s="76"/>
      <c r="BG541" s="76"/>
      <c r="BH541" s="76"/>
      <c r="BI541" s="76"/>
      <c r="BJ541" s="76"/>
      <c r="BK541" s="76"/>
      <c r="BL541" s="76">
        <f>+BK541*31500</f>
        <v>0</v>
      </c>
      <c r="BM541" s="76"/>
      <c r="BN541" s="76"/>
      <c r="BO541" s="76"/>
      <c r="BP541" s="76"/>
      <c r="BQ541" s="76"/>
      <c r="BR541" s="76"/>
      <c r="BS541" s="76"/>
      <c r="BT541" s="76"/>
      <c r="BU541" s="76"/>
      <c r="BV541" s="76"/>
      <c r="BW541" s="76"/>
      <c r="BX541" s="76"/>
      <c r="BY541" s="76"/>
      <c r="BZ541" s="76"/>
      <c r="CA541" s="76"/>
      <c r="CB541" s="76"/>
      <c r="CC541" s="76"/>
      <c r="CD541" s="76"/>
      <c r="CE541" s="76"/>
      <c r="CF541" s="76">
        <f>+CE541*28000</f>
        <v>0</v>
      </c>
      <c r="CG541" s="76"/>
      <c r="CH541" s="76">
        <f>+CG541*22500</f>
        <v>0</v>
      </c>
      <c r="CI541" s="76"/>
      <c r="CJ541" s="76">
        <f>+CI541*26000</f>
        <v>0</v>
      </c>
      <c r="CK541" s="76"/>
      <c r="CL541" s="76"/>
      <c r="CM541" s="76"/>
      <c r="CN541" s="76">
        <f>+CM541*22000</f>
        <v>0</v>
      </c>
      <c r="CO541" s="76"/>
      <c r="CP541" s="76">
        <f>+CO541*46000</f>
        <v>0</v>
      </c>
      <c r="CQ541" s="76"/>
      <c r="CR541" s="76">
        <f>+CQ541*49000</f>
        <v>0</v>
      </c>
      <c r="CS541" s="76"/>
      <c r="CT541" s="76"/>
      <c r="CU541" s="56">
        <f>AN541+AP541+AR541+AT541+AV541+AX541+AZ541+BB541+BD541+BF541+BH541+BJ541+BL541+BN541+BP541+BR541+BT541+BV541+BX541+BZ541+CB541+CD541+CF541+CH541+CJ541+CL541+CN541+CP541+CR541+CT541</f>
        <v>0</v>
      </c>
      <c r="CV541" s="76"/>
      <c r="CW541" s="76">
        <f>+CV541*1100</f>
        <v>0</v>
      </c>
      <c r="CX541" s="76"/>
      <c r="CY541" s="76">
        <f>+CX541*106250</f>
        <v>0</v>
      </c>
      <c r="CZ541" s="76"/>
      <c r="DA541" s="76">
        <f>+CZ541*34500</f>
        <v>0</v>
      </c>
      <c r="DB541" s="76"/>
      <c r="DC541" s="76">
        <f>+DB541*25000</f>
        <v>0</v>
      </c>
      <c r="DD541" s="219"/>
      <c r="DE541" s="219"/>
      <c r="DF541" s="166"/>
      <c r="DG541" s="116"/>
      <c r="DH541" s="117"/>
      <c r="DI541" s="24"/>
      <c r="DJ541" s="24"/>
      <c r="DK541" s="24"/>
      <c r="DL541" s="24"/>
      <c r="DM541" s="24"/>
      <c r="DN541" s="24"/>
      <c r="DO541" s="24"/>
      <c r="DP541" s="24"/>
      <c r="DQ541" s="24"/>
      <c r="DR541" s="24"/>
      <c r="DS541" s="24"/>
      <c r="DT541" s="24"/>
      <c r="DU541" s="24"/>
    </row>
    <row r="542" spans="1:125" s="8" customFormat="1" ht="72" x14ac:dyDescent="0.2">
      <c r="A542" s="77">
        <v>41309</v>
      </c>
      <c r="B542" s="78" t="s">
        <v>2196</v>
      </c>
      <c r="C542" s="75" t="s">
        <v>2110</v>
      </c>
      <c r="D542" s="75" t="s">
        <v>2882</v>
      </c>
      <c r="E542" s="75" t="str">
        <f>VLOOKUP(B542&amp;C542,Divipola!$C$2:$F$1138,4,FALSE)</f>
        <v>17614</v>
      </c>
      <c r="F542" s="87"/>
      <c r="G542" s="87"/>
      <c r="H542" s="87"/>
      <c r="I542" s="87">
        <f>15*5</f>
        <v>75</v>
      </c>
      <c r="J542" s="87">
        <v>15</v>
      </c>
      <c r="K542" s="87"/>
      <c r="L542" s="87">
        <v>15</v>
      </c>
      <c r="M542" s="87"/>
      <c r="N542" s="87"/>
      <c r="O542" s="87"/>
      <c r="P542" s="87"/>
      <c r="Q542" s="87"/>
      <c r="R542" s="87"/>
      <c r="S542" s="87"/>
      <c r="T542" s="87"/>
      <c r="U542" s="88"/>
      <c r="V542" s="157">
        <v>1</v>
      </c>
      <c r="W542" s="96">
        <v>0</v>
      </c>
      <c r="X542" s="71">
        <f>CU542</f>
        <v>0</v>
      </c>
      <c r="Y542" s="71">
        <f>CY542</f>
        <v>0</v>
      </c>
      <c r="Z542" s="71">
        <f>DA542+DC542+DE542</f>
        <v>0</v>
      </c>
      <c r="AA542" s="71">
        <f>CW542</f>
        <v>0</v>
      </c>
      <c r="AB542" s="71"/>
      <c r="AC542" s="71">
        <v>0</v>
      </c>
      <c r="AD542" s="71">
        <f>W542+X542+Y542+Z542+AA542+AB542+AC542</f>
        <v>0</v>
      </c>
      <c r="AE542" s="72">
        <v>0</v>
      </c>
      <c r="AF542" s="5"/>
      <c r="AG542" s="6"/>
      <c r="AH542" s="27" t="s">
        <v>3390</v>
      </c>
      <c r="AI542" s="44" t="s">
        <v>3391</v>
      </c>
      <c r="AJ542" s="26"/>
      <c r="AK542" s="5" t="s">
        <v>3480</v>
      </c>
      <c r="AL542" s="82" t="s">
        <v>3481</v>
      </c>
      <c r="AM542" s="76"/>
      <c r="AN542" s="76"/>
      <c r="AO542" s="76"/>
      <c r="AP542" s="76"/>
      <c r="AQ542" s="76"/>
      <c r="AR542" s="76"/>
      <c r="AS542" s="76"/>
      <c r="AT542" s="76"/>
      <c r="AU542" s="76"/>
      <c r="AV542" s="76"/>
      <c r="AW542" s="76"/>
      <c r="AX542" s="76">
        <f>+AW542*600000</f>
        <v>0</v>
      </c>
      <c r="AY542" s="76"/>
      <c r="AZ542" s="76">
        <f>+AY542*70000</f>
        <v>0</v>
      </c>
      <c r="BA542" s="76"/>
      <c r="BB542" s="76"/>
      <c r="BC542" s="76"/>
      <c r="BD542" s="76">
        <f>+BC542*30000</f>
        <v>0</v>
      </c>
      <c r="BE542" s="76"/>
      <c r="BF542" s="76"/>
      <c r="BG542" s="76"/>
      <c r="BH542" s="76"/>
      <c r="BI542" s="76"/>
      <c r="BJ542" s="76"/>
      <c r="BK542" s="76"/>
      <c r="BL542" s="76">
        <f>+BK542*31500</f>
        <v>0</v>
      </c>
      <c r="BM542" s="76"/>
      <c r="BN542" s="76"/>
      <c r="BO542" s="76"/>
      <c r="BP542" s="76"/>
      <c r="BQ542" s="76"/>
      <c r="BR542" s="76"/>
      <c r="BS542" s="76"/>
      <c r="BT542" s="76"/>
      <c r="BU542" s="76"/>
      <c r="BV542" s="76"/>
      <c r="BW542" s="76"/>
      <c r="BX542" s="76"/>
      <c r="BY542" s="76"/>
      <c r="BZ542" s="76"/>
      <c r="CA542" s="76"/>
      <c r="CB542" s="76"/>
      <c r="CC542" s="76"/>
      <c r="CD542" s="76"/>
      <c r="CE542" s="76"/>
      <c r="CF542" s="76">
        <f>+CE542*28000</f>
        <v>0</v>
      </c>
      <c r="CG542" s="76"/>
      <c r="CH542" s="76">
        <f>+CG542*22500</f>
        <v>0</v>
      </c>
      <c r="CI542" s="76"/>
      <c r="CJ542" s="76">
        <f>+CI542*26000</f>
        <v>0</v>
      </c>
      <c r="CK542" s="76"/>
      <c r="CL542" s="76"/>
      <c r="CM542" s="76"/>
      <c r="CN542" s="76">
        <f>+CM542*22000</f>
        <v>0</v>
      </c>
      <c r="CO542" s="76"/>
      <c r="CP542" s="76">
        <f>+CO542*46000</f>
        <v>0</v>
      </c>
      <c r="CQ542" s="76"/>
      <c r="CR542" s="76">
        <f>+CQ542*49000</f>
        <v>0</v>
      </c>
      <c r="CS542" s="76"/>
      <c r="CT542" s="76"/>
      <c r="CU542" s="56">
        <f>AN542+AP542+AR542+AT542+AV542+AX542+AZ542+BB542+BD542+BF542+BH542+BJ542+BL542+BN542+BP542+BR542+BT542+BV542+BX542+BZ542+CB542+CD542+CF542+CH542+CJ542+CL542+CN542+CP542+CR542+CT542</f>
        <v>0</v>
      </c>
      <c r="CV542" s="76"/>
      <c r="CW542" s="76">
        <f>+CV542*1100</f>
        <v>0</v>
      </c>
      <c r="CX542" s="76"/>
      <c r="CY542" s="76">
        <f>+CX542*106250</f>
        <v>0</v>
      </c>
      <c r="CZ542" s="76"/>
      <c r="DA542" s="76">
        <f>+CZ542*34500</f>
        <v>0</v>
      </c>
      <c r="DB542" s="76"/>
      <c r="DC542" s="76">
        <f>+DB542*25000</f>
        <v>0</v>
      </c>
      <c r="DD542" s="219"/>
      <c r="DE542" s="219"/>
      <c r="DF542" s="166"/>
      <c r="DG542" s="116"/>
      <c r="DH542" s="117"/>
      <c r="DI542" s="24"/>
      <c r="DJ542" s="24"/>
      <c r="DK542" s="24"/>
      <c r="DL542" s="24"/>
      <c r="DM542" s="24"/>
      <c r="DN542" s="24"/>
      <c r="DO542" s="24"/>
      <c r="DP542" s="24"/>
      <c r="DQ542" s="24"/>
      <c r="DR542" s="24"/>
      <c r="DS542" s="24"/>
      <c r="DT542" s="24"/>
      <c r="DU542" s="24"/>
    </row>
    <row r="543" spans="1:125" s="8" customFormat="1" ht="36" x14ac:dyDescent="0.2">
      <c r="A543" s="77">
        <v>41309</v>
      </c>
      <c r="B543" s="78" t="s">
        <v>2778</v>
      </c>
      <c r="C543" s="75" t="s">
        <v>2194</v>
      </c>
      <c r="D543" s="81" t="s">
        <v>2846</v>
      </c>
      <c r="E543" s="75" t="str">
        <f>VLOOKUP(B543&amp;C543,Divipola!$C$2:$F$1138,4,FALSE)</f>
        <v>85010</v>
      </c>
      <c r="F543" s="87"/>
      <c r="G543" s="87"/>
      <c r="H543" s="87"/>
      <c r="I543" s="87"/>
      <c r="J543" s="87"/>
      <c r="K543" s="87"/>
      <c r="L543" s="87"/>
      <c r="M543" s="87"/>
      <c r="N543" s="87"/>
      <c r="O543" s="87"/>
      <c r="P543" s="87"/>
      <c r="Q543" s="87"/>
      <c r="R543" s="87"/>
      <c r="S543" s="87"/>
      <c r="T543" s="87"/>
      <c r="U543" s="88">
        <v>3</v>
      </c>
      <c r="V543" s="89"/>
      <c r="W543" s="96">
        <v>0</v>
      </c>
      <c r="X543" s="71">
        <f>CU543</f>
        <v>0</v>
      </c>
      <c r="Y543" s="71">
        <f>CY543</f>
        <v>0</v>
      </c>
      <c r="Z543" s="71">
        <f>DA543+DC543+DE543</f>
        <v>0</v>
      </c>
      <c r="AA543" s="71">
        <f>CW543</f>
        <v>0</v>
      </c>
      <c r="AB543" s="71"/>
      <c r="AC543" s="71">
        <v>0</v>
      </c>
      <c r="AD543" s="71">
        <f>W543+X543+Y543+Z543+AA543+AB543+AC543</f>
        <v>0</v>
      </c>
      <c r="AE543" s="72">
        <v>0</v>
      </c>
      <c r="AF543" s="5"/>
      <c r="AG543" s="6"/>
      <c r="AH543" s="27" t="s">
        <v>3392</v>
      </c>
      <c r="AI543" s="44" t="s">
        <v>3393</v>
      </c>
      <c r="AJ543" s="26"/>
      <c r="AK543" s="5"/>
      <c r="AL543" s="82" t="s">
        <v>3665</v>
      </c>
      <c r="AM543" s="76"/>
      <c r="AN543" s="76"/>
      <c r="AO543" s="76"/>
      <c r="AP543" s="76"/>
      <c r="AQ543" s="76"/>
      <c r="AR543" s="76"/>
      <c r="AS543" s="76"/>
      <c r="AT543" s="76"/>
      <c r="AU543" s="76"/>
      <c r="AV543" s="76"/>
      <c r="AW543" s="76"/>
      <c r="AX543" s="76">
        <f>+AW543*600000</f>
        <v>0</v>
      </c>
      <c r="AY543" s="76"/>
      <c r="AZ543" s="76">
        <f>+AY543*70000</f>
        <v>0</v>
      </c>
      <c r="BA543" s="76"/>
      <c r="BB543" s="76"/>
      <c r="BC543" s="76"/>
      <c r="BD543" s="76">
        <f>+BC543*30000</f>
        <v>0</v>
      </c>
      <c r="BE543" s="76"/>
      <c r="BF543" s="76"/>
      <c r="BG543" s="76"/>
      <c r="BH543" s="76"/>
      <c r="BI543" s="76"/>
      <c r="BJ543" s="76"/>
      <c r="BK543" s="76"/>
      <c r="BL543" s="76">
        <f>+BK543*31500</f>
        <v>0</v>
      </c>
      <c r="BM543" s="76"/>
      <c r="BN543" s="76"/>
      <c r="BO543" s="76"/>
      <c r="BP543" s="76"/>
      <c r="BQ543" s="76"/>
      <c r="BR543" s="76"/>
      <c r="BS543" s="76"/>
      <c r="BT543" s="76"/>
      <c r="BU543" s="76"/>
      <c r="BV543" s="76"/>
      <c r="BW543" s="76"/>
      <c r="BX543" s="76"/>
      <c r="BY543" s="76"/>
      <c r="BZ543" s="76"/>
      <c r="CA543" s="76"/>
      <c r="CB543" s="76"/>
      <c r="CC543" s="76"/>
      <c r="CD543" s="76"/>
      <c r="CE543" s="76"/>
      <c r="CF543" s="76">
        <f>+CE543*28000</f>
        <v>0</v>
      </c>
      <c r="CG543" s="76"/>
      <c r="CH543" s="76">
        <f>+CG543*22500</f>
        <v>0</v>
      </c>
      <c r="CI543" s="76"/>
      <c r="CJ543" s="76">
        <f>+CI543*26000</f>
        <v>0</v>
      </c>
      <c r="CK543" s="76"/>
      <c r="CL543" s="76"/>
      <c r="CM543" s="76"/>
      <c r="CN543" s="76">
        <f>+CM543*22000</f>
        <v>0</v>
      </c>
      <c r="CO543" s="76"/>
      <c r="CP543" s="76">
        <f>+CO543*46000</f>
        <v>0</v>
      </c>
      <c r="CQ543" s="76"/>
      <c r="CR543" s="76">
        <f>+CQ543*49000</f>
        <v>0</v>
      </c>
      <c r="CS543" s="76"/>
      <c r="CT543" s="76"/>
      <c r="CU543" s="56">
        <f>AN543+AP543+AR543+AT543+AV543+AX543+AZ543+BB543+BD543+BF543+BH543+BJ543+BL543+BN543+BP543+BR543+BT543+BV543+BX543+BZ543+CB543+CD543+CF543+CH543+CJ543+CL543+CN543+CP543+CR543+CT543</f>
        <v>0</v>
      </c>
      <c r="CV543" s="76"/>
      <c r="CW543" s="76">
        <f>+CV543*1100</f>
        <v>0</v>
      </c>
      <c r="CX543" s="76"/>
      <c r="CY543" s="76">
        <f>+CX543*106250</f>
        <v>0</v>
      </c>
      <c r="CZ543" s="76"/>
      <c r="DA543" s="76">
        <f>+CZ543*34500</f>
        <v>0</v>
      </c>
      <c r="DB543" s="76"/>
      <c r="DC543" s="76">
        <f>+DB543*25000</f>
        <v>0</v>
      </c>
      <c r="DD543" s="219"/>
      <c r="DE543" s="219"/>
      <c r="DF543" s="166"/>
      <c r="DG543" s="116"/>
      <c r="DH543" s="117"/>
      <c r="DI543" s="24"/>
      <c r="DJ543" s="24"/>
      <c r="DK543" s="24"/>
      <c r="DL543" s="24"/>
      <c r="DM543" s="24"/>
      <c r="DN543" s="24"/>
      <c r="DO543" s="24"/>
      <c r="DP543" s="24"/>
      <c r="DQ543" s="24"/>
      <c r="DR543" s="24"/>
      <c r="DS543" s="24"/>
      <c r="DT543" s="24"/>
      <c r="DU543" s="24"/>
    </row>
    <row r="544" spans="1:125" s="8" customFormat="1" ht="48" x14ac:dyDescent="0.2">
      <c r="A544" s="77">
        <v>41309</v>
      </c>
      <c r="B544" s="78" t="s">
        <v>2778</v>
      </c>
      <c r="C544" s="75" t="s">
        <v>1343</v>
      </c>
      <c r="D544" s="81" t="s">
        <v>2846</v>
      </c>
      <c r="E544" s="75" t="str">
        <f>VLOOKUP(B544&amp;C544,Divipola!$C$2:$F$1138,4,FALSE)</f>
        <v>85139</v>
      </c>
      <c r="F544" s="87"/>
      <c r="G544" s="87"/>
      <c r="H544" s="87"/>
      <c r="I544" s="87"/>
      <c r="J544" s="87"/>
      <c r="K544" s="87"/>
      <c r="L544" s="87"/>
      <c r="M544" s="87"/>
      <c r="N544" s="87"/>
      <c r="O544" s="87"/>
      <c r="P544" s="87"/>
      <c r="Q544" s="87"/>
      <c r="R544" s="87"/>
      <c r="S544" s="87"/>
      <c r="T544" s="87"/>
      <c r="U544" s="88">
        <v>11</v>
      </c>
      <c r="V544" s="89"/>
      <c r="W544" s="96">
        <v>0</v>
      </c>
      <c r="X544" s="71">
        <f>CU544</f>
        <v>0</v>
      </c>
      <c r="Y544" s="71">
        <f>CY544</f>
        <v>0</v>
      </c>
      <c r="Z544" s="71">
        <f>DA544+DC544+DE544</f>
        <v>0</v>
      </c>
      <c r="AA544" s="71">
        <f>CW544</f>
        <v>0</v>
      </c>
      <c r="AB544" s="71"/>
      <c r="AC544" s="71">
        <v>0</v>
      </c>
      <c r="AD544" s="71">
        <f>W544+X544+Y544+Z544+AA544+AB544+AC544</f>
        <v>0</v>
      </c>
      <c r="AE544" s="72">
        <v>0</v>
      </c>
      <c r="AF544" s="5"/>
      <c r="AG544" s="6"/>
      <c r="AH544" s="27" t="s">
        <v>3392</v>
      </c>
      <c r="AI544" s="44" t="s">
        <v>3393</v>
      </c>
      <c r="AJ544" s="26"/>
      <c r="AK544" s="5"/>
      <c r="AL544" s="82" t="s">
        <v>3675</v>
      </c>
      <c r="AM544" s="76"/>
      <c r="AN544" s="76"/>
      <c r="AO544" s="76"/>
      <c r="AP544" s="76"/>
      <c r="AQ544" s="76"/>
      <c r="AR544" s="76"/>
      <c r="AS544" s="76"/>
      <c r="AT544" s="76"/>
      <c r="AU544" s="76"/>
      <c r="AV544" s="76"/>
      <c r="AW544" s="76"/>
      <c r="AX544" s="76">
        <f>+AW544*600000</f>
        <v>0</v>
      </c>
      <c r="AY544" s="76"/>
      <c r="AZ544" s="76">
        <f>+AY544*70000</f>
        <v>0</v>
      </c>
      <c r="BA544" s="76"/>
      <c r="BB544" s="76"/>
      <c r="BC544" s="76"/>
      <c r="BD544" s="76">
        <f>+BC544*30000</f>
        <v>0</v>
      </c>
      <c r="BE544" s="76"/>
      <c r="BF544" s="76"/>
      <c r="BG544" s="76"/>
      <c r="BH544" s="76"/>
      <c r="BI544" s="76"/>
      <c r="BJ544" s="76"/>
      <c r="BK544" s="76"/>
      <c r="BL544" s="76">
        <f>+BK544*31500</f>
        <v>0</v>
      </c>
      <c r="BM544" s="76"/>
      <c r="BN544" s="76"/>
      <c r="BO544" s="76"/>
      <c r="BP544" s="76"/>
      <c r="BQ544" s="76"/>
      <c r="BR544" s="76"/>
      <c r="BS544" s="76"/>
      <c r="BT544" s="76"/>
      <c r="BU544" s="76"/>
      <c r="BV544" s="76"/>
      <c r="BW544" s="76"/>
      <c r="BX544" s="76"/>
      <c r="BY544" s="76"/>
      <c r="BZ544" s="76"/>
      <c r="CA544" s="76"/>
      <c r="CB544" s="76"/>
      <c r="CC544" s="76"/>
      <c r="CD544" s="76"/>
      <c r="CE544" s="76"/>
      <c r="CF544" s="76">
        <f>+CE544*28000</f>
        <v>0</v>
      </c>
      <c r="CG544" s="76"/>
      <c r="CH544" s="76">
        <f>+CG544*22500</f>
        <v>0</v>
      </c>
      <c r="CI544" s="76"/>
      <c r="CJ544" s="76">
        <f>+CI544*26000</f>
        <v>0</v>
      </c>
      <c r="CK544" s="76"/>
      <c r="CL544" s="76"/>
      <c r="CM544" s="76"/>
      <c r="CN544" s="76">
        <f>+CM544*22000</f>
        <v>0</v>
      </c>
      <c r="CO544" s="76"/>
      <c r="CP544" s="76">
        <f>+CO544*46000</f>
        <v>0</v>
      </c>
      <c r="CQ544" s="76"/>
      <c r="CR544" s="76">
        <f>+CQ544*49000</f>
        <v>0</v>
      </c>
      <c r="CS544" s="76"/>
      <c r="CT544" s="76"/>
      <c r="CU544" s="56">
        <f>AN544+AP544+AR544+AT544+AV544+AX544+AZ544+BB544+BD544+BF544+BH544+BJ544+BL544+BN544+BP544+BR544+BT544+BV544+BX544+BZ544+CB544+CD544+CF544+CH544+CJ544+CL544+CN544+CP544+CR544+CT544</f>
        <v>0</v>
      </c>
      <c r="CV544" s="76"/>
      <c r="CW544" s="76">
        <f>+CV544*1100</f>
        <v>0</v>
      </c>
      <c r="CX544" s="76"/>
      <c r="CY544" s="76">
        <f>+CX544*106250</f>
        <v>0</v>
      </c>
      <c r="CZ544" s="76"/>
      <c r="DA544" s="76">
        <f>+CZ544*34500</f>
        <v>0</v>
      </c>
      <c r="DB544" s="76"/>
      <c r="DC544" s="76">
        <f>+DB544*25000</f>
        <v>0</v>
      </c>
      <c r="DD544" s="219"/>
      <c r="DE544" s="219"/>
      <c r="DF544" s="166"/>
      <c r="DG544" s="116"/>
      <c r="DH544" s="117"/>
      <c r="DI544" s="24"/>
      <c r="DJ544" s="24"/>
      <c r="DK544" s="24"/>
      <c r="DL544" s="24"/>
      <c r="DM544" s="24"/>
      <c r="DN544" s="24"/>
      <c r="DO544" s="24"/>
      <c r="DP544" s="24"/>
      <c r="DQ544" s="24"/>
      <c r="DR544" s="24"/>
      <c r="DS544" s="24"/>
      <c r="DT544" s="24"/>
      <c r="DU544" s="24"/>
    </row>
    <row r="545" spans="1:125" s="8" customFormat="1" ht="48" x14ac:dyDescent="0.2">
      <c r="A545" s="77">
        <v>41309</v>
      </c>
      <c r="B545" s="352" t="s">
        <v>2778</v>
      </c>
      <c r="C545" s="227" t="s">
        <v>2001</v>
      </c>
      <c r="D545" s="81" t="s">
        <v>2846</v>
      </c>
      <c r="E545" s="75" t="str">
        <f>VLOOKUP(B545&amp;C545,Divipola!$C$2:$F$1138,4,FALSE)</f>
        <v>85162</v>
      </c>
      <c r="F545" s="100"/>
      <c r="G545" s="100"/>
      <c r="H545" s="100"/>
      <c r="I545" s="100"/>
      <c r="J545" s="100"/>
      <c r="K545" s="100"/>
      <c r="L545" s="100"/>
      <c r="M545" s="100"/>
      <c r="N545" s="100"/>
      <c r="O545" s="100"/>
      <c r="P545" s="100"/>
      <c r="Q545" s="100"/>
      <c r="R545" s="100"/>
      <c r="S545" s="100"/>
      <c r="T545" s="100"/>
      <c r="U545" s="136"/>
      <c r="V545" s="89"/>
      <c r="W545" s="96">
        <v>0</v>
      </c>
      <c r="X545" s="71">
        <f>CU545</f>
        <v>0</v>
      </c>
      <c r="Y545" s="71">
        <f>CY545</f>
        <v>0</v>
      </c>
      <c r="Z545" s="71">
        <f>DA545+DC545+DE545</f>
        <v>0</v>
      </c>
      <c r="AA545" s="71">
        <f>CW545</f>
        <v>0</v>
      </c>
      <c r="AB545" s="71"/>
      <c r="AC545" s="71">
        <v>0</v>
      </c>
      <c r="AD545" s="71">
        <f>W545+X545+Y545+Z545+AA545+AB545+AC545</f>
        <v>0</v>
      </c>
      <c r="AE545" s="72">
        <v>0</v>
      </c>
      <c r="AF545" s="5"/>
      <c r="AG545" s="6"/>
      <c r="AH545" s="27" t="s">
        <v>3392</v>
      </c>
      <c r="AI545" s="44" t="s">
        <v>3393</v>
      </c>
      <c r="AJ545" s="26"/>
      <c r="AK545" s="5"/>
      <c r="AL545" s="82" t="s">
        <v>3403</v>
      </c>
      <c r="AM545" s="76"/>
      <c r="AN545" s="76"/>
      <c r="AO545" s="76"/>
      <c r="AP545" s="76"/>
      <c r="AQ545" s="76"/>
      <c r="AR545" s="76"/>
      <c r="AS545" s="76"/>
      <c r="AT545" s="76"/>
      <c r="AU545" s="76"/>
      <c r="AV545" s="76"/>
      <c r="AW545" s="76"/>
      <c r="AX545" s="76">
        <f>+AW545*600000</f>
        <v>0</v>
      </c>
      <c r="AY545" s="76"/>
      <c r="AZ545" s="76">
        <f>+AY545*70000</f>
        <v>0</v>
      </c>
      <c r="BA545" s="76"/>
      <c r="BB545" s="76"/>
      <c r="BC545" s="76"/>
      <c r="BD545" s="76">
        <f>+BC545*30000</f>
        <v>0</v>
      </c>
      <c r="BE545" s="76"/>
      <c r="BF545" s="76"/>
      <c r="BG545" s="76"/>
      <c r="BH545" s="76"/>
      <c r="BI545" s="76"/>
      <c r="BJ545" s="76"/>
      <c r="BK545" s="76"/>
      <c r="BL545" s="76">
        <f>+BK545*31500</f>
        <v>0</v>
      </c>
      <c r="BM545" s="76"/>
      <c r="BN545" s="76"/>
      <c r="BO545" s="76"/>
      <c r="BP545" s="76"/>
      <c r="BQ545" s="76"/>
      <c r="BR545" s="76"/>
      <c r="BS545" s="76"/>
      <c r="BT545" s="76"/>
      <c r="BU545" s="76"/>
      <c r="BV545" s="76"/>
      <c r="BW545" s="76"/>
      <c r="BX545" s="76"/>
      <c r="BY545" s="76"/>
      <c r="BZ545" s="76"/>
      <c r="CA545" s="76"/>
      <c r="CB545" s="76"/>
      <c r="CC545" s="76"/>
      <c r="CD545" s="76"/>
      <c r="CE545" s="76"/>
      <c r="CF545" s="76">
        <f>+CE545*28000</f>
        <v>0</v>
      </c>
      <c r="CG545" s="76"/>
      <c r="CH545" s="76">
        <f>+CG545*22500</f>
        <v>0</v>
      </c>
      <c r="CI545" s="76"/>
      <c r="CJ545" s="76">
        <f>+CI545*26000</f>
        <v>0</v>
      </c>
      <c r="CK545" s="76"/>
      <c r="CL545" s="76"/>
      <c r="CM545" s="76"/>
      <c r="CN545" s="76">
        <f>+CM545*22000</f>
        <v>0</v>
      </c>
      <c r="CO545" s="76"/>
      <c r="CP545" s="76">
        <f>+CO545*46000</f>
        <v>0</v>
      </c>
      <c r="CQ545" s="76"/>
      <c r="CR545" s="76">
        <f>+CQ545*49000</f>
        <v>0</v>
      </c>
      <c r="CS545" s="76"/>
      <c r="CT545" s="76"/>
      <c r="CU545" s="56">
        <f>AN545+AP545+AR545+AT545+AV545+AX545+AZ545+BB545+BD545+BF545+BH545+BJ545+BL545+BN545+BP545+BR545+BT545+BV545+BX545+BZ545+CB545+CD545+CF545+CH545+CJ545+CL545+CN545+CP545+CR545+CT545</f>
        <v>0</v>
      </c>
      <c r="CV545" s="76"/>
      <c r="CW545" s="76">
        <f>+CV545*1100</f>
        <v>0</v>
      </c>
      <c r="CX545" s="76"/>
      <c r="CY545" s="76">
        <f>+CX545*106250</f>
        <v>0</v>
      </c>
      <c r="CZ545" s="76"/>
      <c r="DA545" s="76">
        <f>+CZ545*34500</f>
        <v>0</v>
      </c>
      <c r="DB545" s="76"/>
      <c r="DC545" s="76">
        <f>+DB545*25000</f>
        <v>0</v>
      </c>
      <c r="DD545" s="219"/>
      <c r="DE545" s="219"/>
      <c r="DF545" s="166"/>
      <c r="DG545" s="116"/>
      <c r="DH545" s="117"/>
      <c r="DI545" s="24"/>
      <c r="DJ545" s="24"/>
      <c r="DK545" s="24"/>
      <c r="DL545" s="24"/>
      <c r="DM545" s="24"/>
      <c r="DN545" s="24"/>
      <c r="DO545" s="24"/>
      <c r="DP545" s="24"/>
      <c r="DQ545" s="24"/>
      <c r="DR545" s="24"/>
      <c r="DS545" s="24"/>
      <c r="DT545" s="24"/>
      <c r="DU545" s="24"/>
    </row>
    <row r="546" spans="1:125" s="8" customFormat="1" ht="48" x14ac:dyDescent="0.2">
      <c r="A546" s="77">
        <v>41309</v>
      </c>
      <c r="B546" s="78" t="s">
        <v>2778</v>
      </c>
      <c r="C546" s="75" t="s">
        <v>2779</v>
      </c>
      <c r="D546" s="81" t="s">
        <v>2846</v>
      </c>
      <c r="E546" s="75" t="str">
        <f>VLOOKUP(B546&amp;C546,Divipola!$C$2:$F$1138,4,FALSE)</f>
        <v>85230</v>
      </c>
      <c r="F546" s="87"/>
      <c r="G546" s="87"/>
      <c r="H546" s="87"/>
      <c r="I546" s="87"/>
      <c r="J546" s="87"/>
      <c r="K546" s="87"/>
      <c r="L546" s="87"/>
      <c r="M546" s="87"/>
      <c r="N546" s="87"/>
      <c r="O546" s="87"/>
      <c r="P546" s="87"/>
      <c r="Q546" s="87"/>
      <c r="R546" s="87"/>
      <c r="S546" s="87"/>
      <c r="T546" s="87"/>
      <c r="U546" s="88">
        <v>4</v>
      </c>
      <c r="V546" s="89"/>
      <c r="W546" s="96">
        <v>0</v>
      </c>
      <c r="X546" s="71">
        <f>CU546</f>
        <v>0</v>
      </c>
      <c r="Y546" s="71">
        <f>CY546</f>
        <v>0</v>
      </c>
      <c r="Z546" s="71">
        <f>DA546+DC546+DE546</f>
        <v>0</v>
      </c>
      <c r="AA546" s="71">
        <f>CW546</f>
        <v>0</v>
      </c>
      <c r="AB546" s="71"/>
      <c r="AC546" s="71">
        <v>0</v>
      </c>
      <c r="AD546" s="71">
        <f>W546+X546+Y546+Z546+AA546+AB546+AC546</f>
        <v>0</v>
      </c>
      <c r="AE546" s="72">
        <v>0</v>
      </c>
      <c r="AF546" s="5"/>
      <c r="AG546" s="6"/>
      <c r="AH546" s="27" t="s">
        <v>3392</v>
      </c>
      <c r="AI546" s="44" t="s">
        <v>3393</v>
      </c>
      <c r="AJ546" s="26"/>
      <c r="AK546" s="5"/>
      <c r="AL546" s="82" t="s">
        <v>3754</v>
      </c>
      <c r="AM546" s="76"/>
      <c r="AN546" s="76"/>
      <c r="AO546" s="76"/>
      <c r="AP546" s="76"/>
      <c r="AQ546" s="76"/>
      <c r="AR546" s="76"/>
      <c r="AS546" s="76"/>
      <c r="AT546" s="76"/>
      <c r="AU546" s="76"/>
      <c r="AV546" s="76"/>
      <c r="AW546" s="76"/>
      <c r="AX546" s="76">
        <f>+AW546*600000</f>
        <v>0</v>
      </c>
      <c r="AY546" s="76"/>
      <c r="AZ546" s="76">
        <f>+AY546*70000</f>
        <v>0</v>
      </c>
      <c r="BA546" s="76"/>
      <c r="BB546" s="76"/>
      <c r="BC546" s="76"/>
      <c r="BD546" s="76">
        <f>+BC546*30000</f>
        <v>0</v>
      </c>
      <c r="BE546" s="76"/>
      <c r="BF546" s="76"/>
      <c r="BG546" s="76"/>
      <c r="BH546" s="76"/>
      <c r="BI546" s="76"/>
      <c r="BJ546" s="76"/>
      <c r="BK546" s="76"/>
      <c r="BL546" s="76">
        <f>+BK546*31500</f>
        <v>0</v>
      </c>
      <c r="BM546" s="76"/>
      <c r="BN546" s="76"/>
      <c r="BO546" s="76"/>
      <c r="BP546" s="76"/>
      <c r="BQ546" s="76"/>
      <c r="BR546" s="76"/>
      <c r="BS546" s="76"/>
      <c r="BT546" s="76"/>
      <c r="BU546" s="76"/>
      <c r="BV546" s="76"/>
      <c r="BW546" s="76"/>
      <c r="BX546" s="76"/>
      <c r="BY546" s="76"/>
      <c r="BZ546" s="76"/>
      <c r="CA546" s="76"/>
      <c r="CB546" s="76"/>
      <c r="CC546" s="76"/>
      <c r="CD546" s="76"/>
      <c r="CE546" s="76"/>
      <c r="CF546" s="76">
        <f>+CE546*28000</f>
        <v>0</v>
      </c>
      <c r="CG546" s="76"/>
      <c r="CH546" s="76">
        <f>+CG546*22500</f>
        <v>0</v>
      </c>
      <c r="CI546" s="76"/>
      <c r="CJ546" s="76">
        <f>+CI546*26000</f>
        <v>0</v>
      </c>
      <c r="CK546" s="76"/>
      <c r="CL546" s="76"/>
      <c r="CM546" s="76"/>
      <c r="CN546" s="76">
        <f>+CM546*22000</f>
        <v>0</v>
      </c>
      <c r="CO546" s="76"/>
      <c r="CP546" s="76">
        <f>+CO546*46000</f>
        <v>0</v>
      </c>
      <c r="CQ546" s="76"/>
      <c r="CR546" s="76">
        <f>+CQ546*49000</f>
        <v>0</v>
      </c>
      <c r="CS546" s="76"/>
      <c r="CT546" s="76"/>
      <c r="CU546" s="56">
        <f>AN546+AP546+AR546+AT546+AV546+AX546+AZ546+BB546+BD546+BF546+BH546+BJ546+BL546+BN546+BP546+BR546+BT546+BV546+BX546+BZ546+CB546+CD546+CF546+CH546+CJ546+CL546+CN546+CP546+CR546+CT546</f>
        <v>0</v>
      </c>
      <c r="CV546" s="76"/>
      <c r="CW546" s="76">
        <f>+CV546*1100</f>
        <v>0</v>
      </c>
      <c r="CX546" s="76"/>
      <c r="CY546" s="76">
        <f>+CX546*106250</f>
        <v>0</v>
      </c>
      <c r="CZ546" s="76"/>
      <c r="DA546" s="76">
        <f>+CZ546*34500</f>
        <v>0</v>
      </c>
      <c r="DB546" s="76"/>
      <c r="DC546" s="76">
        <f>+DB546*25000</f>
        <v>0</v>
      </c>
      <c r="DD546" s="219"/>
      <c r="DE546" s="219"/>
      <c r="DF546" s="166"/>
      <c r="DG546" s="116"/>
      <c r="DH546" s="117"/>
      <c r="DI546" s="175"/>
      <c r="DJ546" s="175"/>
      <c r="DK546" s="175"/>
      <c r="DL546" s="175"/>
      <c r="DM546" s="175"/>
      <c r="DN546" s="175"/>
      <c r="DO546" s="175"/>
      <c r="DP546" s="175"/>
      <c r="DQ546" s="175"/>
      <c r="DR546" s="175"/>
      <c r="DS546" s="175"/>
      <c r="DT546" s="175"/>
      <c r="DU546" s="175"/>
    </row>
    <row r="547" spans="1:125" s="8" customFormat="1" ht="36" x14ac:dyDescent="0.2">
      <c r="A547" s="77">
        <v>41309</v>
      </c>
      <c r="B547" s="78" t="s">
        <v>2778</v>
      </c>
      <c r="C547" s="75" t="s">
        <v>1344</v>
      </c>
      <c r="D547" s="81" t="s">
        <v>2846</v>
      </c>
      <c r="E547" s="75" t="str">
        <f>VLOOKUP(B547&amp;C547,Divipola!$C$2:$F$1138,4,FALSE)</f>
        <v>85001</v>
      </c>
      <c r="F547" s="87"/>
      <c r="G547" s="87"/>
      <c r="H547" s="87"/>
      <c r="I547" s="87"/>
      <c r="J547" s="87"/>
      <c r="K547" s="87"/>
      <c r="L547" s="87"/>
      <c r="M547" s="87"/>
      <c r="N547" s="87"/>
      <c r="O547" s="87"/>
      <c r="P547" s="87"/>
      <c r="Q547" s="87"/>
      <c r="R547" s="87"/>
      <c r="S547" s="87"/>
      <c r="T547" s="87"/>
      <c r="U547" s="88">
        <v>1</v>
      </c>
      <c r="V547" s="89"/>
      <c r="W547" s="96">
        <v>0</v>
      </c>
      <c r="X547" s="71">
        <f>CU547</f>
        <v>0</v>
      </c>
      <c r="Y547" s="71">
        <f>CY547</f>
        <v>0</v>
      </c>
      <c r="Z547" s="71">
        <f>DA547+DC547+DE547</f>
        <v>0</v>
      </c>
      <c r="AA547" s="71">
        <f>CW547</f>
        <v>0</v>
      </c>
      <c r="AB547" s="71"/>
      <c r="AC547" s="71">
        <v>0</v>
      </c>
      <c r="AD547" s="71">
        <f>W547+X547+Y547+Z547+AA547+AB547+AC547</f>
        <v>0</v>
      </c>
      <c r="AE547" s="72">
        <v>0</v>
      </c>
      <c r="AF547" s="5"/>
      <c r="AG547" s="6"/>
      <c r="AH547" s="27" t="s">
        <v>3392</v>
      </c>
      <c r="AI547" s="44" t="s">
        <v>3393</v>
      </c>
      <c r="AJ547" s="26"/>
      <c r="AK547" s="5"/>
      <c r="AL547" s="82" t="s">
        <v>3770</v>
      </c>
      <c r="AM547" s="76"/>
      <c r="AN547" s="76"/>
      <c r="AO547" s="76"/>
      <c r="AP547" s="76"/>
      <c r="AQ547" s="76"/>
      <c r="AR547" s="76"/>
      <c r="AS547" s="76"/>
      <c r="AT547" s="76"/>
      <c r="AU547" s="76"/>
      <c r="AV547" s="76"/>
      <c r="AW547" s="76"/>
      <c r="AX547" s="76">
        <f>+AW547*600000</f>
        <v>0</v>
      </c>
      <c r="AY547" s="76"/>
      <c r="AZ547" s="76">
        <f>+AY547*70000</f>
        <v>0</v>
      </c>
      <c r="BA547" s="76"/>
      <c r="BB547" s="76"/>
      <c r="BC547" s="76"/>
      <c r="BD547" s="76">
        <f>+BC547*30000</f>
        <v>0</v>
      </c>
      <c r="BE547" s="76"/>
      <c r="BF547" s="76"/>
      <c r="BG547" s="76"/>
      <c r="BH547" s="76"/>
      <c r="BI547" s="76"/>
      <c r="BJ547" s="76"/>
      <c r="BK547" s="76"/>
      <c r="BL547" s="76">
        <f>+BK547*31500</f>
        <v>0</v>
      </c>
      <c r="BM547" s="76"/>
      <c r="BN547" s="76"/>
      <c r="BO547" s="76"/>
      <c r="BP547" s="76"/>
      <c r="BQ547" s="76"/>
      <c r="BR547" s="76"/>
      <c r="BS547" s="76"/>
      <c r="BT547" s="76"/>
      <c r="BU547" s="76"/>
      <c r="BV547" s="76"/>
      <c r="BW547" s="76"/>
      <c r="BX547" s="76"/>
      <c r="BY547" s="76"/>
      <c r="BZ547" s="76"/>
      <c r="CA547" s="76"/>
      <c r="CB547" s="76"/>
      <c r="CC547" s="76"/>
      <c r="CD547" s="76"/>
      <c r="CE547" s="76"/>
      <c r="CF547" s="76">
        <f>+CE547*28000</f>
        <v>0</v>
      </c>
      <c r="CG547" s="76"/>
      <c r="CH547" s="76">
        <f>+CG547*22500</f>
        <v>0</v>
      </c>
      <c r="CI547" s="76"/>
      <c r="CJ547" s="76">
        <f>+CI547*26000</f>
        <v>0</v>
      </c>
      <c r="CK547" s="76"/>
      <c r="CL547" s="76"/>
      <c r="CM547" s="76"/>
      <c r="CN547" s="76">
        <f>+CM547*22000</f>
        <v>0</v>
      </c>
      <c r="CO547" s="76"/>
      <c r="CP547" s="76">
        <f>+CO547*46000</f>
        <v>0</v>
      </c>
      <c r="CQ547" s="76"/>
      <c r="CR547" s="76">
        <f>+CQ547*49000</f>
        <v>0</v>
      </c>
      <c r="CS547" s="76"/>
      <c r="CT547" s="76"/>
      <c r="CU547" s="56">
        <f>AN547+AP547+AR547+AT547+AV547+AX547+AZ547+BB547+BD547+BF547+BH547+BJ547+BL547+BN547+BP547+BR547+BT547+BV547+BX547+BZ547+CB547+CD547+CF547+CH547+CJ547+CL547+CN547+CP547+CR547+CT547</f>
        <v>0</v>
      </c>
      <c r="CV547" s="76"/>
      <c r="CW547" s="76">
        <f>+CV547*1100</f>
        <v>0</v>
      </c>
      <c r="CX547" s="76"/>
      <c r="CY547" s="76">
        <f>+CX547*106250</f>
        <v>0</v>
      </c>
      <c r="CZ547" s="76"/>
      <c r="DA547" s="76">
        <f>+CZ547*34500</f>
        <v>0</v>
      </c>
      <c r="DB547" s="76"/>
      <c r="DC547" s="76">
        <f>+DB547*25000</f>
        <v>0</v>
      </c>
      <c r="DD547" s="219"/>
      <c r="DE547" s="219"/>
      <c r="DF547" s="166"/>
      <c r="DG547" s="116"/>
      <c r="DH547" s="117"/>
      <c r="DI547" s="24"/>
      <c r="DJ547" s="24"/>
      <c r="DK547" s="24"/>
      <c r="DL547" s="24"/>
      <c r="DM547" s="24"/>
      <c r="DN547" s="24"/>
      <c r="DO547" s="24"/>
      <c r="DP547" s="24"/>
      <c r="DQ547" s="24"/>
      <c r="DR547" s="24"/>
      <c r="DS547" s="24"/>
      <c r="DT547" s="24"/>
      <c r="DU547" s="24"/>
    </row>
    <row r="548" spans="1:125" s="8" customFormat="1" ht="48" x14ac:dyDescent="0.2">
      <c r="A548" s="77">
        <v>41309</v>
      </c>
      <c r="B548" s="78" t="s">
        <v>2778</v>
      </c>
      <c r="C548" s="75" t="s">
        <v>1344</v>
      </c>
      <c r="D548" s="81" t="s">
        <v>2846</v>
      </c>
      <c r="E548" s="75" t="str">
        <f>VLOOKUP(B548&amp;C548,Divipola!$C$2:$F$1138,4,FALSE)</f>
        <v>85001</v>
      </c>
      <c r="F548" s="87"/>
      <c r="G548" s="87"/>
      <c r="H548" s="87"/>
      <c r="I548" s="87"/>
      <c r="J548" s="87"/>
      <c r="K548" s="87"/>
      <c r="L548" s="87"/>
      <c r="M548" s="87"/>
      <c r="N548" s="87"/>
      <c r="O548" s="87"/>
      <c r="P548" s="87"/>
      <c r="Q548" s="87"/>
      <c r="R548" s="87"/>
      <c r="S548" s="87"/>
      <c r="T548" s="87"/>
      <c r="U548" s="88">
        <v>10</v>
      </c>
      <c r="V548" s="89"/>
      <c r="W548" s="96">
        <v>0</v>
      </c>
      <c r="X548" s="71">
        <f>CU548</f>
        <v>0</v>
      </c>
      <c r="Y548" s="71">
        <f>CY548</f>
        <v>0</v>
      </c>
      <c r="Z548" s="71">
        <f>DA548+DC548+DE548</f>
        <v>0</v>
      </c>
      <c r="AA548" s="71">
        <f>CW548</f>
        <v>0</v>
      </c>
      <c r="AB548" s="71"/>
      <c r="AC548" s="71">
        <v>0</v>
      </c>
      <c r="AD548" s="71">
        <f>W548+X548+Y548+Z548+AA548+AB548+AC548</f>
        <v>0</v>
      </c>
      <c r="AE548" s="72">
        <v>0</v>
      </c>
      <c r="AF548" s="5"/>
      <c r="AG548" s="6"/>
      <c r="AH548" s="27" t="s">
        <v>3392</v>
      </c>
      <c r="AI548" s="44" t="s">
        <v>3393</v>
      </c>
      <c r="AJ548" s="26"/>
      <c r="AK548" s="5"/>
      <c r="AL548" s="82" t="s">
        <v>3771</v>
      </c>
      <c r="AM548" s="76"/>
      <c r="AN548" s="76"/>
      <c r="AO548" s="76"/>
      <c r="AP548" s="76"/>
      <c r="AQ548" s="76"/>
      <c r="AR548" s="76"/>
      <c r="AS548" s="76"/>
      <c r="AT548" s="76"/>
      <c r="AU548" s="76"/>
      <c r="AV548" s="76"/>
      <c r="AW548" s="76"/>
      <c r="AX548" s="76">
        <f>+AW548*600000</f>
        <v>0</v>
      </c>
      <c r="AY548" s="76"/>
      <c r="AZ548" s="76">
        <f>+AY548*70000</f>
        <v>0</v>
      </c>
      <c r="BA548" s="76"/>
      <c r="BB548" s="76"/>
      <c r="BC548" s="76"/>
      <c r="BD548" s="76">
        <f>+BC548*30000</f>
        <v>0</v>
      </c>
      <c r="BE548" s="76"/>
      <c r="BF548" s="76"/>
      <c r="BG548" s="76"/>
      <c r="BH548" s="76"/>
      <c r="BI548" s="76"/>
      <c r="BJ548" s="76"/>
      <c r="BK548" s="76"/>
      <c r="BL548" s="76">
        <f>+BK548*31500</f>
        <v>0</v>
      </c>
      <c r="BM548" s="76"/>
      <c r="BN548" s="76"/>
      <c r="BO548" s="76"/>
      <c r="BP548" s="76"/>
      <c r="BQ548" s="76"/>
      <c r="BR548" s="76"/>
      <c r="BS548" s="76"/>
      <c r="BT548" s="76"/>
      <c r="BU548" s="76"/>
      <c r="BV548" s="76"/>
      <c r="BW548" s="76"/>
      <c r="BX548" s="76"/>
      <c r="BY548" s="76"/>
      <c r="BZ548" s="76"/>
      <c r="CA548" s="76"/>
      <c r="CB548" s="76"/>
      <c r="CC548" s="76"/>
      <c r="CD548" s="76"/>
      <c r="CE548" s="76"/>
      <c r="CF548" s="76">
        <f>+CE548*28000</f>
        <v>0</v>
      </c>
      <c r="CG548" s="76"/>
      <c r="CH548" s="76">
        <f>+CG548*22500</f>
        <v>0</v>
      </c>
      <c r="CI548" s="76"/>
      <c r="CJ548" s="76">
        <f>+CI548*26000</f>
        <v>0</v>
      </c>
      <c r="CK548" s="76"/>
      <c r="CL548" s="76"/>
      <c r="CM548" s="76"/>
      <c r="CN548" s="76">
        <f>+CM548*22000</f>
        <v>0</v>
      </c>
      <c r="CO548" s="76"/>
      <c r="CP548" s="76">
        <f>+CO548*46000</f>
        <v>0</v>
      </c>
      <c r="CQ548" s="76"/>
      <c r="CR548" s="76">
        <f>+CQ548*49000</f>
        <v>0</v>
      </c>
      <c r="CS548" s="76"/>
      <c r="CT548" s="76"/>
      <c r="CU548" s="56">
        <f>AN548+AP548+AR548+AT548+AV548+AX548+AZ548+BB548+BD548+BF548+BH548+BJ548+BL548+BN548+BP548+BR548+BT548+BV548+BX548+BZ548+CB548+CD548+CF548+CH548+CJ548+CL548+CN548+CP548+CR548+CT548</f>
        <v>0</v>
      </c>
      <c r="CV548" s="76"/>
      <c r="CW548" s="76">
        <f>+CV548*1100</f>
        <v>0</v>
      </c>
      <c r="CX548" s="76"/>
      <c r="CY548" s="76">
        <f>+CX548*106250</f>
        <v>0</v>
      </c>
      <c r="CZ548" s="76"/>
      <c r="DA548" s="76">
        <f>+CZ548*34500</f>
        <v>0</v>
      </c>
      <c r="DB548" s="76"/>
      <c r="DC548" s="76">
        <f>+DB548*25000</f>
        <v>0</v>
      </c>
      <c r="DD548" s="219"/>
      <c r="DE548" s="219"/>
      <c r="DF548" s="166"/>
      <c r="DG548" s="116"/>
      <c r="DH548" s="117"/>
      <c r="DI548" s="24"/>
      <c r="DJ548" s="24"/>
      <c r="DK548" s="24"/>
      <c r="DL548" s="24"/>
      <c r="DM548" s="24"/>
      <c r="DN548" s="24"/>
      <c r="DO548" s="24"/>
      <c r="DP548" s="24"/>
      <c r="DQ548" s="24"/>
      <c r="DR548" s="24"/>
      <c r="DS548" s="24"/>
      <c r="DT548" s="24"/>
      <c r="DU548" s="24"/>
    </row>
    <row r="549" spans="1:125" s="8" customFormat="1" ht="120" x14ac:dyDescent="0.2">
      <c r="A549" s="77">
        <v>41309</v>
      </c>
      <c r="B549" s="225" t="s">
        <v>2906</v>
      </c>
      <c r="C549" s="227" t="s">
        <v>429</v>
      </c>
      <c r="D549" s="81" t="s">
        <v>2846</v>
      </c>
      <c r="E549" s="75" t="str">
        <f>VLOOKUP(B549&amp;C549,Divipola!$C$2:$F$1138,4,FALSE)</f>
        <v>47189</v>
      </c>
      <c r="F549" s="87"/>
      <c r="G549" s="87"/>
      <c r="H549" s="87"/>
      <c r="I549" s="87"/>
      <c r="J549" s="87"/>
      <c r="K549" s="87"/>
      <c r="L549" s="87"/>
      <c r="M549" s="87"/>
      <c r="N549" s="87"/>
      <c r="O549" s="87"/>
      <c r="P549" s="87"/>
      <c r="Q549" s="87"/>
      <c r="R549" s="87"/>
      <c r="S549" s="87"/>
      <c r="T549" s="87"/>
      <c r="U549" s="88"/>
      <c r="V549" s="89"/>
      <c r="W549" s="96">
        <v>0</v>
      </c>
      <c r="X549" s="71">
        <f>CU549</f>
        <v>0</v>
      </c>
      <c r="Y549" s="71">
        <f>CY549</f>
        <v>0</v>
      </c>
      <c r="Z549" s="71">
        <f>DA549+DC549+DE549</f>
        <v>0</v>
      </c>
      <c r="AA549" s="71">
        <f>CW549</f>
        <v>0</v>
      </c>
      <c r="AB549" s="71"/>
      <c r="AC549" s="71">
        <v>0</v>
      </c>
      <c r="AD549" s="71">
        <f>W549+X549+Y549+Z549+AA549+AB549+AC549</f>
        <v>0</v>
      </c>
      <c r="AE549" s="72">
        <v>0</v>
      </c>
      <c r="AF549" s="5"/>
      <c r="AG549" s="6"/>
      <c r="AH549" s="27" t="s">
        <v>3392</v>
      </c>
      <c r="AI549" s="44" t="s">
        <v>3393</v>
      </c>
      <c r="AJ549" s="26"/>
      <c r="AK549" s="5"/>
      <c r="AL549" s="82" t="s">
        <v>3402</v>
      </c>
      <c r="AM549" s="76"/>
      <c r="AN549" s="76"/>
      <c r="AO549" s="76"/>
      <c r="AP549" s="76"/>
      <c r="AQ549" s="76"/>
      <c r="AR549" s="76"/>
      <c r="AS549" s="76"/>
      <c r="AT549" s="76"/>
      <c r="AU549" s="76"/>
      <c r="AV549" s="76"/>
      <c r="AW549" s="76"/>
      <c r="AX549" s="76">
        <f>+AW549*600000</f>
        <v>0</v>
      </c>
      <c r="AY549" s="76"/>
      <c r="AZ549" s="76">
        <f>+AY549*70000</f>
        <v>0</v>
      </c>
      <c r="BA549" s="76"/>
      <c r="BB549" s="76"/>
      <c r="BC549" s="76"/>
      <c r="BD549" s="76">
        <f>+BC549*30000</f>
        <v>0</v>
      </c>
      <c r="BE549" s="76"/>
      <c r="BF549" s="76"/>
      <c r="BG549" s="76"/>
      <c r="BH549" s="76"/>
      <c r="BI549" s="76"/>
      <c r="BJ549" s="76"/>
      <c r="BK549" s="76"/>
      <c r="BL549" s="76">
        <f>+BK549*31500</f>
        <v>0</v>
      </c>
      <c r="BM549" s="76"/>
      <c r="BN549" s="76"/>
      <c r="BO549" s="76"/>
      <c r="BP549" s="76"/>
      <c r="BQ549" s="76"/>
      <c r="BR549" s="76"/>
      <c r="BS549" s="76"/>
      <c r="BT549" s="76"/>
      <c r="BU549" s="76"/>
      <c r="BV549" s="76"/>
      <c r="BW549" s="76"/>
      <c r="BX549" s="76"/>
      <c r="BY549" s="76"/>
      <c r="BZ549" s="76"/>
      <c r="CA549" s="76"/>
      <c r="CB549" s="76"/>
      <c r="CC549" s="76"/>
      <c r="CD549" s="76"/>
      <c r="CE549" s="76"/>
      <c r="CF549" s="76">
        <f>+CE549*28000</f>
        <v>0</v>
      </c>
      <c r="CG549" s="76"/>
      <c r="CH549" s="76">
        <f>+CG549*22500</f>
        <v>0</v>
      </c>
      <c r="CI549" s="76"/>
      <c r="CJ549" s="76">
        <f>+CI549*26000</f>
        <v>0</v>
      </c>
      <c r="CK549" s="76"/>
      <c r="CL549" s="76"/>
      <c r="CM549" s="76"/>
      <c r="CN549" s="76">
        <f>+CM549*22000</f>
        <v>0</v>
      </c>
      <c r="CO549" s="76"/>
      <c r="CP549" s="76">
        <f>+CO549*46000</f>
        <v>0</v>
      </c>
      <c r="CQ549" s="76"/>
      <c r="CR549" s="76">
        <f>+CQ549*49000</f>
        <v>0</v>
      </c>
      <c r="CS549" s="76"/>
      <c r="CT549" s="76"/>
      <c r="CU549" s="56">
        <f>AN549+AP549+AR549+AT549+AV549+AX549+AZ549+BB549+BD549+BF549+BH549+BJ549+BL549+BN549+BP549+BR549+BT549+BV549+BX549+BZ549+CB549+CD549+CF549+CH549+CJ549+CL549+CN549+CP549+CR549+CT549</f>
        <v>0</v>
      </c>
      <c r="CV549" s="76"/>
      <c r="CW549" s="76">
        <f>+CV549*1100</f>
        <v>0</v>
      </c>
      <c r="CX549" s="76"/>
      <c r="CY549" s="76">
        <f>+CX549*106250</f>
        <v>0</v>
      </c>
      <c r="CZ549" s="76"/>
      <c r="DA549" s="76">
        <f>+CZ549*34500</f>
        <v>0</v>
      </c>
      <c r="DB549" s="76"/>
      <c r="DC549" s="76">
        <f>+DB549*25000</f>
        <v>0</v>
      </c>
      <c r="DD549" s="219"/>
      <c r="DE549" s="219"/>
      <c r="DF549" s="166"/>
      <c r="DG549" s="116"/>
      <c r="DH549" s="117"/>
      <c r="DI549" s="24"/>
      <c r="DJ549" s="24"/>
      <c r="DK549" s="24"/>
      <c r="DL549" s="24"/>
      <c r="DM549" s="24"/>
      <c r="DN549" s="24"/>
      <c r="DO549" s="24"/>
      <c r="DP549" s="24"/>
      <c r="DQ549" s="24"/>
      <c r="DR549" s="24"/>
      <c r="DS549" s="24"/>
      <c r="DT549" s="24"/>
      <c r="DU549" s="24"/>
    </row>
    <row r="550" spans="1:125" s="8" customFormat="1" ht="36" x14ac:dyDescent="0.2">
      <c r="A550" s="77">
        <v>41309</v>
      </c>
      <c r="B550" s="225" t="s">
        <v>2811</v>
      </c>
      <c r="C550" s="227" t="s">
        <v>2657</v>
      </c>
      <c r="D550" s="84" t="s">
        <v>3088</v>
      </c>
      <c r="E550" s="75" t="str">
        <f>VLOOKUP(B550&amp;C550,Divipola!$C$2:$F$1138,4,FALSE)</f>
        <v>52381</v>
      </c>
      <c r="F550" s="87"/>
      <c r="G550" s="87"/>
      <c r="H550" s="87"/>
      <c r="I550" s="87"/>
      <c r="J550" s="87"/>
      <c r="K550" s="87"/>
      <c r="L550" s="87"/>
      <c r="M550" s="87"/>
      <c r="N550" s="87"/>
      <c r="O550" s="87"/>
      <c r="P550" s="87"/>
      <c r="Q550" s="87"/>
      <c r="R550" s="87"/>
      <c r="S550" s="87"/>
      <c r="T550" s="87"/>
      <c r="U550" s="127"/>
      <c r="V550" s="89"/>
      <c r="W550" s="96">
        <v>0</v>
      </c>
      <c r="X550" s="71">
        <f>CU550</f>
        <v>0</v>
      </c>
      <c r="Y550" s="71">
        <f>CY550</f>
        <v>0</v>
      </c>
      <c r="Z550" s="71">
        <f>DA550+DC550+DE550</f>
        <v>0</v>
      </c>
      <c r="AA550" s="71">
        <f>CW550</f>
        <v>0</v>
      </c>
      <c r="AB550" s="71"/>
      <c r="AC550" s="71">
        <v>30000000</v>
      </c>
      <c r="AD550" s="71">
        <f>W550+X550+Y550+Z550+AA550+AB550+AC550</f>
        <v>30000000</v>
      </c>
      <c r="AE550" s="72">
        <v>0</v>
      </c>
      <c r="AF550" s="5"/>
      <c r="AG550" s="6"/>
      <c r="AH550" s="27" t="s">
        <v>3390</v>
      </c>
      <c r="AI550" s="44" t="s">
        <v>3391</v>
      </c>
      <c r="AJ550" s="26"/>
      <c r="AK550" s="5"/>
      <c r="AL550" s="82" t="s">
        <v>3348</v>
      </c>
      <c r="AM550" s="76"/>
      <c r="AN550" s="76"/>
      <c r="AO550" s="76"/>
      <c r="AP550" s="76"/>
      <c r="AQ550" s="76"/>
      <c r="AR550" s="76"/>
      <c r="AS550" s="76"/>
      <c r="AT550" s="76"/>
      <c r="AU550" s="76"/>
      <c r="AV550" s="76"/>
      <c r="AW550" s="76"/>
      <c r="AX550" s="76">
        <f>+AW550*600000</f>
        <v>0</v>
      </c>
      <c r="AY550" s="76"/>
      <c r="AZ550" s="76">
        <f>+AY550*70000</f>
        <v>0</v>
      </c>
      <c r="BA550" s="76"/>
      <c r="BB550" s="76"/>
      <c r="BC550" s="76"/>
      <c r="BD550" s="76">
        <f>+BC550*30000</f>
        <v>0</v>
      </c>
      <c r="BE550" s="76"/>
      <c r="BF550" s="76"/>
      <c r="BG550" s="76"/>
      <c r="BH550" s="76"/>
      <c r="BI550" s="76"/>
      <c r="BJ550" s="76"/>
      <c r="BK550" s="76"/>
      <c r="BL550" s="76">
        <f>+BK550*31500</f>
        <v>0</v>
      </c>
      <c r="BM550" s="76"/>
      <c r="BN550" s="76"/>
      <c r="BO550" s="76"/>
      <c r="BP550" s="76"/>
      <c r="BQ550" s="76"/>
      <c r="BR550" s="76"/>
      <c r="BS550" s="76"/>
      <c r="BT550" s="76"/>
      <c r="BU550" s="76"/>
      <c r="BV550" s="76"/>
      <c r="BW550" s="76"/>
      <c r="BX550" s="76"/>
      <c r="BY550" s="76"/>
      <c r="BZ550" s="76"/>
      <c r="CA550" s="76"/>
      <c r="CB550" s="76"/>
      <c r="CC550" s="76"/>
      <c r="CD550" s="76"/>
      <c r="CE550" s="76"/>
      <c r="CF550" s="76">
        <f>+CE550*28000</f>
        <v>0</v>
      </c>
      <c r="CG550" s="76"/>
      <c r="CH550" s="76">
        <f>+CG550*22500</f>
        <v>0</v>
      </c>
      <c r="CI550" s="76"/>
      <c r="CJ550" s="76">
        <f>+CI550*26000</f>
        <v>0</v>
      </c>
      <c r="CK550" s="76"/>
      <c r="CL550" s="76"/>
      <c r="CM550" s="76"/>
      <c r="CN550" s="76">
        <f>+CM550*22000</f>
        <v>0</v>
      </c>
      <c r="CO550" s="76"/>
      <c r="CP550" s="76">
        <f>+CO550*46000</f>
        <v>0</v>
      </c>
      <c r="CQ550" s="76"/>
      <c r="CR550" s="76">
        <f>+CQ550*49000</f>
        <v>0</v>
      </c>
      <c r="CS550" s="76"/>
      <c r="CT550" s="76"/>
      <c r="CU550" s="56">
        <f>AN550+AP550+AR550+AT550+AV550+AX550+AZ550+BB550+BD550+BF550+BH550+BJ550+BL550+BN550+BP550+BR550+BT550+BV550+BX550+BZ550+CB550+CD550+CF550+CH550+CJ550+CL550+CN550+CP550+CR550+CT550</f>
        <v>0</v>
      </c>
      <c r="CV550" s="76"/>
      <c r="CW550" s="76">
        <f>+CV550*1100</f>
        <v>0</v>
      </c>
      <c r="CX550" s="76"/>
      <c r="CY550" s="76">
        <f>+CX550*106250</f>
        <v>0</v>
      </c>
      <c r="CZ550" s="76"/>
      <c r="DA550" s="76">
        <f>+CZ550*34500</f>
        <v>0</v>
      </c>
      <c r="DB550" s="76"/>
      <c r="DC550" s="76">
        <f>+DB550*25000</f>
        <v>0</v>
      </c>
      <c r="DD550" s="219"/>
      <c r="DE550" s="219"/>
      <c r="DF550" s="166" t="s">
        <v>3249</v>
      </c>
      <c r="DG550" s="134" t="s">
        <v>4128</v>
      </c>
      <c r="DH550" s="117"/>
      <c r="DI550" s="24"/>
      <c r="DJ550" s="24"/>
      <c r="DK550" s="24"/>
      <c r="DL550" s="24"/>
      <c r="DM550" s="24"/>
      <c r="DN550" s="24"/>
      <c r="DO550" s="24"/>
      <c r="DP550" s="24"/>
      <c r="DQ550" s="24"/>
      <c r="DR550" s="24"/>
      <c r="DS550" s="24"/>
      <c r="DT550" s="24"/>
      <c r="DU550" s="24"/>
    </row>
    <row r="551" spans="1:125" s="8" customFormat="1" ht="48" x14ac:dyDescent="0.2">
      <c r="A551" s="77">
        <v>41309</v>
      </c>
      <c r="B551" s="78" t="s">
        <v>2860</v>
      </c>
      <c r="C551" s="75" t="s">
        <v>2090</v>
      </c>
      <c r="D551" s="84" t="s">
        <v>3088</v>
      </c>
      <c r="E551" s="75" t="str">
        <f>VLOOKUP(B551&amp;C551,Divipola!$C$2:$F$1138,4,FALSE)</f>
        <v>63548</v>
      </c>
      <c r="F551" s="87"/>
      <c r="G551" s="87"/>
      <c r="H551" s="87"/>
      <c r="I551" s="87"/>
      <c r="J551" s="87"/>
      <c r="K551" s="87"/>
      <c r="L551" s="87"/>
      <c r="M551" s="87">
        <v>1</v>
      </c>
      <c r="N551" s="87"/>
      <c r="O551" s="87"/>
      <c r="P551" s="87"/>
      <c r="Q551" s="87"/>
      <c r="R551" s="87"/>
      <c r="S551" s="87"/>
      <c r="T551" s="87"/>
      <c r="U551" s="88"/>
      <c r="V551" s="89"/>
      <c r="W551" s="96">
        <v>0</v>
      </c>
      <c r="X551" s="71">
        <f>CU551</f>
        <v>0</v>
      </c>
      <c r="Y551" s="71">
        <f>CY551</f>
        <v>0</v>
      </c>
      <c r="Z551" s="71">
        <f>DA551+DC551+DE551</f>
        <v>0</v>
      </c>
      <c r="AA551" s="71">
        <f>CW551</f>
        <v>0</v>
      </c>
      <c r="AB551" s="71"/>
      <c r="AC551" s="71">
        <v>0</v>
      </c>
      <c r="AD551" s="71">
        <f>W551+X551+Y551+Z551+AA551+AB551+AC551</f>
        <v>0</v>
      </c>
      <c r="AE551" s="72">
        <v>0</v>
      </c>
      <c r="AF551" s="5"/>
      <c r="AG551" s="6"/>
      <c r="AH551" s="27" t="s">
        <v>3390</v>
      </c>
      <c r="AI551" s="44" t="s">
        <v>3391</v>
      </c>
      <c r="AJ551" s="26"/>
      <c r="AK551" s="5" t="s">
        <v>3480</v>
      </c>
      <c r="AL551" s="82" t="s">
        <v>3401</v>
      </c>
      <c r="AM551" s="76"/>
      <c r="AN551" s="76"/>
      <c r="AO551" s="76"/>
      <c r="AP551" s="76"/>
      <c r="AQ551" s="76"/>
      <c r="AR551" s="76"/>
      <c r="AS551" s="76"/>
      <c r="AT551" s="76"/>
      <c r="AU551" s="76"/>
      <c r="AV551" s="76"/>
      <c r="AW551" s="76"/>
      <c r="AX551" s="76">
        <f>+AW551*600000</f>
        <v>0</v>
      </c>
      <c r="AY551" s="76"/>
      <c r="AZ551" s="76">
        <f>+AY551*70000</f>
        <v>0</v>
      </c>
      <c r="BA551" s="76"/>
      <c r="BB551" s="76"/>
      <c r="BC551" s="76"/>
      <c r="BD551" s="76">
        <f>+BC551*30000</f>
        <v>0</v>
      </c>
      <c r="BE551" s="76"/>
      <c r="BF551" s="76"/>
      <c r="BG551" s="76"/>
      <c r="BH551" s="76"/>
      <c r="BI551" s="76"/>
      <c r="BJ551" s="76"/>
      <c r="BK551" s="76"/>
      <c r="BL551" s="76">
        <f>+BK551*31500</f>
        <v>0</v>
      </c>
      <c r="BM551" s="76"/>
      <c r="BN551" s="76"/>
      <c r="BO551" s="76"/>
      <c r="BP551" s="76"/>
      <c r="BQ551" s="76"/>
      <c r="BR551" s="76"/>
      <c r="BS551" s="76"/>
      <c r="BT551" s="76"/>
      <c r="BU551" s="76"/>
      <c r="BV551" s="76"/>
      <c r="BW551" s="76"/>
      <c r="BX551" s="76"/>
      <c r="BY551" s="76"/>
      <c r="BZ551" s="76"/>
      <c r="CA551" s="76"/>
      <c r="CB551" s="76"/>
      <c r="CC551" s="76"/>
      <c r="CD551" s="76"/>
      <c r="CE551" s="76"/>
      <c r="CF551" s="76">
        <f>+CE551*28000</f>
        <v>0</v>
      </c>
      <c r="CG551" s="76"/>
      <c r="CH551" s="76">
        <f>+CG551*22500</f>
        <v>0</v>
      </c>
      <c r="CI551" s="76"/>
      <c r="CJ551" s="76">
        <f>+CI551*26000</f>
        <v>0</v>
      </c>
      <c r="CK551" s="76"/>
      <c r="CL551" s="76"/>
      <c r="CM551" s="76"/>
      <c r="CN551" s="76">
        <f>+CM551*22000</f>
        <v>0</v>
      </c>
      <c r="CO551" s="76"/>
      <c r="CP551" s="76">
        <f>+CO551*46000</f>
        <v>0</v>
      </c>
      <c r="CQ551" s="76"/>
      <c r="CR551" s="76">
        <f>+CQ551*49000</f>
        <v>0</v>
      </c>
      <c r="CS551" s="76"/>
      <c r="CT551" s="76"/>
      <c r="CU551" s="56">
        <f>AN551+AP551+AR551+AT551+AV551+AX551+AZ551+BB551+BD551+BF551+BH551+BJ551+BL551+BN551+BP551+BR551+BT551+BV551+BX551+BZ551+CB551+CD551+CF551+CH551+CJ551+CL551+CN551+CP551+CR551+CT551</f>
        <v>0</v>
      </c>
      <c r="CV551" s="76"/>
      <c r="CW551" s="76">
        <f>+CV551*1100</f>
        <v>0</v>
      </c>
      <c r="CX551" s="76"/>
      <c r="CY551" s="76">
        <f>+CX551*106250</f>
        <v>0</v>
      </c>
      <c r="CZ551" s="76"/>
      <c r="DA551" s="76">
        <f>+CZ551*34500</f>
        <v>0</v>
      </c>
      <c r="DB551" s="76"/>
      <c r="DC551" s="76">
        <f>+DB551*25000</f>
        <v>0</v>
      </c>
      <c r="DD551" s="219"/>
      <c r="DE551" s="219"/>
      <c r="DF551" s="166"/>
      <c r="DG551" s="116"/>
      <c r="DH551" s="117"/>
      <c r="DI551" s="24"/>
      <c r="DJ551" s="24"/>
      <c r="DK551" s="24"/>
      <c r="DL551" s="24"/>
      <c r="DM551" s="24"/>
      <c r="DN551" s="24"/>
      <c r="DO551" s="24"/>
      <c r="DP551" s="24"/>
      <c r="DQ551" s="24"/>
      <c r="DR551" s="24"/>
      <c r="DS551" s="24"/>
      <c r="DT551" s="24"/>
      <c r="DU551" s="24"/>
    </row>
    <row r="552" spans="1:125" s="8" customFormat="1" ht="96" x14ac:dyDescent="0.2">
      <c r="A552" s="77">
        <v>41309</v>
      </c>
      <c r="B552" s="225" t="s">
        <v>2848</v>
      </c>
      <c r="C552" s="227" t="s">
        <v>1391</v>
      </c>
      <c r="D552" s="227" t="s">
        <v>2882</v>
      </c>
      <c r="E552" s="75" t="str">
        <f>VLOOKUP(B552&amp;C552,Divipola!$C$2:$F$1138,4,FALSE)</f>
        <v>73270</v>
      </c>
      <c r="F552" s="87"/>
      <c r="G552" s="87"/>
      <c r="H552" s="87"/>
      <c r="I552" s="87">
        <v>25</v>
      </c>
      <c r="J552" s="87">
        <v>5</v>
      </c>
      <c r="K552" s="87"/>
      <c r="L552" s="87">
        <v>5</v>
      </c>
      <c r="M552" s="87"/>
      <c r="N552" s="87"/>
      <c r="O552" s="87"/>
      <c r="P552" s="87"/>
      <c r="Q552" s="87"/>
      <c r="R552" s="87"/>
      <c r="S552" s="87"/>
      <c r="T552" s="87"/>
      <c r="U552" s="88"/>
      <c r="V552" s="89"/>
      <c r="W552" s="96">
        <v>0</v>
      </c>
      <c r="X552" s="71">
        <f>CU552</f>
        <v>0</v>
      </c>
      <c r="Y552" s="71">
        <f>CY552</f>
        <v>0</v>
      </c>
      <c r="Z552" s="71">
        <f>DA552+DC552+DE552</f>
        <v>0</v>
      </c>
      <c r="AA552" s="71">
        <f>CW552</f>
        <v>0</v>
      </c>
      <c r="AB552" s="71"/>
      <c r="AC552" s="71">
        <v>0</v>
      </c>
      <c r="AD552" s="71">
        <f>W552+X552+Y552+Z552+AA552+AB552+AC552</f>
        <v>0</v>
      </c>
      <c r="AE552" s="72">
        <v>0</v>
      </c>
      <c r="AF552" s="5"/>
      <c r="AG552" s="6"/>
      <c r="AH552" s="27" t="s">
        <v>3392</v>
      </c>
      <c r="AI552" s="44" t="s">
        <v>3393</v>
      </c>
      <c r="AJ552" s="26"/>
      <c r="AK552" s="5"/>
      <c r="AL552" s="82" t="s">
        <v>3399</v>
      </c>
      <c r="AM552" s="76"/>
      <c r="AN552" s="76"/>
      <c r="AO552" s="76"/>
      <c r="AP552" s="76"/>
      <c r="AQ552" s="76"/>
      <c r="AR552" s="76"/>
      <c r="AS552" s="76"/>
      <c r="AT552" s="76"/>
      <c r="AU552" s="76"/>
      <c r="AV552" s="76"/>
      <c r="AW552" s="76"/>
      <c r="AX552" s="76">
        <f>+AW552*600000</f>
        <v>0</v>
      </c>
      <c r="AY552" s="76"/>
      <c r="AZ552" s="76">
        <f>+AY552*70000</f>
        <v>0</v>
      </c>
      <c r="BA552" s="76"/>
      <c r="BB552" s="76"/>
      <c r="BC552" s="76"/>
      <c r="BD552" s="76">
        <f>+BC552*30000</f>
        <v>0</v>
      </c>
      <c r="BE552" s="76"/>
      <c r="BF552" s="76"/>
      <c r="BG552" s="76"/>
      <c r="BH552" s="76"/>
      <c r="BI552" s="76"/>
      <c r="BJ552" s="76"/>
      <c r="BK552" s="76"/>
      <c r="BL552" s="76">
        <f>+BK552*31500</f>
        <v>0</v>
      </c>
      <c r="BM552" s="76"/>
      <c r="BN552" s="76"/>
      <c r="BO552" s="76"/>
      <c r="BP552" s="76"/>
      <c r="BQ552" s="76"/>
      <c r="BR552" s="76"/>
      <c r="BS552" s="76"/>
      <c r="BT552" s="76"/>
      <c r="BU552" s="76"/>
      <c r="BV552" s="76"/>
      <c r="BW552" s="76"/>
      <c r="BX552" s="76"/>
      <c r="BY552" s="76"/>
      <c r="BZ552" s="76"/>
      <c r="CA552" s="76"/>
      <c r="CB552" s="76"/>
      <c r="CC552" s="76"/>
      <c r="CD552" s="76"/>
      <c r="CE552" s="76"/>
      <c r="CF552" s="76">
        <f>+CE552*28000</f>
        <v>0</v>
      </c>
      <c r="CG552" s="76"/>
      <c r="CH552" s="76">
        <f>+CG552*22500</f>
        <v>0</v>
      </c>
      <c r="CI552" s="76"/>
      <c r="CJ552" s="76">
        <f>+CI552*26000</f>
        <v>0</v>
      </c>
      <c r="CK552" s="76"/>
      <c r="CL552" s="76"/>
      <c r="CM552" s="76"/>
      <c r="CN552" s="76">
        <f>+CM552*22000</f>
        <v>0</v>
      </c>
      <c r="CO552" s="76"/>
      <c r="CP552" s="76">
        <f>+CO552*46000</f>
        <v>0</v>
      </c>
      <c r="CQ552" s="76"/>
      <c r="CR552" s="76">
        <f>+CQ552*49000</f>
        <v>0</v>
      </c>
      <c r="CS552" s="76"/>
      <c r="CT552" s="76"/>
      <c r="CU552" s="56">
        <f>AN552+AP552+AR552+AT552+AV552+AX552+AZ552+BB552+BD552+BF552+BH552+BJ552+BL552+BN552+BP552+BR552+BT552+BV552+BX552+BZ552+CB552+CD552+CF552+CH552+CJ552+CL552+CN552+CP552+CR552+CT552</f>
        <v>0</v>
      </c>
      <c r="CV552" s="76"/>
      <c r="CW552" s="76">
        <f>+CV552*1100</f>
        <v>0</v>
      </c>
      <c r="CX552" s="76"/>
      <c r="CY552" s="76">
        <f>+CX552*106250</f>
        <v>0</v>
      </c>
      <c r="CZ552" s="76"/>
      <c r="DA552" s="76">
        <f>+CZ552*34500</f>
        <v>0</v>
      </c>
      <c r="DB552" s="76"/>
      <c r="DC552" s="76">
        <f>+DB552*25000</f>
        <v>0</v>
      </c>
      <c r="DD552" s="219"/>
      <c r="DE552" s="219"/>
      <c r="DF552" s="166"/>
      <c r="DG552" s="116"/>
      <c r="DH552" s="117"/>
      <c r="DI552" s="24"/>
      <c r="DJ552" s="24"/>
      <c r="DK552" s="24"/>
      <c r="DL552" s="24"/>
      <c r="DM552" s="24"/>
      <c r="DN552" s="24"/>
      <c r="DO552" s="24"/>
      <c r="DP552" s="24"/>
      <c r="DQ552" s="24"/>
      <c r="DR552" s="24"/>
      <c r="DS552" s="24"/>
      <c r="DT552" s="24"/>
      <c r="DU552" s="24"/>
    </row>
    <row r="553" spans="1:125" s="8" customFormat="1" ht="96" x14ac:dyDescent="0.2">
      <c r="A553" s="77">
        <v>41309</v>
      </c>
      <c r="B553" s="78" t="s">
        <v>2848</v>
      </c>
      <c r="C553" s="75" t="s">
        <v>2077</v>
      </c>
      <c r="D553" s="75" t="s">
        <v>2882</v>
      </c>
      <c r="E553" s="75" t="str">
        <f>VLOOKUP(B553&amp;C553,Divipola!$C$2:$F$1138,4,FALSE)</f>
        <v>73411</v>
      </c>
      <c r="F553" s="87"/>
      <c r="G553" s="87"/>
      <c r="H553" s="87"/>
      <c r="I553" s="87">
        <v>467</v>
      </c>
      <c r="J553" s="87">
        <v>145</v>
      </c>
      <c r="K553" s="87"/>
      <c r="L553" s="87">
        <v>145</v>
      </c>
      <c r="M553" s="87"/>
      <c r="N553" s="87"/>
      <c r="O553" s="87"/>
      <c r="P553" s="87"/>
      <c r="Q553" s="87"/>
      <c r="R553" s="87"/>
      <c r="S553" s="87">
        <v>4</v>
      </c>
      <c r="T553" s="87"/>
      <c r="U553" s="88"/>
      <c r="V553" s="89"/>
      <c r="W553" s="96">
        <v>0</v>
      </c>
      <c r="X553" s="71">
        <f>CU553</f>
        <v>43050000</v>
      </c>
      <c r="Y553" s="71">
        <f>CY553</f>
        <v>15832500</v>
      </c>
      <c r="Z553" s="71">
        <f>DA553+DC553+DE553</f>
        <v>54700000</v>
      </c>
      <c r="AA553" s="71">
        <f>CW553</f>
        <v>0</v>
      </c>
      <c r="AB553" s="71"/>
      <c r="AC553" s="71">
        <v>0</v>
      </c>
      <c r="AD553" s="71">
        <f>W553+X553+Y553+Z553+AA553+AB553+AC553</f>
        <v>113582500</v>
      </c>
      <c r="AE553" s="72">
        <v>0</v>
      </c>
      <c r="AF553" s="5"/>
      <c r="AG553" s="6"/>
      <c r="AH553" s="27" t="s">
        <v>3390</v>
      </c>
      <c r="AI553" s="44" t="s">
        <v>3391</v>
      </c>
      <c r="AJ553" s="26"/>
      <c r="AK553" s="5"/>
      <c r="AL553" s="82" t="s">
        <v>3398</v>
      </c>
      <c r="AM553" s="76"/>
      <c r="AN553" s="76"/>
      <c r="AO553" s="76"/>
      <c r="AP553" s="76"/>
      <c r="AQ553" s="76"/>
      <c r="AR553" s="76"/>
      <c r="AS553" s="76"/>
      <c r="AT553" s="76"/>
      <c r="AU553" s="76"/>
      <c r="AV553" s="76"/>
      <c r="AW553" s="76"/>
      <c r="AX553" s="76">
        <f>+AW553*600000</f>
        <v>0</v>
      </c>
      <c r="AY553" s="86">
        <v>300</v>
      </c>
      <c r="AZ553" s="86">
        <f>+AY553*70000</f>
        <v>21000000</v>
      </c>
      <c r="BA553" s="76"/>
      <c r="BB553" s="76"/>
      <c r="BC553" s="76"/>
      <c r="BD553" s="76">
        <f>+BC553*30000</f>
        <v>0</v>
      </c>
      <c r="BE553" s="76"/>
      <c r="BF553" s="76"/>
      <c r="BG553" s="76"/>
      <c r="BH553" s="76"/>
      <c r="BI553" s="76"/>
      <c r="BJ553" s="76"/>
      <c r="BK553" s="76"/>
      <c r="BL553" s="76">
        <f>+BK553*31500</f>
        <v>0</v>
      </c>
      <c r="BM553" s="76"/>
      <c r="BN553" s="76"/>
      <c r="BO553" s="76"/>
      <c r="BP553" s="76"/>
      <c r="BQ553" s="76"/>
      <c r="BR553" s="76"/>
      <c r="BS553" s="76"/>
      <c r="BT553" s="76"/>
      <c r="BU553" s="76"/>
      <c r="BV553" s="76"/>
      <c r="BW553" s="76"/>
      <c r="BX553" s="76"/>
      <c r="BY553" s="76"/>
      <c r="BZ553" s="76"/>
      <c r="CA553" s="76"/>
      <c r="CB553" s="76"/>
      <c r="CC553" s="76"/>
      <c r="CD553" s="76"/>
      <c r="CE553" s="76"/>
      <c r="CF553" s="76">
        <f>+CE553*28000</f>
        <v>0</v>
      </c>
      <c r="CG553" s="76"/>
      <c r="CH553" s="76">
        <f>+CG553*22500</f>
        <v>0</v>
      </c>
      <c r="CI553" s="86">
        <v>300</v>
      </c>
      <c r="CJ553" s="86">
        <f>+CI553*26000</f>
        <v>7800000</v>
      </c>
      <c r="CK553" s="76"/>
      <c r="CL553" s="76"/>
      <c r="CM553" s="76"/>
      <c r="CN553" s="76">
        <f>+CM553*22000</f>
        <v>0</v>
      </c>
      <c r="CO553" s="86">
        <v>150</v>
      </c>
      <c r="CP553" s="86">
        <f>+CO553*46000</f>
        <v>6900000</v>
      </c>
      <c r="CQ553" s="86">
        <v>150</v>
      </c>
      <c r="CR553" s="86">
        <f>+CQ553*49000</f>
        <v>7350000</v>
      </c>
      <c r="CS553" s="76"/>
      <c r="CT553" s="76"/>
      <c r="CU553" s="56">
        <f>AN553+AP553+AR553+AT553+AV553+AX553+AZ553+BB553+BD553+BF553+BH553+BJ553+BL553+BN553+BP553+BR553+BT553+BV553+BX553+BZ553+CB553+CD553+CF553+CH553+CJ553+CL553+CN553+CP553+CR553+CT553</f>
        <v>43050000</v>
      </c>
      <c r="CV553" s="76"/>
      <c r="CW553" s="76">
        <f>+CV553*1100</f>
        <v>0</v>
      </c>
      <c r="CX553" s="86">
        <v>150</v>
      </c>
      <c r="CY553" s="86">
        <f>+CX553*105550</f>
        <v>15832500</v>
      </c>
      <c r="CZ553" s="76"/>
      <c r="DA553" s="76">
        <f>+CZ553*34500</f>
        <v>0</v>
      </c>
      <c r="DB553" s="86">
        <v>1000</v>
      </c>
      <c r="DC553" s="86">
        <f>+DB553*25000+4000*200</f>
        <v>25800000</v>
      </c>
      <c r="DD553" s="92" t="s">
        <v>3487</v>
      </c>
      <c r="DE553" s="310">
        <f>100*266000+100*23000</f>
        <v>28900000</v>
      </c>
      <c r="DF553" s="166"/>
      <c r="DG553" s="134" t="s">
        <v>4133</v>
      </c>
      <c r="DH553" s="117"/>
      <c r="DI553" s="24"/>
      <c r="DJ553" s="24"/>
      <c r="DK553" s="24"/>
      <c r="DL553" s="24"/>
      <c r="DM553" s="24"/>
      <c r="DN553" s="24"/>
      <c r="DO553" s="24"/>
      <c r="DP553" s="24"/>
      <c r="DQ553" s="24"/>
      <c r="DR553" s="24"/>
      <c r="DS553" s="24"/>
      <c r="DT553" s="24"/>
      <c r="DU553" s="24"/>
    </row>
    <row r="554" spans="1:125" s="8" customFormat="1" ht="132" x14ac:dyDescent="0.2">
      <c r="A554" s="77">
        <v>41309</v>
      </c>
      <c r="B554" s="78" t="s">
        <v>2848</v>
      </c>
      <c r="C554" s="75" t="s">
        <v>1392</v>
      </c>
      <c r="D554" s="75" t="s">
        <v>2882</v>
      </c>
      <c r="E554" s="75" t="str">
        <f>VLOOKUP(B554&amp;C554,Divipola!$C$2:$F$1138,4,FALSE)</f>
        <v>73520</v>
      </c>
      <c r="F554" s="87"/>
      <c r="G554" s="87"/>
      <c r="H554" s="87"/>
      <c r="I554" s="87">
        <v>25</v>
      </c>
      <c r="J554" s="87">
        <v>5</v>
      </c>
      <c r="K554" s="87"/>
      <c r="L554" s="87">
        <v>5</v>
      </c>
      <c r="M554" s="87"/>
      <c r="N554" s="87"/>
      <c r="O554" s="87"/>
      <c r="P554" s="87"/>
      <c r="Q554" s="87"/>
      <c r="R554" s="87"/>
      <c r="S554" s="87"/>
      <c r="T554" s="87"/>
      <c r="U554" s="88"/>
      <c r="V554" s="89"/>
      <c r="W554" s="96">
        <v>1050000</v>
      </c>
      <c r="X554" s="71">
        <f>CU554</f>
        <v>0</v>
      </c>
      <c r="Y554" s="71">
        <f>CY554</f>
        <v>0</v>
      </c>
      <c r="Z554" s="71">
        <f>DA554+DC554+DE554</f>
        <v>0</v>
      </c>
      <c r="AA554" s="71">
        <f>CW554</f>
        <v>0</v>
      </c>
      <c r="AB554" s="71"/>
      <c r="AC554" s="71">
        <v>0</v>
      </c>
      <c r="AD554" s="71">
        <f>W554+X554+Y554+Z554+AA554+AB554+AC554</f>
        <v>1050000</v>
      </c>
      <c r="AE554" s="72">
        <v>0</v>
      </c>
      <c r="AF554" s="5"/>
      <c r="AG554" s="6"/>
      <c r="AH554" s="27" t="s">
        <v>3390</v>
      </c>
      <c r="AI554" s="44" t="s">
        <v>3391</v>
      </c>
      <c r="AJ554" s="26"/>
      <c r="AK554" s="5"/>
      <c r="AL554" s="82" t="s">
        <v>4662</v>
      </c>
      <c r="AM554" s="76"/>
      <c r="AN554" s="76"/>
      <c r="AO554" s="76"/>
      <c r="AP554" s="76"/>
      <c r="AQ554" s="76"/>
      <c r="AR554" s="76"/>
      <c r="AS554" s="76"/>
      <c r="AT554" s="76"/>
      <c r="AU554" s="76"/>
      <c r="AV554" s="76"/>
      <c r="AW554" s="76"/>
      <c r="AX554" s="76">
        <f>+AW554*600000</f>
        <v>0</v>
      </c>
      <c r="AY554" s="76"/>
      <c r="AZ554" s="76">
        <f>+AY554*70000</f>
        <v>0</v>
      </c>
      <c r="BA554" s="76"/>
      <c r="BB554" s="76"/>
      <c r="BC554" s="76"/>
      <c r="BD554" s="76">
        <f>+BC554*30000</f>
        <v>0</v>
      </c>
      <c r="BE554" s="76"/>
      <c r="BF554" s="76"/>
      <c r="BG554" s="76"/>
      <c r="BH554" s="76"/>
      <c r="BI554" s="76"/>
      <c r="BJ554" s="76"/>
      <c r="BK554" s="76"/>
      <c r="BL554" s="76">
        <f>+BK554*31500</f>
        <v>0</v>
      </c>
      <c r="BM554" s="76"/>
      <c r="BN554" s="76"/>
      <c r="BO554" s="76"/>
      <c r="BP554" s="76"/>
      <c r="BQ554" s="76"/>
      <c r="BR554" s="76"/>
      <c r="BS554" s="76"/>
      <c r="BT554" s="76"/>
      <c r="BU554" s="76"/>
      <c r="BV554" s="76"/>
      <c r="BW554" s="76"/>
      <c r="BX554" s="76"/>
      <c r="BY554" s="76"/>
      <c r="BZ554" s="76"/>
      <c r="CA554" s="76"/>
      <c r="CB554" s="76"/>
      <c r="CC554" s="76"/>
      <c r="CD554" s="76"/>
      <c r="CE554" s="76"/>
      <c r="CF554" s="76">
        <f>+CE554*28000</f>
        <v>0</v>
      </c>
      <c r="CG554" s="76"/>
      <c r="CH554" s="76">
        <f>+CG554*22500</f>
        <v>0</v>
      </c>
      <c r="CI554" s="76"/>
      <c r="CJ554" s="76">
        <f>+CI554*26000</f>
        <v>0</v>
      </c>
      <c r="CK554" s="76"/>
      <c r="CL554" s="76"/>
      <c r="CM554" s="76"/>
      <c r="CN554" s="76">
        <f>+CM554*22000</f>
        <v>0</v>
      </c>
      <c r="CO554" s="76"/>
      <c r="CP554" s="76">
        <f>+CO554*46000</f>
        <v>0</v>
      </c>
      <c r="CQ554" s="76"/>
      <c r="CR554" s="76">
        <f>+CQ554*49000</f>
        <v>0</v>
      </c>
      <c r="CS554" s="76"/>
      <c r="CT554" s="76"/>
      <c r="CU554" s="56">
        <f>AN554+AP554+AR554+AT554+AV554+AX554+AZ554+BB554+BD554+BF554+BH554+BJ554+BL554+BN554+BP554+BR554+BT554+BV554+BX554+BZ554+CB554+CD554+CF554+CH554+CJ554+CL554+CN554+CP554+CR554+CT554</f>
        <v>0</v>
      </c>
      <c r="CV554" s="76"/>
      <c r="CW554" s="76">
        <f>+CV554*1100</f>
        <v>0</v>
      </c>
      <c r="CX554" s="76"/>
      <c r="CY554" s="76">
        <f>+CX554*106250</f>
        <v>0</v>
      </c>
      <c r="CZ554" s="76"/>
      <c r="DA554" s="76">
        <f>+CZ554*34500</f>
        <v>0</v>
      </c>
      <c r="DB554" s="76"/>
      <c r="DC554" s="76">
        <f>+DB554*25000</f>
        <v>0</v>
      </c>
      <c r="DD554" s="219"/>
      <c r="DE554" s="219"/>
      <c r="DF554" s="166"/>
      <c r="DG554" s="116"/>
      <c r="DH554" s="117"/>
      <c r="DI554" s="24"/>
      <c r="DJ554" s="24"/>
      <c r="DK554" s="24"/>
      <c r="DL554" s="24"/>
      <c r="DM554" s="24"/>
      <c r="DN554" s="24"/>
      <c r="DO554" s="24"/>
      <c r="DP554" s="24"/>
      <c r="DQ554" s="24"/>
      <c r="DR554" s="24"/>
      <c r="DS554" s="24"/>
      <c r="DT554" s="24"/>
      <c r="DU554" s="24"/>
    </row>
    <row r="555" spans="1:125" s="8" customFormat="1" ht="156" x14ac:dyDescent="0.2">
      <c r="A555" s="77">
        <v>41309</v>
      </c>
      <c r="B555" s="352" t="s">
        <v>2848</v>
      </c>
      <c r="C555" s="354" t="s">
        <v>2211</v>
      </c>
      <c r="D555" s="354" t="s">
        <v>2882</v>
      </c>
      <c r="E555" s="75" t="str">
        <f>VLOOKUP(B555&amp;C555,Divipola!$C$2:$F$1138,4,FALSE)</f>
        <v>73861</v>
      </c>
      <c r="F555" s="100"/>
      <c r="G555" s="100"/>
      <c r="H555" s="100"/>
      <c r="I555" s="100">
        <v>600</v>
      </c>
      <c r="J555" s="100">
        <v>120</v>
      </c>
      <c r="K555" s="100"/>
      <c r="L555" s="100">
        <v>120</v>
      </c>
      <c r="M555" s="100"/>
      <c r="N555" s="100"/>
      <c r="O555" s="100"/>
      <c r="P555" s="100"/>
      <c r="Q555" s="100"/>
      <c r="R555" s="100">
        <v>1</v>
      </c>
      <c r="S555" s="100"/>
      <c r="T555" s="100"/>
      <c r="U555" s="136"/>
      <c r="V555" s="89"/>
      <c r="W555" s="96">
        <v>0</v>
      </c>
      <c r="X555" s="71">
        <f>CU555</f>
        <v>0</v>
      </c>
      <c r="Y555" s="71">
        <f>CY555</f>
        <v>0</v>
      </c>
      <c r="Z555" s="71">
        <f>DA555+DC555+DE555</f>
        <v>0</v>
      </c>
      <c r="AA555" s="71">
        <f>CW555</f>
        <v>0</v>
      </c>
      <c r="AB555" s="71"/>
      <c r="AC555" s="71">
        <v>0</v>
      </c>
      <c r="AD555" s="71">
        <f>W555+X555+Y555+Z555+AA555+AB555+AC555</f>
        <v>0</v>
      </c>
      <c r="AE555" s="72">
        <v>0</v>
      </c>
      <c r="AF555" s="5"/>
      <c r="AG555" s="6"/>
      <c r="AH555" s="27" t="s">
        <v>3392</v>
      </c>
      <c r="AI555" s="44" t="s">
        <v>3393</v>
      </c>
      <c r="AJ555" s="26"/>
      <c r="AK555" s="5"/>
      <c r="AL555" s="82" t="s">
        <v>3417</v>
      </c>
      <c r="AM555" s="76"/>
      <c r="AN555" s="76"/>
      <c r="AO555" s="76"/>
      <c r="AP555" s="76"/>
      <c r="AQ555" s="76"/>
      <c r="AR555" s="76"/>
      <c r="AS555" s="76"/>
      <c r="AT555" s="76"/>
      <c r="AU555" s="76"/>
      <c r="AV555" s="76"/>
      <c r="AW555" s="76"/>
      <c r="AX555" s="76">
        <f>+AW555*600000</f>
        <v>0</v>
      </c>
      <c r="AY555" s="76"/>
      <c r="AZ555" s="76">
        <f>+AY555*70000</f>
        <v>0</v>
      </c>
      <c r="BA555" s="76"/>
      <c r="BB555" s="76"/>
      <c r="BC555" s="76"/>
      <c r="BD555" s="76">
        <f>+BC555*30000</f>
        <v>0</v>
      </c>
      <c r="BE555" s="76"/>
      <c r="BF555" s="76"/>
      <c r="BG555" s="76"/>
      <c r="BH555" s="76"/>
      <c r="BI555" s="76"/>
      <c r="BJ555" s="76"/>
      <c r="BK555" s="76"/>
      <c r="BL555" s="76">
        <f>+BK555*31500</f>
        <v>0</v>
      </c>
      <c r="BM555" s="76"/>
      <c r="BN555" s="76"/>
      <c r="BO555" s="76"/>
      <c r="BP555" s="76"/>
      <c r="BQ555" s="76"/>
      <c r="BR555" s="76"/>
      <c r="BS555" s="76"/>
      <c r="BT555" s="76"/>
      <c r="BU555" s="76"/>
      <c r="BV555" s="76"/>
      <c r="BW555" s="76"/>
      <c r="BX555" s="76"/>
      <c r="BY555" s="76"/>
      <c r="BZ555" s="76"/>
      <c r="CA555" s="76"/>
      <c r="CB555" s="76"/>
      <c r="CC555" s="76"/>
      <c r="CD555" s="76"/>
      <c r="CE555" s="76"/>
      <c r="CF555" s="76">
        <f>+CE555*28000</f>
        <v>0</v>
      </c>
      <c r="CG555" s="76"/>
      <c r="CH555" s="76">
        <f>+CG555*22500</f>
        <v>0</v>
      </c>
      <c r="CI555" s="76"/>
      <c r="CJ555" s="76">
        <f>+CI555*26000</f>
        <v>0</v>
      </c>
      <c r="CK555" s="76"/>
      <c r="CL555" s="76"/>
      <c r="CM555" s="76"/>
      <c r="CN555" s="76">
        <f>+CM555*22000</f>
        <v>0</v>
      </c>
      <c r="CO555" s="76"/>
      <c r="CP555" s="76">
        <f>+CO555*46000</f>
        <v>0</v>
      </c>
      <c r="CQ555" s="76"/>
      <c r="CR555" s="76">
        <f>+CQ555*49000</f>
        <v>0</v>
      </c>
      <c r="CS555" s="76"/>
      <c r="CT555" s="76"/>
      <c r="CU555" s="56">
        <f>AN555+AP555+AR555+AT555+AV555+AX555+AZ555+BB555+BD555+BF555+BH555+BJ555+BL555+BN555+BP555+BR555+BT555+BV555+BX555+BZ555+CB555+CD555+CF555+CH555+CJ555+CL555+CN555+CP555+CR555+CT555</f>
        <v>0</v>
      </c>
      <c r="CV555" s="76"/>
      <c r="CW555" s="76">
        <f>+CV555*1100</f>
        <v>0</v>
      </c>
      <c r="CX555" s="76"/>
      <c r="CY555" s="76">
        <f>+CX555*106250</f>
        <v>0</v>
      </c>
      <c r="CZ555" s="76"/>
      <c r="DA555" s="76">
        <f>+CZ555*34500</f>
        <v>0</v>
      </c>
      <c r="DB555" s="76"/>
      <c r="DC555" s="76">
        <f>+DB555*25000</f>
        <v>0</v>
      </c>
      <c r="DD555" s="219"/>
      <c r="DE555" s="219"/>
      <c r="DF555" s="166"/>
      <c r="DG555" s="116"/>
      <c r="DH555" s="117"/>
      <c r="DI555" s="24"/>
      <c r="DJ555" s="24"/>
      <c r="DK555" s="24"/>
      <c r="DL555" s="24"/>
      <c r="DM555" s="24"/>
      <c r="DN555" s="24"/>
      <c r="DO555" s="24"/>
      <c r="DP555" s="24"/>
      <c r="DQ555" s="24"/>
      <c r="DR555" s="24"/>
      <c r="DS555" s="24"/>
      <c r="DT555" s="24"/>
      <c r="DU555" s="24"/>
    </row>
    <row r="556" spans="1:125" s="8" customFormat="1" ht="36" x14ac:dyDescent="0.2">
      <c r="A556" s="77">
        <v>41310</v>
      </c>
      <c r="B556" s="78" t="s">
        <v>2894</v>
      </c>
      <c r="C556" s="75" t="s">
        <v>2776</v>
      </c>
      <c r="D556" s="75" t="s">
        <v>2882</v>
      </c>
      <c r="E556" s="75" t="str">
        <f>VLOOKUP(B556&amp;C556,Divipola!$C$2:$F$1138,4,FALSE)</f>
        <v>05059</v>
      </c>
      <c r="F556" s="87"/>
      <c r="G556" s="87">
        <v>1</v>
      </c>
      <c r="H556" s="87"/>
      <c r="I556" s="87"/>
      <c r="J556" s="87"/>
      <c r="K556" s="87"/>
      <c r="L556" s="87"/>
      <c r="M556" s="87"/>
      <c r="N556" s="87"/>
      <c r="O556" s="87"/>
      <c r="P556" s="87"/>
      <c r="Q556" s="87"/>
      <c r="R556" s="87"/>
      <c r="S556" s="87"/>
      <c r="T556" s="87"/>
      <c r="U556" s="88"/>
      <c r="V556" s="89"/>
      <c r="W556" s="96">
        <v>0</v>
      </c>
      <c r="X556" s="71">
        <f>CU556</f>
        <v>0</v>
      </c>
      <c r="Y556" s="71">
        <f>CY556</f>
        <v>0</v>
      </c>
      <c r="Z556" s="71">
        <f>DA556+DC556+DE556</f>
        <v>0</v>
      </c>
      <c r="AA556" s="71">
        <f>CW556</f>
        <v>0</v>
      </c>
      <c r="AB556" s="71"/>
      <c r="AC556" s="71">
        <v>0</v>
      </c>
      <c r="AD556" s="71">
        <f>W556+X556+Y556+Z556+AA556+AB556+AC556</f>
        <v>0</v>
      </c>
      <c r="AE556" s="72">
        <v>0</v>
      </c>
      <c r="AF556" s="5"/>
      <c r="AG556" s="6"/>
      <c r="AH556" s="27" t="s">
        <v>3392</v>
      </c>
      <c r="AI556" s="44" t="s">
        <v>3393</v>
      </c>
      <c r="AJ556" s="26"/>
      <c r="AK556" s="5"/>
      <c r="AL556" s="82" t="s">
        <v>3408</v>
      </c>
      <c r="AM556" s="76"/>
      <c r="AN556" s="76"/>
      <c r="AO556" s="76"/>
      <c r="AP556" s="76"/>
      <c r="AQ556" s="76"/>
      <c r="AR556" s="76"/>
      <c r="AS556" s="76"/>
      <c r="AT556" s="76"/>
      <c r="AU556" s="76"/>
      <c r="AV556" s="76"/>
      <c r="AW556" s="76"/>
      <c r="AX556" s="76">
        <f>+AW556*600000</f>
        <v>0</v>
      </c>
      <c r="AY556" s="76"/>
      <c r="AZ556" s="76">
        <f>+AY556*70000</f>
        <v>0</v>
      </c>
      <c r="BA556" s="76"/>
      <c r="BB556" s="76"/>
      <c r="BC556" s="76"/>
      <c r="BD556" s="76">
        <f>+BC556*30000</f>
        <v>0</v>
      </c>
      <c r="BE556" s="76"/>
      <c r="BF556" s="76"/>
      <c r="BG556" s="76"/>
      <c r="BH556" s="76"/>
      <c r="BI556" s="76"/>
      <c r="BJ556" s="76"/>
      <c r="BK556" s="76"/>
      <c r="BL556" s="76">
        <f>+BK556*31500</f>
        <v>0</v>
      </c>
      <c r="BM556" s="76"/>
      <c r="BN556" s="76"/>
      <c r="BO556" s="76"/>
      <c r="BP556" s="76"/>
      <c r="BQ556" s="76"/>
      <c r="BR556" s="76"/>
      <c r="BS556" s="76"/>
      <c r="BT556" s="76"/>
      <c r="BU556" s="76"/>
      <c r="BV556" s="76"/>
      <c r="BW556" s="76"/>
      <c r="BX556" s="76"/>
      <c r="BY556" s="76"/>
      <c r="BZ556" s="76"/>
      <c r="CA556" s="76"/>
      <c r="CB556" s="76"/>
      <c r="CC556" s="76"/>
      <c r="CD556" s="76"/>
      <c r="CE556" s="76"/>
      <c r="CF556" s="76">
        <f>+CE556*28000</f>
        <v>0</v>
      </c>
      <c r="CG556" s="76"/>
      <c r="CH556" s="76">
        <f>+CG556*22500</f>
        <v>0</v>
      </c>
      <c r="CI556" s="76"/>
      <c r="CJ556" s="76">
        <f>+CI556*26000</f>
        <v>0</v>
      </c>
      <c r="CK556" s="76"/>
      <c r="CL556" s="76"/>
      <c r="CM556" s="76"/>
      <c r="CN556" s="76">
        <f>+CM556*22000</f>
        <v>0</v>
      </c>
      <c r="CO556" s="76"/>
      <c r="CP556" s="76">
        <f>+CO556*46000</f>
        <v>0</v>
      </c>
      <c r="CQ556" s="76"/>
      <c r="CR556" s="76">
        <f>+CQ556*49000</f>
        <v>0</v>
      </c>
      <c r="CS556" s="76"/>
      <c r="CT556" s="76"/>
      <c r="CU556" s="56">
        <f>AN556+AP556+AR556+AT556+AV556+AX556+AZ556+BB556+BD556+BF556+BH556+BJ556+BL556+BN556+BP556+BR556+BT556+BV556+BX556+BZ556+CB556+CD556+CF556+CH556+CJ556+CL556+CN556+CP556+CR556+CT556</f>
        <v>0</v>
      </c>
      <c r="CV556" s="76"/>
      <c r="CW556" s="76">
        <f>+CV556*1100</f>
        <v>0</v>
      </c>
      <c r="CX556" s="76"/>
      <c r="CY556" s="76">
        <f>+CX556*106250</f>
        <v>0</v>
      </c>
      <c r="CZ556" s="76"/>
      <c r="DA556" s="76">
        <f>+CZ556*34500</f>
        <v>0</v>
      </c>
      <c r="DB556" s="76"/>
      <c r="DC556" s="76">
        <f>+DB556*25000</f>
        <v>0</v>
      </c>
      <c r="DD556" s="219"/>
      <c r="DE556" s="219"/>
      <c r="DF556" s="166"/>
      <c r="DG556" s="116"/>
      <c r="DH556" s="117"/>
      <c r="DI556" s="24"/>
      <c r="DJ556" s="24"/>
      <c r="DK556" s="24"/>
      <c r="DL556" s="24"/>
      <c r="DM556" s="24"/>
      <c r="DN556" s="24"/>
      <c r="DO556" s="24"/>
      <c r="DP556" s="24"/>
      <c r="DQ556" s="24"/>
      <c r="DR556" s="24"/>
      <c r="DS556" s="24"/>
      <c r="DT556" s="24"/>
      <c r="DU556" s="24"/>
    </row>
    <row r="557" spans="1:125" s="8" customFormat="1" ht="48" x14ac:dyDescent="0.2">
      <c r="A557" s="77">
        <v>41310</v>
      </c>
      <c r="B557" s="78" t="s">
        <v>2894</v>
      </c>
      <c r="C557" s="75" t="s">
        <v>2479</v>
      </c>
      <c r="D557" s="81" t="s">
        <v>2846</v>
      </c>
      <c r="E557" s="75" t="str">
        <f>VLOOKUP(B557&amp;C557,Divipola!$C$2:$F$1138,4,FALSE)</f>
        <v>05361</v>
      </c>
      <c r="F557" s="87"/>
      <c r="G557" s="87"/>
      <c r="H557" s="87"/>
      <c r="I557" s="87">
        <v>3</v>
      </c>
      <c r="J557" s="87"/>
      <c r="K557" s="87"/>
      <c r="L557" s="87"/>
      <c r="M557" s="87"/>
      <c r="N557" s="87"/>
      <c r="O557" s="87"/>
      <c r="P557" s="87"/>
      <c r="Q557" s="87"/>
      <c r="R557" s="87"/>
      <c r="S557" s="87"/>
      <c r="T557" s="87"/>
      <c r="U557" s="88">
        <v>25</v>
      </c>
      <c r="V557" s="89"/>
      <c r="W557" s="96">
        <v>0</v>
      </c>
      <c r="X557" s="71">
        <f>CU557</f>
        <v>0</v>
      </c>
      <c r="Y557" s="71">
        <f>CY557</f>
        <v>0</v>
      </c>
      <c r="Z557" s="71">
        <f>DA557+DC557+DE557</f>
        <v>0</v>
      </c>
      <c r="AA557" s="71">
        <f>CW557</f>
        <v>0</v>
      </c>
      <c r="AB557" s="71"/>
      <c r="AC557" s="71">
        <v>0</v>
      </c>
      <c r="AD557" s="71">
        <f>W557+X557+Y557+Z557+AA557+AB557+AC557</f>
        <v>0</v>
      </c>
      <c r="AE557" s="72">
        <v>0</v>
      </c>
      <c r="AF557" s="5"/>
      <c r="AG557" s="6"/>
      <c r="AH557" s="27" t="s">
        <v>3392</v>
      </c>
      <c r="AI557" s="44" t="s">
        <v>3393</v>
      </c>
      <c r="AJ557" s="26"/>
      <c r="AK557" s="5"/>
      <c r="AL557" s="82" t="s">
        <v>3409</v>
      </c>
      <c r="AM557" s="76"/>
      <c r="AN557" s="76"/>
      <c r="AO557" s="76"/>
      <c r="AP557" s="76"/>
      <c r="AQ557" s="76"/>
      <c r="AR557" s="76"/>
      <c r="AS557" s="76"/>
      <c r="AT557" s="76"/>
      <c r="AU557" s="76"/>
      <c r="AV557" s="76"/>
      <c r="AW557" s="76"/>
      <c r="AX557" s="76">
        <f>+AW557*600000</f>
        <v>0</v>
      </c>
      <c r="AY557" s="76"/>
      <c r="AZ557" s="76">
        <f>+AY557*70000</f>
        <v>0</v>
      </c>
      <c r="BA557" s="76"/>
      <c r="BB557" s="76"/>
      <c r="BC557" s="76"/>
      <c r="BD557" s="76">
        <f>+BC557*30000</f>
        <v>0</v>
      </c>
      <c r="BE557" s="76"/>
      <c r="BF557" s="76"/>
      <c r="BG557" s="76"/>
      <c r="BH557" s="76"/>
      <c r="BI557" s="76"/>
      <c r="BJ557" s="76"/>
      <c r="BK557" s="76"/>
      <c r="BL557" s="76">
        <f>+BK557*31500</f>
        <v>0</v>
      </c>
      <c r="BM557" s="76"/>
      <c r="BN557" s="76"/>
      <c r="BO557" s="76"/>
      <c r="BP557" s="76"/>
      <c r="BQ557" s="76"/>
      <c r="BR557" s="76"/>
      <c r="BS557" s="76"/>
      <c r="BT557" s="76"/>
      <c r="BU557" s="76"/>
      <c r="BV557" s="76"/>
      <c r="BW557" s="76"/>
      <c r="BX557" s="76"/>
      <c r="BY557" s="76"/>
      <c r="BZ557" s="76"/>
      <c r="CA557" s="76"/>
      <c r="CB557" s="76"/>
      <c r="CC557" s="76"/>
      <c r="CD557" s="76"/>
      <c r="CE557" s="76"/>
      <c r="CF557" s="76">
        <f>+CE557*28000</f>
        <v>0</v>
      </c>
      <c r="CG557" s="76"/>
      <c r="CH557" s="76">
        <f>+CG557*22500</f>
        <v>0</v>
      </c>
      <c r="CI557" s="76"/>
      <c r="CJ557" s="76">
        <f>+CI557*26000</f>
        <v>0</v>
      </c>
      <c r="CK557" s="76"/>
      <c r="CL557" s="76"/>
      <c r="CM557" s="76"/>
      <c r="CN557" s="76">
        <f>+CM557*22000</f>
        <v>0</v>
      </c>
      <c r="CO557" s="76"/>
      <c r="CP557" s="76">
        <f>+CO557*46000</f>
        <v>0</v>
      </c>
      <c r="CQ557" s="76"/>
      <c r="CR557" s="76">
        <f>+CQ557*49000</f>
        <v>0</v>
      </c>
      <c r="CS557" s="76"/>
      <c r="CT557" s="76"/>
      <c r="CU557" s="56">
        <f>AN557+AP557+AR557+AT557+AV557+AX557+AZ557+BB557+BD557+BF557+BH557+BJ557+BL557+BN557+BP557+BR557+BT557+BV557+BX557+BZ557+CB557+CD557+CF557+CH557+CJ557+CL557+CN557+CP557+CR557+CT557</f>
        <v>0</v>
      </c>
      <c r="CV557" s="76"/>
      <c r="CW557" s="76">
        <f>+CV557*1100</f>
        <v>0</v>
      </c>
      <c r="CX557" s="76"/>
      <c r="CY557" s="76">
        <f>+CX557*106250</f>
        <v>0</v>
      </c>
      <c r="CZ557" s="76"/>
      <c r="DA557" s="76">
        <f>+CZ557*34500</f>
        <v>0</v>
      </c>
      <c r="DB557" s="76"/>
      <c r="DC557" s="76">
        <f>+DB557*25000</f>
        <v>0</v>
      </c>
      <c r="DD557" s="219"/>
      <c r="DE557" s="219"/>
      <c r="DF557" s="166"/>
      <c r="DG557" s="116"/>
      <c r="DH557" s="117"/>
      <c r="DI557" s="24"/>
      <c r="DJ557" s="24"/>
      <c r="DK557" s="24"/>
      <c r="DL557" s="24"/>
      <c r="DM557" s="24"/>
      <c r="DN557" s="24"/>
      <c r="DO557" s="24"/>
      <c r="DP557" s="24"/>
      <c r="DQ557" s="24"/>
      <c r="DR557" s="24"/>
      <c r="DS557" s="24"/>
      <c r="DT557" s="24"/>
      <c r="DU557" s="24"/>
    </row>
    <row r="558" spans="1:125" s="8" customFormat="1" ht="84" x14ac:dyDescent="0.2">
      <c r="A558" s="77">
        <v>41310</v>
      </c>
      <c r="B558" s="352" t="s">
        <v>2700</v>
      </c>
      <c r="C558" s="354" t="s">
        <v>2108</v>
      </c>
      <c r="D558" s="81" t="s">
        <v>2846</v>
      </c>
      <c r="E558" s="75" t="str">
        <f>VLOOKUP(B558&amp;C558,Divipola!$C$2:$F$1138,4,FALSE)</f>
        <v>15804</v>
      </c>
      <c r="F558" s="87"/>
      <c r="G558" s="87"/>
      <c r="H558" s="87"/>
      <c r="I558" s="87"/>
      <c r="J558" s="87"/>
      <c r="K558" s="87"/>
      <c r="L558" s="87"/>
      <c r="M558" s="87"/>
      <c r="N558" s="87"/>
      <c r="O558" s="87"/>
      <c r="P558" s="87"/>
      <c r="Q558" s="87"/>
      <c r="R558" s="87"/>
      <c r="S558" s="87"/>
      <c r="T558" s="87"/>
      <c r="U558" s="88">
        <v>4</v>
      </c>
      <c r="V558" s="89"/>
      <c r="W558" s="96">
        <v>0</v>
      </c>
      <c r="X558" s="71">
        <f>CU558</f>
        <v>0</v>
      </c>
      <c r="Y558" s="71">
        <f>CY558</f>
        <v>0</v>
      </c>
      <c r="Z558" s="71">
        <f>DA558+DC558+DE558</f>
        <v>0</v>
      </c>
      <c r="AA558" s="71">
        <f>CW558</f>
        <v>0</v>
      </c>
      <c r="AB558" s="71"/>
      <c r="AC558" s="71">
        <v>0</v>
      </c>
      <c r="AD558" s="71">
        <f>W558+X558+Y558+Z558+AA558+AB558+AC558</f>
        <v>0</v>
      </c>
      <c r="AE558" s="72">
        <v>0</v>
      </c>
      <c r="AF558" s="5"/>
      <c r="AG558" s="6"/>
      <c r="AH558" s="27" t="s">
        <v>3392</v>
      </c>
      <c r="AI558" s="44" t="s">
        <v>3393</v>
      </c>
      <c r="AJ558" s="26"/>
      <c r="AK558" s="5"/>
      <c r="AL558" s="82" t="s">
        <v>3413</v>
      </c>
      <c r="AM558" s="76"/>
      <c r="AN558" s="76"/>
      <c r="AO558" s="76"/>
      <c r="AP558" s="76"/>
      <c r="AQ558" s="76"/>
      <c r="AR558" s="76"/>
      <c r="AS558" s="76"/>
      <c r="AT558" s="76"/>
      <c r="AU558" s="76"/>
      <c r="AV558" s="76"/>
      <c r="AW558" s="76"/>
      <c r="AX558" s="76">
        <f>+AW558*600000</f>
        <v>0</v>
      </c>
      <c r="AY558" s="76"/>
      <c r="AZ558" s="76">
        <f>+AY558*70000</f>
        <v>0</v>
      </c>
      <c r="BA558" s="76"/>
      <c r="BB558" s="76"/>
      <c r="BC558" s="76"/>
      <c r="BD558" s="76">
        <f>+BC558*30000</f>
        <v>0</v>
      </c>
      <c r="BE558" s="76"/>
      <c r="BF558" s="76"/>
      <c r="BG558" s="76"/>
      <c r="BH558" s="76"/>
      <c r="BI558" s="76"/>
      <c r="BJ558" s="76"/>
      <c r="BK558" s="76"/>
      <c r="BL558" s="76">
        <f>+BK558*31500</f>
        <v>0</v>
      </c>
      <c r="BM558" s="76"/>
      <c r="BN558" s="76"/>
      <c r="BO558" s="76"/>
      <c r="BP558" s="76"/>
      <c r="BQ558" s="76"/>
      <c r="BR558" s="76"/>
      <c r="BS558" s="76"/>
      <c r="BT558" s="76"/>
      <c r="BU558" s="76"/>
      <c r="BV558" s="76"/>
      <c r="BW558" s="76"/>
      <c r="BX558" s="76"/>
      <c r="BY558" s="76"/>
      <c r="BZ558" s="76"/>
      <c r="CA558" s="76"/>
      <c r="CB558" s="76"/>
      <c r="CC558" s="76"/>
      <c r="CD558" s="76"/>
      <c r="CE558" s="76"/>
      <c r="CF558" s="76">
        <f>+CE558*28000</f>
        <v>0</v>
      </c>
      <c r="CG558" s="76"/>
      <c r="CH558" s="76">
        <f>+CG558*22500</f>
        <v>0</v>
      </c>
      <c r="CI558" s="76"/>
      <c r="CJ558" s="76">
        <f>+CI558*26000</f>
        <v>0</v>
      </c>
      <c r="CK558" s="76"/>
      <c r="CL558" s="76"/>
      <c r="CM558" s="76"/>
      <c r="CN558" s="76">
        <f>+CM558*22000</f>
        <v>0</v>
      </c>
      <c r="CO558" s="76"/>
      <c r="CP558" s="76">
        <f>+CO558*46000</f>
        <v>0</v>
      </c>
      <c r="CQ558" s="76"/>
      <c r="CR558" s="76">
        <f>+CQ558*49000</f>
        <v>0</v>
      </c>
      <c r="CS558" s="76"/>
      <c r="CT558" s="76"/>
      <c r="CU558" s="56">
        <f>AN558+AP558+AR558+AT558+AV558+AX558+AZ558+BB558+BD558+BF558+BH558+BJ558+BL558+BN558+BP558+BR558+BT558+BV558+BX558+BZ558+CB558+CD558+CF558+CH558+CJ558+CL558+CN558+CP558+CR558+CT558</f>
        <v>0</v>
      </c>
      <c r="CV558" s="76"/>
      <c r="CW558" s="76">
        <f>+CV558*1100</f>
        <v>0</v>
      </c>
      <c r="CX558" s="76"/>
      <c r="CY558" s="76">
        <f>+CX558*106250</f>
        <v>0</v>
      </c>
      <c r="CZ558" s="76"/>
      <c r="DA558" s="76">
        <f>+CZ558*34500</f>
        <v>0</v>
      </c>
      <c r="DB558" s="76"/>
      <c r="DC558" s="76">
        <f>+DB558*25000</f>
        <v>0</v>
      </c>
      <c r="DD558" s="219"/>
      <c r="DE558" s="219"/>
      <c r="DF558" s="166"/>
      <c r="DG558" s="116"/>
      <c r="DH558" s="117"/>
      <c r="DI558" s="24"/>
      <c r="DJ558" s="24"/>
      <c r="DK558" s="24"/>
      <c r="DL558" s="24"/>
      <c r="DM558" s="24"/>
      <c r="DN558" s="24"/>
      <c r="DO558" s="24"/>
      <c r="DP558" s="24"/>
      <c r="DQ558" s="24"/>
      <c r="DR558" s="24"/>
      <c r="DS558" s="24"/>
      <c r="DT558" s="24"/>
      <c r="DU558" s="24"/>
    </row>
    <row r="559" spans="1:125" s="8" customFormat="1" ht="48" x14ac:dyDescent="0.2">
      <c r="A559" s="77">
        <v>41310</v>
      </c>
      <c r="B559" s="352" t="s">
        <v>2778</v>
      </c>
      <c r="C559" s="354" t="s">
        <v>2194</v>
      </c>
      <c r="D559" s="81" t="s">
        <v>2846</v>
      </c>
      <c r="E559" s="75" t="str">
        <f>VLOOKUP(B559&amp;C559,Divipola!$C$2:$F$1138,4,FALSE)</f>
        <v>85010</v>
      </c>
      <c r="F559" s="87"/>
      <c r="G559" s="87"/>
      <c r="H559" s="87"/>
      <c r="I559" s="87"/>
      <c r="J559" s="87"/>
      <c r="K559" s="87"/>
      <c r="L559" s="87"/>
      <c r="M559" s="87"/>
      <c r="N559" s="87"/>
      <c r="O559" s="87"/>
      <c r="P559" s="87"/>
      <c r="Q559" s="87"/>
      <c r="R559" s="87"/>
      <c r="S559" s="87"/>
      <c r="T559" s="87"/>
      <c r="U559" s="88">
        <v>1</v>
      </c>
      <c r="V559" s="89"/>
      <c r="W559" s="96">
        <v>0</v>
      </c>
      <c r="X559" s="71">
        <f>CU559</f>
        <v>0</v>
      </c>
      <c r="Y559" s="71">
        <f>CY559</f>
        <v>0</v>
      </c>
      <c r="Z559" s="71">
        <f>DA559+DC559+DE559</f>
        <v>0</v>
      </c>
      <c r="AA559" s="71">
        <f>CW559</f>
        <v>0</v>
      </c>
      <c r="AB559" s="71"/>
      <c r="AC559" s="71">
        <v>0</v>
      </c>
      <c r="AD559" s="71">
        <f>W559+X559+Y559+Z559+AA559+AB559+AC559</f>
        <v>0</v>
      </c>
      <c r="AE559" s="72">
        <v>0</v>
      </c>
      <c r="AF559" s="5"/>
      <c r="AG559" s="6"/>
      <c r="AH559" s="27" t="s">
        <v>3392</v>
      </c>
      <c r="AI559" s="44" t="s">
        <v>3393</v>
      </c>
      <c r="AJ559" s="26"/>
      <c r="AK559" s="5"/>
      <c r="AL559" s="82" t="s">
        <v>3666</v>
      </c>
      <c r="AM559" s="76"/>
      <c r="AN559" s="76"/>
      <c r="AO559" s="76"/>
      <c r="AP559" s="76"/>
      <c r="AQ559" s="76"/>
      <c r="AR559" s="76"/>
      <c r="AS559" s="76"/>
      <c r="AT559" s="76"/>
      <c r="AU559" s="76"/>
      <c r="AV559" s="76"/>
      <c r="AW559" s="76"/>
      <c r="AX559" s="76">
        <f>+AW559*600000</f>
        <v>0</v>
      </c>
      <c r="AY559" s="76"/>
      <c r="AZ559" s="76">
        <f>+AY559*70000</f>
        <v>0</v>
      </c>
      <c r="BA559" s="76"/>
      <c r="BB559" s="76"/>
      <c r="BC559" s="76"/>
      <c r="BD559" s="76">
        <f>+BC559*30000</f>
        <v>0</v>
      </c>
      <c r="BE559" s="76"/>
      <c r="BF559" s="76"/>
      <c r="BG559" s="76"/>
      <c r="BH559" s="76"/>
      <c r="BI559" s="76"/>
      <c r="BJ559" s="76"/>
      <c r="BK559" s="76"/>
      <c r="BL559" s="76">
        <f>+BK559*31500</f>
        <v>0</v>
      </c>
      <c r="BM559" s="76"/>
      <c r="BN559" s="76"/>
      <c r="BO559" s="76"/>
      <c r="BP559" s="76"/>
      <c r="BQ559" s="76"/>
      <c r="BR559" s="76"/>
      <c r="BS559" s="76"/>
      <c r="BT559" s="76"/>
      <c r="BU559" s="76"/>
      <c r="BV559" s="76"/>
      <c r="BW559" s="76"/>
      <c r="BX559" s="76"/>
      <c r="BY559" s="76"/>
      <c r="BZ559" s="76"/>
      <c r="CA559" s="76"/>
      <c r="CB559" s="76"/>
      <c r="CC559" s="76"/>
      <c r="CD559" s="76"/>
      <c r="CE559" s="76"/>
      <c r="CF559" s="76">
        <f>+CE559*28000</f>
        <v>0</v>
      </c>
      <c r="CG559" s="76"/>
      <c r="CH559" s="76">
        <f>+CG559*22500</f>
        <v>0</v>
      </c>
      <c r="CI559" s="76"/>
      <c r="CJ559" s="76">
        <f>+CI559*26000</f>
        <v>0</v>
      </c>
      <c r="CK559" s="76"/>
      <c r="CL559" s="76"/>
      <c r="CM559" s="76"/>
      <c r="CN559" s="76">
        <f>+CM559*22000</f>
        <v>0</v>
      </c>
      <c r="CO559" s="76"/>
      <c r="CP559" s="76">
        <f>+CO559*46000</f>
        <v>0</v>
      </c>
      <c r="CQ559" s="76"/>
      <c r="CR559" s="76">
        <f>+CQ559*49000</f>
        <v>0</v>
      </c>
      <c r="CS559" s="76"/>
      <c r="CT559" s="76"/>
      <c r="CU559" s="56">
        <f>AN559+AP559+AR559+AT559+AV559+AX559+AZ559+BB559+BD559+BF559+BH559+BJ559+BL559+BN559+BP559+BR559+BT559+BV559+BX559+BZ559+CB559+CD559+CF559+CH559+CJ559+CL559+CN559+CP559+CR559+CT559</f>
        <v>0</v>
      </c>
      <c r="CV559" s="76"/>
      <c r="CW559" s="76">
        <f>+CV559*1100</f>
        <v>0</v>
      </c>
      <c r="CX559" s="76"/>
      <c r="CY559" s="76">
        <f>+CX559*106250</f>
        <v>0</v>
      </c>
      <c r="CZ559" s="76"/>
      <c r="DA559" s="76">
        <f>+CZ559*34500</f>
        <v>0</v>
      </c>
      <c r="DB559" s="76"/>
      <c r="DC559" s="76">
        <f>+DB559*25000</f>
        <v>0</v>
      </c>
      <c r="DD559" s="219"/>
      <c r="DE559" s="219"/>
      <c r="DF559" s="166"/>
      <c r="DG559" s="116"/>
      <c r="DH559" s="117"/>
      <c r="DI559" s="24"/>
      <c r="DJ559" s="24"/>
      <c r="DK559" s="24"/>
      <c r="DL559" s="24"/>
      <c r="DM559" s="24"/>
      <c r="DN559" s="24"/>
      <c r="DO559" s="24"/>
      <c r="DP559" s="24"/>
      <c r="DQ559" s="24"/>
      <c r="DR559" s="24"/>
      <c r="DS559" s="24"/>
      <c r="DT559" s="24"/>
      <c r="DU559" s="24"/>
    </row>
    <row r="560" spans="1:125" s="8" customFormat="1" ht="36" x14ac:dyDescent="0.2">
      <c r="A560" s="77">
        <v>41310</v>
      </c>
      <c r="B560" s="78" t="s">
        <v>2778</v>
      </c>
      <c r="C560" s="75" t="s">
        <v>1343</v>
      </c>
      <c r="D560" s="81" t="s">
        <v>2846</v>
      </c>
      <c r="E560" s="75" t="str">
        <f>VLOOKUP(B560&amp;C560,Divipola!$C$2:$F$1138,4,FALSE)</f>
        <v>85139</v>
      </c>
      <c r="F560" s="87"/>
      <c r="G560" s="87"/>
      <c r="H560" s="87"/>
      <c r="I560" s="87"/>
      <c r="J560" s="87"/>
      <c r="K560" s="87"/>
      <c r="L560" s="87"/>
      <c r="M560" s="87"/>
      <c r="N560" s="87"/>
      <c r="O560" s="87"/>
      <c r="P560" s="87"/>
      <c r="Q560" s="87"/>
      <c r="R560" s="87"/>
      <c r="S560" s="87"/>
      <c r="T560" s="87"/>
      <c r="U560" s="88">
        <v>9</v>
      </c>
      <c r="V560" s="89"/>
      <c r="W560" s="96">
        <v>0</v>
      </c>
      <c r="X560" s="71">
        <f>CU560</f>
        <v>0</v>
      </c>
      <c r="Y560" s="71">
        <f>CY560</f>
        <v>0</v>
      </c>
      <c r="Z560" s="71">
        <f>DA560+DC560+DE560</f>
        <v>0</v>
      </c>
      <c r="AA560" s="71">
        <f>CW560</f>
        <v>0</v>
      </c>
      <c r="AB560" s="71"/>
      <c r="AC560" s="71">
        <v>0</v>
      </c>
      <c r="AD560" s="71">
        <f>W560+X560+Y560+Z560+AA560+AB560+AC560</f>
        <v>0</v>
      </c>
      <c r="AE560" s="72">
        <v>0</v>
      </c>
      <c r="AF560" s="5"/>
      <c r="AG560" s="6"/>
      <c r="AH560" s="27" t="s">
        <v>3392</v>
      </c>
      <c r="AI560" s="44" t="s">
        <v>3393</v>
      </c>
      <c r="AJ560" s="26"/>
      <c r="AK560" s="5"/>
      <c r="AL560" s="82" t="s">
        <v>3676</v>
      </c>
      <c r="AM560" s="76"/>
      <c r="AN560" s="76"/>
      <c r="AO560" s="76"/>
      <c r="AP560" s="76"/>
      <c r="AQ560" s="76"/>
      <c r="AR560" s="76"/>
      <c r="AS560" s="76"/>
      <c r="AT560" s="76"/>
      <c r="AU560" s="76"/>
      <c r="AV560" s="76"/>
      <c r="AW560" s="76"/>
      <c r="AX560" s="76">
        <f>+AW560*600000</f>
        <v>0</v>
      </c>
      <c r="AY560" s="76"/>
      <c r="AZ560" s="76">
        <f>+AY560*70000</f>
        <v>0</v>
      </c>
      <c r="BA560" s="76"/>
      <c r="BB560" s="76"/>
      <c r="BC560" s="76"/>
      <c r="BD560" s="76">
        <f>+BC560*30000</f>
        <v>0</v>
      </c>
      <c r="BE560" s="76"/>
      <c r="BF560" s="76"/>
      <c r="BG560" s="76"/>
      <c r="BH560" s="76"/>
      <c r="BI560" s="76"/>
      <c r="BJ560" s="76"/>
      <c r="BK560" s="76"/>
      <c r="BL560" s="76">
        <f>+BK560*31500</f>
        <v>0</v>
      </c>
      <c r="BM560" s="76"/>
      <c r="BN560" s="76"/>
      <c r="BO560" s="76"/>
      <c r="BP560" s="76"/>
      <c r="BQ560" s="76"/>
      <c r="BR560" s="76"/>
      <c r="BS560" s="76"/>
      <c r="BT560" s="76"/>
      <c r="BU560" s="76"/>
      <c r="BV560" s="76"/>
      <c r="BW560" s="76"/>
      <c r="BX560" s="76"/>
      <c r="BY560" s="76"/>
      <c r="BZ560" s="76"/>
      <c r="CA560" s="76"/>
      <c r="CB560" s="76"/>
      <c r="CC560" s="76"/>
      <c r="CD560" s="76"/>
      <c r="CE560" s="76"/>
      <c r="CF560" s="76">
        <f>+CE560*28000</f>
        <v>0</v>
      </c>
      <c r="CG560" s="76"/>
      <c r="CH560" s="76">
        <f>+CG560*22500</f>
        <v>0</v>
      </c>
      <c r="CI560" s="76"/>
      <c r="CJ560" s="76">
        <f>+CI560*26000</f>
        <v>0</v>
      </c>
      <c r="CK560" s="76"/>
      <c r="CL560" s="76"/>
      <c r="CM560" s="76"/>
      <c r="CN560" s="76">
        <f>+CM560*22000</f>
        <v>0</v>
      </c>
      <c r="CO560" s="76"/>
      <c r="CP560" s="76">
        <f>+CO560*46000</f>
        <v>0</v>
      </c>
      <c r="CQ560" s="76"/>
      <c r="CR560" s="76">
        <f>+CQ560*49000</f>
        <v>0</v>
      </c>
      <c r="CS560" s="76"/>
      <c r="CT560" s="76"/>
      <c r="CU560" s="56">
        <f>AN560+AP560+AR560+AT560+AV560+AX560+AZ560+BB560+BD560+BF560+BH560+BJ560+BL560+BN560+BP560+BR560+BT560+BV560+BX560+BZ560+CB560+CD560+CF560+CH560+CJ560+CL560+CN560+CP560+CR560+CT560</f>
        <v>0</v>
      </c>
      <c r="CV560" s="76"/>
      <c r="CW560" s="76">
        <f>+CV560*1100</f>
        <v>0</v>
      </c>
      <c r="CX560" s="76"/>
      <c r="CY560" s="76">
        <f>+CX560*106250</f>
        <v>0</v>
      </c>
      <c r="CZ560" s="76"/>
      <c r="DA560" s="76">
        <f>+CZ560*34500</f>
        <v>0</v>
      </c>
      <c r="DB560" s="76"/>
      <c r="DC560" s="76">
        <f>+DB560*25000</f>
        <v>0</v>
      </c>
      <c r="DD560" s="219"/>
      <c r="DE560" s="219"/>
      <c r="DF560" s="166"/>
      <c r="DG560" s="116"/>
      <c r="DH560" s="117"/>
      <c r="DI560" s="24"/>
      <c r="DJ560" s="24"/>
      <c r="DK560" s="24"/>
      <c r="DL560" s="24"/>
      <c r="DM560" s="24"/>
      <c r="DN560" s="24"/>
      <c r="DO560" s="24"/>
      <c r="DP560" s="24"/>
      <c r="DQ560" s="24"/>
      <c r="DR560" s="24"/>
      <c r="DS560" s="24"/>
      <c r="DT560" s="24"/>
      <c r="DU560" s="24"/>
    </row>
    <row r="561" spans="1:125" s="8" customFormat="1" ht="48" x14ac:dyDescent="0.2">
      <c r="A561" s="77">
        <v>41310</v>
      </c>
      <c r="B561" s="78" t="s">
        <v>2778</v>
      </c>
      <c r="C561" s="75" t="s">
        <v>1271</v>
      </c>
      <c r="D561" s="81" t="s">
        <v>2846</v>
      </c>
      <c r="E561" s="75" t="str">
        <f>VLOOKUP(B561&amp;C561,Divipola!$C$2:$F$1138,4,FALSE)</f>
        <v>85410</v>
      </c>
      <c r="F561" s="87"/>
      <c r="G561" s="87"/>
      <c r="H561" s="87"/>
      <c r="I561" s="87"/>
      <c r="J561" s="87"/>
      <c r="K561" s="87"/>
      <c r="L561" s="87"/>
      <c r="M561" s="87"/>
      <c r="N561" s="87"/>
      <c r="O561" s="87"/>
      <c r="P561" s="87"/>
      <c r="Q561" s="87"/>
      <c r="R561" s="87"/>
      <c r="S561" s="87"/>
      <c r="T561" s="87"/>
      <c r="U561" s="88">
        <v>5</v>
      </c>
      <c r="V561" s="89"/>
      <c r="W561" s="96">
        <v>0</v>
      </c>
      <c r="X561" s="71">
        <f>CU561</f>
        <v>0</v>
      </c>
      <c r="Y561" s="71">
        <f>CY561</f>
        <v>0</v>
      </c>
      <c r="Z561" s="71">
        <f>DA561+DC561+DE561</f>
        <v>0</v>
      </c>
      <c r="AA561" s="71">
        <f>CW561</f>
        <v>0</v>
      </c>
      <c r="AB561" s="71"/>
      <c r="AC561" s="71">
        <v>0</v>
      </c>
      <c r="AD561" s="71">
        <f>W561+X561+Y561+Z561+AA561+AB561+AC561</f>
        <v>0</v>
      </c>
      <c r="AE561" s="72">
        <v>0</v>
      </c>
      <c r="AF561" s="5"/>
      <c r="AG561" s="6"/>
      <c r="AH561" s="27" t="s">
        <v>3392</v>
      </c>
      <c r="AI561" s="44" t="s">
        <v>3393</v>
      </c>
      <c r="AJ561" s="26"/>
      <c r="AK561" s="5"/>
      <c r="AL561" s="82" t="s">
        <v>3808</v>
      </c>
      <c r="AM561" s="76"/>
      <c r="AN561" s="76"/>
      <c r="AO561" s="76"/>
      <c r="AP561" s="76"/>
      <c r="AQ561" s="76"/>
      <c r="AR561" s="76"/>
      <c r="AS561" s="76"/>
      <c r="AT561" s="76"/>
      <c r="AU561" s="76"/>
      <c r="AV561" s="76"/>
      <c r="AW561" s="76"/>
      <c r="AX561" s="76">
        <f>+AW561*600000</f>
        <v>0</v>
      </c>
      <c r="AY561" s="76"/>
      <c r="AZ561" s="76">
        <f>+AY561*70000</f>
        <v>0</v>
      </c>
      <c r="BA561" s="76"/>
      <c r="BB561" s="76"/>
      <c r="BC561" s="76"/>
      <c r="BD561" s="76">
        <f>+BC561*30000</f>
        <v>0</v>
      </c>
      <c r="BE561" s="76"/>
      <c r="BF561" s="76"/>
      <c r="BG561" s="76"/>
      <c r="BH561" s="76"/>
      <c r="BI561" s="76"/>
      <c r="BJ561" s="76"/>
      <c r="BK561" s="76"/>
      <c r="BL561" s="76">
        <f>+BK561*31500</f>
        <v>0</v>
      </c>
      <c r="BM561" s="76"/>
      <c r="BN561" s="76"/>
      <c r="BO561" s="76"/>
      <c r="BP561" s="76"/>
      <c r="BQ561" s="76"/>
      <c r="BR561" s="76"/>
      <c r="BS561" s="76"/>
      <c r="BT561" s="76"/>
      <c r="BU561" s="76"/>
      <c r="BV561" s="76"/>
      <c r="BW561" s="76"/>
      <c r="BX561" s="76"/>
      <c r="BY561" s="76"/>
      <c r="BZ561" s="76"/>
      <c r="CA561" s="76"/>
      <c r="CB561" s="76"/>
      <c r="CC561" s="76"/>
      <c r="CD561" s="76"/>
      <c r="CE561" s="76"/>
      <c r="CF561" s="76">
        <f>+CE561*28000</f>
        <v>0</v>
      </c>
      <c r="CG561" s="76"/>
      <c r="CH561" s="76">
        <f>+CG561*22500</f>
        <v>0</v>
      </c>
      <c r="CI561" s="76"/>
      <c r="CJ561" s="76">
        <f>+CI561*26000</f>
        <v>0</v>
      </c>
      <c r="CK561" s="76"/>
      <c r="CL561" s="76"/>
      <c r="CM561" s="76"/>
      <c r="CN561" s="76">
        <f>+CM561*22000</f>
        <v>0</v>
      </c>
      <c r="CO561" s="76"/>
      <c r="CP561" s="76">
        <f>+CO561*46000</f>
        <v>0</v>
      </c>
      <c r="CQ561" s="76"/>
      <c r="CR561" s="76">
        <f>+CQ561*49000</f>
        <v>0</v>
      </c>
      <c r="CS561" s="76"/>
      <c r="CT561" s="76"/>
      <c r="CU561" s="56">
        <f>AN561+AP561+AR561+AT561+AV561+AX561+AZ561+BB561+BD561+BF561+BH561+BJ561+BL561+BN561+BP561+BR561+BT561+BV561+BX561+BZ561+CB561+CD561+CF561+CH561+CJ561+CL561+CN561+CP561+CR561+CT561</f>
        <v>0</v>
      </c>
      <c r="CV561" s="76"/>
      <c r="CW561" s="76">
        <f>+CV561*1100</f>
        <v>0</v>
      </c>
      <c r="CX561" s="76"/>
      <c r="CY561" s="76">
        <f>+CX561*106250</f>
        <v>0</v>
      </c>
      <c r="CZ561" s="76"/>
      <c r="DA561" s="76">
        <f>+CZ561*34500</f>
        <v>0</v>
      </c>
      <c r="DB561" s="76"/>
      <c r="DC561" s="76">
        <f>+DB561*25000</f>
        <v>0</v>
      </c>
      <c r="DD561" s="219"/>
      <c r="DE561" s="219"/>
      <c r="DF561" s="166"/>
      <c r="DG561" s="116"/>
      <c r="DH561" s="117"/>
      <c r="DI561" s="24"/>
      <c r="DJ561" s="24"/>
      <c r="DK561" s="24"/>
      <c r="DL561" s="24"/>
      <c r="DM561" s="24"/>
      <c r="DN561" s="24"/>
      <c r="DO561" s="24"/>
      <c r="DP561" s="24"/>
      <c r="DQ561" s="24"/>
      <c r="DR561" s="24"/>
      <c r="DS561" s="24"/>
      <c r="DT561" s="24"/>
      <c r="DU561" s="24"/>
    </row>
    <row r="562" spans="1:125" s="8" customFormat="1" ht="96" x14ac:dyDescent="0.2">
      <c r="A562" s="77">
        <v>41310</v>
      </c>
      <c r="B562" s="78" t="s">
        <v>2855</v>
      </c>
      <c r="C562" s="75" t="s">
        <v>2070</v>
      </c>
      <c r="D562" s="75" t="s">
        <v>2882</v>
      </c>
      <c r="E562" s="75" t="str">
        <f>VLOOKUP(B562&amp;C562,Divipola!$C$2:$F$1138,4,FALSE)</f>
        <v>20770</v>
      </c>
      <c r="F562" s="87"/>
      <c r="G562" s="87"/>
      <c r="H562" s="87"/>
      <c r="I562" s="87">
        <v>80</v>
      </c>
      <c r="J562" s="87">
        <v>16</v>
      </c>
      <c r="K562" s="87"/>
      <c r="L562" s="87">
        <v>16</v>
      </c>
      <c r="M562" s="87"/>
      <c r="N562" s="87"/>
      <c r="O562" s="87"/>
      <c r="P562" s="87"/>
      <c r="Q562" s="87"/>
      <c r="R562" s="87"/>
      <c r="S562" s="87"/>
      <c r="T562" s="87"/>
      <c r="U562" s="88"/>
      <c r="V562" s="89"/>
      <c r="W562" s="96">
        <v>0</v>
      </c>
      <c r="X562" s="71">
        <f>CU562</f>
        <v>0</v>
      </c>
      <c r="Y562" s="71">
        <f>CY562</f>
        <v>0</v>
      </c>
      <c r="Z562" s="71">
        <f>DA562+DC562+DE562</f>
        <v>0</v>
      </c>
      <c r="AA562" s="71">
        <f>CW562</f>
        <v>0</v>
      </c>
      <c r="AB562" s="71"/>
      <c r="AC562" s="71">
        <v>0</v>
      </c>
      <c r="AD562" s="71">
        <f>W562+X562+Y562+Z562+AA562+AB562+AC562</f>
        <v>0</v>
      </c>
      <c r="AE562" s="72">
        <v>0</v>
      </c>
      <c r="AF562" s="5"/>
      <c r="AG562" s="6"/>
      <c r="AH562" s="27" t="s">
        <v>3392</v>
      </c>
      <c r="AI562" s="44" t="s">
        <v>3393</v>
      </c>
      <c r="AJ562" s="26"/>
      <c r="AK562" s="5"/>
      <c r="AL562" s="82" t="s">
        <v>3404</v>
      </c>
      <c r="AM562" s="76"/>
      <c r="AN562" s="76"/>
      <c r="AO562" s="76"/>
      <c r="AP562" s="76"/>
      <c r="AQ562" s="76"/>
      <c r="AR562" s="76"/>
      <c r="AS562" s="76"/>
      <c r="AT562" s="76"/>
      <c r="AU562" s="76"/>
      <c r="AV562" s="76"/>
      <c r="AW562" s="76"/>
      <c r="AX562" s="76">
        <f>+AW562*600000</f>
        <v>0</v>
      </c>
      <c r="AY562" s="76"/>
      <c r="AZ562" s="76">
        <f>+AY562*70000</f>
        <v>0</v>
      </c>
      <c r="BA562" s="76"/>
      <c r="BB562" s="76"/>
      <c r="BC562" s="76"/>
      <c r="BD562" s="76">
        <f>+BC562*30000</f>
        <v>0</v>
      </c>
      <c r="BE562" s="76"/>
      <c r="BF562" s="76"/>
      <c r="BG562" s="76"/>
      <c r="BH562" s="76"/>
      <c r="BI562" s="76"/>
      <c r="BJ562" s="76"/>
      <c r="BK562" s="76"/>
      <c r="BL562" s="76">
        <f>+BK562*31500</f>
        <v>0</v>
      </c>
      <c r="BM562" s="76"/>
      <c r="BN562" s="76"/>
      <c r="BO562" s="76"/>
      <c r="BP562" s="76"/>
      <c r="BQ562" s="76"/>
      <c r="BR562" s="76"/>
      <c r="BS562" s="76"/>
      <c r="BT562" s="76"/>
      <c r="BU562" s="76"/>
      <c r="BV562" s="76"/>
      <c r="BW562" s="76"/>
      <c r="BX562" s="76"/>
      <c r="BY562" s="76"/>
      <c r="BZ562" s="76"/>
      <c r="CA562" s="76"/>
      <c r="CB562" s="76"/>
      <c r="CC562" s="76"/>
      <c r="CD562" s="76"/>
      <c r="CE562" s="76"/>
      <c r="CF562" s="76">
        <f>+CE562*28000</f>
        <v>0</v>
      </c>
      <c r="CG562" s="76"/>
      <c r="CH562" s="76">
        <f>+CG562*22500</f>
        <v>0</v>
      </c>
      <c r="CI562" s="76"/>
      <c r="CJ562" s="76">
        <f>+CI562*26000</f>
        <v>0</v>
      </c>
      <c r="CK562" s="76"/>
      <c r="CL562" s="76"/>
      <c r="CM562" s="76"/>
      <c r="CN562" s="76">
        <f>+CM562*22000</f>
        <v>0</v>
      </c>
      <c r="CO562" s="76"/>
      <c r="CP562" s="76">
        <f>+CO562*46000</f>
        <v>0</v>
      </c>
      <c r="CQ562" s="76"/>
      <c r="CR562" s="76">
        <f>+CQ562*49000</f>
        <v>0</v>
      </c>
      <c r="CS562" s="76"/>
      <c r="CT562" s="76"/>
      <c r="CU562" s="56">
        <f>AN562+AP562+AR562+AT562+AV562+AX562+AZ562+BB562+BD562+BF562+BH562+BJ562+BL562+BN562+BP562+BR562+BT562+BV562+BX562+BZ562+CB562+CD562+CF562+CH562+CJ562+CL562+CN562+CP562+CR562+CT562</f>
        <v>0</v>
      </c>
      <c r="CV562" s="76"/>
      <c r="CW562" s="76">
        <f>+CV562*1100</f>
        <v>0</v>
      </c>
      <c r="CX562" s="76"/>
      <c r="CY562" s="76">
        <f>+CX562*106250</f>
        <v>0</v>
      </c>
      <c r="CZ562" s="76"/>
      <c r="DA562" s="76">
        <f>+CZ562*34500</f>
        <v>0</v>
      </c>
      <c r="DB562" s="76"/>
      <c r="DC562" s="76">
        <f>+DB562*25000</f>
        <v>0</v>
      </c>
      <c r="DD562" s="219"/>
      <c r="DE562" s="219"/>
      <c r="DF562" s="166"/>
      <c r="DG562" s="116"/>
      <c r="DH562" s="117"/>
      <c r="DI562" s="24"/>
      <c r="DJ562" s="24"/>
      <c r="DK562" s="24"/>
      <c r="DL562" s="24"/>
      <c r="DM562" s="24"/>
      <c r="DN562" s="24"/>
      <c r="DO562" s="24"/>
      <c r="DP562" s="24"/>
      <c r="DQ562" s="24"/>
      <c r="DR562" s="24"/>
      <c r="DS562" s="24"/>
      <c r="DT562" s="24"/>
      <c r="DU562" s="24"/>
    </row>
    <row r="563" spans="1:125" s="8" customFormat="1" ht="120" x14ac:dyDescent="0.2">
      <c r="A563" s="77">
        <v>41310</v>
      </c>
      <c r="B563" s="225" t="s">
        <v>2772</v>
      </c>
      <c r="C563" s="227" t="s">
        <v>1062</v>
      </c>
      <c r="D563" s="81" t="s">
        <v>2846</v>
      </c>
      <c r="E563" s="75" t="str">
        <f>VLOOKUP(B563&amp;C563,Divipola!$C$2:$F$1138,4,FALSE)</f>
        <v>25293</v>
      </c>
      <c r="F563" s="87"/>
      <c r="G563" s="87"/>
      <c r="H563" s="87"/>
      <c r="I563" s="87"/>
      <c r="J563" s="87"/>
      <c r="K563" s="87"/>
      <c r="L563" s="87"/>
      <c r="M563" s="87"/>
      <c r="N563" s="87"/>
      <c r="O563" s="87"/>
      <c r="P563" s="87"/>
      <c r="Q563" s="87"/>
      <c r="R563" s="87"/>
      <c r="S563" s="87"/>
      <c r="T563" s="87"/>
      <c r="U563" s="88">
        <v>5</v>
      </c>
      <c r="V563" s="89"/>
      <c r="W563" s="96">
        <v>0</v>
      </c>
      <c r="X563" s="71">
        <f>CU563</f>
        <v>0</v>
      </c>
      <c r="Y563" s="71">
        <f>CY563</f>
        <v>0</v>
      </c>
      <c r="Z563" s="71">
        <f>DA563+DC563+DE563</f>
        <v>0</v>
      </c>
      <c r="AA563" s="71">
        <f>CW563</f>
        <v>0</v>
      </c>
      <c r="AB563" s="71"/>
      <c r="AC563" s="71">
        <v>0</v>
      </c>
      <c r="AD563" s="71">
        <f>W563+X563+Y563+Z563+AA563+AB563+AC563</f>
        <v>0</v>
      </c>
      <c r="AE563" s="72">
        <v>0</v>
      </c>
      <c r="AF563" s="5"/>
      <c r="AG563" s="6"/>
      <c r="AH563" s="27" t="s">
        <v>3392</v>
      </c>
      <c r="AI563" s="44" t="s">
        <v>3393</v>
      </c>
      <c r="AJ563" s="26"/>
      <c r="AK563" s="5"/>
      <c r="AL563" s="82" t="s">
        <v>3416</v>
      </c>
      <c r="AM563" s="76"/>
      <c r="AN563" s="76"/>
      <c r="AO563" s="76"/>
      <c r="AP563" s="76"/>
      <c r="AQ563" s="76"/>
      <c r="AR563" s="76"/>
      <c r="AS563" s="76"/>
      <c r="AT563" s="76"/>
      <c r="AU563" s="76"/>
      <c r="AV563" s="76"/>
      <c r="AW563" s="76"/>
      <c r="AX563" s="76">
        <f>+AW563*600000</f>
        <v>0</v>
      </c>
      <c r="AY563" s="76"/>
      <c r="AZ563" s="76">
        <f>+AY563*70000</f>
        <v>0</v>
      </c>
      <c r="BA563" s="76"/>
      <c r="BB563" s="76"/>
      <c r="BC563" s="76"/>
      <c r="BD563" s="76">
        <f>+BC563*30000</f>
        <v>0</v>
      </c>
      <c r="BE563" s="76"/>
      <c r="BF563" s="76"/>
      <c r="BG563" s="76"/>
      <c r="BH563" s="76"/>
      <c r="BI563" s="76"/>
      <c r="BJ563" s="76"/>
      <c r="BK563" s="76"/>
      <c r="BL563" s="76">
        <f>+BK563*31500</f>
        <v>0</v>
      </c>
      <c r="BM563" s="76"/>
      <c r="BN563" s="76"/>
      <c r="BO563" s="76"/>
      <c r="BP563" s="76"/>
      <c r="BQ563" s="76"/>
      <c r="BR563" s="76"/>
      <c r="BS563" s="76"/>
      <c r="BT563" s="76"/>
      <c r="BU563" s="76"/>
      <c r="BV563" s="76"/>
      <c r="BW563" s="76"/>
      <c r="BX563" s="76"/>
      <c r="BY563" s="76"/>
      <c r="BZ563" s="76"/>
      <c r="CA563" s="76"/>
      <c r="CB563" s="76"/>
      <c r="CC563" s="76"/>
      <c r="CD563" s="76"/>
      <c r="CE563" s="76"/>
      <c r="CF563" s="76">
        <f>+CE563*28000</f>
        <v>0</v>
      </c>
      <c r="CG563" s="76"/>
      <c r="CH563" s="76">
        <f>+CG563*22500</f>
        <v>0</v>
      </c>
      <c r="CI563" s="76"/>
      <c r="CJ563" s="76">
        <f>+CI563*26000</f>
        <v>0</v>
      </c>
      <c r="CK563" s="76"/>
      <c r="CL563" s="76"/>
      <c r="CM563" s="76"/>
      <c r="CN563" s="76">
        <f>+CM563*22000</f>
        <v>0</v>
      </c>
      <c r="CO563" s="76"/>
      <c r="CP563" s="76">
        <f>+CO563*46000</f>
        <v>0</v>
      </c>
      <c r="CQ563" s="76"/>
      <c r="CR563" s="76">
        <f>+CQ563*49000</f>
        <v>0</v>
      </c>
      <c r="CS563" s="76"/>
      <c r="CT563" s="76"/>
      <c r="CU563" s="56">
        <f>AN563+AP563+AR563+AT563+AV563+AX563+AZ563+BB563+BD563+BF563+BH563+BJ563+BL563+BN563+BP563+BR563+BT563+BV563+BX563+BZ563+CB563+CD563+CF563+CH563+CJ563+CL563+CN563+CP563+CR563+CT563</f>
        <v>0</v>
      </c>
      <c r="CV563" s="76"/>
      <c r="CW563" s="76">
        <f>+CV563*1100</f>
        <v>0</v>
      </c>
      <c r="CX563" s="76"/>
      <c r="CY563" s="76">
        <f>+CX563*106250</f>
        <v>0</v>
      </c>
      <c r="CZ563" s="76"/>
      <c r="DA563" s="76">
        <f>+CZ563*34500</f>
        <v>0</v>
      </c>
      <c r="DB563" s="76"/>
      <c r="DC563" s="76">
        <f>+DB563*25000</f>
        <v>0</v>
      </c>
      <c r="DD563" s="219"/>
      <c r="DE563" s="219"/>
      <c r="DF563" s="166"/>
      <c r="DG563" s="116"/>
      <c r="DH563" s="117"/>
      <c r="DI563" s="24"/>
      <c r="DJ563" s="24"/>
      <c r="DK563" s="24"/>
      <c r="DL563" s="24"/>
      <c r="DM563" s="24"/>
      <c r="DN563" s="24"/>
      <c r="DO563" s="24"/>
      <c r="DP563" s="24"/>
      <c r="DQ563" s="24"/>
      <c r="DR563" s="24"/>
      <c r="DS563" s="24"/>
      <c r="DT563" s="24"/>
      <c r="DU563" s="24"/>
    </row>
    <row r="564" spans="1:125" s="8" customFormat="1" ht="72" x14ac:dyDescent="0.2">
      <c r="A564" s="77">
        <v>41310</v>
      </c>
      <c r="B564" s="352" t="s">
        <v>2772</v>
      </c>
      <c r="C564" s="354" t="s">
        <v>1394</v>
      </c>
      <c r="D564" s="81" t="s">
        <v>2846</v>
      </c>
      <c r="E564" s="75" t="str">
        <f>VLOOKUP(B564&amp;C564,Divipola!$C$2:$F$1138,4,FALSE)</f>
        <v>25297</v>
      </c>
      <c r="F564" s="100"/>
      <c r="G564" s="100"/>
      <c r="H564" s="100"/>
      <c r="I564" s="100"/>
      <c r="J564" s="100"/>
      <c r="K564" s="100"/>
      <c r="L564" s="100"/>
      <c r="M564" s="100"/>
      <c r="N564" s="100"/>
      <c r="O564" s="100"/>
      <c r="P564" s="100"/>
      <c r="Q564" s="100"/>
      <c r="R564" s="100"/>
      <c r="S564" s="100"/>
      <c r="T564" s="100"/>
      <c r="U564" s="136">
        <v>7</v>
      </c>
      <c r="V564" s="89"/>
      <c r="W564" s="96">
        <v>0</v>
      </c>
      <c r="X564" s="71">
        <f>CU564</f>
        <v>0</v>
      </c>
      <c r="Y564" s="71">
        <f>CY564</f>
        <v>0</v>
      </c>
      <c r="Z564" s="71">
        <f>DA564+DC564+DE564</f>
        <v>0</v>
      </c>
      <c r="AA564" s="71">
        <f>CW564</f>
        <v>0</v>
      </c>
      <c r="AB564" s="71"/>
      <c r="AC564" s="71">
        <v>0</v>
      </c>
      <c r="AD564" s="71">
        <f>W564+X564+Y564+Z564+AA564+AB564+AC564</f>
        <v>0</v>
      </c>
      <c r="AE564" s="72">
        <v>0</v>
      </c>
      <c r="AF564" s="5"/>
      <c r="AG564" s="6"/>
      <c r="AH564" s="27" t="s">
        <v>3392</v>
      </c>
      <c r="AI564" s="44" t="s">
        <v>3393</v>
      </c>
      <c r="AJ564" s="26"/>
      <c r="AK564" s="5"/>
      <c r="AL564" s="82" t="s">
        <v>3414</v>
      </c>
      <c r="AM564" s="76"/>
      <c r="AN564" s="76"/>
      <c r="AO564" s="76"/>
      <c r="AP564" s="76"/>
      <c r="AQ564" s="76"/>
      <c r="AR564" s="76"/>
      <c r="AS564" s="76"/>
      <c r="AT564" s="76"/>
      <c r="AU564" s="76"/>
      <c r="AV564" s="76"/>
      <c r="AW564" s="76"/>
      <c r="AX564" s="76">
        <f>+AW564*600000</f>
        <v>0</v>
      </c>
      <c r="AY564" s="76"/>
      <c r="AZ564" s="76">
        <f>+AY564*70000</f>
        <v>0</v>
      </c>
      <c r="BA564" s="76"/>
      <c r="BB564" s="76"/>
      <c r="BC564" s="76"/>
      <c r="BD564" s="76">
        <f>+BC564*30000</f>
        <v>0</v>
      </c>
      <c r="BE564" s="76"/>
      <c r="BF564" s="76"/>
      <c r="BG564" s="76"/>
      <c r="BH564" s="76"/>
      <c r="BI564" s="76"/>
      <c r="BJ564" s="76"/>
      <c r="BK564" s="76"/>
      <c r="BL564" s="76">
        <f>+BK564*31500</f>
        <v>0</v>
      </c>
      <c r="BM564" s="76"/>
      <c r="BN564" s="76"/>
      <c r="BO564" s="76"/>
      <c r="BP564" s="76"/>
      <c r="BQ564" s="76"/>
      <c r="BR564" s="76"/>
      <c r="BS564" s="76"/>
      <c r="BT564" s="76"/>
      <c r="BU564" s="76"/>
      <c r="BV564" s="76"/>
      <c r="BW564" s="76"/>
      <c r="BX564" s="76"/>
      <c r="BY564" s="76"/>
      <c r="BZ564" s="76"/>
      <c r="CA564" s="76"/>
      <c r="CB564" s="76"/>
      <c r="CC564" s="76"/>
      <c r="CD564" s="76"/>
      <c r="CE564" s="76"/>
      <c r="CF564" s="76">
        <f>+CE564*28000</f>
        <v>0</v>
      </c>
      <c r="CG564" s="76"/>
      <c r="CH564" s="76">
        <f>+CG564*22500</f>
        <v>0</v>
      </c>
      <c r="CI564" s="76"/>
      <c r="CJ564" s="76">
        <f>+CI564*26000</f>
        <v>0</v>
      </c>
      <c r="CK564" s="76"/>
      <c r="CL564" s="76"/>
      <c r="CM564" s="76"/>
      <c r="CN564" s="76">
        <f>+CM564*22000</f>
        <v>0</v>
      </c>
      <c r="CO564" s="76"/>
      <c r="CP564" s="76">
        <f>+CO564*46000</f>
        <v>0</v>
      </c>
      <c r="CQ564" s="76"/>
      <c r="CR564" s="76">
        <f>+CQ564*49000</f>
        <v>0</v>
      </c>
      <c r="CS564" s="76"/>
      <c r="CT564" s="76"/>
      <c r="CU564" s="56">
        <f>AN564+AP564+AR564+AT564+AV564+AX564+AZ564+BB564+BD564+BF564+BH564+BJ564+BL564+BN564+BP564+BR564+BT564+BV564+BX564+BZ564+CB564+CD564+CF564+CH564+CJ564+CL564+CN564+CP564+CR564+CT564</f>
        <v>0</v>
      </c>
      <c r="CV564" s="76"/>
      <c r="CW564" s="76">
        <f>+CV564*1100</f>
        <v>0</v>
      </c>
      <c r="CX564" s="76"/>
      <c r="CY564" s="76">
        <f>+CX564*106250</f>
        <v>0</v>
      </c>
      <c r="CZ564" s="76"/>
      <c r="DA564" s="76">
        <f>+CZ564*34500</f>
        <v>0</v>
      </c>
      <c r="DB564" s="76"/>
      <c r="DC564" s="76">
        <f>+DB564*25000</f>
        <v>0</v>
      </c>
      <c r="DD564" s="219"/>
      <c r="DE564" s="219"/>
      <c r="DF564" s="166"/>
      <c r="DG564" s="116"/>
      <c r="DH564" s="117"/>
      <c r="DI564" s="24"/>
      <c r="DJ564" s="24"/>
      <c r="DK564" s="24"/>
      <c r="DL564" s="24"/>
      <c r="DM564" s="24"/>
      <c r="DN564" s="24"/>
      <c r="DO564" s="24"/>
      <c r="DP564" s="24"/>
      <c r="DQ564" s="24"/>
      <c r="DR564" s="24"/>
      <c r="DS564" s="24"/>
      <c r="DT564" s="24"/>
      <c r="DU564" s="24"/>
    </row>
    <row r="565" spans="1:125" s="8" customFormat="1" ht="84" x14ac:dyDescent="0.2">
      <c r="A565" s="77">
        <v>41310</v>
      </c>
      <c r="B565" s="78" t="s">
        <v>2772</v>
      </c>
      <c r="C565" s="75" t="s">
        <v>2835</v>
      </c>
      <c r="D565" s="81" t="s">
        <v>2846</v>
      </c>
      <c r="E565" s="75" t="str">
        <f>VLOOKUP(B565&amp;C565,Divipola!$C$2:$F$1138,4,FALSE)</f>
        <v>25873</v>
      </c>
      <c r="F565" s="87"/>
      <c r="G565" s="87"/>
      <c r="H565" s="87"/>
      <c r="I565" s="87"/>
      <c r="J565" s="87"/>
      <c r="K565" s="87"/>
      <c r="L565" s="87"/>
      <c r="M565" s="87"/>
      <c r="N565" s="87"/>
      <c r="O565" s="87"/>
      <c r="P565" s="87"/>
      <c r="Q565" s="87"/>
      <c r="R565" s="87"/>
      <c r="S565" s="87"/>
      <c r="T565" s="87"/>
      <c r="U565" s="88">
        <v>1</v>
      </c>
      <c r="V565" s="89"/>
      <c r="W565" s="96">
        <v>0</v>
      </c>
      <c r="X565" s="71">
        <f>CU565</f>
        <v>0</v>
      </c>
      <c r="Y565" s="71">
        <f>CY565</f>
        <v>0</v>
      </c>
      <c r="Z565" s="71">
        <f>DA565+DC565+DE565</f>
        <v>0</v>
      </c>
      <c r="AA565" s="71">
        <f>CW565</f>
        <v>0</v>
      </c>
      <c r="AB565" s="71"/>
      <c r="AC565" s="71">
        <v>0</v>
      </c>
      <c r="AD565" s="71">
        <f>W565+X565+Y565+Z565+AA565+AB565+AC565</f>
        <v>0</v>
      </c>
      <c r="AE565" s="72">
        <v>0</v>
      </c>
      <c r="AF565" s="5"/>
      <c r="AG565" s="6"/>
      <c r="AH565" s="27" t="s">
        <v>3392</v>
      </c>
      <c r="AI565" s="44" t="s">
        <v>3393</v>
      </c>
      <c r="AJ565" s="26"/>
      <c r="AK565" s="5"/>
      <c r="AL565" s="82" t="s">
        <v>3415</v>
      </c>
      <c r="AM565" s="76"/>
      <c r="AN565" s="76"/>
      <c r="AO565" s="76"/>
      <c r="AP565" s="76"/>
      <c r="AQ565" s="76"/>
      <c r="AR565" s="76"/>
      <c r="AS565" s="76"/>
      <c r="AT565" s="76"/>
      <c r="AU565" s="76"/>
      <c r="AV565" s="76"/>
      <c r="AW565" s="76"/>
      <c r="AX565" s="76">
        <f>+AW565*600000</f>
        <v>0</v>
      </c>
      <c r="AY565" s="76"/>
      <c r="AZ565" s="76">
        <f>+AY565*70000</f>
        <v>0</v>
      </c>
      <c r="BA565" s="76"/>
      <c r="BB565" s="76"/>
      <c r="BC565" s="76"/>
      <c r="BD565" s="76">
        <f>+BC565*30000</f>
        <v>0</v>
      </c>
      <c r="BE565" s="76"/>
      <c r="BF565" s="76"/>
      <c r="BG565" s="76"/>
      <c r="BH565" s="76"/>
      <c r="BI565" s="76"/>
      <c r="BJ565" s="76"/>
      <c r="BK565" s="76"/>
      <c r="BL565" s="76">
        <f>+BK565*31500</f>
        <v>0</v>
      </c>
      <c r="BM565" s="76"/>
      <c r="BN565" s="76"/>
      <c r="BO565" s="76"/>
      <c r="BP565" s="76"/>
      <c r="BQ565" s="76"/>
      <c r="BR565" s="76"/>
      <c r="BS565" s="76"/>
      <c r="BT565" s="76"/>
      <c r="BU565" s="76"/>
      <c r="BV565" s="76"/>
      <c r="BW565" s="76"/>
      <c r="BX565" s="76"/>
      <c r="BY565" s="76"/>
      <c r="BZ565" s="76"/>
      <c r="CA565" s="76"/>
      <c r="CB565" s="76"/>
      <c r="CC565" s="76"/>
      <c r="CD565" s="76"/>
      <c r="CE565" s="76"/>
      <c r="CF565" s="76">
        <f>+CE565*28000</f>
        <v>0</v>
      </c>
      <c r="CG565" s="76"/>
      <c r="CH565" s="76">
        <f>+CG565*22500</f>
        <v>0</v>
      </c>
      <c r="CI565" s="76"/>
      <c r="CJ565" s="76">
        <f>+CI565*26000</f>
        <v>0</v>
      </c>
      <c r="CK565" s="76"/>
      <c r="CL565" s="76"/>
      <c r="CM565" s="76"/>
      <c r="CN565" s="76">
        <f>+CM565*22000</f>
        <v>0</v>
      </c>
      <c r="CO565" s="76"/>
      <c r="CP565" s="76">
        <f>+CO565*46000</f>
        <v>0</v>
      </c>
      <c r="CQ565" s="76"/>
      <c r="CR565" s="76">
        <f>+CQ565*49000</f>
        <v>0</v>
      </c>
      <c r="CS565" s="76"/>
      <c r="CT565" s="76"/>
      <c r="CU565" s="56">
        <f>AN565+AP565+AR565+AT565+AV565+AX565+AZ565+BB565+BD565+BF565+BH565+BJ565+BL565+BN565+BP565+BR565+BT565+BV565+BX565+BZ565+CB565+CD565+CF565+CH565+CJ565+CL565+CN565+CP565+CR565+CT565</f>
        <v>0</v>
      </c>
      <c r="CV565" s="76"/>
      <c r="CW565" s="76">
        <f>+CV565*1100</f>
        <v>0</v>
      </c>
      <c r="CX565" s="76"/>
      <c r="CY565" s="76">
        <f>+CX565*106250</f>
        <v>0</v>
      </c>
      <c r="CZ565" s="76"/>
      <c r="DA565" s="76">
        <f>+CZ565*34500</f>
        <v>0</v>
      </c>
      <c r="DB565" s="76"/>
      <c r="DC565" s="76">
        <f>+DB565*25000</f>
        <v>0</v>
      </c>
      <c r="DD565" s="219"/>
      <c r="DE565" s="219"/>
      <c r="DF565" s="166"/>
      <c r="DG565" s="116"/>
      <c r="DH565" s="117"/>
      <c r="DI565" s="24"/>
      <c r="DJ565" s="24"/>
      <c r="DK565" s="24"/>
      <c r="DL565" s="24"/>
      <c r="DM565" s="24"/>
      <c r="DN565" s="24"/>
      <c r="DO565" s="24"/>
      <c r="DP565" s="24"/>
      <c r="DQ565" s="24"/>
      <c r="DR565" s="24"/>
      <c r="DS565" s="24"/>
      <c r="DT565" s="24"/>
      <c r="DU565" s="24"/>
    </row>
    <row r="566" spans="1:125" s="8" customFormat="1" ht="48" x14ac:dyDescent="0.2">
      <c r="A566" s="77">
        <v>41310</v>
      </c>
      <c r="B566" s="78" t="s">
        <v>2860</v>
      </c>
      <c r="C566" s="75" t="s">
        <v>2776</v>
      </c>
      <c r="D566" s="84" t="s">
        <v>3088</v>
      </c>
      <c r="E566" s="75" t="str">
        <f>VLOOKUP(B566&amp;C566,Divipola!$C$2:$F$1138,4,FALSE)</f>
        <v>63001</v>
      </c>
      <c r="F566" s="87"/>
      <c r="G566" s="87"/>
      <c r="H566" s="87"/>
      <c r="I566" s="87">
        <v>10</v>
      </c>
      <c r="J566" s="87">
        <v>2</v>
      </c>
      <c r="K566" s="87"/>
      <c r="L566" s="87">
        <v>2</v>
      </c>
      <c r="M566" s="87"/>
      <c r="N566" s="87"/>
      <c r="O566" s="87"/>
      <c r="P566" s="87"/>
      <c r="Q566" s="87"/>
      <c r="R566" s="87"/>
      <c r="S566" s="87"/>
      <c r="T566" s="87"/>
      <c r="U566" s="88"/>
      <c r="V566" s="89"/>
      <c r="W566" s="96">
        <v>0</v>
      </c>
      <c r="X566" s="71">
        <f>CU566</f>
        <v>0</v>
      </c>
      <c r="Y566" s="71">
        <f>CY566</f>
        <v>0</v>
      </c>
      <c r="Z566" s="71">
        <f>DA566+DC566+DE566</f>
        <v>0</v>
      </c>
      <c r="AA566" s="71">
        <f>CW566</f>
        <v>0</v>
      </c>
      <c r="AB566" s="71"/>
      <c r="AC566" s="71">
        <v>0</v>
      </c>
      <c r="AD566" s="71">
        <f>W566+X566+Y566+Z566+AA566+AB566+AC566</f>
        <v>0</v>
      </c>
      <c r="AE566" s="72">
        <v>0</v>
      </c>
      <c r="AF566" s="5"/>
      <c r="AG566" s="6"/>
      <c r="AH566" s="27" t="s">
        <v>3390</v>
      </c>
      <c r="AI566" s="44" t="s">
        <v>3391</v>
      </c>
      <c r="AJ566" s="26"/>
      <c r="AK566" s="5" t="s">
        <v>3480</v>
      </c>
      <c r="AL566" s="82" t="s">
        <v>3407</v>
      </c>
      <c r="AM566" s="76"/>
      <c r="AN566" s="76"/>
      <c r="AO566" s="76"/>
      <c r="AP566" s="76"/>
      <c r="AQ566" s="76"/>
      <c r="AR566" s="76"/>
      <c r="AS566" s="76"/>
      <c r="AT566" s="76"/>
      <c r="AU566" s="76"/>
      <c r="AV566" s="76"/>
      <c r="AW566" s="76"/>
      <c r="AX566" s="76">
        <f>+AW566*600000</f>
        <v>0</v>
      </c>
      <c r="AY566" s="76"/>
      <c r="AZ566" s="76">
        <f>+AY566*70000</f>
        <v>0</v>
      </c>
      <c r="BA566" s="76"/>
      <c r="BB566" s="76"/>
      <c r="BC566" s="76"/>
      <c r="BD566" s="76">
        <f>+BC566*30000</f>
        <v>0</v>
      </c>
      <c r="BE566" s="76"/>
      <c r="BF566" s="76"/>
      <c r="BG566" s="76"/>
      <c r="BH566" s="76"/>
      <c r="BI566" s="76"/>
      <c r="BJ566" s="76"/>
      <c r="BK566" s="76"/>
      <c r="BL566" s="76">
        <f>+BK566*31500</f>
        <v>0</v>
      </c>
      <c r="BM566" s="76"/>
      <c r="BN566" s="76"/>
      <c r="BO566" s="76"/>
      <c r="BP566" s="76"/>
      <c r="BQ566" s="76"/>
      <c r="BR566" s="76"/>
      <c r="BS566" s="76"/>
      <c r="BT566" s="76"/>
      <c r="BU566" s="76"/>
      <c r="BV566" s="76"/>
      <c r="BW566" s="76"/>
      <c r="BX566" s="76"/>
      <c r="BY566" s="76"/>
      <c r="BZ566" s="76"/>
      <c r="CA566" s="76"/>
      <c r="CB566" s="76"/>
      <c r="CC566" s="76"/>
      <c r="CD566" s="76"/>
      <c r="CE566" s="76"/>
      <c r="CF566" s="76">
        <f>+CE566*28000</f>
        <v>0</v>
      </c>
      <c r="CG566" s="76"/>
      <c r="CH566" s="76">
        <f>+CG566*22500</f>
        <v>0</v>
      </c>
      <c r="CI566" s="76"/>
      <c r="CJ566" s="76">
        <f>+CI566*26000</f>
        <v>0</v>
      </c>
      <c r="CK566" s="76"/>
      <c r="CL566" s="76"/>
      <c r="CM566" s="76"/>
      <c r="CN566" s="76">
        <f>+CM566*22000</f>
        <v>0</v>
      </c>
      <c r="CO566" s="76"/>
      <c r="CP566" s="76">
        <f>+CO566*46000</f>
        <v>0</v>
      </c>
      <c r="CQ566" s="76"/>
      <c r="CR566" s="76">
        <f>+CQ566*49000</f>
        <v>0</v>
      </c>
      <c r="CS566" s="76"/>
      <c r="CT566" s="76"/>
      <c r="CU566" s="56">
        <f>AN566+AP566+AR566+AT566+AV566+AX566+AZ566+BB566+BD566+BF566+BH566+BJ566+BL566+BN566+BP566+BR566+BT566+BV566+BX566+BZ566+CB566+CD566+CF566+CH566+CJ566+CL566+CN566+CP566+CR566+CT566</f>
        <v>0</v>
      </c>
      <c r="CV566" s="76"/>
      <c r="CW566" s="76">
        <f>+CV566*1100</f>
        <v>0</v>
      </c>
      <c r="CX566" s="76"/>
      <c r="CY566" s="76">
        <f>+CX566*106250</f>
        <v>0</v>
      </c>
      <c r="CZ566" s="76"/>
      <c r="DA566" s="76">
        <f>+CZ566*34500</f>
        <v>0</v>
      </c>
      <c r="DB566" s="76"/>
      <c r="DC566" s="76">
        <f>+DB566*25000</f>
        <v>0</v>
      </c>
      <c r="DD566" s="219"/>
      <c r="DE566" s="219"/>
      <c r="DF566" s="166"/>
      <c r="DG566" s="116"/>
      <c r="DH566" s="117"/>
      <c r="DI566" s="24"/>
      <c r="DJ566" s="24"/>
      <c r="DK566" s="24"/>
      <c r="DL566" s="24"/>
      <c r="DM566" s="24"/>
      <c r="DN566" s="24"/>
      <c r="DO566" s="24"/>
      <c r="DP566" s="24"/>
      <c r="DQ566" s="24"/>
      <c r="DR566" s="24"/>
      <c r="DS566" s="24"/>
      <c r="DT566" s="24"/>
      <c r="DU566" s="24"/>
    </row>
    <row r="567" spans="1:125" s="8" customFormat="1" ht="48" x14ac:dyDescent="0.2">
      <c r="A567" s="77">
        <v>41310</v>
      </c>
      <c r="B567" s="225" t="s">
        <v>2860</v>
      </c>
      <c r="C567" s="227" t="s">
        <v>2776</v>
      </c>
      <c r="D567" s="227" t="s">
        <v>2859</v>
      </c>
      <c r="E567" s="75" t="str">
        <f>VLOOKUP(B567&amp;C567,Divipola!$C$2:$F$1138,4,FALSE)</f>
        <v>63001</v>
      </c>
      <c r="F567" s="87"/>
      <c r="G567" s="87"/>
      <c r="H567" s="87"/>
      <c r="I567" s="87"/>
      <c r="J567" s="87"/>
      <c r="K567" s="87"/>
      <c r="L567" s="87"/>
      <c r="M567" s="87"/>
      <c r="N567" s="87"/>
      <c r="O567" s="87"/>
      <c r="P567" s="87"/>
      <c r="Q567" s="87"/>
      <c r="R567" s="87"/>
      <c r="S567" s="87"/>
      <c r="T567" s="87"/>
      <c r="U567" s="88"/>
      <c r="V567" s="89"/>
      <c r="W567" s="96">
        <v>0</v>
      </c>
      <c r="X567" s="71">
        <f>CU567</f>
        <v>0</v>
      </c>
      <c r="Y567" s="71">
        <f>CY567</f>
        <v>0</v>
      </c>
      <c r="Z567" s="71">
        <f>DA567+DC567+DE567</f>
        <v>0</v>
      </c>
      <c r="AA567" s="71">
        <f>CW567</f>
        <v>0</v>
      </c>
      <c r="AB567" s="71"/>
      <c r="AC567" s="71">
        <v>0</v>
      </c>
      <c r="AD567" s="71">
        <f>W567+X567+Y567+Z567+AA567+AB567+AC567</f>
        <v>0</v>
      </c>
      <c r="AE567" s="72">
        <v>0</v>
      </c>
      <c r="AF567" s="5"/>
      <c r="AG567" s="6"/>
      <c r="AH567" s="27" t="s">
        <v>3392</v>
      </c>
      <c r="AI567" s="44" t="s">
        <v>3393</v>
      </c>
      <c r="AJ567" s="26"/>
      <c r="AK567" s="5"/>
      <c r="AL567" s="82" t="s">
        <v>3405</v>
      </c>
      <c r="AM567" s="76"/>
      <c r="AN567" s="76"/>
      <c r="AO567" s="76"/>
      <c r="AP567" s="76"/>
      <c r="AQ567" s="76"/>
      <c r="AR567" s="76"/>
      <c r="AS567" s="76"/>
      <c r="AT567" s="76"/>
      <c r="AU567" s="76"/>
      <c r="AV567" s="76"/>
      <c r="AW567" s="76"/>
      <c r="AX567" s="76">
        <f>+AW567*600000</f>
        <v>0</v>
      </c>
      <c r="AY567" s="76"/>
      <c r="AZ567" s="76">
        <f>+AY567*70000</f>
        <v>0</v>
      </c>
      <c r="BA567" s="76"/>
      <c r="BB567" s="76"/>
      <c r="BC567" s="76"/>
      <c r="BD567" s="76">
        <f>+BC567*30000</f>
        <v>0</v>
      </c>
      <c r="BE567" s="76"/>
      <c r="BF567" s="76"/>
      <c r="BG567" s="76"/>
      <c r="BH567" s="76"/>
      <c r="BI567" s="76"/>
      <c r="BJ567" s="76"/>
      <c r="BK567" s="76"/>
      <c r="BL567" s="76">
        <f>+BK567*31500</f>
        <v>0</v>
      </c>
      <c r="BM567" s="76"/>
      <c r="BN567" s="76"/>
      <c r="BO567" s="76"/>
      <c r="BP567" s="76"/>
      <c r="BQ567" s="76"/>
      <c r="BR567" s="76"/>
      <c r="BS567" s="76"/>
      <c r="BT567" s="76"/>
      <c r="BU567" s="76"/>
      <c r="BV567" s="76"/>
      <c r="BW567" s="76"/>
      <c r="BX567" s="76"/>
      <c r="BY567" s="76"/>
      <c r="BZ567" s="76"/>
      <c r="CA567" s="76"/>
      <c r="CB567" s="76"/>
      <c r="CC567" s="76"/>
      <c r="CD567" s="76"/>
      <c r="CE567" s="76"/>
      <c r="CF567" s="76">
        <f>+CE567*28000</f>
        <v>0</v>
      </c>
      <c r="CG567" s="76"/>
      <c r="CH567" s="76">
        <f>+CG567*22500</f>
        <v>0</v>
      </c>
      <c r="CI567" s="76"/>
      <c r="CJ567" s="76">
        <f>+CI567*26000</f>
        <v>0</v>
      </c>
      <c r="CK567" s="76"/>
      <c r="CL567" s="76"/>
      <c r="CM567" s="76"/>
      <c r="CN567" s="76">
        <f>+CM567*22000</f>
        <v>0</v>
      </c>
      <c r="CO567" s="76"/>
      <c r="CP567" s="76">
        <f>+CO567*46000</f>
        <v>0</v>
      </c>
      <c r="CQ567" s="76"/>
      <c r="CR567" s="76">
        <f>+CQ567*49000</f>
        <v>0</v>
      </c>
      <c r="CS567" s="76"/>
      <c r="CT567" s="76"/>
      <c r="CU567" s="56">
        <f>AN567+AP567+AR567+AT567+AV567+AX567+AZ567+BB567+BD567+BF567+BH567+BJ567+BL567+BN567+BP567+BR567+BT567+BV567+BX567+BZ567+CB567+CD567+CF567+CH567+CJ567+CL567+CN567+CP567+CR567+CT567</f>
        <v>0</v>
      </c>
      <c r="CV567" s="76"/>
      <c r="CW567" s="76">
        <f>+CV567*1100</f>
        <v>0</v>
      </c>
      <c r="CX567" s="76"/>
      <c r="CY567" s="76">
        <f>+CX567*106250</f>
        <v>0</v>
      </c>
      <c r="CZ567" s="76"/>
      <c r="DA567" s="76">
        <f>+CZ567*34500</f>
        <v>0</v>
      </c>
      <c r="DB567" s="76"/>
      <c r="DC567" s="76">
        <f>+DB567*25000</f>
        <v>0</v>
      </c>
      <c r="DD567" s="219"/>
      <c r="DE567" s="219"/>
      <c r="DF567" s="166"/>
      <c r="DG567" s="116"/>
      <c r="DH567" s="117"/>
      <c r="DI567" s="24"/>
      <c r="DJ567" s="24"/>
      <c r="DK567" s="24"/>
      <c r="DL567" s="24"/>
      <c r="DM567" s="24"/>
      <c r="DN567" s="24"/>
      <c r="DO567" s="24"/>
      <c r="DP567" s="24"/>
      <c r="DQ567" s="24"/>
      <c r="DR567" s="24"/>
      <c r="DS567" s="24"/>
      <c r="DT567" s="24"/>
      <c r="DU567" s="24"/>
    </row>
    <row r="568" spans="1:125" s="8" customFormat="1" ht="72" x14ac:dyDescent="0.2">
      <c r="A568" s="77">
        <v>41310</v>
      </c>
      <c r="B568" s="78" t="s">
        <v>2847</v>
      </c>
      <c r="C568" s="75" t="s">
        <v>1718</v>
      </c>
      <c r="D568" s="75" t="s">
        <v>2859</v>
      </c>
      <c r="E568" s="75" t="str">
        <f>VLOOKUP(B568&amp;C568,Divipola!$C$2:$F$1138,4,FALSE)</f>
        <v>68368</v>
      </c>
      <c r="F568" s="87"/>
      <c r="G568" s="87"/>
      <c r="H568" s="87"/>
      <c r="I568" s="87">
        <v>8</v>
      </c>
      <c r="J568" s="87">
        <v>1</v>
      </c>
      <c r="K568" s="87">
        <v>1</v>
      </c>
      <c r="L568" s="87"/>
      <c r="M568" s="87"/>
      <c r="N568" s="87"/>
      <c r="O568" s="87"/>
      <c r="P568" s="87"/>
      <c r="Q568" s="87"/>
      <c r="R568" s="87"/>
      <c r="S568" s="87"/>
      <c r="T568" s="87"/>
      <c r="U568" s="88"/>
      <c r="V568" s="89"/>
      <c r="W568" s="96">
        <v>0</v>
      </c>
      <c r="X568" s="71">
        <f>CU568</f>
        <v>0</v>
      </c>
      <c r="Y568" s="71">
        <f>CY568</f>
        <v>0</v>
      </c>
      <c r="Z568" s="71">
        <f>DA568+DC568+DE568</f>
        <v>0</v>
      </c>
      <c r="AA568" s="71">
        <f>CW568</f>
        <v>0</v>
      </c>
      <c r="AB568" s="71"/>
      <c r="AC568" s="71">
        <v>0</v>
      </c>
      <c r="AD568" s="71">
        <f>W568+X568+Y568+Z568+AA568+AB568+AC568</f>
        <v>0</v>
      </c>
      <c r="AE568" s="72">
        <v>0</v>
      </c>
      <c r="AF568" s="5"/>
      <c r="AG568" s="6"/>
      <c r="AH568" s="27" t="s">
        <v>3392</v>
      </c>
      <c r="AI568" s="44" t="s">
        <v>3393</v>
      </c>
      <c r="AJ568" s="26"/>
      <c r="AK568" s="5"/>
      <c r="AL568" s="82" t="s">
        <v>3412</v>
      </c>
      <c r="AM568" s="76"/>
      <c r="AN568" s="76"/>
      <c r="AO568" s="76"/>
      <c r="AP568" s="76"/>
      <c r="AQ568" s="76"/>
      <c r="AR568" s="76"/>
      <c r="AS568" s="76"/>
      <c r="AT568" s="76"/>
      <c r="AU568" s="76"/>
      <c r="AV568" s="76"/>
      <c r="AW568" s="76"/>
      <c r="AX568" s="76">
        <f>+AW568*600000</f>
        <v>0</v>
      </c>
      <c r="AY568" s="76"/>
      <c r="AZ568" s="76">
        <f>+AY568*70000</f>
        <v>0</v>
      </c>
      <c r="BA568" s="76"/>
      <c r="BB568" s="76"/>
      <c r="BC568" s="76"/>
      <c r="BD568" s="76">
        <f>+BC568*30000</f>
        <v>0</v>
      </c>
      <c r="BE568" s="76"/>
      <c r="BF568" s="76"/>
      <c r="BG568" s="76"/>
      <c r="BH568" s="76"/>
      <c r="BI568" s="76"/>
      <c r="BJ568" s="76"/>
      <c r="BK568" s="76"/>
      <c r="BL568" s="76">
        <f>+BK568*31500</f>
        <v>0</v>
      </c>
      <c r="BM568" s="76"/>
      <c r="BN568" s="76"/>
      <c r="BO568" s="76"/>
      <c r="BP568" s="76"/>
      <c r="BQ568" s="76"/>
      <c r="BR568" s="76"/>
      <c r="BS568" s="76"/>
      <c r="BT568" s="76"/>
      <c r="BU568" s="76"/>
      <c r="BV568" s="76"/>
      <c r="BW568" s="76"/>
      <c r="BX568" s="76"/>
      <c r="BY568" s="76"/>
      <c r="BZ568" s="76"/>
      <c r="CA568" s="76"/>
      <c r="CB568" s="76"/>
      <c r="CC568" s="76"/>
      <c r="CD568" s="76"/>
      <c r="CE568" s="76"/>
      <c r="CF568" s="76">
        <f>+CE568*28000</f>
        <v>0</v>
      </c>
      <c r="CG568" s="76"/>
      <c r="CH568" s="76">
        <f>+CG568*22500</f>
        <v>0</v>
      </c>
      <c r="CI568" s="76"/>
      <c r="CJ568" s="76">
        <f>+CI568*26000</f>
        <v>0</v>
      </c>
      <c r="CK568" s="76"/>
      <c r="CL568" s="76"/>
      <c r="CM568" s="76"/>
      <c r="CN568" s="76">
        <f>+CM568*22000</f>
        <v>0</v>
      </c>
      <c r="CO568" s="76"/>
      <c r="CP568" s="76">
        <f>+CO568*46000</f>
        <v>0</v>
      </c>
      <c r="CQ568" s="76"/>
      <c r="CR568" s="76">
        <f>+CQ568*49000</f>
        <v>0</v>
      </c>
      <c r="CS568" s="76"/>
      <c r="CT568" s="76"/>
      <c r="CU568" s="56">
        <f>AN568+AP568+AR568+AT568+AV568+AX568+AZ568+BB568+BD568+BF568+BH568+BJ568+BL568+BN568+BP568+BR568+BT568+BV568+BX568+BZ568+CB568+CD568+CF568+CH568+CJ568+CL568+CN568+CP568+CR568+CT568</f>
        <v>0</v>
      </c>
      <c r="CV568" s="76"/>
      <c r="CW568" s="76">
        <f>+CV568*1100</f>
        <v>0</v>
      </c>
      <c r="CX568" s="76"/>
      <c r="CY568" s="76">
        <f>+CX568*106250</f>
        <v>0</v>
      </c>
      <c r="CZ568" s="76"/>
      <c r="DA568" s="76">
        <f>+CZ568*34500</f>
        <v>0</v>
      </c>
      <c r="DB568" s="76"/>
      <c r="DC568" s="76">
        <f>+DB568*25000</f>
        <v>0</v>
      </c>
      <c r="DD568" s="219"/>
      <c r="DE568" s="219"/>
      <c r="DF568" s="166"/>
      <c r="DG568" s="116"/>
      <c r="DH568" s="117"/>
      <c r="DI568" s="24"/>
      <c r="DJ568" s="24"/>
      <c r="DK568" s="24"/>
      <c r="DL568" s="24"/>
      <c r="DM568" s="24"/>
      <c r="DN568" s="24"/>
      <c r="DO568" s="24"/>
      <c r="DP568" s="24"/>
      <c r="DQ568" s="24"/>
      <c r="DR568" s="24"/>
      <c r="DS568" s="24"/>
      <c r="DT568" s="24"/>
      <c r="DU568" s="24"/>
    </row>
    <row r="569" spans="1:125" s="8" customFormat="1" ht="48" x14ac:dyDescent="0.2">
      <c r="A569" s="77">
        <v>41310</v>
      </c>
      <c r="B569" s="225" t="s">
        <v>2848</v>
      </c>
      <c r="C569" s="227" t="s">
        <v>2755</v>
      </c>
      <c r="D569" s="75" t="s">
        <v>3051</v>
      </c>
      <c r="E569" s="75" t="str">
        <f>VLOOKUP(B569&amp;C569,Divipola!$C$2:$F$1138,4,FALSE)</f>
        <v>73001</v>
      </c>
      <c r="F569" s="100"/>
      <c r="G569" s="100"/>
      <c r="H569" s="100"/>
      <c r="I569" s="100"/>
      <c r="J569" s="100"/>
      <c r="K569" s="100"/>
      <c r="L569" s="100"/>
      <c r="M569" s="100"/>
      <c r="N569" s="100"/>
      <c r="O569" s="100"/>
      <c r="P569" s="100"/>
      <c r="Q569" s="100"/>
      <c r="R569" s="100">
        <v>1</v>
      </c>
      <c r="S569" s="100"/>
      <c r="T569" s="100"/>
      <c r="U569" s="136"/>
      <c r="V569" s="89"/>
      <c r="W569" s="96">
        <v>0</v>
      </c>
      <c r="X569" s="71">
        <f>CU569</f>
        <v>0</v>
      </c>
      <c r="Y569" s="71">
        <f>CY569</f>
        <v>0</v>
      </c>
      <c r="Z569" s="71">
        <f>DA569+DC569+DE569</f>
        <v>0</v>
      </c>
      <c r="AA569" s="71">
        <f>CW569</f>
        <v>0</v>
      </c>
      <c r="AB569" s="71"/>
      <c r="AC569" s="71">
        <v>0</v>
      </c>
      <c r="AD569" s="71">
        <f>W569+X569+Y569+Z569+AA569+AB569+AC569</f>
        <v>0</v>
      </c>
      <c r="AE569" s="72">
        <v>0</v>
      </c>
      <c r="AF569" s="5"/>
      <c r="AG569" s="6"/>
      <c r="AH569" s="27" t="s">
        <v>3392</v>
      </c>
      <c r="AI569" s="44" t="s">
        <v>3393</v>
      </c>
      <c r="AJ569" s="26"/>
      <c r="AK569" s="5"/>
      <c r="AL569" s="82" t="s">
        <v>3411</v>
      </c>
      <c r="AM569" s="76"/>
      <c r="AN569" s="76"/>
      <c r="AO569" s="76"/>
      <c r="AP569" s="76"/>
      <c r="AQ569" s="76"/>
      <c r="AR569" s="76"/>
      <c r="AS569" s="76"/>
      <c r="AT569" s="76"/>
      <c r="AU569" s="76"/>
      <c r="AV569" s="76"/>
      <c r="AW569" s="76"/>
      <c r="AX569" s="76">
        <f>+AW569*600000</f>
        <v>0</v>
      </c>
      <c r="AY569" s="76"/>
      <c r="AZ569" s="76">
        <f>+AY569*70000</f>
        <v>0</v>
      </c>
      <c r="BA569" s="76"/>
      <c r="BB569" s="76"/>
      <c r="BC569" s="76"/>
      <c r="BD569" s="76">
        <f>+BC569*30000</f>
        <v>0</v>
      </c>
      <c r="BE569" s="76"/>
      <c r="BF569" s="76"/>
      <c r="BG569" s="76"/>
      <c r="BH569" s="76"/>
      <c r="BI569" s="76"/>
      <c r="BJ569" s="76"/>
      <c r="BK569" s="76"/>
      <c r="BL569" s="76">
        <f>+BK569*31500</f>
        <v>0</v>
      </c>
      <c r="BM569" s="76"/>
      <c r="BN569" s="76"/>
      <c r="BO569" s="76"/>
      <c r="BP569" s="76"/>
      <c r="BQ569" s="76"/>
      <c r="BR569" s="76"/>
      <c r="BS569" s="76"/>
      <c r="BT569" s="76"/>
      <c r="BU569" s="76"/>
      <c r="BV569" s="76"/>
      <c r="BW569" s="76"/>
      <c r="BX569" s="76"/>
      <c r="BY569" s="76"/>
      <c r="BZ569" s="76"/>
      <c r="CA569" s="76"/>
      <c r="CB569" s="76"/>
      <c r="CC569" s="76"/>
      <c r="CD569" s="76"/>
      <c r="CE569" s="76"/>
      <c r="CF569" s="76">
        <f>+CE569*28000</f>
        <v>0</v>
      </c>
      <c r="CG569" s="76"/>
      <c r="CH569" s="76">
        <f>+CG569*22500</f>
        <v>0</v>
      </c>
      <c r="CI569" s="76"/>
      <c r="CJ569" s="76">
        <f>+CI569*26000</f>
        <v>0</v>
      </c>
      <c r="CK569" s="76"/>
      <c r="CL569" s="76"/>
      <c r="CM569" s="76"/>
      <c r="CN569" s="76">
        <f>+CM569*22000</f>
        <v>0</v>
      </c>
      <c r="CO569" s="76"/>
      <c r="CP569" s="76">
        <f>+CO569*46000</f>
        <v>0</v>
      </c>
      <c r="CQ569" s="76"/>
      <c r="CR569" s="76">
        <f>+CQ569*49000</f>
        <v>0</v>
      </c>
      <c r="CS569" s="76"/>
      <c r="CT569" s="76"/>
      <c r="CU569" s="56">
        <f>AN569+AP569+AR569+AT569+AV569+AX569+AZ569+BB569+BD569+BF569+BH569+BJ569+BL569+BN569+BP569+BR569+BT569+BV569+BX569+BZ569+CB569+CD569+CF569+CH569+CJ569+CL569+CN569+CP569+CR569+CT569</f>
        <v>0</v>
      </c>
      <c r="CV569" s="76"/>
      <c r="CW569" s="76">
        <f>+CV569*1100</f>
        <v>0</v>
      </c>
      <c r="CX569" s="76"/>
      <c r="CY569" s="76">
        <f>+CX569*106250</f>
        <v>0</v>
      </c>
      <c r="CZ569" s="76"/>
      <c r="DA569" s="76">
        <f>+CZ569*34500</f>
        <v>0</v>
      </c>
      <c r="DB569" s="76"/>
      <c r="DC569" s="76">
        <f>+DB569*25000</f>
        <v>0</v>
      </c>
      <c r="DD569" s="219"/>
      <c r="DE569" s="219"/>
      <c r="DF569" s="166"/>
      <c r="DG569" s="116"/>
      <c r="DH569" s="117"/>
      <c r="DI569" s="24"/>
      <c r="DJ569" s="24"/>
      <c r="DK569" s="24"/>
      <c r="DL569" s="24"/>
      <c r="DM569" s="24"/>
      <c r="DN569" s="24"/>
      <c r="DO569" s="24"/>
      <c r="DP569" s="24"/>
      <c r="DQ569" s="24"/>
      <c r="DR569" s="24"/>
      <c r="DS569" s="24"/>
      <c r="DT569" s="24"/>
      <c r="DU569" s="24"/>
    </row>
    <row r="570" spans="1:125" s="8" customFormat="1" ht="216" x14ac:dyDescent="0.2">
      <c r="A570" s="77">
        <v>41310</v>
      </c>
      <c r="B570" s="352" t="s">
        <v>2848</v>
      </c>
      <c r="C570" s="354" t="s">
        <v>2755</v>
      </c>
      <c r="D570" s="75" t="s">
        <v>3051</v>
      </c>
      <c r="E570" s="75" t="str">
        <f>VLOOKUP(B570&amp;C570,Divipola!$C$2:$F$1138,4,FALSE)</f>
        <v>73001</v>
      </c>
      <c r="F570" s="87"/>
      <c r="G570" s="87"/>
      <c r="H570" s="87"/>
      <c r="I570" s="87">
        <v>460</v>
      </c>
      <c r="J570" s="87">
        <v>92</v>
      </c>
      <c r="K570" s="87"/>
      <c r="L570" s="87">
        <v>92</v>
      </c>
      <c r="M570" s="87">
        <v>3</v>
      </c>
      <c r="N570" s="87"/>
      <c r="O570" s="87"/>
      <c r="P570" s="87"/>
      <c r="Q570" s="87"/>
      <c r="R570" s="87"/>
      <c r="S570" s="87">
        <v>1</v>
      </c>
      <c r="T570" s="87">
        <v>1</v>
      </c>
      <c r="U570" s="88"/>
      <c r="V570" s="89">
        <v>1</v>
      </c>
      <c r="W570" s="96">
        <v>0</v>
      </c>
      <c r="X570" s="71">
        <f>CU570</f>
        <v>0</v>
      </c>
      <c r="Y570" s="71">
        <f>CY570</f>
        <v>0</v>
      </c>
      <c r="Z570" s="71">
        <f>DA570+DC570+DE570</f>
        <v>0</v>
      </c>
      <c r="AA570" s="71">
        <f>CW570</f>
        <v>0</v>
      </c>
      <c r="AB570" s="71"/>
      <c r="AC570" s="71">
        <v>0</v>
      </c>
      <c r="AD570" s="71">
        <f>W570+X570+Y570+Z570+AA570+AB570+AC570</f>
        <v>0</v>
      </c>
      <c r="AE570" s="72">
        <v>0</v>
      </c>
      <c r="AF570" s="5"/>
      <c r="AG570" s="6"/>
      <c r="AH570" s="27" t="s">
        <v>3392</v>
      </c>
      <c r="AI570" s="44" t="s">
        <v>3393</v>
      </c>
      <c r="AJ570" s="26"/>
      <c r="AK570" s="5"/>
      <c r="AL570" s="82" t="s">
        <v>3712</v>
      </c>
      <c r="AM570" s="76"/>
      <c r="AN570" s="76"/>
      <c r="AO570" s="76"/>
      <c r="AP570" s="76"/>
      <c r="AQ570" s="76"/>
      <c r="AR570" s="76"/>
      <c r="AS570" s="76"/>
      <c r="AT570" s="76"/>
      <c r="AU570" s="76"/>
      <c r="AV570" s="76"/>
      <c r="AW570" s="76"/>
      <c r="AX570" s="76">
        <f>+AW570*600000</f>
        <v>0</v>
      </c>
      <c r="AY570" s="76"/>
      <c r="AZ570" s="76">
        <f>+AY570*70000</f>
        <v>0</v>
      </c>
      <c r="BA570" s="76"/>
      <c r="BB570" s="76"/>
      <c r="BC570" s="76"/>
      <c r="BD570" s="76">
        <f>+BC570*30000</f>
        <v>0</v>
      </c>
      <c r="BE570" s="76"/>
      <c r="BF570" s="76"/>
      <c r="BG570" s="76"/>
      <c r="BH570" s="76"/>
      <c r="BI570" s="76"/>
      <c r="BJ570" s="76"/>
      <c r="BK570" s="76"/>
      <c r="BL570" s="76">
        <f>+BK570*31500</f>
        <v>0</v>
      </c>
      <c r="BM570" s="76"/>
      <c r="BN570" s="76"/>
      <c r="BO570" s="76"/>
      <c r="BP570" s="76"/>
      <c r="BQ570" s="76"/>
      <c r="BR570" s="76"/>
      <c r="BS570" s="76"/>
      <c r="BT570" s="76"/>
      <c r="BU570" s="76"/>
      <c r="BV570" s="76"/>
      <c r="BW570" s="76"/>
      <c r="BX570" s="76"/>
      <c r="BY570" s="76"/>
      <c r="BZ570" s="76"/>
      <c r="CA570" s="76"/>
      <c r="CB570" s="76"/>
      <c r="CC570" s="76"/>
      <c r="CD570" s="76"/>
      <c r="CE570" s="76"/>
      <c r="CF570" s="76">
        <f>+CE570*28000</f>
        <v>0</v>
      </c>
      <c r="CG570" s="76"/>
      <c r="CH570" s="76">
        <f>+CG570*22500</f>
        <v>0</v>
      </c>
      <c r="CI570" s="76"/>
      <c r="CJ570" s="76">
        <f>+CI570*26000</f>
        <v>0</v>
      </c>
      <c r="CK570" s="76"/>
      <c r="CL570" s="76"/>
      <c r="CM570" s="76"/>
      <c r="CN570" s="76">
        <f>+CM570*22000</f>
        <v>0</v>
      </c>
      <c r="CO570" s="76"/>
      <c r="CP570" s="76">
        <f>+CO570*46000</f>
        <v>0</v>
      </c>
      <c r="CQ570" s="76"/>
      <c r="CR570" s="76">
        <f>+CQ570*49000</f>
        <v>0</v>
      </c>
      <c r="CS570" s="76"/>
      <c r="CT570" s="76"/>
      <c r="CU570" s="56">
        <f>AN570+AP570+AR570+AT570+AV570+AX570+AZ570+BB570+BD570+BF570+BH570+BJ570+BL570+BN570+BP570+BR570+BT570+BV570+BX570+BZ570+CB570+CD570+CF570+CH570+CJ570+CL570+CN570+CP570+CR570+CT570</f>
        <v>0</v>
      </c>
      <c r="CV570" s="76"/>
      <c r="CW570" s="76">
        <f>+CV570*1100</f>
        <v>0</v>
      </c>
      <c r="CX570" s="76"/>
      <c r="CY570" s="76">
        <f>+CX570*106250</f>
        <v>0</v>
      </c>
      <c r="CZ570" s="76"/>
      <c r="DA570" s="76">
        <f>+CZ570*34500</f>
        <v>0</v>
      </c>
      <c r="DB570" s="76"/>
      <c r="DC570" s="76">
        <f>+DB570*25000</f>
        <v>0</v>
      </c>
      <c r="DD570" s="219"/>
      <c r="DE570" s="219"/>
      <c r="DF570" s="166"/>
      <c r="DG570" s="116"/>
      <c r="DH570" s="117"/>
      <c r="DI570" s="24"/>
      <c r="DJ570" s="24"/>
      <c r="DK570" s="24"/>
      <c r="DL570" s="24"/>
      <c r="DM570" s="24"/>
      <c r="DN570" s="24"/>
      <c r="DO570" s="24"/>
      <c r="DP570" s="24"/>
      <c r="DQ570" s="24"/>
      <c r="DR570" s="24"/>
      <c r="DS570" s="24"/>
      <c r="DT570" s="24"/>
      <c r="DU570" s="24"/>
    </row>
    <row r="571" spans="1:125" s="8" customFormat="1" ht="48" x14ac:dyDescent="0.2">
      <c r="A571" s="77">
        <v>41310</v>
      </c>
      <c r="B571" s="225" t="s">
        <v>2848</v>
      </c>
      <c r="C571" s="227" t="s">
        <v>2034</v>
      </c>
      <c r="D571" s="84" t="s">
        <v>3088</v>
      </c>
      <c r="E571" s="75" t="str">
        <f>VLOOKUP(B571&amp;C571,Divipola!$C$2:$F$1138,4,FALSE)</f>
        <v>73449</v>
      </c>
      <c r="F571" s="100"/>
      <c r="G571" s="100"/>
      <c r="H571" s="100"/>
      <c r="I571" s="100">
        <v>10</v>
      </c>
      <c r="J571" s="100">
        <v>2</v>
      </c>
      <c r="K571" s="100"/>
      <c r="L571" s="100">
        <v>2</v>
      </c>
      <c r="M571" s="100"/>
      <c r="N571" s="100"/>
      <c r="O571" s="100"/>
      <c r="P571" s="100"/>
      <c r="Q571" s="100"/>
      <c r="R571" s="100"/>
      <c r="S571" s="100"/>
      <c r="T571" s="100"/>
      <c r="U571" s="136"/>
      <c r="V571" s="89"/>
      <c r="W571" s="96">
        <v>0</v>
      </c>
      <c r="X571" s="71">
        <f>CU571</f>
        <v>0</v>
      </c>
      <c r="Y571" s="71">
        <f>CY571</f>
        <v>0</v>
      </c>
      <c r="Z571" s="71">
        <f>DA571+DC571+DE571</f>
        <v>0</v>
      </c>
      <c r="AA571" s="71">
        <f>CW571</f>
        <v>0</v>
      </c>
      <c r="AB571" s="71"/>
      <c r="AC571" s="71">
        <v>0</v>
      </c>
      <c r="AD571" s="71">
        <f>W571+X571+Y571+Z571+AA571+AB571+AC571</f>
        <v>0</v>
      </c>
      <c r="AE571" s="72">
        <v>0</v>
      </c>
      <c r="AF571" s="5"/>
      <c r="AG571" s="6"/>
      <c r="AH571" s="27" t="s">
        <v>3392</v>
      </c>
      <c r="AI571" s="44" t="s">
        <v>3393</v>
      </c>
      <c r="AJ571" s="26"/>
      <c r="AK571" s="5"/>
      <c r="AL571" s="82" t="s">
        <v>3406</v>
      </c>
      <c r="AM571" s="76"/>
      <c r="AN571" s="76"/>
      <c r="AO571" s="76"/>
      <c r="AP571" s="76"/>
      <c r="AQ571" s="76"/>
      <c r="AR571" s="76"/>
      <c r="AS571" s="76"/>
      <c r="AT571" s="76"/>
      <c r="AU571" s="76"/>
      <c r="AV571" s="76"/>
      <c r="AW571" s="76"/>
      <c r="AX571" s="76">
        <f>+AW571*600000</f>
        <v>0</v>
      </c>
      <c r="AY571" s="76"/>
      <c r="AZ571" s="76">
        <f>+AY571*70000</f>
        <v>0</v>
      </c>
      <c r="BA571" s="76"/>
      <c r="BB571" s="76"/>
      <c r="BC571" s="76"/>
      <c r="BD571" s="76">
        <f>+BC571*30000</f>
        <v>0</v>
      </c>
      <c r="BE571" s="76"/>
      <c r="BF571" s="76"/>
      <c r="BG571" s="76"/>
      <c r="BH571" s="76"/>
      <c r="BI571" s="76"/>
      <c r="BJ571" s="76"/>
      <c r="BK571" s="76"/>
      <c r="BL571" s="76">
        <f>+BK571*31500</f>
        <v>0</v>
      </c>
      <c r="BM571" s="76"/>
      <c r="BN571" s="76"/>
      <c r="BO571" s="76"/>
      <c r="BP571" s="76"/>
      <c r="BQ571" s="76"/>
      <c r="BR571" s="76"/>
      <c r="BS571" s="76"/>
      <c r="BT571" s="76"/>
      <c r="BU571" s="76"/>
      <c r="BV571" s="76"/>
      <c r="BW571" s="76"/>
      <c r="BX571" s="76"/>
      <c r="BY571" s="76"/>
      <c r="BZ571" s="76"/>
      <c r="CA571" s="76"/>
      <c r="CB571" s="76"/>
      <c r="CC571" s="76"/>
      <c r="CD571" s="76"/>
      <c r="CE571" s="76"/>
      <c r="CF571" s="76">
        <f>+CE571*28000</f>
        <v>0</v>
      </c>
      <c r="CG571" s="76"/>
      <c r="CH571" s="76">
        <f>+CG571*22500</f>
        <v>0</v>
      </c>
      <c r="CI571" s="76"/>
      <c r="CJ571" s="76">
        <f>+CI571*26000</f>
        <v>0</v>
      </c>
      <c r="CK571" s="76"/>
      <c r="CL571" s="76"/>
      <c r="CM571" s="76"/>
      <c r="CN571" s="76">
        <f>+CM571*22000</f>
        <v>0</v>
      </c>
      <c r="CO571" s="76"/>
      <c r="CP571" s="76">
        <f>+CO571*46000</f>
        <v>0</v>
      </c>
      <c r="CQ571" s="76"/>
      <c r="CR571" s="76">
        <f>+CQ571*49000</f>
        <v>0</v>
      </c>
      <c r="CS571" s="76"/>
      <c r="CT571" s="76"/>
      <c r="CU571" s="56">
        <f>AN571+AP571+AR571+AT571+AV571+AX571+AZ571+BB571+BD571+BF571+BH571+BJ571+BL571+BN571+BP571+BR571+BT571+BV571+BX571+BZ571+CB571+CD571+CF571+CH571+CJ571+CL571+CN571+CP571+CR571+CT571</f>
        <v>0</v>
      </c>
      <c r="CV571" s="76"/>
      <c r="CW571" s="76">
        <f>+CV571*1100</f>
        <v>0</v>
      </c>
      <c r="CX571" s="76"/>
      <c r="CY571" s="76">
        <f>+CX571*106250</f>
        <v>0</v>
      </c>
      <c r="CZ571" s="76"/>
      <c r="DA571" s="76">
        <f>+CZ571*34500</f>
        <v>0</v>
      </c>
      <c r="DB571" s="76"/>
      <c r="DC571" s="76">
        <f>+DB571*25000</f>
        <v>0</v>
      </c>
      <c r="DD571" s="219"/>
      <c r="DE571" s="219"/>
      <c r="DF571" s="166"/>
      <c r="DG571" s="116"/>
      <c r="DH571" s="117"/>
      <c r="DI571" s="24"/>
      <c r="DJ571" s="24"/>
      <c r="DK571" s="24"/>
      <c r="DL571" s="24"/>
      <c r="DM571" s="24"/>
      <c r="DN571" s="24"/>
      <c r="DO571" s="24"/>
      <c r="DP571" s="24"/>
      <c r="DQ571" s="24"/>
      <c r="DR571" s="24"/>
      <c r="DS571" s="24"/>
      <c r="DT571" s="24"/>
      <c r="DU571" s="24"/>
    </row>
    <row r="572" spans="1:125" s="8" customFormat="1" ht="24" x14ac:dyDescent="0.2">
      <c r="A572" s="77">
        <v>41310</v>
      </c>
      <c r="B572" s="225" t="s">
        <v>2848</v>
      </c>
      <c r="C572" s="227" t="s">
        <v>1338</v>
      </c>
      <c r="D572" s="227" t="s">
        <v>2882</v>
      </c>
      <c r="E572" s="75" t="str">
        <f>VLOOKUP(B572&amp;C572,Divipola!$C$2:$F$1138,4,FALSE)</f>
        <v>73504</v>
      </c>
      <c r="F572" s="87"/>
      <c r="G572" s="87"/>
      <c r="H572" s="87"/>
      <c r="I572" s="87"/>
      <c r="J572" s="87"/>
      <c r="K572" s="87"/>
      <c r="L572" s="87"/>
      <c r="M572" s="87"/>
      <c r="N572" s="87"/>
      <c r="O572" s="87"/>
      <c r="P572" s="87"/>
      <c r="Q572" s="87"/>
      <c r="R572" s="87"/>
      <c r="S572" s="87"/>
      <c r="T572" s="87"/>
      <c r="U572" s="88"/>
      <c r="V572" s="89"/>
      <c r="W572" s="96">
        <v>0</v>
      </c>
      <c r="X572" s="71">
        <f>CU572</f>
        <v>0</v>
      </c>
      <c r="Y572" s="71">
        <f>CY572</f>
        <v>0</v>
      </c>
      <c r="Z572" s="71">
        <f>DA572+DC572+DE572</f>
        <v>0</v>
      </c>
      <c r="AA572" s="71">
        <f>CW572</f>
        <v>0</v>
      </c>
      <c r="AB572" s="71"/>
      <c r="AC572" s="71">
        <v>0</v>
      </c>
      <c r="AD572" s="71">
        <f>W572+X572+Y572+Z572+AA572+AB572+AC572</f>
        <v>0</v>
      </c>
      <c r="AE572" s="72">
        <v>0</v>
      </c>
      <c r="AF572" s="5"/>
      <c r="AG572" s="6"/>
      <c r="AH572" s="27" t="s">
        <v>3392</v>
      </c>
      <c r="AI572" s="44" t="s">
        <v>3393</v>
      </c>
      <c r="AJ572" s="26"/>
      <c r="AK572" s="5"/>
      <c r="AL572" s="82" t="s">
        <v>3410</v>
      </c>
      <c r="AM572" s="76"/>
      <c r="AN572" s="76"/>
      <c r="AO572" s="76"/>
      <c r="AP572" s="76"/>
      <c r="AQ572" s="76"/>
      <c r="AR572" s="76"/>
      <c r="AS572" s="76"/>
      <c r="AT572" s="76"/>
      <c r="AU572" s="76"/>
      <c r="AV572" s="76"/>
      <c r="AW572" s="76"/>
      <c r="AX572" s="76">
        <f>+AW572*600000</f>
        <v>0</v>
      </c>
      <c r="AY572" s="76"/>
      <c r="AZ572" s="76">
        <f>+AY572*70000</f>
        <v>0</v>
      </c>
      <c r="BA572" s="76"/>
      <c r="BB572" s="76"/>
      <c r="BC572" s="76"/>
      <c r="BD572" s="76">
        <f>+BC572*30000</f>
        <v>0</v>
      </c>
      <c r="BE572" s="76"/>
      <c r="BF572" s="76"/>
      <c r="BG572" s="76"/>
      <c r="BH572" s="76"/>
      <c r="BI572" s="76"/>
      <c r="BJ572" s="76"/>
      <c r="BK572" s="76"/>
      <c r="BL572" s="76">
        <f>+BK572*31500</f>
        <v>0</v>
      </c>
      <c r="BM572" s="76"/>
      <c r="BN572" s="76"/>
      <c r="BO572" s="76"/>
      <c r="BP572" s="76"/>
      <c r="BQ572" s="76"/>
      <c r="BR572" s="76"/>
      <c r="BS572" s="76"/>
      <c r="BT572" s="76"/>
      <c r="BU572" s="76"/>
      <c r="BV572" s="76"/>
      <c r="BW572" s="76"/>
      <c r="BX572" s="76"/>
      <c r="BY572" s="76"/>
      <c r="BZ572" s="76"/>
      <c r="CA572" s="76"/>
      <c r="CB572" s="76"/>
      <c r="CC572" s="76"/>
      <c r="CD572" s="76"/>
      <c r="CE572" s="76"/>
      <c r="CF572" s="76">
        <f>+CE572*28000</f>
        <v>0</v>
      </c>
      <c r="CG572" s="76"/>
      <c r="CH572" s="76">
        <f>+CG572*22500</f>
        <v>0</v>
      </c>
      <c r="CI572" s="76"/>
      <c r="CJ572" s="76">
        <f>+CI572*26000</f>
        <v>0</v>
      </c>
      <c r="CK572" s="76"/>
      <c r="CL572" s="76"/>
      <c r="CM572" s="76"/>
      <c r="CN572" s="76">
        <f>+CM572*22000</f>
        <v>0</v>
      </c>
      <c r="CO572" s="76"/>
      <c r="CP572" s="76">
        <f>+CO572*46000</f>
        <v>0</v>
      </c>
      <c r="CQ572" s="76"/>
      <c r="CR572" s="76">
        <f>+CQ572*49000</f>
        <v>0</v>
      </c>
      <c r="CS572" s="76"/>
      <c r="CT572" s="76"/>
      <c r="CU572" s="56">
        <f>AN572+AP572+AR572+AT572+AV572+AX572+AZ572+BB572+BD572+BF572+BH572+BJ572+BL572+BN572+BP572+BR572+BT572+BV572+BX572+BZ572+CB572+CD572+CF572+CH572+CJ572+CL572+CN572+CP572+CR572+CT572</f>
        <v>0</v>
      </c>
      <c r="CV572" s="76"/>
      <c r="CW572" s="76">
        <f>+CV572*1100</f>
        <v>0</v>
      </c>
      <c r="CX572" s="76"/>
      <c r="CY572" s="76">
        <f>+CX572*106250</f>
        <v>0</v>
      </c>
      <c r="CZ572" s="76"/>
      <c r="DA572" s="76">
        <f>+CZ572*34500</f>
        <v>0</v>
      </c>
      <c r="DB572" s="76"/>
      <c r="DC572" s="76">
        <f>+DB572*25000</f>
        <v>0</v>
      </c>
      <c r="DD572" s="219"/>
      <c r="DE572" s="219"/>
      <c r="DF572" s="166"/>
      <c r="DG572" s="116"/>
      <c r="DH572" s="117"/>
      <c r="DI572" s="24"/>
      <c r="DJ572" s="24"/>
      <c r="DK572" s="24"/>
      <c r="DL572" s="24"/>
      <c r="DM572" s="24"/>
      <c r="DN572" s="24"/>
      <c r="DO572" s="24"/>
      <c r="DP572" s="24"/>
      <c r="DQ572" s="24"/>
      <c r="DR572" s="24"/>
      <c r="DS572" s="24"/>
      <c r="DT572" s="24"/>
      <c r="DU572" s="24"/>
    </row>
    <row r="573" spans="1:125" s="8" customFormat="1" x14ac:dyDescent="0.2">
      <c r="A573" s="77">
        <v>41310</v>
      </c>
      <c r="B573" s="78" t="s">
        <v>2851</v>
      </c>
      <c r="C573" s="75" t="s">
        <v>2754</v>
      </c>
      <c r="D573" s="75" t="s">
        <v>2882</v>
      </c>
      <c r="E573" s="75" t="str">
        <f>VLOOKUP(B573&amp;C573,Divipola!$C$2:$F$1138,4,FALSE)</f>
        <v>76109</v>
      </c>
      <c r="F573" s="163"/>
      <c r="G573" s="163"/>
      <c r="H573" s="163"/>
      <c r="I573" s="163">
        <f>98*5</f>
        <v>490</v>
      </c>
      <c r="J573" s="163">
        <v>98</v>
      </c>
      <c r="K573" s="163">
        <v>7</v>
      </c>
      <c r="L573" s="163">
        <v>91</v>
      </c>
      <c r="M573" s="163"/>
      <c r="N573" s="163"/>
      <c r="O573" s="163"/>
      <c r="P573" s="163"/>
      <c r="Q573" s="163"/>
      <c r="R573" s="163"/>
      <c r="S573" s="163"/>
      <c r="T573" s="163"/>
      <c r="U573" s="163"/>
      <c r="V573" s="134"/>
      <c r="W573" s="96">
        <v>0</v>
      </c>
      <c r="X573" s="71">
        <f>CU573</f>
        <v>0</v>
      </c>
      <c r="Y573" s="71">
        <f>CY573</f>
        <v>0</v>
      </c>
      <c r="Z573" s="71">
        <f>DA573+DC573+DE573</f>
        <v>0</v>
      </c>
      <c r="AA573" s="71">
        <f>CW573</f>
        <v>0</v>
      </c>
      <c r="AB573" s="71"/>
      <c r="AC573" s="71">
        <v>0</v>
      </c>
      <c r="AD573" s="71">
        <f>W573+X573+Y573+Z573+AA573+AB573+AC573</f>
        <v>0</v>
      </c>
      <c r="AE573" s="72">
        <v>0</v>
      </c>
      <c r="AF573" s="5"/>
      <c r="AG573" s="6"/>
      <c r="AH573" s="27" t="s">
        <v>3392</v>
      </c>
      <c r="AI573" s="44" t="s">
        <v>3393</v>
      </c>
      <c r="AJ573" s="26"/>
      <c r="AK573" s="5" t="s">
        <v>4242</v>
      </c>
      <c r="AL573" s="82" t="s">
        <v>3995</v>
      </c>
      <c r="AM573" s="76"/>
      <c r="AN573" s="76"/>
      <c r="AO573" s="76"/>
      <c r="AP573" s="76"/>
      <c r="AQ573" s="76"/>
      <c r="AR573" s="76"/>
      <c r="AS573" s="76"/>
      <c r="AT573" s="76"/>
      <c r="AU573" s="76"/>
      <c r="AV573" s="76"/>
      <c r="AW573" s="76"/>
      <c r="AX573" s="76">
        <f>+AW573*600000</f>
        <v>0</v>
      </c>
      <c r="AY573" s="76"/>
      <c r="AZ573" s="76">
        <f>+AY573*70000</f>
        <v>0</v>
      </c>
      <c r="BA573" s="76"/>
      <c r="BB573" s="76"/>
      <c r="BC573" s="76"/>
      <c r="BD573" s="76">
        <f>+BC573*30000</f>
        <v>0</v>
      </c>
      <c r="BE573" s="76"/>
      <c r="BF573" s="76"/>
      <c r="BG573" s="76"/>
      <c r="BH573" s="76"/>
      <c r="BI573" s="76"/>
      <c r="BJ573" s="76"/>
      <c r="BK573" s="76"/>
      <c r="BL573" s="76">
        <f>+BK573*31500</f>
        <v>0</v>
      </c>
      <c r="BM573" s="76"/>
      <c r="BN573" s="76"/>
      <c r="BO573" s="76"/>
      <c r="BP573" s="76"/>
      <c r="BQ573" s="76"/>
      <c r="BR573" s="76"/>
      <c r="BS573" s="76"/>
      <c r="BT573" s="76"/>
      <c r="BU573" s="76"/>
      <c r="BV573" s="76"/>
      <c r="BW573" s="76"/>
      <c r="BX573" s="76"/>
      <c r="BY573" s="76"/>
      <c r="BZ573" s="76"/>
      <c r="CA573" s="76"/>
      <c r="CB573" s="76"/>
      <c r="CC573" s="76"/>
      <c r="CD573" s="76"/>
      <c r="CE573" s="76"/>
      <c r="CF573" s="76">
        <f>+CE573*28000</f>
        <v>0</v>
      </c>
      <c r="CG573" s="76"/>
      <c r="CH573" s="76">
        <f>+CG573*22500</f>
        <v>0</v>
      </c>
      <c r="CI573" s="76"/>
      <c r="CJ573" s="76">
        <f>+CI573*26000</f>
        <v>0</v>
      </c>
      <c r="CK573" s="76"/>
      <c r="CL573" s="76"/>
      <c r="CM573" s="76"/>
      <c r="CN573" s="76">
        <f>+CM573*22000</f>
        <v>0</v>
      </c>
      <c r="CO573" s="76"/>
      <c r="CP573" s="76">
        <f>+CO573*46000</f>
        <v>0</v>
      </c>
      <c r="CQ573" s="76"/>
      <c r="CR573" s="76">
        <f>+CQ573*49000</f>
        <v>0</v>
      </c>
      <c r="CS573" s="76"/>
      <c r="CT573" s="76"/>
      <c r="CU573" s="56">
        <f>AN573+AP573+AR573+AT573+AV573+AX573+AZ573+BB573+BD573+BF573+BH573+BJ573+BL573+BN573+BP573+BR573+BT573+BV573+BX573+BZ573+CB573+CD573+CF573+CH573+CJ573+CL573+CN573+CP573+CR573+CT573</f>
        <v>0</v>
      </c>
      <c r="CV573" s="76"/>
      <c r="CW573" s="76">
        <f>+CV573*1100</f>
        <v>0</v>
      </c>
      <c r="CX573" s="76"/>
      <c r="CY573" s="76">
        <f>+CX573*106250</f>
        <v>0</v>
      </c>
      <c r="CZ573" s="76"/>
      <c r="DA573" s="76">
        <f>+CZ573*34500</f>
        <v>0</v>
      </c>
      <c r="DB573" s="76"/>
      <c r="DC573" s="76">
        <f>+DB573*25000</f>
        <v>0</v>
      </c>
      <c r="DD573" s="219"/>
      <c r="DE573" s="219"/>
      <c r="DF573" s="166"/>
      <c r="DG573" s="116"/>
      <c r="DH573" s="117"/>
      <c r="DI573" s="24"/>
      <c r="DJ573" s="24"/>
      <c r="DK573" s="24"/>
      <c r="DL573" s="24"/>
      <c r="DM573" s="24"/>
      <c r="DN573" s="24"/>
      <c r="DO573" s="24"/>
      <c r="DP573" s="24"/>
      <c r="DQ573" s="24"/>
      <c r="DR573" s="24"/>
      <c r="DS573" s="24"/>
      <c r="DT573" s="24"/>
      <c r="DU573" s="24"/>
    </row>
    <row r="574" spans="1:125" s="8" customFormat="1" ht="36" x14ac:dyDescent="0.2">
      <c r="A574" s="77">
        <v>41311</v>
      </c>
      <c r="B574" s="78" t="s">
        <v>2778</v>
      </c>
      <c r="C574" s="75" t="s">
        <v>1343</v>
      </c>
      <c r="D574" s="81" t="s">
        <v>2846</v>
      </c>
      <c r="E574" s="75" t="str">
        <f>VLOOKUP(B574&amp;C574,Divipola!$C$2:$F$1138,4,FALSE)</f>
        <v>85139</v>
      </c>
      <c r="F574" s="87"/>
      <c r="G574" s="87"/>
      <c r="H574" s="87"/>
      <c r="I574" s="87"/>
      <c r="J574" s="87"/>
      <c r="K574" s="87"/>
      <c r="L574" s="87"/>
      <c r="M574" s="87"/>
      <c r="N574" s="87"/>
      <c r="O574" s="87"/>
      <c r="P574" s="87"/>
      <c r="Q574" s="87"/>
      <c r="R574" s="87"/>
      <c r="S574" s="87"/>
      <c r="T574" s="87"/>
      <c r="U574" s="88">
        <v>5</v>
      </c>
      <c r="V574" s="89"/>
      <c r="W574" s="96">
        <v>0</v>
      </c>
      <c r="X574" s="71">
        <f>CU574</f>
        <v>0</v>
      </c>
      <c r="Y574" s="71">
        <f>CY574</f>
        <v>0</v>
      </c>
      <c r="Z574" s="71">
        <f>DA574+DC574+DE574</f>
        <v>0</v>
      </c>
      <c r="AA574" s="71">
        <f>CW574</f>
        <v>0</v>
      </c>
      <c r="AB574" s="71"/>
      <c r="AC574" s="71">
        <v>0</v>
      </c>
      <c r="AD574" s="71">
        <f>W574+X574+Y574+Z574+AA574+AB574+AC574</f>
        <v>0</v>
      </c>
      <c r="AE574" s="72">
        <v>0</v>
      </c>
      <c r="AF574" s="5"/>
      <c r="AG574" s="6"/>
      <c r="AH574" s="27" t="s">
        <v>3392</v>
      </c>
      <c r="AI574" s="44" t="s">
        <v>3393</v>
      </c>
      <c r="AJ574" s="26"/>
      <c r="AK574" s="5"/>
      <c r="AL574" s="82" t="s">
        <v>3677</v>
      </c>
      <c r="AM574" s="76"/>
      <c r="AN574" s="76"/>
      <c r="AO574" s="76"/>
      <c r="AP574" s="76"/>
      <c r="AQ574" s="76"/>
      <c r="AR574" s="76"/>
      <c r="AS574" s="76"/>
      <c r="AT574" s="76"/>
      <c r="AU574" s="76"/>
      <c r="AV574" s="76"/>
      <c r="AW574" s="76"/>
      <c r="AX574" s="76">
        <f>+AW574*600000</f>
        <v>0</v>
      </c>
      <c r="AY574" s="76"/>
      <c r="AZ574" s="76">
        <f>+AY574*70000</f>
        <v>0</v>
      </c>
      <c r="BA574" s="76"/>
      <c r="BB574" s="76"/>
      <c r="BC574" s="76"/>
      <c r="BD574" s="76">
        <f>+BC574*30000</f>
        <v>0</v>
      </c>
      <c r="BE574" s="76"/>
      <c r="BF574" s="76"/>
      <c r="BG574" s="76"/>
      <c r="BH574" s="76"/>
      <c r="BI574" s="76"/>
      <c r="BJ574" s="76"/>
      <c r="BK574" s="76"/>
      <c r="BL574" s="76">
        <f>+BK574*31500</f>
        <v>0</v>
      </c>
      <c r="BM574" s="76"/>
      <c r="BN574" s="76"/>
      <c r="BO574" s="76"/>
      <c r="BP574" s="76"/>
      <c r="BQ574" s="76"/>
      <c r="BR574" s="76"/>
      <c r="BS574" s="76"/>
      <c r="BT574" s="76"/>
      <c r="BU574" s="76"/>
      <c r="BV574" s="76"/>
      <c r="BW574" s="76"/>
      <c r="BX574" s="76"/>
      <c r="BY574" s="76"/>
      <c r="BZ574" s="76"/>
      <c r="CA574" s="76"/>
      <c r="CB574" s="76"/>
      <c r="CC574" s="76"/>
      <c r="CD574" s="76"/>
      <c r="CE574" s="76"/>
      <c r="CF574" s="76">
        <f>+CE574*28000</f>
        <v>0</v>
      </c>
      <c r="CG574" s="76"/>
      <c r="CH574" s="76">
        <f>+CG574*22500</f>
        <v>0</v>
      </c>
      <c r="CI574" s="76"/>
      <c r="CJ574" s="76">
        <f>+CI574*26000</f>
        <v>0</v>
      </c>
      <c r="CK574" s="76"/>
      <c r="CL574" s="76"/>
      <c r="CM574" s="76"/>
      <c r="CN574" s="76">
        <f>+CM574*22000</f>
        <v>0</v>
      </c>
      <c r="CO574" s="76"/>
      <c r="CP574" s="76">
        <f>+CO574*46000</f>
        <v>0</v>
      </c>
      <c r="CQ574" s="76"/>
      <c r="CR574" s="76">
        <f>+CQ574*49000</f>
        <v>0</v>
      </c>
      <c r="CS574" s="76"/>
      <c r="CT574" s="76"/>
      <c r="CU574" s="56">
        <f>AN574+AP574+AR574+AT574+AV574+AX574+AZ574+BB574+BD574+BF574+BH574+BJ574+BL574+BN574+BP574+BR574+BT574+BV574+BX574+BZ574+CB574+CD574+CF574+CH574+CJ574+CL574+CN574+CP574+CR574+CT574</f>
        <v>0</v>
      </c>
      <c r="CV574" s="76"/>
      <c r="CW574" s="76">
        <f>+CV574*1100</f>
        <v>0</v>
      </c>
      <c r="CX574" s="76"/>
      <c r="CY574" s="76">
        <f>+CX574*106250</f>
        <v>0</v>
      </c>
      <c r="CZ574" s="76"/>
      <c r="DA574" s="76">
        <f>+CZ574*34500</f>
        <v>0</v>
      </c>
      <c r="DB574" s="76"/>
      <c r="DC574" s="76">
        <f>+DB574*25000</f>
        <v>0</v>
      </c>
      <c r="DD574" s="219"/>
      <c r="DE574" s="219"/>
      <c r="DF574" s="166"/>
      <c r="DG574" s="116"/>
      <c r="DH574" s="117"/>
      <c r="DI574" s="24"/>
      <c r="DJ574" s="24"/>
      <c r="DK574" s="24"/>
      <c r="DL574" s="24"/>
      <c r="DM574" s="24"/>
      <c r="DN574" s="24"/>
      <c r="DO574" s="24"/>
      <c r="DP574" s="24"/>
      <c r="DQ574" s="24"/>
      <c r="DR574" s="24"/>
      <c r="DS574" s="24"/>
      <c r="DT574" s="24"/>
      <c r="DU574" s="24"/>
    </row>
    <row r="575" spans="1:125" s="8" customFormat="1" ht="48" x14ac:dyDescent="0.2">
      <c r="A575" s="77">
        <v>41311</v>
      </c>
      <c r="B575" s="78" t="s">
        <v>2778</v>
      </c>
      <c r="C575" s="75" t="s">
        <v>2001</v>
      </c>
      <c r="D575" s="81" t="s">
        <v>2846</v>
      </c>
      <c r="E575" s="75" t="str">
        <f>VLOOKUP(B575&amp;C575,Divipola!$C$2:$F$1138,4,FALSE)</f>
        <v>85162</v>
      </c>
      <c r="F575" s="87"/>
      <c r="G575" s="87"/>
      <c r="H575" s="87"/>
      <c r="I575" s="87"/>
      <c r="J575" s="87"/>
      <c r="K575" s="87"/>
      <c r="L575" s="87"/>
      <c r="M575" s="87"/>
      <c r="N575" s="87"/>
      <c r="O575" s="87"/>
      <c r="P575" s="87"/>
      <c r="Q575" s="87"/>
      <c r="R575" s="87"/>
      <c r="S575" s="87"/>
      <c r="T575" s="87"/>
      <c r="U575" s="88">
        <v>42</v>
      </c>
      <c r="V575" s="89"/>
      <c r="W575" s="96">
        <v>0</v>
      </c>
      <c r="X575" s="71">
        <f>CU575</f>
        <v>0</v>
      </c>
      <c r="Y575" s="71">
        <f>CY575</f>
        <v>0</v>
      </c>
      <c r="Z575" s="71">
        <f>DA575+DC575+DE575</f>
        <v>0</v>
      </c>
      <c r="AA575" s="71">
        <f>CW575</f>
        <v>0</v>
      </c>
      <c r="AB575" s="71"/>
      <c r="AC575" s="71">
        <v>0</v>
      </c>
      <c r="AD575" s="71">
        <f>W575+X575+Y575+Z575+AA575+AB575+AC575</f>
        <v>0</v>
      </c>
      <c r="AE575" s="72">
        <v>0</v>
      </c>
      <c r="AF575" s="5"/>
      <c r="AG575" s="6"/>
      <c r="AH575" s="27" t="s">
        <v>3392</v>
      </c>
      <c r="AI575" s="44" t="s">
        <v>3393</v>
      </c>
      <c r="AJ575" s="26"/>
      <c r="AK575" s="5"/>
      <c r="AL575" s="82" t="s">
        <v>3421</v>
      </c>
      <c r="AM575" s="76"/>
      <c r="AN575" s="76"/>
      <c r="AO575" s="76"/>
      <c r="AP575" s="76"/>
      <c r="AQ575" s="76"/>
      <c r="AR575" s="76"/>
      <c r="AS575" s="76"/>
      <c r="AT575" s="76"/>
      <c r="AU575" s="76"/>
      <c r="AV575" s="76"/>
      <c r="AW575" s="76"/>
      <c r="AX575" s="76">
        <f>+AW575*600000</f>
        <v>0</v>
      </c>
      <c r="AY575" s="76"/>
      <c r="AZ575" s="76">
        <f>+AY575*70000</f>
        <v>0</v>
      </c>
      <c r="BA575" s="76"/>
      <c r="BB575" s="76"/>
      <c r="BC575" s="76"/>
      <c r="BD575" s="76">
        <f>+BC575*30000</f>
        <v>0</v>
      </c>
      <c r="BE575" s="76"/>
      <c r="BF575" s="76"/>
      <c r="BG575" s="76"/>
      <c r="BH575" s="76"/>
      <c r="BI575" s="76"/>
      <c r="BJ575" s="76"/>
      <c r="BK575" s="76"/>
      <c r="BL575" s="76">
        <f>+BK575*31500</f>
        <v>0</v>
      </c>
      <c r="BM575" s="76"/>
      <c r="BN575" s="76"/>
      <c r="BO575" s="76"/>
      <c r="BP575" s="76"/>
      <c r="BQ575" s="76"/>
      <c r="BR575" s="76"/>
      <c r="BS575" s="76"/>
      <c r="BT575" s="76"/>
      <c r="BU575" s="76"/>
      <c r="BV575" s="76"/>
      <c r="BW575" s="76"/>
      <c r="BX575" s="76"/>
      <c r="BY575" s="76"/>
      <c r="BZ575" s="76"/>
      <c r="CA575" s="76"/>
      <c r="CB575" s="76"/>
      <c r="CC575" s="76"/>
      <c r="CD575" s="76"/>
      <c r="CE575" s="76"/>
      <c r="CF575" s="76">
        <f>+CE575*28000</f>
        <v>0</v>
      </c>
      <c r="CG575" s="76"/>
      <c r="CH575" s="76">
        <f>+CG575*22500</f>
        <v>0</v>
      </c>
      <c r="CI575" s="76"/>
      <c r="CJ575" s="76">
        <f>+CI575*26000</f>
        <v>0</v>
      </c>
      <c r="CK575" s="76"/>
      <c r="CL575" s="76"/>
      <c r="CM575" s="76"/>
      <c r="CN575" s="76">
        <f>+CM575*22000</f>
        <v>0</v>
      </c>
      <c r="CO575" s="76"/>
      <c r="CP575" s="76">
        <f>+CO575*46000</f>
        <v>0</v>
      </c>
      <c r="CQ575" s="76"/>
      <c r="CR575" s="76">
        <f>+CQ575*49000</f>
        <v>0</v>
      </c>
      <c r="CS575" s="76"/>
      <c r="CT575" s="76"/>
      <c r="CU575" s="56">
        <f>AN575+AP575+AR575+AT575+AV575+AX575+AZ575+BB575+BD575+BF575+BH575+BJ575+BL575+BN575+BP575+BR575+BT575+BV575+BX575+BZ575+CB575+CD575+CF575+CH575+CJ575+CL575+CN575+CP575+CR575+CT575</f>
        <v>0</v>
      </c>
      <c r="CV575" s="76"/>
      <c r="CW575" s="76">
        <f>+CV575*1100</f>
        <v>0</v>
      </c>
      <c r="CX575" s="76"/>
      <c r="CY575" s="76">
        <f>+CX575*106250</f>
        <v>0</v>
      </c>
      <c r="CZ575" s="76"/>
      <c r="DA575" s="76">
        <f>+CZ575*34500</f>
        <v>0</v>
      </c>
      <c r="DB575" s="76"/>
      <c r="DC575" s="76">
        <f>+DB575*25000</f>
        <v>0</v>
      </c>
      <c r="DD575" s="219"/>
      <c r="DE575" s="219"/>
      <c r="DF575" s="166"/>
      <c r="DG575" s="116"/>
      <c r="DH575" s="117"/>
      <c r="DI575" s="24"/>
      <c r="DJ575" s="24"/>
      <c r="DK575" s="24"/>
      <c r="DL575" s="24"/>
      <c r="DM575" s="24"/>
      <c r="DN575" s="24"/>
      <c r="DO575" s="24"/>
      <c r="DP575" s="24"/>
      <c r="DQ575" s="24"/>
      <c r="DR575" s="24"/>
      <c r="DS575" s="24"/>
      <c r="DT575" s="24"/>
      <c r="DU575" s="24"/>
    </row>
    <row r="576" spans="1:125" s="8" customFormat="1" ht="60" x14ac:dyDescent="0.2">
      <c r="A576" s="77">
        <v>41311</v>
      </c>
      <c r="B576" s="225" t="s">
        <v>2772</v>
      </c>
      <c r="C576" s="227" t="s">
        <v>1376</v>
      </c>
      <c r="D576" s="75" t="s">
        <v>3051</v>
      </c>
      <c r="E576" s="75" t="str">
        <f>VLOOKUP(B576&amp;C576,Divipola!$C$2:$F$1138,4,FALSE)</f>
        <v>25126</v>
      </c>
      <c r="F576" s="100"/>
      <c r="G576" s="100"/>
      <c r="H576" s="100"/>
      <c r="I576" s="100">
        <v>20</v>
      </c>
      <c r="J576" s="100">
        <v>4</v>
      </c>
      <c r="K576" s="100"/>
      <c r="L576" s="100">
        <v>4</v>
      </c>
      <c r="M576" s="100"/>
      <c r="N576" s="100"/>
      <c r="O576" s="100"/>
      <c r="P576" s="100"/>
      <c r="Q576" s="100"/>
      <c r="R576" s="100"/>
      <c r="S576" s="100"/>
      <c r="T576" s="100"/>
      <c r="U576" s="136"/>
      <c r="V576" s="89"/>
      <c r="W576" s="96">
        <v>0</v>
      </c>
      <c r="X576" s="71">
        <f>CU576</f>
        <v>0</v>
      </c>
      <c r="Y576" s="71">
        <f>CY576</f>
        <v>0</v>
      </c>
      <c r="Z576" s="71">
        <f>DA576+DC576+DE576</f>
        <v>0</v>
      </c>
      <c r="AA576" s="71">
        <f>CW576</f>
        <v>0</v>
      </c>
      <c r="AB576" s="71"/>
      <c r="AC576" s="71">
        <v>0</v>
      </c>
      <c r="AD576" s="71">
        <f>W576+X576+Y576+Z576+AA576+AB576+AC576</f>
        <v>0</v>
      </c>
      <c r="AE576" s="72">
        <v>0</v>
      </c>
      <c r="AF576" s="5"/>
      <c r="AG576" s="6"/>
      <c r="AH576" s="27" t="s">
        <v>3392</v>
      </c>
      <c r="AI576" s="44" t="s">
        <v>3393</v>
      </c>
      <c r="AJ576" s="26"/>
      <c r="AK576" s="5"/>
      <c r="AL576" s="82" t="s">
        <v>3420</v>
      </c>
      <c r="AM576" s="76"/>
      <c r="AN576" s="76"/>
      <c r="AO576" s="76"/>
      <c r="AP576" s="76"/>
      <c r="AQ576" s="76"/>
      <c r="AR576" s="76"/>
      <c r="AS576" s="76"/>
      <c r="AT576" s="76"/>
      <c r="AU576" s="76"/>
      <c r="AV576" s="76"/>
      <c r="AW576" s="76"/>
      <c r="AX576" s="76">
        <f>+AW576*600000</f>
        <v>0</v>
      </c>
      <c r="AY576" s="76"/>
      <c r="AZ576" s="76">
        <f>+AY576*70000</f>
        <v>0</v>
      </c>
      <c r="BA576" s="76"/>
      <c r="BB576" s="76"/>
      <c r="BC576" s="76"/>
      <c r="BD576" s="76">
        <f>+BC576*30000</f>
        <v>0</v>
      </c>
      <c r="BE576" s="76"/>
      <c r="BF576" s="76"/>
      <c r="BG576" s="76"/>
      <c r="BH576" s="76"/>
      <c r="BI576" s="76"/>
      <c r="BJ576" s="76"/>
      <c r="BK576" s="76"/>
      <c r="BL576" s="76">
        <f>+BK576*31500</f>
        <v>0</v>
      </c>
      <c r="BM576" s="76"/>
      <c r="BN576" s="76"/>
      <c r="BO576" s="76"/>
      <c r="BP576" s="76"/>
      <c r="BQ576" s="76"/>
      <c r="BR576" s="76"/>
      <c r="BS576" s="76"/>
      <c r="BT576" s="76"/>
      <c r="BU576" s="76"/>
      <c r="BV576" s="76"/>
      <c r="BW576" s="76"/>
      <c r="BX576" s="76"/>
      <c r="BY576" s="76"/>
      <c r="BZ576" s="76"/>
      <c r="CA576" s="76"/>
      <c r="CB576" s="76"/>
      <c r="CC576" s="76"/>
      <c r="CD576" s="76"/>
      <c r="CE576" s="76"/>
      <c r="CF576" s="76">
        <f>+CE576*28000</f>
        <v>0</v>
      </c>
      <c r="CG576" s="76"/>
      <c r="CH576" s="76">
        <f>+CG576*22500</f>
        <v>0</v>
      </c>
      <c r="CI576" s="76"/>
      <c r="CJ576" s="76">
        <f>+CI576*26000</f>
        <v>0</v>
      </c>
      <c r="CK576" s="76"/>
      <c r="CL576" s="76"/>
      <c r="CM576" s="76"/>
      <c r="CN576" s="76">
        <f>+CM576*22000</f>
        <v>0</v>
      </c>
      <c r="CO576" s="76"/>
      <c r="CP576" s="76">
        <f>+CO576*46000</f>
        <v>0</v>
      </c>
      <c r="CQ576" s="76"/>
      <c r="CR576" s="76">
        <f>+CQ576*49000</f>
        <v>0</v>
      </c>
      <c r="CS576" s="76"/>
      <c r="CT576" s="76"/>
      <c r="CU576" s="56">
        <f>AN576+AP576+AR576+AT576+AV576+AX576+AZ576+BB576+BD576+BF576+BH576+BJ576+BL576+BN576+BP576+BR576+BT576+BV576+BX576+BZ576+CB576+CD576+CF576+CH576+CJ576+CL576+CN576+CP576+CR576+CT576</f>
        <v>0</v>
      </c>
      <c r="CV576" s="76"/>
      <c r="CW576" s="76">
        <f>+CV576*1100</f>
        <v>0</v>
      </c>
      <c r="CX576" s="76"/>
      <c r="CY576" s="76">
        <f>+CX576*106250</f>
        <v>0</v>
      </c>
      <c r="CZ576" s="76"/>
      <c r="DA576" s="76">
        <f>+CZ576*34500</f>
        <v>0</v>
      </c>
      <c r="DB576" s="76"/>
      <c r="DC576" s="76">
        <f>+DB576*25000</f>
        <v>0</v>
      </c>
      <c r="DD576" s="219"/>
      <c r="DE576" s="219"/>
      <c r="DF576" s="166"/>
      <c r="DG576" s="116"/>
      <c r="DH576" s="117"/>
      <c r="DI576" s="24"/>
      <c r="DJ576" s="24"/>
      <c r="DK576" s="24"/>
      <c r="DL576" s="24"/>
      <c r="DM576" s="24"/>
      <c r="DN576" s="24"/>
      <c r="DO576" s="24"/>
      <c r="DP576" s="24"/>
      <c r="DQ576" s="24"/>
      <c r="DR576" s="24"/>
      <c r="DS576" s="24"/>
      <c r="DT576" s="24"/>
      <c r="DU576" s="24"/>
    </row>
    <row r="577" spans="1:125" s="8" customFormat="1" ht="60" x14ac:dyDescent="0.2">
      <c r="A577" s="77">
        <v>41311</v>
      </c>
      <c r="B577" s="78" t="s">
        <v>2772</v>
      </c>
      <c r="C577" s="75" t="s">
        <v>1028</v>
      </c>
      <c r="D577" s="81" t="s">
        <v>2846</v>
      </c>
      <c r="E577" s="75" t="str">
        <f>VLOOKUP(B577&amp;C577,Divipola!$C$2:$F$1138,4,FALSE)</f>
        <v>25151</v>
      </c>
      <c r="F577" s="87"/>
      <c r="G577" s="87"/>
      <c r="H577" s="87"/>
      <c r="I577" s="87"/>
      <c r="J577" s="87"/>
      <c r="K577" s="87"/>
      <c r="L577" s="87"/>
      <c r="M577" s="87"/>
      <c r="N577" s="87"/>
      <c r="O577" s="87"/>
      <c r="P577" s="87"/>
      <c r="Q577" s="87"/>
      <c r="R577" s="87"/>
      <c r="S577" s="87"/>
      <c r="T577" s="87"/>
      <c r="U577" s="88">
        <v>6</v>
      </c>
      <c r="V577" s="89"/>
      <c r="W577" s="96">
        <v>0</v>
      </c>
      <c r="X577" s="71">
        <f>CU577</f>
        <v>0</v>
      </c>
      <c r="Y577" s="71">
        <f>CY577</f>
        <v>0</v>
      </c>
      <c r="Z577" s="71">
        <f>DA577+DC577+DE577</f>
        <v>0</v>
      </c>
      <c r="AA577" s="71">
        <f>CW577</f>
        <v>0</v>
      </c>
      <c r="AB577" s="71"/>
      <c r="AC577" s="71">
        <v>0</v>
      </c>
      <c r="AD577" s="71">
        <f>W577+X577+Y577+Z577+AA577+AB577+AC577</f>
        <v>0</v>
      </c>
      <c r="AE577" s="72">
        <v>0</v>
      </c>
      <c r="AF577" s="5"/>
      <c r="AG577" s="6"/>
      <c r="AH577" s="27" t="s">
        <v>3392</v>
      </c>
      <c r="AI577" s="44" t="s">
        <v>3393</v>
      </c>
      <c r="AJ577" s="26"/>
      <c r="AK577" s="5"/>
      <c r="AL577" s="82" t="s">
        <v>3422</v>
      </c>
      <c r="AM577" s="76"/>
      <c r="AN577" s="76"/>
      <c r="AO577" s="76"/>
      <c r="AP577" s="76"/>
      <c r="AQ577" s="76"/>
      <c r="AR577" s="76"/>
      <c r="AS577" s="76"/>
      <c r="AT577" s="76"/>
      <c r="AU577" s="76"/>
      <c r="AV577" s="76"/>
      <c r="AW577" s="76"/>
      <c r="AX577" s="76">
        <f>+AW577*600000</f>
        <v>0</v>
      </c>
      <c r="AY577" s="76"/>
      <c r="AZ577" s="76">
        <f>+AY577*70000</f>
        <v>0</v>
      </c>
      <c r="BA577" s="76"/>
      <c r="BB577" s="76"/>
      <c r="BC577" s="76"/>
      <c r="BD577" s="76">
        <f>+BC577*30000</f>
        <v>0</v>
      </c>
      <c r="BE577" s="76"/>
      <c r="BF577" s="76"/>
      <c r="BG577" s="76"/>
      <c r="BH577" s="76"/>
      <c r="BI577" s="76"/>
      <c r="BJ577" s="76"/>
      <c r="BK577" s="76"/>
      <c r="BL577" s="76">
        <f>+BK577*31500</f>
        <v>0</v>
      </c>
      <c r="BM577" s="76"/>
      <c r="BN577" s="76"/>
      <c r="BO577" s="76"/>
      <c r="BP577" s="76"/>
      <c r="BQ577" s="76"/>
      <c r="BR577" s="76"/>
      <c r="BS577" s="76"/>
      <c r="BT577" s="76"/>
      <c r="BU577" s="76"/>
      <c r="BV577" s="76"/>
      <c r="BW577" s="76"/>
      <c r="BX577" s="76"/>
      <c r="BY577" s="76"/>
      <c r="BZ577" s="76"/>
      <c r="CA577" s="76"/>
      <c r="CB577" s="76"/>
      <c r="CC577" s="76"/>
      <c r="CD577" s="76"/>
      <c r="CE577" s="76"/>
      <c r="CF577" s="76">
        <f>+CE577*28000</f>
        <v>0</v>
      </c>
      <c r="CG577" s="76"/>
      <c r="CH577" s="76">
        <f>+CG577*22500</f>
        <v>0</v>
      </c>
      <c r="CI577" s="76"/>
      <c r="CJ577" s="76">
        <f>+CI577*26000</f>
        <v>0</v>
      </c>
      <c r="CK577" s="76"/>
      <c r="CL577" s="76"/>
      <c r="CM577" s="76"/>
      <c r="CN577" s="76">
        <f>+CM577*22000</f>
        <v>0</v>
      </c>
      <c r="CO577" s="76"/>
      <c r="CP577" s="76">
        <f>+CO577*46000</f>
        <v>0</v>
      </c>
      <c r="CQ577" s="76"/>
      <c r="CR577" s="76">
        <f>+CQ577*49000</f>
        <v>0</v>
      </c>
      <c r="CS577" s="76"/>
      <c r="CT577" s="76"/>
      <c r="CU577" s="56">
        <f>AN577+AP577+AR577+AT577+AV577+AX577+AZ577+BB577+BD577+BF577+BH577+BJ577+BL577+BN577+BP577+BR577+BT577+BV577+BX577+BZ577+CB577+CD577+CF577+CH577+CJ577+CL577+CN577+CP577+CR577+CT577</f>
        <v>0</v>
      </c>
      <c r="CV577" s="76"/>
      <c r="CW577" s="76">
        <f>+CV577*1100</f>
        <v>0</v>
      </c>
      <c r="CX577" s="76"/>
      <c r="CY577" s="76">
        <f>+CX577*106250</f>
        <v>0</v>
      </c>
      <c r="CZ577" s="76"/>
      <c r="DA577" s="76">
        <f>+CZ577*34500</f>
        <v>0</v>
      </c>
      <c r="DB577" s="76"/>
      <c r="DC577" s="76">
        <f>+DB577*25000</f>
        <v>0</v>
      </c>
      <c r="DD577" s="219"/>
      <c r="DE577" s="219"/>
      <c r="DF577" s="166"/>
      <c r="DG577" s="116"/>
      <c r="DH577" s="117"/>
      <c r="DI577" s="24"/>
      <c r="DJ577" s="24"/>
      <c r="DK577" s="24"/>
      <c r="DL577" s="24"/>
      <c r="DM577" s="24"/>
      <c r="DN577" s="24"/>
      <c r="DO577" s="24"/>
      <c r="DP577" s="24"/>
      <c r="DQ577" s="24"/>
      <c r="DR577" s="24"/>
      <c r="DS577" s="24"/>
      <c r="DT577" s="24"/>
      <c r="DU577" s="24"/>
    </row>
    <row r="578" spans="1:125" s="8" customFormat="1" ht="60" x14ac:dyDescent="0.2">
      <c r="A578" s="77">
        <v>41311</v>
      </c>
      <c r="B578" s="225" t="s">
        <v>2772</v>
      </c>
      <c r="C578" s="227" t="s">
        <v>1028</v>
      </c>
      <c r="D578" s="81" t="s">
        <v>2846</v>
      </c>
      <c r="E578" s="75" t="str">
        <f>VLOOKUP(B578&amp;C578,Divipola!$C$2:$F$1138,4,FALSE)</f>
        <v>25151</v>
      </c>
      <c r="F578" s="100"/>
      <c r="G578" s="100"/>
      <c r="H578" s="100"/>
      <c r="I578" s="100"/>
      <c r="J578" s="100"/>
      <c r="K578" s="100"/>
      <c r="L578" s="100"/>
      <c r="M578" s="100"/>
      <c r="N578" s="100"/>
      <c r="O578" s="100"/>
      <c r="P578" s="100"/>
      <c r="Q578" s="100"/>
      <c r="R578" s="100"/>
      <c r="S578" s="100"/>
      <c r="T578" s="100"/>
      <c r="U578" s="136">
        <v>8</v>
      </c>
      <c r="V578" s="89"/>
      <c r="W578" s="96">
        <v>0</v>
      </c>
      <c r="X578" s="71">
        <f>CU578</f>
        <v>0</v>
      </c>
      <c r="Y578" s="71">
        <f>CY578</f>
        <v>0</v>
      </c>
      <c r="Z578" s="71">
        <f>DA578+DC578+DE578</f>
        <v>0</v>
      </c>
      <c r="AA578" s="71">
        <f>CW578</f>
        <v>0</v>
      </c>
      <c r="AB578" s="71"/>
      <c r="AC578" s="71">
        <v>0</v>
      </c>
      <c r="AD578" s="71">
        <f>W578+X578+Y578+Z578+AA578+AB578+AC578</f>
        <v>0</v>
      </c>
      <c r="AE578" s="72">
        <v>0</v>
      </c>
      <c r="AF578" s="5"/>
      <c r="AG578" s="6"/>
      <c r="AH578" s="27" t="s">
        <v>3392</v>
      </c>
      <c r="AI578" s="44" t="s">
        <v>3393</v>
      </c>
      <c r="AJ578" s="26"/>
      <c r="AK578" s="5"/>
      <c r="AL578" s="82" t="s">
        <v>3423</v>
      </c>
      <c r="AM578" s="76"/>
      <c r="AN578" s="76"/>
      <c r="AO578" s="76"/>
      <c r="AP578" s="76"/>
      <c r="AQ578" s="76"/>
      <c r="AR578" s="76"/>
      <c r="AS578" s="76"/>
      <c r="AT578" s="76"/>
      <c r="AU578" s="76"/>
      <c r="AV578" s="76"/>
      <c r="AW578" s="76"/>
      <c r="AX578" s="76">
        <f>+AW578*600000</f>
        <v>0</v>
      </c>
      <c r="AY578" s="76"/>
      <c r="AZ578" s="76">
        <f>+AY578*70000</f>
        <v>0</v>
      </c>
      <c r="BA578" s="76"/>
      <c r="BB578" s="76"/>
      <c r="BC578" s="76"/>
      <c r="BD578" s="76">
        <f>+BC578*30000</f>
        <v>0</v>
      </c>
      <c r="BE578" s="76"/>
      <c r="BF578" s="76"/>
      <c r="BG578" s="76"/>
      <c r="BH578" s="76"/>
      <c r="BI578" s="76"/>
      <c r="BJ578" s="76"/>
      <c r="BK578" s="76"/>
      <c r="BL578" s="76">
        <f>+BK578*31500</f>
        <v>0</v>
      </c>
      <c r="BM578" s="76"/>
      <c r="BN578" s="76"/>
      <c r="BO578" s="76"/>
      <c r="BP578" s="76"/>
      <c r="BQ578" s="76"/>
      <c r="BR578" s="76"/>
      <c r="BS578" s="76"/>
      <c r="BT578" s="76"/>
      <c r="BU578" s="76"/>
      <c r="BV578" s="76"/>
      <c r="BW578" s="76"/>
      <c r="BX578" s="76"/>
      <c r="BY578" s="76"/>
      <c r="BZ578" s="76"/>
      <c r="CA578" s="76"/>
      <c r="CB578" s="76"/>
      <c r="CC578" s="76"/>
      <c r="CD578" s="76"/>
      <c r="CE578" s="76"/>
      <c r="CF578" s="76">
        <f>+CE578*28000</f>
        <v>0</v>
      </c>
      <c r="CG578" s="76"/>
      <c r="CH578" s="76">
        <f>+CG578*22500</f>
        <v>0</v>
      </c>
      <c r="CI578" s="76"/>
      <c r="CJ578" s="76">
        <f>+CI578*26000</f>
        <v>0</v>
      </c>
      <c r="CK578" s="76"/>
      <c r="CL578" s="76"/>
      <c r="CM578" s="76"/>
      <c r="CN578" s="76">
        <f>+CM578*22000</f>
        <v>0</v>
      </c>
      <c r="CO578" s="76"/>
      <c r="CP578" s="76">
        <f>+CO578*46000</f>
        <v>0</v>
      </c>
      <c r="CQ578" s="76"/>
      <c r="CR578" s="76">
        <f>+CQ578*49000</f>
        <v>0</v>
      </c>
      <c r="CS578" s="76"/>
      <c r="CT578" s="76"/>
      <c r="CU578" s="56">
        <f>AN578+AP578+AR578+AT578+AV578+AX578+AZ578+BB578+BD578+BF578+BH578+BJ578+BL578+BN578+BP578+BR578+BT578+BV578+BX578+BZ578+CB578+CD578+CF578+CH578+CJ578+CL578+CN578+CP578+CR578+CT578</f>
        <v>0</v>
      </c>
      <c r="CV578" s="76"/>
      <c r="CW578" s="76">
        <f>+CV578*1100</f>
        <v>0</v>
      </c>
      <c r="CX578" s="76"/>
      <c r="CY578" s="76">
        <f>+CX578*106250</f>
        <v>0</v>
      </c>
      <c r="CZ578" s="76"/>
      <c r="DA578" s="76">
        <f>+CZ578*34500</f>
        <v>0</v>
      </c>
      <c r="DB578" s="76"/>
      <c r="DC578" s="76">
        <f>+DB578*25000</f>
        <v>0</v>
      </c>
      <c r="DD578" s="219"/>
      <c r="DE578" s="219"/>
      <c r="DF578" s="166"/>
      <c r="DG578" s="116"/>
      <c r="DH578" s="117"/>
      <c r="DI578" s="24"/>
      <c r="DJ578" s="24"/>
      <c r="DK578" s="24"/>
      <c r="DL578" s="24"/>
      <c r="DM578" s="24"/>
      <c r="DN578" s="24"/>
      <c r="DO578" s="24"/>
      <c r="DP578" s="24"/>
      <c r="DQ578" s="24"/>
      <c r="DR578" s="24"/>
      <c r="DS578" s="24"/>
      <c r="DT578" s="24"/>
      <c r="DU578" s="24"/>
    </row>
    <row r="579" spans="1:125" s="8" customFormat="1" ht="72" x14ac:dyDescent="0.2">
      <c r="A579" s="77">
        <v>41311</v>
      </c>
      <c r="B579" s="78" t="s">
        <v>2772</v>
      </c>
      <c r="C579" s="75" t="s">
        <v>1042</v>
      </c>
      <c r="D579" s="75" t="s">
        <v>2882</v>
      </c>
      <c r="E579" s="75" t="str">
        <f>VLOOKUP(B579&amp;C579,Divipola!$C$2:$F$1138,4,FALSE)</f>
        <v>25245</v>
      </c>
      <c r="F579" s="87"/>
      <c r="G579" s="87"/>
      <c r="H579" s="87"/>
      <c r="I579" s="87">
        <v>100</v>
      </c>
      <c r="J579" s="87">
        <v>21</v>
      </c>
      <c r="K579" s="87"/>
      <c r="L579" s="87">
        <v>21</v>
      </c>
      <c r="M579" s="87"/>
      <c r="N579" s="87"/>
      <c r="O579" s="87"/>
      <c r="P579" s="87"/>
      <c r="Q579" s="87"/>
      <c r="R579" s="87"/>
      <c r="S579" s="87"/>
      <c r="T579" s="87"/>
      <c r="U579" s="88"/>
      <c r="V579" s="89"/>
      <c r="W579" s="96">
        <v>0</v>
      </c>
      <c r="X579" s="71">
        <f>CU579</f>
        <v>0</v>
      </c>
      <c r="Y579" s="71">
        <f>CY579</f>
        <v>0</v>
      </c>
      <c r="Z579" s="71">
        <f>DA579+DC579+DE579</f>
        <v>0</v>
      </c>
      <c r="AA579" s="71">
        <f>CW579</f>
        <v>0</v>
      </c>
      <c r="AB579" s="71"/>
      <c r="AC579" s="71">
        <v>0</v>
      </c>
      <c r="AD579" s="71">
        <f>W579+X579+Y579+Z579+AA579+AB579+AC579</f>
        <v>0</v>
      </c>
      <c r="AE579" s="72">
        <v>0</v>
      </c>
      <c r="AF579" s="5"/>
      <c r="AG579" s="6"/>
      <c r="AH579" s="27" t="s">
        <v>3392</v>
      </c>
      <c r="AI579" s="44" t="s">
        <v>3393</v>
      </c>
      <c r="AJ579" s="26"/>
      <c r="AK579" s="5"/>
      <c r="AL579" s="82" t="s">
        <v>3424</v>
      </c>
      <c r="AM579" s="76"/>
      <c r="AN579" s="76"/>
      <c r="AO579" s="76"/>
      <c r="AP579" s="76"/>
      <c r="AQ579" s="76"/>
      <c r="AR579" s="76"/>
      <c r="AS579" s="76"/>
      <c r="AT579" s="76"/>
      <c r="AU579" s="76"/>
      <c r="AV579" s="76"/>
      <c r="AW579" s="76"/>
      <c r="AX579" s="76">
        <f>+AW579*600000</f>
        <v>0</v>
      </c>
      <c r="AY579" s="76"/>
      <c r="AZ579" s="76">
        <f>+AY579*70000</f>
        <v>0</v>
      </c>
      <c r="BA579" s="76"/>
      <c r="BB579" s="76"/>
      <c r="BC579" s="76"/>
      <c r="BD579" s="76">
        <f>+BC579*30000</f>
        <v>0</v>
      </c>
      <c r="BE579" s="76"/>
      <c r="BF579" s="76"/>
      <c r="BG579" s="76"/>
      <c r="BH579" s="76"/>
      <c r="BI579" s="76"/>
      <c r="BJ579" s="76"/>
      <c r="BK579" s="76"/>
      <c r="BL579" s="76">
        <f>+BK579*31500</f>
        <v>0</v>
      </c>
      <c r="BM579" s="76"/>
      <c r="BN579" s="76"/>
      <c r="BO579" s="76"/>
      <c r="BP579" s="76"/>
      <c r="BQ579" s="76"/>
      <c r="BR579" s="76"/>
      <c r="BS579" s="76"/>
      <c r="BT579" s="76"/>
      <c r="BU579" s="76"/>
      <c r="BV579" s="76"/>
      <c r="BW579" s="76"/>
      <c r="BX579" s="76"/>
      <c r="BY579" s="76"/>
      <c r="BZ579" s="76"/>
      <c r="CA579" s="76"/>
      <c r="CB579" s="76"/>
      <c r="CC579" s="76"/>
      <c r="CD579" s="76"/>
      <c r="CE579" s="76"/>
      <c r="CF579" s="76">
        <f>+CE579*28000</f>
        <v>0</v>
      </c>
      <c r="CG579" s="76"/>
      <c r="CH579" s="76">
        <f>+CG579*22500</f>
        <v>0</v>
      </c>
      <c r="CI579" s="76"/>
      <c r="CJ579" s="76">
        <f>+CI579*26000</f>
        <v>0</v>
      </c>
      <c r="CK579" s="76"/>
      <c r="CL579" s="76"/>
      <c r="CM579" s="76"/>
      <c r="CN579" s="76">
        <f>+CM579*22000</f>
        <v>0</v>
      </c>
      <c r="CO579" s="76"/>
      <c r="CP579" s="76">
        <f>+CO579*46000</f>
        <v>0</v>
      </c>
      <c r="CQ579" s="76"/>
      <c r="CR579" s="76">
        <f>+CQ579*49000</f>
        <v>0</v>
      </c>
      <c r="CS579" s="76"/>
      <c r="CT579" s="76"/>
      <c r="CU579" s="56">
        <f>AN579+AP579+AR579+AT579+AV579+AX579+AZ579+BB579+BD579+BF579+BH579+BJ579+BL579+BN579+BP579+BR579+BT579+BV579+BX579+BZ579+CB579+CD579+CF579+CH579+CJ579+CL579+CN579+CP579+CR579+CT579</f>
        <v>0</v>
      </c>
      <c r="CV579" s="76"/>
      <c r="CW579" s="76">
        <f>+CV579*1100</f>
        <v>0</v>
      </c>
      <c r="CX579" s="76"/>
      <c r="CY579" s="76">
        <f>+CX579*106250</f>
        <v>0</v>
      </c>
      <c r="CZ579" s="76"/>
      <c r="DA579" s="76">
        <f>+CZ579*34500</f>
        <v>0</v>
      </c>
      <c r="DB579" s="76"/>
      <c r="DC579" s="76">
        <f>+DB579*25000</f>
        <v>0</v>
      </c>
      <c r="DD579" s="219"/>
      <c r="DE579" s="219"/>
      <c r="DF579" s="166"/>
      <c r="DG579" s="116"/>
      <c r="DH579" s="117"/>
      <c r="DI579" s="24"/>
      <c r="DJ579" s="24"/>
      <c r="DK579" s="24"/>
      <c r="DL579" s="24"/>
      <c r="DM579" s="24"/>
      <c r="DN579" s="24"/>
      <c r="DO579" s="24"/>
      <c r="DP579" s="24"/>
      <c r="DQ579" s="24"/>
      <c r="DR579" s="24"/>
      <c r="DS579" s="24"/>
      <c r="DT579" s="24"/>
      <c r="DU579" s="24"/>
    </row>
    <row r="580" spans="1:125" s="8" customFormat="1" ht="96" x14ac:dyDescent="0.2">
      <c r="A580" s="77">
        <v>41311</v>
      </c>
      <c r="B580" s="225" t="s">
        <v>2772</v>
      </c>
      <c r="C580" s="227" t="s">
        <v>1135</v>
      </c>
      <c r="D580" s="227" t="s">
        <v>2882</v>
      </c>
      <c r="E580" s="75" t="str">
        <f>VLOOKUP(B580&amp;C580,Divipola!$C$2:$F$1138,4,FALSE)</f>
        <v>25572</v>
      </c>
      <c r="F580" s="87"/>
      <c r="G580" s="87"/>
      <c r="H580" s="87"/>
      <c r="I580" s="87">
        <v>40</v>
      </c>
      <c r="J580" s="87">
        <v>7</v>
      </c>
      <c r="K580" s="87"/>
      <c r="L580" s="87">
        <v>7</v>
      </c>
      <c r="M580" s="87"/>
      <c r="N580" s="87"/>
      <c r="O580" s="87"/>
      <c r="P580" s="87"/>
      <c r="Q580" s="87"/>
      <c r="R580" s="87"/>
      <c r="S580" s="87"/>
      <c r="T580" s="87"/>
      <c r="U580" s="88"/>
      <c r="V580" s="89"/>
      <c r="W580" s="96">
        <v>0</v>
      </c>
      <c r="X580" s="71">
        <f>CU580</f>
        <v>0</v>
      </c>
      <c r="Y580" s="71">
        <f>CY580</f>
        <v>0</v>
      </c>
      <c r="Z580" s="71">
        <f>DA580+DC580+DE580</f>
        <v>0</v>
      </c>
      <c r="AA580" s="71">
        <f>CW580</f>
        <v>0</v>
      </c>
      <c r="AB580" s="71"/>
      <c r="AC580" s="71">
        <v>0</v>
      </c>
      <c r="AD580" s="71">
        <f>W580+X580+Y580+Z580+AA580+AB580+AC580</f>
        <v>0</v>
      </c>
      <c r="AE580" s="72">
        <v>0</v>
      </c>
      <c r="AF580" s="5"/>
      <c r="AG580" s="6"/>
      <c r="AH580" s="27" t="s">
        <v>3392</v>
      </c>
      <c r="AI580" s="44" t="s">
        <v>3393</v>
      </c>
      <c r="AJ580" s="26"/>
      <c r="AK580" s="5"/>
      <c r="AL580" s="82" t="s">
        <v>3419</v>
      </c>
      <c r="AM580" s="76"/>
      <c r="AN580" s="76"/>
      <c r="AO580" s="76"/>
      <c r="AP580" s="76"/>
      <c r="AQ580" s="76"/>
      <c r="AR580" s="76"/>
      <c r="AS580" s="76"/>
      <c r="AT580" s="76"/>
      <c r="AU580" s="76"/>
      <c r="AV580" s="76"/>
      <c r="AW580" s="76"/>
      <c r="AX580" s="76">
        <f>+AW580*600000</f>
        <v>0</v>
      </c>
      <c r="AY580" s="76"/>
      <c r="AZ580" s="76">
        <f>+AY580*70000</f>
        <v>0</v>
      </c>
      <c r="BA580" s="76"/>
      <c r="BB580" s="76"/>
      <c r="BC580" s="76"/>
      <c r="BD580" s="76">
        <f>+BC580*30000</f>
        <v>0</v>
      </c>
      <c r="BE580" s="76"/>
      <c r="BF580" s="76"/>
      <c r="BG580" s="76"/>
      <c r="BH580" s="76"/>
      <c r="BI580" s="76"/>
      <c r="BJ580" s="76"/>
      <c r="BK580" s="76"/>
      <c r="BL580" s="76">
        <f>+BK580*31500</f>
        <v>0</v>
      </c>
      <c r="BM580" s="76"/>
      <c r="BN580" s="76"/>
      <c r="BO580" s="76"/>
      <c r="BP580" s="76"/>
      <c r="BQ580" s="76"/>
      <c r="BR580" s="76"/>
      <c r="BS580" s="76"/>
      <c r="BT580" s="76"/>
      <c r="BU580" s="76"/>
      <c r="BV580" s="76"/>
      <c r="BW580" s="76"/>
      <c r="BX580" s="76"/>
      <c r="BY580" s="76"/>
      <c r="BZ580" s="76"/>
      <c r="CA580" s="76"/>
      <c r="CB580" s="76"/>
      <c r="CC580" s="76"/>
      <c r="CD580" s="76"/>
      <c r="CE580" s="76"/>
      <c r="CF580" s="76">
        <f>+CE580*28000</f>
        <v>0</v>
      </c>
      <c r="CG580" s="76"/>
      <c r="CH580" s="76">
        <f>+CG580*22500</f>
        <v>0</v>
      </c>
      <c r="CI580" s="76"/>
      <c r="CJ580" s="76">
        <f>+CI580*26000</f>
        <v>0</v>
      </c>
      <c r="CK580" s="76"/>
      <c r="CL580" s="76"/>
      <c r="CM580" s="76"/>
      <c r="CN580" s="76">
        <f>+CM580*22000</f>
        <v>0</v>
      </c>
      <c r="CO580" s="76"/>
      <c r="CP580" s="76">
        <f>+CO580*46000</f>
        <v>0</v>
      </c>
      <c r="CQ580" s="76"/>
      <c r="CR580" s="76">
        <f>+CQ580*49000</f>
        <v>0</v>
      </c>
      <c r="CS580" s="76"/>
      <c r="CT580" s="76"/>
      <c r="CU580" s="56">
        <f>AN580+AP580+AR580+AT580+AV580+AX580+AZ580+BB580+BD580+BF580+BH580+BJ580+BL580+BN580+BP580+BR580+BT580+BV580+BX580+BZ580+CB580+CD580+CF580+CH580+CJ580+CL580+CN580+CP580+CR580+CT580</f>
        <v>0</v>
      </c>
      <c r="CV580" s="76"/>
      <c r="CW580" s="76">
        <f>+CV580*1100</f>
        <v>0</v>
      </c>
      <c r="CX580" s="76"/>
      <c r="CY580" s="76">
        <f>+CX580*106250</f>
        <v>0</v>
      </c>
      <c r="CZ580" s="76"/>
      <c r="DA580" s="76">
        <f>+CZ580*34500</f>
        <v>0</v>
      </c>
      <c r="DB580" s="76"/>
      <c r="DC580" s="76">
        <f>+DB580*25000</f>
        <v>0</v>
      </c>
      <c r="DD580" s="219"/>
      <c r="DE580" s="219"/>
      <c r="DF580" s="166"/>
      <c r="DG580" s="116"/>
      <c r="DH580" s="117"/>
      <c r="DI580" s="24"/>
      <c r="DJ580" s="24"/>
      <c r="DK580" s="24"/>
      <c r="DL580" s="24"/>
      <c r="DM580" s="24"/>
      <c r="DN580" s="24"/>
      <c r="DO580" s="24"/>
      <c r="DP580" s="24"/>
      <c r="DQ580" s="24"/>
      <c r="DR580" s="24"/>
      <c r="DS580" s="24"/>
      <c r="DT580" s="24"/>
      <c r="DU580" s="24"/>
    </row>
    <row r="581" spans="1:125" s="8" customFormat="1" ht="72" x14ac:dyDescent="0.2">
      <c r="A581" s="77">
        <v>41311</v>
      </c>
      <c r="B581" s="78" t="s">
        <v>2848</v>
      </c>
      <c r="C581" s="75" t="s">
        <v>1258</v>
      </c>
      <c r="D581" s="75" t="s">
        <v>2882</v>
      </c>
      <c r="E581" s="75" t="str">
        <f>VLOOKUP(B581&amp;C581,Divipola!$C$2:$F$1138,4,FALSE)</f>
        <v>73870</v>
      </c>
      <c r="F581" s="87"/>
      <c r="G581" s="87"/>
      <c r="H581" s="87"/>
      <c r="I581" s="87"/>
      <c r="J581" s="87"/>
      <c r="K581" s="87"/>
      <c r="L581" s="87"/>
      <c r="M581" s="87"/>
      <c r="N581" s="87"/>
      <c r="O581" s="87"/>
      <c r="P581" s="87"/>
      <c r="Q581" s="87"/>
      <c r="R581" s="87"/>
      <c r="S581" s="87"/>
      <c r="T581" s="87"/>
      <c r="U581" s="88"/>
      <c r="V581" s="89"/>
      <c r="W581" s="96">
        <v>0</v>
      </c>
      <c r="X581" s="71">
        <f>CU581</f>
        <v>0</v>
      </c>
      <c r="Y581" s="71">
        <f>CY581</f>
        <v>0</v>
      </c>
      <c r="Z581" s="71">
        <f>DA581+DC581+DE581</f>
        <v>0</v>
      </c>
      <c r="AA581" s="71">
        <f>CW581</f>
        <v>0</v>
      </c>
      <c r="AB581" s="71"/>
      <c r="AC581" s="71">
        <v>0</v>
      </c>
      <c r="AD581" s="71">
        <f>W581+X581+Y581+Z581+AA581+AB581+AC581</f>
        <v>0</v>
      </c>
      <c r="AE581" s="72">
        <v>0</v>
      </c>
      <c r="AF581" s="5"/>
      <c r="AG581" s="6"/>
      <c r="AH581" s="27" t="s">
        <v>3392</v>
      </c>
      <c r="AI581" s="44" t="s">
        <v>3393</v>
      </c>
      <c r="AJ581" s="26"/>
      <c r="AK581" s="5"/>
      <c r="AL581" s="82" t="s">
        <v>3418</v>
      </c>
      <c r="AM581" s="76"/>
      <c r="AN581" s="76"/>
      <c r="AO581" s="76"/>
      <c r="AP581" s="76"/>
      <c r="AQ581" s="76"/>
      <c r="AR581" s="76"/>
      <c r="AS581" s="76"/>
      <c r="AT581" s="76"/>
      <c r="AU581" s="76"/>
      <c r="AV581" s="76"/>
      <c r="AW581" s="76"/>
      <c r="AX581" s="76">
        <f>+AW581*600000</f>
        <v>0</v>
      </c>
      <c r="AY581" s="76"/>
      <c r="AZ581" s="76">
        <f>+AY581*70000</f>
        <v>0</v>
      </c>
      <c r="BA581" s="76"/>
      <c r="BB581" s="76"/>
      <c r="BC581" s="76"/>
      <c r="BD581" s="76">
        <f>+BC581*30000</f>
        <v>0</v>
      </c>
      <c r="BE581" s="76"/>
      <c r="BF581" s="76"/>
      <c r="BG581" s="76"/>
      <c r="BH581" s="76"/>
      <c r="BI581" s="76"/>
      <c r="BJ581" s="76"/>
      <c r="BK581" s="76"/>
      <c r="BL581" s="76">
        <f>+BK581*31500</f>
        <v>0</v>
      </c>
      <c r="BM581" s="76"/>
      <c r="BN581" s="76"/>
      <c r="BO581" s="76"/>
      <c r="BP581" s="76"/>
      <c r="BQ581" s="76"/>
      <c r="BR581" s="76"/>
      <c r="BS581" s="76"/>
      <c r="BT581" s="76"/>
      <c r="BU581" s="76"/>
      <c r="BV581" s="76"/>
      <c r="BW581" s="76"/>
      <c r="BX581" s="76"/>
      <c r="BY581" s="76"/>
      <c r="BZ581" s="76"/>
      <c r="CA581" s="76"/>
      <c r="CB581" s="76"/>
      <c r="CC581" s="76"/>
      <c r="CD581" s="76"/>
      <c r="CE581" s="76"/>
      <c r="CF581" s="76">
        <f>+CE581*28000</f>
        <v>0</v>
      </c>
      <c r="CG581" s="76"/>
      <c r="CH581" s="76">
        <f>+CG581*22500</f>
        <v>0</v>
      </c>
      <c r="CI581" s="76"/>
      <c r="CJ581" s="76">
        <f>+CI581*26000</f>
        <v>0</v>
      </c>
      <c r="CK581" s="76"/>
      <c r="CL581" s="76"/>
      <c r="CM581" s="76"/>
      <c r="CN581" s="76">
        <f>+CM581*22000</f>
        <v>0</v>
      </c>
      <c r="CO581" s="76"/>
      <c r="CP581" s="76">
        <f>+CO581*46000</f>
        <v>0</v>
      </c>
      <c r="CQ581" s="76"/>
      <c r="CR581" s="76">
        <f>+CQ581*49000</f>
        <v>0</v>
      </c>
      <c r="CS581" s="76"/>
      <c r="CT581" s="76"/>
      <c r="CU581" s="56">
        <f>AN581+AP581+AR581+AT581+AV581+AX581+AZ581+BB581+BD581+BF581+BH581+BJ581+BL581+BN581+BP581+BR581+BT581+BV581+BX581+BZ581+CB581+CD581+CF581+CH581+CJ581+CL581+CN581+CP581+CR581+CT581</f>
        <v>0</v>
      </c>
      <c r="CV581" s="76"/>
      <c r="CW581" s="76">
        <f>+CV581*1100</f>
        <v>0</v>
      </c>
      <c r="CX581" s="76"/>
      <c r="CY581" s="76">
        <f>+CX581*106250</f>
        <v>0</v>
      </c>
      <c r="CZ581" s="76"/>
      <c r="DA581" s="76">
        <f>+CZ581*34500</f>
        <v>0</v>
      </c>
      <c r="DB581" s="76"/>
      <c r="DC581" s="76">
        <f>+DB581*25000</f>
        <v>0</v>
      </c>
      <c r="DD581" s="219"/>
      <c r="DE581" s="219"/>
      <c r="DF581" s="166"/>
      <c r="DG581" s="116"/>
      <c r="DH581" s="117"/>
      <c r="DI581" s="24"/>
      <c r="DJ581" s="24"/>
      <c r="DK581" s="24"/>
      <c r="DL581" s="24"/>
      <c r="DM581" s="24"/>
      <c r="DN581" s="24"/>
      <c r="DO581" s="24"/>
      <c r="DP581" s="24"/>
      <c r="DQ581" s="24"/>
      <c r="DR581" s="24"/>
      <c r="DS581" s="24"/>
      <c r="DT581" s="24"/>
      <c r="DU581" s="24"/>
    </row>
    <row r="582" spans="1:125" s="8" customFormat="1" ht="72" x14ac:dyDescent="0.2">
      <c r="A582" s="77">
        <v>41312</v>
      </c>
      <c r="B582" s="225" t="s">
        <v>2881</v>
      </c>
      <c r="C582" s="227" t="s">
        <v>1427</v>
      </c>
      <c r="D582" s="81" t="s">
        <v>2846</v>
      </c>
      <c r="E582" s="75" t="str">
        <f>VLOOKUP(B582&amp;C582,Divipola!$C$2:$F$1138,4,FALSE)</f>
        <v>08560</v>
      </c>
      <c r="F582" s="100"/>
      <c r="G582" s="100"/>
      <c r="H582" s="100"/>
      <c r="I582" s="100"/>
      <c r="J582" s="100"/>
      <c r="K582" s="100"/>
      <c r="L582" s="100"/>
      <c r="M582" s="100"/>
      <c r="N582" s="100"/>
      <c r="O582" s="100"/>
      <c r="P582" s="100"/>
      <c r="Q582" s="100"/>
      <c r="R582" s="100"/>
      <c r="S582" s="100"/>
      <c r="T582" s="100"/>
      <c r="U582" s="136">
        <v>20</v>
      </c>
      <c r="V582" s="89"/>
      <c r="W582" s="96">
        <v>0</v>
      </c>
      <c r="X582" s="71">
        <f>CU582</f>
        <v>0</v>
      </c>
      <c r="Y582" s="71">
        <f>CY582</f>
        <v>0</v>
      </c>
      <c r="Z582" s="71">
        <f>DA582+DC582+DE582</f>
        <v>0</v>
      </c>
      <c r="AA582" s="71">
        <f>CW582</f>
        <v>0</v>
      </c>
      <c r="AB582" s="71"/>
      <c r="AC582" s="71">
        <v>0</v>
      </c>
      <c r="AD582" s="71">
        <f>W582+X582+Y582+Z582+AA582+AB582+AC582</f>
        <v>0</v>
      </c>
      <c r="AE582" s="72">
        <v>0</v>
      </c>
      <c r="AF582" s="5"/>
      <c r="AG582" s="6"/>
      <c r="AH582" s="27" t="s">
        <v>3392</v>
      </c>
      <c r="AI582" s="44" t="s">
        <v>3393</v>
      </c>
      <c r="AJ582" s="26"/>
      <c r="AK582" s="5"/>
      <c r="AL582" s="82" t="s">
        <v>3447</v>
      </c>
      <c r="AM582" s="76"/>
      <c r="AN582" s="76"/>
      <c r="AO582" s="76"/>
      <c r="AP582" s="76"/>
      <c r="AQ582" s="76"/>
      <c r="AR582" s="76"/>
      <c r="AS582" s="76"/>
      <c r="AT582" s="76"/>
      <c r="AU582" s="76"/>
      <c r="AV582" s="76"/>
      <c r="AW582" s="76"/>
      <c r="AX582" s="76">
        <f>+AW582*600000</f>
        <v>0</v>
      </c>
      <c r="AY582" s="76"/>
      <c r="AZ582" s="76">
        <f>+AY582*70000</f>
        <v>0</v>
      </c>
      <c r="BA582" s="76"/>
      <c r="BB582" s="76"/>
      <c r="BC582" s="76"/>
      <c r="BD582" s="76">
        <f>+BC582*30000</f>
        <v>0</v>
      </c>
      <c r="BE582" s="76"/>
      <c r="BF582" s="76"/>
      <c r="BG582" s="76"/>
      <c r="BH582" s="76"/>
      <c r="BI582" s="76"/>
      <c r="BJ582" s="76"/>
      <c r="BK582" s="76"/>
      <c r="BL582" s="76">
        <f>+BK582*31500</f>
        <v>0</v>
      </c>
      <c r="BM582" s="76"/>
      <c r="BN582" s="76"/>
      <c r="BO582" s="76"/>
      <c r="BP582" s="76"/>
      <c r="BQ582" s="76"/>
      <c r="BR582" s="76"/>
      <c r="BS582" s="76"/>
      <c r="BT582" s="76"/>
      <c r="BU582" s="76"/>
      <c r="BV582" s="76"/>
      <c r="BW582" s="76"/>
      <c r="BX582" s="76"/>
      <c r="BY582" s="76"/>
      <c r="BZ582" s="76"/>
      <c r="CA582" s="76"/>
      <c r="CB582" s="76"/>
      <c r="CC582" s="76"/>
      <c r="CD582" s="76"/>
      <c r="CE582" s="76"/>
      <c r="CF582" s="76">
        <f>+CE582*28000</f>
        <v>0</v>
      </c>
      <c r="CG582" s="76"/>
      <c r="CH582" s="76">
        <f>+CG582*22500</f>
        <v>0</v>
      </c>
      <c r="CI582" s="76"/>
      <c r="CJ582" s="76">
        <f>+CI582*26000</f>
        <v>0</v>
      </c>
      <c r="CK582" s="76"/>
      <c r="CL582" s="76"/>
      <c r="CM582" s="76"/>
      <c r="CN582" s="76">
        <f>+CM582*22000</f>
        <v>0</v>
      </c>
      <c r="CO582" s="76"/>
      <c r="CP582" s="76">
        <f>+CO582*46000</f>
        <v>0</v>
      </c>
      <c r="CQ582" s="76"/>
      <c r="CR582" s="76">
        <f>+CQ582*49000</f>
        <v>0</v>
      </c>
      <c r="CS582" s="76"/>
      <c r="CT582" s="76"/>
      <c r="CU582" s="56">
        <f>AN582+AP582+AR582+AT582+AV582+AX582+AZ582+BB582+BD582+BF582+BH582+BJ582+BL582+BN582+BP582+BR582+BT582+BV582+BX582+BZ582+CB582+CD582+CF582+CH582+CJ582+CL582+CN582+CP582+CR582+CT582</f>
        <v>0</v>
      </c>
      <c r="CV582" s="76"/>
      <c r="CW582" s="76">
        <f>+CV582*1100</f>
        <v>0</v>
      </c>
      <c r="CX582" s="76"/>
      <c r="CY582" s="76">
        <f>+CX582*106250</f>
        <v>0</v>
      </c>
      <c r="CZ582" s="76"/>
      <c r="DA582" s="76">
        <f>+CZ582*34500</f>
        <v>0</v>
      </c>
      <c r="DB582" s="76"/>
      <c r="DC582" s="76">
        <f>+DB582*25000</f>
        <v>0</v>
      </c>
      <c r="DD582" s="219"/>
      <c r="DE582" s="219"/>
      <c r="DF582" s="166"/>
      <c r="DG582" s="116"/>
      <c r="DH582" s="117"/>
      <c r="DI582" s="24"/>
      <c r="DJ582" s="24"/>
      <c r="DK582" s="24"/>
      <c r="DL582" s="24"/>
      <c r="DM582" s="24"/>
      <c r="DN582" s="24"/>
      <c r="DO582" s="24"/>
      <c r="DP582" s="24"/>
      <c r="DQ582" s="24"/>
      <c r="DR582" s="24"/>
      <c r="DS582" s="24"/>
      <c r="DT582" s="24"/>
      <c r="DU582" s="24"/>
    </row>
    <row r="583" spans="1:125" s="8" customFormat="1" ht="36" x14ac:dyDescent="0.2">
      <c r="A583" s="77">
        <v>41312</v>
      </c>
      <c r="B583" s="225" t="s">
        <v>2778</v>
      </c>
      <c r="C583" s="227" t="s">
        <v>2194</v>
      </c>
      <c r="D583" s="81" t="s">
        <v>2846</v>
      </c>
      <c r="E583" s="75" t="str">
        <f>VLOOKUP(B583&amp;C583,Divipola!$C$2:$F$1138,4,FALSE)</f>
        <v>85010</v>
      </c>
      <c r="F583" s="100"/>
      <c r="G583" s="100"/>
      <c r="H583" s="100"/>
      <c r="I583" s="100"/>
      <c r="J583" s="100"/>
      <c r="K583" s="100"/>
      <c r="L583" s="100"/>
      <c r="M583" s="100"/>
      <c r="N583" s="100"/>
      <c r="O583" s="100"/>
      <c r="P583" s="100"/>
      <c r="Q583" s="100"/>
      <c r="R583" s="100"/>
      <c r="S583" s="100"/>
      <c r="T583" s="100"/>
      <c r="U583" s="136">
        <v>3</v>
      </c>
      <c r="V583" s="89"/>
      <c r="W583" s="96">
        <v>0</v>
      </c>
      <c r="X583" s="71">
        <f>CU583</f>
        <v>0</v>
      </c>
      <c r="Y583" s="71">
        <f>CY583</f>
        <v>0</v>
      </c>
      <c r="Z583" s="71">
        <f>DA583+DC583+DE583</f>
        <v>0</v>
      </c>
      <c r="AA583" s="71">
        <f>CW583</f>
        <v>0</v>
      </c>
      <c r="AB583" s="71"/>
      <c r="AC583" s="71">
        <v>0</v>
      </c>
      <c r="AD583" s="71">
        <f>W583+X583+Y583+Z583+AA583+AB583+AC583</f>
        <v>0</v>
      </c>
      <c r="AE583" s="72">
        <v>0</v>
      </c>
      <c r="AF583" s="5"/>
      <c r="AG583" s="6"/>
      <c r="AH583" s="27" t="s">
        <v>3392</v>
      </c>
      <c r="AI583" s="44" t="s">
        <v>3393</v>
      </c>
      <c r="AJ583" s="26"/>
      <c r="AK583" s="5"/>
      <c r="AL583" s="82" t="s">
        <v>3667</v>
      </c>
      <c r="AM583" s="76"/>
      <c r="AN583" s="76"/>
      <c r="AO583" s="76"/>
      <c r="AP583" s="76"/>
      <c r="AQ583" s="76"/>
      <c r="AR583" s="76"/>
      <c r="AS583" s="76"/>
      <c r="AT583" s="76"/>
      <c r="AU583" s="76"/>
      <c r="AV583" s="76"/>
      <c r="AW583" s="76"/>
      <c r="AX583" s="76">
        <f>+AW583*600000</f>
        <v>0</v>
      </c>
      <c r="AY583" s="76"/>
      <c r="AZ583" s="76">
        <f>+AY583*70000</f>
        <v>0</v>
      </c>
      <c r="BA583" s="76"/>
      <c r="BB583" s="76"/>
      <c r="BC583" s="76"/>
      <c r="BD583" s="76">
        <f>+BC583*30000</f>
        <v>0</v>
      </c>
      <c r="BE583" s="76"/>
      <c r="BF583" s="76"/>
      <c r="BG583" s="76"/>
      <c r="BH583" s="76"/>
      <c r="BI583" s="76"/>
      <c r="BJ583" s="76"/>
      <c r="BK583" s="76"/>
      <c r="BL583" s="76">
        <f>+BK583*31500</f>
        <v>0</v>
      </c>
      <c r="BM583" s="76"/>
      <c r="BN583" s="76"/>
      <c r="BO583" s="76"/>
      <c r="BP583" s="76"/>
      <c r="BQ583" s="76"/>
      <c r="BR583" s="76"/>
      <c r="BS583" s="76"/>
      <c r="BT583" s="76"/>
      <c r="BU583" s="76"/>
      <c r="BV583" s="76"/>
      <c r="BW583" s="76"/>
      <c r="BX583" s="76"/>
      <c r="BY583" s="76"/>
      <c r="BZ583" s="76"/>
      <c r="CA583" s="76"/>
      <c r="CB583" s="76"/>
      <c r="CC583" s="76"/>
      <c r="CD583" s="76"/>
      <c r="CE583" s="76"/>
      <c r="CF583" s="76">
        <f>+CE583*28000</f>
        <v>0</v>
      </c>
      <c r="CG583" s="76"/>
      <c r="CH583" s="76">
        <f>+CG583*22500</f>
        <v>0</v>
      </c>
      <c r="CI583" s="76"/>
      <c r="CJ583" s="76">
        <f>+CI583*26000</f>
        <v>0</v>
      </c>
      <c r="CK583" s="76"/>
      <c r="CL583" s="76"/>
      <c r="CM583" s="76"/>
      <c r="CN583" s="76">
        <f>+CM583*22000</f>
        <v>0</v>
      </c>
      <c r="CO583" s="76"/>
      <c r="CP583" s="76">
        <f>+CO583*46000</f>
        <v>0</v>
      </c>
      <c r="CQ583" s="76"/>
      <c r="CR583" s="76">
        <f>+CQ583*49000</f>
        <v>0</v>
      </c>
      <c r="CS583" s="76"/>
      <c r="CT583" s="76"/>
      <c r="CU583" s="56">
        <f>AN583+AP583+AR583+AT583+AV583+AX583+AZ583+BB583+BD583+BF583+BH583+BJ583+BL583+BN583+BP583+BR583+BT583+BV583+BX583+BZ583+CB583+CD583+CF583+CH583+CJ583+CL583+CN583+CP583+CR583+CT583</f>
        <v>0</v>
      </c>
      <c r="CV583" s="76"/>
      <c r="CW583" s="76">
        <f>+CV583*1100</f>
        <v>0</v>
      </c>
      <c r="CX583" s="76"/>
      <c r="CY583" s="76">
        <f>+CX583*106250</f>
        <v>0</v>
      </c>
      <c r="CZ583" s="76"/>
      <c r="DA583" s="76">
        <f>+CZ583*34500</f>
        <v>0</v>
      </c>
      <c r="DB583" s="76"/>
      <c r="DC583" s="76">
        <f>+DB583*25000</f>
        <v>0</v>
      </c>
      <c r="DD583" s="219"/>
      <c r="DE583" s="219"/>
      <c r="DF583" s="166"/>
      <c r="DG583" s="116"/>
      <c r="DH583" s="117"/>
      <c r="DI583" s="24"/>
      <c r="DJ583" s="24"/>
      <c r="DK583" s="24"/>
      <c r="DL583" s="24"/>
      <c r="DM583" s="24"/>
      <c r="DN583" s="24"/>
      <c r="DO583" s="24"/>
      <c r="DP583" s="24"/>
      <c r="DQ583" s="24"/>
      <c r="DR583" s="24"/>
      <c r="DS583" s="24"/>
      <c r="DT583" s="24"/>
      <c r="DU583" s="24"/>
    </row>
    <row r="584" spans="1:125" s="8" customFormat="1" ht="48" x14ac:dyDescent="0.2">
      <c r="A584" s="77">
        <v>41312</v>
      </c>
      <c r="B584" s="78" t="s">
        <v>2778</v>
      </c>
      <c r="C584" s="75" t="s">
        <v>1343</v>
      </c>
      <c r="D584" s="81" t="s">
        <v>2846</v>
      </c>
      <c r="E584" s="75" t="str">
        <f>VLOOKUP(B584&amp;C584,Divipola!$C$2:$F$1138,4,FALSE)</f>
        <v>85139</v>
      </c>
      <c r="F584" s="87"/>
      <c r="G584" s="87"/>
      <c r="H584" s="87"/>
      <c r="I584" s="87"/>
      <c r="J584" s="87"/>
      <c r="K584" s="87"/>
      <c r="L584" s="87"/>
      <c r="M584" s="87"/>
      <c r="N584" s="87"/>
      <c r="O584" s="87"/>
      <c r="P584" s="87"/>
      <c r="Q584" s="87"/>
      <c r="R584" s="87"/>
      <c r="S584" s="87"/>
      <c r="T584" s="87"/>
      <c r="U584" s="88">
        <v>2</v>
      </c>
      <c r="V584" s="89"/>
      <c r="W584" s="96">
        <v>0</v>
      </c>
      <c r="X584" s="71">
        <f>CU584</f>
        <v>0</v>
      </c>
      <c r="Y584" s="71">
        <f>CY584</f>
        <v>0</v>
      </c>
      <c r="Z584" s="71">
        <f>DA584+DC584+DE584</f>
        <v>0</v>
      </c>
      <c r="AA584" s="71">
        <f>CW584</f>
        <v>0</v>
      </c>
      <c r="AB584" s="71"/>
      <c r="AC584" s="71">
        <v>0</v>
      </c>
      <c r="AD584" s="71">
        <f>W584+X584+Y584+Z584+AA584+AB584+AC584</f>
        <v>0</v>
      </c>
      <c r="AE584" s="72">
        <v>0</v>
      </c>
      <c r="AF584" s="5"/>
      <c r="AG584" s="6"/>
      <c r="AH584" s="27" t="s">
        <v>3392</v>
      </c>
      <c r="AI584" s="44" t="s">
        <v>3393</v>
      </c>
      <c r="AJ584" s="26"/>
      <c r="AK584" s="5"/>
      <c r="AL584" s="82" t="s">
        <v>3678</v>
      </c>
      <c r="AM584" s="76"/>
      <c r="AN584" s="76"/>
      <c r="AO584" s="76"/>
      <c r="AP584" s="76"/>
      <c r="AQ584" s="76"/>
      <c r="AR584" s="76"/>
      <c r="AS584" s="76"/>
      <c r="AT584" s="76"/>
      <c r="AU584" s="76"/>
      <c r="AV584" s="76"/>
      <c r="AW584" s="76"/>
      <c r="AX584" s="76">
        <f>+AW584*600000</f>
        <v>0</v>
      </c>
      <c r="AY584" s="76"/>
      <c r="AZ584" s="76">
        <f>+AY584*70000</f>
        <v>0</v>
      </c>
      <c r="BA584" s="76"/>
      <c r="BB584" s="76"/>
      <c r="BC584" s="76"/>
      <c r="BD584" s="76">
        <f>+BC584*30000</f>
        <v>0</v>
      </c>
      <c r="BE584" s="76"/>
      <c r="BF584" s="76"/>
      <c r="BG584" s="76"/>
      <c r="BH584" s="76"/>
      <c r="BI584" s="76"/>
      <c r="BJ584" s="76"/>
      <c r="BK584" s="76"/>
      <c r="BL584" s="76">
        <f>+BK584*31500</f>
        <v>0</v>
      </c>
      <c r="BM584" s="76"/>
      <c r="BN584" s="76"/>
      <c r="BO584" s="76"/>
      <c r="BP584" s="76"/>
      <c r="BQ584" s="76"/>
      <c r="BR584" s="76"/>
      <c r="BS584" s="76"/>
      <c r="BT584" s="76"/>
      <c r="BU584" s="76"/>
      <c r="BV584" s="76"/>
      <c r="BW584" s="76"/>
      <c r="BX584" s="76"/>
      <c r="BY584" s="76"/>
      <c r="BZ584" s="76"/>
      <c r="CA584" s="76"/>
      <c r="CB584" s="76"/>
      <c r="CC584" s="76"/>
      <c r="CD584" s="76"/>
      <c r="CE584" s="76"/>
      <c r="CF584" s="76">
        <f>+CE584*28000</f>
        <v>0</v>
      </c>
      <c r="CG584" s="76"/>
      <c r="CH584" s="76">
        <f>+CG584*22500</f>
        <v>0</v>
      </c>
      <c r="CI584" s="76"/>
      <c r="CJ584" s="76">
        <f>+CI584*26000</f>
        <v>0</v>
      </c>
      <c r="CK584" s="76"/>
      <c r="CL584" s="76"/>
      <c r="CM584" s="76"/>
      <c r="CN584" s="76">
        <f>+CM584*22000</f>
        <v>0</v>
      </c>
      <c r="CO584" s="76"/>
      <c r="CP584" s="76">
        <f>+CO584*46000</f>
        <v>0</v>
      </c>
      <c r="CQ584" s="76"/>
      <c r="CR584" s="76">
        <f>+CQ584*49000</f>
        <v>0</v>
      </c>
      <c r="CS584" s="76"/>
      <c r="CT584" s="76"/>
      <c r="CU584" s="56">
        <f>AN584+AP584+AR584+AT584+AV584+AX584+AZ584+BB584+BD584+BF584+BH584+BJ584+BL584+BN584+BP584+BR584+BT584+BV584+BX584+BZ584+CB584+CD584+CF584+CH584+CJ584+CL584+CN584+CP584+CR584+CT584</f>
        <v>0</v>
      </c>
      <c r="CV584" s="76"/>
      <c r="CW584" s="76">
        <f>+CV584*1100</f>
        <v>0</v>
      </c>
      <c r="CX584" s="76"/>
      <c r="CY584" s="76">
        <f>+CX584*106250</f>
        <v>0</v>
      </c>
      <c r="CZ584" s="76"/>
      <c r="DA584" s="76">
        <f>+CZ584*34500</f>
        <v>0</v>
      </c>
      <c r="DB584" s="76"/>
      <c r="DC584" s="76">
        <f>+DB584*25000</f>
        <v>0</v>
      </c>
      <c r="DD584" s="219"/>
      <c r="DE584" s="219"/>
      <c r="DF584" s="166"/>
      <c r="DG584" s="116"/>
      <c r="DH584" s="117"/>
      <c r="DI584" s="24"/>
      <c r="DJ584" s="24"/>
      <c r="DK584" s="24"/>
      <c r="DL584" s="24"/>
      <c r="DM584" s="24"/>
      <c r="DN584" s="24"/>
      <c r="DO584" s="24"/>
      <c r="DP584" s="24"/>
      <c r="DQ584" s="24"/>
      <c r="DR584" s="24"/>
      <c r="DS584" s="24"/>
      <c r="DT584" s="24"/>
      <c r="DU584" s="24"/>
    </row>
    <row r="585" spans="1:125" s="8" customFormat="1" ht="48" x14ac:dyDescent="0.2">
      <c r="A585" s="77">
        <v>41312</v>
      </c>
      <c r="B585" s="78" t="s">
        <v>2778</v>
      </c>
      <c r="C585" s="75" t="s">
        <v>2001</v>
      </c>
      <c r="D585" s="81" t="s">
        <v>2846</v>
      </c>
      <c r="E585" s="75" t="str">
        <f>VLOOKUP(B585&amp;C585,Divipola!$C$2:$F$1138,4,FALSE)</f>
        <v>85162</v>
      </c>
      <c r="F585" s="87"/>
      <c r="G585" s="87"/>
      <c r="H585" s="87"/>
      <c r="I585" s="87"/>
      <c r="J585" s="87"/>
      <c r="K585" s="87"/>
      <c r="L585" s="87"/>
      <c r="M585" s="87"/>
      <c r="N585" s="87"/>
      <c r="O585" s="87"/>
      <c r="P585" s="87"/>
      <c r="Q585" s="87"/>
      <c r="R585" s="87"/>
      <c r="S585" s="87"/>
      <c r="T585" s="87"/>
      <c r="U585" s="88">
        <v>60</v>
      </c>
      <c r="V585" s="89"/>
      <c r="W585" s="96">
        <v>0</v>
      </c>
      <c r="X585" s="71">
        <f>CU585</f>
        <v>0</v>
      </c>
      <c r="Y585" s="71">
        <f>CY585</f>
        <v>0</v>
      </c>
      <c r="Z585" s="71">
        <f>DA585+DC585+DE585</f>
        <v>0</v>
      </c>
      <c r="AA585" s="71">
        <f>CW585</f>
        <v>0</v>
      </c>
      <c r="AB585" s="71"/>
      <c r="AC585" s="71">
        <v>0</v>
      </c>
      <c r="AD585" s="71">
        <f>W585+X585+Y585+Z585+AA585+AB585+AC585</f>
        <v>0</v>
      </c>
      <c r="AE585" s="72">
        <v>0</v>
      </c>
      <c r="AF585" s="5"/>
      <c r="AG585" s="6"/>
      <c r="AH585" s="27" t="s">
        <v>3392</v>
      </c>
      <c r="AI585" s="44" t="s">
        <v>3393</v>
      </c>
      <c r="AJ585" s="26"/>
      <c r="AK585" s="5"/>
      <c r="AL585" s="82" t="s">
        <v>3435</v>
      </c>
      <c r="AM585" s="76"/>
      <c r="AN585" s="76"/>
      <c r="AO585" s="76"/>
      <c r="AP585" s="76"/>
      <c r="AQ585" s="76"/>
      <c r="AR585" s="76"/>
      <c r="AS585" s="76"/>
      <c r="AT585" s="76"/>
      <c r="AU585" s="76"/>
      <c r="AV585" s="76"/>
      <c r="AW585" s="76"/>
      <c r="AX585" s="76">
        <f>+AW585*600000</f>
        <v>0</v>
      </c>
      <c r="AY585" s="76"/>
      <c r="AZ585" s="76">
        <f>+AY585*70000</f>
        <v>0</v>
      </c>
      <c r="BA585" s="76"/>
      <c r="BB585" s="76"/>
      <c r="BC585" s="76"/>
      <c r="BD585" s="76">
        <f>+BC585*30000</f>
        <v>0</v>
      </c>
      <c r="BE585" s="76"/>
      <c r="BF585" s="76"/>
      <c r="BG585" s="76"/>
      <c r="BH585" s="76"/>
      <c r="BI585" s="76"/>
      <c r="BJ585" s="76"/>
      <c r="BK585" s="76"/>
      <c r="BL585" s="76">
        <f>+BK585*31500</f>
        <v>0</v>
      </c>
      <c r="BM585" s="76"/>
      <c r="BN585" s="76"/>
      <c r="BO585" s="76"/>
      <c r="BP585" s="76"/>
      <c r="BQ585" s="76"/>
      <c r="BR585" s="76"/>
      <c r="BS585" s="76"/>
      <c r="BT585" s="76"/>
      <c r="BU585" s="76"/>
      <c r="BV585" s="76"/>
      <c r="BW585" s="76"/>
      <c r="BX585" s="76"/>
      <c r="BY585" s="76"/>
      <c r="BZ585" s="76"/>
      <c r="CA585" s="76"/>
      <c r="CB585" s="76"/>
      <c r="CC585" s="76"/>
      <c r="CD585" s="76"/>
      <c r="CE585" s="76"/>
      <c r="CF585" s="76">
        <f>+CE585*28000</f>
        <v>0</v>
      </c>
      <c r="CG585" s="76"/>
      <c r="CH585" s="76">
        <f>+CG585*22500</f>
        <v>0</v>
      </c>
      <c r="CI585" s="76"/>
      <c r="CJ585" s="76">
        <f>+CI585*26000</f>
        <v>0</v>
      </c>
      <c r="CK585" s="76"/>
      <c r="CL585" s="76"/>
      <c r="CM585" s="76"/>
      <c r="CN585" s="76">
        <f>+CM585*22000</f>
        <v>0</v>
      </c>
      <c r="CO585" s="76"/>
      <c r="CP585" s="76">
        <f>+CO585*46000</f>
        <v>0</v>
      </c>
      <c r="CQ585" s="76"/>
      <c r="CR585" s="76">
        <f>+CQ585*49000</f>
        <v>0</v>
      </c>
      <c r="CS585" s="76"/>
      <c r="CT585" s="76"/>
      <c r="CU585" s="56">
        <f>AN585+AP585+AR585+AT585+AV585+AX585+AZ585+BB585+BD585+BF585+BH585+BJ585+BL585+BN585+BP585+BR585+BT585+BV585+BX585+BZ585+CB585+CD585+CF585+CH585+CJ585+CL585+CN585+CP585+CR585+CT585</f>
        <v>0</v>
      </c>
      <c r="CV585" s="76"/>
      <c r="CW585" s="76">
        <f>+CV585*1100</f>
        <v>0</v>
      </c>
      <c r="CX585" s="76"/>
      <c r="CY585" s="76">
        <f>+CX585*106250</f>
        <v>0</v>
      </c>
      <c r="CZ585" s="76"/>
      <c r="DA585" s="76">
        <f>+CZ585*34500</f>
        <v>0</v>
      </c>
      <c r="DB585" s="76"/>
      <c r="DC585" s="76">
        <f>+DB585*25000</f>
        <v>0</v>
      </c>
      <c r="DD585" s="219"/>
      <c r="DE585" s="219"/>
      <c r="DF585" s="166"/>
      <c r="DG585" s="116"/>
      <c r="DH585" s="117"/>
      <c r="DI585" s="24"/>
      <c r="DJ585" s="24"/>
      <c r="DK585" s="24"/>
      <c r="DL585" s="24"/>
      <c r="DM585" s="24"/>
      <c r="DN585" s="24"/>
      <c r="DO585" s="24"/>
      <c r="DP585" s="24"/>
      <c r="DQ585" s="24"/>
      <c r="DR585" s="24"/>
      <c r="DS585" s="24"/>
      <c r="DT585" s="24"/>
      <c r="DU585" s="24"/>
    </row>
    <row r="586" spans="1:125" s="8" customFormat="1" ht="48" x14ac:dyDescent="0.2">
      <c r="A586" s="77">
        <v>41312</v>
      </c>
      <c r="B586" s="78" t="s">
        <v>2778</v>
      </c>
      <c r="C586" s="75" t="s">
        <v>2212</v>
      </c>
      <c r="D586" s="81" t="s">
        <v>2846</v>
      </c>
      <c r="E586" s="75" t="str">
        <f>VLOOKUP(B586&amp;C586,Divipola!$C$2:$F$1138,4,FALSE)</f>
        <v>85250</v>
      </c>
      <c r="F586" s="87"/>
      <c r="G586" s="87"/>
      <c r="H586" s="87"/>
      <c r="I586" s="87"/>
      <c r="J586" s="87"/>
      <c r="K586" s="87"/>
      <c r="L586" s="87"/>
      <c r="M586" s="87"/>
      <c r="N586" s="87"/>
      <c r="O586" s="87"/>
      <c r="P586" s="87"/>
      <c r="Q586" s="87"/>
      <c r="R586" s="87"/>
      <c r="S586" s="87"/>
      <c r="T586" s="87"/>
      <c r="U586" s="88">
        <v>3</v>
      </c>
      <c r="V586" s="89"/>
      <c r="W586" s="96">
        <v>0</v>
      </c>
      <c r="X586" s="71">
        <f>CU586</f>
        <v>0</v>
      </c>
      <c r="Y586" s="71">
        <f>CY586</f>
        <v>0</v>
      </c>
      <c r="Z586" s="71">
        <f>DA586+DC586+DE586</f>
        <v>0</v>
      </c>
      <c r="AA586" s="71">
        <f>CW586</f>
        <v>0</v>
      </c>
      <c r="AB586" s="71"/>
      <c r="AC586" s="71">
        <v>0</v>
      </c>
      <c r="AD586" s="71">
        <f>W586+X586+Y586+Z586+AA586+AB586+AC586</f>
        <v>0</v>
      </c>
      <c r="AE586" s="72">
        <v>0</v>
      </c>
      <c r="AF586" s="5"/>
      <c r="AG586" s="6"/>
      <c r="AH586" s="27" t="s">
        <v>3392</v>
      </c>
      <c r="AI586" s="44" t="s">
        <v>3393</v>
      </c>
      <c r="AJ586" s="26"/>
      <c r="AK586" s="5"/>
      <c r="AL586" s="82" t="s">
        <v>3436</v>
      </c>
      <c r="AM586" s="76"/>
      <c r="AN586" s="76"/>
      <c r="AO586" s="76"/>
      <c r="AP586" s="76"/>
      <c r="AQ586" s="76"/>
      <c r="AR586" s="76"/>
      <c r="AS586" s="76"/>
      <c r="AT586" s="76"/>
      <c r="AU586" s="76"/>
      <c r="AV586" s="76"/>
      <c r="AW586" s="76"/>
      <c r="AX586" s="76">
        <f>+AW586*600000</f>
        <v>0</v>
      </c>
      <c r="AY586" s="76"/>
      <c r="AZ586" s="76">
        <f>+AY586*70000</f>
        <v>0</v>
      </c>
      <c r="BA586" s="76"/>
      <c r="BB586" s="76"/>
      <c r="BC586" s="76"/>
      <c r="BD586" s="76">
        <f>+BC586*30000</f>
        <v>0</v>
      </c>
      <c r="BE586" s="76"/>
      <c r="BF586" s="76"/>
      <c r="BG586" s="76"/>
      <c r="BH586" s="76"/>
      <c r="BI586" s="76"/>
      <c r="BJ586" s="76"/>
      <c r="BK586" s="76"/>
      <c r="BL586" s="76">
        <f>+BK586*31500</f>
        <v>0</v>
      </c>
      <c r="BM586" s="76"/>
      <c r="BN586" s="76"/>
      <c r="BO586" s="76"/>
      <c r="BP586" s="76"/>
      <c r="BQ586" s="76"/>
      <c r="BR586" s="76"/>
      <c r="BS586" s="76"/>
      <c r="BT586" s="76"/>
      <c r="BU586" s="76"/>
      <c r="BV586" s="76"/>
      <c r="BW586" s="76"/>
      <c r="BX586" s="76"/>
      <c r="BY586" s="76"/>
      <c r="BZ586" s="76"/>
      <c r="CA586" s="76"/>
      <c r="CB586" s="76"/>
      <c r="CC586" s="76"/>
      <c r="CD586" s="76"/>
      <c r="CE586" s="76"/>
      <c r="CF586" s="76">
        <f>+CE586*28000</f>
        <v>0</v>
      </c>
      <c r="CG586" s="76"/>
      <c r="CH586" s="76">
        <f>+CG586*22500</f>
        <v>0</v>
      </c>
      <c r="CI586" s="76"/>
      <c r="CJ586" s="76">
        <f>+CI586*26000</f>
        <v>0</v>
      </c>
      <c r="CK586" s="76"/>
      <c r="CL586" s="76"/>
      <c r="CM586" s="76"/>
      <c r="CN586" s="76">
        <f>+CM586*22000</f>
        <v>0</v>
      </c>
      <c r="CO586" s="76"/>
      <c r="CP586" s="76">
        <f>+CO586*46000</f>
        <v>0</v>
      </c>
      <c r="CQ586" s="76"/>
      <c r="CR586" s="76">
        <f>+CQ586*49000</f>
        <v>0</v>
      </c>
      <c r="CS586" s="76"/>
      <c r="CT586" s="76"/>
      <c r="CU586" s="56">
        <f>AN586+AP586+AR586+AT586+AV586+AX586+AZ586+BB586+BD586+BF586+BH586+BJ586+BL586+BN586+BP586+BR586+BT586+BV586+BX586+BZ586+CB586+CD586+CF586+CH586+CJ586+CL586+CN586+CP586+CR586+CT586</f>
        <v>0</v>
      </c>
      <c r="CV586" s="76"/>
      <c r="CW586" s="76">
        <f>+CV586*1100</f>
        <v>0</v>
      </c>
      <c r="CX586" s="76"/>
      <c r="CY586" s="76">
        <f>+CX586*106250</f>
        <v>0</v>
      </c>
      <c r="CZ586" s="76"/>
      <c r="DA586" s="76">
        <f>+CZ586*34500</f>
        <v>0</v>
      </c>
      <c r="DB586" s="76"/>
      <c r="DC586" s="76">
        <f>+DB586*25000</f>
        <v>0</v>
      </c>
      <c r="DD586" s="219"/>
      <c r="DE586" s="219"/>
      <c r="DF586" s="166"/>
      <c r="DG586" s="116"/>
      <c r="DH586" s="117"/>
      <c r="DI586" s="175"/>
      <c r="DJ586" s="175"/>
      <c r="DK586" s="175"/>
      <c r="DL586" s="175"/>
      <c r="DM586" s="175"/>
      <c r="DN586" s="175"/>
      <c r="DO586" s="175"/>
      <c r="DP586" s="175"/>
      <c r="DQ586" s="175"/>
      <c r="DR586" s="175"/>
      <c r="DS586" s="175"/>
      <c r="DT586" s="175"/>
      <c r="DU586" s="175"/>
    </row>
    <row r="587" spans="1:125" s="8" customFormat="1" ht="48" x14ac:dyDescent="0.2">
      <c r="A587" s="77">
        <v>41312</v>
      </c>
      <c r="B587" s="78" t="s">
        <v>2778</v>
      </c>
      <c r="C587" s="75" t="s">
        <v>2212</v>
      </c>
      <c r="D587" s="81" t="s">
        <v>2846</v>
      </c>
      <c r="E587" s="75" t="str">
        <f>VLOOKUP(B587&amp;C587,Divipola!$C$2:$F$1138,4,FALSE)</f>
        <v>85250</v>
      </c>
      <c r="F587" s="87"/>
      <c r="G587" s="87"/>
      <c r="H587" s="87"/>
      <c r="I587" s="87"/>
      <c r="J587" s="87"/>
      <c r="K587" s="87"/>
      <c r="L587" s="87"/>
      <c r="M587" s="87"/>
      <c r="N587" s="87"/>
      <c r="O587" s="87"/>
      <c r="P587" s="87"/>
      <c r="Q587" s="87"/>
      <c r="R587" s="87"/>
      <c r="S587" s="87"/>
      <c r="T587" s="87"/>
      <c r="U587" s="88">
        <v>55</v>
      </c>
      <c r="V587" s="89"/>
      <c r="W587" s="96">
        <v>0</v>
      </c>
      <c r="X587" s="71">
        <f>CU587</f>
        <v>0</v>
      </c>
      <c r="Y587" s="71">
        <f>CY587</f>
        <v>0</v>
      </c>
      <c r="Z587" s="71">
        <f>DA587+DC587+DE587</f>
        <v>0</v>
      </c>
      <c r="AA587" s="71">
        <f>CW587</f>
        <v>0</v>
      </c>
      <c r="AB587" s="71"/>
      <c r="AC587" s="71">
        <v>0</v>
      </c>
      <c r="AD587" s="71">
        <f>W587+X587+Y587+Z587+AA587+AB587+AC587</f>
        <v>0</v>
      </c>
      <c r="AE587" s="72">
        <v>0</v>
      </c>
      <c r="AF587" s="5"/>
      <c r="AG587" s="6"/>
      <c r="AH587" s="27" t="s">
        <v>3392</v>
      </c>
      <c r="AI587" s="44" t="s">
        <v>3393</v>
      </c>
      <c r="AJ587" s="26"/>
      <c r="AK587" s="5"/>
      <c r="AL587" s="82" t="s">
        <v>3759</v>
      </c>
      <c r="AM587" s="76"/>
      <c r="AN587" s="76"/>
      <c r="AO587" s="76"/>
      <c r="AP587" s="76"/>
      <c r="AQ587" s="76"/>
      <c r="AR587" s="76"/>
      <c r="AS587" s="76"/>
      <c r="AT587" s="76"/>
      <c r="AU587" s="76"/>
      <c r="AV587" s="76"/>
      <c r="AW587" s="76"/>
      <c r="AX587" s="76">
        <f>+AW587*600000</f>
        <v>0</v>
      </c>
      <c r="AY587" s="76"/>
      <c r="AZ587" s="76">
        <f>+AY587*70000</f>
        <v>0</v>
      </c>
      <c r="BA587" s="76"/>
      <c r="BB587" s="76"/>
      <c r="BC587" s="76"/>
      <c r="BD587" s="76">
        <f>+BC587*30000</f>
        <v>0</v>
      </c>
      <c r="BE587" s="76"/>
      <c r="BF587" s="76"/>
      <c r="BG587" s="76"/>
      <c r="BH587" s="76"/>
      <c r="BI587" s="76"/>
      <c r="BJ587" s="76"/>
      <c r="BK587" s="76"/>
      <c r="BL587" s="76">
        <f>+BK587*31500</f>
        <v>0</v>
      </c>
      <c r="BM587" s="76"/>
      <c r="BN587" s="76"/>
      <c r="BO587" s="76"/>
      <c r="BP587" s="76"/>
      <c r="BQ587" s="76"/>
      <c r="BR587" s="76"/>
      <c r="BS587" s="76"/>
      <c r="BT587" s="76"/>
      <c r="BU587" s="76"/>
      <c r="BV587" s="76"/>
      <c r="BW587" s="76"/>
      <c r="BX587" s="76"/>
      <c r="BY587" s="76"/>
      <c r="BZ587" s="76"/>
      <c r="CA587" s="76"/>
      <c r="CB587" s="76"/>
      <c r="CC587" s="76"/>
      <c r="CD587" s="76"/>
      <c r="CE587" s="76"/>
      <c r="CF587" s="76">
        <f>+CE587*28000</f>
        <v>0</v>
      </c>
      <c r="CG587" s="76"/>
      <c r="CH587" s="76">
        <f>+CG587*22500</f>
        <v>0</v>
      </c>
      <c r="CI587" s="76"/>
      <c r="CJ587" s="76">
        <f>+CI587*26000</f>
        <v>0</v>
      </c>
      <c r="CK587" s="76"/>
      <c r="CL587" s="76"/>
      <c r="CM587" s="76"/>
      <c r="CN587" s="76">
        <f>+CM587*22000</f>
        <v>0</v>
      </c>
      <c r="CO587" s="76"/>
      <c r="CP587" s="76">
        <f>+CO587*46000</f>
        <v>0</v>
      </c>
      <c r="CQ587" s="76"/>
      <c r="CR587" s="76">
        <f>+CQ587*49000</f>
        <v>0</v>
      </c>
      <c r="CS587" s="76"/>
      <c r="CT587" s="76"/>
      <c r="CU587" s="56">
        <f>AN587+AP587+AR587+AT587+AV587+AX587+AZ587+BB587+BD587+BF587+BH587+BJ587+BL587+BN587+BP587+BR587+BT587+BV587+BX587+BZ587+CB587+CD587+CF587+CH587+CJ587+CL587+CN587+CP587+CR587+CT587</f>
        <v>0</v>
      </c>
      <c r="CV587" s="76"/>
      <c r="CW587" s="76">
        <f>+CV587*1100</f>
        <v>0</v>
      </c>
      <c r="CX587" s="76"/>
      <c r="CY587" s="76">
        <f>+CX587*106250</f>
        <v>0</v>
      </c>
      <c r="CZ587" s="76"/>
      <c r="DA587" s="76">
        <f>+CZ587*34500</f>
        <v>0</v>
      </c>
      <c r="DB587" s="76"/>
      <c r="DC587" s="76">
        <f>+DB587*25000</f>
        <v>0</v>
      </c>
      <c r="DD587" s="219"/>
      <c r="DE587" s="219"/>
      <c r="DF587" s="166"/>
      <c r="DG587" s="116"/>
      <c r="DH587" s="117"/>
      <c r="DI587" s="24"/>
      <c r="DJ587" s="24"/>
      <c r="DK587" s="24"/>
      <c r="DL587" s="24"/>
      <c r="DM587" s="24"/>
      <c r="DN587" s="24"/>
      <c r="DO587" s="24"/>
      <c r="DP587" s="24"/>
      <c r="DQ587" s="24"/>
      <c r="DR587" s="24"/>
      <c r="DS587" s="24"/>
      <c r="DT587" s="24"/>
      <c r="DU587" s="24"/>
    </row>
    <row r="588" spans="1:125" s="8" customFormat="1" ht="48" x14ac:dyDescent="0.2">
      <c r="A588" s="77">
        <v>41312</v>
      </c>
      <c r="B588" s="78" t="s">
        <v>2778</v>
      </c>
      <c r="C588" s="75" t="s">
        <v>1344</v>
      </c>
      <c r="D588" s="81" t="s">
        <v>2846</v>
      </c>
      <c r="E588" s="75" t="str">
        <f>VLOOKUP(B588&amp;C588,Divipola!$C$2:$F$1138,4,FALSE)</f>
        <v>85001</v>
      </c>
      <c r="F588" s="87"/>
      <c r="G588" s="87"/>
      <c r="H588" s="87"/>
      <c r="I588" s="87"/>
      <c r="J588" s="87"/>
      <c r="K588" s="87"/>
      <c r="L588" s="87"/>
      <c r="M588" s="87"/>
      <c r="N588" s="87"/>
      <c r="O588" s="87"/>
      <c r="P588" s="87"/>
      <c r="Q588" s="87"/>
      <c r="R588" s="87"/>
      <c r="S588" s="87"/>
      <c r="T588" s="87"/>
      <c r="U588" s="88">
        <v>32</v>
      </c>
      <c r="V588" s="89"/>
      <c r="W588" s="96">
        <v>0</v>
      </c>
      <c r="X588" s="71">
        <f>CU588</f>
        <v>0</v>
      </c>
      <c r="Y588" s="71">
        <f>CY588</f>
        <v>0</v>
      </c>
      <c r="Z588" s="71">
        <f>DA588+DC588+DE588</f>
        <v>0</v>
      </c>
      <c r="AA588" s="71">
        <f>CW588</f>
        <v>0</v>
      </c>
      <c r="AB588" s="71"/>
      <c r="AC588" s="71">
        <v>0</v>
      </c>
      <c r="AD588" s="71">
        <f>W588+X588+Y588+Z588+AA588+AB588+AC588</f>
        <v>0</v>
      </c>
      <c r="AE588" s="72">
        <v>0</v>
      </c>
      <c r="AF588" s="5"/>
      <c r="AG588" s="6"/>
      <c r="AH588" s="27" t="s">
        <v>3392</v>
      </c>
      <c r="AI588" s="44" t="s">
        <v>3393</v>
      </c>
      <c r="AJ588" s="26"/>
      <c r="AK588" s="5"/>
      <c r="AL588" s="82" t="s">
        <v>3772</v>
      </c>
      <c r="AM588" s="76"/>
      <c r="AN588" s="76"/>
      <c r="AO588" s="76"/>
      <c r="AP588" s="76"/>
      <c r="AQ588" s="76"/>
      <c r="AR588" s="76"/>
      <c r="AS588" s="76"/>
      <c r="AT588" s="76"/>
      <c r="AU588" s="76"/>
      <c r="AV588" s="76"/>
      <c r="AW588" s="76"/>
      <c r="AX588" s="76">
        <f>+AW588*600000</f>
        <v>0</v>
      </c>
      <c r="AY588" s="76"/>
      <c r="AZ588" s="76">
        <f>+AY588*70000</f>
        <v>0</v>
      </c>
      <c r="BA588" s="76"/>
      <c r="BB588" s="76"/>
      <c r="BC588" s="76"/>
      <c r="BD588" s="76">
        <f>+BC588*30000</f>
        <v>0</v>
      </c>
      <c r="BE588" s="76"/>
      <c r="BF588" s="76"/>
      <c r="BG588" s="76"/>
      <c r="BH588" s="76"/>
      <c r="BI588" s="76"/>
      <c r="BJ588" s="76"/>
      <c r="BK588" s="76"/>
      <c r="BL588" s="76">
        <f>+BK588*31500</f>
        <v>0</v>
      </c>
      <c r="BM588" s="76"/>
      <c r="BN588" s="76"/>
      <c r="BO588" s="76"/>
      <c r="BP588" s="76"/>
      <c r="BQ588" s="76"/>
      <c r="BR588" s="76"/>
      <c r="BS588" s="76"/>
      <c r="BT588" s="76"/>
      <c r="BU588" s="76"/>
      <c r="BV588" s="76"/>
      <c r="BW588" s="76"/>
      <c r="BX588" s="76"/>
      <c r="BY588" s="76"/>
      <c r="BZ588" s="76"/>
      <c r="CA588" s="76"/>
      <c r="CB588" s="76"/>
      <c r="CC588" s="76"/>
      <c r="CD588" s="76"/>
      <c r="CE588" s="76"/>
      <c r="CF588" s="76">
        <f>+CE588*28000</f>
        <v>0</v>
      </c>
      <c r="CG588" s="76"/>
      <c r="CH588" s="76">
        <f>+CG588*22500</f>
        <v>0</v>
      </c>
      <c r="CI588" s="76"/>
      <c r="CJ588" s="76">
        <f>+CI588*26000</f>
        <v>0</v>
      </c>
      <c r="CK588" s="76"/>
      <c r="CL588" s="76"/>
      <c r="CM588" s="76"/>
      <c r="CN588" s="76">
        <f>+CM588*22000</f>
        <v>0</v>
      </c>
      <c r="CO588" s="76"/>
      <c r="CP588" s="76">
        <f>+CO588*46000</f>
        <v>0</v>
      </c>
      <c r="CQ588" s="76"/>
      <c r="CR588" s="76">
        <f>+CQ588*49000</f>
        <v>0</v>
      </c>
      <c r="CS588" s="76"/>
      <c r="CT588" s="76"/>
      <c r="CU588" s="56">
        <f>AN588+AP588+AR588+AT588+AV588+AX588+AZ588+BB588+BD588+BF588+BH588+BJ588+BL588+BN588+BP588+BR588+BT588+BV588+BX588+BZ588+CB588+CD588+CF588+CH588+CJ588+CL588+CN588+CP588+CR588+CT588</f>
        <v>0</v>
      </c>
      <c r="CV588" s="76"/>
      <c r="CW588" s="76">
        <f>+CV588*1100</f>
        <v>0</v>
      </c>
      <c r="CX588" s="76"/>
      <c r="CY588" s="76">
        <f>+CX588*106250</f>
        <v>0</v>
      </c>
      <c r="CZ588" s="76"/>
      <c r="DA588" s="76">
        <f>+CZ588*34500</f>
        <v>0</v>
      </c>
      <c r="DB588" s="76"/>
      <c r="DC588" s="76">
        <f>+DB588*25000</f>
        <v>0</v>
      </c>
      <c r="DD588" s="219"/>
      <c r="DE588" s="219"/>
      <c r="DF588" s="166"/>
      <c r="DG588" s="116"/>
      <c r="DH588" s="117"/>
      <c r="DI588" s="24"/>
      <c r="DJ588" s="24"/>
      <c r="DK588" s="24"/>
      <c r="DL588" s="24"/>
      <c r="DM588" s="24"/>
      <c r="DN588" s="24"/>
      <c r="DO588" s="24"/>
      <c r="DP588" s="24"/>
      <c r="DQ588" s="24"/>
      <c r="DR588" s="24"/>
      <c r="DS588" s="24"/>
      <c r="DT588" s="24"/>
      <c r="DU588" s="24"/>
    </row>
    <row r="589" spans="1:125" s="8" customFormat="1" ht="48" x14ac:dyDescent="0.2">
      <c r="A589" s="77">
        <v>41312</v>
      </c>
      <c r="B589" s="78" t="s">
        <v>2778</v>
      </c>
      <c r="C589" s="75" t="s">
        <v>1344</v>
      </c>
      <c r="D589" s="81" t="s">
        <v>2846</v>
      </c>
      <c r="E589" s="75" t="str">
        <f>VLOOKUP(B589&amp;C589,Divipola!$C$2:$F$1138,4,FALSE)</f>
        <v>85001</v>
      </c>
      <c r="F589" s="87"/>
      <c r="G589" s="87"/>
      <c r="H589" s="87"/>
      <c r="I589" s="87"/>
      <c r="J589" s="87"/>
      <c r="K589" s="87"/>
      <c r="L589" s="87"/>
      <c r="M589" s="87"/>
      <c r="N589" s="87"/>
      <c r="O589" s="87"/>
      <c r="P589" s="87"/>
      <c r="Q589" s="87"/>
      <c r="R589" s="87"/>
      <c r="S589" s="87"/>
      <c r="T589" s="87"/>
      <c r="U589" s="88">
        <v>1</v>
      </c>
      <c r="V589" s="89"/>
      <c r="W589" s="96">
        <v>0</v>
      </c>
      <c r="X589" s="71">
        <f>CU589</f>
        <v>0</v>
      </c>
      <c r="Y589" s="71">
        <f>CY589</f>
        <v>0</v>
      </c>
      <c r="Z589" s="71">
        <f>DA589+DC589+DE589</f>
        <v>0</v>
      </c>
      <c r="AA589" s="71">
        <f>CW589</f>
        <v>0</v>
      </c>
      <c r="AB589" s="71"/>
      <c r="AC589" s="71">
        <v>0</v>
      </c>
      <c r="AD589" s="71">
        <f>W589+X589+Y589+Z589+AA589+AB589+AC589</f>
        <v>0</v>
      </c>
      <c r="AE589" s="72">
        <v>0</v>
      </c>
      <c r="AF589" s="5"/>
      <c r="AG589" s="6"/>
      <c r="AH589" s="27" t="s">
        <v>3392</v>
      </c>
      <c r="AI589" s="44" t="s">
        <v>3393</v>
      </c>
      <c r="AJ589" s="26"/>
      <c r="AK589" s="5"/>
      <c r="AL589" s="82" t="s">
        <v>3773</v>
      </c>
      <c r="AM589" s="76"/>
      <c r="AN589" s="76"/>
      <c r="AO589" s="76"/>
      <c r="AP589" s="76"/>
      <c r="AQ589" s="76"/>
      <c r="AR589" s="76"/>
      <c r="AS589" s="76"/>
      <c r="AT589" s="76"/>
      <c r="AU589" s="76"/>
      <c r="AV589" s="76"/>
      <c r="AW589" s="76"/>
      <c r="AX589" s="76">
        <f>+AW589*600000</f>
        <v>0</v>
      </c>
      <c r="AY589" s="76"/>
      <c r="AZ589" s="76">
        <f>+AY589*70000</f>
        <v>0</v>
      </c>
      <c r="BA589" s="76"/>
      <c r="BB589" s="76"/>
      <c r="BC589" s="76"/>
      <c r="BD589" s="76">
        <f>+BC589*30000</f>
        <v>0</v>
      </c>
      <c r="BE589" s="76"/>
      <c r="BF589" s="76"/>
      <c r="BG589" s="76"/>
      <c r="BH589" s="76"/>
      <c r="BI589" s="76"/>
      <c r="BJ589" s="76"/>
      <c r="BK589" s="76"/>
      <c r="BL589" s="76">
        <f>+BK589*31500</f>
        <v>0</v>
      </c>
      <c r="BM589" s="76"/>
      <c r="BN589" s="76"/>
      <c r="BO589" s="76"/>
      <c r="BP589" s="76"/>
      <c r="BQ589" s="76"/>
      <c r="BR589" s="76"/>
      <c r="BS589" s="76"/>
      <c r="BT589" s="76"/>
      <c r="BU589" s="76"/>
      <c r="BV589" s="76"/>
      <c r="BW589" s="76"/>
      <c r="BX589" s="76"/>
      <c r="BY589" s="76"/>
      <c r="BZ589" s="76"/>
      <c r="CA589" s="76"/>
      <c r="CB589" s="76"/>
      <c r="CC589" s="76"/>
      <c r="CD589" s="76"/>
      <c r="CE589" s="76"/>
      <c r="CF589" s="76">
        <f>+CE589*28000</f>
        <v>0</v>
      </c>
      <c r="CG589" s="76"/>
      <c r="CH589" s="76">
        <f>+CG589*22500</f>
        <v>0</v>
      </c>
      <c r="CI589" s="76"/>
      <c r="CJ589" s="76">
        <f>+CI589*26000</f>
        <v>0</v>
      </c>
      <c r="CK589" s="76"/>
      <c r="CL589" s="76"/>
      <c r="CM589" s="76"/>
      <c r="CN589" s="76">
        <f>+CM589*22000</f>
        <v>0</v>
      </c>
      <c r="CO589" s="76"/>
      <c r="CP589" s="76">
        <f>+CO589*46000</f>
        <v>0</v>
      </c>
      <c r="CQ589" s="76"/>
      <c r="CR589" s="76">
        <f>+CQ589*49000</f>
        <v>0</v>
      </c>
      <c r="CS589" s="76"/>
      <c r="CT589" s="76"/>
      <c r="CU589" s="56">
        <f>AN589+AP589+AR589+AT589+AV589+AX589+AZ589+BB589+BD589+BF589+BH589+BJ589+BL589+BN589+BP589+BR589+BT589+BV589+BX589+BZ589+CB589+CD589+CF589+CH589+CJ589+CL589+CN589+CP589+CR589+CT589</f>
        <v>0</v>
      </c>
      <c r="CV589" s="76"/>
      <c r="CW589" s="76">
        <f>+CV589*1100</f>
        <v>0</v>
      </c>
      <c r="CX589" s="76"/>
      <c r="CY589" s="76">
        <f>+CX589*106250</f>
        <v>0</v>
      </c>
      <c r="CZ589" s="76"/>
      <c r="DA589" s="76">
        <f>+CZ589*34500</f>
        <v>0</v>
      </c>
      <c r="DB589" s="76"/>
      <c r="DC589" s="76">
        <f>+DB589*25000</f>
        <v>0</v>
      </c>
      <c r="DD589" s="219"/>
      <c r="DE589" s="219"/>
      <c r="DF589" s="166"/>
      <c r="DG589" s="116"/>
      <c r="DH589" s="117"/>
      <c r="DI589" s="24"/>
      <c r="DJ589" s="24"/>
      <c r="DK589" s="24"/>
      <c r="DL589" s="24"/>
      <c r="DM589" s="24"/>
      <c r="DN589" s="24"/>
      <c r="DO589" s="24"/>
      <c r="DP589" s="24"/>
      <c r="DQ589" s="24"/>
      <c r="DR589" s="24"/>
      <c r="DS589" s="24"/>
      <c r="DT589" s="24"/>
      <c r="DU589" s="24"/>
    </row>
    <row r="590" spans="1:125" s="8" customFormat="1" ht="48" x14ac:dyDescent="0.2">
      <c r="A590" s="77">
        <v>41312</v>
      </c>
      <c r="B590" s="78" t="s">
        <v>2778</v>
      </c>
      <c r="C590" s="75" t="s">
        <v>1344</v>
      </c>
      <c r="D590" s="81" t="s">
        <v>2846</v>
      </c>
      <c r="E590" s="75" t="str">
        <f>VLOOKUP(B590&amp;C590,Divipola!$C$2:$F$1138,4,FALSE)</f>
        <v>85001</v>
      </c>
      <c r="F590" s="87"/>
      <c r="G590" s="87"/>
      <c r="H590" s="87"/>
      <c r="I590" s="87"/>
      <c r="J590" s="87"/>
      <c r="K590" s="87"/>
      <c r="L590" s="87"/>
      <c r="M590" s="87"/>
      <c r="N590" s="87"/>
      <c r="O590" s="87"/>
      <c r="P590" s="87"/>
      <c r="Q590" s="87"/>
      <c r="R590" s="87"/>
      <c r="S590" s="87"/>
      <c r="T590" s="87"/>
      <c r="U590" s="88">
        <v>1</v>
      </c>
      <c r="V590" s="89"/>
      <c r="W590" s="96">
        <v>0</v>
      </c>
      <c r="X590" s="71">
        <f>CU590</f>
        <v>0</v>
      </c>
      <c r="Y590" s="71">
        <f>CY590</f>
        <v>0</v>
      </c>
      <c r="Z590" s="71">
        <f>DA590+DC590+DE590</f>
        <v>0</v>
      </c>
      <c r="AA590" s="71">
        <f>CW590</f>
        <v>0</v>
      </c>
      <c r="AB590" s="71"/>
      <c r="AC590" s="71">
        <v>0</v>
      </c>
      <c r="AD590" s="71">
        <f>W590+X590+Y590+Z590+AA590+AB590+AC590</f>
        <v>0</v>
      </c>
      <c r="AE590" s="72">
        <v>0</v>
      </c>
      <c r="AF590" s="5"/>
      <c r="AG590" s="6"/>
      <c r="AH590" s="27" t="s">
        <v>3392</v>
      </c>
      <c r="AI590" s="44" t="s">
        <v>3393</v>
      </c>
      <c r="AJ590" s="26"/>
      <c r="AK590" s="5"/>
      <c r="AL590" s="82" t="s">
        <v>3774</v>
      </c>
      <c r="AM590" s="76"/>
      <c r="AN590" s="76"/>
      <c r="AO590" s="76"/>
      <c r="AP590" s="76"/>
      <c r="AQ590" s="76"/>
      <c r="AR590" s="76"/>
      <c r="AS590" s="76"/>
      <c r="AT590" s="76"/>
      <c r="AU590" s="76"/>
      <c r="AV590" s="76"/>
      <c r="AW590" s="76"/>
      <c r="AX590" s="76">
        <f>+AW590*600000</f>
        <v>0</v>
      </c>
      <c r="AY590" s="76"/>
      <c r="AZ590" s="76">
        <f>+AY590*70000</f>
        <v>0</v>
      </c>
      <c r="BA590" s="76"/>
      <c r="BB590" s="76"/>
      <c r="BC590" s="76"/>
      <c r="BD590" s="76">
        <f>+BC590*30000</f>
        <v>0</v>
      </c>
      <c r="BE590" s="76"/>
      <c r="BF590" s="76"/>
      <c r="BG590" s="76"/>
      <c r="BH590" s="76"/>
      <c r="BI590" s="76"/>
      <c r="BJ590" s="76"/>
      <c r="BK590" s="76"/>
      <c r="BL590" s="76">
        <f>+BK590*31500</f>
        <v>0</v>
      </c>
      <c r="BM590" s="76"/>
      <c r="BN590" s="76"/>
      <c r="BO590" s="76"/>
      <c r="BP590" s="76"/>
      <c r="BQ590" s="76"/>
      <c r="BR590" s="76"/>
      <c r="BS590" s="76"/>
      <c r="BT590" s="76"/>
      <c r="BU590" s="76"/>
      <c r="BV590" s="76"/>
      <c r="BW590" s="76"/>
      <c r="BX590" s="76"/>
      <c r="BY590" s="76"/>
      <c r="BZ590" s="76"/>
      <c r="CA590" s="76"/>
      <c r="CB590" s="76"/>
      <c r="CC590" s="76"/>
      <c r="CD590" s="76"/>
      <c r="CE590" s="76"/>
      <c r="CF590" s="76">
        <f>+CE590*28000</f>
        <v>0</v>
      </c>
      <c r="CG590" s="76"/>
      <c r="CH590" s="76">
        <f>+CG590*22500</f>
        <v>0</v>
      </c>
      <c r="CI590" s="76"/>
      <c r="CJ590" s="76">
        <f>+CI590*26000</f>
        <v>0</v>
      </c>
      <c r="CK590" s="76"/>
      <c r="CL590" s="76"/>
      <c r="CM590" s="76"/>
      <c r="CN590" s="76">
        <f>+CM590*22000</f>
        <v>0</v>
      </c>
      <c r="CO590" s="76"/>
      <c r="CP590" s="76">
        <f>+CO590*46000</f>
        <v>0</v>
      </c>
      <c r="CQ590" s="76"/>
      <c r="CR590" s="76">
        <f>+CQ590*49000</f>
        <v>0</v>
      </c>
      <c r="CS590" s="76"/>
      <c r="CT590" s="76"/>
      <c r="CU590" s="56">
        <f>AN590+AP590+AR590+AT590+AV590+AX590+AZ590+BB590+BD590+BF590+BH590+BJ590+BL590+BN590+BP590+BR590+BT590+BV590+BX590+BZ590+CB590+CD590+CF590+CH590+CJ590+CL590+CN590+CP590+CR590+CT590</f>
        <v>0</v>
      </c>
      <c r="CV590" s="76"/>
      <c r="CW590" s="76">
        <f>+CV590*1100</f>
        <v>0</v>
      </c>
      <c r="CX590" s="76"/>
      <c r="CY590" s="76">
        <f>+CX590*106250</f>
        <v>0</v>
      </c>
      <c r="CZ590" s="76"/>
      <c r="DA590" s="76">
        <f>+CZ590*34500</f>
        <v>0</v>
      </c>
      <c r="DB590" s="76"/>
      <c r="DC590" s="76">
        <f>+DB590*25000</f>
        <v>0</v>
      </c>
      <c r="DD590" s="219"/>
      <c r="DE590" s="219"/>
      <c r="DF590" s="166"/>
      <c r="DG590" s="116"/>
      <c r="DH590" s="117"/>
      <c r="DI590" s="24"/>
      <c r="DJ590" s="24"/>
      <c r="DK590" s="24"/>
      <c r="DL590" s="24"/>
      <c r="DM590" s="24"/>
      <c r="DN590" s="24"/>
      <c r="DO590" s="24"/>
      <c r="DP590" s="24"/>
      <c r="DQ590" s="24"/>
      <c r="DR590" s="24"/>
      <c r="DS590" s="24"/>
      <c r="DT590" s="24"/>
      <c r="DU590" s="24"/>
    </row>
    <row r="591" spans="1:125" s="8" customFormat="1" ht="113.25" customHeight="1" x14ac:dyDescent="0.2">
      <c r="A591" s="77">
        <v>41312</v>
      </c>
      <c r="B591" s="78" t="s">
        <v>2772</v>
      </c>
      <c r="C591" s="75" t="s">
        <v>1328</v>
      </c>
      <c r="D591" s="75" t="s">
        <v>2859</v>
      </c>
      <c r="E591" s="75" t="str">
        <f>VLOOKUP(B591&amp;C591,Divipola!$C$2:$F$1138,4,FALSE)</f>
        <v>25035</v>
      </c>
      <c r="F591" s="87"/>
      <c r="G591" s="87"/>
      <c r="H591" s="87"/>
      <c r="I591" s="87"/>
      <c r="J591" s="87"/>
      <c r="K591" s="87"/>
      <c r="L591" s="87"/>
      <c r="M591" s="87"/>
      <c r="N591" s="87"/>
      <c r="O591" s="87"/>
      <c r="P591" s="87"/>
      <c r="Q591" s="87"/>
      <c r="R591" s="87"/>
      <c r="S591" s="87"/>
      <c r="T591" s="87"/>
      <c r="U591" s="88"/>
      <c r="V591" s="89"/>
      <c r="W591" s="96">
        <v>0</v>
      </c>
      <c r="X591" s="71">
        <f>CU591</f>
        <v>0</v>
      </c>
      <c r="Y591" s="71">
        <f>CY591</f>
        <v>0</v>
      </c>
      <c r="Z591" s="71">
        <f>DA591+DC591+DE591</f>
        <v>0</v>
      </c>
      <c r="AA591" s="71">
        <f>CW591</f>
        <v>0</v>
      </c>
      <c r="AB591" s="71"/>
      <c r="AC591" s="71">
        <v>0</v>
      </c>
      <c r="AD591" s="71">
        <f>W591+X591+Y591+Z591+AA591+AB591+AC591</f>
        <v>0</v>
      </c>
      <c r="AE591" s="72">
        <v>0</v>
      </c>
      <c r="AF591" s="5"/>
      <c r="AG591" s="6"/>
      <c r="AH591" s="27" t="s">
        <v>3392</v>
      </c>
      <c r="AI591" s="44" t="s">
        <v>3393</v>
      </c>
      <c r="AJ591" s="26"/>
      <c r="AK591" s="5"/>
      <c r="AL591" s="82" t="s">
        <v>3432</v>
      </c>
      <c r="AM591" s="76"/>
      <c r="AN591" s="76"/>
      <c r="AO591" s="76"/>
      <c r="AP591" s="76"/>
      <c r="AQ591" s="76"/>
      <c r="AR591" s="76"/>
      <c r="AS591" s="76"/>
      <c r="AT591" s="76"/>
      <c r="AU591" s="76"/>
      <c r="AV591" s="76"/>
      <c r="AW591" s="76"/>
      <c r="AX591" s="76">
        <f>+AW591*600000</f>
        <v>0</v>
      </c>
      <c r="AY591" s="76"/>
      <c r="AZ591" s="76">
        <f>+AY591*70000</f>
        <v>0</v>
      </c>
      <c r="BA591" s="76"/>
      <c r="BB591" s="76"/>
      <c r="BC591" s="76"/>
      <c r="BD591" s="76">
        <f>+BC591*30000</f>
        <v>0</v>
      </c>
      <c r="BE591" s="76"/>
      <c r="BF591" s="76"/>
      <c r="BG591" s="76"/>
      <c r="BH591" s="76"/>
      <c r="BI591" s="76"/>
      <c r="BJ591" s="76"/>
      <c r="BK591" s="76"/>
      <c r="BL591" s="76">
        <f>+BK591*31500</f>
        <v>0</v>
      </c>
      <c r="BM591" s="76"/>
      <c r="BN591" s="76"/>
      <c r="BO591" s="76"/>
      <c r="BP591" s="76"/>
      <c r="BQ591" s="76"/>
      <c r="BR591" s="76"/>
      <c r="BS591" s="76"/>
      <c r="BT591" s="76"/>
      <c r="BU591" s="76"/>
      <c r="BV591" s="76"/>
      <c r="BW591" s="76"/>
      <c r="BX591" s="76"/>
      <c r="BY591" s="76"/>
      <c r="BZ591" s="76"/>
      <c r="CA591" s="76"/>
      <c r="CB591" s="76"/>
      <c r="CC591" s="76"/>
      <c r="CD591" s="76"/>
      <c r="CE591" s="76"/>
      <c r="CF591" s="76">
        <f>+CE591*28000</f>
        <v>0</v>
      </c>
      <c r="CG591" s="76"/>
      <c r="CH591" s="76">
        <f>+CG591*22500</f>
        <v>0</v>
      </c>
      <c r="CI591" s="76"/>
      <c r="CJ591" s="76">
        <f>+CI591*26000</f>
        <v>0</v>
      </c>
      <c r="CK591" s="76"/>
      <c r="CL591" s="76"/>
      <c r="CM591" s="76"/>
      <c r="CN591" s="76">
        <f>+CM591*22000</f>
        <v>0</v>
      </c>
      <c r="CO591" s="76"/>
      <c r="CP591" s="76">
        <f>+CO591*46000</f>
        <v>0</v>
      </c>
      <c r="CQ591" s="76"/>
      <c r="CR591" s="76">
        <f>+CQ591*49000</f>
        <v>0</v>
      </c>
      <c r="CS591" s="76"/>
      <c r="CT591" s="76"/>
      <c r="CU591" s="56">
        <f>AN591+AP591+AR591+AT591+AV591+AX591+AZ591+BB591+BD591+BF591+BH591+BJ591+BL591+BN591+BP591+BR591+BT591+BV591+BX591+BZ591+CB591+CD591+CF591+CH591+CJ591+CL591+CN591+CP591+CR591+CT591</f>
        <v>0</v>
      </c>
      <c r="CV591" s="76"/>
      <c r="CW591" s="76">
        <f>+CV591*1100</f>
        <v>0</v>
      </c>
      <c r="CX591" s="76"/>
      <c r="CY591" s="76">
        <f>+CX591*106250</f>
        <v>0</v>
      </c>
      <c r="CZ591" s="76"/>
      <c r="DA591" s="76">
        <f>+CZ591*34500</f>
        <v>0</v>
      </c>
      <c r="DB591" s="76"/>
      <c r="DC591" s="76">
        <f>+DB591*25000</f>
        <v>0</v>
      </c>
      <c r="DD591" s="219"/>
      <c r="DE591" s="219"/>
      <c r="DF591" s="166"/>
      <c r="DG591" s="116"/>
      <c r="DH591" s="117"/>
      <c r="DI591" s="24"/>
      <c r="DJ591" s="24"/>
      <c r="DK591" s="24"/>
      <c r="DL591" s="24"/>
      <c r="DM591" s="24"/>
      <c r="DN591" s="24"/>
      <c r="DO591" s="24"/>
      <c r="DP591" s="24"/>
      <c r="DQ591" s="24"/>
      <c r="DR591" s="24"/>
      <c r="DS591" s="24"/>
      <c r="DT591" s="24"/>
      <c r="DU591" s="24"/>
    </row>
    <row r="592" spans="1:125" s="8" customFormat="1" ht="72" x14ac:dyDescent="0.2">
      <c r="A592" s="77">
        <v>41312</v>
      </c>
      <c r="B592" s="352" t="s">
        <v>2772</v>
      </c>
      <c r="C592" s="354" t="s">
        <v>1028</v>
      </c>
      <c r="D592" s="81" t="s">
        <v>2846</v>
      </c>
      <c r="E592" s="75" t="str">
        <f>VLOOKUP(B592&amp;C592,Divipola!$C$2:$F$1138,4,FALSE)</f>
        <v>25151</v>
      </c>
      <c r="F592" s="100"/>
      <c r="G592" s="100"/>
      <c r="H592" s="100"/>
      <c r="I592" s="100"/>
      <c r="J592" s="100"/>
      <c r="K592" s="100"/>
      <c r="L592" s="100"/>
      <c r="M592" s="100"/>
      <c r="N592" s="100"/>
      <c r="O592" s="100"/>
      <c r="P592" s="100"/>
      <c r="Q592" s="100"/>
      <c r="R592" s="100"/>
      <c r="S592" s="100"/>
      <c r="T592" s="100"/>
      <c r="U592" s="136">
        <v>2</v>
      </c>
      <c r="V592" s="89"/>
      <c r="W592" s="96">
        <v>0</v>
      </c>
      <c r="X592" s="71">
        <f>CU592</f>
        <v>0</v>
      </c>
      <c r="Y592" s="71">
        <f>CY592</f>
        <v>0</v>
      </c>
      <c r="Z592" s="71">
        <f>DA592+DC592+DE592</f>
        <v>0</v>
      </c>
      <c r="AA592" s="71">
        <f>CW592</f>
        <v>0</v>
      </c>
      <c r="AB592" s="71"/>
      <c r="AC592" s="71">
        <v>0</v>
      </c>
      <c r="AD592" s="71">
        <f>W592+X592+Y592+Z592+AA592+AB592+AC592</f>
        <v>0</v>
      </c>
      <c r="AE592" s="72">
        <v>0</v>
      </c>
      <c r="AF592" s="5"/>
      <c r="AG592" s="6"/>
      <c r="AH592" s="27" t="s">
        <v>3392</v>
      </c>
      <c r="AI592" s="44" t="s">
        <v>3393</v>
      </c>
      <c r="AJ592" s="26"/>
      <c r="AK592" s="5"/>
      <c r="AL592" s="82" t="s">
        <v>3428</v>
      </c>
      <c r="AM592" s="76"/>
      <c r="AN592" s="76"/>
      <c r="AO592" s="76"/>
      <c r="AP592" s="76"/>
      <c r="AQ592" s="76"/>
      <c r="AR592" s="76"/>
      <c r="AS592" s="76"/>
      <c r="AT592" s="76"/>
      <c r="AU592" s="76"/>
      <c r="AV592" s="76"/>
      <c r="AW592" s="76"/>
      <c r="AX592" s="76">
        <f>+AW592*600000</f>
        <v>0</v>
      </c>
      <c r="AY592" s="76"/>
      <c r="AZ592" s="76">
        <f>+AY592*70000</f>
        <v>0</v>
      </c>
      <c r="BA592" s="76"/>
      <c r="BB592" s="76"/>
      <c r="BC592" s="76"/>
      <c r="BD592" s="76">
        <f>+BC592*30000</f>
        <v>0</v>
      </c>
      <c r="BE592" s="76"/>
      <c r="BF592" s="76"/>
      <c r="BG592" s="76"/>
      <c r="BH592" s="76"/>
      <c r="BI592" s="76"/>
      <c r="BJ592" s="76"/>
      <c r="BK592" s="76"/>
      <c r="BL592" s="76">
        <f>+BK592*31500</f>
        <v>0</v>
      </c>
      <c r="BM592" s="76"/>
      <c r="BN592" s="76"/>
      <c r="BO592" s="76"/>
      <c r="BP592" s="76"/>
      <c r="BQ592" s="76"/>
      <c r="BR592" s="76"/>
      <c r="BS592" s="76"/>
      <c r="BT592" s="76"/>
      <c r="BU592" s="76"/>
      <c r="BV592" s="76"/>
      <c r="BW592" s="76"/>
      <c r="BX592" s="76"/>
      <c r="BY592" s="76"/>
      <c r="BZ592" s="76"/>
      <c r="CA592" s="76"/>
      <c r="CB592" s="76"/>
      <c r="CC592" s="76"/>
      <c r="CD592" s="76"/>
      <c r="CE592" s="76"/>
      <c r="CF592" s="76">
        <f>+CE592*28000</f>
        <v>0</v>
      </c>
      <c r="CG592" s="76"/>
      <c r="CH592" s="76">
        <f>+CG592*22500</f>
        <v>0</v>
      </c>
      <c r="CI592" s="76"/>
      <c r="CJ592" s="76">
        <f>+CI592*26000</f>
        <v>0</v>
      </c>
      <c r="CK592" s="76"/>
      <c r="CL592" s="76"/>
      <c r="CM592" s="76"/>
      <c r="CN592" s="76">
        <f>+CM592*22000</f>
        <v>0</v>
      </c>
      <c r="CO592" s="76"/>
      <c r="CP592" s="76">
        <f>+CO592*46000</f>
        <v>0</v>
      </c>
      <c r="CQ592" s="76"/>
      <c r="CR592" s="76">
        <f>+CQ592*49000</f>
        <v>0</v>
      </c>
      <c r="CS592" s="76"/>
      <c r="CT592" s="76"/>
      <c r="CU592" s="56">
        <f>AN592+AP592+AR592+AT592+AV592+AX592+AZ592+BB592+BD592+BF592+BH592+BJ592+BL592+BN592+BP592+BR592+BT592+BV592+BX592+BZ592+CB592+CD592+CF592+CH592+CJ592+CL592+CN592+CP592+CR592+CT592</f>
        <v>0</v>
      </c>
      <c r="CV592" s="76"/>
      <c r="CW592" s="76">
        <f>+CV592*1100</f>
        <v>0</v>
      </c>
      <c r="CX592" s="76"/>
      <c r="CY592" s="76">
        <f>+CX592*106250</f>
        <v>0</v>
      </c>
      <c r="CZ592" s="76"/>
      <c r="DA592" s="76">
        <f>+CZ592*34500</f>
        <v>0</v>
      </c>
      <c r="DB592" s="76"/>
      <c r="DC592" s="76">
        <f>+DB592*25000</f>
        <v>0</v>
      </c>
      <c r="DD592" s="219"/>
      <c r="DE592" s="219"/>
      <c r="DF592" s="166"/>
      <c r="DG592" s="116"/>
      <c r="DH592" s="117"/>
      <c r="DI592" s="24"/>
      <c r="DJ592" s="24"/>
      <c r="DK592" s="24"/>
      <c r="DL592" s="24"/>
      <c r="DM592" s="24"/>
      <c r="DN592" s="24"/>
      <c r="DO592" s="24"/>
      <c r="DP592" s="24"/>
      <c r="DQ592" s="24"/>
      <c r="DR592" s="24"/>
      <c r="DS592" s="24"/>
      <c r="DT592" s="24"/>
      <c r="DU592" s="24"/>
    </row>
    <row r="593" spans="1:125" s="8" customFormat="1" ht="96" x14ac:dyDescent="0.2">
      <c r="A593" s="77">
        <v>41312</v>
      </c>
      <c r="B593" s="352" t="s">
        <v>2772</v>
      </c>
      <c r="C593" s="354" t="s">
        <v>528</v>
      </c>
      <c r="D593" s="81" t="s">
        <v>2846</v>
      </c>
      <c r="E593" s="75" t="str">
        <f>VLOOKUP(B593&amp;C593,Divipola!$C$2:$F$1138,4,FALSE)</f>
        <v>25224</v>
      </c>
      <c r="F593" s="87"/>
      <c r="G593" s="87"/>
      <c r="H593" s="87"/>
      <c r="I593" s="87"/>
      <c r="J593" s="87"/>
      <c r="K593" s="87"/>
      <c r="L593" s="87"/>
      <c r="M593" s="87"/>
      <c r="N593" s="87"/>
      <c r="O593" s="87"/>
      <c r="P593" s="87"/>
      <c r="Q593" s="87"/>
      <c r="R593" s="87"/>
      <c r="S593" s="87"/>
      <c r="T593" s="87"/>
      <c r="U593" s="88">
        <v>0.5</v>
      </c>
      <c r="V593" s="89"/>
      <c r="W593" s="96">
        <v>0</v>
      </c>
      <c r="X593" s="71">
        <f>CU593</f>
        <v>0</v>
      </c>
      <c r="Y593" s="71">
        <f>CY593</f>
        <v>0</v>
      </c>
      <c r="Z593" s="71">
        <f>DA593+DC593+DE593</f>
        <v>0</v>
      </c>
      <c r="AA593" s="71">
        <f>CW593</f>
        <v>0</v>
      </c>
      <c r="AB593" s="71"/>
      <c r="AC593" s="71">
        <v>0</v>
      </c>
      <c r="AD593" s="71">
        <f>W593+X593+Y593+Z593+AA593+AB593+AC593</f>
        <v>0</v>
      </c>
      <c r="AE593" s="72">
        <v>0</v>
      </c>
      <c r="AF593" s="5"/>
      <c r="AG593" s="6"/>
      <c r="AH593" s="27" t="s">
        <v>3392</v>
      </c>
      <c r="AI593" s="44" t="s">
        <v>3393</v>
      </c>
      <c r="AJ593" s="26"/>
      <c r="AK593" s="5"/>
      <c r="AL593" s="82" t="s">
        <v>3430</v>
      </c>
      <c r="AM593" s="76"/>
      <c r="AN593" s="76"/>
      <c r="AO593" s="76"/>
      <c r="AP593" s="76"/>
      <c r="AQ593" s="76"/>
      <c r="AR593" s="76"/>
      <c r="AS593" s="76"/>
      <c r="AT593" s="76"/>
      <c r="AU593" s="76"/>
      <c r="AV593" s="76"/>
      <c r="AW593" s="76"/>
      <c r="AX593" s="76">
        <f>+AW593*600000</f>
        <v>0</v>
      </c>
      <c r="AY593" s="76"/>
      <c r="AZ593" s="76">
        <f>+AY593*70000</f>
        <v>0</v>
      </c>
      <c r="BA593" s="76"/>
      <c r="BB593" s="76"/>
      <c r="BC593" s="76"/>
      <c r="BD593" s="76">
        <f>+BC593*30000</f>
        <v>0</v>
      </c>
      <c r="BE593" s="76"/>
      <c r="BF593" s="76"/>
      <c r="BG593" s="76"/>
      <c r="BH593" s="76"/>
      <c r="BI593" s="76"/>
      <c r="BJ593" s="76"/>
      <c r="BK593" s="76"/>
      <c r="BL593" s="76">
        <f>+BK593*31500</f>
        <v>0</v>
      </c>
      <c r="BM593" s="76"/>
      <c r="BN593" s="76"/>
      <c r="BO593" s="76"/>
      <c r="BP593" s="76"/>
      <c r="BQ593" s="76"/>
      <c r="BR593" s="76"/>
      <c r="BS593" s="76"/>
      <c r="BT593" s="76"/>
      <c r="BU593" s="76"/>
      <c r="BV593" s="76"/>
      <c r="BW593" s="76"/>
      <c r="BX593" s="76"/>
      <c r="BY593" s="76"/>
      <c r="BZ593" s="76"/>
      <c r="CA593" s="76"/>
      <c r="CB593" s="76"/>
      <c r="CC593" s="76"/>
      <c r="CD593" s="76"/>
      <c r="CE593" s="76"/>
      <c r="CF593" s="76">
        <f>+CE593*28000</f>
        <v>0</v>
      </c>
      <c r="CG593" s="76"/>
      <c r="CH593" s="76">
        <f>+CG593*22500</f>
        <v>0</v>
      </c>
      <c r="CI593" s="76"/>
      <c r="CJ593" s="76">
        <f>+CI593*26000</f>
        <v>0</v>
      </c>
      <c r="CK593" s="76"/>
      <c r="CL593" s="76"/>
      <c r="CM593" s="76"/>
      <c r="CN593" s="76">
        <f>+CM593*22000</f>
        <v>0</v>
      </c>
      <c r="CO593" s="76"/>
      <c r="CP593" s="76">
        <f>+CO593*46000</f>
        <v>0</v>
      </c>
      <c r="CQ593" s="76"/>
      <c r="CR593" s="76">
        <f>+CQ593*49000</f>
        <v>0</v>
      </c>
      <c r="CS593" s="76"/>
      <c r="CT593" s="76"/>
      <c r="CU593" s="56">
        <f>AN593+AP593+AR593+AT593+AV593+AX593+AZ593+BB593+BD593+BF593+BH593+BJ593+BL593+BN593+BP593+BR593+BT593+BV593+BX593+BZ593+CB593+CD593+CF593+CH593+CJ593+CL593+CN593+CP593+CR593+CT593</f>
        <v>0</v>
      </c>
      <c r="CV593" s="76"/>
      <c r="CW593" s="76">
        <f>+CV593*1100</f>
        <v>0</v>
      </c>
      <c r="CX593" s="76"/>
      <c r="CY593" s="76">
        <f>+CX593*106250</f>
        <v>0</v>
      </c>
      <c r="CZ593" s="76"/>
      <c r="DA593" s="76">
        <f>+CZ593*34500</f>
        <v>0</v>
      </c>
      <c r="DB593" s="76"/>
      <c r="DC593" s="76">
        <f>+DB593*25000</f>
        <v>0</v>
      </c>
      <c r="DD593" s="219"/>
      <c r="DE593" s="219"/>
      <c r="DF593" s="166"/>
      <c r="DG593" s="116"/>
      <c r="DH593" s="117"/>
      <c r="DI593" s="24"/>
      <c r="DJ593" s="24"/>
      <c r="DK593" s="24"/>
      <c r="DL593" s="24"/>
      <c r="DM593" s="24"/>
      <c r="DN593" s="24"/>
      <c r="DO593" s="24"/>
      <c r="DP593" s="24"/>
      <c r="DQ593" s="24"/>
      <c r="DR593" s="24"/>
      <c r="DS593" s="24"/>
      <c r="DT593" s="24"/>
      <c r="DU593" s="24"/>
    </row>
    <row r="594" spans="1:125" s="8" customFormat="1" ht="96" x14ac:dyDescent="0.2">
      <c r="A594" s="77">
        <v>41312</v>
      </c>
      <c r="B594" s="78" t="s">
        <v>2772</v>
      </c>
      <c r="C594" s="75" t="s">
        <v>1106</v>
      </c>
      <c r="D594" s="81" t="s">
        <v>2846</v>
      </c>
      <c r="E594" s="75" t="str">
        <f>VLOOKUP(B594&amp;C594,Divipola!$C$2:$F$1138,4,FALSE)</f>
        <v>25426</v>
      </c>
      <c r="F594" s="87"/>
      <c r="G594" s="87"/>
      <c r="H594" s="87"/>
      <c r="I594" s="87"/>
      <c r="J594" s="87"/>
      <c r="K594" s="87"/>
      <c r="L594" s="87"/>
      <c r="M594" s="87"/>
      <c r="N594" s="87"/>
      <c r="O594" s="87"/>
      <c r="P594" s="87"/>
      <c r="Q594" s="87"/>
      <c r="R594" s="87"/>
      <c r="S594" s="87"/>
      <c r="T594" s="87"/>
      <c r="U594" s="88">
        <v>1.5</v>
      </c>
      <c r="V594" s="89"/>
      <c r="W594" s="96">
        <v>0</v>
      </c>
      <c r="X594" s="71">
        <f>CU594</f>
        <v>0</v>
      </c>
      <c r="Y594" s="71">
        <f>CY594</f>
        <v>0</v>
      </c>
      <c r="Z594" s="71">
        <f>DA594+DC594+DE594</f>
        <v>0</v>
      </c>
      <c r="AA594" s="71">
        <f>CW594</f>
        <v>0</v>
      </c>
      <c r="AB594" s="71"/>
      <c r="AC594" s="71">
        <v>0</v>
      </c>
      <c r="AD594" s="71">
        <f>W594+X594+Y594+Z594+AA594+AB594+AC594</f>
        <v>0</v>
      </c>
      <c r="AE594" s="72">
        <v>0</v>
      </c>
      <c r="AF594" s="5"/>
      <c r="AG594" s="6"/>
      <c r="AH594" s="27" t="s">
        <v>3392</v>
      </c>
      <c r="AI594" s="44" t="s">
        <v>3393</v>
      </c>
      <c r="AJ594" s="26"/>
      <c r="AK594" s="5"/>
      <c r="AL594" s="82" t="s">
        <v>3429</v>
      </c>
      <c r="AM594" s="76"/>
      <c r="AN594" s="76"/>
      <c r="AO594" s="76"/>
      <c r="AP594" s="76"/>
      <c r="AQ594" s="76"/>
      <c r="AR594" s="76"/>
      <c r="AS594" s="76"/>
      <c r="AT594" s="76"/>
      <c r="AU594" s="76"/>
      <c r="AV594" s="76"/>
      <c r="AW594" s="76"/>
      <c r="AX594" s="76">
        <f>+AW594*600000</f>
        <v>0</v>
      </c>
      <c r="AY594" s="76"/>
      <c r="AZ594" s="76">
        <f>+AY594*70000</f>
        <v>0</v>
      </c>
      <c r="BA594" s="76"/>
      <c r="BB594" s="76"/>
      <c r="BC594" s="76"/>
      <c r="BD594" s="76">
        <f>+BC594*30000</f>
        <v>0</v>
      </c>
      <c r="BE594" s="76"/>
      <c r="BF594" s="76"/>
      <c r="BG594" s="76"/>
      <c r="BH594" s="76"/>
      <c r="BI594" s="76"/>
      <c r="BJ594" s="76"/>
      <c r="BK594" s="76"/>
      <c r="BL594" s="76">
        <f>+BK594*31500</f>
        <v>0</v>
      </c>
      <c r="BM594" s="76"/>
      <c r="BN594" s="76"/>
      <c r="BO594" s="76"/>
      <c r="BP594" s="76"/>
      <c r="BQ594" s="76"/>
      <c r="BR594" s="76"/>
      <c r="BS594" s="76"/>
      <c r="BT594" s="76"/>
      <c r="BU594" s="76"/>
      <c r="BV594" s="76"/>
      <c r="BW594" s="76"/>
      <c r="BX594" s="76"/>
      <c r="BY594" s="76"/>
      <c r="BZ594" s="76"/>
      <c r="CA594" s="76"/>
      <c r="CB594" s="76"/>
      <c r="CC594" s="76"/>
      <c r="CD594" s="76"/>
      <c r="CE594" s="76"/>
      <c r="CF594" s="76">
        <f>+CE594*28000</f>
        <v>0</v>
      </c>
      <c r="CG594" s="76"/>
      <c r="CH594" s="76">
        <f>+CG594*22500</f>
        <v>0</v>
      </c>
      <c r="CI594" s="76"/>
      <c r="CJ594" s="76">
        <f>+CI594*26000</f>
        <v>0</v>
      </c>
      <c r="CK594" s="76"/>
      <c r="CL594" s="76"/>
      <c r="CM594" s="76"/>
      <c r="CN594" s="76">
        <f>+CM594*22000</f>
        <v>0</v>
      </c>
      <c r="CO594" s="76"/>
      <c r="CP594" s="76">
        <f>+CO594*46000</f>
        <v>0</v>
      </c>
      <c r="CQ594" s="76"/>
      <c r="CR594" s="76">
        <f>+CQ594*49000</f>
        <v>0</v>
      </c>
      <c r="CS594" s="76"/>
      <c r="CT594" s="76"/>
      <c r="CU594" s="56">
        <f>AN594+AP594+AR594+AT594+AV594+AX594+AZ594+BB594+BD594+BF594+BH594+BJ594+BL594+BN594+BP594+BR594+BT594+BV594+BX594+BZ594+CB594+CD594+CF594+CH594+CJ594+CL594+CN594+CP594+CR594+CT594</f>
        <v>0</v>
      </c>
      <c r="CV594" s="76"/>
      <c r="CW594" s="76">
        <f>+CV594*1100</f>
        <v>0</v>
      </c>
      <c r="CX594" s="76"/>
      <c r="CY594" s="76">
        <f>+CX594*106250</f>
        <v>0</v>
      </c>
      <c r="CZ594" s="76"/>
      <c r="DA594" s="76">
        <f>+CZ594*34500</f>
        <v>0</v>
      </c>
      <c r="DB594" s="76"/>
      <c r="DC594" s="76">
        <f>+DB594*25000</f>
        <v>0</v>
      </c>
      <c r="DD594" s="219"/>
      <c r="DE594" s="219"/>
      <c r="DF594" s="166"/>
      <c r="DG594" s="116"/>
      <c r="DH594" s="117"/>
      <c r="DI594" s="24"/>
      <c r="DJ594" s="24"/>
      <c r="DK594" s="24"/>
      <c r="DL594" s="24"/>
      <c r="DM594" s="24"/>
      <c r="DN594" s="24"/>
      <c r="DO594" s="24"/>
      <c r="DP594" s="24"/>
      <c r="DQ594" s="24"/>
      <c r="DR594" s="24"/>
      <c r="DS594" s="24"/>
      <c r="DT594" s="24"/>
      <c r="DU594" s="24"/>
    </row>
    <row r="595" spans="1:125" s="8" customFormat="1" ht="72" x14ac:dyDescent="0.2">
      <c r="A595" s="77">
        <v>41312</v>
      </c>
      <c r="B595" s="225" t="s">
        <v>2772</v>
      </c>
      <c r="C595" s="227" t="s">
        <v>1110</v>
      </c>
      <c r="D595" s="81" t="s">
        <v>2846</v>
      </c>
      <c r="E595" s="75" t="str">
        <f>VLOOKUP(B595&amp;C595,Divipola!$C$2:$F$1138,4,FALSE)</f>
        <v>25436</v>
      </c>
      <c r="F595" s="100"/>
      <c r="G595" s="100"/>
      <c r="H595" s="100"/>
      <c r="I595" s="100"/>
      <c r="J595" s="100"/>
      <c r="K595" s="100"/>
      <c r="L595" s="100"/>
      <c r="M595" s="100"/>
      <c r="N595" s="100"/>
      <c r="O595" s="100"/>
      <c r="P595" s="100"/>
      <c r="Q595" s="100"/>
      <c r="R595" s="100"/>
      <c r="S595" s="100"/>
      <c r="T595" s="100"/>
      <c r="U595" s="136">
        <v>0.5</v>
      </c>
      <c r="V595" s="89"/>
      <c r="W595" s="96">
        <v>0</v>
      </c>
      <c r="X595" s="71">
        <f>CU595</f>
        <v>0</v>
      </c>
      <c r="Y595" s="71">
        <f>CY595</f>
        <v>0</v>
      </c>
      <c r="Z595" s="71">
        <f>DA595+DC595+DE595</f>
        <v>0</v>
      </c>
      <c r="AA595" s="71">
        <f>CW595</f>
        <v>0</v>
      </c>
      <c r="AB595" s="71"/>
      <c r="AC595" s="71">
        <v>0</v>
      </c>
      <c r="AD595" s="71">
        <f>W595+X595+Y595+Z595+AA595+AB595+AC595</f>
        <v>0</v>
      </c>
      <c r="AE595" s="72">
        <v>0</v>
      </c>
      <c r="AF595" s="5"/>
      <c r="AG595" s="6"/>
      <c r="AH595" s="27" t="s">
        <v>3392</v>
      </c>
      <c r="AI595" s="44" t="s">
        <v>3393</v>
      </c>
      <c r="AJ595" s="26"/>
      <c r="AK595" s="5"/>
      <c r="AL595" s="82" t="s">
        <v>3431</v>
      </c>
      <c r="AM595" s="76"/>
      <c r="AN595" s="76"/>
      <c r="AO595" s="76"/>
      <c r="AP595" s="76"/>
      <c r="AQ595" s="76"/>
      <c r="AR595" s="76"/>
      <c r="AS595" s="76"/>
      <c r="AT595" s="76"/>
      <c r="AU595" s="76"/>
      <c r="AV595" s="76"/>
      <c r="AW595" s="76"/>
      <c r="AX595" s="76">
        <f>+AW595*600000</f>
        <v>0</v>
      </c>
      <c r="AY595" s="76"/>
      <c r="AZ595" s="76">
        <f>+AY595*70000</f>
        <v>0</v>
      </c>
      <c r="BA595" s="76"/>
      <c r="BB595" s="76"/>
      <c r="BC595" s="76"/>
      <c r="BD595" s="76">
        <f>+BC595*30000</f>
        <v>0</v>
      </c>
      <c r="BE595" s="76"/>
      <c r="BF595" s="76"/>
      <c r="BG595" s="76"/>
      <c r="BH595" s="76"/>
      <c r="BI595" s="76"/>
      <c r="BJ595" s="76"/>
      <c r="BK595" s="76"/>
      <c r="BL595" s="76">
        <f>+BK595*31500</f>
        <v>0</v>
      </c>
      <c r="BM595" s="76"/>
      <c r="BN595" s="76"/>
      <c r="BO595" s="76"/>
      <c r="BP595" s="76"/>
      <c r="BQ595" s="76"/>
      <c r="BR595" s="76"/>
      <c r="BS595" s="76"/>
      <c r="BT595" s="76"/>
      <c r="BU595" s="76"/>
      <c r="BV595" s="76"/>
      <c r="BW595" s="76"/>
      <c r="BX595" s="76"/>
      <c r="BY595" s="76"/>
      <c r="BZ595" s="76"/>
      <c r="CA595" s="76"/>
      <c r="CB595" s="76"/>
      <c r="CC595" s="76"/>
      <c r="CD595" s="76"/>
      <c r="CE595" s="76"/>
      <c r="CF595" s="76">
        <f>+CE595*28000</f>
        <v>0</v>
      </c>
      <c r="CG595" s="76"/>
      <c r="CH595" s="76">
        <f>+CG595*22500</f>
        <v>0</v>
      </c>
      <c r="CI595" s="76"/>
      <c r="CJ595" s="76">
        <f>+CI595*26000</f>
        <v>0</v>
      </c>
      <c r="CK595" s="76"/>
      <c r="CL595" s="76"/>
      <c r="CM595" s="76"/>
      <c r="CN595" s="76">
        <f>+CM595*22000</f>
        <v>0</v>
      </c>
      <c r="CO595" s="76"/>
      <c r="CP595" s="76">
        <f>+CO595*46000</f>
        <v>0</v>
      </c>
      <c r="CQ595" s="76"/>
      <c r="CR595" s="76">
        <f>+CQ595*49000</f>
        <v>0</v>
      </c>
      <c r="CS595" s="76"/>
      <c r="CT595" s="76"/>
      <c r="CU595" s="56">
        <f>AN595+AP595+AR595+AT595+AV595+AX595+AZ595+BB595+BD595+BF595+BH595+BJ595+BL595+BN595+BP595+BR595+BT595+BV595+BX595+BZ595+CB595+CD595+CF595+CH595+CJ595+CL595+CN595+CP595+CR595+CT595</f>
        <v>0</v>
      </c>
      <c r="CV595" s="76"/>
      <c r="CW595" s="76">
        <f>+CV595*1100</f>
        <v>0</v>
      </c>
      <c r="CX595" s="76"/>
      <c r="CY595" s="76">
        <f>+CX595*106250</f>
        <v>0</v>
      </c>
      <c r="CZ595" s="76"/>
      <c r="DA595" s="76">
        <f>+CZ595*34500</f>
        <v>0</v>
      </c>
      <c r="DB595" s="76"/>
      <c r="DC595" s="76">
        <f>+DB595*25000</f>
        <v>0</v>
      </c>
      <c r="DD595" s="219"/>
      <c r="DE595" s="219"/>
      <c r="DF595" s="166"/>
      <c r="DG595" s="116"/>
      <c r="DH595" s="117"/>
      <c r="DI595" s="24"/>
      <c r="DJ595" s="24"/>
      <c r="DK595" s="24"/>
      <c r="DL595" s="24"/>
      <c r="DM595" s="24"/>
      <c r="DN595" s="24"/>
      <c r="DO595" s="24"/>
      <c r="DP595" s="24"/>
      <c r="DQ595" s="24"/>
      <c r="DR595" s="24"/>
      <c r="DS595" s="24"/>
      <c r="DT595" s="24"/>
      <c r="DU595" s="24"/>
    </row>
    <row r="596" spans="1:125" s="8" customFormat="1" ht="48" x14ac:dyDescent="0.2">
      <c r="A596" s="77">
        <v>41312</v>
      </c>
      <c r="B596" s="225" t="s">
        <v>506</v>
      </c>
      <c r="C596" s="227" t="s">
        <v>85</v>
      </c>
      <c r="D596" s="227" t="s">
        <v>3425</v>
      </c>
      <c r="E596" s="75" t="str">
        <f>VLOOKUP(B596&amp;C596,Divipola!$C$2:$F$1138,4,FALSE)</f>
        <v>50325</v>
      </c>
      <c r="F596" s="100">
        <v>1</v>
      </c>
      <c r="G596" s="100">
        <v>1</v>
      </c>
      <c r="H596" s="100"/>
      <c r="I596" s="100"/>
      <c r="J596" s="100"/>
      <c r="K596" s="100"/>
      <c r="L596" s="100"/>
      <c r="M596" s="100"/>
      <c r="N596" s="100"/>
      <c r="O596" s="100"/>
      <c r="P596" s="100"/>
      <c r="Q596" s="100"/>
      <c r="R596" s="100"/>
      <c r="S596" s="100"/>
      <c r="T596" s="100"/>
      <c r="U596" s="136"/>
      <c r="V596" s="89"/>
      <c r="W596" s="96">
        <v>0</v>
      </c>
      <c r="X596" s="71">
        <f>CU596</f>
        <v>0</v>
      </c>
      <c r="Y596" s="71">
        <f>CY596</f>
        <v>0</v>
      </c>
      <c r="Z596" s="71">
        <f>DA596+DC596+DE596</f>
        <v>0</v>
      </c>
      <c r="AA596" s="71">
        <f>CW596</f>
        <v>0</v>
      </c>
      <c r="AB596" s="71"/>
      <c r="AC596" s="71">
        <v>0</v>
      </c>
      <c r="AD596" s="71">
        <f>W596+X596+Y596+Z596+AA596+AB596+AC596</f>
        <v>0</v>
      </c>
      <c r="AE596" s="72">
        <v>0</v>
      </c>
      <c r="AF596" s="5"/>
      <c r="AG596" s="6"/>
      <c r="AH596" s="27" t="s">
        <v>3392</v>
      </c>
      <c r="AI596" s="44" t="s">
        <v>3393</v>
      </c>
      <c r="AJ596" s="26"/>
      <c r="AK596" s="5"/>
      <c r="AL596" s="82" t="s">
        <v>3434</v>
      </c>
      <c r="AM596" s="76"/>
      <c r="AN596" s="76"/>
      <c r="AO596" s="76"/>
      <c r="AP596" s="76"/>
      <c r="AQ596" s="76"/>
      <c r="AR596" s="76"/>
      <c r="AS596" s="76"/>
      <c r="AT596" s="76"/>
      <c r="AU596" s="76"/>
      <c r="AV596" s="76"/>
      <c r="AW596" s="76"/>
      <c r="AX596" s="76">
        <f>+AW596*600000</f>
        <v>0</v>
      </c>
      <c r="AY596" s="76"/>
      <c r="AZ596" s="76">
        <f>+AY596*70000</f>
        <v>0</v>
      </c>
      <c r="BA596" s="76"/>
      <c r="BB596" s="76"/>
      <c r="BC596" s="76"/>
      <c r="BD596" s="76">
        <f>+BC596*30000</f>
        <v>0</v>
      </c>
      <c r="BE596" s="76"/>
      <c r="BF596" s="76"/>
      <c r="BG596" s="76"/>
      <c r="BH596" s="76"/>
      <c r="BI596" s="76"/>
      <c r="BJ596" s="76"/>
      <c r="BK596" s="76"/>
      <c r="BL596" s="76">
        <f>+BK596*31500</f>
        <v>0</v>
      </c>
      <c r="BM596" s="76"/>
      <c r="BN596" s="76"/>
      <c r="BO596" s="76"/>
      <c r="BP596" s="76"/>
      <c r="BQ596" s="76"/>
      <c r="BR596" s="76"/>
      <c r="BS596" s="76"/>
      <c r="BT596" s="76"/>
      <c r="BU596" s="76"/>
      <c r="BV596" s="76"/>
      <c r="BW596" s="76"/>
      <c r="BX596" s="76"/>
      <c r="BY596" s="76"/>
      <c r="BZ596" s="76"/>
      <c r="CA596" s="76"/>
      <c r="CB596" s="76"/>
      <c r="CC596" s="76"/>
      <c r="CD596" s="76"/>
      <c r="CE596" s="76"/>
      <c r="CF596" s="76">
        <f>+CE596*28000</f>
        <v>0</v>
      </c>
      <c r="CG596" s="76"/>
      <c r="CH596" s="76">
        <f>+CG596*22500</f>
        <v>0</v>
      </c>
      <c r="CI596" s="76"/>
      <c r="CJ596" s="76">
        <f>+CI596*26000</f>
        <v>0</v>
      </c>
      <c r="CK596" s="76"/>
      <c r="CL596" s="76"/>
      <c r="CM596" s="76"/>
      <c r="CN596" s="76">
        <f>+CM596*22000</f>
        <v>0</v>
      </c>
      <c r="CO596" s="76"/>
      <c r="CP596" s="76">
        <f>+CO596*46000</f>
        <v>0</v>
      </c>
      <c r="CQ596" s="76"/>
      <c r="CR596" s="76">
        <f>+CQ596*49000</f>
        <v>0</v>
      </c>
      <c r="CS596" s="76"/>
      <c r="CT596" s="76"/>
      <c r="CU596" s="56">
        <f>AN596+AP596+AR596+AT596+AV596+AX596+AZ596+BB596+BD596+BF596+BH596+BJ596+BL596+BN596+BP596+BR596+BT596+BV596+BX596+BZ596+CB596+CD596+CF596+CH596+CJ596+CL596+CN596+CP596+CR596+CT596</f>
        <v>0</v>
      </c>
      <c r="CV596" s="76"/>
      <c r="CW596" s="76">
        <f>+CV596*1100</f>
        <v>0</v>
      </c>
      <c r="CX596" s="76"/>
      <c r="CY596" s="76">
        <f>+CX596*106250</f>
        <v>0</v>
      </c>
      <c r="CZ596" s="76"/>
      <c r="DA596" s="76">
        <f>+CZ596*34500</f>
        <v>0</v>
      </c>
      <c r="DB596" s="76"/>
      <c r="DC596" s="76">
        <f>+DB596*25000</f>
        <v>0</v>
      </c>
      <c r="DD596" s="219"/>
      <c r="DE596" s="219"/>
      <c r="DF596" s="166"/>
      <c r="DG596" s="116"/>
      <c r="DH596" s="117"/>
      <c r="DI596" s="24"/>
      <c r="DJ596" s="24"/>
      <c r="DK596" s="24"/>
      <c r="DL596" s="24"/>
      <c r="DM596" s="24"/>
      <c r="DN596" s="24"/>
      <c r="DO596" s="24"/>
      <c r="DP596" s="24"/>
      <c r="DQ596" s="24"/>
      <c r="DR596" s="24"/>
      <c r="DS596" s="24"/>
      <c r="DT596" s="24"/>
      <c r="DU596" s="24"/>
    </row>
    <row r="597" spans="1:125" s="8" customFormat="1" ht="60" x14ac:dyDescent="0.2">
      <c r="A597" s="77">
        <v>41312</v>
      </c>
      <c r="B597" s="225" t="s">
        <v>506</v>
      </c>
      <c r="C597" s="227" t="s">
        <v>98</v>
      </c>
      <c r="D597" s="81" t="s">
        <v>2846</v>
      </c>
      <c r="E597" s="75" t="str">
        <f>VLOOKUP(B597&amp;C597,Divipola!$C$2:$F$1138,4,FALSE)</f>
        <v>50568</v>
      </c>
      <c r="F597" s="87"/>
      <c r="G597" s="87"/>
      <c r="H597" s="87"/>
      <c r="I597" s="87"/>
      <c r="J597" s="87"/>
      <c r="K597" s="87"/>
      <c r="L597" s="87"/>
      <c r="M597" s="87"/>
      <c r="N597" s="87"/>
      <c r="O597" s="87"/>
      <c r="P597" s="87"/>
      <c r="Q597" s="87"/>
      <c r="R597" s="87"/>
      <c r="S597" s="87"/>
      <c r="T597" s="87"/>
      <c r="U597" s="88"/>
      <c r="V597" s="89"/>
      <c r="W597" s="96">
        <v>0</v>
      </c>
      <c r="X597" s="71">
        <f>CU597</f>
        <v>0</v>
      </c>
      <c r="Y597" s="71">
        <f>CY597</f>
        <v>0</v>
      </c>
      <c r="Z597" s="71">
        <f>DA597+DC597+DE597</f>
        <v>0</v>
      </c>
      <c r="AA597" s="71">
        <f>CW597</f>
        <v>0</v>
      </c>
      <c r="AB597" s="71"/>
      <c r="AC597" s="71">
        <v>0</v>
      </c>
      <c r="AD597" s="71">
        <f>W597+X597+Y597+Z597+AA597+AB597+AC597</f>
        <v>0</v>
      </c>
      <c r="AE597" s="72">
        <v>0</v>
      </c>
      <c r="AF597" s="5"/>
      <c r="AG597" s="6"/>
      <c r="AH597" s="27" t="s">
        <v>3392</v>
      </c>
      <c r="AI597" s="44" t="s">
        <v>3393</v>
      </c>
      <c r="AJ597" s="26"/>
      <c r="AK597" s="5"/>
      <c r="AL597" s="82" t="s">
        <v>3440</v>
      </c>
      <c r="AM597" s="76"/>
      <c r="AN597" s="76"/>
      <c r="AO597" s="76"/>
      <c r="AP597" s="76"/>
      <c r="AQ597" s="76"/>
      <c r="AR597" s="76"/>
      <c r="AS597" s="76"/>
      <c r="AT597" s="76"/>
      <c r="AU597" s="76"/>
      <c r="AV597" s="76"/>
      <c r="AW597" s="76"/>
      <c r="AX597" s="76">
        <f>+AW597*600000</f>
        <v>0</v>
      </c>
      <c r="AY597" s="76"/>
      <c r="AZ597" s="76">
        <f>+AY597*70000</f>
        <v>0</v>
      </c>
      <c r="BA597" s="76"/>
      <c r="BB597" s="76"/>
      <c r="BC597" s="76"/>
      <c r="BD597" s="76">
        <f>+BC597*30000</f>
        <v>0</v>
      </c>
      <c r="BE597" s="76"/>
      <c r="BF597" s="76"/>
      <c r="BG597" s="76"/>
      <c r="BH597" s="76"/>
      <c r="BI597" s="76"/>
      <c r="BJ597" s="76"/>
      <c r="BK597" s="76"/>
      <c r="BL597" s="76">
        <f>+BK597*31500</f>
        <v>0</v>
      </c>
      <c r="BM597" s="76"/>
      <c r="BN597" s="76"/>
      <c r="BO597" s="76"/>
      <c r="BP597" s="76"/>
      <c r="BQ597" s="76"/>
      <c r="BR597" s="76"/>
      <c r="BS597" s="76"/>
      <c r="BT597" s="76"/>
      <c r="BU597" s="76"/>
      <c r="BV597" s="76"/>
      <c r="BW597" s="76"/>
      <c r="BX597" s="76"/>
      <c r="BY597" s="76"/>
      <c r="BZ597" s="76"/>
      <c r="CA597" s="76"/>
      <c r="CB597" s="76"/>
      <c r="CC597" s="76"/>
      <c r="CD597" s="76"/>
      <c r="CE597" s="76"/>
      <c r="CF597" s="76">
        <f>+CE597*28000</f>
        <v>0</v>
      </c>
      <c r="CG597" s="76"/>
      <c r="CH597" s="76">
        <f>+CG597*22500</f>
        <v>0</v>
      </c>
      <c r="CI597" s="76"/>
      <c r="CJ597" s="76">
        <f>+CI597*26000</f>
        <v>0</v>
      </c>
      <c r="CK597" s="76"/>
      <c r="CL597" s="76"/>
      <c r="CM597" s="76"/>
      <c r="CN597" s="76">
        <f>+CM597*22000</f>
        <v>0</v>
      </c>
      <c r="CO597" s="76"/>
      <c r="CP597" s="76">
        <f>+CO597*46000</f>
        <v>0</v>
      </c>
      <c r="CQ597" s="76"/>
      <c r="CR597" s="76">
        <f>+CQ597*49000</f>
        <v>0</v>
      </c>
      <c r="CS597" s="76"/>
      <c r="CT597" s="76"/>
      <c r="CU597" s="56">
        <f>AN597+AP597+AR597+AT597+AV597+AX597+AZ597+BB597+BD597+BF597+BH597+BJ597+BL597+BN597+BP597+BR597+BT597+BV597+BX597+BZ597+CB597+CD597+CF597+CH597+CJ597+CL597+CN597+CP597+CR597+CT597</f>
        <v>0</v>
      </c>
      <c r="CV597" s="76"/>
      <c r="CW597" s="76">
        <f>+CV597*1100</f>
        <v>0</v>
      </c>
      <c r="CX597" s="76"/>
      <c r="CY597" s="76">
        <f>+CX597*106250</f>
        <v>0</v>
      </c>
      <c r="CZ597" s="76"/>
      <c r="DA597" s="76">
        <f>+CZ597*34500</f>
        <v>0</v>
      </c>
      <c r="DB597" s="76"/>
      <c r="DC597" s="76">
        <f>+DB597*25000</f>
        <v>0</v>
      </c>
      <c r="DD597" s="219"/>
      <c r="DE597" s="219"/>
      <c r="DF597" s="166"/>
      <c r="DG597" s="116"/>
      <c r="DH597" s="117"/>
      <c r="DI597" s="24"/>
      <c r="DJ597" s="24"/>
      <c r="DK597" s="24"/>
      <c r="DL597" s="24"/>
      <c r="DM597" s="24"/>
      <c r="DN597" s="24"/>
      <c r="DO597" s="24"/>
      <c r="DP597" s="24"/>
      <c r="DQ597" s="24"/>
      <c r="DR597" s="24"/>
      <c r="DS597" s="24"/>
      <c r="DT597" s="24"/>
      <c r="DU597" s="24"/>
    </row>
    <row r="598" spans="1:125" s="8" customFormat="1" ht="36" x14ac:dyDescent="0.2">
      <c r="A598" s="77">
        <v>41312</v>
      </c>
      <c r="B598" s="78" t="s">
        <v>2811</v>
      </c>
      <c r="C598" s="75" t="s">
        <v>498</v>
      </c>
      <c r="D598" s="84" t="s">
        <v>3088</v>
      </c>
      <c r="E598" s="75" t="str">
        <f>VLOOKUP(B598&amp;C598,Divipola!$C$2:$F$1138,4,FALSE)</f>
        <v>52233</v>
      </c>
      <c r="F598" s="87"/>
      <c r="G598" s="87"/>
      <c r="H598" s="87"/>
      <c r="I598" s="87">
        <v>5</v>
      </c>
      <c r="J598" s="87">
        <v>1</v>
      </c>
      <c r="K598" s="87"/>
      <c r="L598" s="87">
        <v>1</v>
      </c>
      <c r="M598" s="87"/>
      <c r="N598" s="87"/>
      <c r="O598" s="87"/>
      <c r="P598" s="87"/>
      <c r="Q598" s="87"/>
      <c r="R598" s="87"/>
      <c r="S598" s="87"/>
      <c r="T598" s="87"/>
      <c r="U598" s="88"/>
      <c r="V598" s="89"/>
      <c r="W598" s="96">
        <v>0</v>
      </c>
      <c r="X598" s="71">
        <f>CU598</f>
        <v>0</v>
      </c>
      <c r="Y598" s="71">
        <f>CY598</f>
        <v>0</v>
      </c>
      <c r="Z598" s="71">
        <f>DA598+DC598+DE598</f>
        <v>0</v>
      </c>
      <c r="AA598" s="71">
        <f>CW598</f>
        <v>0</v>
      </c>
      <c r="AB598" s="71"/>
      <c r="AC598" s="71">
        <v>0</v>
      </c>
      <c r="AD598" s="71">
        <f>W598+X598+Y598+Z598+AA598+AB598+AC598</f>
        <v>0</v>
      </c>
      <c r="AE598" s="72">
        <v>0</v>
      </c>
      <c r="AF598" s="5"/>
      <c r="AG598" s="6"/>
      <c r="AH598" s="27" t="s">
        <v>3392</v>
      </c>
      <c r="AI598" s="44" t="s">
        <v>3393</v>
      </c>
      <c r="AJ598" s="26"/>
      <c r="AK598" s="5"/>
      <c r="AL598" s="82" t="s">
        <v>3438</v>
      </c>
      <c r="AM598" s="76"/>
      <c r="AN598" s="76"/>
      <c r="AO598" s="76"/>
      <c r="AP598" s="76"/>
      <c r="AQ598" s="76"/>
      <c r="AR598" s="76"/>
      <c r="AS598" s="76"/>
      <c r="AT598" s="76"/>
      <c r="AU598" s="76"/>
      <c r="AV598" s="76"/>
      <c r="AW598" s="76"/>
      <c r="AX598" s="76">
        <f>+AW598*600000</f>
        <v>0</v>
      </c>
      <c r="AY598" s="76"/>
      <c r="AZ598" s="76">
        <f>+AY598*70000</f>
        <v>0</v>
      </c>
      <c r="BA598" s="76"/>
      <c r="BB598" s="76"/>
      <c r="BC598" s="76"/>
      <c r="BD598" s="76">
        <f>+BC598*30000</f>
        <v>0</v>
      </c>
      <c r="BE598" s="76"/>
      <c r="BF598" s="76"/>
      <c r="BG598" s="76"/>
      <c r="BH598" s="76"/>
      <c r="BI598" s="76"/>
      <c r="BJ598" s="76"/>
      <c r="BK598" s="76"/>
      <c r="BL598" s="76">
        <f>+BK598*31500</f>
        <v>0</v>
      </c>
      <c r="BM598" s="76"/>
      <c r="BN598" s="76"/>
      <c r="BO598" s="76"/>
      <c r="BP598" s="76"/>
      <c r="BQ598" s="76"/>
      <c r="BR598" s="76"/>
      <c r="BS598" s="76"/>
      <c r="BT598" s="76"/>
      <c r="BU598" s="76"/>
      <c r="BV598" s="76"/>
      <c r="BW598" s="76"/>
      <c r="BX598" s="76"/>
      <c r="BY598" s="76"/>
      <c r="BZ598" s="76"/>
      <c r="CA598" s="76"/>
      <c r="CB598" s="76"/>
      <c r="CC598" s="76"/>
      <c r="CD598" s="76"/>
      <c r="CE598" s="76"/>
      <c r="CF598" s="76">
        <f>+CE598*28000</f>
        <v>0</v>
      </c>
      <c r="CG598" s="76"/>
      <c r="CH598" s="76">
        <f>+CG598*22500</f>
        <v>0</v>
      </c>
      <c r="CI598" s="76"/>
      <c r="CJ598" s="76">
        <f>+CI598*26000</f>
        <v>0</v>
      </c>
      <c r="CK598" s="76"/>
      <c r="CL598" s="76"/>
      <c r="CM598" s="76"/>
      <c r="CN598" s="76">
        <f>+CM598*22000</f>
        <v>0</v>
      </c>
      <c r="CO598" s="76"/>
      <c r="CP598" s="76">
        <f>+CO598*46000</f>
        <v>0</v>
      </c>
      <c r="CQ598" s="76"/>
      <c r="CR598" s="76">
        <f>+CQ598*49000</f>
        <v>0</v>
      </c>
      <c r="CS598" s="76"/>
      <c r="CT598" s="76"/>
      <c r="CU598" s="56">
        <f>AN598+AP598+AR598+AT598+AV598+AX598+AZ598+BB598+BD598+BF598+BH598+BJ598+BL598+BN598+BP598+BR598+BT598+BV598+BX598+BZ598+CB598+CD598+CF598+CH598+CJ598+CL598+CN598+CP598+CR598+CT598</f>
        <v>0</v>
      </c>
      <c r="CV598" s="76"/>
      <c r="CW598" s="76">
        <f>+CV598*1100</f>
        <v>0</v>
      </c>
      <c r="CX598" s="76"/>
      <c r="CY598" s="76">
        <f>+CX598*106250</f>
        <v>0</v>
      </c>
      <c r="CZ598" s="76"/>
      <c r="DA598" s="76">
        <f>+CZ598*34500</f>
        <v>0</v>
      </c>
      <c r="DB598" s="76"/>
      <c r="DC598" s="76">
        <f>+DB598*25000</f>
        <v>0</v>
      </c>
      <c r="DD598" s="219"/>
      <c r="DE598" s="219"/>
      <c r="DF598" s="166"/>
      <c r="DG598" s="116"/>
      <c r="DH598" s="117"/>
      <c r="DI598" s="24"/>
      <c r="DJ598" s="24"/>
      <c r="DK598" s="24"/>
      <c r="DL598" s="24"/>
      <c r="DM598" s="24"/>
      <c r="DN598" s="24"/>
      <c r="DO598" s="24"/>
      <c r="DP598" s="24"/>
      <c r="DQ598" s="24"/>
      <c r="DR598" s="24"/>
      <c r="DS598" s="24"/>
      <c r="DT598" s="24"/>
      <c r="DU598" s="24"/>
    </row>
    <row r="599" spans="1:125" s="8" customFormat="1" ht="48" x14ac:dyDescent="0.2">
      <c r="A599" s="77">
        <v>41312</v>
      </c>
      <c r="B599" s="78" t="s">
        <v>2880</v>
      </c>
      <c r="C599" s="75" t="s">
        <v>2797</v>
      </c>
      <c r="D599" s="81" t="s">
        <v>2846</v>
      </c>
      <c r="E599" s="75" t="str">
        <f>VLOOKUP(B599&amp;C599,Divipola!$C$2:$F$1138,4,FALSE)</f>
        <v>54498</v>
      </c>
      <c r="F599" s="87"/>
      <c r="G599" s="87"/>
      <c r="H599" s="87"/>
      <c r="I599" s="87"/>
      <c r="J599" s="87"/>
      <c r="K599" s="87"/>
      <c r="L599" s="87"/>
      <c r="M599" s="87"/>
      <c r="N599" s="87"/>
      <c r="O599" s="87"/>
      <c r="P599" s="87"/>
      <c r="Q599" s="87"/>
      <c r="R599" s="87"/>
      <c r="S599" s="87"/>
      <c r="T599" s="87"/>
      <c r="U599" s="88">
        <v>2</v>
      </c>
      <c r="V599" s="89"/>
      <c r="W599" s="96">
        <v>0</v>
      </c>
      <c r="X599" s="71">
        <f>CU599</f>
        <v>0</v>
      </c>
      <c r="Y599" s="71">
        <f>CY599</f>
        <v>0</v>
      </c>
      <c r="Z599" s="71">
        <f>DA599+DC599+DE599</f>
        <v>0</v>
      </c>
      <c r="AA599" s="71">
        <f>CW599</f>
        <v>0</v>
      </c>
      <c r="AB599" s="71"/>
      <c r="AC599" s="71">
        <v>0</v>
      </c>
      <c r="AD599" s="71">
        <f>W599+X599+Y599+Z599+AA599+AB599+AC599</f>
        <v>0</v>
      </c>
      <c r="AE599" s="72">
        <v>0</v>
      </c>
      <c r="AF599" s="5"/>
      <c r="AG599" s="6"/>
      <c r="AH599" s="27" t="s">
        <v>3392</v>
      </c>
      <c r="AI599" s="44" t="s">
        <v>3393</v>
      </c>
      <c r="AJ599" s="26"/>
      <c r="AK599" s="5"/>
      <c r="AL599" s="82" t="s">
        <v>3439</v>
      </c>
      <c r="AM599" s="76"/>
      <c r="AN599" s="76"/>
      <c r="AO599" s="76"/>
      <c r="AP599" s="76"/>
      <c r="AQ599" s="76"/>
      <c r="AR599" s="76"/>
      <c r="AS599" s="76"/>
      <c r="AT599" s="76"/>
      <c r="AU599" s="76"/>
      <c r="AV599" s="76"/>
      <c r="AW599" s="76"/>
      <c r="AX599" s="76">
        <f>+AW599*600000</f>
        <v>0</v>
      </c>
      <c r="AY599" s="76"/>
      <c r="AZ599" s="76">
        <f>+AY599*70000</f>
        <v>0</v>
      </c>
      <c r="BA599" s="76"/>
      <c r="BB599" s="76"/>
      <c r="BC599" s="76"/>
      <c r="BD599" s="76">
        <f>+BC599*30000</f>
        <v>0</v>
      </c>
      <c r="BE599" s="76"/>
      <c r="BF599" s="76"/>
      <c r="BG599" s="76"/>
      <c r="BH599" s="76"/>
      <c r="BI599" s="76"/>
      <c r="BJ599" s="76"/>
      <c r="BK599" s="76"/>
      <c r="BL599" s="76">
        <f>+BK599*31500</f>
        <v>0</v>
      </c>
      <c r="BM599" s="76"/>
      <c r="BN599" s="76"/>
      <c r="BO599" s="76"/>
      <c r="BP599" s="76"/>
      <c r="BQ599" s="76"/>
      <c r="BR599" s="76"/>
      <c r="BS599" s="76"/>
      <c r="BT599" s="76"/>
      <c r="BU599" s="76"/>
      <c r="BV599" s="76"/>
      <c r="BW599" s="76"/>
      <c r="BX599" s="76"/>
      <c r="BY599" s="76"/>
      <c r="BZ599" s="76"/>
      <c r="CA599" s="76"/>
      <c r="CB599" s="76"/>
      <c r="CC599" s="76"/>
      <c r="CD599" s="76"/>
      <c r="CE599" s="76"/>
      <c r="CF599" s="76">
        <f>+CE599*28000</f>
        <v>0</v>
      </c>
      <c r="CG599" s="76"/>
      <c r="CH599" s="76">
        <f>+CG599*22500</f>
        <v>0</v>
      </c>
      <c r="CI599" s="76"/>
      <c r="CJ599" s="76">
        <f>+CI599*26000</f>
        <v>0</v>
      </c>
      <c r="CK599" s="76"/>
      <c r="CL599" s="76"/>
      <c r="CM599" s="76"/>
      <c r="CN599" s="76">
        <f>+CM599*22000</f>
        <v>0</v>
      </c>
      <c r="CO599" s="76"/>
      <c r="CP599" s="76">
        <f>+CO599*46000</f>
        <v>0</v>
      </c>
      <c r="CQ599" s="76"/>
      <c r="CR599" s="76">
        <f>+CQ599*49000</f>
        <v>0</v>
      </c>
      <c r="CS599" s="76"/>
      <c r="CT599" s="76"/>
      <c r="CU599" s="56">
        <f>AN599+AP599+AR599+AT599+AV599+AX599+AZ599+BB599+BD599+BF599+BH599+BJ599+BL599+BN599+BP599+BR599+BT599+BV599+BX599+BZ599+CB599+CD599+CF599+CH599+CJ599+CL599+CN599+CP599+CR599+CT599</f>
        <v>0</v>
      </c>
      <c r="CV599" s="76"/>
      <c r="CW599" s="76">
        <f>+CV599*1100</f>
        <v>0</v>
      </c>
      <c r="CX599" s="76"/>
      <c r="CY599" s="76">
        <f>+CX599*106250</f>
        <v>0</v>
      </c>
      <c r="CZ599" s="76"/>
      <c r="DA599" s="76">
        <f>+CZ599*34500</f>
        <v>0</v>
      </c>
      <c r="DB599" s="76"/>
      <c r="DC599" s="76">
        <f>+DB599*25000</f>
        <v>0</v>
      </c>
      <c r="DD599" s="219"/>
      <c r="DE599" s="219"/>
      <c r="DF599" s="166"/>
      <c r="DG599" s="116"/>
      <c r="DH599" s="117"/>
      <c r="DI599" s="24"/>
      <c r="DJ599" s="24"/>
      <c r="DK599" s="24"/>
      <c r="DL599" s="24"/>
      <c r="DM599" s="24"/>
      <c r="DN599" s="24"/>
      <c r="DO599" s="24"/>
      <c r="DP599" s="24"/>
      <c r="DQ599" s="24"/>
      <c r="DR599" s="24"/>
      <c r="DS599" s="24"/>
      <c r="DT599" s="24"/>
      <c r="DU599" s="24"/>
    </row>
    <row r="600" spans="1:125" s="8" customFormat="1" ht="36" x14ac:dyDescent="0.2">
      <c r="A600" s="77">
        <v>41312</v>
      </c>
      <c r="B600" s="352" t="s">
        <v>2860</v>
      </c>
      <c r="C600" s="227" t="s">
        <v>2776</v>
      </c>
      <c r="D600" s="227" t="s">
        <v>2859</v>
      </c>
      <c r="E600" s="75" t="str">
        <f>VLOOKUP(B600&amp;C600,Divipola!$C$2:$F$1138,4,FALSE)</f>
        <v>63001</v>
      </c>
      <c r="F600" s="87"/>
      <c r="G600" s="87">
        <v>1</v>
      </c>
      <c r="H600" s="87"/>
      <c r="I600" s="87"/>
      <c r="J600" s="87"/>
      <c r="K600" s="87"/>
      <c r="L600" s="87"/>
      <c r="M600" s="87"/>
      <c r="N600" s="87"/>
      <c r="O600" s="87"/>
      <c r="P600" s="87"/>
      <c r="Q600" s="87"/>
      <c r="R600" s="87"/>
      <c r="S600" s="87"/>
      <c r="T600" s="87"/>
      <c r="U600" s="88"/>
      <c r="V600" s="89"/>
      <c r="W600" s="96">
        <v>0</v>
      </c>
      <c r="X600" s="71">
        <f>CU600</f>
        <v>0</v>
      </c>
      <c r="Y600" s="71">
        <f>CY600</f>
        <v>0</v>
      </c>
      <c r="Z600" s="71">
        <f>DA600+DC600+DE600</f>
        <v>0</v>
      </c>
      <c r="AA600" s="71">
        <f>CW600</f>
        <v>0</v>
      </c>
      <c r="AB600" s="71"/>
      <c r="AC600" s="71">
        <v>0</v>
      </c>
      <c r="AD600" s="71">
        <f>W600+X600+Y600+Z600+AA600+AB600+AC600</f>
        <v>0</v>
      </c>
      <c r="AE600" s="72">
        <v>0</v>
      </c>
      <c r="AF600" s="5"/>
      <c r="AG600" s="6"/>
      <c r="AH600" s="27" t="s">
        <v>3392</v>
      </c>
      <c r="AI600" s="44" t="s">
        <v>3393</v>
      </c>
      <c r="AJ600" s="26"/>
      <c r="AK600" s="5"/>
      <c r="AL600" s="82" t="s">
        <v>3437</v>
      </c>
      <c r="AM600" s="76"/>
      <c r="AN600" s="76"/>
      <c r="AO600" s="76"/>
      <c r="AP600" s="76"/>
      <c r="AQ600" s="76"/>
      <c r="AR600" s="76"/>
      <c r="AS600" s="76"/>
      <c r="AT600" s="76"/>
      <c r="AU600" s="76"/>
      <c r="AV600" s="76"/>
      <c r="AW600" s="76"/>
      <c r="AX600" s="76">
        <f>+AW600*600000</f>
        <v>0</v>
      </c>
      <c r="AY600" s="76"/>
      <c r="AZ600" s="76">
        <f>+AY600*70000</f>
        <v>0</v>
      </c>
      <c r="BA600" s="76"/>
      <c r="BB600" s="76"/>
      <c r="BC600" s="76"/>
      <c r="BD600" s="76">
        <f>+BC600*30000</f>
        <v>0</v>
      </c>
      <c r="BE600" s="76"/>
      <c r="BF600" s="76"/>
      <c r="BG600" s="76"/>
      <c r="BH600" s="76"/>
      <c r="BI600" s="76"/>
      <c r="BJ600" s="76"/>
      <c r="BK600" s="76"/>
      <c r="BL600" s="76">
        <f>+BK600*31500</f>
        <v>0</v>
      </c>
      <c r="BM600" s="76"/>
      <c r="BN600" s="76"/>
      <c r="BO600" s="76"/>
      <c r="BP600" s="76"/>
      <c r="BQ600" s="76"/>
      <c r="BR600" s="76"/>
      <c r="BS600" s="76"/>
      <c r="BT600" s="76"/>
      <c r="BU600" s="76"/>
      <c r="BV600" s="76"/>
      <c r="BW600" s="76"/>
      <c r="BX600" s="76"/>
      <c r="BY600" s="76"/>
      <c r="BZ600" s="76"/>
      <c r="CA600" s="76"/>
      <c r="CB600" s="76"/>
      <c r="CC600" s="76"/>
      <c r="CD600" s="76"/>
      <c r="CE600" s="76"/>
      <c r="CF600" s="76">
        <f>+CE600*28000</f>
        <v>0</v>
      </c>
      <c r="CG600" s="76"/>
      <c r="CH600" s="76">
        <f>+CG600*22500</f>
        <v>0</v>
      </c>
      <c r="CI600" s="76"/>
      <c r="CJ600" s="76">
        <f>+CI600*26000</f>
        <v>0</v>
      </c>
      <c r="CK600" s="76"/>
      <c r="CL600" s="76"/>
      <c r="CM600" s="76"/>
      <c r="CN600" s="76">
        <f>+CM600*22000</f>
        <v>0</v>
      </c>
      <c r="CO600" s="76"/>
      <c r="CP600" s="76">
        <f>+CO600*46000</f>
        <v>0</v>
      </c>
      <c r="CQ600" s="76"/>
      <c r="CR600" s="76">
        <f>+CQ600*49000</f>
        <v>0</v>
      </c>
      <c r="CS600" s="76"/>
      <c r="CT600" s="76"/>
      <c r="CU600" s="56">
        <f>AN600+AP600+AR600+AT600+AV600+AX600+AZ600+BB600+BD600+BF600+BH600+BJ600+BL600+BN600+BP600+BR600+BT600+BV600+BX600+BZ600+CB600+CD600+CF600+CH600+CJ600+CL600+CN600+CP600+CR600+CT600</f>
        <v>0</v>
      </c>
      <c r="CV600" s="76"/>
      <c r="CW600" s="76">
        <f>+CV600*1100</f>
        <v>0</v>
      </c>
      <c r="CX600" s="76"/>
      <c r="CY600" s="76">
        <f>+CX600*106250</f>
        <v>0</v>
      </c>
      <c r="CZ600" s="76"/>
      <c r="DA600" s="76">
        <f>+CZ600*34500</f>
        <v>0</v>
      </c>
      <c r="DB600" s="76"/>
      <c r="DC600" s="76">
        <f>+DB600*25000</f>
        <v>0</v>
      </c>
      <c r="DD600" s="219"/>
      <c r="DE600" s="219"/>
      <c r="DF600" s="166"/>
      <c r="DG600" s="116"/>
      <c r="DH600" s="117"/>
      <c r="DI600" s="24"/>
      <c r="DJ600" s="24"/>
      <c r="DK600" s="24"/>
      <c r="DL600" s="24"/>
      <c r="DM600" s="24"/>
      <c r="DN600" s="24"/>
      <c r="DO600" s="24"/>
      <c r="DP600" s="24"/>
      <c r="DQ600" s="24"/>
      <c r="DR600" s="24"/>
      <c r="DS600" s="24"/>
      <c r="DT600" s="24"/>
      <c r="DU600" s="24"/>
    </row>
    <row r="601" spans="1:125" s="8" customFormat="1" ht="180" x14ac:dyDescent="0.2">
      <c r="A601" s="77">
        <v>41312</v>
      </c>
      <c r="B601" s="352" t="s">
        <v>2847</v>
      </c>
      <c r="C601" s="227" t="s">
        <v>2673</v>
      </c>
      <c r="D601" s="84" t="s">
        <v>3088</v>
      </c>
      <c r="E601" s="75" t="str">
        <f>VLOOKUP(B601&amp;C601,Divipola!$C$2:$F$1138,4,FALSE)</f>
        <v>68001</v>
      </c>
      <c r="F601" s="87">
        <v>2</v>
      </c>
      <c r="G601" s="87">
        <v>6</v>
      </c>
      <c r="H601" s="87"/>
      <c r="I601" s="87">
        <v>8</v>
      </c>
      <c r="J601" s="87">
        <v>3</v>
      </c>
      <c r="K601" s="87">
        <v>3</v>
      </c>
      <c r="L601" s="87"/>
      <c r="M601" s="87"/>
      <c r="N601" s="87"/>
      <c r="O601" s="87"/>
      <c r="P601" s="87"/>
      <c r="Q601" s="87"/>
      <c r="R601" s="87"/>
      <c r="S601" s="87"/>
      <c r="T601" s="87"/>
      <c r="U601" s="88"/>
      <c r="V601" s="89"/>
      <c r="W601" s="96">
        <v>0</v>
      </c>
      <c r="X601" s="71">
        <f>CU601</f>
        <v>0</v>
      </c>
      <c r="Y601" s="71">
        <f>CY601</f>
        <v>0</v>
      </c>
      <c r="Z601" s="71">
        <f>DA601+DC601+DE601</f>
        <v>0</v>
      </c>
      <c r="AA601" s="71">
        <f>CW601</f>
        <v>0</v>
      </c>
      <c r="AB601" s="71"/>
      <c r="AC601" s="71">
        <v>0</v>
      </c>
      <c r="AD601" s="71">
        <f>W601+X601+Y601+Z601+AA601+AB601+AC601</f>
        <v>0</v>
      </c>
      <c r="AE601" s="72">
        <v>0</v>
      </c>
      <c r="AF601" s="5"/>
      <c r="AG601" s="6"/>
      <c r="AH601" s="27" t="s">
        <v>3392</v>
      </c>
      <c r="AI601" s="44" t="s">
        <v>3393</v>
      </c>
      <c r="AJ601" s="26"/>
      <c r="AK601" s="5"/>
      <c r="AL601" s="82" t="s">
        <v>3448</v>
      </c>
      <c r="AM601" s="76"/>
      <c r="AN601" s="76"/>
      <c r="AO601" s="76"/>
      <c r="AP601" s="76"/>
      <c r="AQ601" s="76"/>
      <c r="AR601" s="76"/>
      <c r="AS601" s="76"/>
      <c r="AT601" s="76"/>
      <c r="AU601" s="76"/>
      <c r="AV601" s="76"/>
      <c r="AW601" s="76"/>
      <c r="AX601" s="76">
        <f>+AW601*600000</f>
        <v>0</v>
      </c>
      <c r="AY601" s="76"/>
      <c r="AZ601" s="76">
        <f>+AY601*70000</f>
        <v>0</v>
      </c>
      <c r="BA601" s="76"/>
      <c r="BB601" s="76"/>
      <c r="BC601" s="76"/>
      <c r="BD601" s="76">
        <f>+BC601*30000</f>
        <v>0</v>
      </c>
      <c r="BE601" s="76"/>
      <c r="BF601" s="76"/>
      <c r="BG601" s="76"/>
      <c r="BH601" s="76"/>
      <c r="BI601" s="76"/>
      <c r="BJ601" s="76"/>
      <c r="BK601" s="76"/>
      <c r="BL601" s="76">
        <f>+BK601*31500</f>
        <v>0</v>
      </c>
      <c r="BM601" s="76"/>
      <c r="BN601" s="76"/>
      <c r="BO601" s="76"/>
      <c r="BP601" s="76"/>
      <c r="BQ601" s="76"/>
      <c r="BR601" s="76"/>
      <c r="BS601" s="76"/>
      <c r="BT601" s="76"/>
      <c r="BU601" s="76"/>
      <c r="BV601" s="76"/>
      <c r="BW601" s="76"/>
      <c r="BX601" s="76"/>
      <c r="BY601" s="76"/>
      <c r="BZ601" s="76"/>
      <c r="CA601" s="76"/>
      <c r="CB601" s="76"/>
      <c r="CC601" s="76"/>
      <c r="CD601" s="76"/>
      <c r="CE601" s="76"/>
      <c r="CF601" s="76">
        <f>+CE601*28000</f>
        <v>0</v>
      </c>
      <c r="CG601" s="76"/>
      <c r="CH601" s="76">
        <f>+CG601*22500</f>
        <v>0</v>
      </c>
      <c r="CI601" s="76"/>
      <c r="CJ601" s="76">
        <f>+CI601*26000</f>
        <v>0</v>
      </c>
      <c r="CK601" s="76"/>
      <c r="CL601" s="76"/>
      <c r="CM601" s="76"/>
      <c r="CN601" s="76">
        <f>+CM601*22000</f>
        <v>0</v>
      </c>
      <c r="CO601" s="76"/>
      <c r="CP601" s="76">
        <f>+CO601*46000</f>
        <v>0</v>
      </c>
      <c r="CQ601" s="76"/>
      <c r="CR601" s="76">
        <f>+CQ601*49000</f>
        <v>0</v>
      </c>
      <c r="CS601" s="76"/>
      <c r="CT601" s="76"/>
      <c r="CU601" s="56">
        <f>AN601+AP601+AR601+AT601+AV601+AX601+AZ601+BB601+BD601+BF601+BH601+BJ601+BL601+BN601+BP601+BR601+BT601+BV601+BX601+BZ601+CB601+CD601+CF601+CH601+CJ601+CL601+CN601+CP601+CR601+CT601</f>
        <v>0</v>
      </c>
      <c r="CV601" s="76"/>
      <c r="CW601" s="76">
        <f>+CV601*1100</f>
        <v>0</v>
      </c>
      <c r="CX601" s="76"/>
      <c r="CY601" s="76">
        <f>+CX601*106250</f>
        <v>0</v>
      </c>
      <c r="CZ601" s="76"/>
      <c r="DA601" s="76">
        <f>+CZ601*34500</f>
        <v>0</v>
      </c>
      <c r="DB601" s="76"/>
      <c r="DC601" s="76">
        <f>+DB601*25000</f>
        <v>0</v>
      </c>
      <c r="DD601" s="219"/>
      <c r="DE601" s="219"/>
      <c r="DF601" s="166"/>
      <c r="DG601" s="116"/>
      <c r="DH601" s="117"/>
      <c r="DI601" s="24"/>
      <c r="DJ601" s="24"/>
      <c r="DK601" s="24"/>
      <c r="DL601" s="24"/>
      <c r="DM601" s="24"/>
      <c r="DN601" s="24"/>
      <c r="DO601" s="24"/>
      <c r="DP601" s="24"/>
      <c r="DQ601" s="24"/>
      <c r="DR601" s="24"/>
      <c r="DS601" s="24"/>
      <c r="DT601" s="24"/>
      <c r="DU601" s="24"/>
    </row>
    <row r="602" spans="1:125" s="8" customFormat="1" ht="72" x14ac:dyDescent="0.2">
      <c r="A602" s="77">
        <v>41312</v>
      </c>
      <c r="B602" s="225" t="s">
        <v>2847</v>
      </c>
      <c r="C602" s="227" t="s">
        <v>2197</v>
      </c>
      <c r="D602" s="84" t="s">
        <v>3088</v>
      </c>
      <c r="E602" s="75" t="str">
        <f>VLOOKUP(B602&amp;C602,Divipola!$C$2:$F$1138,4,FALSE)</f>
        <v>68276</v>
      </c>
      <c r="F602" s="100"/>
      <c r="G602" s="100"/>
      <c r="H602" s="100"/>
      <c r="I602" s="100">
        <v>5</v>
      </c>
      <c r="J602" s="100">
        <v>1</v>
      </c>
      <c r="K602" s="100">
        <v>1</v>
      </c>
      <c r="L602" s="100"/>
      <c r="M602" s="100"/>
      <c r="N602" s="100"/>
      <c r="O602" s="100"/>
      <c r="P602" s="100"/>
      <c r="Q602" s="100"/>
      <c r="R602" s="100"/>
      <c r="S602" s="100"/>
      <c r="T602" s="100"/>
      <c r="U602" s="136"/>
      <c r="V602" s="89"/>
      <c r="W602" s="96">
        <v>0</v>
      </c>
      <c r="X602" s="71">
        <f>CU602</f>
        <v>0</v>
      </c>
      <c r="Y602" s="71">
        <f>CY602</f>
        <v>0</v>
      </c>
      <c r="Z602" s="71">
        <f>DA602+DC602+DE602</f>
        <v>0</v>
      </c>
      <c r="AA602" s="71">
        <f>CW602</f>
        <v>0</v>
      </c>
      <c r="AB602" s="71"/>
      <c r="AC602" s="71">
        <v>0</v>
      </c>
      <c r="AD602" s="71">
        <f>W602+X602+Y602+Z602+AA602+AB602+AC602</f>
        <v>0</v>
      </c>
      <c r="AE602" s="72">
        <v>0</v>
      </c>
      <c r="AF602" s="5"/>
      <c r="AG602" s="6"/>
      <c r="AH602" s="27" t="s">
        <v>3392</v>
      </c>
      <c r="AI602" s="44" t="s">
        <v>3393</v>
      </c>
      <c r="AJ602" s="26"/>
      <c r="AK602" s="5"/>
      <c r="AL602" s="82" t="s">
        <v>3441</v>
      </c>
      <c r="AM602" s="76"/>
      <c r="AN602" s="76"/>
      <c r="AO602" s="76"/>
      <c r="AP602" s="76"/>
      <c r="AQ602" s="76"/>
      <c r="AR602" s="76"/>
      <c r="AS602" s="76"/>
      <c r="AT602" s="76"/>
      <c r="AU602" s="76"/>
      <c r="AV602" s="76"/>
      <c r="AW602" s="76"/>
      <c r="AX602" s="76">
        <f>+AW602*600000</f>
        <v>0</v>
      </c>
      <c r="AY602" s="76"/>
      <c r="AZ602" s="76">
        <f>+AY602*70000</f>
        <v>0</v>
      </c>
      <c r="BA602" s="76"/>
      <c r="BB602" s="76"/>
      <c r="BC602" s="76"/>
      <c r="BD602" s="76">
        <f>+BC602*30000</f>
        <v>0</v>
      </c>
      <c r="BE602" s="76"/>
      <c r="BF602" s="76"/>
      <c r="BG602" s="76"/>
      <c r="BH602" s="76"/>
      <c r="BI602" s="76"/>
      <c r="BJ602" s="76"/>
      <c r="BK602" s="76"/>
      <c r="BL602" s="76">
        <f>+BK602*31500</f>
        <v>0</v>
      </c>
      <c r="BM602" s="76"/>
      <c r="BN602" s="76"/>
      <c r="BO602" s="76"/>
      <c r="BP602" s="76"/>
      <c r="BQ602" s="76"/>
      <c r="BR602" s="76"/>
      <c r="BS602" s="76"/>
      <c r="BT602" s="76"/>
      <c r="BU602" s="76"/>
      <c r="BV602" s="76"/>
      <c r="BW602" s="76"/>
      <c r="BX602" s="76"/>
      <c r="BY602" s="76"/>
      <c r="BZ602" s="76"/>
      <c r="CA602" s="76"/>
      <c r="CB602" s="76"/>
      <c r="CC602" s="76"/>
      <c r="CD602" s="76"/>
      <c r="CE602" s="76"/>
      <c r="CF602" s="76">
        <f>+CE602*28000</f>
        <v>0</v>
      </c>
      <c r="CG602" s="76"/>
      <c r="CH602" s="76">
        <f>+CG602*22500</f>
        <v>0</v>
      </c>
      <c r="CI602" s="76"/>
      <c r="CJ602" s="76">
        <f>+CI602*26000</f>
        <v>0</v>
      </c>
      <c r="CK602" s="76"/>
      <c r="CL602" s="76"/>
      <c r="CM602" s="76"/>
      <c r="CN602" s="76">
        <f>+CM602*22000</f>
        <v>0</v>
      </c>
      <c r="CO602" s="76"/>
      <c r="CP602" s="76">
        <f>+CO602*46000</f>
        <v>0</v>
      </c>
      <c r="CQ602" s="76"/>
      <c r="CR602" s="76">
        <f>+CQ602*49000</f>
        <v>0</v>
      </c>
      <c r="CS602" s="76"/>
      <c r="CT602" s="76"/>
      <c r="CU602" s="56">
        <f>AN602+AP602+AR602+AT602+AV602+AX602+AZ602+BB602+BD602+BF602+BH602+BJ602+BL602+BN602+BP602+BR602+BT602+BV602+BX602+BZ602+CB602+CD602+CF602+CH602+CJ602+CL602+CN602+CP602+CR602+CT602</f>
        <v>0</v>
      </c>
      <c r="CV602" s="76"/>
      <c r="CW602" s="76">
        <f>+CV602*1100</f>
        <v>0</v>
      </c>
      <c r="CX602" s="76"/>
      <c r="CY602" s="76">
        <f>+CX602*106250</f>
        <v>0</v>
      </c>
      <c r="CZ602" s="76"/>
      <c r="DA602" s="76">
        <f>+CZ602*34500</f>
        <v>0</v>
      </c>
      <c r="DB602" s="76"/>
      <c r="DC602" s="76">
        <f>+DB602*25000</f>
        <v>0</v>
      </c>
      <c r="DD602" s="219"/>
      <c r="DE602" s="219"/>
      <c r="DF602" s="166"/>
      <c r="DG602" s="116"/>
      <c r="DH602" s="117"/>
      <c r="DI602" s="24"/>
      <c r="DJ602" s="24"/>
      <c r="DK602" s="24"/>
      <c r="DL602" s="24"/>
      <c r="DM602" s="24"/>
      <c r="DN602" s="24"/>
      <c r="DO602" s="24"/>
      <c r="DP602" s="24"/>
      <c r="DQ602" s="24"/>
      <c r="DR602" s="24"/>
      <c r="DS602" s="24"/>
      <c r="DT602" s="24"/>
      <c r="DU602" s="24"/>
    </row>
    <row r="603" spans="1:125" s="8" customFormat="1" ht="144" x14ac:dyDescent="0.2">
      <c r="A603" s="77">
        <v>41312</v>
      </c>
      <c r="B603" s="78" t="s">
        <v>2847</v>
      </c>
      <c r="C603" s="75" t="s">
        <v>2197</v>
      </c>
      <c r="D603" s="75" t="s">
        <v>3051</v>
      </c>
      <c r="E603" s="75" t="str">
        <f>VLOOKUP(B603&amp;C603,Divipola!$C$2:$F$1138,4,FALSE)</f>
        <v>68276</v>
      </c>
      <c r="F603" s="87"/>
      <c r="G603" s="87"/>
      <c r="H603" s="87"/>
      <c r="I603" s="87">
        <f>25*5</f>
        <v>125</v>
      </c>
      <c r="J603" s="87">
        <v>25</v>
      </c>
      <c r="K603" s="87"/>
      <c r="L603" s="87">
        <v>25</v>
      </c>
      <c r="M603" s="87"/>
      <c r="N603" s="87"/>
      <c r="O603" s="87"/>
      <c r="P603" s="87"/>
      <c r="Q603" s="87"/>
      <c r="R603" s="87"/>
      <c r="S603" s="87"/>
      <c r="T603" s="87"/>
      <c r="U603" s="88"/>
      <c r="V603" s="89"/>
      <c r="W603" s="96">
        <f>250000*22*3+3*300000*3</f>
        <v>19200000</v>
      </c>
      <c r="X603" s="71">
        <f>CU603</f>
        <v>0</v>
      </c>
      <c r="Y603" s="71">
        <f>CY603</f>
        <v>0</v>
      </c>
      <c r="Z603" s="71">
        <f>DA603+DC603+DE603</f>
        <v>0</v>
      </c>
      <c r="AA603" s="71">
        <f>CW603</f>
        <v>0</v>
      </c>
      <c r="AB603" s="71"/>
      <c r="AC603" s="71">
        <v>0</v>
      </c>
      <c r="AD603" s="71">
        <f>W603+X603+Y603+Z603+AA603+AB603+AC603</f>
        <v>19200000</v>
      </c>
      <c r="AE603" s="72">
        <v>0</v>
      </c>
      <c r="AF603" s="5"/>
      <c r="AG603" s="6"/>
      <c r="AH603" s="27" t="s">
        <v>3390</v>
      </c>
      <c r="AI603" s="44" t="s">
        <v>3391</v>
      </c>
      <c r="AJ603" s="26"/>
      <c r="AK603" s="5"/>
      <c r="AL603" s="82" t="s">
        <v>4718</v>
      </c>
      <c r="AM603" s="76"/>
      <c r="AN603" s="76"/>
      <c r="AO603" s="76"/>
      <c r="AP603" s="76"/>
      <c r="AQ603" s="76"/>
      <c r="AR603" s="76"/>
      <c r="AS603" s="76"/>
      <c r="AT603" s="76"/>
      <c r="AU603" s="76"/>
      <c r="AV603" s="76"/>
      <c r="AW603" s="76"/>
      <c r="AX603" s="76">
        <f>+AW603*600000</f>
        <v>0</v>
      </c>
      <c r="AY603" s="76"/>
      <c r="AZ603" s="76">
        <f>+AY603*70000</f>
        <v>0</v>
      </c>
      <c r="BA603" s="76"/>
      <c r="BB603" s="76"/>
      <c r="BC603" s="76"/>
      <c r="BD603" s="76">
        <f>+BC603*30000</f>
        <v>0</v>
      </c>
      <c r="BE603" s="76"/>
      <c r="BF603" s="76"/>
      <c r="BG603" s="76"/>
      <c r="BH603" s="76"/>
      <c r="BI603" s="76"/>
      <c r="BJ603" s="76"/>
      <c r="BK603" s="76"/>
      <c r="BL603" s="76">
        <f>+BK603*31500</f>
        <v>0</v>
      </c>
      <c r="BM603" s="76"/>
      <c r="BN603" s="76"/>
      <c r="BO603" s="76"/>
      <c r="BP603" s="76"/>
      <c r="BQ603" s="76"/>
      <c r="BR603" s="76"/>
      <c r="BS603" s="76"/>
      <c r="BT603" s="76"/>
      <c r="BU603" s="76"/>
      <c r="BV603" s="76"/>
      <c r="BW603" s="76"/>
      <c r="BX603" s="76"/>
      <c r="BY603" s="76"/>
      <c r="BZ603" s="76"/>
      <c r="CA603" s="76"/>
      <c r="CB603" s="76"/>
      <c r="CC603" s="76"/>
      <c r="CD603" s="76"/>
      <c r="CE603" s="76"/>
      <c r="CF603" s="76">
        <f>+CE603*28000</f>
        <v>0</v>
      </c>
      <c r="CG603" s="76"/>
      <c r="CH603" s="76">
        <f>+CG603*22500</f>
        <v>0</v>
      </c>
      <c r="CI603" s="76"/>
      <c r="CJ603" s="76">
        <f>+CI603*26000</f>
        <v>0</v>
      </c>
      <c r="CK603" s="76"/>
      <c r="CL603" s="76"/>
      <c r="CM603" s="76"/>
      <c r="CN603" s="76">
        <f>+CM603*22000</f>
        <v>0</v>
      </c>
      <c r="CO603" s="76"/>
      <c r="CP603" s="76">
        <f>+CO603*46000</f>
        <v>0</v>
      </c>
      <c r="CQ603" s="76"/>
      <c r="CR603" s="76">
        <f>+CQ603*49000</f>
        <v>0</v>
      </c>
      <c r="CS603" s="76"/>
      <c r="CT603" s="76"/>
      <c r="CU603" s="56">
        <f>AN603+AP603+AR603+AT603+AV603+AX603+AZ603+BB603+BD603+BF603+BH603+BJ603+BL603+BN603+BP603+BR603+BT603+BV603+BX603+BZ603+CB603+CD603+CF603+CH603+CJ603+CL603+CN603+CP603+CR603+CT603</f>
        <v>0</v>
      </c>
      <c r="CV603" s="76"/>
      <c r="CW603" s="76">
        <f>+CV603*1100</f>
        <v>0</v>
      </c>
      <c r="CX603" s="76"/>
      <c r="CY603" s="76">
        <f>+CX603*106250</f>
        <v>0</v>
      </c>
      <c r="CZ603" s="76"/>
      <c r="DA603" s="76">
        <f>+CZ603*34500</f>
        <v>0</v>
      </c>
      <c r="DB603" s="76"/>
      <c r="DC603" s="76">
        <f>+DB603*25000</f>
        <v>0</v>
      </c>
      <c r="DD603" s="219"/>
      <c r="DE603" s="219"/>
      <c r="DF603" s="166"/>
      <c r="DG603" s="116"/>
      <c r="DH603" s="117"/>
      <c r="DI603" s="24"/>
      <c r="DJ603" s="24"/>
      <c r="DK603" s="24"/>
      <c r="DL603" s="24"/>
      <c r="DM603" s="24"/>
      <c r="DN603" s="24"/>
      <c r="DO603" s="24"/>
      <c r="DP603" s="24"/>
      <c r="DQ603" s="24"/>
      <c r="DR603" s="24"/>
      <c r="DS603" s="24"/>
      <c r="DT603" s="24"/>
      <c r="DU603" s="24"/>
    </row>
    <row r="604" spans="1:125" s="8" customFormat="1" ht="132" x14ac:dyDescent="0.2">
      <c r="A604" s="77">
        <v>41312</v>
      </c>
      <c r="B604" s="352" t="s">
        <v>2847</v>
      </c>
      <c r="C604" s="354" t="s">
        <v>1722</v>
      </c>
      <c r="D604" s="354" t="s">
        <v>2859</v>
      </c>
      <c r="E604" s="75" t="str">
        <f>VLOOKUP(B604&amp;C604,Divipola!$C$2:$F$1138,4,FALSE)</f>
        <v>68377</v>
      </c>
      <c r="F604" s="87">
        <v>1</v>
      </c>
      <c r="G604" s="87"/>
      <c r="H604" s="87"/>
      <c r="I604" s="87">
        <v>1</v>
      </c>
      <c r="J604" s="87">
        <v>1</v>
      </c>
      <c r="K604" s="87">
        <v>1</v>
      </c>
      <c r="L604" s="87"/>
      <c r="M604" s="87"/>
      <c r="N604" s="87"/>
      <c r="O604" s="87"/>
      <c r="P604" s="87"/>
      <c r="Q604" s="87"/>
      <c r="R604" s="87"/>
      <c r="S604" s="87"/>
      <c r="T604" s="87"/>
      <c r="U604" s="88"/>
      <c r="V604" s="89"/>
      <c r="W604" s="96">
        <v>0</v>
      </c>
      <c r="X604" s="71">
        <f>CU604</f>
        <v>0</v>
      </c>
      <c r="Y604" s="71">
        <f>CY604</f>
        <v>0</v>
      </c>
      <c r="Z604" s="71">
        <f>DA604+DC604+DE604</f>
        <v>0</v>
      </c>
      <c r="AA604" s="71">
        <f>CW604</f>
        <v>0</v>
      </c>
      <c r="AB604" s="71"/>
      <c r="AC604" s="71">
        <v>0</v>
      </c>
      <c r="AD604" s="71">
        <f>W604+X604+Y604+Z604+AA604+AB604+AC604</f>
        <v>0</v>
      </c>
      <c r="AE604" s="72">
        <v>0</v>
      </c>
      <c r="AF604" s="5"/>
      <c r="AG604" s="6"/>
      <c r="AH604" s="27" t="s">
        <v>3392</v>
      </c>
      <c r="AI604" s="44" t="s">
        <v>3393</v>
      </c>
      <c r="AJ604" s="26"/>
      <c r="AK604" s="5"/>
      <c r="AL604" s="82" t="s">
        <v>3433</v>
      </c>
      <c r="AM604" s="76"/>
      <c r="AN604" s="76"/>
      <c r="AO604" s="76"/>
      <c r="AP604" s="76"/>
      <c r="AQ604" s="76"/>
      <c r="AR604" s="76"/>
      <c r="AS604" s="76"/>
      <c r="AT604" s="76"/>
      <c r="AU604" s="76"/>
      <c r="AV604" s="76"/>
      <c r="AW604" s="76"/>
      <c r="AX604" s="76">
        <f>+AW604*600000</f>
        <v>0</v>
      </c>
      <c r="AY604" s="76"/>
      <c r="AZ604" s="76">
        <f>+AY604*70000</f>
        <v>0</v>
      </c>
      <c r="BA604" s="76"/>
      <c r="BB604" s="76"/>
      <c r="BC604" s="76"/>
      <c r="BD604" s="76">
        <f>+BC604*30000</f>
        <v>0</v>
      </c>
      <c r="BE604" s="76"/>
      <c r="BF604" s="76"/>
      <c r="BG604" s="76"/>
      <c r="BH604" s="76"/>
      <c r="BI604" s="76"/>
      <c r="BJ604" s="76"/>
      <c r="BK604" s="76"/>
      <c r="BL604" s="76">
        <f>+BK604*31500</f>
        <v>0</v>
      </c>
      <c r="BM604" s="76"/>
      <c r="BN604" s="76"/>
      <c r="BO604" s="76"/>
      <c r="BP604" s="76"/>
      <c r="BQ604" s="76"/>
      <c r="BR604" s="76"/>
      <c r="BS604" s="76"/>
      <c r="BT604" s="76"/>
      <c r="BU604" s="76"/>
      <c r="BV604" s="76"/>
      <c r="BW604" s="76"/>
      <c r="BX604" s="76"/>
      <c r="BY604" s="76"/>
      <c r="BZ604" s="76"/>
      <c r="CA604" s="76"/>
      <c r="CB604" s="76"/>
      <c r="CC604" s="76"/>
      <c r="CD604" s="76"/>
      <c r="CE604" s="76"/>
      <c r="CF604" s="76">
        <f>+CE604*28000</f>
        <v>0</v>
      </c>
      <c r="CG604" s="76"/>
      <c r="CH604" s="76">
        <f>+CG604*22500</f>
        <v>0</v>
      </c>
      <c r="CI604" s="76"/>
      <c r="CJ604" s="76">
        <f>+CI604*26000</f>
        <v>0</v>
      </c>
      <c r="CK604" s="76"/>
      <c r="CL604" s="76"/>
      <c r="CM604" s="76"/>
      <c r="CN604" s="76">
        <f>+CM604*22000</f>
        <v>0</v>
      </c>
      <c r="CO604" s="76"/>
      <c r="CP604" s="76">
        <f>+CO604*46000</f>
        <v>0</v>
      </c>
      <c r="CQ604" s="76"/>
      <c r="CR604" s="76">
        <f>+CQ604*49000</f>
        <v>0</v>
      </c>
      <c r="CS604" s="76"/>
      <c r="CT604" s="76"/>
      <c r="CU604" s="56">
        <f>AN604+AP604+AR604+AT604+AV604+AX604+AZ604+BB604+BD604+BF604+BH604+BJ604+BL604+BN604+BP604+BR604+BT604+BV604+BX604+BZ604+CB604+CD604+CF604+CH604+CJ604+CL604+CN604+CP604+CR604+CT604</f>
        <v>0</v>
      </c>
      <c r="CV604" s="76"/>
      <c r="CW604" s="76">
        <f>+CV604*1100</f>
        <v>0</v>
      </c>
      <c r="CX604" s="76"/>
      <c r="CY604" s="76">
        <f>+CX604*106250</f>
        <v>0</v>
      </c>
      <c r="CZ604" s="76"/>
      <c r="DA604" s="76">
        <f>+CZ604*34500</f>
        <v>0</v>
      </c>
      <c r="DB604" s="76"/>
      <c r="DC604" s="76">
        <f>+DB604*25000</f>
        <v>0</v>
      </c>
      <c r="DD604" s="219"/>
      <c r="DE604" s="219"/>
      <c r="DF604" s="166"/>
      <c r="DG604" s="116"/>
      <c r="DH604" s="117"/>
      <c r="DI604" s="24"/>
      <c r="DJ604" s="24"/>
      <c r="DK604" s="24"/>
      <c r="DL604" s="24"/>
      <c r="DM604" s="24"/>
      <c r="DN604" s="24"/>
      <c r="DO604" s="24"/>
      <c r="DP604" s="24"/>
      <c r="DQ604" s="24"/>
      <c r="DR604" s="24"/>
      <c r="DS604" s="24"/>
      <c r="DT604" s="24"/>
      <c r="DU604" s="24"/>
    </row>
    <row r="605" spans="1:125" s="8" customFormat="1" ht="60" x14ac:dyDescent="0.2">
      <c r="A605" s="77">
        <v>41312</v>
      </c>
      <c r="B605" s="352" t="s">
        <v>2848</v>
      </c>
      <c r="C605" s="354" t="s">
        <v>2755</v>
      </c>
      <c r="D605" s="75" t="s">
        <v>3051</v>
      </c>
      <c r="E605" s="75" t="str">
        <f>VLOOKUP(B605&amp;C605,Divipola!$C$2:$F$1138,4,FALSE)</f>
        <v>73001</v>
      </c>
      <c r="F605" s="100"/>
      <c r="G605" s="100"/>
      <c r="H605" s="100"/>
      <c r="I605" s="100">
        <v>5</v>
      </c>
      <c r="J605" s="100">
        <v>1</v>
      </c>
      <c r="K605" s="100"/>
      <c r="L605" s="100">
        <v>1</v>
      </c>
      <c r="M605" s="100"/>
      <c r="N605" s="100"/>
      <c r="O605" s="100"/>
      <c r="P605" s="100"/>
      <c r="Q605" s="100"/>
      <c r="R605" s="100"/>
      <c r="S605" s="100"/>
      <c r="T605" s="100"/>
      <c r="U605" s="136"/>
      <c r="V605" s="89"/>
      <c r="W605" s="96">
        <v>0</v>
      </c>
      <c r="X605" s="71">
        <f>CU605</f>
        <v>0</v>
      </c>
      <c r="Y605" s="71">
        <f>CY605</f>
        <v>0</v>
      </c>
      <c r="Z605" s="71">
        <f>DA605+DC605+DE605</f>
        <v>0</v>
      </c>
      <c r="AA605" s="71">
        <f>CW605</f>
        <v>0</v>
      </c>
      <c r="AB605" s="71"/>
      <c r="AC605" s="71">
        <v>0</v>
      </c>
      <c r="AD605" s="71">
        <f>W605+X605+Y605+Z605+AA605+AB605+AC605</f>
        <v>0</v>
      </c>
      <c r="AE605" s="72">
        <v>0</v>
      </c>
      <c r="AF605" s="5"/>
      <c r="AG605" s="6"/>
      <c r="AH605" s="27" t="s">
        <v>3392</v>
      </c>
      <c r="AI605" s="44" t="s">
        <v>3393</v>
      </c>
      <c r="AJ605" s="26"/>
      <c r="AK605" s="5"/>
      <c r="AL605" s="82" t="s">
        <v>3426</v>
      </c>
      <c r="AM605" s="76"/>
      <c r="AN605" s="76"/>
      <c r="AO605" s="76"/>
      <c r="AP605" s="76"/>
      <c r="AQ605" s="76"/>
      <c r="AR605" s="76"/>
      <c r="AS605" s="76"/>
      <c r="AT605" s="76"/>
      <c r="AU605" s="76"/>
      <c r="AV605" s="76"/>
      <c r="AW605" s="76"/>
      <c r="AX605" s="76">
        <f>+AW605*600000</f>
        <v>0</v>
      </c>
      <c r="AY605" s="76"/>
      <c r="AZ605" s="76">
        <f>+AY605*70000</f>
        <v>0</v>
      </c>
      <c r="BA605" s="76"/>
      <c r="BB605" s="76"/>
      <c r="BC605" s="76"/>
      <c r="BD605" s="76">
        <f>+BC605*30000</f>
        <v>0</v>
      </c>
      <c r="BE605" s="76"/>
      <c r="BF605" s="76"/>
      <c r="BG605" s="76"/>
      <c r="BH605" s="76"/>
      <c r="BI605" s="76"/>
      <c r="BJ605" s="76"/>
      <c r="BK605" s="76"/>
      <c r="BL605" s="76">
        <f>+BK605*31500</f>
        <v>0</v>
      </c>
      <c r="BM605" s="76"/>
      <c r="BN605" s="76"/>
      <c r="BO605" s="76"/>
      <c r="BP605" s="76"/>
      <c r="BQ605" s="76"/>
      <c r="BR605" s="76"/>
      <c r="BS605" s="76"/>
      <c r="BT605" s="76"/>
      <c r="BU605" s="76"/>
      <c r="BV605" s="76"/>
      <c r="BW605" s="76"/>
      <c r="BX605" s="76"/>
      <c r="BY605" s="76"/>
      <c r="BZ605" s="76"/>
      <c r="CA605" s="76"/>
      <c r="CB605" s="76"/>
      <c r="CC605" s="76"/>
      <c r="CD605" s="76"/>
      <c r="CE605" s="76"/>
      <c r="CF605" s="76">
        <f>+CE605*28000</f>
        <v>0</v>
      </c>
      <c r="CG605" s="76"/>
      <c r="CH605" s="76">
        <f>+CG605*22500</f>
        <v>0</v>
      </c>
      <c r="CI605" s="76"/>
      <c r="CJ605" s="76">
        <f>+CI605*26000</f>
        <v>0</v>
      </c>
      <c r="CK605" s="76"/>
      <c r="CL605" s="76"/>
      <c r="CM605" s="76"/>
      <c r="CN605" s="76">
        <f>+CM605*22000</f>
        <v>0</v>
      </c>
      <c r="CO605" s="76"/>
      <c r="CP605" s="76">
        <f>+CO605*46000</f>
        <v>0</v>
      </c>
      <c r="CQ605" s="76"/>
      <c r="CR605" s="76">
        <f>+CQ605*49000</f>
        <v>0</v>
      </c>
      <c r="CS605" s="76"/>
      <c r="CT605" s="76"/>
      <c r="CU605" s="56">
        <f>AN605+AP605+AR605+AT605+AV605+AX605+AZ605+BB605+BD605+BF605+BH605+BJ605+BL605+BN605+BP605+BR605+BT605+BV605+BX605+BZ605+CB605+CD605+CF605+CH605+CJ605+CL605+CN605+CP605+CR605+CT605</f>
        <v>0</v>
      </c>
      <c r="CV605" s="76"/>
      <c r="CW605" s="76">
        <f>+CV605*1100</f>
        <v>0</v>
      </c>
      <c r="CX605" s="76"/>
      <c r="CY605" s="76">
        <f>+CX605*106250</f>
        <v>0</v>
      </c>
      <c r="CZ605" s="76"/>
      <c r="DA605" s="76">
        <f>+CZ605*34500</f>
        <v>0</v>
      </c>
      <c r="DB605" s="76"/>
      <c r="DC605" s="76">
        <f>+DB605*25000</f>
        <v>0</v>
      </c>
      <c r="DD605" s="219"/>
      <c r="DE605" s="219"/>
      <c r="DF605" s="166"/>
      <c r="DG605" s="116"/>
      <c r="DH605" s="117"/>
      <c r="DI605" s="24"/>
      <c r="DJ605" s="24"/>
      <c r="DK605" s="24"/>
      <c r="DL605" s="24"/>
      <c r="DM605" s="24"/>
      <c r="DN605" s="24"/>
      <c r="DO605" s="24"/>
      <c r="DP605" s="24"/>
      <c r="DQ605" s="24"/>
      <c r="DR605" s="24"/>
      <c r="DS605" s="24"/>
      <c r="DT605" s="24"/>
      <c r="DU605" s="24"/>
    </row>
    <row r="606" spans="1:125" s="8" customFormat="1" ht="72" x14ac:dyDescent="0.2">
      <c r="A606" s="77">
        <v>41312</v>
      </c>
      <c r="B606" s="78" t="s">
        <v>2848</v>
      </c>
      <c r="C606" s="75" t="s">
        <v>1884</v>
      </c>
      <c r="D606" s="81" t="s">
        <v>2846</v>
      </c>
      <c r="E606" s="75" t="str">
        <f>VLOOKUP(B606&amp;C606,Divipola!$C$2:$F$1138,4,FALSE)</f>
        <v>73408</v>
      </c>
      <c r="F606" s="87"/>
      <c r="G606" s="87"/>
      <c r="H606" s="87"/>
      <c r="I606" s="87"/>
      <c r="J606" s="87"/>
      <c r="K606" s="87"/>
      <c r="L606" s="87"/>
      <c r="M606" s="87"/>
      <c r="N606" s="87"/>
      <c r="O606" s="87"/>
      <c r="P606" s="87"/>
      <c r="Q606" s="87"/>
      <c r="R606" s="87"/>
      <c r="S606" s="87"/>
      <c r="T606" s="87"/>
      <c r="U606" s="88"/>
      <c r="V606" s="89"/>
      <c r="W606" s="96">
        <v>0</v>
      </c>
      <c r="X606" s="71">
        <f>CU606</f>
        <v>0</v>
      </c>
      <c r="Y606" s="71">
        <f>CY606</f>
        <v>0</v>
      </c>
      <c r="Z606" s="71">
        <f>DA606+DC606+DE606</f>
        <v>0</v>
      </c>
      <c r="AA606" s="71">
        <f>CW606</f>
        <v>0</v>
      </c>
      <c r="AB606" s="71"/>
      <c r="AC606" s="71">
        <v>0</v>
      </c>
      <c r="AD606" s="71">
        <f>W606+X606+Y606+Z606+AA606+AB606+AC606</f>
        <v>0</v>
      </c>
      <c r="AE606" s="72">
        <v>0</v>
      </c>
      <c r="AF606" s="5"/>
      <c r="AG606" s="6"/>
      <c r="AH606" s="27" t="s">
        <v>3392</v>
      </c>
      <c r="AI606" s="44" t="s">
        <v>3393</v>
      </c>
      <c r="AJ606" s="26"/>
      <c r="AK606" s="5"/>
      <c r="AL606" s="82" t="s">
        <v>3427</v>
      </c>
      <c r="AM606" s="76"/>
      <c r="AN606" s="76"/>
      <c r="AO606" s="76"/>
      <c r="AP606" s="76"/>
      <c r="AQ606" s="76"/>
      <c r="AR606" s="76"/>
      <c r="AS606" s="76"/>
      <c r="AT606" s="76"/>
      <c r="AU606" s="76"/>
      <c r="AV606" s="76"/>
      <c r="AW606" s="76"/>
      <c r="AX606" s="76">
        <f>+AW606*600000</f>
        <v>0</v>
      </c>
      <c r="AY606" s="76"/>
      <c r="AZ606" s="76">
        <f>+AY606*70000</f>
        <v>0</v>
      </c>
      <c r="BA606" s="76"/>
      <c r="BB606" s="76"/>
      <c r="BC606" s="76"/>
      <c r="BD606" s="76">
        <f>+BC606*30000</f>
        <v>0</v>
      </c>
      <c r="BE606" s="76"/>
      <c r="BF606" s="76"/>
      <c r="BG606" s="76"/>
      <c r="BH606" s="76"/>
      <c r="BI606" s="76"/>
      <c r="BJ606" s="76"/>
      <c r="BK606" s="76"/>
      <c r="BL606" s="76">
        <f>+BK606*31500</f>
        <v>0</v>
      </c>
      <c r="BM606" s="76"/>
      <c r="BN606" s="76"/>
      <c r="BO606" s="76"/>
      <c r="BP606" s="76"/>
      <c r="BQ606" s="76"/>
      <c r="BR606" s="76"/>
      <c r="BS606" s="76"/>
      <c r="BT606" s="76"/>
      <c r="BU606" s="76"/>
      <c r="BV606" s="76"/>
      <c r="BW606" s="76"/>
      <c r="BX606" s="76"/>
      <c r="BY606" s="76"/>
      <c r="BZ606" s="76"/>
      <c r="CA606" s="76"/>
      <c r="CB606" s="76"/>
      <c r="CC606" s="76"/>
      <c r="CD606" s="76"/>
      <c r="CE606" s="76"/>
      <c r="CF606" s="76">
        <f>+CE606*28000</f>
        <v>0</v>
      </c>
      <c r="CG606" s="76"/>
      <c r="CH606" s="76">
        <f>+CG606*22500</f>
        <v>0</v>
      </c>
      <c r="CI606" s="76"/>
      <c r="CJ606" s="76">
        <f>+CI606*26000</f>
        <v>0</v>
      </c>
      <c r="CK606" s="76"/>
      <c r="CL606" s="76"/>
      <c r="CM606" s="76"/>
      <c r="CN606" s="76">
        <f>+CM606*22000</f>
        <v>0</v>
      </c>
      <c r="CO606" s="76"/>
      <c r="CP606" s="76">
        <f>+CO606*46000</f>
        <v>0</v>
      </c>
      <c r="CQ606" s="76"/>
      <c r="CR606" s="76">
        <f>+CQ606*49000</f>
        <v>0</v>
      </c>
      <c r="CS606" s="76"/>
      <c r="CT606" s="76"/>
      <c r="CU606" s="56">
        <f>AN606+AP606+AR606+AT606+AV606+AX606+AZ606+BB606+BD606+BF606+BH606+BJ606+BL606+BN606+BP606+BR606+BT606+BV606+BX606+BZ606+CB606+CD606+CF606+CH606+CJ606+CL606+CN606+CP606+CR606+CT606</f>
        <v>0</v>
      </c>
      <c r="CV606" s="76"/>
      <c r="CW606" s="76">
        <f>+CV606*1100</f>
        <v>0</v>
      </c>
      <c r="CX606" s="76"/>
      <c r="CY606" s="76">
        <f>+CX606*106250</f>
        <v>0</v>
      </c>
      <c r="CZ606" s="76"/>
      <c r="DA606" s="76">
        <f>+CZ606*34500</f>
        <v>0</v>
      </c>
      <c r="DB606" s="76"/>
      <c r="DC606" s="76">
        <f>+DB606*25000</f>
        <v>0</v>
      </c>
      <c r="DD606" s="219"/>
      <c r="DE606" s="219"/>
      <c r="DF606" s="166"/>
      <c r="DG606" s="116"/>
      <c r="DH606" s="117"/>
      <c r="DI606" s="24"/>
      <c r="DJ606" s="24"/>
      <c r="DK606" s="24"/>
      <c r="DL606" s="24"/>
      <c r="DM606" s="24"/>
      <c r="DN606" s="24"/>
      <c r="DO606" s="24"/>
      <c r="DP606" s="24"/>
      <c r="DQ606" s="24"/>
      <c r="DR606" s="24"/>
      <c r="DS606" s="24"/>
      <c r="DT606" s="24"/>
      <c r="DU606" s="24"/>
    </row>
    <row r="607" spans="1:125" s="8" customFormat="1" ht="96" x14ac:dyDescent="0.2">
      <c r="A607" s="77">
        <v>41313</v>
      </c>
      <c r="B607" s="352" t="s">
        <v>2894</v>
      </c>
      <c r="C607" s="354" t="s">
        <v>2412</v>
      </c>
      <c r="D607" s="81" t="s">
        <v>2846</v>
      </c>
      <c r="E607" s="75" t="str">
        <f>VLOOKUP(B607&amp;C607,Divipola!$C$2:$F$1138,4,FALSE)</f>
        <v>05154</v>
      </c>
      <c r="F607" s="100"/>
      <c r="G607" s="100"/>
      <c r="H607" s="100"/>
      <c r="I607" s="100"/>
      <c r="J607" s="100"/>
      <c r="K607" s="100"/>
      <c r="L607" s="100"/>
      <c r="M607" s="100"/>
      <c r="N607" s="100"/>
      <c r="O607" s="100"/>
      <c r="P607" s="100"/>
      <c r="Q607" s="100"/>
      <c r="R607" s="100"/>
      <c r="S607" s="100"/>
      <c r="T607" s="100"/>
      <c r="U607" s="136"/>
      <c r="V607" s="89"/>
      <c r="W607" s="96">
        <v>0</v>
      </c>
      <c r="X607" s="71">
        <f>CU607</f>
        <v>0</v>
      </c>
      <c r="Y607" s="71">
        <f>CY607</f>
        <v>0</v>
      </c>
      <c r="Z607" s="71">
        <f>DA607+DC607+DE607</f>
        <v>0</v>
      </c>
      <c r="AA607" s="71">
        <f>CW607</f>
        <v>0</v>
      </c>
      <c r="AB607" s="71"/>
      <c r="AC607" s="71">
        <v>0</v>
      </c>
      <c r="AD607" s="71">
        <f>W607+X607+Y607+Z607+AA607+AB607+AC607</f>
        <v>0</v>
      </c>
      <c r="AE607" s="72">
        <v>0</v>
      </c>
      <c r="AF607" s="5"/>
      <c r="AG607" s="6"/>
      <c r="AH607" s="27" t="s">
        <v>3392</v>
      </c>
      <c r="AI607" s="44" t="s">
        <v>3393</v>
      </c>
      <c r="AJ607" s="26"/>
      <c r="AK607" s="5"/>
      <c r="AL607" s="82" t="s">
        <v>3451</v>
      </c>
      <c r="AM607" s="76"/>
      <c r="AN607" s="76"/>
      <c r="AO607" s="76"/>
      <c r="AP607" s="76"/>
      <c r="AQ607" s="76"/>
      <c r="AR607" s="76"/>
      <c r="AS607" s="76"/>
      <c r="AT607" s="76"/>
      <c r="AU607" s="76"/>
      <c r="AV607" s="76"/>
      <c r="AW607" s="76"/>
      <c r="AX607" s="76">
        <f>+AW607*600000</f>
        <v>0</v>
      </c>
      <c r="AY607" s="76"/>
      <c r="AZ607" s="76">
        <f>+AY607*70000</f>
        <v>0</v>
      </c>
      <c r="BA607" s="76"/>
      <c r="BB607" s="76"/>
      <c r="BC607" s="76"/>
      <c r="BD607" s="76">
        <f>+BC607*30000</f>
        <v>0</v>
      </c>
      <c r="BE607" s="76"/>
      <c r="BF607" s="76"/>
      <c r="BG607" s="76"/>
      <c r="BH607" s="76"/>
      <c r="BI607" s="76"/>
      <c r="BJ607" s="76"/>
      <c r="BK607" s="76"/>
      <c r="BL607" s="76">
        <f>+BK607*31500</f>
        <v>0</v>
      </c>
      <c r="BM607" s="76"/>
      <c r="BN607" s="76"/>
      <c r="BO607" s="76"/>
      <c r="BP607" s="76"/>
      <c r="BQ607" s="76"/>
      <c r="BR607" s="76"/>
      <c r="BS607" s="76"/>
      <c r="BT607" s="76"/>
      <c r="BU607" s="76"/>
      <c r="BV607" s="76"/>
      <c r="BW607" s="76"/>
      <c r="BX607" s="76"/>
      <c r="BY607" s="76"/>
      <c r="BZ607" s="76"/>
      <c r="CA607" s="76"/>
      <c r="CB607" s="76"/>
      <c r="CC607" s="76"/>
      <c r="CD607" s="76"/>
      <c r="CE607" s="76"/>
      <c r="CF607" s="76">
        <f>+CE607*28000</f>
        <v>0</v>
      </c>
      <c r="CG607" s="76"/>
      <c r="CH607" s="76">
        <f>+CG607*22500</f>
        <v>0</v>
      </c>
      <c r="CI607" s="76"/>
      <c r="CJ607" s="76">
        <f>+CI607*26000</f>
        <v>0</v>
      </c>
      <c r="CK607" s="76"/>
      <c r="CL607" s="76"/>
      <c r="CM607" s="76"/>
      <c r="CN607" s="76">
        <f>+CM607*22000</f>
        <v>0</v>
      </c>
      <c r="CO607" s="76"/>
      <c r="CP607" s="76">
        <f>+CO607*46000</f>
        <v>0</v>
      </c>
      <c r="CQ607" s="76"/>
      <c r="CR607" s="76">
        <f>+CQ607*49000</f>
        <v>0</v>
      </c>
      <c r="CS607" s="76"/>
      <c r="CT607" s="76"/>
      <c r="CU607" s="56">
        <f>AN607+AP607+AR607+AT607+AV607+AX607+AZ607+BB607+BD607+BF607+BH607+BJ607+BL607+BN607+BP607+BR607+BT607+BV607+BX607+BZ607+CB607+CD607+CF607+CH607+CJ607+CL607+CN607+CP607+CR607+CT607</f>
        <v>0</v>
      </c>
      <c r="CV607" s="76"/>
      <c r="CW607" s="76">
        <f>+CV607*1100</f>
        <v>0</v>
      </c>
      <c r="CX607" s="76"/>
      <c r="CY607" s="76">
        <f>+CX607*106250</f>
        <v>0</v>
      </c>
      <c r="CZ607" s="76"/>
      <c r="DA607" s="76">
        <f>+CZ607*34500</f>
        <v>0</v>
      </c>
      <c r="DB607" s="76"/>
      <c r="DC607" s="76">
        <f>+DB607*25000</f>
        <v>0</v>
      </c>
      <c r="DD607" s="219"/>
      <c r="DE607" s="219"/>
      <c r="DF607" s="166"/>
      <c r="DG607" s="116"/>
      <c r="DH607" s="117"/>
      <c r="DI607" s="24"/>
      <c r="DJ607" s="24"/>
      <c r="DK607" s="24"/>
      <c r="DL607" s="24"/>
      <c r="DM607" s="24"/>
      <c r="DN607" s="24"/>
      <c r="DO607" s="24"/>
      <c r="DP607" s="24"/>
      <c r="DQ607" s="24"/>
      <c r="DR607" s="24"/>
      <c r="DS607" s="24"/>
      <c r="DT607" s="24"/>
      <c r="DU607" s="24"/>
    </row>
    <row r="608" spans="1:125" s="8" customFormat="1" ht="36" x14ac:dyDescent="0.2">
      <c r="A608" s="77">
        <v>41313</v>
      </c>
      <c r="B608" s="78" t="s">
        <v>2881</v>
      </c>
      <c r="C608" s="75" t="s">
        <v>2756</v>
      </c>
      <c r="D608" s="75" t="s">
        <v>2882</v>
      </c>
      <c r="E608" s="75" t="str">
        <f>VLOOKUP(B608&amp;C608,Divipola!$C$2:$F$1138,4,FALSE)</f>
        <v>08137</v>
      </c>
      <c r="F608" s="87"/>
      <c r="G608" s="87"/>
      <c r="H608" s="87"/>
      <c r="I608" s="87">
        <v>15</v>
      </c>
      <c r="J608" s="87">
        <v>3</v>
      </c>
      <c r="K608" s="87"/>
      <c r="L608" s="87">
        <v>3</v>
      </c>
      <c r="M608" s="87"/>
      <c r="N608" s="87"/>
      <c r="O608" s="87"/>
      <c r="P608" s="87"/>
      <c r="Q608" s="87"/>
      <c r="R608" s="87"/>
      <c r="S608" s="87"/>
      <c r="T608" s="87"/>
      <c r="U608" s="88"/>
      <c r="V608" s="89"/>
      <c r="W608" s="96">
        <v>0</v>
      </c>
      <c r="X608" s="71">
        <f>CU608</f>
        <v>0</v>
      </c>
      <c r="Y608" s="71">
        <f>CY608</f>
        <v>0</v>
      </c>
      <c r="Z608" s="71">
        <f>DA608+DC608+DE608</f>
        <v>0</v>
      </c>
      <c r="AA608" s="71">
        <f>CW608</f>
        <v>0</v>
      </c>
      <c r="AB608" s="71"/>
      <c r="AC608" s="71">
        <v>0</v>
      </c>
      <c r="AD608" s="71">
        <f>W608+X608+Y608+Z608+AA608+AB608+AC608</f>
        <v>0</v>
      </c>
      <c r="AE608" s="72">
        <v>0</v>
      </c>
      <c r="AF608" s="5"/>
      <c r="AG608" s="6"/>
      <c r="AH608" s="27" t="s">
        <v>3392</v>
      </c>
      <c r="AI608" s="44" t="s">
        <v>3393</v>
      </c>
      <c r="AJ608" s="26"/>
      <c r="AK608" s="5"/>
      <c r="AL608" s="82" t="s">
        <v>3443</v>
      </c>
      <c r="AM608" s="76"/>
      <c r="AN608" s="76"/>
      <c r="AO608" s="76"/>
      <c r="AP608" s="76"/>
      <c r="AQ608" s="76"/>
      <c r="AR608" s="76"/>
      <c r="AS608" s="76"/>
      <c r="AT608" s="76"/>
      <c r="AU608" s="76"/>
      <c r="AV608" s="76"/>
      <c r="AW608" s="76"/>
      <c r="AX608" s="76">
        <f>+AW608*600000</f>
        <v>0</v>
      </c>
      <c r="AY608" s="76"/>
      <c r="AZ608" s="76">
        <f>+AY608*70000</f>
        <v>0</v>
      </c>
      <c r="BA608" s="76"/>
      <c r="BB608" s="76"/>
      <c r="BC608" s="76"/>
      <c r="BD608" s="76">
        <f>+BC608*30000</f>
        <v>0</v>
      </c>
      <c r="BE608" s="76"/>
      <c r="BF608" s="76"/>
      <c r="BG608" s="76"/>
      <c r="BH608" s="76"/>
      <c r="BI608" s="76"/>
      <c r="BJ608" s="76"/>
      <c r="BK608" s="76"/>
      <c r="BL608" s="76">
        <f>+BK608*31500</f>
        <v>0</v>
      </c>
      <c r="BM608" s="76"/>
      <c r="BN608" s="76"/>
      <c r="BO608" s="76"/>
      <c r="BP608" s="76"/>
      <c r="BQ608" s="76"/>
      <c r="BR608" s="76"/>
      <c r="BS608" s="76"/>
      <c r="BT608" s="76"/>
      <c r="BU608" s="76"/>
      <c r="BV608" s="76"/>
      <c r="BW608" s="76"/>
      <c r="BX608" s="76"/>
      <c r="BY608" s="76"/>
      <c r="BZ608" s="76"/>
      <c r="CA608" s="76"/>
      <c r="CB608" s="76"/>
      <c r="CC608" s="76"/>
      <c r="CD608" s="76"/>
      <c r="CE608" s="76"/>
      <c r="CF608" s="76">
        <f>+CE608*28000</f>
        <v>0</v>
      </c>
      <c r="CG608" s="76"/>
      <c r="CH608" s="76">
        <f>+CG608*22500</f>
        <v>0</v>
      </c>
      <c r="CI608" s="76"/>
      <c r="CJ608" s="76">
        <f>+CI608*26000</f>
        <v>0</v>
      </c>
      <c r="CK608" s="76"/>
      <c r="CL608" s="76"/>
      <c r="CM608" s="76"/>
      <c r="CN608" s="76">
        <f>+CM608*22000</f>
        <v>0</v>
      </c>
      <c r="CO608" s="76"/>
      <c r="CP608" s="76">
        <f>+CO608*46000</f>
        <v>0</v>
      </c>
      <c r="CQ608" s="76"/>
      <c r="CR608" s="76">
        <f>+CQ608*49000</f>
        <v>0</v>
      </c>
      <c r="CS608" s="76"/>
      <c r="CT608" s="76"/>
      <c r="CU608" s="56">
        <f>AN608+AP608+AR608+AT608+AV608+AX608+AZ608+BB608+BD608+BF608+BH608+BJ608+BL608+BN608+BP608+BR608+BT608+BV608+BX608+BZ608+CB608+CD608+CF608+CH608+CJ608+CL608+CN608+CP608+CR608+CT608</f>
        <v>0</v>
      </c>
      <c r="CV608" s="76"/>
      <c r="CW608" s="76">
        <f>+CV608*1100</f>
        <v>0</v>
      </c>
      <c r="CX608" s="76"/>
      <c r="CY608" s="76">
        <f>+CX608*106250</f>
        <v>0</v>
      </c>
      <c r="CZ608" s="76"/>
      <c r="DA608" s="76">
        <f>+CZ608*34500</f>
        <v>0</v>
      </c>
      <c r="DB608" s="76"/>
      <c r="DC608" s="76">
        <f>+DB608*25000</f>
        <v>0</v>
      </c>
      <c r="DD608" s="219"/>
      <c r="DE608" s="219"/>
      <c r="DF608" s="166"/>
      <c r="DG608" s="116"/>
      <c r="DH608" s="117"/>
      <c r="DI608" s="24"/>
      <c r="DJ608" s="24"/>
      <c r="DK608" s="24"/>
      <c r="DL608" s="24"/>
      <c r="DM608" s="24"/>
      <c r="DN608" s="24"/>
      <c r="DO608" s="24"/>
      <c r="DP608" s="24"/>
      <c r="DQ608" s="24"/>
      <c r="DR608" s="24"/>
      <c r="DS608" s="24"/>
      <c r="DT608" s="24"/>
      <c r="DU608" s="24"/>
    </row>
    <row r="609" spans="1:125" s="8" customFormat="1" ht="72" x14ac:dyDescent="0.2">
      <c r="A609" s="77">
        <v>41313</v>
      </c>
      <c r="B609" s="225" t="s">
        <v>2881</v>
      </c>
      <c r="C609" s="354" t="s">
        <v>1453</v>
      </c>
      <c r="D609" s="227" t="s">
        <v>2859</v>
      </c>
      <c r="E609" s="75" t="str">
        <f>VLOOKUP(B609&amp;C609,Divipola!$C$2:$F$1138,4,FALSE)</f>
        <v>08849</v>
      </c>
      <c r="F609" s="87"/>
      <c r="G609" s="87"/>
      <c r="H609" s="87"/>
      <c r="I609" s="87">
        <v>15</v>
      </c>
      <c r="J609" s="87">
        <v>3</v>
      </c>
      <c r="K609" s="87">
        <v>3</v>
      </c>
      <c r="L609" s="87"/>
      <c r="M609" s="87"/>
      <c r="N609" s="87"/>
      <c r="O609" s="87"/>
      <c r="P609" s="87"/>
      <c r="Q609" s="87"/>
      <c r="R609" s="87"/>
      <c r="S609" s="87"/>
      <c r="T609" s="87"/>
      <c r="U609" s="88"/>
      <c r="V609" s="89"/>
      <c r="W609" s="96">
        <v>0</v>
      </c>
      <c r="X609" s="71">
        <f>CU609</f>
        <v>0</v>
      </c>
      <c r="Y609" s="71">
        <f>CY609</f>
        <v>0</v>
      </c>
      <c r="Z609" s="71">
        <f>DA609+DC609+DE609</f>
        <v>0</v>
      </c>
      <c r="AA609" s="71">
        <f>CW609</f>
        <v>0</v>
      </c>
      <c r="AB609" s="71"/>
      <c r="AC609" s="71">
        <v>0</v>
      </c>
      <c r="AD609" s="71">
        <f>W609+X609+Y609+Z609+AA609+AB609+AC609</f>
        <v>0</v>
      </c>
      <c r="AE609" s="72">
        <v>0</v>
      </c>
      <c r="AF609" s="5"/>
      <c r="AG609" s="6"/>
      <c r="AH609" s="27" t="s">
        <v>3392</v>
      </c>
      <c r="AI609" s="44" t="s">
        <v>3393</v>
      </c>
      <c r="AJ609" s="26"/>
      <c r="AK609" s="5"/>
      <c r="AL609" s="82" t="s">
        <v>3444</v>
      </c>
      <c r="AM609" s="76"/>
      <c r="AN609" s="76"/>
      <c r="AO609" s="76"/>
      <c r="AP609" s="76"/>
      <c r="AQ609" s="76"/>
      <c r="AR609" s="76"/>
      <c r="AS609" s="76"/>
      <c r="AT609" s="76"/>
      <c r="AU609" s="76"/>
      <c r="AV609" s="76"/>
      <c r="AW609" s="76"/>
      <c r="AX609" s="76">
        <f>+AW609*600000</f>
        <v>0</v>
      </c>
      <c r="AY609" s="76"/>
      <c r="AZ609" s="76">
        <f>+AY609*70000</f>
        <v>0</v>
      </c>
      <c r="BA609" s="76"/>
      <c r="BB609" s="76"/>
      <c r="BC609" s="76"/>
      <c r="BD609" s="76">
        <f>+BC609*30000</f>
        <v>0</v>
      </c>
      <c r="BE609" s="76"/>
      <c r="BF609" s="76"/>
      <c r="BG609" s="76"/>
      <c r="BH609" s="76"/>
      <c r="BI609" s="76"/>
      <c r="BJ609" s="76"/>
      <c r="BK609" s="76"/>
      <c r="BL609" s="76">
        <f>+BK609*31500</f>
        <v>0</v>
      </c>
      <c r="BM609" s="76"/>
      <c r="BN609" s="76"/>
      <c r="BO609" s="76"/>
      <c r="BP609" s="76"/>
      <c r="BQ609" s="76"/>
      <c r="BR609" s="76"/>
      <c r="BS609" s="76"/>
      <c r="BT609" s="76"/>
      <c r="BU609" s="76"/>
      <c r="BV609" s="76"/>
      <c r="BW609" s="76"/>
      <c r="BX609" s="76"/>
      <c r="BY609" s="76"/>
      <c r="BZ609" s="76"/>
      <c r="CA609" s="76"/>
      <c r="CB609" s="76"/>
      <c r="CC609" s="76"/>
      <c r="CD609" s="76"/>
      <c r="CE609" s="76"/>
      <c r="CF609" s="76">
        <f>+CE609*28000</f>
        <v>0</v>
      </c>
      <c r="CG609" s="76"/>
      <c r="CH609" s="76">
        <f>+CG609*22500</f>
        <v>0</v>
      </c>
      <c r="CI609" s="76"/>
      <c r="CJ609" s="76">
        <f>+CI609*26000</f>
        <v>0</v>
      </c>
      <c r="CK609" s="76"/>
      <c r="CL609" s="76"/>
      <c r="CM609" s="76"/>
      <c r="CN609" s="76">
        <f>+CM609*22000</f>
        <v>0</v>
      </c>
      <c r="CO609" s="76"/>
      <c r="CP609" s="76">
        <f>+CO609*46000</f>
        <v>0</v>
      </c>
      <c r="CQ609" s="76"/>
      <c r="CR609" s="76">
        <f>+CQ609*49000</f>
        <v>0</v>
      </c>
      <c r="CS609" s="76"/>
      <c r="CT609" s="76"/>
      <c r="CU609" s="56">
        <f>AN609+AP609+AR609+AT609+AV609+AX609+AZ609+BB609+BD609+BF609+BH609+BJ609+BL609+BN609+BP609+BR609+BT609+BV609+BX609+BZ609+CB609+CD609+CF609+CH609+CJ609+CL609+CN609+CP609+CR609+CT609</f>
        <v>0</v>
      </c>
      <c r="CV609" s="76"/>
      <c r="CW609" s="76">
        <f>+CV609*1100</f>
        <v>0</v>
      </c>
      <c r="CX609" s="76"/>
      <c r="CY609" s="76">
        <f>+CX609*106250</f>
        <v>0</v>
      </c>
      <c r="CZ609" s="76"/>
      <c r="DA609" s="76">
        <f>+CZ609*34500</f>
        <v>0</v>
      </c>
      <c r="DB609" s="76"/>
      <c r="DC609" s="76">
        <f>+DB609*25000</f>
        <v>0</v>
      </c>
      <c r="DD609" s="219"/>
      <c r="DE609" s="219"/>
      <c r="DF609" s="166"/>
      <c r="DG609" s="116"/>
      <c r="DH609" s="117"/>
      <c r="DI609" s="24"/>
      <c r="DJ609" s="24"/>
      <c r="DK609" s="24"/>
      <c r="DL609" s="24"/>
      <c r="DM609" s="24"/>
      <c r="DN609" s="24"/>
      <c r="DO609" s="24"/>
      <c r="DP609" s="24"/>
      <c r="DQ609" s="24"/>
      <c r="DR609" s="24"/>
      <c r="DS609" s="24"/>
      <c r="DT609" s="24"/>
      <c r="DU609" s="24"/>
    </row>
    <row r="610" spans="1:125" s="8" customFormat="1" ht="48" x14ac:dyDescent="0.2">
      <c r="A610" s="77">
        <v>41313</v>
      </c>
      <c r="B610" s="225" t="s">
        <v>529</v>
      </c>
      <c r="C610" s="227" t="s">
        <v>529</v>
      </c>
      <c r="D610" s="75" t="s">
        <v>3051</v>
      </c>
      <c r="E610" s="75" t="str">
        <f>VLOOKUP(B610&amp;C610,Divipola!$C$2:$F$1138,4,FALSE)</f>
        <v>11001</v>
      </c>
      <c r="F610" s="87"/>
      <c r="G610" s="87"/>
      <c r="H610" s="87"/>
      <c r="I610" s="87">
        <v>16</v>
      </c>
      <c r="J610" s="87">
        <v>4</v>
      </c>
      <c r="K610" s="87"/>
      <c r="L610" s="87">
        <v>4</v>
      </c>
      <c r="M610" s="87"/>
      <c r="N610" s="87"/>
      <c r="O610" s="87"/>
      <c r="P610" s="87"/>
      <c r="Q610" s="87"/>
      <c r="R610" s="87"/>
      <c r="S610" s="87"/>
      <c r="T610" s="87"/>
      <c r="U610" s="88"/>
      <c r="V610" s="89"/>
      <c r="W610" s="96">
        <v>0</v>
      </c>
      <c r="X610" s="71">
        <f>CU610</f>
        <v>0</v>
      </c>
      <c r="Y610" s="71">
        <f>CY610</f>
        <v>0</v>
      </c>
      <c r="Z610" s="71">
        <f>DA610+DC610+DE610</f>
        <v>0</v>
      </c>
      <c r="AA610" s="71">
        <f>CW610</f>
        <v>0</v>
      </c>
      <c r="AB610" s="71"/>
      <c r="AC610" s="71">
        <v>0</v>
      </c>
      <c r="AD610" s="71">
        <f>W610+X610+Y610+Z610+AA610+AB610+AC610</f>
        <v>0</v>
      </c>
      <c r="AE610" s="72">
        <v>0</v>
      </c>
      <c r="AF610" s="5"/>
      <c r="AG610" s="6"/>
      <c r="AH610" s="27" t="s">
        <v>3392</v>
      </c>
      <c r="AI610" s="44" t="s">
        <v>3393</v>
      </c>
      <c r="AJ610" s="26"/>
      <c r="AK610" s="5"/>
      <c r="AL610" s="82" t="s">
        <v>3450</v>
      </c>
      <c r="AM610" s="76"/>
      <c r="AN610" s="76"/>
      <c r="AO610" s="76"/>
      <c r="AP610" s="76"/>
      <c r="AQ610" s="76"/>
      <c r="AR610" s="76"/>
      <c r="AS610" s="76"/>
      <c r="AT610" s="76"/>
      <c r="AU610" s="76"/>
      <c r="AV610" s="76"/>
      <c r="AW610" s="76"/>
      <c r="AX610" s="76">
        <f>+AW610*600000</f>
        <v>0</v>
      </c>
      <c r="AY610" s="76"/>
      <c r="AZ610" s="76">
        <f>+AY610*70000</f>
        <v>0</v>
      </c>
      <c r="BA610" s="76"/>
      <c r="BB610" s="76"/>
      <c r="BC610" s="76"/>
      <c r="BD610" s="76">
        <f>+BC610*30000</f>
        <v>0</v>
      </c>
      <c r="BE610" s="76"/>
      <c r="BF610" s="76"/>
      <c r="BG610" s="76"/>
      <c r="BH610" s="76"/>
      <c r="BI610" s="76"/>
      <c r="BJ610" s="76"/>
      <c r="BK610" s="76"/>
      <c r="BL610" s="76">
        <f>+BK610*31500</f>
        <v>0</v>
      </c>
      <c r="BM610" s="76"/>
      <c r="BN610" s="76"/>
      <c r="BO610" s="76"/>
      <c r="BP610" s="76"/>
      <c r="BQ610" s="76"/>
      <c r="BR610" s="76"/>
      <c r="BS610" s="76"/>
      <c r="BT610" s="76"/>
      <c r="BU610" s="76"/>
      <c r="BV610" s="76"/>
      <c r="BW610" s="76"/>
      <c r="BX610" s="76"/>
      <c r="BY610" s="76"/>
      <c r="BZ610" s="76"/>
      <c r="CA610" s="76"/>
      <c r="CB610" s="76"/>
      <c r="CC610" s="76"/>
      <c r="CD610" s="76"/>
      <c r="CE610" s="76"/>
      <c r="CF610" s="76">
        <f>+CE610*28000</f>
        <v>0</v>
      </c>
      <c r="CG610" s="76"/>
      <c r="CH610" s="76">
        <f>+CG610*22500</f>
        <v>0</v>
      </c>
      <c r="CI610" s="76"/>
      <c r="CJ610" s="76">
        <f>+CI610*26000</f>
        <v>0</v>
      </c>
      <c r="CK610" s="76"/>
      <c r="CL610" s="76"/>
      <c r="CM610" s="76"/>
      <c r="CN610" s="76">
        <f>+CM610*22000</f>
        <v>0</v>
      </c>
      <c r="CO610" s="76"/>
      <c r="CP610" s="76">
        <f>+CO610*46000</f>
        <v>0</v>
      </c>
      <c r="CQ610" s="76"/>
      <c r="CR610" s="76">
        <f>+CQ610*49000</f>
        <v>0</v>
      </c>
      <c r="CS610" s="76"/>
      <c r="CT610" s="76"/>
      <c r="CU610" s="56">
        <f>AN610+AP610+AR610+AT610+AV610+AX610+AZ610+BB610+BD610+BF610+BH610+BJ610+BL610+BN610+BP610+BR610+BT610+BV610+BX610+BZ610+CB610+CD610+CF610+CH610+CJ610+CL610+CN610+CP610+CR610+CT610</f>
        <v>0</v>
      </c>
      <c r="CV610" s="76"/>
      <c r="CW610" s="76">
        <f>+CV610*1100</f>
        <v>0</v>
      </c>
      <c r="CX610" s="76"/>
      <c r="CY610" s="76">
        <f>+CX610*106250</f>
        <v>0</v>
      </c>
      <c r="CZ610" s="76"/>
      <c r="DA610" s="76">
        <f>+CZ610*34500</f>
        <v>0</v>
      </c>
      <c r="DB610" s="76"/>
      <c r="DC610" s="76">
        <f>+DB610*25000</f>
        <v>0</v>
      </c>
      <c r="DD610" s="219"/>
      <c r="DE610" s="219"/>
      <c r="DF610" s="166"/>
      <c r="DG610" s="116"/>
      <c r="DH610" s="117"/>
      <c r="DI610" s="24"/>
      <c r="DJ610" s="24"/>
      <c r="DK610" s="24"/>
      <c r="DL610" s="24"/>
      <c r="DM610" s="24"/>
      <c r="DN610" s="24"/>
      <c r="DO610" s="24"/>
      <c r="DP610" s="24"/>
      <c r="DQ610" s="24"/>
      <c r="DR610" s="24"/>
      <c r="DS610" s="24"/>
      <c r="DT610" s="24"/>
      <c r="DU610" s="24"/>
    </row>
    <row r="611" spans="1:125" s="8" customFormat="1" ht="24" x14ac:dyDescent="0.2">
      <c r="A611" s="77">
        <v>41313</v>
      </c>
      <c r="B611" s="208" t="s">
        <v>2196</v>
      </c>
      <c r="C611" s="227" t="s">
        <v>2773</v>
      </c>
      <c r="D611" s="227" t="s">
        <v>2882</v>
      </c>
      <c r="E611" s="75">
        <f>VLOOKUP(B611&amp;C611,Divipola!$C$2:$F$1138,4,FALSE)</f>
        <v>17</v>
      </c>
      <c r="F611" s="163"/>
      <c r="G611" s="163"/>
      <c r="H611" s="163"/>
      <c r="I611" s="163"/>
      <c r="J611" s="163"/>
      <c r="K611" s="163"/>
      <c r="L611" s="163"/>
      <c r="M611" s="163"/>
      <c r="N611" s="163"/>
      <c r="O611" s="163"/>
      <c r="P611" s="163"/>
      <c r="Q611" s="163"/>
      <c r="R611" s="163"/>
      <c r="S611" s="163"/>
      <c r="T611" s="163"/>
      <c r="U611" s="163"/>
      <c r="V611" s="134"/>
      <c r="W611" s="96">
        <v>0</v>
      </c>
      <c r="X611" s="71">
        <f>CU611</f>
        <v>14349803.199999999</v>
      </c>
      <c r="Y611" s="71">
        <f>CY611</f>
        <v>0</v>
      </c>
      <c r="Z611" s="71">
        <f>DA611+DC611+DE611</f>
        <v>73785913.359999999</v>
      </c>
      <c r="AA611" s="71">
        <f>CW611</f>
        <v>0</v>
      </c>
      <c r="AB611" s="71"/>
      <c r="AC611" s="71">
        <v>0</v>
      </c>
      <c r="AD611" s="71">
        <f>W611+X611+Y611+Z611+AA611+AB611+AC611</f>
        <v>88135716.560000002</v>
      </c>
      <c r="AE611" s="72">
        <v>0</v>
      </c>
      <c r="AF611" s="5"/>
      <c r="AG611" s="6"/>
      <c r="AH611" s="27" t="s">
        <v>3390</v>
      </c>
      <c r="AI611" s="44" t="s">
        <v>3391</v>
      </c>
      <c r="AJ611" s="26"/>
      <c r="AK611" s="5"/>
      <c r="AL611" s="82" t="s">
        <v>3482</v>
      </c>
      <c r="AM611" s="76"/>
      <c r="AN611" s="76"/>
      <c r="AO611" s="76"/>
      <c r="AP611" s="76"/>
      <c r="AQ611" s="76"/>
      <c r="AR611" s="76"/>
      <c r="AS611" s="76"/>
      <c r="AT611" s="76"/>
      <c r="AU611" s="76"/>
      <c r="AV611" s="76"/>
      <c r="AW611" s="76"/>
      <c r="AX611" s="76">
        <f>+AW611*600000</f>
        <v>0</v>
      </c>
      <c r="AY611" s="86">
        <v>205</v>
      </c>
      <c r="AZ611" s="86">
        <f>+AY611*69999.04</f>
        <v>14349803.199999999</v>
      </c>
      <c r="BA611" s="76"/>
      <c r="BB611" s="76"/>
      <c r="BC611" s="76"/>
      <c r="BD611" s="76">
        <f>+BC611*30000</f>
        <v>0</v>
      </c>
      <c r="BE611" s="76"/>
      <c r="BF611" s="76"/>
      <c r="BG611" s="76"/>
      <c r="BH611" s="76"/>
      <c r="BI611" s="76"/>
      <c r="BJ611" s="76"/>
      <c r="BK611" s="76"/>
      <c r="BL611" s="76">
        <f>+BK611*31500</f>
        <v>0</v>
      </c>
      <c r="BM611" s="76"/>
      <c r="BN611" s="76"/>
      <c r="BO611" s="76"/>
      <c r="BP611" s="76"/>
      <c r="BQ611" s="76"/>
      <c r="BR611" s="76"/>
      <c r="BS611" s="76"/>
      <c r="BT611" s="76"/>
      <c r="BU611" s="76"/>
      <c r="BV611" s="76"/>
      <c r="BW611" s="76"/>
      <c r="BX611" s="76"/>
      <c r="BY611" s="76"/>
      <c r="BZ611" s="76"/>
      <c r="CA611" s="76"/>
      <c r="CB611" s="76"/>
      <c r="CC611" s="76"/>
      <c r="CD611" s="76"/>
      <c r="CE611" s="76"/>
      <c r="CF611" s="76">
        <f>+CE611*28000</f>
        <v>0</v>
      </c>
      <c r="CG611" s="76"/>
      <c r="CH611" s="76">
        <f>+CG611*22500</f>
        <v>0</v>
      </c>
      <c r="CI611" s="76"/>
      <c r="CJ611" s="76">
        <f>+CI611*26000</f>
        <v>0</v>
      </c>
      <c r="CK611" s="76"/>
      <c r="CL611" s="76"/>
      <c r="CM611" s="76"/>
      <c r="CN611" s="76">
        <f>+CM611*22000</f>
        <v>0</v>
      </c>
      <c r="CO611" s="76"/>
      <c r="CP611" s="76">
        <f>+CO611*46000</f>
        <v>0</v>
      </c>
      <c r="CQ611" s="76"/>
      <c r="CR611" s="76">
        <f>+CQ611*49000</f>
        <v>0</v>
      </c>
      <c r="CS611" s="76"/>
      <c r="CT611" s="76"/>
      <c r="CU611" s="56">
        <f>AN611+AP611+AR611+AT611+AV611+AX611+AZ611+BB611+BD611+BF611+BH611+BJ611+BL611+BN611+BP611+BR611+BT611+BV611+BX611+BZ611+CB611+CD611+CF611+CH611+CJ611+CL611+CN611+CP611+CR611+CT611</f>
        <v>14349803.199999999</v>
      </c>
      <c r="CV611" s="76"/>
      <c r="CW611" s="76">
        <f>+CV611*1100</f>
        <v>0</v>
      </c>
      <c r="CX611" s="76"/>
      <c r="CY611" s="76">
        <f>+CX611*106250</f>
        <v>0</v>
      </c>
      <c r="CZ611" s="76"/>
      <c r="DA611" s="76">
        <f>+CZ611*34500</f>
        <v>0</v>
      </c>
      <c r="DB611" s="86">
        <f>812+1374</f>
        <v>2186</v>
      </c>
      <c r="DC611" s="86">
        <f>812*31999.76+4872*199.52+930*30999.84+231*30999.84+213*39799.6+11838*199.52</f>
        <v>73785913.359999999</v>
      </c>
      <c r="DD611" s="219"/>
      <c r="DE611" s="219"/>
      <c r="DF611" s="166"/>
      <c r="DG611" s="116"/>
      <c r="DH611" s="117"/>
      <c r="DI611" s="24"/>
      <c r="DJ611" s="24"/>
      <c r="DK611" s="24"/>
      <c r="DL611" s="24"/>
      <c r="DM611" s="24"/>
      <c r="DN611" s="24"/>
      <c r="DO611" s="24"/>
      <c r="DP611" s="24"/>
      <c r="DQ611" s="24"/>
      <c r="DR611" s="24"/>
      <c r="DS611" s="24"/>
      <c r="DT611" s="24"/>
      <c r="DU611" s="24"/>
    </row>
    <row r="612" spans="1:125" s="8" customFormat="1" ht="48" x14ac:dyDescent="0.2">
      <c r="A612" s="77">
        <v>41313</v>
      </c>
      <c r="B612" s="78" t="s">
        <v>2778</v>
      </c>
      <c r="C612" s="75" t="s">
        <v>1343</v>
      </c>
      <c r="D612" s="81" t="s">
        <v>2846</v>
      </c>
      <c r="E612" s="75" t="str">
        <f>VLOOKUP(B612&amp;C612,Divipola!$C$2:$F$1138,4,FALSE)</f>
        <v>85139</v>
      </c>
      <c r="F612" s="87"/>
      <c r="G612" s="87"/>
      <c r="H612" s="87"/>
      <c r="I612" s="87"/>
      <c r="J612" s="87"/>
      <c r="K612" s="87"/>
      <c r="L612" s="87"/>
      <c r="M612" s="87"/>
      <c r="N612" s="87"/>
      <c r="O612" s="87"/>
      <c r="P612" s="87"/>
      <c r="Q612" s="87"/>
      <c r="R612" s="87"/>
      <c r="S612" s="87"/>
      <c r="T612" s="87"/>
      <c r="U612" s="88">
        <v>200</v>
      </c>
      <c r="V612" s="89"/>
      <c r="W612" s="96">
        <v>0</v>
      </c>
      <c r="X612" s="71">
        <f>CU612</f>
        <v>0</v>
      </c>
      <c r="Y612" s="71">
        <f>CY612</f>
        <v>0</v>
      </c>
      <c r="Z612" s="71">
        <f>DA612+DC612+DE612</f>
        <v>0</v>
      </c>
      <c r="AA612" s="71">
        <f>CW612</f>
        <v>0</v>
      </c>
      <c r="AB612" s="71"/>
      <c r="AC612" s="71">
        <v>0</v>
      </c>
      <c r="AD612" s="71">
        <f>W612+X612+Y612+Z612+AA612+AB612+AC612</f>
        <v>0</v>
      </c>
      <c r="AE612" s="72">
        <v>0</v>
      </c>
      <c r="AF612" s="5"/>
      <c r="AG612" s="6"/>
      <c r="AH612" s="27" t="s">
        <v>3392</v>
      </c>
      <c r="AI612" s="44" t="s">
        <v>3393</v>
      </c>
      <c r="AJ612" s="26"/>
      <c r="AK612" s="5"/>
      <c r="AL612" s="82" t="s">
        <v>3680</v>
      </c>
      <c r="AM612" s="76"/>
      <c r="AN612" s="76"/>
      <c r="AO612" s="76"/>
      <c r="AP612" s="76"/>
      <c r="AQ612" s="76"/>
      <c r="AR612" s="76"/>
      <c r="AS612" s="76"/>
      <c r="AT612" s="76"/>
      <c r="AU612" s="76"/>
      <c r="AV612" s="76"/>
      <c r="AW612" s="76"/>
      <c r="AX612" s="76">
        <f>+AW612*600000</f>
        <v>0</v>
      </c>
      <c r="AY612" s="76"/>
      <c r="AZ612" s="76">
        <f>+AY612*70000</f>
        <v>0</v>
      </c>
      <c r="BA612" s="76"/>
      <c r="BB612" s="76"/>
      <c r="BC612" s="76"/>
      <c r="BD612" s="76">
        <f>+BC612*30000</f>
        <v>0</v>
      </c>
      <c r="BE612" s="76"/>
      <c r="BF612" s="76"/>
      <c r="BG612" s="76"/>
      <c r="BH612" s="76"/>
      <c r="BI612" s="76"/>
      <c r="BJ612" s="76"/>
      <c r="BK612" s="76"/>
      <c r="BL612" s="76">
        <f>+BK612*31500</f>
        <v>0</v>
      </c>
      <c r="BM612" s="76"/>
      <c r="BN612" s="76"/>
      <c r="BO612" s="76"/>
      <c r="BP612" s="76"/>
      <c r="BQ612" s="76"/>
      <c r="BR612" s="76"/>
      <c r="BS612" s="76"/>
      <c r="BT612" s="76"/>
      <c r="BU612" s="76"/>
      <c r="BV612" s="76"/>
      <c r="BW612" s="76"/>
      <c r="BX612" s="76"/>
      <c r="BY612" s="76"/>
      <c r="BZ612" s="76"/>
      <c r="CA612" s="76"/>
      <c r="CB612" s="76"/>
      <c r="CC612" s="76"/>
      <c r="CD612" s="76"/>
      <c r="CE612" s="76"/>
      <c r="CF612" s="76">
        <f>+CE612*28000</f>
        <v>0</v>
      </c>
      <c r="CG612" s="76"/>
      <c r="CH612" s="76">
        <f>+CG612*22500</f>
        <v>0</v>
      </c>
      <c r="CI612" s="76"/>
      <c r="CJ612" s="76">
        <f>+CI612*26000</f>
        <v>0</v>
      </c>
      <c r="CK612" s="76"/>
      <c r="CL612" s="76"/>
      <c r="CM612" s="76"/>
      <c r="CN612" s="76">
        <f>+CM612*22000</f>
        <v>0</v>
      </c>
      <c r="CO612" s="76"/>
      <c r="CP612" s="76">
        <f>+CO612*46000</f>
        <v>0</v>
      </c>
      <c r="CQ612" s="76"/>
      <c r="CR612" s="76">
        <f>+CQ612*49000</f>
        <v>0</v>
      </c>
      <c r="CS612" s="76"/>
      <c r="CT612" s="76"/>
      <c r="CU612" s="56">
        <f>AN612+AP612+AR612+AT612+AV612+AX612+AZ612+BB612+BD612+BF612+BH612+BJ612+BL612+BN612+BP612+BR612+BT612+BV612+BX612+BZ612+CB612+CD612+CF612+CH612+CJ612+CL612+CN612+CP612+CR612+CT612</f>
        <v>0</v>
      </c>
      <c r="CV612" s="76"/>
      <c r="CW612" s="76">
        <f>+CV612*1100</f>
        <v>0</v>
      </c>
      <c r="CX612" s="76"/>
      <c r="CY612" s="76">
        <f>+CX612*106250</f>
        <v>0</v>
      </c>
      <c r="CZ612" s="76"/>
      <c r="DA612" s="76">
        <f>+CZ612*34500</f>
        <v>0</v>
      </c>
      <c r="DB612" s="76"/>
      <c r="DC612" s="76">
        <f>+DB612*25000</f>
        <v>0</v>
      </c>
      <c r="DD612" s="219"/>
      <c r="DE612" s="219"/>
      <c r="DF612" s="166"/>
      <c r="DG612" s="116"/>
      <c r="DH612" s="117"/>
      <c r="DI612" s="24"/>
      <c r="DJ612" s="24"/>
      <c r="DK612" s="24"/>
      <c r="DL612" s="24"/>
      <c r="DM612" s="24"/>
      <c r="DN612" s="24"/>
      <c r="DO612" s="24"/>
      <c r="DP612" s="24"/>
      <c r="DQ612" s="24"/>
      <c r="DR612" s="24"/>
      <c r="DS612" s="24"/>
      <c r="DT612" s="24"/>
      <c r="DU612" s="24"/>
    </row>
    <row r="613" spans="1:125" s="8" customFormat="1" ht="36" x14ac:dyDescent="0.2">
      <c r="A613" s="77">
        <v>41313</v>
      </c>
      <c r="B613" s="78" t="s">
        <v>2778</v>
      </c>
      <c r="C613" s="75" t="s">
        <v>1344</v>
      </c>
      <c r="D613" s="81" t="s">
        <v>2846</v>
      </c>
      <c r="E613" s="75" t="str">
        <f>VLOOKUP(B613&amp;C613,Divipola!$C$2:$F$1138,4,FALSE)</f>
        <v>85001</v>
      </c>
      <c r="F613" s="87"/>
      <c r="G613" s="87"/>
      <c r="H613" s="87"/>
      <c r="I613" s="87"/>
      <c r="J613" s="87"/>
      <c r="K613" s="87"/>
      <c r="L613" s="87"/>
      <c r="M613" s="87"/>
      <c r="N613" s="87"/>
      <c r="O613" s="87"/>
      <c r="P613" s="87"/>
      <c r="Q613" s="87"/>
      <c r="R613" s="87"/>
      <c r="S613" s="87"/>
      <c r="T613" s="87"/>
      <c r="U613" s="88">
        <v>1</v>
      </c>
      <c r="V613" s="89"/>
      <c r="W613" s="96">
        <v>0</v>
      </c>
      <c r="X613" s="71">
        <f>CU613</f>
        <v>0</v>
      </c>
      <c r="Y613" s="71">
        <f>CY613</f>
        <v>0</v>
      </c>
      <c r="Z613" s="71">
        <f>DA613+DC613+DE613</f>
        <v>0</v>
      </c>
      <c r="AA613" s="71">
        <f>CW613</f>
        <v>0</v>
      </c>
      <c r="AB613" s="71"/>
      <c r="AC613" s="71">
        <v>0</v>
      </c>
      <c r="AD613" s="71">
        <f>W613+X613+Y613+Z613+AA613+AB613+AC613</f>
        <v>0</v>
      </c>
      <c r="AE613" s="72">
        <v>0</v>
      </c>
      <c r="AF613" s="5"/>
      <c r="AG613" s="6"/>
      <c r="AH613" s="27" t="s">
        <v>3392</v>
      </c>
      <c r="AI613" s="44" t="s">
        <v>3393</v>
      </c>
      <c r="AJ613" s="26"/>
      <c r="AK613" s="5"/>
      <c r="AL613" s="82" t="s">
        <v>3775</v>
      </c>
      <c r="AM613" s="76"/>
      <c r="AN613" s="76"/>
      <c r="AO613" s="76"/>
      <c r="AP613" s="76"/>
      <c r="AQ613" s="76"/>
      <c r="AR613" s="76"/>
      <c r="AS613" s="76"/>
      <c r="AT613" s="76"/>
      <c r="AU613" s="76"/>
      <c r="AV613" s="76"/>
      <c r="AW613" s="76"/>
      <c r="AX613" s="76">
        <f>+AW613*600000</f>
        <v>0</v>
      </c>
      <c r="AY613" s="76"/>
      <c r="AZ613" s="76">
        <f>+AY613*70000</f>
        <v>0</v>
      </c>
      <c r="BA613" s="76"/>
      <c r="BB613" s="76"/>
      <c r="BC613" s="76"/>
      <c r="BD613" s="76">
        <f>+BC613*30000</f>
        <v>0</v>
      </c>
      <c r="BE613" s="76"/>
      <c r="BF613" s="76"/>
      <c r="BG613" s="76"/>
      <c r="BH613" s="76"/>
      <c r="BI613" s="76"/>
      <c r="BJ613" s="76"/>
      <c r="BK613" s="76"/>
      <c r="BL613" s="76">
        <f>+BK613*31500</f>
        <v>0</v>
      </c>
      <c r="BM613" s="76"/>
      <c r="BN613" s="76"/>
      <c r="BO613" s="76"/>
      <c r="BP613" s="76"/>
      <c r="BQ613" s="76"/>
      <c r="BR613" s="76"/>
      <c r="BS613" s="76"/>
      <c r="BT613" s="76"/>
      <c r="BU613" s="76"/>
      <c r="BV613" s="76"/>
      <c r="BW613" s="76"/>
      <c r="BX613" s="76"/>
      <c r="BY613" s="76"/>
      <c r="BZ613" s="76"/>
      <c r="CA613" s="76"/>
      <c r="CB613" s="76"/>
      <c r="CC613" s="76"/>
      <c r="CD613" s="76"/>
      <c r="CE613" s="76"/>
      <c r="CF613" s="76">
        <f>+CE613*28000</f>
        <v>0</v>
      </c>
      <c r="CG613" s="76"/>
      <c r="CH613" s="76">
        <f>+CG613*22500</f>
        <v>0</v>
      </c>
      <c r="CI613" s="76"/>
      <c r="CJ613" s="76">
        <f>+CI613*26000</f>
        <v>0</v>
      </c>
      <c r="CK613" s="76"/>
      <c r="CL613" s="76"/>
      <c r="CM613" s="76"/>
      <c r="CN613" s="76">
        <f>+CM613*22000</f>
        <v>0</v>
      </c>
      <c r="CO613" s="76"/>
      <c r="CP613" s="76">
        <f>+CO613*46000</f>
        <v>0</v>
      </c>
      <c r="CQ613" s="76"/>
      <c r="CR613" s="76">
        <f>+CQ613*49000</f>
        <v>0</v>
      </c>
      <c r="CS613" s="76"/>
      <c r="CT613" s="76"/>
      <c r="CU613" s="56">
        <f>AN613+AP613+AR613+AT613+AV613+AX613+AZ613+BB613+BD613+BF613+BH613+BJ613+BL613+BN613+BP613+BR613+BT613+BV613+BX613+BZ613+CB613+CD613+CF613+CH613+CJ613+CL613+CN613+CP613+CR613+CT613</f>
        <v>0</v>
      </c>
      <c r="CV613" s="76"/>
      <c r="CW613" s="76">
        <f>+CV613*1100</f>
        <v>0</v>
      </c>
      <c r="CX613" s="76"/>
      <c r="CY613" s="76">
        <f>+CX613*106250</f>
        <v>0</v>
      </c>
      <c r="CZ613" s="76"/>
      <c r="DA613" s="76">
        <f>+CZ613*34500</f>
        <v>0</v>
      </c>
      <c r="DB613" s="76"/>
      <c r="DC613" s="76">
        <f>+DB613*25000</f>
        <v>0</v>
      </c>
      <c r="DD613" s="219"/>
      <c r="DE613" s="219"/>
      <c r="DF613" s="166"/>
      <c r="DG613" s="116"/>
      <c r="DH613" s="117"/>
      <c r="DI613" s="24"/>
      <c r="DJ613" s="24"/>
      <c r="DK613" s="24"/>
      <c r="DL613" s="24"/>
      <c r="DM613" s="24"/>
      <c r="DN613" s="24"/>
      <c r="DO613" s="24"/>
      <c r="DP613" s="24"/>
      <c r="DQ613" s="24"/>
      <c r="DR613" s="24"/>
      <c r="DS613" s="24"/>
      <c r="DT613" s="24"/>
      <c r="DU613" s="24"/>
    </row>
    <row r="614" spans="1:125" s="8" customFormat="1" ht="48" x14ac:dyDescent="0.2">
      <c r="A614" s="77">
        <v>41313</v>
      </c>
      <c r="B614" s="78" t="s">
        <v>2778</v>
      </c>
      <c r="C614" s="75" t="s">
        <v>1344</v>
      </c>
      <c r="D614" s="81" t="s">
        <v>2846</v>
      </c>
      <c r="E614" s="75" t="str">
        <f>VLOOKUP(B614&amp;C614,Divipola!$C$2:$F$1138,4,FALSE)</f>
        <v>85001</v>
      </c>
      <c r="F614" s="87"/>
      <c r="G614" s="87"/>
      <c r="H614" s="87"/>
      <c r="I614" s="87"/>
      <c r="J614" s="87"/>
      <c r="K614" s="87"/>
      <c r="L614" s="87"/>
      <c r="M614" s="87"/>
      <c r="N614" s="87"/>
      <c r="O614" s="87"/>
      <c r="P614" s="87"/>
      <c r="Q614" s="87"/>
      <c r="R614" s="87"/>
      <c r="S614" s="87"/>
      <c r="T614" s="87"/>
      <c r="U614" s="88">
        <v>5</v>
      </c>
      <c r="V614" s="89"/>
      <c r="W614" s="96">
        <v>0</v>
      </c>
      <c r="X614" s="71">
        <f>CU614</f>
        <v>0</v>
      </c>
      <c r="Y614" s="71">
        <f>CY614</f>
        <v>0</v>
      </c>
      <c r="Z614" s="71">
        <f>DA614+DC614+DE614</f>
        <v>0</v>
      </c>
      <c r="AA614" s="71">
        <f>CW614</f>
        <v>0</v>
      </c>
      <c r="AB614" s="71"/>
      <c r="AC614" s="71">
        <v>0</v>
      </c>
      <c r="AD614" s="71">
        <f>W614+X614+Y614+Z614+AA614+AB614+AC614</f>
        <v>0</v>
      </c>
      <c r="AE614" s="72">
        <v>0</v>
      </c>
      <c r="AF614" s="5"/>
      <c r="AG614" s="6"/>
      <c r="AH614" s="27" t="s">
        <v>3392</v>
      </c>
      <c r="AI614" s="44" t="s">
        <v>3393</v>
      </c>
      <c r="AJ614" s="26"/>
      <c r="AK614" s="5"/>
      <c r="AL614" s="82" t="s">
        <v>3776</v>
      </c>
      <c r="AM614" s="76"/>
      <c r="AN614" s="76"/>
      <c r="AO614" s="76"/>
      <c r="AP614" s="76"/>
      <c r="AQ614" s="76"/>
      <c r="AR614" s="76"/>
      <c r="AS614" s="76"/>
      <c r="AT614" s="76"/>
      <c r="AU614" s="76"/>
      <c r="AV614" s="76"/>
      <c r="AW614" s="76"/>
      <c r="AX614" s="76">
        <f>+AW614*600000</f>
        <v>0</v>
      </c>
      <c r="AY614" s="76"/>
      <c r="AZ614" s="76">
        <f>+AY614*70000</f>
        <v>0</v>
      </c>
      <c r="BA614" s="76"/>
      <c r="BB614" s="76"/>
      <c r="BC614" s="76"/>
      <c r="BD614" s="76">
        <f>+BC614*30000</f>
        <v>0</v>
      </c>
      <c r="BE614" s="76"/>
      <c r="BF614" s="76"/>
      <c r="BG614" s="76"/>
      <c r="BH614" s="76"/>
      <c r="BI614" s="76"/>
      <c r="BJ614" s="76"/>
      <c r="BK614" s="76"/>
      <c r="BL614" s="76">
        <f>+BK614*31500</f>
        <v>0</v>
      </c>
      <c r="BM614" s="76"/>
      <c r="BN614" s="76"/>
      <c r="BO614" s="76"/>
      <c r="BP614" s="76"/>
      <c r="BQ614" s="76"/>
      <c r="BR614" s="76"/>
      <c r="BS614" s="76"/>
      <c r="BT614" s="76"/>
      <c r="BU614" s="76"/>
      <c r="BV614" s="76"/>
      <c r="BW614" s="76"/>
      <c r="BX614" s="76"/>
      <c r="BY614" s="76"/>
      <c r="BZ614" s="76"/>
      <c r="CA614" s="76"/>
      <c r="CB614" s="76"/>
      <c r="CC614" s="76"/>
      <c r="CD614" s="76"/>
      <c r="CE614" s="76"/>
      <c r="CF614" s="76">
        <f>+CE614*28000</f>
        <v>0</v>
      </c>
      <c r="CG614" s="76"/>
      <c r="CH614" s="76">
        <f>+CG614*22500</f>
        <v>0</v>
      </c>
      <c r="CI614" s="76"/>
      <c r="CJ614" s="76">
        <f>+CI614*26000</f>
        <v>0</v>
      </c>
      <c r="CK614" s="76"/>
      <c r="CL614" s="76"/>
      <c r="CM614" s="76"/>
      <c r="CN614" s="76">
        <f>+CM614*22000</f>
        <v>0</v>
      </c>
      <c r="CO614" s="76"/>
      <c r="CP614" s="76">
        <f>+CO614*46000</f>
        <v>0</v>
      </c>
      <c r="CQ614" s="76"/>
      <c r="CR614" s="76">
        <f>+CQ614*49000</f>
        <v>0</v>
      </c>
      <c r="CS614" s="76"/>
      <c r="CT614" s="76"/>
      <c r="CU614" s="56">
        <f>AN614+AP614+AR614+AT614+AV614+AX614+AZ614+BB614+BD614+BF614+BH614+BJ614+BL614+BN614+BP614+BR614+BT614+BV614+BX614+BZ614+CB614+CD614+CF614+CH614+CJ614+CL614+CN614+CP614+CR614+CT614</f>
        <v>0</v>
      </c>
      <c r="CV614" s="76"/>
      <c r="CW614" s="76">
        <f>+CV614*1100</f>
        <v>0</v>
      </c>
      <c r="CX614" s="76"/>
      <c r="CY614" s="76">
        <f>+CX614*106250</f>
        <v>0</v>
      </c>
      <c r="CZ614" s="76"/>
      <c r="DA614" s="76">
        <f>+CZ614*34500</f>
        <v>0</v>
      </c>
      <c r="DB614" s="76"/>
      <c r="DC614" s="76">
        <f>+DB614*25000</f>
        <v>0</v>
      </c>
      <c r="DD614" s="219"/>
      <c r="DE614" s="219"/>
      <c r="DF614" s="166"/>
      <c r="DG614" s="116"/>
      <c r="DH614" s="117"/>
      <c r="DI614" s="24"/>
      <c r="DJ614" s="24"/>
      <c r="DK614" s="24"/>
      <c r="DL614" s="24"/>
      <c r="DM614" s="24"/>
      <c r="DN614" s="24"/>
      <c r="DO614" s="24"/>
      <c r="DP614" s="24"/>
      <c r="DQ614" s="24"/>
      <c r="DR614" s="24"/>
      <c r="DS614" s="24"/>
      <c r="DT614" s="24"/>
      <c r="DU614" s="24"/>
    </row>
    <row r="615" spans="1:125" s="8" customFormat="1" ht="48" x14ac:dyDescent="0.2">
      <c r="A615" s="77">
        <v>41313</v>
      </c>
      <c r="B615" s="78" t="s">
        <v>2778</v>
      </c>
      <c r="C615" s="75" t="s">
        <v>1344</v>
      </c>
      <c r="D615" s="81" t="s">
        <v>2846</v>
      </c>
      <c r="E615" s="75" t="str">
        <f>VLOOKUP(B615&amp;C615,Divipola!$C$2:$F$1138,4,FALSE)</f>
        <v>85001</v>
      </c>
      <c r="F615" s="87"/>
      <c r="G615" s="87"/>
      <c r="H615" s="87"/>
      <c r="I615" s="87"/>
      <c r="J615" s="87"/>
      <c r="K615" s="87"/>
      <c r="L615" s="87"/>
      <c r="M615" s="87"/>
      <c r="N615" s="87"/>
      <c r="O615" s="87"/>
      <c r="P615" s="87"/>
      <c r="Q615" s="87"/>
      <c r="R615" s="87"/>
      <c r="S615" s="87"/>
      <c r="T615" s="87"/>
      <c r="U615" s="88">
        <v>2</v>
      </c>
      <c r="V615" s="89"/>
      <c r="W615" s="96">
        <v>0</v>
      </c>
      <c r="X615" s="71">
        <f>CU615</f>
        <v>0</v>
      </c>
      <c r="Y615" s="71">
        <f>CY615</f>
        <v>0</v>
      </c>
      <c r="Z615" s="71">
        <f>DA615+DC615+DE615</f>
        <v>0</v>
      </c>
      <c r="AA615" s="71">
        <f>CW615</f>
        <v>0</v>
      </c>
      <c r="AB615" s="71"/>
      <c r="AC615" s="71">
        <v>0</v>
      </c>
      <c r="AD615" s="71">
        <f>W615+X615+Y615+Z615+AA615+AB615+AC615</f>
        <v>0</v>
      </c>
      <c r="AE615" s="72">
        <v>0</v>
      </c>
      <c r="AF615" s="5"/>
      <c r="AG615" s="6"/>
      <c r="AH615" s="27" t="s">
        <v>3392</v>
      </c>
      <c r="AI615" s="44" t="s">
        <v>3393</v>
      </c>
      <c r="AJ615" s="26"/>
      <c r="AK615" s="5"/>
      <c r="AL615" s="82" t="s">
        <v>3777</v>
      </c>
      <c r="AM615" s="76"/>
      <c r="AN615" s="76"/>
      <c r="AO615" s="76"/>
      <c r="AP615" s="76"/>
      <c r="AQ615" s="76"/>
      <c r="AR615" s="76"/>
      <c r="AS615" s="76"/>
      <c r="AT615" s="76"/>
      <c r="AU615" s="76"/>
      <c r="AV615" s="76"/>
      <c r="AW615" s="76"/>
      <c r="AX615" s="76">
        <f>+AW615*600000</f>
        <v>0</v>
      </c>
      <c r="AY615" s="76"/>
      <c r="AZ615" s="76">
        <f>+AY615*70000</f>
        <v>0</v>
      </c>
      <c r="BA615" s="76"/>
      <c r="BB615" s="76"/>
      <c r="BC615" s="76"/>
      <c r="BD615" s="76">
        <f>+BC615*30000</f>
        <v>0</v>
      </c>
      <c r="BE615" s="76"/>
      <c r="BF615" s="76"/>
      <c r="BG615" s="76"/>
      <c r="BH615" s="76"/>
      <c r="BI615" s="76"/>
      <c r="BJ615" s="76"/>
      <c r="BK615" s="76"/>
      <c r="BL615" s="76">
        <f>+BK615*31500</f>
        <v>0</v>
      </c>
      <c r="BM615" s="76"/>
      <c r="BN615" s="76"/>
      <c r="BO615" s="76"/>
      <c r="BP615" s="76"/>
      <c r="BQ615" s="76"/>
      <c r="BR615" s="76"/>
      <c r="BS615" s="76"/>
      <c r="BT615" s="76"/>
      <c r="BU615" s="76"/>
      <c r="BV615" s="76"/>
      <c r="BW615" s="76"/>
      <c r="BX615" s="76"/>
      <c r="BY615" s="76"/>
      <c r="BZ615" s="76"/>
      <c r="CA615" s="76"/>
      <c r="CB615" s="76"/>
      <c r="CC615" s="76"/>
      <c r="CD615" s="76"/>
      <c r="CE615" s="76"/>
      <c r="CF615" s="76">
        <f>+CE615*28000</f>
        <v>0</v>
      </c>
      <c r="CG615" s="76"/>
      <c r="CH615" s="76">
        <f>+CG615*22500</f>
        <v>0</v>
      </c>
      <c r="CI615" s="76"/>
      <c r="CJ615" s="76">
        <f>+CI615*26000</f>
        <v>0</v>
      </c>
      <c r="CK615" s="76"/>
      <c r="CL615" s="76"/>
      <c r="CM615" s="76"/>
      <c r="CN615" s="76">
        <f>+CM615*22000</f>
        <v>0</v>
      </c>
      <c r="CO615" s="76"/>
      <c r="CP615" s="76">
        <f>+CO615*46000</f>
        <v>0</v>
      </c>
      <c r="CQ615" s="76"/>
      <c r="CR615" s="76">
        <f>+CQ615*49000</f>
        <v>0</v>
      </c>
      <c r="CS615" s="76"/>
      <c r="CT615" s="76"/>
      <c r="CU615" s="56">
        <f>AN615+AP615+AR615+AT615+AV615+AX615+AZ615+BB615+BD615+BF615+BH615+BJ615+BL615+BN615+BP615+BR615+BT615+BV615+BX615+BZ615+CB615+CD615+CF615+CH615+CJ615+CL615+CN615+CP615+CR615+CT615</f>
        <v>0</v>
      </c>
      <c r="CV615" s="76"/>
      <c r="CW615" s="76">
        <f>+CV615*1100</f>
        <v>0</v>
      </c>
      <c r="CX615" s="76"/>
      <c r="CY615" s="76">
        <f>+CX615*106250</f>
        <v>0</v>
      </c>
      <c r="CZ615" s="76"/>
      <c r="DA615" s="76">
        <f>+CZ615*34500</f>
        <v>0</v>
      </c>
      <c r="DB615" s="76"/>
      <c r="DC615" s="76">
        <f>+DB615*25000</f>
        <v>0</v>
      </c>
      <c r="DD615" s="219"/>
      <c r="DE615" s="219"/>
      <c r="DF615" s="166"/>
      <c r="DG615" s="116"/>
      <c r="DH615" s="117"/>
      <c r="DI615" s="24"/>
      <c r="DJ615" s="24"/>
      <c r="DK615" s="24"/>
      <c r="DL615" s="24"/>
      <c r="DM615" s="24"/>
      <c r="DN615" s="24"/>
      <c r="DO615" s="24"/>
      <c r="DP615" s="24"/>
      <c r="DQ615" s="24"/>
      <c r="DR615" s="24"/>
      <c r="DS615" s="24"/>
      <c r="DT615" s="24"/>
      <c r="DU615" s="24"/>
    </row>
    <row r="616" spans="1:125" s="8" customFormat="1" ht="96" x14ac:dyDescent="0.2">
      <c r="A616" s="77">
        <v>41313</v>
      </c>
      <c r="B616" s="78" t="s">
        <v>2855</v>
      </c>
      <c r="C616" s="75" t="s">
        <v>2801</v>
      </c>
      <c r="D616" s="81" t="s">
        <v>2846</v>
      </c>
      <c r="E616" s="75" t="str">
        <f>VLOOKUP(B616&amp;C616,Divipola!$C$2:$F$1138,4,FALSE)</f>
        <v>20383</v>
      </c>
      <c r="F616" s="87"/>
      <c r="G616" s="87"/>
      <c r="H616" s="87"/>
      <c r="I616" s="87"/>
      <c r="J616" s="87"/>
      <c r="K616" s="87"/>
      <c r="L616" s="87"/>
      <c r="M616" s="87"/>
      <c r="N616" s="87"/>
      <c r="O616" s="87"/>
      <c r="P616" s="87"/>
      <c r="Q616" s="87"/>
      <c r="R616" s="87"/>
      <c r="S616" s="87"/>
      <c r="T616" s="87"/>
      <c r="U616" s="88">
        <v>3</v>
      </c>
      <c r="V616" s="89"/>
      <c r="W616" s="96">
        <v>0</v>
      </c>
      <c r="X616" s="71">
        <f>CU616</f>
        <v>0</v>
      </c>
      <c r="Y616" s="71">
        <f>CY616</f>
        <v>0</v>
      </c>
      <c r="Z616" s="71">
        <f>DA616+DC616+DE616</f>
        <v>0</v>
      </c>
      <c r="AA616" s="71">
        <f>CW616</f>
        <v>0</v>
      </c>
      <c r="AB616" s="71"/>
      <c r="AC616" s="71">
        <v>0</v>
      </c>
      <c r="AD616" s="71">
        <f>W616+X616+Y616+Z616+AA616+AB616+AC616</f>
        <v>0</v>
      </c>
      <c r="AE616" s="72">
        <v>0</v>
      </c>
      <c r="AF616" s="5"/>
      <c r="AG616" s="6"/>
      <c r="AH616" s="27" t="s">
        <v>3392</v>
      </c>
      <c r="AI616" s="44" t="s">
        <v>3393</v>
      </c>
      <c r="AJ616" s="26"/>
      <c r="AK616" s="5"/>
      <c r="AL616" s="82" t="s">
        <v>3470</v>
      </c>
      <c r="AM616" s="76"/>
      <c r="AN616" s="76"/>
      <c r="AO616" s="76"/>
      <c r="AP616" s="76"/>
      <c r="AQ616" s="76"/>
      <c r="AR616" s="76"/>
      <c r="AS616" s="76"/>
      <c r="AT616" s="76"/>
      <c r="AU616" s="76"/>
      <c r="AV616" s="76"/>
      <c r="AW616" s="76"/>
      <c r="AX616" s="76">
        <f>+AW616*600000</f>
        <v>0</v>
      </c>
      <c r="AY616" s="76"/>
      <c r="AZ616" s="76">
        <f>+AY616*70000</f>
        <v>0</v>
      </c>
      <c r="BA616" s="76"/>
      <c r="BB616" s="76"/>
      <c r="BC616" s="76"/>
      <c r="BD616" s="76">
        <f>+BC616*30000</f>
        <v>0</v>
      </c>
      <c r="BE616" s="76"/>
      <c r="BF616" s="76"/>
      <c r="BG616" s="76"/>
      <c r="BH616" s="76"/>
      <c r="BI616" s="76"/>
      <c r="BJ616" s="76"/>
      <c r="BK616" s="76"/>
      <c r="BL616" s="76">
        <f>+BK616*31500</f>
        <v>0</v>
      </c>
      <c r="BM616" s="76"/>
      <c r="BN616" s="76"/>
      <c r="BO616" s="76"/>
      <c r="BP616" s="76"/>
      <c r="BQ616" s="76"/>
      <c r="BR616" s="76"/>
      <c r="BS616" s="76"/>
      <c r="BT616" s="76"/>
      <c r="BU616" s="76"/>
      <c r="BV616" s="76"/>
      <c r="BW616" s="76"/>
      <c r="BX616" s="76"/>
      <c r="BY616" s="76"/>
      <c r="BZ616" s="76"/>
      <c r="CA616" s="76"/>
      <c r="CB616" s="76"/>
      <c r="CC616" s="76"/>
      <c r="CD616" s="76"/>
      <c r="CE616" s="76"/>
      <c r="CF616" s="76">
        <f>+CE616*28000</f>
        <v>0</v>
      </c>
      <c r="CG616" s="76"/>
      <c r="CH616" s="76">
        <f>+CG616*22500</f>
        <v>0</v>
      </c>
      <c r="CI616" s="76"/>
      <c r="CJ616" s="76">
        <f>+CI616*26000</f>
        <v>0</v>
      </c>
      <c r="CK616" s="76"/>
      <c r="CL616" s="76"/>
      <c r="CM616" s="76"/>
      <c r="CN616" s="76">
        <f>+CM616*22000</f>
        <v>0</v>
      </c>
      <c r="CO616" s="76"/>
      <c r="CP616" s="76">
        <f>+CO616*46000</f>
        <v>0</v>
      </c>
      <c r="CQ616" s="76"/>
      <c r="CR616" s="76">
        <f>+CQ616*49000</f>
        <v>0</v>
      </c>
      <c r="CS616" s="76"/>
      <c r="CT616" s="76"/>
      <c r="CU616" s="56">
        <f>AN616+AP616+AR616+AT616+AV616+AX616+AZ616+BB616+BD616+BF616+BH616+BJ616+BL616+BN616+BP616+BR616+BT616+BV616+BX616+BZ616+CB616+CD616+CF616+CH616+CJ616+CL616+CN616+CP616+CR616+CT616</f>
        <v>0</v>
      </c>
      <c r="CV616" s="76"/>
      <c r="CW616" s="76">
        <f>+CV616*1100</f>
        <v>0</v>
      </c>
      <c r="CX616" s="76"/>
      <c r="CY616" s="76">
        <f>+CX616*106250</f>
        <v>0</v>
      </c>
      <c r="CZ616" s="76"/>
      <c r="DA616" s="76">
        <f>+CZ616*34500</f>
        <v>0</v>
      </c>
      <c r="DB616" s="76"/>
      <c r="DC616" s="76">
        <f>+DB616*25000</f>
        <v>0</v>
      </c>
      <c r="DD616" s="219"/>
      <c r="DE616" s="219"/>
      <c r="DF616" s="166"/>
      <c r="DG616" s="116"/>
      <c r="DH616" s="117"/>
      <c r="DI616" s="24"/>
      <c r="DJ616" s="24"/>
      <c r="DK616" s="24"/>
      <c r="DL616" s="24"/>
      <c r="DM616" s="24"/>
      <c r="DN616" s="24"/>
      <c r="DO616" s="24"/>
      <c r="DP616" s="24"/>
      <c r="DQ616" s="24"/>
      <c r="DR616" s="24"/>
      <c r="DS616" s="24"/>
      <c r="DT616" s="24"/>
      <c r="DU616" s="24"/>
    </row>
    <row r="617" spans="1:125" s="8" customFormat="1" ht="120" x14ac:dyDescent="0.2">
      <c r="A617" s="77">
        <v>41313</v>
      </c>
      <c r="B617" s="78" t="s">
        <v>2772</v>
      </c>
      <c r="C617" s="75" t="s">
        <v>1331</v>
      </c>
      <c r="D617" s="75" t="s">
        <v>2875</v>
      </c>
      <c r="E617" s="75" t="str">
        <f>VLOOKUP(B617&amp;C617,Divipola!$C$2:$F$1138,4,FALSE)</f>
        <v>25214</v>
      </c>
      <c r="F617" s="87"/>
      <c r="G617" s="87"/>
      <c r="H617" s="87"/>
      <c r="I617" s="87">
        <v>195</v>
      </c>
      <c r="J617" s="87">
        <v>58</v>
      </c>
      <c r="K617" s="87"/>
      <c r="L617" s="87">
        <v>58</v>
      </c>
      <c r="M617" s="87"/>
      <c r="N617" s="87"/>
      <c r="O617" s="87"/>
      <c r="P617" s="87"/>
      <c r="Q617" s="87"/>
      <c r="R617" s="87"/>
      <c r="S617" s="87"/>
      <c r="T617" s="87"/>
      <c r="U617" s="88"/>
      <c r="V617" s="89"/>
      <c r="W617" s="96">
        <v>0</v>
      </c>
      <c r="X617" s="71">
        <f>CU617</f>
        <v>0</v>
      </c>
      <c r="Y617" s="71">
        <f>CY617</f>
        <v>0</v>
      </c>
      <c r="Z617" s="71">
        <f>DA617+DC617+DE617</f>
        <v>0</v>
      </c>
      <c r="AA617" s="71">
        <f>CW617</f>
        <v>0</v>
      </c>
      <c r="AB617" s="71"/>
      <c r="AC617" s="71">
        <v>0</v>
      </c>
      <c r="AD617" s="71">
        <f>W617+X617+Y617+Z617+AA617+AB617+AC617</f>
        <v>0</v>
      </c>
      <c r="AE617" s="72">
        <v>0</v>
      </c>
      <c r="AF617" s="5"/>
      <c r="AG617" s="6"/>
      <c r="AH617" s="27" t="s">
        <v>3392</v>
      </c>
      <c r="AI617" s="44" t="s">
        <v>3393</v>
      </c>
      <c r="AJ617" s="26"/>
      <c r="AK617" s="5"/>
      <c r="AL617" s="82" t="s">
        <v>3446</v>
      </c>
      <c r="AM617" s="76"/>
      <c r="AN617" s="76"/>
      <c r="AO617" s="76"/>
      <c r="AP617" s="76"/>
      <c r="AQ617" s="76"/>
      <c r="AR617" s="76"/>
      <c r="AS617" s="76"/>
      <c r="AT617" s="76"/>
      <c r="AU617" s="76"/>
      <c r="AV617" s="76"/>
      <c r="AW617" s="76"/>
      <c r="AX617" s="76">
        <f>+AW617*600000</f>
        <v>0</v>
      </c>
      <c r="AY617" s="76"/>
      <c r="AZ617" s="76">
        <f>+AY617*70000</f>
        <v>0</v>
      </c>
      <c r="BA617" s="76"/>
      <c r="BB617" s="76"/>
      <c r="BC617" s="76"/>
      <c r="BD617" s="76">
        <f>+BC617*30000</f>
        <v>0</v>
      </c>
      <c r="BE617" s="76"/>
      <c r="BF617" s="76"/>
      <c r="BG617" s="76"/>
      <c r="BH617" s="76"/>
      <c r="BI617" s="76"/>
      <c r="BJ617" s="76"/>
      <c r="BK617" s="76"/>
      <c r="BL617" s="76">
        <f>+BK617*31500</f>
        <v>0</v>
      </c>
      <c r="BM617" s="76"/>
      <c r="BN617" s="76"/>
      <c r="BO617" s="76"/>
      <c r="BP617" s="76"/>
      <c r="BQ617" s="76"/>
      <c r="BR617" s="76"/>
      <c r="BS617" s="76"/>
      <c r="BT617" s="76"/>
      <c r="BU617" s="76"/>
      <c r="BV617" s="76"/>
      <c r="BW617" s="76"/>
      <c r="BX617" s="76"/>
      <c r="BY617" s="76"/>
      <c r="BZ617" s="76"/>
      <c r="CA617" s="76"/>
      <c r="CB617" s="76"/>
      <c r="CC617" s="76"/>
      <c r="CD617" s="76"/>
      <c r="CE617" s="76"/>
      <c r="CF617" s="76">
        <f>+CE617*28000</f>
        <v>0</v>
      </c>
      <c r="CG617" s="76"/>
      <c r="CH617" s="76">
        <f>+CG617*22500</f>
        <v>0</v>
      </c>
      <c r="CI617" s="76"/>
      <c r="CJ617" s="76">
        <f>+CI617*26000</f>
        <v>0</v>
      </c>
      <c r="CK617" s="76"/>
      <c r="CL617" s="76"/>
      <c r="CM617" s="76"/>
      <c r="CN617" s="76">
        <f>+CM617*22000</f>
        <v>0</v>
      </c>
      <c r="CO617" s="76"/>
      <c r="CP617" s="76">
        <f>+CO617*46000</f>
        <v>0</v>
      </c>
      <c r="CQ617" s="76"/>
      <c r="CR617" s="76">
        <f>+CQ617*49000</f>
        <v>0</v>
      </c>
      <c r="CS617" s="76"/>
      <c r="CT617" s="76"/>
      <c r="CU617" s="56">
        <f>AN617+AP617+AR617+AT617+AV617+AX617+AZ617+BB617+BD617+BF617+BH617+BJ617+BL617+BN617+BP617+BR617+BT617+BV617+BX617+BZ617+CB617+CD617+CF617+CH617+CJ617+CL617+CN617+CP617+CR617+CT617</f>
        <v>0</v>
      </c>
      <c r="CV617" s="76"/>
      <c r="CW617" s="76">
        <f>+CV617*1100</f>
        <v>0</v>
      </c>
      <c r="CX617" s="76"/>
      <c r="CY617" s="76">
        <f>+CX617*106250</f>
        <v>0</v>
      </c>
      <c r="CZ617" s="76"/>
      <c r="DA617" s="76">
        <f>+CZ617*34500</f>
        <v>0</v>
      </c>
      <c r="DB617" s="76"/>
      <c r="DC617" s="76">
        <f>+DB617*25000</f>
        <v>0</v>
      </c>
      <c r="DD617" s="219"/>
      <c r="DE617" s="219"/>
      <c r="DF617" s="166"/>
      <c r="DG617" s="116"/>
      <c r="DH617" s="117"/>
      <c r="DI617" s="24"/>
      <c r="DJ617" s="24"/>
      <c r="DK617" s="24"/>
      <c r="DL617" s="24"/>
      <c r="DM617" s="24"/>
      <c r="DN617" s="24"/>
      <c r="DO617" s="24"/>
      <c r="DP617" s="24"/>
      <c r="DQ617" s="24"/>
      <c r="DR617" s="24"/>
      <c r="DS617" s="24"/>
      <c r="DT617" s="24"/>
      <c r="DU617" s="24"/>
    </row>
    <row r="618" spans="1:125" s="8" customFormat="1" x14ac:dyDescent="0.2">
      <c r="A618" s="77">
        <v>41313</v>
      </c>
      <c r="B618" s="78" t="s">
        <v>2775</v>
      </c>
      <c r="C618" s="75" t="s">
        <v>2775</v>
      </c>
      <c r="D618" s="84" t="s">
        <v>3088</v>
      </c>
      <c r="E618" s="75" t="str">
        <f>VLOOKUP(B618&amp;C618,Divipola!$C$2:$F$1138,4,FALSE)</f>
        <v>00000</v>
      </c>
      <c r="F618" s="163"/>
      <c r="G618" s="163"/>
      <c r="H618" s="163"/>
      <c r="I618" s="163"/>
      <c r="J618" s="163"/>
      <c r="K618" s="163"/>
      <c r="L618" s="163"/>
      <c r="M618" s="163"/>
      <c r="N618" s="163"/>
      <c r="O618" s="163"/>
      <c r="P618" s="163"/>
      <c r="Q618" s="163"/>
      <c r="R618" s="163"/>
      <c r="S618" s="163"/>
      <c r="T618" s="163"/>
      <c r="U618" s="163"/>
      <c r="V618" s="134"/>
      <c r="W618" s="96">
        <v>0</v>
      </c>
      <c r="X618" s="71">
        <f>CU618</f>
        <v>0</v>
      </c>
      <c r="Y618" s="71">
        <f>CY618</f>
        <v>0</v>
      </c>
      <c r="Z618" s="71">
        <f>DA618+DC618+DE618</f>
        <v>0</v>
      </c>
      <c r="AA618" s="71">
        <f>CW618</f>
        <v>58000000</v>
      </c>
      <c r="AB618" s="71"/>
      <c r="AC618" s="71">
        <v>0</v>
      </c>
      <c r="AD618" s="71">
        <f>W618+X618+Y618+Z618+AA618+AB618+AC618</f>
        <v>58000000</v>
      </c>
      <c r="AE618" s="72">
        <v>0</v>
      </c>
      <c r="AF618" s="5"/>
      <c r="AG618" s="6"/>
      <c r="AH618" s="27" t="s">
        <v>3390</v>
      </c>
      <c r="AI618" s="44" t="s">
        <v>3391</v>
      </c>
      <c r="AJ618" s="26"/>
      <c r="AK618" s="5"/>
      <c r="AL618" s="82"/>
      <c r="AM618" s="76"/>
      <c r="AN618" s="76"/>
      <c r="AO618" s="76"/>
      <c r="AP618" s="76"/>
      <c r="AQ618" s="76"/>
      <c r="AR618" s="76"/>
      <c r="AS618" s="76"/>
      <c r="AT618" s="76"/>
      <c r="AU618" s="76"/>
      <c r="AV618" s="76"/>
      <c r="AW618" s="76"/>
      <c r="AX618" s="76">
        <f>+AW618*600000</f>
        <v>0</v>
      </c>
      <c r="AY618" s="76"/>
      <c r="AZ618" s="76">
        <f>+AY618*70000</f>
        <v>0</v>
      </c>
      <c r="BA618" s="76"/>
      <c r="BB618" s="76"/>
      <c r="BC618" s="76"/>
      <c r="BD618" s="76">
        <f>+BC618*30000</f>
        <v>0</v>
      </c>
      <c r="BE618" s="76"/>
      <c r="BF618" s="76"/>
      <c r="BG618" s="76"/>
      <c r="BH618" s="76"/>
      <c r="BI618" s="76"/>
      <c r="BJ618" s="76"/>
      <c r="BK618" s="76"/>
      <c r="BL618" s="76">
        <f>+BK618*31500</f>
        <v>0</v>
      </c>
      <c r="BM618" s="76"/>
      <c r="BN618" s="76"/>
      <c r="BO618" s="76"/>
      <c r="BP618" s="76"/>
      <c r="BQ618" s="76"/>
      <c r="BR618" s="76"/>
      <c r="BS618" s="76"/>
      <c r="BT618" s="76"/>
      <c r="BU618" s="76"/>
      <c r="BV618" s="76"/>
      <c r="BW618" s="76"/>
      <c r="BX618" s="76"/>
      <c r="BY618" s="76"/>
      <c r="BZ618" s="76"/>
      <c r="CA618" s="76"/>
      <c r="CB618" s="76"/>
      <c r="CC618" s="76"/>
      <c r="CD618" s="76"/>
      <c r="CE618" s="76"/>
      <c r="CF618" s="76">
        <f>+CE618*28000</f>
        <v>0</v>
      </c>
      <c r="CG618" s="76"/>
      <c r="CH618" s="76">
        <f>+CG618*22500</f>
        <v>0</v>
      </c>
      <c r="CI618" s="76"/>
      <c r="CJ618" s="76">
        <f>+CI618*26000</f>
        <v>0</v>
      </c>
      <c r="CK618" s="76"/>
      <c r="CL618" s="76"/>
      <c r="CM618" s="76"/>
      <c r="CN618" s="76">
        <f>+CM618*22000</f>
        <v>0</v>
      </c>
      <c r="CO618" s="76"/>
      <c r="CP618" s="76">
        <f>+CO618*46000</f>
        <v>0</v>
      </c>
      <c r="CQ618" s="76"/>
      <c r="CR618" s="76">
        <f>+CQ618*49000</f>
        <v>0</v>
      </c>
      <c r="CS618" s="76"/>
      <c r="CT618" s="76"/>
      <c r="CU618" s="56">
        <f>AN618+AP618+AR618+AT618+AV618+AX618+AZ618+BB618+BD618+BF618+BH618+BJ618+BL618+BN618+BP618+BR618+BT618+BV618+BX618+BZ618+CB618+CD618+CF618+CH618+CJ618+CL618+CN618+CP618+CR618+CT618</f>
        <v>0</v>
      </c>
      <c r="CV618" s="86">
        <v>50000</v>
      </c>
      <c r="CW618" s="86">
        <f>+CV618*1160</f>
        <v>58000000</v>
      </c>
      <c r="CX618" s="76"/>
      <c r="CY618" s="76">
        <f>+CX618*106250</f>
        <v>0</v>
      </c>
      <c r="CZ618" s="76"/>
      <c r="DA618" s="76">
        <f>+CZ618*34500</f>
        <v>0</v>
      </c>
      <c r="DB618" s="76"/>
      <c r="DC618" s="76">
        <f>+DB618*25000</f>
        <v>0</v>
      </c>
      <c r="DD618" s="219"/>
      <c r="DE618" s="219"/>
      <c r="DF618" s="166"/>
      <c r="DG618" s="116"/>
      <c r="DH618" s="117"/>
      <c r="DI618" s="24"/>
      <c r="DJ618" s="24"/>
      <c r="DK618" s="24"/>
      <c r="DL618" s="24"/>
      <c r="DM618" s="24"/>
      <c r="DN618" s="24"/>
      <c r="DO618" s="24"/>
      <c r="DP618" s="24"/>
      <c r="DQ618" s="24"/>
      <c r="DR618" s="24"/>
      <c r="DS618" s="24"/>
      <c r="DT618" s="24"/>
      <c r="DU618" s="24"/>
    </row>
    <row r="619" spans="1:125" s="8" customFormat="1" ht="36" x14ac:dyDescent="0.2">
      <c r="A619" s="77">
        <v>41313</v>
      </c>
      <c r="B619" s="78" t="s">
        <v>2811</v>
      </c>
      <c r="C619" s="75" t="s">
        <v>2004</v>
      </c>
      <c r="D619" s="75" t="s">
        <v>3051</v>
      </c>
      <c r="E619" s="75" t="str">
        <f>VLOOKUP(B619&amp;C619,Divipola!$C$2:$F$1138,4,FALSE)</f>
        <v>52838</v>
      </c>
      <c r="F619" s="163"/>
      <c r="G619" s="163"/>
      <c r="H619" s="163"/>
      <c r="I619" s="163"/>
      <c r="J619" s="163"/>
      <c r="K619" s="163"/>
      <c r="L619" s="163"/>
      <c r="M619" s="163"/>
      <c r="N619" s="163"/>
      <c r="O619" s="163"/>
      <c r="P619" s="163"/>
      <c r="Q619" s="163"/>
      <c r="R619" s="163"/>
      <c r="S619" s="163"/>
      <c r="T619" s="163"/>
      <c r="U619" s="163"/>
      <c r="V619" s="134"/>
      <c r="W619" s="96">
        <v>4050000</v>
      </c>
      <c r="X619" s="71">
        <f>CU619</f>
        <v>0</v>
      </c>
      <c r="Y619" s="71">
        <f>CY619</f>
        <v>0</v>
      </c>
      <c r="Z619" s="71">
        <f>DA619+DC619+DE619</f>
        <v>0</v>
      </c>
      <c r="AA619" s="71">
        <f>CW619</f>
        <v>0</v>
      </c>
      <c r="AB619" s="71"/>
      <c r="AC619" s="71">
        <v>0</v>
      </c>
      <c r="AD619" s="71">
        <f>W619+X619+Y619+Z619+AA619+AB619+AC619</f>
        <v>4050000</v>
      </c>
      <c r="AE619" s="72">
        <v>0</v>
      </c>
      <c r="AF619" s="5"/>
      <c r="AG619" s="6"/>
      <c r="AH619" s="27" t="s">
        <v>3390</v>
      </c>
      <c r="AI619" s="44" t="s">
        <v>3391</v>
      </c>
      <c r="AJ619" s="26"/>
      <c r="AK619" s="5"/>
      <c r="AL619" s="82" t="s">
        <v>3464</v>
      </c>
      <c r="AM619" s="76"/>
      <c r="AN619" s="76"/>
      <c r="AO619" s="76"/>
      <c r="AP619" s="76"/>
      <c r="AQ619" s="76"/>
      <c r="AR619" s="76"/>
      <c r="AS619" s="76"/>
      <c r="AT619" s="76"/>
      <c r="AU619" s="76"/>
      <c r="AV619" s="76"/>
      <c r="AW619" s="76"/>
      <c r="AX619" s="76">
        <f>+AW619*600000</f>
        <v>0</v>
      </c>
      <c r="AY619" s="76"/>
      <c r="AZ619" s="76">
        <f>+AY619*70000</f>
        <v>0</v>
      </c>
      <c r="BA619" s="76"/>
      <c r="BB619" s="76"/>
      <c r="BC619" s="76"/>
      <c r="BD619" s="76">
        <f>+BC619*30000</f>
        <v>0</v>
      </c>
      <c r="BE619" s="76"/>
      <c r="BF619" s="76"/>
      <c r="BG619" s="76"/>
      <c r="BH619" s="76"/>
      <c r="BI619" s="76"/>
      <c r="BJ619" s="76"/>
      <c r="BK619" s="76"/>
      <c r="BL619" s="76">
        <f>+BK619*31500</f>
        <v>0</v>
      </c>
      <c r="BM619" s="76"/>
      <c r="BN619" s="76"/>
      <c r="BO619" s="76"/>
      <c r="BP619" s="76"/>
      <c r="BQ619" s="76"/>
      <c r="BR619" s="76"/>
      <c r="BS619" s="76"/>
      <c r="BT619" s="76"/>
      <c r="BU619" s="76"/>
      <c r="BV619" s="76"/>
      <c r="BW619" s="76"/>
      <c r="BX619" s="76"/>
      <c r="BY619" s="76"/>
      <c r="BZ619" s="76"/>
      <c r="CA619" s="76"/>
      <c r="CB619" s="76"/>
      <c r="CC619" s="76"/>
      <c r="CD619" s="76"/>
      <c r="CE619" s="76"/>
      <c r="CF619" s="76">
        <f>+CE619*28000</f>
        <v>0</v>
      </c>
      <c r="CG619" s="76"/>
      <c r="CH619" s="76">
        <f>+CG619*22500</f>
        <v>0</v>
      </c>
      <c r="CI619" s="76"/>
      <c r="CJ619" s="76">
        <f>+CI619*26000</f>
        <v>0</v>
      </c>
      <c r="CK619" s="76"/>
      <c r="CL619" s="76"/>
      <c r="CM619" s="76"/>
      <c r="CN619" s="76">
        <f>+CM619*22000</f>
        <v>0</v>
      </c>
      <c r="CO619" s="76"/>
      <c r="CP619" s="76">
        <f>+CO619*46000</f>
        <v>0</v>
      </c>
      <c r="CQ619" s="76"/>
      <c r="CR619" s="76">
        <f>+CQ619*49000</f>
        <v>0</v>
      </c>
      <c r="CS619" s="76"/>
      <c r="CT619" s="76"/>
      <c r="CU619" s="56">
        <f>AN619+AP619+AR619+AT619+AV619+AX619+AZ619+BB619+BD619+BF619+BH619+BJ619+BL619+BN619+BP619+BR619+BT619+BV619+BX619+BZ619+CB619+CD619+CF619+CH619+CJ619+CL619+CN619+CP619+CR619+CT619</f>
        <v>0</v>
      </c>
      <c r="CV619" s="76"/>
      <c r="CW619" s="76">
        <f>+CV619*1100</f>
        <v>0</v>
      </c>
      <c r="CX619" s="76"/>
      <c r="CY619" s="76">
        <f>+CX619*106250</f>
        <v>0</v>
      </c>
      <c r="CZ619" s="76"/>
      <c r="DA619" s="76">
        <f>+CZ619*34500</f>
        <v>0</v>
      </c>
      <c r="DB619" s="76"/>
      <c r="DC619" s="76">
        <f>+DB619*25000</f>
        <v>0</v>
      </c>
      <c r="DD619" s="219"/>
      <c r="DE619" s="219"/>
      <c r="DF619" s="166"/>
      <c r="DG619" s="116"/>
      <c r="DH619" s="117"/>
      <c r="DI619" s="24"/>
      <c r="DJ619" s="24"/>
      <c r="DK619" s="24"/>
      <c r="DL619" s="24"/>
      <c r="DM619" s="24"/>
      <c r="DN619" s="24"/>
      <c r="DO619" s="24"/>
      <c r="DP619" s="24"/>
      <c r="DQ619" s="24"/>
      <c r="DR619" s="24"/>
      <c r="DS619" s="24"/>
      <c r="DT619" s="24"/>
      <c r="DU619" s="24"/>
    </row>
    <row r="620" spans="1:125" s="8" customFormat="1" ht="96" x14ac:dyDescent="0.2">
      <c r="A620" s="77">
        <v>41313</v>
      </c>
      <c r="B620" s="352" t="s">
        <v>3131</v>
      </c>
      <c r="C620" s="354" t="s">
        <v>2689</v>
      </c>
      <c r="D620" s="75" t="s">
        <v>3051</v>
      </c>
      <c r="E620" s="75" t="str">
        <f>VLOOKUP(B620&amp;C620,Divipola!$C$2:$F$1138,4,FALSE)</f>
        <v>86320</v>
      </c>
      <c r="F620" s="100"/>
      <c r="G620" s="100"/>
      <c r="H620" s="100">
        <v>2</v>
      </c>
      <c r="I620" s="100"/>
      <c r="J620" s="100"/>
      <c r="K620" s="100"/>
      <c r="L620" s="100"/>
      <c r="M620" s="100"/>
      <c r="N620" s="100"/>
      <c r="O620" s="100"/>
      <c r="P620" s="100"/>
      <c r="Q620" s="100"/>
      <c r="R620" s="100"/>
      <c r="S620" s="100"/>
      <c r="T620" s="100"/>
      <c r="U620" s="136"/>
      <c r="V620" s="89"/>
      <c r="W620" s="96">
        <v>0</v>
      </c>
      <c r="X620" s="71">
        <f>CU620</f>
        <v>0</v>
      </c>
      <c r="Y620" s="71">
        <f>CY620</f>
        <v>0</v>
      </c>
      <c r="Z620" s="71">
        <f>DA620+DC620+DE620</f>
        <v>0</v>
      </c>
      <c r="AA620" s="71">
        <f>CW620</f>
        <v>0</v>
      </c>
      <c r="AB620" s="71"/>
      <c r="AC620" s="71">
        <v>0</v>
      </c>
      <c r="AD620" s="71">
        <f>W620+X620+Y620+Z620+AA620+AB620+AC620</f>
        <v>0</v>
      </c>
      <c r="AE620" s="72">
        <v>0</v>
      </c>
      <c r="AF620" s="5"/>
      <c r="AG620" s="6"/>
      <c r="AH620" s="27" t="s">
        <v>3392</v>
      </c>
      <c r="AI620" s="44" t="s">
        <v>3393</v>
      </c>
      <c r="AJ620" s="26"/>
      <c r="AK620" s="5"/>
      <c r="AL620" s="82" t="s">
        <v>3449</v>
      </c>
      <c r="AM620" s="76"/>
      <c r="AN620" s="76"/>
      <c r="AO620" s="76"/>
      <c r="AP620" s="76"/>
      <c r="AQ620" s="76"/>
      <c r="AR620" s="76"/>
      <c r="AS620" s="76"/>
      <c r="AT620" s="76"/>
      <c r="AU620" s="76"/>
      <c r="AV620" s="76"/>
      <c r="AW620" s="76"/>
      <c r="AX620" s="76">
        <f>+AW620*600000</f>
        <v>0</v>
      </c>
      <c r="AY620" s="76"/>
      <c r="AZ620" s="76">
        <f>+AY620*70000</f>
        <v>0</v>
      </c>
      <c r="BA620" s="76"/>
      <c r="BB620" s="76"/>
      <c r="BC620" s="76"/>
      <c r="BD620" s="76">
        <f>+BC620*30000</f>
        <v>0</v>
      </c>
      <c r="BE620" s="76"/>
      <c r="BF620" s="76"/>
      <c r="BG620" s="76"/>
      <c r="BH620" s="76"/>
      <c r="BI620" s="76"/>
      <c r="BJ620" s="76"/>
      <c r="BK620" s="76"/>
      <c r="BL620" s="76">
        <f>+BK620*31500</f>
        <v>0</v>
      </c>
      <c r="BM620" s="76"/>
      <c r="BN620" s="76"/>
      <c r="BO620" s="76"/>
      <c r="BP620" s="76"/>
      <c r="BQ620" s="76"/>
      <c r="BR620" s="76"/>
      <c r="BS620" s="76"/>
      <c r="BT620" s="76"/>
      <c r="BU620" s="76"/>
      <c r="BV620" s="76"/>
      <c r="BW620" s="76"/>
      <c r="BX620" s="76"/>
      <c r="BY620" s="76"/>
      <c r="BZ620" s="76"/>
      <c r="CA620" s="76"/>
      <c r="CB620" s="76"/>
      <c r="CC620" s="76"/>
      <c r="CD620" s="76"/>
      <c r="CE620" s="76"/>
      <c r="CF620" s="76">
        <f>+CE620*28000</f>
        <v>0</v>
      </c>
      <c r="CG620" s="76"/>
      <c r="CH620" s="76">
        <f>+CG620*22500</f>
        <v>0</v>
      </c>
      <c r="CI620" s="76"/>
      <c r="CJ620" s="76">
        <f>+CI620*26000</f>
        <v>0</v>
      </c>
      <c r="CK620" s="76"/>
      <c r="CL620" s="76"/>
      <c r="CM620" s="76"/>
      <c r="CN620" s="76">
        <f>+CM620*22000</f>
        <v>0</v>
      </c>
      <c r="CO620" s="76"/>
      <c r="CP620" s="76">
        <f>+CO620*46000</f>
        <v>0</v>
      </c>
      <c r="CQ620" s="76"/>
      <c r="CR620" s="76">
        <f>+CQ620*49000</f>
        <v>0</v>
      </c>
      <c r="CS620" s="76"/>
      <c r="CT620" s="76"/>
      <c r="CU620" s="56">
        <f>AN620+AP620+AR620+AT620+AV620+AX620+AZ620+BB620+BD620+BF620+BH620+BJ620+BL620+BN620+BP620+BR620+BT620+BV620+BX620+BZ620+CB620+CD620+CF620+CH620+CJ620+CL620+CN620+CP620+CR620+CT620</f>
        <v>0</v>
      </c>
      <c r="CV620" s="76"/>
      <c r="CW620" s="76">
        <f>+CV620*1100</f>
        <v>0</v>
      </c>
      <c r="CX620" s="76"/>
      <c r="CY620" s="76">
        <f>+CX620*106250</f>
        <v>0</v>
      </c>
      <c r="CZ620" s="76"/>
      <c r="DA620" s="76">
        <f>+CZ620*34500</f>
        <v>0</v>
      </c>
      <c r="DB620" s="76"/>
      <c r="DC620" s="76">
        <f>+DB620*25000</f>
        <v>0</v>
      </c>
      <c r="DD620" s="219"/>
      <c r="DE620" s="219"/>
      <c r="DF620" s="166"/>
      <c r="DG620" s="116"/>
      <c r="DH620" s="117"/>
      <c r="DI620" s="24"/>
      <c r="DJ620" s="24"/>
      <c r="DK620" s="24"/>
      <c r="DL620" s="24"/>
      <c r="DM620" s="24"/>
      <c r="DN620" s="24"/>
      <c r="DO620" s="24"/>
      <c r="DP620" s="24"/>
      <c r="DQ620" s="24"/>
      <c r="DR620" s="24"/>
      <c r="DS620" s="24"/>
      <c r="DT620" s="24"/>
      <c r="DU620" s="24"/>
    </row>
    <row r="621" spans="1:125" s="8" customFormat="1" ht="24" x14ac:dyDescent="0.2">
      <c r="A621" s="77">
        <v>41313</v>
      </c>
      <c r="B621" s="78" t="s">
        <v>2860</v>
      </c>
      <c r="C621" s="75" t="s">
        <v>2776</v>
      </c>
      <c r="D621" s="84" t="s">
        <v>3088</v>
      </c>
      <c r="E621" s="75" t="str">
        <f>VLOOKUP(B621&amp;C621,Divipola!$C$2:$F$1138,4,FALSE)</f>
        <v>63001</v>
      </c>
      <c r="F621" s="87"/>
      <c r="G621" s="87"/>
      <c r="H621" s="87"/>
      <c r="I621" s="87">
        <v>5</v>
      </c>
      <c r="J621" s="87">
        <v>1</v>
      </c>
      <c r="K621" s="87"/>
      <c r="L621" s="87">
        <v>1</v>
      </c>
      <c r="M621" s="87"/>
      <c r="N621" s="87"/>
      <c r="O621" s="87"/>
      <c r="P621" s="87"/>
      <c r="Q621" s="87"/>
      <c r="R621" s="87"/>
      <c r="S621" s="87"/>
      <c r="T621" s="87"/>
      <c r="U621" s="88"/>
      <c r="V621" s="89"/>
      <c r="W621" s="96">
        <v>0</v>
      </c>
      <c r="X621" s="71">
        <f>CU621</f>
        <v>0</v>
      </c>
      <c r="Y621" s="71">
        <f>CY621</f>
        <v>0</v>
      </c>
      <c r="Z621" s="71">
        <f>DA621+DC621+DE621</f>
        <v>0</v>
      </c>
      <c r="AA621" s="71">
        <f>CW621</f>
        <v>0</v>
      </c>
      <c r="AB621" s="71"/>
      <c r="AC621" s="71">
        <v>0</v>
      </c>
      <c r="AD621" s="71">
        <f>W621+X621+Y621+Z621+AA621+AB621+AC621</f>
        <v>0</v>
      </c>
      <c r="AE621" s="72">
        <v>0</v>
      </c>
      <c r="AF621" s="5"/>
      <c r="AG621" s="6"/>
      <c r="AH621" s="27" t="s">
        <v>3390</v>
      </c>
      <c r="AI621" s="44" t="s">
        <v>3391</v>
      </c>
      <c r="AJ621" s="26"/>
      <c r="AK621" s="5" t="s">
        <v>3480</v>
      </c>
      <c r="AL621" s="82" t="s">
        <v>3452</v>
      </c>
      <c r="AM621" s="76"/>
      <c r="AN621" s="76"/>
      <c r="AO621" s="76"/>
      <c r="AP621" s="76"/>
      <c r="AQ621" s="76"/>
      <c r="AR621" s="76"/>
      <c r="AS621" s="76"/>
      <c r="AT621" s="76"/>
      <c r="AU621" s="76"/>
      <c r="AV621" s="76"/>
      <c r="AW621" s="76"/>
      <c r="AX621" s="76">
        <f>+AW621*600000</f>
        <v>0</v>
      </c>
      <c r="AY621" s="76"/>
      <c r="AZ621" s="76">
        <f>+AY621*70000</f>
        <v>0</v>
      </c>
      <c r="BA621" s="76"/>
      <c r="BB621" s="76"/>
      <c r="BC621" s="76"/>
      <c r="BD621" s="76">
        <f>+BC621*30000</f>
        <v>0</v>
      </c>
      <c r="BE621" s="76"/>
      <c r="BF621" s="76"/>
      <c r="BG621" s="76"/>
      <c r="BH621" s="76"/>
      <c r="BI621" s="76"/>
      <c r="BJ621" s="76"/>
      <c r="BK621" s="76"/>
      <c r="BL621" s="76">
        <f>+BK621*31500</f>
        <v>0</v>
      </c>
      <c r="BM621" s="76"/>
      <c r="BN621" s="76"/>
      <c r="BO621" s="76"/>
      <c r="BP621" s="76"/>
      <c r="BQ621" s="76"/>
      <c r="BR621" s="76"/>
      <c r="BS621" s="76"/>
      <c r="BT621" s="76"/>
      <c r="BU621" s="76"/>
      <c r="BV621" s="76"/>
      <c r="BW621" s="76"/>
      <c r="BX621" s="76"/>
      <c r="BY621" s="76"/>
      <c r="BZ621" s="76"/>
      <c r="CA621" s="76"/>
      <c r="CB621" s="76"/>
      <c r="CC621" s="76"/>
      <c r="CD621" s="76"/>
      <c r="CE621" s="76"/>
      <c r="CF621" s="76">
        <f>+CE621*28000</f>
        <v>0</v>
      </c>
      <c r="CG621" s="76"/>
      <c r="CH621" s="76">
        <f>+CG621*22500</f>
        <v>0</v>
      </c>
      <c r="CI621" s="76"/>
      <c r="CJ621" s="76">
        <f>+CI621*26000</f>
        <v>0</v>
      </c>
      <c r="CK621" s="76"/>
      <c r="CL621" s="76"/>
      <c r="CM621" s="76"/>
      <c r="CN621" s="76">
        <f>+CM621*22000</f>
        <v>0</v>
      </c>
      <c r="CO621" s="76"/>
      <c r="CP621" s="76">
        <f>+CO621*46000</f>
        <v>0</v>
      </c>
      <c r="CQ621" s="76"/>
      <c r="CR621" s="76">
        <f>+CQ621*49000</f>
        <v>0</v>
      </c>
      <c r="CS621" s="76"/>
      <c r="CT621" s="76"/>
      <c r="CU621" s="56">
        <f>AN621+AP621+AR621+AT621+AV621+AX621+AZ621+BB621+BD621+BF621+BH621+BJ621+BL621+BN621+BP621+BR621+BT621+BV621+BX621+BZ621+CB621+CD621+CF621+CH621+CJ621+CL621+CN621+CP621+CR621+CT621</f>
        <v>0</v>
      </c>
      <c r="CV621" s="76"/>
      <c r="CW621" s="76">
        <f>+CV621*1100</f>
        <v>0</v>
      </c>
      <c r="CX621" s="76"/>
      <c r="CY621" s="76">
        <f>+CX621*106250</f>
        <v>0</v>
      </c>
      <c r="CZ621" s="76"/>
      <c r="DA621" s="76">
        <f>+CZ621*34500</f>
        <v>0</v>
      </c>
      <c r="DB621" s="76"/>
      <c r="DC621" s="76">
        <f>+DB621*25000</f>
        <v>0</v>
      </c>
      <c r="DD621" s="219"/>
      <c r="DE621" s="219"/>
      <c r="DF621" s="166"/>
      <c r="DG621" s="116"/>
      <c r="DH621" s="117"/>
      <c r="DI621" s="24"/>
      <c r="DJ621" s="24"/>
      <c r="DK621" s="24"/>
      <c r="DL621" s="24"/>
      <c r="DM621" s="24"/>
      <c r="DN621" s="24"/>
      <c r="DO621" s="24"/>
      <c r="DP621" s="24"/>
      <c r="DQ621" s="24"/>
      <c r="DR621" s="24"/>
      <c r="DS621" s="24"/>
      <c r="DT621" s="24"/>
      <c r="DU621" s="24"/>
    </row>
    <row r="622" spans="1:125" s="8" customFormat="1" ht="84" x14ac:dyDescent="0.2">
      <c r="A622" s="77">
        <v>41313</v>
      </c>
      <c r="B622" s="225" t="s">
        <v>2860</v>
      </c>
      <c r="C622" s="227" t="s">
        <v>2776</v>
      </c>
      <c r="D622" s="227" t="s">
        <v>2936</v>
      </c>
      <c r="E622" s="75" t="str">
        <f>VLOOKUP(B622&amp;C622,Divipola!$C$2:$F$1138,4,FALSE)</f>
        <v>63001</v>
      </c>
      <c r="F622" s="100"/>
      <c r="G622" s="100">
        <v>2</v>
      </c>
      <c r="H622" s="100"/>
      <c r="I622" s="100">
        <v>2</v>
      </c>
      <c r="J622" s="100">
        <v>1</v>
      </c>
      <c r="K622" s="100"/>
      <c r="L622" s="100">
        <v>1</v>
      </c>
      <c r="M622" s="100"/>
      <c r="N622" s="100"/>
      <c r="O622" s="100"/>
      <c r="P622" s="100"/>
      <c r="Q622" s="100"/>
      <c r="R622" s="100"/>
      <c r="S622" s="100"/>
      <c r="T622" s="100"/>
      <c r="U622" s="136"/>
      <c r="V622" s="89"/>
      <c r="W622" s="96">
        <v>0</v>
      </c>
      <c r="X622" s="71">
        <f>CU622</f>
        <v>0</v>
      </c>
      <c r="Y622" s="71">
        <f>CY622</f>
        <v>0</v>
      </c>
      <c r="Z622" s="71">
        <f>DA622+DC622+DE622</f>
        <v>0</v>
      </c>
      <c r="AA622" s="71">
        <f>CW622</f>
        <v>0</v>
      </c>
      <c r="AB622" s="71"/>
      <c r="AC622" s="71">
        <v>0</v>
      </c>
      <c r="AD622" s="71">
        <f>W622+X622+Y622+Z622+AA622+AB622+AC622</f>
        <v>0</v>
      </c>
      <c r="AE622" s="72">
        <v>0</v>
      </c>
      <c r="AF622" s="5"/>
      <c r="AG622" s="6"/>
      <c r="AH622" s="27" t="s">
        <v>3392</v>
      </c>
      <c r="AI622" s="44" t="s">
        <v>3393</v>
      </c>
      <c r="AJ622" s="26"/>
      <c r="AK622" s="5"/>
      <c r="AL622" s="82" t="s">
        <v>3442</v>
      </c>
      <c r="AM622" s="76"/>
      <c r="AN622" s="76"/>
      <c r="AO622" s="76"/>
      <c r="AP622" s="76"/>
      <c r="AQ622" s="76"/>
      <c r="AR622" s="76"/>
      <c r="AS622" s="76"/>
      <c r="AT622" s="76"/>
      <c r="AU622" s="76"/>
      <c r="AV622" s="76"/>
      <c r="AW622" s="76"/>
      <c r="AX622" s="76">
        <f>+AW622*600000</f>
        <v>0</v>
      </c>
      <c r="AY622" s="76"/>
      <c r="AZ622" s="76">
        <f>+AY622*70000</f>
        <v>0</v>
      </c>
      <c r="BA622" s="76"/>
      <c r="BB622" s="76"/>
      <c r="BC622" s="76"/>
      <c r="BD622" s="76">
        <f>+BC622*30000</f>
        <v>0</v>
      </c>
      <c r="BE622" s="76"/>
      <c r="BF622" s="76"/>
      <c r="BG622" s="76"/>
      <c r="BH622" s="76"/>
      <c r="BI622" s="76"/>
      <c r="BJ622" s="76"/>
      <c r="BK622" s="76"/>
      <c r="BL622" s="76">
        <f>+BK622*31500</f>
        <v>0</v>
      </c>
      <c r="BM622" s="76"/>
      <c r="BN622" s="76"/>
      <c r="BO622" s="76"/>
      <c r="BP622" s="76"/>
      <c r="BQ622" s="76"/>
      <c r="BR622" s="76"/>
      <c r="BS622" s="76"/>
      <c r="BT622" s="76"/>
      <c r="BU622" s="76"/>
      <c r="BV622" s="76"/>
      <c r="BW622" s="76"/>
      <c r="BX622" s="76"/>
      <c r="BY622" s="76"/>
      <c r="BZ622" s="76"/>
      <c r="CA622" s="76"/>
      <c r="CB622" s="76"/>
      <c r="CC622" s="76"/>
      <c r="CD622" s="76"/>
      <c r="CE622" s="76"/>
      <c r="CF622" s="76">
        <f>+CE622*28000</f>
        <v>0</v>
      </c>
      <c r="CG622" s="76"/>
      <c r="CH622" s="76">
        <f>+CG622*22500</f>
        <v>0</v>
      </c>
      <c r="CI622" s="76"/>
      <c r="CJ622" s="76">
        <f>+CI622*26000</f>
        <v>0</v>
      </c>
      <c r="CK622" s="76"/>
      <c r="CL622" s="76"/>
      <c r="CM622" s="76"/>
      <c r="CN622" s="76">
        <f>+CM622*22000</f>
        <v>0</v>
      </c>
      <c r="CO622" s="76"/>
      <c r="CP622" s="76">
        <f>+CO622*46000</f>
        <v>0</v>
      </c>
      <c r="CQ622" s="76"/>
      <c r="CR622" s="76">
        <f>+CQ622*49000</f>
        <v>0</v>
      </c>
      <c r="CS622" s="76"/>
      <c r="CT622" s="76"/>
      <c r="CU622" s="56">
        <f>AN622+AP622+AR622+AT622+AV622+AX622+AZ622+BB622+BD622+BF622+BH622+BJ622+BL622+BN622+BP622+BR622+BT622+BV622+BX622+BZ622+CB622+CD622+CF622+CH622+CJ622+CL622+CN622+CP622+CR622+CT622</f>
        <v>0</v>
      </c>
      <c r="CV622" s="76"/>
      <c r="CW622" s="76">
        <f>+CV622*1100</f>
        <v>0</v>
      </c>
      <c r="CX622" s="76"/>
      <c r="CY622" s="76">
        <f>+CX622*106250</f>
        <v>0</v>
      </c>
      <c r="CZ622" s="76"/>
      <c r="DA622" s="76">
        <f>+CZ622*34500</f>
        <v>0</v>
      </c>
      <c r="DB622" s="76"/>
      <c r="DC622" s="76">
        <f>+DB622*25000</f>
        <v>0</v>
      </c>
      <c r="DD622" s="219"/>
      <c r="DE622" s="219"/>
      <c r="DF622" s="166"/>
      <c r="DG622" s="116"/>
      <c r="DH622" s="117"/>
      <c r="DI622" s="24"/>
      <c r="DJ622" s="24"/>
      <c r="DK622" s="24"/>
      <c r="DL622" s="24"/>
      <c r="DM622" s="24"/>
      <c r="DN622" s="24"/>
      <c r="DO622" s="24"/>
      <c r="DP622" s="24"/>
      <c r="DQ622" s="24"/>
      <c r="DR622" s="24"/>
      <c r="DS622" s="24"/>
      <c r="DT622" s="24"/>
      <c r="DU622" s="24"/>
    </row>
    <row r="623" spans="1:125" s="8" customFormat="1" ht="108" x14ac:dyDescent="0.2">
      <c r="A623" s="77">
        <v>41313</v>
      </c>
      <c r="B623" s="225" t="s">
        <v>2847</v>
      </c>
      <c r="C623" s="227" t="s">
        <v>2814</v>
      </c>
      <c r="D623" s="75" t="s">
        <v>3051</v>
      </c>
      <c r="E623" s="75" t="str">
        <f>VLOOKUP(B623&amp;C623,Divipola!$C$2:$F$1138,4,FALSE)</f>
        <v>68307</v>
      </c>
      <c r="F623" s="87"/>
      <c r="G623" s="87"/>
      <c r="H623" s="87"/>
      <c r="I623" s="87">
        <v>24</v>
      </c>
      <c r="J623" s="87">
        <v>6</v>
      </c>
      <c r="K623" s="87"/>
      <c r="L623" s="87">
        <v>6</v>
      </c>
      <c r="M623" s="87"/>
      <c r="N623" s="87"/>
      <c r="O623" s="87"/>
      <c r="P623" s="87"/>
      <c r="Q623" s="87"/>
      <c r="R623" s="87"/>
      <c r="S623" s="87"/>
      <c r="T623" s="87"/>
      <c r="U623" s="88"/>
      <c r="V623" s="89"/>
      <c r="W623" s="96">
        <v>0</v>
      </c>
      <c r="X623" s="71">
        <f>CU623</f>
        <v>0</v>
      </c>
      <c r="Y623" s="71">
        <f>CY623</f>
        <v>0</v>
      </c>
      <c r="Z623" s="71">
        <f>DA623+DC623+DE623</f>
        <v>0</v>
      </c>
      <c r="AA623" s="71">
        <f>CW623</f>
        <v>0</v>
      </c>
      <c r="AB623" s="71"/>
      <c r="AC623" s="71">
        <v>0</v>
      </c>
      <c r="AD623" s="71">
        <f>W623+X623+Y623+Z623+AA623+AB623+AC623</f>
        <v>0</v>
      </c>
      <c r="AE623" s="72">
        <v>0</v>
      </c>
      <c r="AF623" s="5"/>
      <c r="AG623" s="6"/>
      <c r="AH623" s="27" t="s">
        <v>3392</v>
      </c>
      <c r="AI623" s="44" t="s">
        <v>3393</v>
      </c>
      <c r="AJ623" s="26"/>
      <c r="AK623" s="5"/>
      <c r="AL623" s="82" t="s">
        <v>3453</v>
      </c>
      <c r="AM623" s="76"/>
      <c r="AN623" s="76"/>
      <c r="AO623" s="76"/>
      <c r="AP623" s="76"/>
      <c r="AQ623" s="76"/>
      <c r="AR623" s="76"/>
      <c r="AS623" s="76"/>
      <c r="AT623" s="76"/>
      <c r="AU623" s="76"/>
      <c r="AV623" s="76"/>
      <c r="AW623" s="76"/>
      <c r="AX623" s="76">
        <f>+AW623*600000</f>
        <v>0</v>
      </c>
      <c r="AY623" s="76"/>
      <c r="AZ623" s="76">
        <f>+AY623*70000</f>
        <v>0</v>
      </c>
      <c r="BA623" s="76"/>
      <c r="BB623" s="76"/>
      <c r="BC623" s="76"/>
      <c r="BD623" s="76">
        <f>+BC623*30000</f>
        <v>0</v>
      </c>
      <c r="BE623" s="76"/>
      <c r="BF623" s="76"/>
      <c r="BG623" s="76"/>
      <c r="BH623" s="76"/>
      <c r="BI623" s="76"/>
      <c r="BJ623" s="76"/>
      <c r="BK623" s="76"/>
      <c r="BL623" s="76">
        <f>+BK623*31500</f>
        <v>0</v>
      </c>
      <c r="BM623" s="76"/>
      <c r="BN623" s="76"/>
      <c r="BO623" s="76"/>
      <c r="BP623" s="76"/>
      <c r="BQ623" s="76"/>
      <c r="BR623" s="76"/>
      <c r="BS623" s="76"/>
      <c r="BT623" s="76"/>
      <c r="BU623" s="76"/>
      <c r="BV623" s="76"/>
      <c r="BW623" s="76"/>
      <c r="BX623" s="76"/>
      <c r="BY623" s="76"/>
      <c r="BZ623" s="76"/>
      <c r="CA623" s="76"/>
      <c r="CB623" s="76"/>
      <c r="CC623" s="76"/>
      <c r="CD623" s="76"/>
      <c r="CE623" s="76"/>
      <c r="CF623" s="76">
        <f>+CE623*28000</f>
        <v>0</v>
      </c>
      <c r="CG623" s="76"/>
      <c r="CH623" s="76">
        <f>+CG623*22500</f>
        <v>0</v>
      </c>
      <c r="CI623" s="76"/>
      <c r="CJ623" s="76">
        <f>+CI623*26000</f>
        <v>0</v>
      </c>
      <c r="CK623" s="76"/>
      <c r="CL623" s="76"/>
      <c r="CM623" s="76"/>
      <c r="CN623" s="76">
        <f>+CM623*22000</f>
        <v>0</v>
      </c>
      <c r="CO623" s="76"/>
      <c r="CP623" s="76">
        <f>+CO623*46000</f>
        <v>0</v>
      </c>
      <c r="CQ623" s="76"/>
      <c r="CR623" s="76">
        <f>+CQ623*49000</f>
        <v>0</v>
      </c>
      <c r="CS623" s="76"/>
      <c r="CT623" s="76"/>
      <c r="CU623" s="56">
        <f>AN623+AP623+AR623+AT623+AV623+AX623+AZ623+BB623+BD623+BF623+BH623+BJ623+BL623+BN623+BP623+BR623+BT623+BV623+BX623+BZ623+CB623+CD623+CF623+CH623+CJ623+CL623+CN623+CP623+CR623+CT623</f>
        <v>0</v>
      </c>
      <c r="CV623" s="76"/>
      <c r="CW623" s="76">
        <f>+CV623*1100</f>
        <v>0</v>
      </c>
      <c r="CX623" s="76"/>
      <c r="CY623" s="76">
        <f>+CX623*106250</f>
        <v>0</v>
      </c>
      <c r="CZ623" s="76"/>
      <c r="DA623" s="76">
        <f>+CZ623*34500</f>
        <v>0</v>
      </c>
      <c r="DB623" s="76"/>
      <c r="DC623" s="76">
        <f>+DB623*25000</f>
        <v>0</v>
      </c>
      <c r="DD623" s="219"/>
      <c r="DE623" s="219"/>
      <c r="DF623" s="166"/>
      <c r="DG623" s="116"/>
      <c r="DH623" s="117"/>
      <c r="DI623" s="24"/>
      <c r="DJ623" s="24"/>
      <c r="DK623" s="24"/>
      <c r="DL623" s="24"/>
      <c r="DM623" s="24"/>
      <c r="DN623" s="24"/>
      <c r="DO623" s="24"/>
      <c r="DP623" s="24"/>
      <c r="DQ623" s="24"/>
      <c r="DR623" s="24"/>
      <c r="DS623" s="24"/>
      <c r="DT623" s="24"/>
      <c r="DU623" s="24"/>
    </row>
    <row r="624" spans="1:125" s="8" customFormat="1" ht="48" x14ac:dyDescent="0.2">
      <c r="A624" s="77">
        <v>41313</v>
      </c>
      <c r="B624" s="78" t="s">
        <v>2847</v>
      </c>
      <c r="C624" s="75" t="s">
        <v>479</v>
      </c>
      <c r="D624" s="75" t="s">
        <v>3051</v>
      </c>
      <c r="E624" s="75" t="str">
        <f>VLOOKUP(B624&amp;C624,Divipola!$C$2:$F$1138,4,FALSE)</f>
        <v>68547</v>
      </c>
      <c r="F624" s="87"/>
      <c r="G624" s="87"/>
      <c r="H624" s="87"/>
      <c r="I624" s="87">
        <v>150</v>
      </c>
      <c r="J624" s="87">
        <v>30</v>
      </c>
      <c r="K624" s="87"/>
      <c r="L624" s="87">
        <v>30</v>
      </c>
      <c r="M624" s="87"/>
      <c r="N624" s="87"/>
      <c r="O624" s="87"/>
      <c r="P624" s="87"/>
      <c r="Q624" s="87"/>
      <c r="R624" s="87"/>
      <c r="S624" s="87"/>
      <c r="T624" s="87"/>
      <c r="U624" s="88"/>
      <c r="V624" s="89"/>
      <c r="W624" s="96">
        <v>0</v>
      </c>
      <c r="X624" s="71">
        <f>CU624</f>
        <v>0</v>
      </c>
      <c r="Y624" s="71">
        <f>CY624</f>
        <v>0</v>
      </c>
      <c r="Z624" s="71">
        <f>DA624+DC624+DE624</f>
        <v>0</v>
      </c>
      <c r="AA624" s="71">
        <f>CW624</f>
        <v>0</v>
      </c>
      <c r="AB624" s="71"/>
      <c r="AC624" s="71">
        <v>0</v>
      </c>
      <c r="AD624" s="71">
        <f>W624+X624+Y624+Z624+AA624+AB624+AC624</f>
        <v>0</v>
      </c>
      <c r="AE624" s="72">
        <v>0</v>
      </c>
      <c r="AF624" s="5"/>
      <c r="AG624" s="6"/>
      <c r="AH624" s="27" t="s">
        <v>3392</v>
      </c>
      <c r="AI624" s="44" t="s">
        <v>3393</v>
      </c>
      <c r="AJ624" s="26"/>
      <c r="AK624" s="5"/>
      <c r="AL624" s="82" t="s">
        <v>3445</v>
      </c>
      <c r="AM624" s="76"/>
      <c r="AN624" s="76"/>
      <c r="AO624" s="76"/>
      <c r="AP624" s="76"/>
      <c r="AQ624" s="76"/>
      <c r="AR624" s="76"/>
      <c r="AS624" s="76"/>
      <c r="AT624" s="76"/>
      <c r="AU624" s="76"/>
      <c r="AV624" s="76"/>
      <c r="AW624" s="76"/>
      <c r="AX624" s="76">
        <f>+AW624*600000</f>
        <v>0</v>
      </c>
      <c r="AY624" s="76"/>
      <c r="AZ624" s="76">
        <f>+AY624*70000</f>
        <v>0</v>
      </c>
      <c r="BA624" s="76"/>
      <c r="BB624" s="76"/>
      <c r="BC624" s="76"/>
      <c r="BD624" s="76">
        <f>+BC624*30000</f>
        <v>0</v>
      </c>
      <c r="BE624" s="76"/>
      <c r="BF624" s="76"/>
      <c r="BG624" s="76"/>
      <c r="BH624" s="76"/>
      <c r="BI624" s="76"/>
      <c r="BJ624" s="76"/>
      <c r="BK624" s="76"/>
      <c r="BL624" s="76">
        <f>+BK624*31500</f>
        <v>0</v>
      </c>
      <c r="BM624" s="76"/>
      <c r="BN624" s="76"/>
      <c r="BO624" s="76"/>
      <c r="BP624" s="76"/>
      <c r="BQ624" s="76"/>
      <c r="BR624" s="76"/>
      <c r="BS624" s="76"/>
      <c r="BT624" s="76"/>
      <c r="BU624" s="76"/>
      <c r="BV624" s="76"/>
      <c r="BW624" s="76"/>
      <c r="BX624" s="76"/>
      <c r="BY624" s="76"/>
      <c r="BZ624" s="76"/>
      <c r="CA624" s="76"/>
      <c r="CB624" s="76"/>
      <c r="CC624" s="76"/>
      <c r="CD624" s="76"/>
      <c r="CE624" s="76"/>
      <c r="CF624" s="76">
        <f>+CE624*28000</f>
        <v>0</v>
      </c>
      <c r="CG624" s="76"/>
      <c r="CH624" s="76">
        <f>+CG624*22500</f>
        <v>0</v>
      </c>
      <c r="CI624" s="76"/>
      <c r="CJ624" s="76">
        <f>+CI624*26000</f>
        <v>0</v>
      </c>
      <c r="CK624" s="76"/>
      <c r="CL624" s="76"/>
      <c r="CM624" s="76"/>
      <c r="CN624" s="76">
        <f>+CM624*22000</f>
        <v>0</v>
      </c>
      <c r="CO624" s="76"/>
      <c r="CP624" s="76">
        <f>+CO624*46000</f>
        <v>0</v>
      </c>
      <c r="CQ624" s="76"/>
      <c r="CR624" s="76">
        <f>+CQ624*49000</f>
        <v>0</v>
      </c>
      <c r="CS624" s="76"/>
      <c r="CT624" s="76"/>
      <c r="CU624" s="56">
        <f>AN624+AP624+AR624+AT624+AV624+AX624+AZ624+BB624+BD624+BF624+BH624+BJ624+BL624+BN624+BP624+BR624+BT624+BV624+BX624+BZ624+CB624+CD624+CF624+CH624+CJ624+CL624+CN624+CP624+CR624+CT624</f>
        <v>0</v>
      </c>
      <c r="CV624" s="76"/>
      <c r="CW624" s="76">
        <f>+CV624*1100</f>
        <v>0</v>
      </c>
      <c r="CX624" s="76"/>
      <c r="CY624" s="76">
        <f>+CX624*106250</f>
        <v>0</v>
      </c>
      <c r="CZ624" s="76"/>
      <c r="DA624" s="76">
        <f>+CZ624*34500</f>
        <v>0</v>
      </c>
      <c r="DB624" s="76"/>
      <c r="DC624" s="76">
        <f>+DB624*25000</f>
        <v>0</v>
      </c>
      <c r="DD624" s="219"/>
      <c r="DE624" s="219"/>
      <c r="DF624" s="166"/>
      <c r="DG624" s="116"/>
      <c r="DH624" s="117"/>
      <c r="DI624" s="24"/>
      <c r="DJ624" s="24"/>
      <c r="DK624" s="24"/>
      <c r="DL624" s="24"/>
      <c r="DM624" s="24"/>
      <c r="DN624" s="24"/>
      <c r="DO624" s="24"/>
      <c r="DP624" s="24"/>
      <c r="DQ624" s="24"/>
      <c r="DR624" s="24"/>
      <c r="DS624" s="24"/>
      <c r="DT624" s="24"/>
      <c r="DU624" s="24"/>
    </row>
    <row r="625" spans="1:125" s="8" customFormat="1" x14ac:dyDescent="0.2">
      <c r="A625" s="77">
        <v>41313</v>
      </c>
      <c r="B625" s="78" t="s">
        <v>1326</v>
      </c>
      <c r="C625" s="75" t="s">
        <v>2710</v>
      </c>
      <c r="D625" s="75" t="s">
        <v>2882</v>
      </c>
      <c r="E625" s="75" t="str">
        <f>VLOOKUP(B625&amp;C625,Divipola!$C$2:$F$1138,4,FALSE)</f>
        <v>70124</v>
      </c>
      <c r="F625" s="163"/>
      <c r="G625" s="163"/>
      <c r="H625" s="163"/>
      <c r="I625" s="163">
        <f>101*5</f>
        <v>505</v>
      </c>
      <c r="J625" s="163">
        <v>101</v>
      </c>
      <c r="K625" s="163"/>
      <c r="L625" s="163">
        <v>101</v>
      </c>
      <c r="M625" s="163"/>
      <c r="N625" s="163"/>
      <c r="O625" s="163"/>
      <c r="P625" s="163"/>
      <c r="Q625" s="163"/>
      <c r="R625" s="163"/>
      <c r="S625" s="163"/>
      <c r="T625" s="163"/>
      <c r="U625" s="163"/>
      <c r="V625" s="134"/>
      <c r="W625" s="96">
        <v>0</v>
      </c>
      <c r="X625" s="71">
        <f>CU625</f>
        <v>0</v>
      </c>
      <c r="Y625" s="71">
        <f>CY625</f>
        <v>0</v>
      </c>
      <c r="Z625" s="71">
        <f>DA625+DC625+DE625</f>
        <v>0</v>
      </c>
      <c r="AA625" s="71">
        <f>CW625</f>
        <v>0</v>
      </c>
      <c r="AB625" s="71"/>
      <c r="AC625" s="71">
        <v>0</v>
      </c>
      <c r="AD625" s="71">
        <f>W625+X625+Y625+Z625+AA625+AB625+AC625</f>
        <v>0</v>
      </c>
      <c r="AE625" s="72">
        <v>0</v>
      </c>
      <c r="AF625" s="5"/>
      <c r="AG625" s="6"/>
      <c r="AH625" s="27" t="s">
        <v>3390</v>
      </c>
      <c r="AI625" s="44"/>
      <c r="AJ625" s="26"/>
      <c r="AK625" s="5" t="s">
        <v>4243</v>
      </c>
      <c r="AL625" s="82"/>
      <c r="AM625" s="76"/>
      <c r="AN625" s="76"/>
      <c r="AO625" s="76"/>
      <c r="AP625" s="76"/>
      <c r="AQ625" s="76"/>
      <c r="AR625" s="76"/>
      <c r="AS625" s="76"/>
      <c r="AT625" s="76"/>
      <c r="AU625" s="76"/>
      <c r="AV625" s="76"/>
      <c r="AW625" s="76"/>
      <c r="AX625" s="76">
        <f>+AW625*600000</f>
        <v>0</v>
      </c>
      <c r="AY625" s="76"/>
      <c r="AZ625" s="76">
        <f>+AY625*70000</f>
        <v>0</v>
      </c>
      <c r="BA625" s="76"/>
      <c r="BB625" s="76"/>
      <c r="BC625" s="76"/>
      <c r="BD625" s="76">
        <f>+BC625*30000</f>
        <v>0</v>
      </c>
      <c r="BE625" s="76"/>
      <c r="BF625" s="76"/>
      <c r="BG625" s="76"/>
      <c r="BH625" s="76"/>
      <c r="BI625" s="76"/>
      <c r="BJ625" s="76"/>
      <c r="BK625" s="76"/>
      <c r="BL625" s="76">
        <f>+BK625*31500</f>
        <v>0</v>
      </c>
      <c r="BM625" s="76"/>
      <c r="BN625" s="76"/>
      <c r="BO625" s="76"/>
      <c r="BP625" s="76"/>
      <c r="BQ625" s="76"/>
      <c r="BR625" s="76"/>
      <c r="BS625" s="76"/>
      <c r="BT625" s="76"/>
      <c r="BU625" s="76"/>
      <c r="BV625" s="76"/>
      <c r="BW625" s="76"/>
      <c r="BX625" s="76"/>
      <c r="BY625" s="76"/>
      <c r="BZ625" s="76"/>
      <c r="CA625" s="76"/>
      <c r="CB625" s="76"/>
      <c r="CC625" s="76"/>
      <c r="CD625" s="76"/>
      <c r="CE625" s="76"/>
      <c r="CF625" s="76">
        <f>+CE625*28000</f>
        <v>0</v>
      </c>
      <c r="CG625" s="76"/>
      <c r="CH625" s="76">
        <f>+CG625*22500</f>
        <v>0</v>
      </c>
      <c r="CI625" s="76"/>
      <c r="CJ625" s="76">
        <f>+CI625*26000</f>
        <v>0</v>
      </c>
      <c r="CK625" s="76"/>
      <c r="CL625" s="76"/>
      <c r="CM625" s="76"/>
      <c r="CN625" s="76">
        <f>+CM625*22000</f>
        <v>0</v>
      </c>
      <c r="CO625" s="76"/>
      <c r="CP625" s="76">
        <f>+CO625*46000</f>
        <v>0</v>
      </c>
      <c r="CQ625" s="76"/>
      <c r="CR625" s="76">
        <f>+CQ625*49000</f>
        <v>0</v>
      </c>
      <c r="CS625" s="76"/>
      <c r="CT625" s="76"/>
      <c r="CU625" s="56">
        <f>AN625+AP625+AR625+AT625+AV625+AX625+AZ625+BB625+BD625+BF625+BH625+BJ625+BL625+BN625+BP625+BR625+BT625+BV625+BX625+BZ625+CB625+CD625+CF625+CH625+CJ625+CL625+CN625+CP625+CR625+CT625</f>
        <v>0</v>
      </c>
      <c r="CV625" s="76"/>
      <c r="CW625" s="76">
        <f>+CV625*1100</f>
        <v>0</v>
      </c>
      <c r="CX625" s="76"/>
      <c r="CY625" s="76">
        <f>+CX625*106250</f>
        <v>0</v>
      </c>
      <c r="CZ625" s="76"/>
      <c r="DA625" s="76">
        <f>+CZ625*34500</f>
        <v>0</v>
      </c>
      <c r="DB625" s="76"/>
      <c r="DC625" s="76">
        <f>+DB625*25000</f>
        <v>0</v>
      </c>
      <c r="DD625" s="219"/>
      <c r="DE625" s="219"/>
      <c r="DF625" s="166"/>
      <c r="DG625" s="116"/>
      <c r="DH625" s="117"/>
      <c r="DI625" s="24"/>
      <c r="DJ625" s="24"/>
      <c r="DK625" s="24"/>
      <c r="DL625" s="24"/>
      <c r="DM625" s="24"/>
      <c r="DN625" s="24"/>
      <c r="DO625" s="24"/>
      <c r="DP625" s="24"/>
      <c r="DQ625" s="24"/>
      <c r="DR625" s="24"/>
      <c r="DS625" s="24"/>
      <c r="DT625" s="24"/>
      <c r="DU625" s="24"/>
    </row>
    <row r="626" spans="1:125" s="8" customFormat="1" x14ac:dyDescent="0.2">
      <c r="A626" s="77">
        <v>41313</v>
      </c>
      <c r="B626" s="78" t="s">
        <v>1326</v>
      </c>
      <c r="C626" s="75" t="s">
        <v>1812</v>
      </c>
      <c r="D626" s="75" t="s">
        <v>2882</v>
      </c>
      <c r="E626" s="75" t="str">
        <f>VLOOKUP(B626&amp;C626,Divipola!$C$2:$F$1138,4,FALSE)</f>
        <v>70233</v>
      </c>
      <c r="F626" s="163"/>
      <c r="G626" s="163"/>
      <c r="H626" s="163"/>
      <c r="I626" s="163">
        <f>12*5</f>
        <v>60</v>
      </c>
      <c r="J626" s="163">
        <v>12</v>
      </c>
      <c r="K626" s="163"/>
      <c r="L626" s="163">
        <v>12</v>
      </c>
      <c r="M626" s="163"/>
      <c r="N626" s="163"/>
      <c r="O626" s="163"/>
      <c r="P626" s="163"/>
      <c r="Q626" s="163"/>
      <c r="R626" s="163"/>
      <c r="S626" s="163"/>
      <c r="T626" s="163"/>
      <c r="U626" s="163"/>
      <c r="V626" s="134"/>
      <c r="W626" s="96">
        <v>0</v>
      </c>
      <c r="X626" s="71">
        <f>CU626</f>
        <v>0</v>
      </c>
      <c r="Y626" s="71">
        <f>CY626</f>
        <v>0</v>
      </c>
      <c r="Z626" s="71">
        <f>DA626+DC626+DE626</f>
        <v>0</v>
      </c>
      <c r="AA626" s="71">
        <f>CW626</f>
        <v>0</v>
      </c>
      <c r="AB626" s="71"/>
      <c r="AC626" s="71">
        <v>0</v>
      </c>
      <c r="AD626" s="71">
        <f>W626+X626+Y626+Z626+AA626+AB626+AC626</f>
        <v>0</v>
      </c>
      <c r="AE626" s="72">
        <v>0</v>
      </c>
      <c r="AF626" s="5"/>
      <c r="AG626" s="6"/>
      <c r="AH626" s="27" t="s">
        <v>3390</v>
      </c>
      <c r="AI626" s="44"/>
      <c r="AJ626" s="26"/>
      <c r="AK626" s="5" t="s">
        <v>4243</v>
      </c>
      <c r="AL626" s="82"/>
      <c r="AM626" s="76"/>
      <c r="AN626" s="76"/>
      <c r="AO626" s="76"/>
      <c r="AP626" s="76"/>
      <c r="AQ626" s="76"/>
      <c r="AR626" s="76"/>
      <c r="AS626" s="76"/>
      <c r="AT626" s="76"/>
      <c r="AU626" s="76"/>
      <c r="AV626" s="76"/>
      <c r="AW626" s="76"/>
      <c r="AX626" s="76">
        <f>+AW626*600000</f>
        <v>0</v>
      </c>
      <c r="AY626" s="76"/>
      <c r="AZ626" s="76">
        <f>+AY626*70000</f>
        <v>0</v>
      </c>
      <c r="BA626" s="76"/>
      <c r="BB626" s="76"/>
      <c r="BC626" s="76"/>
      <c r="BD626" s="76">
        <f>+BC626*30000</f>
        <v>0</v>
      </c>
      <c r="BE626" s="76"/>
      <c r="BF626" s="76"/>
      <c r="BG626" s="76"/>
      <c r="BH626" s="76"/>
      <c r="BI626" s="76"/>
      <c r="BJ626" s="76"/>
      <c r="BK626" s="76"/>
      <c r="BL626" s="76">
        <f>+BK626*31500</f>
        <v>0</v>
      </c>
      <c r="BM626" s="76"/>
      <c r="BN626" s="76"/>
      <c r="BO626" s="76"/>
      <c r="BP626" s="76"/>
      <c r="BQ626" s="76"/>
      <c r="BR626" s="76"/>
      <c r="BS626" s="76"/>
      <c r="BT626" s="76"/>
      <c r="BU626" s="76"/>
      <c r="BV626" s="76"/>
      <c r="BW626" s="76"/>
      <c r="BX626" s="76"/>
      <c r="BY626" s="76"/>
      <c r="BZ626" s="76"/>
      <c r="CA626" s="76"/>
      <c r="CB626" s="76"/>
      <c r="CC626" s="76"/>
      <c r="CD626" s="76"/>
      <c r="CE626" s="76"/>
      <c r="CF626" s="76">
        <f>+CE626*28000</f>
        <v>0</v>
      </c>
      <c r="CG626" s="76"/>
      <c r="CH626" s="76">
        <f>+CG626*22500</f>
        <v>0</v>
      </c>
      <c r="CI626" s="76"/>
      <c r="CJ626" s="76">
        <f>+CI626*26000</f>
        <v>0</v>
      </c>
      <c r="CK626" s="76"/>
      <c r="CL626" s="76"/>
      <c r="CM626" s="76"/>
      <c r="CN626" s="76">
        <f>+CM626*22000</f>
        <v>0</v>
      </c>
      <c r="CO626" s="76"/>
      <c r="CP626" s="76">
        <f>+CO626*46000</f>
        <v>0</v>
      </c>
      <c r="CQ626" s="76"/>
      <c r="CR626" s="76">
        <f>+CQ626*49000</f>
        <v>0</v>
      </c>
      <c r="CS626" s="76"/>
      <c r="CT626" s="76"/>
      <c r="CU626" s="56">
        <f>AN626+AP626+AR626+AT626+AV626+AX626+AZ626+BB626+BD626+BF626+BH626+BJ626+BL626+BN626+BP626+BR626+BT626+BV626+BX626+BZ626+CB626+CD626+CF626+CH626+CJ626+CL626+CN626+CP626+CR626+CT626</f>
        <v>0</v>
      </c>
      <c r="CV626" s="76"/>
      <c r="CW626" s="76">
        <f>+CV626*1100</f>
        <v>0</v>
      </c>
      <c r="CX626" s="76"/>
      <c r="CY626" s="76">
        <f>+CX626*106250</f>
        <v>0</v>
      </c>
      <c r="CZ626" s="76"/>
      <c r="DA626" s="76">
        <f>+CZ626*34500</f>
        <v>0</v>
      </c>
      <c r="DB626" s="76"/>
      <c r="DC626" s="76">
        <f>+DB626*25000</f>
        <v>0</v>
      </c>
      <c r="DD626" s="219"/>
      <c r="DE626" s="219"/>
      <c r="DF626" s="166"/>
      <c r="DG626" s="116"/>
      <c r="DH626" s="117"/>
      <c r="DI626" s="24"/>
      <c r="DJ626" s="24"/>
      <c r="DK626" s="24"/>
      <c r="DL626" s="24"/>
      <c r="DM626" s="24"/>
      <c r="DN626" s="24"/>
      <c r="DO626" s="24"/>
      <c r="DP626" s="24"/>
      <c r="DQ626" s="24"/>
      <c r="DR626" s="24"/>
      <c r="DS626" s="24"/>
      <c r="DT626" s="24"/>
      <c r="DU626" s="24"/>
    </row>
    <row r="627" spans="1:125" s="8" customFormat="1" x14ac:dyDescent="0.2">
      <c r="A627" s="77">
        <v>41313</v>
      </c>
      <c r="B627" s="78" t="s">
        <v>1326</v>
      </c>
      <c r="C627" s="75" t="s">
        <v>1828</v>
      </c>
      <c r="D627" s="75" t="s">
        <v>2882</v>
      </c>
      <c r="E627" s="75" t="str">
        <f>VLOOKUP(B627&amp;C627,Divipola!$C$2:$F$1138,4,FALSE)</f>
        <v>70508</v>
      </c>
      <c r="F627" s="163"/>
      <c r="G627" s="163"/>
      <c r="H627" s="163"/>
      <c r="I627" s="163">
        <v>50</v>
      </c>
      <c r="J627" s="163">
        <v>10</v>
      </c>
      <c r="K627" s="163"/>
      <c r="L627" s="163">
        <v>10</v>
      </c>
      <c r="M627" s="163"/>
      <c r="N627" s="163"/>
      <c r="O627" s="163"/>
      <c r="P627" s="163"/>
      <c r="Q627" s="163"/>
      <c r="R627" s="163"/>
      <c r="S627" s="163"/>
      <c r="T627" s="163"/>
      <c r="U627" s="163"/>
      <c r="V627" s="134"/>
      <c r="W627" s="96">
        <v>0</v>
      </c>
      <c r="X627" s="71">
        <f>CU627</f>
        <v>0</v>
      </c>
      <c r="Y627" s="71">
        <f>CY627</f>
        <v>0</v>
      </c>
      <c r="Z627" s="71">
        <f>DA627+DC627+DE627</f>
        <v>0</v>
      </c>
      <c r="AA627" s="71">
        <f>CW627</f>
        <v>0</v>
      </c>
      <c r="AB627" s="71"/>
      <c r="AC627" s="71">
        <v>0</v>
      </c>
      <c r="AD627" s="71">
        <f>W627+X627+Y627+Z627+AA627+AB627+AC627</f>
        <v>0</v>
      </c>
      <c r="AE627" s="72">
        <v>0</v>
      </c>
      <c r="AF627" s="5"/>
      <c r="AG627" s="6"/>
      <c r="AH627" s="27" t="s">
        <v>3390</v>
      </c>
      <c r="AI627" s="44"/>
      <c r="AJ627" s="26"/>
      <c r="AK627" s="5" t="s">
        <v>4243</v>
      </c>
      <c r="AL627" s="82"/>
      <c r="AM627" s="76"/>
      <c r="AN627" s="76"/>
      <c r="AO627" s="76"/>
      <c r="AP627" s="76"/>
      <c r="AQ627" s="76"/>
      <c r="AR627" s="76"/>
      <c r="AS627" s="76"/>
      <c r="AT627" s="76"/>
      <c r="AU627" s="76"/>
      <c r="AV627" s="76"/>
      <c r="AW627" s="76"/>
      <c r="AX627" s="76">
        <f>+AW627*600000</f>
        <v>0</v>
      </c>
      <c r="AY627" s="76"/>
      <c r="AZ627" s="76">
        <f>+AY627*70000</f>
        <v>0</v>
      </c>
      <c r="BA627" s="76"/>
      <c r="BB627" s="76"/>
      <c r="BC627" s="76"/>
      <c r="BD627" s="76">
        <f>+BC627*30000</f>
        <v>0</v>
      </c>
      <c r="BE627" s="76"/>
      <c r="BF627" s="76"/>
      <c r="BG627" s="76"/>
      <c r="BH627" s="76"/>
      <c r="BI627" s="76"/>
      <c r="BJ627" s="76"/>
      <c r="BK627" s="76"/>
      <c r="BL627" s="76">
        <f>+BK627*31500</f>
        <v>0</v>
      </c>
      <c r="BM627" s="76"/>
      <c r="BN627" s="76"/>
      <c r="BO627" s="76"/>
      <c r="BP627" s="76"/>
      <c r="BQ627" s="76"/>
      <c r="BR627" s="76"/>
      <c r="BS627" s="76"/>
      <c r="BT627" s="76"/>
      <c r="BU627" s="76"/>
      <c r="BV627" s="76"/>
      <c r="BW627" s="76"/>
      <c r="BX627" s="76"/>
      <c r="BY627" s="76"/>
      <c r="BZ627" s="76"/>
      <c r="CA627" s="76"/>
      <c r="CB627" s="76"/>
      <c r="CC627" s="76"/>
      <c r="CD627" s="76"/>
      <c r="CE627" s="76"/>
      <c r="CF627" s="76">
        <f>+CE627*28000</f>
        <v>0</v>
      </c>
      <c r="CG627" s="76"/>
      <c r="CH627" s="76">
        <f>+CG627*22500</f>
        <v>0</v>
      </c>
      <c r="CI627" s="76"/>
      <c r="CJ627" s="76">
        <f>+CI627*26000</f>
        <v>0</v>
      </c>
      <c r="CK627" s="76"/>
      <c r="CL627" s="76"/>
      <c r="CM627" s="76"/>
      <c r="CN627" s="76">
        <f>+CM627*22000</f>
        <v>0</v>
      </c>
      <c r="CO627" s="76"/>
      <c r="CP627" s="76">
        <f>+CO627*46000</f>
        <v>0</v>
      </c>
      <c r="CQ627" s="76"/>
      <c r="CR627" s="76">
        <f>+CQ627*49000</f>
        <v>0</v>
      </c>
      <c r="CS627" s="76"/>
      <c r="CT627" s="76"/>
      <c r="CU627" s="56">
        <f>AN627+AP627+AR627+AT627+AV627+AX627+AZ627+BB627+BD627+BF627+BH627+BJ627+BL627+BN627+BP627+BR627+BT627+BV627+BX627+BZ627+CB627+CD627+CF627+CH627+CJ627+CL627+CN627+CP627+CR627+CT627</f>
        <v>0</v>
      </c>
      <c r="CV627" s="76"/>
      <c r="CW627" s="76">
        <f>+CV627*1100</f>
        <v>0</v>
      </c>
      <c r="CX627" s="76"/>
      <c r="CY627" s="76">
        <f>+CX627*106250</f>
        <v>0</v>
      </c>
      <c r="CZ627" s="76"/>
      <c r="DA627" s="76">
        <f>+CZ627*34500</f>
        <v>0</v>
      </c>
      <c r="DB627" s="76"/>
      <c r="DC627" s="76">
        <f>+DB627*25000</f>
        <v>0</v>
      </c>
      <c r="DD627" s="219"/>
      <c r="DE627" s="219"/>
      <c r="DF627" s="166"/>
      <c r="DG627" s="116"/>
      <c r="DH627" s="117"/>
      <c r="DI627" s="24"/>
      <c r="DJ627" s="24"/>
      <c r="DK627" s="24"/>
      <c r="DL627" s="24"/>
      <c r="DM627" s="24"/>
      <c r="DN627" s="24"/>
      <c r="DO627" s="24"/>
      <c r="DP627" s="24"/>
      <c r="DQ627" s="24"/>
      <c r="DR627" s="24"/>
      <c r="DS627" s="24"/>
      <c r="DT627" s="24"/>
      <c r="DU627" s="24"/>
    </row>
    <row r="628" spans="1:125" s="8" customFormat="1" x14ac:dyDescent="0.2">
      <c r="A628" s="77">
        <v>41313</v>
      </c>
      <c r="B628" s="78" t="s">
        <v>1326</v>
      </c>
      <c r="C628" s="75" t="s">
        <v>2711</v>
      </c>
      <c r="D628" s="75" t="s">
        <v>2882</v>
      </c>
      <c r="E628" s="75" t="str">
        <f>VLOOKUP(B628&amp;C628,Divipola!$C$2:$F$1138,4,FALSE)</f>
        <v>70678</v>
      </c>
      <c r="F628" s="163"/>
      <c r="G628" s="163"/>
      <c r="H628" s="163"/>
      <c r="I628" s="163">
        <f>105*5</f>
        <v>525</v>
      </c>
      <c r="J628" s="163">
        <v>105</v>
      </c>
      <c r="K628" s="163"/>
      <c r="L628" s="163">
        <v>105</v>
      </c>
      <c r="M628" s="163"/>
      <c r="N628" s="163"/>
      <c r="O628" s="163"/>
      <c r="P628" s="163"/>
      <c r="Q628" s="163"/>
      <c r="R628" s="163"/>
      <c r="S628" s="163"/>
      <c r="T628" s="163"/>
      <c r="U628" s="163"/>
      <c r="V628" s="134"/>
      <c r="W628" s="96">
        <v>0</v>
      </c>
      <c r="X628" s="71">
        <f>CU628</f>
        <v>0</v>
      </c>
      <c r="Y628" s="71">
        <f>CY628</f>
        <v>0</v>
      </c>
      <c r="Z628" s="71">
        <f>DA628+DC628+DE628</f>
        <v>0</v>
      </c>
      <c r="AA628" s="71">
        <f>CW628</f>
        <v>0</v>
      </c>
      <c r="AB628" s="71"/>
      <c r="AC628" s="71">
        <v>0</v>
      </c>
      <c r="AD628" s="71">
        <f>W628+X628+Y628+Z628+AA628+AB628+AC628</f>
        <v>0</v>
      </c>
      <c r="AE628" s="72">
        <v>0</v>
      </c>
      <c r="AF628" s="5"/>
      <c r="AG628" s="6"/>
      <c r="AH628" s="27" t="s">
        <v>3390</v>
      </c>
      <c r="AI628" s="44"/>
      <c r="AJ628" s="26"/>
      <c r="AK628" s="5" t="s">
        <v>4243</v>
      </c>
      <c r="AL628" s="82"/>
      <c r="AM628" s="76"/>
      <c r="AN628" s="76"/>
      <c r="AO628" s="76"/>
      <c r="AP628" s="76"/>
      <c r="AQ628" s="76"/>
      <c r="AR628" s="76"/>
      <c r="AS628" s="76"/>
      <c r="AT628" s="76"/>
      <c r="AU628" s="76"/>
      <c r="AV628" s="76"/>
      <c r="AW628" s="76"/>
      <c r="AX628" s="76">
        <f>+AW628*600000</f>
        <v>0</v>
      </c>
      <c r="AY628" s="76"/>
      <c r="AZ628" s="76">
        <f>+AY628*70000</f>
        <v>0</v>
      </c>
      <c r="BA628" s="76"/>
      <c r="BB628" s="76"/>
      <c r="BC628" s="76"/>
      <c r="BD628" s="76">
        <f>+BC628*30000</f>
        <v>0</v>
      </c>
      <c r="BE628" s="76"/>
      <c r="BF628" s="76"/>
      <c r="BG628" s="76"/>
      <c r="BH628" s="76"/>
      <c r="BI628" s="76"/>
      <c r="BJ628" s="76"/>
      <c r="BK628" s="76"/>
      <c r="BL628" s="76">
        <f>+BK628*31500</f>
        <v>0</v>
      </c>
      <c r="BM628" s="76"/>
      <c r="BN628" s="76"/>
      <c r="BO628" s="76"/>
      <c r="BP628" s="76"/>
      <c r="BQ628" s="76"/>
      <c r="BR628" s="76"/>
      <c r="BS628" s="76"/>
      <c r="BT628" s="76"/>
      <c r="BU628" s="76"/>
      <c r="BV628" s="76"/>
      <c r="BW628" s="76"/>
      <c r="BX628" s="76"/>
      <c r="BY628" s="76"/>
      <c r="BZ628" s="76"/>
      <c r="CA628" s="76"/>
      <c r="CB628" s="76"/>
      <c r="CC628" s="76"/>
      <c r="CD628" s="76"/>
      <c r="CE628" s="76"/>
      <c r="CF628" s="76">
        <f>+CE628*28000</f>
        <v>0</v>
      </c>
      <c r="CG628" s="76"/>
      <c r="CH628" s="76">
        <f>+CG628*22500</f>
        <v>0</v>
      </c>
      <c r="CI628" s="76"/>
      <c r="CJ628" s="76">
        <f>+CI628*26000</f>
        <v>0</v>
      </c>
      <c r="CK628" s="76"/>
      <c r="CL628" s="76"/>
      <c r="CM628" s="76"/>
      <c r="CN628" s="76">
        <f>+CM628*22000</f>
        <v>0</v>
      </c>
      <c r="CO628" s="76"/>
      <c r="CP628" s="76">
        <f>+CO628*46000</f>
        <v>0</v>
      </c>
      <c r="CQ628" s="76"/>
      <c r="CR628" s="76">
        <f>+CQ628*49000</f>
        <v>0</v>
      </c>
      <c r="CS628" s="76"/>
      <c r="CT628" s="76"/>
      <c r="CU628" s="56">
        <f>AN628+AP628+AR628+AT628+AV628+AX628+AZ628+BB628+BD628+BF628+BH628+BJ628+BL628+BN628+BP628+BR628+BT628+BV628+BX628+BZ628+CB628+CD628+CF628+CH628+CJ628+CL628+CN628+CP628+CR628+CT628</f>
        <v>0</v>
      </c>
      <c r="CV628" s="76"/>
      <c r="CW628" s="76">
        <f>+CV628*1100</f>
        <v>0</v>
      </c>
      <c r="CX628" s="76"/>
      <c r="CY628" s="76">
        <f>+CX628*106250</f>
        <v>0</v>
      </c>
      <c r="CZ628" s="76"/>
      <c r="DA628" s="76">
        <f>+CZ628*34500</f>
        <v>0</v>
      </c>
      <c r="DB628" s="76"/>
      <c r="DC628" s="76">
        <f>+DB628*25000</f>
        <v>0</v>
      </c>
      <c r="DD628" s="219"/>
      <c r="DE628" s="219"/>
      <c r="DF628" s="166"/>
      <c r="DG628" s="116"/>
      <c r="DH628" s="117"/>
      <c r="DI628" s="24"/>
      <c r="DJ628" s="24"/>
      <c r="DK628" s="24"/>
      <c r="DL628" s="24"/>
      <c r="DM628" s="24"/>
      <c r="DN628" s="24"/>
      <c r="DO628" s="24"/>
      <c r="DP628" s="24"/>
      <c r="DQ628" s="24"/>
      <c r="DR628" s="24"/>
      <c r="DS628" s="24"/>
      <c r="DT628" s="24"/>
      <c r="DU628" s="24"/>
    </row>
    <row r="629" spans="1:125" s="8" customFormat="1" ht="204" x14ac:dyDescent="0.2">
      <c r="A629" s="77">
        <v>41314</v>
      </c>
      <c r="B629" s="78" t="s">
        <v>529</v>
      </c>
      <c r="C629" s="75" t="s">
        <v>529</v>
      </c>
      <c r="D629" s="75" t="s">
        <v>3051</v>
      </c>
      <c r="E629" s="75" t="str">
        <f>VLOOKUP(B629&amp;C629,Divipola!$C$2:$F$1138,4,FALSE)</f>
        <v>11001</v>
      </c>
      <c r="F629" s="87"/>
      <c r="G629" s="87"/>
      <c r="H629" s="87"/>
      <c r="I629" s="87">
        <v>65</v>
      </c>
      <c r="J629" s="87">
        <v>13</v>
      </c>
      <c r="K629" s="87"/>
      <c r="L629" s="87">
        <v>13</v>
      </c>
      <c r="M629" s="87"/>
      <c r="N629" s="87"/>
      <c r="O629" s="87"/>
      <c r="P629" s="87"/>
      <c r="Q629" s="87"/>
      <c r="R629" s="87"/>
      <c r="S629" s="87"/>
      <c r="T629" s="87"/>
      <c r="U629" s="88"/>
      <c r="V629" s="89"/>
      <c r="W629" s="96">
        <v>0</v>
      </c>
      <c r="X629" s="71">
        <f>CU629</f>
        <v>0</v>
      </c>
      <c r="Y629" s="71">
        <f>CY629</f>
        <v>0</v>
      </c>
      <c r="Z629" s="71">
        <f>DA629+DC629+DE629</f>
        <v>0</v>
      </c>
      <c r="AA629" s="71">
        <f>CW629</f>
        <v>0</v>
      </c>
      <c r="AB629" s="71"/>
      <c r="AC629" s="71">
        <v>0</v>
      </c>
      <c r="AD629" s="71">
        <f>W629+X629+Y629+Z629+AA629+AB629+AC629</f>
        <v>0</v>
      </c>
      <c r="AE629" s="72">
        <v>0</v>
      </c>
      <c r="AF629" s="5"/>
      <c r="AG629" s="6"/>
      <c r="AH629" s="27" t="s">
        <v>3392</v>
      </c>
      <c r="AI629" s="44" t="s">
        <v>3393</v>
      </c>
      <c r="AJ629" s="26"/>
      <c r="AK629" s="5"/>
      <c r="AL629" s="82" t="s">
        <v>3465</v>
      </c>
      <c r="AM629" s="76"/>
      <c r="AN629" s="76"/>
      <c r="AO629" s="76"/>
      <c r="AP629" s="76"/>
      <c r="AQ629" s="76"/>
      <c r="AR629" s="76"/>
      <c r="AS629" s="76"/>
      <c r="AT629" s="76"/>
      <c r="AU629" s="76"/>
      <c r="AV629" s="76"/>
      <c r="AW629" s="76"/>
      <c r="AX629" s="76">
        <f>+AW629*600000</f>
        <v>0</v>
      </c>
      <c r="AY629" s="76"/>
      <c r="AZ629" s="76">
        <f>+AY629*70000</f>
        <v>0</v>
      </c>
      <c r="BA629" s="76"/>
      <c r="BB629" s="76"/>
      <c r="BC629" s="76"/>
      <c r="BD629" s="76">
        <f>+BC629*30000</f>
        <v>0</v>
      </c>
      <c r="BE629" s="76"/>
      <c r="BF629" s="76"/>
      <c r="BG629" s="76"/>
      <c r="BH629" s="76"/>
      <c r="BI629" s="76"/>
      <c r="BJ629" s="76"/>
      <c r="BK629" s="76"/>
      <c r="BL629" s="76">
        <f>+BK629*31500</f>
        <v>0</v>
      </c>
      <c r="BM629" s="76"/>
      <c r="BN629" s="76"/>
      <c r="BO629" s="76"/>
      <c r="BP629" s="76"/>
      <c r="BQ629" s="76"/>
      <c r="BR629" s="76"/>
      <c r="BS629" s="76"/>
      <c r="BT629" s="76"/>
      <c r="BU629" s="76"/>
      <c r="BV629" s="76"/>
      <c r="BW629" s="76"/>
      <c r="BX629" s="76"/>
      <c r="BY629" s="76"/>
      <c r="BZ629" s="76"/>
      <c r="CA629" s="76"/>
      <c r="CB629" s="76"/>
      <c r="CC629" s="76"/>
      <c r="CD629" s="76"/>
      <c r="CE629" s="76"/>
      <c r="CF629" s="76">
        <f>+CE629*28000</f>
        <v>0</v>
      </c>
      <c r="CG629" s="76"/>
      <c r="CH629" s="76">
        <f>+CG629*22500</f>
        <v>0</v>
      </c>
      <c r="CI629" s="76"/>
      <c r="CJ629" s="76">
        <f>+CI629*26000</f>
        <v>0</v>
      </c>
      <c r="CK629" s="76"/>
      <c r="CL629" s="76"/>
      <c r="CM629" s="76"/>
      <c r="CN629" s="76">
        <f>+CM629*22000</f>
        <v>0</v>
      </c>
      <c r="CO629" s="76"/>
      <c r="CP629" s="76">
        <f>+CO629*46000</f>
        <v>0</v>
      </c>
      <c r="CQ629" s="76"/>
      <c r="CR629" s="76">
        <f>+CQ629*49000</f>
        <v>0</v>
      </c>
      <c r="CS629" s="76"/>
      <c r="CT629" s="76"/>
      <c r="CU629" s="56">
        <f>AN629+AP629+AR629+AT629+AV629+AX629+AZ629+BB629+BD629+BF629+BH629+BJ629+BL629+BN629+BP629+BR629+BT629+BV629+BX629+BZ629+CB629+CD629+CF629+CH629+CJ629+CL629+CN629+CP629+CR629+CT629</f>
        <v>0</v>
      </c>
      <c r="CV629" s="76"/>
      <c r="CW629" s="76">
        <f>+CV629*1100</f>
        <v>0</v>
      </c>
      <c r="CX629" s="76"/>
      <c r="CY629" s="76">
        <f>+CX629*106250</f>
        <v>0</v>
      </c>
      <c r="CZ629" s="76"/>
      <c r="DA629" s="76">
        <f>+CZ629*34500</f>
        <v>0</v>
      </c>
      <c r="DB629" s="76"/>
      <c r="DC629" s="76">
        <f>+DB629*25000</f>
        <v>0</v>
      </c>
      <c r="DD629" s="219"/>
      <c r="DE629" s="219"/>
      <c r="DF629" s="166"/>
      <c r="DG629" s="116"/>
      <c r="DH629" s="117"/>
      <c r="DI629" s="24"/>
      <c r="DJ629" s="24"/>
      <c r="DK629" s="24"/>
      <c r="DL629" s="24"/>
      <c r="DM629" s="24"/>
      <c r="DN629" s="24"/>
      <c r="DO629" s="24"/>
      <c r="DP629" s="24"/>
      <c r="DQ629" s="24"/>
      <c r="DR629" s="24"/>
      <c r="DS629" s="24"/>
      <c r="DT629" s="24"/>
      <c r="DU629" s="24"/>
    </row>
    <row r="630" spans="1:125" s="8" customFormat="1" ht="84" x14ac:dyDescent="0.2">
      <c r="A630" s="77">
        <v>41314</v>
      </c>
      <c r="B630" s="78" t="s">
        <v>2196</v>
      </c>
      <c r="C630" s="75" t="s">
        <v>523</v>
      </c>
      <c r="D630" s="75" t="s">
        <v>3194</v>
      </c>
      <c r="E630" s="75" t="str">
        <f>VLOOKUP(B630&amp;C630,Divipola!$C$2:$F$1138,4,FALSE)</f>
        <v>17174</v>
      </c>
      <c r="F630" s="163"/>
      <c r="G630" s="163"/>
      <c r="H630" s="163"/>
      <c r="I630" s="163">
        <v>5</v>
      </c>
      <c r="J630" s="163">
        <v>1</v>
      </c>
      <c r="K630" s="163"/>
      <c r="L630" s="163">
        <v>1</v>
      </c>
      <c r="M630" s="163"/>
      <c r="N630" s="163"/>
      <c r="O630" s="163"/>
      <c r="P630" s="163"/>
      <c r="Q630" s="163"/>
      <c r="R630" s="163"/>
      <c r="S630" s="163"/>
      <c r="T630" s="163"/>
      <c r="U630" s="163"/>
      <c r="V630" s="134"/>
      <c r="W630" s="96">
        <v>0</v>
      </c>
      <c r="X630" s="71">
        <f>CU630</f>
        <v>0</v>
      </c>
      <c r="Y630" s="71">
        <f>CY630</f>
        <v>0</v>
      </c>
      <c r="Z630" s="71">
        <f>DA630+DC630+DE630</f>
        <v>0</v>
      </c>
      <c r="AA630" s="71">
        <f>CW630</f>
        <v>0</v>
      </c>
      <c r="AB630" s="71"/>
      <c r="AC630" s="71">
        <v>0</v>
      </c>
      <c r="AD630" s="71">
        <f>W630+X630+Y630+Z630+AA630+AB630+AC630</f>
        <v>0</v>
      </c>
      <c r="AE630" s="72">
        <v>0</v>
      </c>
      <c r="AF630" s="5"/>
      <c r="AG630" s="6"/>
      <c r="AH630" s="27" t="s">
        <v>3392</v>
      </c>
      <c r="AI630" s="44" t="s">
        <v>3393</v>
      </c>
      <c r="AJ630" s="26"/>
      <c r="AK630" s="5"/>
      <c r="AL630" s="82" t="s">
        <v>3458</v>
      </c>
      <c r="AM630" s="76"/>
      <c r="AN630" s="76"/>
      <c r="AO630" s="76"/>
      <c r="AP630" s="76"/>
      <c r="AQ630" s="76"/>
      <c r="AR630" s="76"/>
      <c r="AS630" s="76"/>
      <c r="AT630" s="76"/>
      <c r="AU630" s="76"/>
      <c r="AV630" s="76"/>
      <c r="AW630" s="76"/>
      <c r="AX630" s="76">
        <f>+AW630*600000</f>
        <v>0</v>
      </c>
      <c r="AY630" s="76"/>
      <c r="AZ630" s="76">
        <f>+AY630*70000</f>
        <v>0</v>
      </c>
      <c r="BA630" s="76"/>
      <c r="BB630" s="76"/>
      <c r="BC630" s="76"/>
      <c r="BD630" s="76">
        <f>+BC630*30000</f>
        <v>0</v>
      </c>
      <c r="BE630" s="76"/>
      <c r="BF630" s="76"/>
      <c r="BG630" s="76"/>
      <c r="BH630" s="76"/>
      <c r="BI630" s="76"/>
      <c r="BJ630" s="76"/>
      <c r="BK630" s="76"/>
      <c r="BL630" s="76">
        <f>+BK630*31500</f>
        <v>0</v>
      </c>
      <c r="BM630" s="76"/>
      <c r="BN630" s="76"/>
      <c r="BO630" s="76"/>
      <c r="BP630" s="76"/>
      <c r="BQ630" s="76"/>
      <c r="BR630" s="76"/>
      <c r="BS630" s="76"/>
      <c r="BT630" s="76"/>
      <c r="BU630" s="76"/>
      <c r="BV630" s="76"/>
      <c r="BW630" s="76"/>
      <c r="BX630" s="76"/>
      <c r="BY630" s="76"/>
      <c r="BZ630" s="76"/>
      <c r="CA630" s="76"/>
      <c r="CB630" s="76"/>
      <c r="CC630" s="76"/>
      <c r="CD630" s="76"/>
      <c r="CE630" s="76"/>
      <c r="CF630" s="76">
        <f>+CE630*28000</f>
        <v>0</v>
      </c>
      <c r="CG630" s="76"/>
      <c r="CH630" s="76">
        <f>+CG630*22500</f>
        <v>0</v>
      </c>
      <c r="CI630" s="76"/>
      <c r="CJ630" s="76">
        <f>+CI630*26000</f>
        <v>0</v>
      </c>
      <c r="CK630" s="76"/>
      <c r="CL630" s="76"/>
      <c r="CM630" s="76"/>
      <c r="CN630" s="76">
        <f>+CM630*22000</f>
        <v>0</v>
      </c>
      <c r="CO630" s="76"/>
      <c r="CP630" s="76">
        <f>+CO630*46000</f>
        <v>0</v>
      </c>
      <c r="CQ630" s="76"/>
      <c r="CR630" s="76">
        <f>+CQ630*49000</f>
        <v>0</v>
      </c>
      <c r="CS630" s="76"/>
      <c r="CT630" s="76"/>
      <c r="CU630" s="56">
        <f>AN630+AP630+AR630+AT630+AV630+AX630+AZ630+BB630+BD630+BF630+BH630+BJ630+BL630+BN630+BP630+BR630+BT630+BV630+BX630+BZ630+CB630+CD630+CF630+CH630+CJ630+CL630+CN630+CP630+CR630+CT630</f>
        <v>0</v>
      </c>
      <c r="CV630" s="76"/>
      <c r="CW630" s="76">
        <f>+CV630*1100</f>
        <v>0</v>
      </c>
      <c r="CX630" s="76"/>
      <c r="CY630" s="76">
        <f>+CX630*106250</f>
        <v>0</v>
      </c>
      <c r="CZ630" s="76"/>
      <c r="DA630" s="76">
        <f>+CZ630*34500</f>
        <v>0</v>
      </c>
      <c r="DB630" s="76"/>
      <c r="DC630" s="76">
        <f>+DB630*25000</f>
        <v>0</v>
      </c>
      <c r="DD630" s="219"/>
      <c r="DE630" s="219"/>
      <c r="DF630" s="166"/>
      <c r="DG630" s="116"/>
      <c r="DH630" s="117"/>
      <c r="DI630" s="24"/>
      <c r="DJ630" s="24"/>
      <c r="DK630" s="24"/>
      <c r="DL630" s="24"/>
      <c r="DM630" s="24"/>
      <c r="DN630" s="24"/>
      <c r="DO630" s="24"/>
      <c r="DP630" s="24"/>
      <c r="DQ630" s="24"/>
      <c r="DR630" s="24"/>
      <c r="DS630" s="24"/>
      <c r="DT630" s="24"/>
      <c r="DU630" s="24"/>
    </row>
    <row r="631" spans="1:125" s="8" customFormat="1" ht="84" x14ac:dyDescent="0.2">
      <c r="A631" s="77">
        <v>41314</v>
      </c>
      <c r="B631" s="78" t="s">
        <v>2196</v>
      </c>
      <c r="C631" s="75" t="s">
        <v>1367</v>
      </c>
      <c r="D631" s="75" t="s">
        <v>3194</v>
      </c>
      <c r="E631" s="75" t="str">
        <f>VLOOKUP(B631&amp;C631,Divipola!$C$2:$F$1138,4,FALSE)</f>
        <v>17653</v>
      </c>
      <c r="F631" s="163"/>
      <c r="G631" s="163"/>
      <c r="H631" s="163"/>
      <c r="I631" s="163">
        <v>5</v>
      </c>
      <c r="J631" s="163">
        <v>1</v>
      </c>
      <c r="K631" s="163"/>
      <c r="L631" s="163">
        <v>1</v>
      </c>
      <c r="M631" s="163"/>
      <c r="N631" s="163"/>
      <c r="O631" s="163"/>
      <c r="P631" s="163"/>
      <c r="Q631" s="163"/>
      <c r="R631" s="163"/>
      <c r="S631" s="163"/>
      <c r="T631" s="163"/>
      <c r="U631" s="163"/>
      <c r="V631" s="134"/>
      <c r="W631" s="96">
        <v>0</v>
      </c>
      <c r="X631" s="71">
        <f>CU631</f>
        <v>0</v>
      </c>
      <c r="Y631" s="71">
        <f>CY631</f>
        <v>0</v>
      </c>
      <c r="Z631" s="71">
        <f>DA631+DC631+DE631</f>
        <v>0</v>
      </c>
      <c r="AA631" s="71">
        <f>CW631</f>
        <v>0</v>
      </c>
      <c r="AB631" s="71"/>
      <c r="AC631" s="71">
        <v>0</v>
      </c>
      <c r="AD631" s="71">
        <f>W631+X631+Y631+Z631+AA631+AB631+AC631</f>
        <v>0</v>
      </c>
      <c r="AE631" s="72">
        <v>0</v>
      </c>
      <c r="AF631" s="5"/>
      <c r="AG631" s="6"/>
      <c r="AH631" s="27" t="s">
        <v>3392</v>
      </c>
      <c r="AI631" s="44" t="s">
        <v>3393</v>
      </c>
      <c r="AJ631" s="26"/>
      <c r="AK631" s="5"/>
      <c r="AL631" s="82" t="s">
        <v>3458</v>
      </c>
      <c r="AM631" s="76"/>
      <c r="AN631" s="76"/>
      <c r="AO631" s="76"/>
      <c r="AP631" s="76"/>
      <c r="AQ631" s="76"/>
      <c r="AR631" s="76"/>
      <c r="AS631" s="76"/>
      <c r="AT631" s="76"/>
      <c r="AU631" s="76"/>
      <c r="AV631" s="76"/>
      <c r="AW631" s="76"/>
      <c r="AX631" s="76">
        <f>+AW631*600000</f>
        <v>0</v>
      </c>
      <c r="AY631" s="76"/>
      <c r="AZ631" s="76">
        <f>+AY631*70000</f>
        <v>0</v>
      </c>
      <c r="BA631" s="76"/>
      <c r="BB631" s="76"/>
      <c r="BC631" s="76"/>
      <c r="BD631" s="76">
        <f>+BC631*30000</f>
        <v>0</v>
      </c>
      <c r="BE631" s="76"/>
      <c r="BF631" s="76"/>
      <c r="BG631" s="76"/>
      <c r="BH631" s="76"/>
      <c r="BI631" s="76"/>
      <c r="BJ631" s="76"/>
      <c r="BK631" s="76"/>
      <c r="BL631" s="76">
        <f>+BK631*31500</f>
        <v>0</v>
      </c>
      <c r="BM631" s="76"/>
      <c r="BN631" s="76"/>
      <c r="BO631" s="76"/>
      <c r="BP631" s="76"/>
      <c r="BQ631" s="76"/>
      <c r="BR631" s="76"/>
      <c r="BS631" s="76"/>
      <c r="BT631" s="76"/>
      <c r="BU631" s="76"/>
      <c r="BV631" s="76"/>
      <c r="BW631" s="76"/>
      <c r="BX631" s="76"/>
      <c r="BY631" s="76"/>
      <c r="BZ631" s="76"/>
      <c r="CA631" s="76"/>
      <c r="CB631" s="76"/>
      <c r="CC631" s="76"/>
      <c r="CD631" s="76"/>
      <c r="CE631" s="76"/>
      <c r="CF631" s="76">
        <f>+CE631*28000</f>
        <v>0</v>
      </c>
      <c r="CG631" s="76"/>
      <c r="CH631" s="76">
        <f>+CG631*22500</f>
        <v>0</v>
      </c>
      <c r="CI631" s="76"/>
      <c r="CJ631" s="76">
        <f>+CI631*26000</f>
        <v>0</v>
      </c>
      <c r="CK631" s="76"/>
      <c r="CL631" s="76"/>
      <c r="CM631" s="76"/>
      <c r="CN631" s="76">
        <f>+CM631*22000</f>
        <v>0</v>
      </c>
      <c r="CO631" s="76"/>
      <c r="CP631" s="76">
        <f>+CO631*46000</f>
        <v>0</v>
      </c>
      <c r="CQ631" s="76"/>
      <c r="CR631" s="76">
        <f>+CQ631*49000</f>
        <v>0</v>
      </c>
      <c r="CS631" s="76"/>
      <c r="CT631" s="76"/>
      <c r="CU631" s="56">
        <f>AN631+AP631+AR631+AT631+AV631+AX631+AZ631+BB631+BD631+BF631+BH631+BJ631+BL631+BN631+BP631+BR631+BT631+BV631+BX631+BZ631+CB631+CD631+CF631+CH631+CJ631+CL631+CN631+CP631+CR631+CT631</f>
        <v>0</v>
      </c>
      <c r="CV631" s="76"/>
      <c r="CW631" s="76">
        <f>+CV631*1100</f>
        <v>0</v>
      </c>
      <c r="CX631" s="76"/>
      <c r="CY631" s="76">
        <f>+CX631*106250</f>
        <v>0</v>
      </c>
      <c r="CZ631" s="76"/>
      <c r="DA631" s="76">
        <f>+CZ631*34500</f>
        <v>0</v>
      </c>
      <c r="DB631" s="76"/>
      <c r="DC631" s="76">
        <f>+DB631*25000</f>
        <v>0</v>
      </c>
      <c r="DD631" s="219"/>
      <c r="DE631" s="219"/>
      <c r="DF631" s="166"/>
      <c r="DG631" s="116"/>
      <c r="DH631" s="117"/>
      <c r="DI631" s="24"/>
      <c r="DJ631" s="24"/>
      <c r="DK631" s="24"/>
      <c r="DL631" s="24"/>
      <c r="DM631" s="24"/>
      <c r="DN631" s="24"/>
      <c r="DO631" s="24"/>
      <c r="DP631" s="24"/>
      <c r="DQ631" s="24"/>
      <c r="DR631" s="24"/>
      <c r="DS631" s="24"/>
      <c r="DT631" s="24"/>
      <c r="DU631" s="24"/>
    </row>
    <row r="632" spans="1:125" s="8" customFormat="1" ht="48" x14ac:dyDescent="0.2">
      <c r="A632" s="77">
        <v>41314</v>
      </c>
      <c r="B632" s="78" t="s">
        <v>2778</v>
      </c>
      <c r="C632" s="75" t="s">
        <v>2194</v>
      </c>
      <c r="D632" s="81" t="s">
        <v>2846</v>
      </c>
      <c r="E632" s="75" t="str">
        <f>VLOOKUP(B632&amp;C632,Divipola!$C$2:$F$1138,4,FALSE)</f>
        <v>85010</v>
      </c>
      <c r="F632" s="87"/>
      <c r="G632" s="87"/>
      <c r="H632" s="87"/>
      <c r="I632" s="87"/>
      <c r="J632" s="87"/>
      <c r="K632" s="87"/>
      <c r="L632" s="87"/>
      <c r="M632" s="87"/>
      <c r="N632" s="87"/>
      <c r="O632" s="87"/>
      <c r="P632" s="87"/>
      <c r="Q632" s="87"/>
      <c r="R632" s="87"/>
      <c r="S632" s="87"/>
      <c r="T632" s="87"/>
      <c r="U632" s="88">
        <v>2</v>
      </c>
      <c r="V632" s="89"/>
      <c r="W632" s="96">
        <v>0</v>
      </c>
      <c r="X632" s="71">
        <f>CU632</f>
        <v>0</v>
      </c>
      <c r="Y632" s="71">
        <f>CY632</f>
        <v>0</v>
      </c>
      <c r="Z632" s="71">
        <f>DA632+DC632+DE632</f>
        <v>0</v>
      </c>
      <c r="AA632" s="71">
        <f>CW632</f>
        <v>0</v>
      </c>
      <c r="AB632" s="71"/>
      <c r="AC632" s="71">
        <v>0</v>
      </c>
      <c r="AD632" s="71">
        <f>W632+X632+Y632+Z632+AA632+AB632+AC632</f>
        <v>0</v>
      </c>
      <c r="AE632" s="72">
        <v>0</v>
      </c>
      <c r="AF632" s="5"/>
      <c r="AG632" s="6"/>
      <c r="AH632" s="27" t="s">
        <v>3392</v>
      </c>
      <c r="AI632" s="44" t="s">
        <v>3393</v>
      </c>
      <c r="AJ632" s="26"/>
      <c r="AK632" s="5"/>
      <c r="AL632" s="82" t="s">
        <v>3668</v>
      </c>
      <c r="AM632" s="76"/>
      <c r="AN632" s="76"/>
      <c r="AO632" s="76"/>
      <c r="AP632" s="76"/>
      <c r="AQ632" s="76"/>
      <c r="AR632" s="76"/>
      <c r="AS632" s="76"/>
      <c r="AT632" s="76"/>
      <c r="AU632" s="76"/>
      <c r="AV632" s="76"/>
      <c r="AW632" s="76"/>
      <c r="AX632" s="76">
        <f>+AW632*600000</f>
        <v>0</v>
      </c>
      <c r="AY632" s="76"/>
      <c r="AZ632" s="76">
        <f>+AY632*70000</f>
        <v>0</v>
      </c>
      <c r="BA632" s="76"/>
      <c r="BB632" s="76"/>
      <c r="BC632" s="76"/>
      <c r="BD632" s="76">
        <f>+BC632*30000</f>
        <v>0</v>
      </c>
      <c r="BE632" s="76"/>
      <c r="BF632" s="76"/>
      <c r="BG632" s="76"/>
      <c r="BH632" s="76"/>
      <c r="BI632" s="76"/>
      <c r="BJ632" s="76"/>
      <c r="BK632" s="76"/>
      <c r="BL632" s="76">
        <f>+BK632*31500</f>
        <v>0</v>
      </c>
      <c r="BM632" s="76"/>
      <c r="BN632" s="76"/>
      <c r="BO632" s="76"/>
      <c r="BP632" s="76"/>
      <c r="BQ632" s="76"/>
      <c r="BR632" s="76"/>
      <c r="BS632" s="76"/>
      <c r="BT632" s="76"/>
      <c r="BU632" s="76"/>
      <c r="BV632" s="76"/>
      <c r="BW632" s="76"/>
      <c r="BX632" s="76"/>
      <c r="BY632" s="76"/>
      <c r="BZ632" s="76"/>
      <c r="CA632" s="76"/>
      <c r="CB632" s="76"/>
      <c r="CC632" s="76"/>
      <c r="CD632" s="76"/>
      <c r="CE632" s="76"/>
      <c r="CF632" s="76">
        <f>+CE632*28000</f>
        <v>0</v>
      </c>
      <c r="CG632" s="76"/>
      <c r="CH632" s="76">
        <f>+CG632*22500</f>
        <v>0</v>
      </c>
      <c r="CI632" s="76"/>
      <c r="CJ632" s="76">
        <f>+CI632*26000</f>
        <v>0</v>
      </c>
      <c r="CK632" s="76"/>
      <c r="CL632" s="76"/>
      <c r="CM632" s="76"/>
      <c r="CN632" s="76">
        <f>+CM632*22000</f>
        <v>0</v>
      </c>
      <c r="CO632" s="76"/>
      <c r="CP632" s="76">
        <f>+CO632*46000</f>
        <v>0</v>
      </c>
      <c r="CQ632" s="76"/>
      <c r="CR632" s="76">
        <f>+CQ632*49000</f>
        <v>0</v>
      </c>
      <c r="CS632" s="76"/>
      <c r="CT632" s="76"/>
      <c r="CU632" s="56">
        <f>AN632+AP632+AR632+AT632+AV632+AX632+AZ632+BB632+BD632+BF632+BH632+BJ632+BL632+BN632+BP632+BR632+BT632+BV632+BX632+BZ632+CB632+CD632+CF632+CH632+CJ632+CL632+CN632+CP632+CR632+CT632</f>
        <v>0</v>
      </c>
      <c r="CV632" s="76"/>
      <c r="CW632" s="76">
        <f>+CV632*1100</f>
        <v>0</v>
      </c>
      <c r="CX632" s="76"/>
      <c r="CY632" s="76">
        <f>+CX632*106250</f>
        <v>0</v>
      </c>
      <c r="CZ632" s="76"/>
      <c r="DA632" s="76">
        <f>+CZ632*34500</f>
        <v>0</v>
      </c>
      <c r="DB632" s="76"/>
      <c r="DC632" s="76">
        <f>+DB632*25000</f>
        <v>0</v>
      </c>
      <c r="DD632" s="219"/>
      <c r="DE632" s="219"/>
      <c r="DF632" s="166"/>
      <c r="DG632" s="116"/>
      <c r="DH632" s="117"/>
      <c r="DI632" s="24"/>
      <c r="DJ632" s="24"/>
      <c r="DK632" s="24"/>
      <c r="DL632" s="24"/>
      <c r="DM632" s="24"/>
      <c r="DN632" s="24"/>
      <c r="DO632" s="24"/>
      <c r="DP632" s="24"/>
      <c r="DQ632" s="24"/>
      <c r="DR632" s="24"/>
      <c r="DS632" s="24"/>
      <c r="DT632" s="24"/>
      <c r="DU632" s="24"/>
    </row>
    <row r="633" spans="1:125" s="8" customFormat="1" ht="36" x14ac:dyDescent="0.2">
      <c r="A633" s="77">
        <v>41314</v>
      </c>
      <c r="B633" s="78" t="s">
        <v>2778</v>
      </c>
      <c r="C633" s="75" t="s">
        <v>1343</v>
      </c>
      <c r="D633" s="81" t="s">
        <v>2846</v>
      </c>
      <c r="E633" s="75" t="str">
        <f>VLOOKUP(B633&amp;C633,Divipola!$C$2:$F$1138,4,FALSE)</f>
        <v>85139</v>
      </c>
      <c r="F633" s="87"/>
      <c r="G633" s="87"/>
      <c r="H633" s="87"/>
      <c r="I633" s="87"/>
      <c r="J633" s="87"/>
      <c r="K633" s="87"/>
      <c r="L633" s="87"/>
      <c r="M633" s="87"/>
      <c r="N633" s="87"/>
      <c r="O633" s="87"/>
      <c r="P633" s="87"/>
      <c r="Q633" s="87"/>
      <c r="R633" s="87"/>
      <c r="S633" s="87"/>
      <c r="T633" s="87"/>
      <c r="U633" s="88">
        <v>2</v>
      </c>
      <c r="V633" s="89"/>
      <c r="W633" s="96">
        <v>0</v>
      </c>
      <c r="X633" s="71">
        <f>CU633</f>
        <v>0</v>
      </c>
      <c r="Y633" s="71">
        <f>CY633</f>
        <v>0</v>
      </c>
      <c r="Z633" s="71">
        <f>DA633+DC633+DE633</f>
        <v>0</v>
      </c>
      <c r="AA633" s="71">
        <f>CW633</f>
        <v>0</v>
      </c>
      <c r="AB633" s="71"/>
      <c r="AC633" s="71">
        <v>0</v>
      </c>
      <c r="AD633" s="71">
        <f>W633+X633+Y633+Z633+AA633+AB633+AC633</f>
        <v>0</v>
      </c>
      <c r="AE633" s="72">
        <v>0</v>
      </c>
      <c r="AF633" s="5"/>
      <c r="AG633" s="6"/>
      <c r="AH633" s="27" t="s">
        <v>3392</v>
      </c>
      <c r="AI633" s="44" t="s">
        <v>3393</v>
      </c>
      <c r="AJ633" s="26"/>
      <c r="AK633" s="5"/>
      <c r="AL633" s="82" t="s">
        <v>3679</v>
      </c>
      <c r="AM633" s="76"/>
      <c r="AN633" s="76"/>
      <c r="AO633" s="76"/>
      <c r="AP633" s="76"/>
      <c r="AQ633" s="76"/>
      <c r="AR633" s="76"/>
      <c r="AS633" s="76"/>
      <c r="AT633" s="76"/>
      <c r="AU633" s="76"/>
      <c r="AV633" s="76"/>
      <c r="AW633" s="76"/>
      <c r="AX633" s="76">
        <f>+AW633*600000</f>
        <v>0</v>
      </c>
      <c r="AY633" s="76"/>
      <c r="AZ633" s="76">
        <f>+AY633*70000</f>
        <v>0</v>
      </c>
      <c r="BA633" s="76"/>
      <c r="BB633" s="76"/>
      <c r="BC633" s="76"/>
      <c r="BD633" s="76">
        <f>+BC633*30000</f>
        <v>0</v>
      </c>
      <c r="BE633" s="76"/>
      <c r="BF633" s="76"/>
      <c r="BG633" s="76"/>
      <c r="BH633" s="76"/>
      <c r="BI633" s="76"/>
      <c r="BJ633" s="76"/>
      <c r="BK633" s="76"/>
      <c r="BL633" s="76">
        <f>+BK633*31500</f>
        <v>0</v>
      </c>
      <c r="BM633" s="76"/>
      <c r="BN633" s="76"/>
      <c r="BO633" s="76"/>
      <c r="BP633" s="76"/>
      <c r="BQ633" s="76"/>
      <c r="BR633" s="76"/>
      <c r="BS633" s="76"/>
      <c r="BT633" s="76"/>
      <c r="BU633" s="76"/>
      <c r="BV633" s="76"/>
      <c r="BW633" s="76"/>
      <c r="BX633" s="76"/>
      <c r="BY633" s="76"/>
      <c r="BZ633" s="76"/>
      <c r="CA633" s="76"/>
      <c r="CB633" s="76"/>
      <c r="CC633" s="76"/>
      <c r="CD633" s="76"/>
      <c r="CE633" s="76"/>
      <c r="CF633" s="76">
        <f>+CE633*28000</f>
        <v>0</v>
      </c>
      <c r="CG633" s="76"/>
      <c r="CH633" s="76">
        <f>+CG633*22500</f>
        <v>0</v>
      </c>
      <c r="CI633" s="76"/>
      <c r="CJ633" s="76">
        <f>+CI633*26000</f>
        <v>0</v>
      </c>
      <c r="CK633" s="76"/>
      <c r="CL633" s="76"/>
      <c r="CM633" s="76"/>
      <c r="CN633" s="76">
        <f>+CM633*22000</f>
        <v>0</v>
      </c>
      <c r="CO633" s="76"/>
      <c r="CP633" s="76">
        <f>+CO633*46000</f>
        <v>0</v>
      </c>
      <c r="CQ633" s="76"/>
      <c r="CR633" s="76">
        <f>+CQ633*49000</f>
        <v>0</v>
      </c>
      <c r="CS633" s="76"/>
      <c r="CT633" s="76"/>
      <c r="CU633" s="56">
        <f>AN633+AP633+AR633+AT633+AV633+AX633+AZ633+BB633+BD633+BF633+BH633+BJ633+BL633+BN633+BP633+BR633+BT633+BV633+BX633+BZ633+CB633+CD633+CF633+CH633+CJ633+CL633+CN633+CP633+CR633+CT633</f>
        <v>0</v>
      </c>
      <c r="CV633" s="76"/>
      <c r="CW633" s="76">
        <f>+CV633*1100</f>
        <v>0</v>
      </c>
      <c r="CX633" s="76"/>
      <c r="CY633" s="76">
        <f>+CX633*106250</f>
        <v>0</v>
      </c>
      <c r="CZ633" s="76"/>
      <c r="DA633" s="76">
        <f>+CZ633*34500</f>
        <v>0</v>
      </c>
      <c r="DB633" s="76"/>
      <c r="DC633" s="76">
        <f>+DB633*25000</f>
        <v>0</v>
      </c>
      <c r="DD633" s="219"/>
      <c r="DE633" s="219"/>
      <c r="DF633" s="166"/>
      <c r="DG633" s="116"/>
      <c r="DH633" s="117"/>
      <c r="DI633" s="24"/>
      <c r="DJ633" s="24"/>
      <c r="DK633" s="24"/>
      <c r="DL633" s="24"/>
      <c r="DM633" s="24"/>
      <c r="DN633" s="24"/>
      <c r="DO633" s="24"/>
      <c r="DP633" s="24"/>
      <c r="DQ633" s="24"/>
      <c r="DR633" s="24"/>
      <c r="DS633" s="24"/>
      <c r="DT633" s="24"/>
      <c r="DU633" s="24"/>
    </row>
    <row r="634" spans="1:125" s="8" customFormat="1" ht="72" x14ac:dyDescent="0.2">
      <c r="A634" s="77">
        <v>41314</v>
      </c>
      <c r="B634" s="78" t="s">
        <v>2778</v>
      </c>
      <c r="C634" s="75" t="s">
        <v>2779</v>
      </c>
      <c r="D634" s="81" t="s">
        <v>2846</v>
      </c>
      <c r="E634" s="75" t="str">
        <f>VLOOKUP(B634&amp;C634,Divipola!$C$2:$F$1138,4,FALSE)</f>
        <v>85230</v>
      </c>
      <c r="F634" s="87"/>
      <c r="G634" s="87"/>
      <c r="H634" s="87"/>
      <c r="I634" s="87"/>
      <c r="J634" s="87"/>
      <c r="K634" s="87"/>
      <c r="L634" s="87"/>
      <c r="M634" s="87"/>
      <c r="N634" s="87"/>
      <c r="O634" s="87"/>
      <c r="P634" s="87"/>
      <c r="Q634" s="87"/>
      <c r="R634" s="87"/>
      <c r="S634" s="87"/>
      <c r="T634" s="87"/>
      <c r="U634" s="88">
        <v>40</v>
      </c>
      <c r="V634" s="89"/>
      <c r="W634" s="96">
        <v>0</v>
      </c>
      <c r="X634" s="71">
        <f>CU634</f>
        <v>0</v>
      </c>
      <c r="Y634" s="71">
        <f>CY634</f>
        <v>0</v>
      </c>
      <c r="Z634" s="71">
        <f>DA634+DC634+DE634</f>
        <v>0</v>
      </c>
      <c r="AA634" s="71">
        <f>CW634</f>
        <v>0</v>
      </c>
      <c r="AB634" s="71"/>
      <c r="AC634" s="71">
        <v>0</v>
      </c>
      <c r="AD634" s="71">
        <f>W634+X634+Y634+Z634+AA634+AB634+AC634</f>
        <v>0</v>
      </c>
      <c r="AE634" s="72">
        <v>0</v>
      </c>
      <c r="AF634" s="5"/>
      <c r="AG634" s="6"/>
      <c r="AH634" s="27" t="s">
        <v>3392</v>
      </c>
      <c r="AI634" s="44" t="s">
        <v>3393</v>
      </c>
      <c r="AJ634" s="26"/>
      <c r="AK634" s="5"/>
      <c r="AL634" s="82" t="s">
        <v>3461</v>
      </c>
      <c r="AM634" s="76"/>
      <c r="AN634" s="76"/>
      <c r="AO634" s="76"/>
      <c r="AP634" s="76"/>
      <c r="AQ634" s="76"/>
      <c r="AR634" s="76"/>
      <c r="AS634" s="76"/>
      <c r="AT634" s="76"/>
      <c r="AU634" s="76"/>
      <c r="AV634" s="76"/>
      <c r="AW634" s="76"/>
      <c r="AX634" s="76">
        <f>+AW634*600000</f>
        <v>0</v>
      </c>
      <c r="AY634" s="76"/>
      <c r="AZ634" s="76">
        <f>+AY634*70000</f>
        <v>0</v>
      </c>
      <c r="BA634" s="76"/>
      <c r="BB634" s="76"/>
      <c r="BC634" s="76"/>
      <c r="BD634" s="76">
        <f>+BC634*30000</f>
        <v>0</v>
      </c>
      <c r="BE634" s="76"/>
      <c r="BF634" s="76"/>
      <c r="BG634" s="76"/>
      <c r="BH634" s="76"/>
      <c r="BI634" s="76"/>
      <c r="BJ634" s="76"/>
      <c r="BK634" s="76"/>
      <c r="BL634" s="76">
        <f>+BK634*31500</f>
        <v>0</v>
      </c>
      <c r="BM634" s="76"/>
      <c r="BN634" s="76"/>
      <c r="BO634" s="76"/>
      <c r="BP634" s="76"/>
      <c r="BQ634" s="76"/>
      <c r="BR634" s="76"/>
      <c r="BS634" s="76"/>
      <c r="BT634" s="76"/>
      <c r="BU634" s="76"/>
      <c r="BV634" s="76"/>
      <c r="BW634" s="76"/>
      <c r="BX634" s="76"/>
      <c r="BY634" s="76"/>
      <c r="BZ634" s="76"/>
      <c r="CA634" s="76"/>
      <c r="CB634" s="76"/>
      <c r="CC634" s="76"/>
      <c r="CD634" s="76"/>
      <c r="CE634" s="76"/>
      <c r="CF634" s="76">
        <f>+CE634*28000</f>
        <v>0</v>
      </c>
      <c r="CG634" s="76"/>
      <c r="CH634" s="76">
        <f>+CG634*22500</f>
        <v>0</v>
      </c>
      <c r="CI634" s="76"/>
      <c r="CJ634" s="76">
        <f>+CI634*26000</f>
        <v>0</v>
      </c>
      <c r="CK634" s="76"/>
      <c r="CL634" s="76"/>
      <c r="CM634" s="76"/>
      <c r="CN634" s="76">
        <f>+CM634*22000</f>
        <v>0</v>
      </c>
      <c r="CO634" s="76"/>
      <c r="CP634" s="76">
        <f>+CO634*46000</f>
        <v>0</v>
      </c>
      <c r="CQ634" s="76"/>
      <c r="CR634" s="76">
        <f>+CQ634*49000</f>
        <v>0</v>
      </c>
      <c r="CS634" s="76"/>
      <c r="CT634" s="76"/>
      <c r="CU634" s="56">
        <f>AN634+AP634+AR634+AT634+AV634+AX634+AZ634+BB634+BD634+BF634+BH634+BJ634+BL634+BN634+BP634+BR634+BT634+BV634+BX634+BZ634+CB634+CD634+CF634+CH634+CJ634+CL634+CN634+CP634+CR634+CT634</f>
        <v>0</v>
      </c>
      <c r="CV634" s="76"/>
      <c r="CW634" s="76">
        <f>+CV634*1100</f>
        <v>0</v>
      </c>
      <c r="CX634" s="76"/>
      <c r="CY634" s="76">
        <f>+CX634*106250</f>
        <v>0</v>
      </c>
      <c r="CZ634" s="76"/>
      <c r="DA634" s="76">
        <f>+CZ634*34500</f>
        <v>0</v>
      </c>
      <c r="DB634" s="76"/>
      <c r="DC634" s="76">
        <f>+DB634*25000</f>
        <v>0</v>
      </c>
      <c r="DD634" s="219"/>
      <c r="DE634" s="219"/>
      <c r="DF634" s="166"/>
      <c r="DG634" s="116"/>
      <c r="DH634" s="117"/>
      <c r="DI634" s="24"/>
      <c r="DJ634" s="24"/>
      <c r="DK634" s="24"/>
      <c r="DL634" s="24"/>
      <c r="DM634" s="24"/>
      <c r="DN634" s="24"/>
      <c r="DO634" s="24"/>
      <c r="DP634" s="24"/>
      <c r="DQ634" s="24"/>
      <c r="DR634" s="24"/>
      <c r="DS634" s="24"/>
      <c r="DT634" s="24"/>
      <c r="DU634" s="24"/>
    </row>
    <row r="635" spans="1:125" s="8" customFormat="1" ht="72" x14ac:dyDescent="0.2">
      <c r="A635" s="77">
        <v>41314</v>
      </c>
      <c r="B635" s="78" t="s">
        <v>2778</v>
      </c>
      <c r="C635" s="75" t="s">
        <v>1271</v>
      </c>
      <c r="D635" s="81" t="s">
        <v>2846</v>
      </c>
      <c r="E635" s="75" t="str">
        <f>VLOOKUP(B635&amp;C635,Divipola!$C$2:$F$1138,4,FALSE)</f>
        <v>85410</v>
      </c>
      <c r="F635" s="87"/>
      <c r="G635" s="87"/>
      <c r="H635" s="87"/>
      <c r="I635" s="87"/>
      <c r="J635" s="87"/>
      <c r="K635" s="87"/>
      <c r="L635" s="87"/>
      <c r="M635" s="87"/>
      <c r="N635" s="87"/>
      <c r="O635" s="87"/>
      <c r="P635" s="87"/>
      <c r="Q635" s="87"/>
      <c r="R635" s="87"/>
      <c r="S635" s="87"/>
      <c r="T635" s="87"/>
      <c r="U635" s="88">
        <v>15</v>
      </c>
      <c r="V635" s="89"/>
      <c r="W635" s="96">
        <v>0</v>
      </c>
      <c r="X635" s="71">
        <f>CU635</f>
        <v>0</v>
      </c>
      <c r="Y635" s="71">
        <f>CY635</f>
        <v>0</v>
      </c>
      <c r="Z635" s="71">
        <f>DA635+DC635+DE635</f>
        <v>0</v>
      </c>
      <c r="AA635" s="71">
        <f>CW635</f>
        <v>0</v>
      </c>
      <c r="AB635" s="71"/>
      <c r="AC635" s="71">
        <v>0</v>
      </c>
      <c r="AD635" s="71">
        <f>W635+X635+Y635+Z635+AA635+AB635+AC635</f>
        <v>0</v>
      </c>
      <c r="AE635" s="72">
        <v>0</v>
      </c>
      <c r="AF635" s="5"/>
      <c r="AG635" s="6"/>
      <c r="AH635" s="27" t="s">
        <v>3392</v>
      </c>
      <c r="AI635" s="44" t="s">
        <v>3393</v>
      </c>
      <c r="AJ635" s="26"/>
      <c r="AK635" s="5"/>
      <c r="AL635" s="82" t="s">
        <v>3460</v>
      </c>
      <c r="AM635" s="76"/>
      <c r="AN635" s="76"/>
      <c r="AO635" s="76"/>
      <c r="AP635" s="76"/>
      <c r="AQ635" s="76"/>
      <c r="AR635" s="76"/>
      <c r="AS635" s="76"/>
      <c r="AT635" s="76"/>
      <c r="AU635" s="76"/>
      <c r="AV635" s="76"/>
      <c r="AW635" s="76"/>
      <c r="AX635" s="76">
        <f>+AW635*600000</f>
        <v>0</v>
      </c>
      <c r="AY635" s="76"/>
      <c r="AZ635" s="76">
        <f>+AY635*70000</f>
        <v>0</v>
      </c>
      <c r="BA635" s="76"/>
      <c r="BB635" s="76"/>
      <c r="BC635" s="76"/>
      <c r="BD635" s="76">
        <f>+BC635*30000</f>
        <v>0</v>
      </c>
      <c r="BE635" s="76"/>
      <c r="BF635" s="76"/>
      <c r="BG635" s="76"/>
      <c r="BH635" s="76"/>
      <c r="BI635" s="76"/>
      <c r="BJ635" s="76"/>
      <c r="BK635" s="76"/>
      <c r="BL635" s="76">
        <f>+BK635*31500</f>
        <v>0</v>
      </c>
      <c r="BM635" s="76"/>
      <c r="BN635" s="76"/>
      <c r="BO635" s="76"/>
      <c r="BP635" s="76"/>
      <c r="BQ635" s="76"/>
      <c r="BR635" s="76"/>
      <c r="BS635" s="76"/>
      <c r="BT635" s="76"/>
      <c r="BU635" s="76"/>
      <c r="BV635" s="76"/>
      <c r="BW635" s="76"/>
      <c r="BX635" s="76"/>
      <c r="BY635" s="76"/>
      <c r="BZ635" s="76"/>
      <c r="CA635" s="76"/>
      <c r="CB635" s="76"/>
      <c r="CC635" s="76"/>
      <c r="CD635" s="76"/>
      <c r="CE635" s="76"/>
      <c r="CF635" s="76">
        <f>+CE635*28000</f>
        <v>0</v>
      </c>
      <c r="CG635" s="76"/>
      <c r="CH635" s="76">
        <f>+CG635*22500</f>
        <v>0</v>
      </c>
      <c r="CI635" s="76"/>
      <c r="CJ635" s="76">
        <f>+CI635*26000</f>
        <v>0</v>
      </c>
      <c r="CK635" s="76"/>
      <c r="CL635" s="76"/>
      <c r="CM635" s="76"/>
      <c r="CN635" s="76">
        <f>+CM635*22000</f>
        <v>0</v>
      </c>
      <c r="CO635" s="76"/>
      <c r="CP635" s="76">
        <f>+CO635*46000</f>
        <v>0</v>
      </c>
      <c r="CQ635" s="76"/>
      <c r="CR635" s="76">
        <f>+CQ635*49000</f>
        <v>0</v>
      </c>
      <c r="CS635" s="76"/>
      <c r="CT635" s="76"/>
      <c r="CU635" s="56">
        <f>AN635+AP635+AR635+AT635+AV635+AX635+AZ635+BB635+BD635+BF635+BH635+BJ635+BL635+BN635+BP635+BR635+BT635+BV635+BX635+BZ635+CB635+CD635+CF635+CH635+CJ635+CL635+CN635+CP635+CR635+CT635</f>
        <v>0</v>
      </c>
      <c r="CV635" s="76"/>
      <c r="CW635" s="76">
        <f>+CV635*1100</f>
        <v>0</v>
      </c>
      <c r="CX635" s="76"/>
      <c r="CY635" s="76">
        <f>+CX635*106250</f>
        <v>0</v>
      </c>
      <c r="CZ635" s="76"/>
      <c r="DA635" s="76">
        <f>+CZ635*34500</f>
        <v>0</v>
      </c>
      <c r="DB635" s="76"/>
      <c r="DC635" s="76">
        <f>+DB635*25000</f>
        <v>0</v>
      </c>
      <c r="DD635" s="219"/>
      <c r="DE635" s="219"/>
      <c r="DF635" s="166"/>
      <c r="DG635" s="116"/>
      <c r="DH635" s="117"/>
      <c r="DI635" s="24"/>
      <c r="DJ635" s="24"/>
      <c r="DK635" s="24"/>
      <c r="DL635" s="24"/>
      <c r="DM635" s="24"/>
      <c r="DN635" s="24"/>
      <c r="DO635" s="24"/>
      <c r="DP635" s="24"/>
      <c r="DQ635" s="24"/>
      <c r="DR635" s="24"/>
      <c r="DS635" s="24"/>
      <c r="DT635" s="24"/>
      <c r="DU635" s="24"/>
    </row>
    <row r="636" spans="1:125" s="8" customFormat="1" ht="48" x14ac:dyDescent="0.2">
      <c r="A636" s="77">
        <v>41314</v>
      </c>
      <c r="B636" s="78" t="s">
        <v>2778</v>
      </c>
      <c r="C636" s="75" t="s">
        <v>1271</v>
      </c>
      <c r="D636" s="81" t="s">
        <v>2846</v>
      </c>
      <c r="E636" s="75" t="str">
        <f>VLOOKUP(B636&amp;C636,Divipola!$C$2:$F$1138,4,FALSE)</f>
        <v>85410</v>
      </c>
      <c r="F636" s="87"/>
      <c r="G636" s="87"/>
      <c r="H636" s="87"/>
      <c r="I636" s="87"/>
      <c r="J636" s="87"/>
      <c r="K636" s="87"/>
      <c r="L636" s="87"/>
      <c r="M636" s="87"/>
      <c r="N636" s="87"/>
      <c r="O636" s="87"/>
      <c r="P636" s="87"/>
      <c r="Q636" s="87"/>
      <c r="R636" s="87"/>
      <c r="S636" s="87"/>
      <c r="T636" s="87"/>
      <c r="U636" s="88">
        <v>1</v>
      </c>
      <c r="V636" s="89"/>
      <c r="W636" s="96">
        <v>0</v>
      </c>
      <c r="X636" s="71">
        <f>CU636</f>
        <v>0</v>
      </c>
      <c r="Y636" s="71">
        <f>CY636</f>
        <v>0</v>
      </c>
      <c r="Z636" s="71">
        <f>DA636+DC636+DE636</f>
        <v>0</v>
      </c>
      <c r="AA636" s="71">
        <f>CW636</f>
        <v>0</v>
      </c>
      <c r="AB636" s="71"/>
      <c r="AC636" s="71">
        <v>0</v>
      </c>
      <c r="AD636" s="71">
        <f>W636+X636+Y636+Z636+AA636+AB636+AC636</f>
        <v>0</v>
      </c>
      <c r="AE636" s="72">
        <v>0</v>
      </c>
      <c r="AF636" s="5"/>
      <c r="AG636" s="6"/>
      <c r="AH636" s="27" t="s">
        <v>3392</v>
      </c>
      <c r="AI636" s="44" t="s">
        <v>3393</v>
      </c>
      <c r="AJ636" s="26"/>
      <c r="AK636" s="5"/>
      <c r="AL636" s="82" t="s">
        <v>3809</v>
      </c>
      <c r="AM636" s="76"/>
      <c r="AN636" s="76"/>
      <c r="AO636" s="76"/>
      <c r="AP636" s="76"/>
      <c r="AQ636" s="76"/>
      <c r="AR636" s="76"/>
      <c r="AS636" s="76"/>
      <c r="AT636" s="76"/>
      <c r="AU636" s="76"/>
      <c r="AV636" s="76"/>
      <c r="AW636" s="76"/>
      <c r="AX636" s="76">
        <f>+AW636*600000</f>
        <v>0</v>
      </c>
      <c r="AY636" s="76"/>
      <c r="AZ636" s="76">
        <f>+AY636*70000</f>
        <v>0</v>
      </c>
      <c r="BA636" s="76"/>
      <c r="BB636" s="76"/>
      <c r="BC636" s="76"/>
      <c r="BD636" s="76">
        <f>+BC636*30000</f>
        <v>0</v>
      </c>
      <c r="BE636" s="76"/>
      <c r="BF636" s="76"/>
      <c r="BG636" s="76"/>
      <c r="BH636" s="76"/>
      <c r="BI636" s="76"/>
      <c r="BJ636" s="76"/>
      <c r="BK636" s="76"/>
      <c r="BL636" s="76">
        <f>+BK636*31500</f>
        <v>0</v>
      </c>
      <c r="BM636" s="76"/>
      <c r="BN636" s="76"/>
      <c r="BO636" s="76"/>
      <c r="BP636" s="76"/>
      <c r="BQ636" s="76"/>
      <c r="BR636" s="76"/>
      <c r="BS636" s="76"/>
      <c r="BT636" s="76"/>
      <c r="BU636" s="76"/>
      <c r="BV636" s="76"/>
      <c r="BW636" s="76"/>
      <c r="BX636" s="76"/>
      <c r="BY636" s="76"/>
      <c r="BZ636" s="76"/>
      <c r="CA636" s="76"/>
      <c r="CB636" s="76"/>
      <c r="CC636" s="76"/>
      <c r="CD636" s="76"/>
      <c r="CE636" s="76"/>
      <c r="CF636" s="76">
        <f>+CE636*28000</f>
        <v>0</v>
      </c>
      <c r="CG636" s="76"/>
      <c r="CH636" s="76">
        <f>+CG636*22500</f>
        <v>0</v>
      </c>
      <c r="CI636" s="76"/>
      <c r="CJ636" s="76">
        <f>+CI636*26000</f>
        <v>0</v>
      </c>
      <c r="CK636" s="76"/>
      <c r="CL636" s="76"/>
      <c r="CM636" s="76"/>
      <c r="CN636" s="76">
        <f>+CM636*22000</f>
        <v>0</v>
      </c>
      <c r="CO636" s="76"/>
      <c r="CP636" s="76">
        <f>+CO636*46000</f>
        <v>0</v>
      </c>
      <c r="CQ636" s="76"/>
      <c r="CR636" s="76">
        <f>+CQ636*49000</f>
        <v>0</v>
      </c>
      <c r="CS636" s="76"/>
      <c r="CT636" s="76"/>
      <c r="CU636" s="56">
        <f>AN636+AP636+AR636+AT636+AV636+AX636+AZ636+BB636+BD636+BF636+BH636+BJ636+BL636+BN636+BP636+BR636+BT636+BV636+BX636+BZ636+CB636+CD636+CF636+CH636+CJ636+CL636+CN636+CP636+CR636+CT636</f>
        <v>0</v>
      </c>
      <c r="CV636" s="76"/>
      <c r="CW636" s="76">
        <f>+CV636*1100</f>
        <v>0</v>
      </c>
      <c r="CX636" s="76"/>
      <c r="CY636" s="76">
        <f>+CX636*106250</f>
        <v>0</v>
      </c>
      <c r="CZ636" s="76"/>
      <c r="DA636" s="76">
        <f>+CZ636*34500</f>
        <v>0</v>
      </c>
      <c r="DB636" s="76"/>
      <c r="DC636" s="76">
        <f>+DB636*25000</f>
        <v>0</v>
      </c>
      <c r="DD636" s="219"/>
      <c r="DE636" s="219"/>
      <c r="DF636" s="166"/>
      <c r="DG636" s="116"/>
      <c r="DH636" s="117"/>
      <c r="DI636" s="24"/>
      <c r="DJ636" s="24"/>
      <c r="DK636" s="24"/>
      <c r="DL636" s="24"/>
      <c r="DM636" s="24"/>
      <c r="DN636" s="24"/>
      <c r="DO636" s="24"/>
      <c r="DP636" s="24"/>
      <c r="DQ636" s="24"/>
      <c r="DR636" s="24"/>
      <c r="DS636" s="24"/>
      <c r="DT636" s="24"/>
      <c r="DU636" s="24"/>
    </row>
    <row r="637" spans="1:125" s="8" customFormat="1" ht="48" x14ac:dyDescent="0.2">
      <c r="A637" s="77">
        <v>41314</v>
      </c>
      <c r="B637" s="78" t="s">
        <v>2778</v>
      </c>
      <c r="C637" s="75" t="s">
        <v>1344</v>
      </c>
      <c r="D637" s="81" t="s">
        <v>2846</v>
      </c>
      <c r="E637" s="75" t="str">
        <f>VLOOKUP(B637&amp;C637,Divipola!$C$2:$F$1138,4,FALSE)</f>
        <v>85001</v>
      </c>
      <c r="F637" s="87"/>
      <c r="G637" s="87"/>
      <c r="H637" s="87"/>
      <c r="I637" s="87"/>
      <c r="J637" s="87"/>
      <c r="K637" s="87"/>
      <c r="L637" s="87"/>
      <c r="M637" s="87"/>
      <c r="N637" s="87"/>
      <c r="O637" s="87"/>
      <c r="P637" s="87"/>
      <c r="Q637" s="87"/>
      <c r="R637" s="87"/>
      <c r="S637" s="87"/>
      <c r="T637" s="87"/>
      <c r="U637" s="88">
        <v>5</v>
      </c>
      <c r="V637" s="89"/>
      <c r="W637" s="96">
        <v>0</v>
      </c>
      <c r="X637" s="71">
        <f>CU637</f>
        <v>0</v>
      </c>
      <c r="Y637" s="71">
        <f>CY637</f>
        <v>0</v>
      </c>
      <c r="Z637" s="71">
        <f>DA637+DC637+DE637</f>
        <v>0</v>
      </c>
      <c r="AA637" s="71">
        <f>CW637</f>
        <v>0</v>
      </c>
      <c r="AB637" s="71"/>
      <c r="AC637" s="71">
        <v>0</v>
      </c>
      <c r="AD637" s="71">
        <f>W637+X637+Y637+Z637+AA637+AB637+AC637</f>
        <v>0</v>
      </c>
      <c r="AE637" s="72">
        <v>0</v>
      </c>
      <c r="AF637" s="5"/>
      <c r="AG637" s="6"/>
      <c r="AH637" s="27" t="s">
        <v>3392</v>
      </c>
      <c r="AI637" s="44" t="s">
        <v>3393</v>
      </c>
      <c r="AJ637" s="26"/>
      <c r="AK637" s="5"/>
      <c r="AL637" s="82" t="s">
        <v>3778</v>
      </c>
      <c r="AM637" s="76"/>
      <c r="AN637" s="76"/>
      <c r="AO637" s="76"/>
      <c r="AP637" s="76"/>
      <c r="AQ637" s="76"/>
      <c r="AR637" s="76"/>
      <c r="AS637" s="76"/>
      <c r="AT637" s="76"/>
      <c r="AU637" s="76"/>
      <c r="AV637" s="76"/>
      <c r="AW637" s="76"/>
      <c r="AX637" s="76">
        <f>+AW637*600000</f>
        <v>0</v>
      </c>
      <c r="AY637" s="76"/>
      <c r="AZ637" s="76">
        <f>+AY637*70000</f>
        <v>0</v>
      </c>
      <c r="BA637" s="76"/>
      <c r="BB637" s="76"/>
      <c r="BC637" s="76"/>
      <c r="BD637" s="76">
        <f>+BC637*30000</f>
        <v>0</v>
      </c>
      <c r="BE637" s="76"/>
      <c r="BF637" s="76"/>
      <c r="BG637" s="76"/>
      <c r="BH637" s="76"/>
      <c r="BI637" s="76"/>
      <c r="BJ637" s="76"/>
      <c r="BK637" s="76"/>
      <c r="BL637" s="76">
        <f>+BK637*31500</f>
        <v>0</v>
      </c>
      <c r="BM637" s="76"/>
      <c r="BN637" s="76"/>
      <c r="BO637" s="76"/>
      <c r="BP637" s="76"/>
      <c r="BQ637" s="76"/>
      <c r="BR637" s="76"/>
      <c r="BS637" s="76"/>
      <c r="BT637" s="76"/>
      <c r="BU637" s="76"/>
      <c r="BV637" s="76"/>
      <c r="BW637" s="76"/>
      <c r="BX637" s="76"/>
      <c r="BY637" s="76"/>
      <c r="BZ637" s="76"/>
      <c r="CA637" s="76"/>
      <c r="CB637" s="76"/>
      <c r="CC637" s="76"/>
      <c r="CD637" s="76"/>
      <c r="CE637" s="76"/>
      <c r="CF637" s="76">
        <f>+CE637*28000</f>
        <v>0</v>
      </c>
      <c r="CG637" s="76"/>
      <c r="CH637" s="76">
        <f>+CG637*22500</f>
        <v>0</v>
      </c>
      <c r="CI637" s="76"/>
      <c r="CJ637" s="76">
        <f>+CI637*26000</f>
        <v>0</v>
      </c>
      <c r="CK637" s="76"/>
      <c r="CL637" s="76"/>
      <c r="CM637" s="76"/>
      <c r="CN637" s="76">
        <f>+CM637*22000</f>
        <v>0</v>
      </c>
      <c r="CO637" s="76"/>
      <c r="CP637" s="76">
        <f>+CO637*46000</f>
        <v>0</v>
      </c>
      <c r="CQ637" s="76"/>
      <c r="CR637" s="76">
        <f>+CQ637*49000</f>
        <v>0</v>
      </c>
      <c r="CS637" s="76"/>
      <c r="CT637" s="76"/>
      <c r="CU637" s="56">
        <f>AN637+AP637+AR637+AT637+AV637+AX637+AZ637+BB637+BD637+BF637+BH637+BJ637+BL637+BN637+BP637+BR637+BT637+BV637+BX637+BZ637+CB637+CD637+CF637+CH637+CJ637+CL637+CN637+CP637+CR637+CT637</f>
        <v>0</v>
      </c>
      <c r="CV637" s="76"/>
      <c r="CW637" s="76">
        <f>+CV637*1100</f>
        <v>0</v>
      </c>
      <c r="CX637" s="76"/>
      <c r="CY637" s="76">
        <f>+CX637*106250</f>
        <v>0</v>
      </c>
      <c r="CZ637" s="76"/>
      <c r="DA637" s="76">
        <f>+CZ637*34500</f>
        <v>0</v>
      </c>
      <c r="DB637" s="76"/>
      <c r="DC637" s="76">
        <f>+DB637*25000</f>
        <v>0</v>
      </c>
      <c r="DD637" s="219"/>
      <c r="DE637" s="219"/>
      <c r="DF637" s="166"/>
      <c r="DG637" s="116"/>
      <c r="DH637" s="117"/>
      <c r="DI637" s="24"/>
      <c r="DJ637" s="24"/>
      <c r="DK637" s="24"/>
      <c r="DL637" s="24"/>
      <c r="DM637" s="24"/>
      <c r="DN637" s="24"/>
      <c r="DO637" s="24"/>
      <c r="DP637" s="24"/>
      <c r="DQ637" s="24"/>
      <c r="DR637" s="24"/>
      <c r="DS637" s="24"/>
      <c r="DT637" s="24"/>
      <c r="DU637" s="24"/>
    </row>
    <row r="638" spans="1:125" s="8" customFormat="1" ht="84" x14ac:dyDescent="0.2">
      <c r="A638" s="77">
        <v>41314</v>
      </c>
      <c r="B638" s="78" t="s">
        <v>2854</v>
      </c>
      <c r="C638" s="75" t="s">
        <v>822</v>
      </c>
      <c r="D638" s="75" t="s">
        <v>3194</v>
      </c>
      <c r="E638" s="75" t="str">
        <f>VLOOKUP(B638&amp;C638,Divipola!$C$2:$F$1138,4,FALSE)</f>
        <v>19022</v>
      </c>
      <c r="F638" s="163"/>
      <c r="G638" s="163"/>
      <c r="H638" s="163"/>
      <c r="I638" s="163">
        <v>845</v>
      </c>
      <c r="J638" s="163">
        <v>169</v>
      </c>
      <c r="K638" s="163"/>
      <c r="L638" s="163">
        <v>169</v>
      </c>
      <c r="M638" s="163"/>
      <c r="N638" s="163"/>
      <c r="O638" s="163"/>
      <c r="P638" s="163"/>
      <c r="Q638" s="163"/>
      <c r="R638" s="163">
        <v>1</v>
      </c>
      <c r="S638" s="163">
        <v>2</v>
      </c>
      <c r="T638" s="163"/>
      <c r="U638" s="163"/>
      <c r="V638" s="134"/>
      <c r="W638" s="96">
        <v>0</v>
      </c>
      <c r="X638" s="71">
        <f>CU638</f>
        <v>0</v>
      </c>
      <c r="Y638" s="71">
        <f>CY638</f>
        <v>0</v>
      </c>
      <c r="Z638" s="71">
        <f>DA638+DC638+DE638</f>
        <v>416821147.60000002</v>
      </c>
      <c r="AA638" s="71">
        <f>CW638</f>
        <v>0</v>
      </c>
      <c r="AB638" s="71"/>
      <c r="AC638" s="71">
        <v>0</v>
      </c>
      <c r="AD638" s="71">
        <f>W638+X638+Y638+Z638+AA638+AB638+AC638</f>
        <v>416821147.60000002</v>
      </c>
      <c r="AE638" s="72">
        <v>0</v>
      </c>
      <c r="AF638" s="5"/>
      <c r="AG638" s="6"/>
      <c r="AH638" s="27" t="s">
        <v>3390</v>
      </c>
      <c r="AI638" s="44" t="s">
        <v>3391</v>
      </c>
      <c r="AJ638" s="26"/>
      <c r="AK638" s="5"/>
      <c r="AL638" s="82" t="s">
        <v>3458</v>
      </c>
      <c r="AM638" s="76"/>
      <c r="AN638" s="76"/>
      <c r="AO638" s="76"/>
      <c r="AP638" s="76"/>
      <c r="AQ638" s="76"/>
      <c r="AR638" s="76"/>
      <c r="AS638" s="76"/>
      <c r="AT638" s="76"/>
      <c r="AU638" s="76"/>
      <c r="AV638" s="76"/>
      <c r="AW638" s="76"/>
      <c r="AX638" s="76">
        <f>+AW638*600000</f>
        <v>0</v>
      </c>
      <c r="AY638" s="76"/>
      <c r="AZ638" s="76">
        <f>+AY638*70000</f>
        <v>0</v>
      </c>
      <c r="BA638" s="76"/>
      <c r="BB638" s="76"/>
      <c r="BC638" s="76"/>
      <c r="BD638" s="76">
        <f>+BC638*30000</f>
        <v>0</v>
      </c>
      <c r="BE638" s="76"/>
      <c r="BF638" s="76"/>
      <c r="BG638" s="76"/>
      <c r="BH638" s="76"/>
      <c r="BI638" s="76"/>
      <c r="BJ638" s="76"/>
      <c r="BK638" s="76"/>
      <c r="BL638" s="76">
        <f>+BK638*31500</f>
        <v>0</v>
      </c>
      <c r="BM638" s="76"/>
      <c r="BN638" s="76"/>
      <c r="BO638" s="76"/>
      <c r="BP638" s="76"/>
      <c r="BQ638" s="76"/>
      <c r="BR638" s="76"/>
      <c r="BS638" s="76"/>
      <c r="BT638" s="76"/>
      <c r="BU638" s="76"/>
      <c r="BV638" s="76"/>
      <c r="BW638" s="76"/>
      <c r="BX638" s="76"/>
      <c r="BY638" s="76"/>
      <c r="BZ638" s="76"/>
      <c r="CA638" s="76"/>
      <c r="CB638" s="76"/>
      <c r="CC638" s="76"/>
      <c r="CD638" s="76"/>
      <c r="CE638" s="76"/>
      <c r="CF638" s="76">
        <f>+CE638*28000</f>
        <v>0</v>
      </c>
      <c r="CG638" s="76"/>
      <c r="CH638" s="76">
        <f>+CG638*22500</f>
        <v>0</v>
      </c>
      <c r="CI638" s="76"/>
      <c r="CJ638" s="76">
        <f>+CI638*26000</f>
        <v>0</v>
      </c>
      <c r="CK638" s="76"/>
      <c r="CL638" s="76"/>
      <c r="CM638" s="76"/>
      <c r="CN638" s="76">
        <f>+CM638*22000</f>
        <v>0</v>
      </c>
      <c r="CO638" s="76"/>
      <c r="CP638" s="76">
        <f>+CO638*46000</f>
        <v>0</v>
      </c>
      <c r="CQ638" s="76"/>
      <c r="CR638" s="76">
        <f>+CQ638*49000</f>
        <v>0</v>
      </c>
      <c r="CS638" s="76"/>
      <c r="CT638" s="76"/>
      <c r="CU638" s="56">
        <f>AN638+AP638+AR638+AT638+AV638+AX638+AZ638+BB638+BD638+BF638+BH638+BJ638+BL638+BN638+BP638+BR638+BT638+BV638+BX638+BZ638+CB638+CD638+CF638+CH638+CJ638+CL638+CN638+CP638+CR638+CT638</f>
        <v>0</v>
      </c>
      <c r="CV638" s="76"/>
      <c r="CW638" s="76">
        <f>+CV638*1100</f>
        <v>0</v>
      </c>
      <c r="CX638" s="76"/>
      <c r="CY638" s="76">
        <f>+CX638*106250</f>
        <v>0</v>
      </c>
      <c r="CZ638" s="86">
        <v>4210</v>
      </c>
      <c r="DA638" s="86">
        <f>4210*34499.56</f>
        <v>145243147.59999999</v>
      </c>
      <c r="DB638" s="86">
        <f>4165+850</f>
        <v>5015</v>
      </c>
      <c r="DC638" s="86">
        <f>4165*31000+12495*400+850*39800</f>
        <v>167943000</v>
      </c>
      <c r="DD638" s="221" t="s">
        <v>4818</v>
      </c>
      <c r="DE638" s="223">
        <f>16200*2100+3100*7000+2150*21500+169*10000</f>
        <v>103635000</v>
      </c>
      <c r="DF638" s="166"/>
      <c r="DG638" s="192" t="s">
        <v>4819</v>
      </c>
      <c r="DH638" s="117"/>
      <c r="DI638" s="24"/>
      <c r="DJ638" s="24"/>
      <c r="DK638" s="24"/>
      <c r="DL638" s="24"/>
      <c r="DM638" s="24"/>
      <c r="DN638" s="24"/>
      <c r="DO638" s="24"/>
      <c r="DP638" s="24"/>
      <c r="DQ638" s="24"/>
      <c r="DR638" s="24"/>
      <c r="DS638" s="24"/>
      <c r="DT638" s="24"/>
      <c r="DU638" s="24"/>
    </row>
    <row r="639" spans="1:125" s="8" customFormat="1" ht="84" x14ac:dyDescent="0.2">
      <c r="A639" s="77">
        <v>41314</v>
      </c>
      <c r="B639" s="78" t="s">
        <v>2854</v>
      </c>
      <c r="C639" s="75" t="s">
        <v>1346</v>
      </c>
      <c r="D639" s="75" t="s">
        <v>3194</v>
      </c>
      <c r="E639" s="75" t="str">
        <f>VLOOKUP(B639&amp;C639,Divipola!$C$2:$F$1138,4,FALSE)</f>
        <v>19050</v>
      </c>
      <c r="F639" s="163"/>
      <c r="G639" s="163"/>
      <c r="H639" s="163"/>
      <c r="I639" s="163">
        <v>1545</v>
      </c>
      <c r="J639" s="163">
        <v>309</v>
      </c>
      <c r="K639" s="163"/>
      <c r="L639" s="163">
        <v>309</v>
      </c>
      <c r="M639" s="163"/>
      <c r="N639" s="163"/>
      <c r="O639" s="163"/>
      <c r="P639" s="163"/>
      <c r="Q639" s="163"/>
      <c r="R639" s="163"/>
      <c r="S639" s="163">
        <v>2</v>
      </c>
      <c r="T639" s="163"/>
      <c r="U639" s="163"/>
      <c r="V639" s="134"/>
      <c r="W639" s="96">
        <v>0</v>
      </c>
      <c r="X639" s="71">
        <f>CU639</f>
        <v>0</v>
      </c>
      <c r="Y639" s="71">
        <f>CY639</f>
        <v>0</v>
      </c>
      <c r="Z639" s="71">
        <f>DA639+DC639+DE639</f>
        <v>152853211.59999999</v>
      </c>
      <c r="AA639" s="71">
        <f>CW639</f>
        <v>0</v>
      </c>
      <c r="AB639" s="71"/>
      <c r="AC639" s="71">
        <v>0</v>
      </c>
      <c r="AD639" s="71">
        <f>W639+X639+Y639+Z639+AA639+AB639+AC639</f>
        <v>152853211.59999999</v>
      </c>
      <c r="AE639" s="72">
        <v>0</v>
      </c>
      <c r="AF639" s="5"/>
      <c r="AG639" s="6"/>
      <c r="AH639" s="27" t="s">
        <v>3390</v>
      </c>
      <c r="AI639" s="44" t="s">
        <v>3391</v>
      </c>
      <c r="AJ639" s="26"/>
      <c r="AK639" s="5"/>
      <c r="AL639" s="82" t="s">
        <v>3458</v>
      </c>
      <c r="AM639" s="76"/>
      <c r="AN639" s="76"/>
      <c r="AO639" s="76"/>
      <c r="AP639" s="76"/>
      <c r="AQ639" s="76"/>
      <c r="AR639" s="76"/>
      <c r="AS639" s="76"/>
      <c r="AT639" s="76"/>
      <c r="AU639" s="76"/>
      <c r="AV639" s="76"/>
      <c r="AW639" s="76"/>
      <c r="AX639" s="76">
        <f>+AW639*600000</f>
        <v>0</v>
      </c>
      <c r="AY639" s="76"/>
      <c r="AZ639" s="76">
        <f>+AY639*70000</f>
        <v>0</v>
      </c>
      <c r="BA639" s="76"/>
      <c r="BB639" s="76"/>
      <c r="BC639" s="76"/>
      <c r="BD639" s="76">
        <f>+BC639*30000</f>
        <v>0</v>
      </c>
      <c r="BE639" s="76"/>
      <c r="BF639" s="76"/>
      <c r="BG639" s="76"/>
      <c r="BH639" s="76"/>
      <c r="BI639" s="76"/>
      <c r="BJ639" s="76"/>
      <c r="BK639" s="76"/>
      <c r="BL639" s="76">
        <f>+BK639*31500</f>
        <v>0</v>
      </c>
      <c r="BM639" s="76"/>
      <c r="BN639" s="76"/>
      <c r="BO639" s="76"/>
      <c r="BP639" s="76"/>
      <c r="BQ639" s="76"/>
      <c r="BR639" s="76"/>
      <c r="BS639" s="76"/>
      <c r="BT639" s="76"/>
      <c r="BU639" s="76"/>
      <c r="BV639" s="76"/>
      <c r="BW639" s="76"/>
      <c r="BX639" s="76"/>
      <c r="BY639" s="76"/>
      <c r="BZ639" s="76"/>
      <c r="CA639" s="76"/>
      <c r="CB639" s="76"/>
      <c r="CC639" s="76"/>
      <c r="CD639" s="76"/>
      <c r="CE639" s="76"/>
      <c r="CF639" s="76">
        <f>+CE639*28000</f>
        <v>0</v>
      </c>
      <c r="CG639" s="76"/>
      <c r="CH639" s="76">
        <f>+CG639*22500</f>
        <v>0</v>
      </c>
      <c r="CI639" s="76"/>
      <c r="CJ639" s="76">
        <f>+CI639*26000</f>
        <v>0</v>
      </c>
      <c r="CK639" s="76"/>
      <c r="CL639" s="76"/>
      <c r="CM639" s="76"/>
      <c r="CN639" s="76">
        <f>+CM639*22000</f>
        <v>0</v>
      </c>
      <c r="CO639" s="76"/>
      <c r="CP639" s="76">
        <f>+CO639*46000</f>
        <v>0</v>
      </c>
      <c r="CQ639" s="76"/>
      <c r="CR639" s="76">
        <f>+CQ639*49000</f>
        <v>0</v>
      </c>
      <c r="CS639" s="76"/>
      <c r="CT639" s="76"/>
      <c r="CU639" s="56">
        <f>AN639+AP639+AR639+AT639+AV639+AX639+AZ639+BB639+BD639+BF639+BH639+BJ639+BL639+BN639+BP639+BR639+BT639+BV639+BX639+BZ639+CB639+CD639+CF639+CH639+CJ639+CL639+CN639+CP639+CR639+CT639</f>
        <v>0</v>
      </c>
      <c r="CV639" s="76"/>
      <c r="CW639" s="76">
        <f>+CV639*1100</f>
        <v>0</v>
      </c>
      <c r="CX639" s="76"/>
      <c r="CY639" s="76">
        <f>+CX639*106250</f>
        <v>0</v>
      </c>
      <c r="CZ639" s="86">
        <v>1770</v>
      </c>
      <c r="DA639" s="86">
        <f>1770*29499.96</f>
        <v>52214929.199999996</v>
      </c>
      <c r="DB639" s="76"/>
      <c r="DC639" s="76">
        <f>+DB639*25000</f>
        <v>0</v>
      </c>
      <c r="DD639" s="221" t="s">
        <v>3626</v>
      </c>
      <c r="DE639" s="223">
        <f>11800*4028.68+3540*14999.96</f>
        <v>100638282.40000001</v>
      </c>
      <c r="DF639" s="166"/>
      <c r="DG639" s="134" t="s">
        <v>4065</v>
      </c>
      <c r="DH639" s="117"/>
      <c r="DI639" s="24"/>
      <c r="DJ639" s="24"/>
      <c r="DK639" s="24"/>
      <c r="DL639" s="24"/>
      <c r="DM639" s="24"/>
      <c r="DN639" s="24"/>
      <c r="DO639" s="24"/>
      <c r="DP639" s="24"/>
      <c r="DQ639" s="24"/>
      <c r="DR639" s="24"/>
      <c r="DS639" s="24"/>
      <c r="DT639" s="24"/>
      <c r="DU639" s="24"/>
    </row>
    <row r="640" spans="1:125" s="8" customFormat="1" ht="84" x14ac:dyDescent="0.2">
      <c r="A640" s="77">
        <v>41314</v>
      </c>
      <c r="B640" s="78" t="s">
        <v>2854</v>
      </c>
      <c r="C640" s="75" t="s">
        <v>2216</v>
      </c>
      <c r="D640" s="75" t="s">
        <v>3194</v>
      </c>
      <c r="E640" s="75" t="str">
        <f>VLOOKUP(B640&amp;C640,Divipola!$C$2:$F$1138,4,FALSE)</f>
        <v>19075</v>
      </c>
      <c r="F640" s="163"/>
      <c r="G640" s="163"/>
      <c r="H640" s="163"/>
      <c r="I640" s="163">
        <v>1545</v>
      </c>
      <c r="J640" s="163">
        <v>309</v>
      </c>
      <c r="K640" s="163">
        <v>5</v>
      </c>
      <c r="L640" s="163">
        <v>304</v>
      </c>
      <c r="M640" s="163"/>
      <c r="N640" s="163"/>
      <c r="O640" s="163"/>
      <c r="P640" s="163"/>
      <c r="Q640" s="163"/>
      <c r="R640" s="163"/>
      <c r="S640" s="163">
        <v>7</v>
      </c>
      <c r="T640" s="163"/>
      <c r="U640" s="163"/>
      <c r="V640" s="134"/>
      <c r="W640" s="96">
        <v>0</v>
      </c>
      <c r="X640" s="71">
        <f>CU640</f>
        <v>0</v>
      </c>
      <c r="Y640" s="71">
        <f>CY640</f>
        <v>0</v>
      </c>
      <c r="Z640" s="71">
        <f>DA640+DC640+DE640</f>
        <v>481505064.83999997</v>
      </c>
      <c r="AA640" s="71">
        <f>CW640</f>
        <v>0</v>
      </c>
      <c r="AB640" s="71"/>
      <c r="AC640" s="71">
        <v>0</v>
      </c>
      <c r="AD640" s="71">
        <f>W640+X640+Y640+Z640+AA640+AB640+AC640</f>
        <v>481505064.83999997</v>
      </c>
      <c r="AE640" s="72">
        <v>0</v>
      </c>
      <c r="AF640" s="5"/>
      <c r="AG640" s="6"/>
      <c r="AH640" s="27" t="s">
        <v>3390</v>
      </c>
      <c r="AI640" s="44" t="s">
        <v>3391</v>
      </c>
      <c r="AJ640" s="26"/>
      <c r="AK640" s="5"/>
      <c r="AL640" s="82" t="s">
        <v>3458</v>
      </c>
      <c r="AM640" s="76"/>
      <c r="AN640" s="76"/>
      <c r="AO640" s="76"/>
      <c r="AP640" s="76"/>
      <c r="AQ640" s="76"/>
      <c r="AR640" s="76"/>
      <c r="AS640" s="76"/>
      <c r="AT640" s="76"/>
      <c r="AU640" s="76"/>
      <c r="AV640" s="76"/>
      <c r="AW640" s="76"/>
      <c r="AX640" s="76">
        <f>+AW640*600000</f>
        <v>0</v>
      </c>
      <c r="AY640" s="76"/>
      <c r="AZ640" s="76">
        <f>+AY640*70000</f>
        <v>0</v>
      </c>
      <c r="BA640" s="76"/>
      <c r="BB640" s="76"/>
      <c r="BC640" s="76"/>
      <c r="BD640" s="76">
        <f>+BC640*30000</f>
        <v>0</v>
      </c>
      <c r="BE640" s="76"/>
      <c r="BF640" s="76"/>
      <c r="BG640" s="76"/>
      <c r="BH640" s="76"/>
      <c r="BI640" s="76"/>
      <c r="BJ640" s="76"/>
      <c r="BK640" s="76"/>
      <c r="BL640" s="76">
        <f>+BK640*31500</f>
        <v>0</v>
      </c>
      <c r="BM640" s="76"/>
      <c r="BN640" s="76"/>
      <c r="BO640" s="76"/>
      <c r="BP640" s="76"/>
      <c r="BQ640" s="76"/>
      <c r="BR640" s="76"/>
      <c r="BS640" s="76"/>
      <c r="BT640" s="76"/>
      <c r="BU640" s="76"/>
      <c r="BV640" s="76"/>
      <c r="BW640" s="76"/>
      <c r="BX640" s="76"/>
      <c r="BY640" s="76"/>
      <c r="BZ640" s="76"/>
      <c r="CA640" s="76"/>
      <c r="CB640" s="76"/>
      <c r="CC640" s="76"/>
      <c r="CD640" s="76"/>
      <c r="CE640" s="76"/>
      <c r="CF640" s="76">
        <f>+CE640*28000</f>
        <v>0</v>
      </c>
      <c r="CG640" s="76"/>
      <c r="CH640" s="76">
        <f>+CG640*22500</f>
        <v>0</v>
      </c>
      <c r="CI640" s="76"/>
      <c r="CJ640" s="76">
        <f>+CI640*26000</f>
        <v>0</v>
      </c>
      <c r="CK640" s="76"/>
      <c r="CL640" s="76"/>
      <c r="CM640" s="76"/>
      <c r="CN640" s="76">
        <f>+CM640*22000</f>
        <v>0</v>
      </c>
      <c r="CO640" s="76"/>
      <c r="CP640" s="76">
        <f>+CO640*46000</f>
        <v>0</v>
      </c>
      <c r="CQ640" s="76"/>
      <c r="CR640" s="76">
        <f>+CQ640*49000</f>
        <v>0</v>
      </c>
      <c r="CS640" s="76"/>
      <c r="CT640" s="76"/>
      <c r="CU640" s="56">
        <f>AN640+AP640+AR640+AT640+AV640+AX640+AZ640+BB640+BD640+BF640+BH640+BJ640+BL640+BN640+BP640+BR640+BT640+BV640+BX640+BZ640+CB640+CD640+CF640+CH640+CJ640+CL640+CN640+CP640+CR640+CT640</f>
        <v>0</v>
      </c>
      <c r="CV640" s="76"/>
      <c r="CW640" s="76">
        <f>+CV640*1100</f>
        <v>0</v>
      </c>
      <c r="CX640" s="76"/>
      <c r="CY640" s="76">
        <f>+CX640*106250</f>
        <v>0</v>
      </c>
      <c r="CZ640" s="86">
        <v>3500</v>
      </c>
      <c r="DA640" s="86">
        <f>+CZ640*29499.96</f>
        <v>103249860</v>
      </c>
      <c r="DB640" s="86">
        <f>1350+260+20</f>
        <v>1630</v>
      </c>
      <c r="DC640" s="86">
        <f>1350*31999.76+260*30999.84+20*39799.6+12150*199.52+1040*448.92</f>
        <v>54946671.199999996</v>
      </c>
      <c r="DD640" s="221" t="s">
        <v>3618</v>
      </c>
      <c r="DE640" s="223">
        <f>121000*2100+959*14999.96+2550*21499.44</f>
        <v>323308533.63999999</v>
      </c>
      <c r="DF640" s="166"/>
      <c r="DG640" s="134" t="s">
        <v>4065</v>
      </c>
      <c r="DH640" s="117"/>
      <c r="DI640" s="24"/>
      <c r="DJ640" s="24"/>
      <c r="DK640" s="24"/>
      <c r="DL640" s="24"/>
      <c r="DM640" s="24"/>
      <c r="DN640" s="24"/>
      <c r="DO640" s="24"/>
      <c r="DP640" s="24"/>
      <c r="DQ640" s="24"/>
      <c r="DR640" s="24"/>
      <c r="DS640" s="24"/>
      <c r="DT640" s="24"/>
      <c r="DU640" s="24"/>
    </row>
    <row r="641" spans="1:125" s="8" customFormat="1" ht="108" x14ac:dyDescent="0.2">
      <c r="A641" s="77">
        <v>41314</v>
      </c>
      <c r="B641" s="78" t="s">
        <v>2854</v>
      </c>
      <c r="C641" s="75" t="s">
        <v>2777</v>
      </c>
      <c r="D641" s="75" t="s">
        <v>3194</v>
      </c>
      <c r="E641" s="75" t="str">
        <f>VLOOKUP(B641&amp;C641,Divipola!$C$2:$F$1138,4,FALSE)</f>
        <v>19100</v>
      </c>
      <c r="F641" s="163"/>
      <c r="G641" s="163"/>
      <c r="H641" s="163"/>
      <c r="I641" s="163">
        <v>485</v>
      </c>
      <c r="J641" s="163">
        <v>97</v>
      </c>
      <c r="K641" s="163"/>
      <c r="L641" s="163">
        <v>97</v>
      </c>
      <c r="M641" s="163"/>
      <c r="N641" s="163"/>
      <c r="O641" s="163"/>
      <c r="P641" s="163"/>
      <c r="Q641" s="163"/>
      <c r="R641" s="163"/>
      <c r="S641" s="163">
        <v>1</v>
      </c>
      <c r="T641" s="163">
        <v>2</v>
      </c>
      <c r="U641" s="163"/>
      <c r="V641" s="89">
        <v>1</v>
      </c>
      <c r="W641" s="96">
        <v>0</v>
      </c>
      <c r="X641" s="71">
        <f>CU641</f>
        <v>0</v>
      </c>
      <c r="Y641" s="71">
        <f>CY641</f>
        <v>0</v>
      </c>
      <c r="Z641" s="71">
        <f>DA641+DC641+DE641</f>
        <v>1457776533.48</v>
      </c>
      <c r="AA641" s="71">
        <f>CW641</f>
        <v>0</v>
      </c>
      <c r="AB641" s="71"/>
      <c r="AC641" s="71">
        <v>0</v>
      </c>
      <c r="AD641" s="71">
        <f>W641+X641+Y641+Z641+AA641+AB641+AC641</f>
        <v>1457776533.48</v>
      </c>
      <c r="AE641" s="72">
        <v>0</v>
      </c>
      <c r="AF641" s="5"/>
      <c r="AG641" s="6"/>
      <c r="AH641" s="27" t="s">
        <v>3390</v>
      </c>
      <c r="AI641" s="44" t="s">
        <v>3391</v>
      </c>
      <c r="AJ641" s="26"/>
      <c r="AK641" s="5"/>
      <c r="AL641" s="82" t="s">
        <v>5181</v>
      </c>
      <c r="AM641" s="76"/>
      <c r="AN641" s="76"/>
      <c r="AO641" s="76"/>
      <c r="AP641" s="76"/>
      <c r="AQ641" s="76"/>
      <c r="AR641" s="76"/>
      <c r="AS641" s="76"/>
      <c r="AT641" s="76"/>
      <c r="AU641" s="76"/>
      <c r="AV641" s="76"/>
      <c r="AW641" s="76"/>
      <c r="AX641" s="76">
        <f>+AW641*600000</f>
        <v>0</v>
      </c>
      <c r="AY641" s="76"/>
      <c r="AZ641" s="76">
        <f>+AY641*70000</f>
        <v>0</v>
      </c>
      <c r="BA641" s="76"/>
      <c r="BB641" s="76"/>
      <c r="BC641" s="76"/>
      <c r="BD641" s="76">
        <f>+BC641*30000</f>
        <v>0</v>
      </c>
      <c r="BE641" s="76"/>
      <c r="BF641" s="76"/>
      <c r="BG641" s="76"/>
      <c r="BH641" s="76"/>
      <c r="BI641" s="76"/>
      <c r="BJ641" s="76"/>
      <c r="BK641" s="76"/>
      <c r="BL641" s="76">
        <f>+BK641*31500</f>
        <v>0</v>
      </c>
      <c r="BM641" s="76"/>
      <c r="BN641" s="76"/>
      <c r="BO641" s="76"/>
      <c r="BP641" s="76"/>
      <c r="BQ641" s="76"/>
      <c r="BR641" s="76"/>
      <c r="BS641" s="76"/>
      <c r="BT641" s="76"/>
      <c r="BU641" s="76"/>
      <c r="BV641" s="76"/>
      <c r="BW641" s="76"/>
      <c r="BX641" s="76"/>
      <c r="BY641" s="76"/>
      <c r="BZ641" s="76"/>
      <c r="CA641" s="76"/>
      <c r="CB641" s="76"/>
      <c r="CC641" s="76"/>
      <c r="CD641" s="76"/>
      <c r="CE641" s="76"/>
      <c r="CF641" s="76">
        <f>+CE641*28000</f>
        <v>0</v>
      </c>
      <c r="CG641" s="76"/>
      <c r="CH641" s="76">
        <f>+CG641*22500</f>
        <v>0</v>
      </c>
      <c r="CI641" s="76"/>
      <c r="CJ641" s="76">
        <f>+CI641*26000</f>
        <v>0</v>
      </c>
      <c r="CK641" s="76"/>
      <c r="CL641" s="76"/>
      <c r="CM641" s="76"/>
      <c r="CN641" s="76">
        <f>+CM641*22000</f>
        <v>0</v>
      </c>
      <c r="CO641" s="76"/>
      <c r="CP641" s="76">
        <f>+CO641*46000</f>
        <v>0</v>
      </c>
      <c r="CQ641" s="76"/>
      <c r="CR641" s="76">
        <f>+CQ641*49000</f>
        <v>0</v>
      </c>
      <c r="CS641" s="76"/>
      <c r="CT641" s="76"/>
      <c r="CU641" s="56">
        <f>AN641+AP641+AR641+AT641+AV641+AX641+AZ641+BB641+BD641+BF641+BH641+BJ641+BL641+BN641+BP641+BR641+BT641+BV641+BX641+BZ641+CB641+CD641+CF641+CH641+CJ641+CL641+CN641+CP641+CR641+CT641</f>
        <v>0</v>
      </c>
      <c r="CV641" s="76"/>
      <c r="CW641" s="76">
        <f>+CV641*1100</f>
        <v>0</v>
      </c>
      <c r="CX641" s="76"/>
      <c r="CY641" s="76">
        <f>+CX641*106250</f>
        <v>0</v>
      </c>
      <c r="CZ641" s="86">
        <v>1240</v>
      </c>
      <c r="DA641" s="86">
        <f>1240*29499.96</f>
        <v>36579950.399999999</v>
      </c>
      <c r="DB641" s="86">
        <f>200+400+1080+1274+240</f>
        <v>3194</v>
      </c>
      <c r="DC641" s="86">
        <f>200*24999.16+400*31999.76+1080*30999.84+1274*40999.04+240*39799.6+5400*199.52+9416*448.92</f>
        <v>118368682.88</v>
      </c>
      <c r="DD641" s="221" t="s">
        <v>6726</v>
      </c>
      <c r="DE641" s="223">
        <f>9000*2100+693*14999.96+1300*21499.44+373915248.8+469657931.32+402010475.8</f>
        <v>1302827900.2</v>
      </c>
      <c r="DF641" s="166"/>
      <c r="DG641" s="192" t="s">
        <v>6493</v>
      </c>
      <c r="DH641" s="117"/>
      <c r="DI641" s="24"/>
      <c r="DJ641" s="24"/>
      <c r="DK641" s="24"/>
      <c r="DL641" s="24"/>
      <c r="DM641" s="24"/>
      <c r="DN641" s="24"/>
      <c r="DO641" s="24"/>
      <c r="DP641" s="24"/>
      <c r="DQ641" s="24"/>
      <c r="DR641" s="24"/>
      <c r="DS641" s="24"/>
      <c r="DT641" s="24"/>
      <c r="DU641" s="24"/>
    </row>
    <row r="642" spans="1:125" s="8" customFormat="1" ht="84" x14ac:dyDescent="0.2">
      <c r="A642" s="77">
        <v>41314</v>
      </c>
      <c r="B642" s="78" t="s">
        <v>2854</v>
      </c>
      <c r="C642" s="75" t="s">
        <v>483</v>
      </c>
      <c r="D642" s="75" t="s">
        <v>3194</v>
      </c>
      <c r="E642" s="75" t="str">
        <f>VLOOKUP(B642&amp;C642,Divipola!$C$2:$F$1138,4,FALSE)</f>
        <v>19110</v>
      </c>
      <c r="F642" s="163"/>
      <c r="G642" s="163"/>
      <c r="H642" s="163"/>
      <c r="I642" s="163">
        <v>650</v>
      </c>
      <c r="J642" s="163">
        <v>130</v>
      </c>
      <c r="K642" s="163"/>
      <c r="L642" s="163">
        <v>130</v>
      </c>
      <c r="M642" s="163"/>
      <c r="N642" s="163"/>
      <c r="O642" s="163"/>
      <c r="P642" s="163"/>
      <c r="Q642" s="163"/>
      <c r="R642" s="163"/>
      <c r="S642" s="163">
        <v>5</v>
      </c>
      <c r="T642" s="163"/>
      <c r="U642" s="163"/>
      <c r="V642" s="134"/>
      <c r="W642" s="96">
        <v>0</v>
      </c>
      <c r="X642" s="71">
        <f>CU642</f>
        <v>0</v>
      </c>
      <c r="Y642" s="71">
        <f>CY642</f>
        <v>0</v>
      </c>
      <c r="Z642" s="71">
        <f>DA642+DC642+DE642</f>
        <v>270016000</v>
      </c>
      <c r="AA642" s="71">
        <f>CW642</f>
        <v>0</v>
      </c>
      <c r="AB642" s="71"/>
      <c r="AC642" s="71">
        <v>0</v>
      </c>
      <c r="AD642" s="71">
        <f>W642+X642+Y642+Z642+AA642+AB642+AC642</f>
        <v>270016000</v>
      </c>
      <c r="AE642" s="72">
        <v>0</v>
      </c>
      <c r="AF642" s="5"/>
      <c r="AG642" s="6"/>
      <c r="AH642" s="27" t="s">
        <v>3390</v>
      </c>
      <c r="AI642" s="44" t="s">
        <v>3391</v>
      </c>
      <c r="AJ642" s="26"/>
      <c r="AK642" s="5"/>
      <c r="AL642" s="82" t="s">
        <v>3458</v>
      </c>
      <c r="AM642" s="76"/>
      <c r="AN642" s="76"/>
      <c r="AO642" s="76"/>
      <c r="AP642" s="76"/>
      <c r="AQ642" s="76"/>
      <c r="AR642" s="76"/>
      <c r="AS642" s="76"/>
      <c r="AT642" s="76"/>
      <c r="AU642" s="76"/>
      <c r="AV642" s="76"/>
      <c r="AW642" s="76"/>
      <c r="AX642" s="76">
        <f>+AW642*600000</f>
        <v>0</v>
      </c>
      <c r="AY642" s="76"/>
      <c r="AZ642" s="76">
        <f>+AY642*70000</f>
        <v>0</v>
      </c>
      <c r="BA642" s="76"/>
      <c r="BB642" s="76"/>
      <c r="BC642" s="76"/>
      <c r="BD642" s="76">
        <f>+BC642*30000</f>
        <v>0</v>
      </c>
      <c r="BE642" s="76"/>
      <c r="BF642" s="76"/>
      <c r="BG642" s="76"/>
      <c r="BH642" s="76"/>
      <c r="BI642" s="76"/>
      <c r="BJ642" s="76"/>
      <c r="BK642" s="76"/>
      <c r="BL642" s="76">
        <f>+BK642*31500</f>
        <v>0</v>
      </c>
      <c r="BM642" s="76"/>
      <c r="BN642" s="76"/>
      <c r="BO642" s="76"/>
      <c r="BP642" s="76"/>
      <c r="BQ642" s="76"/>
      <c r="BR642" s="76"/>
      <c r="BS642" s="76"/>
      <c r="BT642" s="76"/>
      <c r="BU642" s="76"/>
      <c r="BV642" s="76"/>
      <c r="BW642" s="76"/>
      <c r="BX642" s="76"/>
      <c r="BY642" s="76"/>
      <c r="BZ642" s="76"/>
      <c r="CA642" s="76"/>
      <c r="CB642" s="76"/>
      <c r="CC642" s="76"/>
      <c r="CD642" s="76"/>
      <c r="CE642" s="76"/>
      <c r="CF642" s="76">
        <f>+CE642*28000</f>
        <v>0</v>
      </c>
      <c r="CG642" s="76"/>
      <c r="CH642" s="76">
        <f>+CG642*22500</f>
        <v>0</v>
      </c>
      <c r="CI642" s="76"/>
      <c r="CJ642" s="76">
        <f>+CI642*26000</f>
        <v>0</v>
      </c>
      <c r="CK642" s="76"/>
      <c r="CL642" s="76"/>
      <c r="CM642" s="76"/>
      <c r="CN642" s="76">
        <f>+CM642*22000</f>
        <v>0</v>
      </c>
      <c r="CO642" s="76"/>
      <c r="CP642" s="76">
        <f>+CO642*46000</f>
        <v>0</v>
      </c>
      <c r="CQ642" s="76"/>
      <c r="CR642" s="76">
        <f>+CQ642*49000</f>
        <v>0</v>
      </c>
      <c r="CS642" s="76"/>
      <c r="CT642" s="76"/>
      <c r="CU642" s="56">
        <f>AN642+AP642+AR642+AT642+AV642+AX642+AZ642+BB642+BD642+BF642+BH642+BJ642+BL642+BN642+BP642+BR642+BT642+BV642+BX642+BZ642+CB642+CD642+CF642+CH642+CJ642+CL642+CN642+CP642+CR642+CT642</f>
        <v>0</v>
      </c>
      <c r="CV642" s="76"/>
      <c r="CW642" s="76">
        <f>+CV642*1100</f>
        <v>0</v>
      </c>
      <c r="CX642" s="76"/>
      <c r="CY642" s="76">
        <f>+CX642*106250</f>
        <v>0</v>
      </c>
      <c r="CZ642" s="86">
        <v>2500</v>
      </c>
      <c r="DA642" s="86">
        <f>+CZ642*32000</f>
        <v>80000000</v>
      </c>
      <c r="DB642" s="86">
        <v>2580</v>
      </c>
      <c r="DC642" s="86">
        <f>+DB642*32000+15480*200</f>
        <v>85656000</v>
      </c>
      <c r="DD642" s="221" t="s">
        <v>3619</v>
      </c>
      <c r="DE642" s="223">
        <f>24100*2100+2500*21500</f>
        <v>104360000</v>
      </c>
      <c r="DF642" s="166"/>
      <c r="DG642" s="134" t="s">
        <v>4811</v>
      </c>
      <c r="DH642" s="117"/>
      <c r="DI642" s="24"/>
      <c r="DJ642" s="24"/>
      <c r="DK642" s="24"/>
      <c r="DL642" s="24"/>
      <c r="DM642" s="24"/>
      <c r="DN642" s="24"/>
      <c r="DO642" s="24"/>
      <c r="DP642" s="24"/>
      <c r="DQ642" s="24"/>
      <c r="DR642" s="24"/>
      <c r="DS642" s="24"/>
      <c r="DT642" s="24"/>
      <c r="DU642" s="24"/>
    </row>
    <row r="643" spans="1:125" s="8" customFormat="1" ht="84" x14ac:dyDescent="0.2">
      <c r="A643" s="77">
        <v>41314</v>
      </c>
      <c r="B643" s="78" t="s">
        <v>2854</v>
      </c>
      <c r="C643" s="75" t="s">
        <v>2066</v>
      </c>
      <c r="D643" s="75" t="s">
        <v>3194</v>
      </c>
      <c r="E643" s="75" t="str">
        <f>VLOOKUP(B643&amp;C643,Divipola!$C$2:$F$1138,4,FALSE)</f>
        <v>19130</v>
      </c>
      <c r="F643" s="163"/>
      <c r="G643" s="163"/>
      <c r="H643" s="163"/>
      <c r="I643" s="163">
        <v>445</v>
      </c>
      <c r="J643" s="163">
        <v>89</v>
      </c>
      <c r="K643" s="163">
        <v>4</v>
      </c>
      <c r="L643" s="163">
        <v>85</v>
      </c>
      <c r="M643" s="163"/>
      <c r="N643" s="163"/>
      <c r="O643" s="163"/>
      <c r="P643" s="163"/>
      <c r="Q643" s="163"/>
      <c r="R643" s="163"/>
      <c r="S643" s="163">
        <v>2</v>
      </c>
      <c r="T643" s="163"/>
      <c r="U643" s="163"/>
      <c r="V643" s="134"/>
      <c r="W643" s="96">
        <v>0</v>
      </c>
      <c r="X643" s="71">
        <f>CU643</f>
        <v>0</v>
      </c>
      <c r="Y643" s="71">
        <f>CY643</f>
        <v>0</v>
      </c>
      <c r="Z643" s="71">
        <f>DA643+DC643+DE643</f>
        <v>279874400</v>
      </c>
      <c r="AA643" s="71">
        <f>CW643</f>
        <v>0</v>
      </c>
      <c r="AB643" s="71"/>
      <c r="AC643" s="71">
        <v>0</v>
      </c>
      <c r="AD643" s="71">
        <f>W643+X643+Y643+Z643+AA643+AB643+AC643</f>
        <v>279874400</v>
      </c>
      <c r="AE643" s="72">
        <v>0</v>
      </c>
      <c r="AF643" s="5"/>
      <c r="AG643" s="6"/>
      <c r="AH643" s="27" t="s">
        <v>3390</v>
      </c>
      <c r="AI643" s="44" t="s">
        <v>3391</v>
      </c>
      <c r="AJ643" s="26"/>
      <c r="AK643" s="5"/>
      <c r="AL643" s="82" t="s">
        <v>3458</v>
      </c>
      <c r="AM643" s="76"/>
      <c r="AN643" s="76"/>
      <c r="AO643" s="76"/>
      <c r="AP643" s="76"/>
      <c r="AQ643" s="76"/>
      <c r="AR643" s="76"/>
      <c r="AS643" s="76"/>
      <c r="AT643" s="76"/>
      <c r="AU643" s="76"/>
      <c r="AV643" s="76"/>
      <c r="AW643" s="76"/>
      <c r="AX643" s="76">
        <f>+AW643*600000</f>
        <v>0</v>
      </c>
      <c r="AY643" s="76"/>
      <c r="AZ643" s="76">
        <f>+AY643*70000</f>
        <v>0</v>
      </c>
      <c r="BA643" s="76"/>
      <c r="BB643" s="76"/>
      <c r="BC643" s="76"/>
      <c r="BD643" s="76">
        <f>+BC643*30000</f>
        <v>0</v>
      </c>
      <c r="BE643" s="76"/>
      <c r="BF643" s="76"/>
      <c r="BG643" s="76"/>
      <c r="BH643" s="76"/>
      <c r="BI643" s="76"/>
      <c r="BJ643" s="76"/>
      <c r="BK643" s="76"/>
      <c r="BL643" s="76">
        <f>+BK643*31500</f>
        <v>0</v>
      </c>
      <c r="BM643" s="76"/>
      <c r="BN643" s="76"/>
      <c r="BO643" s="76"/>
      <c r="BP643" s="76"/>
      <c r="BQ643" s="76"/>
      <c r="BR643" s="76"/>
      <c r="BS643" s="76"/>
      <c r="BT643" s="76"/>
      <c r="BU643" s="76"/>
      <c r="BV643" s="76"/>
      <c r="BW643" s="76"/>
      <c r="BX643" s="76"/>
      <c r="BY643" s="76"/>
      <c r="BZ643" s="76"/>
      <c r="CA643" s="76"/>
      <c r="CB643" s="76"/>
      <c r="CC643" s="76"/>
      <c r="CD643" s="76"/>
      <c r="CE643" s="76"/>
      <c r="CF643" s="76">
        <f>+CE643*28000</f>
        <v>0</v>
      </c>
      <c r="CG643" s="76"/>
      <c r="CH643" s="76">
        <f>+CG643*22500</f>
        <v>0</v>
      </c>
      <c r="CI643" s="76"/>
      <c r="CJ643" s="76">
        <f>+CI643*26000</f>
        <v>0</v>
      </c>
      <c r="CK643" s="76"/>
      <c r="CL643" s="76"/>
      <c r="CM643" s="76"/>
      <c r="CN643" s="76">
        <f>+CM643*22000</f>
        <v>0</v>
      </c>
      <c r="CO643" s="76"/>
      <c r="CP643" s="76">
        <f>+CO643*46000</f>
        <v>0</v>
      </c>
      <c r="CQ643" s="76"/>
      <c r="CR643" s="76">
        <f>+CQ643*49000</f>
        <v>0</v>
      </c>
      <c r="CS643" s="76"/>
      <c r="CT643" s="76"/>
      <c r="CU643" s="56">
        <f>AN643+AP643+AR643+AT643+AV643+AX643+AZ643+BB643+BD643+BF643+BH643+BJ643+BL643+BN643+BP643+BR643+BT643+BV643+BX643+BZ643+CB643+CD643+CF643+CH643+CJ643+CL643+CN643+CP643+CR643+CT643</f>
        <v>0</v>
      </c>
      <c r="CV643" s="76"/>
      <c r="CW643" s="76">
        <f>+CV643*1100</f>
        <v>0</v>
      </c>
      <c r="CX643" s="76"/>
      <c r="CY643" s="76">
        <f>+CX643*106250</f>
        <v>0</v>
      </c>
      <c r="CZ643" s="86">
        <v>1500</v>
      </c>
      <c r="DA643" s="86">
        <f>1500*34000</f>
        <v>51000000</v>
      </c>
      <c r="DB643" s="86">
        <f>868+700+28</f>
        <v>1596</v>
      </c>
      <c r="DC643" s="86">
        <f>868*32000+5208*200+700*31000+2936*400+28*39800</f>
        <v>52806400</v>
      </c>
      <c r="DD643" s="221" t="s">
        <v>4783</v>
      </c>
      <c r="DE643" s="223">
        <f>64000*2100+3020*7000+1200*15000+64*21500+72*16000</f>
        <v>176068000</v>
      </c>
      <c r="DF643" s="166"/>
      <c r="DG643" s="192" t="s">
        <v>4784</v>
      </c>
      <c r="DH643" s="117"/>
      <c r="DI643" s="24"/>
      <c r="DJ643" s="24"/>
      <c r="DK643" s="24"/>
      <c r="DL643" s="24"/>
      <c r="DM643" s="24"/>
      <c r="DN643" s="24"/>
      <c r="DO643" s="24"/>
      <c r="DP643" s="24"/>
      <c r="DQ643" s="24"/>
      <c r="DR643" s="24"/>
      <c r="DS643" s="24"/>
      <c r="DT643" s="24"/>
      <c r="DU643" s="24"/>
    </row>
    <row r="644" spans="1:125" s="8" customFormat="1" ht="84" x14ac:dyDescent="0.2">
      <c r="A644" s="77">
        <v>41314</v>
      </c>
      <c r="B644" s="78" t="s">
        <v>2854</v>
      </c>
      <c r="C644" s="75" t="s">
        <v>831</v>
      </c>
      <c r="D644" s="75" t="s">
        <v>3194</v>
      </c>
      <c r="E644" s="75" t="str">
        <f>VLOOKUP(B644&amp;C644,Divipola!$C$2:$F$1138,4,FALSE)</f>
        <v>19137</v>
      </c>
      <c r="F644" s="163"/>
      <c r="G644" s="163"/>
      <c r="H644" s="163"/>
      <c r="I644" s="163">
        <v>750</v>
      </c>
      <c r="J644" s="163">
        <v>150</v>
      </c>
      <c r="K644" s="163">
        <v>13</v>
      </c>
      <c r="L644" s="163">
        <v>137</v>
      </c>
      <c r="M644" s="163"/>
      <c r="N644" s="163"/>
      <c r="O644" s="163"/>
      <c r="P644" s="163"/>
      <c r="Q644" s="163"/>
      <c r="R644" s="163"/>
      <c r="S644" s="163">
        <v>3</v>
      </c>
      <c r="T644" s="163">
        <v>2</v>
      </c>
      <c r="U644" s="163"/>
      <c r="V644" s="134"/>
      <c r="W644" s="96">
        <v>0</v>
      </c>
      <c r="X644" s="71">
        <f>CU644</f>
        <v>0</v>
      </c>
      <c r="Y644" s="71">
        <f>CY644</f>
        <v>0</v>
      </c>
      <c r="Z644" s="71">
        <f>DA644+DC644+DE644</f>
        <v>189502000</v>
      </c>
      <c r="AA644" s="71">
        <f>CW644</f>
        <v>0</v>
      </c>
      <c r="AB644" s="71"/>
      <c r="AC644" s="71">
        <v>0</v>
      </c>
      <c r="AD644" s="71">
        <f>W644+X644+Y644+Z644+AA644+AB644+AC644</f>
        <v>189502000</v>
      </c>
      <c r="AE644" s="72">
        <v>0</v>
      </c>
      <c r="AF644" s="5"/>
      <c r="AG644" s="6"/>
      <c r="AH644" s="27" t="s">
        <v>3390</v>
      </c>
      <c r="AI644" s="44" t="s">
        <v>3391</v>
      </c>
      <c r="AJ644" s="26"/>
      <c r="AK644" s="5"/>
      <c r="AL644" s="82" t="s">
        <v>3458</v>
      </c>
      <c r="AM644" s="76"/>
      <c r="AN644" s="76"/>
      <c r="AO644" s="76"/>
      <c r="AP644" s="76"/>
      <c r="AQ644" s="76"/>
      <c r="AR644" s="76"/>
      <c r="AS644" s="76"/>
      <c r="AT644" s="76"/>
      <c r="AU644" s="76"/>
      <c r="AV644" s="76"/>
      <c r="AW644" s="76"/>
      <c r="AX644" s="76">
        <f>+AW644*600000</f>
        <v>0</v>
      </c>
      <c r="AY644" s="76"/>
      <c r="AZ644" s="76">
        <f>+AY644*70000</f>
        <v>0</v>
      </c>
      <c r="BA644" s="76"/>
      <c r="BB644" s="76"/>
      <c r="BC644" s="76"/>
      <c r="BD644" s="76">
        <f>+BC644*30000</f>
        <v>0</v>
      </c>
      <c r="BE644" s="76"/>
      <c r="BF644" s="76"/>
      <c r="BG644" s="76"/>
      <c r="BH644" s="76"/>
      <c r="BI644" s="76"/>
      <c r="BJ644" s="76"/>
      <c r="BK644" s="76"/>
      <c r="BL644" s="76">
        <f>+BK644*31500</f>
        <v>0</v>
      </c>
      <c r="BM644" s="76"/>
      <c r="BN644" s="76"/>
      <c r="BO644" s="76"/>
      <c r="BP644" s="76"/>
      <c r="BQ644" s="76"/>
      <c r="BR644" s="76"/>
      <c r="BS644" s="76"/>
      <c r="BT644" s="76"/>
      <c r="BU644" s="76"/>
      <c r="BV644" s="76"/>
      <c r="BW644" s="76"/>
      <c r="BX644" s="76"/>
      <c r="BY644" s="76"/>
      <c r="BZ644" s="76"/>
      <c r="CA644" s="76"/>
      <c r="CB644" s="76"/>
      <c r="CC644" s="76"/>
      <c r="CD644" s="76"/>
      <c r="CE644" s="76"/>
      <c r="CF644" s="76">
        <f>+CE644*28000</f>
        <v>0</v>
      </c>
      <c r="CG644" s="76"/>
      <c r="CH644" s="76">
        <f>+CG644*22500</f>
        <v>0</v>
      </c>
      <c r="CI644" s="76"/>
      <c r="CJ644" s="76">
        <f>+CI644*26000</f>
        <v>0</v>
      </c>
      <c r="CK644" s="76"/>
      <c r="CL644" s="76"/>
      <c r="CM644" s="76"/>
      <c r="CN644" s="76">
        <f>+CM644*22000</f>
        <v>0</v>
      </c>
      <c r="CO644" s="76"/>
      <c r="CP644" s="76">
        <f>+CO644*46000</f>
        <v>0</v>
      </c>
      <c r="CQ644" s="76"/>
      <c r="CR644" s="76">
        <f>+CQ644*49000</f>
        <v>0</v>
      </c>
      <c r="CS644" s="76"/>
      <c r="CT644" s="76"/>
      <c r="CU644" s="56">
        <f>AN644+AP644+AR644+AT644+AV644+AX644+AZ644+BB644+BD644+BF644+BH644+BJ644+BL644+BN644+BP644+BR644+BT644+BV644+BX644+BZ644+CB644+CD644+CF644+CH644+CJ644+CL644+CN644+CP644+CR644+CT644</f>
        <v>0</v>
      </c>
      <c r="CV644" s="76"/>
      <c r="CW644" s="76">
        <f>+CV644*1100</f>
        <v>0</v>
      </c>
      <c r="CX644" s="76"/>
      <c r="CY644" s="76">
        <f>+CX644*106250</f>
        <v>0</v>
      </c>
      <c r="CZ644" s="86">
        <v>1500</v>
      </c>
      <c r="DA644" s="86">
        <f>1500*32000</f>
        <v>48000000</v>
      </c>
      <c r="DB644" s="86">
        <f>1100+540</f>
        <v>1640</v>
      </c>
      <c r="DC644" s="86">
        <f>1100*31000+4400*400+540*39800</f>
        <v>57352000</v>
      </c>
      <c r="DD644" s="221" t="s">
        <v>3620</v>
      </c>
      <c r="DE644" s="223">
        <f>14500*2100+2600*7000+1200*15000+350*50000</f>
        <v>84150000</v>
      </c>
      <c r="DF644" s="166"/>
      <c r="DG644" s="134" t="s">
        <v>4811</v>
      </c>
      <c r="DH644" s="117"/>
      <c r="DI644" s="24"/>
      <c r="DJ644" s="24"/>
      <c r="DK644" s="24"/>
      <c r="DL644" s="24"/>
      <c r="DM644" s="24"/>
      <c r="DN644" s="24"/>
      <c r="DO644" s="24"/>
      <c r="DP644" s="24"/>
      <c r="DQ644" s="24"/>
      <c r="DR644" s="24"/>
      <c r="DS644" s="24"/>
      <c r="DT644" s="24"/>
      <c r="DU644" s="24"/>
    </row>
    <row r="645" spans="1:125" s="8" customFormat="1" ht="96" x14ac:dyDescent="0.2">
      <c r="A645" s="77">
        <v>41314</v>
      </c>
      <c r="B645" s="78" t="s">
        <v>2854</v>
      </c>
      <c r="C645" s="75" t="s">
        <v>510</v>
      </c>
      <c r="D645" s="75" t="s">
        <v>3194</v>
      </c>
      <c r="E645" s="75" t="str">
        <f>VLOOKUP(B645&amp;C645,Divipola!$C$2:$F$1138,4,FALSE)</f>
        <v>19142</v>
      </c>
      <c r="F645" s="163"/>
      <c r="G645" s="163"/>
      <c r="H645" s="163"/>
      <c r="I645" s="163">
        <v>250</v>
      </c>
      <c r="J645" s="163">
        <v>50</v>
      </c>
      <c r="K645" s="163"/>
      <c r="L645" s="163">
        <v>50</v>
      </c>
      <c r="M645" s="163"/>
      <c r="N645" s="163"/>
      <c r="O645" s="163"/>
      <c r="P645" s="163"/>
      <c r="Q645" s="163"/>
      <c r="R645" s="163"/>
      <c r="S645" s="163">
        <v>7</v>
      </c>
      <c r="T645" s="163">
        <v>7</v>
      </c>
      <c r="U645" s="163"/>
      <c r="V645" s="89">
        <v>2</v>
      </c>
      <c r="W645" s="96">
        <v>0</v>
      </c>
      <c r="X645" s="71">
        <f>CU645</f>
        <v>0</v>
      </c>
      <c r="Y645" s="71">
        <f>CY645</f>
        <v>0</v>
      </c>
      <c r="Z645" s="71">
        <f>DA645+DC645+DE645</f>
        <v>69897900</v>
      </c>
      <c r="AA645" s="71">
        <f>CW645</f>
        <v>0</v>
      </c>
      <c r="AB645" s="71"/>
      <c r="AC645" s="71">
        <v>0</v>
      </c>
      <c r="AD645" s="71">
        <f>W645+X645+Y645+Z645+AA645+AB645+AC645</f>
        <v>69897900</v>
      </c>
      <c r="AE645" s="72">
        <v>0</v>
      </c>
      <c r="AF645" s="5"/>
      <c r="AG645" s="6"/>
      <c r="AH645" s="27" t="s">
        <v>3390</v>
      </c>
      <c r="AI645" s="44" t="s">
        <v>3391</v>
      </c>
      <c r="AJ645" s="26"/>
      <c r="AK645" s="5"/>
      <c r="AL645" s="82" t="s">
        <v>3646</v>
      </c>
      <c r="AM645" s="76"/>
      <c r="AN645" s="76"/>
      <c r="AO645" s="76"/>
      <c r="AP645" s="76"/>
      <c r="AQ645" s="76"/>
      <c r="AR645" s="76"/>
      <c r="AS645" s="76"/>
      <c r="AT645" s="76"/>
      <c r="AU645" s="76"/>
      <c r="AV645" s="76"/>
      <c r="AW645" s="76"/>
      <c r="AX645" s="76">
        <f>+AW645*600000</f>
        <v>0</v>
      </c>
      <c r="AY645" s="76"/>
      <c r="AZ645" s="76">
        <f>+AY645*70000</f>
        <v>0</v>
      </c>
      <c r="BA645" s="76"/>
      <c r="BB645" s="76"/>
      <c r="BC645" s="76"/>
      <c r="BD645" s="76">
        <f>+BC645*30000</f>
        <v>0</v>
      </c>
      <c r="BE645" s="76"/>
      <c r="BF645" s="76"/>
      <c r="BG645" s="76"/>
      <c r="BH645" s="76"/>
      <c r="BI645" s="76"/>
      <c r="BJ645" s="76"/>
      <c r="BK645" s="76"/>
      <c r="BL645" s="76">
        <f>+BK645*31500</f>
        <v>0</v>
      </c>
      <c r="BM645" s="76"/>
      <c r="BN645" s="76"/>
      <c r="BO645" s="76"/>
      <c r="BP645" s="76"/>
      <c r="BQ645" s="76"/>
      <c r="BR645" s="76"/>
      <c r="BS645" s="76"/>
      <c r="BT645" s="76"/>
      <c r="BU645" s="76"/>
      <c r="BV645" s="76"/>
      <c r="BW645" s="76"/>
      <c r="BX645" s="76"/>
      <c r="BY645" s="76"/>
      <c r="BZ645" s="76"/>
      <c r="CA645" s="76"/>
      <c r="CB645" s="76"/>
      <c r="CC645" s="76"/>
      <c r="CD645" s="76"/>
      <c r="CE645" s="76"/>
      <c r="CF645" s="76">
        <f>+CE645*28000</f>
        <v>0</v>
      </c>
      <c r="CG645" s="76"/>
      <c r="CH645" s="76">
        <f>+CG645*22500</f>
        <v>0</v>
      </c>
      <c r="CI645" s="76"/>
      <c r="CJ645" s="76">
        <f>+CI645*26000</f>
        <v>0</v>
      </c>
      <c r="CK645" s="76"/>
      <c r="CL645" s="76"/>
      <c r="CM645" s="76"/>
      <c r="CN645" s="76">
        <f>+CM645*22000</f>
        <v>0</v>
      </c>
      <c r="CO645" s="76"/>
      <c r="CP645" s="76">
        <f>+CO645*46000</f>
        <v>0</v>
      </c>
      <c r="CQ645" s="76"/>
      <c r="CR645" s="76">
        <f>+CQ645*49000</f>
        <v>0</v>
      </c>
      <c r="CS645" s="76"/>
      <c r="CT645" s="76"/>
      <c r="CU645" s="56">
        <f>AN645+AP645+AR645+AT645+AV645+AX645+AZ645+BB645+BD645+BF645+BH645+BJ645+BL645+BN645+BP645+BR645+BT645+BV645+BX645+BZ645+CB645+CD645+CF645+CH645+CJ645+CL645+CN645+CP645+CR645+CT645</f>
        <v>0</v>
      </c>
      <c r="CV645" s="76"/>
      <c r="CW645" s="76">
        <f>+CV645*1100</f>
        <v>0</v>
      </c>
      <c r="CX645" s="76"/>
      <c r="CY645" s="76">
        <f>+CX645*106250</f>
        <v>0</v>
      </c>
      <c r="CZ645" s="86">
        <v>637</v>
      </c>
      <c r="DA645" s="86">
        <f>637*32000</f>
        <v>20384000</v>
      </c>
      <c r="DB645" s="86">
        <f>140+149</f>
        <v>289</v>
      </c>
      <c r="DC645" s="86">
        <f>140*32000+840*200+149*31000+596*400</f>
        <v>9505400</v>
      </c>
      <c r="DD645" s="221" t="s">
        <v>3627</v>
      </c>
      <c r="DE645" s="223">
        <f>12320*2100+107*7000+398*15000+26*56000+261*21500+35*10000</f>
        <v>40008500</v>
      </c>
      <c r="DF645" s="166"/>
      <c r="DG645" s="134" t="s">
        <v>4811</v>
      </c>
      <c r="DH645" s="117"/>
      <c r="DI645" s="24"/>
      <c r="DJ645" s="24"/>
      <c r="DK645" s="24"/>
      <c r="DL645" s="24"/>
      <c r="DM645" s="24"/>
      <c r="DN645" s="24"/>
      <c r="DO645" s="24"/>
      <c r="DP645" s="24"/>
      <c r="DQ645" s="24"/>
      <c r="DR645" s="24"/>
      <c r="DS645" s="24"/>
      <c r="DT645" s="24"/>
      <c r="DU645" s="24"/>
    </row>
    <row r="646" spans="1:125" s="8" customFormat="1" ht="72" x14ac:dyDescent="0.2">
      <c r="A646" s="77">
        <v>41314</v>
      </c>
      <c r="B646" s="78" t="s">
        <v>2854</v>
      </c>
      <c r="C646" s="75" t="s">
        <v>2773</v>
      </c>
      <c r="D646" s="75" t="s">
        <v>3194</v>
      </c>
      <c r="E646" s="75">
        <f>VLOOKUP(B646&amp;C646,Divipola!$C$2:$F$1138,4,FALSE)</f>
        <v>19</v>
      </c>
      <c r="F646" s="163"/>
      <c r="G646" s="163"/>
      <c r="H646" s="163"/>
      <c r="I646" s="163"/>
      <c r="J646" s="163"/>
      <c r="K646" s="163"/>
      <c r="L646" s="163"/>
      <c r="M646" s="163"/>
      <c r="N646" s="163"/>
      <c r="O646" s="163"/>
      <c r="P646" s="163"/>
      <c r="Q646" s="163"/>
      <c r="R646" s="163"/>
      <c r="S646" s="163"/>
      <c r="T646" s="163"/>
      <c r="U646" s="163"/>
      <c r="V646" s="134"/>
      <c r="W646" s="96">
        <v>0</v>
      </c>
      <c r="X646" s="71">
        <f>CU646</f>
        <v>0</v>
      </c>
      <c r="Y646" s="71">
        <f>CY646</f>
        <v>0</v>
      </c>
      <c r="Z646" s="71">
        <f>DA646+DC646+DE646</f>
        <v>0</v>
      </c>
      <c r="AA646" s="71">
        <f>CW646</f>
        <v>0</v>
      </c>
      <c r="AB646" s="71"/>
      <c r="AC646" s="71">
        <v>200000000</v>
      </c>
      <c r="AD646" s="71">
        <f>W646+X646+Y646+Z646+AA646+AB646+AC646</f>
        <v>200000000</v>
      </c>
      <c r="AE646" s="72">
        <v>0</v>
      </c>
      <c r="AF646" s="5"/>
      <c r="AG646" s="6"/>
      <c r="AH646" s="27" t="s">
        <v>3390</v>
      </c>
      <c r="AI646" s="44" t="s">
        <v>3391</v>
      </c>
      <c r="AJ646" s="26"/>
      <c r="AK646" s="5"/>
      <c r="AL646" s="82" t="s">
        <v>3555</v>
      </c>
      <c r="AM646" s="76"/>
      <c r="AN646" s="76"/>
      <c r="AO646" s="76"/>
      <c r="AP646" s="76"/>
      <c r="AQ646" s="76"/>
      <c r="AR646" s="76"/>
      <c r="AS646" s="76"/>
      <c r="AT646" s="76"/>
      <c r="AU646" s="76"/>
      <c r="AV646" s="76"/>
      <c r="AW646" s="76"/>
      <c r="AX646" s="76">
        <f>+AW646*600000</f>
        <v>0</v>
      </c>
      <c r="AY646" s="76"/>
      <c r="AZ646" s="76">
        <f>+AY646*70000</f>
        <v>0</v>
      </c>
      <c r="BA646" s="76"/>
      <c r="BB646" s="76"/>
      <c r="BC646" s="76"/>
      <c r="BD646" s="76">
        <f>+BC646*30000</f>
        <v>0</v>
      </c>
      <c r="BE646" s="76"/>
      <c r="BF646" s="76"/>
      <c r="BG646" s="76"/>
      <c r="BH646" s="76"/>
      <c r="BI646" s="76"/>
      <c r="BJ646" s="76"/>
      <c r="BK646" s="76"/>
      <c r="BL646" s="76">
        <f>+BK646*31500</f>
        <v>0</v>
      </c>
      <c r="BM646" s="76"/>
      <c r="BN646" s="76"/>
      <c r="BO646" s="76"/>
      <c r="BP646" s="76"/>
      <c r="BQ646" s="76"/>
      <c r="BR646" s="76"/>
      <c r="BS646" s="76"/>
      <c r="BT646" s="76"/>
      <c r="BU646" s="76"/>
      <c r="BV646" s="76"/>
      <c r="BW646" s="76"/>
      <c r="BX646" s="76"/>
      <c r="BY646" s="76"/>
      <c r="BZ646" s="76"/>
      <c r="CA646" s="76"/>
      <c r="CB646" s="76"/>
      <c r="CC646" s="76"/>
      <c r="CD646" s="76"/>
      <c r="CE646" s="76"/>
      <c r="CF646" s="76">
        <f>+CE646*28000</f>
        <v>0</v>
      </c>
      <c r="CG646" s="76"/>
      <c r="CH646" s="76">
        <f>+CG646*22500</f>
        <v>0</v>
      </c>
      <c r="CI646" s="76"/>
      <c r="CJ646" s="76">
        <f>+CI646*26000</f>
        <v>0</v>
      </c>
      <c r="CK646" s="76"/>
      <c r="CL646" s="76"/>
      <c r="CM646" s="76"/>
      <c r="CN646" s="76">
        <f>+CM646*22000</f>
        <v>0</v>
      </c>
      <c r="CO646" s="76"/>
      <c r="CP646" s="76">
        <f>+CO646*46000</f>
        <v>0</v>
      </c>
      <c r="CQ646" s="76"/>
      <c r="CR646" s="76">
        <f>+CQ646*49000</f>
        <v>0</v>
      </c>
      <c r="CS646" s="76"/>
      <c r="CT646" s="76"/>
      <c r="CU646" s="56">
        <f>AN646+AP646+AR646+AT646+AV646+AX646+AZ646+BB646+BD646+BF646+BH646+BJ646+BL646+BN646+BP646+BR646+BT646+BV646+BX646+BZ646+CB646+CD646+CF646+CH646+CJ646+CL646+CN646+CP646+CR646+CT646</f>
        <v>0</v>
      </c>
      <c r="CV646" s="76"/>
      <c r="CW646" s="76">
        <f>+CV646*1100</f>
        <v>0</v>
      </c>
      <c r="CX646" s="76"/>
      <c r="CY646" s="76">
        <f>+CX646*106250</f>
        <v>0</v>
      </c>
      <c r="CZ646" s="76"/>
      <c r="DA646" s="76">
        <f>+CZ646*34500</f>
        <v>0</v>
      </c>
      <c r="DB646" s="76"/>
      <c r="DC646" s="76">
        <f>+DB646*25000</f>
        <v>0</v>
      </c>
      <c r="DD646" s="219"/>
      <c r="DE646" s="219"/>
      <c r="DF646" s="166" t="s">
        <v>3247</v>
      </c>
      <c r="DG646" s="116"/>
      <c r="DH646" s="117"/>
      <c r="DI646" s="24"/>
      <c r="DJ646" s="24"/>
      <c r="DK646" s="24"/>
      <c r="DL646" s="24"/>
      <c r="DM646" s="24"/>
      <c r="DN646" s="24"/>
      <c r="DO646" s="24"/>
      <c r="DP646" s="24"/>
      <c r="DQ646" s="24"/>
      <c r="DR646" s="24"/>
      <c r="DS646" s="24"/>
      <c r="DT646" s="24"/>
      <c r="DU646" s="24"/>
    </row>
    <row r="647" spans="1:125" s="8" customFormat="1" ht="84" x14ac:dyDescent="0.2">
      <c r="A647" s="77">
        <v>41314</v>
      </c>
      <c r="B647" s="78" t="s">
        <v>2854</v>
      </c>
      <c r="C647" s="75" t="s">
        <v>501</v>
      </c>
      <c r="D647" s="75" t="s">
        <v>3194</v>
      </c>
      <c r="E647" s="75" t="str">
        <f>VLOOKUP(B647&amp;C647,Divipola!$C$2:$F$1138,4,FALSE)</f>
        <v>19256</v>
      </c>
      <c r="F647" s="163"/>
      <c r="G647" s="163"/>
      <c r="H647" s="163"/>
      <c r="I647" s="163">
        <v>1100</v>
      </c>
      <c r="J647" s="163">
        <v>220</v>
      </c>
      <c r="K647" s="163">
        <v>1</v>
      </c>
      <c r="L647" s="163">
        <v>219</v>
      </c>
      <c r="M647" s="163"/>
      <c r="N647" s="163"/>
      <c r="O647" s="163"/>
      <c r="P647" s="163"/>
      <c r="Q647" s="163"/>
      <c r="R647" s="163"/>
      <c r="S647" s="163">
        <v>13</v>
      </c>
      <c r="T647" s="163"/>
      <c r="U647" s="163"/>
      <c r="V647" s="89"/>
      <c r="W647" s="96">
        <v>0</v>
      </c>
      <c r="X647" s="71">
        <f>CU647</f>
        <v>0</v>
      </c>
      <c r="Y647" s="71">
        <f>CY647</f>
        <v>0</v>
      </c>
      <c r="Z647" s="71">
        <f>DA647+DC647+DE647</f>
        <v>431675500</v>
      </c>
      <c r="AA647" s="71">
        <f>CW647</f>
        <v>0</v>
      </c>
      <c r="AB647" s="71"/>
      <c r="AC647" s="71">
        <v>0</v>
      </c>
      <c r="AD647" s="71">
        <f>W647+X647+Y647+Z647+AA647+AB647+AC647</f>
        <v>431675500</v>
      </c>
      <c r="AE647" s="72">
        <v>0</v>
      </c>
      <c r="AF647" s="5"/>
      <c r="AG647" s="6"/>
      <c r="AH647" s="27" t="s">
        <v>3390</v>
      </c>
      <c r="AI647" s="44" t="s">
        <v>3391</v>
      </c>
      <c r="AJ647" s="26"/>
      <c r="AK647" s="5"/>
      <c r="AL647" s="82" t="s">
        <v>3647</v>
      </c>
      <c r="AM647" s="76"/>
      <c r="AN647" s="76"/>
      <c r="AO647" s="76"/>
      <c r="AP647" s="76"/>
      <c r="AQ647" s="76"/>
      <c r="AR647" s="76"/>
      <c r="AS647" s="76"/>
      <c r="AT647" s="76"/>
      <c r="AU647" s="76"/>
      <c r="AV647" s="76"/>
      <c r="AW647" s="76"/>
      <c r="AX647" s="76">
        <f>+AW647*600000</f>
        <v>0</v>
      </c>
      <c r="AY647" s="76"/>
      <c r="AZ647" s="76">
        <f>+AY647*70000</f>
        <v>0</v>
      </c>
      <c r="BA647" s="76"/>
      <c r="BB647" s="76"/>
      <c r="BC647" s="76"/>
      <c r="BD647" s="76">
        <f>+BC647*30000</f>
        <v>0</v>
      </c>
      <c r="BE647" s="76"/>
      <c r="BF647" s="76"/>
      <c r="BG647" s="76"/>
      <c r="BH647" s="76"/>
      <c r="BI647" s="76"/>
      <c r="BJ647" s="76"/>
      <c r="BK647" s="76"/>
      <c r="BL647" s="76">
        <f>+BK647*31500</f>
        <v>0</v>
      </c>
      <c r="BM647" s="76"/>
      <c r="BN647" s="76"/>
      <c r="BO647" s="76"/>
      <c r="BP647" s="76"/>
      <c r="BQ647" s="76"/>
      <c r="BR647" s="76"/>
      <c r="BS647" s="76"/>
      <c r="BT647" s="76"/>
      <c r="BU647" s="76"/>
      <c r="BV647" s="76"/>
      <c r="BW647" s="76"/>
      <c r="BX647" s="76"/>
      <c r="BY647" s="76"/>
      <c r="BZ647" s="76"/>
      <c r="CA647" s="76"/>
      <c r="CB647" s="76"/>
      <c r="CC647" s="76"/>
      <c r="CD647" s="76"/>
      <c r="CE647" s="76"/>
      <c r="CF647" s="76">
        <f>+CE647*28000</f>
        <v>0</v>
      </c>
      <c r="CG647" s="76"/>
      <c r="CH647" s="76">
        <f>+CG647*22500</f>
        <v>0</v>
      </c>
      <c r="CI647" s="76"/>
      <c r="CJ647" s="76">
        <f>+CI647*26000</f>
        <v>0</v>
      </c>
      <c r="CK647" s="76"/>
      <c r="CL647" s="76"/>
      <c r="CM647" s="76"/>
      <c r="CN647" s="76">
        <f>+CM647*22000</f>
        <v>0</v>
      </c>
      <c r="CO647" s="76"/>
      <c r="CP647" s="76">
        <f>+CO647*46000</f>
        <v>0</v>
      </c>
      <c r="CQ647" s="76"/>
      <c r="CR647" s="76">
        <f>+CQ647*49000</f>
        <v>0</v>
      </c>
      <c r="CS647" s="76"/>
      <c r="CT647" s="76"/>
      <c r="CU647" s="56">
        <f>AN647+AP647+AR647+AT647+AV647+AX647+AZ647+BB647+BD647+BF647+BH647+BJ647+BL647+BN647+BP647+BR647+BT647+BV647+BX647+BZ647+CB647+CD647+CF647+CH647+CJ647+CL647+CN647+CP647+CR647+CT647</f>
        <v>0</v>
      </c>
      <c r="CV647" s="76"/>
      <c r="CW647" s="76">
        <f>+CV647*1100</f>
        <v>0</v>
      </c>
      <c r="CX647" s="76"/>
      <c r="CY647" s="76">
        <f>+CX647*106250</f>
        <v>0</v>
      </c>
      <c r="CZ647" s="86">
        <v>1008</v>
      </c>
      <c r="DA647" s="86">
        <f>1008*32000</f>
        <v>32256000</v>
      </c>
      <c r="DB647" s="86">
        <f>3600+1800</f>
        <v>5400</v>
      </c>
      <c r="DC647" s="86">
        <f>3600*31000+14400*400+1800*39800</f>
        <v>189000000</v>
      </c>
      <c r="DD647" s="221" t="s">
        <v>3624</v>
      </c>
      <c r="DE647" s="223">
        <f>51660*2100+1260*15000+1769*21500+900*50000</f>
        <v>210419500</v>
      </c>
      <c r="DF647" s="166"/>
      <c r="DG647" s="134" t="s">
        <v>4811</v>
      </c>
      <c r="DH647" s="117"/>
      <c r="DI647" s="24"/>
      <c r="DJ647" s="24"/>
      <c r="DK647" s="24"/>
      <c r="DL647" s="24"/>
      <c r="DM647" s="24"/>
      <c r="DN647" s="24"/>
      <c r="DO647" s="24"/>
      <c r="DP647" s="24"/>
      <c r="DQ647" s="24"/>
      <c r="DR647" s="24"/>
      <c r="DS647" s="24"/>
      <c r="DT647" s="24"/>
      <c r="DU647" s="24"/>
    </row>
    <row r="648" spans="1:125" s="8" customFormat="1" ht="84" x14ac:dyDescent="0.2">
      <c r="A648" s="77">
        <v>41314</v>
      </c>
      <c r="B648" s="78" t="s">
        <v>2854</v>
      </c>
      <c r="C648" s="75" t="s">
        <v>2692</v>
      </c>
      <c r="D648" s="75" t="s">
        <v>3194</v>
      </c>
      <c r="E648" s="75" t="str">
        <f>VLOOKUP(B648&amp;C648,Divipola!$C$2:$F$1138,4,FALSE)</f>
        <v>19290</v>
      </c>
      <c r="F648" s="163"/>
      <c r="G648" s="163"/>
      <c r="H648" s="163"/>
      <c r="I648" s="163">
        <v>420</v>
      </c>
      <c r="J648" s="163">
        <v>84</v>
      </c>
      <c r="K648" s="163"/>
      <c r="L648" s="163">
        <v>84</v>
      </c>
      <c r="M648" s="163"/>
      <c r="N648" s="163"/>
      <c r="O648" s="163"/>
      <c r="P648" s="163"/>
      <c r="Q648" s="163"/>
      <c r="R648" s="163">
        <v>1</v>
      </c>
      <c r="S648" s="163"/>
      <c r="T648" s="163">
        <v>2</v>
      </c>
      <c r="U648" s="163"/>
      <c r="V648" s="134"/>
      <c r="W648" s="96">
        <v>0</v>
      </c>
      <c r="X648" s="71">
        <f>CU648</f>
        <v>0</v>
      </c>
      <c r="Y648" s="71">
        <f>CY648</f>
        <v>0</v>
      </c>
      <c r="Z648" s="71">
        <f>DA648+DC648+DE648</f>
        <v>115891200</v>
      </c>
      <c r="AA648" s="71">
        <f>CW648</f>
        <v>0</v>
      </c>
      <c r="AB648" s="71"/>
      <c r="AC648" s="71">
        <v>0</v>
      </c>
      <c r="AD648" s="71">
        <f>W648+X648+Y648+Z648+AA648+AB648+AC648</f>
        <v>115891200</v>
      </c>
      <c r="AE648" s="72">
        <v>0</v>
      </c>
      <c r="AF648" s="5"/>
      <c r="AG648" s="6"/>
      <c r="AH648" s="27" t="s">
        <v>3390</v>
      </c>
      <c r="AI648" s="44" t="s">
        <v>3391</v>
      </c>
      <c r="AJ648" s="26"/>
      <c r="AK648" s="5"/>
      <c r="AL648" s="82" t="s">
        <v>3458</v>
      </c>
      <c r="AM648" s="76"/>
      <c r="AN648" s="76"/>
      <c r="AO648" s="76"/>
      <c r="AP648" s="76"/>
      <c r="AQ648" s="76"/>
      <c r="AR648" s="76"/>
      <c r="AS648" s="76"/>
      <c r="AT648" s="76"/>
      <c r="AU648" s="76"/>
      <c r="AV648" s="76"/>
      <c r="AW648" s="76"/>
      <c r="AX648" s="76">
        <f>+AW648*600000</f>
        <v>0</v>
      </c>
      <c r="AY648" s="76"/>
      <c r="AZ648" s="76">
        <f>+AY648*70000</f>
        <v>0</v>
      </c>
      <c r="BA648" s="76"/>
      <c r="BB648" s="76"/>
      <c r="BC648" s="76"/>
      <c r="BD648" s="76">
        <f>+BC648*30000</f>
        <v>0</v>
      </c>
      <c r="BE648" s="76"/>
      <c r="BF648" s="76"/>
      <c r="BG648" s="76"/>
      <c r="BH648" s="76"/>
      <c r="BI648" s="76"/>
      <c r="BJ648" s="76"/>
      <c r="BK648" s="76"/>
      <c r="BL648" s="76">
        <f>+BK648*31500</f>
        <v>0</v>
      </c>
      <c r="BM648" s="76"/>
      <c r="BN648" s="76"/>
      <c r="BO648" s="76"/>
      <c r="BP648" s="76"/>
      <c r="BQ648" s="76"/>
      <c r="BR648" s="76"/>
      <c r="BS648" s="76"/>
      <c r="BT648" s="76"/>
      <c r="BU648" s="76"/>
      <c r="BV648" s="76"/>
      <c r="BW648" s="76"/>
      <c r="BX648" s="76"/>
      <c r="BY648" s="76"/>
      <c r="BZ648" s="76"/>
      <c r="CA648" s="76"/>
      <c r="CB648" s="76"/>
      <c r="CC648" s="76"/>
      <c r="CD648" s="76"/>
      <c r="CE648" s="76"/>
      <c r="CF648" s="76">
        <f>+CE648*28000</f>
        <v>0</v>
      </c>
      <c r="CG648" s="76"/>
      <c r="CH648" s="76">
        <f>+CG648*22500</f>
        <v>0</v>
      </c>
      <c r="CI648" s="76"/>
      <c r="CJ648" s="76">
        <f>+CI648*26000</f>
        <v>0</v>
      </c>
      <c r="CK648" s="76"/>
      <c r="CL648" s="76"/>
      <c r="CM648" s="76"/>
      <c r="CN648" s="76">
        <f>+CM648*22000</f>
        <v>0</v>
      </c>
      <c r="CO648" s="76"/>
      <c r="CP648" s="76">
        <f>+CO648*46000</f>
        <v>0</v>
      </c>
      <c r="CQ648" s="76"/>
      <c r="CR648" s="76">
        <f>+CQ648*49000</f>
        <v>0</v>
      </c>
      <c r="CS648" s="76"/>
      <c r="CT648" s="76"/>
      <c r="CU648" s="56">
        <f>AN648+AP648+AR648+AT648+AV648+AX648+AZ648+BB648+BD648+BF648+BH648+BJ648+BL648+BN648+BP648+BR648+BT648+BV648+BX648+BZ648+CB648+CD648+CF648+CH648+CJ648+CL648+CN648+CP648+CR648+CT648</f>
        <v>0</v>
      </c>
      <c r="CV648" s="76"/>
      <c r="CW648" s="76">
        <f>+CV648*1100</f>
        <v>0</v>
      </c>
      <c r="CX648" s="76"/>
      <c r="CY648" s="76">
        <f>+CX648*106250</f>
        <v>0</v>
      </c>
      <c r="CZ648" s="86">
        <v>1056</v>
      </c>
      <c r="DA648" s="86">
        <f>1056*32000</f>
        <v>33792000</v>
      </c>
      <c r="DB648" s="86">
        <f>384+384</f>
        <v>768</v>
      </c>
      <c r="DC648" s="86">
        <f>384*31000+384*41000+3072*400</f>
        <v>28876800</v>
      </c>
      <c r="DD648" s="221" t="s">
        <v>3628</v>
      </c>
      <c r="DE648" s="223">
        <f>15024*2100+1008*21500</f>
        <v>53222400</v>
      </c>
      <c r="DF648" s="166"/>
      <c r="DG648" s="134" t="s">
        <v>4811</v>
      </c>
      <c r="DH648" s="117"/>
      <c r="DI648" s="24"/>
      <c r="DJ648" s="24"/>
      <c r="DK648" s="24"/>
      <c r="DL648" s="24"/>
      <c r="DM648" s="24"/>
      <c r="DN648" s="24"/>
      <c r="DO648" s="24"/>
      <c r="DP648" s="24"/>
      <c r="DQ648" s="24"/>
      <c r="DR648" s="24"/>
      <c r="DS648" s="24"/>
      <c r="DT648" s="24"/>
      <c r="DU648" s="24"/>
    </row>
    <row r="649" spans="1:125" s="8" customFormat="1" ht="96" x14ac:dyDescent="0.2">
      <c r="A649" s="77">
        <v>41314</v>
      </c>
      <c r="B649" s="78" t="s">
        <v>2854</v>
      </c>
      <c r="C649" s="75" t="s">
        <v>1377</v>
      </c>
      <c r="D649" s="75" t="s">
        <v>3194</v>
      </c>
      <c r="E649" s="75" t="str">
        <f>VLOOKUP(B649&amp;C649,Divipola!$C$2:$F$1138,4,FALSE)</f>
        <v>19318</v>
      </c>
      <c r="F649" s="163"/>
      <c r="G649" s="163">
        <v>3</v>
      </c>
      <c r="H649" s="163"/>
      <c r="I649" s="163">
        <v>2050</v>
      </c>
      <c r="J649" s="163">
        <v>410</v>
      </c>
      <c r="K649" s="163">
        <v>80</v>
      </c>
      <c r="L649" s="163">
        <v>330</v>
      </c>
      <c r="M649" s="163"/>
      <c r="N649" s="163"/>
      <c r="O649" s="163"/>
      <c r="P649" s="163">
        <v>2</v>
      </c>
      <c r="Q649" s="163"/>
      <c r="R649" s="163">
        <v>4</v>
      </c>
      <c r="S649" s="163">
        <v>9</v>
      </c>
      <c r="T649" s="163"/>
      <c r="U649" s="163"/>
      <c r="V649" s="89">
        <v>1</v>
      </c>
      <c r="W649" s="96">
        <v>0</v>
      </c>
      <c r="X649" s="71">
        <f>CU649</f>
        <v>0</v>
      </c>
      <c r="Y649" s="71">
        <f>CY649</f>
        <v>0</v>
      </c>
      <c r="Z649" s="71">
        <f>DA649+DC649+DE649</f>
        <v>1452360740</v>
      </c>
      <c r="AA649" s="71">
        <f>CW649</f>
        <v>0</v>
      </c>
      <c r="AB649" s="71"/>
      <c r="AC649" s="71">
        <v>0</v>
      </c>
      <c r="AD649" s="71">
        <f>W649+X649+Y649+Z649+AA649+AB649+AC649</f>
        <v>1452360740</v>
      </c>
      <c r="AE649" s="72">
        <v>0</v>
      </c>
      <c r="AF649" s="5"/>
      <c r="AG649" s="6"/>
      <c r="AH649" s="27" t="s">
        <v>3390</v>
      </c>
      <c r="AI649" s="44" t="s">
        <v>3391</v>
      </c>
      <c r="AJ649" s="26"/>
      <c r="AK649" s="5"/>
      <c r="AL649" s="82" t="s">
        <v>3502</v>
      </c>
      <c r="AM649" s="76"/>
      <c r="AN649" s="76"/>
      <c r="AO649" s="76"/>
      <c r="AP649" s="76"/>
      <c r="AQ649" s="76"/>
      <c r="AR649" s="76"/>
      <c r="AS649" s="76"/>
      <c r="AT649" s="76"/>
      <c r="AU649" s="76"/>
      <c r="AV649" s="76"/>
      <c r="AW649" s="76"/>
      <c r="AX649" s="76">
        <f>+AW649*600000</f>
        <v>0</v>
      </c>
      <c r="AY649" s="76"/>
      <c r="AZ649" s="76">
        <f>+AY649*70000</f>
        <v>0</v>
      </c>
      <c r="BA649" s="76"/>
      <c r="BB649" s="76"/>
      <c r="BC649" s="76"/>
      <c r="BD649" s="76">
        <f>+BC649*30000</f>
        <v>0</v>
      </c>
      <c r="BE649" s="76"/>
      <c r="BF649" s="76"/>
      <c r="BG649" s="76"/>
      <c r="BH649" s="76"/>
      <c r="BI649" s="76"/>
      <c r="BJ649" s="76"/>
      <c r="BK649" s="76"/>
      <c r="BL649" s="76">
        <f>+BK649*31500</f>
        <v>0</v>
      </c>
      <c r="BM649" s="76"/>
      <c r="BN649" s="76"/>
      <c r="BO649" s="76"/>
      <c r="BP649" s="76"/>
      <c r="BQ649" s="76"/>
      <c r="BR649" s="76"/>
      <c r="BS649" s="76"/>
      <c r="BT649" s="76"/>
      <c r="BU649" s="76"/>
      <c r="BV649" s="76"/>
      <c r="BW649" s="76"/>
      <c r="BX649" s="76"/>
      <c r="BY649" s="76"/>
      <c r="BZ649" s="76"/>
      <c r="CA649" s="76"/>
      <c r="CB649" s="76"/>
      <c r="CC649" s="76"/>
      <c r="CD649" s="76"/>
      <c r="CE649" s="76"/>
      <c r="CF649" s="76">
        <f>+CE649*28000</f>
        <v>0</v>
      </c>
      <c r="CG649" s="76"/>
      <c r="CH649" s="76">
        <f>+CG649*22500</f>
        <v>0</v>
      </c>
      <c r="CI649" s="76"/>
      <c r="CJ649" s="76">
        <f>+CI649*26000</f>
        <v>0</v>
      </c>
      <c r="CK649" s="76"/>
      <c r="CL649" s="76"/>
      <c r="CM649" s="76"/>
      <c r="CN649" s="76">
        <f>+CM649*22000</f>
        <v>0</v>
      </c>
      <c r="CO649" s="76"/>
      <c r="CP649" s="76">
        <f>+CO649*46000</f>
        <v>0</v>
      </c>
      <c r="CQ649" s="76"/>
      <c r="CR649" s="76">
        <f>+CQ649*49000</f>
        <v>0</v>
      </c>
      <c r="CS649" s="76"/>
      <c r="CT649" s="76"/>
      <c r="CU649" s="56">
        <f>AN649+AP649+AR649+AT649+AV649+AX649+AZ649+BB649+BD649+BF649+BH649+BJ649+BL649+BN649+BP649+BR649+BT649+BV649+BX649+BZ649+CB649+CD649+CF649+CH649+CJ649+CL649+CN649+CP649+CR649+CT649</f>
        <v>0</v>
      </c>
      <c r="CV649" s="76"/>
      <c r="CW649" s="76">
        <f>+CV649*1100</f>
        <v>0</v>
      </c>
      <c r="CX649" s="76"/>
      <c r="CY649" s="76">
        <f>+CX649*106250</f>
        <v>0</v>
      </c>
      <c r="CZ649" s="86">
        <v>11960</v>
      </c>
      <c r="DA649" s="86">
        <f>5980*34499.56+5980*34499.56</f>
        <v>412614737.59999996</v>
      </c>
      <c r="DB649" s="86">
        <v>4120</v>
      </c>
      <c r="DC649" s="86">
        <f>2060*32000+12360*200+2060*31999.76+18540*199.52</f>
        <v>138010606.40000001</v>
      </c>
      <c r="DD649" s="221" t="s">
        <v>6731</v>
      </c>
      <c r="DE649" s="223">
        <f>102120*2100+102120*2100+17600*7000+17600*4028.68+5950*21500+5950*21499.44+40*52000+40*519999</f>
        <v>901735396</v>
      </c>
      <c r="DF649" s="166"/>
      <c r="DG649" s="192" t="s">
        <v>4812</v>
      </c>
      <c r="DH649" s="117"/>
      <c r="DI649" s="24"/>
      <c r="DJ649" s="24"/>
      <c r="DK649" s="24"/>
      <c r="DL649" s="24"/>
      <c r="DM649" s="24"/>
      <c r="DN649" s="24"/>
      <c r="DO649" s="24"/>
      <c r="DP649" s="24"/>
      <c r="DQ649" s="24"/>
      <c r="DR649" s="24"/>
      <c r="DS649" s="24"/>
      <c r="DT649" s="24"/>
      <c r="DU649" s="24"/>
    </row>
    <row r="650" spans="1:125" s="8" customFormat="1" ht="84" x14ac:dyDescent="0.2">
      <c r="A650" s="77">
        <v>41314</v>
      </c>
      <c r="B650" s="78" t="s">
        <v>2854</v>
      </c>
      <c r="C650" s="75" t="s">
        <v>844</v>
      </c>
      <c r="D650" s="75" t="s">
        <v>3194</v>
      </c>
      <c r="E650" s="75" t="str">
        <f>VLOOKUP(B650&amp;C650,Divipola!$C$2:$F$1138,4,FALSE)</f>
        <v>19392</v>
      </c>
      <c r="F650" s="163"/>
      <c r="G650" s="163"/>
      <c r="H650" s="163"/>
      <c r="I650" s="163">
        <v>500</v>
      </c>
      <c r="J650" s="163">
        <v>100</v>
      </c>
      <c r="K650" s="163">
        <v>1</v>
      </c>
      <c r="L650" s="163">
        <v>99</v>
      </c>
      <c r="M650" s="163"/>
      <c r="N650" s="163"/>
      <c r="O650" s="163"/>
      <c r="P650" s="163"/>
      <c r="Q650" s="163"/>
      <c r="R650" s="163"/>
      <c r="S650" s="163">
        <v>1</v>
      </c>
      <c r="T650" s="163"/>
      <c r="U650" s="163"/>
      <c r="V650" s="134"/>
      <c r="W650" s="96">
        <v>0</v>
      </c>
      <c r="X650" s="71">
        <f>CU650</f>
        <v>0</v>
      </c>
      <c r="Y650" s="71">
        <f>CY650</f>
        <v>0</v>
      </c>
      <c r="Z650" s="71">
        <f>DA650+DC650+DE650</f>
        <v>187983500</v>
      </c>
      <c r="AA650" s="71">
        <f>CW650</f>
        <v>0</v>
      </c>
      <c r="AB650" s="71"/>
      <c r="AC650" s="71">
        <v>0</v>
      </c>
      <c r="AD650" s="71">
        <f>W650+X650+Y650+Z650+AA650+AB650+AC650</f>
        <v>187983500</v>
      </c>
      <c r="AE650" s="72">
        <v>0</v>
      </c>
      <c r="AF650" s="5"/>
      <c r="AG650" s="6"/>
      <c r="AH650" s="27" t="s">
        <v>3390</v>
      </c>
      <c r="AI650" s="44" t="s">
        <v>3391</v>
      </c>
      <c r="AJ650" s="26"/>
      <c r="AK650" s="5"/>
      <c r="AL650" s="82" t="s">
        <v>3458</v>
      </c>
      <c r="AM650" s="76"/>
      <c r="AN650" s="76"/>
      <c r="AO650" s="76"/>
      <c r="AP650" s="76"/>
      <c r="AQ650" s="76"/>
      <c r="AR650" s="76"/>
      <c r="AS650" s="76"/>
      <c r="AT650" s="76"/>
      <c r="AU650" s="76"/>
      <c r="AV650" s="76"/>
      <c r="AW650" s="76"/>
      <c r="AX650" s="76">
        <f>+AW650*600000</f>
        <v>0</v>
      </c>
      <c r="AY650" s="76"/>
      <c r="AZ650" s="76">
        <f>+AY650*70000</f>
        <v>0</v>
      </c>
      <c r="BA650" s="76"/>
      <c r="BB650" s="76"/>
      <c r="BC650" s="76"/>
      <c r="BD650" s="76">
        <f>+BC650*30000</f>
        <v>0</v>
      </c>
      <c r="BE650" s="76"/>
      <c r="BF650" s="76"/>
      <c r="BG650" s="76"/>
      <c r="BH650" s="76"/>
      <c r="BI650" s="76"/>
      <c r="BJ650" s="76"/>
      <c r="BK650" s="76"/>
      <c r="BL650" s="76">
        <f>+BK650*31500</f>
        <v>0</v>
      </c>
      <c r="BM650" s="76"/>
      <c r="BN650" s="76"/>
      <c r="BO650" s="76"/>
      <c r="BP650" s="76"/>
      <c r="BQ650" s="76"/>
      <c r="BR650" s="76"/>
      <c r="BS650" s="76"/>
      <c r="BT650" s="76"/>
      <c r="BU650" s="76"/>
      <c r="BV650" s="76"/>
      <c r="BW650" s="76"/>
      <c r="BX650" s="76"/>
      <c r="BY650" s="76"/>
      <c r="BZ650" s="76"/>
      <c r="CA650" s="76"/>
      <c r="CB650" s="76"/>
      <c r="CC650" s="76"/>
      <c r="CD650" s="76"/>
      <c r="CE650" s="76"/>
      <c r="CF650" s="76">
        <f>+CE650*28000</f>
        <v>0</v>
      </c>
      <c r="CG650" s="76"/>
      <c r="CH650" s="76">
        <f>+CG650*22500</f>
        <v>0</v>
      </c>
      <c r="CI650" s="76"/>
      <c r="CJ650" s="76">
        <f>+CI650*26000</f>
        <v>0</v>
      </c>
      <c r="CK650" s="76"/>
      <c r="CL650" s="76"/>
      <c r="CM650" s="76"/>
      <c r="CN650" s="76">
        <f>+CM650*22000</f>
        <v>0</v>
      </c>
      <c r="CO650" s="76"/>
      <c r="CP650" s="76">
        <f>+CO650*46000</f>
        <v>0</v>
      </c>
      <c r="CQ650" s="76"/>
      <c r="CR650" s="76">
        <f>+CQ650*49000</f>
        <v>0</v>
      </c>
      <c r="CS650" s="76"/>
      <c r="CT650" s="76"/>
      <c r="CU650" s="56">
        <f>AN650+AP650+AR650+AT650+AV650+AX650+AZ650+BB650+BD650+BF650+BH650+BJ650+BL650+BN650+BP650+BR650+BT650+BV650+BX650+BZ650+CB650+CD650+CF650+CH650+CJ650+CL650+CN650+CP650+CR650+CT650</f>
        <v>0</v>
      </c>
      <c r="CV650" s="76"/>
      <c r="CW650" s="76">
        <f>+CV650*1100</f>
        <v>0</v>
      </c>
      <c r="CX650" s="76"/>
      <c r="CY650" s="76">
        <f>+CX650*106250</f>
        <v>0</v>
      </c>
      <c r="CZ650" s="86">
        <v>1060</v>
      </c>
      <c r="DA650" s="86">
        <f>1060*34000</f>
        <v>36040000</v>
      </c>
      <c r="DB650" s="86">
        <f>1350+630+1600+560</f>
        <v>4140</v>
      </c>
      <c r="DC650" s="86">
        <f>1350*32000+8100*200+630*21250+1600*31000+8920*400+560*39800</f>
        <v>133663500</v>
      </c>
      <c r="DD650" s="221" t="s">
        <v>3621</v>
      </c>
      <c r="DE650" s="223">
        <f>300*15000+500*21500+40*32000+25*70000</f>
        <v>18280000</v>
      </c>
      <c r="DF650" s="166"/>
      <c r="DG650" s="134" t="s">
        <v>4817</v>
      </c>
      <c r="DH650" s="117"/>
      <c r="DI650" s="24"/>
      <c r="DJ650" s="24"/>
      <c r="DK650" s="24"/>
      <c r="DL650" s="24"/>
      <c r="DM650" s="24"/>
      <c r="DN650" s="24"/>
      <c r="DO650" s="24"/>
      <c r="DP650" s="24"/>
      <c r="DQ650" s="24"/>
      <c r="DR650" s="24"/>
      <c r="DS650" s="24"/>
      <c r="DT650" s="24"/>
      <c r="DU650" s="24"/>
    </row>
    <row r="651" spans="1:125" s="8" customFormat="1" ht="84" x14ac:dyDescent="0.2">
      <c r="A651" s="77">
        <v>41314</v>
      </c>
      <c r="B651" s="78" t="s">
        <v>2854</v>
      </c>
      <c r="C651" s="75" t="s">
        <v>2100</v>
      </c>
      <c r="D651" s="75" t="s">
        <v>3194</v>
      </c>
      <c r="E651" s="75" t="str">
        <f>VLOOKUP(B651&amp;C651,Divipola!$C$2:$F$1138,4,FALSE)</f>
        <v>19397</v>
      </c>
      <c r="F651" s="163"/>
      <c r="G651" s="163"/>
      <c r="H651" s="163"/>
      <c r="I651" s="163">
        <v>515</v>
      </c>
      <c r="J651" s="163">
        <v>103</v>
      </c>
      <c r="K651" s="163"/>
      <c r="L651" s="163">
        <v>103</v>
      </c>
      <c r="M651" s="163"/>
      <c r="N651" s="163"/>
      <c r="O651" s="163"/>
      <c r="P651" s="163">
        <v>10</v>
      </c>
      <c r="Q651" s="163"/>
      <c r="R651" s="163"/>
      <c r="S651" s="163">
        <v>7</v>
      </c>
      <c r="T651" s="163">
        <v>10</v>
      </c>
      <c r="U651" s="163"/>
      <c r="V651" s="134"/>
      <c r="W651" s="96">
        <v>0</v>
      </c>
      <c r="X651" s="71">
        <f>CU651</f>
        <v>0</v>
      </c>
      <c r="Y651" s="71">
        <f>CY651</f>
        <v>0</v>
      </c>
      <c r="Z651" s="71">
        <f>DA651+DC651+DE651</f>
        <v>559489000</v>
      </c>
      <c r="AA651" s="71">
        <f>CW651</f>
        <v>0</v>
      </c>
      <c r="AB651" s="71"/>
      <c r="AC651" s="71">
        <v>0</v>
      </c>
      <c r="AD651" s="71">
        <f>W651+X651+Y651+Z651+AA651+AB651+AC651</f>
        <v>559489000</v>
      </c>
      <c r="AE651" s="72">
        <v>0</v>
      </c>
      <c r="AF651" s="5"/>
      <c r="AG651" s="6"/>
      <c r="AH651" s="27" t="s">
        <v>3390</v>
      </c>
      <c r="AI651" s="44" t="s">
        <v>3391</v>
      </c>
      <c r="AJ651" s="26"/>
      <c r="AK651" s="5"/>
      <c r="AL651" s="82" t="s">
        <v>3458</v>
      </c>
      <c r="AM651" s="76"/>
      <c r="AN651" s="76"/>
      <c r="AO651" s="76"/>
      <c r="AP651" s="76"/>
      <c r="AQ651" s="76"/>
      <c r="AR651" s="76"/>
      <c r="AS651" s="76"/>
      <c r="AT651" s="76"/>
      <c r="AU651" s="76"/>
      <c r="AV651" s="76"/>
      <c r="AW651" s="76"/>
      <c r="AX651" s="76">
        <f>+AW651*600000</f>
        <v>0</v>
      </c>
      <c r="AY651" s="76"/>
      <c r="AZ651" s="76">
        <f>+AY651*70000</f>
        <v>0</v>
      </c>
      <c r="BA651" s="76"/>
      <c r="BB651" s="76"/>
      <c r="BC651" s="76"/>
      <c r="BD651" s="76">
        <f>+BC651*30000</f>
        <v>0</v>
      </c>
      <c r="BE651" s="76"/>
      <c r="BF651" s="76"/>
      <c r="BG651" s="76"/>
      <c r="BH651" s="76"/>
      <c r="BI651" s="76"/>
      <c r="BJ651" s="76"/>
      <c r="BK651" s="76"/>
      <c r="BL651" s="76">
        <f>+BK651*31500</f>
        <v>0</v>
      </c>
      <c r="BM651" s="76"/>
      <c r="BN651" s="76"/>
      <c r="BO651" s="76"/>
      <c r="BP651" s="76"/>
      <c r="BQ651" s="76"/>
      <c r="BR651" s="76"/>
      <c r="BS651" s="76"/>
      <c r="BT651" s="76"/>
      <c r="BU651" s="76"/>
      <c r="BV651" s="76"/>
      <c r="BW651" s="76"/>
      <c r="BX651" s="76"/>
      <c r="BY651" s="76"/>
      <c r="BZ651" s="76"/>
      <c r="CA651" s="76"/>
      <c r="CB651" s="76"/>
      <c r="CC651" s="76"/>
      <c r="CD651" s="76"/>
      <c r="CE651" s="76"/>
      <c r="CF651" s="76">
        <f>+CE651*28000</f>
        <v>0</v>
      </c>
      <c r="CG651" s="76"/>
      <c r="CH651" s="76">
        <f>+CG651*22500</f>
        <v>0</v>
      </c>
      <c r="CI651" s="76"/>
      <c r="CJ651" s="76">
        <f>+CI651*26000</f>
        <v>0</v>
      </c>
      <c r="CK651" s="76"/>
      <c r="CL651" s="76"/>
      <c r="CM651" s="76"/>
      <c r="CN651" s="76">
        <f>+CM651*22000</f>
        <v>0</v>
      </c>
      <c r="CO651" s="76"/>
      <c r="CP651" s="76">
        <f>+CO651*46000</f>
        <v>0</v>
      </c>
      <c r="CQ651" s="76"/>
      <c r="CR651" s="76">
        <f>+CQ651*49000</f>
        <v>0</v>
      </c>
      <c r="CS651" s="76"/>
      <c r="CT651" s="76"/>
      <c r="CU651" s="56">
        <f>AN651+AP651+AR651+AT651+AV651+AX651+AZ651+BB651+BD651+BF651+BH651+BJ651+BL651+BN651+BP651+BR651+BT651+BV651+BX651+BZ651+CB651+CD651+CF651+CH651+CJ651+CL651+CN651+CP651+CR651+CT651</f>
        <v>0</v>
      </c>
      <c r="CV651" s="76"/>
      <c r="CW651" s="76">
        <f>+CV651*1100</f>
        <v>0</v>
      </c>
      <c r="CX651" s="76"/>
      <c r="CY651" s="76">
        <f>+CX651*106250</f>
        <v>0</v>
      </c>
      <c r="CZ651" s="86">
        <v>2110</v>
      </c>
      <c r="DA651" s="86">
        <f>2110*34000</f>
        <v>71740000</v>
      </c>
      <c r="DB651" s="86">
        <f>4500+1080</f>
        <v>5580</v>
      </c>
      <c r="DC651" s="86">
        <f>4500*31000+18000*400+1080*39800</f>
        <v>189684000</v>
      </c>
      <c r="DD651" s="221" t="s">
        <v>5025</v>
      </c>
      <c r="DE651" s="223">
        <f>39340*2100+2679*15000+2124*21500+1080*120000</f>
        <v>298065000</v>
      </c>
      <c r="DF651" s="166"/>
      <c r="DG651" s="192" t="s">
        <v>5026</v>
      </c>
      <c r="DH651" s="117"/>
      <c r="DI651" s="24"/>
      <c r="DJ651" s="24"/>
      <c r="DK651" s="24"/>
      <c r="DL651" s="24"/>
      <c r="DM651" s="24"/>
      <c r="DN651" s="24"/>
      <c r="DO651" s="24"/>
      <c r="DP651" s="24"/>
      <c r="DQ651" s="24"/>
      <c r="DR651" s="24"/>
      <c r="DS651" s="24"/>
      <c r="DT651" s="24"/>
      <c r="DU651" s="24"/>
    </row>
    <row r="652" spans="1:125" s="8" customFormat="1" ht="84" x14ac:dyDescent="0.2">
      <c r="A652" s="77">
        <v>41314</v>
      </c>
      <c r="B652" s="78" t="s">
        <v>2854</v>
      </c>
      <c r="C652" s="75" t="s">
        <v>516</v>
      </c>
      <c r="D652" s="75" t="s">
        <v>3194</v>
      </c>
      <c r="E652" s="75" t="str">
        <f>VLOOKUP(B652&amp;C652,Divipola!$C$2:$F$1138,4,FALSE)</f>
        <v>19418</v>
      </c>
      <c r="F652" s="163"/>
      <c r="G652" s="163"/>
      <c r="H652" s="163"/>
      <c r="I652" s="163">
        <v>380</v>
      </c>
      <c r="J652" s="163">
        <v>76</v>
      </c>
      <c r="K652" s="163">
        <v>5</v>
      </c>
      <c r="L652" s="163">
        <v>71</v>
      </c>
      <c r="M652" s="163"/>
      <c r="N652" s="163"/>
      <c r="O652" s="163"/>
      <c r="P652" s="163"/>
      <c r="Q652" s="163"/>
      <c r="R652" s="163">
        <v>1</v>
      </c>
      <c r="S652" s="163">
        <v>1</v>
      </c>
      <c r="T652" s="163"/>
      <c r="U652" s="163"/>
      <c r="V652" s="89"/>
      <c r="W652" s="96">
        <v>0</v>
      </c>
      <c r="X652" s="71">
        <f>CU652</f>
        <v>0</v>
      </c>
      <c r="Y652" s="71">
        <f>CY652</f>
        <v>0</v>
      </c>
      <c r="Z652" s="71">
        <f>DA652+DC652+DE652</f>
        <v>146780000</v>
      </c>
      <c r="AA652" s="71">
        <f>CW652</f>
        <v>0</v>
      </c>
      <c r="AB652" s="71"/>
      <c r="AC652" s="71">
        <v>0</v>
      </c>
      <c r="AD652" s="71">
        <f>W652+X652+Y652+Z652+AA652+AB652+AC652</f>
        <v>146780000</v>
      </c>
      <c r="AE652" s="72">
        <v>0</v>
      </c>
      <c r="AF652" s="5"/>
      <c r="AG652" s="6"/>
      <c r="AH652" s="27" t="s">
        <v>3390</v>
      </c>
      <c r="AI652" s="44" t="s">
        <v>3391</v>
      </c>
      <c r="AJ652" s="26"/>
      <c r="AK652" s="5"/>
      <c r="AL652" s="82" t="s">
        <v>3647</v>
      </c>
      <c r="AM652" s="76"/>
      <c r="AN652" s="76"/>
      <c r="AO652" s="76"/>
      <c r="AP652" s="76"/>
      <c r="AQ652" s="76"/>
      <c r="AR652" s="76"/>
      <c r="AS652" s="76"/>
      <c r="AT652" s="76"/>
      <c r="AU652" s="76"/>
      <c r="AV652" s="76"/>
      <c r="AW652" s="76"/>
      <c r="AX652" s="76">
        <f>+AW652*600000</f>
        <v>0</v>
      </c>
      <c r="AY652" s="76"/>
      <c r="AZ652" s="76">
        <f>+AY652*70000</f>
        <v>0</v>
      </c>
      <c r="BA652" s="76"/>
      <c r="BB652" s="76"/>
      <c r="BC652" s="76"/>
      <c r="BD652" s="76">
        <f>+BC652*30000</f>
        <v>0</v>
      </c>
      <c r="BE652" s="76"/>
      <c r="BF652" s="76"/>
      <c r="BG652" s="76"/>
      <c r="BH652" s="76"/>
      <c r="BI652" s="76"/>
      <c r="BJ652" s="76"/>
      <c r="BK652" s="76"/>
      <c r="BL652" s="76">
        <f>+BK652*31500</f>
        <v>0</v>
      </c>
      <c r="BM652" s="76"/>
      <c r="BN652" s="76"/>
      <c r="BO652" s="76"/>
      <c r="BP652" s="76"/>
      <c r="BQ652" s="76"/>
      <c r="BR652" s="76"/>
      <c r="BS652" s="76"/>
      <c r="BT652" s="76"/>
      <c r="BU652" s="76"/>
      <c r="BV652" s="76"/>
      <c r="BW652" s="76"/>
      <c r="BX652" s="76"/>
      <c r="BY652" s="76"/>
      <c r="BZ652" s="76"/>
      <c r="CA652" s="76"/>
      <c r="CB652" s="76"/>
      <c r="CC652" s="76"/>
      <c r="CD652" s="76"/>
      <c r="CE652" s="76"/>
      <c r="CF652" s="76">
        <f>+CE652*28000</f>
        <v>0</v>
      </c>
      <c r="CG652" s="76"/>
      <c r="CH652" s="76">
        <f>+CG652*22500</f>
        <v>0</v>
      </c>
      <c r="CI652" s="76"/>
      <c r="CJ652" s="76">
        <f>+CI652*26000</f>
        <v>0</v>
      </c>
      <c r="CK652" s="76"/>
      <c r="CL652" s="76"/>
      <c r="CM652" s="76"/>
      <c r="CN652" s="76">
        <f>+CM652*22000</f>
        <v>0</v>
      </c>
      <c r="CO652" s="76"/>
      <c r="CP652" s="76">
        <f>+CO652*46000</f>
        <v>0</v>
      </c>
      <c r="CQ652" s="76"/>
      <c r="CR652" s="76">
        <f>+CQ652*49000</f>
        <v>0</v>
      </c>
      <c r="CS652" s="76"/>
      <c r="CT652" s="76"/>
      <c r="CU652" s="56">
        <f>AN652+AP652+AR652+AT652+AV652+AX652+AZ652+BB652+BD652+BF652+BH652+BJ652+BL652+BN652+BP652+BR652+BT652+BV652+BX652+BZ652+CB652+CD652+CF652+CH652+CJ652+CL652+CN652+CP652+CR652+CT652</f>
        <v>0</v>
      </c>
      <c r="CV652" s="76"/>
      <c r="CW652" s="76">
        <f>+CV652*1100</f>
        <v>0</v>
      </c>
      <c r="CX652" s="76"/>
      <c r="CY652" s="76">
        <f>+CX652*106250</f>
        <v>0</v>
      </c>
      <c r="CZ652" s="86">
        <v>1500</v>
      </c>
      <c r="DA652" s="86">
        <f>+CZ652*34000</f>
        <v>51000000</v>
      </c>
      <c r="DB652" s="86">
        <f>400+300</f>
        <v>700</v>
      </c>
      <c r="DC652" s="86">
        <f>400*32000+2400*200+300*31000+600*400</f>
        <v>22820000</v>
      </c>
      <c r="DD652" s="221" t="s">
        <v>3889</v>
      </c>
      <c r="DE652" s="223">
        <f>74*15000+500*21500+1200*50000+100*11000</f>
        <v>72960000</v>
      </c>
      <c r="DF652" s="166"/>
      <c r="DG652" s="134" t="s">
        <v>5057</v>
      </c>
      <c r="DH652" s="117"/>
      <c r="DI652" s="24"/>
      <c r="DJ652" s="24"/>
      <c r="DK652" s="24"/>
      <c r="DL652" s="24"/>
      <c r="DM652" s="24"/>
      <c r="DN652" s="24"/>
      <c r="DO652" s="24"/>
      <c r="DP652" s="24"/>
      <c r="DQ652" s="24"/>
      <c r="DR652" s="24"/>
      <c r="DS652" s="24"/>
      <c r="DT652" s="24"/>
      <c r="DU652" s="24"/>
    </row>
    <row r="653" spans="1:125" s="8" customFormat="1" ht="84" x14ac:dyDescent="0.2">
      <c r="A653" s="77">
        <v>41314</v>
      </c>
      <c r="B653" s="78" t="s">
        <v>2854</v>
      </c>
      <c r="C653" s="75" t="s">
        <v>849</v>
      </c>
      <c r="D653" s="75" t="s">
        <v>3194</v>
      </c>
      <c r="E653" s="75" t="str">
        <f>VLOOKUP(B653&amp;C653,Divipola!$C$2:$F$1138,4,FALSE)</f>
        <v>19450</v>
      </c>
      <c r="F653" s="163"/>
      <c r="G653" s="163"/>
      <c r="H653" s="163"/>
      <c r="I653" s="163">
        <v>230</v>
      </c>
      <c r="J653" s="163">
        <v>46</v>
      </c>
      <c r="K653" s="163"/>
      <c r="L653" s="163">
        <v>46</v>
      </c>
      <c r="M653" s="163"/>
      <c r="N653" s="163"/>
      <c r="O653" s="163"/>
      <c r="P653" s="163"/>
      <c r="Q653" s="163"/>
      <c r="R653" s="163"/>
      <c r="S653" s="163">
        <v>3</v>
      </c>
      <c r="T653" s="163"/>
      <c r="U653" s="163"/>
      <c r="V653" s="134"/>
      <c r="W653" s="96">
        <v>0</v>
      </c>
      <c r="X653" s="71">
        <f>CU653</f>
        <v>0</v>
      </c>
      <c r="Y653" s="71">
        <f>CY653</f>
        <v>0</v>
      </c>
      <c r="Z653" s="71">
        <f>DA653+DC653+DE653</f>
        <v>220426593.19999999</v>
      </c>
      <c r="AA653" s="71">
        <f>CW653</f>
        <v>0</v>
      </c>
      <c r="AB653" s="71"/>
      <c r="AC653" s="71">
        <v>0</v>
      </c>
      <c r="AD653" s="71">
        <f>W653+X653+Y653+Z653+AA653+AB653+AC653</f>
        <v>220426593.19999999</v>
      </c>
      <c r="AE653" s="72">
        <v>0</v>
      </c>
      <c r="AF653" s="5"/>
      <c r="AG653" s="6"/>
      <c r="AH653" s="27" t="s">
        <v>3390</v>
      </c>
      <c r="AI653" s="44" t="s">
        <v>3391</v>
      </c>
      <c r="AJ653" s="26"/>
      <c r="AK653" s="5"/>
      <c r="AL653" s="82" t="s">
        <v>3458</v>
      </c>
      <c r="AM653" s="76"/>
      <c r="AN653" s="76"/>
      <c r="AO653" s="76"/>
      <c r="AP653" s="76"/>
      <c r="AQ653" s="76"/>
      <c r="AR653" s="76"/>
      <c r="AS653" s="76"/>
      <c r="AT653" s="76"/>
      <c r="AU653" s="76"/>
      <c r="AV653" s="76"/>
      <c r="AW653" s="76"/>
      <c r="AX653" s="76">
        <f>+AW653*600000</f>
        <v>0</v>
      </c>
      <c r="AY653" s="76"/>
      <c r="AZ653" s="76">
        <f>+AY653*70000</f>
        <v>0</v>
      </c>
      <c r="BA653" s="76"/>
      <c r="BB653" s="76"/>
      <c r="BC653" s="76"/>
      <c r="BD653" s="76">
        <f>+BC653*30000</f>
        <v>0</v>
      </c>
      <c r="BE653" s="76"/>
      <c r="BF653" s="76"/>
      <c r="BG653" s="76"/>
      <c r="BH653" s="76"/>
      <c r="BI653" s="76"/>
      <c r="BJ653" s="76"/>
      <c r="BK653" s="76"/>
      <c r="BL653" s="76">
        <f>+BK653*31500</f>
        <v>0</v>
      </c>
      <c r="BM653" s="76"/>
      <c r="BN653" s="76"/>
      <c r="BO653" s="76"/>
      <c r="BP653" s="76"/>
      <c r="BQ653" s="76"/>
      <c r="BR653" s="76"/>
      <c r="BS653" s="76"/>
      <c r="BT653" s="76"/>
      <c r="BU653" s="76"/>
      <c r="BV653" s="76"/>
      <c r="BW653" s="76"/>
      <c r="BX653" s="76"/>
      <c r="BY653" s="76"/>
      <c r="BZ653" s="76"/>
      <c r="CA653" s="76"/>
      <c r="CB653" s="76"/>
      <c r="CC653" s="76"/>
      <c r="CD653" s="76"/>
      <c r="CE653" s="76"/>
      <c r="CF653" s="76">
        <f>+CE653*28000</f>
        <v>0</v>
      </c>
      <c r="CG653" s="76"/>
      <c r="CH653" s="76">
        <f>+CG653*22500</f>
        <v>0</v>
      </c>
      <c r="CI653" s="76"/>
      <c r="CJ653" s="76">
        <f>+CI653*26000</f>
        <v>0</v>
      </c>
      <c r="CK653" s="76"/>
      <c r="CL653" s="76"/>
      <c r="CM653" s="76"/>
      <c r="CN653" s="76">
        <f>+CM653*22000</f>
        <v>0</v>
      </c>
      <c r="CO653" s="76"/>
      <c r="CP653" s="76">
        <f>+CO653*46000</f>
        <v>0</v>
      </c>
      <c r="CQ653" s="76"/>
      <c r="CR653" s="76">
        <f>+CQ653*49000</f>
        <v>0</v>
      </c>
      <c r="CS653" s="76"/>
      <c r="CT653" s="76"/>
      <c r="CU653" s="56">
        <f>AN653+AP653+AR653+AT653+AV653+AX653+AZ653+BB653+BD653+BF653+BH653+BJ653+BL653+BN653+BP653+BR653+BT653+BV653+BX653+BZ653+CB653+CD653+CF653+CH653+CJ653+CL653+CN653+CP653+CR653+CT653</f>
        <v>0</v>
      </c>
      <c r="CV653" s="76"/>
      <c r="CW653" s="76">
        <f>+CV653*1100</f>
        <v>0</v>
      </c>
      <c r="CX653" s="76"/>
      <c r="CY653" s="76">
        <f>+CX653*106250</f>
        <v>0</v>
      </c>
      <c r="CZ653" s="86">
        <v>780</v>
      </c>
      <c r="DA653" s="86">
        <f>780*29499.96</f>
        <v>23009968.800000001</v>
      </c>
      <c r="DB653" s="86">
        <f>600+170+175</f>
        <v>945</v>
      </c>
      <c r="DC653" s="86">
        <f>600*30999.84+170*40999.04+175*39799.6+3080*448.92</f>
        <v>33917344.399999999</v>
      </c>
      <c r="DD653" s="221" t="s">
        <v>3629</v>
      </c>
      <c r="DE653" s="223">
        <f>57000*2100+1200*14999.96+1200*21499.44</f>
        <v>163499280</v>
      </c>
      <c r="DF653" s="166"/>
      <c r="DG653" s="134" t="s">
        <v>4065</v>
      </c>
      <c r="DH653" s="117"/>
      <c r="DI653" s="24"/>
      <c r="DJ653" s="24"/>
      <c r="DK653" s="24"/>
      <c r="DL653" s="24"/>
      <c r="DM653" s="24"/>
      <c r="DN653" s="24"/>
      <c r="DO653" s="24"/>
      <c r="DP653" s="24"/>
      <c r="DQ653" s="24"/>
      <c r="DR653" s="24"/>
      <c r="DS653" s="24"/>
      <c r="DT653" s="24"/>
      <c r="DU653" s="24"/>
    </row>
    <row r="654" spans="1:125" s="8" customFormat="1" ht="84" x14ac:dyDescent="0.2">
      <c r="A654" s="77">
        <v>41314</v>
      </c>
      <c r="B654" s="78" t="s">
        <v>2854</v>
      </c>
      <c r="C654" s="75" t="s">
        <v>2738</v>
      </c>
      <c r="D654" s="75" t="s">
        <v>3194</v>
      </c>
      <c r="E654" s="75" t="str">
        <f>VLOOKUP(B654&amp;C654,Divipola!$C$2:$F$1138,4,FALSE)</f>
        <v>19473</v>
      </c>
      <c r="F654" s="163"/>
      <c r="G654" s="163"/>
      <c r="H654" s="163"/>
      <c r="I654" s="163">
        <v>445</v>
      </c>
      <c r="J654" s="163">
        <v>89</v>
      </c>
      <c r="K654" s="163"/>
      <c r="L654" s="163">
        <v>89</v>
      </c>
      <c r="M654" s="163"/>
      <c r="N654" s="163"/>
      <c r="O654" s="163"/>
      <c r="P654" s="163"/>
      <c r="Q654" s="163"/>
      <c r="R654" s="163"/>
      <c r="S654" s="163">
        <v>2</v>
      </c>
      <c r="T654" s="163"/>
      <c r="U654" s="163"/>
      <c r="V654" s="134"/>
      <c r="W654" s="96">
        <v>0</v>
      </c>
      <c r="X654" s="71">
        <f>CU654</f>
        <v>0</v>
      </c>
      <c r="Y654" s="71">
        <f>CY654</f>
        <v>0</v>
      </c>
      <c r="Z654" s="71">
        <f>DA654+DC654+DE654</f>
        <v>178495700</v>
      </c>
      <c r="AA654" s="71">
        <f>CW654</f>
        <v>0</v>
      </c>
      <c r="AB654" s="71"/>
      <c r="AC654" s="71">
        <v>0</v>
      </c>
      <c r="AD654" s="71">
        <f>W654+X654+Y654+Z654+AA654+AB654+AC654</f>
        <v>178495700</v>
      </c>
      <c r="AE654" s="72">
        <v>0</v>
      </c>
      <c r="AF654" s="5"/>
      <c r="AG654" s="6"/>
      <c r="AH654" s="27" t="s">
        <v>3390</v>
      </c>
      <c r="AI654" s="44" t="s">
        <v>3391</v>
      </c>
      <c r="AJ654" s="26"/>
      <c r="AK654" s="5"/>
      <c r="AL654" s="82" t="s">
        <v>3458</v>
      </c>
      <c r="AM654" s="76"/>
      <c r="AN654" s="76"/>
      <c r="AO654" s="76"/>
      <c r="AP654" s="76"/>
      <c r="AQ654" s="76"/>
      <c r="AR654" s="76"/>
      <c r="AS654" s="76"/>
      <c r="AT654" s="76"/>
      <c r="AU654" s="76"/>
      <c r="AV654" s="76"/>
      <c r="AW654" s="76"/>
      <c r="AX654" s="76">
        <f>+AW654*600000</f>
        <v>0</v>
      </c>
      <c r="AY654" s="76"/>
      <c r="AZ654" s="76">
        <f>+AY654*70000</f>
        <v>0</v>
      </c>
      <c r="BA654" s="76"/>
      <c r="BB654" s="76"/>
      <c r="BC654" s="76"/>
      <c r="BD654" s="76">
        <f>+BC654*30000</f>
        <v>0</v>
      </c>
      <c r="BE654" s="76"/>
      <c r="BF654" s="76"/>
      <c r="BG654" s="76"/>
      <c r="BH654" s="76"/>
      <c r="BI654" s="76"/>
      <c r="BJ654" s="76"/>
      <c r="BK654" s="76"/>
      <c r="BL654" s="76">
        <f>+BK654*31500</f>
        <v>0</v>
      </c>
      <c r="BM654" s="76"/>
      <c r="BN654" s="76"/>
      <c r="BO654" s="76"/>
      <c r="BP654" s="76"/>
      <c r="BQ654" s="76"/>
      <c r="BR654" s="76"/>
      <c r="BS654" s="76"/>
      <c r="BT654" s="76"/>
      <c r="BU654" s="76"/>
      <c r="BV654" s="76"/>
      <c r="BW654" s="76"/>
      <c r="BX654" s="76"/>
      <c r="BY654" s="76"/>
      <c r="BZ654" s="76"/>
      <c r="CA654" s="76"/>
      <c r="CB654" s="76"/>
      <c r="CC654" s="76"/>
      <c r="CD654" s="76"/>
      <c r="CE654" s="76"/>
      <c r="CF654" s="76">
        <f>+CE654*28000</f>
        <v>0</v>
      </c>
      <c r="CG654" s="76"/>
      <c r="CH654" s="76">
        <f>+CG654*22500</f>
        <v>0</v>
      </c>
      <c r="CI654" s="76"/>
      <c r="CJ654" s="76">
        <f>+CI654*26000</f>
        <v>0</v>
      </c>
      <c r="CK654" s="76"/>
      <c r="CL654" s="76"/>
      <c r="CM654" s="76"/>
      <c r="CN654" s="76">
        <f>+CM654*22000</f>
        <v>0</v>
      </c>
      <c r="CO654" s="76"/>
      <c r="CP654" s="76">
        <f>+CO654*46000</f>
        <v>0</v>
      </c>
      <c r="CQ654" s="76"/>
      <c r="CR654" s="76">
        <f>+CQ654*49000</f>
        <v>0</v>
      </c>
      <c r="CS654" s="76"/>
      <c r="CT654" s="76"/>
      <c r="CU654" s="56">
        <f>AN654+AP654+AR654+AT654+AV654+AX654+AZ654+BB654+BD654+BF654+BH654+BJ654+BL654+BN654+BP654+BR654+BT654+BV654+BX654+BZ654+CB654+CD654+CF654+CH654+CJ654+CL654+CN654+CP654+CR654+CT654</f>
        <v>0</v>
      </c>
      <c r="CV654" s="76"/>
      <c r="CW654" s="76">
        <f>+CV654*1100</f>
        <v>0</v>
      </c>
      <c r="CX654" s="76"/>
      <c r="CY654" s="76">
        <f>+CX654*106250</f>
        <v>0</v>
      </c>
      <c r="CZ654" s="86">
        <v>314</v>
      </c>
      <c r="DA654" s="86">
        <f>314*34000</f>
        <v>10676000</v>
      </c>
      <c r="DB654" s="86">
        <f>174+296+210+280+147+260</f>
        <v>1367</v>
      </c>
      <c r="DC654" s="86">
        <f>174*25000+296*32000+2820*200+210*21250+280*31000+147*41000+2548*400+260*39800</f>
        <v>44922700</v>
      </c>
      <c r="DD654" s="221" t="s">
        <v>5027</v>
      </c>
      <c r="DE654" s="223">
        <f>30000*2100+1958*21500+356*50000</f>
        <v>122897000</v>
      </c>
      <c r="DF654" s="166"/>
      <c r="DG654" s="192" t="s">
        <v>5028</v>
      </c>
      <c r="DH654" s="117"/>
      <c r="DI654" s="24"/>
      <c r="DJ654" s="24"/>
      <c r="DK654" s="24"/>
      <c r="DL654" s="24"/>
      <c r="DM654" s="24"/>
      <c r="DN654" s="24"/>
      <c r="DO654" s="24"/>
      <c r="DP654" s="24"/>
      <c r="DQ654" s="24"/>
      <c r="DR654" s="24"/>
      <c r="DS654" s="24"/>
      <c r="DT654" s="24"/>
      <c r="DU654" s="24"/>
    </row>
    <row r="655" spans="1:125" s="8" customFormat="1" ht="84" x14ac:dyDescent="0.2">
      <c r="A655" s="77">
        <v>41314</v>
      </c>
      <c r="B655" s="78" t="s">
        <v>2854</v>
      </c>
      <c r="C655" s="75" t="s">
        <v>2124</v>
      </c>
      <c r="D655" s="75" t="s">
        <v>3194</v>
      </c>
      <c r="E655" s="75" t="str">
        <f>VLOOKUP(B655&amp;C655,Divipola!$C$2:$F$1138,4,FALSE)</f>
        <v>19548</v>
      </c>
      <c r="F655" s="163"/>
      <c r="G655" s="163"/>
      <c r="H655" s="163"/>
      <c r="I655" s="163">
        <v>40</v>
      </c>
      <c r="J655" s="163">
        <v>8</v>
      </c>
      <c r="K655" s="163"/>
      <c r="L655" s="163">
        <v>8</v>
      </c>
      <c r="M655" s="163"/>
      <c r="N655" s="163"/>
      <c r="O655" s="163"/>
      <c r="P655" s="163"/>
      <c r="Q655" s="163"/>
      <c r="R655" s="163"/>
      <c r="S655" s="163">
        <v>1</v>
      </c>
      <c r="T655" s="163"/>
      <c r="U655" s="163"/>
      <c r="V655" s="134"/>
      <c r="W655" s="96">
        <v>0</v>
      </c>
      <c r="X655" s="71">
        <f>CU655</f>
        <v>0</v>
      </c>
      <c r="Y655" s="71">
        <f>CY655</f>
        <v>0</v>
      </c>
      <c r="Z655" s="71">
        <f>DA655+DC655+DE655</f>
        <v>12903100</v>
      </c>
      <c r="AA655" s="71">
        <f>CW655</f>
        <v>0</v>
      </c>
      <c r="AB655" s="71"/>
      <c r="AC655" s="71">
        <v>0</v>
      </c>
      <c r="AD655" s="71">
        <f>W655+X655+Y655+Z655+AA655+AB655+AC655</f>
        <v>12903100</v>
      </c>
      <c r="AE655" s="72">
        <v>0</v>
      </c>
      <c r="AF655" s="5"/>
      <c r="AG655" s="6"/>
      <c r="AH655" s="27" t="s">
        <v>3390</v>
      </c>
      <c r="AI655" s="44" t="s">
        <v>3391</v>
      </c>
      <c r="AJ655" s="26"/>
      <c r="AK655" s="5"/>
      <c r="AL655" s="82" t="s">
        <v>3458</v>
      </c>
      <c r="AM655" s="76"/>
      <c r="AN655" s="76"/>
      <c r="AO655" s="76"/>
      <c r="AP655" s="76"/>
      <c r="AQ655" s="76"/>
      <c r="AR655" s="76"/>
      <c r="AS655" s="76"/>
      <c r="AT655" s="76"/>
      <c r="AU655" s="76"/>
      <c r="AV655" s="76"/>
      <c r="AW655" s="76"/>
      <c r="AX655" s="76">
        <f>+AW655*600000</f>
        <v>0</v>
      </c>
      <c r="AY655" s="76"/>
      <c r="AZ655" s="76">
        <f>+AY655*70000</f>
        <v>0</v>
      </c>
      <c r="BA655" s="76"/>
      <c r="BB655" s="76"/>
      <c r="BC655" s="76"/>
      <c r="BD655" s="76">
        <f>+BC655*30000</f>
        <v>0</v>
      </c>
      <c r="BE655" s="76"/>
      <c r="BF655" s="76"/>
      <c r="BG655" s="76"/>
      <c r="BH655" s="76"/>
      <c r="BI655" s="76"/>
      <c r="BJ655" s="76"/>
      <c r="BK655" s="76"/>
      <c r="BL655" s="76">
        <f>+BK655*31500</f>
        <v>0</v>
      </c>
      <c r="BM655" s="76"/>
      <c r="BN655" s="76"/>
      <c r="BO655" s="76"/>
      <c r="BP655" s="76"/>
      <c r="BQ655" s="76"/>
      <c r="BR655" s="76"/>
      <c r="BS655" s="76"/>
      <c r="BT655" s="76"/>
      <c r="BU655" s="76"/>
      <c r="BV655" s="76"/>
      <c r="BW655" s="76"/>
      <c r="BX655" s="76"/>
      <c r="BY655" s="76"/>
      <c r="BZ655" s="76"/>
      <c r="CA655" s="76"/>
      <c r="CB655" s="76"/>
      <c r="CC655" s="76"/>
      <c r="CD655" s="76"/>
      <c r="CE655" s="76"/>
      <c r="CF655" s="76">
        <f>+CE655*28000</f>
        <v>0</v>
      </c>
      <c r="CG655" s="76"/>
      <c r="CH655" s="76">
        <f>+CG655*22500</f>
        <v>0</v>
      </c>
      <c r="CI655" s="76"/>
      <c r="CJ655" s="76">
        <f>+CI655*26000</f>
        <v>0</v>
      </c>
      <c r="CK655" s="76"/>
      <c r="CL655" s="76"/>
      <c r="CM655" s="76"/>
      <c r="CN655" s="76">
        <f>+CM655*22000</f>
        <v>0</v>
      </c>
      <c r="CO655" s="76"/>
      <c r="CP655" s="76">
        <f>+CO655*46000</f>
        <v>0</v>
      </c>
      <c r="CQ655" s="76"/>
      <c r="CR655" s="76">
        <f>+CQ655*49000</f>
        <v>0</v>
      </c>
      <c r="CS655" s="76"/>
      <c r="CT655" s="76"/>
      <c r="CU655" s="56">
        <f>AN655+AP655+AR655+AT655+AV655+AX655+AZ655+BB655+BD655+BF655+BH655+BJ655+BL655+BN655+BP655+BR655+BT655+BV655+BX655+BZ655+CB655+CD655+CF655+CH655+CJ655+CL655+CN655+CP655+CR655+CT655</f>
        <v>0</v>
      </c>
      <c r="CV655" s="76"/>
      <c r="CW655" s="76">
        <f>+CV655*1100</f>
        <v>0</v>
      </c>
      <c r="CX655" s="76"/>
      <c r="CY655" s="76">
        <f>+CX655*106250</f>
        <v>0</v>
      </c>
      <c r="CZ655" s="86">
        <v>54</v>
      </c>
      <c r="DA655" s="86">
        <f>54*34000</f>
        <v>1836000</v>
      </c>
      <c r="DB655" s="86">
        <f>32+4+28</f>
        <v>64</v>
      </c>
      <c r="DC655" s="86">
        <f>32*32000+192*200+4*21250+28*31000+48*400</f>
        <v>2034600</v>
      </c>
      <c r="DD655" s="221" t="s">
        <v>5029</v>
      </c>
      <c r="DE655" s="223">
        <f>3370*2100+91*15000+7*21500+40*11000</f>
        <v>9032500</v>
      </c>
      <c r="DF655" s="166"/>
      <c r="DG655" s="192" t="s">
        <v>5028</v>
      </c>
      <c r="DH655" s="117"/>
      <c r="DI655" s="24"/>
      <c r="DJ655" s="24"/>
      <c r="DK655" s="24"/>
      <c r="DL655" s="24"/>
      <c r="DM655" s="24"/>
      <c r="DN655" s="24"/>
      <c r="DO655" s="24"/>
      <c r="DP655" s="24"/>
      <c r="DQ655" s="24"/>
      <c r="DR655" s="24"/>
      <c r="DS655" s="24"/>
      <c r="DT655" s="24"/>
      <c r="DU655" s="24"/>
    </row>
    <row r="656" spans="1:125" s="8" customFormat="1" ht="84" x14ac:dyDescent="0.2">
      <c r="A656" s="77">
        <v>41314</v>
      </c>
      <c r="B656" s="78" t="s">
        <v>2854</v>
      </c>
      <c r="C656" s="75" t="s">
        <v>2731</v>
      </c>
      <c r="D656" s="75" t="s">
        <v>3194</v>
      </c>
      <c r="E656" s="75" t="str">
        <f>VLOOKUP(B656&amp;C656,Divipola!$C$2:$F$1138,4,FALSE)</f>
        <v>19001</v>
      </c>
      <c r="F656" s="163"/>
      <c r="G656" s="163"/>
      <c r="H656" s="163"/>
      <c r="I656" s="163">
        <v>60</v>
      </c>
      <c r="J656" s="163">
        <v>12</v>
      </c>
      <c r="K656" s="163"/>
      <c r="L656" s="163">
        <v>12</v>
      </c>
      <c r="M656" s="163"/>
      <c r="N656" s="163"/>
      <c r="O656" s="163"/>
      <c r="P656" s="163"/>
      <c r="Q656" s="163"/>
      <c r="R656" s="163"/>
      <c r="S656" s="163"/>
      <c r="T656" s="163"/>
      <c r="U656" s="163"/>
      <c r="V656" s="134"/>
      <c r="W656" s="96">
        <v>0</v>
      </c>
      <c r="X656" s="71">
        <f>CU656</f>
        <v>0</v>
      </c>
      <c r="Y656" s="71">
        <f>CY656</f>
        <v>0</v>
      </c>
      <c r="Z656" s="71">
        <f>DA656+DC656+DE656</f>
        <v>0</v>
      </c>
      <c r="AA656" s="71">
        <f>CW656</f>
        <v>0</v>
      </c>
      <c r="AB656" s="71"/>
      <c r="AC656" s="71">
        <v>0</v>
      </c>
      <c r="AD656" s="71">
        <f>W656+X656+Y656+Z656+AA656+AB656+AC656</f>
        <v>0</v>
      </c>
      <c r="AE656" s="72">
        <v>0</v>
      </c>
      <c r="AF656" s="5"/>
      <c r="AG656" s="6"/>
      <c r="AH656" s="27" t="s">
        <v>3392</v>
      </c>
      <c r="AI656" s="44" t="s">
        <v>3393</v>
      </c>
      <c r="AJ656" s="26"/>
      <c r="AK656" s="5"/>
      <c r="AL656" s="82" t="s">
        <v>3458</v>
      </c>
      <c r="AM656" s="76"/>
      <c r="AN656" s="76"/>
      <c r="AO656" s="76"/>
      <c r="AP656" s="76"/>
      <c r="AQ656" s="76"/>
      <c r="AR656" s="76"/>
      <c r="AS656" s="76"/>
      <c r="AT656" s="76"/>
      <c r="AU656" s="76"/>
      <c r="AV656" s="76"/>
      <c r="AW656" s="76"/>
      <c r="AX656" s="76">
        <f>+AW656*600000</f>
        <v>0</v>
      </c>
      <c r="AY656" s="76"/>
      <c r="AZ656" s="76">
        <f>+AY656*70000</f>
        <v>0</v>
      </c>
      <c r="BA656" s="76"/>
      <c r="BB656" s="76"/>
      <c r="BC656" s="76"/>
      <c r="BD656" s="76">
        <f>+BC656*30000</f>
        <v>0</v>
      </c>
      <c r="BE656" s="76"/>
      <c r="BF656" s="76"/>
      <c r="BG656" s="76"/>
      <c r="BH656" s="76"/>
      <c r="BI656" s="76"/>
      <c r="BJ656" s="76"/>
      <c r="BK656" s="76"/>
      <c r="BL656" s="76">
        <f>+BK656*31500</f>
        <v>0</v>
      </c>
      <c r="BM656" s="76"/>
      <c r="BN656" s="76"/>
      <c r="BO656" s="76"/>
      <c r="BP656" s="76"/>
      <c r="BQ656" s="76"/>
      <c r="BR656" s="76"/>
      <c r="BS656" s="76"/>
      <c r="BT656" s="76"/>
      <c r="BU656" s="76"/>
      <c r="BV656" s="76"/>
      <c r="BW656" s="76"/>
      <c r="BX656" s="76"/>
      <c r="BY656" s="76"/>
      <c r="BZ656" s="76"/>
      <c r="CA656" s="76"/>
      <c r="CB656" s="76"/>
      <c r="CC656" s="76"/>
      <c r="CD656" s="76"/>
      <c r="CE656" s="76"/>
      <c r="CF656" s="76">
        <f>+CE656*28000</f>
        <v>0</v>
      </c>
      <c r="CG656" s="76"/>
      <c r="CH656" s="76">
        <f>+CG656*22500</f>
        <v>0</v>
      </c>
      <c r="CI656" s="76"/>
      <c r="CJ656" s="76">
        <f>+CI656*26000</f>
        <v>0</v>
      </c>
      <c r="CK656" s="76"/>
      <c r="CL656" s="76"/>
      <c r="CM656" s="76"/>
      <c r="CN656" s="76">
        <f>+CM656*22000</f>
        <v>0</v>
      </c>
      <c r="CO656" s="76"/>
      <c r="CP656" s="76">
        <f>+CO656*46000</f>
        <v>0</v>
      </c>
      <c r="CQ656" s="76"/>
      <c r="CR656" s="76">
        <f>+CQ656*49000</f>
        <v>0</v>
      </c>
      <c r="CS656" s="76"/>
      <c r="CT656" s="76"/>
      <c r="CU656" s="56">
        <f>AN656+AP656+AR656+AT656+AV656+AX656+AZ656+BB656+BD656+BF656+BH656+BJ656+BL656+BN656+BP656+BR656+BT656+BV656+BX656+BZ656+CB656+CD656+CF656+CH656+CJ656+CL656+CN656+CP656+CR656+CT656</f>
        <v>0</v>
      </c>
      <c r="CV656" s="76"/>
      <c r="CW656" s="76">
        <f>+CV656*1100</f>
        <v>0</v>
      </c>
      <c r="CX656" s="76"/>
      <c r="CY656" s="76">
        <f>+CX656*106250</f>
        <v>0</v>
      </c>
      <c r="CZ656" s="76"/>
      <c r="DA656" s="76">
        <f>+CZ656*34500</f>
        <v>0</v>
      </c>
      <c r="DB656" s="76"/>
      <c r="DC656" s="76">
        <f>+DB656*25000</f>
        <v>0</v>
      </c>
      <c r="DD656" s="219"/>
      <c r="DE656" s="219"/>
      <c r="DF656" s="166"/>
      <c r="DG656" s="116"/>
      <c r="DH656" s="117"/>
      <c r="DI656" s="24"/>
      <c r="DJ656" s="24"/>
      <c r="DK656" s="24"/>
      <c r="DL656" s="24"/>
      <c r="DM656" s="24"/>
      <c r="DN656" s="24"/>
      <c r="DO656" s="24"/>
      <c r="DP656" s="24"/>
      <c r="DQ656" s="24"/>
      <c r="DR656" s="24"/>
      <c r="DS656" s="24"/>
      <c r="DT656" s="24"/>
      <c r="DU656" s="24"/>
    </row>
    <row r="657" spans="1:125" s="8" customFormat="1" ht="96" x14ac:dyDescent="0.2">
      <c r="A657" s="77">
        <v>41314</v>
      </c>
      <c r="B657" s="78" t="s">
        <v>2854</v>
      </c>
      <c r="C657" s="75" t="s">
        <v>865</v>
      </c>
      <c r="D657" s="75" t="s">
        <v>3194</v>
      </c>
      <c r="E657" s="75" t="str">
        <f>VLOOKUP(B657&amp;C657,Divipola!$C$2:$F$1138,4,FALSE)</f>
        <v>19622</v>
      </c>
      <c r="F657" s="163"/>
      <c r="G657" s="163"/>
      <c r="H657" s="163"/>
      <c r="I657" s="163">
        <v>1275</v>
      </c>
      <c r="J657" s="163">
        <v>255</v>
      </c>
      <c r="K657" s="163"/>
      <c r="L657" s="163">
        <v>255</v>
      </c>
      <c r="M657" s="163"/>
      <c r="N657" s="163"/>
      <c r="O657" s="163"/>
      <c r="P657" s="163"/>
      <c r="Q657" s="163"/>
      <c r="R657" s="163"/>
      <c r="S657" s="163">
        <v>2</v>
      </c>
      <c r="T657" s="163"/>
      <c r="U657" s="163"/>
      <c r="V657" s="89">
        <v>1</v>
      </c>
      <c r="W657" s="96">
        <v>0</v>
      </c>
      <c r="X657" s="71">
        <f>CU657</f>
        <v>0</v>
      </c>
      <c r="Y657" s="71">
        <f>CY657</f>
        <v>0</v>
      </c>
      <c r="Z657" s="71">
        <f>DA657+DC657+DE657</f>
        <v>405954300</v>
      </c>
      <c r="AA657" s="71">
        <f>CW657</f>
        <v>0</v>
      </c>
      <c r="AB657" s="71"/>
      <c r="AC657" s="71">
        <v>0</v>
      </c>
      <c r="AD657" s="71">
        <f>W657+X657+Y657+Z657+AA657+AB657+AC657</f>
        <v>405954300</v>
      </c>
      <c r="AE657" s="72">
        <v>0</v>
      </c>
      <c r="AF657" s="5"/>
      <c r="AG657" s="6"/>
      <c r="AH657" s="27" t="s">
        <v>3390</v>
      </c>
      <c r="AI657" s="44" t="s">
        <v>3391</v>
      </c>
      <c r="AJ657" s="26"/>
      <c r="AK657" s="5"/>
      <c r="AL657" s="82" t="s">
        <v>3500</v>
      </c>
      <c r="AM657" s="76"/>
      <c r="AN657" s="76"/>
      <c r="AO657" s="76"/>
      <c r="AP657" s="76"/>
      <c r="AQ657" s="76"/>
      <c r="AR657" s="76"/>
      <c r="AS657" s="76"/>
      <c r="AT657" s="76"/>
      <c r="AU657" s="76"/>
      <c r="AV657" s="76"/>
      <c r="AW657" s="76"/>
      <c r="AX657" s="76">
        <f>+AW657*600000</f>
        <v>0</v>
      </c>
      <c r="AY657" s="76"/>
      <c r="AZ657" s="76">
        <f>+AY657*70000</f>
        <v>0</v>
      </c>
      <c r="BA657" s="76"/>
      <c r="BB657" s="76"/>
      <c r="BC657" s="76"/>
      <c r="BD657" s="76">
        <f>+BC657*30000</f>
        <v>0</v>
      </c>
      <c r="BE657" s="76"/>
      <c r="BF657" s="76"/>
      <c r="BG657" s="76"/>
      <c r="BH657" s="76"/>
      <c r="BI657" s="76"/>
      <c r="BJ657" s="76"/>
      <c r="BK657" s="76"/>
      <c r="BL657" s="76">
        <f>+BK657*31500</f>
        <v>0</v>
      </c>
      <c r="BM657" s="76"/>
      <c r="BN657" s="76"/>
      <c r="BO657" s="76"/>
      <c r="BP657" s="76"/>
      <c r="BQ657" s="76"/>
      <c r="BR657" s="76"/>
      <c r="BS657" s="76"/>
      <c r="BT657" s="76"/>
      <c r="BU657" s="76"/>
      <c r="BV657" s="76"/>
      <c r="BW657" s="76"/>
      <c r="BX657" s="76"/>
      <c r="BY657" s="76"/>
      <c r="BZ657" s="76"/>
      <c r="CA657" s="76"/>
      <c r="CB657" s="76"/>
      <c r="CC657" s="76"/>
      <c r="CD657" s="76"/>
      <c r="CE657" s="76"/>
      <c r="CF657" s="76">
        <f>+CE657*28000</f>
        <v>0</v>
      </c>
      <c r="CG657" s="76"/>
      <c r="CH657" s="76">
        <f>+CG657*22500</f>
        <v>0</v>
      </c>
      <c r="CI657" s="76"/>
      <c r="CJ657" s="76">
        <f>+CI657*26000</f>
        <v>0</v>
      </c>
      <c r="CK657" s="76"/>
      <c r="CL657" s="76"/>
      <c r="CM657" s="76"/>
      <c r="CN657" s="76">
        <f>+CM657*22000</f>
        <v>0</v>
      </c>
      <c r="CO657" s="76"/>
      <c r="CP657" s="76">
        <f>+CO657*46000</f>
        <v>0</v>
      </c>
      <c r="CQ657" s="76"/>
      <c r="CR657" s="76">
        <f>+CQ657*49000</f>
        <v>0</v>
      </c>
      <c r="CS657" s="76"/>
      <c r="CT657" s="76"/>
      <c r="CU657" s="56">
        <f>AN657+AP657+AR657+AT657+AV657+AX657+AZ657+BB657+BD657+BF657+BH657+BJ657+BL657+BN657+BP657+BR657+BT657+BV657+BX657+BZ657+CB657+CD657+CF657+CH657+CJ657+CL657+CN657+CP657+CR657+CT657</f>
        <v>0</v>
      </c>
      <c r="CV657" s="76"/>
      <c r="CW657" s="76">
        <f>+CV657*1100</f>
        <v>0</v>
      </c>
      <c r="CX657" s="76"/>
      <c r="CY657" s="76">
        <f>+CX657*106250</f>
        <v>0</v>
      </c>
      <c r="CZ657" s="86">
        <v>5240</v>
      </c>
      <c r="DA657" s="86">
        <f>4540*34000+700*34000</f>
        <v>178160000</v>
      </c>
      <c r="DB657" s="86">
        <f>800+1530+576</f>
        <v>2906</v>
      </c>
      <c r="DC657" s="86">
        <f>800*32000+4800*200+1530*31000+6120*400+576*39800</f>
        <v>99362800</v>
      </c>
      <c r="DD657" s="221" t="s">
        <v>5030</v>
      </c>
      <c r="DE657" s="223">
        <f>4544*7000+1085*21500+3456*16000+1800*10000</f>
        <v>128431500</v>
      </c>
      <c r="DF657" s="166"/>
      <c r="DG657" s="192" t="s">
        <v>5028</v>
      </c>
      <c r="DH657" s="117"/>
      <c r="DI657" s="24"/>
      <c r="DJ657" s="24"/>
      <c r="DK657" s="24"/>
      <c r="DL657" s="24"/>
      <c r="DM657" s="24"/>
      <c r="DN657" s="24"/>
      <c r="DO657" s="24"/>
      <c r="DP657" s="24"/>
      <c r="DQ657" s="24"/>
      <c r="DR657" s="24"/>
      <c r="DS657" s="24"/>
      <c r="DT657" s="24"/>
      <c r="DU657" s="24"/>
    </row>
    <row r="658" spans="1:125" s="8" customFormat="1" ht="84" x14ac:dyDescent="0.2">
      <c r="A658" s="77">
        <v>41314</v>
      </c>
      <c r="B658" s="78" t="s">
        <v>2854</v>
      </c>
      <c r="C658" s="75" t="s">
        <v>867</v>
      </c>
      <c r="D658" s="75" t="s">
        <v>3194</v>
      </c>
      <c r="E658" s="75" t="str">
        <f>VLOOKUP(B658&amp;C658,Divipola!$C$2:$F$1138,4,FALSE)</f>
        <v>19693</v>
      </c>
      <c r="F658" s="163"/>
      <c r="G658" s="163"/>
      <c r="H658" s="163"/>
      <c r="I658" s="163">
        <v>1300</v>
      </c>
      <c r="J658" s="163">
        <v>260</v>
      </c>
      <c r="K658" s="163"/>
      <c r="L658" s="163">
        <v>260</v>
      </c>
      <c r="M658" s="163"/>
      <c r="N658" s="163"/>
      <c r="O658" s="163"/>
      <c r="P658" s="163"/>
      <c r="Q658" s="163"/>
      <c r="R658" s="163">
        <v>3</v>
      </c>
      <c r="S658" s="163">
        <v>7</v>
      </c>
      <c r="T658" s="163">
        <v>3</v>
      </c>
      <c r="U658" s="163"/>
      <c r="V658" s="134"/>
      <c r="W658" s="96">
        <v>0</v>
      </c>
      <c r="X658" s="71">
        <f>CU658</f>
        <v>0</v>
      </c>
      <c r="Y658" s="71">
        <f>CY658</f>
        <v>0</v>
      </c>
      <c r="Z658" s="71">
        <f>DA658+DC658+DE658</f>
        <v>691528600</v>
      </c>
      <c r="AA658" s="71">
        <f>CW658</f>
        <v>0</v>
      </c>
      <c r="AB658" s="71"/>
      <c r="AC658" s="71">
        <v>0</v>
      </c>
      <c r="AD658" s="71">
        <f>W658+X658+Y658+Z658+AA658+AB658+AC658</f>
        <v>691528600</v>
      </c>
      <c r="AE658" s="72">
        <v>0</v>
      </c>
      <c r="AF658" s="5"/>
      <c r="AG658" s="6"/>
      <c r="AH658" s="27" t="s">
        <v>3390</v>
      </c>
      <c r="AI658" s="44" t="s">
        <v>3391</v>
      </c>
      <c r="AJ658" s="26"/>
      <c r="AK658" s="5"/>
      <c r="AL658" s="82" t="s">
        <v>3458</v>
      </c>
      <c r="AM658" s="76"/>
      <c r="AN658" s="76"/>
      <c r="AO658" s="76"/>
      <c r="AP658" s="76"/>
      <c r="AQ658" s="76"/>
      <c r="AR658" s="76"/>
      <c r="AS658" s="76"/>
      <c r="AT658" s="76"/>
      <c r="AU658" s="76"/>
      <c r="AV658" s="76"/>
      <c r="AW658" s="76"/>
      <c r="AX658" s="76">
        <f>+AW658*600000</f>
        <v>0</v>
      </c>
      <c r="AY658" s="76"/>
      <c r="AZ658" s="76">
        <f>+AY658*70000</f>
        <v>0</v>
      </c>
      <c r="BA658" s="76"/>
      <c r="BB658" s="76"/>
      <c r="BC658" s="76"/>
      <c r="BD658" s="76">
        <f>+BC658*30000</f>
        <v>0</v>
      </c>
      <c r="BE658" s="76"/>
      <c r="BF658" s="76"/>
      <c r="BG658" s="76"/>
      <c r="BH658" s="76"/>
      <c r="BI658" s="76"/>
      <c r="BJ658" s="76"/>
      <c r="BK658" s="76"/>
      <c r="BL658" s="76">
        <f>+BK658*31500</f>
        <v>0</v>
      </c>
      <c r="BM658" s="76"/>
      <c r="BN658" s="76"/>
      <c r="BO658" s="76"/>
      <c r="BP658" s="76"/>
      <c r="BQ658" s="76"/>
      <c r="BR658" s="76"/>
      <c r="BS658" s="76"/>
      <c r="BT658" s="76"/>
      <c r="BU658" s="76"/>
      <c r="BV658" s="76"/>
      <c r="BW658" s="76"/>
      <c r="BX658" s="76"/>
      <c r="BY658" s="76"/>
      <c r="BZ658" s="76"/>
      <c r="CA658" s="76"/>
      <c r="CB658" s="76"/>
      <c r="CC658" s="76"/>
      <c r="CD658" s="76"/>
      <c r="CE658" s="76"/>
      <c r="CF658" s="76">
        <f>+CE658*28000</f>
        <v>0</v>
      </c>
      <c r="CG658" s="76"/>
      <c r="CH658" s="76">
        <f>+CG658*22500</f>
        <v>0</v>
      </c>
      <c r="CI658" s="76"/>
      <c r="CJ658" s="76">
        <f>+CI658*26000</f>
        <v>0</v>
      </c>
      <c r="CK658" s="76"/>
      <c r="CL658" s="76"/>
      <c r="CM658" s="76"/>
      <c r="CN658" s="76">
        <f>+CM658*22000</f>
        <v>0</v>
      </c>
      <c r="CO658" s="76"/>
      <c r="CP658" s="76">
        <f>+CO658*46000</f>
        <v>0</v>
      </c>
      <c r="CQ658" s="76"/>
      <c r="CR658" s="76">
        <f>+CQ658*49000</f>
        <v>0</v>
      </c>
      <c r="CS658" s="76"/>
      <c r="CT658" s="76"/>
      <c r="CU658" s="56">
        <f>AN658+AP658+AR658+AT658+AV658+AX658+AZ658+BB658+BD658+BF658+BH658+BJ658+BL658+BN658+BP658+BR658+BT658+BV658+BX658+BZ658+CB658+CD658+CF658+CH658+CJ658+CL658+CN658+CP658+CR658+CT658</f>
        <v>0</v>
      </c>
      <c r="CV658" s="76"/>
      <c r="CW658" s="76">
        <f>+CV658*1100</f>
        <v>0</v>
      </c>
      <c r="CX658" s="76"/>
      <c r="CY658" s="76">
        <f>+CX658*106250</f>
        <v>0</v>
      </c>
      <c r="CZ658" s="86">
        <v>4922</v>
      </c>
      <c r="DA658" s="86">
        <f>4922*34000</f>
        <v>167348000</v>
      </c>
      <c r="DB658" s="86">
        <f>2600+4696+1350</f>
        <v>8646</v>
      </c>
      <c r="DC658" s="86">
        <f>2600*32000+15600*200+4696*31000+18784*400+1350*39800</f>
        <v>293139600</v>
      </c>
      <c r="DD658" s="221" t="s">
        <v>4794</v>
      </c>
      <c r="DE658" s="223">
        <f>14000*2100+1550*15000+1774*21500+850*165000</f>
        <v>231041000</v>
      </c>
      <c r="DF658" s="166"/>
      <c r="DG658" s="192" t="s">
        <v>4795</v>
      </c>
      <c r="DH658" s="117"/>
      <c r="DI658" s="24"/>
      <c r="DJ658" s="24"/>
      <c r="DK658" s="24"/>
      <c r="DL658" s="24"/>
      <c r="DM658" s="24"/>
      <c r="DN658" s="24"/>
      <c r="DO658" s="24"/>
      <c r="DP658" s="24"/>
      <c r="DQ658" s="24"/>
      <c r="DR658" s="24"/>
      <c r="DS658" s="24"/>
      <c r="DT658" s="24"/>
      <c r="DU658" s="24"/>
    </row>
    <row r="659" spans="1:125" s="8" customFormat="1" ht="84" x14ac:dyDescent="0.2">
      <c r="A659" s="77">
        <v>41314</v>
      </c>
      <c r="B659" s="78" t="s">
        <v>2854</v>
      </c>
      <c r="C659" s="75" t="s">
        <v>2678</v>
      </c>
      <c r="D659" s="75" t="s">
        <v>3194</v>
      </c>
      <c r="E659" s="75" t="str">
        <f>VLOOKUP(B659&amp;C659,Divipola!$C$2:$F$1138,4,FALSE)</f>
        <v>19701</v>
      </c>
      <c r="F659" s="163"/>
      <c r="G659" s="163"/>
      <c r="H659" s="163"/>
      <c r="I659" s="163">
        <v>365</v>
      </c>
      <c r="J659" s="163">
        <v>73</v>
      </c>
      <c r="K659" s="163"/>
      <c r="L659" s="163">
        <v>73</v>
      </c>
      <c r="M659" s="163"/>
      <c r="N659" s="163"/>
      <c r="O659" s="163"/>
      <c r="P659" s="163">
        <v>1</v>
      </c>
      <c r="Q659" s="163"/>
      <c r="R659" s="163"/>
      <c r="S659" s="163"/>
      <c r="T659" s="163">
        <v>2</v>
      </c>
      <c r="U659" s="163"/>
      <c r="V659" s="134"/>
      <c r="W659" s="96">
        <v>0</v>
      </c>
      <c r="X659" s="71">
        <f>CU659</f>
        <v>0</v>
      </c>
      <c r="Y659" s="71">
        <f>CY659</f>
        <v>0</v>
      </c>
      <c r="Z659" s="71">
        <f>DA659+DC659+DE659</f>
        <v>80806725.200000003</v>
      </c>
      <c r="AA659" s="71">
        <f>CW659</f>
        <v>0</v>
      </c>
      <c r="AB659" s="71"/>
      <c r="AC659" s="71">
        <v>0</v>
      </c>
      <c r="AD659" s="71">
        <f>W659+X659+Y659+Z659+AA659+AB659+AC659</f>
        <v>80806725.200000003</v>
      </c>
      <c r="AE659" s="72">
        <v>0</v>
      </c>
      <c r="AF659" s="5"/>
      <c r="AG659" s="6"/>
      <c r="AH659" s="27" t="s">
        <v>3390</v>
      </c>
      <c r="AI659" s="44" t="s">
        <v>3391</v>
      </c>
      <c r="AJ659" s="26"/>
      <c r="AK659" s="5"/>
      <c r="AL659" s="82" t="s">
        <v>3458</v>
      </c>
      <c r="AM659" s="76"/>
      <c r="AN659" s="76"/>
      <c r="AO659" s="76"/>
      <c r="AP659" s="76"/>
      <c r="AQ659" s="76"/>
      <c r="AR659" s="76"/>
      <c r="AS659" s="76"/>
      <c r="AT659" s="76"/>
      <c r="AU659" s="76"/>
      <c r="AV659" s="76"/>
      <c r="AW659" s="76"/>
      <c r="AX659" s="76">
        <f>+AW659*600000</f>
        <v>0</v>
      </c>
      <c r="AY659" s="76"/>
      <c r="AZ659" s="76">
        <f>+AY659*70000</f>
        <v>0</v>
      </c>
      <c r="BA659" s="76"/>
      <c r="BB659" s="76"/>
      <c r="BC659" s="76"/>
      <c r="BD659" s="76">
        <f>+BC659*30000</f>
        <v>0</v>
      </c>
      <c r="BE659" s="76"/>
      <c r="BF659" s="76"/>
      <c r="BG659" s="76"/>
      <c r="BH659" s="76"/>
      <c r="BI659" s="76"/>
      <c r="BJ659" s="76"/>
      <c r="BK659" s="76"/>
      <c r="BL659" s="76">
        <f>+BK659*31500</f>
        <v>0</v>
      </c>
      <c r="BM659" s="76"/>
      <c r="BN659" s="76"/>
      <c r="BO659" s="76"/>
      <c r="BP659" s="76"/>
      <c r="BQ659" s="76"/>
      <c r="BR659" s="76"/>
      <c r="BS659" s="76"/>
      <c r="BT659" s="76"/>
      <c r="BU659" s="76"/>
      <c r="BV659" s="76"/>
      <c r="BW659" s="76"/>
      <c r="BX659" s="76"/>
      <c r="BY659" s="76"/>
      <c r="BZ659" s="76"/>
      <c r="CA659" s="76"/>
      <c r="CB659" s="76"/>
      <c r="CC659" s="76"/>
      <c r="CD659" s="76"/>
      <c r="CE659" s="76"/>
      <c r="CF659" s="76">
        <f>+CE659*28000</f>
        <v>0</v>
      </c>
      <c r="CG659" s="76"/>
      <c r="CH659" s="76">
        <f>+CG659*22500</f>
        <v>0</v>
      </c>
      <c r="CI659" s="76"/>
      <c r="CJ659" s="76">
        <f>+CI659*26000</f>
        <v>0</v>
      </c>
      <c r="CK659" s="76"/>
      <c r="CL659" s="76"/>
      <c r="CM659" s="76"/>
      <c r="CN659" s="76">
        <f>+CM659*22000</f>
        <v>0</v>
      </c>
      <c r="CO659" s="76"/>
      <c r="CP659" s="76">
        <f>+CO659*46000</f>
        <v>0</v>
      </c>
      <c r="CQ659" s="76"/>
      <c r="CR659" s="76">
        <f>+CQ659*49000</f>
        <v>0</v>
      </c>
      <c r="CS659" s="76"/>
      <c r="CT659" s="76"/>
      <c r="CU659" s="56">
        <f>AN659+AP659+AR659+AT659+AV659+AX659+AZ659+BB659+BD659+BF659+BH659+BJ659+BL659+BN659+BP659+BR659+BT659+BV659+BX659+BZ659+CB659+CD659+CF659+CH659+CJ659+CL659+CN659+CP659+CR659+CT659</f>
        <v>0</v>
      </c>
      <c r="CV659" s="76"/>
      <c r="CW659" s="76">
        <f>+CV659*1100</f>
        <v>0</v>
      </c>
      <c r="CX659" s="76"/>
      <c r="CY659" s="76">
        <f>+CX659*106250</f>
        <v>0</v>
      </c>
      <c r="CZ659" s="86">
        <v>900</v>
      </c>
      <c r="DA659" s="86">
        <f>900*34499.56</f>
        <v>31049603.999999996</v>
      </c>
      <c r="DB659" s="86">
        <f>450+150</f>
        <v>600</v>
      </c>
      <c r="DC659" s="86">
        <f>450*41000.2+450*199.52+150*39799.6</f>
        <v>24509814</v>
      </c>
      <c r="DD659" s="221" t="s">
        <v>3685</v>
      </c>
      <c r="DE659" s="223">
        <f>7260*1566+452*6478.6+300*14999.96+300*21499.44</f>
        <v>25247307.199999999</v>
      </c>
      <c r="DF659" s="166"/>
      <c r="DG659" s="116"/>
      <c r="DH659" s="117"/>
      <c r="DI659" s="24"/>
      <c r="DJ659" s="24"/>
      <c r="DK659" s="24"/>
      <c r="DL659" s="24"/>
      <c r="DM659" s="24"/>
      <c r="DN659" s="24"/>
      <c r="DO659" s="24"/>
      <c r="DP659" s="24"/>
      <c r="DQ659" s="24"/>
      <c r="DR659" s="24"/>
      <c r="DS659" s="24"/>
      <c r="DT659" s="24"/>
      <c r="DU659" s="24"/>
    </row>
    <row r="660" spans="1:125" s="8" customFormat="1" ht="84" x14ac:dyDescent="0.2">
      <c r="A660" s="77">
        <v>41314</v>
      </c>
      <c r="B660" s="78" t="s">
        <v>2854</v>
      </c>
      <c r="C660" s="75" t="s">
        <v>875</v>
      </c>
      <c r="D660" s="75" t="s">
        <v>3194</v>
      </c>
      <c r="E660" s="75" t="str">
        <f>VLOOKUP(B660&amp;C660,Divipola!$C$2:$F$1138,4,FALSE)</f>
        <v>19760</v>
      </c>
      <c r="F660" s="163"/>
      <c r="G660" s="163"/>
      <c r="H660" s="163"/>
      <c r="I660" s="163">
        <v>125</v>
      </c>
      <c r="J660" s="163">
        <v>25</v>
      </c>
      <c r="K660" s="163"/>
      <c r="L660" s="163">
        <v>25</v>
      </c>
      <c r="M660" s="163"/>
      <c r="N660" s="163"/>
      <c r="O660" s="163"/>
      <c r="P660" s="163"/>
      <c r="Q660" s="163"/>
      <c r="R660" s="163"/>
      <c r="S660" s="163">
        <v>3</v>
      </c>
      <c r="T660" s="163"/>
      <c r="U660" s="163"/>
      <c r="V660" s="134"/>
      <c r="W660" s="96">
        <v>0</v>
      </c>
      <c r="X660" s="71">
        <f>CU660</f>
        <v>0</v>
      </c>
      <c r="Y660" s="71">
        <f>CY660</f>
        <v>0</v>
      </c>
      <c r="Z660" s="71">
        <f>DA660+DC660+DE660</f>
        <v>97067200</v>
      </c>
      <c r="AA660" s="71">
        <f>CW660</f>
        <v>0</v>
      </c>
      <c r="AB660" s="71"/>
      <c r="AC660" s="71">
        <v>0</v>
      </c>
      <c r="AD660" s="71">
        <f>W660+X660+Y660+Z660+AA660+AB660+AC660</f>
        <v>97067200</v>
      </c>
      <c r="AE660" s="72">
        <v>0</v>
      </c>
      <c r="AF660" s="5"/>
      <c r="AG660" s="6"/>
      <c r="AH660" s="27" t="s">
        <v>3390</v>
      </c>
      <c r="AI660" s="44" t="s">
        <v>3391</v>
      </c>
      <c r="AJ660" s="26"/>
      <c r="AK660" s="5"/>
      <c r="AL660" s="82" t="s">
        <v>3458</v>
      </c>
      <c r="AM660" s="76"/>
      <c r="AN660" s="76"/>
      <c r="AO660" s="76"/>
      <c r="AP660" s="76"/>
      <c r="AQ660" s="76"/>
      <c r="AR660" s="76"/>
      <c r="AS660" s="76"/>
      <c r="AT660" s="76"/>
      <c r="AU660" s="76"/>
      <c r="AV660" s="76"/>
      <c r="AW660" s="76"/>
      <c r="AX660" s="76">
        <f>+AW660*600000</f>
        <v>0</v>
      </c>
      <c r="AY660" s="76"/>
      <c r="AZ660" s="76">
        <f>+AY660*70000</f>
        <v>0</v>
      </c>
      <c r="BA660" s="76"/>
      <c r="BB660" s="76"/>
      <c r="BC660" s="76"/>
      <c r="BD660" s="76">
        <f>+BC660*30000</f>
        <v>0</v>
      </c>
      <c r="BE660" s="76"/>
      <c r="BF660" s="76"/>
      <c r="BG660" s="76"/>
      <c r="BH660" s="76"/>
      <c r="BI660" s="76"/>
      <c r="BJ660" s="76"/>
      <c r="BK660" s="76"/>
      <c r="BL660" s="76">
        <f>+BK660*31500</f>
        <v>0</v>
      </c>
      <c r="BM660" s="76"/>
      <c r="BN660" s="76"/>
      <c r="BO660" s="76"/>
      <c r="BP660" s="76"/>
      <c r="BQ660" s="76"/>
      <c r="BR660" s="76"/>
      <c r="BS660" s="76"/>
      <c r="BT660" s="76"/>
      <c r="BU660" s="76"/>
      <c r="BV660" s="76"/>
      <c r="BW660" s="76"/>
      <c r="BX660" s="76"/>
      <c r="BY660" s="76"/>
      <c r="BZ660" s="76"/>
      <c r="CA660" s="76"/>
      <c r="CB660" s="76"/>
      <c r="CC660" s="76"/>
      <c r="CD660" s="76"/>
      <c r="CE660" s="76"/>
      <c r="CF660" s="76">
        <f>+CE660*28000</f>
        <v>0</v>
      </c>
      <c r="CG660" s="76"/>
      <c r="CH660" s="76">
        <f>+CG660*22500</f>
        <v>0</v>
      </c>
      <c r="CI660" s="76"/>
      <c r="CJ660" s="76">
        <f>+CI660*26000</f>
        <v>0</v>
      </c>
      <c r="CK660" s="76"/>
      <c r="CL660" s="76"/>
      <c r="CM660" s="76"/>
      <c r="CN660" s="76">
        <f>+CM660*22000</f>
        <v>0</v>
      </c>
      <c r="CO660" s="76"/>
      <c r="CP660" s="76">
        <f>+CO660*46000</f>
        <v>0</v>
      </c>
      <c r="CQ660" s="76"/>
      <c r="CR660" s="76">
        <f>+CQ660*49000</f>
        <v>0</v>
      </c>
      <c r="CS660" s="76"/>
      <c r="CT660" s="76"/>
      <c r="CU660" s="56">
        <f>AN660+AP660+AR660+AT660+AV660+AX660+AZ660+BB660+BD660+BF660+BH660+BJ660+BL660+BN660+BP660+BR660+BT660+BV660+BX660+BZ660+CB660+CD660+CF660+CH660+CJ660+CL660+CN660+CP660+CR660+CT660</f>
        <v>0</v>
      </c>
      <c r="CV660" s="76"/>
      <c r="CW660" s="76">
        <f>+CV660*1100</f>
        <v>0</v>
      </c>
      <c r="CX660" s="76"/>
      <c r="CY660" s="76">
        <f>+CX660*106250</f>
        <v>0</v>
      </c>
      <c r="CZ660" s="86">
        <v>508</v>
      </c>
      <c r="DA660" s="86">
        <f>508*34000</f>
        <v>17272000</v>
      </c>
      <c r="DB660" s="86">
        <f>1500+504</f>
        <v>2004</v>
      </c>
      <c r="DC660" s="86">
        <f>1500*31000+6000*400+504*39800</f>
        <v>68959200</v>
      </c>
      <c r="DD660" s="221" t="s">
        <v>3622</v>
      </c>
      <c r="DE660" s="223">
        <f>504*21500</f>
        <v>10836000</v>
      </c>
      <c r="DF660" s="166"/>
      <c r="DG660" s="134" t="s">
        <v>4817</v>
      </c>
      <c r="DH660" s="117"/>
      <c r="DI660" s="24"/>
      <c r="DJ660" s="24"/>
      <c r="DK660" s="24"/>
      <c r="DL660" s="24"/>
      <c r="DM660" s="24"/>
      <c r="DN660" s="24"/>
      <c r="DO660" s="24"/>
      <c r="DP660" s="24"/>
      <c r="DQ660" s="24"/>
      <c r="DR660" s="24"/>
      <c r="DS660" s="24"/>
      <c r="DT660" s="24"/>
      <c r="DU660" s="24"/>
    </row>
    <row r="661" spans="1:125" s="8" customFormat="1" ht="84" x14ac:dyDescent="0.2">
      <c r="A661" s="77">
        <v>41314</v>
      </c>
      <c r="B661" s="78" t="s">
        <v>2854</v>
      </c>
      <c r="C661" s="75" t="s">
        <v>2698</v>
      </c>
      <c r="D661" s="75" t="s">
        <v>3194</v>
      </c>
      <c r="E661" s="75" t="str">
        <f>VLOOKUP(B661&amp;C661,Divipola!$C$2:$F$1138,4,FALSE)</f>
        <v>19780</v>
      </c>
      <c r="F661" s="163"/>
      <c r="G661" s="163"/>
      <c r="H661" s="163"/>
      <c r="I661" s="163">
        <v>60</v>
      </c>
      <c r="J661" s="163">
        <v>12</v>
      </c>
      <c r="K661" s="163">
        <v>1</v>
      </c>
      <c r="L661" s="163">
        <v>11</v>
      </c>
      <c r="M661" s="163"/>
      <c r="N661" s="163"/>
      <c r="O661" s="163"/>
      <c r="P661" s="163"/>
      <c r="Q661" s="163"/>
      <c r="R661" s="163"/>
      <c r="S661" s="163"/>
      <c r="T661" s="163"/>
      <c r="U661" s="163"/>
      <c r="V661" s="134"/>
      <c r="W661" s="96">
        <v>0</v>
      </c>
      <c r="X661" s="71">
        <f>CU661</f>
        <v>0</v>
      </c>
      <c r="Y661" s="71">
        <f>CY661</f>
        <v>0</v>
      </c>
      <c r="Z661" s="71">
        <f>DA661+DC661+DE661</f>
        <v>69689801.400000006</v>
      </c>
      <c r="AA661" s="71">
        <f>CW661</f>
        <v>0</v>
      </c>
      <c r="AB661" s="71"/>
      <c r="AC661" s="71">
        <v>0</v>
      </c>
      <c r="AD661" s="71">
        <f>W661+X661+Y661+Z661+AA661+AB661+AC661</f>
        <v>69689801.400000006</v>
      </c>
      <c r="AE661" s="72">
        <v>0</v>
      </c>
      <c r="AF661" s="5"/>
      <c r="AG661" s="6"/>
      <c r="AH661" s="27" t="s">
        <v>3390</v>
      </c>
      <c r="AI661" s="44" t="s">
        <v>3391</v>
      </c>
      <c r="AJ661" s="26"/>
      <c r="AK661" s="5"/>
      <c r="AL661" s="82" t="s">
        <v>3458</v>
      </c>
      <c r="AM661" s="76"/>
      <c r="AN661" s="76"/>
      <c r="AO661" s="76"/>
      <c r="AP661" s="76"/>
      <c r="AQ661" s="76"/>
      <c r="AR661" s="76"/>
      <c r="AS661" s="76"/>
      <c r="AT661" s="76"/>
      <c r="AU661" s="76"/>
      <c r="AV661" s="76"/>
      <c r="AW661" s="76"/>
      <c r="AX661" s="76">
        <f>+AW661*600000</f>
        <v>0</v>
      </c>
      <c r="AY661" s="76"/>
      <c r="AZ661" s="76">
        <f>+AY661*70000</f>
        <v>0</v>
      </c>
      <c r="BA661" s="76"/>
      <c r="BB661" s="76"/>
      <c r="BC661" s="76"/>
      <c r="BD661" s="76">
        <f>+BC661*30000</f>
        <v>0</v>
      </c>
      <c r="BE661" s="76"/>
      <c r="BF661" s="76"/>
      <c r="BG661" s="76"/>
      <c r="BH661" s="76"/>
      <c r="BI661" s="76"/>
      <c r="BJ661" s="76"/>
      <c r="BK661" s="76"/>
      <c r="BL661" s="76">
        <f>+BK661*31500</f>
        <v>0</v>
      </c>
      <c r="BM661" s="76"/>
      <c r="BN661" s="76"/>
      <c r="BO661" s="76"/>
      <c r="BP661" s="76"/>
      <c r="BQ661" s="76"/>
      <c r="BR661" s="76"/>
      <c r="BS661" s="76"/>
      <c r="BT661" s="76"/>
      <c r="BU661" s="76"/>
      <c r="BV661" s="76"/>
      <c r="BW661" s="76"/>
      <c r="BX661" s="76"/>
      <c r="BY661" s="76"/>
      <c r="BZ661" s="76"/>
      <c r="CA661" s="76"/>
      <c r="CB661" s="76"/>
      <c r="CC661" s="76"/>
      <c r="CD661" s="76"/>
      <c r="CE661" s="76"/>
      <c r="CF661" s="76">
        <f>+CE661*28000</f>
        <v>0</v>
      </c>
      <c r="CG661" s="76"/>
      <c r="CH661" s="76">
        <f>+CG661*22500</f>
        <v>0</v>
      </c>
      <c r="CI661" s="76"/>
      <c r="CJ661" s="76">
        <f>+CI661*26000</f>
        <v>0</v>
      </c>
      <c r="CK661" s="76"/>
      <c r="CL661" s="76"/>
      <c r="CM661" s="76"/>
      <c r="CN661" s="76">
        <f>+CM661*22000</f>
        <v>0</v>
      </c>
      <c r="CO661" s="76"/>
      <c r="CP661" s="76">
        <f>+CO661*46000</f>
        <v>0</v>
      </c>
      <c r="CQ661" s="76"/>
      <c r="CR661" s="76">
        <f>+CQ661*49000</f>
        <v>0</v>
      </c>
      <c r="CS661" s="76"/>
      <c r="CT661" s="76"/>
      <c r="CU661" s="56">
        <f>AN661+AP661+AR661+AT661+AV661+AX661+AZ661+BB661+BD661+BF661+BH661+BJ661+BL661+BN661+BP661+BR661+BT661+BV661+BX661+BZ661+CB661+CD661+CF661+CH661+CJ661+CL661+CN661+CP661+CR661+CT661</f>
        <v>0</v>
      </c>
      <c r="CV661" s="76"/>
      <c r="CW661" s="76">
        <f>+CV661*1100</f>
        <v>0</v>
      </c>
      <c r="CX661" s="76"/>
      <c r="CY661" s="76">
        <f>+CX661*106250</f>
        <v>0</v>
      </c>
      <c r="CZ661" s="86">
        <v>1000</v>
      </c>
      <c r="DA661" s="86">
        <f>1000*34499.56</f>
        <v>34499560</v>
      </c>
      <c r="DB661" s="86">
        <v>600</v>
      </c>
      <c r="DC661" s="86">
        <f>600*31999.76+3600*199.52</f>
        <v>19918128</v>
      </c>
      <c r="DD661" s="221" t="s">
        <v>3630</v>
      </c>
      <c r="DE661" s="223">
        <f>600*21499.44+120*16999.8+35*9499.24</f>
        <v>15272113.4</v>
      </c>
      <c r="DF661" s="166"/>
      <c r="DG661" s="134" t="s">
        <v>4066</v>
      </c>
      <c r="DH661" s="117"/>
      <c r="DI661" s="24"/>
      <c r="DJ661" s="24"/>
      <c r="DK661" s="24"/>
      <c r="DL661" s="24"/>
      <c r="DM661" s="24"/>
      <c r="DN661" s="24"/>
      <c r="DO661" s="24"/>
      <c r="DP661" s="24"/>
      <c r="DQ661" s="24"/>
      <c r="DR661" s="24"/>
      <c r="DS661" s="24"/>
      <c r="DT661" s="24"/>
      <c r="DU661" s="24"/>
    </row>
    <row r="662" spans="1:125" s="8" customFormat="1" ht="84" x14ac:dyDescent="0.2">
      <c r="A662" s="77">
        <v>41314</v>
      </c>
      <c r="B662" s="78" t="s">
        <v>2854</v>
      </c>
      <c r="C662" s="75" t="s">
        <v>1326</v>
      </c>
      <c r="D662" s="75" t="s">
        <v>3194</v>
      </c>
      <c r="E662" s="75" t="str">
        <f>VLOOKUP(B662&amp;C662,Divipola!$C$2:$F$1138,4,FALSE)</f>
        <v>19785</v>
      </c>
      <c r="F662" s="163"/>
      <c r="G662" s="163"/>
      <c r="H662" s="163"/>
      <c r="I662" s="163">
        <v>930</v>
      </c>
      <c r="J662" s="163">
        <v>186</v>
      </c>
      <c r="K662" s="163">
        <v>23</v>
      </c>
      <c r="L662" s="163">
        <v>163</v>
      </c>
      <c r="M662" s="163"/>
      <c r="N662" s="163"/>
      <c r="O662" s="163">
        <v>2</v>
      </c>
      <c r="P662" s="163"/>
      <c r="Q662" s="163"/>
      <c r="R662" s="163"/>
      <c r="S662" s="163">
        <v>2</v>
      </c>
      <c r="T662" s="163"/>
      <c r="U662" s="163"/>
      <c r="V662" s="134"/>
      <c r="W662" s="96">
        <v>0</v>
      </c>
      <c r="X662" s="71">
        <f>CU662</f>
        <v>0</v>
      </c>
      <c r="Y662" s="71">
        <f>CY662</f>
        <v>0</v>
      </c>
      <c r="Z662" s="71">
        <f>DA662+DC662+DE662</f>
        <v>486459758.5999999</v>
      </c>
      <c r="AA662" s="71">
        <f>CW662</f>
        <v>0</v>
      </c>
      <c r="AB662" s="71"/>
      <c r="AC662" s="71">
        <v>0</v>
      </c>
      <c r="AD662" s="71">
        <f>W662+X662+Y662+Z662+AA662+AB662+AC662</f>
        <v>486459758.5999999</v>
      </c>
      <c r="AE662" s="72">
        <v>0</v>
      </c>
      <c r="AF662" s="5"/>
      <c r="AG662" s="6"/>
      <c r="AH662" s="27" t="s">
        <v>3390</v>
      </c>
      <c r="AI662" s="44" t="s">
        <v>3391</v>
      </c>
      <c r="AJ662" s="26"/>
      <c r="AK662" s="5"/>
      <c r="AL662" s="82" t="s">
        <v>3458</v>
      </c>
      <c r="AM662" s="76"/>
      <c r="AN662" s="76"/>
      <c r="AO662" s="76"/>
      <c r="AP662" s="76"/>
      <c r="AQ662" s="76"/>
      <c r="AR662" s="76"/>
      <c r="AS662" s="76"/>
      <c r="AT662" s="76"/>
      <c r="AU662" s="76"/>
      <c r="AV662" s="76"/>
      <c r="AW662" s="76"/>
      <c r="AX662" s="76">
        <f>+AW662*600000</f>
        <v>0</v>
      </c>
      <c r="AY662" s="76"/>
      <c r="AZ662" s="76">
        <f>+AY662*70000</f>
        <v>0</v>
      </c>
      <c r="BA662" s="76"/>
      <c r="BB662" s="76"/>
      <c r="BC662" s="76"/>
      <c r="BD662" s="76">
        <f>+BC662*30000</f>
        <v>0</v>
      </c>
      <c r="BE662" s="76"/>
      <c r="BF662" s="76"/>
      <c r="BG662" s="76"/>
      <c r="BH662" s="76"/>
      <c r="BI662" s="76"/>
      <c r="BJ662" s="76"/>
      <c r="BK662" s="76"/>
      <c r="BL662" s="76">
        <f>+BK662*31500</f>
        <v>0</v>
      </c>
      <c r="BM662" s="76"/>
      <c r="BN662" s="76"/>
      <c r="BO662" s="76"/>
      <c r="BP662" s="76"/>
      <c r="BQ662" s="76"/>
      <c r="BR662" s="76"/>
      <c r="BS662" s="76"/>
      <c r="BT662" s="76"/>
      <c r="BU662" s="76"/>
      <c r="BV662" s="76"/>
      <c r="BW662" s="76"/>
      <c r="BX662" s="76"/>
      <c r="BY662" s="76"/>
      <c r="BZ662" s="76"/>
      <c r="CA662" s="76"/>
      <c r="CB662" s="76"/>
      <c r="CC662" s="76"/>
      <c r="CD662" s="76"/>
      <c r="CE662" s="76"/>
      <c r="CF662" s="76">
        <f>+CE662*28000</f>
        <v>0</v>
      </c>
      <c r="CG662" s="76"/>
      <c r="CH662" s="76">
        <f>+CG662*22500</f>
        <v>0</v>
      </c>
      <c r="CI662" s="76"/>
      <c r="CJ662" s="76">
        <f>+CI662*26000</f>
        <v>0</v>
      </c>
      <c r="CK662" s="76"/>
      <c r="CL662" s="76"/>
      <c r="CM662" s="76"/>
      <c r="CN662" s="76">
        <f>+CM662*22000</f>
        <v>0</v>
      </c>
      <c r="CO662" s="76"/>
      <c r="CP662" s="76">
        <f>+CO662*46000</f>
        <v>0</v>
      </c>
      <c r="CQ662" s="76"/>
      <c r="CR662" s="76">
        <f>+CQ662*49000</f>
        <v>0</v>
      </c>
      <c r="CS662" s="76"/>
      <c r="CT662" s="76"/>
      <c r="CU662" s="56">
        <f>AN662+AP662+AR662+AT662+AV662+AX662+AZ662+BB662+BD662+BF662+BH662+BJ662+BL662+BN662+BP662+BR662+BT662+BV662+BX662+BZ662+CB662+CD662+CF662+CH662+CJ662+CL662+CN662+CP662+CR662+CT662</f>
        <v>0</v>
      </c>
      <c r="CV662" s="76"/>
      <c r="CW662" s="76">
        <f>+CV662*1100</f>
        <v>0</v>
      </c>
      <c r="CX662" s="76"/>
      <c r="CY662" s="76">
        <f>+CX662*106250</f>
        <v>0</v>
      </c>
      <c r="CZ662" s="86">
        <v>5559</v>
      </c>
      <c r="DA662" s="86">
        <f>5559*34499.56</f>
        <v>191783054.03999999</v>
      </c>
      <c r="DB662" s="86">
        <f>458+152+1198+676</f>
        <v>2484</v>
      </c>
      <c r="DC662" s="86">
        <f>458*31999.76+152*30999.84+1198*40999.04+676*39799.6+12156*199.52+2748*199.52</f>
        <v>98362891.359999999</v>
      </c>
      <c r="DD662" s="221" t="s">
        <v>3623</v>
      </c>
      <c r="DE662" s="223">
        <f>15000*2780+6756*14999.96+2183*21499.44+919*6899.68</f>
        <v>196313813.19999996</v>
      </c>
      <c r="DF662" s="166"/>
      <c r="DG662" s="192" t="s">
        <v>4067</v>
      </c>
      <c r="DH662" s="117"/>
      <c r="DI662" s="24"/>
      <c r="DJ662" s="24"/>
      <c r="DK662" s="24"/>
      <c r="DL662" s="24"/>
      <c r="DM662" s="24"/>
      <c r="DN662" s="24"/>
      <c r="DO662" s="24"/>
      <c r="DP662" s="24"/>
      <c r="DQ662" s="24"/>
      <c r="DR662" s="24"/>
      <c r="DS662" s="24"/>
      <c r="DT662" s="24"/>
      <c r="DU662" s="24"/>
    </row>
    <row r="663" spans="1:125" s="8" customFormat="1" ht="84" x14ac:dyDescent="0.2">
      <c r="A663" s="77">
        <v>41314</v>
      </c>
      <c r="B663" s="78" t="s">
        <v>2854</v>
      </c>
      <c r="C663" s="75" t="s">
        <v>491</v>
      </c>
      <c r="D663" s="75" t="s">
        <v>3194</v>
      </c>
      <c r="E663" s="75" t="str">
        <f>VLOOKUP(B663&amp;C663,Divipola!$C$2:$F$1138,4,FALSE)</f>
        <v>19807</v>
      </c>
      <c r="F663" s="163"/>
      <c r="G663" s="163"/>
      <c r="H663" s="163"/>
      <c r="I663" s="163">
        <v>2655</v>
      </c>
      <c r="J663" s="163">
        <v>531</v>
      </c>
      <c r="K663" s="163"/>
      <c r="L663" s="163">
        <v>531</v>
      </c>
      <c r="M663" s="163"/>
      <c r="N663" s="163"/>
      <c r="O663" s="163"/>
      <c r="P663" s="163"/>
      <c r="Q663" s="163"/>
      <c r="R663" s="163"/>
      <c r="S663" s="163">
        <v>2</v>
      </c>
      <c r="T663" s="163">
        <v>8</v>
      </c>
      <c r="U663" s="163"/>
      <c r="V663" s="134"/>
      <c r="W663" s="96">
        <v>0</v>
      </c>
      <c r="X663" s="71">
        <f>CU663</f>
        <v>0</v>
      </c>
      <c r="Y663" s="71">
        <f>CY663</f>
        <v>0</v>
      </c>
      <c r="Z663" s="71">
        <f>DA663+DC663+DE663</f>
        <v>698653088.20000005</v>
      </c>
      <c r="AA663" s="71">
        <f>CW663</f>
        <v>0</v>
      </c>
      <c r="AB663" s="71"/>
      <c r="AC663" s="71">
        <v>0</v>
      </c>
      <c r="AD663" s="71">
        <f>W663+X663+Y663+Z663+AA663+AB663+AC663</f>
        <v>698653088.20000005</v>
      </c>
      <c r="AE663" s="72">
        <v>0</v>
      </c>
      <c r="AF663" s="5"/>
      <c r="AG663" s="6"/>
      <c r="AH663" s="27" t="s">
        <v>3390</v>
      </c>
      <c r="AI663" s="44" t="s">
        <v>3391</v>
      </c>
      <c r="AJ663" s="26"/>
      <c r="AK663" s="5"/>
      <c r="AL663" s="82" t="s">
        <v>3458</v>
      </c>
      <c r="AM663" s="76"/>
      <c r="AN663" s="76"/>
      <c r="AO663" s="76"/>
      <c r="AP663" s="76"/>
      <c r="AQ663" s="76"/>
      <c r="AR663" s="76"/>
      <c r="AS663" s="76"/>
      <c r="AT663" s="76"/>
      <c r="AU663" s="76"/>
      <c r="AV663" s="76"/>
      <c r="AW663" s="76"/>
      <c r="AX663" s="76">
        <f>+AW663*600000</f>
        <v>0</v>
      </c>
      <c r="AY663" s="76"/>
      <c r="AZ663" s="76">
        <f>+AY663*70000</f>
        <v>0</v>
      </c>
      <c r="BA663" s="76"/>
      <c r="BB663" s="76"/>
      <c r="BC663" s="76"/>
      <c r="BD663" s="76">
        <f>+BC663*30000</f>
        <v>0</v>
      </c>
      <c r="BE663" s="76"/>
      <c r="BF663" s="76"/>
      <c r="BG663" s="76"/>
      <c r="BH663" s="76"/>
      <c r="BI663" s="76"/>
      <c r="BJ663" s="76"/>
      <c r="BK663" s="76"/>
      <c r="BL663" s="76">
        <f>+BK663*31500</f>
        <v>0</v>
      </c>
      <c r="BM663" s="76"/>
      <c r="BN663" s="76"/>
      <c r="BO663" s="76"/>
      <c r="BP663" s="76"/>
      <c r="BQ663" s="76"/>
      <c r="BR663" s="76"/>
      <c r="BS663" s="76"/>
      <c r="BT663" s="76"/>
      <c r="BU663" s="76"/>
      <c r="BV663" s="76"/>
      <c r="BW663" s="76"/>
      <c r="BX663" s="76"/>
      <c r="BY663" s="76"/>
      <c r="BZ663" s="76"/>
      <c r="CA663" s="76"/>
      <c r="CB663" s="76"/>
      <c r="CC663" s="76"/>
      <c r="CD663" s="76"/>
      <c r="CE663" s="76"/>
      <c r="CF663" s="76">
        <f>+CE663*28000</f>
        <v>0</v>
      </c>
      <c r="CG663" s="76"/>
      <c r="CH663" s="76">
        <f>+CG663*22500</f>
        <v>0</v>
      </c>
      <c r="CI663" s="76"/>
      <c r="CJ663" s="76">
        <f>+CI663*26000</f>
        <v>0</v>
      </c>
      <c r="CK663" s="76"/>
      <c r="CL663" s="76"/>
      <c r="CM663" s="76"/>
      <c r="CN663" s="76">
        <f>+CM663*22000</f>
        <v>0</v>
      </c>
      <c r="CO663" s="76"/>
      <c r="CP663" s="76">
        <f>+CO663*46000</f>
        <v>0</v>
      </c>
      <c r="CQ663" s="76"/>
      <c r="CR663" s="76">
        <f>+CQ663*49000</f>
        <v>0</v>
      </c>
      <c r="CS663" s="76"/>
      <c r="CT663" s="76"/>
      <c r="CU663" s="56">
        <f>AN663+AP663+AR663+AT663+AV663+AX663+AZ663+BB663+BD663+BF663+BH663+BJ663+BL663+BN663+BP663+BR663+BT663+BV663+BX663+BZ663+CB663+CD663+CF663+CH663+CJ663+CL663+CN663+CP663+CR663+CT663</f>
        <v>0</v>
      </c>
      <c r="CV663" s="76"/>
      <c r="CW663" s="76">
        <f>+CV663*1100</f>
        <v>0</v>
      </c>
      <c r="CX663" s="76"/>
      <c r="CY663" s="76">
        <f>+CX663*106250</f>
        <v>0</v>
      </c>
      <c r="CZ663" s="86">
        <v>6000</v>
      </c>
      <c r="DA663" s="86">
        <f>6000*29499.96</f>
        <v>176999760</v>
      </c>
      <c r="DB663" s="86">
        <f>2000+3500+3500+820</f>
        <v>9820</v>
      </c>
      <c r="DC663" s="86">
        <f>2000*31999.76+8000*199.52+3500*40999.04+3500*52639.64+28000*3359.36+820*40319.28</f>
        <v>520454949.60000002</v>
      </c>
      <c r="DD663" s="221" t="s">
        <v>3631</v>
      </c>
      <c r="DE663" s="223">
        <f>25*13439.76+25*20159.64+80*4479.92</f>
        <v>1198378.6000000001</v>
      </c>
      <c r="DF663" s="166"/>
      <c r="DG663" s="134" t="s">
        <v>4820</v>
      </c>
      <c r="DH663" s="117"/>
      <c r="DI663" s="24"/>
      <c r="DJ663" s="24"/>
      <c r="DK663" s="24"/>
      <c r="DL663" s="24"/>
      <c r="DM663" s="24"/>
      <c r="DN663" s="24"/>
      <c r="DO663" s="24"/>
      <c r="DP663" s="24"/>
      <c r="DQ663" s="24"/>
      <c r="DR663" s="24"/>
      <c r="DS663" s="24"/>
      <c r="DT663" s="24"/>
      <c r="DU663" s="24"/>
    </row>
    <row r="664" spans="1:125" s="8" customFormat="1" ht="132" x14ac:dyDescent="0.2">
      <c r="A664" s="77">
        <v>41314</v>
      </c>
      <c r="B664" s="78" t="s">
        <v>2854</v>
      </c>
      <c r="C664" s="75" t="s">
        <v>881</v>
      </c>
      <c r="D664" s="75" t="s">
        <v>3194</v>
      </c>
      <c r="E664" s="75" t="str">
        <f>VLOOKUP(B664&amp;C664,Divipola!$C$2:$F$1138,4,FALSE)</f>
        <v>19809</v>
      </c>
      <c r="F664" s="163"/>
      <c r="G664" s="163">
        <v>1</v>
      </c>
      <c r="H664" s="163"/>
      <c r="I664" s="163">
        <v>2080</v>
      </c>
      <c r="J664" s="163">
        <v>416</v>
      </c>
      <c r="K664" s="163">
        <v>13</v>
      </c>
      <c r="L664" s="163">
        <v>403</v>
      </c>
      <c r="M664" s="163"/>
      <c r="N664" s="163"/>
      <c r="O664" s="163"/>
      <c r="P664" s="163"/>
      <c r="Q664" s="163"/>
      <c r="R664" s="163"/>
      <c r="S664" s="163">
        <v>20</v>
      </c>
      <c r="T664" s="163"/>
      <c r="U664" s="163"/>
      <c r="V664" s="134"/>
      <c r="W664" s="96">
        <v>0</v>
      </c>
      <c r="X664" s="71">
        <f>CU664</f>
        <v>0</v>
      </c>
      <c r="Y664" s="71">
        <f>CY664</f>
        <v>0</v>
      </c>
      <c r="Z664" s="71">
        <f>DA664+DC664+DE664</f>
        <v>1745807125.04</v>
      </c>
      <c r="AA664" s="71">
        <f>CW664</f>
        <v>0</v>
      </c>
      <c r="AB664" s="71"/>
      <c r="AC664" s="71">
        <v>0</v>
      </c>
      <c r="AD664" s="71">
        <f>W664+X664+Y664+Z664+AA664+AB664+AC664</f>
        <v>1745807125.04</v>
      </c>
      <c r="AE664" s="72">
        <v>0</v>
      </c>
      <c r="AF664" s="5"/>
      <c r="AG664" s="6"/>
      <c r="AH664" s="27" t="s">
        <v>3390</v>
      </c>
      <c r="AI664" s="44" t="s">
        <v>3391</v>
      </c>
      <c r="AJ664" s="26"/>
      <c r="AK664" s="5"/>
      <c r="AL664" s="82" t="s">
        <v>3458</v>
      </c>
      <c r="AM664" s="76"/>
      <c r="AN664" s="76"/>
      <c r="AO664" s="76"/>
      <c r="AP664" s="76"/>
      <c r="AQ664" s="76"/>
      <c r="AR664" s="76"/>
      <c r="AS664" s="76"/>
      <c r="AT664" s="76"/>
      <c r="AU664" s="76"/>
      <c r="AV664" s="76"/>
      <c r="AW664" s="76"/>
      <c r="AX664" s="76">
        <f>+AW664*600000</f>
        <v>0</v>
      </c>
      <c r="AY664" s="76"/>
      <c r="AZ664" s="76">
        <f>+AY664*70000</f>
        <v>0</v>
      </c>
      <c r="BA664" s="76"/>
      <c r="BB664" s="76"/>
      <c r="BC664" s="76"/>
      <c r="BD664" s="76">
        <f>+BC664*30000</f>
        <v>0</v>
      </c>
      <c r="BE664" s="76"/>
      <c r="BF664" s="76"/>
      <c r="BG664" s="76"/>
      <c r="BH664" s="76"/>
      <c r="BI664" s="76"/>
      <c r="BJ664" s="76"/>
      <c r="BK664" s="76"/>
      <c r="BL664" s="76">
        <f>+BK664*31500</f>
        <v>0</v>
      </c>
      <c r="BM664" s="76"/>
      <c r="BN664" s="76"/>
      <c r="BO664" s="76"/>
      <c r="BP664" s="76"/>
      <c r="BQ664" s="76"/>
      <c r="BR664" s="76"/>
      <c r="BS664" s="76"/>
      <c r="BT664" s="76"/>
      <c r="BU664" s="76"/>
      <c r="BV664" s="76"/>
      <c r="BW664" s="76"/>
      <c r="BX664" s="76"/>
      <c r="BY664" s="76"/>
      <c r="BZ664" s="76"/>
      <c r="CA664" s="76"/>
      <c r="CB664" s="76"/>
      <c r="CC664" s="76"/>
      <c r="CD664" s="76"/>
      <c r="CE664" s="76"/>
      <c r="CF664" s="76">
        <f>+CE664*28000</f>
        <v>0</v>
      </c>
      <c r="CG664" s="76"/>
      <c r="CH664" s="76">
        <f>+CG664*22500</f>
        <v>0</v>
      </c>
      <c r="CI664" s="76"/>
      <c r="CJ664" s="76">
        <f>+CI664*26000</f>
        <v>0</v>
      </c>
      <c r="CK664" s="76"/>
      <c r="CL664" s="76"/>
      <c r="CM664" s="76"/>
      <c r="CN664" s="76">
        <f>+CM664*22000</f>
        <v>0</v>
      </c>
      <c r="CO664" s="76"/>
      <c r="CP664" s="76">
        <f>+CO664*46000</f>
        <v>0</v>
      </c>
      <c r="CQ664" s="76"/>
      <c r="CR664" s="76">
        <f>+CQ664*49000</f>
        <v>0</v>
      </c>
      <c r="CS664" s="76"/>
      <c r="CT664" s="76"/>
      <c r="CU664" s="56">
        <f>AN664+AP664+AR664+AT664+AV664+AX664+AZ664+BB664+BD664+BF664+BH664+BJ664+BL664+BN664+BP664+BR664+BT664+BV664+BX664+BZ664+CB664+CD664+CF664+CH664+CJ664+CL664+CN664+CP664+CR664+CT664</f>
        <v>0</v>
      </c>
      <c r="CV664" s="76"/>
      <c r="CW664" s="76">
        <f>+CV664*1100</f>
        <v>0</v>
      </c>
      <c r="CX664" s="76"/>
      <c r="CY664" s="76">
        <f>+CX664*106250</f>
        <v>0</v>
      </c>
      <c r="CZ664" s="86">
        <f>7396+1070</f>
        <v>8466</v>
      </c>
      <c r="DA664" s="86">
        <f>3396*34499.56+4000*34499.56+1070*34000</f>
        <v>291538745.75999999</v>
      </c>
      <c r="DB664" s="86">
        <f>7098+2360</f>
        <v>9458</v>
      </c>
      <c r="DC664" s="86">
        <f>3549*31999.76+3549*31999.76+2360*41440+21294*199.52+21294*199.52</f>
        <v>333429854.24000001</v>
      </c>
      <c r="DD664" s="221" t="s">
        <v>5059</v>
      </c>
      <c r="DE664" s="223">
        <f>65880*2780+65880*2780+9742*4399.88+9742*4399.88+3899*21499.44+3899*21499.44+85*519999+85*519999+2100*15000+776*28000+980*21500+320*240000+120*280000+1700*125000+160*44800+80*105000</f>
        <v>1120838525.04</v>
      </c>
      <c r="DF664" s="166"/>
      <c r="DG664" s="192" t="s">
        <v>5058</v>
      </c>
      <c r="DH664" s="117"/>
      <c r="DI664" s="24"/>
      <c r="DJ664" s="24"/>
      <c r="DK664" s="24"/>
      <c r="DL664" s="24"/>
      <c r="DM664" s="24"/>
      <c r="DN664" s="24"/>
      <c r="DO664" s="24"/>
      <c r="DP664" s="24"/>
      <c r="DQ664" s="24"/>
      <c r="DR664" s="24"/>
      <c r="DS664" s="24"/>
      <c r="DT664" s="24"/>
      <c r="DU664" s="24"/>
    </row>
    <row r="665" spans="1:125" s="8" customFormat="1" ht="84" x14ac:dyDescent="0.2">
      <c r="A665" s="77">
        <v>41314</v>
      </c>
      <c r="B665" s="78" t="s">
        <v>2854</v>
      </c>
      <c r="C665" s="75" t="s">
        <v>2769</v>
      </c>
      <c r="D665" s="75" t="s">
        <v>3194</v>
      </c>
      <c r="E665" s="75" t="str">
        <f>VLOOKUP(B665&amp;C665,Divipola!$C$2:$F$1138,4,FALSE)</f>
        <v>19824</v>
      </c>
      <c r="F665" s="163"/>
      <c r="G665" s="163"/>
      <c r="H665" s="163"/>
      <c r="I665" s="163">
        <v>240</v>
      </c>
      <c r="J665" s="163">
        <v>48</v>
      </c>
      <c r="K665" s="163"/>
      <c r="L665" s="163">
        <v>48</v>
      </c>
      <c r="M665" s="163"/>
      <c r="N665" s="163"/>
      <c r="O665" s="163"/>
      <c r="P665" s="163"/>
      <c r="Q665" s="163"/>
      <c r="R665" s="163"/>
      <c r="S665" s="163"/>
      <c r="T665" s="163"/>
      <c r="U665" s="163"/>
      <c r="V665" s="134"/>
      <c r="W665" s="96">
        <v>0</v>
      </c>
      <c r="X665" s="71">
        <f>CU665</f>
        <v>0</v>
      </c>
      <c r="Y665" s="71">
        <f>CY665</f>
        <v>0</v>
      </c>
      <c r="Z665" s="71">
        <f>DA665+DC665+DE665</f>
        <v>674075262.24000001</v>
      </c>
      <c r="AA665" s="71">
        <f>CW665</f>
        <v>0</v>
      </c>
      <c r="AB665" s="71"/>
      <c r="AC665" s="71">
        <v>0</v>
      </c>
      <c r="AD665" s="71">
        <f>W665+X665+Y665+Z665+AA665+AB665+AC665</f>
        <v>674075262.24000001</v>
      </c>
      <c r="AE665" s="72">
        <v>0</v>
      </c>
      <c r="AF665" s="5"/>
      <c r="AG665" s="6"/>
      <c r="AH665" s="27" t="s">
        <v>3390</v>
      </c>
      <c r="AI665" s="44" t="s">
        <v>3391</v>
      </c>
      <c r="AJ665" s="26"/>
      <c r="AK665" s="5"/>
      <c r="AL665" s="82" t="s">
        <v>3458</v>
      </c>
      <c r="AM665" s="76"/>
      <c r="AN665" s="76"/>
      <c r="AO665" s="76"/>
      <c r="AP665" s="76"/>
      <c r="AQ665" s="76"/>
      <c r="AR665" s="76"/>
      <c r="AS665" s="76"/>
      <c r="AT665" s="76"/>
      <c r="AU665" s="76"/>
      <c r="AV665" s="76"/>
      <c r="AW665" s="76"/>
      <c r="AX665" s="76">
        <f>+AW665*600000</f>
        <v>0</v>
      </c>
      <c r="AY665" s="76"/>
      <c r="AZ665" s="76">
        <f>+AY665*70000</f>
        <v>0</v>
      </c>
      <c r="BA665" s="76"/>
      <c r="BB665" s="76"/>
      <c r="BC665" s="76"/>
      <c r="BD665" s="76">
        <f>+BC665*30000</f>
        <v>0</v>
      </c>
      <c r="BE665" s="76"/>
      <c r="BF665" s="76"/>
      <c r="BG665" s="76"/>
      <c r="BH665" s="76"/>
      <c r="BI665" s="76"/>
      <c r="BJ665" s="76"/>
      <c r="BK665" s="76"/>
      <c r="BL665" s="76">
        <f>+BK665*31500</f>
        <v>0</v>
      </c>
      <c r="BM665" s="76"/>
      <c r="BN665" s="76"/>
      <c r="BO665" s="76"/>
      <c r="BP665" s="76"/>
      <c r="BQ665" s="76"/>
      <c r="BR665" s="76"/>
      <c r="BS665" s="76"/>
      <c r="BT665" s="76"/>
      <c r="BU665" s="76"/>
      <c r="BV665" s="76"/>
      <c r="BW665" s="76"/>
      <c r="BX665" s="76"/>
      <c r="BY665" s="76"/>
      <c r="BZ665" s="76"/>
      <c r="CA665" s="76"/>
      <c r="CB665" s="76"/>
      <c r="CC665" s="76"/>
      <c r="CD665" s="76"/>
      <c r="CE665" s="76"/>
      <c r="CF665" s="76">
        <f>+CE665*28000</f>
        <v>0</v>
      </c>
      <c r="CG665" s="76"/>
      <c r="CH665" s="76">
        <f>+CG665*22500</f>
        <v>0</v>
      </c>
      <c r="CI665" s="76"/>
      <c r="CJ665" s="76">
        <f>+CI665*26000</f>
        <v>0</v>
      </c>
      <c r="CK665" s="76"/>
      <c r="CL665" s="76"/>
      <c r="CM665" s="76"/>
      <c r="CN665" s="76">
        <f>+CM665*22000</f>
        <v>0</v>
      </c>
      <c r="CO665" s="76"/>
      <c r="CP665" s="76">
        <f>+CO665*46000</f>
        <v>0</v>
      </c>
      <c r="CQ665" s="76"/>
      <c r="CR665" s="76">
        <f>+CQ665*49000</f>
        <v>0</v>
      </c>
      <c r="CS665" s="76"/>
      <c r="CT665" s="76"/>
      <c r="CU665" s="56">
        <f>AN665+AP665+AR665+AT665+AV665+AX665+AZ665+BB665+BD665+BF665+BH665+BJ665+BL665+BN665+BP665+BR665+BT665+BV665+BX665+BZ665+CB665+CD665+CF665+CH665+CJ665+CL665+CN665+CP665+CR665+CT665</f>
        <v>0</v>
      </c>
      <c r="CV665" s="76"/>
      <c r="CW665" s="76">
        <f>+CV665*1100</f>
        <v>0</v>
      </c>
      <c r="CX665" s="76"/>
      <c r="CY665" s="76">
        <f>+CX665*106250</f>
        <v>0</v>
      </c>
      <c r="CZ665" s="86">
        <v>2728</v>
      </c>
      <c r="DA665" s="86">
        <f>2728*29499.96</f>
        <v>80475890.879999995</v>
      </c>
      <c r="DB665" s="86">
        <f>4800+2380</f>
        <v>7180</v>
      </c>
      <c r="DC665" s="86">
        <f>4800*30999.84+19200*3359.36+2380*40319.28</f>
        <v>309258830.39999998</v>
      </c>
      <c r="DD665" s="221" t="s">
        <v>3625</v>
      </c>
      <c r="DE665" s="223">
        <f>170000*1343.28+964*20159.64+1700*21499.44</f>
        <v>284340540.96000004</v>
      </c>
      <c r="DF665" s="166"/>
      <c r="DG665" s="134" t="s">
        <v>4820</v>
      </c>
      <c r="DH665" s="117"/>
      <c r="DI665" s="24"/>
      <c r="DJ665" s="24"/>
      <c r="DK665" s="24"/>
      <c r="DL665" s="24"/>
      <c r="DM665" s="24"/>
      <c r="DN665" s="24"/>
      <c r="DO665" s="24"/>
      <c r="DP665" s="24"/>
      <c r="DQ665" s="24"/>
      <c r="DR665" s="24"/>
      <c r="DS665" s="24"/>
      <c r="DT665" s="24"/>
      <c r="DU665" s="24"/>
    </row>
    <row r="666" spans="1:125" s="8" customFormat="1" ht="36" x14ac:dyDescent="0.2">
      <c r="A666" s="77">
        <v>41314</v>
      </c>
      <c r="B666" s="352" t="s">
        <v>2661</v>
      </c>
      <c r="C666" s="354" t="s">
        <v>2150</v>
      </c>
      <c r="D666" s="84" t="s">
        <v>3088</v>
      </c>
      <c r="E666" s="75" t="str">
        <f>VLOOKUP(B666&amp;C666,Divipola!$C$2:$F$1138,4,FALSE)</f>
        <v>41016</v>
      </c>
      <c r="F666" s="87"/>
      <c r="G666" s="87"/>
      <c r="H666" s="87"/>
      <c r="I666" s="87">
        <v>5</v>
      </c>
      <c r="J666" s="87">
        <v>1</v>
      </c>
      <c r="K666" s="87">
        <v>1</v>
      </c>
      <c r="L666" s="87"/>
      <c r="M666" s="87"/>
      <c r="N666" s="87"/>
      <c r="O666" s="87"/>
      <c r="P666" s="87"/>
      <c r="Q666" s="87"/>
      <c r="R666" s="87"/>
      <c r="S666" s="87"/>
      <c r="T666" s="87"/>
      <c r="U666" s="88"/>
      <c r="V666" s="89"/>
      <c r="W666" s="96">
        <v>0</v>
      </c>
      <c r="X666" s="71">
        <f>CU666</f>
        <v>0</v>
      </c>
      <c r="Y666" s="71">
        <f>CY666</f>
        <v>0</v>
      </c>
      <c r="Z666" s="71">
        <f>DA666+DC666+DE666</f>
        <v>0</v>
      </c>
      <c r="AA666" s="71">
        <f>CW666</f>
        <v>0</v>
      </c>
      <c r="AB666" s="71"/>
      <c r="AC666" s="71">
        <v>0</v>
      </c>
      <c r="AD666" s="71">
        <f>W666+X666+Y666+Z666+AA666+AB666+AC666</f>
        <v>0</v>
      </c>
      <c r="AE666" s="72">
        <v>0</v>
      </c>
      <c r="AF666" s="5"/>
      <c r="AG666" s="6"/>
      <c r="AH666" s="27" t="s">
        <v>3392</v>
      </c>
      <c r="AI666" s="44" t="s">
        <v>3393</v>
      </c>
      <c r="AJ666" s="26"/>
      <c r="AK666" s="5"/>
      <c r="AL666" s="82" t="s">
        <v>3725</v>
      </c>
      <c r="AM666" s="76"/>
      <c r="AN666" s="76"/>
      <c r="AO666" s="76"/>
      <c r="AP666" s="76"/>
      <c r="AQ666" s="76"/>
      <c r="AR666" s="76"/>
      <c r="AS666" s="76"/>
      <c r="AT666" s="76"/>
      <c r="AU666" s="76"/>
      <c r="AV666" s="76"/>
      <c r="AW666" s="76"/>
      <c r="AX666" s="76">
        <f>+AW666*600000</f>
        <v>0</v>
      </c>
      <c r="AY666" s="76"/>
      <c r="AZ666" s="76">
        <f>+AY666*70000</f>
        <v>0</v>
      </c>
      <c r="BA666" s="76"/>
      <c r="BB666" s="76"/>
      <c r="BC666" s="76"/>
      <c r="BD666" s="76">
        <f>+BC666*30000</f>
        <v>0</v>
      </c>
      <c r="BE666" s="76"/>
      <c r="BF666" s="76"/>
      <c r="BG666" s="76"/>
      <c r="BH666" s="76"/>
      <c r="BI666" s="76"/>
      <c r="BJ666" s="76"/>
      <c r="BK666" s="76"/>
      <c r="BL666" s="76">
        <f>+BK666*31500</f>
        <v>0</v>
      </c>
      <c r="BM666" s="76"/>
      <c r="BN666" s="76"/>
      <c r="BO666" s="76"/>
      <c r="BP666" s="76"/>
      <c r="BQ666" s="76"/>
      <c r="BR666" s="76"/>
      <c r="BS666" s="76"/>
      <c r="BT666" s="76"/>
      <c r="BU666" s="76"/>
      <c r="BV666" s="76"/>
      <c r="BW666" s="76"/>
      <c r="BX666" s="76"/>
      <c r="BY666" s="76"/>
      <c r="BZ666" s="76"/>
      <c r="CA666" s="76"/>
      <c r="CB666" s="76"/>
      <c r="CC666" s="76"/>
      <c r="CD666" s="76"/>
      <c r="CE666" s="76"/>
      <c r="CF666" s="76">
        <f>+CE666*28000</f>
        <v>0</v>
      </c>
      <c r="CG666" s="76"/>
      <c r="CH666" s="76">
        <f>+CG666*22500</f>
        <v>0</v>
      </c>
      <c r="CI666" s="76"/>
      <c r="CJ666" s="76">
        <f>+CI666*26000</f>
        <v>0</v>
      </c>
      <c r="CK666" s="76"/>
      <c r="CL666" s="76"/>
      <c r="CM666" s="76"/>
      <c r="CN666" s="76">
        <f>+CM666*22000</f>
        <v>0</v>
      </c>
      <c r="CO666" s="76"/>
      <c r="CP666" s="76">
        <f>+CO666*46000</f>
        <v>0</v>
      </c>
      <c r="CQ666" s="76"/>
      <c r="CR666" s="76">
        <f>+CQ666*49000</f>
        <v>0</v>
      </c>
      <c r="CS666" s="76"/>
      <c r="CT666" s="76"/>
      <c r="CU666" s="56">
        <f>AN666+AP666+AR666+AT666+AV666+AX666+AZ666+BB666+BD666+BF666+BH666+BJ666+BL666+BN666+BP666+BR666+BT666+BV666+BX666+BZ666+CB666+CD666+CF666+CH666+CJ666+CL666+CN666+CP666+CR666+CT666</f>
        <v>0</v>
      </c>
      <c r="CV666" s="76"/>
      <c r="CW666" s="76">
        <f>+CV666*1100</f>
        <v>0</v>
      </c>
      <c r="CX666" s="76"/>
      <c r="CY666" s="76">
        <f>+CX666*106250</f>
        <v>0</v>
      </c>
      <c r="CZ666" s="76"/>
      <c r="DA666" s="76">
        <f>+CZ666*34500</f>
        <v>0</v>
      </c>
      <c r="DB666" s="76"/>
      <c r="DC666" s="76">
        <f>+DB666*25000</f>
        <v>0</v>
      </c>
      <c r="DD666" s="219"/>
      <c r="DE666" s="219"/>
      <c r="DF666" s="166"/>
      <c r="DG666" s="116"/>
      <c r="DH666" s="117"/>
      <c r="DI666" s="24"/>
      <c r="DJ666" s="24"/>
      <c r="DK666" s="24"/>
      <c r="DL666" s="24"/>
      <c r="DM666" s="24"/>
      <c r="DN666" s="24"/>
      <c r="DO666" s="24"/>
      <c r="DP666" s="24"/>
      <c r="DQ666" s="24"/>
      <c r="DR666" s="24"/>
      <c r="DS666" s="24"/>
      <c r="DT666" s="24"/>
      <c r="DU666" s="24"/>
    </row>
    <row r="667" spans="1:125" s="8" customFormat="1" ht="84" x14ac:dyDescent="0.2">
      <c r="A667" s="77">
        <v>41314</v>
      </c>
      <c r="B667" s="352" t="s">
        <v>2661</v>
      </c>
      <c r="C667" s="354" t="s">
        <v>2150</v>
      </c>
      <c r="D667" s="75" t="s">
        <v>3051</v>
      </c>
      <c r="E667" s="75" t="str">
        <f>VLOOKUP(B667&amp;C667,Divipola!$C$2:$F$1138,4,FALSE)</f>
        <v>41016</v>
      </c>
      <c r="F667" s="87"/>
      <c r="G667" s="87"/>
      <c r="H667" s="87"/>
      <c r="I667" s="87">
        <v>75</v>
      </c>
      <c r="J667" s="87">
        <v>15</v>
      </c>
      <c r="K667" s="87"/>
      <c r="L667" s="87">
        <v>14</v>
      </c>
      <c r="M667" s="87"/>
      <c r="N667" s="87"/>
      <c r="O667" s="87"/>
      <c r="P667" s="87"/>
      <c r="Q667" s="87"/>
      <c r="R667" s="87"/>
      <c r="S667" s="87"/>
      <c r="T667" s="87"/>
      <c r="U667" s="88">
        <v>0.5</v>
      </c>
      <c r="V667" s="89">
        <v>90</v>
      </c>
      <c r="W667" s="96">
        <v>0</v>
      </c>
      <c r="X667" s="71">
        <f>CU667</f>
        <v>0</v>
      </c>
      <c r="Y667" s="71">
        <f>CY667</f>
        <v>0</v>
      </c>
      <c r="Z667" s="71">
        <f>DA667+DC667+DE667</f>
        <v>0</v>
      </c>
      <c r="AA667" s="71">
        <f>CW667</f>
        <v>0</v>
      </c>
      <c r="AB667" s="71"/>
      <c r="AC667" s="71">
        <v>0</v>
      </c>
      <c r="AD667" s="71">
        <f>W667+X667+Y667+Z667+AA667+AB667+AC667</f>
        <v>0</v>
      </c>
      <c r="AE667" s="72">
        <v>0</v>
      </c>
      <c r="AF667" s="5"/>
      <c r="AG667" s="6"/>
      <c r="AH667" s="27" t="s">
        <v>3392</v>
      </c>
      <c r="AI667" s="44" t="s">
        <v>3393</v>
      </c>
      <c r="AJ667" s="26"/>
      <c r="AK667" s="5"/>
      <c r="AL667" s="82" t="s">
        <v>3724</v>
      </c>
      <c r="AM667" s="76"/>
      <c r="AN667" s="76"/>
      <c r="AO667" s="76"/>
      <c r="AP667" s="76"/>
      <c r="AQ667" s="76"/>
      <c r="AR667" s="76"/>
      <c r="AS667" s="76"/>
      <c r="AT667" s="76"/>
      <c r="AU667" s="76"/>
      <c r="AV667" s="76"/>
      <c r="AW667" s="76"/>
      <c r="AX667" s="76">
        <f>+AW667*600000</f>
        <v>0</v>
      </c>
      <c r="AY667" s="76"/>
      <c r="AZ667" s="76">
        <f>+AY667*70000</f>
        <v>0</v>
      </c>
      <c r="BA667" s="76"/>
      <c r="BB667" s="76"/>
      <c r="BC667" s="76"/>
      <c r="BD667" s="76">
        <f>+BC667*30000</f>
        <v>0</v>
      </c>
      <c r="BE667" s="76"/>
      <c r="BF667" s="76"/>
      <c r="BG667" s="76"/>
      <c r="BH667" s="76"/>
      <c r="BI667" s="76"/>
      <c r="BJ667" s="76"/>
      <c r="BK667" s="76"/>
      <c r="BL667" s="76">
        <f>+BK667*31500</f>
        <v>0</v>
      </c>
      <c r="BM667" s="76"/>
      <c r="BN667" s="76"/>
      <c r="BO667" s="76"/>
      <c r="BP667" s="76"/>
      <c r="BQ667" s="76"/>
      <c r="BR667" s="76"/>
      <c r="BS667" s="76"/>
      <c r="BT667" s="76"/>
      <c r="BU667" s="76"/>
      <c r="BV667" s="76"/>
      <c r="BW667" s="76"/>
      <c r="BX667" s="76"/>
      <c r="BY667" s="76"/>
      <c r="BZ667" s="76"/>
      <c r="CA667" s="76"/>
      <c r="CB667" s="76"/>
      <c r="CC667" s="76"/>
      <c r="CD667" s="76"/>
      <c r="CE667" s="76"/>
      <c r="CF667" s="76">
        <f>+CE667*28000</f>
        <v>0</v>
      </c>
      <c r="CG667" s="76"/>
      <c r="CH667" s="76">
        <f>+CG667*22500</f>
        <v>0</v>
      </c>
      <c r="CI667" s="76"/>
      <c r="CJ667" s="76">
        <f>+CI667*26000</f>
        <v>0</v>
      </c>
      <c r="CK667" s="76"/>
      <c r="CL667" s="76"/>
      <c r="CM667" s="76"/>
      <c r="CN667" s="76">
        <f>+CM667*22000</f>
        <v>0</v>
      </c>
      <c r="CO667" s="76"/>
      <c r="CP667" s="76">
        <f>+CO667*46000</f>
        <v>0</v>
      </c>
      <c r="CQ667" s="76"/>
      <c r="CR667" s="76">
        <f>+CQ667*49000</f>
        <v>0</v>
      </c>
      <c r="CS667" s="76"/>
      <c r="CT667" s="76"/>
      <c r="CU667" s="56">
        <f>AN667+AP667+AR667+AT667+AV667+AX667+AZ667+BB667+BD667+BF667+BH667+BJ667+BL667+BN667+BP667+BR667+BT667+BV667+BX667+BZ667+CB667+CD667+CF667+CH667+CJ667+CL667+CN667+CP667+CR667+CT667</f>
        <v>0</v>
      </c>
      <c r="CV667" s="76"/>
      <c r="CW667" s="76">
        <f>+CV667*1100</f>
        <v>0</v>
      </c>
      <c r="CX667" s="76"/>
      <c r="CY667" s="76">
        <f>+CX667*106250</f>
        <v>0</v>
      </c>
      <c r="CZ667" s="76"/>
      <c r="DA667" s="76">
        <f>+CZ667*34500</f>
        <v>0</v>
      </c>
      <c r="DB667" s="76"/>
      <c r="DC667" s="76">
        <f>+DB667*25000</f>
        <v>0</v>
      </c>
      <c r="DD667" s="219"/>
      <c r="DE667" s="219"/>
      <c r="DF667" s="166"/>
      <c r="DG667" s="116"/>
      <c r="DH667" s="117"/>
      <c r="DI667" s="24"/>
      <c r="DJ667" s="24"/>
      <c r="DK667" s="24"/>
      <c r="DL667" s="24"/>
      <c r="DM667" s="24"/>
      <c r="DN667" s="24"/>
      <c r="DO667" s="24"/>
      <c r="DP667" s="24"/>
      <c r="DQ667" s="24"/>
      <c r="DR667" s="24"/>
      <c r="DS667" s="24"/>
      <c r="DT667" s="24"/>
      <c r="DU667" s="24"/>
    </row>
    <row r="668" spans="1:125" s="8" customFormat="1" ht="84" x14ac:dyDescent="0.2">
      <c r="A668" s="77">
        <v>41314</v>
      </c>
      <c r="B668" s="78" t="s">
        <v>2661</v>
      </c>
      <c r="C668" s="75" t="s">
        <v>2169</v>
      </c>
      <c r="D668" s="84" t="s">
        <v>3088</v>
      </c>
      <c r="E668" s="75" t="str">
        <f>VLOOKUP(B668&amp;C668,Divipola!$C$2:$F$1138,4,FALSE)</f>
        <v>41001</v>
      </c>
      <c r="F668" s="87">
        <v>1</v>
      </c>
      <c r="G668" s="87"/>
      <c r="H668" s="87"/>
      <c r="I668" s="87">
        <v>2335</v>
      </c>
      <c r="J668" s="87">
        <v>467</v>
      </c>
      <c r="K668" s="87">
        <v>45</v>
      </c>
      <c r="L668" s="87">
        <v>328</v>
      </c>
      <c r="M668" s="87">
        <v>2</v>
      </c>
      <c r="N668" s="87"/>
      <c r="O668" s="87"/>
      <c r="P668" s="87">
        <v>12</v>
      </c>
      <c r="Q668" s="87"/>
      <c r="R668" s="87"/>
      <c r="S668" s="87"/>
      <c r="T668" s="87"/>
      <c r="U668" s="88">
        <v>375</v>
      </c>
      <c r="V668" s="89"/>
      <c r="W668" s="96">
        <v>0</v>
      </c>
      <c r="X668" s="71">
        <f>CU668</f>
        <v>0</v>
      </c>
      <c r="Y668" s="71">
        <f>CY668</f>
        <v>0</v>
      </c>
      <c r="Z668" s="71">
        <f>DA668+DC668+DE668</f>
        <v>0</v>
      </c>
      <c r="AA668" s="71">
        <f>CW668</f>
        <v>0</v>
      </c>
      <c r="AB668" s="71"/>
      <c r="AC668" s="71">
        <v>0</v>
      </c>
      <c r="AD668" s="71">
        <f>W668+X668+Y668+Z668+AA668+AB668+AC668</f>
        <v>0</v>
      </c>
      <c r="AE668" s="72">
        <v>0</v>
      </c>
      <c r="AF668" s="5"/>
      <c r="AG668" s="6"/>
      <c r="AH668" s="27" t="s">
        <v>3392</v>
      </c>
      <c r="AI668" s="44" t="s">
        <v>3393</v>
      </c>
      <c r="AJ668" s="26"/>
      <c r="AK668" s="5"/>
      <c r="AL668" s="82" t="s">
        <v>3702</v>
      </c>
      <c r="AM668" s="76"/>
      <c r="AN668" s="76"/>
      <c r="AO668" s="76"/>
      <c r="AP668" s="76"/>
      <c r="AQ668" s="76"/>
      <c r="AR668" s="76"/>
      <c r="AS668" s="76"/>
      <c r="AT668" s="76"/>
      <c r="AU668" s="76"/>
      <c r="AV668" s="76"/>
      <c r="AW668" s="76"/>
      <c r="AX668" s="76">
        <f>+AW668*600000</f>
        <v>0</v>
      </c>
      <c r="AY668" s="76"/>
      <c r="AZ668" s="76">
        <f>+AY668*70000</f>
        <v>0</v>
      </c>
      <c r="BA668" s="76"/>
      <c r="BB668" s="76"/>
      <c r="BC668" s="76"/>
      <c r="BD668" s="76">
        <f>+BC668*30000</f>
        <v>0</v>
      </c>
      <c r="BE668" s="76"/>
      <c r="BF668" s="76"/>
      <c r="BG668" s="76"/>
      <c r="BH668" s="76"/>
      <c r="BI668" s="76"/>
      <c r="BJ668" s="76"/>
      <c r="BK668" s="76"/>
      <c r="BL668" s="76">
        <f>+BK668*31500</f>
        <v>0</v>
      </c>
      <c r="BM668" s="76"/>
      <c r="BN668" s="76"/>
      <c r="BO668" s="76"/>
      <c r="BP668" s="76"/>
      <c r="BQ668" s="76"/>
      <c r="BR668" s="76"/>
      <c r="BS668" s="76"/>
      <c r="BT668" s="76"/>
      <c r="BU668" s="76"/>
      <c r="BV668" s="76"/>
      <c r="BW668" s="76"/>
      <c r="BX668" s="76"/>
      <c r="BY668" s="76"/>
      <c r="BZ668" s="76"/>
      <c r="CA668" s="76"/>
      <c r="CB668" s="76"/>
      <c r="CC668" s="76"/>
      <c r="CD668" s="76"/>
      <c r="CE668" s="76"/>
      <c r="CF668" s="76">
        <f>+CE668*28000</f>
        <v>0</v>
      </c>
      <c r="CG668" s="76"/>
      <c r="CH668" s="76">
        <f>+CG668*22500</f>
        <v>0</v>
      </c>
      <c r="CI668" s="76"/>
      <c r="CJ668" s="76">
        <f>+CI668*26000</f>
        <v>0</v>
      </c>
      <c r="CK668" s="76"/>
      <c r="CL668" s="76"/>
      <c r="CM668" s="76"/>
      <c r="CN668" s="76">
        <f>+CM668*22000</f>
        <v>0</v>
      </c>
      <c r="CO668" s="76"/>
      <c r="CP668" s="76">
        <f>+CO668*46000</f>
        <v>0</v>
      </c>
      <c r="CQ668" s="76"/>
      <c r="CR668" s="76">
        <f>+CQ668*49000</f>
        <v>0</v>
      </c>
      <c r="CS668" s="76"/>
      <c r="CT668" s="76"/>
      <c r="CU668" s="56">
        <f>AN668+AP668+AR668+AT668+AV668+AX668+AZ668+BB668+BD668+BF668+BH668+BJ668+BL668+BN668+BP668+BR668+BT668+BV668+BX668+BZ668+CB668+CD668+CF668+CH668+CJ668+CL668+CN668+CP668+CR668+CT668</f>
        <v>0</v>
      </c>
      <c r="CV668" s="76"/>
      <c r="CW668" s="76">
        <f>+CV668*1100</f>
        <v>0</v>
      </c>
      <c r="CX668" s="76"/>
      <c r="CY668" s="76">
        <f>+CX668*106250</f>
        <v>0</v>
      </c>
      <c r="CZ668" s="76"/>
      <c r="DA668" s="76">
        <f>+CZ668*34500</f>
        <v>0</v>
      </c>
      <c r="DB668" s="76"/>
      <c r="DC668" s="76">
        <f>+DB668*25000</f>
        <v>0</v>
      </c>
      <c r="DD668" s="219"/>
      <c r="DE668" s="219"/>
      <c r="DF668" s="166"/>
      <c r="DG668" s="116"/>
      <c r="DH668" s="117"/>
      <c r="DI668" s="24"/>
      <c r="DJ668" s="24"/>
      <c r="DK668" s="24"/>
      <c r="DL668" s="24"/>
      <c r="DM668" s="24"/>
      <c r="DN668" s="24"/>
      <c r="DO668" s="24"/>
      <c r="DP668" s="24"/>
      <c r="DQ668" s="24"/>
      <c r="DR668" s="24"/>
      <c r="DS668" s="24"/>
      <c r="DT668" s="24"/>
      <c r="DU668" s="24"/>
    </row>
    <row r="669" spans="1:125" s="8" customFormat="1" ht="72" x14ac:dyDescent="0.2">
      <c r="A669" s="77">
        <v>41314</v>
      </c>
      <c r="B669" s="78" t="s">
        <v>2661</v>
      </c>
      <c r="C669" s="75" t="s">
        <v>2169</v>
      </c>
      <c r="D669" s="75" t="s">
        <v>3051</v>
      </c>
      <c r="E669" s="75" t="str">
        <f>VLOOKUP(B669&amp;C669,Divipola!$C$2:$F$1138,4,FALSE)</f>
        <v>41001</v>
      </c>
      <c r="F669" s="163">
        <v>1</v>
      </c>
      <c r="G669" s="163"/>
      <c r="H669" s="163"/>
      <c r="I669" s="163">
        <v>856</v>
      </c>
      <c r="J669" s="163">
        <v>214</v>
      </c>
      <c r="K669" s="163">
        <v>6</v>
      </c>
      <c r="L669" s="163">
        <v>13</v>
      </c>
      <c r="M669" s="163"/>
      <c r="N669" s="163"/>
      <c r="O669" s="163">
        <v>12</v>
      </c>
      <c r="P669" s="163"/>
      <c r="Q669" s="163"/>
      <c r="R669" s="163">
        <v>1</v>
      </c>
      <c r="S669" s="163">
        <v>2</v>
      </c>
      <c r="T669" s="163"/>
      <c r="U669" s="163"/>
      <c r="V669" s="134"/>
      <c r="W669" s="96">
        <v>0</v>
      </c>
      <c r="X669" s="71">
        <f>CU669</f>
        <v>41998380</v>
      </c>
      <c r="Y669" s="71">
        <f>CY669</f>
        <v>0</v>
      </c>
      <c r="Z669" s="71">
        <f>DA669+DC669+DE669</f>
        <v>0</v>
      </c>
      <c r="AA669" s="71">
        <f>CW669</f>
        <v>0</v>
      </c>
      <c r="AB669" s="71">
        <f>1500*1500</f>
        <v>2250000</v>
      </c>
      <c r="AC669" s="71">
        <v>0</v>
      </c>
      <c r="AD669" s="71">
        <f>W669+X669+Y669+Z669+AA669+AB669+AC669</f>
        <v>44248380</v>
      </c>
      <c r="AE669" s="72">
        <v>0</v>
      </c>
      <c r="AF669" s="5"/>
      <c r="AG669" s="6"/>
      <c r="AH669" s="27" t="s">
        <v>3390</v>
      </c>
      <c r="AI669" s="44" t="s">
        <v>3391</v>
      </c>
      <c r="AJ669" s="26"/>
      <c r="AK669" s="5"/>
      <c r="AL669" s="82" t="s">
        <v>5173</v>
      </c>
      <c r="AM669" s="76"/>
      <c r="AN669" s="76"/>
      <c r="AO669" s="76"/>
      <c r="AP669" s="76"/>
      <c r="AQ669" s="76"/>
      <c r="AR669" s="76"/>
      <c r="AS669" s="76"/>
      <c r="AT669" s="76"/>
      <c r="AU669" s="76"/>
      <c r="AV669" s="76"/>
      <c r="AW669" s="76"/>
      <c r="AX669" s="76">
        <f>+AW669*600000</f>
        <v>0</v>
      </c>
      <c r="AY669" s="76"/>
      <c r="AZ669" s="76">
        <f>+AY669*70000</f>
        <v>0</v>
      </c>
      <c r="BA669" s="76"/>
      <c r="BB669" s="76"/>
      <c r="BC669" s="76"/>
      <c r="BD669" s="76">
        <f>+BC669*30000</f>
        <v>0</v>
      </c>
      <c r="BE669" s="76"/>
      <c r="BF669" s="76"/>
      <c r="BG669" s="76"/>
      <c r="BH669" s="76"/>
      <c r="BI669" s="76"/>
      <c r="BJ669" s="76"/>
      <c r="BK669" s="76"/>
      <c r="BL669" s="76">
        <f>+BK669*31500</f>
        <v>0</v>
      </c>
      <c r="BM669" s="76"/>
      <c r="BN669" s="76"/>
      <c r="BO669" s="76"/>
      <c r="BP669" s="76"/>
      <c r="BQ669" s="76"/>
      <c r="BR669" s="76"/>
      <c r="BS669" s="76"/>
      <c r="BT669" s="76"/>
      <c r="BU669" s="76"/>
      <c r="BV669" s="76"/>
      <c r="BW669" s="76"/>
      <c r="BX669" s="76"/>
      <c r="BY669" s="76"/>
      <c r="BZ669" s="76"/>
      <c r="CA669" s="76"/>
      <c r="CB669" s="76"/>
      <c r="CC669" s="76"/>
      <c r="CD669" s="76"/>
      <c r="CE669" s="86">
        <v>1500</v>
      </c>
      <c r="CF669" s="86">
        <f>1500*27998.92</f>
        <v>41998380</v>
      </c>
      <c r="CG669" s="76"/>
      <c r="CH669" s="76">
        <f>+CG669*22500</f>
        <v>0</v>
      </c>
      <c r="CI669" s="76"/>
      <c r="CJ669" s="76">
        <f>+CI669*26000</f>
        <v>0</v>
      </c>
      <c r="CK669" s="76"/>
      <c r="CL669" s="76"/>
      <c r="CM669" s="76"/>
      <c r="CN669" s="76">
        <f>+CM669*22000</f>
        <v>0</v>
      </c>
      <c r="CO669" s="76"/>
      <c r="CP669" s="76">
        <f>+CO669*46000</f>
        <v>0</v>
      </c>
      <c r="CQ669" s="76"/>
      <c r="CR669" s="76">
        <f>+CQ669*49000</f>
        <v>0</v>
      </c>
      <c r="CS669" s="76"/>
      <c r="CT669" s="76"/>
      <c r="CU669" s="56">
        <f>AN669+AP669+AR669+AT669+AV669+AX669+AZ669+BB669+BD669+BF669+BH669+BJ669+BL669+BN669+BP669+BR669+BT669+BV669+BX669+BZ669+CB669+CD669+CF669+CH669+CJ669+CL669+CN669+CP669+CR669+CT669</f>
        <v>41998380</v>
      </c>
      <c r="CV669" s="76"/>
      <c r="CW669" s="76">
        <f>+CV669*1100</f>
        <v>0</v>
      </c>
      <c r="CX669" s="76"/>
      <c r="CY669" s="76">
        <f>+CX669*106250</f>
        <v>0</v>
      </c>
      <c r="CZ669" s="76"/>
      <c r="DA669" s="76">
        <f>+CZ669*34500</f>
        <v>0</v>
      </c>
      <c r="DB669" s="76"/>
      <c r="DC669" s="76">
        <f>+DB669*25000</f>
        <v>0</v>
      </c>
      <c r="DD669" s="219"/>
      <c r="DE669" s="219"/>
      <c r="DF669" s="166"/>
      <c r="DG669" s="134" t="s">
        <v>5174</v>
      </c>
      <c r="DH669" s="117"/>
      <c r="DI669" s="24"/>
      <c r="DJ669" s="24"/>
      <c r="DK669" s="24"/>
      <c r="DL669" s="24"/>
      <c r="DM669" s="24"/>
      <c r="DN669" s="24"/>
      <c r="DO669" s="24"/>
      <c r="DP669" s="24"/>
      <c r="DQ669" s="24"/>
      <c r="DR669" s="24"/>
      <c r="DS669" s="24"/>
      <c r="DT669" s="24"/>
      <c r="DU669" s="24"/>
    </row>
    <row r="670" spans="1:125" s="8" customFormat="1" ht="216" x14ac:dyDescent="0.2">
      <c r="A670" s="77">
        <v>41314</v>
      </c>
      <c r="B670" s="352" t="s">
        <v>2661</v>
      </c>
      <c r="C670" s="354" t="s">
        <v>2</v>
      </c>
      <c r="D670" s="84" t="s">
        <v>3088</v>
      </c>
      <c r="E670" s="75" t="str">
        <f>VLOOKUP(B670&amp;C670,Divipola!$C$2:$F$1138,4,FALSE)</f>
        <v>41524</v>
      </c>
      <c r="F670" s="87"/>
      <c r="G670" s="87"/>
      <c r="H670" s="87"/>
      <c r="I670" s="87">
        <v>2325</v>
      </c>
      <c r="J670" s="87">
        <v>465</v>
      </c>
      <c r="K670" s="87">
        <v>6</v>
      </c>
      <c r="L670" s="87">
        <v>68</v>
      </c>
      <c r="M670" s="87">
        <v>7</v>
      </c>
      <c r="N670" s="87"/>
      <c r="O670" s="87"/>
      <c r="P670" s="87">
        <v>14</v>
      </c>
      <c r="Q670" s="87"/>
      <c r="R670" s="87"/>
      <c r="S670" s="87">
        <v>4</v>
      </c>
      <c r="T670" s="87"/>
      <c r="U670" s="88">
        <v>212</v>
      </c>
      <c r="V670" s="89">
        <v>60</v>
      </c>
      <c r="W670" s="96">
        <v>10200000</v>
      </c>
      <c r="X670" s="71">
        <f>CU670</f>
        <v>0</v>
      </c>
      <c r="Y670" s="71">
        <f>CY670</f>
        <v>0</v>
      </c>
      <c r="Z670" s="71">
        <f>DA670+DC670+DE670</f>
        <v>0</v>
      </c>
      <c r="AA670" s="71">
        <f>CW670</f>
        <v>0</v>
      </c>
      <c r="AB670" s="71"/>
      <c r="AC670" s="71">
        <v>0</v>
      </c>
      <c r="AD670" s="71">
        <f>W670+X670+Y670+Z670+AA670+AB670+AC670</f>
        <v>10200000</v>
      </c>
      <c r="AE670" s="72">
        <v>0</v>
      </c>
      <c r="AF670" s="5"/>
      <c r="AG670" s="6"/>
      <c r="AH670" s="27" t="s">
        <v>3390</v>
      </c>
      <c r="AI670" s="44" t="s">
        <v>3391</v>
      </c>
      <c r="AJ670" s="26"/>
      <c r="AK670" s="5"/>
      <c r="AL670" s="82" t="s">
        <v>4974</v>
      </c>
      <c r="AM670" s="86"/>
      <c r="AN670" s="86"/>
      <c r="AO670" s="86"/>
      <c r="AP670" s="86"/>
      <c r="AQ670" s="86"/>
      <c r="AR670" s="86"/>
      <c r="AS670" s="86"/>
      <c r="AT670" s="86"/>
      <c r="AU670" s="86"/>
      <c r="AV670" s="86"/>
      <c r="AW670" s="86"/>
      <c r="AX670" s="86">
        <f>+AW670*600000</f>
        <v>0</v>
      </c>
      <c r="AY670" s="86"/>
      <c r="AZ670" s="86">
        <f>+AY670*70000</f>
        <v>0</v>
      </c>
      <c r="BA670" s="86"/>
      <c r="BB670" s="86"/>
      <c r="BC670" s="86"/>
      <c r="BD670" s="86">
        <f>+BC670*30000</f>
        <v>0</v>
      </c>
      <c r="BE670" s="86"/>
      <c r="BF670" s="86"/>
      <c r="BG670" s="86"/>
      <c r="BH670" s="86"/>
      <c r="BI670" s="86"/>
      <c r="BJ670" s="86"/>
      <c r="BK670" s="86"/>
      <c r="BL670" s="86">
        <f>+BK670*31500</f>
        <v>0</v>
      </c>
      <c r="BM670" s="86"/>
      <c r="BN670" s="86"/>
      <c r="BO670" s="86"/>
      <c r="BP670" s="86"/>
      <c r="BQ670" s="86"/>
      <c r="BR670" s="86"/>
      <c r="BS670" s="86"/>
      <c r="BT670" s="86"/>
      <c r="BU670" s="86"/>
      <c r="BV670" s="86"/>
      <c r="BW670" s="86"/>
      <c r="BX670" s="86"/>
      <c r="BY670" s="86"/>
      <c r="BZ670" s="86"/>
      <c r="CA670" s="86"/>
      <c r="CB670" s="86"/>
      <c r="CC670" s="86"/>
      <c r="CD670" s="86"/>
      <c r="CE670" s="86"/>
      <c r="CF670" s="86">
        <f>+CE670*28000</f>
        <v>0</v>
      </c>
      <c r="CG670" s="86"/>
      <c r="CH670" s="86">
        <f>+CG670*22500</f>
        <v>0</v>
      </c>
      <c r="CI670" s="86"/>
      <c r="CJ670" s="86">
        <f>+CI670*26000</f>
        <v>0</v>
      </c>
      <c r="CK670" s="76"/>
      <c r="CL670" s="76"/>
      <c r="CM670" s="86"/>
      <c r="CN670" s="86">
        <f>+CM670*22000</f>
        <v>0</v>
      </c>
      <c r="CO670" s="86"/>
      <c r="CP670" s="86">
        <f>+CO670*46000</f>
        <v>0</v>
      </c>
      <c r="CQ670" s="86"/>
      <c r="CR670" s="86">
        <f>+CQ670*49000</f>
        <v>0</v>
      </c>
      <c r="CS670" s="86"/>
      <c r="CT670" s="86"/>
      <c r="CU670" s="56">
        <f>AN670+AP670+AR670+AT670+AV670+AX670+AZ670+BB670+BD670+BF670+BH670+BJ670+BL670+BN670+BP670+BR670+BT670+BV670+BX670+BZ670+CB670+CD670+CF670+CH670+CJ670+CL670+CN670+CP670+CR670+CT670</f>
        <v>0</v>
      </c>
      <c r="CV670" s="86"/>
      <c r="CW670" s="86">
        <f>+CV670*1100</f>
        <v>0</v>
      </c>
      <c r="CX670" s="86"/>
      <c r="CY670" s="86">
        <f>+CX670*106250</f>
        <v>0</v>
      </c>
      <c r="CZ670" s="86"/>
      <c r="DA670" s="86">
        <f>+CZ670*34500</f>
        <v>0</v>
      </c>
      <c r="DB670" s="86"/>
      <c r="DC670" s="86">
        <f>+DB670*25000</f>
        <v>0</v>
      </c>
      <c r="DD670" s="223"/>
      <c r="DE670" s="223"/>
      <c r="DF670" s="166"/>
      <c r="DG670" s="134"/>
      <c r="DH670" s="155"/>
      <c r="DI670" s="24"/>
      <c r="DJ670" s="24"/>
      <c r="DK670" s="24"/>
      <c r="DL670" s="24"/>
      <c r="DM670" s="24"/>
      <c r="DN670" s="24"/>
      <c r="DO670" s="24"/>
      <c r="DP670" s="24"/>
      <c r="DQ670" s="24"/>
      <c r="DR670" s="24"/>
      <c r="DS670" s="24"/>
      <c r="DT670" s="24"/>
      <c r="DU670" s="24"/>
    </row>
    <row r="671" spans="1:125" s="8" customFormat="1" ht="96" x14ac:dyDescent="0.2">
      <c r="A671" s="77">
        <v>41314</v>
      </c>
      <c r="B671" s="78" t="s">
        <v>2661</v>
      </c>
      <c r="C671" s="75" t="s">
        <v>2085</v>
      </c>
      <c r="D671" s="84" t="s">
        <v>3088</v>
      </c>
      <c r="E671" s="75" t="str">
        <f>VLOOKUP(B671&amp;C671,Divipola!$C$2:$F$1138,4,FALSE)</f>
        <v>41676</v>
      </c>
      <c r="F671" s="87"/>
      <c r="G671" s="87"/>
      <c r="H671" s="87"/>
      <c r="I671" s="87">
        <v>185</v>
      </c>
      <c r="J671" s="87">
        <v>37</v>
      </c>
      <c r="K671" s="87">
        <v>2</v>
      </c>
      <c r="L671" s="87">
        <v>15</v>
      </c>
      <c r="M671" s="87">
        <v>4</v>
      </c>
      <c r="N671" s="87"/>
      <c r="O671" s="87"/>
      <c r="P671" s="87">
        <v>2</v>
      </c>
      <c r="Q671" s="87"/>
      <c r="R671" s="87"/>
      <c r="S671" s="87"/>
      <c r="T671" s="87"/>
      <c r="U671" s="88">
        <v>25</v>
      </c>
      <c r="V671" s="89"/>
      <c r="W671" s="96">
        <v>0</v>
      </c>
      <c r="X671" s="71">
        <f>CU671</f>
        <v>0</v>
      </c>
      <c r="Y671" s="71">
        <f>CY671</f>
        <v>0</v>
      </c>
      <c r="Z671" s="71">
        <f>DA671+DC671+DE671</f>
        <v>0</v>
      </c>
      <c r="AA671" s="71">
        <f>CW671</f>
        <v>0</v>
      </c>
      <c r="AB671" s="71"/>
      <c r="AC671" s="71">
        <v>0</v>
      </c>
      <c r="AD671" s="71">
        <f>W671+X671+Y671+Z671+AA671+AB671+AC671</f>
        <v>0</v>
      </c>
      <c r="AE671" s="72">
        <v>0</v>
      </c>
      <c r="AF671" s="5"/>
      <c r="AG671" s="6"/>
      <c r="AH671" s="27" t="s">
        <v>3392</v>
      </c>
      <c r="AI671" s="44" t="s">
        <v>3393</v>
      </c>
      <c r="AJ671" s="26"/>
      <c r="AK671" s="5"/>
      <c r="AL671" s="82" t="s">
        <v>3703</v>
      </c>
      <c r="AM671" s="76"/>
      <c r="AN671" s="76"/>
      <c r="AO671" s="76"/>
      <c r="AP671" s="76"/>
      <c r="AQ671" s="76"/>
      <c r="AR671" s="76"/>
      <c r="AS671" s="76"/>
      <c r="AT671" s="76"/>
      <c r="AU671" s="76"/>
      <c r="AV671" s="76"/>
      <c r="AW671" s="76"/>
      <c r="AX671" s="76">
        <f>+AW671*600000</f>
        <v>0</v>
      </c>
      <c r="AY671" s="76"/>
      <c r="AZ671" s="76">
        <f>+AY671*70000</f>
        <v>0</v>
      </c>
      <c r="BA671" s="76"/>
      <c r="BB671" s="76"/>
      <c r="BC671" s="76"/>
      <c r="BD671" s="76">
        <f>+BC671*30000</f>
        <v>0</v>
      </c>
      <c r="BE671" s="76"/>
      <c r="BF671" s="76"/>
      <c r="BG671" s="76"/>
      <c r="BH671" s="76"/>
      <c r="BI671" s="76"/>
      <c r="BJ671" s="76"/>
      <c r="BK671" s="76"/>
      <c r="BL671" s="76">
        <f>+BK671*31500</f>
        <v>0</v>
      </c>
      <c r="BM671" s="76"/>
      <c r="BN671" s="76"/>
      <c r="BO671" s="76"/>
      <c r="BP671" s="76"/>
      <c r="BQ671" s="76"/>
      <c r="BR671" s="76"/>
      <c r="BS671" s="76"/>
      <c r="BT671" s="76"/>
      <c r="BU671" s="76"/>
      <c r="BV671" s="76"/>
      <c r="BW671" s="76"/>
      <c r="BX671" s="76"/>
      <c r="BY671" s="76"/>
      <c r="BZ671" s="76"/>
      <c r="CA671" s="76"/>
      <c r="CB671" s="76"/>
      <c r="CC671" s="76"/>
      <c r="CD671" s="76"/>
      <c r="CE671" s="76"/>
      <c r="CF671" s="76">
        <f>+CE671*28000</f>
        <v>0</v>
      </c>
      <c r="CG671" s="76"/>
      <c r="CH671" s="76">
        <f>+CG671*22500</f>
        <v>0</v>
      </c>
      <c r="CI671" s="76"/>
      <c r="CJ671" s="76">
        <f>+CI671*26000</f>
        <v>0</v>
      </c>
      <c r="CK671" s="76"/>
      <c r="CL671" s="76"/>
      <c r="CM671" s="76"/>
      <c r="CN671" s="76">
        <f>+CM671*22000</f>
        <v>0</v>
      </c>
      <c r="CO671" s="76"/>
      <c r="CP671" s="76">
        <f>+CO671*46000</f>
        <v>0</v>
      </c>
      <c r="CQ671" s="76"/>
      <c r="CR671" s="76">
        <f>+CQ671*49000</f>
        <v>0</v>
      </c>
      <c r="CS671" s="76"/>
      <c r="CT671" s="76"/>
      <c r="CU671" s="56">
        <f>AN671+AP671+AR671+AT671+AV671+AX671+AZ671+BB671+BD671+BF671+BH671+BJ671+BL671+BN671+BP671+BR671+BT671+BV671+BX671+BZ671+CB671+CD671+CF671+CH671+CJ671+CL671+CN671+CP671+CR671+CT671</f>
        <v>0</v>
      </c>
      <c r="CV671" s="76"/>
      <c r="CW671" s="76">
        <f>+CV671*1100</f>
        <v>0</v>
      </c>
      <c r="CX671" s="76"/>
      <c r="CY671" s="76">
        <f>+CX671*106250</f>
        <v>0</v>
      </c>
      <c r="CZ671" s="76"/>
      <c r="DA671" s="76">
        <f>+CZ671*34500</f>
        <v>0</v>
      </c>
      <c r="DB671" s="76"/>
      <c r="DC671" s="76">
        <f>+DB671*25000</f>
        <v>0</v>
      </c>
      <c r="DD671" s="219"/>
      <c r="DE671" s="219"/>
      <c r="DF671" s="166"/>
      <c r="DG671" s="116"/>
      <c r="DH671" s="117"/>
      <c r="DI671" s="24"/>
      <c r="DJ671" s="24"/>
      <c r="DK671" s="24"/>
      <c r="DL671" s="24"/>
      <c r="DM671" s="24"/>
      <c r="DN671" s="24"/>
      <c r="DO671" s="24"/>
      <c r="DP671" s="24"/>
      <c r="DQ671" s="24"/>
      <c r="DR671" s="24"/>
      <c r="DS671" s="24"/>
      <c r="DT671" s="24"/>
      <c r="DU671" s="24"/>
    </row>
    <row r="672" spans="1:125" s="8" customFormat="1" ht="84" x14ac:dyDescent="0.2">
      <c r="A672" s="77">
        <v>41314</v>
      </c>
      <c r="B672" s="78" t="s">
        <v>2811</v>
      </c>
      <c r="C672" s="75" t="s">
        <v>2060</v>
      </c>
      <c r="D672" s="75" t="s">
        <v>3194</v>
      </c>
      <c r="E672" s="75" t="str">
        <f>VLOOKUP(B672&amp;C672,Divipola!$C$2:$F$1138,4,FALSE)</f>
        <v>52051</v>
      </c>
      <c r="F672" s="163"/>
      <c r="G672" s="163"/>
      <c r="H672" s="163"/>
      <c r="I672" s="163">
        <v>24</v>
      </c>
      <c r="J672" s="163">
        <v>8</v>
      </c>
      <c r="K672" s="163"/>
      <c r="L672" s="163">
        <v>8</v>
      </c>
      <c r="M672" s="163"/>
      <c r="N672" s="163"/>
      <c r="O672" s="163"/>
      <c r="P672" s="163"/>
      <c r="Q672" s="163"/>
      <c r="R672" s="163"/>
      <c r="S672" s="163"/>
      <c r="T672" s="163"/>
      <c r="U672" s="163"/>
      <c r="V672" s="89"/>
      <c r="W672" s="96">
        <v>0</v>
      </c>
      <c r="X672" s="71">
        <f>CU672</f>
        <v>0</v>
      </c>
      <c r="Y672" s="71">
        <f>CY672</f>
        <v>0</v>
      </c>
      <c r="Z672" s="71">
        <f>DA672+DC672+DE672</f>
        <v>0</v>
      </c>
      <c r="AA672" s="71">
        <f>CW672</f>
        <v>0</v>
      </c>
      <c r="AB672" s="71"/>
      <c r="AC672" s="71">
        <v>0</v>
      </c>
      <c r="AD672" s="71">
        <f>W672+X672+Y672+Z672+AA672+AB672+AC672</f>
        <v>0</v>
      </c>
      <c r="AE672" s="72">
        <v>0</v>
      </c>
      <c r="AF672" s="5"/>
      <c r="AG672" s="6"/>
      <c r="AH672" s="27" t="s">
        <v>3392</v>
      </c>
      <c r="AI672" s="44" t="s">
        <v>3393</v>
      </c>
      <c r="AJ672" s="26"/>
      <c r="AK672" s="5"/>
      <c r="AL672" s="82" t="s">
        <v>3458</v>
      </c>
      <c r="AM672" s="76"/>
      <c r="AN672" s="76"/>
      <c r="AO672" s="76"/>
      <c r="AP672" s="76"/>
      <c r="AQ672" s="76"/>
      <c r="AR672" s="76"/>
      <c r="AS672" s="76"/>
      <c r="AT672" s="76"/>
      <c r="AU672" s="76"/>
      <c r="AV672" s="76"/>
      <c r="AW672" s="76"/>
      <c r="AX672" s="76">
        <f>+AW672*600000</f>
        <v>0</v>
      </c>
      <c r="AY672" s="76"/>
      <c r="AZ672" s="76">
        <f>+AY672*70000</f>
        <v>0</v>
      </c>
      <c r="BA672" s="76"/>
      <c r="BB672" s="76"/>
      <c r="BC672" s="76"/>
      <c r="BD672" s="76">
        <f>+BC672*30000</f>
        <v>0</v>
      </c>
      <c r="BE672" s="76"/>
      <c r="BF672" s="76"/>
      <c r="BG672" s="76"/>
      <c r="BH672" s="76"/>
      <c r="BI672" s="76"/>
      <c r="BJ672" s="76"/>
      <c r="BK672" s="76"/>
      <c r="BL672" s="76">
        <f>+BK672*31500</f>
        <v>0</v>
      </c>
      <c r="BM672" s="76"/>
      <c r="BN672" s="76"/>
      <c r="BO672" s="76"/>
      <c r="BP672" s="76"/>
      <c r="BQ672" s="76"/>
      <c r="BR672" s="76"/>
      <c r="BS672" s="76"/>
      <c r="BT672" s="76"/>
      <c r="BU672" s="76"/>
      <c r="BV672" s="76"/>
      <c r="BW672" s="76"/>
      <c r="BX672" s="76"/>
      <c r="BY672" s="76"/>
      <c r="BZ672" s="76"/>
      <c r="CA672" s="76"/>
      <c r="CB672" s="76"/>
      <c r="CC672" s="76"/>
      <c r="CD672" s="76"/>
      <c r="CE672" s="76"/>
      <c r="CF672" s="76">
        <f>+CE672*28000</f>
        <v>0</v>
      </c>
      <c r="CG672" s="76"/>
      <c r="CH672" s="76">
        <f>+CG672*22500</f>
        <v>0</v>
      </c>
      <c r="CI672" s="76"/>
      <c r="CJ672" s="76">
        <f>+CI672*26000</f>
        <v>0</v>
      </c>
      <c r="CK672" s="76"/>
      <c r="CL672" s="76"/>
      <c r="CM672" s="76"/>
      <c r="CN672" s="76">
        <f>+CM672*22000</f>
        <v>0</v>
      </c>
      <c r="CO672" s="76"/>
      <c r="CP672" s="76">
        <f>+CO672*46000</f>
        <v>0</v>
      </c>
      <c r="CQ672" s="76"/>
      <c r="CR672" s="76">
        <f>+CQ672*49000</f>
        <v>0</v>
      </c>
      <c r="CS672" s="76"/>
      <c r="CT672" s="76"/>
      <c r="CU672" s="56">
        <f>AN672+AP672+AR672+AT672+AV672+AX672+AZ672+BB672+BD672+BF672+BH672+BJ672+BL672+BN672+BP672+BR672+BT672+BV672+BX672+BZ672+CB672+CD672+CF672+CH672+CJ672+CL672+CN672+CP672+CR672+CT672</f>
        <v>0</v>
      </c>
      <c r="CV672" s="76"/>
      <c r="CW672" s="76">
        <f>+CV672*1100</f>
        <v>0</v>
      </c>
      <c r="CX672" s="76"/>
      <c r="CY672" s="76">
        <f>+CX672*106250</f>
        <v>0</v>
      </c>
      <c r="CZ672" s="76"/>
      <c r="DA672" s="76">
        <f>+CZ672*34500</f>
        <v>0</v>
      </c>
      <c r="DB672" s="76"/>
      <c r="DC672" s="76">
        <f>+DB672*25000</f>
        <v>0</v>
      </c>
      <c r="DD672" s="219"/>
      <c r="DE672" s="219"/>
      <c r="DF672" s="166"/>
      <c r="DG672" s="116"/>
      <c r="DH672" s="117"/>
      <c r="DI672" s="24"/>
      <c r="DJ672" s="24"/>
      <c r="DK672" s="24"/>
      <c r="DL672" s="24"/>
      <c r="DM672" s="24"/>
      <c r="DN672" s="24"/>
      <c r="DO672" s="24"/>
      <c r="DP672" s="24"/>
      <c r="DQ672" s="24"/>
      <c r="DR672" s="24"/>
      <c r="DS672" s="24"/>
      <c r="DT672" s="24"/>
      <c r="DU672" s="24"/>
    </row>
    <row r="673" spans="1:128" s="8" customFormat="1" ht="84" x14ac:dyDescent="0.2">
      <c r="A673" s="77">
        <v>41314</v>
      </c>
      <c r="B673" s="78" t="s">
        <v>2811</v>
      </c>
      <c r="C673" s="75" t="s">
        <v>1362</v>
      </c>
      <c r="D673" s="75" t="s">
        <v>3194</v>
      </c>
      <c r="E673" s="75" t="str">
        <f>VLOOKUP(B673&amp;C673,Divipola!$C$2:$F$1138,4,FALSE)</f>
        <v>52083</v>
      </c>
      <c r="F673" s="163"/>
      <c r="G673" s="163"/>
      <c r="H673" s="163"/>
      <c r="I673" s="163">
        <v>17</v>
      </c>
      <c r="J673" s="163">
        <v>6</v>
      </c>
      <c r="K673" s="163">
        <v>1</v>
      </c>
      <c r="L673" s="163">
        <v>5</v>
      </c>
      <c r="M673" s="163"/>
      <c r="N673" s="163"/>
      <c r="O673" s="163"/>
      <c r="P673" s="163"/>
      <c r="Q673" s="163"/>
      <c r="R673" s="163"/>
      <c r="S673" s="163"/>
      <c r="T673" s="163"/>
      <c r="U673" s="163"/>
      <c r="V673" s="134"/>
      <c r="W673" s="96">
        <v>0</v>
      </c>
      <c r="X673" s="71">
        <f>CU673</f>
        <v>0</v>
      </c>
      <c r="Y673" s="71">
        <f>CY673</f>
        <v>0</v>
      </c>
      <c r="Z673" s="71">
        <f>DA673+DC673+DE673</f>
        <v>14502860</v>
      </c>
      <c r="AA673" s="71">
        <f>CW673</f>
        <v>0</v>
      </c>
      <c r="AB673" s="71"/>
      <c r="AC673" s="71">
        <v>0</v>
      </c>
      <c r="AD673" s="71">
        <f>W673+X673+Y673+Z673+AA673+AB673+AC673</f>
        <v>14502860</v>
      </c>
      <c r="AE673" s="72">
        <v>0</v>
      </c>
      <c r="AF673" s="5"/>
      <c r="AG673" s="6"/>
      <c r="AH673" s="27" t="s">
        <v>3390</v>
      </c>
      <c r="AI673" s="44" t="s">
        <v>3391</v>
      </c>
      <c r="AJ673" s="26"/>
      <c r="AK673" s="5"/>
      <c r="AL673" s="82" t="s">
        <v>3458</v>
      </c>
      <c r="AM673" s="76"/>
      <c r="AN673" s="76"/>
      <c r="AO673" s="76"/>
      <c r="AP673" s="76"/>
      <c r="AQ673" s="76"/>
      <c r="AR673" s="76"/>
      <c r="AS673" s="76"/>
      <c r="AT673" s="76"/>
      <c r="AU673" s="76"/>
      <c r="AV673" s="76"/>
      <c r="AW673" s="76"/>
      <c r="AX673" s="76">
        <f>+AW673*600000</f>
        <v>0</v>
      </c>
      <c r="AY673" s="76"/>
      <c r="AZ673" s="76">
        <f>+AY673*70000</f>
        <v>0</v>
      </c>
      <c r="BA673" s="76"/>
      <c r="BB673" s="76"/>
      <c r="BC673" s="76"/>
      <c r="BD673" s="76">
        <f>+BC673*30000</f>
        <v>0</v>
      </c>
      <c r="BE673" s="76"/>
      <c r="BF673" s="76"/>
      <c r="BG673" s="76"/>
      <c r="BH673" s="76"/>
      <c r="BI673" s="76"/>
      <c r="BJ673" s="76"/>
      <c r="BK673" s="76"/>
      <c r="BL673" s="76">
        <f>+BK673*31500</f>
        <v>0</v>
      </c>
      <c r="BM673" s="76"/>
      <c r="BN673" s="76"/>
      <c r="BO673" s="76"/>
      <c r="BP673" s="76"/>
      <c r="BQ673" s="76"/>
      <c r="BR673" s="76"/>
      <c r="BS673" s="76"/>
      <c r="BT673" s="76"/>
      <c r="BU673" s="76"/>
      <c r="BV673" s="76"/>
      <c r="BW673" s="76"/>
      <c r="BX673" s="76"/>
      <c r="BY673" s="76"/>
      <c r="BZ673" s="76"/>
      <c r="CA673" s="76"/>
      <c r="CB673" s="76"/>
      <c r="CC673" s="76"/>
      <c r="CD673" s="76"/>
      <c r="CE673" s="76"/>
      <c r="CF673" s="76">
        <f>+CE673*28000</f>
        <v>0</v>
      </c>
      <c r="CG673" s="76"/>
      <c r="CH673" s="76">
        <f>+CG673*22500</f>
        <v>0</v>
      </c>
      <c r="CI673" s="76"/>
      <c r="CJ673" s="76">
        <f>+CI673*26000</f>
        <v>0</v>
      </c>
      <c r="CK673" s="76"/>
      <c r="CL673" s="76"/>
      <c r="CM673" s="76"/>
      <c r="CN673" s="76">
        <f>+CM673*22000</f>
        <v>0</v>
      </c>
      <c r="CO673" s="76"/>
      <c r="CP673" s="76">
        <f>+CO673*46000</f>
        <v>0</v>
      </c>
      <c r="CQ673" s="76"/>
      <c r="CR673" s="76">
        <f>+CQ673*49000</f>
        <v>0</v>
      </c>
      <c r="CS673" s="76"/>
      <c r="CT673" s="76"/>
      <c r="CU673" s="56">
        <f>AN673+AP673+AR673+AT673+AV673+AX673+AZ673+BB673+BD673+BF673+BH673+BJ673+BL673+BN673+BP673+BR673+BT673+BV673+BX673+BZ673+CB673+CD673+CF673+CH673+CJ673+CL673+CN673+CP673+CR673+CT673</f>
        <v>0</v>
      </c>
      <c r="CV673" s="76"/>
      <c r="CW673" s="76">
        <f>+CV673*1100</f>
        <v>0</v>
      </c>
      <c r="CX673" s="76"/>
      <c r="CY673" s="76">
        <f>+CX673*106250</f>
        <v>0</v>
      </c>
      <c r="CZ673" s="86">
        <v>130</v>
      </c>
      <c r="DA673" s="86">
        <f>+CZ673*34500</f>
        <v>4485000</v>
      </c>
      <c r="DB673" s="86">
        <v>60</v>
      </c>
      <c r="DC673" s="86">
        <f>60*39200+240*400</f>
        <v>2448000</v>
      </c>
      <c r="DD673" s="221" t="s">
        <v>3897</v>
      </c>
      <c r="DE673" s="223">
        <f>1000*1500+10*20160+9*13140+50*55000+100*30000</f>
        <v>7569860</v>
      </c>
      <c r="DF673" s="166"/>
      <c r="DG673" s="134" t="s">
        <v>5141</v>
      </c>
      <c r="DH673" s="117"/>
      <c r="DI673" s="24"/>
      <c r="DJ673" s="24"/>
      <c r="DK673" s="24"/>
      <c r="DL673" s="24"/>
      <c r="DM673" s="24"/>
      <c r="DN673" s="24"/>
      <c r="DO673" s="24"/>
      <c r="DP673" s="24"/>
      <c r="DQ673" s="24"/>
      <c r="DR673" s="24"/>
      <c r="DS673" s="24"/>
      <c r="DT673" s="24"/>
      <c r="DU673" s="24"/>
    </row>
    <row r="674" spans="1:128" s="8" customFormat="1" ht="84" x14ac:dyDescent="0.2">
      <c r="A674" s="77">
        <v>41314</v>
      </c>
      <c r="B674" s="78" t="s">
        <v>2811</v>
      </c>
      <c r="C674" s="75" t="s">
        <v>136</v>
      </c>
      <c r="D674" s="75" t="s">
        <v>3194</v>
      </c>
      <c r="E674" s="75" t="str">
        <f>VLOOKUP(B674&amp;C674,Divipola!$C$2:$F$1138,4,FALSE)</f>
        <v>52224</v>
      </c>
      <c r="F674" s="163"/>
      <c r="G674" s="163"/>
      <c r="H674" s="163"/>
      <c r="I674" s="163">
        <v>50</v>
      </c>
      <c r="J674" s="163">
        <v>10</v>
      </c>
      <c r="K674" s="163"/>
      <c r="L674" s="163">
        <v>10</v>
      </c>
      <c r="M674" s="163"/>
      <c r="N674" s="163"/>
      <c r="O674" s="163"/>
      <c r="P674" s="163"/>
      <c r="Q674" s="163"/>
      <c r="R674" s="163"/>
      <c r="S674" s="163">
        <v>1</v>
      </c>
      <c r="T674" s="163"/>
      <c r="U674" s="163"/>
      <c r="V674" s="89"/>
      <c r="W674" s="96">
        <v>0</v>
      </c>
      <c r="X674" s="71">
        <f>CU674</f>
        <v>0</v>
      </c>
      <c r="Y674" s="71">
        <f>CY674</f>
        <v>0</v>
      </c>
      <c r="Z674" s="71">
        <f>DA674+DC674+DE674</f>
        <v>77151284</v>
      </c>
      <c r="AA674" s="71">
        <f>CW674</f>
        <v>0</v>
      </c>
      <c r="AB674" s="71"/>
      <c r="AC674" s="71">
        <v>0</v>
      </c>
      <c r="AD674" s="71">
        <f>W674+X674+Y674+Z674+AA674+AB674+AC674</f>
        <v>77151284</v>
      </c>
      <c r="AE674" s="72">
        <v>0</v>
      </c>
      <c r="AF674" s="5"/>
      <c r="AG674" s="6"/>
      <c r="AH674" s="27" t="s">
        <v>3390</v>
      </c>
      <c r="AI674" s="44" t="s">
        <v>3391</v>
      </c>
      <c r="AJ674" s="26"/>
      <c r="AK674" s="5"/>
      <c r="AL674" s="82" t="s">
        <v>3458</v>
      </c>
      <c r="AM674" s="76"/>
      <c r="AN674" s="76"/>
      <c r="AO674" s="76"/>
      <c r="AP674" s="76"/>
      <c r="AQ674" s="76"/>
      <c r="AR674" s="76"/>
      <c r="AS674" s="76"/>
      <c r="AT674" s="76"/>
      <c r="AU674" s="76"/>
      <c r="AV674" s="76"/>
      <c r="AW674" s="76"/>
      <c r="AX674" s="76">
        <f>+AW674*600000</f>
        <v>0</v>
      </c>
      <c r="AY674" s="76"/>
      <c r="AZ674" s="76">
        <f>+AY674*70000</f>
        <v>0</v>
      </c>
      <c r="BA674" s="76"/>
      <c r="BB674" s="76"/>
      <c r="BC674" s="76"/>
      <c r="BD674" s="76">
        <f>+BC674*30000</f>
        <v>0</v>
      </c>
      <c r="BE674" s="76"/>
      <c r="BF674" s="76"/>
      <c r="BG674" s="76"/>
      <c r="BH674" s="76"/>
      <c r="BI674" s="76"/>
      <c r="BJ674" s="76"/>
      <c r="BK674" s="76"/>
      <c r="BL674" s="76">
        <f>+BK674*31500</f>
        <v>0</v>
      </c>
      <c r="BM674" s="76"/>
      <c r="BN674" s="76"/>
      <c r="BO674" s="76"/>
      <c r="BP674" s="76"/>
      <c r="BQ674" s="76"/>
      <c r="BR674" s="76"/>
      <c r="BS674" s="76"/>
      <c r="BT674" s="76"/>
      <c r="BU674" s="76"/>
      <c r="BV674" s="76"/>
      <c r="BW674" s="76"/>
      <c r="BX674" s="76"/>
      <c r="BY674" s="76"/>
      <c r="BZ674" s="76"/>
      <c r="CA674" s="76"/>
      <c r="CB674" s="76"/>
      <c r="CC674" s="76"/>
      <c r="CD674" s="76"/>
      <c r="CE674" s="76"/>
      <c r="CF674" s="76">
        <f>+CE674*28000</f>
        <v>0</v>
      </c>
      <c r="CG674" s="76"/>
      <c r="CH674" s="76">
        <f>+CG674*22500</f>
        <v>0</v>
      </c>
      <c r="CI674" s="76"/>
      <c r="CJ674" s="76">
        <f>+CI674*26000</f>
        <v>0</v>
      </c>
      <c r="CK674" s="76"/>
      <c r="CL674" s="76"/>
      <c r="CM674" s="76"/>
      <c r="CN674" s="76">
        <f>+CM674*22000</f>
        <v>0</v>
      </c>
      <c r="CO674" s="76"/>
      <c r="CP674" s="76">
        <f>+CO674*46000</f>
        <v>0</v>
      </c>
      <c r="CQ674" s="76"/>
      <c r="CR674" s="76">
        <f>+CQ674*49000</f>
        <v>0</v>
      </c>
      <c r="CS674" s="76"/>
      <c r="CT674" s="76"/>
      <c r="CU674" s="56">
        <f>AN674+AP674+AR674+AT674+AV674+AX674+AZ674+BB674+BD674+BF674+BH674+BJ674+BL674+BN674+BP674+BR674+BT674+BV674+BX674+BZ674+CB674+CD674+CF674+CH674+CJ674+CL674+CN674+CP674+CR674+CT674</f>
        <v>0</v>
      </c>
      <c r="CV674" s="76"/>
      <c r="CW674" s="76">
        <f>+CV674*1100</f>
        <v>0</v>
      </c>
      <c r="CX674" s="76"/>
      <c r="CY674" s="76">
        <f>+CX674*106250</f>
        <v>0</v>
      </c>
      <c r="CZ674" s="86">
        <v>737</v>
      </c>
      <c r="DA674" s="86">
        <f>+CZ674*34500</f>
        <v>25426500</v>
      </c>
      <c r="DB674" s="86">
        <f>84+2886+49</f>
        <v>3019</v>
      </c>
      <c r="DC674" s="86">
        <f>84*39200+330*400+2886*1250+49*40320</f>
        <v>9007980</v>
      </c>
      <c r="DD674" s="221" t="s">
        <v>3898</v>
      </c>
      <c r="DE674" s="223">
        <f>20100*1500+244*20160+387*13140+4*267896+45*28000+11*21000</f>
        <v>42716804</v>
      </c>
      <c r="DF674" s="166"/>
      <c r="DG674" s="134" t="s">
        <v>5141</v>
      </c>
      <c r="DH674" s="117"/>
      <c r="DI674" s="24"/>
      <c r="DJ674" s="24"/>
      <c r="DK674" s="24"/>
      <c r="DL674" s="24"/>
      <c r="DM674" s="24"/>
      <c r="DN674" s="24"/>
      <c r="DO674" s="24"/>
      <c r="DP674" s="24"/>
      <c r="DQ674" s="24"/>
      <c r="DR674" s="24"/>
      <c r="DS674" s="24"/>
      <c r="DT674" s="24"/>
      <c r="DU674" s="24"/>
    </row>
    <row r="675" spans="1:128" s="8" customFormat="1" ht="84" x14ac:dyDescent="0.2">
      <c r="A675" s="77">
        <v>41314</v>
      </c>
      <c r="B675" s="78" t="s">
        <v>2811</v>
      </c>
      <c r="C675" s="75" t="s">
        <v>139</v>
      </c>
      <c r="D675" s="75" t="s">
        <v>3194</v>
      </c>
      <c r="E675" s="75" t="str">
        <f>VLOOKUP(B675&amp;C675,Divipola!$C$2:$F$1138,4,FALSE)</f>
        <v>52227</v>
      </c>
      <c r="F675" s="163"/>
      <c r="G675" s="163"/>
      <c r="H675" s="163"/>
      <c r="I675" s="163">
        <v>50</v>
      </c>
      <c r="J675" s="163">
        <v>10</v>
      </c>
      <c r="K675" s="163"/>
      <c r="L675" s="163">
        <v>10</v>
      </c>
      <c r="M675" s="163"/>
      <c r="N675" s="163"/>
      <c r="O675" s="163"/>
      <c r="P675" s="163"/>
      <c r="Q675" s="163"/>
      <c r="R675" s="163"/>
      <c r="S675" s="163"/>
      <c r="T675" s="163"/>
      <c r="U675" s="163"/>
      <c r="V675" s="89"/>
      <c r="W675" s="96">
        <v>0</v>
      </c>
      <c r="X675" s="71">
        <f>CU675</f>
        <v>0</v>
      </c>
      <c r="Y675" s="71">
        <f>CY675</f>
        <v>0</v>
      </c>
      <c r="Z675" s="71">
        <f>DA675+DC675+DE675</f>
        <v>35187104</v>
      </c>
      <c r="AA675" s="71">
        <f>CW675</f>
        <v>0</v>
      </c>
      <c r="AB675" s="71"/>
      <c r="AC675" s="71">
        <v>0</v>
      </c>
      <c r="AD675" s="71">
        <f>W675+X675+Y675+Z675+AA675+AB675+AC675</f>
        <v>35187104</v>
      </c>
      <c r="AE675" s="72">
        <v>0</v>
      </c>
      <c r="AF675" s="5"/>
      <c r="AG675" s="6"/>
      <c r="AH675" s="27" t="s">
        <v>3390</v>
      </c>
      <c r="AI675" s="44" t="s">
        <v>3391</v>
      </c>
      <c r="AJ675" s="26"/>
      <c r="AK675" s="5"/>
      <c r="AL675" s="82" t="s">
        <v>3458</v>
      </c>
      <c r="AM675" s="76"/>
      <c r="AN675" s="76"/>
      <c r="AO675" s="76"/>
      <c r="AP675" s="76"/>
      <c r="AQ675" s="76"/>
      <c r="AR675" s="76"/>
      <c r="AS675" s="76"/>
      <c r="AT675" s="76"/>
      <c r="AU675" s="76"/>
      <c r="AV675" s="76"/>
      <c r="AW675" s="76"/>
      <c r="AX675" s="76">
        <f>+AW675*600000</f>
        <v>0</v>
      </c>
      <c r="AY675" s="76"/>
      <c r="AZ675" s="76">
        <f>+AY675*70000</f>
        <v>0</v>
      </c>
      <c r="BA675" s="76"/>
      <c r="BB675" s="76"/>
      <c r="BC675" s="76"/>
      <c r="BD675" s="76">
        <f>+BC675*30000</f>
        <v>0</v>
      </c>
      <c r="BE675" s="76"/>
      <c r="BF675" s="76"/>
      <c r="BG675" s="76"/>
      <c r="BH675" s="76"/>
      <c r="BI675" s="76"/>
      <c r="BJ675" s="76"/>
      <c r="BK675" s="76"/>
      <c r="BL675" s="76">
        <f>+BK675*31500</f>
        <v>0</v>
      </c>
      <c r="BM675" s="76"/>
      <c r="BN675" s="76"/>
      <c r="BO675" s="76"/>
      <c r="BP675" s="76"/>
      <c r="BQ675" s="76"/>
      <c r="BR675" s="76"/>
      <c r="BS675" s="76"/>
      <c r="BT675" s="76"/>
      <c r="BU675" s="76"/>
      <c r="BV675" s="76"/>
      <c r="BW675" s="76"/>
      <c r="BX675" s="76"/>
      <c r="BY675" s="76"/>
      <c r="BZ675" s="76"/>
      <c r="CA675" s="76"/>
      <c r="CB675" s="76"/>
      <c r="CC675" s="76"/>
      <c r="CD675" s="76"/>
      <c r="CE675" s="76"/>
      <c r="CF675" s="76">
        <f>+CE675*28000</f>
        <v>0</v>
      </c>
      <c r="CG675" s="76"/>
      <c r="CH675" s="76">
        <f>+CG675*22500</f>
        <v>0</v>
      </c>
      <c r="CI675" s="76"/>
      <c r="CJ675" s="76">
        <f>+CI675*26000</f>
        <v>0</v>
      </c>
      <c r="CK675" s="76"/>
      <c r="CL675" s="76"/>
      <c r="CM675" s="76"/>
      <c r="CN675" s="76">
        <f>+CM675*22000</f>
        <v>0</v>
      </c>
      <c r="CO675" s="76"/>
      <c r="CP675" s="76">
        <f>+CO675*46000</f>
        <v>0</v>
      </c>
      <c r="CQ675" s="76"/>
      <c r="CR675" s="76">
        <f>+CQ675*49000</f>
        <v>0</v>
      </c>
      <c r="CS675" s="76"/>
      <c r="CT675" s="76"/>
      <c r="CU675" s="56">
        <f>AN675+AP675+AR675+AT675+AV675+AX675+AZ675+BB675+BD675+BF675+BH675+BJ675+BL675+BN675+BP675+BR675+BT675+BV675+BX675+BZ675+CB675+CD675+CF675+CH675+CJ675+CL675+CN675+CP675+CR675+CT675</f>
        <v>0</v>
      </c>
      <c r="CV675" s="76"/>
      <c r="CW675" s="76">
        <f>+CV675*1100</f>
        <v>0</v>
      </c>
      <c r="CX675" s="76"/>
      <c r="CY675" s="76">
        <f>+CX675*106250</f>
        <v>0</v>
      </c>
      <c r="CZ675" s="86">
        <v>310</v>
      </c>
      <c r="DA675" s="86">
        <f>+CZ675*34500</f>
        <v>10695000</v>
      </c>
      <c r="DB675" s="86">
        <f>50+888+29</f>
        <v>967</v>
      </c>
      <c r="DC675" s="86">
        <f>50*39200+200*400+888*1250+29*40320</f>
        <v>4319280</v>
      </c>
      <c r="DD675" s="221" t="s">
        <v>3899</v>
      </c>
      <c r="DE675" s="223">
        <f>10050*1500+102*20160+78*13140+4*267896+27*28000+9*21000</f>
        <v>20172824</v>
      </c>
      <c r="DF675" s="166"/>
      <c r="DG675" s="134" t="s">
        <v>5141</v>
      </c>
      <c r="DH675" s="117"/>
      <c r="DI675" s="24"/>
      <c r="DJ675" s="24"/>
      <c r="DK675" s="24"/>
      <c r="DL675" s="24"/>
      <c r="DM675" s="24"/>
      <c r="DN675" s="24"/>
      <c r="DO675" s="24"/>
      <c r="DP675" s="24"/>
      <c r="DQ675" s="24"/>
      <c r="DR675" s="24"/>
      <c r="DS675" s="24"/>
      <c r="DT675" s="24"/>
      <c r="DU675" s="24"/>
    </row>
    <row r="676" spans="1:128" s="8" customFormat="1" ht="84" x14ac:dyDescent="0.2">
      <c r="A676" s="77">
        <v>41314</v>
      </c>
      <c r="B676" s="78" t="s">
        <v>2811</v>
      </c>
      <c r="C676" s="75" t="s">
        <v>498</v>
      </c>
      <c r="D676" s="75" t="s">
        <v>3194</v>
      </c>
      <c r="E676" s="75" t="str">
        <f>VLOOKUP(B676&amp;C676,Divipola!$C$2:$F$1138,4,FALSE)</f>
        <v>52233</v>
      </c>
      <c r="F676" s="163"/>
      <c r="G676" s="163"/>
      <c r="H676" s="163"/>
      <c r="I676" s="163">
        <v>10</v>
      </c>
      <c r="J676" s="163">
        <v>2</v>
      </c>
      <c r="K676" s="163"/>
      <c r="L676" s="163">
        <v>2</v>
      </c>
      <c r="M676" s="163"/>
      <c r="N676" s="163"/>
      <c r="O676" s="163"/>
      <c r="P676" s="163"/>
      <c r="Q676" s="163"/>
      <c r="R676" s="163"/>
      <c r="S676" s="163"/>
      <c r="T676" s="163"/>
      <c r="U676" s="163"/>
      <c r="V676" s="89"/>
      <c r="W676" s="96">
        <v>0</v>
      </c>
      <c r="X676" s="71">
        <f>CU676</f>
        <v>0</v>
      </c>
      <c r="Y676" s="71">
        <f>CY676</f>
        <v>0</v>
      </c>
      <c r="Z676" s="71">
        <f>DA676+DC676+DE676</f>
        <v>0</v>
      </c>
      <c r="AA676" s="71">
        <f>CW676</f>
        <v>0</v>
      </c>
      <c r="AB676" s="71"/>
      <c r="AC676" s="71">
        <v>0</v>
      </c>
      <c r="AD676" s="71">
        <f>W676+X676+Y676+Z676+AA676+AB676+AC676</f>
        <v>0</v>
      </c>
      <c r="AE676" s="72">
        <v>0</v>
      </c>
      <c r="AF676" s="5"/>
      <c r="AG676" s="6"/>
      <c r="AH676" s="27" t="s">
        <v>3392</v>
      </c>
      <c r="AI676" s="44" t="s">
        <v>3393</v>
      </c>
      <c r="AJ676" s="26"/>
      <c r="AK676" s="5"/>
      <c r="AL676" s="82" t="s">
        <v>3458</v>
      </c>
      <c r="AM676" s="76"/>
      <c r="AN676" s="76"/>
      <c r="AO676" s="76"/>
      <c r="AP676" s="76"/>
      <c r="AQ676" s="76"/>
      <c r="AR676" s="76"/>
      <c r="AS676" s="76"/>
      <c r="AT676" s="76"/>
      <c r="AU676" s="76"/>
      <c r="AV676" s="76"/>
      <c r="AW676" s="76"/>
      <c r="AX676" s="76">
        <f>+AW676*600000</f>
        <v>0</v>
      </c>
      <c r="AY676" s="76"/>
      <c r="AZ676" s="76">
        <f>+AY676*70000</f>
        <v>0</v>
      </c>
      <c r="BA676" s="76"/>
      <c r="BB676" s="76"/>
      <c r="BC676" s="76"/>
      <c r="BD676" s="76">
        <f>+BC676*30000</f>
        <v>0</v>
      </c>
      <c r="BE676" s="76"/>
      <c r="BF676" s="76"/>
      <c r="BG676" s="76"/>
      <c r="BH676" s="76"/>
      <c r="BI676" s="76"/>
      <c r="BJ676" s="76"/>
      <c r="BK676" s="76"/>
      <c r="BL676" s="76">
        <f>+BK676*31500</f>
        <v>0</v>
      </c>
      <c r="BM676" s="76"/>
      <c r="BN676" s="76"/>
      <c r="BO676" s="76"/>
      <c r="BP676" s="76"/>
      <c r="BQ676" s="76"/>
      <c r="BR676" s="76"/>
      <c r="BS676" s="76"/>
      <c r="BT676" s="76"/>
      <c r="BU676" s="76"/>
      <c r="BV676" s="76"/>
      <c r="BW676" s="76"/>
      <c r="BX676" s="76"/>
      <c r="BY676" s="76"/>
      <c r="BZ676" s="76"/>
      <c r="CA676" s="76"/>
      <c r="CB676" s="76"/>
      <c r="CC676" s="76"/>
      <c r="CD676" s="76"/>
      <c r="CE676" s="76"/>
      <c r="CF676" s="76">
        <f>+CE676*28000</f>
        <v>0</v>
      </c>
      <c r="CG676" s="76"/>
      <c r="CH676" s="76">
        <f>+CG676*22500</f>
        <v>0</v>
      </c>
      <c r="CI676" s="76"/>
      <c r="CJ676" s="76">
        <f>+CI676*26000</f>
        <v>0</v>
      </c>
      <c r="CK676" s="76"/>
      <c r="CL676" s="76"/>
      <c r="CM676" s="76"/>
      <c r="CN676" s="76">
        <f>+CM676*22000</f>
        <v>0</v>
      </c>
      <c r="CO676" s="76"/>
      <c r="CP676" s="76">
        <f>+CO676*46000</f>
        <v>0</v>
      </c>
      <c r="CQ676" s="76"/>
      <c r="CR676" s="76">
        <f>+CQ676*49000</f>
        <v>0</v>
      </c>
      <c r="CS676" s="76"/>
      <c r="CT676" s="76"/>
      <c r="CU676" s="56">
        <f>AN676+AP676+AR676+AT676+AV676+AX676+AZ676+BB676+BD676+BF676+BH676+BJ676+BL676+BN676+BP676+BR676+BT676+BV676+BX676+BZ676+CB676+CD676+CF676+CH676+CJ676+CL676+CN676+CP676+CR676+CT676</f>
        <v>0</v>
      </c>
      <c r="CV676" s="76"/>
      <c r="CW676" s="76">
        <f>+CV676*1100</f>
        <v>0</v>
      </c>
      <c r="CX676" s="76"/>
      <c r="CY676" s="76">
        <f>+CX676*106250</f>
        <v>0</v>
      </c>
      <c r="CZ676" s="76"/>
      <c r="DA676" s="76">
        <f>+CZ676*34500</f>
        <v>0</v>
      </c>
      <c r="DB676" s="76"/>
      <c r="DC676" s="76">
        <f>+DB676*25000</f>
        <v>0</v>
      </c>
      <c r="DD676" s="219"/>
      <c r="DE676" s="219"/>
      <c r="DF676" s="166"/>
      <c r="DG676" s="116"/>
      <c r="DH676" s="117"/>
      <c r="DI676" s="24"/>
      <c r="DJ676" s="24"/>
      <c r="DK676" s="24"/>
      <c r="DL676" s="24"/>
      <c r="DM676" s="24"/>
      <c r="DN676" s="24"/>
      <c r="DO676" s="24"/>
      <c r="DP676" s="24"/>
      <c r="DQ676" s="24"/>
      <c r="DR676" s="24"/>
      <c r="DS676" s="24"/>
      <c r="DT676" s="24"/>
      <c r="DU676" s="24"/>
    </row>
    <row r="677" spans="1:128" s="8" customFormat="1" ht="408" x14ac:dyDescent="0.2">
      <c r="A677" s="77">
        <v>41314</v>
      </c>
      <c r="B677" s="78" t="s">
        <v>2811</v>
      </c>
      <c r="C677" s="75" t="s">
        <v>144</v>
      </c>
      <c r="D677" s="75" t="s">
        <v>3194</v>
      </c>
      <c r="E677" s="75" t="str">
        <f>VLOOKUP(B677&amp;C677,Divipola!$C$2:$F$1138,4,FALSE)</f>
        <v>52250</v>
      </c>
      <c r="F677" s="163"/>
      <c r="G677" s="163">
        <v>14</v>
      </c>
      <c r="H677" s="163"/>
      <c r="I677" s="163">
        <v>6794</v>
      </c>
      <c r="J677" s="163">
        <v>1356</v>
      </c>
      <c r="K677" s="163">
        <v>194</v>
      </c>
      <c r="L677" s="163">
        <v>819</v>
      </c>
      <c r="M677" s="163">
        <v>1</v>
      </c>
      <c r="N677" s="163"/>
      <c r="O677" s="163"/>
      <c r="P677" s="163">
        <v>1</v>
      </c>
      <c r="Q677" s="163">
        <v>1</v>
      </c>
      <c r="R677" s="163">
        <v>1</v>
      </c>
      <c r="S677" s="163">
        <v>10</v>
      </c>
      <c r="T677" s="163"/>
      <c r="U677" s="163"/>
      <c r="V677" s="89">
        <v>2</v>
      </c>
      <c r="W677" s="96">
        <v>0</v>
      </c>
      <c r="X677" s="71">
        <f>CU677</f>
        <v>67786618.399999991</v>
      </c>
      <c r="Y677" s="71">
        <f>CY677</f>
        <v>11130265</v>
      </c>
      <c r="Z677" s="71">
        <f>DA677+DC677+DE677</f>
        <v>11959830780.539999</v>
      </c>
      <c r="AA677" s="71">
        <f>CW677</f>
        <v>0</v>
      </c>
      <c r="AB677" s="71"/>
      <c r="AC677" s="71">
        <v>0</v>
      </c>
      <c r="AD677" s="188">
        <f>W677+X677+Y677+Z677+AA677+AB677+AC677</f>
        <v>12038747663.939999</v>
      </c>
      <c r="AE677" s="72">
        <v>0</v>
      </c>
      <c r="AF677" s="5"/>
      <c r="AG677" s="6"/>
      <c r="AH677" s="27" t="s">
        <v>3390</v>
      </c>
      <c r="AI677" s="44" t="s">
        <v>3391</v>
      </c>
      <c r="AJ677" s="26"/>
      <c r="AK677" s="5"/>
      <c r="AL677" s="82" t="s">
        <v>3544</v>
      </c>
      <c r="AM677" s="76"/>
      <c r="AN677" s="76"/>
      <c r="AO677" s="76"/>
      <c r="AP677" s="76"/>
      <c r="AQ677" s="76"/>
      <c r="AR677" s="76"/>
      <c r="AS677" s="76"/>
      <c r="AT677" s="76"/>
      <c r="AU677" s="76"/>
      <c r="AV677" s="76"/>
      <c r="AW677" s="76"/>
      <c r="AX677" s="76">
        <f>+AW677*600000</f>
        <v>0</v>
      </c>
      <c r="AY677" s="86">
        <v>530</v>
      </c>
      <c r="AZ677" s="86">
        <f>+AY677*74999.8</f>
        <v>39749894</v>
      </c>
      <c r="BA677" s="76"/>
      <c r="BB677" s="76"/>
      <c r="BC677" s="76"/>
      <c r="BD677" s="76">
        <f>+BC677*30000</f>
        <v>0</v>
      </c>
      <c r="BE677" s="76"/>
      <c r="BF677" s="76"/>
      <c r="BG677" s="76"/>
      <c r="BH677" s="76"/>
      <c r="BI677" s="76"/>
      <c r="BJ677" s="76"/>
      <c r="BK677" s="76"/>
      <c r="BL677" s="76">
        <f>+BK677*31500</f>
        <v>0</v>
      </c>
      <c r="BM677" s="76"/>
      <c r="BN677" s="76"/>
      <c r="BO677" s="76"/>
      <c r="BP677" s="76"/>
      <c r="BQ677" s="76"/>
      <c r="BR677" s="76"/>
      <c r="BS677" s="76"/>
      <c r="BT677" s="76"/>
      <c r="BU677" s="76"/>
      <c r="BV677" s="76"/>
      <c r="BW677" s="76"/>
      <c r="BX677" s="76"/>
      <c r="BY677" s="76"/>
      <c r="BZ677" s="76"/>
      <c r="CA677" s="76"/>
      <c r="CB677" s="76"/>
      <c r="CC677" s="76"/>
      <c r="CD677" s="76"/>
      <c r="CE677" s="76"/>
      <c r="CF677" s="76">
        <f>+CE677*28000</f>
        <v>0</v>
      </c>
      <c r="CG677" s="76"/>
      <c r="CH677" s="76">
        <f>+CG677*22500</f>
        <v>0</v>
      </c>
      <c r="CI677" s="86">
        <v>530</v>
      </c>
      <c r="CJ677" s="86">
        <f>+CI677*24699.88</f>
        <v>13090936.4</v>
      </c>
      <c r="CK677" s="76"/>
      <c r="CL677" s="76"/>
      <c r="CM677" s="86">
        <v>530</v>
      </c>
      <c r="CN677" s="86">
        <f>+CM677*18999.64</f>
        <v>10069809.199999999</v>
      </c>
      <c r="CO677" s="86">
        <v>106</v>
      </c>
      <c r="CP677" s="86">
        <f>+CO677*45999.8</f>
        <v>4875978.8000000007</v>
      </c>
      <c r="CQ677" s="76"/>
      <c r="CR677" s="76">
        <f>+CQ677*49000</f>
        <v>0</v>
      </c>
      <c r="CS677" s="76"/>
      <c r="CT677" s="76"/>
      <c r="CU677" s="56">
        <f>AN677+AP677+AR677+AT677+AV677+AX677+AZ677+BB677+BD677+BF677+BH677+BJ677+BL677+BN677+BP677+BR677+BT677+BV677+BX677+BZ677+CB677+CD677+CF677+CH677+CJ677+CL677+CN677+CP677+CR677+CT677</f>
        <v>67786618.399999991</v>
      </c>
      <c r="CV677" s="76"/>
      <c r="CW677" s="76">
        <f>+CV677*1100</f>
        <v>0</v>
      </c>
      <c r="CX677" s="86">
        <v>106</v>
      </c>
      <c r="CY677" s="86">
        <f>+CX677*105002.5</f>
        <v>11130265</v>
      </c>
      <c r="CZ677" s="86">
        <f>3150+2250</f>
        <v>5400</v>
      </c>
      <c r="DA677" s="86">
        <f>3150*34499.56+2250*34499.56</f>
        <v>186297624</v>
      </c>
      <c r="DB677" s="86">
        <f>5432+5432+388+168+120</f>
        <v>11540</v>
      </c>
      <c r="DC677" s="86">
        <f>1800*41440+1800*41439.84+1832*42000+1800*33600+1800*31999.76+1832*32000+21600*200+21600*199.52+388*36599.16+168*48070.4+120*41439.84</f>
        <v>438709994.07999998</v>
      </c>
      <c r="DD677" s="221" t="s">
        <v>5240</v>
      </c>
      <c r="DE677" s="223">
        <f>106*286036.28+291*35000+291*34999.52+291*35000+8190*30000+8190*29999.92+8190*20000+819*6500+819*6499.48+819*6800+1940*11050+1940*11049+1940*11000+24570*442.06+24570*441.96+24570*800+32333*813+32333*812+32334*800+1293*2263+1293*2262+1294*3500+970*2470+970*2469.64+970*3500+1617*2470+1617*2469.94+1616*3500+1868*60000+1868*60000+1868*60000+582*28000+582*27998.92+582*28000+517*38000+517*37999.28+518*38000+517*110000+517*110000+518*110000+3298*55000+3298*55000+3298*55000+1293*21000+1293*20999.48+1294*21000+1164*75000+1164*74999.8+1164*75000+1358*35000+1358*34999.52+1358*35000+14679*21000+14679*20999.48+14680*21000+323*70000+323*70000+324*70000+40998*30000+40998*30000+40999*30000+647*75000+647*74999.8+646*75000+1092*110000+1092*110000+1092*110000+1638*50000+1538*50000+1638*50000+100*50000+2184*50000+2184*49999.48+2184*50000+5460*32000+5460*32000+5460*32000+6300*1344+263*194532+1754*475049+14583*20159.64+16667*13439.76+4500*2299.12+10*194532+178*194532+623*475020+630*475020+10417*21499.44+11905*14999.96</f>
        <v>11334823162.459999</v>
      </c>
      <c r="DF677" s="166"/>
      <c r="DG677" s="192" t="s">
        <v>5459</v>
      </c>
      <c r="DH677" s="117"/>
      <c r="DI677" s="24"/>
      <c r="DJ677" s="24"/>
      <c r="DK677" s="24"/>
      <c r="DL677" s="24"/>
      <c r="DM677" s="24"/>
      <c r="DN677" s="24"/>
      <c r="DO677" s="24"/>
      <c r="DP677" s="24"/>
      <c r="DQ677" s="24"/>
      <c r="DR677" s="24"/>
      <c r="DS677" s="24"/>
      <c r="DT677" s="24"/>
      <c r="DU677" s="24"/>
    </row>
    <row r="678" spans="1:128" s="8" customFormat="1" ht="84" x14ac:dyDescent="0.2">
      <c r="A678" s="77">
        <v>41314</v>
      </c>
      <c r="B678" s="78" t="s">
        <v>2811</v>
      </c>
      <c r="C678" s="75" t="s">
        <v>147</v>
      </c>
      <c r="D678" s="75" t="s">
        <v>3194</v>
      </c>
      <c r="E678" s="75" t="str">
        <f>VLOOKUP(B678&amp;C678,Divipola!$C$2:$F$1138,4,FALSE)</f>
        <v>52254</v>
      </c>
      <c r="F678" s="163"/>
      <c r="G678" s="163"/>
      <c r="H678" s="163"/>
      <c r="I678" s="163">
        <v>65</v>
      </c>
      <c r="J678" s="163">
        <v>12</v>
      </c>
      <c r="K678" s="163"/>
      <c r="L678" s="163">
        <v>12</v>
      </c>
      <c r="M678" s="163"/>
      <c r="N678" s="163"/>
      <c r="O678" s="163"/>
      <c r="P678" s="163"/>
      <c r="Q678" s="163"/>
      <c r="R678" s="163"/>
      <c r="S678" s="163"/>
      <c r="T678" s="163"/>
      <c r="U678" s="163"/>
      <c r="V678" s="134"/>
      <c r="W678" s="96">
        <v>0</v>
      </c>
      <c r="X678" s="71">
        <f>CU678</f>
        <v>0</v>
      </c>
      <c r="Y678" s="71">
        <f>CY678</f>
        <v>0</v>
      </c>
      <c r="Z678" s="71">
        <f>DA678+DC678+DE678</f>
        <v>0</v>
      </c>
      <c r="AA678" s="71">
        <f>CW678</f>
        <v>0</v>
      </c>
      <c r="AB678" s="71"/>
      <c r="AC678" s="71">
        <v>0</v>
      </c>
      <c r="AD678" s="71">
        <f>W678+X678+Y678+Z678+AA678+AB678+AC678</f>
        <v>0</v>
      </c>
      <c r="AE678" s="72">
        <v>0</v>
      </c>
      <c r="AF678" s="5"/>
      <c r="AG678" s="6"/>
      <c r="AH678" s="27" t="s">
        <v>3392</v>
      </c>
      <c r="AI678" s="44" t="s">
        <v>3393</v>
      </c>
      <c r="AJ678" s="26"/>
      <c r="AK678" s="5"/>
      <c r="AL678" s="82" t="s">
        <v>3458</v>
      </c>
      <c r="AM678" s="76"/>
      <c r="AN678" s="76"/>
      <c r="AO678" s="76"/>
      <c r="AP678" s="76"/>
      <c r="AQ678" s="76"/>
      <c r="AR678" s="76"/>
      <c r="AS678" s="76"/>
      <c r="AT678" s="76"/>
      <c r="AU678" s="76"/>
      <c r="AV678" s="76"/>
      <c r="AW678" s="76"/>
      <c r="AX678" s="76">
        <f>+AW678*600000</f>
        <v>0</v>
      </c>
      <c r="AY678" s="76"/>
      <c r="AZ678" s="76">
        <f>+AY678*70000</f>
        <v>0</v>
      </c>
      <c r="BA678" s="76"/>
      <c r="BB678" s="76"/>
      <c r="BC678" s="76"/>
      <c r="BD678" s="76">
        <f>+BC678*30000</f>
        <v>0</v>
      </c>
      <c r="BE678" s="76"/>
      <c r="BF678" s="76"/>
      <c r="BG678" s="76"/>
      <c r="BH678" s="76"/>
      <c r="BI678" s="76"/>
      <c r="BJ678" s="76"/>
      <c r="BK678" s="76"/>
      <c r="BL678" s="76">
        <f>+BK678*31500</f>
        <v>0</v>
      </c>
      <c r="BM678" s="76"/>
      <c r="BN678" s="76"/>
      <c r="BO678" s="76"/>
      <c r="BP678" s="76"/>
      <c r="BQ678" s="76"/>
      <c r="BR678" s="76"/>
      <c r="BS678" s="76"/>
      <c r="BT678" s="76"/>
      <c r="BU678" s="76"/>
      <c r="BV678" s="76"/>
      <c r="BW678" s="76"/>
      <c r="BX678" s="76"/>
      <c r="BY678" s="76"/>
      <c r="BZ678" s="76"/>
      <c r="CA678" s="76"/>
      <c r="CB678" s="76"/>
      <c r="CC678" s="76"/>
      <c r="CD678" s="76"/>
      <c r="CE678" s="76"/>
      <c r="CF678" s="76">
        <f>+CE678*28000</f>
        <v>0</v>
      </c>
      <c r="CG678" s="76"/>
      <c r="CH678" s="76">
        <f>+CG678*22500</f>
        <v>0</v>
      </c>
      <c r="CI678" s="76"/>
      <c r="CJ678" s="76">
        <f>+CI678*26000</f>
        <v>0</v>
      </c>
      <c r="CK678" s="76"/>
      <c r="CL678" s="76"/>
      <c r="CM678" s="76"/>
      <c r="CN678" s="76">
        <f>+CM678*22000</f>
        <v>0</v>
      </c>
      <c r="CO678" s="76"/>
      <c r="CP678" s="76">
        <f>+CO678*46000</f>
        <v>0</v>
      </c>
      <c r="CQ678" s="76"/>
      <c r="CR678" s="76">
        <f>+CQ678*49000</f>
        <v>0</v>
      </c>
      <c r="CS678" s="76"/>
      <c r="CT678" s="76"/>
      <c r="CU678" s="56">
        <f>AN678+AP678+AR678+AT678+AV678+AX678+AZ678+BB678+BD678+BF678+BH678+BJ678+BL678+BN678+BP678+BR678+BT678+BV678+BX678+BZ678+CB678+CD678+CF678+CH678+CJ678+CL678+CN678+CP678+CR678+CT678</f>
        <v>0</v>
      </c>
      <c r="CV678" s="76"/>
      <c r="CW678" s="76">
        <f>+CV678*1100</f>
        <v>0</v>
      </c>
      <c r="CX678" s="76"/>
      <c r="CY678" s="76">
        <f>+CX678*106250</f>
        <v>0</v>
      </c>
      <c r="CZ678" s="76"/>
      <c r="DA678" s="76">
        <f>+CZ678*34500</f>
        <v>0</v>
      </c>
      <c r="DB678" s="76"/>
      <c r="DC678" s="76">
        <f>+DB678*25000</f>
        <v>0</v>
      </c>
      <c r="DD678" s="219"/>
      <c r="DE678" s="219"/>
      <c r="DF678" s="166"/>
      <c r="DG678" s="116"/>
      <c r="DH678" s="117"/>
      <c r="DI678" s="24"/>
      <c r="DJ678" s="24"/>
      <c r="DK678" s="24"/>
      <c r="DL678" s="24"/>
      <c r="DM678" s="24"/>
      <c r="DN678" s="24"/>
      <c r="DO678" s="24"/>
      <c r="DP678" s="24"/>
      <c r="DQ678" s="24"/>
      <c r="DR678" s="24"/>
      <c r="DS678" s="24"/>
      <c r="DT678" s="24"/>
      <c r="DU678" s="24"/>
    </row>
    <row r="679" spans="1:128" s="8" customFormat="1" ht="96" x14ac:dyDescent="0.2">
      <c r="A679" s="77">
        <v>41314</v>
      </c>
      <c r="B679" s="78" t="s">
        <v>2811</v>
      </c>
      <c r="C679" s="75" t="s">
        <v>501</v>
      </c>
      <c r="D679" s="75" t="s">
        <v>3194</v>
      </c>
      <c r="E679" s="75" t="str">
        <f>VLOOKUP(B679&amp;C679,Divipola!$C$2:$F$1138,4,FALSE)</f>
        <v>52260</v>
      </c>
      <c r="F679" s="163"/>
      <c r="G679" s="163"/>
      <c r="H679" s="163"/>
      <c r="I679" s="163">
        <v>40</v>
      </c>
      <c r="J679" s="163">
        <v>8</v>
      </c>
      <c r="K679" s="163"/>
      <c r="L679" s="163">
        <v>8</v>
      </c>
      <c r="M679" s="163"/>
      <c r="N679" s="163"/>
      <c r="O679" s="163"/>
      <c r="P679" s="163"/>
      <c r="Q679" s="163"/>
      <c r="R679" s="163">
        <v>1</v>
      </c>
      <c r="S679" s="163">
        <v>3</v>
      </c>
      <c r="T679" s="163"/>
      <c r="U679" s="163"/>
      <c r="V679" s="89">
        <v>2</v>
      </c>
      <c r="W679" s="96">
        <v>0</v>
      </c>
      <c r="X679" s="71">
        <f>CU679</f>
        <v>0</v>
      </c>
      <c r="Y679" s="71">
        <f>CY679</f>
        <v>0</v>
      </c>
      <c r="Z679" s="71">
        <f>DA679+DC679+DE679</f>
        <v>0</v>
      </c>
      <c r="AA679" s="71">
        <f>CW679</f>
        <v>0</v>
      </c>
      <c r="AB679" s="71"/>
      <c r="AC679" s="71">
        <v>0</v>
      </c>
      <c r="AD679" s="71">
        <f>W679+X679+Y679+Z679+AA679+AB679+AC679</f>
        <v>0</v>
      </c>
      <c r="AE679" s="72">
        <v>0</v>
      </c>
      <c r="AF679" s="5"/>
      <c r="AG679" s="6"/>
      <c r="AH679" s="27" t="s">
        <v>3392</v>
      </c>
      <c r="AI679" s="44" t="s">
        <v>3393</v>
      </c>
      <c r="AJ679" s="26"/>
      <c r="AK679" s="5"/>
      <c r="AL679" s="82" t="s">
        <v>3501</v>
      </c>
      <c r="AM679" s="76"/>
      <c r="AN679" s="76"/>
      <c r="AO679" s="76"/>
      <c r="AP679" s="76"/>
      <c r="AQ679" s="76"/>
      <c r="AR679" s="76"/>
      <c r="AS679" s="76"/>
      <c r="AT679" s="76"/>
      <c r="AU679" s="76"/>
      <c r="AV679" s="76"/>
      <c r="AW679" s="76"/>
      <c r="AX679" s="76">
        <f>+AW679*600000</f>
        <v>0</v>
      </c>
      <c r="AY679" s="76"/>
      <c r="AZ679" s="76">
        <f>+AY679*70000</f>
        <v>0</v>
      </c>
      <c r="BA679" s="76"/>
      <c r="BB679" s="76"/>
      <c r="BC679" s="76"/>
      <c r="BD679" s="76">
        <f>+BC679*30000</f>
        <v>0</v>
      </c>
      <c r="BE679" s="76"/>
      <c r="BF679" s="76"/>
      <c r="BG679" s="76"/>
      <c r="BH679" s="76"/>
      <c r="BI679" s="76"/>
      <c r="BJ679" s="76"/>
      <c r="BK679" s="76"/>
      <c r="BL679" s="76">
        <f>+BK679*31500</f>
        <v>0</v>
      </c>
      <c r="BM679" s="76"/>
      <c r="BN679" s="76"/>
      <c r="BO679" s="76"/>
      <c r="BP679" s="76"/>
      <c r="BQ679" s="76"/>
      <c r="BR679" s="76"/>
      <c r="BS679" s="76"/>
      <c r="BT679" s="76"/>
      <c r="BU679" s="76"/>
      <c r="BV679" s="76"/>
      <c r="BW679" s="76"/>
      <c r="BX679" s="76"/>
      <c r="BY679" s="76"/>
      <c r="BZ679" s="76"/>
      <c r="CA679" s="76"/>
      <c r="CB679" s="76"/>
      <c r="CC679" s="76"/>
      <c r="CD679" s="76"/>
      <c r="CE679" s="76"/>
      <c r="CF679" s="76">
        <f>+CE679*28000</f>
        <v>0</v>
      </c>
      <c r="CG679" s="76"/>
      <c r="CH679" s="76">
        <f>+CG679*22500</f>
        <v>0</v>
      </c>
      <c r="CI679" s="76"/>
      <c r="CJ679" s="76">
        <f>+CI679*26000</f>
        <v>0</v>
      </c>
      <c r="CK679" s="76"/>
      <c r="CL679" s="76"/>
      <c r="CM679" s="76"/>
      <c r="CN679" s="76">
        <f>+CM679*22000</f>
        <v>0</v>
      </c>
      <c r="CO679" s="76"/>
      <c r="CP679" s="76">
        <f>+CO679*46000</f>
        <v>0</v>
      </c>
      <c r="CQ679" s="76"/>
      <c r="CR679" s="76">
        <f>+CQ679*49000</f>
        <v>0</v>
      </c>
      <c r="CS679" s="76"/>
      <c r="CT679" s="76"/>
      <c r="CU679" s="56">
        <f>AN679+AP679+AR679+AT679+AV679+AX679+AZ679+BB679+BD679+BF679+BH679+BJ679+BL679+BN679+BP679+BR679+BT679+BV679+BX679+BZ679+CB679+CD679+CF679+CH679+CJ679+CL679+CN679+CP679+CR679+CT679</f>
        <v>0</v>
      </c>
      <c r="CV679" s="76"/>
      <c r="CW679" s="76">
        <f>+CV679*1100</f>
        <v>0</v>
      </c>
      <c r="CX679" s="76"/>
      <c r="CY679" s="76">
        <f>+CX679*106250</f>
        <v>0</v>
      </c>
      <c r="CZ679" s="76"/>
      <c r="DA679" s="76">
        <f>+CZ679*34500</f>
        <v>0</v>
      </c>
      <c r="DB679" s="76"/>
      <c r="DC679" s="76">
        <f>+DB679*25000</f>
        <v>0</v>
      </c>
      <c r="DD679" s="219"/>
      <c r="DE679" s="219"/>
      <c r="DF679" s="166"/>
      <c r="DG679" s="116"/>
      <c r="DH679" s="117"/>
      <c r="DI679" s="24"/>
      <c r="DJ679" s="24"/>
      <c r="DK679" s="24"/>
      <c r="DL679" s="24"/>
      <c r="DM679" s="24"/>
      <c r="DN679" s="24"/>
      <c r="DO679" s="24"/>
      <c r="DP679" s="24"/>
      <c r="DQ679" s="24"/>
      <c r="DR679" s="24"/>
      <c r="DS679" s="24"/>
      <c r="DT679" s="24"/>
      <c r="DU679" s="24"/>
    </row>
    <row r="680" spans="1:128" s="8" customFormat="1" ht="96" x14ac:dyDescent="0.2">
      <c r="A680" s="77">
        <v>41314</v>
      </c>
      <c r="B680" s="78" t="s">
        <v>2811</v>
      </c>
      <c r="C680" s="75" t="s">
        <v>478</v>
      </c>
      <c r="D680" s="75" t="s">
        <v>3194</v>
      </c>
      <c r="E680" s="75" t="str">
        <f>VLOOKUP(B680&amp;C680,Divipola!$C$2:$F$1138,4,FALSE)</f>
        <v>52287</v>
      </c>
      <c r="F680" s="163"/>
      <c r="G680" s="163"/>
      <c r="H680" s="163"/>
      <c r="I680" s="163">
        <v>42</v>
      </c>
      <c r="J680" s="163">
        <v>21</v>
      </c>
      <c r="K680" s="163"/>
      <c r="L680" s="163">
        <v>21</v>
      </c>
      <c r="M680" s="163"/>
      <c r="N680" s="163"/>
      <c r="O680" s="163"/>
      <c r="P680" s="163"/>
      <c r="Q680" s="163"/>
      <c r="R680" s="163"/>
      <c r="S680" s="163">
        <v>1</v>
      </c>
      <c r="T680" s="163"/>
      <c r="U680" s="163"/>
      <c r="V680" s="89">
        <v>1</v>
      </c>
      <c r="W680" s="96">
        <v>0</v>
      </c>
      <c r="X680" s="71">
        <f>CU680</f>
        <v>0</v>
      </c>
      <c r="Y680" s="71">
        <f>CY680</f>
        <v>0</v>
      </c>
      <c r="Z680" s="71">
        <f>DA680+DC680+DE680</f>
        <v>85348078</v>
      </c>
      <c r="AA680" s="71">
        <f>CW680</f>
        <v>0</v>
      </c>
      <c r="AB680" s="71"/>
      <c r="AC680" s="71">
        <v>0</v>
      </c>
      <c r="AD680" s="71">
        <f>W680+X680+Y680+Z680+AA680+AB680+AC680</f>
        <v>85348078</v>
      </c>
      <c r="AE680" s="72">
        <v>0</v>
      </c>
      <c r="AF680" s="5"/>
      <c r="AG680" s="6"/>
      <c r="AH680" s="27" t="s">
        <v>3390</v>
      </c>
      <c r="AI680" s="44" t="s">
        <v>3391</v>
      </c>
      <c r="AJ680" s="26"/>
      <c r="AK680" s="5"/>
      <c r="AL680" s="82" t="s">
        <v>3500</v>
      </c>
      <c r="AM680" s="76"/>
      <c r="AN680" s="76"/>
      <c r="AO680" s="76"/>
      <c r="AP680" s="76"/>
      <c r="AQ680" s="76"/>
      <c r="AR680" s="76"/>
      <c r="AS680" s="76"/>
      <c r="AT680" s="76"/>
      <c r="AU680" s="76"/>
      <c r="AV680" s="76"/>
      <c r="AW680" s="76"/>
      <c r="AX680" s="76">
        <f>+AW680*600000</f>
        <v>0</v>
      </c>
      <c r="AY680" s="76"/>
      <c r="AZ680" s="76">
        <f>+AY680*70000</f>
        <v>0</v>
      </c>
      <c r="BA680" s="76"/>
      <c r="BB680" s="76"/>
      <c r="BC680" s="76"/>
      <c r="BD680" s="76">
        <f>+BC680*30000</f>
        <v>0</v>
      </c>
      <c r="BE680" s="76"/>
      <c r="BF680" s="76"/>
      <c r="BG680" s="76"/>
      <c r="BH680" s="76"/>
      <c r="BI680" s="76"/>
      <c r="BJ680" s="76"/>
      <c r="BK680" s="76"/>
      <c r="BL680" s="76">
        <f>+BK680*31500</f>
        <v>0</v>
      </c>
      <c r="BM680" s="76"/>
      <c r="BN680" s="76"/>
      <c r="BO680" s="76"/>
      <c r="BP680" s="76"/>
      <c r="BQ680" s="76"/>
      <c r="BR680" s="76"/>
      <c r="BS680" s="76"/>
      <c r="BT680" s="76"/>
      <c r="BU680" s="76"/>
      <c r="BV680" s="76"/>
      <c r="BW680" s="76"/>
      <c r="BX680" s="76"/>
      <c r="BY680" s="76"/>
      <c r="BZ680" s="76"/>
      <c r="CA680" s="76"/>
      <c r="CB680" s="76"/>
      <c r="CC680" s="76"/>
      <c r="CD680" s="76"/>
      <c r="CE680" s="76"/>
      <c r="CF680" s="76">
        <f>+CE680*28000</f>
        <v>0</v>
      </c>
      <c r="CG680" s="76"/>
      <c r="CH680" s="76">
        <f>+CG680*22500</f>
        <v>0</v>
      </c>
      <c r="CI680" s="76"/>
      <c r="CJ680" s="76">
        <f>+CI680*26000</f>
        <v>0</v>
      </c>
      <c r="CK680" s="76"/>
      <c r="CL680" s="76"/>
      <c r="CM680" s="76"/>
      <c r="CN680" s="76">
        <f>+CM680*22000</f>
        <v>0</v>
      </c>
      <c r="CO680" s="76"/>
      <c r="CP680" s="76">
        <f>+CO680*46000</f>
        <v>0</v>
      </c>
      <c r="CQ680" s="76"/>
      <c r="CR680" s="76">
        <f>+CQ680*49000</f>
        <v>0</v>
      </c>
      <c r="CS680" s="76"/>
      <c r="CT680" s="76"/>
      <c r="CU680" s="56">
        <f>AN680+AP680+AR680+AT680+AV680+AX680+AZ680+BB680+BD680+BF680+BH680+BJ680+BL680+BN680+BP680+BR680+BT680+BV680+BX680+BZ680+CB680+CD680+CF680+CH680+CJ680+CL680+CN680+CP680+CR680+CT680</f>
        <v>0</v>
      </c>
      <c r="CV680" s="76"/>
      <c r="CW680" s="76">
        <f>+CV680*1100</f>
        <v>0</v>
      </c>
      <c r="CX680" s="76"/>
      <c r="CY680" s="76">
        <f>+CX680*106250</f>
        <v>0</v>
      </c>
      <c r="CZ680" s="86">
        <v>720</v>
      </c>
      <c r="DA680" s="86">
        <f>+CZ680*34500</f>
        <v>24840000</v>
      </c>
      <c r="DB680" s="86">
        <f>126+1887+74</f>
        <v>2087</v>
      </c>
      <c r="DC680" s="86">
        <f>126*39200+510*400+1887*1250+74*40320</f>
        <v>10485630</v>
      </c>
      <c r="DD680" s="221" t="s">
        <v>3900</v>
      </c>
      <c r="DE680" s="223">
        <f>26400*1500+261*20160+200*13140+3*267896+55*28000+9*21000</f>
        <v>50022448</v>
      </c>
      <c r="DF680" s="166"/>
      <c r="DG680" s="134" t="s">
        <v>5141</v>
      </c>
      <c r="DH680" s="117"/>
      <c r="DI680" s="24"/>
      <c r="DJ680" s="24"/>
      <c r="DK680" s="24"/>
      <c r="DL680" s="24"/>
      <c r="DM680" s="24"/>
      <c r="DN680" s="24"/>
      <c r="DO680" s="24"/>
      <c r="DP680" s="24"/>
      <c r="DQ680" s="24"/>
      <c r="DR680" s="24"/>
      <c r="DS680" s="24"/>
      <c r="DT680" s="24"/>
      <c r="DU680" s="24"/>
    </row>
    <row r="681" spans="1:128" s="8" customFormat="1" ht="84" x14ac:dyDescent="0.2">
      <c r="A681" s="77">
        <v>41314</v>
      </c>
      <c r="B681" s="78" t="s">
        <v>2811</v>
      </c>
      <c r="C681" s="75" t="s">
        <v>155</v>
      </c>
      <c r="D681" s="75" t="s">
        <v>3194</v>
      </c>
      <c r="E681" s="75" t="str">
        <f>VLOOKUP(B681&amp;C681,Divipola!$C$2:$F$1138,4,FALSE)</f>
        <v>52317</v>
      </c>
      <c r="F681" s="163"/>
      <c r="G681" s="163"/>
      <c r="H681" s="163"/>
      <c r="I681" s="163">
        <v>25</v>
      </c>
      <c r="J681" s="163">
        <v>5</v>
      </c>
      <c r="K681" s="163"/>
      <c r="L681" s="163">
        <v>5</v>
      </c>
      <c r="M681" s="163"/>
      <c r="N681" s="163"/>
      <c r="O681" s="163"/>
      <c r="P681" s="163"/>
      <c r="Q681" s="163"/>
      <c r="R681" s="163"/>
      <c r="S681" s="163"/>
      <c r="T681" s="163"/>
      <c r="U681" s="163"/>
      <c r="V681" s="89"/>
      <c r="W681" s="96">
        <v>0</v>
      </c>
      <c r="X681" s="71">
        <f>CU681</f>
        <v>0</v>
      </c>
      <c r="Y681" s="71">
        <f>CY681</f>
        <v>0</v>
      </c>
      <c r="Z681" s="71">
        <f>DA681+DC681+DE681</f>
        <v>0</v>
      </c>
      <c r="AA681" s="71">
        <f>CW681</f>
        <v>0</v>
      </c>
      <c r="AB681" s="71"/>
      <c r="AC681" s="71">
        <v>0</v>
      </c>
      <c r="AD681" s="71">
        <f>W681+X681+Y681+Z681+AA681+AB681+AC681</f>
        <v>0</v>
      </c>
      <c r="AE681" s="72">
        <v>0</v>
      </c>
      <c r="AF681" s="5"/>
      <c r="AG681" s="6"/>
      <c r="AH681" s="27" t="s">
        <v>3392</v>
      </c>
      <c r="AI681" s="44" t="s">
        <v>3393</v>
      </c>
      <c r="AJ681" s="26"/>
      <c r="AK681" s="5"/>
      <c r="AL681" s="82" t="s">
        <v>3458</v>
      </c>
      <c r="AM681" s="76"/>
      <c r="AN681" s="76"/>
      <c r="AO681" s="76"/>
      <c r="AP681" s="76"/>
      <c r="AQ681" s="76"/>
      <c r="AR681" s="76"/>
      <c r="AS681" s="76"/>
      <c r="AT681" s="76"/>
      <c r="AU681" s="76"/>
      <c r="AV681" s="76"/>
      <c r="AW681" s="76"/>
      <c r="AX681" s="76">
        <f>+AW681*600000</f>
        <v>0</v>
      </c>
      <c r="AY681" s="76"/>
      <c r="AZ681" s="76">
        <f>+AY681*70000</f>
        <v>0</v>
      </c>
      <c r="BA681" s="76"/>
      <c r="BB681" s="76"/>
      <c r="BC681" s="76"/>
      <c r="BD681" s="76">
        <f>+BC681*30000</f>
        <v>0</v>
      </c>
      <c r="BE681" s="76"/>
      <c r="BF681" s="76"/>
      <c r="BG681" s="76"/>
      <c r="BH681" s="76"/>
      <c r="BI681" s="76"/>
      <c r="BJ681" s="76"/>
      <c r="BK681" s="76"/>
      <c r="BL681" s="76">
        <f>+BK681*31500</f>
        <v>0</v>
      </c>
      <c r="BM681" s="76"/>
      <c r="BN681" s="76"/>
      <c r="BO681" s="76"/>
      <c r="BP681" s="76"/>
      <c r="BQ681" s="76"/>
      <c r="BR681" s="76"/>
      <c r="BS681" s="76"/>
      <c r="BT681" s="76"/>
      <c r="BU681" s="76"/>
      <c r="BV681" s="76"/>
      <c r="BW681" s="76"/>
      <c r="BX681" s="76"/>
      <c r="BY681" s="76"/>
      <c r="BZ681" s="76"/>
      <c r="CA681" s="76"/>
      <c r="CB681" s="76"/>
      <c r="CC681" s="76"/>
      <c r="CD681" s="76"/>
      <c r="CE681" s="76"/>
      <c r="CF681" s="76">
        <f>+CE681*28000</f>
        <v>0</v>
      </c>
      <c r="CG681" s="76"/>
      <c r="CH681" s="76">
        <f>+CG681*22500</f>
        <v>0</v>
      </c>
      <c r="CI681" s="76"/>
      <c r="CJ681" s="76">
        <f>+CI681*26000</f>
        <v>0</v>
      </c>
      <c r="CK681" s="76"/>
      <c r="CL681" s="76"/>
      <c r="CM681" s="76"/>
      <c r="CN681" s="76">
        <f>+CM681*22000</f>
        <v>0</v>
      </c>
      <c r="CO681" s="76"/>
      <c r="CP681" s="76">
        <f>+CO681*46000</f>
        <v>0</v>
      </c>
      <c r="CQ681" s="76"/>
      <c r="CR681" s="76">
        <f>+CQ681*49000</f>
        <v>0</v>
      </c>
      <c r="CS681" s="76"/>
      <c r="CT681" s="76"/>
      <c r="CU681" s="56">
        <f>AN681+AP681+AR681+AT681+AV681+AX681+AZ681+BB681+BD681+BF681+BH681+BJ681+BL681+BN681+BP681+BR681+BT681+BV681+BX681+BZ681+CB681+CD681+CF681+CH681+CJ681+CL681+CN681+CP681+CR681+CT681</f>
        <v>0</v>
      </c>
      <c r="CV681" s="76"/>
      <c r="CW681" s="76">
        <f>+CV681*1100</f>
        <v>0</v>
      </c>
      <c r="CX681" s="76"/>
      <c r="CY681" s="76">
        <f>+CX681*106250</f>
        <v>0</v>
      </c>
      <c r="CZ681" s="76"/>
      <c r="DA681" s="76">
        <f>+CZ681*34500</f>
        <v>0</v>
      </c>
      <c r="DB681" s="76"/>
      <c r="DC681" s="76">
        <f>+DB681*25000</f>
        <v>0</v>
      </c>
      <c r="DD681" s="219"/>
      <c r="DE681" s="219"/>
      <c r="DF681" s="166"/>
      <c r="DG681" s="116"/>
      <c r="DH681" s="117"/>
      <c r="DI681" s="24"/>
      <c r="DJ681" s="24"/>
      <c r="DK681" s="24"/>
      <c r="DL681" s="24"/>
      <c r="DM681" s="24"/>
      <c r="DN681" s="24"/>
      <c r="DO681" s="24"/>
      <c r="DP681" s="24"/>
      <c r="DQ681" s="24"/>
      <c r="DR681" s="24"/>
      <c r="DS681" s="24"/>
      <c r="DT681" s="24"/>
      <c r="DU681" s="24"/>
    </row>
    <row r="682" spans="1:128" s="8" customFormat="1" ht="96" x14ac:dyDescent="0.2">
      <c r="A682" s="77">
        <v>41314</v>
      </c>
      <c r="B682" s="78" t="s">
        <v>2811</v>
      </c>
      <c r="C682" s="75" t="s">
        <v>2116</v>
      </c>
      <c r="D682" s="75" t="s">
        <v>3194</v>
      </c>
      <c r="E682" s="75" t="str">
        <f>VLOOKUP(B682&amp;C682,Divipola!$C$2:$F$1138,4,FALSE)</f>
        <v>52320</v>
      </c>
      <c r="F682" s="163"/>
      <c r="G682" s="163"/>
      <c r="H682" s="163"/>
      <c r="I682" s="163">
        <v>59</v>
      </c>
      <c r="J682" s="163">
        <v>8</v>
      </c>
      <c r="K682" s="163">
        <v>5</v>
      </c>
      <c r="L682" s="163">
        <v>3</v>
      </c>
      <c r="M682" s="163"/>
      <c r="N682" s="163"/>
      <c r="O682" s="163"/>
      <c r="P682" s="163"/>
      <c r="Q682" s="163"/>
      <c r="R682" s="163"/>
      <c r="S682" s="163"/>
      <c r="T682" s="163"/>
      <c r="U682" s="163"/>
      <c r="V682" s="89">
        <v>1</v>
      </c>
      <c r="W682" s="96">
        <v>0</v>
      </c>
      <c r="X682" s="71">
        <f>CU682</f>
        <v>0</v>
      </c>
      <c r="Y682" s="71">
        <f>CY682</f>
        <v>0</v>
      </c>
      <c r="Z682" s="71">
        <f>DA682+DC682+DE682</f>
        <v>69270212</v>
      </c>
      <c r="AA682" s="71">
        <f>CW682</f>
        <v>0</v>
      </c>
      <c r="AB682" s="71"/>
      <c r="AC682" s="71">
        <v>0</v>
      </c>
      <c r="AD682" s="71">
        <f>W682+X682+Y682+Z682+AA682+AB682+AC682</f>
        <v>69270212</v>
      </c>
      <c r="AE682" s="72">
        <v>0</v>
      </c>
      <c r="AF682" s="5"/>
      <c r="AG682" s="6"/>
      <c r="AH682" s="27" t="s">
        <v>3390</v>
      </c>
      <c r="AI682" s="44" t="s">
        <v>3391</v>
      </c>
      <c r="AJ682" s="26"/>
      <c r="AK682" s="5"/>
      <c r="AL682" s="82" t="s">
        <v>3500</v>
      </c>
      <c r="AM682" s="76"/>
      <c r="AN682" s="76"/>
      <c r="AO682" s="76"/>
      <c r="AP682" s="76"/>
      <c r="AQ682" s="76"/>
      <c r="AR682" s="76"/>
      <c r="AS682" s="76"/>
      <c r="AT682" s="76"/>
      <c r="AU682" s="76"/>
      <c r="AV682" s="76"/>
      <c r="AW682" s="76"/>
      <c r="AX682" s="76">
        <f>+AW682*600000</f>
        <v>0</v>
      </c>
      <c r="AY682" s="76"/>
      <c r="AZ682" s="76">
        <f>+AY682*70000</f>
        <v>0</v>
      </c>
      <c r="BA682" s="76"/>
      <c r="BB682" s="76"/>
      <c r="BC682" s="76"/>
      <c r="BD682" s="76">
        <f>+BC682*30000</f>
        <v>0</v>
      </c>
      <c r="BE682" s="76"/>
      <c r="BF682" s="76"/>
      <c r="BG682" s="76"/>
      <c r="BH682" s="76"/>
      <c r="BI682" s="76"/>
      <c r="BJ682" s="76"/>
      <c r="BK682" s="76"/>
      <c r="BL682" s="76">
        <f>+BK682*31500</f>
        <v>0</v>
      </c>
      <c r="BM682" s="76"/>
      <c r="BN682" s="76"/>
      <c r="BO682" s="76"/>
      <c r="BP682" s="76"/>
      <c r="BQ682" s="76"/>
      <c r="BR682" s="76"/>
      <c r="BS682" s="76"/>
      <c r="BT682" s="76"/>
      <c r="BU682" s="76"/>
      <c r="BV682" s="76"/>
      <c r="BW682" s="76"/>
      <c r="BX682" s="76"/>
      <c r="BY682" s="76"/>
      <c r="BZ682" s="76"/>
      <c r="CA682" s="76"/>
      <c r="CB682" s="76"/>
      <c r="CC682" s="76"/>
      <c r="CD682" s="76"/>
      <c r="CE682" s="76"/>
      <c r="CF682" s="76">
        <f>+CE682*28000</f>
        <v>0</v>
      </c>
      <c r="CG682" s="76"/>
      <c r="CH682" s="76">
        <f>+CG682*22500</f>
        <v>0</v>
      </c>
      <c r="CI682" s="76"/>
      <c r="CJ682" s="76">
        <f>+CI682*26000</f>
        <v>0</v>
      </c>
      <c r="CK682" s="76"/>
      <c r="CL682" s="76"/>
      <c r="CM682" s="76"/>
      <c r="CN682" s="76">
        <f>+CM682*22000</f>
        <v>0</v>
      </c>
      <c r="CO682" s="76"/>
      <c r="CP682" s="76">
        <f>+CO682*46000</f>
        <v>0</v>
      </c>
      <c r="CQ682" s="76"/>
      <c r="CR682" s="76">
        <f>+CQ682*49000</f>
        <v>0</v>
      </c>
      <c r="CS682" s="76"/>
      <c r="CT682" s="76"/>
      <c r="CU682" s="56">
        <f>AN682+AP682+AR682+AT682+AV682+AX682+AZ682+BB682+BD682+BF682+BH682+BJ682+BL682+BN682+BP682+BR682+BT682+BV682+BX682+BZ682+CB682+CD682+CF682+CH682+CJ682+CL682+CN682+CP682+CR682+CT682</f>
        <v>0</v>
      </c>
      <c r="CV682" s="76"/>
      <c r="CW682" s="76">
        <f>+CV682*1100</f>
        <v>0</v>
      </c>
      <c r="CX682" s="76"/>
      <c r="CY682" s="76">
        <f>+CX682*106250</f>
        <v>0</v>
      </c>
      <c r="CZ682" s="86">
        <v>650</v>
      </c>
      <c r="DA682" s="86">
        <f>+CZ682*34500</f>
        <v>22425000</v>
      </c>
      <c r="DB682" s="86">
        <f>115+222068</f>
        <v>222183</v>
      </c>
      <c r="DC682" s="86">
        <f>115*39200+2220*1250+68*40320+460*400</f>
        <v>10208760</v>
      </c>
      <c r="DD682" s="221" t="s">
        <v>3901</v>
      </c>
      <c r="DE682" s="223">
        <f>19250*1500+195*20160+149*13140+2*267696+44*28000+5*21000</f>
        <v>36636452</v>
      </c>
      <c r="DF682" s="166"/>
      <c r="DG682" s="134" t="s">
        <v>5460</v>
      </c>
      <c r="DH682" s="117"/>
      <c r="DI682" s="24"/>
      <c r="DJ682" s="24"/>
      <c r="DK682" s="24"/>
      <c r="DL682" s="24"/>
      <c r="DM682" s="24"/>
      <c r="DN682" s="24"/>
      <c r="DO682" s="24"/>
      <c r="DP682" s="24"/>
      <c r="DQ682" s="24"/>
      <c r="DR682" s="24"/>
      <c r="DS682" s="24"/>
      <c r="DT682" s="24"/>
      <c r="DU682" s="24"/>
    </row>
    <row r="683" spans="1:128" s="8" customFormat="1" ht="84" x14ac:dyDescent="0.2">
      <c r="A683" s="77">
        <v>41314</v>
      </c>
      <c r="B683" s="78" t="s">
        <v>2811</v>
      </c>
      <c r="C683" s="75" t="s">
        <v>165</v>
      </c>
      <c r="D683" s="75" t="s">
        <v>3194</v>
      </c>
      <c r="E683" s="75" t="str">
        <f>VLOOKUP(B683&amp;C683,Divipola!$C$2:$F$1138,4,FALSE)</f>
        <v>52354</v>
      </c>
      <c r="F683" s="163"/>
      <c r="G683" s="163"/>
      <c r="H683" s="163"/>
      <c r="I683" s="163">
        <v>41</v>
      </c>
      <c r="J683" s="163">
        <v>10</v>
      </c>
      <c r="K683" s="163">
        <v>5</v>
      </c>
      <c r="L683" s="163">
        <v>5</v>
      </c>
      <c r="M683" s="163"/>
      <c r="N683" s="163"/>
      <c r="O683" s="163"/>
      <c r="P683" s="163"/>
      <c r="Q683" s="163"/>
      <c r="R683" s="163"/>
      <c r="S683" s="163"/>
      <c r="T683" s="163"/>
      <c r="U683" s="163"/>
      <c r="V683" s="134"/>
      <c r="W683" s="96">
        <v>0</v>
      </c>
      <c r="X683" s="71">
        <f>CU683</f>
        <v>0</v>
      </c>
      <c r="Y683" s="71">
        <f>CY683</f>
        <v>0</v>
      </c>
      <c r="Z683" s="71">
        <f>DA683+DC683+DE683</f>
        <v>89262356</v>
      </c>
      <c r="AA683" s="71">
        <f>CW683</f>
        <v>0</v>
      </c>
      <c r="AB683" s="71"/>
      <c r="AC683" s="71">
        <v>0</v>
      </c>
      <c r="AD683" s="71">
        <f>W683+X683+Y683+Z683+AA683+AB683+AC683</f>
        <v>89262356</v>
      </c>
      <c r="AE683" s="72">
        <v>0</v>
      </c>
      <c r="AF683" s="5"/>
      <c r="AG683" s="6"/>
      <c r="AH683" s="27" t="s">
        <v>3390</v>
      </c>
      <c r="AI683" s="44" t="s">
        <v>3391</v>
      </c>
      <c r="AJ683" s="26"/>
      <c r="AK683" s="5"/>
      <c r="AL683" s="82" t="s">
        <v>3458</v>
      </c>
      <c r="AM683" s="76"/>
      <c r="AN683" s="76"/>
      <c r="AO683" s="76"/>
      <c r="AP683" s="76"/>
      <c r="AQ683" s="76"/>
      <c r="AR683" s="76"/>
      <c r="AS683" s="76"/>
      <c r="AT683" s="76"/>
      <c r="AU683" s="76"/>
      <c r="AV683" s="76"/>
      <c r="AW683" s="76"/>
      <c r="AX683" s="76">
        <f>+AW683*600000</f>
        <v>0</v>
      </c>
      <c r="AY683" s="76"/>
      <c r="AZ683" s="76">
        <f>+AY683*70000</f>
        <v>0</v>
      </c>
      <c r="BA683" s="76"/>
      <c r="BB683" s="76"/>
      <c r="BC683" s="76"/>
      <c r="BD683" s="76">
        <f>+BC683*30000</f>
        <v>0</v>
      </c>
      <c r="BE683" s="76"/>
      <c r="BF683" s="76"/>
      <c r="BG683" s="76"/>
      <c r="BH683" s="76"/>
      <c r="BI683" s="76"/>
      <c r="BJ683" s="76"/>
      <c r="BK683" s="76"/>
      <c r="BL683" s="76">
        <f>+BK683*31500</f>
        <v>0</v>
      </c>
      <c r="BM683" s="76"/>
      <c r="BN683" s="76"/>
      <c r="BO683" s="76"/>
      <c r="BP683" s="76"/>
      <c r="BQ683" s="76"/>
      <c r="BR683" s="76"/>
      <c r="BS683" s="76"/>
      <c r="BT683" s="76"/>
      <c r="BU683" s="76"/>
      <c r="BV683" s="76"/>
      <c r="BW683" s="76"/>
      <c r="BX683" s="76"/>
      <c r="BY683" s="76"/>
      <c r="BZ683" s="76"/>
      <c r="CA683" s="76"/>
      <c r="CB683" s="76"/>
      <c r="CC683" s="76"/>
      <c r="CD683" s="76"/>
      <c r="CE683" s="76"/>
      <c r="CF683" s="76">
        <f>+CE683*28000</f>
        <v>0</v>
      </c>
      <c r="CG683" s="76"/>
      <c r="CH683" s="76">
        <f>+CG683*22500</f>
        <v>0</v>
      </c>
      <c r="CI683" s="76"/>
      <c r="CJ683" s="76">
        <f>+CI683*26000</f>
        <v>0</v>
      </c>
      <c r="CK683" s="76"/>
      <c r="CL683" s="76"/>
      <c r="CM683" s="76"/>
      <c r="CN683" s="76">
        <f>+CM683*22000</f>
        <v>0</v>
      </c>
      <c r="CO683" s="76"/>
      <c r="CP683" s="76">
        <f>+CO683*46000</f>
        <v>0</v>
      </c>
      <c r="CQ683" s="76"/>
      <c r="CR683" s="76">
        <f>+CQ683*49000</f>
        <v>0</v>
      </c>
      <c r="CS683" s="76"/>
      <c r="CT683" s="76"/>
      <c r="CU683" s="56">
        <f>AN683+AP683+AR683+AT683+AV683+AX683+AZ683+BB683+BD683+BF683+BH683+BJ683+BL683+BN683+BP683+BR683+BT683+BV683+BX683+BZ683+CB683+CD683+CF683+CH683+CJ683+CL683+CN683+CP683+CR683+CT683</f>
        <v>0</v>
      </c>
      <c r="CV683" s="76"/>
      <c r="CW683" s="76">
        <f>+CV683*1100</f>
        <v>0</v>
      </c>
      <c r="CX683" s="76"/>
      <c r="CY683" s="76">
        <f>+CX683*106250</f>
        <v>0</v>
      </c>
      <c r="CZ683" s="86">
        <v>810</v>
      </c>
      <c r="DA683" s="86">
        <f>+CZ683*34500</f>
        <v>27945000</v>
      </c>
      <c r="DB683" s="86">
        <f>155+1110+95</f>
        <v>1360</v>
      </c>
      <c r="DC683" s="86">
        <f>155*39200+1110*1250+95*40320+620*400</f>
        <v>11541900</v>
      </c>
      <c r="DD683" s="221" t="s">
        <v>3902</v>
      </c>
      <c r="DE683" s="223">
        <f>26700*1500+261*20160+200*13140+1*267696+53*28000+4*21000</f>
        <v>49775456</v>
      </c>
      <c r="DF683" s="166"/>
      <c r="DG683" s="134" t="s">
        <v>5460</v>
      </c>
      <c r="DH683" s="117"/>
      <c r="DI683" s="24"/>
      <c r="DJ683" s="24"/>
      <c r="DK683" s="24"/>
      <c r="DL683" s="24"/>
      <c r="DM683" s="24"/>
      <c r="DN683" s="24"/>
      <c r="DO683" s="24"/>
      <c r="DP683" s="24"/>
      <c r="DQ683" s="24"/>
      <c r="DR683" s="24"/>
      <c r="DS683" s="24"/>
      <c r="DT683" s="24"/>
      <c r="DU683" s="24"/>
    </row>
    <row r="684" spans="1:128" s="8" customFormat="1" ht="84" x14ac:dyDescent="0.2">
      <c r="A684" s="77">
        <v>41314</v>
      </c>
      <c r="B684" s="78" t="s">
        <v>2811</v>
      </c>
      <c r="C684" s="75" t="s">
        <v>170</v>
      </c>
      <c r="D684" s="75" t="s">
        <v>3194</v>
      </c>
      <c r="E684" s="75" t="str">
        <f>VLOOKUP(B684&amp;C684,Divipola!$C$2:$F$1138,4,FALSE)</f>
        <v>52378</v>
      </c>
      <c r="F684" s="163"/>
      <c r="G684" s="163"/>
      <c r="H684" s="163"/>
      <c r="I684" s="163">
        <v>10</v>
      </c>
      <c r="J684" s="163">
        <v>3</v>
      </c>
      <c r="K684" s="163"/>
      <c r="L684" s="163">
        <v>3</v>
      </c>
      <c r="M684" s="163"/>
      <c r="N684" s="163"/>
      <c r="O684" s="163"/>
      <c r="P684" s="163"/>
      <c r="Q684" s="163"/>
      <c r="R684" s="163"/>
      <c r="S684" s="163"/>
      <c r="T684" s="163"/>
      <c r="U684" s="163"/>
      <c r="V684" s="134"/>
      <c r="W684" s="96">
        <v>0</v>
      </c>
      <c r="X684" s="71">
        <f>CU684</f>
        <v>0</v>
      </c>
      <c r="Y684" s="71">
        <f>CY684</f>
        <v>0</v>
      </c>
      <c r="Z684" s="71">
        <f>DA684+DC684+DE684</f>
        <v>0</v>
      </c>
      <c r="AA684" s="71">
        <f>CW684</f>
        <v>0</v>
      </c>
      <c r="AB684" s="71"/>
      <c r="AC684" s="71">
        <v>0</v>
      </c>
      <c r="AD684" s="71">
        <f>W684+X684+Y684+Z684+AA684+AB684+AC684</f>
        <v>0</v>
      </c>
      <c r="AE684" s="72">
        <v>0</v>
      </c>
      <c r="AF684" s="5"/>
      <c r="AG684" s="6"/>
      <c r="AH684" s="27" t="s">
        <v>3392</v>
      </c>
      <c r="AI684" s="44" t="s">
        <v>3393</v>
      </c>
      <c r="AJ684" s="26"/>
      <c r="AK684" s="5"/>
      <c r="AL684" s="82" t="s">
        <v>3458</v>
      </c>
      <c r="AM684" s="76"/>
      <c r="AN684" s="76"/>
      <c r="AO684" s="76"/>
      <c r="AP684" s="76"/>
      <c r="AQ684" s="76"/>
      <c r="AR684" s="76"/>
      <c r="AS684" s="76"/>
      <c r="AT684" s="76"/>
      <c r="AU684" s="76"/>
      <c r="AV684" s="76"/>
      <c r="AW684" s="76"/>
      <c r="AX684" s="76">
        <f>+AW684*600000</f>
        <v>0</v>
      </c>
      <c r="AY684" s="76"/>
      <c r="AZ684" s="76">
        <f>+AY684*70000</f>
        <v>0</v>
      </c>
      <c r="BA684" s="76"/>
      <c r="BB684" s="76"/>
      <c r="BC684" s="76"/>
      <c r="BD684" s="76">
        <f>+BC684*30000</f>
        <v>0</v>
      </c>
      <c r="BE684" s="76"/>
      <c r="BF684" s="76"/>
      <c r="BG684" s="76"/>
      <c r="BH684" s="76"/>
      <c r="BI684" s="76"/>
      <c r="BJ684" s="76"/>
      <c r="BK684" s="76"/>
      <c r="BL684" s="76">
        <f>+BK684*31500</f>
        <v>0</v>
      </c>
      <c r="BM684" s="76"/>
      <c r="BN684" s="76"/>
      <c r="BO684" s="76"/>
      <c r="BP684" s="76"/>
      <c r="BQ684" s="76"/>
      <c r="BR684" s="76"/>
      <c r="BS684" s="76"/>
      <c r="BT684" s="76"/>
      <c r="BU684" s="76"/>
      <c r="BV684" s="76"/>
      <c r="BW684" s="76"/>
      <c r="BX684" s="76"/>
      <c r="BY684" s="76"/>
      <c r="BZ684" s="76"/>
      <c r="CA684" s="76"/>
      <c r="CB684" s="76"/>
      <c r="CC684" s="76"/>
      <c r="CD684" s="76"/>
      <c r="CE684" s="76"/>
      <c r="CF684" s="76">
        <f>+CE684*28000</f>
        <v>0</v>
      </c>
      <c r="CG684" s="76"/>
      <c r="CH684" s="76">
        <f>+CG684*22500</f>
        <v>0</v>
      </c>
      <c r="CI684" s="76"/>
      <c r="CJ684" s="76">
        <f>+CI684*26000</f>
        <v>0</v>
      </c>
      <c r="CK684" s="76"/>
      <c r="CL684" s="76"/>
      <c r="CM684" s="76"/>
      <c r="CN684" s="76">
        <f>+CM684*22000</f>
        <v>0</v>
      </c>
      <c r="CO684" s="76"/>
      <c r="CP684" s="76">
        <f>+CO684*46000</f>
        <v>0</v>
      </c>
      <c r="CQ684" s="76"/>
      <c r="CR684" s="76">
        <f>+CQ684*49000</f>
        <v>0</v>
      </c>
      <c r="CS684" s="76"/>
      <c r="CT684" s="76"/>
      <c r="CU684" s="56">
        <f>AN684+AP684+AR684+AT684+AV684+AX684+AZ684+BB684+BD684+BF684+BH684+BJ684+BL684+BN684+BP684+BR684+BT684+BV684+BX684+BZ684+CB684+CD684+CF684+CH684+CJ684+CL684+CN684+CP684+CR684+CT684</f>
        <v>0</v>
      </c>
      <c r="CV684" s="76"/>
      <c r="CW684" s="76">
        <f>+CV684*1100</f>
        <v>0</v>
      </c>
      <c r="CX684" s="76"/>
      <c r="CY684" s="76">
        <f>+CX684*106250</f>
        <v>0</v>
      </c>
      <c r="CZ684" s="76"/>
      <c r="DA684" s="76">
        <f>+CZ684*34500</f>
        <v>0</v>
      </c>
      <c r="DB684" s="76"/>
      <c r="DC684" s="76">
        <f>+DB684*25000</f>
        <v>0</v>
      </c>
      <c r="DD684" s="219"/>
      <c r="DE684" s="219"/>
      <c r="DF684" s="166"/>
      <c r="DG684" s="116"/>
      <c r="DH684" s="117"/>
      <c r="DI684" s="24"/>
      <c r="DJ684" s="24"/>
      <c r="DK684" s="24"/>
      <c r="DL684" s="24"/>
      <c r="DM684" s="24"/>
      <c r="DN684" s="24"/>
      <c r="DO684" s="24"/>
      <c r="DP684" s="24"/>
      <c r="DQ684" s="24"/>
      <c r="DR684" s="24"/>
      <c r="DS684" s="24"/>
      <c r="DT684" s="24"/>
      <c r="DU684" s="24"/>
    </row>
    <row r="685" spans="1:128" s="8" customFormat="1" ht="84" x14ac:dyDescent="0.2">
      <c r="A685" s="77">
        <v>41314</v>
      </c>
      <c r="B685" s="78" t="s">
        <v>2811</v>
      </c>
      <c r="C685" s="75" t="s">
        <v>520</v>
      </c>
      <c r="D685" s="75" t="s">
        <v>3194</v>
      </c>
      <c r="E685" s="75" t="str">
        <f>VLOOKUP(B685&amp;C685,Divipola!$C$2:$F$1138,4,FALSE)</f>
        <v>52418</v>
      </c>
      <c r="F685" s="163"/>
      <c r="G685" s="163"/>
      <c r="H685" s="163"/>
      <c r="I685" s="163">
        <v>80</v>
      </c>
      <c r="J685" s="163">
        <v>16</v>
      </c>
      <c r="K685" s="163"/>
      <c r="L685" s="163">
        <v>15</v>
      </c>
      <c r="M685" s="163"/>
      <c r="N685" s="163"/>
      <c r="O685" s="163"/>
      <c r="P685" s="163"/>
      <c r="Q685" s="163"/>
      <c r="R685" s="163">
        <v>1</v>
      </c>
      <c r="S685" s="163">
        <v>2</v>
      </c>
      <c r="T685" s="163"/>
      <c r="U685" s="163"/>
      <c r="V685" s="134"/>
      <c r="W685" s="96">
        <v>0</v>
      </c>
      <c r="X685" s="71">
        <f>CU685</f>
        <v>0</v>
      </c>
      <c r="Y685" s="71">
        <f>CY685</f>
        <v>0</v>
      </c>
      <c r="Z685" s="71">
        <f>DA685+DC685+DE685</f>
        <v>61814700</v>
      </c>
      <c r="AA685" s="71">
        <f>CW685</f>
        <v>0</v>
      </c>
      <c r="AB685" s="71"/>
      <c r="AC685" s="71">
        <v>0</v>
      </c>
      <c r="AD685" s="71">
        <f>W685+X685+Y685+Z685+AA685+AB685+AC685</f>
        <v>61814700</v>
      </c>
      <c r="AE685" s="72">
        <v>0</v>
      </c>
      <c r="AF685" s="5"/>
      <c r="AG685" s="6"/>
      <c r="AH685" s="27" t="s">
        <v>3390</v>
      </c>
      <c r="AI685" s="44" t="s">
        <v>3391</v>
      </c>
      <c r="AJ685" s="26"/>
      <c r="AK685" s="5"/>
      <c r="AL685" s="82" t="s">
        <v>3458</v>
      </c>
      <c r="AM685" s="76"/>
      <c r="AN685" s="76"/>
      <c r="AO685" s="76"/>
      <c r="AP685" s="76"/>
      <c r="AQ685" s="76"/>
      <c r="AR685" s="76"/>
      <c r="AS685" s="76"/>
      <c r="AT685" s="76"/>
      <c r="AU685" s="76"/>
      <c r="AV685" s="76"/>
      <c r="AW685" s="76"/>
      <c r="AX685" s="76">
        <f>+AW685*600000</f>
        <v>0</v>
      </c>
      <c r="AY685" s="76"/>
      <c r="AZ685" s="76">
        <f>+AY685*70000</f>
        <v>0</v>
      </c>
      <c r="BA685" s="76"/>
      <c r="BB685" s="76"/>
      <c r="BC685" s="76"/>
      <c r="BD685" s="76">
        <f>+BC685*30000</f>
        <v>0</v>
      </c>
      <c r="BE685" s="76"/>
      <c r="BF685" s="76"/>
      <c r="BG685" s="76"/>
      <c r="BH685" s="76"/>
      <c r="BI685" s="76"/>
      <c r="BJ685" s="76"/>
      <c r="BK685" s="76"/>
      <c r="BL685" s="76">
        <f>+BK685*31500</f>
        <v>0</v>
      </c>
      <c r="BM685" s="76"/>
      <c r="BN685" s="76"/>
      <c r="BO685" s="76"/>
      <c r="BP685" s="76"/>
      <c r="BQ685" s="76"/>
      <c r="BR685" s="76"/>
      <c r="BS685" s="76"/>
      <c r="BT685" s="76"/>
      <c r="BU685" s="76"/>
      <c r="BV685" s="76"/>
      <c r="BW685" s="76"/>
      <c r="BX685" s="76"/>
      <c r="BY685" s="76"/>
      <c r="BZ685" s="76"/>
      <c r="CA685" s="76"/>
      <c r="CB685" s="76"/>
      <c r="CC685" s="76"/>
      <c r="CD685" s="76"/>
      <c r="CE685" s="76"/>
      <c r="CF685" s="76">
        <f>+CE685*28000</f>
        <v>0</v>
      </c>
      <c r="CG685" s="76"/>
      <c r="CH685" s="76">
        <f>+CG685*22500</f>
        <v>0</v>
      </c>
      <c r="CI685" s="76"/>
      <c r="CJ685" s="76">
        <f>+CI685*26000</f>
        <v>0</v>
      </c>
      <c r="CK685" s="76"/>
      <c r="CL685" s="76"/>
      <c r="CM685" s="76"/>
      <c r="CN685" s="76">
        <f>+CM685*22000</f>
        <v>0</v>
      </c>
      <c r="CO685" s="76"/>
      <c r="CP685" s="76">
        <f>+CO685*46000</f>
        <v>0</v>
      </c>
      <c r="CQ685" s="76"/>
      <c r="CR685" s="76">
        <f>+CQ685*49000</f>
        <v>0</v>
      </c>
      <c r="CS685" s="76"/>
      <c r="CT685" s="76"/>
      <c r="CU685" s="56">
        <f>AN685+AP685+AR685+AT685+AV685+AX685+AZ685+BB685+BD685+BF685+BH685+BJ685+BL685+BN685+BP685+BR685+BT685+BV685+BX685+BZ685+CB685+CD685+CF685+CH685+CJ685+CL685+CN685+CP685+CR685+CT685</f>
        <v>0</v>
      </c>
      <c r="CV685" s="76"/>
      <c r="CW685" s="76">
        <f>+CV685*1100</f>
        <v>0</v>
      </c>
      <c r="CX685" s="76"/>
      <c r="CY685" s="76">
        <f>+CX685*106250</f>
        <v>0</v>
      </c>
      <c r="CZ685" s="86">
        <v>420</v>
      </c>
      <c r="DA685" s="86">
        <f>+CZ685*34500</f>
        <v>14490000</v>
      </c>
      <c r="DB685" s="86">
        <v>168</v>
      </c>
      <c r="DC685" s="86">
        <f>168*39200+672*400</f>
        <v>6854400</v>
      </c>
      <c r="DD685" s="221" t="s">
        <v>3903</v>
      </c>
      <c r="DE685" s="223">
        <f>21000*1500+224*20160+339*13140</f>
        <v>40470300</v>
      </c>
      <c r="DF685" s="166"/>
      <c r="DG685" s="134" t="s">
        <v>5460</v>
      </c>
      <c r="DH685" s="117"/>
      <c r="DI685" s="24"/>
      <c r="DJ685" s="24"/>
      <c r="DK685" s="24"/>
      <c r="DL685" s="24"/>
      <c r="DM685" s="24"/>
      <c r="DN685" s="24"/>
      <c r="DO685" s="24"/>
      <c r="DP685" s="24"/>
      <c r="DQ685" s="24"/>
      <c r="DR685" s="24"/>
      <c r="DS685" s="24"/>
      <c r="DT685" s="24"/>
      <c r="DU685" s="24"/>
    </row>
    <row r="686" spans="1:128" s="8" customFormat="1" ht="84" x14ac:dyDescent="0.2">
      <c r="A686" s="77">
        <v>41314</v>
      </c>
      <c r="B686" s="78" t="s">
        <v>2811</v>
      </c>
      <c r="C686" s="75" t="s">
        <v>2811</v>
      </c>
      <c r="D686" s="75" t="s">
        <v>3194</v>
      </c>
      <c r="E686" s="75" t="str">
        <f>VLOOKUP(B686&amp;C686,Divipola!$C$2:$F$1138,4,FALSE)</f>
        <v>52480</v>
      </c>
      <c r="F686" s="163"/>
      <c r="G686" s="163"/>
      <c r="H686" s="163"/>
      <c r="I686" s="163">
        <v>9</v>
      </c>
      <c r="J686" s="163">
        <v>2</v>
      </c>
      <c r="K686" s="163"/>
      <c r="L686" s="163">
        <v>2</v>
      </c>
      <c r="M686" s="163"/>
      <c r="N686" s="163"/>
      <c r="O686" s="163"/>
      <c r="P686" s="163"/>
      <c r="Q686" s="163"/>
      <c r="R686" s="163"/>
      <c r="S686" s="163"/>
      <c r="T686" s="163"/>
      <c r="U686" s="163"/>
      <c r="V686" s="134"/>
      <c r="W686" s="96">
        <v>0</v>
      </c>
      <c r="X686" s="71">
        <f>CU686</f>
        <v>0</v>
      </c>
      <c r="Y686" s="71">
        <f>CY686</f>
        <v>0</v>
      </c>
      <c r="Z686" s="71">
        <f>DA686+DC686+DE686</f>
        <v>14585543.040000001</v>
      </c>
      <c r="AA686" s="71">
        <f>CW686</f>
        <v>0</v>
      </c>
      <c r="AB686" s="71"/>
      <c r="AC686" s="71">
        <v>0</v>
      </c>
      <c r="AD686" s="71">
        <f>W686+X686+Y686+Z686+AA686+AB686+AC686</f>
        <v>14585543.040000001</v>
      </c>
      <c r="AE686" s="72">
        <v>0</v>
      </c>
      <c r="AF686" s="5"/>
      <c r="AG686" s="6"/>
      <c r="AH686" s="27" t="s">
        <v>3390</v>
      </c>
      <c r="AI686" s="44" t="s">
        <v>3391</v>
      </c>
      <c r="AJ686" s="26"/>
      <c r="AK686" s="5"/>
      <c r="AL686" s="82" t="s">
        <v>3458</v>
      </c>
      <c r="AM686" s="76"/>
      <c r="AN686" s="76"/>
      <c r="AO686" s="76"/>
      <c r="AP686" s="76"/>
      <c r="AQ686" s="76"/>
      <c r="AR686" s="76"/>
      <c r="AS686" s="76"/>
      <c r="AT686" s="76"/>
      <c r="AU686" s="76"/>
      <c r="AV686" s="76"/>
      <c r="AW686" s="76"/>
      <c r="AX686" s="76">
        <f>+AW686*600000</f>
        <v>0</v>
      </c>
      <c r="AY686" s="76"/>
      <c r="AZ686" s="76">
        <f>+AY686*70000</f>
        <v>0</v>
      </c>
      <c r="BA686" s="76"/>
      <c r="BB686" s="76"/>
      <c r="BC686" s="76"/>
      <c r="BD686" s="76">
        <f>+BC686*30000</f>
        <v>0</v>
      </c>
      <c r="BE686" s="76"/>
      <c r="BF686" s="76"/>
      <c r="BG686" s="76"/>
      <c r="BH686" s="76"/>
      <c r="BI686" s="76"/>
      <c r="BJ686" s="76"/>
      <c r="BK686" s="76"/>
      <c r="BL686" s="76">
        <f>+BK686*31500</f>
        <v>0</v>
      </c>
      <c r="BM686" s="76"/>
      <c r="BN686" s="76"/>
      <c r="BO686" s="76"/>
      <c r="BP686" s="76"/>
      <c r="BQ686" s="76"/>
      <c r="BR686" s="76"/>
      <c r="BS686" s="76"/>
      <c r="BT686" s="76"/>
      <c r="BU686" s="76"/>
      <c r="BV686" s="76"/>
      <c r="BW686" s="76"/>
      <c r="BX686" s="76"/>
      <c r="BY686" s="76"/>
      <c r="BZ686" s="76"/>
      <c r="CA686" s="76"/>
      <c r="CB686" s="76"/>
      <c r="CC686" s="76"/>
      <c r="CD686" s="76"/>
      <c r="CE686" s="76"/>
      <c r="CF686" s="76">
        <f>+CE686*28000</f>
        <v>0</v>
      </c>
      <c r="CG686" s="76"/>
      <c r="CH686" s="76">
        <f>+CG686*22500</f>
        <v>0</v>
      </c>
      <c r="CI686" s="76"/>
      <c r="CJ686" s="76">
        <f>+CI686*26000</f>
        <v>0</v>
      </c>
      <c r="CK686" s="76"/>
      <c r="CL686" s="76"/>
      <c r="CM686" s="76"/>
      <c r="CN686" s="76">
        <f>+CM686*22000</f>
        <v>0</v>
      </c>
      <c r="CO686" s="76"/>
      <c r="CP686" s="76">
        <f>+CO686*46000</f>
        <v>0</v>
      </c>
      <c r="CQ686" s="76"/>
      <c r="CR686" s="76">
        <f>+CQ686*49000</f>
        <v>0</v>
      </c>
      <c r="CS686" s="76"/>
      <c r="CT686" s="76"/>
      <c r="CU686" s="56">
        <f>AN686+AP686+AR686+AT686+AV686+AX686+AZ686+BB686+BD686+BF686+BH686+BJ686+BL686+BN686+BP686+BR686+BT686+BV686+BX686+BZ686+CB686+CD686+CF686+CH686+CJ686+CL686+CN686+CP686+CR686+CT686</f>
        <v>0</v>
      </c>
      <c r="CV686" s="76"/>
      <c r="CW686" s="76">
        <f>+CV686*1100</f>
        <v>0</v>
      </c>
      <c r="CX686" s="76"/>
      <c r="CY686" s="76">
        <f>+CX686*106250</f>
        <v>0</v>
      </c>
      <c r="CZ686" s="86">
        <v>80</v>
      </c>
      <c r="DA686" s="86">
        <f>+CZ686*34499.56</f>
        <v>2759964.8</v>
      </c>
      <c r="DB686" s="86">
        <f>24+20</f>
        <v>44</v>
      </c>
      <c r="DC686" s="86">
        <f>24*48999.56+20*39799.6</f>
        <v>1971981.44</v>
      </c>
      <c r="DD686" s="221" t="s">
        <v>3904</v>
      </c>
      <c r="DE686" s="223">
        <f>4000*1344.44+150*21499.44+61*14998.8+50*6719.88</f>
        <v>9853596.8000000007</v>
      </c>
      <c r="DF686" s="166"/>
      <c r="DG686" s="134" t="s">
        <v>5124</v>
      </c>
      <c r="DH686" s="117"/>
      <c r="DI686" s="24"/>
      <c r="DJ686" s="24"/>
      <c r="DK686" s="24"/>
      <c r="DL686" s="24"/>
      <c r="DM686" s="24"/>
      <c r="DN686" s="24"/>
      <c r="DO686" s="24"/>
      <c r="DP686" s="24"/>
      <c r="DQ686" s="24"/>
      <c r="DR686" s="24"/>
      <c r="DS686" s="24"/>
      <c r="DT686" s="24"/>
      <c r="DU686" s="24"/>
      <c r="DX686" s="175" t="s">
        <v>5140</v>
      </c>
    </row>
    <row r="687" spans="1:128" s="8" customFormat="1" ht="84" x14ac:dyDescent="0.2">
      <c r="A687" s="77">
        <v>41314</v>
      </c>
      <c r="B687" s="78" t="s">
        <v>2811</v>
      </c>
      <c r="C687" s="75" t="s">
        <v>2111</v>
      </c>
      <c r="D687" s="75" t="s">
        <v>3194</v>
      </c>
      <c r="E687" s="75" t="str">
        <f>VLOOKUP(B687&amp;C687,Divipola!$C$2:$F$1138,4,FALSE)</f>
        <v>52490</v>
      </c>
      <c r="F687" s="163"/>
      <c r="G687" s="163">
        <v>17</v>
      </c>
      <c r="H687" s="163"/>
      <c r="I687" s="163"/>
      <c r="J687" s="163"/>
      <c r="K687" s="163"/>
      <c r="L687" s="163"/>
      <c r="M687" s="163"/>
      <c r="N687" s="163"/>
      <c r="O687" s="163"/>
      <c r="P687" s="163"/>
      <c r="Q687" s="163"/>
      <c r="R687" s="163"/>
      <c r="S687" s="163"/>
      <c r="T687" s="163"/>
      <c r="U687" s="163"/>
      <c r="V687" s="134"/>
      <c r="W687" s="96">
        <v>0</v>
      </c>
      <c r="X687" s="71">
        <f>CU687</f>
        <v>0</v>
      </c>
      <c r="Y687" s="71">
        <f>CY687</f>
        <v>0</v>
      </c>
      <c r="Z687" s="71">
        <f>DA687+DC687+DE687</f>
        <v>0</v>
      </c>
      <c r="AA687" s="71">
        <f>CW687</f>
        <v>0</v>
      </c>
      <c r="AB687" s="71"/>
      <c r="AC687" s="71">
        <v>0</v>
      </c>
      <c r="AD687" s="71">
        <f>W687+X687+Y687+Z687+AA687+AB687+AC687</f>
        <v>0</v>
      </c>
      <c r="AE687" s="72">
        <v>0</v>
      </c>
      <c r="AF687" s="5"/>
      <c r="AG687" s="6"/>
      <c r="AH687" s="27" t="s">
        <v>3392</v>
      </c>
      <c r="AI687" s="44" t="s">
        <v>3393</v>
      </c>
      <c r="AJ687" s="26"/>
      <c r="AK687" s="5"/>
      <c r="AL687" s="82" t="s">
        <v>3458</v>
      </c>
      <c r="AM687" s="76"/>
      <c r="AN687" s="76"/>
      <c r="AO687" s="76"/>
      <c r="AP687" s="76"/>
      <c r="AQ687" s="76"/>
      <c r="AR687" s="76"/>
      <c r="AS687" s="76"/>
      <c r="AT687" s="76"/>
      <c r="AU687" s="76"/>
      <c r="AV687" s="76"/>
      <c r="AW687" s="76"/>
      <c r="AX687" s="76">
        <f>+AW687*600000</f>
        <v>0</v>
      </c>
      <c r="AY687" s="76"/>
      <c r="AZ687" s="76">
        <f>+AY687*70000</f>
        <v>0</v>
      </c>
      <c r="BA687" s="76"/>
      <c r="BB687" s="76"/>
      <c r="BC687" s="76"/>
      <c r="BD687" s="76">
        <f>+BC687*30000</f>
        <v>0</v>
      </c>
      <c r="BE687" s="76"/>
      <c r="BF687" s="76"/>
      <c r="BG687" s="76"/>
      <c r="BH687" s="76"/>
      <c r="BI687" s="76"/>
      <c r="BJ687" s="76"/>
      <c r="BK687" s="76"/>
      <c r="BL687" s="76">
        <f>+BK687*31500</f>
        <v>0</v>
      </c>
      <c r="BM687" s="76"/>
      <c r="BN687" s="76"/>
      <c r="BO687" s="76"/>
      <c r="BP687" s="76"/>
      <c r="BQ687" s="76"/>
      <c r="BR687" s="76"/>
      <c r="BS687" s="76"/>
      <c r="BT687" s="76"/>
      <c r="BU687" s="76"/>
      <c r="BV687" s="76"/>
      <c r="BW687" s="76"/>
      <c r="BX687" s="76"/>
      <c r="BY687" s="76"/>
      <c r="BZ687" s="76"/>
      <c r="CA687" s="76"/>
      <c r="CB687" s="76"/>
      <c r="CC687" s="76"/>
      <c r="CD687" s="76"/>
      <c r="CE687" s="76"/>
      <c r="CF687" s="76">
        <f>+CE687*28000</f>
        <v>0</v>
      </c>
      <c r="CG687" s="76"/>
      <c r="CH687" s="76">
        <f>+CG687*22500</f>
        <v>0</v>
      </c>
      <c r="CI687" s="76"/>
      <c r="CJ687" s="76">
        <f>+CI687*26000</f>
        <v>0</v>
      </c>
      <c r="CK687" s="76"/>
      <c r="CL687" s="76"/>
      <c r="CM687" s="76"/>
      <c r="CN687" s="76">
        <f>+CM687*22000</f>
        <v>0</v>
      </c>
      <c r="CO687" s="76"/>
      <c r="CP687" s="76">
        <f>+CO687*46000</f>
        <v>0</v>
      </c>
      <c r="CQ687" s="76"/>
      <c r="CR687" s="76">
        <f>+CQ687*49000</f>
        <v>0</v>
      </c>
      <c r="CS687" s="76"/>
      <c r="CT687" s="76"/>
      <c r="CU687" s="56">
        <f>AN687+AP687+AR687+AT687+AV687+AX687+AZ687+BB687+BD687+BF687+BH687+BJ687+BL687+BN687+BP687+BR687+BT687+BV687+BX687+BZ687+CB687+CD687+CF687+CH687+CJ687+CL687+CN687+CP687+CR687+CT687</f>
        <v>0</v>
      </c>
      <c r="CV687" s="76"/>
      <c r="CW687" s="76">
        <f>+CV687*1100</f>
        <v>0</v>
      </c>
      <c r="CX687" s="76"/>
      <c r="CY687" s="76">
        <f>+CX687*106250</f>
        <v>0</v>
      </c>
      <c r="CZ687" s="76"/>
      <c r="DA687" s="76">
        <f>+CZ687*34500</f>
        <v>0</v>
      </c>
      <c r="DB687" s="76"/>
      <c r="DC687" s="76">
        <f>+DB687*25000</f>
        <v>0</v>
      </c>
      <c r="DD687" s="219"/>
      <c r="DE687" s="219"/>
      <c r="DF687" s="166"/>
      <c r="DG687" s="116"/>
      <c r="DH687" s="117"/>
      <c r="DI687" s="24"/>
      <c r="DJ687" s="24"/>
      <c r="DK687" s="24"/>
      <c r="DL687" s="24"/>
      <c r="DM687" s="24"/>
      <c r="DN687" s="24"/>
      <c r="DO687" s="24"/>
      <c r="DP687" s="24"/>
      <c r="DQ687" s="24"/>
      <c r="DR687" s="24"/>
      <c r="DS687" s="24"/>
      <c r="DT687" s="24"/>
      <c r="DU687" s="24"/>
    </row>
    <row r="688" spans="1:128" s="8" customFormat="1" ht="84" x14ac:dyDescent="0.2">
      <c r="A688" s="77">
        <v>41314</v>
      </c>
      <c r="B688" s="78" t="s">
        <v>2811</v>
      </c>
      <c r="C688" s="75" t="s">
        <v>495</v>
      </c>
      <c r="D688" s="75" t="s">
        <v>3194</v>
      </c>
      <c r="E688" s="75" t="str">
        <f>VLOOKUP(B688&amp;C688,Divipola!$C$2:$F$1138,4,FALSE)</f>
        <v>52506</v>
      </c>
      <c r="F688" s="163"/>
      <c r="G688" s="163"/>
      <c r="H688" s="163"/>
      <c r="I688" s="163">
        <v>94</v>
      </c>
      <c r="J688" s="163">
        <v>30</v>
      </c>
      <c r="K688" s="163"/>
      <c r="L688" s="163">
        <v>30</v>
      </c>
      <c r="M688" s="163"/>
      <c r="N688" s="163"/>
      <c r="O688" s="163"/>
      <c r="P688" s="163"/>
      <c r="Q688" s="163"/>
      <c r="R688" s="163"/>
      <c r="S688" s="163">
        <v>1</v>
      </c>
      <c r="T688" s="163"/>
      <c r="U688" s="163"/>
      <c r="V688" s="89"/>
      <c r="W688" s="96">
        <v>0</v>
      </c>
      <c r="X688" s="71">
        <f>CU688</f>
        <v>0</v>
      </c>
      <c r="Y688" s="71">
        <f>CY688</f>
        <v>0</v>
      </c>
      <c r="Z688" s="71">
        <f>DA688+DC688+DE688</f>
        <v>164779480.56</v>
      </c>
      <c r="AA688" s="71">
        <f>CW688</f>
        <v>0</v>
      </c>
      <c r="AB688" s="71"/>
      <c r="AC688" s="71">
        <v>0</v>
      </c>
      <c r="AD688" s="71">
        <f>W688+X688+Y688+Z688+AA688+AB688+AC688</f>
        <v>164779480.56</v>
      </c>
      <c r="AE688" s="72">
        <v>0</v>
      </c>
      <c r="AF688" s="5"/>
      <c r="AG688" s="6"/>
      <c r="AH688" s="27" t="s">
        <v>3390</v>
      </c>
      <c r="AI688" s="44" t="s">
        <v>3391</v>
      </c>
      <c r="AJ688" s="26"/>
      <c r="AK688" s="5"/>
      <c r="AL688" s="82" t="s">
        <v>3458</v>
      </c>
      <c r="AM688" s="76"/>
      <c r="AN688" s="76"/>
      <c r="AO688" s="76"/>
      <c r="AP688" s="76"/>
      <c r="AQ688" s="76"/>
      <c r="AR688" s="76"/>
      <c r="AS688" s="76"/>
      <c r="AT688" s="76"/>
      <c r="AU688" s="76"/>
      <c r="AV688" s="76"/>
      <c r="AW688" s="76"/>
      <c r="AX688" s="76">
        <f>+AW688*600000</f>
        <v>0</v>
      </c>
      <c r="AY688" s="76"/>
      <c r="AZ688" s="76">
        <f>+AY688*70000</f>
        <v>0</v>
      </c>
      <c r="BA688" s="76"/>
      <c r="BB688" s="76"/>
      <c r="BC688" s="76"/>
      <c r="BD688" s="76">
        <f>+BC688*30000</f>
        <v>0</v>
      </c>
      <c r="BE688" s="76"/>
      <c r="BF688" s="76"/>
      <c r="BG688" s="76"/>
      <c r="BH688" s="76"/>
      <c r="BI688" s="76"/>
      <c r="BJ688" s="76"/>
      <c r="BK688" s="76"/>
      <c r="BL688" s="76">
        <f>+BK688*31500</f>
        <v>0</v>
      </c>
      <c r="BM688" s="76"/>
      <c r="BN688" s="76"/>
      <c r="BO688" s="76"/>
      <c r="BP688" s="76"/>
      <c r="BQ688" s="76"/>
      <c r="BR688" s="76"/>
      <c r="BS688" s="76"/>
      <c r="BT688" s="76"/>
      <c r="BU688" s="76"/>
      <c r="BV688" s="76"/>
      <c r="BW688" s="76"/>
      <c r="BX688" s="76"/>
      <c r="BY688" s="76"/>
      <c r="BZ688" s="76"/>
      <c r="CA688" s="76"/>
      <c r="CB688" s="76"/>
      <c r="CC688" s="76"/>
      <c r="CD688" s="76"/>
      <c r="CE688" s="76"/>
      <c r="CF688" s="76">
        <f>+CE688*28000</f>
        <v>0</v>
      </c>
      <c r="CG688" s="76"/>
      <c r="CH688" s="76">
        <f>+CG688*22500</f>
        <v>0</v>
      </c>
      <c r="CI688" s="76"/>
      <c r="CJ688" s="76">
        <f>+CI688*26000</f>
        <v>0</v>
      </c>
      <c r="CK688" s="76"/>
      <c r="CL688" s="76"/>
      <c r="CM688" s="76"/>
      <c r="CN688" s="76">
        <f>+CM688*22000</f>
        <v>0</v>
      </c>
      <c r="CO688" s="76"/>
      <c r="CP688" s="76">
        <f>+CO688*46000</f>
        <v>0</v>
      </c>
      <c r="CQ688" s="76"/>
      <c r="CR688" s="76">
        <f>+CQ688*49000</f>
        <v>0</v>
      </c>
      <c r="CS688" s="76"/>
      <c r="CT688" s="76"/>
      <c r="CU688" s="56">
        <f>AN688+AP688+AR688+AT688+AV688+AX688+AZ688+BB688+BD688+BF688+BH688+BJ688+BL688+BN688+BP688+BR688+BT688+BV688+BX688+BZ688+CB688+CD688+CF688+CH688+CJ688+CL688+CN688+CP688+CR688+CT688</f>
        <v>0</v>
      </c>
      <c r="CV688" s="76"/>
      <c r="CW688" s="76">
        <f>+CV688*1100</f>
        <v>0</v>
      </c>
      <c r="CX688" s="76"/>
      <c r="CY688" s="76">
        <f>+CX688*106250</f>
        <v>0</v>
      </c>
      <c r="CZ688" s="86">
        <v>1553</v>
      </c>
      <c r="DA688" s="86">
        <f>+CZ688*34499.56</f>
        <v>53577816.68</v>
      </c>
      <c r="DB688" s="86">
        <f>283+445+161</f>
        <v>889</v>
      </c>
      <c r="DC688" s="86">
        <f>283*41000.2+445*1486+161*39799.6</f>
        <v>18672062.199999999</v>
      </c>
      <c r="DD688" s="221" t="s">
        <v>3905</v>
      </c>
      <c r="DE688" s="223">
        <f>52600*1344.44+532*21499.44+407*14998.8+3*267695.52+117*26000.24+17*24984.08</f>
        <v>92529601.679999992</v>
      </c>
      <c r="DF688" s="166"/>
      <c r="DG688" s="134" t="s">
        <v>5124</v>
      </c>
      <c r="DH688" s="117"/>
      <c r="DI688" s="24"/>
      <c r="DJ688" s="24"/>
      <c r="DK688" s="24"/>
      <c r="DL688" s="24"/>
      <c r="DM688" s="24"/>
      <c r="DN688" s="24"/>
      <c r="DO688" s="24"/>
      <c r="DP688" s="24"/>
      <c r="DQ688" s="24"/>
      <c r="DR688" s="24"/>
      <c r="DS688" s="24"/>
      <c r="DT688" s="24"/>
      <c r="DU688" s="24"/>
    </row>
    <row r="689" spans="1:125" s="8" customFormat="1" ht="84" x14ac:dyDescent="0.2">
      <c r="A689" s="77">
        <v>41314</v>
      </c>
      <c r="B689" s="78" t="s">
        <v>2811</v>
      </c>
      <c r="C689" s="75" t="s">
        <v>2131</v>
      </c>
      <c r="D689" s="75" t="s">
        <v>3194</v>
      </c>
      <c r="E689" s="75" t="str">
        <f>VLOOKUP(B689&amp;C689,Divipola!$C$2:$F$1138,4,FALSE)</f>
        <v>52001</v>
      </c>
      <c r="F689" s="163"/>
      <c r="G689" s="163"/>
      <c r="H689" s="163"/>
      <c r="I689" s="163">
        <v>93</v>
      </c>
      <c r="J689" s="163">
        <v>26</v>
      </c>
      <c r="K689" s="163">
        <v>1</v>
      </c>
      <c r="L689" s="163">
        <v>18</v>
      </c>
      <c r="M689" s="163"/>
      <c r="N689" s="163"/>
      <c r="O689" s="163"/>
      <c r="P689" s="163"/>
      <c r="Q689" s="163"/>
      <c r="R689" s="163"/>
      <c r="S689" s="163"/>
      <c r="T689" s="163"/>
      <c r="U689" s="163"/>
      <c r="V689" s="89"/>
      <c r="W689" s="96">
        <v>0</v>
      </c>
      <c r="X689" s="71">
        <f>CU689</f>
        <v>0</v>
      </c>
      <c r="Y689" s="71">
        <f>CY689</f>
        <v>0</v>
      </c>
      <c r="Z689" s="71">
        <f>DA689+DC689+DE689</f>
        <v>34598227.280000001</v>
      </c>
      <c r="AA689" s="71">
        <f>CW689</f>
        <v>0</v>
      </c>
      <c r="AB689" s="71"/>
      <c r="AC689" s="71">
        <v>0</v>
      </c>
      <c r="AD689" s="71">
        <f>W689+X689+Y689+Z689+AA689+AB689+AC689</f>
        <v>34598227.280000001</v>
      </c>
      <c r="AE689" s="72">
        <v>0</v>
      </c>
      <c r="AF689" s="5"/>
      <c r="AG689" s="6"/>
      <c r="AH689" s="27" t="s">
        <v>3390</v>
      </c>
      <c r="AI689" s="44" t="s">
        <v>3391</v>
      </c>
      <c r="AJ689" s="26"/>
      <c r="AK689" s="5"/>
      <c r="AL689" s="82" t="s">
        <v>3458</v>
      </c>
      <c r="AM689" s="76"/>
      <c r="AN689" s="76"/>
      <c r="AO689" s="76"/>
      <c r="AP689" s="76"/>
      <c r="AQ689" s="76"/>
      <c r="AR689" s="76"/>
      <c r="AS689" s="76"/>
      <c r="AT689" s="76"/>
      <c r="AU689" s="76"/>
      <c r="AV689" s="76"/>
      <c r="AW689" s="76"/>
      <c r="AX689" s="76">
        <f>+AW689*600000</f>
        <v>0</v>
      </c>
      <c r="AY689" s="76"/>
      <c r="AZ689" s="76">
        <f>+AY689*70000</f>
        <v>0</v>
      </c>
      <c r="BA689" s="76"/>
      <c r="BB689" s="76"/>
      <c r="BC689" s="76"/>
      <c r="BD689" s="76">
        <f>+BC689*30000</f>
        <v>0</v>
      </c>
      <c r="BE689" s="76"/>
      <c r="BF689" s="76"/>
      <c r="BG689" s="76"/>
      <c r="BH689" s="76"/>
      <c r="BI689" s="76"/>
      <c r="BJ689" s="76"/>
      <c r="BK689" s="76"/>
      <c r="BL689" s="76">
        <f>+BK689*31500</f>
        <v>0</v>
      </c>
      <c r="BM689" s="76"/>
      <c r="BN689" s="76"/>
      <c r="BO689" s="76"/>
      <c r="BP689" s="76"/>
      <c r="BQ689" s="76"/>
      <c r="BR689" s="76"/>
      <c r="BS689" s="76"/>
      <c r="BT689" s="76"/>
      <c r="BU689" s="76"/>
      <c r="BV689" s="76"/>
      <c r="BW689" s="76"/>
      <c r="BX689" s="76"/>
      <c r="BY689" s="76"/>
      <c r="BZ689" s="76"/>
      <c r="CA689" s="76"/>
      <c r="CB689" s="76"/>
      <c r="CC689" s="76"/>
      <c r="CD689" s="76"/>
      <c r="CE689" s="76"/>
      <c r="CF689" s="76">
        <f>+CE689*28000</f>
        <v>0</v>
      </c>
      <c r="CG689" s="76"/>
      <c r="CH689" s="76">
        <f>+CG689*22500</f>
        <v>0</v>
      </c>
      <c r="CI689" s="76"/>
      <c r="CJ689" s="76">
        <f>+CI689*26000</f>
        <v>0</v>
      </c>
      <c r="CK689" s="76"/>
      <c r="CL689" s="76"/>
      <c r="CM689" s="76"/>
      <c r="CN689" s="76">
        <f>+CM689*22000</f>
        <v>0</v>
      </c>
      <c r="CO689" s="76"/>
      <c r="CP689" s="76">
        <f>+CO689*46000</f>
        <v>0</v>
      </c>
      <c r="CQ689" s="76"/>
      <c r="CR689" s="76">
        <f>+CQ689*49000</f>
        <v>0</v>
      </c>
      <c r="CS689" s="76"/>
      <c r="CT689" s="76"/>
      <c r="CU689" s="56">
        <f>AN689+AP689+AR689+AT689+AV689+AX689+AZ689+BB689+BD689+BF689+BH689+BJ689+BL689+BN689+BP689+BR689+BT689+BV689+BX689+BZ689+CB689+CD689+CF689+CH689+CJ689+CL689+CN689+CP689+CR689+CT689</f>
        <v>0</v>
      </c>
      <c r="CV689" s="76"/>
      <c r="CW689" s="76">
        <f>+CV689*1100</f>
        <v>0</v>
      </c>
      <c r="CX689" s="76"/>
      <c r="CY689" s="76">
        <f>+CX689*106250</f>
        <v>0</v>
      </c>
      <c r="CZ689" s="76"/>
      <c r="DA689" s="76">
        <f>+CZ689*34500</f>
        <v>0</v>
      </c>
      <c r="DB689" s="86">
        <v>256</v>
      </c>
      <c r="DC689" s="86">
        <f>256*48999.56</f>
        <v>12543887.359999999</v>
      </c>
      <c r="DD689" s="221" t="s">
        <v>3906</v>
      </c>
      <c r="DE689" s="223">
        <f>62*89230.68+148*47968.32+240*39261.36</f>
        <v>22054339.920000002</v>
      </c>
      <c r="DF689" s="166"/>
      <c r="DG689" s="134" t="s">
        <v>5124</v>
      </c>
      <c r="DH689" s="117"/>
      <c r="DI689" s="24"/>
      <c r="DJ689" s="24"/>
      <c r="DK689" s="24"/>
      <c r="DL689" s="24"/>
      <c r="DM689" s="24"/>
      <c r="DN689" s="24"/>
      <c r="DO689" s="24"/>
      <c r="DP689" s="24"/>
      <c r="DQ689" s="24"/>
      <c r="DR689" s="24"/>
      <c r="DS689" s="24"/>
      <c r="DT689" s="24"/>
      <c r="DU689" s="24"/>
    </row>
    <row r="690" spans="1:125" s="8" customFormat="1" ht="84" x14ac:dyDescent="0.2">
      <c r="A690" s="77">
        <v>41314</v>
      </c>
      <c r="B690" s="78" t="s">
        <v>2811</v>
      </c>
      <c r="C690" s="75" t="s">
        <v>477</v>
      </c>
      <c r="D690" s="75" t="s">
        <v>3194</v>
      </c>
      <c r="E690" s="75" t="str">
        <f>VLOOKUP(B690&amp;C690,Divipola!$C$2:$F$1138,4,FALSE)</f>
        <v>52621</v>
      </c>
      <c r="F690" s="163"/>
      <c r="G690" s="163"/>
      <c r="H690" s="163"/>
      <c r="I690" s="163">
        <v>25</v>
      </c>
      <c r="J690" s="163">
        <v>5</v>
      </c>
      <c r="K690" s="163"/>
      <c r="L690" s="163">
        <v>5</v>
      </c>
      <c r="M690" s="163"/>
      <c r="N690" s="163"/>
      <c r="O690" s="163"/>
      <c r="P690" s="163"/>
      <c r="Q690" s="163"/>
      <c r="R690" s="163"/>
      <c r="S690" s="163"/>
      <c r="T690" s="163"/>
      <c r="U690" s="163"/>
      <c r="V690" s="89"/>
      <c r="W690" s="96">
        <v>0</v>
      </c>
      <c r="X690" s="71">
        <f>CU690</f>
        <v>0</v>
      </c>
      <c r="Y690" s="71">
        <f>CY690</f>
        <v>0</v>
      </c>
      <c r="Z690" s="71">
        <f>DA690+DC690+DE690</f>
        <v>0</v>
      </c>
      <c r="AA690" s="71">
        <f>CW690</f>
        <v>0</v>
      </c>
      <c r="AB690" s="71"/>
      <c r="AC690" s="71">
        <v>0</v>
      </c>
      <c r="AD690" s="71">
        <f>W690+X690+Y690+Z690+AA690+AB690+AC690</f>
        <v>0</v>
      </c>
      <c r="AE690" s="72">
        <v>0</v>
      </c>
      <c r="AF690" s="5"/>
      <c r="AG690" s="6"/>
      <c r="AH690" s="27" t="s">
        <v>3392</v>
      </c>
      <c r="AI690" s="44" t="s">
        <v>3393</v>
      </c>
      <c r="AJ690" s="26"/>
      <c r="AK690" s="5"/>
      <c r="AL690" s="82" t="s">
        <v>3458</v>
      </c>
      <c r="AM690" s="76"/>
      <c r="AN690" s="76"/>
      <c r="AO690" s="76"/>
      <c r="AP690" s="76"/>
      <c r="AQ690" s="76"/>
      <c r="AR690" s="76"/>
      <c r="AS690" s="76"/>
      <c r="AT690" s="76"/>
      <c r="AU690" s="76"/>
      <c r="AV690" s="76"/>
      <c r="AW690" s="76"/>
      <c r="AX690" s="76">
        <f>+AW690*600000</f>
        <v>0</v>
      </c>
      <c r="AY690" s="76"/>
      <c r="AZ690" s="76">
        <f>+AY690*70000</f>
        <v>0</v>
      </c>
      <c r="BA690" s="76"/>
      <c r="BB690" s="76"/>
      <c r="BC690" s="76"/>
      <c r="BD690" s="76">
        <f>+BC690*30000</f>
        <v>0</v>
      </c>
      <c r="BE690" s="76"/>
      <c r="BF690" s="76"/>
      <c r="BG690" s="76"/>
      <c r="BH690" s="76"/>
      <c r="BI690" s="76"/>
      <c r="BJ690" s="76"/>
      <c r="BK690" s="76"/>
      <c r="BL690" s="76">
        <f>+BK690*31500</f>
        <v>0</v>
      </c>
      <c r="BM690" s="76"/>
      <c r="BN690" s="76"/>
      <c r="BO690" s="76"/>
      <c r="BP690" s="76"/>
      <c r="BQ690" s="76"/>
      <c r="BR690" s="76"/>
      <c r="BS690" s="76"/>
      <c r="BT690" s="76"/>
      <c r="BU690" s="76"/>
      <c r="BV690" s="76"/>
      <c r="BW690" s="76"/>
      <c r="BX690" s="76"/>
      <c r="BY690" s="76"/>
      <c r="BZ690" s="76"/>
      <c r="CA690" s="76"/>
      <c r="CB690" s="76"/>
      <c r="CC690" s="76"/>
      <c r="CD690" s="76"/>
      <c r="CE690" s="76"/>
      <c r="CF690" s="76">
        <f>+CE690*28000</f>
        <v>0</v>
      </c>
      <c r="CG690" s="76"/>
      <c r="CH690" s="76">
        <f>+CG690*22500</f>
        <v>0</v>
      </c>
      <c r="CI690" s="76"/>
      <c r="CJ690" s="76">
        <f>+CI690*26000</f>
        <v>0</v>
      </c>
      <c r="CK690" s="76"/>
      <c r="CL690" s="76"/>
      <c r="CM690" s="76"/>
      <c r="CN690" s="76">
        <f>+CM690*22000</f>
        <v>0</v>
      </c>
      <c r="CO690" s="76"/>
      <c r="CP690" s="76">
        <f>+CO690*46000</f>
        <v>0</v>
      </c>
      <c r="CQ690" s="76"/>
      <c r="CR690" s="76">
        <f>+CQ690*49000</f>
        <v>0</v>
      </c>
      <c r="CS690" s="76"/>
      <c r="CT690" s="76"/>
      <c r="CU690" s="56">
        <f>AN690+AP690+AR690+AT690+AV690+AX690+AZ690+BB690+BD690+BF690+BH690+BJ690+BL690+BN690+BP690+BR690+BT690+BV690+BX690+BZ690+CB690+CD690+CF690+CH690+CJ690+CL690+CN690+CP690+CR690+CT690</f>
        <v>0</v>
      </c>
      <c r="CV690" s="76"/>
      <c r="CW690" s="76">
        <f>+CV690*1100</f>
        <v>0</v>
      </c>
      <c r="CX690" s="76"/>
      <c r="CY690" s="76">
        <f>+CX690*106250</f>
        <v>0</v>
      </c>
      <c r="CZ690" s="76"/>
      <c r="DA690" s="76">
        <f>+CZ690*34500</f>
        <v>0</v>
      </c>
      <c r="DB690" s="76"/>
      <c r="DC690" s="76">
        <f>+DB690*25000</f>
        <v>0</v>
      </c>
      <c r="DD690" s="219"/>
      <c r="DE690" s="219"/>
      <c r="DF690" s="166"/>
      <c r="DG690" s="116"/>
      <c r="DH690" s="117"/>
      <c r="DI690" s="24"/>
      <c r="DJ690" s="24"/>
      <c r="DK690" s="24"/>
      <c r="DL690" s="24"/>
      <c r="DM690" s="24"/>
      <c r="DN690" s="24"/>
      <c r="DO690" s="24"/>
      <c r="DP690" s="24"/>
      <c r="DQ690" s="24"/>
      <c r="DR690" s="24"/>
      <c r="DS690" s="24"/>
      <c r="DT690" s="24"/>
      <c r="DU690" s="24"/>
    </row>
    <row r="691" spans="1:125" s="8" customFormat="1" ht="84" x14ac:dyDescent="0.2">
      <c r="A691" s="77">
        <v>41314</v>
      </c>
      <c r="B691" s="78" t="s">
        <v>2811</v>
      </c>
      <c r="C691" s="75" t="s">
        <v>2062</v>
      </c>
      <c r="D691" s="75" t="s">
        <v>3194</v>
      </c>
      <c r="E691" s="75" t="str">
        <f>VLOOKUP(B691&amp;C691,Divipola!$C$2:$F$1138,4,FALSE)</f>
        <v>52678</v>
      </c>
      <c r="F691" s="163"/>
      <c r="G691" s="163"/>
      <c r="H691" s="163"/>
      <c r="I691" s="163">
        <v>35</v>
      </c>
      <c r="J691" s="163">
        <v>7</v>
      </c>
      <c r="K691" s="163">
        <v>1</v>
      </c>
      <c r="L691" s="163">
        <v>6</v>
      </c>
      <c r="M691" s="163"/>
      <c r="N691" s="163"/>
      <c r="O691" s="163"/>
      <c r="P691" s="163"/>
      <c r="Q691" s="163"/>
      <c r="R691" s="163"/>
      <c r="S691" s="163"/>
      <c r="T691" s="163"/>
      <c r="U691" s="163"/>
      <c r="V691" s="134"/>
      <c r="W691" s="96">
        <v>0</v>
      </c>
      <c r="X691" s="71">
        <f>CU691</f>
        <v>0</v>
      </c>
      <c r="Y691" s="71">
        <f>CY691</f>
        <v>0</v>
      </c>
      <c r="Z691" s="71">
        <f>DA691+DC691+DE691</f>
        <v>6169434.4799999995</v>
      </c>
      <c r="AA691" s="71">
        <f>CW691</f>
        <v>0</v>
      </c>
      <c r="AB691" s="71"/>
      <c r="AC691" s="71">
        <v>0</v>
      </c>
      <c r="AD691" s="71">
        <f>W691+X691+Y691+Z691+AA691+AB691+AC691</f>
        <v>6169434.4799999995</v>
      </c>
      <c r="AE691" s="72">
        <v>0</v>
      </c>
      <c r="AF691" s="5"/>
      <c r="AG691" s="6"/>
      <c r="AH691" s="27" t="s">
        <v>3390</v>
      </c>
      <c r="AI691" s="44" t="s">
        <v>3391</v>
      </c>
      <c r="AJ691" s="26"/>
      <c r="AK691" s="5"/>
      <c r="AL691" s="82" t="s">
        <v>3458</v>
      </c>
      <c r="AM691" s="76"/>
      <c r="AN691" s="76"/>
      <c r="AO691" s="76"/>
      <c r="AP691" s="76"/>
      <c r="AQ691" s="76"/>
      <c r="AR691" s="76"/>
      <c r="AS691" s="76"/>
      <c r="AT691" s="76"/>
      <c r="AU691" s="76"/>
      <c r="AV691" s="76"/>
      <c r="AW691" s="76"/>
      <c r="AX691" s="76">
        <f>+AW691*600000</f>
        <v>0</v>
      </c>
      <c r="AY691" s="76"/>
      <c r="AZ691" s="76">
        <f>+AY691*70000</f>
        <v>0</v>
      </c>
      <c r="BA691" s="76"/>
      <c r="BB691" s="76"/>
      <c r="BC691" s="76"/>
      <c r="BD691" s="76">
        <f>+BC691*30000</f>
        <v>0</v>
      </c>
      <c r="BE691" s="76"/>
      <c r="BF691" s="76"/>
      <c r="BG691" s="76"/>
      <c r="BH691" s="76"/>
      <c r="BI691" s="76"/>
      <c r="BJ691" s="76"/>
      <c r="BK691" s="76"/>
      <c r="BL691" s="76">
        <f>+BK691*31500</f>
        <v>0</v>
      </c>
      <c r="BM691" s="76"/>
      <c r="BN691" s="76"/>
      <c r="BO691" s="76"/>
      <c r="BP691" s="76"/>
      <c r="BQ691" s="76"/>
      <c r="BR691" s="76"/>
      <c r="BS691" s="76"/>
      <c r="BT691" s="76"/>
      <c r="BU691" s="76"/>
      <c r="BV691" s="76"/>
      <c r="BW691" s="76"/>
      <c r="BX691" s="76"/>
      <c r="BY691" s="76"/>
      <c r="BZ691" s="76"/>
      <c r="CA691" s="76"/>
      <c r="CB691" s="76"/>
      <c r="CC691" s="76"/>
      <c r="CD691" s="76"/>
      <c r="CE691" s="76"/>
      <c r="CF691" s="76">
        <f>+CE691*28000</f>
        <v>0</v>
      </c>
      <c r="CG691" s="76"/>
      <c r="CH691" s="76">
        <f>+CG691*22500</f>
        <v>0</v>
      </c>
      <c r="CI691" s="76"/>
      <c r="CJ691" s="76">
        <f>+CI691*26000</f>
        <v>0</v>
      </c>
      <c r="CK691" s="76"/>
      <c r="CL691" s="76"/>
      <c r="CM691" s="76"/>
      <c r="CN691" s="76">
        <f>+CM691*22000</f>
        <v>0</v>
      </c>
      <c r="CO691" s="76"/>
      <c r="CP691" s="76">
        <f>+CO691*46000</f>
        <v>0</v>
      </c>
      <c r="CQ691" s="76"/>
      <c r="CR691" s="76">
        <f>+CQ691*49000</f>
        <v>0</v>
      </c>
      <c r="CS691" s="76"/>
      <c r="CT691" s="76"/>
      <c r="CU691" s="56">
        <f>AN691+AP691+AR691+AT691+AV691+AX691+AZ691+BB691+BD691+BF691+BH691+BJ691+BL691+BN691+BP691+BR691+BT691+BV691+BX691+BZ691+CB691+CD691+CF691+CH691+CJ691+CL691+CN691+CP691+CR691+CT691</f>
        <v>0</v>
      </c>
      <c r="CV691" s="76"/>
      <c r="CW691" s="76">
        <f>+CV691*1100</f>
        <v>0</v>
      </c>
      <c r="CX691" s="76"/>
      <c r="CY691" s="76">
        <f>+CX691*106250</f>
        <v>0</v>
      </c>
      <c r="CZ691" s="86">
        <v>119</v>
      </c>
      <c r="DA691" s="86">
        <f>+CZ691*34499.56</f>
        <v>4105447.6399999997</v>
      </c>
      <c r="DB691" s="86">
        <v>25</v>
      </c>
      <c r="DC691" s="86">
        <f>25*41000.2</f>
        <v>1025004.9999999999</v>
      </c>
      <c r="DD691" s="221" t="s">
        <v>3907</v>
      </c>
      <c r="DE691" s="223">
        <f>28*28000.08+17*14998.8</f>
        <v>1038981.84</v>
      </c>
      <c r="DF691" s="166"/>
      <c r="DG691" s="134" t="s">
        <v>5124</v>
      </c>
      <c r="DH691" s="117"/>
      <c r="DI691" s="24"/>
      <c r="DJ691" s="24"/>
      <c r="DK691" s="24"/>
      <c r="DL691" s="24"/>
      <c r="DM691" s="24"/>
      <c r="DN691" s="24"/>
      <c r="DO691" s="24"/>
      <c r="DP691" s="24"/>
      <c r="DQ691" s="24"/>
      <c r="DR691" s="24"/>
      <c r="DS691" s="24"/>
      <c r="DT691" s="24"/>
      <c r="DU691" s="24"/>
    </row>
    <row r="692" spans="1:125" s="8" customFormat="1" ht="84" x14ac:dyDescent="0.2">
      <c r="A692" s="77">
        <v>41314</v>
      </c>
      <c r="B692" s="78" t="s">
        <v>2811</v>
      </c>
      <c r="C692" s="75" t="s">
        <v>2839</v>
      </c>
      <c r="D692" s="75" t="s">
        <v>3194</v>
      </c>
      <c r="E692" s="75" t="str">
        <f>VLOOKUP(B692&amp;C692,Divipola!$C$2:$F$1138,4,FALSE)</f>
        <v>52835</v>
      </c>
      <c r="F692" s="163"/>
      <c r="G692" s="163"/>
      <c r="H692" s="163"/>
      <c r="I692" s="163">
        <v>125</v>
      </c>
      <c r="J692" s="163">
        <v>25</v>
      </c>
      <c r="K692" s="163">
        <v>1</v>
      </c>
      <c r="L692" s="163">
        <v>24</v>
      </c>
      <c r="M692" s="163"/>
      <c r="N692" s="163"/>
      <c r="O692" s="163">
        <v>1</v>
      </c>
      <c r="P692" s="163"/>
      <c r="Q692" s="163"/>
      <c r="R692" s="163"/>
      <c r="S692" s="163"/>
      <c r="T692" s="163"/>
      <c r="U692" s="163"/>
      <c r="V692" s="89"/>
      <c r="W692" s="96">
        <v>0</v>
      </c>
      <c r="X692" s="71">
        <f>CU692</f>
        <v>0</v>
      </c>
      <c r="Y692" s="71">
        <f>CY692</f>
        <v>0</v>
      </c>
      <c r="Z692" s="71">
        <f>DA692+DC692+DE692</f>
        <v>0</v>
      </c>
      <c r="AA692" s="71">
        <f>CW692</f>
        <v>0</v>
      </c>
      <c r="AB692" s="71"/>
      <c r="AC692" s="71">
        <v>0</v>
      </c>
      <c r="AD692" s="71">
        <f>W692+X692+Y692+Z692+AA692+AB692+AC692</f>
        <v>0</v>
      </c>
      <c r="AE692" s="72">
        <v>0</v>
      </c>
      <c r="AF692" s="5"/>
      <c r="AG692" s="6"/>
      <c r="AH692" s="27" t="s">
        <v>3392</v>
      </c>
      <c r="AI692" s="44" t="s">
        <v>3393</v>
      </c>
      <c r="AJ692" s="26"/>
      <c r="AK692" s="5"/>
      <c r="AL692" s="82" t="s">
        <v>3458</v>
      </c>
      <c r="AM692" s="76"/>
      <c r="AN692" s="76"/>
      <c r="AO692" s="76"/>
      <c r="AP692" s="76"/>
      <c r="AQ692" s="76"/>
      <c r="AR692" s="76"/>
      <c r="AS692" s="76"/>
      <c r="AT692" s="76"/>
      <c r="AU692" s="76"/>
      <c r="AV692" s="76"/>
      <c r="AW692" s="76"/>
      <c r="AX692" s="76">
        <f>+AW692*600000</f>
        <v>0</v>
      </c>
      <c r="AY692" s="76"/>
      <c r="AZ692" s="76">
        <f>+AY692*70000</f>
        <v>0</v>
      </c>
      <c r="BA692" s="76"/>
      <c r="BB692" s="76"/>
      <c r="BC692" s="76"/>
      <c r="BD692" s="76">
        <f>+BC692*30000</f>
        <v>0</v>
      </c>
      <c r="BE692" s="76"/>
      <c r="BF692" s="76"/>
      <c r="BG692" s="76"/>
      <c r="BH692" s="76"/>
      <c r="BI692" s="76"/>
      <c r="BJ692" s="76"/>
      <c r="BK692" s="76"/>
      <c r="BL692" s="76">
        <f>+BK692*31500</f>
        <v>0</v>
      </c>
      <c r="BM692" s="76"/>
      <c r="BN692" s="76"/>
      <c r="BO692" s="76"/>
      <c r="BP692" s="76"/>
      <c r="BQ692" s="76"/>
      <c r="BR692" s="76"/>
      <c r="BS692" s="76"/>
      <c r="BT692" s="76"/>
      <c r="BU692" s="76"/>
      <c r="BV692" s="76"/>
      <c r="BW692" s="76"/>
      <c r="BX692" s="76"/>
      <c r="BY692" s="76"/>
      <c r="BZ692" s="76"/>
      <c r="CA692" s="76"/>
      <c r="CB692" s="76"/>
      <c r="CC692" s="76"/>
      <c r="CD692" s="76"/>
      <c r="CE692" s="76"/>
      <c r="CF692" s="76">
        <f>+CE692*28000</f>
        <v>0</v>
      </c>
      <c r="CG692" s="76"/>
      <c r="CH692" s="76">
        <f>+CG692*22500</f>
        <v>0</v>
      </c>
      <c r="CI692" s="76"/>
      <c r="CJ692" s="76">
        <f>+CI692*26000</f>
        <v>0</v>
      </c>
      <c r="CK692" s="76"/>
      <c r="CL692" s="76"/>
      <c r="CM692" s="76"/>
      <c r="CN692" s="76">
        <f>+CM692*22000</f>
        <v>0</v>
      </c>
      <c r="CO692" s="76"/>
      <c r="CP692" s="76">
        <f>+CO692*46000</f>
        <v>0</v>
      </c>
      <c r="CQ692" s="76"/>
      <c r="CR692" s="76">
        <f>+CQ692*49000</f>
        <v>0</v>
      </c>
      <c r="CS692" s="76"/>
      <c r="CT692" s="76"/>
      <c r="CU692" s="56">
        <f>AN692+AP692+AR692+AT692+AV692+AX692+AZ692+BB692+BD692+BF692+BH692+BJ692+BL692+BN692+BP692+BR692+BT692+BV692+BX692+BZ692+CB692+CD692+CF692+CH692+CJ692+CL692+CN692+CP692+CR692+CT692</f>
        <v>0</v>
      </c>
      <c r="CV692" s="76"/>
      <c r="CW692" s="76">
        <f>+CV692*1100</f>
        <v>0</v>
      </c>
      <c r="CX692" s="76"/>
      <c r="CY692" s="76">
        <f>+CX692*106250</f>
        <v>0</v>
      </c>
      <c r="CZ692" s="76"/>
      <c r="DA692" s="76">
        <f>+CZ692*34500</f>
        <v>0</v>
      </c>
      <c r="DB692" s="76"/>
      <c r="DC692" s="76">
        <f>+DB692*25000</f>
        <v>0</v>
      </c>
      <c r="DD692" s="219"/>
      <c r="DE692" s="219"/>
      <c r="DF692" s="166"/>
      <c r="DG692" s="116"/>
      <c r="DH692" s="117"/>
      <c r="DI692" s="24"/>
      <c r="DJ692" s="24"/>
      <c r="DK692" s="24"/>
      <c r="DL692" s="24"/>
      <c r="DM692" s="24"/>
      <c r="DN692" s="24"/>
      <c r="DO692" s="24"/>
      <c r="DP692" s="24"/>
      <c r="DQ692" s="24"/>
      <c r="DR692" s="24"/>
      <c r="DS692" s="24"/>
      <c r="DT692" s="24"/>
      <c r="DU692" s="24"/>
    </row>
    <row r="693" spans="1:125" s="8" customFormat="1" ht="84" x14ac:dyDescent="0.2">
      <c r="A693" s="77">
        <v>41314</v>
      </c>
      <c r="B693" s="78" t="s">
        <v>2811</v>
      </c>
      <c r="C693" s="75" t="s">
        <v>211</v>
      </c>
      <c r="D693" s="75" t="s">
        <v>3194</v>
      </c>
      <c r="E693" s="75" t="str">
        <f>VLOOKUP(B693&amp;C693,Divipola!$C$2:$F$1138,4,FALSE)</f>
        <v>52694</v>
      </c>
      <c r="F693" s="163"/>
      <c r="G693" s="163"/>
      <c r="H693" s="163"/>
      <c r="I693" s="163">
        <v>5</v>
      </c>
      <c r="J693" s="163">
        <v>1</v>
      </c>
      <c r="K693" s="163"/>
      <c r="L693" s="163">
        <v>1</v>
      </c>
      <c r="M693" s="163"/>
      <c r="N693" s="163"/>
      <c r="O693" s="163"/>
      <c r="P693" s="163"/>
      <c r="Q693" s="163"/>
      <c r="R693" s="163"/>
      <c r="S693" s="163"/>
      <c r="T693" s="163"/>
      <c r="U693" s="163"/>
      <c r="V693" s="134"/>
      <c r="W693" s="96">
        <v>0</v>
      </c>
      <c r="X693" s="71">
        <f>CU693</f>
        <v>0</v>
      </c>
      <c r="Y693" s="71">
        <f>CY693</f>
        <v>0</v>
      </c>
      <c r="Z693" s="71">
        <f>DA693+DC693+DE693</f>
        <v>0</v>
      </c>
      <c r="AA693" s="71">
        <f>CW693</f>
        <v>0</v>
      </c>
      <c r="AB693" s="71"/>
      <c r="AC693" s="71">
        <v>0</v>
      </c>
      <c r="AD693" s="71">
        <f>W693+X693+Y693+Z693+AA693+AB693+AC693</f>
        <v>0</v>
      </c>
      <c r="AE693" s="72">
        <v>0</v>
      </c>
      <c r="AF693" s="5"/>
      <c r="AG693" s="6"/>
      <c r="AH693" s="27" t="s">
        <v>3392</v>
      </c>
      <c r="AI693" s="44" t="s">
        <v>3393</v>
      </c>
      <c r="AJ693" s="26"/>
      <c r="AK693" s="5"/>
      <c r="AL693" s="82" t="s">
        <v>3458</v>
      </c>
      <c r="AM693" s="76"/>
      <c r="AN693" s="76"/>
      <c r="AO693" s="76"/>
      <c r="AP693" s="76"/>
      <c r="AQ693" s="76"/>
      <c r="AR693" s="76"/>
      <c r="AS693" s="76"/>
      <c r="AT693" s="76"/>
      <c r="AU693" s="76"/>
      <c r="AV693" s="76"/>
      <c r="AW693" s="76"/>
      <c r="AX693" s="76">
        <f>+AW693*600000</f>
        <v>0</v>
      </c>
      <c r="AY693" s="76"/>
      <c r="AZ693" s="76">
        <f>+AY693*70000</f>
        <v>0</v>
      </c>
      <c r="BA693" s="76"/>
      <c r="BB693" s="76"/>
      <c r="BC693" s="76"/>
      <c r="BD693" s="76">
        <f>+BC693*30000</f>
        <v>0</v>
      </c>
      <c r="BE693" s="76"/>
      <c r="BF693" s="76"/>
      <c r="BG693" s="76"/>
      <c r="BH693" s="76"/>
      <c r="BI693" s="76"/>
      <c r="BJ693" s="76"/>
      <c r="BK693" s="76"/>
      <c r="BL693" s="76">
        <f>+BK693*31500</f>
        <v>0</v>
      </c>
      <c r="BM693" s="76"/>
      <c r="BN693" s="76"/>
      <c r="BO693" s="76"/>
      <c r="BP693" s="76"/>
      <c r="BQ693" s="76"/>
      <c r="BR693" s="76"/>
      <c r="BS693" s="76"/>
      <c r="BT693" s="76"/>
      <c r="BU693" s="76"/>
      <c r="BV693" s="76"/>
      <c r="BW693" s="76"/>
      <c r="BX693" s="76"/>
      <c r="BY693" s="76"/>
      <c r="BZ693" s="76"/>
      <c r="CA693" s="76"/>
      <c r="CB693" s="76"/>
      <c r="CC693" s="76"/>
      <c r="CD693" s="76"/>
      <c r="CE693" s="76"/>
      <c r="CF693" s="76">
        <f>+CE693*28000</f>
        <v>0</v>
      </c>
      <c r="CG693" s="76"/>
      <c r="CH693" s="76">
        <f>+CG693*22500</f>
        <v>0</v>
      </c>
      <c r="CI693" s="76"/>
      <c r="CJ693" s="76">
        <f>+CI693*26000</f>
        <v>0</v>
      </c>
      <c r="CK693" s="76"/>
      <c r="CL693" s="76"/>
      <c r="CM693" s="76"/>
      <c r="CN693" s="76">
        <f>+CM693*22000</f>
        <v>0</v>
      </c>
      <c r="CO693" s="76"/>
      <c r="CP693" s="76">
        <f>+CO693*46000</f>
        <v>0</v>
      </c>
      <c r="CQ693" s="76"/>
      <c r="CR693" s="76">
        <f>+CQ693*49000</f>
        <v>0</v>
      </c>
      <c r="CS693" s="76"/>
      <c r="CT693" s="76"/>
      <c r="CU693" s="56">
        <f>AN693+AP693+AR693+AT693+AV693+AX693+AZ693+BB693+BD693+BF693+BH693+BJ693+BL693+BN693+BP693+BR693+BT693+BV693+BX693+BZ693+CB693+CD693+CF693+CH693+CJ693+CL693+CN693+CP693+CR693+CT693</f>
        <v>0</v>
      </c>
      <c r="CV693" s="76"/>
      <c r="CW693" s="76">
        <f>+CV693*1100</f>
        <v>0</v>
      </c>
      <c r="CX693" s="76"/>
      <c r="CY693" s="76">
        <f>+CX693*106250</f>
        <v>0</v>
      </c>
      <c r="CZ693" s="76"/>
      <c r="DA693" s="76">
        <f>+CZ693*34500</f>
        <v>0</v>
      </c>
      <c r="DB693" s="76"/>
      <c r="DC693" s="76">
        <f>+DB693*25000</f>
        <v>0</v>
      </c>
      <c r="DD693" s="219"/>
      <c r="DE693" s="219"/>
      <c r="DF693" s="166"/>
      <c r="DG693" s="116"/>
      <c r="DH693" s="117"/>
      <c r="DI693" s="24"/>
      <c r="DJ693" s="24"/>
      <c r="DK693" s="24"/>
      <c r="DL693" s="24"/>
      <c r="DM693" s="24"/>
      <c r="DN693" s="24"/>
      <c r="DO693" s="24"/>
      <c r="DP693" s="24"/>
      <c r="DQ693" s="24"/>
      <c r="DR693" s="24"/>
      <c r="DS693" s="24"/>
      <c r="DT693" s="24"/>
      <c r="DU693" s="24"/>
    </row>
    <row r="694" spans="1:125" s="8" customFormat="1" ht="384" x14ac:dyDescent="0.2">
      <c r="A694" s="77">
        <v>41314</v>
      </c>
      <c r="B694" s="78" t="s">
        <v>2811</v>
      </c>
      <c r="C694" s="75" t="s">
        <v>2693</v>
      </c>
      <c r="D694" s="75" t="s">
        <v>3194</v>
      </c>
      <c r="E694" s="75" t="str">
        <f>VLOOKUP(B694&amp;C694,Divipola!$C$2:$F$1138,4,FALSE)</f>
        <v>52696</v>
      </c>
      <c r="F694" s="163"/>
      <c r="G694" s="163">
        <v>14</v>
      </c>
      <c r="H694" s="163"/>
      <c r="I694" s="163">
        <v>808</v>
      </c>
      <c r="J694" s="163">
        <v>255</v>
      </c>
      <c r="K694" s="163">
        <v>230</v>
      </c>
      <c r="L694" s="163"/>
      <c r="M694" s="163"/>
      <c r="N694" s="163"/>
      <c r="O694" s="163">
        <v>5</v>
      </c>
      <c r="P694" s="163"/>
      <c r="Q694" s="163"/>
      <c r="R694" s="163">
        <v>1</v>
      </c>
      <c r="S694" s="163">
        <v>4</v>
      </c>
      <c r="T694" s="163">
        <v>7</v>
      </c>
      <c r="U694" s="163"/>
      <c r="V694" s="89">
        <v>3</v>
      </c>
      <c r="W694" s="96">
        <v>0</v>
      </c>
      <c r="X694" s="71">
        <f>CU694</f>
        <v>150601245.60000002</v>
      </c>
      <c r="Y694" s="71">
        <f>CY694</f>
        <v>26823582.600000001</v>
      </c>
      <c r="Z694" s="71">
        <f>DA694+DC694+DE694</f>
        <v>9849407809.3199997</v>
      </c>
      <c r="AA694" s="71">
        <f>CW694</f>
        <v>0</v>
      </c>
      <c r="AB694" s="71"/>
      <c r="AC694" s="71">
        <v>0</v>
      </c>
      <c r="AD694" s="188">
        <f>W694+X694+Y694+Z694+AA694+AB694+AC694</f>
        <v>10026832637.52</v>
      </c>
      <c r="AE694" s="72">
        <v>0</v>
      </c>
      <c r="AF694" s="5"/>
      <c r="AG694" s="6"/>
      <c r="AH694" s="27" t="s">
        <v>3390</v>
      </c>
      <c r="AI694" s="44" t="s">
        <v>3391</v>
      </c>
      <c r="AJ694" s="26"/>
      <c r="AK694" s="5"/>
      <c r="AL694" s="82" t="s">
        <v>3483</v>
      </c>
      <c r="AM694" s="76"/>
      <c r="AN694" s="76"/>
      <c r="AO694" s="76"/>
      <c r="AP694" s="76"/>
      <c r="AQ694" s="76"/>
      <c r="AR694" s="76"/>
      <c r="AS694" s="76"/>
      <c r="AT694" s="76"/>
      <c r="AU694" s="76"/>
      <c r="AV694" s="76"/>
      <c r="AW694" s="76"/>
      <c r="AX694" s="76">
        <f>+AW694*600000</f>
        <v>0</v>
      </c>
      <c r="AY694" s="86">
        <v>1020</v>
      </c>
      <c r="AZ694" s="86">
        <f>+AY694*72999.96</f>
        <v>74459959.200000003</v>
      </c>
      <c r="BA694" s="76"/>
      <c r="BB694" s="76"/>
      <c r="BC694" s="76"/>
      <c r="BD694" s="76">
        <f>+BC694*30000</f>
        <v>0</v>
      </c>
      <c r="BE694" s="76"/>
      <c r="BF694" s="76"/>
      <c r="BG694" s="76"/>
      <c r="BH694" s="76"/>
      <c r="BI694" s="76"/>
      <c r="BJ694" s="76"/>
      <c r="BK694" s="76"/>
      <c r="BL694" s="76">
        <f>+BK694*31500</f>
        <v>0</v>
      </c>
      <c r="BM694" s="76"/>
      <c r="BN694" s="76"/>
      <c r="BO694" s="76"/>
      <c r="BP694" s="76"/>
      <c r="BQ694" s="76"/>
      <c r="BR694" s="76"/>
      <c r="BS694" s="76"/>
      <c r="BT694" s="76"/>
      <c r="BU694" s="76"/>
      <c r="BV694" s="76"/>
      <c r="BW694" s="76"/>
      <c r="BX694" s="76"/>
      <c r="BY694" s="76"/>
      <c r="BZ694" s="76"/>
      <c r="CA694" s="76"/>
      <c r="CB694" s="76"/>
      <c r="CC694" s="76"/>
      <c r="CD694" s="76"/>
      <c r="CE694" s="76"/>
      <c r="CF694" s="76">
        <f>+CE694*28000</f>
        <v>0</v>
      </c>
      <c r="CG694" s="86">
        <v>1020</v>
      </c>
      <c r="CH694" s="86">
        <f>+CG694*25499.12</f>
        <v>26009102.399999999</v>
      </c>
      <c r="CI694" s="76"/>
      <c r="CJ694" s="76">
        <f>+CI694*26000</f>
        <v>0</v>
      </c>
      <c r="CK694" s="76"/>
      <c r="CL694" s="76"/>
      <c r="CM694" s="86">
        <v>1020</v>
      </c>
      <c r="CN694" s="86">
        <f>+CM694*25399.36</f>
        <v>25907347.199999999</v>
      </c>
      <c r="CO694" s="86">
        <v>255</v>
      </c>
      <c r="CP694" s="86">
        <f>+CO694*45999.8</f>
        <v>11729949</v>
      </c>
      <c r="CQ694" s="86">
        <v>255</v>
      </c>
      <c r="CR694" s="86">
        <f>+CQ694*48999.56</f>
        <v>12494887.799999999</v>
      </c>
      <c r="CS694" s="76"/>
      <c r="CT694" s="76"/>
      <c r="CU694" s="56">
        <f>AN694+AP694+AR694+AT694+AV694+AX694+AZ694+BB694+BD694+BF694+BH694+BJ694+BL694+BN694+BP694+BR694+BT694+BV694+BX694+BZ694+CB694+CD694+CF694+CH694+CJ694+CL694+CN694+CP694+CR694+CT694</f>
        <v>150601245.60000002</v>
      </c>
      <c r="CV694" s="76"/>
      <c r="CW694" s="76">
        <f>+CV694*1100</f>
        <v>0</v>
      </c>
      <c r="CX694" s="86">
        <v>255</v>
      </c>
      <c r="CY694" s="86">
        <f>+CX694*105190.52</f>
        <v>26823582.600000001</v>
      </c>
      <c r="CZ694" s="86">
        <f>6360+900</f>
        <v>7260</v>
      </c>
      <c r="DA694" s="86">
        <f>2120*34499.56+2120*34000+2120*34499.56+900*34000</f>
        <v>248958134.39999998</v>
      </c>
      <c r="DB694" s="86">
        <f>6440+6440+460+48</f>
        <v>13388</v>
      </c>
      <c r="DC694" s="86">
        <f>2146*41439.84+2147*42000+2147*42000.12+2146*33599.4+2147*32000+2147*31999.76+153*33599.4+153*15000+154*31999.76+25752*199.52+48*78000</f>
        <v>500035661.68000001</v>
      </c>
      <c r="DD694" s="92" t="s">
        <v>6725</v>
      </c>
      <c r="DE694" s="310">
        <f>230*181598+1035*35000+800*20159.64+800*21500+800*21499.44+1920*27998.92+1920*28000+1920*28000.08+4253*13439.76+4253*15000+4254*14999.96+3120*6719.88+3120*7000+3120*6999.44+1013*34999.52+1013*35000+1014*34999.52+2300*11049+2300*11000+2300*11000.28+38333*812+38333*800+38334*800.4+1533*2262+1533*3500+1534*3499.72+80*2404.68+1150*2469.64+1150*3500+1150*3499.72+1943*2469.64+1943*3500+1944*3499.72+1560*60000+1560*60000+1560*60000+570*28000+570*28000+570*28000+506*38000+506*38000+508*38000+613*110000+613*110000+614*110000+3910*55000+3910*55000+3910*55000+1533*21000+1533*21000+1534*21000+1380*75000+1380*158700+1380*75000+1610*35000+1610*35000+1610*35000+17403*21000+17403*21000+17404*28000+383*70000+383*70000+384*70000+48606*30000+48608*30000+48606*30000+766*75000+566*158700+200*75000+768*75000+1800*2100+4*280000+71*280000+249*475000+252*475000+4167*21500+4762*15000</f>
        <v>9100414013.2399998</v>
      </c>
      <c r="DF694" s="166"/>
      <c r="DG694" s="192" t="s">
        <v>6477</v>
      </c>
      <c r="DH694" s="117"/>
      <c r="DI694" s="24"/>
      <c r="DJ694" s="24"/>
      <c r="DK694" s="24"/>
      <c r="DL694" s="24"/>
      <c r="DM694" s="24"/>
      <c r="DN694" s="24"/>
      <c r="DO694" s="24"/>
      <c r="DP694" s="24"/>
      <c r="DQ694" s="24"/>
      <c r="DR694" s="24"/>
      <c r="DS694" s="24"/>
      <c r="DT694" s="24"/>
      <c r="DU694" s="24"/>
    </row>
    <row r="695" spans="1:125" s="8" customFormat="1" ht="84" x14ac:dyDescent="0.2">
      <c r="A695" s="77">
        <v>41314</v>
      </c>
      <c r="B695" s="78" t="s">
        <v>2811</v>
      </c>
      <c r="C695" s="75" t="s">
        <v>2114</v>
      </c>
      <c r="D695" s="75" t="s">
        <v>3194</v>
      </c>
      <c r="E695" s="75" t="str">
        <f>VLOOKUP(B695&amp;C695,Divipola!$C$2:$F$1138,4,FALSE)</f>
        <v>52720</v>
      </c>
      <c r="F695" s="163"/>
      <c r="G695" s="163"/>
      <c r="H695" s="163"/>
      <c r="I695" s="163">
        <v>55</v>
      </c>
      <c r="J695" s="163">
        <v>11</v>
      </c>
      <c r="K695" s="163">
        <v>1</v>
      </c>
      <c r="L695" s="163">
        <v>10</v>
      </c>
      <c r="M695" s="163"/>
      <c r="N695" s="163"/>
      <c r="O695" s="163"/>
      <c r="P695" s="163"/>
      <c r="Q695" s="163"/>
      <c r="R695" s="163"/>
      <c r="S695" s="163"/>
      <c r="T695" s="163"/>
      <c r="U695" s="163"/>
      <c r="V695" s="89"/>
      <c r="W695" s="96">
        <v>0</v>
      </c>
      <c r="X695" s="71">
        <f>CU695</f>
        <v>0</v>
      </c>
      <c r="Y695" s="71">
        <f>CY695</f>
        <v>0</v>
      </c>
      <c r="Z695" s="71">
        <f>DA695+DC695+DE695</f>
        <v>48088001.839999996</v>
      </c>
      <c r="AA695" s="71">
        <f>CW695</f>
        <v>0</v>
      </c>
      <c r="AB695" s="71"/>
      <c r="AC695" s="71">
        <v>0</v>
      </c>
      <c r="AD695" s="71">
        <f>W695+X695+Y695+Z695+AA695+AB695+AC695</f>
        <v>48088001.839999996</v>
      </c>
      <c r="AE695" s="72">
        <v>0</v>
      </c>
      <c r="AF695" s="5"/>
      <c r="AG695" s="6"/>
      <c r="AH695" s="27" t="s">
        <v>3390</v>
      </c>
      <c r="AI695" s="44" t="s">
        <v>3391</v>
      </c>
      <c r="AJ695" s="26"/>
      <c r="AK695" s="5"/>
      <c r="AL695" s="82" t="s">
        <v>3458</v>
      </c>
      <c r="AM695" s="76"/>
      <c r="AN695" s="76"/>
      <c r="AO695" s="76"/>
      <c r="AP695" s="76"/>
      <c r="AQ695" s="76"/>
      <c r="AR695" s="76"/>
      <c r="AS695" s="76"/>
      <c r="AT695" s="76"/>
      <c r="AU695" s="76"/>
      <c r="AV695" s="76"/>
      <c r="AW695" s="76"/>
      <c r="AX695" s="76">
        <f>+AW695*600000</f>
        <v>0</v>
      </c>
      <c r="AY695" s="76"/>
      <c r="AZ695" s="76">
        <f>+AY695*70000</f>
        <v>0</v>
      </c>
      <c r="BA695" s="76"/>
      <c r="BB695" s="76"/>
      <c r="BC695" s="76"/>
      <c r="BD695" s="76">
        <f>+BC695*30000</f>
        <v>0</v>
      </c>
      <c r="BE695" s="76"/>
      <c r="BF695" s="76"/>
      <c r="BG695" s="76"/>
      <c r="BH695" s="76"/>
      <c r="BI695" s="76"/>
      <c r="BJ695" s="76"/>
      <c r="BK695" s="76"/>
      <c r="BL695" s="76">
        <f>+BK695*31500</f>
        <v>0</v>
      </c>
      <c r="BM695" s="76"/>
      <c r="BN695" s="76"/>
      <c r="BO695" s="76"/>
      <c r="BP695" s="76"/>
      <c r="BQ695" s="76"/>
      <c r="BR695" s="76"/>
      <c r="BS695" s="76"/>
      <c r="BT695" s="76"/>
      <c r="BU695" s="76"/>
      <c r="BV695" s="76"/>
      <c r="BW695" s="76"/>
      <c r="BX695" s="76"/>
      <c r="BY695" s="76"/>
      <c r="BZ695" s="76"/>
      <c r="CA695" s="76"/>
      <c r="CB695" s="76"/>
      <c r="CC695" s="76"/>
      <c r="CD695" s="76"/>
      <c r="CE695" s="76"/>
      <c r="CF695" s="76">
        <f>+CE695*28000</f>
        <v>0</v>
      </c>
      <c r="CG695" s="76"/>
      <c r="CH695" s="76">
        <f>+CG695*22500</f>
        <v>0</v>
      </c>
      <c r="CI695" s="76"/>
      <c r="CJ695" s="76">
        <f>+CI695*26000</f>
        <v>0</v>
      </c>
      <c r="CK695" s="76"/>
      <c r="CL695" s="76"/>
      <c r="CM695" s="76"/>
      <c r="CN695" s="76">
        <f>+CM695*22000</f>
        <v>0</v>
      </c>
      <c r="CO695" s="76"/>
      <c r="CP695" s="76">
        <f>+CO695*46000</f>
        <v>0</v>
      </c>
      <c r="CQ695" s="76"/>
      <c r="CR695" s="76">
        <f>+CQ695*49000</f>
        <v>0</v>
      </c>
      <c r="CS695" s="76"/>
      <c r="CT695" s="76"/>
      <c r="CU695" s="56">
        <f>AN695+AP695+AR695+AT695+AV695+AX695+AZ695+BB695+BD695+BF695+BH695+BJ695+BL695+BN695+BP695+BR695+BT695+BV695+BX695+BZ695+CB695+CD695+CF695+CH695+CJ695+CL695+CN695+CP695+CR695+CT695</f>
        <v>0</v>
      </c>
      <c r="CV695" s="76"/>
      <c r="CW695" s="76">
        <f>+CV695*1100</f>
        <v>0</v>
      </c>
      <c r="CX695" s="76"/>
      <c r="CY695" s="76">
        <f>+CX695*106250</f>
        <v>0</v>
      </c>
      <c r="CZ695" s="86">
        <v>530</v>
      </c>
      <c r="DA695" s="86">
        <f>+CZ695*34499.56</f>
        <v>18284766.799999997</v>
      </c>
      <c r="DB695" s="86">
        <f>82+888+45</f>
        <v>1015</v>
      </c>
      <c r="DC695" s="86">
        <f>82*39199.88+888*1169.28+45*40319.28</f>
        <v>6067078.3999999994</v>
      </c>
      <c r="DD695" s="221" t="s">
        <v>3908</v>
      </c>
      <c r="DE695" s="223">
        <f>13050*1343.28+139*20159.64+106*13439.76+3*267695.52+37*25999.08+11*19499.6</f>
        <v>23736156.640000001</v>
      </c>
      <c r="DF695" s="166"/>
      <c r="DG695" s="134" t="s">
        <v>5479</v>
      </c>
      <c r="DH695" s="117"/>
      <c r="DI695" s="24"/>
      <c r="DJ695" s="24"/>
      <c r="DK695" s="24"/>
      <c r="DL695" s="24"/>
      <c r="DM695" s="24"/>
      <c r="DN695" s="24"/>
      <c r="DO695" s="24"/>
      <c r="DP695" s="24"/>
      <c r="DQ695" s="24"/>
      <c r="DR695" s="24"/>
      <c r="DS695" s="24"/>
      <c r="DT695" s="24"/>
      <c r="DU695" s="24"/>
    </row>
    <row r="696" spans="1:125" s="8" customFormat="1" ht="84" x14ac:dyDescent="0.2">
      <c r="A696" s="77">
        <v>41314</v>
      </c>
      <c r="B696" s="78" t="s">
        <v>2811</v>
      </c>
      <c r="C696" s="75" t="s">
        <v>2061</v>
      </c>
      <c r="D696" s="75" t="s">
        <v>3194</v>
      </c>
      <c r="E696" s="75" t="str">
        <f>VLOOKUP(B696&amp;C696,Divipola!$C$2:$F$1138,4,FALSE)</f>
        <v>52788</v>
      </c>
      <c r="F696" s="163"/>
      <c r="G696" s="163"/>
      <c r="H696" s="163"/>
      <c r="I696" s="163">
        <v>33</v>
      </c>
      <c r="J696" s="163">
        <v>8</v>
      </c>
      <c r="K696" s="163">
        <v>3</v>
      </c>
      <c r="L696" s="163">
        <v>5</v>
      </c>
      <c r="M696" s="163"/>
      <c r="N696" s="163"/>
      <c r="O696" s="163"/>
      <c r="P696" s="163"/>
      <c r="Q696" s="163"/>
      <c r="R696" s="163"/>
      <c r="S696" s="163"/>
      <c r="T696" s="163"/>
      <c r="U696" s="163"/>
      <c r="V696" s="134"/>
      <c r="W696" s="96">
        <v>0</v>
      </c>
      <c r="X696" s="71">
        <f>CU696</f>
        <v>0</v>
      </c>
      <c r="Y696" s="71">
        <f>CY696</f>
        <v>0</v>
      </c>
      <c r="Z696" s="71">
        <f>DA696+DC696+DE696</f>
        <v>39486434.799999997</v>
      </c>
      <c r="AA696" s="71">
        <f>CW696</f>
        <v>0</v>
      </c>
      <c r="AB696" s="71"/>
      <c r="AC696" s="71">
        <v>0</v>
      </c>
      <c r="AD696" s="71">
        <f>W696+X696+Y696+Z696+AA696+AB696+AC696</f>
        <v>39486434.799999997</v>
      </c>
      <c r="AE696" s="72">
        <v>0</v>
      </c>
      <c r="AF696" s="5"/>
      <c r="AG696" s="6"/>
      <c r="AH696" s="27" t="s">
        <v>3390</v>
      </c>
      <c r="AI696" s="44" t="s">
        <v>3391</v>
      </c>
      <c r="AJ696" s="26"/>
      <c r="AK696" s="5"/>
      <c r="AL696" s="82" t="s">
        <v>3458</v>
      </c>
      <c r="AM696" s="76"/>
      <c r="AN696" s="76"/>
      <c r="AO696" s="76"/>
      <c r="AP696" s="76"/>
      <c r="AQ696" s="76"/>
      <c r="AR696" s="76"/>
      <c r="AS696" s="76"/>
      <c r="AT696" s="76"/>
      <c r="AU696" s="76"/>
      <c r="AV696" s="76"/>
      <c r="AW696" s="76"/>
      <c r="AX696" s="76">
        <f>+AW696*600000</f>
        <v>0</v>
      </c>
      <c r="AY696" s="76"/>
      <c r="AZ696" s="76">
        <f>+AY696*70000</f>
        <v>0</v>
      </c>
      <c r="BA696" s="76"/>
      <c r="BB696" s="76"/>
      <c r="BC696" s="76"/>
      <c r="BD696" s="76">
        <f>+BC696*30000</f>
        <v>0</v>
      </c>
      <c r="BE696" s="76"/>
      <c r="BF696" s="76"/>
      <c r="BG696" s="76"/>
      <c r="BH696" s="76"/>
      <c r="BI696" s="76"/>
      <c r="BJ696" s="76"/>
      <c r="BK696" s="76"/>
      <c r="BL696" s="76">
        <f>+BK696*31500</f>
        <v>0</v>
      </c>
      <c r="BM696" s="76"/>
      <c r="BN696" s="76"/>
      <c r="BO696" s="76"/>
      <c r="BP696" s="76"/>
      <c r="BQ696" s="76"/>
      <c r="BR696" s="76"/>
      <c r="BS696" s="76"/>
      <c r="BT696" s="76"/>
      <c r="BU696" s="76"/>
      <c r="BV696" s="76"/>
      <c r="BW696" s="76"/>
      <c r="BX696" s="76"/>
      <c r="BY696" s="76"/>
      <c r="BZ696" s="76"/>
      <c r="CA696" s="76"/>
      <c r="CB696" s="76"/>
      <c r="CC696" s="76"/>
      <c r="CD696" s="76"/>
      <c r="CE696" s="76"/>
      <c r="CF696" s="76">
        <f>+CE696*28000</f>
        <v>0</v>
      </c>
      <c r="CG696" s="76"/>
      <c r="CH696" s="76">
        <f>+CG696*22500</f>
        <v>0</v>
      </c>
      <c r="CI696" s="76"/>
      <c r="CJ696" s="76">
        <f>+CI696*26000</f>
        <v>0</v>
      </c>
      <c r="CK696" s="76"/>
      <c r="CL696" s="76"/>
      <c r="CM696" s="76"/>
      <c r="CN696" s="76">
        <f>+CM696*22000</f>
        <v>0</v>
      </c>
      <c r="CO696" s="76"/>
      <c r="CP696" s="76">
        <f>+CO696*46000</f>
        <v>0</v>
      </c>
      <c r="CQ696" s="76"/>
      <c r="CR696" s="76">
        <f>+CQ696*49000</f>
        <v>0</v>
      </c>
      <c r="CS696" s="76"/>
      <c r="CT696" s="76"/>
      <c r="CU696" s="56">
        <f>AN696+AP696+AR696+AT696+AV696+AX696+AZ696+BB696+BD696+BF696+BH696+BJ696+BL696+BN696+BP696+BR696+BT696+BV696+BX696+BZ696+CB696+CD696+CF696+CH696+CJ696+CL696+CN696+CP696+CR696+CT696</f>
        <v>0</v>
      </c>
      <c r="CV696" s="76"/>
      <c r="CW696" s="76">
        <f>+CV696*1100</f>
        <v>0</v>
      </c>
      <c r="CX696" s="76"/>
      <c r="CY696" s="76">
        <f>+CX696*106250</f>
        <v>0</v>
      </c>
      <c r="CZ696" s="86">
        <v>382</v>
      </c>
      <c r="DA696" s="86">
        <f>+CZ696*34499.56</f>
        <v>13178831.92</v>
      </c>
      <c r="DB696" s="86">
        <f>73+1887+45</f>
        <v>2005</v>
      </c>
      <c r="DC696" s="86">
        <f>73*39199.88+1887*1169.28+45*40319.28</f>
        <v>6882390.1999999993</v>
      </c>
      <c r="DD696" s="221" t="s">
        <v>3909</v>
      </c>
      <c r="DE696" s="223">
        <f>11100*1343.28+107*20159.64+82*13439.76+1*267695.52+32*25999.08+8*19499.6</f>
        <v>19425212.68</v>
      </c>
      <c r="DF696" s="166"/>
      <c r="DG696" s="134" t="s">
        <v>5479</v>
      </c>
      <c r="DH696" s="117"/>
      <c r="DI696" s="24"/>
      <c r="DJ696" s="24"/>
      <c r="DK696" s="24"/>
      <c r="DL696" s="24"/>
      <c r="DM696" s="24"/>
      <c r="DN696" s="24"/>
      <c r="DO696" s="24"/>
      <c r="DP696" s="24"/>
      <c r="DQ696" s="24"/>
      <c r="DR696" s="24"/>
      <c r="DS696" s="24"/>
      <c r="DT696" s="24"/>
      <c r="DU696" s="24"/>
    </row>
    <row r="697" spans="1:125" s="8" customFormat="1" ht="84" x14ac:dyDescent="0.2">
      <c r="A697" s="77">
        <v>41314</v>
      </c>
      <c r="B697" s="78" t="s">
        <v>2811</v>
      </c>
      <c r="C697" s="75" t="s">
        <v>2658</v>
      </c>
      <c r="D697" s="75" t="s">
        <v>3194</v>
      </c>
      <c r="E697" s="75" t="str">
        <f>VLOOKUP(B697&amp;C697,Divipola!$C$2:$F$1138,4,FALSE)</f>
        <v>52885</v>
      </c>
      <c r="F697" s="163"/>
      <c r="G697" s="163"/>
      <c r="H697" s="163"/>
      <c r="I697" s="163">
        <v>10</v>
      </c>
      <c r="J697" s="163">
        <v>2</v>
      </c>
      <c r="K697" s="163">
        <v>1</v>
      </c>
      <c r="L697" s="163">
        <v>1</v>
      </c>
      <c r="M697" s="163"/>
      <c r="N697" s="163"/>
      <c r="O697" s="163"/>
      <c r="P697" s="163"/>
      <c r="Q697" s="163"/>
      <c r="R697" s="163"/>
      <c r="S697" s="163"/>
      <c r="T697" s="163"/>
      <c r="U697" s="163"/>
      <c r="V697" s="134"/>
      <c r="W697" s="96">
        <v>0</v>
      </c>
      <c r="X697" s="71">
        <f>CU697</f>
        <v>0</v>
      </c>
      <c r="Y697" s="71">
        <f>CY697</f>
        <v>0</v>
      </c>
      <c r="Z697" s="71">
        <f>DA697+DC697+DE697</f>
        <v>34666888.840000004</v>
      </c>
      <c r="AA697" s="71">
        <f>CW697</f>
        <v>0</v>
      </c>
      <c r="AB697" s="71"/>
      <c r="AC697" s="71">
        <v>0</v>
      </c>
      <c r="AD697" s="71">
        <f>W697+X697+Y697+Z697+AA697+AB697+AC697</f>
        <v>34666888.840000004</v>
      </c>
      <c r="AE697" s="72">
        <v>0</v>
      </c>
      <c r="AF697" s="5"/>
      <c r="AG697" s="6"/>
      <c r="AH697" s="27" t="s">
        <v>3390</v>
      </c>
      <c r="AI697" s="44" t="s">
        <v>3391</v>
      </c>
      <c r="AJ697" s="26"/>
      <c r="AK697" s="5"/>
      <c r="AL697" s="82" t="s">
        <v>3458</v>
      </c>
      <c r="AM697" s="76"/>
      <c r="AN697" s="76"/>
      <c r="AO697" s="76"/>
      <c r="AP697" s="76"/>
      <c r="AQ697" s="76"/>
      <c r="AR697" s="76"/>
      <c r="AS697" s="76"/>
      <c r="AT697" s="76"/>
      <c r="AU697" s="76"/>
      <c r="AV697" s="76"/>
      <c r="AW697" s="76"/>
      <c r="AX697" s="76">
        <f>+AW697*600000</f>
        <v>0</v>
      </c>
      <c r="AY697" s="76"/>
      <c r="AZ697" s="76">
        <f>+AY697*70000</f>
        <v>0</v>
      </c>
      <c r="BA697" s="76"/>
      <c r="BB697" s="76"/>
      <c r="BC697" s="76"/>
      <c r="BD697" s="76">
        <f>+BC697*30000</f>
        <v>0</v>
      </c>
      <c r="BE697" s="76"/>
      <c r="BF697" s="76"/>
      <c r="BG697" s="76"/>
      <c r="BH697" s="76"/>
      <c r="BI697" s="76"/>
      <c r="BJ697" s="76"/>
      <c r="BK697" s="76"/>
      <c r="BL697" s="76">
        <f>+BK697*31500</f>
        <v>0</v>
      </c>
      <c r="BM697" s="76"/>
      <c r="BN697" s="76"/>
      <c r="BO697" s="76"/>
      <c r="BP697" s="76"/>
      <c r="BQ697" s="76"/>
      <c r="BR697" s="76"/>
      <c r="BS697" s="76"/>
      <c r="BT697" s="76"/>
      <c r="BU697" s="76"/>
      <c r="BV697" s="76"/>
      <c r="BW697" s="76"/>
      <c r="BX697" s="76"/>
      <c r="BY697" s="76"/>
      <c r="BZ697" s="76"/>
      <c r="CA697" s="76"/>
      <c r="CB697" s="76"/>
      <c r="CC697" s="76"/>
      <c r="CD697" s="76"/>
      <c r="CE697" s="76"/>
      <c r="CF697" s="76">
        <f>+CE697*28000</f>
        <v>0</v>
      </c>
      <c r="CG697" s="76"/>
      <c r="CH697" s="76">
        <f>+CG697*22500</f>
        <v>0</v>
      </c>
      <c r="CI697" s="76"/>
      <c r="CJ697" s="76">
        <f>+CI697*26000</f>
        <v>0</v>
      </c>
      <c r="CK697" s="76"/>
      <c r="CL697" s="76"/>
      <c r="CM697" s="76"/>
      <c r="CN697" s="76">
        <f>+CM697*22000</f>
        <v>0</v>
      </c>
      <c r="CO697" s="76"/>
      <c r="CP697" s="76">
        <f>+CO697*46000</f>
        <v>0</v>
      </c>
      <c r="CQ697" s="76"/>
      <c r="CR697" s="76">
        <f>+CQ697*49000</f>
        <v>0</v>
      </c>
      <c r="CS697" s="76"/>
      <c r="CT697" s="76"/>
      <c r="CU697" s="56">
        <f>AN697+AP697+AR697+AT697+AV697+AX697+AZ697+BB697+BD697+BF697+BH697+BJ697+BL697+BN697+BP697+BR697+BT697+BV697+BX697+BZ697+CB697+CD697+CF697+CH697+CJ697+CL697+CN697+CP697+CR697+CT697</f>
        <v>0</v>
      </c>
      <c r="CV697" s="76"/>
      <c r="CW697" s="76">
        <f>+CV697*1100</f>
        <v>0</v>
      </c>
      <c r="CX697" s="76"/>
      <c r="CY697" s="76">
        <f>+CX697*106250</f>
        <v>0</v>
      </c>
      <c r="CZ697" s="86">
        <v>325</v>
      </c>
      <c r="DA697" s="86">
        <f>+CZ697*34499.56</f>
        <v>11212357</v>
      </c>
      <c r="DB697" s="86">
        <f>65+445+37</f>
        <v>547</v>
      </c>
      <c r="DC697" s="86">
        <f>65*39199.88+445*1169.28+37*40319.28</f>
        <v>4560135.16</v>
      </c>
      <c r="DD697" s="221" t="s">
        <v>3910</v>
      </c>
      <c r="DE697" s="223">
        <f>11000*1343.28+107*20159.64+82*13439.76+1*267695.52+22*25999.08+1*19499.6</f>
        <v>18894396.680000003</v>
      </c>
      <c r="DF697" s="166"/>
      <c r="DG697" s="134" t="s">
        <v>5479</v>
      </c>
      <c r="DH697" s="117"/>
      <c r="DI697" s="24"/>
      <c r="DJ697" s="24"/>
      <c r="DK697" s="24"/>
      <c r="DL697" s="24"/>
      <c r="DM697" s="24"/>
      <c r="DN697" s="24"/>
      <c r="DO697" s="24"/>
      <c r="DP697" s="24"/>
      <c r="DQ697" s="24"/>
      <c r="DR697" s="24"/>
      <c r="DS697" s="24"/>
      <c r="DT697" s="24"/>
      <c r="DU697" s="24"/>
    </row>
    <row r="698" spans="1:125" s="8" customFormat="1" ht="96" x14ac:dyDescent="0.2">
      <c r="A698" s="77">
        <v>41314</v>
      </c>
      <c r="B698" s="352" t="s">
        <v>2880</v>
      </c>
      <c r="C698" s="354" t="s">
        <v>2732</v>
      </c>
      <c r="D698" s="75" t="s">
        <v>3051</v>
      </c>
      <c r="E698" s="75" t="str">
        <f>VLOOKUP(B698&amp;C698,Divipola!$C$2:$F$1138,4,FALSE)</f>
        <v>54001</v>
      </c>
      <c r="F698" s="87"/>
      <c r="G698" s="87"/>
      <c r="H698" s="87"/>
      <c r="I698" s="87">
        <v>60</v>
      </c>
      <c r="J698" s="87">
        <v>12</v>
      </c>
      <c r="K698" s="87">
        <v>2</v>
      </c>
      <c r="L698" s="87">
        <v>10</v>
      </c>
      <c r="M698" s="87"/>
      <c r="N698" s="87"/>
      <c r="O698" s="87"/>
      <c r="P698" s="87"/>
      <c r="Q698" s="87"/>
      <c r="R698" s="87"/>
      <c r="S698" s="87"/>
      <c r="T698" s="87"/>
      <c r="U698" s="88"/>
      <c r="V698" s="89"/>
      <c r="W698" s="96">
        <v>0</v>
      </c>
      <c r="X698" s="71">
        <f>CU698</f>
        <v>0</v>
      </c>
      <c r="Y698" s="71">
        <f>CY698</f>
        <v>0</v>
      </c>
      <c r="Z698" s="71">
        <f>DA698+DC698+DE698</f>
        <v>0</v>
      </c>
      <c r="AA698" s="71">
        <f>CW698</f>
        <v>0</v>
      </c>
      <c r="AB698" s="71"/>
      <c r="AC698" s="71">
        <v>0</v>
      </c>
      <c r="AD698" s="71">
        <f>W698+X698+Y698+Z698+AA698+AB698+AC698</f>
        <v>0</v>
      </c>
      <c r="AE698" s="72">
        <v>0</v>
      </c>
      <c r="AF698" s="5"/>
      <c r="AG698" s="6"/>
      <c r="AH698" s="27" t="s">
        <v>3392</v>
      </c>
      <c r="AI698" s="44" t="s">
        <v>3393</v>
      </c>
      <c r="AJ698" s="26"/>
      <c r="AK698" s="5"/>
      <c r="AL698" s="82" t="s">
        <v>3456</v>
      </c>
      <c r="AM698" s="76"/>
      <c r="AN698" s="76"/>
      <c r="AO698" s="76"/>
      <c r="AP698" s="76"/>
      <c r="AQ698" s="76"/>
      <c r="AR698" s="76"/>
      <c r="AS698" s="76"/>
      <c r="AT698" s="76"/>
      <c r="AU698" s="76"/>
      <c r="AV698" s="76"/>
      <c r="AW698" s="76"/>
      <c r="AX698" s="76">
        <f>+AW698*600000</f>
        <v>0</v>
      </c>
      <c r="AY698" s="76"/>
      <c r="AZ698" s="76">
        <f>+AY698*70000</f>
        <v>0</v>
      </c>
      <c r="BA698" s="76"/>
      <c r="BB698" s="76"/>
      <c r="BC698" s="76"/>
      <c r="BD698" s="76">
        <f>+BC698*30000</f>
        <v>0</v>
      </c>
      <c r="BE698" s="76"/>
      <c r="BF698" s="76"/>
      <c r="BG698" s="76"/>
      <c r="BH698" s="76"/>
      <c r="BI698" s="76"/>
      <c r="BJ698" s="76"/>
      <c r="BK698" s="76"/>
      <c r="BL698" s="76">
        <f>+BK698*31500</f>
        <v>0</v>
      </c>
      <c r="BM698" s="76"/>
      <c r="BN698" s="76"/>
      <c r="BO698" s="76"/>
      <c r="BP698" s="76"/>
      <c r="BQ698" s="76"/>
      <c r="BR698" s="76"/>
      <c r="BS698" s="76"/>
      <c r="BT698" s="76"/>
      <c r="BU698" s="76"/>
      <c r="BV698" s="76"/>
      <c r="BW698" s="76"/>
      <c r="BX698" s="76"/>
      <c r="BY698" s="76"/>
      <c r="BZ698" s="76"/>
      <c r="CA698" s="76"/>
      <c r="CB698" s="76"/>
      <c r="CC698" s="76"/>
      <c r="CD698" s="76"/>
      <c r="CE698" s="76"/>
      <c r="CF698" s="76">
        <f>+CE698*28000</f>
        <v>0</v>
      </c>
      <c r="CG698" s="76"/>
      <c r="CH698" s="76">
        <f>+CG698*22500</f>
        <v>0</v>
      </c>
      <c r="CI698" s="76"/>
      <c r="CJ698" s="76">
        <f>+CI698*26000</f>
        <v>0</v>
      </c>
      <c r="CK698" s="76"/>
      <c r="CL698" s="76"/>
      <c r="CM698" s="76"/>
      <c r="CN698" s="76">
        <f>+CM698*22000</f>
        <v>0</v>
      </c>
      <c r="CO698" s="76"/>
      <c r="CP698" s="76">
        <f>+CO698*46000</f>
        <v>0</v>
      </c>
      <c r="CQ698" s="76"/>
      <c r="CR698" s="76">
        <f>+CQ698*49000</f>
        <v>0</v>
      </c>
      <c r="CS698" s="76"/>
      <c r="CT698" s="76"/>
      <c r="CU698" s="56">
        <f>AN698+AP698+AR698+AT698+AV698+AX698+AZ698+BB698+BD698+BF698+BH698+BJ698+BL698+BN698+BP698+BR698+BT698+BV698+BX698+BZ698+CB698+CD698+CF698+CH698+CJ698+CL698+CN698+CP698+CR698+CT698</f>
        <v>0</v>
      </c>
      <c r="CV698" s="76"/>
      <c r="CW698" s="76">
        <f>+CV698*1100</f>
        <v>0</v>
      </c>
      <c r="CX698" s="76"/>
      <c r="CY698" s="76">
        <f>+CX698*106250</f>
        <v>0</v>
      </c>
      <c r="CZ698" s="76"/>
      <c r="DA698" s="76">
        <f>+CZ698*34500</f>
        <v>0</v>
      </c>
      <c r="DB698" s="76"/>
      <c r="DC698" s="76">
        <f>+DB698*25000</f>
        <v>0</v>
      </c>
      <c r="DD698" s="219"/>
      <c r="DE698" s="219"/>
      <c r="DF698" s="166"/>
      <c r="DG698" s="116"/>
      <c r="DH698" s="117"/>
      <c r="DI698" s="24"/>
      <c r="DJ698" s="24"/>
      <c r="DK698" s="24"/>
      <c r="DL698" s="24"/>
      <c r="DM698" s="24"/>
      <c r="DN698" s="24"/>
      <c r="DO698" s="24"/>
      <c r="DP698" s="24"/>
      <c r="DQ698" s="24"/>
      <c r="DR698" s="24"/>
      <c r="DS698" s="24"/>
      <c r="DT698" s="24"/>
      <c r="DU698" s="24"/>
    </row>
    <row r="699" spans="1:125" s="8" customFormat="1" ht="72" x14ac:dyDescent="0.2">
      <c r="A699" s="77">
        <v>41314</v>
      </c>
      <c r="B699" s="78" t="s">
        <v>2880</v>
      </c>
      <c r="C699" s="75" t="s">
        <v>2679</v>
      </c>
      <c r="D699" s="75" t="s">
        <v>3027</v>
      </c>
      <c r="E699" s="75" t="str">
        <f>VLOOKUP(B699&amp;C699,Divipola!$C$2:$F$1138,4,FALSE)</f>
        <v>54245</v>
      </c>
      <c r="F699" s="87"/>
      <c r="G699" s="87"/>
      <c r="H699" s="87"/>
      <c r="I699" s="87"/>
      <c r="J699" s="87"/>
      <c r="K699" s="87"/>
      <c r="L699" s="87"/>
      <c r="M699" s="87"/>
      <c r="N699" s="87"/>
      <c r="O699" s="87"/>
      <c r="P699" s="87"/>
      <c r="Q699" s="87"/>
      <c r="R699" s="87"/>
      <c r="S699" s="87"/>
      <c r="T699" s="87"/>
      <c r="U699" s="88"/>
      <c r="V699" s="89"/>
      <c r="W699" s="96">
        <v>0</v>
      </c>
      <c r="X699" s="71">
        <f>CU699</f>
        <v>0</v>
      </c>
      <c r="Y699" s="71">
        <f>CY699</f>
        <v>0</v>
      </c>
      <c r="Z699" s="71">
        <f>DA699+DC699+DE699</f>
        <v>0</v>
      </c>
      <c r="AA699" s="71">
        <f>CW699</f>
        <v>0</v>
      </c>
      <c r="AB699" s="71"/>
      <c r="AC699" s="71">
        <v>0</v>
      </c>
      <c r="AD699" s="71">
        <f>W699+X699+Y699+Z699+AA699+AB699+AC699</f>
        <v>0</v>
      </c>
      <c r="AE699" s="72">
        <v>0</v>
      </c>
      <c r="AF699" s="5"/>
      <c r="AG699" s="6"/>
      <c r="AH699" s="27" t="s">
        <v>3392</v>
      </c>
      <c r="AI699" s="44" t="s">
        <v>3393</v>
      </c>
      <c r="AJ699" s="26"/>
      <c r="AK699" s="5"/>
      <c r="AL699" s="82" t="s">
        <v>3454</v>
      </c>
      <c r="AM699" s="76"/>
      <c r="AN699" s="76"/>
      <c r="AO699" s="76"/>
      <c r="AP699" s="76"/>
      <c r="AQ699" s="76"/>
      <c r="AR699" s="76"/>
      <c r="AS699" s="76"/>
      <c r="AT699" s="76"/>
      <c r="AU699" s="76"/>
      <c r="AV699" s="76"/>
      <c r="AW699" s="76"/>
      <c r="AX699" s="76">
        <f>+AW699*600000</f>
        <v>0</v>
      </c>
      <c r="AY699" s="76"/>
      <c r="AZ699" s="76">
        <f>+AY699*70000</f>
        <v>0</v>
      </c>
      <c r="BA699" s="76"/>
      <c r="BB699" s="76"/>
      <c r="BC699" s="76"/>
      <c r="BD699" s="76">
        <f>+BC699*30000</f>
        <v>0</v>
      </c>
      <c r="BE699" s="76"/>
      <c r="BF699" s="76"/>
      <c r="BG699" s="76"/>
      <c r="BH699" s="76"/>
      <c r="BI699" s="76"/>
      <c r="BJ699" s="76"/>
      <c r="BK699" s="76"/>
      <c r="BL699" s="76">
        <f>+BK699*31500</f>
        <v>0</v>
      </c>
      <c r="BM699" s="76"/>
      <c r="BN699" s="76"/>
      <c r="BO699" s="76"/>
      <c r="BP699" s="76"/>
      <c r="BQ699" s="76"/>
      <c r="BR699" s="76"/>
      <c r="BS699" s="76"/>
      <c r="BT699" s="76"/>
      <c r="BU699" s="76"/>
      <c r="BV699" s="76"/>
      <c r="BW699" s="76"/>
      <c r="BX699" s="76"/>
      <c r="BY699" s="76"/>
      <c r="BZ699" s="76"/>
      <c r="CA699" s="76"/>
      <c r="CB699" s="76"/>
      <c r="CC699" s="76"/>
      <c r="CD699" s="76"/>
      <c r="CE699" s="76"/>
      <c r="CF699" s="76">
        <f>+CE699*28000</f>
        <v>0</v>
      </c>
      <c r="CG699" s="76"/>
      <c r="CH699" s="76">
        <f>+CG699*22500</f>
        <v>0</v>
      </c>
      <c r="CI699" s="76"/>
      <c r="CJ699" s="76">
        <f>+CI699*26000</f>
        <v>0</v>
      </c>
      <c r="CK699" s="76"/>
      <c r="CL699" s="76"/>
      <c r="CM699" s="76"/>
      <c r="CN699" s="76">
        <f>+CM699*22000</f>
        <v>0</v>
      </c>
      <c r="CO699" s="76"/>
      <c r="CP699" s="76">
        <f>+CO699*46000</f>
        <v>0</v>
      </c>
      <c r="CQ699" s="76"/>
      <c r="CR699" s="76">
        <f>+CQ699*49000</f>
        <v>0</v>
      </c>
      <c r="CS699" s="76"/>
      <c r="CT699" s="76"/>
      <c r="CU699" s="56">
        <f>AN699+AP699+AR699+AT699+AV699+AX699+AZ699+BB699+BD699+BF699+BH699+BJ699+BL699+BN699+BP699+BR699+BT699+BV699+BX699+BZ699+CB699+CD699+CF699+CH699+CJ699+CL699+CN699+CP699+CR699+CT699</f>
        <v>0</v>
      </c>
      <c r="CV699" s="76"/>
      <c r="CW699" s="76">
        <f>+CV699*1100</f>
        <v>0</v>
      </c>
      <c r="CX699" s="76"/>
      <c r="CY699" s="76">
        <f>+CX699*106250</f>
        <v>0</v>
      </c>
      <c r="CZ699" s="76"/>
      <c r="DA699" s="76">
        <f>+CZ699*34500</f>
        <v>0</v>
      </c>
      <c r="DB699" s="76"/>
      <c r="DC699" s="76">
        <f>+DB699*25000</f>
        <v>0</v>
      </c>
      <c r="DD699" s="219"/>
      <c r="DE699" s="219"/>
      <c r="DF699" s="166"/>
      <c r="DG699" s="116"/>
      <c r="DH699" s="117"/>
      <c r="DI699" s="24"/>
      <c r="DJ699" s="24"/>
      <c r="DK699" s="24"/>
      <c r="DL699" s="24"/>
      <c r="DM699" s="24"/>
      <c r="DN699" s="24"/>
      <c r="DO699" s="24"/>
      <c r="DP699" s="24"/>
      <c r="DQ699" s="24"/>
      <c r="DR699" s="24"/>
      <c r="DS699" s="24"/>
      <c r="DT699" s="24"/>
      <c r="DU699" s="24"/>
    </row>
    <row r="700" spans="1:125" s="8" customFormat="1" ht="84" x14ac:dyDescent="0.2">
      <c r="A700" s="77">
        <v>41314</v>
      </c>
      <c r="B700" s="78" t="s">
        <v>2860</v>
      </c>
      <c r="C700" s="75" t="s">
        <v>2173</v>
      </c>
      <c r="D700" s="75" t="s">
        <v>3194</v>
      </c>
      <c r="E700" s="75" t="str">
        <f>VLOOKUP(B700&amp;C700,Divipola!$C$2:$F$1138,4,FALSE)</f>
        <v>63470</v>
      </c>
      <c r="F700" s="163"/>
      <c r="G700" s="163"/>
      <c r="H700" s="163"/>
      <c r="I700" s="163">
        <v>5</v>
      </c>
      <c r="J700" s="163">
        <v>1</v>
      </c>
      <c r="K700" s="163"/>
      <c r="L700" s="163">
        <v>1</v>
      </c>
      <c r="M700" s="163"/>
      <c r="N700" s="163"/>
      <c r="O700" s="163"/>
      <c r="P700" s="163"/>
      <c r="Q700" s="163"/>
      <c r="R700" s="163"/>
      <c r="S700" s="163"/>
      <c r="T700" s="163"/>
      <c r="U700" s="163"/>
      <c r="V700" s="134"/>
      <c r="W700" s="96">
        <v>0</v>
      </c>
      <c r="X700" s="71">
        <f>CU700</f>
        <v>0</v>
      </c>
      <c r="Y700" s="71">
        <f>CY700</f>
        <v>0</v>
      </c>
      <c r="Z700" s="71">
        <f>DA700+DC700+DE700</f>
        <v>0</v>
      </c>
      <c r="AA700" s="71">
        <f>CW700</f>
        <v>0</v>
      </c>
      <c r="AB700" s="71"/>
      <c r="AC700" s="71">
        <v>0</v>
      </c>
      <c r="AD700" s="71">
        <f>W700+X700+Y700+Z700+AA700+AB700+AC700</f>
        <v>0</v>
      </c>
      <c r="AE700" s="72">
        <v>0</v>
      </c>
      <c r="AF700" s="5"/>
      <c r="AG700" s="6"/>
      <c r="AH700" s="27" t="s">
        <v>3392</v>
      </c>
      <c r="AI700" s="44" t="s">
        <v>3393</v>
      </c>
      <c r="AJ700" s="26"/>
      <c r="AK700" s="5"/>
      <c r="AL700" s="82" t="s">
        <v>3458</v>
      </c>
      <c r="AM700" s="76"/>
      <c r="AN700" s="76"/>
      <c r="AO700" s="76"/>
      <c r="AP700" s="76"/>
      <c r="AQ700" s="76"/>
      <c r="AR700" s="76"/>
      <c r="AS700" s="76"/>
      <c r="AT700" s="76"/>
      <c r="AU700" s="76"/>
      <c r="AV700" s="76"/>
      <c r="AW700" s="76"/>
      <c r="AX700" s="76">
        <f>+AW700*600000</f>
        <v>0</v>
      </c>
      <c r="AY700" s="76"/>
      <c r="AZ700" s="76">
        <f>+AY700*70000</f>
        <v>0</v>
      </c>
      <c r="BA700" s="76"/>
      <c r="BB700" s="76"/>
      <c r="BC700" s="76"/>
      <c r="BD700" s="76">
        <f>+BC700*30000</f>
        <v>0</v>
      </c>
      <c r="BE700" s="76"/>
      <c r="BF700" s="76"/>
      <c r="BG700" s="76"/>
      <c r="BH700" s="76"/>
      <c r="BI700" s="76"/>
      <c r="BJ700" s="76"/>
      <c r="BK700" s="76"/>
      <c r="BL700" s="76">
        <f>+BK700*31500</f>
        <v>0</v>
      </c>
      <c r="BM700" s="76"/>
      <c r="BN700" s="76"/>
      <c r="BO700" s="76"/>
      <c r="BP700" s="76"/>
      <c r="BQ700" s="76"/>
      <c r="BR700" s="76"/>
      <c r="BS700" s="76"/>
      <c r="BT700" s="76"/>
      <c r="BU700" s="76"/>
      <c r="BV700" s="76"/>
      <c r="BW700" s="76"/>
      <c r="BX700" s="76"/>
      <c r="BY700" s="76"/>
      <c r="BZ700" s="76"/>
      <c r="CA700" s="76"/>
      <c r="CB700" s="76"/>
      <c r="CC700" s="76"/>
      <c r="CD700" s="76"/>
      <c r="CE700" s="76"/>
      <c r="CF700" s="76">
        <f>+CE700*28000</f>
        <v>0</v>
      </c>
      <c r="CG700" s="76"/>
      <c r="CH700" s="76">
        <f>+CG700*22500</f>
        <v>0</v>
      </c>
      <c r="CI700" s="76"/>
      <c r="CJ700" s="76">
        <f>+CI700*26000</f>
        <v>0</v>
      </c>
      <c r="CK700" s="76"/>
      <c r="CL700" s="76"/>
      <c r="CM700" s="76"/>
      <c r="CN700" s="76">
        <f>+CM700*22000</f>
        <v>0</v>
      </c>
      <c r="CO700" s="76"/>
      <c r="CP700" s="76">
        <f>+CO700*46000</f>
        <v>0</v>
      </c>
      <c r="CQ700" s="76"/>
      <c r="CR700" s="76">
        <f>+CQ700*49000</f>
        <v>0</v>
      </c>
      <c r="CS700" s="76"/>
      <c r="CT700" s="76"/>
      <c r="CU700" s="56">
        <f>AN700+AP700+AR700+AT700+AV700+AX700+AZ700+BB700+BD700+BF700+BH700+BJ700+BL700+BN700+BP700+BR700+BT700+BV700+BX700+BZ700+CB700+CD700+CF700+CH700+CJ700+CL700+CN700+CP700+CR700+CT700</f>
        <v>0</v>
      </c>
      <c r="CV700" s="76"/>
      <c r="CW700" s="76">
        <f>+CV700*1100</f>
        <v>0</v>
      </c>
      <c r="CX700" s="76"/>
      <c r="CY700" s="76">
        <f>+CX700*106250</f>
        <v>0</v>
      </c>
      <c r="CZ700" s="76"/>
      <c r="DA700" s="76">
        <f>+CZ700*34500</f>
        <v>0</v>
      </c>
      <c r="DB700" s="76"/>
      <c r="DC700" s="76">
        <f>+DB700*25000</f>
        <v>0</v>
      </c>
      <c r="DD700" s="219"/>
      <c r="DE700" s="219"/>
      <c r="DF700" s="166"/>
      <c r="DG700" s="116"/>
      <c r="DH700" s="117"/>
      <c r="DI700" s="24"/>
      <c r="DJ700" s="24"/>
      <c r="DK700" s="24"/>
      <c r="DL700" s="24"/>
      <c r="DM700" s="24"/>
      <c r="DN700" s="24"/>
      <c r="DO700" s="24"/>
      <c r="DP700" s="24"/>
      <c r="DQ700" s="24"/>
      <c r="DR700" s="24"/>
      <c r="DS700" s="24"/>
      <c r="DT700" s="24"/>
      <c r="DU700" s="24"/>
    </row>
    <row r="701" spans="1:125" s="8" customFormat="1" ht="84" x14ac:dyDescent="0.2">
      <c r="A701" s="77">
        <v>41314</v>
      </c>
      <c r="B701" s="78" t="s">
        <v>2774</v>
      </c>
      <c r="C701" s="75" t="s">
        <v>2037</v>
      </c>
      <c r="D701" s="75" t="s">
        <v>3194</v>
      </c>
      <c r="E701" s="75" t="str">
        <f>VLOOKUP(B701&amp;C701,Divipola!$C$2:$F$1138,4,FALSE)</f>
        <v>66045</v>
      </c>
      <c r="F701" s="163"/>
      <c r="G701" s="163"/>
      <c r="H701" s="163"/>
      <c r="I701" s="163">
        <v>5</v>
      </c>
      <c r="J701" s="163">
        <v>1</v>
      </c>
      <c r="K701" s="163"/>
      <c r="L701" s="163">
        <v>1</v>
      </c>
      <c r="M701" s="163"/>
      <c r="N701" s="163"/>
      <c r="O701" s="163"/>
      <c r="P701" s="163"/>
      <c r="Q701" s="163"/>
      <c r="R701" s="163"/>
      <c r="S701" s="163"/>
      <c r="T701" s="163"/>
      <c r="U701" s="163"/>
      <c r="V701" s="134"/>
      <c r="W701" s="96">
        <v>0</v>
      </c>
      <c r="X701" s="71">
        <f>CU701</f>
        <v>0</v>
      </c>
      <c r="Y701" s="71">
        <f>CY701</f>
        <v>0</v>
      </c>
      <c r="Z701" s="71">
        <f>DA701+DC701+DE701</f>
        <v>0</v>
      </c>
      <c r="AA701" s="71">
        <f>CW701</f>
        <v>0</v>
      </c>
      <c r="AB701" s="71"/>
      <c r="AC701" s="71">
        <v>0</v>
      </c>
      <c r="AD701" s="71">
        <f>W701+X701+Y701+Z701+AA701+AB701+AC701</f>
        <v>0</v>
      </c>
      <c r="AE701" s="72">
        <v>0</v>
      </c>
      <c r="AF701" s="5"/>
      <c r="AG701" s="6"/>
      <c r="AH701" s="27" t="s">
        <v>3392</v>
      </c>
      <c r="AI701" s="44" t="s">
        <v>3393</v>
      </c>
      <c r="AJ701" s="26"/>
      <c r="AK701" s="5"/>
      <c r="AL701" s="82" t="s">
        <v>3458</v>
      </c>
      <c r="AM701" s="76"/>
      <c r="AN701" s="76"/>
      <c r="AO701" s="76"/>
      <c r="AP701" s="76"/>
      <c r="AQ701" s="76"/>
      <c r="AR701" s="76"/>
      <c r="AS701" s="76"/>
      <c r="AT701" s="76"/>
      <c r="AU701" s="76"/>
      <c r="AV701" s="76"/>
      <c r="AW701" s="76"/>
      <c r="AX701" s="76">
        <f>+AW701*600000</f>
        <v>0</v>
      </c>
      <c r="AY701" s="76"/>
      <c r="AZ701" s="76">
        <f>+AY701*70000</f>
        <v>0</v>
      </c>
      <c r="BA701" s="76"/>
      <c r="BB701" s="76"/>
      <c r="BC701" s="76"/>
      <c r="BD701" s="76">
        <f>+BC701*30000</f>
        <v>0</v>
      </c>
      <c r="BE701" s="76"/>
      <c r="BF701" s="76"/>
      <c r="BG701" s="76"/>
      <c r="BH701" s="76"/>
      <c r="BI701" s="76"/>
      <c r="BJ701" s="76"/>
      <c r="BK701" s="76"/>
      <c r="BL701" s="76">
        <f>+BK701*31500</f>
        <v>0</v>
      </c>
      <c r="BM701" s="76"/>
      <c r="BN701" s="76"/>
      <c r="BO701" s="76"/>
      <c r="BP701" s="76"/>
      <c r="BQ701" s="76"/>
      <c r="BR701" s="76"/>
      <c r="BS701" s="76"/>
      <c r="BT701" s="76"/>
      <c r="BU701" s="76"/>
      <c r="BV701" s="76"/>
      <c r="BW701" s="76"/>
      <c r="BX701" s="76"/>
      <c r="BY701" s="76"/>
      <c r="BZ701" s="76"/>
      <c r="CA701" s="76"/>
      <c r="CB701" s="76"/>
      <c r="CC701" s="76"/>
      <c r="CD701" s="76"/>
      <c r="CE701" s="76"/>
      <c r="CF701" s="76">
        <f>+CE701*28000</f>
        <v>0</v>
      </c>
      <c r="CG701" s="76"/>
      <c r="CH701" s="76">
        <f>+CG701*22500</f>
        <v>0</v>
      </c>
      <c r="CI701" s="76"/>
      <c r="CJ701" s="76">
        <f>+CI701*26000</f>
        <v>0</v>
      </c>
      <c r="CK701" s="76"/>
      <c r="CL701" s="76"/>
      <c r="CM701" s="76"/>
      <c r="CN701" s="76">
        <f>+CM701*22000</f>
        <v>0</v>
      </c>
      <c r="CO701" s="76"/>
      <c r="CP701" s="76">
        <f>+CO701*46000</f>
        <v>0</v>
      </c>
      <c r="CQ701" s="76"/>
      <c r="CR701" s="76">
        <f>+CQ701*49000</f>
        <v>0</v>
      </c>
      <c r="CS701" s="76"/>
      <c r="CT701" s="76"/>
      <c r="CU701" s="56">
        <f>AN701+AP701+AR701+AT701+AV701+AX701+AZ701+BB701+BD701+BF701+BH701+BJ701+BL701+BN701+BP701+BR701+BT701+BV701+BX701+BZ701+CB701+CD701+CF701+CH701+CJ701+CL701+CN701+CP701+CR701+CT701</f>
        <v>0</v>
      </c>
      <c r="CV701" s="76"/>
      <c r="CW701" s="76">
        <f>+CV701*1100</f>
        <v>0</v>
      </c>
      <c r="CX701" s="76"/>
      <c r="CY701" s="76">
        <f>+CX701*106250</f>
        <v>0</v>
      </c>
      <c r="CZ701" s="76"/>
      <c r="DA701" s="76">
        <f>+CZ701*34500</f>
        <v>0</v>
      </c>
      <c r="DB701" s="76"/>
      <c r="DC701" s="76">
        <f>+DB701*25000</f>
        <v>0</v>
      </c>
      <c r="DD701" s="219"/>
      <c r="DE701" s="219"/>
      <c r="DF701" s="166"/>
      <c r="DG701" s="116"/>
      <c r="DH701" s="117"/>
      <c r="DI701" s="24"/>
      <c r="DJ701" s="24"/>
      <c r="DK701" s="24"/>
      <c r="DL701" s="24"/>
      <c r="DM701" s="24"/>
      <c r="DN701" s="24"/>
      <c r="DO701" s="24"/>
      <c r="DP701" s="24"/>
      <c r="DQ701" s="24"/>
      <c r="DR701" s="24"/>
      <c r="DS701" s="24"/>
      <c r="DT701" s="24"/>
      <c r="DU701" s="24"/>
    </row>
    <row r="702" spans="1:125" s="8" customFormat="1" ht="84" x14ac:dyDescent="0.2">
      <c r="A702" s="77">
        <v>41314</v>
      </c>
      <c r="B702" s="78" t="s">
        <v>2774</v>
      </c>
      <c r="C702" s="75" t="s">
        <v>2745</v>
      </c>
      <c r="D702" s="75" t="s">
        <v>3194</v>
      </c>
      <c r="E702" s="75" t="str">
        <f>VLOOKUP(B702&amp;C702,Divipola!$C$2:$F$1138,4,FALSE)</f>
        <v>66318</v>
      </c>
      <c r="F702" s="163"/>
      <c r="G702" s="163"/>
      <c r="H702" s="163"/>
      <c r="I702" s="163"/>
      <c r="J702" s="163"/>
      <c r="K702" s="163"/>
      <c r="L702" s="163"/>
      <c r="M702" s="163"/>
      <c r="N702" s="163"/>
      <c r="O702" s="163"/>
      <c r="P702" s="163"/>
      <c r="Q702" s="163"/>
      <c r="R702" s="163"/>
      <c r="S702" s="163">
        <v>1</v>
      </c>
      <c r="T702" s="163"/>
      <c r="U702" s="163"/>
      <c r="V702" s="89"/>
      <c r="W702" s="96">
        <v>0</v>
      </c>
      <c r="X702" s="71">
        <f>CU702</f>
        <v>0</v>
      </c>
      <c r="Y702" s="71">
        <f>CY702</f>
        <v>0</v>
      </c>
      <c r="Z702" s="71">
        <f>DA702+DC702+DE702</f>
        <v>0</v>
      </c>
      <c r="AA702" s="71">
        <f>CW702</f>
        <v>0</v>
      </c>
      <c r="AB702" s="71"/>
      <c r="AC702" s="71">
        <v>0</v>
      </c>
      <c r="AD702" s="71">
        <f>W702+X702+Y702+Z702+AA702+AB702+AC702</f>
        <v>0</v>
      </c>
      <c r="AE702" s="72">
        <v>0</v>
      </c>
      <c r="AF702" s="5"/>
      <c r="AG702" s="6"/>
      <c r="AH702" s="27" t="s">
        <v>3392</v>
      </c>
      <c r="AI702" s="44" t="s">
        <v>3393</v>
      </c>
      <c r="AJ702" s="26"/>
      <c r="AK702" s="5"/>
      <c r="AL702" s="82" t="s">
        <v>3458</v>
      </c>
      <c r="AM702" s="76"/>
      <c r="AN702" s="76"/>
      <c r="AO702" s="76"/>
      <c r="AP702" s="76"/>
      <c r="AQ702" s="76"/>
      <c r="AR702" s="76"/>
      <c r="AS702" s="76"/>
      <c r="AT702" s="76"/>
      <c r="AU702" s="76"/>
      <c r="AV702" s="76"/>
      <c r="AW702" s="76"/>
      <c r="AX702" s="76">
        <f>+AW702*600000</f>
        <v>0</v>
      </c>
      <c r="AY702" s="76"/>
      <c r="AZ702" s="76">
        <f>+AY702*70000</f>
        <v>0</v>
      </c>
      <c r="BA702" s="76"/>
      <c r="BB702" s="76"/>
      <c r="BC702" s="76"/>
      <c r="BD702" s="76">
        <f>+BC702*30000</f>
        <v>0</v>
      </c>
      <c r="BE702" s="76"/>
      <c r="BF702" s="76"/>
      <c r="BG702" s="76"/>
      <c r="BH702" s="76"/>
      <c r="BI702" s="76"/>
      <c r="BJ702" s="76"/>
      <c r="BK702" s="76"/>
      <c r="BL702" s="76">
        <f>+BK702*31500</f>
        <v>0</v>
      </c>
      <c r="BM702" s="76"/>
      <c r="BN702" s="76"/>
      <c r="BO702" s="76"/>
      <c r="BP702" s="76"/>
      <c r="BQ702" s="76"/>
      <c r="BR702" s="76"/>
      <c r="BS702" s="76"/>
      <c r="BT702" s="76"/>
      <c r="BU702" s="76"/>
      <c r="BV702" s="76"/>
      <c r="BW702" s="76"/>
      <c r="BX702" s="76"/>
      <c r="BY702" s="76"/>
      <c r="BZ702" s="76"/>
      <c r="CA702" s="76"/>
      <c r="CB702" s="76"/>
      <c r="CC702" s="76"/>
      <c r="CD702" s="76"/>
      <c r="CE702" s="76"/>
      <c r="CF702" s="76">
        <f>+CE702*28000</f>
        <v>0</v>
      </c>
      <c r="CG702" s="76"/>
      <c r="CH702" s="76">
        <f>+CG702*22500</f>
        <v>0</v>
      </c>
      <c r="CI702" s="76"/>
      <c r="CJ702" s="76">
        <f>+CI702*26000</f>
        <v>0</v>
      </c>
      <c r="CK702" s="76"/>
      <c r="CL702" s="76"/>
      <c r="CM702" s="76"/>
      <c r="CN702" s="76">
        <f>+CM702*22000</f>
        <v>0</v>
      </c>
      <c r="CO702" s="76"/>
      <c r="CP702" s="76">
        <f>+CO702*46000</f>
        <v>0</v>
      </c>
      <c r="CQ702" s="76"/>
      <c r="CR702" s="76">
        <f>+CQ702*49000</f>
        <v>0</v>
      </c>
      <c r="CS702" s="76"/>
      <c r="CT702" s="76"/>
      <c r="CU702" s="56">
        <f>AN702+AP702+AR702+AT702+AV702+AX702+AZ702+BB702+BD702+BF702+BH702+BJ702+BL702+BN702+BP702+BR702+BT702+BV702+BX702+BZ702+CB702+CD702+CF702+CH702+CJ702+CL702+CN702+CP702+CR702+CT702</f>
        <v>0</v>
      </c>
      <c r="CV702" s="76"/>
      <c r="CW702" s="76">
        <f>+CV702*1100</f>
        <v>0</v>
      </c>
      <c r="CX702" s="76"/>
      <c r="CY702" s="76">
        <f>+CX702*106250</f>
        <v>0</v>
      </c>
      <c r="CZ702" s="76"/>
      <c r="DA702" s="76">
        <f>+CZ702*34500</f>
        <v>0</v>
      </c>
      <c r="DB702" s="76"/>
      <c r="DC702" s="76">
        <f>+DB702*25000</f>
        <v>0</v>
      </c>
      <c r="DD702" s="219"/>
      <c r="DE702" s="219"/>
      <c r="DF702" s="166"/>
      <c r="DG702" s="116"/>
      <c r="DH702" s="117"/>
      <c r="DI702" s="24"/>
      <c r="DJ702" s="24"/>
      <c r="DK702" s="24"/>
      <c r="DL702" s="24"/>
      <c r="DM702" s="24"/>
      <c r="DN702" s="24"/>
      <c r="DO702" s="24"/>
      <c r="DP702" s="24"/>
      <c r="DQ702" s="24"/>
      <c r="DR702" s="24"/>
      <c r="DS702" s="24"/>
      <c r="DT702" s="24"/>
      <c r="DU702" s="24"/>
    </row>
    <row r="703" spans="1:125" s="8" customFormat="1" ht="84" x14ac:dyDescent="0.2">
      <c r="A703" s="77">
        <v>41314</v>
      </c>
      <c r="B703" s="78" t="s">
        <v>2774</v>
      </c>
      <c r="C703" s="75" t="s">
        <v>2106</v>
      </c>
      <c r="D703" s="75" t="s">
        <v>3194</v>
      </c>
      <c r="E703" s="75" t="str">
        <f>VLOOKUP(B703&amp;C703,Divipola!$C$2:$F$1138,4,FALSE)</f>
        <v>66400</v>
      </c>
      <c r="F703" s="163"/>
      <c r="G703" s="163"/>
      <c r="H703" s="163"/>
      <c r="I703" s="163"/>
      <c r="J703" s="163"/>
      <c r="K703" s="163"/>
      <c r="L703" s="163"/>
      <c r="M703" s="163"/>
      <c r="N703" s="163"/>
      <c r="O703" s="163"/>
      <c r="P703" s="163"/>
      <c r="Q703" s="163"/>
      <c r="R703" s="163"/>
      <c r="S703" s="163">
        <v>1</v>
      </c>
      <c r="T703" s="163"/>
      <c r="U703" s="163"/>
      <c r="V703" s="89"/>
      <c r="W703" s="96">
        <v>0</v>
      </c>
      <c r="X703" s="71">
        <f>CU703</f>
        <v>0</v>
      </c>
      <c r="Y703" s="71">
        <f>CY703</f>
        <v>0</v>
      </c>
      <c r="Z703" s="71">
        <f>DA703+DC703+DE703</f>
        <v>0</v>
      </c>
      <c r="AA703" s="71">
        <f>CW703</f>
        <v>0</v>
      </c>
      <c r="AB703" s="71"/>
      <c r="AC703" s="71">
        <v>0</v>
      </c>
      <c r="AD703" s="71">
        <f>W703+X703+Y703+Z703+AA703+AB703+AC703</f>
        <v>0</v>
      </c>
      <c r="AE703" s="72">
        <v>0</v>
      </c>
      <c r="AF703" s="5"/>
      <c r="AG703" s="6"/>
      <c r="AH703" s="27" t="s">
        <v>3392</v>
      </c>
      <c r="AI703" s="44" t="s">
        <v>3393</v>
      </c>
      <c r="AJ703" s="26"/>
      <c r="AK703" s="5"/>
      <c r="AL703" s="82" t="s">
        <v>3458</v>
      </c>
      <c r="AM703" s="76"/>
      <c r="AN703" s="76"/>
      <c r="AO703" s="76"/>
      <c r="AP703" s="76"/>
      <c r="AQ703" s="76"/>
      <c r="AR703" s="76"/>
      <c r="AS703" s="76"/>
      <c r="AT703" s="76"/>
      <c r="AU703" s="76"/>
      <c r="AV703" s="76"/>
      <c r="AW703" s="76"/>
      <c r="AX703" s="76">
        <f>+AW703*600000</f>
        <v>0</v>
      </c>
      <c r="AY703" s="76"/>
      <c r="AZ703" s="76">
        <f>+AY703*70000</f>
        <v>0</v>
      </c>
      <c r="BA703" s="76"/>
      <c r="BB703" s="76"/>
      <c r="BC703" s="76"/>
      <c r="BD703" s="76">
        <f>+BC703*30000</f>
        <v>0</v>
      </c>
      <c r="BE703" s="76"/>
      <c r="BF703" s="76"/>
      <c r="BG703" s="76"/>
      <c r="BH703" s="76"/>
      <c r="BI703" s="76"/>
      <c r="BJ703" s="76"/>
      <c r="BK703" s="76"/>
      <c r="BL703" s="76">
        <f>+BK703*31500</f>
        <v>0</v>
      </c>
      <c r="BM703" s="76"/>
      <c r="BN703" s="76"/>
      <c r="BO703" s="76"/>
      <c r="BP703" s="76"/>
      <c r="BQ703" s="76"/>
      <c r="BR703" s="76"/>
      <c r="BS703" s="76"/>
      <c r="BT703" s="76"/>
      <c r="BU703" s="76"/>
      <c r="BV703" s="76"/>
      <c r="BW703" s="76"/>
      <c r="BX703" s="76"/>
      <c r="BY703" s="76"/>
      <c r="BZ703" s="76"/>
      <c r="CA703" s="76"/>
      <c r="CB703" s="76"/>
      <c r="CC703" s="76"/>
      <c r="CD703" s="76"/>
      <c r="CE703" s="76"/>
      <c r="CF703" s="76">
        <f>+CE703*28000</f>
        <v>0</v>
      </c>
      <c r="CG703" s="76"/>
      <c r="CH703" s="76">
        <f>+CG703*22500</f>
        <v>0</v>
      </c>
      <c r="CI703" s="76"/>
      <c r="CJ703" s="76">
        <f>+CI703*26000</f>
        <v>0</v>
      </c>
      <c r="CK703" s="76"/>
      <c r="CL703" s="76"/>
      <c r="CM703" s="76"/>
      <c r="CN703" s="76">
        <f>+CM703*22000</f>
        <v>0</v>
      </c>
      <c r="CO703" s="76"/>
      <c r="CP703" s="76">
        <f>+CO703*46000</f>
        <v>0</v>
      </c>
      <c r="CQ703" s="76"/>
      <c r="CR703" s="76">
        <f>+CQ703*49000</f>
        <v>0</v>
      </c>
      <c r="CS703" s="76"/>
      <c r="CT703" s="76"/>
      <c r="CU703" s="56">
        <f>AN703+AP703+AR703+AT703+AV703+AX703+AZ703+BB703+BD703+BF703+BH703+BJ703+BL703+BN703+BP703+BR703+BT703+BV703+BX703+BZ703+CB703+CD703+CF703+CH703+CJ703+CL703+CN703+CP703+CR703+CT703</f>
        <v>0</v>
      </c>
      <c r="CV703" s="76"/>
      <c r="CW703" s="76">
        <f>+CV703*1100</f>
        <v>0</v>
      </c>
      <c r="CX703" s="76"/>
      <c r="CY703" s="76">
        <f>+CX703*106250</f>
        <v>0</v>
      </c>
      <c r="CZ703" s="76"/>
      <c r="DA703" s="76">
        <f>+CZ703*34500</f>
        <v>0</v>
      </c>
      <c r="DB703" s="76"/>
      <c r="DC703" s="76">
        <f>+DB703*25000</f>
        <v>0</v>
      </c>
      <c r="DD703" s="219"/>
      <c r="DE703" s="219"/>
      <c r="DF703" s="166"/>
      <c r="DG703" s="116"/>
      <c r="DH703" s="117"/>
      <c r="DI703" s="24"/>
      <c r="DJ703" s="24"/>
      <c r="DK703" s="24"/>
      <c r="DL703" s="24"/>
      <c r="DM703" s="24"/>
      <c r="DN703" s="24"/>
      <c r="DO703" s="24"/>
      <c r="DP703" s="24"/>
      <c r="DQ703" s="24"/>
      <c r="DR703" s="24"/>
      <c r="DS703" s="24"/>
      <c r="DT703" s="24"/>
      <c r="DU703" s="24"/>
    </row>
    <row r="704" spans="1:125" s="8" customFormat="1" ht="84" x14ac:dyDescent="0.2">
      <c r="A704" s="77">
        <v>41314</v>
      </c>
      <c r="B704" s="78" t="s">
        <v>2774</v>
      </c>
      <c r="C704" s="75" t="s">
        <v>2038</v>
      </c>
      <c r="D704" s="75" t="s">
        <v>3194</v>
      </c>
      <c r="E704" s="75" t="str">
        <f>VLOOKUP(B704&amp;C704,Divipola!$C$2:$F$1138,4,FALSE)</f>
        <v>66456</v>
      </c>
      <c r="F704" s="163"/>
      <c r="G704" s="163"/>
      <c r="H704" s="163"/>
      <c r="I704" s="163"/>
      <c r="J704" s="163"/>
      <c r="K704" s="163"/>
      <c r="L704" s="163"/>
      <c r="M704" s="163"/>
      <c r="N704" s="163"/>
      <c r="O704" s="163"/>
      <c r="P704" s="163"/>
      <c r="Q704" s="163"/>
      <c r="R704" s="163"/>
      <c r="S704" s="163">
        <v>3</v>
      </c>
      <c r="T704" s="163"/>
      <c r="U704" s="163"/>
      <c r="V704" s="89"/>
      <c r="W704" s="96">
        <v>0</v>
      </c>
      <c r="X704" s="71">
        <f>CU704</f>
        <v>0</v>
      </c>
      <c r="Y704" s="71">
        <f>CY704</f>
        <v>0</v>
      </c>
      <c r="Z704" s="71">
        <f>DA704+DC704+DE704</f>
        <v>0</v>
      </c>
      <c r="AA704" s="71">
        <f>CW704</f>
        <v>0</v>
      </c>
      <c r="AB704" s="71"/>
      <c r="AC704" s="71">
        <v>0</v>
      </c>
      <c r="AD704" s="71">
        <f>W704+X704+Y704+Z704+AA704+AB704+AC704</f>
        <v>0</v>
      </c>
      <c r="AE704" s="72">
        <v>0</v>
      </c>
      <c r="AF704" s="5"/>
      <c r="AG704" s="6"/>
      <c r="AH704" s="27" t="s">
        <v>3392</v>
      </c>
      <c r="AI704" s="44" t="s">
        <v>3393</v>
      </c>
      <c r="AJ704" s="26"/>
      <c r="AK704" s="5"/>
      <c r="AL704" s="82" t="s">
        <v>3458</v>
      </c>
      <c r="AM704" s="76"/>
      <c r="AN704" s="76"/>
      <c r="AO704" s="76"/>
      <c r="AP704" s="76"/>
      <c r="AQ704" s="76"/>
      <c r="AR704" s="76"/>
      <c r="AS704" s="76"/>
      <c r="AT704" s="76"/>
      <c r="AU704" s="76"/>
      <c r="AV704" s="76"/>
      <c r="AW704" s="76"/>
      <c r="AX704" s="76">
        <f>+AW704*600000</f>
        <v>0</v>
      </c>
      <c r="AY704" s="76"/>
      <c r="AZ704" s="76">
        <f>+AY704*70000</f>
        <v>0</v>
      </c>
      <c r="BA704" s="76"/>
      <c r="BB704" s="76"/>
      <c r="BC704" s="76"/>
      <c r="BD704" s="76">
        <f>+BC704*30000</f>
        <v>0</v>
      </c>
      <c r="BE704" s="76"/>
      <c r="BF704" s="76"/>
      <c r="BG704" s="76"/>
      <c r="BH704" s="76"/>
      <c r="BI704" s="76"/>
      <c r="BJ704" s="76"/>
      <c r="BK704" s="76"/>
      <c r="BL704" s="76">
        <f>+BK704*31500</f>
        <v>0</v>
      </c>
      <c r="BM704" s="76"/>
      <c r="BN704" s="76"/>
      <c r="BO704" s="76"/>
      <c r="BP704" s="76"/>
      <c r="BQ704" s="76"/>
      <c r="BR704" s="76"/>
      <c r="BS704" s="76"/>
      <c r="BT704" s="76"/>
      <c r="BU704" s="76"/>
      <c r="BV704" s="76"/>
      <c r="BW704" s="76"/>
      <c r="BX704" s="76"/>
      <c r="BY704" s="76"/>
      <c r="BZ704" s="76"/>
      <c r="CA704" s="76"/>
      <c r="CB704" s="76"/>
      <c r="CC704" s="76"/>
      <c r="CD704" s="76"/>
      <c r="CE704" s="76"/>
      <c r="CF704" s="76">
        <f>+CE704*28000</f>
        <v>0</v>
      </c>
      <c r="CG704" s="76"/>
      <c r="CH704" s="76">
        <f>+CG704*22500</f>
        <v>0</v>
      </c>
      <c r="CI704" s="76"/>
      <c r="CJ704" s="76">
        <f>+CI704*26000</f>
        <v>0</v>
      </c>
      <c r="CK704" s="76"/>
      <c r="CL704" s="76"/>
      <c r="CM704" s="76"/>
      <c r="CN704" s="76">
        <f>+CM704*22000</f>
        <v>0</v>
      </c>
      <c r="CO704" s="76"/>
      <c r="CP704" s="76">
        <f>+CO704*46000</f>
        <v>0</v>
      </c>
      <c r="CQ704" s="76"/>
      <c r="CR704" s="76">
        <f>+CQ704*49000</f>
        <v>0</v>
      </c>
      <c r="CS704" s="76"/>
      <c r="CT704" s="76"/>
      <c r="CU704" s="56">
        <f>AN704+AP704+AR704+AT704+AV704+AX704+AZ704+BB704+BD704+BF704+BH704+BJ704+BL704+BN704+BP704+BR704+BT704+BV704+BX704+BZ704+CB704+CD704+CF704+CH704+CJ704+CL704+CN704+CP704+CR704+CT704</f>
        <v>0</v>
      </c>
      <c r="CV704" s="76"/>
      <c r="CW704" s="76">
        <f>+CV704*1100</f>
        <v>0</v>
      </c>
      <c r="CX704" s="76"/>
      <c r="CY704" s="76">
        <f>+CX704*106250</f>
        <v>0</v>
      </c>
      <c r="CZ704" s="76"/>
      <c r="DA704" s="76">
        <f>+CZ704*34500</f>
        <v>0</v>
      </c>
      <c r="DB704" s="76"/>
      <c r="DC704" s="76">
        <f>+DB704*25000</f>
        <v>0</v>
      </c>
      <c r="DD704" s="219"/>
      <c r="DE704" s="219"/>
      <c r="DF704" s="166"/>
      <c r="DG704" s="116"/>
      <c r="DH704" s="117"/>
      <c r="DI704" s="24"/>
      <c r="DJ704" s="24"/>
      <c r="DK704" s="24"/>
      <c r="DL704" s="24"/>
      <c r="DM704" s="24"/>
      <c r="DN704" s="24"/>
      <c r="DO704" s="24"/>
      <c r="DP704" s="24"/>
      <c r="DQ704" s="24"/>
      <c r="DR704" s="24"/>
      <c r="DS704" s="24"/>
      <c r="DT704" s="24"/>
      <c r="DU704" s="24"/>
    </row>
    <row r="705" spans="1:128" s="8" customFormat="1" ht="84" x14ac:dyDescent="0.2">
      <c r="A705" s="77">
        <v>41314</v>
      </c>
      <c r="B705" s="78" t="s">
        <v>2774</v>
      </c>
      <c r="C705" s="75" t="s">
        <v>1370</v>
      </c>
      <c r="D705" s="75" t="s">
        <v>3194</v>
      </c>
      <c r="E705" s="75" t="str">
        <f>VLOOKUP(B705&amp;C705,Divipola!$C$2:$F$1138,4,FALSE)</f>
        <v>66594</v>
      </c>
      <c r="F705" s="163"/>
      <c r="G705" s="163"/>
      <c r="H705" s="163"/>
      <c r="I705" s="163"/>
      <c r="J705" s="163"/>
      <c r="K705" s="163"/>
      <c r="L705" s="163"/>
      <c r="M705" s="163"/>
      <c r="N705" s="163"/>
      <c r="O705" s="163"/>
      <c r="P705" s="163"/>
      <c r="Q705" s="163"/>
      <c r="R705" s="163"/>
      <c r="S705" s="163">
        <v>1</v>
      </c>
      <c r="T705" s="163"/>
      <c r="U705" s="163"/>
      <c r="V705" s="89"/>
      <c r="W705" s="96">
        <v>0</v>
      </c>
      <c r="X705" s="71">
        <f>CU705</f>
        <v>0</v>
      </c>
      <c r="Y705" s="71">
        <f>CY705</f>
        <v>0</v>
      </c>
      <c r="Z705" s="71">
        <f>DA705+DC705+DE705</f>
        <v>0</v>
      </c>
      <c r="AA705" s="71">
        <f>CW705</f>
        <v>0</v>
      </c>
      <c r="AB705" s="71"/>
      <c r="AC705" s="71">
        <v>0</v>
      </c>
      <c r="AD705" s="71">
        <f>W705+X705+Y705+Z705+AA705+AB705+AC705</f>
        <v>0</v>
      </c>
      <c r="AE705" s="72">
        <v>0</v>
      </c>
      <c r="AF705" s="5"/>
      <c r="AG705" s="6"/>
      <c r="AH705" s="27" t="s">
        <v>3392</v>
      </c>
      <c r="AI705" s="44" t="s">
        <v>3393</v>
      </c>
      <c r="AJ705" s="26"/>
      <c r="AK705" s="5"/>
      <c r="AL705" s="82" t="s">
        <v>3458</v>
      </c>
      <c r="AM705" s="76"/>
      <c r="AN705" s="76"/>
      <c r="AO705" s="76"/>
      <c r="AP705" s="76"/>
      <c r="AQ705" s="76"/>
      <c r="AR705" s="76"/>
      <c r="AS705" s="76"/>
      <c r="AT705" s="76"/>
      <c r="AU705" s="76"/>
      <c r="AV705" s="76"/>
      <c r="AW705" s="76"/>
      <c r="AX705" s="76">
        <f>+AW705*600000</f>
        <v>0</v>
      </c>
      <c r="AY705" s="76"/>
      <c r="AZ705" s="76">
        <f>+AY705*70000</f>
        <v>0</v>
      </c>
      <c r="BA705" s="76"/>
      <c r="BB705" s="76"/>
      <c r="BC705" s="76"/>
      <c r="BD705" s="76">
        <f>+BC705*30000</f>
        <v>0</v>
      </c>
      <c r="BE705" s="76"/>
      <c r="BF705" s="76"/>
      <c r="BG705" s="76"/>
      <c r="BH705" s="76"/>
      <c r="BI705" s="76"/>
      <c r="BJ705" s="76"/>
      <c r="BK705" s="76"/>
      <c r="BL705" s="76">
        <f>+BK705*31500</f>
        <v>0</v>
      </c>
      <c r="BM705" s="76"/>
      <c r="BN705" s="76"/>
      <c r="BO705" s="76"/>
      <c r="BP705" s="76"/>
      <c r="BQ705" s="76"/>
      <c r="BR705" s="76"/>
      <c r="BS705" s="76"/>
      <c r="BT705" s="76"/>
      <c r="BU705" s="76"/>
      <c r="BV705" s="76"/>
      <c r="BW705" s="76"/>
      <c r="BX705" s="76"/>
      <c r="BY705" s="76"/>
      <c r="BZ705" s="76"/>
      <c r="CA705" s="76"/>
      <c r="CB705" s="76"/>
      <c r="CC705" s="76"/>
      <c r="CD705" s="76"/>
      <c r="CE705" s="76"/>
      <c r="CF705" s="76">
        <f>+CE705*28000</f>
        <v>0</v>
      </c>
      <c r="CG705" s="76"/>
      <c r="CH705" s="76">
        <f>+CG705*22500</f>
        <v>0</v>
      </c>
      <c r="CI705" s="76"/>
      <c r="CJ705" s="76">
        <f>+CI705*26000</f>
        <v>0</v>
      </c>
      <c r="CK705" s="76"/>
      <c r="CL705" s="76"/>
      <c r="CM705" s="76"/>
      <c r="CN705" s="76">
        <f>+CM705*22000</f>
        <v>0</v>
      </c>
      <c r="CO705" s="76"/>
      <c r="CP705" s="76">
        <f>+CO705*46000</f>
        <v>0</v>
      </c>
      <c r="CQ705" s="76"/>
      <c r="CR705" s="76">
        <f>+CQ705*49000</f>
        <v>0</v>
      </c>
      <c r="CS705" s="76"/>
      <c r="CT705" s="76"/>
      <c r="CU705" s="56">
        <f>AN705+AP705+AR705+AT705+AV705+AX705+AZ705+BB705+BD705+BF705+BH705+BJ705+BL705+BN705+BP705+BR705+BT705+BV705+BX705+BZ705+CB705+CD705+CF705+CH705+CJ705+CL705+CN705+CP705+CR705+CT705</f>
        <v>0</v>
      </c>
      <c r="CV705" s="76"/>
      <c r="CW705" s="76">
        <f>+CV705*1100</f>
        <v>0</v>
      </c>
      <c r="CX705" s="76"/>
      <c r="CY705" s="76">
        <f>+CX705*106250</f>
        <v>0</v>
      </c>
      <c r="CZ705" s="76"/>
      <c r="DA705" s="76">
        <f>+CZ705*34500</f>
        <v>0</v>
      </c>
      <c r="DB705" s="76"/>
      <c r="DC705" s="76">
        <f>+DB705*25000</f>
        <v>0</v>
      </c>
      <c r="DD705" s="219"/>
      <c r="DE705" s="219"/>
      <c r="DF705" s="166"/>
      <c r="DG705" s="116"/>
      <c r="DH705" s="117"/>
      <c r="DI705" s="24"/>
      <c r="DJ705" s="24"/>
      <c r="DK705" s="24"/>
      <c r="DL705" s="24"/>
      <c r="DM705" s="24"/>
      <c r="DN705" s="24"/>
      <c r="DO705" s="24"/>
      <c r="DP705" s="24"/>
      <c r="DQ705" s="24"/>
      <c r="DR705" s="24"/>
      <c r="DS705" s="24"/>
      <c r="DT705" s="24"/>
      <c r="DU705" s="24"/>
    </row>
    <row r="706" spans="1:128" s="8" customFormat="1" ht="156" x14ac:dyDescent="0.2">
      <c r="A706" s="77">
        <v>41314</v>
      </c>
      <c r="B706" s="78" t="s">
        <v>2774</v>
      </c>
      <c r="C706" s="75" t="s">
        <v>2790</v>
      </c>
      <c r="D706" s="75" t="s">
        <v>3194</v>
      </c>
      <c r="E706" s="75" t="str">
        <f>VLOOKUP(B706&amp;C706,Divipola!$C$2:$F$1138,4,FALSE)</f>
        <v>66682</v>
      </c>
      <c r="F706" s="100"/>
      <c r="G706" s="100"/>
      <c r="H706" s="100"/>
      <c r="I706" s="100">
        <v>85</v>
      </c>
      <c r="J706" s="100">
        <v>17</v>
      </c>
      <c r="K706" s="100"/>
      <c r="L706" s="100">
        <v>17</v>
      </c>
      <c r="M706" s="100"/>
      <c r="N706" s="100"/>
      <c r="O706" s="100"/>
      <c r="P706" s="100"/>
      <c r="Q706" s="100"/>
      <c r="R706" s="100"/>
      <c r="S706" s="100">
        <v>4</v>
      </c>
      <c r="T706" s="100"/>
      <c r="U706" s="136"/>
      <c r="V706" s="89">
        <v>1</v>
      </c>
      <c r="W706" s="96">
        <v>0</v>
      </c>
      <c r="X706" s="71">
        <f>CU706</f>
        <v>0</v>
      </c>
      <c r="Y706" s="71">
        <f>CY706</f>
        <v>0</v>
      </c>
      <c r="Z706" s="71">
        <f>DA706+DC706+DE706</f>
        <v>0</v>
      </c>
      <c r="AA706" s="71">
        <f>CW706</f>
        <v>0</v>
      </c>
      <c r="AB706" s="71"/>
      <c r="AC706" s="71">
        <v>0</v>
      </c>
      <c r="AD706" s="71">
        <f>W706+X706+Y706+Z706+AA706+AB706+AC706</f>
        <v>0</v>
      </c>
      <c r="AE706" s="72">
        <v>0</v>
      </c>
      <c r="AF706" s="5"/>
      <c r="AG706" s="6"/>
      <c r="AH706" s="27" t="s">
        <v>3392</v>
      </c>
      <c r="AI706" s="44" t="s">
        <v>3393</v>
      </c>
      <c r="AJ706" s="26"/>
      <c r="AK706" s="5"/>
      <c r="AL706" s="82" t="s">
        <v>3479</v>
      </c>
      <c r="AM706" s="76"/>
      <c r="AN706" s="76"/>
      <c r="AO706" s="76"/>
      <c r="AP706" s="76"/>
      <c r="AQ706" s="76"/>
      <c r="AR706" s="76"/>
      <c r="AS706" s="76"/>
      <c r="AT706" s="76"/>
      <c r="AU706" s="76"/>
      <c r="AV706" s="76"/>
      <c r="AW706" s="76"/>
      <c r="AX706" s="76">
        <f>+AW706*600000</f>
        <v>0</v>
      </c>
      <c r="AY706" s="76"/>
      <c r="AZ706" s="76">
        <f>+AY706*70000</f>
        <v>0</v>
      </c>
      <c r="BA706" s="76"/>
      <c r="BB706" s="76"/>
      <c r="BC706" s="76"/>
      <c r="BD706" s="76">
        <f>+BC706*30000</f>
        <v>0</v>
      </c>
      <c r="BE706" s="76"/>
      <c r="BF706" s="76"/>
      <c r="BG706" s="76"/>
      <c r="BH706" s="76"/>
      <c r="BI706" s="76"/>
      <c r="BJ706" s="76"/>
      <c r="BK706" s="76"/>
      <c r="BL706" s="76">
        <f>+BK706*31500</f>
        <v>0</v>
      </c>
      <c r="BM706" s="76"/>
      <c r="BN706" s="76"/>
      <c r="BO706" s="76"/>
      <c r="BP706" s="76"/>
      <c r="BQ706" s="76"/>
      <c r="BR706" s="76"/>
      <c r="BS706" s="76"/>
      <c r="BT706" s="76"/>
      <c r="BU706" s="76"/>
      <c r="BV706" s="76"/>
      <c r="BW706" s="76"/>
      <c r="BX706" s="76"/>
      <c r="BY706" s="76"/>
      <c r="BZ706" s="76"/>
      <c r="CA706" s="76"/>
      <c r="CB706" s="76"/>
      <c r="CC706" s="76"/>
      <c r="CD706" s="76"/>
      <c r="CE706" s="76"/>
      <c r="CF706" s="76">
        <f>+CE706*28000</f>
        <v>0</v>
      </c>
      <c r="CG706" s="76"/>
      <c r="CH706" s="76">
        <f>+CG706*22500</f>
        <v>0</v>
      </c>
      <c r="CI706" s="76"/>
      <c r="CJ706" s="76">
        <f>+CI706*26000</f>
        <v>0</v>
      </c>
      <c r="CK706" s="76"/>
      <c r="CL706" s="76"/>
      <c r="CM706" s="76"/>
      <c r="CN706" s="76">
        <f>+CM706*22000</f>
        <v>0</v>
      </c>
      <c r="CO706" s="76"/>
      <c r="CP706" s="76">
        <f>+CO706*46000</f>
        <v>0</v>
      </c>
      <c r="CQ706" s="76"/>
      <c r="CR706" s="76">
        <f>+CQ706*49000</f>
        <v>0</v>
      </c>
      <c r="CS706" s="76"/>
      <c r="CT706" s="76"/>
      <c r="CU706" s="56">
        <f>AN706+AP706+AR706+AT706+AV706+AX706+AZ706+BB706+BD706+BF706+BH706+BJ706+BL706+BN706+BP706+BR706+BT706+BV706+BX706+BZ706+CB706+CD706+CF706+CH706+CJ706+CL706+CN706+CP706+CR706+CT706</f>
        <v>0</v>
      </c>
      <c r="CV706" s="76"/>
      <c r="CW706" s="76">
        <f>+CV706*1100</f>
        <v>0</v>
      </c>
      <c r="CX706" s="76"/>
      <c r="CY706" s="76">
        <f>+CX706*106250</f>
        <v>0</v>
      </c>
      <c r="CZ706" s="76"/>
      <c r="DA706" s="76">
        <f>+CZ706*34500</f>
        <v>0</v>
      </c>
      <c r="DB706" s="76"/>
      <c r="DC706" s="76">
        <f>+DB706*25000</f>
        <v>0</v>
      </c>
      <c r="DD706" s="219"/>
      <c r="DE706" s="219"/>
      <c r="DF706" s="166"/>
      <c r="DG706" s="116"/>
      <c r="DH706" s="117"/>
      <c r="DI706" s="24"/>
      <c r="DJ706" s="24"/>
      <c r="DK706" s="24"/>
      <c r="DL706" s="24"/>
      <c r="DM706" s="24"/>
      <c r="DN706" s="24"/>
      <c r="DO706" s="24"/>
      <c r="DP706" s="24"/>
      <c r="DQ706" s="24"/>
      <c r="DR706" s="24"/>
      <c r="DS706" s="24"/>
      <c r="DT706" s="24"/>
      <c r="DU706" s="24"/>
    </row>
    <row r="707" spans="1:128" s="8" customFormat="1" ht="84" x14ac:dyDescent="0.2">
      <c r="A707" s="77">
        <v>41314</v>
      </c>
      <c r="B707" s="78" t="s">
        <v>2774</v>
      </c>
      <c r="C707" s="75" t="s">
        <v>2752</v>
      </c>
      <c r="D707" s="75" t="s">
        <v>3194</v>
      </c>
      <c r="E707" s="75" t="str">
        <f>VLOOKUP(B707&amp;C707,Divipola!$C$2:$F$1138,4,FALSE)</f>
        <v>66687</v>
      </c>
      <c r="F707" s="163"/>
      <c r="G707" s="163"/>
      <c r="H707" s="163"/>
      <c r="I707" s="163"/>
      <c r="J707" s="163"/>
      <c r="K707" s="163"/>
      <c r="L707" s="163"/>
      <c r="M707" s="163"/>
      <c r="N707" s="163"/>
      <c r="O707" s="163"/>
      <c r="P707" s="163"/>
      <c r="Q707" s="163"/>
      <c r="R707" s="163"/>
      <c r="S707" s="163">
        <v>1</v>
      </c>
      <c r="T707" s="163"/>
      <c r="U707" s="163"/>
      <c r="V707" s="89"/>
      <c r="W707" s="96">
        <v>0</v>
      </c>
      <c r="X707" s="71">
        <f>CU707</f>
        <v>0</v>
      </c>
      <c r="Y707" s="71">
        <f>CY707</f>
        <v>0</v>
      </c>
      <c r="Z707" s="71">
        <f>DA707+DC707+DE707</f>
        <v>0</v>
      </c>
      <c r="AA707" s="71">
        <f>CW707</f>
        <v>0</v>
      </c>
      <c r="AB707" s="71"/>
      <c r="AC707" s="71">
        <v>0</v>
      </c>
      <c r="AD707" s="71">
        <f>W707+X707+Y707+Z707+AA707+AB707+AC707</f>
        <v>0</v>
      </c>
      <c r="AE707" s="72">
        <v>0</v>
      </c>
      <c r="AF707" s="5"/>
      <c r="AG707" s="6"/>
      <c r="AH707" s="27" t="s">
        <v>3392</v>
      </c>
      <c r="AI707" s="44" t="s">
        <v>3393</v>
      </c>
      <c r="AJ707" s="26"/>
      <c r="AK707" s="5"/>
      <c r="AL707" s="82" t="s">
        <v>3458</v>
      </c>
      <c r="AM707" s="76"/>
      <c r="AN707" s="76"/>
      <c r="AO707" s="76"/>
      <c r="AP707" s="76"/>
      <c r="AQ707" s="76"/>
      <c r="AR707" s="76"/>
      <c r="AS707" s="76"/>
      <c r="AT707" s="76"/>
      <c r="AU707" s="76"/>
      <c r="AV707" s="76"/>
      <c r="AW707" s="76"/>
      <c r="AX707" s="76">
        <f>+AW707*600000</f>
        <v>0</v>
      </c>
      <c r="AY707" s="76"/>
      <c r="AZ707" s="76">
        <f>+AY707*70000</f>
        <v>0</v>
      </c>
      <c r="BA707" s="76"/>
      <c r="BB707" s="76"/>
      <c r="BC707" s="76"/>
      <c r="BD707" s="76">
        <f>+BC707*30000</f>
        <v>0</v>
      </c>
      <c r="BE707" s="76"/>
      <c r="BF707" s="76"/>
      <c r="BG707" s="76"/>
      <c r="BH707" s="76"/>
      <c r="BI707" s="76"/>
      <c r="BJ707" s="76"/>
      <c r="BK707" s="76"/>
      <c r="BL707" s="76">
        <f>+BK707*31500</f>
        <v>0</v>
      </c>
      <c r="BM707" s="76"/>
      <c r="BN707" s="76"/>
      <c r="BO707" s="76"/>
      <c r="BP707" s="76"/>
      <c r="BQ707" s="76"/>
      <c r="BR707" s="76"/>
      <c r="BS707" s="76"/>
      <c r="BT707" s="76"/>
      <c r="BU707" s="76"/>
      <c r="BV707" s="76"/>
      <c r="BW707" s="76"/>
      <c r="BX707" s="76"/>
      <c r="BY707" s="76"/>
      <c r="BZ707" s="76"/>
      <c r="CA707" s="76"/>
      <c r="CB707" s="76"/>
      <c r="CC707" s="76"/>
      <c r="CD707" s="76"/>
      <c r="CE707" s="76"/>
      <c r="CF707" s="76">
        <f>+CE707*28000</f>
        <v>0</v>
      </c>
      <c r="CG707" s="76"/>
      <c r="CH707" s="76">
        <f>+CG707*22500</f>
        <v>0</v>
      </c>
      <c r="CI707" s="76"/>
      <c r="CJ707" s="76">
        <f>+CI707*26000</f>
        <v>0</v>
      </c>
      <c r="CK707" s="76"/>
      <c r="CL707" s="76"/>
      <c r="CM707" s="76"/>
      <c r="CN707" s="76">
        <f>+CM707*22000</f>
        <v>0</v>
      </c>
      <c r="CO707" s="76"/>
      <c r="CP707" s="76">
        <f>+CO707*46000</f>
        <v>0</v>
      </c>
      <c r="CQ707" s="76"/>
      <c r="CR707" s="76">
        <f>+CQ707*49000</f>
        <v>0</v>
      </c>
      <c r="CS707" s="76"/>
      <c r="CT707" s="76"/>
      <c r="CU707" s="56">
        <f>AN707+AP707+AR707+AT707+AV707+AX707+AZ707+BB707+BD707+BF707+BH707+BJ707+BL707+BN707+BP707+BR707+BT707+BV707+BX707+BZ707+CB707+CD707+CF707+CH707+CJ707+CL707+CN707+CP707+CR707+CT707</f>
        <v>0</v>
      </c>
      <c r="CV707" s="76"/>
      <c r="CW707" s="76">
        <f>+CV707*1100</f>
        <v>0</v>
      </c>
      <c r="CX707" s="76"/>
      <c r="CY707" s="76">
        <f>+CX707*106250</f>
        <v>0</v>
      </c>
      <c r="CZ707" s="76"/>
      <c r="DA707" s="76">
        <f>+CZ707*34500</f>
        <v>0</v>
      </c>
      <c r="DB707" s="76"/>
      <c r="DC707" s="76">
        <f>+DB707*25000</f>
        <v>0</v>
      </c>
      <c r="DD707" s="219"/>
      <c r="DE707" s="219"/>
      <c r="DF707" s="166"/>
      <c r="DG707" s="116"/>
      <c r="DH707" s="117"/>
      <c r="DI707" s="24"/>
      <c r="DJ707" s="24"/>
      <c r="DK707" s="24"/>
      <c r="DL707" s="24"/>
      <c r="DM707" s="24"/>
      <c r="DN707" s="24"/>
      <c r="DO707" s="24"/>
      <c r="DP707" s="24"/>
      <c r="DQ707" s="24"/>
      <c r="DR707" s="24"/>
      <c r="DS707" s="24"/>
      <c r="DT707" s="24"/>
      <c r="DU707" s="24"/>
    </row>
    <row r="708" spans="1:128" s="8" customFormat="1" ht="192" x14ac:dyDescent="0.2">
      <c r="A708" s="77">
        <v>41314</v>
      </c>
      <c r="B708" s="78" t="s">
        <v>2847</v>
      </c>
      <c r="C708" s="75" t="s">
        <v>2814</v>
      </c>
      <c r="D708" s="75" t="s">
        <v>3463</v>
      </c>
      <c r="E708" s="75" t="str">
        <f>VLOOKUP(B708&amp;C708,Divipola!$C$2:$F$1138,4,FALSE)</f>
        <v>68307</v>
      </c>
      <c r="F708" s="87">
        <v>2</v>
      </c>
      <c r="G708" s="87"/>
      <c r="H708" s="87"/>
      <c r="I708" s="87">
        <v>2</v>
      </c>
      <c r="J708" s="87"/>
      <c r="K708" s="87"/>
      <c r="L708" s="87"/>
      <c r="M708" s="87"/>
      <c r="N708" s="87"/>
      <c r="O708" s="87"/>
      <c r="P708" s="87"/>
      <c r="Q708" s="87"/>
      <c r="R708" s="87"/>
      <c r="S708" s="87"/>
      <c r="T708" s="87"/>
      <c r="U708" s="88"/>
      <c r="V708" s="89"/>
      <c r="W708" s="96">
        <v>0</v>
      </c>
      <c r="X708" s="71">
        <f>CU708</f>
        <v>0</v>
      </c>
      <c r="Y708" s="71">
        <f>CY708</f>
        <v>0</v>
      </c>
      <c r="Z708" s="71">
        <f>DA708+DC708+DE708</f>
        <v>0</v>
      </c>
      <c r="AA708" s="71">
        <f>CW708</f>
        <v>0</v>
      </c>
      <c r="AB708" s="71"/>
      <c r="AC708" s="71">
        <v>0</v>
      </c>
      <c r="AD708" s="71">
        <f>W708+X708+Y708+Z708+AA708+AB708+AC708</f>
        <v>0</v>
      </c>
      <c r="AE708" s="72">
        <v>0</v>
      </c>
      <c r="AF708" s="5"/>
      <c r="AG708" s="6"/>
      <c r="AH708" s="27" t="s">
        <v>3392</v>
      </c>
      <c r="AI708" s="44" t="s">
        <v>3393</v>
      </c>
      <c r="AJ708" s="26"/>
      <c r="AK708" s="5"/>
      <c r="AL708" s="82" t="s">
        <v>3455</v>
      </c>
      <c r="AM708" s="76"/>
      <c r="AN708" s="76"/>
      <c r="AO708" s="76"/>
      <c r="AP708" s="76"/>
      <c r="AQ708" s="76"/>
      <c r="AR708" s="76"/>
      <c r="AS708" s="76"/>
      <c r="AT708" s="76"/>
      <c r="AU708" s="76"/>
      <c r="AV708" s="76"/>
      <c r="AW708" s="76"/>
      <c r="AX708" s="76">
        <f>+AW708*600000</f>
        <v>0</v>
      </c>
      <c r="AY708" s="76"/>
      <c r="AZ708" s="76">
        <f>+AY708*70000</f>
        <v>0</v>
      </c>
      <c r="BA708" s="76"/>
      <c r="BB708" s="76"/>
      <c r="BC708" s="76"/>
      <c r="BD708" s="76">
        <f>+BC708*30000</f>
        <v>0</v>
      </c>
      <c r="BE708" s="76"/>
      <c r="BF708" s="76"/>
      <c r="BG708" s="76"/>
      <c r="BH708" s="76"/>
      <c r="BI708" s="76"/>
      <c r="BJ708" s="76"/>
      <c r="BK708" s="76"/>
      <c r="BL708" s="76">
        <f>+BK708*31500</f>
        <v>0</v>
      </c>
      <c r="BM708" s="76"/>
      <c r="BN708" s="76"/>
      <c r="BO708" s="76"/>
      <c r="BP708" s="76"/>
      <c r="BQ708" s="76"/>
      <c r="BR708" s="76"/>
      <c r="BS708" s="76"/>
      <c r="BT708" s="76"/>
      <c r="BU708" s="76"/>
      <c r="BV708" s="76"/>
      <c r="BW708" s="76"/>
      <c r="BX708" s="76"/>
      <c r="BY708" s="76"/>
      <c r="BZ708" s="76"/>
      <c r="CA708" s="76"/>
      <c r="CB708" s="76"/>
      <c r="CC708" s="76"/>
      <c r="CD708" s="76"/>
      <c r="CE708" s="76"/>
      <c r="CF708" s="76">
        <f>+CE708*28000</f>
        <v>0</v>
      </c>
      <c r="CG708" s="76"/>
      <c r="CH708" s="76">
        <f>+CG708*22500</f>
        <v>0</v>
      </c>
      <c r="CI708" s="76"/>
      <c r="CJ708" s="76">
        <f>+CI708*26000</f>
        <v>0</v>
      </c>
      <c r="CK708" s="76"/>
      <c r="CL708" s="76"/>
      <c r="CM708" s="76"/>
      <c r="CN708" s="76">
        <f>+CM708*22000</f>
        <v>0</v>
      </c>
      <c r="CO708" s="76"/>
      <c r="CP708" s="76">
        <f>+CO708*46000</f>
        <v>0</v>
      </c>
      <c r="CQ708" s="76"/>
      <c r="CR708" s="76">
        <f>+CQ708*49000</f>
        <v>0</v>
      </c>
      <c r="CS708" s="76"/>
      <c r="CT708" s="76"/>
      <c r="CU708" s="56">
        <f>AN708+AP708+AR708+AT708+AV708+AX708+AZ708+BB708+BD708+BF708+BH708+BJ708+BL708+BN708+BP708+BR708+BT708+BV708+BX708+BZ708+CB708+CD708+CF708+CH708+CJ708+CL708+CN708+CP708+CR708+CT708</f>
        <v>0</v>
      </c>
      <c r="CV708" s="76"/>
      <c r="CW708" s="76">
        <f>+CV708*1100</f>
        <v>0</v>
      </c>
      <c r="CX708" s="76"/>
      <c r="CY708" s="76">
        <f>+CX708*106250</f>
        <v>0</v>
      </c>
      <c r="CZ708" s="76"/>
      <c r="DA708" s="76">
        <f>+CZ708*34500</f>
        <v>0</v>
      </c>
      <c r="DB708" s="76"/>
      <c r="DC708" s="76">
        <f>+DB708*25000</f>
        <v>0</v>
      </c>
      <c r="DD708" s="219"/>
      <c r="DE708" s="219"/>
      <c r="DF708" s="166"/>
      <c r="DG708" s="116"/>
      <c r="DH708" s="117"/>
      <c r="DI708" s="24"/>
      <c r="DJ708" s="24"/>
      <c r="DK708" s="24"/>
      <c r="DL708" s="24"/>
      <c r="DM708" s="24"/>
      <c r="DN708" s="24"/>
      <c r="DO708" s="24"/>
      <c r="DP708" s="24"/>
      <c r="DQ708" s="24"/>
      <c r="DR708" s="24"/>
      <c r="DS708" s="24"/>
      <c r="DT708" s="24"/>
      <c r="DU708" s="24"/>
    </row>
    <row r="709" spans="1:128" s="8" customFormat="1" ht="108" x14ac:dyDescent="0.2">
      <c r="A709" s="77">
        <v>41314</v>
      </c>
      <c r="B709" s="225" t="s">
        <v>2847</v>
      </c>
      <c r="C709" s="227" t="s">
        <v>2814</v>
      </c>
      <c r="D709" s="75" t="s">
        <v>3051</v>
      </c>
      <c r="E709" s="75" t="str">
        <f>VLOOKUP(B709&amp;C709,Divipola!$C$2:$F$1138,4,FALSE)</f>
        <v>68307</v>
      </c>
      <c r="F709" s="100"/>
      <c r="G709" s="100"/>
      <c r="H709" s="100"/>
      <c r="I709" s="100"/>
      <c r="J709" s="100"/>
      <c r="K709" s="100"/>
      <c r="L709" s="100"/>
      <c r="M709" s="100"/>
      <c r="N709" s="100"/>
      <c r="O709" s="100"/>
      <c r="P709" s="100"/>
      <c r="Q709" s="100"/>
      <c r="R709" s="100"/>
      <c r="S709" s="100"/>
      <c r="T709" s="100"/>
      <c r="U709" s="136"/>
      <c r="V709" s="89"/>
      <c r="W709" s="96">
        <v>0</v>
      </c>
      <c r="X709" s="71">
        <f>CU709</f>
        <v>0</v>
      </c>
      <c r="Y709" s="71">
        <f>CY709</f>
        <v>0</v>
      </c>
      <c r="Z709" s="71">
        <f>DA709+DC709+DE709</f>
        <v>0</v>
      </c>
      <c r="AA709" s="71">
        <f>CW709</f>
        <v>0</v>
      </c>
      <c r="AB709" s="71"/>
      <c r="AC709" s="71">
        <v>0</v>
      </c>
      <c r="AD709" s="71">
        <f>W709+X709+Y709+Z709+AA709+AB709+AC709</f>
        <v>0</v>
      </c>
      <c r="AE709" s="72">
        <v>0</v>
      </c>
      <c r="AF709" s="5"/>
      <c r="AG709" s="6"/>
      <c r="AH709" s="27" t="s">
        <v>3392</v>
      </c>
      <c r="AI709" s="44" t="s">
        <v>3393</v>
      </c>
      <c r="AJ709" s="26"/>
      <c r="AK709" s="5"/>
      <c r="AL709" s="82" t="s">
        <v>3457</v>
      </c>
      <c r="AM709" s="76"/>
      <c r="AN709" s="76"/>
      <c r="AO709" s="76"/>
      <c r="AP709" s="76"/>
      <c r="AQ709" s="76"/>
      <c r="AR709" s="76"/>
      <c r="AS709" s="76"/>
      <c r="AT709" s="76"/>
      <c r="AU709" s="76"/>
      <c r="AV709" s="76"/>
      <c r="AW709" s="76"/>
      <c r="AX709" s="76">
        <f>+AW709*600000</f>
        <v>0</v>
      </c>
      <c r="AY709" s="76"/>
      <c r="AZ709" s="76">
        <f>+AY709*70000</f>
        <v>0</v>
      </c>
      <c r="BA709" s="76"/>
      <c r="BB709" s="76"/>
      <c r="BC709" s="76"/>
      <c r="BD709" s="76">
        <f>+BC709*30000</f>
        <v>0</v>
      </c>
      <c r="BE709" s="76"/>
      <c r="BF709" s="76"/>
      <c r="BG709" s="76"/>
      <c r="BH709" s="76"/>
      <c r="BI709" s="76"/>
      <c r="BJ709" s="76"/>
      <c r="BK709" s="76"/>
      <c r="BL709" s="76">
        <f>+BK709*31500</f>
        <v>0</v>
      </c>
      <c r="BM709" s="76"/>
      <c r="BN709" s="76"/>
      <c r="BO709" s="76"/>
      <c r="BP709" s="76"/>
      <c r="BQ709" s="76"/>
      <c r="BR709" s="76"/>
      <c r="BS709" s="76"/>
      <c r="BT709" s="76"/>
      <c r="BU709" s="76"/>
      <c r="BV709" s="76"/>
      <c r="BW709" s="76"/>
      <c r="BX709" s="76"/>
      <c r="BY709" s="76"/>
      <c r="BZ709" s="76"/>
      <c r="CA709" s="76"/>
      <c r="CB709" s="76"/>
      <c r="CC709" s="76"/>
      <c r="CD709" s="76"/>
      <c r="CE709" s="76"/>
      <c r="CF709" s="76">
        <f>+CE709*28000</f>
        <v>0</v>
      </c>
      <c r="CG709" s="76"/>
      <c r="CH709" s="76">
        <f>+CG709*22500</f>
        <v>0</v>
      </c>
      <c r="CI709" s="76"/>
      <c r="CJ709" s="76">
        <f>+CI709*26000</f>
        <v>0</v>
      </c>
      <c r="CK709" s="76"/>
      <c r="CL709" s="76"/>
      <c r="CM709" s="76"/>
      <c r="CN709" s="76">
        <f>+CM709*22000</f>
        <v>0</v>
      </c>
      <c r="CO709" s="76"/>
      <c r="CP709" s="76">
        <f>+CO709*46000</f>
        <v>0</v>
      </c>
      <c r="CQ709" s="76"/>
      <c r="CR709" s="76">
        <f>+CQ709*49000</f>
        <v>0</v>
      </c>
      <c r="CS709" s="76"/>
      <c r="CT709" s="76"/>
      <c r="CU709" s="56">
        <f>AN709+AP709+AR709+AT709+AV709+AX709+AZ709+BB709+BD709+BF709+BH709+BJ709+BL709+BN709+BP709+BR709+BT709+BV709+BX709+BZ709+CB709+CD709+CF709+CH709+CJ709+CL709+CN709+CP709+CR709+CT709</f>
        <v>0</v>
      </c>
      <c r="CV709" s="76"/>
      <c r="CW709" s="76">
        <f>+CV709*1100</f>
        <v>0</v>
      </c>
      <c r="CX709" s="76"/>
      <c r="CY709" s="76">
        <f>+CX709*106250</f>
        <v>0</v>
      </c>
      <c r="CZ709" s="76"/>
      <c r="DA709" s="76">
        <f>+CZ709*34500</f>
        <v>0</v>
      </c>
      <c r="DB709" s="76"/>
      <c r="DC709" s="76">
        <f>+DB709*25000</f>
        <v>0</v>
      </c>
      <c r="DD709" s="219"/>
      <c r="DE709" s="219"/>
      <c r="DF709" s="166"/>
      <c r="DG709" s="116"/>
      <c r="DH709" s="117"/>
      <c r="DI709" s="24"/>
      <c r="DJ709" s="24"/>
      <c r="DK709" s="24"/>
      <c r="DL709" s="24"/>
      <c r="DM709" s="24"/>
      <c r="DN709" s="24"/>
      <c r="DO709" s="24"/>
      <c r="DP709" s="24"/>
      <c r="DQ709" s="24"/>
      <c r="DR709" s="24"/>
      <c r="DS709" s="24"/>
      <c r="DT709" s="24"/>
      <c r="DU709" s="24"/>
    </row>
    <row r="710" spans="1:128" s="8" customFormat="1" ht="96" x14ac:dyDescent="0.2">
      <c r="A710" s="77">
        <v>41314</v>
      </c>
      <c r="B710" s="78" t="s">
        <v>2851</v>
      </c>
      <c r="C710" s="75" t="s">
        <v>2107</v>
      </c>
      <c r="D710" s="75" t="s">
        <v>3194</v>
      </c>
      <c r="E710" s="75" t="str">
        <f>VLOOKUP(B710&amp;C710,Divipola!$C$2:$F$1138,4,FALSE)</f>
        <v>76041</v>
      </c>
      <c r="F710" s="163"/>
      <c r="G710" s="163"/>
      <c r="H710" s="163"/>
      <c r="I710" s="163">
        <v>200</v>
      </c>
      <c r="J710" s="163">
        <v>40</v>
      </c>
      <c r="K710" s="163"/>
      <c r="L710" s="163">
        <v>40</v>
      </c>
      <c r="M710" s="163"/>
      <c r="N710" s="163"/>
      <c r="O710" s="163"/>
      <c r="P710" s="163"/>
      <c r="Q710" s="163"/>
      <c r="R710" s="163"/>
      <c r="S710" s="163"/>
      <c r="T710" s="163"/>
      <c r="U710" s="163"/>
      <c r="V710" s="89">
        <v>3</v>
      </c>
      <c r="W710" s="96">
        <v>0</v>
      </c>
      <c r="X710" s="71">
        <f>CU710</f>
        <v>0</v>
      </c>
      <c r="Y710" s="71">
        <f>CY710</f>
        <v>0</v>
      </c>
      <c r="Z710" s="71">
        <f>DA710+DC710+DE710</f>
        <v>81888377.639999986</v>
      </c>
      <c r="AA710" s="71">
        <f>CW710</f>
        <v>0</v>
      </c>
      <c r="AB710" s="71"/>
      <c r="AC710" s="71">
        <v>0</v>
      </c>
      <c r="AD710" s="71">
        <f>W710+X710+Y710+Z710+AA710+AB710+AC710</f>
        <v>81888377.639999986</v>
      </c>
      <c r="AE710" s="72">
        <v>0</v>
      </c>
      <c r="AF710" s="5"/>
      <c r="AG710" s="6"/>
      <c r="AH710" s="27" t="s">
        <v>3390</v>
      </c>
      <c r="AI710" s="44" t="s">
        <v>3391</v>
      </c>
      <c r="AJ710" s="26"/>
      <c r="AK710" s="5"/>
      <c r="AL710" s="82" t="s">
        <v>3739</v>
      </c>
      <c r="AM710" s="76"/>
      <c r="AN710" s="76"/>
      <c r="AO710" s="76"/>
      <c r="AP710" s="76"/>
      <c r="AQ710" s="76"/>
      <c r="AR710" s="76"/>
      <c r="AS710" s="76"/>
      <c r="AT710" s="76"/>
      <c r="AU710" s="76"/>
      <c r="AV710" s="76"/>
      <c r="AW710" s="76"/>
      <c r="AX710" s="76">
        <f>+AW710*600000</f>
        <v>0</v>
      </c>
      <c r="AY710" s="76"/>
      <c r="AZ710" s="76">
        <f>+AY710*70000</f>
        <v>0</v>
      </c>
      <c r="BA710" s="76"/>
      <c r="BB710" s="76"/>
      <c r="BC710" s="76"/>
      <c r="BD710" s="76">
        <f>+BC710*30000</f>
        <v>0</v>
      </c>
      <c r="BE710" s="76"/>
      <c r="BF710" s="76"/>
      <c r="BG710" s="76"/>
      <c r="BH710" s="76"/>
      <c r="BI710" s="76"/>
      <c r="BJ710" s="76"/>
      <c r="BK710" s="76"/>
      <c r="BL710" s="76">
        <f>+BK710*31500</f>
        <v>0</v>
      </c>
      <c r="BM710" s="76"/>
      <c r="BN710" s="76"/>
      <c r="BO710" s="76"/>
      <c r="BP710" s="76"/>
      <c r="BQ710" s="76"/>
      <c r="BR710" s="76"/>
      <c r="BS710" s="76"/>
      <c r="BT710" s="76"/>
      <c r="BU710" s="76"/>
      <c r="BV710" s="76"/>
      <c r="BW710" s="76"/>
      <c r="BX710" s="76"/>
      <c r="BY710" s="76"/>
      <c r="BZ710" s="76"/>
      <c r="CA710" s="76"/>
      <c r="CB710" s="76"/>
      <c r="CC710" s="76"/>
      <c r="CD710" s="76"/>
      <c r="CE710" s="76"/>
      <c r="CF710" s="76">
        <f>+CE710*28000</f>
        <v>0</v>
      </c>
      <c r="CG710" s="76"/>
      <c r="CH710" s="76">
        <f>+CG710*22500</f>
        <v>0</v>
      </c>
      <c r="CI710" s="76"/>
      <c r="CJ710" s="76">
        <f>+CI710*26000</f>
        <v>0</v>
      </c>
      <c r="CK710" s="76"/>
      <c r="CL710" s="76"/>
      <c r="CM710" s="76"/>
      <c r="CN710" s="76">
        <f>+CM710*22000</f>
        <v>0</v>
      </c>
      <c r="CO710" s="76"/>
      <c r="CP710" s="76">
        <f>+CO710*46000</f>
        <v>0</v>
      </c>
      <c r="CQ710" s="76"/>
      <c r="CR710" s="76">
        <f>+CQ710*49000</f>
        <v>0</v>
      </c>
      <c r="CS710" s="76"/>
      <c r="CT710" s="76"/>
      <c r="CU710" s="56">
        <f>AN710+AP710+AR710+AT710+AV710+AX710+AZ710+BB710+BD710+BF710+BH710+BJ710+BL710+BN710+BP710+BR710+BT710+BV710+BX710+BZ710+CB710+CD710+CF710+CH710+CJ710+CL710+CN710+CP710+CR710+CT710</f>
        <v>0</v>
      </c>
      <c r="CV710" s="76"/>
      <c r="CW710" s="76">
        <f>+CV710*1100</f>
        <v>0</v>
      </c>
      <c r="CX710" s="76"/>
      <c r="CY710" s="76">
        <f>+CX710*106250</f>
        <v>0</v>
      </c>
      <c r="CZ710" s="86">
        <v>455</v>
      </c>
      <c r="DA710" s="86">
        <f>+CZ710*29499.96</f>
        <v>13422481.799999999</v>
      </c>
      <c r="DB710" s="76"/>
      <c r="DC710" s="76">
        <f>+DB710*25000</f>
        <v>0</v>
      </c>
      <c r="DD710" s="221" t="s">
        <v>3686</v>
      </c>
      <c r="DE710" s="223">
        <f>13855*1799.16+1905*14999.96+696*21499.44</f>
        <v>68465895.839999989</v>
      </c>
      <c r="DF710" s="166"/>
      <c r="DG710" s="134" t="s">
        <v>5060</v>
      </c>
      <c r="DH710" s="117"/>
      <c r="DI710" s="24"/>
      <c r="DJ710" s="24"/>
      <c r="DK710" s="24"/>
      <c r="DL710" s="24"/>
      <c r="DM710" s="24"/>
      <c r="DN710" s="24"/>
      <c r="DO710" s="24"/>
      <c r="DP710" s="24"/>
      <c r="DQ710" s="24"/>
      <c r="DR710" s="24"/>
      <c r="DS710" s="24"/>
      <c r="DT710" s="24"/>
      <c r="DU710" s="24"/>
    </row>
    <row r="711" spans="1:128" s="8" customFormat="1" ht="96" x14ac:dyDescent="0.2">
      <c r="A711" s="77">
        <v>41314</v>
      </c>
      <c r="B711" s="78" t="s">
        <v>2851</v>
      </c>
      <c r="C711" s="75" t="s">
        <v>2777</v>
      </c>
      <c r="D711" s="75" t="s">
        <v>3194</v>
      </c>
      <c r="E711" s="75" t="str">
        <f>VLOOKUP(B711&amp;C711,Divipola!$C$2:$F$1138,4,FALSE)</f>
        <v>76100</v>
      </c>
      <c r="F711" s="163"/>
      <c r="G711" s="163"/>
      <c r="H711" s="163"/>
      <c r="I711" s="163">
        <v>165</v>
      </c>
      <c r="J711" s="163">
        <v>33</v>
      </c>
      <c r="K711" s="163"/>
      <c r="L711" s="163">
        <v>33</v>
      </c>
      <c r="M711" s="163"/>
      <c r="N711" s="163"/>
      <c r="O711" s="163"/>
      <c r="P711" s="163"/>
      <c r="Q711" s="163"/>
      <c r="R711" s="163"/>
      <c r="S711" s="163"/>
      <c r="T711" s="163"/>
      <c r="U711" s="163"/>
      <c r="V711" s="89">
        <v>1</v>
      </c>
      <c r="W711" s="96">
        <v>0</v>
      </c>
      <c r="X711" s="71">
        <f>CU711</f>
        <v>0</v>
      </c>
      <c r="Y711" s="71">
        <f>CY711</f>
        <v>0</v>
      </c>
      <c r="Z711" s="71">
        <f>DA711+DC711+DE711</f>
        <v>73351777.560000002</v>
      </c>
      <c r="AA711" s="71">
        <f>CW711</f>
        <v>0</v>
      </c>
      <c r="AB711" s="71"/>
      <c r="AC711" s="71">
        <v>0</v>
      </c>
      <c r="AD711" s="71">
        <f>W711+X711+Y711+Z711+AA711+AB711+AC711</f>
        <v>73351777.560000002</v>
      </c>
      <c r="AE711" s="72">
        <v>0</v>
      </c>
      <c r="AF711" s="5"/>
      <c r="AG711" s="6"/>
      <c r="AH711" s="27" t="s">
        <v>3390</v>
      </c>
      <c r="AI711" s="44" t="s">
        <v>3391</v>
      </c>
      <c r="AJ711" s="26"/>
      <c r="AK711" s="5"/>
      <c r="AL711" s="82" t="s">
        <v>3648</v>
      </c>
      <c r="AM711" s="76"/>
      <c r="AN711" s="76"/>
      <c r="AO711" s="76"/>
      <c r="AP711" s="76"/>
      <c r="AQ711" s="76"/>
      <c r="AR711" s="76"/>
      <c r="AS711" s="76"/>
      <c r="AT711" s="76"/>
      <c r="AU711" s="76"/>
      <c r="AV711" s="76"/>
      <c r="AW711" s="76"/>
      <c r="AX711" s="76">
        <f>+AW711*600000</f>
        <v>0</v>
      </c>
      <c r="AY711" s="76"/>
      <c r="AZ711" s="76">
        <f>+AY711*70000</f>
        <v>0</v>
      </c>
      <c r="BA711" s="76"/>
      <c r="BB711" s="76"/>
      <c r="BC711" s="76"/>
      <c r="BD711" s="76">
        <f>+BC711*30000</f>
        <v>0</v>
      </c>
      <c r="BE711" s="76"/>
      <c r="BF711" s="76"/>
      <c r="BG711" s="76"/>
      <c r="BH711" s="76"/>
      <c r="BI711" s="76"/>
      <c r="BJ711" s="76"/>
      <c r="BK711" s="76"/>
      <c r="BL711" s="76">
        <f>+BK711*31500</f>
        <v>0</v>
      </c>
      <c r="BM711" s="76"/>
      <c r="BN711" s="76"/>
      <c r="BO711" s="76"/>
      <c r="BP711" s="76"/>
      <c r="BQ711" s="76"/>
      <c r="BR711" s="76"/>
      <c r="BS711" s="76"/>
      <c r="BT711" s="76"/>
      <c r="BU711" s="76"/>
      <c r="BV711" s="76"/>
      <c r="BW711" s="76"/>
      <c r="BX711" s="76"/>
      <c r="BY711" s="76"/>
      <c r="BZ711" s="76"/>
      <c r="CA711" s="76"/>
      <c r="CB711" s="76"/>
      <c r="CC711" s="76"/>
      <c r="CD711" s="76"/>
      <c r="CE711" s="76"/>
      <c r="CF711" s="76">
        <f>+CE711*28000</f>
        <v>0</v>
      </c>
      <c r="CG711" s="76"/>
      <c r="CH711" s="76">
        <f>+CG711*22500</f>
        <v>0</v>
      </c>
      <c r="CI711" s="76"/>
      <c r="CJ711" s="76">
        <f>+CI711*26000</f>
        <v>0</v>
      </c>
      <c r="CK711" s="76"/>
      <c r="CL711" s="76"/>
      <c r="CM711" s="76"/>
      <c r="CN711" s="76">
        <f>+CM711*22000</f>
        <v>0</v>
      </c>
      <c r="CO711" s="76"/>
      <c r="CP711" s="76">
        <f>+CO711*46000</f>
        <v>0</v>
      </c>
      <c r="CQ711" s="76"/>
      <c r="CR711" s="76">
        <f>+CQ711*49000</f>
        <v>0</v>
      </c>
      <c r="CS711" s="76"/>
      <c r="CT711" s="76"/>
      <c r="CU711" s="56">
        <f>AN711+AP711+AR711+AT711+AV711+AX711+AZ711+BB711+BD711+BF711+BH711+BJ711+BL711+BN711+BP711+BR711+BT711+BV711+BX711+BZ711+CB711+CD711+CF711+CH711+CJ711+CL711+CN711+CP711+CR711+CT711</f>
        <v>0</v>
      </c>
      <c r="CV711" s="76"/>
      <c r="CW711" s="76">
        <f>+CV711*1100</f>
        <v>0</v>
      </c>
      <c r="CX711" s="76"/>
      <c r="CY711" s="76">
        <f>+CX711*106250</f>
        <v>0</v>
      </c>
      <c r="CZ711" s="86">
        <v>406</v>
      </c>
      <c r="DA711" s="86">
        <f>+CZ711*29499.96</f>
        <v>11976983.76</v>
      </c>
      <c r="DB711" s="86">
        <v>60</v>
      </c>
      <c r="DC711" s="86">
        <f>60*31999.76+60*199.52</f>
        <v>1931956.7999999998</v>
      </c>
      <c r="DD711" s="221" t="s">
        <v>3687</v>
      </c>
      <c r="DE711" s="223">
        <f>13639*1799.16+1434*14999.96+623*21499.44</f>
        <v>59442837</v>
      </c>
      <c r="DF711" s="166"/>
      <c r="DG711" s="134" t="s">
        <v>5060</v>
      </c>
      <c r="DH711" s="117"/>
      <c r="DI711" s="24"/>
      <c r="DJ711" s="24"/>
      <c r="DK711" s="24"/>
      <c r="DL711" s="24"/>
      <c r="DM711" s="24"/>
      <c r="DN711" s="24"/>
      <c r="DO711" s="24"/>
      <c r="DP711" s="24"/>
      <c r="DQ711" s="24"/>
      <c r="DR711" s="24"/>
      <c r="DS711" s="24"/>
      <c r="DT711" s="24"/>
      <c r="DU711" s="24"/>
    </row>
    <row r="712" spans="1:128" s="8" customFormat="1" ht="84" x14ac:dyDescent="0.2">
      <c r="A712" s="77">
        <v>41314</v>
      </c>
      <c r="B712" s="78" t="s">
        <v>2851</v>
      </c>
      <c r="C712" s="75" t="s">
        <v>2754</v>
      </c>
      <c r="D712" s="75" t="s">
        <v>3194</v>
      </c>
      <c r="E712" s="75" t="str">
        <f>VLOOKUP(B712&amp;C712,Divipola!$C$2:$F$1138,4,FALSE)</f>
        <v>76109</v>
      </c>
      <c r="F712" s="163"/>
      <c r="G712" s="163"/>
      <c r="H712" s="163"/>
      <c r="I712" s="163">
        <v>20</v>
      </c>
      <c r="J712" s="163">
        <v>4</v>
      </c>
      <c r="K712" s="163"/>
      <c r="L712" s="163">
        <v>4</v>
      </c>
      <c r="M712" s="163"/>
      <c r="N712" s="163"/>
      <c r="O712" s="163"/>
      <c r="P712" s="163"/>
      <c r="Q712" s="163"/>
      <c r="R712" s="163"/>
      <c r="S712" s="163"/>
      <c r="T712" s="163"/>
      <c r="U712" s="163"/>
      <c r="V712" s="134"/>
      <c r="W712" s="96">
        <v>0</v>
      </c>
      <c r="X712" s="71">
        <f>CU712</f>
        <v>0</v>
      </c>
      <c r="Y712" s="71">
        <f>CY712</f>
        <v>0</v>
      </c>
      <c r="Z712" s="71">
        <f>DA712+DC712+DE712</f>
        <v>0</v>
      </c>
      <c r="AA712" s="71">
        <f>CW712</f>
        <v>0</v>
      </c>
      <c r="AB712" s="71"/>
      <c r="AC712" s="71">
        <v>0</v>
      </c>
      <c r="AD712" s="71">
        <f>W712+X712+Y712+Z712+AA712+AB712+AC712</f>
        <v>0</v>
      </c>
      <c r="AE712" s="72">
        <v>0</v>
      </c>
      <c r="AF712" s="5"/>
      <c r="AG712" s="6"/>
      <c r="AH712" s="27" t="s">
        <v>3392</v>
      </c>
      <c r="AI712" s="44" t="s">
        <v>3393</v>
      </c>
      <c r="AJ712" s="26"/>
      <c r="AK712" s="5"/>
      <c r="AL712" s="82" t="s">
        <v>3458</v>
      </c>
      <c r="AM712" s="76"/>
      <c r="AN712" s="76"/>
      <c r="AO712" s="76"/>
      <c r="AP712" s="76"/>
      <c r="AQ712" s="76"/>
      <c r="AR712" s="76"/>
      <c r="AS712" s="76"/>
      <c r="AT712" s="76"/>
      <c r="AU712" s="76"/>
      <c r="AV712" s="76"/>
      <c r="AW712" s="76"/>
      <c r="AX712" s="76">
        <f>+AW712*600000</f>
        <v>0</v>
      </c>
      <c r="AY712" s="76"/>
      <c r="AZ712" s="76">
        <f>+AY712*70000</f>
        <v>0</v>
      </c>
      <c r="BA712" s="76"/>
      <c r="BB712" s="76"/>
      <c r="BC712" s="76"/>
      <c r="BD712" s="76">
        <f>+BC712*30000</f>
        <v>0</v>
      </c>
      <c r="BE712" s="76"/>
      <c r="BF712" s="76"/>
      <c r="BG712" s="76"/>
      <c r="BH712" s="76"/>
      <c r="BI712" s="76"/>
      <c r="BJ712" s="76"/>
      <c r="BK712" s="76"/>
      <c r="BL712" s="76">
        <f>+BK712*31500</f>
        <v>0</v>
      </c>
      <c r="BM712" s="76"/>
      <c r="BN712" s="76"/>
      <c r="BO712" s="76"/>
      <c r="BP712" s="76"/>
      <c r="BQ712" s="76"/>
      <c r="BR712" s="76"/>
      <c r="BS712" s="76"/>
      <c r="BT712" s="76"/>
      <c r="BU712" s="76"/>
      <c r="BV712" s="76"/>
      <c r="BW712" s="76"/>
      <c r="BX712" s="76"/>
      <c r="BY712" s="76"/>
      <c r="BZ712" s="76"/>
      <c r="CA712" s="76"/>
      <c r="CB712" s="76"/>
      <c r="CC712" s="76"/>
      <c r="CD712" s="76"/>
      <c r="CE712" s="76"/>
      <c r="CF712" s="76">
        <f>+CE712*28000</f>
        <v>0</v>
      </c>
      <c r="CG712" s="76"/>
      <c r="CH712" s="76">
        <f>+CG712*22500</f>
        <v>0</v>
      </c>
      <c r="CI712" s="76"/>
      <c r="CJ712" s="76">
        <f>+CI712*26000</f>
        <v>0</v>
      </c>
      <c r="CK712" s="76"/>
      <c r="CL712" s="76"/>
      <c r="CM712" s="76"/>
      <c r="CN712" s="76">
        <f>+CM712*22000</f>
        <v>0</v>
      </c>
      <c r="CO712" s="76"/>
      <c r="CP712" s="76">
        <f>+CO712*46000</f>
        <v>0</v>
      </c>
      <c r="CQ712" s="76"/>
      <c r="CR712" s="76">
        <f>+CQ712*49000</f>
        <v>0</v>
      </c>
      <c r="CS712" s="76"/>
      <c r="CT712" s="76"/>
      <c r="CU712" s="56">
        <f>AN712+AP712+AR712+AT712+AV712+AX712+AZ712+BB712+BD712+BF712+BH712+BJ712+BL712+BN712+BP712+BR712+BT712+BV712+BX712+BZ712+CB712+CD712+CF712+CH712+CJ712+CL712+CN712+CP712+CR712+CT712</f>
        <v>0</v>
      </c>
      <c r="CV712" s="76"/>
      <c r="CW712" s="76">
        <f>+CV712*1100</f>
        <v>0</v>
      </c>
      <c r="CX712" s="76"/>
      <c r="CY712" s="76">
        <f>+CX712*106250</f>
        <v>0</v>
      </c>
      <c r="CZ712" s="76"/>
      <c r="DA712" s="76">
        <f>+CZ712*34500</f>
        <v>0</v>
      </c>
      <c r="DB712" s="76"/>
      <c r="DC712" s="76">
        <f>+DB712*25000</f>
        <v>0</v>
      </c>
      <c r="DD712" s="219"/>
      <c r="DE712" s="219"/>
      <c r="DF712" s="166"/>
      <c r="DG712" s="116"/>
      <c r="DH712" s="117"/>
      <c r="DI712" s="245"/>
      <c r="DJ712" s="245"/>
      <c r="DK712" s="245"/>
      <c r="DL712" s="245"/>
      <c r="DM712" s="245"/>
      <c r="DN712" s="245"/>
      <c r="DO712" s="245"/>
      <c r="DP712" s="245"/>
      <c r="DQ712" s="245"/>
      <c r="DR712" s="245"/>
      <c r="DS712" s="245"/>
      <c r="DT712" s="245"/>
      <c r="DU712" s="245"/>
      <c r="DV712" s="246"/>
      <c r="DW712" s="246"/>
      <c r="DX712" s="246"/>
    </row>
    <row r="713" spans="1:128" s="8" customFormat="1" ht="96" x14ac:dyDescent="0.2">
      <c r="A713" s="77">
        <v>41314</v>
      </c>
      <c r="B713" s="78" t="s">
        <v>2851</v>
      </c>
      <c r="C713" s="75" t="s">
        <v>2712</v>
      </c>
      <c r="D713" s="75" t="s">
        <v>3194</v>
      </c>
      <c r="E713" s="75" t="str">
        <f>VLOOKUP(B713&amp;C713,Divipola!$C$2:$F$1138,4,FALSE)</f>
        <v>76113</v>
      </c>
      <c r="F713" s="163"/>
      <c r="G713" s="163"/>
      <c r="H713" s="163"/>
      <c r="I713" s="163">
        <v>180</v>
      </c>
      <c r="J713" s="163">
        <v>36</v>
      </c>
      <c r="K713" s="163"/>
      <c r="L713" s="163">
        <v>36</v>
      </c>
      <c r="M713" s="163"/>
      <c r="N713" s="163"/>
      <c r="O713" s="163"/>
      <c r="P713" s="163"/>
      <c r="Q713" s="163"/>
      <c r="R713" s="163"/>
      <c r="S713" s="163"/>
      <c r="T713" s="163"/>
      <c r="U713" s="163"/>
      <c r="V713" s="89">
        <v>1</v>
      </c>
      <c r="W713" s="96">
        <v>0</v>
      </c>
      <c r="X713" s="71">
        <f>CU713</f>
        <v>0</v>
      </c>
      <c r="Y713" s="71">
        <f>CY713</f>
        <v>0</v>
      </c>
      <c r="Z713" s="71">
        <f>DA713+DC713+DE713</f>
        <v>126762288.80000001</v>
      </c>
      <c r="AA713" s="71">
        <f>CW713</f>
        <v>0</v>
      </c>
      <c r="AB713" s="71"/>
      <c r="AC713" s="71">
        <v>0</v>
      </c>
      <c r="AD713" s="71">
        <f>W713+X713+Y713+Z713+AA713+AB713+AC713</f>
        <v>126762288.80000001</v>
      </c>
      <c r="AE713" s="72">
        <v>0</v>
      </c>
      <c r="AF713" s="5"/>
      <c r="AG713" s="6"/>
      <c r="AH713" s="27" t="s">
        <v>3390</v>
      </c>
      <c r="AI713" s="44" t="s">
        <v>3391</v>
      </c>
      <c r="AJ713" s="26"/>
      <c r="AK713" s="5"/>
      <c r="AL713" s="82" t="s">
        <v>3649</v>
      </c>
      <c r="AM713" s="76"/>
      <c r="AN713" s="76"/>
      <c r="AO713" s="76"/>
      <c r="AP713" s="76"/>
      <c r="AQ713" s="76"/>
      <c r="AR713" s="76"/>
      <c r="AS713" s="76"/>
      <c r="AT713" s="76"/>
      <c r="AU713" s="76"/>
      <c r="AV713" s="76"/>
      <c r="AW713" s="76"/>
      <c r="AX713" s="76">
        <f>+AW713*600000</f>
        <v>0</v>
      </c>
      <c r="AY713" s="76"/>
      <c r="AZ713" s="76">
        <f>+AY713*70000</f>
        <v>0</v>
      </c>
      <c r="BA713" s="76"/>
      <c r="BB713" s="76"/>
      <c r="BC713" s="76"/>
      <c r="BD713" s="76">
        <f>+BC713*30000</f>
        <v>0</v>
      </c>
      <c r="BE713" s="76"/>
      <c r="BF713" s="76"/>
      <c r="BG713" s="76"/>
      <c r="BH713" s="76"/>
      <c r="BI713" s="76"/>
      <c r="BJ713" s="76"/>
      <c r="BK713" s="76"/>
      <c r="BL713" s="76">
        <f>+BK713*31500</f>
        <v>0</v>
      </c>
      <c r="BM713" s="76"/>
      <c r="BN713" s="76"/>
      <c r="BO713" s="76"/>
      <c r="BP713" s="76"/>
      <c r="BQ713" s="76"/>
      <c r="BR713" s="76"/>
      <c r="BS713" s="76"/>
      <c r="BT713" s="76"/>
      <c r="BU713" s="76"/>
      <c r="BV713" s="76"/>
      <c r="BW713" s="76"/>
      <c r="BX713" s="76"/>
      <c r="BY713" s="76"/>
      <c r="BZ713" s="76"/>
      <c r="CA713" s="76"/>
      <c r="CB713" s="76"/>
      <c r="CC713" s="76"/>
      <c r="CD713" s="76"/>
      <c r="CE713" s="76"/>
      <c r="CF713" s="76">
        <f>+CE713*28000</f>
        <v>0</v>
      </c>
      <c r="CG713" s="76"/>
      <c r="CH713" s="76">
        <f>+CG713*22500</f>
        <v>0</v>
      </c>
      <c r="CI713" s="76"/>
      <c r="CJ713" s="76">
        <f>+CI713*26000</f>
        <v>0</v>
      </c>
      <c r="CK713" s="76"/>
      <c r="CL713" s="76"/>
      <c r="CM713" s="76"/>
      <c r="CN713" s="76">
        <f>+CM713*22000</f>
        <v>0</v>
      </c>
      <c r="CO713" s="76"/>
      <c r="CP713" s="76">
        <f>+CO713*46000</f>
        <v>0</v>
      </c>
      <c r="CQ713" s="76"/>
      <c r="CR713" s="76">
        <f>+CQ713*49000</f>
        <v>0</v>
      </c>
      <c r="CS713" s="76"/>
      <c r="CT713" s="76"/>
      <c r="CU713" s="56">
        <f>AN713+AP713+AR713+AT713+AV713+AX713+AZ713+BB713+BD713+BF713+BH713+BJ713+BL713+BN713+BP713+BR713+BT713+BV713+BX713+BZ713+CB713+CD713+CF713+CH713+CJ713+CL713+CN713+CP713+CR713+CT713</f>
        <v>0</v>
      </c>
      <c r="CV713" s="76"/>
      <c r="CW713" s="76">
        <f>+CV713*1100</f>
        <v>0</v>
      </c>
      <c r="CX713" s="76"/>
      <c r="CY713" s="76">
        <f>+CX713*106250</f>
        <v>0</v>
      </c>
      <c r="CZ713" s="86">
        <v>643</v>
      </c>
      <c r="DA713" s="86">
        <f>+CZ713*29499.96</f>
        <v>18968474.280000001</v>
      </c>
      <c r="DB713" s="86">
        <v>98</v>
      </c>
      <c r="DC713" s="86">
        <f>98*31999.76+882*199.52</f>
        <v>3311953.12</v>
      </c>
      <c r="DD713" s="221" t="s">
        <v>3688</v>
      </c>
      <c r="DE713" s="223">
        <f>16620*2496+2801*14999.96+976*21499.44</f>
        <v>104481861.40000001</v>
      </c>
      <c r="DF713" s="166"/>
      <c r="DG713" s="134" t="s">
        <v>6468</v>
      </c>
      <c r="DH713" s="117"/>
      <c r="DI713" s="24"/>
      <c r="DJ713" s="24"/>
      <c r="DK713" s="24"/>
      <c r="DL713" s="24"/>
      <c r="DM713" s="24"/>
      <c r="DN713" s="24"/>
      <c r="DO713" s="24"/>
      <c r="DP713" s="24"/>
      <c r="DQ713" s="24"/>
      <c r="DR713" s="24"/>
      <c r="DS713" s="24"/>
      <c r="DT713" s="24"/>
      <c r="DU713" s="24"/>
    </row>
    <row r="714" spans="1:128" s="8" customFormat="1" ht="96" x14ac:dyDescent="0.2">
      <c r="A714" s="77">
        <v>41314</v>
      </c>
      <c r="B714" s="78" t="s">
        <v>2851</v>
      </c>
      <c r="C714" s="75" t="s">
        <v>2064</v>
      </c>
      <c r="D714" s="75" t="s">
        <v>3194</v>
      </c>
      <c r="E714" s="75" t="str">
        <f>VLOOKUP(B714&amp;C714,Divipola!$C$2:$F$1138,4,FALSE)</f>
        <v>76233</v>
      </c>
      <c r="F714" s="163"/>
      <c r="G714" s="163"/>
      <c r="H714" s="163"/>
      <c r="I714" s="163">
        <v>55</v>
      </c>
      <c r="J714" s="163">
        <v>11</v>
      </c>
      <c r="K714" s="163"/>
      <c r="L714" s="163">
        <v>11</v>
      </c>
      <c r="M714" s="163"/>
      <c r="N714" s="163"/>
      <c r="O714" s="163"/>
      <c r="P714" s="163"/>
      <c r="Q714" s="163"/>
      <c r="R714" s="163"/>
      <c r="S714" s="163"/>
      <c r="T714" s="163"/>
      <c r="U714" s="163"/>
      <c r="V714" s="89">
        <v>1</v>
      </c>
      <c r="W714" s="96">
        <v>0</v>
      </c>
      <c r="X714" s="71">
        <f>CU714</f>
        <v>0</v>
      </c>
      <c r="Y714" s="71">
        <f>CY714</f>
        <v>0</v>
      </c>
      <c r="Z714" s="71">
        <f>DA714+DC714+DE714</f>
        <v>58394105.359999999</v>
      </c>
      <c r="AA714" s="71">
        <f>CW714</f>
        <v>0</v>
      </c>
      <c r="AB714" s="71"/>
      <c r="AC714" s="71">
        <v>0</v>
      </c>
      <c r="AD714" s="71">
        <f>W714+X714+Y714+Z714+AA714+AB714+AC714</f>
        <v>58394105.359999999</v>
      </c>
      <c r="AE714" s="72">
        <v>0</v>
      </c>
      <c r="AF714" s="5"/>
      <c r="AG714" s="6"/>
      <c r="AH714" s="27" t="s">
        <v>3390</v>
      </c>
      <c r="AI714" s="44" t="s">
        <v>3391</v>
      </c>
      <c r="AJ714" s="26"/>
      <c r="AK714" s="5"/>
      <c r="AL714" s="82" t="s">
        <v>3502</v>
      </c>
      <c r="AM714" s="76"/>
      <c r="AN714" s="76"/>
      <c r="AO714" s="76"/>
      <c r="AP714" s="76"/>
      <c r="AQ714" s="76"/>
      <c r="AR714" s="76"/>
      <c r="AS714" s="76"/>
      <c r="AT714" s="76"/>
      <c r="AU714" s="76"/>
      <c r="AV714" s="76"/>
      <c r="AW714" s="76"/>
      <c r="AX714" s="76">
        <f>+AW714*600000</f>
        <v>0</v>
      </c>
      <c r="AY714" s="76"/>
      <c r="AZ714" s="76">
        <f>+AY714*70000</f>
        <v>0</v>
      </c>
      <c r="BA714" s="76"/>
      <c r="BB714" s="76"/>
      <c r="BC714" s="76"/>
      <c r="BD714" s="76">
        <f>+BC714*30000</f>
        <v>0</v>
      </c>
      <c r="BE714" s="76"/>
      <c r="BF714" s="76"/>
      <c r="BG714" s="76"/>
      <c r="BH714" s="76"/>
      <c r="BI714" s="76"/>
      <c r="BJ714" s="76"/>
      <c r="BK714" s="76"/>
      <c r="BL714" s="76">
        <f>+BK714*31500</f>
        <v>0</v>
      </c>
      <c r="BM714" s="76"/>
      <c r="BN714" s="76"/>
      <c r="BO714" s="76"/>
      <c r="BP714" s="76"/>
      <c r="BQ714" s="76"/>
      <c r="BR714" s="76"/>
      <c r="BS714" s="76"/>
      <c r="BT714" s="76"/>
      <c r="BU714" s="76"/>
      <c r="BV714" s="76"/>
      <c r="BW714" s="76"/>
      <c r="BX714" s="76"/>
      <c r="BY714" s="76"/>
      <c r="BZ714" s="76"/>
      <c r="CA714" s="76"/>
      <c r="CB714" s="76"/>
      <c r="CC714" s="76"/>
      <c r="CD714" s="76"/>
      <c r="CE714" s="76"/>
      <c r="CF714" s="76">
        <f>+CE714*28000</f>
        <v>0</v>
      </c>
      <c r="CG714" s="76"/>
      <c r="CH714" s="76">
        <f>+CG714*22500</f>
        <v>0</v>
      </c>
      <c r="CI714" s="76"/>
      <c r="CJ714" s="76">
        <f>+CI714*26000</f>
        <v>0</v>
      </c>
      <c r="CK714" s="76"/>
      <c r="CL714" s="76"/>
      <c r="CM714" s="76"/>
      <c r="CN714" s="76">
        <f>+CM714*22000</f>
        <v>0</v>
      </c>
      <c r="CO714" s="76"/>
      <c r="CP714" s="76">
        <f>+CO714*46000</f>
        <v>0</v>
      </c>
      <c r="CQ714" s="76"/>
      <c r="CR714" s="76">
        <f>+CQ714*49000</f>
        <v>0</v>
      </c>
      <c r="CS714" s="76"/>
      <c r="CT714" s="76"/>
      <c r="CU714" s="56">
        <f>AN714+AP714+AR714+AT714+AV714+AX714+AZ714+BB714+BD714+BF714+BH714+BJ714+BL714+BN714+BP714+BR714+BT714+BV714+BX714+BZ714+CB714+CD714+CF714+CH714+CJ714+CL714+CN714+CP714+CR714+CT714</f>
        <v>0</v>
      </c>
      <c r="CV714" s="76"/>
      <c r="CW714" s="76">
        <f>+CV714*1100</f>
        <v>0</v>
      </c>
      <c r="CX714" s="76"/>
      <c r="CY714" s="76">
        <f>+CX714*106250</f>
        <v>0</v>
      </c>
      <c r="CZ714" s="86">
        <v>417</v>
      </c>
      <c r="DA714" s="86">
        <f>+CZ714*34499.56</f>
        <v>14386316.52</v>
      </c>
      <c r="DB714" s="86">
        <f>55+15</f>
        <v>70</v>
      </c>
      <c r="DC714" s="86">
        <f>55*33599.4+495*199.52+15*30999.84+90*349.16</f>
        <v>2443151.4</v>
      </c>
      <c r="DD714" s="221" t="s">
        <v>3890</v>
      </c>
      <c r="DE714" s="223">
        <f>17970*1343.28+481*14999.96+469*21499.44+19*6719.88</f>
        <v>41564637.439999998</v>
      </c>
      <c r="DF714" s="166"/>
      <c r="DG714" s="134" t="s">
        <v>5165</v>
      </c>
      <c r="DH714" s="117"/>
      <c r="DI714" s="24"/>
      <c r="DJ714" s="24"/>
      <c r="DK714" s="24"/>
      <c r="DL714" s="24"/>
      <c r="DM714" s="24"/>
      <c r="DN714" s="24"/>
      <c r="DO714" s="24"/>
      <c r="DP714" s="24"/>
      <c r="DQ714" s="24"/>
      <c r="DR714" s="24"/>
      <c r="DS714" s="24"/>
      <c r="DT714" s="24"/>
      <c r="DU714" s="24"/>
    </row>
    <row r="715" spans="1:128" s="8" customFormat="1" ht="96" x14ac:dyDescent="0.2">
      <c r="A715" s="77">
        <v>41314</v>
      </c>
      <c r="B715" s="78" t="s">
        <v>2851</v>
      </c>
      <c r="C715" s="75" t="s">
        <v>2704</v>
      </c>
      <c r="D715" s="75" t="s">
        <v>3194</v>
      </c>
      <c r="E715" s="75" t="str">
        <f>VLOOKUP(B715&amp;C715,Divipola!$C$2:$F$1138,4,FALSE)</f>
        <v>76243</v>
      </c>
      <c r="F715" s="163"/>
      <c r="G715" s="163"/>
      <c r="H715" s="163"/>
      <c r="I715" s="163">
        <v>30</v>
      </c>
      <c r="J715" s="163">
        <v>6</v>
      </c>
      <c r="K715" s="163"/>
      <c r="L715" s="163">
        <v>6</v>
      </c>
      <c r="M715" s="163"/>
      <c r="N715" s="163"/>
      <c r="O715" s="163"/>
      <c r="P715" s="163"/>
      <c r="Q715" s="163"/>
      <c r="R715" s="163">
        <v>1</v>
      </c>
      <c r="S715" s="163"/>
      <c r="T715" s="163"/>
      <c r="U715" s="163"/>
      <c r="V715" s="89">
        <v>1</v>
      </c>
      <c r="W715" s="96">
        <v>0</v>
      </c>
      <c r="X715" s="71">
        <f>CU715</f>
        <v>0</v>
      </c>
      <c r="Y715" s="71">
        <f>CY715</f>
        <v>0</v>
      </c>
      <c r="Z715" s="71">
        <f>DA715+DC715+DE715</f>
        <v>0</v>
      </c>
      <c r="AA715" s="71">
        <f>CW715</f>
        <v>0</v>
      </c>
      <c r="AB715" s="71"/>
      <c r="AC715" s="71">
        <v>0</v>
      </c>
      <c r="AD715" s="71">
        <f>W715+X715+Y715+Z715+AA715+AB715+AC715</f>
        <v>0</v>
      </c>
      <c r="AE715" s="72">
        <v>0</v>
      </c>
      <c r="AF715" s="5"/>
      <c r="AG715" s="6"/>
      <c r="AH715" s="27" t="s">
        <v>3390</v>
      </c>
      <c r="AI715" s="44" t="s">
        <v>3391</v>
      </c>
      <c r="AJ715" s="26"/>
      <c r="AK715" s="5"/>
      <c r="AL715" s="82" t="s">
        <v>3502</v>
      </c>
      <c r="AM715" s="76"/>
      <c r="AN715" s="76"/>
      <c r="AO715" s="76"/>
      <c r="AP715" s="76"/>
      <c r="AQ715" s="76"/>
      <c r="AR715" s="76"/>
      <c r="AS715" s="76"/>
      <c r="AT715" s="76"/>
      <c r="AU715" s="76"/>
      <c r="AV715" s="76"/>
      <c r="AW715" s="76"/>
      <c r="AX715" s="76">
        <f>+AW715*600000</f>
        <v>0</v>
      </c>
      <c r="AY715" s="76"/>
      <c r="AZ715" s="76">
        <f>+AY715*70000</f>
        <v>0</v>
      </c>
      <c r="BA715" s="76"/>
      <c r="BB715" s="76"/>
      <c r="BC715" s="76"/>
      <c r="BD715" s="76">
        <f>+BC715*30000</f>
        <v>0</v>
      </c>
      <c r="BE715" s="76"/>
      <c r="BF715" s="76"/>
      <c r="BG715" s="76"/>
      <c r="BH715" s="76"/>
      <c r="BI715" s="76"/>
      <c r="BJ715" s="76"/>
      <c r="BK715" s="76"/>
      <c r="BL715" s="76">
        <f>+BK715*31500</f>
        <v>0</v>
      </c>
      <c r="BM715" s="76"/>
      <c r="BN715" s="76"/>
      <c r="BO715" s="76"/>
      <c r="BP715" s="76"/>
      <c r="BQ715" s="76"/>
      <c r="BR715" s="76"/>
      <c r="BS715" s="76"/>
      <c r="BT715" s="76"/>
      <c r="BU715" s="76"/>
      <c r="BV715" s="76"/>
      <c r="BW715" s="76"/>
      <c r="BX715" s="76"/>
      <c r="BY715" s="76"/>
      <c r="BZ715" s="76"/>
      <c r="CA715" s="76"/>
      <c r="CB715" s="76"/>
      <c r="CC715" s="76"/>
      <c r="CD715" s="76"/>
      <c r="CE715" s="76"/>
      <c r="CF715" s="76">
        <f>+CE715*28000</f>
        <v>0</v>
      </c>
      <c r="CG715" s="76"/>
      <c r="CH715" s="76">
        <f>+CG715*22500</f>
        <v>0</v>
      </c>
      <c r="CI715" s="76"/>
      <c r="CJ715" s="76">
        <f>+CI715*26000</f>
        <v>0</v>
      </c>
      <c r="CK715" s="76"/>
      <c r="CL715" s="76"/>
      <c r="CM715" s="76"/>
      <c r="CN715" s="76">
        <f>+CM715*22000</f>
        <v>0</v>
      </c>
      <c r="CO715" s="76"/>
      <c r="CP715" s="76">
        <f>+CO715*46000</f>
        <v>0</v>
      </c>
      <c r="CQ715" s="76"/>
      <c r="CR715" s="76">
        <f>+CQ715*49000</f>
        <v>0</v>
      </c>
      <c r="CS715" s="76"/>
      <c r="CT715" s="76"/>
      <c r="CU715" s="56">
        <f>AN715+AP715+AR715+AT715+AV715+AX715+AZ715+BB715+BD715+BF715+BH715+BJ715+BL715+BN715+BP715+BR715+BT715+BV715+BX715+BZ715+CB715+CD715+CF715+CH715+CJ715+CL715+CN715+CP715+CR715+CT715</f>
        <v>0</v>
      </c>
      <c r="CV715" s="76"/>
      <c r="CW715" s="76">
        <f>+CV715*1100</f>
        <v>0</v>
      </c>
      <c r="CX715" s="76"/>
      <c r="CY715" s="76">
        <f>+CX715*106250</f>
        <v>0</v>
      </c>
      <c r="CZ715" s="76"/>
      <c r="DA715" s="76">
        <f>+CZ715*34500</f>
        <v>0</v>
      </c>
      <c r="DB715" s="76"/>
      <c r="DC715" s="76"/>
      <c r="DD715" s="215"/>
      <c r="DE715" s="219"/>
      <c r="DF715" s="166"/>
      <c r="DG715" s="116"/>
      <c r="DH715" s="117"/>
      <c r="DI715" s="24"/>
      <c r="DJ715" s="24"/>
      <c r="DK715" s="24"/>
      <c r="DL715" s="24"/>
      <c r="DM715" s="24"/>
      <c r="DN715" s="24"/>
      <c r="DO715" s="24"/>
      <c r="DP715" s="24"/>
      <c r="DQ715" s="24"/>
      <c r="DR715" s="24"/>
      <c r="DS715" s="24"/>
      <c r="DT715" s="24"/>
      <c r="DU715" s="24"/>
    </row>
    <row r="716" spans="1:128" s="8" customFormat="1" ht="84" x14ac:dyDescent="0.2">
      <c r="A716" s="77">
        <v>41314</v>
      </c>
      <c r="B716" s="78" t="s">
        <v>2851</v>
      </c>
      <c r="C716" s="75" t="s">
        <v>2218</v>
      </c>
      <c r="D716" s="75" t="s">
        <v>3194</v>
      </c>
      <c r="E716" s="75" t="str">
        <f>VLOOKUP(B716&amp;C716,Divipola!$C$2:$F$1138,4,FALSE)</f>
        <v>76246</v>
      </c>
      <c r="F716" s="163"/>
      <c r="G716" s="163"/>
      <c r="H716" s="163"/>
      <c r="I716" s="163">
        <v>60</v>
      </c>
      <c r="J716" s="163">
        <v>12</v>
      </c>
      <c r="K716" s="163"/>
      <c r="L716" s="163">
        <v>12</v>
      </c>
      <c r="M716" s="163"/>
      <c r="N716" s="163"/>
      <c r="O716" s="163"/>
      <c r="P716" s="163"/>
      <c r="Q716" s="163"/>
      <c r="R716" s="163"/>
      <c r="S716" s="163"/>
      <c r="T716" s="163"/>
      <c r="U716" s="163"/>
      <c r="V716" s="89"/>
      <c r="W716" s="96">
        <v>0</v>
      </c>
      <c r="X716" s="71">
        <f>CU716</f>
        <v>0</v>
      </c>
      <c r="Y716" s="71">
        <f>CY716</f>
        <v>0</v>
      </c>
      <c r="Z716" s="71">
        <f>DA716+DC716+DE716</f>
        <v>51837012.799999997</v>
      </c>
      <c r="AA716" s="71">
        <f>CW716</f>
        <v>0</v>
      </c>
      <c r="AB716" s="71"/>
      <c r="AC716" s="71">
        <v>0</v>
      </c>
      <c r="AD716" s="71">
        <f>W716+X716+Y716+Z716+AA716+AB716+AC716</f>
        <v>51837012.799999997</v>
      </c>
      <c r="AE716" s="72">
        <v>0</v>
      </c>
      <c r="AF716" s="5"/>
      <c r="AG716" s="6"/>
      <c r="AH716" s="27" t="s">
        <v>3390</v>
      </c>
      <c r="AI716" s="44" t="s">
        <v>3391</v>
      </c>
      <c r="AJ716" s="26"/>
      <c r="AK716" s="5"/>
      <c r="AL716" s="82" t="s">
        <v>3458</v>
      </c>
      <c r="AM716" s="76"/>
      <c r="AN716" s="76"/>
      <c r="AO716" s="76"/>
      <c r="AP716" s="76"/>
      <c r="AQ716" s="76"/>
      <c r="AR716" s="76"/>
      <c r="AS716" s="76"/>
      <c r="AT716" s="76"/>
      <c r="AU716" s="76"/>
      <c r="AV716" s="76"/>
      <c r="AW716" s="76"/>
      <c r="AX716" s="76">
        <f>+AW716*600000</f>
        <v>0</v>
      </c>
      <c r="AY716" s="76"/>
      <c r="AZ716" s="76">
        <f>+AY716*70000</f>
        <v>0</v>
      </c>
      <c r="BA716" s="76"/>
      <c r="BB716" s="76"/>
      <c r="BC716" s="76"/>
      <c r="BD716" s="76">
        <f>+BC716*30000</f>
        <v>0</v>
      </c>
      <c r="BE716" s="76"/>
      <c r="BF716" s="76"/>
      <c r="BG716" s="76"/>
      <c r="BH716" s="76"/>
      <c r="BI716" s="76"/>
      <c r="BJ716" s="76"/>
      <c r="BK716" s="76"/>
      <c r="BL716" s="76">
        <f>+BK716*31500</f>
        <v>0</v>
      </c>
      <c r="BM716" s="76"/>
      <c r="BN716" s="76"/>
      <c r="BO716" s="76"/>
      <c r="BP716" s="76"/>
      <c r="BQ716" s="76"/>
      <c r="BR716" s="76"/>
      <c r="BS716" s="76"/>
      <c r="BT716" s="76"/>
      <c r="BU716" s="76"/>
      <c r="BV716" s="76"/>
      <c r="BW716" s="76"/>
      <c r="BX716" s="76"/>
      <c r="BY716" s="76"/>
      <c r="BZ716" s="76"/>
      <c r="CA716" s="76"/>
      <c r="CB716" s="76"/>
      <c r="CC716" s="76"/>
      <c r="CD716" s="76"/>
      <c r="CE716" s="76"/>
      <c r="CF716" s="76">
        <f>+CE716*28000</f>
        <v>0</v>
      </c>
      <c r="CG716" s="76"/>
      <c r="CH716" s="76">
        <f>+CG716*22500</f>
        <v>0</v>
      </c>
      <c r="CI716" s="76"/>
      <c r="CJ716" s="76">
        <f>+CI716*26000</f>
        <v>0</v>
      </c>
      <c r="CK716" s="76"/>
      <c r="CL716" s="76"/>
      <c r="CM716" s="76"/>
      <c r="CN716" s="76">
        <f>+CM716*22000</f>
        <v>0</v>
      </c>
      <c r="CO716" s="76"/>
      <c r="CP716" s="76">
        <f>+CO716*46000</f>
        <v>0</v>
      </c>
      <c r="CQ716" s="76"/>
      <c r="CR716" s="76">
        <f>+CQ716*49000</f>
        <v>0</v>
      </c>
      <c r="CS716" s="76"/>
      <c r="CT716" s="76"/>
      <c r="CU716" s="56">
        <f>AN716+AP716+AR716+AT716+AV716+AX716+AZ716+BB716+BD716+BF716+BH716+BJ716+BL716+BN716+BP716+BR716+BT716+BV716+BX716+BZ716+CB716+CD716+CF716+CH716+CJ716+CL716+CN716+CP716+CR716+CT716</f>
        <v>0</v>
      </c>
      <c r="CV716" s="76"/>
      <c r="CW716" s="76">
        <f>+CV716*1100</f>
        <v>0</v>
      </c>
      <c r="CX716" s="76"/>
      <c r="CY716" s="76">
        <f>+CX716*106250</f>
        <v>0</v>
      </c>
      <c r="CZ716" s="86">
        <v>300</v>
      </c>
      <c r="DA716" s="86">
        <f>+CZ716*34499.56</f>
        <v>10349868</v>
      </c>
      <c r="DB716" s="86">
        <v>400</v>
      </c>
      <c r="DC716" s="86">
        <f>400*33599.4+2400*199.52</f>
        <v>13918608</v>
      </c>
      <c r="DD716" s="221" t="s">
        <v>3891</v>
      </c>
      <c r="DE716" s="223">
        <f>2000*1343.28+900*21499.44+380*14559.16</f>
        <v>27568536.800000001</v>
      </c>
      <c r="DF716" s="166"/>
      <c r="DG716" s="134" t="s">
        <v>5165</v>
      </c>
      <c r="DH716" s="117"/>
      <c r="DI716" s="24"/>
      <c r="DJ716" s="24"/>
      <c r="DK716" s="24"/>
      <c r="DL716" s="24"/>
      <c r="DM716" s="24"/>
      <c r="DN716" s="24"/>
      <c r="DO716" s="24"/>
      <c r="DP716" s="24"/>
      <c r="DQ716" s="24"/>
      <c r="DR716" s="24"/>
      <c r="DS716" s="24"/>
      <c r="DT716" s="24"/>
      <c r="DU716" s="24"/>
    </row>
    <row r="717" spans="1:128" s="8" customFormat="1" ht="84" x14ac:dyDescent="0.2">
      <c r="A717" s="77">
        <v>41314</v>
      </c>
      <c r="B717" s="78" t="s">
        <v>2851</v>
      </c>
      <c r="C717" s="75" t="s">
        <v>2057</v>
      </c>
      <c r="D717" s="75" t="s">
        <v>3194</v>
      </c>
      <c r="E717" s="75" t="str">
        <f>VLOOKUP(B717&amp;C717,Divipola!$C$2:$F$1138,4,FALSE)</f>
        <v>76250</v>
      </c>
      <c r="F717" s="163"/>
      <c r="G717" s="163"/>
      <c r="H717" s="163"/>
      <c r="I717" s="163">
        <v>95</v>
      </c>
      <c r="J717" s="163">
        <v>19</v>
      </c>
      <c r="K717" s="163"/>
      <c r="L717" s="163">
        <v>19</v>
      </c>
      <c r="M717" s="163"/>
      <c r="N717" s="163"/>
      <c r="O717" s="163"/>
      <c r="P717" s="163"/>
      <c r="Q717" s="163"/>
      <c r="R717" s="163"/>
      <c r="S717" s="163">
        <v>2</v>
      </c>
      <c r="T717" s="163"/>
      <c r="U717" s="163"/>
      <c r="V717" s="89"/>
      <c r="W717" s="96">
        <v>0</v>
      </c>
      <c r="X717" s="71">
        <f>CU717</f>
        <v>0</v>
      </c>
      <c r="Y717" s="71">
        <f>CY717</f>
        <v>0</v>
      </c>
      <c r="Z717" s="71">
        <f>DA717+DC717+DE717</f>
        <v>146595026.12</v>
      </c>
      <c r="AA717" s="71">
        <f>CW717</f>
        <v>0</v>
      </c>
      <c r="AB717" s="71"/>
      <c r="AC717" s="71">
        <v>0</v>
      </c>
      <c r="AD717" s="71">
        <f>W717+X717+Y717+Z717+AA717+AB717+AC717</f>
        <v>146595026.12</v>
      </c>
      <c r="AE717" s="72">
        <v>0</v>
      </c>
      <c r="AF717" s="5"/>
      <c r="AG717" s="6"/>
      <c r="AH717" s="27" t="s">
        <v>3390</v>
      </c>
      <c r="AI717" s="44" t="s">
        <v>3391</v>
      </c>
      <c r="AJ717" s="26"/>
      <c r="AK717" s="5"/>
      <c r="AL717" s="82" t="s">
        <v>3458</v>
      </c>
      <c r="AM717" s="76"/>
      <c r="AN717" s="76"/>
      <c r="AO717" s="76"/>
      <c r="AP717" s="76"/>
      <c r="AQ717" s="76"/>
      <c r="AR717" s="76"/>
      <c r="AS717" s="76"/>
      <c r="AT717" s="76"/>
      <c r="AU717" s="76"/>
      <c r="AV717" s="76"/>
      <c r="AW717" s="76"/>
      <c r="AX717" s="76">
        <f>+AW717*600000</f>
        <v>0</v>
      </c>
      <c r="AY717" s="76"/>
      <c r="AZ717" s="76">
        <f>+AY717*70000</f>
        <v>0</v>
      </c>
      <c r="BA717" s="76"/>
      <c r="BB717" s="76"/>
      <c r="BC717" s="76"/>
      <c r="BD717" s="76">
        <f>+BC717*30000</f>
        <v>0</v>
      </c>
      <c r="BE717" s="76"/>
      <c r="BF717" s="76"/>
      <c r="BG717" s="76"/>
      <c r="BH717" s="76"/>
      <c r="BI717" s="76"/>
      <c r="BJ717" s="76"/>
      <c r="BK717" s="76"/>
      <c r="BL717" s="76">
        <f>+BK717*31500</f>
        <v>0</v>
      </c>
      <c r="BM717" s="76"/>
      <c r="BN717" s="76"/>
      <c r="BO717" s="76"/>
      <c r="BP717" s="76"/>
      <c r="BQ717" s="76"/>
      <c r="BR717" s="76"/>
      <c r="BS717" s="76"/>
      <c r="BT717" s="76"/>
      <c r="BU717" s="76"/>
      <c r="BV717" s="76"/>
      <c r="BW717" s="76"/>
      <c r="BX717" s="76"/>
      <c r="BY717" s="76"/>
      <c r="BZ717" s="76"/>
      <c r="CA717" s="76"/>
      <c r="CB717" s="76"/>
      <c r="CC717" s="76"/>
      <c r="CD717" s="76"/>
      <c r="CE717" s="76"/>
      <c r="CF717" s="76">
        <f>+CE717*28000</f>
        <v>0</v>
      </c>
      <c r="CG717" s="76"/>
      <c r="CH717" s="76">
        <f>+CG717*22500</f>
        <v>0</v>
      </c>
      <c r="CI717" s="76"/>
      <c r="CJ717" s="76">
        <f>+CI717*26000</f>
        <v>0</v>
      </c>
      <c r="CK717" s="76"/>
      <c r="CL717" s="76"/>
      <c r="CM717" s="76"/>
      <c r="CN717" s="76">
        <f>+CM717*22000</f>
        <v>0</v>
      </c>
      <c r="CO717" s="76"/>
      <c r="CP717" s="76">
        <f>+CO717*46000</f>
        <v>0</v>
      </c>
      <c r="CQ717" s="76"/>
      <c r="CR717" s="76">
        <f>+CQ717*49000</f>
        <v>0</v>
      </c>
      <c r="CS717" s="76"/>
      <c r="CT717" s="76"/>
      <c r="CU717" s="56">
        <f>AN717+AP717+AR717+AT717+AV717+AX717+AZ717+BB717+BD717+BF717+BH717+BJ717+BL717+BN717+BP717+BR717+BT717+BV717+BX717+BZ717+CB717+CD717+CF717+CH717+CJ717+CL717+CN717+CP717+CR717+CT717</f>
        <v>0</v>
      </c>
      <c r="CV717" s="76"/>
      <c r="CW717" s="76">
        <f>+CV717*1100</f>
        <v>0</v>
      </c>
      <c r="CX717" s="76"/>
      <c r="CY717" s="76">
        <f>+CX717*106250</f>
        <v>0</v>
      </c>
      <c r="CZ717" s="86">
        <v>537</v>
      </c>
      <c r="DA717" s="86">
        <f>537*29499.96</f>
        <v>15841478.52</v>
      </c>
      <c r="DB717" s="86">
        <v>115</v>
      </c>
      <c r="DC717" s="86">
        <f>115*31999.76+1035*199.52</f>
        <v>3886475.6</v>
      </c>
      <c r="DD717" s="221" t="s">
        <v>3689</v>
      </c>
      <c r="DE717" s="223">
        <f>35360*2496+1476*14999.96+766*21499.44</f>
        <v>126867072</v>
      </c>
      <c r="DF717" s="166"/>
      <c r="DG717" s="134" t="s">
        <v>6468</v>
      </c>
      <c r="DH717" s="117"/>
      <c r="DI717" s="24"/>
      <c r="DJ717" s="24"/>
      <c r="DK717" s="24"/>
      <c r="DL717" s="24"/>
      <c r="DM717" s="24"/>
      <c r="DN717" s="24"/>
      <c r="DO717" s="24"/>
      <c r="DP717" s="24"/>
      <c r="DQ717" s="24"/>
      <c r="DR717" s="24"/>
      <c r="DS717" s="24"/>
      <c r="DT717" s="24"/>
      <c r="DU717" s="24"/>
    </row>
    <row r="718" spans="1:128" s="8" customFormat="1" ht="96" x14ac:dyDescent="0.2">
      <c r="A718" s="77">
        <v>41314</v>
      </c>
      <c r="B718" s="78" t="s">
        <v>2851</v>
      </c>
      <c r="C718" s="75" t="s">
        <v>1947</v>
      </c>
      <c r="D718" s="75" t="s">
        <v>3194</v>
      </c>
      <c r="E718" s="75" t="str">
        <f>VLOOKUP(B718&amp;C718,Divipola!$C$2:$F$1138,4,FALSE)</f>
        <v>76275</v>
      </c>
      <c r="F718" s="163"/>
      <c r="G718" s="163"/>
      <c r="H718" s="163"/>
      <c r="I718" s="163">
        <v>15</v>
      </c>
      <c r="J718" s="163">
        <v>3</v>
      </c>
      <c r="K718" s="163"/>
      <c r="L718" s="163">
        <v>3</v>
      </c>
      <c r="M718" s="163"/>
      <c r="N718" s="163"/>
      <c r="O718" s="163"/>
      <c r="P718" s="163"/>
      <c r="Q718" s="163"/>
      <c r="R718" s="163"/>
      <c r="S718" s="163">
        <v>1</v>
      </c>
      <c r="T718" s="163"/>
      <c r="U718" s="163"/>
      <c r="V718" s="194">
        <v>1</v>
      </c>
      <c r="W718" s="96">
        <v>0</v>
      </c>
      <c r="X718" s="71">
        <f>CU718</f>
        <v>0</v>
      </c>
      <c r="Y718" s="71">
        <f>CY718</f>
        <v>0</v>
      </c>
      <c r="Z718" s="71">
        <f>DA718+DC718+DE718</f>
        <v>14950671.6</v>
      </c>
      <c r="AA718" s="71">
        <f>CW718</f>
        <v>0</v>
      </c>
      <c r="AB718" s="71"/>
      <c r="AC718" s="71">
        <v>0</v>
      </c>
      <c r="AD718" s="71">
        <f>W718+X718+Y718+Z718+AA718+AB718+AC718</f>
        <v>14950671.6</v>
      </c>
      <c r="AE718" s="72">
        <v>0</v>
      </c>
      <c r="AF718" s="5"/>
      <c r="AG718" s="6"/>
      <c r="AH718" s="27" t="s">
        <v>3390</v>
      </c>
      <c r="AI718" s="44" t="s">
        <v>3391</v>
      </c>
      <c r="AJ718" s="26"/>
      <c r="AK718" s="5"/>
      <c r="AL718" s="82" t="s">
        <v>3740</v>
      </c>
      <c r="AM718" s="76"/>
      <c r="AN718" s="76"/>
      <c r="AO718" s="76"/>
      <c r="AP718" s="76"/>
      <c r="AQ718" s="76"/>
      <c r="AR718" s="76"/>
      <c r="AS718" s="76"/>
      <c r="AT718" s="76"/>
      <c r="AU718" s="76"/>
      <c r="AV718" s="76"/>
      <c r="AW718" s="76"/>
      <c r="AX718" s="76">
        <f>+AW718*600000</f>
        <v>0</v>
      </c>
      <c r="AY718" s="76"/>
      <c r="AZ718" s="76">
        <f>+AY718*70000</f>
        <v>0</v>
      </c>
      <c r="BA718" s="76"/>
      <c r="BB718" s="76"/>
      <c r="BC718" s="76"/>
      <c r="BD718" s="76">
        <f>+BC718*30000</f>
        <v>0</v>
      </c>
      <c r="BE718" s="76"/>
      <c r="BF718" s="76"/>
      <c r="BG718" s="76"/>
      <c r="BH718" s="76"/>
      <c r="BI718" s="76"/>
      <c r="BJ718" s="76"/>
      <c r="BK718" s="76"/>
      <c r="BL718" s="76">
        <f>+BK718*31500</f>
        <v>0</v>
      </c>
      <c r="BM718" s="76"/>
      <c r="BN718" s="76"/>
      <c r="BO718" s="76"/>
      <c r="BP718" s="76"/>
      <c r="BQ718" s="76"/>
      <c r="BR718" s="76"/>
      <c r="BS718" s="76"/>
      <c r="BT718" s="76"/>
      <c r="BU718" s="76"/>
      <c r="BV718" s="76"/>
      <c r="BW718" s="76"/>
      <c r="BX718" s="76"/>
      <c r="BY718" s="76"/>
      <c r="BZ718" s="76"/>
      <c r="CA718" s="76"/>
      <c r="CB718" s="76"/>
      <c r="CC718" s="76"/>
      <c r="CD718" s="76"/>
      <c r="CE718" s="76"/>
      <c r="CF718" s="76">
        <f>+CE718*28000</f>
        <v>0</v>
      </c>
      <c r="CG718" s="76"/>
      <c r="CH718" s="76">
        <f>+CG718*22500</f>
        <v>0</v>
      </c>
      <c r="CI718" s="76"/>
      <c r="CJ718" s="76">
        <f>+CI718*26000</f>
        <v>0</v>
      </c>
      <c r="CK718" s="76"/>
      <c r="CL718" s="76"/>
      <c r="CM718" s="76"/>
      <c r="CN718" s="76">
        <f>+CM718*22000</f>
        <v>0</v>
      </c>
      <c r="CO718" s="76"/>
      <c r="CP718" s="76">
        <f>+CO718*46000</f>
        <v>0</v>
      </c>
      <c r="CQ718" s="76"/>
      <c r="CR718" s="76">
        <f>+CQ718*49000</f>
        <v>0</v>
      </c>
      <c r="CS718" s="76"/>
      <c r="CT718" s="76"/>
      <c r="CU718" s="56">
        <f>AN718+AP718+AR718+AT718+AV718+AX718+AZ718+BB718+BD718+BF718+BH718+BJ718+BL718+BN718+BP718+BR718+BT718+BV718+BX718+BZ718+CB718+CD718+CF718+CH718+CJ718+CL718+CN718+CP718+CR718+CT718</f>
        <v>0</v>
      </c>
      <c r="CV718" s="76"/>
      <c r="CW718" s="76">
        <f>+CV718*1100</f>
        <v>0</v>
      </c>
      <c r="CX718" s="76"/>
      <c r="CY718" s="76">
        <f>+CX718*106250</f>
        <v>0</v>
      </c>
      <c r="CZ718" s="86">
        <v>100</v>
      </c>
      <c r="DA718" s="86">
        <f>+CZ718*34499.56</f>
        <v>3449956</v>
      </c>
      <c r="DB718" s="86">
        <v>70</v>
      </c>
      <c r="DC718" s="86">
        <f>70*33599.4+630*199.52</f>
        <v>2477655.6</v>
      </c>
      <c r="DD718" s="221" t="s">
        <v>3892</v>
      </c>
      <c r="DE718" s="223">
        <f>4000*1343.28+100*14999.96+100*21499.44</f>
        <v>9023060</v>
      </c>
      <c r="DF718" s="166"/>
      <c r="DG718" s="134" t="s">
        <v>5165</v>
      </c>
      <c r="DH718" s="117"/>
      <c r="DI718" s="24"/>
      <c r="DJ718" s="24"/>
      <c r="DK718" s="24"/>
      <c r="DL718" s="24"/>
      <c r="DM718" s="24"/>
      <c r="DN718" s="24"/>
      <c r="DO718" s="24"/>
      <c r="DP718" s="24"/>
      <c r="DQ718" s="24"/>
      <c r="DR718" s="24"/>
      <c r="DS718" s="24"/>
      <c r="DT718" s="24"/>
      <c r="DU718" s="24"/>
    </row>
    <row r="719" spans="1:128" s="8" customFormat="1" ht="96" x14ac:dyDescent="0.2">
      <c r="A719" s="77">
        <v>41314</v>
      </c>
      <c r="B719" s="78" t="s">
        <v>2851</v>
      </c>
      <c r="C719" s="75" t="s">
        <v>1949</v>
      </c>
      <c r="D719" s="75" t="s">
        <v>3194</v>
      </c>
      <c r="E719" s="75" t="str">
        <f>VLOOKUP(B719&amp;C719,Divipola!$C$2:$F$1138,4,FALSE)</f>
        <v>76318</v>
      </c>
      <c r="F719" s="163"/>
      <c r="G719" s="163"/>
      <c r="H719" s="163"/>
      <c r="I719" s="163">
        <v>25</v>
      </c>
      <c r="J719" s="163">
        <v>5</v>
      </c>
      <c r="K719" s="163"/>
      <c r="L719" s="163">
        <v>5</v>
      </c>
      <c r="M719" s="163"/>
      <c r="N719" s="163"/>
      <c r="O719" s="163"/>
      <c r="P719" s="163"/>
      <c r="Q719" s="163"/>
      <c r="R719" s="163"/>
      <c r="S719" s="163"/>
      <c r="T719" s="163"/>
      <c r="U719" s="163"/>
      <c r="V719" s="89">
        <v>1</v>
      </c>
      <c r="W719" s="96">
        <v>0</v>
      </c>
      <c r="X719" s="71">
        <f>CU719</f>
        <v>0</v>
      </c>
      <c r="Y719" s="71">
        <f>CY719</f>
        <v>0</v>
      </c>
      <c r="Z719" s="71">
        <f>DA719+DC719+DE719</f>
        <v>64223367.000000007</v>
      </c>
      <c r="AA719" s="71">
        <f>CW719</f>
        <v>0</v>
      </c>
      <c r="AB719" s="71"/>
      <c r="AC719" s="71">
        <v>0</v>
      </c>
      <c r="AD719" s="71">
        <f>W719+X719+Y719+Z719+AA719+AB719+AC719</f>
        <v>64223367.000000007</v>
      </c>
      <c r="AE719" s="72">
        <v>0</v>
      </c>
      <c r="AF719" s="5"/>
      <c r="AG719" s="6"/>
      <c r="AH719" s="27" t="s">
        <v>3390</v>
      </c>
      <c r="AI719" s="44" t="s">
        <v>3391</v>
      </c>
      <c r="AJ719" s="26"/>
      <c r="AK719" s="5"/>
      <c r="AL719" s="82" t="s">
        <v>3740</v>
      </c>
      <c r="AM719" s="76"/>
      <c r="AN719" s="76"/>
      <c r="AO719" s="76"/>
      <c r="AP719" s="76"/>
      <c r="AQ719" s="76"/>
      <c r="AR719" s="76"/>
      <c r="AS719" s="76"/>
      <c r="AT719" s="76"/>
      <c r="AU719" s="76"/>
      <c r="AV719" s="76"/>
      <c r="AW719" s="76"/>
      <c r="AX719" s="76">
        <f>+AW719*600000</f>
        <v>0</v>
      </c>
      <c r="AY719" s="76"/>
      <c r="AZ719" s="76">
        <f>+AY719*70000</f>
        <v>0</v>
      </c>
      <c r="BA719" s="76"/>
      <c r="BB719" s="76"/>
      <c r="BC719" s="76"/>
      <c r="BD719" s="76">
        <f>+BC719*30000</f>
        <v>0</v>
      </c>
      <c r="BE719" s="76"/>
      <c r="BF719" s="76"/>
      <c r="BG719" s="76"/>
      <c r="BH719" s="76"/>
      <c r="BI719" s="76"/>
      <c r="BJ719" s="76"/>
      <c r="BK719" s="76"/>
      <c r="BL719" s="76">
        <f>+BK719*31500</f>
        <v>0</v>
      </c>
      <c r="BM719" s="76"/>
      <c r="BN719" s="76"/>
      <c r="BO719" s="76"/>
      <c r="BP719" s="76"/>
      <c r="BQ719" s="76"/>
      <c r="BR719" s="76"/>
      <c r="BS719" s="76"/>
      <c r="BT719" s="76"/>
      <c r="BU719" s="76"/>
      <c r="BV719" s="76"/>
      <c r="BW719" s="76"/>
      <c r="BX719" s="76"/>
      <c r="BY719" s="76"/>
      <c r="BZ719" s="76"/>
      <c r="CA719" s="76"/>
      <c r="CB719" s="76"/>
      <c r="CC719" s="76"/>
      <c r="CD719" s="76"/>
      <c r="CE719" s="76"/>
      <c r="CF719" s="76">
        <f>+CE719*28000</f>
        <v>0</v>
      </c>
      <c r="CG719" s="76"/>
      <c r="CH719" s="76">
        <f>+CG719*22500</f>
        <v>0</v>
      </c>
      <c r="CI719" s="76"/>
      <c r="CJ719" s="76">
        <f>+CI719*26000</f>
        <v>0</v>
      </c>
      <c r="CK719" s="76"/>
      <c r="CL719" s="76"/>
      <c r="CM719" s="76"/>
      <c r="CN719" s="76">
        <f>+CM719*22000</f>
        <v>0</v>
      </c>
      <c r="CO719" s="76"/>
      <c r="CP719" s="76">
        <f>+CO719*46000</f>
        <v>0</v>
      </c>
      <c r="CQ719" s="76"/>
      <c r="CR719" s="76">
        <f>+CQ719*49000</f>
        <v>0</v>
      </c>
      <c r="CS719" s="76"/>
      <c r="CT719" s="76"/>
      <c r="CU719" s="56">
        <f>AN719+AP719+AR719+AT719+AV719+AX719+AZ719+BB719+BD719+BF719+BH719+BJ719+BL719+BN719+BP719+BR719+BT719+BV719+BX719+BZ719+CB719+CD719+CF719+CH719+CJ719+CL719+CN719+CP719+CR719+CT719</f>
        <v>0</v>
      </c>
      <c r="CV719" s="76"/>
      <c r="CW719" s="76">
        <f>+CV719*1100</f>
        <v>0</v>
      </c>
      <c r="CX719" s="76"/>
      <c r="CY719" s="76">
        <f>+CX719*106250</f>
        <v>0</v>
      </c>
      <c r="CZ719" s="86">
        <v>120</v>
      </c>
      <c r="DA719" s="86">
        <f>+CZ719*29499.96</f>
        <v>3539995.1999999997</v>
      </c>
      <c r="DB719" s="76"/>
      <c r="DC719" s="76">
        <f>+DB719*25000</f>
        <v>0</v>
      </c>
      <c r="DD719" s="221" t="s">
        <v>3893</v>
      </c>
      <c r="DE719" s="223">
        <f>4000*2496+300*21499.44+885*49999.48</f>
        <v>60683371.800000004</v>
      </c>
      <c r="DF719" s="166"/>
      <c r="DG719" s="134" t="s">
        <v>6468</v>
      </c>
      <c r="DH719" s="117"/>
      <c r="DI719" s="24"/>
      <c r="DJ719" s="24"/>
      <c r="DK719" s="24"/>
      <c r="DL719" s="24"/>
      <c r="DM719" s="24"/>
      <c r="DN719" s="24"/>
      <c r="DO719" s="24"/>
      <c r="DP719" s="24"/>
      <c r="DQ719" s="24"/>
      <c r="DR719" s="24"/>
      <c r="DS719" s="24"/>
      <c r="DT719" s="24"/>
      <c r="DU719" s="24"/>
    </row>
    <row r="720" spans="1:128" s="8" customFormat="1" ht="84" x14ac:dyDescent="0.2">
      <c r="A720" s="77">
        <v>41314</v>
      </c>
      <c r="B720" s="78" t="s">
        <v>2851</v>
      </c>
      <c r="C720" s="75" t="s">
        <v>2667</v>
      </c>
      <c r="D720" s="75" t="s">
        <v>3194</v>
      </c>
      <c r="E720" s="75" t="str">
        <f>VLOOKUP(B720&amp;C720,Divipola!$C$2:$F$1138,4,FALSE)</f>
        <v>76364</v>
      </c>
      <c r="F720" s="163"/>
      <c r="G720" s="163"/>
      <c r="H720" s="163"/>
      <c r="I720" s="163">
        <v>55</v>
      </c>
      <c r="J720" s="163">
        <v>11</v>
      </c>
      <c r="K720" s="163"/>
      <c r="L720" s="163">
        <v>11</v>
      </c>
      <c r="M720" s="163"/>
      <c r="N720" s="163"/>
      <c r="O720" s="163"/>
      <c r="P720" s="163"/>
      <c r="Q720" s="163"/>
      <c r="R720" s="163"/>
      <c r="S720" s="163"/>
      <c r="T720" s="163"/>
      <c r="U720" s="163"/>
      <c r="V720" s="134"/>
      <c r="W720" s="96">
        <v>0</v>
      </c>
      <c r="X720" s="71">
        <f>CU720</f>
        <v>0</v>
      </c>
      <c r="Y720" s="71">
        <f>CY720</f>
        <v>0</v>
      </c>
      <c r="Z720" s="71">
        <f>DA720+DC720+DE720</f>
        <v>39708620.079999998</v>
      </c>
      <c r="AA720" s="71">
        <f>CW720</f>
        <v>0</v>
      </c>
      <c r="AB720" s="71"/>
      <c r="AC720" s="71">
        <v>0</v>
      </c>
      <c r="AD720" s="71">
        <f>W720+X720+Y720+Z720+AA720+AB720+AC720</f>
        <v>39708620.079999998</v>
      </c>
      <c r="AE720" s="72">
        <v>0</v>
      </c>
      <c r="AF720" s="5"/>
      <c r="AG720" s="6"/>
      <c r="AH720" s="27" t="s">
        <v>3390</v>
      </c>
      <c r="AI720" s="44" t="s">
        <v>3391</v>
      </c>
      <c r="AJ720" s="26"/>
      <c r="AK720" s="5"/>
      <c r="AL720" s="82" t="s">
        <v>3458</v>
      </c>
      <c r="AM720" s="76"/>
      <c r="AN720" s="76"/>
      <c r="AO720" s="76"/>
      <c r="AP720" s="76"/>
      <c r="AQ720" s="76"/>
      <c r="AR720" s="76"/>
      <c r="AS720" s="76"/>
      <c r="AT720" s="76"/>
      <c r="AU720" s="76"/>
      <c r="AV720" s="76"/>
      <c r="AW720" s="76"/>
      <c r="AX720" s="76">
        <f>+AW720*600000</f>
        <v>0</v>
      </c>
      <c r="AY720" s="76"/>
      <c r="AZ720" s="76">
        <f>+AY720*70000</f>
        <v>0</v>
      </c>
      <c r="BA720" s="76"/>
      <c r="BB720" s="76"/>
      <c r="BC720" s="76"/>
      <c r="BD720" s="76">
        <f>+BC720*30000</f>
        <v>0</v>
      </c>
      <c r="BE720" s="76"/>
      <c r="BF720" s="76"/>
      <c r="BG720" s="76"/>
      <c r="BH720" s="76"/>
      <c r="BI720" s="76"/>
      <c r="BJ720" s="76"/>
      <c r="BK720" s="76"/>
      <c r="BL720" s="76">
        <f>+BK720*31500</f>
        <v>0</v>
      </c>
      <c r="BM720" s="76"/>
      <c r="BN720" s="76"/>
      <c r="BO720" s="76"/>
      <c r="BP720" s="76"/>
      <c r="BQ720" s="76"/>
      <c r="BR720" s="76"/>
      <c r="BS720" s="76"/>
      <c r="BT720" s="76"/>
      <c r="BU720" s="76"/>
      <c r="BV720" s="76"/>
      <c r="BW720" s="76"/>
      <c r="BX720" s="76"/>
      <c r="BY720" s="76"/>
      <c r="BZ720" s="76"/>
      <c r="CA720" s="76"/>
      <c r="CB720" s="76"/>
      <c r="CC720" s="76"/>
      <c r="CD720" s="76"/>
      <c r="CE720" s="76"/>
      <c r="CF720" s="76">
        <f>+CE720*28000</f>
        <v>0</v>
      </c>
      <c r="CG720" s="76"/>
      <c r="CH720" s="76">
        <f>+CG720*22500</f>
        <v>0</v>
      </c>
      <c r="CI720" s="76"/>
      <c r="CJ720" s="76">
        <f>+CI720*26000</f>
        <v>0</v>
      </c>
      <c r="CK720" s="76"/>
      <c r="CL720" s="76"/>
      <c r="CM720" s="76"/>
      <c r="CN720" s="76">
        <f>+CM720*22000</f>
        <v>0</v>
      </c>
      <c r="CO720" s="76"/>
      <c r="CP720" s="76">
        <f>+CO720*46000</f>
        <v>0</v>
      </c>
      <c r="CQ720" s="76"/>
      <c r="CR720" s="76">
        <f>+CQ720*49000</f>
        <v>0</v>
      </c>
      <c r="CS720" s="76"/>
      <c r="CT720" s="76"/>
      <c r="CU720" s="56">
        <f>AN720+AP720+AR720+AT720+AV720+AX720+AZ720+BB720+BD720+BF720+BH720+BJ720+BL720+BN720+BP720+BR720+BT720+BV720+BX720+BZ720+CB720+CD720+CF720+CH720+CJ720+CL720+CN720+CP720+CR720+CT720</f>
        <v>0</v>
      </c>
      <c r="CV720" s="76"/>
      <c r="CW720" s="76">
        <f>+CV720*1100</f>
        <v>0</v>
      </c>
      <c r="CX720" s="76"/>
      <c r="CY720" s="76">
        <f>+CX720*106250</f>
        <v>0</v>
      </c>
      <c r="CZ720" s="86">
        <v>165</v>
      </c>
      <c r="DA720" s="86">
        <f>+CZ720*29499.96</f>
        <v>4867493.3999999994</v>
      </c>
      <c r="DB720" s="86">
        <v>154</v>
      </c>
      <c r="DC720" s="86">
        <f>154*31999.76+1386*199.52</f>
        <v>5204497.76</v>
      </c>
      <c r="DD720" s="221" t="s">
        <v>3894</v>
      </c>
      <c r="DE720" s="223">
        <f>9820*2496+121*14999.96+154*21499.44</f>
        <v>29636628.920000002</v>
      </c>
      <c r="DF720" s="166"/>
      <c r="DG720" s="134" t="s">
        <v>6468</v>
      </c>
      <c r="DH720" s="117"/>
      <c r="DI720" s="24"/>
      <c r="DJ720" s="24"/>
      <c r="DK720" s="24"/>
      <c r="DL720" s="24"/>
      <c r="DM720" s="24"/>
      <c r="DN720" s="24"/>
      <c r="DO720" s="24"/>
      <c r="DP720" s="24"/>
      <c r="DQ720" s="24"/>
      <c r="DR720" s="24"/>
      <c r="DS720" s="24"/>
      <c r="DT720" s="24"/>
      <c r="DU720" s="24"/>
    </row>
    <row r="721" spans="1:125" s="8" customFormat="1" ht="84" x14ac:dyDescent="0.2">
      <c r="A721" s="77">
        <v>41314</v>
      </c>
      <c r="B721" s="78" t="s">
        <v>2851</v>
      </c>
      <c r="C721" s="75" t="s">
        <v>2160</v>
      </c>
      <c r="D721" s="75" t="s">
        <v>3194</v>
      </c>
      <c r="E721" s="75" t="str">
        <f>VLOOKUP(B721&amp;C721,Divipola!$C$2:$F$1138,4,FALSE)</f>
        <v>76400</v>
      </c>
      <c r="F721" s="163"/>
      <c r="G721" s="163"/>
      <c r="H721" s="163"/>
      <c r="I721" s="163">
        <v>50</v>
      </c>
      <c r="J721" s="163">
        <v>10</v>
      </c>
      <c r="K721" s="163"/>
      <c r="L721" s="163">
        <v>10</v>
      </c>
      <c r="M721" s="163"/>
      <c r="N721" s="163"/>
      <c r="O721" s="163"/>
      <c r="P721" s="163"/>
      <c r="Q721" s="163"/>
      <c r="R721" s="163"/>
      <c r="S721" s="163"/>
      <c r="T721" s="163"/>
      <c r="U721" s="163"/>
      <c r="V721" s="89"/>
      <c r="W721" s="96">
        <v>0</v>
      </c>
      <c r="X721" s="71">
        <f>CU721</f>
        <v>0</v>
      </c>
      <c r="Y721" s="71">
        <f>CY721</f>
        <v>0</v>
      </c>
      <c r="Z721" s="71">
        <f>DA721+DC721+DE721</f>
        <v>31915675.68</v>
      </c>
      <c r="AA721" s="71">
        <f>CW721</f>
        <v>0</v>
      </c>
      <c r="AB721" s="71"/>
      <c r="AC721" s="71">
        <v>0</v>
      </c>
      <c r="AD721" s="71">
        <f>W721+X721+Y721+Z721+AA721+AB721+AC721</f>
        <v>31915675.68</v>
      </c>
      <c r="AE721" s="72">
        <v>0</v>
      </c>
      <c r="AF721" s="5"/>
      <c r="AG721" s="6"/>
      <c r="AH721" s="27" t="s">
        <v>3390</v>
      </c>
      <c r="AI721" s="44" t="s">
        <v>3391</v>
      </c>
      <c r="AJ721" s="26"/>
      <c r="AK721" s="5"/>
      <c r="AL721" s="82" t="s">
        <v>3458</v>
      </c>
      <c r="AM721" s="76"/>
      <c r="AN721" s="76"/>
      <c r="AO721" s="76"/>
      <c r="AP721" s="76"/>
      <c r="AQ721" s="76"/>
      <c r="AR721" s="76"/>
      <c r="AS721" s="76"/>
      <c r="AT721" s="76"/>
      <c r="AU721" s="76"/>
      <c r="AV721" s="76"/>
      <c r="AW721" s="76"/>
      <c r="AX721" s="76">
        <f>+AW721*600000</f>
        <v>0</v>
      </c>
      <c r="AY721" s="76"/>
      <c r="AZ721" s="76">
        <f>+AY721*70000</f>
        <v>0</v>
      </c>
      <c r="BA721" s="76"/>
      <c r="BB721" s="76"/>
      <c r="BC721" s="76"/>
      <c r="BD721" s="76">
        <f>+BC721*30000</f>
        <v>0</v>
      </c>
      <c r="BE721" s="76"/>
      <c r="BF721" s="76"/>
      <c r="BG721" s="76"/>
      <c r="BH721" s="76"/>
      <c r="BI721" s="76"/>
      <c r="BJ721" s="76"/>
      <c r="BK721" s="76"/>
      <c r="BL721" s="76">
        <f>+BK721*31500</f>
        <v>0</v>
      </c>
      <c r="BM721" s="76"/>
      <c r="BN721" s="76"/>
      <c r="BO721" s="76"/>
      <c r="BP721" s="76"/>
      <c r="BQ721" s="76"/>
      <c r="BR721" s="76"/>
      <c r="BS721" s="76"/>
      <c r="BT721" s="76"/>
      <c r="BU721" s="76"/>
      <c r="BV721" s="76"/>
      <c r="BW721" s="76"/>
      <c r="BX721" s="76"/>
      <c r="BY721" s="76"/>
      <c r="BZ721" s="76"/>
      <c r="CA721" s="76"/>
      <c r="CB721" s="76"/>
      <c r="CC721" s="76"/>
      <c r="CD721" s="76"/>
      <c r="CE721" s="76"/>
      <c r="CF721" s="76">
        <f>+CE721*28000</f>
        <v>0</v>
      </c>
      <c r="CG721" s="76"/>
      <c r="CH721" s="76">
        <f>+CG721*22500</f>
        <v>0</v>
      </c>
      <c r="CI721" s="76"/>
      <c r="CJ721" s="76">
        <f>+CI721*26000</f>
        <v>0</v>
      </c>
      <c r="CK721" s="76"/>
      <c r="CL721" s="76"/>
      <c r="CM721" s="76"/>
      <c r="CN721" s="76">
        <f>+CM721*22000</f>
        <v>0</v>
      </c>
      <c r="CO721" s="76"/>
      <c r="CP721" s="76">
        <f>+CO721*46000</f>
        <v>0</v>
      </c>
      <c r="CQ721" s="76"/>
      <c r="CR721" s="76">
        <f>+CQ721*49000</f>
        <v>0</v>
      </c>
      <c r="CS721" s="76"/>
      <c r="CT721" s="76"/>
      <c r="CU721" s="56">
        <f>AN721+AP721+AR721+AT721+AV721+AX721+AZ721+BB721+BD721+BF721+BH721+BJ721+BL721+BN721+BP721+BR721+BT721+BV721+BX721+BZ721+CB721+CD721+CF721+CH721+CJ721+CL721+CN721+CP721+CR721+CT721</f>
        <v>0</v>
      </c>
      <c r="CV721" s="76"/>
      <c r="CW721" s="76">
        <f>+CV721*1100</f>
        <v>0</v>
      </c>
      <c r="CX721" s="76"/>
      <c r="CY721" s="76">
        <f>+CX721*106250</f>
        <v>0</v>
      </c>
      <c r="CZ721" s="86">
        <v>126</v>
      </c>
      <c r="DA721" s="86">
        <f>126*36499.4</f>
        <v>4598924.4000000004</v>
      </c>
      <c r="DB721" s="86">
        <v>53</v>
      </c>
      <c r="DC721" s="86">
        <f>53*31999.76+477*199.52</f>
        <v>1791158.32</v>
      </c>
      <c r="DD721" s="221" t="s">
        <v>3634</v>
      </c>
      <c r="DE721" s="223">
        <f>8216*1800+380*16999.8+182*23499.28</f>
        <v>25525592.960000001</v>
      </c>
      <c r="DF721" s="166"/>
      <c r="DG721" s="134" t="s">
        <v>4793</v>
      </c>
      <c r="DH721" s="117"/>
      <c r="DI721" s="24"/>
      <c r="DJ721" s="24"/>
      <c r="DK721" s="24"/>
      <c r="DL721" s="24"/>
      <c r="DM721" s="24"/>
      <c r="DN721" s="24"/>
      <c r="DO721" s="24"/>
      <c r="DP721" s="24"/>
      <c r="DQ721" s="24"/>
      <c r="DR721" s="24"/>
      <c r="DS721" s="24"/>
      <c r="DT721" s="24"/>
      <c r="DU721" s="24"/>
    </row>
    <row r="722" spans="1:125" s="8" customFormat="1" ht="96" x14ac:dyDescent="0.2">
      <c r="A722" s="77">
        <v>41314</v>
      </c>
      <c r="B722" s="78" t="s">
        <v>2851</v>
      </c>
      <c r="C722" s="75" t="s">
        <v>1703</v>
      </c>
      <c r="D722" s="75" t="s">
        <v>3194</v>
      </c>
      <c r="E722" s="75" t="str">
        <f>VLOOKUP(B722&amp;C722,Divipola!$C$2:$F$1138,4,FALSE)</f>
        <v>76403</v>
      </c>
      <c r="F722" s="163"/>
      <c r="G722" s="163"/>
      <c r="H722" s="163"/>
      <c r="I722" s="163">
        <v>145</v>
      </c>
      <c r="J722" s="163">
        <v>29</v>
      </c>
      <c r="K722" s="163"/>
      <c r="L722" s="163">
        <v>29</v>
      </c>
      <c r="M722" s="163"/>
      <c r="N722" s="163"/>
      <c r="O722" s="163"/>
      <c r="P722" s="163"/>
      <c r="Q722" s="163"/>
      <c r="R722" s="163"/>
      <c r="S722" s="163">
        <v>1</v>
      </c>
      <c r="T722" s="163"/>
      <c r="U722" s="163"/>
      <c r="V722" s="89">
        <v>2</v>
      </c>
      <c r="W722" s="96">
        <v>0</v>
      </c>
      <c r="X722" s="71">
        <f>CU722</f>
        <v>0</v>
      </c>
      <c r="Y722" s="71">
        <f>CY722</f>
        <v>0</v>
      </c>
      <c r="Z722" s="71">
        <f>DA722+DC722+DE722</f>
        <v>59940814.560000002</v>
      </c>
      <c r="AA722" s="71">
        <f>CW722</f>
        <v>0</v>
      </c>
      <c r="AB722" s="71"/>
      <c r="AC722" s="71">
        <v>0</v>
      </c>
      <c r="AD722" s="71">
        <f>W722+X722+Y722+Z722+AA722+AB722+AC722</f>
        <v>59940814.560000002</v>
      </c>
      <c r="AE722" s="72">
        <v>0</v>
      </c>
      <c r="AF722" s="5"/>
      <c r="AG722" s="6"/>
      <c r="AH722" s="27" t="s">
        <v>3390</v>
      </c>
      <c r="AI722" s="44" t="s">
        <v>3391</v>
      </c>
      <c r="AJ722" s="26"/>
      <c r="AK722" s="5"/>
      <c r="AL722" s="82" t="s">
        <v>3741</v>
      </c>
      <c r="AM722" s="76"/>
      <c r="AN722" s="76"/>
      <c r="AO722" s="76"/>
      <c r="AP722" s="76"/>
      <c r="AQ722" s="76"/>
      <c r="AR722" s="76"/>
      <c r="AS722" s="76"/>
      <c r="AT722" s="76"/>
      <c r="AU722" s="76"/>
      <c r="AV722" s="76"/>
      <c r="AW722" s="76"/>
      <c r="AX722" s="76">
        <f>+AW722*600000</f>
        <v>0</v>
      </c>
      <c r="AY722" s="76"/>
      <c r="AZ722" s="76">
        <f>+AY722*70000</f>
        <v>0</v>
      </c>
      <c r="BA722" s="76"/>
      <c r="BB722" s="76"/>
      <c r="BC722" s="76"/>
      <c r="BD722" s="76">
        <f>+BC722*30000</f>
        <v>0</v>
      </c>
      <c r="BE722" s="76"/>
      <c r="BF722" s="76"/>
      <c r="BG722" s="76"/>
      <c r="BH722" s="76"/>
      <c r="BI722" s="76"/>
      <c r="BJ722" s="76"/>
      <c r="BK722" s="76"/>
      <c r="BL722" s="76">
        <f>+BK722*31500</f>
        <v>0</v>
      </c>
      <c r="BM722" s="76"/>
      <c r="BN722" s="76"/>
      <c r="BO722" s="76"/>
      <c r="BP722" s="76"/>
      <c r="BQ722" s="76"/>
      <c r="BR722" s="76"/>
      <c r="BS722" s="76"/>
      <c r="BT722" s="76"/>
      <c r="BU722" s="76"/>
      <c r="BV722" s="76"/>
      <c r="BW722" s="76"/>
      <c r="BX722" s="76"/>
      <c r="BY722" s="76"/>
      <c r="BZ722" s="76"/>
      <c r="CA722" s="76"/>
      <c r="CB722" s="76"/>
      <c r="CC722" s="76"/>
      <c r="CD722" s="76"/>
      <c r="CE722" s="76"/>
      <c r="CF722" s="76">
        <f>+CE722*28000</f>
        <v>0</v>
      </c>
      <c r="CG722" s="76"/>
      <c r="CH722" s="76">
        <f>+CG722*22500</f>
        <v>0</v>
      </c>
      <c r="CI722" s="76"/>
      <c r="CJ722" s="76">
        <f>+CI722*26000</f>
        <v>0</v>
      </c>
      <c r="CK722" s="76"/>
      <c r="CL722" s="76"/>
      <c r="CM722" s="76"/>
      <c r="CN722" s="76">
        <f>+CM722*22000</f>
        <v>0</v>
      </c>
      <c r="CO722" s="76"/>
      <c r="CP722" s="76">
        <f>+CO722*46000</f>
        <v>0</v>
      </c>
      <c r="CQ722" s="76"/>
      <c r="CR722" s="76">
        <f>+CQ722*49000</f>
        <v>0</v>
      </c>
      <c r="CS722" s="76"/>
      <c r="CT722" s="76"/>
      <c r="CU722" s="56">
        <f>AN722+AP722+AR722+AT722+AV722+AX722+AZ722+BB722+BD722+BF722+BH722+BJ722+BL722+BN722+BP722+BR722+BT722+BV722+BX722+BZ722+CB722+CD722+CF722+CH722+CJ722+CL722+CN722+CP722+CR722+CT722</f>
        <v>0</v>
      </c>
      <c r="CV722" s="76"/>
      <c r="CW722" s="76">
        <f>+CV722*1100</f>
        <v>0</v>
      </c>
      <c r="CX722" s="76"/>
      <c r="CY722" s="76">
        <f>+CX722*106250</f>
        <v>0</v>
      </c>
      <c r="CZ722" s="86">
        <v>363</v>
      </c>
      <c r="DA722" s="86">
        <f>+CZ722*29499.96</f>
        <v>10708485.48</v>
      </c>
      <c r="DB722" s="76"/>
      <c r="DC722" s="76">
        <f>+DB722*25000</f>
        <v>0</v>
      </c>
      <c r="DD722" s="221" t="s">
        <v>3690</v>
      </c>
      <c r="DE722" s="223">
        <f>8446*1799.16+1455*14999.96+568*21499.44</f>
        <v>49232329.079999998</v>
      </c>
      <c r="DF722" s="166"/>
      <c r="DG722" s="134" t="s">
        <v>5060</v>
      </c>
      <c r="DH722" s="117"/>
      <c r="DI722" s="24"/>
      <c r="DJ722" s="24"/>
      <c r="DK722" s="24"/>
      <c r="DL722" s="24"/>
      <c r="DM722" s="24"/>
      <c r="DN722" s="24"/>
      <c r="DO722" s="24"/>
      <c r="DP722" s="24"/>
      <c r="DQ722" s="24"/>
      <c r="DR722" s="24"/>
      <c r="DS722" s="24"/>
      <c r="DT722" s="24"/>
      <c r="DU722" s="24"/>
    </row>
    <row r="723" spans="1:125" s="8" customFormat="1" ht="84" x14ac:dyDescent="0.2">
      <c r="A723" s="77">
        <v>41314</v>
      </c>
      <c r="B723" s="78" t="s">
        <v>2851</v>
      </c>
      <c r="C723" s="75" t="s">
        <v>2685</v>
      </c>
      <c r="D723" s="75" t="s">
        <v>3194</v>
      </c>
      <c r="E723" s="75" t="str">
        <f>VLOOKUP(B723&amp;C723,Divipola!$C$2:$F$1138,4,FALSE)</f>
        <v>76497</v>
      </c>
      <c r="F723" s="163"/>
      <c r="G723" s="163"/>
      <c r="H723" s="163"/>
      <c r="I723" s="163">
        <v>45</v>
      </c>
      <c r="J723" s="163">
        <v>9</v>
      </c>
      <c r="K723" s="163"/>
      <c r="L723" s="163">
        <v>9</v>
      </c>
      <c r="M723" s="163"/>
      <c r="N723" s="163"/>
      <c r="O723" s="163"/>
      <c r="P723" s="163"/>
      <c r="Q723" s="163"/>
      <c r="R723" s="163">
        <v>1</v>
      </c>
      <c r="S723" s="163"/>
      <c r="T723" s="163"/>
      <c r="U723" s="163"/>
      <c r="V723" s="89"/>
      <c r="W723" s="96">
        <v>0</v>
      </c>
      <c r="X723" s="71">
        <f>CU723</f>
        <v>0</v>
      </c>
      <c r="Y723" s="71">
        <f>CY723</f>
        <v>0</v>
      </c>
      <c r="Z723" s="71">
        <f>DA723+DC723+DE723</f>
        <v>11263857.440000001</v>
      </c>
      <c r="AA723" s="71">
        <f>CW723</f>
        <v>0</v>
      </c>
      <c r="AB723" s="71"/>
      <c r="AC723" s="71">
        <v>0</v>
      </c>
      <c r="AD723" s="71">
        <f>W723+X723+Y723+Z723+AA723+AB723+AC723</f>
        <v>11263857.440000001</v>
      </c>
      <c r="AE723" s="72">
        <v>0</v>
      </c>
      <c r="AF723" s="5"/>
      <c r="AG723" s="6"/>
      <c r="AH723" s="27" t="s">
        <v>3390</v>
      </c>
      <c r="AI723" s="44" t="s">
        <v>3391</v>
      </c>
      <c r="AJ723" s="26"/>
      <c r="AK723" s="5"/>
      <c r="AL723" s="82" t="s">
        <v>3458</v>
      </c>
      <c r="AM723" s="76"/>
      <c r="AN723" s="76"/>
      <c r="AO723" s="76"/>
      <c r="AP723" s="76"/>
      <c r="AQ723" s="76"/>
      <c r="AR723" s="76"/>
      <c r="AS723" s="76"/>
      <c r="AT723" s="76"/>
      <c r="AU723" s="76"/>
      <c r="AV723" s="76"/>
      <c r="AW723" s="76"/>
      <c r="AX723" s="76">
        <f>+AW723*600000</f>
        <v>0</v>
      </c>
      <c r="AY723" s="76"/>
      <c r="AZ723" s="76">
        <f>+AY723*70000</f>
        <v>0</v>
      </c>
      <c r="BA723" s="76"/>
      <c r="BB723" s="76"/>
      <c r="BC723" s="76"/>
      <c r="BD723" s="76">
        <f>+BC723*30000</f>
        <v>0</v>
      </c>
      <c r="BE723" s="76"/>
      <c r="BF723" s="76"/>
      <c r="BG723" s="76"/>
      <c r="BH723" s="76"/>
      <c r="BI723" s="76"/>
      <c r="BJ723" s="76"/>
      <c r="BK723" s="76"/>
      <c r="BL723" s="76">
        <f>+BK723*31500</f>
        <v>0</v>
      </c>
      <c r="BM723" s="76"/>
      <c r="BN723" s="76"/>
      <c r="BO723" s="76"/>
      <c r="BP723" s="76"/>
      <c r="BQ723" s="76"/>
      <c r="BR723" s="76"/>
      <c r="BS723" s="76"/>
      <c r="BT723" s="76"/>
      <c r="BU723" s="76"/>
      <c r="BV723" s="76"/>
      <c r="BW723" s="76"/>
      <c r="BX723" s="76"/>
      <c r="BY723" s="76"/>
      <c r="BZ723" s="76"/>
      <c r="CA723" s="76"/>
      <c r="CB723" s="76"/>
      <c r="CC723" s="76"/>
      <c r="CD723" s="76"/>
      <c r="CE723" s="76"/>
      <c r="CF723" s="76">
        <f>+CE723*28000</f>
        <v>0</v>
      </c>
      <c r="CG723" s="76"/>
      <c r="CH723" s="76">
        <f>+CG723*22500</f>
        <v>0</v>
      </c>
      <c r="CI723" s="76"/>
      <c r="CJ723" s="76">
        <f>+CI723*26000</f>
        <v>0</v>
      </c>
      <c r="CK723" s="76"/>
      <c r="CL723" s="76"/>
      <c r="CM723" s="76"/>
      <c r="CN723" s="76">
        <f>+CM723*22000</f>
        <v>0</v>
      </c>
      <c r="CO723" s="76"/>
      <c r="CP723" s="76">
        <f>+CO723*46000</f>
        <v>0</v>
      </c>
      <c r="CQ723" s="76"/>
      <c r="CR723" s="76">
        <f>+CQ723*49000</f>
        <v>0</v>
      </c>
      <c r="CS723" s="76"/>
      <c r="CT723" s="76"/>
      <c r="CU723" s="56">
        <f>AN723+AP723+AR723+AT723+AV723+AX723+AZ723+BB723+BD723+BF723+BH723+BJ723+BL723+BN723+BP723+BR723+BT723+BV723+BX723+BZ723+CB723+CD723+CF723+CH723+CJ723+CL723+CN723+CP723+CR723+CT723</f>
        <v>0</v>
      </c>
      <c r="CV723" s="76"/>
      <c r="CW723" s="76">
        <f>+CV723*1100</f>
        <v>0</v>
      </c>
      <c r="CX723" s="76"/>
      <c r="CY723" s="76">
        <f>+CX723*106250</f>
        <v>0</v>
      </c>
      <c r="CZ723" s="86">
        <v>56</v>
      </c>
      <c r="DA723" s="86">
        <f>56*36499.4</f>
        <v>2043966.4000000001</v>
      </c>
      <c r="DB723" s="86"/>
      <c r="DC723" s="86">
        <f>+DB723*25000</f>
        <v>0</v>
      </c>
      <c r="DD723" s="221" t="s">
        <v>3633</v>
      </c>
      <c r="DE723" s="223">
        <f>1820*1800+228*16999.8+88*23499.28</f>
        <v>9219891.040000001</v>
      </c>
      <c r="DF723" s="166"/>
      <c r="DG723" s="134" t="s">
        <v>4793</v>
      </c>
      <c r="DH723" s="117"/>
      <c r="DI723" s="24"/>
      <c r="DJ723" s="24"/>
      <c r="DK723" s="24"/>
      <c r="DL723" s="24"/>
      <c r="DM723" s="24"/>
      <c r="DN723" s="24"/>
      <c r="DO723" s="24"/>
      <c r="DP723" s="24"/>
      <c r="DQ723" s="24"/>
      <c r="DR723" s="24"/>
      <c r="DS723" s="24"/>
      <c r="DT723" s="24"/>
      <c r="DU723" s="24"/>
    </row>
    <row r="724" spans="1:125" s="8" customFormat="1" ht="96" x14ac:dyDescent="0.2">
      <c r="A724" s="77">
        <v>41314</v>
      </c>
      <c r="B724" s="78" t="s">
        <v>2851</v>
      </c>
      <c r="C724" s="75" t="s">
        <v>1959</v>
      </c>
      <c r="D724" s="75" t="s">
        <v>3194</v>
      </c>
      <c r="E724" s="75" t="str">
        <f>VLOOKUP(B724&amp;C724,Divipola!$C$2:$F$1138,4,FALSE)</f>
        <v>76616</v>
      </c>
      <c r="F724" s="163"/>
      <c r="G724" s="163"/>
      <c r="H724" s="163"/>
      <c r="I724" s="163">
        <v>55</v>
      </c>
      <c r="J724" s="163">
        <v>11</v>
      </c>
      <c r="K724" s="163"/>
      <c r="L724" s="163">
        <v>11</v>
      </c>
      <c r="M724" s="163"/>
      <c r="N724" s="163"/>
      <c r="O724" s="163"/>
      <c r="P724" s="163"/>
      <c r="Q724" s="163"/>
      <c r="R724" s="163"/>
      <c r="S724" s="163">
        <v>1</v>
      </c>
      <c r="T724" s="163"/>
      <c r="U724" s="163"/>
      <c r="V724" s="89">
        <v>1</v>
      </c>
      <c r="W724" s="96">
        <v>0</v>
      </c>
      <c r="X724" s="71">
        <f>CU724</f>
        <v>0</v>
      </c>
      <c r="Y724" s="71">
        <f>CY724</f>
        <v>0</v>
      </c>
      <c r="Z724" s="71">
        <f>DA724+DC724+DE724</f>
        <v>72425619.680000007</v>
      </c>
      <c r="AA724" s="71">
        <f>CW724</f>
        <v>0</v>
      </c>
      <c r="AB724" s="71"/>
      <c r="AC724" s="71">
        <v>0</v>
      </c>
      <c r="AD724" s="71">
        <f>W724+X724+Y724+Z724+AA724+AB724+AC724</f>
        <v>72425619.680000007</v>
      </c>
      <c r="AE724" s="72">
        <v>0</v>
      </c>
      <c r="AF724" s="5"/>
      <c r="AG724" s="6"/>
      <c r="AH724" s="27" t="s">
        <v>3390</v>
      </c>
      <c r="AI724" s="44" t="s">
        <v>3391</v>
      </c>
      <c r="AJ724" s="26"/>
      <c r="AK724" s="5"/>
      <c r="AL724" s="82" t="s">
        <v>3738</v>
      </c>
      <c r="AM724" s="76"/>
      <c r="AN724" s="76"/>
      <c r="AO724" s="76"/>
      <c r="AP724" s="76"/>
      <c r="AQ724" s="76"/>
      <c r="AR724" s="76"/>
      <c r="AS724" s="76"/>
      <c r="AT724" s="76"/>
      <c r="AU724" s="76"/>
      <c r="AV724" s="76"/>
      <c r="AW724" s="76"/>
      <c r="AX724" s="76">
        <f>+AW724*600000</f>
        <v>0</v>
      </c>
      <c r="AY724" s="76"/>
      <c r="AZ724" s="76">
        <f>+AY724*70000</f>
        <v>0</v>
      </c>
      <c r="BA724" s="76"/>
      <c r="BB724" s="76"/>
      <c r="BC724" s="76"/>
      <c r="BD724" s="76">
        <f>+BC724*30000</f>
        <v>0</v>
      </c>
      <c r="BE724" s="76"/>
      <c r="BF724" s="76"/>
      <c r="BG724" s="76"/>
      <c r="BH724" s="76"/>
      <c r="BI724" s="76"/>
      <c r="BJ724" s="76"/>
      <c r="BK724" s="76"/>
      <c r="BL724" s="76">
        <f>+BK724*31500</f>
        <v>0</v>
      </c>
      <c r="BM724" s="76"/>
      <c r="BN724" s="76"/>
      <c r="BO724" s="76"/>
      <c r="BP724" s="76"/>
      <c r="BQ724" s="76"/>
      <c r="BR724" s="76"/>
      <c r="BS724" s="76"/>
      <c r="BT724" s="76"/>
      <c r="BU724" s="76"/>
      <c r="BV724" s="76"/>
      <c r="BW724" s="76"/>
      <c r="BX724" s="76"/>
      <c r="BY724" s="76"/>
      <c r="BZ724" s="76"/>
      <c r="CA724" s="76"/>
      <c r="CB724" s="76"/>
      <c r="CC724" s="76"/>
      <c r="CD724" s="76"/>
      <c r="CE724" s="76"/>
      <c r="CF724" s="76">
        <f>+CE724*28000</f>
        <v>0</v>
      </c>
      <c r="CG724" s="76"/>
      <c r="CH724" s="76">
        <f>+CG724*22500</f>
        <v>0</v>
      </c>
      <c r="CI724" s="76"/>
      <c r="CJ724" s="76">
        <f>+CI724*26000</f>
        <v>0</v>
      </c>
      <c r="CK724" s="76"/>
      <c r="CL724" s="76"/>
      <c r="CM724" s="76"/>
      <c r="CN724" s="76">
        <f>+CM724*22000</f>
        <v>0</v>
      </c>
      <c r="CO724" s="76"/>
      <c r="CP724" s="76">
        <f>+CO724*46000</f>
        <v>0</v>
      </c>
      <c r="CQ724" s="76"/>
      <c r="CR724" s="76">
        <f>+CQ724*49000</f>
        <v>0</v>
      </c>
      <c r="CS724" s="76"/>
      <c r="CT724" s="76"/>
      <c r="CU724" s="56">
        <f>AN724+AP724+AR724+AT724+AV724+AX724+AZ724+BB724+BD724+BF724+BH724+BJ724+BL724+BN724+BP724+BR724+BT724+BV724+BX724+BZ724+CB724+CD724+CF724+CH724+CJ724+CL724+CN724+CP724+CR724+CT724</f>
        <v>0</v>
      </c>
      <c r="CV724" s="76"/>
      <c r="CW724" s="76">
        <f>+CV724*1100</f>
        <v>0</v>
      </c>
      <c r="CX724" s="76"/>
      <c r="CY724" s="76">
        <f>+CX724*106250</f>
        <v>0</v>
      </c>
      <c r="CZ724" s="86">
        <v>235</v>
      </c>
      <c r="DA724" s="86">
        <f>+CZ724*29499.96</f>
        <v>6932490.5999999996</v>
      </c>
      <c r="DB724" s="86">
        <f>75+4+7</f>
        <v>86</v>
      </c>
      <c r="DC724" s="86">
        <f>75*31999.76+675*199.52+4*48999.56+7*39799.6+249*448.92</f>
        <v>3121034.5200000005</v>
      </c>
      <c r="DD724" s="221" t="s">
        <v>3895</v>
      </c>
      <c r="DE724" s="223">
        <f>11560*2496+885*14999.96+293*27998.92+560*21499.44</f>
        <v>62372094.560000002</v>
      </c>
      <c r="DF724" s="166"/>
      <c r="DG724" s="134" t="s">
        <v>6468</v>
      </c>
      <c r="DH724" s="117"/>
      <c r="DI724" s="24"/>
      <c r="DJ724" s="24"/>
      <c r="DK724" s="24"/>
      <c r="DL724" s="24"/>
      <c r="DM724" s="24"/>
      <c r="DN724" s="24"/>
      <c r="DO724" s="24"/>
      <c r="DP724" s="24"/>
      <c r="DQ724" s="24"/>
      <c r="DR724" s="24"/>
      <c r="DS724" s="24"/>
      <c r="DT724" s="24"/>
      <c r="DU724" s="24"/>
    </row>
    <row r="725" spans="1:125" s="8" customFormat="1" ht="84" x14ac:dyDescent="0.2">
      <c r="A725" s="77">
        <v>41314</v>
      </c>
      <c r="B725" s="78" t="s">
        <v>2851</v>
      </c>
      <c r="C725" s="75" t="s">
        <v>1366</v>
      </c>
      <c r="D725" s="75" t="s">
        <v>3194</v>
      </c>
      <c r="E725" s="75" t="str">
        <f>VLOOKUP(B725&amp;C725,Divipola!$C$2:$F$1138,4,FALSE)</f>
        <v>76622</v>
      </c>
      <c r="F725" s="163"/>
      <c r="G725" s="163"/>
      <c r="H725" s="163"/>
      <c r="I725" s="163">
        <v>15</v>
      </c>
      <c r="J725" s="163">
        <v>3</v>
      </c>
      <c r="K725" s="163"/>
      <c r="L725" s="163">
        <v>3</v>
      </c>
      <c r="M725" s="163"/>
      <c r="N725" s="163"/>
      <c r="O725" s="163"/>
      <c r="P725" s="163"/>
      <c r="Q725" s="163"/>
      <c r="R725" s="163"/>
      <c r="S725" s="163"/>
      <c r="T725" s="163"/>
      <c r="U725" s="163"/>
      <c r="V725" s="134"/>
      <c r="W725" s="96">
        <v>0</v>
      </c>
      <c r="X725" s="71">
        <f>CU725</f>
        <v>0</v>
      </c>
      <c r="Y725" s="71">
        <f>CY725</f>
        <v>0</v>
      </c>
      <c r="Z725" s="71">
        <f>DA725+DC725+DE725</f>
        <v>0</v>
      </c>
      <c r="AA725" s="71">
        <f>CW725</f>
        <v>0</v>
      </c>
      <c r="AB725" s="71"/>
      <c r="AC725" s="71">
        <v>0</v>
      </c>
      <c r="AD725" s="71">
        <f>W725+X725+Y725+Z725+AA725+AB725+AC725</f>
        <v>0</v>
      </c>
      <c r="AE725" s="72">
        <v>0</v>
      </c>
      <c r="AF725" s="5"/>
      <c r="AG725" s="6"/>
      <c r="AH725" s="27" t="s">
        <v>3392</v>
      </c>
      <c r="AI725" s="44" t="s">
        <v>3393</v>
      </c>
      <c r="AJ725" s="26"/>
      <c r="AK725" s="5"/>
      <c r="AL725" s="82" t="s">
        <v>3458</v>
      </c>
      <c r="AM725" s="76"/>
      <c r="AN725" s="76"/>
      <c r="AO725" s="76"/>
      <c r="AP725" s="76"/>
      <c r="AQ725" s="76"/>
      <c r="AR725" s="76"/>
      <c r="AS725" s="76"/>
      <c r="AT725" s="76"/>
      <c r="AU725" s="76"/>
      <c r="AV725" s="76"/>
      <c r="AW725" s="76"/>
      <c r="AX725" s="76">
        <f>+AW725*600000</f>
        <v>0</v>
      </c>
      <c r="AY725" s="76"/>
      <c r="AZ725" s="76">
        <f>+AY725*70000</f>
        <v>0</v>
      </c>
      <c r="BA725" s="76"/>
      <c r="BB725" s="76"/>
      <c r="BC725" s="76"/>
      <c r="BD725" s="76">
        <f>+BC725*30000</f>
        <v>0</v>
      </c>
      <c r="BE725" s="76"/>
      <c r="BF725" s="76"/>
      <c r="BG725" s="76"/>
      <c r="BH725" s="76"/>
      <c r="BI725" s="76"/>
      <c r="BJ725" s="76"/>
      <c r="BK725" s="76"/>
      <c r="BL725" s="76">
        <f>+BK725*31500</f>
        <v>0</v>
      </c>
      <c r="BM725" s="76"/>
      <c r="BN725" s="76"/>
      <c r="BO725" s="76"/>
      <c r="BP725" s="76"/>
      <c r="BQ725" s="76"/>
      <c r="BR725" s="76"/>
      <c r="BS725" s="76"/>
      <c r="BT725" s="76"/>
      <c r="BU725" s="76"/>
      <c r="BV725" s="76"/>
      <c r="BW725" s="76"/>
      <c r="BX725" s="76"/>
      <c r="BY725" s="76"/>
      <c r="BZ725" s="76"/>
      <c r="CA725" s="76"/>
      <c r="CB725" s="76"/>
      <c r="CC725" s="76"/>
      <c r="CD725" s="76"/>
      <c r="CE725" s="76"/>
      <c r="CF725" s="76">
        <f>+CE725*28000</f>
        <v>0</v>
      </c>
      <c r="CG725" s="76"/>
      <c r="CH725" s="76">
        <f>+CG725*22500</f>
        <v>0</v>
      </c>
      <c r="CI725" s="76"/>
      <c r="CJ725" s="76">
        <f>+CI725*26000</f>
        <v>0</v>
      </c>
      <c r="CK725" s="76"/>
      <c r="CL725" s="76"/>
      <c r="CM725" s="76"/>
      <c r="CN725" s="76">
        <f>+CM725*22000</f>
        <v>0</v>
      </c>
      <c r="CO725" s="76"/>
      <c r="CP725" s="76">
        <f>+CO725*46000</f>
        <v>0</v>
      </c>
      <c r="CQ725" s="76"/>
      <c r="CR725" s="76">
        <f>+CQ725*49000</f>
        <v>0</v>
      </c>
      <c r="CS725" s="76"/>
      <c r="CT725" s="76"/>
      <c r="CU725" s="56">
        <f>AN725+AP725+AR725+AT725+AV725+AX725+AZ725+BB725+BD725+BF725+BH725+BJ725+BL725+BN725+BP725+BR725+BT725+BV725+BX725+BZ725+CB725+CD725+CF725+CH725+CJ725+CL725+CN725+CP725+CR725+CT725</f>
        <v>0</v>
      </c>
      <c r="CV725" s="76"/>
      <c r="CW725" s="76">
        <f>+CV725*1100</f>
        <v>0</v>
      </c>
      <c r="CX725" s="76"/>
      <c r="CY725" s="76">
        <f>+CX725*106250</f>
        <v>0</v>
      </c>
      <c r="CZ725" s="76"/>
      <c r="DA725" s="76">
        <f>+CZ725*34500</f>
        <v>0</v>
      </c>
      <c r="DB725" s="76"/>
      <c r="DC725" s="76">
        <f>+DB725*25000</f>
        <v>0</v>
      </c>
      <c r="DD725" s="219"/>
      <c r="DE725" s="219"/>
      <c r="DF725" s="166"/>
      <c r="DG725" s="116"/>
      <c r="DH725" s="117"/>
      <c r="DI725" s="24"/>
      <c r="DJ725" s="24"/>
      <c r="DK725" s="24"/>
      <c r="DL725" s="24"/>
      <c r="DM725" s="24"/>
      <c r="DN725" s="24"/>
      <c r="DO725" s="24"/>
      <c r="DP725" s="24"/>
      <c r="DQ725" s="24"/>
      <c r="DR725" s="24"/>
      <c r="DS725" s="24"/>
      <c r="DT725" s="24"/>
      <c r="DU725" s="24"/>
    </row>
    <row r="726" spans="1:125" s="8" customFormat="1" ht="84" x14ac:dyDescent="0.2">
      <c r="A726" s="77">
        <v>41314</v>
      </c>
      <c r="B726" s="78" t="s">
        <v>2851</v>
      </c>
      <c r="C726" s="75" t="s">
        <v>2159</v>
      </c>
      <c r="D726" s="75" t="s">
        <v>3194</v>
      </c>
      <c r="E726" s="75" t="str">
        <f>VLOOKUP(B726&amp;C726,Divipola!$C$2:$F$1138,4,FALSE)</f>
        <v>76670</v>
      </c>
      <c r="F726" s="163"/>
      <c r="G726" s="163"/>
      <c r="H726" s="163"/>
      <c r="I726" s="163">
        <v>30</v>
      </c>
      <c r="J726" s="163">
        <v>6</v>
      </c>
      <c r="K726" s="163"/>
      <c r="L726" s="163">
        <v>6</v>
      </c>
      <c r="M726" s="163"/>
      <c r="N726" s="163"/>
      <c r="O726" s="163"/>
      <c r="P726" s="163"/>
      <c r="Q726" s="163"/>
      <c r="R726" s="163"/>
      <c r="S726" s="163"/>
      <c r="T726" s="163"/>
      <c r="U726" s="163"/>
      <c r="V726" s="134"/>
      <c r="W726" s="96">
        <v>0</v>
      </c>
      <c r="X726" s="71">
        <f>CU726</f>
        <v>0</v>
      </c>
      <c r="Y726" s="71">
        <f>CY726</f>
        <v>0</v>
      </c>
      <c r="Z726" s="71">
        <f>DA726+DC726+DE726</f>
        <v>0</v>
      </c>
      <c r="AA726" s="71">
        <f>CW726</f>
        <v>0</v>
      </c>
      <c r="AB726" s="71"/>
      <c r="AC726" s="71">
        <v>0</v>
      </c>
      <c r="AD726" s="71">
        <f>W726+X726+Y726+Z726+AA726+AB726+AC726</f>
        <v>0</v>
      </c>
      <c r="AE726" s="72">
        <v>0</v>
      </c>
      <c r="AF726" s="5"/>
      <c r="AG726" s="6"/>
      <c r="AH726" s="27" t="s">
        <v>3392</v>
      </c>
      <c r="AI726" s="44" t="s">
        <v>3393</v>
      </c>
      <c r="AJ726" s="26"/>
      <c r="AK726" s="5"/>
      <c r="AL726" s="82" t="s">
        <v>3458</v>
      </c>
      <c r="AM726" s="76"/>
      <c r="AN726" s="76"/>
      <c r="AO726" s="76"/>
      <c r="AP726" s="76"/>
      <c r="AQ726" s="76"/>
      <c r="AR726" s="76"/>
      <c r="AS726" s="76"/>
      <c r="AT726" s="76"/>
      <c r="AU726" s="76"/>
      <c r="AV726" s="76"/>
      <c r="AW726" s="76"/>
      <c r="AX726" s="76">
        <f>+AW726*600000</f>
        <v>0</v>
      </c>
      <c r="AY726" s="76"/>
      <c r="AZ726" s="76">
        <f>+AY726*70000</f>
        <v>0</v>
      </c>
      <c r="BA726" s="76"/>
      <c r="BB726" s="76"/>
      <c r="BC726" s="76"/>
      <c r="BD726" s="76">
        <f>+BC726*30000</f>
        <v>0</v>
      </c>
      <c r="BE726" s="76"/>
      <c r="BF726" s="76"/>
      <c r="BG726" s="76"/>
      <c r="BH726" s="76"/>
      <c r="BI726" s="76"/>
      <c r="BJ726" s="76"/>
      <c r="BK726" s="76"/>
      <c r="BL726" s="76">
        <f>+BK726*31500</f>
        <v>0</v>
      </c>
      <c r="BM726" s="76"/>
      <c r="BN726" s="76"/>
      <c r="BO726" s="76"/>
      <c r="BP726" s="76"/>
      <c r="BQ726" s="76"/>
      <c r="BR726" s="76"/>
      <c r="BS726" s="76"/>
      <c r="BT726" s="76"/>
      <c r="BU726" s="76"/>
      <c r="BV726" s="76"/>
      <c r="BW726" s="76"/>
      <c r="BX726" s="76"/>
      <c r="BY726" s="76"/>
      <c r="BZ726" s="76"/>
      <c r="CA726" s="76"/>
      <c r="CB726" s="76"/>
      <c r="CC726" s="76"/>
      <c r="CD726" s="76"/>
      <c r="CE726" s="76"/>
      <c r="CF726" s="76">
        <f>+CE726*28000</f>
        <v>0</v>
      </c>
      <c r="CG726" s="76"/>
      <c r="CH726" s="76">
        <f>+CG726*22500</f>
        <v>0</v>
      </c>
      <c r="CI726" s="76"/>
      <c r="CJ726" s="76">
        <f>+CI726*26000</f>
        <v>0</v>
      </c>
      <c r="CK726" s="76"/>
      <c r="CL726" s="76"/>
      <c r="CM726" s="76"/>
      <c r="CN726" s="76">
        <f>+CM726*22000</f>
        <v>0</v>
      </c>
      <c r="CO726" s="76"/>
      <c r="CP726" s="76">
        <f>+CO726*46000</f>
        <v>0</v>
      </c>
      <c r="CQ726" s="76"/>
      <c r="CR726" s="76">
        <f>+CQ726*49000</f>
        <v>0</v>
      </c>
      <c r="CS726" s="76"/>
      <c r="CT726" s="76"/>
      <c r="CU726" s="56">
        <f>AN726+AP726+AR726+AT726+AV726+AX726+AZ726+BB726+BD726+BF726+BH726+BJ726+BL726+BN726+BP726+BR726+BT726+BV726+BX726+BZ726+CB726+CD726+CF726+CH726+CJ726+CL726+CN726+CP726+CR726+CT726</f>
        <v>0</v>
      </c>
      <c r="CV726" s="76"/>
      <c r="CW726" s="76">
        <f>+CV726*1100</f>
        <v>0</v>
      </c>
      <c r="CX726" s="76"/>
      <c r="CY726" s="76">
        <f>+CX726*106250</f>
        <v>0</v>
      </c>
      <c r="CZ726" s="76"/>
      <c r="DA726" s="76">
        <f>+CZ726*34500</f>
        <v>0</v>
      </c>
      <c r="DB726" s="76"/>
      <c r="DC726" s="76">
        <f>+DB726*25000</f>
        <v>0</v>
      </c>
      <c r="DD726" s="219"/>
      <c r="DE726" s="219"/>
      <c r="DF726" s="166"/>
      <c r="DG726" s="116"/>
      <c r="DH726" s="117"/>
      <c r="DI726" s="24"/>
      <c r="DJ726" s="24"/>
      <c r="DK726" s="24"/>
      <c r="DL726" s="24"/>
      <c r="DM726" s="24"/>
      <c r="DN726" s="24"/>
      <c r="DO726" s="24"/>
      <c r="DP726" s="24"/>
      <c r="DQ726" s="24"/>
      <c r="DR726" s="24"/>
      <c r="DS726" s="24"/>
      <c r="DT726" s="24"/>
      <c r="DU726" s="24"/>
    </row>
    <row r="727" spans="1:125" s="8" customFormat="1" ht="84" x14ac:dyDescent="0.2">
      <c r="A727" s="77">
        <v>41314</v>
      </c>
      <c r="B727" s="78" t="s">
        <v>2851</v>
      </c>
      <c r="C727" s="75" t="s">
        <v>2089</v>
      </c>
      <c r="D727" s="75" t="s">
        <v>3194</v>
      </c>
      <c r="E727" s="75" t="str">
        <f>VLOOKUP(B727&amp;C727,Divipola!$C$2:$F$1138,4,FALSE)</f>
        <v>76823</v>
      </c>
      <c r="F727" s="163"/>
      <c r="G727" s="163"/>
      <c r="H727" s="163"/>
      <c r="I727" s="163">
        <v>85</v>
      </c>
      <c r="J727" s="163">
        <v>17</v>
      </c>
      <c r="K727" s="163"/>
      <c r="L727" s="163">
        <v>17</v>
      </c>
      <c r="M727" s="163"/>
      <c r="N727" s="163"/>
      <c r="O727" s="163"/>
      <c r="P727" s="163"/>
      <c r="Q727" s="163"/>
      <c r="R727" s="163"/>
      <c r="S727" s="163"/>
      <c r="T727" s="163"/>
      <c r="U727" s="163"/>
      <c r="V727" s="89"/>
      <c r="W727" s="96">
        <v>0</v>
      </c>
      <c r="X727" s="71">
        <f>CU727</f>
        <v>0</v>
      </c>
      <c r="Y727" s="71">
        <f>CY727</f>
        <v>0</v>
      </c>
      <c r="Z727" s="71">
        <f>DA727+DC727+DE727</f>
        <v>38522409.879999995</v>
      </c>
      <c r="AA727" s="71">
        <f>CW727</f>
        <v>0</v>
      </c>
      <c r="AB727" s="71"/>
      <c r="AC727" s="71">
        <v>0</v>
      </c>
      <c r="AD727" s="71">
        <f>W727+X727+Y727+Z727+AA727+AB727+AC727</f>
        <v>38522409.879999995</v>
      </c>
      <c r="AE727" s="72">
        <v>0</v>
      </c>
      <c r="AF727" s="5"/>
      <c r="AG727" s="6"/>
      <c r="AH727" s="27" t="s">
        <v>3390</v>
      </c>
      <c r="AI727" s="44" t="s">
        <v>3391</v>
      </c>
      <c r="AJ727" s="26"/>
      <c r="AK727" s="5"/>
      <c r="AL727" s="82" t="s">
        <v>3458</v>
      </c>
      <c r="AM727" s="76"/>
      <c r="AN727" s="76"/>
      <c r="AO727" s="76"/>
      <c r="AP727" s="76"/>
      <c r="AQ727" s="76"/>
      <c r="AR727" s="76"/>
      <c r="AS727" s="76"/>
      <c r="AT727" s="76"/>
      <c r="AU727" s="76"/>
      <c r="AV727" s="76"/>
      <c r="AW727" s="76"/>
      <c r="AX727" s="76">
        <f>+AW727*600000</f>
        <v>0</v>
      </c>
      <c r="AY727" s="76"/>
      <c r="AZ727" s="76">
        <f>+AY727*70000</f>
        <v>0</v>
      </c>
      <c r="BA727" s="76"/>
      <c r="BB727" s="76"/>
      <c r="BC727" s="76"/>
      <c r="BD727" s="76">
        <f>+BC727*30000</f>
        <v>0</v>
      </c>
      <c r="BE727" s="76"/>
      <c r="BF727" s="76"/>
      <c r="BG727" s="76"/>
      <c r="BH727" s="76"/>
      <c r="BI727" s="76"/>
      <c r="BJ727" s="76"/>
      <c r="BK727" s="76"/>
      <c r="BL727" s="76">
        <f>+BK727*31500</f>
        <v>0</v>
      </c>
      <c r="BM727" s="76"/>
      <c r="BN727" s="76"/>
      <c r="BO727" s="76"/>
      <c r="BP727" s="76"/>
      <c r="BQ727" s="76"/>
      <c r="BR727" s="76"/>
      <c r="BS727" s="76"/>
      <c r="BT727" s="76"/>
      <c r="BU727" s="76"/>
      <c r="BV727" s="76"/>
      <c r="BW727" s="76"/>
      <c r="BX727" s="76"/>
      <c r="BY727" s="76"/>
      <c r="BZ727" s="76"/>
      <c r="CA727" s="76"/>
      <c r="CB727" s="76"/>
      <c r="CC727" s="76"/>
      <c r="CD727" s="76"/>
      <c r="CE727" s="76"/>
      <c r="CF727" s="76">
        <f>+CE727*28000</f>
        <v>0</v>
      </c>
      <c r="CG727" s="76"/>
      <c r="CH727" s="76">
        <f>+CG727*22500</f>
        <v>0</v>
      </c>
      <c r="CI727" s="76"/>
      <c r="CJ727" s="76">
        <f>+CI727*26000</f>
        <v>0</v>
      </c>
      <c r="CK727" s="76"/>
      <c r="CL727" s="76"/>
      <c r="CM727" s="76"/>
      <c r="CN727" s="76">
        <f>+CM727*22000</f>
        <v>0</v>
      </c>
      <c r="CO727" s="76"/>
      <c r="CP727" s="76">
        <f>+CO727*46000</f>
        <v>0</v>
      </c>
      <c r="CQ727" s="76"/>
      <c r="CR727" s="76">
        <f>+CQ727*49000</f>
        <v>0</v>
      </c>
      <c r="CS727" s="76"/>
      <c r="CT727" s="76"/>
      <c r="CU727" s="56">
        <f>AN727+AP727+AR727+AT727+AV727+AX727+AZ727+BB727+BD727+BF727+BH727+BJ727+BL727+BN727+BP727+BR727+BT727+BV727+BX727+BZ727+CB727+CD727+CF727+CH727+CJ727+CL727+CN727+CP727+CR727+CT727</f>
        <v>0</v>
      </c>
      <c r="CV727" s="76"/>
      <c r="CW727" s="76">
        <f>+CV727*1100</f>
        <v>0</v>
      </c>
      <c r="CX727" s="76"/>
      <c r="CY727" s="76">
        <f>+CX727*106250</f>
        <v>0</v>
      </c>
      <c r="CZ727" s="86">
        <v>165</v>
      </c>
      <c r="DA727" s="86">
        <f>165*36499.4</f>
        <v>6022401</v>
      </c>
      <c r="DB727" s="76"/>
      <c r="DC727" s="76">
        <f>+DB727*25000</f>
        <v>0</v>
      </c>
      <c r="DD727" s="221" t="s">
        <v>3632</v>
      </c>
      <c r="DE727" s="223">
        <f>9356*1800+588*16999.8+241*23499.28</f>
        <v>32500008.879999999</v>
      </c>
      <c r="DF727" s="166"/>
      <c r="DG727" s="134" t="s">
        <v>4793</v>
      </c>
      <c r="DH727" s="117"/>
      <c r="DI727" s="24"/>
      <c r="DJ727" s="24"/>
      <c r="DK727" s="24"/>
      <c r="DL727" s="24"/>
      <c r="DM727" s="24"/>
      <c r="DN727" s="24"/>
      <c r="DO727" s="24"/>
      <c r="DP727" s="24"/>
      <c r="DQ727" s="24"/>
      <c r="DR727" s="24"/>
      <c r="DS727" s="24"/>
      <c r="DT727" s="24"/>
      <c r="DU727" s="24"/>
    </row>
    <row r="728" spans="1:125" s="8" customFormat="1" ht="84" x14ac:dyDescent="0.2">
      <c r="A728" s="77">
        <v>41314</v>
      </c>
      <c r="B728" s="78" t="s">
        <v>2851</v>
      </c>
      <c r="C728" s="75" t="s">
        <v>2751</v>
      </c>
      <c r="D728" s="75" t="s">
        <v>3194</v>
      </c>
      <c r="E728" s="75" t="str">
        <f>VLOOKUP(B728&amp;C728,Divipola!$C$2:$F$1138,4,FALSE)</f>
        <v>76828</v>
      </c>
      <c r="F728" s="163"/>
      <c r="G728" s="163"/>
      <c r="H728" s="163"/>
      <c r="I728" s="163">
        <v>10</v>
      </c>
      <c r="J728" s="163">
        <v>2</v>
      </c>
      <c r="K728" s="163"/>
      <c r="L728" s="163">
        <v>2</v>
      </c>
      <c r="M728" s="163"/>
      <c r="N728" s="163"/>
      <c r="O728" s="163"/>
      <c r="P728" s="163"/>
      <c r="Q728" s="163"/>
      <c r="R728" s="163"/>
      <c r="S728" s="163"/>
      <c r="T728" s="163"/>
      <c r="U728" s="163"/>
      <c r="V728" s="134"/>
      <c r="W728" s="96">
        <v>0</v>
      </c>
      <c r="X728" s="71">
        <f>CU728</f>
        <v>0</v>
      </c>
      <c r="Y728" s="71">
        <f>CY728</f>
        <v>0</v>
      </c>
      <c r="Z728" s="71">
        <f>DA728+DC728+DE728</f>
        <v>0</v>
      </c>
      <c r="AA728" s="71">
        <f>CW728</f>
        <v>0</v>
      </c>
      <c r="AB728" s="71"/>
      <c r="AC728" s="71">
        <v>0</v>
      </c>
      <c r="AD728" s="71">
        <f>W728+X728+Y728+Z728+AA728+AB728+AC728</f>
        <v>0</v>
      </c>
      <c r="AE728" s="72">
        <v>0</v>
      </c>
      <c r="AF728" s="5"/>
      <c r="AG728" s="6"/>
      <c r="AH728" s="27" t="s">
        <v>3392</v>
      </c>
      <c r="AI728" s="44" t="s">
        <v>3393</v>
      </c>
      <c r="AJ728" s="26"/>
      <c r="AK728" s="5"/>
      <c r="AL728" s="82" t="s">
        <v>3458</v>
      </c>
      <c r="AM728" s="76"/>
      <c r="AN728" s="76"/>
      <c r="AO728" s="76"/>
      <c r="AP728" s="76"/>
      <c r="AQ728" s="76"/>
      <c r="AR728" s="76"/>
      <c r="AS728" s="76"/>
      <c r="AT728" s="76"/>
      <c r="AU728" s="76"/>
      <c r="AV728" s="76"/>
      <c r="AW728" s="76"/>
      <c r="AX728" s="76">
        <f>+AW728*600000</f>
        <v>0</v>
      </c>
      <c r="AY728" s="76"/>
      <c r="AZ728" s="76">
        <f>+AY728*70000</f>
        <v>0</v>
      </c>
      <c r="BA728" s="76"/>
      <c r="BB728" s="76"/>
      <c r="BC728" s="76"/>
      <c r="BD728" s="76">
        <f>+BC728*30000</f>
        <v>0</v>
      </c>
      <c r="BE728" s="76"/>
      <c r="BF728" s="76"/>
      <c r="BG728" s="76"/>
      <c r="BH728" s="76"/>
      <c r="BI728" s="76"/>
      <c r="BJ728" s="76"/>
      <c r="BK728" s="76"/>
      <c r="BL728" s="76">
        <f>+BK728*31500</f>
        <v>0</v>
      </c>
      <c r="BM728" s="76"/>
      <c r="BN728" s="76"/>
      <c r="BO728" s="76"/>
      <c r="BP728" s="76"/>
      <c r="BQ728" s="76"/>
      <c r="BR728" s="76"/>
      <c r="BS728" s="76"/>
      <c r="BT728" s="76"/>
      <c r="BU728" s="76"/>
      <c r="BV728" s="76"/>
      <c r="BW728" s="76"/>
      <c r="BX728" s="76"/>
      <c r="BY728" s="76"/>
      <c r="BZ728" s="76"/>
      <c r="CA728" s="76"/>
      <c r="CB728" s="76"/>
      <c r="CC728" s="76"/>
      <c r="CD728" s="76"/>
      <c r="CE728" s="76"/>
      <c r="CF728" s="76">
        <f>+CE728*28000</f>
        <v>0</v>
      </c>
      <c r="CG728" s="76"/>
      <c r="CH728" s="76">
        <f>+CG728*22500</f>
        <v>0</v>
      </c>
      <c r="CI728" s="76"/>
      <c r="CJ728" s="76">
        <f>+CI728*26000</f>
        <v>0</v>
      </c>
      <c r="CK728" s="76"/>
      <c r="CL728" s="76"/>
      <c r="CM728" s="76"/>
      <c r="CN728" s="76">
        <f>+CM728*22000</f>
        <v>0</v>
      </c>
      <c r="CO728" s="76"/>
      <c r="CP728" s="76">
        <f>+CO728*46000</f>
        <v>0</v>
      </c>
      <c r="CQ728" s="76"/>
      <c r="CR728" s="76">
        <f>+CQ728*49000</f>
        <v>0</v>
      </c>
      <c r="CS728" s="76"/>
      <c r="CT728" s="76"/>
      <c r="CU728" s="56">
        <f>AN728+AP728+AR728+AT728+AV728+AX728+AZ728+BB728+BD728+BF728+BH728+BJ728+BL728+BN728+BP728+BR728+BT728+BV728+BX728+BZ728+CB728+CD728+CF728+CH728+CJ728+CL728+CN728+CP728+CR728+CT728</f>
        <v>0</v>
      </c>
      <c r="CV728" s="76"/>
      <c r="CW728" s="76">
        <f>+CV728*1100</f>
        <v>0</v>
      </c>
      <c r="CX728" s="76"/>
      <c r="CY728" s="76">
        <f>+CX728*106250</f>
        <v>0</v>
      </c>
      <c r="CZ728" s="76"/>
      <c r="DA728" s="76">
        <f>+CZ728*34500</f>
        <v>0</v>
      </c>
      <c r="DB728" s="76"/>
      <c r="DC728" s="76">
        <f>+DB728*25000</f>
        <v>0</v>
      </c>
      <c r="DD728" s="219"/>
      <c r="DE728" s="219"/>
      <c r="DF728" s="166"/>
      <c r="DG728" s="116"/>
      <c r="DH728" s="117"/>
      <c r="DI728" s="24"/>
      <c r="DJ728" s="24"/>
      <c r="DK728" s="24"/>
      <c r="DL728" s="24"/>
      <c r="DM728" s="24"/>
      <c r="DN728" s="24"/>
      <c r="DO728" s="24"/>
      <c r="DP728" s="24"/>
      <c r="DQ728" s="24"/>
      <c r="DR728" s="24"/>
      <c r="DS728" s="24"/>
      <c r="DT728" s="24"/>
      <c r="DU728" s="24"/>
    </row>
    <row r="729" spans="1:125" s="8" customFormat="1" ht="96" x14ac:dyDescent="0.2">
      <c r="A729" s="77">
        <v>41314</v>
      </c>
      <c r="B729" s="78" t="s">
        <v>2851</v>
      </c>
      <c r="C729" s="75" t="s">
        <v>2201</v>
      </c>
      <c r="D729" s="75" t="s">
        <v>3194</v>
      </c>
      <c r="E729" s="75" t="str">
        <f>VLOOKUP(B729&amp;C729,Divipola!$C$2:$F$1138,4,FALSE)</f>
        <v>76863</v>
      </c>
      <c r="F729" s="163"/>
      <c r="G729" s="163"/>
      <c r="H729" s="163"/>
      <c r="I729" s="163">
        <v>115</v>
      </c>
      <c r="J729" s="163">
        <v>23</v>
      </c>
      <c r="K729" s="163"/>
      <c r="L729" s="163">
        <v>23</v>
      </c>
      <c r="M729" s="163"/>
      <c r="N729" s="163"/>
      <c r="O729" s="163"/>
      <c r="P729" s="163"/>
      <c r="Q729" s="163"/>
      <c r="R729" s="163"/>
      <c r="S729" s="163"/>
      <c r="T729" s="163"/>
      <c r="U729" s="163"/>
      <c r="V729" s="89">
        <v>1</v>
      </c>
      <c r="W729" s="96">
        <v>0</v>
      </c>
      <c r="X729" s="71">
        <f>CU729</f>
        <v>0</v>
      </c>
      <c r="Y729" s="71">
        <f>CY729</f>
        <v>0</v>
      </c>
      <c r="Z729" s="71">
        <f>DA729+DC729+DE729</f>
        <v>42917634.759999998</v>
      </c>
      <c r="AA729" s="71">
        <f>CW729</f>
        <v>0</v>
      </c>
      <c r="AB729" s="71"/>
      <c r="AC729" s="71">
        <v>0</v>
      </c>
      <c r="AD729" s="71">
        <f>W729+X729+Y729+Z729+AA729+AB729+AC729</f>
        <v>42917634.759999998</v>
      </c>
      <c r="AE729" s="72">
        <v>0</v>
      </c>
      <c r="AF729" s="5"/>
      <c r="AG729" s="6"/>
      <c r="AH729" s="27" t="s">
        <v>3390</v>
      </c>
      <c r="AI729" s="44" t="s">
        <v>3391</v>
      </c>
      <c r="AJ729" s="26"/>
      <c r="AK729" s="5"/>
      <c r="AL729" s="82" t="s">
        <v>3740</v>
      </c>
      <c r="AM729" s="76"/>
      <c r="AN729" s="76"/>
      <c r="AO729" s="76"/>
      <c r="AP729" s="76"/>
      <c r="AQ729" s="76"/>
      <c r="AR729" s="76"/>
      <c r="AS729" s="76"/>
      <c r="AT729" s="76"/>
      <c r="AU729" s="76"/>
      <c r="AV729" s="76"/>
      <c r="AW729" s="76"/>
      <c r="AX729" s="76">
        <f>+AW729*600000</f>
        <v>0</v>
      </c>
      <c r="AY729" s="76"/>
      <c r="AZ729" s="76">
        <f>+AY729*70000</f>
        <v>0</v>
      </c>
      <c r="BA729" s="76"/>
      <c r="BB729" s="76"/>
      <c r="BC729" s="76"/>
      <c r="BD729" s="76">
        <f>+BC729*30000</f>
        <v>0</v>
      </c>
      <c r="BE729" s="76"/>
      <c r="BF729" s="76"/>
      <c r="BG729" s="76"/>
      <c r="BH729" s="76"/>
      <c r="BI729" s="76"/>
      <c r="BJ729" s="76"/>
      <c r="BK729" s="76"/>
      <c r="BL729" s="76">
        <f>+BK729*31500</f>
        <v>0</v>
      </c>
      <c r="BM729" s="76"/>
      <c r="BN729" s="76"/>
      <c r="BO729" s="76"/>
      <c r="BP729" s="76"/>
      <c r="BQ729" s="76"/>
      <c r="BR729" s="76"/>
      <c r="BS729" s="76"/>
      <c r="BT729" s="76"/>
      <c r="BU729" s="76"/>
      <c r="BV729" s="76"/>
      <c r="BW729" s="76"/>
      <c r="BX729" s="76"/>
      <c r="BY729" s="76"/>
      <c r="BZ729" s="76"/>
      <c r="CA729" s="76"/>
      <c r="CB729" s="76"/>
      <c r="CC729" s="76"/>
      <c r="CD729" s="76"/>
      <c r="CE729" s="76"/>
      <c r="CF729" s="76">
        <f>+CE729*28000</f>
        <v>0</v>
      </c>
      <c r="CG729" s="76"/>
      <c r="CH729" s="76">
        <f>+CG729*22500</f>
        <v>0</v>
      </c>
      <c r="CI729" s="76"/>
      <c r="CJ729" s="76">
        <f>+CI729*26000</f>
        <v>0</v>
      </c>
      <c r="CK729" s="76"/>
      <c r="CL729" s="76"/>
      <c r="CM729" s="76"/>
      <c r="CN729" s="76">
        <f>+CM729*22000</f>
        <v>0</v>
      </c>
      <c r="CO729" s="76"/>
      <c r="CP729" s="76">
        <f>+CO729*46000</f>
        <v>0</v>
      </c>
      <c r="CQ729" s="76"/>
      <c r="CR729" s="76">
        <f>+CQ729*49000</f>
        <v>0</v>
      </c>
      <c r="CS729" s="76"/>
      <c r="CT729" s="76"/>
      <c r="CU729" s="56">
        <f>AN729+AP729+AR729+AT729+AV729+AX729+AZ729+BB729+BD729+BF729+BH729+BJ729+BL729+BN729+BP729+BR729+BT729+BV729+BX729+BZ729+CB729+CD729+CF729+CH729+CJ729+CL729+CN729+CP729+CR729+CT729</f>
        <v>0</v>
      </c>
      <c r="CV729" s="76"/>
      <c r="CW729" s="76">
        <f>+CV729*1100</f>
        <v>0</v>
      </c>
      <c r="CX729" s="76"/>
      <c r="CY729" s="76">
        <f>+CX729*106250</f>
        <v>0</v>
      </c>
      <c r="CZ729" s="86">
        <v>201</v>
      </c>
      <c r="DA729" s="86">
        <f>+CZ729*29499.96</f>
        <v>5929491.96</v>
      </c>
      <c r="DB729" s="76"/>
      <c r="DC729" s="76">
        <f>+DB729*25000</f>
        <v>0</v>
      </c>
      <c r="DD729" s="221" t="s">
        <v>3691</v>
      </c>
      <c r="DE729" s="223">
        <f>11749*1799.16+641*14999.96+290*21499.44</f>
        <v>36988142.799999997</v>
      </c>
      <c r="DF729" s="166"/>
      <c r="DG729" s="134" t="s">
        <v>5060</v>
      </c>
      <c r="DH729" s="117"/>
      <c r="DI729" s="24"/>
      <c r="DJ729" s="24"/>
      <c r="DK729" s="24"/>
      <c r="DL729" s="24"/>
      <c r="DM729" s="24"/>
      <c r="DN729" s="24"/>
      <c r="DO729" s="24"/>
      <c r="DP729" s="24"/>
      <c r="DQ729" s="24"/>
      <c r="DR729" s="24"/>
      <c r="DS729" s="24"/>
      <c r="DT729" s="24"/>
      <c r="DU729" s="24"/>
    </row>
    <row r="730" spans="1:125" s="8" customFormat="1" ht="84" x14ac:dyDescent="0.2">
      <c r="A730" s="77">
        <v>41314</v>
      </c>
      <c r="B730" s="78" t="s">
        <v>2851</v>
      </c>
      <c r="C730" s="75" t="s">
        <v>1974</v>
      </c>
      <c r="D730" s="75" t="s">
        <v>3194</v>
      </c>
      <c r="E730" s="75" t="str">
        <f>VLOOKUP(B730&amp;C730,Divipola!$C$2:$F$1138,4,FALSE)</f>
        <v>76869</v>
      </c>
      <c r="F730" s="163"/>
      <c r="G730" s="163"/>
      <c r="H730" s="163"/>
      <c r="I730" s="163">
        <v>200</v>
      </c>
      <c r="J730" s="163">
        <v>40</v>
      </c>
      <c r="K730" s="163"/>
      <c r="L730" s="163">
        <v>40</v>
      </c>
      <c r="M730" s="163"/>
      <c r="N730" s="163"/>
      <c r="O730" s="163"/>
      <c r="P730" s="163"/>
      <c r="Q730" s="163"/>
      <c r="R730" s="163"/>
      <c r="S730" s="163">
        <v>7</v>
      </c>
      <c r="T730" s="163"/>
      <c r="U730" s="163"/>
      <c r="V730" s="89"/>
      <c r="W730" s="96">
        <v>0</v>
      </c>
      <c r="X730" s="71">
        <f>CU730</f>
        <v>0</v>
      </c>
      <c r="Y730" s="71">
        <f>CY730</f>
        <v>0</v>
      </c>
      <c r="Z730" s="71">
        <f>DA730+DC730+DE730</f>
        <v>59770204.640000001</v>
      </c>
      <c r="AA730" s="71">
        <f>CW730</f>
        <v>0</v>
      </c>
      <c r="AB730" s="71"/>
      <c r="AC730" s="71">
        <v>0</v>
      </c>
      <c r="AD730" s="71">
        <f>W730+X730+Y730+Z730+AA730+AB730+AC730</f>
        <v>59770204.640000001</v>
      </c>
      <c r="AE730" s="72">
        <v>0</v>
      </c>
      <c r="AF730" s="5"/>
      <c r="AG730" s="6"/>
      <c r="AH730" s="27" t="s">
        <v>3390</v>
      </c>
      <c r="AI730" s="44" t="s">
        <v>3391</v>
      </c>
      <c r="AJ730" s="26"/>
      <c r="AK730" s="5"/>
      <c r="AL730" s="82" t="s">
        <v>3458</v>
      </c>
      <c r="AM730" s="76"/>
      <c r="AN730" s="76"/>
      <c r="AO730" s="76"/>
      <c r="AP730" s="76"/>
      <c r="AQ730" s="76"/>
      <c r="AR730" s="76"/>
      <c r="AS730" s="76"/>
      <c r="AT730" s="76"/>
      <c r="AU730" s="76"/>
      <c r="AV730" s="76"/>
      <c r="AW730" s="76"/>
      <c r="AX730" s="76">
        <f>+AW730*600000</f>
        <v>0</v>
      </c>
      <c r="AY730" s="76"/>
      <c r="AZ730" s="76">
        <f>+AY730*70000</f>
        <v>0</v>
      </c>
      <c r="BA730" s="76"/>
      <c r="BB730" s="76"/>
      <c r="BC730" s="76"/>
      <c r="BD730" s="76">
        <f>+BC730*30000</f>
        <v>0</v>
      </c>
      <c r="BE730" s="76"/>
      <c r="BF730" s="76"/>
      <c r="BG730" s="76"/>
      <c r="BH730" s="76"/>
      <c r="BI730" s="76"/>
      <c r="BJ730" s="76"/>
      <c r="BK730" s="76"/>
      <c r="BL730" s="76">
        <f>+BK730*31500</f>
        <v>0</v>
      </c>
      <c r="BM730" s="76"/>
      <c r="BN730" s="76"/>
      <c r="BO730" s="76"/>
      <c r="BP730" s="76"/>
      <c r="BQ730" s="76"/>
      <c r="BR730" s="76"/>
      <c r="BS730" s="76"/>
      <c r="BT730" s="76"/>
      <c r="BU730" s="76"/>
      <c r="BV730" s="76"/>
      <c r="BW730" s="76"/>
      <c r="BX730" s="76"/>
      <c r="BY730" s="76"/>
      <c r="BZ730" s="76"/>
      <c r="CA730" s="76"/>
      <c r="CB730" s="76"/>
      <c r="CC730" s="76"/>
      <c r="CD730" s="76"/>
      <c r="CE730" s="76"/>
      <c r="CF730" s="76">
        <f>+CE730*28000</f>
        <v>0</v>
      </c>
      <c r="CG730" s="76"/>
      <c r="CH730" s="76">
        <f>+CG730*22500</f>
        <v>0</v>
      </c>
      <c r="CI730" s="76"/>
      <c r="CJ730" s="76">
        <f>+CI730*26000</f>
        <v>0</v>
      </c>
      <c r="CK730" s="76"/>
      <c r="CL730" s="76"/>
      <c r="CM730" s="76"/>
      <c r="CN730" s="76">
        <f>+CM730*22000</f>
        <v>0</v>
      </c>
      <c r="CO730" s="76"/>
      <c r="CP730" s="76">
        <f>+CO730*46000</f>
        <v>0</v>
      </c>
      <c r="CQ730" s="76"/>
      <c r="CR730" s="76">
        <f>+CQ730*49000</f>
        <v>0</v>
      </c>
      <c r="CS730" s="76"/>
      <c r="CT730" s="76"/>
      <c r="CU730" s="56">
        <f>AN730+AP730+AR730+AT730+AV730+AX730+AZ730+BB730+BD730+BF730+BH730+BJ730+BL730+BN730+BP730+BR730+BT730+BV730+BX730+BZ730+CB730+CD730+CF730+CH730+CJ730+CL730+CN730+CP730+CR730+CT730</f>
        <v>0</v>
      </c>
      <c r="CV730" s="76"/>
      <c r="CW730" s="76">
        <f>+CV730*1100</f>
        <v>0</v>
      </c>
      <c r="CX730" s="76"/>
      <c r="CY730" s="76">
        <f>+CX730*106250</f>
        <v>0</v>
      </c>
      <c r="CZ730" s="86">
        <v>554</v>
      </c>
      <c r="DA730" s="86">
        <f>+CZ730*29499.96</f>
        <v>16342977.84</v>
      </c>
      <c r="DB730" s="86">
        <v>32</v>
      </c>
      <c r="DC730" s="86">
        <f>32*40999.04+224*448.92</f>
        <v>1412527.36</v>
      </c>
      <c r="DD730" s="221" t="s">
        <v>3896</v>
      </c>
      <c r="DE730" s="223">
        <f>2688*2496+1058*14999.96+904*21499.44</f>
        <v>42014699.439999998</v>
      </c>
      <c r="DF730" s="166"/>
      <c r="DG730" s="134" t="s">
        <v>6468</v>
      </c>
      <c r="DH730" s="117"/>
      <c r="DI730" s="24"/>
      <c r="DJ730" s="24"/>
      <c r="DK730" s="24"/>
      <c r="DL730" s="24"/>
      <c r="DM730" s="24"/>
      <c r="DN730" s="24"/>
      <c r="DO730" s="24"/>
      <c r="DP730" s="24"/>
      <c r="DQ730" s="24"/>
      <c r="DR730" s="24"/>
      <c r="DS730" s="24"/>
      <c r="DT730" s="24"/>
      <c r="DU730" s="24"/>
    </row>
    <row r="731" spans="1:125" s="8" customFormat="1" ht="48" x14ac:dyDescent="0.2">
      <c r="A731" s="77">
        <v>41315</v>
      </c>
      <c r="B731" s="78" t="s">
        <v>2778</v>
      </c>
      <c r="C731" s="75" t="s">
        <v>2212</v>
      </c>
      <c r="D731" s="81" t="s">
        <v>2846</v>
      </c>
      <c r="E731" s="75" t="str">
        <f>VLOOKUP(B731&amp;C731,Divipola!$C$2:$F$1138,4,FALSE)</f>
        <v>85250</v>
      </c>
      <c r="F731" s="87"/>
      <c r="G731" s="87"/>
      <c r="H731" s="87"/>
      <c r="I731" s="87"/>
      <c r="J731" s="87"/>
      <c r="K731" s="87"/>
      <c r="L731" s="87"/>
      <c r="M731" s="87"/>
      <c r="N731" s="87"/>
      <c r="O731" s="87"/>
      <c r="P731" s="87"/>
      <c r="Q731" s="87"/>
      <c r="R731" s="87"/>
      <c r="S731" s="87"/>
      <c r="T731" s="87"/>
      <c r="U731" s="88">
        <v>40</v>
      </c>
      <c r="V731" s="89"/>
      <c r="W731" s="96">
        <v>0</v>
      </c>
      <c r="X731" s="71">
        <f>CU731</f>
        <v>0</v>
      </c>
      <c r="Y731" s="71">
        <f>CY731</f>
        <v>0</v>
      </c>
      <c r="Z731" s="71">
        <f>DA731+DC731+DE731</f>
        <v>0</v>
      </c>
      <c r="AA731" s="71">
        <f>CW731</f>
        <v>0</v>
      </c>
      <c r="AB731" s="71"/>
      <c r="AC731" s="71">
        <v>0</v>
      </c>
      <c r="AD731" s="71">
        <f>W731+X731+Y731+Z731+AA731+AB731+AC731</f>
        <v>0</v>
      </c>
      <c r="AE731" s="72">
        <v>0</v>
      </c>
      <c r="AF731" s="5"/>
      <c r="AG731" s="6"/>
      <c r="AH731" s="27" t="s">
        <v>3392</v>
      </c>
      <c r="AI731" s="44" t="s">
        <v>3393</v>
      </c>
      <c r="AJ731" s="26"/>
      <c r="AK731" s="5"/>
      <c r="AL731" s="82" t="s">
        <v>3756</v>
      </c>
      <c r="AM731" s="76"/>
      <c r="AN731" s="76"/>
      <c r="AO731" s="76"/>
      <c r="AP731" s="76"/>
      <c r="AQ731" s="76"/>
      <c r="AR731" s="76"/>
      <c r="AS731" s="76"/>
      <c r="AT731" s="76"/>
      <c r="AU731" s="76"/>
      <c r="AV731" s="76"/>
      <c r="AW731" s="76"/>
      <c r="AX731" s="76">
        <f>+AW731*600000</f>
        <v>0</v>
      </c>
      <c r="AY731" s="76"/>
      <c r="AZ731" s="76">
        <f>+AY731*70000</f>
        <v>0</v>
      </c>
      <c r="BA731" s="76"/>
      <c r="BB731" s="76"/>
      <c r="BC731" s="76"/>
      <c r="BD731" s="76">
        <f>+BC731*30000</f>
        <v>0</v>
      </c>
      <c r="BE731" s="76"/>
      <c r="BF731" s="76"/>
      <c r="BG731" s="76"/>
      <c r="BH731" s="76"/>
      <c r="BI731" s="76"/>
      <c r="BJ731" s="76"/>
      <c r="BK731" s="76"/>
      <c r="BL731" s="76">
        <f>+BK731*31500</f>
        <v>0</v>
      </c>
      <c r="BM731" s="76"/>
      <c r="BN731" s="76"/>
      <c r="BO731" s="76"/>
      <c r="BP731" s="76"/>
      <c r="BQ731" s="76"/>
      <c r="BR731" s="76"/>
      <c r="BS731" s="76"/>
      <c r="BT731" s="76"/>
      <c r="BU731" s="76"/>
      <c r="BV731" s="76"/>
      <c r="BW731" s="76"/>
      <c r="BX731" s="76"/>
      <c r="BY731" s="76"/>
      <c r="BZ731" s="76"/>
      <c r="CA731" s="76"/>
      <c r="CB731" s="76"/>
      <c r="CC731" s="76"/>
      <c r="CD731" s="76"/>
      <c r="CE731" s="76"/>
      <c r="CF731" s="76">
        <f>+CE731*28000</f>
        <v>0</v>
      </c>
      <c r="CG731" s="76"/>
      <c r="CH731" s="76">
        <f>+CG731*22500</f>
        <v>0</v>
      </c>
      <c r="CI731" s="76"/>
      <c r="CJ731" s="76">
        <f>+CI731*26000</f>
        <v>0</v>
      </c>
      <c r="CK731" s="76"/>
      <c r="CL731" s="76"/>
      <c r="CM731" s="76"/>
      <c r="CN731" s="76">
        <f>+CM731*22000</f>
        <v>0</v>
      </c>
      <c r="CO731" s="76"/>
      <c r="CP731" s="76">
        <f>+CO731*46000</f>
        <v>0</v>
      </c>
      <c r="CQ731" s="76"/>
      <c r="CR731" s="76">
        <f>+CQ731*49000</f>
        <v>0</v>
      </c>
      <c r="CS731" s="76"/>
      <c r="CT731" s="76"/>
      <c r="CU731" s="56">
        <f>AN731+AP731+AR731+AT731+AV731+AX731+AZ731+BB731+BD731+BF731+BH731+BJ731+BL731+BN731+BP731+BR731+BT731+BV731+BX731+BZ731+CB731+CD731+CF731+CH731+CJ731+CL731+CN731+CP731+CR731+CT731</f>
        <v>0</v>
      </c>
      <c r="CV731" s="76"/>
      <c r="CW731" s="76">
        <f>+CV731*1100</f>
        <v>0</v>
      </c>
      <c r="CX731" s="76"/>
      <c r="CY731" s="76">
        <f>+CX731*106250</f>
        <v>0</v>
      </c>
      <c r="CZ731" s="76"/>
      <c r="DA731" s="76">
        <f>+CZ731*34500</f>
        <v>0</v>
      </c>
      <c r="DB731" s="76"/>
      <c r="DC731" s="76">
        <f>+DB731*25000</f>
        <v>0</v>
      </c>
      <c r="DD731" s="219"/>
      <c r="DE731" s="219"/>
      <c r="DF731" s="166"/>
      <c r="DG731" s="116"/>
      <c r="DH731" s="117"/>
      <c r="DI731" s="24"/>
      <c r="DJ731" s="24"/>
      <c r="DK731" s="24"/>
      <c r="DL731" s="24"/>
      <c r="DM731" s="24"/>
      <c r="DN731" s="24"/>
      <c r="DO731" s="24"/>
      <c r="DP731" s="24"/>
      <c r="DQ731" s="24"/>
      <c r="DR731" s="24"/>
      <c r="DS731" s="24"/>
      <c r="DT731" s="24"/>
      <c r="DU731" s="24"/>
    </row>
    <row r="732" spans="1:125" s="8" customFormat="1" ht="36" x14ac:dyDescent="0.2">
      <c r="A732" s="77">
        <v>41315</v>
      </c>
      <c r="B732" s="78" t="s">
        <v>2778</v>
      </c>
      <c r="C732" s="227" t="s">
        <v>2547</v>
      </c>
      <c r="D732" s="81" t="s">
        <v>2846</v>
      </c>
      <c r="E732" s="75" t="str">
        <f>VLOOKUP(B732&amp;C732,Divipola!$C$2:$F$1138,4,FALSE)</f>
        <v>85300</v>
      </c>
      <c r="F732" s="100"/>
      <c r="G732" s="100"/>
      <c r="H732" s="100"/>
      <c r="I732" s="100"/>
      <c r="J732" s="100"/>
      <c r="K732" s="100"/>
      <c r="L732" s="100"/>
      <c r="M732" s="100"/>
      <c r="N732" s="100"/>
      <c r="O732" s="100"/>
      <c r="P732" s="100"/>
      <c r="Q732" s="100"/>
      <c r="R732" s="100"/>
      <c r="S732" s="100"/>
      <c r="T732" s="100"/>
      <c r="U732" s="136">
        <v>34</v>
      </c>
      <c r="V732" s="89"/>
      <c r="W732" s="96">
        <v>0</v>
      </c>
      <c r="X732" s="71">
        <f>CU732</f>
        <v>0</v>
      </c>
      <c r="Y732" s="71">
        <f>CY732</f>
        <v>0</v>
      </c>
      <c r="Z732" s="71">
        <f>DA732+DC732+DE732</f>
        <v>0</v>
      </c>
      <c r="AA732" s="71">
        <f>CW732</f>
        <v>0</v>
      </c>
      <c r="AB732" s="71"/>
      <c r="AC732" s="71">
        <v>0</v>
      </c>
      <c r="AD732" s="71">
        <f>W732+X732+Y732+Z732+AA732+AB732+AC732</f>
        <v>0</v>
      </c>
      <c r="AE732" s="72">
        <v>0</v>
      </c>
      <c r="AF732" s="5"/>
      <c r="AG732" s="6"/>
      <c r="AH732" s="27" t="s">
        <v>3392</v>
      </c>
      <c r="AI732" s="44" t="s">
        <v>3393</v>
      </c>
      <c r="AJ732" s="26"/>
      <c r="AK732" s="5"/>
      <c r="AL732" s="82" t="s">
        <v>3801</v>
      </c>
      <c r="AM732" s="76"/>
      <c r="AN732" s="76"/>
      <c r="AO732" s="76"/>
      <c r="AP732" s="76"/>
      <c r="AQ732" s="76"/>
      <c r="AR732" s="76"/>
      <c r="AS732" s="76"/>
      <c r="AT732" s="76"/>
      <c r="AU732" s="76"/>
      <c r="AV732" s="76"/>
      <c r="AW732" s="76"/>
      <c r="AX732" s="76">
        <f>+AW732*600000</f>
        <v>0</v>
      </c>
      <c r="AY732" s="76"/>
      <c r="AZ732" s="76">
        <f>+AY732*70000</f>
        <v>0</v>
      </c>
      <c r="BA732" s="76"/>
      <c r="BB732" s="76"/>
      <c r="BC732" s="76"/>
      <c r="BD732" s="76">
        <f>+BC732*30000</f>
        <v>0</v>
      </c>
      <c r="BE732" s="76"/>
      <c r="BF732" s="76"/>
      <c r="BG732" s="76"/>
      <c r="BH732" s="76"/>
      <c r="BI732" s="76"/>
      <c r="BJ732" s="76"/>
      <c r="BK732" s="76"/>
      <c r="BL732" s="76">
        <f>+BK732*31500</f>
        <v>0</v>
      </c>
      <c r="BM732" s="76"/>
      <c r="BN732" s="76"/>
      <c r="BO732" s="76"/>
      <c r="BP732" s="76"/>
      <c r="BQ732" s="76"/>
      <c r="BR732" s="76"/>
      <c r="BS732" s="76"/>
      <c r="BT732" s="76"/>
      <c r="BU732" s="76"/>
      <c r="BV732" s="76"/>
      <c r="BW732" s="76"/>
      <c r="BX732" s="76"/>
      <c r="BY732" s="76"/>
      <c r="BZ732" s="76"/>
      <c r="CA732" s="76"/>
      <c r="CB732" s="76"/>
      <c r="CC732" s="76"/>
      <c r="CD732" s="76"/>
      <c r="CE732" s="76"/>
      <c r="CF732" s="76">
        <f>+CE732*28000</f>
        <v>0</v>
      </c>
      <c r="CG732" s="76"/>
      <c r="CH732" s="76">
        <f>+CG732*22500</f>
        <v>0</v>
      </c>
      <c r="CI732" s="76"/>
      <c r="CJ732" s="76">
        <f>+CI732*26000</f>
        <v>0</v>
      </c>
      <c r="CK732" s="76"/>
      <c r="CL732" s="76"/>
      <c r="CM732" s="76"/>
      <c r="CN732" s="76">
        <f>+CM732*22000</f>
        <v>0</v>
      </c>
      <c r="CO732" s="76"/>
      <c r="CP732" s="76">
        <f>+CO732*46000</f>
        <v>0</v>
      </c>
      <c r="CQ732" s="76"/>
      <c r="CR732" s="76">
        <f>+CQ732*49000</f>
        <v>0</v>
      </c>
      <c r="CS732" s="76"/>
      <c r="CT732" s="76"/>
      <c r="CU732" s="56">
        <f>AN732+AP732+AR732+AT732+AV732+AX732+AZ732+BB732+BD732+BF732+BH732+BJ732+BL732+BN732+BP732+BR732+BT732+BV732+BX732+BZ732+CB732+CD732+CF732+CH732+CJ732+CL732+CN732+CP732+CR732+CT732</f>
        <v>0</v>
      </c>
      <c r="CV732" s="76"/>
      <c r="CW732" s="76">
        <f>+CV732*1100</f>
        <v>0</v>
      </c>
      <c r="CX732" s="76"/>
      <c r="CY732" s="76">
        <f>+CX732*106250</f>
        <v>0</v>
      </c>
      <c r="CZ732" s="76"/>
      <c r="DA732" s="76">
        <f>+CZ732*34500</f>
        <v>0</v>
      </c>
      <c r="DB732" s="76"/>
      <c r="DC732" s="76">
        <f>+DB732*25000</f>
        <v>0</v>
      </c>
      <c r="DD732" s="219"/>
      <c r="DE732" s="219"/>
      <c r="DF732" s="166"/>
      <c r="DG732" s="116"/>
      <c r="DH732" s="117"/>
      <c r="DI732" s="24"/>
      <c r="DJ732" s="24"/>
      <c r="DK732" s="24"/>
      <c r="DL732" s="24"/>
      <c r="DM732" s="24"/>
      <c r="DN732" s="24"/>
      <c r="DO732" s="24"/>
      <c r="DP732" s="24"/>
      <c r="DQ732" s="24"/>
      <c r="DR732" s="24"/>
      <c r="DS732" s="24"/>
      <c r="DT732" s="24"/>
      <c r="DU732" s="24"/>
    </row>
    <row r="733" spans="1:125" s="8" customFormat="1" ht="48" x14ac:dyDescent="0.2">
      <c r="A733" s="77">
        <v>41315</v>
      </c>
      <c r="B733" s="78" t="s">
        <v>2778</v>
      </c>
      <c r="C733" s="75" t="s">
        <v>1271</v>
      </c>
      <c r="D733" s="81" t="s">
        <v>2846</v>
      </c>
      <c r="E733" s="75" t="str">
        <f>VLOOKUP(B733&amp;C733,Divipola!$C$2:$F$1138,4,FALSE)</f>
        <v>85410</v>
      </c>
      <c r="F733" s="87"/>
      <c r="G733" s="87"/>
      <c r="H733" s="87"/>
      <c r="I733" s="87"/>
      <c r="J733" s="87"/>
      <c r="K733" s="87"/>
      <c r="L733" s="87"/>
      <c r="M733" s="87"/>
      <c r="N733" s="87"/>
      <c r="O733" s="87"/>
      <c r="P733" s="87"/>
      <c r="Q733" s="87"/>
      <c r="R733" s="87"/>
      <c r="S733" s="87"/>
      <c r="T733" s="87"/>
      <c r="U733" s="88">
        <v>15</v>
      </c>
      <c r="V733" s="89"/>
      <c r="W733" s="96">
        <v>0</v>
      </c>
      <c r="X733" s="71">
        <f>CU733</f>
        <v>0</v>
      </c>
      <c r="Y733" s="71">
        <f>CY733</f>
        <v>0</v>
      </c>
      <c r="Z733" s="71">
        <f>DA733+DC733+DE733</f>
        <v>0</v>
      </c>
      <c r="AA733" s="71">
        <f>CW733</f>
        <v>0</v>
      </c>
      <c r="AB733" s="71"/>
      <c r="AC733" s="71">
        <v>0</v>
      </c>
      <c r="AD733" s="71">
        <f>W733+X733+Y733+Z733+AA733+AB733+AC733</f>
        <v>0</v>
      </c>
      <c r="AE733" s="72">
        <v>0</v>
      </c>
      <c r="AF733" s="5"/>
      <c r="AG733" s="6"/>
      <c r="AH733" s="27" t="s">
        <v>3392</v>
      </c>
      <c r="AI733" s="44" t="s">
        <v>3393</v>
      </c>
      <c r="AJ733" s="26"/>
      <c r="AK733" s="5"/>
      <c r="AL733" s="82" t="s">
        <v>3811</v>
      </c>
      <c r="AM733" s="76"/>
      <c r="AN733" s="76"/>
      <c r="AO733" s="76"/>
      <c r="AP733" s="76"/>
      <c r="AQ733" s="76"/>
      <c r="AR733" s="76"/>
      <c r="AS733" s="76"/>
      <c r="AT733" s="76"/>
      <c r="AU733" s="76"/>
      <c r="AV733" s="76"/>
      <c r="AW733" s="76"/>
      <c r="AX733" s="76">
        <f>+AW733*600000</f>
        <v>0</v>
      </c>
      <c r="AY733" s="76"/>
      <c r="AZ733" s="76">
        <f>+AY733*70000</f>
        <v>0</v>
      </c>
      <c r="BA733" s="76"/>
      <c r="BB733" s="76"/>
      <c r="BC733" s="76"/>
      <c r="BD733" s="76">
        <f>+BC733*30000</f>
        <v>0</v>
      </c>
      <c r="BE733" s="76"/>
      <c r="BF733" s="76"/>
      <c r="BG733" s="76"/>
      <c r="BH733" s="76"/>
      <c r="BI733" s="76"/>
      <c r="BJ733" s="76"/>
      <c r="BK733" s="76"/>
      <c r="BL733" s="76">
        <f>+BK733*31500</f>
        <v>0</v>
      </c>
      <c r="BM733" s="76"/>
      <c r="BN733" s="76"/>
      <c r="BO733" s="76"/>
      <c r="BP733" s="76"/>
      <c r="BQ733" s="76"/>
      <c r="BR733" s="76"/>
      <c r="BS733" s="76"/>
      <c r="BT733" s="76"/>
      <c r="BU733" s="76"/>
      <c r="BV733" s="76"/>
      <c r="BW733" s="76"/>
      <c r="BX733" s="76"/>
      <c r="BY733" s="76"/>
      <c r="BZ733" s="76"/>
      <c r="CA733" s="76"/>
      <c r="CB733" s="76"/>
      <c r="CC733" s="76"/>
      <c r="CD733" s="76"/>
      <c r="CE733" s="76"/>
      <c r="CF733" s="76">
        <f>+CE733*28000</f>
        <v>0</v>
      </c>
      <c r="CG733" s="76"/>
      <c r="CH733" s="76">
        <f>+CG733*22500</f>
        <v>0</v>
      </c>
      <c r="CI733" s="76"/>
      <c r="CJ733" s="76">
        <f>+CI733*26000</f>
        <v>0</v>
      </c>
      <c r="CK733" s="76"/>
      <c r="CL733" s="76"/>
      <c r="CM733" s="76"/>
      <c r="CN733" s="76">
        <f>+CM733*22000</f>
        <v>0</v>
      </c>
      <c r="CO733" s="76"/>
      <c r="CP733" s="76">
        <f>+CO733*46000</f>
        <v>0</v>
      </c>
      <c r="CQ733" s="76"/>
      <c r="CR733" s="76">
        <f>+CQ733*49000</f>
        <v>0</v>
      </c>
      <c r="CS733" s="76"/>
      <c r="CT733" s="76"/>
      <c r="CU733" s="56">
        <f>AN733+AP733+AR733+AT733+AV733+AX733+AZ733+BB733+BD733+BF733+BH733+BJ733+BL733+BN733+BP733+BR733+BT733+BV733+BX733+BZ733+CB733+CD733+CF733+CH733+CJ733+CL733+CN733+CP733+CR733+CT733</f>
        <v>0</v>
      </c>
      <c r="CV733" s="76"/>
      <c r="CW733" s="76">
        <f>+CV733*1100</f>
        <v>0</v>
      </c>
      <c r="CX733" s="76"/>
      <c r="CY733" s="76">
        <f>+CX733*106250</f>
        <v>0</v>
      </c>
      <c r="CZ733" s="76"/>
      <c r="DA733" s="76">
        <f>+CZ733*34500</f>
        <v>0</v>
      </c>
      <c r="DB733" s="76"/>
      <c r="DC733" s="76">
        <f>+DB733*25000</f>
        <v>0</v>
      </c>
      <c r="DD733" s="219"/>
      <c r="DE733" s="219"/>
      <c r="DF733" s="166"/>
      <c r="DG733" s="116"/>
      <c r="DH733" s="117"/>
      <c r="DI733" s="24"/>
      <c r="DJ733" s="24"/>
      <c r="DK733" s="24"/>
      <c r="DL733" s="24"/>
      <c r="DM733" s="24"/>
      <c r="DN733" s="24"/>
      <c r="DO733" s="24"/>
      <c r="DP733" s="24"/>
      <c r="DQ733" s="24"/>
      <c r="DR733" s="24"/>
      <c r="DS733" s="24"/>
      <c r="DT733" s="24"/>
      <c r="DU733" s="24"/>
    </row>
    <row r="734" spans="1:125" s="8" customFormat="1" ht="36" x14ac:dyDescent="0.2">
      <c r="A734" s="77">
        <v>41315</v>
      </c>
      <c r="B734" s="352" t="s">
        <v>2291</v>
      </c>
      <c r="C734" s="227" t="s">
        <v>2292</v>
      </c>
      <c r="D734" s="81" t="s">
        <v>2846</v>
      </c>
      <c r="E734" s="75" t="str">
        <f>VLOOKUP(B734&amp;C734,Divipola!$C$2:$F$1138,4,FALSE)</f>
        <v>94001</v>
      </c>
      <c r="F734" s="87"/>
      <c r="G734" s="87"/>
      <c r="H734" s="87"/>
      <c r="I734" s="87"/>
      <c r="J734" s="87"/>
      <c r="K734" s="87"/>
      <c r="L734" s="87"/>
      <c r="M734" s="87"/>
      <c r="N734" s="87"/>
      <c r="O734" s="87"/>
      <c r="P734" s="87"/>
      <c r="Q734" s="87"/>
      <c r="R734" s="87"/>
      <c r="S734" s="87"/>
      <c r="T734" s="87"/>
      <c r="U734" s="88">
        <v>2</v>
      </c>
      <c r="V734" s="89"/>
      <c r="W734" s="96">
        <v>0</v>
      </c>
      <c r="X734" s="71">
        <f>CU734</f>
        <v>0</v>
      </c>
      <c r="Y734" s="71">
        <f>CY734</f>
        <v>0</v>
      </c>
      <c r="Z734" s="71">
        <f>DA734+DC734+DE734</f>
        <v>0</v>
      </c>
      <c r="AA734" s="71">
        <f>CW734</f>
        <v>0</v>
      </c>
      <c r="AB734" s="71"/>
      <c r="AC734" s="71">
        <v>0</v>
      </c>
      <c r="AD734" s="71">
        <f>W734+X734+Y734+Z734+AA734+AB734+AC734</f>
        <v>0</v>
      </c>
      <c r="AE734" s="72">
        <v>0</v>
      </c>
      <c r="AF734" s="5"/>
      <c r="AG734" s="6"/>
      <c r="AH734" s="27" t="s">
        <v>3392</v>
      </c>
      <c r="AI734" s="44" t="s">
        <v>3393</v>
      </c>
      <c r="AJ734" s="26"/>
      <c r="AK734" s="5"/>
      <c r="AL734" s="82" t="s">
        <v>3459</v>
      </c>
      <c r="AM734" s="76"/>
      <c r="AN734" s="76"/>
      <c r="AO734" s="76"/>
      <c r="AP734" s="76"/>
      <c r="AQ734" s="76"/>
      <c r="AR734" s="76"/>
      <c r="AS734" s="76"/>
      <c r="AT734" s="76"/>
      <c r="AU734" s="76"/>
      <c r="AV734" s="76"/>
      <c r="AW734" s="76"/>
      <c r="AX734" s="76">
        <f>+AW734*600000</f>
        <v>0</v>
      </c>
      <c r="AY734" s="76"/>
      <c r="AZ734" s="76">
        <f>+AY734*70000</f>
        <v>0</v>
      </c>
      <c r="BA734" s="76"/>
      <c r="BB734" s="76"/>
      <c r="BC734" s="76"/>
      <c r="BD734" s="76">
        <f>+BC734*30000</f>
        <v>0</v>
      </c>
      <c r="BE734" s="76"/>
      <c r="BF734" s="76"/>
      <c r="BG734" s="76"/>
      <c r="BH734" s="76"/>
      <c r="BI734" s="76"/>
      <c r="BJ734" s="76"/>
      <c r="BK734" s="76"/>
      <c r="BL734" s="76">
        <f>+BK734*31500</f>
        <v>0</v>
      </c>
      <c r="BM734" s="76"/>
      <c r="BN734" s="76"/>
      <c r="BO734" s="76"/>
      <c r="BP734" s="76"/>
      <c r="BQ734" s="76"/>
      <c r="BR734" s="76"/>
      <c r="BS734" s="76"/>
      <c r="BT734" s="76"/>
      <c r="BU734" s="76"/>
      <c r="BV734" s="76"/>
      <c r="BW734" s="76"/>
      <c r="BX734" s="76"/>
      <c r="BY734" s="76"/>
      <c r="BZ734" s="76"/>
      <c r="CA734" s="76"/>
      <c r="CB734" s="76"/>
      <c r="CC734" s="76"/>
      <c r="CD734" s="76"/>
      <c r="CE734" s="76"/>
      <c r="CF734" s="76">
        <f>+CE734*28000</f>
        <v>0</v>
      </c>
      <c r="CG734" s="76"/>
      <c r="CH734" s="76">
        <f>+CG734*22500</f>
        <v>0</v>
      </c>
      <c r="CI734" s="76"/>
      <c r="CJ734" s="76">
        <f>+CI734*26000</f>
        <v>0</v>
      </c>
      <c r="CK734" s="76"/>
      <c r="CL734" s="76"/>
      <c r="CM734" s="76"/>
      <c r="CN734" s="76">
        <f>+CM734*22000</f>
        <v>0</v>
      </c>
      <c r="CO734" s="76"/>
      <c r="CP734" s="76">
        <f>+CO734*46000</f>
        <v>0</v>
      </c>
      <c r="CQ734" s="76"/>
      <c r="CR734" s="76">
        <f>+CQ734*49000</f>
        <v>0</v>
      </c>
      <c r="CS734" s="76"/>
      <c r="CT734" s="76"/>
      <c r="CU734" s="56">
        <f>AN734+AP734+AR734+AT734+AV734+AX734+AZ734+BB734+BD734+BF734+BH734+BJ734+BL734+BN734+BP734+BR734+BT734+BV734+BX734+BZ734+CB734+CD734+CF734+CH734+CJ734+CL734+CN734+CP734+CR734+CT734</f>
        <v>0</v>
      </c>
      <c r="CV734" s="76"/>
      <c r="CW734" s="76">
        <f>+CV734*1100</f>
        <v>0</v>
      </c>
      <c r="CX734" s="76"/>
      <c r="CY734" s="76">
        <f>+CX734*106250</f>
        <v>0</v>
      </c>
      <c r="CZ734" s="76"/>
      <c r="DA734" s="76">
        <f>+CZ734*34500</f>
        <v>0</v>
      </c>
      <c r="DB734" s="76"/>
      <c r="DC734" s="76">
        <f>+DB734*25000</f>
        <v>0</v>
      </c>
      <c r="DD734" s="219"/>
      <c r="DE734" s="219"/>
      <c r="DF734" s="166"/>
      <c r="DG734" s="116"/>
      <c r="DH734" s="117"/>
      <c r="DI734" s="24"/>
      <c r="DJ734" s="24"/>
      <c r="DK734" s="24"/>
      <c r="DL734" s="24"/>
      <c r="DM734" s="24"/>
      <c r="DN734" s="24"/>
      <c r="DO734" s="24"/>
      <c r="DP734" s="24"/>
      <c r="DQ734" s="24"/>
      <c r="DR734" s="24"/>
      <c r="DS734" s="24"/>
      <c r="DT734" s="24"/>
      <c r="DU734" s="24"/>
    </row>
    <row r="735" spans="1:125" s="8" customFormat="1" ht="72" x14ac:dyDescent="0.2">
      <c r="A735" s="77">
        <v>41315</v>
      </c>
      <c r="B735" s="78" t="s">
        <v>2860</v>
      </c>
      <c r="C735" s="75" t="s">
        <v>2691</v>
      </c>
      <c r="D735" s="75" t="s">
        <v>3051</v>
      </c>
      <c r="E735" s="75" t="str">
        <f>VLOOKUP(B735&amp;C735,Divipola!$C$2:$F$1138,4,FALSE)</f>
        <v>63690</v>
      </c>
      <c r="F735" s="87"/>
      <c r="G735" s="87"/>
      <c r="H735" s="87"/>
      <c r="I735" s="87">
        <v>80</v>
      </c>
      <c r="J735" s="87">
        <v>16</v>
      </c>
      <c r="K735" s="87"/>
      <c r="L735" s="87"/>
      <c r="M735" s="87">
        <v>1</v>
      </c>
      <c r="N735" s="87"/>
      <c r="O735" s="87"/>
      <c r="P735" s="87"/>
      <c r="Q735" s="87"/>
      <c r="R735" s="87"/>
      <c r="S735" s="87"/>
      <c r="T735" s="87"/>
      <c r="U735" s="88"/>
      <c r="V735" s="89"/>
      <c r="W735" s="96">
        <v>0</v>
      </c>
      <c r="X735" s="71">
        <f>CU735</f>
        <v>0</v>
      </c>
      <c r="Y735" s="71">
        <f>CY735</f>
        <v>0</v>
      </c>
      <c r="Z735" s="71">
        <f>DA735+DC735+DE735</f>
        <v>0</v>
      </c>
      <c r="AA735" s="71">
        <f>CW735</f>
        <v>0</v>
      </c>
      <c r="AB735" s="71"/>
      <c r="AC735" s="71">
        <v>0</v>
      </c>
      <c r="AD735" s="71">
        <f>W735+X735+Y735+Z735+AA735+AB735+AC735</f>
        <v>0</v>
      </c>
      <c r="AE735" s="72">
        <v>0</v>
      </c>
      <c r="AF735" s="5"/>
      <c r="AG735" s="6"/>
      <c r="AH735" s="27" t="s">
        <v>3390</v>
      </c>
      <c r="AI735" s="44" t="s">
        <v>3391</v>
      </c>
      <c r="AJ735" s="26"/>
      <c r="AK735" s="5" t="s">
        <v>3480</v>
      </c>
      <c r="AL735" s="82" t="s">
        <v>3462</v>
      </c>
      <c r="AM735" s="76"/>
      <c r="AN735" s="76"/>
      <c r="AO735" s="76"/>
      <c r="AP735" s="76"/>
      <c r="AQ735" s="76"/>
      <c r="AR735" s="76"/>
      <c r="AS735" s="76"/>
      <c r="AT735" s="76"/>
      <c r="AU735" s="76"/>
      <c r="AV735" s="76"/>
      <c r="AW735" s="76"/>
      <c r="AX735" s="76">
        <f>+AW735*600000</f>
        <v>0</v>
      </c>
      <c r="AY735" s="76"/>
      <c r="AZ735" s="76">
        <f>+AY735*70000</f>
        <v>0</v>
      </c>
      <c r="BA735" s="76"/>
      <c r="BB735" s="76"/>
      <c r="BC735" s="76"/>
      <c r="BD735" s="76">
        <f>+BC735*30000</f>
        <v>0</v>
      </c>
      <c r="BE735" s="76"/>
      <c r="BF735" s="76"/>
      <c r="BG735" s="76"/>
      <c r="BH735" s="76"/>
      <c r="BI735" s="76"/>
      <c r="BJ735" s="76"/>
      <c r="BK735" s="76"/>
      <c r="BL735" s="76">
        <f>+BK735*31500</f>
        <v>0</v>
      </c>
      <c r="BM735" s="76"/>
      <c r="BN735" s="76"/>
      <c r="BO735" s="76"/>
      <c r="BP735" s="76"/>
      <c r="BQ735" s="76"/>
      <c r="BR735" s="76"/>
      <c r="BS735" s="76"/>
      <c r="BT735" s="76"/>
      <c r="BU735" s="76"/>
      <c r="BV735" s="76"/>
      <c r="BW735" s="76"/>
      <c r="BX735" s="76"/>
      <c r="BY735" s="76"/>
      <c r="BZ735" s="76"/>
      <c r="CA735" s="76"/>
      <c r="CB735" s="76"/>
      <c r="CC735" s="76"/>
      <c r="CD735" s="76"/>
      <c r="CE735" s="76"/>
      <c r="CF735" s="76">
        <f>+CE735*28000</f>
        <v>0</v>
      </c>
      <c r="CG735" s="76"/>
      <c r="CH735" s="76">
        <f>+CG735*22500</f>
        <v>0</v>
      </c>
      <c r="CI735" s="76"/>
      <c r="CJ735" s="76">
        <f>+CI735*26000</f>
        <v>0</v>
      </c>
      <c r="CK735" s="76"/>
      <c r="CL735" s="76"/>
      <c r="CM735" s="76"/>
      <c r="CN735" s="76">
        <f>+CM735*22000</f>
        <v>0</v>
      </c>
      <c r="CO735" s="76"/>
      <c r="CP735" s="76">
        <f>+CO735*46000</f>
        <v>0</v>
      </c>
      <c r="CQ735" s="76"/>
      <c r="CR735" s="76">
        <f>+CQ735*49000</f>
        <v>0</v>
      </c>
      <c r="CS735" s="76"/>
      <c r="CT735" s="76"/>
      <c r="CU735" s="56">
        <f>AN735+AP735+AR735+AT735+AV735+AX735+AZ735+BB735+BD735+BF735+BH735+BJ735+BL735+BN735+BP735+BR735+BT735+BV735+BX735+BZ735+CB735+CD735+CF735+CH735+CJ735+CL735+CN735+CP735+CR735+CT735</f>
        <v>0</v>
      </c>
      <c r="CV735" s="76"/>
      <c r="CW735" s="76">
        <f>+CV735*1100</f>
        <v>0</v>
      </c>
      <c r="CX735" s="76"/>
      <c r="CY735" s="76">
        <f>+CX735*106250</f>
        <v>0</v>
      </c>
      <c r="CZ735" s="76"/>
      <c r="DA735" s="76">
        <f>+CZ735*34500</f>
        <v>0</v>
      </c>
      <c r="DB735" s="76"/>
      <c r="DC735" s="76">
        <f>+DB735*25000</f>
        <v>0</v>
      </c>
      <c r="DD735" s="219"/>
      <c r="DE735" s="219"/>
      <c r="DF735" s="166"/>
      <c r="DG735" s="116"/>
      <c r="DH735" s="117"/>
      <c r="DI735" s="24"/>
      <c r="DJ735" s="24"/>
      <c r="DK735" s="24"/>
      <c r="DL735" s="24"/>
      <c r="DM735" s="24"/>
      <c r="DN735" s="24"/>
      <c r="DO735" s="24"/>
      <c r="DP735" s="24"/>
      <c r="DQ735" s="24"/>
      <c r="DR735" s="24"/>
      <c r="DS735" s="24"/>
      <c r="DT735" s="24"/>
      <c r="DU735" s="24"/>
    </row>
    <row r="736" spans="1:125" s="8" customFormat="1" ht="84" x14ac:dyDescent="0.2">
      <c r="A736" s="77">
        <v>41316</v>
      </c>
      <c r="B736" s="78" t="s">
        <v>2777</v>
      </c>
      <c r="C736" s="75" t="s">
        <v>2783</v>
      </c>
      <c r="D736" s="81" t="s">
        <v>2846</v>
      </c>
      <c r="E736" s="75" t="str">
        <f>VLOOKUP(B736&amp;C736,Divipola!$C$2:$F$1138,4,FALSE)</f>
        <v>13001</v>
      </c>
      <c r="F736" s="87"/>
      <c r="G736" s="87"/>
      <c r="H736" s="87"/>
      <c r="I736" s="87"/>
      <c r="J736" s="87"/>
      <c r="K736" s="87"/>
      <c r="L736" s="87"/>
      <c r="M736" s="87"/>
      <c r="N736" s="87"/>
      <c r="O736" s="87"/>
      <c r="P736" s="87"/>
      <c r="Q736" s="87"/>
      <c r="R736" s="87"/>
      <c r="S736" s="87"/>
      <c r="T736" s="87"/>
      <c r="U736" s="88">
        <v>1</v>
      </c>
      <c r="V736" s="89"/>
      <c r="W736" s="96">
        <v>0</v>
      </c>
      <c r="X736" s="71">
        <f>CU736</f>
        <v>0</v>
      </c>
      <c r="Y736" s="71">
        <f>CY736</f>
        <v>0</v>
      </c>
      <c r="Z736" s="71">
        <f>DA736+DC736+DE736</f>
        <v>0</v>
      </c>
      <c r="AA736" s="71">
        <f>CW736</f>
        <v>0</v>
      </c>
      <c r="AB736" s="71"/>
      <c r="AC736" s="71">
        <v>0</v>
      </c>
      <c r="AD736" s="71">
        <f>W736+X736+Y736+Z736+AA736+AB736+AC736</f>
        <v>0</v>
      </c>
      <c r="AE736" s="72">
        <v>0</v>
      </c>
      <c r="AF736" s="5"/>
      <c r="AG736" s="6"/>
      <c r="AH736" s="27" t="s">
        <v>3392</v>
      </c>
      <c r="AI736" s="44" t="s">
        <v>3393</v>
      </c>
      <c r="AJ736" s="26"/>
      <c r="AK736" s="5"/>
      <c r="AL736" s="82" t="s">
        <v>3467</v>
      </c>
      <c r="AM736" s="76"/>
      <c r="AN736" s="76"/>
      <c r="AO736" s="76"/>
      <c r="AP736" s="76"/>
      <c r="AQ736" s="76"/>
      <c r="AR736" s="76"/>
      <c r="AS736" s="76"/>
      <c r="AT736" s="76"/>
      <c r="AU736" s="76"/>
      <c r="AV736" s="76"/>
      <c r="AW736" s="76"/>
      <c r="AX736" s="76">
        <f>+AW736*600000</f>
        <v>0</v>
      </c>
      <c r="AY736" s="76"/>
      <c r="AZ736" s="76">
        <f>+AY736*70000</f>
        <v>0</v>
      </c>
      <c r="BA736" s="76"/>
      <c r="BB736" s="76"/>
      <c r="BC736" s="76"/>
      <c r="BD736" s="76">
        <f>+BC736*30000</f>
        <v>0</v>
      </c>
      <c r="BE736" s="76"/>
      <c r="BF736" s="76"/>
      <c r="BG736" s="76"/>
      <c r="BH736" s="76"/>
      <c r="BI736" s="76"/>
      <c r="BJ736" s="76"/>
      <c r="BK736" s="76"/>
      <c r="BL736" s="76">
        <f>+BK736*31500</f>
        <v>0</v>
      </c>
      <c r="BM736" s="76"/>
      <c r="BN736" s="76"/>
      <c r="BO736" s="76"/>
      <c r="BP736" s="76"/>
      <c r="BQ736" s="76"/>
      <c r="BR736" s="76"/>
      <c r="BS736" s="76"/>
      <c r="BT736" s="76"/>
      <c r="BU736" s="76"/>
      <c r="BV736" s="76"/>
      <c r="BW736" s="76"/>
      <c r="BX736" s="76"/>
      <c r="BY736" s="76"/>
      <c r="BZ736" s="76"/>
      <c r="CA736" s="76"/>
      <c r="CB736" s="76"/>
      <c r="CC736" s="76"/>
      <c r="CD736" s="76"/>
      <c r="CE736" s="76"/>
      <c r="CF736" s="76">
        <f>+CE736*28000</f>
        <v>0</v>
      </c>
      <c r="CG736" s="76"/>
      <c r="CH736" s="76">
        <f>+CG736*22500</f>
        <v>0</v>
      </c>
      <c r="CI736" s="76"/>
      <c r="CJ736" s="76">
        <f>+CI736*26000</f>
        <v>0</v>
      </c>
      <c r="CK736" s="76"/>
      <c r="CL736" s="76"/>
      <c r="CM736" s="76"/>
      <c r="CN736" s="76">
        <f>+CM736*22000</f>
        <v>0</v>
      </c>
      <c r="CO736" s="76"/>
      <c r="CP736" s="76">
        <f>+CO736*46000</f>
        <v>0</v>
      </c>
      <c r="CQ736" s="76"/>
      <c r="CR736" s="76">
        <f>+CQ736*49000</f>
        <v>0</v>
      </c>
      <c r="CS736" s="76"/>
      <c r="CT736" s="76"/>
      <c r="CU736" s="56">
        <f>AN736+AP736+AR736+AT736+AV736+AX736+AZ736+BB736+BD736+BF736+BH736+BJ736+BL736+BN736+BP736+BR736+BT736+BV736+BX736+BZ736+CB736+CD736+CF736+CH736+CJ736+CL736+CN736+CP736+CR736+CT736</f>
        <v>0</v>
      </c>
      <c r="CV736" s="76"/>
      <c r="CW736" s="76">
        <f>+CV736*1100</f>
        <v>0</v>
      </c>
      <c r="CX736" s="76"/>
      <c r="CY736" s="76">
        <f>+CX736*106250</f>
        <v>0</v>
      </c>
      <c r="CZ736" s="76"/>
      <c r="DA736" s="76">
        <f>+CZ736*34500</f>
        <v>0</v>
      </c>
      <c r="DB736" s="76"/>
      <c r="DC736" s="76">
        <f>+DB736*25000</f>
        <v>0</v>
      </c>
      <c r="DD736" s="219"/>
      <c r="DE736" s="219"/>
      <c r="DF736" s="166"/>
      <c r="DG736" s="116"/>
      <c r="DH736" s="117"/>
      <c r="DI736" s="24"/>
      <c r="DJ736" s="24"/>
      <c r="DK736" s="24"/>
      <c r="DL736" s="24"/>
      <c r="DM736" s="24"/>
      <c r="DN736" s="24"/>
      <c r="DO736" s="24"/>
      <c r="DP736" s="24"/>
      <c r="DQ736" s="24"/>
      <c r="DR736" s="24"/>
      <c r="DS736" s="24"/>
      <c r="DT736" s="24"/>
      <c r="DU736" s="24"/>
    </row>
    <row r="737" spans="1:125" s="8" customFormat="1" ht="36" x14ac:dyDescent="0.2">
      <c r="A737" s="77">
        <v>41316</v>
      </c>
      <c r="B737" s="78" t="s">
        <v>2778</v>
      </c>
      <c r="C737" s="75" t="s">
        <v>1343</v>
      </c>
      <c r="D737" s="81" t="s">
        <v>2846</v>
      </c>
      <c r="E737" s="75" t="str">
        <f>VLOOKUP(B737&amp;C737,Divipola!$C$2:$F$1138,4,FALSE)</f>
        <v>85139</v>
      </c>
      <c r="F737" s="87"/>
      <c r="G737" s="87"/>
      <c r="H737" s="87"/>
      <c r="I737" s="87"/>
      <c r="J737" s="87"/>
      <c r="K737" s="87"/>
      <c r="L737" s="87"/>
      <c r="M737" s="87"/>
      <c r="N737" s="87"/>
      <c r="O737" s="87"/>
      <c r="P737" s="87"/>
      <c r="Q737" s="87"/>
      <c r="R737" s="87"/>
      <c r="S737" s="87"/>
      <c r="T737" s="87"/>
      <c r="U737" s="88">
        <v>50</v>
      </c>
      <c r="V737" s="89"/>
      <c r="W737" s="96">
        <v>0</v>
      </c>
      <c r="X737" s="71">
        <f>CU737</f>
        <v>0</v>
      </c>
      <c r="Y737" s="71">
        <f>CY737</f>
        <v>0</v>
      </c>
      <c r="Z737" s="71">
        <f>DA737+DC737+DE737</f>
        <v>0</v>
      </c>
      <c r="AA737" s="71">
        <f>CW737</f>
        <v>0</v>
      </c>
      <c r="AB737" s="71"/>
      <c r="AC737" s="71">
        <v>0</v>
      </c>
      <c r="AD737" s="71">
        <f>W737+X737+Y737+Z737+AA737+AB737+AC737</f>
        <v>0</v>
      </c>
      <c r="AE737" s="72">
        <v>0</v>
      </c>
      <c r="AF737" s="5"/>
      <c r="AG737" s="6"/>
      <c r="AH737" s="27" t="s">
        <v>3392</v>
      </c>
      <c r="AI737" s="44" t="s">
        <v>3393</v>
      </c>
      <c r="AJ737" s="26"/>
      <c r="AK737" s="5"/>
      <c r="AL737" s="82" t="s">
        <v>3681</v>
      </c>
      <c r="AM737" s="76"/>
      <c r="AN737" s="76"/>
      <c r="AO737" s="76"/>
      <c r="AP737" s="76"/>
      <c r="AQ737" s="76"/>
      <c r="AR737" s="76"/>
      <c r="AS737" s="76"/>
      <c r="AT737" s="76"/>
      <c r="AU737" s="76"/>
      <c r="AV737" s="76"/>
      <c r="AW737" s="76"/>
      <c r="AX737" s="76">
        <f>+AW737*600000</f>
        <v>0</v>
      </c>
      <c r="AY737" s="76"/>
      <c r="AZ737" s="76">
        <f>+AY737*70000</f>
        <v>0</v>
      </c>
      <c r="BA737" s="76"/>
      <c r="BB737" s="76"/>
      <c r="BC737" s="76"/>
      <c r="BD737" s="76">
        <f>+BC737*30000</f>
        <v>0</v>
      </c>
      <c r="BE737" s="76"/>
      <c r="BF737" s="76"/>
      <c r="BG737" s="76"/>
      <c r="BH737" s="76"/>
      <c r="BI737" s="76"/>
      <c r="BJ737" s="76"/>
      <c r="BK737" s="76"/>
      <c r="BL737" s="76">
        <f>+BK737*31500</f>
        <v>0</v>
      </c>
      <c r="BM737" s="76"/>
      <c r="BN737" s="76"/>
      <c r="BO737" s="76"/>
      <c r="BP737" s="76"/>
      <c r="BQ737" s="76"/>
      <c r="BR737" s="76"/>
      <c r="BS737" s="76"/>
      <c r="BT737" s="76"/>
      <c r="BU737" s="76"/>
      <c r="BV737" s="76"/>
      <c r="BW737" s="76"/>
      <c r="BX737" s="76"/>
      <c r="BY737" s="76"/>
      <c r="BZ737" s="76"/>
      <c r="CA737" s="76"/>
      <c r="CB737" s="76"/>
      <c r="CC737" s="76"/>
      <c r="CD737" s="76"/>
      <c r="CE737" s="76"/>
      <c r="CF737" s="76">
        <f>+CE737*28000</f>
        <v>0</v>
      </c>
      <c r="CG737" s="76"/>
      <c r="CH737" s="76">
        <f>+CG737*22500</f>
        <v>0</v>
      </c>
      <c r="CI737" s="76"/>
      <c r="CJ737" s="76">
        <f>+CI737*26000</f>
        <v>0</v>
      </c>
      <c r="CK737" s="76"/>
      <c r="CL737" s="76"/>
      <c r="CM737" s="76"/>
      <c r="CN737" s="76">
        <f>+CM737*22000</f>
        <v>0</v>
      </c>
      <c r="CO737" s="76"/>
      <c r="CP737" s="76">
        <f>+CO737*46000</f>
        <v>0</v>
      </c>
      <c r="CQ737" s="76"/>
      <c r="CR737" s="76">
        <f>+CQ737*49000</f>
        <v>0</v>
      </c>
      <c r="CS737" s="76"/>
      <c r="CT737" s="76"/>
      <c r="CU737" s="56">
        <f>AN737+AP737+AR737+AT737+AV737+AX737+AZ737+BB737+BD737+BF737+BH737+BJ737+BL737+BN737+BP737+BR737+BT737+BV737+BX737+BZ737+CB737+CD737+CF737+CH737+CJ737+CL737+CN737+CP737+CR737+CT737</f>
        <v>0</v>
      </c>
      <c r="CV737" s="76"/>
      <c r="CW737" s="76">
        <f>+CV737*1100</f>
        <v>0</v>
      </c>
      <c r="CX737" s="76"/>
      <c r="CY737" s="76">
        <f>+CX737*106250</f>
        <v>0</v>
      </c>
      <c r="CZ737" s="76"/>
      <c r="DA737" s="76">
        <f>+CZ737*34500</f>
        <v>0</v>
      </c>
      <c r="DB737" s="76"/>
      <c r="DC737" s="76">
        <f>+DB737*25000</f>
        <v>0</v>
      </c>
      <c r="DD737" s="219"/>
      <c r="DE737" s="219"/>
      <c r="DF737" s="166"/>
      <c r="DG737" s="116"/>
      <c r="DH737" s="117"/>
      <c r="DI737" s="24"/>
      <c r="DJ737" s="24"/>
      <c r="DK737" s="24"/>
      <c r="DL737" s="24"/>
      <c r="DM737" s="24"/>
      <c r="DN737" s="24"/>
      <c r="DO737" s="24"/>
      <c r="DP737" s="24"/>
      <c r="DQ737" s="24"/>
      <c r="DR737" s="24"/>
      <c r="DS737" s="24"/>
      <c r="DT737" s="24"/>
      <c r="DU737" s="24"/>
    </row>
    <row r="738" spans="1:125" s="8" customFormat="1" ht="48" x14ac:dyDescent="0.2">
      <c r="A738" s="77">
        <v>41316</v>
      </c>
      <c r="B738" s="78" t="s">
        <v>2778</v>
      </c>
      <c r="C738" s="75" t="s">
        <v>2212</v>
      </c>
      <c r="D738" s="81" t="s">
        <v>2846</v>
      </c>
      <c r="E738" s="75" t="str">
        <f>VLOOKUP(B738&amp;C738,Divipola!$C$2:$F$1138,4,FALSE)</f>
        <v>85250</v>
      </c>
      <c r="F738" s="87"/>
      <c r="G738" s="87"/>
      <c r="H738" s="87"/>
      <c r="I738" s="87"/>
      <c r="J738" s="87"/>
      <c r="K738" s="87"/>
      <c r="L738" s="87"/>
      <c r="M738" s="87"/>
      <c r="N738" s="87"/>
      <c r="O738" s="87"/>
      <c r="P738" s="87"/>
      <c r="Q738" s="87"/>
      <c r="R738" s="87"/>
      <c r="S738" s="87"/>
      <c r="T738" s="87"/>
      <c r="U738" s="88">
        <v>100</v>
      </c>
      <c r="V738" s="89"/>
      <c r="W738" s="96">
        <v>0</v>
      </c>
      <c r="X738" s="71">
        <f>CU738</f>
        <v>0</v>
      </c>
      <c r="Y738" s="71">
        <f>CY738</f>
        <v>0</v>
      </c>
      <c r="Z738" s="71">
        <f>DA738+DC738+DE738</f>
        <v>0</v>
      </c>
      <c r="AA738" s="71">
        <f>CW738</f>
        <v>0</v>
      </c>
      <c r="AB738" s="71"/>
      <c r="AC738" s="71">
        <v>0</v>
      </c>
      <c r="AD738" s="71">
        <f>W738+X738+Y738+Z738+AA738+AB738+AC738</f>
        <v>0</v>
      </c>
      <c r="AE738" s="72">
        <v>0</v>
      </c>
      <c r="AF738" s="5"/>
      <c r="AG738" s="6"/>
      <c r="AH738" s="27" t="s">
        <v>3392</v>
      </c>
      <c r="AI738" s="44" t="s">
        <v>3393</v>
      </c>
      <c r="AJ738" s="26"/>
      <c r="AK738" s="5"/>
      <c r="AL738" s="82" t="s">
        <v>3755</v>
      </c>
      <c r="AM738" s="76"/>
      <c r="AN738" s="76"/>
      <c r="AO738" s="76"/>
      <c r="AP738" s="76"/>
      <c r="AQ738" s="76"/>
      <c r="AR738" s="76"/>
      <c r="AS738" s="76"/>
      <c r="AT738" s="76"/>
      <c r="AU738" s="76"/>
      <c r="AV738" s="76"/>
      <c r="AW738" s="76"/>
      <c r="AX738" s="76">
        <f>+AW738*600000</f>
        <v>0</v>
      </c>
      <c r="AY738" s="76"/>
      <c r="AZ738" s="76">
        <f>+AY738*70000</f>
        <v>0</v>
      </c>
      <c r="BA738" s="76"/>
      <c r="BB738" s="76"/>
      <c r="BC738" s="76"/>
      <c r="BD738" s="76">
        <f>+BC738*30000</f>
        <v>0</v>
      </c>
      <c r="BE738" s="76"/>
      <c r="BF738" s="76"/>
      <c r="BG738" s="76"/>
      <c r="BH738" s="76"/>
      <c r="BI738" s="76"/>
      <c r="BJ738" s="76"/>
      <c r="BK738" s="76"/>
      <c r="BL738" s="76">
        <f>+BK738*31500</f>
        <v>0</v>
      </c>
      <c r="BM738" s="76"/>
      <c r="BN738" s="76"/>
      <c r="BO738" s="76"/>
      <c r="BP738" s="76"/>
      <c r="BQ738" s="76"/>
      <c r="BR738" s="76"/>
      <c r="BS738" s="76"/>
      <c r="BT738" s="76"/>
      <c r="BU738" s="76"/>
      <c r="BV738" s="76"/>
      <c r="BW738" s="76"/>
      <c r="BX738" s="76"/>
      <c r="BY738" s="76"/>
      <c r="BZ738" s="76"/>
      <c r="CA738" s="76"/>
      <c r="CB738" s="76"/>
      <c r="CC738" s="76"/>
      <c r="CD738" s="76"/>
      <c r="CE738" s="76"/>
      <c r="CF738" s="76">
        <f>+CE738*28000</f>
        <v>0</v>
      </c>
      <c r="CG738" s="76"/>
      <c r="CH738" s="76">
        <f>+CG738*22500</f>
        <v>0</v>
      </c>
      <c r="CI738" s="76"/>
      <c r="CJ738" s="76">
        <f>+CI738*26000</f>
        <v>0</v>
      </c>
      <c r="CK738" s="76"/>
      <c r="CL738" s="76"/>
      <c r="CM738" s="76"/>
      <c r="CN738" s="76">
        <f>+CM738*22000</f>
        <v>0</v>
      </c>
      <c r="CO738" s="76"/>
      <c r="CP738" s="76">
        <f>+CO738*46000</f>
        <v>0</v>
      </c>
      <c r="CQ738" s="76"/>
      <c r="CR738" s="76">
        <f>+CQ738*49000</f>
        <v>0</v>
      </c>
      <c r="CS738" s="76"/>
      <c r="CT738" s="76"/>
      <c r="CU738" s="56">
        <f>AN738+AP738+AR738+AT738+AV738+AX738+AZ738+BB738+BD738+BF738+BH738+BJ738+BL738+BN738+BP738+BR738+BT738+BV738+BX738+BZ738+CB738+CD738+CF738+CH738+CJ738+CL738+CN738+CP738+CR738+CT738</f>
        <v>0</v>
      </c>
      <c r="CV738" s="76"/>
      <c r="CW738" s="76">
        <f>+CV738*1100</f>
        <v>0</v>
      </c>
      <c r="CX738" s="76"/>
      <c r="CY738" s="76">
        <f>+CX738*106250</f>
        <v>0</v>
      </c>
      <c r="CZ738" s="76"/>
      <c r="DA738" s="76">
        <f>+CZ738*34500</f>
        <v>0</v>
      </c>
      <c r="DB738" s="76"/>
      <c r="DC738" s="76">
        <f>+DB738*25000</f>
        <v>0</v>
      </c>
      <c r="DD738" s="219"/>
      <c r="DE738" s="219"/>
      <c r="DF738" s="166"/>
      <c r="DG738" s="116"/>
      <c r="DH738" s="117"/>
      <c r="DI738" s="24"/>
      <c r="DJ738" s="24"/>
      <c r="DK738" s="24"/>
      <c r="DL738" s="24"/>
      <c r="DM738" s="24"/>
      <c r="DN738" s="24"/>
      <c r="DO738" s="24"/>
      <c r="DP738" s="24"/>
      <c r="DQ738" s="24"/>
      <c r="DR738" s="24"/>
      <c r="DS738" s="24"/>
      <c r="DT738" s="24"/>
      <c r="DU738" s="24"/>
    </row>
    <row r="739" spans="1:125" s="8" customFormat="1" ht="48" x14ac:dyDescent="0.2">
      <c r="A739" s="77">
        <v>41316</v>
      </c>
      <c r="B739" s="78" t="s">
        <v>2778</v>
      </c>
      <c r="C739" s="75" t="s">
        <v>1267</v>
      </c>
      <c r="D739" s="81" t="s">
        <v>2846</v>
      </c>
      <c r="E739" s="75" t="str">
        <f>VLOOKUP(B739&amp;C739,Divipola!$C$2:$F$1138,4,FALSE)</f>
        <v>85315</v>
      </c>
      <c r="F739" s="87"/>
      <c r="G739" s="87"/>
      <c r="H739" s="87"/>
      <c r="I739" s="87"/>
      <c r="J739" s="87"/>
      <c r="K739" s="87"/>
      <c r="L739" s="87"/>
      <c r="M739" s="87"/>
      <c r="N739" s="87"/>
      <c r="O739" s="87"/>
      <c r="P739" s="87"/>
      <c r="Q739" s="87"/>
      <c r="R739" s="87"/>
      <c r="S739" s="87"/>
      <c r="T739" s="87"/>
      <c r="U739" s="88">
        <v>35</v>
      </c>
      <c r="V739" s="89"/>
      <c r="W739" s="96">
        <v>0</v>
      </c>
      <c r="X739" s="71">
        <f>CU739</f>
        <v>0</v>
      </c>
      <c r="Y739" s="71">
        <f>CY739</f>
        <v>0</v>
      </c>
      <c r="Z739" s="71">
        <f>DA739+DC739+DE739</f>
        <v>0</v>
      </c>
      <c r="AA739" s="71">
        <f>CW739</f>
        <v>0</v>
      </c>
      <c r="AB739" s="71"/>
      <c r="AC739" s="71">
        <v>0</v>
      </c>
      <c r="AD739" s="71">
        <f>W739+X739+Y739+Z739+AA739+AB739+AC739</f>
        <v>0</v>
      </c>
      <c r="AE739" s="72">
        <v>0</v>
      </c>
      <c r="AF739" s="5"/>
      <c r="AG739" s="6"/>
      <c r="AH739" s="27" t="s">
        <v>3392</v>
      </c>
      <c r="AI739" s="44" t="s">
        <v>3393</v>
      </c>
      <c r="AJ739" s="26"/>
      <c r="AK739" s="5"/>
      <c r="AL739" s="82" t="s">
        <v>3802</v>
      </c>
      <c r="AM739" s="76"/>
      <c r="AN739" s="76"/>
      <c r="AO739" s="76"/>
      <c r="AP739" s="76"/>
      <c r="AQ739" s="76"/>
      <c r="AR739" s="76"/>
      <c r="AS739" s="76"/>
      <c r="AT739" s="76"/>
      <c r="AU739" s="76"/>
      <c r="AV739" s="76"/>
      <c r="AW739" s="76"/>
      <c r="AX739" s="76">
        <f>+AW739*600000</f>
        <v>0</v>
      </c>
      <c r="AY739" s="76"/>
      <c r="AZ739" s="76">
        <f>+AY739*70000</f>
        <v>0</v>
      </c>
      <c r="BA739" s="76"/>
      <c r="BB739" s="76"/>
      <c r="BC739" s="76"/>
      <c r="BD739" s="76">
        <f>+BC739*30000</f>
        <v>0</v>
      </c>
      <c r="BE739" s="76"/>
      <c r="BF739" s="76"/>
      <c r="BG739" s="76"/>
      <c r="BH739" s="76"/>
      <c r="BI739" s="76"/>
      <c r="BJ739" s="76"/>
      <c r="BK739" s="76"/>
      <c r="BL739" s="76">
        <f>+BK739*31500</f>
        <v>0</v>
      </c>
      <c r="BM739" s="76"/>
      <c r="BN739" s="76"/>
      <c r="BO739" s="76"/>
      <c r="BP739" s="76"/>
      <c r="BQ739" s="76"/>
      <c r="BR739" s="76"/>
      <c r="BS739" s="76"/>
      <c r="BT739" s="76"/>
      <c r="BU739" s="76"/>
      <c r="BV739" s="76"/>
      <c r="BW739" s="76"/>
      <c r="BX739" s="76"/>
      <c r="BY739" s="76"/>
      <c r="BZ739" s="76"/>
      <c r="CA739" s="76"/>
      <c r="CB739" s="76"/>
      <c r="CC739" s="76"/>
      <c r="CD739" s="76"/>
      <c r="CE739" s="76"/>
      <c r="CF739" s="76">
        <f>+CE739*28000</f>
        <v>0</v>
      </c>
      <c r="CG739" s="76"/>
      <c r="CH739" s="76">
        <f>+CG739*22500</f>
        <v>0</v>
      </c>
      <c r="CI739" s="76"/>
      <c r="CJ739" s="76">
        <f>+CI739*26000</f>
        <v>0</v>
      </c>
      <c r="CK739" s="76"/>
      <c r="CL739" s="76"/>
      <c r="CM739" s="76"/>
      <c r="CN739" s="76">
        <f>+CM739*22000</f>
        <v>0</v>
      </c>
      <c r="CO739" s="76"/>
      <c r="CP739" s="76">
        <f>+CO739*46000</f>
        <v>0</v>
      </c>
      <c r="CQ739" s="76"/>
      <c r="CR739" s="76">
        <f>+CQ739*49000</f>
        <v>0</v>
      </c>
      <c r="CS739" s="76"/>
      <c r="CT739" s="76"/>
      <c r="CU739" s="56">
        <f>AN739+AP739+AR739+AT739+AV739+AX739+AZ739+BB739+BD739+BF739+BH739+BJ739+BL739+BN739+BP739+BR739+BT739+BV739+BX739+BZ739+CB739+CD739+CF739+CH739+CJ739+CL739+CN739+CP739+CR739+CT739</f>
        <v>0</v>
      </c>
      <c r="CV739" s="76"/>
      <c r="CW739" s="76">
        <f>+CV739*1100</f>
        <v>0</v>
      </c>
      <c r="CX739" s="76"/>
      <c r="CY739" s="76">
        <f>+CX739*106250</f>
        <v>0</v>
      </c>
      <c r="CZ739" s="76"/>
      <c r="DA739" s="76">
        <f>+CZ739*34500</f>
        <v>0</v>
      </c>
      <c r="DB739" s="76"/>
      <c r="DC739" s="76">
        <f>+DB739*25000</f>
        <v>0</v>
      </c>
      <c r="DD739" s="219"/>
      <c r="DE739" s="219"/>
      <c r="DF739" s="166"/>
      <c r="DG739" s="116"/>
      <c r="DH739" s="117"/>
      <c r="DI739" s="24"/>
      <c r="DJ739" s="24"/>
      <c r="DK739" s="24"/>
      <c r="DL739" s="24"/>
      <c r="DM739" s="24"/>
      <c r="DN739" s="24"/>
      <c r="DO739" s="24"/>
      <c r="DP739" s="24"/>
      <c r="DQ739" s="24"/>
      <c r="DR739" s="24"/>
      <c r="DS739" s="24"/>
      <c r="DT739" s="24"/>
      <c r="DU739" s="24"/>
    </row>
    <row r="740" spans="1:125" s="8" customFormat="1" ht="48" x14ac:dyDescent="0.2">
      <c r="A740" s="77">
        <v>41316</v>
      </c>
      <c r="B740" s="78" t="s">
        <v>2778</v>
      </c>
      <c r="C740" s="227" t="s">
        <v>2012</v>
      </c>
      <c r="D740" s="81" t="s">
        <v>2846</v>
      </c>
      <c r="E740" s="75" t="str">
        <f>VLOOKUP(B740&amp;C740,Divipola!$C$2:$F$1138,4,FALSE)</f>
        <v>85325</v>
      </c>
      <c r="F740" s="100"/>
      <c r="G740" s="100"/>
      <c r="H740" s="100"/>
      <c r="I740" s="100"/>
      <c r="J740" s="100"/>
      <c r="K740" s="100"/>
      <c r="L740" s="100"/>
      <c r="M740" s="100"/>
      <c r="N740" s="100"/>
      <c r="O740" s="100"/>
      <c r="P740" s="100"/>
      <c r="Q740" s="100"/>
      <c r="R740" s="100"/>
      <c r="S740" s="100"/>
      <c r="T740" s="100"/>
      <c r="U740" s="136">
        <v>30</v>
      </c>
      <c r="V740" s="89"/>
      <c r="W740" s="96">
        <v>0</v>
      </c>
      <c r="X740" s="71">
        <f>CU740</f>
        <v>0</v>
      </c>
      <c r="Y740" s="71">
        <f>CY740</f>
        <v>0</v>
      </c>
      <c r="Z740" s="71">
        <f>DA740+DC740+DE740</f>
        <v>0</v>
      </c>
      <c r="AA740" s="71">
        <f>CW740</f>
        <v>0</v>
      </c>
      <c r="AB740" s="71"/>
      <c r="AC740" s="71">
        <v>0</v>
      </c>
      <c r="AD740" s="71">
        <f>W740+X740+Y740+Z740+AA740+AB740+AC740</f>
        <v>0</v>
      </c>
      <c r="AE740" s="72">
        <v>0</v>
      </c>
      <c r="AF740" s="5"/>
      <c r="AG740" s="6"/>
      <c r="AH740" s="27" t="s">
        <v>3392</v>
      </c>
      <c r="AI740" s="44" t="s">
        <v>3393</v>
      </c>
      <c r="AJ740" s="26"/>
      <c r="AK740" s="5"/>
      <c r="AL740" s="82" t="s">
        <v>3805</v>
      </c>
      <c r="AM740" s="76"/>
      <c r="AN740" s="76"/>
      <c r="AO740" s="76"/>
      <c r="AP740" s="76"/>
      <c r="AQ740" s="76"/>
      <c r="AR740" s="76"/>
      <c r="AS740" s="76"/>
      <c r="AT740" s="76"/>
      <c r="AU740" s="76"/>
      <c r="AV740" s="76"/>
      <c r="AW740" s="76"/>
      <c r="AX740" s="76">
        <f>+AW740*600000</f>
        <v>0</v>
      </c>
      <c r="AY740" s="76"/>
      <c r="AZ740" s="76">
        <f>+AY740*70000</f>
        <v>0</v>
      </c>
      <c r="BA740" s="76"/>
      <c r="BB740" s="76"/>
      <c r="BC740" s="76"/>
      <c r="BD740" s="76">
        <f>+BC740*30000</f>
        <v>0</v>
      </c>
      <c r="BE740" s="76"/>
      <c r="BF740" s="76"/>
      <c r="BG740" s="76"/>
      <c r="BH740" s="76"/>
      <c r="BI740" s="76"/>
      <c r="BJ740" s="76"/>
      <c r="BK740" s="76"/>
      <c r="BL740" s="76">
        <f>+BK740*31500</f>
        <v>0</v>
      </c>
      <c r="BM740" s="76"/>
      <c r="BN740" s="76"/>
      <c r="BO740" s="76"/>
      <c r="BP740" s="76"/>
      <c r="BQ740" s="76"/>
      <c r="BR740" s="76"/>
      <c r="BS740" s="76"/>
      <c r="BT740" s="76"/>
      <c r="BU740" s="76"/>
      <c r="BV740" s="76"/>
      <c r="BW740" s="76"/>
      <c r="BX740" s="76"/>
      <c r="BY740" s="76"/>
      <c r="BZ740" s="76"/>
      <c r="CA740" s="76"/>
      <c r="CB740" s="76"/>
      <c r="CC740" s="76"/>
      <c r="CD740" s="76"/>
      <c r="CE740" s="76"/>
      <c r="CF740" s="76">
        <f>+CE740*28000</f>
        <v>0</v>
      </c>
      <c r="CG740" s="76"/>
      <c r="CH740" s="76">
        <f>+CG740*22500</f>
        <v>0</v>
      </c>
      <c r="CI740" s="76"/>
      <c r="CJ740" s="76">
        <f>+CI740*26000</f>
        <v>0</v>
      </c>
      <c r="CK740" s="76"/>
      <c r="CL740" s="76"/>
      <c r="CM740" s="76"/>
      <c r="CN740" s="76">
        <f>+CM740*22000</f>
        <v>0</v>
      </c>
      <c r="CO740" s="76"/>
      <c r="CP740" s="76">
        <f>+CO740*46000</f>
        <v>0</v>
      </c>
      <c r="CQ740" s="76"/>
      <c r="CR740" s="76">
        <f>+CQ740*49000</f>
        <v>0</v>
      </c>
      <c r="CS740" s="76"/>
      <c r="CT740" s="76"/>
      <c r="CU740" s="56">
        <f>AN740+AP740+AR740+AT740+AV740+AX740+AZ740+BB740+BD740+BF740+BH740+BJ740+BL740+BN740+BP740+BR740+BT740+BV740+BX740+BZ740+CB740+CD740+CF740+CH740+CJ740+CL740+CN740+CP740+CR740+CT740</f>
        <v>0</v>
      </c>
      <c r="CV740" s="76"/>
      <c r="CW740" s="76">
        <f>+CV740*1100</f>
        <v>0</v>
      </c>
      <c r="CX740" s="76"/>
      <c r="CY740" s="76">
        <f>+CX740*106250</f>
        <v>0</v>
      </c>
      <c r="CZ740" s="76"/>
      <c r="DA740" s="76">
        <f>+CZ740*34500</f>
        <v>0</v>
      </c>
      <c r="DB740" s="76"/>
      <c r="DC740" s="76">
        <f>+DB740*25000</f>
        <v>0</v>
      </c>
      <c r="DD740" s="219"/>
      <c r="DE740" s="219"/>
      <c r="DF740" s="166"/>
      <c r="DG740" s="116"/>
      <c r="DH740" s="117"/>
      <c r="DI740" s="24"/>
      <c r="DJ740" s="24"/>
      <c r="DK740" s="24"/>
      <c r="DL740" s="24"/>
      <c r="DM740" s="24"/>
      <c r="DN740" s="24"/>
      <c r="DO740" s="24"/>
      <c r="DP740" s="24"/>
      <c r="DQ740" s="24"/>
      <c r="DR740" s="24"/>
      <c r="DS740" s="24"/>
      <c r="DT740" s="24"/>
      <c r="DU740" s="24"/>
    </row>
    <row r="741" spans="1:125" s="8" customFormat="1" ht="48" x14ac:dyDescent="0.2">
      <c r="A741" s="77">
        <v>41316</v>
      </c>
      <c r="B741" s="78" t="s">
        <v>2778</v>
      </c>
      <c r="C741" s="75" t="s">
        <v>2195</v>
      </c>
      <c r="D741" s="81" t="s">
        <v>2846</v>
      </c>
      <c r="E741" s="75" t="str">
        <f>VLOOKUP(B741&amp;C741,Divipola!$C$2:$F$1138,4,FALSE)</f>
        <v>85430</v>
      </c>
      <c r="F741" s="87"/>
      <c r="G741" s="87"/>
      <c r="H741" s="87"/>
      <c r="I741" s="87"/>
      <c r="J741" s="87"/>
      <c r="K741" s="87"/>
      <c r="L741" s="87"/>
      <c r="M741" s="87"/>
      <c r="N741" s="87"/>
      <c r="O741" s="87"/>
      <c r="P741" s="87"/>
      <c r="Q741" s="87"/>
      <c r="R741" s="87"/>
      <c r="S741" s="87"/>
      <c r="T741" s="87"/>
      <c r="U741" s="88">
        <v>50</v>
      </c>
      <c r="V741" s="89"/>
      <c r="W741" s="96">
        <v>0</v>
      </c>
      <c r="X741" s="71">
        <f>CU741</f>
        <v>0</v>
      </c>
      <c r="Y741" s="71">
        <f>CY741</f>
        <v>0</v>
      </c>
      <c r="Z741" s="71">
        <f>DA741+DC741+DE741</f>
        <v>0</v>
      </c>
      <c r="AA741" s="71">
        <f>CW741</f>
        <v>0</v>
      </c>
      <c r="AB741" s="71"/>
      <c r="AC741" s="71">
        <v>0</v>
      </c>
      <c r="AD741" s="71">
        <f>W741+X741+Y741+Z741+AA741+AB741+AC741</f>
        <v>0</v>
      </c>
      <c r="AE741" s="72">
        <v>0</v>
      </c>
      <c r="AF741" s="5"/>
      <c r="AG741" s="6"/>
      <c r="AH741" s="27" t="s">
        <v>3392</v>
      </c>
      <c r="AI741" s="44" t="s">
        <v>3393</v>
      </c>
      <c r="AJ741" s="26"/>
      <c r="AK741" s="5"/>
      <c r="AL741" s="82" t="s">
        <v>3813</v>
      </c>
      <c r="AM741" s="76"/>
      <c r="AN741" s="76"/>
      <c r="AO741" s="76"/>
      <c r="AP741" s="76"/>
      <c r="AQ741" s="76"/>
      <c r="AR741" s="76"/>
      <c r="AS741" s="76"/>
      <c r="AT741" s="76"/>
      <c r="AU741" s="76"/>
      <c r="AV741" s="76"/>
      <c r="AW741" s="76"/>
      <c r="AX741" s="76">
        <f>+AW741*600000</f>
        <v>0</v>
      </c>
      <c r="AY741" s="76"/>
      <c r="AZ741" s="76">
        <f>+AY741*70000</f>
        <v>0</v>
      </c>
      <c r="BA741" s="76"/>
      <c r="BB741" s="76"/>
      <c r="BC741" s="76"/>
      <c r="BD741" s="76">
        <f>+BC741*30000</f>
        <v>0</v>
      </c>
      <c r="BE741" s="76"/>
      <c r="BF741" s="76"/>
      <c r="BG741" s="76"/>
      <c r="BH741" s="76"/>
      <c r="BI741" s="76"/>
      <c r="BJ741" s="76"/>
      <c r="BK741" s="76"/>
      <c r="BL741" s="76">
        <f>+BK741*31500</f>
        <v>0</v>
      </c>
      <c r="BM741" s="76"/>
      <c r="BN741" s="76"/>
      <c r="BO741" s="76"/>
      <c r="BP741" s="76"/>
      <c r="BQ741" s="76"/>
      <c r="BR741" s="76"/>
      <c r="BS741" s="76"/>
      <c r="BT741" s="76"/>
      <c r="BU741" s="76"/>
      <c r="BV741" s="76"/>
      <c r="BW741" s="76"/>
      <c r="BX741" s="76"/>
      <c r="BY741" s="76"/>
      <c r="BZ741" s="76"/>
      <c r="CA741" s="76"/>
      <c r="CB741" s="76"/>
      <c r="CC741" s="76"/>
      <c r="CD741" s="76"/>
      <c r="CE741" s="76"/>
      <c r="CF741" s="76">
        <f>+CE741*28000</f>
        <v>0</v>
      </c>
      <c r="CG741" s="76"/>
      <c r="CH741" s="76">
        <f>+CG741*22500</f>
        <v>0</v>
      </c>
      <c r="CI741" s="76"/>
      <c r="CJ741" s="76">
        <f>+CI741*26000</f>
        <v>0</v>
      </c>
      <c r="CK741" s="76"/>
      <c r="CL741" s="76"/>
      <c r="CM741" s="76"/>
      <c r="CN741" s="76">
        <f>+CM741*22000</f>
        <v>0</v>
      </c>
      <c r="CO741" s="76"/>
      <c r="CP741" s="76">
        <f>+CO741*46000</f>
        <v>0</v>
      </c>
      <c r="CQ741" s="76"/>
      <c r="CR741" s="76">
        <f>+CQ741*49000</f>
        <v>0</v>
      </c>
      <c r="CS741" s="76"/>
      <c r="CT741" s="76"/>
      <c r="CU741" s="56">
        <f>AN741+AP741+AR741+AT741+AV741+AX741+AZ741+BB741+BD741+BF741+BH741+BJ741+BL741+BN741+BP741+BR741+BT741+BV741+BX741+BZ741+CB741+CD741+CF741+CH741+CJ741+CL741+CN741+CP741+CR741+CT741</f>
        <v>0</v>
      </c>
      <c r="CV741" s="76"/>
      <c r="CW741" s="76">
        <f>+CV741*1100</f>
        <v>0</v>
      </c>
      <c r="CX741" s="76"/>
      <c r="CY741" s="76">
        <f>+CX741*106250</f>
        <v>0</v>
      </c>
      <c r="CZ741" s="76"/>
      <c r="DA741" s="76">
        <f>+CZ741*34500</f>
        <v>0</v>
      </c>
      <c r="DB741" s="76"/>
      <c r="DC741" s="76">
        <f>+DB741*25000</f>
        <v>0</v>
      </c>
      <c r="DD741" s="219"/>
      <c r="DE741" s="219"/>
      <c r="DF741" s="166"/>
      <c r="DG741" s="116"/>
      <c r="DH741" s="117"/>
      <c r="DI741" s="24"/>
      <c r="DJ741" s="24"/>
      <c r="DK741" s="24"/>
      <c r="DL741" s="24"/>
      <c r="DM741" s="24"/>
      <c r="DN741" s="24"/>
      <c r="DO741" s="24"/>
      <c r="DP741" s="24"/>
      <c r="DQ741" s="24"/>
      <c r="DR741" s="24"/>
      <c r="DS741" s="24"/>
      <c r="DT741" s="24"/>
      <c r="DU741" s="24"/>
    </row>
    <row r="742" spans="1:125" s="8" customFormat="1" ht="48" x14ac:dyDescent="0.2">
      <c r="A742" s="77">
        <v>41316</v>
      </c>
      <c r="B742" s="78" t="s">
        <v>2778</v>
      </c>
      <c r="C742" s="75" t="s">
        <v>2758</v>
      </c>
      <c r="D742" s="81" t="s">
        <v>2846</v>
      </c>
      <c r="E742" s="75" t="str">
        <f>VLOOKUP(B742&amp;C742,Divipola!$C$2:$F$1138,4,FALSE)</f>
        <v>85440</v>
      </c>
      <c r="F742" s="87"/>
      <c r="G742" s="87"/>
      <c r="H742" s="87"/>
      <c r="I742" s="87"/>
      <c r="J742" s="87"/>
      <c r="K742" s="87"/>
      <c r="L742" s="87"/>
      <c r="M742" s="87"/>
      <c r="N742" s="87"/>
      <c r="O742" s="87"/>
      <c r="P742" s="87"/>
      <c r="Q742" s="87"/>
      <c r="R742" s="87"/>
      <c r="S742" s="87"/>
      <c r="T742" s="87"/>
      <c r="U742" s="88">
        <v>45</v>
      </c>
      <c r="V742" s="89"/>
      <c r="W742" s="96">
        <v>0</v>
      </c>
      <c r="X742" s="71">
        <f>CU742</f>
        <v>0</v>
      </c>
      <c r="Y742" s="71">
        <f>CY742</f>
        <v>0</v>
      </c>
      <c r="Z742" s="71">
        <f>DA742+DC742+DE742</f>
        <v>0</v>
      </c>
      <c r="AA742" s="71">
        <f>CW742</f>
        <v>0</v>
      </c>
      <c r="AB742" s="71"/>
      <c r="AC742" s="71">
        <v>0</v>
      </c>
      <c r="AD742" s="71">
        <f>W742+X742+Y742+Z742+AA742+AB742+AC742</f>
        <v>0</v>
      </c>
      <c r="AE742" s="72">
        <v>0</v>
      </c>
      <c r="AF742" s="5"/>
      <c r="AG742" s="6"/>
      <c r="AH742" s="27" t="s">
        <v>3392</v>
      </c>
      <c r="AI742" s="44" t="s">
        <v>3393</v>
      </c>
      <c r="AJ742" s="26"/>
      <c r="AK742" s="5"/>
      <c r="AL742" s="82" t="s">
        <v>3814</v>
      </c>
      <c r="AM742" s="76"/>
      <c r="AN742" s="76"/>
      <c r="AO742" s="76"/>
      <c r="AP742" s="76"/>
      <c r="AQ742" s="76"/>
      <c r="AR742" s="76"/>
      <c r="AS742" s="76"/>
      <c r="AT742" s="76"/>
      <c r="AU742" s="76"/>
      <c r="AV742" s="76"/>
      <c r="AW742" s="76"/>
      <c r="AX742" s="76">
        <f>+AW742*600000</f>
        <v>0</v>
      </c>
      <c r="AY742" s="76"/>
      <c r="AZ742" s="76">
        <f>+AY742*70000</f>
        <v>0</v>
      </c>
      <c r="BA742" s="76"/>
      <c r="BB742" s="76"/>
      <c r="BC742" s="76"/>
      <c r="BD742" s="76">
        <f>+BC742*30000</f>
        <v>0</v>
      </c>
      <c r="BE742" s="76"/>
      <c r="BF742" s="76"/>
      <c r="BG742" s="76"/>
      <c r="BH742" s="76"/>
      <c r="BI742" s="76"/>
      <c r="BJ742" s="76"/>
      <c r="BK742" s="76"/>
      <c r="BL742" s="76">
        <f>+BK742*31500</f>
        <v>0</v>
      </c>
      <c r="BM742" s="76"/>
      <c r="BN742" s="76"/>
      <c r="BO742" s="76"/>
      <c r="BP742" s="76"/>
      <c r="BQ742" s="76"/>
      <c r="BR742" s="76"/>
      <c r="BS742" s="76"/>
      <c r="BT742" s="76"/>
      <c r="BU742" s="76"/>
      <c r="BV742" s="76"/>
      <c r="BW742" s="76"/>
      <c r="BX742" s="76"/>
      <c r="BY742" s="76"/>
      <c r="BZ742" s="76"/>
      <c r="CA742" s="76"/>
      <c r="CB742" s="76"/>
      <c r="CC742" s="76"/>
      <c r="CD742" s="76"/>
      <c r="CE742" s="76"/>
      <c r="CF742" s="76">
        <f>+CE742*28000</f>
        <v>0</v>
      </c>
      <c r="CG742" s="76"/>
      <c r="CH742" s="76">
        <f>+CG742*22500</f>
        <v>0</v>
      </c>
      <c r="CI742" s="76"/>
      <c r="CJ742" s="76">
        <f>+CI742*26000</f>
        <v>0</v>
      </c>
      <c r="CK742" s="76"/>
      <c r="CL742" s="76"/>
      <c r="CM742" s="76"/>
      <c r="CN742" s="76">
        <f>+CM742*22000</f>
        <v>0</v>
      </c>
      <c r="CO742" s="76"/>
      <c r="CP742" s="76">
        <f>+CO742*46000</f>
        <v>0</v>
      </c>
      <c r="CQ742" s="76"/>
      <c r="CR742" s="76">
        <f>+CQ742*49000</f>
        <v>0</v>
      </c>
      <c r="CS742" s="76"/>
      <c r="CT742" s="76"/>
      <c r="CU742" s="56">
        <f>AN742+AP742+AR742+AT742+AV742+AX742+AZ742+BB742+BD742+BF742+BH742+BJ742+BL742+BN742+BP742+BR742+BT742+BV742+BX742+BZ742+CB742+CD742+CF742+CH742+CJ742+CL742+CN742+CP742+CR742+CT742</f>
        <v>0</v>
      </c>
      <c r="CV742" s="76"/>
      <c r="CW742" s="76">
        <f>+CV742*1100</f>
        <v>0</v>
      </c>
      <c r="CX742" s="76"/>
      <c r="CY742" s="76">
        <f>+CX742*106250</f>
        <v>0</v>
      </c>
      <c r="CZ742" s="76"/>
      <c r="DA742" s="76">
        <f>+CZ742*34500</f>
        <v>0</v>
      </c>
      <c r="DB742" s="76"/>
      <c r="DC742" s="76">
        <f>+DB742*25000</f>
        <v>0</v>
      </c>
      <c r="DD742" s="219"/>
      <c r="DE742" s="219"/>
      <c r="DF742" s="166"/>
      <c r="DG742" s="116"/>
      <c r="DH742" s="117"/>
      <c r="DI742" s="24"/>
      <c r="DJ742" s="24"/>
      <c r="DK742" s="24"/>
      <c r="DL742" s="24"/>
      <c r="DM742" s="24"/>
      <c r="DN742" s="24"/>
      <c r="DO742" s="24"/>
      <c r="DP742" s="24"/>
      <c r="DQ742" s="24"/>
      <c r="DR742" s="24"/>
      <c r="DS742" s="24"/>
      <c r="DT742" s="24"/>
      <c r="DU742" s="24"/>
    </row>
    <row r="743" spans="1:125" s="8" customFormat="1" ht="48" x14ac:dyDescent="0.2">
      <c r="A743" s="77">
        <v>41316</v>
      </c>
      <c r="B743" s="78" t="s">
        <v>2778</v>
      </c>
      <c r="C743" s="75" t="s">
        <v>1344</v>
      </c>
      <c r="D743" s="81" t="s">
        <v>2846</v>
      </c>
      <c r="E743" s="75" t="str">
        <f>VLOOKUP(B743&amp;C743,Divipola!$C$2:$F$1138,4,FALSE)</f>
        <v>85001</v>
      </c>
      <c r="F743" s="87"/>
      <c r="G743" s="87"/>
      <c r="H743" s="87"/>
      <c r="I743" s="87"/>
      <c r="J743" s="87"/>
      <c r="K743" s="87"/>
      <c r="L743" s="87"/>
      <c r="M743" s="87"/>
      <c r="N743" s="87"/>
      <c r="O743" s="87"/>
      <c r="P743" s="87"/>
      <c r="Q743" s="87"/>
      <c r="R743" s="87"/>
      <c r="S743" s="87"/>
      <c r="T743" s="87"/>
      <c r="U743" s="88">
        <v>8</v>
      </c>
      <c r="V743" s="89"/>
      <c r="W743" s="96">
        <v>0</v>
      </c>
      <c r="X743" s="71">
        <f>CU743</f>
        <v>0</v>
      </c>
      <c r="Y743" s="71">
        <f>CY743</f>
        <v>0</v>
      </c>
      <c r="Z743" s="71">
        <f>DA743+DC743+DE743</f>
        <v>0</v>
      </c>
      <c r="AA743" s="71">
        <f>CW743</f>
        <v>0</v>
      </c>
      <c r="AB743" s="71"/>
      <c r="AC743" s="71">
        <v>0</v>
      </c>
      <c r="AD743" s="71">
        <f>W743+X743+Y743+Z743+AA743+AB743+AC743</f>
        <v>0</v>
      </c>
      <c r="AE743" s="72">
        <v>0</v>
      </c>
      <c r="AF743" s="5"/>
      <c r="AG743" s="6"/>
      <c r="AH743" s="27" t="s">
        <v>3392</v>
      </c>
      <c r="AI743" s="44" t="s">
        <v>3393</v>
      </c>
      <c r="AJ743" s="26"/>
      <c r="AK743" s="5"/>
      <c r="AL743" s="82" t="s">
        <v>3779</v>
      </c>
      <c r="AM743" s="76"/>
      <c r="AN743" s="76"/>
      <c r="AO743" s="76"/>
      <c r="AP743" s="76"/>
      <c r="AQ743" s="76"/>
      <c r="AR743" s="76"/>
      <c r="AS743" s="76"/>
      <c r="AT743" s="76"/>
      <c r="AU743" s="76"/>
      <c r="AV743" s="76"/>
      <c r="AW743" s="76"/>
      <c r="AX743" s="76">
        <f>+AW743*600000</f>
        <v>0</v>
      </c>
      <c r="AY743" s="76"/>
      <c r="AZ743" s="76">
        <f>+AY743*70000</f>
        <v>0</v>
      </c>
      <c r="BA743" s="76"/>
      <c r="BB743" s="76"/>
      <c r="BC743" s="76"/>
      <c r="BD743" s="76">
        <f>+BC743*30000</f>
        <v>0</v>
      </c>
      <c r="BE743" s="76"/>
      <c r="BF743" s="76"/>
      <c r="BG743" s="76"/>
      <c r="BH743" s="76"/>
      <c r="BI743" s="76"/>
      <c r="BJ743" s="76"/>
      <c r="BK743" s="76"/>
      <c r="BL743" s="76">
        <f>+BK743*31500</f>
        <v>0</v>
      </c>
      <c r="BM743" s="76"/>
      <c r="BN743" s="76"/>
      <c r="BO743" s="76"/>
      <c r="BP743" s="76"/>
      <c r="BQ743" s="76"/>
      <c r="BR743" s="76"/>
      <c r="BS743" s="76"/>
      <c r="BT743" s="76"/>
      <c r="BU743" s="76"/>
      <c r="BV743" s="76"/>
      <c r="BW743" s="76"/>
      <c r="BX743" s="76"/>
      <c r="BY743" s="76"/>
      <c r="BZ743" s="76"/>
      <c r="CA743" s="76"/>
      <c r="CB743" s="76"/>
      <c r="CC743" s="76"/>
      <c r="CD743" s="76"/>
      <c r="CE743" s="76"/>
      <c r="CF743" s="76">
        <f>+CE743*28000</f>
        <v>0</v>
      </c>
      <c r="CG743" s="76"/>
      <c r="CH743" s="76">
        <f>+CG743*22500</f>
        <v>0</v>
      </c>
      <c r="CI743" s="76"/>
      <c r="CJ743" s="76">
        <f>+CI743*26000</f>
        <v>0</v>
      </c>
      <c r="CK743" s="76"/>
      <c r="CL743" s="76"/>
      <c r="CM743" s="76"/>
      <c r="CN743" s="76">
        <f>+CM743*22000</f>
        <v>0</v>
      </c>
      <c r="CO743" s="76"/>
      <c r="CP743" s="76">
        <f>+CO743*46000</f>
        <v>0</v>
      </c>
      <c r="CQ743" s="76"/>
      <c r="CR743" s="76">
        <f>+CQ743*49000</f>
        <v>0</v>
      </c>
      <c r="CS743" s="76"/>
      <c r="CT743" s="76"/>
      <c r="CU743" s="56">
        <f>AN743+AP743+AR743+AT743+AV743+AX743+AZ743+BB743+BD743+BF743+BH743+BJ743+BL743+BN743+BP743+BR743+BT743+BV743+BX743+BZ743+CB743+CD743+CF743+CH743+CJ743+CL743+CN743+CP743+CR743+CT743</f>
        <v>0</v>
      </c>
      <c r="CV743" s="76"/>
      <c r="CW743" s="76">
        <f>+CV743*1100</f>
        <v>0</v>
      </c>
      <c r="CX743" s="76"/>
      <c r="CY743" s="76">
        <f>+CX743*106250</f>
        <v>0</v>
      </c>
      <c r="CZ743" s="76"/>
      <c r="DA743" s="76">
        <f>+CZ743*34500</f>
        <v>0</v>
      </c>
      <c r="DB743" s="76"/>
      <c r="DC743" s="76">
        <f>+DB743*25000</f>
        <v>0</v>
      </c>
      <c r="DD743" s="219"/>
      <c r="DE743" s="219"/>
      <c r="DF743" s="166"/>
      <c r="DG743" s="116"/>
      <c r="DH743" s="117"/>
      <c r="DI743" s="24"/>
      <c r="DJ743" s="24"/>
      <c r="DK743" s="24"/>
      <c r="DL743" s="24"/>
      <c r="DM743" s="24"/>
      <c r="DN743" s="24"/>
      <c r="DO743" s="24"/>
      <c r="DP743" s="24"/>
      <c r="DQ743" s="24"/>
      <c r="DR743" s="24"/>
      <c r="DS743" s="24"/>
      <c r="DT743" s="24"/>
      <c r="DU743" s="24"/>
    </row>
    <row r="744" spans="1:125" s="8" customFormat="1" ht="48" x14ac:dyDescent="0.2">
      <c r="A744" s="77">
        <v>41316</v>
      </c>
      <c r="B744" s="78" t="s">
        <v>2778</v>
      </c>
      <c r="C744" s="75" t="s">
        <v>1344</v>
      </c>
      <c r="D744" s="81" t="s">
        <v>2846</v>
      </c>
      <c r="E744" s="75" t="str">
        <f>VLOOKUP(B744&amp;C744,Divipola!$C$2:$F$1138,4,FALSE)</f>
        <v>85001</v>
      </c>
      <c r="F744" s="87"/>
      <c r="G744" s="87"/>
      <c r="H744" s="87"/>
      <c r="I744" s="87"/>
      <c r="J744" s="87"/>
      <c r="K744" s="87"/>
      <c r="L744" s="87"/>
      <c r="M744" s="87"/>
      <c r="N744" s="87"/>
      <c r="O744" s="87"/>
      <c r="P744" s="87"/>
      <c r="Q744" s="87"/>
      <c r="R744" s="87"/>
      <c r="S744" s="87"/>
      <c r="T744" s="87"/>
      <c r="U744" s="88">
        <v>6</v>
      </c>
      <c r="V744" s="89"/>
      <c r="W744" s="96">
        <v>0</v>
      </c>
      <c r="X744" s="71">
        <f>CU744</f>
        <v>0</v>
      </c>
      <c r="Y744" s="71">
        <f>CY744</f>
        <v>0</v>
      </c>
      <c r="Z744" s="71">
        <f>DA744+DC744+DE744</f>
        <v>0</v>
      </c>
      <c r="AA744" s="71">
        <f>CW744</f>
        <v>0</v>
      </c>
      <c r="AB744" s="71"/>
      <c r="AC744" s="71">
        <v>0</v>
      </c>
      <c r="AD744" s="71">
        <f>W744+X744+Y744+Z744+AA744+AB744+AC744</f>
        <v>0</v>
      </c>
      <c r="AE744" s="72">
        <v>0</v>
      </c>
      <c r="AF744" s="5"/>
      <c r="AG744" s="6"/>
      <c r="AH744" s="27" t="s">
        <v>3392</v>
      </c>
      <c r="AI744" s="44" t="s">
        <v>3393</v>
      </c>
      <c r="AJ744" s="26"/>
      <c r="AK744" s="5"/>
      <c r="AL744" s="82" t="s">
        <v>3780</v>
      </c>
      <c r="AM744" s="76"/>
      <c r="AN744" s="76"/>
      <c r="AO744" s="76"/>
      <c r="AP744" s="76"/>
      <c r="AQ744" s="76"/>
      <c r="AR744" s="76"/>
      <c r="AS744" s="76"/>
      <c r="AT744" s="76"/>
      <c r="AU744" s="76"/>
      <c r="AV744" s="76"/>
      <c r="AW744" s="76"/>
      <c r="AX744" s="76">
        <f>+AW744*600000</f>
        <v>0</v>
      </c>
      <c r="AY744" s="76"/>
      <c r="AZ744" s="76">
        <f>+AY744*70000</f>
        <v>0</v>
      </c>
      <c r="BA744" s="76"/>
      <c r="BB744" s="76"/>
      <c r="BC744" s="76"/>
      <c r="BD744" s="76">
        <f>+BC744*30000</f>
        <v>0</v>
      </c>
      <c r="BE744" s="76"/>
      <c r="BF744" s="76"/>
      <c r="BG744" s="76"/>
      <c r="BH744" s="76"/>
      <c r="BI744" s="76"/>
      <c r="BJ744" s="76"/>
      <c r="BK744" s="76"/>
      <c r="BL744" s="76">
        <f>+BK744*31500</f>
        <v>0</v>
      </c>
      <c r="BM744" s="76"/>
      <c r="BN744" s="76"/>
      <c r="BO744" s="76"/>
      <c r="BP744" s="76"/>
      <c r="BQ744" s="76"/>
      <c r="BR744" s="76"/>
      <c r="BS744" s="76"/>
      <c r="BT744" s="76"/>
      <c r="BU744" s="76"/>
      <c r="BV744" s="76"/>
      <c r="BW744" s="76"/>
      <c r="BX744" s="76"/>
      <c r="BY744" s="76"/>
      <c r="BZ744" s="76"/>
      <c r="CA744" s="76"/>
      <c r="CB744" s="76"/>
      <c r="CC744" s="76"/>
      <c r="CD744" s="76"/>
      <c r="CE744" s="76"/>
      <c r="CF744" s="76">
        <f>+CE744*28000</f>
        <v>0</v>
      </c>
      <c r="CG744" s="76"/>
      <c r="CH744" s="76">
        <f>+CG744*22500</f>
        <v>0</v>
      </c>
      <c r="CI744" s="76"/>
      <c r="CJ744" s="76">
        <f>+CI744*26000</f>
        <v>0</v>
      </c>
      <c r="CK744" s="76"/>
      <c r="CL744" s="76"/>
      <c r="CM744" s="76"/>
      <c r="CN744" s="76">
        <f>+CM744*22000</f>
        <v>0</v>
      </c>
      <c r="CO744" s="76"/>
      <c r="CP744" s="76">
        <f>+CO744*46000</f>
        <v>0</v>
      </c>
      <c r="CQ744" s="76"/>
      <c r="CR744" s="76">
        <f>+CQ744*49000</f>
        <v>0</v>
      </c>
      <c r="CS744" s="76"/>
      <c r="CT744" s="76"/>
      <c r="CU744" s="56">
        <f>AN744+AP744+AR744+AT744+AV744+AX744+AZ744+BB744+BD744+BF744+BH744+BJ744+BL744+BN744+BP744+BR744+BT744+BV744+BX744+BZ744+CB744+CD744+CF744+CH744+CJ744+CL744+CN744+CP744+CR744+CT744</f>
        <v>0</v>
      </c>
      <c r="CV744" s="76"/>
      <c r="CW744" s="76">
        <f>+CV744*1100</f>
        <v>0</v>
      </c>
      <c r="CX744" s="76"/>
      <c r="CY744" s="76">
        <f>+CX744*106250</f>
        <v>0</v>
      </c>
      <c r="CZ744" s="76"/>
      <c r="DA744" s="76">
        <f>+CZ744*34500</f>
        <v>0</v>
      </c>
      <c r="DB744" s="76"/>
      <c r="DC744" s="76">
        <f>+DB744*25000</f>
        <v>0</v>
      </c>
      <c r="DD744" s="219"/>
      <c r="DE744" s="219"/>
      <c r="DF744" s="166"/>
      <c r="DG744" s="116"/>
      <c r="DH744" s="117"/>
      <c r="DI744" s="24"/>
      <c r="DJ744" s="24"/>
      <c r="DK744" s="24"/>
      <c r="DL744" s="24"/>
      <c r="DM744" s="24"/>
      <c r="DN744" s="24"/>
      <c r="DO744" s="24"/>
      <c r="DP744" s="24"/>
      <c r="DQ744" s="24"/>
      <c r="DR744" s="24"/>
      <c r="DS744" s="24"/>
      <c r="DT744" s="24"/>
      <c r="DU744" s="24"/>
    </row>
    <row r="745" spans="1:125" s="8" customFormat="1" ht="168" x14ac:dyDescent="0.2">
      <c r="A745" s="77">
        <v>41316</v>
      </c>
      <c r="B745" s="78" t="s">
        <v>2855</v>
      </c>
      <c r="C745" s="75" t="s">
        <v>2168</v>
      </c>
      <c r="D745" s="81" t="s">
        <v>2846</v>
      </c>
      <c r="E745" s="75" t="str">
        <f>VLOOKUP(B745&amp;C745,Divipola!$C$2:$F$1138,4,FALSE)</f>
        <v>20001</v>
      </c>
      <c r="F745" s="87"/>
      <c r="G745" s="87"/>
      <c r="H745" s="87"/>
      <c r="I745" s="87"/>
      <c r="J745" s="87"/>
      <c r="K745" s="87"/>
      <c r="L745" s="87"/>
      <c r="M745" s="87"/>
      <c r="N745" s="87"/>
      <c r="O745" s="87"/>
      <c r="P745" s="87"/>
      <c r="Q745" s="87"/>
      <c r="R745" s="87"/>
      <c r="S745" s="87"/>
      <c r="T745" s="87"/>
      <c r="U745" s="88">
        <v>70</v>
      </c>
      <c r="V745" s="89"/>
      <c r="W745" s="96">
        <v>0</v>
      </c>
      <c r="X745" s="71">
        <f>CU745</f>
        <v>0</v>
      </c>
      <c r="Y745" s="71">
        <f>CY745</f>
        <v>0</v>
      </c>
      <c r="Z745" s="71">
        <f>DA745+DC745+DE745</f>
        <v>0</v>
      </c>
      <c r="AA745" s="71">
        <f>CW745</f>
        <v>0</v>
      </c>
      <c r="AB745" s="71"/>
      <c r="AC745" s="71">
        <v>0</v>
      </c>
      <c r="AD745" s="71">
        <f>W745+X745+Y745+Z745+AA745+AB745+AC745</f>
        <v>0</v>
      </c>
      <c r="AE745" s="72">
        <v>0</v>
      </c>
      <c r="AF745" s="5"/>
      <c r="AG745" s="6"/>
      <c r="AH745" s="27" t="s">
        <v>3392</v>
      </c>
      <c r="AI745" s="44" t="s">
        <v>3393</v>
      </c>
      <c r="AJ745" s="26"/>
      <c r="AK745" s="5"/>
      <c r="AL745" s="82" t="s">
        <v>3515</v>
      </c>
      <c r="AM745" s="76"/>
      <c r="AN745" s="76"/>
      <c r="AO745" s="76"/>
      <c r="AP745" s="76"/>
      <c r="AQ745" s="76"/>
      <c r="AR745" s="76"/>
      <c r="AS745" s="76"/>
      <c r="AT745" s="76"/>
      <c r="AU745" s="76"/>
      <c r="AV745" s="76"/>
      <c r="AW745" s="76"/>
      <c r="AX745" s="76">
        <f>+AW745*600000</f>
        <v>0</v>
      </c>
      <c r="AY745" s="76"/>
      <c r="AZ745" s="76">
        <f>+AY745*70000</f>
        <v>0</v>
      </c>
      <c r="BA745" s="76"/>
      <c r="BB745" s="76"/>
      <c r="BC745" s="76"/>
      <c r="BD745" s="76">
        <f>+BC745*30000</f>
        <v>0</v>
      </c>
      <c r="BE745" s="76"/>
      <c r="BF745" s="76"/>
      <c r="BG745" s="76"/>
      <c r="BH745" s="76"/>
      <c r="BI745" s="76"/>
      <c r="BJ745" s="76"/>
      <c r="BK745" s="76"/>
      <c r="BL745" s="76">
        <f>+BK745*31500</f>
        <v>0</v>
      </c>
      <c r="BM745" s="76"/>
      <c r="BN745" s="76"/>
      <c r="BO745" s="76"/>
      <c r="BP745" s="76"/>
      <c r="BQ745" s="76"/>
      <c r="BR745" s="76"/>
      <c r="BS745" s="76"/>
      <c r="BT745" s="76"/>
      <c r="BU745" s="76"/>
      <c r="BV745" s="76"/>
      <c r="BW745" s="76"/>
      <c r="BX745" s="76"/>
      <c r="BY745" s="76"/>
      <c r="BZ745" s="76"/>
      <c r="CA745" s="76"/>
      <c r="CB745" s="76"/>
      <c r="CC745" s="76"/>
      <c r="CD745" s="76"/>
      <c r="CE745" s="76"/>
      <c r="CF745" s="76">
        <f>+CE745*28000</f>
        <v>0</v>
      </c>
      <c r="CG745" s="76"/>
      <c r="CH745" s="76">
        <f>+CG745*22500</f>
        <v>0</v>
      </c>
      <c r="CI745" s="76"/>
      <c r="CJ745" s="76">
        <f>+CI745*26000</f>
        <v>0</v>
      </c>
      <c r="CK745" s="76"/>
      <c r="CL745" s="76"/>
      <c r="CM745" s="76"/>
      <c r="CN745" s="76">
        <f>+CM745*22000</f>
        <v>0</v>
      </c>
      <c r="CO745" s="76"/>
      <c r="CP745" s="76">
        <f>+CO745*46000</f>
        <v>0</v>
      </c>
      <c r="CQ745" s="76"/>
      <c r="CR745" s="76">
        <f>+CQ745*49000</f>
        <v>0</v>
      </c>
      <c r="CS745" s="76"/>
      <c r="CT745" s="76"/>
      <c r="CU745" s="56">
        <f>AN745+AP745+AR745+AT745+AV745+AX745+AZ745+BB745+BD745+BF745+BH745+BJ745+BL745+BN745+BP745+BR745+BT745+BV745+BX745+BZ745+CB745+CD745+CF745+CH745+CJ745+CL745+CN745+CP745+CR745+CT745</f>
        <v>0</v>
      </c>
      <c r="CV745" s="76"/>
      <c r="CW745" s="76">
        <f>+CV745*1100</f>
        <v>0</v>
      </c>
      <c r="CX745" s="76"/>
      <c r="CY745" s="76">
        <f>+CX745*106250</f>
        <v>0</v>
      </c>
      <c r="CZ745" s="76"/>
      <c r="DA745" s="76">
        <f>+CZ745*34500</f>
        <v>0</v>
      </c>
      <c r="DB745" s="76"/>
      <c r="DC745" s="76">
        <f>+DB745*25000</f>
        <v>0</v>
      </c>
      <c r="DD745" s="219"/>
      <c r="DE745" s="219"/>
      <c r="DF745" s="166"/>
      <c r="DG745" s="116"/>
      <c r="DH745" s="117"/>
      <c r="DI745" s="24"/>
      <c r="DJ745" s="24"/>
      <c r="DK745" s="24"/>
      <c r="DL745" s="24"/>
      <c r="DM745" s="24"/>
      <c r="DN745" s="24"/>
      <c r="DO745" s="24"/>
      <c r="DP745" s="24"/>
      <c r="DQ745" s="24"/>
      <c r="DR745" s="24"/>
      <c r="DS745" s="24"/>
      <c r="DT745" s="24"/>
      <c r="DU745" s="24"/>
    </row>
    <row r="746" spans="1:125" s="8" customFormat="1" ht="84" x14ac:dyDescent="0.2">
      <c r="A746" s="77">
        <v>41316</v>
      </c>
      <c r="B746" s="225" t="s">
        <v>2718</v>
      </c>
      <c r="C746" s="227" t="s">
        <v>956</v>
      </c>
      <c r="D746" s="81" t="s">
        <v>2846</v>
      </c>
      <c r="E746" s="75" t="str">
        <f>VLOOKUP(B746&amp;C746,Divipola!$C$2:$F$1138,4,FALSE)</f>
        <v>23182</v>
      </c>
      <c r="F746" s="87"/>
      <c r="G746" s="87"/>
      <c r="H746" s="87"/>
      <c r="I746" s="87"/>
      <c r="J746" s="87"/>
      <c r="K746" s="87"/>
      <c r="L746" s="87"/>
      <c r="M746" s="87"/>
      <c r="N746" s="87"/>
      <c r="O746" s="87"/>
      <c r="P746" s="87"/>
      <c r="Q746" s="87"/>
      <c r="R746" s="87"/>
      <c r="S746" s="87"/>
      <c r="T746" s="87"/>
      <c r="U746" s="88">
        <v>50</v>
      </c>
      <c r="V746" s="89"/>
      <c r="W746" s="96">
        <v>0</v>
      </c>
      <c r="X746" s="71">
        <f>CU746</f>
        <v>0</v>
      </c>
      <c r="Y746" s="71">
        <f>CY746</f>
        <v>0</v>
      </c>
      <c r="Z746" s="71">
        <f>DA746+DC746+DE746</f>
        <v>0</v>
      </c>
      <c r="AA746" s="71">
        <f>CW746</f>
        <v>0</v>
      </c>
      <c r="AB746" s="71"/>
      <c r="AC746" s="71">
        <v>0</v>
      </c>
      <c r="AD746" s="71">
        <f>W746+X746+Y746+Z746+AA746+AB746+AC746</f>
        <v>0</v>
      </c>
      <c r="AE746" s="72">
        <v>0</v>
      </c>
      <c r="AF746" s="5"/>
      <c r="AG746" s="6"/>
      <c r="AH746" s="27" t="s">
        <v>3392</v>
      </c>
      <c r="AI746" s="44" t="s">
        <v>3393</v>
      </c>
      <c r="AJ746" s="26"/>
      <c r="AK746" s="5"/>
      <c r="AL746" s="82" t="s">
        <v>3466</v>
      </c>
      <c r="AM746" s="76"/>
      <c r="AN746" s="76"/>
      <c r="AO746" s="76"/>
      <c r="AP746" s="76"/>
      <c r="AQ746" s="76"/>
      <c r="AR746" s="76"/>
      <c r="AS746" s="76"/>
      <c r="AT746" s="76"/>
      <c r="AU746" s="76"/>
      <c r="AV746" s="76"/>
      <c r="AW746" s="76"/>
      <c r="AX746" s="76">
        <f>+AW746*600000</f>
        <v>0</v>
      </c>
      <c r="AY746" s="76"/>
      <c r="AZ746" s="76">
        <f>+AY746*70000</f>
        <v>0</v>
      </c>
      <c r="BA746" s="76"/>
      <c r="BB746" s="76"/>
      <c r="BC746" s="76"/>
      <c r="BD746" s="76">
        <f>+BC746*30000</f>
        <v>0</v>
      </c>
      <c r="BE746" s="76"/>
      <c r="BF746" s="76"/>
      <c r="BG746" s="76"/>
      <c r="BH746" s="76"/>
      <c r="BI746" s="76"/>
      <c r="BJ746" s="76"/>
      <c r="BK746" s="76"/>
      <c r="BL746" s="76">
        <f>+BK746*31500</f>
        <v>0</v>
      </c>
      <c r="BM746" s="76"/>
      <c r="BN746" s="76"/>
      <c r="BO746" s="76"/>
      <c r="BP746" s="76"/>
      <c r="BQ746" s="76"/>
      <c r="BR746" s="76"/>
      <c r="BS746" s="76"/>
      <c r="BT746" s="76"/>
      <c r="BU746" s="76"/>
      <c r="BV746" s="76"/>
      <c r="BW746" s="76"/>
      <c r="BX746" s="76"/>
      <c r="BY746" s="76"/>
      <c r="BZ746" s="76"/>
      <c r="CA746" s="76"/>
      <c r="CB746" s="76"/>
      <c r="CC746" s="76"/>
      <c r="CD746" s="76"/>
      <c r="CE746" s="76"/>
      <c r="CF746" s="76">
        <f>+CE746*28000</f>
        <v>0</v>
      </c>
      <c r="CG746" s="76"/>
      <c r="CH746" s="76">
        <f>+CG746*22500</f>
        <v>0</v>
      </c>
      <c r="CI746" s="76"/>
      <c r="CJ746" s="76">
        <f>+CI746*26000</f>
        <v>0</v>
      </c>
      <c r="CK746" s="76"/>
      <c r="CL746" s="76"/>
      <c r="CM746" s="76"/>
      <c r="CN746" s="76">
        <f>+CM746*22000</f>
        <v>0</v>
      </c>
      <c r="CO746" s="76"/>
      <c r="CP746" s="76">
        <f>+CO746*46000</f>
        <v>0</v>
      </c>
      <c r="CQ746" s="76"/>
      <c r="CR746" s="76">
        <f>+CQ746*49000</f>
        <v>0</v>
      </c>
      <c r="CS746" s="76"/>
      <c r="CT746" s="76"/>
      <c r="CU746" s="56">
        <f>AN746+AP746+AR746+AT746+AV746+AX746+AZ746+BB746+BD746+BF746+BH746+BJ746+BL746+BN746+BP746+BR746+BT746+BV746+BX746+BZ746+CB746+CD746+CF746+CH746+CJ746+CL746+CN746+CP746+CR746+CT746</f>
        <v>0</v>
      </c>
      <c r="CV746" s="76"/>
      <c r="CW746" s="76">
        <f>+CV746*1100</f>
        <v>0</v>
      </c>
      <c r="CX746" s="76"/>
      <c r="CY746" s="76">
        <f>+CX746*106250</f>
        <v>0</v>
      </c>
      <c r="CZ746" s="76"/>
      <c r="DA746" s="76">
        <f>+CZ746*34500</f>
        <v>0</v>
      </c>
      <c r="DB746" s="76"/>
      <c r="DC746" s="76">
        <f>+DB746*25000</f>
        <v>0</v>
      </c>
      <c r="DD746" s="219"/>
      <c r="DE746" s="219"/>
      <c r="DF746" s="166"/>
      <c r="DG746" s="116"/>
      <c r="DH746" s="117"/>
      <c r="DI746" s="24"/>
      <c r="DJ746" s="24"/>
      <c r="DK746" s="24"/>
      <c r="DL746" s="24"/>
      <c r="DM746" s="24"/>
      <c r="DN746" s="24"/>
      <c r="DO746" s="24"/>
      <c r="DP746" s="24"/>
      <c r="DQ746" s="24"/>
      <c r="DR746" s="24"/>
      <c r="DS746" s="24"/>
      <c r="DT746" s="24"/>
      <c r="DU746" s="24"/>
    </row>
    <row r="747" spans="1:125" s="8" customFormat="1" ht="72" x14ac:dyDescent="0.2">
      <c r="A747" s="77">
        <v>41316</v>
      </c>
      <c r="B747" s="78" t="s">
        <v>2772</v>
      </c>
      <c r="C747" s="75" t="s">
        <v>2100</v>
      </c>
      <c r="D747" s="84" t="s">
        <v>3088</v>
      </c>
      <c r="E747" s="75" t="str">
        <f>VLOOKUP(B747&amp;C747,Divipola!$C$2:$F$1138,4,FALSE)</f>
        <v>25402</v>
      </c>
      <c r="F747" s="87"/>
      <c r="G747" s="87"/>
      <c r="H747" s="87"/>
      <c r="I747" s="87"/>
      <c r="J747" s="87"/>
      <c r="K747" s="87"/>
      <c r="L747" s="87"/>
      <c r="M747" s="87"/>
      <c r="N747" s="87"/>
      <c r="O747" s="87"/>
      <c r="P747" s="87"/>
      <c r="Q747" s="87"/>
      <c r="R747" s="87"/>
      <c r="S747" s="87"/>
      <c r="T747" s="87"/>
      <c r="U747" s="88">
        <v>2</v>
      </c>
      <c r="V747" s="89"/>
      <c r="W747" s="96">
        <v>0</v>
      </c>
      <c r="X747" s="71">
        <f>CU747</f>
        <v>0</v>
      </c>
      <c r="Y747" s="71">
        <f>CY747</f>
        <v>0</v>
      </c>
      <c r="Z747" s="71">
        <f>DA747+DC747+DE747</f>
        <v>0</v>
      </c>
      <c r="AA747" s="71">
        <f>CW747</f>
        <v>0</v>
      </c>
      <c r="AB747" s="71"/>
      <c r="AC747" s="71">
        <v>0</v>
      </c>
      <c r="AD747" s="71">
        <f>W747+X747+Y747+Z747+AA747+AB747+AC747</f>
        <v>0</v>
      </c>
      <c r="AE747" s="72">
        <v>0</v>
      </c>
      <c r="AF747" s="5"/>
      <c r="AG747" s="6"/>
      <c r="AH747" s="27" t="s">
        <v>3392</v>
      </c>
      <c r="AI747" s="44" t="s">
        <v>3393</v>
      </c>
      <c r="AJ747" s="26"/>
      <c r="AK747" s="5"/>
      <c r="AL747" s="82" t="s">
        <v>4169</v>
      </c>
      <c r="AM747" s="76"/>
      <c r="AN747" s="76"/>
      <c r="AO747" s="76"/>
      <c r="AP747" s="76"/>
      <c r="AQ747" s="76"/>
      <c r="AR747" s="76"/>
      <c r="AS747" s="76"/>
      <c r="AT747" s="76"/>
      <c r="AU747" s="76"/>
      <c r="AV747" s="76"/>
      <c r="AW747" s="76"/>
      <c r="AX747" s="76">
        <f>+AW747*600000</f>
        <v>0</v>
      </c>
      <c r="AY747" s="76"/>
      <c r="AZ747" s="76">
        <f>+AY747*70000</f>
        <v>0</v>
      </c>
      <c r="BA747" s="76"/>
      <c r="BB747" s="76"/>
      <c r="BC747" s="76"/>
      <c r="BD747" s="76">
        <f>+BC747*30000</f>
        <v>0</v>
      </c>
      <c r="BE747" s="76"/>
      <c r="BF747" s="76"/>
      <c r="BG747" s="76"/>
      <c r="BH747" s="76"/>
      <c r="BI747" s="76"/>
      <c r="BJ747" s="76"/>
      <c r="BK747" s="76"/>
      <c r="BL747" s="76">
        <f>+BK747*31500</f>
        <v>0</v>
      </c>
      <c r="BM747" s="76"/>
      <c r="BN747" s="76"/>
      <c r="BO747" s="76"/>
      <c r="BP747" s="76"/>
      <c r="BQ747" s="76"/>
      <c r="BR747" s="76"/>
      <c r="BS747" s="76"/>
      <c r="BT747" s="76"/>
      <c r="BU747" s="76"/>
      <c r="BV747" s="76"/>
      <c r="BW747" s="76"/>
      <c r="BX747" s="76"/>
      <c r="BY747" s="76"/>
      <c r="BZ747" s="76"/>
      <c r="CA747" s="76"/>
      <c r="CB747" s="76"/>
      <c r="CC747" s="76"/>
      <c r="CD747" s="76"/>
      <c r="CE747" s="76"/>
      <c r="CF747" s="76">
        <f>+CE747*28000</f>
        <v>0</v>
      </c>
      <c r="CG747" s="76"/>
      <c r="CH747" s="76">
        <f>+CG747*22500</f>
        <v>0</v>
      </c>
      <c r="CI747" s="76"/>
      <c r="CJ747" s="76">
        <f>+CI747*26000</f>
        <v>0</v>
      </c>
      <c r="CK747" s="76"/>
      <c r="CL747" s="76"/>
      <c r="CM747" s="76"/>
      <c r="CN747" s="76">
        <f>+CM747*22000</f>
        <v>0</v>
      </c>
      <c r="CO747" s="76"/>
      <c r="CP747" s="76">
        <f>+CO747*46000</f>
        <v>0</v>
      </c>
      <c r="CQ747" s="76"/>
      <c r="CR747" s="76">
        <f>+CQ747*49000</f>
        <v>0</v>
      </c>
      <c r="CS747" s="76"/>
      <c r="CT747" s="76"/>
      <c r="CU747" s="56">
        <f>AN747+AP747+AR747+AT747+AV747+AX747+AZ747+BB747+BD747+BF747+BH747+BJ747+BL747+BN747+BP747+BR747+BT747+BV747+BX747+BZ747+CB747+CD747+CF747+CH747+CJ747+CL747+CN747+CP747+CR747+CT747</f>
        <v>0</v>
      </c>
      <c r="CV747" s="76"/>
      <c r="CW747" s="76">
        <f>+CV747*1100</f>
        <v>0</v>
      </c>
      <c r="CX747" s="76"/>
      <c r="CY747" s="76">
        <f>+CX747*106250</f>
        <v>0</v>
      </c>
      <c r="CZ747" s="76"/>
      <c r="DA747" s="76">
        <f>+CZ747*34500</f>
        <v>0</v>
      </c>
      <c r="DB747" s="76"/>
      <c r="DC747" s="76">
        <f>+DB747*25000</f>
        <v>0</v>
      </c>
      <c r="DD747" s="219"/>
      <c r="DE747" s="219"/>
      <c r="DF747" s="166"/>
      <c r="DG747" s="116"/>
      <c r="DH747" s="117"/>
      <c r="DI747" s="24"/>
      <c r="DJ747" s="24"/>
      <c r="DK747" s="24"/>
      <c r="DL747" s="24"/>
      <c r="DM747" s="24"/>
      <c r="DN747" s="24"/>
      <c r="DO747" s="24"/>
      <c r="DP747" s="24"/>
      <c r="DQ747" s="24"/>
      <c r="DR747" s="24"/>
      <c r="DS747" s="24"/>
      <c r="DT747" s="24"/>
      <c r="DU747" s="24"/>
    </row>
    <row r="748" spans="1:125" s="8" customFormat="1" ht="96" x14ac:dyDescent="0.2">
      <c r="A748" s="77">
        <v>41316</v>
      </c>
      <c r="B748" s="225" t="s">
        <v>3136</v>
      </c>
      <c r="C748" s="227" t="s">
        <v>2204</v>
      </c>
      <c r="D748" s="227" t="s">
        <v>2859</v>
      </c>
      <c r="E748" s="75" t="str">
        <f>VLOOKUP(B748&amp;C748,Divipola!$C$2:$F$1138,4,FALSE)</f>
        <v>44001</v>
      </c>
      <c r="F748" s="87"/>
      <c r="G748" s="87"/>
      <c r="H748" s="87"/>
      <c r="I748" s="87"/>
      <c r="J748" s="87"/>
      <c r="K748" s="87"/>
      <c r="L748" s="87"/>
      <c r="M748" s="87"/>
      <c r="N748" s="87"/>
      <c r="O748" s="87"/>
      <c r="P748" s="87"/>
      <c r="Q748" s="87"/>
      <c r="R748" s="87"/>
      <c r="S748" s="87"/>
      <c r="T748" s="87"/>
      <c r="U748" s="88"/>
      <c r="V748" s="89"/>
      <c r="W748" s="96">
        <v>0</v>
      </c>
      <c r="X748" s="71">
        <f>CU748</f>
        <v>0</v>
      </c>
      <c r="Y748" s="71">
        <f>CY748</f>
        <v>0</v>
      </c>
      <c r="Z748" s="71">
        <f>DA748+DC748+DE748</f>
        <v>0</v>
      </c>
      <c r="AA748" s="71">
        <f>CW748</f>
        <v>0</v>
      </c>
      <c r="AB748" s="71"/>
      <c r="AC748" s="71">
        <v>0</v>
      </c>
      <c r="AD748" s="71">
        <f>W748+X748+Y748+Z748+AA748+AB748+AC748</f>
        <v>0</v>
      </c>
      <c r="AE748" s="72">
        <v>0</v>
      </c>
      <c r="AF748" s="5"/>
      <c r="AG748" s="6"/>
      <c r="AH748" s="27" t="s">
        <v>3392</v>
      </c>
      <c r="AI748" s="44" t="s">
        <v>3393</v>
      </c>
      <c r="AJ748" s="26"/>
      <c r="AK748" s="5"/>
      <c r="AL748" s="82" t="s">
        <v>3469</v>
      </c>
      <c r="AM748" s="76"/>
      <c r="AN748" s="76"/>
      <c r="AO748" s="76"/>
      <c r="AP748" s="76"/>
      <c r="AQ748" s="76"/>
      <c r="AR748" s="76"/>
      <c r="AS748" s="76"/>
      <c r="AT748" s="76"/>
      <c r="AU748" s="76"/>
      <c r="AV748" s="76"/>
      <c r="AW748" s="76"/>
      <c r="AX748" s="76">
        <f>+AW748*600000</f>
        <v>0</v>
      </c>
      <c r="AY748" s="76"/>
      <c r="AZ748" s="76">
        <f>+AY748*70000</f>
        <v>0</v>
      </c>
      <c r="BA748" s="76"/>
      <c r="BB748" s="76"/>
      <c r="BC748" s="76"/>
      <c r="BD748" s="76">
        <f>+BC748*30000</f>
        <v>0</v>
      </c>
      <c r="BE748" s="76"/>
      <c r="BF748" s="76"/>
      <c r="BG748" s="76"/>
      <c r="BH748" s="76"/>
      <c r="BI748" s="76"/>
      <c r="BJ748" s="76"/>
      <c r="BK748" s="76"/>
      <c r="BL748" s="76">
        <f>+BK748*31500</f>
        <v>0</v>
      </c>
      <c r="BM748" s="76"/>
      <c r="BN748" s="76"/>
      <c r="BO748" s="76"/>
      <c r="BP748" s="76"/>
      <c r="BQ748" s="76"/>
      <c r="BR748" s="76"/>
      <c r="BS748" s="76"/>
      <c r="BT748" s="76"/>
      <c r="BU748" s="76"/>
      <c r="BV748" s="76"/>
      <c r="BW748" s="76"/>
      <c r="BX748" s="76"/>
      <c r="BY748" s="76"/>
      <c r="BZ748" s="76"/>
      <c r="CA748" s="76"/>
      <c r="CB748" s="76"/>
      <c r="CC748" s="76"/>
      <c r="CD748" s="76"/>
      <c r="CE748" s="76"/>
      <c r="CF748" s="76">
        <f>+CE748*28000</f>
        <v>0</v>
      </c>
      <c r="CG748" s="76"/>
      <c r="CH748" s="76">
        <f>+CG748*22500</f>
        <v>0</v>
      </c>
      <c r="CI748" s="76"/>
      <c r="CJ748" s="76">
        <f>+CI748*26000</f>
        <v>0</v>
      </c>
      <c r="CK748" s="76"/>
      <c r="CL748" s="76"/>
      <c r="CM748" s="76"/>
      <c r="CN748" s="76">
        <f>+CM748*22000</f>
        <v>0</v>
      </c>
      <c r="CO748" s="76"/>
      <c r="CP748" s="76">
        <f>+CO748*46000</f>
        <v>0</v>
      </c>
      <c r="CQ748" s="76"/>
      <c r="CR748" s="76">
        <f>+CQ748*49000</f>
        <v>0</v>
      </c>
      <c r="CS748" s="76"/>
      <c r="CT748" s="76"/>
      <c r="CU748" s="56">
        <f>AN748+AP748+AR748+AT748+AV748+AX748+AZ748+BB748+BD748+BF748+BH748+BJ748+BL748+BN748+BP748+BR748+BT748+BV748+BX748+BZ748+CB748+CD748+CF748+CH748+CJ748+CL748+CN748+CP748+CR748+CT748</f>
        <v>0</v>
      </c>
      <c r="CV748" s="76"/>
      <c r="CW748" s="76">
        <f>+CV748*1100</f>
        <v>0</v>
      </c>
      <c r="CX748" s="76"/>
      <c r="CY748" s="76">
        <f>+CX748*106250</f>
        <v>0</v>
      </c>
      <c r="CZ748" s="76"/>
      <c r="DA748" s="76">
        <f>+CZ748*34500</f>
        <v>0</v>
      </c>
      <c r="DB748" s="76"/>
      <c r="DC748" s="76">
        <f>+DB748*25000</f>
        <v>0</v>
      </c>
      <c r="DD748" s="219"/>
      <c r="DE748" s="219"/>
      <c r="DF748" s="166"/>
      <c r="DG748" s="116"/>
      <c r="DH748" s="117"/>
      <c r="DI748" s="24"/>
      <c r="DJ748" s="24"/>
      <c r="DK748" s="24"/>
      <c r="DL748" s="24"/>
      <c r="DM748" s="24"/>
      <c r="DN748" s="24"/>
      <c r="DO748" s="24"/>
      <c r="DP748" s="24"/>
      <c r="DQ748" s="24"/>
      <c r="DR748" s="24"/>
      <c r="DS748" s="24"/>
      <c r="DT748" s="24"/>
      <c r="DU748" s="24"/>
    </row>
    <row r="749" spans="1:125" s="8" customFormat="1" ht="96" x14ac:dyDescent="0.2">
      <c r="A749" s="77">
        <v>41316</v>
      </c>
      <c r="B749" s="78" t="s">
        <v>3136</v>
      </c>
      <c r="C749" s="75" t="s">
        <v>2204</v>
      </c>
      <c r="D749" s="81" t="s">
        <v>2846</v>
      </c>
      <c r="E749" s="75" t="str">
        <f>VLOOKUP(B749&amp;C749,Divipola!$C$2:$F$1138,4,FALSE)</f>
        <v>44001</v>
      </c>
      <c r="F749" s="87"/>
      <c r="G749" s="87"/>
      <c r="H749" s="87"/>
      <c r="I749" s="87"/>
      <c r="J749" s="87"/>
      <c r="K749" s="87"/>
      <c r="L749" s="87"/>
      <c r="M749" s="87"/>
      <c r="N749" s="87"/>
      <c r="O749" s="87"/>
      <c r="P749" s="87"/>
      <c r="Q749" s="87"/>
      <c r="R749" s="87"/>
      <c r="S749" s="87"/>
      <c r="T749" s="87"/>
      <c r="U749" s="88">
        <v>1</v>
      </c>
      <c r="V749" s="89"/>
      <c r="W749" s="96">
        <v>0</v>
      </c>
      <c r="X749" s="71">
        <f>CU749</f>
        <v>0</v>
      </c>
      <c r="Y749" s="71">
        <f>CY749</f>
        <v>0</v>
      </c>
      <c r="Z749" s="71">
        <f>DA749+DC749+DE749</f>
        <v>0</v>
      </c>
      <c r="AA749" s="71">
        <f>CW749</f>
        <v>0</v>
      </c>
      <c r="AB749" s="71"/>
      <c r="AC749" s="71">
        <v>0</v>
      </c>
      <c r="AD749" s="71">
        <f>W749+X749+Y749+Z749+AA749+AB749+AC749</f>
        <v>0</v>
      </c>
      <c r="AE749" s="72">
        <v>0</v>
      </c>
      <c r="AF749" s="5"/>
      <c r="AG749" s="6"/>
      <c r="AH749" s="27" t="s">
        <v>3392</v>
      </c>
      <c r="AI749" s="44" t="s">
        <v>3393</v>
      </c>
      <c r="AJ749" s="26"/>
      <c r="AK749" s="5"/>
      <c r="AL749" s="82" t="s">
        <v>3468</v>
      </c>
      <c r="AM749" s="76"/>
      <c r="AN749" s="76"/>
      <c r="AO749" s="76"/>
      <c r="AP749" s="76"/>
      <c r="AQ749" s="76"/>
      <c r="AR749" s="76"/>
      <c r="AS749" s="76"/>
      <c r="AT749" s="76"/>
      <c r="AU749" s="76"/>
      <c r="AV749" s="76"/>
      <c r="AW749" s="76"/>
      <c r="AX749" s="76">
        <f>+AW749*600000</f>
        <v>0</v>
      </c>
      <c r="AY749" s="76"/>
      <c r="AZ749" s="76">
        <f>+AY749*70000</f>
        <v>0</v>
      </c>
      <c r="BA749" s="76"/>
      <c r="BB749" s="76"/>
      <c r="BC749" s="76"/>
      <c r="BD749" s="76">
        <f>+BC749*30000</f>
        <v>0</v>
      </c>
      <c r="BE749" s="76"/>
      <c r="BF749" s="76"/>
      <c r="BG749" s="76"/>
      <c r="BH749" s="76"/>
      <c r="BI749" s="76"/>
      <c r="BJ749" s="76"/>
      <c r="BK749" s="76"/>
      <c r="BL749" s="76">
        <f>+BK749*31500</f>
        <v>0</v>
      </c>
      <c r="BM749" s="76"/>
      <c r="BN749" s="76"/>
      <c r="BO749" s="76"/>
      <c r="BP749" s="76"/>
      <c r="BQ749" s="76"/>
      <c r="BR749" s="76"/>
      <c r="BS749" s="76"/>
      <c r="BT749" s="76"/>
      <c r="BU749" s="76"/>
      <c r="BV749" s="76"/>
      <c r="BW749" s="76"/>
      <c r="BX749" s="76"/>
      <c r="BY749" s="76"/>
      <c r="BZ749" s="76"/>
      <c r="CA749" s="76"/>
      <c r="CB749" s="76"/>
      <c r="CC749" s="76"/>
      <c r="CD749" s="76"/>
      <c r="CE749" s="76"/>
      <c r="CF749" s="76">
        <f>+CE749*28000</f>
        <v>0</v>
      </c>
      <c r="CG749" s="76"/>
      <c r="CH749" s="76">
        <f>+CG749*22500</f>
        <v>0</v>
      </c>
      <c r="CI749" s="76"/>
      <c r="CJ749" s="76">
        <f>+CI749*26000</f>
        <v>0</v>
      </c>
      <c r="CK749" s="76"/>
      <c r="CL749" s="76"/>
      <c r="CM749" s="76"/>
      <c r="CN749" s="76">
        <f>+CM749*22000</f>
        <v>0</v>
      </c>
      <c r="CO749" s="76"/>
      <c r="CP749" s="76">
        <f>+CO749*46000</f>
        <v>0</v>
      </c>
      <c r="CQ749" s="76"/>
      <c r="CR749" s="76">
        <f>+CQ749*49000</f>
        <v>0</v>
      </c>
      <c r="CS749" s="76"/>
      <c r="CT749" s="76"/>
      <c r="CU749" s="56">
        <f>AN749+AP749+AR749+AT749+AV749+AX749+AZ749+BB749+BD749+BF749+BH749+BJ749+BL749+BN749+BP749+BR749+BT749+BV749+BX749+BZ749+CB749+CD749+CF749+CH749+CJ749+CL749+CN749+CP749+CR749+CT749</f>
        <v>0</v>
      </c>
      <c r="CV749" s="76"/>
      <c r="CW749" s="76">
        <f>+CV749*1100</f>
        <v>0</v>
      </c>
      <c r="CX749" s="76"/>
      <c r="CY749" s="76">
        <f>+CX749*106250</f>
        <v>0</v>
      </c>
      <c r="CZ749" s="76"/>
      <c r="DA749" s="76">
        <f>+CZ749*34500</f>
        <v>0</v>
      </c>
      <c r="DB749" s="76"/>
      <c r="DC749" s="76">
        <f>+DB749*25000</f>
        <v>0</v>
      </c>
      <c r="DD749" s="219"/>
      <c r="DE749" s="219"/>
      <c r="DF749" s="166"/>
      <c r="DG749" s="116"/>
      <c r="DH749" s="117"/>
      <c r="DI749" s="24"/>
      <c r="DJ749" s="24"/>
      <c r="DK749" s="24"/>
      <c r="DL749" s="24"/>
      <c r="DM749" s="24"/>
      <c r="DN749" s="24"/>
      <c r="DO749" s="24"/>
      <c r="DP749" s="24"/>
      <c r="DQ749" s="24"/>
      <c r="DR749" s="24"/>
      <c r="DS749" s="24"/>
      <c r="DT749" s="24"/>
      <c r="DU749" s="24"/>
    </row>
    <row r="750" spans="1:125" s="8" customFormat="1" ht="36" x14ac:dyDescent="0.2">
      <c r="A750" s="77">
        <v>41317</v>
      </c>
      <c r="B750" s="352" t="s">
        <v>2036</v>
      </c>
      <c r="C750" s="354" t="s">
        <v>1374</v>
      </c>
      <c r="D750" s="81" t="s">
        <v>2846</v>
      </c>
      <c r="E750" s="75" t="str">
        <f>VLOOKUP(B750&amp;C750,Divipola!$C$2:$F$1138,4,FALSE)</f>
        <v>81065</v>
      </c>
      <c r="F750" s="100"/>
      <c r="G750" s="100"/>
      <c r="H750" s="100"/>
      <c r="I750" s="100"/>
      <c r="J750" s="100"/>
      <c r="K750" s="100"/>
      <c r="L750" s="100"/>
      <c r="M750" s="100"/>
      <c r="N750" s="100"/>
      <c r="O750" s="100"/>
      <c r="P750" s="100"/>
      <c r="Q750" s="100"/>
      <c r="R750" s="100"/>
      <c r="S750" s="100"/>
      <c r="T750" s="100"/>
      <c r="U750" s="136"/>
      <c r="V750" s="89"/>
      <c r="W750" s="96">
        <v>0</v>
      </c>
      <c r="X750" s="71">
        <f>CU750</f>
        <v>0</v>
      </c>
      <c r="Y750" s="71">
        <f>CY750</f>
        <v>0</v>
      </c>
      <c r="Z750" s="71">
        <f>DA750+DC750+DE750</f>
        <v>0</v>
      </c>
      <c r="AA750" s="71">
        <f>CW750</f>
        <v>0</v>
      </c>
      <c r="AB750" s="71"/>
      <c r="AC750" s="71">
        <v>0</v>
      </c>
      <c r="AD750" s="71">
        <f>W750+X750+Y750+Z750+AA750+AB750+AC750</f>
        <v>0</v>
      </c>
      <c r="AE750" s="72">
        <v>0</v>
      </c>
      <c r="AF750" s="5"/>
      <c r="AG750" s="6"/>
      <c r="AH750" s="27" t="s">
        <v>3392</v>
      </c>
      <c r="AI750" s="44" t="s">
        <v>3393</v>
      </c>
      <c r="AJ750" s="26"/>
      <c r="AK750" s="5"/>
      <c r="AL750" s="82" t="s">
        <v>3474</v>
      </c>
      <c r="AM750" s="76"/>
      <c r="AN750" s="76"/>
      <c r="AO750" s="76"/>
      <c r="AP750" s="76"/>
      <c r="AQ750" s="76"/>
      <c r="AR750" s="76"/>
      <c r="AS750" s="76"/>
      <c r="AT750" s="76"/>
      <c r="AU750" s="76"/>
      <c r="AV750" s="76"/>
      <c r="AW750" s="76"/>
      <c r="AX750" s="76">
        <f>+AW750*600000</f>
        <v>0</v>
      </c>
      <c r="AY750" s="76"/>
      <c r="AZ750" s="76">
        <f>+AY750*70000</f>
        <v>0</v>
      </c>
      <c r="BA750" s="76"/>
      <c r="BB750" s="76"/>
      <c r="BC750" s="76"/>
      <c r="BD750" s="76">
        <f>+BC750*30000</f>
        <v>0</v>
      </c>
      <c r="BE750" s="76"/>
      <c r="BF750" s="76"/>
      <c r="BG750" s="76"/>
      <c r="BH750" s="76"/>
      <c r="BI750" s="76"/>
      <c r="BJ750" s="76"/>
      <c r="BK750" s="76"/>
      <c r="BL750" s="76">
        <f>+BK750*31500</f>
        <v>0</v>
      </c>
      <c r="BM750" s="76"/>
      <c r="BN750" s="76"/>
      <c r="BO750" s="76"/>
      <c r="BP750" s="76"/>
      <c r="BQ750" s="76"/>
      <c r="BR750" s="76"/>
      <c r="BS750" s="76"/>
      <c r="BT750" s="76"/>
      <c r="BU750" s="76"/>
      <c r="BV750" s="76"/>
      <c r="BW750" s="76"/>
      <c r="BX750" s="76"/>
      <c r="BY750" s="76"/>
      <c r="BZ750" s="76"/>
      <c r="CA750" s="76"/>
      <c r="CB750" s="76"/>
      <c r="CC750" s="76"/>
      <c r="CD750" s="76"/>
      <c r="CE750" s="76"/>
      <c r="CF750" s="76">
        <f>+CE750*28000</f>
        <v>0</v>
      </c>
      <c r="CG750" s="76"/>
      <c r="CH750" s="76">
        <f>+CG750*22500</f>
        <v>0</v>
      </c>
      <c r="CI750" s="76"/>
      <c r="CJ750" s="76">
        <f>+CI750*26000</f>
        <v>0</v>
      </c>
      <c r="CK750" s="76"/>
      <c r="CL750" s="76"/>
      <c r="CM750" s="76"/>
      <c r="CN750" s="76">
        <f>+CM750*22000</f>
        <v>0</v>
      </c>
      <c r="CO750" s="76"/>
      <c r="CP750" s="76">
        <f>+CO750*46000</f>
        <v>0</v>
      </c>
      <c r="CQ750" s="76"/>
      <c r="CR750" s="76">
        <f>+CQ750*49000</f>
        <v>0</v>
      </c>
      <c r="CS750" s="76"/>
      <c r="CT750" s="76"/>
      <c r="CU750" s="56">
        <f>AN750+AP750+AR750+AT750+AV750+AX750+AZ750+BB750+BD750+BF750+BH750+BJ750+BL750+BN750+BP750+BR750+BT750+BV750+BX750+BZ750+CB750+CD750+CF750+CH750+CJ750+CL750+CN750+CP750+CR750+CT750</f>
        <v>0</v>
      </c>
      <c r="CV750" s="76"/>
      <c r="CW750" s="76">
        <f>+CV750*1100</f>
        <v>0</v>
      </c>
      <c r="CX750" s="76"/>
      <c r="CY750" s="76">
        <f>+CX750*106250</f>
        <v>0</v>
      </c>
      <c r="CZ750" s="76"/>
      <c r="DA750" s="76">
        <f>+CZ750*34500</f>
        <v>0</v>
      </c>
      <c r="DB750" s="76"/>
      <c r="DC750" s="76">
        <f>+DB750*25000</f>
        <v>0</v>
      </c>
      <c r="DD750" s="219"/>
      <c r="DE750" s="219"/>
      <c r="DF750" s="166"/>
      <c r="DG750" s="116"/>
      <c r="DH750" s="117"/>
      <c r="DI750" s="24"/>
      <c r="DJ750" s="24"/>
      <c r="DK750" s="24"/>
      <c r="DL750" s="24"/>
      <c r="DM750" s="24"/>
      <c r="DN750" s="24"/>
      <c r="DO750" s="24"/>
      <c r="DP750" s="24"/>
      <c r="DQ750" s="24"/>
      <c r="DR750" s="24"/>
      <c r="DS750" s="24"/>
      <c r="DT750" s="24"/>
      <c r="DU750" s="24"/>
    </row>
    <row r="751" spans="1:125" s="8" customFormat="1" ht="96" x14ac:dyDescent="0.2">
      <c r="A751" s="77">
        <v>41317</v>
      </c>
      <c r="B751" s="78" t="s">
        <v>2700</v>
      </c>
      <c r="C751" s="75" t="s">
        <v>1375</v>
      </c>
      <c r="D751" s="75" t="s">
        <v>3051</v>
      </c>
      <c r="E751" s="75" t="str">
        <f>VLOOKUP(B751&amp;C751,Divipola!$C$2:$F$1138,4,FALSE)</f>
        <v>15759</v>
      </c>
      <c r="F751" s="100"/>
      <c r="G751" s="100"/>
      <c r="H751" s="100"/>
      <c r="I751" s="100">
        <v>505</v>
      </c>
      <c r="J751" s="100">
        <v>101</v>
      </c>
      <c r="K751" s="100">
        <v>1</v>
      </c>
      <c r="L751" s="100">
        <v>100</v>
      </c>
      <c r="M751" s="100"/>
      <c r="N751" s="100"/>
      <c r="O751" s="100"/>
      <c r="P751" s="100"/>
      <c r="Q751" s="100"/>
      <c r="R751" s="100"/>
      <c r="S751" s="100">
        <v>1</v>
      </c>
      <c r="T751" s="100"/>
      <c r="U751" s="136"/>
      <c r="V751" s="89"/>
      <c r="W751" s="96">
        <v>0</v>
      </c>
      <c r="X751" s="71">
        <f>CU751</f>
        <v>0</v>
      </c>
      <c r="Y751" s="71">
        <f>CY751</f>
        <v>0</v>
      </c>
      <c r="Z751" s="71">
        <f>DA751+DC751+DE751</f>
        <v>0</v>
      </c>
      <c r="AA751" s="71">
        <f>CW751</f>
        <v>0</v>
      </c>
      <c r="AB751" s="71"/>
      <c r="AC751" s="71">
        <v>0</v>
      </c>
      <c r="AD751" s="71">
        <f>W751+X751+Y751+Z751+AA751+AB751+AC751</f>
        <v>0</v>
      </c>
      <c r="AE751" s="72">
        <v>0</v>
      </c>
      <c r="AF751" s="5"/>
      <c r="AG751" s="6"/>
      <c r="AH751" s="27" t="s">
        <v>3392</v>
      </c>
      <c r="AI751" s="44" t="s">
        <v>3393</v>
      </c>
      <c r="AJ751" s="26"/>
      <c r="AK751" s="5"/>
      <c r="AL751" s="82" t="s">
        <v>3499</v>
      </c>
      <c r="AM751" s="76"/>
      <c r="AN751" s="76"/>
      <c r="AO751" s="76"/>
      <c r="AP751" s="76"/>
      <c r="AQ751" s="76"/>
      <c r="AR751" s="76"/>
      <c r="AS751" s="76"/>
      <c r="AT751" s="76"/>
      <c r="AU751" s="76"/>
      <c r="AV751" s="76"/>
      <c r="AW751" s="76"/>
      <c r="AX751" s="76">
        <f>+AW751*600000</f>
        <v>0</v>
      </c>
      <c r="AY751" s="76"/>
      <c r="AZ751" s="76">
        <f>+AY751*70000</f>
        <v>0</v>
      </c>
      <c r="BA751" s="76"/>
      <c r="BB751" s="76"/>
      <c r="BC751" s="76"/>
      <c r="BD751" s="76">
        <f>+BC751*30000</f>
        <v>0</v>
      </c>
      <c r="BE751" s="76"/>
      <c r="BF751" s="76"/>
      <c r="BG751" s="76"/>
      <c r="BH751" s="76"/>
      <c r="BI751" s="76"/>
      <c r="BJ751" s="76"/>
      <c r="BK751" s="76"/>
      <c r="BL751" s="76">
        <f>+BK751*31500</f>
        <v>0</v>
      </c>
      <c r="BM751" s="76"/>
      <c r="BN751" s="76"/>
      <c r="BO751" s="76"/>
      <c r="BP751" s="76"/>
      <c r="BQ751" s="76"/>
      <c r="BR751" s="76"/>
      <c r="BS751" s="76"/>
      <c r="BT751" s="76"/>
      <c r="BU751" s="76"/>
      <c r="BV751" s="76"/>
      <c r="BW751" s="76"/>
      <c r="BX751" s="76"/>
      <c r="BY751" s="76"/>
      <c r="BZ751" s="76"/>
      <c r="CA751" s="76"/>
      <c r="CB751" s="76"/>
      <c r="CC751" s="76"/>
      <c r="CD751" s="76"/>
      <c r="CE751" s="76"/>
      <c r="CF751" s="76">
        <f>+CE751*28000</f>
        <v>0</v>
      </c>
      <c r="CG751" s="76"/>
      <c r="CH751" s="76">
        <f>+CG751*22500</f>
        <v>0</v>
      </c>
      <c r="CI751" s="76"/>
      <c r="CJ751" s="76">
        <f>+CI751*26000</f>
        <v>0</v>
      </c>
      <c r="CK751" s="76"/>
      <c r="CL751" s="76"/>
      <c r="CM751" s="76"/>
      <c r="CN751" s="76">
        <f>+CM751*22000</f>
        <v>0</v>
      </c>
      <c r="CO751" s="76"/>
      <c r="CP751" s="76">
        <f>+CO751*46000</f>
        <v>0</v>
      </c>
      <c r="CQ751" s="76"/>
      <c r="CR751" s="76">
        <f>+CQ751*49000</f>
        <v>0</v>
      </c>
      <c r="CS751" s="76"/>
      <c r="CT751" s="76"/>
      <c r="CU751" s="56">
        <f>AN751+AP751+AR751+AT751+AV751+AX751+AZ751+BB751+BD751+BF751+BH751+BJ751+BL751+BN751+BP751+BR751+BT751+BV751+BX751+BZ751+CB751+CD751+CF751+CH751+CJ751+CL751+CN751+CP751+CR751+CT751</f>
        <v>0</v>
      </c>
      <c r="CV751" s="76"/>
      <c r="CW751" s="76">
        <f>+CV751*1100</f>
        <v>0</v>
      </c>
      <c r="CX751" s="76"/>
      <c r="CY751" s="76">
        <f>+CX751*106250</f>
        <v>0</v>
      </c>
      <c r="CZ751" s="76"/>
      <c r="DA751" s="76">
        <f>+CZ751*34500</f>
        <v>0</v>
      </c>
      <c r="DB751" s="76"/>
      <c r="DC751" s="76">
        <f>+DB751*25000</f>
        <v>0</v>
      </c>
      <c r="DD751" s="219"/>
      <c r="DE751" s="219"/>
      <c r="DF751" s="166"/>
      <c r="DG751" s="116"/>
      <c r="DH751" s="117"/>
      <c r="DI751" s="24"/>
      <c r="DJ751" s="24"/>
      <c r="DK751" s="24"/>
      <c r="DL751" s="24"/>
      <c r="DM751" s="24"/>
      <c r="DN751" s="24"/>
      <c r="DO751" s="24"/>
      <c r="DP751" s="24"/>
      <c r="DQ751" s="24"/>
      <c r="DR751" s="24"/>
      <c r="DS751" s="24"/>
      <c r="DT751" s="24"/>
      <c r="DU751" s="24"/>
    </row>
    <row r="752" spans="1:125" s="8" customFormat="1" ht="240" x14ac:dyDescent="0.2">
      <c r="A752" s="77">
        <v>41317</v>
      </c>
      <c r="B752" s="225" t="s">
        <v>2196</v>
      </c>
      <c r="C752" s="227" t="s">
        <v>783</v>
      </c>
      <c r="D752" s="227" t="s">
        <v>2849</v>
      </c>
      <c r="E752" s="75" t="str">
        <f>VLOOKUP(B752&amp;C752,Divipola!$C$2:$F$1138,4,FALSE)</f>
        <v>17877</v>
      </c>
      <c r="F752" s="87"/>
      <c r="G752" s="87">
        <v>19</v>
      </c>
      <c r="H752" s="87"/>
      <c r="I752" s="87"/>
      <c r="J752" s="87"/>
      <c r="K752" s="87"/>
      <c r="L752" s="87"/>
      <c r="M752" s="87"/>
      <c r="N752" s="87"/>
      <c r="O752" s="87"/>
      <c r="P752" s="87"/>
      <c r="Q752" s="87"/>
      <c r="R752" s="87"/>
      <c r="S752" s="87"/>
      <c r="T752" s="87"/>
      <c r="U752" s="88"/>
      <c r="V752" s="89"/>
      <c r="W752" s="96">
        <v>0</v>
      </c>
      <c r="X752" s="71">
        <f>CU752</f>
        <v>0</v>
      </c>
      <c r="Y752" s="71">
        <f>CY752</f>
        <v>0</v>
      </c>
      <c r="Z752" s="71">
        <f>DA752+DC752+DE752</f>
        <v>0</v>
      </c>
      <c r="AA752" s="71">
        <f>CW752</f>
        <v>0</v>
      </c>
      <c r="AB752" s="71"/>
      <c r="AC752" s="71">
        <v>0</v>
      </c>
      <c r="AD752" s="71">
        <f>W752+X752+Y752+Z752+AA752+AB752+AC752</f>
        <v>0</v>
      </c>
      <c r="AE752" s="72">
        <v>0</v>
      </c>
      <c r="AF752" s="5"/>
      <c r="AG752" s="6"/>
      <c r="AH752" s="27" t="s">
        <v>3392</v>
      </c>
      <c r="AI752" s="44" t="s">
        <v>3393</v>
      </c>
      <c r="AJ752" s="26"/>
      <c r="AK752" s="5"/>
      <c r="AL752" s="82" t="s">
        <v>3475</v>
      </c>
      <c r="AM752" s="76"/>
      <c r="AN752" s="76"/>
      <c r="AO752" s="76"/>
      <c r="AP752" s="76"/>
      <c r="AQ752" s="76"/>
      <c r="AR752" s="76"/>
      <c r="AS752" s="76"/>
      <c r="AT752" s="76"/>
      <c r="AU752" s="76"/>
      <c r="AV752" s="76"/>
      <c r="AW752" s="76"/>
      <c r="AX752" s="76">
        <f>+AW752*600000</f>
        <v>0</v>
      </c>
      <c r="AY752" s="76"/>
      <c r="AZ752" s="76">
        <f>+AY752*70000</f>
        <v>0</v>
      </c>
      <c r="BA752" s="76"/>
      <c r="BB752" s="76"/>
      <c r="BC752" s="76"/>
      <c r="BD752" s="76">
        <f>+BC752*30000</f>
        <v>0</v>
      </c>
      <c r="BE752" s="76"/>
      <c r="BF752" s="76"/>
      <c r="BG752" s="76"/>
      <c r="BH752" s="76"/>
      <c r="BI752" s="76"/>
      <c r="BJ752" s="76"/>
      <c r="BK752" s="76"/>
      <c r="BL752" s="76">
        <f>+BK752*31500</f>
        <v>0</v>
      </c>
      <c r="BM752" s="76"/>
      <c r="BN752" s="76"/>
      <c r="BO752" s="76"/>
      <c r="BP752" s="76"/>
      <c r="BQ752" s="76"/>
      <c r="BR752" s="76"/>
      <c r="BS752" s="76"/>
      <c r="BT752" s="76"/>
      <c r="BU752" s="76"/>
      <c r="BV752" s="76"/>
      <c r="BW752" s="76"/>
      <c r="BX752" s="76"/>
      <c r="BY752" s="76"/>
      <c r="BZ752" s="76"/>
      <c r="CA752" s="76"/>
      <c r="CB752" s="76"/>
      <c r="CC752" s="76"/>
      <c r="CD752" s="76"/>
      <c r="CE752" s="76"/>
      <c r="CF752" s="76">
        <f>+CE752*28000</f>
        <v>0</v>
      </c>
      <c r="CG752" s="76"/>
      <c r="CH752" s="76">
        <f>+CG752*22500</f>
        <v>0</v>
      </c>
      <c r="CI752" s="76"/>
      <c r="CJ752" s="76">
        <f>+CI752*26000</f>
        <v>0</v>
      </c>
      <c r="CK752" s="76"/>
      <c r="CL752" s="76"/>
      <c r="CM752" s="76"/>
      <c r="CN752" s="76">
        <f>+CM752*22000</f>
        <v>0</v>
      </c>
      <c r="CO752" s="76"/>
      <c r="CP752" s="76">
        <f>+CO752*46000</f>
        <v>0</v>
      </c>
      <c r="CQ752" s="76"/>
      <c r="CR752" s="76">
        <f>+CQ752*49000</f>
        <v>0</v>
      </c>
      <c r="CS752" s="76"/>
      <c r="CT752" s="76"/>
      <c r="CU752" s="56">
        <f>AN752+AP752+AR752+AT752+AV752+AX752+AZ752+BB752+BD752+BF752+BH752+BJ752+BL752+BN752+BP752+BR752+BT752+BV752+BX752+BZ752+CB752+CD752+CF752+CH752+CJ752+CL752+CN752+CP752+CR752+CT752</f>
        <v>0</v>
      </c>
      <c r="CV752" s="76"/>
      <c r="CW752" s="76">
        <f>+CV752*1100</f>
        <v>0</v>
      </c>
      <c r="CX752" s="76"/>
      <c r="CY752" s="76">
        <f>+CX752*106250</f>
        <v>0</v>
      </c>
      <c r="CZ752" s="76"/>
      <c r="DA752" s="76">
        <f>+CZ752*34500</f>
        <v>0</v>
      </c>
      <c r="DB752" s="76"/>
      <c r="DC752" s="76">
        <f>+DB752*25000</f>
        <v>0</v>
      </c>
      <c r="DD752" s="219"/>
      <c r="DE752" s="219"/>
      <c r="DF752" s="166"/>
      <c r="DG752" s="116"/>
      <c r="DH752" s="117"/>
      <c r="DI752" s="24"/>
      <c r="DJ752" s="24"/>
      <c r="DK752" s="24"/>
      <c r="DL752" s="24"/>
      <c r="DM752" s="24"/>
      <c r="DN752" s="24"/>
      <c r="DO752" s="24"/>
      <c r="DP752" s="24"/>
      <c r="DQ752" s="24"/>
      <c r="DR752" s="24"/>
      <c r="DS752" s="24"/>
      <c r="DT752" s="24"/>
      <c r="DU752" s="24"/>
    </row>
    <row r="753" spans="1:128" s="8" customFormat="1" ht="48" x14ac:dyDescent="0.2">
      <c r="A753" s="77">
        <v>41317</v>
      </c>
      <c r="B753" s="78" t="s">
        <v>2087</v>
      </c>
      <c r="C753" s="75" t="s">
        <v>790</v>
      </c>
      <c r="D753" s="75" t="s">
        <v>2859</v>
      </c>
      <c r="E753" s="75" t="str">
        <f>VLOOKUP(B753&amp;C753,Divipola!$C$2:$F$1138,4,FALSE)</f>
        <v>18150</v>
      </c>
      <c r="F753" s="87"/>
      <c r="G753" s="87"/>
      <c r="H753" s="87"/>
      <c r="I753" s="87">
        <v>10</v>
      </c>
      <c r="J753" s="87">
        <v>2</v>
      </c>
      <c r="K753" s="87">
        <v>2</v>
      </c>
      <c r="L753" s="87"/>
      <c r="M753" s="87"/>
      <c r="N753" s="87"/>
      <c r="O753" s="87"/>
      <c r="P753" s="87"/>
      <c r="Q753" s="87"/>
      <c r="R753" s="87"/>
      <c r="S753" s="87"/>
      <c r="T753" s="87"/>
      <c r="U753" s="88"/>
      <c r="V753" s="89"/>
      <c r="W753" s="96">
        <v>0</v>
      </c>
      <c r="X753" s="71">
        <f>CU753</f>
        <v>0</v>
      </c>
      <c r="Y753" s="71">
        <f>CY753</f>
        <v>0</v>
      </c>
      <c r="Z753" s="71">
        <f>DA753+DC753+DE753</f>
        <v>0</v>
      </c>
      <c r="AA753" s="71">
        <f>CW753</f>
        <v>0</v>
      </c>
      <c r="AB753" s="71"/>
      <c r="AC753" s="71">
        <v>0</v>
      </c>
      <c r="AD753" s="71">
        <f>W753+X753+Y753+Z753+AA753+AB753+AC753</f>
        <v>0</v>
      </c>
      <c r="AE753" s="72">
        <v>0</v>
      </c>
      <c r="AF753" s="5"/>
      <c r="AG753" s="6"/>
      <c r="AH753" s="27" t="s">
        <v>3392</v>
      </c>
      <c r="AI753" s="44" t="s">
        <v>3393</v>
      </c>
      <c r="AJ753" s="26"/>
      <c r="AK753" s="5"/>
      <c r="AL753" s="82" t="s">
        <v>3472</v>
      </c>
      <c r="AM753" s="76"/>
      <c r="AN753" s="76"/>
      <c r="AO753" s="76"/>
      <c r="AP753" s="76"/>
      <c r="AQ753" s="76"/>
      <c r="AR753" s="76"/>
      <c r="AS753" s="76"/>
      <c r="AT753" s="76"/>
      <c r="AU753" s="76"/>
      <c r="AV753" s="76"/>
      <c r="AW753" s="76"/>
      <c r="AX753" s="76">
        <f>+AW753*600000</f>
        <v>0</v>
      </c>
      <c r="AY753" s="76"/>
      <c r="AZ753" s="76">
        <f>+AY753*70000</f>
        <v>0</v>
      </c>
      <c r="BA753" s="76"/>
      <c r="BB753" s="76"/>
      <c r="BC753" s="76"/>
      <c r="BD753" s="76">
        <f>+BC753*30000</f>
        <v>0</v>
      </c>
      <c r="BE753" s="76"/>
      <c r="BF753" s="76"/>
      <c r="BG753" s="76"/>
      <c r="BH753" s="76"/>
      <c r="BI753" s="76"/>
      <c r="BJ753" s="76"/>
      <c r="BK753" s="76"/>
      <c r="BL753" s="76">
        <f>+BK753*31500</f>
        <v>0</v>
      </c>
      <c r="BM753" s="76"/>
      <c r="BN753" s="76"/>
      <c r="BO753" s="76"/>
      <c r="BP753" s="76"/>
      <c r="BQ753" s="76"/>
      <c r="BR753" s="76"/>
      <c r="BS753" s="76"/>
      <c r="BT753" s="76"/>
      <c r="BU753" s="76"/>
      <c r="BV753" s="76"/>
      <c r="BW753" s="76"/>
      <c r="BX753" s="76"/>
      <c r="BY753" s="76"/>
      <c r="BZ753" s="76"/>
      <c r="CA753" s="76"/>
      <c r="CB753" s="76"/>
      <c r="CC753" s="76"/>
      <c r="CD753" s="76"/>
      <c r="CE753" s="76"/>
      <c r="CF753" s="76">
        <f>+CE753*28000</f>
        <v>0</v>
      </c>
      <c r="CG753" s="76"/>
      <c r="CH753" s="76">
        <f>+CG753*22500</f>
        <v>0</v>
      </c>
      <c r="CI753" s="76"/>
      <c r="CJ753" s="76">
        <f>+CI753*26000</f>
        <v>0</v>
      </c>
      <c r="CK753" s="76"/>
      <c r="CL753" s="76"/>
      <c r="CM753" s="76"/>
      <c r="CN753" s="76">
        <f>+CM753*22000</f>
        <v>0</v>
      </c>
      <c r="CO753" s="76"/>
      <c r="CP753" s="76">
        <f>+CO753*46000</f>
        <v>0</v>
      </c>
      <c r="CQ753" s="76"/>
      <c r="CR753" s="76">
        <f>+CQ753*49000</f>
        <v>0</v>
      </c>
      <c r="CS753" s="76"/>
      <c r="CT753" s="76"/>
      <c r="CU753" s="56">
        <f>AN753+AP753+AR753+AT753+AV753+AX753+AZ753+BB753+BD753+BF753+BH753+BJ753+BL753+BN753+BP753+BR753+BT753+BV753+BX753+BZ753+CB753+CD753+CF753+CH753+CJ753+CL753+CN753+CP753+CR753+CT753</f>
        <v>0</v>
      </c>
      <c r="CV753" s="76"/>
      <c r="CW753" s="76">
        <f>+CV753*1100</f>
        <v>0</v>
      </c>
      <c r="CX753" s="76"/>
      <c r="CY753" s="76">
        <f>+CX753*106250</f>
        <v>0</v>
      </c>
      <c r="CZ753" s="76"/>
      <c r="DA753" s="76">
        <f>+CZ753*34500</f>
        <v>0</v>
      </c>
      <c r="DB753" s="76"/>
      <c r="DC753" s="76">
        <f>+DB753*25000</f>
        <v>0</v>
      </c>
      <c r="DD753" s="219"/>
      <c r="DE753" s="219"/>
      <c r="DF753" s="166"/>
      <c r="DG753" s="116"/>
      <c r="DH753" s="117"/>
      <c r="DI753" s="24"/>
      <c r="DJ753" s="24"/>
      <c r="DK753" s="24"/>
      <c r="DL753" s="24"/>
      <c r="DM753" s="24"/>
      <c r="DN753" s="24"/>
      <c r="DO753" s="24"/>
      <c r="DP753" s="24"/>
      <c r="DQ753" s="24"/>
      <c r="DR753" s="24"/>
      <c r="DS753" s="24"/>
      <c r="DT753" s="24"/>
      <c r="DU753" s="24"/>
    </row>
    <row r="754" spans="1:128" s="8" customFormat="1" ht="96" x14ac:dyDescent="0.2">
      <c r="A754" s="77">
        <v>41317</v>
      </c>
      <c r="B754" s="78" t="s">
        <v>2087</v>
      </c>
      <c r="C754" s="75" t="s">
        <v>2692</v>
      </c>
      <c r="D754" s="75" t="s">
        <v>2882</v>
      </c>
      <c r="E754" s="75" t="str">
        <f>VLOOKUP(B754&amp;C754,Divipola!$C$2:$F$1138,4,FALSE)</f>
        <v>18001</v>
      </c>
      <c r="F754" s="87"/>
      <c r="G754" s="87">
        <v>1</v>
      </c>
      <c r="H754" s="87"/>
      <c r="I754" s="87">
        <v>30</v>
      </c>
      <c r="J754" s="87">
        <v>6</v>
      </c>
      <c r="K754" s="87"/>
      <c r="L754" s="87">
        <v>6</v>
      </c>
      <c r="M754" s="87"/>
      <c r="N754" s="87"/>
      <c r="O754" s="87"/>
      <c r="P754" s="87"/>
      <c r="Q754" s="87"/>
      <c r="R754" s="87"/>
      <c r="S754" s="87"/>
      <c r="T754" s="87"/>
      <c r="U754" s="88"/>
      <c r="V754" s="89"/>
      <c r="W754" s="96">
        <v>0</v>
      </c>
      <c r="X754" s="71">
        <f>CU754</f>
        <v>0</v>
      </c>
      <c r="Y754" s="71">
        <f>CY754</f>
        <v>0</v>
      </c>
      <c r="Z754" s="71">
        <f>DA754+DC754+DE754</f>
        <v>0</v>
      </c>
      <c r="AA754" s="71">
        <f>CW754</f>
        <v>0</v>
      </c>
      <c r="AB754" s="71"/>
      <c r="AC754" s="71">
        <v>0</v>
      </c>
      <c r="AD754" s="71">
        <f>W754+X754+Y754+Z754+AA754+AB754+AC754</f>
        <v>0</v>
      </c>
      <c r="AE754" s="72">
        <v>0</v>
      </c>
      <c r="AF754" s="5"/>
      <c r="AG754" s="6"/>
      <c r="AH754" s="27" t="s">
        <v>3392</v>
      </c>
      <c r="AI754" s="44" t="s">
        <v>3393</v>
      </c>
      <c r="AJ754" s="26"/>
      <c r="AK754" s="5"/>
      <c r="AL754" s="82" t="s">
        <v>3478</v>
      </c>
      <c r="AM754" s="76"/>
      <c r="AN754" s="76"/>
      <c r="AO754" s="76"/>
      <c r="AP754" s="76"/>
      <c r="AQ754" s="76"/>
      <c r="AR754" s="76"/>
      <c r="AS754" s="76"/>
      <c r="AT754" s="76"/>
      <c r="AU754" s="76"/>
      <c r="AV754" s="76"/>
      <c r="AW754" s="76"/>
      <c r="AX754" s="76">
        <f>+AW754*600000</f>
        <v>0</v>
      </c>
      <c r="AY754" s="76"/>
      <c r="AZ754" s="76">
        <f>+AY754*70000</f>
        <v>0</v>
      </c>
      <c r="BA754" s="76"/>
      <c r="BB754" s="76"/>
      <c r="BC754" s="76"/>
      <c r="BD754" s="76">
        <f>+BC754*30000</f>
        <v>0</v>
      </c>
      <c r="BE754" s="76"/>
      <c r="BF754" s="76"/>
      <c r="BG754" s="76"/>
      <c r="BH754" s="76"/>
      <c r="BI754" s="76"/>
      <c r="BJ754" s="76"/>
      <c r="BK754" s="76"/>
      <c r="BL754" s="76">
        <f>+BK754*31500</f>
        <v>0</v>
      </c>
      <c r="BM754" s="76"/>
      <c r="BN754" s="76"/>
      <c r="BO754" s="76"/>
      <c r="BP754" s="76"/>
      <c r="BQ754" s="76"/>
      <c r="BR754" s="76"/>
      <c r="BS754" s="76"/>
      <c r="BT754" s="76"/>
      <c r="BU754" s="76"/>
      <c r="BV754" s="76"/>
      <c r="BW754" s="76"/>
      <c r="BX754" s="76"/>
      <c r="BY754" s="76"/>
      <c r="BZ754" s="76"/>
      <c r="CA754" s="76"/>
      <c r="CB754" s="76"/>
      <c r="CC754" s="76"/>
      <c r="CD754" s="76"/>
      <c r="CE754" s="76"/>
      <c r="CF754" s="76">
        <f>+CE754*28000</f>
        <v>0</v>
      </c>
      <c r="CG754" s="76"/>
      <c r="CH754" s="76">
        <f>+CG754*22500</f>
        <v>0</v>
      </c>
      <c r="CI754" s="76"/>
      <c r="CJ754" s="76">
        <f>+CI754*26000</f>
        <v>0</v>
      </c>
      <c r="CK754" s="76"/>
      <c r="CL754" s="76"/>
      <c r="CM754" s="76"/>
      <c r="CN754" s="76">
        <f>+CM754*22000</f>
        <v>0</v>
      </c>
      <c r="CO754" s="76"/>
      <c r="CP754" s="76">
        <f>+CO754*46000</f>
        <v>0</v>
      </c>
      <c r="CQ754" s="76"/>
      <c r="CR754" s="76">
        <f>+CQ754*49000</f>
        <v>0</v>
      </c>
      <c r="CS754" s="76"/>
      <c r="CT754" s="76"/>
      <c r="CU754" s="56">
        <f>AN754+AP754+AR754+AT754+AV754+AX754+AZ754+BB754+BD754+BF754+BH754+BJ754+BL754+BN754+BP754+BR754+BT754+BV754+BX754+BZ754+CB754+CD754+CF754+CH754+CJ754+CL754+CN754+CP754+CR754+CT754</f>
        <v>0</v>
      </c>
      <c r="CV754" s="76"/>
      <c r="CW754" s="76">
        <f>+CV754*1100</f>
        <v>0</v>
      </c>
      <c r="CX754" s="76"/>
      <c r="CY754" s="76">
        <f>+CX754*106250</f>
        <v>0</v>
      </c>
      <c r="CZ754" s="76"/>
      <c r="DA754" s="76">
        <f>+CZ754*34500</f>
        <v>0</v>
      </c>
      <c r="DB754" s="76"/>
      <c r="DC754" s="76">
        <f>+DB754*25000</f>
        <v>0</v>
      </c>
      <c r="DD754" s="219"/>
      <c r="DE754" s="219"/>
      <c r="DF754" s="166"/>
      <c r="DG754" s="116"/>
      <c r="DH754" s="117"/>
      <c r="DI754" s="24"/>
      <c r="DJ754" s="24"/>
      <c r="DK754" s="24"/>
      <c r="DL754" s="24"/>
      <c r="DM754" s="24"/>
      <c r="DN754" s="24"/>
      <c r="DO754" s="24"/>
      <c r="DP754" s="24"/>
      <c r="DQ754" s="24"/>
      <c r="DR754" s="24"/>
      <c r="DS754" s="24"/>
      <c r="DT754" s="24"/>
      <c r="DU754" s="24"/>
    </row>
    <row r="755" spans="1:128" s="8" customFormat="1" ht="36" x14ac:dyDescent="0.2">
      <c r="A755" s="77">
        <v>41317</v>
      </c>
      <c r="B755" s="225" t="s">
        <v>2661</v>
      </c>
      <c r="C755" s="227" t="s">
        <v>2105</v>
      </c>
      <c r="D755" s="75" t="s">
        <v>3051</v>
      </c>
      <c r="E755" s="75" t="str">
        <f>VLOOKUP(B755&amp;C755,Divipola!$C$2:$F$1138,4,FALSE)</f>
        <v>41615</v>
      </c>
      <c r="F755" s="100"/>
      <c r="G755" s="100"/>
      <c r="H755" s="100"/>
      <c r="I755" s="100">
        <v>5</v>
      </c>
      <c r="J755" s="100">
        <v>1</v>
      </c>
      <c r="K755" s="100"/>
      <c r="L755" s="100">
        <v>1</v>
      </c>
      <c r="M755" s="100"/>
      <c r="N755" s="100"/>
      <c r="O755" s="100"/>
      <c r="P755" s="100"/>
      <c r="Q755" s="100"/>
      <c r="R755" s="100"/>
      <c r="S755" s="100"/>
      <c r="T755" s="100"/>
      <c r="U755" s="136"/>
      <c r="V755" s="89"/>
      <c r="W755" s="96">
        <v>0</v>
      </c>
      <c r="X755" s="71">
        <f>CU755</f>
        <v>0</v>
      </c>
      <c r="Y755" s="71">
        <f>CY755</f>
        <v>0</v>
      </c>
      <c r="Z755" s="71">
        <f>DA755+DC755+DE755</f>
        <v>0</v>
      </c>
      <c r="AA755" s="71">
        <f>CW755</f>
        <v>0</v>
      </c>
      <c r="AB755" s="71"/>
      <c r="AC755" s="71">
        <v>0</v>
      </c>
      <c r="AD755" s="71">
        <f>W755+X755+Y755+Z755+AA755+AB755+AC755</f>
        <v>0</v>
      </c>
      <c r="AE755" s="72">
        <v>0</v>
      </c>
      <c r="AF755" s="5"/>
      <c r="AG755" s="6"/>
      <c r="AH755" s="27" t="s">
        <v>3392</v>
      </c>
      <c r="AI755" s="44" t="s">
        <v>3393</v>
      </c>
      <c r="AJ755" s="26"/>
      <c r="AK755" s="5"/>
      <c r="AL755" s="82" t="s">
        <v>3700</v>
      </c>
      <c r="AM755" s="76"/>
      <c r="AN755" s="76"/>
      <c r="AO755" s="76"/>
      <c r="AP755" s="76"/>
      <c r="AQ755" s="76"/>
      <c r="AR755" s="76"/>
      <c r="AS755" s="76"/>
      <c r="AT755" s="76"/>
      <c r="AU755" s="76"/>
      <c r="AV755" s="76"/>
      <c r="AW755" s="76"/>
      <c r="AX755" s="76">
        <f>+AW755*600000</f>
        <v>0</v>
      </c>
      <c r="AY755" s="76"/>
      <c r="AZ755" s="76">
        <f>+AY755*70000</f>
        <v>0</v>
      </c>
      <c r="BA755" s="76"/>
      <c r="BB755" s="76"/>
      <c r="BC755" s="76"/>
      <c r="BD755" s="76">
        <f>+BC755*30000</f>
        <v>0</v>
      </c>
      <c r="BE755" s="76"/>
      <c r="BF755" s="76"/>
      <c r="BG755" s="76"/>
      <c r="BH755" s="76"/>
      <c r="BI755" s="76"/>
      <c r="BJ755" s="76"/>
      <c r="BK755" s="76"/>
      <c r="BL755" s="76">
        <f>+BK755*31500</f>
        <v>0</v>
      </c>
      <c r="BM755" s="76"/>
      <c r="BN755" s="76"/>
      <c r="BO755" s="76"/>
      <c r="BP755" s="76"/>
      <c r="BQ755" s="76"/>
      <c r="BR755" s="76"/>
      <c r="BS755" s="76"/>
      <c r="BT755" s="76"/>
      <c r="BU755" s="76"/>
      <c r="BV755" s="76"/>
      <c r="BW755" s="76"/>
      <c r="BX755" s="76"/>
      <c r="BY755" s="76"/>
      <c r="BZ755" s="76"/>
      <c r="CA755" s="76"/>
      <c r="CB755" s="76"/>
      <c r="CC755" s="76"/>
      <c r="CD755" s="76"/>
      <c r="CE755" s="76"/>
      <c r="CF755" s="76">
        <f>+CE755*28000</f>
        <v>0</v>
      </c>
      <c r="CG755" s="76"/>
      <c r="CH755" s="76">
        <f>+CG755*22500</f>
        <v>0</v>
      </c>
      <c r="CI755" s="76"/>
      <c r="CJ755" s="76">
        <f>+CI755*26000</f>
        <v>0</v>
      </c>
      <c r="CK755" s="76"/>
      <c r="CL755" s="76"/>
      <c r="CM755" s="76"/>
      <c r="CN755" s="76">
        <f>+CM755*22000</f>
        <v>0</v>
      </c>
      <c r="CO755" s="76"/>
      <c r="CP755" s="76">
        <f>+CO755*46000</f>
        <v>0</v>
      </c>
      <c r="CQ755" s="76"/>
      <c r="CR755" s="76">
        <f>+CQ755*49000</f>
        <v>0</v>
      </c>
      <c r="CS755" s="76"/>
      <c r="CT755" s="76"/>
      <c r="CU755" s="56">
        <f>AN755+AP755+AR755+AT755+AV755+AX755+AZ755+BB755+BD755+BF755+BH755+BJ755+BL755+BN755+BP755+BR755+BT755+BV755+BX755+BZ755+CB755+CD755+CF755+CH755+CJ755+CL755+CN755+CP755+CR755+CT755</f>
        <v>0</v>
      </c>
      <c r="CV755" s="76"/>
      <c r="CW755" s="76">
        <f>+CV755*1100</f>
        <v>0</v>
      </c>
      <c r="CX755" s="76"/>
      <c r="CY755" s="76">
        <f>+CX755*106250</f>
        <v>0</v>
      </c>
      <c r="CZ755" s="76"/>
      <c r="DA755" s="76">
        <f>+CZ755*34500</f>
        <v>0</v>
      </c>
      <c r="DB755" s="76"/>
      <c r="DC755" s="76">
        <f>+DB755*25000</f>
        <v>0</v>
      </c>
      <c r="DD755" s="219"/>
      <c r="DE755" s="219"/>
      <c r="DF755" s="166"/>
      <c r="DG755" s="116"/>
      <c r="DH755" s="117"/>
      <c r="DI755" s="24"/>
      <c r="DJ755" s="24"/>
      <c r="DK755" s="24"/>
      <c r="DL755" s="24"/>
      <c r="DM755" s="24"/>
      <c r="DN755" s="24"/>
      <c r="DO755" s="24"/>
      <c r="DP755" s="24"/>
      <c r="DQ755" s="24"/>
      <c r="DR755" s="24"/>
      <c r="DS755" s="24"/>
      <c r="DT755" s="24"/>
      <c r="DU755" s="24"/>
    </row>
    <row r="756" spans="1:128" s="8" customFormat="1" ht="24" x14ac:dyDescent="0.2">
      <c r="A756" s="77">
        <v>41317</v>
      </c>
      <c r="B756" s="352" t="s">
        <v>2661</v>
      </c>
      <c r="C756" s="354" t="s">
        <v>2807</v>
      </c>
      <c r="D756" s="75" t="s">
        <v>3051</v>
      </c>
      <c r="E756" s="75" t="str">
        <f>VLOOKUP(B756&amp;C756,Divipola!$C$2:$F$1138,4,FALSE)</f>
        <v>41807</v>
      </c>
      <c r="F756" s="100"/>
      <c r="G756" s="100"/>
      <c r="H756" s="100"/>
      <c r="I756" s="100">
        <v>5</v>
      </c>
      <c r="J756" s="100">
        <v>1</v>
      </c>
      <c r="K756" s="100"/>
      <c r="L756" s="100">
        <v>1</v>
      </c>
      <c r="M756" s="100"/>
      <c r="N756" s="100"/>
      <c r="O756" s="100"/>
      <c r="P756" s="100"/>
      <c r="Q756" s="100"/>
      <c r="R756" s="100"/>
      <c r="S756" s="100"/>
      <c r="T756" s="100"/>
      <c r="U756" s="136"/>
      <c r="V756" s="89"/>
      <c r="W756" s="96">
        <v>0</v>
      </c>
      <c r="X756" s="71">
        <f>CU756</f>
        <v>0</v>
      </c>
      <c r="Y756" s="71">
        <f>CY756</f>
        <v>0</v>
      </c>
      <c r="Z756" s="71">
        <f>DA756+DC756+DE756</f>
        <v>0</v>
      </c>
      <c r="AA756" s="71">
        <f>CW756</f>
        <v>0</v>
      </c>
      <c r="AB756" s="71"/>
      <c r="AC756" s="71">
        <v>0</v>
      </c>
      <c r="AD756" s="71">
        <f>W756+X756+Y756+Z756+AA756+AB756+AC756</f>
        <v>0</v>
      </c>
      <c r="AE756" s="72">
        <v>0</v>
      </c>
      <c r="AF756" s="5"/>
      <c r="AG756" s="6"/>
      <c r="AH756" s="27" t="s">
        <v>3392</v>
      </c>
      <c r="AI756" s="44" t="s">
        <v>3393</v>
      </c>
      <c r="AJ756" s="26"/>
      <c r="AK756" s="5"/>
      <c r="AL756" s="82" t="s">
        <v>3701</v>
      </c>
      <c r="AM756" s="76"/>
      <c r="AN756" s="76"/>
      <c r="AO756" s="76"/>
      <c r="AP756" s="76"/>
      <c r="AQ756" s="76"/>
      <c r="AR756" s="76"/>
      <c r="AS756" s="76"/>
      <c r="AT756" s="76"/>
      <c r="AU756" s="76"/>
      <c r="AV756" s="76"/>
      <c r="AW756" s="76"/>
      <c r="AX756" s="76">
        <f>+AW756*600000</f>
        <v>0</v>
      </c>
      <c r="AY756" s="76"/>
      <c r="AZ756" s="76">
        <f>+AY756*70000</f>
        <v>0</v>
      </c>
      <c r="BA756" s="76"/>
      <c r="BB756" s="76"/>
      <c r="BC756" s="76"/>
      <c r="BD756" s="76">
        <f>+BC756*30000</f>
        <v>0</v>
      </c>
      <c r="BE756" s="76"/>
      <c r="BF756" s="76"/>
      <c r="BG756" s="76"/>
      <c r="BH756" s="76"/>
      <c r="BI756" s="76"/>
      <c r="BJ756" s="76"/>
      <c r="BK756" s="76"/>
      <c r="BL756" s="76">
        <f>+BK756*31500</f>
        <v>0</v>
      </c>
      <c r="BM756" s="76"/>
      <c r="BN756" s="76"/>
      <c r="BO756" s="76"/>
      <c r="BP756" s="76"/>
      <c r="BQ756" s="76"/>
      <c r="BR756" s="76"/>
      <c r="BS756" s="76"/>
      <c r="BT756" s="76"/>
      <c r="BU756" s="76"/>
      <c r="BV756" s="76"/>
      <c r="BW756" s="76"/>
      <c r="BX756" s="76"/>
      <c r="BY756" s="76"/>
      <c r="BZ756" s="76"/>
      <c r="CA756" s="76"/>
      <c r="CB756" s="76"/>
      <c r="CC756" s="76"/>
      <c r="CD756" s="76"/>
      <c r="CE756" s="76"/>
      <c r="CF756" s="76">
        <f>+CE756*28000</f>
        <v>0</v>
      </c>
      <c r="CG756" s="76"/>
      <c r="CH756" s="76">
        <f>+CG756*22500</f>
        <v>0</v>
      </c>
      <c r="CI756" s="76"/>
      <c r="CJ756" s="76">
        <f>+CI756*26000</f>
        <v>0</v>
      </c>
      <c r="CK756" s="76"/>
      <c r="CL756" s="76"/>
      <c r="CM756" s="76"/>
      <c r="CN756" s="76">
        <f>+CM756*22000</f>
        <v>0</v>
      </c>
      <c r="CO756" s="76"/>
      <c r="CP756" s="76">
        <f>+CO756*46000</f>
        <v>0</v>
      </c>
      <c r="CQ756" s="76"/>
      <c r="CR756" s="76">
        <f>+CQ756*49000</f>
        <v>0</v>
      </c>
      <c r="CS756" s="76"/>
      <c r="CT756" s="76"/>
      <c r="CU756" s="56">
        <f>AN756+AP756+AR756+AT756+AV756+AX756+AZ756+BB756+BD756+BF756+BH756+BJ756+BL756+BN756+BP756+BR756+BT756+BV756+BX756+BZ756+CB756+CD756+CF756+CH756+CJ756+CL756+CN756+CP756+CR756+CT756</f>
        <v>0</v>
      </c>
      <c r="CV756" s="76"/>
      <c r="CW756" s="76">
        <f>+CV756*1100</f>
        <v>0</v>
      </c>
      <c r="CX756" s="76"/>
      <c r="CY756" s="76">
        <f>+CX756*106250</f>
        <v>0</v>
      </c>
      <c r="CZ756" s="76"/>
      <c r="DA756" s="76">
        <f>+CZ756*34500</f>
        <v>0</v>
      </c>
      <c r="DB756" s="76"/>
      <c r="DC756" s="76">
        <f>+DB756*25000</f>
        <v>0</v>
      </c>
      <c r="DD756" s="219"/>
      <c r="DE756" s="219"/>
      <c r="DF756" s="166"/>
      <c r="DG756" s="116"/>
      <c r="DH756" s="117"/>
      <c r="DI756" s="24"/>
      <c r="DJ756" s="24"/>
      <c r="DK756" s="24"/>
      <c r="DL756" s="24"/>
      <c r="DM756" s="24"/>
      <c r="DN756" s="24"/>
      <c r="DO756" s="24"/>
      <c r="DP756" s="24"/>
      <c r="DQ756" s="24"/>
      <c r="DR756" s="24"/>
      <c r="DS756" s="24"/>
      <c r="DT756" s="24"/>
      <c r="DU756" s="24"/>
    </row>
    <row r="757" spans="1:128" s="8" customFormat="1" ht="48" x14ac:dyDescent="0.2">
      <c r="A757" s="77">
        <v>41317</v>
      </c>
      <c r="B757" s="225" t="s">
        <v>2848</v>
      </c>
      <c r="C757" s="227" t="s">
        <v>1862</v>
      </c>
      <c r="D757" s="75" t="s">
        <v>3051</v>
      </c>
      <c r="E757" s="75" t="str">
        <f>VLOOKUP(B757&amp;C757,Divipola!$C$2:$F$1138,4,FALSE)</f>
        <v>73067</v>
      </c>
      <c r="F757" s="87"/>
      <c r="G757" s="87"/>
      <c r="H757" s="87"/>
      <c r="I757" s="87">
        <v>35</v>
      </c>
      <c r="J757" s="87">
        <v>7</v>
      </c>
      <c r="K757" s="87"/>
      <c r="L757" s="87">
        <v>7</v>
      </c>
      <c r="M757" s="87"/>
      <c r="N757" s="87"/>
      <c r="O757" s="87"/>
      <c r="P757" s="87"/>
      <c r="Q757" s="87"/>
      <c r="R757" s="87"/>
      <c r="S757" s="87"/>
      <c r="T757" s="87"/>
      <c r="U757" s="88"/>
      <c r="V757" s="89"/>
      <c r="W757" s="96">
        <v>0</v>
      </c>
      <c r="X757" s="71">
        <f>CU757</f>
        <v>0</v>
      </c>
      <c r="Y757" s="71">
        <f>CY757</f>
        <v>0</v>
      </c>
      <c r="Z757" s="71">
        <f>DA757+DC757+DE757</f>
        <v>0</v>
      </c>
      <c r="AA757" s="71">
        <f>CW757</f>
        <v>0</v>
      </c>
      <c r="AB757" s="71"/>
      <c r="AC757" s="71">
        <v>0</v>
      </c>
      <c r="AD757" s="71">
        <f>W757+X757+Y757+Z757+AA757+AB757+AC757</f>
        <v>0</v>
      </c>
      <c r="AE757" s="72">
        <v>0</v>
      </c>
      <c r="AF757" s="5"/>
      <c r="AG757" s="6"/>
      <c r="AH757" s="27" t="s">
        <v>3392</v>
      </c>
      <c r="AI757" s="44" t="s">
        <v>3393</v>
      </c>
      <c r="AJ757" s="26"/>
      <c r="AK757" s="5"/>
      <c r="AL757" s="82" t="s">
        <v>3476</v>
      </c>
      <c r="AM757" s="76"/>
      <c r="AN757" s="76"/>
      <c r="AO757" s="76"/>
      <c r="AP757" s="76"/>
      <c r="AQ757" s="76"/>
      <c r="AR757" s="76"/>
      <c r="AS757" s="76"/>
      <c r="AT757" s="76"/>
      <c r="AU757" s="76"/>
      <c r="AV757" s="76"/>
      <c r="AW757" s="76"/>
      <c r="AX757" s="76">
        <f>+AW757*600000</f>
        <v>0</v>
      </c>
      <c r="AY757" s="76"/>
      <c r="AZ757" s="76">
        <f>+AY757*70000</f>
        <v>0</v>
      </c>
      <c r="BA757" s="76"/>
      <c r="BB757" s="76"/>
      <c r="BC757" s="76"/>
      <c r="BD757" s="76">
        <f>+BC757*30000</f>
        <v>0</v>
      </c>
      <c r="BE757" s="76"/>
      <c r="BF757" s="76"/>
      <c r="BG757" s="76"/>
      <c r="BH757" s="76"/>
      <c r="BI757" s="76"/>
      <c r="BJ757" s="76"/>
      <c r="BK757" s="76"/>
      <c r="BL757" s="76">
        <f>+BK757*31500</f>
        <v>0</v>
      </c>
      <c r="BM757" s="76"/>
      <c r="BN757" s="76"/>
      <c r="BO757" s="76"/>
      <c r="BP757" s="76"/>
      <c r="BQ757" s="76"/>
      <c r="BR757" s="76"/>
      <c r="BS757" s="76"/>
      <c r="BT757" s="76"/>
      <c r="BU757" s="76"/>
      <c r="BV757" s="76"/>
      <c r="BW757" s="76"/>
      <c r="BX757" s="76"/>
      <c r="BY757" s="76"/>
      <c r="BZ757" s="76"/>
      <c r="CA757" s="76"/>
      <c r="CB757" s="76"/>
      <c r="CC757" s="76"/>
      <c r="CD757" s="76"/>
      <c r="CE757" s="76"/>
      <c r="CF757" s="76">
        <f>+CE757*28000</f>
        <v>0</v>
      </c>
      <c r="CG757" s="76"/>
      <c r="CH757" s="76">
        <f>+CG757*22500</f>
        <v>0</v>
      </c>
      <c r="CI757" s="76"/>
      <c r="CJ757" s="76">
        <f>+CI757*26000</f>
        <v>0</v>
      </c>
      <c r="CK757" s="76"/>
      <c r="CL757" s="76"/>
      <c r="CM757" s="76"/>
      <c r="CN757" s="76">
        <f>+CM757*22000</f>
        <v>0</v>
      </c>
      <c r="CO757" s="76"/>
      <c r="CP757" s="76">
        <f>+CO757*46000</f>
        <v>0</v>
      </c>
      <c r="CQ757" s="76"/>
      <c r="CR757" s="76">
        <f>+CQ757*49000</f>
        <v>0</v>
      </c>
      <c r="CS757" s="76"/>
      <c r="CT757" s="76"/>
      <c r="CU757" s="56">
        <f>AN757+AP757+AR757+AT757+AV757+AX757+AZ757+BB757+BD757+BF757+BH757+BJ757+BL757+BN757+BP757+BR757+BT757+BV757+BX757+BZ757+CB757+CD757+CF757+CH757+CJ757+CL757+CN757+CP757+CR757+CT757</f>
        <v>0</v>
      </c>
      <c r="CV757" s="76"/>
      <c r="CW757" s="76">
        <f>+CV757*1100</f>
        <v>0</v>
      </c>
      <c r="CX757" s="76"/>
      <c r="CY757" s="76">
        <f>+CX757*106250</f>
        <v>0</v>
      </c>
      <c r="CZ757" s="76"/>
      <c r="DA757" s="76">
        <f>+CZ757*34500</f>
        <v>0</v>
      </c>
      <c r="DB757" s="76"/>
      <c r="DC757" s="76">
        <f>+DB757*25000</f>
        <v>0</v>
      </c>
      <c r="DD757" s="219"/>
      <c r="DE757" s="219"/>
      <c r="DF757" s="166"/>
      <c r="DG757" s="116"/>
      <c r="DH757" s="117"/>
      <c r="DI757" s="24"/>
      <c r="DJ757" s="24"/>
      <c r="DK757" s="24"/>
      <c r="DL757" s="24"/>
      <c r="DM757" s="24"/>
      <c r="DN757" s="24"/>
      <c r="DO757" s="24"/>
      <c r="DP757" s="24"/>
      <c r="DQ757" s="24"/>
      <c r="DR757" s="24"/>
      <c r="DS757" s="24"/>
      <c r="DT757" s="24"/>
      <c r="DU757" s="24"/>
    </row>
    <row r="758" spans="1:128" s="8" customFormat="1" ht="48" x14ac:dyDescent="0.2">
      <c r="A758" s="77">
        <v>41317</v>
      </c>
      <c r="B758" s="225" t="s">
        <v>2848</v>
      </c>
      <c r="C758" s="227" t="s">
        <v>2674</v>
      </c>
      <c r="D758" s="84" t="s">
        <v>3088</v>
      </c>
      <c r="E758" s="75" t="str">
        <f>VLOOKUP(B758&amp;C758,Divipola!$C$2:$F$1138,4,FALSE)</f>
        <v>73352</v>
      </c>
      <c r="F758" s="100"/>
      <c r="G758" s="100"/>
      <c r="H758" s="100"/>
      <c r="I758" s="100"/>
      <c r="J758" s="100"/>
      <c r="K758" s="100"/>
      <c r="L758" s="100"/>
      <c r="M758" s="100"/>
      <c r="N758" s="100"/>
      <c r="O758" s="100"/>
      <c r="P758" s="100"/>
      <c r="Q758" s="100"/>
      <c r="R758" s="100"/>
      <c r="S758" s="100"/>
      <c r="T758" s="100"/>
      <c r="U758" s="136"/>
      <c r="V758" s="89"/>
      <c r="W758" s="96">
        <v>0</v>
      </c>
      <c r="X758" s="71">
        <f>CU758</f>
        <v>0</v>
      </c>
      <c r="Y758" s="71">
        <f>CY758</f>
        <v>0</v>
      </c>
      <c r="Z758" s="71">
        <f>DA758+DC758+DE758</f>
        <v>0</v>
      </c>
      <c r="AA758" s="71">
        <f>CW758</f>
        <v>0</v>
      </c>
      <c r="AB758" s="71"/>
      <c r="AC758" s="71">
        <v>0</v>
      </c>
      <c r="AD758" s="71">
        <f>W758+X758+Y758+Z758+AA758+AB758+AC758</f>
        <v>0</v>
      </c>
      <c r="AE758" s="72">
        <v>0</v>
      </c>
      <c r="AF758" s="5"/>
      <c r="AG758" s="6"/>
      <c r="AH758" s="27" t="s">
        <v>3392</v>
      </c>
      <c r="AI758" s="44" t="s">
        <v>3393</v>
      </c>
      <c r="AJ758" s="26"/>
      <c r="AK758" s="5"/>
      <c r="AL758" s="82" t="s">
        <v>3477</v>
      </c>
      <c r="AM758" s="76"/>
      <c r="AN758" s="76"/>
      <c r="AO758" s="76"/>
      <c r="AP758" s="76"/>
      <c r="AQ758" s="76"/>
      <c r="AR758" s="76"/>
      <c r="AS758" s="76"/>
      <c r="AT758" s="76"/>
      <c r="AU758" s="76"/>
      <c r="AV758" s="76"/>
      <c r="AW758" s="76"/>
      <c r="AX758" s="76">
        <f>+AW758*600000</f>
        <v>0</v>
      </c>
      <c r="AY758" s="76"/>
      <c r="AZ758" s="76">
        <f>+AY758*70000</f>
        <v>0</v>
      </c>
      <c r="BA758" s="76"/>
      <c r="BB758" s="76"/>
      <c r="BC758" s="76"/>
      <c r="BD758" s="76">
        <f>+BC758*30000</f>
        <v>0</v>
      </c>
      <c r="BE758" s="76"/>
      <c r="BF758" s="76"/>
      <c r="BG758" s="76"/>
      <c r="BH758" s="76"/>
      <c r="BI758" s="76"/>
      <c r="BJ758" s="76"/>
      <c r="BK758" s="76"/>
      <c r="BL758" s="76">
        <f>+BK758*31500</f>
        <v>0</v>
      </c>
      <c r="BM758" s="76"/>
      <c r="BN758" s="76"/>
      <c r="BO758" s="76"/>
      <c r="BP758" s="76"/>
      <c r="BQ758" s="76"/>
      <c r="BR758" s="76"/>
      <c r="BS758" s="76"/>
      <c r="BT758" s="76"/>
      <c r="BU758" s="76"/>
      <c r="BV758" s="76"/>
      <c r="BW758" s="76"/>
      <c r="BX758" s="76"/>
      <c r="BY758" s="76"/>
      <c r="BZ758" s="76"/>
      <c r="CA758" s="76"/>
      <c r="CB758" s="76"/>
      <c r="CC758" s="76"/>
      <c r="CD758" s="76"/>
      <c r="CE758" s="76"/>
      <c r="CF758" s="76">
        <f>+CE758*28000</f>
        <v>0</v>
      </c>
      <c r="CG758" s="76"/>
      <c r="CH758" s="76">
        <f>+CG758*22500</f>
        <v>0</v>
      </c>
      <c r="CI758" s="76"/>
      <c r="CJ758" s="76">
        <f>+CI758*26000</f>
        <v>0</v>
      </c>
      <c r="CK758" s="76"/>
      <c r="CL758" s="76"/>
      <c r="CM758" s="76"/>
      <c r="CN758" s="76">
        <f>+CM758*22000</f>
        <v>0</v>
      </c>
      <c r="CO758" s="76"/>
      <c r="CP758" s="76">
        <f>+CO758*46000</f>
        <v>0</v>
      </c>
      <c r="CQ758" s="76"/>
      <c r="CR758" s="76">
        <f>+CQ758*49000</f>
        <v>0</v>
      </c>
      <c r="CS758" s="76"/>
      <c r="CT758" s="76"/>
      <c r="CU758" s="56">
        <f>AN758+AP758+AR758+AT758+AV758+AX758+AZ758+BB758+BD758+BF758+BH758+BJ758+BL758+BN758+BP758+BR758+BT758+BV758+BX758+BZ758+CB758+CD758+CF758+CH758+CJ758+CL758+CN758+CP758+CR758+CT758</f>
        <v>0</v>
      </c>
      <c r="CV758" s="76"/>
      <c r="CW758" s="76">
        <f>+CV758*1100</f>
        <v>0</v>
      </c>
      <c r="CX758" s="76"/>
      <c r="CY758" s="76">
        <f>+CX758*106250</f>
        <v>0</v>
      </c>
      <c r="CZ758" s="76"/>
      <c r="DA758" s="76">
        <f>+CZ758*34500</f>
        <v>0</v>
      </c>
      <c r="DB758" s="76"/>
      <c r="DC758" s="76">
        <f>+DB758*25000</f>
        <v>0</v>
      </c>
      <c r="DD758" s="219"/>
      <c r="DE758" s="219"/>
      <c r="DF758" s="166"/>
      <c r="DG758" s="116"/>
      <c r="DH758" s="117"/>
      <c r="DI758" s="24"/>
      <c r="DJ758" s="24"/>
      <c r="DK758" s="24"/>
      <c r="DL758" s="24"/>
      <c r="DM758" s="24"/>
      <c r="DN758" s="24"/>
      <c r="DO758" s="24"/>
      <c r="DP758" s="24"/>
      <c r="DQ758" s="24"/>
      <c r="DR758" s="24"/>
      <c r="DS758" s="24"/>
      <c r="DT758" s="24"/>
      <c r="DU758" s="24"/>
    </row>
    <row r="759" spans="1:128" s="8" customFormat="1" ht="60" x14ac:dyDescent="0.2">
      <c r="A759" s="77">
        <v>41317</v>
      </c>
      <c r="B759" s="352" t="s">
        <v>2851</v>
      </c>
      <c r="C759" s="227" t="s">
        <v>2667</v>
      </c>
      <c r="D759" s="227" t="s">
        <v>2859</v>
      </c>
      <c r="E759" s="75" t="str">
        <f>VLOOKUP(B759&amp;C759,Divipola!$C$2:$F$1138,4,FALSE)</f>
        <v>76364</v>
      </c>
      <c r="F759" s="87"/>
      <c r="G759" s="87"/>
      <c r="H759" s="87"/>
      <c r="I759" s="87">
        <v>5</v>
      </c>
      <c r="J759" s="87">
        <v>1</v>
      </c>
      <c r="K759" s="87">
        <v>1</v>
      </c>
      <c r="L759" s="87"/>
      <c r="M759" s="87"/>
      <c r="N759" s="87"/>
      <c r="O759" s="87"/>
      <c r="P759" s="87"/>
      <c r="Q759" s="87"/>
      <c r="R759" s="87"/>
      <c r="S759" s="87"/>
      <c r="T759" s="87"/>
      <c r="U759" s="88"/>
      <c r="V759" s="89"/>
      <c r="W759" s="96">
        <v>0</v>
      </c>
      <c r="X759" s="71">
        <f>CU759</f>
        <v>0</v>
      </c>
      <c r="Y759" s="71">
        <f>CY759</f>
        <v>0</v>
      </c>
      <c r="Z759" s="71">
        <f>DA759+DC759+DE759</f>
        <v>0</v>
      </c>
      <c r="AA759" s="71">
        <f>CW759</f>
        <v>0</v>
      </c>
      <c r="AB759" s="71"/>
      <c r="AC759" s="71">
        <v>0</v>
      </c>
      <c r="AD759" s="71">
        <f>W759+X759+Y759+Z759+AA759+AB759+AC759</f>
        <v>0</v>
      </c>
      <c r="AE759" s="72">
        <v>0</v>
      </c>
      <c r="AF759" s="5"/>
      <c r="AG759" s="6"/>
      <c r="AH759" s="27" t="s">
        <v>3392</v>
      </c>
      <c r="AI759" s="44" t="s">
        <v>3393</v>
      </c>
      <c r="AJ759" s="26"/>
      <c r="AK759" s="5"/>
      <c r="AL759" s="82" t="s">
        <v>3473</v>
      </c>
      <c r="AM759" s="76"/>
      <c r="AN759" s="76"/>
      <c r="AO759" s="76"/>
      <c r="AP759" s="76"/>
      <c r="AQ759" s="76"/>
      <c r="AR759" s="76"/>
      <c r="AS759" s="76"/>
      <c r="AT759" s="76"/>
      <c r="AU759" s="76"/>
      <c r="AV759" s="76"/>
      <c r="AW759" s="76"/>
      <c r="AX759" s="76">
        <f>+AW759*600000</f>
        <v>0</v>
      </c>
      <c r="AY759" s="76"/>
      <c r="AZ759" s="76">
        <f>+AY759*70000</f>
        <v>0</v>
      </c>
      <c r="BA759" s="76"/>
      <c r="BB759" s="76"/>
      <c r="BC759" s="76"/>
      <c r="BD759" s="76">
        <f>+BC759*30000</f>
        <v>0</v>
      </c>
      <c r="BE759" s="76"/>
      <c r="BF759" s="76"/>
      <c r="BG759" s="76"/>
      <c r="BH759" s="76"/>
      <c r="BI759" s="76"/>
      <c r="BJ759" s="76"/>
      <c r="BK759" s="76"/>
      <c r="BL759" s="76">
        <f>+BK759*31500</f>
        <v>0</v>
      </c>
      <c r="BM759" s="76"/>
      <c r="BN759" s="76"/>
      <c r="BO759" s="76"/>
      <c r="BP759" s="76"/>
      <c r="BQ759" s="76"/>
      <c r="BR759" s="76"/>
      <c r="BS759" s="76"/>
      <c r="BT759" s="76"/>
      <c r="BU759" s="76"/>
      <c r="BV759" s="76"/>
      <c r="BW759" s="76"/>
      <c r="BX759" s="76"/>
      <c r="BY759" s="76"/>
      <c r="BZ759" s="76"/>
      <c r="CA759" s="76"/>
      <c r="CB759" s="76"/>
      <c r="CC759" s="76"/>
      <c r="CD759" s="76"/>
      <c r="CE759" s="76"/>
      <c r="CF759" s="76">
        <f>+CE759*28000</f>
        <v>0</v>
      </c>
      <c r="CG759" s="76"/>
      <c r="CH759" s="76">
        <f>+CG759*22500</f>
        <v>0</v>
      </c>
      <c r="CI759" s="76"/>
      <c r="CJ759" s="76">
        <f>+CI759*26000</f>
        <v>0</v>
      </c>
      <c r="CK759" s="76"/>
      <c r="CL759" s="76"/>
      <c r="CM759" s="76"/>
      <c r="CN759" s="76">
        <f>+CM759*22000</f>
        <v>0</v>
      </c>
      <c r="CO759" s="76"/>
      <c r="CP759" s="76">
        <f>+CO759*46000</f>
        <v>0</v>
      </c>
      <c r="CQ759" s="76"/>
      <c r="CR759" s="76">
        <f>+CQ759*49000</f>
        <v>0</v>
      </c>
      <c r="CS759" s="76"/>
      <c r="CT759" s="76"/>
      <c r="CU759" s="56">
        <f>AN759+AP759+AR759+AT759+AV759+AX759+AZ759+BB759+BD759+BF759+BH759+BJ759+BL759+BN759+BP759+BR759+BT759+BV759+BX759+BZ759+CB759+CD759+CF759+CH759+CJ759+CL759+CN759+CP759+CR759+CT759</f>
        <v>0</v>
      </c>
      <c r="CV759" s="76"/>
      <c r="CW759" s="76">
        <f>+CV759*1100</f>
        <v>0</v>
      </c>
      <c r="CX759" s="76"/>
      <c r="CY759" s="76">
        <f>+CX759*106250</f>
        <v>0</v>
      </c>
      <c r="CZ759" s="76"/>
      <c r="DA759" s="76">
        <f>+CZ759*34500</f>
        <v>0</v>
      </c>
      <c r="DB759" s="76"/>
      <c r="DC759" s="76">
        <f>+DB759*25000</f>
        <v>0</v>
      </c>
      <c r="DD759" s="219"/>
      <c r="DE759" s="219"/>
      <c r="DF759" s="166"/>
      <c r="DG759" s="116"/>
      <c r="DH759" s="117"/>
      <c r="DI759" s="24"/>
      <c r="DJ759" s="24"/>
      <c r="DK759" s="24"/>
      <c r="DL759" s="24"/>
      <c r="DM759" s="24"/>
      <c r="DN759" s="24"/>
      <c r="DO759" s="24"/>
      <c r="DP759" s="24"/>
      <c r="DQ759" s="24"/>
      <c r="DR759" s="24"/>
      <c r="DS759" s="24"/>
      <c r="DT759" s="24"/>
      <c r="DU759" s="24"/>
    </row>
    <row r="760" spans="1:128" s="8" customFormat="1" ht="60" x14ac:dyDescent="0.2">
      <c r="A760" s="77">
        <v>41318</v>
      </c>
      <c r="B760" s="78" t="s">
        <v>2036</v>
      </c>
      <c r="C760" s="75" t="s">
        <v>1374</v>
      </c>
      <c r="D760" s="81" t="s">
        <v>2846</v>
      </c>
      <c r="E760" s="75" t="str">
        <f>VLOOKUP(B760&amp;C760,Divipola!$C$2:$F$1138,4,FALSE)</f>
        <v>81065</v>
      </c>
      <c r="F760" s="87"/>
      <c r="G760" s="87"/>
      <c r="H760" s="87"/>
      <c r="I760" s="87"/>
      <c r="J760" s="87"/>
      <c r="K760" s="87"/>
      <c r="L760" s="87"/>
      <c r="M760" s="87"/>
      <c r="N760" s="87"/>
      <c r="O760" s="87"/>
      <c r="P760" s="87"/>
      <c r="Q760" s="87"/>
      <c r="R760" s="87"/>
      <c r="S760" s="87"/>
      <c r="T760" s="87"/>
      <c r="U760" s="88"/>
      <c r="V760" s="89"/>
      <c r="W760" s="96">
        <v>0</v>
      </c>
      <c r="X760" s="71">
        <f>CU760</f>
        <v>0</v>
      </c>
      <c r="Y760" s="71">
        <f>CY760</f>
        <v>0</v>
      </c>
      <c r="Z760" s="71">
        <f>DA760+DC760+DE760</f>
        <v>0</v>
      </c>
      <c r="AA760" s="71">
        <f>CW760</f>
        <v>0</v>
      </c>
      <c r="AB760" s="71"/>
      <c r="AC760" s="71">
        <v>0</v>
      </c>
      <c r="AD760" s="71">
        <f>W760+X760+Y760+Z760+AA760+AB760+AC760</f>
        <v>0</v>
      </c>
      <c r="AE760" s="72">
        <v>0</v>
      </c>
      <c r="AF760" s="5"/>
      <c r="AG760" s="6"/>
      <c r="AH760" s="27" t="s">
        <v>3392</v>
      </c>
      <c r="AI760" s="44" t="s">
        <v>3393</v>
      </c>
      <c r="AJ760" s="26"/>
      <c r="AK760" s="5"/>
      <c r="AL760" s="82" t="s">
        <v>3496</v>
      </c>
      <c r="AM760" s="76"/>
      <c r="AN760" s="76"/>
      <c r="AO760" s="76"/>
      <c r="AP760" s="76"/>
      <c r="AQ760" s="76"/>
      <c r="AR760" s="76"/>
      <c r="AS760" s="76"/>
      <c r="AT760" s="76"/>
      <c r="AU760" s="76"/>
      <c r="AV760" s="76"/>
      <c r="AW760" s="76"/>
      <c r="AX760" s="76">
        <f>+AW760*600000</f>
        <v>0</v>
      </c>
      <c r="AY760" s="76"/>
      <c r="AZ760" s="76">
        <f>+AY760*70000</f>
        <v>0</v>
      </c>
      <c r="BA760" s="76"/>
      <c r="BB760" s="76"/>
      <c r="BC760" s="76"/>
      <c r="BD760" s="76">
        <f>+BC760*30000</f>
        <v>0</v>
      </c>
      <c r="BE760" s="76"/>
      <c r="BF760" s="76"/>
      <c r="BG760" s="76"/>
      <c r="BH760" s="76"/>
      <c r="BI760" s="76"/>
      <c r="BJ760" s="76"/>
      <c r="BK760" s="76"/>
      <c r="BL760" s="76">
        <f>+BK760*31500</f>
        <v>0</v>
      </c>
      <c r="BM760" s="76"/>
      <c r="BN760" s="76"/>
      <c r="BO760" s="76"/>
      <c r="BP760" s="76"/>
      <c r="BQ760" s="76"/>
      <c r="BR760" s="76"/>
      <c r="BS760" s="76"/>
      <c r="BT760" s="76"/>
      <c r="BU760" s="76"/>
      <c r="BV760" s="76"/>
      <c r="BW760" s="76"/>
      <c r="BX760" s="76"/>
      <c r="BY760" s="76"/>
      <c r="BZ760" s="76"/>
      <c r="CA760" s="76"/>
      <c r="CB760" s="76"/>
      <c r="CC760" s="76"/>
      <c r="CD760" s="76"/>
      <c r="CE760" s="76"/>
      <c r="CF760" s="76">
        <f>+CE760*28000</f>
        <v>0</v>
      </c>
      <c r="CG760" s="76"/>
      <c r="CH760" s="76">
        <f>+CG760*22500</f>
        <v>0</v>
      </c>
      <c r="CI760" s="76"/>
      <c r="CJ760" s="76">
        <f>+CI760*26000</f>
        <v>0</v>
      </c>
      <c r="CK760" s="76"/>
      <c r="CL760" s="76"/>
      <c r="CM760" s="76"/>
      <c r="CN760" s="76">
        <f>+CM760*22000</f>
        <v>0</v>
      </c>
      <c r="CO760" s="76"/>
      <c r="CP760" s="76">
        <f>+CO760*46000</f>
        <v>0</v>
      </c>
      <c r="CQ760" s="76"/>
      <c r="CR760" s="76">
        <f>+CQ760*49000</f>
        <v>0</v>
      </c>
      <c r="CS760" s="76"/>
      <c r="CT760" s="76"/>
      <c r="CU760" s="56">
        <f>AN760+AP760+AR760+AT760+AV760+AX760+AZ760+BB760+BD760+BF760+BH760+BJ760+BL760+BN760+BP760+BR760+BT760+BV760+BX760+BZ760+CB760+CD760+CF760+CH760+CJ760+CL760+CN760+CP760+CR760+CT760</f>
        <v>0</v>
      </c>
      <c r="CV760" s="76"/>
      <c r="CW760" s="76">
        <f>+CV760*1100</f>
        <v>0</v>
      </c>
      <c r="CX760" s="76"/>
      <c r="CY760" s="76">
        <f>+CX760*106250</f>
        <v>0</v>
      </c>
      <c r="CZ760" s="76"/>
      <c r="DA760" s="76">
        <f>+CZ760*34500</f>
        <v>0</v>
      </c>
      <c r="DB760" s="76"/>
      <c r="DC760" s="76">
        <f>+DB760*25000</f>
        <v>0</v>
      </c>
      <c r="DD760" s="219"/>
      <c r="DE760" s="219"/>
      <c r="DF760" s="166"/>
      <c r="DG760" s="116"/>
      <c r="DH760" s="117"/>
      <c r="DI760" s="24"/>
      <c r="DJ760" s="24"/>
      <c r="DK760" s="24"/>
      <c r="DL760" s="24"/>
      <c r="DM760" s="24"/>
      <c r="DN760" s="24"/>
      <c r="DO760" s="24"/>
      <c r="DP760" s="24"/>
      <c r="DQ760" s="24"/>
      <c r="DR760" s="24"/>
      <c r="DS760" s="24"/>
      <c r="DT760" s="24"/>
      <c r="DU760" s="24"/>
    </row>
    <row r="761" spans="1:128" s="8" customFormat="1" ht="168" x14ac:dyDescent="0.2">
      <c r="A761" s="77">
        <v>41318</v>
      </c>
      <c r="B761" s="225" t="s">
        <v>2777</v>
      </c>
      <c r="C761" s="227" t="s">
        <v>2762</v>
      </c>
      <c r="D761" s="227" t="s">
        <v>3635</v>
      </c>
      <c r="E761" s="75" t="str">
        <f>VLOOKUP(B761&amp;C761,Divipola!$C$2:$F$1138,4,FALSE)</f>
        <v>13074</v>
      </c>
      <c r="F761" s="100"/>
      <c r="G761" s="100"/>
      <c r="H761" s="100">
        <v>1</v>
      </c>
      <c r="I761" s="100"/>
      <c r="J761" s="100"/>
      <c r="K761" s="100"/>
      <c r="L761" s="100"/>
      <c r="M761" s="100"/>
      <c r="N761" s="100"/>
      <c r="O761" s="100"/>
      <c r="P761" s="100"/>
      <c r="Q761" s="100"/>
      <c r="R761" s="100"/>
      <c r="S761" s="100"/>
      <c r="T761" s="100"/>
      <c r="U761" s="136"/>
      <c r="V761" s="89"/>
      <c r="W761" s="96">
        <v>0</v>
      </c>
      <c r="X761" s="71">
        <f>CU761</f>
        <v>0</v>
      </c>
      <c r="Y761" s="71">
        <f>CY761</f>
        <v>0</v>
      </c>
      <c r="Z761" s="71">
        <f>DA761+DC761+DE761</f>
        <v>0</v>
      </c>
      <c r="AA761" s="71">
        <f>CW761</f>
        <v>0</v>
      </c>
      <c r="AB761" s="71"/>
      <c r="AC761" s="71">
        <v>0</v>
      </c>
      <c r="AD761" s="71">
        <f>W761+X761+Y761+Z761+AA761+AB761+AC761</f>
        <v>0</v>
      </c>
      <c r="AE761" s="72">
        <v>0</v>
      </c>
      <c r="AF761" s="5"/>
      <c r="AG761" s="6"/>
      <c r="AH761" s="27" t="s">
        <v>3392</v>
      </c>
      <c r="AI761" s="44" t="s">
        <v>3393</v>
      </c>
      <c r="AJ761" s="26"/>
      <c r="AK761" s="5"/>
      <c r="AL761" s="82" t="s">
        <v>3498</v>
      </c>
      <c r="AM761" s="76"/>
      <c r="AN761" s="76"/>
      <c r="AO761" s="76"/>
      <c r="AP761" s="76"/>
      <c r="AQ761" s="76"/>
      <c r="AR761" s="76"/>
      <c r="AS761" s="76"/>
      <c r="AT761" s="76"/>
      <c r="AU761" s="76"/>
      <c r="AV761" s="76"/>
      <c r="AW761" s="76"/>
      <c r="AX761" s="76">
        <f>+AW761*600000</f>
        <v>0</v>
      </c>
      <c r="AY761" s="76"/>
      <c r="AZ761" s="76">
        <f>+AY761*70000</f>
        <v>0</v>
      </c>
      <c r="BA761" s="76"/>
      <c r="BB761" s="76"/>
      <c r="BC761" s="76"/>
      <c r="BD761" s="76">
        <f>+BC761*30000</f>
        <v>0</v>
      </c>
      <c r="BE761" s="76"/>
      <c r="BF761" s="76"/>
      <c r="BG761" s="76"/>
      <c r="BH761" s="76"/>
      <c r="BI761" s="76"/>
      <c r="BJ761" s="76"/>
      <c r="BK761" s="76"/>
      <c r="BL761" s="76">
        <f>+BK761*31500</f>
        <v>0</v>
      </c>
      <c r="BM761" s="76"/>
      <c r="BN761" s="76"/>
      <c r="BO761" s="76"/>
      <c r="BP761" s="76"/>
      <c r="BQ761" s="76"/>
      <c r="BR761" s="76"/>
      <c r="BS761" s="76"/>
      <c r="BT761" s="76"/>
      <c r="BU761" s="76"/>
      <c r="BV761" s="76"/>
      <c r="BW761" s="76"/>
      <c r="BX761" s="76"/>
      <c r="BY761" s="76"/>
      <c r="BZ761" s="76"/>
      <c r="CA761" s="76"/>
      <c r="CB761" s="76"/>
      <c r="CC761" s="76"/>
      <c r="CD761" s="76"/>
      <c r="CE761" s="76"/>
      <c r="CF761" s="76">
        <f>+CE761*28000</f>
        <v>0</v>
      </c>
      <c r="CG761" s="76"/>
      <c r="CH761" s="76">
        <f>+CG761*22500</f>
        <v>0</v>
      </c>
      <c r="CI761" s="76"/>
      <c r="CJ761" s="76">
        <f>+CI761*26000</f>
        <v>0</v>
      </c>
      <c r="CK761" s="76"/>
      <c r="CL761" s="76"/>
      <c r="CM761" s="76"/>
      <c r="CN761" s="76">
        <f>+CM761*22000</f>
        <v>0</v>
      </c>
      <c r="CO761" s="76"/>
      <c r="CP761" s="76">
        <f>+CO761*46000</f>
        <v>0</v>
      </c>
      <c r="CQ761" s="76"/>
      <c r="CR761" s="76">
        <f>+CQ761*49000</f>
        <v>0</v>
      </c>
      <c r="CS761" s="76"/>
      <c r="CT761" s="76"/>
      <c r="CU761" s="56">
        <f>AN761+AP761+AR761+AT761+AV761+AX761+AZ761+BB761+BD761+BF761+BH761+BJ761+BL761+BN761+BP761+BR761+BT761+BV761+BX761+BZ761+CB761+CD761+CF761+CH761+CJ761+CL761+CN761+CP761+CR761+CT761</f>
        <v>0</v>
      </c>
      <c r="CV761" s="76"/>
      <c r="CW761" s="76">
        <f>+CV761*1100</f>
        <v>0</v>
      </c>
      <c r="CX761" s="76"/>
      <c r="CY761" s="76">
        <f>+CX761*106250</f>
        <v>0</v>
      </c>
      <c r="CZ761" s="76"/>
      <c r="DA761" s="76">
        <f>+CZ761*34500</f>
        <v>0</v>
      </c>
      <c r="DB761" s="76"/>
      <c r="DC761" s="76">
        <f>+DB761*25000</f>
        <v>0</v>
      </c>
      <c r="DD761" s="219"/>
      <c r="DE761" s="219"/>
      <c r="DF761" s="166"/>
      <c r="DG761" s="116"/>
      <c r="DH761" s="117"/>
      <c r="DI761" s="24"/>
      <c r="DJ761" s="24"/>
      <c r="DK761" s="24"/>
      <c r="DL761" s="24"/>
      <c r="DM761" s="24"/>
      <c r="DN761" s="24"/>
      <c r="DO761" s="24"/>
      <c r="DP761" s="24"/>
      <c r="DQ761" s="24"/>
      <c r="DR761" s="24"/>
      <c r="DS761" s="24"/>
      <c r="DT761" s="24"/>
      <c r="DU761" s="24"/>
    </row>
    <row r="762" spans="1:128" s="8" customFormat="1" ht="36" x14ac:dyDescent="0.2">
      <c r="A762" s="77">
        <v>41318</v>
      </c>
      <c r="B762" s="225" t="s">
        <v>2087</v>
      </c>
      <c r="C762" s="227" t="s">
        <v>2692</v>
      </c>
      <c r="D762" s="227" t="s">
        <v>2859</v>
      </c>
      <c r="E762" s="75" t="str">
        <f>VLOOKUP(B762&amp;C762,Divipola!$C$2:$F$1138,4,FALSE)</f>
        <v>18001</v>
      </c>
      <c r="F762" s="87"/>
      <c r="G762" s="87"/>
      <c r="H762" s="87"/>
      <c r="I762" s="87"/>
      <c r="J762" s="87"/>
      <c r="K762" s="87"/>
      <c r="L762" s="87"/>
      <c r="M762" s="87"/>
      <c r="N762" s="87"/>
      <c r="O762" s="87"/>
      <c r="P762" s="87"/>
      <c r="Q762" s="87"/>
      <c r="R762" s="87"/>
      <c r="S762" s="87"/>
      <c r="T762" s="87"/>
      <c r="U762" s="88"/>
      <c r="V762" s="89"/>
      <c r="W762" s="96">
        <v>0</v>
      </c>
      <c r="X762" s="71">
        <f>CU762</f>
        <v>0</v>
      </c>
      <c r="Y762" s="71">
        <f>CY762</f>
        <v>0</v>
      </c>
      <c r="Z762" s="71">
        <f>DA762+DC762+DE762</f>
        <v>0</v>
      </c>
      <c r="AA762" s="71">
        <f>CW762</f>
        <v>0</v>
      </c>
      <c r="AB762" s="71"/>
      <c r="AC762" s="71">
        <v>0</v>
      </c>
      <c r="AD762" s="71">
        <f>W762+X762+Y762+Z762+AA762+AB762+AC762</f>
        <v>0</v>
      </c>
      <c r="AE762" s="72">
        <v>0</v>
      </c>
      <c r="AF762" s="5"/>
      <c r="AG762" s="6"/>
      <c r="AH762" s="27" t="s">
        <v>3392</v>
      </c>
      <c r="AI762" s="44" t="s">
        <v>3393</v>
      </c>
      <c r="AJ762" s="26"/>
      <c r="AK762" s="5"/>
      <c r="AL762" s="82" t="s">
        <v>3495</v>
      </c>
      <c r="AM762" s="76"/>
      <c r="AN762" s="76"/>
      <c r="AO762" s="76"/>
      <c r="AP762" s="76"/>
      <c r="AQ762" s="76"/>
      <c r="AR762" s="76"/>
      <c r="AS762" s="76"/>
      <c r="AT762" s="76"/>
      <c r="AU762" s="76"/>
      <c r="AV762" s="76"/>
      <c r="AW762" s="76"/>
      <c r="AX762" s="76">
        <f>+AW762*600000</f>
        <v>0</v>
      </c>
      <c r="AY762" s="76"/>
      <c r="AZ762" s="76">
        <f>+AY762*70000</f>
        <v>0</v>
      </c>
      <c r="BA762" s="76"/>
      <c r="BB762" s="76"/>
      <c r="BC762" s="76"/>
      <c r="BD762" s="76">
        <f>+BC762*30000</f>
        <v>0</v>
      </c>
      <c r="BE762" s="76"/>
      <c r="BF762" s="76"/>
      <c r="BG762" s="76"/>
      <c r="BH762" s="76"/>
      <c r="BI762" s="76"/>
      <c r="BJ762" s="76"/>
      <c r="BK762" s="76"/>
      <c r="BL762" s="76">
        <f>+BK762*31500</f>
        <v>0</v>
      </c>
      <c r="BM762" s="76"/>
      <c r="BN762" s="76"/>
      <c r="BO762" s="76"/>
      <c r="BP762" s="76"/>
      <c r="BQ762" s="76"/>
      <c r="BR762" s="76"/>
      <c r="BS762" s="76"/>
      <c r="BT762" s="76"/>
      <c r="BU762" s="76"/>
      <c r="BV762" s="76"/>
      <c r="BW762" s="76"/>
      <c r="BX762" s="76"/>
      <c r="BY762" s="76"/>
      <c r="BZ762" s="76"/>
      <c r="CA762" s="76"/>
      <c r="CB762" s="76"/>
      <c r="CC762" s="76"/>
      <c r="CD762" s="76"/>
      <c r="CE762" s="76"/>
      <c r="CF762" s="76">
        <f>+CE762*28000</f>
        <v>0</v>
      </c>
      <c r="CG762" s="76"/>
      <c r="CH762" s="76">
        <f>+CG762*22500</f>
        <v>0</v>
      </c>
      <c r="CI762" s="76"/>
      <c r="CJ762" s="76">
        <f>+CI762*26000</f>
        <v>0</v>
      </c>
      <c r="CK762" s="76"/>
      <c r="CL762" s="76"/>
      <c r="CM762" s="76"/>
      <c r="CN762" s="76">
        <f>+CM762*22000</f>
        <v>0</v>
      </c>
      <c r="CO762" s="76"/>
      <c r="CP762" s="76">
        <f>+CO762*46000</f>
        <v>0</v>
      </c>
      <c r="CQ762" s="76"/>
      <c r="CR762" s="76">
        <f>+CQ762*49000</f>
        <v>0</v>
      </c>
      <c r="CS762" s="76"/>
      <c r="CT762" s="76"/>
      <c r="CU762" s="56">
        <f>AN762+AP762+AR762+AT762+AV762+AX762+AZ762+BB762+BD762+BF762+BH762+BJ762+BL762+BN762+BP762+BR762+BT762+BV762+BX762+BZ762+CB762+CD762+CF762+CH762+CJ762+CL762+CN762+CP762+CR762+CT762</f>
        <v>0</v>
      </c>
      <c r="CV762" s="76"/>
      <c r="CW762" s="76">
        <f>+CV762*1100</f>
        <v>0</v>
      </c>
      <c r="CX762" s="76"/>
      <c r="CY762" s="76">
        <f>+CX762*106250</f>
        <v>0</v>
      </c>
      <c r="CZ762" s="76"/>
      <c r="DA762" s="76">
        <f>+CZ762*34500</f>
        <v>0</v>
      </c>
      <c r="DB762" s="76"/>
      <c r="DC762" s="76">
        <f>+DB762*25000</f>
        <v>0</v>
      </c>
      <c r="DD762" s="219"/>
      <c r="DE762" s="219"/>
      <c r="DF762" s="166"/>
      <c r="DG762" s="116"/>
      <c r="DH762" s="117"/>
      <c r="DI762" s="245"/>
      <c r="DJ762" s="245"/>
      <c r="DK762" s="245"/>
      <c r="DL762" s="245"/>
      <c r="DM762" s="245"/>
      <c r="DN762" s="245"/>
      <c r="DO762" s="245"/>
      <c r="DP762" s="245"/>
      <c r="DQ762" s="245"/>
      <c r="DR762" s="245"/>
      <c r="DS762" s="245"/>
      <c r="DT762" s="245"/>
      <c r="DU762" s="245"/>
      <c r="DV762" s="246"/>
      <c r="DW762" s="246"/>
      <c r="DX762" s="246"/>
    </row>
    <row r="763" spans="1:128" s="8" customFormat="1" ht="48" x14ac:dyDescent="0.2">
      <c r="A763" s="77">
        <v>41318</v>
      </c>
      <c r="B763" s="78" t="s">
        <v>2778</v>
      </c>
      <c r="C763" s="75" t="s">
        <v>1344</v>
      </c>
      <c r="D763" s="81" t="s">
        <v>2846</v>
      </c>
      <c r="E763" s="75" t="str">
        <f>VLOOKUP(B763&amp;C763,Divipola!$C$2:$F$1138,4,FALSE)</f>
        <v>85001</v>
      </c>
      <c r="F763" s="87"/>
      <c r="G763" s="87"/>
      <c r="H763" s="87"/>
      <c r="I763" s="87"/>
      <c r="J763" s="87"/>
      <c r="K763" s="87"/>
      <c r="L763" s="87"/>
      <c r="M763" s="87"/>
      <c r="N763" s="87"/>
      <c r="O763" s="87"/>
      <c r="P763" s="87"/>
      <c r="Q763" s="87"/>
      <c r="R763" s="87"/>
      <c r="S763" s="87"/>
      <c r="T763" s="87"/>
      <c r="U763" s="88">
        <v>3</v>
      </c>
      <c r="V763" s="89"/>
      <c r="W763" s="96">
        <v>0</v>
      </c>
      <c r="X763" s="71">
        <f>CU763</f>
        <v>0</v>
      </c>
      <c r="Y763" s="71">
        <f>CY763</f>
        <v>0</v>
      </c>
      <c r="Z763" s="71">
        <f>DA763+DC763+DE763</f>
        <v>0</v>
      </c>
      <c r="AA763" s="71">
        <f>CW763</f>
        <v>0</v>
      </c>
      <c r="AB763" s="71"/>
      <c r="AC763" s="71">
        <v>0</v>
      </c>
      <c r="AD763" s="71">
        <f>W763+X763+Y763+Z763+AA763+AB763+AC763</f>
        <v>0</v>
      </c>
      <c r="AE763" s="72">
        <v>0</v>
      </c>
      <c r="AF763" s="5"/>
      <c r="AG763" s="6"/>
      <c r="AH763" s="27" t="s">
        <v>3392</v>
      </c>
      <c r="AI763" s="44" t="s">
        <v>3393</v>
      </c>
      <c r="AJ763" s="26"/>
      <c r="AK763" s="5"/>
      <c r="AL763" s="82" t="s">
        <v>3494</v>
      </c>
      <c r="AM763" s="76"/>
      <c r="AN763" s="76"/>
      <c r="AO763" s="76"/>
      <c r="AP763" s="76"/>
      <c r="AQ763" s="76"/>
      <c r="AR763" s="76"/>
      <c r="AS763" s="76"/>
      <c r="AT763" s="76"/>
      <c r="AU763" s="76"/>
      <c r="AV763" s="76"/>
      <c r="AW763" s="76"/>
      <c r="AX763" s="76">
        <f>+AW763*600000</f>
        <v>0</v>
      </c>
      <c r="AY763" s="76"/>
      <c r="AZ763" s="76">
        <f>+AY763*70000</f>
        <v>0</v>
      </c>
      <c r="BA763" s="76"/>
      <c r="BB763" s="76"/>
      <c r="BC763" s="76"/>
      <c r="BD763" s="76">
        <f>+BC763*30000</f>
        <v>0</v>
      </c>
      <c r="BE763" s="76"/>
      <c r="BF763" s="76"/>
      <c r="BG763" s="76"/>
      <c r="BH763" s="76"/>
      <c r="BI763" s="76"/>
      <c r="BJ763" s="76"/>
      <c r="BK763" s="76"/>
      <c r="BL763" s="76">
        <f>+BK763*31500</f>
        <v>0</v>
      </c>
      <c r="BM763" s="76"/>
      <c r="BN763" s="76"/>
      <c r="BO763" s="76"/>
      <c r="BP763" s="76"/>
      <c r="BQ763" s="76"/>
      <c r="BR763" s="76"/>
      <c r="BS763" s="76"/>
      <c r="BT763" s="76"/>
      <c r="BU763" s="76"/>
      <c r="BV763" s="76"/>
      <c r="BW763" s="76"/>
      <c r="BX763" s="76"/>
      <c r="BY763" s="76"/>
      <c r="BZ763" s="76"/>
      <c r="CA763" s="76"/>
      <c r="CB763" s="76"/>
      <c r="CC763" s="76"/>
      <c r="CD763" s="76"/>
      <c r="CE763" s="76"/>
      <c r="CF763" s="76">
        <f>+CE763*28000</f>
        <v>0</v>
      </c>
      <c r="CG763" s="76"/>
      <c r="CH763" s="76">
        <f>+CG763*22500</f>
        <v>0</v>
      </c>
      <c r="CI763" s="76"/>
      <c r="CJ763" s="76">
        <f>+CI763*26000</f>
        <v>0</v>
      </c>
      <c r="CK763" s="76"/>
      <c r="CL763" s="76"/>
      <c r="CM763" s="76"/>
      <c r="CN763" s="76">
        <f>+CM763*22000</f>
        <v>0</v>
      </c>
      <c r="CO763" s="76"/>
      <c r="CP763" s="76">
        <f>+CO763*46000</f>
        <v>0</v>
      </c>
      <c r="CQ763" s="76"/>
      <c r="CR763" s="76">
        <f>+CQ763*49000</f>
        <v>0</v>
      </c>
      <c r="CS763" s="76"/>
      <c r="CT763" s="76"/>
      <c r="CU763" s="56">
        <f>AN763+AP763+AR763+AT763+AV763+AX763+AZ763+BB763+BD763+BF763+BH763+BJ763+BL763+BN763+BP763+BR763+BT763+BV763+BX763+BZ763+CB763+CD763+CF763+CH763+CJ763+CL763+CN763+CP763+CR763+CT763</f>
        <v>0</v>
      </c>
      <c r="CV763" s="76"/>
      <c r="CW763" s="76">
        <f>+CV763*1100</f>
        <v>0</v>
      </c>
      <c r="CX763" s="76"/>
      <c r="CY763" s="76">
        <f>+CX763*106250</f>
        <v>0</v>
      </c>
      <c r="CZ763" s="76"/>
      <c r="DA763" s="76">
        <f>+CZ763*34500</f>
        <v>0</v>
      </c>
      <c r="DB763" s="76"/>
      <c r="DC763" s="76">
        <f>+DB763*25000</f>
        <v>0</v>
      </c>
      <c r="DD763" s="219"/>
      <c r="DE763" s="219"/>
      <c r="DF763" s="166"/>
      <c r="DG763" s="116"/>
      <c r="DH763" s="117"/>
      <c r="DI763" s="24"/>
      <c r="DJ763" s="24"/>
      <c r="DK763" s="24"/>
      <c r="DL763" s="24"/>
      <c r="DM763" s="24"/>
      <c r="DN763" s="24"/>
      <c r="DO763" s="24"/>
      <c r="DP763" s="24"/>
      <c r="DQ763" s="24"/>
      <c r="DR763" s="24"/>
      <c r="DS763" s="24"/>
      <c r="DT763" s="24"/>
      <c r="DU763" s="24"/>
    </row>
    <row r="764" spans="1:128" s="8" customFormat="1" ht="168" x14ac:dyDescent="0.2">
      <c r="A764" s="77">
        <v>41318</v>
      </c>
      <c r="B764" s="225" t="s">
        <v>2772</v>
      </c>
      <c r="C764" s="227" t="s">
        <v>2672</v>
      </c>
      <c r="D764" s="84" t="s">
        <v>3088</v>
      </c>
      <c r="E764" s="75" t="str">
        <f>VLOOKUP(B764&amp;C764,Divipola!$C$2:$F$1138,4,FALSE)</f>
        <v>25290</v>
      </c>
      <c r="F764" s="87"/>
      <c r="G764" s="87"/>
      <c r="H764" s="87"/>
      <c r="I764" s="87">
        <v>15</v>
      </c>
      <c r="J764" s="87">
        <v>3</v>
      </c>
      <c r="K764" s="87"/>
      <c r="L764" s="87">
        <v>3</v>
      </c>
      <c r="M764" s="87">
        <v>1</v>
      </c>
      <c r="N764" s="87"/>
      <c r="O764" s="87"/>
      <c r="P764" s="87"/>
      <c r="Q764" s="87"/>
      <c r="R764" s="87"/>
      <c r="S764" s="87"/>
      <c r="T764" s="87"/>
      <c r="U764" s="88"/>
      <c r="V764" s="89"/>
      <c r="W764" s="96">
        <v>0</v>
      </c>
      <c r="X764" s="71">
        <f>CU764</f>
        <v>0</v>
      </c>
      <c r="Y764" s="71">
        <f>CY764</f>
        <v>0</v>
      </c>
      <c r="Z764" s="71">
        <f>DA764+DC764+DE764</f>
        <v>0</v>
      </c>
      <c r="AA764" s="71">
        <f>CW764</f>
        <v>0</v>
      </c>
      <c r="AB764" s="71"/>
      <c r="AC764" s="71">
        <v>0</v>
      </c>
      <c r="AD764" s="71">
        <f>W764+X764+Y764+Z764+AA764+AB764+AC764</f>
        <v>0</v>
      </c>
      <c r="AE764" s="72">
        <v>0</v>
      </c>
      <c r="AF764" s="5"/>
      <c r="AG764" s="6"/>
      <c r="AH764" s="27" t="s">
        <v>3392</v>
      </c>
      <c r="AI764" s="44" t="s">
        <v>3393</v>
      </c>
      <c r="AJ764" s="26"/>
      <c r="AK764" s="5"/>
      <c r="AL764" s="82" t="s">
        <v>3728</v>
      </c>
      <c r="AM764" s="76"/>
      <c r="AN764" s="76"/>
      <c r="AO764" s="76"/>
      <c r="AP764" s="76"/>
      <c r="AQ764" s="76"/>
      <c r="AR764" s="76"/>
      <c r="AS764" s="76"/>
      <c r="AT764" s="76"/>
      <c r="AU764" s="76"/>
      <c r="AV764" s="76"/>
      <c r="AW764" s="76"/>
      <c r="AX764" s="76">
        <f>+AW764*600000</f>
        <v>0</v>
      </c>
      <c r="AY764" s="76"/>
      <c r="AZ764" s="76">
        <f>+AY764*70000</f>
        <v>0</v>
      </c>
      <c r="BA764" s="76"/>
      <c r="BB764" s="76"/>
      <c r="BC764" s="76"/>
      <c r="BD764" s="76">
        <f>+BC764*30000</f>
        <v>0</v>
      </c>
      <c r="BE764" s="76"/>
      <c r="BF764" s="76"/>
      <c r="BG764" s="76"/>
      <c r="BH764" s="76"/>
      <c r="BI764" s="76"/>
      <c r="BJ764" s="76"/>
      <c r="BK764" s="76"/>
      <c r="BL764" s="76">
        <f>+BK764*31500</f>
        <v>0</v>
      </c>
      <c r="BM764" s="76"/>
      <c r="BN764" s="76"/>
      <c r="BO764" s="76"/>
      <c r="BP764" s="76"/>
      <c r="BQ764" s="76"/>
      <c r="BR764" s="76"/>
      <c r="BS764" s="76"/>
      <c r="BT764" s="76"/>
      <c r="BU764" s="76"/>
      <c r="BV764" s="76"/>
      <c r="BW764" s="76"/>
      <c r="BX764" s="76"/>
      <c r="BY764" s="76"/>
      <c r="BZ764" s="76"/>
      <c r="CA764" s="76"/>
      <c r="CB764" s="76"/>
      <c r="CC764" s="76"/>
      <c r="CD764" s="76"/>
      <c r="CE764" s="76"/>
      <c r="CF764" s="76">
        <f>+CE764*28000</f>
        <v>0</v>
      </c>
      <c r="CG764" s="76"/>
      <c r="CH764" s="76">
        <f>+CG764*22500</f>
        <v>0</v>
      </c>
      <c r="CI764" s="76"/>
      <c r="CJ764" s="76">
        <f>+CI764*26000</f>
        <v>0</v>
      </c>
      <c r="CK764" s="76"/>
      <c r="CL764" s="76"/>
      <c r="CM764" s="76"/>
      <c r="CN764" s="76">
        <f>+CM764*22000</f>
        <v>0</v>
      </c>
      <c r="CO764" s="76"/>
      <c r="CP764" s="76">
        <f>+CO764*46000</f>
        <v>0</v>
      </c>
      <c r="CQ764" s="76"/>
      <c r="CR764" s="76">
        <f>+CQ764*49000</f>
        <v>0</v>
      </c>
      <c r="CS764" s="76"/>
      <c r="CT764" s="76"/>
      <c r="CU764" s="56">
        <f>AN764+AP764+AR764+AT764+AV764+AX764+AZ764+BB764+BD764+BF764+BH764+BJ764+BL764+BN764+BP764+BR764+BT764+BV764+BX764+BZ764+CB764+CD764+CF764+CH764+CJ764+CL764+CN764+CP764+CR764+CT764</f>
        <v>0</v>
      </c>
      <c r="CV764" s="76"/>
      <c r="CW764" s="76">
        <f>+CV764*1100</f>
        <v>0</v>
      </c>
      <c r="CX764" s="76"/>
      <c r="CY764" s="76">
        <f>+CX764*106250</f>
        <v>0</v>
      </c>
      <c r="CZ764" s="76"/>
      <c r="DA764" s="76">
        <f>+CZ764*34500</f>
        <v>0</v>
      </c>
      <c r="DB764" s="76"/>
      <c r="DC764" s="76">
        <f>+DB764*25000</f>
        <v>0</v>
      </c>
      <c r="DD764" s="219"/>
      <c r="DE764" s="219"/>
      <c r="DF764" s="166"/>
      <c r="DG764" s="116"/>
      <c r="DH764" s="117"/>
      <c r="DI764" s="24"/>
      <c r="DJ764" s="24"/>
      <c r="DK764" s="24"/>
      <c r="DL764" s="24"/>
      <c r="DM764" s="24"/>
      <c r="DN764" s="24"/>
      <c r="DO764" s="24"/>
      <c r="DP764" s="24"/>
      <c r="DQ764" s="24"/>
      <c r="DR764" s="24"/>
      <c r="DS764" s="24"/>
      <c r="DT764" s="24"/>
      <c r="DU764" s="24"/>
    </row>
    <row r="765" spans="1:128" s="8" customFormat="1" ht="96" x14ac:dyDescent="0.2">
      <c r="A765" s="77">
        <v>41318</v>
      </c>
      <c r="B765" s="78" t="s">
        <v>2772</v>
      </c>
      <c r="C765" s="75" t="s">
        <v>2672</v>
      </c>
      <c r="D765" s="75" t="s">
        <v>3051</v>
      </c>
      <c r="E765" s="75" t="str">
        <f>VLOOKUP(B765&amp;C765,Divipola!$C$2:$F$1138,4,FALSE)</f>
        <v>25290</v>
      </c>
      <c r="F765" s="87"/>
      <c r="G765" s="87"/>
      <c r="H765" s="87"/>
      <c r="I765" s="87">
        <v>75</v>
      </c>
      <c r="J765" s="87">
        <v>15</v>
      </c>
      <c r="K765" s="87"/>
      <c r="L765" s="87">
        <v>15</v>
      </c>
      <c r="M765" s="87"/>
      <c r="N765" s="87"/>
      <c r="O765" s="87"/>
      <c r="P765" s="87"/>
      <c r="Q765" s="87"/>
      <c r="R765" s="87"/>
      <c r="S765" s="87"/>
      <c r="T765" s="87"/>
      <c r="U765" s="88"/>
      <c r="V765" s="89"/>
      <c r="W765" s="96">
        <v>0</v>
      </c>
      <c r="X765" s="71">
        <f>CU765</f>
        <v>0</v>
      </c>
      <c r="Y765" s="71">
        <f>CY765</f>
        <v>0</v>
      </c>
      <c r="Z765" s="71">
        <f>DA765+DC765+DE765</f>
        <v>0</v>
      </c>
      <c r="AA765" s="71">
        <f>CW765</f>
        <v>0</v>
      </c>
      <c r="AB765" s="71"/>
      <c r="AC765" s="71">
        <v>0</v>
      </c>
      <c r="AD765" s="71">
        <f>W765+X765+Y765+Z765+AA765+AB765+AC765</f>
        <v>0</v>
      </c>
      <c r="AE765" s="72">
        <v>0</v>
      </c>
      <c r="AF765" s="5"/>
      <c r="AG765" s="6"/>
      <c r="AH765" s="27" t="s">
        <v>3392</v>
      </c>
      <c r="AI765" s="44" t="s">
        <v>3393</v>
      </c>
      <c r="AJ765" s="26"/>
      <c r="AK765" s="5"/>
      <c r="AL765" s="82" t="s">
        <v>3490</v>
      </c>
      <c r="AM765" s="76"/>
      <c r="AN765" s="76"/>
      <c r="AO765" s="76"/>
      <c r="AP765" s="76"/>
      <c r="AQ765" s="76"/>
      <c r="AR765" s="76"/>
      <c r="AS765" s="76"/>
      <c r="AT765" s="76"/>
      <c r="AU765" s="76"/>
      <c r="AV765" s="76"/>
      <c r="AW765" s="76"/>
      <c r="AX765" s="76">
        <f>+AW765*600000</f>
        <v>0</v>
      </c>
      <c r="AY765" s="76"/>
      <c r="AZ765" s="76">
        <f>+AY765*70000</f>
        <v>0</v>
      </c>
      <c r="BA765" s="76"/>
      <c r="BB765" s="76"/>
      <c r="BC765" s="76"/>
      <c r="BD765" s="76">
        <f>+BC765*30000</f>
        <v>0</v>
      </c>
      <c r="BE765" s="76"/>
      <c r="BF765" s="76"/>
      <c r="BG765" s="76"/>
      <c r="BH765" s="76"/>
      <c r="BI765" s="76"/>
      <c r="BJ765" s="76"/>
      <c r="BK765" s="76"/>
      <c r="BL765" s="76">
        <f>+BK765*31500</f>
        <v>0</v>
      </c>
      <c r="BM765" s="76"/>
      <c r="BN765" s="76"/>
      <c r="BO765" s="76"/>
      <c r="BP765" s="76"/>
      <c r="BQ765" s="76"/>
      <c r="BR765" s="76"/>
      <c r="BS765" s="76"/>
      <c r="BT765" s="76"/>
      <c r="BU765" s="76"/>
      <c r="BV765" s="76"/>
      <c r="BW765" s="76"/>
      <c r="BX765" s="76"/>
      <c r="BY765" s="76"/>
      <c r="BZ765" s="76"/>
      <c r="CA765" s="76"/>
      <c r="CB765" s="76"/>
      <c r="CC765" s="76"/>
      <c r="CD765" s="76"/>
      <c r="CE765" s="76"/>
      <c r="CF765" s="76">
        <f>+CE765*28000</f>
        <v>0</v>
      </c>
      <c r="CG765" s="76"/>
      <c r="CH765" s="76">
        <f>+CG765*22500</f>
        <v>0</v>
      </c>
      <c r="CI765" s="76"/>
      <c r="CJ765" s="76">
        <f>+CI765*26000</f>
        <v>0</v>
      </c>
      <c r="CK765" s="76"/>
      <c r="CL765" s="76"/>
      <c r="CM765" s="76"/>
      <c r="CN765" s="76">
        <f>+CM765*22000</f>
        <v>0</v>
      </c>
      <c r="CO765" s="76"/>
      <c r="CP765" s="76">
        <f>+CO765*46000</f>
        <v>0</v>
      </c>
      <c r="CQ765" s="76"/>
      <c r="CR765" s="76">
        <f>+CQ765*49000</f>
        <v>0</v>
      </c>
      <c r="CS765" s="76"/>
      <c r="CT765" s="76"/>
      <c r="CU765" s="56">
        <f>AN765+AP765+AR765+AT765+AV765+AX765+AZ765+BB765+BD765+BF765+BH765+BJ765+BL765+BN765+BP765+BR765+BT765+BV765+BX765+BZ765+CB765+CD765+CF765+CH765+CJ765+CL765+CN765+CP765+CR765+CT765</f>
        <v>0</v>
      </c>
      <c r="CV765" s="76"/>
      <c r="CW765" s="76">
        <f>+CV765*1100</f>
        <v>0</v>
      </c>
      <c r="CX765" s="76"/>
      <c r="CY765" s="76">
        <f>+CX765*106250</f>
        <v>0</v>
      </c>
      <c r="CZ765" s="76"/>
      <c r="DA765" s="76">
        <f>+CZ765*34500</f>
        <v>0</v>
      </c>
      <c r="DB765" s="76"/>
      <c r="DC765" s="76">
        <f>+DB765*25000</f>
        <v>0</v>
      </c>
      <c r="DD765" s="219"/>
      <c r="DE765" s="219"/>
      <c r="DF765" s="166"/>
      <c r="DG765" s="116"/>
      <c r="DH765" s="117"/>
      <c r="DI765" s="24"/>
      <c r="DJ765" s="24"/>
      <c r="DK765" s="24"/>
      <c r="DL765" s="24"/>
      <c r="DM765" s="24"/>
      <c r="DN765" s="24"/>
      <c r="DO765" s="24"/>
      <c r="DP765" s="24"/>
      <c r="DQ765" s="24"/>
      <c r="DR765" s="24"/>
      <c r="DS765" s="24"/>
      <c r="DT765" s="24"/>
      <c r="DU765" s="24"/>
    </row>
    <row r="766" spans="1:128" s="8" customFormat="1" ht="84" x14ac:dyDescent="0.2">
      <c r="A766" s="77">
        <v>41318</v>
      </c>
      <c r="B766" s="225" t="s">
        <v>2772</v>
      </c>
      <c r="C766" s="227" t="s">
        <v>2167</v>
      </c>
      <c r="D766" s="227" t="s">
        <v>2875</v>
      </c>
      <c r="E766" s="75" t="str">
        <f>VLOOKUP(B766&amp;C766,Divipola!$C$2:$F$1138,4,FALSE)</f>
        <v>25377</v>
      </c>
      <c r="F766" s="100"/>
      <c r="G766" s="100"/>
      <c r="H766" s="100"/>
      <c r="I766" s="100">
        <v>5</v>
      </c>
      <c r="J766" s="100">
        <v>1</v>
      </c>
      <c r="K766" s="100"/>
      <c r="L766" s="100">
        <v>1</v>
      </c>
      <c r="M766" s="100"/>
      <c r="N766" s="100"/>
      <c r="O766" s="100"/>
      <c r="P766" s="100"/>
      <c r="Q766" s="100">
        <v>1</v>
      </c>
      <c r="R766" s="100"/>
      <c r="S766" s="100"/>
      <c r="T766" s="100"/>
      <c r="U766" s="136"/>
      <c r="V766" s="89"/>
      <c r="W766" s="96">
        <v>0</v>
      </c>
      <c r="X766" s="71">
        <f>CU766</f>
        <v>0</v>
      </c>
      <c r="Y766" s="71">
        <f>CY766</f>
        <v>0</v>
      </c>
      <c r="Z766" s="71">
        <f>DA766+DC766+DE766</f>
        <v>0</v>
      </c>
      <c r="AA766" s="71">
        <f>CW766</f>
        <v>0</v>
      </c>
      <c r="AB766" s="71"/>
      <c r="AC766" s="71">
        <v>0</v>
      </c>
      <c r="AD766" s="71">
        <f>W766+X766+Y766+Z766+AA766+AB766+AC766</f>
        <v>0</v>
      </c>
      <c r="AE766" s="72">
        <v>0</v>
      </c>
      <c r="AF766" s="5"/>
      <c r="AG766" s="6"/>
      <c r="AH766" s="27" t="s">
        <v>3392</v>
      </c>
      <c r="AI766" s="44" t="s">
        <v>3393</v>
      </c>
      <c r="AJ766" s="26"/>
      <c r="AK766" s="5"/>
      <c r="AL766" s="82" t="s">
        <v>3493</v>
      </c>
      <c r="AM766" s="76"/>
      <c r="AN766" s="76"/>
      <c r="AO766" s="76"/>
      <c r="AP766" s="76"/>
      <c r="AQ766" s="76"/>
      <c r="AR766" s="76"/>
      <c r="AS766" s="76"/>
      <c r="AT766" s="76"/>
      <c r="AU766" s="76"/>
      <c r="AV766" s="76"/>
      <c r="AW766" s="76"/>
      <c r="AX766" s="76">
        <f>+AW766*600000</f>
        <v>0</v>
      </c>
      <c r="AY766" s="76"/>
      <c r="AZ766" s="76">
        <f>+AY766*70000</f>
        <v>0</v>
      </c>
      <c r="BA766" s="76"/>
      <c r="BB766" s="76"/>
      <c r="BC766" s="76"/>
      <c r="BD766" s="76">
        <f>+BC766*30000</f>
        <v>0</v>
      </c>
      <c r="BE766" s="76"/>
      <c r="BF766" s="76"/>
      <c r="BG766" s="76"/>
      <c r="BH766" s="76"/>
      <c r="BI766" s="76"/>
      <c r="BJ766" s="76"/>
      <c r="BK766" s="76"/>
      <c r="BL766" s="76">
        <f>+BK766*31500</f>
        <v>0</v>
      </c>
      <c r="BM766" s="76"/>
      <c r="BN766" s="76"/>
      <c r="BO766" s="76"/>
      <c r="BP766" s="76"/>
      <c r="BQ766" s="76"/>
      <c r="BR766" s="76"/>
      <c r="BS766" s="76"/>
      <c r="BT766" s="76"/>
      <c r="BU766" s="76"/>
      <c r="BV766" s="76"/>
      <c r="BW766" s="76"/>
      <c r="BX766" s="76"/>
      <c r="BY766" s="76"/>
      <c r="BZ766" s="76"/>
      <c r="CA766" s="76"/>
      <c r="CB766" s="76"/>
      <c r="CC766" s="76"/>
      <c r="CD766" s="76"/>
      <c r="CE766" s="76"/>
      <c r="CF766" s="76">
        <f>+CE766*28000</f>
        <v>0</v>
      </c>
      <c r="CG766" s="76"/>
      <c r="CH766" s="76">
        <f>+CG766*22500</f>
        <v>0</v>
      </c>
      <c r="CI766" s="76"/>
      <c r="CJ766" s="76">
        <f>+CI766*26000</f>
        <v>0</v>
      </c>
      <c r="CK766" s="76"/>
      <c r="CL766" s="76"/>
      <c r="CM766" s="76"/>
      <c r="CN766" s="76">
        <f>+CM766*22000</f>
        <v>0</v>
      </c>
      <c r="CO766" s="76"/>
      <c r="CP766" s="76">
        <f>+CO766*46000</f>
        <v>0</v>
      </c>
      <c r="CQ766" s="76"/>
      <c r="CR766" s="76">
        <f>+CQ766*49000</f>
        <v>0</v>
      </c>
      <c r="CS766" s="76"/>
      <c r="CT766" s="76"/>
      <c r="CU766" s="56">
        <f>AN766+AP766+AR766+AT766+AV766+AX766+AZ766+BB766+BD766+BF766+BH766+BJ766+BL766+BN766+BP766+BR766+BT766+BV766+BX766+BZ766+CB766+CD766+CF766+CH766+CJ766+CL766+CN766+CP766+CR766+CT766</f>
        <v>0</v>
      </c>
      <c r="CV766" s="76"/>
      <c r="CW766" s="76">
        <f>+CV766*1100</f>
        <v>0</v>
      </c>
      <c r="CX766" s="76"/>
      <c r="CY766" s="76">
        <f>+CX766*106250</f>
        <v>0</v>
      </c>
      <c r="CZ766" s="76"/>
      <c r="DA766" s="76">
        <f>+CZ766*34500</f>
        <v>0</v>
      </c>
      <c r="DB766" s="76"/>
      <c r="DC766" s="76">
        <f>+DB766*25000</f>
        <v>0</v>
      </c>
      <c r="DD766" s="219"/>
      <c r="DE766" s="219"/>
      <c r="DF766" s="166"/>
      <c r="DG766" s="116"/>
      <c r="DH766" s="117"/>
      <c r="DI766" s="24"/>
      <c r="DJ766" s="24"/>
      <c r="DK766" s="24"/>
      <c r="DL766" s="24"/>
      <c r="DM766" s="24"/>
      <c r="DN766" s="24"/>
      <c r="DO766" s="24"/>
      <c r="DP766" s="24"/>
      <c r="DQ766" s="24"/>
      <c r="DR766" s="24"/>
      <c r="DS766" s="24"/>
      <c r="DT766" s="24"/>
      <c r="DU766" s="24"/>
    </row>
    <row r="767" spans="1:128" s="8" customFormat="1" ht="60" x14ac:dyDescent="0.2">
      <c r="A767" s="77">
        <v>41318</v>
      </c>
      <c r="B767" s="78" t="s">
        <v>2772</v>
      </c>
      <c r="C767" s="75" t="s">
        <v>2690</v>
      </c>
      <c r="D767" s="75" t="s">
        <v>3051</v>
      </c>
      <c r="E767" s="75" t="str">
        <f>VLOOKUP(B767&amp;C767,Divipola!$C$2:$F$1138,4,FALSE)</f>
        <v>25513</v>
      </c>
      <c r="F767" s="87"/>
      <c r="G767" s="87"/>
      <c r="H767" s="87"/>
      <c r="I767" s="87">
        <v>20</v>
      </c>
      <c r="J767" s="87">
        <v>4</v>
      </c>
      <c r="K767" s="87"/>
      <c r="L767" s="87">
        <v>4</v>
      </c>
      <c r="M767" s="87"/>
      <c r="N767" s="87"/>
      <c r="O767" s="87"/>
      <c r="P767" s="87"/>
      <c r="Q767" s="87"/>
      <c r="R767" s="87"/>
      <c r="S767" s="87"/>
      <c r="T767" s="87"/>
      <c r="U767" s="88"/>
      <c r="V767" s="89"/>
      <c r="W767" s="96">
        <v>0</v>
      </c>
      <c r="X767" s="71">
        <f>CU767</f>
        <v>0</v>
      </c>
      <c r="Y767" s="71">
        <f>CY767</f>
        <v>0</v>
      </c>
      <c r="Z767" s="71">
        <f>DA767+DC767+DE767</f>
        <v>0</v>
      </c>
      <c r="AA767" s="71">
        <f>CW767</f>
        <v>0</v>
      </c>
      <c r="AB767" s="71"/>
      <c r="AC767" s="71">
        <v>0</v>
      </c>
      <c r="AD767" s="71">
        <f>W767+X767+Y767+Z767+AA767+AB767+AC767</f>
        <v>0</v>
      </c>
      <c r="AE767" s="72">
        <v>0</v>
      </c>
      <c r="AF767" s="5"/>
      <c r="AG767" s="6"/>
      <c r="AH767" s="27" t="s">
        <v>3392</v>
      </c>
      <c r="AI767" s="44" t="s">
        <v>3393</v>
      </c>
      <c r="AJ767" s="26"/>
      <c r="AK767" s="5"/>
      <c r="AL767" s="82" t="s">
        <v>3491</v>
      </c>
      <c r="AM767" s="76"/>
      <c r="AN767" s="76"/>
      <c r="AO767" s="76"/>
      <c r="AP767" s="76"/>
      <c r="AQ767" s="76"/>
      <c r="AR767" s="76"/>
      <c r="AS767" s="76"/>
      <c r="AT767" s="76"/>
      <c r="AU767" s="76"/>
      <c r="AV767" s="76"/>
      <c r="AW767" s="76"/>
      <c r="AX767" s="76">
        <f>+AW767*600000</f>
        <v>0</v>
      </c>
      <c r="AY767" s="76"/>
      <c r="AZ767" s="76">
        <f>+AY767*70000</f>
        <v>0</v>
      </c>
      <c r="BA767" s="76"/>
      <c r="BB767" s="76"/>
      <c r="BC767" s="76"/>
      <c r="BD767" s="76">
        <f>+BC767*30000</f>
        <v>0</v>
      </c>
      <c r="BE767" s="76"/>
      <c r="BF767" s="76"/>
      <c r="BG767" s="76"/>
      <c r="BH767" s="76"/>
      <c r="BI767" s="76"/>
      <c r="BJ767" s="76"/>
      <c r="BK767" s="76"/>
      <c r="BL767" s="76">
        <f>+BK767*31500</f>
        <v>0</v>
      </c>
      <c r="BM767" s="76"/>
      <c r="BN767" s="76"/>
      <c r="BO767" s="76"/>
      <c r="BP767" s="76"/>
      <c r="BQ767" s="76"/>
      <c r="BR767" s="76"/>
      <c r="BS767" s="76"/>
      <c r="BT767" s="76"/>
      <c r="BU767" s="76"/>
      <c r="BV767" s="76"/>
      <c r="BW767" s="76"/>
      <c r="BX767" s="76"/>
      <c r="BY767" s="76"/>
      <c r="BZ767" s="76"/>
      <c r="CA767" s="76"/>
      <c r="CB767" s="76"/>
      <c r="CC767" s="76"/>
      <c r="CD767" s="76"/>
      <c r="CE767" s="76"/>
      <c r="CF767" s="76">
        <f>+CE767*28000</f>
        <v>0</v>
      </c>
      <c r="CG767" s="76"/>
      <c r="CH767" s="76">
        <f>+CG767*22500</f>
        <v>0</v>
      </c>
      <c r="CI767" s="76"/>
      <c r="CJ767" s="76">
        <f>+CI767*26000</f>
        <v>0</v>
      </c>
      <c r="CK767" s="76"/>
      <c r="CL767" s="76"/>
      <c r="CM767" s="76"/>
      <c r="CN767" s="76">
        <f>+CM767*22000</f>
        <v>0</v>
      </c>
      <c r="CO767" s="76"/>
      <c r="CP767" s="76">
        <f>+CO767*46000</f>
        <v>0</v>
      </c>
      <c r="CQ767" s="76"/>
      <c r="CR767" s="76">
        <f>+CQ767*49000</f>
        <v>0</v>
      </c>
      <c r="CS767" s="76"/>
      <c r="CT767" s="76"/>
      <c r="CU767" s="56">
        <f>AN767+AP767+AR767+AT767+AV767+AX767+AZ767+BB767+BD767+BF767+BH767+BJ767+BL767+BN767+BP767+BR767+BT767+BV767+BX767+BZ767+CB767+CD767+CF767+CH767+CJ767+CL767+CN767+CP767+CR767+CT767</f>
        <v>0</v>
      </c>
      <c r="CV767" s="76"/>
      <c r="CW767" s="76">
        <f>+CV767*1100</f>
        <v>0</v>
      </c>
      <c r="CX767" s="76"/>
      <c r="CY767" s="76">
        <f>+CX767*106250</f>
        <v>0</v>
      </c>
      <c r="CZ767" s="76"/>
      <c r="DA767" s="76">
        <f>+CZ767*34500</f>
        <v>0</v>
      </c>
      <c r="DB767" s="76"/>
      <c r="DC767" s="76">
        <f>+DB767*25000</f>
        <v>0</v>
      </c>
      <c r="DD767" s="219"/>
      <c r="DE767" s="219"/>
      <c r="DF767" s="166"/>
      <c r="DG767" s="116"/>
      <c r="DH767" s="117"/>
      <c r="DI767" s="24"/>
      <c r="DJ767" s="24"/>
      <c r="DK767" s="24"/>
      <c r="DL767" s="24"/>
      <c r="DM767" s="24"/>
      <c r="DN767" s="24"/>
      <c r="DO767" s="24"/>
      <c r="DP767" s="24"/>
      <c r="DQ767" s="24"/>
      <c r="DR767" s="24"/>
      <c r="DS767" s="24"/>
      <c r="DT767" s="24"/>
      <c r="DU767" s="24"/>
    </row>
    <row r="768" spans="1:128" s="8" customFormat="1" ht="228" x14ac:dyDescent="0.2">
      <c r="A768" s="77">
        <v>41318</v>
      </c>
      <c r="B768" s="225" t="s">
        <v>2772</v>
      </c>
      <c r="C768" s="227" t="s">
        <v>1156</v>
      </c>
      <c r="D768" s="75" t="s">
        <v>3051</v>
      </c>
      <c r="E768" s="75" t="str">
        <f>VLOOKUP(B768&amp;C768,Divipola!$C$2:$F$1138,4,FALSE)</f>
        <v>25743</v>
      </c>
      <c r="F768" s="87"/>
      <c r="G768" s="87"/>
      <c r="H768" s="87"/>
      <c r="I768" s="87">
        <v>40</v>
      </c>
      <c r="J768" s="87">
        <v>8</v>
      </c>
      <c r="K768" s="87"/>
      <c r="L768" s="87">
        <v>8</v>
      </c>
      <c r="M768" s="87">
        <v>1</v>
      </c>
      <c r="N768" s="87"/>
      <c r="O768" s="87"/>
      <c r="P768" s="87">
        <v>1</v>
      </c>
      <c r="Q768" s="87"/>
      <c r="R768" s="87"/>
      <c r="S768" s="87"/>
      <c r="T768" s="87"/>
      <c r="U768" s="88"/>
      <c r="V768" s="89"/>
      <c r="W768" s="96">
        <v>0</v>
      </c>
      <c r="X768" s="71">
        <f>CU768</f>
        <v>0</v>
      </c>
      <c r="Y768" s="71">
        <f>CY768</f>
        <v>0</v>
      </c>
      <c r="Z768" s="71">
        <f>DA768+DC768+DE768</f>
        <v>0</v>
      </c>
      <c r="AA768" s="71">
        <f>CW768</f>
        <v>0</v>
      </c>
      <c r="AB768" s="71"/>
      <c r="AC768" s="71">
        <v>0</v>
      </c>
      <c r="AD768" s="71">
        <f>W768+X768+Y768+Z768+AA768+AB768+AC768</f>
        <v>0</v>
      </c>
      <c r="AE768" s="72">
        <v>0</v>
      </c>
      <c r="AF768" s="5"/>
      <c r="AG768" s="6"/>
      <c r="AH768" s="27" t="s">
        <v>3392</v>
      </c>
      <c r="AI768" s="44" t="s">
        <v>3393</v>
      </c>
      <c r="AJ768" s="26"/>
      <c r="AK768" s="5"/>
      <c r="AL768" s="82" t="s">
        <v>3492</v>
      </c>
      <c r="AM768" s="76"/>
      <c r="AN768" s="76"/>
      <c r="AO768" s="76"/>
      <c r="AP768" s="76"/>
      <c r="AQ768" s="76"/>
      <c r="AR768" s="76"/>
      <c r="AS768" s="76"/>
      <c r="AT768" s="76"/>
      <c r="AU768" s="76"/>
      <c r="AV768" s="76"/>
      <c r="AW768" s="76"/>
      <c r="AX768" s="76">
        <f>+AW768*600000</f>
        <v>0</v>
      </c>
      <c r="AY768" s="76"/>
      <c r="AZ768" s="76">
        <f>+AY768*70000</f>
        <v>0</v>
      </c>
      <c r="BA768" s="76"/>
      <c r="BB768" s="76"/>
      <c r="BC768" s="76"/>
      <c r="BD768" s="76">
        <f>+BC768*30000</f>
        <v>0</v>
      </c>
      <c r="BE768" s="76"/>
      <c r="BF768" s="76"/>
      <c r="BG768" s="76"/>
      <c r="BH768" s="76"/>
      <c r="BI768" s="76"/>
      <c r="BJ768" s="76"/>
      <c r="BK768" s="76"/>
      <c r="BL768" s="76">
        <f>+BK768*31500</f>
        <v>0</v>
      </c>
      <c r="BM768" s="76"/>
      <c r="BN768" s="76"/>
      <c r="BO768" s="76"/>
      <c r="BP768" s="76"/>
      <c r="BQ768" s="76"/>
      <c r="BR768" s="76"/>
      <c r="BS768" s="76"/>
      <c r="BT768" s="76"/>
      <c r="BU768" s="76"/>
      <c r="BV768" s="76"/>
      <c r="BW768" s="76"/>
      <c r="BX768" s="76"/>
      <c r="BY768" s="76"/>
      <c r="BZ768" s="76"/>
      <c r="CA768" s="76"/>
      <c r="CB768" s="76"/>
      <c r="CC768" s="76"/>
      <c r="CD768" s="76"/>
      <c r="CE768" s="76"/>
      <c r="CF768" s="76">
        <f>+CE768*28000</f>
        <v>0</v>
      </c>
      <c r="CG768" s="76"/>
      <c r="CH768" s="76">
        <f>+CG768*22500</f>
        <v>0</v>
      </c>
      <c r="CI768" s="76"/>
      <c r="CJ768" s="76">
        <f>+CI768*26000</f>
        <v>0</v>
      </c>
      <c r="CK768" s="76"/>
      <c r="CL768" s="76"/>
      <c r="CM768" s="76"/>
      <c r="CN768" s="76">
        <f>+CM768*22000</f>
        <v>0</v>
      </c>
      <c r="CO768" s="76"/>
      <c r="CP768" s="76">
        <f>+CO768*46000</f>
        <v>0</v>
      </c>
      <c r="CQ768" s="76"/>
      <c r="CR768" s="76">
        <f>+CQ768*49000</f>
        <v>0</v>
      </c>
      <c r="CS768" s="76"/>
      <c r="CT768" s="76"/>
      <c r="CU768" s="56">
        <f>AN768+AP768+AR768+AT768+AV768+AX768+AZ768+BB768+BD768+BF768+BH768+BJ768+BL768+BN768+BP768+BR768+BT768+BV768+BX768+BZ768+CB768+CD768+CF768+CH768+CJ768+CL768+CN768+CP768+CR768+CT768</f>
        <v>0</v>
      </c>
      <c r="CV768" s="76"/>
      <c r="CW768" s="76">
        <f>+CV768*1100</f>
        <v>0</v>
      </c>
      <c r="CX768" s="76"/>
      <c r="CY768" s="76">
        <f>+CX768*106250</f>
        <v>0</v>
      </c>
      <c r="CZ768" s="76"/>
      <c r="DA768" s="76">
        <f>+CZ768*34500</f>
        <v>0</v>
      </c>
      <c r="DB768" s="76"/>
      <c r="DC768" s="76">
        <f>+DB768*25000</f>
        <v>0</v>
      </c>
      <c r="DD768" s="219"/>
      <c r="DE768" s="219"/>
      <c r="DF768" s="166"/>
      <c r="DG768" s="116"/>
      <c r="DH768" s="117"/>
      <c r="DI768" s="24"/>
      <c r="DJ768" s="24"/>
      <c r="DK768" s="24"/>
      <c r="DL768" s="24"/>
      <c r="DM768" s="24"/>
      <c r="DN768" s="24"/>
      <c r="DO768" s="24"/>
      <c r="DP768" s="24"/>
      <c r="DQ768" s="24"/>
      <c r="DR768" s="24"/>
      <c r="DS768" s="24"/>
      <c r="DT768" s="24"/>
      <c r="DU768" s="24"/>
    </row>
    <row r="769" spans="1:125" s="8" customFormat="1" ht="24" x14ac:dyDescent="0.2">
      <c r="A769" s="77">
        <v>41318</v>
      </c>
      <c r="B769" s="225" t="s">
        <v>2661</v>
      </c>
      <c r="C769" s="227" t="s">
        <v>2080</v>
      </c>
      <c r="D769" s="227" t="s">
        <v>2882</v>
      </c>
      <c r="E769" s="75" t="str">
        <f>VLOOKUP(B769&amp;C769,Divipola!$C$2:$F$1138,4,FALSE)</f>
        <v>41349</v>
      </c>
      <c r="F769" s="87"/>
      <c r="G769" s="87"/>
      <c r="H769" s="87"/>
      <c r="I769" s="87">
        <v>5</v>
      </c>
      <c r="J769" s="87">
        <v>1</v>
      </c>
      <c r="K769" s="87"/>
      <c r="L769" s="87">
        <v>1</v>
      </c>
      <c r="M769" s="87"/>
      <c r="N769" s="87"/>
      <c r="O769" s="87"/>
      <c r="P769" s="87"/>
      <c r="Q769" s="87"/>
      <c r="R769" s="87"/>
      <c r="S769" s="87"/>
      <c r="T769" s="87"/>
      <c r="U769" s="88"/>
      <c r="V769" s="89"/>
      <c r="W769" s="96">
        <v>0</v>
      </c>
      <c r="X769" s="71">
        <f>CU769</f>
        <v>0</v>
      </c>
      <c r="Y769" s="71">
        <f>CY769</f>
        <v>0</v>
      </c>
      <c r="Z769" s="71">
        <f>DA769+DC769+DE769</f>
        <v>0</v>
      </c>
      <c r="AA769" s="71">
        <f>CW769</f>
        <v>0</v>
      </c>
      <c r="AB769" s="71"/>
      <c r="AC769" s="71">
        <v>0</v>
      </c>
      <c r="AD769" s="71">
        <f>W769+X769+Y769+Z769+AA769+AB769+AC769</f>
        <v>0</v>
      </c>
      <c r="AE769" s="72">
        <v>0</v>
      </c>
      <c r="AF769" s="5"/>
      <c r="AG769" s="6"/>
      <c r="AH769" s="27" t="s">
        <v>3392</v>
      </c>
      <c r="AI769" s="44" t="s">
        <v>3393</v>
      </c>
      <c r="AJ769" s="26"/>
      <c r="AK769" s="5"/>
      <c r="AL769" s="82" t="s">
        <v>3699</v>
      </c>
      <c r="AM769" s="76"/>
      <c r="AN769" s="76"/>
      <c r="AO769" s="76"/>
      <c r="AP769" s="76"/>
      <c r="AQ769" s="76"/>
      <c r="AR769" s="76"/>
      <c r="AS769" s="76"/>
      <c r="AT769" s="76"/>
      <c r="AU769" s="76"/>
      <c r="AV769" s="76"/>
      <c r="AW769" s="76"/>
      <c r="AX769" s="76">
        <f>+AW769*600000</f>
        <v>0</v>
      </c>
      <c r="AY769" s="76"/>
      <c r="AZ769" s="76">
        <f>+AY769*70000</f>
        <v>0</v>
      </c>
      <c r="BA769" s="76"/>
      <c r="BB769" s="76"/>
      <c r="BC769" s="76"/>
      <c r="BD769" s="76">
        <f>+BC769*30000</f>
        <v>0</v>
      </c>
      <c r="BE769" s="76"/>
      <c r="BF769" s="76"/>
      <c r="BG769" s="76"/>
      <c r="BH769" s="76"/>
      <c r="BI769" s="76"/>
      <c r="BJ769" s="76"/>
      <c r="BK769" s="76"/>
      <c r="BL769" s="76">
        <f>+BK769*31500</f>
        <v>0</v>
      </c>
      <c r="BM769" s="76"/>
      <c r="BN769" s="76"/>
      <c r="BO769" s="76"/>
      <c r="BP769" s="76"/>
      <c r="BQ769" s="76"/>
      <c r="BR769" s="76"/>
      <c r="BS769" s="76"/>
      <c r="BT769" s="76"/>
      <c r="BU769" s="76"/>
      <c r="BV769" s="76"/>
      <c r="BW769" s="76"/>
      <c r="BX769" s="76"/>
      <c r="BY769" s="76"/>
      <c r="BZ769" s="76"/>
      <c r="CA769" s="76"/>
      <c r="CB769" s="76"/>
      <c r="CC769" s="76"/>
      <c r="CD769" s="76"/>
      <c r="CE769" s="76"/>
      <c r="CF769" s="76">
        <f>+CE769*28000</f>
        <v>0</v>
      </c>
      <c r="CG769" s="76"/>
      <c r="CH769" s="76">
        <f>+CG769*22500</f>
        <v>0</v>
      </c>
      <c r="CI769" s="76"/>
      <c r="CJ769" s="76">
        <f>+CI769*26000</f>
        <v>0</v>
      </c>
      <c r="CK769" s="76"/>
      <c r="CL769" s="76"/>
      <c r="CM769" s="76"/>
      <c r="CN769" s="76">
        <f>+CM769*22000</f>
        <v>0</v>
      </c>
      <c r="CO769" s="76"/>
      <c r="CP769" s="76">
        <f>+CO769*46000</f>
        <v>0</v>
      </c>
      <c r="CQ769" s="76"/>
      <c r="CR769" s="76">
        <f>+CQ769*49000</f>
        <v>0</v>
      </c>
      <c r="CS769" s="76"/>
      <c r="CT769" s="76"/>
      <c r="CU769" s="56">
        <f>AN769+AP769+AR769+AT769+AV769+AX769+AZ769+BB769+BD769+BF769+BH769+BJ769+BL769+BN769+BP769+BR769+BT769+BV769+BX769+BZ769+CB769+CD769+CF769+CH769+CJ769+CL769+CN769+CP769+CR769+CT769</f>
        <v>0</v>
      </c>
      <c r="CV769" s="76"/>
      <c r="CW769" s="76">
        <f>+CV769*1100</f>
        <v>0</v>
      </c>
      <c r="CX769" s="76"/>
      <c r="CY769" s="76">
        <f>+CX769*106250</f>
        <v>0</v>
      </c>
      <c r="CZ769" s="76"/>
      <c r="DA769" s="76">
        <f>+CZ769*34500</f>
        <v>0</v>
      </c>
      <c r="DB769" s="76"/>
      <c r="DC769" s="76">
        <f>+DB769*25000</f>
        <v>0</v>
      </c>
      <c r="DD769" s="219"/>
      <c r="DE769" s="219"/>
      <c r="DF769" s="166"/>
      <c r="DG769" s="116"/>
      <c r="DH769" s="117"/>
      <c r="DI769" s="24"/>
      <c r="DJ769" s="24"/>
      <c r="DK769" s="24"/>
      <c r="DL769" s="24"/>
      <c r="DM769" s="24"/>
      <c r="DN769" s="24"/>
      <c r="DO769" s="24"/>
      <c r="DP769" s="24"/>
      <c r="DQ769" s="24"/>
      <c r="DR769" s="24"/>
      <c r="DS769" s="24"/>
      <c r="DT769" s="24"/>
      <c r="DU769" s="24"/>
    </row>
    <row r="770" spans="1:125" s="8" customFormat="1" ht="48" x14ac:dyDescent="0.2">
      <c r="A770" s="77">
        <v>41318</v>
      </c>
      <c r="B770" s="225" t="s">
        <v>2774</v>
      </c>
      <c r="C770" s="227" t="s">
        <v>284</v>
      </c>
      <c r="D770" s="84" t="s">
        <v>3088</v>
      </c>
      <c r="E770" s="75" t="str">
        <f>VLOOKUP(B770&amp;C770,Divipola!$C$2:$F$1138,4,FALSE)</f>
        <v>66170</v>
      </c>
      <c r="F770" s="87"/>
      <c r="G770" s="87"/>
      <c r="H770" s="87"/>
      <c r="I770" s="87"/>
      <c r="J770" s="87"/>
      <c r="K770" s="87"/>
      <c r="L770" s="87"/>
      <c r="M770" s="87"/>
      <c r="N770" s="87"/>
      <c r="O770" s="87"/>
      <c r="P770" s="87"/>
      <c r="Q770" s="87"/>
      <c r="R770" s="87"/>
      <c r="S770" s="87"/>
      <c r="T770" s="87"/>
      <c r="U770" s="88"/>
      <c r="V770" s="89"/>
      <c r="W770" s="96">
        <v>0</v>
      </c>
      <c r="X770" s="71">
        <f>CU770</f>
        <v>0</v>
      </c>
      <c r="Y770" s="71">
        <f>CY770</f>
        <v>0</v>
      </c>
      <c r="Z770" s="71">
        <f>DA770+DC770+DE770</f>
        <v>0</v>
      </c>
      <c r="AA770" s="71">
        <f>CW770</f>
        <v>0</v>
      </c>
      <c r="AB770" s="71"/>
      <c r="AC770" s="71">
        <v>0</v>
      </c>
      <c r="AD770" s="71">
        <f>W770+X770+Y770+Z770+AA770+AB770+AC770</f>
        <v>0</v>
      </c>
      <c r="AE770" s="72">
        <v>0</v>
      </c>
      <c r="AF770" s="5"/>
      <c r="AG770" s="6"/>
      <c r="AH770" s="27" t="s">
        <v>3392</v>
      </c>
      <c r="AI770" s="44" t="s">
        <v>3393</v>
      </c>
      <c r="AJ770" s="26"/>
      <c r="AK770" s="5"/>
      <c r="AL770" s="82" t="s">
        <v>3489</v>
      </c>
      <c r="AM770" s="76"/>
      <c r="AN770" s="76"/>
      <c r="AO770" s="76"/>
      <c r="AP770" s="76"/>
      <c r="AQ770" s="76"/>
      <c r="AR770" s="76"/>
      <c r="AS770" s="76"/>
      <c r="AT770" s="76"/>
      <c r="AU770" s="76"/>
      <c r="AV770" s="76"/>
      <c r="AW770" s="76"/>
      <c r="AX770" s="76">
        <f>+AW770*600000</f>
        <v>0</v>
      </c>
      <c r="AY770" s="76"/>
      <c r="AZ770" s="76">
        <f>+AY770*70000</f>
        <v>0</v>
      </c>
      <c r="BA770" s="76"/>
      <c r="BB770" s="76"/>
      <c r="BC770" s="76"/>
      <c r="BD770" s="76">
        <f>+BC770*30000</f>
        <v>0</v>
      </c>
      <c r="BE770" s="76"/>
      <c r="BF770" s="76"/>
      <c r="BG770" s="76"/>
      <c r="BH770" s="76"/>
      <c r="BI770" s="76"/>
      <c r="BJ770" s="76"/>
      <c r="BK770" s="76"/>
      <c r="BL770" s="76">
        <f>+BK770*31500</f>
        <v>0</v>
      </c>
      <c r="BM770" s="76"/>
      <c r="BN770" s="76"/>
      <c r="BO770" s="76"/>
      <c r="BP770" s="76"/>
      <c r="BQ770" s="76"/>
      <c r="BR770" s="76"/>
      <c r="BS770" s="76"/>
      <c r="BT770" s="76"/>
      <c r="BU770" s="76"/>
      <c r="BV770" s="76"/>
      <c r="BW770" s="76"/>
      <c r="BX770" s="76"/>
      <c r="BY770" s="76"/>
      <c r="BZ770" s="76"/>
      <c r="CA770" s="76"/>
      <c r="CB770" s="76"/>
      <c r="CC770" s="76"/>
      <c r="CD770" s="76"/>
      <c r="CE770" s="76"/>
      <c r="CF770" s="76">
        <f>+CE770*28000</f>
        <v>0</v>
      </c>
      <c r="CG770" s="76"/>
      <c r="CH770" s="76">
        <f>+CG770*22500</f>
        <v>0</v>
      </c>
      <c r="CI770" s="76"/>
      <c r="CJ770" s="76">
        <f>+CI770*26000</f>
        <v>0</v>
      </c>
      <c r="CK770" s="76"/>
      <c r="CL770" s="76"/>
      <c r="CM770" s="76"/>
      <c r="CN770" s="76">
        <f>+CM770*22000</f>
        <v>0</v>
      </c>
      <c r="CO770" s="76"/>
      <c r="CP770" s="76">
        <f>+CO770*46000</f>
        <v>0</v>
      </c>
      <c r="CQ770" s="76"/>
      <c r="CR770" s="76">
        <f>+CQ770*49000</f>
        <v>0</v>
      </c>
      <c r="CS770" s="76"/>
      <c r="CT770" s="76"/>
      <c r="CU770" s="56">
        <f>AN770+AP770+AR770+AT770+AV770+AX770+AZ770+BB770+BD770+BF770+BH770+BJ770+BL770+BN770+BP770+BR770+BT770+BV770+BX770+BZ770+CB770+CD770+CF770+CH770+CJ770+CL770+CN770+CP770+CR770+CT770</f>
        <v>0</v>
      </c>
      <c r="CV770" s="76"/>
      <c r="CW770" s="76">
        <f>+CV770*1100</f>
        <v>0</v>
      </c>
      <c r="CX770" s="76"/>
      <c r="CY770" s="76">
        <f>+CX770*106250</f>
        <v>0</v>
      </c>
      <c r="CZ770" s="76"/>
      <c r="DA770" s="76">
        <f>+CZ770*34500</f>
        <v>0</v>
      </c>
      <c r="DB770" s="76"/>
      <c r="DC770" s="76">
        <f>+DB770*25000</f>
        <v>0</v>
      </c>
      <c r="DD770" s="219"/>
      <c r="DE770" s="219"/>
      <c r="DF770" s="166"/>
      <c r="DG770" s="116"/>
      <c r="DH770" s="117"/>
      <c r="DI770" s="24"/>
      <c r="DJ770" s="24"/>
      <c r="DK770" s="24"/>
      <c r="DL770" s="24"/>
      <c r="DM770" s="24"/>
      <c r="DN770" s="24"/>
      <c r="DO770" s="24"/>
      <c r="DP770" s="24"/>
      <c r="DQ770" s="24"/>
      <c r="DR770" s="24"/>
      <c r="DS770" s="24"/>
      <c r="DT770" s="24"/>
      <c r="DU770" s="24"/>
    </row>
    <row r="771" spans="1:125" s="8" customFormat="1" ht="48" x14ac:dyDescent="0.2">
      <c r="A771" s="77">
        <v>41318</v>
      </c>
      <c r="B771" s="78" t="s">
        <v>2774</v>
      </c>
      <c r="C771" s="75" t="s">
        <v>284</v>
      </c>
      <c r="D771" s="84" t="s">
        <v>3088</v>
      </c>
      <c r="E771" s="75" t="str">
        <f>VLOOKUP(B771&amp;C771,Divipola!$C$2:$F$1138,4,FALSE)</f>
        <v>66170</v>
      </c>
      <c r="F771" s="87"/>
      <c r="G771" s="87"/>
      <c r="H771" s="87"/>
      <c r="I771" s="87">
        <v>15</v>
      </c>
      <c r="J771" s="87">
        <v>3</v>
      </c>
      <c r="K771" s="87">
        <v>2</v>
      </c>
      <c r="L771" s="87">
        <v>1</v>
      </c>
      <c r="M771" s="87"/>
      <c r="N771" s="87"/>
      <c r="O771" s="87"/>
      <c r="P771" s="87"/>
      <c r="Q771" s="87"/>
      <c r="R771" s="87"/>
      <c r="S771" s="87"/>
      <c r="T771" s="87"/>
      <c r="U771" s="88"/>
      <c r="V771" s="89"/>
      <c r="W771" s="96">
        <v>0</v>
      </c>
      <c r="X771" s="71">
        <f>CU771</f>
        <v>0</v>
      </c>
      <c r="Y771" s="71">
        <f>CY771</f>
        <v>0</v>
      </c>
      <c r="Z771" s="71">
        <f>DA771+DC771+DE771</f>
        <v>0</v>
      </c>
      <c r="AA771" s="71">
        <f>CW771</f>
        <v>0</v>
      </c>
      <c r="AB771" s="71"/>
      <c r="AC771" s="71">
        <v>0</v>
      </c>
      <c r="AD771" s="71">
        <f>W771+X771+Y771+Z771+AA771+AB771+AC771</f>
        <v>0</v>
      </c>
      <c r="AE771" s="72">
        <v>0</v>
      </c>
      <c r="AF771" s="5"/>
      <c r="AG771" s="6"/>
      <c r="AH771" s="27" t="s">
        <v>3392</v>
      </c>
      <c r="AI771" s="44" t="s">
        <v>3393</v>
      </c>
      <c r="AJ771" s="26"/>
      <c r="AK771" s="5"/>
      <c r="AL771" s="82" t="s">
        <v>3497</v>
      </c>
      <c r="AM771" s="76"/>
      <c r="AN771" s="76"/>
      <c r="AO771" s="76"/>
      <c r="AP771" s="76"/>
      <c r="AQ771" s="76"/>
      <c r="AR771" s="76"/>
      <c r="AS771" s="76"/>
      <c r="AT771" s="76"/>
      <c r="AU771" s="76"/>
      <c r="AV771" s="76"/>
      <c r="AW771" s="76"/>
      <c r="AX771" s="76">
        <f>+AW771*600000</f>
        <v>0</v>
      </c>
      <c r="AY771" s="76"/>
      <c r="AZ771" s="76">
        <f>+AY771*70000</f>
        <v>0</v>
      </c>
      <c r="BA771" s="76"/>
      <c r="BB771" s="76"/>
      <c r="BC771" s="76"/>
      <c r="BD771" s="76">
        <f>+BC771*30000</f>
        <v>0</v>
      </c>
      <c r="BE771" s="76"/>
      <c r="BF771" s="76"/>
      <c r="BG771" s="76"/>
      <c r="BH771" s="76"/>
      <c r="BI771" s="76"/>
      <c r="BJ771" s="76"/>
      <c r="BK771" s="76"/>
      <c r="BL771" s="76">
        <f>+BK771*31500</f>
        <v>0</v>
      </c>
      <c r="BM771" s="76"/>
      <c r="BN771" s="76"/>
      <c r="BO771" s="76"/>
      <c r="BP771" s="76"/>
      <c r="BQ771" s="76"/>
      <c r="BR771" s="76"/>
      <c r="BS771" s="76"/>
      <c r="BT771" s="76"/>
      <c r="BU771" s="76"/>
      <c r="BV771" s="76"/>
      <c r="BW771" s="76"/>
      <c r="BX771" s="76"/>
      <c r="BY771" s="76"/>
      <c r="BZ771" s="76"/>
      <c r="CA771" s="76"/>
      <c r="CB771" s="76"/>
      <c r="CC771" s="76"/>
      <c r="CD771" s="76"/>
      <c r="CE771" s="76"/>
      <c r="CF771" s="76">
        <f>+CE771*28000</f>
        <v>0</v>
      </c>
      <c r="CG771" s="76"/>
      <c r="CH771" s="76">
        <f>+CG771*22500</f>
        <v>0</v>
      </c>
      <c r="CI771" s="76"/>
      <c r="CJ771" s="76">
        <f>+CI771*26000</f>
        <v>0</v>
      </c>
      <c r="CK771" s="76"/>
      <c r="CL771" s="76"/>
      <c r="CM771" s="76"/>
      <c r="CN771" s="76">
        <f>+CM771*22000</f>
        <v>0</v>
      </c>
      <c r="CO771" s="76"/>
      <c r="CP771" s="76">
        <f>+CO771*46000</f>
        <v>0</v>
      </c>
      <c r="CQ771" s="76"/>
      <c r="CR771" s="76">
        <f>+CQ771*49000</f>
        <v>0</v>
      </c>
      <c r="CS771" s="76"/>
      <c r="CT771" s="76"/>
      <c r="CU771" s="56">
        <f>AN771+AP771+AR771+AT771+AV771+AX771+AZ771+BB771+BD771+BF771+BH771+BJ771+BL771+BN771+BP771+BR771+BT771+BV771+BX771+BZ771+CB771+CD771+CF771+CH771+CJ771+CL771+CN771+CP771+CR771+CT771</f>
        <v>0</v>
      </c>
      <c r="CV771" s="76"/>
      <c r="CW771" s="76">
        <f>+CV771*1100</f>
        <v>0</v>
      </c>
      <c r="CX771" s="76"/>
      <c r="CY771" s="76">
        <f>+CX771*106250</f>
        <v>0</v>
      </c>
      <c r="CZ771" s="76"/>
      <c r="DA771" s="76">
        <f>+CZ771*34500</f>
        <v>0</v>
      </c>
      <c r="DB771" s="76"/>
      <c r="DC771" s="76">
        <f>+DB771*25000</f>
        <v>0</v>
      </c>
      <c r="DD771" s="219"/>
      <c r="DE771" s="219"/>
      <c r="DF771" s="166"/>
      <c r="DG771" s="116"/>
      <c r="DH771" s="117"/>
      <c r="DI771" s="24"/>
      <c r="DJ771" s="24"/>
      <c r="DK771" s="24"/>
      <c r="DL771" s="24"/>
      <c r="DM771" s="24"/>
      <c r="DN771" s="24"/>
      <c r="DO771" s="24"/>
      <c r="DP771" s="24"/>
      <c r="DQ771" s="24"/>
      <c r="DR771" s="24"/>
      <c r="DS771" s="24"/>
      <c r="DT771" s="24"/>
      <c r="DU771" s="24"/>
    </row>
    <row r="772" spans="1:125" s="8" customFormat="1" ht="60" x14ac:dyDescent="0.2">
      <c r="A772" s="77">
        <v>41318</v>
      </c>
      <c r="B772" s="352" t="s">
        <v>2848</v>
      </c>
      <c r="C772" s="354" t="s">
        <v>1258</v>
      </c>
      <c r="D772" s="84" t="s">
        <v>3088</v>
      </c>
      <c r="E772" s="75" t="str">
        <f>VLOOKUP(B772&amp;C772,Divipola!$C$2:$F$1138,4,FALSE)</f>
        <v>73870</v>
      </c>
      <c r="F772" s="100"/>
      <c r="G772" s="100"/>
      <c r="H772" s="100"/>
      <c r="I772" s="100"/>
      <c r="J772" s="100"/>
      <c r="K772" s="100"/>
      <c r="L772" s="100"/>
      <c r="M772" s="100">
        <v>1</v>
      </c>
      <c r="N772" s="100"/>
      <c r="O772" s="100"/>
      <c r="P772" s="100"/>
      <c r="Q772" s="100"/>
      <c r="R772" s="100"/>
      <c r="S772" s="100"/>
      <c r="T772" s="100"/>
      <c r="U772" s="136"/>
      <c r="V772" s="89"/>
      <c r="W772" s="96">
        <v>0</v>
      </c>
      <c r="X772" s="71">
        <f>CU772</f>
        <v>0</v>
      </c>
      <c r="Y772" s="71">
        <f>CY772</f>
        <v>0</v>
      </c>
      <c r="Z772" s="71">
        <f>DA772+DC772+DE772</f>
        <v>0</v>
      </c>
      <c r="AA772" s="71">
        <f>CW772</f>
        <v>0</v>
      </c>
      <c r="AB772" s="71"/>
      <c r="AC772" s="71">
        <v>0</v>
      </c>
      <c r="AD772" s="71">
        <f>W772+X772+Y772+Z772+AA772+AB772+AC772</f>
        <v>0</v>
      </c>
      <c r="AE772" s="72">
        <v>0</v>
      </c>
      <c r="AF772" s="5"/>
      <c r="AG772" s="6"/>
      <c r="AH772" s="27" t="s">
        <v>3392</v>
      </c>
      <c r="AI772" s="44" t="s">
        <v>3393</v>
      </c>
      <c r="AJ772" s="26"/>
      <c r="AK772" s="5"/>
      <c r="AL772" s="82" t="s">
        <v>3488</v>
      </c>
      <c r="AM772" s="76"/>
      <c r="AN772" s="76"/>
      <c r="AO772" s="76"/>
      <c r="AP772" s="76"/>
      <c r="AQ772" s="76"/>
      <c r="AR772" s="76"/>
      <c r="AS772" s="76"/>
      <c r="AT772" s="76"/>
      <c r="AU772" s="76"/>
      <c r="AV772" s="76"/>
      <c r="AW772" s="76"/>
      <c r="AX772" s="76">
        <f>+AW772*600000</f>
        <v>0</v>
      </c>
      <c r="AY772" s="76"/>
      <c r="AZ772" s="76">
        <f>+AY772*70000</f>
        <v>0</v>
      </c>
      <c r="BA772" s="76"/>
      <c r="BB772" s="76"/>
      <c r="BC772" s="76"/>
      <c r="BD772" s="76">
        <f>+BC772*30000</f>
        <v>0</v>
      </c>
      <c r="BE772" s="76"/>
      <c r="BF772" s="76"/>
      <c r="BG772" s="76"/>
      <c r="BH772" s="76"/>
      <c r="BI772" s="76"/>
      <c r="BJ772" s="76"/>
      <c r="BK772" s="76"/>
      <c r="BL772" s="76">
        <f>+BK772*31500</f>
        <v>0</v>
      </c>
      <c r="BM772" s="76"/>
      <c r="BN772" s="76"/>
      <c r="BO772" s="76"/>
      <c r="BP772" s="76"/>
      <c r="BQ772" s="76"/>
      <c r="BR772" s="76"/>
      <c r="BS772" s="76"/>
      <c r="BT772" s="76"/>
      <c r="BU772" s="76"/>
      <c r="BV772" s="76"/>
      <c r="BW772" s="76"/>
      <c r="BX772" s="76"/>
      <c r="BY772" s="76"/>
      <c r="BZ772" s="76"/>
      <c r="CA772" s="76"/>
      <c r="CB772" s="76"/>
      <c r="CC772" s="76"/>
      <c r="CD772" s="76"/>
      <c r="CE772" s="76"/>
      <c r="CF772" s="76">
        <f>+CE772*28000</f>
        <v>0</v>
      </c>
      <c r="CG772" s="76"/>
      <c r="CH772" s="76">
        <f>+CG772*22500</f>
        <v>0</v>
      </c>
      <c r="CI772" s="76"/>
      <c r="CJ772" s="76">
        <f>+CI772*26000</f>
        <v>0</v>
      </c>
      <c r="CK772" s="76"/>
      <c r="CL772" s="76"/>
      <c r="CM772" s="76"/>
      <c r="CN772" s="76">
        <f>+CM772*22000</f>
        <v>0</v>
      </c>
      <c r="CO772" s="76"/>
      <c r="CP772" s="76">
        <f>+CO772*46000</f>
        <v>0</v>
      </c>
      <c r="CQ772" s="76"/>
      <c r="CR772" s="76">
        <f>+CQ772*49000</f>
        <v>0</v>
      </c>
      <c r="CS772" s="76"/>
      <c r="CT772" s="76"/>
      <c r="CU772" s="56">
        <f>AN772+AP772+AR772+AT772+AV772+AX772+AZ772+BB772+BD772+BF772+BH772+BJ772+BL772+BN772+BP772+BR772+BT772+BV772+BX772+BZ772+CB772+CD772+CF772+CH772+CJ772+CL772+CN772+CP772+CR772+CT772</f>
        <v>0</v>
      </c>
      <c r="CV772" s="76"/>
      <c r="CW772" s="76">
        <f>+CV772*1100</f>
        <v>0</v>
      </c>
      <c r="CX772" s="76"/>
      <c r="CY772" s="76">
        <f>+CX772*106250</f>
        <v>0</v>
      </c>
      <c r="CZ772" s="76"/>
      <c r="DA772" s="76">
        <f>+CZ772*34500</f>
        <v>0</v>
      </c>
      <c r="DB772" s="76"/>
      <c r="DC772" s="76">
        <f>+DB772*25000</f>
        <v>0</v>
      </c>
      <c r="DD772" s="219"/>
      <c r="DE772" s="219"/>
      <c r="DF772" s="166"/>
      <c r="DG772" s="116"/>
      <c r="DH772" s="117"/>
      <c r="DI772" s="24"/>
      <c r="DJ772" s="24"/>
      <c r="DK772" s="24"/>
      <c r="DL772" s="24"/>
      <c r="DM772" s="24"/>
      <c r="DN772" s="24"/>
      <c r="DO772" s="24"/>
      <c r="DP772" s="24"/>
      <c r="DQ772" s="24"/>
      <c r="DR772" s="24"/>
      <c r="DS772" s="24"/>
      <c r="DT772" s="24"/>
      <c r="DU772" s="24"/>
    </row>
    <row r="773" spans="1:125" s="8" customFormat="1" ht="36" x14ac:dyDescent="0.2">
      <c r="A773" s="77">
        <v>41319</v>
      </c>
      <c r="B773" s="78" t="s">
        <v>2087</v>
      </c>
      <c r="C773" s="75" t="s">
        <v>795</v>
      </c>
      <c r="D773" s="75" t="s">
        <v>3051</v>
      </c>
      <c r="E773" s="75" t="str">
        <f>VLOOKUP(B773&amp;C773,Divipola!$C$2:$F$1138,4,FALSE)</f>
        <v>18247</v>
      </c>
      <c r="F773" s="163"/>
      <c r="G773" s="163"/>
      <c r="H773" s="163"/>
      <c r="I773" s="163"/>
      <c r="J773" s="163"/>
      <c r="K773" s="163"/>
      <c r="L773" s="163"/>
      <c r="M773" s="163"/>
      <c r="N773" s="163">
        <v>1</v>
      </c>
      <c r="O773" s="163"/>
      <c r="P773" s="163"/>
      <c r="Q773" s="163"/>
      <c r="R773" s="163"/>
      <c r="S773" s="163"/>
      <c r="T773" s="163"/>
      <c r="U773" s="163"/>
      <c r="V773" s="134"/>
      <c r="W773" s="96">
        <v>0</v>
      </c>
      <c r="X773" s="71">
        <f>CU773</f>
        <v>0</v>
      </c>
      <c r="Y773" s="71">
        <f>CY773</f>
        <v>0</v>
      </c>
      <c r="Z773" s="71">
        <f>DA773+DC773+DE773</f>
        <v>0</v>
      </c>
      <c r="AA773" s="71">
        <f>CW773</f>
        <v>0</v>
      </c>
      <c r="AB773" s="71"/>
      <c r="AC773" s="71">
        <v>0</v>
      </c>
      <c r="AD773" s="71">
        <f>W773+X773+Y773+Z773+AA773+AB773+AC773</f>
        <v>0</v>
      </c>
      <c r="AE773" s="72">
        <v>0</v>
      </c>
      <c r="AF773" s="5"/>
      <c r="AG773" s="6"/>
      <c r="AH773" s="27" t="s">
        <v>3390</v>
      </c>
      <c r="AI773" s="44" t="s">
        <v>3393</v>
      </c>
      <c r="AJ773" s="26"/>
      <c r="AK773" s="5" t="s">
        <v>4242</v>
      </c>
      <c r="AL773" s="82" t="s">
        <v>3941</v>
      </c>
      <c r="AM773" s="76"/>
      <c r="AN773" s="76"/>
      <c r="AO773" s="76"/>
      <c r="AP773" s="76"/>
      <c r="AQ773" s="76"/>
      <c r="AR773" s="76"/>
      <c r="AS773" s="76"/>
      <c r="AT773" s="76"/>
      <c r="AU773" s="76"/>
      <c r="AV773" s="76"/>
      <c r="AW773" s="76"/>
      <c r="AX773" s="76">
        <f>+AW773*600000</f>
        <v>0</v>
      </c>
      <c r="AY773" s="76"/>
      <c r="AZ773" s="76">
        <f>+AY773*70000</f>
        <v>0</v>
      </c>
      <c r="BA773" s="76"/>
      <c r="BB773" s="76"/>
      <c r="BC773" s="76"/>
      <c r="BD773" s="76">
        <f>+BC773*30000</f>
        <v>0</v>
      </c>
      <c r="BE773" s="76"/>
      <c r="BF773" s="76"/>
      <c r="BG773" s="76"/>
      <c r="BH773" s="76"/>
      <c r="BI773" s="76"/>
      <c r="BJ773" s="76"/>
      <c r="BK773" s="76"/>
      <c r="BL773" s="76">
        <f>+BK773*31500</f>
        <v>0</v>
      </c>
      <c r="BM773" s="76"/>
      <c r="BN773" s="76"/>
      <c r="BO773" s="76"/>
      <c r="BP773" s="76"/>
      <c r="BQ773" s="76"/>
      <c r="BR773" s="76"/>
      <c r="BS773" s="76"/>
      <c r="BT773" s="76"/>
      <c r="BU773" s="76"/>
      <c r="BV773" s="76"/>
      <c r="BW773" s="76"/>
      <c r="BX773" s="76"/>
      <c r="BY773" s="76"/>
      <c r="BZ773" s="76"/>
      <c r="CA773" s="76"/>
      <c r="CB773" s="76"/>
      <c r="CC773" s="76"/>
      <c r="CD773" s="76"/>
      <c r="CE773" s="76"/>
      <c r="CF773" s="76">
        <f>+CE773*28000</f>
        <v>0</v>
      </c>
      <c r="CG773" s="76"/>
      <c r="CH773" s="76">
        <f>+CG773*22500</f>
        <v>0</v>
      </c>
      <c r="CI773" s="76"/>
      <c r="CJ773" s="76">
        <f>+CI773*26000</f>
        <v>0</v>
      </c>
      <c r="CK773" s="76"/>
      <c r="CL773" s="76"/>
      <c r="CM773" s="76"/>
      <c r="CN773" s="76">
        <f>+CM773*22000</f>
        <v>0</v>
      </c>
      <c r="CO773" s="76"/>
      <c r="CP773" s="76">
        <f>+CO773*46000</f>
        <v>0</v>
      </c>
      <c r="CQ773" s="76"/>
      <c r="CR773" s="76">
        <f>+CQ773*49000</f>
        <v>0</v>
      </c>
      <c r="CS773" s="76"/>
      <c r="CT773" s="76"/>
      <c r="CU773" s="56">
        <f>AN773+AP773+AR773+AT773+AV773+AX773+AZ773+BB773+BD773+BF773+BH773+BJ773+BL773+BN773+BP773+BR773+BT773+BV773+BX773+BZ773+CB773+CD773+CF773+CH773+CJ773+CL773+CN773+CP773+CR773+CT773</f>
        <v>0</v>
      </c>
      <c r="CV773" s="76"/>
      <c r="CW773" s="76">
        <f>+CV773*1100</f>
        <v>0</v>
      </c>
      <c r="CX773" s="76"/>
      <c r="CY773" s="76">
        <f>+CX773*106250</f>
        <v>0</v>
      </c>
      <c r="CZ773" s="76"/>
      <c r="DA773" s="76">
        <f>+CZ773*34500</f>
        <v>0</v>
      </c>
      <c r="DB773" s="76"/>
      <c r="DC773" s="76">
        <f>+DB773*25000</f>
        <v>0</v>
      </c>
      <c r="DD773" s="219"/>
      <c r="DE773" s="219"/>
      <c r="DF773" s="166"/>
      <c r="DG773" s="116"/>
      <c r="DH773" s="117"/>
      <c r="DI773" s="24"/>
      <c r="DJ773" s="24"/>
      <c r="DK773" s="24"/>
      <c r="DL773" s="24"/>
      <c r="DM773" s="24"/>
      <c r="DN773" s="24"/>
      <c r="DO773" s="24"/>
      <c r="DP773" s="24"/>
      <c r="DQ773" s="24"/>
      <c r="DR773" s="24"/>
      <c r="DS773" s="24"/>
      <c r="DT773" s="24"/>
      <c r="DU773" s="24"/>
    </row>
    <row r="774" spans="1:125" s="8" customFormat="1" ht="24" x14ac:dyDescent="0.2">
      <c r="A774" s="77">
        <v>41319</v>
      </c>
      <c r="B774" s="78" t="s">
        <v>2087</v>
      </c>
      <c r="C774" s="75" t="s">
        <v>795</v>
      </c>
      <c r="D774" s="75" t="s">
        <v>2882</v>
      </c>
      <c r="E774" s="75" t="str">
        <f>VLOOKUP(B774&amp;C774,Divipola!$C$2:$F$1138,4,FALSE)</f>
        <v>18247</v>
      </c>
      <c r="F774" s="163"/>
      <c r="G774" s="163"/>
      <c r="H774" s="163"/>
      <c r="I774" s="163"/>
      <c r="J774" s="163"/>
      <c r="K774" s="163"/>
      <c r="L774" s="163"/>
      <c r="M774" s="163"/>
      <c r="N774" s="163"/>
      <c r="O774" s="163"/>
      <c r="P774" s="163"/>
      <c r="Q774" s="163"/>
      <c r="R774" s="163"/>
      <c r="S774" s="163">
        <v>1</v>
      </c>
      <c r="T774" s="163"/>
      <c r="U774" s="163"/>
      <c r="V774" s="134"/>
      <c r="W774" s="96">
        <v>0</v>
      </c>
      <c r="X774" s="71">
        <f>CU774</f>
        <v>0</v>
      </c>
      <c r="Y774" s="71">
        <f>CY774</f>
        <v>0</v>
      </c>
      <c r="Z774" s="71">
        <f>DA774+DC774+DE774</f>
        <v>0</v>
      </c>
      <c r="AA774" s="71">
        <f>CW774</f>
        <v>0</v>
      </c>
      <c r="AB774" s="71"/>
      <c r="AC774" s="71">
        <v>0</v>
      </c>
      <c r="AD774" s="71">
        <f>W774+X774+Y774+Z774+AA774+AB774+AC774</f>
        <v>0</v>
      </c>
      <c r="AE774" s="72">
        <v>0</v>
      </c>
      <c r="AF774" s="5"/>
      <c r="AG774" s="6"/>
      <c r="AH774" s="27" t="s">
        <v>3390</v>
      </c>
      <c r="AI774" s="44" t="s">
        <v>3393</v>
      </c>
      <c r="AJ774" s="26"/>
      <c r="AK774" s="5" t="s">
        <v>4242</v>
      </c>
      <c r="AL774" s="82" t="s">
        <v>3940</v>
      </c>
      <c r="AM774" s="76"/>
      <c r="AN774" s="76"/>
      <c r="AO774" s="76"/>
      <c r="AP774" s="76"/>
      <c r="AQ774" s="76"/>
      <c r="AR774" s="76"/>
      <c r="AS774" s="76"/>
      <c r="AT774" s="76"/>
      <c r="AU774" s="76"/>
      <c r="AV774" s="76"/>
      <c r="AW774" s="76"/>
      <c r="AX774" s="76">
        <f>+AW774*600000</f>
        <v>0</v>
      </c>
      <c r="AY774" s="76"/>
      <c r="AZ774" s="76">
        <f>+AY774*70000</f>
        <v>0</v>
      </c>
      <c r="BA774" s="76"/>
      <c r="BB774" s="76"/>
      <c r="BC774" s="76"/>
      <c r="BD774" s="76">
        <f>+BC774*30000</f>
        <v>0</v>
      </c>
      <c r="BE774" s="76"/>
      <c r="BF774" s="76"/>
      <c r="BG774" s="76"/>
      <c r="BH774" s="76"/>
      <c r="BI774" s="76"/>
      <c r="BJ774" s="76"/>
      <c r="BK774" s="76"/>
      <c r="BL774" s="76">
        <f>+BK774*31500</f>
        <v>0</v>
      </c>
      <c r="BM774" s="76"/>
      <c r="BN774" s="76"/>
      <c r="BO774" s="76"/>
      <c r="BP774" s="76"/>
      <c r="BQ774" s="76"/>
      <c r="BR774" s="76"/>
      <c r="BS774" s="76"/>
      <c r="BT774" s="76"/>
      <c r="BU774" s="76"/>
      <c r="BV774" s="76"/>
      <c r="BW774" s="76"/>
      <c r="BX774" s="76"/>
      <c r="BY774" s="76"/>
      <c r="BZ774" s="76"/>
      <c r="CA774" s="76"/>
      <c r="CB774" s="76"/>
      <c r="CC774" s="76"/>
      <c r="CD774" s="76"/>
      <c r="CE774" s="76"/>
      <c r="CF774" s="76">
        <f>+CE774*28000</f>
        <v>0</v>
      </c>
      <c r="CG774" s="76"/>
      <c r="CH774" s="76">
        <f>+CG774*22500</f>
        <v>0</v>
      </c>
      <c r="CI774" s="76"/>
      <c r="CJ774" s="76">
        <f>+CI774*26000</f>
        <v>0</v>
      </c>
      <c r="CK774" s="76"/>
      <c r="CL774" s="76"/>
      <c r="CM774" s="76"/>
      <c r="CN774" s="76">
        <f>+CM774*22000</f>
        <v>0</v>
      </c>
      <c r="CO774" s="76"/>
      <c r="CP774" s="76">
        <f>+CO774*46000</f>
        <v>0</v>
      </c>
      <c r="CQ774" s="76"/>
      <c r="CR774" s="76">
        <f>+CQ774*49000</f>
        <v>0</v>
      </c>
      <c r="CS774" s="76"/>
      <c r="CT774" s="76"/>
      <c r="CU774" s="56">
        <f>AN774+AP774+AR774+AT774+AV774+AX774+AZ774+BB774+BD774+BF774+BH774+BJ774+BL774+BN774+BP774+BR774+BT774+BV774+BX774+BZ774+CB774+CD774+CF774+CH774+CJ774+CL774+CN774+CP774+CR774+CT774</f>
        <v>0</v>
      </c>
      <c r="CV774" s="76"/>
      <c r="CW774" s="76">
        <f>+CV774*1100</f>
        <v>0</v>
      </c>
      <c r="CX774" s="76"/>
      <c r="CY774" s="76">
        <f>+CX774*106250</f>
        <v>0</v>
      </c>
      <c r="CZ774" s="76"/>
      <c r="DA774" s="76">
        <f>+CZ774*34500</f>
        <v>0</v>
      </c>
      <c r="DB774" s="76"/>
      <c r="DC774" s="76">
        <f>+DB774*25000</f>
        <v>0</v>
      </c>
      <c r="DD774" s="219"/>
      <c r="DE774" s="219"/>
      <c r="DF774" s="166"/>
      <c r="DG774" s="116"/>
      <c r="DH774" s="117"/>
      <c r="DI774" s="24"/>
      <c r="DJ774" s="24"/>
      <c r="DK774" s="24"/>
      <c r="DL774" s="24"/>
      <c r="DM774" s="24"/>
      <c r="DN774" s="24"/>
      <c r="DO774" s="24"/>
      <c r="DP774" s="24"/>
      <c r="DQ774" s="24"/>
      <c r="DR774" s="24"/>
      <c r="DS774" s="24"/>
      <c r="DT774" s="24"/>
      <c r="DU774" s="24"/>
    </row>
    <row r="775" spans="1:125" s="8" customFormat="1" ht="24" x14ac:dyDescent="0.2">
      <c r="A775" s="77">
        <v>41319</v>
      </c>
      <c r="B775" s="78" t="s">
        <v>2087</v>
      </c>
      <c r="C775" s="75" t="s">
        <v>798</v>
      </c>
      <c r="D775" s="75" t="s">
        <v>2882</v>
      </c>
      <c r="E775" s="75" t="str">
        <f>VLOOKUP(B775&amp;C775,Divipola!$C$2:$F$1138,4,FALSE)</f>
        <v>18256</v>
      </c>
      <c r="F775" s="163"/>
      <c r="G775" s="163"/>
      <c r="H775" s="163"/>
      <c r="I775" s="163"/>
      <c r="J775" s="163"/>
      <c r="K775" s="163"/>
      <c r="L775" s="163"/>
      <c r="M775" s="163"/>
      <c r="N775" s="163"/>
      <c r="O775" s="163"/>
      <c r="P775" s="163"/>
      <c r="Q775" s="163"/>
      <c r="R775" s="163"/>
      <c r="S775" s="163">
        <v>1</v>
      </c>
      <c r="T775" s="163">
        <v>1</v>
      </c>
      <c r="U775" s="163"/>
      <c r="V775" s="134"/>
      <c r="W775" s="96">
        <v>0</v>
      </c>
      <c r="X775" s="71">
        <f>CU775</f>
        <v>0</v>
      </c>
      <c r="Y775" s="71">
        <f>CY775</f>
        <v>0</v>
      </c>
      <c r="Z775" s="71">
        <f>DA775+DC775+DE775</f>
        <v>0</v>
      </c>
      <c r="AA775" s="71">
        <f>CW775</f>
        <v>0</v>
      </c>
      <c r="AB775" s="71"/>
      <c r="AC775" s="71">
        <v>0</v>
      </c>
      <c r="AD775" s="71">
        <f>W775+X775+Y775+Z775+AA775+AB775+AC775</f>
        <v>0</v>
      </c>
      <c r="AE775" s="72">
        <v>0</v>
      </c>
      <c r="AF775" s="5"/>
      <c r="AG775" s="6"/>
      <c r="AH775" s="27" t="s">
        <v>3390</v>
      </c>
      <c r="AI775" s="44" t="s">
        <v>3393</v>
      </c>
      <c r="AJ775" s="26"/>
      <c r="AK775" s="5" t="s">
        <v>4242</v>
      </c>
      <c r="AL775" s="82" t="s">
        <v>3942</v>
      </c>
      <c r="AM775" s="76"/>
      <c r="AN775" s="76"/>
      <c r="AO775" s="76"/>
      <c r="AP775" s="76"/>
      <c r="AQ775" s="76"/>
      <c r="AR775" s="76"/>
      <c r="AS775" s="76"/>
      <c r="AT775" s="76"/>
      <c r="AU775" s="76"/>
      <c r="AV775" s="76"/>
      <c r="AW775" s="76"/>
      <c r="AX775" s="76">
        <f>+AW775*600000</f>
        <v>0</v>
      </c>
      <c r="AY775" s="76"/>
      <c r="AZ775" s="76">
        <f>+AY775*70000</f>
        <v>0</v>
      </c>
      <c r="BA775" s="76"/>
      <c r="BB775" s="76"/>
      <c r="BC775" s="76"/>
      <c r="BD775" s="76">
        <f>+BC775*30000</f>
        <v>0</v>
      </c>
      <c r="BE775" s="76"/>
      <c r="BF775" s="76"/>
      <c r="BG775" s="76"/>
      <c r="BH775" s="76"/>
      <c r="BI775" s="76"/>
      <c r="BJ775" s="76"/>
      <c r="BK775" s="76"/>
      <c r="BL775" s="76">
        <f>+BK775*31500</f>
        <v>0</v>
      </c>
      <c r="BM775" s="76"/>
      <c r="BN775" s="76"/>
      <c r="BO775" s="76"/>
      <c r="BP775" s="76"/>
      <c r="BQ775" s="76"/>
      <c r="BR775" s="76"/>
      <c r="BS775" s="76"/>
      <c r="BT775" s="76"/>
      <c r="BU775" s="76"/>
      <c r="BV775" s="76"/>
      <c r="BW775" s="76"/>
      <c r="BX775" s="76"/>
      <c r="BY775" s="76"/>
      <c r="BZ775" s="76"/>
      <c r="CA775" s="76"/>
      <c r="CB775" s="76"/>
      <c r="CC775" s="76"/>
      <c r="CD775" s="76"/>
      <c r="CE775" s="76"/>
      <c r="CF775" s="76">
        <f>+CE775*28000</f>
        <v>0</v>
      </c>
      <c r="CG775" s="76"/>
      <c r="CH775" s="76">
        <f>+CG775*22500</f>
        <v>0</v>
      </c>
      <c r="CI775" s="76"/>
      <c r="CJ775" s="76">
        <f>+CI775*26000</f>
        <v>0</v>
      </c>
      <c r="CK775" s="76"/>
      <c r="CL775" s="76"/>
      <c r="CM775" s="76"/>
      <c r="CN775" s="76">
        <f>+CM775*22000</f>
        <v>0</v>
      </c>
      <c r="CO775" s="76"/>
      <c r="CP775" s="76">
        <f>+CO775*46000</f>
        <v>0</v>
      </c>
      <c r="CQ775" s="76"/>
      <c r="CR775" s="76">
        <f>+CQ775*49000</f>
        <v>0</v>
      </c>
      <c r="CS775" s="76"/>
      <c r="CT775" s="76"/>
      <c r="CU775" s="56">
        <f>AN775+AP775+AR775+AT775+AV775+AX775+AZ775+BB775+BD775+BF775+BH775+BJ775+BL775+BN775+BP775+BR775+BT775+BV775+BX775+BZ775+CB775+CD775+CF775+CH775+CJ775+CL775+CN775+CP775+CR775+CT775</f>
        <v>0</v>
      </c>
      <c r="CV775" s="76"/>
      <c r="CW775" s="76">
        <f>+CV775*1100</f>
        <v>0</v>
      </c>
      <c r="CX775" s="76"/>
      <c r="CY775" s="76">
        <f>+CX775*106250</f>
        <v>0</v>
      </c>
      <c r="CZ775" s="76"/>
      <c r="DA775" s="76">
        <f>+CZ775*34500</f>
        <v>0</v>
      </c>
      <c r="DB775" s="76"/>
      <c r="DC775" s="76">
        <f>+DB775*25000</f>
        <v>0</v>
      </c>
      <c r="DD775" s="219"/>
      <c r="DE775" s="219"/>
      <c r="DF775" s="166"/>
      <c r="DG775" s="116"/>
      <c r="DH775" s="117"/>
      <c r="DI775" s="24"/>
      <c r="DJ775" s="24"/>
      <c r="DK775" s="24"/>
      <c r="DL775" s="24"/>
      <c r="DM775" s="24"/>
      <c r="DN775" s="24"/>
      <c r="DO775" s="24"/>
      <c r="DP775" s="24"/>
      <c r="DQ775" s="24"/>
      <c r="DR775" s="24"/>
      <c r="DS775" s="24"/>
      <c r="DT775" s="24"/>
      <c r="DU775" s="24"/>
    </row>
    <row r="776" spans="1:125" s="8" customFormat="1" ht="120" x14ac:dyDescent="0.2">
      <c r="A776" s="77">
        <v>41319</v>
      </c>
      <c r="B776" s="78" t="s">
        <v>2778</v>
      </c>
      <c r="C776" s="75" t="s">
        <v>2212</v>
      </c>
      <c r="D776" s="81" t="s">
        <v>2846</v>
      </c>
      <c r="E776" s="75" t="str">
        <f>VLOOKUP(B776&amp;C776,Divipola!$C$2:$F$1138,4,FALSE)</f>
        <v>85250</v>
      </c>
      <c r="F776" s="87"/>
      <c r="G776" s="87"/>
      <c r="H776" s="87"/>
      <c r="I776" s="87"/>
      <c r="J776" s="87"/>
      <c r="K776" s="87"/>
      <c r="L776" s="87"/>
      <c r="M776" s="87"/>
      <c r="N776" s="87"/>
      <c r="O776" s="87"/>
      <c r="P776" s="87"/>
      <c r="Q776" s="87"/>
      <c r="R776" s="87"/>
      <c r="S776" s="87"/>
      <c r="T776" s="87"/>
      <c r="U776" s="88">
        <v>900</v>
      </c>
      <c r="V776" s="89"/>
      <c r="W776" s="96">
        <v>0</v>
      </c>
      <c r="X776" s="71">
        <f>CU776</f>
        <v>0</v>
      </c>
      <c r="Y776" s="71">
        <f>CY776</f>
        <v>0</v>
      </c>
      <c r="Z776" s="71">
        <f>DA776+DC776+DE776</f>
        <v>0</v>
      </c>
      <c r="AA776" s="71">
        <f>CW776</f>
        <v>0</v>
      </c>
      <c r="AB776" s="71"/>
      <c r="AC776" s="71">
        <v>0</v>
      </c>
      <c r="AD776" s="71">
        <f>W776+X776+Y776+Z776+AA776+AB776+AC776</f>
        <v>0</v>
      </c>
      <c r="AE776" s="72">
        <v>0</v>
      </c>
      <c r="AF776" s="5"/>
      <c r="AG776" s="6"/>
      <c r="AH776" s="27" t="s">
        <v>3392</v>
      </c>
      <c r="AI776" s="44" t="s">
        <v>3393</v>
      </c>
      <c r="AJ776" s="26"/>
      <c r="AK776" s="5"/>
      <c r="AL776" s="82" t="s">
        <v>3533</v>
      </c>
      <c r="AM776" s="76"/>
      <c r="AN776" s="76"/>
      <c r="AO776" s="76"/>
      <c r="AP776" s="76"/>
      <c r="AQ776" s="76"/>
      <c r="AR776" s="76"/>
      <c r="AS776" s="76"/>
      <c r="AT776" s="76"/>
      <c r="AU776" s="76"/>
      <c r="AV776" s="76"/>
      <c r="AW776" s="76"/>
      <c r="AX776" s="76">
        <f>+AW776*600000</f>
        <v>0</v>
      </c>
      <c r="AY776" s="76"/>
      <c r="AZ776" s="76">
        <f>+AY776*70000</f>
        <v>0</v>
      </c>
      <c r="BA776" s="76"/>
      <c r="BB776" s="76"/>
      <c r="BC776" s="76"/>
      <c r="BD776" s="76">
        <f>+BC776*30000</f>
        <v>0</v>
      </c>
      <c r="BE776" s="76"/>
      <c r="BF776" s="76"/>
      <c r="BG776" s="76"/>
      <c r="BH776" s="76"/>
      <c r="BI776" s="76"/>
      <c r="BJ776" s="76"/>
      <c r="BK776" s="76"/>
      <c r="BL776" s="76">
        <f>+BK776*31500</f>
        <v>0</v>
      </c>
      <c r="BM776" s="76"/>
      <c r="BN776" s="76"/>
      <c r="BO776" s="76"/>
      <c r="BP776" s="76"/>
      <c r="BQ776" s="76"/>
      <c r="BR776" s="76"/>
      <c r="BS776" s="76"/>
      <c r="BT776" s="76"/>
      <c r="BU776" s="76"/>
      <c r="BV776" s="76"/>
      <c r="BW776" s="76"/>
      <c r="BX776" s="76"/>
      <c r="BY776" s="76"/>
      <c r="BZ776" s="76"/>
      <c r="CA776" s="76"/>
      <c r="CB776" s="76"/>
      <c r="CC776" s="76"/>
      <c r="CD776" s="76"/>
      <c r="CE776" s="76"/>
      <c r="CF776" s="76">
        <f>+CE776*28000</f>
        <v>0</v>
      </c>
      <c r="CG776" s="76"/>
      <c r="CH776" s="76">
        <f>+CG776*22500</f>
        <v>0</v>
      </c>
      <c r="CI776" s="76"/>
      <c r="CJ776" s="76">
        <f>+CI776*26000</f>
        <v>0</v>
      </c>
      <c r="CK776" s="76"/>
      <c r="CL776" s="76"/>
      <c r="CM776" s="76"/>
      <c r="CN776" s="76">
        <f>+CM776*22000</f>
        <v>0</v>
      </c>
      <c r="CO776" s="76"/>
      <c r="CP776" s="76">
        <f>+CO776*46000</f>
        <v>0</v>
      </c>
      <c r="CQ776" s="76"/>
      <c r="CR776" s="76">
        <f>+CQ776*49000</f>
        <v>0</v>
      </c>
      <c r="CS776" s="76"/>
      <c r="CT776" s="76"/>
      <c r="CU776" s="56">
        <f>AN776+AP776+AR776+AT776+AV776+AX776+AZ776+BB776+BD776+BF776+BH776+BJ776+BL776+BN776+BP776+BR776+BT776+BV776+BX776+BZ776+CB776+CD776+CF776+CH776+CJ776+CL776+CN776+CP776+CR776+CT776</f>
        <v>0</v>
      </c>
      <c r="CV776" s="76"/>
      <c r="CW776" s="76">
        <f>+CV776*1100</f>
        <v>0</v>
      </c>
      <c r="CX776" s="76"/>
      <c r="CY776" s="76">
        <f>+CX776*106250</f>
        <v>0</v>
      </c>
      <c r="CZ776" s="76"/>
      <c r="DA776" s="76">
        <f>+CZ776*34500</f>
        <v>0</v>
      </c>
      <c r="DB776" s="76"/>
      <c r="DC776" s="76">
        <f>+DB776*25000</f>
        <v>0</v>
      </c>
      <c r="DD776" s="219"/>
      <c r="DE776" s="219"/>
      <c r="DF776" s="166"/>
      <c r="DG776" s="116"/>
      <c r="DH776" s="117"/>
      <c r="DI776" s="24"/>
      <c r="DJ776" s="24"/>
      <c r="DK776" s="24"/>
      <c r="DL776" s="24"/>
      <c r="DM776" s="24"/>
      <c r="DN776" s="24"/>
      <c r="DO776" s="24"/>
      <c r="DP776" s="24"/>
      <c r="DQ776" s="24"/>
      <c r="DR776" s="24"/>
      <c r="DS776" s="24"/>
      <c r="DT776" s="24"/>
      <c r="DU776" s="24"/>
    </row>
    <row r="777" spans="1:125" s="8" customFormat="1" ht="48" x14ac:dyDescent="0.2">
      <c r="A777" s="77">
        <v>41319</v>
      </c>
      <c r="B777" s="78" t="s">
        <v>2778</v>
      </c>
      <c r="C777" s="75" t="s">
        <v>2212</v>
      </c>
      <c r="D777" s="81" t="s">
        <v>2846</v>
      </c>
      <c r="E777" s="75" t="str">
        <f>VLOOKUP(B777&amp;C777,Divipola!$C$2:$F$1138,4,FALSE)</f>
        <v>85250</v>
      </c>
      <c r="F777" s="87"/>
      <c r="G777" s="87"/>
      <c r="H777" s="87"/>
      <c r="I777" s="87"/>
      <c r="J777" s="87"/>
      <c r="K777" s="87"/>
      <c r="L777" s="87"/>
      <c r="M777" s="87"/>
      <c r="N777" s="87"/>
      <c r="O777" s="87"/>
      <c r="P777" s="87"/>
      <c r="Q777" s="87"/>
      <c r="R777" s="87"/>
      <c r="S777" s="87"/>
      <c r="T777" s="87"/>
      <c r="U777" s="88">
        <v>110</v>
      </c>
      <c r="V777" s="89"/>
      <c r="W777" s="96">
        <v>0</v>
      </c>
      <c r="X777" s="71">
        <f>CU777</f>
        <v>0</v>
      </c>
      <c r="Y777" s="71">
        <f>CY777</f>
        <v>0</v>
      </c>
      <c r="Z777" s="71">
        <f>DA777+DC777+DE777</f>
        <v>0</v>
      </c>
      <c r="AA777" s="71">
        <f>CW777</f>
        <v>0</v>
      </c>
      <c r="AB777" s="71"/>
      <c r="AC777" s="71">
        <v>0</v>
      </c>
      <c r="AD777" s="71">
        <f>W777+X777+Y777+Z777+AA777+AB777+AC777</f>
        <v>0</v>
      </c>
      <c r="AE777" s="72">
        <v>0</v>
      </c>
      <c r="AF777" s="5"/>
      <c r="AG777" s="6"/>
      <c r="AH777" s="27" t="s">
        <v>3392</v>
      </c>
      <c r="AI777" s="44" t="s">
        <v>3393</v>
      </c>
      <c r="AJ777" s="26"/>
      <c r="AK777" s="5"/>
      <c r="AL777" s="82" t="s">
        <v>3760</v>
      </c>
      <c r="AM777" s="76"/>
      <c r="AN777" s="76"/>
      <c r="AO777" s="76"/>
      <c r="AP777" s="76"/>
      <c r="AQ777" s="76"/>
      <c r="AR777" s="76"/>
      <c r="AS777" s="76"/>
      <c r="AT777" s="76"/>
      <c r="AU777" s="76"/>
      <c r="AV777" s="76"/>
      <c r="AW777" s="76"/>
      <c r="AX777" s="76">
        <f>+AW777*600000</f>
        <v>0</v>
      </c>
      <c r="AY777" s="76"/>
      <c r="AZ777" s="76">
        <f>+AY777*70000</f>
        <v>0</v>
      </c>
      <c r="BA777" s="76"/>
      <c r="BB777" s="76"/>
      <c r="BC777" s="76"/>
      <c r="BD777" s="76">
        <f>+BC777*30000</f>
        <v>0</v>
      </c>
      <c r="BE777" s="76"/>
      <c r="BF777" s="76"/>
      <c r="BG777" s="76"/>
      <c r="BH777" s="76"/>
      <c r="BI777" s="76"/>
      <c r="BJ777" s="76"/>
      <c r="BK777" s="76"/>
      <c r="BL777" s="76">
        <f>+BK777*31500</f>
        <v>0</v>
      </c>
      <c r="BM777" s="76"/>
      <c r="BN777" s="76"/>
      <c r="BO777" s="76"/>
      <c r="BP777" s="76"/>
      <c r="BQ777" s="76"/>
      <c r="BR777" s="76"/>
      <c r="BS777" s="76"/>
      <c r="BT777" s="76"/>
      <c r="BU777" s="76"/>
      <c r="BV777" s="76"/>
      <c r="BW777" s="76"/>
      <c r="BX777" s="76"/>
      <c r="BY777" s="76"/>
      <c r="BZ777" s="76"/>
      <c r="CA777" s="76"/>
      <c r="CB777" s="76"/>
      <c r="CC777" s="76"/>
      <c r="CD777" s="76"/>
      <c r="CE777" s="76"/>
      <c r="CF777" s="76">
        <f>+CE777*28000</f>
        <v>0</v>
      </c>
      <c r="CG777" s="76"/>
      <c r="CH777" s="76">
        <f>+CG777*22500</f>
        <v>0</v>
      </c>
      <c r="CI777" s="76"/>
      <c r="CJ777" s="76">
        <f>+CI777*26000</f>
        <v>0</v>
      </c>
      <c r="CK777" s="76"/>
      <c r="CL777" s="76"/>
      <c r="CM777" s="76"/>
      <c r="CN777" s="76">
        <f>+CM777*22000</f>
        <v>0</v>
      </c>
      <c r="CO777" s="76"/>
      <c r="CP777" s="76">
        <f>+CO777*46000</f>
        <v>0</v>
      </c>
      <c r="CQ777" s="76"/>
      <c r="CR777" s="76">
        <f>+CQ777*49000</f>
        <v>0</v>
      </c>
      <c r="CS777" s="76"/>
      <c r="CT777" s="76"/>
      <c r="CU777" s="56">
        <f>AN777+AP777+AR777+AT777+AV777+AX777+AZ777+BB777+BD777+BF777+BH777+BJ777+BL777+BN777+BP777+BR777+BT777+BV777+BX777+BZ777+CB777+CD777+CF777+CH777+CJ777+CL777+CN777+CP777+CR777+CT777</f>
        <v>0</v>
      </c>
      <c r="CV777" s="76"/>
      <c r="CW777" s="76">
        <f>+CV777*1100</f>
        <v>0</v>
      </c>
      <c r="CX777" s="76"/>
      <c r="CY777" s="76">
        <f>+CX777*106250</f>
        <v>0</v>
      </c>
      <c r="CZ777" s="76"/>
      <c r="DA777" s="76">
        <f>+CZ777*34500</f>
        <v>0</v>
      </c>
      <c r="DB777" s="76"/>
      <c r="DC777" s="76">
        <f>+DB777*25000</f>
        <v>0</v>
      </c>
      <c r="DD777" s="219"/>
      <c r="DE777" s="219"/>
      <c r="DF777" s="166"/>
      <c r="DG777" s="116"/>
      <c r="DH777" s="117"/>
      <c r="DI777" s="24"/>
      <c r="DJ777" s="24"/>
      <c r="DK777" s="24"/>
      <c r="DL777" s="24"/>
      <c r="DM777" s="24"/>
      <c r="DN777" s="24"/>
      <c r="DO777" s="24"/>
      <c r="DP777" s="24"/>
      <c r="DQ777" s="24"/>
      <c r="DR777" s="24"/>
      <c r="DS777" s="24"/>
      <c r="DT777" s="24"/>
      <c r="DU777" s="24"/>
    </row>
    <row r="778" spans="1:125" s="8" customFormat="1" ht="48" x14ac:dyDescent="0.2">
      <c r="A778" s="77">
        <v>41319</v>
      </c>
      <c r="B778" s="78" t="s">
        <v>2778</v>
      </c>
      <c r="C778" s="75" t="s">
        <v>2212</v>
      </c>
      <c r="D778" s="81" t="s">
        <v>2846</v>
      </c>
      <c r="E778" s="75" t="str">
        <f>VLOOKUP(B778&amp;C778,Divipola!$C$2:$F$1138,4,FALSE)</f>
        <v>85250</v>
      </c>
      <c r="F778" s="87"/>
      <c r="G778" s="87"/>
      <c r="H778" s="87"/>
      <c r="I778" s="87"/>
      <c r="J778" s="87"/>
      <c r="K778" s="87"/>
      <c r="L778" s="87"/>
      <c r="M778" s="87"/>
      <c r="N778" s="87"/>
      <c r="O778" s="87"/>
      <c r="P778" s="87"/>
      <c r="Q778" s="87"/>
      <c r="R778" s="87"/>
      <c r="S778" s="87"/>
      <c r="T778" s="87"/>
      <c r="U778" s="88">
        <v>120</v>
      </c>
      <c r="V778" s="89"/>
      <c r="W778" s="96">
        <v>0</v>
      </c>
      <c r="X778" s="71">
        <f>CU778</f>
        <v>0</v>
      </c>
      <c r="Y778" s="71">
        <f>CY778</f>
        <v>0</v>
      </c>
      <c r="Z778" s="71">
        <f>DA778+DC778+DE778</f>
        <v>0</v>
      </c>
      <c r="AA778" s="71">
        <f>CW778</f>
        <v>0</v>
      </c>
      <c r="AB778" s="71"/>
      <c r="AC778" s="71">
        <v>0</v>
      </c>
      <c r="AD778" s="71">
        <f>W778+X778+Y778+Z778+AA778+AB778+AC778</f>
        <v>0</v>
      </c>
      <c r="AE778" s="72">
        <v>0</v>
      </c>
      <c r="AF778" s="5"/>
      <c r="AG778" s="6"/>
      <c r="AH778" s="27" t="s">
        <v>3392</v>
      </c>
      <c r="AI778" s="44" t="s">
        <v>3393</v>
      </c>
      <c r="AJ778" s="26"/>
      <c r="AK778" s="5"/>
      <c r="AL778" s="82" t="s">
        <v>3762</v>
      </c>
      <c r="AM778" s="76"/>
      <c r="AN778" s="76"/>
      <c r="AO778" s="76"/>
      <c r="AP778" s="76"/>
      <c r="AQ778" s="76"/>
      <c r="AR778" s="76"/>
      <c r="AS778" s="76"/>
      <c r="AT778" s="76"/>
      <c r="AU778" s="76"/>
      <c r="AV778" s="76"/>
      <c r="AW778" s="76"/>
      <c r="AX778" s="76">
        <f>+AW778*600000</f>
        <v>0</v>
      </c>
      <c r="AY778" s="76"/>
      <c r="AZ778" s="76">
        <f>+AY778*70000</f>
        <v>0</v>
      </c>
      <c r="BA778" s="76"/>
      <c r="BB778" s="76"/>
      <c r="BC778" s="76"/>
      <c r="BD778" s="76">
        <f>+BC778*30000</f>
        <v>0</v>
      </c>
      <c r="BE778" s="76"/>
      <c r="BF778" s="76"/>
      <c r="BG778" s="76"/>
      <c r="BH778" s="76"/>
      <c r="BI778" s="76"/>
      <c r="BJ778" s="76"/>
      <c r="BK778" s="76"/>
      <c r="BL778" s="76">
        <f>+BK778*31500</f>
        <v>0</v>
      </c>
      <c r="BM778" s="76"/>
      <c r="BN778" s="76"/>
      <c r="BO778" s="76"/>
      <c r="BP778" s="76"/>
      <c r="BQ778" s="76"/>
      <c r="BR778" s="76"/>
      <c r="BS778" s="76"/>
      <c r="BT778" s="76"/>
      <c r="BU778" s="76"/>
      <c r="BV778" s="76"/>
      <c r="BW778" s="76"/>
      <c r="BX778" s="76"/>
      <c r="BY778" s="76"/>
      <c r="BZ778" s="76"/>
      <c r="CA778" s="76"/>
      <c r="CB778" s="76"/>
      <c r="CC778" s="76"/>
      <c r="CD778" s="76"/>
      <c r="CE778" s="76"/>
      <c r="CF778" s="76">
        <f>+CE778*28000</f>
        <v>0</v>
      </c>
      <c r="CG778" s="76"/>
      <c r="CH778" s="76">
        <f>+CG778*22500</f>
        <v>0</v>
      </c>
      <c r="CI778" s="76"/>
      <c r="CJ778" s="76">
        <f>+CI778*26000</f>
        <v>0</v>
      </c>
      <c r="CK778" s="76"/>
      <c r="CL778" s="76"/>
      <c r="CM778" s="76"/>
      <c r="CN778" s="76">
        <f>+CM778*22000</f>
        <v>0</v>
      </c>
      <c r="CO778" s="76"/>
      <c r="CP778" s="76">
        <f>+CO778*46000</f>
        <v>0</v>
      </c>
      <c r="CQ778" s="76"/>
      <c r="CR778" s="76">
        <f>+CQ778*49000</f>
        <v>0</v>
      </c>
      <c r="CS778" s="76"/>
      <c r="CT778" s="76"/>
      <c r="CU778" s="56">
        <f>AN778+AP778+AR778+AT778+AV778+AX778+AZ778+BB778+BD778+BF778+BH778+BJ778+BL778+BN778+BP778+BR778+BT778+BV778+BX778+BZ778+CB778+CD778+CF778+CH778+CJ778+CL778+CN778+CP778+CR778+CT778</f>
        <v>0</v>
      </c>
      <c r="CV778" s="76"/>
      <c r="CW778" s="76">
        <f>+CV778*1100</f>
        <v>0</v>
      </c>
      <c r="CX778" s="76"/>
      <c r="CY778" s="76">
        <f>+CX778*106250</f>
        <v>0</v>
      </c>
      <c r="CZ778" s="76"/>
      <c r="DA778" s="76">
        <f>+CZ778*34500</f>
        <v>0</v>
      </c>
      <c r="DB778" s="76"/>
      <c r="DC778" s="76">
        <f>+DB778*25000</f>
        <v>0</v>
      </c>
      <c r="DD778" s="219"/>
      <c r="DE778" s="219"/>
      <c r="DF778" s="166"/>
      <c r="DG778" s="116"/>
      <c r="DH778" s="117"/>
      <c r="DI778" s="24"/>
      <c r="DJ778" s="24"/>
      <c r="DK778" s="24"/>
      <c r="DL778" s="24"/>
      <c r="DM778" s="24"/>
      <c r="DN778" s="24"/>
      <c r="DO778" s="24"/>
      <c r="DP778" s="24"/>
      <c r="DQ778" s="24"/>
      <c r="DR778" s="24"/>
      <c r="DS778" s="24"/>
      <c r="DT778" s="24"/>
      <c r="DU778" s="24"/>
    </row>
    <row r="779" spans="1:125" s="8" customFormat="1" ht="48" x14ac:dyDescent="0.2">
      <c r="A779" s="77">
        <v>41319</v>
      </c>
      <c r="B779" s="78" t="s">
        <v>2778</v>
      </c>
      <c r="C779" s="75" t="s">
        <v>1342</v>
      </c>
      <c r="D779" s="81" t="s">
        <v>2846</v>
      </c>
      <c r="E779" s="75" t="str">
        <f>VLOOKUP(B779&amp;C779,Divipola!$C$2:$F$1138,4,FALSE)</f>
        <v>85263</v>
      </c>
      <c r="F779" s="100"/>
      <c r="G779" s="100"/>
      <c r="H779" s="100"/>
      <c r="I779" s="100"/>
      <c r="J779" s="100"/>
      <c r="K779" s="100"/>
      <c r="L779" s="100"/>
      <c r="M779" s="100"/>
      <c r="N779" s="100"/>
      <c r="O779" s="100"/>
      <c r="P779" s="100"/>
      <c r="Q779" s="100"/>
      <c r="R779" s="100"/>
      <c r="S779" s="100"/>
      <c r="T779" s="100"/>
      <c r="U779" s="136">
        <v>130</v>
      </c>
      <c r="V779" s="89"/>
      <c r="W779" s="96">
        <v>0</v>
      </c>
      <c r="X779" s="71">
        <f>CU779</f>
        <v>0</v>
      </c>
      <c r="Y779" s="71">
        <f>CY779</f>
        <v>0</v>
      </c>
      <c r="Z779" s="71">
        <f>DA779+DC779+DE779</f>
        <v>0</v>
      </c>
      <c r="AA779" s="71">
        <f>CW779</f>
        <v>0</v>
      </c>
      <c r="AB779" s="71"/>
      <c r="AC779" s="71">
        <v>0</v>
      </c>
      <c r="AD779" s="71">
        <f>W779+X779+Y779+Z779+AA779+AB779+AC779</f>
        <v>0</v>
      </c>
      <c r="AE779" s="72">
        <v>0</v>
      </c>
      <c r="AF779" s="5"/>
      <c r="AG779" s="6"/>
      <c r="AH779" s="27" t="s">
        <v>3392</v>
      </c>
      <c r="AI779" s="44" t="s">
        <v>3393</v>
      </c>
      <c r="AJ779" s="26"/>
      <c r="AK779" s="5"/>
      <c r="AL779" s="82" t="s">
        <v>3763</v>
      </c>
      <c r="AM779" s="76"/>
      <c r="AN779" s="76"/>
      <c r="AO779" s="76"/>
      <c r="AP779" s="76"/>
      <c r="AQ779" s="76"/>
      <c r="AR779" s="76"/>
      <c r="AS779" s="76"/>
      <c r="AT779" s="76"/>
      <c r="AU779" s="76"/>
      <c r="AV779" s="76"/>
      <c r="AW779" s="76"/>
      <c r="AX779" s="76">
        <f>+AW779*600000</f>
        <v>0</v>
      </c>
      <c r="AY779" s="76"/>
      <c r="AZ779" s="76">
        <f>+AY779*70000</f>
        <v>0</v>
      </c>
      <c r="BA779" s="76"/>
      <c r="BB779" s="76"/>
      <c r="BC779" s="76"/>
      <c r="BD779" s="76">
        <f>+BC779*30000</f>
        <v>0</v>
      </c>
      <c r="BE779" s="76"/>
      <c r="BF779" s="76"/>
      <c r="BG779" s="76"/>
      <c r="BH779" s="76"/>
      <c r="BI779" s="76"/>
      <c r="BJ779" s="76"/>
      <c r="BK779" s="76"/>
      <c r="BL779" s="76">
        <f>+BK779*31500</f>
        <v>0</v>
      </c>
      <c r="BM779" s="76"/>
      <c r="BN779" s="76"/>
      <c r="BO779" s="76"/>
      <c r="BP779" s="76"/>
      <c r="BQ779" s="76"/>
      <c r="BR779" s="76"/>
      <c r="BS779" s="76"/>
      <c r="BT779" s="76"/>
      <c r="BU779" s="76"/>
      <c r="BV779" s="76"/>
      <c r="BW779" s="76"/>
      <c r="BX779" s="76"/>
      <c r="BY779" s="76"/>
      <c r="BZ779" s="76"/>
      <c r="CA779" s="76"/>
      <c r="CB779" s="76"/>
      <c r="CC779" s="76"/>
      <c r="CD779" s="76"/>
      <c r="CE779" s="76"/>
      <c r="CF779" s="76">
        <f>+CE779*28000</f>
        <v>0</v>
      </c>
      <c r="CG779" s="76"/>
      <c r="CH779" s="76">
        <f>+CG779*22500</f>
        <v>0</v>
      </c>
      <c r="CI779" s="76"/>
      <c r="CJ779" s="76">
        <f>+CI779*26000</f>
        <v>0</v>
      </c>
      <c r="CK779" s="76"/>
      <c r="CL779" s="76"/>
      <c r="CM779" s="76"/>
      <c r="CN779" s="76">
        <f>+CM779*22000</f>
        <v>0</v>
      </c>
      <c r="CO779" s="76"/>
      <c r="CP779" s="76">
        <f>+CO779*46000</f>
        <v>0</v>
      </c>
      <c r="CQ779" s="76"/>
      <c r="CR779" s="76">
        <f>+CQ779*49000</f>
        <v>0</v>
      </c>
      <c r="CS779" s="76"/>
      <c r="CT779" s="76"/>
      <c r="CU779" s="56">
        <f>AN779+AP779+AR779+AT779+AV779+AX779+AZ779+BB779+BD779+BF779+BH779+BJ779+BL779+BN779+BP779+BR779+BT779+BV779+BX779+BZ779+CB779+CD779+CF779+CH779+CJ779+CL779+CN779+CP779+CR779+CT779</f>
        <v>0</v>
      </c>
      <c r="CV779" s="76"/>
      <c r="CW779" s="76">
        <f>+CV779*1100</f>
        <v>0</v>
      </c>
      <c r="CX779" s="76"/>
      <c r="CY779" s="76">
        <f>+CX779*106250</f>
        <v>0</v>
      </c>
      <c r="CZ779" s="76"/>
      <c r="DA779" s="76">
        <f>+CZ779*34500</f>
        <v>0</v>
      </c>
      <c r="DB779" s="76"/>
      <c r="DC779" s="76">
        <f>+DB779*25000</f>
        <v>0</v>
      </c>
      <c r="DD779" s="219"/>
      <c r="DE779" s="219"/>
      <c r="DF779" s="166"/>
      <c r="DG779" s="116"/>
      <c r="DH779" s="117"/>
      <c r="DI779" s="24"/>
      <c r="DJ779" s="24"/>
      <c r="DK779" s="24"/>
      <c r="DL779" s="24"/>
      <c r="DM779" s="24"/>
      <c r="DN779" s="24"/>
      <c r="DO779" s="24"/>
      <c r="DP779" s="24"/>
      <c r="DQ779" s="24"/>
      <c r="DR779" s="24"/>
      <c r="DS779" s="24"/>
      <c r="DT779" s="24"/>
      <c r="DU779" s="24"/>
    </row>
    <row r="780" spans="1:125" s="8" customFormat="1" ht="48" x14ac:dyDescent="0.2">
      <c r="A780" s="77">
        <v>41319</v>
      </c>
      <c r="B780" s="78" t="s">
        <v>2778</v>
      </c>
      <c r="C780" s="75" t="s">
        <v>1267</v>
      </c>
      <c r="D780" s="81" t="s">
        <v>2846</v>
      </c>
      <c r="E780" s="75" t="str">
        <f>VLOOKUP(B780&amp;C780,Divipola!$C$2:$F$1138,4,FALSE)</f>
        <v>85315</v>
      </c>
      <c r="F780" s="87"/>
      <c r="G780" s="87"/>
      <c r="H780" s="87"/>
      <c r="I780" s="87"/>
      <c r="J780" s="87"/>
      <c r="K780" s="87"/>
      <c r="L780" s="87"/>
      <c r="M780" s="87"/>
      <c r="N780" s="87"/>
      <c r="O780" s="87"/>
      <c r="P780" s="87"/>
      <c r="Q780" s="87"/>
      <c r="R780" s="87"/>
      <c r="S780" s="87"/>
      <c r="T780" s="87"/>
      <c r="U780" s="88">
        <v>25</v>
      </c>
      <c r="V780" s="89"/>
      <c r="W780" s="96">
        <v>0</v>
      </c>
      <c r="X780" s="71">
        <f>CU780</f>
        <v>0</v>
      </c>
      <c r="Y780" s="71">
        <f>CY780</f>
        <v>0</v>
      </c>
      <c r="Z780" s="71">
        <f>DA780+DC780+DE780</f>
        <v>0</v>
      </c>
      <c r="AA780" s="71">
        <f>CW780</f>
        <v>0</v>
      </c>
      <c r="AB780" s="71"/>
      <c r="AC780" s="71">
        <v>0</v>
      </c>
      <c r="AD780" s="71">
        <f>W780+X780+Y780+Z780+AA780+AB780+AC780</f>
        <v>0</v>
      </c>
      <c r="AE780" s="72">
        <v>0</v>
      </c>
      <c r="AF780" s="5"/>
      <c r="AG780" s="6"/>
      <c r="AH780" s="27" t="s">
        <v>3392</v>
      </c>
      <c r="AI780" s="44" t="s">
        <v>3393</v>
      </c>
      <c r="AJ780" s="26"/>
      <c r="AK780" s="5"/>
      <c r="AL780" s="82" t="s">
        <v>3804</v>
      </c>
      <c r="AM780" s="76"/>
      <c r="AN780" s="76"/>
      <c r="AO780" s="76"/>
      <c r="AP780" s="76"/>
      <c r="AQ780" s="76"/>
      <c r="AR780" s="76"/>
      <c r="AS780" s="76"/>
      <c r="AT780" s="76"/>
      <c r="AU780" s="76"/>
      <c r="AV780" s="76"/>
      <c r="AW780" s="76"/>
      <c r="AX780" s="76">
        <f>+AW780*600000</f>
        <v>0</v>
      </c>
      <c r="AY780" s="76"/>
      <c r="AZ780" s="76">
        <f>+AY780*70000</f>
        <v>0</v>
      </c>
      <c r="BA780" s="76"/>
      <c r="BB780" s="76"/>
      <c r="BC780" s="76"/>
      <c r="BD780" s="76">
        <f>+BC780*30000</f>
        <v>0</v>
      </c>
      <c r="BE780" s="76"/>
      <c r="BF780" s="76"/>
      <c r="BG780" s="76"/>
      <c r="BH780" s="76"/>
      <c r="BI780" s="76"/>
      <c r="BJ780" s="76"/>
      <c r="BK780" s="76"/>
      <c r="BL780" s="76">
        <f>+BK780*31500</f>
        <v>0</v>
      </c>
      <c r="BM780" s="76"/>
      <c r="BN780" s="76"/>
      <c r="BO780" s="76"/>
      <c r="BP780" s="76"/>
      <c r="BQ780" s="76"/>
      <c r="BR780" s="76"/>
      <c r="BS780" s="76"/>
      <c r="BT780" s="76"/>
      <c r="BU780" s="76"/>
      <c r="BV780" s="76"/>
      <c r="BW780" s="76"/>
      <c r="BX780" s="76"/>
      <c r="BY780" s="76"/>
      <c r="BZ780" s="76"/>
      <c r="CA780" s="76"/>
      <c r="CB780" s="76"/>
      <c r="CC780" s="76"/>
      <c r="CD780" s="76"/>
      <c r="CE780" s="76"/>
      <c r="CF780" s="76">
        <f>+CE780*28000</f>
        <v>0</v>
      </c>
      <c r="CG780" s="76"/>
      <c r="CH780" s="76">
        <f>+CG780*22500</f>
        <v>0</v>
      </c>
      <c r="CI780" s="76"/>
      <c r="CJ780" s="76">
        <f>+CI780*26000</f>
        <v>0</v>
      </c>
      <c r="CK780" s="76"/>
      <c r="CL780" s="76"/>
      <c r="CM780" s="76"/>
      <c r="CN780" s="76">
        <f>+CM780*22000</f>
        <v>0</v>
      </c>
      <c r="CO780" s="76"/>
      <c r="CP780" s="76">
        <f>+CO780*46000</f>
        <v>0</v>
      </c>
      <c r="CQ780" s="76"/>
      <c r="CR780" s="76">
        <f>+CQ780*49000</f>
        <v>0</v>
      </c>
      <c r="CS780" s="76"/>
      <c r="CT780" s="76"/>
      <c r="CU780" s="56">
        <f>AN780+AP780+AR780+AT780+AV780+AX780+AZ780+BB780+BD780+BF780+BH780+BJ780+BL780+BN780+BP780+BR780+BT780+BV780+BX780+BZ780+CB780+CD780+CF780+CH780+CJ780+CL780+CN780+CP780+CR780+CT780</f>
        <v>0</v>
      </c>
      <c r="CV780" s="76"/>
      <c r="CW780" s="76">
        <f>+CV780*1100</f>
        <v>0</v>
      </c>
      <c r="CX780" s="76"/>
      <c r="CY780" s="76">
        <f>+CX780*106250</f>
        <v>0</v>
      </c>
      <c r="CZ780" s="76"/>
      <c r="DA780" s="76">
        <f>+CZ780*34500</f>
        <v>0</v>
      </c>
      <c r="DB780" s="76"/>
      <c r="DC780" s="76">
        <f>+DB780*25000</f>
        <v>0</v>
      </c>
      <c r="DD780" s="219"/>
      <c r="DE780" s="219"/>
      <c r="DF780" s="166"/>
      <c r="DG780" s="116"/>
      <c r="DH780" s="117"/>
      <c r="DI780" s="24"/>
      <c r="DJ780" s="24"/>
      <c r="DK780" s="24"/>
      <c r="DL780" s="24"/>
      <c r="DM780" s="24"/>
      <c r="DN780" s="24"/>
      <c r="DO780" s="24"/>
      <c r="DP780" s="24"/>
      <c r="DQ780" s="24"/>
      <c r="DR780" s="24"/>
      <c r="DS780" s="24"/>
      <c r="DT780" s="24"/>
      <c r="DU780" s="24"/>
    </row>
    <row r="781" spans="1:125" s="8" customFormat="1" ht="48" x14ac:dyDescent="0.2">
      <c r="A781" s="77">
        <v>41319</v>
      </c>
      <c r="B781" s="78" t="s">
        <v>2778</v>
      </c>
      <c r="C781" s="75" t="s">
        <v>1344</v>
      </c>
      <c r="D781" s="81" t="s">
        <v>2846</v>
      </c>
      <c r="E781" s="75" t="str">
        <f>VLOOKUP(B781&amp;C781,Divipola!$C$2:$F$1138,4,FALSE)</f>
        <v>85001</v>
      </c>
      <c r="F781" s="87"/>
      <c r="G781" s="87"/>
      <c r="H781" s="87"/>
      <c r="I781" s="87"/>
      <c r="J781" s="87"/>
      <c r="K781" s="87"/>
      <c r="L781" s="87"/>
      <c r="M781" s="87"/>
      <c r="N781" s="87"/>
      <c r="O781" s="87"/>
      <c r="P781" s="87"/>
      <c r="Q781" s="87"/>
      <c r="R781" s="87"/>
      <c r="S781" s="87"/>
      <c r="T781" s="87"/>
      <c r="U781" s="88"/>
      <c r="V781" s="89"/>
      <c r="W781" s="96">
        <v>0</v>
      </c>
      <c r="X781" s="71">
        <f>CU781</f>
        <v>0</v>
      </c>
      <c r="Y781" s="71">
        <f>CY781</f>
        <v>0</v>
      </c>
      <c r="Z781" s="71">
        <f>DA781+DC781+DE781</f>
        <v>0</v>
      </c>
      <c r="AA781" s="71">
        <f>CW781</f>
        <v>0</v>
      </c>
      <c r="AB781" s="71"/>
      <c r="AC781" s="71">
        <v>0</v>
      </c>
      <c r="AD781" s="71">
        <f>W781+X781+Y781+Z781+AA781+AB781+AC781</f>
        <v>0</v>
      </c>
      <c r="AE781" s="72">
        <v>0</v>
      </c>
      <c r="AF781" s="5"/>
      <c r="AG781" s="6"/>
      <c r="AH781" s="27" t="s">
        <v>3392</v>
      </c>
      <c r="AI781" s="44" t="s">
        <v>3393</v>
      </c>
      <c r="AJ781" s="26"/>
      <c r="AK781" s="5"/>
      <c r="AL781" s="82" t="s">
        <v>3532</v>
      </c>
      <c r="AM781" s="76"/>
      <c r="AN781" s="76"/>
      <c r="AO781" s="76"/>
      <c r="AP781" s="76"/>
      <c r="AQ781" s="76"/>
      <c r="AR781" s="76"/>
      <c r="AS781" s="76"/>
      <c r="AT781" s="76"/>
      <c r="AU781" s="76"/>
      <c r="AV781" s="76"/>
      <c r="AW781" s="76"/>
      <c r="AX781" s="76">
        <f>+AW781*600000</f>
        <v>0</v>
      </c>
      <c r="AY781" s="76"/>
      <c r="AZ781" s="76">
        <f>+AY781*70000</f>
        <v>0</v>
      </c>
      <c r="BA781" s="76"/>
      <c r="BB781" s="76"/>
      <c r="BC781" s="76"/>
      <c r="BD781" s="76">
        <f>+BC781*30000</f>
        <v>0</v>
      </c>
      <c r="BE781" s="76"/>
      <c r="BF781" s="76"/>
      <c r="BG781" s="76"/>
      <c r="BH781" s="76"/>
      <c r="BI781" s="76"/>
      <c r="BJ781" s="76"/>
      <c r="BK781" s="76"/>
      <c r="BL781" s="76">
        <f>+BK781*31500</f>
        <v>0</v>
      </c>
      <c r="BM781" s="76"/>
      <c r="BN781" s="76"/>
      <c r="BO781" s="76"/>
      <c r="BP781" s="76"/>
      <c r="BQ781" s="76"/>
      <c r="BR781" s="76"/>
      <c r="BS781" s="76"/>
      <c r="BT781" s="76"/>
      <c r="BU781" s="76"/>
      <c r="BV781" s="76"/>
      <c r="BW781" s="76"/>
      <c r="BX781" s="76"/>
      <c r="BY781" s="76"/>
      <c r="BZ781" s="76"/>
      <c r="CA781" s="76"/>
      <c r="CB781" s="76"/>
      <c r="CC781" s="76"/>
      <c r="CD781" s="76"/>
      <c r="CE781" s="76"/>
      <c r="CF781" s="76">
        <f>+CE781*28000</f>
        <v>0</v>
      </c>
      <c r="CG781" s="76"/>
      <c r="CH781" s="76">
        <f>+CG781*22500</f>
        <v>0</v>
      </c>
      <c r="CI781" s="76"/>
      <c r="CJ781" s="76">
        <f>+CI781*26000</f>
        <v>0</v>
      </c>
      <c r="CK781" s="76"/>
      <c r="CL781" s="76"/>
      <c r="CM781" s="76"/>
      <c r="CN781" s="76">
        <f>+CM781*22000</f>
        <v>0</v>
      </c>
      <c r="CO781" s="76"/>
      <c r="CP781" s="76">
        <f>+CO781*46000</f>
        <v>0</v>
      </c>
      <c r="CQ781" s="76"/>
      <c r="CR781" s="76">
        <f>+CQ781*49000</f>
        <v>0</v>
      </c>
      <c r="CS781" s="76"/>
      <c r="CT781" s="76"/>
      <c r="CU781" s="56">
        <f>AN781+AP781+AR781+AT781+AV781+AX781+AZ781+BB781+BD781+BF781+BH781+BJ781+BL781+BN781+BP781+BR781+BT781+BV781+BX781+BZ781+CB781+CD781+CF781+CH781+CJ781+CL781+CN781+CP781+CR781+CT781</f>
        <v>0</v>
      </c>
      <c r="CV781" s="76"/>
      <c r="CW781" s="76">
        <f>+CV781*1100</f>
        <v>0</v>
      </c>
      <c r="CX781" s="76"/>
      <c r="CY781" s="76">
        <f>+CX781*106250</f>
        <v>0</v>
      </c>
      <c r="CZ781" s="76"/>
      <c r="DA781" s="76">
        <f>+CZ781*34500</f>
        <v>0</v>
      </c>
      <c r="DB781" s="76"/>
      <c r="DC781" s="76">
        <f>+DB781*25000</f>
        <v>0</v>
      </c>
      <c r="DD781" s="219"/>
      <c r="DE781" s="219"/>
      <c r="DF781" s="166"/>
      <c r="DG781" s="116"/>
      <c r="DH781" s="117"/>
      <c r="DI781" s="24"/>
      <c r="DJ781" s="24"/>
      <c r="DK781" s="24"/>
      <c r="DL781" s="24"/>
      <c r="DM781" s="24"/>
      <c r="DN781" s="24"/>
      <c r="DO781" s="24"/>
      <c r="DP781" s="24"/>
      <c r="DQ781" s="24"/>
      <c r="DR781" s="24"/>
      <c r="DS781" s="24"/>
      <c r="DT781" s="24"/>
      <c r="DU781" s="24"/>
    </row>
    <row r="782" spans="1:125" s="8" customFormat="1" ht="48" x14ac:dyDescent="0.2">
      <c r="A782" s="77">
        <v>41319</v>
      </c>
      <c r="B782" s="78" t="s">
        <v>2778</v>
      </c>
      <c r="C782" s="75" t="s">
        <v>1344</v>
      </c>
      <c r="D782" s="81" t="s">
        <v>2846</v>
      </c>
      <c r="E782" s="75" t="str">
        <f>VLOOKUP(B782&amp;C782,Divipola!$C$2:$F$1138,4,FALSE)</f>
        <v>85001</v>
      </c>
      <c r="F782" s="87"/>
      <c r="G782" s="87"/>
      <c r="H782" s="87"/>
      <c r="I782" s="87"/>
      <c r="J782" s="87"/>
      <c r="K782" s="87"/>
      <c r="L782" s="87"/>
      <c r="M782" s="87"/>
      <c r="N782" s="87"/>
      <c r="O782" s="87"/>
      <c r="P782" s="87"/>
      <c r="Q782" s="87"/>
      <c r="R782" s="87"/>
      <c r="S782" s="87"/>
      <c r="T782" s="87"/>
      <c r="U782" s="88">
        <v>7</v>
      </c>
      <c r="V782" s="89"/>
      <c r="W782" s="96">
        <v>0</v>
      </c>
      <c r="X782" s="71">
        <f>CU782</f>
        <v>0</v>
      </c>
      <c r="Y782" s="71">
        <f>CY782</f>
        <v>0</v>
      </c>
      <c r="Z782" s="71">
        <f>DA782+DC782+DE782</f>
        <v>0</v>
      </c>
      <c r="AA782" s="71">
        <f>CW782</f>
        <v>0</v>
      </c>
      <c r="AB782" s="71"/>
      <c r="AC782" s="71">
        <v>0</v>
      </c>
      <c r="AD782" s="71">
        <f>W782+X782+Y782+Z782+AA782+AB782+AC782</f>
        <v>0</v>
      </c>
      <c r="AE782" s="72">
        <v>0</v>
      </c>
      <c r="AF782" s="5"/>
      <c r="AG782" s="6"/>
      <c r="AH782" s="27" t="s">
        <v>3392</v>
      </c>
      <c r="AI782" s="44" t="s">
        <v>3393</v>
      </c>
      <c r="AJ782" s="26"/>
      <c r="AK782" s="5"/>
      <c r="AL782" s="82" t="s">
        <v>3781</v>
      </c>
      <c r="AM782" s="76"/>
      <c r="AN782" s="76"/>
      <c r="AO782" s="76"/>
      <c r="AP782" s="76"/>
      <c r="AQ782" s="76"/>
      <c r="AR782" s="76"/>
      <c r="AS782" s="76"/>
      <c r="AT782" s="76"/>
      <c r="AU782" s="76"/>
      <c r="AV782" s="76"/>
      <c r="AW782" s="76"/>
      <c r="AX782" s="76">
        <f>+AW782*600000</f>
        <v>0</v>
      </c>
      <c r="AY782" s="76"/>
      <c r="AZ782" s="76">
        <f>+AY782*70000</f>
        <v>0</v>
      </c>
      <c r="BA782" s="76"/>
      <c r="BB782" s="76"/>
      <c r="BC782" s="76"/>
      <c r="BD782" s="76">
        <f>+BC782*30000</f>
        <v>0</v>
      </c>
      <c r="BE782" s="76"/>
      <c r="BF782" s="76"/>
      <c r="BG782" s="76"/>
      <c r="BH782" s="76"/>
      <c r="BI782" s="76"/>
      <c r="BJ782" s="76"/>
      <c r="BK782" s="76"/>
      <c r="BL782" s="76">
        <f>+BK782*31500</f>
        <v>0</v>
      </c>
      <c r="BM782" s="76"/>
      <c r="BN782" s="76"/>
      <c r="BO782" s="76"/>
      <c r="BP782" s="76"/>
      <c r="BQ782" s="76"/>
      <c r="BR782" s="76"/>
      <c r="BS782" s="76"/>
      <c r="BT782" s="76"/>
      <c r="BU782" s="76"/>
      <c r="BV782" s="76"/>
      <c r="BW782" s="76"/>
      <c r="BX782" s="76"/>
      <c r="BY782" s="76"/>
      <c r="BZ782" s="76"/>
      <c r="CA782" s="76"/>
      <c r="CB782" s="76"/>
      <c r="CC782" s="76"/>
      <c r="CD782" s="76"/>
      <c r="CE782" s="76"/>
      <c r="CF782" s="76">
        <f>+CE782*28000</f>
        <v>0</v>
      </c>
      <c r="CG782" s="76"/>
      <c r="CH782" s="76">
        <f>+CG782*22500</f>
        <v>0</v>
      </c>
      <c r="CI782" s="76"/>
      <c r="CJ782" s="76">
        <f>+CI782*26000</f>
        <v>0</v>
      </c>
      <c r="CK782" s="76"/>
      <c r="CL782" s="76"/>
      <c r="CM782" s="76"/>
      <c r="CN782" s="76">
        <f>+CM782*22000</f>
        <v>0</v>
      </c>
      <c r="CO782" s="76"/>
      <c r="CP782" s="76">
        <f>+CO782*46000</f>
        <v>0</v>
      </c>
      <c r="CQ782" s="76"/>
      <c r="CR782" s="76">
        <f>+CQ782*49000</f>
        <v>0</v>
      </c>
      <c r="CS782" s="76"/>
      <c r="CT782" s="76"/>
      <c r="CU782" s="56">
        <f>AN782+AP782+AR782+AT782+AV782+AX782+AZ782+BB782+BD782+BF782+BH782+BJ782+BL782+BN782+BP782+BR782+BT782+BV782+BX782+BZ782+CB782+CD782+CF782+CH782+CJ782+CL782+CN782+CP782+CR782+CT782</f>
        <v>0</v>
      </c>
      <c r="CV782" s="76"/>
      <c r="CW782" s="76">
        <f>+CV782*1100</f>
        <v>0</v>
      </c>
      <c r="CX782" s="76"/>
      <c r="CY782" s="76">
        <f>+CX782*106250</f>
        <v>0</v>
      </c>
      <c r="CZ782" s="76"/>
      <c r="DA782" s="76">
        <f>+CZ782*34500</f>
        <v>0</v>
      </c>
      <c r="DB782" s="76"/>
      <c r="DC782" s="76">
        <f>+DB782*25000</f>
        <v>0</v>
      </c>
      <c r="DD782" s="219"/>
      <c r="DE782" s="219"/>
      <c r="DF782" s="166"/>
      <c r="DG782" s="116"/>
      <c r="DH782" s="117"/>
      <c r="DI782" s="24"/>
      <c r="DJ782" s="24"/>
      <c r="DK782" s="24"/>
      <c r="DL782" s="24"/>
      <c r="DM782" s="24"/>
      <c r="DN782" s="24"/>
      <c r="DO782" s="24"/>
      <c r="DP782" s="24"/>
      <c r="DQ782" s="24"/>
      <c r="DR782" s="24"/>
      <c r="DS782" s="24"/>
      <c r="DT782" s="24"/>
      <c r="DU782" s="24"/>
    </row>
    <row r="783" spans="1:125" s="8" customFormat="1" ht="60" x14ac:dyDescent="0.2">
      <c r="A783" s="77">
        <v>41319</v>
      </c>
      <c r="B783" s="352" t="s">
        <v>2854</v>
      </c>
      <c r="C783" s="354" t="s">
        <v>831</v>
      </c>
      <c r="D783" s="354" t="s">
        <v>3504</v>
      </c>
      <c r="E783" s="75" t="str">
        <f>VLOOKUP(B783&amp;C783,Divipola!$C$2:$F$1138,4,FALSE)</f>
        <v>19137</v>
      </c>
      <c r="F783" s="87"/>
      <c r="G783" s="87">
        <v>4</v>
      </c>
      <c r="H783" s="87"/>
      <c r="I783" s="87"/>
      <c r="J783" s="87"/>
      <c r="K783" s="87"/>
      <c r="L783" s="87"/>
      <c r="M783" s="87"/>
      <c r="N783" s="87"/>
      <c r="O783" s="87"/>
      <c r="P783" s="87"/>
      <c r="Q783" s="87"/>
      <c r="R783" s="87"/>
      <c r="S783" s="87"/>
      <c r="T783" s="87"/>
      <c r="U783" s="88"/>
      <c r="V783" s="89">
        <v>1</v>
      </c>
      <c r="W783" s="96">
        <v>0</v>
      </c>
      <c r="X783" s="71">
        <f>CU783</f>
        <v>0</v>
      </c>
      <c r="Y783" s="71">
        <f>CY783</f>
        <v>0</v>
      </c>
      <c r="Z783" s="71">
        <f>DA783+DC783+DE783</f>
        <v>0</v>
      </c>
      <c r="AA783" s="71">
        <f>CW783</f>
        <v>0</v>
      </c>
      <c r="AB783" s="71"/>
      <c r="AC783" s="71">
        <v>0</v>
      </c>
      <c r="AD783" s="71">
        <f>W783+X783+Y783+Z783+AA783+AB783+AC783</f>
        <v>0</v>
      </c>
      <c r="AE783" s="72">
        <v>0</v>
      </c>
      <c r="AF783" s="5"/>
      <c r="AG783" s="6"/>
      <c r="AH783" s="27" t="s">
        <v>3392</v>
      </c>
      <c r="AI783" s="44" t="s">
        <v>3393</v>
      </c>
      <c r="AJ783" s="26"/>
      <c r="AK783" s="5"/>
      <c r="AL783" s="82" t="s">
        <v>3510</v>
      </c>
      <c r="AM783" s="76"/>
      <c r="AN783" s="76"/>
      <c r="AO783" s="76"/>
      <c r="AP783" s="76"/>
      <c r="AQ783" s="76"/>
      <c r="AR783" s="76"/>
      <c r="AS783" s="76"/>
      <c r="AT783" s="76"/>
      <c r="AU783" s="76"/>
      <c r="AV783" s="76"/>
      <c r="AW783" s="76"/>
      <c r="AX783" s="76">
        <f>+AW783*600000</f>
        <v>0</v>
      </c>
      <c r="AY783" s="76"/>
      <c r="AZ783" s="76">
        <f>+AY783*70000</f>
        <v>0</v>
      </c>
      <c r="BA783" s="76"/>
      <c r="BB783" s="76"/>
      <c r="BC783" s="76"/>
      <c r="BD783" s="76">
        <f>+BC783*30000</f>
        <v>0</v>
      </c>
      <c r="BE783" s="76"/>
      <c r="BF783" s="76"/>
      <c r="BG783" s="76"/>
      <c r="BH783" s="76"/>
      <c r="BI783" s="76"/>
      <c r="BJ783" s="76"/>
      <c r="BK783" s="76"/>
      <c r="BL783" s="76">
        <f>+BK783*31500</f>
        <v>0</v>
      </c>
      <c r="BM783" s="76"/>
      <c r="BN783" s="76"/>
      <c r="BO783" s="76"/>
      <c r="BP783" s="76"/>
      <c r="BQ783" s="76"/>
      <c r="BR783" s="76"/>
      <c r="BS783" s="76"/>
      <c r="BT783" s="76"/>
      <c r="BU783" s="76"/>
      <c r="BV783" s="76"/>
      <c r="BW783" s="76"/>
      <c r="BX783" s="76"/>
      <c r="BY783" s="76"/>
      <c r="BZ783" s="76"/>
      <c r="CA783" s="76"/>
      <c r="CB783" s="76"/>
      <c r="CC783" s="76"/>
      <c r="CD783" s="76"/>
      <c r="CE783" s="76"/>
      <c r="CF783" s="76">
        <f>+CE783*28000</f>
        <v>0</v>
      </c>
      <c r="CG783" s="76"/>
      <c r="CH783" s="76">
        <f>+CG783*22500</f>
        <v>0</v>
      </c>
      <c r="CI783" s="76"/>
      <c r="CJ783" s="76">
        <f>+CI783*26000</f>
        <v>0</v>
      </c>
      <c r="CK783" s="76"/>
      <c r="CL783" s="76"/>
      <c r="CM783" s="76"/>
      <c r="CN783" s="76">
        <f>+CM783*22000</f>
        <v>0</v>
      </c>
      <c r="CO783" s="76"/>
      <c r="CP783" s="76">
        <f>+CO783*46000</f>
        <v>0</v>
      </c>
      <c r="CQ783" s="76"/>
      <c r="CR783" s="76">
        <f>+CQ783*49000</f>
        <v>0</v>
      </c>
      <c r="CS783" s="76"/>
      <c r="CT783" s="76"/>
      <c r="CU783" s="56">
        <f>AN783+AP783+AR783+AT783+AV783+AX783+AZ783+BB783+BD783+BF783+BH783+BJ783+BL783+BN783+BP783+BR783+BT783+BV783+BX783+BZ783+CB783+CD783+CF783+CH783+CJ783+CL783+CN783+CP783+CR783+CT783</f>
        <v>0</v>
      </c>
      <c r="CV783" s="76"/>
      <c r="CW783" s="76">
        <f>+CV783*1100</f>
        <v>0</v>
      </c>
      <c r="CX783" s="76"/>
      <c r="CY783" s="76">
        <f>+CX783*106250</f>
        <v>0</v>
      </c>
      <c r="CZ783" s="76"/>
      <c r="DA783" s="76">
        <f>+CZ783*34500</f>
        <v>0</v>
      </c>
      <c r="DB783" s="76"/>
      <c r="DC783" s="76">
        <f>+DB783*25000</f>
        <v>0</v>
      </c>
      <c r="DD783" s="219"/>
      <c r="DE783" s="219"/>
      <c r="DF783" s="166"/>
      <c r="DG783" s="116"/>
      <c r="DH783" s="117"/>
      <c r="DI783" s="24"/>
      <c r="DJ783" s="24"/>
      <c r="DK783" s="24"/>
      <c r="DL783" s="24"/>
      <c r="DM783" s="24"/>
      <c r="DN783" s="24"/>
      <c r="DO783" s="24"/>
      <c r="DP783" s="24"/>
      <c r="DQ783" s="24"/>
      <c r="DR783" s="24"/>
      <c r="DS783" s="24"/>
      <c r="DT783" s="24"/>
      <c r="DU783" s="24"/>
    </row>
    <row r="784" spans="1:125" s="8" customFormat="1" ht="48" x14ac:dyDescent="0.2">
      <c r="A784" s="77">
        <v>41319</v>
      </c>
      <c r="B784" s="225" t="s">
        <v>2854</v>
      </c>
      <c r="C784" s="227" t="s">
        <v>831</v>
      </c>
      <c r="D784" s="84" t="s">
        <v>3088</v>
      </c>
      <c r="E784" s="75" t="str">
        <f>VLOOKUP(B784&amp;C784,Divipola!$C$2:$F$1138,4,FALSE)</f>
        <v>19137</v>
      </c>
      <c r="F784" s="100"/>
      <c r="G784" s="100"/>
      <c r="H784" s="100"/>
      <c r="I784" s="100">
        <v>15</v>
      </c>
      <c r="J784" s="100">
        <v>3</v>
      </c>
      <c r="K784" s="100"/>
      <c r="L784" s="100">
        <v>3</v>
      </c>
      <c r="M784" s="100"/>
      <c r="N784" s="100"/>
      <c r="O784" s="100"/>
      <c r="P784" s="100"/>
      <c r="Q784" s="100"/>
      <c r="R784" s="100"/>
      <c r="S784" s="100"/>
      <c r="T784" s="100"/>
      <c r="U784" s="136"/>
      <c r="V784" s="89"/>
      <c r="W784" s="96">
        <v>0</v>
      </c>
      <c r="X784" s="71">
        <f>CU784</f>
        <v>0</v>
      </c>
      <c r="Y784" s="71">
        <f>CY784</f>
        <v>0</v>
      </c>
      <c r="Z784" s="71">
        <f>DA784+DC784+DE784</f>
        <v>0</v>
      </c>
      <c r="AA784" s="71">
        <f>CW784</f>
        <v>0</v>
      </c>
      <c r="AB784" s="71"/>
      <c r="AC784" s="71">
        <v>0</v>
      </c>
      <c r="AD784" s="71">
        <f>W784+X784+Y784+Z784+AA784+AB784+AC784</f>
        <v>0</v>
      </c>
      <c r="AE784" s="72">
        <v>0</v>
      </c>
      <c r="AF784" s="5"/>
      <c r="AG784" s="6"/>
      <c r="AH784" s="27" t="s">
        <v>3392</v>
      </c>
      <c r="AI784" s="44" t="s">
        <v>3393</v>
      </c>
      <c r="AJ784" s="26"/>
      <c r="AK784" s="5"/>
      <c r="AL784" s="82" t="s">
        <v>3509</v>
      </c>
      <c r="AM784" s="76"/>
      <c r="AN784" s="76"/>
      <c r="AO784" s="76"/>
      <c r="AP784" s="76"/>
      <c r="AQ784" s="76"/>
      <c r="AR784" s="76"/>
      <c r="AS784" s="76"/>
      <c r="AT784" s="76"/>
      <c r="AU784" s="76"/>
      <c r="AV784" s="76"/>
      <c r="AW784" s="76"/>
      <c r="AX784" s="76">
        <f>+AW784*600000</f>
        <v>0</v>
      </c>
      <c r="AY784" s="76"/>
      <c r="AZ784" s="76">
        <f>+AY784*70000</f>
        <v>0</v>
      </c>
      <c r="BA784" s="76"/>
      <c r="BB784" s="76"/>
      <c r="BC784" s="76"/>
      <c r="BD784" s="76">
        <f>+BC784*30000</f>
        <v>0</v>
      </c>
      <c r="BE784" s="76"/>
      <c r="BF784" s="76"/>
      <c r="BG784" s="76"/>
      <c r="BH784" s="76"/>
      <c r="BI784" s="76"/>
      <c r="BJ784" s="76"/>
      <c r="BK784" s="76"/>
      <c r="BL784" s="76">
        <f>+BK784*31500</f>
        <v>0</v>
      </c>
      <c r="BM784" s="76"/>
      <c r="BN784" s="76"/>
      <c r="BO784" s="76"/>
      <c r="BP784" s="76"/>
      <c r="BQ784" s="76"/>
      <c r="BR784" s="76"/>
      <c r="BS784" s="76"/>
      <c r="BT784" s="76"/>
      <c r="BU784" s="76"/>
      <c r="BV784" s="76"/>
      <c r="BW784" s="76"/>
      <c r="BX784" s="76"/>
      <c r="BY784" s="76"/>
      <c r="BZ784" s="76"/>
      <c r="CA784" s="76"/>
      <c r="CB784" s="76"/>
      <c r="CC784" s="76"/>
      <c r="CD784" s="76"/>
      <c r="CE784" s="76"/>
      <c r="CF784" s="76">
        <f>+CE784*28000</f>
        <v>0</v>
      </c>
      <c r="CG784" s="76"/>
      <c r="CH784" s="76">
        <f>+CG784*22500</f>
        <v>0</v>
      </c>
      <c r="CI784" s="76"/>
      <c r="CJ784" s="76">
        <f>+CI784*26000</f>
        <v>0</v>
      </c>
      <c r="CK784" s="76"/>
      <c r="CL784" s="76"/>
      <c r="CM784" s="76"/>
      <c r="CN784" s="76">
        <f>+CM784*22000</f>
        <v>0</v>
      </c>
      <c r="CO784" s="76"/>
      <c r="CP784" s="76">
        <f>+CO784*46000</f>
        <v>0</v>
      </c>
      <c r="CQ784" s="76"/>
      <c r="CR784" s="76">
        <f>+CQ784*49000</f>
        <v>0</v>
      </c>
      <c r="CS784" s="76"/>
      <c r="CT784" s="76"/>
      <c r="CU784" s="56">
        <f>AN784+AP784+AR784+AT784+AV784+AX784+AZ784+BB784+BD784+BF784+BH784+BJ784+BL784+BN784+BP784+BR784+BT784+BV784+BX784+BZ784+CB784+CD784+CF784+CH784+CJ784+CL784+CN784+CP784+CR784+CT784</f>
        <v>0</v>
      </c>
      <c r="CV784" s="76"/>
      <c r="CW784" s="76">
        <f>+CV784*1100</f>
        <v>0</v>
      </c>
      <c r="CX784" s="76"/>
      <c r="CY784" s="76">
        <f>+CX784*106250</f>
        <v>0</v>
      </c>
      <c r="CZ784" s="76"/>
      <c r="DA784" s="76">
        <f>+CZ784*34500</f>
        <v>0</v>
      </c>
      <c r="DB784" s="76"/>
      <c r="DC784" s="76">
        <f>+DB784*25000</f>
        <v>0</v>
      </c>
      <c r="DD784" s="219"/>
      <c r="DE784" s="219"/>
      <c r="DF784" s="166"/>
      <c r="DG784" s="116"/>
      <c r="DH784" s="117"/>
      <c r="DI784" s="24"/>
      <c r="DJ784" s="24"/>
      <c r="DK784" s="24"/>
      <c r="DL784" s="24"/>
      <c r="DM784" s="24"/>
      <c r="DN784" s="24"/>
      <c r="DO784" s="24"/>
      <c r="DP784" s="24"/>
      <c r="DQ784" s="24"/>
      <c r="DR784" s="24"/>
      <c r="DS784" s="24"/>
      <c r="DT784" s="24"/>
      <c r="DU784" s="24"/>
    </row>
    <row r="785" spans="1:125" s="8" customFormat="1" ht="132" x14ac:dyDescent="0.2">
      <c r="A785" s="77">
        <v>41319</v>
      </c>
      <c r="B785" s="225" t="s">
        <v>2855</v>
      </c>
      <c r="C785" s="227" t="s">
        <v>907</v>
      </c>
      <c r="D785" s="81" t="s">
        <v>2846</v>
      </c>
      <c r="E785" s="75" t="str">
        <f>VLOOKUP(B785&amp;C785,Divipola!$C$2:$F$1138,4,FALSE)</f>
        <v>20228</v>
      </c>
      <c r="F785" s="100"/>
      <c r="G785" s="100"/>
      <c r="H785" s="100"/>
      <c r="I785" s="100"/>
      <c r="J785" s="100"/>
      <c r="K785" s="100"/>
      <c r="L785" s="100"/>
      <c r="M785" s="100"/>
      <c r="N785" s="100"/>
      <c r="O785" s="100"/>
      <c r="P785" s="100"/>
      <c r="Q785" s="100"/>
      <c r="R785" s="100"/>
      <c r="S785" s="100"/>
      <c r="T785" s="100"/>
      <c r="U785" s="136">
        <v>300</v>
      </c>
      <c r="V785" s="89"/>
      <c r="W785" s="96">
        <v>0</v>
      </c>
      <c r="X785" s="71">
        <f>CU785</f>
        <v>0</v>
      </c>
      <c r="Y785" s="71">
        <f>CY785</f>
        <v>0</v>
      </c>
      <c r="Z785" s="71">
        <f>DA785+DC785+DE785</f>
        <v>0</v>
      </c>
      <c r="AA785" s="71">
        <f>CW785</f>
        <v>0</v>
      </c>
      <c r="AB785" s="71"/>
      <c r="AC785" s="71">
        <v>0</v>
      </c>
      <c r="AD785" s="71">
        <f>W785+X785+Y785+Z785+AA785+AB785+AC785</f>
        <v>0</v>
      </c>
      <c r="AE785" s="72">
        <v>0</v>
      </c>
      <c r="AF785" s="5"/>
      <c r="AG785" s="6"/>
      <c r="AH785" s="27" t="s">
        <v>3392</v>
      </c>
      <c r="AI785" s="44" t="s">
        <v>3393</v>
      </c>
      <c r="AJ785" s="26"/>
      <c r="AK785" s="5"/>
      <c r="AL785" s="82" t="s">
        <v>3543</v>
      </c>
      <c r="AM785" s="76"/>
      <c r="AN785" s="76"/>
      <c r="AO785" s="76"/>
      <c r="AP785" s="76"/>
      <c r="AQ785" s="76"/>
      <c r="AR785" s="76"/>
      <c r="AS785" s="76"/>
      <c r="AT785" s="76"/>
      <c r="AU785" s="76"/>
      <c r="AV785" s="76"/>
      <c r="AW785" s="76"/>
      <c r="AX785" s="76">
        <f>+AW785*600000</f>
        <v>0</v>
      </c>
      <c r="AY785" s="76"/>
      <c r="AZ785" s="76">
        <f>+AY785*70000</f>
        <v>0</v>
      </c>
      <c r="BA785" s="76"/>
      <c r="BB785" s="76"/>
      <c r="BC785" s="76"/>
      <c r="BD785" s="76">
        <f>+BC785*30000</f>
        <v>0</v>
      </c>
      <c r="BE785" s="76"/>
      <c r="BF785" s="76"/>
      <c r="BG785" s="76"/>
      <c r="BH785" s="76"/>
      <c r="BI785" s="76"/>
      <c r="BJ785" s="76"/>
      <c r="BK785" s="76"/>
      <c r="BL785" s="76">
        <f>+BK785*31500</f>
        <v>0</v>
      </c>
      <c r="BM785" s="76"/>
      <c r="BN785" s="76"/>
      <c r="BO785" s="76"/>
      <c r="BP785" s="76"/>
      <c r="BQ785" s="76"/>
      <c r="BR785" s="76"/>
      <c r="BS785" s="76"/>
      <c r="BT785" s="76"/>
      <c r="BU785" s="76"/>
      <c r="BV785" s="76"/>
      <c r="BW785" s="76"/>
      <c r="BX785" s="76"/>
      <c r="BY785" s="76"/>
      <c r="BZ785" s="76"/>
      <c r="CA785" s="76"/>
      <c r="CB785" s="76"/>
      <c r="CC785" s="76"/>
      <c r="CD785" s="76"/>
      <c r="CE785" s="76"/>
      <c r="CF785" s="76">
        <f>+CE785*28000</f>
        <v>0</v>
      </c>
      <c r="CG785" s="76"/>
      <c r="CH785" s="76">
        <f>+CG785*22500</f>
        <v>0</v>
      </c>
      <c r="CI785" s="76"/>
      <c r="CJ785" s="76">
        <f>+CI785*26000</f>
        <v>0</v>
      </c>
      <c r="CK785" s="76"/>
      <c r="CL785" s="76"/>
      <c r="CM785" s="76"/>
      <c r="CN785" s="76">
        <f>+CM785*22000</f>
        <v>0</v>
      </c>
      <c r="CO785" s="76"/>
      <c r="CP785" s="76">
        <f>+CO785*46000</f>
        <v>0</v>
      </c>
      <c r="CQ785" s="76"/>
      <c r="CR785" s="76">
        <f>+CQ785*49000</f>
        <v>0</v>
      </c>
      <c r="CS785" s="76"/>
      <c r="CT785" s="76"/>
      <c r="CU785" s="56">
        <f>AN785+AP785+AR785+AT785+AV785+AX785+AZ785+BB785+BD785+BF785+BH785+BJ785+BL785+BN785+BP785+BR785+BT785+BV785+BX785+BZ785+CB785+CD785+CF785+CH785+CJ785+CL785+CN785+CP785+CR785+CT785</f>
        <v>0</v>
      </c>
      <c r="CV785" s="76"/>
      <c r="CW785" s="76">
        <f>+CV785*1100</f>
        <v>0</v>
      </c>
      <c r="CX785" s="76"/>
      <c r="CY785" s="76">
        <f>+CX785*106250</f>
        <v>0</v>
      </c>
      <c r="CZ785" s="76"/>
      <c r="DA785" s="76">
        <f>+CZ785*34500</f>
        <v>0</v>
      </c>
      <c r="DB785" s="76"/>
      <c r="DC785" s="76">
        <f>+DB785*25000</f>
        <v>0</v>
      </c>
      <c r="DD785" s="219"/>
      <c r="DE785" s="219"/>
      <c r="DF785" s="166"/>
      <c r="DG785" s="116"/>
      <c r="DH785" s="117"/>
      <c r="DI785" s="24"/>
      <c r="DJ785" s="24"/>
      <c r="DK785" s="24"/>
      <c r="DL785" s="24"/>
      <c r="DM785" s="24"/>
      <c r="DN785" s="24"/>
      <c r="DO785" s="24"/>
      <c r="DP785" s="24"/>
      <c r="DQ785" s="24"/>
      <c r="DR785" s="24"/>
      <c r="DS785" s="24"/>
      <c r="DT785" s="24"/>
      <c r="DU785" s="24"/>
    </row>
    <row r="786" spans="1:125" s="8" customFormat="1" ht="48" x14ac:dyDescent="0.2">
      <c r="A786" s="77">
        <v>41319</v>
      </c>
      <c r="B786" s="225" t="s">
        <v>2855</v>
      </c>
      <c r="C786" s="227" t="s">
        <v>2168</v>
      </c>
      <c r="D786" s="81" t="s">
        <v>2846</v>
      </c>
      <c r="E786" s="75" t="str">
        <f>VLOOKUP(B786&amp;C786,Divipola!$C$2:$F$1138,4,FALSE)</f>
        <v>20001</v>
      </c>
      <c r="F786" s="100"/>
      <c r="G786" s="100"/>
      <c r="H786" s="100"/>
      <c r="I786" s="100"/>
      <c r="J786" s="100"/>
      <c r="K786" s="100"/>
      <c r="L786" s="100"/>
      <c r="M786" s="100"/>
      <c r="N786" s="100"/>
      <c r="O786" s="100"/>
      <c r="P786" s="100"/>
      <c r="Q786" s="100"/>
      <c r="R786" s="100"/>
      <c r="S786" s="100"/>
      <c r="T786" s="100"/>
      <c r="U786" s="136">
        <v>300</v>
      </c>
      <c r="V786" s="89"/>
      <c r="W786" s="96">
        <v>0</v>
      </c>
      <c r="X786" s="71">
        <f>CU786</f>
        <v>0</v>
      </c>
      <c r="Y786" s="71">
        <f>CY786</f>
        <v>0</v>
      </c>
      <c r="Z786" s="71">
        <f>DA786+DC786+DE786</f>
        <v>0</v>
      </c>
      <c r="AA786" s="71">
        <f>CW786</f>
        <v>0</v>
      </c>
      <c r="AB786" s="71"/>
      <c r="AC786" s="71">
        <v>0</v>
      </c>
      <c r="AD786" s="71">
        <f>W786+X786+Y786+Z786+AA786+AB786+AC786</f>
        <v>0</v>
      </c>
      <c r="AE786" s="72">
        <v>0</v>
      </c>
      <c r="AF786" s="5"/>
      <c r="AG786" s="6"/>
      <c r="AH786" s="27" t="s">
        <v>3392</v>
      </c>
      <c r="AI786" s="44" t="s">
        <v>3393</v>
      </c>
      <c r="AJ786" s="26"/>
      <c r="AK786" s="5"/>
      <c r="AL786" s="82" t="s">
        <v>3511</v>
      </c>
      <c r="AM786" s="76"/>
      <c r="AN786" s="76"/>
      <c r="AO786" s="76"/>
      <c r="AP786" s="76"/>
      <c r="AQ786" s="76"/>
      <c r="AR786" s="76"/>
      <c r="AS786" s="76"/>
      <c r="AT786" s="76"/>
      <c r="AU786" s="76"/>
      <c r="AV786" s="76"/>
      <c r="AW786" s="76"/>
      <c r="AX786" s="76">
        <f>+AW786*600000</f>
        <v>0</v>
      </c>
      <c r="AY786" s="76"/>
      <c r="AZ786" s="76">
        <f>+AY786*70000</f>
        <v>0</v>
      </c>
      <c r="BA786" s="76"/>
      <c r="BB786" s="76"/>
      <c r="BC786" s="76"/>
      <c r="BD786" s="76">
        <f>+BC786*30000</f>
        <v>0</v>
      </c>
      <c r="BE786" s="76"/>
      <c r="BF786" s="76"/>
      <c r="BG786" s="76"/>
      <c r="BH786" s="76"/>
      <c r="BI786" s="76"/>
      <c r="BJ786" s="76"/>
      <c r="BK786" s="76"/>
      <c r="BL786" s="76">
        <f>+BK786*31500</f>
        <v>0</v>
      </c>
      <c r="BM786" s="76"/>
      <c r="BN786" s="76"/>
      <c r="BO786" s="76"/>
      <c r="BP786" s="76"/>
      <c r="BQ786" s="76"/>
      <c r="BR786" s="76"/>
      <c r="BS786" s="76"/>
      <c r="BT786" s="76"/>
      <c r="BU786" s="76"/>
      <c r="BV786" s="76"/>
      <c r="BW786" s="76"/>
      <c r="BX786" s="76"/>
      <c r="BY786" s="76"/>
      <c r="BZ786" s="76"/>
      <c r="CA786" s="76"/>
      <c r="CB786" s="76"/>
      <c r="CC786" s="76"/>
      <c r="CD786" s="76"/>
      <c r="CE786" s="76"/>
      <c r="CF786" s="76">
        <f>+CE786*28000</f>
        <v>0</v>
      </c>
      <c r="CG786" s="76"/>
      <c r="CH786" s="76">
        <f>+CG786*22500</f>
        <v>0</v>
      </c>
      <c r="CI786" s="76"/>
      <c r="CJ786" s="76">
        <f>+CI786*26000</f>
        <v>0</v>
      </c>
      <c r="CK786" s="76"/>
      <c r="CL786" s="76"/>
      <c r="CM786" s="76"/>
      <c r="CN786" s="76">
        <f>+CM786*22000</f>
        <v>0</v>
      </c>
      <c r="CO786" s="76"/>
      <c r="CP786" s="76">
        <f>+CO786*46000</f>
        <v>0</v>
      </c>
      <c r="CQ786" s="76"/>
      <c r="CR786" s="76">
        <f>+CQ786*49000</f>
        <v>0</v>
      </c>
      <c r="CS786" s="76"/>
      <c r="CT786" s="76"/>
      <c r="CU786" s="56">
        <f>AN786+AP786+AR786+AT786+AV786+AX786+AZ786+BB786+BD786+BF786+BH786+BJ786+BL786+BN786+BP786+BR786+BT786+BV786+BX786+BZ786+CB786+CD786+CF786+CH786+CJ786+CL786+CN786+CP786+CR786+CT786</f>
        <v>0</v>
      </c>
      <c r="CV786" s="76"/>
      <c r="CW786" s="76">
        <f>+CV786*1100</f>
        <v>0</v>
      </c>
      <c r="CX786" s="76"/>
      <c r="CY786" s="76">
        <f>+CX786*106250</f>
        <v>0</v>
      </c>
      <c r="CZ786" s="76"/>
      <c r="DA786" s="76">
        <f>+CZ786*34500</f>
        <v>0</v>
      </c>
      <c r="DB786" s="76"/>
      <c r="DC786" s="76">
        <f>+DB786*25000</f>
        <v>0</v>
      </c>
      <c r="DD786" s="219"/>
      <c r="DE786" s="219"/>
      <c r="DF786" s="166"/>
      <c r="DG786" s="116"/>
      <c r="DH786" s="117"/>
      <c r="DI786" s="24"/>
      <c r="DJ786" s="24"/>
      <c r="DK786" s="24"/>
      <c r="DL786" s="24"/>
      <c r="DM786" s="24"/>
      <c r="DN786" s="24"/>
      <c r="DO786" s="24"/>
      <c r="DP786" s="24"/>
      <c r="DQ786" s="24"/>
      <c r="DR786" s="24"/>
      <c r="DS786" s="24"/>
      <c r="DT786" s="24"/>
      <c r="DU786" s="24"/>
    </row>
    <row r="787" spans="1:125" s="8" customFormat="1" ht="72" x14ac:dyDescent="0.2">
      <c r="A787" s="77">
        <v>41319</v>
      </c>
      <c r="B787" s="352" t="s">
        <v>2772</v>
      </c>
      <c r="C787" s="354" t="s">
        <v>2190</v>
      </c>
      <c r="D787" s="81" t="s">
        <v>2846</v>
      </c>
      <c r="E787" s="75" t="str">
        <f>VLOOKUP(B787&amp;C787,Divipola!$C$2:$F$1138,4,FALSE)</f>
        <v>25148</v>
      </c>
      <c r="F787" s="100"/>
      <c r="G787" s="100"/>
      <c r="H787" s="100"/>
      <c r="I787" s="100"/>
      <c r="J787" s="100"/>
      <c r="K787" s="100"/>
      <c r="L787" s="100"/>
      <c r="M787" s="100"/>
      <c r="N787" s="100"/>
      <c r="O787" s="100"/>
      <c r="P787" s="100"/>
      <c r="Q787" s="100"/>
      <c r="R787" s="100"/>
      <c r="S787" s="100"/>
      <c r="T787" s="100"/>
      <c r="U787" s="136">
        <v>6</v>
      </c>
      <c r="V787" s="89"/>
      <c r="W787" s="96">
        <v>0</v>
      </c>
      <c r="X787" s="71">
        <f>CU787</f>
        <v>0</v>
      </c>
      <c r="Y787" s="71">
        <f>CY787</f>
        <v>0</v>
      </c>
      <c r="Z787" s="71">
        <f>DA787+DC787+DE787</f>
        <v>0</v>
      </c>
      <c r="AA787" s="71">
        <f>CW787</f>
        <v>0</v>
      </c>
      <c r="AB787" s="71"/>
      <c r="AC787" s="71">
        <v>0</v>
      </c>
      <c r="AD787" s="71">
        <f>W787+X787+Y787+Z787+AA787+AB787+AC787</f>
        <v>0</v>
      </c>
      <c r="AE787" s="72">
        <v>0</v>
      </c>
      <c r="AF787" s="5"/>
      <c r="AG787" s="6"/>
      <c r="AH787" s="27" t="s">
        <v>3392</v>
      </c>
      <c r="AI787" s="44" t="s">
        <v>3393</v>
      </c>
      <c r="AJ787" s="26"/>
      <c r="AK787" s="5"/>
      <c r="AL787" s="82" t="s">
        <v>3512</v>
      </c>
      <c r="AM787" s="76"/>
      <c r="AN787" s="76"/>
      <c r="AO787" s="76"/>
      <c r="AP787" s="76"/>
      <c r="AQ787" s="76"/>
      <c r="AR787" s="76"/>
      <c r="AS787" s="76"/>
      <c r="AT787" s="76"/>
      <c r="AU787" s="76"/>
      <c r="AV787" s="76"/>
      <c r="AW787" s="76"/>
      <c r="AX787" s="76">
        <f>+AW787*600000</f>
        <v>0</v>
      </c>
      <c r="AY787" s="76"/>
      <c r="AZ787" s="76">
        <f>+AY787*70000</f>
        <v>0</v>
      </c>
      <c r="BA787" s="76"/>
      <c r="BB787" s="76"/>
      <c r="BC787" s="76"/>
      <c r="BD787" s="76">
        <f>+BC787*30000</f>
        <v>0</v>
      </c>
      <c r="BE787" s="76"/>
      <c r="BF787" s="76"/>
      <c r="BG787" s="76"/>
      <c r="BH787" s="76"/>
      <c r="BI787" s="76"/>
      <c r="BJ787" s="76"/>
      <c r="BK787" s="76"/>
      <c r="BL787" s="76">
        <f>+BK787*31500</f>
        <v>0</v>
      </c>
      <c r="BM787" s="76"/>
      <c r="BN787" s="76"/>
      <c r="BO787" s="76"/>
      <c r="BP787" s="76"/>
      <c r="BQ787" s="76"/>
      <c r="BR787" s="76"/>
      <c r="BS787" s="76"/>
      <c r="BT787" s="76"/>
      <c r="BU787" s="76"/>
      <c r="BV787" s="76"/>
      <c r="BW787" s="76"/>
      <c r="BX787" s="76"/>
      <c r="BY787" s="76"/>
      <c r="BZ787" s="76"/>
      <c r="CA787" s="76"/>
      <c r="CB787" s="76"/>
      <c r="CC787" s="76"/>
      <c r="CD787" s="76"/>
      <c r="CE787" s="76"/>
      <c r="CF787" s="76">
        <f>+CE787*28000</f>
        <v>0</v>
      </c>
      <c r="CG787" s="76"/>
      <c r="CH787" s="76">
        <f>+CG787*22500</f>
        <v>0</v>
      </c>
      <c r="CI787" s="76"/>
      <c r="CJ787" s="76">
        <f>+CI787*26000</f>
        <v>0</v>
      </c>
      <c r="CK787" s="76"/>
      <c r="CL787" s="76"/>
      <c r="CM787" s="76"/>
      <c r="CN787" s="76">
        <f>+CM787*22000</f>
        <v>0</v>
      </c>
      <c r="CO787" s="76"/>
      <c r="CP787" s="76">
        <f>+CO787*46000</f>
        <v>0</v>
      </c>
      <c r="CQ787" s="76"/>
      <c r="CR787" s="76">
        <f>+CQ787*49000</f>
        <v>0</v>
      </c>
      <c r="CS787" s="76"/>
      <c r="CT787" s="76"/>
      <c r="CU787" s="56">
        <f>AN787+AP787+AR787+AT787+AV787+AX787+AZ787+BB787+BD787+BF787+BH787+BJ787+BL787+BN787+BP787+BR787+BT787+BV787+BX787+BZ787+CB787+CD787+CF787+CH787+CJ787+CL787+CN787+CP787+CR787+CT787</f>
        <v>0</v>
      </c>
      <c r="CV787" s="76"/>
      <c r="CW787" s="76">
        <f>+CV787*1100</f>
        <v>0</v>
      </c>
      <c r="CX787" s="76"/>
      <c r="CY787" s="76">
        <f>+CX787*106250</f>
        <v>0</v>
      </c>
      <c r="CZ787" s="76"/>
      <c r="DA787" s="76">
        <f>+CZ787*34500</f>
        <v>0</v>
      </c>
      <c r="DB787" s="76"/>
      <c r="DC787" s="76">
        <f>+DB787*25000</f>
        <v>0</v>
      </c>
      <c r="DD787" s="219"/>
      <c r="DE787" s="219"/>
      <c r="DF787" s="166"/>
      <c r="DG787" s="116"/>
      <c r="DH787" s="117"/>
      <c r="DI787" s="24"/>
      <c r="DJ787" s="24"/>
      <c r="DK787" s="24"/>
      <c r="DL787" s="24"/>
      <c r="DM787" s="24"/>
      <c r="DN787" s="24"/>
      <c r="DO787" s="24"/>
      <c r="DP787" s="24"/>
      <c r="DQ787" s="24"/>
      <c r="DR787" s="24"/>
      <c r="DS787" s="24"/>
      <c r="DT787" s="24"/>
      <c r="DU787" s="24"/>
    </row>
    <row r="788" spans="1:125" s="8" customFormat="1" ht="84" x14ac:dyDescent="0.2">
      <c r="A788" s="77">
        <v>41319</v>
      </c>
      <c r="B788" s="78" t="s">
        <v>2772</v>
      </c>
      <c r="C788" s="75" t="s">
        <v>2830</v>
      </c>
      <c r="D788" s="75" t="s">
        <v>3635</v>
      </c>
      <c r="E788" s="75" t="str">
        <f>VLOOKUP(B788&amp;C788,Divipola!$C$2:$F$1138,4,FALSE)</f>
        <v>25486</v>
      </c>
      <c r="F788" s="87">
        <v>2</v>
      </c>
      <c r="G788" s="87"/>
      <c r="H788" s="87"/>
      <c r="I788" s="87"/>
      <c r="J788" s="87"/>
      <c r="K788" s="87"/>
      <c r="L788" s="87"/>
      <c r="M788" s="87"/>
      <c r="N788" s="87"/>
      <c r="O788" s="87"/>
      <c r="P788" s="87"/>
      <c r="Q788" s="87"/>
      <c r="R788" s="87"/>
      <c r="S788" s="87"/>
      <c r="T788" s="87"/>
      <c r="U788" s="88"/>
      <c r="V788" s="195"/>
      <c r="W788" s="96">
        <v>0</v>
      </c>
      <c r="X788" s="71">
        <f>CU788</f>
        <v>0</v>
      </c>
      <c r="Y788" s="71">
        <f>CY788</f>
        <v>0</v>
      </c>
      <c r="Z788" s="71">
        <f>DA788+DC788+DE788</f>
        <v>0</v>
      </c>
      <c r="AA788" s="71">
        <f>CW788</f>
        <v>0</v>
      </c>
      <c r="AB788" s="71"/>
      <c r="AC788" s="71">
        <v>0</v>
      </c>
      <c r="AD788" s="71">
        <f>W788+X788+Y788+Z788+AA788+AB788+AC788</f>
        <v>0</v>
      </c>
      <c r="AE788" s="72">
        <v>0</v>
      </c>
      <c r="AF788" s="5"/>
      <c r="AG788" s="6"/>
      <c r="AH788" s="27" t="s">
        <v>3392</v>
      </c>
      <c r="AI788" s="44" t="s">
        <v>3393</v>
      </c>
      <c r="AJ788" s="26"/>
      <c r="AK788" s="5"/>
      <c r="AL788" s="82" t="s">
        <v>3514</v>
      </c>
      <c r="AM788" s="76"/>
      <c r="AN788" s="76"/>
      <c r="AO788" s="76"/>
      <c r="AP788" s="76"/>
      <c r="AQ788" s="76"/>
      <c r="AR788" s="76"/>
      <c r="AS788" s="76"/>
      <c r="AT788" s="76"/>
      <c r="AU788" s="76"/>
      <c r="AV788" s="76"/>
      <c r="AW788" s="76"/>
      <c r="AX788" s="76">
        <f>+AW788*600000</f>
        <v>0</v>
      </c>
      <c r="AY788" s="76"/>
      <c r="AZ788" s="76">
        <f>+AY788*70000</f>
        <v>0</v>
      </c>
      <c r="BA788" s="76"/>
      <c r="BB788" s="76"/>
      <c r="BC788" s="76"/>
      <c r="BD788" s="76">
        <f>+BC788*30000</f>
        <v>0</v>
      </c>
      <c r="BE788" s="76"/>
      <c r="BF788" s="76"/>
      <c r="BG788" s="76"/>
      <c r="BH788" s="76"/>
      <c r="BI788" s="76"/>
      <c r="BJ788" s="76"/>
      <c r="BK788" s="76"/>
      <c r="BL788" s="76">
        <f>+BK788*31500</f>
        <v>0</v>
      </c>
      <c r="BM788" s="76"/>
      <c r="BN788" s="76"/>
      <c r="BO788" s="76"/>
      <c r="BP788" s="76"/>
      <c r="BQ788" s="76"/>
      <c r="BR788" s="76"/>
      <c r="BS788" s="76"/>
      <c r="BT788" s="76"/>
      <c r="BU788" s="76"/>
      <c r="BV788" s="76"/>
      <c r="BW788" s="76"/>
      <c r="BX788" s="76"/>
      <c r="BY788" s="76"/>
      <c r="BZ788" s="76"/>
      <c r="CA788" s="76"/>
      <c r="CB788" s="76"/>
      <c r="CC788" s="76"/>
      <c r="CD788" s="76"/>
      <c r="CE788" s="76"/>
      <c r="CF788" s="76">
        <f>+CE788*28000</f>
        <v>0</v>
      </c>
      <c r="CG788" s="76"/>
      <c r="CH788" s="76">
        <f>+CG788*22500</f>
        <v>0</v>
      </c>
      <c r="CI788" s="76"/>
      <c r="CJ788" s="76">
        <f>+CI788*26000</f>
        <v>0</v>
      </c>
      <c r="CK788" s="76"/>
      <c r="CL788" s="76"/>
      <c r="CM788" s="76"/>
      <c r="CN788" s="76">
        <f>+CM788*22000</f>
        <v>0</v>
      </c>
      <c r="CO788" s="76"/>
      <c r="CP788" s="76">
        <f>+CO788*46000</f>
        <v>0</v>
      </c>
      <c r="CQ788" s="76"/>
      <c r="CR788" s="76">
        <f>+CQ788*49000</f>
        <v>0</v>
      </c>
      <c r="CS788" s="76"/>
      <c r="CT788" s="76"/>
      <c r="CU788" s="56">
        <f>AN788+AP788+AR788+AT788+AV788+AX788+AZ788+BB788+BD788+BF788+BH788+BJ788+BL788+BN788+BP788+BR788+BT788+BV788+BX788+BZ788+CB788+CD788+CF788+CH788+CJ788+CL788+CN788+CP788+CR788+CT788</f>
        <v>0</v>
      </c>
      <c r="CV788" s="76"/>
      <c r="CW788" s="76">
        <f>+CV788*1100</f>
        <v>0</v>
      </c>
      <c r="CX788" s="76"/>
      <c r="CY788" s="76">
        <f>+CX788*106250</f>
        <v>0</v>
      </c>
      <c r="CZ788" s="76"/>
      <c r="DA788" s="76">
        <f>+CZ788*34500</f>
        <v>0</v>
      </c>
      <c r="DB788" s="76"/>
      <c r="DC788" s="76">
        <f>+DB788*25000</f>
        <v>0</v>
      </c>
      <c r="DD788" s="219"/>
      <c r="DE788" s="219"/>
      <c r="DF788" s="166"/>
      <c r="DG788" s="116"/>
      <c r="DH788" s="117"/>
      <c r="DI788" s="24"/>
      <c r="DJ788" s="24"/>
      <c r="DK788" s="24"/>
      <c r="DL788" s="24"/>
      <c r="DM788" s="24"/>
      <c r="DN788" s="24"/>
      <c r="DO788" s="24"/>
      <c r="DP788" s="24"/>
      <c r="DQ788" s="24"/>
      <c r="DR788" s="24"/>
      <c r="DS788" s="24"/>
      <c r="DT788" s="24"/>
      <c r="DU788" s="24"/>
    </row>
    <row r="789" spans="1:125" s="8" customFormat="1" ht="192" x14ac:dyDescent="0.2">
      <c r="A789" s="77">
        <v>41319</v>
      </c>
      <c r="B789" s="78" t="s">
        <v>2772</v>
      </c>
      <c r="C789" s="75" t="s">
        <v>2156</v>
      </c>
      <c r="D789" s="75" t="s">
        <v>2882</v>
      </c>
      <c r="E789" s="75" t="str">
        <f>VLOOKUP(B789&amp;C789,Divipola!$C$2:$F$1138,4,FALSE)</f>
        <v>25878</v>
      </c>
      <c r="F789" s="87"/>
      <c r="G789" s="87"/>
      <c r="H789" s="87"/>
      <c r="I789" s="87">
        <v>10</v>
      </c>
      <c r="J789" s="87">
        <v>2</v>
      </c>
      <c r="K789" s="87"/>
      <c r="L789" s="87">
        <v>2</v>
      </c>
      <c r="M789" s="87">
        <v>3</v>
      </c>
      <c r="N789" s="87"/>
      <c r="O789" s="87"/>
      <c r="P789" s="87"/>
      <c r="Q789" s="87"/>
      <c r="R789" s="87"/>
      <c r="S789" s="87"/>
      <c r="T789" s="87"/>
      <c r="U789" s="88"/>
      <c r="V789" s="89"/>
      <c r="W789" s="96">
        <v>0</v>
      </c>
      <c r="X789" s="71">
        <f>CU789</f>
        <v>0</v>
      </c>
      <c r="Y789" s="71">
        <f>CY789</f>
        <v>0</v>
      </c>
      <c r="Z789" s="71">
        <f>DA789+DC789+DE789</f>
        <v>0</v>
      </c>
      <c r="AA789" s="71">
        <f>CW789</f>
        <v>0</v>
      </c>
      <c r="AB789" s="71"/>
      <c r="AC789" s="71">
        <v>0</v>
      </c>
      <c r="AD789" s="71">
        <f>W789+X789+Y789+Z789+AA789+AB789+AC789</f>
        <v>0</v>
      </c>
      <c r="AE789" s="72">
        <v>0</v>
      </c>
      <c r="AF789" s="5"/>
      <c r="AG789" s="6"/>
      <c r="AH789" s="27" t="s">
        <v>3392</v>
      </c>
      <c r="AI789" s="44" t="s">
        <v>3393</v>
      </c>
      <c r="AJ789" s="26"/>
      <c r="AK789" s="5"/>
      <c r="AL789" s="82" t="s">
        <v>3513</v>
      </c>
      <c r="AM789" s="76"/>
      <c r="AN789" s="76"/>
      <c r="AO789" s="76"/>
      <c r="AP789" s="76"/>
      <c r="AQ789" s="76"/>
      <c r="AR789" s="76"/>
      <c r="AS789" s="76"/>
      <c r="AT789" s="76"/>
      <c r="AU789" s="76"/>
      <c r="AV789" s="76"/>
      <c r="AW789" s="76"/>
      <c r="AX789" s="76">
        <f>+AW789*600000</f>
        <v>0</v>
      </c>
      <c r="AY789" s="76"/>
      <c r="AZ789" s="76">
        <f>+AY789*70000</f>
        <v>0</v>
      </c>
      <c r="BA789" s="76"/>
      <c r="BB789" s="76"/>
      <c r="BC789" s="76"/>
      <c r="BD789" s="76">
        <f>+BC789*30000</f>
        <v>0</v>
      </c>
      <c r="BE789" s="76"/>
      <c r="BF789" s="76"/>
      <c r="BG789" s="76"/>
      <c r="BH789" s="76"/>
      <c r="BI789" s="76"/>
      <c r="BJ789" s="76"/>
      <c r="BK789" s="76"/>
      <c r="BL789" s="76">
        <f>+BK789*31500</f>
        <v>0</v>
      </c>
      <c r="BM789" s="76"/>
      <c r="BN789" s="76"/>
      <c r="BO789" s="76"/>
      <c r="BP789" s="76"/>
      <c r="BQ789" s="76"/>
      <c r="BR789" s="76"/>
      <c r="BS789" s="76"/>
      <c r="BT789" s="76"/>
      <c r="BU789" s="76"/>
      <c r="BV789" s="76"/>
      <c r="BW789" s="76"/>
      <c r="BX789" s="76"/>
      <c r="BY789" s="76"/>
      <c r="BZ789" s="76"/>
      <c r="CA789" s="76"/>
      <c r="CB789" s="76"/>
      <c r="CC789" s="76"/>
      <c r="CD789" s="76"/>
      <c r="CE789" s="76"/>
      <c r="CF789" s="76">
        <f>+CE789*28000</f>
        <v>0</v>
      </c>
      <c r="CG789" s="76"/>
      <c r="CH789" s="76">
        <f>+CG789*22500</f>
        <v>0</v>
      </c>
      <c r="CI789" s="76"/>
      <c r="CJ789" s="76">
        <f>+CI789*26000</f>
        <v>0</v>
      </c>
      <c r="CK789" s="76"/>
      <c r="CL789" s="76"/>
      <c r="CM789" s="76"/>
      <c r="CN789" s="76">
        <f>+CM789*22000</f>
        <v>0</v>
      </c>
      <c r="CO789" s="76"/>
      <c r="CP789" s="76">
        <f>+CO789*46000</f>
        <v>0</v>
      </c>
      <c r="CQ789" s="76"/>
      <c r="CR789" s="76">
        <f>+CQ789*49000</f>
        <v>0</v>
      </c>
      <c r="CS789" s="76"/>
      <c r="CT789" s="76"/>
      <c r="CU789" s="56">
        <f>AN789+AP789+AR789+AT789+AV789+AX789+AZ789+BB789+BD789+BF789+BH789+BJ789+BL789+BN789+BP789+BR789+BT789+BV789+BX789+BZ789+CB789+CD789+CF789+CH789+CJ789+CL789+CN789+CP789+CR789+CT789</f>
        <v>0</v>
      </c>
      <c r="CV789" s="76"/>
      <c r="CW789" s="76">
        <f>+CV789*1100</f>
        <v>0</v>
      </c>
      <c r="CX789" s="76"/>
      <c r="CY789" s="76">
        <f>+CX789*106250</f>
        <v>0</v>
      </c>
      <c r="CZ789" s="76"/>
      <c r="DA789" s="76">
        <f>+CZ789*34500</f>
        <v>0</v>
      </c>
      <c r="DB789" s="76"/>
      <c r="DC789" s="76">
        <f>+DB789*25000</f>
        <v>0</v>
      </c>
      <c r="DD789" s="219"/>
      <c r="DE789" s="219"/>
      <c r="DF789" s="166"/>
      <c r="DG789" s="116"/>
      <c r="DH789" s="117"/>
      <c r="DI789" s="24"/>
      <c r="DJ789" s="24"/>
      <c r="DK789" s="24"/>
      <c r="DL789" s="24"/>
      <c r="DM789" s="24"/>
      <c r="DN789" s="24"/>
      <c r="DO789" s="24"/>
      <c r="DP789" s="24"/>
      <c r="DQ789" s="24"/>
      <c r="DR789" s="24"/>
      <c r="DS789" s="24"/>
      <c r="DT789" s="24"/>
      <c r="DU789" s="24"/>
    </row>
    <row r="790" spans="1:125" s="8" customFormat="1" ht="96" x14ac:dyDescent="0.2">
      <c r="A790" s="77">
        <v>41319</v>
      </c>
      <c r="B790" s="78" t="s">
        <v>2847</v>
      </c>
      <c r="C790" s="75" t="s">
        <v>2673</v>
      </c>
      <c r="D790" s="75" t="s">
        <v>2859</v>
      </c>
      <c r="E790" s="75" t="str">
        <f>VLOOKUP(B790&amp;C790,Divipola!$C$2:$F$1138,4,FALSE)</f>
        <v>68001</v>
      </c>
      <c r="F790" s="87"/>
      <c r="G790" s="87"/>
      <c r="H790" s="87"/>
      <c r="I790" s="87">
        <v>5</v>
      </c>
      <c r="J790" s="87">
        <v>1</v>
      </c>
      <c r="K790" s="87"/>
      <c r="L790" s="87">
        <v>1</v>
      </c>
      <c r="M790" s="87"/>
      <c r="N790" s="87"/>
      <c r="O790" s="87"/>
      <c r="P790" s="87"/>
      <c r="Q790" s="87"/>
      <c r="R790" s="87"/>
      <c r="S790" s="87"/>
      <c r="T790" s="87"/>
      <c r="U790" s="88"/>
      <c r="V790" s="89"/>
      <c r="W790" s="96">
        <v>0</v>
      </c>
      <c r="X790" s="71">
        <f>CU790</f>
        <v>0</v>
      </c>
      <c r="Y790" s="71">
        <f>CY790</f>
        <v>0</v>
      </c>
      <c r="Z790" s="71">
        <f>DA790+DC790+DE790</f>
        <v>0</v>
      </c>
      <c r="AA790" s="71">
        <f>CW790</f>
        <v>0</v>
      </c>
      <c r="AB790" s="71"/>
      <c r="AC790" s="71">
        <v>0</v>
      </c>
      <c r="AD790" s="71">
        <f>W790+X790+Y790+Z790+AA790+AB790+AC790</f>
        <v>0</v>
      </c>
      <c r="AE790" s="72">
        <v>0</v>
      </c>
      <c r="AF790" s="5"/>
      <c r="AG790" s="6"/>
      <c r="AH790" s="27" t="s">
        <v>3392</v>
      </c>
      <c r="AI790" s="44" t="s">
        <v>3393</v>
      </c>
      <c r="AJ790" s="26"/>
      <c r="AK790" s="5"/>
      <c r="AL790" s="82" t="s">
        <v>3505</v>
      </c>
      <c r="AM790" s="76"/>
      <c r="AN790" s="76"/>
      <c r="AO790" s="76"/>
      <c r="AP790" s="76"/>
      <c r="AQ790" s="76"/>
      <c r="AR790" s="76"/>
      <c r="AS790" s="76"/>
      <c r="AT790" s="76"/>
      <c r="AU790" s="76"/>
      <c r="AV790" s="76"/>
      <c r="AW790" s="76"/>
      <c r="AX790" s="76">
        <f>+AW790*600000</f>
        <v>0</v>
      </c>
      <c r="AY790" s="76"/>
      <c r="AZ790" s="76">
        <f>+AY790*70000</f>
        <v>0</v>
      </c>
      <c r="BA790" s="76"/>
      <c r="BB790" s="76"/>
      <c r="BC790" s="76"/>
      <c r="BD790" s="76">
        <f>+BC790*30000</f>
        <v>0</v>
      </c>
      <c r="BE790" s="76"/>
      <c r="BF790" s="76"/>
      <c r="BG790" s="76"/>
      <c r="BH790" s="76"/>
      <c r="BI790" s="76"/>
      <c r="BJ790" s="76"/>
      <c r="BK790" s="76"/>
      <c r="BL790" s="76">
        <f>+BK790*31500</f>
        <v>0</v>
      </c>
      <c r="BM790" s="76"/>
      <c r="BN790" s="76"/>
      <c r="BO790" s="76"/>
      <c r="BP790" s="76"/>
      <c r="BQ790" s="76"/>
      <c r="BR790" s="76"/>
      <c r="BS790" s="76"/>
      <c r="BT790" s="76"/>
      <c r="BU790" s="76"/>
      <c r="BV790" s="76"/>
      <c r="BW790" s="76"/>
      <c r="BX790" s="76"/>
      <c r="BY790" s="76"/>
      <c r="BZ790" s="76"/>
      <c r="CA790" s="76"/>
      <c r="CB790" s="76"/>
      <c r="CC790" s="76"/>
      <c r="CD790" s="76"/>
      <c r="CE790" s="76"/>
      <c r="CF790" s="76">
        <f>+CE790*28000</f>
        <v>0</v>
      </c>
      <c r="CG790" s="76"/>
      <c r="CH790" s="76">
        <f>+CG790*22500</f>
        <v>0</v>
      </c>
      <c r="CI790" s="76"/>
      <c r="CJ790" s="76">
        <f>+CI790*26000</f>
        <v>0</v>
      </c>
      <c r="CK790" s="76"/>
      <c r="CL790" s="76"/>
      <c r="CM790" s="76"/>
      <c r="CN790" s="76">
        <f>+CM790*22000</f>
        <v>0</v>
      </c>
      <c r="CO790" s="76"/>
      <c r="CP790" s="76">
        <f>+CO790*46000</f>
        <v>0</v>
      </c>
      <c r="CQ790" s="76"/>
      <c r="CR790" s="76">
        <f>+CQ790*49000</f>
        <v>0</v>
      </c>
      <c r="CS790" s="76"/>
      <c r="CT790" s="76"/>
      <c r="CU790" s="56">
        <f>AN790+AP790+AR790+AT790+AV790+AX790+AZ790+BB790+BD790+BF790+BH790+BJ790+BL790+BN790+BP790+BR790+BT790+BV790+BX790+BZ790+CB790+CD790+CF790+CH790+CJ790+CL790+CN790+CP790+CR790+CT790</f>
        <v>0</v>
      </c>
      <c r="CV790" s="76"/>
      <c r="CW790" s="76">
        <f>+CV790*1100</f>
        <v>0</v>
      </c>
      <c r="CX790" s="76"/>
      <c r="CY790" s="76">
        <f>+CX790*106250</f>
        <v>0</v>
      </c>
      <c r="CZ790" s="76"/>
      <c r="DA790" s="76">
        <f>+CZ790*34500</f>
        <v>0</v>
      </c>
      <c r="DB790" s="76"/>
      <c r="DC790" s="76">
        <f>+DB790*25000</f>
        <v>0</v>
      </c>
      <c r="DD790" s="219"/>
      <c r="DE790" s="219"/>
      <c r="DF790" s="166"/>
      <c r="DG790" s="116"/>
      <c r="DH790" s="117"/>
      <c r="DI790" s="24"/>
      <c r="DJ790" s="24"/>
      <c r="DK790" s="24"/>
      <c r="DL790" s="24"/>
      <c r="DM790" s="24"/>
      <c r="DN790" s="24"/>
      <c r="DO790" s="24"/>
      <c r="DP790" s="24"/>
      <c r="DQ790" s="24"/>
      <c r="DR790" s="24"/>
      <c r="DS790" s="24"/>
      <c r="DT790" s="24"/>
      <c r="DU790" s="24"/>
    </row>
    <row r="791" spans="1:125" s="8" customFormat="1" ht="96" x14ac:dyDescent="0.2">
      <c r="A791" s="77">
        <v>41319</v>
      </c>
      <c r="B791" s="78" t="s">
        <v>2847</v>
      </c>
      <c r="C791" s="75" t="s">
        <v>2673</v>
      </c>
      <c r="D791" s="75" t="s">
        <v>2859</v>
      </c>
      <c r="E791" s="75" t="str">
        <f>VLOOKUP(B791&amp;C791,Divipola!$C$2:$F$1138,4,FALSE)</f>
        <v>68001</v>
      </c>
      <c r="F791" s="87"/>
      <c r="G791" s="87"/>
      <c r="H791" s="87"/>
      <c r="I791" s="87">
        <v>5</v>
      </c>
      <c r="J791" s="87">
        <v>1</v>
      </c>
      <c r="K791" s="87"/>
      <c r="L791" s="87">
        <v>1</v>
      </c>
      <c r="M791" s="87"/>
      <c r="N791" s="87"/>
      <c r="O791" s="87"/>
      <c r="P791" s="87"/>
      <c r="Q791" s="87"/>
      <c r="R791" s="87"/>
      <c r="S791" s="87"/>
      <c r="T791" s="87"/>
      <c r="U791" s="88"/>
      <c r="V791" s="89"/>
      <c r="W791" s="96">
        <v>0</v>
      </c>
      <c r="X791" s="71">
        <f>CU791</f>
        <v>0</v>
      </c>
      <c r="Y791" s="71">
        <f>CY791</f>
        <v>0</v>
      </c>
      <c r="Z791" s="71">
        <f>DA791+DC791+DE791</f>
        <v>0</v>
      </c>
      <c r="AA791" s="71">
        <f>CW791</f>
        <v>0</v>
      </c>
      <c r="AB791" s="71"/>
      <c r="AC791" s="71">
        <v>0</v>
      </c>
      <c r="AD791" s="71">
        <f>W791+X791+Y791+Z791+AA791+AB791+AC791</f>
        <v>0</v>
      </c>
      <c r="AE791" s="72">
        <v>0</v>
      </c>
      <c r="AF791" s="5"/>
      <c r="AG791" s="6"/>
      <c r="AH791" s="27" t="s">
        <v>3392</v>
      </c>
      <c r="AI791" s="44" t="s">
        <v>3393</v>
      </c>
      <c r="AJ791" s="26"/>
      <c r="AK791" s="5"/>
      <c r="AL791" s="82" t="s">
        <v>3506</v>
      </c>
      <c r="AM791" s="76"/>
      <c r="AN791" s="76"/>
      <c r="AO791" s="76"/>
      <c r="AP791" s="76"/>
      <c r="AQ791" s="76"/>
      <c r="AR791" s="76"/>
      <c r="AS791" s="76"/>
      <c r="AT791" s="76"/>
      <c r="AU791" s="76"/>
      <c r="AV791" s="76"/>
      <c r="AW791" s="76"/>
      <c r="AX791" s="76">
        <f>+AW791*600000</f>
        <v>0</v>
      </c>
      <c r="AY791" s="76"/>
      <c r="AZ791" s="76">
        <f>+AY791*70000</f>
        <v>0</v>
      </c>
      <c r="BA791" s="76"/>
      <c r="BB791" s="76"/>
      <c r="BC791" s="76"/>
      <c r="BD791" s="76">
        <f>+BC791*30000</f>
        <v>0</v>
      </c>
      <c r="BE791" s="76"/>
      <c r="BF791" s="76"/>
      <c r="BG791" s="76"/>
      <c r="BH791" s="76"/>
      <c r="BI791" s="76"/>
      <c r="BJ791" s="76"/>
      <c r="BK791" s="76"/>
      <c r="BL791" s="76">
        <f>+BK791*31500</f>
        <v>0</v>
      </c>
      <c r="BM791" s="76"/>
      <c r="BN791" s="76"/>
      <c r="BO791" s="76"/>
      <c r="BP791" s="76"/>
      <c r="BQ791" s="76"/>
      <c r="BR791" s="76"/>
      <c r="BS791" s="76"/>
      <c r="BT791" s="76"/>
      <c r="BU791" s="76"/>
      <c r="BV791" s="76"/>
      <c r="BW791" s="76"/>
      <c r="BX791" s="76"/>
      <c r="BY791" s="76"/>
      <c r="BZ791" s="76"/>
      <c r="CA791" s="76"/>
      <c r="CB791" s="76"/>
      <c r="CC791" s="76"/>
      <c r="CD791" s="76"/>
      <c r="CE791" s="76"/>
      <c r="CF791" s="76">
        <f>+CE791*28000</f>
        <v>0</v>
      </c>
      <c r="CG791" s="76"/>
      <c r="CH791" s="76">
        <f>+CG791*22500</f>
        <v>0</v>
      </c>
      <c r="CI791" s="76"/>
      <c r="CJ791" s="76">
        <f>+CI791*26000</f>
        <v>0</v>
      </c>
      <c r="CK791" s="76"/>
      <c r="CL791" s="76"/>
      <c r="CM791" s="76"/>
      <c r="CN791" s="76">
        <f>+CM791*22000</f>
        <v>0</v>
      </c>
      <c r="CO791" s="76"/>
      <c r="CP791" s="76">
        <f>+CO791*46000</f>
        <v>0</v>
      </c>
      <c r="CQ791" s="76"/>
      <c r="CR791" s="76">
        <f>+CQ791*49000</f>
        <v>0</v>
      </c>
      <c r="CS791" s="76"/>
      <c r="CT791" s="76"/>
      <c r="CU791" s="56">
        <f>AN791+AP791+AR791+AT791+AV791+AX791+AZ791+BB791+BD791+BF791+BH791+BJ791+BL791+BN791+BP791+BR791+BT791+BV791+BX791+BZ791+CB791+CD791+CF791+CH791+CJ791+CL791+CN791+CP791+CR791+CT791</f>
        <v>0</v>
      </c>
      <c r="CV791" s="76"/>
      <c r="CW791" s="76">
        <f>+CV791*1100</f>
        <v>0</v>
      </c>
      <c r="CX791" s="76"/>
      <c r="CY791" s="76">
        <f>+CX791*106250</f>
        <v>0</v>
      </c>
      <c r="CZ791" s="76"/>
      <c r="DA791" s="76">
        <f>+CZ791*34500</f>
        <v>0</v>
      </c>
      <c r="DB791" s="76"/>
      <c r="DC791" s="76">
        <f>+DB791*25000</f>
        <v>0</v>
      </c>
      <c r="DD791" s="219"/>
      <c r="DE791" s="219"/>
      <c r="DF791" s="166"/>
      <c r="DG791" s="116"/>
      <c r="DH791" s="117"/>
      <c r="DI791" s="24"/>
      <c r="DJ791" s="24"/>
      <c r="DK791" s="24"/>
      <c r="DL791" s="24"/>
      <c r="DM791" s="24"/>
      <c r="DN791" s="24"/>
      <c r="DO791" s="24"/>
      <c r="DP791" s="24"/>
      <c r="DQ791" s="24"/>
      <c r="DR791" s="24"/>
      <c r="DS791" s="24"/>
      <c r="DT791" s="24"/>
      <c r="DU791" s="24"/>
    </row>
    <row r="792" spans="1:125" s="8" customFormat="1" ht="132" x14ac:dyDescent="0.2">
      <c r="A792" s="77">
        <v>41319</v>
      </c>
      <c r="B792" s="225" t="s">
        <v>2847</v>
      </c>
      <c r="C792" s="227" t="s">
        <v>2109</v>
      </c>
      <c r="D792" s="81" t="s">
        <v>2846</v>
      </c>
      <c r="E792" s="75" t="str">
        <f>VLOOKUP(B792&amp;C792,Divipola!$C$2:$F$1138,4,FALSE)</f>
        <v>68575</v>
      </c>
      <c r="F792" s="100"/>
      <c r="G792" s="100"/>
      <c r="H792" s="100"/>
      <c r="I792" s="100"/>
      <c r="J792" s="100"/>
      <c r="K792" s="100"/>
      <c r="L792" s="100"/>
      <c r="M792" s="100"/>
      <c r="N792" s="100"/>
      <c r="O792" s="100"/>
      <c r="P792" s="100"/>
      <c r="Q792" s="100"/>
      <c r="R792" s="100"/>
      <c r="S792" s="100"/>
      <c r="T792" s="100"/>
      <c r="U792" s="136">
        <v>52</v>
      </c>
      <c r="V792" s="89"/>
      <c r="W792" s="96">
        <v>0</v>
      </c>
      <c r="X792" s="71">
        <f>CU792</f>
        <v>0</v>
      </c>
      <c r="Y792" s="71">
        <f>CY792</f>
        <v>0</v>
      </c>
      <c r="Z792" s="71">
        <f>DA792+DC792+DE792</f>
        <v>0</v>
      </c>
      <c r="AA792" s="71">
        <f>CW792</f>
        <v>0</v>
      </c>
      <c r="AB792" s="71"/>
      <c r="AC792" s="71">
        <v>0</v>
      </c>
      <c r="AD792" s="71">
        <f>W792+X792+Y792+Z792+AA792+AB792+AC792</f>
        <v>0</v>
      </c>
      <c r="AE792" s="72">
        <v>0</v>
      </c>
      <c r="AF792" s="5"/>
      <c r="AG792" s="6"/>
      <c r="AH792" s="27" t="s">
        <v>3392</v>
      </c>
      <c r="AI792" s="44" t="s">
        <v>3393</v>
      </c>
      <c r="AJ792" s="26"/>
      <c r="AK792" s="5"/>
      <c r="AL792" s="82" t="s">
        <v>3521</v>
      </c>
      <c r="AM792" s="76"/>
      <c r="AN792" s="76"/>
      <c r="AO792" s="76"/>
      <c r="AP792" s="76"/>
      <c r="AQ792" s="76"/>
      <c r="AR792" s="76"/>
      <c r="AS792" s="76"/>
      <c r="AT792" s="76"/>
      <c r="AU792" s="76"/>
      <c r="AV792" s="76"/>
      <c r="AW792" s="76"/>
      <c r="AX792" s="76">
        <f>+AW792*600000</f>
        <v>0</v>
      </c>
      <c r="AY792" s="76"/>
      <c r="AZ792" s="76">
        <f>+AY792*70000</f>
        <v>0</v>
      </c>
      <c r="BA792" s="76"/>
      <c r="BB792" s="76"/>
      <c r="BC792" s="76"/>
      <c r="BD792" s="76">
        <f>+BC792*30000</f>
        <v>0</v>
      </c>
      <c r="BE792" s="76"/>
      <c r="BF792" s="76"/>
      <c r="BG792" s="76"/>
      <c r="BH792" s="76"/>
      <c r="BI792" s="76"/>
      <c r="BJ792" s="76"/>
      <c r="BK792" s="76"/>
      <c r="BL792" s="76">
        <f>+BK792*31500</f>
        <v>0</v>
      </c>
      <c r="BM792" s="76"/>
      <c r="BN792" s="76"/>
      <c r="BO792" s="76"/>
      <c r="BP792" s="76"/>
      <c r="BQ792" s="76"/>
      <c r="BR792" s="76"/>
      <c r="BS792" s="76"/>
      <c r="BT792" s="76"/>
      <c r="BU792" s="76"/>
      <c r="BV792" s="76"/>
      <c r="BW792" s="76"/>
      <c r="BX792" s="76"/>
      <c r="BY792" s="76"/>
      <c r="BZ792" s="76"/>
      <c r="CA792" s="76"/>
      <c r="CB792" s="76"/>
      <c r="CC792" s="76"/>
      <c r="CD792" s="76"/>
      <c r="CE792" s="76"/>
      <c r="CF792" s="76">
        <f>+CE792*28000</f>
        <v>0</v>
      </c>
      <c r="CG792" s="76"/>
      <c r="CH792" s="76">
        <f>+CG792*22500</f>
        <v>0</v>
      </c>
      <c r="CI792" s="76"/>
      <c r="CJ792" s="76">
        <f>+CI792*26000</f>
        <v>0</v>
      </c>
      <c r="CK792" s="76"/>
      <c r="CL792" s="76"/>
      <c r="CM792" s="76"/>
      <c r="CN792" s="76">
        <f>+CM792*22000</f>
        <v>0</v>
      </c>
      <c r="CO792" s="76"/>
      <c r="CP792" s="76">
        <f>+CO792*46000</f>
        <v>0</v>
      </c>
      <c r="CQ792" s="76"/>
      <c r="CR792" s="76">
        <f>+CQ792*49000</f>
        <v>0</v>
      </c>
      <c r="CS792" s="76"/>
      <c r="CT792" s="76"/>
      <c r="CU792" s="56">
        <f>AN792+AP792+AR792+AT792+AV792+AX792+AZ792+BB792+BD792+BF792+BH792+BJ792+BL792+BN792+BP792+BR792+BT792+BV792+BX792+BZ792+CB792+CD792+CF792+CH792+CJ792+CL792+CN792+CP792+CR792+CT792</f>
        <v>0</v>
      </c>
      <c r="CV792" s="76"/>
      <c r="CW792" s="76">
        <f>+CV792*1100</f>
        <v>0</v>
      </c>
      <c r="CX792" s="76"/>
      <c r="CY792" s="76">
        <f>+CX792*106250</f>
        <v>0</v>
      </c>
      <c r="CZ792" s="76"/>
      <c r="DA792" s="76">
        <f>+CZ792*34500</f>
        <v>0</v>
      </c>
      <c r="DB792" s="76"/>
      <c r="DC792" s="76">
        <f>+DB792*25000</f>
        <v>0</v>
      </c>
      <c r="DD792" s="219"/>
      <c r="DE792" s="219"/>
      <c r="DF792" s="166"/>
      <c r="DG792" s="116"/>
      <c r="DH792" s="117"/>
      <c r="DI792" s="24"/>
      <c r="DJ792" s="24"/>
      <c r="DK792" s="24"/>
      <c r="DL792" s="24"/>
      <c r="DM792" s="24"/>
      <c r="DN792" s="24"/>
      <c r="DO792" s="24"/>
      <c r="DP792" s="24"/>
      <c r="DQ792" s="24"/>
      <c r="DR792" s="24"/>
      <c r="DS792" s="24"/>
      <c r="DT792" s="24"/>
      <c r="DU792" s="24"/>
    </row>
    <row r="793" spans="1:125" s="8" customFormat="1" ht="132" x14ac:dyDescent="0.2">
      <c r="A793" s="77">
        <v>41319</v>
      </c>
      <c r="B793" s="78" t="s">
        <v>2847</v>
      </c>
      <c r="C793" s="75" t="s">
        <v>2109</v>
      </c>
      <c r="D793" s="81" t="s">
        <v>2846</v>
      </c>
      <c r="E793" s="75" t="str">
        <f>VLOOKUP(B793&amp;C793,Divipola!$C$2:$F$1138,4,FALSE)</f>
        <v>68575</v>
      </c>
      <c r="F793" s="87"/>
      <c r="G793" s="87"/>
      <c r="H793" s="87"/>
      <c r="I793" s="87"/>
      <c r="J793" s="87"/>
      <c r="K793" s="87"/>
      <c r="L793" s="87"/>
      <c r="M793" s="87"/>
      <c r="N793" s="87"/>
      <c r="O793" s="87"/>
      <c r="P793" s="87"/>
      <c r="Q793" s="87"/>
      <c r="R793" s="87"/>
      <c r="S793" s="87"/>
      <c r="T793" s="87"/>
      <c r="U793" s="88">
        <v>43</v>
      </c>
      <c r="V793" s="89"/>
      <c r="W793" s="96">
        <v>0</v>
      </c>
      <c r="X793" s="71">
        <f>CU793</f>
        <v>0</v>
      </c>
      <c r="Y793" s="71">
        <f>CY793</f>
        <v>0</v>
      </c>
      <c r="Z793" s="71">
        <f>DA793+DC793+DE793</f>
        <v>0</v>
      </c>
      <c r="AA793" s="71">
        <f>CW793</f>
        <v>0</v>
      </c>
      <c r="AB793" s="71"/>
      <c r="AC793" s="71">
        <v>0</v>
      </c>
      <c r="AD793" s="71">
        <f>W793+X793+Y793+Z793+AA793+AB793+AC793</f>
        <v>0</v>
      </c>
      <c r="AE793" s="72">
        <v>0</v>
      </c>
      <c r="AF793" s="5"/>
      <c r="AG793" s="6"/>
      <c r="AH793" s="27" t="s">
        <v>3392</v>
      </c>
      <c r="AI793" s="44" t="s">
        <v>3393</v>
      </c>
      <c r="AJ793" s="26"/>
      <c r="AK793" s="5"/>
      <c r="AL793" s="82" t="s">
        <v>3522</v>
      </c>
      <c r="AM793" s="76"/>
      <c r="AN793" s="76"/>
      <c r="AO793" s="76"/>
      <c r="AP793" s="76"/>
      <c r="AQ793" s="76"/>
      <c r="AR793" s="76"/>
      <c r="AS793" s="76"/>
      <c r="AT793" s="76"/>
      <c r="AU793" s="76"/>
      <c r="AV793" s="76"/>
      <c r="AW793" s="76"/>
      <c r="AX793" s="76">
        <f>+AW793*600000</f>
        <v>0</v>
      </c>
      <c r="AY793" s="76"/>
      <c r="AZ793" s="76">
        <f>+AY793*70000</f>
        <v>0</v>
      </c>
      <c r="BA793" s="76"/>
      <c r="BB793" s="76"/>
      <c r="BC793" s="76"/>
      <c r="BD793" s="76">
        <f>+BC793*30000</f>
        <v>0</v>
      </c>
      <c r="BE793" s="76"/>
      <c r="BF793" s="76"/>
      <c r="BG793" s="76"/>
      <c r="BH793" s="76"/>
      <c r="BI793" s="76"/>
      <c r="BJ793" s="76"/>
      <c r="BK793" s="76"/>
      <c r="BL793" s="76">
        <f>+BK793*31500</f>
        <v>0</v>
      </c>
      <c r="BM793" s="76"/>
      <c r="BN793" s="76"/>
      <c r="BO793" s="76"/>
      <c r="BP793" s="76"/>
      <c r="BQ793" s="76"/>
      <c r="BR793" s="76"/>
      <c r="BS793" s="76"/>
      <c r="BT793" s="76"/>
      <c r="BU793" s="76"/>
      <c r="BV793" s="76"/>
      <c r="BW793" s="76"/>
      <c r="BX793" s="76"/>
      <c r="BY793" s="76"/>
      <c r="BZ793" s="76"/>
      <c r="CA793" s="76"/>
      <c r="CB793" s="76"/>
      <c r="CC793" s="76"/>
      <c r="CD793" s="76"/>
      <c r="CE793" s="76"/>
      <c r="CF793" s="76">
        <f>+CE793*28000</f>
        <v>0</v>
      </c>
      <c r="CG793" s="76"/>
      <c r="CH793" s="76">
        <f>+CG793*22500</f>
        <v>0</v>
      </c>
      <c r="CI793" s="76"/>
      <c r="CJ793" s="76">
        <f>+CI793*26000</f>
        <v>0</v>
      </c>
      <c r="CK793" s="76"/>
      <c r="CL793" s="76"/>
      <c r="CM793" s="76"/>
      <c r="CN793" s="76">
        <f>+CM793*22000</f>
        <v>0</v>
      </c>
      <c r="CO793" s="76"/>
      <c r="CP793" s="76">
        <f>+CO793*46000</f>
        <v>0</v>
      </c>
      <c r="CQ793" s="76"/>
      <c r="CR793" s="76">
        <f>+CQ793*49000</f>
        <v>0</v>
      </c>
      <c r="CS793" s="76"/>
      <c r="CT793" s="76"/>
      <c r="CU793" s="56">
        <f>AN793+AP793+AR793+AT793+AV793+AX793+AZ793+BB793+BD793+BF793+BH793+BJ793+BL793+BN793+BP793+BR793+BT793+BV793+BX793+BZ793+CB793+CD793+CF793+CH793+CJ793+CL793+CN793+CP793+CR793+CT793</f>
        <v>0</v>
      </c>
      <c r="CV793" s="76"/>
      <c r="CW793" s="76">
        <f>+CV793*1100</f>
        <v>0</v>
      </c>
      <c r="CX793" s="76"/>
      <c r="CY793" s="76">
        <f>+CX793*106250</f>
        <v>0</v>
      </c>
      <c r="CZ793" s="76"/>
      <c r="DA793" s="76">
        <f>+CZ793*34500</f>
        <v>0</v>
      </c>
      <c r="DB793" s="76"/>
      <c r="DC793" s="76">
        <f>+DB793*25000</f>
        <v>0</v>
      </c>
      <c r="DD793" s="219"/>
      <c r="DE793" s="219"/>
      <c r="DF793" s="166"/>
      <c r="DG793" s="116"/>
      <c r="DH793" s="117"/>
      <c r="DI793" s="24"/>
      <c r="DJ793" s="24"/>
      <c r="DK793" s="24"/>
      <c r="DL793" s="24"/>
      <c r="DM793" s="24"/>
      <c r="DN793" s="24"/>
      <c r="DO793" s="24"/>
      <c r="DP793" s="24"/>
      <c r="DQ793" s="24"/>
      <c r="DR793" s="24"/>
      <c r="DS793" s="24"/>
      <c r="DT793" s="24"/>
      <c r="DU793" s="24"/>
    </row>
    <row r="794" spans="1:125" s="8" customFormat="1" ht="72" x14ac:dyDescent="0.2">
      <c r="A794" s="77">
        <v>41319</v>
      </c>
      <c r="B794" s="352" t="s">
        <v>2847</v>
      </c>
      <c r="C794" s="354" t="s">
        <v>2165</v>
      </c>
      <c r="D794" s="81" t="s">
        <v>2846</v>
      </c>
      <c r="E794" s="75" t="str">
        <f>VLOOKUP(B794&amp;C794,Divipola!$C$2:$F$1138,4,FALSE)</f>
        <v>68655</v>
      </c>
      <c r="F794" s="87"/>
      <c r="G794" s="87"/>
      <c r="H794" s="87"/>
      <c r="I794" s="87"/>
      <c r="J794" s="87"/>
      <c r="K794" s="87"/>
      <c r="L794" s="87"/>
      <c r="M794" s="87"/>
      <c r="N794" s="87"/>
      <c r="O794" s="87"/>
      <c r="P794" s="87"/>
      <c r="Q794" s="87"/>
      <c r="R794" s="87"/>
      <c r="S794" s="87"/>
      <c r="T794" s="87"/>
      <c r="U794" s="88">
        <v>4</v>
      </c>
      <c r="V794" s="89"/>
      <c r="W794" s="96">
        <v>0</v>
      </c>
      <c r="X794" s="71">
        <f>CU794</f>
        <v>0</v>
      </c>
      <c r="Y794" s="71">
        <f>CY794</f>
        <v>0</v>
      </c>
      <c r="Z794" s="71">
        <f>DA794+DC794+DE794</f>
        <v>0</v>
      </c>
      <c r="AA794" s="71">
        <f>CW794</f>
        <v>0</v>
      </c>
      <c r="AB794" s="71"/>
      <c r="AC794" s="71">
        <v>0</v>
      </c>
      <c r="AD794" s="71">
        <f>W794+X794+Y794+Z794+AA794+AB794+AC794</f>
        <v>0</v>
      </c>
      <c r="AE794" s="72">
        <v>0</v>
      </c>
      <c r="AF794" s="5"/>
      <c r="AG794" s="6"/>
      <c r="AH794" s="27" t="s">
        <v>3392</v>
      </c>
      <c r="AI794" s="44" t="s">
        <v>3393</v>
      </c>
      <c r="AJ794" s="26"/>
      <c r="AK794" s="5"/>
      <c r="AL794" s="82" t="s">
        <v>3507</v>
      </c>
      <c r="AM794" s="76"/>
      <c r="AN794" s="76"/>
      <c r="AO794" s="76"/>
      <c r="AP794" s="76"/>
      <c r="AQ794" s="76"/>
      <c r="AR794" s="76"/>
      <c r="AS794" s="76"/>
      <c r="AT794" s="76"/>
      <c r="AU794" s="76"/>
      <c r="AV794" s="76"/>
      <c r="AW794" s="76"/>
      <c r="AX794" s="76">
        <f>+AW794*600000</f>
        <v>0</v>
      </c>
      <c r="AY794" s="76"/>
      <c r="AZ794" s="76">
        <f>+AY794*70000</f>
        <v>0</v>
      </c>
      <c r="BA794" s="76"/>
      <c r="BB794" s="76"/>
      <c r="BC794" s="76"/>
      <c r="BD794" s="76">
        <f>+BC794*30000</f>
        <v>0</v>
      </c>
      <c r="BE794" s="76"/>
      <c r="BF794" s="76"/>
      <c r="BG794" s="76"/>
      <c r="BH794" s="76"/>
      <c r="BI794" s="76"/>
      <c r="BJ794" s="76"/>
      <c r="BK794" s="76"/>
      <c r="BL794" s="76">
        <f>+BK794*31500</f>
        <v>0</v>
      </c>
      <c r="BM794" s="76"/>
      <c r="BN794" s="76"/>
      <c r="BO794" s="76"/>
      <c r="BP794" s="76"/>
      <c r="BQ794" s="76"/>
      <c r="BR794" s="76"/>
      <c r="BS794" s="76"/>
      <c r="BT794" s="76"/>
      <c r="BU794" s="76"/>
      <c r="BV794" s="76"/>
      <c r="BW794" s="76"/>
      <c r="BX794" s="76"/>
      <c r="BY794" s="76"/>
      <c r="BZ794" s="76"/>
      <c r="CA794" s="76"/>
      <c r="CB794" s="76"/>
      <c r="CC794" s="76"/>
      <c r="CD794" s="76"/>
      <c r="CE794" s="76"/>
      <c r="CF794" s="76">
        <f>+CE794*28000</f>
        <v>0</v>
      </c>
      <c r="CG794" s="76"/>
      <c r="CH794" s="76">
        <f>+CG794*22500</f>
        <v>0</v>
      </c>
      <c r="CI794" s="76"/>
      <c r="CJ794" s="76">
        <f>+CI794*26000</f>
        <v>0</v>
      </c>
      <c r="CK794" s="76"/>
      <c r="CL794" s="76"/>
      <c r="CM794" s="76"/>
      <c r="CN794" s="76">
        <f>+CM794*22000</f>
        <v>0</v>
      </c>
      <c r="CO794" s="76"/>
      <c r="CP794" s="76">
        <f>+CO794*46000</f>
        <v>0</v>
      </c>
      <c r="CQ794" s="76"/>
      <c r="CR794" s="76">
        <f>+CQ794*49000</f>
        <v>0</v>
      </c>
      <c r="CS794" s="76"/>
      <c r="CT794" s="76"/>
      <c r="CU794" s="56">
        <f>AN794+AP794+AR794+AT794+AV794+AX794+AZ794+BB794+BD794+BF794+BH794+BJ794+BL794+BN794+BP794+BR794+BT794+BV794+BX794+BZ794+CB794+CD794+CF794+CH794+CJ794+CL794+CN794+CP794+CR794+CT794</f>
        <v>0</v>
      </c>
      <c r="CV794" s="76"/>
      <c r="CW794" s="76">
        <f>+CV794*1100</f>
        <v>0</v>
      </c>
      <c r="CX794" s="76"/>
      <c r="CY794" s="76">
        <f>+CX794*106250</f>
        <v>0</v>
      </c>
      <c r="CZ794" s="76"/>
      <c r="DA794" s="76">
        <f>+CZ794*34500</f>
        <v>0</v>
      </c>
      <c r="DB794" s="76"/>
      <c r="DC794" s="76">
        <f>+DB794*25000</f>
        <v>0</v>
      </c>
      <c r="DD794" s="219"/>
      <c r="DE794" s="219"/>
      <c r="DF794" s="166"/>
      <c r="DG794" s="116"/>
      <c r="DH794" s="117"/>
      <c r="DI794" s="24"/>
      <c r="DJ794" s="24"/>
      <c r="DK794" s="24"/>
      <c r="DL794" s="24"/>
      <c r="DM794" s="24"/>
      <c r="DN794" s="24"/>
      <c r="DO794" s="24"/>
      <c r="DP794" s="24"/>
      <c r="DQ794" s="24"/>
      <c r="DR794" s="24"/>
      <c r="DS794" s="24"/>
      <c r="DT794" s="24"/>
      <c r="DU794" s="24"/>
    </row>
    <row r="795" spans="1:125" s="8" customFormat="1" ht="60" x14ac:dyDescent="0.2">
      <c r="A795" s="77">
        <v>41319</v>
      </c>
      <c r="B795" s="78" t="s">
        <v>2848</v>
      </c>
      <c r="C795" s="75" t="s">
        <v>2077</v>
      </c>
      <c r="D795" s="75" t="s">
        <v>2849</v>
      </c>
      <c r="E795" s="75" t="str">
        <f>VLOOKUP(B795&amp;C795,Divipola!$C$2:$F$1138,4,FALSE)</f>
        <v>73411</v>
      </c>
      <c r="F795" s="87">
        <v>2</v>
      </c>
      <c r="G795" s="87">
        <v>12</v>
      </c>
      <c r="H795" s="87"/>
      <c r="I795" s="87"/>
      <c r="J795" s="87"/>
      <c r="K795" s="87"/>
      <c r="L795" s="87"/>
      <c r="M795" s="87"/>
      <c r="N795" s="87"/>
      <c r="O795" s="87"/>
      <c r="P795" s="87"/>
      <c r="Q795" s="87"/>
      <c r="R795" s="87"/>
      <c r="S795" s="87"/>
      <c r="T795" s="87"/>
      <c r="U795" s="88"/>
      <c r="V795" s="89"/>
      <c r="W795" s="96">
        <v>0</v>
      </c>
      <c r="X795" s="71">
        <f>CU795</f>
        <v>0</v>
      </c>
      <c r="Y795" s="71">
        <f>CY795</f>
        <v>0</v>
      </c>
      <c r="Z795" s="71">
        <f>DA795+DC795+DE795</f>
        <v>0</v>
      </c>
      <c r="AA795" s="71">
        <f>CW795</f>
        <v>0</v>
      </c>
      <c r="AB795" s="71"/>
      <c r="AC795" s="71">
        <v>0</v>
      </c>
      <c r="AD795" s="71">
        <f>W795+X795+Y795+Z795+AA795+AB795+AC795</f>
        <v>0</v>
      </c>
      <c r="AE795" s="72">
        <v>0</v>
      </c>
      <c r="AF795" s="5"/>
      <c r="AG795" s="6"/>
      <c r="AH795" s="27" t="s">
        <v>3392</v>
      </c>
      <c r="AI795" s="44" t="s">
        <v>3393</v>
      </c>
      <c r="AJ795" s="26"/>
      <c r="AK795" s="5"/>
      <c r="AL795" s="82" t="s">
        <v>3508</v>
      </c>
      <c r="AM795" s="76"/>
      <c r="AN795" s="76"/>
      <c r="AO795" s="76"/>
      <c r="AP795" s="76"/>
      <c r="AQ795" s="76"/>
      <c r="AR795" s="76"/>
      <c r="AS795" s="76"/>
      <c r="AT795" s="76"/>
      <c r="AU795" s="76"/>
      <c r="AV795" s="76"/>
      <c r="AW795" s="76"/>
      <c r="AX795" s="76">
        <f>+AW795*600000</f>
        <v>0</v>
      </c>
      <c r="AY795" s="76"/>
      <c r="AZ795" s="76">
        <f>+AY795*70000</f>
        <v>0</v>
      </c>
      <c r="BA795" s="76"/>
      <c r="BB795" s="76"/>
      <c r="BC795" s="76"/>
      <c r="BD795" s="76">
        <f>+BC795*30000</f>
        <v>0</v>
      </c>
      <c r="BE795" s="76"/>
      <c r="BF795" s="76"/>
      <c r="BG795" s="76"/>
      <c r="BH795" s="76"/>
      <c r="BI795" s="76"/>
      <c r="BJ795" s="76"/>
      <c r="BK795" s="76"/>
      <c r="BL795" s="76">
        <f>+BK795*31500</f>
        <v>0</v>
      </c>
      <c r="BM795" s="76"/>
      <c r="BN795" s="76"/>
      <c r="BO795" s="76"/>
      <c r="BP795" s="76"/>
      <c r="BQ795" s="76"/>
      <c r="BR795" s="76"/>
      <c r="BS795" s="76"/>
      <c r="BT795" s="76"/>
      <c r="BU795" s="76"/>
      <c r="BV795" s="76"/>
      <c r="BW795" s="76"/>
      <c r="BX795" s="76"/>
      <c r="BY795" s="76"/>
      <c r="BZ795" s="76"/>
      <c r="CA795" s="76"/>
      <c r="CB795" s="76"/>
      <c r="CC795" s="76"/>
      <c r="CD795" s="76"/>
      <c r="CE795" s="76"/>
      <c r="CF795" s="76">
        <f>+CE795*28000</f>
        <v>0</v>
      </c>
      <c r="CG795" s="76"/>
      <c r="CH795" s="76">
        <f>+CG795*22500</f>
        <v>0</v>
      </c>
      <c r="CI795" s="76"/>
      <c r="CJ795" s="76">
        <f>+CI795*26000</f>
        <v>0</v>
      </c>
      <c r="CK795" s="76"/>
      <c r="CL795" s="76"/>
      <c r="CM795" s="76"/>
      <c r="CN795" s="76">
        <f>+CM795*22000</f>
        <v>0</v>
      </c>
      <c r="CO795" s="76"/>
      <c r="CP795" s="76">
        <f>+CO795*46000</f>
        <v>0</v>
      </c>
      <c r="CQ795" s="76"/>
      <c r="CR795" s="76">
        <f>+CQ795*49000</f>
        <v>0</v>
      </c>
      <c r="CS795" s="76"/>
      <c r="CT795" s="76"/>
      <c r="CU795" s="56">
        <f>AN795+AP795+AR795+AT795+AV795+AX795+AZ795+BB795+BD795+BF795+BH795+BJ795+BL795+BN795+BP795+BR795+BT795+BV795+BX795+BZ795+CB795+CD795+CF795+CH795+CJ795+CL795+CN795+CP795+CR795+CT795</f>
        <v>0</v>
      </c>
      <c r="CV795" s="76"/>
      <c r="CW795" s="76">
        <f>+CV795*1100</f>
        <v>0</v>
      </c>
      <c r="CX795" s="76"/>
      <c r="CY795" s="76">
        <f>+CX795*106250</f>
        <v>0</v>
      </c>
      <c r="CZ795" s="76"/>
      <c r="DA795" s="76">
        <f>+CZ795*34500</f>
        <v>0</v>
      </c>
      <c r="DB795" s="76"/>
      <c r="DC795" s="76">
        <f>+DB795*25000</f>
        <v>0</v>
      </c>
      <c r="DD795" s="219"/>
      <c r="DE795" s="219"/>
      <c r="DF795" s="166"/>
      <c r="DG795" s="116"/>
      <c r="DH795" s="117"/>
      <c r="DI795" s="24"/>
      <c r="DJ795" s="24"/>
      <c r="DK795" s="24"/>
      <c r="DL795" s="24"/>
      <c r="DM795" s="24"/>
      <c r="DN795" s="24"/>
      <c r="DO795" s="24"/>
      <c r="DP795" s="24"/>
      <c r="DQ795" s="24"/>
      <c r="DR795" s="24"/>
      <c r="DS795" s="24"/>
      <c r="DT795" s="24"/>
      <c r="DU795" s="24"/>
    </row>
    <row r="796" spans="1:125" s="8" customFormat="1" ht="60" x14ac:dyDescent="0.2">
      <c r="A796" s="77">
        <v>41320</v>
      </c>
      <c r="B796" s="78" t="s">
        <v>2036</v>
      </c>
      <c r="C796" s="75" t="s">
        <v>2036</v>
      </c>
      <c r="D796" s="81" t="s">
        <v>2846</v>
      </c>
      <c r="E796" s="75" t="str">
        <f>VLOOKUP(B796&amp;C796,Divipola!$C$2:$F$1138,4,FALSE)</f>
        <v>81001</v>
      </c>
      <c r="F796" s="87"/>
      <c r="G796" s="87"/>
      <c r="H796" s="87"/>
      <c r="I796" s="87"/>
      <c r="J796" s="87"/>
      <c r="K796" s="87"/>
      <c r="L796" s="87"/>
      <c r="M796" s="87"/>
      <c r="N796" s="87"/>
      <c r="O796" s="87"/>
      <c r="P796" s="87"/>
      <c r="Q796" s="87"/>
      <c r="R796" s="87"/>
      <c r="S796" s="87"/>
      <c r="T796" s="87"/>
      <c r="U796" s="88">
        <v>85</v>
      </c>
      <c r="V796" s="89"/>
      <c r="W796" s="96">
        <v>0</v>
      </c>
      <c r="X796" s="71">
        <f>CU796</f>
        <v>0</v>
      </c>
      <c r="Y796" s="71">
        <f>CY796</f>
        <v>0</v>
      </c>
      <c r="Z796" s="71">
        <f>DA796+DC796+DE796</f>
        <v>0</v>
      </c>
      <c r="AA796" s="71">
        <f>CW796</f>
        <v>0</v>
      </c>
      <c r="AB796" s="71"/>
      <c r="AC796" s="71">
        <v>0</v>
      </c>
      <c r="AD796" s="71">
        <f>W796+X796+Y796+Z796+AA796+AB796+AC796</f>
        <v>0</v>
      </c>
      <c r="AE796" s="72">
        <v>0</v>
      </c>
      <c r="AF796" s="5"/>
      <c r="AG796" s="6"/>
      <c r="AH796" s="27" t="s">
        <v>3392</v>
      </c>
      <c r="AI796" s="44" t="s">
        <v>3393</v>
      </c>
      <c r="AJ796" s="26"/>
      <c r="AK796" s="5"/>
      <c r="AL796" s="82" t="s">
        <v>3524</v>
      </c>
      <c r="AM796" s="76"/>
      <c r="AN796" s="76"/>
      <c r="AO796" s="76"/>
      <c r="AP796" s="76"/>
      <c r="AQ796" s="76"/>
      <c r="AR796" s="76"/>
      <c r="AS796" s="76"/>
      <c r="AT796" s="76"/>
      <c r="AU796" s="76"/>
      <c r="AV796" s="76"/>
      <c r="AW796" s="76"/>
      <c r="AX796" s="76">
        <f>+AW796*600000</f>
        <v>0</v>
      </c>
      <c r="AY796" s="76"/>
      <c r="AZ796" s="76">
        <f>+AY796*70000</f>
        <v>0</v>
      </c>
      <c r="BA796" s="76"/>
      <c r="BB796" s="76"/>
      <c r="BC796" s="76"/>
      <c r="BD796" s="76">
        <f>+BC796*30000</f>
        <v>0</v>
      </c>
      <c r="BE796" s="76"/>
      <c r="BF796" s="76"/>
      <c r="BG796" s="76"/>
      <c r="BH796" s="76"/>
      <c r="BI796" s="76"/>
      <c r="BJ796" s="76"/>
      <c r="BK796" s="76"/>
      <c r="BL796" s="76">
        <f>+BK796*31500</f>
        <v>0</v>
      </c>
      <c r="BM796" s="76"/>
      <c r="BN796" s="76"/>
      <c r="BO796" s="76"/>
      <c r="BP796" s="76"/>
      <c r="BQ796" s="76"/>
      <c r="BR796" s="76"/>
      <c r="BS796" s="76"/>
      <c r="BT796" s="76"/>
      <c r="BU796" s="76"/>
      <c r="BV796" s="76"/>
      <c r="BW796" s="76"/>
      <c r="BX796" s="76"/>
      <c r="BY796" s="76"/>
      <c r="BZ796" s="76"/>
      <c r="CA796" s="76"/>
      <c r="CB796" s="76"/>
      <c r="CC796" s="76"/>
      <c r="CD796" s="76"/>
      <c r="CE796" s="76"/>
      <c r="CF796" s="76">
        <f>+CE796*28000</f>
        <v>0</v>
      </c>
      <c r="CG796" s="76"/>
      <c r="CH796" s="76">
        <f>+CG796*22500</f>
        <v>0</v>
      </c>
      <c r="CI796" s="76"/>
      <c r="CJ796" s="76">
        <f>+CI796*26000</f>
        <v>0</v>
      </c>
      <c r="CK796" s="76"/>
      <c r="CL796" s="76"/>
      <c r="CM796" s="76"/>
      <c r="CN796" s="76">
        <f>+CM796*22000</f>
        <v>0</v>
      </c>
      <c r="CO796" s="76"/>
      <c r="CP796" s="76">
        <f>+CO796*46000</f>
        <v>0</v>
      </c>
      <c r="CQ796" s="76"/>
      <c r="CR796" s="76">
        <f>+CQ796*49000</f>
        <v>0</v>
      </c>
      <c r="CS796" s="76"/>
      <c r="CT796" s="76"/>
      <c r="CU796" s="56">
        <f>AN796+AP796+AR796+AT796+AV796+AX796+AZ796+BB796+BD796+BF796+BH796+BJ796+BL796+BN796+BP796+BR796+BT796+BV796+BX796+BZ796+CB796+CD796+CF796+CH796+CJ796+CL796+CN796+CP796+CR796+CT796</f>
        <v>0</v>
      </c>
      <c r="CV796" s="76"/>
      <c r="CW796" s="76">
        <f>+CV796*1100</f>
        <v>0</v>
      </c>
      <c r="CX796" s="76"/>
      <c r="CY796" s="76">
        <f>+CX796*106250</f>
        <v>0</v>
      </c>
      <c r="CZ796" s="76"/>
      <c r="DA796" s="76">
        <f>+CZ796*34500</f>
        <v>0</v>
      </c>
      <c r="DB796" s="76"/>
      <c r="DC796" s="76">
        <f>+DB796*25000</f>
        <v>0</v>
      </c>
      <c r="DD796" s="219"/>
      <c r="DE796" s="219"/>
      <c r="DF796" s="166"/>
      <c r="DG796" s="116"/>
      <c r="DH796" s="117"/>
      <c r="DI796" s="24"/>
      <c r="DJ796" s="24"/>
      <c r="DK796" s="24"/>
      <c r="DL796" s="24"/>
      <c r="DM796" s="24"/>
      <c r="DN796" s="24"/>
      <c r="DO796" s="24"/>
      <c r="DP796" s="24"/>
      <c r="DQ796" s="24"/>
      <c r="DR796" s="24"/>
      <c r="DS796" s="24"/>
      <c r="DT796" s="24"/>
      <c r="DU796" s="24"/>
    </row>
    <row r="797" spans="1:125" s="8" customFormat="1" ht="60" x14ac:dyDescent="0.2">
      <c r="A797" s="77">
        <v>41320</v>
      </c>
      <c r="B797" s="78" t="s">
        <v>2196</v>
      </c>
      <c r="C797" s="75" t="s">
        <v>508</v>
      </c>
      <c r="D797" s="84" t="s">
        <v>3088</v>
      </c>
      <c r="E797" s="75" t="str">
        <f>VLOOKUP(B797&amp;C797,Divipola!$C$2:$F$1138,4,FALSE)</f>
        <v>17001</v>
      </c>
      <c r="F797" s="87">
        <v>1</v>
      </c>
      <c r="G797" s="87"/>
      <c r="H797" s="87"/>
      <c r="I797" s="87"/>
      <c r="J797" s="87"/>
      <c r="K797" s="87"/>
      <c r="L797" s="87"/>
      <c r="M797" s="87"/>
      <c r="N797" s="87"/>
      <c r="O797" s="87"/>
      <c r="P797" s="87"/>
      <c r="Q797" s="87"/>
      <c r="R797" s="87"/>
      <c r="S797" s="87"/>
      <c r="T797" s="87"/>
      <c r="U797" s="88"/>
      <c r="V797" s="89"/>
      <c r="W797" s="96">
        <v>0</v>
      </c>
      <c r="X797" s="71">
        <f>CU797</f>
        <v>0</v>
      </c>
      <c r="Y797" s="71">
        <f>CY797</f>
        <v>0</v>
      </c>
      <c r="Z797" s="71">
        <f>DA797+DC797+DE797</f>
        <v>0</v>
      </c>
      <c r="AA797" s="71">
        <f>CW797</f>
        <v>0</v>
      </c>
      <c r="AB797" s="71"/>
      <c r="AC797" s="71">
        <v>0</v>
      </c>
      <c r="AD797" s="71">
        <f>W797+X797+Y797+Z797+AA797+AB797+AC797</f>
        <v>0</v>
      </c>
      <c r="AE797" s="72">
        <v>0</v>
      </c>
      <c r="AF797" s="5"/>
      <c r="AG797" s="6"/>
      <c r="AH797" s="27" t="s">
        <v>3392</v>
      </c>
      <c r="AI797" s="44" t="s">
        <v>3393</v>
      </c>
      <c r="AJ797" s="26"/>
      <c r="AK797" s="5"/>
      <c r="AL797" s="82" t="s">
        <v>3519</v>
      </c>
      <c r="AM797" s="76"/>
      <c r="AN797" s="76"/>
      <c r="AO797" s="76"/>
      <c r="AP797" s="76"/>
      <c r="AQ797" s="76"/>
      <c r="AR797" s="76"/>
      <c r="AS797" s="76"/>
      <c r="AT797" s="76"/>
      <c r="AU797" s="76"/>
      <c r="AV797" s="76"/>
      <c r="AW797" s="76"/>
      <c r="AX797" s="76">
        <f>+AW797*600000</f>
        <v>0</v>
      </c>
      <c r="AY797" s="76"/>
      <c r="AZ797" s="76">
        <f>+AY797*70000</f>
        <v>0</v>
      </c>
      <c r="BA797" s="76"/>
      <c r="BB797" s="76"/>
      <c r="BC797" s="76"/>
      <c r="BD797" s="76">
        <f>+BC797*30000</f>
        <v>0</v>
      </c>
      <c r="BE797" s="76"/>
      <c r="BF797" s="76"/>
      <c r="BG797" s="76"/>
      <c r="BH797" s="76"/>
      <c r="BI797" s="76"/>
      <c r="BJ797" s="76"/>
      <c r="BK797" s="76"/>
      <c r="BL797" s="76">
        <f>+BK797*31500</f>
        <v>0</v>
      </c>
      <c r="BM797" s="76"/>
      <c r="BN797" s="76"/>
      <c r="BO797" s="76"/>
      <c r="BP797" s="76"/>
      <c r="BQ797" s="76"/>
      <c r="BR797" s="76"/>
      <c r="BS797" s="76"/>
      <c r="BT797" s="76"/>
      <c r="BU797" s="76"/>
      <c r="BV797" s="76"/>
      <c r="BW797" s="76"/>
      <c r="BX797" s="76"/>
      <c r="BY797" s="76"/>
      <c r="BZ797" s="76"/>
      <c r="CA797" s="76"/>
      <c r="CB797" s="76"/>
      <c r="CC797" s="76"/>
      <c r="CD797" s="76"/>
      <c r="CE797" s="76"/>
      <c r="CF797" s="76">
        <f>+CE797*28000</f>
        <v>0</v>
      </c>
      <c r="CG797" s="76"/>
      <c r="CH797" s="76">
        <f>+CG797*22500</f>
        <v>0</v>
      </c>
      <c r="CI797" s="76"/>
      <c r="CJ797" s="76">
        <f>+CI797*26000</f>
        <v>0</v>
      </c>
      <c r="CK797" s="76"/>
      <c r="CL797" s="76"/>
      <c r="CM797" s="76"/>
      <c r="CN797" s="76">
        <f>+CM797*22000</f>
        <v>0</v>
      </c>
      <c r="CO797" s="76"/>
      <c r="CP797" s="76">
        <f>+CO797*46000</f>
        <v>0</v>
      </c>
      <c r="CQ797" s="76"/>
      <c r="CR797" s="76">
        <f>+CQ797*49000</f>
        <v>0</v>
      </c>
      <c r="CS797" s="76"/>
      <c r="CT797" s="76"/>
      <c r="CU797" s="56">
        <f>AN797+AP797+AR797+AT797+AV797+AX797+AZ797+BB797+BD797+BF797+BH797+BJ797+BL797+BN797+BP797+BR797+BT797+BV797+BX797+BZ797+CB797+CD797+CF797+CH797+CJ797+CL797+CN797+CP797+CR797+CT797</f>
        <v>0</v>
      </c>
      <c r="CV797" s="76"/>
      <c r="CW797" s="76">
        <f>+CV797*1100</f>
        <v>0</v>
      </c>
      <c r="CX797" s="76"/>
      <c r="CY797" s="76">
        <f>+CX797*106250</f>
        <v>0</v>
      </c>
      <c r="CZ797" s="76"/>
      <c r="DA797" s="76">
        <f>+CZ797*34500</f>
        <v>0</v>
      </c>
      <c r="DB797" s="76"/>
      <c r="DC797" s="76">
        <f>+DB797*25000</f>
        <v>0</v>
      </c>
      <c r="DD797" s="219"/>
      <c r="DE797" s="219"/>
      <c r="DF797" s="166"/>
      <c r="DG797" s="116"/>
      <c r="DH797" s="117"/>
      <c r="DI797" s="24"/>
      <c r="DJ797" s="24"/>
      <c r="DK797" s="24"/>
      <c r="DL797" s="24"/>
      <c r="DM797" s="24"/>
      <c r="DN797" s="24"/>
      <c r="DO797" s="24"/>
      <c r="DP797" s="24"/>
      <c r="DQ797" s="24"/>
      <c r="DR797" s="24"/>
      <c r="DS797" s="24"/>
      <c r="DT797" s="24"/>
      <c r="DU797" s="24"/>
    </row>
    <row r="798" spans="1:125" s="8" customFormat="1" ht="48" x14ac:dyDescent="0.2">
      <c r="A798" s="77">
        <v>41320</v>
      </c>
      <c r="B798" s="78" t="s">
        <v>2778</v>
      </c>
      <c r="C798" s="75" t="s">
        <v>2212</v>
      </c>
      <c r="D798" s="81" t="s">
        <v>2846</v>
      </c>
      <c r="E798" s="75" t="str">
        <f>VLOOKUP(B798&amp;C798,Divipola!$C$2:$F$1138,4,FALSE)</f>
        <v>85250</v>
      </c>
      <c r="F798" s="100"/>
      <c r="G798" s="100"/>
      <c r="H798" s="100"/>
      <c r="I798" s="100"/>
      <c r="J798" s="100"/>
      <c r="K798" s="100"/>
      <c r="L798" s="100"/>
      <c r="M798" s="100"/>
      <c r="N798" s="100"/>
      <c r="O798" s="100"/>
      <c r="P798" s="100"/>
      <c r="Q798" s="100"/>
      <c r="R798" s="100"/>
      <c r="S798" s="100"/>
      <c r="T798" s="100"/>
      <c r="U798" s="136">
        <v>570</v>
      </c>
      <c r="V798" s="89"/>
      <c r="W798" s="96">
        <v>0</v>
      </c>
      <c r="X798" s="71">
        <f>CU798</f>
        <v>0</v>
      </c>
      <c r="Y798" s="71">
        <f>CY798</f>
        <v>0</v>
      </c>
      <c r="Z798" s="71">
        <f>DA798+DC798+DE798</f>
        <v>0</v>
      </c>
      <c r="AA798" s="71">
        <f>CW798</f>
        <v>0</v>
      </c>
      <c r="AB798" s="71"/>
      <c r="AC798" s="71">
        <v>0</v>
      </c>
      <c r="AD798" s="71">
        <f>W798+X798+Y798+Z798+AA798+AB798+AC798</f>
        <v>0</v>
      </c>
      <c r="AE798" s="72">
        <v>0</v>
      </c>
      <c r="AF798" s="5"/>
      <c r="AG798" s="6"/>
      <c r="AH798" s="27" t="s">
        <v>3392</v>
      </c>
      <c r="AI798" s="44" t="s">
        <v>3393</v>
      </c>
      <c r="AJ798" s="26"/>
      <c r="AK798" s="5"/>
      <c r="AL798" s="82" t="s">
        <v>3761</v>
      </c>
      <c r="AM798" s="76"/>
      <c r="AN798" s="76"/>
      <c r="AO798" s="76"/>
      <c r="AP798" s="76"/>
      <c r="AQ798" s="76"/>
      <c r="AR798" s="76"/>
      <c r="AS798" s="76"/>
      <c r="AT798" s="76"/>
      <c r="AU798" s="76"/>
      <c r="AV798" s="76"/>
      <c r="AW798" s="76"/>
      <c r="AX798" s="76">
        <f>+AW798*600000</f>
        <v>0</v>
      </c>
      <c r="AY798" s="76"/>
      <c r="AZ798" s="76">
        <f>+AY798*70000</f>
        <v>0</v>
      </c>
      <c r="BA798" s="76"/>
      <c r="BB798" s="76"/>
      <c r="BC798" s="76"/>
      <c r="BD798" s="76">
        <f>+BC798*30000</f>
        <v>0</v>
      </c>
      <c r="BE798" s="76"/>
      <c r="BF798" s="76"/>
      <c r="BG798" s="76"/>
      <c r="BH798" s="76"/>
      <c r="BI798" s="76"/>
      <c r="BJ798" s="76"/>
      <c r="BK798" s="76"/>
      <c r="BL798" s="76">
        <f>+BK798*31500</f>
        <v>0</v>
      </c>
      <c r="BM798" s="76"/>
      <c r="BN798" s="76"/>
      <c r="BO798" s="76"/>
      <c r="BP798" s="76"/>
      <c r="BQ798" s="76"/>
      <c r="BR798" s="76"/>
      <c r="BS798" s="76"/>
      <c r="BT798" s="76"/>
      <c r="BU798" s="76"/>
      <c r="BV798" s="76"/>
      <c r="BW798" s="76"/>
      <c r="BX798" s="76"/>
      <c r="BY798" s="76"/>
      <c r="BZ798" s="76"/>
      <c r="CA798" s="76"/>
      <c r="CB798" s="76"/>
      <c r="CC798" s="76"/>
      <c r="CD798" s="76"/>
      <c r="CE798" s="76"/>
      <c r="CF798" s="76">
        <f>+CE798*28000</f>
        <v>0</v>
      </c>
      <c r="CG798" s="76"/>
      <c r="CH798" s="76">
        <f>+CG798*22500</f>
        <v>0</v>
      </c>
      <c r="CI798" s="76"/>
      <c r="CJ798" s="76">
        <f>+CI798*26000</f>
        <v>0</v>
      </c>
      <c r="CK798" s="76"/>
      <c r="CL798" s="76"/>
      <c r="CM798" s="76"/>
      <c r="CN798" s="76">
        <f>+CM798*22000</f>
        <v>0</v>
      </c>
      <c r="CO798" s="76"/>
      <c r="CP798" s="76">
        <f>+CO798*46000</f>
        <v>0</v>
      </c>
      <c r="CQ798" s="76"/>
      <c r="CR798" s="76">
        <f>+CQ798*49000</f>
        <v>0</v>
      </c>
      <c r="CS798" s="76"/>
      <c r="CT798" s="76"/>
      <c r="CU798" s="56">
        <f>AN798+AP798+AR798+AT798+AV798+AX798+AZ798+BB798+BD798+BF798+BH798+BJ798+BL798+BN798+BP798+BR798+BT798+BV798+BX798+BZ798+CB798+CD798+CF798+CH798+CJ798+CL798+CN798+CP798+CR798+CT798</f>
        <v>0</v>
      </c>
      <c r="CV798" s="76"/>
      <c r="CW798" s="76">
        <f>+CV798*1100</f>
        <v>0</v>
      </c>
      <c r="CX798" s="76"/>
      <c r="CY798" s="76">
        <f>+CX798*106250</f>
        <v>0</v>
      </c>
      <c r="CZ798" s="76"/>
      <c r="DA798" s="76">
        <f>+CZ798*34500</f>
        <v>0</v>
      </c>
      <c r="DB798" s="76"/>
      <c r="DC798" s="76">
        <f>+DB798*25000</f>
        <v>0</v>
      </c>
      <c r="DD798" s="219"/>
      <c r="DE798" s="219"/>
      <c r="DF798" s="166"/>
      <c r="DG798" s="116"/>
      <c r="DH798" s="117"/>
      <c r="DI798" s="24"/>
      <c r="DJ798" s="24"/>
      <c r="DK798" s="24"/>
      <c r="DL798" s="24"/>
      <c r="DM798" s="24"/>
      <c r="DN798" s="24"/>
      <c r="DO798" s="24"/>
      <c r="DP798" s="24"/>
      <c r="DQ798" s="24"/>
      <c r="DR798" s="24"/>
      <c r="DS798" s="24"/>
      <c r="DT798" s="24"/>
      <c r="DU798" s="24"/>
    </row>
    <row r="799" spans="1:125" s="8" customFormat="1" ht="48" x14ac:dyDescent="0.2">
      <c r="A799" s="77">
        <v>41320</v>
      </c>
      <c r="B799" s="78" t="s">
        <v>2778</v>
      </c>
      <c r="C799" s="75" t="s">
        <v>1344</v>
      </c>
      <c r="D799" s="81" t="s">
        <v>2846</v>
      </c>
      <c r="E799" s="75" t="str">
        <f>VLOOKUP(B799&amp;C799,Divipola!$C$2:$F$1138,4,FALSE)</f>
        <v>85001</v>
      </c>
      <c r="F799" s="87"/>
      <c r="G799" s="87"/>
      <c r="H799" s="87"/>
      <c r="I799" s="87"/>
      <c r="J799" s="87"/>
      <c r="K799" s="87"/>
      <c r="L799" s="87"/>
      <c r="M799" s="87"/>
      <c r="N799" s="87"/>
      <c r="O799" s="87"/>
      <c r="P799" s="87"/>
      <c r="Q799" s="87"/>
      <c r="R799" s="87"/>
      <c r="S799" s="87"/>
      <c r="T799" s="87"/>
      <c r="U799" s="88">
        <v>2</v>
      </c>
      <c r="V799" s="89"/>
      <c r="W799" s="96">
        <v>0</v>
      </c>
      <c r="X799" s="71">
        <f>CU799</f>
        <v>0</v>
      </c>
      <c r="Y799" s="71">
        <f>CY799</f>
        <v>0</v>
      </c>
      <c r="Z799" s="71">
        <f>DA799+DC799+DE799</f>
        <v>0</v>
      </c>
      <c r="AA799" s="71">
        <f>CW799</f>
        <v>0</v>
      </c>
      <c r="AB799" s="71"/>
      <c r="AC799" s="71">
        <v>0</v>
      </c>
      <c r="AD799" s="71">
        <f>W799+X799+Y799+Z799+AA799+AB799+AC799</f>
        <v>0</v>
      </c>
      <c r="AE799" s="72">
        <v>0</v>
      </c>
      <c r="AF799" s="5"/>
      <c r="AG799" s="6"/>
      <c r="AH799" s="27" t="s">
        <v>3392</v>
      </c>
      <c r="AI799" s="44" t="s">
        <v>3393</v>
      </c>
      <c r="AJ799" s="26"/>
      <c r="AK799" s="5"/>
      <c r="AL799" s="82" t="s">
        <v>3782</v>
      </c>
      <c r="AM799" s="76"/>
      <c r="AN799" s="76"/>
      <c r="AO799" s="76"/>
      <c r="AP799" s="76"/>
      <c r="AQ799" s="76"/>
      <c r="AR799" s="76"/>
      <c r="AS799" s="76"/>
      <c r="AT799" s="76"/>
      <c r="AU799" s="76"/>
      <c r="AV799" s="76"/>
      <c r="AW799" s="76"/>
      <c r="AX799" s="76">
        <f>+AW799*600000</f>
        <v>0</v>
      </c>
      <c r="AY799" s="76"/>
      <c r="AZ799" s="76">
        <f>+AY799*70000</f>
        <v>0</v>
      </c>
      <c r="BA799" s="76"/>
      <c r="BB799" s="76"/>
      <c r="BC799" s="76"/>
      <c r="BD799" s="76">
        <f>+BC799*30000</f>
        <v>0</v>
      </c>
      <c r="BE799" s="76"/>
      <c r="BF799" s="76"/>
      <c r="BG799" s="76"/>
      <c r="BH799" s="76"/>
      <c r="BI799" s="76"/>
      <c r="BJ799" s="76"/>
      <c r="BK799" s="76"/>
      <c r="BL799" s="76">
        <f>+BK799*31500</f>
        <v>0</v>
      </c>
      <c r="BM799" s="76"/>
      <c r="BN799" s="76"/>
      <c r="BO799" s="76"/>
      <c r="BP799" s="76"/>
      <c r="BQ799" s="76"/>
      <c r="BR799" s="76"/>
      <c r="BS799" s="76"/>
      <c r="BT799" s="76"/>
      <c r="BU799" s="76"/>
      <c r="BV799" s="76"/>
      <c r="BW799" s="76"/>
      <c r="BX799" s="76"/>
      <c r="BY799" s="76"/>
      <c r="BZ799" s="76"/>
      <c r="CA799" s="76"/>
      <c r="CB799" s="76"/>
      <c r="CC799" s="76"/>
      <c r="CD799" s="76"/>
      <c r="CE799" s="76"/>
      <c r="CF799" s="76">
        <f>+CE799*28000</f>
        <v>0</v>
      </c>
      <c r="CG799" s="76"/>
      <c r="CH799" s="76">
        <f>+CG799*22500</f>
        <v>0</v>
      </c>
      <c r="CI799" s="76"/>
      <c r="CJ799" s="76">
        <f>+CI799*26000</f>
        <v>0</v>
      </c>
      <c r="CK799" s="76"/>
      <c r="CL799" s="76"/>
      <c r="CM799" s="76"/>
      <c r="CN799" s="76">
        <f>+CM799*22000</f>
        <v>0</v>
      </c>
      <c r="CO799" s="76"/>
      <c r="CP799" s="76">
        <f>+CO799*46000</f>
        <v>0</v>
      </c>
      <c r="CQ799" s="76"/>
      <c r="CR799" s="76">
        <f>+CQ799*49000</f>
        <v>0</v>
      </c>
      <c r="CS799" s="76"/>
      <c r="CT799" s="76"/>
      <c r="CU799" s="56">
        <f>AN799+AP799+AR799+AT799+AV799+AX799+AZ799+BB799+BD799+BF799+BH799+BJ799+BL799+BN799+BP799+BR799+BT799+BV799+BX799+BZ799+CB799+CD799+CF799+CH799+CJ799+CL799+CN799+CP799+CR799+CT799</f>
        <v>0</v>
      </c>
      <c r="CV799" s="76"/>
      <c r="CW799" s="76">
        <f>+CV799*1100</f>
        <v>0</v>
      </c>
      <c r="CX799" s="76"/>
      <c r="CY799" s="76">
        <f>+CX799*106250</f>
        <v>0</v>
      </c>
      <c r="CZ799" s="76"/>
      <c r="DA799" s="76">
        <f>+CZ799*34500</f>
        <v>0</v>
      </c>
      <c r="DB799" s="76"/>
      <c r="DC799" s="76">
        <f>+DB799*25000</f>
        <v>0</v>
      </c>
      <c r="DD799" s="219"/>
      <c r="DE799" s="219"/>
      <c r="DF799" s="166"/>
      <c r="DG799" s="116"/>
      <c r="DH799" s="117"/>
      <c r="DI799" s="24"/>
      <c r="DJ799" s="24"/>
      <c r="DK799" s="24"/>
      <c r="DL799" s="24"/>
      <c r="DM799" s="24"/>
      <c r="DN799" s="24"/>
      <c r="DO799" s="24"/>
      <c r="DP799" s="24"/>
      <c r="DQ799" s="24"/>
      <c r="DR799" s="24"/>
      <c r="DS799" s="24"/>
      <c r="DT799" s="24"/>
      <c r="DU799" s="24"/>
    </row>
    <row r="800" spans="1:125" s="8" customFormat="1" ht="60" x14ac:dyDescent="0.2">
      <c r="A800" s="77">
        <v>41320</v>
      </c>
      <c r="B800" s="225" t="s">
        <v>2772</v>
      </c>
      <c r="C800" s="227" t="s">
        <v>2156</v>
      </c>
      <c r="D800" s="84" t="s">
        <v>3088</v>
      </c>
      <c r="E800" s="75" t="str">
        <f>VLOOKUP(B800&amp;C800,Divipola!$C$2:$F$1138,4,FALSE)</f>
        <v>25878</v>
      </c>
      <c r="F800" s="87"/>
      <c r="G800" s="87"/>
      <c r="H800" s="87"/>
      <c r="I800" s="87"/>
      <c r="J800" s="87"/>
      <c r="K800" s="87"/>
      <c r="L800" s="87"/>
      <c r="M800" s="87"/>
      <c r="N800" s="87"/>
      <c r="O800" s="87"/>
      <c r="P800" s="87"/>
      <c r="Q800" s="87"/>
      <c r="R800" s="87"/>
      <c r="S800" s="87"/>
      <c r="T800" s="87"/>
      <c r="U800" s="88"/>
      <c r="V800" s="89">
        <v>1</v>
      </c>
      <c r="W800" s="96">
        <v>0</v>
      </c>
      <c r="X800" s="71">
        <f>CU800</f>
        <v>0</v>
      </c>
      <c r="Y800" s="71">
        <f>CY800</f>
        <v>0</v>
      </c>
      <c r="Z800" s="71">
        <f>DA800+DC800+DE800</f>
        <v>0</v>
      </c>
      <c r="AA800" s="71">
        <f>CW800</f>
        <v>0</v>
      </c>
      <c r="AB800" s="71"/>
      <c r="AC800" s="71">
        <v>0</v>
      </c>
      <c r="AD800" s="71">
        <f>W800+X800+Y800+Z800+AA800+AB800+AC800</f>
        <v>0</v>
      </c>
      <c r="AE800" s="72">
        <v>0</v>
      </c>
      <c r="AF800" s="5"/>
      <c r="AG800" s="6"/>
      <c r="AH800" s="27" t="s">
        <v>3392</v>
      </c>
      <c r="AI800" s="44" t="s">
        <v>3393</v>
      </c>
      <c r="AJ800" s="26"/>
      <c r="AK800" s="5"/>
      <c r="AL800" s="82" t="s">
        <v>3520</v>
      </c>
      <c r="AM800" s="76"/>
      <c r="AN800" s="76"/>
      <c r="AO800" s="76"/>
      <c r="AP800" s="76"/>
      <c r="AQ800" s="76"/>
      <c r="AR800" s="76"/>
      <c r="AS800" s="76"/>
      <c r="AT800" s="76"/>
      <c r="AU800" s="76"/>
      <c r="AV800" s="76"/>
      <c r="AW800" s="76"/>
      <c r="AX800" s="76">
        <f>+AW800*600000</f>
        <v>0</v>
      </c>
      <c r="AY800" s="76"/>
      <c r="AZ800" s="76">
        <f>+AY800*70000</f>
        <v>0</v>
      </c>
      <c r="BA800" s="76"/>
      <c r="BB800" s="76"/>
      <c r="BC800" s="76"/>
      <c r="BD800" s="76">
        <f>+BC800*30000</f>
        <v>0</v>
      </c>
      <c r="BE800" s="76"/>
      <c r="BF800" s="76"/>
      <c r="BG800" s="76"/>
      <c r="BH800" s="76"/>
      <c r="BI800" s="76"/>
      <c r="BJ800" s="76"/>
      <c r="BK800" s="76"/>
      <c r="BL800" s="76">
        <f>+BK800*31500</f>
        <v>0</v>
      </c>
      <c r="BM800" s="76"/>
      <c r="BN800" s="76"/>
      <c r="BO800" s="76"/>
      <c r="BP800" s="76"/>
      <c r="BQ800" s="76"/>
      <c r="BR800" s="76"/>
      <c r="BS800" s="76"/>
      <c r="BT800" s="76"/>
      <c r="BU800" s="76"/>
      <c r="BV800" s="76"/>
      <c r="BW800" s="76"/>
      <c r="BX800" s="76"/>
      <c r="BY800" s="76"/>
      <c r="BZ800" s="76"/>
      <c r="CA800" s="76"/>
      <c r="CB800" s="76"/>
      <c r="CC800" s="76"/>
      <c r="CD800" s="76"/>
      <c r="CE800" s="76"/>
      <c r="CF800" s="76">
        <f>+CE800*28000</f>
        <v>0</v>
      </c>
      <c r="CG800" s="76"/>
      <c r="CH800" s="76">
        <f>+CG800*22500</f>
        <v>0</v>
      </c>
      <c r="CI800" s="76"/>
      <c r="CJ800" s="76">
        <f>+CI800*26000</f>
        <v>0</v>
      </c>
      <c r="CK800" s="76"/>
      <c r="CL800" s="76"/>
      <c r="CM800" s="76"/>
      <c r="CN800" s="76">
        <f>+CM800*22000</f>
        <v>0</v>
      </c>
      <c r="CO800" s="76"/>
      <c r="CP800" s="76">
        <f>+CO800*46000</f>
        <v>0</v>
      </c>
      <c r="CQ800" s="76"/>
      <c r="CR800" s="76">
        <f>+CQ800*49000</f>
        <v>0</v>
      </c>
      <c r="CS800" s="76"/>
      <c r="CT800" s="76"/>
      <c r="CU800" s="56">
        <f>AN800+AP800+AR800+AT800+AV800+AX800+AZ800+BB800+BD800+BF800+BH800+BJ800+BL800+BN800+BP800+BR800+BT800+BV800+BX800+BZ800+CB800+CD800+CF800+CH800+CJ800+CL800+CN800+CP800+CR800+CT800</f>
        <v>0</v>
      </c>
      <c r="CV800" s="76"/>
      <c r="CW800" s="76">
        <f>+CV800*1100</f>
        <v>0</v>
      </c>
      <c r="CX800" s="76"/>
      <c r="CY800" s="76">
        <f>+CX800*106250</f>
        <v>0</v>
      </c>
      <c r="CZ800" s="76"/>
      <c r="DA800" s="76">
        <f>+CZ800*34500</f>
        <v>0</v>
      </c>
      <c r="DB800" s="76"/>
      <c r="DC800" s="76">
        <f>+DB800*25000</f>
        <v>0</v>
      </c>
      <c r="DD800" s="219"/>
      <c r="DE800" s="219"/>
      <c r="DF800" s="166"/>
      <c r="DG800" s="116"/>
      <c r="DH800" s="117"/>
      <c r="DI800" s="24"/>
      <c r="DJ800" s="24"/>
      <c r="DK800" s="24"/>
      <c r="DL800" s="24"/>
      <c r="DM800" s="24"/>
      <c r="DN800" s="24"/>
      <c r="DO800" s="24"/>
      <c r="DP800" s="24"/>
      <c r="DQ800" s="24"/>
      <c r="DR800" s="24"/>
      <c r="DS800" s="24"/>
      <c r="DT800" s="24"/>
      <c r="DU800" s="24"/>
    </row>
    <row r="801" spans="1:125" s="8" customFormat="1" ht="60" x14ac:dyDescent="0.2">
      <c r="A801" s="77">
        <v>41320</v>
      </c>
      <c r="B801" s="78" t="s">
        <v>2775</v>
      </c>
      <c r="C801" s="75" t="s">
        <v>2775</v>
      </c>
      <c r="D801" s="81" t="s">
        <v>2846</v>
      </c>
      <c r="E801" s="75" t="str">
        <f>VLOOKUP(B801&amp;C801,Divipola!$C$2:$F$1138,4,FALSE)</f>
        <v>00000</v>
      </c>
      <c r="F801" s="163"/>
      <c r="G801" s="163"/>
      <c r="H801" s="163"/>
      <c r="I801" s="163"/>
      <c r="J801" s="163"/>
      <c r="K801" s="163"/>
      <c r="L801" s="163"/>
      <c r="M801" s="163"/>
      <c r="N801" s="163"/>
      <c r="O801" s="163"/>
      <c r="P801" s="163"/>
      <c r="Q801" s="163"/>
      <c r="R801" s="163"/>
      <c r="S801" s="163"/>
      <c r="T801" s="163"/>
      <c r="U801" s="163"/>
      <c r="V801" s="134"/>
      <c r="W801" s="96">
        <v>0</v>
      </c>
      <c r="X801" s="71">
        <f>CU801</f>
        <v>0</v>
      </c>
      <c r="Y801" s="71">
        <f>CY801</f>
        <v>0</v>
      </c>
      <c r="Z801" s="71">
        <f>DA801+DC801+DE801</f>
        <v>0</v>
      </c>
      <c r="AA801" s="71">
        <f>CW801</f>
        <v>0</v>
      </c>
      <c r="AB801" s="71">
        <f>218894900+29000000</f>
        <v>247894900</v>
      </c>
      <c r="AC801" s="71">
        <v>0</v>
      </c>
      <c r="AD801" s="71">
        <f>W801+X801+Y801+Z801+AA801+AB801+AC801</f>
        <v>247894900</v>
      </c>
      <c r="AE801" s="72">
        <v>0</v>
      </c>
      <c r="AF801" s="5"/>
      <c r="AG801" s="6"/>
      <c r="AH801" s="27" t="s">
        <v>3390</v>
      </c>
      <c r="AI801" s="44" t="s">
        <v>3391</v>
      </c>
      <c r="AJ801" s="26"/>
      <c r="AK801" s="5"/>
      <c r="AL801" s="82" t="s">
        <v>4927</v>
      </c>
      <c r="AM801" s="76"/>
      <c r="AN801" s="76"/>
      <c r="AO801" s="76"/>
      <c r="AP801" s="76"/>
      <c r="AQ801" s="76"/>
      <c r="AR801" s="76"/>
      <c r="AS801" s="76"/>
      <c r="AT801" s="76"/>
      <c r="AU801" s="76"/>
      <c r="AV801" s="76"/>
      <c r="AW801" s="76"/>
      <c r="AX801" s="76">
        <f>+AW801*600000</f>
        <v>0</v>
      </c>
      <c r="AY801" s="76"/>
      <c r="AZ801" s="76">
        <f>+AY801*70000</f>
        <v>0</v>
      </c>
      <c r="BA801" s="76"/>
      <c r="BB801" s="76"/>
      <c r="BC801" s="76"/>
      <c r="BD801" s="76">
        <f>+BC801*30000</f>
        <v>0</v>
      </c>
      <c r="BE801" s="76"/>
      <c r="BF801" s="76"/>
      <c r="BG801" s="76"/>
      <c r="BH801" s="76"/>
      <c r="BI801" s="76"/>
      <c r="BJ801" s="76"/>
      <c r="BK801" s="76"/>
      <c r="BL801" s="76">
        <f>+BK801*31500</f>
        <v>0</v>
      </c>
      <c r="BM801" s="76"/>
      <c r="BN801" s="76"/>
      <c r="BO801" s="76"/>
      <c r="BP801" s="76"/>
      <c r="BQ801" s="76"/>
      <c r="BR801" s="76"/>
      <c r="BS801" s="76"/>
      <c r="BT801" s="76"/>
      <c r="BU801" s="76"/>
      <c r="BV801" s="76"/>
      <c r="BW801" s="76"/>
      <c r="BX801" s="76"/>
      <c r="BY801" s="76"/>
      <c r="BZ801" s="76"/>
      <c r="CA801" s="76"/>
      <c r="CB801" s="76"/>
      <c r="CC801" s="76"/>
      <c r="CD801" s="76"/>
      <c r="CE801" s="76"/>
      <c r="CF801" s="76">
        <f>+CE801*28000</f>
        <v>0</v>
      </c>
      <c r="CG801" s="76"/>
      <c r="CH801" s="76">
        <f>+CG801*22500</f>
        <v>0</v>
      </c>
      <c r="CI801" s="76"/>
      <c r="CJ801" s="76">
        <f>+CI801*26000</f>
        <v>0</v>
      </c>
      <c r="CK801" s="76"/>
      <c r="CL801" s="76"/>
      <c r="CM801" s="76"/>
      <c r="CN801" s="76">
        <f>+CM801*22000</f>
        <v>0</v>
      </c>
      <c r="CO801" s="76"/>
      <c r="CP801" s="76">
        <f>+CO801*46000</f>
        <v>0</v>
      </c>
      <c r="CQ801" s="76"/>
      <c r="CR801" s="76">
        <f>+CQ801*49000</f>
        <v>0</v>
      </c>
      <c r="CS801" s="76"/>
      <c r="CT801" s="76"/>
      <c r="CU801" s="56">
        <f>AN801+AP801+AR801+AT801+AV801+AX801+AZ801+BB801+BD801+BF801+BH801+BJ801+BL801+BN801+BP801+BR801+BT801+BV801+BX801+BZ801+CB801+CD801+CF801+CH801+CJ801+CL801+CN801+CP801+CR801+CT801</f>
        <v>0</v>
      </c>
      <c r="CV801" s="76"/>
      <c r="CW801" s="76">
        <f>+CV801*1100</f>
        <v>0</v>
      </c>
      <c r="CX801" s="76"/>
      <c r="CY801" s="76">
        <f>+CX801*106250</f>
        <v>0</v>
      </c>
      <c r="CZ801" s="76"/>
      <c r="DA801" s="76">
        <f>+CZ801*34500</f>
        <v>0</v>
      </c>
      <c r="DB801" s="76"/>
      <c r="DC801" s="76">
        <f>+DB801*25000</f>
        <v>0</v>
      </c>
      <c r="DD801" s="219"/>
      <c r="DE801" s="219"/>
      <c r="DF801" s="166"/>
      <c r="DG801" s="134" t="s">
        <v>4131</v>
      </c>
      <c r="DH801" s="117"/>
      <c r="DI801" s="24"/>
      <c r="DJ801" s="24"/>
      <c r="DK801" s="24"/>
      <c r="DL801" s="24"/>
      <c r="DM801" s="24"/>
      <c r="DN801" s="24"/>
      <c r="DO801" s="24"/>
      <c r="DP801" s="24"/>
      <c r="DQ801" s="24"/>
      <c r="DR801" s="24"/>
      <c r="DS801" s="24"/>
      <c r="DT801" s="24"/>
      <c r="DU801" s="24"/>
    </row>
    <row r="802" spans="1:125" s="8" customFormat="1" ht="60" x14ac:dyDescent="0.2">
      <c r="A802" s="77">
        <v>41320</v>
      </c>
      <c r="B802" s="78" t="s">
        <v>2775</v>
      </c>
      <c r="C802" s="75" t="s">
        <v>2775</v>
      </c>
      <c r="D802" s="81" t="s">
        <v>2846</v>
      </c>
      <c r="E802" s="75" t="str">
        <f>VLOOKUP(B802&amp;C802,Divipola!$C$2:$F$1138,4,FALSE)</f>
        <v>00000</v>
      </c>
      <c r="F802" s="163"/>
      <c r="G802" s="163"/>
      <c r="H802" s="163"/>
      <c r="I802" s="163"/>
      <c r="J802" s="163"/>
      <c r="K802" s="163"/>
      <c r="L802" s="163"/>
      <c r="M802" s="163"/>
      <c r="N802" s="163"/>
      <c r="O802" s="163"/>
      <c r="P802" s="163"/>
      <c r="Q802" s="163"/>
      <c r="R802" s="163"/>
      <c r="S802" s="163"/>
      <c r="T802" s="163"/>
      <c r="U802" s="163"/>
      <c r="V802" s="134"/>
      <c r="W802" s="96">
        <v>0</v>
      </c>
      <c r="X802" s="71">
        <f>CU802</f>
        <v>0</v>
      </c>
      <c r="Y802" s="71">
        <f>CY802</f>
        <v>0</v>
      </c>
      <c r="Z802" s="71">
        <f>DA802+DC802+DE802</f>
        <v>0</v>
      </c>
      <c r="AA802" s="71">
        <f>CW802</f>
        <v>0</v>
      </c>
      <c r="AB802" s="71">
        <f>259191983.2+23200000</f>
        <v>282391983.19999999</v>
      </c>
      <c r="AC802" s="71">
        <v>0</v>
      </c>
      <c r="AD802" s="71">
        <f>W802+X802+Y802+Z802+AA802+AB802+AC802</f>
        <v>282391983.19999999</v>
      </c>
      <c r="AE802" s="72">
        <v>0</v>
      </c>
      <c r="AF802" s="5"/>
      <c r="AG802" s="6"/>
      <c r="AH802" s="27" t="s">
        <v>3390</v>
      </c>
      <c r="AI802" s="44" t="s">
        <v>3391</v>
      </c>
      <c r="AJ802" s="26"/>
      <c r="AK802" s="5"/>
      <c r="AL802" s="82" t="s">
        <v>4928</v>
      </c>
      <c r="AM802" s="76"/>
      <c r="AN802" s="76"/>
      <c r="AO802" s="76"/>
      <c r="AP802" s="76"/>
      <c r="AQ802" s="76"/>
      <c r="AR802" s="76"/>
      <c r="AS802" s="76"/>
      <c r="AT802" s="76"/>
      <c r="AU802" s="76"/>
      <c r="AV802" s="76"/>
      <c r="AW802" s="76"/>
      <c r="AX802" s="76">
        <f>+AW802*600000</f>
        <v>0</v>
      </c>
      <c r="AY802" s="76"/>
      <c r="AZ802" s="76">
        <f>+AY802*70000</f>
        <v>0</v>
      </c>
      <c r="BA802" s="76"/>
      <c r="BB802" s="76"/>
      <c r="BC802" s="76"/>
      <c r="BD802" s="76">
        <f>+BC802*30000</f>
        <v>0</v>
      </c>
      <c r="BE802" s="76"/>
      <c r="BF802" s="76"/>
      <c r="BG802" s="76"/>
      <c r="BH802" s="76"/>
      <c r="BI802" s="76"/>
      <c r="BJ802" s="76"/>
      <c r="BK802" s="76"/>
      <c r="BL802" s="76">
        <f>+BK802*31500</f>
        <v>0</v>
      </c>
      <c r="BM802" s="76"/>
      <c r="BN802" s="76"/>
      <c r="BO802" s="76"/>
      <c r="BP802" s="76"/>
      <c r="BQ802" s="76"/>
      <c r="BR802" s="76"/>
      <c r="BS802" s="76"/>
      <c r="BT802" s="76"/>
      <c r="BU802" s="76"/>
      <c r="BV802" s="76"/>
      <c r="BW802" s="76"/>
      <c r="BX802" s="76"/>
      <c r="BY802" s="76"/>
      <c r="BZ802" s="76"/>
      <c r="CA802" s="76"/>
      <c r="CB802" s="76"/>
      <c r="CC802" s="76"/>
      <c r="CD802" s="76"/>
      <c r="CE802" s="76"/>
      <c r="CF802" s="76">
        <f>+CE802*28000</f>
        <v>0</v>
      </c>
      <c r="CG802" s="76"/>
      <c r="CH802" s="76">
        <f>+CG802*22500</f>
        <v>0</v>
      </c>
      <c r="CI802" s="76"/>
      <c r="CJ802" s="76">
        <f>+CI802*26000</f>
        <v>0</v>
      </c>
      <c r="CK802" s="76"/>
      <c r="CL802" s="76"/>
      <c r="CM802" s="76"/>
      <c r="CN802" s="76">
        <f>+CM802*22000</f>
        <v>0</v>
      </c>
      <c r="CO802" s="76"/>
      <c r="CP802" s="76">
        <f>+CO802*46000</f>
        <v>0</v>
      </c>
      <c r="CQ802" s="76"/>
      <c r="CR802" s="76">
        <f>+CQ802*49000</f>
        <v>0</v>
      </c>
      <c r="CS802" s="76"/>
      <c r="CT802" s="76"/>
      <c r="CU802" s="56">
        <f>AN802+AP802+AR802+AT802+AV802+AX802+AZ802+BB802+BD802+BF802+BH802+BJ802+BL802+BN802+BP802+BR802+BT802+BV802+BX802+BZ802+CB802+CD802+CF802+CH802+CJ802+CL802+CN802+CP802+CR802+CT802</f>
        <v>0</v>
      </c>
      <c r="CV802" s="76"/>
      <c r="CW802" s="76">
        <f>+CV802*1100</f>
        <v>0</v>
      </c>
      <c r="CX802" s="76"/>
      <c r="CY802" s="76">
        <f>+CX802*106250</f>
        <v>0</v>
      </c>
      <c r="CZ802" s="76"/>
      <c r="DA802" s="76">
        <f>+CZ802*34500</f>
        <v>0</v>
      </c>
      <c r="DB802" s="76"/>
      <c r="DC802" s="76">
        <f>+DB802*25000</f>
        <v>0</v>
      </c>
      <c r="DD802" s="219"/>
      <c r="DE802" s="219"/>
      <c r="DF802" s="166"/>
      <c r="DG802" s="116"/>
      <c r="DH802" s="117"/>
      <c r="DI802" s="24"/>
      <c r="DJ802" s="24"/>
      <c r="DK802" s="24"/>
      <c r="DL802" s="24"/>
      <c r="DM802" s="24"/>
      <c r="DN802" s="24"/>
      <c r="DO802" s="24"/>
      <c r="DP802" s="24"/>
      <c r="DQ802" s="24"/>
      <c r="DR802" s="24"/>
      <c r="DS802" s="24"/>
      <c r="DT802" s="24"/>
      <c r="DU802" s="24"/>
    </row>
    <row r="803" spans="1:125" s="8" customFormat="1" ht="72" x14ac:dyDescent="0.2">
      <c r="A803" s="77">
        <v>41320</v>
      </c>
      <c r="B803" s="78" t="s">
        <v>2775</v>
      </c>
      <c r="C803" s="75" t="s">
        <v>2775</v>
      </c>
      <c r="D803" s="81" t="s">
        <v>2846</v>
      </c>
      <c r="E803" s="75" t="str">
        <f>VLOOKUP(B803&amp;C803,Divipola!$C$2:$F$1138,4,FALSE)</f>
        <v>00000</v>
      </c>
      <c r="F803" s="163"/>
      <c r="G803" s="163"/>
      <c r="H803" s="163"/>
      <c r="I803" s="163"/>
      <c r="J803" s="163"/>
      <c r="K803" s="163"/>
      <c r="L803" s="163"/>
      <c r="M803" s="163"/>
      <c r="N803" s="163"/>
      <c r="O803" s="163"/>
      <c r="P803" s="163"/>
      <c r="Q803" s="163"/>
      <c r="R803" s="163"/>
      <c r="S803" s="163"/>
      <c r="T803" s="163"/>
      <c r="U803" s="163"/>
      <c r="V803" s="134"/>
      <c r="W803" s="96">
        <v>0</v>
      </c>
      <c r="X803" s="71">
        <f>CU803</f>
        <v>0</v>
      </c>
      <c r="Y803" s="71">
        <f>CY803</f>
        <v>0</v>
      </c>
      <c r="Z803" s="71">
        <f>DA803+DC803+DE803</f>
        <v>0</v>
      </c>
      <c r="AA803" s="71">
        <f>CW803</f>
        <v>0</v>
      </c>
      <c r="AB803" s="71">
        <f>67169220+52200000</f>
        <v>119369220</v>
      </c>
      <c r="AC803" s="71">
        <v>0</v>
      </c>
      <c r="AD803" s="71">
        <f>W803+X803+Y803+Z803+AA803+AB803+AC803</f>
        <v>119369220</v>
      </c>
      <c r="AE803" s="72">
        <v>0</v>
      </c>
      <c r="AF803" s="5"/>
      <c r="AG803" s="6"/>
      <c r="AH803" s="27" t="s">
        <v>3390</v>
      </c>
      <c r="AI803" s="44" t="s">
        <v>3391</v>
      </c>
      <c r="AJ803" s="26"/>
      <c r="AK803" s="5"/>
      <c r="AL803" s="82" t="s">
        <v>4925</v>
      </c>
      <c r="AM803" s="76"/>
      <c r="AN803" s="76"/>
      <c r="AO803" s="76"/>
      <c r="AP803" s="76"/>
      <c r="AQ803" s="76"/>
      <c r="AR803" s="76"/>
      <c r="AS803" s="76"/>
      <c r="AT803" s="76"/>
      <c r="AU803" s="76"/>
      <c r="AV803" s="76"/>
      <c r="AW803" s="76"/>
      <c r="AX803" s="76">
        <f>+AW803*600000</f>
        <v>0</v>
      </c>
      <c r="AY803" s="76"/>
      <c r="AZ803" s="76">
        <f>+AY803*70000</f>
        <v>0</v>
      </c>
      <c r="BA803" s="76"/>
      <c r="BB803" s="76"/>
      <c r="BC803" s="76"/>
      <c r="BD803" s="76">
        <f>+BC803*30000</f>
        <v>0</v>
      </c>
      <c r="BE803" s="76"/>
      <c r="BF803" s="76"/>
      <c r="BG803" s="76"/>
      <c r="BH803" s="76"/>
      <c r="BI803" s="76"/>
      <c r="BJ803" s="76"/>
      <c r="BK803" s="76"/>
      <c r="BL803" s="76">
        <f>+BK803*31500</f>
        <v>0</v>
      </c>
      <c r="BM803" s="76"/>
      <c r="BN803" s="76"/>
      <c r="BO803" s="76"/>
      <c r="BP803" s="76"/>
      <c r="BQ803" s="76"/>
      <c r="BR803" s="76"/>
      <c r="BS803" s="76"/>
      <c r="BT803" s="76"/>
      <c r="BU803" s="76"/>
      <c r="BV803" s="76"/>
      <c r="BW803" s="76"/>
      <c r="BX803" s="76"/>
      <c r="BY803" s="76"/>
      <c r="BZ803" s="76"/>
      <c r="CA803" s="76"/>
      <c r="CB803" s="76"/>
      <c r="CC803" s="76"/>
      <c r="CD803" s="76"/>
      <c r="CE803" s="76"/>
      <c r="CF803" s="76">
        <f>+CE803*28000</f>
        <v>0</v>
      </c>
      <c r="CG803" s="76"/>
      <c r="CH803" s="76">
        <f>+CG803*22500</f>
        <v>0</v>
      </c>
      <c r="CI803" s="76"/>
      <c r="CJ803" s="76">
        <f>+CI803*26000</f>
        <v>0</v>
      </c>
      <c r="CK803" s="76"/>
      <c r="CL803" s="76"/>
      <c r="CM803" s="76"/>
      <c r="CN803" s="76">
        <f>+CM803*22000</f>
        <v>0</v>
      </c>
      <c r="CO803" s="76"/>
      <c r="CP803" s="76">
        <f>+CO803*46000</f>
        <v>0</v>
      </c>
      <c r="CQ803" s="76"/>
      <c r="CR803" s="76">
        <f>+CQ803*49000</f>
        <v>0</v>
      </c>
      <c r="CS803" s="76"/>
      <c r="CT803" s="76"/>
      <c r="CU803" s="56">
        <f>AN803+AP803+AR803+AT803+AV803+AX803+AZ803+BB803+BD803+BF803+BH803+BJ803+BL803+BN803+BP803+BR803+BT803+BV803+BX803+BZ803+CB803+CD803+CF803+CH803+CJ803+CL803+CN803+CP803+CR803+CT803</f>
        <v>0</v>
      </c>
      <c r="CV803" s="76"/>
      <c r="CW803" s="76">
        <f>+CV803*1100</f>
        <v>0</v>
      </c>
      <c r="CX803" s="76"/>
      <c r="CY803" s="76">
        <f>+CX803*106250</f>
        <v>0</v>
      </c>
      <c r="CZ803" s="76"/>
      <c r="DA803" s="76">
        <f>+CZ803*34500</f>
        <v>0</v>
      </c>
      <c r="DB803" s="76"/>
      <c r="DC803" s="76">
        <f>+DB803*25000</f>
        <v>0</v>
      </c>
      <c r="DD803" s="219"/>
      <c r="DE803" s="219"/>
      <c r="DF803" s="166"/>
      <c r="DG803" s="134" t="s">
        <v>4584</v>
      </c>
      <c r="DH803" s="117"/>
      <c r="DI803" s="24"/>
      <c r="DJ803" s="24"/>
      <c r="DK803" s="24"/>
      <c r="DL803" s="24"/>
      <c r="DM803" s="24"/>
      <c r="DN803" s="24"/>
      <c r="DO803" s="24"/>
      <c r="DP803" s="24"/>
      <c r="DQ803" s="24"/>
      <c r="DR803" s="24"/>
      <c r="DS803" s="24"/>
      <c r="DT803" s="24"/>
      <c r="DU803" s="24"/>
    </row>
    <row r="804" spans="1:125" s="8" customFormat="1" ht="84" x14ac:dyDescent="0.2">
      <c r="A804" s="77">
        <v>41320</v>
      </c>
      <c r="B804" s="78" t="s">
        <v>2775</v>
      </c>
      <c r="C804" s="75" t="s">
        <v>2775</v>
      </c>
      <c r="D804" s="81" t="s">
        <v>2846</v>
      </c>
      <c r="E804" s="75" t="str">
        <f>VLOOKUP(B804&amp;C804,Divipola!$C$2:$F$1138,4,FALSE)</f>
        <v>00000</v>
      </c>
      <c r="F804" s="163"/>
      <c r="G804" s="163"/>
      <c r="H804" s="163"/>
      <c r="I804" s="163"/>
      <c r="J804" s="163"/>
      <c r="K804" s="163"/>
      <c r="L804" s="163"/>
      <c r="M804" s="163"/>
      <c r="N804" s="163"/>
      <c r="O804" s="163"/>
      <c r="P804" s="163"/>
      <c r="Q804" s="163"/>
      <c r="R804" s="163"/>
      <c r="S804" s="163"/>
      <c r="T804" s="163"/>
      <c r="U804" s="163"/>
      <c r="V804" s="134"/>
      <c r="W804" s="96">
        <v>0</v>
      </c>
      <c r="X804" s="71">
        <f>CU804</f>
        <v>0</v>
      </c>
      <c r="Y804" s="71">
        <f>CY804</f>
        <v>0</v>
      </c>
      <c r="Z804" s="71">
        <f>DA804+DC804+DE804</f>
        <v>0</v>
      </c>
      <c r="AA804" s="71">
        <v>0</v>
      </c>
      <c r="AB804" s="71">
        <f>54889726.8+67169220+31610000</f>
        <v>153668946.80000001</v>
      </c>
      <c r="AC804" s="71">
        <v>0</v>
      </c>
      <c r="AD804" s="71">
        <f>W804+X804+Y804+Z804+AA804+AB804+AC804</f>
        <v>153668946.80000001</v>
      </c>
      <c r="AE804" s="72">
        <v>0</v>
      </c>
      <c r="AF804" s="5"/>
      <c r="AG804" s="6"/>
      <c r="AH804" s="27" t="s">
        <v>3390</v>
      </c>
      <c r="AI804" s="44" t="s">
        <v>3391</v>
      </c>
      <c r="AJ804" s="26"/>
      <c r="AK804" s="5"/>
      <c r="AL804" s="82" t="s">
        <v>4929</v>
      </c>
      <c r="AM804" s="76"/>
      <c r="AN804" s="76"/>
      <c r="AO804" s="76"/>
      <c r="AP804" s="76"/>
      <c r="AQ804" s="76"/>
      <c r="AR804" s="76"/>
      <c r="AS804" s="76"/>
      <c r="AT804" s="76"/>
      <c r="AU804" s="76"/>
      <c r="AV804" s="76"/>
      <c r="AW804" s="76"/>
      <c r="AX804" s="76">
        <f>+AW804*600000</f>
        <v>0</v>
      </c>
      <c r="AY804" s="76"/>
      <c r="AZ804" s="76">
        <f>+AY804*70000</f>
        <v>0</v>
      </c>
      <c r="BA804" s="76"/>
      <c r="BB804" s="76"/>
      <c r="BC804" s="76"/>
      <c r="BD804" s="76">
        <f>+BC804*30000</f>
        <v>0</v>
      </c>
      <c r="BE804" s="76"/>
      <c r="BF804" s="76"/>
      <c r="BG804" s="76"/>
      <c r="BH804" s="76"/>
      <c r="BI804" s="76"/>
      <c r="BJ804" s="76"/>
      <c r="BK804" s="76"/>
      <c r="BL804" s="76">
        <f>+BK804*31500</f>
        <v>0</v>
      </c>
      <c r="BM804" s="76"/>
      <c r="BN804" s="76"/>
      <c r="BO804" s="76"/>
      <c r="BP804" s="76"/>
      <c r="BQ804" s="76"/>
      <c r="BR804" s="76"/>
      <c r="BS804" s="76"/>
      <c r="BT804" s="76"/>
      <c r="BU804" s="76"/>
      <c r="BV804" s="76"/>
      <c r="BW804" s="76"/>
      <c r="BX804" s="76"/>
      <c r="BY804" s="76"/>
      <c r="BZ804" s="76"/>
      <c r="CA804" s="76"/>
      <c r="CB804" s="76"/>
      <c r="CC804" s="76"/>
      <c r="CD804" s="76"/>
      <c r="CE804" s="76"/>
      <c r="CF804" s="76">
        <f>+CE804*28000</f>
        <v>0</v>
      </c>
      <c r="CG804" s="76"/>
      <c r="CH804" s="76">
        <f>+CG804*22500</f>
        <v>0</v>
      </c>
      <c r="CI804" s="76"/>
      <c r="CJ804" s="76">
        <f>+CI804*26000</f>
        <v>0</v>
      </c>
      <c r="CK804" s="76"/>
      <c r="CL804" s="76"/>
      <c r="CM804" s="76"/>
      <c r="CN804" s="76">
        <f>+CM804*22000</f>
        <v>0</v>
      </c>
      <c r="CO804" s="76"/>
      <c r="CP804" s="76">
        <f>+CO804*46000</f>
        <v>0</v>
      </c>
      <c r="CQ804" s="76"/>
      <c r="CR804" s="76">
        <f>+CQ804*49000</f>
        <v>0</v>
      </c>
      <c r="CS804" s="76"/>
      <c r="CT804" s="76"/>
      <c r="CU804" s="56">
        <f>AN804+AP804+AR804+AT804+AV804+AX804+AZ804+BB804+BD804+BF804+BH804+BJ804+BL804+BN804+BP804+BR804+BT804+BV804+BX804+BZ804+CB804+CD804+CF804+CH804+CJ804+CL804+CN804+CP804+CR804+CT804</f>
        <v>0</v>
      </c>
      <c r="CV804" s="76"/>
      <c r="CW804" s="76">
        <f>+CV804*1100</f>
        <v>0</v>
      </c>
      <c r="CX804" s="76"/>
      <c r="CY804" s="76">
        <f>+CX804*106250</f>
        <v>0</v>
      </c>
      <c r="CZ804" s="76"/>
      <c r="DA804" s="76">
        <f>+CZ804*34500</f>
        <v>0</v>
      </c>
      <c r="DB804" s="76"/>
      <c r="DC804" s="76">
        <f>+DB804*25000</f>
        <v>0</v>
      </c>
      <c r="DD804" s="219"/>
      <c r="DE804" s="219"/>
      <c r="DF804" s="166"/>
      <c r="DG804" s="192" t="s">
        <v>4585</v>
      </c>
      <c r="DH804" s="117"/>
      <c r="DI804" s="24"/>
      <c r="DJ804" s="24"/>
      <c r="DK804" s="24"/>
      <c r="DL804" s="24"/>
      <c r="DM804" s="24"/>
      <c r="DN804" s="24"/>
      <c r="DO804" s="24"/>
      <c r="DP804" s="24"/>
      <c r="DQ804" s="24"/>
      <c r="DR804" s="24"/>
      <c r="DS804" s="24"/>
      <c r="DT804" s="24"/>
      <c r="DU804" s="24"/>
    </row>
    <row r="805" spans="1:125" s="8" customFormat="1" ht="36" x14ac:dyDescent="0.2">
      <c r="A805" s="77">
        <v>41320</v>
      </c>
      <c r="B805" s="78" t="s">
        <v>2775</v>
      </c>
      <c r="C805" s="75" t="s">
        <v>2775</v>
      </c>
      <c r="D805" s="81" t="s">
        <v>2846</v>
      </c>
      <c r="E805" s="75" t="str">
        <f>VLOOKUP(B805&amp;C805,Divipola!$C$2:$F$1138,4,FALSE)</f>
        <v>00000</v>
      </c>
      <c r="F805" s="163"/>
      <c r="G805" s="163"/>
      <c r="H805" s="163"/>
      <c r="I805" s="163"/>
      <c r="J805" s="163"/>
      <c r="K805" s="163"/>
      <c r="L805" s="163"/>
      <c r="M805" s="163"/>
      <c r="N805" s="163"/>
      <c r="O805" s="163"/>
      <c r="P805" s="163"/>
      <c r="Q805" s="163"/>
      <c r="R805" s="163"/>
      <c r="S805" s="163"/>
      <c r="T805" s="163"/>
      <c r="U805" s="163"/>
      <c r="V805" s="134"/>
      <c r="W805" s="96">
        <v>0</v>
      </c>
      <c r="X805" s="71">
        <f>CU805</f>
        <v>0</v>
      </c>
      <c r="Y805" s="71">
        <f>CY805</f>
        <v>0</v>
      </c>
      <c r="Z805" s="71">
        <f>DA805+DC805+DE805</f>
        <v>0</v>
      </c>
      <c r="AA805" s="71">
        <f>CW805</f>
        <v>0</v>
      </c>
      <c r="AB805" s="71">
        <f>210728616</f>
        <v>210728616</v>
      </c>
      <c r="AC805" s="71">
        <v>0</v>
      </c>
      <c r="AD805" s="71">
        <f>W805+X805+Y805+Z805+AA805+AB805+AC805</f>
        <v>210728616</v>
      </c>
      <c r="AE805" s="72">
        <v>0</v>
      </c>
      <c r="AF805" s="5"/>
      <c r="AG805" s="6"/>
      <c r="AH805" s="27" t="s">
        <v>3390</v>
      </c>
      <c r="AI805" s="44" t="s">
        <v>3391</v>
      </c>
      <c r="AJ805" s="26"/>
      <c r="AK805" s="5"/>
      <c r="AL805" s="82" t="s">
        <v>4926</v>
      </c>
      <c r="AM805" s="76"/>
      <c r="AN805" s="76"/>
      <c r="AO805" s="76"/>
      <c r="AP805" s="76"/>
      <c r="AQ805" s="76"/>
      <c r="AR805" s="76"/>
      <c r="AS805" s="76"/>
      <c r="AT805" s="76"/>
      <c r="AU805" s="76"/>
      <c r="AV805" s="76"/>
      <c r="AW805" s="76"/>
      <c r="AX805" s="76">
        <f>+AW805*600000</f>
        <v>0</v>
      </c>
      <c r="AY805" s="76"/>
      <c r="AZ805" s="76">
        <f>+AY805*70000</f>
        <v>0</v>
      </c>
      <c r="BA805" s="76"/>
      <c r="BB805" s="76"/>
      <c r="BC805" s="76"/>
      <c r="BD805" s="76">
        <f>+BC805*30000</f>
        <v>0</v>
      </c>
      <c r="BE805" s="76"/>
      <c r="BF805" s="76"/>
      <c r="BG805" s="76"/>
      <c r="BH805" s="76"/>
      <c r="BI805" s="76"/>
      <c r="BJ805" s="76"/>
      <c r="BK805" s="76"/>
      <c r="BL805" s="76">
        <f>+BK805*31500</f>
        <v>0</v>
      </c>
      <c r="BM805" s="76"/>
      <c r="BN805" s="76"/>
      <c r="BO805" s="76"/>
      <c r="BP805" s="76"/>
      <c r="BQ805" s="76"/>
      <c r="BR805" s="76"/>
      <c r="BS805" s="76"/>
      <c r="BT805" s="76"/>
      <c r="BU805" s="76"/>
      <c r="BV805" s="76"/>
      <c r="BW805" s="76"/>
      <c r="BX805" s="76"/>
      <c r="BY805" s="76"/>
      <c r="BZ805" s="76"/>
      <c r="CA805" s="76"/>
      <c r="CB805" s="76"/>
      <c r="CC805" s="76"/>
      <c r="CD805" s="76"/>
      <c r="CE805" s="76"/>
      <c r="CF805" s="76">
        <f>+CE805*28000</f>
        <v>0</v>
      </c>
      <c r="CG805" s="76"/>
      <c r="CH805" s="76">
        <f>+CG805*22500</f>
        <v>0</v>
      </c>
      <c r="CI805" s="76"/>
      <c r="CJ805" s="76">
        <f>+CI805*26000</f>
        <v>0</v>
      </c>
      <c r="CK805" s="76"/>
      <c r="CL805" s="76"/>
      <c r="CM805" s="76"/>
      <c r="CN805" s="76">
        <f>+CM805*22000</f>
        <v>0</v>
      </c>
      <c r="CO805" s="76"/>
      <c r="CP805" s="76">
        <f>+CO805*46000</f>
        <v>0</v>
      </c>
      <c r="CQ805" s="76"/>
      <c r="CR805" s="76">
        <f>+CQ805*49000</f>
        <v>0</v>
      </c>
      <c r="CS805" s="76"/>
      <c r="CT805" s="76"/>
      <c r="CU805" s="56">
        <f>AN805+AP805+AR805+AT805+AV805+AX805+AZ805+BB805+BD805+BF805+BH805+BJ805+BL805+BN805+BP805+BR805+BT805+BV805+BX805+BZ805+CB805+CD805+CF805+CH805+CJ805+CL805+CN805+CP805+CR805+CT805</f>
        <v>0</v>
      </c>
      <c r="CV805" s="76"/>
      <c r="CW805" s="76">
        <f>+CV805*1100</f>
        <v>0</v>
      </c>
      <c r="CX805" s="76"/>
      <c r="CY805" s="76">
        <f>+CX805*106250</f>
        <v>0</v>
      </c>
      <c r="CZ805" s="76"/>
      <c r="DA805" s="76">
        <f>+CZ805*34500</f>
        <v>0</v>
      </c>
      <c r="DB805" s="76"/>
      <c r="DC805" s="76">
        <f>+DB805*25000</f>
        <v>0</v>
      </c>
      <c r="DD805" s="219"/>
      <c r="DE805" s="219"/>
      <c r="DF805" s="166"/>
      <c r="DG805" s="134" t="s">
        <v>4130</v>
      </c>
      <c r="DH805" s="117"/>
      <c r="DI805" s="24"/>
      <c r="DJ805" s="24"/>
      <c r="DK805" s="24"/>
      <c r="DL805" s="24"/>
      <c r="DM805" s="24"/>
      <c r="DN805" s="24"/>
      <c r="DO805" s="24"/>
      <c r="DP805" s="24"/>
      <c r="DQ805" s="24"/>
      <c r="DR805" s="24"/>
      <c r="DS805" s="24"/>
      <c r="DT805" s="24"/>
      <c r="DU805" s="24"/>
    </row>
    <row r="806" spans="1:125" s="8" customFormat="1" ht="84" x14ac:dyDescent="0.2">
      <c r="A806" s="77">
        <v>41320</v>
      </c>
      <c r="B806" s="78" t="s">
        <v>2775</v>
      </c>
      <c r="C806" s="75" t="s">
        <v>2775</v>
      </c>
      <c r="D806" s="81" t="s">
        <v>2846</v>
      </c>
      <c r="E806" s="75" t="str">
        <f>VLOOKUP(B806&amp;C806,Divipola!$C$2:$F$1138,4,FALSE)</f>
        <v>00000</v>
      </c>
      <c r="F806" s="163"/>
      <c r="G806" s="163"/>
      <c r="H806" s="163"/>
      <c r="I806" s="163"/>
      <c r="J806" s="163"/>
      <c r="K806" s="163"/>
      <c r="L806" s="163"/>
      <c r="M806" s="163"/>
      <c r="N806" s="163"/>
      <c r="O806" s="163"/>
      <c r="P806" s="163"/>
      <c r="Q806" s="163"/>
      <c r="R806" s="163"/>
      <c r="S806" s="163"/>
      <c r="T806" s="163"/>
      <c r="U806" s="163"/>
      <c r="V806" s="134"/>
      <c r="W806" s="96">
        <v>0</v>
      </c>
      <c r="X806" s="71">
        <f>CU806</f>
        <v>0</v>
      </c>
      <c r="Y806" s="71">
        <f>CY806</f>
        <v>0</v>
      </c>
      <c r="Z806" s="71">
        <f>DA806+DC806+DE806</f>
        <v>0</v>
      </c>
      <c r="AA806" s="71">
        <f>CW806</f>
        <v>0</v>
      </c>
      <c r="AB806" s="71">
        <f>96820262+84100000+37758000</f>
        <v>218678262</v>
      </c>
      <c r="AC806" s="71">
        <v>0</v>
      </c>
      <c r="AD806" s="71">
        <f>W806+X806+Y806+Z806+AA806+AB806+AC806</f>
        <v>218678262</v>
      </c>
      <c r="AE806" s="72">
        <v>0</v>
      </c>
      <c r="AF806" s="5"/>
      <c r="AG806" s="6"/>
      <c r="AH806" s="27" t="s">
        <v>3390</v>
      </c>
      <c r="AI806" s="44" t="s">
        <v>3391</v>
      </c>
      <c r="AJ806" s="26"/>
      <c r="AK806" s="5"/>
      <c r="AL806" s="82" t="s">
        <v>4930</v>
      </c>
      <c r="AM806" s="76"/>
      <c r="AN806" s="76"/>
      <c r="AO806" s="76"/>
      <c r="AP806" s="76"/>
      <c r="AQ806" s="76"/>
      <c r="AR806" s="76"/>
      <c r="AS806" s="76"/>
      <c r="AT806" s="76"/>
      <c r="AU806" s="76"/>
      <c r="AV806" s="76"/>
      <c r="AW806" s="76"/>
      <c r="AX806" s="76">
        <f>+AW806*600000</f>
        <v>0</v>
      </c>
      <c r="AY806" s="76"/>
      <c r="AZ806" s="76">
        <f>+AY806*70000</f>
        <v>0</v>
      </c>
      <c r="BA806" s="76"/>
      <c r="BB806" s="76"/>
      <c r="BC806" s="76"/>
      <c r="BD806" s="76">
        <f>+BC806*30000</f>
        <v>0</v>
      </c>
      <c r="BE806" s="76"/>
      <c r="BF806" s="76"/>
      <c r="BG806" s="76"/>
      <c r="BH806" s="76"/>
      <c r="BI806" s="76"/>
      <c r="BJ806" s="76"/>
      <c r="BK806" s="76"/>
      <c r="BL806" s="76">
        <f>+BK806*31500</f>
        <v>0</v>
      </c>
      <c r="BM806" s="76"/>
      <c r="BN806" s="76"/>
      <c r="BO806" s="76"/>
      <c r="BP806" s="76"/>
      <c r="BQ806" s="76"/>
      <c r="BR806" s="76"/>
      <c r="BS806" s="76"/>
      <c r="BT806" s="76"/>
      <c r="BU806" s="76"/>
      <c r="BV806" s="76"/>
      <c r="BW806" s="76"/>
      <c r="BX806" s="76"/>
      <c r="BY806" s="76"/>
      <c r="BZ806" s="76"/>
      <c r="CA806" s="76"/>
      <c r="CB806" s="76"/>
      <c r="CC806" s="76"/>
      <c r="CD806" s="76"/>
      <c r="CE806" s="76"/>
      <c r="CF806" s="76">
        <f>+CE806*28000</f>
        <v>0</v>
      </c>
      <c r="CG806" s="76"/>
      <c r="CH806" s="76">
        <f>+CG806*22500</f>
        <v>0</v>
      </c>
      <c r="CI806" s="76"/>
      <c r="CJ806" s="76">
        <f>+CI806*26000</f>
        <v>0</v>
      </c>
      <c r="CK806" s="76"/>
      <c r="CL806" s="76"/>
      <c r="CM806" s="76"/>
      <c r="CN806" s="76">
        <f>+CM806*22000</f>
        <v>0</v>
      </c>
      <c r="CO806" s="76"/>
      <c r="CP806" s="76">
        <f>+CO806*46000</f>
        <v>0</v>
      </c>
      <c r="CQ806" s="76"/>
      <c r="CR806" s="76">
        <f>+CQ806*49000</f>
        <v>0</v>
      </c>
      <c r="CS806" s="76"/>
      <c r="CT806" s="76"/>
      <c r="CU806" s="56">
        <f>AN806+AP806+AR806+AT806+AV806+AX806+AZ806+BB806+BD806+BF806+BH806+BJ806+BL806+BN806+BP806+BR806+BT806+BV806+BX806+BZ806+CB806+CD806+CF806+CH806+CJ806+CL806+CN806+CP806+CR806+CT806</f>
        <v>0</v>
      </c>
      <c r="CV806" s="76"/>
      <c r="CW806" s="76">
        <f>+CV806*1100</f>
        <v>0</v>
      </c>
      <c r="CX806" s="76"/>
      <c r="CY806" s="76">
        <f>+CX806*106250</f>
        <v>0</v>
      </c>
      <c r="CZ806" s="76"/>
      <c r="DA806" s="76">
        <f>+CZ806*34500</f>
        <v>0</v>
      </c>
      <c r="DB806" s="76"/>
      <c r="DC806" s="76">
        <f>+DB806*25000</f>
        <v>0</v>
      </c>
      <c r="DD806" s="219"/>
      <c r="DE806" s="219"/>
      <c r="DF806" s="166"/>
      <c r="DG806" s="134" t="s">
        <v>4132</v>
      </c>
      <c r="DH806" s="117"/>
      <c r="DI806" s="24"/>
      <c r="DJ806" s="24"/>
      <c r="DK806" s="24"/>
      <c r="DL806" s="24"/>
      <c r="DM806" s="24"/>
      <c r="DN806" s="24"/>
      <c r="DO806" s="24"/>
      <c r="DP806" s="24"/>
      <c r="DQ806" s="24"/>
      <c r="DR806" s="24"/>
      <c r="DS806" s="24"/>
      <c r="DT806" s="24"/>
      <c r="DU806" s="24"/>
    </row>
    <row r="807" spans="1:125" s="8" customFormat="1" ht="60" x14ac:dyDescent="0.2">
      <c r="A807" s="77">
        <v>41320</v>
      </c>
      <c r="B807" s="78" t="s">
        <v>2775</v>
      </c>
      <c r="C807" s="75" t="s">
        <v>2775</v>
      </c>
      <c r="D807" s="81" t="s">
        <v>2846</v>
      </c>
      <c r="E807" s="75" t="str">
        <f>VLOOKUP(B807&amp;C807,Divipola!$C$2:$F$1138,4,FALSE)</f>
        <v>00000</v>
      </c>
      <c r="F807" s="163"/>
      <c r="G807" s="163"/>
      <c r="H807" s="163"/>
      <c r="I807" s="163"/>
      <c r="J807" s="163"/>
      <c r="K807" s="163"/>
      <c r="L807" s="163"/>
      <c r="M807" s="163"/>
      <c r="N807" s="163"/>
      <c r="O807" s="163"/>
      <c r="P807" s="163"/>
      <c r="Q807" s="163"/>
      <c r="R807" s="163"/>
      <c r="S807" s="163"/>
      <c r="T807" s="163"/>
      <c r="U807" s="163"/>
      <c r="V807" s="134"/>
      <c r="W807" s="96">
        <v>0</v>
      </c>
      <c r="X807" s="71">
        <f>CU807</f>
        <v>0</v>
      </c>
      <c r="Y807" s="71">
        <f>CY807</f>
        <v>0</v>
      </c>
      <c r="Z807" s="71">
        <f>DA807+DC807+DE807</f>
        <v>0</v>
      </c>
      <c r="AA807" s="71">
        <f>CW807</f>
        <v>0</v>
      </c>
      <c r="AB807" s="71">
        <f>43677480+18683528</f>
        <v>62361008</v>
      </c>
      <c r="AC807" s="71">
        <v>0</v>
      </c>
      <c r="AD807" s="71">
        <f>W807+X807+Y807+Z807+AA807+AB807+AC807</f>
        <v>62361008</v>
      </c>
      <c r="AE807" s="72">
        <v>0</v>
      </c>
      <c r="AF807" s="5"/>
      <c r="AG807" s="6"/>
      <c r="AH807" s="27" t="s">
        <v>3390</v>
      </c>
      <c r="AI807" s="44" t="s">
        <v>3391</v>
      </c>
      <c r="AJ807" s="26"/>
      <c r="AK807" s="5"/>
      <c r="AL807" s="82" t="s">
        <v>4898</v>
      </c>
      <c r="AM807" s="76"/>
      <c r="AN807" s="76"/>
      <c r="AO807" s="76"/>
      <c r="AP807" s="76"/>
      <c r="AQ807" s="76"/>
      <c r="AR807" s="76"/>
      <c r="AS807" s="76"/>
      <c r="AT807" s="76"/>
      <c r="AU807" s="76"/>
      <c r="AV807" s="76"/>
      <c r="AW807" s="76"/>
      <c r="AX807" s="76">
        <f>+AW807*600000</f>
        <v>0</v>
      </c>
      <c r="AY807" s="76"/>
      <c r="AZ807" s="76">
        <f>+AY807*70000</f>
        <v>0</v>
      </c>
      <c r="BA807" s="76"/>
      <c r="BB807" s="76"/>
      <c r="BC807" s="76"/>
      <c r="BD807" s="76">
        <f>+BC807*30000</f>
        <v>0</v>
      </c>
      <c r="BE807" s="76"/>
      <c r="BF807" s="76"/>
      <c r="BG807" s="76"/>
      <c r="BH807" s="76"/>
      <c r="BI807" s="76"/>
      <c r="BJ807" s="76"/>
      <c r="BK807" s="76"/>
      <c r="BL807" s="76">
        <f>+BK807*31500</f>
        <v>0</v>
      </c>
      <c r="BM807" s="76"/>
      <c r="BN807" s="76"/>
      <c r="BO807" s="76"/>
      <c r="BP807" s="76"/>
      <c r="BQ807" s="76"/>
      <c r="BR807" s="76"/>
      <c r="BS807" s="76"/>
      <c r="BT807" s="76"/>
      <c r="BU807" s="76"/>
      <c r="BV807" s="76"/>
      <c r="BW807" s="76"/>
      <c r="BX807" s="76"/>
      <c r="BY807" s="76"/>
      <c r="BZ807" s="76"/>
      <c r="CA807" s="76"/>
      <c r="CB807" s="76"/>
      <c r="CC807" s="76"/>
      <c r="CD807" s="76"/>
      <c r="CE807" s="76"/>
      <c r="CF807" s="76">
        <f>+CE807*28000</f>
        <v>0</v>
      </c>
      <c r="CG807" s="76"/>
      <c r="CH807" s="76">
        <f>+CG807*22500</f>
        <v>0</v>
      </c>
      <c r="CI807" s="76"/>
      <c r="CJ807" s="76">
        <f>+CI807*26000</f>
        <v>0</v>
      </c>
      <c r="CK807" s="76"/>
      <c r="CL807" s="76"/>
      <c r="CM807" s="76"/>
      <c r="CN807" s="76">
        <f>+CM807*22000</f>
        <v>0</v>
      </c>
      <c r="CO807" s="76"/>
      <c r="CP807" s="76">
        <f>+CO807*46000</f>
        <v>0</v>
      </c>
      <c r="CQ807" s="76"/>
      <c r="CR807" s="76">
        <f>+CQ807*49000</f>
        <v>0</v>
      </c>
      <c r="CS807" s="76"/>
      <c r="CT807" s="76"/>
      <c r="CU807" s="56">
        <f>AN807+AP807+AR807+AT807+AV807+AX807+AZ807+BB807+BD807+BF807+BH807+BJ807+BL807+BN807+BP807+BR807+BT807+BV807+BX807+BZ807+CB807+CD807+CF807+CH807+CJ807+CL807+CN807+CP807+CR807+CT807</f>
        <v>0</v>
      </c>
      <c r="CV807" s="76"/>
      <c r="CW807" s="76">
        <f>+CV807*1100</f>
        <v>0</v>
      </c>
      <c r="CX807" s="76"/>
      <c r="CY807" s="76">
        <f>+CX807*106250</f>
        <v>0</v>
      </c>
      <c r="CZ807" s="76"/>
      <c r="DA807" s="76">
        <f>+CZ807*34500</f>
        <v>0</v>
      </c>
      <c r="DB807" s="76"/>
      <c r="DC807" s="76">
        <f>+DB807*25000</f>
        <v>0</v>
      </c>
      <c r="DD807" s="219"/>
      <c r="DE807" s="219"/>
      <c r="DF807" s="166"/>
      <c r="DG807" s="134" t="s">
        <v>4130</v>
      </c>
      <c r="DH807" s="117"/>
      <c r="DI807" s="24"/>
      <c r="DJ807" s="24"/>
      <c r="DK807" s="24"/>
      <c r="DL807" s="24"/>
      <c r="DM807" s="24"/>
      <c r="DN807" s="24"/>
      <c r="DO807" s="24"/>
      <c r="DP807" s="24"/>
      <c r="DQ807" s="24"/>
      <c r="DR807" s="24"/>
      <c r="DS807" s="24"/>
      <c r="DT807" s="24"/>
      <c r="DU807" s="24"/>
    </row>
    <row r="808" spans="1:125" s="8" customFormat="1" ht="24" x14ac:dyDescent="0.2">
      <c r="A808" s="77">
        <v>41320</v>
      </c>
      <c r="B808" s="208" t="s">
        <v>2880</v>
      </c>
      <c r="C808" s="227" t="s">
        <v>241</v>
      </c>
      <c r="D808" s="84" t="s">
        <v>3088</v>
      </c>
      <c r="E808" s="75" t="str">
        <f>VLOOKUP(B808&amp;C808,Divipola!$C$2:$F$1138,4,FALSE)</f>
        <v>54313</v>
      </c>
      <c r="F808" s="163"/>
      <c r="G808" s="163"/>
      <c r="H808" s="163"/>
      <c r="I808" s="163"/>
      <c r="J808" s="163"/>
      <c r="K808" s="163"/>
      <c r="L808" s="163"/>
      <c r="M808" s="163"/>
      <c r="N808" s="163"/>
      <c r="O808" s="163"/>
      <c r="P808" s="163"/>
      <c r="Q808" s="163"/>
      <c r="R808" s="163"/>
      <c r="S808" s="163"/>
      <c r="T808" s="163"/>
      <c r="U808" s="163"/>
      <c r="V808" s="134"/>
      <c r="W808" s="96">
        <v>0</v>
      </c>
      <c r="X808" s="71">
        <f>CU808</f>
        <v>0</v>
      </c>
      <c r="Y808" s="71">
        <f>CY808</f>
        <v>163743462</v>
      </c>
      <c r="Z808" s="71">
        <f>DA808+DC808+DE808</f>
        <v>0</v>
      </c>
      <c r="AA808" s="71">
        <f>CW808</f>
        <v>0</v>
      </c>
      <c r="AB808" s="71"/>
      <c r="AC808" s="71">
        <v>0</v>
      </c>
      <c r="AD808" s="71">
        <f>W808+X808+Y808+Z808+AA808+AB808+AC808</f>
        <v>163743462</v>
      </c>
      <c r="AE808" s="72">
        <v>0</v>
      </c>
      <c r="AF808" s="5"/>
      <c r="AG808" s="6"/>
      <c r="AH808" s="27" t="s">
        <v>3390</v>
      </c>
      <c r="AI808" s="44" t="s">
        <v>3391</v>
      </c>
      <c r="AJ808" s="26"/>
      <c r="AK808" s="5"/>
      <c r="AL808" s="82" t="s">
        <v>3089</v>
      </c>
      <c r="AM808" s="76"/>
      <c r="AN808" s="76"/>
      <c r="AO808" s="76"/>
      <c r="AP808" s="76"/>
      <c r="AQ808" s="76"/>
      <c r="AR808" s="76"/>
      <c r="AS808" s="76"/>
      <c r="AT808" s="76"/>
      <c r="AU808" s="76"/>
      <c r="AV808" s="76"/>
      <c r="AW808" s="76"/>
      <c r="AX808" s="76">
        <f>+AW808*600000</f>
        <v>0</v>
      </c>
      <c r="AY808" s="76"/>
      <c r="AZ808" s="76">
        <f>+AY808*70000</f>
        <v>0</v>
      </c>
      <c r="BA808" s="76"/>
      <c r="BB808" s="76"/>
      <c r="BC808" s="76"/>
      <c r="BD808" s="76">
        <f>+BC808*30000</f>
        <v>0</v>
      </c>
      <c r="BE808" s="76"/>
      <c r="BF808" s="76"/>
      <c r="BG808" s="76"/>
      <c r="BH808" s="76"/>
      <c r="BI808" s="76"/>
      <c r="BJ808" s="76"/>
      <c r="BK808" s="76"/>
      <c r="BL808" s="76">
        <f>+BK808*31500</f>
        <v>0</v>
      </c>
      <c r="BM808" s="76"/>
      <c r="BN808" s="76"/>
      <c r="BO808" s="76"/>
      <c r="BP808" s="76"/>
      <c r="BQ808" s="76"/>
      <c r="BR808" s="76"/>
      <c r="BS808" s="76"/>
      <c r="BT808" s="76"/>
      <c r="BU808" s="76"/>
      <c r="BV808" s="76"/>
      <c r="BW808" s="76"/>
      <c r="BX808" s="76"/>
      <c r="BY808" s="76"/>
      <c r="BZ808" s="76"/>
      <c r="CA808" s="76"/>
      <c r="CB808" s="76"/>
      <c r="CC808" s="76"/>
      <c r="CD808" s="76"/>
      <c r="CE808" s="76"/>
      <c r="CF808" s="76">
        <f>+CE808*28000</f>
        <v>0</v>
      </c>
      <c r="CG808" s="76"/>
      <c r="CH808" s="76">
        <f>+CG808*22500</f>
        <v>0</v>
      </c>
      <c r="CI808" s="76"/>
      <c r="CJ808" s="76">
        <f>+CI808*26000</f>
        <v>0</v>
      </c>
      <c r="CK808" s="76"/>
      <c r="CL808" s="76"/>
      <c r="CM808" s="76"/>
      <c r="CN808" s="76">
        <f>+CM808*22000</f>
        <v>0</v>
      </c>
      <c r="CO808" s="76"/>
      <c r="CP808" s="76">
        <f>+CO808*46000</f>
        <v>0</v>
      </c>
      <c r="CQ808" s="76"/>
      <c r="CR808" s="76">
        <f>+CQ808*49000</f>
        <v>0</v>
      </c>
      <c r="CS808" s="76"/>
      <c r="CT808" s="76"/>
      <c r="CU808" s="56">
        <f>AN808+AP808+AR808+AT808+AV808+AX808+AZ808+BB808+BD808+BF808+BH808+BJ808+BL808+BN808+BP808+BR808+BT808+BV808+BX808+BZ808+CB808+CD808+CF808+CH808+CJ808+CL808+CN808+CP808+CR808+CT808</f>
        <v>0</v>
      </c>
      <c r="CV808" s="76"/>
      <c r="CW808" s="76">
        <f>+CV808*1100</f>
        <v>0</v>
      </c>
      <c r="CX808" s="86">
        <v>1557</v>
      </c>
      <c r="CY808" s="86">
        <f>+CX808*105166</f>
        <v>163743462</v>
      </c>
      <c r="CZ808" s="76"/>
      <c r="DA808" s="76">
        <f>+CZ808*34500</f>
        <v>0</v>
      </c>
      <c r="DB808" s="76"/>
      <c r="DC808" s="76">
        <f>+DB808*25000</f>
        <v>0</v>
      </c>
      <c r="DD808" s="219"/>
      <c r="DE808" s="219"/>
      <c r="DF808" s="166"/>
      <c r="DG808" s="134" t="s">
        <v>6724</v>
      </c>
      <c r="DH808" s="117"/>
      <c r="DI808" s="24"/>
      <c r="DJ808" s="24"/>
      <c r="DK808" s="24"/>
      <c r="DL808" s="24"/>
      <c r="DM808" s="24"/>
      <c r="DN808" s="24"/>
      <c r="DO808" s="24"/>
      <c r="DP808" s="24"/>
      <c r="DQ808" s="24"/>
      <c r="DR808" s="24"/>
      <c r="DS808" s="24"/>
      <c r="DT808" s="24"/>
      <c r="DU808" s="24"/>
    </row>
    <row r="809" spans="1:125" s="8" customFormat="1" ht="60" x14ac:dyDescent="0.2">
      <c r="A809" s="77">
        <v>41320</v>
      </c>
      <c r="B809" s="78" t="s">
        <v>3131</v>
      </c>
      <c r="C809" s="75" t="s">
        <v>2264</v>
      </c>
      <c r="D809" s="75" t="s">
        <v>2859</v>
      </c>
      <c r="E809" s="75" t="str">
        <f>VLOOKUP(B809&amp;C809,Divipola!$C$2:$F$1138,4,FALSE)</f>
        <v>86568</v>
      </c>
      <c r="F809" s="87">
        <v>3</v>
      </c>
      <c r="G809" s="87"/>
      <c r="H809" s="87"/>
      <c r="I809" s="87">
        <v>5</v>
      </c>
      <c r="J809" s="87">
        <v>1</v>
      </c>
      <c r="K809" s="87">
        <v>1</v>
      </c>
      <c r="L809" s="87"/>
      <c r="M809" s="87"/>
      <c r="N809" s="87"/>
      <c r="O809" s="87"/>
      <c r="P809" s="87"/>
      <c r="Q809" s="87"/>
      <c r="R809" s="87"/>
      <c r="S809" s="87"/>
      <c r="T809" s="87"/>
      <c r="U809" s="88"/>
      <c r="V809" s="89"/>
      <c r="W809" s="96">
        <v>0</v>
      </c>
      <c r="X809" s="71">
        <f>CU809</f>
        <v>0</v>
      </c>
      <c r="Y809" s="71">
        <f>CY809</f>
        <v>0</v>
      </c>
      <c r="Z809" s="71">
        <f>DA809+DC809+DE809</f>
        <v>0</v>
      </c>
      <c r="AA809" s="71">
        <f>CW809</f>
        <v>0</v>
      </c>
      <c r="AB809" s="71"/>
      <c r="AC809" s="71">
        <v>0</v>
      </c>
      <c r="AD809" s="71">
        <f>W809+X809+Y809+Z809+AA809+AB809+AC809</f>
        <v>0</v>
      </c>
      <c r="AE809" s="72">
        <v>0</v>
      </c>
      <c r="AF809" s="5"/>
      <c r="AG809" s="6"/>
      <c r="AH809" s="27" t="s">
        <v>3392</v>
      </c>
      <c r="AI809" s="44" t="s">
        <v>3393</v>
      </c>
      <c r="AJ809" s="26"/>
      <c r="AK809" s="5"/>
      <c r="AL809" s="82" t="s">
        <v>3523</v>
      </c>
      <c r="AM809" s="76"/>
      <c r="AN809" s="76"/>
      <c r="AO809" s="76"/>
      <c r="AP809" s="76"/>
      <c r="AQ809" s="76"/>
      <c r="AR809" s="76"/>
      <c r="AS809" s="76"/>
      <c r="AT809" s="76"/>
      <c r="AU809" s="76"/>
      <c r="AV809" s="76"/>
      <c r="AW809" s="76"/>
      <c r="AX809" s="76">
        <f>+AW809*600000</f>
        <v>0</v>
      </c>
      <c r="AY809" s="76"/>
      <c r="AZ809" s="76">
        <f>+AY809*70000</f>
        <v>0</v>
      </c>
      <c r="BA809" s="76"/>
      <c r="BB809" s="76"/>
      <c r="BC809" s="76"/>
      <c r="BD809" s="76">
        <f>+BC809*30000</f>
        <v>0</v>
      </c>
      <c r="BE809" s="76"/>
      <c r="BF809" s="76"/>
      <c r="BG809" s="76"/>
      <c r="BH809" s="76"/>
      <c r="BI809" s="76"/>
      <c r="BJ809" s="76"/>
      <c r="BK809" s="76"/>
      <c r="BL809" s="76">
        <f>+BK809*31500</f>
        <v>0</v>
      </c>
      <c r="BM809" s="76"/>
      <c r="BN809" s="76"/>
      <c r="BO809" s="76"/>
      <c r="BP809" s="76"/>
      <c r="BQ809" s="76"/>
      <c r="BR809" s="76"/>
      <c r="BS809" s="76"/>
      <c r="BT809" s="76"/>
      <c r="BU809" s="76"/>
      <c r="BV809" s="76"/>
      <c r="BW809" s="76"/>
      <c r="BX809" s="76"/>
      <c r="BY809" s="76"/>
      <c r="BZ809" s="76"/>
      <c r="CA809" s="76"/>
      <c r="CB809" s="76"/>
      <c r="CC809" s="76"/>
      <c r="CD809" s="76"/>
      <c r="CE809" s="76"/>
      <c r="CF809" s="76">
        <f>+CE809*28000</f>
        <v>0</v>
      </c>
      <c r="CG809" s="76"/>
      <c r="CH809" s="76">
        <f>+CG809*22500</f>
        <v>0</v>
      </c>
      <c r="CI809" s="76"/>
      <c r="CJ809" s="76">
        <f>+CI809*26000</f>
        <v>0</v>
      </c>
      <c r="CK809" s="76"/>
      <c r="CL809" s="76"/>
      <c r="CM809" s="76"/>
      <c r="CN809" s="76">
        <f>+CM809*22000</f>
        <v>0</v>
      </c>
      <c r="CO809" s="76"/>
      <c r="CP809" s="76">
        <f>+CO809*46000</f>
        <v>0</v>
      </c>
      <c r="CQ809" s="76"/>
      <c r="CR809" s="76">
        <f>+CQ809*49000</f>
        <v>0</v>
      </c>
      <c r="CS809" s="76"/>
      <c r="CT809" s="76"/>
      <c r="CU809" s="56">
        <f>AN809+AP809+AR809+AT809+AV809+AX809+AZ809+BB809+BD809+BF809+BH809+BJ809+BL809+BN809+BP809+BR809+BT809+BV809+BX809+BZ809+CB809+CD809+CF809+CH809+CJ809+CL809+CN809+CP809+CR809+CT809</f>
        <v>0</v>
      </c>
      <c r="CV809" s="76"/>
      <c r="CW809" s="76">
        <f>+CV809*1100</f>
        <v>0</v>
      </c>
      <c r="CX809" s="76"/>
      <c r="CY809" s="76">
        <f>+CX809*106250</f>
        <v>0</v>
      </c>
      <c r="CZ809" s="76"/>
      <c r="DA809" s="76">
        <f>+CZ809*34500</f>
        <v>0</v>
      </c>
      <c r="DB809" s="76"/>
      <c r="DC809" s="76">
        <f>+DB809*25000</f>
        <v>0</v>
      </c>
      <c r="DD809" s="219"/>
      <c r="DE809" s="219"/>
      <c r="DF809" s="166"/>
      <c r="DG809" s="116"/>
      <c r="DH809" s="117"/>
      <c r="DI809" s="24"/>
      <c r="DJ809" s="24"/>
      <c r="DK809" s="24"/>
      <c r="DL809" s="24"/>
      <c r="DM809" s="24"/>
      <c r="DN809" s="24"/>
      <c r="DO809" s="24"/>
      <c r="DP809" s="24"/>
      <c r="DQ809" s="24"/>
      <c r="DR809" s="24"/>
      <c r="DS809" s="24"/>
      <c r="DT809" s="24"/>
      <c r="DU809" s="24"/>
    </row>
    <row r="810" spans="1:125" s="8" customFormat="1" ht="48" x14ac:dyDescent="0.2">
      <c r="A810" s="77">
        <v>41320</v>
      </c>
      <c r="B810" s="352" t="s">
        <v>2847</v>
      </c>
      <c r="C810" s="354" t="s">
        <v>1780</v>
      </c>
      <c r="D810" s="81" t="s">
        <v>2846</v>
      </c>
      <c r="E810" s="75" t="str">
        <f>VLOOKUP(B810&amp;C810,Divipola!$C$2:$F$1138,4,FALSE)</f>
        <v>68755</v>
      </c>
      <c r="F810" s="87"/>
      <c r="G810" s="87"/>
      <c r="H810" s="87"/>
      <c r="I810" s="87"/>
      <c r="J810" s="87"/>
      <c r="K810" s="87"/>
      <c r="L810" s="87"/>
      <c r="M810" s="87"/>
      <c r="N810" s="87"/>
      <c r="O810" s="87"/>
      <c r="P810" s="87"/>
      <c r="Q810" s="87"/>
      <c r="R810" s="87"/>
      <c r="S810" s="87"/>
      <c r="T810" s="87"/>
      <c r="U810" s="88">
        <v>5</v>
      </c>
      <c r="V810" s="89"/>
      <c r="W810" s="96">
        <v>0</v>
      </c>
      <c r="X810" s="71">
        <f>CU810</f>
        <v>0</v>
      </c>
      <c r="Y810" s="71">
        <f>CY810</f>
        <v>0</v>
      </c>
      <c r="Z810" s="71">
        <f>DA810+DC810+DE810</f>
        <v>0</v>
      </c>
      <c r="AA810" s="71">
        <f>CW810</f>
        <v>0</v>
      </c>
      <c r="AB810" s="71"/>
      <c r="AC810" s="71">
        <v>0</v>
      </c>
      <c r="AD810" s="71">
        <f>W810+X810+Y810+Z810+AA810+AB810+AC810</f>
        <v>0</v>
      </c>
      <c r="AE810" s="72">
        <v>0</v>
      </c>
      <c r="AF810" s="5"/>
      <c r="AG810" s="6"/>
      <c r="AH810" s="27" t="s">
        <v>3392</v>
      </c>
      <c r="AI810" s="44" t="s">
        <v>3393</v>
      </c>
      <c r="AJ810" s="26"/>
      <c r="AK810" s="5"/>
      <c r="AL810" s="82" t="s">
        <v>3518</v>
      </c>
      <c r="AM810" s="76"/>
      <c r="AN810" s="76"/>
      <c r="AO810" s="76"/>
      <c r="AP810" s="76"/>
      <c r="AQ810" s="76"/>
      <c r="AR810" s="76"/>
      <c r="AS810" s="76"/>
      <c r="AT810" s="76"/>
      <c r="AU810" s="76"/>
      <c r="AV810" s="76"/>
      <c r="AW810" s="76"/>
      <c r="AX810" s="76">
        <f>+AW810*600000</f>
        <v>0</v>
      </c>
      <c r="AY810" s="76"/>
      <c r="AZ810" s="76">
        <f>+AY810*70000</f>
        <v>0</v>
      </c>
      <c r="BA810" s="76"/>
      <c r="BB810" s="76"/>
      <c r="BC810" s="76"/>
      <c r="BD810" s="76">
        <f>+BC810*30000</f>
        <v>0</v>
      </c>
      <c r="BE810" s="76"/>
      <c r="BF810" s="76"/>
      <c r="BG810" s="76"/>
      <c r="BH810" s="76"/>
      <c r="BI810" s="76"/>
      <c r="BJ810" s="76"/>
      <c r="BK810" s="76"/>
      <c r="BL810" s="76">
        <f>+BK810*31500</f>
        <v>0</v>
      </c>
      <c r="BM810" s="76"/>
      <c r="BN810" s="76"/>
      <c r="BO810" s="76"/>
      <c r="BP810" s="76"/>
      <c r="BQ810" s="76"/>
      <c r="BR810" s="76"/>
      <c r="BS810" s="76"/>
      <c r="BT810" s="76"/>
      <c r="BU810" s="76"/>
      <c r="BV810" s="76"/>
      <c r="BW810" s="76"/>
      <c r="BX810" s="76"/>
      <c r="BY810" s="76"/>
      <c r="BZ810" s="76"/>
      <c r="CA810" s="76"/>
      <c r="CB810" s="76"/>
      <c r="CC810" s="76"/>
      <c r="CD810" s="76"/>
      <c r="CE810" s="76"/>
      <c r="CF810" s="76">
        <f>+CE810*28000</f>
        <v>0</v>
      </c>
      <c r="CG810" s="76"/>
      <c r="CH810" s="76">
        <f>+CG810*22500</f>
        <v>0</v>
      </c>
      <c r="CI810" s="76"/>
      <c r="CJ810" s="76">
        <f>+CI810*26000</f>
        <v>0</v>
      </c>
      <c r="CK810" s="76"/>
      <c r="CL810" s="76"/>
      <c r="CM810" s="76"/>
      <c r="CN810" s="76">
        <f>+CM810*22000</f>
        <v>0</v>
      </c>
      <c r="CO810" s="76"/>
      <c r="CP810" s="76">
        <f>+CO810*46000</f>
        <v>0</v>
      </c>
      <c r="CQ810" s="76"/>
      <c r="CR810" s="76">
        <f>+CQ810*49000</f>
        <v>0</v>
      </c>
      <c r="CS810" s="76"/>
      <c r="CT810" s="76"/>
      <c r="CU810" s="56">
        <f>AN810+AP810+AR810+AT810+AV810+AX810+AZ810+BB810+BD810+BF810+BH810+BJ810+BL810+BN810+BP810+BR810+BT810+BV810+BX810+BZ810+CB810+CD810+CF810+CH810+CJ810+CL810+CN810+CP810+CR810+CT810</f>
        <v>0</v>
      </c>
      <c r="CV810" s="76"/>
      <c r="CW810" s="76">
        <f>+CV810*1100</f>
        <v>0</v>
      </c>
      <c r="CX810" s="76"/>
      <c r="CY810" s="76">
        <f>+CX810*106250</f>
        <v>0</v>
      </c>
      <c r="CZ810" s="76"/>
      <c r="DA810" s="76">
        <f>+CZ810*34500</f>
        <v>0</v>
      </c>
      <c r="DB810" s="76"/>
      <c r="DC810" s="76">
        <f>+DB810*25000</f>
        <v>0</v>
      </c>
      <c r="DD810" s="219"/>
      <c r="DE810" s="219"/>
      <c r="DF810" s="166"/>
      <c r="DG810" s="116"/>
      <c r="DH810" s="117"/>
      <c r="DI810" s="24"/>
      <c r="DJ810" s="24"/>
      <c r="DK810" s="24"/>
      <c r="DL810" s="24"/>
      <c r="DM810" s="24"/>
      <c r="DN810" s="24"/>
      <c r="DO810" s="24"/>
      <c r="DP810" s="24"/>
      <c r="DQ810" s="24"/>
      <c r="DR810" s="24"/>
      <c r="DS810" s="24"/>
      <c r="DT810" s="24"/>
      <c r="DU810" s="24"/>
    </row>
    <row r="811" spans="1:125" s="8" customFormat="1" ht="96" x14ac:dyDescent="0.2">
      <c r="A811" s="77">
        <v>41320</v>
      </c>
      <c r="B811" s="78" t="s">
        <v>2848</v>
      </c>
      <c r="C811" s="75" t="s">
        <v>2213</v>
      </c>
      <c r="D811" s="84" t="s">
        <v>3088</v>
      </c>
      <c r="E811" s="75" t="str">
        <f>VLOOKUP(B811&amp;C811,Divipola!$C$2:$F$1138,4,FALSE)</f>
        <v>73152</v>
      </c>
      <c r="F811" s="87"/>
      <c r="G811" s="87"/>
      <c r="H811" s="87"/>
      <c r="I811" s="87">
        <v>335</v>
      </c>
      <c r="J811" s="87">
        <v>67</v>
      </c>
      <c r="K811" s="87"/>
      <c r="L811" s="87">
        <v>67</v>
      </c>
      <c r="M811" s="87">
        <v>1</v>
      </c>
      <c r="N811" s="87"/>
      <c r="O811" s="87"/>
      <c r="P811" s="87">
        <v>1</v>
      </c>
      <c r="Q811" s="87"/>
      <c r="R811" s="87"/>
      <c r="S811" s="87"/>
      <c r="T811" s="87"/>
      <c r="U811" s="88"/>
      <c r="V811" s="89"/>
      <c r="W811" s="96">
        <v>0</v>
      </c>
      <c r="X811" s="71">
        <f>CU811</f>
        <v>0</v>
      </c>
      <c r="Y811" s="71">
        <f>CY811</f>
        <v>0</v>
      </c>
      <c r="Z811" s="71">
        <f>DA811+DC811+DE811</f>
        <v>0</v>
      </c>
      <c r="AA811" s="71">
        <f>CW811</f>
        <v>0</v>
      </c>
      <c r="AB811" s="71"/>
      <c r="AC811" s="71">
        <v>0</v>
      </c>
      <c r="AD811" s="71">
        <f>W811+X811+Y811+Z811+AA811+AB811+AC811</f>
        <v>0</v>
      </c>
      <c r="AE811" s="72">
        <v>0</v>
      </c>
      <c r="AF811" s="5"/>
      <c r="AG811" s="6"/>
      <c r="AH811" s="27" t="s">
        <v>3392</v>
      </c>
      <c r="AI811" s="44" t="s">
        <v>3393</v>
      </c>
      <c r="AJ811" s="26"/>
      <c r="AK811" s="5"/>
      <c r="AL811" s="82" t="s">
        <v>3517</v>
      </c>
      <c r="AM811" s="76"/>
      <c r="AN811" s="76"/>
      <c r="AO811" s="76"/>
      <c r="AP811" s="76"/>
      <c r="AQ811" s="76"/>
      <c r="AR811" s="76"/>
      <c r="AS811" s="76"/>
      <c r="AT811" s="76"/>
      <c r="AU811" s="76"/>
      <c r="AV811" s="76"/>
      <c r="AW811" s="76"/>
      <c r="AX811" s="76">
        <f>+AW811*600000</f>
        <v>0</v>
      </c>
      <c r="AY811" s="76"/>
      <c r="AZ811" s="76">
        <f>+AY811*70000</f>
        <v>0</v>
      </c>
      <c r="BA811" s="76"/>
      <c r="BB811" s="76"/>
      <c r="BC811" s="76"/>
      <c r="BD811" s="76">
        <f>+BC811*30000</f>
        <v>0</v>
      </c>
      <c r="BE811" s="76"/>
      <c r="BF811" s="76"/>
      <c r="BG811" s="76"/>
      <c r="BH811" s="76"/>
      <c r="BI811" s="76"/>
      <c r="BJ811" s="76"/>
      <c r="BK811" s="76"/>
      <c r="BL811" s="76">
        <f>+BK811*31500</f>
        <v>0</v>
      </c>
      <c r="BM811" s="76"/>
      <c r="BN811" s="76"/>
      <c r="BO811" s="76"/>
      <c r="BP811" s="76"/>
      <c r="BQ811" s="76"/>
      <c r="BR811" s="76"/>
      <c r="BS811" s="76"/>
      <c r="BT811" s="76"/>
      <c r="BU811" s="76"/>
      <c r="BV811" s="76"/>
      <c r="BW811" s="76"/>
      <c r="BX811" s="76"/>
      <c r="BY811" s="76"/>
      <c r="BZ811" s="76"/>
      <c r="CA811" s="76"/>
      <c r="CB811" s="76"/>
      <c r="CC811" s="76"/>
      <c r="CD811" s="76"/>
      <c r="CE811" s="76"/>
      <c r="CF811" s="76">
        <f>+CE811*28000</f>
        <v>0</v>
      </c>
      <c r="CG811" s="76"/>
      <c r="CH811" s="76">
        <f>+CG811*22500</f>
        <v>0</v>
      </c>
      <c r="CI811" s="76"/>
      <c r="CJ811" s="76">
        <f>+CI811*26000</f>
        <v>0</v>
      </c>
      <c r="CK811" s="76"/>
      <c r="CL811" s="76"/>
      <c r="CM811" s="76"/>
      <c r="CN811" s="76">
        <f>+CM811*22000</f>
        <v>0</v>
      </c>
      <c r="CO811" s="76"/>
      <c r="CP811" s="76">
        <f>+CO811*46000</f>
        <v>0</v>
      </c>
      <c r="CQ811" s="76"/>
      <c r="CR811" s="76">
        <f>+CQ811*49000</f>
        <v>0</v>
      </c>
      <c r="CS811" s="76"/>
      <c r="CT811" s="76"/>
      <c r="CU811" s="56">
        <f>AN811+AP811+AR811+AT811+AV811+AX811+AZ811+BB811+BD811+BF811+BH811+BJ811+BL811+BN811+BP811+BR811+BT811+BV811+BX811+BZ811+CB811+CD811+CF811+CH811+CJ811+CL811+CN811+CP811+CR811+CT811</f>
        <v>0</v>
      </c>
      <c r="CV811" s="76"/>
      <c r="CW811" s="76">
        <f>+CV811*1100</f>
        <v>0</v>
      </c>
      <c r="CX811" s="76"/>
      <c r="CY811" s="76">
        <f>+CX811*106250</f>
        <v>0</v>
      </c>
      <c r="CZ811" s="76"/>
      <c r="DA811" s="76">
        <f>+CZ811*34500</f>
        <v>0</v>
      </c>
      <c r="DB811" s="76"/>
      <c r="DC811" s="76">
        <f>+DB811*25000</f>
        <v>0</v>
      </c>
      <c r="DD811" s="219"/>
      <c r="DE811" s="219"/>
      <c r="DF811" s="166"/>
      <c r="DG811" s="116"/>
      <c r="DH811" s="117"/>
      <c r="DI811" s="24"/>
      <c r="DJ811" s="24"/>
      <c r="DK811" s="24"/>
      <c r="DL811" s="24"/>
      <c r="DM811" s="24"/>
      <c r="DN811" s="24"/>
      <c r="DO811" s="24"/>
      <c r="DP811" s="24"/>
      <c r="DQ811" s="24"/>
      <c r="DR811" s="24"/>
      <c r="DS811" s="24"/>
      <c r="DT811" s="24"/>
      <c r="DU811" s="24"/>
    </row>
    <row r="812" spans="1:125" s="8" customFormat="1" ht="36" x14ac:dyDescent="0.2">
      <c r="A812" s="77">
        <v>41320</v>
      </c>
      <c r="B812" s="225" t="s">
        <v>2848</v>
      </c>
      <c r="C812" s="227" t="s">
        <v>2755</v>
      </c>
      <c r="D812" s="84" t="s">
        <v>3088</v>
      </c>
      <c r="E812" s="75" t="str">
        <f>VLOOKUP(B812&amp;C812,Divipola!$C$2:$F$1138,4,FALSE)</f>
        <v>73001</v>
      </c>
      <c r="F812" s="100"/>
      <c r="G812" s="100"/>
      <c r="H812" s="100"/>
      <c r="I812" s="100">
        <v>5</v>
      </c>
      <c r="J812" s="100">
        <v>1</v>
      </c>
      <c r="K812" s="100"/>
      <c r="L812" s="100">
        <v>1</v>
      </c>
      <c r="M812" s="100"/>
      <c r="N812" s="100"/>
      <c r="O812" s="100"/>
      <c r="P812" s="100"/>
      <c r="Q812" s="100"/>
      <c r="R812" s="100"/>
      <c r="S812" s="100"/>
      <c r="T812" s="100"/>
      <c r="U812" s="136"/>
      <c r="V812" s="89"/>
      <c r="W812" s="96">
        <v>0</v>
      </c>
      <c r="X812" s="71">
        <f>CU812</f>
        <v>0</v>
      </c>
      <c r="Y812" s="71">
        <f>CY812</f>
        <v>0</v>
      </c>
      <c r="Z812" s="71">
        <f>DA812+DC812+DE812</f>
        <v>0</v>
      </c>
      <c r="AA812" s="71">
        <f>CW812</f>
        <v>0</v>
      </c>
      <c r="AB812" s="71"/>
      <c r="AC812" s="71">
        <v>0</v>
      </c>
      <c r="AD812" s="71">
        <f>W812+X812+Y812+Z812+AA812+AB812+AC812</f>
        <v>0</v>
      </c>
      <c r="AE812" s="72">
        <v>0</v>
      </c>
      <c r="AF812" s="5"/>
      <c r="AG812" s="6"/>
      <c r="AH812" s="27" t="s">
        <v>3392</v>
      </c>
      <c r="AI812" s="44" t="s">
        <v>3393</v>
      </c>
      <c r="AJ812" s="26"/>
      <c r="AK812" s="5"/>
      <c r="AL812" s="82" t="s">
        <v>3516</v>
      </c>
      <c r="AM812" s="76"/>
      <c r="AN812" s="76"/>
      <c r="AO812" s="76"/>
      <c r="AP812" s="76"/>
      <c r="AQ812" s="76"/>
      <c r="AR812" s="76"/>
      <c r="AS812" s="76"/>
      <c r="AT812" s="76"/>
      <c r="AU812" s="76"/>
      <c r="AV812" s="76"/>
      <c r="AW812" s="76"/>
      <c r="AX812" s="76">
        <f>+AW812*600000</f>
        <v>0</v>
      </c>
      <c r="AY812" s="76"/>
      <c r="AZ812" s="76">
        <f>+AY812*70000</f>
        <v>0</v>
      </c>
      <c r="BA812" s="76"/>
      <c r="BB812" s="76"/>
      <c r="BC812" s="76"/>
      <c r="BD812" s="76">
        <f>+BC812*30000</f>
        <v>0</v>
      </c>
      <c r="BE812" s="76"/>
      <c r="BF812" s="76"/>
      <c r="BG812" s="76"/>
      <c r="BH812" s="76"/>
      <c r="BI812" s="76"/>
      <c r="BJ812" s="76"/>
      <c r="BK812" s="76"/>
      <c r="BL812" s="76">
        <f>+BK812*31500</f>
        <v>0</v>
      </c>
      <c r="BM812" s="76"/>
      <c r="BN812" s="76"/>
      <c r="BO812" s="76"/>
      <c r="BP812" s="76"/>
      <c r="BQ812" s="76"/>
      <c r="BR812" s="76"/>
      <c r="BS812" s="76"/>
      <c r="BT812" s="76"/>
      <c r="BU812" s="76"/>
      <c r="BV812" s="76"/>
      <c r="BW812" s="76"/>
      <c r="BX812" s="76"/>
      <c r="BY812" s="76"/>
      <c r="BZ812" s="76"/>
      <c r="CA812" s="76"/>
      <c r="CB812" s="76"/>
      <c r="CC812" s="76"/>
      <c r="CD812" s="76"/>
      <c r="CE812" s="76"/>
      <c r="CF812" s="76">
        <f>+CE812*28000</f>
        <v>0</v>
      </c>
      <c r="CG812" s="76"/>
      <c r="CH812" s="76">
        <f>+CG812*22500</f>
        <v>0</v>
      </c>
      <c r="CI812" s="76"/>
      <c r="CJ812" s="76">
        <f>+CI812*26000</f>
        <v>0</v>
      </c>
      <c r="CK812" s="76"/>
      <c r="CL812" s="76"/>
      <c r="CM812" s="76"/>
      <c r="CN812" s="76">
        <f>+CM812*22000</f>
        <v>0</v>
      </c>
      <c r="CO812" s="76"/>
      <c r="CP812" s="76">
        <f>+CO812*46000</f>
        <v>0</v>
      </c>
      <c r="CQ812" s="76"/>
      <c r="CR812" s="76">
        <f>+CQ812*49000</f>
        <v>0</v>
      </c>
      <c r="CS812" s="76"/>
      <c r="CT812" s="76"/>
      <c r="CU812" s="56">
        <f>AN812+AP812+AR812+AT812+AV812+AX812+AZ812+BB812+BD812+BF812+BH812+BJ812+BL812+BN812+BP812+BR812+BT812+BV812+BX812+BZ812+CB812+CD812+CF812+CH812+CJ812+CL812+CN812+CP812+CR812+CT812</f>
        <v>0</v>
      </c>
      <c r="CV812" s="76"/>
      <c r="CW812" s="76">
        <f>+CV812*1100</f>
        <v>0</v>
      </c>
      <c r="CX812" s="76"/>
      <c r="CY812" s="76">
        <f>+CX812*106250</f>
        <v>0</v>
      </c>
      <c r="CZ812" s="76"/>
      <c r="DA812" s="76">
        <f>+CZ812*34500</f>
        <v>0</v>
      </c>
      <c r="DB812" s="76"/>
      <c r="DC812" s="76">
        <f>+DB812*25000</f>
        <v>0</v>
      </c>
      <c r="DD812" s="219"/>
      <c r="DE812" s="219"/>
      <c r="DF812" s="166"/>
      <c r="DG812" s="116"/>
      <c r="DH812" s="117"/>
      <c r="DI812" s="24"/>
      <c r="DJ812" s="24"/>
      <c r="DK812" s="24"/>
      <c r="DL812" s="24"/>
      <c r="DM812" s="24"/>
      <c r="DN812" s="24"/>
      <c r="DO812" s="24"/>
      <c r="DP812" s="24"/>
      <c r="DQ812" s="24"/>
      <c r="DR812" s="24"/>
      <c r="DS812" s="24"/>
      <c r="DT812" s="24"/>
      <c r="DU812" s="24"/>
    </row>
    <row r="813" spans="1:125" s="8" customFormat="1" ht="60" x14ac:dyDescent="0.2">
      <c r="A813" s="77">
        <v>41321</v>
      </c>
      <c r="B813" s="225" t="s">
        <v>2894</v>
      </c>
      <c r="C813" s="227" t="s">
        <v>2820</v>
      </c>
      <c r="D813" s="81" t="s">
        <v>2846</v>
      </c>
      <c r="E813" s="75" t="str">
        <f>VLOOKUP(B813&amp;C813,Divipola!$C$2:$F$1138,4,FALSE)</f>
        <v>05120</v>
      </c>
      <c r="F813" s="100"/>
      <c r="G813" s="100"/>
      <c r="H813" s="100"/>
      <c r="I813" s="100"/>
      <c r="J813" s="100"/>
      <c r="K813" s="100"/>
      <c r="L813" s="100"/>
      <c r="M813" s="100"/>
      <c r="N813" s="100"/>
      <c r="O813" s="100"/>
      <c r="P813" s="100"/>
      <c r="Q813" s="100"/>
      <c r="R813" s="100"/>
      <c r="S813" s="100"/>
      <c r="T813" s="100"/>
      <c r="U813" s="136">
        <v>3</v>
      </c>
      <c r="V813" s="89"/>
      <c r="W813" s="96">
        <v>0</v>
      </c>
      <c r="X813" s="71">
        <f>CU813</f>
        <v>0</v>
      </c>
      <c r="Y813" s="71">
        <f>CY813</f>
        <v>0</v>
      </c>
      <c r="Z813" s="71">
        <f>DA813+DC813+DE813</f>
        <v>0</v>
      </c>
      <c r="AA813" s="71">
        <f>CW813</f>
        <v>0</v>
      </c>
      <c r="AB813" s="71"/>
      <c r="AC813" s="71">
        <v>0</v>
      </c>
      <c r="AD813" s="71">
        <f>W813+X813+Y813+Z813+AA813+AB813+AC813</f>
        <v>0</v>
      </c>
      <c r="AE813" s="72">
        <v>0</v>
      </c>
      <c r="AF813" s="5"/>
      <c r="AG813" s="6"/>
      <c r="AH813" s="27" t="s">
        <v>3392</v>
      </c>
      <c r="AI813" s="44" t="s">
        <v>3393</v>
      </c>
      <c r="AJ813" s="26"/>
      <c r="AK813" s="5"/>
      <c r="AL813" s="82" t="s">
        <v>3538</v>
      </c>
      <c r="AM813" s="76"/>
      <c r="AN813" s="76"/>
      <c r="AO813" s="76"/>
      <c r="AP813" s="76"/>
      <c r="AQ813" s="76"/>
      <c r="AR813" s="76"/>
      <c r="AS813" s="76"/>
      <c r="AT813" s="76"/>
      <c r="AU813" s="76"/>
      <c r="AV813" s="76"/>
      <c r="AW813" s="76"/>
      <c r="AX813" s="76">
        <f>+AW813*600000</f>
        <v>0</v>
      </c>
      <c r="AY813" s="76"/>
      <c r="AZ813" s="76">
        <f>+AY813*70000</f>
        <v>0</v>
      </c>
      <c r="BA813" s="76"/>
      <c r="BB813" s="76"/>
      <c r="BC813" s="76"/>
      <c r="BD813" s="76">
        <f>+BC813*30000</f>
        <v>0</v>
      </c>
      <c r="BE813" s="76"/>
      <c r="BF813" s="76"/>
      <c r="BG813" s="76"/>
      <c r="BH813" s="76"/>
      <c r="BI813" s="76"/>
      <c r="BJ813" s="76"/>
      <c r="BK813" s="76"/>
      <c r="BL813" s="76">
        <f>+BK813*31500</f>
        <v>0</v>
      </c>
      <c r="BM813" s="76"/>
      <c r="BN813" s="76"/>
      <c r="BO813" s="76"/>
      <c r="BP813" s="76"/>
      <c r="BQ813" s="76"/>
      <c r="BR813" s="76"/>
      <c r="BS813" s="76"/>
      <c r="BT813" s="76"/>
      <c r="BU813" s="76"/>
      <c r="BV813" s="76"/>
      <c r="BW813" s="76"/>
      <c r="BX813" s="76"/>
      <c r="BY813" s="76"/>
      <c r="BZ813" s="76"/>
      <c r="CA813" s="76"/>
      <c r="CB813" s="76"/>
      <c r="CC813" s="76"/>
      <c r="CD813" s="76"/>
      <c r="CE813" s="76"/>
      <c r="CF813" s="76">
        <f>+CE813*28000</f>
        <v>0</v>
      </c>
      <c r="CG813" s="76"/>
      <c r="CH813" s="76">
        <f>+CG813*22500</f>
        <v>0</v>
      </c>
      <c r="CI813" s="76"/>
      <c r="CJ813" s="76">
        <f>+CI813*26000</f>
        <v>0</v>
      </c>
      <c r="CK813" s="76"/>
      <c r="CL813" s="76"/>
      <c r="CM813" s="76"/>
      <c r="CN813" s="76">
        <f>+CM813*22000</f>
        <v>0</v>
      </c>
      <c r="CO813" s="76"/>
      <c r="CP813" s="76">
        <f>+CO813*46000</f>
        <v>0</v>
      </c>
      <c r="CQ813" s="76"/>
      <c r="CR813" s="76">
        <f>+CQ813*49000</f>
        <v>0</v>
      </c>
      <c r="CS813" s="76"/>
      <c r="CT813" s="76"/>
      <c r="CU813" s="56">
        <f>AN813+AP813+AR813+AT813+AV813+AX813+AZ813+BB813+BD813+BF813+BH813+BJ813+BL813+BN813+BP813+BR813+BT813+BV813+BX813+BZ813+CB813+CD813+CF813+CH813+CJ813+CL813+CN813+CP813+CR813+CT813</f>
        <v>0</v>
      </c>
      <c r="CV813" s="76"/>
      <c r="CW813" s="76">
        <f>+CV813*1100</f>
        <v>0</v>
      </c>
      <c r="CX813" s="76"/>
      <c r="CY813" s="76">
        <f>+CX813*106250</f>
        <v>0</v>
      </c>
      <c r="CZ813" s="76"/>
      <c r="DA813" s="76">
        <f>+CZ813*34500</f>
        <v>0</v>
      </c>
      <c r="DB813" s="76"/>
      <c r="DC813" s="76">
        <f>+DB813*25000</f>
        <v>0</v>
      </c>
      <c r="DD813" s="219"/>
      <c r="DE813" s="219"/>
      <c r="DF813" s="166"/>
      <c r="DG813" s="116"/>
      <c r="DH813" s="117"/>
      <c r="DI813" s="24"/>
      <c r="DJ813" s="24"/>
      <c r="DK813" s="24"/>
      <c r="DL813" s="24"/>
      <c r="DM813" s="24"/>
      <c r="DN813" s="24"/>
      <c r="DO813" s="24"/>
      <c r="DP813" s="24"/>
      <c r="DQ813" s="24"/>
      <c r="DR813" s="24"/>
      <c r="DS813" s="24"/>
      <c r="DT813" s="24"/>
      <c r="DU813" s="24"/>
    </row>
    <row r="814" spans="1:125" s="8" customFormat="1" ht="48" x14ac:dyDescent="0.2">
      <c r="A814" s="77">
        <v>41321</v>
      </c>
      <c r="B814" s="225" t="s">
        <v>2894</v>
      </c>
      <c r="C814" s="227" t="s">
        <v>2397</v>
      </c>
      <c r="D814" s="81" t="s">
        <v>2846</v>
      </c>
      <c r="E814" s="75" t="str">
        <f>VLOOKUP(B814&amp;C814,Divipola!$C$2:$F$1138,4,FALSE)</f>
        <v>05142</v>
      </c>
      <c r="F814" s="100"/>
      <c r="G814" s="100"/>
      <c r="H814" s="100"/>
      <c r="I814" s="100"/>
      <c r="J814" s="100"/>
      <c r="K814" s="100"/>
      <c r="L814" s="100"/>
      <c r="M814" s="100"/>
      <c r="N814" s="100"/>
      <c r="O814" s="100"/>
      <c r="P814" s="100"/>
      <c r="Q814" s="100"/>
      <c r="R814" s="100"/>
      <c r="S814" s="100"/>
      <c r="T814" s="100"/>
      <c r="U814" s="136"/>
      <c r="V814" s="89"/>
      <c r="W814" s="96">
        <v>0</v>
      </c>
      <c r="X814" s="71">
        <f>CU814</f>
        <v>0</v>
      </c>
      <c r="Y814" s="71">
        <f>CY814</f>
        <v>0</v>
      </c>
      <c r="Z814" s="71">
        <f>DA814+DC814+DE814</f>
        <v>0</v>
      </c>
      <c r="AA814" s="71">
        <f>CW814</f>
        <v>0</v>
      </c>
      <c r="AB814" s="71"/>
      <c r="AC814" s="71">
        <v>0</v>
      </c>
      <c r="AD814" s="71">
        <f>W814+X814+Y814+Z814+AA814+AB814+AC814</f>
        <v>0</v>
      </c>
      <c r="AE814" s="72">
        <v>0</v>
      </c>
      <c r="AF814" s="5"/>
      <c r="AG814" s="6"/>
      <c r="AH814" s="27" t="s">
        <v>3392</v>
      </c>
      <c r="AI814" s="44" t="s">
        <v>3393</v>
      </c>
      <c r="AJ814" s="26"/>
      <c r="AK814" s="5"/>
      <c r="AL814" s="82" t="s">
        <v>3539</v>
      </c>
      <c r="AM814" s="76"/>
      <c r="AN814" s="76"/>
      <c r="AO814" s="76"/>
      <c r="AP814" s="76"/>
      <c r="AQ814" s="76"/>
      <c r="AR814" s="76"/>
      <c r="AS814" s="76"/>
      <c r="AT814" s="76"/>
      <c r="AU814" s="76"/>
      <c r="AV814" s="76"/>
      <c r="AW814" s="76"/>
      <c r="AX814" s="76">
        <f>+AW814*600000</f>
        <v>0</v>
      </c>
      <c r="AY814" s="76"/>
      <c r="AZ814" s="76">
        <f>+AY814*70000</f>
        <v>0</v>
      </c>
      <c r="BA814" s="76"/>
      <c r="BB814" s="76"/>
      <c r="BC814" s="76"/>
      <c r="BD814" s="76">
        <f>+BC814*30000</f>
        <v>0</v>
      </c>
      <c r="BE814" s="76"/>
      <c r="BF814" s="76"/>
      <c r="BG814" s="76"/>
      <c r="BH814" s="76"/>
      <c r="BI814" s="76"/>
      <c r="BJ814" s="76"/>
      <c r="BK814" s="76"/>
      <c r="BL814" s="76">
        <f>+BK814*31500</f>
        <v>0</v>
      </c>
      <c r="BM814" s="76"/>
      <c r="BN814" s="76"/>
      <c r="BO814" s="76"/>
      <c r="BP814" s="76"/>
      <c r="BQ814" s="76"/>
      <c r="BR814" s="76"/>
      <c r="BS814" s="76"/>
      <c r="BT814" s="76"/>
      <c r="BU814" s="76"/>
      <c r="BV814" s="76"/>
      <c r="BW814" s="76"/>
      <c r="BX814" s="76"/>
      <c r="BY814" s="76"/>
      <c r="BZ814" s="76"/>
      <c r="CA814" s="76"/>
      <c r="CB814" s="76"/>
      <c r="CC814" s="76"/>
      <c r="CD814" s="76"/>
      <c r="CE814" s="76"/>
      <c r="CF814" s="76">
        <f>+CE814*28000</f>
        <v>0</v>
      </c>
      <c r="CG814" s="76"/>
      <c r="CH814" s="76">
        <f>+CG814*22500</f>
        <v>0</v>
      </c>
      <c r="CI814" s="76"/>
      <c r="CJ814" s="76">
        <f>+CI814*26000</f>
        <v>0</v>
      </c>
      <c r="CK814" s="76"/>
      <c r="CL814" s="76"/>
      <c r="CM814" s="76"/>
      <c r="CN814" s="76">
        <f>+CM814*22000</f>
        <v>0</v>
      </c>
      <c r="CO814" s="76"/>
      <c r="CP814" s="76">
        <f>+CO814*46000</f>
        <v>0</v>
      </c>
      <c r="CQ814" s="76"/>
      <c r="CR814" s="76">
        <f>+CQ814*49000</f>
        <v>0</v>
      </c>
      <c r="CS814" s="76"/>
      <c r="CT814" s="76"/>
      <c r="CU814" s="56">
        <f>AN814+AP814+AR814+AT814+AV814+AX814+AZ814+BB814+BD814+BF814+BH814+BJ814+BL814+BN814+BP814+BR814+BT814+BV814+BX814+BZ814+CB814+CD814+CF814+CH814+CJ814+CL814+CN814+CP814+CR814+CT814</f>
        <v>0</v>
      </c>
      <c r="CV814" s="76"/>
      <c r="CW814" s="76">
        <f>+CV814*1100</f>
        <v>0</v>
      </c>
      <c r="CX814" s="76"/>
      <c r="CY814" s="76">
        <f>+CX814*106250</f>
        <v>0</v>
      </c>
      <c r="CZ814" s="76"/>
      <c r="DA814" s="76">
        <f>+CZ814*34500</f>
        <v>0</v>
      </c>
      <c r="DB814" s="76"/>
      <c r="DC814" s="76">
        <f>+DB814*25000</f>
        <v>0</v>
      </c>
      <c r="DD814" s="219"/>
      <c r="DE814" s="219"/>
      <c r="DF814" s="166"/>
      <c r="DG814" s="116"/>
      <c r="DH814" s="117"/>
      <c r="DI814" s="24"/>
      <c r="DJ814" s="24"/>
      <c r="DK814" s="24"/>
      <c r="DL814" s="24"/>
      <c r="DM814" s="24"/>
      <c r="DN814" s="24"/>
      <c r="DO814" s="24"/>
      <c r="DP814" s="24"/>
      <c r="DQ814" s="24"/>
      <c r="DR814" s="24"/>
      <c r="DS814" s="24"/>
      <c r="DT814" s="24"/>
      <c r="DU814" s="24"/>
    </row>
    <row r="815" spans="1:125" s="8" customFormat="1" ht="36" x14ac:dyDescent="0.2">
      <c r="A815" s="77">
        <v>41321</v>
      </c>
      <c r="B815" s="78" t="s">
        <v>2036</v>
      </c>
      <c r="C815" s="75" t="s">
        <v>2036</v>
      </c>
      <c r="D815" s="81" t="s">
        <v>2846</v>
      </c>
      <c r="E815" s="75" t="str">
        <f>VLOOKUP(B815&amp;C815,Divipola!$C$2:$F$1138,4,FALSE)</f>
        <v>81001</v>
      </c>
      <c r="F815" s="87"/>
      <c r="G815" s="87"/>
      <c r="H815" s="87"/>
      <c r="I815" s="87"/>
      <c r="J815" s="87"/>
      <c r="K815" s="87"/>
      <c r="L815" s="87"/>
      <c r="M815" s="87"/>
      <c r="N815" s="87"/>
      <c r="O815" s="87"/>
      <c r="P815" s="87"/>
      <c r="Q815" s="87"/>
      <c r="R815" s="87"/>
      <c r="S815" s="87"/>
      <c r="T815" s="87"/>
      <c r="U815" s="88">
        <v>30</v>
      </c>
      <c r="V815" s="89"/>
      <c r="W815" s="96">
        <v>0</v>
      </c>
      <c r="X815" s="71">
        <f>CU815</f>
        <v>0</v>
      </c>
      <c r="Y815" s="71">
        <f>CY815</f>
        <v>0</v>
      </c>
      <c r="Z815" s="71">
        <f>DA815+DC815+DE815</f>
        <v>0</v>
      </c>
      <c r="AA815" s="71">
        <f>CW815</f>
        <v>0</v>
      </c>
      <c r="AB815" s="71"/>
      <c r="AC815" s="71">
        <v>0</v>
      </c>
      <c r="AD815" s="71">
        <f>W815+X815+Y815+Z815+AA815+AB815+AC815</f>
        <v>0</v>
      </c>
      <c r="AE815" s="72">
        <v>0</v>
      </c>
      <c r="AF815" s="5"/>
      <c r="AG815" s="6"/>
      <c r="AH815" s="27" t="s">
        <v>3392</v>
      </c>
      <c r="AI815" s="44" t="s">
        <v>3393</v>
      </c>
      <c r="AJ815" s="26"/>
      <c r="AK815" s="5"/>
      <c r="AL815" s="82" t="s">
        <v>3530</v>
      </c>
      <c r="AM815" s="76"/>
      <c r="AN815" s="76"/>
      <c r="AO815" s="76"/>
      <c r="AP815" s="76"/>
      <c r="AQ815" s="76"/>
      <c r="AR815" s="76"/>
      <c r="AS815" s="76"/>
      <c r="AT815" s="76"/>
      <c r="AU815" s="76"/>
      <c r="AV815" s="76"/>
      <c r="AW815" s="76"/>
      <c r="AX815" s="76">
        <f>+AW815*600000</f>
        <v>0</v>
      </c>
      <c r="AY815" s="76"/>
      <c r="AZ815" s="76">
        <f>+AY815*70000</f>
        <v>0</v>
      </c>
      <c r="BA815" s="76"/>
      <c r="BB815" s="76"/>
      <c r="BC815" s="76"/>
      <c r="BD815" s="76">
        <f>+BC815*30000</f>
        <v>0</v>
      </c>
      <c r="BE815" s="76"/>
      <c r="BF815" s="76"/>
      <c r="BG815" s="76"/>
      <c r="BH815" s="76"/>
      <c r="BI815" s="76"/>
      <c r="BJ815" s="76"/>
      <c r="BK815" s="76"/>
      <c r="BL815" s="76">
        <f>+BK815*31500</f>
        <v>0</v>
      </c>
      <c r="BM815" s="76"/>
      <c r="BN815" s="76"/>
      <c r="BO815" s="76"/>
      <c r="BP815" s="76"/>
      <c r="BQ815" s="76"/>
      <c r="BR815" s="76"/>
      <c r="BS815" s="76"/>
      <c r="BT815" s="76"/>
      <c r="BU815" s="76"/>
      <c r="BV815" s="76"/>
      <c r="BW815" s="76"/>
      <c r="BX815" s="76"/>
      <c r="BY815" s="76"/>
      <c r="BZ815" s="76"/>
      <c r="CA815" s="76"/>
      <c r="CB815" s="76"/>
      <c r="CC815" s="76"/>
      <c r="CD815" s="76"/>
      <c r="CE815" s="76"/>
      <c r="CF815" s="76">
        <f>+CE815*28000</f>
        <v>0</v>
      </c>
      <c r="CG815" s="76"/>
      <c r="CH815" s="76">
        <f>+CG815*22500</f>
        <v>0</v>
      </c>
      <c r="CI815" s="76"/>
      <c r="CJ815" s="76">
        <f>+CI815*26000</f>
        <v>0</v>
      </c>
      <c r="CK815" s="76"/>
      <c r="CL815" s="76"/>
      <c r="CM815" s="76"/>
      <c r="CN815" s="76">
        <f>+CM815*22000</f>
        <v>0</v>
      </c>
      <c r="CO815" s="76"/>
      <c r="CP815" s="76">
        <f>+CO815*46000</f>
        <v>0</v>
      </c>
      <c r="CQ815" s="76"/>
      <c r="CR815" s="76">
        <f>+CQ815*49000</f>
        <v>0</v>
      </c>
      <c r="CS815" s="76"/>
      <c r="CT815" s="76"/>
      <c r="CU815" s="56">
        <f>AN815+AP815+AR815+AT815+AV815+AX815+AZ815+BB815+BD815+BF815+BH815+BJ815+BL815+BN815+BP815+BR815+BT815+BV815+BX815+BZ815+CB815+CD815+CF815+CH815+CJ815+CL815+CN815+CP815+CR815+CT815</f>
        <v>0</v>
      </c>
      <c r="CV815" s="76"/>
      <c r="CW815" s="76">
        <f>+CV815*1100</f>
        <v>0</v>
      </c>
      <c r="CX815" s="76"/>
      <c r="CY815" s="76">
        <f>+CX815*106250</f>
        <v>0</v>
      </c>
      <c r="CZ815" s="76"/>
      <c r="DA815" s="76">
        <f>+CZ815*34500</f>
        <v>0</v>
      </c>
      <c r="DB815" s="76"/>
      <c r="DC815" s="76">
        <f>+DB815*25000</f>
        <v>0</v>
      </c>
      <c r="DD815" s="219"/>
      <c r="DE815" s="219"/>
      <c r="DF815" s="166"/>
      <c r="DG815" s="116"/>
      <c r="DH815" s="117"/>
      <c r="DI815" s="24"/>
      <c r="DJ815" s="24"/>
      <c r="DK815" s="24"/>
      <c r="DL815" s="24"/>
      <c r="DM815" s="24"/>
      <c r="DN815" s="24"/>
      <c r="DO815" s="24"/>
      <c r="DP815" s="24"/>
      <c r="DQ815" s="24"/>
      <c r="DR815" s="24"/>
      <c r="DS815" s="24"/>
      <c r="DT815" s="24"/>
      <c r="DU815" s="24"/>
    </row>
    <row r="816" spans="1:125" s="8" customFormat="1" ht="36" x14ac:dyDescent="0.2">
      <c r="A816" s="77">
        <v>41321</v>
      </c>
      <c r="B816" s="78" t="s">
        <v>2700</v>
      </c>
      <c r="C816" s="75" t="s">
        <v>614</v>
      </c>
      <c r="D816" s="75" t="s">
        <v>3017</v>
      </c>
      <c r="E816" s="75" t="str">
        <f>VLOOKUP(B816&amp;C816,Divipola!$C$2:$F$1138,4,FALSE)</f>
        <v>15542</v>
      </c>
      <c r="F816" s="87">
        <v>1</v>
      </c>
      <c r="G816" s="87"/>
      <c r="H816" s="87"/>
      <c r="I816" s="87"/>
      <c r="J816" s="87"/>
      <c r="K816" s="87"/>
      <c r="L816" s="87"/>
      <c r="M816" s="87"/>
      <c r="N816" s="87"/>
      <c r="O816" s="87"/>
      <c r="P816" s="87"/>
      <c r="Q816" s="87"/>
      <c r="R816" s="87"/>
      <c r="S816" s="87"/>
      <c r="T816" s="87"/>
      <c r="U816" s="88"/>
      <c r="V816" s="89"/>
      <c r="W816" s="96">
        <v>0</v>
      </c>
      <c r="X816" s="71">
        <f>CU816</f>
        <v>0</v>
      </c>
      <c r="Y816" s="71">
        <f>CY816</f>
        <v>0</v>
      </c>
      <c r="Z816" s="71">
        <f>DA816+DC816+DE816</f>
        <v>0</v>
      </c>
      <c r="AA816" s="71">
        <f>CW816</f>
        <v>0</v>
      </c>
      <c r="AB816" s="71"/>
      <c r="AC816" s="71">
        <v>0</v>
      </c>
      <c r="AD816" s="71">
        <f>W816+X816+Y816+Z816+AA816+AB816+AC816</f>
        <v>0</v>
      </c>
      <c r="AE816" s="72">
        <v>0</v>
      </c>
      <c r="AF816" s="5"/>
      <c r="AG816" s="6"/>
      <c r="AH816" s="27" t="s">
        <v>3392</v>
      </c>
      <c r="AI816" s="44" t="s">
        <v>3393</v>
      </c>
      <c r="AJ816" s="26"/>
      <c r="AK816" s="5"/>
      <c r="AL816" s="82" t="s">
        <v>3528</v>
      </c>
      <c r="AM816" s="76"/>
      <c r="AN816" s="76"/>
      <c r="AO816" s="76"/>
      <c r="AP816" s="76"/>
      <c r="AQ816" s="76"/>
      <c r="AR816" s="76"/>
      <c r="AS816" s="76"/>
      <c r="AT816" s="76"/>
      <c r="AU816" s="76"/>
      <c r="AV816" s="76"/>
      <c r="AW816" s="76"/>
      <c r="AX816" s="76">
        <f>+AW816*600000</f>
        <v>0</v>
      </c>
      <c r="AY816" s="76"/>
      <c r="AZ816" s="76">
        <f>+AY816*70000</f>
        <v>0</v>
      </c>
      <c r="BA816" s="76"/>
      <c r="BB816" s="76"/>
      <c r="BC816" s="76"/>
      <c r="BD816" s="76">
        <f>+BC816*30000</f>
        <v>0</v>
      </c>
      <c r="BE816" s="76"/>
      <c r="BF816" s="76"/>
      <c r="BG816" s="76"/>
      <c r="BH816" s="76"/>
      <c r="BI816" s="76"/>
      <c r="BJ816" s="76"/>
      <c r="BK816" s="76"/>
      <c r="BL816" s="76">
        <f>+BK816*31500</f>
        <v>0</v>
      </c>
      <c r="BM816" s="76"/>
      <c r="BN816" s="76"/>
      <c r="BO816" s="76"/>
      <c r="BP816" s="76"/>
      <c r="BQ816" s="76"/>
      <c r="BR816" s="76"/>
      <c r="BS816" s="76"/>
      <c r="BT816" s="76"/>
      <c r="BU816" s="76"/>
      <c r="BV816" s="76"/>
      <c r="BW816" s="76"/>
      <c r="BX816" s="76"/>
      <c r="BY816" s="76"/>
      <c r="BZ816" s="76"/>
      <c r="CA816" s="76"/>
      <c r="CB816" s="76"/>
      <c r="CC816" s="76"/>
      <c r="CD816" s="76"/>
      <c r="CE816" s="76"/>
      <c r="CF816" s="76">
        <f>+CE816*28000</f>
        <v>0</v>
      </c>
      <c r="CG816" s="76"/>
      <c r="CH816" s="76">
        <f>+CG816*22500</f>
        <v>0</v>
      </c>
      <c r="CI816" s="76"/>
      <c r="CJ816" s="76">
        <f>+CI816*26000</f>
        <v>0</v>
      </c>
      <c r="CK816" s="76"/>
      <c r="CL816" s="76"/>
      <c r="CM816" s="76"/>
      <c r="CN816" s="76">
        <f>+CM816*22000</f>
        <v>0</v>
      </c>
      <c r="CO816" s="76"/>
      <c r="CP816" s="76">
        <f>+CO816*46000</f>
        <v>0</v>
      </c>
      <c r="CQ816" s="76"/>
      <c r="CR816" s="76">
        <f>+CQ816*49000</f>
        <v>0</v>
      </c>
      <c r="CS816" s="76"/>
      <c r="CT816" s="76"/>
      <c r="CU816" s="56">
        <f>AN816+AP816+AR816+AT816+AV816+AX816+AZ816+BB816+BD816+BF816+BH816+BJ816+BL816+BN816+BP816+BR816+BT816+BV816+BX816+BZ816+CB816+CD816+CF816+CH816+CJ816+CL816+CN816+CP816+CR816+CT816</f>
        <v>0</v>
      </c>
      <c r="CV816" s="76"/>
      <c r="CW816" s="76">
        <f>+CV816*1100</f>
        <v>0</v>
      </c>
      <c r="CX816" s="76"/>
      <c r="CY816" s="76">
        <f>+CX816*106250</f>
        <v>0</v>
      </c>
      <c r="CZ816" s="76"/>
      <c r="DA816" s="76">
        <f>+CZ816*34500</f>
        <v>0</v>
      </c>
      <c r="DB816" s="76"/>
      <c r="DC816" s="76">
        <f>+DB816*25000</f>
        <v>0</v>
      </c>
      <c r="DD816" s="219"/>
      <c r="DE816" s="219"/>
      <c r="DF816" s="166"/>
      <c r="DG816" s="116"/>
      <c r="DH816" s="117"/>
      <c r="DI816" s="24"/>
      <c r="DJ816" s="24"/>
      <c r="DK816" s="24"/>
      <c r="DL816" s="24"/>
      <c r="DM816" s="24"/>
      <c r="DN816" s="24"/>
      <c r="DO816" s="24"/>
      <c r="DP816" s="24"/>
      <c r="DQ816" s="24"/>
      <c r="DR816" s="24"/>
      <c r="DS816" s="24"/>
      <c r="DT816" s="24"/>
      <c r="DU816" s="24"/>
    </row>
    <row r="817" spans="1:125" s="8" customFormat="1" ht="48" x14ac:dyDescent="0.2">
      <c r="A817" s="77">
        <v>41321</v>
      </c>
      <c r="B817" s="78" t="s">
        <v>2778</v>
      </c>
      <c r="C817" s="75" t="s">
        <v>2194</v>
      </c>
      <c r="D817" s="81" t="s">
        <v>2846</v>
      </c>
      <c r="E817" s="75" t="str">
        <f>VLOOKUP(B817&amp;C817,Divipola!$C$2:$F$1138,4,FALSE)</f>
        <v>85010</v>
      </c>
      <c r="F817" s="87"/>
      <c r="G817" s="87"/>
      <c r="H817" s="87"/>
      <c r="I817" s="87"/>
      <c r="J817" s="87"/>
      <c r="K817" s="87"/>
      <c r="L817" s="87"/>
      <c r="M817" s="87"/>
      <c r="N817" s="87"/>
      <c r="O817" s="87"/>
      <c r="P817" s="87"/>
      <c r="Q817" s="87"/>
      <c r="R817" s="87"/>
      <c r="S817" s="87"/>
      <c r="T817" s="87"/>
      <c r="U817" s="88">
        <v>2</v>
      </c>
      <c r="V817" s="89"/>
      <c r="W817" s="96">
        <v>0</v>
      </c>
      <c r="X817" s="71">
        <f>CU817</f>
        <v>0</v>
      </c>
      <c r="Y817" s="71">
        <f>CY817</f>
        <v>0</v>
      </c>
      <c r="Z817" s="71">
        <f>DA817+DC817+DE817</f>
        <v>0</v>
      </c>
      <c r="AA817" s="71">
        <f>CW817</f>
        <v>0</v>
      </c>
      <c r="AB817" s="71"/>
      <c r="AC817" s="71">
        <v>0</v>
      </c>
      <c r="AD817" s="71">
        <f>W817+X817+Y817+Z817+AA817+AB817+AC817</f>
        <v>0</v>
      </c>
      <c r="AE817" s="72">
        <v>0</v>
      </c>
      <c r="AF817" s="5"/>
      <c r="AG817" s="6"/>
      <c r="AH817" s="27" t="s">
        <v>3392</v>
      </c>
      <c r="AI817" s="44" t="s">
        <v>3393</v>
      </c>
      <c r="AJ817" s="26"/>
      <c r="AK817" s="5"/>
      <c r="AL817" s="82" t="s">
        <v>3669</v>
      </c>
      <c r="AM817" s="76"/>
      <c r="AN817" s="76"/>
      <c r="AO817" s="76"/>
      <c r="AP817" s="76"/>
      <c r="AQ817" s="76"/>
      <c r="AR817" s="76"/>
      <c r="AS817" s="76"/>
      <c r="AT817" s="76"/>
      <c r="AU817" s="76"/>
      <c r="AV817" s="76"/>
      <c r="AW817" s="76"/>
      <c r="AX817" s="76">
        <f>+AW817*600000</f>
        <v>0</v>
      </c>
      <c r="AY817" s="76"/>
      <c r="AZ817" s="76">
        <f>+AY817*70000</f>
        <v>0</v>
      </c>
      <c r="BA817" s="76"/>
      <c r="BB817" s="76"/>
      <c r="BC817" s="76"/>
      <c r="BD817" s="76">
        <f>+BC817*30000</f>
        <v>0</v>
      </c>
      <c r="BE817" s="76"/>
      <c r="BF817" s="76"/>
      <c r="BG817" s="76"/>
      <c r="BH817" s="76"/>
      <c r="BI817" s="76"/>
      <c r="BJ817" s="76"/>
      <c r="BK817" s="76"/>
      <c r="BL817" s="76">
        <f>+BK817*31500</f>
        <v>0</v>
      </c>
      <c r="BM817" s="76"/>
      <c r="BN817" s="76"/>
      <c r="BO817" s="76"/>
      <c r="BP817" s="76"/>
      <c r="BQ817" s="76"/>
      <c r="BR817" s="76"/>
      <c r="BS817" s="76"/>
      <c r="BT817" s="76"/>
      <c r="BU817" s="76"/>
      <c r="BV817" s="76"/>
      <c r="BW817" s="76"/>
      <c r="BX817" s="76"/>
      <c r="BY817" s="76"/>
      <c r="BZ817" s="76"/>
      <c r="CA817" s="76"/>
      <c r="CB817" s="76"/>
      <c r="CC817" s="76"/>
      <c r="CD817" s="76"/>
      <c r="CE817" s="76"/>
      <c r="CF817" s="76">
        <f>+CE817*28000</f>
        <v>0</v>
      </c>
      <c r="CG817" s="76"/>
      <c r="CH817" s="76">
        <f>+CG817*22500</f>
        <v>0</v>
      </c>
      <c r="CI817" s="76"/>
      <c r="CJ817" s="76">
        <f>+CI817*26000</f>
        <v>0</v>
      </c>
      <c r="CK817" s="76"/>
      <c r="CL817" s="76"/>
      <c r="CM817" s="76"/>
      <c r="CN817" s="76">
        <f>+CM817*22000</f>
        <v>0</v>
      </c>
      <c r="CO817" s="76"/>
      <c r="CP817" s="76">
        <f>+CO817*46000</f>
        <v>0</v>
      </c>
      <c r="CQ817" s="76"/>
      <c r="CR817" s="76">
        <f>+CQ817*49000</f>
        <v>0</v>
      </c>
      <c r="CS817" s="76"/>
      <c r="CT817" s="76"/>
      <c r="CU817" s="56">
        <f>AN817+AP817+AR817+AT817+AV817+AX817+AZ817+BB817+BD817+BF817+BH817+BJ817+BL817+BN817+BP817+BR817+BT817+BV817+BX817+BZ817+CB817+CD817+CF817+CH817+CJ817+CL817+CN817+CP817+CR817+CT817</f>
        <v>0</v>
      </c>
      <c r="CV817" s="76"/>
      <c r="CW817" s="76">
        <f>+CV817*1100</f>
        <v>0</v>
      </c>
      <c r="CX817" s="76"/>
      <c r="CY817" s="76">
        <f>+CX817*106250</f>
        <v>0</v>
      </c>
      <c r="CZ817" s="76"/>
      <c r="DA817" s="76">
        <f>+CZ817*34500</f>
        <v>0</v>
      </c>
      <c r="DB817" s="76"/>
      <c r="DC817" s="76">
        <f>+DB817*25000</f>
        <v>0</v>
      </c>
      <c r="DD817" s="219"/>
      <c r="DE817" s="219"/>
      <c r="DF817" s="166"/>
      <c r="DG817" s="116"/>
      <c r="DH817" s="117"/>
      <c r="DI817" s="24"/>
      <c r="DJ817" s="24"/>
      <c r="DK817" s="24"/>
      <c r="DL817" s="24"/>
      <c r="DM817" s="24"/>
      <c r="DN817" s="24"/>
      <c r="DO817" s="24"/>
      <c r="DP817" s="24"/>
      <c r="DQ817" s="24"/>
      <c r="DR817" s="24"/>
      <c r="DS817" s="24"/>
      <c r="DT817" s="24"/>
      <c r="DU817" s="24"/>
    </row>
    <row r="818" spans="1:125" s="8" customFormat="1" ht="48" x14ac:dyDescent="0.2">
      <c r="A818" s="77">
        <v>41321</v>
      </c>
      <c r="B818" s="225" t="s">
        <v>2778</v>
      </c>
      <c r="C818" s="227" t="s">
        <v>509</v>
      </c>
      <c r="D818" s="81" t="s">
        <v>2846</v>
      </c>
      <c r="E818" s="75" t="str">
        <f>VLOOKUP(B818&amp;C818,Divipola!$C$2:$F$1138,4,FALSE)</f>
        <v>85125</v>
      </c>
      <c r="F818" s="87"/>
      <c r="G818" s="87"/>
      <c r="H818" s="87"/>
      <c r="I818" s="87"/>
      <c r="J818" s="87"/>
      <c r="K818" s="87"/>
      <c r="L818" s="87"/>
      <c r="M818" s="87"/>
      <c r="N818" s="87"/>
      <c r="O818" s="87"/>
      <c r="P818" s="87"/>
      <c r="Q818" s="87"/>
      <c r="R818" s="87"/>
      <c r="S818" s="87"/>
      <c r="T818" s="87"/>
      <c r="U818" s="88">
        <v>25</v>
      </c>
      <c r="V818" s="89"/>
      <c r="W818" s="96">
        <v>0</v>
      </c>
      <c r="X818" s="71">
        <f>CU818</f>
        <v>0</v>
      </c>
      <c r="Y818" s="71">
        <f>CY818</f>
        <v>0</v>
      </c>
      <c r="Z818" s="71">
        <f>DA818+DC818+DE818</f>
        <v>0</v>
      </c>
      <c r="AA818" s="71">
        <f>CW818</f>
        <v>0</v>
      </c>
      <c r="AB818" s="71"/>
      <c r="AC818" s="71">
        <v>0</v>
      </c>
      <c r="AD818" s="71">
        <f>W818+X818+Y818+Z818+AA818+AB818+AC818</f>
        <v>0</v>
      </c>
      <c r="AE818" s="72">
        <v>0</v>
      </c>
      <c r="AF818" s="5"/>
      <c r="AG818" s="6"/>
      <c r="AH818" s="27" t="s">
        <v>3392</v>
      </c>
      <c r="AI818" s="44" t="s">
        <v>3393</v>
      </c>
      <c r="AJ818" s="26"/>
      <c r="AK818" s="5"/>
      <c r="AL818" s="82" t="s">
        <v>3671</v>
      </c>
      <c r="AM818" s="76"/>
      <c r="AN818" s="76"/>
      <c r="AO818" s="76"/>
      <c r="AP818" s="76"/>
      <c r="AQ818" s="76"/>
      <c r="AR818" s="76"/>
      <c r="AS818" s="76"/>
      <c r="AT818" s="76"/>
      <c r="AU818" s="76"/>
      <c r="AV818" s="76"/>
      <c r="AW818" s="76"/>
      <c r="AX818" s="76">
        <f>+AW818*600000</f>
        <v>0</v>
      </c>
      <c r="AY818" s="76"/>
      <c r="AZ818" s="76">
        <f>+AY818*70000</f>
        <v>0</v>
      </c>
      <c r="BA818" s="76"/>
      <c r="BB818" s="76"/>
      <c r="BC818" s="76"/>
      <c r="BD818" s="76">
        <f>+BC818*30000</f>
        <v>0</v>
      </c>
      <c r="BE818" s="76"/>
      <c r="BF818" s="76"/>
      <c r="BG818" s="76"/>
      <c r="BH818" s="76"/>
      <c r="BI818" s="76"/>
      <c r="BJ818" s="76"/>
      <c r="BK818" s="76"/>
      <c r="BL818" s="76">
        <f>+BK818*31500</f>
        <v>0</v>
      </c>
      <c r="BM818" s="76"/>
      <c r="BN818" s="76"/>
      <c r="BO818" s="76"/>
      <c r="BP818" s="76"/>
      <c r="BQ818" s="76"/>
      <c r="BR818" s="76"/>
      <c r="BS818" s="76"/>
      <c r="BT818" s="76"/>
      <c r="BU818" s="76"/>
      <c r="BV818" s="76"/>
      <c r="BW818" s="76"/>
      <c r="BX818" s="76"/>
      <c r="BY818" s="76"/>
      <c r="BZ818" s="76"/>
      <c r="CA818" s="76"/>
      <c r="CB818" s="76"/>
      <c r="CC818" s="76"/>
      <c r="CD818" s="76"/>
      <c r="CE818" s="76"/>
      <c r="CF818" s="76">
        <f>+CE818*28000</f>
        <v>0</v>
      </c>
      <c r="CG818" s="76"/>
      <c r="CH818" s="76">
        <f>+CG818*22500</f>
        <v>0</v>
      </c>
      <c r="CI818" s="76"/>
      <c r="CJ818" s="76">
        <f>+CI818*26000</f>
        <v>0</v>
      </c>
      <c r="CK818" s="76"/>
      <c r="CL818" s="76"/>
      <c r="CM818" s="76"/>
      <c r="CN818" s="76">
        <f>+CM818*22000</f>
        <v>0</v>
      </c>
      <c r="CO818" s="76"/>
      <c r="CP818" s="76">
        <f>+CO818*46000</f>
        <v>0</v>
      </c>
      <c r="CQ818" s="76"/>
      <c r="CR818" s="76">
        <f>+CQ818*49000</f>
        <v>0</v>
      </c>
      <c r="CS818" s="76"/>
      <c r="CT818" s="76"/>
      <c r="CU818" s="56">
        <f>AN818+AP818+AR818+AT818+AV818+AX818+AZ818+BB818+BD818+BF818+BH818+BJ818+BL818+BN818+BP818+BR818+BT818+BV818+BX818+BZ818+CB818+CD818+CF818+CH818+CJ818+CL818+CN818+CP818+CR818+CT818</f>
        <v>0</v>
      </c>
      <c r="CV818" s="76"/>
      <c r="CW818" s="76">
        <f>+CV818*1100</f>
        <v>0</v>
      </c>
      <c r="CX818" s="76"/>
      <c r="CY818" s="76">
        <f>+CX818*106250</f>
        <v>0</v>
      </c>
      <c r="CZ818" s="76"/>
      <c r="DA818" s="76">
        <f>+CZ818*34500</f>
        <v>0</v>
      </c>
      <c r="DB818" s="76"/>
      <c r="DC818" s="76">
        <f>+DB818*25000</f>
        <v>0</v>
      </c>
      <c r="DD818" s="219"/>
      <c r="DE818" s="219"/>
      <c r="DF818" s="166"/>
      <c r="DG818" s="116"/>
      <c r="DH818" s="117"/>
      <c r="DI818" s="24"/>
      <c r="DJ818" s="24"/>
      <c r="DK818" s="24"/>
      <c r="DL818" s="24"/>
      <c r="DM818" s="24"/>
      <c r="DN818" s="24"/>
      <c r="DO818" s="24"/>
      <c r="DP818" s="24"/>
      <c r="DQ818" s="24"/>
      <c r="DR818" s="24"/>
      <c r="DS818" s="24"/>
      <c r="DT818" s="24"/>
      <c r="DU818" s="24"/>
    </row>
    <row r="819" spans="1:125" s="8" customFormat="1" ht="48" x14ac:dyDescent="0.2">
      <c r="A819" s="77">
        <v>41321</v>
      </c>
      <c r="B819" s="78" t="s">
        <v>2778</v>
      </c>
      <c r="C819" s="75" t="s">
        <v>2212</v>
      </c>
      <c r="D819" s="81" t="s">
        <v>2846</v>
      </c>
      <c r="E819" s="75" t="str">
        <f>VLOOKUP(B819&amp;C819,Divipola!$C$2:$F$1138,4,FALSE)</f>
        <v>85250</v>
      </c>
      <c r="F819" s="100"/>
      <c r="G819" s="100"/>
      <c r="H819" s="100"/>
      <c r="I819" s="100"/>
      <c r="J819" s="100"/>
      <c r="K819" s="100"/>
      <c r="L819" s="100"/>
      <c r="M819" s="100"/>
      <c r="N819" s="100"/>
      <c r="O819" s="100"/>
      <c r="P819" s="100"/>
      <c r="Q819" s="100"/>
      <c r="R819" s="100"/>
      <c r="S819" s="100"/>
      <c r="T819" s="100"/>
      <c r="U819" s="136">
        <v>5</v>
      </c>
      <c r="V819" s="89"/>
      <c r="W819" s="96">
        <v>0</v>
      </c>
      <c r="X819" s="71">
        <f>CU819</f>
        <v>0</v>
      </c>
      <c r="Y819" s="71">
        <f>CY819</f>
        <v>0</v>
      </c>
      <c r="Z819" s="71">
        <f>DA819+DC819+DE819</f>
        <v>0</v>
      </c>
      <c r="AA819" s="71">
        <f>CW819</f>
        <v>0</v>
      </c>
      <c r="AB819" s="71"/>
      <c r="AC819" s="71">
        <v>0</v>
      </c>
      <c r="AD819" s="71">
        <f>W819+X819+Y819+Z819+AA819+AB819+AC819</f>
        <v>0</v>
      </c>
      <c r="AE819" s="72">
        <v>0</v>
      </c>
      <c r="AF819" s="5"/>
      <c r="AG819" s="6"/>
      <c r="AH819" s="27" t="s">
        <v>3392</v>
      </c>
      <c r="AI819" s="44" t="s">
        <v>3393</v>
      </c>
      <c r="AJ819" s="26"/>
      <c r="AK819" s="5"/>
      <c r="AL819" s="82" t="s">
        <v>3757</v>
      </c>
      <c r="AM819" s="76"/>
      <c r="AN819" s="76"/>
      <c r="AO819" s="76"/>
      <c r="AP819" s="76"/>
      <c r="AQ819" s="76"/>
      <c r="AR819" s="76"/>
      <c r="AS819" s="76"/>
      <c r="AT819" s="76"/>
      <c r="AU819" s="76"/>
      <c r="AV819" s="76"/>
      <c r="AW819" s="76"/>
      <c r="AX819" s="76">
        <f>+AW819*600000</f>
        <v>0</v>
      </c>
      <c r="AY819" s="76"/>
      <c r="AZ819" s="76">
        <f>+AY819*70000</f>
        <v>0</v>
      </c>
      <c r="BA819" s="76"/>
      <c r="BB819" s="76"/>
      <c r="BC819" s="76"/>
      <c r="BD819" s="76">
        <f>+BC819*30000</f>
        <v>0</v>
      </c>
      <c r="BE819" s="76"/>
      <c r="BF819" s="76"/>
      <c r="BG819" s="76"/>
      <c r="BH819" s="76"/>
      <c r="BI819" s="76"/>
      <c r="BJ819" s="76"/>
      <c r="BK819" s="76"/>
      <c r="BL819" s="76">
        <f>+BK819*31500</f>
        <v>0</v>
      </c>
      <c r="BM819" s="76"/>
      <c r="BN819" s="76"/>
      <c r="BO819" s="76"/>
      <c r="BP819" s="76"/>
      <c r="BQ819" s="76"/>
      <c r="BR819" s="76"/>
      <c r="BS819" s="76"/>
      <c r="BT819" s="76"/>
      <c r="BU819" s="76"/>
      <c r="BV819" s="76"/>
      <c r="BW819" s="76"/>
      <c r="BX819" s="76"/>
      <c r="BY819" s="76"/>
      <c r="BZ819" s="76"/>
      <c r="CA819" s="76"/>
      <c r="CB819" s="76"/>
      <c r="CC819" s="76"/>
      <c r="CD819" s="76"/>
      <c r="CE819" s="76"/>
      <c r="CF819" s="76">
        <f>+CE819*28000</f>
        <v>0</v>
      </c>
      <c r="CG819" s="76"/>
      <c r="CH819" s="76">
        <f>+CG819*22500</f>
        <v>0</v>
      </c>
      <c r="CI819" s="76"/>
      <c r="CJ819" s="76">
        <f>+CI819*26000</f>
        <v>0</v>
      </c>
      <c r="CK819" s="76"/>
      <c r="CL819" s="76"/>
      <c r="CM819" s="76"/>
      <c r="CN819" s="76">
        <f>+CM819*22000</f>
        <v>0</v>
      </c>
      <c r="CO819" s="76"/>
      <c r="CP819" s="76">
        <f>+CO819*46000</f>
        <v>0</v>
      </c>
      <c r="CQ819" s="76"/>
      <c r="CR819" s="76">
        <f>+CQ819*49000</f>
        <v>0</v>
      </c>
      <c r="CS819" s="76"/>
      <c r="CT819" s="76"/>
      <c r="CU819" s="56">
        <f>AN819+AP819+AR819+AT819+AV819+AX819+AZ819+BB819+BD819+BF819+BH819+BJ819+BL819+BN819+BP819+BR819+BT819+BV819+BX819+BZ819+CB819+CD819+CF819+CH819+CJ819+CL819+CN819+CP819+CR819+CT819</f>
        <v>0</v>
      </c>
      <c r="CV819" s="76"/>
      <c r="CW819" s="76">
        <f>+CV819*1100</f>
        <v>0</v>
      </c>
      <c r="CX819" s="76"/>
      <c r="CY819" s="76">
        <f>+CX819*106250</f>
        <v>0</v>
      </c>
      <c r="CZ819" s="76"/>
      <c r="DA819" s="76">
        <f>+CZ819*34500</f>
        <v>0</v>
      </c>
      <c r="DB819" s="76"/>
      <c r="DC819" s="76">
        <f>+DB819*25000</f>
        <v>0</v>
      </c>
      <c r="DD819" s="219"/>
      <c r="DE819" s="219"/>
      <c r="DF819" s="166"/>
      <c r="DG819" s="116"/>
      <c r="DH819" s="117"/>
      <c r="DI819" s="24"/>
      <c r="DJ819" s="24"/>
      <c r="DK819" s="24"/>
      <c r="DL819" s="24"/>
      <c r="DM819" s="24"/>
      <c r="DN819" s="24"/>
      <c r="DO819" s="24"/>
      <c r="DP819" s="24"/>
      <c r="DQ819" s="24"/>
      <c r="DR819" s="24"/>
      <c r="DS819" s="24"/>
      <c r="DT819" s="24"/>
      <c r="DU819" s="24"/>
    </row>
    <row r="820" spans="1:125" s="8" customFormat="1" ht="36" x14ac:dyDescent="0.2">
      <c r="A820" s="77">
        <v>41321</v>
      </c>
      <c r="B820" s="225" t="s">
        <v>2778</v>
      </c>
      <c r="C820" s="227" t="s">
        <v>1271</v>
      </c>
      <c r="D820" s="81" t="s">
        <v>2846</v>
      </c>
      <c r="E820" s="75" t="str">
        <f>VLOOKUP(B820&amp;C820,Divipola!$C$2:$F$1138,4,FALSE)</f>
        <v>85410</v>
      </c>
      <c r="F820" s="87"/>
      <c r="G820" s="87"/>
      <c r="H820" s="87"/>
      <c r="I820" s="87"/>
      <c r="J820" s="87"/>
      <c r="K820" s="87"/>
      <c r="L820" s="87"/>
      <c r="M820" s="87"/>
      <c r="N820" s="87"/>
      <c r="O820" s="87"/>
      <c r="P820" s="87"/>
      <c r="Q820" s="87"/>
      <c r="R820" s="87"/>
      <c r="S820" s="87"/>
      <c r="T820" s="87"/>
      <c r="U820" s="88">
        <v>100</v>
      </c>
      <c r="V820" s="89"/>
      <c r="W820" s="96">
        <v>0</v>
      </c>
      <c r="X820" s="71">
        <f>CU820</f>
        <v>0</v>
      </c>
      <c r="Y820" s="71">
        <f>CY820</f>
        <v>0</v>
      </c>
      <c r="Z820" s="71">
        <f>DA820+DC820+DE820</f>
        <v>0</v>
      </c>
      <c r="AA820" s="71">
        <f>CW820</f>
        <v>0</v>
      </c>
      <c r="AB820" s="71"/>
      <c r="AC820" s="71">
        <v>0</v>
      </c>
      <c r="AD820" s="71">
        <f>W820+X820+Y820+Z820+AA820+AB820+AC820</f>
        <v>0</v>
      </c>
      <c r="AE820" s="72">
        <v>0</v>
      </c>
      <c r="AF820" s="5"/>
      <c r="AG820" s="6"/>
      <c r="AH820" s="27" t="s">
        <v>3392</v>
      </c>
      <c r="AI820" s="44" t="s">
        <v>3393</v>
      </c>
      <c r="AJ820" s="26"/>
      <c r="AK820" s="5"/>
      <c r="AL820" s="82" t="s">
        <v>3526</v>
      </c>
      <c r="AM820" s="76"/>
      <c r="AN820" s="76"/>
      <c r="AO820" s="76"/>
      <c r="AP820" s="76"/>
      <c r="AQ820" s="76"/>
      <c r="AR820" s="76"/>
      <c r="AS820" s="76"/>
      <c r="AT820" s="76"/>
      <c r="AU820" s="76"/>
      <c r="AV820" s="76"/>
      <c r="AW820" s="76"/>
      <c r="AX820" s="76">
        <f>+AW820*600000</f>
        <v>0</v>
      </c>
      <c r="AY820" s="76"/>
      <c r="AZ820" s="76">
        <f>+AY820*70000</f>
        <v>0</v>
      </c>
      <c r="BA820" s="76"/>
      <c r="BB820" s="76"/>
      <c r="BC820" s="76"/>
      <c r="BD820" s="76">
        <f>+BC820*30000</f>
        <v>0</v>
      </c>
      <c r="BE820" s="76"/>
      <c r="BF820" s="76"/>
      <c r="BG820" s="76"/>
      <c r="BH820" s="76"/>
      <c r="BI820" s="76"/>
      <c r="BJ820" s="76"/>
      <c r="BK820" s="76"/>
      <c r="BL820" s="76">
        <f>+BK820*31500</f>
        <v>0</v>
      </c>
      <c r="BM820" s="76"/>
      <c r="BN820" s="76"/>
      <c r="BO820" s="76"/>
      <c r="BP820" s="76"/>
      <c r="BQ820" s="76"/>
      <c r="BR820" s="76"/>
      <c r="BS820" s="76"/>
      <c r="BT820" s="76"/>
      <c r="BU820" s="76"/>
      <c r="BV820" s="76"/>
      <c r="BW820" s="76"/>
      <c r="BX820" s="76"/>
      <c r="BY820" s="76"/>
      <c r="BZ820" s="76"/>
      <c r="CA820" s="76"/>
      <c r="CB820" s="76"/>
      <c r="CC820" s="76"/>
      <c r="CD820" s="76"/>
      <c r="CE820" s="76"/>
      <c r="CF820" s="76">
        <f>+CE820*28000</f>
        <v>0</v>
      </c>
      <c r="CG820" s="76"/>
      <c r="CH820" s="76">
        <f>+CG820*22500</f>
        <v>0</v>
      </c>
      <c r="CI820" s="76"/>
      <c r="CJ820" s="76">
        <f>+CI820*26000</f>
        <v>0</v>
      </c>
      <c r="CK820" s="76"/>
      <c r="CL820" s="76"/>
      <c r="CM820" s="76"/>
      <c r="CN820" s="76">
        <f>+CM820*22000</f>
        <v>0</v>
      </c>
      <c r="CO820" s="76"/>
      <c r="CP820" s="76">
        <f>+CO820*46000</f>
        <v>0</v>
      </c>
      <c r="CQ820" s="76"/>
      <c r="CR820" s="76">
        <f>+CQ820*49000</f>
        <v>0</v>
      </c>
      <c r="CS820" s="76"/>
      <c r="CT820" s="76"/>
      <c r="CU820" s="56">
        <f>AN820+AP820+AR820+AT820+AV820+AX820+AZ820+BB820+BD820+BF820+BH820+BJ820+BL820+BN820+BP820+BR820+BT820+BV820+BX820+BZ820+CB820+CD820+CF820+CH820+CJ820+CL820+CN820+CP820+CR820+CT820</f>
        <v>0</v>
      </c>
      <c r="CV820" s="76"/>
      <c r="CW820" s="76">
        <f>+CV820*1100</f>
        <v>0</v>
      </c>
      <c r="CX820" s="76"/>
      <c r="CY820" s="76">
        <f>+CX820*106250</f>
        <v>0</v>
      </c>
      <c r="CZ820" s="76"/>
      <c r="DA820" s="76">
        <f>+CZ820*34500</f>
        <v>0</v>
      </c>
      <c r="DB820" s="76"/>
      <c r="DC820" s="76">
        <f>+DB820*25000</f>
        <v>0</v>
      </c>
      <c r="DD820" s="219"/>
      <c r="DE820" s="219"/>
      <c r="DF820" s="166"/>
      <c r="DG820" s="116"/>
      <c r="DH820" s="117"/>
      <c r="DI820" s="24"/>
      <c r="DJ820" s="24"/>
      <c r="DK820" s="24"/>
      <c r="DL820" s="24"/>
      <c r="DM820" s="24"/>
      <c r="DN820" s="24"/>
      <c r="DO820" s="24"/>
      <c r="DP820" s="24"/>
      <c r="DQ820" s="24"/>
      <c r="DR820" s="24"/>
      <c r="DS820" s="24"/>
      <c r="DT820" s="24"/>
      <c r="DU820" s="24"/>
    </row>
    <row r="821" spans="1:125" s="8" customFormat="1" ht="48" x14ac:dyDescent="0.2">
      <c r="A821" s="77">
        <v>41321</v>
      </c>
      <c r="B821" s="78" t="s">
        <v>2778</v>
      </c>
      <c r="C821" s="75" t="s">
        <v>1271</v>
      </c>
      <c r="D821" s="81" t="s">
        <v>2846</v>
      </c>
      <c r="E821" s="75" t="str">
        <f>VLOOKUP(B821&amp;C821,Divipola!$C$2:$F$1138,4,FALSE)</f>
        <v>85410</v>
      </c>
      <c r="F821" s="87"/>
      <c r="G821" s="87"/>
      <c r="H821" s="87"/>
      <c r="I821" s="87"/>
      <c r="J821" s="87"/>
      <c r="K821" s="87"/>
      <c r="L821" s="87"/>
      <c r="M821" s="87"/>
      <c r="N821" s="87"/>
      <c r="O821" s="87"/>
      <c r="P821" s="87"/>
      <c r="Q821" s="87"/>
      <c r="R821" s="87"/>
      <c r="S821" s="87"/>
      <c r="T821" s="87"/>
      <c r="U821" s="88">
        <v>100</v>
      </c>
      <c r="V821" s="89"/>
      <c r="W821" s="96">
        <v>0</v>
      </c>
      <c r="X821" s="71">
        <f>CU821</f>
        <v>0</v>
      </c>
      <c r="Y821" s="71">
        <f>CY821</f>
        <v>0</v>
      </c>
      <c r="Z821" s="71">
        <f>DA821+DC821+DE821</f>
        <v>0</v>
      </c>
      <c r="AA821" s="71">
        <f>CW821</f>
        <v>0</v>
      </c>
      <c r="AB821" s="71"/>
      <c r="AC821" s="71">
        <v>0</v>
      </c>
      <c r="AD821" s="71">
        <f>W821+X821+Y821+Z821+AA821+AB821+AC821</f>
        <v>0</v>
      </c>
      <c r="AE821" s="72">
        <v>0</v>
      </c>
      <c r="AF821" s="5"/>
      <c r="AG821" s="6"/>
      <c r="AH821" s="27" t="s">
        <v>3392</v>
      </c>
      <c r="AI821" s="44" t="s">
        <v>3393</v>
      </c>
      <c r="AJ821" s="26"/>
      <c r="AK821" s="5"/>
      <c r="AL821" s="82" t="s">
        <v>3810</v>
      </c>
      <c r="AM821" s="76"/>
      <c r="AN821" s="76"/>
      <c r="AO821" s="76"/>
      <c r="AP821" s="76"/>
      <c r="AQ821" s="76"/>
      <c r="AR821" s="76"/>
      <c r="AS821" s="76"/>
      <c r="AT821" s="76"/>
      <c r="AU821" s="76"/>
      <c r="AV821" s="76"/>
      <c r="AW821" s="76"/>
      <c r="AX821" s="76">
        <f>+AW821*600000</f>
        <v>0</v>
      </c>
      <c r="AY821" s="76"/>
      <c r="AZ821" s="76">
        <f>+AY821*70000</f>
        <v>0</v>
      </c>
      <c r="BA821" s="76"/>
      <c r="BB821" s="76"/>
      <c r="BC821" s="76"/>
      <c r="BD821" s="76">
        <f>+BC821*30000</f>
        <v>0</v>
      </c>
      <c r="BE821" s="76"/>
      <c r="BF821" s="76"/>
      <c r="BG821" s="76"/>
      <c r="BH821" s="76"/>
      <c r="BI821" s="76"/>
      <c r="BJ821" s="76"/>
      <c r="BK821" s="76"/>
      <c r="BL821" s="76">
        <f>+BK821*31500</f>
        <v>0</v>
      </c>
      <c r="BM821" s="76"/>
      <c r="BN821" s="76"/>
      <c r="BO821" s="76"/>
      <c r="BP821" s="76"/>
      <c r="BQ821" s="76"/>
      <c r="BR821" s="76"/>
      <c r="BS821" s="76"/>
      <c r="BT821" s="76"/>
      <c r="BU821" s="76"/>
      <c r="BV821" s="76"/>
      <c r="BW821" s="76"/>
      <c r="BX821" s="76"/>
      <c r="BY821" s="76"/>
      <c r="BZ821" s="76"/>
      <c r="CA821" s="76"/>
      <c r="CB821" s="76"/>
      <c r="CC821" s="76"/>
      <c r="CD821" s="76"/>
      <c r="CE821" s="76"/>
      <c r="CF821" s="76">
        <f>+CE821*28000</f>
        <v>0</v>
      </c>
      <c r="CG821" s="76"/>
      <c r="CH821" s="76">
        <f>+CG821*22500</f>
        <v>0</v>
      </c>
      <c r="CI821" s="76"/>
      <c r="CJ821" s="76">
        <f>+CI821*26000</f>
        <v>0</v>
      </c>
      <c r="CK821" s="76"/>
      <c r="CL821" s="76"/>
      <c r="CM821" s="76"/>
      <c r="CN821" s="76">
        <f>+CM821*22000</f>
        <v>0</v>
      </c>
      <c r="CO821" s="76"/>
      <c r="CP821" s="76">
        <f>+CO821*46000</f>
        <v>0</v>
      </c>
      <c r="CQ821" s="76"/>
      <c r="CR821" s="76">
        <f>+CQ821*49000</f>
        <v>0</v>
      </c>
      <c r="CS821" s="76"/>
      <c r="CT821" s="76"/>
      <c r="CU821" s="56">
        <f>AN821+AP821+AR821+AT821+AV821+AX821+AZ821+BB821+BD821+BF821+BH821+BJ821+BL821+BN821+BP821+BR821+BT821+BV821+BX821+BZ821+CB821+CD821+CF821+CH821+CJ821+CL821+CN821+CP821+CR821+CT821</f>
        <v>0</v>
      </c>
      <c r="CV821" s="76"/>
      <c r="CW821" s="76">
        <f>+CV821*1100</f>
        <v>0</v>
      </c>
      <c r="CX821" s="76"/>
      <c r="CY821" s="76">
        <f>+CX821*106250</f>
        <v>0</v>
      </c>
      <c r="CZ821" s="76"/>
      <c r="DA821" s="76">
        <f>+CZ821*34500</f>
        <v>0</v>
      </c>
      <c r="DB821" s="76"/>
      <c r="DC821" s="76">
        <f>+DB821*25000</f>
        <v>0</v>
      </c>
      <c r="DD821" s="219"/>
      <c r="DE821" s="219"/>
      <c r="DF821" s="166"/>
      <c r="DG821" s="116"/>
      <c r="DH821" s="117"/>
      <c r="DI821" s="24"/>
      <c r="DJ821" s="24"/>
      <c r="DK821" s="24"/>
      <c r="DL821" s="24"/>
      <c r="DM821" s="24"/>
      <c r="DN821" s="24"/>
      <c r="DO821" s="24"/>
      <c r="DP821" s="24"/>
      <c r="DQ821" s="24"/>
      <c r="DR821" s="24"/>
      <c r="DS821" s="24"/>
      <c r="DT821" s="24"/>
      <c r="DU821" s="24"/>
    </row>
    <row r="822" spans="1:125" s="8" customFormat="1" ht="48" x14ac:dyDescent="0.2">
      <c r="A822" s="77">
        <v>41321</v>
      </c>
      <c r="B822" s="78" t="s">
        <v>2778</v>
      </c>
      <c r="C822" s="75" t="s">
        <v>1271</v>
      </c>
      <c r="D822" s="81" t="s">
        <v>2846</v>
      </c>
      <c r="E822" s="75" t="str">
        <f>VLOOKUP(B822&amp;C822,Divipola!$C$2:$F$1138,4,FALSE)</f>
        <v>85410</v>
      </c>
      <c r="F822" s="87"/>
      <c r="G822" s="87"/>
      <c r="H822" s="87"/>
      <c r="I822" s="87"/>
      <c r="J822" s="87"/>
      <c r="K822" s="87"/>
      <c r="L822" s="87"/>
      <c r="M822" s="87"/>
      <c r="N822" s="87"/>
      <c r="O822" s="87"/>
      <c r="P822" s="87"/>
      <c r="Q822" s="87"/>
      <c r="R822" s="87"/>
      <c r="S822" s="87"/>
      <c r="T822" s="87"/>
      <c r="U822" s="88">
        <v>10</v>
      </c>
      <c r="V822" s="89"/>
      <c r="W822" s="96">
        <v>0</v>
      </c>
      <c r="X822" s="71">
        <f>CU822</f>
        <v>0</v>
      </c>
      <c r="Y822" s="71">
        <f>CY822</f>
        <v>0</v>
      </c>
      <c r="Z822" s="71">
        <f>DA822+DC822+DE822</f>
        <v>0</v>
      </c>
      <c r="AA822" s="71">
        <f>CW822</f>
        <v>0</v>
      </c>
      <c r="AB822" s="71"/>
      <c r="AC822" s="71">
        <v>0</v>
      </c>
      <c r="AD822" s="71">
        <f>W822+X822+Y822+Z822+AA822+AB822+AC822</f>
        <v>0</v>
      </c>
      <c r="AE822" s="72">
        <v>0</v>
      </c>
      <c r="AF822" s="5"/>
      <c r="AG822" s="6"/>
      <c r="AH822" s="27" t="s">
        <v>3392</v>
      </c>
      <c r="AI822" s="44" t="s">
        <v>3393</v>
      </c>
      <c r="AJ822" s="26"/>
      <c r="AK822" s="5"/>
      <c r="AL822" s="82" t="s">
        <v>3812</v>
      </c>
      <c r="AM822" s="76"/>
      <c r="AN822" s="76"/>
      <c r="AO822" s="76"/>
      <c r="AP822" s="76"/>
      <c r="AQ822" s="76"/>
      <c r="AR822" s="76"/>
      <c r="AS822" s="76"/>
      <c r="AT822" s="76"/>
      <c r="AU822" s="76"/>
      <c r="AV822" s="76"/>
      <c r="AW822" s="76"/>
      <c r="AX822" s="76">
        <f>+AW822*600000</f>
        <v>0</v>
      </c>
      <c r="AY822" s="76"/>
      <c r="AZ822" s="76">
        <f>+AY822*70000</f>
        <v>0</v>
      </c>
      <c r="BA822" s="76"/>
      <c r="BB822" s="76"/>
      <c r="BC822" s="76"/>
      <c r="BD822" s="76">
        <f>+BC822*30000</f>
        <v>0</v>
      </c>
      <c r="BE822" s="76"/>
      <c r="BF822" s="76"/>
      <c r="BG822" s="76"/>
      <c r="BH822" s="76"/>
      <c r="BI822" s="76"/>
      <c r="BJ822" s="76"/>
      <c r="BK822" s="76"/>
      <c r="BL822" s="76">
        <f>+BK822*31500</f>
        <v>0</v>
      </c>
      <c r="BM822" s="76"/>
      <c r="BN822" s="76"/>
      <c r="BO822" s="76"/>
      <c r="BP822" s="76"/>
      <c r="BQ822" s="76"/>
      <c r="BR822" s="76"/>
      <c r="BS822" s="76"/>
      <c r="BT822" s="76"/>
      <c r="BU822" s="76"/>
      <c r="BV822" s="76"/>
      <c r="BW822" s="76"/>
      <c r="BX822" s="76"/>
      <c r="BY822" s="76"/>
      <c r="BZ822" s="76"/>
      <c r="CA822" s="76"/>
      <c r="CB822" s="76"/>
      <c r="CC822" s="76"/>
      <c r="CD822" s="76"/>
      <c r="CE822" s="76"/>
      <c r="CF822" s="76">
        <f>+CE822*28000</f>
        <v>0</v>
      </c>
      <c r="CG822" s="76"/>
      <c r="CH822" s="76">
        <f>+CG822*22500</f>
        <v>0</v>
      </c>
      <c r="CI822" s="76"/>
      <c r="CJ822" s="76">
        <f>+CI822*26000</f>
        <v>0</v>
      </c>
      <c r="CK822" s="76"/>
      <c r="CL822" s="76"/>
      <c r="CM822" s="76"/>
      <c r="CN822" s="76">
        <f>+CM822*22000</f>
        <v>0</v>
      </c>
      <c r="CO822" s="76"/>
      <c r="CP822" s="76">
        <f>+CO822*46000</f>
        <v>0</v>
      </c>
      <c r="CQ822" s="76"/>
      <c r="CR822" s="76">
        <f>+CQ822*49000</f>
        <v>0</v>
      </c>
      <c r="CS822" s="76"/>
      <c r="CT822" s="76"/>
      <c r="CU822" s="56">
        <f>AN822+AP822+AR822+AT822+AV822+AX822+AZ822+BB822+BD822+BF822+BH822+BJ822+BL822+BN822+BP822+BR822+BT822+BV822+BX822+BZ822+CB822+CD822+CF822+CH822+CJ822+CL822+CN822+CP822+CR822+CT822</f>
        <v>0</v>
      </c>
      <c r="CV822" s="76"/>
      <c r="CW822" s="76">
        <f>+CV822*1100</f>
        <v>0</v>
      </c>
      <c r="CX822" s="76"/>
      <c r="CY822" s="76">
        <f>+CX822*106250</f>
        <v>0</v>
      </c>
      <c r="CZ822" s="76"/>
      <c r="DA822" s="76">
        <f>+CZ822*34500</f>
        <v>0</v>
      </c>
      <c r="DB822" s="76"/>
      <c r="DC822" s="76">
        <f>+DB822*25000</f>
        <v>0</v>
      </c>
      <c r="DD822" s="219"/>
      <c r="DE822" s="219"/>
      <c r="DF822" s="166"/>
      <c r="DG822" s="116"/>
      <c r="DH822" s="117"/>
      <c r="DI822" s="24"/>
      <c r="DJ822" s="24"/>
      <c r="DK822" s="24"/>
      <c r="DL822" s="24"/>
      <c r="DM822" s="24"/>
      <c r="DN822" s="24"/>
      <c r="DO822" s="24"/>
      <c r="DP822" s="24"/>
      <c r="DQ822" s="24"/>
      <c r="DR822" s="24"/>
      <c r="DS822" s="24"/>
      <c r="DT822" s="24"/>
      <c r="DU822" s="24"/>
    </row>
    <row r="823" spans="1:125" s="8" customFormat="1" ht="36" x14ac:dyDescent="0.2">
      <c r="A823" s="77">
        <v>41321</v>
      </c>
      <c r="B823" s="225" t="s">
        <v>2778</v>
      </c>
      <c r="C823" s="227" t="s">
        <v>1344</v>
      </c>
      <c r="D823" s="81" t="s">
        <v>2846</v>
      </c>
      <c r="E823" s="75" t="str">
        <f>VLOOKUP(B823&amp;C823,Divipola!$C$2:$F$1138,4,FALSE)</f>
        <v>85001</v>
      </c>
      <c r="F823" s="87"/>
      <c r="G823" s="87"/>
      <c r="H823" s="87"/>
      <c r="I823" s="87"/>
      <c r="J823" s="87"/>
      <c r="K823" s="87"/>
      <c r="L823" s="87"/>
      <c r="M823" s="87"/>
      <c r="N823" s="87"/>
      <c r="O823" s="87"/>
      <c r="P823" s="87"/>
      <c r="Q823" s="87"/>
      <c r="R823" s="87"/>
      <c r="S823" s="87"/>
      <c r="T823" s="87"/>
      <c r="U823" s="88">
        <v>3.5</v>
      </c>
      <c r="V823" s="89"/>
      <c r="W823" s="96">
        <v>0</v>
      </c>
      <c r="X823" s="71">
        <f>CU823</f>
        <v>0</v>
      </c>
      <c r="Y823" s="71">
        <f>CY823</f>
        <v>0</v>
      </c>
      <c r="Z823" s="71">
        <f>DA823+DC823+DE823</f>
        <v>0</v>
      </c>
      <c r="AA823" s="71">
        <f>CW823</f>
        <v>0</v>
      </c>
      <c r="AB823" s="71"/>
      <c r="AC823" s="71">
        <v>0</v>
      </c>
      <c r="AD823" s="71">
        <f>W823+X823+Y823+Z823+AA823+AB823+AC823</f>
        <v>0</v>
      </c>
      <c r="AE823" s="72">
        <v>0</v>
      </c>
      <c r="AF823" s="5"/>
      <c r="AG823" s="6"/>
      <c r="AH823" s="27" t="s">
        <v>3392</v>
      </c>
      <c r="AI823" s="44" t="s">
        <v>3393</v>
      </c>
      <c r="AJ823" s="26"/>
      <c r="AK823" s="5"/>
      <c r="AL823" s="82" t="s">
        <v>3527</v>
      </c>
      <c r="AM823" s="76"/>
      <c r="AN823" s="76"/>
      <c r="AO823" s="76"/>
      <c r="AP823" s="76"/>
      <c r="AQ823" s="76"/>
      <c r="AR823" s="76"/>
      <c r="AS823" s="76"/>
      <c r="AT823" s="76"/>
      <c r="AU823" s="76"/>
      <c r="AV823" s="76"/>
      <c r="AW823" s="76"/>
      <c r="AX823" s="76">
        <f>+AW823*600000</f>
        <v>0</v>
      </c>
      <c r="AY823" s="76"/>
      <c r="AZ823" s="76">
        <f>+AY823*70000</f>
        <v>0</v>
      </c>
      <c r="BA823" s="76"/>
      <c r="BB823" s="76"/>
      <c r="BC823" s="76"/>
      <c r="BD823" s="76">
        <f>+BC823*30000</f>
        <v>0</v>
      </c>
      <c r="BE823" s="76"/>
      <c r="BF823" s="76"/>
      <c r="BG823" s="76"/>
      <c r="BH823" s="76"/>
      <c r="BI823" s="76"/>
      <c r="BJ823" s="76"/>
      <c r="BK823" s="76"/>
      <c r="BL823" s="76">
        <f>+BK823*31500</f>
        <v>0</v>
      </c>
      <c r="BM823" s="76"/>
      <c r="BN823" s="76"/>
      <c r="BO823" s="76"/>
      <c r="BP823" s="76"/>
      <c r="BQ823" s="76"/>
      <c r="BR823" s="76"/>
      <c r="BS823" s="76"/>
      <c r="BT823" s="76"/>
      <c r="BU823" s="76"/>
      <c r="BV823" s="76"/>
      <c r="BW823" s="76"/>
      <c r="BX823" s="76"/>
      <c r="BY823" s="76"/>
      <c r="BZ823" s="76"/>
      <c r="CA823" s="76"/>
      <c r="CB823" s="76"/>
      <c r="CC823" s="76"/>
      <c r="CD823" s="76"/>
      <c r="CE823" s="76"/>
      <c r="CF823" s="76">
        <f>+CE823*28000</f>
        <v>0</v>
      </c>
      <c r="CG823" s="76"/>
      <c r="CH823" s="76">
        <f>+CG823*22500</f>
        <v>0</v>
      </c>
      <c r="CI823" s="76"/>
      <c r="CJ823" s="76">
        <f>+CI823*26000</f>
        <v>0</v>
      </c>
      <c r="CK823" s="76"/>
      <c r="CL823" s="76"/>
      <c r="CM823" s="76"/>
      <c r="CN823" s="76">
        <f>+CM823*22000</f>
        <v>0</v>
      </c>
      <c r="CO823" s="76"/>
      <c r="CP823" s="76">
        <f>+CO823*46000</f>
        <v>0</v>
      </c>
      <c r="CQ823" s="76"/>
      <c r="CR823" s="76">
        <f>+CQ823*49000</f>
        <v>0</v>
      </c>
      <c r="CS823" s="76"/>
      <c r="CT823" s="76"/>
      <c r="CU823" s="56">
        <f>AN823+AP823+AR823+AT823+AV823+AX823+AZ823+BB823+BD823+BF823+BH823+BJ823+BL823+BN823+BP823+BR823+BT823+BV823+BX823+BZ823+CB823+CD823+CF823+CH823+CJ823+CL823+CN823+CP823+CR823+CT823</f>
        <v>0</v>
      </c>
      <c r="CV823" s="76"/>
      <c r="CW823" s="76">
        <f>+CV823*1100</f>
        <v>0</v>
      </c>
      <c r="CX823" s="76"/>
      <c r="CY823" s="76">
        <f>+CX823*106250</f>
        <v>0</v>
      </c>
      <c r="CZ823" s="76"/>
      <c r="DA823" s="76">
        <f>+CZ823*34500</f>
        <v>0</v>
      </c>
      <c r="DB823" s="76"/>
      <c r="DC823" s="76">
        <f>+DB823*25000</f>
        <v>0</v>
      </c>
      <c r="DD823" s="219"/>
      <c r="DE823" s="219"/>
      <c r="DF823" s="166"/>
      <c r="DG823" s="116"/>
      <c r="DH823" s="117"/>
      <c r="DI823" s="24"/>
      <c r="DJ823" s="24"/>
      <c r="DK823" s="24"/>
      <c r="DL823" s="24"/>
      <c r="DM823" s="24"/>
      <c r="DN823" s="24"/>
      <c r="DO823" s="24"/>
      <c r="DP823" s="24"/>
      <c r="DQ823" s="24"/>
      <c r="DR823" s="24"/>
      <c r="DS823" s="24"/>
      <c r="DT823" s="24"/>
      <c r="DU823" s="24"/>
    </row>
    <row r="824" spans="1:125" s="8" customFormat="1" ht="48" x14ac:dyDescent="0.2">
      <c r="A824" s="77">
        <v>41321</v>
      </c>
      <c r="B824" s="78" t="s">
        <v>2778</v>
      </c>
      <c r="C824" s="75" t="s">
        <v>1344</v>
      </c>
      <c r="D824" s="81" t="s">
        <v>2846</v>
      </c>
      <c r="E824" s="75" t="str">
        <f>VLOOKUP(B824&amp;C824,Divipola!$C$2:$F$1138,4,FALSE)</f>
        <v>85001</v>
      </c>
      <c r="F824" s="87"/>
      <c r="G824" s="87"/>
      <c r="H824" s="87"/>
      <c r="I824" s="87"/>
      <c r="J824" s="87"/>
      <c r="K824" s="87"/>
      <c r="L824" s="87"/>
      <c r="M824" s="87"/>
      <c r="N824" s="87"/>
      <c r="O824" s="87"/>
      <c r="P824" s="87"/>
      <c r="Q824" s="87"/>
      <c r="R824" s="87"/>
      <c r="S824" s="87"/>
      <c r="T824" s="87"/>
      <c r="U824" s="88">
        <v>1</v>
      </c>
      <c r="V824" s="89"/>
      <c r="W824" s="96">
        <v>0</v>
      </c>
      <c r="X824" s="71">
        <f>CU824</f>
        <v>0</v>
      </c>
      <c r="Y824" s="71">
        <f>CY824</f>
        <v>0</v>
      </c>
      <c r="Z824" s="71">
        <f>DA824+DC824+DE824</f>
        <v>0</v>
      </c>
      <c r="AA824" s="71">
        <f>CW824</f>
        <v>0</v>
      </c>
      <c r="AB824" s="71"/>
      <c r="AC824" s="71">
        <v>0</v>
      </c>
      <c r="AD824" s="71">
        <f>W824+X824+Y824+Z824+AA824+AB824+AC824</f>
        <v>0</v>
      </c>
      <c r="AE824" s="72">
        <v>0</v>
      </c>
      <c r="AF824" s="5"/>
      <c r="AG824" s="6"/>
      <c r="AH824" s="27" t="s">
        <v>3392</v>
      </c>
      <c r="AI824" s="44" t="s">
        <v>3393</v>
      </c>
      <c r="AJ824" s="26"/>
      <c r="AK824" s="5"/>
      <c r="AL824" s="82" t="s">
        <v>3783</v>
      </c>
      <c r="AM824" s="76"/>
      <c r="AN824" s="76"/>
      <c r="AO824" s="76"/>
      <c r="AP824" s="76"/>
      <c r="AQ824" s="76"/>
      <c r="AR824" s="76"/>
      <c r="AS824" s="76"/>
      <c r="AT824" s="76"/>
      <c r="AU824" s="76"/>
      <c r="AV824" s="76"/>
      <c r="AW824" s="76"/>
      <c r="AX824" s="76">
        <f>+AW824*600000</f>
        <v>0</v>
      </c>
      <c r="AY824" s="76"/>
      <c r="AZ824" s="76">
        <f>+AY824*70000</f>
        <v>0</v>
      </c>
      <c r="BA824" s="76"/>
      <c r="BB824" s="76"/>
      <c r="BC824" s="76"/>
      <c r="BD824" s="76">
        <f>+BC824*30000</f>
        <v>0</v>
      </c>
      <c r="BE824" s="76"/>
      <c r="BF824" s="76"/>
      <c r="BG824" s="76"/>
      <c r="BH824" s="76"/>
      <c r="BI824" s="76"/>
      <c r="BJ824" s="76"/>
      <c r="BK824" s="76"/>
      <c r="BL824" s="76">
        <f>+BK824*31500</f>
        <v>0</v>
      </c>
      <c r="BM824" s="76"/>
      <c r="BN824" s="76"/>
      <c r="BO824" s="76"/>
      <c r="BP824" s="76"/>
      <c r="BQ824" s="76"/>
      <c r="BR824" s="76"/>
      <c r="BS824" s="76"/>
      <c r="BT824" s="76"/>
      <c r="BU824" s="76"/>
      <c r="BV824" s="76"/>
      <c r="BW824" s="76"/>
      <c r="BX824" s="76"/>
      <c r="BY824" s="76"/>
      <c r="BZ824" s="76"/>
      <c r="CA824" s="76"/>
      <c r="CB824" s="76"/>
      <c r="CC824" s="76"/>
      <c r="CD824" s="76"/>
      <c r="CE824" s="76"/>
      <c r="CF824" s="76">
        <f>+CE824*28000</f>
        <v>0</v>
      </c>
      <c r="CG824" s="76"/>
      <c r="CH824" s="76">
        <f>+CG824*22500</f>
        <v>0</v>
      </c>
      <c r="CI824" s="76"/>
      <c r="CJ824" s="76">
        <f>+CI824*26000</f>
        <v>0</v>
      </c>
      <c r="CK824" s="76"/>
      <c r="CL824" s="76"/>
      <c r="CM824" s="76"/>
      <c r="CN824" s="76">
        <f>+CM824*22000</f>
        <v>0</v>
      </c>
      <c r="CO824" s="76"/>
      <c r="CP824" s="76">
        <f>+CO824*46000</f>
        <v>0</v>
      </c>
      <c r="CQ824" s="76"/>
      <c r="CR824" s="76">
        <f>+CQ824*49000</f>
        <v>0</v>
      </c>
      <c r="CS824" s="76"/>
      <c r="CT824" s="76"/>
      <c r="CU824" s="56">
        <f>AN824+AP824+AR824+AT824+AV824+AX824+AZ824+BB824+BD824+BF824+BH824+BJ824+BL824+BN824+BP824+BR824+BT824+BV824+BX824+BZ824+CB824+CD824+CF824+CH824+CJ824+CL824+CN824+CP824+CR824+CT824</f>
        <v>0</v>
      </c>
      <c r="CV824" s="76"/>
      <c r="CW824" s="76">
        <f>+CV824*1100</f>
        <v>0</v>
      </c>
      <c r="CX824" s="76"/>
      <c r="CY824" s="76">
        <f>+CX824*106250</f>
        <v>0</v>
      </c>
      <c r="CZ824" s="76"/>
      <c r="DA824" s="76">
        <f>+CZ824*34500</f>
        <v>0</v>
      </c>
      <c r="DB824" s="76"/>
      <c r="DC824" s="76">
        <f>+DB824*25000</f>
        <v>0</v>
      </c>
      <c r="DD824" s="219"/>
      <c r="DE824" s="219"/>
      <c r="DF824" s="166"/>
      <c r="DG824" s="116"/>
      <c r="DH824" s="117"/>
      <c r="DI824" s="24"/>
      <c r="DJ824" s="24"/>
      <c r="DK824" s="24"/>
      <c r="DL824" s="24"/>
      <c r="DM824" s="24"/>
      <c r="DN824" s="24"/>
      <c r="DO824" s="24"/>
      <c r="DP824" s="24"/>
      <c r="DQ824" s="24"/>
      <c r="DR824" s="24"/>
      <c r="DS824" s="24"/>
      <c r="DT824" s="24"/>
      <c r="DU824" s="24"/>
    </row>
    <row r="825" spans="1:125" s="8" customFormat="1" ht="48" x14ac:dyDescent="0.2">
      <c r="A825" s="77">
        <v>41321</v>
      </c>
      <c r="B825" s="78" t="s">
        <v>2778</v>
      </c>
      <c r="C825" s="75" t="s">
        <v>1344</v>
      </c>
      <c r="D825" s="81" t="s">
        <v>2846</v>
      </c>
      <c r="E825" s="75" t="str">
        <f>VLOOKUP(B825&amp;C825,Divipola!$C$2:$F$1138,4,FALSE)</f>
        <v>85001</v>
      </c>
      <c r="F825" s="87"/>
      <c r="G825" s="87"/>
      <c r="H825" s="87"/>
      <c r="I825" s="87"/>
      <c r="J825" s="87"/>
      <c r="K825" s="87"/>
      <c r="L825" s="87"/>
      <c r="M825" s="87"/>
      <c r="N825" s="87"/>
      <c r="O825" s="87"/>
      <c r="P825" s="87"/>
      <c r="Q825" s="87"/>
      <c r="R825" s="87"/>
      <c r="S825" s="87"/>
      <c r="T825" s="87"/>
      <c r="U825" s="88">
        <v>2</v>
      </c>
      <c r="V825" s="89"/>
      <c r="W825" s="96">
        <v>0</v>
      </c>
      <c r="X825" s="71">
        <f>CU825</f>
        <v>0</v>
      </c>
      <c r="Y825" s="71">
        <f>CY825</f>
        <v>0</v>
      </c>
      <c r="Z825" s="71">
        <f>DA825+DC825+DE825</f>
        <v>0</v>
      </c>
      <c r="AA825" s="71">
        <f>CW825</f>
        <v>0</v>
      </c>
      <c r="AB825" s="71"/>
      <c r="AC825" s="71">
        <v>0</v>
      </c>
      <c r="AD825" s="71">
        <f>W825+X825+Y825+Z825+AA825+AB825+AC825</f>
        <v>0</v>
      </c>
      <c r="AE825" s="72">
        <v>0</v>
      </c>
      <c r="AF825" s="5"/>
      <c r="AG825" s="6"/>
      <c r="AH825" s="27" t="s">
        <v>3392</v>
      </c>
      <c r="AI825" s="44" t="s">
        <v>3393</v>
      </c>
      <c r="AJ825" s="26"/>
      <c r="AK825" s="5"/>
      <c r="AL825" s="82" t="s">
        <v>3784</v>
      </c>
      <c r="AM825" s="76"/>
      <c r="AN825" s="76"/>
      <c r="AO825" s="76"/>
      <c r="AP825" s="76"/>
      <c r="AQ825" s="76"/>
      <c r="AR825" s="76"/>
      <c r="AS825" s="76"/>
      <c r="AT825" s="76"/>
      <c r="AU825" s="76"/>
      <c r="AV825" s="76"/>
      <c r="AW825" s="76"/>
      <c r="AX825" s="76">
        <f>+AW825*600000</f>
        <v>0</v>
      </c>
      <c r="AY825" s="76"/>
      <c r="AZ825" s="76">
        <f>+AY825*70000</f>
        <v>0</v>
      </c>
      <c r="BA825" s="76"/>
      <c r="BB825" s="76"/>
      <c r="BC825" s="76"/>
      <c r="BD825" s="76">
        <f>+BC825*30000</f>
        <v>0</v>
      </c>
      <c r="BE825" s="76"/>
      <c r="BF825" s="76"/>
      <c r="BG825" s="76"/>
      <c r="BH825" s="76"/>
      <c r="BI825" s="76"/>
      <c r="BJ825" s="76"/>
      <c r="BK825" s="76"/>
      <c r="BL825" s="76">
        <f>+BK825*31500</f>
        <v>0</v>
      </c>
      <c r="BM825" s="76"/>
      <c r="BN825" s="76"/>
      <c r="BO825" s="76"/>
      <c r="BP825" s="76"/>
      <c r="BQ825" s="76"/>
      <c r="BR825" s="76"/>
      <c r="BS825" s="76"/>
      <c r="BT825" s="76"/>
      <c r="BU825" s="76"/>
      <c r="BV825" s="76"/>
      <c r="BW825" s="76"/>
      <c r="BX825" s="76"/>
      <c r="BY825" s="76"/>
      <c r="BZ825" s="76"/>
      <c r="CA825" s="76"/>
      <c r="CB825" s="76"/>
      <c r="CC825" s="76"/>
      <c r="CD825" s="76"/>
      <c r="CE825" s="76"/>
      <c r="CF825" s="76">
        <f>+CE825*28000</f>
        <v>0</v>
      </c>
      <c r="CG825" s="76"/>
      <c r="CH825" s="76">
        <f>+CG825*22500</f>
        <v>0</v>
      </c>
      <c r="CI825" s="76"/>
      <c r="CJ825" s="76">
        <f>+CI825*26000</f>
        <v>0</v>
      </c>
      <c r="CK825" s="76"/>
      <c r="CL825" s="76"/>
      <c r="CM825" s="76"/>
      <c r="CN825" s="76">
        <f>+CM825*22000</f>
        <v>0</v>
      </c>
      <c r="CO825" s="76"/>
      <c r="CP825" s="76">
        <f>+CO825*46000</f>
        <v>0</v>
      </c>
      <c r="CQ825" s="76"/>
      <c r="CR825" s="76">
        <f>+CQ825*49000</f>
        <v>0</v>
      </c>
      <c r="CS825" s="76"/>
      <c r="CT825" s="76"/>
      <c r="CU825" s="56">
        <f>AN825+AP825+AR825+AT825+AV825+AX825+AZ825+BB825+BD825+BF825+BH825+BJ825+BL825+BN825+BP825+BR825+BT825+BV825+BX825+BZ825+CB825+CD825+CF825+CH825+CJ825+CL825+CN825+CP825+CR825+CT825</f>
        <v>0</v>
      </c>
      <c r="CV825" s="76"/>
      <c r="CW825" s="76">
        <f>+CV825*1100</f>
        <v>0</v>
      </c>
      <c r="CX825" s="76"/>
      <c r="CY825" s="76">
        <f>+CX825*106250</f>
        <v>0</v>
      </c>
      <c r="CZ825" s="76"/>
      <c r="DA825" s="76">
        <f>+CZ825*34500</f>
        <v>0</v>
      </c>
      <c r="DB825" s="76"/>
      <c r="DC825" s="76">
        <f>+DB825*25000</f>
        <v>0</v>
      </c>
      <c r="DD825" s="219"/>
      <c r="DE825" s="219"/>
      <c r="DF825" s="166"/>
      <c r="DG825" s="116"/>
      <c r="DH825" s="117"/>
      <c r="DI825" s="24"/>
      <c r="DJ825" s="24"/>
      <c r="DK825" s="24"/>
      <c r="DL825" s="24"/>
      <c r="DM825" s="24"/>
      <c r="DN825" s="24"/>
      <c r="DO825" s="24"/>
      <c r="DP825" s="24"/>
      <c r="DQ825" s="24"/>
      <c r="DR825" s="24"/>
      <c r="DS825" s="24"/>
      <c r="DT825" s="24"/>
      <c r="DU825" s="24"/>
    </row>
    <row r="826" spans="1:125" s="8" customFormat="1" ht="48" x14ac:dyDescent="0.2">
      <c r="A826" s="77">
        <v>41321</v>
      </c>
      <c r="B826" s="78" t="s">
        <v>2778</v>
      </c>
      <c r="C826" s="75" t="s">
        <v>1344</v>
      </c>
      <c r="D826" s="81" t="s">
        <v>2846</v>
      </c>
      <c r="E826" s="75" t="str">
        <f>VLOOKUP(B826&amp;C826,Divipola!$C$2:$F$1138,4,FALSE)</f>
        <v>85001</v>
      </c>
      <c r="F826" s="87"/>
      <c r="G826" s="87"/>
      <c r="H826" s="87"/>
      <c r="I826" s="87"/>
      <c r="J826" s="87"/>
      <c r="K826" s="87"/>
      <c r="L826" s="87"/>
      <c r="M826" s="87"/>
      <c r="N826" s="87"/>
      <c r="O826" s="87"/>
      <c r="P826" s="87"/>
      <c r="Q826" s="87"/>
      <c r="R826" s="87"/>
      <c r="S826" s="87"/>
      <c r="T826" s="87"/>
      <c r="U826" s="88">
        <v>2</v>
      </c>
      <c r="V826" s="89"/>
      <c r="W826" s="96">
        <v>0</v>
      </c>
      <c r="X826" s="71">
        <f>CU826</f>
        <v>0</v>
      </c>
      <c r="Y826" s="71">
        <f>CY826</f>
        <v>0</v>
      </c>
      <c r="Z826" s="71">
        <f>DA826+DC826+DE826</f>
        <v>0</v>
      </c>
      <c r="AA826" s="71">
        <f>CW826</f>
        <v>0</v>
      </c>
      <c r="AB826" s="71"/>
      <c r="AC826" s="71">
        <v>0</v>
      </c>
      <c r="AD826" s="71">
        <f>W826+X826+Y826+Z826+AA826+AB826+AC826</f>
        <v>0</v>
      </c>
      <c r="AE826" s="72">
        <v>0</v>
      </c>
      <c r="AF826" s="5"/>
      <c r="AG826" s="6"/>
      <c r="AH826" s="27" t="s">
        <v>3392</v>
      </c>
      <c r="AI826" s="44" t="s">
        <v>3393</v>
      </c>
      <c r="AJ826" s="26"/>
      <c r="AK826" s="5"/>
      <c r="AL826" s="82" t="s">
        <v>3785</v>
      </c>
      <c r="AM826" s="76"/>
      <c r="AN826" s="76"/>
      <c r="AO826" s="76"/>
      <c r="AP826" s="76"/>
      <c r="AQ826" s="76"/>
      <c r="AR826" s="76"/>
      <c r="AS826" s="76"/>
      <c r="AT826" s="76"/>
      <c r="AU826" s="76"/>
      <c r="AV826" s="76"/>
      <c r="AW826" s="76"/>
      <c r="AX826" s="76">
        <f>+AW826*600000</f>
        <v>0</v>
      </c>
      <c r="AY826" s="76"/>
      <c r="AZ826" s="76">
        <f>+AY826*70000</f>
        <v>0</v>
      </c>
      <c r="BA826" s="76"/>
      <c r="BB826" s="76"/>
      <c r="BC826" s="76"/>
      <c r="BD826" s="76">
        <f>+BC826*30000</f>
        <v>0</v>
      </c>
      <c r="BE826" s="76"/>
      <c r="BF826" s="76"/>
      <c r="BG826" s="76"/>
      <c r="BH826" s="76"/>
      <c r="BI826" s="76"/>
      <c r="BJ826" s="76"/>
      <c r="BK826" s="76"/>
      <c r="BL826" s="76">
        <f>+BK826*31500</f>
        <v>0</v>
      </c>
      <c r="BM826" s="76"/>
      <c r="BN826" s="76"/>
      <c r="BO826" s="76"/>
      <c r="BP826" s="76"/>
      <c r="BQ826" s="76"/>
      <c r="BR826" s="76"/>
      <c r="BS826" s="76"/>
      <c r="BT826" s="76"/>
      <c r="BU826" s="76"/>
      <c r="BV826" s="76"/>
      <c r="BW826" s="76"/>
      <c r="BX826" s="76"/>
      <c r="BY826" s="76"/>
      <c r="BZ826" s="76"/>
      <c r="CA826" s="76"/>
      <c r="CB826" s="76"/>
      <c r="CC826" s="76"/>
      <c r="CD826" s="76"/>
      <c r="CE826" s="76"/>
      <c r="CF826" s="76">
        <f>+CE826*28000</f>
        <v>0</v>
      </c>
      <c r="CG826" s="76"/>
      <c r="CH826" s="76">
        <f>+CG826*22500</f>
        <v>0</v>
      </c>
      <c r="CI826" s="76"/>
      <c r="CJ826" s="76">
        <f>+CI826*26000</f>
        <v>0</v>
      </c>
      <c r="CK826" s="76"/>
      <c r="CL826" s="76"/>
      <c r="CM826" s="76"/>
      <c r="CN826" s="76">
        <f>+CM826*22000</f>
        <v>0</v>
      </c>
      <c r="CO826" s="76"/>
      <c r="CP826" s="76">
        <f>+CO826*46000</f>
        <v>0</v>
      </c>
      <c r="CQ826" s="76"/>
      <c r="CR826" s="76">
        <f>+CQ826*49000</f>
        <v>0</v>
      </c>
      <c r="CS826" s="76"/>
      <c r="CT826" s="76"/>
      <c r="CU826" s="56">
        <f>AN826+AP826+AR826+AT826+AV826+AX826+AZ826+BB826+BD826+BF826+BH826+BJ826+BL826+BN826+BP826+BR826+BT826+BV826+BX826+BZ826+CB826+CD826+CF826+CH826+CJ826+CL826+CN826+CP826+CR826+CT826</f>
        <v>0</v>
      </c>
      <c r="CV826" s="76"/>
      <c r="CW826" s="76">
        <f>+CV826*1100</f>
        <v>0</v>
      </c>
      <c r="CX826" s="76"/>
      <c r="CY826" s="76">
        <f>+CX826*106250</f>
        <v>0</v>
      </c>
      <c r="CZ826" s="76"/>
      <c r="DA826" s="76">
        <f>+CZ826*34500</f>
        <v>0</v>
      </c>
      <c r="DB826" s="76"/>
      <c r="DC826" s="76">
        <f>+DB826*25000</f>
        <v>0</v>
      </c>
      <c r="DD826" s="219"/>
      <c r="DE826" s="219"/>
      <c r="DF826" s="166"/>
      <c r="DG826" s="116"/>
      <c r="DH826" s="117"/>
      <c r="DI826" s="24"/>
      <c r="DJ826" s="24"/>
      <c r="DK826" s="24"/>
      <c r="DL826" s="24"/>
      <c r="DM826" s="24"/>
      <c r="DN826" s="24"/>
      <c r="DO826" s="24"/>
      <c r="DP826" s="24"/>
      <c r="DQ826" s="24"/>
      <c r="DR826" s="24"/>
      <c r="DS826" s="24"/>
      <c r="DT826" s="24"/>
      <c r="DU826" s="24"/>
    </row>
    <row r="827" spans="1:125" s="8" customFormat="1" ht="48" x14ac:dyDescent="0.2">
      <c r="A827" s="77">
        <v>41321</v>
      </c>
      <c r="B827" s="78" t="s">
        <v>2778</v>
      </c>
      <c r="C827" s="75" t="s">
        <v>1344</v>
      </c>
      <c r="D827" s="81" t="s">
        <v>2846</v>
      </c>
      <c r="E827" s="75" t="str">
        <f>VLOOKUP(B827&amp;C827,Divipola!$C$2:$F$1138,4,FALSE)</f>
        <v>85001</v>
      </c>
      <c r="F827" s="87"/>
      <c r="G827" s="87"/>
      <c r="H827" s="87"/>
      <c r="I827" s="87"/>
      <c r="J827" s="87"/>
      <c r="K827" s="87"/>
      <c r="L827" s="87"/>
      <c r="M827" s="87"/>
      <c r="N827" s="87"/>
      <c r="O827" s="87"/>
      <c r="P827" s="87"/>
      <c r="Q827" s="87"/>
      <c r="R827" s="87"/>
      <c r="S827" s="87"/>
      <c r="T827" s="87"/>
      <c r="U827" s="88">
        <v>6</v>
      </c>
      <c r="V827" s="89"/>
      <c r="W827" s="96">
        <v>0</v>
      </c>
      <c r="X827" s="71">
        <f>CU827</f>
        <v>0</v>
      </c>
      <c r="Y827" s="71">
        <f>CY827</f>
        <v>0</v>
      </c>
      <c r="Z827" s="71">
        <f>DA827+DC827+DE827</f>
        <v>0</v>
      </c>
      <c r="AA827" s="71">
        <f>CW827</f>
        <v>0</v>
      </c>
      <c r="AB827" s="71"/>
      <c r="AC827" s="71">
        <v>0</v>
      </c>
      <c r="AD827" s="71">
        <f>W827+X827+Y827+Z827+AA827+AB827+AC827</f>
        <v>0</v>
      </c>
      <c r="AE827" s="72">
        <v>0</v>
      </c>
      <c r="AF827" s="5"/>
      <c r="AG827" s="6"/>
      <c r="AH827" s="27" t="s">
        <v>3392</v>
      </c>
      <c r="AI827" s="44" t="s">
        <v>3393</v>
      </c>
      <c r="AJ827" s="26"/>
      <c r="AK827" s="5"/>
      <c r="AL827" s="82" t="s">
        <v>3786</v>
      </c>
      <c r="AM827" s="76"/>
      <c r="AN827" s="76"/>
      <c r="AO827" s="76"/>
      <c r="AP827" s="76"/>
      <c r="AQ827" s="76"/>
      <c r="AR827" s="76"/>
      <c r="AS827" s="76"/>
      <c r="AT827" s="76"/>
      <c r="AU827" s="76"/>
      <c r="AV827" s="76"/>
      <c r="AW827" s="76"/>
      <c r="AX827" s="76">
        <f>+AW827*600000</f>
        <v>0</v>
      </c>
      <c r="AY827" s="76"/>
      <c r="AZ827" s="76">
        <f>+AY827*70000</f>
        <v>0</v>
      </c>
      <c r="BA827" s="76"/>
      <c r="BB827" s="76"/>
      <c r="BC827" s="76"/>
      <c r="BD827" s="76">
        <f>+BC827*30000</f>
        <v>0</v>
      </c>
      <c r="BE827" s="76"/>
      <c r="BF827" s="76"/>
      <c r="BG827" s="76"/>
      <c r="BH827" s="76"/>
      <c r="BI827" s="76"/>
      <c r="BJ827" s="76"/>
      <c r="BK827" s="76"/>
      <c r="BL827" s="76">
        <f>+BK827*31500</f>
        <v>0</v>
      </c>
      <c r="BM827" s="76"/>
      <c r="BN827" s="76"/>
      <c r="BO827" s="76"/>
      <c r="BP827" s="76"/>
      <c r="BQ827" s="76"/>
      <c r="BR827" s="76"/>
      <c r="BS827" s="76"/>
      <c r="BT827" s="76"/>
      <c r="BU827" s="76"/>
      <c r="BV827" s="76"/>
      <c r="BW827" s="76"/>
      <c r="BX827" s="76"/>
      <c r="BY827" s="76"/>
      <c r="BZ827" s="76"/>
      <c r="CA827" s="76"/>
      <c r="CB827" s="76"/>
      <c r="CC827" s="76"/>
      <c r="CD827" s="76"/>
      <c r="CE827" s="76"/>
      <c r="CF827" s="76">
        <f>+CE827*28000</f>
        <v>0</v>
      </c>
      <c r="CG827" s="76"/>
      <c r="CH827" s="76">
        <f>+CG827*22500</f>
        <v>0</v>
      </c>
      <c r="CI827" s="76"/>
      <c r="CJ827" s="76">
        <f>+CI827*26000</f>
        <v>0</v>
      </c>
      <c r="CK827" s="76"/>
      <c r="CL827" s="76"/>
      <c r="CM827" s="76"/>
      <c r="CN827" s="76">
        <f>+CM827*22000</f>
        <v>0</v>
      </c>
      <c r="CO827" s="76"/>
      <c r="CP827" s="76">
        <f>+CO827*46000</f>
        <v>0</v>
      </c>
      <c r="CQ827" s="76"/>
      <c r="CR827" s="76">
        <f>+CQ827*49000</f>
        <v>0</v>
      </c>
      <c r="CS827" s="76"/>
      <c r="CT827" s="76"/>
      <c r="CU827" s="56">
        <f>AN827+AP827+AR827+AT827+AV827+AX827+AZ827+BB827+BD827+BF827+BH827+BJ827+BL827+BN827+BP827+BR827+BT827+BV827+BX827+BZ827+CB827+CD827+CF827+CH827+CJ827+CL827+CN827+CP827+CR827+CT827</f>
        <v>0</v>
      </c>
      <c r="CV827" s="76"/>
      <c r="CW827" s="76">
        <f>+CV827*1100</f>
        <v>0</v>
      </c>
      <c r="CX827" s="76"/>
      <c r="CY827" s="76">
        <f>+CX827*106250</f>
        <v>0</v>
      </c>
      <c r="CZ827" s="76"/>
      <c r="DA827" s="76">
        <f>+CZ827*34500</f>
        <v>0</v>
      </c>
      <c r="DB827" s="76"/>
      <c r="DC827" s="76">
        <f>+DB827*25000</f>
        <v>0</v>
      </c>
      <c r="DD827" s="219"/>
      <c r="DE827" s="219"/>
      <c r="DF827" s="166"/>
      <c r="DG827" s="116"/>
      <c r="DH827" s="117"/>
      <c r="DI827" s="24"/>
      <c r="DJ827" s="24"/>
      <c r="DK827" s="24"/>
      <c r="DL827" s="24"/>
      <c r="DM827" s="24"/>
      <c r="DN827" s="24"/>
      <c r="DO827" s="24"/>
      <c r="DP827" s="24"/>
      <c r="DQ827" s="24"/>
      <c r="DR827" s="24"/>
      <c r="DS827" s="24"/>
      <c r="DT827" s="24"/>
      <c r="DU827" s="24"/>
    </row>
    <row r="828" spans="1:125" s="8" customFormat="1" ht="48" x14ac:dyDescent="0.2">
      <c r="A828" s="77">
        <v>41321</v>
      </c>
      <c r="B828" s="78" t="s">
        <v>2778</v>
      </c>
      <c r="C828" s="75" t="s">
        <v>1344</v>
      </c>
      <c r="D828" s="81" t="s">
        <v>2846</v>
      </c>
      <c r="E828" s="75" t="str">
        <f>VLOOKUP(B828&amp;C828,Divipola!$C$2:$F$1138,4,FALSE)</f>
        <v>85001</v>
      </c>
      <c r="F828" s="87"/>
      <c r="G828" s="87"/>
      <c r="H828" s="87"/>
      <c r="I828" s="87"/>
      <c r="J828" s="87"/>
      <c r="K828" s="87"/>
      <c r="L828" s="87"/>
      <c r="M828" s="87"/>
      <c r="N828" s="87"/>
      <c r="O828" s="87"/>
      <c r="P828" s="87"/>
      <c r="Q828" s="87"/>
      <c r="R828" s="87"/>
      <c r="S828" s="87"/>
      <c r="T828" s="87"/>
      <c r="U828" s="88">
        <v>1</v>
      </c>
      <c r="V828" s="89"/>
      <c r="W828" s="96">
        <v>0</v>
      </c>
      <c r="X828" s="71">
        <f>CU828</f>
        <v>0</v>
      </c>
      <c r="Y828" s="71">
        <f>CY828</f>
        <v>0</v>
      </c>
      <c r="Z828" s="71">
        <f>DA828+DC828+DE828</f>
        <v>0</v>
      </c>
      <c r="AA828" s="71">
        <f>CW828</f>
        <v>0</v>
      </c>
      <c r="AB828" s="71"/>
      <c r="AC828" s="71">
        <v>0</v>
      </c>
      <c r="AD828" s="71">
        <f>W828+X828+Y828+Z828+AA828+AB828+AC828</f>
        <v>0</v>
      </c>
      <c r="AE828" s="72">
        <v>0</v>
      </c>
      <c r="AF828" s="5"/>
      <c r="AG828" s="6"/>
      <c r="AH828" s="27" t="s">
        <v>3392</v>
      </c>
      <c r="AI828" s="44" t="s">
        <v>3393</v>
      </c>
      <c r="AJ828" s="26"/>
      <c r="AK828" s="5"/>
      <c r="AL828" s="82" t="s">
        <v>3787</v>
      </c>
      <c r="AM828" s="76"/>
      <c r="AN828" s="76"/>
      <c r="AO828" s="76"/>
      <c r="AP828" s="76"/>
      <c r="AQ828" s="76"/>
      <c r="AR828" s="76"/>
      <c r="AS828" s="76"/>
      <c r="AT828" s="76"/>
      <c r="AU828" s="76"/>
      <c r="AV828" s="76"/>
      <c r="AW828" s="76"/>
      <c r="AX828" s="76">
        <f>+AW828*600000</f>
        <v>0</v>
      </c>
      <c r="AY828" s="76"/>
      <c r="AZ828" s="76">
        <f>+AY828*70000</f>
        <v>0</v>
      </c>
      <c r="BA828" s="76"/>
      <c r="BB828" s="76"/>
      <c r="BC828" s="76"/>
      <c r="BD828" s="76">
        <f>+BC828*30000</f>
        <v>0</v>
      </c>
      <c r="BE828" s="76"/>
      <c r="BF828" s="76"/>
      <c r="BG828" s="76"/>
      <c r="BH828" s="76"/>
      <c r="BI828" s="76"/>
      <c r="BJ828" s="76"/>
      <c r="BK828" s="76"/>
      <c r="BL828" s="76">
        <f>+BK828*31500</f>
        <v>0</v>
      </c>
      <c r="BM828" s="76"/>
      <c r="BN828" s="76"/>
      <c r="BO828" s="76"/>
      <c r="BP828" s="76"/>
      <c r="BQ828" s="76"/>
      <c r="BR828" s="76"/>
      <c r="BS828" s="76"/>
      <c r="BT828" s="76"/>
      <c r="BU828" s="76"/>
      <c r="BV828" s="76"/>
      <c r="BW828" s="76"/>
      <c r="BX828" s="76"/>
      <c r="BY828" s="76"/>
      <c r="BZ828" s="76"/>
      <c r="CA828" s="76"/>
      <c r="CB828" s="76"/>
      <c r="CC828" s="76"/>
      <c r="CD828" s="76"/>
      <c r="CE828" s="76"/>
      <c r="CF828" s="76">
        <f>+CE828*28000</f>
        <v>0</v>
      </c>
      <c r="CG828" s="76"/>
      <c r="CH828" s="76">
        <f>+CG828*22500</f>
        <v>0</v>
      </c>
      <c r="CI828" s="76"/>
      <c r="CJ828" s="76">
        <f>+CI828*26000</f>
        <v>0</v>
      </c>
      <c r="CK828" s="76"/>
      <c r="CL828" s="76"/>
      <c r="CM828" s="76"/>
      <c r="CN828" s="76">
        <f>+CM828*22000</f>
        <v>0</v>
      </c>
      <c r="CO828" s="76"/>
      <c r="CP828" s="76">
        <f>+CO828*46000</f>
        <v>0</v>
      </c>
      <c r="CQ828" s="76"/>
      <c r="CR828" s="76">
        <f>+CQ828*49000</f>
        <v>0</v>
      </c>
      <c r="CS828" s="76"/>
      <c r="CT828" s="76"/>
      <c r="CU828" s="56">
        <f>AN828+AP828+AR828+AT828+AV828+AX828+AZ828+BB828+BD828+BF828+BH828+BJ828+BL828+BN828+BP828+BR828+BT828+BV828+BX828+BZ828+CB828+CD828+CF828+CH828+CJ828+CL828+CN828+CP828+CR828+CT828</f>
        <v>0</v>
      </c>
      <c r="CV828" s="76"/>
      <c r="CW828" s="76">
        <f>+CV828*1100</f>
        <v>0</v>
      </c>
      <c r="CX828" s="76"/>
      <c r="CY828" s="76">
        <f>+CX828*106250</f>
        <v>0</v>
      </c>
      <c r="CZ828" s="76"/>
      <c r="DA828" s="76">
        <f>+CZ828*34500</f>
        <v>0</v>
      </c>
      <c r="DB828" s="76"/>
      <c r="DC828" s="76">
        <f>+DB828*25000</f>
        <v>0</v>
      </c>
      <c r="DD828" s="219"/>
      <c r="DE828" s="219"/>
      <c r="DF828" s="166"/>
      <c r="DG828" s="116"/>
      <c r="DH828" s="117"/>
      <c r="DI828" s="24"/>
      <c r="DJ828" s="24"/>
      <c r="DK828" s="24"/>
      <c r="DL828" s="24"/>
      <c r="DM828" s="24"/>
      <c r="DN828" s="24"/>
      <c r="DO828" s="24"/>
      <c r="DP828" s="24"/>
      <c r="DQ828" s="24"/>
      <c r="DR828" s="24"/>
      <c r="DS828" s="24"/>
      <c r="DT828" s="24"/>
      <c r="DU828" s="24"/>
    </row>
    <row r="829" spans="1:125" s="8" customFormat="1" ht="48" x14ac:dyDescent="0.2">
      <c r="A829" s="77">
        <v>41321</v>
      </c>
      <c r="B829" s="78" t="s">
        <v>2778</v>
      </c>
      <c r="C829" s="75" t="s">
        <v>1344</v>
      </c>
      <c r="D829" s="81" t="s">
        <v>2846</v>
      </c>
      <c r="E829" s="75" t="str">
        <f>VLOOKUP(B829&amp;C829,Divipola!$C$2:$F$1138,4,FALSE)</f>
        <v>85001</v>
      </c>
      <c r="F829" s="87"/>
      <c r="G829" s="87"/>
      <c r="H829" s="87"/>
      <c r="I829" s="87"/>
      <c r="J829" s="87"/>
      <c r="K829" s="87"/>
      <c r="L829" s="87"/>
      <c r="M829" s="87"/>
      <c r="N829" s="87"/>
      <c r="O829" s="87"/>
      <c r="P829" s="87"/>
      <c r="Q829" s="87"/>
      <c r="R829" s="87"/>
      <c r="S829" s="87"/>
      <c r="T829" s="87"/>
      <c r="U829" s="88">
        <v>2</v>
      </c>
      <c r="V829" s="89"/>
      <c r="W829" s="96">
        <v>0</v>
      </c>
      <c r="X829" s="71">
        <f>CU829</f>
        <v>0</v>
      </c>
      <c r="Y829" s="71">
        <f>CY829</f>
        <v>0</v>
      </c>
      <c r="Z829" s="71">
        <f>DA829+DC829+DE829</f>
        <v>0</v>
      </c>
      <c r="AA829" s="71">
        <f>CW829</f>
        <v>0</v>
      </c>
      <c r="AB829" s="71"/>
      <c r="AC829" s="71">
        <v>0</v>
      </c>
      <c r="AD829" s="71">
        <f>W829+X829+Y829+Z829+AA829+AB829+AC829</f>
        <v>0</v>
      </c>
      <c r="AE829" s="72">
        <v>0</v>
      </c>
      <c r="AF829" s="5"/>
      <c r="AG829" s="6"/>
      <c r="AH829" s="27" t="s">
        <v>3392</v>
      </c>
      <c r="AI829" s="44" t="s">
        <v>3393</v>
      </c>
      <c r="AJ829" s="26"/>
      <c r="AK829" s="5"/>
      <c r="AL829" s="82" t="s">
        <v>3788</v>
      </c>
      <c r="AM829" s="76"/>
      <c r="AN829" s="76"/>
      <c r="AO829" s="76"/>
      <c r="AP829" s="76"/>
      <c r="AQ829" s="76"/>
      <c r="AR829" s="76"/>
      <c r="AS829" s="76"/>
      <c r="AT829" s="76"/>
      <c r="AU829" s="76"/>
      <c r="AV829" s="76"/>
      <c r="AW829" s="76"/>
      <c r="AX829" s="76">
        <f>+AW829*600000</f>
        <v>0</v>
      </c>
      <c r="AY829" s="76"/>
      <c r="AZ829" s="76">
        <f>+AY829*70000</f>
        <v>0</v>
      </c>
      <c r="BA829" s="76"/>
      <c r="BB829" s="76"/>
      <c r="BC829" s="76"/>
      <c r="BD829" s="76">
        <f>+BC829*30000</f>
        <v>0</v>
      </c>
      <c r="BE829" s="76"/>
      <c r="BF829" s="76"/>
      <c r="BG829" s="76"/>
      <c r="BH829" s="76"/>
      <c r="BI829" s="76"/>
      <c r="BJ829" s="76"/>
      <c r="BK829" s="76"/>
      <c r="BL829" s="76">
        <f>+BK829*31500</f>
        <v>0</v>
      </c>
      <c r="BM829" s="76"/>
      <c r="BN829" s="76"/>
      <c r="BO829" s="76"/>
      <c r="BP829" s="76"/>
      <c r="BQ829" s="76"/>
      <c r="BR829" s="76"/>
      <c r="BS829" s="76"/>
      <c r="BT829" s="76"/>
      <c r="BU829" s="76"/>
      <c r="BV829" s="76"/>
      <c r="BW829" s="76"/>
      <c r="BX829" s="76"/>
      <c r="BY829" s="76"/>
      <c r="BZ829" s="76"/>
      <c r="CA829" s="76"/>
      <c r="CB829" s="76"/>
      <c r="CC829" s="76"/>
      <c r="CD829" s="76"/>
      <c r="CE829" s="76"/>
      <c r="CF829" s="76">
        <f>+CE829*28000</f>
        <v>0</v>
      </c>
      <c r="CG829" s="76"/>
      <c r="CH829" s="76">
        <f>+CG829*22500</f>
        <v>0</v>
      </c>
      <c r="CI829" s="76"/>
      <c r="CJ829" s="76">
        <f>+CI829*26000</f>
        <v>0</v>
      </c>
      <c r="CK829" s="76"/>
      <c r="CL829" s="76"/>
      <c r="CM829" s="76"/>
      <c r="CN829" s="76">
        <f>+CM829*22000</f>
        <v>0</v>
      </c>
      <c r="CO829" s="76"/>
      <c r="CP829" s="76">
        <f>+CO829*46000</f>
        <v>0</v>
      </c>
      <c r="CQ829" s="76"/>
      <c r="CR829" s="76">
        <f>+CQ829*49000</f>
        <v>0</v>
      </c>
      <c r="CS829" s="76"/>
      <c r="CT829" s="76"/>
      <c r="CU829" s="56">
        <f>AN829+AP829+AR829+AT829+AV829+AX829+AZ829+BB829+BD829+BF829+BH829+BJ829+BL829+BN829+BP829+BR829+BT829+BV829+BX829+BZ829+CB829+CD829+CF829+CH829+CJ829+CL829+CN829+CP829+CR829+CT829</f>
        <v>0</v>
      </c>
      <c r="CV829" s="76"/>
      <c r="CW829" s="76">
        <f>+CV829*1100</f>
        <v>0</v>
      </c>
      <c r="CX829" s="76"/>
      <c r="CY829" s="76">
        <f>+CX829*106250</f>
        <v>0</v>
      </c>
      <c r="CZ829" s="76"/>
      <c r="DA829" s="76">
        <f>+CZ829*34500</f>
        <v>0</v>
      </c>
      <c r="DB829" s="76"/>
      <c r="DC829" s="76">
        <f>+DB829*25000</f>
        <v>0</v>
      </c>
      <c r="DD829" s="219"/>
      <c r="DE829" s="219"/>
      <c r="DF829" s="166"/>
      <c r="DG829" s="116"/>
      <c r="DH829" s="117"/>
      <c r="DI829" s="24"/>
      <c r="DJ829" s="24"/>
      <c r="DK829" s="24"/>
      <c r="DL829" s="24"/>
      <c r="DM829" s="24"/>
      <c r="DN829" s="24"/>
      <c r="DO829" s="24"/>
      <c r="DP829" s="24"/>
      <c r="DQ829" s="24"/>
      <c r="DR829" s="24"/>
      <c r="DS829" s="24"/>
      <c r="DT829" s="24"/>
      <c r="DU829" s="24"/>
    </row>
    <row r="830" spans="1:125" s="8" customFormat="1" ht="24" x14ac:dyDescent="0.2">
      <c r="A830" s="77">
        <v>41321</v>
      </c>
      <c r="B830" s="225" t="s">
        <v>2854</v>
      </c>
      <c r="C830" s="227" t="s">
        <v>2066</v>
      </c>
      <c r="D830" s="227" t="s">
        <v>2882</v>
      </c>
      <c r="E830" s="75" t="str">
        <f>VLOOKUP(B830&amp;C830,Divipola!$C$2:$F$1138,4,FALSE)</f>
        <v>19130</v>
      </c>
      <c r="F830" s="87"/>
      <c r="G830" s="87"/>
      <c r="H830" s="87"/>
      <c r="I830" s="87">
        <v>15</v>
      </c>
      <c r="J830" s="87">
        <v>3</v>
      </c>
      <c r="K830" s="87"/>
      <c r="L830" s="87">
        <v>3</v>
      </c>
      <c r="M830" s="87"/>
      <c r="N830" s="87"/>
      <c r="O830" s="87"/>
      <c r="P830" s="87"/>
      <c r="Q830" s="87"/>
      <c r="R830" s="87"/>
      <c r="S830" s="87"/>
      <c r="T830" s="87"/>
      <c r="U830" s="88"/>
      <c r="V830" s="89"/>
      <c r="W830" s="96">
        <v>0</v>
      </c>
      <c r="X830" s="71">
        <f>CU830</f>
        <v>0</v>
      </c>
      <c r="Y830" s="71">
        <f>CY830</f>
        <v>0</v>
      </c>
      <c r="Z830" s="71">
        <f>DA830+DC830+DE830</f>
        <v>0</v>
      </c>
      <c r="AA830" s="71">
        <f>CW830</f>
        <v>0</v>
      </c>
      <c r="AB830" s="71"/>
      <c r="AC830" s="71">
        <v>0</v>
      </c>
      <c r="AD830" s="71">
        <f>W830+X830+Y830+Z830+AA830+AB830+AC830</f>
        <v>0</v>
      </c>
      <c r="AE830" s="72">
        <v>0</v>
      </c>
      <c r="AF830" s="5"/>
      <c r="AG830" s="6"/>
      <c r="AH830" s="27" t="s">
        <v>3392</v>
      </c>
      <c r="AI830" s="44" t="s">
        <v>3393</v>
      </c>
      <c r="AJ830" s="26"/>
      <c r="AK830" s="5"/>
      <c r="AL830" s="82" t="s">
        <v>3529</v>
      </c>
      <c r="AM830" s="76"/>
      <c r="AN830" s="76"/>
      <c r="AO830" s="76"/>
      <c r="AP830" s="76"/>
      <c r="AQ830" s="76"/>
      <c r="AR830" s="76"/>
      <c r="AS830" s="76"/>
      <c r="AT830" s="76"/>
      <c r="AU830" s="76"/>
      <c r="AV830" s="76"/>
      <c r="AW830" s="76"/>
      <c r="AX830" s="76">
        <f>+AW830*600000</f>
        <v>0</v>
      </c>
      <c r="AY830" s="76"/>
      <c r="AZ830" s="76">
        <f>+AY830*70000</f>
        <v>0</v>
      </c>
      <c r="BA830" s="76"/>
      <c r="BB830" s="76"/>
      <c r="BC830" s="76"/>
      <c r="BD830" s="76">
        <f>+BC830*30000</f>
        <v>0</v>
      </c>
      <c r="BE830" s="76"/>
      <c r="BF830" s="76"/>
      <c r="BG830" s="76"/>
      <c r="BH830" s="76"/>
      <c r="BI830" s="76"/>
      <c r="BJ830" s="76"/>
      <c r="BK830" s="76"/>
      <c r="BL830" s="76">
        <f>+BK830*31500</f>
        <v>0</v>
      </c>
      <c r="BM830" s="76"/>
      <c r="BN830" s="76"/>
      <c r="BO830" s="76"/>
      <c r="BP830" s="76"/>
      <c r="BQ830" s="76"/>
      <c r="BR830" s="76"/>
      <c r="BS830" s="76"/>
      <c r="BT830" s="76"/>
      <c r="BU830" s="76"/>
      <c r="BV830" s="76"/>
      <c r="BW830" s="76"/>
      <c r="BX830" s="76"/>
      <c r="BY830" s="76"/>
      <c r="BZ830" s="76"/>
      <c r="CA830" s="76"/>
      <c r="CB830" s="76"/>
      <c r="CC830" s="76"/>
      <c r="CD830" s="76"/>
      <c r="CE830" s="76"/>
      <c r="CF830" s="76">
        <f>+CE830*28000</f>
        <v>0</v>
      </c>
      <c r="CG830" s="76"/>
      <c r="CH830" s="76">
        <f>+CG830*22500</f>
        <v>0</v>
      </c>
      <c r="CI830" s="76"/>
      <c r="CJ830" s="76">
        <f>+CI830*26000</f>
        <v>0</v>
      </c>
      <c r="CK830" s="76"/>
      <c r="CL830" s="76"/>
      <c r="CM830" s="76"/>
      <c r="CN830" s="76">
        <f>+CM830*22000</f>
        <v>0</v>
      </c>
      <c r="CO830" s="76"/>
      <c r="CP830" s="76">
        <f>+CO830*46000</f>
        <v>0</v>
      </c>
      <c r="CQ830" s="76"/>
      <c r="CR830" s="76">
        <f>+CQ830*49000</f>
        <v>0</v>
      </c>
      <c r="CS830" s="76"/>
      <c r="CT830" s="76"/>
      <c r="CU830" s="56">
        <f>AN830+AP830+AR830+AT830+AV830+AX830+AZ830+BB830+BD830+BF830+BH830+BJ830+BL830+BN830+BP830+BR830+BT830+BV830+BX830+BZ830+CB830+CD830+CF830+CH830+CJ830+CL830+CN830+CP830+CR830+CT830</f>
        <v>0</v>
      </c>
      <c r="CV830" s="76"/>
      <c r="CW830" s="76">
        <f>+CV830*1100</f>
        <v>0</v>
      </c>
      <c r="CX830" s="76"/>
      <c r="CY830" s="76">
        <f>+CX830*106250</f>
        <v>0</v>
      </c>
      <c r="CZ830" s="76"/>
      <c r="DA830" s="76">
        <f>+CZ830*34500</f>
        <v>0</v>
      </c>
      <c r="DB830" s="76"/>
      <c r="DC830" s="76">
        <f>+DB830*25000</f>
        <v>0</v>
      </c>
      <c r="DD830" s="219"/>
      <c r="DE830" s="219"/>
      <c r="DF830" s="166"/>
      <c r="DG830" s="116"/>
      <c r="DH830" s="117"/>
      <c r="DI830" s="24"/>
      <c r="DJ830" s="24"/>
      <c r="DK830" s="24"/>
      <c r="DL830" s="24"/>
      <c r="DM830" s="24"/>
      <c r="DN830" s="24"/>
      <c r="DO830" s="24"/>
      <c r="DP830" s="24"/>
      <c r="DQ830" s="24"/>
      <c r="DR830" s="24"/>
      <c r="DS830" s="24"/>
      <c r="DT830" s="24"/>
      <c r="DU830" s="24"/>
    </row>
    <row r="831" spans="1:125" s="8" customFormat="1" ht="24" x14ac:dyDescent="0.2">
      <c r="A831" s="77">
        <v>41321</v>
      </c>
      <c r="B831" s="352" t="s">
        <v>2718</v>
      </c>
      <c r="C831" s="354" t="s">
        <v>956</v>
      </c>
      <c r="D831" s="354" t="s">
        <v>2859</v>
      </c>
      <c r="E831" s="75" t="str">
        <f>VLOOKUP(B831&amp;C831,Divipola!$C$2:$F$1138,4,FALSE)</f>
        <v>23182</v>
      </c>
      <c r="F831" s="100"/>
      <c r="G831" s="100"/>
      <c r="H831" s="100"/>
      <c r="I831" s="100">
        <v>5</v>
      </c>
      <c r="J831" s="100">
        <v>1</v>
      </c>
      <c r="K831" s="100">
        <v>1</v>
      </c>
      <c r="L831" s="100"/>
      <c r="M831" s="100"/>
      <c r="N831" s="100"/>
      <c r="O831" s="100"/>
      <c r="P831" s="100"/>
      <c r="Q831" s="100"/>
      <c r="R831" s="100"/>
      <c r="S831" s="100"/>
      <c r="T831" s="100"/>
      <c r="U831" s="136"/>
      <c r="V831" s="89"/>
      <c r="W831" s="96">
        <v>0</v>
      </c>
      <c r="X831" s="71">
        <f>CU831</f>
        <v>0</v>
      </c>
      <c r="Y831" s="71">
        <f>CY831</f>
        <v>0</v>
      </c>
      <c r="Z831" s="71">
        <f>DA831+DC831+DE831</f>
        <v>0</v>
      </c>
      <c r="AA831" s="71">
        <f>CW831</f>
        <v>0</v>
      </c>
      <c r="AB831" s="71"/>
      <c r="AC831" s="71">
        <v>0</v>
      </c>
      <c r="AD831" s="71">
        <f>W831+X831+Y831+Z831+AA831+AB831+AC831</f>
        <v>0</v>
      </c>
      <c r="AE831" s="72">
        <v>0</v>
      </c>
      <c r="AF831" s="5"/>
      <c r="AG831" s="6"/>
      <c r="AH831" s="27" t="s">
        <v>3392</v>
      </c>
      <c r="AI831" s="44" t="s">
        <v>3393</v>
      </c>
      <c r="AJ831" s="26"/>
      <c r="AK831" s="5"/>
      <c r="AL831" s="82" t="s">
        <v>3525</v>
      </c>
      <c r="AM831" s="76"/>
      <c r="AN831" s="76"/>
      <c r="AO831" s="76"/>
      <c r="AP831" s="76"/>
      <c r="AQ831" s="76"/>
      <c r="AR831" s="76"/>
      <c r="AS831" s="76"/>
      <c r="AT831" s="76"/>
      <c r="AU831" s="76"/>
      <c r="AV831" s="76"/>
      <c r="AW831" s="76"/>
      <c r="AX831" s="76">
        <f>+AW831*600000</f>
        <v>0</v>
      </c>
      <c r="AY831" s="76"/>
      <c r="AZ831" s="76">
        <f>+AY831*70000</f>
        <v>0</v>
      </c>
      <c r="BA831" s="76"/>
      <c r="BB831" s="76"/>
      <c r="BC831" s="76"/>
      <c r="BD831" s="76">
        <f>+BC831*30000</f>
        <v>0</v>
      </c>
      <c r="BE831" s="76"/>
      <c r="BF831" s="76"/>
      <c r="BG831" s="76"/>
      <c r="BH831" s="76"/>
      <c r="BI831" s="76"/>
      <c r="BJ831" s="76"/>
      <c r="BK831" s="76"/>
      <c r="BL831" s="76">
        <f>+BK831*31500</f>
        <v>0</v>
      </c>
      <c r="BM831" s="76"/>
      <c r="BN831" s="76"/>
      <c r="BO831" s="76"/>
      <c r="BP831" s="76"/>
      <c r="BQ831" s="76"/>
      <c r="BR831" s="76"/>
      <c r="BS831" s="76"/>
      <c r="BT831" s="76"/>
      <c r="BU831" s="76"/>
      <c r="BV831" s="76"/>
      <c r="BW831" s="76"/>
      <c r="BX831" s="76"/>
      <c r="BY831" s="76"/>
      <c r="BZ831" s="76"/>
      <c r="CA831" s="76"/>
      <c r="CB831" s="76"/>
      <c r="CC831" s="76"/>
      <c r="CD831" s="76"/>
      <c r="CE831" s="76"/>
      <c r="CF831" s="76">
        <f>+CE831*28000</f>
        <v>0</v>
      </c>
      <c r="CG831" s="76"/>
      <c r="CH831" s="76">
        <f>+CG831*22500</f>
        <v>0</v>
      </c>
      <c r="CI831" s="76"/>
      <c r="CJ831" s="76">
        <f>+CI831*26000</f>
        <v>0</v>
      </c>
      <c r="CK831" s="76"/>
      <c r="CL831" s="76"/>
      <c r="CM831" s="76"/>
      <c r="CN831" s="76">
        <f>+CM831*22000</f>
        <v>0</v>
      </c>
      <c r="CO831" s="76"/>
      <c r="CP831" s="76">
        <f>+CO831*46000</f>
        <v>0</v>
      </c>
      <c r="CQ831" s="76"/>
      <c r="CR831" s="76">
        <f>+CQ831*49000</f>
        <v>0</v>
      </c>
      <c r="CS831" s="76"/>
      <c r="CT831" s="76"/>
      <c r="CU831" s="56">
        <f>AN831+AP831+AR831+AT831+AV831+AX831+AZ831+BB831+BD831+BF831+BH831+BJ831+BL831+BN831+BP831+BR831+BT831+BV831+BX831+BZ831+CB831+CD831+CF831+CH831+CJ831+CL831+CN831+CP831+CR831+CT831</f>
        <v>0</v>
      </c>
      <c r="CV831" s="76"/>
      <c r="CW831" s="76">
        <f>+CV831*1100</f>
        <v>0</v>
      </c>
      <c r="CX831" s="76"/>
      <c r="CY831" s="76">
        <f>+CX831*106250</f>
        <v>0</v>
      </c>
      <c r="CZ831" s="76"/>
      <c r="DA831" s="76">
        <f>+CZ831*34500</f>
        <v>0</v>
      </c>
      <c r="DB831" s="76"/>
      <c r="DC831" s="76">
        <f>+DB831*25000</f>
        <v>0</v>
      </c>
      <c r="DD831" s="219"/>
      <c r="DE831" s="219"/>
      <c r="DF831" s="166"/>
      <c r="DG831" s="116"/>
      <c r="DH831" s="117"/>
      <c r="DI831" s="24"/>
      <c r="DJ831" s="24"/>
      <c r="DK831" s="24"/>
      <c r="DL831" s="24"/>
      <c r="DM831" s="24"/>
      <c r="DN831" s="24"/>
      <c r="DO831" s="24"/>
      <c r="DP831" s="24"/>
      <c r="DQ831" s="24"/>
      <c r="DR831" s="24"/>
      <c r="DS831" s="24"/>
      <c r="DT831" s="24"/>
      <c r="DU831" s="24"/>
    </row>
    <row r="832" spans="1:125" s="8" customFormat="1" ht="168" x14ac:dyDescent="0.2">
      <c r="A832" s="77">
        <v>41321</v>
      </c>
      <c r="B832" s="352" t="s">
        <v>2772</v>
      </c>
      <c r="C832" s="354" t="s">
        <v>2832</v>
      </c>
      <c r="D832" s="81" t="s">
        <v>2846</v>
      </c>
      <c r="E832" s="75" t="str">
        <f>VLOOKUP(B832&amp;C832,Divipola!$C$2:$F$1138,4,FALSE)</f>
        <v>25736</v>
      </c>
      <c r="F832" s="100"/>
      <c r="G832" s="100"/>
      <c r="H832" s="100"/>
      <c r="I832" s="100"/>
      <c r="J832" s="100"/>
      <c r="K832" s="100"/>
      <c r="L832" s="100"/>
      <c r="M832" s="100"/>
      <c r="N832" s="100"/>
      <c r="O832" s="100"/>
      <c r="P832" s="100"/>
      <c r="Q832" s="100"/>
      <c r="R832" s="100"/>
      <c r="S832" s="100"/>
      <c r="T832" s="100"/>
      <c r="U832" s="136">
        <v>4</v>
      </c>
      <c r="V832" s="89"/>
      <c r="W832" s="96">
        <v>0</v>
      </c>
      <c r="X832" s="71">
        <f>CU832</f>
        <v>0</v>
      </c>
      <c r="Y832" s="71">
        <f>CY832</f>
        <v>0</v>
      </c>
      <c r="Z832" s="71">
        <f>DA832+DC832+DE832</f>
        <v>0</v>
      </c>
      <c r="AA832" s="71">
        <f>CW832</f>
        <v>0</v>
      </c>
      <c r="AB832" s="71"/>
      <c r="AC832" s="71">
        <v>0</v>
      </c>
      <c r="AD832" s="71">
        <f>W832+X832+Y832+Z832+AA832+AB832+AC832</f>
        <v>0</v>
      </c>
      <c r="AE832" s="72">
        <v>0</v>
      </c>
      <c r="AF832" s="5"/>
      <c r="AG832" s="6"/>
      <c r="AH832" s="27" t="s">
        <v>3392</v>
      </c>
      <c r="AI832" s="44" t="s">
        <v>3393</v>
      </c>
      <c r="AJ832" s="26"/>
      <c r="AK832" s="5"/>
      <c r="AL832" s="82" t="s">
        <v>3537</v>
      </c>
      <c r="AM832" s="76"/>
      <c r="AN832" s="76"/>
      <c r="AO832" s="76"/>
      <c r="AP832" s="76"/>
      <c r="AQ832" s="76"/>
      <c r="AR832" s="76"/>
      <c r="AS832" s="76"/>
      <c r="AT832" s="76"/>
      <c r="AU832" s="76"/>
      <c r="AV832" s="76"/>
      <c r="AW832" s="76"/>
      <c r="AX832" s="76">
        <f>+AW832*600000</f>
        <v>0</v>
      </c>
      <c r="AY832" s="76"/>
      <c r="AZ832" s="76">
        <f>+AY832*70000</f>
        <v>0</v>
      </c>
      <c r="BA832" s="76"/>
      <c r="BB832" s="76"/>
      <c r="BC832" s="76"/>
      <c r="BD832" s="76">
        <f>+BC832*30000</f>
        <v>0</v>
      </c>
      <c r="BE832" s="76"/>
      <c r="BF832" s="76"/>
      <c r="BG832" s="76"/>
      <c r="BH832" s="76"/>
      <c r="BI832" s="76"/>
      <c r="BJ832" s="76"/>
      <c r="BK832" s="76"/>
      <c r="BL832" s="76">
        <f>+BK832*31500</f>
        <v>0</v>
      </c>
      <c r="BM832" s="76"/>
      <c r="BN832" s="76"/>
      <c r="BO832" s="76"/>
      <c r="BP832" s="76"/>
      <c r="BQ832" s="76"/>
      <c r="BR832" s="76"/>
      <c r="BS832" s="76"/>
      <c r="BT832" s="76"/>
      <c r="BU832" s="76"/>
      <c r="BV832" s="76"/>
      <c r="BW832" s="76"/>
      <c r="BX832" s="76"/>
      <c r="BY832" s="76"/>
      <c r="BZ832" s="76"/>
      <c r="CA832" s="76"/>
      <c r="CB832" s="76"/>
      <c r="CC832" s="76"/>
      <c r="CD832" s="76"/>
      <c r="CE832" s="76"/>
      <c r="CF832" s="76">
        <f>+CE832*28000</f>
        <v>0</v>
      </c>
      <c r="CG832" s="76"/>
      <c r="CH832" s="76">
        <f>+CG832*22500</f>
        <v>0</v>
      </c>
      <c r="CI832" s="76"/>
      <c r="CJ832" s="76">
        <f>+CI832*26000</f>
        <v>0</v>
      </c>
      <c r="CK832" s="76"/>
      <c r="CL832" s="76"/>
      <c r="CM832" s="76"/>
      <c r="CN832" s="76">
        <f>+CM832*22000</f>
        <v>0</v>
      </c>
      <c r="CO832" s="76"/>
      <c r="CP832" s="76">
        <f>+CO832*46000</f>
        <v>0</v>
      </c>
      <c r="CQ832" s="76"/>
      <c r="CR832" s="76">
        <f>+CQ832*49000</f>
        <v>0</v>
      </c>
      <c r="CS832" s="76"/>
      <c r="CT832" s="76"/>
      <c r="CU832" s="56">
        <f>AN832+AP832+AR832+AT832+AV832+AX832+AZ832+BB832+BD832+BF832+BH832+BJ832+BL832+BN832+BP832+BR832+BT832+BV832+BX832+BZ832+CB832+CD832+CF832+CH832+CJ832+CL832+CN832+CP832+CR832+CT832</f>
        <v>0</v>
      </c>
      <c r="CV832" s="76"/>
      <c r="CW832" s="76">
        <f>+CV832*1100</f>
        <v>0</v>
      </c>
      <c r="CX832" s="76"/>
      <c r="CY832" s="76">
        <f>+CX832*106250</f>
        <v>0</v>
      </c>
      <c r="CZ832" s="76"/>
      <c r="DA832" s="76">
        <f>+CZ832*34500</f>
        <v>0</v>
      </c>
      <c r="DB832" s="76"/>
      <c r="DC832" s="76">
        <f>+DB832*25000</f>
        <v>0</v>
      </c>
      <c r="DD832" s="219"/>
      <c r="DE832" s="219"/>
      <c r="DF832" s="166"/>
      <c r="DG832" s="116"/>
      <c r="DH832" s="117"/>
      <c r="DI832" s="24"/>
      <c r="DJ832" s="24"/>
      <c r="DK832" s="24"/>
      <c r="DL832" s="24"/>
      <c r="DM832" s="24"/>
      <c r="DN832" s="24"/>
      <c r="DO832" s="24"/>
      <c r="DP832" s="24"/>
      <c r="DQ832" s="24"/>
      <c r="DR832" s="24"/>
      <c r="DS832" s="24"/>
      <c r="DT832" s="24"/>
      <c r="DU832" s="24"/>
    </row>
    <row r="833" spans="1:125" s="8" customFormat="1" ht="36" x14ac:dyDescent="0.2">
      <c r="A833" s="77">
        <v>41321</v>
      </c>
      <c r="B833" s="78" t="s">
        <v>2906</v>
      </c>
      <c r="C833" s="75" t="s">
        <v>429</v>
      </c>
      <c r="D833" s="81" t="s">
        <v>2846</v>
      </c>
      <c r="E833" s="75" t="str">
        <f>VLOOKUP(B833&amp;C833,Divipola!$C$2:$F$1138,4,FALSE)</f>
        <v>47189</v>
      </c>
      <c r="F833" s="87"/>
      <c r="G833" s="87"/>
      <c r="H833" s="87"/>
      <c r="I833" s="87"/>
      <c r="J833" s="87"/>
      <c r="K833" s="87"/>
      <c r="L833" s="87"/>
      <c r="M833" s="87"/>
      <c r="N833" s="87"/>
      <c r="O833" s="87"/>
      <c r="P833" s="87"/>
      <c r="Q833" s="87"/>
      <c r="R833" s="87"/>
      <c r="S833" s="87"/>
      <c r="T833" s="87"/>
      <c r="U833" s="88"/>
      <c r="V833" s="89"/>
      <c r="W833" s="96">
        <v>0</v>
      </c>
      <c r="X833" s="71">
        <f>CU833</f>
        <v>0</v>
      </c>
      <c r="Y833" s="71">
        <f>CY833</f>
        <v>0</v>
      </c>
      <c r="Z833" s="71">
        <f>DA833+DC833+DE833</f>
        <v>0</v>
      </c>
      <c r="AA833" s="71">
        <f>CW833</f>
        <v>0</v>
      </c>
      <c r="AB833" s="71"/>
      <c r="AC833" s="71">
        <v>0</v>
      </c>
      <c r="AD833" s="71">
        <f>W833+X833+Y833+Z833+AA833+AB833+AC833</f>
        <v>0</v>
      </c>
      <c r="AE833" s="72">
        <v>0</v>
      </c>
      <c r="AF833" s="5"/>
      <c r="AG833" s="6"/>
      <c r="AH833" s="27" t="s">
        <v>3392</v>
      </c>
      <c r="AI833" s="44" t="s">
        <v>3393</v>
      </c>
      <c r="AJ833" s="26"/>
      <c r="AK833" s="5"/>
      <c r="AL833" s="82" t="s">
        <v>3531</v>
      </c>
      <c r="AM833" s="76"/>
      <c r="AN833" s="76"/>
      <c r="AO833" s="76"/>
      <c r="AP833" s="76"/>
      <c r="AQ833" s="76"/>
      <c r="AR833" s="76"/>
      <c r="AS833" s="76"/>
      <c r="AT833" s="76"/>
      <c r="AU833" s="76"/>
      <c r="AV833" s="76"/>
      <c r="AW833" s="76"/>
      <c r="AX833" s="76">
        <f>+AW833*600000</f>
        <v>0</v>
      </c>
      <c r="AY833" s="76"/>
      <c r="AZ833" s="76">
        <f>+AY833*70000</f>
        <v>0</v>
      </c>
      <c r="BA833" s="76"/>
      <c r="BB833" s="76"/>
      <c r="BC833" s="76"/>
      <c r="BD833" s="76">
        <f>+BC833*30000</f>
        <v>0</v>
      </c>
      <c r="BE833" s="76"/>
      <c r="BF833" s="76"/>
      <c r="BG833" s="76"/>
      <c r="BH833" s="76"/>
      <c r="BI833" s="76"/>
      <c r="BJ833" s="76"/>
      <c r="BK833" s="76"/>
      <c r="BL833" s="76">
        <f>+BK833*31500</f>
        <v>0</v>
      </c>
      <c r="BM833" s="76"/>
      <c r="BN833" s="76"/>
      <c r="BO833" s="76"/>
      <c r="BP833" s="76"/>
      <c r="BQ833" s="76"/>
      <c r="BR833" s="76"/>
      <c r="BS833" s="76"/>
      <c r="BT833" s="76"/>
      <c r="BU833" s="76"/>
      <c r="BV833" s="76"/>
      <c r="BW833" s="76"/>
      <c r="BX833" s="76"/>
      <c r="BY833" s="76"/>
      <c r="BZ833" s="76"/>
      <c r="CA833" s="76"/>
      <c r="CB833" s="76"/>
      <c r="CC833" s="76"/>
      <c r="CD833" s="76"/>
      <c r="CE833" s="76"/>
      <c r="CF833" s="76">
        <f>+CE833*28000</f>
        <v>0</v>
      </c>
      <c r="CG833" s="76"/>
      <c r="CH833" s="76">
        <f>+CG833*22500</f>
        <v>0</v>
      </c>
      <c r="CI833" s="76"/>
      <c r="CJ833" s="76">
        <f>+CI833*26000</f>
        <v>0</v>
      </c>
      <c r="CK833" s="76"/>
      <c r="CL833" s="76"/>
      <c r="CM833" s="76"/>
      <c r="CN833" s="76">
        <f>+CM833*22000</f>
        <v>0</v>
      </c>
      <c r="CO833" s="76"/>
      <c r="CP833" s="76">
        <f>+CO833*46000</f>
        <v>0</v>
      </c>
      <c r="CQ833" s="76"/>
      <c r="CR833" s="76">
        <f>+CQ833*49000</f>
        <v>0</v>
      </c>
      <c r="CS833" s="76"/>
      <c r="CT833" s="76"/>
      <c r="CU833" s="56">
        <f>AN833+AP833+AR833+AT833+AV833+AX833+AZ833+BB833+BD833+BF833+BH833+BJ833+BL833+BN833+BP833+BR833+BT833+BV833+BX833+BZ833+CB833+CD833+CF833+CH833+CJ833+CL833+CN833+CP833+CR833+CT833</f>
        <v>0</v>
      </c>
      <c r="CV833" s="76"/>
      <c r="CW833" s="76">
        <f>+CV833*1100</f>
        <v>0</v>
      </c>
      <c r="CX833" s="76"/>
      <c r="CY833" s="76">
        <f>+CX833*106250</f>
        <v>0</v>
      </c>
      <c r="CZ833" s="76"/>
      <c r="DA833" s="76">
        <f>+CZ833*34500</f>
        <v>0</v>
      </c>
      <c r="DB833" s="76"/>
      <c r="DC833" s="76">
        <f>+DB833*25000</f>
        <v>0</v>
      </c>
      <c r="DD833" s="219"/>
      <c r="DE833" s="219"/>
      <c r="DF833" s="166"/>
      <c r="DG833" s="116"/>
      <c r="DH833" s="117"/>
      <c r="DI833" s="24"/>
      <c r="DJ833" s="24"/>
      <c r="DK833" s="24"/>
      <c r="DL833" s="24"/>
      <c r="DM833" s="24"/>
      <c r="DN833" s="24"/>
      <c r="DO833" s="24"/>
      <c r="DP833" s="24"/>
      <c r="DQ833" s="24"/>
      <c r="DR833" s="24"/>
      <c r="DS833" s="24"/>
      <c r="DT833" s="24"/>
      <c r="DU833" s="24"/>
    </row>
    <row r="834" spans="1:125" s="8" customFormat="1" ht="240" x14ac:dyDescent="0.2">
      <c r="A834" s="77">
        <v>41321</v>
      </c>
      <c r="B834" s="352" t="s">
        <v>2774</v>
      </c>
      <c r="C834" s="354" t="s">
        <v>284</v>
      </c>
      <c r="D834" s="354" t="s">
        <v>2882</v>
      </c>
      <c r="E834" s="75" t="str">
        <f>VLOOKUP(B834&amp;C834,Divipola!$C$2:$F$1138,4,FALSE)</f>
        <v>66170</v>
      </c>
      <c r="F834" s="100"/>
      <c r="G834" s="100"/>
      <c r="H834" s="100"/>
      <c r="I834" s="100">
        <v>4650</v>
      </c>
      <c r="J834" s="100">
        <v>1140</v>
      </c>
      <c r="K834" s="100"/>
      <c r="L834" s="100">
        <v>1140</v>
      </c>
      <c r="M834" s="100"/>
      <c r="N834" s="100"/>
      <c r="O834" s="100"/>
      <c r="P834" s="100"/>
      <c r="Q834" s="100"/>
      <c r="R834" s="100"/>
      <c r="S834" s="100">
        <v>3</v>
      </c>
      <c r="T834" s="100">
        <v>1</v>
      </c>
      <c r="U834" s="136"/>
      <c r="V834" s="89"/>
      <c r="W834" s="96">
        <v>0</v>
      </c>
      <c r="X834" s="71">
        <f>CU834</f>
        <v>136500000</v>
      </c>
      <c r="Y834" s="71">
        <f>CY834</f>
        <v>99750000</v>
      </c>
      <c r="Z834" s="71">
        <f>DA834+DC834+DE834</f>
        <v>303853764</v>
      </c>
      <c r="AA834" s="71">
        <f>CW834</f>
        <v>0</v>
      </c>
      <c r="AB834" s="71"/>
      <c r="AC834" s="71">
        <v>0</v>
      </c>
      <c r="AD834" s="71">
        <f>W834+X834+Y834+Z834+AA834+AB834+AC834</f>
        <v>540103764</v>
      </c>
      <c r="AE834" s="72">
        <v>0</v>
      </c>
      <c r="AF834" s="5"/>
      <c r="AG834" s="6"/>
      <c r="AH834" s="27" t="s">
        <v>3390</v>
      </c>
      <c r="AI834" s="44" t="s">
        <v>3391</v>
      </c>
      <c r="AJ834" s="26"/>
      <c r="AK834" s="5"/>
      <c r="AL834" s="82" t="s">
        <v>3536</v>
      </c>
      <c r="AM834" s="76"/>
      <c r="AN834" s="76"/>
      <c r="AO834" s="76"/>
      <c r="AP834" s="76"/>
      <c r="AQ834" s="76"/>
      <c r="AR834" s="76"/>
      <c r="AS834" s="76"/>
      <c r="AT834" s="76"/>
      <c r="AU834" s="76"/>
      <c r="AV834" s="76"/>
      <c r="AW834" s="76"/>
      <c r="AX834" s="76">
        <f>+AW834*600000</f>
        <v>0</v>
      </c>
      <c r="AY834" s="86">
        <v>500</v>
      </c>
      <c r="AZ834" s="86">
        <f>+AY834*70000</f>
        <v>35000000</v>
      </c>
      <c r="BA834" s="76"/>
      <c r="BB834" s="76"/>
      <c r="BC834" s="76"/>
      <c r="BD834" s="76">
        <f>+BC834*30000</f>
        <v>0</v>
      </c>
      <c r="BE834" s="76"/>
      <c r="BF834" s="76"/>
      <c r="BG834" s="76"/>
      <c r="BH834" s="76"/>
      <c r="BI834" s="76"/>
      <c r="BJ834" s="76"/>
      <c r="BK834" s="76"/>
      <c r="BL834" s="76">
        <f>+BK834*31500</f>
        <v>0</v>
      </c>
      <c r="BM834" s="76"/>
      <c r="BN834" s="76"/>
      <c r="BO834" s="76"/>
      <c r="BP834" s="76"/>
      <c r="BQ834" s="76"/>
      <c r="BR834" s="76"/>
      <c r="BS834" s="76"/>
      <c r="BT834" s="76"/>
      <c r="BU834" s="76"/>
      <c r="BV834" s="76"/>
      <c r="BW834" s="76"/>
      <c r="BX834" s="76"/>
      <c r="BY834" s="76"/>
      <c r="BZ834" s="76"/>
      <c r="CA834" s="76"/>
      <c r="CB834" s="76"/>
      <c r="CC834" s="76"/>
      <c r="CD834" s="76"/>
      <c r="CE834" s="76"/>
      <c r="CF834" s="76">
        <f>+CE834*28000</f>
        <v>0</v>
      </c>
      <c r="CG834" s="86">
        <v>500</v>
      </c>
      <c r="CH834" s="86">
        <f>+CG834*22500</f>
        <v>11250000</v>
      </c>
      <c r="CI834" s="76">
        <v>0</v>
      </c>
      <c r="CJ834" s="76">
        <f>+CI834*26000</f>
        <v>0</v>
      </c>
      <c r="CK834" s="76"/>
      <c r="CL834" s="76"/>
      <c r="CM834" s="76"/>
      <c r="CN834" s="76">
        <f>+CM834*22000</f>
        <v>0</v>
      </c>
      <c r="CO834" s="86">
        <v>950</v>
      </c>
      <c r="CP834" s="86">
        <f>+CO834*46000</f>
        <v>43700000</v>
      </c>
      <c r="CQ834" s="86">
        <v>950</v>
      </c>
      <c r="CR834" s="86">
        <f>+CQ834*49000</f>
        <v>46550000</v>
      </c>
      <c r="CS834" s="76"/>
      <c r="CT834" s="76"/>
      <c r="CU834" s="56">
        <f>AN834+AP834+AR834+AT834+AV834+AX834+AZ834+BB834+BD834+BF834+BH834+BJ834+BL834+BN834+BP834+BR834+BT834+BV834+BX834+BZ834+CB834+CD834+CF834+CH834+CJ834+CL834+CN834+CP834+CR834+CT834</f>
        <v>136500000</v>
      </c>
      <c r="CV834" s="76"/>
      <c r="CW834" s="76">
        <f>+CV834*1100</f>
        <v>0</v>
      </c>
      <c r="CX834" s="86">
        <v>950</v>
      </c>
      <c r="CY834" s="86">
        <f>950*105000</f>
        <v>99750000</v>
      </c>
      <c r="CZ834" s="86">
        <v>1000</v>
      </c>
      <c r="DA834" s="86">
        <f>1000*29999.92</f>
        <v>29999920</v>
      </c>
      <c r="DB834" s="86">
        <f>4000+1000+700+1500</f>
        <v>7200</v>
      </c>
      <c r="DC834" s="86">
        <f>4000*30499.88+1000*41850.48+700*25000.32+8000*699.48+1500*17999.72+15000*250.56</f>
        <v>217704044</v>
      </c>
      <c r="DD834" s="221" t="s">
        <v>3554</v>
      </c>
      <c r="DE834" s="223">
        <f>500*67799.68+500*20499.52+500*24000.4</f>
        <v>56149800</v>
      </c>
      <c r="DF834" s="166"/>
      <c r="DG834" s="192" t="s">
        <v>4004</v>
      </c>
      <c r="DH834" s="117"/>
      <c r="DI834" s="24"/>
      <c r="DJ834" s="24"/>
      <c r="DK834" s="24"/>
      <c r="DL834" s="24"/>
      <c r="DM834" s="24"/>
      <c r="DN834" s="24"/>
      <c r="DO834" s="24"/>
      <c r="DP834" s="24"/>
      <c r="DQ834" s="24"/>
      <c r="DR834" s="24"/>
      <c r="DS834" s="24"/>
      <c r="DT834" s="24"/>
      <c r="DU834" s="24"/>
    </row>
    <row r="835" spans="1:125" s="8" customFormat="1" ht="180" x14ac:dyDescent="0.2">
      <c r="A835" s="77">
        <v>41321</v>
      </c>
      <c r="B835" s="78" t="s">
        <v>2847</v>
      </c>
      <c r="C835" s="75" t="s">
        <v>1737</v>
      </c>
      <c r="D835" s="81" t="s">
        <v>2846</v>
      </c>
      <c r="E835" s="75" t="str">
        <f>VLOOKUP(B835&amp;C835,Divipola!$C$2:$F$1138,4,FALSE)</f>
        <v>68464</v>
      </c>
      <c r="F835" s="87"/>
      <c r="G835" s="87"/>
      <c r="H835" s="87"/>
      <c r="I835" s="87"/>
      <c r="J835" s="87"/>
      <c r="K835" s="87"/>
      <c r="L835" s="87"/>
      <c r="M835" s="87"/>
      <c r="N835" s="87"/>
      <c r="O835" s="87"/>
      <c r="P835" s="87"/>
      <c r="Q835" s="87"/>
      <c r="R835" s="87"/>
      <c r="S835" s="87"/>
      <c r="T835" s="87"/>
      <c r="U835" s="88">
        <v>5</v>
      </c>
      <c r="V835" s="89"/>
      <c r="W835" s="96">
        <v>0</v>
      </c>
      <c r="X835" s="71">
        <f>CU835</f>
        <v>0</v>
      </c>
      <c r="Y835" s="71">
        <f>CY835</f>
        <v>0</v>
      </c>
      <c r="Z835" s="71">
        <f>DA835+DC835+DE835</f>
        <v>0</v>
      </c>
      <c r="AA835" s="71">
        <f>CW835</f>
        <v>0</v>
      </c>
      <c r="AB835" s="71"/>
      <c r="AC835" s="71">
        <v>0</v>
      </c>
      <c r="AD835" s="71">
        <f>W835+X835+Y835+Z835+AA835+AB835+AC835</f>
        <v>0</v>
      </c>
      <c r="AE835" s="72">
        <v>0</v>
      </c>
      <c r="AF835" s="5"/>
      <c r="AG835" s="6"/>
      <c r="AH835" s="27" t="s">
        <v>3392</v>
      </c>
      <c r="AI835" s="44" t="s">
        <v>3393</v>
      </c>
      <c r="AJ835" s="26"/>
      <c r="AK835" s="5"/>
      <c r="AL835" s="82" t="s">
        <v>5237</v>
      </c>
      <c r="AM835" s="76"/>
      <c r="AN835" s="76"/>
      <c r="AO835" s="76"/>
      <c r="AP835" s="76"/>
      <c r="AQ835" s="76"/>
      <c r="AR835" s="76"/>
      <c r="AS835" s="76"/>
      <c r="AT835" s="76"/>
      <c r="AU835" s="76"/>
      <c r="AV835" s="76"/>
      <c r="AW835" s="76"/>
      <c r="AX835" s="76">
        <f>+AW835*600000</f>
        <v>0</v>
      </c>
      <c r="AY835" s="76"/>
      <c r="AZ835" s="76">
        <f>+AY835*70000</f>
        <v>0</v>
      </c>
      <c r="BA835" s="76"/>
      <c r="BB835" s="76"/>
      <c r="BC835" s="76"/>
      <c r="BD835" s="76">
        <f>+BC835*30000</f>
        <v>0</v>
      </c>
      <c r="BE835" s="76"/>
      <c r="BF835" s="76"/>
      <c r="BG835" s="76"/>
      <c r="BH835" s="76"/>
      <c r="BI835" s="76"/>
      <c r="BJ835" s="76"/>
      <c r="BK835" s="76"/>
      <c r="BL835" s="76">
        <f>+BK835*31500</f>
        <v>0</v>
      </c>
      <c r="BM835" s="76"/>
      <c r="BN835" s="76"/>
      <c r="BO835" s="76"/>
      <c r="BP835" s="76"/>
      <c r="BQ835" s="76"/>
      <c r="BR835" s="76"/>
      <c r="BS835" s="76"/>
      <c r="BT835" s="76"/>
      <c r="BU835" s="76"/>
      <c r="BV835" s="76"/>
      <c r="BW835" s="76"/>
      <c r="BX835" s="76"/>
      <c r="BY835" s="76"/>
      <c r="BZ835" s="76"/>
      <c r="CA835" s="76"/>
      <c r="CB835" s="76"/>
      <c r="CC835" s="76"/>
      <c r="CD835" s="76"/>
      <c r="CE835" s="76"/>
      <c r="CF835" s="76">
        <f>+CE835*28000</f>
        <v>0</v>
      </c>
      <c r="CG835" s="76"/>
      <c r="CH835" s="76">
        <f>+CG835*22500</f>
        <v>0</v>
      </c>
      <c r="CI835" s="76"/>
      <c r="CJ835" s="76">
        <f>+CI835*26000</f>
        <v>0</v>
      </c>
      <c r="CK835" s="76"/>
      <c r="CL835" s="76"/>
      <c r="CM835" s="76"/>
      <c r="CN835" s="76">
        <f>+CM835*22000</f>
        <v>0</v>
      </c>
      <c r="CO835" s="76"/>
      <c r="CP835" s="76">
        <f>+CO835*46000</f>
        <v>0</v>
      </c>
      <c r="CQ835" s="76"/>
      <c r="CR835" s="76">
        <f>+CQ835*49000</f>
        <v>0</v>
      </c>
      <c r="CS835" s="76"/>
      <c r="CT835" s="76"/>
      <c r="CU835" s="56">
        <f>AN835+AP835+AR835+AT835+AV835+AX835+AZ835+BB835+BD835+BF835+BH835+BJ835+BL835+BN835+BP835+BR835+BT835+BV835+BX835+BZ835+CB835+CD835+CF835+CH835+CJ835+CL835+CN835+CP835+CR835+CT835</f>
        <v>0</v>
      </c>
      <c r="CV835" s="76"/>
      <c r="CW835" s="76">
        <f>+CV835*1100</f>
        <v>0</v>
      </c>
      <c r="CX835" s="76"/>
      <c r="CY835" s="76">
        <f>+CX835*106250</f>
        <v>0</v>
      </c>
      <c r="CZ835" s="76"/>
      <c r="DA835" s="76">
        <f>+CZ835*34500</f>
        <v>0</v>
      </c>
      <c r="DB835" s="76"/>
      <c r="DC835" s="76">
        <f>+DB835*25000</f>
        <v>0</v>
      </c>
      <c r="DD835" s="219"/>
      <c r="DE835" s="219"/>
      <c r="DF835" s="166"/>
      <c r="DG835" s="116"/>
      <c r="DH835" s="117"/>
      <c r="DI835" s="24"/>
      <c r="DJ835" s="24"/>
      <c r="DK835" s="24"/>
      <c r="DL835" s="24"/>
      <c r="DM835" s="24"/>
      <c r="DN835" s="24"/>
      <c r="DO835" s="24"/>
      <c r="DP835" s="24"/>
      <c r="DQ835" s="24"/>
      <c r="DR835" s="24"/>
      <c r="DS835" s="24"/>
      <c r="DT835" s="24"/>
      <c r="DU835" s="24"/>
    </row>
    <row r="836" spans="1:125" s="8" customFormat="1" ht="72" x14ac:dyDescent="0.2">
      <c r="A836" s="77">
        <v>41321</v>
      </c>
      <c r="B836" s="225" t="s">
        <v>2848</v>
      </c>
      <c r="C836" s="227" t="s">
        <v>1887</v>
      </c>
      <c r="D836" s="75" t="s">
        <v>3051</v>
      </c>
      <c r="E836" s="75" t="str">
        <f>VLOOKUP(B836&amp;C836,Divipola!$C$2:$F$1138,4,FALSE)</f>
        <v>73443</v>
      </c>
      <c r="F836" s="87"/>
      <c r="G836" s="87">
        <v>2</v>
      </c>
      <c r="H836" s="87"/>
      <c r="I836" s="87"/>
      <c r="J836" s="87"/>
      <c r="K836" s="87"/>
      <c r="L836" s="87"/>
      <c r="M836" s="87"/>
      <c r="N836" s="87"/>
      <c r="O836" s="87"/>
      <c r="P836" s="87"/>
      <c r="Q836" s="87"/>
      <c r="R836" s="87"/>
      <c r="S836" s="87"/>
      <c r="T836" s="87"/>
      <c r="U836" s="88"/>
      <c r="V836" s="89"/>
      <c r="W836" s="96">
        <v>0</v>
      </c>
      <c r="X836" s="71">
        <f>CU836</f>
        <v>0</v>
      </c>
      <c r="Y836" s="71">
        <f>CY836</f>
        <v>0</v>
      </c>
      <c r="Z836" s="71">
        <f>DA836+DC836+DE836</f>
        <v>0</v>
      </c>
      <c r="AA836" s="71">
        <f>CW836</f>
        <v>0</v>
      </c>
      <c r="AB836" s="71"/>
      <c r="AC836" s="71">
        <v>0</v>
      </c>
      <c r="AD836" s="71">
        <f>W836+X836+Y836+Z836+AA836+AB836+AC836</f>
        <v>0</v>
      </c>
      <c r="AE836" s="72">
        <v>0</v>
      </c>
      <c r="AF836" s="5"/>
      <c r="AG836" s="6"/>
      <c r="AH836" s="27" t="s">
        <v>3392</v>
      </c>
      <c r="AI836" s="44" t="s">
        <v>3393</v>
      </c>
      <c r="AJ836" s="26"/>
      <c r="AK836" s="5"/>
      <c r="AL836" s="82" t="s">
        <v>3534</v>
      </c>
      <c r="AM836" s="76"/>
      <c r="AN836" s="76"/>
      <c r="AO836" s="76"/>
      <c r="AP836" s="76"/>
      <c r="AQ836" s="76"/>
      <c r="AR836" s="76"/>
      <c r="AS836" s="76"/>
      <c r="AT836" s="76"/>
      <c r="AU836" s="76"/>
      <c r="AV836" s="76"/>
      <c r="AW836" s="76"/>
      <c r="AX836" s="76">
        <f>+AW836*600000</f>
        <v>0</v>
      </c>
      <c r="AY836" s="76"/>
      <c r="AZ836" s="76">
        <f>+AY836*70000</f>
        <v>0</v>
      </c>
      <c r="BA836" s="76"/>
      <c r="BB836" s="76"/>
      <c r="BC836" s="76"/>
      <c r="BD836" s="76">
        <f>+BC836*30000</f>
        <v>0</v>
      </c>
      <c r="BE836" s="76"/>
      <c r="BF836" s="76"/>
      <c r="BG836" s="76"/>
      <c r="BH836" s="76"/>
      <c r="BI836" s="76"/>
      <c r="BJ836" s="76"/>
      <c r="BK836" s="76"/>
      <c r="BL836" s="76">
        <f>+BK836*31500</f>
        <v>0</v>
      </c>
      <c r="BM836" s="76"/>
      <c r="BN836" s="76"/>
      <c r="BO836" s="76"/>
      <c r="BP836" s="76"/>
      <c r="BQ836" s="76"/>
      <c r="BR836" s="76"/>
      <c r="BS836" s="76"/>
      <c r="BT836" s="76"/>
      <c r="BU836" s="76"/>
      <c r="BV836" s="76"/>
      <c r="BW836" s="76"/>
      <c r="BX836" s="76"/>
      <c r="BY836" s="76"/>
      <c r="BZ836" s="76"/>
      <c r="CA836" s="76"/>
      <c r="CB836" s="76"/>
      <c r="CC836" s="76"/>
      <c r="CD836" s="76"/>
      <c r="CE836" s="76"/>
      <c r="CF836" s="76">
        <f>+CE836*28000</f>
        <v>0</v>
      </c>
      <c r="CG836" s="76"/>
      <c r="CH836" s="76">
        <f>+CG836*22500</f>
        <v>0</v>
      </c>
      <c r="CI836" s="76"/>
      <c r="CJ836" s="76">
        <f>+CI836*26000</f>
        <v>0</v>
      </c>
      <c r="CK836" s="76"/>
      <c r="CL836" s="76"/>
      <c r="CM836" s="76"/>
      <c r="CN836" s="76">
        <f>+CM836*22000</f>
        <v>0</v>
      </c>
      <c r="CO836" s="76"/>
      <c r="CP836" s="76">
        <f>+CO836*46000</f>
        <v>0</v>
      </c>
      <c r="CQ836" s="76"/>
      <c r="CR836" s="76">
        <f>+CQ836*49000</f>
        <v>0</v>
      </c>
      <c r="CS836" s="76"/>
      <c r="CT836" s="76"/>
      <c r="CU836" s="56">
        <f>AN836+AP836+AR836+AT836+AV836+AX836+AZ836+BB836+BD836+BF836+BH836+BJ836+BL836+BN836+BP836+BR836+BT836+BV836+BX836+BZ836+CB836+CD836+CF836+CH836+CJ836+CL836+CN836+CP836+CR836+CT836</f>
        <v>0</v>
      </c>
      <c r="CV836" s="76"/>
      <c r="CW836" s="76">
        <f>+CV836*1100</f>
        <v>0</v>
      </c>
      <c r="CX836" s="76"/>
      <c r="CY836" s="76">
        <f>+CX836*106250</f>
        <v>0</v>
      </c>
      <c r="CZ836" s="76"/>
      <c r="DA836" s="76">
        <f>+CZ836*34500</f>
        <v>0</v>
      </c>
      <c r="DB836" s="76"/>
      <c r="DC836" s="76">
        <f>+DB836*25000</f>
        <v>0</v>
      </c>
      <c r="DD836" s="219"/>
      <c r="DE836" s="219"/>
      <c r="DF836" s="166"/>
      <c r="DG836" s="116"/>
      <c r="DH836" s="117"/>
      <c r="DI836" s="24"/>
      <c r="DJ836" s="24"/>
      <c r="DK836" s="24"/>
      <c r="DL836" s="24"/>
      <c r="DM836" s="24"/>
      <c r="DN836" s="24"/>
      <c r="DO836" s="24"/>
      <c r="DP836" s="24"/>
      <c r="DQ836" s="24"/>
      <c r="DR836" s="24"/>
      <c r="DS836" s="24"/>
      <c r="DT836" s="24"/>
      <c r="DU836" s="24"/>
    </row>
    <row r="837" spans="1:125" s="8" customFormat="1" ht="48" x14ac:dyDescent="0.2">
      <c r="A837" s="77">
        <v>41322</v>
      </c>
      <c r="B837" s="225" t="s">
        <v>2881</v>
      </c>
      <c r="C837" s="227" t="s">
        <v>1413</v>
      </c>
      <c r="D837" s="227" t="s">
        <v>2859</v>
      </c>
      <c r="E837" s="75" t="str">
        <f>VLOOKUP(B837&amp;C837,Divipola!$C$2:$F$1138,4,FALSE)</f>
        <v>08433</v>
      </c>
      <c r="F837" s="100"/>
      <c r="G837" s="100"/>
      <c r="H837" s="100"/>
      <c r="I837" s="100">
        <v>20</v>
      </c>
      <c r="J837" s="100">
        <v>4</v>
      </c>
      <c r="K837" s="100">
        <v>4</v>
      </c>
      <c r="L837" s="100"/>
      <c r="M837" s="100"/>
      <c r="N837" s="100"/>
      <c r="O837" s="100"/>
      <c r="P837" s="100"/>
      <c r="Q837" s="100"/>
      <c r="R837" s="100"/>
      <c r="S837" s="100"/>
      <c r="T837" s="100"/>
      <c r="U837" s="136"/>
      <c r="V837" s="155"/>
      <c r="W837" s="96">
        <v>0</v>
      </c>
      <c r="X837" s="71">
        <f>CU837</f>
        <v>0</v>
      </c>
      <c r="Y837" s="71">
        <f>CY837</f>
        <v>0</v>
      </c>
      <c r="Z837" s="71">
        <f>DA837+DC837+DE837</f>
        <v>0</v>
      </c>
      <c r="AA837" s="71">
        <f>CW837</f>
        <v>0</v>
      </c>
      <c r="AB837" s="71"/>
      <c r="AC837" s="71">
        <v>0</v>
      </c>
      <c r="AD837" s="71">
        <f>W837+X837+Y837+Z837+AA837+AB837+AC837</f>
        <v>0</v>
      </c>
      <c r="AE837" s="72">
        <v>0</v>
      </c>
      <c r="AF837" s="5"/>
      <c r="AG837" s="6"/>
      <c r="AH837" s="27" t="s">
        <v>3392</v>
      </c>
      <c r="AI837" s="44" t="s">
        <v>3393</v>
      </c>
      <c r="AJ837" s="26"/>
      <c r="AK837" s="5"/>
      <c r="AL837" s="82" t="s">
        <v>3540</v>
      </c>
      <c r="AM837" s="76"/>
      <c r="AN837" s="76"/>
      <c r="AO837" s="76"/>
      <c r="AP837" s="76"/>
      <c r="AQ837" s="76"/>
      <c r="AR837" s="76"/>
      <c r="AS837" s="76"/>
      <c r="AT837" s="76"/>
      <c r="AU837" s="76"/>
      <c r="AV837" s="76"/>
      <c r="AW837" s="76"/>
      <c r="AX837" s="76">
        <f>+AW837*600000</f>
        <v>0</v>
      </c>
      <c r="AY837" s="76"/>
      <c r="AZ837" s="76">
        <f>+AY837*70000</f>
        <v>0</v>
      </c>
      <c r="BA837" s="76"/>
      <c r="BB837" s="76"/>
      <c r="BC837" s="76"/>
      <c r="BD837" s="76">
        <f>+BC837*30000</f>
        <v>0</v>
      </c>
      <c r="BE837" s="76"/>
      <c r="BF837" s="76"/>
      <c r="BG837" s="76"/>
      <c r="BH837" s="76"/>
      <c r="BI837" s="76"/>
      <c r="BJ837" s="76"/>
      <c r="BK837" s="76"/>
      <c r="BL837" s="76">
        <f>+BK837*31500</f>
        <v>0</v>
      </c>
      <c r="BM837" s="76"/>
      <c r="BN837" s="76"/>
      <c r="BO837" s="76"/>
      <c r="BP837" s="76"/>
      <c r="BQ837" s="76"/>
      <c r="BR837" s="76"/>
      <c r="BS837" s="76"/>
      <c r="BT837" s="76"/>
      <c r="BU837" s="76"/>
      <c r="BV837" s="76"/>
      <c r="BW837" s="76"/>
      <c r="BX837" s="76"/>
      <c r="BY837" s="76"/>
      <c r="BZ837" s="76"/>
      <c r="CA837" s="76"/>
      <c r="CB837" s="76"/>
      <c r="CC837" s="76"/>
      <c r="CD837" s="76"/>
      <c r="CE837" s="76"/>
      <c r="CF837" s="76">
        <f>+CE837*28000</f>
        <v>0</v>
      </c>
      <c r="CG837" s="76"/>
      <c r="CH837" s="76">
        <f>+CG837*22500</f>
        <v>0</v>
      </c>
      <c r="CI837" s="76"/>
      <c r="CJ837" s="76">
        <f>+CI837*26000</f>
        <v>0</v>
      </c>
      <c r="CK837" s="76"/>
      <c r="CL837" s="76"/>
      <c r="CM837" s="76"/>
      <c r="CN837" s="76">
        <f>+CM837*22000</f>
        <v>0</v>
      </c>
      <c r="CO837" s="76"/>
      <c r="CP837" s="76">
        <f>+CO837*46000</f>
        <v>0</v>
      </c>
      <c r="CQ837" s="76"/>
      <c r="CR837" s="76">
        <f>+CQ837*49000</f>
        <v>0</v>
      </c>
      <c r="CS837" s="76"/>
      <c r="CT837" s="76"/>
      <c r="CU837" s="56">
        <f>AN837+AP837+AR837+AT837+AV837+AX837+AZ837+BB837+BD837+BF837+BH837+BJ837+BL837+BN837+BP837+BR837+BT837+BV837+BX837+BZ837+CB837+CD837+CF837+CH837+CJ837+CL837+CN837+CP837+CR837+CT837</f>
        <v>0</v>
      </c>
      <c r="CV837" s="76"/>
      <c r="CW837" s="76">
        <f>+CV837*1100</f>
        <v>0</v>
      </c>
      <c r="CX837" s="76"/>
      <c r="CY837" s="76">
        <f>+CX837*106250</f>
        <v>0</v>
      </c>
      <c r="CZ837" s="76"/>
      <c r="DA837" s="76">
        <f>+CZ837*34500</f>
        <v>0</v>
      </c>
      <c r="DB837" s="76"/>
      <c r="DC837" s="76">
        <f>+DB837*25000</f>
        <v>0</v>
      </c>
      <c r="DD837" s="219"/>
      <c r="DE837" s="219"/>
      <c r="DF837" s="166"/>
      <c r="DG837" s="116"/>
      <c r="DH837" s="117"/>
      <c r="DI837" s="24"/>
      <c r="DJ837" s="24"/>
      <c r="DK837" s="24"/>
      <c r="DL837" s="24"/>
      <c r="DM837" s="24"/>
      <c r="DN837" s="24"/>
      <c r="DO837" s="24"/>
      <c r="DP837" s="24"/>
      <c r="DQ837" s="24"/>
      <c r="DR837" s="24"/>
      <c r="DS837" s="24"/>
      <c r="DT837" s="24"/>
      <c r="DU837" s="24"/>
    </row>
    <row r="838" spans="1:125" s="8" customFormat="1" ht="24" x14ac:dyDescent="0.2">
      <c r="A838" s="77">
        <v>41322</v>
      </c>
      <c r="B838" s="225" t="s">
        <v>2881</v>
      </c>
      <c r="C838" s="227" t="s">
        <v>1447</v>
      </c>
      <c r="D838" s="81" t="s">
        <v>2846</v>
      </c>
      <c r="E838" s="75" t="str">
        <f>VLOOKUP(B838&amp;C838,Divipola!$C$2:$F$1138,4,FALSE)</f>
        <v>08770</v>
      </c>
      <c r="F838" s="87"/>
      <c r="G838" s="87"/>
      <c r="H838" s="87"/>
      <c r="I838" s="87"/>
      <c r="J838" s="87"/>
      <c r="K838" s="87"/>
      <c r="L838" s="87"/>
      <c r="M838" s="87"/>
      <c r="N838" s="87"/>
      <c r="O838" s="87"/>
      <c r="P838" s="87"/>
      <c r="Q838" s="87"/>
      <c r="R838" s="87"/>
      <c r="S838" s="87"/>
      <c r="T838" s="87"/>
      <c r="U838" s="88">
        <v>15</v>
      </c>
      <c r="V838" s="89"/>
      <c r="W838" s="96">
        <v>0</v>
      </c>
      <c r="X838" s="71">
        <f>CU838</f>
        <v>0</v>
      </c>
      <c r="Y838" s="71">
        <f>CY838</f>
        <v>0</v>
      </c>
      <c r="Z838" s="71">
        <f>DA838+DC838+DE838</f>
        <v>0</v>
      </c>
      <c r="AA838" s="71">
        <f>CW838</f>
        <v>0</v>
      </c>
      <c r="AB838" s="71"/>
      <c r="AC838" s="71">
        <v>0</v>
      </c>
      <c r="AD838" s="71">
        <f>W838+X838+Y838+Z838+AA838+AB838+AC838</f>
        <v>0</v>
      </c>
      <c r="AE838" s="72">
        <v>0</v>
      </c>
      <c r="AF838" s="5"/>
      <c r="AG838" s="6"/>
      <c r="AH838" s="27" t="s">
        <v>3392</v>
      </c>
      <c r="AI838" s="44" t="s">
        <v>3393</v>
      </c>
      <c r="AJ838" s="26"/>
      <c r="AK838" s="5"/>
      <c r="AL838" s="82" t="s">
        <v>3535</v>
      </c>
      <c r="AM838" s="76"/>
      <c r="AN838" s="76"/>
      <c r="AO838" s="76"/>
      <c r="AP838" s="76"/>
      <c r="AQ838" s="76"/>
      <c r="AR838" s="76"/>
      <c r="AS838" s="76"/>
      <c r="AT838" s="76"/>
      <c r="AU838" s="76"/>
      <c r="AV838" s="76"/>
      <c r="AW838" s="76"/>
      <c r="AX838" s="76">
        <f>+AW838*600000</f>
        <v>0</v>
      </c>
      <c r="AY838" s="76"/>
      <c r="AZ838" s="76">
        <f>+AY838*70000</f>
        <v>0</v>
      </c>
      <c r="BA838" s="76"/>
      <c r="BB838" s="76"/>
      <c r="BC838" s="76"/>
      <c r="BD838" s="76">
        <f>+BC838*30000</f>
        <v>0</v>
      </c>
      <c r="BE838" s="76"/>
      <c r="BF838" s="76"/>
      <c r="BG838" s="76"/>
      <c r="BH838" s="76"/>
      <c r="BI838" s="76"/>
      <c r="BJ838" s="76"/>
      <c r="BK838" s="76"/>
      <c r="BL838" s="76">
        <f>+BK838*31500</f>
        <v>0</v>
      </c>
      <c r="BM838" s="76"/>
      <c r="BN838" s="76"/>
      <c r="BO838" s="76"/>
      <c r="BP838" s="76"/>
      <c r="BQ838" s="76"/>
      <c r="BR838" s="76"/>
      <c r="BS838" s="76"/>
      <c r="BT838" s="76"/>
      <c r="BU838" s="76"/>
      <c r="BV838" s="76"/>
      <c r="BW838" s="76"/>
      <c r="BX838" s="76"/>
      <c r="BY838" s="76"/>
      <c r="BZ838" s="76"/>
      <c r="CA838" s="76"/>
      <c r="CB838" s="76"/>
      <c r="CC838" s="76"/>
      <c r="CD838" s="76"/>
      <c r="CE838" s="76"/>
      <c r="CF838" s="76">
        <f>+CE838*28000</f>
        <v>0</v>
      </c>
      <c r="CG838" s="76"/>
      <c r="CH838" s="76">
        <f>+CG838*22500</f>
        <v>0</v>
      </c>
      <c r="CI838" s="76"/>
      <c r="CJ838" s="76">
        <f>+CI838*26000</f>
        <v>0</v>
      </c>
      <c r="CK838" s="76"/>
      <c r="CL838" s="76"/>
      <c r="CM838" s="76"/>
      <c r="CN838" s="76">
        <f>+CM838*22000</f>
        <v>0</v>
      </c>
      <c r="CO838" s="76"/>
      <c r="CP838" s="76">
        <f>+CO838*46000</f>
        <v>0</v>
      </c>
      <c r="CQ838" s="76"/>
      <c r="CR838" s="76">
        <f>+CQ838*49000</f>
        <v>0</v>
      </c>
      <c r="CS838" s="76"/>
      <c r="CT838" s="76"/>
      <c r="CU838" s="56">
        <f>AN838+AP838+AR838+AT838+AV838+AX838+AZ838+BB838+BD838+BF838+BH838+BJ838+BL838+BN838+BP838+BR838+BT838+BV838+BX838+BZ838+CB838+CD838+CF838+CH838+CJ838+CL838+CN838+CP838+CR838+CT838</f>
        <v>0</v>
      </c>
      <c r="CV838" s="76"/>
      <c r="CW838" s="76">
        <f>+CV838*1100</f>
        <v>0</v>
      </c>
      <c r="CX838" s="76"/>
      <c r="CY838" s="76">
        <f>+CX838*106250</f>
        <v>0</v>
      </c>
      <c r="CZ838" s="76"/>
      <c r="DA838" s="76">
        <f>+CZ838*34500</f>
        <v>0</v>
      </c>
      <c r="DB838" s="76"/>
      <c r="DC838" s="76">
        <f>+DB838*25000</f>
        <v>0</v>
      </c>
      <c r="DD838" s="219"/>
      <c r="DE838" s="219"/>
      <c r="DF838" s="166"/>
      <c r="DG838" s="116"/>
      <c r="DH838" s="117"/>
      <c r="DI838" s="24"/>
      <c r="DJ838" s="24"/>
      <c r="DK838" s="24"/>
      <c r="DL838" s="24"/>
      <c r="DM838" s="24"/>
      <c r="DN838" s="24"/>
      <c r="DO838" s="24"/>
      <c r="DP838" s="24"/>
      <c r="DQ838" s="24"/>
      <c r="DR838" s="24"/>
      <c r="DS838" s="24"/>
      <c r="DT838" s="24"/>
      <c r="DU838" s="24"/>
    </row>
    <row r="839" spans="1:125" s="8" customFormat="1" ht="108" x14ac:dyDescent="0.2">
      <c r="A839" s="77">
        <v>41322</v>
      </c>
      <c r="B839" s="78" t="s">
        <v>2700</v>
      </c>
      <c r="C839" s="75" t="s">
        <v>611</v>
      </c>
      <c r="D839" s="84" t="s">
        <v>3088</v>
      </c>
      <c r="E839" s="75" t="str">
        <f>VLOOKUP(B839&amp;C839,Divipola!$C$2:$F$1138,4,FALSE)</f>
        <v>15537</v>
      </c>
      <c r="F839" s="87"/>
      <c r="G839" s="87"/>
      <c r="H839" s="87"/>
      <c r="I839" s="87"/>
      <c r="J839" s="87"/>
      <c r="K839" s="87"/>
      <c r="L839" s="87"/>
      <c r="M839" s="87"/>
      <c r="N839" s="87"/>
      <c r="O839" s="87"/>
      <c r="P839" s="87"/>
      <c r="Q839" s="87"/>
      <c r="R839" s="87"/>
      <c r="S839" s="87"/>
      <c r="T839" s="87"/>
      <c r="U839" s="88"/>
      <c r="V839" s="89">
        <v>1</v>
      </c>
      <c r="W839" s="96">
        <v>0</v>
      </c>
      <c r="X839" s="71">
        <f>CU839</f>
        <v>0</v>
      </c>
      <c r="Y839" s="71">
        <f>CY839</f>
        <v>0</v>
      </c>
      <c r="Z839" s="71">
        <f>DA839+DC839+DE839</f>
        <v>0</v>
      </c>
      <c r="AA839" s="71">
        <f>CW839</f>
        <v>0</v>
      </c>
      <c r="AB839" s="71"/>
      <c r="AC839" s="71">
        <v>0</v>
      </c>
      <c r="AD839" s="71">
        <f>W839+X839+Y839+Z839+AA839+AB839+AC839</f>
        <v>0</v>
      </c>
      <c r="AE839" s="72">
        <v>0</v>
      </c>
      <c r="AF839" s="5"/>
      <c r="AG839" s="6"/>
      <c r="AH839" s="27" t="s">
        <v>3392</v>
      </c>
      <c r="AI839" s="44" t="s">
        <v>3393</v>
      </c>
      <c r="AJ839" s="26"/>
      <c r="AK839" s="5"/>
      <c r="AL839" s="82" t="s">
        <v>3541</v>
      </c>
      <c r="AM839" s="76"/>
      <c r="AN839" s="76"/>
      <c r="AO839" s="76"/>
      <c r="AP839" s="76"/>
      <c r="AQ839" s="76"/>
      <c r="AR839" s="76"/>
      <c r="AS839" s="76"/>
      <c r="AT839" s="76"/>
      <c r="AU839" s="76"/>
      <c r="AV839" s="76"/>
      <c r="AW839" s="76"/>
      <c r="AX839" s="76">
        <f>+AW839*600000</f>
        <v>0</v>
      </c>
      <c r="AY839" s="76"/>
      <c r="AZ839" s="76">
        <f>+AY839*70000</f>
        <v>0</v>
      </c>
      <c r="BA839" s="76"/>
      <c r="BB839" s="76"/>
      <c r="BC839" s="76"/>
      <c r="BD839" s="76">
        <f>+BC839*30000</f>
        <v>0</v>
      </c>
      <c r="BE839" s="76"/>
      <c r="BF839" s="76"/>
      <c r="BG839" s="76"/>
      <c r="BH839" s="76"/>
      <c r="BI839" s="76"/>
      <c r="BJ839" s="76"/>
      <c r="BK839" s="76"/>
      <c r="BL839" s="76">
        <f>+BK839*31500</f>
        <v>0</v>
      </c>
      <c r="BM839" s="76"/>
      <c r="BN839" s="76"/>
      <c r="BO839" s="76"/>
      <c r="BP839" s="76"/>
      <c r="BQ839" s="76"/>
      <c r="BR839" s="76"/>
      <c r="BS839" s="76"/>
      <c r="BT839" s="76"/>
      <c r="BU839" s="76"/>
      <c r="BV839" s="76"/>
      <c r="BW839" s="76"/>
      <c r="BX839" s="76"/>
      <c r="BY839" s="76"/>
      <c r="BZ839" s="76"/>
      <c r="CA839" s="76"/>
      <c r="CB839" s="76"/>
      <c r="CC839" s="76"/>
      <c r="CD839" s="76"/>
      <c r="CE839" s="76"/>
      <c r="CF839" s="76">
        <f>+CE839*28000</f>
        <v>0</v>
      </c>
      <c r="CG839" s="76"/>
      <c r="CH839" s="76">
        <f>+CG839*22500</f>
        <v>0</v>
      </c>
      <c r="CI839" s="76"/>
      <c r="CJ839" s="76">
        <f>+CI839*26000</f>
        <v>0</v>
      </c>
      <c r="CK839" s="76"/>
      <c r="CL839" s="76"/>
      <c r="CM839" s="76"/>
      <c r="CN839" s="76">
        <f>+CM839*22000</f>
        <v>0</v>
      </c>
      <c r="CO839" s="76"/>
      <c r="CP839" s="76">
        <f>+CO839*46000</f>
        <v>0</v>
      </c>
      <c r="CQ839" s="76"/>
      <c r="CR839" s="76">
        <f>+CQ839*49000</f>
        <v>0</v>
      </c>
      <c r="CS839" s="76"/>
      <c r="CT839" s="76"/>
      <c r="CU839" s="56">
        <f>AN839+AP839+AR839+AT839+AV839+AX839+AZ839+BB839+BD839+BF839+BH839+BJ839+BL839+BN839+BP839+BR839+BT839+BV839+BX839+BZ839+CB839+CD839+CF839+CH839+CJ839+CL839+CN839+CP839+CR839+CT839</f>
        <v>0</v>
      </c>
      <c r="CV839" s="76"/>
      <c r="CW839" s="76">
        <f>+CV839*1100</f>
        <v>0</v>
      </c>
      <c r="CX839" s="76"/>
      <c r="CY839" s="76">
        <f>+CX839*106250</f>
        <v>0</v>
      </c>
      <c r="CZ839" s="76"/>
      <c r="DA839" s="76">
        <f>+CZ839*34500</f>
        <v>0</v>
      </c>
      <c r="DB839" s="76"/>
      <c r="DC839" s="76">
        <f>+DB839*25000</f>
        <v>0</v>
      </c>
      <c r="DD839" s="219"/>
      <c r="DE839" s="219"/>
      <c r="DF839" s="166"/>
      <c r="DG839" s="116"/>
      <c r="DH839" s="117"/>
      <c r="DI839" s="24"/>
      <c r="DJ839" s="24"/>
      <c r="DK839" s="24"/>
      <c r="DL839" s="24"/>
      <c r="DM839" s="24"/>
      <c r="DN839" s="24"/>
      <c r="DO839" s="24"/>
      <c r="DP839" s="24"/>
      <c r="DQ839" s="24"/>
      <c r="DR839" s="24"/>
      <c r="DS839" s="24"/>
      <c r="DT839" s="24"/>
      <c r="DU839" s="24"/>
    </row>
    <row r="840" spans="1:125" s="8" customFormat="1" ht="48" x14ac:dyDescent="0.2">
      <c r="A840" s="77">
        <v>41322</v>
      </c>
      <c r="B840" s="225" t="s">
        <v>2778</v>
      </c>
      <c r="C840" s="227" t="s">
        <v>509</v>
      </c>
      <c r="D840" s="81" t="s">
        <v>2846</v>
      </c>
      <c r="E840" s="75" t="str">
        <f>VLOOKUP(B840&amp;C840,Divipola!$C$2:$F$1138,4,FALSE)</f>
        <v>85125</v>
      </c>
      <c r="F840" s="100"/>
      <c r="G840" s="100"/>
      <c r="H840" s="100"/>
      <c r="I840" s="100"/>
      <c r="J840" s="100"/>
      <c r="K840" s="100"/>
      <c r="L840" s="100"/>
      <c r="M840" s="100"/>
      <c r="N840" s="100"/>
      <c r="O840" s="100"/>
      <c r="P840" s="100"/>
      <c r="Q840" s="100"/>
      <c r="R840" s="100"/>
      <c r="S840" s="100"/>
      <c r="T840" s="100"/>
      <c r="U840" s="136">
        <v>10</v>
      </c>
      <c r="V840" s="89"/>
      <c r="W840" s="96">
        <v>0</v>
      </c>
      <c r="X840" s="71">
        <f>CU840</f>
        <v>0</v>
      </c>
      <c r="Y840" s="71">
        <f>CY840</f>
        <v>0</v>
      </c>
      <c r="Z840" s="71">
        <f>DA840+DC840+DE840</f>
        <v>0</v>
      </c>
      <c r="AA840" s="71">
        <f>CW840</f>
        <v>0</v>
      </c>
      <c r="AB840" s="71"/>
      <c r="AC840" s="71">
        <v>0</v>
      </c>
      <c r="AD840" s="71">
        <f>W840+X840+Y840+Z840+AA840+AB840+AC840</f>
        <v>0</v>
      </c>
      <c r="AE840" s="72">
        <v>0</v>
      </c>
      <c r="AF840" s="5"/>
      <c r="AG840" s="6"/>
      <c r="AH840" s="27" t="s">
        <v>3392</v>
      </c>
      <c r="AI840" s="44" t="s">
        <v>3393</v>
      </c>
      <c r="AJ840" s="26"/>
      <c r="AK840" s="5"/>
      <c r="AL840" s="82" t="s">
        <v>3672</v>
      </c>
      <c r="AM840" s="76"/>
      <c r="AN840" s="76"/>
      <c r="AO840" s="76"/>
      <c r="AP840" s="76"/>
      <c r="AQ840" s="76"/>
      <c r="AR840" s="76"/>
      <c r="AS840" s="76"/>
      <c r="AT840" s="76"/>
      <c r="AU840" s="76"/>
      <c r="AV840" s="76"/>
      <c r="AW840" s="76"/>
      <c r="AX840" s="76">
        <f>+AW840*600000</f>
        <v>0</v>
      </c>
      <c r="AY840" s="76"/>
      <c r="AZ840" s="76">
        <f>+AY840*70000</f>
        <v>0</v>
      </c>
      <c r="BA840" s="76"/>
      <c r="BB840" s="76"/>
      <c r="BC840" s="76"/>
      <c r="BD840" s="76">
        <f>+BC840*30000</f>
        <v>0</v>
      </c>
      <c r="BE840" s="76"/>
      <c r="BF840" s="76"/>
      <c r="BG840" s="76"/>
      <c r="BH840" s="76"/>
      <c r="BI840" s="76"/>
      <c r="BJ840" s="76"/>
      <c r="BK840" s="76"/>
      <c r="BL840" s="76">
        <f>+BK840*31500</f>
        <v>0</v>
      </c>
      <c r="BM840" s="76"/>
      <c r="BN840" s="76"/>
      <c r="BO840" s="76"/>
      <c r="BP840" s="76"/>
      <c r="BQ840" s="76"/>
      <c r="BR840" s="76"/>
      <c r="BS840" s="76"/>
      <c r="BT840" s="76"/>
      <c r="BU840" s="76"/>
      <c r="BV840" s="76"/>
      <c r="BW840" s="76"/>
      <c r="BX840" s="76"/>
      <c r="BY840" s="76"/>
      <c r="BZ840" s="76"/>
      <c r="CA840" s="76"/>
      <c r="CB840" s="76"/>
      <c r="CC840" s="76"/>
      <c r="CD840" s="76"/>
      <c r="CE840" s="76"/>
      <c r="CF840" s="76">
        <f>+CE840*28000</f>
        <v>0</v>
      </c>
      <c r="CG840" s="76"/>
      <c r="CH840" s="76">
        <f>+CG840*22500</f>
        <v>0</v>
      </c>
      <c r="CI840" s="76"/>
      <c r="CJ840" s="76">
        <f>+CI840*26000</f>
        <v>0</v>
      </c>
      <c r="CK840" s="76"/>
      <c r="CL840" s="76"/>
      <c r="CM840" s="76"/>
      <c r="CN840" s="76">
        <f>+CM840*22000</f>
        <v>0</v>
      </c>
      <c r="CO840" s="76"/>
      <c r="CP840" s="76">
        <f>+CO840*46000</f>
        <v>0</v>
      </c>
      <c r="CQ840" s="76"/>
      <c r="CR840" s="76">
        <f>+CQ840*49000</f>
        <v>0</v>
      </c>
      <c r="CS840" s="76"/>
      <c r="CT840" s="76"/>
      <c r="CU840" s="56">
        <f>AN840+AP840+AR840+AT840+AV840+AX840+AZ840+BB840+BD840+BF840+BH840+BJ840+BL840+BN840+BP840+BR840+BT840+BV840+BX840+BZ840+CB840+CD840+CF840+CH840+CJ840+CL840+CN840+CP840+CR840+CT840</f>
        <v>0</v>
      </c>
      <c r="CV840" s="76"/>
      <c r="CW840" s="76">
        <f>+CV840*1100</f>
        <v>0</v>
      </c>
      <c r="CX840" s="76"/>
      <c r="CY840" s="76">
        <f>+CX840*106250</f>
        <v>0</v>
      </c>
      <c r="CZ840" s="76"/>
      <c r="DA840" s="76">
        <f>+CZ840*34500</f>
        <v>0</v>
      </c>
      <c r="DB840" s="76"/>
      <c r="DC840" s="76">
        <f>+DB840*25000</f>
        <v>0</v>
      </c>
      <c r="DD840" s="219"/>
      <c r="DE840" s="219"/>
      <c r="DF840" s="166"/>
      <c r="DG840" s="116"/>
      <c r="DH840" s="117"/>
      <c r="DI840" s="24"/>
      <c r="DJ840" s="24"/>
      <c r="DK840" s="24"/>
      <c r="DL840" s="24"/>
      <c r="DM840" s="24"/>
      <c r="DN840" s="24"/>
      <c r="DO840" s="24"/>
      <c r="DP840" s="24"/>
      <c r="DQ840" s="24"/>
      <c r="DR840" s="24"/>
      <c r="DS840" s="24"/>
      <c r="DT840" s="24"/>
      <c r="DU840" s="24"/>
    </row>
    <row r="841" spans="1:125" s="8" customFormat="1" ht="48" x14ac:dyDescent="0.2">
      <c r="A841" s="77">
        <v>41322</v>
      </c>
      <c r="B841" s="78" t="s">
        <v>2778</v>
      </c>
      <c r="C841" s="75" t="s">
        <v>509</v>
      </c>
      <c r="D841" s="81" t="s">
        <v>2846</v>
      </c>
      <c r="E841" s="75" t="str">
        <f>VLOOKUP(B841&amp;C841,Divipola!$C$2:$F$1138,4,FALSE)</f>
        <v>85125</v>
      </c>
      <c r="F841" s="87"/>
      <c r="G841" s="87"/>
      <c r="H841" s="87"/>
      <c r="I841" s="87"/>
      <c r="J841" s="87"/>
      <c r="K841" s="87"/>
      <c r="L841" s="87"/>
      <c r="M841" s="87"/>
      <c r="N841" s="87"/>
      <c r="O841" s="87"/>
      <c r="P841" s="87"/>
      <c r="Q841" s="87"/>
      <c r="R841" s="87"/>
      <c r="S841" s="87"/>
      <c r="T841" s="87"/>
      <c r="U841" s="88">
        <v>200</v>
      </c>
      <c r="V841" s="89"/>
      <c r="W841" s="96">
        <v>0</v>
      </c>
      <c r="X841" s="71">
        <f>CU841</f>
        <v>0</v>
      </c>
      <c r="Y841" s="71">
        <f>CY841</f>
        <v>0</v>
      </c>
      <c r="Z841" s="71">
        <f>DA841+DC841+DE841</f>
        <v>0</v>
      </c>
      <c r="AA841" s="71">
        <f>CW841</f>
        <v>0</v>
      </c>
      <c r="AB841" s="71"/>
      <c r="AC841" s="71">
        <v>0</v>
      </c>
      <c r="AD841" s="71">
        <f>W841+X841+Y841+Z841+AA841+AB841+AC841</f>
        <v>0</v>
      </c>
      <c r="AE841" s="72">
        <v>0</v>
      </c>
      <c r="AF841" s="5"/>
      <c r="AG841" s="6"/>
      <c r="AH841" s="27" t="s">
        <v>3392</v>
      </c>
      <c r="AI841" s="44" t="s">
        <v>3393</v>
      </c>
      <c r="AJ841" s="26"/>
      <c r="AK841" s="5"/>
      <c r="AL841" s="82" t="s">
        <v>3673</v>
      </c>
      <c r="AM841" s="76"/>
      <c r="AN841" s="76"/>
      <c r="AO841" s="76"/>
      <c r="AP841" s="76"/>
      <c r="AQ841" s="76"/>
      <c r="AR841" s="76"/>
      <c r="AS841" s="76"/>
      <c r="AT841" s="76"/>
      <c r="AU841" s="76"/>
      <c r="AV841" s="76"/>
      <c r="AW841" s="76"/>
      <c r="AX841" s="76">
        <f>+AW841*600000</f>
        <v>0</v>
      </c>
      <c r="AY841" s="76"/>
      <c r="AZ841" s="76">
        <f>+AY841*70000</f>
        <v>0</v>
      </c>
      <c r="BA841" s="76"/>
      <c r="BB841" s="76"/>
      <c r="BC841" s="76"/>
      <c r="BD841" s="76">
        <f>+BC841*30000</f>
        <v>0</v>
      </c>
      <c r="BE841" s="76"/>
      <c r="BF841" s="76"/>
      <c r="BG841" s="76"/>
      <c r="BH841" s="76"/>
      <c r="BI841" s="76"/>
      <c r="BJ841" s="76"/>
      <c r="BK841" s="76"/>
      <c r="BL841" s="76">
        <f>+BK841*31500</f>
        <v>0</v>
      </c>
      <c r="BM841" s="76"/>
      <c r="BN841" s="76"/>
      <c r="BO841" s="76"/>
      <c r="BP841" s="76"/>
      <c r="BQ841" s="76"/>
      <c r="BR841" s="76"/>
      <c r="BS841" s="76"/>
      <c r="BT841" s="76"/>
      <c r="BU841" s="76"/>
      <c r="BV841" s="76"/>
      <c r="BW841" s="76"/>
      <c r="BX841" s="76"/>
      <c r="BY841" s="76"/>
      <c r="BZ841" s="76"/>
      <c r="CA841" s="76"/>
      <c r="CB841" s="76"/>
      <c r="CC841" s="76"/>
      <c r="CD841" s="76"/>
      <c r="CE841" s="76"/>
      <c r="CF841" s="76">
        <f>+CE841*28000</f>
        <v>0</v>
      </c>
      <c r="CG841" s="76"/>
      <c r="CH841" s="76">
        <f>+CG841*22500</f>
        <v>0</v>
      </c>
      <c r="CI841" s="76"/>
      <c r="CJ841" s="76">
        <f>+CI841*26000</f>
        <v>0</v>
      </c>
      <c r="CK841" s="76"/>
      <c r="CL841" s="76"/>
      <c r="CM841" s="76"/>
      <c r="CN841" s="76">
        <f>+CM841*22000</f>
        <v>0</v>
      </c>
      <c r="CO841" s="76"/>
      <c r="CP841" s="76">
        <f>+CO841*46000</f>
        <v>0</v>
      </c>
      <c r="CQ841" s="76"/>
      <c r="CR841" s="76">
        <f>+CQ841*49000</f>
        <v>0</v>
      </c>
      <c r="CS841" s="76"/>
      <c r="CT841" s="76"/>
      <c r="CU841" s="56">
        <f>AN841+AP841+AR841+AT841+AV841+AX841+AZ841+BB841+BD841+BF841+BH841+BJ841+BL841+BN841+BP841+BR841+BT841+BV841+BX841+BZ841+CB841+CD841+CF841+CH841+CJ841+CL841+CN841+CP841+CR841+CT841</f>
        <v>0</v>
      </c>
      <c r="CV841" s="76"/>
      <c r="CW841" s="76">
        <f>+CV841*1100</f>
        <v>0</v>
      </c>
      <c r="CX841" s="76"/>
      <c r="CY841" s="76">
        <f>+CX841*106250</f>
        <v>0</v>
      </c>
      <c r="CZ841" s="76"/>
      <c r="DA841" s="76">
        <f>+CZ841*34500</f>
        <v>0</v>
      </c>
      <c r="DB841" s="76"/>
      <c r="DC841" s="76">
        <f>+DB841*25000</f>
        <v>0</v>
      </c>
      <c r="DD841" s="219"/>
      <c r="DE841" s="219"/>
      <c r="DF841" s="166"/>
      <c r="DG841" s="116"/>
      <c r="DH841" s="117"/>
      <c r="DI841" s="24"/>
      <c r="DJ841" s="24"/>
      <c r="DK841" s="24"/>
      <c r="DL841" s="24"/>
      <c r="DM841" s="24"/>
      <c r="DN841" s="24"/>
      <c r="DO841" s="24"/>
      <c r="DP841" s="24"/>
      <c r="DQ841" s="24"/>
      <c r="DR841" s="24"/>
      <c r="DS841" s="24"/>
      <c r="DT841" s="24"/>
      <c r="DU841" s="24"/>
    </row>
    <row r="842" spans="1:125" s="8" customFormat="1" ht="48" x14ac:dyDescent="0.2">
      <c r="A842" s="77">
        <v>41322</v>
      </c>
      <c r="B842" s="78" t="s">
        <v>2778</v>
      </c>
      <c r="C842" s="227" t="s">
        <v>2012</v>
      </c>
      <c r="D842" s="81" t="s">
        <v>2846</v>
      </c>
      <c r="E842" s="75" t="str">
        <f>VLOOKUP(B842&amp;C842,Divipola!$C$2:$F$1138,4,FALSE)</f>
        <v>85325</v>
      </c>
      <c r="F842" s="87"/>
      <c r="G842" s="87"/>
      <c r="H842" s="87"/>
      <c r="I842" s="87"/>
      <c r="J842" s="87"/>
      <c r="K842" s="87"/>
      <c r="L842" s="87"/>
      <c r="M842" s="87"/>
      <c r="N842" s="87"/>
      <c r="O842" s="87"/>
      <c r="P842" s="87"/>
      <c r="Q842" s="87"/>
      <c r="R842" s="87"/>
      <c r="S842" s="87"/>
      <c r="T842" s="87"/>
      <c r="U842" s="88">
        <v>35</v>
      </c>
      <c r="V842" s="89"/>
      <c r="W842" s="96">
        <v>0</v>
      </c>
      <c r="X842" s="71">
        <f>CU842</f>
        <v>0</v>
      </c>
      <c r="Y842" s="71">
        <f>CY842</f>
        <v>0</v>
      </c>
      <c r="Z842" s="71">
        <f>DA842+DC842+DE842</f>
        <v>0</v>
      </c>
      <c r="AA842" s="71">
        <f>CW842</f>
        <v>0</v>
      </c>
      <c r="AB842" s="71"/>
      <c r="AC842" s="71">
        <v>0</v>
      </c>
      <c r="AD842" s="71">
        <f>W842+X842+Y842+Z842+AA842+AB842+AC842</f>
        <v>0</v>
      </c>
      <c r="AE842" s="72">
        <v>0</v>
      </c>
      <c r="AF842" s="5"/>
      <c r="AG842" s="6"/>
      <c r="AH842" s="27" t="s">
        <v>3392</v>
      </c>
      <c r="AI842" s="44" t="s">
        <v>3393</v>
      </c>
      <c r="AJ842" s="26"/>
      <c r="AK842" s="5"/>
      <c r="AL842" s="82" t="s">
        <v>3806</v>
      </c>
      <c r="AM842" s="76"/>
      <c r="AN842" s="76"/>
      <c r="AO842" s="76"/>
      <c r="AP842" s="76"/>
      <c r="AQ842" s="76"/>
      <c r="AR842" s="76"/>
      <c r="AS842" s="76"/>
      <c r="AT842" s="76"/>
      <c r="AU842" s="76"/>
      <c r="AV842" s="76"/>
      <c r="AW842" s="76"/>
      <c r="AX842" s="76">
        <f>+AW842*600000</f>
        <v>0</v>
      </c>
      <c r="AY842" s="76"/>
      <c r="AZ842" s="76">
        <f>+AY842*70000</f>
        <v>0</v>
      </c>
      <c r="BA842" s="76"/>
      <c r="BB842" s="76"/>
      <c r="BC842" s="76"/>
      <c r="BD842" s="76">
        <f>+BC842*30000</f>
        <v>0</v>
      </c>
      <c r="BE842" s="76"/>
      <c r="BF842" s="76"/>
      <c r="BG842" s="76"/>
      <c r="BH842" s="76"/>
      <c r="BI842" s="76"/>
      <c r="BJ842" s="76"/>
      <c r="BK842" s="76"/>
      <c r="BL842" s="76">
        <f>+BK842*31500</f>
        <v>0</v>
      </c>
      <c r="BM842" s="76"/>
      <c r="BN842" s="76"/>
      <c r="BO842" s="76"/>
      <c r="BP842" s="76"/>
      <c r="BQ842" s="76"/>
      <c r="BR842" s="76"/>
      <c r="BS842" s="76"/>
      <c r="BT842" s="76"/>
      <c r="BU842" s="76"/>
      <c r="BV842" s="76"/>
      <c r="BW842" s="76"/>
      <c r="BX842" s="76"/>
      <c r="BY842" s="76"/>
      <c r="BZ842" s="76"/>
      <c r="CA842" s="76"/>
      <c r="CB842" s="76"/>
      <c r="CC842" s="76"/>
      <c r="CD842" s="76"/>
      <c r="CE842" s="76"/>
      <c r="CF842" s="76">
        <f>+CE842*28000</f>
        <v>0</v>
      </c>
      <c r="CG842" s="76"/>
      <c r="CH842" s="76">
        <f>+CG842*22500</f>
        <v>0</v>
      </c>
      <c r="CI842" s="76"/>
      <c r="CJ842" s="76">
        <f>+CI842*26000</f>
        <v>0</v>
      </c>
      <c r="CK842" s="76"/>
      <c r="CL842" s="76"/>
      <c r="CM842" s="76"/>
      <c r="CN842" s="76">
        <f>+CM842*22000</f>
        <v>0</v>
      </c>
      <c r="CO842" s="76"/>
      <c r="CP842" s="76">
        <f>+CO842*46000</f>
        <v>0</v>
      </c>
      <c r="CQ842" s="76"/>
      <c r="CR842" s="76">
        <f>+CQ842*49000</f>
        <v>0</v>
      </c>
      <c r="CS842" s="76"/>
      <c r="CT842" s="76"/>
      <c r="CU842" s="56">
        <f>AN842+AP842+AR842+AT842+AV842+AX842+AZ842+BB842+BD842+BF842+BH842+BJ842+BL842+BN842+BP842+BR842+BT842+BV842+BX842+BZ842+CB842+CD842+CF842+CH842+CJ842+CL842+CN842+CP842+CR842+CT842</f>
        <v>0</v>
      </c>
      <c r="CV842" s="76"/>
      <c r="CW842" s="76">
        <f>+CV842*1100</f>
        <v>0</v>
      </c>
      <c r="CX842" s="76"/>
      <c r="CY842" s="76">
        <f>+CX842*106250</f>
        <v>0</v>
      </c>
      <c r="CZ842" s="76"/>
      <c r="DA842" s="76">
        <f>+CZ842*34500</f>
        <v>0</v>
      </c>
      <c r="DB842" s="76"/>
      <c r="DC842" s="76">
        <f>+DB842*25000</f>
        <v>0</v>
      </c>
      <c r="DD842" s="219"/>
      <c r="DE842" s="219"/>
      <c r="DF842" s="166"/>
      <c r="DG842" s="116"/>
      <c r="DH842" s="117"/>
      <c r="DI842" s="24"/>
      <c r="DJ842" s="24"/>
      <c r="DK842" s="24"/>
      <c r="DL842" s="24"/>
      <c r="DM842" s="24"/>
      <c r="DN842" s="24"/>
      <c r="DO842" s="24"/>
      <c r="DP842" s="24"/>
      <c r="DQ842" s="24"/>
      <c r="DR842" s="24"/>
      <c r="DS842" s="24"/>
      <c r="DT842" s="24"/>
      <c r="DU842" s="24"/>
    </row>
    <row r="843" spans="1:125" s="8" customFormat="1" ht="48" x14ac:dyDescent="0.2">
      <c r="A843" s="77">
        <v>41322</v>
      </c>
      <c r="B843" s="78" t="s">
        <v>2778</v>
      </c>
      <c r="C843" s="75" t="s">
        <v>1344</v>
      </c>
      <c r="D843" s="81" t="s">
        <v>2846</v>
      </c>
      <c r="E843" s="75" t="str">
        <f>VLOOKUP(B843&amp;C843,Divipola!$C$2:$F$1138,4,FALSE)</f>
        <v>85001</v>
      </c>
      <c r="F843" s="87"/>
      <c r="G843" s="87"/>
      <c r="H843" s="87"/>
      <c r="I843" s="87"/>
      <c r="J843" s="87"/>
      <c r="K843" s="87"/>
      <c r="L843" s="87"/>
      <c r="M843" s="87"/>
      <c r="N843" s="87"/>
      <c r="O843" s="87"/>
      <c r="P843" s="87"/>
      <c r="Q843" s="87"/>
      <c r="R843" s="87"/>
      <c r="S843" s="87"/>
      <c r="T843" s="87"/>
      <c r="U843" s="88">
        <v>4</v>
      </c>
      <c r="V843" s="89"/>
      <c r="W843" s="96">
        <v>0</v>
      </c>
      <c r="X843" s="71">
        <f>CU843</f>
        <v>0</v>
      </c>
      <c r="Y843" s="71">
        <f>CY843</f>
        <v>0</v>
      </c>
      <c r="Z843" s="71">
        <f>DA843+DC843+DE843</f>
        <v>0</v>
      </c>
      <c r="AA843" s="71">
        <f>CW843</f>
        <v>0</v>
      </c>
      <c r="AB843" s="71"/>
      <c r="AC843" s="71">
        <v>0</v>
      </c>
      <c r="AD843" s="71">
        <f>W843+X843+Y843+Z843+AA843+AB843+AC843</f>
        <v>0</v>
      </c>
      <c r="AE843" s="72">
        <v>0</v>
      </c>
      <c r="AF843" s="5"/>
      <c r="AG843" s="6"/>
      <c r="AH843" s="27" t="s">
        <v>3392</v>
      </c>
      <c r="AI843" s="44" t="s">
        <v>3393</v>
      </c>
      <c r="AJ843" s="26"/>
      <c r="AK843" s="5"/>
      <c r="AL843" s="82" t="s">
        <v>3789</v>
      </c>
      <c r="AM843" s="76"/>
      <c r="AN843" s="76"/>
      <c r="AO843" s="76"/>
      <c r="AP843" s="76"/>
      <c r="AQ843" s="76"/>
      <c r="AR843" s="76"/>
      <c r="AS843" s="76"/>
      <c r="AT843" s="76"/>
      <c r="AU843" s="76"/>
      <c r="AV843" s="76"/>
      <c r="AW843" s="76"/>
      <c r="AX843" s="76">
        <f>+AW843*600000</f>
        <v>0</v>
      </c>
      <c r="AY843" s="76"/>
      <c r="AZ843" s="76">
        <f>+AY843*70000</f>
        <v>0</v>
      </c>
      <c r="BA843" s="76"/>
      <c r="BB843" s="76"/>
      <c r="BC843" s="76"/>
      <c r="BD843" s="76">
        <f>+BC843*30000</f>
        <v>0</v>
      </c>
      <c r="BE843" s="76"/>
      <c r="BF843" s="76"/>
      <c r="BG843" s="76"/>
      <c r="BH843" s="76"/>
      <c r="BI843" s="76"/>
      <c r="BJ843" s="76"/>
      <c r="BK843" s="76"/>
      <c r="BL843" s="76">
        <f>+BK843*31500</f>
        <v>0</v>
      </c>
      <c r="BM843" s="76"/>
      <c r="BN843" s="76"/>
      <c r="BO843" s="76"/>
      <c r="BP843" s="76"/>
      <c r="BQ843" s="76"/>
      <c r="BR843" s="76"/>
      <c r="BS843" s="76"/>
      <c r="BT843" s="76"/>
      <c r="BU843" s="76"/>
      <c r="BV843" s="76"/>
      <c r="BW843" s="76"/>
      <c r="BX843" s="76"/>
      <c r="BY843" s="76"/>
      <c r="BZ843" s="76"/>
      <c r="CA843" s="76"/>
      <c r="CB843" s="76"/>
      <c r="CC843" s="76"/>
      <c r="CD843" s="76"/>
      <c r="CE843" s="76"/>
      <c r="CF843" s="76">
        <f>+CE843*28000</f>
        <v>0</v>
      </c>
      <c r="CG843" s="76"/>
      <c r="CH843" s="76">
        <f>+CG843*22500</f>
        <v>0</v>
      </c>
      <c r="CI843" s="76"/>
      <c r="CJ843" s="76">
        <f>+CI843*26000</f>
        <v>0</v>
      </c>
      <c r="CK843" s="76"/>
      <c r="CL843" s="76"/>
      <c r="CM843" s="76"/>
      <c r="CN843" s="76">
        <f>+CM843*22000</f>
        <v>0</v>
      </c>
      <c r="CO843" s="76"/>
      <c r="CP843" s="76">
        <f>+CO843*46000</f>
        <v>0</v>
      </c>
      <c r="CQ843" s="76"/>
      <c r="CR843" s="76">
        <f>+CQ843*49000</f>
        <v>0</v>
      </c>
      <c r="CS843" s="76"/>
      <c r="CT843" s="76"/>
      <c r="CU843" s="56">
        <f>AN843+AP843+AR843+AT843+AV843+AX843+AZ843+BB843+BD843+BF843+BH843+BJ843+BL843+BN843+BP843+BR843+BT843+BV843+BX843+BZ843+CB843+CD843+CF843+CH843+CJ843+CL843+CN843+CP843+CR843+CT843</f>
        <v>0</v>
      </c>
      <c r="CV843" s="76"/>
      <c r="CW843" s="76">
        <f>+CV843*1100</f>
        <v>0</v>
      </c>
      <c r="CX843" s="76"/>
      <c r="CY843" s="76">
        <f>+CX843*106250</f>
        <v>0</v>
      </c>
      <c r="CZ843" s="76"/>
      <c r="DA843" s="76">
        <f>+CZ843*34500</f>
        <v>0</v>
      </c>
      <c r="DB843" s="76"/>
      <c r="DC843" s="76">
        <f>+DB843*25000</f>
        <v>0</v>
      </c>
      <c r="DD843" s="219"/>
      <c r="DE843" s="219"/>
      <c r="DF843" s="166"/>
      <c r="DG843" s="116"/>
      <c r="DH843" s="117"/>
      <c r="DI843" s="24"/>
      <c r="DJ843" s="24"/>
      <c r="DK843" s="24"/>
      <c r="DL843" s="24"/>
      <c r="DM843" s="24"/>
      <c r="DN843" s="24"/>
      <c r="DO843" s="24"/>
      <c r="DP843" s="24"/>
      <c r="DQ843" s="24"/>
      <c r="DR843" s="24"/>
      <c r="DS843" s="24"/>
      <c r="DT843" s="24"/>
      <c r="DU843" s="24"/>
    </row>
    <row r="844" spans="1:125" s="8" customFormat="1" ht="48" x14ac:dyDescent="0.2">
      <c r="A844" s="77">
        <v>41322</v>
      </c>
      <c r="B844" s="78" t="s">
        <v>2778</v>
      </c>
      <c r="C844" s="75" t="s">
        <v>1344</v>
      </c>
      <c r="D844" s="81" t="s">
        <v>2846</v>
      </c>
      <c r="E844" s="75" t="str">
        <f>VLOOKUP(B844&amp;C844,Divipola!$C$2:$F$1138,4,FALSE)</f>
        <v>85001</v>
      </c>
      <c r="F844" s="87"/>
      <c r="G844" s="87"/>
      <c r="H844" s="87"/>
      <c r="I844" s="87"/>
      <c r="J844" s="87"/>
      <c r="K844" s="87"/>
      <c r="L844" s="87"/>
      <c r="M844" s="87"/>
      <c r="N844" s="87"/>
      <c r="O844" s="87"/>
      <c r="P844" s="87"/>
      <c r="Q844" s="87"/>
      <c r="R844" s="87"/>
      <c r="S844" s="87"/>
      <c r="T844" s="87"/>
      <c r="U844" s="88">
        <v>7</v>
      </c>
      <c r="V844" s="89"/>
      <c r="W844" s="96">
        <v>0</v>
      </c>
      <c r="X844" s="71">
        <f>CU844</f>
        <v>0</v>
      </c>
      <c r="Y844" s="71">
        <f>CY844</f>
        <v>0</v>
      </c>
      <c r="Z844" s="71">
        <f>DA844+DC844+DE844</f>
        <v>0</v>
      </c>
      <c r="AA844" s="71">
        <f>CW844</f>
        <v>0</v>
      </c>
      <c r="AB844" s="71"/>
      <c r="AC844" s="71">
        <v>0</v>
      </c>
      <c r="AD844" s="71">
        <f>W844+X844+Y844+Z844+AA844+AB844+AC844</f>
        <v>0</v>
      </c>
      <c r="AE844" s="72">
        <v>0</v>
      </c>
      <c r="AF844" s="5"/>
      <c r="AG844" s="6"/>
      <c r="AH844" s="27" t="s">
        <v>3392</v>
      </c>
      <c r="AI844" s="44" t="s">
        <v>3393</v>
      </c>
      <c r="AJ844" s="26"/>
      <c r="AK844" s="5"/>
      <c r="AL844" s="82" t="s">
        <v>3790</v>
      </c>
      <c r="AM844" s="76"/>
      <c r="AN844" s="76"/>
      <c r="AO844" s="76"/>
      <c r="AP844" s="76"/>
      <c r="AQ844" s="76"/>
      <c r="AR844" s="76"/>
      <c r="AS844" s="76"/>
      <c r="AT844" s="76"/>
      <c r="AU844" s="76"/>
      <c r="AV844" s="76"/>
      <c r="AW844" s="76"/>
      <c r="AX844" s="76">
        <f>+AW844*600000</f>
        <v>0</v>
      </c>
      <c r="AY844" s="76"/>
      <c r="AZ844" s="76">
        <f>+AY844*70000</f>
        <v>0</v>
      </c>
      <c r="BA844" s="76"/>
      <c r="BB844" s="76"/>
      <c r="BC844" s="76"/>
      <c r="BD844" s="76">
        <f>+BC844*30000</f>
        <v>0</v>
      </c>
      <c r="BE844" s="76"/>
      <c r="BF844" s="76"/>
      <c r="BG844" s="76"/>
      <c r="BH844" s="76"/>
      <c r="BI844" s="76"/>
      <c r="BJ844" s="76"/>
      <c r="BK844" s="76"/>
      <c r="BL844" s="76">
        <f>+BK844*31500</f>
        <v>0</v>
      </c>
      <c r="BM844" s="76"/>
      <c r="BN844" s="76"/>
      <c r="BO844" s="76"/>
      <c r="BP844" s="76"/>
      <c r="BQ844" s="76"/>
      <c r="BR844" s="76"/>
      <c r="BS844" s="76"/>
      <c r="BT844" s="76"/>
      <c r="BU844" s="76"/>
      <c r="BV844" s="76"/>
      <c r="BW844" s="76"/>
      <c r="BX844" s="76"/>
      <c r="BY844" s="76"/>
      <c r="BZ844" s="76"/>
      <c r="CA844" s="76"/>
      <c r="CB844" s="76"/>
      <c r="CC844" s="76"/>
      <c r="CD844" s="76"/>
      <c r="CE844" s="76"/>
      <c r="CF844" s="76">
        <f>+CE844*28000</f>
        <v>0</v>
      </c>
      <c r="CG844" s="76"/>
      <c r="CH844" s="76">
        <f>+CG844*22500</f>
        <v>0</v>
      </c>
      <c r="CI844" s="76"/>
      <c r="CJ844" s="76">
        <f>+CI844*26000</f>
        <v>0</v>
      </c>
      <c r="CK844" s="76"/>
      <c r="CL844" s="76"/>
      <c r="CM844" s="76"/>
      <c r="CN844" s="76">
        <f>+CM844*22000</f>
        <v>0</v>
      </c>
      <c r="CO844" s="76"/>
      <c r="CP844" s="76">
        <f>+CO844*46000</f>
        <v>0</v>
      </c>
      <c r="CQ844" s="76"/>
      <c r="CR844" s="76">
        <f>+CQ844*49000</f>
        <v>0</v>
      </c>
      <c r="CS844" s="76"/>
      <c r="CT844" s="76"/>
      <c r="CU844" s="56">
        <f>AN844+AP844+AR844+AT844+AV844+AX844+AZ844+BB844+BD844+BF844+BH844+BJ844+BL844+BN844+BP844+BR844+BT844+BV844+BX844+BZ844+CB844+CD844+CF844+CH844+CJ844+CL844+CN844+CP844+CR844+CT844</f>
        <v>0</v>
      </c>
      <c r="CV844" s="76"/>
      <c r="CW844" s="76">
        <f>+CV844*1100</f>
        <v>0</v>
      </c>
      <c r="CX844" s="76"/>
      <c r="CY844" s="76">
        <f>+CX844*106250</f>
        <v>0</v>
      </c>
      <c r="CZ844" s="76"/>
      <c r="DA844" s="76">
        <f>+CZ844*34500</f>
        <v>0</v>
      </c>
      <c r="DB844" s="76"/>
      <c r="DC844" s="76">
        <f>+DB844*25000</f>
        <v>0</v>
      </c>
      <c r="DD844" s="219"/>
      <c r="DE844" s="219"/>
      <c r="DF844" s="166"/>
      <c r="DG844" s="116"/>
      <c r="DH844" s="117"/>
      <c r="DI844" s="24"/>
      <c r="DJ844" s="24"/>
      <c r="DK844" s="24"/>
      <c r="DL844" s="24"/>
      <c r="DM844" s="24"/>
      <c r="DN844" s="24"/>
      <c r="DO844" s="24"/>
      <c r="DP844" s="24"/>
      <c r="DQ844" s="24"/>
      <c r="DR844" s="24"/>
      <c r="DS844" s="24"/>
      <c r="DT844" s="24"/>
      <c r="DU844" s="24"/>
    </row>
    <row r="845" spans="1:125" s="8" customFormat="1" ht="48" x14ac:dyDescent="0.2">
      <c r="A845" s="77">
        <v>41322</v>
      </c>
      <c r="B845" s="78" t="s">
        <v>2778</v>
      </c>
      <c r="C845" s="75" t="s">
        <v>1344</v>
      </c>
      <c r="D845" s="81" t="s">
        <v>2846</v>
      </c>
      <c r="E845" s="75" t="str">
        <f>VLOOKUP(B845&amp;C845,Divipola!$C$2:$F$1138,4,FALSE)</f>
        <v>85001</v>
      </c>
      <c r="F845" s="87"/>
      <c r="G845" s="87"/>
      <c r="H845" s="87"/>
      <c r="I845" s="87"/>
      <c r="J845" s="87"/>
      <c r="K845" s="87"/>
      <c r="L845" s="87"/>
      <c r="M845" s="87"/>
      <c r="N845" s="87"/>
      <c r="O845" s="87"/>
      <c r="P845" s="87"/>
      <c r="Q845" s="87"/>
      <c r="R845" s="87"/>
      <c r="S845" s="87"/>
      <c r="T845" s="87"/>
      <c r="U845" s="88">
        <v>10</v>
      </c>
      <c r="V845" s="89"/>
      <c r="W845" s="96">
        <v>0</v>
      </c>
      <c r="X845" s="71">
        <f>CU845</f>
        <v>0</v>
      </c>
      <c r="Y845" s="71">
        <f>CY845</f>
        <v>0</v>
      </c>
      <c r="Z845" s="71">
        <f>DA845+DC845+DE845</f>
        <v>0</v>
      </c>
      <c r="AA845" s="71">
        <f>CW845</f>
        <v>0</v>
      </c>
      <c r="AB845" s="71"/>
      <c r="AC845" s="71">
        <v>0</v>
      </c>
      <c r="AD845" s="71">
        <f>W845+X845+Y845+Z845+AA845+AB845+AC845</f>
        <v>0</v>
      </c>
      <c r="AE845" s="72">
        <v>0</v>
      </c>
      <c r="AF845" s="5"/>
      <c r="AG845" s="6"/>
      <c r="AH845" s="27" t="s">
        <v>3392</v>
      </c>
      <c r="AI845" s="44" t="s">
        <v>3393</v>
      </c>
      <c r="AJ845" s="26"/>
      <c r="AK845" s="5"/>
      <c r="AL845" s="82" t="s">
        <v>3791</v>
      </c>
      <c r="AM845" s="76"/>
      <c r="AN845" s="76"/>
      <c r="AO845" s="76"/>
      <c r="AP845" s="76"/>
      <c r="AQ845" s="76"/>
      <c r="AR845" s="76"/>
      <c r="AS845" s="76"/>
      <c r="AT845" s="76"/>
      <c r="AU845" s="76"/>
      <c r="AV845" s="76"/>
      <c r="AW845" s="76"/>
      <c r="AX845" s="76">
        <f>+AW845*600000</f>
        <v>0</v>
      </c>
      <c r="AY845" s="76"/>
      <c r="AZ845" s="76">
        <f>+AY845*70000</f>
        <v>0</v>
      </c>
      <c r="BA845" s="76"/>
      <c r="BB845" s="76"/>
      <c r="BC845" s="76"/>
      <c r="BD845" s="76">
        <f>+BC845*30000</f>
        <v>0</v>
      </c>
      <c r="BE845" s="76"/>
      <c r="BF845" s="76"/>
      <c r="BG845" s="76"/>
      <c r="BH845" s="76"/>
      <c r="BI845" s="76"/>
      <c r="BJ845" s="76"/>
      <c r="BK845" s="76"/>
      <c r="BL845" s="76">
        <f>+BK845*31500</f>
        <v>0</v>
      </c>
      <c r="BM845" s="76"/>
      <c r="BN845" s="76"/>
      <c r="BO845" s="76"/>
      <c r="BP845" s="76"/>
      <c r="BQ845" s="76"/>
      <c r="BR845" s="76"/>
      <c r="BS845" s="76"/>
      <c r="BT845" s="76"/>
      <c r="BU845" s="76"/>
      <c r="BV845" s="76"/>
      <c r="BW845" s="76"/>
      <c r="BX845" s="76"/>
      <c r="BY845" s="76"/>
      <c r="BZ845" s="76"/>
      <c r="CA845" s="76"/>
      <c r="CB845" s="76"/>
      <c r="CC845" s="76"/>
      <c r="CD845" s="76"/>
      <c r="CE845" s="76"/>
      <c r="CF845" s="76">
        <f>+CE845*28000</f>
        <v>0</v>
      </c>
      <c r="CG845" s="76"/>
      <c r="CH845" s="76">
        <f>+CG845*22500</f>
        <v>0</v>
      </c>
      <c r="CI845" s="76"/>
      <c r="CJ845" s="76">
        <f>+CI845*26000</f>
        <v>0</v>
      </c>
      <c r="CK845" s="76"/>
      <c r="CL845" s="76"/>
      <c r="CM845" s="76"/>
      <c r="CN845" s="76">
        <f>+CM845*22000</f>
        <v>0</v>
      </c>
      <c r="CO845" s="76"/>
      <c r="CP845" s="76">
        <f>+CO845*46000</f>
        <v>0</v>
      </c>
      <c r="CQ845" s="76"/>
      <c r="CR845" s="76">
        <f>+CQ845*49000</f>
        <v>0</v>
      </c>
      <c r="CS845" s="76"/>
      <c r="CT845" s="76"/>
      <c r="CU845" s="56">
        <f>AN845+AP845+AR845+AT845+AV845+AX845+AZ845+BB845+BD845+BF845+BH845+BJ845+BL845+BN845+BP845+BR845+BT845+BV845+BX845+BZ845+CB845+CD845+CF845+CH845+CJ845+CL845+CN845+CP845+CR845+CT845</f>
        <v>0</v>
      </c>
      <c r="CV845" s="76"/>
      <c r="CW845" s="76">
        <f>+CV845*1100</f>
        <v>0</v>
      </c>
      <c r="CX845" s="76"/>
      <c r="CY845" s="76">
        <f>+CX845*106250</f>
        <v>0</v>
      </c>
      <c r="CZ845" s="76"/>
      <c r="DA845" s="76">
        <f>+CZ845*34500</f>
        <v>0</v>
      </c>
      <c r="DB845" s="76"/>
      <c r="DC845" s="76">
        <f>+DB845*25000</f>
        <v>0</v>
      </c>
      <c r="DD845" s="219"/>
      <c r="DE845" s="219"/>
      <c r="DF845" s="166"/>
      <c r="DG845" s="116"/>
      <c r="DH845" s="117"/>
      <c r="DI845" s="24"/>
      <c r="DJ845" s="24"/>
      <c r="DK845" s="24"/>
      <c r="DL845" s="24"/>
      <c r="DM845" s="24"/>
      <c r="DN845" s="24"/>
      <c r="DO845" s="24"/>
      <c r="DP845" s="24"/>
      <c r="DQ845" s="24"/>
      <c r="DR845" s="24"/>
      <c r="DS845" s="24"/>
      <c r="DT845" s="24"/>
      <c r="DU845" s="24"/>
    </row>
    <row r="846" spans="1:125" s="8" customFormat="1" ht="48" x14ac:dyDescent="0.2">
      <c r="A846" s="77">
        <v>41322</v>
      </c>
      <c r="B846" s="78" t="s">
        <v>2778</v>
      </c>
      <c r="C846" s="75" t="s">
        <v>1344</v>
      </c>
      <c r="D846" s="81" t="s">
        <v>2846</v>
      </c>
      <c r="E846" s="75" t="str">
        <f>VLOOKUP(B846&amp;C846,Divipola!$C$2:$F$1138,4,FALSE)</f>
        <v>85001</v>
      </c>
      <c r="F846" s="87"/>
      <c r="G846" s="87"/>
      <c r="H846" s="87"/>
      <c r="I846" s="87"/>
      <c r="J846" s="87"/>
      <c r="K846" s="87"/>
      <c r="L846" s="87"/>
      <c r="M846" s="87"/>
      <c r="N846" s="87"/>
      <c r="O846" s="87"/>
      <c r="P846" s="87"/>
      <c r="Q846" s="87"/>
      <c r="R846" s="87"/>
      <c r="S846" s="87"/>
      <c r="T846" s="87"/>
      <c r="U846" s="88">
        <v>2</v>
      </c>
      <c r="V846" s="89"/>
      <c r="W846" s="96">
        <v>0</v>
      </c>
      <c r="X846" s="71">
        <f>CU846</f>
        <v>0</v>
      </c>
      <c r="Y846" s="71">
        <f>CY846</f>
        <v>0</v>
      </c>
      <c r="Z846" s="71">
        <f>DA846+DC846+DE846</f>
        <v>0</v>
      </c>
      <c r="AA846" s="71">
        <f>CW846</f>
        <v>0</v>
      </c>
      <c r="AB846" s="71"/>
      <c r="AC846" s="71">
        <v>0</v>
      </c>
      <c r="AD846" s="71">
        <f>W846+X846+Y846+Z846+AA846+AB846+AC846</f>
        <v>0</v>
      </c>
      <c r="AE846" s="72">
        <v>0</v>
      </c>
      <c r="AF846" s="5"/>
      <c r="AG846" s="6"/>
      <c r="AH846" s="27" t="s">
        <v>3392</v>
      </c>
      <c r="AI846" s="44" t="s">
        <v>3393</v>
      </c>
      <c r="AJ846" s="26"/>
      <c r="AK846" s="5"/>
      <c r="AL846" s="82" t="s">
        <v>3792</v>
      </c>
      <c r="AM846" s="76"/>
      <c r="AN846" s="76"/>
      <c r="AO846" s="76"/>
      <c r="AP846" s="76"/>
      <c r="AQ846" s="76"/>
      <c r="AR846" s="76"/>
      <c r="AS846" s="76"/>
      <c r="AT846" s="76"/>
      <c r="AU846" s="76"/>
      <c r="AV846" s="76"/>
      <c r="AW846" s="76"/>
      <c r="AX846" s="76">
        <f>+AW846*600000</f>
        <v>0</v>
      </c>
      <c r="AY846" s="76"/>
      <c r="AZ846" s="76">
        <f>+AY846*70000</f>
        <v>0</v>
      </c>
      <c r="BA846" s="76"/>
      <c r="BB846" s="76"/>
      <c r="BC846" s="76"/>
      <c r="BD846" s="76">
        <f>+BC846*30000</f>
        <v>0</v>
      </c>
      <c r="BE846" s="76"/>
      <c r="BF846" s="76"/>
      <c r="BG846" s="76"/>
      <c r="BH846" s="76"/>
      <c r="BI846" s="76"/>
      <c r="BJ846" s="76"/>
      <c r="BK846" s="76"/>
      <c r="BL846" s="76">
        <f>+BK846*31500</f>
        <v>0</v>
      </c>
      <c r="BM846" s="76"/>
      <c r="BN846" s="76"/>
      <c r="BO846" s="76"/>
      <c r="BP846" s="76"/>
      <c r="BQ846" s="76"/>
      <c r="BR846" s="76"/>
      <c r="BS846" s="76"/>
      <c r="BT846" s="76"/>
      <c r="BU846" s="76"/>
      <c r="BV846" s="76"/>
      <c r="BW846" s="76"/>
      <c r="BX846" s="76"/>
      <c r="BY846" s="76"/>
      <c r="BZ846" s="76"/>
      <c r="CA846" s="76"/>
      <c r="CB846" s="76"/>
      <c r="CC846" s="76"/>
      <c r="CD846" s="76"/>
      <c r="CE846" s="76"/>
      <c r="CF846" s="76">
        <f>+CE846*28000</f>
        <v>0</v>
      </c>
      <c r="CG846" s="76"/>
      <c r="CH846" s="76">
        <f>+CG846*22500</f>
        <v>0</v>
      </c>
      <c r="CI846" s="76"/>
      <c r="CJ846" s="76">
        <f>+CI846*26000</f>
        <v>0</v>
      </c>
      <c r="CK846" s="76"/>
      <c r="CL846" s="76"/>
      <c r="CM846" s="76"/>
      <c r="CN846" s="76">
        <f>+CM846*22000</f>
        <v>0</v>
      </c>
      <c r="CO846" s="76"/>
      <c r="CP846" s="76">
        <f>+CO846*46000</f>
        <v>0</v>
      </c>
      <c r="CQ846" s="76"/>
      <c r="CR846" s="76">
        <f>+CQ846*49000</f>
        <v>0</v>
      </c>
      <c r="CS846" s="76"/>
      <c r="CT846" s="76"/>
      <c r="CU846" s="56">
        <f>AN846+AP846+AR846+AT846+AV846+AX846+AZ846+BB846+BD846+BF846+BH846+BJ846+BL846+BN846+BP846+BR846+BT846+BV846+BX846+BZ846+CB846+CD846+CF846+CH846+CJ846+CL846+CN846+CP846+CR846+CT846</f>
        <v>0</v>
      </c>
      <c r="CV846" s="76"/>
      <c r="CW846" s="76">
        <f>+CV846*1100</f>
        <v>0</v>
      </c>
      <c r="CX846" s="76"/>
      <c r="CY846" s="76">
        <f>+CX846*106250</f>
        <v>0</v>
      </c>
      <c r="CZ846" s="76"/>
      <c r="DA846" s="76">
        <f>+CZ846*34500</f>
        <v>0</v>
      </c>
      <c r="DB846" s="76"/>
      <c r="DC846" s="76">
        <f>+DB846*25000</f>
        <v>0</v>
      </c>
      <c r="DD846" s="219"/>
      <c r="DE846" s="219"/>
      <c r="DF846" s="166"/>
      <c r="DG846" s="116"/>
      <c r="DH846" s="117"/>
      <c r="DI846" s="24"/>
      <c r="DJ846" s="24"/>
      <c r="DK846" s="24"/>
      <c r="DL846" s="24"/>
      <c r="DM846" s="24"/>
      <c r="DN846" s="24"/>
      <c r="DO846" s="24"/>
      <c r="DP846" s="24"/>
      <c r="DQ846" s="24"/>
      <c r="DR846" s="24"/>
      <c r="DS846" s="24"/>
      <c r="DT846" s="24"/>
      <c r="DU846" s="24"/>
    </row>
    <row r="847" spans="1:125" s="8" customFormat="1" ht="48" x14ac:dyDescent="0.2">
      <c r="A847" s="77">
        <v>41322</v>
      </c>
      <c r="B847" s="78" t="s">
        <v>2778</v>
      </c>
      <c r="C847" s="75" t="s">
        <v>1344</v>
      </c>
      <c r="D847" s="81" t="s">
        <v>2846</v>
      </c>
      <c r="E847" s="75" t="str">
        <f>VLOOKUP(B847&amp;C847,Divipola!$C$2:$F$1138,4,FALSE)</f>
        <v>85001</v>
      </c>
      <c r="F847" s="87"/>
      <c r="G847" s="87"/>
      <c r="H847" s="87"/>
      <c r="I847" s="87"/>
      <c r="J847" s="87"/>
      <c r="K847" s="87"/>
      <c r="L847" s="87"/>
      <c r="M847" s="87"/>
      <c r="N847" s="87"/>
      <c r="O847" s="87"/>
      <c r="P847" s="87"/>
      <c r="Q847" s="87"/>
      <c r="R847" s="87"/>
      <c r="S847" s="87"/>
      <c r="T847" s="87"/>
      <c r="U847" s="88">
        <v>30</v>
      </c>
      <c r="V847" s="89"/>
      <c r="W847" s="96">
        <v>0</v>
      </c>
      <c r="X847" s="71">
        <f>CU847</f>
        <v>0</v>
      </c>
      <c r="Y847" s="71">
        <f>CY847</f>
        <v>0</v>
      </c>
      <c r="Z847" s="71">
        <f>DA847+DC847+DE847</f>
        <v>0</v>
      </c>
      <c r="AA847" s="71">
        <f>CW847</f>
        <v>0</v>
      </c>
      <c r="AB847" s="71"/>
      <c r="AC847" s="71">
        <v>0</v>
      </c>
      <c r="AD847" s="71">
        <f>W847+X847+Y847+Z847+AA847+AB847+AC847</f>
        <v>0</v>
      </c>
      <c r="AE847" s="72">
        <v>0</v>
      </c>
      <c r="AF847" s="5"/>
      <c r="AG847" s="6"/>
      <c r="AH847" s="27" t="s">
        <v>3392</v>
      </c>
      <c r="AI847" s="44" t="s">
        <v>3393</v>
      </c>
      <c r="AJ847" s="26"/>
      <c r="AK847" s="5"/>
      <c r="AL847" s="82" t="s">
        <v>3793</v>
      </c>
      <c r="AM847" s="76"/>
      <c r="AN847" s="76"/>
      <c r="AO847" s="76"/>
      <c r="AP847" s="76"/>
      <c r="AQ847" s="76"/>
      <c r="AR847" s="76"/>
      <c r="AS847" s="76"/>
      <c r="AT847" s="76"/>
      <c r="AU847" s="76"/>
      <c r="AV847" s="76"/>
      <c r="AW847" s="76"/>
      <c r="AX847" s="76">
        <f>+AW847*600000</f>
        <v>0</v>
      </c>
      <c r="AY847" s="76"/>
      <c r="AZ847" s="76">
        <f>+AY847*70000</f>
        <v>0</v>
      </c>
      <c r="BA847" s="76"/>
      <c r="BB847" s="76"/>
      <c r="BC847" s="76"/>
      <c r="BD847" s="76">
        <f>+BC847*30000</f>
        <v>0</v>
      </c>
      <c r="BE847" s="76"/>
      <c r="BF847" s="76"/>
      <c r="BG847" s="76"/>
      <c r="BH847" s="76"/>
      <c r="BI847" s="76"/>
      <c r="BJ847" s="76"/>
      <c r="BK847" s="76"/>
      <c r="BL847" s="76">
        <f>+BK847*31500</f>
        <v>0</v>
      </c>
      <c r="BM847" s="76"/>
      <c r="BN847" s="76"/>
      <c r="BO847" s="76"/>
      <c r="BP847" s="76"/>
      <c r="BQ847" s="76"/>
      <c r="BR847" s="76"/>
      <c r="BS847" s="76"/>
      <c r="BT847" s="76"/>
      <c r="BU847" s="76"/>
      <c r="BV847" s="76"/>
      <c r="BW847" s="76"/>
      <c r="BX847" s="76"/>
      <c r="BY847" s="76"/>
      <c r="BZ847" s="76"/>
      <c r="CA847" s="76"/>
      <c r="CB847" s="76"/>
      <c r="CC847" s="76"/>
      <c r="CD847" s="76"/>
      <c r="CE847" s="76"/>
      <c r="CF847" s="76">
        <f>+CE847*28000</f>
        <v>0</v>
      </c>
      <c r="CG847" s="76"/>
      <c r="CH847" s="76">
        <f>+CG847*22500</f>
        <v>0</v>
      </c>
      <c r="CI847" s="76"/>
      <c r="CJ847" s="76">
        <f>+CI847*26000</f>
        <v>0</v>
      </c>
      <c r="CK847" s="76"/>
      <c r="CL847" s="76"/>
      <c r="CM847" s="76"/>
      <c r="CN847" s="76">
        <f>+CM847*22000</f>
        <v>0</v>
      </c>
      <c r="CO847" s="76"/>
      <c r="CP847" s="76">
        <f>+CO847*46000</f>
        <v>0</v>
      </c>
      <c r="CQ847" s="76"/>
      <c r="CR847" s="76">
        <f>+CQ847*49000</f>
        <v>0</v>
      </c>
      <c r="CS847" s="76"/>
      <c r="CT847" s="76"/>
      <c r="CU847" s="56">
        <f>AN847+AP847+AR847+AT847+AV847+AX847+AZ847+BB847+BD847+BF847+BH847+BJ847+BL847+BN847+BP847+BR847+BT847+BV847+BX847+BZ847+CB847+CD847+CF847+CH847+CJ847+CL847+CN847+CP847+CR847+CT847</f>
        <v>0</v>
      </c>
      <c r="CV847" s="76"/>
      <c r="CW847" s="76">
        <f>+CV847*1100</f>
        <v>0</v>
      </c>
      <c r="CX847" s="76"/>
      <c r="CY847" s="76">
        <f>+CX847*106250</f>
        <v>0</v>
      </c>
      <c r="CZ847" s="76"/>
      <c r="DA847" s="76">
        <f>+CZ847*34500</f>
        <v>0</v>
      </c>
      <c r="DB847" s="76"/>
      <c r="DC847" s="76">
        <f>+DB847*25000</f>
        <v>0</v>
      </c>
      <c r="DD847" s="219"/>
      <c r="DE847" s="219"/>
      <c r="DF847" s="166"/>
      <c r="DG847" s="116"/>
      <c r="DH847" s="117"/>
      <c r="DI847" s="24"/>
      <c r="DJ847" s="24"/>
      <c r="DK847" s="24"/>
      <c r="DL847" s="24"/>
      <c r="DM847" s="24"/>
      <c r="DN847" s="24"/>
      <c r="DO847" s="24"/>
      <c r="DP847" s="24"/>
      <c r="DQ847" s="24"/>
      <c r="DR847" s="24"/>
      <c r="DS847" s="24"/>
      <c r="DT847" s="24"/>
      <c r="DU847" s="24"/>
    </row>
    <row r="848" spans="1:125" s="8" customFormat="1" ht="48" x14ac:dyDescent="0.2">
      <c r="A848" s="77">
        <v>41322</v>
      </c>
      <c r="B848" s="78" t="s">
        <v>2778</v>
      </c>
      <c r="C848" s="75" t="s">
        <v>1344</v>
      </c>
      <c r="D848" s="81" t="s">
        <v>2846</v>
      </c>
      <c r="E848" s="75" t="str">
        <f>VLOOKUP(B848&amp;C848,Divipola!$C$2:$F$1138,4,FALSE)</f>
        <v>85001</v>
      </c>
      <c r="F848" s="87"/>
      <c r="G848" s="87"/>
      <c r="H848" s="87"/>
      <c r="I848" s="87"/>
      <c r="J848" s="87"/>
      <c r="K848" s="87"/>
      <c r="L848" s="87"/>
      <c r="M848" s="87"/>
      <c r="N848" s="87"/>
      <c r="O848" s="87"/>
      <c r="P848" s="87"/>
      <c r="Q848" s="87"/>
      <c r="R848" s="87"/>
      <c r="S848" s="87"/>
      <c r="T848" s="87"/>
      <c r="U848" s="88">
        <v>15</v>
      </c>
      <c r="V848" s="89"/>
      <c r="W848" s="96">
        <v>0</v>
      </c>
      <c r="X848" s="71">
        <f>CU848</f>
        <v>0</v>
      </c>
      <c r="Y848" s="71">
        <f>CY848</f>
        <v>0</v>
      </c>
      <c r="Z848" s="71">
        <f>DA848+DC848+DE848</f>
        <v>0</v>
      </c>
      <c r="AA848" s="71">
        <f>CW848</f>
        <v>0</v>
      </c>
      <c r="AB848" s="71"/>
      <c r="AC848" s="71">
        <v>0</v>
      </c>
      <c r="AD848" s="71">
        <f>W848+X848+Y848+Z848+AA848+AB848+AC848</f>
        <v>0</v>
      </c>
      <c r="AE848" s="72">
        <v>0</v>
      </c>
      <c r="AF848" s="5"/>
      <c r="AG848" s="6"/>
      <c r="AH848" s="27" t="s">
        <v>3392</v>
      </c>
      <c r="AI848" s="44" t="s">
        <v>3393</v>
      </c>
      <c r="AJ848" s="26"/>
      <c r="AK848" s="5"/>
      <c r="AL848" s="82" t="s">
        <v>3794</v>
      </c>
      <c r="AM848" s="76"/>
      <c r="AN848" s="76"/>
      <c r="AO848" s="76"/>
      <c r="AP848" s="76"/>
      <c r="AQ848" s="76"/>
      <c r="AR848" s="76"/>
      <c r="AS848" s="76"/>
      <c r="AT848" s="76"/>
      <c r="AU848" s="76"/>
      <c r="AV848" s="76"/>
      <c r="AW848" s="76"/>
      <c r="AX848" s="76">
        <f>+AW848*600000</f>
        <v>0</v>
      </c>
      <c r="AY848" s="76"/>
      <c r="AZ848" s="76">
        <f>+AY848*70000</f>
        <v>0</v>
      </c>
      <c r="BA848" s="76"/>
      <c r="BB848" s="76"/>
      <c r="BC848" s="76"/>
      <c r="BD848" s="76">
        <f>+BC848*30000</f>
        <v>0</v>
      </c>
      <c r="BE848" s="76"/>
      <c r="BF848" s="76"/>
      <c r="BG848" s="76"/>
      <c r="BH848" s="76"/>
      <c r="BI848" s="76"/>
      <c r="BJ848" s="76"/>
      <c r="BK848" s="76"/>
      <c r="BL848" s="76">
        <f>+BK848*31500</f>
        <v>0</v>
      </c>
      <c r="BM848" s="76"/>
      <c r="BN848" s="76"/>
      <c r="BO848" s="76"/>
      <c r="BP848" s="76"/>
      <c r="BQ848" s="76"/>
      <c r="BR848" s="76"/>
      <c r="BS848" s="76"/>
      <c r="BT848" s="76"/>
      <c r="BU848" s="76"/>
      <c r="BV848" s="76"/>
      <c r="BW848" s="76"/>
      <c r="BX848" s="76"/>
      <c r="BY848" s="76"/>
      <c r="BZ848" s="76"/>
      <c r="CA848" s="76"/>
      <c r="CB848" s="76"/>
      <c r="CC848" s="76"/>
      <c r="CD848" s="76"/>
      <c r="CE848" s="76"/>
      <c r="CF848" s="76">
        <f>+CE848*28000</f>
        <v>0</v>
      </c>
      <c r="CG848" s="76"/>
      <c r="CH848" s="76">
        <f>+CG848*22500</f>
        <v>0</v>
      </c>
      <c r="CI848" s="76"/>
      <c r="CJ848" s="76">
        <f>+CI848*26000</f>
        <v>0</v>
      </c>
      <c r="CK848" s="76"/>
      <c r="CL848" s="76"/>
      <c r="CM848" s="76"/>
      <c r="CN848" s="76">
        <f>+CM848*22000</f>
        <v>0</v>
      </c>
      <c r="CO848" s="76"/>
      <c r="CP848" s="76">
        <f>+CO848*46000</f>
        <v>0</v>
      </c>
      <c r="CQ848" s="76"/>
      <c r="CR848" s="76">
        <f>+CQ848*49000</f>
        <v>0</v>
      </c>
      <c r="CS848" s="76"/>
      <c r="CT848" s="76"/>
      <c r="CU848" s="56">
        <f>AN848+AP848+AR848+AT848+AV848+AX848+AZ848+BB848+BD848+BF848+BH848+BJ848+BL848+BN848+BP848+BR848+BT848+BV848+BX848+BZ848+CB848+CD848+CF848+CH848+CJ848+CL848+CN848+CP848+CR848+CT848</f>
        <v>0</v>
      </c>
      <c r="CV848" s="76"/>
      <c r="CW848" s="76">
        <f>+CV848*1100</f>
        <v>0</v>
      </c>
      <c r="CX848" s="76"/>
      <c r="CY848" s="76">
        <f>+CX848*106250</f>
        <v>0</v>
      </c>
      <c r="CZ848" s="76"/>
      <c r="DA848" s="76">
        <f>+CZ848*34500</f>
        <v>0</v>
      </c>
      <c r="DB848" s="76"/>
      <c r="DC848" s="76">
        <f>+DB848*25000</f>
        <v>0</v>
      </c>
      <c r="DD848" s="219"/>
      <c r="DE848" s="219"/>
      <c r="DF848" s="166"/>
      <c r="DG848" s="116"/>
      <c r="DH848" s="117"/>
      <c r="DI848" s="24"/>
      <c r="DJ848" s="24"/>
      <c r="DK848" s="24"/>
      <c r="DL848" s="24"/>
      <c r="DM848" s="24"/>
      <c r="DN848" s="24"/>
      <c r="DO848" s="24"/>
      <c r="DP848" s="24"/>
      <c r="DQ848" s="24"/>
      <c r="DR848" s="24"/>
      <c r="DS848" s="24"/>
      <c r="DT848" s="24"/>
      <c r="DU848" s="24"/>
    </row>
    <row r="849" spans="1:125" s="8" customFormat="1" ht="72" x14ac:dyDescent="0.2">
      <c r="A849" s="77">
        <v>41322</v>
      </c>
      <c r="B849" s="78" t="s">
        <v>2772</v>
      </c>
      <c r="C849" s="75" t="s">
        <v>1143</v>
      </c>
      <c r="D849" s="75" t="s">
        <v>2859</v>
      </c>
      <c r="E849" s="75" t="str">
        <f>VLOOKUP(B849&amp;C849,Divipola!$C$2:$F$1138,4,FALSE)</f>
        <v>25596</v>
      </c>
      <c r="F849" s="87"/>
      <c r="G849" s="87"/>
      <c r="H849" s="87"/>
      <c r="I849" s="87">
        <v>12</v>
      </c>
      <c r="J849" s="87">
        <v>3</v>
      </c>
      <c r="K849" s="87">
        <v>3</v>
      </c>
      <c r="L849" s="87"/>
      <c r="M849" s="87"/>
      <c r="N849" s="87"/>
      <c r="O849" s="87"/>
      <c r="P849" s="87"/>
      <c r="Q849" s="87"/>
      <c r="R849" s="87"/>
      <c r="S849" s="87"/>
      <c r="T849" s="87"/>
      <c r="U849" s="88"/>
      <c r="V849" s="89"/>
      <c r="W849" s="96">
        <v>0</v>
      </c>
      <c r="X849" s="71">
        <f>CU849</f>
        <v>0</v>
      </c>
      <c r="Y849" s="71">
        <f>CY849</f>
        <v>0</v>
      </c>
      <c r="Z849" s="71">
        <f>DA849+DC849+DE849</f>
        <v>0</v>
      </c>
      <c r="AA849" s="71">
        <f>CW849</f>
        <v>0</v>
      </c>
      <c r="AB849" s="71"/>
      <c r="AC849" s="71">
        <v>0</v>
      </c>
      <c r="AD849" s="71">
        <f>W849+X849+Y849+Z849+AA849+AB849+AC849</f>
        <v>0</v>
      </c>
      <c r="AE849" s="72">
        <v>0</v>
      </c>
      <c r="AF849" s="5"/>
      <c r="AG849" s="6"/>
      <c r="AH849" s="27" t="s">
        <v>3392</v>
      </c>
      <c r="AI849" s="44" t="s">
        <v>3393</v>
      </c>
      <c r="AJ849" s="26"/>
      <c r="AK849" s="5"/>
      <c r="AL849" s="82" t="s">
        <v>3550</v>
      </c>
      <c r="AM849" s="76"/>
      <c r="AN849" s="76"/>
      <c r="AO849" s="76"/>
      <c r="AP849" s="76"/>
      <c r="AQ849" s="76"/>
      <c r="AR849" s="76"/>
      <c r="AS849" s="76"/>
      <c r="AT849" s="76"/>
      <c r="AU849" s="76"/>
      <c r="AV849" s="76"/>
      <c r="AW849" s="76"/>
      <c r="AX849" s="76">
        <f>+AW849*600000</f>
        <v>0</v>
      </c>
      <c r="AY849" s="76"/>
      <c r="AZ849" s="76">
        <f>+AY849*70000</f>
        <v>0</v>
      </c>
      <c r="BA849" s="76"/>
      <c r="BB849" s="76"/>
      <c r="BC849" s="76"/>
      <c r="BD849" s="76">
        <f>+BC849*30000</f>
        <v>0</v>
      </c>
      <c r="BE849" s="76"/>
      <c r="BF849" s="76"/>
      <c r="BG849" s="76"/>
      <c r="BH849" s="76"/>
      <c r="BI849" s="76"/>
      <c r="BJ849" s="76"/>
      <c r="BK849" s="76"/>
      <c r="BL849" s="76">
        <f>+BK849*31500</f>
        <v>0</v>
      </c>
      <c r="BM849" s="76"/>
      <c r="BN849" s="76"/>
      <c r="BO849" s="76"/>
      <c r="BP849" s="76"/>
      <c r="BQ849" s="76"/>
      <c r="BR849" s="76"/>
      <c r="BS849" s="76"/>
      <c r="BT849" s="76"/>
      <c r="BU849" s="76"/>
      <c r="BV849" s="76"/>
      <c r="BW849" s="76"/>
      <c r="BX849" s="76"/>
      <c r="BY849" s="76"/>
      <c r="BZ849" s="76"/>
      <c r="CA849" s="76"/>
      <c r="CB849" s="76"/>
      <c r="CC849" s="76"/>
      <c r="CD849" s="76"/>
      <c r="CE849" s="76"/>
      <c r="CF849" s="76">
        <f>+CE849*28000</f>
        <v>0</v>
      </c>
      <c r="CG849" s="76"/>
      <c r="CH849" s="76">
        <f>+CG849*22500</f>
        <v>0</v>
      </c>
      <c r="CI849" s="76"/>
      <c r="CJ849" s="76">
        <f>+CI849*26000</f>
        <v>0</v>
      </c>
      <c r="CK849" s="76"/>
      <c r="CL849" s="76"/>
      <c r="CM849" s="76"/>
      <c r="CN849" s="76">
        <f>+CM849*22000</f>
        <v>0</v>
      </c>
      <c r="CO849" s="76"/>
      <c r="CP849" s="76">
        <f>+CO849*46000</f>
        <v>0</v>
      </c>
      <c r="CQ849" s="76"/>
      <c r="CR849" s="76">
        <f>+CQ849*49000</f>
        <v>0</v>
      </c>
      <c r="CS849" s="76"/>
      <c r="CT849" s="76"/>
      <c r="CU849" s="56">
        <f>AN849+AP849+AR849+AT849+AV849+AX849+AZ849+BB849+BD849+BF849+BH849+BJ849+BL849+BN849+BP849+BR849+BT849+BV849+BX849+BZ849+CB849+CD849+CF849+CH849+CJ849+CL849+CN849+CP849+CR849+CT849</f>
        <v>0</v>
      </c>
      <c r="CV849" s="76"/>
      <c r="CW849" s="76">
        <f>+CV849*1100</f>
        <v>0</v>
      </c>
      <c r="CX849" s="76"/>
      <c r="CY849" s="76">
        <f>+CX849*106250</f>
        <v>0</v>
      </c>
      <c r="CZ849" s="76"/>
      <c r="DA849" s="76">
        <f>+CZ849*34500</f>
        <v>0</v>
      </c>
      <c r="DB849" s="76"/>
      <c r="DC849" s="76">
        <f>+DB849*25000</f>
        <v>0</v>
      </c>
      <c r="DD849" s="219"/>
      <c r="DE849" s="219"/>
      <c r="DF849" s="166"/>
      <c r="DG849" s="116"/>
      <c r="DH849" s="117"/>
      <c r="DI849" s="24"/>
      <c r="DJ849" s="24"/>
      <c r="DK849" s="24"/>
      <c r="DL849" s="24"/>
      <c r="DM849" s="24"/>
      <c r="DN849" s="24"/>
      <c r="DO849" s="24"/>
      <c r="DP849" s="24"/>
      <c r="DQ849" s="24"/>
      <c r="DR849" s="24"/>
      <c r="DS849" s="24"/>
      <c r="DT849" s="24"/>
      <c r="DU849" s="24"/>
    </row>
    <row r="850" spans="1:125" s="8" customFormat="1" ht="48" x14ac:dyDescent="0.2">
      <c r="A850" s="77">
        <v>41322</v>
      </c>
      <c r="B850" s="352" t="s">
        <v>2860</v>
      </c>
      <c r="C850" s="354" t="s">
        <v>2078</v>
      </c>
      <c r="D850" s="354" t="s">
        <v>3017</v>
      </c>
      <c r="E850" s="75" t="str">
        <f>VLOOKUP(B850&amp;C850,Divipola!$C$2:$F$1138,4,FALSE)</f>
        <v>63190</v>
      </c>
      <c r="F850" s="87"/>
      <c r="G850" s="87"/>
      <c r="H850" s="87"/>
      <c r="I850" s="87">
        <v>5</v>
      </c>
      <c r="J850" s="87">
        <v>1</v>
      </c>
      <c r="K850" s="87"/>
      <c r="L850" s="87">
        <v>1</v>
      </c>
      <c r="M850" s="87"/>
      <c r="N850" s="87"/>
      <c r="O850" s="87"/>
      <c r="P850" s="87"/>
      <c r="Q850" s="87"/>
      <c r="R850" s="87"/>
      <c r="S850" s="87"/>
      <c r="T850" s="87"/>
      <c r="U850" s="88"/>
      <c r="V850" s="89"/>
      <c r="W850" s="96">
        <v>0</v>
      </c>
      <c r="X850" s="71">
        <f>CU850</f>
        <v>0</v>
      </c>
      <c r="Y850" s="71">
        <f>CY850</f>
        <v>0</v>
      </c>
      <c r="Z850" s="71">
        <f>DA850+DC850+DE850</f>
        <v>0</v>
      </c>
      <c r="AA850" s="71">
        <f>CW850</f>
        <v>0</v>
      </c>
      <c r="AB850" s="71"/>
      <c r="AC850" s="71">
        <v>0</v>
      </c>
      <c r="AD850" s="71">
        <f>W850+X850+Y850+Z850+AA850+AB850+AC850</f>
        <v>0</v>
      </c>
      <c r="AE850" s="72">
        <v>0</v>
      </c>
      <c r="AF850" s="5"/>
      <c r="AG850" s="6"/>
      <c r="AH850" s="27" t="s">
        <v>3392</v>
      </c>
      <c r="AI850" s="44" t="s">
        <v>3393</v>
      </c>
      <c r="AJ850" s="26"/>
      <c r="AK850" s="5"/>
      <c r="AL850" s="82" t="s">
        <v>3542</v>
      </c>
      <c r="AM850" s="76"/>
      <c r="AN850" s="76"/>
      <c r="AO850" s="76"/>
      <c r="AP850" s="76"/>
      <c r="AQ850" s="76"/>
      <c r="AR850" s="76"/>
      <c r="AS850" s="76"/>
      <c r="AT850" s="76"/>
      <c r="AU850" s="76"/>
      <c r="AV850" s="76"/>
      <c r="AW850" s="76"/>
      <c r="AX850" s="76">
        <f>+AW850*600000</f>
        <v>0</v>
      </c>
      <c r="AY850" s="76"/>
      <c r="AZ850" s="76">
        <f>+AY850*70000</f>
        <v>0</v>
      </c>
      <c r="BA850" s="76"/>
      <c r="BB850" s="76"/>
      <c r="BC850" s="76"/>
      <c r="BD850" s="76">
        <f>+BC850*30000</f>
        <v>0</v>
      </c>
      <c r="BE850" s="76"/>
      <c r="BF850" s="76"/>
      <c r="BG850" s="76"/>
      <c r="BH850" s="76"/>
      <c r="BI850" s="76"/>
      <c r="BJ850" s="76"/>
      <c r="BK850" s="76"/>
      <c r="BL850" s="76">
        <f>+BK850*31500</f>
        <v>0</v>
      </c>
      <c r="BM850" s="76"/>
      <c r="BN850" s="76"/>
      <c r="BO850" s="76"/>
      <c r="BP850" s="76"/>
      <c r="BQ850" s="76"/>
      <c r="BR850" s="76"/>
      <c r="BS850" s="76"/>
      <c r="BT850" s="76"/>
      <c r="BU850" s="76"/>
      <c r="BV850" s="76"/>
      <c r="BW850" s="76"/>
      <c r="BX850" s="76"/>
      <c r="BY850" s="76"/>
      <c r="BZ850" s="76"/>
      <c r="CA850" s="76"/>
      <c r="CB850" s="76"/>
      <c r="CC850" s="76"/>
      <c r="CD850" s="76"/>
      <c r="CE850" s="76"/>
      <c r="CF850" s="76">
        <f>+CE850*28000</f>
        <v>0</v>
      </c>
      <c r="CG850" s="76"/>
      <c r="CH850" s="76">
        <f>+CG850*22500</f>
        <v>0</v>
      </c>
      <c r="CI850" s="76"/>
      <c r="CJ850" s="76">
        <f>+CI850*26000</f>
        <v>0</v>
      </c>
      <c r="CK850" s="76"/>
      <c r="CL850" s="76"/>
      <c r="CM850" s="76"/>
      <c r="CN850" s="76">
        <f>+CM850*22000</f>
        <v>0</v>
      </c>
      <c r="CO850" s="76"/>
      <c r="CP850" s="76">
        <f>+CO850*46000</f>
        <v>0</v>
      </c>
      <c r="CQ850" s="76"/>
      <c r="CR850" s="76">
        <f>+CQ850*49000</f>
        <v>0</v>
      </c>
      <c r="CS850" s="76"/>
      <c r="CT850" s="76"/>
      <c r="CU850" s="56">
        <f>AN850+AP850+AR850+AT850+AV850+AX850+AZ850+BB850+BD850+BF850+BH850+BJ850+BL850+BN850+BP850+BR850+BT850+BV850+BX850+BZ850+CB850+CD850+CF850+CH850+CJ850+CL850+CN850+CP850+CR850+CT850</f>
        <v>0</v>
      </c>
      <c r="CV850" s="76"/>
      <c r="CW850" s="76">
        <f>+CV850*1100</f>
        <v>0</v>
      </c>
      <c r="CX850" s="76"/>
      <c r="CY850" s="76">
        <f>+CX850*106250</f>
        <v>0</v>
      </c>
      <c r="CZ850" s="76"/>
      <c r="DA850" s="76">
        <f>+CZ850*34500</f>
        <v>0</v>
      </c>
      <c r="DB850" s="76"/>
      <c r="DC850" s="76">
        <f>+DB850*25000</f>
        <v>0</v>
      </c>
      <c r="DD850" s="219"/>
      <c r="DE850" s="219"/>
      <c r="DF850" s="166"/>
      <c r="DG850" s="116"/>
      <c r="DH850" s="117"/>
      <c r="DI850" s="24"/>
      <c r="DJ850" s="24"/>
      <c r="DK850" s="24"/>
      <c r="DL850" s="24"/>
      <c r="DM850" s="24"/>
      <c r="DN850" s="24"/>
      <c r="DO850" s="24"/>
      <c r="DP850" s="24"/>
      <c r="DQ850" s="24"/>
      <c r="DR850" s="24"/>
      <c r="DS850" s="24"/>
      <c r="DT850" s="24"/>
      <c r="DU850" s="24"/>
    </row>
    <row r="851" spans="1:125" s="8" customFormat="1" ht="288" x14ac:dyDescent="0.2">
      <c r="A851" s="77">
        <v>41322</v>
      </c>
      <c r="B851" s="352" t="s">
        <v>2847</v>
      </c>
      <c r="C851" s="354" t="s">
        <v>2814</v>
      </c>
      <c r="D851" s="84" t="s">
        <v>3088</v>
      </c>
      <c r="E851" s="75" t="str">
        <f>VLOOKUP(B851&amp;C851,Divipola!$C$2:$F$1138,4,FALSE)</f>
        <v>68307</v>
      </c>
      <c r="F851" s="100"/>
      <c r="G851" s="100"/>
      <c r="H851" s="100"/>
      <c r="I851" s="100">
        <v>312</v>
      </c>
      <c r="J851" s="100">
        <v>79</v>
      </c>
      <c r="K851" s="100">
        <v>1</v>
      </c>
      <c r="L851" s="100">
        <v>75</v>
      </c>
      <c r="M851" s="100">
        <v>1</v>
      </c>
      <c r="N851" s="100"/>
      <c r="O851" s="100">
        <v>6</v>
      </c>
      <c r="P851" s="100">
        <v>1</v>
      </c>
      <c r="Q851" s="100"/>
      <c r="R851" s="100"/>
      <c r="S851" s="100"/>
      <c r="T851" s="100"/>
      <c r="U851" s="136"/>
      <c r="V851" s="89"/>
      <c r="W851" s="96">
        <f>5400000+3600000</f>
        <v>9000000</v>
      </c>
      <c r="X851" s="71">
        <f>CU851</f>
        <v>28800000</v>
      </c>
      <c r="Y851" s="71">
        <f>CY851</f>
        <v>10555000</v>
      </c>
      <c r="Z851" s="71">
        <f>DA851+DC851+DE851</f>
        <v>0</v>
      </c>
      <c r="AA851" s="71">
        <f>CW851</f>
        <v>0</v>
      </c>
      <c r="AB851" s="71">
        <f>25932841.68+9924960</f>
        <v>35857801.68</v>
      </c>
      <c r="AC851" s="71">
        <v>0</v>
      </c>
      <c r="AD851" s="71">
        <f>W851+X851+Y851+Z851+AA851+AB851+AC851</f>
        <v>84212801.680000007</v>
      </c>
      <c r="AE851" s="72">
        <v>0</v>
      </c>
      <c r="AF851" s="5"/>
      <c r="AG851" s="6"/>
      <c r="AH851" s="27" t="s">
        <v>3390</v>
      </c>
      <c r="AI851" s="44" t="s">
        <v>3391</v>
      </c>
      <c r="AJ851" s="26"/>
      <c r="AK851" s="5"/>
      <c r="AL851" s="82" t="s">
        <v>6471</v>
      </c>
      <c r="AM851" s="76"/>
      <c r="AN851" s="76"/>
      <c r="AO851" s="76"/>
      <c r="AP851" s="76"/>
      <c r="AQ851" s="76"/>
      <c r="AR851" s="76"/>
      <c r="AS851" s="76"/>
      <c r="AT851" s="76"/>
      <c r="AU851" s="76"/>
      <c r="AV851" s="76"/>
      <c r="AW851" s="76"/>
      <c r="AX851" s="76">
        <f>+AW851*600000</f>
        <v>0</v>
      </c>
      <c r="AY851" s="86">
        <v>300</v>
      </c>
      <c r="AZ851" s="86">
        <f>+AY851*70000</f>
        <v>21000000</v>
      </c>
      <c r="BA851" s="76"/>
      <c r="BB851" s="76"/>
      <c r="BC851" s="76"/>
      <c r="BD851" s="76">
        <f>+BC851*30000</f>
        <v>0</v>
      </c>
      <c r="BE851" s="76"/>
      <c r="BF851" s="76"/>
      <c r="BG851" s="76"/>
      <c r="BH851" s="76"/>
      <c r="BI851" s="76"/>
      <c r="BJ851" s="76"/>
      <c r="BK851" s="76"/>
      <c r="BL851" s="76">
        <f>+BK851*31500</f>
        <v>0</v>
      </c>
      <c r="BM851" s="76"/>
      <c r="BN851" s="76"/>
      <c r="BO851" s="76"/>
      <c r="BP851" s="76"/>
      <c r="BQ851" s="76"/>
      <c r="BR851" s="76"/>
      <c r="BS851" s="76"/>
      <c r="BT851" s="76"/>
      <c r="BU851" s="76"/>
      <c r="BV851" s="76"/>
      <c r="BW851" s="76"/>
      <c r="BX851" s="76"/>
      <c r="BY851" s="76"/>
      <c r="BZ851" s="76"/>
      <c r="CA851" s="76"/>
      <c r="CB851" s="76"/>
      <c r="CC851" s="76"/>
      <c r="CD851" s="76"/>
      <c r="CE851" s="76"/>
      <c r="CF851" s="76">
        <f>+CE851*28000</f>
        <v>0</v>
      </c>
      <c r="CG851" s="76"/>
      <c r="CH851" s="76">
        <f>+CG851*22500</f>
        <v>0</v>
      </c>
      <c r="CI851" s="86">
        <v>300</v>
      </c>
      <c r="CJ851" s="86">
        <f>+CI851*26000</f>
        <v>7800000</v>
      </c>
      <c r="CK851" s="76"/>
      <c r="CL851" s="76"/>
      <c r="CM851" s="76"/>
      <c r="CN851" s="76">
        <f>+CM851*22000</f>
        <v>0</v>
      </c>
      <c r="CO851" s="76"/>
      <c r="CP851" s="76">
        <f>+CO851*46000</f>
        <v>0</v>
      </c>
      <c r="CQ851" s="76"/>
      <c r="CR851" s="76">
        <f>+CQ851*49000</f>
        <v>0</v>
      </c>
      <c r="CS851" s="76"/>
      <c r="CT851" s="76"/>
      <c r="CU851" s="56">
        <f>AN851+AP851+AR851+AT851+AV851+AX851+AZ851+BB851+BD851+BF851+BH851+BJ851+BL851+BN851+BP851+BR851+BT851+BV851+BX851+BZ851+CB851+CD851+CF851+CH851+CJ851+CL851+CN851+CP851+CR851+CT851</f>
        <v>28800000</v>
      </c>
      <c r="CV851" s="76"/>
      <c r="CW851" s="76">
        <f>+CV851*1100</f>
        <v>0</v>
      </c>
      <c r="CX851" s="86">
        <v>100</v>
      </c>
      <c r="CY851" s="86">
        <f>100*105550</f>
        <v>10555000</v>
      </c>
      <c r="CZ851" s="86"/>
      <c r="DA851" s="76">
        <f>+CZ851*34500</f>
        <v>0</v>
      </c>
      <c r="DB851" s="76"/>
      <c r="DC851" s="76">
        <f>+DB851*25000</f>
        <v>0</v>
      </c>
      <c r="DD851" s="219"/>
      <c r="DE851" s="219"/>
      <c r="DF851" s="166"/>
      <c r="DG851" s="192" t="s">
        <v>6470</v>
      </c>
      <c r="DH851" s="117"/>
      <c r="DI851" s="24"/>
      <c r="DJ851" s="24"/>
      <c r="DK851" s="24"/>
      <c r="DL851" s="24"/>
      <c r="DM851" s="24"/>
      <c r="DN851" s="24"/>
      <c r="DO851" s="24"/>
      <c r="DP851" s="24"/>
      <c r="DQ851" s="24"/>
      <c r="DR851" s="24"/>
      <c r="DS851" s="24"/>
      <c r="DT851" s="24"/>
      <c r="DU851" s="24"/>
    </row>
    <row r="852" spans="1:125" s="8" customFormat="1" ht="252" x14ac:dyDescent="0.2">
      <c r="A852" s="77">
        <v>41322</v>
      </c>
      <c r="B852" s="78" t="s">
        <v>2847</v>
      </c>
      <c r="C852" s="75" t="s">
        <v>479</v>
      </c>
      <c r="D852" s="84" t="s">
        <v>3088</v>
      </c>
      <c r="E852" s="75" t="str">
        <f>VLOOKUP(B852&amp;C852,Divipola!$C$2:$F$1138,4,FALSE)</f>
        <v>68547</v>
      </c>
      <c r="F852" s="87"/>
      <c r="G852" s="87"/>
      <c r="H852" s="87"/>
      <c r="I852" s="87">
        <v>360</v>
      </c>
      <c r="J852" s="87">
        <v>90</v>
      </c>
      <c r="K852" s="87"/>
      <c r="L852" s="87">
        <v>85</v>
      </c>
      <c r="M852" s="87"/>
      <c r="N852" s="87"/>
      <c r="O852" s="87"/>
      <c r="P852" s="87">
        <v>5</v>
      </c>
      <c r="Q852" s="87"/>
      <c r="R852" s="87"/>
      <c r="S852" s="87"/>
      <c r="T852" s="87"/>
      <c r="U852" s="88"/>
      <c r="V852" s="89"/>
      <c r="W852" s="96">
        <v>21300000</v>
      </c>
      <c r="X852" s="71">
        <f>CU852</f>
        <v>5600000</v>
      </c>
      <c r="Y852" s="71">
        <f>CY852</f>
        <v>37998000</v>
      </c>
      <c r="Z852" s="71">
        <f>DA852+DC852+DE852</f>
        <v>23142000</v>
      </c>
      <c r="AA852" s="71">
        <f>CW852</f>
        <v>0</v>
      </c>
      <c r="AB852" s="71"/>
      <c r="AC852" s="71">
        <v>0</v>
      </c>
      <c r="AD852" s="71">
        <f>W852+X852+Y852+Z852+AA852+AB852+AC852</f>
        <v>88040000</v>
      </c>
      <c r="AE852" s="72">
        <v>0</v>
      </c>
      <c r="AF852" s="5"/>
      <c r="AG852" s="6"/>
      <c r="AH852" s="27" t="s">
        <v>3390</v>
      </c>
      <c r="AI852" s="44" t="s">
        <v>3391</v>
      </c>
      <c r="AJ852" s="26"/>
      <c r="AK852" s="5"/>
      <c r="AL852" s="82" t="s">
        <v>5928</v>
      </c>
      <c r="AM852" s="76"/>
      <c r="AN852" s="76"/>
      <c r="AO852" s="76"/>
      <c r="AP852" s="76"/>
      <c r="AQ852" s="76"/>
      <c r="AR852" s="76"/>
      <c r="AS852" s="76"/>
      <c r="AT852" s="76"/>
      <c r="AU852" s="76"/>
      <c r="AV852" s="76"/>
      <c r="AW852" s="76"/>
      <c r="AX852" s="76">
        <f>+AW852*600000</f>
        <v>0</v>
      </c>
      <c r="AY852" s="86">
        <v>80</v>
      </c>
      <c r="AZ852" s="86">
        <f>80*70000</f>
        <v>5600000</v>
      </c>
      <c r="BA852" s="76"/>
      <c r="BB852" s="76"/>
      <c r="BC852" s="76"/>
      <c r="BD852" s="76">
        <f>+BC852*30000</f>
        <v>0</v>
      </c>
      <c r="BE852" s="76"/>
      <c r="BF852" s="76"/>
      <c r="BG852" s="76"/>
      <c r="BH852" s="76"/>
      <c r="BI852" s="76"/>
      <c r="BJ852" s="76"/>
      <c r="BK852" s="76"/>
      <c r="BL852" s="76">
        <f>+BK852*31500</f>
        <v>0</v>
      </c>
      <c r="BM852" s="76"/>
      <c r="BN852" s="76"/>
      <c r="BO852" s="76"/>
      <c r="BP852" s="76"/>
      <c r="BQ852" s="76"/>
      <c r="BR852" s="76"/>
      <c r="BS852" s="76"/>
      <c r="BT852" s="76"/>
      <c r="BU852" s="76"/>
      <c r="BV852" s="76"/>
      <c r="BW852" s="76"/>
      <c r="BX852" s="76"/>
      <c r="BY852" s="76"/>
      <c r="BZ852" s="76"/>
      <c r="CA852" s="76"/>
      <c r="CB852" s="76"/>
      <c r="CC852" s="76"/>
      <c r="CD852" s="76"/>
      <c r="CE852" s="76"/>
      <c r="CF852" s="76">
        <f>+CE852*28000</f>
        <v>0</v>
      </c>
      <c r="CG852" s="76"/>
      <c r="CH852" s="76">
        <f>+CG852*22500</f>
        <v>0</v>
      </c>
      <c r="CI852" s="76"/>
      <c r="CJ852" s="76">
        <f>+CI852*26000</f>
        <v>0</v>
      </c>
      <c r="CK852" s="76"/>
      <c r="CL852" s="76"/>
      <c r="CM852" s="76"/>
      <c r="CN852" s="76">
        <f>+CM852*22000</f>
        <v>0</v>
      </c>
      <c r="CO852" s="76"/>
      <c r="CP852" s="76">
        <f>+CO852*46000</f>
        <v>0</v>
      </c>
      <c r="CQ852" s="76"/>
      <c r="CR852" s="76">
        <f>+CQ852*49000</f>
        <v>0</v>
      </c>
      <c r="CS852" s="76"/>
      <c r="CT852" s="76"/>
      <c r="CU852" s="56">
        <f>AN852+AP852+AR852+AT852+AV852+AX852+AZ852+BB852+BD852+BF852+BH852+BJ852+BL852+BN852+BP852+BR852+BT852+BV852+BX852+BZ852+CB852+CD852+CF852+CH852+CJ852+CL852+CN852+CP852+CR852+CT852</f>
        <v>5600000</v>
      </c>
      <c r="CV852" s="76"/>
      <c r="CW852" s="76">
        <f>+CV852*1100</f>
        <v>0</v>
      </c>
      <c r="CX852" s="86">
        <v>360</v>
      </c>
      <c r="CY852" s="86">
        <f>360*105550</f>
        <v>37998000</v>
      </c>
      <c r="CZ852" s="76"/>
      <c r="DA852" s="76">
        <f>+CZ852*34500</f>
        <v>0</v>
      </c>
      <c r="DB852" s="86">
        <v>690</v>
      </c>
      <c r="DC852" s="86">
        <f>600*31000+2400*400+90*39800</f>
        <v>23142000</v>
      </c>
      <c r="DD852" s="219"/>
      <c r="DE852" s="219"/>
      <c r="DF852" s="166"/>
      <c r="DG852" s="134" t="s">
        <v>4796</v>
      </c>
      <c r="DH852" s="117"/>
      <c r="DI852" s="24"/>
      <c r="DJ852" s="24"/>
      <c r="DK852" s="24"/>
      <c r="DL852" s="24"/>
      <c r="DM852" s="24"/>
      <c r="DN852" s="24"/>
      <c r="DO852" s="24"/>
      <c r="DP852" s="24"/>
      <c r="DQ852" s="24"/>
      <c r="DR852" s="24"/>
      <c r="DS852" s="24"/>
      <c r="DT852" s="24"/>
      <c r="DU852" s="24"/>
    </row>
    <row r="853" spans="1:125" s="8" customFormat="1" ht="180" x14ac:dyDescent="0.2">
      <c r="A853" s="77">
        <v>41322</v>
      </c>
      <c r="B853" s="78" t="s">
        <v>2848</v>
      </c>
      <c r="C853" s="75" t="s">
        <v>2675</v>
      </c>
      <c r="D853" s="75" t="s">
        <v>3051</v>
      </c>
      <c r="E853" s="75" t="str">
        <f>VLOOKUP(B853&amp;C853,Divipola!$C$2:$F$1138,4,FALSE)</f>
        <v>73349</v>
      </c>
      <c r="F853" s="87"/>
      <c r="G853" s="87"/>
      <c r="H853" s="87"/>
      <c r="I853" s="87">
        <v>20</v>
      </c>
      <c r="J853" s="87">
        <v>4</v>
      </c>
      <c r="K853" s="87">
        <v>4</v>
      </c>
      <c r="L853" s="87"/>
      <c r="M853" s="87"/>
      <c r="N853" s="87">
        <v>3</v>
      </c>
      <c r="O853" s="87"/>
      <c r="P853" s="87">
        <v>1</v>
      </c>
      <c r="Q853" s="87"/>
      <c r="R853" s="87"/>
      <c r="S853" s="87"/>
      <c r="T853" s="87"/>
      <c r="U853" s="88"/>
      <c r="V853" s="89"/>
      <c r="W853" s="96">
        <v>0</v>
      </c>
      <c r="X853" s="71">
        <f>CU853</f>
        <v>0</v>
      </c>
      <c r="Y853" s="71">
        <f>CY853</f>
        <v>0</v>
      </c>
      <c r="Z853" s="71">
        <f>DA853+DC853+DE853</f>
        <v>0</v>
      </c>
      <c r="AA853" s="71">
        <f>CW853</f>
        <v>0</v>
      </c>
      <c r="AB853" s="71"/>
      <c r="AC853" s="71">
        <v>800000000</v>
      </c>
      <c r="AD853" s="71">
        <f>W853+X853+Y853+Z853+AA853+AB853+AC853</f>
        <v>800000000</v>
      </c>
      <c r="AE853" s="72">
        <v>0</v>
      </c>
      <c r="AF853" s="5"/>
      <c r="AG853" s="6"/>
      <c r="AH853" s="27" t="s">
        <v>3392</v>
      </c>
      <c r="AI853" s="44" t="s">
        <v>3393</v>
      </c>
      <c r="AJ853" s="26"/>
      <c r="AK853" s="5"/>
      <c r="AL853" s="82" t="s">
        <v>6246</v>
      </c>
      <c r="AM853" s="76"/>
      <c r="AN853" s="76"/>
      <c r="AO853" s="76"/>
      <c r="AP853" s="76"/>
      <c r="AQ853" s="76"/>
      <c r="AR853" s="76"/>
      <c r="AS853" s="76"/>
      <c r="AT853" s="76"/>
      <c r="AU853" s="76"/>
      <c r="AV853" s="76"/>
      <c r="AW853" s="76"/>
      <c r="AX853" s="76">
        <f>+AW853*600000</f>
        <v>0</v>
      </c>
      <c r="AY853" s="76"/>
      <c r="AZ853" s="76">
        <f>+AY853*70000</f>
        <v>0</v>
      </c>
      <c r="BA853" s="76"/>
      <c r="BB853" s="76"/>
      <c r="BC853" s="76"/>
      <c r="BD853" s="76">
        <f>+BC853*30000</f>
        <v>0</v>
      </c>
      <c r="BE853" s="76"/>
      <c r="BF853" s="76"/>
      <c r="BG853" s="76"/>
      <c r="BH853" s="76"/>
      <c r="BI853" s="76"/>
      <c r="BJ853" s="76"/>
      <c r="BK853" s="76"/>
      <c r="BL853" s="76">
        <f>+BK853*31500</f>
        <v>0</v>
      </c>
      <c r="BM853" s="76"/>
      <c r="BN853" s="76"/>
      <c r="BO853" s="76"/>
      <c r="BP853" s="76"/>
      <c r="BQ853" s="76"/>
      <c r="BR853" s="76"/>
      <c r="BS853" s="76"/>
      <c r="BT853" s="76"/>
      <c r="BU853" s="76"/>
      <c r="BV853" s="76"/>
      <c r="BW853" s="76"/>
      <c r="BX853" s="76"/>
      <c r="BY853" s="76"/>
      <c r="BZ853" s="76"/>
      <c r="CA853" s="76"/>
      <c r="CB853" s="76"/>
      <c r="CC853" s="76"/>
      <c r="CD853" s="76"/>
      <c r="CE853" s="76"/>
      <c r="CF853" s="76">
        <f>+CE853*28000</f>
        <v>0</v>
      </c>
      <c r="CG853" s="76"/>
      <c r="CH853" s="76">
        <f>+CG853*22500</f>
        <v>0</v>
      </c>
      <c r="CI853" s="76"/>
      <c r="CJ853" s="76">
        <f>+CI853*26000</f>
        <v>0</v>
      </c>
      <c r="CK853" s="76"/>
      <c r="CL853" s="76"/>
      <c r="CM853" s="76"/>
      <c r="CN853" s="76">
        <f>+CM853*22000</f>
        <v>0</v>
      </c>
      <c r="CO853" s="76"/>
      <c r="CP853" s="76">
        <f>+CO853*46000</f>
        <v>0</v>
      </c>
      <c r="CQ853" s="76"/>
      <c r="CR853" s="76">
        <f>+CQ853*49000</f>
        <v>0</v>
      </c>
      <c r="CS853" s="76"/>
      <c r="CT853" s="76"/>
      <c r="CU853" s="56">
        <f>AN853+AP853+AR853+AT853+AV853+AX853+AZ853+BB853+BD853+BF853+BH853+BJ853+BL853+BN853+BP853+BR853+BT853+BV853+BX853+BZ853+CB853+CD853+CF853+CH853+CJ853+CL853+CN853+CP853+CR853+CT853</f>
        <v>0</v>
      </c>
      <c r="CV853" s="76"/>
      <c r="CW853" s="76">
        <f>+CV853*1100</f>
        <v>0</v>
      </c>
      <c r="CX853" s="76"/>
      <c r="CY853" s="76">
        <f>+CX853*106250</f>
        <v>0</v>
      </c>
      <c r="CZ853" s="76"/>
      <c r="DA853" s="76">
        <f>+CZ853*34500</f>
        <v>0</v>
      </c>
      <c r="DB853" s="76"/>
      <c r="DC853" s="76">
        <f>+DB853*25000</f>
        <v>0</v>
      </c>
      <c r="DD853" s="219"/>
      <c r="DE853" s="219"/>
      <c r="DF853" s="166"/>
      <c r="DG853" s="116"/>
      <c r="DH853" s="117"/>
      <c r="DI853" s="24"/>
      <c r="DJ853" s="24"/>
      <c r="DK853" s="24"/>
      <c r="DL853" s="24"/>
      <c r="DM853" s="24"/>
      <c r="DN853" s="24"/>
      <c r="DO853" s="24"/>
      <c r="DP853" s="24"/>
      <c r="DQ853" s="24"/>
      <c r="DR853" s="24"/>
      <c r="DS853" s="24"/>
      <c r="DT853" s="24"/>
      <c r="DU853" s="24"/>
    </row>
    <row r="854" spans="1:125" s="8" customFormat="1" ht="72" x14ac:dyDescent="0.2">
      <c r="A854" s="77">
        <v>41322</v>
      </c>
      <c r="B854" s="78" t="s">
        <v>2851</v>
      </c>
      <c r="C854" s="75" t="s">
        <v>1939</v>
      </c>
      <c r="D854" s="75" t="s">
        <v>2882</v>
      </c>
      <c r="E854" s="75" t="str">
        <f>VLOOKUP(B854&amp;C854,Divipola!$C$2:$F$1138,4,FALSE)</f>
        <v>76126</v>
      </c>
      <c r="F854" s="163"/>
      <c r="G854" s="163"/>
      <c r="H854" s="163"/>
      <c r="I854" s="163">
        <v>115</v>
      </c>
      <c r="J854" s="163">
        <v>23</v>
      </c>
      <c r="K854" s="163"/>
      <c r="L854" s="163"/>
      <c r="M854" s="163">
        <v>23</v>
      </c>
      <c r="N854" s="163"/>
      <c r="O854" s="163"/>
      <c r="P854" s="163"/>
      <c r="Q854" s="163"/>
      <c r="R854" s="163"/>
      <c r="S854" s="163"/>
      <c r="T854" s="163"/>
      <c r="U854" s="163"/>
      <c r="V854" s="134"/>
      <c r="W854" s="96">
        <v>0</v>
      </c>
      <c r="X854" s="71">
        <f>CU854</f>
        <v>0</v>
      </c>
      <c r="Y854" s="71">
        <f>CY854</f>
        <v>0</v>
      </c>
      <c r="Z854" s="71">
        <f>DA854+DC854+DE854</f>
        <v>0</v>
      </c>
      <c r="AA854" s="71">
        <f>CW854</f>
        <v>0</v>
      </c>
      <c r="AB854" s="71"/>
      <c r="AC854" s="71">
        <v>0</v>
      </c>
      <c r="AD854" s="71">
        <f>W854+X854+Y854+Z854+AA854+AB854+AC854</f>
        <v>0</v>
      </c>
      <c r="AE854" s="72">
        <v>0</v>
      </c>
      <c r="AF854" s="5"/>
      <c r="AG854" s="6"/>
      <c r="AH854" s="27" t="s">
        <v>3390</v>
      </c>
      <c r="AI854" s="44" t="s">
        <v>3393</v>
      </c>
      <c r="AJ854" s="26"/>
      <c r="AK854" s="5" t="s">
        <v>4242</v>
      </c>
      <c r="AL854" s="82" t="s">
        <v>4215</v>
      </c>
      <c r="AM854" s="76"/>
      <c r="AN854" s="76"/>
      <c r="AO854" s="76"/>
      <c r="AP854" s="76"/>
      <c r="AQ854" s="76"/>
      <c r="AR854" s="76"/>
      <c r="AS854" s="76"/>
      <c r="AT854" s="76"/>
      <c r="AU854" s="76"/>
      <c r="AV854" s="76"/>
      <c r="AW854" s="76"/>
      <c r="AX854" s="76">
        <f>+AW854*600000</f>
        <v>0</v>
      </c>
      <c r="AY854" s="76"/>
      <c r="AZ854" s="76">
        <f>+AY854*70000</f>
        <v>0</v>
      </c>
      <c r="BA854" s="76"/>
      <c r="BB854" s="76"/>
      <c r="BC854" s="76"/>
      <c r="BD854" s="76">
        <f>+BC854*30000</f>
        <v>0</v>
      </c>
      <c r="BE854" s="76"/>
      <c r="BF854" s="76"/>
      <c r="BG854" s="76"/>
      <c r="BH854" s="76"/>
      <c r="BI854" s="76"/>
      <c r="BJ854" s="76"/>
      <c r="BK854" s="76"/>
      <c r="BL854" s="76">
        <f>+BK854*31500</f>
        <v>0</v>
      </c>
      <c r="BM854" s="76"/>
      <c r="BN854" s="76"/>
      <c r="BO854" s="76"/>
      <c r="BP854" s="76"/>
      <c r="BQ854" s="76"/>
      <c r="BR854" s="76"/>
      <c r="BS854" s="76"/>
      <c r="BT854" s="76"/>
      <c r="BU854" s="76"/>
      <c r="BV854" s="76"/>
      <c r="BW854" s="76"/>
      <c r="BX854" s="76"/>
      <c r="BY854" s="76"/>
      <c r="BZ854" s="76"/>
      <c r="CA854" s="76"/>
      <c r="CB854" s="76"/>
      <c r="CC854" s="76"/>
      <c r="CD854" s="76"/>
      <c r="CE854" s="76"/>
      <c r="CF854" s="76">
        <f>+CE854*28000</f>
        <v>0</v>
      </c>
      <c r="CG854" s="76"/>
      <c r="CH854" s="76">
        <f>+CG854*22500</f>
        <v>0</v>
      </c>
      <c r="CI854" s="76"/>
      <c r="CJ854" s="76">
        <f>+CI854*26000</f>
        <v>0</v>
      </c>
      <c r="CK854" s="76"/>
      <c r="CL854" s="76"/>
      <c r="CM854" s="76"/>
      <c r="CN854" s="76">
        <f>+CM854*22000</f>
        <v>0</v>
      </c>
      <c r="CO854" s="76"/>
      <c r="CP854" s="76">
        <f>+CO854*46000</f>
        <v>0</v>
      </c>
      <c r="CQ854" s="76"/>
      <c r="CR854" s="76">
        <f>+CQ854*49000</f>
        <v>0</v>
      </c>
      <c r="CS854" s="76"/>
      <c r="CT854" s="76"/>
      <c r="CU854" s="56">
        <f>AN854+AP854+AR854+AT854+AV854+AX854+AZ854+BB854+BD854+BF854+BH854+BJ854+BL854+BN854+BP854+BR854+BT854+BV854+BX854+BZ854+CB854+CD854+CF854+CH854+CJ854+CL854+CN854+CP854+CR854+CT854</f>
        <v>0</v>
      </c>
      <c r="CV854" s="76"/>
      <c r="CW854" s="76">
        <f>+CV854*1100</f>
        <v>0</v>
      </c>
      <c r="CX854" s="76"/>
      <c r="CY854" s="76">
        <f>+CX854*106250</f>
        <v>0</v>
      </c>
      <c r="CZ854" s="76"/>
      <c r="DA854" s="76">
        <f>+CZ854*34500</f>
        <v>0</v>
      </c>
      <c r="DB854" s="76"/>
      <c r="DC854" s="76">
        <f>+DB854*25000</f>
        <v>0</v>
      </c>
      <c r="DD854" s="219"/>
      <c r="DE854" s="219"/>
      <c r="DF854" s="166"/>
      <c r="DG854" s="116"/>
      <c r="DH854" s="117"/>
      <c r="DI854" s="24"/>
      <c r="DJ854" s="24"/>
      <c r="DK854" s="24"/>
      <c r="DL854" s="24"/>
      <c r="DM854" s="24"/>
      <c r="DN854" s="24"/>
      <c r="DO854" s="24"/>
      <c r="DP854" s="24"/>
      <c r="DQ854" s="24"/>
      <c r="DR854" s="24"/>
      <c r="DS854" s="24"/>
      <c r="DT854" s="24"/>
      <c r="DU854" s="24"/>
    </row>
    <row r="855" spans="1:125" s="8" customFormat="1" ht="36" x14ac:dyDescent="0.2">
      <c r="A855" s="77">
        <v>41323</v>
      </c>
      <c r="B855" s="78" t="s">
        <v>2778</v>
      </c>
      <c r="C855" s="75" t="s">
        <v>2194</v>
      </c>
      <c r="D855" s="81" t="s">
        <v>2846</v>
      </c>
      <c r="E855" s="75" t="str">
        <f>VLOOKUP(B855&amp;C855,Divipola!$C$2:$F$1138,4,FALSE)</f>
        <v>85010</v>
      </c>
      <c r="F855" s="87"/>
      <c r="G855" s="87"/>
      <c r="H855" s="87"/>
      <c r="I855" s="87"/>
      <c r="J855" s="87"/>
      <c r="K855" s="87"/>
      <c r="L855" s="87"/>
      <c r="M855" s="87"/>
      <c r="N855" s="87"/>
      <c r="O855" s="87"/>
      <c r="P855" s="87"/>
      <c r="Q855" s="87"/>
      <c r="R855" s="87"/>
      <c r="S855" s="87"/>
      <c r="T855" s="87"/>
      <c r="U855" s="88">
        <v>2</v>
      </c>
      <c r="V855" s="89"/>
      <c r="W855" s="96">
        <v>0</v>
      </c>
      <c r="X855" s="71">
        <f>CU855</f>
        <v>0</v>
      </c>
      <c r="Y855" s="71">
        <f>CY855</f>
        <v>0</v>
      </c>
      <c r="Z855" s="71">
        <f>DA855+DC855+DE855</f>
        <v>0</v>
      </c>
      <c r="AA855" s="71">
        <f>CW855</f>
        <v>0</v>
      </c>
      <c r="AB855" s="71"/>
      <c r="AC855" s="71">
        <v>0</v>
      </c>
      <c r="AD855" s="71">
        <f>W855+X855+Y855+Z855+AA855+AB855+AC855</f>
        <v>0</v>
      </c>
      <c r="AE855" s="72">
        <v>0</v>
      </c>
      <c r="AF855" s="5"/>
      <c r="AG855" s="6"/>
      <c r="AH855" s="27" t="s">
        <v>3392</v>
      </c>
      <c r="AI855" s="44" t="s">
        <v>3393</v>
      </c>
      <c r="AJ855" s="26"/>
      <c r="AK855" s="5"/>
      <c r="AL855" s="82" t="s">
        <v>3575</v>
      </c>
      <c r="AM855" s="76"/>
      <c r="AN855" s="76"/>
      <c r="AO855" s="76"/>
      <c r="AP855" s="76"/>
      <c r="AQ855" s="76"/>
      <c r="AR855" s="76"/>
      <c r="AS855" s="76"/>
      <c r="AT855" s="76"/>
      <c r="AU855" s="76"/>
      <c r="AV855" s="76"/>
      <c r="AW855" s="76"/>
      <c r="AX855" s="76">
        <f>+AW855*600000</f>
        <v>0</v>
      </c>
      <c r="AY855" s="76"/>
      <c r="AZ855" s="76">
        <f>+AY855*70000</f>
        <v>0</v>
      </c>
      <c r="BA855" s="76"/>
      <c r="BB855" s="76"/>
      <c r="BC855" s="76"/>
      <c r="BD855" s="76">
        <f>+BC855*30000</f>
        <v>0</v>
      </c>
      <c r="BE855" s="76"/>
      <c r="BF855" s="76"/>
      <c r="BG855" s="76"/>
      <c r="BH855" s="76"/>
      <c r="BI855" s="76"/>
      <c r="BJ855" s="76"/>
      <c r="BK855" s="76"/>
      <c r="BL855" s="76">
        <f>+BK855*31500</f>
        <v>0</v>
      </c>
      <c r="BM855" s="76"/>
      <c r="BN855" s="76"/>
      <c r="BO855" s="76"/>
      <c r="BP855" s="76"/>
      <c r="BQ855" s="76"/>
      <c r="BR855" s="76"/>
      <c r="BS855" s="76"/>
      <c r="BT855" s="76"/>
      <c r="BU855" s="76"/>
      <c r="BV855" s="76"/>
      <c r="BW855" s="76"/>
      <c r="BX855" s="76"/>
      <c r="BY855" s="76"/>
      <c r="BZ855" s="76"/>
      <c r="CA855" s="76"/>
      <c r="CB855" s="76"/>
      <c r="CC855" s="76"/>
      <c r="CD855" s="76"/>
      <c r="CE855" s="76"/>
      <c r="CF855" s="76">
        <f>+CE855*28000</f>
        <v>0</v>
      </c>
      <c r="CG855" s="76"/>
      <c r="CH855" s="76">
        <f>+CG855*22500</f>
        <v>0</v>
      </c>
      <c r="CI855" s="76"/>
      <c r="CJ855" s="76">
        <f>+CI855*26000</f>
        <v>0</v>
      </c>
      <c r="CK855" s="76"/>
      <c r="CL855" s="76"/>
      <c r="CM855" s="76"/>
      <c r="CN855" s="76">
        <f>+CM855*22000</f>
        <v>0</v>
      </c>
      <c r="CO855" s="76"/>
      <c r="CP855" s="76">
        <f>+CO855*46000</f>
        <v>0</v>
      </c>
      <c r="CQ855" s="76"/>
      <c r="CR855" s="76">
        <f>+CQ855*49000</f>
        <v>0</v>
      </c>
      <c r="CS855" s="76"/>
      <c r="CT855" s="76"/>
      <c r="CU855" s="56">
        <f>AN855+AP855+AR855+AT855+AV855+AX855+AZ855+BB855+BD855+BF855+BH855+BJ855+BL855+BN855+BP855+BR855+BT855+BV855+BX855+BZ855+CB855+CD855+CF855+CH855+CJ855+CL855+CN855+CP855+CR855+CT855</f>
        <v>0</v>
      </c>
      <c r="CV855" s="76"/>
      <c r="CW855" s="76">
        <f>+CV855*1100</f>
        <v>0</v>
      </c>
      <c r="CX855" s="76"/>
      <c r="CY855" s="76">
        <f>+CX855*106250</f>
        <v>0</v>
      </c>
      <c r="CZ855" s="76"/>
      <c r="DA855" s="76">
        <f>+CZ855*34500</f>
        <v>0</v>
      </c>
      <c r="DB855" s="76"/>
      <c r="DC855" s="76">
        <f>+DB855*25000</f>
        <v>0</v>
      </c>
      <c r="DD855" s="219"/>
      <c r="DE855" s="219"/>
      <c r="DF855" s="166"/>
      <c r="DG855" s="116"/>
      <c r="DH855" s="117"/>
      <c r="DI855" s="24"/>
      <c r="DJ855" s="24"/>
      <c r="DK855" s="24"/>
      <c r="DL855" s="24"/>
      <c r="DM855" s="24"/>
      <c r="DN855" s="24"/>
      <c r="DO855" s="24"/>
      <c r="DP855" s="24"/>
      <c r="DQ855" s="24"/>
      <c r="DR855" s="24"/>
      <c r="DS855" s="24"/>
      <c r="DT855" s="24"/>
      <c r="DU855" s="24"/>
    </row>
    <row r="856" spans="1:125" s="8" customFormat="1" ht="36" x14ac:dyDescent="0.2">
      <c r="A856" s="77">
        <v>41323</v>
      </c>
      <c r="B856" s="78" t="s">
        <v>2778</v>
      </c>
      <c r="C856" s="75" t="s">
        <v>2194</v>
      </c>
      <c r="D856" s="81" t="s">
        <v>2846</v>
      </c>
      <c r="E856" s="75" t="str">
        <f>VLOOKUP(B856&amp;C856,Divipola!$C$2:$F$1138,4,FALSE)</f>
        <v>85010</v>
      </c>
      <c r="F856" s="87"/>
      <c r="G856" s="87"/>
      <c r="H856" s="87"/>
      <c r="I856" s="87"/>
      <c r="J856" s="87"/>
      <c r="K856" s="87"/>
      <c r="L856" s="87"/>
      <c r="M856" s="87"/>
      <c r="N856" s="87"/>
      <c r="O856" s="87"/>
      <c r="P856" s="87"/>
      <c r="Q856" s="87"/>
      <c r="R856" s="87"/>
      <c r="S856" s="87"/>
      <c r="T856" s="87"/>
      <c r="U856" s="88">
        <v>1</v>
      </c>
      <c r="V856" s="89"/>
      <c r="W856" s="96">
        <v>0</v>
      </c>
      <c r="X856" s="71">
        <f>CU856</f>
        <v>0</v>
      </c>
      <c r="Y856" s="71">
        <f>CY856</f>
        <v>0</v>
      </c>
      <c r="Z856" s="71">
        <f>DA856+DC856+DE856</f>
        <v>0</v>
      </c>
      <c r="AA856" s="71">
        <f>CW856</f>
        <v>0</v>
      </c>
      <c r="AB856" s="71"/>
      <c r="AC856" s="71">
        <v>0</v>
      </c>
      <c r="AD856" s="71">
        <f>W856+X856+Y856+Z856+AA856+AB856+AC856</f>
        <v>0</v>
      </c>
      <c r="AE856" s="72">
        <v>0</v>
      </c>
      <c r="AF856" s="5"/>
      <c r="AG856" s="6"/>
      <c r="AH856" s="27" t="s">
        <v>3392</v>
      </c>
      <c r="AI856" s="44" t="s">
        <v>3393</v>
      </c>
      <c r="AJ856" s="26"/>
      <c r="AK856" s="5"/>
      <c r="AL856" s="82" t="s">
        <v>3576</v>
      </c>
      <c r="AM856" s="76"/>
      <c r="AN856" s="76"/>
      <c r="AO856" s="76"/>
      <c r="AP856" s="76"/>
      <c r="AQ856" s="76"/>
      <c r="AR856" s="76"/>
      <c r="AS856" s="76"/>
      <c r="AT856" s="76"/>
      <c r="AU856" s="76"/>
      <c r="AV856" s="76"/>
      <c r="AW856" s="76"/>
      <c r="AX856" s="76">
        <f>+AW856*600000</f>
        <v>0</v>
      </c>
      <c r="AY856" s="76"/>
      <c r="AZ856" s="76">
        <f>+AY856*70000</f>
        <v>0</v>
      </c>
      <c r="BA856" s="76"/>
      <c r="BB856" s="76"/>
      <c r="BC856" s="76"/>
      <c r="BD856" s="76">
        <f>+BC856*30000</f>
        <v>0</v>
      </c>
      <c r="BE856" s="76"/>
      <c r="BF856" s="76"/>
      <c r="BG856" s="76"/>
      <c r="BH856" s="76"/>
      <c r="BI856" s="76"/>
      <c r="BJ856" s="76"/>
      <c r="BK856" s="76"/>
      <c r="BL856" s="76">
        <f>+BK856*31500</f>
        <v>0</v>
      </c>
      <c r="BM856" s="76"/>
      <c r="BN856" s="76"/>
      <c r="BO856" s="76"/>
      <c r="BP856" s="76"/>
      <c r="BQ856" s="76"/>
      <c r="BR856" s="76"/>
      <c r="BS856" s="76"/>
      <c r="BT856" s="76"/>
      <c r="BU856" s="76"/>
      <c r="BV856" s="76"/>
      <c r="BW856" s="76"/>
      <c r="BX856" s="76"/>
      <c r="BY856" s="76"/>
      <c r="BZ856" s="76"/>
      <c r="CA856" s="76"/>
      <c r="CB856" s="76"/>
      <c r="CC856" s="76"/>
      <c r="CD856" s="76"/>
      <c r="CE856" s="76"/>
      <c r="CF856" s="76">
        <f>+CE856*28000</f>
        <v>0</v>
      </c>
      <c r="CG856" s="76"/>
      <c r="CH856" s="76">
        <f>+CG856*22500</f>
        <v>0</v>
      </c>
      <c r="CI856" s="76"/>
      <c r="CJ856" s="76">
        <f>+CI856*26000</f>
        <v>0</v>
      </c>
      <c r="CK856" s="76"/>
      <c r="CL856" s="76"/>
      <c r="CM856" s="76"/>
      <c r="CN856" s="76">
        <f>+CM856*22000</f>
        <v>0</v>
      </c>
      <c r="CO856" s="76"/>
      <c r="CP856" s="76">
        <f>+CO856*46000</f>
        <v>0</v>
      </c>
      <c r="CQ856" s="76"/>
      <c r="CR856" s="76">
        <f>+CQ856*49000</f>
        <v>0</v>
      </c>
      <c r="CS856" s="76"/>
      <c r="CT856" s="76"/>
      <c r="CU856" s="56">
        <f>AN856+AP856+AR856+AT856+AV856+AX856+AZ856+BB856+BD856+BF856+BH856+BJ856+BL856+BN856+BP856+BR856+BT856+BV856+BX856+BZ856+CB856+CD856+CF856+CH856+CJ856+CL856+CN856+CP856+CR856+CT856</f>
        <v>0</v>
      </c>
      <c r="CV856" s="76"/>
      <c r="CW856" s="76">
        <f>+CV856*1100</f>
        <v>0</v>
      </c>
      <c r="CX856" s="76"/>
      <c r="CY856" s="76">
        <f>+CX856*106250</f>
        <v>0</v>
      </c>
      <c r="CZ856" s="76"/>
      <c r="DA856" s="76">
        <f>+CZ856*34500</f>
        <v>0</v>
      </c>
      <c r="DB856" s="76"/>
      <c r="DC856" s="76">
        <f>+DB856*25000</f>
        <v>0</v>
      </c>
      <c r="DD856" s="219"/>
      <c r="DE856" s="219"/>
      <c r="DF856" s="166"/>
      <c r="DG856" s="116"/>
      <c r="DH856" s="117"/>
      <c r="DI856" s="24"/>
      <c r="DJ856" s="24"/>
      <c r="DK856" s="24"/>
      <c r="DL856" s="24"/>
      <c r="DM856" s="24"/>
      <c r="DN856" s="24"/>
      <c r="DO856" s="24"/>
      <c r="DP856" s="24"/>
      <c r="DQ856" s="24"/>
      <c r="DR856" s="24"/>
      <c r="DS856" s="24"/>
      <c r="DT856" s="24"/>
      <c r="DU856" s="24"/>
    </row>
    <row r="857" spans="1:125" s="8" customFormat="1" ht="36" x14ac:dyDescent="0.2">
      <c r="A857" s="77">
        <v>41323</v>
      </c>
      <c r="B857" s="78" t="s">
        <v>2778</v>
      </c>
      <c r="C857" s="75" t="s">
        <v>2194</v>
      </c>
      <c r="D857" s="81" t="s">
        <v>2846</v>
      </c>
      <c r="E857" s="75" t="str">
        <f>VLOOKUP(B857&amp;C857,Divipola!$C$2:$F$1138,4,FALSE)</f>
        <v>85010</v>
      </c>
      <c r="F857" s="100"/>
      <c r="G857" s="100"/>
      <c r="H857" s="100"/>
      <c r="I857" s="100"/>
      <c r="J857" s="100"/>
      <c r="K857" s="100"/>
      <c r="L857" s="100"/>
      <c r="M857" s="100"/>
      <c r="N857" s="100"/>
      <c r="O857" s="100"/>
      <c r="P857" s="100"/>
      <c r="Q857" s="100"/>
      <c r="R857" s="100"/>
      <c r="S857" s="100"/>
      <c r="T857" s="100"/>
      <c r="U857" s="136">
        <v>3</v>
      </c>
      <c r="V857" s="89"/>
      <c r="W857" s="96">
        <v>0</v>
      </c>
      <c r="X857" s="71">
        <f>CU857</f>
        <v>0</v>
      </c>
      <c r="Y857" s="71">
        <f>CY857</f>
        <v>0</v>
      </c>
      <c r="Z857" s="71">
        <f>DA857+DC857+DE857</f>
        <v>0</v>
      </c>
      <c r="AA857" s="71">
        <f>CW857</f>
        <v>0</v>
      </c>
      <c r="AB857" s="71"/>
      <c r="AC857" s="71">
        <v>0</v>
      </c>
      <c r="AD857" s="71">
        <f>W857+X857+Y857+Z857+AA857+AB857+AC857</f>
        <v>0</v>
      </c>
      <c r="AE857" s="72">
        <v>0</v>
      </c>
      <c r="AF857" s="5"/>
      <c r="AG857" s="6"/>
      <c r="AH857" s="27" t="s">
        <v>3392</v>
      </c>
      <c r="AI857" s="44" t="s">
        <v>3393</v>
      </c>
      <c r="AJ857" s="26"/>
      <c r="AK857" s="5"/>
      <c r="AL857" s="82" t="s">
        <v>3577</v>
      </c>
      <c r="AM857" s="76"/>
      <c r="AN857" s="76"/>
      <c r="AO857" s="76"/>
      <c r="AP857" s="76"/>
      <c r="AQ857" s="76"/>
      <c r="AR857" s="76"/>
      <c r="AS857" s="76"/>
      <c r="AT857" s="76"/>
      <c r="AU857" s="76"/>
      <c r="AV857" s="76"/>
      <c r="AW857" s="76"/>
      <c r="AX857" s="76">
        <f>+AW857*600000</f>
        <v>0</v>
      </c>
      <c r="AY857" s="76"/>
      <c r="AZ857" s="76">
        <f>+AY857*70000</f>
        <v>0</v>
      </c>
      <c r="BA857" s="76"/>
      <c r="BB857" s="76"/>
      <c r="BC857" s="76"/>
      <c r="BD857" s="76">
        <f>+BC857*30000</f>
        <v>0</v>
      </c>
      <c r="BE857" s="76"/>
      <c r="BF857" s="76"/>
      <c r="BG857" s="76"/>
      <c r="BH857" s="76"/>
      <c r="BI857" s="76"/>
      <c r="BJ857" s="76"/>
      <c r="BK857" s="76"/>
      <c r="BL857" s="76">
        <f>+BK857*31500</f>
        <v>0</v>
      </c>
      <c r="BM857" s="76"/>
      <c r="BN857" s="76"/>
      <c r="BO857" s="76"/>
      <c r="BP857" s="76"/>
      <c r="BQ857" s="76"/>
      <c r="BR857" s="76"/>
      <c r="BS857" s="76"/>
      <c r="BT857" s="76"/>
      <c r="BU857" s="76"/>
      <c r="BV857" s="76"/>
      <c r="BW857" s="76"/>
      <c r="BX857" s="76"/>
      <c r="BY857" s="76"/>
      <c r="BZ857" s="76"/>
      <c r="CA857" s="76"/>
      <c r="CB857" s="76"/>
      <c r="CC857" s="76"/>
      <c r="CD857" s="76"/>
      <c r="CE857" s="76"/>
      <c r="CF857" s="76">
        <f>+CE857*28000</f>
        <v>0</v>
      </c>
      <c r="CG857" s="76"/>
      <c r="CH857" s="76">
        <f>+CG857*22500</f>
        <v>0</v>
      </c>
      <c r="CI857" s="76"/>
      <c r="CJ857" s="76">
        <f>+CI857*26000</f>
        <v>0</v>
      </c>
      <c r="CK857" s="76"/>
      <c r="CL857" s="76"/>
      <c r="CM857" s="76"/>
      <c r="CN857" s="76">
        <f>+CM857*22000</f>
        <v>0</v>
      </c>
      <c r="CO857" s="76"/>
      <c r="CP857" s="76">
        <f>+CO857*46000</f>
        <v>0</v>
      </c>
      <c r="CQ857" s="76"/>
      <c r="CR857" s="76">
        <f>+CQ857*49000</f>
        <v>0</v>
      </c>
      <c r="CS857" s="76"/>
      <c r="CT857" s="76"/>
      <c r="CU857" s="56">
        <f>AN857+AP857+AR857+AT857+AV857+AX857+AZ857+BB857+BD857+BF857+BH857+BJ857+BL857+BN857+BP857+BR857+BT857+BV857+BX857+BZ857+CB857+CD857+CF857+CH857+CJ857+CL857+CN857+CP857+CR857+CT857</f>
        <v>0</v>
      </c>
      <c r="CV857" s="76"/>
      <c r="CW857" s="76">
        <f>+CV857*1100</f>
        <v>0</v>
      </c>
      <c r="CX857" s="76"/>
      <c r="CY857" s="76">
        <f>+CX857*106250</f>
        <v>0</v>
      </c>
      <c r="CZ857" s="76"/>
      <c r="DA857" s="76">
        <f>+CZ857*34500</f>
        <v>0</v>
      </c>
      <c r="DB857" s="76"/>
      <c r="DC857" s="76">
        <f>+DB857*25000</f>
        <v>0</v>
      </c>
      <c r="DD857" s="219"/>
      <c r="DE857" s="219"/>
      <c r="DF857" s="166"/>
      <c r="DG857" s="116"/>
      <c r="DH857" s="117"/>
      <c r="DI857" s="24"/>
      <c r="DJ857" s="24"/>
      <c r="DK857" s="24"/>
      <c r="DL857" s="24"/>
      <c r="DM857" s="24"/>
      <c r="DN857" s="24"/>
      <c r="DO857" s="24"/>
      <c r="DP857" s="24"/>
      <c r="DQ857" s="24"/>
      <c r="DR857" s="24"/>
      <c r="DS857" s="24"/>
      <c r="DT857" s="24"/>
      <c r="DU857" s="24"/>
    </row>
    <row r="858" spans="1:125" s="8" customFormat="1" ht="36" x14ac:dyDescent="0.2">
      <c r="A858" s="77">
        <v>41323</v>
      </c>
      <c r="B858" s="225" t="s">
        <v>2778</v>
      </c>
      <c r="C858" s="227" t="s">
        <v>509</v>
      </c>
      <c r="D858" s="81" t="s">
        <v>2846</v>
      </c>
      <c r="E858" s="75" t="str">
        <f>VLOOKUP(B858&amp;C858,Divipola!$C$2:$F$1138,4,FALSE)</f>
        <v>85125</v>
      </c>
      <c r="F858" s="100"/>
      <c r="G858" s="100"/>
      <c r="H858" s="100"/>
      <c r="I858" s="100"/>
      <c r="J858" s="100"/>
      <c r="K858" s="100"/>
      <c r="L858" s="100"/>
      <c r="M858" s="100"/>
      <c r="N858" s="100"/>
      <c r="O858" s="100"/>
      <c r="P858" s="100"/>
      <c r="Q858" s="100"/>
      <c r="R858" s="100"/>
      <c r="S858" s="100"/>
      <c r="T858" s="100"/>
      <c r="U858" s="136">
        <v>6</v>
      </c>
      <c r="V858" s="89"/>
      <c r="W858" s="96">
        <v>0</v>
      </c>
      <c r="X858" s="71">
        <f>CU858</f>
        <v>0</v>
      </c>
      <c r="Y858" s="71">
        <f>CY858</f>
        <v>0</v>
      </c>
      <c r="Z858" s="71">
        <f>DA858+DC858+DE858</f>
        <v>0</v>
      </c>
      <c r="AA858" s="71">
        <f>CW858</f>
        <v>0</v>
      </c>
      <c r="AB858" s="71"/>
      <c r="AC858" s="71">
        <v>0</v>
      </c>
      <c r="AD858" s="71">
        <f>W858+X858+Y858+Z858+AA858+AB858+AC858</f>
        <v>0</v>
      </c>
      <c r="AE858" s="72">
        <v>0</v>
      </c>
      <c r="AF858" s="5"/>
      <c r="AG858" s="6"/>
      <c r="AH858" s="27" t="s">
        <v>3392</v>
      </c>
      <c r="AI858" s="44" t="s">
        <v>3393</v>
      </c>
      <c r="AJ858" s="26"/>
      <c r="AK858" s="5"/>
      <c r="AL858" s="82" t="s">
        <v>3551</v>
      </c>
      <c r="AM858" s="76"/>
      <c r="AN858" s="76"/>
      <c r="AO858" s="76"/>
      <c r="AP858" s="76"/>
      <c r="AQ858" s="76"/>
      <c r="AR858" s="76"/>
      <c r="AS858" s="76"/>
      <c r="AT858" s="76"/>
      <c r="AU858" s="76"/>
      <c r="AV858" s="76"/>
      <c r="AW858" s="76"/>
      <c r="AX858" s="76">
        <f>+AW858*600000</f>
        <v>0</v>
      </c>
      <c r="AY858" s="76"/>
      <c r="AZ858" s="76">
        <f>+AY858*70000</f>
        <v>0</v>
      </c>
      <c r="BA858" s="76"/>
      <c r="BB858" s="76"/>
      <c r="BC858" s="76"/>
      <c r="BD858" s="76">
        <f>+BC858*30000</f>
        <v>0</v>
      </c>
      <c r="BE858" s="76"/>
      <c r="BF858" s="76"/>
      <c r="BG858" s="76"/>
      <c r="BH858" s="76"/>
      <c r="BI858" s="76"/>
      <c r="BJ858" s="76"/>
      <c r="BK858" s="76"/>
      <c r="BL858" s="76">
        <f>+BK858*31500</f>
        <v>0</v>
      </c>
      <c r="BM858" s="76"/>
      <c r="BN858" s="76"/>
      <c r="BO858" s="76"/>
      <c r="BP858" s="76"/>
      <c r="BQ858" s="76"/>
      <c r="BR858" s="76"/>
      <c r="BS858" s="76"/>
      <c r="BT858" s="76"/>
      <c r="BU858" s="76"/>
      <c r="BV858" s="76"/>
      <c r="BW858" s="76"/>
      <c r="BX858" s="76"/>
      <c r="BY858" s="76"/>
      <c r="BZ858" s="76"/>
      <c r="CA858" s="76"/>
      <c r="CB858" s="76"/>
      <c r="CC858" s="76"/>
      <c r="CD858" s="76"/>
      <c r="CE858" s="76"/>
      <c r="CF858" s="76">
        <f>+CE858*28000</f>
        <v>0</v>
      </c>
      <c r="CG858" s="76"/>
      <c r="CH858" s="76">
        <f>+CG858*22500</f>
        <v>0</v>
      </c>
      <c r="CI858" s="76"/>
      <c r="CJ858" s="76">
        <f>+CI858*26000</f>
        <v>0</v>
      </c>
      <c r="CK858" s="76"/>
      <c r="CL858" s="76"/>
      <c r="CM858" s="76"/>
      <c r="CN858" s="76">
        <f>+CM858*22000</f>
        <v>0</v>
      </c>
      <c r="CO858" s="76"/>
      <c r="CP858" s="76">
        <f>+CO858*46000</f>
        <v>0</v>
      </c>
      <c r="CQ858" s="76"/>
      <c r="CR858" s="76">
        <f>+CQ858*49000</f>
        <v>0</v>
      </c>
      <c r="CS858" s="76"/>
      <c r="CT858" s="76"/>
      <c r="CU858" s="56">
        <f>AN858+AP858+AR858+AT858+AV858+AX858+AZ858+BB858+BD858+BF858+BH858+BJ858+BL858+BN858+BP858+BR858+BT858+BV858+BX858+BZ858+CB858+CD858+CF858+CH858+CJ858+CL858+CN858+CP858+CR858+CT858</f>
        <v>0</v>
      </c>
      <c r="CV858" s="76"/>
      <c r="CW858" s="76">
        <f>+CV858*1100</f>
        <v>0</v>
      </c>
      <c r="CX858" s="76"/>
      <c r="CY858" s="76">
        <f>+CX858*106250</f>
        <v>0</v>
      </c>
      <c r="CZ858" s="76"/>
      <c r="DA858" s="76">
        <f>+CZ858*34500</f>
        <v>0</v>
      </c>
      <c r="DB858" s="76"/>
      <c r="DC858" s="76">
        <f>+DB858*25000</f>
        <v>0</v>
      </c>
      <c r="DD858" s="219"/>
      <c r="DE858" s="219"/>
      <c r="DF858" s="166"/>
      <c r="DG858" s="116"/>
      <c r="DH858" s="117"/>
      <c r="DI858" s="24"/>
      <c r="DJ858" s="24"/>
      <c r="DK858" s="24"/>
      <c r="DL858" s="24"/>
      <c r="DM858" s="24"/>
      <c r="DN858" s="24"/>
      <c r="DO858" s="24"/>
      <c r="DP858" s="24"/>
      <c r="DQ858" s="24"/>
      <c r="DR858" s="24"/>
      <c r="DS858" s="24"/>
      <c r="DT858" s="24"/>
      <c r="DU858" s="24"/>
    </row>
    <row r="859" spans="1:125" s="8" customFormat="1" ht="36" x14ac:dyDescent="0.2">
      <c r="A859" s="77">
        <v>41323</v>
      </c>
      <c r="B859" s="78" t="s">
        <v>2778</v>
      </c>
      <c r="C859" s="75" t="s">
        <v>509</v>
      </c>
      <c r="D859" s="81" t="s">
        <v>2846</v>
      </c>
      <c r="E859" s="75" t="str">
        <f>VLOOKUP(B859&amp;C859,Divipola!$C$2:$F$1138,4,FALSE)</f>
        <v>85125</v>
      </c>
      <c r="F859" s="87"/>
      <c r="G859" s="87"/>
      <c r="H859" s="87"/>
      <c r="I859" s="87"/>
      <c r="J859" s="87"/>
      <c r="K859" s="87"/>
      <c r="L859" s="87"/>
      <c r="M859" s="87"/>
      <c r="N859" s="87"/>
      <c r="O859" s="87"/>
      <c r="P859" s="87"/>
      <c r="Q859" s="87"/>
      <c r="R859" s="87"/>
      <c r="S859" s="87"/>
      <c r="T859" s="87"/>
      <c r="U859" s="88">
        <v>6</v>
      </c>
      <c r="V859" s="89"/>
      <c r="W859" s="96">
        <v>0</v>
      </c>
      <c r="X859" s="71">
        <f>CU859</f>
        <v>0</v>
      </c>
      <c r="Y859" s="71">
        <f>CY859</f>
        <v>0</v>
      </c>
      <c r="Z859" s="71">
        <f>DA859+DC859+DE859</f>
        <v>0</v>
      </c>
      <c r="AA859" s="71">
        <f>CW859</f>
        <v>0</v>
      </c>
      <c r="AB859" s="71"/>
      <c r="AC859" s="71">
        <v>0</v>
      </c>
      <c r="AD859" s="71">
        <f>W859+X859+Y859+Z859+AA859+AB859+AC859</f>
        <v>0</v>
      </c>
      <c r="AE859" s="72">
        <v>0</v>
      </c>
      <c r="AF859" s="5"/>
      <c r="AG859" s="6"/>
      <c r="AH859" s="27" t="s">
        <v>3392</v>
      </c>
      <c r="AI859" s="44" t="s">
        <v>3393</v>
      </c>
      <c r="AJ859" s="26"/>
      <c r="AK859" s="5"/>
      <c r="AL859" s="82" t="s">
        <v>3578</v>
      </c>
      <c r="AM859" s="76"/>
      <c r="AN859" s="76"/>
      <c r="AO859" s="76"/>
      <c r="AP859" s="76"/>
      <c r="AQ859" s="76"/>
      <c r="AR859" s="76"/>
      <c r="AS859" s="76"/>
      <c r="AT859" s="76"/>
      <c r="AU859" s="76"/>
      <c r="AV859" s="76"/>
      <c r="AW859" s="76"/>
      <c r="AX859" s="76">
        <f>+AW859*600000</f>
        <v>0</v>
      </c>
      <c r="AY859" s="76"/>
      <c r="AZ859" s="76">
        <f>+AY859*70000</f>
        <v>0</v>
      </c>
      <c r="BA859" s="76"/>
      <c r="BB859" s="76"/>
      <c r="BC859" s="76"/>
      <c r="BD859" s="76">
        <f>+BC859*30000</f>
        <v>0</v>
      </c>
      <c r="BE859" s="76"/>
      <c r="BF859" s="76"/>
      <c r="BG859" s="76"/>
      <c r="BH859" s="76"/>
      <c r="BI859" s="76"/>
      <c r="BJ859" s="76"/>
      <c r="BK859" s="76"/>
      <c r="BL859" s="76">
        <f>+BK859*31500</f>
        <v>0</v>
      </c>
      <c r="BM859" s="76"/>
      <c r="BN859" s="76"/>
      <c r="BO859" s="76"/>
      <c r="BP859" s="76"/>
      <c r="BQ859" s="76"/>
      <c r="BR859" s="76"/>
      <c r="BS859" s="76"/>
      <c r="BT859" s="76"/>
      <c r="BU859" s="76"/>
      <c r="BV859" s="76"/>
      <c r="BW859" s="76"/>
      <c r="BX859" s="76"/>
      <c r="BY859" s="76"/>
      <c r="BZ859" s="76"/>
      <c r="CA859" s="76"/>
      <c r="CB859" s="76"/>
      <c r="CC859" s="76"/>
      <c r="CD859" s="76"/>
      <c r="CE859" s="76"/>
      <c r="CF859" s="76">
        <f>+CE859*28000</f>
        <v>0</v>
      </c>
      <c r="CG859" s="76"/>
      <c r="CH859" s="76">
        <f>+CG859*22500</f>
        <v>0</v>
      </c>
      <c r="CI859" s="76"/>
      <c r="CJ859" s="76">
        <f>+CI859*26000</f>
        <v>0</v>
      </c>
      <c r="CK859" s="76"/>
      <c r="CL859" s="76"/>
      <c r="CM859" s="76"/>
      <c r="CN859" s="76">
        <f>+CM859*22000</f>
        <v>0</v>
      </c>
      <c r="CO859" s="76"/>
      <c r="CP859" s="76">
        <f>+CO859*46000</f>
        <v>0</v>
      </c>
      <c r="CQ859" s="76"/>
      <c r="CR859" s="76">
        <f>+CQ859*49000</f>
        <v>0</v>
      </c>
      <c r="CS859" s="76"/>
      <c r="CT859" s="76"/>
      <c r="CU859" s="56">
        <f>AN859+AP859+AR859+AT859+AV859+AX859+AZ859+BB859+BD859+BF859+BH859+BJ859+BL859+BN859+BP859+BR859+BT859+BV859+BX859+BZ859+CB859+CD859+CF859+CH859+CJ859+CL859+CN859+CP859+CR859+CT859</f>
        <v>0</v>
      </c>
      <c r="CV859" s="76"/>
      <c r="CW859" s="76">
        <f>+CV859*1100</f>
        <v>0</v>
      </c>
      <c r="CX859" s="76"/>
      <c r="CY859" s="76">
        <f>+CX859*106250</f>
        <v>0</v>
      </c>
      <c r="CZ859" s="76"/>
      <c r="DA859" s="76">
        <f>+CZ859*34500</f>
        <v>0</v>
      </c>
      <c r="DB859" s="76"/>
      <c r="DC859" s="76">
        <f>+DB859*25000</f>
        <v>0</v>
      </c>
      <c r="DD859" s="219"/>
      <c r="DE859" s="219"/>
      <c r="DF859" s="166"/>
      <c r="DG859" s="116"/>
      <c r="DH859" s="117"/>
      <c r="DI859" s="24"/>
      <c r="DJ859" s="24"/>
      <c r="DK859" s="24"/>
      <c r="DL859" s="24"/>
      <c r="DM859" s="24"/>
      <c r="DN859" s="24"/>
      <c r="DO859" s="24"/>
      <c r="DP859" s="24"/>
      <c r="DQ859" s="24"/>
      <c r="DR859" s="24"/>
      <c r="DS859" s="24"/>
      <c r="DT859" s="24"/>
      <c r="DU859" s="24"/>
    </row>
    <row r="860" spans="1:125" s="8" customFormat="1" ht="36" x14ac:dyDescent="0.2">
      <c r="A860" s="77">
        <v>41323</v>
      </c>
      <c r="B860" s="78" t="s">
        <v>2778</v>
      </c>
      <c r="C860" s="75" t="s">
        <v>509</v>
      </c>
      <c r="D860" s="81" t="s">
        <v>2846</v>
      </c>
      <c r="E860" s="75" t="str">
        <f>VLOOKUP(B860&amp;C860,Divipola!$C$2:$F$1138,4,FALSE)</f>
        <v>85125</v>
      </c>
      <c r="F860" s="87"/>
      <c r="G860" s="87"/>
      <c r="H860" s="87"/>
      <c r="I860" s="87"/>
      <c r="J860" s="87"/>
      <c r="K860" s="87"/>
      <c r="L860" s="87"/>
      <c r="M860" s="87"/>
      <c r="N860" s="87"/>
      <c r="O860" s="87"/>
      <c r="P860" s="87"/>
      <c r="Q860" s="87"/>
      <c r="R860" s="87"/>
      <c r="S860" s="87"/>
      <c r="T860" s="87"/>
      <c r="U860" s="88">
        <v>5</v>
      </c>
      <c r="V860" s="89"/>
      <c r="W860" s="96">
        <v>0</v>
      </c>
      <c r="X860" s="71">
        <f>CU860</f>
        <v>0</v>
      </c>
      <c r="Y860" s="71">
        <f>CY860</f>
        <v>0</v>
      </c>
      <c r="Z860" s="71">
        <f>DA860+DC860+DE860</f>
        <v>0</v>
      </c>
      <c r="AA860" s="71">
        <f>CW860</f>
        <v>0</v>
      </c>
      <c r="AB860" s="71"/>
      <c r="AC860" s="71">
        <v>0</v>
      </c>
      <c r="AD860" s="71">
        <f>W860+X860+Y860+Z860+AA860+AB860+AC860</f>
        <v>0</v>
      </c>
      <c r="AE860" s="72">
        <v>0</v>
      </c>
      <c r="AF860" s="5"/>
      <c r="AG860" s="6"/>
      <c r="AH860" s="27" t="s">
        <v>3392</v>
      </c>
      <c r="AI860" s="44" t="s">
        <v>3393</v>
      </c>
      <c r="AJ860" s="26"/>
      <c r="AK860" s="5"/>
      <c r="AL860" s="82" t="s">
        <v>3579</v>
      </c>
      <c r="AM860" s="76"/>
      <c r="AN860" s="76"/>
      <c r="AO860" s="76"/>
      <c r="AP860" s="76"/>
      <c r="AQ860" s="76"/>
      <c r="AR860" s="76"/>
      <c r="AS860" s="76"/>
      <c r="AT860" s="76"/>
      <c r="AU860" s="76"/>
      <c r="AV860" s="76"/>
      <c r="AW860" s="76"/>
      <c r="AX860" s="76">
        <f>+AW860*600000</f>
        <v>0</v>
      </c>
      <c r="AY860" s="76"/>
      <c r="AZ860" s="76">
        <f>+AY860*70000</f>
        <v>0</v>
      </c>
      <c r="BA860" s="76"/>
      <c r="BB860" s="76"/>
      <c r="BC860" s="76"/>
      <c r="BD860" s="76">
        <f>+BC860*30000</f>
        <v>0</v>
      </c>
      <c r="BE860" s="76"/>
      <c r="BF860" s="76"/>
      <c r="BG860" s="76"/>
      <c r="BH860" s="76"/>
      <c r="BI860" s="76"/>
      <c r="BJ860" s="76"/>
      <c r="BK860" s="76"/>
      <c r="BL860" s="76">
        <f>+BK860*31500</f>
        <v>0</v>
      </c>
      <c r="BM860" s="76"/>
      <c r="BN860" s="76"/>
      <c r="BO860" s="76"/>
      <c r="BP860" s="76"/>
      <c r="BQ860" s="76"/>
      <c r="BR860" s="76"/>
      <c r="BS860" s="76"/>
      <c r="BT860" s="76"/>
      <c r="BU860" s="76"/>
      <c r="BV860" s="76"/>
      <c r="BW860" s="76"/>
      <c r="BX860" s="76"/>
      <c r="BY860" s="76"/>
      <c r="BZ860" s="76"/>
      <c r="CA860" s="76"/>
      <c r="CB860" s="76"/>
      <c r="CC860" s="76"/>
      <c r="CD860" s="76"/>
      <c r="CE860" s="76"/>
      <c r="CF860" s="76">
        <f>+CE860*28000</f>
        <v>0</v>
      </c>
      <c r="CG860" s="76"/>
      <c r="CH860" s="76">
        <f>+CG860*22500</f>
        <v>0</v>
      </c>
      <c r="CI860" s="76"/>
      <c r="CJ860" s="76">
        <f>+CI860*26000</f>
        <v>0</v>
      </c>
      <c r="CK860" s="76"/>
      <c r="CL860" s="76"/>
      <c r="CM860" s="76"/>
      <c r="CN860" s="76">
        <f>+CM860*22000</f>
        <v>0</v>
      </c>
      <c r="CO860" s="76"/>
      <c r="CP860" s="76">
        <f>+CO860*46000</f>
        <v>0</v>
      </c>
      <c r="CQ860" s="76"/>
      <c r="CR860" s="76">
        <f>+CQ860*49000</f>
        <v>0</v>
      </c>
      <c r="CS860" s="76"/>
      <c r="CT860" s="76"/>
      <c r="CU860" s="56">
        <f>AN860+AP860+AR860+AT860+AV860+AX860+AZ860+BB860+BD860+BF860+BH860+BJ860+BL860+BN860+BP860+BR860+BT860+BV860+BX860+BZ860+CB860+CD860+CF860+CH860+CJ860+CL860+CN860+CP860+CR860+CT860</f>
        <v>0</v>
      </c>
      <c r="CV860" s="76"/>
      <c r="CW860" s="76">
        <f>+CV860*1100</f>
        <v>0</v>
      </c>
      <c r="CX860" s="76"/>
      <c r="CY860" s="76">
        <f>+CX860*106250</f>
        <v>0</v>
      </c>
      <c r="CZ860" s="76"/>
      <c r="DA860" s="76">
        <f>+CZ860*34500</f>
        <v>0</v>
      </c>
      <c r="DB860" s="76"/>
      <c r="DC860" s="76">
        <f>+DB860*25000</f>
        <v>0</v>
      </c>
      <c r="DD860" s="219"/>
      <c r="DE860" s="219"/>
      <c r="DF860" s="166"/>
      <c r="DG860" s="116"/>
      <c r="DH860" s="117"/>
      <c r="DI860" s="24"/>
      <c r="DJ860" s="24"/>
      <c r="DK860" s="24"/>
      <c r="DL860" s="24"/>
      <c r="DM860" s="24"/>
      <c r="DN860" s="24"/>
      <c r="DO860" s="24"/>
      <c r="DP860" s="24"/>
      <c r="DQ860" s="24"/>
      <c r="DR860" s="24"/>
      <c r="DS860" s="24"/>
      <c r="DT860" s="24"/>
      <c r="DU860" s="24"/>
    </row>
    <row r="861" spans="1:125" s="8" customFormat="1" ht="36" x14ac:dyDescent="0.2">
      <c r="A861" s="77">
        <v>41323</v>
      </c>
      <c r="B861" s="78" t="s">
        <v>2778</v>
      </c>
      <c r="C861" s="354" t="s">
        <v>1342</v>
      </c>
      <c r="D861" s="81" t="s">
        <v>2846</v>
      </c>
      <c r="E861" s="75" t="str">
        <f>VLOOKUP(B861&amp;C861,Divipola!$C$2:$F$1138,4,FALSE)</f>
        <v>85263</v>
      </c>
      <c r="F861" s="87"/>
      <c r="G861" s="87"/>
      <c r="H861" s="87"/>
      <c r="I861" s="87"/>
      <c r="J861" s="87"/>
      <c r="K861" s="87"/>
      <c r="L861" s="87"/>
      <c r="M861" s="87"/>
      <c r="N861" s="87"/>
      <c r="O861" s="87"/>
      <c r="P861" s="87"/>
      <c r="Q861" s="87"/>
      <c r="R861" s="87"/>
      <c r="S861" s="87"/>
      <c r="T861" s="87"/>
      <c r="U861" s="88">
        <v>10</v>
      </c>
      <c r="V861" s="89"/>
      <c r="W861" s="96">
        <v>0</v>
      </c>
      <c r="X861" s="71">
        <f>CU861</f>
        <v>0</v>
      </c>
      <c r="Y861" s="71">
        <f>CY861</f>
        <v>0</v>
      </c>
      <c r="Z861" s="71">
        <f>DA861+DC861+DE861</f>
        <v>0</v>
      </c>
      <c r="AA861" s="71">
        <f>CW861</f>
        <v>0</v>
      </c>
      <c r="AB861" s="71"/>
      <c r="AC861" s="71">
        <v>0</v>
      </c>
      <c r="AD861" s="71">
        <f>W861+X861+Y861+Z861+AA861+AB861+AC861</f>
        <v>0</v>
      </c>
      <c r="AE861" s="72">
        <v>0</v>
      </c>
      <c r="AF861" s="5"/>
      <c r="AG861" s="6"/>
      <c r="AH861" s="27" t="s">
        <v>3392</v>
      </c>
      <c r="AI861" s="44" t="s">
        <v>3393</v>
      </c>
      <c r="AJ861" s="26"/>
      <c r="AK861" s="5"/>
      <c r="AL861" s="82" t="s">
        <v>3580</v>
      </c>
      <c r="AM861" s="76"/>
      <c r="AN861" s="76"/>
      <c r="AO861" s="76"/>
      <c r="AP861" s="76"/>
      <c r="AQ861" s="76"/>
      <c r="AR861" s="76"/>
      <c r="AS861" s="76"/>
      <c r="AT861" s="76"/>
      <c r="AU861" s="76"/>
      <c r="AV861" s="76"/>
      <c r="AW861" s="76"/>
      <c r="AX861" s="76">
        <f>+AW861*600000</f>
        <v>0</v>
      </c>
      <c r="AY861" s="76"/>
      <c r="AZ861" s="76">
        <f>+AY861*70000</f>
        <v>0</v>
      </c>
      <c r="BA861" s="76"/>
      <c r="BB861" s="76"/>
      <c r="BC861" s="76"/>
      <c r="BD861" s="76">
        <f>+BC861*30000</f>
        <v>0</v>
      </c>
      <c r="BE861" s="76"/>
      <c r="BF861" s="76"/>
      <c r="BG861" s="76"/>
      <c r="BH861" s="76"/>
      <c r="BI861" s="76"/>
      <c r="BJ861" s="76"/>
      <c r="BK861" s="76"/>
      <c r="BL861" s="76">
        <f>+BK861*31500</f>
        <v>0</v>
      </c>
      <c r="BM861" s="76"/>
      <c r="BN861" s="76"/>
      <c r="BO861" s="76"/>
      <c r="BP861" s="76"/>
      <c r="BQ861" s="76"/>
      <c r="BR861" s="76"/>
      <c r="BS861" s="76"/>
      <c r="BT861" s="76"/>
      <c r="BU861" s="76"/>
      <c r="BV861" s="76"/>
      <c r="BW861" s="76"/>
      <c r="BX861" s="76"/>
      <c r="BY861" s="76"/>
      <c r="BZ861" s="76"/>
      <c r="CA861" s="76"/>
      <c r="CB861" s="76"/>
      <c r="CC861" s="76"/>
      <c r="CD861" s="76"/>
      <c r="CE861" s="76"/>
      <c r="CF861" s="76">
        <f>+CE861*28000</f>
        <v>0</v>
      </c>
      <c r="CG861" s="76"/>
      <c r="CH861" s="76">
        <f>+CG861*22500</f>
        <v>0</v>
      </c>
      <c r="CI861" s="76"/>
      <c r="CJ861" s="76">
        <f>+CI861*26000</f>
        <v>0</v>
      </c>
      <c r="CK861" s="76"/>
      <c r="CL861" s="76"/>
      <c r="CM861" s="76"/>
      <c r="CN861" s="76">
        <f>+CM861*22000</f>
        <v>0</v>
      </c>
      <c r="CO861" s="76"/>
      <c r="CP861" s="76">
        <f>+CO861*46000</f>
        <v>0</v>
      </c>
      <c r="CQ861" s="76"/>
      <c r="CR861" s="76">
        <f>+CQ861*49000</f>
        <v>0</v>
      </c>
      <c r="CS861" s="76"/>
      <c r="CT861" s="76"/>
      <c r="CU861" s="56">
        <f>AN861+AP861+AR861+AT861+AV861+AX861+AZ861+BB861+BD861+BF861+BH861+BJ861+BL861+BN861+BP861+BR861+BT861+BV861+BX861+BZ861+CB861+CD861+CF861+CH861+CJ861+CL861+CN861+CP861+CR861+CT861</f>
        <v>0</v>
      </c>
      <c r="CV861" s="76"/>
      <c r="CW861" s="76">
        <f>+CV861*1100</f>
        <v>0</v>
      </c>
      <c r="CX861" s="76"/>
      <c r="CY861" s="76">
        <f>+CX861*106250</f>
        <v>0</v>
      </c>
      <c r="CZ861" s="76"/>
      <c r="DA861" s="76">
        <f>+CZ861*34500</f>
        <v>0</v>
      </c>
      <c r="DB861" s="76"/>
      <c r="DC861" s="76">
        <f>+DB861*25000</f>
        <v>0</v>
      </c>
      <c r="DD861" s="219"/>
      <c r="DE861" s="219"/>
      <c r="DF861" s="166"/>
      <c r="DG861" s="116"/>
      <c r="DH861" s="117"/>
      <c r="DI861" s="24"/>
      <c r="DJ861" s="24"/>
      <c r="DK861" s="24"/>
      <c r="DL861" s="24"/>
      <c r="DM861" s="24"/>
      <c r="DN861" s="24"/>
      <c r="DO861" s="24"/>
      <c r="DP861" s="24"/>
      <c r="DQ861" s="24"/>
      <c r="DR861" s="24"/>
      <c r="DS861" s="24"/>
      <c r="DT861" s="24"/>
      <c r="DU861" s="24"/>
    </row>
    <row r="862" spans="1:125" s="8" customFormat="1" ht="36" x14ac:dyDescent="0.2">
      <c r="A862" s="77">
        <v>41323</v>
      </c>
      <c r="B862" s="78" t="s">
        <v>2778</v>
      </c>
      <c r="C862" s="75" t="s">
        <v>1344</v>
      </c>
      <c r="D862" s="81" t="s">
        <v>2846</v>
      </c>
      <c r="E862" s="75" t="str">
        <f>VLOOKUP(B862&amp;C862,Divipola!$C$2:$F$1138,4,FALSE)</f>
        <v>85001</v>
      </c>
      <c r="F862" s="87"/>
      <c r="G862" s="87"/>
      <c r="H862" s="87"/>
      <c r="I862" s="87"/>
      <c r="J862" s="87"/>
      <c r="K862" s="87"/>
      <c r="L862" s="87"/>
      <c r="M862" s="87"/>
      <c r="N862" s="87"/>
      <c r="O862" s="87"/>
      <c r="P862" s="87"/>
      <c r="Q862" s="87"/>
      <c r="R862" s="87"/>
      <c r="S862" s="87"/>
      <c r="T862" s="87"/>
      <c r="U862" s="88">
        <v>2</v>
      </c>
      <c r="V862" s="89"/>
      <c r="W862" s="96">
        <v>0</v>
      </c>
      <c r="X862" s="71">
        <f>CU862</f>
        <v>0</v>
      </c>
      <c r="Y862" s="71">
        <f>CY862</f>
        <v>0</v>
      </c>
      <c r="Z862" s="71">
        <f>DA862+DC862+DE862</f>
        <v>0</v>
      </c>
      <c r="AA862" s="71">
        <f>CW862</f>
        <v>0</v>
      </c>
      <c r="AB862" s="71"/>
      <c r="AC862" s="71">
        <v>0</v>
      </c>
      <c r="AD862" s="71">
        <f>W862+X862+Y862+Z862+AA862+AB862+AC862</f>
        <v>0</v>
      </c>
      <c r="AE862" s="72">
        <v>0</v>
      </c>
      <c r="AF862" s="5"/>
      <c r="AG862" s="6"/>
      <c r="AH862" s="27" t="s">
        <v>3392</v>
      </c>
      <c r="AI862" s="44" t="s">
        <v>3393</v>
      </c>
      <c r="AJ862" s="26"/>
      <c r="AK862" s="5"/>
      <c r="AL862" s="82" t="s">
        <v>3582</v>
      </c>
      <c r="AM862" s="76"/>
      <c r="AN862" s="76"/>
      <c r="AO862" s="76"/>
      <c r="AP862" s="76"/>
      <c r="AQ862" s="76"/>
      <c r="AR862" s="76"/>
      <c r="AS862" s="76"/>
      <c r="AT862" s="76"/>
      <c r="AU862" s="76"/>
      <c r="AV862" s="76"/>
      <c r="AW862" s="76"/>
      <c r="AX862" s="76">
        <f>+AW862*600000</f>
        <v>0</v>
      </c>
      <c r="AY862" s="76"/>
      <c r="AZ862" s="76">
        <f>+AY862*70000</f>
        <v>0</v>
      </c>
      <c r="BA862" s="76"/>
      <c r="BB862" s="76"/>
      <c r="BC862" s="76"/>
      <c r="BD862" s="76">
        <f>+BC862*30000</f>
        <v>0</v>
      </c>
      <c r="BE862" s="76"/>
      <c r="BF862" s="76"/>
      <c r="BG862" s="76"/>
      <c r="BH862" s="76"/>
      <c r="BI862" s="76"/>
      <c r="BJ862" s="76"/>
      <c r="BK862" s="76"/>
      <c r="BL862" s="76">
        <f>+BK862*31500</f>
        <v>0</v>
      </c>
      <c r="BM862" s="76"/>
      <c r="BN862" s="76"/>
      <c r="BO862" s="76"/>
      <c r="BP862" s="76"/>
      <c r="BQ862" s="76"/>
      <c r="BR862" s="76"/>
      <c r="BS862" s="76"/>
      <c r="BT862" s="76"/>
      <c r="BU862" s="76"/>
      <c r="BV862" s="76"/>
      <c r="BW862" s="76"/>
      <c r="BX862" s="76"/>
      <c r="BY862" s="76"/>
      <c r="BZ862" s="76"/>
      <c r="CA862" s="76"/>
      <c r="CB862" s="76"/>
      <c r="CC862" s="76"/>
      <c r="CD862" s="76"/>
      <c r="CE862" s="76"/>
      <c r="CF862" s="76">
        <f>+CE862*28000</f>
        <v>0</v>
      </c>
      <c r="CG862" s="76"/>
      <c r="CH862" s="76">
        <f>+CG862*22500</f>
        <v>0</v>
      </c>
      <c r="CI862" s="76"/>
      <c r="CJ862" s="76">
        <f>+CI862*26000</f>
        <v>0</v>
      </c>
      <c r="CK862" s="76"/>
      <c r="CL862" s="76"/>
      <c r="CM862" s="76"/>
      <c r="CN862" s="76">
        <f>+CM862*22000</f>
        <v>0</v>
      </c>
      <c r="CO862" s="76"/>
      <c r="CP862" s="76">
        <f>+CO862*46000</f>
        <v>0</v>
      </c>
      <c r="CQ862" s="76"/>
      <c r="CR862" s="76">
        <f>+CQ862*49000</f>
        <v>0</v>
      </c>
      <c r="CS862" s="76"/>
      <c r="CT862" s="76"/>
      <c r="CU862" s="56">
        <f>AN862+AP862+AR862+AT862+AV862+AX862+AZ862+BB862+BD862+BF862+BH862+BJ862+BL862+BN862+BP862+BR862+BT862+BV862+BX862+BZ862+CB862+CD862+CF862+CH862+CJ862+CL862+CN862+CP862+CR862+CT862</f>
        <v>0</v>
      </c>
      <c r="CV862" s="76"/>
      <c r="CW862" s="76">
        <f>+CV862*1100</f>
        <v>0</v>
      </c>
      <c r="CX862" s="76"/>
      <c r="CY862" s="76">
        <f>+CX862*106250</f>
        <v>0</v>
      </c>
      <c r="CZ862" s="76"/>
      <c r="DA862" s="76">
        <f>+CZ862*34500</f>
        <v>0</v>
      </c>
      <c r="DB862" s="76"/>
      <c r="DC862" s="76">
        <f>+DB862*25000</f>
        <v>0</v>
      </c>
      <c r="DD862" s="219"/>
      <c r="DE862" s="219"/>
      <c r="DF862" s="166"/>
      <c r="DG862" s="116"/>
      <c r="DH862" s="117"/>
      <c r="DI862" s="24"/>
      <c r="DJ862" s="24"/>
      <c r="DK862" s="24"/>
      <c r="DL862" s="24"/>
      <c r="DM862" s="24"/>
      <c r="DN862" s="24"/>
      <c r="DO862" s="24"/>
      <c r="DP862" s="24"/>
      <c r="DQ862" s="24"/>
      <c r="DR862" s="24"/>
      <c r="DS862" s="24"/>
      <c r="DT862" s="24"/>
      <c r="DU862" s="24"/>
    </row>
    <row r="863" spans="1:125" s="8" customFormat="1" ht="36" x14ac:dyDescent="0.2">
      <c r="A863" s="77">
        <v>41323</v>
      </c>
      <c r="B863" s="78" t="s">
        <v>2778</v>
      </c>
      <c r="C863" s="75" t="s">
        <v>1344</v>
      </c>
      <c r="D863" s="81" t="s">
        <v>2846</v>
      </c>
      <c r="E863" s="75" t="str">
        <f>VLOOKUP(B863&amp;C863,Divipola!$C$2:$F$1138,4,FALSE)</f>
        <v>85001</v>
      </c>
      <c r="F863" s="87"/>
      <c r="G863" s="87"/>
      <c r="H863" s="87"/>
      <c r="I863" s="87"/>
      <c r="J863" s="87"/>
      <c r="K863" s="87"/>
      <c r="L863" s="87"/>
      <c r="M863" s="87"/>
      <c r="N863" s="87"/>
      <c r="O863" s="87"/>
      <c r="P863" s="87"/>
      <c r="Q863" s="87"/>
      <c r="R863" s="87"/>
      <c r="S863" s="87"/>
      <c r="T863" s="87"/>
      <c r="U863" s="88">
        <v>3</v>
      </c>
      <c r="V863" s="89"/>
      <c r="W863" s="96">
        <v>0</v>
      </c>
      <c r="X863" s="71">
        <f>CU863</f>
        <v>0</v>
      </c>
      <c r="Y863" s="71">
        <f>CY863</f>
        <v>0</v>
      </c>
      <c r="Z863" s="71">
        <f>DA863+DC863+DE863</f>
        <v>0</v>
      </c>
      <c r="AA863" s="71">
        <f>CW863</f>
        <v>0</v>
      </c>
      <c r="AB863" s="71"/>
      <c r="AC863" s="71">
        <v>0</v>
      </c>
      <c r="AD863" s="71">
        <f>W863+X863+Y863+Z863+AA863+AB863+AC863</f>
        <v>0</v>
      </c>
      <c r="AE863" s="72">
        <v>0</v>
      </c>
      <c r="AF863" s="5"/>
      <c r="AG863" s="6"/>
      <c r="AH863" s="27" t="s">
        <v>3392</v>
      </c>
      <c r="AI863" s="44" t="s">
        <v>3393</v>
      </c>
      <c r="AJ863" s="26"/>
      <c r="AK863" s="5"/>
      <c r="AL863" s="82" t="s">
        <v>3583</v>
      </c>
      <c r="AM863" s="76"/>
      <c r="AN863" s="76"/>
      <c r="AO863" s="76"/>
      <c r="AP863" s="76"/>
      <c r="AQ863" s="76"/>
      <c r="AR863" s="76"/>
      <c r="AS863" s="76"/>
      <c r="AT863" s="76"/>
      <c r="AU863" s="76"/>
      <c r="AV863" s="76"/>
      <c r="AW863" s="76"/>
      <c r="AX863" s="76">
        <f>+AW863*600000</f>
        <v>0</v>
      </c>
      <c r="AY863" s="76"/>
      <c r="AZ863" s="76">
        <f>+AY863*70000</f>
        <v>0</v>
      </c>
      <c r="BA863" s="76"/>
      <c r="BB863" s="76"/>
      <c r="BC863" s="76"/>
      <c r="BD863" s="76">
        <f>+BC863*30000</f>
        <v>0</v>
      </c>
      <c r="BE863" s="76"/>
      <c r="BF863" s="76"/>
      <c r="BG863" s="76"/>
      <c r="BH863" s="76"/>
      <c r="BI863" s="76"/>
      <c r="BJ863" s="76"/>
      <c r="BK863" s="76"/>
      <c r="BL863" s="76">
        <f>+BK863*31500</f>
        <v>0</v>
      </c>
      <c r="BM863" s="76"/>
      <c r="BN863" s="76"/>
      <c r="BO863" s="76"/>
      <c r="BP863" s="76"/>
      <c r="BQ863" s="76"/>
      <c r="BR863" s="76"/>
      <c r="BS863" s="76"/>
      <c r="BT863" s="76"/>
      <c r="BU863" s="76"/>
      <c r="BV863" s="76"/>
      <c r="BW863" s="76"/>
      <c r="BX863" s="76"/>
      <c r="BY863" s="76"/>
      <c r="BZ863" s="76"/>
      <c r="CA863" s="76"/>
      <c r="CB863" s="76"/>
      <c r="CC863" s="76"/>
      <c r="CD863" s="76"/>
      <c r="CE863" s="76"/>
      <c r="CF863" s="76">
        <f>+CE863*28000</f>
        <v>0</v>
      </c>
      <c r="CG863" s="76"/>
      <c r="CH863" s="76">
        <f>+CG863*22500</f>
        <v>0</v>
      </c>
      <c r="CI863" s="76"/>
      <c r="CJ863" s="76">
        <f>+CI863*26000</f>
        <v>0</v>
      </c>
      <c r="CK863" s="76"/>
      <c r="CL863" s="76"/>
      <c r="CM863" s="76"/>
      <c r="CN863" s="76">
        <f>+CM863*22000</f>
        <v>0</v>
      </c>
      <c r="CO863" s="76"/>
      <c r="CP863" s="76">
        <f>+CO863*46000</f>
        <v>0</v>
      </c>
      <c r="CQ863" s="76"/>
      <c r="CR863" s="76">
        <f>+CQ863*49000</f>
        <v>0</v>
      </c>
      <c r="CS863" s="76"/>
      <c r="CT863" s="76"/>
      <c r="CU863" s="56">
        <f>AN863+AP863+AR863+AT863+AV863+AX863+AZ863+BB863+BD863+BF863+BH863+BJ863+BL863+BN863+BP863+BR863+BT863+BV863+BX863+BZ863+CB863+CD863+CF863+CH863+CJ863+CL863+CN863+CP863+CR863+CT863</f>
        <v>0</v>
      </c>
      <c r="CV863" s="76"/>
      <c r="CW863" s="76">
        <f>+CV863*1100</f>
        <v>0</v>
      </c>
      <c r="CX863" s="76"/>
      <c r="CY863" s="76">
        <f>+CX863*106250</f>
        <v>0</v>
      </c>
      <c r="CZ863" s="76"/>
      <c r="DA863" s="76">
        <f>+CZ863*34500</f>
        <v>0</v>
      </c>
      <c r="DB863" s="76"/>
      <c r="DC863" s="76">
        <f>+DB863*25000</f>
        <v>0</v>
      </c>
      <c r="DD863" s="219"/>
      <c r="DE863" s="219"/>
      <c r="DF863" s="166"/>
      <c r="DG863" s="116"/>
      <c r="DH863" s="117"/>
      <c r="DI863" s="24"/>
      <c r="DJ863" s="24"/>
      <c r="DK863" s="24"/>
      <c r="DL863" s="24"/>
      <c r="DM863" s="24"/>
      <c r="DN863" s="24"/>
      <c r="DO863" s="24"/>
      <c r="DP863" s="24"/>
      <c r="DQ863" s="24"/>
      <c r="DR863" s="24"/>
      <c r="DS863" s="24"/>
      <c r="DT863" s="24"/>
      <c r="DU863" s="24"/>
    </row>
    <row r="864" spans="1:125" s="8" customFormat="1" ht="36" x14ac:dyDescent="0.2">
      <c r="A864" s="77">
        <v>41323</v>
      </c>
      <c r="B864" s="78" t="s">
        <v>2778</v>
      </c>
      <c r="C864" s="75" t="s">
        <v>1344</v>
      </c>
      <c r="D864" s="81" t="s">
        <v>2846</v>
      </c>
      <c r="E864" s="75" t="str">
        <f>VLOOKUP(B864&amp;C864,Divipola!$C$2:$F$1138,4,FALSE)</f>
        <v>85001</v>
      </c>
      <c r="F864" s="87"/>
      <c r="G864" s="87"/>
      <c r="H864" s="87"/>
      <c r="I864" s="87"/>
      <c r="J864" s="87"/>
      <c r="K864" s="87"/>
      <c r="L864" s="87"/>
      <c r="M864" s="87"/>
      <c r="N864" s="87"/>
      <c r="O864" s="87"/>
      <c r="P864" s="87"/>
      <c r="Q864" s="87"/>
      <c r="R864" s="87"/>
      <c r="S864" s="87"/>
      <c r="T864" s="87"/>
      <c r="U864" s="88">
        <v>6</v>
      </c>
      <c r="V864" s="89"/>
      <c r="W864" s="96">
        <v>0</v>
      </c>
      <c r="X864" s="71">
        <f>CU864</f>
        <v>0</v>
      </c>
      <c r="Y864" s="71">
        <f>CY864</f>
        <v>0</v>
      </c>
      <c r="Z864" s="71">
        <f>DA864+DC864+DE864</f>
        <v>0</v>
      </c>
      <c r="AA864" s="71">
        <f>CW864</f>
        <v>0</v>
      </c>
      <c r="AB864" s="71"/>
      <c r="AC864" s="71">
        <v>0</v>
      </c>
      <c r="AD864" s="71">
        <f>W864+X864+Y864+Z864+AA864+AB864+AC864</f>
        <v>0</v>
      </c>
      <c r="AE864" s="72">
        <v>0</v>
      </c>
      <c r="AF864" s="5"/>
      <c r="AG864" s="6"/>
      <c r="AH864" s="27" t="s">
        <v>3392</v>
      </c>
      <c r="AI864" s="44" t="s">
        <v>3393</v>
      </c>
      <c r="AJ864" s="26"/>
      <c r="AK864" s="5"/>
      <c r="AL864" s="82" t="s">
        <v>3584</v>
      </c>
      <c r="AM864" s="76"/>
      <c r="AN864" s="76"/>
      <c r="AO864" s="76"/>
      <c r="AP864" s="76"/>
      <c r="AQ864" s="76"/>
      <c r="AR864" s="76"/>
      <c r="AS864" s="76"/>
      <c r="AT864" s="76"/>
      <c r="AU864" s="76"/>
      <c r="AV864" s="76"/>
      <c r="AW864" s="76"/>
      <c r="AX864" s="76">
        <f>+AW864*600000</f>
        <v>0</v>
      </c>
      <c r="AY864" s="76"/>
      <c r="AZ864" s="76">
        <f>+AY864*70000</f>
        <v>0</v>
      </c>
      <c r="BA864" s="76"/>
      <c r="BB864" s="76"/>
      <c r="BC864" s="76"/>
      <c r="BD864" s="76">
        <f>+BC864*30000</f>
        <v>0</v>
      </c>
      <c r="BE864" s="76"/>
      <c r="BF864" s="76"/>
      <c r="BG864" s="76"/>
      <c r="BH864" s="76"/>
      <c r="BI864" s="76"/>
      <c r="BJ864" s="76"/>
      <c r="BK864" s="76"/>
      <c r="BL864" s="76">
        <f>+BK864*31500</f>
        <v>0</v>
      </c>
      <c r="BM864" s="76"/>
      <c r="BN864" s="76"/>
      <c r="BO864" s="76"/>
      <c r="BP864" s="76"/>
      <c r="BQ864" s="76"/>
      <c r="BR864" s="76"/>
      <c r="BS864" s="76"/>
      <c r="BT864" s="76"/>
      <c r="BU864" s="76"/>
      <c r="BV864" s="76"/>
      <c r="BW864" s="76"/>
      <c r="BX864" s="76"/>
      <c r="BY864" s="76"/>
      <c r="BZ864" s="76"/>
      <c r="CA864" s="76"/>
      <c r="CB864" s="76"/>
      <c r="CC864" s="76"/>
      <c r="CD864" s="76"/>
      <c r="CE864" s="76"/>
      <c r="CF864" s="76">
        <f>+CE864*28000</f>
        <v>0</v>
      </c>
      <c r="CG864" s="76"/>
      <c r="CH864" s="76">
        <f>+CG864*22500</f>
        <v>0</v>
      </c>
      <c r="CI864" s="76"/>
      <c r="CJ864" s="76">
        <f>+CI864*26000</f>
        <v>0</v>
      </c>
      <c r="CK864" s="76"/>
      <c r="CL864" s="76"/>
      <c r="CM864" s="76"/>
      <c r="CN864" s="76">
        <f>+CM864*22000</f>
        <v>0</v>
      </c>
      <c r="CO864" s="76"/>
      <c r="CP864" s="76">
        <f>+CO864*46000</f>
        <v>0</v>
      </c>
      <c r="CQ864" s="76"/>
      <c r="CR864" s="76">
        <f>+CQ864*49000</f>
        <v>0</v>
      </c>
      <c r="CS864" s="76"/>
      <c r="CT864" s="76"/>
      <c r="CU864" s="56">
        <f>AN864+AP864+AR864+AT864+AV864+AX864+AZ864+BB864+BD864+BF864+BH864+BJ864+BL864+BN864+BP864+BR864+BT864+BV864+BX864+BZ864+CB864+CD864+CF864+CH864+CJ864+CL864+CN864+CP864+CR864+CT864</f>
        <v>0</v>
      </c>
      <c r="CV864" s="76"/>
      <c r="CW864" s="76">
        <f>+CV864*1100</f>
        <v>0</v>
      </c>
      <c r="CX864" s="76"/>
      <c r="CY864" s="76">
        <f>+CX864*106250</f>
        <v>0</v>
      </c>
      <c r="CZ864" s="76"/>
      <c r="DA864" s="76">
        <f>+CZ864*34500</f>
        <v>0</v>
      </c>
      <c r="DB864" s="76"/>
      <c r="DC864" s="76">
        <f>+DB864*25000</f>
        <v>0</v>
      </c>
      <c r="DD864" s="219"/>
      <c r="DE864" s="219"/>
      <c r="DF864" s="166"/>
      <c r="DG864" s="116"/>
      <c r="DH864" s="117"/>
      <c r="DI864" s="24"/>
      <c r="DJ864" s="24"/>
      <c r="DK864" s="24"/>
      <c r="DL864" s="24"/>
      <c r="DM864" s="24"/>
      <c r="DN864" s="24"/>
      <c r="DO864" s="24"/>
      <c r="DP864" s="24"/>
      <c r="DQ864" s="24"/>
      <c r="DR864" s="24"/>
      <c r="DS864" s="24"/>
      <c r="DT864" s="24"/>
      <c r="DU864" s="24"/>
    </row>
    <row r="865" spans="1:125" s="8" customFormat="1" ht="36" x14ac:dyDescent="0.2">
      <c r="A865" s="77">
        <v>41323</v>
      </c>
      <c r="B865" s="78" t="s">
        <v>2778</v>
      </c>
      <c r="C865" s="75" t="s">
        <v>1344</v>
      </c>
      <c r="D865" s="81" t="s">
        <v>2846</v>
      </c>
      <c r="E865" s="75" t="str">
        <f>VLOOKUP(B865&amp;C865,Divipola!$C$2:$F$1138,4,FALSE)</f>
        <v>85001</v>
      </c>
      <c r="F865" s="87"/>
      <c r="G865" s="87"/>
      <c r="H865" s="87"/>
      <c r="I865" s="87"/>
      <c r="J865" s="87"/>
      <c r="K865" s="87"/>
      <c r="L865" s="87"/>
      <c r="M865" s="87"/>
      <c r="N865" s="87"/>
      <c r="O865" s="87"/>
      <c r="P865" s="87"/>
      <c r="Q865" s="87"/>
      <c r="R865" s="87"/>
      <c r="S865" s="87"/>
      <c r="T865" s="87"/>
      <c r="U865" s="88">
        <v>2</v>
      </c>
      <c r="V865" s="89"/>
      <c r="W865" s="96">
        <v>0</v>
      </c>
      <c r="X865" s="71">
        <f>CU865</f>
        <v>0</v>
      </c>
      <c r="Y865" s="71">
        <f>CY865</f>
        <v>0</v>
      </c>
      <c r="Z865" s="71">
        <f>DA865+DC865+DE865</f>
        <v>0</v>
      </c>
      <c r="AA865" s="71">
        <f>CW865</f>
        <v>0</v>
      </c>
      <c r="AB865" s="71"/>
      <c r="AC865" s="71">
        <v>0</v>
      </c>
      <c r="AD865" s="71">
        <f>W865+X865+Y865+Z865+AA865+AB865+AC865</f>
        <v>0</v>
      </c>
      <c r="AE865" s="72">
        <v>0</v>
      </c>
      <c r="AF865" s="5"/>
      <c r="AG865" s="6"/>
      <c r="AH865" s="27" t="s">
        <v>3392</v>
      </c>
      <c r="AI865" s="44" t="s">
        <v>3393</v>
      </c>
      <c r="AJ865" s="26"/>
      <c r="AK865" s="5"/>
      <c r="AL865" s="82" t="s">
        <v>3585</v>
      </c>
      <c r="AM865" s="76"/>
      <c r="AN865" s="76"/>
      <c r="AO865" s="76"/>
      <c r="AP865" s="76"/>
      <c r="AQ865" s="76"/>
      <c r="AR865" s="76"/>
      <c r="AS865" s="76"/>
      <c r="AT865" s="76"/>
      <c r="AU865" s="76"/>
      <c r="AV865" s="76"/>
      <c r="AW865" s="76"/>
      <c r="AX865" s="76">
        <f>+AW865*600000</f>
        <v>0</v>
      </c>
      <c r="AY865" s="76"/>
      <c r="AZ865" s="76">
        <f>+AY865*70000</f>
        <v>0</v>
      </c>
      <c r="BA865" s="76"/>
      <c r="BB865" s="76"/>
      <c r="BC865" s="76"/>
      <c r="BD865" s="76">
        <f>+BC865*30000</f>
        <v>0</v>
      </c>
      <c r="BE865" s="76"/>
      <c r="BF865" s="76"/>
      <c r="BG865" s="76"/>
      <c r="BH865" s="76"/>
      <c r="BI865" s="76"/>
      <c r="BJ865" s="76"/>
      <c r="BK865" s="76"/>
      <c r="BL865" s="76">
        <f>+BK865*31500</f>
        <v>0</v>
      </c>
      <c r="BM865" s="76"/>
      <c r="BN865" s="76"/>
      <c r="BO865" s="76"/>
      <c r="BP865" s="76"/>
      <c r="BQ865" s="76"/>
      <c r="BR865" s="76"/>
      <c r="BS865" s="76"/>
      <c r="BT865" s="76"/>
      <c r="BU865" s="76"/>
      <c r="BV865" s="76"/>
      <c r="BW865" s="76"/>
      <c r="BX865" s="76"/>
      <c r="BY865" s="76"/>
      <c r="BZ865" s="76"/>
      <c r="CA865" s="76"/>
      <c r="CB865" s="76"/>
      <c r="CC865" s="76"/>
      <c r="CD865" s="76"/>
      <c r="CE865" s="76"/>
      <c r="CF865" s="76">
        <f>+CE865*28000</f>
        <v>0</v>
      </c>
      <c r="CG865" s="76"/>
      <c r="CH865" s="76">
        <f>+CG865*22500</f>
        <v>0</v>
      </c>
      <c r="CI865" s="76"/>
      <c r="CJ865" s="76">
        <f>+CI865*26000</f>
        <v>0</v>
      </c>
      <c r="CK865" s="76"/>
      <c r="CL865" s="76"/>
      <c r="CM865" s="76"/>
      <c r="CN865" s="76">
        <f>+CM865*22000</f>
        <v>0</v>
      </c>
      <c r="CO865" s="76"/>
      <c r="CP865" s="76">
        <f>+CO865*46000</f>
        <v>0</v>
      </c>
      <c r="CQ865" s="76"/>
      <c r="CR865" s="76">
        <f>+CQ865*49000</f>
        <v>0</v>
      </c>
      <c r="CS865" s="76"/>
      <c r="CT865" s="76"/>
      <c r="CU865" s="56">
        <f>AN865+AP865+AR865+AT865+AV865+AX865+AZ865+BB865+BD865+BF865+BH865+BJ865+BL865+BN865+BP865+BR865+BT865+BV865+BX865+BZ865+CB865+CD865+CF865+CH865+CJ865+CL865+CN865+CP865+CR865+CT865</f>
        <v>0</v>
      </c>
      <c r="CV865" s="76"/>
      <c r="CW865" s="76">
        <f>+CV865*1100</f>
        <v>0</v>
      </c>
      <c r="CX865" s="76"/>
      <c r="CY865" s="76">
        <f>+CX865*106250</f>
        <v>0</v>
      </c>
      <c r="CZ865" s="76"/>
      <c r="DA865" s="76">
        <f>+CZ865*34500</f>
        <v>0</v>
      </c>
      <c r="DB865" s="76"/>
      <c r="DC865" s="76">
        <f>+DB865*25000</f>
        <v>0</v>
      </c>
      <c r="DD865" s="219"/>
      <c r="DE865" s="219"/>
      <c r="DF865" s="166"/>
      <c r="DG865" s="116"/>
      <c r="DH865" s="117"/>
      <c r="DI865" s="24"/>
      <c r="DJ865" s="24"/>
      <c r="DK865" s="24"/>
      <c r="DL865" s="24"/>
      <c r="DM865" s="24"/>
      <c r="DN865" s="24"/>
      <c r="DO865" s="24"/>
      <c r="DP865" s="24"/>
      <c r="DQ865" s="24"/>
      <c r="DR865" s="24"/>
      <c r="DS865" s="24"/>
      <c r="DT865" s="24"/>
      <c r="DU865" s="24"/>
    </row>
    <row r="866" spans="1:125" s="8" customFormat="1" ht="36" x14ac:dyDescent="0.2">
      <c r="A866" s="77">
        <v>41323</v>
      </c>
      <c r="B866" s="78" t="s">
        <v>2778</v>
      </c>
      <c r="C866" s="75" t="s">
        <v>1344</v>
      </c>
      <c r="D866" s="81" t="s">
        <v>2846</v>
      </c>
      <c r="E866" s="75" t="str">
        <f>VLOOKUP(B866&amp;C866,Divipola!$C$2:$F$1138,4,FALSE)</f>
        <v>85001</v>
      </c>
      <c r="F866" s="100"/>
      <c r="G866" s="100"/>
      <c r="H866" s="100"/>
      <c r="I866" s="100"/>
      <c r="J866" s="100"/>
      <c r="K866" s="100"/>
      <c r="L866" s="100"/>
      <c r="M866" s="100"/>
      <c r="N866" s="100"/>
      <c r="O866" s="100"/>
      <c r="P866" s="100"/>
      <c r="Q866" s="100"/>
      <c r="R866" s="100"/>
      <c r="S866" s="100"/>
      <c r="T866" s="100"/>
      <c r="U866" s="136">
        <v>10</v>
      </c>
      <c r="V866" s="89"/>
      <c r="W866" s="96">
        <v>0</v>
      </c>
      <c r="X866" s="71">
        <f>CU866</f>
        <v>0</v>
      </c>
      <c r="Y866" s="71">
        <f>CY866</f>
        <v>0</v>
      </c>
      <c r="Z866" s="71">
        <f>DA866+DC866+DE866</f>
        <v>0</v>
      </c>
      <c r="AA866" s="71">
        <f>CW866</f>
        <v>0</v>
      </c>
      <c r="AB866" s="71"/>
      <c r="AC866" s="71">
        <v>0</v>
      </c>
      <c r="AD866" s="71">
        <f>W866+X866+Y866+Z866+AA866+AB866+AC866</f>
        <v>0</v>
      </c>
      <c r="AE866" s="72">
        <v>0</v>
      </c>
      <c r="AF866" s="5"/>
      <c r="AG866" s="6"/>
      <c r="AH866" s="27" t="s">
        <v>3392</v>
      </c>
      <c r="AI866" s="44" t="s">
        <v>3393</v>
      </c>
      <c r="AJ866" s="26"/>
      <c r="AK866" s="5"/>
      <c r="AL866" s="82" t="s">
        <v>3586</v>
      </c>
      <c r="AM866" s="76"/>
      <c r="AN866" s="76"/>
      <c r="AO866" s="76"/>
      <c r="AP866" s="76"/>
      <c r="AQ866" s="76"/>
      <c r="AR866" s="76"/>
      <c r="AS866" s="76"/>
      <c r="AT866" s="76"/>
      <c r="AU866" s="76"/>
      <c r="AV866" s="76"/>
      <c r="AW866" s="76"/>
      <c r="AX866" s="76">
        <f>+AW866*600000</f>
        <v>0</v>
      </c>
      <c r="AY866" s="76"/>
      <c r="AZ866" s="76">
        <f>+AY866*70000</f>
        <v>0</v>
      </c>
      <c r="BA866" s="76"/>
      <c r="BB866" s="76"/>
      <c r="BC866" s="76"/>
      <c r="BD866" s="76">
        <f>+BC866*30000</f>
        <v>0</v>
      </c>
      <c r="BE866" s="76"/>
      <c r="BF866" s="76"/>
      <c r="BG866" s="76"/>
      <c r="BH866" s="76"/>
      <c r="BI866" s="76"/>
      <c r="BJ866" s="76"/>
      <c r="BK866" s="76"/>
      <c r="BL866" s="76">
        <f>+BK866*31500</f>
        <v>0</v>
      </c>
      <c r="BM866" s="76"/>
      <c r="BN866" s="76"/>
      <c r="BO866" s="76"/>
      <c r="BP866" s="76"/>
      <c r="BQ866" s="76"/>
      <c r="BR866" s="76"/>
      <c r="BS866" s="76"/>
      <c r="BT866" s="76"/>
      <c r="BU866" s="76"/>
      <c r="BV866" s="76"/>
      <c r="BW866" s="76"/>
      <c r="BX866" s="76"/>
      <c r="BY866" s="76"/>
      <c r="BZ866" s="76"/>
      <c r="CA866" s="76"/>
      <c r="CB866" s="76"/>
      <c r="CC866" s="76"/>
      <c r="CD866" s="76"/>
      <c r="CE866" s="76"/>
      <c r="CF866" s="76">
        <f>+CE866*28000</f>
        <v>0</v>
      </c>
      <c r="CG866" s="76"/>
      <c r="CH866" s="76">
        <f>+CG866*22500</f>
        <v>0</v>
      </c>
      <c r="CI866" s="76"/>
      <c r="CJ866" s="76">
        <f>+CI866*26000</f>
        <v>0</v>
      </c>
      <c r="CK866" s="76"/>
      <c r="CL866" s="76"/>
      <c r="CM866" s="76"/>
      <c r="CN866" s="76">
        <f>+CM866*22000</f>
        <v>0</v>
      </c>
      <c r="CO866" s="76"/>
      <c r="CP866" s="76">
        <f>+CO866*46000</f>
        <v>0</v>
      </c>
      <c r="CQ866" s="76"/>
      <c r="CR866" s="76">
        <f>+CQ866*49000</f>
        <v>0</v>
      </c>
      <c r="CS866" s="76"/>
      <c r="CT866" s="76"/>
      <c r="CU866" s="56">
        <f>AN866+AP866+AR866+AT866+AV866+AX866+AZ866+BB866+BD866+BF866+BH866+BJ866+BL866+BN866+BP866+BR866+BT866+BV866+BX866+BZ866+CB866+CD866+CF866+CH866+CJ866+CL866+CN866+CP866+CR866+CT866</f>
        <v>0</v>
      </c>
      <c r="CV866" s="76"/>
      <c r="CW866" s="76">
        <f>+CV866*1100</f>
        <v>0</v>
      </c>
      <c r="CX866" s="76"/>
      <c r="CY866" s="76">
        <f>+CX866*106250</f>
        <v>0</v>
      </c>
      <c r="CZ866" s="76"/>
      <c r="DA866" s="76">
        <f>+CZ866*34500</f>
        <v>0</v>
      </c>
      <c r="DB866" s="76"/>
      <c r="DC866" s="76">
        <f>+DB866*25000</f>
        <v>0</v>
      </c>
      <c r="DD866" s="219"/>
      <c r="DE866" s="219"/>
      <c r="DF866" s="166"/>
      <c r="DG866" s="116"/>
      <c r="DH866" s="117"/>
      <c r="DI866" s="24"/>
      <c r="DJ866" s="24"/>
      <c r="DK866" s="24"/>
      <c r="DL866" s="24"/>
      <c r="DM866" s="24"/>
      <c r="DN866" s="24"/>
      <c r="DO866" s="24"/>
      <c r="DP866" s="24"/>
      <c r="DQ866" s="24"/>
      <c r="DR866" s="24"/>
      <c r="DS866" s="24"/>
      <c r="DT866" s="24"/>
      <c r="DU866" s="24"/>
    </row>
    <row r="867" spans="1:125" s="8" customFormat="1" ht="48" x14ac:dyDescent="0.2">
      <c r="A867" s="77">
        <v>41323</v>
      </c>
      <c r="B867" s="78" t="s">
        <v>2778</v>
      </c>
      <c r="C867" s="75" t="s">
        <v>1344</v>
      </c>
      <c r="D867" s="81" t="s">
        <v>2846</v>
      </c>
      <c r="E867" s="75" t="str">
        <f>VLOOKUP(B867&amp;C867,Divipola!$C$2:$F$1138,4,FALSE)</f>
        <v>85001</v>
      </c>
      <c r="F867" s="87"/>
      <c r="G867" s="87"/>
      <c r="H867" s="87"/>
      <c r="I867" s="87"/>
      <c r="J867" s="87"/>
      <c r="K867" s="87"/>
      <c r="L867" s="87"/>
      <c r="M867" s="87"/>
      <c r="N867" s="87"/>
      <c r="O867" s="87"/>
      <c r="P867" s="87"/>
      <c r="Q867" s="87"/>
      <c r="R867" s="87"/>
      <c r="S867" s="87"/>
      <c r="T867" s="87"/>
      <c r="U867" s="88">
        <v>6</v>
      </c>
      <c r="V867" s="89"/>
      <c r="W867" s="96">
        <v>0</v>
      </c>
      <c r="X867" s="71">
        <f>CU867</f>
        <v>0</v>
      </c>
      <c r="Y867" s="71">
        <f>CY867</f>
        <v>0</v>
      </c>
      <c r="Z867" s="71">
        <f>DA867+DC867+DE867</f>
        <v>0</v>
      </c>
      <c r="AA867" s="71">
        <f>CW867</f>
        <v>0</v>
      </c>
      <c r="AB867" s="71"/>
      <c r="AC867" s="71">
        <v>0</v>
      </c>
      <c r="AD867" s="71">
        <f>W867+X867+Y867+Z867+AA867+AB867+AC867</f>
        <v>0</v>
      </c>
      <c r="AE867" s="72">
        <v>0</v>
      </c>
      <c r="AF867" s="5"/>
      <c r="AG867" s="6"/>
      <c r="AH867" s="27" t="s">
        <v>3392</v>
      </c>
      <c r="AI867" s="44" t="s">
        <v>3393</v>
      </c>
      <c r="AJ867" s="26"/>
      <c r="AK867" s="5"/>
      <c r="AL867" s="82" t="s">
        <v>3795</v>
      </c>
      <c r="AM867" s="76"/>
      <c r="AN867" s="76"/>
      <c r="AO867" s="76"/>
      <c r="AP867" s="76"/>
      <c r="AQ867" s="76"/>
      <c r="AR867" s="76"/>
      <c r="AS867" s="76"/>
      <c r="AT867" s="76"/>
      <c r="AU867" s="76"/>
      <c r="AV867" s="76"/>
      <c r="AW867" s="76"/>
      <c r="AX867" s="76">
        <f>+AW867*600000</f>
        <v>0</v>
      </c>
      <c r="AY867" s="76"/>
      <c r="AZ867" s="76">
        <f>+AY867*70000</f>
        <v>0</v>
      </c>
      <c r="BA867" s="76"/>
      <c r="BB867" s="76"/>
      <c r="BC867" s="76"/>
      <c r="BD867" s="76">
        <f>+BC867*30000</f>
        <v>0</v>
      </c>
      <c r="BE867" s="76"/>
      <c r="BF867" s="76"/>
      <c r="BG867" s="76"/>
      <c r="BH867" s="76"/>
      <c r="BI867" s="76"/>
      <c r="BJ867" s="76"/>
      <c r="BK867" s="76"/>
      <c r="BL867" s="76">
        <f>+BK867*31500</f>
        <v>0</v>
      </c>
      <c r="BM867" s="76"/>
      <c r="BN867" s="76"/>
      <c r="BO867" s="76"/>
      <c r="BP867" s="76"/>
      <c r="BQ867" s="76"/>
      <c r="BR867" s="76"/>
      <c r="BS867" s="76"/>
      <c r="BT867" s="76"/>
      <c r="BU867" s="76"/>
      <c r="BV867" s="76"/>
      <c r="BW867" s="76"/>
      <c r="BX867" s="76"/>
      <c r="BY867" s="76"/>
      <c r="BZ867" s="76"/>
      <c r="CA867" s="76"/>
      <c r="CB867" s="76"/>
      <c r="CC867" s="76"/>
      <c r="CD867" s="76"/>
      <c r="CE867" s="76"/>
      <c r="CF867" s="76">
        <f>+CE867*28000</f>
        <v>0</v>
      </c>
      <c r="CG867" s="76"/>
      <c r="CH867" s="76">
        <f>+CG867*22500</f>
        <v>0</v>
      </c>
      <c r="CI867" s="76"/>
      <c r="CJ867" s="76">
        <f>+CI867*26000</f>
        <v>0</v>
      </c>
      <c r="CK867" s="76"/>
      <c r="CL867" s="76"/>
      <c r="CM867" s="76"/>
      <c r="CN867" s="76">
        <f>+CM867*22000</f>
        <v>0</v>
      </c>
      <c r="CO867" s="76"/>
      <c r="CP867" s="76">
        <f>+CO867*46000</f>
        <v>0</v>
      </c>
      <c r="CQ867" s="76"/>
      <c r="CR867" s="76">
        <f>+CQ867*49000</f>
        <v>0</v>
      </c>
      <c r="CS867" s="76"/>
      <c r="CT867" s="76"/>
      <c r="CU867" s="56">
        <f>AN867+AP867+AR867+AT867+AV867+AX867+AZ867+BB867+BD867+BF867+BH867+BJ867+BL867+BN867+BP867+BR867+BT867+BV867+BX867+BZ867+CB867+CD867+CF867+CH867+CJ867+CL867+CN867+CP867+CR867+CT867</f>
        <v>0</v>
      </c>
      <c r="CV867" s="76"/>
      <c r="CW867" s="76">
        <f>+CV867*1100</f>
        <v>0</v>
      </c>
      <c r="CX867" s="76"/>
      <c r="CY867" s="76">
        <f>+CX867*106250</f>
        <v>0</v>
      </c>
      <c r="CZ867" s="76"/>
      <c r="DA867" s="76">
        <f>+CZ867*34500</f>
        <v>0</v>
      </c>
      <c r="DB867" s="76"/>
      <c r="DC867" s="76">
        <f>+DB867*25000</f>
        <v>0</v>
      </c>
      <c r="DD867" s="219"/>
      <c r="DE867" s="219"/>
      <c r="DF867" s="166"/>
      <c r="DG867" s="116"/>
      <c r="DH867" s="117"/>
      <c r="DI867" s="24"/>
      <c r="DJ867" s="24"/>
      <c r="DK867" s="24"/>
      <c r="DL867" s="24"/>
      <c r="DM867" s="24"/>
      <c r="DN867" s="24"/>
      <c r="DO867" s="24"/>
      <c r="DP867" s="24"/>
      <c r="DQ867" s="24"/>
      <c r="DR867" s="24"/>
      <c r="DS867" s="24"/>
      <c r="DT867" s="24"/>
      <c r="DU867" s="24"/>
    </row>
    <row r="868" spans="1:125" s="8" customFormat="1" ht="48" x14ac:dyDescent="0.2">
      <c r="A868" s="77">
        <v>41323</v>
      </c>
      <c r="B868" s="225" t="s">
        <v>2855</v>
      </c>
      <c r="C868" s="227" t="s">
        <v>897</v>
      </c>
      <c r="D868" s="81" t="s">
        <v>2846</v>
      </c>
      <c r="E868" s="75" t="str">
        <f>VLOOKUP(B868&amp;C868,Divipola!$C$2:$F$1138,4,FALSE)</f>
        <v>20045</v>
      </c>
      <c r="F868" s="100"/>
      <c r="G868" s="100"/>
      <c r="H868" s="100"/>
      <c r="I868" s="100"/>
      <c r="J868" s="100"/>
      <c r="K868" s="100"/>
      <c r="L868" s="100"/>
      <c r="M868" s="100"/>
      <c r="N868" s="100"/>
      <c r="O868" s="100"/>
      <c r="P868" s="100"/>
      <c r="Q868" s="100"/>
      <c r="R868" s="100"/>
      <c r="S868" s="100"/>
      <c r="T868" s="100"/>
      <c r="U868" s="136">
        <v>4</v>
      </c>
      <c r="V868" s="89"/>
      <c r="W868" s="96">
        <v>0</v>
      </c>
      <c r="X868" s="71">
        <f>CU868</f>
        <v>0</v>
      </c>
      <c r="Y868" s="71">
        <f>CY868</f>
        <v>0</v>
      </c>
      <c r="Z868" s="71">
        <f>DA868+DC868+DE868</f>
        <v>0</v>
      </c>
      <c r="AA868" s="71">
        <f>CW868</f>
        <v>0</v>
      </c>
      <c r="AB868" s="71"/>
      <c r="AC868" s="71">
        <v>0</v>
      </c>
      <c r="AD868" s="71">
        <f>W868+X868+Y868+Z868+AA868+AB868+AC868</f>
        <v>0</v>
      </c>
      <c r="AE868" s="72">
        <v>0</v>
      </c>
      <c r="AF868" s="5"/>
      <c r="AG868" s="6"/>
      <c r="AH868" s="27" t="s">
        <v>3392</v>
      </c>
      <c r="AI868" s="44" t="s">
        <v>3393</v>
      </c>
      <c r="AJ868" s="26"/>
      <c r="AK868" s="5"/>
      <c r="AL868" s="82" t="s">
        <v>3549</v>
      </c>
      <c r="AM868" s="76"/>
      <c r="AN868" s="76"/>
      <c r="AO868" s="76"/>
      <c r="AP868" s="76"/>
      <c r="AQ868" s="76"/>
      <c r="AR868" s="76"/>
      <c r="AS868" s="76"/>
      <c r="AT868" s="76"/>
      <c r="AU868" s="76"/>
      <c r="AV868" s="76"/>
      <c r="AW868" s="76"/>
      <c r="AX868" s="76">
        <f>+AW868*600000</f>
        <v>0</v>
      </c>
      <c r="AY868" s="76"/>
      <c r="AZ868" s="76">
        <f>+AY868*70000</f>
        <v>0</v>
      </c>
      <c r="BA868" s="76"/>
      <c r="BB868" s="76"/>
      <c r="BC868" s="76"/>
      <c r="BD868" s="76">
        <f>+BC868*30000</f>
        <v>0</v>
      </c>
      <c r="BE868" s="76"/>
      <c r="BF868" s="76"/>
      <c r="BG868" s="76"/>
      <c r="BH868" s="76"/>
      <c r="BI868" s="76"/>
      <c r="BJ868" s="76"/>
      <c r="BK868" s="76"/>
      <c r="BL868" s="76">
        <f>+BK868*31500</f>
        <v>0</v>
      </c>
      <c r="BM868" s="76"/>
      <c r="BN868" s="76"/>
      <c r="BO868" s="76"/>
      <c r="BP868" s="76"/>
      <c r="BQ868" s="76"/>
      <c r="BR868" s="76"/>
      <c r="BS868" s="76"/>
      <c r="BT868" s="76"/>
      <c r="BU868" s="76"/>
      <c r="BV868" s="76"/>
      <c r="BW868" s="76"/>
      <c r="BX868" s="76"/>
      <c r="BY868" s="76"/>
      <c r="BZ868" s="76"/>
      <c r="CA868" s="76"/>
      <c r="CB868" s="76"/>
      <c r="CC868" s="76"/>
      <c r="CD868" s="76"/>
      <c r="CE868" s="76"/>
      <c r="CF868" s="76">
        <f>+CE868*28000</f>
        <v>0</v>
      </c>
      <c r="CG868" s="76"/>
      <c r="CH868" s="76">
        <f>+CG868*22500</f>
        <v>0</v>
      </c>
      <c r="CI868" s="76"/>
      <c r="CJ868" s="76">
        <f>+CI868*26000</f>
        <v>0</v>
      </c>
      <c r="CK868" s="76"/>
      <c r="CL868" s="76"/>
      <c r="CM868" s="76"/>
      <c r="CN868" s="76">
        <f>+CM868*22000</f>
        <v>0</v>
      </c>
      <c r="CO868" s="76"/>
      <c r="CP868" s="76">
        <f>+CO868*46000</f>
        <v>0</v>
      </c>
      <c r="CQ868" s="76"/>
      <c r="CR868" s="76">
        <f>+CQ868*49000</f>
        <v>0</v>
      </c>
      <c r="CS868" s="76"/>
      <c r="CT868" s="76"/>
      <c r="CU868" s="56">
        <f>AN868+AP868+AR868+AT868+AV868+AX868+AZ868+BB868+BD868+BF868+BH868+BJ868+BL868+BN868+BP868+BR868+BT868+BV868+BX868+BZ868+CB868+CD868+CF868+CH868+CJ868+CL868+CN868+CP868+CR868+CT868</f>
        <v>0</v>
      </c>
      <c r="CV868" s="76"/>
      <c r="CW868" s="76">
        <f>+CV868*1100</f>
        <v>0</v>
      </c>
      <c r="CX868" s="76"/>
      <c r="CY868" s="76">
        <f>+CX868*106250</f>
        <v>0</v>
      </c>
      <c r="CZ868" s="76"/>
      <c r="DA868" s="76">
        <f>+CZ868*34500</f>
        <v>0</v>
      </c>
      <c r="DB868" s="76"/>
      <c r="DC868" s="76">
        <f>+DB868*25000</f>
        <v>0</v>
      </c>
      <c r="DD868" s="219"/>
      <c r="DE868" s="219"/>
      <c r="DF868" s="166"/>
      <c r="DG868" s="116"/>
      <c r="DH868" s="117"/>
      <c r="DI868" s="24"/>
      <c r="DJ868" s="24"/>
      <c r="DK868" s="24"/>
      <c r="DL868" s="24"/>
      <c r="DM868" s="24"/>
      <c r="DN868" s="24"/>
      <c r="DO868" s="24"/>
      <c r="DP868" s="24"/>
      <c r="DQ868" s="24"/>
      <c r="DR868" s="24"/>
      <c r="DS868" s="24"/>
      <c r="DT868" s="24"/>
      <c r="DU868" s="24"/>
    </row>
    <row r="869" spans="1:125" s="8" customFormat="1" ht="48" x14ac:dyDescent="0.2">
      <c r="A869" s="77">
        <v>41323</v>
      </c>
      <c r="B869" s="225" t="s">
        <v>2855</v>
      </c>
      <c r="C869" s="227" t="s">
        <v>924</v>
      </c>
      <c r="D869" s="75" t="s">
        <v>3051</v>
      </c>
      <c r="E869" s="75" t="str">
        <f>VLOOKUP(B869&amp;C869,Divipola!$C$2:$F$1138,4,FALSE)</f>
        <v>20517</v>
      </c>
      <c r="F869" s="158"/>
      <c r="G869" s="158"/>
      <c r="H869" s="158"/>
      <c r="I869" s="158"/>
      <c r="J869" s="158"/>
      <c r="K869" s="158"/>
      <c r="L869" s="158"/>
      <c r="M869" s="158"/>
      <c r="N869" s="158"/>
      <c r="O869" s="158"/>
      <c r="P869" s="158"/>
      <c r="Q869" s="158"/>
      <c r="R869" s="158"/>
      <c r="S869" s="158"/>
      <c r="T869" s="158"/>
      <c r="U869" s="159"/>
      <c r="V869" s="160"/>
      <c r="W869" s="96">
        <v>0</v>
      </c>
      <c r="X869" s="71">
        <f>CU869</f>
        <v>0</v>
      </c>
      <c r="Y869" s="71">
        <f>CY869</f>
        <v>0</v>
      </c>
      <c r="Z869" s="71">
        <f>DA869+DC869+DE869</f>
        <v>0</v>
      </c>
      <c r="AA869" s="71">
        <f>CW869</f>
        <v>0</v>
      </c>
      <c r="AB869" s="71"/>
      <c r="AC869" s="71">
        <v>0</v>
      </c>
      <c r="AD869" s="71">
        <f>W869+X869+Y869+Z869+AA869+AB869+AC869</f>
        <v>0</v>
      </c>
      <c r="AE869" s="72">
        <v>0</v>
      </c>
      <c r="AF869" s="5"/>
      <c r="AG869" s="6"/>
      <c r="AH869" s="27" t="s">
        <v>3392</v>
      </c>
      <c r="AI869" s="44" t="s">
        <v>3393</v>
      </c>
      <c r="AJ869" s="26"/>
      <c r="AK869" s="5"/>
      <c r="AL869" s="82" t="s">
        <v>3545</v>
      </c>
      <c r="AM869" s="76"/>
      <c r="AN869" s="76"/>
      <c r="AO869" s="76"/>
      <c r="AP869" s="76"/>
      <c r="AQ869" s="76"/>
      <c r="AR869" s="76"/>
      <c r="AS869" s="76"/>
      <c r="AT869" s="76"/>
      <c r="AU869" s="76"/>
      <c r="AV869" s="76"/>
      <c r="AW869" s="76"/>
      <c r="AX869" s="76">
        <f>+AW869*600000</f>
        <v>0</v>
      </c>
      <c r="AY869" s="76"/>
      <c r="AZ869" s="76">
        <f>+AY869*70000</f>
        <v>0</v>
      </c>
      <c r="BA869" s="76"/>
      <c r="BB869" s="76"/>
      <c r="BC869" s="76"/>
      <c r="BD869" s="76">
        <f>+BC869*30000</f>
        <v>0</v>
      </c>
      <c r="BE869" s="76"/>
      <c r="BF869" s="76"/>
      <c r="BG869" s="76"/>
      <c r="BH869" s="76"/>
      <c r="BI869" s="76"/>
      <c r="BJ869" s="76"/>
      <c r="BK869" s="76"/>
      <c r="BL869" s="76">
        <f>+BK869*31500</f>
        <v>0</v>
      </c>
      <c r="BM869" s="76"/>
      <c r="BN869" s="76"/>
      <c r="BO869" s="76"/>
      <c r="BP869" s="76"/>
      <c r="BQ869" s="76"/>
      <c r="BR869" s="76"/>
      <c r="BS869" s="76"/>
      <c r="BT869" s="76"/>
      <c r="BU869" s="76"/>
      <c r="BV869" s="76"/>
      <c r="BW869" s="76"/>
      <c r="BX869" s="76"/>
      <c r="BY869" s="76"/>
      <c r="BZ869" s="76"/>
      <c r="CA869" s="76"/>
      <c r="CB869" s="76"/>
      <c r="CC869" s="76"/>
      <c r="CD869" s="76"/>
      <c r="CE869" s="76"/>
      <c r="CF869" s="76">
        <f>+CE869*28000</f>
        <v>0</v>
      </c>
      <c r="CG869" s="76"/>
      <c r="CH869" s="76">
        <f>+CG869*22500</f>
        <v>0</v>
      </c>
      <c r="CI869" s="76"/>
      <c r="CJ869" s="76">
        <f>+CI869*26000</f>
        <v>0</v>
      </c>
      <c r="CK869" s="76"/>
      <c r="CL869" s="76"/>
      <c r="CM869" s="76"/>
      <c r="CN869" s="76">
        <f>+CM869*22000</f>
        <v>0</v>
      </c>
      <c r="CO869" s="76"/>
      <c r="CP869" s="76">
        <f>+CO869*46000</f>
        <v>0</v>
      </c>
      <c r="CQ869" s="76"/>
      <c r="CR869" s="76">
        <f>+CQ869*49000</f>
        <v>0</v>
      </c>
      <c r="CS869" s="76"/>
      <c r="CT869" s="76"/>
      <c r="CU869" s="56">
        <f>AN869+AP869+AR869+AT869+AV869+AX869+AZ869+BB869+BD869+BF869+BH869+BJ869+BL869+BN869+BP869+BR869+BT869+BV869+BX869+BZ869+CB869+CD869+CF869+CH869+CJ869+CL869+CN869+CP869+CR869+CT869</f>
        <v>0</v>
      </c>
      <c r="CV869" s="76"/>
      <c r="CW869" s="76">
        <f>+CV869*1100</f>
        <v>0</v>
      </c>
      <c r="CX869" s="76"/>
      <c r="CY869" s="76">
        <f>+CX869*106250</f>
        <v>0</v>
      </c>
      <c r="CZ869" s="76"/>
      <c r="DA869" s="76">
        <f>+CZ869*34500</f>
        <v>0</v>
      </c>
      <c r="DB869" s="76"/>
      <c r="DC869" s="76">
        <f>+DB869*25000</f>
        <v>0</v>
      </c>
      <c r="DD869" s="219"/>
      <c r="DE869" s="219"/>
      <c r="DF869" s="166"/>
      <c r="DG869" s="116"/>
      <c r="DH869" s="117"/>
      <c r="DI869" s="24"/>
      <c r="DJ869" s="24"/>
      <c r="DK869" s="24"/>
      <c r="DL869" s="24"/>
      <c r="DM869" s="24"/>
      <c r="DN869" s="24"/>
      <c r="DO869" s="24"/>
      <c r="DP869" s="24"/>
      <c r="DQ869" s="24"/>
      <c r="DR869" s="24"/>
      <c r="DS869" s="24"/>
      <c r="DT869" s="24"/>
      <c r="DU869" s="24"/>
    </row>
    <row r="870" spans="1:125" s="8" customFormat="1" ht="72" x14ac:dyDescent="0.2">
      <c r="A870" s="77">
        <v>41323</v>
      </c>
      <c r="B870" s="78" t="s">
        <v>2855</v>
      </c>
      <c r="C870" s="75" t="s">
        <v>2782</v>
      </c>
      <c r="D870" s="75" t="s">
        <v>2859</v>
      </c>
      <c r="E870" s="75" t="str">
        <f>VLOOKUP(B870&amp;C870,Divipola!$C$2:$F$1138,4,FALSE)</f>
        <v>20787</v>
      </c>
      <c r="F870" s="161"/>
      <c r="G870" s="161"/>
      <c r="H870" s="161"/>
      <c r="I870" s="161">
        <v>5</v>
      </c>
      <c r="J870" s="161">
        <v>1</v>
      </c>
      <c r="K870" s="161">
        <v>1</v>
      </c>
      <c r="L870" s="161"/>
      <c r="M870" s="161"/>
      <c r="N870" s="161"/>
      <c r="O870" s="161"/>
      <c r="P870" s="161"/>
      <c r="Q870" s="161"/>
      <c r="R870" s="161"/>
      <c r="S870" s="161"/>
      <c r="T870" s="161"/>
      <c r="U870" s="162"/>
      <c r="V870" s="160">
        <v>1</v>
      </c>
      <c r="W870" s="96">
        <v>0</v>
      </c>
      <c r="X870" s="71">
        <f>CU870</f>
        <v>0</v>
      </c>
      <c r="Y870" s="71">
        <f>CY870</f>
        <v>0</v>
      </c>
      <c r="Z870" s="71">
        <f>DA870+DC870+DE870</f>
        <v>0</v>
      </c>
      <c r="AA870" s="71">
        <f>CW870</f>
        <v>0</v>
      </c>
      <c r="AB870" s="71"/>
      <c r="AC870" s="71">
        <v>0</v>
      </c>
      <c r="AD870" s="71">
        <f>W870+X870+Y870+Z870+AA870+AB870+AC870</f>
        <v>0</v>
      </c>
      <c r="AE870" s="72">
        <v>0</v>
      </c>
      <c r="AF870" s="5"/>
      <c r="AG870" s="6"/>
      <c r="AH870" s="27" t="s">
        <v>3392</v>
      </c>
      <c r="AI870" s="44" t="s">
        <v>3393</v>
      </c>
      <c r="AJ870" s="26"/>
      <c r="AK870" s="5"/>
      <c r="AL870" s="82" t="s">
        <v>3546</v>
      </c>
      <c r="AM870" s="76"/>
      <c r="AN870" s="76"/>
      <c r="AO870" s="76"/>
      <c r="AP870" s="76"/>
      <c r="AQ870" s="76"/>
      <c r="AR870" s="76"/>
      <c r="AS870" s="76"/>
      <c r="AT870" s="76"/>
      <c r="AU870" s="76"/>
      <c r="AV870" s="76"/>
      <c r="AW870" s="76"/>
      <c r="AX870" s="76">
        <f>+AW870*600000</f>
        <v>0</v>
      </c>
      <c r="AY870" s="76"/>
      <c r="AZ870" s="76">
        <f>+AY870*70000</f>
        <v>0</v>
      </c>
      <c r="BA870" s="76"/>
      <c r="BB870" s="76"/>
      <c r="BC870" s="76"/>
      <c r="BD870" s="76">
        <f>+BC870*30000</f>
        <v>0</v>
      </c>
      <c r="BE870" s="76"/>
      <c r="BF870" s="76"/>
      <c r="BG870" s="76"/>
      <c r="BH870" s="76"/>
      <c r="BI870" s="76"/>
      <c r="BJ870" s="76"/>
      <c r="BK870" s="76"/>
      <c r="BL870" s="76">
        <f>+BK870*31500</f>
        <v>0</v>
      </c>
      <c r="BM870" s="76"/>
      <c r="BN870" s="76"/>
      <c r="BO870" s="76"/>
      <c r="BP870" s="76"/>
      <c r="BQ870" s="76"/>
      <c r="BR870" s="76"/>
      <c r="BS870" s="76"/>
      <c r="BT870" s="76"/>
      <c r="BU870" s="76"/>
      <c r="BV870" s="76"/>
      <c r="BW870" s="76"/>
      <c r="BX870" s="76"/>
      <c r="BY870" s="76"/>
      <c r="BZ870" s="76"/>
      <c r="CA870" s="76"/>
      <c r="CB870" s="76"/>
      <c r="CC870" s="76"/>
      <c r="CD870" s="76"/>
      <c r="CE870" s="76"/>
      <c r="CF870" s="76">
        <f>+CE870*28000</f>
        <v>0</v>
      </c>
      <c r="CG870" s="76"/>
      <c r="CH870" s="76">
        <f>+CG870*22500</f>
        <v>0</v>
      </c>
      <c r="CI870" s="76"/>
      <c r="CJ870" s="76">
        <f>+CI870*26000</f>
        <v>0</v>
      </c>
      <c r="CK870" s="76"/>
      <c r="CL870" s="76"/>
      <c r="CM870" s="76"/>
      <c r="CN870" s="76">
        <f>+CM870*22000</f>
        <v>0</v>
      </c>
      <c r="CO870" s="76"/>
      <c r="CP870" s="76">
        <f>+CO870*46000</f>
        <v>0</v>
      </c>
      <c r="CQ870" s="76"/>
      <c r="CR870" s="76">
        <f>+CQ870*49000</f>
        <v>0</v>
      </c>
      <c r="CS870" s="76"/>
      <c r="CT870" s="76"/>
      <c r="CU870" s="56">
        <f>AN870+AP870+AR870+AT870+AV870+AX870+AZ870+BB870+BD870+BF870+BH870+BJ870+BL870+BN870+BP870+BR870+BT870+BV870+BX870+BZ870+CB870+CD870+CF870+CH870+CJ870+CL870+CN870+CP870+CR870+CT870</f>
        <v>0</v>
      </c>
      <c r="CV870" s="76"/>
      <c r="CW870" s="76">
        <f>+CV870*1100</f>
        <v>0</v>
      </c>
      <c r="CX870" s="76"/>
      <c r="CY870" s="76">
        <f>+CX870*106250</f>
        <v>0</v>
      </c>
      <c r="CZ870" s="76"/>
      <c r="DA870" s="76">
        <f>+CZ870*34500</f>
        <v>0</v>
      </c>
      <c r="DB870" s="76"/>
      <c r="DC870" s="76">
        <f>+DB870*25000</f>
        <v>0</v>
      </c>
      <c r="DD870" s="219"/>
      <c r="DE870" s="219"/>
      <c r="DF870" s="166"/>
      <c r="DG870" s="116"/>
      <c r="DH870" s="117"/>
      <c r="DI870" s="24"/>
      <c r="DJ870" s="24"/>
      <c r="DK870" s="24"/>
      <c r="DL870" s="24"/>
      <c r="DM870" s="24"/>
      <c r="DN870" s="24"/>
      <c r="DO870" s="24"/>
      <c r="DP870" s="24"/>
      <c r="DQ870" s="24"/>
      <c r="DR870" s="24"/>
      <c r="DS870" s="24"/>
      <c r="DT870" s="24"/>
      <c r="DU870" s="24"/>
    </row>
    <row r="871" spans="1:125" s="8" customFormat="1" ht="36" x14ac:dyDescent="0.2">
      <c r="A871" s="77">
        <v>41323</v>
      </c>
      <c r="B871" s="78" t="s">
        <v>2291</v>
      </c>
      <c r="C871" s="75" t="s">
        <v>2292</v>
      </c>
      <c r="D871" s="81" t="s">
        <v>2846</v>
      </c>
      <c r="E871" s="75" t="str">
        <f>VLOOKUP(B871&amp;C871,Divipola!$C$2:$F$1138,4,FALSE)</f>
        <v>94001</v>
      </c>
      <c r="F871" s="87"/>
      <c r="G871" s="87"/>
      <c r="H871" s="87"/>
      <c r="I871" s="87"/>
      <c r="J871" s="87"/>
      <c r="K871" s="87"/>
      <c r="L871" s="87"/>
      <c r="M871" s="87"/>
      <c r="N871" s="87"/>
      <c r="O871" s="87"/>
      <c r="P871" s="87"/>
      <c r="Q871" s="87"/>
      <c r="R871" s="87"/>
      <c r="S871" s="87"/>
      <c r="T871" s="87"/>
      <c r="U871" s="88">
        <v>4</v>
      </c>
      <c r="V871" s="89"/>
      <c r="W871" s="96">
        <v>0</v>
      </c>
      <c r="X871" s="71">
        <f>CU871</f>
        <v>0</v>
      </c>
      <c r="Y871" s="71">
        <f>CY871</f>
        <v>0</v>
      </c>
      <c r="Z871" s="71">
        <f>DA871+DC871+DE871</f>
        <v>0</v>
      </c>
      <c r="AA871" s="71">
        <f>CW871</f>
        <v>0</v>
      </c>
      <c r="AB871" s="71"/>
      <c r="AC871" s="71">
        <v>0</v>
      </c>
      <c r="AD871" s="71">
        <f>W871+X871+Y871+Z871+AA871+AB871+AC871</f>
        <v>0</v>
      </c>
      <c r="AE871" s="72">
        <v>0</v>
      </c>
      <c r="AF871" s="5"/>
      <c r="AG871" s="6"/>
      <c r="AH871" s="27" t="s">
        <v>3392</v>
      </c>
      <c r="AI871" s="44" t="s">
        <v>3393</v>
      </c>
      <c r="AJ871" s="26"/>
      <c r="AK871" s="5"/>
      <c r="AL871" s="82" t="s">
        <v>3553</v>
      </c>
      <c r="AM871" s="76"/>
      <c r="AN871" s="76"/>
      <c r="AO871" s="76"/>
      <c r="AP871" s="76"/>
      <c r="AQ871" s="76"/>
      <c r="AR871" s="76"/>
      <c r="AS871" s="76"/>
      <c r="AT871" s="76"/>
      <c r="AU871" s="76"/>
      <c r="AV871" s="76"/>
      <c r="AW871" s="76"/>
      <c r="AX871" s="76">
        <f>+AW871*600000</f>
        <v>0</v>
      </c>
      <c r="AY871" s="76"/>
      <c r="AZ871" s="76">
        <f>+AY871*70000</f>
        <v>0</v>
      </c>
      <c r="BA871" s="76"/>
      <c r="BB871" s="76"/>
      <c r="BC871" s="76"/>
      <c r="BD871" s="76">
        <f>+BC871*30000</f>
        <v>0</v>
      </c>
      <c r="BE871" s="76"/>
      <c r="BF871" s="76"/>
      <c r="BG871" s="76"/>
      <c r="BH871" s="76"/>
      <c r="BI871" s="76"/>
      <c r="BJ871" s="76"/>
      <c r="BK871" s="76"/>
      <c r="BL871" s="76">
        <f>+BK871*31500</f>
        <v>0</v>
      </c>
      <c r="BM871" s="76"/>
      <c r="BN871" s="76"/>
      <c r="BO871" s="76"/>
      <c r="BP871" s="76"/>
      <c r="BQ871" s="76"/>
      <c r="BR871" s="76"/>
      <c r="BS871" s="76"/>
      <c r="BT871" s="76"/>
      <c r="BU871" s="76"/>
      <c r="BV871" s="76"/>
      <c r="BW871" s="76"/>
      <c r="BX871" s="76"/>
      <c r="BY871" s="76"/>
      <c r="BZ871" s="76"/>
      <c r="CA871" s="76"/>
      <c r="CB871" s="76"/>
      <c r="CC871" s="76"/>
      <c r="CD871" s="76"/>
      <c r="CE871" s="76"/>
      <c r="CF871" s="76">
        <f>+CE871*28000</f>
        <v>0</v>
      </c>
      <c r="CG871" s="76"/>
      <c r="CH871" s="76">
        <f>+CG871*22500</f>
        <v>0</v>
      </c>
      <c r="CI871" s="76"/>
      <c r="CJ871" s="76">
        <f>+CI871*26000</f>
        <v>0</v>
      </c>
      <c r="CK871" s="76"/>
      <c r="CL871" s="76"/>
      <c r="CM871" s="76"/>
      <c r="CN871" s="76">
        <f>+CM871*22000</f>
        <v>0</v>
      </c>
      <c r="CO871" s="76"/>
      <c r="CP871" s="76">
        <f>+CO871*46000</f>
        <v>0</v>
      </c>
      <c r="CQ871" s="76"/>
      <c r="CR871" s="76">
        <f>+CQ871*49000</f>
        <v>0</v>
      </c>
      <c r="CS871" s="76"/>
      <c r="CT871" s="76"/>
      <c r="CU871" s="56">
        <f>AN871+AP871+AR871+AT871+AV871+AX871+AZ871+BB871+BD871+BF871+BH871+BJ871+BL871+BN871+BP871+BR871+BT871+BV871+BX871+BZ871+CB871+CD871+CF871+CH871+CJ871+CL871+CN871+CP871+CR871+CT871</f>
        <v>0</v>
      </c>
      <c r="CV871" s="76"/>
      <c r="CW871" s="76">
        <f>+CV871*1100</f>
        <v>0</v>
      </c>
      <c r="CX871" s="76"/>
      <c r="CY871" s="76">
        <f>+CX871*106250</f>
        <v>0</v>
      </c>
      <c r="CZ871" s="76"/>
      <c r="DA871" s="76">
        <f>+CZ871*34500</f>
        <v>0</v>
      </c>
      <c r="DB871" s="76"/>
      <c r="DC871" s="76">
        <f>+DB871*25000</f>
        <v>0</v>
      </c>
      <c r="DD871" s="219"/>
      <c r="DE871" s="219"/>
      <c r="DF871" s="166"/>
      <c r="DG871" s="116"/>
      <c r="DH871" s="117"/>
      <c r="DI871" s="24"/>
      <c r="DJ871" s="24"/>
      <c r="DK871" s="24"/>
      <c r="DL871" s="24"/>
      <c r="DM871" s="24"/>
      <c r="DN871" s="24"/>
      <c r="DO871" s="24"/>
      <c r="DP871" s="24"/>
      <c r="DQ871" s="24"/>
      <c r="DR871" s="24"/>
      <c r="DS871" s="24"/>
      <c r="DT871" s="24"/>
      <c r="DU871" s="24"/>
    </row>
    <row r="872" spans="1:125" s="8" customFormat="1" ht="48" x14ac:dyDescent="0.2">
      <c r="A872" s="77">
        <v>41323</v>
      </c>
      <c r="B872" s="225" t="s">
        <v>2661</v>
      </c>
      <c r="C872" s="227" t="s">
        <v>475</v>
      </c>
      <c r="D872" s="75" t="s">
        <v>3051</v>
      </c>
      <c r="E872" s="75" t="str">
        <f>VLOOKUP(B872&amp;C872,Divipola!$C$2:$F$1138,4,FALSE)</f>
        <v>41006</v>
      </c>
      <c r="F872" s="100"/>
      <c r="G872" s="100"/>
      <c r="H872" s="100"/>
      <c r="I872" s="100">
        <v>12</v>
      </c>
      <c r="J872" s="100">
        <v>2</v>
      </c>
      <c r="K872" s="100"/>
      <c r="L872" s="100">
        <v>2</v>
      </c>
      <c r="M872" s="100"/>
      <c r="N872" s="100"/>
      <c r="O872" s="100"/>
      <c r="P872" s="100"/>
      <c r="Q872" s="100"/>
      <c r="R872" s="100"/>
      <c r="S872" s="100"/>
      <c r="T872" s="100"/>
      <c r="U872" s="136"/>
      <c r="V872" s="89"/>
      <c r="W872" s="96">
        <v>0</v>
      </c>
      <c r="X872" s="71">
        <f>CU872</f>
        <v>0</v>
      </c>
      <c r="Y872" s="71">
        <f>CY872</f>
        <v>0</v>
      </c>
      <c r="Z872" s="71">
        <f>DA872+DC872+DE872</f>
        <v>0</v>
      </c>
      <c r="AA872" s="71">
        <f>CW872</f>
        <v>0</v>
      </c>
      <c r="AB872" s="71"/>
      <c r="AC872" s="71">
        <v>0</v>
      </c>
      <c r="AD872" s="71">
        <f>W872+X872+Y872+Z872+AA872+AB872+AC872</f>
        <v>0</v>
      </c>
      <c r="AE872" s="72">
        <v>0</v>
      </c>
      <c r="AF872" s="5"/>
      <c r="AG872" s="6"/>
      <c r="AH872" s="27" t="s">
        <v>3392</v>
      </c>
      <c r="AI872" s="44" t="s">
        <v>3393</v>
      </c>
      <c r="AJ872" s="26"/>
      <c r="AK872" s="5"/>
      <c r="AL872" s="82" t="s">
        <v>3552</v>
      </c>
      <c r="AM872" s="76"/>
      <c r="AN872" s="76"/>
      <c r="AO872" s="76"/>
      <c r="AP872" s="76"/>
      <c r="AQ872" s="76"/>
      <c r="AR872" s="76"/>
      <c r="AS872" s="76"/>
      <c r="AT872" s="76"/>
      <c r="AU872" s="76"/>
      <c r="AV872" s="76"/>
      <c r="AW872" s="76"/>
      <c r="AX872" s="76">
        <f>+AW872*600000</f>
        <v>0</v>
      </c>
      <c r="AY872" s="76"/>
      <c r="AZ872" s="76">
        <f>+AY872*70000</f>
        <v>0</v>
      </c>
      <c r="BA872" s="76"/>
      <c r="BB872" s="76"/>
      <c r="BC872" s="76"/>
      <c r="BD872" s="76">
        <f>+BC872*30000</f>
        <v>0</v>
      </c>
      <c r="BE872" s="76"/>
      <c r="BF872" s="76"/>
      <c r="BG872" s="76"/>
      <c r="BH872" s="76"/>
      <c r="BI872" s="76"/>
      <c r="BJ872" s="76"/>
      <c r="BK872" s="76"/>
      <c r="BL872" s="76">
        <f>+BK872*31500</f>
        <v>0</v>
      </c>
      <c r="BM872" s="76"/>
      <c r="BN872" s="76"/>
      <c r="BO872" s="76"/>
      <c r="BP872" s="76"/>
      <c r="BQ872" s="76"/>
      <c r="BR872" s="76"/>
      <c r="BS872" s="76"/>
      <c r="BT872" s="76"/>
      <c r="BU872" s="76"/>
      <c r="BV872" s="76"/>
      <c r="BW872" s="76"/>
      <c r="BX872" s="76"/>
      <c r="BY872" s="76"/>
      <c r="BZ872" s="76"/>
      <c r="CA872" s="76"/>
      <c r="CB872" s="76"/>
      <c r="CC872" s="76"/>
      <c r="CD872" s="76"/>
      <c r="CE872" s="76"/>
      <c r="CF872" s="76">
        <f>+CE872*28000</f>
        <v>0</v>
      </c>
      <c r="CG872" s="76"/>
      <c r="CH872" s="76">
        <f>+CG872*22500</f>
        <v>0</v>
      </c>
      <c r="CI872" s="76"/>
      <c r="CJ872" s="76">
        <f>+CI872*26000</f>
        <v>0</v>
      </c>
      <c r="CK872" s="76"/>
      <c r="CL872" s="76"/>
      <c r="CM872" s="76"/>
      <c r="CN872" s="76">
        <f>+CM872*22000</f>
        <v>0</v>
      </c>
      <c r="CO872" s="76"/>
      <c r="CP872" s="76">
        <f>+CO872*46000</f>
        <v>0</v>
      </c>
      <c r="CQ872" s="76"/>
      <c r="CR872" s="76">
        <f>+CQ872*49000</f>
        <v>0</v>
      </c>
      <c r="CS872" s="76"/>
      <c r="CT872" s="76"/>
      <c r="CU872" s="56">
        <f>AN872+AP872+AR872+AT872+AV872+AX872+AZ872+BB872+BD872+BF872+BH872+BJ872+BL872+BN872+BP872+BR872+BT872+BV872+BX872+BZ872+CB872+CD872+CF872+CH872+CJ872+CL872+CN872+CP872+CR872+CT872</f>
        <v>0</v>
      </c>
      <c r="CV872" s="76"/>
      <c r="CW872" s="76">
        <f>+CV872*1100</f>
        <v>0</v>
      </c>
      <c r="CX872" s="76"/>
      <c r="CY872" s="76">
        <f>+CX872*106250</f>
        <v>0</v>
      </c>
      <c r="CZ872" s="76"/>
      <c r="DA872" s="76">
        <f>+CZ872*34500</f>
        <v>0</v>
      </c>
      <c r="DB872" s="76"/>
      <c r="DC872" s="76">
        <f>+DB872*25000</f>
        <v>0</v>
      </c>
      <c r="DD872" s="219"/>
      <c r="DE872" s="219"/>
      <c r="DF872" s="166"/>
      <c r="DG872" s="116"/>
      <c r="DH872" s="117"/>
      <c r="DI872" s="24"/>
      <c r="DJ872" s="24"/>
      <c r="DK872" s="24"/>
      <c r="DL872" s="24"/>
      <c r="DM872" s="24"/>
      <c r="DN872" s="24"/>
      <c r="DO872" s="24"/>
      <c r="DP872" s="24"/>
      <c r="DQ872" s="24"/>
      <c r="DR872" s="24"/>
      <c r="DS872" s="24"/>
      <c r="DT872" s="24"/>
      <c r="DU872" s="24"/>
    </row>
    <row r="873" spans="1:125" s="8" customFormat="1" ht="36" x14ac:dyDescent="0.2">
      <c r="A873" s="77">
        <v>41323</v>
      </c>
      <c r="B873" s="78" t="s">
        <v>2906</v>
      </c>
      <c r="C873" s="75" t="s">
        <v>1367</v>
      </c>
      <c r="D873" s="81" t="s">
        <v>2846</v>
      </c>
      <c r="E873" s="75" t="str">
        <f>VLOOKUP(B873&amp;C873,Divipola!$C$2:$F$1138,4,FALSE)</f>
        <v>47675</v>
      </c>
      <c r="F873" s="87"/>
      <c r="G873" s="87"/>
      <c r="H873" s="87"/>
      <c r="I873" s="87"/>
      <c r="J873" s="87"/>
      <c r="K873" s="87"/>
      <c r="L873" s="87"/>
      <c r="M873" s="87"/>
      <c r="N873" s="87"/>
      <c r="O873" s="87"/>
      <c r="P873" s="87"/>
      <c r="Q873" s="87"/>
      <c r="R873" s="87"/>
      <c r="S873" s="87"/>
      <c r="T873" s="87"/>
      <c r="U873" s="88">
        <v>2</v>
      </c>
      <c r="V873" s="89"/>
      <c r="W873" s="96">
        <v>0</v>
      </c>
      <c r="X873" s="71">
        <f>CU873</f>
        <v>0</v>
      </c>
      <c r="Y873" s="71">
        <f>CY873</f>
        <v>0</v>
      </c>
      <c r="Z873" s="71">
        <f>DA873+DC873+DE873</f>
        <v>0</v>
      </c>
      <c r="AA873" s="71">
        <f>CW873</f>
        <v>0</v>
      </c>
      <c r="AB873" s="71"/>
      <c r="AC873" s="71">
        <v>0</v>
      </c>
      <c r="AD873" s="71">
        <f>W873+X873+Y873+Z873+AA873+AB873+AC873</f>
        <v>0</v>
      </c>
      <c r="AE873" s="72">
        <v>0</v>
      </c>
      <c r="AF873" s="5"/>
      <c r="AG873" s="6"/>
      <c r="AH873" s="27" t="s">
        <v>3392</v>
      </c>
      <c r="AI873" s="44" t="s">
        <v>3393</v>
      </c>
      <c r="AJ873" s="26"/>
      <c r="AK873" s="5"/>
      <c r="AL873" s="82" t="s">
        <v>3547</v>
      </c>
      <c r="AM873" s="76"/>
      <c r="AN873" s="76"/>
      <c r="AO873" s="76"/>
      <c r="AP873" s="76"/>
      <c r="AQ873" s="76"/>
      <c r="AR873" s="76"/>
      <c r="AS873" s="76"/>
      <c r="AT873" s="76"/>
      <c r="AU873" s="76"/>
      <c r="AV873" s="76"/>
      <c r="AW873" s="76"/>
      <c r="AX873" s="76">
        <f>+AW873*600000</f>
        <v>0</v>
      </c>
      <c r="AY873" s="76"/>
      <c r="AZ873" s="76">
        <f>+AY873*70000</f>
        <v>0</v>
      </c>
      <c r="BA873" s="76"/>
      <c r="BB873" s="76"/>
      <c r="BC873" s="76"/>
      <c r="BD873" s="76">
        <f>+BC873*30000</f>
        <v>0</v>
      </c>
      <c r="BE873" s="76"/>
      <c r="BF873" s="76"/>
      <c r="BG873" s="76"/>
      <c r="BH873" s="76"/>
      <c r="BI873" s="76"/>
      <c r="BJ873" s="76"/>
      <c r="BK873" s="76"/>
      <c r="BL873" s="76">
        <f>+BK873*31500</f>
        <v>0</v>
      </c>
      <c r="BM873" s="76"/>
      <c r="BN873" s="76"/>
      <c r="BO873" s="76"/>
      <c r="BP873" s="76"/>
      <c r="BQ873" s="76"/>
      <c r="BR873" s="76"/>
      <c r="BS873" s="76"/>
      <c r="BT873" s="76"/>
      <c r="BU873" s="76"/>
      <c r="BV873" s="76"/>
      <c r="BW873" s="76"/>
      <c r="BX873" s="76"/>
      <c r="BY873" s="76"/>
      <c r="BZ873" s="76"/>
      <c r="CA873" s="76"/>
      <c r="CB873" s="76"/>
      <c r="CC873" s="76"/>
      <c r="CD873" s="76"/>
      <c r="CE873" s="76"/>
      <c r="CF873" s="76">
        <f>+CE873*28000</f>
        <v>0</v>
      </c>
      <c r="CG873" s="76"/>
      <c r="CH873" s="76">
        <f>+CG873*22500</f>
        <v>0</v>
      </c>
      <c r="CI873" s="76"/>
      <c r="CJ873" s="76">
        <f>+CI873*26000</f>
        <v>0</v>
      </c>
      <c r="CK873" s="76"/>
      <c r="CL873" s="76"/>
      <c r="CM873" s="76"/>
      <c r="CN873" s="76">
        <f>+CM873*22000</f>
        <v>0</v>
      </c>
      <c r="CO873" s="76"/>
      <c r="CP873" s="76">
        <f>+CO873*46000</f>
        <v>0</v>
      </c>
      <c r="CQ873" s="76"/>
      <c r="CR873" s="76">
        <f>+CQ873*49000</f>
        <v>0</v>
      </c>
      <c r="CS873" s="76"/>
      <c r="CT873" s="76"/>
      <c r="CU873" s="56">
        <f>AN873+AP873+AR873+AT873+AV873+AX873+AZ873+BB873+BD873+BF873+BH873+BJ873+BL873+BN873+BP873+BR873+BT873+BV873+BX873+BZ873+CB873+CD873+CF873+CH873+CJ873+CL873+CN873+CP873+CR873+CT873</f>
        <v>0</v>
      </c>
      <c r="CV873" s="76"/>
      <c r="CW873" s="76">
        <f>+CV873*1100</f>
        <v>0</v>
      </c>
      <c r="CX873" s="76"/>
      <c r="CY873" s="76">
        <f>+CX873*106250</f>
        <v>0</v>
      </c>
      <c r="CZ873" s="76"/>
      <c r="DA873" s="76">
        <f>+CZ873*34500</f>
        <v>0</v>
      </c>
      <c r="DB873" s="76"/>
      <c r="DC873" s="76">
        <f>+DB873*25000</f>
        <v>0</v>
      </c>
      <c r="DD873" s="219"/>
      <c r="DE873" s="219"/>
      <c r="DF873" s="166"/>
      <c r="DG873" s="116"/>
      <c r="DH873" s="117"/>
      <c r="DI873" s="24"/>
      <c r="DJ873" s="24"/>
      <c r="DK873" s="24"/>
      <c r="DL873" s="24"/>
      <c r="DM873" s="24"/>
      <c r="DN873" s="24"/>
      <c r="DO873" s="24"/>
      <c r="DP873" s="24"/>
      <c r="DQ873" s="24"/>
      <c r="DR873" s="24"/>
      <c r="DS873" s="24"/>
      <c r="DT873" s="24"/>
      <c r="DU873" s="24"/>
    </row>
    <row r="874" spans="1:125" s="8" customFormat="1" ht="36" x14ac:dyDescent="0.2">
      <c r="A874" s="77">
        <v>41323</v>
      </c>
      <c r="B874" s="352" t="s">
        <v>2851</v>
      </c>
      <c r="C874" s="354" t="s">
        <v>2667</v>
      </c>
      <c r="D874" s="354" t="s">
        <v>2882</v>
      </c>
      <c r="E874" s="75" t="str">
        <f>VLOOKUP(B874&amp;C874,Divipola!$C$2:$F$1138,4,FALSE)</f>
        <v>76364</v>
      </c>
      <c r="F874" s="87"/>
      <c r="G874" s="87"/>
      <c r="H874" s="87"/>
      <c r="I874" s="87">
        <v>10</v>
      </c>
      <c r="J874" s="87">
        <v>2</v>
      </c>
      <c r="K874" s="87"/>
      <c r="L874" s="87">
        <v>2</v>
      </c>
      <c r="M874" s="87"/>
      <c r="N874" s="87"/>
      <c r="O874" s="87"/>
      <c r="P874" s="87"/>
      <c r="Q874" s="87"/>
      <c r="R874" s="87"/>
      <c r="S874" s="87"/>
      <c r="T874" s="87"/>
      <c r="U874" s="88"/>
      <c r="V874" s="89"/>
      <c r="W874" s="96">
        <v>0</v>
      </c>
      <c r="X874" s="71">
        <f>CU874</f>
        <v>0</v>
      </c>
      <c r="Y874" s="71">
        <f>CY874</f>
        <v>0</v>
      </c>
      <c r="Z874" s="71">
        <f>DA874+DC874+DE874</f>
        <v>0</v>
      </c>
      <c r="AA874" s="71">
        <f>CW874</f>
        <v>0</v>
      </c>
      <c r="AB874" s="71"/>
      <c r="AC874" s="71">
        <v>0</v>
      </c>
      <c r="AD874" s="71">
        <f>W874+X874+Y874+Z874+AA874+AB874+AC874</f>
        <v>0</v>
      </c>
      <c r="AE874" s="72">
        <v>0</v>
      </c>
      <c r="AF874" s="5"/>
      <c r="AG874" s="6"/>
      <c r="AH874" s="27" t="s">
        <v>3392</v>
      </c>
      <c r="AI874" s="44" t="s">
        <v>3393</v>
      </c>
      <c r="AJ874" s="26"/>
      <c r="AK874" s="5"/>
      <c r="AL874" s="82" t="s">
        <v>3548</v>
      </c>
      <c r="AM874" s="76"/>
      <c r="AN874" s="76"/>
      <c r="AO874" s="76"/>
      <c r="AP874" s="76"/>
      <c r="AQ874" s="76"/>
      <c r="AR874" s="76"/>
      <c r="AS874" s="76"/>
      <c r="AT874" s="76"/>
      <c r="AU874" s="76"/>
      <c r="AV874" s="76"/>
      <c r="AW874" s="76"/>
      <c r="AX874" s="76">
        <f>+AW874*600000</f>
        <v>0</v>
      </c>
      <c r="AY874" s="76"/>
      <c r="AZ874" s="76">
        <f>+AY874*70000</f>
        <v>0</v>
      </c>
      <c r="BA874" s="76"/>
      <c r="BB874" s="76"/>
      <c r="BC874" s="76"/>
      <c r="BD874" s="76">
        <f>+BC874*30000</f>
        <v>0</v>
      </c>
      <c r="BE874" s="76"/>
      <c r="BF874" s="76"/>
      <c r="BG874" s="76"/>
      <c r="BH874" s="76"/>
      <c r="BI874" s="76"/>
      <c r="BJ874" s="76"/>
      <c r="BK874" s="76"/>
      <c r="BL874" s="76">
        <f>+BK874*31500</f>
        <v>0</v>
      </c>
      <c r="BM874" s="76"/>
      <c r="BN874" s="76"/>
      <c r="BO874" s="76"/>
      <c r="BP874" s="76"/>
      <c r="BQ874" s="76"/>
      <c r="BR874" s="76"/>
      <c r="BS874" s="76"/>
      <c r="BT874" s="76"/>
      <c r="BU874" s="76"/>
      <c r="BV874" s="76"/>
      <c r="BW874" s="76"/>
      <c r="BX874" s="76"/>
      <c r="BY874" s="76"/>
      <c r="BZ874" s="76"/>
      <c r="CA874" s="76"/>
      <c r="CB874" s="76"/>
      <c r="CC874" s="76"/>
      <c r="CD874" s="76"/>
      <c r="CE874" s="76"/>
      <c r="CF874" s="76">
        <f>+CE874*28000</f>
        <v>0</v>
      </c>
      <c r="CG874" s="76"/>
      <c r="CH874" s="76">
        <f>+CG874*22500</f>
        <v>0</v>
      </c>
      <c r="CI874" s="76"/>
      <c r="CJ874" s="76">
        <f>+CI874*26000</f>
        <v>0</v>
      </c>
      <c r="CK874" s="76"/>
      <c r="CL874" s="76"/>
      <c r="CM874" s="76"/>
      <c r="CN874" s="76">
        <f>+CM874*22000</f>
        <v>0</v>
      </c>
      <c r="CO874" s="76"/>
      <c r="CP874" s="76">
        <f>+CO874*46000</f>
        <v>0</v>
      </c>
      <c r="CQ874" s="76"/>
      <c r="CR874" s="76">
        <f>+CQ874*49000</f>
        <v>0</v>
      </c>
      <c r="CS874" s="76"/>
      <c r="CT874" s="76"/>
      <c r="CU874" s="56">
        <f>AN874+AP874+AR874+AT874+AV874+AX874+AZ874+BB874+BD874+BF874+BH874+BJ874+BL874+BN874+BP874+BR874+BT874+BV874+BX874+BZ874+CB874+CD874+CF874+CH874+CJ874+CL874+CN874+CP874+CR874+CT874</f>
        <v>0</v>
      </c>
      <c r="CV874" s="76"/>
      <c r="CW874" s="76">
        <f>+CV874*1100</f>
        <v>0</v>
      </c>
      <c r="CX874" s="76"/>
      <c r="CY874" s="76">
        <f>+CX874*106250</f>
        <v>0</v>
      </c>
      <c r="CZ874" s="76"/>
      <c r="DA874" s="76">
        <f>+CZ874*34500</f>
        <v>0</v>
      </c>
      <c r="DB874" s="76"/>
      <c r="DC874" s="76">
        <f>+DB874*25000</f>
        <v>0</v>
      </c>
      <c r="DD874" s="219"/>
      <c r="DE874" s="219"/>
      <c r="DF874" s="166"/>
      <c r="DG874" s="116"/>
      <c r="DH874" s="117"/>
      <c r="DI874" s="24"/>
      <c r="DJ874" s="24"/>
      <c r="DK874" s="24"/>
      <c r="DL874" s="24"/>
      <c r="DM874" s="24"/>
      <c r="DN874" s="24"/>
      <c r="DO874" s="24"/>
      <c r="DP874" s="24"/>
      <c r="DQ874" s="24"/>
      <c r="DR874" s="24"/>
      <c r="DS874" s="24"/>
      <c r="DT874" s="24"/>
      <c r="DU874" s="24"/>
    </row>
    <row r="875" spans="1:125" s="8" customFormat="1" ht="24" x14ac:dyDescent="0.2">
      <c r="A875" s="77">
        <v>41324</v>
      </c>
      <c r="B875" s="225" t="s">
        <v>2894</v>
      </c>
      <c r="C875" s="227" t="s">
        <v>2822</v>
      </c>
      <c r="D875" s="81" t="s">
        <v>2846</v>
      </c>
      <c r="E875" s="75" t="str">
        <f>VLOOKUP(B875&amp;C875,Divipola!$C$2:$F$1138,4,FALSE)</f>
        <v>05631</v>
      </c>
      <c r="F875" s="87"/>
      <c r="G875" s="87"/>
      <c r="H875" s="87"/>
      <c r="I875" s="87"/>
      <c r="J875" s="87"/>
      <c r="K875" s="87"/>
      <c r="L875" s="87"/>
      <c r="M875" s="87"/>
      <c r="N875" s="87"/>
      <c r="O875" s="87"/>
      <c r="P875" s="87"/>
      <c r="Q875" s="87"/>
      <c r="R875" s="87"/>
      <c r="S875" s="87"/>
      <c r="T875" s="87"/>
      <c r="U875" s="88"/>
      <c r="V875" s="89"/>
      <c r="W875" s="96">
        <v>0</v>
      </c>
      <c r="X875" s="71">
        <f>CU875</f>
        <v>0</v>
      </c>
      <c r="Y875" s="71">
        <f>CY875</f>
        <v>0</v>
      </c>
      <c r="Z875" s="71">
        <f>DA875+DC875+DE875</f>
        <v>0</v>
      </c>
      <c r="AA875" s="71">
        <f>CW875</f>
        <v>0</v>
      </c>
      <c r="AB875" s="71"/>
      <c r="AC875" s="71">
        <v>0</v>
      </c>
      <c r="AD875" s="71">
        <f>W875+X875+Y875+Z875+AA875+AB875+AC875</f>
        <v>0</v>
      </c>
      <c r="AE875" s="72">
        <v>0</v>
      </c>
      <c r="AF875" s="5"/>
      <c r="AG875" s="6"/>
      <c r="AH875" s="27" t="s">
        <v>3392</v>
      </c>
      <c r="AI875" s="44" t="s">
        <v>3393</v>
      </c>
      <c r="AJ875" s="26"/>
      <c r="AK875" s="5"/>
      <c r="AL875" s="82" t="s">
        <v>3557</v>
      </c>
      <c r="AM875" s="76"/>
      <c r="AN875" s="76"/>
      <c r="AO875" s="76"/>
      <c r="AP875" s="76"/>
      <c r="AQ875" s="76"/>
      <c r="AR875" s="76"/>
      <c r="AS875" s="76"/>
      <c r="AT875" s="76"/>
      <c r="AU875" s="76"/>
      <c r="AV875" s="76"/>
      <c r="AW875" s="76"/>
      <c r="AX875" s="76">
        <f>+AW875*600000</f>
        <v>0</v>
      </c>
      <c r="AY875" s="76"/>
      <c r="AZ875" s="76">
        <f>+AY875*70000</f>
        <v>0</v>
      </c>
      <c r="BA875" s="76"/>
      <c r="BB875" s="76"/>
      <c r="BC875" s="76"/>
      <c r="BD875" s="76">
        <f>+BC875*30000</f>
        <v>0</v>
      </c>
      <c r="BE875" s="76"/>
      <c r="BF875" s="76"/>
      <c r="BG875" s="76"/>
      <c r="BH875" s="76"/>
      <c r="BI875" s="76"/>
      <c r="BJ875" s="76"/>
      <c r="BK875" s="76"/>
      <c r="BL875" s="76">
        <f>+BK875*31500</f>
        <v>0</v>
      </c>
      <c r="BM875" s="76"/>
      <c r="BN875" s="76"/>
      <c r="BO875" s="76"/>
      <c r="BP875" s="76"/>
      <c r="BQ875" s="76"/>
      <c r="BR875" s="76"/>
      <c r="BS875" s="76"/>
      <c r="BT875" s="76"/>
      <c r="BU875" s="76"/>
      <c r="BV875" s="76"/>
      <c r="BW875" s="76"/>
      <c r="BX875" s="76"/>
      <c r="BY875" s="76"/>
      <c r="BZ875" s="76"/>
      <c r="CA875" s="76"/>
      <c r="CB875" s="76"/>
      <c r="CC875" s="76"/>
      <c r="CD875" s="76"/>
      <c r="CE875" s="76"/>
      <c r="CF875" s="76">
        <f>+CE875*28000</f>
        <v>0</v>
      </c>
      <c r="CG875" s="76"/>
      <c r="CH875" s="76">
        <f>+CG875*22500</f>
        <v>0</v>
      </c>
      <c r="CI875" s="76"/>
      <c r="CJ875" s="76">
        <f>+CI875*26000</f>
        <v>0</v>
      </c>
      <c r="CK875" s="76"/>
      <c r="CL875" s="76"/>
      <c r="CM875" s="76"/>
      <c r="CN875" s="76">
        <f>+CM875*22000</f>
        <v>0</v>
      </c>
      <c r="CO875" s="76"/>
      <c r="CP875" s="76">
        <f>+CO875*46000</f>
        <v>0</v>
      </c>
      <c r="CQ875" s="76"/>
      <c r="CR875" s="76">
        <f>+CQ875*49000</f>
        <v>0</v>
      </c>
      <c r="CS875" s="76"/>
      <c r="CT875" s="76"/>
      <c r="CU875" s="56">
        <f>AN875+AP875+AR875+AT875+AV875+AX875+AZ875+BB875+BD875+BF875+BH875+BJ875+BL875+BN875+BP875+BR875+BT875+BV875+BX875+BZ875+CB875+CD875+CF875+CH875+CJ875+CL875+CN875+CP875+CR875+CT875</f>
        <v>0</v>
      </c>
      <c r="CV875" s="76"/>
      <c r="CW875" s="76">
        <f>+CV875*1100</f>
        <v>0</v>
      </c>
      <c r="CX875" s="76"/>
      <c r="CY875" s="76">
        <f>+CX875*106250</f>
        <v>0</v>
      </c>
      <c r="CZ875" s="76"/>
      <c r="DA875" s="76">
        <f>+CZ875*34500</f>
        <v>0</v>
      </c>
      <c r="DB875" s="76"/>
      <c r="DC875" s="76">
        <f>+DB875*25000</f>
        <v>0</v>
      </c>
      <c r="DD875" s="219"/>
      <c r="DE875" s="219"/>
      <c r="DF875" s="166"/>
      <c r="DG875" s="116"/>
      <c r="DH875" s="117"/>
      <c r="DI875" s="24"/>
      <c r="DJ875" s="24"/>
      <c r="DK875" s="24"/>
      <c r="DL875" s="24"/>
      <c r="DM875" s="24"/>
      <c r="DN875" s="24"/>
      <c r="DO875" s="24"/>
      <c r="DP875" s="24"/>
      <c r="DQ875" s="24"/>
      <c r="DR875" s="24"/>
      <c r="DS875" s="24"/>
      <c r="DT875" s="24"/>
      <c r="DU875" s="24"/>
    </row>
    <row r="876" spans="1:125" s="8" customFormat="1" ht="36" x14ac:dyDescent="0.2">
      <c r="A876" s="77">
        <v>41324</v>
      </c>
      <c r="B876" s="225" t="s">
        <v>2036</v>
      </c>
      <c r="C876" s="227" t="s">
        <v>2036</v>
      </c>
      <c r="D876" s="81" t="s">
        <v>2846</v>
      </c>
      <c r="E876" s="75" t="str">
        <f>VLOOKUP(B876&amp;C876,Divipola!$C$2:$F$1138,4,FALSE)</f>
        <v>81001</v>
      </c>
      <c r="F876" s="87"/>
      <c r="G876" s="87"/>
      <c r="H876" s="87"/>
      <c r="I876" s="87"/>
      <c r="J876" s="87"/>
      <c r="K876" s="87"/>
      <c r="L876" s="87"/>
      <c r="M876" s="87"/>
      <c r="N876" s="87"/>
      <c r="O876" s="87"/>
      <c r="P876" s="87"/>
      <c r="Q876" s="87"/>
      <c r="R876" s="87"/>
      <c r="S876" s="87"/>
      <c r="T876" s="87"/>
      <c r="U876" s="88">
        <v>200</v>
      </c>
      <c r="V876" s="89"/>
      <c r="W876" s="96">
        <v>0</v>
      </c>
      <c r="X876" s="71">
        <f>CU876</f>
        <v>0</v>
      </c>
      <c r="Y876" s="71">
        <f>CY876</f>
        <v>0</v>
      </c>
      <c r="Z876" s="71">
        <f>DA876+DC876+DE876</f>
        <v>0</v>
      </c>
      <c r="AA876" s="71">
        <f>CW876</f>
        <v>0</v>
      </c>
      <c r="AB876" s="71"/>
      <c r="AC876" s="71">
        <v>0</v>
      </c>
      <c r="AD876" s="71">
        <f>W876+X876+Y876+Z876+AA876+AB876+AC876</f>
        <v>0</v>
      </c>
      <c r="AE876" s="72">
        <v>0</v>
      </c>
      <c r="AF876" s="5"/>
      <c r="AG876" s="6"/>
      <c r="AH876" s="27" t="s">
        <v>3392</v>
      </c>
      <c r="AI876" s="44" t="s">
        <v>3393</v>
      </c>
      <c r="AJ876" s="26"/>
      <c r="AK876" s="5"/>
      <c r="AL876" s="82" t="s">
        <v>3562</v>
      </c>
      <c r="AM876" s="76"/>
      <c r="AN876" s="76"/>
      <c r="AO876" s="76"/>
      <c r="AP876" s="76"/>
      <c r="AQ876" s="76"/>
      <c r="AR876" s="76"/>
      <c r="AS876" s="76"/>
      <c r="AT876" s="76"/>
      <c r="AU876" s="76"/>
      <c r="AV876" s="76"/>
      <c r="AW876" s="76"/>
      <c r="AX876" s="76">
        <f>+AW876*600000</f>
        <v>0</v>
      </c>
      <c r="AY876" s="76"/>
      <c r="AZ876" s="76">
        <f>+AY876*70000</f>
        <v>0</v>
      </c>
      <c r="BA876" s="76"/>
      <c r="BB876" s="76"/>
      <c r="BC876" s="76"/>
      <c r="BD876" s="76">
        <f>+BC876*30000</f>
        <v>0</v>
      </c>
      <c r="BE876" s="76"/>
      <c r="BF876" s="76"/>
      <c r="BG876" s="76"/>
      <c r="BH876" s="76"/>
      <c r="BI876" s="76"/>
      <c r="BJ876" s="76"/>
      <c r="BK876" s="76"/>
      <c r="BL876" s="76">
        <f>+BK876*31500</f>
        <v>0</v>
      </c>
      <c r="BM876" s="76"/>
      <c r="BN876" s="76"/>
      <c r="BO876" s="76"/>
      <c r="BP876" s="76"/>
      <c r="BQ876" s="76"/>
      <c r="BR876" s="76"/>
      <c r="BS876" s="76"/>
      <c r="BT876" s="76"/>
      <c r="BU876" s="76"/>
      <c r="BV876" s="76"/>
      <c r="BW876" s="76"/>
      <c r="BX876" s="76"/>
      <c r="BY876" s="76"/>
      <c r="BZ876" s="76"/>
      <c r="CA876" s="76"/>
      <c r="CB876" s="76"/>
      <c r="CC876" s="76"/>
      <c r="CD876" s="76"/>
      <c r="CE876" s="76"/>
      <c r="CF876" s="76">
        <f>+CE876*28000</f>
        <v>0</v>
      </c>
      <c r="CG876" s="76"/>
      <c r="CH876" s="76">
        <f>+CG876*22500</f>
        <v>0</v>
      </c>
      <c r="CI876" s="76"/>
      <c r="CJ876" s="76">
        <f>+CI876*26000</f>
        <v>0</v>
      </c>
      <c r="CK876" s="76"/>
      <c r="CL876" s="76"/>
      <c r="CM876" s="76"/>
      <c r="CN876" s="76">
        <f>+CM876*22000</f>
        <v>0</v>
      </c>
      <c r="CO876" s="76"/>
      <c r="CP876" s="76">
        <f>+CO876*46000</f>
        <v>0</v>
      </c>
      <c r="CQ876" s="76"/>
      <c r="CR876" s="76">
        <f>+CQ876*49000</f>
        <v>0</v>
      </c>
      <c r="CS876" s="76"/>
      <c r="CT876" s="76"/>
      <c r="CU876" s="56">
        <f>AN876+AP876+AR876+AT876+AV876+AX876+AZ876+BB876+BD876+BF876+BH876+BJ876+BL876+BN876+BP876+BR876+BT876+BV876+BX876+BZ876+CB876+CD876+CF876+CH876+CJ876+CL876+CN876+CP876+CR876+CT876</f>
        <v>0</v>
      </c>
      <c r="CV876" s="76"/>
      <c r="CW876" s="76">
        <f>+CV876*1100</f>
        <v>0</v>
      </c>
      <c r="CX876" s="76"/>
      <c r="CY876" s="76">
        <f>+CX876*106250</f>
        <v>0</v>
      </c>
      <c r="CZ876" s="76"/>
      <c r="DA876" s="76">
        <f>+CZ876*34500</f>
        <v>0</v>
      </c>
      <c r="DB876" s="76"/>
      <c r="DC876" s="76">
        <f>+DB876*25000</f>
        <v>0</v>
      </c>
      <c r="DD876" s="219"/>
      <c r="DE876" s="219"/>
      <c r="DF876" s="166"/>
      <c r="DG876" s="116"/>
      <c r="DH876" s="117"/>
      <c r="DI876" s="24"/>
      <c r="DJ876" s="24"/>
      <c r="DK876" s="24"/>
      <c r="DL876" s="24"/>
      <c r="DM876" s="24"/>
      <c r="DN876" s="24"/>
      <c r="DO876" s="24"/>
      <c r="DP876" s="24"/>
      <c r="DQ876" s="24"/>
      <c r="DR876" s="24"/>
      <c r="DS876" s="24"/>
      <c r="DT876" s="24"/>
      <c r="DU876" s="24"/>
    </row>
    <row r="877" spans="1:125" s="8" customFormat="1" ht="72" x14ac:dyDescent="0.2">
      <c r="A877" s="77">
        <v>41324</v>
      </c>
      <c r="B877" s="352" t="s">
        <v>2881</v>
      </c>
      <c r="C877" s="354" t="s">
        <v>2767</v>
      </c>
      <c r="D877" s="354" t="s">
        <v>2882</v>
      </c>
      <c r="E877" s="75" t="str">
        <f>VLOOKUP(B877&amp;C877,Divipola!$C$2:$F$1138,4,FALSE)</f>
        <v>08001</v>
      </c>
      <c r="F877" s="100"/>
      <c r="G877" s="100">
        <v>5</v>
      </c>
      <c r="H877" s="100"/>
      <c r="I877" s="100"/>
      <c r="J877" s="100"/>
      <c r="K877" s="100"/>
      <c r="L877" s="100"/>
      <c r="M877" s="100"/>
      <c r="N877" s="100"/>
      <c r="O877" s="100"/>
      <c r="P877" s="100"/>
      <c r="Q877" s="100"/>
      <c r="R877" s="100"/>
      <c r="S877" s="100">
        <v>1</v>
      </c>
      <c r="T877" s="100"/>
      <c r="U877" s="136"/>
      <c r="V877" s="89"/>
      <c r="W877" s="96">
        <v>0</v>
      </c>
      <c r="X877" s="71">
        <f>CU877</f>
        <v>0</v>
      </c>
      <c r="Y877" s="71">
        <f>CY877</f>
        <v>0</v>
      </c>
      <c r="Z877" s="71">
        <f>DA877+DC877+DE877</f>
        <v>0</v>
      </c>
      <c r="AA877" s="71">
        <f>CW877</f>
        <v>0</v>
      </c>
      <c r="AB877" s="71"/>
      <c r="AC877" s="71">
        <v>0</v>
      </c>
      <c r="AD877" s="71">
        <f>W877+X877+Y877+Z877+AA877+AB877+AC877</f>
        <v>0</v>
      </c>
      <c r="AE877" s="72">
        <v>0</v>
      </c>
      <c r="AF877" s="5"/>
      <c r="AG877" s="6"/>
      <c r="AH877" s="27" t="s">
        <v>3392</v>
      </c>
      <c r="AI877" s="44" t="s">
        <v>3393</v>
      </c>
      <c r="AJ877" s="26"/>
      <c r="AK877" s="5"/>
      <c r="AL877" s="82" t="s">
        <v>3556</v>
      </c>
      <c r="AM877" s="76"/>
      <c r="AN877" s="76"/>
      <c r="AO877" s="76"/>
      <c r="AP877" s="76"/>
      <c r="AQ877" s="76"/>
      <c r="AR877" s="76"/>
      <c r="AS877" s="76"/>
      <c r="AT877" s="76"/>
      <c r="AU877" s="76"/>
      <c r="AV877" s="76"/>
      <c r="AW877" s="76"/>
      <c r="AX877" s="76">
        <f>+AW877*600000</f>
        <v>0</v>
      </c>
      <c r="AY877" s="76"/>
      <c r="AZ877" s="76">
        <f>+AY877*70000</f>
        <v>0</v>
      </c>
      <c r="BA877" s="76"/>
      <c r="BB877" s="76"/>
      <c r="BC877" s="76"/>
      <c r="BD877" s="76">
        <f>+BC877*30000</f>
        <v>0</v>
      </c>
      <c r="BE877" s="76"/>
      <c r="BF877" s="76"/>
      <c r="BG877" s="76"/>
      <c r="BH877" s="76"/>
      <c r="BI877" s="76"/>
      <c r="BJ877" s="76"/>
      <c r="BK877" s="76"/>
      <c r="BL877" s="76">
        <f>+BK877*31500</f>
        <v>0</v>
      </c>
      <c r="BM877" s="76"/>
      <c r="BN877" s="76"/>
      <c r="BO877" s="76"/>
      <c r="BP877" s="76"/>
      <c r="BQ877" s="76"/>
      <c r="BR877" s="76"/>
      <c r="BS877" s="76"/>
      <c r="BT877" s="76"/>
      <c r="BU877" s="76"/>
      <c r="BV877" s="76"/>
      <c r="BW877" s="76"/>
      <c r="BX877" s="76"/>
      <c r="BY877" s="76"/>
      <c r="BZ877" s="76"/>
      <c r="CA877" s="76"/>
      <c r="CB877" s="76"/>
      <c r="CC877" s="76"/>
      <c r="CD877" s="76"/>
      <c r="CE877" s="76"/>
      <c r="CF877" s="76">
        <f>+CE877*28000</f>
        <v>0</v>
      </c>
      <c r="CG877" s="76"/>
      <c r="CH877" s="76">
        <f>+CG877*22500</f>
        <v>0</v>
      </c>
      <c r="CI877" s="76"/>
      <c r="CJ877" s="76">
        <f>+CI877*26000</f>
        <v>0</v>
      </c>
      <c r="CK877" s="76"/>
      <c r="CL877" s="76"/>
      <c r="CM877" s="76"/>
      <c r="CN877" s="76">
        <f>+CM877*22000</f>
        <v>0</v>
      </c>
      <c r="CO877" s="76"/>
      <c r="CP877" s="76">
        <f>+CO877*46000</f>
        <v>0</v>
      </c>
      <c r="CQ877" s="76"/>
      <c r="CR877" s="76">
        <f>+CQ877*49000</f>
        <v>0</v>
      </c>
      <c r="CS877" s="76"/>
      <c r="CT877" s="76"/>
      <c r="CU877" s="56">
        <f>AN877+AP877+AR877+AT877+AV877+AX877+AZ877+BB877+BD877+BF877+BH877+BJ877+BL877+BN877+BP877+BR877+BT877+BV877+BX877+BZ877+CB877+CD877+CF877+CH877+CJ877+CL877+CN877+CP877+CR877+CT877</f>
        <v>0</v>
      </c>
      <c r="CV877" s="76"/>
      <c r="CW877" s="76">
        <f>+CV877*1100</f>
        <v>0</v>
      </c>
      <c r="CX877" s="76"/>
      <c r="CY877" s="76">
        <f>+CX877*106250</f>
        <v>0</v>
      </c>
      <c r="CZ877" s="76"/>
      <c r="DA877" s="76">
        <f>+CZ877*34500</f>
        <v>0</v>
      </c>
      <c r="DB877" s="76"/>
      <c r="DC877" s="76">
        <f>+DB877*25000</f>
        <v>0</v>
      </c>
      <c r="DD877" s="219"/>
      <c r="DE877" s="219"/>
      <c r="DF877" s="166"/>
      <c r="DG877" s="116"/>
      <c r="DH877" s="117"/>
      <c r="DI877" s="24"/>
      <c r="DJ877" s="24"/>
      <c r="DK877" s="24"/>
      <c r="DL877" s="24"/>
      <c r="DM877" s="24"/>
      <c r="DN877" s="24"/>
      <c r="DO877" s="24"/>
      <c r="DP877" s="24"/>
      <c r="DQ877" s="24"/>
      <c r="DR877" s="24"/>
      <c r="DS877" s="24"/>
      <c r="DT877" s="24"/>
      <c r="DU877" s="24"/>
    </row>
    <row r="878" spans="1:125" s="8" customFormat="1" ht="96" x14ac:dyDescent="0.2">
      <c r="A878" s="77">
        <v>41324</v>
      </c>
      <c r="B878" s="78" t="s">
        <v>529</v>
      </c>
      <c r="C878" s="75" t="s">
        <v>529</v>
      </c>
      <c r="D878" s="75" t="s">
        <v>2936</v>
      </c>
      <c r="E878" s="75" t="str">
        <f>VLOOKUP(B878&amp;C878,Divipola!$C$2:$F$1138,4,FALSE)</f>
        <v>11001</v>
      </c>
      <c r="F878" s="87"/>
      <c r="G878" s="87"/>
      <c r="H878" s="87"/>
      <c r="I878" s="87">
        <v>10</v>
      </c>
      <c r="J878" s="87">
        <v>4</v>
      </c>
      <c r="K878" s="87"/>
      <c r="L878" s="87">
        <v>4</v>
      </c>
      <c r="M878" s="87"/>
      <c r="N878" s="87"/>
      <c r="O878" s="87"/>
      <c r="P878" s="87"/>
      <c r="Q878" s="87"/>
      <c r="R878" s="87"/>
      <c r="S878" s="87"/>
      <c r="T878" s="87"/>
      <c r="U878" s="88"/>
      <c r="V878" s="89">
        <v>2</v>
      </c>
      <c r="W878" s="96">
        <v>0</v>
      </c>
      <c r="X878" s="71">
        <f>CU878</f>
        <v>0</v>
      </c>
      <c r="Y878" s="71">
        <f>CY878</f>
        <v>0</v>
      </c>
      <c r="Z878" s="71">
        <f>DA878+DC878+DE878</f>
        <v>0</v>
      </c>
      <c r="AA878" s="71">
        <f>CW878</f>
        <v>0</v>
      </c>
      <c r="AB878" s="71"/>
      <c r="AC878" s="71">
        <v>0</v>
      </c>
      <c r="AD878" s="71">
        <f>W878+X878+Y878+Z878+AA878+AB878+AC878</f>
        <v>0</v>
      </c>
      <c r="AE878" s="72">
        <v>0</v>
      </c>
      <c r="AF878" s="5"/>
      <c r="AG878" s="6"/>
      <c r="AH878" s="27" t="s">
        <v>3392</v>
      </c>
      <c r="AI878" s="44" t="s">
        <v>3393</v>
      </c>
      <c r="AJ878" s="26"/>
      <c r="AK878" s="5"/>
      <c r="AL878" s="82" t="s">
        <v>3559</v>
      </c>
      <c r="AM878" s="76"/>
      <c r="AN878" s="76"/>
      <c r="AO878" s="76"/>
      <c r="AP878" s="76"/>
      <c r="AQ878" s="76"/>
      <c r="AR878" s="76"/>
      <c r="AS878" s="76"/>
      <c r="AT878" s="76"/>
      <c r="AU878" s="76"/>
      <c r="AV878" s="76"/>
      <c r="AW878" s="76"/>
      <c r="AX878" s="76">
        <f>+AW878*600000</f>
        <v>0</v>
      </c>
      <c r="AY878" s="76"/>
      <c r="AZ878" s="76">
        <f>+AY878*70000</f>
        <v>0</v>
      </c>
      <c r="BA878" s="76"/>
      <c r="BB878" s="76"/>
      <c r="BC878" s="76"/>
      <c r="BD878" s="76">
        <f>+BC878*30000</f>
        <v>0</v>
      </c>
      <c r="BE878" s="76"/>
      <c r="BF878" s="76"/>
      <c r="BG878" s="76"/>
      <c r="BH878" s="76"/>
      <c r="BI878" s="76"/>
      <c r="BJ878" s="76"/>
      <c r="BK878" s="76"/>
      <c r="BL878" s="76">
        <f>+BK878*31500</f>
        <v>0</v>
      </c>
      <c r="BM878" s="76"/>
      <c r="BN878" s="76"/>
      <c r="BO878" s="76"/>
      <c r="BP878" s="76"/>
      <c r="BQ878" s="76"/>
      <c r="BR878" s="76"/>
      <c r="BS878" s="76"/>
      <c r="BT878" s="76"/>
      <c r="BU878" s="76"/>
      <c r="BV878" s="76"/>
      <c r="BW878" s="76"/>
      <c r="BX878" s="76"/>
      <c r="BY878" s="76"/>
      <c r="BZ878" s="76"/>
      <c r="CA878" s="76"/>
      <c r="CB878" s="76"/>
      <c r="CC878" s="76"/>
      <c r="CD878" s="76"/>
      <c r="CE878" s="76"/>
      <c r="CF878" s="76">
        <f>+CE878*28000</f>
        <v>0</v>
      </c>
      <c r="CG878" s="76"/>
      <c r="CH878" s="76">
        <f>+CG878*22500</f>
        <v>0</v>
      </c>
      <c r="CI878" s="76"/>
      <c r="CJ878" s="76">
        <f>+CI878*26000</f>
        <v>0</v>
      </c>
      <c r="CK878" s="76"/>
      <c r="CL878" s="76"/>
      <c r="CM878" s="76"/>
      <c r="CN878" s="76">
        <f>+CM878*22000</f>
        <v>0</v>
      </c>
      <c r="CO878" s="76"/>
      <c r="CP878" s="76">
        <f>+CO878*46000</f>
        <v>0</v>
      </c>
      <c r="CQ878" s="76"/>
      <c r="CR878" s="76">
        <f>+CQ878*49000</f>
        <v>0</v>
      </c>
      <c r="CS878" s="76"/>
      <c r="CT878" s="76"/>
      <c r="CU878" s="56">
        <f>AN878+AP878+AR878+AT878+AV878+AX878+AZ878+BB878+BD878+BF878+BH878+BJ878+BL878+BN878+BP878+BR878+BT878+BV878+BX878+BZ878+CB878+CD878+CF878+CH878+CJ878+CL878+CN878+CP878+CR878+CT878</f>
        <v>0</v>
      </c>
      <c r="CV878" s="76"/>
      <c r="CW878" s="76">
        <f>+CV878*1100</f>
        <v>0</v>
      </c>
      <c r="CX878" s="76"/>
      <c r="CY878" s="76">
        <f>+CX878*106250</f>
        <v>0</v>
      </c>
      <c r="CZ878" s="76"/>
      <c r="DA878" s="76">
        <f>+CZ878*34500</f>
        <v>0</v>
      </c>
      <c r="DB878" s="76"/>
      <c r="DC878" s="76">
        <f>+DB878*25000</f>
        <v>0</v>
      </c>
      <c r="DD878" s="219"/>
      <c r="DE878" s="219"/>
      <c r="DF878" s="166"/>
      <c r="DG878" s="116"/>
      <c r="DH878" s="117"/>
      <c r="DI878" s="24"/>
      <c r="DJ878" s="24"/>
      <c r="DK878" s="24"/>
      <c r="DL878" s="24"/>
      <c r="DM878" s="24"/>
      <c r="DN878" s="24"/>
      <c r="DO878" s="24"/>
      <c r="DP878" s="24"/>
      <c r="DQ878" s="24"/>
      <c r="DR878" s="24"/>
      <c r="DS878" s="24"/>
      <c r="DT878" s="24"/>
      <c r="DU878" s="24"/>
    </row>
    <row r="879" spans="1:125" s="8" customFormat="1" ht="24" x14ac:dyDescent="0.2">
      <c r="A879" s="77">
        <v>41324</v>
      </c>
      <c r="B879" s="225" t="s">
        <v>2087</v>
      </c>
      <c r="C879" s="227" t="s">
        <v>2692</v>
      </c>
      <c r="D879" s="227" t="s">
        <v>2882</v>
      </c>
      <c r="E879" s="75" t="str">
        <f>VLOOKUP(B879&amp;C879,Divipola!$C$2:$F$1138,4,FALSE)</f>
        <v>18001</v>
      </c>
      <c r="F879" s="100"/>
      <c r="G879" s="100"/>
      <c r="H879" s="100"/>
      <c r="I879" s="100">
        <v>15</v>
      </c>
      <c r="J879" s="100">
        <v>3</v>
      </c>
      <c r="K879" s="100"/>
      <c r="L879" s="100">
        <v>3</v>
      </c>
      <c r="M879" s="100"/>
      <c r="N879" s="100"/>
      <c r="O879" s="100"/>
      <c r="P879" s="100"/>
      <c r="Q879" s="100"/>
      <c r="R879" s="100"/>
      <c r="S879" s="100"/>
      <c r="T879" s="100"/>
      <c r="U879" s="136"/>
      <c r="V879" s="89"/>
      <c r="W879" s="96">
        <v>0</v>
      </c>
      <c r="X879" s="71">
        <f>CU879</f>
        <v>0</v>
      </c>
      <c r="Y879" s="71">
        <f>CY879</f>
        <v>0</v>
      </c>
      <c r="Z879" s="71">
        <f>DA879+DC879+DE879</f>
        <v>0</v>
      </c>
      <c r="AA879" s="71">
        <f>CW879</f>
        <v>0</v>
      </c>
      <c r="AB879" s="71"/>
      <c r="AC879" s="71">
        <v>0</v>
      </c>
      <c r="AD879" s="71">
        <f>W879+X879+Y879+Z879+AA879+AB879+AC879</f>
        <v>0</v>
      </c>
      <c r="AE879" s="72">
        <v>0</v>
      </c>
      <c r="AF879" s="5"/>
      <c r="AG879" s="6"/>
      <c r="AH879" s="27" t="s">
        <v>3392</v>
      </c>
      <c r="AI879" s="44" t="s">
        <v>3393</v>
      </c>
      <c r="AJ879" s="26"/>
      <c r="AK879" s="5"/>
      <c r="AL879" s="82" t="s">
        <v>3558</v>
      </c>
      <c r="AM879" s="76"/>
      <c r="AN879" s="76"/>
      <c r="AO879" s="76"/>
      <c r="AP879" s="76"/>
      <c r="AQ879" s="76"/>
      <c r="AR879" s="76"/>
      <c r="AS879" s="76"/>
      <c r="AT879" s="76"/>
      <c r="AU879" s="76"/>
      <c r="AV879" s="76"/>
      <c r="AW879" s="76"/>
      <c r="AX879" s="76">
        <f>+AW879*600000</f>
        <v>0</v>
      </c>
      <c r="AY879" s="76"/>
      <c r="AZ879" s="76">
        <f>+AY879*70000</f>
        <v>0</v>
      </c>
      <c r="BA879" s="76"/>
      <c r="BB879" s="76"/>
      <c r="BC879" s="76"/>
      <c r="BD879" s="76">
        <f>+BC879*30000</f>
        <v>0</v>
      </c>
      <c r="BE879" s="76"/>
      <c r="BF879" s="76"/>
      <c r="BG879" s="76"/>
      <c r="BH879" s="76"/>
      <c r="BI879" s="76"/>
      <c r="BJ879" s="76"/>
      <c r="BK879" s="76"/>
      <c r="BL879" s="76">
        <f>+BK879*31500</f>
        <v>0</v>
      </c>
      <c r="BM879" s="76"/>
      <c r="BN879" s="76"/>
      <c r="BO879" s="76"/>
      <c r="BP879" s="76"/>
      <c r="BQ879" s="76"/>
      <c r="BR879" s="76"/>
      <c r="BS879" s="76"/>
      <c r="BT879" s="76"/>
      <c r="BU879" s="76"/>
      <c r="BV879" s="76"/>
      <c r="BW879" s="76"/>
      <c r="BX879" s="76"/>
      <c r="BY879" s="76"/>
      <c r="BZ879" s="76"/>
      <c r="CA879" s="76"/>
      <c r="CB879" s="76"/>
      <c r="CC879" s="76"/>
      <c r="CD879" s="76"/>
      <c r="CE879" s="76"/>
      <c r="CF879" s="76">
        <f>+CE879*28000</f>
        <v>0</v>
      </c>
      <c r="CG879" s="76"/>
      <c r="CH879" s="76">
        <f>+CG879*22500</f>
        <v>0</v>
      </c>
      <c r="CI879" s="76"/>
      <c r="CJ879" s="76">
        <f>+CI879*26000</f>
        <v>0</v>
      </c>
      <c r="CK879" s="76"/>
      <c r="CL879" s="76"/>
      <c r="CM879" s="76"/>
      <c r="CN879" s="76">
        <f>+CM879*22000</f>
        <v>0</v>
      </c>
      <c r="CO879" s="76"/>
      <c r="CP879" s="76">
        <f>+CO879*46000</f>
        <v>0</v>
      </c>
      <c r="CQ879" s="76"/>
      <c r="CR879" s="76">
        <f>+CQ879*49000</f>
        <v>0</v>
      </c>
      <c r="CS879" s="76"/>
      <c r="CT879" s="76"/>
      <c r="CU879" s="56">
        <f>AN879+AP879+AR879+AT879+AV879+AX879+AZ879+BB879+BD879+BF879+BH879+BJ879+BL879+BN879+BP879+BR879+BT879+BV879+BX879+BZ879+CB879+CD879+CF879+CH879+CJ879+CL879+CN879+CP879+CR879+CT879</f>
        <v>0</v>
      </c>
      <c r="CV879" s="76"/>
      <c r="CW879" s="76">
        <f>+CV879*1100</f>
        <v>0</v>
      </c>
      <c r="CX879" s="76"/>
      <c r="CY879" s="76">
        <f>+CX879*106250</f>
        <v>0</v>
      </c>
      <c r="CZ879" s="76"/>
      <c r="DA879" s="76">
        <f>+CZ879*34500</f>
        <v>0</v>
      </c>
      <c r="DB879" s="76"/>
      <c r="DC879" s="76">
        <f>+DB879*25000</f>
        <v>0</v>
      </c>
      <c r="DD879" s="219"/>
      <c r="DE879" s="219"/>
      <c r="DF879" s="166"/>
      <c r="DG879" s="116"/>
      <c r="DH879" s="117"/>
      <c r="DI879" s="24"/>
      <c r="DJ879" s="24"/>
      <c r="DK879" s="24"/>
      <c r="DL879" s="24"/>
      <c r="DM879" s="24"/>
      <c r="DN879" s="24"/>
      <c r="DO879" s="24"/>
      <c r="DP879" s="24"/>
      <c r="DQ879" s="24"/>
      <c r="DR879" s="24"/>
      <c r="DS879" s="24"/>
      <c r="DT879" s="24"/>
      <c r="DU879" s="24"/>
    </row>
    <row r="880" spans="1:125" s="8" customFormat="1" ht="60" x14ac:dyDescent="0.2">
      <c r="A880" s="77">
        <v>41324</v>
      </c>
      <c r="B880" s="78" t="s">
        <v>2778</v>
      </c>
      <c r="C880" s="75" t="s">
        <v>2212</v>
      </c>
      <c r="D880" s="81" t="s">
        <v>2846</v>
      </c>
      <c r="E880" s="75" t="str">
        <f>VLOOKUP(B880&amp;C880,Divipola!$C$2:$F$1138,4,FALSE)</f>
        <v>85250</v>
      </c>
      <c r="F880" s="87"/>
      <c r="G880" s="87"/>
      <c r="H880" s="87"/>
      <c r="I880" s="87">
        <v>195</v>
      </c>
      <c r="J880" s="87">
        <v>39</v>
      </c>
      <c r="K880" s="87"/>
      <c r="L880" s="87"/>
      <c r="M880" s="87"/>
      <c r="N880" s="87"/>
      <c r="O880" s="87"/>
      <c r="P880" s="87"/>
      <c r="Q880" s="87"/>
      <c r="R880" s="87"/>
      <c r="S880" s="87"/>
      <c r="T880" s="87"/>
      <c r="U880" s="88"/>
      <c r="V880" s="89"/>
      <c r="W880" s="96">
        <v>0</v>
      </c>
      <c r="X880" s="71">
        <f>CU880</f>
        <v>0</v>
      </c>
      <c r="Y880" s="71">
        <f>CY880</f>
        <v>0</v>
      </c>
      <c r="Z880" s="71">
        <f>DA880+DC880+DE880</f>
        <v>0</v>
      </c>
      <c r="AA880" s="71">
        <f>CW880</f>
        <v>0</v>
      </c>
      <c r="AB880" s="71"/>
      <c r="AC880" s="71">
        <v>0</v>
      </c>
      <c r="AD880" s="71">
        <f>W880+X880+Y880+Z880+AA880+AB880+AC880</f>
        <v>0</v>
      </c>
      <c r="AE880" s="72">
        <v>0</v>
      </c>
      <c r="AF880" s="5"/>
      <c r="AG880" s="6"/>
      <c r="AH880" s="27" t="s">
        <v>3390</v>
      </c>
      <c r="AI880" s="44" t="s">
        <v>3393</v>
      </c>
      <c r="AJ880" s="26"/>
      <c r="AK880" s="5"/>
      <c r="AL880" s="82" t="s">
        <v>3561</v>
      </c>
      <c r="AM880" s="76"/>
      <c r="AN880" s="76"/>
      <c r="AO880" s="76"/>
      <c r="AP880" s="76"/>
      <c r="AQ880" s="76"/>
      <c r="AR880" s="76"/>
      <c r="AS880" s="76"/>
      <c r="AT880" s="76"/>
      <c r="AU880" s="76"/>
      <c r="AV880" s="76"/>
      <c r="AW880" s="76"/>
      <c r="AX880" s="76">
        <f>+AW880*600000</f>
        <v>0</v>
      </c>
      <c r="AY880" s="76"/>
      <c r="AZ880" s="76">
        <f>+AY880*70000</f>
        <v>0</v>
      </c>
      <c r="BA880" s="76"/>
      <c r="BB880" s="76"/>
      <c r="BC880" s="76"/>
      <c r="BD880" s="76">
        <f>+BC880*30000</f>
        <v>0</v>
      </c>
      <c r="BE880" s="76"/>
      <c r="BF880" s="76"/>
      <c r="BG880" s="76"/>
      <c r="BH880" s="76"/>
      <c r="BI880" s="76"/>
      <c r="BJ880" s="76"/>
      <c r="BK880" s="76"/>
      <c r="BL880" s="76">
        <f>+BK880*31500</f>
        <v>0</v>
      </c>
      <c r="BM880" s="76"/>
      <c r="BN880" s="76"/>
      <c r="BO880" s="76"/>
      <c r="BP880" s="76"/>
      <c r="BQ880" s="76"/>
      <c r="BR880" s="76"/>
      <c r="BS880" s="76"/>
      <c r="BT880" s="76"/>
      <c r="BU880" s="76"/>
      <c r="BV880" s="76"/>
      <c r="BW880" s="76"/>
      <c r="BX880" s="76"/>
      <c r="BY880" s="76"/>
      <c r="BZ880" s="76"/>
      <c r="CA880" s="76"/>
      <c r="CB880" s="76"/>
      <c r="CC880" s="76"/>
      <c r="CD880" s="76"/>
      <c r="CE880" s="76"/>
      <c r="CF880" s="76">
        <f>+CE880*28000</f>
        <v>0</v>
      </c>
      <c r="CG880" s="76"/>
      <c r="CH880" s="76">
        <f>+CG880*22500</f>
        <v>0</v>
      </c>
      <c r="CI880" s="76"/>
      <c r="CJ880" s="76">
        <f>+CI880*26000</f>
        <v>0</v>
      </c>
      <c r="CK880" s="76"/>
      <c r="CL880" s="76"/>
      <c r="CM880" s="76"/>
      <c r="CN880" s="76">
        <f>+CM880*22000</f>
        <v>0</v>
      </c>
      <c r="CO880" s="76"/>
      <c r="CP880" s="76">
        <f>+CO880*46000</f>
        <v>0</v>
      </c>
      <c r="CQ880" s="76"/>
      <c r="CR880" s="76">
        <f>+CQ880*49000</f>
        <v>0</v>
      </c>
      <c r="CS880" s="76"/>
      <c r="CT880" s="76"/>
      <c r="CU880" s="56">
        <f>AN880+AP880+AR880+AT880+AV880+AX880+AZ880+BB880+BD880+BF880+BH880+BJ880+BL880+BN880+BP880+BR880+BT880+BV880+BX880+BZ880+CB880+CD880+CF880+CH880+CJ880+CL880+CN880+CP880+CR880+CT880</f>
        <v>0</v>
      </c>
      <c r="CV880" s="76"/>
      <c r="CW880" s="76">
        <f>+CV880*1100</f>
        <v>0</v>
      </c>
      <c r="CX880" s="76"/>
      <c r="CY880" s="76">
        <f>+CX880*106250</f>
        <v>0</v>
      </c>
      <c r="CZ880" s="76"/>
      <c r="DA880" s="76">
        <f>+CZ880*34500</f>
        <v>0</v>
      </c>
      <c r="DB880" s="76"/>
      <c r="DC880" s="76">
        <f>+DB880*25000</f>
        <v>0</v>
      </c>
      <c r="DD880" s="219"/>
      <c r="DE880" s="219"/>
      <c r="DF880" s="166"/>
      <c r="DG880" s="116"/>
      <c r="DH880" s="117"/>
      <c r="DI880" s="24"/>
      <c r="DJ880" s="24"/>
      <c r="DK880" s="24"/>
      <c r="DL880" s="24"/>
      <c r="DM880" s="24"/>
      <c r="DN880" s="24"/>
      <c r="DO880" s="24"/>
      <c r="DP880" s="24"/>
      <c r="DQ880" s="24"/>
      <c r="DR880" s="24"/>
      <c r="DS880" s="24"/>
      <c r="DT880" s="24"/>
      <c r="DU880" s="24"/>
    </row>
    <row r="881" spans="1:125" s="8" customFormat="1" ht="48" x14ac:dyDescent="0.2">
      <c r="A881" s="77">
        <v>41324</v>
      </c>
      <c r="B881" s="78" t="s">
        <v>2778</v>
      </c>
      <c r="C881" s="354" t="s">
        <v>1271</v>
      </c>
      <c r="D881" s="81" t="s">
        <v>2846</v>
      </c>
      <c r="E881" s="75" t="str">
        <f>VLOOKUP(B881&amp;C881,Divipola!$C$2:$F$1138,4,FALSE)</f>
        <v>85410</v>
      </c>
      <c r="F881" s="100"/>
      <c r="G881" s="100"/>
      <c r="H881" s="100"/>
      <c r="I881" s="100"/>
      <c r="J881" s="100"/>
      <c r="K881" s="100"/>
      <c r="L881" s="100"/>
      <c r="M881" s="100"/>
      <c r="N881" s="100"/>
      <c r="O881" s="100"/>
      <c r="P881" s="100"/>
      <c r="Q881" s="100"/>
      <c r="R881" s="100"/>
      <c r="S881" s="100"/>
      <c r="T881" s="100"/>
      <c r="U881" s="136">
        <v>3</v>
      </c>
      <c r="V881" s="89"/>
      <c r="W881" s="96">
        <v>0</v>
      </c>
      <c r="X881" s="71">
        <f>CU881</f>
        <v>0</v>
      </c>
      <c r="Y881" s="71">
        <f>CY881</f>
        <v>0</v>
      </c>
      <c r="Z881" s="71">
        <f>DA881+DC881+DE881</f>
        <v>0</v>
      </c>
      <c r="AA881" s="71">
        <f>CW881</f>
        <v>0</v>
      </c>
      <c r="AB881" s="71"/>
      <c r="AC881" s="71">
        <v>0</v>
      </c>
      <c r="AD881" s="71">
        <f>W881+X881+Y881+Z881+AA881+AB881+AC881</f>
        <v>0</v>
      </c>
      <c r="AE881" s="72">
        <v>0</v>
      </c>
      <c r="AF881" s="5"/>
      <c r="AG881" s="6"/>
      <c r="AH881" s="27" t="s">
        <v>3392</v>
      </c>
      <c r="AI881" s="44" t="s">
        <v>3393</v>
      </c>
      <c r="AJ881" s="26"/>
      <c r="AK881" s="5"/>
      <c r="AL881" s="82" t="s">
        <v>3581</v>
      </c>
      <c r="AM881" s="76"/>
      <c r="AN881" s="76"/>
      <c r="AO881" s="76"/>
      <c r="AP881" s="76"/>
      <c r="AQ881" s="76"/>
      <c r="AR881" s="76"/>
      <c r="AS881" s="76"/>
      <c r="AT881" s="76"/>
      <c r="AU881" s="76"/>
      <c r="AV881" s="76"/>
      <c r="AW881" s="76"/>
      <c r="AX881" s="76">
        <f>+AW881*600000</f>
        <v>0</v>
      </c>
      <c r="AY881" s="76"/>
      <c r="AZ881" s="76">
        <f>+AY881*70000</f>
        <v>0</v>
      </c>
      <c r="BA881" s="76"/>
      <c r="BB881" s="76"/>
      <c r="BC881" s="76"/>
      <c r="BD881" s="76">
        <f>+BC881*30000</f>
        <v>0</v>
      </c>
      <c r="BE881" s="76"/>
      <c r="BF881" s="76"/>
      <c r="BG881" s="76"/>
      <c r="BH881" s="76"/>
      <c r="BI881" s="76"/>
      <c r="BJ881" s="76"/>
      <c r="BK881" s="76"/>
      <c r="BL881" s="76">
        <f>+BK881*31500</f>
        <v>0</v>
      </c>
      <c r="BM881" s="76"/>
      <c r="BN881" s="76"/>
      <c r="BO881" s="76"/>
      <c r="BP881" s="76"/>
      <c r="BQ881" s="76"/>
      <c r="BR881" s="76"/>
      <c r="BS881" s="76"/>
      <c r="BT881" s="76"/>
      <c r="BU881" s="76"/>
      <c r="BV881" s="76"/>
      <c r="BW881" s="76"/>
      <c r="BX881" s="76"/>
      <c r="BY881" s="76"/>
      <c r="BZ881" s="76"/>
      <c r="CA881" s="76"/>
      <c r="CB881" s="76"/>
      <c r="CC881" s="76"/>
      <c r="CD881" s="76"/>
      <c r="CE881" s="76"/>
      <c r="CF881" s="76">
        <f>+CE881*28000</f>
        <v>0</v>
      </c>
      <c r="CG881" s="76"/>
      <c r="CH881" s="76">
        <f>+CG881*22500</f>
        <v>0</v>
      </c>
      <c r="CI881" s="76"/>
      <c r="CJ881" s="76">
        <f>+CI881*26000</f>
        <v>0</v>
      </c>
      <c r="CK881" s="76"/>
      <c r="CL881" s="76"/>
      <c r="CM881" s="76"/>
      <c r="CN881" s="76">
        <f>+CM881*22000</f>
        <v>0</v>
      </c>
      <c r="CO881" s="76"/>
      <c r="CP881" s="76">
        <f>+CO881*46000</f>
        <v>0</v>
      </c>
      <c r="CQ881" s="76"/>
      <c r="CR881" s="76">
        <f>+CQ881*49000</f>
        <v>0</v>
      </c>
      <c r="CS881" s="76"/>
      <c r="CT881" s="76"/>
      <c r="CU881" s="56">
        <f>AN881+AP881+AR881+AT881+AV881+AX881+AZ881+BB881+BD881+BF881+BH881+BJ881+BL881+BN881+BP881+BR881+BT881+BV881+BX881+BZ881+CB881+CD881+CF881+CH881+CJ881+CL881+CN881+CP881+CR881+CT881</f>
        <v>0</v>
      </c>
      <c r="CV881" s="76"/>
      <c r="CW881" s="76">
        <f>+CV881*1100</f>
        <v>0</v>
      </c>
      <c r="CX881" s="76"/>
      <c r="CY881" s="76">
        <f>+CX881*106250</f>
        <v>0</v>
      </c>
      <c r="CZ881" s="76"/>
      <c r="DA881" s="76">
        <f>+CZ881*34500</f>
        <v>0</v>
      </c>
      <c r="DB881" s="76"/>
      <c r="DC881" s="76">
        <f>+DB881*25000</f>
        <v>0</v>
      </c>
      <c r="DD881" s="219"/>
      <c r="DE881" s="219"/>
      <c r="DF881" s="166"/>
      <c r="DG881" s="116"/>
      <c r="DH881" s="117"/>
      <c r="DI881" s="24"/>
      <c r="DJ881" s="24"/>
      <c r="DK881" s="24"/>
      <c r="DL881" s="24"/>
      <c r="DM881" s="24"/>
      <c r="DN881" s="24"/>
      <c r="DO881" s="24"/>
      <c r="DP881" s="24"/>
      <c r="DQ881" s="24"/>
      <c r="DR881" s="24"/>
      <c r="DS881" s="24"/>
      <c r="DT881" s="24"/>
      <c r="DU881" s="24"/>
    </row>
    <row r="882" spans="1:125" s="8" customFormat="1" ht="72" x14ac:dyDescent="0.2">
      <c r="A882" s="77">
        <v>41324</v>
      </c>
      <c r="B882" s="78" t="s">
        <v>2855</v>
      </c>
      <c r="C882" s="75" t="s">
        <v>933</v>
      </c>
      <c r="D882" s="81" t="s">
        <v>2846</v>
      </c>
      <c r="E882" s="75" t="str">
        <f>VLOOKUP(B882&amp;C882,Divipola!$C$2:$F$1138,4,FALSE)</f>
        <v>20621</v>
      </c>
      <c r="F882" s="87"/>
      <c r="G882" s="87"/>
      <c r="H882" s="87"/>
      <c r="I882" s="87"/>
      <c r="J882" s="87"/>
      <c r="K882" s="87"/>
      <c r="L882" s="87"/>
      <c r="M882" s="87"/>
      <c r="N882" s="87"/>
      <c r="O882" s="87"/>
      <c r="P882" s="87"/>
      <c r="Q882" s="87"/>
      <c r="R882" s="87"/>
      <c r="S882" s="87"/>
      <c r="T882" s="87"/>
      <c r="U882" s="88"/>
      <c r="V882" s="89"/>
      <c r="W882" s="96">
        <v>0</v>
      </c>
      <c r="X882" s="71">
        <f>CU882</f>
        <v>0</v>
      </c>
      <c r="Y882" s="71">
        <f>CY882</f>
        <v>0</v>
      </c>
      <c r="Z882" s="71">
        <f>DA882+DC882+DE882</f>
        <v>0</v>
      </c>
      <c r="AA882" s="71">
        <f>CW882</f>
        <v>0</v>
      </c>
      <c r="AB882" s="71"/>
      <c r="AC882" s="71">
        <v>0</v>
      </c>
      <c r="AD882" s="71">
        <f>W882+X882+Y882+Z882+AA882+AB882+AC882</f>
        <v>0</v>
      </c>
      <c r="AE882" s="72">
        <v>0</v>
      </c>
      <c r="AF882" s="5"/>
      <c r="AG882" s="6"/>
      <c r="AH882" s="27" t="s">
        <v>3392</v>
      </c>
      <c r="AI882" s="44" t="s">
        <v>3393</v>
      </c>
      <c r="AJ882" s="26"/>
      <c r="AK882" s="5"/>
      <c r="AL882" s="82" t="s">
        <v>3573</v>
      </c>
      <c r="AM882" s="76"/>
      <c r="AN882" s="76"/>
      <c r="AO882" s="76"/>
      <c r="AP882" s="76"/>
      <c r="AQ882" s="76"/>
      <c r="AR882" s="76"/>
      <c r="AS882" s="76"/>
      <c r="AT882" s="76"/>
      <c r="AU882" s="76"/>
      <c r="AV882" s="76"/>
      <c r="AW882" s="76"/>
      <c r="AX882" s="76">
        <f>+AW882*600000</f>
        <v>0</v>
      </c>
      <c r="AY882" s="76"/>
      <c r="AZ882" s="76">
        <f>+AY882*70000</f>
        <v>0</v>
      </c>
      <c r="BA882" s="76"/>
      <c r="BB882" s="76"/>
      <c r="BC882" s="76"/>
      <c r="BD882" s="76">
        <f>+BC882*30000</f>
        <v>0</v>
      </c>
      <c r="BE882" s="76"/>
      <c r="BF882" s="76"/>
      <c r="BG882" s="76"/>
      <c r="BH882" s="76"/>
      <c r="BI882" s="76"/>
      <c r="BJ882" s="76"/>
      <c r="BK882" s="76"/>
      <c r="BL882" s="76">
        <f>+BK882*31500</f>
        <v>0</v>
      </c>
      <c r="BM882" s="76"/>
      <c r="BN882" s="76"/>
      <c r="BO882" s="76"/>
      <c r="BP882" s="76"/>
      <c r="BQ882" s="76"/>
      <c r="BR882" s="76"/>
      <c r="BS882" s="76"/>
      <c r="BT882" s="76"/>
      <c r="BU882" s="76"/>
      <c r="BV882" s="76"/>
      <c r="BW882" s="76"/>
      <c r="BX882" s="76"/>
      <c r="BY882" s="76"/>
      <c r="BZ882" s="76"/>
      <c r="CA882" s="76"/>
      <c r="CB882" s="76"/>
      <c r="CC882" s="76"/>
      <c r="CD882" s="76"/>
      <c r="CE882" s="76"/>
      <c r="CF882" s="76">
        <f>+CE882*28000</f>
        <v>0</v>
      </c>
      <c r="CG882" s="76"/>
      <c r="CH882" s="76">
        <f>+CG882*22500</f>
        <v>0</v>
      </c>
      <c r="CI882" s="76"/>
      <c r="CJ882" s="76">
        <f>+CI882*26000</f>
        <v>0</v>
      </c>
      <c r="CK882" s="76"/>
      <c r="CL882" s="76"/>
      <c r="CM882" s="76"/>
      <c r="CN882" s="76">
        <f>+CM882*22000</f>
        <v>0</v>
      </c>
      <c r="CO882" s="76"/>
      <c r="CP882" s="76">
        <f>+CO882*46000</f>
        <v>0</v>
      </c>
      <c r="CQ882" s="76"/>
      <c r="CR882" s="76">
        <f>+CQ882*49000</f>
        <v>0</v>
      </c>
      <c r="CS882" s="76"/>
      <c r="CT882" s="76"/>
      <c r="CU882" s="56">
        <f>AN882+AP882+AR882+AT882+AV882+AX882+AZ882+BB882+BD882+BF882+BH882+BJ882+BL882+BN882+BP882+BR882+BT882+BV882+BX882+BZ882+CB882+CD882+CF882+CH882+CJ882+CL882+CN882+CP882+CR882+CT882</f>
        <v>0</v>
      </c>
      <c r="CV882" s="76"/>
      <c r="CW882" s="76">
        <f>+CV882*1100</f>
        <v>0</v>
      </c>
      <c r="CX882" s="76"/>
      <c r="CY882" s="76">
        <f>+CX882*106250</f>
        <v>0</v>
      </c>
      <c r="CZ882" s="76"/>
      <c r="DA882" s="76">
        <f>+CZ882*34500</f>
        <v>0</v>
      </c>
      <c r="DB882" s="76"/>
      <c r="DC882" s="76">
        <f>+DB882*25000</f>
        <v>0</v>
      </c>
      <c r="DD882" s="219"/>
      <c r="DE882" s="219"/>
      <c r="DF882" s="166"/>
      <c r="DG882" s="116"/>
      <c r="DH882" s="117"/>
      <c r="DI882" s="24"/>
      <c r="DJ882" s="24"/>
      <c r="DK882" s="24"/>
      <c r="DL882" s="24"/>
      <c r="DM882" s="24"/>
      <c r="DN882" s="24"/>
      <c r="DO882" s="24"/>
      <c r="DP882" s="24"/>
      <c r="DQ882" s="24"/>
      <c r="DR882" s="24"/>
      <c r="DS882" s="24"/>
      <c r="DT882" s="24"/>
      <c r="DU882" s="24"/>
    </row>
    <row r="883" spans="1:125" s="8" customFormat="1" ht="84" x14ac:dyDescent="0.2">
      <c r="A883" s="77">
        <v>41324</v>
      </c>
      <c r="B883" s="78" t="s">
        <v>2772</v>
      </c>
      <c r="C883" s="75" t="s">
        <v>1334</v>
      </c>
      <c r="D883" s="81" t="s">
        <v>2846</v>
      </c>
      <c r="E883" s="75" t="str">
        <f>VLOOKUP(B883&amp;C883,Divipola!$C$2:$F$1138,4,FALSE)</f>
        <v>25317</v>
      </c>
      <c r="F883" s="87"/>
      <c r="G883" s="87"/>
      <c r="H883" s="87"/>
      <c r="I883" s="87"/>
      <c r="J883" s="87"/>
      <c r="K883" s="87"/>
      <c r="L883" s="87"/>
      <c r="M883" s="87"/>
      <c r="N883" s="87"/>
      <c r="O883" s="87"/>
      <c r="P883" s="87"/>
      <c r="Q883" s="87"/>
      <c r="R883" s="87"/>
      <c r="S883" s="87"/>
      <c r="T883" s="87"/>
      <c r="U883" s="88">
        <v>0.5</v>
      </c>
      <c r="V883" s="89"/>
      <c r="W883" s="96">
        <v>0</v>
      </c>
      <c r="X883" s="71">
        <f>CU883</f>
        <v>0</v>
      </c>
      <c r="Y883" s="71">
        <f>CY883</f>
        <v>0</v>
      </c>
      <c r="Z883" s="71">
        <f>DA883+DC883+DE883</f>
        <v>0</v>
      </c>
      <c r="AA883" s="71">
        <f>CW883</f>
        <v>0</v>
      </c>
      <c r="AB883" s="71"/>
      <c r="AC883" s="71">
        <v>0</v>
      </c>
      <c r="AD883" s="71">
        <f>W883+X883+Y883+Z883+AA883+AB883+AC883</f>
        <v>0</v>
      </c>
      <c r="AE883" s="72">
        <v>0</v>
      </c>
      <c r="AF883" s="5"/>
      <c r="AG883" s="6"/>
      <c r="AH883" s="27" t="s">
        <v>3392</v>
      </c>
      <c r="AI883" s="44" t="s">
        <v>3393</v>
      </c>
      <c r="AJ883" s="26"/>
      <c r="AK883" s="5"/>
      <c r="AL883" s="82" t="s">
        <v>3569</v>
      </c>
      <c r="AM883" s="76"/>
      <c r="AN883" s="76"/>
      <c r="AO883" s="76"/>
      <c r="AP883" s="76"/>
      <c r="AQ883" s="76"/>
      <c r="AR883" s="76"/>
      <c r="AS883" s="76"/>
      <c r="AT883" s="76"/>
      <c r="AU883" s="76"/>
      <c r="AV883" s="76"/>
      <c r="AW883" s="76"/>
      <c r="AX883" s="76">
        <f>+AW883*600000</f>
        <v>0</v>
      </c>
      <c r="AY883" s="76"/>
      <c r="AZ883" s="76">
        <f>+AY883*70000</f>
        <v>0</v>
      </c>
      <c r="BA883" s="76"/>
      <c r="BB883" s="76"/>
      <c r="BC883" s="76"/>
      <c r="BD883" s="76">
        <f>+BC883*30000</f>
        <v>0</v>
      </c>
      <c r="BE883" s="76"/>
      <c r="BF883" s="76"/>
      <c r="BG883" s="76"/>
      <c r="BH883" s="76"/>
      <c r="BI883" s="76"/>
      <c r="BJ883" s="76"/>
      <c r="BK883" s="76"/>
      <c r="BL883" s="76">
        <f>+BK883*31500</f>
        <v>0</v>
      </c>
      <c r="BM883" s="76"/>
      <c r="BN883" s="76"/>
      <c r="BO883" s="76"/>
      <c r="BP883" s="76"/>
      <c r="BQ883" s="76"/>
      <c r="BR883" s="76"/>
      <c r="BS883" s="76"/>
      <c r="BT883" s="76"/>
      <c r="BU883" s="76"/>
      <c r="BV883" s="76"/>
      <c r="BW883" s="76"/>
      <c r="BX883" s="76"/>
      <c r="BY883" s="76"/>
      <c r="BZ883" s="76"/>
      <c r="CA883" s="76"/>
      <c r="CB883" s="76"/>
      <c r="CC883" s="76"/>
      <c r="CD883" s="76"/>
      <c r="CE883" s="76"/>
      <c r="CF883" s="76">
        <f>+CE883*28000</f>
        <v>0</v>
      </c>
      <c r="CG883" s="76"/>
      <c r="CH883" s="76">
        <f>+CG883*22500</f>
        <v>0</v>
      </c>
      <c r="CI883" s="76"/>
      <c r="CJ883" s="76">
        <f>+CI883*26000</f>
        <v>0</v>
      </c>
      <c r="CK883" s="76"/>
      <c r="CL883" s="76"/>
      <c r="CM883" s="76"/>
      <c r="CN883" s="76">
        <f>+CM883*22000</f>
        <v>0</v>
      </c>
      <c r="CO883" s="76"/>
      <c r="CP883" s="76">
        <f>+CO883*46000</f>
        <v>0</v>
      </c>
      <c r="CQ883" s="76"/>
      <c r="CR883" s="76">
        <f>+CQ883*49000</f>
        <v>0</v>
      </c>
      <c r="CS883" s="76"/>
      <c r="CT883" s="76"/>
      <c r="CU883" s="56">
        <f>AN883+AP883+AR883+AT883+AV883+AX883+AZ883+BB883+BD883+BF883+BH883+BJ883+BL883+BN883+BP883+BR883+BT883+BV883+BX883+BZ883+CB883+CD883+CF883+CH883+CJ883+CL883+CN883+CP883+CR883+CT883</f>
        <v>0</v>
      </c>
      <c r="CV883" s="76"/>
      <c r="CW883" s="76">
        <f>+CV883*1100</f>
        <v>0</v>
      </c>
      <c r="CX883" s="76"/>
      <c r="CY883" s="76">
        <f>+CX883*106250</f>
        <v>0</v>
      </c>
      <c r="CZ883" s="76"/>
      <c r="DA883" s="76">
        <f>+CZ883*34500</f>
        <v>0</v>
      </c>
      <c r="DB883" s="76"/>
      <c r="DC883" s="76">
        <f>+DB883*25000</f>
        <v>0</v>
      </c>
      <c r="DD883" s="219"/>
      <c r="DE883" s="219"/>
      <c r="DF883" s="166"/>
      <c r="DG883" s="116"/>
      <c r="DH883" s="117"/>
      <c r="DI883" s="24"/>
      <c r="DJ883" s="24"/>
      <c r="DK883" s="24"/>
      <c r="DL883" s="24"/>
      <c r="DM883" s="24"/>
      <c r="DN883" s="24"/>
      <c r="DO883" s="24"/>
      <c r="DP883" s="24"/>
      <c r="DQ883" s="24"/>
      <c r="DR883" s="24"/>
      <c r="DS883" s="24"/>
      <c r="DT883" s="24"/>
      <c r="DU883" s="24"/>
    </row>
    <row r="884" spans="1:125" s="8" customFormat="1" ht="276" x14ac:dyDescent="0.2">
      <c r="A884" s="77">
        <v>41324</v>
      </c>
      <c r="B884" s="225" t="s">
        <v>2772</v>
      </c>
      <c r="C884" s="227" t="s">
        <v>2157</v>
      </c>
      <c r="D884" s="84" t="s">
        <v>3088</v>
      </c>
      <c r="E884" s="75" t="str">
        <f>VLOOKUP(B884&amp;C884,Divipola!$C$2:$F$1138,4,FALSE)</f>
        <v>25885</v>
      </c>
      <c r="F884" s="87"/>
      <c r="G884" s="87"/>
      <c r="H884" s="87"/>
      <c r="I884" s="87">
        <v>775</v>
      </c>
      <c r="J884" s="87">
        <v>155</v>
      </c>
      <c r="K884" s="87"/>
      <c r="L884" s="87">
        <v>5</v>
      </c>
      <c r="M884" s="87">
        <v>1</v>
      </c>
      <c r="N884" s="87"/>
      <c r="O884" s="87"/>
      <c r="P884" s="87">
        <v>1</v>
      </c>
      <c r="Q884" s="87"/>
      <c r="R884" s="87"/>
      <c r="S884" s="87"/>
      <c r="T884" s="87"/>
      <c r="U884" s="88">
        <v>50</v>
      </c>
      <c r="V884" s="89"/>
      <c r="W884" s="96">
        <v>0</v>
      </c>
      <c r="X884" s="71">
        <f>CU884</f>
        <v>0</v>
      </c>
      <c r="Y884" s="71">
        <f>CY884</f>
        <v>0</v>
      </c>
      <c r="Z884" s="71">
        <f>DA884+DC884+DE884</f>
        <v>0</v>
      </c>
      <c r="AA884" s="71">
        <f>CW884</f>
        <v>0</v>
      </c>
      <c r="AB884" s="71"/>
      <c r="AC884" s="71">
        <v>0</v>
      </c>
      <c r="AD884" s="71">
        <f>W884+X884+Y884+Z884+AA884+AB884+AC884</f>
        <v>0</v>
      </c>
      <c r="AE884" s="72">
        <v>0</v>
      </c>
      <c r="AF884" s="5"/>
      <c r="AG884" s="6"/>
      <c r="AH884" s="27" t="s">
        <v>3392</v>
      </c>
      <c r="AI884" s="44" t="s">
        <v>3393</v>
      </c>
      <c r="AJ884" s="26"/>
      <c r="AK884" s="5"/>
      <c r="AL884" s="82" t="s">
        <v>3750</v>
      </c>
      <c r="AM884" s="76"/>
      <c r="AN884" s="76"/>
      <c r="AO884" s="76"/>
      <c r="AP884" s="76"/>
      <c r="AQ884" s="76"/>
      <c r="AR884" s="76"/>
      <c r="AS884" s="76"/>
      <c r="AT884" s="76"/>
      <c r="AU884" s="76"/>
      <c r="AV884" s="76"/>
      <c r="AW884" s="76"/>
      <c r="AX884" s="76">
        <f>+AW884*600000</f>
        <v>0</v>
      </c>
      <c r="AY884" s="76"/>
      <c r="AZ884" s="76">
        <f>+AY884*70000</f>
        <v>0</v>
      </c>
      <c r="BA884" s="76"/>
      <c r="BB884" s="76"/>
      <c r="BC884" s="76"/>
      <c r="BD884" s="76">
        <f>+BC884*30000</f>
        <v>0</v>
      </c>
      <c r="BE884" s="76"/>
      <c r="BF884" s="76"/>
      <c r="BG884" s="76"/>
      <c r="BH884" s="76"/>
      <c r="BI884" s="76"/>
      <c r="BJ884" s="76"/>
      <c r="BK884" s="76"/>
      <c r="BL884" s="76">
        <f>+BK884*31500</f>
        <v>0</v>
      </c>
      <c r="BM884" s="76"/>
      <c r="BN884" s="76"/>
      <c r="BO884" s="76"/>
      <c r="BP884" s="76"/>
      <c r="BQ884" s="76"/>
      <c r="BR884" s="76"/>
      <c r="BS884" s="76"/>
      <c r="BT884" s="76"/>
      <c r="BU884" s="76"/>
      <c r="BV884" s="76"/>
      <c r="BW884" s="76"/>
      <c r="BX884" s="76"/>
      <c r="BY884" s="76"/>
      <c r="BZ884" s="76"/>
      <c r="CA884" s="76"/>
      <c r="CB884" s="76"/>
      <c r="CC884" s="76"/>
      <c r="CD884" s="76"/>
      <c r="CE884" s="76"/>
      <c r="CF884" s="76">
        <f>+CE884*28000</f>
        <v>0</v>
      </c>
      <c r="CG884" s="76"/>
      <c r="CH884" s="76">
        <f>+CG884*22500</f>
        <v>0</v>
      </c>
      <c r="CI884" s="76"/>
      <c r="CJ884" s="76">
        <f>+CI884*26000</f>
        <v>0</v>
      </c>
      <c r="CK884" s="76"/>
      <c r="CL884" s="76"/>
      <c r="CM884" s="76"/>
      <c r="CN884" s="76">
        <f>+CM884*22000</f>
        <v>0</v>
      </c>
      <c r="CO884" s="76"/>
      <c r="CP884" s="76">
        <f>+CO884*46000</f>
        <v>0</v>
      </c>
      <c r="CQ884" s="76"/>
      <c r="CR884" s="76">
        <f>+CQ884*49000</f>
        <v>0</v>
      </c>
      <c r="CS884" s="76"/>
      <c r="CT884" s="76"/>
      <c r="CU884" s="56">
        <f>AN884+AP884+AR884+AT884+AV884+AX884+AZ884+BB884+BD884+BF884+BH884+BJ884+BL884+BN884+BP884+BR884+BT884+BV884+BX884+BZ884+CB884+CD884+CF884+CH884+CJ884+CL884+CN884+CP884+CR884+CT884</f>
        <v>0</v>
      </c>
      <c r="CV884" s="76"/>
      <c r="CW884" s="76">
        <f>+CV884*1100</f>
        <v>0</v>
      </c>
      <c r="CX884" s="76"/>
      <c r="CY884" s="76">
        <f>+CX884*106250</f>
        <v>0</v>
      </c>
      <c r="CZ884" s="76"/>
      <c r="DA884" s="76">
        <f>+CZ884*34500</f>
        <v>0</v>
      </c>
      <c r="DB884" s="76"/>
      <c r="DC884" s="76">
        <f>+DB884*25000</f>
        <v>0</v>
      </c>
      <c r="DD884" s="219"/>
      <c r="DE884" s="219"/>
      <c r="DF884" s="166"/>
      <c r="DG884" s="116"/>
      <c r="DH884" s="117"/>
      <c r="DI884" s="24"/>
      <c r="DJ884" s="24"/>
      <c r="DK884" s="24"/>
      <c r="DL884" s="24"/>
      <c r="DM884" s="24"/>
      <c r="DN884" s="24"/>
      <c r="DO884" s="24"/>
      <c r="DP884" s="24"/>
      <c r="DQ884" s="24"/>
      <c r="DR884" s="24"/>
      <c r="DS884" s="24"/>
      <c r="DT884" s="24"/>
      <c r="DU884" s="24"/>
    </row>
    <row r="885" spans="1:125" s="8" customFormat="1" ht="72" x14ac:dyDescent="0.2">
      <c r="A885" s="77">
        <v>41324</v>
      </c>
      <c r="B885" s="225" t="s">
        <v>2848</v>
      </c>
      <c r="C885" s="227" t="s">
        <v>1393</v>
      </c>
      <c r="D885" s="81" t="s">
        <v>2846</v>
      </c>
      <c r="E885" s="75" t="str">
        <f>VLOOKUP(B885&amp;C885,Divipola!$C$2:$F$1138,4,FALSE)</f>
        <v>73168</v>
      </c>
      <c r="F885" s="100"/>
      <c r="G885" s="100"/>
      <c r="H885" s="100"/>
      <c r="I885" s="100"/>
      <c r="J885" s="100"/>
      <c r="K885" s="100"/>
      <c r="L885" s="100"/>
      <c r="M885" s="100"/>
      <c r="N885" s="100"/>
      <c r="O885" s="100"/>
      <c r="P885" s="100"/>
      <c r="Q885" s="100"/>
      <c r="R885" s="100"/>
      <c r="S885" s="100"/>
      <c r="T885" s="100"/>
      <c r="U885" s="136">
        <v>1</v>
      </c>
      <c r="V885" s="89"/>
      <c r="W885" s="96">
        <v>0</v>
      </c>
      <c r="X885" s="71">
        <f>CU885</f>
        <v>0</v>
      </c>
      <c r="Y885" s="71">
        <f>CY885</f>
        <v>0</v>
      </c>
      <c r="Z885" s="71">
        <f>DA885+DC885+DE885</f>
        <v>0</v>
      </c>
      <c r="AA885" s="71">
        <f>CW885</f>
        <v>0</v>
      </c>
      <c r="AB885" s="71"/>
      <c r="AC885" s="71">
        <v>0</v>
      </c>
      <c r="AD885" s="71">
        <f>W885+X885+Y885+Z885+AA885+AB885+AC885</f>
        <v>0</v>
      </c>
      <c r="AE885" s="72">
        <v>0</v>
      </c>
      <c r="AF885" s="5"/>
      <c r="AG885" s="6"/>
      <c r="AH885" s="27" t="s">
        <v>3392</v>
      </c>
      <c r="AI885" s="44" t="s">
        <v>3393</v>
      </c>
      <c r="AJ885" s="26"/>
      <c r="AK885" s="5"/>
      <c r="AL885" s="82" t="s">
        <v>3560</v>
      </c>
      <c r="AM885" s="76"/>
      <c r="AN885" s="76"/>
      <c r="AO885" s="76"/>
      <c r="AP885" s="76"/>
      <c r="AQ885" s="76"/>
      <c r="AR885" s="76"/>
      <c r="AS885" s="76"/>
      <c r="AT885" s="76"/>
      <c r="AU885" s="76"/>
      <c r="AV885" s="76"/>
      <c r="AW885" s="76"/>
      <c r="AX885" s="76">
        <f>+AW885*600000</f>
        <v>0</v>
      </c>
      <c r="AY885" s="76"/>
      <c r="AZ885" s="76">
        <f>+AY885*70000</f>
        <v>0</v>
      </c>
      <c r="BA885" s="76"/>
      <c r="BB885" s="76"/>
      <c r="BC885" s="76"/>
      <c r="BD885" s="76">
        <f>+BC885*30000</f>
        <v>0</v>
      </c>
      <c r="BE885" s="76"/>
      <c r="BF885" s="76"/>
      <c r="BG885" s="76"/>
      <c r="BH885" s="76"/>
      <c r="BI885" s="76"/>
      <c r="BJ885" s="76"/>
      <c r="BK885" s="76"/>
      <c r="BL885" s="76">
        <f>+BK885*31500</f>
        <v>0</v>
      </c>
      <c r="BM885" s="76"/>
      <c r="BN885" s="76"/>
      <c r="BO885" s="76"/>
      <c r="BP885" s="76"/>
      <c r="BQ885" s="76"/>
      <c r="BR885" s="76"/>
      <c r="BS885" s="76"/>
      <c r="BT885" s="76"/>
      <c r="BU885" s="76"/>
      <c r="BV885" s="76"/>
      <c r="BW885" s="76"/>
      <c r="BX885" s="76"/>
      <c r="BY885" s="76"/>
      <c r="BZ885" s="76"/>
      <c r="CA885" s="76"/>
      <c r="CB885" s="76"/>
      <c r="CC885" s="76"/>
      <c r="CD885" s="76"/>
      <c r="CE885" s="76"/>
      <c r="CF885" s="76">
        <f>+CE885*28000</f>
        <v>0</v>
      </c>
      <c r="CG885" s="76"/>
      <c r="CH885" s="76">
        <f>+CG885*22500</f>
        <v>0</v>
      </c>
      <c r="CI885" s="76"/>
      <c r="CJ885" s="76">
        <f>+CI885*26000</f>
        <v>0</v>
      </c>
      <c r="CK885" s="76"/>
      <c r="CL885" s="76"/>
      <c r="CM885" s="76"/>
      <c r="CN885" s="76">
        <f>+CM885*22000</f>
        <v>0</v>
      </c>
      <c r="CO885" s="76"/>
      <c r="CP885" s="76">
        <f>+CO885*46000</f>
        <v>0</v>
      </c>
      <c r="CQ885" s="76"/>
      <c r="CR885" s="76">
        <f>+CQ885*49000</f>
        <v>0</v>
      </c>
      <c r="CS885" s="76"/>
      <c r="CT885" s="76"/>
      <c r="CU885" s="56">
        <f>AN885+AP885+AR885+AT885+AV885+AX885+AZ885+BB885+BD885+BF885+BH885+BJ885+BL885+BN885+BP885+BR885+BT885+BV885+BX885+BZ885+CB885+CD885+CF885+CH885+CJ885+CL885+CN885+CP885+CR885+CT885</f>
        <v>0</v>
      </c>
      <c r="CV885" s="76"/>
      <c r="CW885" s="76">
        <f>+CV885*1100</f>
        <v>0</v>
      </c>
      <c r="CX885" s="76"/>
      <c r="CY885" s="76">
        <f>+CX885*106250</f>
        <v>0</v>
      </c>
      <c r="CZ885" s="76"/>
      <c r="DA885" s="76">
        <f>+CZ885*34500</f>
        <v>0</v>
      </c>
      <c r="DB885" s="76"/>
      <c r="DC885" s="76">
        <f>+DB885*25000</f>
        <v>0</v>
      </c>
      <c r="DD885" s="219"/>
      <c r="DE885" s="219"/>
      <c r="DF885" s="166"/>
      <c r="DG885" s="116"/>
      <c r="DH885" s="117"/>
      <c r="DI885" s="24"/>
      <c r="DJ885" s="24"/>
      <c r="DK885" s="24"/>
      <c r="DL885" s="24"/>
      <c r="DM885" s="24"/>
      <c r="DN885" s="24"/>
      <c r="DO885" s="24"/>
      <c r="DP885" s="24"/>
      <c r="DQ885" s="24"/>
      <c r="DR885" s="24"/>
      <c r="DS885" s="24"/>
      <c r="DT885" s="24"/>
      <c r="DU885" s="24"/>
    </row>
    <row r="886" spans="1:125" s="8" customFormat="1" ht="48" x14ac:dyDescent="0.2">
      <c r="A886" s="77">
        <v>41324</v>
      </c>
      <c r="B886" s="78" t="s">
        <v>2851</v>
      </c>
      <c r="C886" s="75" t="s">
        <v>1366</v>
      </c>
      <c r="D886" s="75" t="s">
        <v>2849</v>
      </c>
      <c r="E886" s="75" t="str">
        <f>VLOOKUP(B886&amp;C886,Divipola!$C$2:$F$1138,4,FALSE)</f>
        <v>76622</v>
      </c>
      <c r="F886" s="87">
        <v>2</v>
      </c>
      <c r="G886" s="87"/>
      <c r="H886" s="87"/>
      <c r="I886" s="87">
        <v>2</v>
      </c>
      <c r="J886" s="87">
        <v>1</v>
      </c>
      <c r="K886" s="87"/>
      <c r="L886" s="87"/>
      <c r="M886" s="87"/>
      <c r="N886" s="87"/>
      <c r="O886" s="87"/>
      <c r="P886" s="87"/>
      <c r="Q886" s="87"/>
      <c r="R886" s="87"/>
      <c r="S886" s="87"/>
      <c r="T886" s="87"/>
      <c r="U886" s="88"/>
      <c r="V886" s="89"/>
      <c r="W886" s="96">
        <v>0</v>
      </c>
      <c r="X886" s="71">
        <f>CU886</f>
        <v>0</v>
      </c>
      <c r="Y886" s="71">
        <f>CY886</f>
        <v>0</v>
      </c>
      <c r="Z886" s="71">
        <f>DA886+DC886+DE886</f>
        <v>0</v>
      </c>
      <c r="AA886" s="71">
        <f>CW886</f>
        <v>0</v>
      </c>
      <c r="AB886" s="71"/>
      <c r="AC886" s="71">
        <v>0</v>
      </c>
      <c r="AD886" s="71">
        <f>W886+X886+Y886+Z886+AA886+AB886+AC886</f>
        <v>0</v>
      </c>
      <c r="AE886" s="72">
        <v>0</v>
      </c>
      <c r="AF886" s="5"/>
      <c r="AG886" s="6"/>
      <c r="AH886" s="27" t="s">
        <v>3392</v>
      </c>
      <c r="AI886" s="44" t="s">
        <v>3393</v>
      </c>
      <c r="AJ886" s="26"/>
      <c r="AK886" s="5"/>
      <c r="AL886" s="82" t="s">
        <v>3563</v>
      </c>
      <c r="AM886" s="76"/>
      <c r="AN886" s="76"/>
      <c r="AO886" s="76"/>
      <c r="AP886" s="76"/>
      <c r="AQ886" s="76"/>
      <c r="AR886" s="76"/>
      <c r="AS886" s="76"/>
      <c r="AT886" s="76"/>
      <c r="AU886" s="76"/>
      <c r="AV886" s="76"/>
      <c r="AW886" s="76"/>
      <c r="AX886" s="76">
        <f>+AW886*600000</f>
        <v>0</v>
      </c>
      <c r="AY886" s="76"/>
      <c r="AZ886" s="76">
        <f>+AY886*70000</f>
        <v>0</v>
      </c>
      <c r="BA886" s="76"/>
      <c r="BB886" s="76"/>
      <c r="BC886" s="76"/>
      <c r="BD886" s="76">
        <f>+BC886*30000</f>
        <v>0</v>
      </c>
      <c r="BE886" s="76"/>
      <c r="BF886" s="76"/>
      <c r="BG886" s="76"/>
      <c r="BH886" s="76"/>
      <c r="BI886" s="76"/>
      <c r="BJ886" s="76"/>
      <c r="BK886" s="76"/>
      <c r="BL886" s="76">
        <f>+BK886*31500</f>
        <v>0</v>
      </c>
      <c r="BM886" s="76"/>
      <c r="BN886" s="76"/>
      <c r="BO886" s="76"/>
      <c r="BP886" s="76"/>
      <c r="BQ886" s="76"/>
      <c r="BR886" s="76"/>
      <c r="BS886" s="76"/>
      <c r="BT886" s="76"/>
      <c r="BU886" s="76"/>
      <c r="BV886" s="76"/>
      <c r="BW886" s="76"/>
      <c r="BX886" s="76"/>
      <c r="BY886" s="76"/>
      <c r="BZ886" s="76"/>
      <c r="CA886" s="76"/>
      <c r="CB886" s="76"/>
      <c r="CC886" s="76"/>
      <c r="CD886" s="76"/>
      <c r="CE886" s="76"/>
      <c r="CF886" s="76">
        <f>+CE886*28000</f>
        <v>0</v>
      </c>
      <c r="CG886" s="76"/>
      <c r="CH886" s="76">
        <f>+CG886*22500</f>
        <v>0</v>
      </c>
      <c r="CI886" s="76"/>
      <c r="CJ886" s="76">
        <f>+CI886*26000</f>
        <v>0</v>
      </c>
      <c r="CK886" s="76"/>
      <c r="CL886" s="76"/>
      <c r="CM886" s="76"/>
      <c r="CN886" s="76">
        <f>+CM886*22000</f>
        <v>0</v>
      </c>
      <c r="CO886" s="76"/>
      <c r="CP886" s="76">
        <f>+CO886*46000</f>
        <v>0</v>
      </c>
      <c r="CQ886" s="76"/>
      <c r="CR886" s="76">
        <f>+CQ886*49000</f>
        <v>0</v>
      </c>
      <c r="CS886" s="76"/>
      <c r="CT886" s="76"/>
      <c r="CU886" s="56">
        <f>AN886+AP886+AR886+AT886+AV886+AX886+AZ886+BB886+BD886+BF886+BH886+BJ886+BL886+BN886+BP886+BR886+BT886+BV886+BX886+BZ886+CB886+CD886+CF886+CH886+CJ886+CL886+CN886+CP886+CR886+CT886</f>
        <v>0</v>
      </c>
      <c r="CV886" s="76"/>
      <c r="CW886" s="76">
        <f>+CV886*1100</f>
        <v>0</v>
      </c>
      <c r="CX886" s="76"/>
      <c r="CY886" s="76">
        <f>+CX886*106250</f>
        <v>0</v>
      </c>
      <c r="CZ886" s="76"/>
      <c r="DA886" s="76">
        <f>+CZ886*34500</f>
        <v>0</v>
      </c>
      <c r="DB886" s="76"/>
      <c r="DC886" s="76">
        <f>+DB886*25000</f>
        <v>0</v>
      </c>
      <c r="DD886" s="219"/>
      <c r="DE886" s="219"/>
      <c r="DF886" s="166"/>
      <c r="DG886" s="116"/>
      <c r="DH886" s="117"/>
      <c r="DI886" s="24"/>
      <c r="DJ886" s="24"/>
      <c r="DK886" s="24"/>
      <c r="DL886" s="24"/>
      <c r="DM886" s="24"/>
      <c r="DN886" s="24"/>
      <c r="DO886" s="24"/>
      <c r="DP886" s="24"/>
      <c r="DQ886" s="24"/>
      <c r="DR886" s="24"/>
      <c r="DS886" s="24"/>
      <c r="DT886" s="24"/>
      <c r="DU886" s="24"/>
    </row>
    <row r="887" spans="1:125" s="8" customFormat="1" ht="36" x14ac:dyDescent="0.2">
      <c r="A887" s="77">
        <v>41325</v>
      </c>
      <c r="B887" s="352" t="s">
        <v>2036</v>
      </c>
      <c r="C887" s="354" t="s">
        <v>2036</v>
      </c>
      <c r="D887" s="81" t="s">
        <v>2846</v>
      </c>
      <c r="E887" s="75" t="str">
        <f>VLOOKUP(B887&amp;C887,Divipola!$C$2:$F$1138,4,FALSE)</f>
        <v>81001</v>
      </c>
      <c r="F887" s="100"/>
      <c r="G887" s="100"/>
      <c r="H887" s="100"/>
      <c r="I887" s="100"/>
      <c r="J887" s="100"/>
      <c r="K887" s="100"/>
      <c r="L887" s="100"/>
      <c r="M887" s="100"/>
      <c r="N887" s="100"/>
      <c r="O887" s="100"/>
      <c r="P887" s="100"/>
      <c r="Q887" s="100"/>
      <c r="R887" s="100"/>
      <c r="S887" s="100"/>
      <c r="T887" s="100"/>
      <c r="U887" s="136">
        <v>30</v>
      </c>
      <c r="V887" s="89"/>
      <c r="W887" s="96">
        <v>0</v>
      </c>
      <c r="X887" s="71">
        <f>CU887</f>
        <v>0</v>
      </c>
      <c r="Y887" s="71">
        <f>CY887</f>
        <v>0</v>
      </c>
      <c r="Z887" s="71">
        <f>DA887+DC887+DE887</f>
        <v>0</v>
      </c>
      <c r="AA887" s="71">
        <f>CW887</f>
        <v>0</v>
      </c>
      <c r="AB887" s="71"/>
      <c r="AC887" s="71">
        <v>0</v>
      </c>
      <c r="AD887" s="71">
        <f>W887+X887+Y887+Z887+AA887+AB887+AC887</f>
        <v>0</v>
      </c>
      <c r="AE887" s="72">
        <v>0</v>
      </c>
      <c r="AF887" s="5"/>
      <c r="AG887" s="6"/>
      <c r="AH887" s="27" t="s">
        <v>3392</v>
      </c>
      <c r="AI887" s="44" t="s">
        <v>3393</v>
      </c>
      <c r="AJ887" s="26"/>
      <c r="AK887" s="5"/>
      <c r="AL887" s="82" t="s">
        <v>3570</v>
      </c>
      <c r="AM887" s="76"/>
      <c r="AN887" s="76"/>
      <c r="AO887" s="76"/>
      <c r="AP887" s="76"/>
      <c r="AQ887" s="76"/>
      <c r="AR887" s="76"/>
      <c r="AS887" s="76"/>
      <c r="AT887" s="76"/>
      <c r="AU887" s="76"/>
      <c r="AV887" s="76"/>
      <c r="AW887" s="76"/>
      <c r="AX887" s="76">
        <f>+AW887*600000</f>
        <v>0</v>
      </c>
      <c r="AY887" s="76"/>
      <c r="AZ887" s="76">
        <f>+AY887*70000</f>
        <v>0</v>
      </c>
      <c r="BA887" s="76"/>
      <c r="BB887" s="76"/>
      <c r="BC887" s="76"/>
      <c r="BD887" s="76">
        <f>+BC887*30000</f>
        <v>0</v>
      </c>
      <c r="BE887" s="76"/>
      <c r="BF887" s="76"/>
      <c r="BG887" s="76"/>
      <c r="BH887" s="76"/>
      <c r="BI887" s="76"/>
      <c r="BJ887" s="76"/>
      <c r="BK887" s="76"/>
      <c r="BL887" s="76">
        <f>+BK887*31500</f>
        <v>0</v>
      </c>
      <c r="BM887" s="76"/>
      <c r="BN887" s="76"/>
      <c r="BO887" s="76"/>
      <c r="BP887" s="76"/>
      <c r="BQ887" s="76"/>
      <c r="BR887" s="76"/>
      <c r="BS887" s="76"/>
      <c r="BT887" s="76"/>
      <c r="BU887" s="76"/>
      <c r="BV887" s="76"/>
      <c r="BW887" s="76"/>
      <c r="BX887" s="76"/>
      <c r="BY887" s="76"/>
      <c r="BZ887" s="76"/>
      <c r="CA887" s="76"/>
      <c r="CB887" s="76"/>
      <c r="CC887" s="76"/>
      <c r="CD887" s="76"/>
      <c r="CE887" s="76"/>
      <c r="CF887" s="76">
        <f>+CE887*28000</f>
        <v>0</v>
      </c>
      <c r="CG887" s="76"/>
      <c r="CH887" s="76">
        <f>+CG887*22500</f>
        <v>0</v>
      </c>
      <c r="CI887" s="76"/>
      <c r="CJ887" s="76">
        <f>+CI887*26000</f>
        <v>0</v>
      </c>
      <c r="CK887" s="76"/>
      <c r="CL887" s="76"/>
      <c r="CM887" s="76"/>
      <c r="CN887" s="76">
        <f>+CM887*22000</f>
        <v>0</v>
      </c>
      <c r="CO887" s="76"/>
      <c r="CP887" s="76">
        <f>+CO887*46000</f>
        <v>0</v>
      </c>
      <c r="CQ887" s="76"/>
      <c r="CR887" s="76">
        <f>+CQ887*49000</f>
        <v>0</v>
      </c>
      <c r="CS887" s="76"/>
      <c r="CT887" s="76"/>
      <c r="CU887" s="56">
        <f>AN887+AP887+AR887+AT887+AV887+AX887+AZ887+BB887+BD887+BF887+BH887+BJ887+BL887+BN887+BP887+BR887+BT887+BV887+BX887+BZ887+CB887+CD887+CF887+CH887+CJ887+CL887+CN887+CP887+CR887+CT887</f>
        <v>0</v>
      </c>
      <c r="CV887" s="76"/>
      <c r="CW887" s="76">
        <f>+CV887*1100</f>
        <v>0</v>
      </c>
      <c r="CX887" s="76"/>
      <c r="CY887" s="76">
        <f>+CX887*106250</f>
        <v>0</v>
      </c>
      <c r="CZ887" s="76"/>
      <c r="DA887" s="76">
        <f>+CZ887*34500</f>
        <v>0</v>
      </c>
      <c r="DB887" s="76"/>
      <c r="DC887" s="76">
        <f>+DB887*25000</f>
        <v>0</v>
      </c>
      <c r="DD887" s="219"/>
      <c r="DE887" s="219"/>
      <c r="DF887" s="166"/>
      <c r="DG887" s="116"/>
      <c r="DH887" s="117"/>
      <c r="DI887" s="24"/>
      <c r="DJ887" s="24"/>
      <c r="DK887" s="24"/>
      <c r="DL887" s="24"/>
      <c r="DM887" s="24"/>
      <c r="DN887" s="24"/>
      <c r="DO887" s="24"/>
      <c r="DP887" s="24"/>
      <c r="DQ887" s="24"/>
      <c r="DR887" s="24"/>
      <c r="DS887" s="24"/>
      <c r="DT887" s="24"/>
      <c r="DU887" s="24"/>
    </row>
    <row r="888" spans="1:125" s="8" customFormat="1" ht="48" x14ac:dyDescent="0.2">
      <c r="A888" s="77">
        <v>41325</v>
      </c>
      <c r="B888" s="78" t="s">
        <v>2881</v>
      </c>
      <c r="C888" s="75" t="s">
        <v>1430</v>
      </c>
      <c r="D888" s="75" t="s">
        <v>2882</v>
      </c>
      <c r="E888" s="75" t="str">
        <f>VLOOKUP(B888&amp;C888,Divipola!$C$2:$F$1138,4,FALSE)</f>
        <v>08573</v>
      </c>
      <c r="F888" s="87"/>
      <c r="G888" s="87"/>
      <c r="H888" s="87"/>
      <c r="I888" s="87">
        <v>75</v>
      </c>
      <c r="J888" s="87">
        <v>15</v>
      </c>
      <c r="K888" s="87"/>
      <c r="L888" s="87">
        <v>15</v>
      </c>
      <c r="M888" s="87"/>
      <c r="N888" s="87"/>
      <c r="O888" s="87"/>
      <c r="P888" s="87"/>
      <c r="Q888" s="87"/>
      <c r="R888" s="87"/>
      <c r="S888" s="87"/>
      <c r="T888" s="87"/>
      <c r="U888" s="88"/>
      <c r="V888" s="89"/>
      <c r="W888" s="96">
        <v>0</v>
      </c>
      <c r="X888" s="71">
        <f>CU888</f>
        <v>0</v>
      </c>
      <c r="Y888" s="71">
        <f>CY888</f>
        <v>0</v>
      </c>
      <c r="Z888" s="71">
        <f>DA888+DC888+DE888</f>
        <v>0</v>
      </c>
      <c r="AA888" s="71">
        <f>CW888</f>
        <v>0</v>
      </c>
      <c r="AB888" s="71"/>
      <c r="AC888" s="71">
        <v>0</v>
      </c>
      <c r="AD888" s="71">
        <f>W888+X888+Y888+Z888+AA888+AB888+AC888</f>
        <v>0</v>
      </c>
      <c r="AE888" s="72">
        <v>0</v>
      </c>
      <c r="AF888" s="5"/>
      <c r="AG888" s="6"/>
      <c r="AH888" s="27" t="s">
        <v>3392</v>
      </c>
      <c r="AI888" s="44" t="s">
        <v>3393</v>
      </c>
      <c r="AJ888" s="26"/>
      <c r="AK888" s="5"/>
      <c r="AL888" s="82" t="s">
        <v>3567</v>
      </c>
      <c r="AM888" s="76"/>
      <c r="AN888" s="76"/>
      <c r="AO888" s="76"/>
      <c r="AP888" s="76"/>
      <c r="AQ888" s="76"/>
      <c r="AR888" s="76"/>
      <c r="AS888" s="76"/>
      <c r="AT888" s="76"/>
      <c r="AU888" s="76"/>
      <c r="AV888" s="76"/>
      <c r="AW888" s="76"/>
      <c r="AX888" s="76">
        <f>+AW888*600000</f>
        <v>0</v>
      </c>
      <c r="AY888" s="76"/>
      <c r="AZ888" s="76">
        <f>+AY888*70000</f>
        <v>0</v>
      </c>
      <c r="BA888" s="76"/>
      <c r="BB888" s="76"/>
      <c r="BC888" s="76"/>
      <c r="BD888" s="76">
        <f>+BC888*30000</f>
        <v>0</v>
      </c>
      <c r="BE888" s="76"/>
      <c r="BF888" s="76"/>
      <c r="BG888" s="76"/>
      <c r="BH888" s="76"/>
      <c r="BI888" s="76"/>
      <c r="BJ888" s="76"/>
      <c r="BK888" s="76"/>
      <c r="BL888" s="76">
        <f>+BK888*31500</f>
        <v>0</v>
      </c>
      <c r="BM888" s="76"/>
      <c r="BN888" s="76"/>
      <c r="BO888" s="76"/>
      <c r="BP888" s="76"/>
      <c r="BQ888" s="76"/>
      <c r="BR888" s="76"/>
      <c r="BS888" s="76"/>
      <c r="BT888" s="76"/>
      <c r="BU888" s="76"/>
      <c r="BV888" s="76"/>
      <c r="BW888" s="76"/>
      <c r="BX888" s="76"/>
      <c r="BY888" s="76"/>
      <c r="BZ888" s="76"/>
      <c r="CA888" s="76"/>
      <c r="CB888" s="76"/>
      <c r="CC888" s="76"/>
      <c r="CD888" s="76"/>
      <c r="CE888" s="76"/>
      <c r="CF888" s="76">
        <f>+CE888*28000</f>
        <v>0</v>
      </c>
      <c r="CG888" s="76"/>
      <c r="CH888" s="76">
        <f>+CG888*22500</f>
        <v>0</v>
      </c>
      <c r="CI888" s="76"/>
      <c r="CJ888" s="76">
        <f>+CI888*26000</f>
        <v>0</v>
      </c>
      <c r="CK888" s="76"/>
      <c r="CL888" s="76"/>
      <c r="CM888" s="76"/>
      <c r="CN888" s="76">
        <f>+CM888*22000</f>
        <v>0</v>
      </c>
      <c r="CO888" s="76"/>
      <c r="CP888" s="76">
        <f>+CO888*46000</f>
        <v>0</v>
      </c>
      <c r="CQ888" s="76"/>
      <c r="CR888" s="76">
        <f>+CQ888*49000</f>
        <v>0</v>
      </c>
      <c r="CS888" s="76"/>
      <c r="CT888" s="76"/>
      <c r="CU888" s="56">
        <f>AN888+AP888+AR888+AT888+AV888+AX888+AZ888+BB888+BD888+BF888+BH888+BJ888+BL888+BN888+BP888+BR888+BT888+BV888+BX888+BZ888+CB888+CD888+CF888+CH888+CJ888+CL888+CN888+CP888+CR888+CT888</f>
        <v>0</v>
      </c>
      <c r="CV888" s="76"/>
      <c r="CW888" s="76">
        <f>+CV888*1100</f>
        <v>0</v>
      </c>
      <c r="CX888" s="76"/>
      <c r="CY888" s="76">
        <f>+CX888*106250</f>
        <v>0</v>
      </c>
      <c r="CZ888" s="76"/>
      <c r="DA888" s="76">
        <f>+CZ888*34500</f>
        <v>0</v>
      </c>
      <c r="DB888" s="76"/>
      <c r="DC888" s="76">
        <f>+DB888*25000</f>
        <v>0</v>
      </c>
      <c r="DD888" s="219"/>
      <c r="DE888" s="219"/>
      <c r="DF888" s="166"/>
      <c r="DG888" s="116"/>
      <c r="DH888" s="117"/>
      <c r="DI888" s="24"/>
      <c r="DJ888" s="24"/>
      <c r="DK888" s="24"/>
      <c r="DL888" s="24"/>
      <c r="DM888" s="24"/>
      <c r="DN888" s="24"/>
      <c r="DO888" s="24"/>
      <c r="DP888" s="24"/>
      <c r="DQ888" s="24"/>
      <c r="DR888" s="24"/>
      <c r="DS888" s="24"/>
      <c r="DT888" s="24"/>
      <c r="DU888" s="24"/>
    </row>
    <row r="889" spans="1:125" s="8" customFormat="1" ht="24" x14ac:dyDescent="0.2">
      <c r="A889" s="77">
        <v>41325</v>
      </c>
      <c r="B889" s="78" t="s">
        <v>2196</v>
      </c>
      <c r="C889" s="75" t="s">
        <v>508</v>
      </c>
      <c r="D889" s="84" t="s">
        <v>3088</v>
      </c>
      <c r="E889" s="75" t="str">
        <f>VLOOKUP(B889&amp;C889,Divipola!$C$2:$F$1138,4,FALSE)</f>
        <v>17001</v>
      </c>
      <c r="F889" s="87"/>
      <c r="G889" s="87"/>
      <c r="H889" s="87"/>
      <c r="I889" s="87">
        <v>20</v>
      </c>
      <c r="J889" s="87">
        <v>4</v>
      </c>
      <c r="K889" s="87"/>
      <c r="L889" s="87">
        <v>4</v>
      </c>
      <c r="M889" s="87"/>
      <c r="N889" s="87"/>
      <c r="O889" s="87"/>
      <c r="P889" s="87"/>
      <c r="Q889" s="87"/>
      <c r="R889" s="87"/>
      <c r="S889" s="87"/>
      <c r="T889" s="87"/>
      <c r="U889" s="88"/>
      <c r="V889" s="89"/>
      <c r="W889" s="96">
        <v>0</v>
      </c>
      <c r="X889" s="71">
        <f>CU889</f>
        <v>0</v>
      </c>
      <c r="Y889" s="71">
        <f>CY889</f>
        <v>0</v>
      </c>
      <c r="Z889" s="71">
        <f>DA889+DC889+DE889</f>
        <v>0</v>
      </c>
      <c r="AA889" s="71">
        <f>CW889</f>
        <v>0</v>
      </c>
      <c r="AB889" s="71"/>
      <c r="AC889" s="71">
        <v>0</v>
      </c>
      <c r="AD889" s="71">
        <f>W889+X889+Y889+Z889+AA889+AB889+AC889</f>
        <v>0</v>
      </c>
      <c r="AE889" s="72">
        <v>0</v>
      </c>
      <c r="AF889" s="5"/>
      <c r="AG889" s="6"/>
      <c r="AH889" s="27" t="s">
        <v>3392</v>
      </c>
      <c r="AI889" s="44" t="s">
        <v>3393</v>
      </c>
      <c r="AJ889" s="26"/>
      <c r="AK889" s="5"/>
      <c r="AL889" s="82" t="s">
        <v>3572</v>
      </c>
      <c r="AM889" s="76"/>
      <c r="AN889" s="76"/>
      <c r="AO889" s="76"/>
      <c r="AP889" s="76"/>
      <c r="AQ889" s="76"/>
      <c r="AR889" s="76"/>
      <c r="AS889" s="76"/>
      <c r="AT889" s="76"/>
      <c r="AU889" s="76"/>
      <c r="AV889" s="76"/>
      <c r="AW889" s="76"/>
      <c r="AX889" s="76">
        <f>+AW889*600000</f>
        <v>0</v>
      </c>
      <c r="AY889" s="76"/>
      <c r="AZ889" s="76">
        <f>+AY889*70000</f>
        <v>0</v>
      </c>
      <c r="BA889" s="76"/>
      <c r="BB889" s="76"/>
      <c r="BC889" s="76"/>
      <c r="BD889" s="76">
        <f>+BC889*30000</f>
        <v>0</v>
      </c>
      <c r="BE889" s="76"/>
      <c r="BF889" s="76"/>
      <c r="BG889" s="76"/>
      <c r="BH889" s="76"/>
      <c r="BI889" s="76"/>
      <c r="BJ889" s="76"/>
      <c r="BK889" s="76"/>
      <c r="BL889" s="76">
        <f>+BK889*31500</f>
        <v>0</v>
      </c>
      <c r="BM889" s="76"/>
      <c r="BN889" s="76"/>
      <c r="BO889" s="76"/>
      <c r="BP889" s="76"/>
      <c r="BQ889" s="76"/>
      <c r="BR889" s="76"/>
      <c r="BS889" s="76"/>
      <c r="BT889" s="76"/>
      <c r="BU889" s="76"/>
      <c r="BV889" s="76"/>
      <c r="BW889" s="76"/>
      <c r="BX889" s="76"/>
      <c r="BY889" s="76"/>
      <c r="BZ889" s="76"/>
      <c r="CA889" s="76"/>
      <c r="CB889" s="76"/>
      <c r="CC889" s="76"/>
      <c r="CD889" s="76"/>
      <c r="CE889" s="76"/>
      <c r="CF889" s="76">
        <f>+CE889*28000</f>
        <v>0</v>
      </c>
      <c r="CG889" s="76"/>
      <c r="CH889" s="76">
        <f>+CG889*22500</f>
        <v>0</v>
      </c>
      <c r="CI889" s="76"/>
      <c r="CJ889" s="76">
        <f>+CI889*26000</f>
        <v>0</v>
      </c>
      <c r="CK889" s="76"/>
      <c r="CL889" s="76"/>
      <c r="CM889" s="76"/>
      <c r="CN889" s="76">
        <f>+CM889*22000</f>
        <v>0</v>
      </c>
      <c r="CO889" s="76"/>
      <c r="CP889" s="76">
        <f>+CO889*46000</f>
        <v>0</v>
      </c>
      <c r="CQ889" s="76"/>
      <c r="CR889" s="76">
        <f>+CQ889*49000</f>
        <v>0</v>
      </c>
      <c r="CS889" s="76"/>
      <c r="CT889" s="76"/>
      <c r="CU889" s="56">
        <f>AN889+AP889+AR889+AT889+AV889+AX889+AZ889+BB889+BD889+BF889+BH889+BJ889+BL889+BN889+BP889+BR889+BT889+BV889+BX889+BZ889+CB889+CD889+CF889+CH889+CJ889+CL889+CN889+CP889+CR889+CT889</f>
        <v>0</v>
      </c>
      <c r="CV889" s="76"/>
      <c r="CW889" s="76">
        <f>+CV889*1100</f>
        <v>0</v>
      </c>
      <c r="CX889" s="76"/>
      <c r="CY889" s="76">
        <f>+CX889*106250</f>
        <v>0</v>
      </c>
      <c r="CZ889" s="76"/>
      <c r="DA889" s="76">
        <f>+CZ889*34500</f>
        <v>0</v>
      </c>
      <c r="DB889" s="76"/>
      <c r="DC889" s="76">
        <f>+DB889*25000</f>
        <v>0</v>
      </c>
      <c r="DD889" s="219"/>
      <c r="DE889" s="219"/>
      <c r="DF889" s="166"/>
      <c r="DG889" s="116"/>
      <c r="DH889" s="117"/>
      <c r="DI889" s="24"/>
      <c r="DJ889" s="24"/>
      <c r="DK889" s="24"/>
      <c r="DL889" s="24"/>
      <c r="DM889" s="24"/>
      <c r="DN889" s="24"/>
      <c r="DO889" s="24"/>
      <c r="DP889" s="24"/>
      <c r="DQ889" s="24"/>
      <c r="DR889" s="24"/>
      <c r="DS889" s="24"/>
      <c r="DT889" s="24"/>
      <c r="DU889" s="24"/>
    </row>
    <row r="890" spans="1:125" s="8" customFormat="1" ht="48" x14ac:dyDescent="0.2">
      <c r="A890" s="77">
        <v>41325</v>
      </c>
      <c r="B890" s="78" t="s">
        <v>2778</v>
      </c>
      <c r="C890" s="75" t="s">
        <v>1343</v>
      </c>
      <c r="D890" s="81" t="s">
        <v>2846</v>
      </c>
      <c r="E890" s="75" t="str">
        <f>VLOOKUP(B890&amp;C890,Divipola!$C$2:$F$1138,4,FALSE)</f>
        <v>85139</v>
      </c>
      <c r="F890" s="87"/>
      <c r="G890" s="87"/>
      <c r="H890" s="87"/>
      <c r="I890" s="87"/>
      <c r="J890" s="87"/>
      <c r="K890" s="87"/>
      <c r="L890" s="87"/>
      <c r="M890" s="87"/>
      <c r="N890" s="87"/>
      <c r="O890" s="87"/>
      <c r="P890" s="87"/>
      <c r="Q890" s="87"/>
      <c r="R890" s="87"/>
      <c r="S890" s="87"/>
      <c r="T890" s="87"/>
      <c r="U890" s="88">
        <v>60</v>
      </c>
      <c r="V890" s="89"/>
      <c r="W890" s="96">
        <v>0</v>
      </c>
      <c r="X890" s="71">
        <f>CU890</f>
        <v>0</v>
      </c>
      <c r="Y890" s="71">
        <f>CY890</f>
        <v>0</v>
      </c>
      <c r="Z890" s="71">
        <f>DA890+DC890+DE890</f>
        <v>0</v>
      </c>
      <c r="AA890" s="71">
        <f>CW890</f>
        <v>0</v>
      </c>
      <c r="AB890" s="71"/>
      <c r="AC890" s="71">
        <v>0</v>
      </c>
      <c r="AD890" s="71">
        <f>W890+X890+Y890+Z890+AA890+AB890+AC890</f>
        <v>0</v>
      </c>
      <c r="AE890" s="72">
        <v>0</v>
      </c>
      <c r="AF890" s="5"/>
      <c r="AG890" s="6"/>
      <c r="AH890" s="27" t="s">
        <v>3392</v>
      </c>
      <c r="AI890" s="44" t="s">
        <v>3393</v>
      </c>
      <c r="AJ890" s="26"/>
      <c r="AK890" s="5"/>
      <c r="AL890" s="82" t="s">
        <v>3684</v>
      </c>
      <c r="AM890" s="76"/>
      <c r="AN890" s="76"/>
      <c r="AO890" s="76"/>
      <c r="AP890" s="76"/>
      <c r="AQ890" s="76"/>
      <c r="AR890" s="76"/>
      <c r="AS890" s="76"/>
      <c r="AT890" s="76"/>
      <c r="AU890" s="76"/>
      <c r="AV890" s="76"/>
      <c r="AW890" s="76"/>
      <c r="AX890" s="76">
        <f>+AW890*600000</f>
        <v>0</v>
      </c>
      <c r="AY890" s="76"/>
      <c r="AZ890" s="76">
        <f>+AY890*70000</f>
        <v>0</v>
      </c>
      <c r="BA890" s="76"/>
      <c r="BB890" s="76"/>
      <c r="BC890" s="76"/>
      <c r="BD890" s="76">
        <f>+BC890*30000</f>
        <v>0</v>
      </c>
      <c r="BE890" s="76"/>
      <c r="BF890" s="76"/>
      <c r="BG890" s="76"/>
      <c r="BH890" s="76"/>
      <c r="BI890" s="76"/>
      <c r="BJ890" s="76"/>
      <c r="BK890" s="76"/>
      <c r="BL890" s="76">
        <f>+BK890*31500</f>
        <v>0</v>
      </c>
      <c r="BM890" s="76"/>
      <c r="BN890" s="76"/>
      <c r="BO890" s="76"/>
      <c r="BP890" s="76"/>
      <c r="BQ890" s="76"/>
      <c r="BR890" s="76"/>
      <c r="BS890" s="76"/>
      <c r="BT890" s="76"/>
      <c r="BU890" s="76"/>
      <c r="BV890" s="76"/>
      <c r="BW890" s="76"/>
      <c r="BX890" s="76"/>
      <c r="BY890" s="76"/>
      <c r="BZ890" s="76"/>
      <c r="CA890" s="76"/>
      <c r="CB890" s="76"/>
      <c r="CC890" s="76"/>
      <c r="CD890" s="76"/>
      <c r="CE890" s="76"/>
      <c r="CF890" s="76">
        <f>+CE890*28000</f>
        <v>0</v>
      </c>
      <c r="CG890" s="76"/>
      <c r="CH890" s="76">
        <f>+CG890*22500</f>
        <v>0</v>
      </c>
      <c r="CI890" s="76"/>
      <c r="CJ890" s="76">
        <f>+CI890*26000</f>
        <v>0</v>
      </c>
      <c r="CK890" s="76"/>
      <c r="CL890" s="76"/>
      <c r="CM890" s="76"/>
      <c r="CN890" s="76">
        <f>+CM890*22000</f>
        <v>0</v>
      </c>
      <c r="CO890" s="76"/>
      <c r="CP890" s="76">
        <f>+CO890*46000</f>
        <v>0</v>
      </c>
      <c r="CQ890" s="76"/>
      <c r="CR890" s="76">
        <f>+CQ890*49000</f>
        <v>0</v>
      </c>
      <c r="CS890" s="76"/>
      <c r="CT890" s="76"/>
      <c r="CU890" s="56">
        <f>AN890+AP890+AR890+AT890+AV890+AX890+AZ890+BB890+BD890+BF890+BH890+BJ890+BL890+BN890+BP890+BR890+BT890+BV890+BX890+BZ890+CB890+CD890+CF890+CH890+CJ890+CL890+CN890+CP890+CR890+CT890</f>
        <v>0</v>
      </c>
      <c r="CV890" s="76"/>
      <c r="CW890" s="76">
        <f>+CV890*1100</f>
        <v>0</v>
      </c>
      <c r="CX890" s="76"/>
      <c r="CY890" s="76">
        <f>+CX890*106250</f>
        <v>0</v>
      </c>
      <c r="CZ890" s="76"/>
      <c r="DA890" s="76">
        <f>+CZ890*34500</f>
        <v>0</v>
      </c>
      <c r="DB890" s="76"/>
      <c r="DC890" s="76">
        <f>+DB890*25000</f>
        <v>0</v>
      </c>
      <c r="DD890" s="219"/>
      <c r="DE890" s="219"/>
      <c r="DF890" s="166"/>
      <c r="DG890" s="116"/>
      <c r="DH890" s="117"/>
      <c r="DI890" s="24"/>
      <c r="DJ890" s="24"/>
      <c r="DK890" s="24"/>
      <c r="DL890" s="24"/>
      <c r="DM890" s="24"/>
      <c r="DN890" s="24"/>
      <c r="DO890" s="24"/>
      <c r="DP890" s="24"/>
      <c r="DQ890" s="24"/>
      <c r="DR890" s="24"/>
      <c r="DS890" s="24"/>
      <c r="DT890" s="24"/>
      <c r="DU890" s="24"/>
    </row>
    <row r="891" spans="1:125" s="8" customFormat="1" ht="48" x14ac:dyDescent="0.2">
      <c r="A891" s="77">
        <v>41325</v>
      </c>
      <c r="B891" s="78" t="s">
        <v>2778</v>
      </c>
      <c r="C891" s="75" t="s">
        <v>1342</v>
      </c>
      <c r="D891" s="81" t="s">
        <v>2846</v>
      </c>
      <c r="E891" s="75" t="str">
        <f>VLOOKUP(B891&amp;C891,Divipola!$C$2:$F$1138,4,FALSE)</f>
        <v>85263</v>
      </c>
      <c r="F891" s="87"/>
      <c r="G891" s="87"/>
      <c r="H891" s="87"/>
      <c r="I891" s="87"/>
      <c r="J891" s="87"/>
      <c r="K891" s="87"/>
      <c r="L891" s="87"/>
      <c r="M891" s="87"/>
      <c r="N891" s="87"/>
      <c r="O891" s="87"/>
      <c r="P891" s="87"/>
      <c r="Q891" s="87"/>
      <c r="R891" s="87"/>
      <c r="S891" s="87"/>
      <c r="T891" s="87"/>
      <c r="U891" s="88">
        <v>6</v>
      </c>
      <c r="V891" s="89"/>
      <c r="W891" s="96">
        <v>0</v>
      </c>
      <c r="X891" s="71">
        <f>CU891</f>
        <v>0</v>
      </c>
      <c r="Y891" s="71">
        <f>CY891</f>
        <v>0</v>
      </c>
      <c r="Z891" s="71">
        <f>DA891+DC891+DE891</f>
        <v>0</v>
      </c>
      <c r="AA891" s="71">
        <f>CW891</f>
        <v>0</v>
      </c>
      <c r="AB891" s="71"/>
      <c r="AC891" s="71">
        <v>0</v>
      </c>
      <c r="AD891" s="71">
        <f>W891+X891+Y891+Z891+AA891+AB891+AC891</f>
        <v>0</v>
      </c>
      <c r="AE891" s="72">
        <v>0</v>
      </c>
      <c r="AF891" s="5"/>
      <c r="AG891" s="6"/>
      <c r="AH891" s="27" t="s">
        <v>3392</v>
      </c>
      <c r="AI891" s="44" t="s">
        <v>3393</v>
      </c>
      <c r="AJ891" s="26"/>
      <c r="AK891" s="5"/>
      <c r="AL891" s="82" t="s">
        <v>3764</v>
      </c>
      <c r="AM891" s="76"/>
      <c r="AN891" s="76"/>
      <c r="AO891" s="76"/>
      <c r="AP891" s="76"/>
      <c r="AQ891" s="76"/>
      <c r="AR891" s="76"/>
      <c r="AS891" s="76"/>
      <c r="AT891" s="76"/>
      <c r="AU891" s="76"/>
      <c r="AV891" s="76"/>
      <c r="AW891" s="76"/>
      <c r="AX891" s="76">
        <f>+AW891*600000</f>
        <v>0</v>
      </c>
      <c r="AY891" s="76"/>
      <c r="AZ891" s="76">
        <f>+AY891*70000</f>
        <v>0</v>
      </c>
      <c r="BA891" s="76"/>
      <c r="BB891" s="76"/>
      <c r="BC891" s="76"/>
      <c r="BD891" s="76">
        <f>+BC891*30000</f>
        <v>0</v>
      </c>
      <c r="BE891" s="76"/>
      <c r="BF891" s="76"/>
      <c r="BG891" s="76"/>
      <c r="BH891" s="76"/>
      <c r="BI891" s="76"/>
      <c r="BJ891" s="76"/>
      <c r="BK891" s="76"/>
      <c r="BL891" s="76">
        <f>+BK891*31500</f>
        <v>0</v>
      </c>
      <c r="BM891" s="76"/>
      <c r="BN891" s="76"/>
      <c r="BO891" s="76"/>
      <c r="BP891" s="76"/>
      <c r="BQ891" s="76"/>
      <c r="BR891" s="76"/>
      <c r="BS891" s="76"/>
      <c r="BT891" s="76"/>
      <c r="BU891" s="76"/>
      <c r="BV891" s="76"/>
      <c r="BW891" s="76"/>
      <c r="BX891" s="76"/>
      <c r="BY891" s="76"/>
      <c r="BZ891" s="76"/>
      <c r="CA891" s="76"/>
      <c r="CB891" s="76"/>
      <c r="CC891" s="76"/>
      <c r="CD891" s="76"/>
      <c r="CE891" s="76"/>
      <c r="CF891" s="76">
        <f>+CE891*28000</f>
        <v>0</v>
      </c>
      <c r="CG891" s="76"/>
      <c r="CH891" s="76">
        <f>+CG891*22500</f>
        <v>0</v>
      </c>
      <c r="CI891" s="76"/>
      <c r="CJ891" s="76">
        <f>+CI891*26000</f>
        <v>0</v>
      </c>
      <c r="CK891" s="76"/>
      <c r="CL891" s="76"/>
      <c r="CM891" s="76"/>
      <c r="CN891" s="76">
        <f>+CM891*22000</f>
        <v>0</v>
      </c>
      <c r="CO891" s="76"/>
      <c r="CP891" s="76">
        <f>+CO891*46000</f>
        <v>0</v>
      </c>
      <c r="CQ891" s="76"/>
      <c r="CR891" s="76">
        <f>+CQ891*49000</f>
        <v>0</v>
      </c>
      <c r="CS891" s="76"/>
      <c r="CT891" s="76"/>
      <c r="CU891" s="56">
        <f>AN891+AP891+AR891+AT891+AV891+AX891+AZ891+BB891+BD891+BF891+BH891+BJ891+BL891+BN891+BP891+BR891+BT891+BV891+BX891+BZ891+CB891+CD891+CF891+CH891+CJ891+CL891+CN891+CP891+CR891+CT891</f>
        <v>0</v>
      </c>
      <c r="CV891" s="76"/>
      <c r="CW891" s="76">
        <f>+CV891*1100</f>
        <v>0</v>
      </c>
      <c r="CX891" s="76"/>
      <c r="CY891" s="76">
        <f>+CX891*106250</f>
        <v>0</v>
      </c>
      <c r="CZ891" s="76"/>
      <c r="DA891" s="76">
        <f>+CZ891*34500</f>
        <v>0</v>
      </c>
      <c r="DB891" s="76"/>
      <c r="DC891" s="76">
        <f>+DB891*25000</f>
        <v>0</v>
      </c>
      <c r="DD891" s="219"/>
      <c r="DE891" s="219"/>
      <c r="DF891" s="166"/>
      <c r="DG891" s="116"/>
      <c r="DH891" s="117"/>
      <c r="DI891" s="24"/>
      <c r="DJ891" s="24"/>
      <c r="DK891" s="24"/>
      <c r="DL891" s="24"/>
      <c r="DM891" s="24"/>
      <c r="DN891" s="24"/>
      <c r="DO891" s="24"/>
      <c r="DP891" s="24"/>
      <c r="DQ891" s="24"/>
      <c r="DR891" s="24"/>
      <c r="DS891" s="24"/>
      <c r="DT891" s="24"/>
      <c r="DU891" s="24"/>
    </row>
    <row r="892" spans="1:125" s="8" customFormat="1" ht="72" x14ac:dyDescent="0.2">
      <c r="A892" s="77">
        <v>41325</v>
      </c>
      <c r="B892" s="78" t="s">
        <v>2852</v>
      </c>
      <c r="C892" s="75" t="s">
        <v>1278</v>
      </c>
      <c r="D892" s="75" t="s">
        <v>3051</v>
      </c>
      <c r="E892" s="75" t="str">
        <f>VLOOKUP(B892&amp;C892,Divipola!$C$2:$F$1138,4,FALSE)</f>
        <v>27135</v>
      </c>
      <c r="F892" s="87"/>
      <c r="G892" s="87"/>
      <c r="H892" s="87"/>
      <c r="I892" s="87">
        <v>3890</v>
      </c>
      <c r="J892" s="87">
        <v>778</v>
      </c>
      <c r="K892" s="87"/>
      <c r="L892" s="87">
        <v>778</v>
      </c>
      <c r="M892" s="87"/>
      <c r="N892" s="87"/>
      <c r="O892" s="87"/>
      <c r="P892" s="87"/>
      <c r="Q892" s="87"/>
      <c r="R892" s="87"/>
      <c r="S892" s="87"/>
      <c r="T892" s="87"/>
      <c r="U892" s="88"/>
      <c r="V892" s="89"/>
      <c r="W892" s="96">
        <v>0</v>
      </c>
      <c r="X892" s="71">
        <f>CU892</f>
        <v>0</v>
      </c>
      <c r="Y892" s="71">
        <f>CY892</f>
        <v>0</v>
      </c>
      <c r="Z892" s="71">
        <f>DA892+DC892+DE892</f>
        <v>0</v>
      </c>
      <c r="AA892" s="71">
        <f>CW892</f>
        <v>0</v>
      </c>
      <c r="AB892" s="71"/>
      <c r="AC892" s="71">
        <v>0</v>
      </c>
      <c r="AD892" s="71">
        <f>W892+X892+Y892+Z892+AA892+AB892+AC892</f>
        <v>0</v>
      </c>
      <c r="AE892" s="72">
        <v>0</v>
      </c>
      <c r="AF892" s="5"/>
      <c r="AG892" s="6"/>
      <c r="AH892" s="27" t="s">
        <v>3390</v>
      </c>
      <c r="AI892" s="44" t="s">
        <v>3393</v>
      </c>
      <c r="AJ892" s="26"/>
      <c r="AK892" s="5" t="s">
        <v>4242</v>
      </c>
      <c r="AL892" s="82" t="s">
        <v>3566</v>
      </c>
      <c r="AM892" s="76"/>
      <c r="AN892" s="76"/>
      <c r="AO892" s="76"/>
      <c r="AP892" s="76"/>
      <c r="AQ892" s="76"/>
      <c r="AR892" s="76"/>
      <c r="AS892" s="76"/>
      <c r="AT892" s="76"/>
      <c r="AU892" s="76"/>
      <c r="AV892" s="76"/>
      <c r="AW892" s="76"/>
      <c r="AX892" s="76">
        <f>+AW892*600000</f>
        <v>0</v>
      </c>
      <c r="AY892" s="76"/>
      <c r="AZ892" s="76">
        <f>+AY892*70000</f>
        <v>0</v>
      </c>
      <c r="BA892" s="76"/>
      <c r="BB892" s="76"/>
      <c r="BC892" s="76"/>
      <c r="BD892" s="76">
        <f>+BC892*30000</f>
        <v>0</v>
      </c>
      <c r="BE892" s="76"/>
      <c r="BF892" s="76"/>
      <c r="BG892" s="76"/>
      <c r="BH892" s="76"/>
      <c r="BI892" s="76"/>
      <c r="BJ892" s="76"/>
      <c r="BK892" s="76"/>
      <c r="BL892" s="76">
        <f>+BK892*31500</f>
        <v>0</v>
      </c>
      <c r="BM892" s="76"/>
      <c r="BN892" s="76"/>
      <c r="BO892" s="76"/>
      <c r="BP892" s="76"/>
      <c r="BQ892" s="76"/>
      <c r="BR892" s="76"/>
      <c r="BS892" s="76"/>
      <c r="BT892" s="76"/>
      <c r="BU892" s="76"/>
      <c r="BV892" s="76"/>
      <c r="BW892" s="76"/>
      <c r="BX892" s="76"/>
      <c r="BY892" s="76"/>
      <c r="BZ892" s="76"/>
      <c r="CA892" s="76"/>
      <c r="CB892" s="76"/>
      <c r="CC892" s="76"/>
      <c r="CD892" s="76"/>
      <c r="CE892" s="76"/>
      <c r="CF892" s="76">
        <f>+CE892*28000</f>
        <v>0</v>
      </c>
      <c r="CG892" s="76"/>
      <c r="CH892" s="76">
        <f>+CG892*22500</f>
        <v>0</v>
      </c>
      <c r="CI892" s="76"/>
      <c r="CJ892" s="76">
        <f>+CI892*26000</f>
        <v>0</v>
      </c>
      <c r="CK892" s="76"/>
      <c r="CL892" s="76"/>
      <c r="CM892" s="76"/>
      <c r="CN892" s="76">
        <f>+CM892*22000</f>
        <v>0</v>
      </c>
      <c r="CO892" s="76"/>
      <c r="CP892" s="76">
        <f>+CO892*46000</f>
        <v>0</v>
      </c>
      <c r="CQ892" s="76"/>
      <c r="CR892" s="76">
        <f>+CQ892*49000</f>
        <v>0</v>
      </c>
      <c r="CS892" s="76"/>
      <c r="CT892" s="76"/>
      <c r="CU892" s="56">
        <f>AN892+AP892+AR892+AT892+AV892+AX892+AZ892+BB892+BD892+BF892+BH892+BJ892+BL892+BN892+BP892+BR892+BT892+BV892+BX892+BZ892+CB892+CD892+CF892+CH892+CJ892+CL892+CN892+CP892+CR892+CT892</f>
        <v>0</v>
      </c>
      <c r="CV892" s="76"/>
      <c r="CW892" s="76">
        <f>+CV892*1100</f>
        <v>0</v>
      </c>
      <c r="CX892" s="76"/>
      <c r="CY892" s="76">
        <f>+CX892*106250</f>
        <v>0</v>
      </c>
      <c r="CZ892" s="76"/>
      <c r="DA892" s="76">
        <f>+CZ892*34500</f>
        <v>0</v>
      </c>
      <c r="DB892" s="76"/>
      <c r="DC892" s="76">
        <f>+DB892*25000</f>
        <v>0</v>
      </c>
      <c r="DD892" s="219"/>
      <c r="DE892" s="219"/>
      <c r="DF892" s="166"/>
      <c r="DG892" s="116"/>
      <c r="DH892" s="117"/>
      <c r="DI892" s="24"/>
      <c r="DJ892" s="24"/>
      <c r="DK892" s="24"/>
      <c r="DL892" s="24"/>
      <c r="DM892" s="24"/>
      <c r="DN892" s="24"/>
      <c r="DO892" s="24"/>
      <c r="DP892" s="24"/>
      <c r="DQ892" s="24"/>
      <c r="DR892" s="24"/>
      <c r="DS892" s="24"/>
      <c r="DT892" s="24"/>
      <c r="DU892" s="24"/>
    </row>
    <row r="893" spans="1:125" s="8" customFormat="1" ht="72" x14ac:dyDescent="0.2">
      <c r="A893" s="77">
        <v>41325</v>
      </c>
      <c r="B893" s="78" t="s">
        <v>2772</v>
      </c>
      <c r="C893" s="75" t="s">
        <v>2190</v>
      </c>
      <c r="D893" s="75" t="s">
        <v>3051</v>
      </c>
      <c r="E893" s="75" t="str">
        <f>VLOOKUP(B893&amp;C893,Divipola!$C$2:$F$1138,4,FALSE)</f>
        <v>25148</v>
      </c>
      <c r="F893" s="87"/>
      <c r="G893" s="87"/>
      <c r="H893" s="87"/>
      <c r="I893" s="87">
        <v>60</v>
      </c>
      <c r="J893" s="87">
        <v>12</v>
      </c>
      <c r="K893" s="87"/>
      <c r="L893" s="87">
        <v>12</v>
      </c>
      <c r="M893" s="87"/>
      <c r="N893" s="87"/>
      <c r="O893" s="87"/>
      <c r="P893" s="87"/>
      <c r="Q893" s="87"/>
      <c r="R893" s="87"/>
      <c r="S893" s="87"/>
      <c r="T893" s="87"/>
      <c r="U893" s="88"/>
      <c r="V893" s="89">
        <v>1</v>
      </c>
      <c r="W893" s="96">
        <v>0</v>
      </c>
      <c r="X893" s="71">
        <f>CU893</f>
        <v>0</v>
      </c>
      <c r="Y893" s="71">
        <f>CY893</f>
        <v>0</v>
      </c>
      <c r="Z893" s="71">
        <f>DA893+DC893+DE893</f>
        <v>0</v>
      </c>
      <c r="AA893" s="71">
        <f>CW893</f>
        <v>0</v>
      </c>
      <c r="AB893" s="71"/>
      <c r="AC893" s="71">
        <v>0</v>
      </c>
      <c r="AD893" s="71">
        <f>W893+X893+Y893+Z893+AA893+AB893+AC893</f>
        <v>0</v>
      </c>
      <c r="AE893" s="72">
        <v>0</v>
      </c>
      <c r="AF893" s="5"/>
      <c r="AG893" s="6"/>
      <c r="AH893" s="27" t="s">
        <v>3392</v>
      </c>
      <c r="AI893" s="44" t="s">
        <v>3393</v>
      </c>
      <c r="AJ893" s="26"/>
      <c r="AK893" s="5"/>
      <c r="AL893" s="82" t="s">
        <v>3751</v>
      </c>
      <c r="AM893" s="76"/>
      <c r="AN893" s="76"/>
      <c r="AO893" s="76"/>
      <c r="AP893" s="76"/>
      <c r="AQ893" s="76"/>
      <c r="AR893" s="76"/>
      <c r="AS893" s="76"/>
      <c r="AT893" s="76"/>
      <c r="AU893" s="76"/>
      <c r="AV893" s="76"/>
      <c r="AW893" s="76"/>
      <c r="AX893" s="76">
        <f>+AW893*600000</f>
        <v>0</v>
      </c>
      <c r="AY893" s="76"/>
      <c r="AZ893" s="76">
        <f>+AY893*70000</f>
        <v>0</v>
      </c>
      <c r="BA893" s="76"/>
      <c r="BB893" s="76"/>
      <c r="BC893" s="76"/>
      <c r="BD893" s="76">
        <f>+BC893*30000</f>
        <v>0</v>
      </c>
      <c r="BE893" s="76"/>
      <c r="BF893" s="76"/>
      <c r="BG893" s="76"/>
      <c r="BH893" s="76"/>
      <c r="BI893" s="76"/>
      <c r="BJ893" s="76"/>
      <c r="BK893" s="76"/>
      <c r="BL893" s="76">
        <f>+BK893*31500</f>
        <v>0</v>
      </c>
      <c r="BM893" s="76"/>
      <c r="BN893" s="76"/>
      <c r="BO893" s="76"/>
      <c r="BP893" s="76"/>
      <c r="BQ893" s="76"/>
      <c r="BR893" s="76"/>
      <c r="BS893" s="76"/>
      <c r="BT893" s="76"/>
      <c r="BU893" s="76"/>
      <c r="BV893" s="76"/>
      <c r="BW893" s="76"/>
      <c r="BX893" s="76"/>
      <c r="BY893" s="76"/>
      <c r="BZ893" s="76"/>
      <c r="CA893" s="76"/>
      <c r="CB893" s="76"/>
      <c r="CC893" s="76"/>
      <c r="CD893" s="76"/>
      <c r="CE893" s="76"/>
      <c r="CF893" s="76">
        <f>+CE893*28000</f>
        <v>0</v>
      </c>
      <c r="CG893" s="76"/>
      <c r="CH893" s="76">
        <f>+CG893*22500</f>
        <v>0</v>
      </c>
      <c r="CI893" s="76"/>
      <c r="CJ893" s="76">
        <f>+CI893*26000</f>
        <v>0</v>
      </c>
      <c r="CK893" s="76"/>
      <c r="CL893" s="76"/>
      <c r="CM893" s="76"/>
      <c r="CN893" s="76">
        <f>+CM893*22000</f>
        <v>0</v>
      </c>
      <c r="CO893" s="76"/>
      <c r="CP893" s="76">
        <f>+CO893*46000</f>
        <v>0</v>
      </c>
      <c r="CQ893" s="76"/>
      <c r="CR893" s="76">
        <f>+CQ893*49000</f>
        <v>0</v>
      </c>
      <c r="CS893" s="76"/>
      <c r="CT893" s="76"/>
      <c r="CU893" s="56">
        <f>AN893+AP893+AR893+AT893+AV893+AX893+AZ893+BB893+BD893+BF893+BH893+BJ893+BL893+BN893+BP893+BR893+BT893+BV893+BX893+BZ893+CB893+CD893+CF893+CH893+CJ893+CL893+CN893+CP893+CR893+CT893</f>
        <v>0</v>
      </c>
      <c r="CV893" s="76"/>
      <c r="CW893" s="76">
        <f>+CV893*1100</f>
        <v>0</v>
      </c>
      <c r="CX893" s="76"/>
      <c r="CY893" s="76">
        <f>+CX893*106250</f>
        <v>0</v>
      </c>
      <c r="CZ893" s="76"/>
      <c r="DA893" s="76">
        <f>+CZ893*34500</f>
        <v>0</v>
      </c>
      <c r="DB893" s="76"/>
      <c r="DC893" s="76">
        <f>+DB893*25000</f>
        <v>0</v>
      </c>
      <c r="DD893" s="219"/>
      <c r="DE893" s="219"/>
      <c r="DF893" s="166"/>
      <c r="DG893" s="116"/>
      <c r="DH893" s="117"/>
      <c r="DI893" s="24"/>
      <c r="DJ893" s="24"/>
      <c r="DK893" s="24"/>
      <c r="DL893" s="24"/>
      <c r="DM893" s="24"/>
      <c r="DN893" s="24"/>
      <c r="DO893" s="24"/>
      <c r="DP893" s="24"/>
      <c r="DQ893" s="24"/>
      <c r="DR893" s="24"/>
      <c r="DS893" s="24"/>
      <c r="DT893" s="24"/>
      <c r="DU893" s="24"/>
    </row>
    <row r="894" spans="1:125" s="175" customFormat="1" ht="48" x14ac:dyDescent="0.2">
      <c r="A894" s="77">
        <v>41325</v>
      </c>
      <c r="B894" s="78" t="s">
        <v>2775</v>
      </c>
      <c r="C894" s="75" t="s">
        <v>2775</v>
      </c>
      <c r="D894" s="75" t="s">
        <v>3121</v>
      </c>
      <c r="E894" s="75" t="str">
        <f>VLOOKUP(B894&amp;C894,Divipola!$C$2:$F$1138,4,FALSE)</f>
        <v>00000</v>
      </c>
      <c r="F894" s="163"/>
      <c r="G894" s="163"/>
      <c r="H894" s="163"/>
      <c r="I894" s="163"/>
      <c r="J894" s="163"/>
      <c r="K894" s="163"/>
      <c r="L894" s="163"/>
      <c r="M894" s="163"/>
      <c r="N894" s="163"/>
      <c r="O894" s="163"/>
      <c r="P894" s="163"/>
      <c r="Q894" s="163"/>
      <c r="R894" s="163"/>
      <c r="S894" s="163"/>
      <c r="T894" s="163"/>
      <c r="U894" s="163"/>
      <c r="V894" s="134"/>
      <c r="W894" s="96">
        <v>0</v>
      </c>
      <c r="X894" s="71">
        <f>CU894</f>
        <v>0</v>
      </c>
      <c r="Y894" s="71">
        <f>CY894</f>
        <v>0</v>
      </c>
      <c r="Z894" s="71">
        <f>DA894+DC894+DE894</f>
        <v>949530296</v>
      </c>
      <c r="AA894" s="71">
        <f>CW894</f>
        <v>0</v>
      </c>
      <c r="AB894" s="71"/>
      <c r="AC894" s="71">
        <v>0</v>
      </c>
      <c r="AD894" s="71">
        <f>W894+X894+Y894+Z894+AA894+AB894+AC894</f>
        <v>949530296</v>
      </c>
      <c r="AE894" s="72">
        <v>0</v>
      </c>
      <c r="AF894" s="5"/>
      <c r="AG894" s="6"/>
      <c r="AH894" s="27" t="s">
        <v>3390</v>
      </c>
      <c r="AI894" s="44" t="s">
        <v>3391</v>
      </c>
      <c r="AJ894" s="26"/>
      <c r="AK894" s="5"/>
      <c r="AL894" s="82" t="s">
        <v>3692</v>
      </c>
      <c r="AM894" s="76"/>
      <c r="AN894" s="76"/>
      <c r="AO894" s="76"/>
      <c r="AP894" s="76"/>
      <c r="AQ894" s="76"/>
      <c r="AR894" s="76"/>
      <c r="AS894" s="76"/>
      <c r="AT894" s="76"/>
      <c r="AU894" s="76"/>
      <c r="AV894" s="76"/>
      <c r="AW894" s="76"/>
      <c r="AX894" s="76">
        <f>+AW894*600000</f>
        <v>0</v>
      </c>
      <c r="AY894" s="76"/>
      <c r="AZ894" s="76">
        <f>+AY894*70000</f>
        <v>0</v>
      </c>
      <c r="BA894" s="76"/>
      <c r="BB894" s="76"/>
      <c r="BC894" s="76"/>
      <c r="BD894" s="76">
        <f>+BC894*30000</f>
        <v>0</v>
      </c>
      <c r="BE894" s="76"/>
      <c r="BF894" s="76"/>
      <c r="BG894" s="76"/>
      <c r="BH894" s="76"/>
      <c r="BI894" s="76"/>
      <c r="BJ894" s="76"/>
      <c r="BK894" s="76"/>
      <c r="BL894" s="76">
        <f>+BK894*31500</f>
        <v>0</v>
      </c>
      <c r="BM894" s="76"/>
      <c r="BN894" s="76"/>
      <c r="BO894" s="76"/>
      <c r="BP894" s="76"/>
      <c r="BQ894" s="76"/>
      <c r="BR894" s="76"/>
      <c r="BS894" s="76"/>
      <c r="BT894" s="76"/>
      <c r="BU894" s="76"/>
      <c r="BV894" s="76"/>
      <c r="BW894" s="76"/>
      <c r="BX894" s="76"/>
      <c r="BY894" s="76"/>
      <c r="BZ894" s="76"/>
      <c r="CA894" s="76"/>
      <c r="CB894" s="76"/>
      <c r="CC894" s="76"/>
      <c r="CD894" s="76"/>
      <c r="CE894" s="76"/>
      <c r="CF894" s="76">
        <f>+CE894*28000</f>
        <v>0</v>
      </c>
      <c r="CG894" s="76"/>
      <c r="CH894" s="76">
        <f>+CG894*22500</f>
        <v>0</v>
      </c>
      <c r="CI894" s="76"/>
      <c r="CJ894" s="76">
        <f>+CI894*26000</f>
        <v>0</v>
      </c>
      <c r="CK894" s="76"/>
      <c r="CL894" s="76"/>
      <c r="CM894" s="76"/>
      <c r="CN894" s="76">
        <f>+CM894*22000</f>
        <v>0</v>
      </c>
      <c r="CO894" s="76"/>
      <c r="CP894" s="76">
        <f>+CO894*46000</f>
        <v>0</v>
      </c>
      <c r="CQ894" s="76"/>
      <c r="CR894" s="76">
        <f>+CQ894*49000</f>
        <v>0</v>
      </c>
      <c r="CS894" s="76"/>
      <c r="CT894" s="76"/>
      <c r="CU894" s="56">
        <f>AN894+AP894+AR894+AT894+AV894+AX894+AZ894+BB894+BD894+BF894+BH894+BJ894+BL894+BN894+BP894+BR894+BT894+BV894+BX894+BZ894+CB894+CD894+CF894+CH894+CJ894+CL894+CN894+CP894+CR894+CT894</f>
        <v>0</v>
      </c>
      <c r="CV894" s="76"/>
      <c r="CW894" s="76">
        <f>+CV894*1100</f>
        <v>0</v>
      </c>
      <c r="CX894" s="76"/>
      <c r="CY894" s="76">
        <f>+CX894*106250</f>
        <v>0</v>
      </c>
      <c r="CZ894" s="76"/>
      <c r="DA894" s="76">
        <f>+CZ894*34500</f>
        <v>0</v>
      </c>
      <c r="DB894" s="76"/>
      <c r="DC894" s="76">
        <f>+DB894*25000</f>
        <v>0</v>
      </c>
      <c r="DD894" s="82" t="s">
        <v>6722</v>
      </c>
      <c r="DE894" s="223">
        <v>949530296</v>
      </c>
      <c r="DF894" s="166"/>
      <c r="DG894" s="134" t="s">
        <v>6723</v>
      </c>
      <c r="DH894" s="117"/>
      <c r="DI894" s="24"/>
      <c r="DJ894" s="24"/>
      <c r="DK894" s="24"/>
      <c r="DL894" s="24"/>
      <c r="DM894" s="24"/>
      <c r="DN894" s="24"/>
      <c r="DO894" s="24"/>
      <c r="DP894" s="24"/>
      <c r="DQ894" s="24"/>
      <c r="DR894" s="24"/>
      <c r="DS894" s="24"/>
      <c r="DT894" s="24"/>
      <c r="DU894" s="24"/>
    </row>
    <row r="895" spans="1:125" s="8" customFormat="1" ht="36" x14ac:dyDescent="0.2">
      <c r="A895" s="77">
        <v>41325</v>
      </c>
      <c r="B895" s="78" t="s">
        <v>3131</v>
      </c>
      <c r="C895" s="75" t="s">
        <v>2747</v>
      </c>
      <c r="D895" s="75" t="s">
        <v>2849</v>
      </c>
      <c r="E895" s="75" t="str">
        <f>VLOOKUP(B895&amp;C895,Divipola!$C$2:$F$1138,4,FALSE)</f>
        <v>86001</v>
      </c>
      <c r="F895" s="87">
        <v>1</v>
      </c>
      <c r="G895" s="87">
        <v>1</v>
      </c>
      <c r="H895" s="87"/>
      <c r="I895" s="87">
        <v>2</v>
      </c>
      <c r="J895" s="87"/>
      <c r="K895" s="87"/>
      <c r="L895" s="87"/>
      <c r="M895" s="87"/>
      <c r="N895" s="87"/>
      <c r="O895" s="87"/>
      <c r="P895" s="87"/>
      <c r="Q895" s="87"/>
      <c r="R895" s="87">
        <v>0</v>
      </c>
      <c r="S895" s="87"/>
      <c r="T895" s="87"/>
      <c r="U895" s="88"/>
      <c r="V895" s="89"/>
      <c r="W895" s="96">
        <v>0</v>
      </c>
      <c r="X895" s="71">
        <f>CU895</f>
        <v>0</v>
      </c>
      <c r="Y895" s="71">
        <f>CY895</f>
        <v>0</v>
      </c>
      <c r="Z895" s="71">
        <f>DA895+DC895+DE895</f>
        <v>0</v>
      </c>
      <c r="AA895" s="71">
        <f>CW895</f>
        <v>0</v>
      </c>
      <c r="AB895" s="71"/>
      <c r="AC895" s="71">
        <v>0</v>
      </c>
      <c r="AD895" s="71">
        <f>W895+X895+Y895+Z895+AA895+AB895+AC895</f>
        <v>0</v>
      </c>
      <c r="AE895" s="72">
        <v>0</v>
      </c>
      <c r="AF895" s="5"/>
      <c r="AG895" s="6"/>
      <c r="AH895" s="27" t="s">
        <v>3392</v>
      </c>
      <c r="AI895" s="44" t="s">
        <v>3393</v>
      </c>
      <c r="AJ895" s="26"/>
      <c r="AK895" s="5"/>
      <c r="AL895" s="82" t="s">
        <v>3571</v>
      </c>
      <c r="AM895" s="76"/>
      <c r="AN895" s="76"/>
      <c r="AO895" s="76"/>
      <c r="AP895" s="76"/>
      <c r="AQ895" s="76"/>
      <c r="AR895" s="76"/>
      <c r="AS895" s="76"/>
      <c r="AT895" s="76"/>
      <c r="AU895" s="76"/>
      <c r="AV895" s="76"/>
      <c r="AW895" s="76"/>
      <c r="AX895" s="76">
        <f>+AW895*600000</f>
        <v>0</v>
      </c>
      <c r="AY895" s="76"/>
      <c r="AZ895" s="76">
        <f>+AY895*70000</f>
        <v>0</v>
      </c>
      <c r="BA895" s="76"/>
      <c r="BB895" s="76"/>
      <c r="BC895" s="76"/>
      <c r="BD895" s="76">
        <f>+BC895*30000</f>
        <v>0</v>
      </c>
      <c r="BE895" s="76"/>
      <c r="BF895" s="76"/>
      <c r="BG895" s="76"/>
      <c r="BH895" s="76"/>
      <c r="BI895" s="76"/>
      <c r="BJ895" s="76"/>
      <c r="BK895" s="76"/>
      <c r="BL895" s="76">
        <f>+BK895*31500</f>
        <v>0</v>
      </c>
      <c r="BM895" s="76"/>
      <c r="BN895" s="76"/>
      <c r="BO895" s="76"/>
      <c r="BP895" s="76"/>
      <c r="BQ895" s="76"/>
      <c r="BR895" s="76"/>
      <c r="BS895" s="76"/>
      <c r="BT895" s="76"/>
      <c r="BU895" s="76"/>
      <c r="BV895" s="76"/>
      <c r="BW895" s="76"/>
      <c r="BX895" s="76"/>
      <c r="BY895" s="76"/>
      <c r="BZ895" s="76"/>
      <c r="CA895" s="76"/>
      <c r="CB895" s="76"/>
      <c r="CC895" s="76"/>
      <c r="CD895" s="76"/>
      <c r="CE895" s="76"/>
      <c r="CF895" s="76">
        <f>+CE895*28000</f>
        <v>0</v>
      </c>
      <c r="CG895" s="76"/>
      <c r="CH895" s="76">
        <f>+CG895*22500</f>
        <v>0</v>
      </c>
      <c r="CI895" s="76"/>
      <c r="CJ895" s="76">
        <f>+CI895*26000</f>
        <v>0</v>
      </c>
      <c r="CK895" s="76"/>
      <c r="CL895" s="76"/>
      <c r="CM895" s="76"/>
      <c r="CN895" s="76">
        <f>+CM895*22000</f>
        <v>0</v>
      </c>
      <c r="CO895" s="76"/>
      <c r="CP895" s="76">
        <f>+CO895*46000</f>
        <v>0</v>
      </c>
      <c r="CQ895" s="76"/>
      <c r="CR895" s="76">
        <f>+CQ895*49000</f>
        <v>0</v>
      </c>
      <c r="CS895" s="76"/>
      <c r="CT895" s="76"/>
      <c r="CU895" s="56">
        <f>AN895+AP895+AR895+AT895+AV895+AX895+AZ895+BB895+BD895+BF895+BH895+BJ895+BL895+BN895+BP895+BR895+BT895+BV895+BX895+BZ895+CB895+CD895+CF895+CH895+CJ895+CL895+CN895+CP895+CR895+CT895</f>
        <v>0</v>
      </c>
      <c r="CV895" s="76"/>
      <c r="CW895" s="76">
        <f>+CV895*1100</f>
        <v>0</v>
      </c>
      <c r="CX895" s="76"/>
      <c r="CY895" s="76">
        <f>+CX895*106250</f>
        <v>0</v>
      </c>
      <c r="CZ895" s="76"/>
      <c r="DA895" s="76">
        <f>+CZ895*34500</f>
        <v>0</v>
      </c>
      <c r="DB895" s="76"/>
      <c r="DC895" s="76">
        <f>+DB895*25000</f>
        <v>0</v>
      </c>
      <c r="DD895" s="219"/>
      <c r="DE895" s="219"/>
      <c r="DF895" s="166"/>
      <c r="DG895" s="116"/>
      <c r="DH895" s="117"/>
      <c r="DI895" s="24"/>
      <c r="DJ895" s="24"/>
      <c r="DK895" s="24"/>
      <c r="DL895" s="24"/>
      <c r="DM895" s="24"/>
      <c r="DN895" s="24"/>
      <c r="DO895" s="24"/>
      <c r="DP895" s="24"/>
      <c r="DQ895" s="24"/>
      <c r="DR895" s="24"/>
      <c r="DS895" s="24"/>
      <c r="DT895" s="24"/>
      <c r="DU895" s="24"/>
    </row>
    <row r="896" spans="1:125" s="8" customFormat="1" ht="36" x14ac:dyDescent="0.2">
      <c r="A896" s="77">
        <v>41325</v>
      </c>
      <c r="B896" s="352" t="s">
        <v>2774</v>
      </c>
      <c r="C896" s="354" t="s">
        <v>1370</v>
      </c>
      <c r="D896" s="354" t="s">
        <v>3017</v>
      </c>
      <c r="E896" s="75" t="str">
        <f>VLOOKUP(B896&amp;C896,Divipola!$C$2:$F$1138,4,FALSE)</f>
        <v>66594</v>
      </c>
      <c r="F896" s="87"/>
      <c r="G896" s="87"/>
      <c r="H896" s="87"/>
      <c r="I896" s="87"/>
      <c r="J896" s="87"/>
      <c r="K896" s="87"/>
      <c r="L896" s="87"/>
      <c r="M896" s="87"/>
      <c r="N896" s="87"/>
      <c r="O896" s="87"/>
      <c r="P896" s="87"/>
      <c r="Q896" s="87"/>
      <c r="R896" s="87"/>
      <c r="S896" s="87">
        <v>1</v>
      </c>
      <c r="T896" s="87"/>
      <c r="U896" s="88"/>
      <c r="V896" s="89"/>
      <c r="W896" s="96">
        <v>0</v>
      </c>
      <c r="X896" s="71">
        <f>CU896</f>
        <v>0</v>
      </c>
      <c r="Y896" s="71">
        <f>CY896</f>
        <v>0</v>
      </c>
      <c r="Z896" s="71">
        <f>DA896+DC896+DE896</f>
        <v>0</v>
      </c>
      <c r="AA896" s="71">
        <f>CW896</f>
        <v>0</v>
      </c>
      <c r="AB896" s="71"/>
      <c r="AC896" s="71">
        <v>0</v>
      </c>
      <c r="AD896" s="71">
        <f>W896+X896+Y896+Z896+AA896+AB896+AC896</f>
        <v>0</v>
      </c>
      <c r="AE896" s="72">
        <v>0</v>
      </c>
      <c r="AF896" s="5"/>
      <c r="AG896" s="6"/>
      <c r="AH896" s="27" t="s">
        <v>3392</v>
      </c>
      <c r="AI896" s="44" t="s">
        <v>3393</v>
      </c>
      <c r="AJ896" s="26"/>
      <c r="AK896" s="5"/>
      <c r="AL896" s="82" t="s">
        <v>3568</v>
      </c>
      <c r="AM896" s="76"/>
      <c r="AN896" s="76"/>
      <c r="AO896" s="76"/>
      <c r="AP896" s="76"/>
      <c r="AQ896" s="76"/>
      <c r="AR896" s="76"/>
      <c r="AS896" s="76"/>
      <c r="AT896" s="76"/>
      <c r="AU896" s="76"/>
      <c r="AV896" s="76"/>
      <c r="AW896" s="76"/>
      <c r="AX896" s="76">
        <f>+AW896*600000</f>
        <v>0</v>
      </c>
      <c r="AY896" s="76"/>
      <c r="AZ896" s="76">
        <f>+AY896*70000</f>
        <v>0</v>
      </c>
      <c r="BA896" s="76"/>
      <c r="BB896" s="76"/>
      <c r="BC896" s="76"/>
      <c r="BD896" s="76">
        <f>+BC896*30000</f>
        <v>0</v>
      </c>
      <c r="BE896" s="76"/>
      <c r="BF896" s="76"/>
      <c r="BG896" s="76"/>
      <c r="BH896" s="76"/>
      <c r="BI896" s="76"/>
      <c r="BJ896" s="76"/>
      <c r="BK896" s="76"/>
      <c r="BL896" s="76">
        <f>+BK896*31500</f>
        <v>0</v>
      </c>
      <c r="BM896" s="76"/>
      <c r="BN896" s="76"/>
      <c r="BO896" s="76"/>
      <c r="BP896" s="76"/>
      <c r="BQ896" s="76"/>
      <c r="BR896" s="76"/>
      <c r="BS896" s="76"/>
      <c r="BT896" s="76"/>
      <c r="BU896" s="76"/>
      <c r="BV896" s="76"/>
      <c r="BW896" s="76"/>
      <c r="BX896" s="76"/>
      <c r="BY896" s="76"/>
      <c r="BZ896" s="76"/>
      <c r="CA896" s="76"/>
      <c r="CB896" s="76"/>
      <c r="CC896" s="76"/>
      <c r="CD896" s="76"/>
      <c r="CE896" s="76"/>
      <c r="CF896" s="76">
        <f>+CE896*28000</f>
        <v>0</v>
      </c>
      <c r="CG896" s="76"/>
      <c r="CH896" s="76">
        <f>+CG896*22500</f>
        <v>0</v>
      </c>
      <c r="CI896" s="76"/>
      <c r="CJ896" s="76">
        <f>+CI896*26000</f>
        <v>0</v>
      </c>
      <c r="CK896" s="76"/>
      <c r="CL896" s="76"/>
      <c r="CM896" s="76"/>
      <c r="CN896" s="76">
        <f>+CM896*22000</f>
        <v>0</v>
      </c>
      <c r="CO896" s="76"/>
      <c r="CP896" s="76">
        <f>+CO896*46000</f>
        <v>0</v>
      </c>
      <c r="CQ896" s="76"/>
      <c r="CR896" s="76">
        <f>+CQ896*49000</f>
        <v>0</v>
      </c>
      <c r="CS896" s="76"/>
      <c r="CT896" s="76"/>
      <c r="CU896" s="56">
        <f>AN896+AP896+AR896+AT896+AV896+AX896+AZ896+BB896+BD896+BF896+BH896+BJ896+BL896+BN896+BP896+BR896+BT896+BV896+BX896+BZ896+CB896+CD896+CF896+CH896+CJ896+CL896+CN896+CP896+CR896+CT896</f>
        <v>0</v>
      </c>
      <c r="CV896" s="76"/>
      <c r="CW896" s="76">
        <f>+CV896*1100</f>
        <v>0</v>
      </c>
      <c r="CX896" s="76"/>
      <c r="CY896" s="76">
        <f>+CX896*106250</f>
        <v>0</v>
      </c>
      <c r="CZ896" s="76"/>
      <c r="DA896" s="76">
        <f>+CZ896*34500</f>
        <v>0</v>
      </c>
      <c r="DB896" s="76"/>
      <c r="DC896" s="76">
        <f>+DB896*25000</f>
        <v>0</v>
      </c>
      <c r="DD896" s="219"/>
      <c r="DE896" s="219"/>
      <c r="DF896" s="166"/>
      <c r="DG896" s="116"/>
      <c r="DH896" s="117"/>
      <c r="DI896" s="24"/>
      <c r="DJ896" s="24"/>
      <c r="DK896" s="24"/>
      <c r="DL896" s="24"/>
      <c r="DM896" s="24"/>
      <c r="DN896" s="24"/>
      <c r="DO896" s="24"/>
      <c r="DP896" s="24"/>
      <c r="DQ896" s="24"/>
      <c r="DR896" s="24"/>
      <c r="DS896" s="24"/>
      <c r="DT896" s="24"/>
      <c r="DU896" s="24"/>
    </row>
    <row r="897" spans="1:125" s="8" customFormat="1" ht="48" x14ac:dyDescent="0.2">
      <c r="A897" s="77">
        <v>41326</v>
      </c>
      <c r="B897" s="78" t="s">
        <v>2894</v>
      </c>
      <c r="C897" s="75" t="s">
        <v>2091</v>
      </c>
      <c r="D897" s="81" t="s">
        <v>2846</v>
      </c>
      <c r="E897" s="75" t="str">
        <f>VLOOKUP(B897&amp;C897,Divipola!$C$2:$F$1138,4,FALSE)</f>
        <v>05819</v>
      </c>
      <c r="F897" s="87"/>
      <c r="G897" s="87"/>
      <c r="H897" s="87"/>
      <c r="I897" s="87"/>
      <c r="J897" s="87"/>
      <c r="K897" s="87"/>
      <c r="L897" s="87"/>
      <c r="M897" s="87"/>
      <c r="N897" s="87"/>
      <c r="O897" s="87"/>
      <c r="P897" s="87"/>
      <c r="Q897" s="87"/>
      <c r="R897" s="87"/>
      <c r="S897" s="87"/>
      <c r="T897" s="87"/>
      <c r="U897" s="88"/>
      <c r="V897" s="89"/>
      <c r="W897" s="96">
        <v>0</v>
      </c>
      <c r="X897" s="71">
        <f>CU897</f>
        <v>0</v>
      </c>
      <c r="Y897" s="71">
        <f>CY897</f>
        <v>0</v>
      </c>
      <c r="Z897" s="71">
        <f>DA897+DC897+DE897</f>
        <v>0</v>
      </c>
      <c r="AA897" s="71">
        <f>CW897</f>
        <v>0</v>
      </c>
      <c r="AB897" s="71"/>
      <c r="AC897" s="71">
        <v>0</v>
      </c>
      <c r="AD897" s="71">
        <f>W897+X897+Y897+Z897+AA897+AB897+AC897</f>
        <v>0</v>
      </c>
      <c r="AE897" s="72">
        <v>0</v>
      </c>
      <c r="AF897" s="5"/>
      <c r="AG897" s="6"/>
      <c r="AH897" s="27" t="s">
        <v>3392</v>
      </c>
      <c r="AI897" s="44" t="s">
        <v>3393</v>
      </c>
      <c r="AJ897" s="26"/>
      <c r="AK897" s="5"/>
      <c r="AL897" s="82" t="s">
        <v>3591</v>
      </c>
      <c r="AM897" s="76"/>
      <c r="AN897" s="76"/>
      <c r="AO897" s="76"/>
      <c r="AP897" s="76"/>
      <c r="AQ897" s="76"/>
      <c r="AR897" s="76"/>
      <c r="AS897" s="76"/>
      <c r="AT897" s="76"/>
      <c r="AU897" s="76"/>
      <c r="AV897" s="76"/>
      <c r="AW897" s="76"/>
      <c r="AX897" s="76">
        <f>+AW897*600000</f>
        <v>0</v>
      </c>
      <c r="AY897" s="76"/>
      <c r="AZ897" s="76">
        <f>+AY897*70000</f>
        <v>0</v>
      </c>
      <c r="BA897" s="76"/>
      <c r="BB897" s="76"/>
      <c r="BC897" s="76"/>
      <c r="BD897" s="76">
        <f>+BC897*30000</f>
        <v>0</v>
      </c>
      <c r="BE897" s="76"/>
      <c r="BF897" s="76"/>
      <c r="BG897" s="76"/>
      <c r="BH897" s="76"/>
      <c r="BI897" s="76"/>
      <c r="BJ897" s="76"/>
      <c r="BK897" s="76"/>
      <c r="BL897" s="76">
        <f>+BK897*31500</f>
        <v>0</v>
      </c>
      <c r="BM897" s="76"/>
      <c r="BN897" s="76"/>
      <c r="BO897" s="76"/>
      <c r="BP897" s="76"/>
      <c r="BQ897" s="76"/>
      <c r="BR897" s="76"/>
      <c r="BS897" s="76"/>
      <c r="BT897" s="76"/>
      <c r="BU897" s="76"/>
      <c r="BV897" s="76"/>
      <c r="BW897" s="76"/>
      <c r="BX897" s="76"/>
      <c r="BY897" s="76"/>
      <c r="BZ897" s="76"/>
      <c r="CA897" s="76"/>
      <c r="CB897" s="76"/>
      <c r="CC897" s="76"/>
      <c r="CD897" s="76"/>
      <c r="CE897" s="76"/>
      <c r="CF897" s="76">
        <f>+CE897*28000</f>
        <v>0</v>
      </c>
      <c r="CG897" s="76"/>
      <c r="CH897" s="76">
        <f>+CG897*22500</f>
        <v>0</v>
      </c>
      <c r="CI897" s="76"/>
      <c r="CJ897" s="76">
        <f>+CI897*26000</f>
        <v>0</v>
      </c>
      <c r="CK897" s="76"/>
      <c r="CL897" s="76"/>
      <c r="CM897" s="76"/>
      <c r="CN897" s="76">
        <f>+CM897*22000</f>
        <v>0</v>
      </c>
      <c r="CO897" s="76"/>
      <c r="CP897" s="76">
        <f>+CO897*46000</f>
        <v>0</v>
      </c>
      <c r="CQ897" s="76"/>
      <c r="CR897" s="76">
        <f>+CQ897*49000</f>
        <v>0</v>
      </c>
      <c r="CS897" s="76"/>
      <c r="CT897" s="76"/>
      <c r="CU897" s="56">
        <f>AN897+AP897+AR897+AT897+AV897+AX897+AZ897+BB897+BD897+BF897+BH897+BJ897+BL897+BN897+BP897+BR897+BT897+BV897+BX897+BZ897+CB897+CD897+CF897+CH897+CJ897+CL897+CN897+CP897+CR897+CT897</f>
        <v>0</v>
      </c>
      <c r="CV897" s="76"/>
      <c r="CW897" s="76">
        <f>+CV897*1100</f>
        <v>0</v>
      </c>
      <c r="CX897" s="76"/>
      <c r="CY897" s="76">
        <f>+CX897*106250</f>
        <v>0</v>
      </c>
      <c r="CZ897" s="76"/>
      <c r="DA897" s="76">
        <f>+CZ897*34500</f>
        <v>0</v>
      </c>
      <c r="DB897" s="76"/>
      <c r="DC897" s="76">
        <f>+DB897*25000</f>
        <v>0</v>
      </c>
      <c r="DD897" s="219"/>
      <c r="DE897" s="219"/>
      <c r="DF897" s="166"/>
      <c r="DG897" s="116"/>
      <c r="DH897" s="117"/>
      <c r="DI897" s="24"/>
      <c r="DJ897" s="24"/>
      <c r="DK897" s="24"/>
      <c r="DL897" s="24"/>
      <c r="DM897" s="24"/>
      <c r="DN897" s="24"/>
      <c r="DO897" s="24"/>
      <c r="DP897" s="24"/>
      <c r="DQ897" s="24"/>
      <c r="DR897" s="24"/>
      <c r="DS897" s="24"/>
      <c r="DT897" s="24"/>
      <c r="DU897" s="24"/>
    </row>
    <row r="898" spans="1:125" s="8" customFormat="1" ht="36" x14ac:dyDescent="0.2">
      <c r="A898" s="77">
        <v>41326</v>
      </c>
      <c r="B898" s="352" t="s">
        <v>2036</v>
      </c>
      <c r="C898" s="227" t="s">
        <v>2036</v>
      </c>
      <c r="D898" s="81" t="s">
        <v>2846</v>
      </c>
      <c r="E898" s="75" t="str">
        <f>VLOOKUP(B898&amp;C898,Divipola!$C$2:$F$1138,4,FALSE)</f>
        <v>81001</v>
      </c>
      <c r="F898" s="100"/>
      <c r="G898" s="100"/>
      <c r="H898" s="100"/>
      <c r="I898" s="100"/>
      <c r="J898" s="100"/>
      <c r="K898" s="100"/>
      <c r="L898" s="100"/>
      <c r="M898" s="100"/>
      <c r="N898" s="100"/>
      <c r="O898" s="100"/>
      <c r="P898" s="100"/>
      <c r="Q898" s="100"/>
      <c r="R898" s="100"/>
      <c r="S898" s="100"/>
      <c r="T898" s="100"/>
      <c r="U898" s="136">
        <v>2</v>
      </c>
      <c r="V898" s="89"/>
      <c r="W898" s="96">
        <v>0</v>
      </c>
      <c r="X898" s="71">
        <f>CU898</f>
        <v>0</v>
      </c>
      <c r="Y898" s="71">
        <f>CY898</f>
        <v>0</v>
      </c>
      <c r="Z898" s="71">
        <f>DA898+DC898+DE898</f>
        <v>0</v>
      </c>
      <c r="AA898" s="71">
        <f>CW898</f>
        <v>0</v>
      </c>
      <c r="AB898" s="71"/>
      <c r="AC898" s="71">
        <v>0</v>
      </c>
      <c r="AD898" s="71">
        <f>W898+X898+Y898+Z898+AA898+AB898+AC898</f>
        <v>0</v>
      </c>
      <c r="AE898" s="72">
        <v>0</v>
      </c>
      <c r="AF898" s="5"/>
      <c r="AG898" s="6"/>
      <c r="AH898" s="27" t="s">
        <v>3392</v>
      </c>
      <c r="AI898" s="44" t="s">
        <v>3393</v>
      </c>
      <c r="AJ898" s="26"/>
      <c r="AK898" s="5"/>
      <c r="AL898" s="82" t="s">
        <v>3589</v>
      </c>
      <c r="AM898" s="76"/>
      <c r="AN898" s="76"/>
      <c r="AO898" s="76"/>
      <c r="AP898" s="76"/>
      <c r="AQ898" s="76"/>
      <c r="AR898" s="76"/>
      <c r="AS898" s="76"/>
      <c r="AT898" s="76"/>
      <c r="AU898" s="76"/>
      <c r="AV898" s="76"/>
      <c r="AW898" s="76"/>
      <c r="AX898" s="76">
        <f>+AW898*600000</f>
        <v>0</v>
      </c>
      <c r="AY898" s="76"/>
      <c r="AZ898" s="76">
        <f>+AY898*70000</f>
        <v>0</v>
      </c>
      <c r="BA898" s="76"/>
      <c r="BB898" s="76"/>
      <c r="BC898" s="76"/>
      <c r="BD898" s="76">
        <f>+BC898*30000</f>
        <v>0</v>
      </c>
      <c r="BE898" s="76"/>
      <c r="BF898" s="76"/>
      <c r="BG898" s="76"/>
      <c r="BH898" s="76"/>
      <c r="BI898" s="76"/>
      <c r="BJ898" s="76"/>
      <c r="BK898" s="76"/>
      <c r="BL898" s="76">
        <f>+BK898*31500</f>
        <v>0</v>
      </c>
      <c r="BM898" s="76"/>
      <c r="BN898" s="76"/>
      <c r="BO898" s="76"/>
      <c r="BP898" s="76"/>
      <c r="BQ898" s="76"/>
      <c r="BR898" s="76"/>
      <c r="BS898" s="76"/>
      <c r="BT898" s="76"/>
      <c r="BU898" s="76"/>
      <c r="BV898" s="76"/>
      <c r="BW898" s="76"/>
      <c r="BX898" s="76"/>
      <c r="BY898" s="76"/>
      <c r="BZ898" s="76"/>
      <c r="CA898" s="76"/>
      <c r="CB898" s="76"/>
      <c r="CC898" s="76"/>
      <c r="CD898" s="76"/>
      <c r="CE898" s="76"/>
      <c r="CF898" s="76">
        <f>+CE898*28000</f>
        <v>0</v>
      </c>
      <c r="CG898" s="76"/>
      <c r="CH898" s="76">
        <f>+CG898*22500</f>
        <v>0</v>
      </c>
      <c r="CI898" s="76"/>
      <c r="CJ898" s="76">
        <f>+CI898*26000</f>
        <v>0</v>
      </c>
      <c r="CK898" s="76"/>
      <c r="CL898" s="76"/>
      <c r="CM898" s="76"/>
      <c r="CN898" s="76">
        <f>+CM898*22000</f>
        <v>0</v>
      </c>
      <c r="CO898" s="76"/>
      <c r="CP898" s="76">
        <f>+CO898*46000</f>
        <v>0</v>
      </c>
      <c r="CQ898" s="76"/>
      <c r="CR898" s="76">
        <f>+CQ898*49000</f>
        <v>0</v>
      </c>
      <c r="CS898" s="76"/>
      <c r="CT898" s="76"/>
      <c r="CU898" s="56">
        <f>AN898+AP898+AR898+AT898+AV898+AX898+AZ898+BB898+BD898+BF898+BH898+BJ898+BL898+BN898+BP898+BR898+BT898+BV898+BX898+BZ898+CB898+CD898+CF898+CH898+CJ898+CL898+CN898+CP898+CR898+CT898</f>
        <v>0</v>
      </c>
      <c r="CV898" s="76"/>
      <c r="CW898" s="76">
        <f>+CV898*1100</f>
        <v>0</v>
      </c>
      <c r="CX898" s="76"/>
      <c r="CY898" s="76">
        <f>+CX898*106250</f>
        <v>0</v>
      </c>
      <c r="CZ898" s="76"/>
      <c r="DA898" s="76">
        <f>+CZ898*34500</f>
        <v>0</v>
      </c>
      <c r="DB898" s="76"/>
      <c r="DC898" s="76">
        <f>+DB898*25000</f>
        <v>0</v>
      </c>
      <c r="DD898" s="219"/>
      <c r="DE898" s="219"/>
      <c r="DF898" s="166"/>
      <c r="DG898" s="116"/>
      <c r="DH898" s="117"/>
      <c r="DI898" s="24"/>
      <c r="DJ898" s="24"/>
      <c r="DK898" s="24"/>
      <c r="DL898" s="24"/>
      <c r="DM898" s="24"/>
      <c r="DN898" s="24"/>
      <c r="DO898" s="24"/>
      <c r="DP898" s="24"/>
      <c r="DQ898" s="24"/>
      <c r="DR898" s="24"/>
      <c r="DS898" s="24"/>
      <c r="DT898" s="24"/>
      <c r="DU898" s="24"/>
    </row>
    <row r="899" spans="1:125" s="8" customFormat="1" ht="60" x14ac:dyDescent="0.2">
      <c r="A899" s="77">
        <v>41326</v>
      </c>
      <c r="B899" s="78" t="s">
        <v>2881</v>
      </c>
      <c r="C899" s="75" t="s">
        <v>1447</v>
      </c>
      <c r="D899" s="81" t="s">
        <v>2846</v>
      </c>
      <c r="E899" s="75" t="str">
        <f>VLOOKUP(B899&amp;C899,Divipola!$C$2:$F$1138,4,FALSE)</f>
        <v>08770</v>
      </c>
      <c r="F899" s="87"/>
      <c r="G899" s="87"/>
      <c r="H899" s="87"/>
      <c r="I899" s="87">
        <v>20</v>
      </c>
      <c r="J899" s="87">
        <v>4</v>
      </c>
      <c r="K899" s="87">
        <v>4</v>
      </c>
      <c r="L899" s="87"/>
      <c r="M899" s="87"/>
      <c r="N899" s="87"/>
      <c r="O899" s="87"/>
      <c r="P899" s="87"/>
      <c r="Q899" s="87"/>
      <c r="R899" s="87"/>
      <c r="S899" s="87"/>
      <c r="T899" s="87"/>
      <c r="U899" s="88"/>
      <c r="V899" s="89"/>
      <c r="W899" s="96">
        <v>0</v>
      </c>
      <c r="X899" s="71">
        <f>CU899</f>
        <v>0</v>
      </c>
      <c r="Y899" s="71">
        <f>CY899</f>
        <v>0</v>
      </c>
      <c r="Z899" s="71">
        <f>DA899+DC899+DE899</f>
        <v>0</v>
      </c>
      <c r="AA899" s="71">
        <f>CW899</f>
        <v>0</v>
      </c>
      <c r="AB899" s="71"/>
      <c r="AC899" s="71">
        <v>0</v>
      </c>
      <c r="AD899" s="71">
        <f>W899+X899+Y899+Z899+AA899+AB899+AC899</f>
        <v>0</v>
      </c>
      <c r="AE899" s="72">
        <v>0</v>
      </c>
      <c r="AF899" s="5"/>
      <c r="AG899" s="6"/>
      <c r="AH899" s="27" t="s">
        <v>3392</v>
      </c>
      <c r="AI899" s="44" t="s">
        <v>3393</v>
      </c>
      <c r="AJ899" s="26"/>
      <c r="AK899" s="5"/>
      <c r="AL899" s="82" t="s">
        <v>3587</v>
      </c>
      <c r="AM899" s="76"/>
      <c r="AN899" s="76"/>
      <c r="AO899" s="76"/>
      <c r="AP899" s="76"/>
      <c r="AQ899" s="76"/>
      <c r="AR899" s="76"/>
      <c r="AS899" s="76"/>
      <c r="AT899" s="76"/>
      <c r="AU899" s="76"/>
      <c r="AV899" s="76"/>
      <c r="AW899" s="76"/>
      <c r="AX899" s="76">
        <f>+AW899*600000</f>
        <v>0</v>
      </c>
      <c r="AY899" s="76"/>
      <c r="AZ899" s="76">
        <f>+AY899*70000</f>
        <v>0</v>
      </c>
      <c r="BA899" s="76"/>
      <c r="BB899" s="76"/>
      <c r="BC899" s="76"/>
      <c r="BD899" s="76">
        <f>+BC899*30000</f>
        <v>0</v>
      </c>
      <c r="BE899" s="76"/>
      <c r="BF899" s="76"/>
      <c r="BG899" s="76"/>
      <c r="BH899" s="76"/>
      <c r="BI899" s="76"/>
      <c r="BJ899" s="76"/>
      <c r="BK899" s="76"/>
      <c r="BL899" s="76">
        <f>+BK899*31500</f>
        <v>0</v>
      </c>
      <c r="BM899" s="76"/>
      <c r="BN899" s="76"/>
      <c r="BO899" s="76"/>
      <c r="BP899" s="76"/>
      <c r="BQ899" s="76"/>
      <c r="BR899" s="76"/>
      <c r="BS899" s="76"/>
      <c r="BT899" s="76"/>
      <c r="BU899" s="76"/>
      <c r="BV899" s="76"/>
      <c r="BW899" s="76"/>
      <c r="BX899" s="76"/>
      <c r="BY899" s="76"/>
      <c r="BZ899" s="76"/>
      <c r="CA899" s="76"/>
      <c r="CB899" s="76"/>
      <c r="CC899" s="76"/>
      <c r="CD899" s="76"/>
      <c r="CE899" s="76"/>
      <c r="CF899" s="76">
        <f>+CE899*28000</f>
        <v>0</v>
      </c>
      <c r="CG899" s="76"/>
      <c r="CH899" s="76">
        <f>+CG899*22500</f>
        <v>0</v>
      </c>
      <c r="CI899" s="76"/>
      <c r="CJ899" s="76">
        <f>+CI899*26000</f>
        <v>0</v>
      </c>
      <c r="CK899" s="76"/>
      <c r="CL899" s="76"/>
      <c r="CM899" s="76"/>
      <c r="CN899" s="76">
        <f>+CM899*22000</f>
        <v>0</v>
      </c>
      <c r="CO899" s="76"/>
      <c r="CP899" s="76">
        <f>+CO899*46000</f>
        <v>0</v>
      </c>
      <c r="CQ899" s="76"/>
      <c r="CR899" s="76">
        <f>+CQ899*49000</f>
        <v>0</v>
      </c>
      <c r="CS899" s="76"/>
      <c r="CT899" s="76"/>
      <c r="CU899" s="56">
        <f>AN899+AP899+AR899+AT899+AV899+AX899+AZ899+BB899+BD899+BF899+BH899+BJ899+BL899+BN899+BP899+BR899+BT899+BV899+BX899+BZ899+CB899+CD899+CF899+CH899+CJ899+CL899+CN899+CP899+CR899+CT899</f>
        <v>0</v>
      </c>
      <c r="CV899" s="76"/>
      <c r="CW899" s="76">
        <f>+CV899*1100</f>
        <v>0</v>
      </c>
      <c r="CX899" s="76"/>
      <c r="CY899" s="76">
        <f>+CX899*106250</f>
        <v>0</v>
      </c>
      <c r="CZ899" s="76"/>
      <c r="DA899" s="76">
        <f>+CZ899*34500</f>
        <v>0</v>
      </c>
      <c r="DB899" s="76"/>
      <c r="DC899" s="76">
        <f>+DB899*25000</f>
        <v>0</v>
      </c>
      <c r="DD899" s="219"/>
      <c r="DE899" s="219"/>
      <c r="DF899" s="166"/>
      <c r="DG899" s="116"/>
      <c r="DH899" s="117"/>
      <c r="DI899" s="24"/>
      <c r="DJ899" s="24"/>
      <c r="DK899" s="24"/>
      <c r="DL899" s="24"/>
      <c r="DM899" s="24"/>
      <c r="DN899" s="24"/>
      <c r="DO899" s="24"/>
      <c r="DP899" s="24"/>
      <c r="DQ899" s="24"/>
      <c r="DR899" s="24"/>
      <c r="DS899" s="24"/>
      <c r="DT899" s="24"/>
      <c r="DU899" s="24"/>
    </row>
    <row r="900" spans="1:125" s="8" customFormat="1" ht="60" x14ac:dyDescent="0.2">
      <c r="A900" s="77">
        <v>41326</v>
      </c>
      <c r="B900" s="78" t="s">
        <v>529</v>
      </c>
      <c r="C900" s="78" t="s">
        <v>529</v>
      </c>
      <c r="D900" s="75" t="s">
        <v>2859</v>
      </c>
      <c r="E900" s="75" t="str">
        <f>VLOOKUP(B900&amp;C900,Divipola!$C$2:$F$1138,4,FALSE)</f>
        <v>11001</v>
      </c>
      <c r="F900" s="87"/>
      <c r="G900" s="87"/>
      <c r="H900" s="87"/>
      <c r="I900" s="87">
        <v>5</v>
      </c>
      <c r="J900" s="87">
        <v>1</v>
      </c>
      <c r="K900" s="87"/>
      <c r="L900" s="87">
        <v>1</v>
      </c>
      <c r="M900" s="87"/>
      <c r="N900" s="87"/>
      <c r="O900" s="87"/>
      <c r="P900" s="87"/>
      <c r="Q900" s="87"/>
      <c r="R900" s="87"/>
      <c r="S900" s="87"/>
      <c r="T900" s="87"/>
      <c r="U900" s="88"/>
      <c r="V900" s="89"/>
      <c r="W900" s="96">
        <v>0</v>
      </c>
      <c r="X900" s="71">
        <f>CU900</f>
        <v>0</v>
      </c>
      <c r="Y900" s="71">
        <f>CY900</f>
        <v>0</v>
      </c>
      <c r="Z900" s="71">
        <f>DA900+DC900+DE900</f>
        <v>0</v>
      </c>
      <c r="AA900" s="71">
        <f>CW900</f>
        <v>0</v>
      </c>
      <c r="AB900" s="71"/>
      <c r="AC900" s="71">
        <v>0</v>
      </c>
      <c r="AD900" s="71">
        <f>W900+X900+Y900+Z900+AA900+AB900+AC900</f>
        <v>0</v>
      </c>
      <c r="AE900" s="72">
        <v>0</v>
      </c>
      <c r="AF900" s="5"/>
      <c r="AG900" s="6"/>
      <c r="AH900" s="27" t="s">
        <v>3392</v>
      </c>
      <c r="AI900" s="44" t="s">
        <v>3393</v>
      </c>
      <c r="AJ900" s="26"/>
      <c r="AK900" s="5"/>
      <c r="AL900" s="82" t="s">
        <v>3594</v>
      </c>
      <c r="AM900" s="76"/>
      <c r="AN900" s="76"/>
      <c r="AO900" s="76"/>
      <c r="AP900" s="76"/>
      <c r="AQ900" s="76"/>
      <c r="AR900" s="76"/>
      <c r="AS900" s="76"/>
      <c r="AT900" s="76"/>
      <c r="AU900" s="76"/>
      <c r="AV900" s="76"/>
      <c r="AW900" s="76"/>
      <c r="AX900" s="76">
        <f>+AW900*600000</f>
        <v>0</v>
      </c>
      <c r="AY900" s="76"/>
      <c r="AZ900" s="76">
        <f>+AY900*70000</f>
        <v>0</v>
      </c>
      <c r="BA900" s="76"/>
      <c r="BB900" s="76"/>
      <c r="BC900" s="76"/>
      <c r="BD900" s="76">
        <f>+BC900*30000</f>
        <v>0</v>
      </c>
      <c r="BE900" s="76"/>
      <c r="BF900" s="76"/>
      <c r="BG900" s="76"/>
      <c r="BH900" s="76"/>
      <c r="BI900" s="76"/>
      <c r="BJ900" s="76"/>
      <c r="BK900" s="76"/>
      <c r="BL900" s="76">
        <f>+BK900*31500</f>
        <v>0</v>
      </c>
      <c r="BM900" s="76"/>
      <c r="BN900" s="76"/>
      <c r="BO900" s="76"/>
      <c r="BP900" s="76"/>
      <c r="BQ900" s="76"/>
      <c r="BR900" s="76"/>
      <c r="BS900" s="76"/>
      <c r="BT900" s="76"/>
      <c r="BU900" s="76"/>
      <c r="BV900" s="76"/>
      <c r="BW900" s="76"/>
      <c r="BX900" s="76"/>
      <c r="BY900" s="76"/>
      <c r="BZ900" s="76"/>
      <c r="CA900" s="76"/>
      <c r="CB900" s="76"/>
      <c r="CC900" s="76"/>
      <c r="CD900" s="76"/>
      <c r="CE900" s="76"/>
      <c r="CF900" s="76">
        <f>+CE900*28000</f>
        <v>0</v>
      </c>
      <c r="CG900" s="76"/>
      <c r="CH900" s="76">
        <f>+CG900*22500</f>
        <v>0</v>
      </c>
      <c r="CI900" s="76"/>
      <c r="CJ900" s="76">
        <f>+CI900*26000</f>
        <v>0</v>
      </c>
      <c r="CK900" s="76"/>
      <c r="CL900" s="76"/>
      <c r="CM900" s="76"/>
      <c r="CN900" s="76">
        <f>+CM900*22000</f>
        <v>0</v>
      </c>
      <c r="CO900" s="76"/>
      <c r="CP900" s="76">
        <f>+CO900*46000</f>
        <v>0</v>
      </c>
      <c r="CQ900" s="76"/>
      <c r="CR900" s="76">
        <f>+CQ900*49000</f>
        <v>0</v>
      </c>
      <c r="CS900" s="76"/>
      <c r="CT900" s="76"/>
      <c r="CU900" s="56">
        <f>AN900+AP900+AR900+AT900+AV900+AX900+AZ900+BB900+BD900+BF900+BH900+BJ900+BL900+BN900+BP900+BR900+BT900+BV900+BX900+BZ900+CB900+CD900+CF900+CH900+CJ900+CL900+CN900+CP900+CR900+CT900</f>
        <v>0</v>
      </c>
      <c r="CV900" s="76"/>
      <c r="CW900" s="76">
        <f>+CV900*1100</f>
        <v>0</v>
      </c>
      <c r="CX900" s="76"/>
      <c r="CY900" s="76">
        <f>+CX900*106250</f>
        <v>0</v>
      </c>
      <c r="CZ900" s="76"/>
      <c r="DA900" s="76">
        <f>+CZ900*34500</f>
        <v>0</v>
      </c>
      <c r="DB900" s="76"/>
      <c r="DC900" s="76">
        <f>+DB900*25000</f>
        <v>0</v>
      </c>
      <c r="DD900" s="219"/>
      <c r="DE900" s="219"/>
      <c r="DF900" s="166"/>
      <c r="DG900" s="116"/>
      <c r="DH900" s="117"/>
      <c r="DI900" s="24"/>
      <c r="DJ900" s="24"/>
      <c r="DK900" s="24"/>
      <c r="DL900" s="24"/>
      <c r="DM900" s="24"/>
      <c r="DN900" s="24"/>
      <c r="DO900" s="24"/>
      <c r="DP900" s="24"/>
      <c r="DQ900" s="24"/>
      <c r="DR900" s="24"/>
      <c r="DS900" s="24"/>
      <c r="DT900" s="24"/>
      <c r="DU900" s="24"/>
    </row>
    <row r="901" spans="1:125" s="8" customFormat="1" ht="36" x14ac:dyDescent="0.2">
      <c r="A901" s="77">
        <v>41326</v>
      </c>
      <c r="B901" s="78" t="s">
        <v>2778</v>
      </c>
      <c r="C901" s="75" t="s">
        <v>2001</v>
      </c>
      <c r="D901" s="81" t="s">
        <v>2846</v>
      </c>
      <c r="E901" s="75" t="str">
        <f>VLOOKUP(B901&amp;C901,Divipola!$C$2:$F$1138,4,FALSE)</f>
        <v>85162</v>
      </c>
      <c r="F901" s="87"/>
      <c r="G901" s="87"/>
      <c r="H901" s="87"/>
      <c r="I901" s="87"/>
      <c r="J901" s="87"/>
      <c r="K901" s="87"/>
      <c r="L901" s="87"/>
      <c r="M901" s="87"/>
      <c r="N901" s="87"/>
      <c r="O901" s="87"/>
      <c r="P901" s="87"/>
      <c r="Q901" s="87"/>
      <c r="R901" s="87"/>
      <c r="S901" s="87"/>
      <c r="T901" s="87"/>
      <c r="U901" s="88">
        <v>180</v>
      </c>
      <c r="V901" s="89"/>
      <c r="W901" s="96">
        <v>0</v>
      </c>
      <c r="X901" s="71">
        <f>CU901</f>
        <v>0</v>
      </c>
      <c r="Y901" s="71">
        <f>CY901</f>
        <v>0</v>
      </c>
      <c r="Z901" s="71">
        <f>DA901+DC901+DE901</f>
        <v>0</v>
      </c>
      <c r="AA901" s="71">
        <f>CW901</f>
        <v>0</v>
      </c>
      <c r="AB901" s="71"/>
      <c r="AC901" s="71">
        <v>0</v>
      </c>
      <c r="AD901" s="71">
        <f>W901+X901+Y901+Z901+AA901+AB901+AC901</f>
        <v>0</v>
      </c>
      <c r="AE901" s="72">
        <v>0</v>
      </c>
      <c r="AF901" s="5"/>
      <c r="AG901" s="6"/>
      <c r="AH901" s="27" t="s">
        <v>3392</v>
      </c>
      <c r="AI901" s="44" t="s">
        <v>3393</v>
      </c>
      <c r="AJ901" s="26"/>
      <c r="AK901" s="5"/>
      <c r="AL901" s="82" t="s">
        <v>3574</v>
      </c>
      <c r="AM901" s="76"/>
      <c r="AN901" s="76"/>
      <c r="AO901" s="76"/>
      <c r="AP901" s="76"/>
      <c r="AQ901" s="76"/>
      <c r="AR901" s="76"/>
      <c r="AS901" s="76"/>
      <c r="AT901" s="76"/>
      <c r="AU901" s="76"/>
      <c r="AV901" s="76"/>
      <c r="AW901" s="76"/>
      <c r="AX901" s="76">
        <f>+AW901*600000</f>
        <v>0</v>
      </c>
      <c r="AY901" s="76"/>
      <c r="AZ901" s="76">
        <f>+AY901*70000</f>
        <v>0</v>
      </c>
      <c r="BA901" s="76"/>
      <c r="BB901" s="76"/>
      <c r="BC901" s="76"/>
      <c r="BD901" s="76">
        <f>+BC901*30000</f>
        <v>0</v>
      </c>
      <c r="BE901" s="76"/>
      <c r="BF901" s="76"/>
      <c r="BG901" s="76"/>
      <c r="BH901" s="76"/>
      <c r="BI901" s="76"/>
      <c r="BJ901" s="76"/>
      <c r="BK901" s="76"/>
      <c r="BL901" s="76">
        <f>+BK901*31500</f>
        <v>0</v>
      </c>
      <c r="BM901" s="76"/>
      <c r="BN901" s="76"/>
      <c r="BO901" s="76"/>
      <c r="BP901" s="76"/>
      <c r="BQ901" s="76"/>
      <c r="BR901" s="76"/>
      <c r="BS901" s="76"/>
      <c r="BT901" s="76"/>
      <c r="BU901" s="76"/>
      <c r="BV901" s="76"/>
      <c r="BW901" s="76"/>
      <c r="BX901" s="76"/>
      <c r="BY901" s="76"/>
      <c r="BZ901" s="76"/>
      <c r="CA901" s="76"/>
      <c r="CB901" s="76"/>
      <c r="CC901" s="76"/>
      <c r="CD901" s="76"/>
      <c r="CE901" s="76"/>
      <c r="CF901" s="76">
        <f>+CE901*28000</f>
        <v>0</v>
      </c>
      <c r="CG901" s="76"/>
      <c r="CH901" s="76">
        <f>+CG901*22500</f>
        <v>0</v>
      </c>
      <c r="CI901" s="76"/>
      <c r="CJ901" s="76">
        <f>+CI901*26000</f>
        <v>0</v>
      </c>
      <c r="CK901" s="76"/>
      <c r="CL901" s="76"/>
      <c r="CM901" s="76"/>
      <c r="CN901" s="76">
        <f>+CM901*22000</f>
        <v>0</v>
      </c>
      <c r="CO901" s="76"/>
      <c r="CP901" s="76">
        <f>+CO901*46000</f>
        <v>0</v>
      </c>
      <c r="CQ901" s="76"/>
      <c r="CR901" s="76">
        <f>+CQ901*49000</f>
        <v>0</v>
      </c>
      <c r="CS901" s="76"/>
      <c r="CT901" s="76"/>
      <c r="CU901" s="56">
        <f>AN901+AP901+AR901+AT901+AV901+AX901+AZ901+BB901+BD901+BF901+BH901+BJ901+BL901+BN901+BP901+BR901+BT901+BV901+BX901+BZ901+CB901+CD901+CF901+CH901+CJ901+CL901+CN901+CP901+CR901+CT901</f>
        <v>0</v>
      </c>
      <c r="CV901" s="76"/>
      <c r="CW901" s="76">
        <f>+CV901*1100</f>
        <v>0</v>
      </c>
      <c r="CX901" s="76"/>
      <c r="CY901" s="76">
        <f>+CX901*106250</f>
        <v>0</v>
      </c>
      <c r="CZ901" s="76"/>
      <c r="DA901" s="76">
        <f>+CZ901*34500</f>
        <v>0</v>
      </c>
      <c r="DB901" s="76"/>
      <c r="DC901" s="76">
        <f>+DB901*25000</f>
        <v>0</v>
      </c>
      <c r="DD901" s="219"/>
      <c r="DE901" s="219"/>
      <c r="DF901" s="166"/>
      <c r="DG901" s="116"/>
      <c r="DH901" s="117"/>
      <c r="DI901" s="24"/>
      <c r="DJ901" s="24"/>
      <c r="DK901" s="24"/>
      <c r="DL901" s="24"/>
      <c r="DM901" s="24"/>
      <c r="DN901" s="24"/>
      <c r="DO901" s="24"/>
      <c r="DP901" s="24"/>
      <c r="DQ901" s="24"/>
      <c r="DR901" s="24"/>
      <c r="DS901" s="24"/>
      <c r="DT901" s="24"/>
      <c r="DU901" s="24"/>
    </row>
    <row r="902" spans="1:125" s="8" customFormat="1" ht="96" x14ac:dyDescent="0.2">
      <c r="A902" s="77">
        <v>41326</v>
      </c>
      <c r="B902" s="208" t="s">
        <v>2854</v>
      </c>
      <c r="C902" s="227" t="s">
        <v>2686</v>
      </c>
      <c r="D902" s="227" t="s">
        <v>2936</v>
      </c>
      <c r="E902" s="75" t="str">
        <f>VLOOKUP(B902&amp;C902,Divipola!$C$2:$F$1138,4,FALSE)</f>
        <v>19212</v>
      </c>
      <c r="F902" s="100"/>
      <c r="G902" s="100"/>
      <c r="H902" s="100"/>
      <c r="I902" s="100"/>
      <c r="J902" s="100"/>
      <c r="K902" s="100"/>
      <c r="L902" s="100"/>
      <c r="M902" s="100"/>
      <c r="N902" s="100"/>
      <c r="O902" s="100"/>
      <c r="P902" s="100">
        <v>1</v>
      </c>
      <c r="Q902" s="100"/>
      <c r="R902" s="100"/>
      <c r="S902" s="100"/>
      <c r="T902" s="100"/>
      <c r="U902" s="136"/>
      <c r="V902" s="89"/>
      <c r="W902" s="96">
        <v>0</v>
      </c>
      <c r="X902" s="71">
        <f>CU902</f>
        <v>0</v>
      </c>
      <c r="Y902" s="71">
        <f>CY902</f>
        <v>0</v>
      </c>
      <c r="Z902" s="71">
        <f>DA902+DC902+DE902</f>
        <v>0</v>
      </c>
      <c r="AA902" s="71">
        <f>CW902</f>
        <v>0</v>
      </c>
      <c r="AB902" s="71"/>
      <c r="AC902" s="71">
        <v>0</v>
      </c>
      <c r="AD902" s="71">
        <f>W902+X902+Y902+Z902+AA902+AB902+AC902</f>
        <v>0</v>
      </c>
      <c r="AE902" s="72">
        <v>0</v>
      </c>
      <c r="AF902" s="5"/>
      <c r="AG902" s="6"/>
      <c r="AH902" s="27" t="s">
        <v>3392</v>
      </c>
      <c r="AI902" s="44" t="s">
        <v>3393</v>
      </c>
      <c r="AJ902" s="26"/>
      <c r="AK902" s="5"/>
      <c r="AL902" s="82" t="s">
        <v>3588</v>
      </c>
      <c r="AM902" s="76"/>
      <c r="AN902" s="76"/>
      <c r="AO902" s="76"/>
      <c r="AP902" s="76"/>
      <c r="AQ902" s="76"/>
      <c r="AR902" s="76"/>
      <c r="AS902" s="76"/>
      <c r="AT902" s="76"/>
      <c r="AU902" s="76"/>
      <c r="AV902" s="76"/>
      <c r="AW902" s="76"/>
      <c r="AX902" s="76">
        <f>+AW902*600000</f>
        <v>0</v>
      </c>
      <c r="AY902" s="76"/>
      <c r="AZ902" s="76">
        <f>+AY902*70000</f>
        <v>0</v>
      </c>
      <c r="BA902" s="76"/>
      <c r="BB902" s="76"/>
      <c r="BC902" s="76"/>
      <c r="BD902" s="76">
        <f>+BC902*30000</f>
        <v>0</v>
      </c>
      <c r="BE902" s="76"/>
      <c r="BF902" s="76"/>
      <c r="BG902" s="76"/>
      <c r="BH902" s="76"/>
      <c r="BI902" s="76"/>
      <c r="BJ902" s="76"/>
      <c r="BK902" s="76"/>
      <c r="BL902" s="76">
        <f>+BK902*31500</f>
        <v>0</v>
      </c>
      <c r="BM902" s="76"/>
      <c r="BN902" s="76"/>
      <c r="BO902" s="76"/>
      <c r="BP902" s="76"/>
      <c r="BQ902" s="76"/>
      <c r="BR902" s="76"/>
      <c r="BS902" s="76"/>
      <c r="BT902" s="76"/>
      <c r="BU902" s="76"/>
      <c r="BV902" s="76"/>
      <c r="BW902" s="76"/>
      <c r="BX902" s="76"/>
      <c r="BY902" s="76"/>
      <c r="BZ902" s="76"/>
      <c r="CA902" s="76"/>
      <c r="CB902" s="76"/>
      <c r="CC902" s="76"/>
      <c r="CD902" s="76"/>
      <c r="CE902" s="76"/>
      <c r="CF902" s="76">
        <f>+CE902*28000</f>
        <v>0</v>
      </c>
      <c r="CG902" s="76"/>
      <c r="CH902" s="76">
        <f>+CG902*22500</f>
        <v>0</v>
      </c>
      <c r="CI902" s="76"/>
      <c r="CJ902" s="76">
        <f>+CI902*26000</f>
        <v>0</v>
      </c>
      <c r="CK902" s="76"/>
      <c r="CL902" s="76"/>
      <c r="CM902" s="76"/>
      <c r="CN902" s="76">
        <f>+CM902*22000</f>
        <v>0</v>
      </c>
      <c r="CO902" s="76"/>
      <c r="CP902" s="76">
        <f>+CO902*46000</f>
        <v>0</v>
      </c>
      <c r="CQ902" s="76"/>
      <c r="CR902" s="76">
        <f>+CQ902*49000</f>
        <v>0</v>
      </c>
      <c r="CS902" s="76"/>
      <c r="CT902" s="76"/>
      <c r="CU902" s="56">
        <f>AN902+AP902+AR902+AT902+AV902+AX902+AZ902+BB902+BD902+BF902+BH902+BJ902+BL902+BN902+BP902+BR902+BT902+BV902+BX902+BZ902+CB902+CD902+CF902+CH902+CJ902+CL902+CN902+CP902+CR902+CT902</f>
        <v>0</v>
      </c>
      <c r="CV902" s="76"/>
      <c r="CW902" s="76">
        <f>+CV902*1100</f>
        <v>0</v>
      </c>
      <c r="CX902" s="76"/>
      <c r="CY902" s="76">
        <f>+CX902*106250</f>
        <v>0</v>
      </c>
      <c r="CZ902" s="76"/>
      <c r="DA902" s="76">
        <f>+CZ902*34500</f>
        <v>0</v>
      </c>
      <c r="DB902" s="76"/>
      <c r="DC902" s="76">
        <f>+DB902*25000</f>
        <v>0</v>
      </c>
      <c r="DD902" s="219"/>
      <c r="DE902" s="219"/>
      <c r="DF902" s="166"/>
      <c r="DG902" s="116"/>
      <c r="DH902" s="117"/>
      <c r="DI902" s="24"/>
      <c r="DJ902" s="24"/>
      <c r="DK902" s="24"/>
      <c r="DL902" s="24"/>
      <c r="DM902" s="24"/>
      <c r="DN902" s="24"/>
      <c r="DO902" s="24"/>
      <c r="DP902" s="24"/>
      <c r="DQ902" s="24"/>
      <c r="DR902" s="24"/>
      <c r="DS902" s="24"/>
      <c r="DT902" s="24"/>
      <c r="DU902" s="24"/>
    </row>
    <row r="903" spans="1:125" s="8" customFormat="1" ht="36" x14ac:dyDescent="0.2">
      <c r="A903" s="77">
        <v>41326</v>
      </c>
      <c r="B903" s="78" t="s">
        <v>2855</v>
      </c>
      <c r="C903" s="75" t="s">
        <v>503</v>
      </c>
      <c r="D903" s="81" t="s">
        <v>2846</v>
      </c>
      <c r="E903" s="75" t="str">
        <f>VLOOKUP(B903&amp;C903,Divipola!$C$2:$F$1138,4,FALSE)</f>
        <v>20175</v>
      </c>
      <c r="F903" s="87"/>
      <c r="G903" s="87"/>
      <c r="H903" s="87"/>
      <c r="I903" s="87"/>
      <c r="J903" s="87"/>
      <c r="K903" s="87"/>
      <c r="L903" s="87"/>
      <c r="M903" s="87"/>
      <c r="N903" s="87"/>
      <c r="O903" s="87"/>
      <c r="P903" s="87"/>
      <c r="Q903" s="87"/>
      <c r="R903" s="87"/>
      <c r="S903" s="87"/>
      <c r="T903" s="87"/>
      <c r="U903" s="88">
        <v>200</v>
      </c>
      <c r="V903" s="89"/>
      <c r="W903" s="96">
        <v>0</v>
      </c>
      <c r="X903" s="71">
        <f>CU903</f>
        <v>0</v>
      </c>
      <c r="Y903" s="71">
        <f>CY903</f>
        <v>0</v>
      </c>
      <c r="Z903" s="71">
        <f>DA903+DC903+DE903</f>
        <v>0</v>
      </c>
      <c r="AA903" s="71">
        <f>CW903</f>
        <v>0</v>
      </c>
      <c r="AB903" s="71"/>
      <c r="AC903" s="71">
        <v>0</v>
      </c>
      <c r="AD903" s="71">
        <f>W903+X903+Y903+Z903+AA903+AB903+AC903</f>
        <v>0</v>
      </c>
      <c r="AE903" s="72">
        <v>0</v>
      </c>
      <c r="AF903" s="5"/>
      <c r="AG903" s="6"/>
      <c r="AH903" s="27" t="s">
        <v>3392</v>
      </c>
      <c r="AI903" s="44" t="s">
        <v>3393</v>
      </c>
      <c r="AJ903" s="26"/>
      <c r="AK903" s="5"/>
      <c r="AL903" s="82" t="s">
        <v>3590</v>
      </c>
      <c r="AM903" s="76"/>
      <c r="AN903" s="76"/>
      <c r="AO903" s="76"/>
      <c r="AP903" s="76"/>
      <c r="AQ903" s="76"/>
      <c r="AR903" s="76"/>
      <c r="AS903" s="76"/>
      <c r="AT903" s="76"/>
      <c r="AU903" s="76"/>
      <c r="AV903" s="76"/>
      <c r="AW903" s="76"/>
      <c r="AX903" s="76">
        <f>+AW903*600000</f>
        <v>0</v>
      </c>
      <c r="AY903" s="76"/>
      <c r="AZ903" s="76">
        <f>+AY903*70000</f>
        <v>0</v>
      </c>
      <c r="BA903" s="76"/>
      <c r="BB903" s="76"/>
      <c r="BC903" s="76"/>
      <c r="BD903" s="76">
        <f>+BC903*30000</f>
        <v>0</v>
      </c>
      <c r="BE903" s="76"/>
      <c r="BF903" s="76"/>
      <c r="BG903" s="76"/>
      <c r="BH903" s="76"/>
      <c r="BI903" s="76"/>
      <c r="BJ903" s="76"/>
      <c r="BK903" s="76"/>
      <c r="BL903" s="76">
        <f>+BK903*31500</f>
        <v>0</v>
      </c>
      <c r="BM903" s="76"/>
      <c r="BN903" s="76"/>
      <c r="BO903" s="76"/>
      <c r="BP903" s="76"/>
      <c r="BQ903" s="76"/>
      <c r="BR903" s="76"/>
      <c r="BS903" s="76"/>
      <c r="BT903" s="76"/>
      <c r="BU903" s="76"/>
      <c r="BV903" s="76"/>
      <c r="BW903" s="76"/>
      <c r="BX903" s="76"/>
      <c r="BY903" s="76"/>
      <c r="BZ903" s="76"/>
      <c r="CA903" s="76"/>
      <c r="CB903" s="76"/>
      <c r="CC903" s="76"/>
      <c r="CD903" s="76"/>
      <c r="CE903" s="76"/>
      <c r="CF903" s="76">
        <f>+CE903*28000</f>
        <v>0</v>
      </c>
      <c r="CG903" s="76"/>
      <c r="CH903" s="76">
        <f>+CG903*22500</f>
        <v>0</v>
      </c>
      <c r="CI903" s="76"/>
      <c r="CJ903" s="76">
        <f>+CI903*26000</f>
        <v>0</v>
      </c>
      <c r="CK903" s="76"/>
      <c r="CL903" s="76"/>
      <c r="CM903" s="76"/>
      <c r="CN903" s="76">
        <f>+CM903*22000</f>
        <v>0</v>
      </c>
      <c r="CO903" s="76"/>
      <c r="CP903" s="76">
        <f>+CO903*46000</f>
        <v>0</v>
      </c>
      <c r="CQ903" s="76"/>
      <c r="CR903" s="76">
        <f>+CQ903*49000</f>
        <v>0</v>
      </c>
      <c r="CS903" s="76"/>
      <c r="CT903" s="76"/>
      <c r="CU903" s="56">
        <f>AN903+AP903+AR903+AT903+AV903+AX903+AZ903+BB903+BD903+BF903+BH903+BJ903+BL903+BN903+BP903+BR903+BT903+BV903+BX903+BZ903+CB903+CD903+CF903+CH903+CJ903+CL903+CN903+CP903+CR903+CT903</f>
        <v>0</v>
      </c>
      <c r="CV903" s="76"/>
      <c r="CW903" s="76">
        <f>+CV903*1100</f>
        <v>0</v>
      </c>
      <c r="CX903" s="76"/>
      <c r="CY903" s="76">
        <f>+CX903*106250</f>
        <v>0</v>
      </c>
      <c r="CZ903" s="76"/>
      <c r="DA903" s="76">
        <f>+CZ903*34500</f>
        <v>0</v>
      </c>
      <c r="DB903" s="76"/>
      <c r="DC903" s="76">
        <f>+DB903*25000</f>
        <v>0</v>
      </c>
      <c r="DD903" s="219"/>
      <c r="DE903" s="219"/>
      <c r="DF903" s="166"/>
      <c r="DG903" s="116"/>
      <c r="DH903" s="117"/>
      <c r="DI903" s="24"/>
      <c r="DJ903" s="24"/>
      <c r="DK903" s="24"/>
      <c r="DL903" s="24"/>
      <c r="DM903" s="24"/>
      <c r="DN903" s="24"/>
      <c r="DO903" s="24"/>
      <c r="DP903" s="24"/>
      <c r="DQ903" s="24"/>
      <c r="DR903" s="24"/>
      <c r="DS903" s="24"/>
      <c r="DT903" s="24"/>
      <c r="DU903" s="24"/>
    </row>
    <row r="904" spans="1:125" s="8" customFormat="1" ht="96" x14ac:dyDescent="0.2">
      <c r="A904" s="77">
        <v>41326</v>
      </c>
      <c r="B904" s="78" t="s">
        <v>2855</v>
      </c>
      <c r="C904" s="75" t="s">
        <v>919</v>
      </c>
      <c r="D904" s="81" t="s">
        <v>2846</v>
      </c>
      <c r="E904" s="75" t="str">
        <f>VLOOKUP(B904&amp;C904,Divipola!$C$2:$F$1138,4,FALSE)</f>
        <v>20400</v>
      </c>
      <c r="F904" s="87"/>
      <c r="G904" s="87"/>
      <c r="H904" s="87"/>
      <c r="I904" s="87"/>
      <c r="J904" s="87"/>
      <c r="K904" s="87"/>
      <c r="L904" s="87"/>
      <c r="M904" s="87"/>
      <c r="N904" s="87"/>
      <c r="O904" s="87"/>
      <c r="P904" s="87"/>
      <c r="Q904" s="87"/>
      <c r="R904" s="87"/>
      <c r="S904" s="87"/>
      <c r="T904" s="87"/>
      <c r="U904" s="88">
        <v>400</v>
      </c>
      <c r="V904" s="89"/>
      <c r="W904" s="96">
        <v>0</v>
      </c>
      <c r="X904" s="71">
        <f>CU904</f>
        <v>0</v>
      </c>
      <c r="Y904" s="71">
        <f>CY904</f>
        <v>0</v>
      </c>
      <c r="Z904" s="71">
        <f>DA904+DC904+DE904</f>
        <v>0</v>
      </c>
      <c r="AA904" s="71">
        <f>CW904</f>
        <v>0</v>
      </c>
      <c r="AB904" s="71"/>
      <c r="AC904" s="71">
        <v>0</v>
      </c>
      <c r="AD904" s="71">
        <f>W904+X904+Y904+Z904+AA904+AB904+AC904</f>
        <v>0</v>
      </c>
      <c r="AE904" s="72">
        <v>0</v>
      </c>
      <c r="AF904" s="5"/>
      <c r="AG904" s="6"/>
      <c r="AH904" s="27" t="s">
        <v>3392</v>
      </c>
      <c r="AI904" s="44" t="s">
        <v>3393</v>
      </c>
      <c r="AJ904" s="26"/>
      <c r="AK904" s="5"/>
      <c r="AL904" s="82" t="s">
        <v>3596</v>
      </c>
      <c r="AM904" s="76"/>
      <c r="AN904" s="76"/>
      <c r="AO904" s="76"/>
      <c r="AP904" s="76"/>
      <c r="AQ904" s="76"/>
      <c r="AR904" s="76"/>
      <c r="AS904" s="76"/>
      <c r="AT904" s="76"/>
      <c r="AU904" s="76"/>
      <c r="AV904" s="76"/>
      <c r="AW904" s="76"/>
      <c r="AX904" s="76">
        <f>+AW904*600000</f>
        <v>0</v>
      </c>
      <c r="AY904" s="76"/>
      <c r="AZ904" s="76">
        <f>+AY904*70000</f>
        <v>0</v>
      </c>
      <c r="BA904" s="76"/>
      <c r="BB904" s="76"/>
      <c r="BC904" s="76"/>
      <c r="BD904" s="76">
        <f>+BC904*30000</f>
        <v>0</v>
      </c>
      <c r="BE904" s="76"/>
      <c r="BF904" s="76"/>
      <c r="BG904" s="76"/>
      <c r="BH904" s="76"/>
      <c r="BI904" s="76"/>
      <c r="BJ904" s="76"/>
      <c r="BK904" s="76"/>
      <c r="BL904" s="76">
        <f>+BK904*31500</f>
        <v>0</v>
      </c>
      <c r="BM904" s="76"/>
      <c r="BN904" s="76"/>
      <c r="BO904" s="76"/>
      <c r="BP904" s="76"/>
      <c r="BQ904" s="76"/>
      <c r="BR904" s="76"/>
      <c r="BS904" s="76"/>
      <c r="BT904" s="76"/>
      <c r="BU904" s="76"/>
      <c r="BV904" s="76"/>
      <c r="BW904" s="76"/>
      <c r="BX904" s="76"/>
      <c r="BY904" s="76"/>
      <c r="BZ904" s="76"/>
      <c r="CA904" s="76"/>
      <c r="CB904" s="76"/>
      <c r="CC904" s="76"/>
      <c r="CD904" s="76"/>
      <c r="CE904" s="76"/>
      <c r="CF904" s="76">
        <f>+CE904*28000</f>
        <v>0</v>
      </c>
      <c r="CG904" s="76"/>
      <c r="CH904" s="76">
        <f>+CG904*22500</f>
        <v>0</v>
      </c>
      <c r="CI904" s="76"/>
      <c r="CJ904" s="76">
        <f>+CI904*26000</f>
        <v>0</v>
      </c>
      <c r="CK904" s="76"/>
      <c r="CL904" s="76"/>
      <c r="CM904" s="76"/>
      <c r="CN904" s="76">
        <f>+CM904*22000</f>
        <v>0</v>
      </c>
      <c r="CO904" s="76"/>
      <c r="CP904" s="76">
        <f>+CO904*46000</f>
        <v>0</v>
      </c>
      <c r="CQ904" s="76"/>
      <c r="CR904" s="76">
        <f>+CQ904*49000</f>
        <v>0</v>
      </c>
      <c r="CS904" s="76"/>
      <c r="CT904" s="76"/>
      <c r="CU904" s="56">
        <f>AN904+AP904+AR904+AT904+AV904+AX904+AZ904+BB904+BD904+BF904+BH904+BJ904+BL904+BN904+BP904+BR904+BT904+BV904+BX904+BZ904+CB904+CD904+CF904+CH904+CJ904+CL904+CN904+CP904+CR904+CT904</f>
        <v>0</v>
      </c>
      <c r="CV904" s="76"/>
      <c r="CW904" s="76">
        <f>+CV904*1100</f>
        <v>0</v>
      </c>
      <c r="CX904" s="76"/>
      <c r="CY904" s="76">
        <f>+CX904*106250</f>
        <v>0</v>
      </c>
      <c r="CZ904" s="76"/>
      <c r="DA904" s="76">
        <f>+CZ904*34500</f>
        <v>0</v>
      </c>
      <c r="DB904" s="76"/>
      <c r="DC904" s="76">
        <f>+DB904*25000</f>
        <v>0</v>
      </c>
      <c r="DD904" s="219"/>
      <c r="DE904" s="219"/>
      <c r="DF904" s="166"/>
      <c r="DG904" s="116"/>
      <c r="DH904" s="117"/>
      <c r="DI904" s="24"/>
      <c r="DJ904" s="24"/>
      <c r="DK904" s="24"/>
      <c r="DL904" s="24"/>
      <c r="DM904" s="24"/>
      <c r="DN904" s="24"/>
      <c r="DO904" s="24"/>
      <c r="DP904" s="24"/>
      <c r="DQ904" s="24"/>
      <c r="DR904" s="24"/>
      <c r="DS904" s="24"/>
      <c r="DT904" s="24"/>
      <c r="DU904" s="24"/>
    </row>
    <row r="905" spans="1:125" s="8" customFormat="1" ht="96" x14ac:dyDescent="0.2">
      <c r="A905" s="77">
        <v>41326</v>
      </c>
      <c r="B905" s="352" t="s">
        <v>2772</v>
      </c>
      <c r="C905" s="354" t="s">
        <v>2167</v>
      </c>
      <c r="D905" s="354" t="s">
        <v>2859</v>
      </c>
      <c r="E905" s="75" t="str">
        <f>VLOOKUP(B905&amp;C905,Divipola!$C$2:$F$1138,4,FALSE)</f>
        <v>25377</v>
      </c>
      <c r="F905" s="87"/>
      <c r="G905" s="87"/>
      <c r="H905" s="87"/>
      <c r="I905" s="87"/>
      <c r="J905" s="87"/>
      <c r="K905" s="87"/>
      <c r="L905" s="87"/>
      <c r="M905" s="87"/>
      <c r="N905" s="87"/>
      <c r="O905" s="87"/>
      <c r="P905" s="87"/>
      <c r="Q905" s="87"/>
      <c r="R905" s="87"/>
      <c r="S905" s="87"/>
      <c r="T905" s="87"/>
      <c r="U905" s="88"/>
      <c r="V905" s="89">
        <v>1</v>
      </c>
      <c r="W905" s="96">
        <v>0</v>
      </c>
      <c r="X905" s="71">
        <f>CU905</f>
        <v>0</v>
      </c>
      <c r="Y905" s="71">
        <f>CY905</f>
        <v>0</v>
      </c>
      <c r="Z905" s="71">
        <f>DA905+DC905+DE905</f>
        <v>0</v>
      </c>
      <c r="AA905" s="71">
        <f>CW905</f>
        <v>0</v>
      </c>
      <c r="AB905" s="71"/>
      <c r="AC905" s="71">
        <v>0</v>
      </c>
      <c r="AD905" s="71">
        <f>W905+X905+Y905+Z905+AA905+AB905+AC905</f>
        <v>0</v>
      </c>
      <c r="AE905" s="72">
        <v>0</v>
      </c>
      <c r="AF905" s="5"/>
      <c r="AG905" s="6"/>
      <c r="AH905" s="27" t="s">
        <v>3392</v>
      </c>
      <c r="AI905" s="44" t="s">
        <v>3393</v>
      </c>
      <c r="AJ905" s="26"/>
      <c r="AK905" s="5"/>
      <c r="AL905" s="82" t="s">
        <v>3593</v>
      </c>
      <c r="AM905" s="76"/>
      <c r="AN905" s="76"/>
      <c r="AO905" s="76"/>
      <c r="AP905" s="76"/>
      <c r="AQ905" s="76"/>
      <c r="AR905" s="76"/>
      <c r="AS905" s="76"/>
      <c r="AT905" s="76"/>
      <c r="AU905" s="76"/>
      <c r="AV905" s="76"/>
      <c r="AW905" s="76"/>
      <c r="AX905" s="76">
        <f>+AW905*600000</f>
        <v>0</v>
      </c>
      <c r="AY905" s="76"/>
      <c r="AZ905" s="76">
        <f>+AY905*70000</f>
        <v>0</v>
      </c>
      <c r="BA905" s="76"/>
      <c r="BB905" s="76"/>
      <c r="BC905" s="76"/>
      <c r="BD905" s="76">
        <f>+BC905*30000</f>
        <v>0</v>
      </c>
      <c r="BE905" s="76"/>
      <c r="BF905" s="76"/>
      <c r="BG905" s="76"/>
      <c r="BH905" s="76"/>
      <c r="BI905" s="76"/>
      <c r="BJ905" s="76"/>
      <c r="BK905" s="76"/>
      <c r="BL905" s="76">
        <f>+BK905*31500</f>
        <v>0</v>
      </c>
      <c r="BM905" s="76"/>
      <c r="BN905" s="76"/>
      <c r="BO905" s="76"/>
      <c r="BP905" s="76"/>
      <c r="BQ905" s="76"/>
      <c r="BR905" s="76"/>
      <c r="BS905" s="76"/>
      <c r="BT905" s="76"/>
      <c r="BU905" s="76"/>
      <c r="BV905" s="76"/>
      <c r="BW905" s="76"/>
      <c r="BX905" s="76"/>
      <c r="BY905" s="76"/>
      <c r="BZ905" s="76"/>
      <c r="CA905" s="76"/>
      <c r="CB905" s="76"/>
      <c r="CC905" s="76"/>
      <c r="CD905" s="76"/>
      <c r="CE905" s="76"/>
      <c r="CF905" s="76">
        <f>+CE905*28000</f>
        <v>0</v>
      </c>
      <c r="CG905" s="76"/>
      <c r="CH905" s="76">
        <f>+CG905*22500</f>
        <v>0</v>
      </c>
      <c r="CI905" s="76"/>
      <c r="CJ905" s="76">
        <f>+CI905*26000</f>
        <v>0</v>
      </c>
      <c r="CK905" s="76"/>
      <c r="CL905" s="76"/>
      <c r="CM905" s="76"/>
      <c r="CN905" s="76">
        <f>+CM905*22000</f>
        <v>0</v>
      </c>
      <c r="CO905" s="76"/>
      <c r="CP905" s="76">
        <f>+CO905*46000</f>
        <v>0</v>
      </c>
      <c r="CQ905" s="76"/>
      <c r="CR905" s="76">
        <f>+CQ905*49000</f>
        <v>0</v>
      </c>
      <c r="CS905" s="76"/>
      <c r="CT905" s="76"/>
      <c r="CU905" s="56">
        <f>AN905+AP905+AR905+AT905+AV905+AX905+AZ905+BB905+BD905+BF905+BH905+BJ905+BL905+BN905+BP905+BR905+BT905+BV905+BX905+BZ905+CB905+CD905+CF905+CH905+CJ905+CL905+CN905+CP905+CR905+CT905</f>
        <v>0</v>
      </c>
      <c r="CV905" s="76"/>
      <c r="CW905" s="76">
        <f>+CV905*1100</f>
        <v>0</v>
      </c>
      <c r="CX905" s="76"/>
      <c r="CY905" s="76">
        <f>+CX905*106250</f>
        <v>0</v>
      </c>
      <c r="CZ905" s="76"/>
      <c r="DA905" s="76">
        <f>+CZ905*34500</f>
        <v>0</v>
      </c>
      <c r="DB905" s="76"/>
      <c r="DC905" s="76">
        <f>+DB905*25000</f>
        <v>0</v>
      </c>
      <c r="DD905" s="219"/>
      <c r="DE905" s="219"/>
      <c r="DF905" s="166"/>
      <c r="DG905" s="116"/>
      <c r="DH905" s="117"/>
      <c r="DI905" s="24"/>
      <c r="DJ905" s="24"/>
      <c r="DK905" s="24"/>
      <c r="DL905" s="24"/>
      <c r="DM905" s="24"/>
      <c r="DN905" s="24"/>
      <c r="DO905" s="24"/>
      <c r="DP905" s="24"/>
      <c r="DQ905" s="24"/>
      <c r="DR905" s="24"/>
      <c r="DS905" s="24"/>
      <c r="DT905" s="24"/>
      <c r="DU905" s="24"/>
    </row>
    <row r="906" spans="1:125" s="8" customFormat="1" ht="96" x14ac:dyDescent="0.2">
      <c r="A906" s="77">
        <v>41326</v>
      </c>
      <c r="B906" s="78" t="s">
        <v>2906</v>
      </c>
      <c r="C906" s="75" t="s">
        <v>418</v>
      </c>
      <c r="D906" s="81" t="s">
        <v>2846</v>
      </c>
      <c r="E906" s="75" t="str">
        <f>VLOOKUP(B906&amp;C906,Divipola!$C$2:$F$1138,4,FALSE)</f>
        <v>47053</v>
      </c>
      <c r="F906" s="87"/>
      <c r="G906" s="87"/>
      <c r="H906" s="87"/>
      <c r="I906" s="87"/>
      <c r="J906" s="87"/>
      <c r="K906" s="87"/>
      <c r="L906" s="87"/>
      <c r="M906" s="87"/>
      <c r="N906" s="87"/>
      <c r="O906" s="87"/>
      <c r="P906" s="87"/>
      <c r="Q906" s="87"/>
      <c r="R906" s="87"/>
      <c r="S906" s="87"/>
      <c r="T906" s="87"/>
      <c r="U906" s="88">
        <v>30</v>
      </c>
      <c r="V906" s="89"/>
      <c r="W906" s="96">
        <v>0</v>
      </c>
      <c r="X906" s="71">
        <f>CU906</f>
        <v>0</v>
      </c>
      <c r="Y906" s="71">
        <f>CY906</f>
        <v>0</v>
      </c>
      <c r="Z906" s="71">
        <f>DA906+DC906+DE906</f>
        <v>0</v>
      </c>
      <c r="AA906" s="71">
        <f>CW906</f>
        <v>0</v>
      </c>
      <c r="AB906" s="71"/>
      <c r="AC906" s="71">
        <v>0</v>
      </c>
      <c r="AD906" s="71">
        <f>W906+X906+Y906+Z906+AA906+AB906+AC906</f>
        <v>0</v>
      </c>
      <c r="AE906" s="72">
        <v>0</v>
      </c>
      <c r="AF906" s="5"/>
      <c r="AG906" s="6"/>
      <c r="AH906" s="27" t="s">
        <v>3392</v>
      </c>
      <c r="AI906" s="44" t="s">
        <v>3393</v>
      </c>
      <c r="AJ906" s="26"/>
      <c r="AK906" s="5"/>
      <c r="AL906" s="82" t="s">
        <v>3592</v>
      </c>
      <c r="AM906" s="76"/>
      <c r="AN906" s="76"/>
      <c r="AO906" s="76"/>
      <c r="AP906" s="76"/>
      <c r="AQ906" s="76"/>
      <c r="AR906" s="76"/>
      <c r="AS906" s="76"/>
      <c r="AT906" s="76"/>
      <c r="AU906" s="76"/>
      <c r="AV906" s="76"/>
      <c r="AW906" s="76"/>
      <c r="AX906" s="76">
        <f>+AW906*600000</f>
        <v>0</v>
      </c>
      <c r="AY906" s="76"/>
      <c r="AZ906" s="76">
        <f>+AY906*70000</f>
        <v>0</v>
      </c>
      <c r="BA906" s="76"/>
      <c r="BB906" s="76"/>
      <c r="BC906" s="76"/>
      <c r="BD906" s="76">
        <f>+BC906*30000</f>
        <v>0</v>
      </c>
      <c r="BE906" s="76"/>
      <c r="BF906" s="76"/>
      <c r="BG906" s="76"/>
      <c r="BH906" s="76"/>
      <c r="BI906" s="76"/>
      <c r="BJ906" s="76"/>
      <c r="BK906" s="76"/>
      <c r="BL906" s="76">
        <f>+BK906*31500</f>
        <v>0</v>
      </c>
      <c r="BM906" s="76"/>
      <c r="BN906" s="76"/>
      <c r="BO906" s="76"/>
      <c r="BP906" s="76"/>
      <c r="BQ906" s="76"/>
      <c r="BR906" s="76"/>
      <c r="BS906" s="76"/>
      <c r="BT906" s="76"/>
      <c r="BU906" s="76"/>
      <c r="BV906" s="76"/>
      <c r="BW906" s="76"/>
      <c r="BX906" s="76"/>
      <c r="BY906" s="76"/>
      <c r="BZ906" s="76"/>
      <c r="CA906" s="76"/>
      <c r="CB906" s="76"/>
      <c r="CC906" s="76"/>
      <c r="CD906" s="76"/>
      <c r="CE906" s="76"/>
      <c r="CF906" s="76">
        <f>+CE906*28000</f>
        <v>0</v>
      </c>
      <c r="CG906" s="76"/>
      <c r="CH906" s="76">
        <f>+CG906*22500</f>
        <v>0</v>
      </c>
      <c r="CI906" s="76"/>
      <c r="CJ906" s="76">
        <f>+CI906*26000</f>
        <v>0</v>
      </c>
      <c r="CK906" s="76"/>
      <c r="CL906" s="76"/>
      <c r="CM906" s="76"/>
      <c r="CN906" s="76">
        <f>+CM906*22000</f>
        <v>0</v>
      </c>
      <c r="CO906" s="76"/>
      <c r="CP906" s="76">
        <f>+CO906*46000</f>
        <v>0</v>
      </c>
      <c r="CQ906" s="76"/>
      <c r="CR906" s="76">
        <f>+CQ906*49000</f>
        <v>0</v>
      </c>
      <c r="CS906" s="76"/>
      <c r="CT906" s="76"/>
      <c r="CU906" s="56">
        <f>AN906+AP906+AR906+AT906+AV906+AX906+AZ906+BB906+BD906+BF906+BH906+BJ906+BL906+BN906+BP906+BR906+BT906+BV906+BX906+BZ906+CB906+CD906+CF906+CH906+CJ906+CL906+CN906+CP906+CR906+CT906</f>
        <v>0</v>
      </c>
      <c r="CV906" s="76"/>
      <c r="CW906" s="76">
        <f>+CV906*1100</f>
        <v>0</v>
      </c>
      <c r="CX906" s="76"/>
      <c r="CY906" s="76">
        <f>+CX906*106250</f>
        <v>0</v>
      </c>
      <c r="CZ906" s="76"/>
      <c r="DA906" s="76">
        <f>+CZ906*34500</f>
        <v>0</v>
      </c>
      <c r="DB906" s="76"/>
      <c r="DC906" s="76">
        <f>+DB906*25000</f>
        <v>0</v>
      </c>
      <c r="DD906" s="219"/>
      <c r="DE906" s="219"/>
      <c r="DF906" s="166"/>
      <c r="DG906" s="116"/>
      <c r="DH906" s="117"/>
      <c r="DI906" s="24"/>
      <c r="DJ906" s="24"/>
      <c r="DK906" s="24"/>
      <c r="DL906" s="24"/>
      <c r="DM906" s="24"/>
      <c r="DN906" s="24"/>
      <c r="DO906" s="24"/>
      <c r="DP906" s="24"/>
      <c r="DQ906" s="24"/>
      <c r="DR906" s="24"/>
      <c r="DS906" s="24"/>
      <c r="DT906" s="24"/>
      <c r="DU906" s="24"/>
    </row>
    <row r="907" spans="1:125" s="8" customFormat="1" ht="264" x14ac:dyDescent="0.2">
      <c r="A907" s="77">
        <v>41326</v>
      </c>
      <c r="B907" s="225" t="s">
        <v>2906</v>
      </c>
      <c r="C907" s="227" t="s">
        <v>421</v>
      </c>
      <c r="D907" s="81" t="s">
        <v>2846</v>
      </c>
      <c r="E907" s="75" t="str">
        <f>VLOOKUP(B907&amp;C907,Divipola!$C$2:$F$1138,4,FALSE)</f>
        <v>47058</v>
      </c>
      <c r="F907" s="87"/>
      <c r="G907" s="87"/>
      <c r="H907" s="87"/>
      <c r="I907" s="87"/>
      <c r="J907" s="87"/>
      <c r="K907" s="87"/>
      <c r="L907" s="87"/>
      <c r="M907" s="87"/>
      <c r="N907" s="87"/>
      <c r="O907" s="87"/>
      <c r="P907" s="87"/>
      <c r="Q907" s="87"/>
      <c r="R907" s="87"/>
      <c r="S907" s="87"/>
      <c r="T907" s="87"/>
      <c r="U907" s="88">
        <v>150</v>
      </c>
      <c r="V907" s="89"/>
      <c r="W907" s="96">
        <v>0</v>
      </c>
      <c r="X907" s="71">
        <f>CU907</f>
        <v>0</v>
      </c>
      <c r="Y907" s="71">
        <f>CY907</f>
        <v>0</v>
      </c>
      <c r="Z907" s="71">
        <f>DA907+DC907+DE907</f>
        <v>0</v>
      </c>
      <c r="AA907" s="71">
        <f>CW907</f>
        <v>0</v>
      </c>
      <c r="AB907" s="71"/>
      <c r="AC907" s="71">
        <v>0</v>
      </c>
      <c r="AD907" s="71">
        <f>W907+X907+Y907+Z907+AA907+AB907+AC907</f>
        <v>0</v>
      </c>
      <c r="AE907" s="72">
        <v>0</v>
      </c>
      <c r="AF907" s="5"/>
      <c r="AG907" s="6"/>
      <c r="AH907" s="27" t="s">
        <v>3392</v>
      </c>
      <c r="AI907" s="44" t="s">
        <v>3393</v>
      </c>
      <c r="AJ907" s="26"/>
      <c r="AK907" s="5"/>
      <c r="AL907" s="82" t="s">
        <v>3604</v>
      </c>
      <c r="AM907" s="76"/>
      <c r="AN907" s="76"/>
      <c r="AO907" s="76"/>
      <c r="AP907" s="76"/>
      <c r="AQ907" s="76"/>
      <c r="AR907" s="76"/>
      <c r="AS907" s="76"/>
      <c r="AT907" s="76"/>
      <c r="AU907" s="76"/>
      <c r="AV907" s="76"/>
      <c r="AW907" s="76"/>
      <c r="AX907" s="76">
        <f>+AW907*600000</f>
        <v>0</v>
      </c>
      <c r="AY907" s="76"/>
      <c r="AZ907" s="76">
        <f>+AY907*70000</f>
        <v>0</v>
      </c>
      <c r="BA907" s="76"/>
      <c r="BB907" s="76"/>
      <c r="BC907" s="76"/>
      <c r="BD907" s="76">
        <f>+BC907*30000</f>
        <v>0</v>
      </c>
      <c r="BE907" s="76"/>
      <c r="BF907" s="76"/>
      <c r="BG907" s="76"/>
      <c r="BH907" s="76"/>
      <c r="BI907" s="76"/>
      <c r="BJ907" s="76"/>
      <c r="BK907" s="76"/>
      <c r="BL907" s="76">
        <f>+BK907*31500</f>
        <v>0</v>
      </c>
      <c r="BM907" s="76"/>
      <c r="BN907" s="76"/>
      <c r="BO907" s="76"/>
      <c r="BP907" s="76"/>
      <c r="BQ907" s="76"/>
      <c r="BR907" s="76"/>
      <c r="BS907" s="76"/>
      <c r="BT907" s="76"/>
      <c r="BU907" s="76"/>
      <c r="BV907" s="76"/>
      <c r="BW907" s="76"/>
      <c r="BX907" s="76"/>
      <c r="BY907" s="76"/>
      <c r="BZ907" s="76"/>
      <c r="CA907" s="76"/>
      <c r="CB907" s="76"/>
      <c r="CC907" s="76"/>
      <c r="CD907" s="76"/>
      <c r="CE907" s="76"/>
      <c r="CF907" s="76">
        <f>+CE907*28000</f>
        <v>0</v>
      </c>
      <c r="CG907" s="76"/>
      <c r="CH907" s="76">
        <f>+CG907*22500</f>
        <v>0</v>
      </c>
      <c r="CI907" s="76"/>
      <c r="CJ907" s="76">
        <f>+CI907*26000</f>
        <v>0</v>
      </c>
      <c r="CK907" s="76"/>
      <c r="CL907" s="76"/>
      <c r="CM907" s="76"/>
      <c r="CN907" s="76">
        <f>+CM907*22000</f>
        <v>0</v>
      </c>
      <c r="CO907" s="76"/>
      <c r="CP907" s="76">
        <f>+CO907*46000</f>
        <v>0</v>
      </c>
      <c r="CQ907" s="76"/>
      <c r="CR907" s="76">
        <f>+CQ907*49000</f>
        <v>0</v>
      </c>
      <c r="CS907" s="76"/>
      <c r="CT907" s="76"/>
      <c r="CU907" s="56">
        <f>AN907+AP907+AR907+AT907+AV907+AX907+AZ907+BB907+BD907+BF907+BH907+BJ907+BL907+BN907+BP907+BR907+BT907+BV907+BX907+BZ907+CB907+CD907+CF907+CH907+CJ907+CL907+CN907+CP907+CR907+CT907</f>
        <v>0</v>
      </c>
      <c r="CV907" s="76"/>
      <c r="CW907" s="76">
        <f>+CV907*1100</f>
        <v>0</v>
      </c>
      <c r="CX907" s="76"/>
      <c r="CY907" s="76">
        <f>+CX907*106250</f>
        <v>0</v>
      </c>
      <c r="CZ907" s="76"/>
      <c r="DA907" s="76">
        <f>+CZ907*34500</f>
        <v>0</v>
      </c>
      <c r="DB907" s="76"/>
      <c r="DC907" s="76">
        <f>+DB907*25000</f>
        <v>0</v>
      </c>
      <c r="DD907" s="219"/>
      <c r="DE907" s="219"/>
      <c r="DF907" s="166"/>
      <c r="DG907" s="116"/>
      <c r="DH907" s="117"/>
      <c r="DI907" s="24"/>
      <c r="DJ907" s="24"/>
      <c r="DK907" s="24"/>
      <c r="DL907" s="24"/>
      <c r="DM907" s="24"/>
      <c r="DN907" s="24"/>
      <c r="DO907" s="24"/>
      <c r="DP907" s="24"/>
      <c r="DQ907" s="24"/>
      <c r="DR907" s="24"/>
      <c r="DS907" s="24"/>
      <c r="DT907" s="24"/>
      <c r="DU907" s="24"/>
    </row>
    <row r="908" spans="1:125" s="8" customFormat="1" ht="48" x14ac:dyDescent="0.2">
      <c r="A908" s="77">
        <v>41326</v>
      </c>
      <c r="B908" s="78" t="s">
        <v>2880</v>
      </c>
      <c r="C908" s="227" t="s">
        <v>2734</v>
      </c>
      <c r="D908" s="75" t="s">
        <v>3051</v>
      </c>
      <c r="E908" s="75" t="str">
        <f>VLOOKUP(B908&amp;C908,Divipola!$C$2:$F$1138,4,FALSE)</f>
        <v>54405</v>
      </c>
      <c r="F908" s="163"/>
      <c r="G908" s="163"/>
      <c r="H908" s="163"/>
      <c r="I908" s="163"/>
      <c r="J908" s="163"/>
      <c r="K908" s="163"/>
      <c r="L908" s="163"/>
      <c r="M908" s="163"/>
      <c r="N908" s="163"/>
      <c r="O908" s="163"/>
      <c r="P908" s="163"/>
      <c r="Q908" s="163"/>
      <c r="R908" s="163"/>
      <c r="S908" s="163"/>
      <c r="T908" s="163"/>
      <c r="U908" s="163"/>
      <c r="V908" s="134"/>
      <c r="W908" s="96">
        <v>0</v>
      </c>
      <c r="X908" s="71">
        <f>CU908</f>
        <v>0</v>
      </c>
      <c r="Y908" s="71">
        <f>CY908</f>
        <v>0</v>
      </c>
      <c r="Z908" s="71">
        <f>DA908+DC908+DE908</f>
        <v>290073660</v>
      </c>
      <c r="AA908" s="71">
        <f>CW908</f>
        <v>0</v>
      </c>
      <c r="AB908" s="71"/>
      <c r="AC908" s="71">
        <v>0</v>
      </c>
      <c r="AD908" s="71">
        <f>W908+X908+Y908+Z908+AA908+AB908+AC908</f>
        <v>290073660</v>
      </c>
      <c r="AE908" s="72">
        <v>0</v>
      </c>
      <c r="AF908" s="5"/>
      <c r="AG908" s="6"/>
      <c r="AH908" s="27" t="s">
        <v>3390</v>
      </c>
      <c r="AI908" s="44" t="s">
        <v>3391</v>
      </c>
      <c r="AJ908" s="26"/>
      <c r="AK908" s="5"/>
      <c r="AL908" s="82" t="s">
        <v>4606</v>
      </c>
      <c r="AM908" s="76"/>
      <c r="AN908" s="76"/>
      <c r="AO908" s="76"/>
      <c r="AP908" s="76"/>
      <c r="AQ908" s="76"/>
      <c r="AR908" s="76"/>
      <c r="AS908" s="76"/>
      <c r="AT908" s="76"/>
      <c r="AU908" s="76"/>
      <c r="AV908" s="76"/>
      <c r="AW908" s="76"/>
      <c r="AX908" s="76">
        <f>+AW908*600000</f>
        <v>0</v>
      </c>
      <c r="AY908" s="76"/>
      <c r="AZ908" s="76">
        <f>+AY908*70000</f>
        <v>0</v>
      </c>
      <c r="BA908" s="76"/>
      <c r="BB908" s="76"/>
      <c r="BC908" s="76"/>
      <c r="BD908" s="76">
        <f>+BC908*30000</f>
        <v>0</v>
      </c>
      <c r="BE908" s="76"/>
      <c r="BF908" s="76"/>
      <c r="BG908" s="76"/>
      <c r="BH908" s="76"/>
      <c r="BI908" s="76"/>
      <c r="BJ908" s="76"/>
      <c r="BK908" s="76"/>
      <c r="BL908" s="76">
        <f>+BK908*31500</f>
        <v>0</v>
      </c>
      <c r="BM908" s="76"/>
      <c r="BN908" s="76"/>
      <c r="BO908" s="76"/>
      <c r="BP908" s="76"/>
      <c r="BQ908" s="76"/>
      <c r="BR908" s="76"/>
      <c r="BS908" s="76"/>
      <c r="BT908" s="76"/>
      <c r="BU908" s="76"/>
      <c r="BV908" s="76"/>
      <c r="BW908" s="76"/>
      <c r="BX908" s="76"/>
      <c r="BY908" s="76"/>
      <c r="BZ908" s="76"/>
      <c r="CA908" s="76"/>
      <c r="CB908" s="76"/>
      <c r="CC908" s="76"/>
      <c r="CD908" s="76"/>
      <c r="CE908" s="76"/>
      <c r="CF908" s="76">
        <f>+CE908*28000</f>
        <v>0</v>
      </c>
      <c r="CG908" s="76"/>
      <c r="CH908" s="76">
        <f>+CG908*22500</f>
        <v>0</v>
      </c>
      <c r="CI908" s="76"/>
      <c r="CJ908" s="76">
        <f>+CI908*26000</f>
        <v>0</v>
      </c>
      <c r="CK908" s="76"/>
      <c r="CL908" s="76"/>
      <c r="CM908" s="76"/>
      <c r="CN908" s="76">
        <f>+CM908*22000</f>
        <v>0</v>
      </c>
      <c r="CO908" s="76"/>
      <c r="CP908" s="76">
        <f>+CO908*46000</f>
        <v>0</v>
      </c>
      <c r="CQ908" s="76"/>
      <c r="CR908" s="76">
        <f>+CQ908*49000</f>
        <v>0</v>
      </c>
      <c r="CS908" s="76"/>
      <c r="CT908" s="76"/>
      <c r="CU908" s="56">
        <f>AN908+AP908+AR908+AT908+AV908+AX908+AZ908+BB908+BD908+BF908+BH908+BJ908+BL908+BN908+BP908+BR908+BT908+BV908+BX908+BZ908+CB908+CD908+CF908+CH908+CJ908+CL908+CN908+CP908+CR908+CT908</f>
        <v>0</v>
      </c>
      <c r="CV908" s="76"/>
      <c r="CW908" s="76">
        <f>+CV908*1100</f>
        <v>0</v>
      </c>
      <c r="CX908" s="76"/>
      <c r="CY908" s="76">
        <f>+CX908*106250</f>
        <v>0</v>
      </c>
      <c r="CZ908" s="76"/>
      <c r="DA908" s="76">
        <f>+CZ908*34500</f>
        <v>0</v>
      </c>
      <c r="DB908" s="76"/>
      <c r="DC908" s="76">
        <f>+DB908*25000</f>
        <v>0</v>
      </c>
      <c r="DD908" s="221" t="s">
        <v>4899</v>
      </c>
      <c r="DE908" s="223">
        <v>290073660</v>
      </c>
      <c r="DF908" s="166"/>
      <c r="DG908" s="116"/>
      <c r="DH908" s="117"/>
      <c r="DI908" s="24"/>
      <c r="DJ908" s="24"/>
      <c r="DK908" s="24"/>
      <c r="DL908" s="24"/>
      <c r="DM908" s="24"/>
      <c r="DN908" s="24"/>
      <c r="DO908" s="24"/>
      <c r="DP908" s="24"/>
      <c r="DQ908" s="24"/>
      <c r="DR908" s="24"/>
      <c r="DS908" s="24"/>
      <c r="DT908" s="24"/>
      <c r="DU908" s="24"/>
    </row>
    <row r="909" spans="1:125" s="8" customFormat="1" ht="84" x14ac:dyDescent="0.2">
      <c r="A909" s="77">
        <v>41327</v>
      </c>
      <c r="B909" s="78" t="s">
        <v>2036</v>
      </c>
      <c r="C909" s="75" t="s">
        <v>1374</v>
      </c>
      <c r="D909" s="81" t="s">
        <v>2846</v>
      </c>
      <c r="E909" s="75" t="str">
        <f>VLOOKUP(B909&amp;C909,Divipola!$C$2:$F$1138,4,FALSE)</f>
        <v>81065</v>
      </c>
      <c r="F909" s="87"/>
      <c r="G909" s="87"/>
      <c r="H909" s="87"/>
      <c r="I909" s="87"/>
      <c r="J909" s="87"/>
      <c r="K909" s="87"/>
      <c r="L909" s="87"/>
      <c r="M909" s="87"/>
      <c r="N909" s="87"/>
      <c r="O909" s="87"/>
      <c r="P909" s="87"/>
      <c r="Q909" s="87"/>
      <c r="R909" s="87"/>
      <c r="S909" s="87"/>
      <c r="T909" s="87"/>
      <c r="U909" s="88">
        <v>3</v>
      </c>
      <c r="V909" s="89"/>
      <c r="W909" s="96">
        <v>0</v>
      </c>
      <c r="X909" s="71">
        <f>CU909</f>
        <v>0</v>
      </c>
      <c r="Y909" s="71">
        <f>CY909</f>
        <v>0</v>
      </c>
      <c r="Z909" s="71">
        <f>DA909+DC909+DE909</f>
        <v>0</v>
      </c>
      <c r="AA909" s="71">
        <f>CW909</f>
        <v>0</v>
      </c>
      <c r="AB909" s="71"/>
      <c r="AC909" s="71">
        <v>0</v>
      </c>
      <c r="AD909" s="71">
        <f>W909+X909+Y909+Z909+AA909+AB909+AC909</f>
        <v>0</v>
      </c>
      <c r="AE909" s="72">
        <v>0</v>
      </c>
      <c r="AF909" s="5"/>
      <c r="AG909" s="6"/>
      <c r="AH909" s="27" t="s">
        <v>3392</v>
      </c>
      <c r="AI909" s="44" t="s">
        <v>3393</v>
      </c>
      <c r="AJ909" s="26"/>
      <c r="AK909" s="5"/>
      <c r="AL909" s="82" t="s">
        <v>3607</v>
      </c>
      <c r="AM909" s="76"/>
      <c r="AN909" s="76"/>
      <c r="AO909" s="76"/>
      <c r="AP909" s="76"/>
      <c r="AQ909" s="76"/>
      <c r="AR909" s="76"/>
      <c r="AS909" s="76"/>
      <c r="AT909" s="76"/>
      <c r="AU909" s="76"/>
      <c r="AV909" s="76"/>
      <c r="AW909" s="76"/>
      <c r="AX909" s="76">
        <f>+AW909*600000</f>
        <v>0</v>
      </c>
      <c r="AY909" s="76"/>
      <c r="AZ909" s="76">
        <f>+AY909*70000</f>
        <v>0</v>
      </c>
      <c r="BA909" s="76"/>
      <c r="BB909" s="76"/>
      <c r="BC909" s="76"/>
      <c r="BD909" s="76">
        <f>+BC909*30000</f>
        <v>0</v>
      </c>
      <c r="BE909" s="76"/>
      <c r="BF909" s="76"/>
      <c r="BG909" s="76"/>
      <c r="BH909" s="76"/>
      <c r="BI909" s="76"/>
      <c r="BJ909" s="76"/>
      <c r="BK909" s="76"/>
      <c r="BL909" s="76">
        <f>+BK909*31500</f>
        <v>0</v>
      </c>
      <c r="BM909" s="76"/>
      <c r="BN909" s="76"/>
      <c r="BO909" s="76"/>
      <c r="BP909" s="76"/>
      <c r="BQ909" s="76"/>
      <c r="BR909" s="76"/>
      <c r="BS909" s="76"/>
      <c r="BT909" s="76"/>
      <c r="BU909" s="76"/>
      <c r="BV909" s="76"/>
      <c r="BW909" s="76"/>
      <c r="BX909" s="76"/>
      <c r="BY909" s="76"/>
      <c r="BZ909" s="76"/>
      <c r="CA909" s="76"/>
      <c r="CB909" s="76"/>
      <c r="CC909" s="76"/>
      <c r="CD909" s="76"/>
      <c r="CE909" s="76"/>
      <c r="CF909" s="76">
        <f>+CE909*28000</f>
        <v>0</v>
      </c>
      <c r="CG909" s="76"/>
      <c r="CH909" s="76">
        <f>+CG909*22500</f>
        <v>0</v>
      </c>
      <c r="CI909" s="76"/>
      <c r="CJ909" s="76">
        <f>+CI909*26000</f>
        <v>0</v>
      </c>
      <c r="CK909" s="76"/>
      <c r="CL909" s="76"/>
      <c r="CM909" s="76"/>
      <c r="CN909" s="76">
        <f>+CM909*22000</f>
        <v>0</v>
      </c>
      <c r="CO909" s="76"/>
      <c r="CP909" s="76">
        <f>+CO909*46000</f>
        <v>0</v>
      </c>
      <c r="CQ909" s="76"/>
      <c r="CR909" s="76">
        <f>+CQ909*49000</f>
        <v>0</v>
      </c>
      <c r="CS909" s="76"/>
      <c r="CT909" s="76"/>
      <c r="CU909" s="56">
        <f>AN909+AP909+AR909+AT909+AV909+AX909+AZ909+BB909+BD909+BF909+BH909+BJ909+BL909+BN909+BP909+BR909+BT909+BV909+BX909+BZ909+CB909+CD909+CF909+CH909+CJ909+CL909+CN909+CP909+CR909+CT909</f>
        <v>0</v>
      </c>
      <c r="CV909" s="76"/>
      <c r="CW909" s="76">
        <f>+CV909*1100</f>
        <v>0</v>
      </c>
      <c r="CX909" s="76"/>
      <c r="CY909" s="76">
        <f>+CX909*106250</f>
        <v>0</v>
      </c>
      <c r="CZ909" s="76"/>
      <c r="DA909" s="76">
        <f>+CZ909*34500</f>
        <v>0</v>
      </c>
      <c r="DB909" s="76"/>
      <c r="DC909" s="76">
        <f>+DB909*25000</f>
        <v>0</v>
      </c>
      <c r="DD909" s="219"/>
      <c r="DE909" s="219"/>
      <c r="DF909" s="166"/>
      <c r="DG909" s="116"/>
      <c r="DH909" s="117"/>
      <c r="DI909" s="24"/>
      <c r="DJ909" s="24"/>
      <c r="DK909" s="24"/>
      <c r="DL909" s="24"/>
      <c r="DM909" s="24"/>
      <c r="DN909" s="24"/>
      <c r="DO909" s="24"/>
      <c r="DP909" s="24"/>
      <c r="DQ909" s="24"/>
      <c r="DR909" s="24"/>
      <c r="DS909" s="24"/>
      <c r="DT909" s="24"/>
      <c r="DU909" s="24"/>
    </row>
    <row r="910" spans="1:125" s="8" customFormat="1" ht="180" x14ac:dyDescent="0.2">
      <c r="A910" s="77">
        <v>41327</v>
      </c>
      <c r="B910" s="78" t="s">
        <v>2700</v>
      </c>
      <c r="C910" s="75" t="s">
        <v>543</v>
      </c>
      <c r="D910" s="81" t="s">
        <v>2846</v>
      </c>
      <c r="E910" s="75" t="str">
        <f>VLOOKUP(B910&amp;C910,Divipola!$C$2:$F$1138,4,FALSE)</f>
        <v>15362</v>
      </c>
      <c r="F910" s="87"/>
      <c r="G910" s="87"/>
      <c r="H910" s="87"/>
      <c r="I910" s="87"/>
      <c r="J910" s="87"/>
      <c r="K910" s="87"/>
      <c r="L910" s="87"/>
      <c r="M910" s="87"/>
      <c r="N910" s="87"/>
      <c r="O910" s="87"/>
      <c r="P910" s="87"/>
      <c r="Q910" s="87"/>
      <c r="R910" s="87"/>
      <c r="S910" s="87"/>
      <c r="T910" s="87"/>
      <c r="U910" s="88"/>
      <c r="V910" s="89"/>
      <c r="W910" s="96">
        <v>0</v>
      </c>
      <c r="X910" s="71">
        <f>CU910</f>
        <v>0</v>
      </c>
      <c r="Y910" s="71">
        <f>CY910</f>
        <v>0</v>
      </c>
      <c r="Z910" s="71">
        <f>DA910+DC910+DE910</f>
        <v>0</v>
      </c>
      <c r="AA910" s="71">
        <f>CW910</f>
        <v>0</v>
      </c>
      <c r="AB910" s="71"/>
      <c r="AC910" s="71">
        <v>0</v>
      </c>
      <c r="AD910" s="71">
        <f>W910+X910+Y910+Z910+AA910+AB910+AC910</f>
        <v>0</v>
      </c>
      <c r="AE910" s="72">
        <v>0</v>
      </c>
      <c r="AF910" s="5"/>
      <c r="AG910" s="6"/>
      <c r="AH910" s="27" t="s">
        <v>3392</v>
      </c>
      <c r="AI910" s="44" t="s">
        <v>3393</v>
      </c>
      <c r="AJ910" s="26"/>
      <c r="AK910" s="5"/>
      <c r="AL910" s="82" t="s">
        <v>3615</v>
      </c>
      <c r="AM910" s="76"/>
      <c r="AN910" s="76"/>
      <c r="AO910" s="76"/>
      <c r="AP910" s="76"/>
      <c r="AQ910" s="76"/>
      <c r="AR910" s="76"/>
      <c r="AS910" s="76"/>
      <c r="AT910" s="76"/>
      <c r="AU910" s="76"/>
      <c r="AV910" s="76"/>
      <c r="AW910" s="76"/>
      <c r="AX910" s="76">
        <f>+AW910*600000</f>
        <v>0</v>
      </c>
      <c r="AY910" s="76"/>
      <c r="AZ910" s="76">
        <f>+AY910*70000</f>
        <v>0</v>
      </c>
      <c r="BA910" s="76"/>
      <c r="BB910" s="76"/>
      <c r="BC910" s="76"/>
      <c r="BD910" s="76">
        <f>+BC910*30000</f>
        <v>0</v>
      </c>
      <c r="BE910" s="76"/>
      <c r="BF910" s="76"/>
      <c r="BG910" s="76"/>
      <c r="BH910" s="76"/>
      <c r="BI910" s="76"/>
      <c r="BJ910" s="76"/>
      <c r="BK910" s="76"/>
      <c r="BL910" s="76">
        <f>+BK910*31500</f>
        <v>0</v>
      </c>
      <c r="BM910" s="76"/>
      <c r="BN910" s="76"/>
      <c r="BO910" s="76"/>
      <c r="BP910" s="76"/>
      <c r="BQ910" s="76"/>
      <c r="BR910" s="76"/>
      <c r="BS910" s="76"/>
      <c r="BT910" s="76"/>
      <c r="BU910" s="76"/>
      <c r="BV910" s="76"/>
      <c r="BW910" s="76"/>
      <c r="BX910" s="76"/>
      <c r="BY910" s="76"/>
      <c r="BZ910" s="76"/>
      <c r="CA910" s="76"/>
      <c r="CB910" s="76"/>
      <c r="CC910" s="76"/>
      <c r="CD910" s="76"/>
      <c r="CE910" s="76"/>
      <c r="CF910" s="76">
        <f>+CE910*28000</f>
        <v>0</v>
      </c>
      <c r="CG910" s="76"/>
      <c r="CH910" s="76">
        <f>+CG910*22500</f>
        <v>0</v>
      </c>
      <c r="CI910" s="76"/>
      <c r="CJ910" s="76">
        <f>+CI910*26000</f>
        <v>0</v>
      </c>
      <c r="CK910" s="76"/>
      <c r="CL910" s="76"/>
      <c r="CM910" s="76"/>
      <c r="CN910" s="76">
        <f>+CM910*22000</f>
        <v>0</v>
      </c>
      <c r="CO910" s="76"/>
      <c r="CP910" s="76">
        <f>+CO910*46000</f>
        <v>0</v>
      </c>
      <c r="CQ910" s="76"/>
      <c r="CR910" s="76">
        <f>+CQ910*49000</f>
        <v>0</v>
      </c>
      <c r="CS910" s="76"/>
      <c r="CT910" s="76"/>
      <c r="CU910" s="56">
        <f>AN910+AP910+AR910+AT910+AV910+AX910+AZ910+BB910+BD910+BF910+BH910+BJ910+BL910+BN910+BP910+BR910+BT910+BV910+BX910+BZ910+CB910+CD910+CF910+CH910+CJ910+CL910+CN910+CP910+CR910+CT910</f>
        <v>0</v>
      </c>
      <c r="CV910" s="76"/>
      <c r="CW910" s="76">
        <f>+CV910*1100</f>
        <v>0</v>
      </c>
      <c r="CX910" s="76"/>
      <c r="CY910" s="76">
        <f>+CX910*106250</f>
        <v>0</v>
      </c>
      <c r="CZ910" s="76"/>
      <c r="DA910" s="76">
        <f>+CZ910*34500</f>
        <v>0</v>
      </c>
      <c r="DB910" s="76"/>
      <c r="DC910" s="76">
        <f>+DB910*25000</f>
        <v>0</v>
      </c>
      <c r="DD910" s="219"/>
      <c r="DE910" s="219"/>
      <c r="DF910" s="166"/>
      <c r="DG910" s="116"/>
      <c r="DH910" s="117"/>
      <c r="DI910" s="24"/>
      <c r="DJ910" s="24"/>
      <c r="DK910" s="24"/>
      <c r="DL910" s="24"/>
      <c r="DM910" s="24"/>
      <c r="DN910" s="24"/>
      <c r="DO910" s="24"/>
      <c r="DP910" s="24"/>
      <c r="DQ910" s="24"/>
      <c r="DR910" s="24"/>
      <c r="DS910" s="24"/>
      <c r="DT910" s="24"/>
      <c r="DU910" s="24"/>
    </row>
    <row r="911" spans="1:125" s="8" customFormat="1" ht="96" x14ac:dyDescent="0.2">
      <c r="A911" s="77">
        <v>41327</v>
      </c>
      <c r="B911" s="78" t="s">
        <v>2778</v>
      </c>
      <c r="C911" s="75" t="s">
        <v>2212</v>
      </c>
      <c r="D911" s="81" t="s">
        <v>2846</v>
      </c>
      <c r="E911" s="75" t="str">
        <f>VLOOKUP(B911&amp;C911,Divipola!$C$2:$F$1138,4,FALSE)</f>
        <v>85250</v>
      </c>
      <c r="F911" s="87"/>
      <c r="G911" s="87"/>
      <c r="H911" s="87"/>
      <c r="I911" s="87"/>
      <c r="J911" s="87"/>
      <c r="K911" s="87"/>
      <c r="L911" s="87"/>
      <c r="M911" s="87"/>
      <c r="N911" s="87"/>
      <c r="O911" s="87"/>
      <c r="P911" s="87"/>
      <c r="Q911" s="87"/>
      <c r="R911" s="87"/>
      <c r="S911" s="87"/>
      <c r="T911" s="87"/>
      <c r="U911" s="88"/>
      <c r="V911" s="89"/>
      <c r="W911" s="96">
        <v>0</v>
      </c>
      <c r="X911" s="71">
        <f>CU911</f>
        <v>0</v>
      </c>
      <c r="Y911" s="71">
        <f>CY911</f>
        <v>0</v>
      </c>
      <c r="Z911" s="71">
        <f>DA911+DC911+DE911</f>
        <v>0</v>
      </c>
      <c r="AA911" s="71">
        <f>CW911</f>
        <v>0</v>
      </c>
      <c r="AB911" s="71"/>
      <c r="AC911" s="71">
        <v>0</v>
      </c>
      <c r="AD911" s="71">
        <f>W911+X911+Y911+Z911+AA911+AB911+AC911</f>
        <v>0</v>
      </c>
      <c r="AE911" s="72">
        <v>0</v>
      </c>
      <c r="AF911" s="5"/>
      <c r="AG911" s="6"/>
      <c r="AH911" s="27" t="s">
        <v>3392</v>
      </c>
      <c r="AI911" s="44" t="s">
        <v>3393</v>
      </c>
      <c r="AJ911" s="26"/>
      <c r="AK911" s="5"/>
      <c r="AL911" s="82" t="s">
        <v>3644</v>
      </c>
      <c r="AM911" s="76"/>
      <c r="AN911" s="76"/>
      <c r="AO911" s="76"/>
      <c r="AP911" s="76"/>
      <c r="AQ911" s="76"/>
      <c r="AR911" s="76"/>
      <c r="AS911" s="76"/>
      <c r="AT911" s="76"/>
      <c r="AU911" s="76"/>
      <c r="AV911" s="76"/>
      <c r="AW911" s="76"/>
      <c r="AX911" s="76">
        <f>+AW911*600000</f>
        <v>0</v>
      </c>
      <c r="AY911" s="76"/>
      <c r="AZ911" s="76">
        <f>+AY911*70000</f>
        <v>0</v>
      </c>
      <c r="BA911" s="76"/>
      <c r="BB911" s="76"/>
      <c r="BC911" s="76"/>
      <c r="BD911" s="76">
        <f>+BC911*30000</f>
        <v>0</v>
      </c>
      <c r="BE911" s="76"/>
      <c r="BF911" s="76"/>
      <c r="BG911" s="76"/>
      <c r="BH911" s="76"/>
      <c r="BI911" s="76"/>
      <c r="BJ911" s="76"/>
      <c r="BK911" s="76"/>
      <c r="BL911" s="76">
        <f>+BK911*31500</f>
        <v>0</v>
      </c>
      <c r="BM911" s="76"/>
      <c r="BN911" s="76"/>
      <c r="BO911" s="76"/>
      <c r="BP911" s="76"/>
      <c r="BQ911" s="76"/>
      <c r="BR911" s="76"/>
      <c r="BS911" s="76"/>
      <c r="BT911" s="76"/>
      <c r="BU911" s="76"/>
      <c r="BV911" s="76"/>
      <c r="BW911" s="76"/>
      <c r="BX911" s="76"/>
      <c r="BY911" s="76"/>
      <c r="BZ911" s="76"/>
      <c r="CA911" s="76"/>
      <c r="CB911" s="76"/>
      <c r="CC911" s="76"/>
      <c r="CD911" s="76"/>
      <c r="CE911" s="76"/>
      <c r="CF911" s="76">
        <f>+CE911*28000</f>
        <v>0</v>
      </c>
      <c r="CG911" s="76"/>
      <c r="CH911" s="76">
        <f>+CG911*22500</f>
        <v>0</v>
      </c>
      <c r="CI911" s="76"/>
      <c r="CJ911" s="76">
        <f>+CI911*26000</f>
        <v>0</v>
      </c>
      <c r="CK911" s="76"/>
      <c r="CL911" s="76"/>
      <c r="CM911" s="76"/>
      <c r="CN911" s="76">
        <f>+CM911*22000</f>
        <v>0</v>
      </c>
      <c r="CO911" s="76"/>
      <c r="CP911" s="76">
        <f>+CO911*46000</f>
        <v>0</v>
      </c>
      <c r="CQ911" s="76"/>
      <c r="CR911" s="76">
        <f>+CQ911*49000</f>
        <v>0</v>
      </c>
      <c r="CS911" s="76"/>
      <c r="CT911" s="76"/>
      <c r="CU911" s="56">
        <f>AN911+AP911+AR911+AT911+AV911+AX911+AZ911+BB911+BD911+BF911+BH911+BJ911+BL911+BN911+BP911+BR911+BT911+BV911+BX911+BZ911+CB911+CD911+CF911+CH911+CJ911+CL911+CN911+CP911+CR911+CT911</f>
        <v>0</v>
      </c>
      <c r="CV911" s="76"/>
      <c r="CW911" s="76">
        <f>+CV911*1100</f>
        <v>0</v>
      </c>
      <c r="CX911" s="76"/>
      <c r="CY911" s="76">
        <f>+CX911*106250</f>
        <v>0</v>
      </c>
      <c r="CZ911" s="76"/>
      <c r="DA911" s="76">
        <f>+CZ911*34500</f>
        <v>0</v>
      </c>
      <c r="DB911" s="76"/>
      <c r="DC911" s="76">
        <f>+DB911*25000</f>
        <v>0</v>
      </c>
      <c r="DD911" s="219"/>
      <c r="DE911" s="219"/>
      <c r="DF911" s="166"/>
      <c r="DG911" s="116"/>
      <c r="DH911" s="117"/>
      <c r="DI911" s="24"/>
      <c r="DJ911" s="24"/>
      <c r="DK911" s="24"/>
      <c r="DL911" s="24"/>
      <c r="DM911" s="24"/>
      <c r="DN911" s="24"/>
      <c r="DO911" s="24"/>
      <c r="DP911" s="24"/>
      <c r="DQ911" s="24"/>
      <c r="DR911" s="24"/>
      <c r="DS911" s="24"/>
      <c r="DT911" s="24"/>
      <c r="DU911" s="24"/>
    </row>
    <row r="912" spans="1:125" s="8" customFormat="1" ht="108" x14ac:dyDescent="0.2">
      <c r="A912" s="77">
        <v>41327</v>
      </c>
      <c r="B912" s="352" t="s">
        <v>2855</v>
      </c>
      <c r="C912" s="354" t="s">
        <v>909</v>
      </c>
      <c r="D912" s="81" t="s">
        <v>2846</v>
      </c>
      <c r="E912" s="75" t="str">
        <f>VLOOKUP(B912&amp;C912,Divipola!$C$2:$F$1138,4,FALSE)</f>
        <v>20238</v>
      </c>
      <c r="F912" s="87"/>
      <c r="G912" s="87"/>
      <c r="H912" s="87"/>
      <c r="I912" s="87"/>
      <c r="J912" s="87"/>
      <c r="K912" s="87"/>
      <c r="L912" s="87"/>
      <c r="M912" s="87"/>
      <c r="N912" s="87"/>
      <c r="O912" s="87"/>
      <c r="P912" s="87"/>
      <c r="Q912" s="87"/>
      <c r="R912" s="87"/>
      <c r="S912" s="87"/>
      <c r="T912" s="87"/>
      <c r="U912" s="88"/>
      <c r="V912" s="89"/>
      <c r="W912" s="96">
        <v>0</v>
      </c>
      <c r="X912" s="71">
        <f>CU912</f>
        <v>0</v>
      </c>
      <c r="Y912" s="71">
        <f>CY912</f>
        <v>0</v>
      </c>
      <c r="Z912" s="71">
        <f>DA912+DC912+DE912</f>
        <v>0</v>
      </c>
      <c r="AA912" s="71">
        <f>CW912</f>
        <v>0</v>
      </c>
      <c r="AB912" s="71"/>
      <c r="AC912" s="71">
        <v>0</v>
      </c>
      <c r="AD912" s="71">
        <f>W912+X912+Y912+Z912+AA912+AB912+AC912</f>
        <v>0</v>
      </c>
      <c r="AE912" s="72">
        <v>0</v>
      </c>
      <c r="AF912" s="5"/>
      <c r="AG912" s="6"/>
      <c r="AH912" s="27" t="s">
        <v>3392</v>
      </c>
      <c r="AI912" s="44" t="s">
        <v>3393</v>
      </c>
      <c r="AJ912" s="26"/>
      <c r="AK912" s="5"/>
      <c r="AL912" s="82" t="s">
        <v>3603</v>
      </c>
      <c r="AM912" s="76"/>
      <c r="AN912" s="76"/>
      <c r="AO912" s="76"/>
      <c r="AP912" s="76"/>
      <c r="AQ912" s="76"/>
      <c r="AR912" s="76"/>
      <c r="AS912" s="76"/>
      <c r="AT912" s="76"/>
      <c r="AU912" s="76"/>
      <c r="AV912" s="76"/>
      <c r="AW912" s="76"/>
      <c r="AX912" s="76">
        <f>+AW912*600000</f>
        <v>0</v>
      </c>
      <c r="AY912" s="76"/>
      <c r="AZ912" s="76">
        <f>+AY912*70000</f>
        <v>0</v>
      </c>
      <c r="BA912" s="76"/>
      <c r="BB912" s="76"/>
      <c r="BC912" s="76"/>
      <c r="BD912" s="76">
        <f>+BC912*30000</f>
        <v>0</v>
      </c>
      <c r="BE912" s="76"/>
      <c r="BF912" s="76"/>
      <c r="BG912" s="76"/>
      <c r="BH912" s="76"/>
      <c r="BI912" s="76"/>
      <c r="BJ912" s="76"/>
      <c r="BK912" s="76"/>
      <c r="BL912" s="76">
        <f>+BK912*31500</f>
        <v>0</v>
      </c>
      <c r="BM912" s="76"/>
      <c r="BN912" s="76"/>
      <c r="BO912" s="76"/>
      <c r="BP912" s="76"/>
      <c r="BQ912" s="76"/>
      <c r="BR912" s="76"/>
      <c r="BS912" s="76"/>
      <c r="BT912" s="76"/>
      <c r="BU912" s="76"/>
      <c r="BV912" s="76"/>
      <c r="BW912" s="76"/>
      <c r="BX912" s="76"/>
      <c r="BY912" s="76"/>
      <c r="BZ912" s="76"/>
      <c r="CA912" s="76"/>
      <c r="CB912" s="76"/>
      <c r="CC912" s="76"/>
      <c r="CD912" s="76"/>
      <c r="CE912" s="76"/>
      <c r="CF912" s="76">
        <f>+CE912*28000</f>
        <v>0</v>
      </c>
      <c r="CG912" s="76"/>
      <c r="CH912" s="76">
        <f>+CG912*22500</f>
        <v>0</v>
      </c>
      <c r="CI912" s="76"/>
      <c r="CJ912" s="76">
        <f>+CI912*26000</f>
        <v>0</v>
      </c>
      <c r="CK912" s="76"/>
      <c r="CL912" s="76"/>
      <c r="CM912" s="76"/>
      <c r="CN912" s="76">
        <f>+CM912*22000</f>
        <v>0</v>
      </c>
      <c r="CO912" s="76"/>
      <c r="CP912" s="76">
        <f>+CO912*46000</f>
        <v>0</v>
      </c>
      <c r="CQ912" s="76"/>
      <c r="CR912" s="76">
        <f>+CQ912*49000</f>
        <v>0</v>
      </c>
      <c r="CS912" s="76"/>
      <c r="CT912" s="76"/>
      <c r="CU912" s="56">
        <f>AN912+AP912+AR912+AT912+AV912+AX912+AZ912+BB912+BD912+BF912+BH912+BJ912+BL912+BN912+BP912+BR912+BT912+BV912+BX912+BZ912+CB912+CD912+CF912+CH912+CJ912+CL912+CN912+CP912+CR912+CT912</f>
        <v>0</v>
      </c>
      <c r="CV912" s="76"/>
      <c r="CW912" s="76">
        <f>+CV912*1100</f>
        <v>0</v>
      </c>
      <c r="CX912" s="76"/>
      <c r="CY912" s="76">
        <f>+CX912*106250</f>
        <v>0</v>
      </c>
      <c r="CZ912" s="76"/>
      <c r="DA912" s="76">
        <f>+CZ912*34500</f>
        <v>0</v>
      </c>
      <c r="DB912" s="76"/>
      <c r="DC912" s="76">
        <f>+DB912*25000</f>
        <v>0</v>
      </c>
      <c r="DD912" s="219"/>
      <c r="DE912" s="219"/>
      <c r="DF912" s="166"/>
      <c r="DG912" s="116"/>
      <c r="DH912" s="117"/>
      <c r="DI912" s="24"/>
      <c r="DJ912" s="24"/>
      <c r="DK912" s="24"/>
      <c r="DL912" s="24"/>
      <c r="DM912" s="24"/>
      <c r="DN912" s="24"/>
      <c r="DO912" s="24"/>
      <c r="DP912" s="24"/>
      <c r="DQ912" s="24"/>
      <c r="DR912" s="24"/>
      <c r="DS912" s="24"/>
      <c r="DT912" s="24"/>
      <c r="DU912" s="24"/>
    </row>
    <row r="913" spans="1:125" s="8" customFormat="1" ht="72" x14ac:dyDescent="0.2">
      <c r="A913" s="77">
        <v>41327</v>
      </c>
      <c r="B913" s="78" t="s">
        <v>2906</v>
      </c>
      <c r="C913" s="75" t="s">
        <v>2739</v>
      </c>
      <c r="D913" s="81" t="s">
        <v>2846</v>
      </c>
      <c r="E913" s="75" t="str">
        <f>VLOOKUP(B913&amp;C913,Divipola!$C$2:$F$1138,4,FALSE)</f>
        <v>47001</v>
      </c>
      <c r="F913" s="87"/>
      <c r="G913" s="87"/>
      <c r="H913" s="87"/>
      <c r="I913" s="87"/>
      <c r="J913" s="87"/>
      <c r="K913" s="87"/>
      <c r="L913" s="87"/>
      <c r="M913" s="87"/>
      <c r="N913" s="87"/>
      <c r="O913" s="87"/>
      <c r="P913" s="87"/>
      <c r="Q913" s="87"/>
      <c r="R913" s="87"/>
      <c r="S913" s="87"/>
      <c r="T913" s="87"/>
      <c r="U913" s="88"/>
      <c r="V913" s="89">
        <v>2</v>
      </c>
      <c r="W913" s="96">
        <v>0</v>
      </c>
      <c r="X913" s="71">
        <f>CU913</f>
        <v>0</v>
      </c>
      <c r="Y913" s="71">
        <f>CY913</f>
        <v>0</v>
      </c>
      <c r="Z913" s="71">
        <f>DA913+DC913+DE913</f>
        <v>0</v>
      </c>
      <c r="AA913" s="71">
        <f>CW913</f>
        <v>0</v>
      </c>
      <c r="AB913" s="71"/>
      <c r="AC913" s="71">
        <v>0</v>
      </c>
      <c r="AD913" s="71">
        <f>W913+X913+Y913+Z913+AA913+AB913+AC913</f>
        <v>0</v>
      </c>
      <c r="AE913" s="72">
        <v>0</v>
      </c>
      <c r="AF913" s="5"/>
      <c r="AG913" s="6"/>
      <c r="AH913" s="27" t="s">
        <v>3392</v>
      </c>
      <c r="AI913" s="44" t="s">
        <v>3393</v>
      </c>
      <c r="AJ913" s="26"/>
      <c r="AK913" s="5"/>
      <c r="AL913" s="82" t="s">
        <v>3597</v>
      </c>
      <c r="AM913" s="76"/>
      <c r="AN913" s="76"/>
      <c r="AO913" s="76"/>
      <c r="AP913" s="76"/>
      <c r="AQ913" s="76"/>
      <c r="AR913" s="76"/>
      <c r="AS913" s="76"/>
      <c r="AT913" s="76"/>
      <c r="AU913" s="76"/>
      <c r="AV913" s="76"/>
      <c r="AW913" s="76"/>
      <c r="AX913" s="76">
        <f>+AW913*600000</f>
        <v>0</v>
      </c>
      <c r="AY913" s="76"/>
      <c r="AZ913" s="76">
        <f>+AY913*70000</f>
        <v>0</v>
      </c>
      <c r="BA913" s="76"/>
      <c r="BB913" s="76"/>
      <c r="BC913" s="76"/>
      <c r="BD913" s="76">
        <f>+BC913*30000</f>
        <v>0</v>
      </c>
      <c r="BE913" s="76"/>
      <c r="BF913" s="76"/>
      <c r="BG913" s="76"/>
      <c r="BH913" s="76"/>
      <c r="BI913" s="76"/>
      <c r="BJ913" s="76"/>
      <c r="BK913" s="76"/>
      <c r="BL913" s="76">
        <f>+BK913*31500</f>
        <v>0</v>
      </c>
      <c r="BM913" s="76"/>
      <c r="BN913" s="76"/>
      <c r="BO913" s="76"/>
      <c r="BP913" s="76"/>
      <c r="BQ913" s="76"/>
      <c r="BR913" s="76"/>
      <c r="BS913" s="76"/>
      <c r="BT913" s="76"/>
      <c r="BU913" s="76"/>
      <c r="BV913" s="76"/>
      <c r="BW913" s="76"/>
      <c r="BX913" s="76"/>
      <c r="BY913" s="76"/>
      <c r="BZ913" s="76"/>
      <c r="CA913" s="76"/>
      <c r="CB913" s="76"/>
      <c r="CC913" s="76"/>
      <c r="CD913" s="76"/>
      <c r="CE913" s="76"/>
      <c r="CF913" s="76">
        <f>+CE913*28000</f>
        <v>0</v>
      </c>
      <c r="CG913" s="76"/>
      <c r="CH913" s="76">
        <f>+CG913*22500</f>
        <v>0</v>
      </c>
      <c r="CI913" s="76"/>
      <c r="CJ913" s="76">
        <f>+CI913*26000</f>
        <v>0</v>
      </c>
      <c r="CK913" s="76"/>
      <c r="CL913" s="76"/>
      <c r="CM913" s="76"/>
      <c r="CN913" s="76">
        <f>+CM913*22000</f>
        <v>0</v>
      </c>
      <c r="CO913" s="76"/>
      <c r="CP913" s="76">
        <f>+CO913*46000</f>
        <v>0</v>
      </c>
      <c r="CQ913" s="76"/>
      <c r="CR913" s="76">
        <f>+CQ913*49000</f>
        <v>0</v>
      </c>
      <c r="CS913" s="76"/>
      <c r="CT913" s="76"/>
      <c r="CU913" s="56">
        <f>AN913+AP913+AR913+AT913+AV913+AX913+AZ913+BB913+BD913+BF913+BH913+BJ913+BL913+BN913+BP913+BR913+BT913+BV913+BX913+BZ913+CB913+CD913+CF913+CH913+CJ913+CL913+CN913+CP913+CR913+CT913</f>
        <v>0</v>
      </c>
      <c r="CV913" s="76"/>
      <c r="CW913" s="76">
        <f>+CV913*1100</f>
        <v>0</v>
      </c>
      <c r="CX913" s="76"/>
      <c r="CY913" s="76">
        <f>+CX913*106250</f>
        <v>0</v>
      </c>
      <c r="CZ913" s="76"/>
      <c r="DA913" s="76">
        <f>+CZ913*34500</f>
        <v>0</v>
      </c>
      <c r="DB913" s="76"/>
      <c r="DC913" s="76">
        <f>+DB913*25000</f>
        <v>0</v>
      </c>
      <c r="DD913" s="219"/>
      <c r="DE913" s="219"/>
      <c r="DF913" s="166"/>
      <c r="DG913" s="116"/>
      <c r="DH913" s="117"/>
      <c r="DI913" s="24"/>
      <c r="DJ913" s="24"/>
      <c r="DK913" s="24"/>
      <c r="DL913" s="24"/>
      <c r="DM913" s="24"/>
      <c r="DN913" s="24"/>
      <c r="DO913" s="24"/>
      <c r="DP913" s="24"/>
      <c r="DQ913" s="24"/>
      <c r="DR913" s="24"/>
      <c r="DS913" s="24"/>
      <c r="DT913" s="24"/>
      <c r="DU913" s="24"/>
    </row>
    <row r="914" spans="1:125" s="8" customFormat="1" ht="84" x14ac:dyDescent="0.2">
      <c r="A914" s="77">
        <v>41327</v>
      </c>
      <c r="B914" s="225" t="s">
        <v>1326</v>
      </c>
      <c r="C914" s="227" t="s">
        <v>1804</v>
      </c>
      <c r="D914" s="81" t="s">
        <v>2846</v>
      </c>
      <c r="E914" s="75" t="str">
        <f>VLOOKUP(B914&amp;C914,Divipola!$C$2:$F$1138,4,FALSE)</f>
        <v>70215</v>
      </c>
      <c r="F914" s="87"/>
      <c r="G914" s="87"/>
      <c r="H914" s="87"/>
      <c r="I914" s="87"/>
      <c r="J914" s="87"/>
      <c r="K914" s="87"/>
      <c r="L914" s="87"/>
      <c r="M914" s="87"/>
      <c r="N914" s="87"/>
      <c r="O914" s="87"/>
      <c r="P914" s="87"/>
      <c r="Q914" s="87"/>
      <c r="R914" s="87"/>
      <c r="S914" s="87"/>
      <c r="T914" s="87"/>
      <c r="U914" s="88"/>
      <c r="V914" s="89">
        <v>10</v>
      </c>
      <c r="W914" s="96">
        <v>0</v>
      </c>
      <c r="X914" s="71">
        <f>CU914</f>
        <v>0</v>
      </c>
      <c r="Y914" s="71">
        <f>CY914</f>
        <v>0</v>
      </c>
      <c r="Z914" s="71">
        <f>DA914+DC914+DE914</f>
        <v>0</v>
      </c>
      <c r="AA914" s="71">
        <f>CW914</f>
        <v>0</v>
      </c>
      <c r="AB914" s="71"/>
      <c r="AC914" s="71">
        <v>0</v>
      </c>
      <c r="AD914" s="71">
        <f>W914+X914+Y914+Z914+AA914+AB914+AC914</f>
        <v>0</v>
      </c>
      <c r="AE914" s="72">
        <v>0</v>
      </c>
      <c r="AF914" s="5"/>
      <c r="AG914" s="6"/>
      <c r="AH914" s="27" t="s">
        <v>3392</v>
      </c>
      <c r="AI914" s="44" t="s">
        <v>3393</v>
      </c>
      <c r="AJ914" s="26"/>
      <c r="AK914" s="5"/>
      <c r="AL914" s="82" t="s">
        <v>3598</v>
      </c>
      <c r="AM914" s="76"/>
      <c r="AN914" s="76"/>
      <c r="AO914" s="76"/>
      <c r="AP914" s="76"/>
      <c r="AQ914" s="76"/>
      <c r="AR914" s="76"/>
      <c r="AS914" s="76"/>
      <c r="AT914" s="76"/>
      <c r="AU914" s="76"/>
      <c r="AV914" s="76"/>
      <c r="AW914" s="76"/>
      <c r="AX914" s="76">
        <f>+AW914*600000</f>
        <v>0</v>
      </c>
      <c r="AY914" s="76"/>
      <c r="AZ914" s="76">
        <f>+AY914*70000</f>
        <v>0</v>
      </c>
      <c r="BA914" s="76"/>
      <c r="BB914" s="76"/>
      <c r="BC914" s="76"/>
      <c r="BD914" s="76">
        <f>+BC914*30000</f>
        <v>0</v>
      </c>
      <c r="BE914" s="76"/>
      <c r="BF914" s="76"/>
      <c r="BG914" s="76"/>
      <c r="BH914" s="76"/>
      <c r="BI914" s="76"/>
      <c r="BJ914" s="76"/>
      <c r="BK914" s="76"/>
      <c r="BL914" s="76">
        <f>+BK914*31500</f>
        <v>0</v>
      </c>
      <c r="BM914" s="76"/>
      <c r="BN914" s="76"/>
      <c r="BO914" s="76"/>
      <c r="BP914" s="76"/>
      <c r="BQ914" s="76"/>
      <c r="BR914" s="76"/>
      <c r="BS914" s="76"/>
      <c r="BT914" s="76"/>
      <c r="BU914" s="76"/>
      <c r="BV914" s="76"/>
      <c r="BW914" s="76"/>
      <c r="BX914" s="76"/>
      <c r="BY914" s="76"/>
      <c r="BZ914" s="76"/>
      <c r="CA914" s="76"/>
      <c r="CB914" s="76"/>
      <c r="CC914" s="76"/>
      <c r="CD914" s="76"/>
      <c r="CE914" s="76"/>
      <c r="CF914" s="76">
        <f>+CE914*28000</f>
        <v>0</v>
      </c>
      <c r="CG914" s="76"/>
      <c r="CH914" s="76">
        <f>+CG914*22500</f>
        <v>0</v>
      </c>
      <c r="CI914" s="76"/>
      <c r="CJ914" s="76">
        <f>+CI914*26000</f>
        <v>0</v>
      </c>
      <c r="CK914" s="76"/>
      <c r="CL914" s="76"/>
      <c r="CM914" s="76"/>
      <c r="CN914" s="76">
        <f>+CM914*22000</f>
        <v>0</v>
      </c>
      <c r="CO914" s="76"/>
      <c r="CP914" s="76">
        <f>+CO914*46000</f>
        <v>0</v>
      </c>
      <c r="CQ914" s="76"/>
      <c r="CR914" s="76">
        <f>+CQ914*49000</f>
        <v>0</v>
      </c>
      <c r="CS914" s="76"/>
      <c r="CT914" s="76"/>
      <c r="CU914" s="56">
        <f>AN914+AP914+AR914+AT914+AV914+AX914+AZ914+BB914+BD914+BF914+BH914+BJ914+BL914+BN914+BP914+BR914+BT914+BV914+BX914+BZ914+CB914+CD914+CF914+CH914+CJ914+CL914+CN914+CP914+CR914+CT914</f>
        <v>0</v>
      </c>
      <c r="CV914" s="76"/>
      <c r="CW914" s="76">
        <f>+CV914*1100</f>
        <v>0</v>
      </c>
      <c r="CX914" s="76"/>
      <c r="CY914" s="76">
        <f>+CX914*106250</f>
        <v>0</v>
      </c>
      <c r="CZ914" s="76"/>
      <c r="DA914" s="76">
        <f>+CZ914*34500</f>
        <v>0</v>
      </c>
      <c r="DB914" s="76"/>
      <c r="DC914" s="76">
        <f>+DB914*25000</f>
        <v>0</v>
      </c>
      <c r="DD914" s="219"/>
      <c r="DE914" s="219"/>
      <c r="DF914" s="166"/>
      <c r="DG914" s="116"/>
      <c r="DH914" s="117"/>
      <c r="DI914" s="24"/>
      <c r="DJ914" s="24"/>
      <c r="DK914" s="24"/>
      <c r="DL914" s="24"/>
      <c r="DM914" s="24"/>
      <c r="DN914" s="24"/>
      <c r="DO914" s="24"/>
      <c r="DP914" s="24"/>
      <c r="DQ914" s="24"/>
      <c r="DR914" s="24"/>
      <c r="DS914" s="24"/>
      <c r="DT914" s="24"/>
      <c r="DU914" s="24"/>
    </row>
    <row r="915" spans="1:125" s="8" customFormat="1" ht="84" x14ac:dyDescent="0.2">
      <c r="A915" s="77">
        <v>41327</v>
      </c>
      <c r="B915" s="78" t="s">
        <v>2848</v>
      </c>
      <c r="C915" s="75" t="s">
        <v>1891</v>
      </c>
      <c r="D915" s="75" t="s">
        <v>3051</v>
      </c>
      <c r="E915" s="75" t="str">
        <f>VLOOKUP(B915&amp;C915,Divipola!$C$2:$F$1138,4,FALSE)</f>
        <v>73461</v>
      </c>
      <c r="F915" s="163"/>
      <c r="G915" s="163"/>
      <c r="H915" s="163"/>
      <c r="I915" s="163">
        <f>48*5</f>
        <v>240</v>
      </c>
      <c r="J915" s="163">
        <v>48</v>
      </c>
      <c r="K915" s="163"/>
      <c r="L915" s="163">
        <v>48</v>
      </c>
      <c r="M915" s="163"/>
      <c r="N915" s="163"/>
      <c r="O915" s="163"/>
      <c r="P915" s="163"/>
      <c r="Q915" s="163"/>
      <c r="R915" s="163"/>
      <c r="S915" s="163"/>
      <c r="T915" s="163"/>
      <c r="U915" s="163">
        <v>21</v>
      </c>
      <c r="V915" s="134"/>
      <c r="W915" s="96">
        <v>0</v>
      </c>
      <c r="X915" s="71">
        <f>CU915</f>
        <v>0</v>
      </c>
      <c r="Y915" s="71">
        <f>CY915</f>
        <v>0</v>
      </c>
      <c r="Z915" s="71">
        <f>DA915+DC915+DE915</f>
        <v>0</v>
      </c>
      <c r="AA915" s="71">
        <f>CW915</f>
        <v>0</v>
      </c>
      <c r="AB915" s="71"/>
      <c r="AC915" s="71">
        <v>0</v>
      </c>
      <c r="AD915" s="71">
        <f>W915+X915+Y915+Z915+AA915+AB915+AC915</f>
        <v>0</v>
      </c>
      <c r="AE915" s="72">
        <v>0</v>
      </c>
      <c r="AF915" s="5"/>
      <c r="AG915" s="6"/>
      <c r="AH915" s="27" t="s">
        <v>3392</v>
      </c>
      <c r="AI915" s="44" t="s">
        <v>3393</v>
      </c>
      <c r="AJ915" s="26"/>
      <c r="AK915" s="5"/>
      <c r="AL915" s="82" t="s">
        <v>3838</v>
      </c>
      <c r="AM915" s="76"/>
      <c r="AN915" s="76"/>
      <c r="AO915" s="76"/>
      <c r="AP915" s="76"/>
      <c r="AQ915" s="76"/>
      <c r="AR915" s="76"/>
      <c r="AS915" s="76"/>
      <c r="AT915" s="76"/>
      <c r="AU915" s="76"/>
      <c r="AV915" s="76"/>
      <c r="AW915" s="76"/>
      <c r="AX915" s="76">
        <f>+AW915*600000</f>
        <v>0</v>
      </c>
      <c r="AY915" s="76"/>
      <c r="AZ915" s="76">
        <f>+AY915*70000</f>
        <v>0</v>
      </c>
      <c r="BA915" s="76"/>
      <c r="BB915" s="76"/>
      <c r="BC915" s="76"/>
      <c r="BD915" s="76">
        <f>+BC915*30000</f>
        <v>0</v>
      </c>
      <c r="BE915" s="76"/>
      <c r="BF915" s="76"/>
      <c r="BG915" s="76"/>
      <c r="BH915" s="76"/>
      <c r="BI915" s="76"/>
      <c r="BJ915" s="76"/>
      <c r="BK915" s="76"/>
      <c r="BL915" s="76">
        <f>+BK915*31500</f>
        <v>0</v>
      </c>
      <c r="BM915" s="76"/>
      <c r="BN915" s="76"/>
      <c r="BO915" s="76"/>
      <c r="BP915" s="76"/>
      <c r="BQ915" s="76"/>
      <c r="BR915" s="76"/>
      <c r="BS915" s="76"/>
      <c r="BT915" s="76"/>
      <c r="BU915" s="76"/>
      <c r="BV915" s="76"/>
      <c r="BW915" s="76"/>
      <c r="BX915" s="76"/>
      <c r="BY915" s="76"/>
      <c r="BZ915" s="76"/>
      <c r="CA915" s="76"/>
      <c r="CB915" s="76"/>
      <c r="CC915" s="76"/>
      <c r="CD915" s="76"/>
      <c r="CE915" s="76"/>
      <c r="CF915" s="76">
        <f>+CE915*28000</f>
        <v>0</v>
      </c>
      <c r="CG915" s="76"/>
      <c r="CH915" s="76">
        <f>+CG915*22500</f>
        <v>0</v>
      </c>
      <c r="CI915" s="76"/>
      <c r="CJ915" s="76">
        <f>+CI915*26000</f>
        <v>0</v>
      </c>
      <c r="CK915" s="76"/>
      <c r="CL915" s="76"/>
      <c r="CM915" s="76"/>
      <c r="CN915" s="76">
        <f>+CM915*22000</f>
        <v>0</v>
      </c>
      <c r="CO915" s="76"/>
      <c r="CP915" s="76">
        <f>+CO915*46000</f>
        <v>0</v>
      </c>
      <c r="CQ915" s="76"/>
      <c r="CR915" s="76">
        <f>+CQ915*49000</f>
        <v>0</v>
      </c>
      <c r="CS915" s="76"/>
      <c r="CT915" s="76"/>
      <c r="CU915" s="56">
        <f>AN915+AP915+AR915+AT915+AV915+AX915+AZ915+BB915+BD915+BF915+BH915+BJ915+BL915+BN915+BP915+BR915+BT915+BV915+BX915+BZ915+CB915+CD915+CF915+CH915+CJ915+CL915+CN915+CP915+CR915+CT915</f>
        <v>0</v>
      </c>
      <c r="CV915" s="76"/>
      <c r="CW915" s="76">
        <f>+CV915*1100</f>
        <v>0</v>
      </c>
      <c r="CX915" s="76"/>
      <c r="CY915" s="76">
        <f>+CX915*106250</f>
        <v>0</v>
      </c>
      <c r="CZ915" s="76"/>
      <c r="DA915" s="76">
        <f>+CZ915*34500</f>
        <v>0</v>
      </c>
      <c r="DB915" s="76"/>
      <c r="DC915" s="76">
        <f>+DB915*25000</f>
        <v>0</v>
      </c>
      <c r="DD915" s="219"/>
      <c r="DE915" s="219"/>
      <c r="DF915" s="166"/>
      <c r="DG915" s="116"/>
      <c r="DH915" s="117"/>
      <c r="DI915" s="24"/>
      <c r="DJ915" s="24"/>
      <c r="DK915" s="24"/>
      <c r="DL915" s="24"/>
      <c r="DM915" s="24"/>
      <c r="DN915" s="24"/>
      <c r="DO915" s="24"/>
      <c r="DP915" s="24"/>
      <c r="DQ915" s="24"/>
      <c r="DR915" s="24"/>
      <c r="DS915" s="24"/>
      <c r="DT915" s="24"/>
      <c r="DU915" s="24"/>
    </row>
    <row r="916" spans="1:125" s="8" customFormat="1" ht="36" x14ac:dyDescent="0.2">
      <c r="A916" s="77">
        <v>41328</v>
      </c>
      <c r="B916" s="78" t="s">
        <v>2700</v>
      </c>
      <c r="C916" s="75" t="s">
        <v>648</v>
      </c>
      <c r="D916" s="81" t="s">
        <v>2846</v>
      </c>
      <c r="E916" s="75" t="str">
        <f>VLOOKUP(B916&amp;C916,Divipola!$C$2:$F$1138,4,FALSE)</f>
        <v>15693</v>
      </c>
      <c r="F916" s="87"/>
      <c r="G916" s="87"/>
      <c r="H916" s="87"/>
      <c r="I916" s="87"/>
      <c r="J916" s="87"/>
      <c r="K916" s="87"/>
      <c r="L916" s="87"/>
      <c r="M916" s="87"/>
      <c r="N916" s="87"/>
      <c r="O916" s="87"/>
      <c r="P916" s="87"/>
      <c r="Q916" s="87"/>
      <c r="R916" s="87"/>
      <c r="S916" s="87"/>
      <c r="T916" s="87"/>
      <c r="U916" s="88">
        <v>8</v>
      </c>
      <c r="V916" s="89"/>
      <c r="W916" s="96">
        <v>0</v>
      </c>
      <c r="X916" s="71">
        <f>CU916</f>
        <v>0</v>
      </c>
      <c r="Y916" s="71">
        <f>CY916</f>
        <v>0</v>
      </c>
      <c r="Z916" s="71">
        <f>DA916+DC916+DE916</f>
        <v>0</v>
      </c>
      <c r="AA916" s="71">
        <f>CW916</f>
        <v>0</v>
      </c>
      <c r="AB916" s="71"/>
      <c r="AC916" s="71">
        <v>0</v>
      </c>
      <c r="AD916" s="71">
        <f>W916+X916+Y916+Z916+AA916+AB916+AC916</f>
        <v>0</v>
      </c>
      <c r="AE916" s="72">
        <v>0</v>
      </c>
      <c r="AF916" s="5"/>
      <c r="AG916" s="6"/>
      <c r="AH916" s="27" t="s">
        <v>3392</v>
      </c>
      <c r="AI916" s="44" t="s">
        <v>3393</v>
      </c>
      <c r="AJ916" s="26"/>
      <c r="AK916" s="5"/>
      <c r="AL916" s="82" t="s">
        <v>3599</v>
      </c>
      <c r="AM916" s="76"/>
      <c r="AN916" s="76"/>
      <c r="AO916" s="76"/>
      <c r="AP916" s="76"/>
      <c r="AQ916" s="76"/>
      <c r="AR916" s="76"/>
      <c r="AS916" s="76"/>
      <c r="AT916" s="76"/>
      <c r="AU916" s="76"/>
      <c r="AV916" s="76"/>
      <c r="AW916" s="76"/>
      <c r="AX916" s="76">
        <f>+AW916*600000</f>
        <v>0</v>
      </c>
      <c r="AY916" s="76"/>
      <c r="AZ916" s="76">
        <f>+AY916*70000</f>
        <v>0</v>
      </c>
      <c r="BA916" s="76"/>
      <c r="BB916" s="76"/>
      <c r="BC916" s="76"/>
      <c r="BD916" s="76">
        <f>+BC916*30000</f>
        <v>0</v>
      </c>
      <c r="BE916" s="76"/>
      <c r="BF916" s="76"/>
      <c r="BG916" s="76"/>
      <c r="BH916" s="76"/>
      <c r="BI916" s="76"/>
      <c r="BJ916" s="76"/>
      <c r="BK916" s="76"/>
      <c r="BL916" s="76">
        <f>+BK916*31500</f>
        <v>0</v>
      </c>
      <c r="BM916" s="76"/>
      <c r="BN916" s="76"/>
      <c r="BO916" s="76"/>
      <c r="BP916" s="76"/>
      <c r="BQ916" s="76"/>
      <c r="BR916" s="76"/>
      <c r="BS916" s="76"/>
      <c r="BT916" s="76"/>
      <c r="BU916" s="76"/>
      <c r="BV916" s="76"/>
      <c r="BW916" s="76"/>
      <c r="BX916" s="76"/>
      <c r="BY916" s="76"/>
      <c r="BZ916" s="76"/>
      <c r="CA916" s="76"/>
      <c r="CB916" s="76"/>
      <c r="CC916" s="76"/>
      <c r="CD916" s="76"/>
      <c r="CE916" s="76"/>
      <c r="CF916" s="76">
        <f>+CE916*28000</f>
        <v>0</v>
      </c>
      <c r="CG916" s="76"/>
      <c r="CH916" s="76">
        <f>+CG916*22500</f>
        <v>0</v>
      </c>
      <c r="CI916" s="76"/>
      <c r="CJ916" s="76">
        <f>+CI916*26000</f>
        <v>0</v>
      </c>
      <c r="CK916" s="76"/>
      <c r="CL916" s="76"/>
      <c r="CM916" s="76"/>
      <c r="CN916" s="76">
        <f>+CM916*22000</f>
        <v>0</v>
      </c>
      <c r="CO916" s="76"/>
      <c r="CP916" s="76">
        <f>+CO916*46000</f>
        <v>0</v>
      </c>
      <c r="CQ916" s="76"/>
      <c r="CR916" s="76">
        <f>+CQ916*49000</f>
        <v>0</v>
      </c>
      <c r="CS916" s="76"/>
      <c r="CT916" s="76"/>
      <c r="CU916" s="56">
        <f>AN916+AP916+AR916+AT916+AV916+AX916+AZ916+BB916+BD916+BF916+BH916+BJ916+BL916+BN916+BP916+BR916+BT916+BV916+BX916+BZ916+CB916+CD916+CF916+CH916+CJ916+CL916+CN916+CP916+CR916+CT916</f>
        <v>0</v>
      </c>
      <c r="CV916" s="76"/>
      <c r="CW916" s="76">
        <f>+CV916*1100</f>
        <v>0</v>
      </c>
      <c r="CX916" s="76"/>
      <c r="CY916" s="76">
        <f>+CX916*106250</f>
        <v>0</v>
      </c>
      <c r="CZ916" s="76"/>
      <c r="DA916" s="76">
        <f>+CZ916*34500</f>
        <v>0</v>
      </c>
      <c r="DB916" s="76"/>
      <c r="DC916" s="76">
        <f>+DB916*25000</f>
        <v>0</v>
      </c>
      <c r="DD916" s="219"/>
      <c r="DE916" s="219"/>
      <c r="DF916" s="166"/>
      <c r="DG916" s="116"/>
      <c r="DH916" s="117"/>
      <c r="DI916" s="24"/>
      <c r="DJ916" s="24"/>
      <c r="DK916" s="24"/>
      <c r="DL916" s="24"/>
      <c r="DM916" s="24"/>
      <c r="DN916" s="24"/>
      <c r="DO916" s="24"/>
      <c r="DP916" s="24"/>
      <c r="DQ916" s="24"/>
      <c r="DR916" s="24"/>
      <c r="DS916" s="24"/>
      <c r="DT916" s="24"/>
      <c r="DU916" s="24"/>
    </row>
    <row r="917" spans="1:125" s="8" customFormat="1" ht="36" x14ac:dyDescent="0.2">
      <c r="A917" s="77">
        <v>41328</v>
      </c>
      <c r="B917" s="78" t="s">
        <v>2778</v>
      </c>
      <c r="C917" s="75" t="s">
        <v>2194</v>
      </c>
      <c r="D917" s="81" t="s">
        <v>2846</v>
      </c>
      <c r="E917" s="75" t="str">
        <f>VLOOKUP(B917&amp;C917,Divipola!$C$2:$F$1138,4,FALSE)</f>
        <v>85010</v>
      </c>
      <c r="F917" s="87"/>
      <c r="G917" s="87"/>
      <c r="H917" s="87"/>
      <c r="I917" s="87"/>
      <c r="J917" s="87"/>
      <c r="K917" s="87"/>
      <c r="L917" s="87"/>
      <c r="M917" s="87"/>
      <c r="N917" s="87"/>
      <c r="O917" s="87"/>
      <c r="P917" s="87"/>
      <c r="Q917" s="87"/>
      <c r="R917" s="87"/>
      <c r="S917" s="87"/>
      <c r="T917" s="87"/>
      <c r="U917" s="88">
        <v>140</v>
      </c>
      <c r="V917" s="89"/>
      <c r="W917" s="96">
        <v>0</v>
      </c>
      <c r="X917" s="71">
        <f>CU917</f>
        <v>0</v>
      </c>
      <c r="Y917" s="71">
        <f>CY917</f>
        <v>0</v>
      </c>
      <c r="Z917" s="71">
        <f>DA917+DC917+DE917</f>
        <v>0</v>
      </c>
      <c r="AA917" s="71">
        <f>CW917</f>
        <v>0</v>
      </c>
      <c r="AB917" s="71"/>
      <c r="AC917" s="71">
        <v>0</v>
      </c>
      <c r="AD917" s="71">
        <f>W917+X917+Y917+Z917+AA917+AB917+AC917</f>
        <v>0</v>
      </c>
      <c r="AE917" s="72">
        <v>0</v>
      </c>
      <c r="AF917" s="5"/>
      <c r="AG917" s="6"/>
      <c r="AH917" s="27" t="s">
        <v>3392</v>
      </c>
      <c r="AI917" s="44" t="s">
        <v>3393</v>
      </c>
      <c r="AJ917" s="26"/>
      <c r="AK917" s="5"/>
      <c r="AL917" s="82" t="s">
        <v>3670</v>
      </c>
      <c r="AM917" s="76"/>
      <c r="AN917" s="76"/>
      <c r="AO917" s="76"/>
      <c r="AP917" s="76"/>
      <c r="AQ917" s="76"/>
      <c r="AR917" s="76"/>
      <c r="AS917" s="76"/>
      <c r="AT917" s="76"/>
      <c r="AU917" s="76"/>
      <c r="AV917" s="76"/>
      <c r="AW917" s="76"/>
      <c r="AX917" s="76">
        <f>+AW917*600000</f>
        <v>0</v>
      </c>
      <c r="AY917" s="76"/>
      <c r="AZ917" s="76">
        <f>+AY917*70000</f>
        <v>0</v>
      </c>
      <c r="BA917" s="76"/>
      <c r="BB917" s="76"/>
      <c r="BC917" s="76"/>
      <c r="BD917" s="76">
        <f>+BC917*30000</f>
        <v>0</v>
      </c>
      <c r="BE917" s="76"/>
      <c r="BF917" s="76"/>
      <c r="BG917" s="76"/>
      <c r="BH917" s="76"/>
      <c r="BI917" s="76"/>
      <c r="BJ917" s="76"/>
      <c r="BK917" s="76"/>
      <c r="BL917" s="76">
        <f>+BK917*31500</f>
        <v>0</v>
      </c>
      <c r="BM917" s="76"/>
      <c r="BN917" s="76"/>
      <c r="BO917" s="76"/>
      <c r="BP917" s="76"/>
      <c r="BQ917" s="76"/>
      <c r="BR917" s="76"/>
      <c r="BS917" s="76"/>
      <c r="BT917" s="76"/>
      <c r="BU917" s="76"/>
      <c r="BV917" s="76"/>
      <c r="BW917" s="76"/>
      <c r="BX917" s="76"/>
      <c r="BY917" s="76"/>
      <c r="BZ917" s="76"/>
      <c r="CA917" s="76"/>
      <c r="CB917" s="76"/>
      <c r="CC917" s="76"/>
      <c r="CD917" s="76"/>
      <c r="CE917" s="76"/>
      <c r="CF917" s="76">
        <f>+CE917*28000</f>
        <v>0</v>
      </c>
      <c r="CG917" s="76"/>
      <c r="CH917" s="76">
        <f>+CG917*22500</f>
        <v>0</v>
      </c>
      <c r="CI917" s="76"/>
      <c r="CJ917" s="76">
        <f>+CI917*26000</f>
        <v>0</v>
      </c>
      <c r="CK917" s="76"/>
      <c r="CL917" s="76"/>
      <c r="CM917" s="76"/>
      <c r="CN917" s="76">
        <f>+CM917*22000</f>
        <v>0</v>
      </c>
      <c r="CO917" s="76"/>
      <c r="CP917" s="76">
        <f>+CO917*46000</f>
        <v>0</v>
      </c>
      <c r="CQ917" s="76"/>
      <c r="CR917" s="76">
        <f>+CQ917*49000</f>
        <v>0</v>
      </c>
      <c r="CS917" s="76"/>
      <c r="CT917" s="76"/>
      <c r="CU917" s="56">
        <f>AN917+AP917+AR917+AT917+AV917+AX917+AZ917+BB917+BD917+BF917+BH917+BJ917+BL917+BN917+BP917+BR917+BT917+BV917+BX917+BZ917+CB917+CD917+CF917+CH917+CJ917+CL917+CN917+CP917+CR917+CT917</f>
        <v>0</v>
      </c>
      <c r="CV917" s="76"/>
      <c r="CW917" s="76">
        <f>+CV917*1100</f>
        <v>0</v>
      </c>
      <c r="CX917" s="76"/>
      <c r="CY917" s="76">
        <f>+CX917*106250</f>
        <v>0</v>
      </c>
      <c r="CZ917" s="76"/>
      <c r="DA917" s="76">
        <f>+CZ917*34500</f>
        <v>0</v>
      </c>
      <c r="DB917" s="76"/>
      <c r="DC917" s="76">
        <f>+DB917*25000</f>
        <v>0</v>
      </c>
      <c r="DD917" s="219"/>
      <c r="DE917" s="219"/>
      <c r="DF917" s="166"/>
      <c r="DG917" s="116"/>
      <c r="DH917" s="117"/>
      <c r="DI917" s="24"/>
      <c r="DJ917" s="24"/>
      <c r="DK917" s="24"/>
      <c r="DL917" s="24"/>
      <c r="DM917" s="24"/>
      <c r="DN917" s="24"/>
      <c r="DO917" s="24"/>
      <c r="DP917" s="24"/>
      <c r="DQ917" s="24"/>
      <c r="DR917" s="24"/>
      <c r="DS917" s="24"/>
      <c r="DT917" s="24"/>
      <c r="DU917" s="24"/>
    </row>
    <row r="918" spans="1:125" s="8" customFormat="1" ht="48" x14ac:dyDescent="0.2">
      <c r="A918" s="77">
        <v>41328</v>
      </c>
      <c r="B918" s="78" t="s">
        <v>2778</v>
      </c>
      <c r="C918" s="75" t="s">
        <v>1344</v>
      </c>
      <c r="D918" s="81" t="s">
        <v>2846</v>
      </c>
      <c r="E918" s="75" t="str">
        <f>VLOOKUP(B918&amp;C918,Divipola!$C$2:$F$1138,4,FALSE)</f>
        <v>85001</v>
      </c>
      <c r="F918" s="87"/>
      <c r="G918" s="87"/>
      <c r="H918" s="87"/>
      <c r="I918" s="87"/>
      <c r="J918" s="87"/>
      <c r="K918" s="87"/>
      <c r="L918" s="87"/>
      <c r="M918" s="87"/>
      <c r="N918" s="87"/>
      <c r="O918" s="87"/>
      <c r="P918" s="87"/>
      <c r="Q918" s="87"/>
      <c r="R918" s="87"/>
      <c r="S918" s="87"/>
      <c r="T918" s="87"/>
      <c r="U918" s="88">
        <v>5</v>
      </c>
      <c r="V918" s="89"/>
      <c r="W918" s="96">
        <v>0</v>
      </c>
      <c r="X918" s="71">
        <f>CU918</f>
        <v>0</v>
      </c>
      <c r="Y918" s="71">
        <f>CY918</f>
        <v>0</v>
      </c>
      <c r="Z918" s="71">
        <f>DA918+DC918+DE918</f>
        <v>0</v>
      </c>
      <c r="AA918" s="71">
        <f>CW918</f>
        <v>0</v>
      </c>
      <c r="AB918" s="71"/>
      <c r="AC918" s="71">
        <v>0</v>
      </c>
      <c r="AD918" s="71">
        <f>W918+X918+Y918+Z918+AA918+AB918+AC918</f>
        <v>0</v>
      </c>
      <c r="AE918" s="72">
        <v>0</v>
      </c>
      <c r="AF918" s="5"/>
      <c r="AG918" s="6"/>
      <c r="AH918" s="27" t="s">
        <v>3392</v>
      </c>
      <c r="AI918" s="44" t="s">
        <v>3393</v>
      </c>
      <c r="AJ918" s="26"/>
      <c r="AK918" s="5"/>
      <c r="AL918" s="82" t="s">
        <v>3796</v>
      </c>
      <c r="AM918" s="76"/>
      <c r="AN918" s="76"/>
      <c r="AO918" s="76"/>
      <c r="AP918" s="76"/>
      <c r="AQ918" s="76"/>
      <c r="AR918" s="76"/>
      <c r="AS918" s="76"/>
      <c r="AT918" s="76"/>
      <c r="AU918" s="76"/>
      <c r="AV918" s="76"/>
      <c r="AW918" s="76"/>
      <c r="AX918" s="76">
        <f>+AW918*600000</f>
        <v>0</v>
      </c>
      <c r="AY918" s="76"/>
      <c r="AZ918" s="76">
        <f>+AY918*70000</f>
        <v>0</v>
      </c>
      <c r="BA918" s="76"/>
      <c r="BB918" s="76"/>
      <c r="BC918" s="76"/>
      <c r="BD918" s="76">
        <f>+BC918*30000</f>
        <v>0</v>
      </c>
      <c r="BE918" s="76"/>
      <c r="BF918" s="76"/>
      <c r="BG918" s="76"/>
      <c r="BH918" s="76"/>
      <c r="BI918" s="76"/>
      <c r="BJ918" s="76"/>
      <c r="BK918" s="76"/>
      <c r="BL918" s="76">
        <f>+BK918*31500</f>
        <v>0</v>
      </c>
      <c r="BM918" s="76"/>
      <c r="BN918" s="76"/>
      <c r="BO918" s="76"/>
      <c r="BP918" s="76"/>
      <c r="BQ918" s="76"/>
      <c r="BR918" s="76"/>
      <c r="BS918" s="76"/>
      <c r="BT918" s="76"/>
      <c r="BU918" s="76"/>
      <c r="BV918" s="76"/>
      <c r="BW918" s="76"/>
      <c r="BX918" s="76"/>
      <c r="BY918" s="76"/>
      <c r="BZ918" s="76"/>
      <c r="CA918" s="76"/>
      <c r="CB918" s="76"/>
      <c r="CC918" s="76"/>
      <c r="CD918" s="76"/>
      <c r="CE918" s="76"/>
      <c r="CF918" s="76">
        <f>+CE918*28000</f>
        <v>0</v>
      </c>
      <c r="CG918" s="76"/>
      <c r="CH918" s="76">
        <f>+CG918*22500</f>
        <v>0</v>
      </c>
      <c r="CI918" s="76"/>
      <c r="CJ918" s="76">
        <f>+CI918*26000</f>
        <v>0</v>
      </c>
      <c r="CK918" s="76"/>
      <c r="CL918" s="76"/>
      <c r="CM918" s="76"/>
      <c r="CN918" s="76">
        <f>+CM918*22000</f>
        <v>0</v>
      </c>
      <c r="CO918" s="76"/>
      <c r="CP918" s="76">
        <f>+CO918*46000</f>
        <v>0</v>
      </c>
      <c r="CQ918" s="76"/>
      <c r="CR918" s="76">
        <f>+CQ918*49000</f>
        <v>0</v>
      </c>
      <c r="CS918" s="76"/>
      <c r="CT918" s="76"/>
      <c r="CU918" s="56">
        <f>AN918+AP918+AR918+AT918+AV918+AX918+AZ918+BB918+BD918+BF918+BH918+BJ918+BL918+BN918+BP918+BR918+BT918+BV918+BX918+BZ918+CB918+CD918+CF918+CH918+CJ918+CL918+CN918+CP918+CR918+CT918</f>
        <v>0</v>
      </c>
      <c r="CV918" s="76"/>
      <c r="CW918" s="76">
        <f>+CV918*1100</f>
        <v>0</v>
      </c>
      <c r="CX918" s="76"/>
      <c r="CY918" s="76">
        <f>+CX918*106250</f>
        <v>0</v>
      </c>
      <c r="CZ918" s="76"/>
      <c r="DA918" s="76">
        <f>+CZ918*34500</f>
        <v>0</v>
      </c>
      <c r="DB918" s="76"/>
      <c r="DC918" s="76">
        <f>+DB918*25000</f>
        <v>0</v>
      </c>
      <c r="DD918" s="219"/>
      <c r="DE918" s="219"/>
      <c r="DF918" s="166"/>
      <c r="DG918" s="116"/>
      <c r="DH918" s="117"/>
      <c r="DI918" s="24"/>
      <c r="DJ918" s="24"/>
      <c r="DK918" s="24"/>
      <c r="DL918" s="24"/>
      <c r="DM918" s="24"/>
      <c r="DN918" s="24"/>
      <c r="DO918" s="24"/>
      <c r="DP918" s="24"/>
      <c r="DQ918" s="24"/>
      <c r="DR918" s="24"/>
      <c r="DS918" s="24"/>
      <c r="DT918" s="24"/>
      <c r="DU918" s="24"/>
    </row>
    <row r="919" spans="1:125" s="8" customFormat="1" ht="24" x14ac:dyDescent="0.2">
      <c r="A919" s="77">
        <v>41328</v>
      </c>
      <c r="B919" s="352" t="s">
        <v>2855</v>
      </c>
      <c r="C919" s="75" t="s">
        <v>919</v>
      </c>
      <c r="D919" s="81" t="s">
        <v>2846</v>
      </c>
      <c r="E919" s="75" t="str">
        <f>VLOOKUP(B919&amp;C919,Divipola!$C$2:$F$1138,4,FALSE)</f>
        <v>20400</v>
      </c>
      <c r="F919" s="87"/>
      <c r="G919" s="87"/>
      <c r="H919" s="87"/>
      <c r="I919" s="87"/>
      <c r="J919" s="87"/>
      <c r="K919" s="87"/>
      <c r="L919" s="87"/>
      <c r="M919" s="87"/>
      <c r="N919" s="87"/>
      <c r="O919" s="87"/>
      <c r="P919" s="87"/>
      <c r="Q919" s="87"/>
      <c r="R919" s="87"/>
      <c r="S919" s="87"/>
      <c r="T919" s="87"/>
      <c r="U919" s="88"/>
      <c r="V919" s="89"/>
      <c r="W919" s="96">
        <v>0</v>
      </c>
      <c r="X919" s="71">
        <f>CU919</f>
        <v>0</v>
      </c>
      <c r="Y919" s="71">
        <f>CY919</f>
        <v>0</v>
      </c>
      <c r="Z919" s="71">
        <f>DA919+DC919+DE919</f>
        <v>0</v>
      </c>
      <c r="AA919" s="71">
        <f>CW919</f>
        <v>0</v>
      </c>
      <c r="AB919" s="71"/>
      <c r="AC919" s="71">
        <v>0</v>
      </c>
      <c r="AD919" s="71">
        <f>W919+X919+Y919+Z919+AA919+AB919+AC919</f>
        <v>0</v>
      </c>
      <c r="AE919" s="72">
        <v>0</v>
      </c>
      <c r="AF919" s="5"/>
      <c r="AG919" s="6"/>
      <c r="AH919" s="27" t="s">
        <v>3392</v>
      </c>
      <c r="AI919" s="44" t="s">
        <v>3393</v>
      </c>
      <c r="AJ919" s="26"/>
      <c r="AK919" s="5"/>
      <c r="AL919" s="82" t="s">
        <v>3602</v>
      </c>
      <c r="AM919" s="76"/>
      <c r="AN919" s="76"/>
      <c r="AO919" s="76"/>
      <c r="AP919" s="76"/>
      <c r="AQ919" s="76"/>
      <c r="AR919" s="76"/>
      <c r="AS919" s="76"/>
      <c r="AT919" s="76"/>
      <c r="AU919" s="76"/>
      <c r="AV919" s="76"/>
      <c r="AW919" s="76"/>
      <c r="AX919" s="76">
        <f>+AW919*600000</f>
        <v>0</v>
      </c>
      <c r="AY919" s="76"/>
      <c r="AZ919" s="76">
        <f>+AY919*70000</f>
        <v>0</v>
      </c>
      <c r="BA919" s="76"/>
      <c r="BB919" s="76"/>
      <c r="BC919" s="76"/>
      <c r="BD919" s="76">
        <f>+BC919*30000</f>
        <v>0</v>
      </c>
      <c r="BE919" s="76"/>
      <c r="BF919" s="76"/>
      <c r="BG919" s="76"/>
      <c r="BH919" s="76"/>
      <c r="BI919" s="76"/>
      <c r="BJ919" s="76"/>
      <c r="BK919" s="76"/>
      <c r="BL919" s="76">
        <f>+BK919*31500</f>
        <v>0</v>
      </c>
      <c r="BM919" s="76"/>
      <c r="BN919" s="76"/>
      <c r="BO919" s="76"/>
      <c r="BP919" s="76"/>
      <c r="BQ919" s="76"/>
      <c r="BR919" s="76"/>
      <c r="BS919" s="76"/>
      <c r="BT919" s="76"/>
      <c r="BU919" s="76"/>
      <c r="BV919" s="76"/>
      <c r="BW919" s="76"/>
      <c r="BX919" s="76"/>
      <c r="BY919" s="76"/>
      <c r="BZ919" s="76"/>
      <c r="CA919" s="76"/>
      <c r="CB919" s="76"/>
      <c r="CC919" s="76"/>
      <c r="CD919" s="76"/>
      <c r="CE919" s="76"/>
      <c r="CF919" s="76">
        <f>+CE919*28000</f>
        <v>0</v>
      </c>
      <c r="CG919" s="76"/>
      <c r="CH919" s="76">
        <f>+CG919*22500</f>
        <v>0</v>
      </c>
      <c r="CI919" s="76"/>
      <c r="CJ919" s="76">
        <f>+CI919*26000</f>
        <v>0</v>
      </c>
      <c r="CK919" s="76"/>
      <c r="CL919" s="76"/>
      <c r="CM919" s="76"/>
      <c r="CN919" s="76">
        <f>+CM919*22000</f>
        <v>0</v>
      </c>
      <c r="CO919" s="76"/>
      <c r="CP919" s="76">
        <f>+CO919*46000</f>
        <v>0</v>
      </c>
      <c r="CQ919" s="76"/>
      <c r="CR919" s="76">
        <f>+CQ919*49000</f>
        <v>0</v>
      </c>
      <c r="CS919" s="76"/>
      <c r="CT919" s="76"/>
      <c r="CU919" s="56">
        <f>AN919+AP919+AR919+AT919+AV919+AX919+AZ919+BB919+BD919+BF919+BH919+BJ919+BL919+BN919+BP919+BR919+BT919+BV919+BX919+BZ919+CB919+CD919+CF919+CH919+CJ919+CL919+CN919+CP919+CR919+CT919</f>
        <v>0</v>
      </c>
      <c r="CV919" s="76"/>
      <c r="CW919" s="76">
        <f>+CV919*1100</f>
        <v>0</v>
      </c>
      <c r="CX919" s="76"/>
      <c r="CY919" s="76">
        <f>+CX919*106250</f>
        <v>0</v>
      </c>
      <c r="CZ919" s="76"/>
      <c r="DA919" s="76">
        <f>+CZ919*34500</f>
        <v>0</v>
      </c>
      <c r="DB919" s="76"/>
      <c r="DC919" s="76">
        <f>+DB919*25000</f>
        <v>0</v>
      </c>
      <c r="DD919" s="219"/>
      <c r="DE919" s="219"/>
      <c r="DF919" s="166"/>
      <c r="DG919" s="116"/>
      <c r="DH919" s="117"/>
      <c r="DI919" s="24"/>
      <c r="DJ919" s="24"/>
      <c r="DK919" s="24"/>
      <c r="DL919" s="24"/>
      <c r="DM919" s="24"/>
      <c r="DN919" s="24"/>
      <c r="DO919" s="24"/>
      <c r="DP919" s="24"/>
      <c r="DQ919" s="24"/>
      <c r="DR919" s="24"/>
      <c r="DS919" s="24"/>
      <c r="DT919" s="24"/>
      <c r="DU919" s="24"/>
    </row>
    <row r="920" spans="1:125" s="8" customFormat="1" ht="36" x14ac:dyDescent="0.2">
      <c r="A920" s="77">
        <v>41328</v>
      </c>
      <c r="B920" s="352" t="s">
        <v>2855</v>
      </c>
      <c r="C920" s="227" t="s">
        <v>2168</v>
      </c>
      <c r="D920" s="81" t="s">
        <v>2846</v>
      </c>
      <c r="E920" s="75" t="str">
        <f>VLOOKUP(B920&amp;C920,Divipola!$C$2:$F$1138,4,FALSE)</f>
        <v>20001</v>
      </c>
      <c r="F920" s="100"/>
      <c r="G920" s="100"/>
      <c r="H920" s="100"/>
      <c r="I920" s="100"/>
      <c r="J920" s="100"/>
      <c r="K920" s="100"/>
      <c r="L920" s="100"/>
      <c r="M920" s="100"/>
      <c r="N920" s="100"/>
      <c r="O920" s="100"/>
      <c r="P920" s="100"/>
      <c r="Q920" s="100"/>
      <c r="R920" s="100"/>
      <c r="S920" s="100"/>
      <c r="T920" s="100"/>
      <c r="U920" s="136"/>
      <c r="V920" s="89"/>
      <c r="W920" s="96">
        <v>0</v>
      </c>
      <c r="X920" s="71">
        <f>CU920</f>
        <v>0</v>
      </c>
      <c r="Y920" s="71">
        <f>CY920</f>
        <v>0</v>
      </c>
      <c r="Z920" s="71">
        <f>DA920+DC920+DE920</f>
        <v>0</v>
      </c>
      <c r="AA920" s="71">
        <f>CW920</f>
        <v>0</v>
      </c>
      <c r="AB920" s="71"/>
      <c r="AC920" s="71">
        <v>0</v>
      </c>
      <c r="AD920" s="71">
        <f>W920+X920+Y920+Z920+AA920+AB920+AC920</f>
        <v>0</v>
      </c>
      <c r="AE920" s="72">
        <v>0</v>
      </c>
      <c r="AF920" s="5"/>
      <c r="AG920" s="6"/>
      <c r="AH920" s="27" t="s">
        <v>3392</v>
      </c>
      <c r="AI920" s="44" t="s">
        <v>3393</v>
      </c>
      <c r="AJ920" s="26"/>
      <c r="AK920" s="5"/>
      <c r="AL920" s="82" t="s">
        <v>3600</v>
      </c>
      <c r="AM920" s="76"/>
      <c r="AN920" s="76"/>
      <c r="AO920" s="76"/>
      <c r="AP920" s="76"/>
      <c r="AQ920" s="76"/>
      <c r="AR920" s="76"/>
      <c r="AS920" s="76"/>
      <c r="AT920" s="76"/>
      <c r="AU920" s="76"/>
      <c r="AV920" s="76"/>
      <c r="AW920" s="76"/>
      <c r="AX920" s="76">
        <f>+AW920*600000</f>
        <v>0</v>
      </c>
      <c r="AY920" s="76"/>
      <c r="AZ920" s="76">
        <f>+AY920*70000</f>
        <v>0</v>
      </c>
      <c r="BA920" s="76"/>
      <c r="BB920" s="76"/>
      <c r="BC920" s="76"/>
      <c r="BD920" s="76">
        <f>+BC920*30000</f>
        <v>0</v>
      </c>
      <c r="BE920" s="76"/>
      <c r="BF920" s="76"/>
      <c r="BG920" s="76"/>
      <c r="BH920" s="76"/>
      <c r="BI920" s="76"/>
      <c r="BJ920" s="76"/>
      <c r="BK920" s="76"/>
      <c r="BL920" s="76">
        <f>+BK920*31500</f>
        <v>0</v>
      </c>
      <c r="BM920" s="76"/>
      <c r="BN920" s="76"/>
      <c r="BO920" s="76"/>
      <c r="BP920" s="76"/>
      <c r="BQ920" s="76"/>
      <c r="BR920" s="76"/>
      <c r="BS920" s="76"/>
      <c r="BT920" s="76"/>
      <c r="BU920" s="76"/>
      <c r="BV920" s="76"/>
      <c r="BW920" s="76"/>
      <c r="BX920" s="76"/>
      <c r="BY920" s="76"/>
      <c r="BZ920" s="76"/>
      <c r="CA920" s="76"/>
      <c r="CB920" s="76"/>
      <c r="CC920" s="76"/>
      <c r="CD920" s="76"/>
      <c r="CE920" s="76"/>
      <c r="CF920" s="76">
        <f>+CE920*28000</f>
        <v>0</v>
      </c>
      <c r="CG920" s="76"/>
      <c r="CH920" s="76">
        <f>+CG920*22500</f>
        <v>0</v>
      </c>
      <c r="CI920" s="76"/>
      <c r="CJ920" s="76">
        <f>+CI920*26000</f>
        <v>0</v>
      </c>
      <c r="CK920" s="76"/>
      <c r="CL920" s="76"/>
      <c r="CM920" s="76"/>
      <c r="CN920" s="76">
        <f>+CM920*22000</f>
        <v>0</v>
      </c>
      <c r="CO920" s="76"/>
      <c r="CP920" s="76">
        <f>+CO920*46000</f>
        <v>0</v>
      </c>
      <c r="CQ920" s="76"/>
      <c r="CR920" s="76">
        <f>+CQ920*49000</f>
        <v>0</v>
      </c>
      <c r="CS920" s="76"/>
      <c r="CT920" s="76"/>
      <c r="CU920" s="56">
        <f>AN920+AP920+AR920+AT920+AV920+AX920+AZ920+BB920+BD920+BF920+BH920+BJ920+BL920+BN920+BP920+BR920+BT920+BV920+BX920+BZ920+CB920+CD920+CF920+CH920+CJ920+CL920+CN920+CP920+CR920+CT920</f>
        <v>0</v>
      </c>
      <c r="CV920" s="76"/>
      <c r="CW920" s="76">
        <f>+CV920*1100</f>
        <v>0</v>
      </c>
      <c r="CX920" s="76"/>
      <c r="CY920" s="76">
        <f>+CX920*106250</f>
        <v>0</v>
      </c>
      <c r="CZ920" s="76"/>
      <c r="DA920" s="76">
        <f>+CZ920*34500</f>
        <v>0</v>
      </c>
      <c r="DB920" s="76"/>
      <c r="DC920" s="76">
        <f>+DB920*25000</f>
        <v>0</v>
      </c>
      <c r="DD920" s="219"/>
      <c r="DE920" s="219"/>
      <c r="DF920" s="166"/>
      <c r="DG920" s="116"/>
      <c r="DH920" s="117"/>
      <c r="DI920" s="24"/>
      <c r="DJ920" s="24"/>
      <c r="DK920" s="24"/>
      <c r="DL920" s="24"/>
      <c r="DM920" s="24"/>
      <c r="DN920" s="24"/>
      <c r="DO920" s="24"/>
      <c r="DP920" s="24"/>
      <c r="DQ920" s="24"/>
      <c r="DR920" s="24"/>
      <c r="DS920" s="24"/>
      <c r="DT920" s="24"/>
      <c r="DU920" s="24"/>
    </row>
    <row r="921" spans="1:125" s="8" customFormat="1" ht="144" x14ac:dyDescent="0.2">
      <c r="A921" s="77">
        <v>41328</v>
      </c>
      <c r="B921" s="78" t="s">
        <v>2852</v>
      </c>
      <c r="C921" s="75" t="s">
        <v>1245</v>
      </c>
      <c r="D921" s="75" t="s">
        <v>2882</v>
      </c>
      <c r="E921" s="75" t="str">
        <f>VLOOKUP(B921&amp;C921,Divipola!$C$2:$F$1138,4,FALSE)</f>
        <v>27450</v>
      </c>
      <c r="F921" s="87"/>
      <c r="G921" s="87"/>
      <c r="H921" s="87"/>
      <c r="I921" s="87">
        <f>5*15+200+150+300</f>
        <v>725</v>
      </c>
      <c r="J921" s="87">
        <f>15+40+30+60</f>
        <v>145</v>
      </c>
      <c r="K921" s="87"/>
      <c r="L921" s="87">
        <f>15+40+30+60</f>
        <v>145</v>
      </c>
      <c r="M921" s="87"/>
      <c r="N921" s="87"/>
      <c r="O921" s="87"/>
      <c r="P921" s="87"/>
      <c r="Q921" s="87"/>
      <c r="R921" s="87"/>
      <c r="S921" s="87"/>
      <c r="T921" s="87"/>
      <c r="U921" s="88"/>
      <c r="V921" s="89"/>
      <c r="W921" s="96">
        <v>0</v>
      </c>
      <c r="X921" s="71">
        <f>CU921</f>
        <v>0</v>
      </c>
      <c r="Y921" s="71">
        <f>CY921</f>
        <v>0</v>
      </c>
      <c r="Z921" s="71">
        <f>DA921+DC921+DE921</f>
        <v>0</v>
      </c>
      <c r="AA921" s="71">
        <f>CW921</f>
        <v>0</v>
      </c>
      <c r="AB921" s="71"/>
      <c r="AC921" s="71">
        <v>0</v>
      </c>
      <c r="AD921" s="71">
        <f>W921+X921+Y921+Z921+AA921+AB921+AC921</f>
        <v>0</v>
      </c>
      <c r="AE921" s="72">
        <v>0</v>
      </c>
      <c r="AF921" s="5"/>
      <c r="AG921" s="6"/>
      <c r="AH921" s="27" t="s">
        <v>3390</v>
      </c>
      <c r="AI921" s="44" t="s">
        <v>3391</v>
      </c>
      <c r="AJ921" s="26"/>
      <c r="AK921" s="5" t="s">
        <v>3480</v>
      </c>
      <c r="AL921" s="82" t="s">
        <v>3727</v>
      </c>
      <c r="AM921" s="76"/>
      <c r="AN921" s="76"/>
      <c r="AO921" s="76"/>
      <c r="AP921" s="76"/>
      <c r="AQ921" s="76"/>
      <c r="AR921" s="76"/>
      <c r="AS921" s="76"/>
      <c r="AT921" s="76"/>
      <c r="AU921" s="76"/>
      <c r="AV921" s="76"/>
      <c r="AW921" s="76"/>
      <c r="AX921" s="76">
        <f>+AW921*600000</f>
        <v>0</v>
      </c>
      <c r="AY921" s="76"/>
      <c r="AZ921" s="76">
        <f>+AY921*70000</f>
        <v>0</v>
      </c>
      <c r="BA921" s="76"/>
      <c r="BB921" s="76"/>
      <c r="BC921" s="76"/>
      <c r="BD921" s="76">
        <f>+BC921*30000</f>
        <v>0</v>
      </c>
      <c r="BE921" s="76"/>
      <c r="BF921" s="76"/>
      <c r="BG921" s="76"/>
      <c r="BH921" s="76"/>
      <c r="BI921" s="76"/>
      <c r="BJ921" s="76"/>
      <c r="BK921" s="76"/>
      <c r="BL921" s="76">
        <f>+BK921*31500</f>
        <v>0</v>
      </c>
      <c r="BM921" s="76"/>
      <c r="BN921" s="76"/>
      <c r="BO921" s="76"/>
      <c r="BP921" s="76"/>
      <c r="BQ921" s="76"/>
      <c r="BR921" s="76"/>
      <c r="BS921" s="76"/>
      <c r="BT921" s="76"/>
      <c r="BU921" s="76"/>
      <c r="BV921" s="76"/>
      <c r="BW921" s="76"/>
      <c r="BX921" s="76"/>
      <c r="BY921" s="76"/>
      <c r="BZ921" s="76"/>
      <c r="CA921" s="76"/>
      <c r="CB921" s="76"/>
      <c r="CC921" s="76"/>
      <c r="CD921" s="76"/>
      <c r="CE921" s="76"/>
      <c r="CF921" s="76">
        <f>+CE921*28000</f>
        <v>0</v>
      </c>
      <c r="CG921" s="76"/>
      <c r="CH921" s="76">
        <f>+CG921*22500</f>
        <v>0</v>
      </c>
      <c r="CI921" s="76"/>
      <c r="CJ921" s="76">
        <f>+CI921*26000</f>
        <v>0</v>
      </c>
      <c r="CK921" s="76"/>
      <c r="CL921" s="76"/>
      <c r="CM921" s="76"/>
      <c r="CN921" s="76">
        <f>+CM921*22000</f>
        <v>0</v>
      </c>
      <c r="CO921" s="76"/>
      <c r="CP921" s="76">
        <f>+CO921*46000</f>
        <v>0</v>
      </c>
      <c r="CQ921" s="76"/>
      <c r="CR921" s="76">
        <f>+CQ921*49000</f>
        <v>0</v>
      </c>
      <c r="CS921" s="76"/>
      <c r="CT921" s="76"/>
      <c r="CU921" s="56">
        <f>AN921+AP921+AR921+AT921+AV921+AX921+AZ921+BB921+BD921+BF921+BH921+BJ921+BL921+BN921+BP921+BR921+BT921+BV921+BX921+BZ921+CB921+CD921+CF921+CH921+CJ921+CL921+CN921+CP921+CR921+CT921</f>
        <v>0</v>
      </c>
      <c r="CV921" s="76"/>
      <c r="CW921" s="76">
        <f>+CV921*1100</f>
        <v>0</v>
      </c>
      <c r="CX921" s="76"/>
      <c r="CY921" s="76">
        <f>+CX921*106250</f>
        <v>0</v>
      </c>
      <c r="CZ921" s="76"/>
      <c r="DA921" s="76">
        <f>+CZ921*34500</f>
        <v>0</v>
      </c>
      <c r="DB921" s="76"/>
      <c r="DC921" s="76">
        <f>+DB921*25000</f>
        <v>0</v>
      </c>
      <c r="DD921" s="219"/>
      <c r="DE921" s="219"/>
      <c r="DF921" s="166"/>
      <c r="DG921" s="116"/>
      <c r="DH921" s="117"/>
      <c r="DI921" s="24"/>
      <c r="DJ921" s="24"/>
      <c r="DK921" s="24"/>
      <c r="DL921" s="24"/>
      <c r="DM921" s="24"/>
      <c r="DN921" s="24"/>
      <c r="DO921" s="24"/>
      <c r="DP921" s="24"/>
      <c r="DQ921" s="24"/>
      <c r="DR921" s="24"/>
      <c r="DS921" s="24"/>
      <c r="DT921" s="24"/>
      <c r="DU921" s="24"/>
    </row>
    <row r="922" spans="1:125" s="8" customFormat="1" ht="72" x14ac:dyDescent="0.2">
      <c r="A922" s="77">
        <v>41328</v>
      </c>
      <c r="B922" s="78" t="s">
        <v>506</v>
      </c>
      <c r="C922" s="75" t="s">
        <v>2118</v>
      </c>
      <c r="D922" s="75" t="s">
        <v>3504</v>
      </c>
      <c r="E922" s="75" t="str">
        <f>VLOOKUP(B922&amp;C922,Divipola!$C$2:$F$1138,4,FALSE)</f>
        <v>50711</v>
      </c>
      <c r="F922" s="87"/>
      <c r="G922" s="87"/>
      <c r="H922" s="87"/>
      <c r="I922" s="87">
        <v>4</v>
      </c>
      <c r="J922" s="87"/>
      <c r="K922" s="87"/>
      <c r="L922" s="87"/>
      <c r="M922" s="87"/>
      <c r="N922" s="87"/>
      <c r="O922" s="87"/>
      <c r="P922" s="87"/>
      <c r="Q922" s="87"/>
      <c r="R922" s="87"/>
      <c r="S922" s="87"/>
      <c r="T922" s="87"/>
      <c r="U922" s="88"/>
      <c r="V922" s="89"/>
      <c r="W922" s="96">
        <v>0</v>
      </c>
      <c r="X922" s="71">
        <f>CU922</f>
        <v>0</v>
      </c>
      <c r="Y922" s="71">
        <f>CY922</f>
        <v>0</v>
      </c>
      <c r="Z922" s="71">
        <f>DA922+DC922+DE922</f>
        <v>0</v>
      </c>
      <c r="AA922" s="71">
        <f>CW922</f>
        <v>0</v>
      </c>
      <c r="AB922" s="71"/>
      <c r="AC922" s="71">
        <v>0</v>
      </c>
      <c r="AD922" s="71">
        <f>W922+X922+Y922+Z922+AA922+AB922+AC922</f>
        <v>0</v>
      </c>
      <c r="AE922" s="72">
        <v>0</v>
      </c>
      <c r="AF922" s="5"/>
      <c r="AG922" s="6"/>
      <c r="AH922" s="27" t="s">
        <v>3392</v>
      </c>
      <c r="AI922" s="44" t="s">
        <v>3393</v>
      </c>
      <c r="AJ922" s="26"/>
      <c r="AK922" s="5"/>
      <c r="AL922" s="82" t="s">
        <v>3601</v>
      </c>
      <c r="AM922" s="76"/>
      <c r="AN922" s="76"/>
      <c r="AO922" s="76"/>
      <c r="AP922" s="76"/>
      <c r="AQ922" s="76"/>
      <c r="AR922" s="76"/>
      <c r="AS922" s="76"/>
      <c r="AT922" s="76"/>
      <c r="AU922" s="76"/>
      <c r="AV922" s="76"/>
      <c r="AW922" s="76"/>
      <c r="AX922" s="76">
        <f>+AW922*600000</f>
        <v>0</v>
      </c>
      <c r="AY922" s="76"/>
      <c r="AZ922" s="76">
        <f>+AY922*70000</f>
        <v>0</v>
      </c>
      <c r="BA922" s="76"/>
      <c r="BB922" s="76"/>
      <c r="BC922" s="76"/>
      <c r="BD922" s="76">
        <f>+BC922*30000</f>
        <v>0</v>
      </c>
      <c r="BE922" s="76"/>
      <c r="BF922" s="76"/>
      <c r="BG922" s="76"/>
      <c r="BH922" s="76"/>
      <c r="BI922" s="76"/>
      <c r="BJ922" s="76"/>
      <c r="BK922" s="76"/>
      <c r="BL922" s="76">
        <f>+BK922*31500</f>
        <v>0</v>
      </c>
      <c r="BM922" s="76"/>
      <c r="BN922" s="76"/>
      <c r="BO922" s="76"/>
      <c r="BP922" s="76"/>
      <c r="BQ922" s="76"/>
      <c r="BR922" s="76"/>
      <c r="BS922" s="76"/>
      <c r="BT922" s="76"/>
      <c r="BU922" s="76"/>
      <c r="BV922" s="76"/>
      <c r="BW922" s="76"/>
      <c r="BX922" s="76"/>
      <c r="BY922" s="76"/>
      <c r="BZ922" s="76"/>
      <c r="CA922" s="76"/>
      <c r="CB922" s="76"/>
      <c r="CC922" s="76"/>
      <c r="CD922" s="76"/>
      <c r="CE922" s="76"/>
      <c r="CF922" s="76">
        <f>+CE922*28000</f>
        <v>0</v>
      </c>
      <c r="CG922" s="76"/>
      <c r="CH922" s="76">
        <f>+CG922*22500</f>
        <v>0</v>
      </c>
      <c r="CI922" s="76"/>
      <c r="CJ922" s="76">
        <f>+CI922*26000</f>
        <v>0</v>
      </c>
      <c r="CK922" s="76"/>
      <c r="CL922" s="76"/>
      <c r="CM922" s="76"/>
      <c r="CN922" s="76">
        <f>+CM922*22000</f>
        <v>0</v>
      </c>
      <c r="CO922" s="76"/>
      <c r="CP922" s="76">
        <f>+CO922*46000</f>
        <v>0</v>
      </c>
      <c r="CQ922" s="76"/>
      <c r="CR922" s="76">
        <f>+CQ922*49000</f>
        <v>0</v>
      </c>
      <c r="CS922" s="76"/>
      <c r="CT922" s="76"/>
      <c r="CU922" s="56">
        <f>AN922+AP922+AR922+AT922+AV922+AX922+AZ922+BB922+BD922+BF922+BH922+BJ922+BL922+BN922+BP922+BR922+BT922+BV922+BX922+BZ922+CB922+CD922+CF922+CH922+CJ922+CL922+CN922+CP922+CR922+CT922</f>
        <v>0</v>
      </c>
      <c r="CV922" s="76"/>
      <c r="CW922" s="76">
        <f>+CV922*1100</f>
        <v>0</v>
      </c>
      <c r="CX922" s="76"/>
      <c r="CY922" s="76">
        <f>+CX922*106250</f>
        <v>0</v>
      </c>
      <c r="CZ922" s="76"/>
      <c r="DA922" s="76">
        <f>+CZ922*34500</f>
        <v>0</v>
      </c>
      <c r="DB922" s="76"/>
      <c r="DC922" s="76">
        <f>+DB922*25000</f>
        <v>0</v>
      </c>
      <c r="DD922" s="219"/>
      <c r="DE922" s="219"/>
      <c r="DF922" s="166"/>
      <c r="DG922" s="116"/>
      <c r="DH922" s="117"/>
      <c r="DI922" s="24"/>
      <c r="DJ922" s="24"/>
      <c r="DK922" s="24"/>
      <c r="DL922" s="24"/>
      <c r="DM922" s="24"/>
      <c r="DN922" s="24"/>
      <c r="DO922" s="24"/>
      <c r="DP922" s="24"/>
      <c r="DQ922" s="24"/>
      <c r="DR922" s="24"/>
      <c r="DS922" s="24"/>
      <c r="DT922" s="24"/>
      <c r="DU922" s="24"/>
    </row>
    <row r="923" spans="1:125" s="8" customFormat="1" ht="60" x14ac:dyDescent="0.2">
      <c r="A923" s="77">
        <v>41328</v>
      </c>
      <c r="B923" s="78" t="s">
        <v>2847</v>
      </c>
      <c r="C923" s="75" t="s">
        <v>1773</v>
      </c>
      <c r="D923" s="84" t="s">
        <v>3088</v>
      </c>
      <c r="E923" s="75" t="str">
        <f>VLOOKUP(B923&amp;C923,Divipola!$C$2:$F$1138,4,FALSE)</f>
        <v>68684</v>
      </c>
      <c r="F923" s="163"/>
      <c r="G923" s="163"/>
      <c r="H923" s="163"/>
      <c r="I923" s="163"/>
      <c r="J923" s="163"/>
      <c r="K923" s="163"/>
      <c r="L923" s="163"/>
      <c r="M923" s="163"/>
      <c r="N923" s="163"/>
      <c r="O923" s="163"/>
      <c r="P923" s="163"/>
      <c r="Q923" s="163"/>
      <c r="R923" s="163"/>
      <c r="S923" s="163"/>
      <c r="T923" s="163"/>
      <c r="U923" s="163"/>
      <c r="V923" s="134"/>
      <c r="W923" s="96">
        <v>0</v>
      </c>
      <c r="X923" s="71">
        <f>CU923</f>
        <v>0</v>
      </c>
      <c r="Y923" s="71">
        <f>CY923</f>
        <v>0</v>
      </c>
      <c r="Z923" s="71">
        <f>DA923+DC923+DE923</f>
        <v>0</v>
      </c>
      <c r="AA923" s="71">
        <f>CW923</f>
        <v>0</v>
      </c>
      <c r="AB923" s="71"/>
      <c r="AC923" s="71">
        <v>283455356</v>
      </c>
      <c r="AD923" s="71">
        <f>W923+X923+Y923+Z923+AA923+AB923+AC923</f>
        <v>283455356</v>
      </c>
      <c r="AE923" s="72">
        <v>0</v>
      </c>
      <c r="AF923" s="5"/>
      <c r="AG923" s="6"/>
      <c r="AH923" s="27" t="s">
        <v>3390</v>
      </c>
      <c r="AI923" s="44" t="s">
        <v>3391</v>
      </c>
      <c r="AJ923" s="26"/>
      <c r="AK923" s="5"/>
      <c r="AL923" s="82" t="s">
        <v>3595</v>
      </c>
      <c r="AM923" s="76"/>
      <c r="AN923" s="76"/>
      <c r="AO923" s="76"/>
      <c r="AP923" s="76"/>
      <c r="AQ923" s="76"/>
      <c r="AR923" s="76"/>
      <c r="AS923" s="76"/>
      <c r="AT923" s="76"/>
      <c r="AU923" s="76"/>
      <c r="AV923" s="76"/>
      <c r="AW923" s="76"/>
      <c r="AX923" s="76">
        <f>+AW923*600000</f>
        <v>0</v>
      </c>
      <c r="AY923" s="76"/>
      <c r="AZ923" s="76">
        <f>+AY923*70000</f>
        <v>0</v>
      </c>
      <c r="BA923" s="76"/>
      <c r="BB923" s="76"/>
      <c r="BC923" s="76"/>
      <c r="BD923" s="76">
        <f>+BC923*30000</f>
        <v>0</v>
      </c>
      <c r="BE923" s="76"/>
      <c r="BF923" s="76"/>
      <c r="BG923" s="76"/>
      <c r="BH923" s="76"/>
      <c r="BI923" s="76"/>
      <c r="BJ923" s="76"/>
      <c r="BK923" s="76"/>
      <c r="BL923" s="76">
        <f>+BK923*31500</f>
        <v>0</v>
      </c>
      <c r="BM923" s="76"/>
      <c r="BN923" s="76"/>
      <c r="BO923" s="76"/>
      <c r="BP923" s="76"/>
      <c r="BQ923" s="76"/>
      <c r="BR923" s="76"/>
      <c r="BS923" s="76"/>
      <c r="BT923" s="76"/>
      <c r="BU923" s="76"/>
      <c r="BV923" s="76"/>
      <c r="BW923" s="76"/>
      <c r="BX923" s="76"/>
      <c r="BY923" s="76"/>
      <c r="BZ923" s="76"/>
      <c r="CA923" s="76"/>
      <c r="CB923" s="76"/>
      <c r="CC923" s="76"/>
      <c r="CD923" s="76"/>
      <c r="CE923" s="76"/>
      <c r="CF923" s="76">
        <f>+CE923*28000</f>
        <v>0</v>
      </c>
      <c r="CG923" s="76"/>
      <c r="CH923" s="76">
        <f>+CG923*22500</f>
        <v>0</v>
      </c>
      <c r="CI923" s="76"/>
      <c r="CJ923" s="76">
        <f>+CI923*26000</f>
        <v>0</v>
      </c>
      <c r="CK923" s="76"/>
      <c r="CL923" s="76"/>
      <c r="CM923" s="76"/>
      <c r="CN923" s="76">
        <f>+CM923*22000</f>
        <v>0</v>
      </c>
      <c r="CO923" s="76"/>
      <c r="CP923" s="76">
        <f>+CO923*46000</f>
        <v>0</v>
      </c>
      <c r="CQ923" s="76"/>
      <c r="CR923" s="76">
        <f>+CQ923*49000</f>
        <v>0</v>
      </c>
      <c r="CS923" s="76"/>
      <c r="CT923" s="76"/>
      <c r="CU923" s="56">
        <f>AN923+AP923+AR923+AT923+AV923+AX923+AZ923+BB923+BD923+BF923+BH923+BJ923+BL923+BN923+BP923+BR923+BT923+BV923+BX923+BZ923+CB923+CD923+CF923+CH923+CJ923+CL923+CN923+CP923+CR923+CT923</f>
        <v>0</v>
      </c>
      <c r="CV923" s="76"/>
      <c r="CW923" s="76">
        <f>+CV923*1100</f>
        <v>0</v>
      </c>
      <c r="CX923" s="76"/>
      <c r="CY923" s="76">
        <f>+CX923*106250</f>
        <v>0</v>
      </c>
      <c r="CZ923" s="76"/>
      <c r="DA923" s="76">
        <f>+CZ923*34500</f>
        <v>0</v>
      </c>
      <c r="DB923" s="76"/>
      <c r="DC923" s="76">
        <f>+DB923*25000</f>
        <v>0</v>
      </c>
      <c r="DD923" s="219"/>
      <c r="DE923" s="219"/>
      <c r="DF923" s="166" t="s">
        <v>3248</v>
      </c>
      <c r="DG923" s="134" t="s">
        <v>4246</v>
      </c>
      <c r="DH923" s="117"/>
      <c r="DI923" s="24"/>
      <c r="DJ923" s="24"/>
      <c r="DK923" s="24"/>
      <c r="DL923" s="24"/>
      <c r="DM923" s="24"/>
      <c r="DN923" s="24"/>
      <c r="DO923" s="24"/>
      <c r="DP923" s="24"/>
      <c r="DQ923" s="24"/>
      <c r="DR923" s="24"/>
      <c r="DS923" s="24"/>
      <c r="DT923" s="24"/>
      <c r="DU923" s="24"/>
    </row>
    <row r="924" spans="1:125" s="8" customFormat="1" ht="96" x14ac:dyDescent="0.2">
      <c r="A924" s="77">
        <v>41329</v>
      </c>
      <c r="B924" s="78" t="s">
        <v>2036</v>
      </c>
      <c r="C924" s="75" t="s">
        <v>1374</v>
      </c>
      <c r="D924" s="81" t="s">
        <v>2846</v>
      </c>
      <c r="E924" s="75" t="str">
        <f>VLOOKUP(B924&amp;C924,Divipola!$C$2:$F$1138,4,FALSE)</f>
        <v>81065</v>
      </c>
      <c r="F924" s="87"/>
      <c r="G924" s="87"/>
      <c r="H924" s="87"/>
      <c r="I924" s="87"/>
      <c r="J924" s="87"/>
      <c r="K924" s="87"/>
      <c r="L924" s="87"/>
      <c r="M924" s="87"/>
      <c r="N924" s="87"/>
      <c r="O924" s="87"/>
      <c r="P924" s="87"/>
      <c r="Q924" s="87"/>
      <c r="R924" s="87"/>
      <c r="S924" s="87"/>
      <c r="T924" s="87"/>
      <c r="U924" s="88">
        <v>131</v>
      </c>
      <c r="V924" s="89"/>
      <c r="W924" s="96">
        <v>0</v>
      </c>
      <c r="X924" s="71">
        <f>CU924</f>
        <v>0</v>
      </c>
      <c r="Y924" s="71">
        <f>CY924</f>
        <v>0</v>
      </c>
      <c r="Z924" s="71">
        <f>DA924+DC924+DE924</f>
        <v>0</v>
      </c>
      <c r="AA924" s="71">
        <f>CW924</f>
        <v>0</v>
      </c>
      <c r="AB924" s="71"/>
      <c r="AC924" s="71">
        <v>0</v>
      </c>
      <c r="AD924" s="71">
        <f>W924+X924+Y924+Z924+AA924+AB924+AC924</f>
        <v>0</v>
      </c>
      <c r="AE924" s="72">
        <v>0</v>
      </c>
      <c r="AF924" s="5"/>
      <c r="AG924" s="6"/>
      <c r="AH924" s="27" t="s">
        <v>3392</v>
      </c>
      <c r="AI924" s="44" t="s">
        <v>3393</v>
      </c>
      <c r="AJ924" s="26"/>
      <c r="AK924" s="5"/>
      <c r="AL924" s="82" t="s">
        <v>3605</v>
      </c>
      <c r="AM924" s="76"/>
      <c r="AN924" s="76"/>
      <c r="AO924" s="76"/>
      <c r="AP924" s="76"/>
      <c r="AQ924" s="76"/>
      <c r="AR924" s="76"/>
      <c r="AS924" s="76"/>
      <c r="AT924" s="76"/>
      <c r="AU924" s="76"/>
      <c r="AV924" s="76"/>
      <c r="AW924" s="76"/>
      <c r="AX924" s="76">
        <f>+AW924*600000</f>
        <v>0</v>
      </c>
      <c r="AY924" s="76"/>
      <c r="AZ924" s="76">
        <f>+AY924*70000</f>
        <v>0</v>
      </c>
      <c r="BA924" s="76"/>
      <c r="BB924" s="76"/>
      <c r="BC924" s="76"/>
      <c r="BD924" s="76">
        <f>+BC924*30000</f>
        <v>0</v>
      </c>
      <c r="BE924" s="76"/>
      <c r="BF924" s="76"/>
      <c r="BG924" s="76"/>
      <c r="BH924" s="76"/>
      <c r="BI924" s="76"/>
      <c r="BJ924" s="76"/>
      <c r="BK924" s="76"/>
      <c r="BL924" s="76">
        <f>+BK924*31500</f>
        <v>0</v>
      </c>
      <c r="BM924" s="76"/>
      <c r="BN924" s="76"/>
      <c r="BO924" s="76"/>
      <c r="BP924" s="76"/>
      <c r="BQ924" s="76"/>
      <c r="BR924" s="76"/>
      <c r="BS924" s="76"/>
      <c r="BT924" s="76"/>
      <c r="BU924" s="76"/>
      <c r="BV924" s="76"/>
      <c r="BW924" s="76"/>
      <c r="BX924" s="76"/>
      <c r="BY924" s="76"/>
      <c r="BZ924" s="76"/>
      <c r="CA924" s="76"/>
      <c r="CB924" s="76"/>
      <c r="CC924" s="76"/>
      <c r="CD924" s="76"/>
      <c r="CE924" s="76"/>
      <c r="CF924" s="76">
        <f>+CE924*28000</f>
        <v>0</v>
      </c>
      <c r="CG924" s="76"/>
      <c r="CH924" s="76">
        <f>+CG924*22500</f>
        <v>0</v>
      </c>
      <c r="CI924" s="76"/>
      <c r="CJ924" s="76">
        <f>+CI924*26000</f>
        <v>0</v>
      </c>
      <c r="CK924" s="76"/>
      <c r="CL924" s="76"/>
      <c r="CM924" s="76"/>
      <c r="CN924" s="76">
        <f>+CM924*22000</f>
        <v>0</v>
      </c>
      <c r="CO924" s="76"/>
      <c r="CP924" s="76">
        <f>+CO924*46000</f>
        <v>0</v>
      </c>
      <c r="CQ924" s="76"/>
      <c r="CR924" s="76">
        <f>+CQ924*49000</f>
        <v>0</v>
      </c>
      <c r="CS924" s="76"/>
      <c r="CT924" s="76"/>
      <c r="CU924" s="56">
        <f>AN924+AP924+AR924+AT924+AV924+AX924+AZ924+BB924+BD924+BF924+BH924+BJ924+BL924+BN924+BP924+BR924+BT924+BV924+BX924+BZ924+CB924+CD924+CF924+CH924+CJ924+CL924+CN924+CP924+CR924+CT924</f>
        <v>0</v>
      </c>
      <c r="CV924" s="76"/>
      <c r="CW924" s="76">
        <f>+CV924*1100</f>
        <v>0</v>
      </c>
      <c r="CX924" s="76"/>
      <c r="CY924" s="76">
        <f>+CX924*106250</f>
        <v>0</v>
      </c>
      <c r="CZ924" s="76"/>
      <c r="DA924" s="76">
        <f>+CZ924*34500</f>
        <v>0</v>
      </c>
      <c r="DB924" s="76"/>
      <c r="DC924" s="76">
        <f>+DB924*25000</f>
        <v>0</v>
      </c>
      <c r="DD924" s="219"/>
      <c r="DE924" s="219"/>
      <c r="DF924" s="166"/>
      <c r="DG924" s="116"/>
      <c r="DH924" s="117"/>
      <c r="DI924" s="24"/>
      <c r="DJ924" s="24"/>
      <c r="DK924" s="24"/>
      <c r="DL924" s="24"/>
      <c r="DM924" s="24"/>
      <c r="DN924" s="24"/>
      <c r="DO924" s="24"/>
      <c r="DP924" s="24"/>
      <c r="DQ924" s="24"/>
      <c r="DR924" s="24"/>
      <c r="DS924" s="24"/>
      <c r="DT924" s="24"/>
      <c r="DU924" s="24"/>
    </row>
    <row r="925" spans="1:125" s="8" customFormat="1" ht="36" x14ac:dyDescent="0.2">
      <c r="A925" s="77">
        <v>41329</v>
      </c>
      <c r="B925" s="78" t="s">
        <v>2036</v>
      </c>
      <c r="C925" s="75" t="s">
        <v>1374</v>
      </c>
      <c r="D925" s="81" t="s">
        <v>2846</v>
      </c>
      <c r="E925" s="75" t="str">
        <f>VLOOKUP(B925&amp;C925,Divipola!$C$2:$F$1138,4,FALSE)</f>
        <v>81065</v>
      </c>
      <c r="F925" s="87"/>
      <c r="G925" s="87"/>
      <c r="H925" s="87"/>
      <c r="I925" s="87"/>
      <c r="J925" s="87"/>
      <c r="K925" s="87"/>
      <c r="L925" s="87"/>
      <c r="M925" s="87"/>
      <c r="N925" s="87"/>
      <c r="O925" s="87"/>
      <c r="P925" s="87"/>
      <c r="Q925" s="87"/>
      <c r="R925" s="87"/>
      <c r="S925" s="87"/>
      <c r="T925" s="87"/>
      <c r="U925" s="88">
        <v>40</v>
      </c>
      <c r="V925" s="89"/>
      <c r="W925" s="96">
        <v>0</v>
      </c>
      <c r="X925" s="71">
        <f>CU925</f>
        <v>0</v>
      </c>
      <c r="Y925" s="71">
        <f>CY925</f>
        <v>0</v>
      </c>
      <c r="Z925" s="71">
        <f>DA925+DC925+DE925</f>
        <v>0</v>
      </c>
      <c r="AA925" s="71">
        <f>CW925</f>
        <v>0</v>
      </c>
      <c r="AB925" s="71"/>
      <c r="AC925" s="71">
        <v>0</v>
      </c>
      <c r="AD925" s="71">
        <f>W925+X925+Y925+Z925+AA925+AB925+AC925</f>
        <v>0</v>
      </c>
      <c r="AE925" s="72">
        <v>0</v>
      </c>
      <c r="AF925" s="5"/>
      <c r="AG925" s="6"/>
      <c r="AH925" s="27" t="s">
        <v>3392</v>
      </c>
      <c r="AI925" s="44" t="s">
        <v>3393</v>
      </c>
      <c r="AJ925" s="26"/>
      <c r="AK925" s="5"/>
      <c r="AL925" s="82" t="s">
        <v>3613</v>
      </c>
      <c r="AM925" s="76"/>
      <c r="AN925" s="76"/>
      <c r="AO925" s="76"/>
      <c r="AP925" s="76"/>
      <c r="AQ925" s="76"/>
      <c r="AR925" s="76"/>
      <c r="AS925" s="76"/>
      <c r="AT925" s="76"/>
      <c r="AU925" s="76"/>
      <c r="AV925" s="76"/>
      <c r="AW925" s="76"/>
      <c r="AX925" s="76">
        <f>+AW925*600000</f>
        <v>0</v>
      </c>
      <c r="AY925" s="76"/>
      <c r="AZ925" s="76">
        <f>+AY925*70000</f>
        <v>0</v>
      </c>
      <c r="BA925" s="76"/>
      <c r="BB925" s="76"/>
      <c r="BC925" s="76"/>
      <c r="BD925" s="76">
        <f>+BC925*30000</f>
        <v>0</v>
      </c>
      <c r="BE925" s="76"/>
      <c r="BF925" s="76"/>
      <c r="BG925" s="76"/>
      <c r="BH925" s="76"/>
      <c r="BI925" s="76"/>
      <c r="BJ925" s="76"/>
      <c r="BK925" s="76"/>
      <c r="BL925" s="76">
        <f>+BK925*31500</f>
        <v>0</v>
      </c>
      <c r="BM925" s="76"/>
      <c r="BN925" s="76"/>
      <c r="BO925" s="76"/>
      <c r="BP925" s="76"/>
      <c r="BQ925" s="76"/>
      <c r="BR925" s="76"/>
      <c r="BS925" s="76"/>
      <c r="BT925" s="76"/>
      <c r="BU925" s="76"/>
      <c r="BV925" s="76"/>
      <c r="BW925" s="76"/>
      <c r="BX925" s="76"/>
      <c r="BY925" s="76"/>
      <c r="BZ925" s="76"/>
      <c r="CA925" s="76"/>
      <c r="CB925" s="76"/>
      <c r="CC925" s="76"/>
      <c r="CD925" s="76"/>
      <c r="CE925" s="76"/>
      <c r="CF925" s="76">
        <f>+CE925*28000</f>
        <v>0</v>
      </c>
      <c r="CG925" s="76"/>
      <c r="CH925" s="76">
        <f>+CG925*22500</f>
        <v>0</v>
      </c>
      <c r="CI925" s="76"/>
      <c r="CJ925" s="76">
        <f>+CI925*26000</f>
        <v>0</v>
      </c>
      <c r="CK925" s="76"/>
      <c r="CL925" s="76"/>
      <c r="CM925" s="76"/>
      <c r="CN925" s="76">
        <f>+CM925*22000</f>
        <v>0</v>
      </c>
      <c r="CO925" s="76"/>
      <c r="CP925" s="76">
        <f>+CO925*46000</f>
        <v>0</v>
      </c>
      <c r="CQ925" s="76"/>
      <c r="CR925" s="76">
        <f>+CQ925*49000</f>
        <v>0</v>
      </c>
      <c r="CS925" s="76"/>
      <c r="CT925" s="76"/>
      <c r="CU925" s="56">
        <f>AN925+AP925+AR925+AT925+AV925+AX925+AZ925+BB925+BD925+BF925+BH925+BJ925+BL925+BN925+BP925+BR925+BT925+BV925+BX925+BZ925+CB925+CD925+CF925+CH925+CJ925+CL925+CN925+CP925+CR925+CT925</f>
        <v>0</v>
      </c>
      <c r="CV925" s="76"/>
      <c r="CW925" s="76">
        <f>+CV925*1100</f>
        <v>0</v>
      </c>
      <c r="CX925" s="76"/>
      <c r="CY925" s="76">
        <f>+CX925*106250</f>
        <v>0</v>
      </c>
      <c r="CZ925" s="76"/>
      <c r="DA925" s="76">
        <f>+CZ925*34500</f>
        <v>0</v>
      </c>
      <c r="DB925" s="76"/>
      <c r="DC925" s="76">
        <f>+DB925*25000</f>
        <v>0</v>
      </c>
      <c r="DD925" s="219"/>
      <c r="DE925" s="219"/>
      <c r="DF925" s="166"/>
      <c r="DG925" s="116"/>
      <c r="DH925" s="117"/>
      <c r="DI925" s="24"/>
      <c r="DJ925" s="24"/>
      <c r="DK925" s="24"/>
      <c r="DL925" s="24"/>
      <c r="DM925" s="24"/>
      <c r="DN925" s="24"/>
      <c r="DO925" s="24"/>
      <c r="DP925" s="24"/>
      <c r="DQ925" s="24"/>
      <c r="DR925" s="24"/>
      <c r="DS925" s="24"/>
      <c r="DT925" s="24"/>
      <c r="DU925" s="24"/>
    </row>
    <row r="926" spans="1:125" s="8" customFormat="1" ht="96" x14ac:dyDescent="0.2">
      <c r="A926" s="77">
        <v>41329</v>
      </c>
      <c r="B926" s="78" t="s">
        <v>2700</v>
      </c>
      <c r="C926" s="75" t="s">
        <v>2217</v>
      </c>
      <c r="D926" s="81" t="s">
        <v>2846</v>
      </c>
      <c r="E926" s="75" t="str">
        <f>VLOOKUP(B926&amp;C926,Divipola!$C$2:$F$1138,4,FALSE)</f>
        <v>15469</v>
      </c>
      <c r="F926" s="87"/>
      <c r="G926" s="87"/>
      <c r="H926" s="87"/>
      <c r="I926" s="87"/>
      <c r="J926" s="87"/>
      <c r="K926" s="87"/>
      <c r="L926" s="87"/>
      <c r="M926" s="87"/>
      <c r="N926" s="87"/>
      <c r="O926" s="87"/>
      <c r="P926" s="87"/>
      <c r="Q926" s="87"/>
      <c r="R926" s="87"/>
      <c r="S926" s="87"/>
      <c r="T926" s="87"/>
      <c r="U926" s="88">
        <v>2</v>
      </c>
      <c r="V926" s="89"/>
      <c r="W926" s="96">
        <v>0</v>
      </c>
      <c r="X926" s="71">
        <f>CU926</f>
        <v>0</v>
      </c>
      <c r="Y926" s="71">
        <f>CY926</f>
        <v>0</v>
      </c>
      <c r="Z926" s="71">
        <f>DA926+DC926+DE926</f>
        <v>0</v>
      </c>
      <c r="AA926" s="71">
        <f>CW926</f>
        <v>0</v>
      </c>
      <c r="AB926" s="71"/>
      <c r="AC926" s="71">
        <v>0</v>
      </c>
      <c r="AD926" s="71">
        <f>W926+X926+Y926+Z926+AA926+AB926+AC926</f>
        <v>0</v>
      </c>
      <c r="AE926" s="72">
        <v>0</v>
      </c>
      <c r="AF926" s="5"/>
      <c r="AG926" s="6"/>
      <c r="AH926" s="27" t="s">
        <v>3392</v>
      </c>
      <c r="AI926" s="44" t="s">
        <v>3393</v>
      </c>
      <c r="AJ926" s="26"/>
      <c r="AK926" s="5"/>
      <c r="AL926" s="82" t="s">
        <v>3612</v>
      </c>
      <c r="AM926" s="76"/>
      <c r="AN926" s="76"/>
      <c r="AO926" s="76"/>
      <c r="AP926" s="76"/>
      <c r="AQ926" s="76"/>
      <c r="AR926" s="76"/>
      <c r="AS926" s="76"/>
      <c r="AT926" s="76"/>
      <c r="AU926" s="76"/>
      <c r="AV926" s="76"/>
      <c r="AW926" s="76"/>
      <c r="AX926" s="76">
        <f>+AW926*600000</f>
        <v>0</v>
      </c>
      <c r="AY926" s="76"/>
      <c r="AZ926" s="76">
        <f>+AY926*70000</f>
        <v>0</v>
      </c>
      <c r="BA926" s="76"/>
      <c r="BB926" s="76"/>
      <c r="BC926" s="76"/>
      <c r="BD926" s="76">
        <f>+BC926*30000</f>
        <v>0</v>
      </c>
      <c r="BE926" s="76"/>
      <c r="BF926" s="76"/>
      <c r="BG926" s="76"/>
      <c r="BH926" s="76"/>
      <c r="BI926" s="76"/>
      <c r="BJ926" s="76"/>
      <c r="BK926" s="76"/>
      <c r="BL926" s="76">
        <f>+BK926*31500</f>
        <v>0</v>
      </c>
      <c r="BM926" s="76"/>
      <c r="BN926" s="76"/>
      <c r="BO926" s="76"/>
      <c r="BP926" s="76"/>
      <c r="BQ926" s="76"/>
      <c r="BR926" s="76"/>
      <c r="BS926" s="76"/>
      <c r="BT926" s="76"/>
      <c r="BU926" s="76"/>
      <c r="BV926" s="76"/>
      <c r="BW926" s="76"/>
      <c r="BX926" s="76"/>
      <c r="BY926" s="76"/>
      <c r="BZ926" s="76"/>
      <c r="CA926" s="76"/>
      <c r="CB926" s="76"/>
      <c r="CC926" s="76"/>
      <c r="CD926" s="76"/>
      <c r="CE926" s="76"/>
      <c r="CF926" s="76">
        <f>+CE926*28000</f>
        <v>0</v>
      </c>
      <c r="CG926" s="76"/>
      <c r="CH926" s="76">
        <f>+CG926*22500</f>
        <v>0</v>
      </c>
      <c r="CI926" s="76"/>
      <c r="CJ926" s="76">
        <f>+CI926*26000</f>
        <v>0</v>
      </c>
      <c r="CK926" s="76"/>
      <c r="CL926" s="76"/>
      <c r="CM926" s="76"/>
      <c r="CN926" s="76">
        <f>+CM926*22000</f>
        <v>0</v>
      </c>
      <c r="CO926" s="76"/>
      <c r="CP926" s="76">
        <f>+CO926*46000</f>
        <v>0</v>
      </c>
      <c r="CQ926" s="76"/>
      <c r="CR926" s="76">
        <f>+CQ926*49000</f>
        <v>0</v>
      </c>
      <c r="CS926" s="76"/>
      <c r="CT926" s="76"/>
      <c r="CU926" s="56">
        <f>AN926+AP926+AR926+AT926+AV926+AX926+AZ926+BB926+BD926+BF926+BH926+BJ926+BL926+BN926+BP926+BR926+BT926+BV926+BX926+BZ926+CB926+CD926+CF926+CH926+CJ926+CL926+CN926+CP926+CR926+CT926</f>
        <v>0</v>
      </c>
      <c r="CV926" s="76"/>
      <c r="CW926" s="76">
        <f>+CV926*1100</f>
        <v>0</v>
      </c>
      <c r="CX926" s="76"/>
      <c r="CY926" s="76">
        <f>+CX926*106250</f>
        <v>0</v>
      </c>
      <c r="CZ926" s="76"/>
      <c r="DA926" s="76">
        <f>+CZ926*34500</f>
        <v>0</v>
      </c>
      <c r="DB926" s="76"/>
      <c r="DC926" s="76">
        <f>+DB926*25000</f>
        <v>0</v>
      </c>
      <c r="DD926" s="219"/>
      <c r="DE926" s="219"/>
      <c r="DF926" s="166"/>
      <c r="DG926" s="116"/>
      <c r="DH926" s="117"/>
      <c r="DI926" s="24"/>
      <c r="DJ926" s="24"/>
      <c r="DK926" s="24"/>
      <c r="DL926" s="24"/>
      <c r="DM926" s="24"/>
      <c r="DN926" s="24"/>
      <c r="DO926" s="24"/>
      <c r="DP926" s="24"/>
      <c r="DQ926" s="24"/>
      <c r="DR926" s="24"/>
      <c r="DS926" s="24"/>
      <c r="DT926" s="24"/>
      <c r="DU926" s="24"/>
    </row>
    <row r="927" spans="1:125" s="8" customFormat="1" ht="48" x14ac:dyDescent="0.2">
      <c r="A927" s="77">
        <v>41329</v>
      </c>
      <c r="B927" s="78" t="s">
        <v>2778</v>
      </c>
      <c r="C927" s="75" t="s">
        <v>1343</v>
      </c>
      <c r="D927" s="81" t="s">
        <v>2846</v>
      </c>
      <c r="E927" s="75" t="str">
        <f>VLOOKUP(B927&amp;C927,Divipola!$C$2:$F$1138,4,FALSE)</f>
        <v>85139</v>
      </c>
      <c r="F927" s="87"/>
      <c r="G927" s="87"/>
      <c r="H927" s="87"/>
      <c r="I927" s="87"/>
      <c r="J927" s="87"/>
      <c r="K927" s="87"/>
      <c r="L927" s="87"/>
      <c r="M927" s="87"/>
      <c r="N927" s="87"/>
      <c r="O927" s="87"/>
      <c r="P927" s="87"/>
      <c r="Q927" s="87"/>
      <c r="R927" s="87"/>
      <c r="S927" s="87"/>
      <c r="T927" s="87"/>
      <c r="U927" s="88">
        <v>50</v>
      </c>
      <c r="V927" s="89"/>
      <c r="W927" s="96">
        <v>0</v>
      </c>
      <c r="X927" s="71">
        <f>CU927</f>
        <v>0</v>
      </c>
      <c r="Y927" s="71">
        <f>CY927</f>
        <v>0</v>
      </c>
      <c r="Z927" s="71">
        <f>DA927+DC927+DE927</f>
        <v>0</v>
      </c>
      <c r="AA927" s="71">
        <f>CW927</f>
        <v>0</v>
      </c>
      <c r="AB927" s="71"/>
      <c r="AC927" s="71">
        <v>0</v>
      </c>
      <c r="AD927" s="71">
        <f>W927+X927+Y927+Z927+AA927+AB927+AC927</f>
        <v>0</v>
      </c>
      <c r="AE927" s="72">
        <v>0</v>
      </c>
      <c r="AF927" s="5"/>
      <c r="AG927" s="6"/>
      <c r="AH927" s="27" t="s">
        <v>3392</v>
      </c>
      <c r="AI927" s="44" t="s">
        <v>3393</v>
      </c>
      <c r="AJ927" s="26"/>
      <c r="AK927" s="5"/>
      <c r="AL927" s="82" t="s">
        <v>3682</v>
      </c>
      <c r="AM927" s="76"/>
      <c r="AN927" s="76"/>
      <c r="AO927" s="76"/>
      <c r="AP927" s="76"/>
      <c r="AQ927" s="76"/>
      <c r="AR927" s="76"/>
      <c r="AS927" s="76"/>
      <c r="AT927" s="76"/>
      <c r="AU927" s="76"/>
      <c r="AV927" s="76"/>
      <c r="AW927" s="76"/>
      <c r="AX927" s="76">
        <f>+AW927*600000</f>
        <v>0</v>
      </c>
      <c r="AY927" s="76"/>
      <c r="AZ927" s="76">
        <f>+AY927*70000</f>
        <v>0</v>
      </c>
      <c r="BA927" s="76"/>
      <c r="BB927" s="76"/>
      <c r="BC927" s="76"/>
      <c r="BD927" s="76">
        <f>+BC927*30000</f>
        <v>0</v>
      </c>
      <c r="BE927" s="76"/>
      <c r="BF927" s="76"/>
      <c r="BG927" s="76"/>
      <c r="BH927" s="76"/>
      <c r="BI927" s="76"/>
      <c r="BJ927" s="76"/>
      <c r="BK927" s="76"/>
      <c r="BL927" s="76">
        <f>+BK927*31500</f>
        <v>0</v>
      </c>
      <c r="BM927" s="76"/>
      <c r="BN927" s="76"/>
      <c r="BO927" s="76"/>
      <c r="BP927" s="76"/>
      <c r="BQ927" s="76"/>
      <c r="BR927" s="76"/>
      <c r="BS927" s="76"/>
      <c r="BT927" s="76"/>
      <c r="BU927" s="76"/>
      <c r="BV927" s="76"/>
      <c r="BW927" s="76"/>
      <c r="BX927" s="76"/>
      <c r="BY927" s="76"/>
      <c r="BZ927" s="76"/>
      <c r="CA927" s="76"/>
      <c r="CB927" s="76"/>
      <c r="CC927" s="76"/>
      <c r="CD927" s="76"/>
      <c r="CE927" s="76"/>
      <c r="CF927" s="76">
        <f>+CE927*28000</f>
        <v>0</v>
      </c>
      <c r="CG927" s="76"/>
      <c r="CH927" s="76">
        <f>+CG927*22500</f>
        <v>0</v>
      </c>
      <c r="CI927" s="76"/>
      <c r="CJ927" s="76">
        <f>+CI927*26000</f>
        <v>0</v>
      </c>
      <c r="CK927" s="76"/>
      <c r="CL927" s="76"/>
      <c r="CM927" s="76"/>
      <c r="CN927" s="76">
        <f>+CM927*22000</f>
        <v>0</v>
      </c>
      <c r="CO927" s="76"/>
      <c r="CP927" s="76">
        <f>+CO927*46000</f>
        <v>0</v>
      </c>
      <c r="CQ927" s="76"/>
      <c r="CR927" s="76">
        <f>+CQ927*49000</f>
        <v>0</v>
      </c>
      <c r="CS927" s="76"/>
      <c r="CT927" s="76"/>
      <c r="CU927" s="56">
        <f>AN927+AP927+AR927+AT927+AV927+AX927+AZ927+BB927+BD927+BF927+BH927+BJ927+BL927+BN927+BP927+BR927+BT927+BV927+BX927+BZ927+CB927+CD927+CF927+CH927+CJ927+CL927+CN927+CP927+CR927+CT927</f>
        <v>0</v>
      </c>
      <c r="CV927" s="76"/>
      <c r="CW927" s="76">
        <f>+CV927*1100</f>
        <v>0</v>
      </c>
      <c r="CX927" s="76"/>
      <c r="CY927" s="76">
        <f>+CX927*106250</f>
        <v>0</v>
      </c>
      <c r="CZ927" s="76"/>
      <c r="DA927" s="76">
        <f>+CZ927*34500</f>
        <v>0</v>
      </c>
      <c r="DB927" s="76"/>
      <c r="DC927" s="76">
        <f>+DB927*25000</f>
        <v>0</v>
      </c>
      <c r="DD927" s="219"/>
      <c r="DE927" s="219"/>
      <c r="DF927" s="166"/>
      <c r="DG927" s="116"/>
      <c r="DH927" s="117"/>
      <c r="DI927" s="24"/>
      <c r="DJ927" s="24"/>
      <c r="DK927" s="24"/>
      <c r="DL927" s="24"/>
      <c r="DM927" s="24"/>
      <c r="DN927" s="24"/>
      <c r="DO927" s="24"/>
      <c r="DP927" s="24"/>
      <c r="DQ927" s="24"/>
      <c r="DR927" s="24"/>
      <c r="DS927" s="24"/>
      <c r="DT927" s="24"/>
      <c r="DU927" s="24"/>
    </row>
    <row r="928" spans="1:125" s="8" customFormat="1" ht="36" x14ac:dyDescent="0.2">
      <c r="A928" s="77">
        <v>41329</v>
      </c>
      <c r="B928" s="78" t="s">
        <v>2778</v>
      </c>
      <c r="C928" s="75" t="s">
        <v>1343</v>
      </c>
      <c r="D928" s="81" t="s">
        <v>2846</v>
      </c>
      <c r="E928" s="75" t="str">
        <f>VLOOKUP(B928&amp;C928,Divipola!$C$2:$F$1138,4,FALSE)</f>
        <v>85139</v>
      </c>
      <c r="F928" s="87"/>
      <c r="G928" s="87"/>
      <c r="H928" s="87"/>
      <c r="I928" s="87"/>
      <c r="J928" s="87"/>
      <c r="K928" s="87"/>
      <c r="L928" s="87"/>
      <c r="M928" s="87"/>
      <c r="N928" s="87"/>
      <c r="O928" s="87"/>
      <c r="P928" s="87"/>
      <c r="Q928" s="87"/>
      <c r="R928" s="87"/>
      <c r="S928" s="87"/>
      <c r="T928" s="87"/>
      <c r="U928" s="88">
        <v>120</v>
      </c>
      <c r="V928" s="89"/>
      <c r="W928" s="96">
        <v>0</v>
      </c>
      <c r="X928" s="71">
        <f>CU928</f>
        <v>0</v>
      </c>
      <c r="Y928" s="71">
        <f>CY928</f>
        <v>0</v>
      </c>
      <c r="Z928" s="71">
        <f>DA928+DC928+DE928</f>
        <v>0</v>
      </c>
      <c r="AA928" s="71">
        <f>CW928</f>
        <v>0</v>
      </c>
      <c r="AB928" s="71"/>
      <c r="AC928" s="71">
        <v>0</v>
      </c>
      <c r="AD928" s="71">
        <f>W928+X928+Y928+Z928+AA928+AB928+AC928</f>
        <v>0</v>
      </c>
      <c r="AE928" s="72">
        <v>0</v>
      </c>
      <c r="AF928" s="5"/>
      <c r="AG928" s="6"/>
      <c r="AH928" s="27" t="s">
        <v>3392</v>
      </c>
      <c r="AI928" s="44" t="s">
        <v>3393</v>
      </c>
      <c r="AJ928" s="26"/>
      <c r="AK928" s="5"/>
      <c r="AL928" s="82" t="s">
        <v>3683</v>
      </c>
      <c r="AM928" s="76"/>
      <c r="AN928" s="76"/>
      <c r="AO928" s="76"/>
      <c r="AP928" s="76"/>
      <c r="AQ928" s="76"/>
      <c r="AR928" s="76"/>
      <c r="AS928" s="76"/>
      <c r="AT928" s="76"/>
      <c r="AU928" s="76"/>
      <c r="AV928" s="76"/>
      <c r="AW928" s="76"/>
      <c r="AX928" s="76">
        <f>+AW928*600000</f>
        <v>0</v>
      </c>
      <c r="AY928" s="76"/>
      <c r="AZ928" s="76">
        <f>+AY928*70000</f>
        <v>0</v>
      </c>
      <c r="BA928" s="76"/>
      <c r="BB928" s="76"/>
      <c r="BC928" s="76"/>
      <c r="BD928" s="76">
        <f>+BC928*30000</f>
        <v>0</v>
      </c>
      <c r="BE928" s="76"/>
      <c r="BF928" s="76"/>
      <c r="BG928" s="76"/>
      <c r="BH928" s="76"/>
      <c r="BI928" s="76"/>
      <c r="BJ928" s="76"/>
      <c r="BK928" s="76"/>
      <c r="BL928" s="76">
        <f>+BK928*31500</f>
        <v>0</v>
      </c>
      <c r="BM928" s="76"/>
      <c r="BN928" s="76"/>
      <c r="BO928" s="76"/>
      <c r="BP928" s="76"/>
      <c r="BQ928" s="76"/>
      <c r="BR928" s="76"/>
      <c r="BS928" s="76"/>
      <c r="BT928" s="76"/>
      <c r="BU928" s="76"/>
      <c r="BV928" s="76"/>
      <c r="BW928" s="76"/>
      <c r="BX928" s="76"/>
      <c r="BY928" s="76"/>
      <c r="BZ928" s="76"/>
      <c r="CA928" s="76"/>
      <c r="CB928" s="76"/>
      <c r="CC928" s="76"/>
      <c r="CD928" s="76"/>
      <c r="CE928" s="76"/>
      <c r="CF928" s="76">
        <f>+CE928*28000</f>
        <v>0</v>
      </c>
      <c r="CG928" s="76"/>
      <c r="CH928" s="76">
        <f>+CG928*22500</f>
        <v>0</v>
      </c>
      <c r="CI928" s="76"/>
      <c r="CJ928" s="76">
        <f>+CI928*26000</f>
        <v>0</v>
      </c>
      <c r="CK928" s="76"/>
      <c r="CL928" s="76"/>
      <c r="CM928" s="76"/>
      <c r="CN928" s="76">
        <f>+CM928*22000</f>
        <v>0</v>
      </c>
      <c r="CO928" s="76"/>
      <c r="CP928" s="76">
        <f>+CO928*46000</f>
        <v>0</v>
      </c>
      <c r="CQ928" s="76"/>
      <c r="CR928" s="76">
        <f>+CQ928*49000</f>
        <v>0</v>
      </c>
      <c r="CS928" s="76"/>
      <c r="CT928" s="76"/>
      <c r="CU928" s="56">
        <f>AN928+AP928+AR928+AT928+AV928+AX928+AZ928+BB928+BD928+BF928+BH928+BJ928+BL928+BN928+BP928+BR928+BT928+BV928+BX928+BZ928+CB928+CD928+CF928+CH928+CJ928+CL928+CN928+CP928+CR928+CT928</f>
        <v>0</v>
      </c>
      <c r="CV928" s="76"/>
      <c r="CW928" s="76">
        <f>+CV928*1100</f>
        <v>0</v>
      </c>
      <c r="CX928" s="76"/>
      <c r="CY928" s="76">
        <f>+CX928*106250</f>
        <v>0</v>
      </c>
      <c r="CZ928" s="76"/>
      <c r="DA928" s="76">
        <f>+CZ928*34500</f>
        <v>0</v>
      </c>
      <c r="DB928" s="76"/>
      <c r="DC928" s="76">
        <f>+DB928*25000</f>
        <v>0</v>
      </c>
      <c r="DD928" s="219"/>
      <c r="DE928" s="219"/>
      <c r="DF928" s="166"/>
      <c r="DG928" s="116"/>
      <c r="DH928" s="117"/>
      <c r="DI928" s="24"/>
      <c r="DJ928" s="24"/>
      <c r="DK928" s="24"/>
      <c r="DL928" s="24"/>
      <c r="DM928" s="24"/>
      <c r="DN928" s="24"/>
      <c r="DO928" s="24"/>
      <c r="DP928" s="24"/>
      <c r="DQ928" s="24"/>
      <c r="DR928" s="24"/>
      <c r="DS928" s="24"/>
      <c r="DT928" s="24"/>
      <c r="DU928" s="24"/>
    </row>
    <row r="929" spans="1:125" s="8" customFormat="1" ht="48" x14ac:dyDescent="0.2">
      <c r="A929" s="77">
        <v>41329</v>
      </c>
      <c r="B929" s="78" t="s">
        <v>2778</v>
      </c>
      <c r="C929" s="75" t="s">
        <v>1344</v>
      </c>
      <c r="D929" s="81" t="s">
        <v>2846</v>
      </c>
      <c r="E929" s="75" t="str">
        <f>VLOOKUP(B929&amp;C929,Divipola!$C$2:$F$1138,4,FALSE)</f>
        <v>85001</v>
      </c>
      <c r="F929" s="87"/>
      <c r="G929" s="87"/>
      <c r="H929" s="87"/>
      <c r="I929" s="87"/>
      <c r="J929" s="87"/>
      <c r="K929" s="87"/>
      <c r="L929" s="87"/>
      <c r="M929" s="87"/>
      <c r="N929" s="87"/>
      <c r="O929" s="87"/>
      <c r="P929" s="87"/>
      <c r="Q929" s="87"/>
      <c r="R929" s="87"/>
      <c r="S929" s="87"/>
      <c r="T929" s="87"/>
      <c r="U929" s="88">
        <v>6</v>
      </c>
      <c r="V929" s="89"/>
      <c r="W929" s="96">
        <v>0</v>
      </c>
      <c r="X929" s="71">
        <f>CU929</f>
        <v>0</v>
      </c>
      <c r="Y929" s="71">
        <f>CY929</f>
        <v>0</v>
      </c>
      <c r="Z929" s="71">
        <f>DA929+DC929+DE929</f>
        <v>0</v>
      </c>
      <c r="AA929" s="71">
        <f>CW929</f>
        <v>0</v>
      </c>
      <c r="AB929" s="71"/>
      <c r="AC929" s="71">
        <v>0</v>
      </c>
      <c r="AD929" s="71">
        <f>W929+X929+Y929+Z929+AA929+AB929+AC929</f>
        <v>0</v>
      </c>
      <c r="AE929" s="72">
        <v>0</v>
      </c>
      <c r="AF929" s="5"/>
      <c r="AG929" s="6"/>
      <c r="AH929" s="27" t="s">
        <v>3392</v>
      </c>
      <c r="AI929" s="44" t="s">
        <v>3393</v>
      </c>
      <c r="AJ929" s="26"/>
      <c r="AK929" s="5"/>
      <c r="AL929" s="82" t="s">
        <v>3798</v>
      </c>
      <c r="AM929" s="76"/>
      <c r="AN929" s="76"/>
      <c r="AO929" s="76"/>
      <c r="AP929" s="76"/>
      <c r="AQ929" s="76"/>
      <c r="AR929" s="76"/>
      <c r="AS929" s="76"/>
      <c r="AT929" s="76"/>
      <c r="AU929" s="76"/>
      <c r="AV929" s="76"/>
      <c r="AW929" s="76"/>
      <c r="AX929" s="76">
        <f>+AW929*600000</f>
        <v>0</v>
      </c>
      <c r="AY929" s="76"/>
      <c r="AZ929" s="76">
        <f>+AY929*70000</f>
        <v>0</v>
      </c>
      <c r="BA929" s="76"/>
      <c r="BB929" s="76"/>
      <c r="BC929" s="76"/>
      <c r="BD929" s="76">
        <f>+BC929*30000</f>
        <v>0</v>
      </c>
      <c r="BE929" s="76"/>
      <c r="BF929" s="76"/>
      <c r="BG929" s="76"/>
      <c r="BH929" s="76"/>
      <c r="BI929" s="76"/>
      <c r="BJ929" s="76"/>
      <c r="BK929" s="76"/>
      <c r="BL929" s="76">
        <f>+BK929*31500</f>
        <v>0</v>
      </c>
      <c r="BM929" s="76"/>
      <c r="BN929" s="76"/>
      <c r="BO929" s="76"/>
      <c r="BP929" s="76"/>
      <c r="BQ929" s="76"/>
      <c r="BR929" s="76"/>
      <c r="BS929" s="76"/>
      <c r="BT929" s="76"/>
      <c r="BU929" s="76"/>
      <c r="BV929" s="76"/>
      <c r="BW929" s="76"/>
      <c r="BX929" s="76"/>
      <c r="BY929" s="76"/>
      <c r="BZ929" s="76"/>
      <c r="CA929" s="76"/>
      <c r="CB929" s="76"/>
      <c r="CC929" s="76"/>
      <c r="CD929" s="76"/>
      <c r="CE929" s="76"/>
      <c r="CF929" s="76">
        <f>+CE929*28000</f>
        <v>0</v>
      </c>
      <c r="CG929" s="76"/>
      <c r="CH929" s="76">
        <f>+CG929*22500</f>
        <v>0</v>
      </c>
      <c r="CI929" s="76"/>
      <c r="CJ929" s="76">
        <f>+CI929*26000</f>
        <v>0</v>
      </c>
      <c r="CK929" s="76"/>
      <c r="CL929" s="76"/>
      <c r="CM929" s="76"/>
      <c r="CN929" s="76">
        <f>+CM929*22000</f>
        <v>0</v>
      </c>
      <c r="CO929" s="76"/>
      <c r="CP929" s="76">
        <f>+CO929*46000</f>
        <v>0</v>
      </c>
      <c r="CQ929" s="76"/>
      <c r="CR929" s="76">
        <f>+CQ929*49000</f>
        <v>0</v>
      </c>
      <c r="CS929" s="76"/>
      <c r="CT929" s="76"/>
      <c r="CU929" s="56">
        <f>AN929+AP929+AR929+AT929+AV929+AX929+AZ929+BB929+BD929+BF929+BH929+BJ929+BL929+BN929+BP929+BR929+BT929+BV929+BX929+BZ929+CB929+CD929+CF929+CH929+CJ929+CL929+CN929+CP929+CR929+CT929</f>
        <v>0</v>
      </c>
      <c r="CV929" s="76"/>
      <c r="CW929" s="76">
        <f>+CV929*1100</f>
        <v>0</v>
      </c>
      <c r="CX929" s="76"/>
      <c r="CY929" s="76">
        <f>+CX929*106250</f>
        <v>0</v>
      </c>
      <c r="CZ929" s="76"/>
      <c r="DA929" s="76">
        <f>+CZ929*34500</f>
        <v>0</v>
      </c>
      <c r="DB929" s="76"/>
      <c r="DC929" s="76">
        <f>+DB929*25000</f>
        <v>0</v>
      </c>
      <c r="DD929" s="219"/>
      <c r="DE929" s="219"/>
      <c r="DF929" s="166"/>
      <c r="DG929" s="116"/>
      <c r="DH929" s="117"/>
      <c r="DI929" s="24"/>
      <c r="DJ929" s="24"/>
      <c r="DK929" s="24"/>
      <c r="DL929" s="24"/>
      <c r="DM929" s="24"/>
      <c r="DN929" s="24"/>
      <c r="DO929" s="24"/>
      <c r="DP929" s="24"/>
      <c r="DQ929" s="24"/>
      <c r="DR929" s="24"/>
      <c r="DS929" s="24"/>
      <c r="DT929" s="24"/>
      <c r="DU929" s="24"/>
    </row>
    <row r="930" spans="1:125" s="8" customFormat="1" ht="36" x14ac:dyDescent="0.2">
      <c r="A930" s="77">
        <v>41329</v>
      </c>
      <c r="B930" s="225" t="s">
        <v>2855</v>
      </c>
      <c r="C930" s="227" t="s">
        <v>933</v>
      </c>
      <c r="D930" s="81" t="s">
        <v>2846</v>
      </c>
      <c r="E930" s="75" t="str">
        <f>VLOOKUP(B930&amp;C930,Divipola!$C$2:$F$1138,4,FALSE)</f>
        <v>20621</v>
      </c>
      <c r="F930" s="87"/>
      <c r="G930" s="87"/>
      <c r="H930" s="87"/>
      <c r="I930" s="87"/>
      <c r="J930" s="87"/>
      <c r="K930" s="87"/>
      <c r="L930" s="87"/>
      <c r="M930" s="87"/>
      <c r="N930" s="87"/>
      <c r="O930" s="87"/>
      <c r="P930" s="87"/>
      <c r="Q930" s="87"/>
      <c r="R930" s="87"/>
      <c r="S930" s="87"/>
      <c r="T930" s="87"/>
      <c r="U930" s="88"/>
      <c r="V930" s="89"/>
      <c r="W930" s="96">
        <v>0</v>
      </c>
      <c r="X930" s="71">
        <f>CU930</f>
        <v>0</v>
      </c>
      <c r="Y930" s="71">
        <f>CY930</f>
        <v>0</v>
      </c>
      <c r="Z930" s="71">
        <f>DA930+DC930+DE930</f>
        <v>0</v>
      </c>
      <c r="AA930" s="71">
        <f>CW930</f>
        <v>0</v>
      </c>
      <c r="AB930" s="71"/>
      <c r="AC930" s="71">
        <v>0</v>
      </c>
      <c r="AD930" s="71">
        <f>W930+X930+Y930+Z930+AA930+AB930+AC930</f>
        <v>0</v>
      </c>
      <c r="AE930" s="72">
        <v>0</v>
      </c>
      <c r="AF930" s="5"/>
      <c r="AG930" s="6"/>
      <c r="AH930" s="27" t="s">
        <v>3392</v>
      </c>
      <c r="AI930" s="44" t="s">
        <v>3393</v>
      </c>
      <c r="AJ930" s="26"/>
      <c r="AK930" s="5"/>
      <c r="AL930" s="82" t="s">
        <v>3611</v>
      </c>
      <c r="AM930" s="76"/>
      <c r="AN930" s="76"/>
      <c r="AO930" s="76"/>
      <c r="AP930" s="76"/>
      <c r="AQ930" s="76"/>
      <c r="AR930" s="76"/>
      <c r="AS930" s="76"/>
      <c r="AT930" s="76"/>
      <c r="AU930" s="76"/>
      <c r="AV930" s="76"/>
      <c r="AW930" s="76"/>
      <c r="AX930" s="76">
        <f>+AW930*600000</f>
        <v>0</v>
      </c>
      <c r="AY930" s="76"/>
      <c r="AZ930" s="76">
        <f>+AY930*70000</f>
        <v>0</v>
      </c>
      <c r="BA930" s="76"/>
      <c r="BB930" s="76"/>
      <c r="BC930" s="76"/>
      <c r="BD930" s="76">
        <f>+BC930*30000</f>
        <v>0</v>
      </c>
      <c r="BE930" s="76"/>
      <c r="BF930" s="76"/>
      <c r="BG930" s="76"/>
      <c r="BH930" s="76"/>
      <c r="BI930" s="76"/>
      <c r="BJ930" s="76"/>
      <c r="BK930" s="76"/>
      <c r="BL930" s="76">
        <f>+BK930*31500</f>
        <v>0</v>
      </c>
      <c r="BM930" s="76"/>
      <c r="BN930" s="76"/>
      <c r="BO930" s="76"/>
      <c r="BP930" s="76"/>
      <c r="BQ930" s="76"/>
      <c r="BR930" s="76"/>
      <c r="BS930" s="76"/>
      <c r="BT930" s="76"/>
      <c r="BU930" s="76"/>
      <c r="BV930" s="76"/>
      <c r="BW930" s="76"/>
      <c r="BX930" s="76"/>
      <c r="BY930" s="76"/>
      <c r="BZ930" s="76"/>
      <c r="CA930" s="76"/>
      <c r="CB930" s="76"/>
      <c r="CC930" s="76"/>
      <c r="CD930" s="76"/>
      <c r="CE930" s="76"/>
      <c r="CF930" s="76">
        <f>+CE930*28000</f>
        <v>0</v>
      </c>
      <c r="CG930" s="76"/>
      <c r="CH930" s="76">
        <f>+CG930*22500</f>
        <v>0</v>
      </c>
      <c r="CI930" s="76"/>
      <c r="CJ930" s="76">
        <f>+CI930*26000</f>
        <v>0</v>
      </c>
      <c r="CK930" s="76"/>
      <c r="CL930" s="76"/>
      <c r="CM930" s="76"/>
      <c r="CN930" s="76">
        <f>+CM930*22000</f>
        <v>0</v>
      </c>
      <c r="CO930" s="76"/>
      <c r="CP930" s="76">
        <f>+CO930*46000</f>
        <v>0</v>
      </c>
      <c r="CQ930" s="76"/>
      <c r="CR930" s="76">
        <f>+CQ930*49000</f>
        <v>0</v>
      </c>
      <c r="CS930" s="76"/>
      <c r="CT930" s="76"/>
      <c r="CU930" s="56">
        <f>AN930+AP930+AR930+AT930+AV930+AX930+AZ930+BB930+BD930+BF930+BH930+BJ930+BL930+BN930+BP930+BR930+BT930+BV930+BX930+BZ930+CB930+CD930+CF930+CH930+CJ930+CL930+CN930+CP930+CR930+CT930</f>
        <v>0</v>
      </c>
      <c r="CV930" s="76"/>
      <c r="CW930" s="76">
        <f>+CV930*1100</f>
        <v>0</v>
      </c>
      <c r="CX930" s="76"/>
      <c r="CY930" s="76">
        <f>+CX930*106250</f>
        <v>0</v>
      </c>
      <c r="CZ930" s="76"/>
      <c r="DA930" s="76">
        <f>+CZ930*34500</f>
        <v>0</v>
      </c>
      <c r="DB930" s="76"/>
      <c r="DC930" s="76">
        <f>+DB930*25000</f>
        <v>0</v>
      </c>
      <c r="DD930" s="219"/>
      <c r="DE930" s="219"/>
      <c r="DF930" s="166"/>
      <c r="DG930" s="116"/>
      <c r="DH930" s="117"/>
      <c r="DI930" s="24"/>
      <c r="DJ930" s="24"/>
      <c r="DK930" s="24"/>
      <c r="DL930" s="24"/>
      <c r="DM930" s="24"/>
      <c r="DN930" s="24"/>
      <c r="DO930" s="24"/>
      <c r="DP930" s="24"/>
      <c r="DQ930" s="24"/>
      <c r="DR930" s="24"/>
      <c r="DS930" s="24"/>
      <c r="DT930" s="24"/>
      <c r="DU930" s="24"/>
    </row>
    <row r="931" spans="1:125" s="8" customFormat="1" ht="60" x14ac:dyDescent="0.2">
      <c r="A931" s="77">
        <v>41329</v>
      </c>
      <c r="B931" s="225" t="s">
        <v>2855</v>
      </c>
      <c r="C931" s="227" t="s">
        <v>929</v>
      </c>
      <c r="D931" s="81" t="s">
        <v>2846</v>
      </c>
      <c r="E931" s="75" t="str">
        <f>VLOOKUP(B931&amp;C931,Divipola!$C$2:$F$1138,4,FALSE)</f>
        <v>20570</v>
      </c>
      <c r="F931" s="100"/>
      <c r="G931" s="100"/>
      <c r="H931" s="100"/>
      <c r="I931" s="100"/>
      <c r="J931" s="100"/>
      <c r="K931" s="100"/>
      <c r="L931" s="100"/>
      <c r="M931" s="100"/>
      <c r="N931" s="100"/>
      <c r="O931" s="100"/>
      <c r="P931" s="100"/>
      <c r="Q931" s="100"/>
      <c r="R931" s="100"/>
      <c r="S931" s="100"/>
      <c r="T931" s="100"/>
      <c r="U931" s="136">
        <v>40</v>
      </c>
      <c r="V931" s="89"/>
      <c r="W931" s="96">
        <v>0</v>
      </c>
      <c r="X931" s="71">
        <f>CU931</f>
        <v>0</v>
      </c>
      <c r="Y931" s="71">
        <f>CY931</f>
        <v>0</v>
      </c>
      <c r="Z931" s="71">
        <f>DA931+DC931+DE931</f>
        <v>0</v>
      </c>
      <c r="AA931" s="71">
        <f>CW931</f>
        <v>0</v>
      </c>
      <c r="AB931" s="71"/>
      <c r="AC931" s="71">
        <v>0</v>
      </c>
      <c r="AD931" s="71">
        <f>W931+X931+Y931+Z931+AA931+AB931+AC931</f>
        <v>0</v>
      </c>
      <c r="AE931" s="72">
        <v>0</v>
      </c>
      <c r="AF931" s="5"/>
      <c r="AG931" s="6"/>
      <c r="AH931" s="27" t="s">
        <v>3392</v>
      </c>
      <c r="AI931" s="44" t="s">
        <v>3393</v>
      </c>
      <c r="AJ931" s="26"/>
      <c r="AK931" s="5"/>
      <c r="AL931" s="82" t="s">
        <v>3614</v>
      </c>
      <c r="AM931" s="76"/>
      <c r="AN931" s="76"/>
      <c r="AO931" s="76"/>
      <c r="AP931" s="76"/>
      <c r="AQ931" s="76"/>
      <c r="AR931" s="76"/>
      <c r="AS931" s="76"/>
      <c r="AT931" s="76"/>
      <c r="AU931" s="76"/>
      <c r="AV931" s="76"/>
      <c r="AW931" s="76"/>
      <c r="AX931" s="76">
        <f>+AW931*600000</f>
        <v>0</v>
      </c>
      <c r="AY931" s="76"/>
      <c r="AZ931" s="76">
        <f>+AY931*70000</f>
        <v>0</v>
      </c>
      <c r="BA931" s="76"/>
      <c r="BB931" s="76"/>
      <c r="BC931" s="76"/>
      <c r="BD931" s="76">
        <f>+BC931*30000</f>
        <v>0</v>
      </c>
      <c r="BE931" s="76"/>
      <c r="BF931" s="76"/>
      <c r="BG931" s="76"/>
      <c r="BH931" s="76"/>
      <c r="BI931" s="76"/>
      <c r="BJ931" s="76"/>
      <c r="BK931" s="76"/>
      <c r="BL931" s="76">
        <f>+BK931*31500</f>
        <v>0</v>
      </c>
      <c r="BM931" s="76"/>
      <c r="BN931" s="76"/>
      <c r="BO931" s="76"/>
      <c r="BP931" s="76"/>
      <c r="BQ931" s="76"/>
      <c r="BR931" s="76"/>
      <c r="BS931" s="76"/>
      <c r="BT931" s="76"/>
      <c r="BU931" s="76"/>
      <c r="BV931" s="76"/>
      <c r="BW931" s="76"/>
      <c r="BX931" s="76"/>
      <c r="BY931" s="76"/>
      <c r="BZ931" s="76"/>
      <c r="CA931" s="76"/>
      <c r="CB931" s="76"/>
      <c r="CC931" s="76"/>
      <c r="CD931" s="76"/>
      <c r="CE931" s="76"/>
      <c r="CF931" s="76">
        <f>+CE931*28000</f>
        <v>0</v>
      </c>
      <c r="CG931" s="76"/>
      <c r="CH931" s="76">
        <f>+CG931*22500</f>
        <v>0</v>
      </c>
      <c r="CI931" s="76"/>
      <c r="CJ931" s="76">
        <f>+CI931*26000</f>
        <v>0</v>
      </c>
      <c r="CK931" s="76"/>
      <c r="CL931" s="76"/>
      <c r="CM931" s="76"/>
      <c r="CN931" s="76">
        <f>+CM931*22000</f>
        <v>0</v>
      </c>
      <c r="CO931" s="76"/>
      <c r="CP931" s="76">
        <f>+CO931*46000</f>
        <v>0</v>
      </c>
      <c r="CQ931" s="76"/>
      <c r="CR931" s="76">
        <f>+CQ931*49000</f>
        <v>0</v>
      </c>
      <c r="CS931" s="76"/>
      <c r="CT931" s="76"/>
      <c r="CU931" s="56">
        <f>AN931+AP931+AR931+AT931+AV931+AX931+AZ931+BB931+BD931+BF931+BH931+BJ931+BL931+BN931+BP931+BR931+BT931+BV931+BX931+BZ931+CB931+CD931+CF931+CH931+CJ931+CL931+CN931+CP931+CR931+CT931</f>
        <v>0</v>
      </c>
      <c r="CV931" s="76"/>
      <c r="CW931" s="76">
        <f>+CV931*1100</f>
        <v>0</v>
      </c>
      <c r="CX931" s="76"/>
      <c r="CY931" s="76">
        <f>+CX931*106250</f>
        <v>0</v>
      </c>
      <c r="CZ931" s="76"/>
      <c r="DA931" s="76">
        <f>+CZ931*34500</f>
        <v>0</v>
      </c>
      <c r="DB931" s="76"/>
      <c r="DC931" s="76">
        <f>+DB931*25000</f>
        <v>0</v>
      </c>
      <c r="DD931" s="219"/>
      <c r="DE931" s="219"/>
      <c r="DF931" s="166"/>
      <c r="DG931" s="116"/>
      <c r="DH931" s="117"/>
      <c r="DI931" s="24"/>
      <c r="DJ931" s="24"/>
      <c r="DK931" s="24"/>
      <c r="DL931" s="24"/>
      <c r="DM931" s="24"/>
      <c r="DN931" s="24"/>
      <c r="DO931" s="24"/>
      <c r="DP931" s="24"/>
      <c r="DQ931" s="24"/>
      <c r="DR931" s="24"/>
      <c r="DS931" s="24"/>
      <c r="DT931" s="24"/>
      <c r="DU931" s="24"/>
    </row>
    <row r="932" spans="1:125" s="8" customFormat="1" ht="72" x14ac:dyDescent="0.2">
      <c r="A932" s="77">
        <v>41329</v>
      </c>
      <c r="B932" s="225" t="s">
        <v>2718</v>
      </c>
      <c r="C932" s="227" t="s">
        <v>1001</v>
      </c>
      <c r="D932" s="81" t="s">
        <v>2846</v>
      </c>
      <c r="E932" s="75" t="str">
        <f>VLOOKUP(B932&amp;C932,Divipola!$C$2:$F$1138,4,FALSE)</f>
        <v>23807</v>
      </c>
      <c r="F932" s="87"/>
      <c r="G932" s="87"/>
      <c r="H932" s="87"/>
      <c r="I932" s="87"/>
      <c r="J932" s="87"/>
      <c r="K932" s="87"/>
      <c r="L932" s="87"/>
      <c r="M932" s="87"/>
      <c r="N932" s="87"/>
      <c r="O932" s="87"/>
      <c r="P932" s="87"/>
      <c r="Q932" s="87"/>
      <c r="R932" s="87"/>
      <c r="S932" s="87"/>
      <c r="T932" s="87"/>
      <c r="U932" s="88">
        <v>15</v>
      </c>
      <c r="V932" s="89"/>
      <c r="W932" s="96">
        <v>0</v>
      </c>
      <c r="X932" s="71">
        <f>CU932</f>
        <v>0</v>
      </c>
      <c r="Y932" s="71">
        <f>CY932</f>
        <v>0</v>
      </c>
      <c r="Z932" s="71">
        <f>DA932+DC932+DE932</f>
        <v>0</v>
      </c>
      <c r="AA932" s="71">
        <f>CW932</f>
        <v>0</v>
      </c>
      <c r="AB932" s="71"/>
      <c r="AC932" s="71">
        <v>0</v>
      </c>
      <c r="AD932" s="71">
        <f>W932+X932+Y932+Z932+AA932+AB932+AC932</f>
        <v>0</v>
      </c>
      <c r="AE932" s="72">
        <v>0</v>
      </c>
      <c r="AF932" s="5"/>
      <c r="AG932" s="6"/>
      <c r="AH932" s="27" t="s">
        <v>3392</v>
      </c>
      <c r="AI932" s="44" t="s">
        <v>3393</v>
      </c>
      <c r="AJ932" s="26"/>
      <c r="AK932" s="5"/>
      <c r="AL932" s="82" t="s">
        <v>3616</v>
      </c>
      <c r="AM932" s="76"/>
      <c r="AN932" s="76"/>
      <c r="AO932" s="76"/>
      <c r="AP932" s="76"/>
      <c r="AQ932" s="76"/>
      <c r="AR932" s="76"/>
      <c r="AS932" s="76"/>
      <c r="AT932" s="76"/>
      <c r="AU932" s="76"/>
      <c r="AV932" s="76"/>
      <c r="AW932" s="76"/>
      <c r="AX932" s="76">
        <f>+AW932*600000</f>
        <v>0</v>
      </c>
      <c r="AY932" s="76"/>
      <c r="AZ932" s="76">
        <f>+AY932*70000</f>
        <v>0</v>
      </c>
      <c r="BA932" s="76"/>
      <c r="BB932" s="76"/>
      <c r="BC932" s="76"/>
      <c r="BD932" s="76">
        <f>+BC932*30000</f>
        <v>0</v>
      </c>
      <c r="BE932" s="76"/>
      <c r="BF932" s="76"/>
      <c r="BG932" s="76"/>
      <c r="BH932" s="76"/>
      <c r="BI932" s="76"/>
      <c r="BJ932" s="76"/>
      <c r="BK932" s="76"/>
      <c r="BL932" s="76">
        <f>+BK932*31500</f>
        <v>0</v>
      </c>
      <c r="BM932" s="76"/>
      <c r="BN932" s="76"/>
      <c r="BO932" s="76"/>
      <c r="BP932" s="76"/>
      <c r="BQ932" s="76"/>
      <c r="BR932" s="76"/>
      <c r="BS932" s="76"/>
      <c r="BT932" s="76"/>
      <c r="BU932" s="76"/>
      <c r="BV932" s="76"/>
      <c r="BW932" s="76"/>
      <c r="BX932" s="76"/>
      <c r="BY932" s="76"/>
      <c r="BZ932" s="76"/>
      <c r="CA932" s="76"/>
      <c r="CB932" s="76"/>
      <c r="CC932" s="76"/>
      <c r="CD932" s="76"/>
      <c r="CE932" s="76"/>
      <c r="CF932" s="76">
        <f>+CE932*28000</f>
        <v>0</v>
      </c>
      <c r="CG932" s="76"/>
      <c r="CH932" s="76">
        <f>+CG932*22500</f>
        <v>0</v>
      </c>
      <c r="CI932" s="76"/>
      <c r="CJ932" s="76">
        <f>+CI932*26000</f>
        <v>0</v>
      </c>
      <c r="CK932" s="76"/>
      <c r="CL932" s="76"/>
      <c r="CM932" s="76"/>
      <c r="CN932" s="76">
        <f>+CM932*22000</f>
        <v>0</v>
      </c>
      <c r="CO932" s="76"/>
      <c r="CP932" s="76">
        <f>+CO932*46000</f>
        <v>0</v>
      </c>
      <c r="CQ932" s="76"/>
      <c r="CR932" s="76">
        <f>+CQ932*49000</f>
        <v>0</v>
      </c>
      <c r="CS932" s="76"/>
      <c r="CT932" s="76"/>
      <c r="CU932" s="56">
        <f>AN932+AP932+AR932+AT932+AV932+AX932+AZ932+BB932+BD932+BF932+BH932+BJ932+BL932+BN932+BP932+BR932+BT932+BV932+BX932+BZ932+CB932+CD932+CF932+CH932+CJ932+CL932+CN932+CP932+CR932+CT932</f>
        <v>0</v>
      </c>
      <c r="CV932" s="76"/>
      <c r="CW932" s="76">
        <f>+CV932*1100</f>
        <v>0</v>
      </c>
      <c r="CX932" s="76"/>
      <c r="CY932" s="76">
        <f>+CX932*106250</f>
        <v>0</v>
      </c>
      <c r="CZ932" s="76"/>
      <c r="DA932" s="76">
        <f>+CZ932*34500</f>
        <v>0</v>
      </c>
      <c r="DB932" s="76"/>
      <c r="DC932" s="76">
        <f>+DB932*25000</f>
        <v>0</v>
      </c>
      <c r="DD932" s="219"/>
      <c r="DE932" s="219"/>
      <c r="DF932" s="166"/>
      <c r="DG932" s="116"/>
      <c r="DH932" s="117"/>
      <c r="DI932" s="24"/>
      <c r="DJ932" s="24"/>
      <c r="DK932" s="24"/>
      <c r="DL932" s="24"/>
      <c r="DM932" s="24"/>
      <c r="DN932" s="24"/>
      <c r="DO932" s="24"/>
      <c r="DP932" s="24"/>
      <c r="DQ932" s="24"/>
      <c r="DR932" s="24"/>
      <c r="DS932" s="24"/>
      <c r="DT932" s="24"/>
      <c r="DU932" s="24"/>
    </row>
    <row r="933" spans="1:125" s="8" customFormat="1" ht="264" x14ac:dyDescent="0.2">
      <c r="A933" s="77">
        <v>41329</v>
      </c>
      <c r="B933" s="225" t="s">
        <v>2880</v>
      </c>
      <c r="C933" s="227" t="s">
        <v>1354</v>
      </c>
      <c r="D933" s="227" t="s">
        <v>3504</v>
      </c>
      <c r="E933" s="75" t="str">
        <f>VLOOKUP(B933&amp;C933,Divipola!$C$2:$F$1138,4,FALSE)</f>
        <v>54810</v>
      </c>
      <c r="F933" s="100">
        <v>1</v>
      </c>
      <c r="G933" s="100">
        <v>2</v>
      </c>
      <c r="H933" s="100"/>
      <c r="I933" s="100"/>
      <c r="J933" s="100"/>
      <c r="K933" s="100"/>
      <c r="L933" s="100"/>
      <c r="M933" s="100"/>
      <c r="N933" s="100"/>
      <c r="O933" s="100"/>
      <c r="P933" s="100"/>
      <c r="Q933" s="100"/>
      <c r="R933" s="100"/>
      <c r="S933" s="100"/>
      <c r="T933" s="100"/>
      <c r="U933" s="136"/>
      <c r="V933" s="89"/>
      <c r="W933" s="96">
        <v>0</v>
      </c>
      <c r="X933" s="71">
        <f>CU933</f>
        <v>0</v>
      </c>
      <c r="Y933" s="71">
        <f>CY933</f>
        <v>0</v>
      </c>
      <c r="Z933" s="71">
        <f>DA933+DC933+DE933</f>
        <v>0</v>
      </c>
      <c r="AA933" s="71">
        <f>CW933</f>
        <v>0</v>
      </c>
      <c r="AB933" s="71"/>
      <c r="AC933" s="71">
        <v>0</v>
      </c>
      <c r="AD933" s="71">
        <f>W933+X933+Y933+Z933+AA933+AB933+AC933</f>
        <v>0</v>
      </c>
      <c r="AE933" s="72">
        <v>0</v>
      </c>
      <c r="AF933" s="5"/>
      <c r="AG933" s="6"/>
      <c r="AH933" s="27" t="s">
        <v>3392</v>
      </c>
      <c r="AI933" s="44" t="s">
        <v>3393</v>
      </c>
      <c r="AJ933" s="26"/>
      <c r="AK933" s="5"/>
      <c r="AL933" s="82" t="s">
        <v>3617</v>
      </c>
      <c r="AM933" s="76"/>
      <c r="AN933" s="76"/>
      <c r="AO933" s="76"/>
      <c r="AP933" s="76"/>
      <c r="AQ933" s="76"/>
      <c r="AR933" s="76"/>
      <c r="AS933" s="76"/>
      <c r="AT933" s="76"/>
      <c r="AU933" s="76"/>
      <c r="AV933" s="76"/>
      <c r="AW933" s="76"/>
      <c r="AX933" s="76">
        <f>+AW933*600000</f>
        <v>0</v>
      </c>
      <c r="AY933" s="76"/>
      <c r="AZ933" s="76">
        <f>+AY933*70000</f>
        <v>0</v>
      </c>
      <c r="BA933" s="76"/>
      <c r="BB933" s="76"/>
      <c r="BC933" s="76"/>
      <c r="BD933" s="76">
        <f>+BC933*30000</f>
        <v>0</v>
      </c>
      <c r="BE933" s="76"/>
      <c r="BF933" s="76"/>
      <c r="BG933" s="76"/>
      <c r="BH933" s="76"/>
      <c r="BI933" s="76"/>
      <c r="BJ933" s="76"/>
      <c r="BK933" s="76"/>
      <c r="BL933" s="76">
        <f>+BK933*31500</f>
        <v>0</v>
      </c>
      <c r="BM933" s="76"/>
      <c r="BN933" s="76"/>
      <c r="BO933" s="76"/>
      <c r="BP933" s="76"/>
      <c r="BQ933" s="76"/>
      <c r="BR933" s="76"/>
      <c r="BS933" s="76"/>
      <c r="BT933" s="76"/>
      <c r="BU933" s="76"/>
      <c r="BV933" s="76"/>
      <c r="BW933" s="76"/>
      <c r="BX933" s="76"/>
      <c r="BY933" s="76"/>
      <c r="BZ933" s="76"/>
      <c r="CA933" s="76"/>
      <c r="CB933" s="76"/>
      <c r="CC933" s="76"/>
      <c r="CD933" s="76"/>
      <c r="CE933" s="76"/>
      <c r="CF933" s="76">
        <f>+CE933*28000</f>
        <v>0</v>
      </c>
      <c r="CG933" s="76"/>
      <c r="CH933" s="76">
        <f>+CG933*22500</f>
        <v>0</v>
      </c>
      <c r="CI933" s="76"/>
      <c r="CJ933" s="76">
        <f>+CI933*26000</f>
        <v>0</v>
      </c>
      <c r="CK933" s="76"/>
      <c r="CL933" s="76"/>
      <c r="CM933" s="76"/>
      <c r="CN933" s="76">
        <f>+CM933*22000</f>
        <v>0</v>
      </c>
      <c r="CO933" s="76"/>
      <c r="CP933" s="76">
        <f>+CO933*46000</f>
        <v>0</v>
      </c>
      <c r="CQ933" s="76"/>
      <c r="CR933" s="76">
        <f>+CQ933*49000</f>
        <v>0</v>
      </c>
      <c r="CS933" s="76"/>
      <c r="CT933" s="76"/>
      <c r="CU933" s="56">
        <f>AN933+AP933+AR933+AT933+AV933+AX933+AZ933+BB933+BD933+BF933+BH933+BJ933+BL933+BN933+BP933+BR933+BT933+BV933+BX933+BZ933+CB933+CD933+CF933+CH933+CJ933+CL933+CN933+CP933+CR933+CT933</f>
        <v>0</v>
      </c>
      <c r="CV933" s="76"/>
      <c r="CW933" s="76">
        <f>+CV933*1100</f>
        <v>0</v>
      </c>
      <c r="CX933" s="76"/>
      <c r="CY933" s="76">
        <f>+CX933*106250</f>
        <v>0</v>
      </c>
      <c r="CZ933" s="76"/>
      <c r="DA933" s="76">
        <f>+CZ933*34500</f>
        <v>0</v>
      </c>
      <c r="DB933" s="76"/>
      <c r="DC933" s="76">
        <f>+DB933*25000</f>
        <v>0</v>
      </c>
      <c r="DD933" s="219"/>
      <c r="DE933" s="219"/>
      <c r="DF933" s="166"/>
      <c r="DG933" s="116"/>
      <c r="DH933" s="117"/>
      <c r="DI933" s="24"/>
      <c r="DJ933" s="24"/>
      <c r="DK933" s="24"/>
      <c r="DL933" s="24"/>
      <c r="DM933" s="24"/>
      <c r="DN933" s="24"/>
      <c r="DO933" s="24"/>
      <c r="DP933" s="24"/>
      <c r="DQ933" s="24"/>
      <c r="DR933" s="24"/>
      <c r="DS933" s="24"/>
      <c r="DT933" s="24"/>
      <c r="DU933" s="24"/>
    </row>
    <row r="934" spans="1:125" s="8" customFormat="1" ht="96" x14ac:dyDescent="0.2">
      <c r="A934" s="77">
        <v>41329</v>
      </c>
      <c r="B934" s="225" t="s">
        <v>2774</v>
      </c>
      <c r="C934" s="227" t="s">
        <v>2037</v>
      </c>
      <c r="D934" s="227" t="s">
        <v>2849</v>
      </c>
      <c r="E934" s="75" t="str">
        <f>VLOOKUP(B934&amp;C934,Divipola!$C$2:$F$1138,4,FALSE)</f>
        <v>66045</v>
      </c>
      <c r="F934" s="100">
        <v>2</v>
      </c>
      <c r="G934" s="100">
        <v>3</v>
      </c>
      <c r="H934" s="100"/>
      <c r="I934" s="100"/>
      <c r="J934" s="100"/>
      <c r="K934" s="100"/>
      <c r="L934" s="100"/>
      <c r="M934" s="100"/>
      <c r="N934" s="100"/>
      <c r="O934" s="100"/>
      <c r="P934" s="100"/>
      <c r="Q934" s="100"/>
      <c r="R934" s="100"/>
      <c r="S934" s="100"/>
      <c r="T934" s="100"/>
      <c r="U934" s="136"/>
      <c r="V934" s="89"/>
      <c r="W934" s="96">
        <v>0</v>
      </c>
      <c r="X934" s="71">
        <f>CU934</f>
        <v>0</v>
      </c>
      <c r="Y934" s="71">
        <f>CY934</f>
        <v>0</v>
      </c>
      <c r="Z934" s="71">
        <f>DA934+DC934+DE934</f>
        <v>0</v>
      </c>
      <c r="AA934" s="71">
        <f>CW934</f>
        <v>0</v>
      </c>
      <c r="AB934" s="71"/>
      <c r="AC934" s="71">
        <v>0</v>
      </c>
      <c r="AD934" s="71">
        <f>W934+X934+Y934+Z934+AA934+AB934+AC934</f>
        <v>0</v>
      </c>
      <c r="AE934" s="72">
        <v>0</v>
      </c>
      <c r="AF934" s="5"/>
      <c r="AG934" s="6"/>
      <c r="AH934" s="27" t="s">
        <v>3392</v>
      </c>
      <c r="AI934" s="44" t="s">
        <v>3393</v>
      </c>
      <c r="AJ934" s="26"/>
      <c r="AK934" s="5"/>
      <c r="AL934" s="82" t="s">
        <v>3606</v>
      </c>
      <c r="AM934" s="76"/>
      <c r="AN934" s="76"/>
      <c r="AO934" s="76"/>
      <c r="AP934" s="76"/>
      <c r="AQ934" s="76"/>
      <c r="AR934" s="76"/>
      <c r="AS934" s="76"/>
      <c r="AT934" s="76"/>
      <c r="AU934" s="76"/>
      <c r="AV934" s="76"/>
      <c r="AW934" s="76"/>
      <c r="AX934" s="76">
        <f>+AW934*600000</f>
        <v>0</v>
      </c>
      <c r="AY934" s="76"/>
      <c r="AZ934" s="76">
        <f>+AY934*70000</f>
        <v>0</v>
      </c>
      <c r="BA934" s="76"/>
      <c r="BB934" s="76"/>
      <c r="BC934" s="76"/>
      <c r="BD934" s="76">
        <f>+BC934*30000</f>
        <v>0</v>
      </c>
      <c r="BE934" s="76"/>
      <c r="BF934" s="76"/>
      <c r="BG934" s="76"/>
      <c r="BH934" s="76"/>
      <c r="BI934" s="76"/>
      <c r="BJ934" s="76"/>
      <c r="BK934" s="76"/>
      <c r="BL934" s="76">
        <f>+BK934*31500</f>
        <v>0</v>
      </c>
      <c r="BM934" s="76"/>
      <c r="BN934" s="76"/>
      <c r="BO934" s="76"/>
      <c r="BP934" s="76"/>
      <c r="BQ934" s="76"/>
      <c r="BR934" s="76"/>
      <c r="BS934" s="76"/>
      <c r="BT934" s="76"/>
      <c r="BU934" s="76"/>
      <c r="BV934" s="76"/>
      <c r="BW934" s="76"/>
      <c r="BX934" s="76"/>
      <c r="BY934" s="76"/>
      <c r="BZ934" s="76"/>
      <c r="CA934" s="76"/>
      <c r="CB934" s="76"/>
      <c r="CC934" s="76"/>
      <c r="CD934" s="76"/>
      <c r="CE934" s="76"/>
      <c r="CF934" s="76">
        <f>+CE934*28000</f>
        <v>0</v>
      </c>
      <c r="CG934" s="76"/>
      <c r="CH934" s="76">
        <f>+CG934*22500</f>
        <v>0</v>
      </c>
      <c r="CI934" s="76"/>
      <c r="CJ934" s="76">
        <f>+CI934*26000</f>
        <v>0</v>
      </c>
      <c r="CK934" s="76"/>
      <c r="CL934" s="76"/>
      <c r="CM934" s="76"/>
      <c r="CN934" s="76">
        <f>+CM934*22000</f>
        <v>0</v>
      </c>
      <c r="CO934" s="76"/>
      <c r="CP934" s="76">
        <f>+CO934*46000</f>
        <v>0</v>
      </c>
      <c r="CQ934" s="76"/>
      <c r="CR934" s="76">
        <f>+CQ934*49000</f>
        <v>0</v>
      </c>
      <c r="CS934" s="76"/>
      <c r="CT934" s="76"/>
      <c r="CU934" s="56">
        <f>AN934+AP934+AR934+AT934+AV934+AX934+AZ934+BB934+BD934+BF934+BH934+BJ934+BL934+BN934+BP934+BR934+BT934+BV934+BX934+BZ934+CB934+CD934+CF934+CH934+CJ934+CL934+CN934+CP934+CR934+CT934</f>
        <v>0</v>
      </c>
      <c r="CV934" s="76"/>
      <c r="CW934" s="76">
        <f>+CV934*1100</f>
        <v>0</v>
      </c>
      <c r="CX934" s="76"/>
      <c r="CY934" s="76">
        <f>+CX934*106250</f>
        <v>0</v>
      </c>
      <c r="CZ934" s="76"/>
      <c r="DA934" s="76">
        <f>+CZ934*34500</f>
        <v>0</v>
      </c>
      <c r="DB934" s="76"/>
      <c r="DC934" s="76">
        <f>+DB934*25000</f>
        <v>0</v>
      </c>
      <c r="DD934" s="219"/>
      <c r="DE934" s="219"/>
      <c r="DF934" s="166"/>
      <c r="DG934" s="116"/>
      <c r="DH934" s="117"/>
      <c r="DI934" s="24"/>
      <c r="DJ934" s="24"/>
      <c r="DK934" s="24"/>
      <c r="DL934" s="24"/>
      <c r="DM934" s="24"/>
      <c r="DN934" s="24"/>
      <c r="DO934" s="24"/>
      <c r="DP934" s="24"/>
      <c r="DQ934" s="24"/>
      <c r="DR934" s="24"/>
      <c r="DS934" s="24"/>
      <c r="DT934" s="24"/>
      <c r="DU934" s="24"/>
    </row>
    <row r="935" spans="1:125" s="8" customFormat="1" ht="24" x14ac:dyDescent="0.2">
      <c r="A935" s="77">
        <v>41329</v>
      </c>
      <c r="B935" s="78" t="s">
        <v>2848</v>
      </c>
      <c r="C935" s="75" t="s">
        <v>1392</v>
      </c>
      <c r="D935" s="75" t="s">
        <v>2882</v>
      </c>
      <c r="E935" s="75" t="str">
        <f>VLOOKUP(B935&amp;C935,Divipola!$C$2:$F$1138,4,FALSE)</f>
        <v>73520</v>
      </c>
      <c r="F935" s="87"/>
      <c r="G935" s="87"/>
      <c r="H935" s="87"/>
      <c r="I935" s="87">
        <v>5</v>
      </c>
      <c r="J935" s="87">
        <v>1</v>
      </c>
      <c r="K935" s="87"/>
      <c r="L935" s="87">
        <v>1</v>
      </c>
      <c r="M935" s="87"/>
      <c r="N935" s="87"/>
      <c r="O935" s="87"/>
      <c r="P935" s="87"/>
      <c r="Q935" s="87"/>
      <c r="R935" s="87"/>
      <c r="S935" s="87"/>
      <c r="T935" s="87"/>
      <c r="U935" s="88"/>
      <c r="V935" s="89"/>
      <c r="W935" s="96">
        <v>0</v>
      </c>
      <c r="X935" s="71">
        <f>CU935</f>
        <v>0</v>
      </c>
      <c r="Y935" s="71">
        <f>CY935</f>
        <v>0</v>
      </c>
      <c r="Z935" s="71">
        <f>DA935+DC935+DE935</f>
        <v>0</v>
      </c>
      <c r="AA935" s="71">
        <f>CW935</f>
        <v>0</v>
      </c>
      <c r="AB935" s="71"/>
      <c r="AC935" s="71">
        <v>0</v>
      </c>
      <c r="AD935" s="71">
        <f>W935+X935+Y935+Z935+AA935+AB935+AC935</f>
        <v>0</v>
      </c>
      <c r="AE935" s="72">
        <v>0</v>
      </c>
      <c r="AF935" s="5"/>
      <c r="AG935" s="6"/>
      <c r="AH935" s="27" t="s">
        <v>3392</v>
      </c>
      <c r="AI935" s="44" t="s">
        <v>3393</v>
      </c>
      <c r="AJ935" s="26"/>
      <c r="AK935" s="5"/>
      <c r="AL935" s="82" t="s">
        <v>3608</v>
      </c>
      <c r="AM935" s="76"/>
      <c r="AN935" s="76"/>
      <c r="AO935" s="76"/>
      <c r="AP935" s="76"/>
      <c r="AQ935" s="76"/>
      <c r="AR935" s="76"/>
      <c r="AS935" s="76"/>
      <c r="AT935" s="76"/>
      <c r="AU935" s="76"/>
      <c r="AV935" s="76"/>
      <c r="AW935" s="76"/>
      <c r="AX935" s="76">
        <f>+AW935*600000</f>
        <v>0</v>
      </c>
      <c r="AY935" s="76"/>
      <c r="AZ935" s="76">
        <f>+AY935*70000</f>
        <v>0</v>
      </c>
      <c r="BA935" s="76"/>
      <c r="BB935" s="76"/>
      <c r="BC935" s="76"/>
      <c r="BD935" s="76">
        <f>+BC935*30000</f>
        <v>0</v>
      </c>
      <c r="BE935" s="76"/>
      <c r="BF935" s="76"/>
      <c r="BG935" s="76"/>
      <c r="BH935" s="76"/>
      <c r="BI935" s="76"/>
      <c r="BJ935" s="76"/>
      <c r="BK935" s="76"/>
      <c r="BL935" s="76">
        <f>+BK935*31500</f>
        <v>0</v>
      </c>
      <c r="BM935" s="76"/>
      <c r="BN935" s="76"/>
      <c r="BO935" s="76"/>
      <c r="BP935" s="76"/>
      <c r="BQ935" s="76"/>
      <c r="BR935" s="76"/>
      <c r="BS935" s="76"/>
      <c r="BT935" s="76"/>
      <c r="BU935" s="76"/>
      <c r="BV935" s="76"/>
      <c r="BW935" s="76"/>
      <c r="BX935" s="76"/>
      <c r="BY935" s="76"/>
      <c r="BZ935" s="76"/>
      <c r="CA935" s="76"/>
      <c r="CB935" s="76"/>
      <c r="CC935" s="76"/>
      <c r="CD935" s="76"/>
      <c r="CE935" s="76"/>
      <c r="CF935" s="76">
        <f>+CE935*28000</f>
        <v>0</v>
      </c>
      <c r="CG935" s="76"/>
      <c r="CH935" s="76">
        <f>+CG935*22500</f>
        <v>0</v>
      </c>
      <c r="CI935" s="76"/>
      <c r="CJ935" s="76">
        <f>+CI935*26000</f>
        <v>0</v>
      </c>
      <c r="CK935" s="76"/>
      <c r="CL935" s="76"/>
      <c r="CM935" s="76"/>
      <c r="CN935" s="76">
        <f>+CM935*22000</f>
        <v>0</v>
      </c>
      <c r="CO935" s="76"/>
      <c r="CP935" s="76">
        <f>+CO935*46000</f>
        <v>0</v>
      </c>
      <c r="CQ935" s="76"/>
      <c r="CR935" s="76">
        <f>+CQ935*49000</f>
        <v>0</v>
      </c>
      <c r="CS935" s="76"/>
      <c r="CT935" s="76"/>
      <c r="CU935" s="56">
        <f>AN935+AP935+AR935+AT935+AV935+AX935+AZ935+BB935+BD935+BF935+BH935+BJ935+BL935+BN935+BP935+BR935+BT935+BV935+BX935+BZ935+CB935+CD935+CF935+CH935+CJ935+CL935+CN935+CP935+CR935+CT935</f>
        <v>0</v>
      </c>
      <c r="CV935" s="76"/>
      <c r="CW935" s="76">
        <f>+CV935*1100</f>
        <v>0</v>
      </c>
      <c r="CX935" s="76"/>
      <c r="CY935" s="76">
        <f>+CX935*106250</f>
        <v>0</v>
      </c>
      <c r="CZ935" s="76"/>
      <c r="DA935" s="76">
        <f>+CZ935*34500</f>
        <v>0</v>
      </c>
      <c r="DB935" s="76"/>
      <c r="DC935" s="76">
        <f>+DB935*25000</f>
        <v>0</v>
      </c>
      <c r="DD935" s="219"/>
      <c r="DE935" s="219"/>
      <c r="DF935" s="166"/>
      <c r="DG935" s="116"/>
      <c r="DH935" s="117"/>
      <c r="DI935" s="24"/>
      <c r="DJ935" s="24"/>
      <c r="DK935" s="24"/>
      <c r="DL935" s="24"/>
      <c r="DM935" s="24"/>
      <c r="DN935" s="24"/>
      <c r="DO935" s="24"/>
      <c r="DP935" s="24"/>
      <c r="DQ935" s="24"/>
      <c r="DR935" s="24"/>
      <c r="DS935" s="24"/>
      <c r="DT935" s="24"/>
      <c r="DU935" s="24"/>
    </row>
    <row r="936" spans="1:125" s="8" customFormat="1" ht="48" x14ac:dyDescent="0.2">
      <c r="A936" s="77">
        <v>41329</v>
      </c>
      <c r="B936" s="78" t="s">
        <v>2851</v>
      </c>
      <c r="C936" s="75" t="s">
        <v>1686</v>
      </c>
      <c r="D936" s="84" t="s">
        <v>3088</v>
      </c>
      <c r="E936" s="75" t="str">
        <f>VLOOKUP(B936&amp;C936,Divipola!$C$2:$F$1138,4,FALSE)</f>
        <v>76001</v>
      </c>
      <c r="F936" s="87"/>
      <c r="G936" s="87"/>
      <c r="H936" s="87"/>
      <c r="I936" s="87">
        <v>10</v>
      </c>
      <c r="J936" s="87">
        <v>2</v>
      </c>
      <c r="K936" s="87">
        <v>2</v>
      </c>
      <c r="L936" s="87"/>
      <c r="M936" s="87"/>
      <c r="N936" s="87"/>
      <c r="O936" s="87"/>
      <c r="P936" s="87"/>
      <c r="Q936" s="87"/>
      <c r="R936" s="87"/>
      <c r="S936" s="87"/>
      <c r="T936" s="87"/>
      <c r="U936" s="88"/>
      <c r="V936" s="89"/>
      <c r="W936" s="96">
        <v>0</v>
      </c>
      <c r="X936" s="71">
        <f>CU936</f>
        <v>0</v>
      </c>
      <c r="Y936" s="71">
        <f>CY936</f>
        <v>0</v>
      </c>
      <c r="Z936" s="71">
        <f>DA936+DC936+DE936</f>
        <v>0</v>
      </c>
      <c r="AA936" s="71">
        <f>CW936</f>
        <v>0</v>
      </c>
      <c r="AB936" s="71"/>
      <c r="AC936" s="71">
        <v>0</v>
      </c>
      <c r="AD936" s="71">
        <f>W936+X936+Y936+Z936+AA936+AB936+AC936</f>
        <v>0</v>
      </c>
      <c r="AE936" s="72">
        <v>0</v>
      </c>
      <c r="AF936" s="5"/>
      <c r="AG936" s="6"/>
      <c r="AH936" s="27" t="s">
        <v>3392</v>
      </c>
      <c r="AI936" s="44" t="s">
        <v>3393</v>
      </c>
      <c r="AJ936" s="26"/>
      <c r="AK936" s="5"/>
      <c r="AL936" s="82" t="s">
        <v>3610</v>
      </c>
      <c r="AM936" s="76"/>
      <c r="AN936" s="76"/>
      <c r="AO936" s="76"/>
      <c r="AP936" s="76"/>
      <c r="AQ936" s="76"/>
      <c r="AR936" s="76"/>
      <c r="AS936" s="76"/>
      <c r="AT936" s="76"/>
      <c r="AU936" s="76"/>
      <c r="AV936" s="76"/>
      <c r="AW936" s="76"/>
      <c r="AX936" s="76">
        <f>+AW936*600000</f>
        <v>0</v>
      </c>
      <c r="AY936" s="76"/>
      <c r="AZ936" s="76">
        <f>+AY936*70000</f>
        <v>0</v>
      </c>
      <c r="BA936" s="76"/>
      <c r="BB936" s="76"/>
      <c r="BC936" s="76"/>
      <c r="BD936" s="76">
        <f>+BC936*30000</f>
        <v>0</v>
      </c>
      <c r="BE936" s="76"/>
      <c r="BF936" s="76"/>
      <c r="BG936" s="76"/>
      <c r="BH936" s="76"/>
      <c r="BI936" s="76"/>
      <c r="BJ936" s="76"/>
      <c r="BK936" s="76"/>
      <c r="BL936" s="76">
        <f>+BK936*31500</f>
        <v>0</v>
      </c>
      <c r="BM936" s="76"/>
      <c r="BN936" s="76"/>
      <c r="BO936" s="76"/>
      <c r="BP936" s="76"/>
      <c r="BQ936" s="76"/>
      <c r="BR936" s="76"/>
      <c r="BS936" s="76"/>
      <c r="BT936" s="76"/>
      <c r="BU936" s="76"/>
      <c r="BV936" s="76"/>
      <c r="BW936" s="76"/>
      <c r="BX936" s="76"/>
      <c r="BY936" s="76"/>
      <c r="BZ936" s="76"/>
      <c r="CA936" s="76"/>
      <c r="CB936" s="76"/>
      <c r="CC936" s="76"/>
      <c r="CD936" s="76"/>
      <c r="CE936" s="76"/>
      <c r="CF936" s="76">
        <f>+CE936*28000</f>
        <v>0</v>
      </c>
      <c r="CG936" s="76"/>
      <c r="CH936" s="76">
        <f>+CG936*22500</f>
        <v>0</v>
      </c>
      <c r="CI936" s="76"/>
      <c r="CJ936" s="76">
        <f>+CI936*26000</f>
        <v>0</v>
      </c>
      <c r="CK936" s="76"/>
      <c r="CL936" s="76"/>
      <c r="CM936" s="76"/>
      <c r="CN936" s="76">
        <f>+CM936*22000</f>
        <v>0</v>
      </c>
      <c r="CO936" s="76"/>
      <c r="CP936" s="76">
        <f>+CO936*46000</f>
        <v>0</v>
      </c>
      <c r="CQ936" s="76"/>
      <c r="CR936" s="76">
        <f>+CQ936*49000</f>
        <v>0</v>
      </c>
      <c r="CS936" s="76"/>
      <c r="CT936" s="76"/>
      <c r="CU936" s="56">
        <f>AN936+AP936+AR936+AT936+AV936+AX936+AZ936+BB936+BD936+BF936+BH936+BJ936+BL936+BN936+BP936+BR936+BT936+BV936+BX936+BZ936+CB936+CD936+CF936+CH936+CJ936+CL936+CN936+CP936+CR936+CT936</f>
        <v>0</v>
      </c>
      <c r="CV936" s="76"/>
      <c r="CW936" s="76">
        <f>+CV936*1100</f>
        <v>0</v>
      </c>
      <c r="CX936" s="76"/>
      <c r="CY936" s="76">
        <f>+CX936*106250</f>
        <v>0</v>
      </c>
      <c r="CZ936" s="76"/>
      <c r="DA936" s="76">
        <f>+CZ936*34500</f>
        <v>0</v>
      </c>
      <c r="DB936" s="76"/>
      <c r="DC936" s="76">
        <f>+DB936*25000</f>
        <v>0</v>
      </c>
      <c r="DD936" s="219"/>
      <c r="DE936" s="219"/>
      <c r="DF936" s="166"/>
      <c r="DG936" s="116"/>
      <c r="DH936" s="117"/>
      <c r="DI936" s="24"/>
      <c r="DJ936" s="24"/>
      <c r="DK936" s="24"/>
      <c r="DL936" s="24"/>
      <c r="DM936" s="24"/>
      <c r="DN936" s="24"/>
      <c r="DO936" s="24"/>
      <c r="DP936" s="24"/>
      <c r="DQ936" s="24"/>
      <c r="DR936" s="24"/>
      <c r="DS936" s="24"/>
      <c r="DT936" s="24"/>
      <c r="DU936" s="24"/>
    </row>
    <row r="937" spans="1:125" s="8" customFormat="1" ht="48" x14ac:dyDescent="0.2">
      <c r="A937" s="77">
        <v>41329</v>
      </c>
      <c r="B937" s="78" t="s">
        <v>2851</v>
      </c>
      <c r="C937" s="75" t="s">
        <v>1686</v>
      </c>
      <c r="D937" s="75" t="s">
        <v>3051</v>
      </c>
      <c r="E937" s="75" t="str">
        <f>VLOOKUP(B937&amp;C937,Divipola!$C$2:$F$1138,4,FALSE)</f>
        <v>76001</v>
      </c>
      <c r="F937" s="87"/>
      <c r="G937" s="87"/>
      <c r="H937" s="87"/>
      <c r="I937" s="87">
        <v>20</v>
      </c>
      <c r="J937" s="87">
        <v>4</v>
      </c>
      <c r="K937" s="87"/>
      <c r="L937" s="87">
        <v>4</v>
      </c>
      <c r="M937" s="87"/>
      <c r="N937" s="87"/>
      <c r="O937" s="87"/>
      <c r="P937" s="87"/>
      <c r="Q937" s="87"/>
      <c r="R937" s="87"/>
      <c r="S937" s="87"/>
      <c r="T937" s="87"/>
      <c r="U937" s="88"/>
      <c r="V937" s="89"/>
      <c r="W937" s="96">
        <v>0</v>
      </c>
      <c r="X937" s="71">
        <f>CU937</f>
        <v>0</v>
      </c>
      <c r="Y937" s="71">
        <f>CY937</f>
        <v>0</v>
      </c>
      <c r="Z937" s="71">
        <f>DA937+DC937+DE937</f>
        <v>0</v>
      </c>
      <c r="AA937" s="71">
        <f>CW937</f>
        <v>0</v>
      </c>
      <c r="AB937" s="71"/>
      <c r="AC937" s="71">
        <v>0</v>
      </c>
      <c r="AD937" s="71">
        <f>W937+X937+Y937+Z937+AA937+AB937+AC937</f>
        <v>0</v>
      </c>
      <c r="AE937" s="72">
        <v>0</v>
      </c>
      <c r="AF937" s="5"/>
      <c r="AG937" s="6"/>
      <c r="AH937" s="27" t="s">
        <v>3392</v>
      </c>
      <c r="AI937" s="44" t="s">
        <v>3393</v>
      </c>
      <c r="AJ937" s="26"/>
      <c r="AK937" s="5"/>
      <c r="AL937" s="82" t="s">
        <v>3609</v>
      </c>
      <c r="AM937" s="76"/>
      <c r="AN937" s="76"/>
      <c r="AO937" s="76"/>
      <c r="AP937" s="76"/>
      <c r="AQ937" s="76"/>
      <c r="AR937" s="76"/>
      <c r="AS937" s="76"/>
      <c r="AT937" s="76"/>
      <c r="AU937" s="76"/>
      <c r="AV937" s="76"/>
      <c r="AW937" s="76"/>
      <c r="AX937" s="76">
        <f>+AW937*600000</f>
        <v>0</v>
      </c>
      <c r="AY937" s="76"/>
      <c r="AZ937" s="76">
        <f>+AY937*70000</f>
        <v>0</v>
      </c>
      <c r="BA937" s="76"/>
      <c r="BB937" s="76"/>
      <c r="BC937" s="76"/>
      <c r="BD937" s="76">
        <f>+BC937*30000</f>
        <v>0</v>
      </c>
      <c r="BE937" s="76"/>
      <c r="BF937" s="76"/>
      <c r="BG937" s="76"/>
      <c r="BH937" s="76"/>
      <c r="BI937" s="76"/>
      <c r="BJ937" s="76"/>
      <c r="BK937" s="76"/>
      <c r="BL937" s="76">
        <f>+BK937*31500</f>
        <v>0</v>
      </c>
      <c r="BM937" s="76"/>
      <c r="BN937" s="76"/>
      <c r="BO937" s="76"/>
      <c r="BP937" s="76"/>
      <c r="BQ937" s="76"/>
      <c r="BR937" s="76"/>
      <c r="BS937" s="76"/>
      <c r="BT937" s="76"/>
      <c r="BU937" s="76"/>
      <c r="BV937" s="76"/>
      <c r="BW937" s="76"/>
      <c r="BX937" s="76"/>
      <c r="BY937" s="76"/>
      <c r="BZ937" s="76"/>
      <c r="CA937" s="76"/>
      <c r="CB937" s="76"/>
      <c r="CC937" s="76"/>
      <c r="CD937" s="76"/>
      <c r="CE937" s="76"/>
      <c r="CF937" s="76">
        <f>+CE937*28000</f>
        <v>0</v>
      </c>
      <c r="CG937" s="76"/>
      <c r="CH937" s="76">
        <f>+CG937*22500</f>
        <v>0</v>
      </c>
      <c r="CI937" s="76"/>
      <c r="CJ937" s="76">
        <f>+CI937*26000</f>
        <v>0</v>
      </c>
      <c r="CK937" s="76"/>
      <c r="CL937" s="76"/>
      <c r="CM937" s="76"/>
      <c r="CN937" s="76">
        <f>+CM937*22000</f>
        <v>0</v>
      </c>
      <c r="CO937" s="76"/>
      <c r="CP937" s="76">
        <f>+CO937*46000</f>
        <v>0</v>
      </c>
      <c r="CQ937" s="76"/>
      <c r="CR937" s="76">
        <f>+CQ937*49000</f>
        <v>0</v>
      </c>
      <c r="CS937" s="76"/>
      <c r="CT937" s="76"/>
      <c r="CU937" s="56">
        <f>AN937+AP937+AR937+AT937+AV937+AX937+AZ937+BB937+BD937+BF937+BH937+BJ937+BL937+BN937+BP937+BR937+BT937+BV937+BX937+BZ937+CB937+CD937+CF937+CH937+CJ937+CL937+CN937+CP937+CR937+CT937</f>
        <v>0</v>
      </c>
      <c r="CV937" s="76"/>
      <c r="CW937" s="76">
        <f>+CV937*1100</f>
        <v>0</v>
      </c>
      <c r="CX937" s="76"/>
      <c r="CY937" s="76">
        <f>+CX937*106250</f>
        <v>0</v>
      </c>
      <c r="CZ937" s="76"/>
      <c r="DA937" s="76">
        <f>+CZ937*34500</f>
        <v>0</v>
      </c>
      <c r="DB937" s="76"/>
      <c r="DC937" s="76">
        <f>+DB937*25000</f>
        <v>0</v>
      </c>
      <c r="DD937" s="219"/>
      <c r="DE937" s="219"/>
      <c r="DF937" s="166"/>
      <c r="DG937" s="116"/>
      <c r="DH937" s="117"/>
      <c r="DI937" s="24"/>
      <c r="DJ937" s="24"/>
      <c r="DK937" s="24"/>
      <c r="DL937" s="24"/>
      <c r="DM937" s="24"/>
      <c r="DN937" s="24"/>
      <c r="DO937" s="24"/>
      <c r="DP937" s="24"/>
      <c r="DQ937" s="24"/>
      <c r="DR937" s="24"/>
      <c r="DS937" s="24"/>
      <c r="DT937" s="24"/>
      <c r="DU937" s="24"/>
    </row>
    <row r="938" spans="1:125" s="8" customFormat="1" ht="72" x14ac:dyDescent="0.2">
      <c r="A938" s="77">
        <v>41330</v>
      </c>
      <c r="B938" s="78" t="s">
        <v>2700</v>
      </c>
      <c r="C938" s="75" t="s">
        <v>1704</v>
      </c>
      <c r="D938" s="75" t="s">
        <v>3635</v>
      </c>
      <c r="E938" s="75" t="str">
        <f>VLOOKUP(B938&amp;C938,Divipola!$C$2:$F$1138,4,FALSE)</f>
        <v>15516</v>
      </c>
      <c r="F938" s="87"/>
      <c r="G938" s="87"/>
      <c r="H938" s="87"/>
      <c r="I938" s="87"/>
      <c r="J938" s="87"/>
      <c r="K938" s="87"/>
      <c r="L938" s="87"/>
      <c r="M938" s="87"/>
      <c r="N938" s="87"/>
      <c r="O938" s="87"/>
      <c r="P938" s="87"/>
      <c r="Q938" s="87"/>
      <c r="R938" s="87"/>
      <c r="S938" s="87"/>
      <c r="T938" s="87"/>
      <c r="U938" s="88"/>
      <c r="V938" s="89"/>
      <c r="W938" s="96">
        <v>0</v>
      </c>
      <c r="X938" s="71">
        <f>CU938</f>
        <v>0</v>
      </c>
      <c r="Y938" s="71">
        <f>CY938</f>
        <v>0</v>
      </c>
      <c r="Z938" s="71">
        <f>DA938+DC938+DE938</f>
        <v>0</v>
      </c>
      <c r="AA938" s="71">
        <f>CW938</f>
        <v>0</v>
      </c>
      <c r="AB938" s="71"/>
      <c r="AC938" s="71">
        <v>0</v>
      </c>
      <c r="AD938" s="71">
        <f>W938+X938+Y938+Z938+AA938+AB938+AC938</f>
        <v>0</v>
      </c>
      <c r="AE938" s="72">
        <v>0</v>
      </c>
      <c r="AF938" s="5"/>
      <c r="AG938" s="6"/>
      <c r="AH938" s="27" t="s">
        <v>3392</v>
      </c>
      <c r="AI938" s="44" t="s">
        <v>3393</v>
      </c>
      <c r="AJ938" s="26"/>
      <c r="AK938" s="5"/>
      <c r="AL938" s="82" t="s">
        <v>3645</v>
      </c>
      <c r="AM938" s="76"/>
      <c r="AN938" s="76"/>
      <c r="AO938" s="76"/>
      <c r="AP938" s="76"/>
      <c r="AQ938" s="76"/>
      <c r="AR938" s="76"/>
      <c r="AS938" s="76"/>
      <c r="AT938" s="76"/>
      <c r="AU938" s="76"/>
      <c r="AV938" s="76"/>
      <c r="AW938" s="76"/>
      <c r="AX938" s="76">
        <f>+AW938*600000</f>
        <v>0</v>
      </c>
      <c r="AY938" s="76"/>
      <c r="AZ938" s="76">
        <f>+AY938*70000</f>
        <v>0</v>
      </c>
      <c r="BA938" s="76"/>
      <c r="BB938" s="76"/>
      <c r="BC938" s="76"/>
      <c r="BD938" s="76">
        <f>+BC938*30000</f>
        <v>0</v>
      </c>
      <c r="BE938" s="76"/>
      <c r="BF938" s="76"/>
      <c r="BG938" s="76"/>
      <c r="BH938" s="76"/>
      <c r="BI938" s="76"/>
      <c r="BJ938" s="76"/>
      <c r="BK938" s="76"/>
      <c r="BL938" s="76">
        <f>+BK938*31500</f>
        <v>0</v>
      </c>
      <c r="BM938" s="76"/>
      <c r="BN938" s="76"/>
      <c r="BO938" s="76"/>
      <c r="BP938" s="76"/>
      <c r="BQ938" s="76"/>
      <c r="BR938" s="76"/>
      <c r="BS938" s="76"/>
      <c r="BT938" s="76"/>
      <c r="BU938" s="76"/>
      <c r="BV938" s="76"/>
      <c r="BW938" s="76"/>
      <c r="BX938" s="76"/>
      <c r="BY938" s="76"/>
      <c r="BZ938" s="76"/>
      <c r="CA938" s="76"/>
      <c r="CB938" s="76"/>
      <c r="CC938" s="76"/>
      <c r="CD938" s="76"/>
      <c r="CE938" s="76"/>
      <c r="CF938" s="76">
        <f>+CE938*28000</f>
        <v>0</v>
      </c>
      <c r="CG938" s="76"/>
      <c r="CH938" s="76">
        <f>+CG938*22500</f>
        <v>0</v>
      </c>
      <c r="CI938" s="76"/>
      <c r="CJ938" s="76">
        <f>+CI938*26000</f>
        <v>0</v>
      </c>
      <c r="CK938" s="76"/>
      <c r="CL938" s="76"/>
      <c r="CM938" s="76"/>
      <c r="CN938" s="76">
        <f>+CM938*22000</f>
        <v>0</v>
      </c>
      <c r="CO938" s="76"/>
      <c r="CP938" s="76">
        <f>+CO938*46000</f>
        <v>0</v>
      </c>
      <c r="CQ938" s="76"/>
      <c r="CR938" s="76">
        <f>+CQ938*49000</f>
        <v>0</v>
      </c>
      <c r="CS938" s="76"/>
      <c r="CT938" s="76"/>
      <c r="CU938" s="56">
        <f>AN938+AP938+AR938+AT938+AV938+AX938+AZ938+BB938+BD938+BF938+BH938+BJ938+BL938+BN938+BP938+BR938+BT938+BV938+BX938+BZ938+CB938+CD938+CF938+CH938+CJ938+CL938+CN938+CP938+CR938+CT938</f>
        <v>0</v>
      </c>
      <c r="CV938" s="76"/>
      <c r="CW938" s="76">
        <f>+CV938*1100</f>
        <v>0</v>
      </c>
      <c r="CX938" s="76"/>
      <c r="CY938" s="76">
        <f>+CX938*106250</f>
        <v>0</v>
      </c>
      <c r="CZ938" s="76"/>
      <c r="DA938" s="76">
        <f>+CZ938*34500</f>
        <v>0</v>
      </c>
      <c r="DB938" s="76"/>
      <c r="DC938" s="76">
        <f>+DB938*25000</f>
        <v>0</v>
      </c>
      <c r="DD938" s="219"/>
      <c r="DE938" s="219"/>
      <c r="DF938" s="166"/>
      <c r="DG938" s="116"/>
      <c r="DH938" s="117"/>
      <c r="DI938" s="24"/>
      <c r="DJ938" s="24"/>
      <c r="DK938" s="24"/>
      <c r="DL938" s="24"/>
      <c r="DM938" s="24"/>
      <c r="DN938" s="24"/>
      <c r="DO938" s="24"/>
      <c r="DP938" s="24"/>
      <c r="DQ938" s="24"/>
      <c r="DR938" s="24"/>
      <c r="DS938" s="24"/>
      <c r="DT938" s="24"/>
      <c r="DU938" s="24"/>
    </row>
    <row r="939" spans="1:125" s="8" customFormat="1" ht="36" x14ac:dyDescent="0.2">
      <c r="A939" s="77">
        <v>41330</v>
      </c>
      <c r="B939" s="78" t="s">
        <v>2778</v>
      </c>
      <c r="C939" s="75" t="s">
        <v>1344</v>
      </c>
      <c r="D939" s="81" t="s">
        <v>2846</v>
      </c>
      <c r="E939" s="75" t="str">
        <f>VLOOKUP(B939&amp;C939,Divipola!$C$2:$F$1138,4,FALSE)</f>
        <v>85001</v>
      </c>
      <c r="F939" s="87"/>
      <c r="G939" s="87"/>
      <c r="H939" s="87"/>
      <c r="I939" s="87"/>
      <c r="J939" s="87"/>
      <c r="K939" s="87"/>
      <c r="L939" s="87"/>
      <c r="M939" s="87"/>
      <c r="N939" s="87"/>
      <c r="O939" s="87"/>
      <c r="P939" s="87"/>
      <c r="Q939" s="87"/>
      <c r="R939" s="87"/>
      <c r="S939" s="87"/>
      <c r="T939" s="87"/>
      <c r="U939" s="88">
        <v>4</v>
      </c>
      <c r="V939" s="89"/>
      <c r="W939" s="96">
        <v>0</v>
      </c>
      <c r="X939" s="71">
        <f>CU939</f>
        <v>0</v>
      </c>
      <c r="Y939" s="71">
        <f>CY939</f>
        <v>0</v>
      </c>
      <c r="Z939" s="71">
        <f>DA939+DC939+DE939</f>
        <v>0</v>
      </c>
      <c r="AA939" s="71">
        <f>CW939</f>
        <v>0</v>
      </c>
      <c r="AB939" s="71"/>
      <c r="AC939" s="71">
        <v>0</v>
      </c>
      <c r="AD939" s="71">
        <f>W939+X939+Y939+Z939+AA939+AB939+AC939</f>
        <v>0</v>
      </c>
      <c r="AE939" s="72">
        <v>0</v>
      </c>
      <c r="AF939" s="5"/>
      <c r="AG939" s="6"/>
      <c r="AH939" s="27" t="s">
        <v>3392</v>
      </c>
      <c r="AI939" s="44" t="s">
        <v>3393</v>
      </c>
      <c r="AJ939" s="26"/>
      <c r="AK939" s="5"/>
      <c r="AL939" s="82" t="s">
        <v>3640</v>
      </c>
      <c r="AM939" s="76"/>
      <c r="AN939" s="76"/>
      <c r="AO939" s="76"/>
      <c r="AP939" s="76"/>
      <c r="AQ939" s="76"/>
      <c r="AR939" s="76"/>
      <c r="AS939" s="76"/>
      <c r="AT939" s="76"/>
      <c r="AU939" s="76"/>
      <c r="AV939" s="76"/>
      <c r="AW939" s="76"/>
      <c r="AX939" s="76">
        <f>+AW939*600000</f>
        <v>0</v>
      </c>
      <c r="AY939" s="76"/>
      <c r="AZ939" s="76">
        <f>+AY939*70000</f>
        <v>0</v>
      </c>
      <c r="BA939" s="76"/>
      <c r="BB939" s="76"/>
      <c r="BC939" s="76"/>
      <c r="BD939" s="76">
        <f>+BC939*30000</f>
        <v>0</v>
      </c>
      <c r="BE939" s="76"/>
      <c r="BF939" s="76"/>
      <c r="BG939" s="76"/>
      <c r="BH939" s="76"/>
      <c r="BI939" s="76"/>
      <c r="BJ939" s="76"/>
      <c r="BK939" s="76"/>
      <c r="BL939" s="76">
        <f>+BK939*31500</f>
        <v>0</v>
      </c>
      <c r="BM939" s="76"/>
      <c r="BN939" s="76"/>
      <c r="BO939" s="76"/>
      <c r="BP939" s="76"/>
      <c r="BQ939" s="76"/>
      <c r="BR939" s="76"/>
      <c r="BS939" s="76"/>
      <c r="BT939" s="76"/>
      <c r="BU939" s="76"/>
      <c r="BV939" s="76"/>
      <c r="BW939" s="76"/>
      <c r="BX939" s="76"/>
      <c r="BY939" s="76"/>
      <c r="BZ939" s="76"/>
      <c r="CA939" s="76"/>
      <c r="CB939" s="76"/>
      <c r="CC939" s="76"/>
      <c r="CD939" s="76"/>
      <c r="CE939" s="76"/>
      <c r="CF939" s="76">
        <f>+CE939*28000</f>
        <v>0</v>
      </c>
      <c r="CG939" s="76"/>
      <c r="CH939" s="76">
        <f>+CG939*22500</f>
        <v>0</v>
      </c>
      <c r="CI939" s="76"/>
      <c r="CJ939" s="76">
        <f>+CI939*26000</f>
        <v>0</v>
      </c>
      <c r="CK939" s="76"/>
      <c r="CL939" s="76"/>
      <c r="CM939" s="76"/>
      <c r="CN939" s="76">
        <f>+CM939*22000</f>
        <v>0</v>
      </c>
      <c r="CO939" s="76"/>
      <c r="CP939" s="76">
        <f>+CO939*46000</f>
        <v>0</v>
      </c>
      <c r="CQ939" s="76"/>
      <c r="CR939" s="76">
        <f>+CQ939*49000</f>
        <v>0</v>
      </c>
      <c r="CS939" s="76"/>
      <c r="CT939" s="76"/>
      <c r="CU939" s="56">
        <f>AN939+AP939+AR939+AT939+AV939+AX939+AZ939+BB939+BD939+BF939+BH939+BJ939+BL939+BN939+BP939+BR939+BT939+BV939+BX939+BZ939+CB939+CD939+CF939+CH939+CJ939+CL939+CN939+CP939+CR939+CT939</f>
        <v>0</v>
      </c>
      <c r="CV939" s="76"/>
      <c r="CW939" s="76">
        <f>+CV939*1100</f>
        <v>0</v>
      </c>
      <c r="CX939" s="76"/>
      <c r="CY939" s="76">
        <f>+CX939*106250</f>
        <v>0</v>
      </c>
      <c r="CZ939" s="76"/>
      <c r="DA939" s="76">
        <f>+CZ939*34500</f>
        <v>0</v>
      </c>
      <c r="DB939" s="76"/>
      <c r="DC939" s="76">
        <f>+DB939*25000</f>
        <v>0</v>
      </c>
      <c r="DD939" s="219"/>
      <c r="DE939" s="219"/>
      <c r="DF939" s="166"/>
      <c r="DG939" s="116"/>
      <c r="DH939" s="117"/>
      <c r="DI939" s="24"/>
      <c r="DJ939" s="24"/>
      <c r="DK939" s="24"/>
      <c r="DL939" s="24"/>
      <c r="DM939" s="24"/>
      <c r="DN939" s="24"/>
      <c r="DO939" s="24"/>
      <c r="DP939" s="24"/>
      <c r="DQ939" s="24"/>
      <c r="DR939" s="24"/>
      <c r="DS939" s="24"/>
      <c r="DT939" s="24"/>
      <c r="DU939" s="24"/>
    </row>
    <row r="940" spans="1:125" s="8" customFormat="1" ht="36" x14ac:dyDescent="0.2">
      <c r="A940" s="77">
        <v>41330</v>
      </c>
      <c r="B940" s="78" t="s">
        <v>2778</v>
      </c>
      <c r="C940" s="75" t="s">
        <v>1344</v>
      </c>
      <c r="D940" s="81" t="s">
        <v>2846</v>
      </c>
      <c r="E940" s="75" t="str">
        <f>VLOOKUP(B940&amp;C940,Divipola!$C$2:$F$1138,4,FALSE)</f>
        <v>85001</v>
      </c>
      <c r="F940" s="87"/>
      <c r="G940" s="87"/>
      <c r="H940" s="87"/>
      <c r="I940" s="87"/>
      <c r="J940" s="87"/>
      <c r="K940" s="87"/>
      <c r="L940" s="87"/>
      <c r="M940" s="87"/>
      <c r="N940" s="87"/>
      <c r="O940" s="87"/>
      <c r="P940" s="87"/>
      <c r="Q940" s="87"/>
      <c r="R940" s="87"/>
      <c r="S940" s="87"/>
      <c r="T940" s="87"/>
      <c r="U940" s="88">
        <v>3</v>
      </c>
      <c r="V940" s="89"/>
      <c r="W940" s="96">
        <v>0</v>
      </c>
      <c r="X940" s="71">
        <f>CU940</f>
        <v>0</v>
      </c>
      <c r="Y940" s="71">
        <f>CY940</f>
        <v>0</v>
      </c>
      <c r="Z940" s="71">
        <f>DA940+DC940+DE940</f>
        <v>0</v>
      </c>
      <c r="AA940" s="71">
        <f>CW940</f>
        <v>0</v>
      </c>
      <c r="AB940" s="71"/>
      <c r="AC940" s="71">
        <v>0</v>
      </c>
      <c r="AD940" s="71">
        <f>W940+X940+Y940+Z940+AA940+AB940+AC940</f>
        <v>0</v>
      </c>
      <c r="AE940" s="72">
        <v>0</v>
      </c>
      <c r="AF940" s="5"/>
      <c r="AG940" s="6"/>
      <c r="AH940" s="27" t="s">
        <v>3392</v>
      </c>
      <c r="AI940" s="44" t="s">
        <v>3393</v>
      </c>
      <c r="AJ940" s="26"/>
      <c r="AK940" s="5"/>
      <c r="AL940" s="82" t="s">
        <v>3641</v>
      </c>
      <c r="AM940" s="76"/>
      <c r="AN940" s="76"/>
      <c r="AO940" s="76"/>
      <c r="AP940" s="76"/>
      <c r="AQ940" s="76"/>
      <c r="AR940" s="76"/>
      <c r="AS940" s="76"/>
      <c r="AT940" s="76"/>
      <c r="AU940" s="76"/>
      <c r="AV940" s="76"/>
      <c r="AW940" s="76"/>
      <c r="AX940" s="76">
        <f>+AW940*600000</f>
        <v>0</v>
      </c>
      <c r="AY940" s="76"/>
      <c r="AZ940" s="76">
        <f>+AY940*70000</f>
        <v>0</v>
      </c>
      <c r="BA940" s="76"/>
      <c r="BB940" s="76"/>
      <c r="BC940" s="76"/>
      <c r="BD940" s="76">
        <f>+BC940*30000</f>
        <v>0</v>
      </c>
      <c r="BE940" s="76"/>
      <c r="BF940" s="76"/>
      <c r="BG940" s="76"/>
      <c r="BH940" s="76"/>
      <c r="BI940" s="76"/>
      <c r="BJ940" s="76"/>
      <c r="BK940" s="76"/>
      <c r="BL940" s="76">
        <f>+BK940*31500</f>
        <v>0</v>
      </c>
      <c r="BM940" s="76"/>
      <c r="BN940" s="76"/>
      <c r="BO940" s="76"/>
      <c r="BP940" s="76"/>
      <c r="BQ940" s="76"/>
      <c r="BR940" s="76"/>
      <c r="BS940" s="76"/>
      <c r="BT940" s="76"/>
      <c r="BU940" s="76"/>
      <c r="BV940" s="76"/>
      <c r="BW940" s="76"/>
      <c r="BX940" s="76"/>
      <c r="BY940" s="76"/>
      <c r="BZ940" s="76"/>
      <c r="CA940" s="76"/>
      <c r="CB940" s="76"/>
      <c r="CC940" s="76"/>
      <c r="CD940" s="76"/>
      <c r="CE940" s="76"/>
      <c r="CF940" s="76">
        <f>+CE940*28000</f>
        <v>0</v>
      </c>
      <c r="CG940" s="76"/>
      <c r="CH940" s="76">
        <f>+CG940*22500</f>
        <v>0</v>
      </c>
      <c r="CI940" s="76"/>
      <c r="CJ940" s="76">
        <f>+CI940*26000</f>
        <v>0</v>
      </c>
      <c r="CK940" s="76"/>
      <c r="CL940" s="76"/>
      <c r="CM940" s="76"/>
      <c r="CN940" s="76">
        <f>+CM940*22000</f>
        <v>0</v>
      </c>
      <c r="CO940" s="76"/>
      <c r="CP940" s="76">
        <f>+CO940*46000</f>
        <v>0</v>
      </c>
      <c r="CQ940" s="76"/>
      <c r="CR940" s="76">
        <f>+CQ940*49000</f>
        <v>0</v>
      </c>
      <c r="CS940" s="76"/>
      <c r="CT940" s="76"/>
      <c r="CU940" s="56">
        <f>AN940+AP940+AR940+AT940+AV940+AX940+AZ940+BB940+BD940+BF940+BH940+BJ940+BL940+BN940+BP940+BR940+BT940+BV940+BX940+BZ940+CB940+CD940+CF940+CH940+CJ940+CL940+CN940+CP940+CR940+CT940</f>
        <v>0</v>
      </c>
      <c r="CV940" s="76"/>
      <c r="CW940" s="76">
        <f>+CV940*1100</f>
        <v>0</v>
      </c>
      <c r="CX940" s="76"/>
      <c r="CY940" s="76">
        <f>+CX940*106250</f>
        <v>0</v>
      </c>
      <c r="CZ940" s="76"/>
      <c r="DA940" s="76">
        <f>+CZ940*34500</f>
        <v>0</v>
      </c>
      <c r="DB940" s="76"/>
      <c r="DC940" s="76">
        <f>+DB940*25000</f>
        <v>0</v>
      </c>
      <c r="DD940" s="219"/>
      <c r="DE940" s="219"/>
      <c r="DF940" s="166"/>
      <c r="DG940" s="116"/>
      <c r="DH940" s="117"/>
      <c r="DI940" s="24"/>
      <c r="DJ940" s="24"/>
      <c r="DK940" s="24"/>
      <c r="DL940" s="24"/>
      <c r="DM940" s="24"/>
      <c r="DN940" s="24"/>
      <c r="DO940" s="24"/>
      <c r="DP940" s="24"/>
      <c r="DQ940" s="24"/>
      <c r="DR940" s="24"/>
      <c r="DS940" s="24"/>
      <c r="DT940" s="24"/>
      <c r="DU940" s="24"/>
    </row>
    <row r="941" spans="1:125" s="8" customFormat="1" ht="48" x14ac:dyDescent="0.2">
      <c r="A941" s="77">
        <v>41330</v>
      </c>
      <c r="B941" s="78" t="s">
        <v>2778</v>
      </c>
      <c r="C941" s="75" t="s">
        <v>1344</v>
      </c>
      <c r="D941" s="81" t="s">
        <v>2846</v>
      </c>
      <c r="E941" s="75" t="str">
        <f>VLOOKUP(B941&amp;C941,Divipola!$C$2:$F$1138,4,FALSE)</f>
        <v>85001</v>
      </c>
      <c r="F941" s="87"/>
      <c r="G941" s="87"/>
      <c r="H941" s="87"/>
      <c r="I941" s="87"/>
      <c r="J941" s="87"/>
      <c r="K941" s="87"/>
      <c r="L941" s="87"/>
      <c r="M941" s="87"/>
      <c r="N941" s="87"/>
      <c r="O941" s="87"/>
      <c r="P941" s="87"/>
      <c r="Q941" s="87"/>
      <c r="R941" s="87"/>
      <c r="S941" s="87"/>
      <c r="T941" s="87"/>
      <c r="U941" s="88">
        <v>4</v>
      </c>
      <c r="V941" s="89"/>
      <c r="W941" s="96">
        <v>0</v>
      </c>
      <c r="X941" s="71">
        <f>CU941</f>
        <v>0</v>
      </c>
      <c r="Y941" s="71">
        <f>CY941</f>
        <v>0</v>
      </c>
      <c r="Z941" s="71">
        <f>DA941+DC941+DE941</f>
        <v>0</v>
      </c>
      <c r="AA941" s="71">
        <f>CW941</f>
        <v>0</v>
      </c>
      <c r="AB941" s="71"/>
      <c r="AC941" s="71">
        <v>0</v>
      </c>
      <c r="AD941" s="71">
        <f>W941+X941+Y941+Z941+AA941+AB941+AC941</f>
        <v>0</v>
      </c>
      <c r="AE941" s="72">
        <v>0</v>
      </c>
      <c r="AF941" s="5"/>
      <c r="AG941" s="6"/>
      <c r="AH941" s="27" t="s">
        <v>3392</v>
      </c>
      <c r="AI941" s="44" t="s">
        <v>3393</v>
      </c>
      <c r="AJ941" s="26"/>
      <c r="AK941" s="5"/>
      <c r="AL941" s="82" t="s">
        <v>3797</v>
      </c>
      <c r="AM941" s="76"/>
      <c r="AN941" s="76"/>
      <c r="AO941" s="76"/>
      <c r="AP941" s="76"/>
      <c r="AQ941" s="76"/>
      <c r="AR941" s="76"/>
      <c r="AS941" s="76"/>
      <c r="AT941" s="76"/>
      <c r="AU941" s="76"/>
      <c r="AV941" s="76"/>
      <c r="AW941" s="76"/>
      <c r="AX941" s="76">
        <f>+AW941*600000</f>
        <v>0</v>
      </c>
      <c r="AY941" s="76"/>
      <c r="AZ941" s="76">
        <f>+AY941*70000</f>
        <v>0</v>
      </c>
      <c r="BA941" s="76"/>
      <c r="BB941" s="76"/>
      <c r="BC941" s="76"/>
      <c r="BD941" s="76">
        <f>+BC941*30000</f>
        <v>0</v>
      </c>
      <c r="BE941" s="76"/>
      <c r="BF941" s="76"/>
      <c r="BG941" s="76"/>
      <c r="BH941" s="76"/>
      <c r="BI941" s="76"/>
      <c r="BJ941" s="76"/>
      <c r="BK941" s="76"/>
      <c r="BL941" s="76">
        <f>+BK941*31500</f>
        <v>0</v>
      </c>
      <c r="BM941" s="76"/>
      <c r="BN941" s="76"/>
      <c r="BO941" s="76"/>
      <c r="BP941" s="76"/>
      <c r="BQ941" s="76"/>
      <c r="BR941" s="76"/>
      <c r="BS941" s="76"/>
      <c r="BT941" s="76"/>
      <c r="BU941" s="76"/>
      <c r="BV941" s="76"/>
      <c r="BW941" s="76"/>
      <c r="BX941" s="76"/>
      <c r="BY941" s="76"/>
      <c r="BZ941" s="76"/>
      <c r="CA941" s="76"/>
      <c r="CB941" s="76"/>
      <c r="CC941" s="76"/>
      <c r="CD941" s="76"/>
      <c r="CE941" s="76"/>
      <c r="CF941" s="76">
        <f>+CE941*28000</f>
        <v>0</v>
      </c>
      <c r="CG941" s="76"/>
      <c r="CH941" s="76">
        <f>+CG941*22500</f>
        <v>0</v>
      </c>
      <c r="CI941" s="76"/>
      <c r="CJ941" s="76">
        <f>+CI941*26000</f>
        <v>0</v>
      </c>
      <c r="CK941" s="76"/>
      <c r="CL941" s="76"/>
      <c r="CM941" s="76"/>
      <c r="CN941" s="76">
        <f>+CM941*22000</f>
        <v>0</v>
      </c>
      <c r="CO941" s="76"/>
      <c r="CP941" s="76">
        <f>+CO941*46000</f>
        <v>0</v>
      </c>
      <c r="CQ941" s="76"/>
      <c r="CR941" s="76">
        <f>+CQ941*49000</f>
        <v>0</v>
      </c>
      <c r="CS941" s="76"/>
      <c r="CT941" s="76"/>
      <c r="CU941" s="56">
        <f>AN941+AP941+AR941+AT941+AV941+AX941+AZ941+BB941+BD941+BF941+BH941+BJ941+BL941+BN941+BP941+BR941+BT941+BV941+BX941+BZ941+CB941+CD941+CF941+CH941+CJ941+CL941+CN941+CP941+CR941+CT941</f>
        <v>0</v>
      </c>
      <c r="CV941" s="76"/>
      <c r="CW941" s="76">
        <f>+CV941*1100</f>
        <v>0</v>
      </c>
      <c r="CX941" s="76"/>
      <c r="CY941" s="76">
        <f>+CX941*106250</f>
        <v>0</v>
      </c>
      <c r="CZ941" s="76"/>
      <c r="DA941" s="76">
        <f>+CZ941*34500</f>
        <v>0</v>
      </c>
      <c r="DB941" s="76"/>
      <c r="DC941" s="76">
        <f>+DB941*25000</f>
        <v>0</v>
      </c>
      <c r="DD941" s="219"/>
      <c r="DE941" s="219"/>
      <c r="DF941" s="166"/>
      <c r="DG941" s="116"/>
      <c r="DH941" s="117"/>
      <c r="DI941" s="24"/>
      <c r="DJ941" s="24"/>
      <c r="DK941" s="24"/>
      <c r="DL941" s="24"/>
      <c r="DM941" s="24"/>
      <c r="DN941" s="24"/>
      <c r="DO941" s="24"/>
      <c r="DP941" s="24"/>
      <c r="DQ941" s="24"/>
      <c r="DR941" s="24"/>
      <c r="DS941" s="24"/>
      <c r="DT941" s="24"/>
      <c r="DU941" s="24"/>
    </row>
    <row r="942" spans="1:125" s="8" customFormat="1" ht="48" x14ac:dyDescent="0.2">
      <c r="A942" s="77">
        <v>41330</v>
      </c>
      <c r="B942" s="78" t="s">
        <v>2778</v>
      </c>
      <c r="C942" s="75" t="s">
        <v>1344</v>
      </c>
      <c r="D942" s="81" t="s">
        <v>2846</v>
      </c>
      <c r="E942" s="75" t="str">
        <f>VLOOKUP(B942&amp;C942,Divipola!$C$2:$F$1138,4,FALSE)</f>
        <v>85001</v>
      </c>
      <c r="F942" s="87"/>
      <c r="G942" s="87"/>
      <c r="H942" s="87"/>
      <c r="I942" s="87"/>
      <c r="J942" s="87"/>
      <c r="K942" s="87"/>
      <c r="L942" s="87"/>
      <c r="M942" s="87"/>
      <c r="N942" s="87"/>
      <c r="O942" s="87"/>
      <c r="P942" s="87"/>
      <c r="Q942" s="87"/>
      <c r="R942" s="87"/>
      <c r="S942" s="87"/>
      <c r="T942" s="87"/>
      <c r="U942" s="88">
        <v>2</v>
      </c>
      <c r="V942" s="89"/>
      <c r="W942" s="96">
        <v>0</v>
      </c>
      <c r="X942" s="71">
        <f>CU942</f>
        <v>0</v>
      </c>
      <c r="Y942" s="71">
        <f>CY942</f>
        <v>0</v>
      </c>
      <c r="Z942" s="71">
        <f>DA942+DC942+DE942</f>
        <v>0</v>
      </c>
      <c r="AA942" s="71">
        <f>CW942</f>
        <v>0</v>
      </c>
      <c r="AB942" s="71"/>
      <c r="AC942" s="71">
        <v>0</v>
      </c>
      <c r="AD942" s="71">
        <f>W942+X942+Y942+Z942+AA942+AB942+AC942</f>
        <v>0</v>
      </c>
      <c r="AE942" s="72">
        <v>0</v>
      </c>
      <c r="AF942" s="5"/>
      <c r="AG942" s="6"/>
      <c r="AH942" s="27" t="s">
        <v>3392</v>
      </c>
      <c r="AI942" s="44" t="s">
        <v>3393</v>
      </c>
      <c r="AJ942" s="26"/>
      <c r="AK942" s="5"/>
      <c r="AL942" s="82" t="s">
        <v>3799</v>
      </c>
      <c r="AM942" s="76"/>
      <c r="AN942" s="76"/>
      <c r="AO942" s="76"/>
      <c r="AP942" s="76"/>
      <c r="AQ942" s="76"/>
      <c r="AR942" s="76"/>
      <c r="AS942" s="76"/>
      <c r="AT942" s="76"/>
      <c r="AU942" s="76"/>
      <c r="AV942" s="76"/>
      <c r="AW942" s="76"/>
      <c r="AX942" s="76">
        <f>+AW942*600000</f>
        <v>0</v>
      </c>
      <c r="AY942" s="76"/>
      <c r="AZ942" s="76">
        <f>+AY942*70000</f>
        <v>0</v>
      </c>
      <c r="BA942" s="76"/>
      <c r="BB942" s="76"/>
      <c r="BC942" s="76"/>
      <c r="BD942" s="76">
        <f>+BC942*30000</f>
        <v>0</v>
      </c>
      <c r="BE942" s="76"/>
      <c r="BF942" s="76"/>
      <c r="BG942" s="76"/>
      <c r="BH942" s="76"/>
      <c r="BI942" s="76"/>
      <c r="BJ942" s="76"/>
      <c r="BK942" s="76"/>
      <c r="BL942" s="76">
        <f>+BK942*31500</f>
        <v>0</v>
      </c>
      <c r="BM942" s="76"/>
      <c r="BN942" s="76"/>
      <c r="BO942" s="76"/>
      <c r="BP942" s="76"/>
      <c r="BQ942" s="76"/>
      <c r="BR942" s="76"/>
      <c r="BS942" s="76"/>
      <c r="BT942" s="76"/>
      <c r="BU942" s="76"/>
      <c r="BV942" s="76"/>
      <c r="BW942" s="76"/>
      <c r="BX942" s="76"/>
      <c r="BY942" s="76"/>
      <c r="BZ942" s="76"/>
      <c r="CA942" s="76"/>
      <c r="CB942" s="76"/>
      <c r="CC942" s="76"/>
      <c r="CD942" s="76"/>
      <c r="CE942" s="76"/>
      <c r="CF942" s="76">
        <f>+CE942*28000</f>
        <v>0</v>
      </c>
      <c r="CG942" s="76"/>
      <c r="CH942" s="76">
        <f>+CG942*22500</f>
        <v>0</v>
      </c>
      <c r="CI942" s="76"/>
      <c r="CJ942" s="76">
        <f>+CI942*26000</f>
        <v>0</v>
      </c>
      <c r="CK942" s="76"/>
      <c r="CL942" s="76"/>
      <c r="CM942" s="76"/>
      <c r="CN942" s="76">
        <f>+CM942*22000</f>
        <v>0</v>
      </c>
      <c r="CO942" s="76"/>
      <c r="CP942" s="76">
        <f>+CO942*46000</f>
        <v>0</v>
      </c>
      <c r="CQ942" s="76"/>
      <c r="CR942" s="76">
        <f>+CQ942*49000</f>
        <v>0</v>
      </c>
      <c r="CS942" s="76"/>
      <c r="CT942" s="76"/>
      <c r="CU942" s="56">
        <f>AN942+AP942+AR942+AT942+AV942+AX942+AZ942+BB942+BD942+BF942+BH942+BJ942+BL942+BN942+BP942+BR942+BT942+BV942+BX942+BZ942+CB942+CD942+CF942+CH942+CJ942+CL942+CN942+CP942+CR942+CT942</f>
        <v>0</v>
      </c>
      <c r="CV942" s="76"/>
      <c r="CW942" s="76">
        <f>+CV942*1100</f>
        <v>0</v>
      </c>
      <c r="CX942" s="76"/>
      <c r="CY942" s="76">
        <f>+CX942*106250</f>
        <v>0</v>
      </c>
      <c r="CZ942" s="76"/>
      <c r="DA942" s="76">
        <f>+CZ942*34500</f>
        <v>0</v>
      </c>
      <c r="DB942" s="76"/>
      <c r="DC942" s="76">
        <f>+DB942*25000</f>
        <v>0</v>
      </c>
      <c r="DD942" s="219"/>
      <c r="DE942" s="219"/>
      <c r="DF942" s="166"/>
      <c r="DG942" s="116"/>
      <c r="DH942" s="117"/>
      <c r="DI942" s="24"/>
      <c r="DJ942" s="24"/>
      <c r="DK942" s="24"/>
      <c r="DL942" s="24"/>
      <c r="DM942" s="24"/>
      <c r="DN942" s="24"/>
      <c r="DO942" s="24"/>
      <c r="DP942" s="24"/>
      <c r="DQ942" s="24"/>
      <c r="DR942" s="24"/>
      <c r="DS942" s="24"/>
      <c r="DT942" s="24"/>
      <c r="DU942" s="24"/>
    </row>
    <row r="943" spans="1:125" s="8" customFormat="1" ht="72" x14ac:dyDescent="0.2">
      <c r="A943" s="77">
        <v>41330</v>
      </c>
      <c r="B943" s="78" t="s">
        <v>2772</v>
      </c>
      <c r="C943" s="75" t="s">
        <v>2829</v>
      </c>
      <c r="D943" s="81" t="s">
        <v>2846</v>
      </c>
      <c r="E943" s="75" t="str">
        <f>VLOOKUP(B943&amp;C943,Divipola!$C$2:$F$1138,4,FALSE)</f>
        <v>25372</v>
      </c>
      <c r="F943" s="87"/>
      <c r="G943" s="87"/>
      <c r="H943" s="87"/>
      <c r="I943" s="87"/>
      <c r="J943" s="87"/>
      <c r="K943" s="87"/>
      <c r="L943" s="87"/>
      <c r="M943" s="87"/>
      <c r="N943" s="87"/>
      <c r="O943" s="87"/>
      <c r="P943" s="87"/>
      <c r="Q943" s="87"/>
      <c r="R943" s="87"/>
      <c r="S943" s="87"/>
      <c r="T943" s="87"/>
      <c r="U943" s="88">
        <v>4</v>
      </c>
      <c r="V943" s="89"/>
      <c r="W943" s="96">
        <v>0</v>
      </c>
      <c r="X943" s="71">
        <f>CU943</f>
        <v>0</v>
      </c>
      <c r="Y943" s="71">
        <f>CY943</f>
        <v>0</v>
      </c>
      <c r="Z943" s="71">
        <f>DA943+DC943+DE943</f>
        <v>0</v>
      </c>
      <c r="AA943" s="71">
        <f>CW943</f>
        <v>0</v>
      </c>
      <c r="AB943" s="71"/>
      <c r="AC943" s="71">
        <v>0</v>
      </c>
      <c r="AD943" s="71">
        <f>W943+X943+Y943+Z943+AA943+AB943+AC943</f>
        <v>0</v>
      </c>
      <c r="AE943" s="72">
        <v>0</v>
      </c>
      <c r="AF943" s="5"/>
      <c r="AG943" s="6"/>
      <c r="AH943" s="27" t="s">
        <v>3392</v>
      </c>
      <c r="AI943" s="44" t="s">
        <v>3393</v>
      </c>
      <c r="AJ943" s="26"/>
      <c r="AK943" s="5"/>
      <c r="AL943" s="82" t="s">
        <v>3638</v>
      </c>
      <c r="AM943" s="76"/>
      <c r="AN943" s="76"/>
      <c r="AO943" s="76"/>
      <c r="AP943" s="76"/>
      <c r="AQ943" s="76"/>
      <c r="AR943" s="76"/>
      <c r="AS943" s="76"/>
      <c r="AT943" s="76"/>
      <c r="AU943" s="76"/>
      <c r="AV943" s="76"/>
      <c r="AW943" s="76"/>
      <c r="AX943" s="76">
        <f>+AW943*600000</f>
        <v>0</v>
      </c>
      <c r="AY943" s="76"/>
      <c r="AZ943" s="76">
        <f>+AY943*70000</f>
        <v>0</v>
      </c>
      <c r="BA943" s="76"/>
      <c r="BB943" s="76"/>
      <c r="BC943" s="76"/>
      <c r="BD943" s="76">
        <f>+BC943*30000</f>
        <v>0</v>
      </c>
      <c r="BE943" s="76"/>
      <c r="BF943" s="76"/>
      <c r="BG943" s="76"/>
      <c r="BH943" s="76"/>
      <c r="BI943" s="76"/>
      <c r="BJ943" s="76"/>
      <c r="BK943" s="76"/>
      <c r="BL943" s="76">
        <f>+BK943*31500</f>
        <v>0</v>
      </c>
      <c r="BM943" s="76"/>
      <c r="BN943" s="76"/>
      <c r="BO943" s="76"/>
      <c r="BP943" s="76"/>
      <c r="BQ943" s="76"/>
      <c r="BR943" s="76"/>
      <c r="BS943" s="76"/>
      <c r="BT943" s="76"/>
      <c r="BU943" s="76"/>
      <c r="BV943" s="76"/>
      <c r="BW943" s="76"/>
      <c r="BX943" s="76"/>
      <c r="BY943" s="76"/>
      <c r="BZ943" s="76"/>
      <c r="CA943" s="76"/>
      <c r="CB943" s="76"/>
      <c r="CC943" s="76"/>
      <c r="CD943" s="76"/>
      <c r="CE943" s="76"/>
      <c r="CF943" s="76">
        <f>+CE943*28000</f>
        <v>0</v>
      </c>
      <c r="CG943" s="76"/>
      <c r="CH943" s="76">
        <f>+CG943*22500</f>
        <v>0</v>
      </c>
      <c r="CI943" s="76"/>
      <c r="CJ943" s="76">
        <f>+CI943*26000</f>
        <v>0</v>
      </c>
      <c r="CK943" s="76"/>
      <c r="CL943" s="76"/>
      <c r="CM943" s="76"/>
      <c r="CN943" s="76">
        <f>+CM943*22000</f>
        <v>0</v>
      </c>
      <c r="CO943" s="76"/>
      <c r="CP943" s="76">
        <f>+CO943*46000</f>
        <v>0</v>
      </c>
      <c r="CQ943" s="76"/>
      <c r="CR943" s="76">
        <f>+CQ943*49000</f>
        <v>0</v>
      </c>
      <c r="CS943" s="76"/>
      <c r="CT943" s="76"/>
      <c r="CU943" s="56">
        <f>AN943+AP943+AR943+AT943+AV943+AX943+AZ943+BB943+BD943+BF943+BH943+BJ943+BL943+BN943+BP943+BR943+BT943+BV943+BX943+BZ943+CB943+CD943+CF943+CH943+CJ943+CL943+CN943+CP943+CR943+CT943</f>
        <v>0</v>
      </c>
      <c r="CV943" s="76"/>
      <c r="CW943" s="76">
        <f>+CV943*1100</f>
        <v>0</v>
      </c>
      <c r="CX943" s="76"/>
      <c r="CY943" s="76">
        <f>+CX943*106250</f>
        <v>0</v>
      </c>
      <c r="CZ943" s="76"/>
      <c r="DA943" s="76">
        <f>+CZ943*34500</f>
        <v>0</v>
      </c>
      <c r="DB943" s="76"/>
      <c r="DC943" s="76">
        <f>+DB943*25000</f>
        <v>0</v>
      </c>
      <c r="DD943" s="219"/>
      <c r="DE943" s="219"/>
      <c r="DF943" s="166"/>
      <c r="DG943" s="116"/>
      <c r="DH943" s="117"/>
      <c r="DI943" s="24"/>
      <c r="DJ943" s="24"/>
      <c r="DK943" s="24"/>
      <c r="DL943" s="24"/>
      <c r="DM943" s="24"/>
      <c r="DN943" s="24"/>
      <c r="DO943" s="24"/>
      <c r="DP943" s="24"/>
      <c r="DQ943" s="24"/>
      <c r="DR943" s="24"/>
      <c r="DS943" s="24"/>
      <c r="DT943" s="24"/>
      <c r="DU943" s="24"/>
    </row>
    <row r="944" spans="1:125" s="8" customFormat="1" ht="72" x14ac:dyDescent="0.2">
      <c r="A944" s="77">
        <v>41330</v>
      </c>
      <c r="B944" s="225" t="s">
        <v>2772</v>
      </c>
      <c r="C944" s="227" t="s">
        <v>2151</v>
      </c>
      <c r="D944" s="81" t="s">
        <v>2846</v>
      </c>
      <c r="E944" s="75" t="str">
        <f>VLOOKUP(B944&amp;C944,Divipola!$C$2:$F$1138,4,FALSE)</f>
        <v>25524</v>
      </c>
      <c r="F944" s="100"/>
      <c r="G944" s="100"/>
      <c r="H944" s="100"/>
      <c r="I944" s="100"/>
      <c r="J944" s="100"/>
      <c r="K944" s="100"/>
      <c r="L944" s="100"/>
      <c r="M944" s="100"/>
      <c r="N944" s="100"/>
      <c r="O944" s="100"/>
      <c r="P944" s="100"/>
      <c r="Q944" s="100"/>
      <c r="R944" s="100"/>
      <c r="S944" s="100"/>
      <c r="T944" s="100"/>
      <c r="U944" s="136">
        <v>3</v>
      </c>
      <c r="V944" s="89"/>
      <c r="W944" s="96">
        <v>0</v>
      </c>
      <c r="X944" s="71">
        <f>CU944</f>
        <v>0</v>
      </c>
      <c r="Y944" s="71">
        <f>CY944</f>
        <v>0</v>
      </c>
      <c r="Z944" s="71">
        <f>DA944+DC944+DE944</f>
        <v>0</v>
      </c>
      <c r="AA944" s="71">
        <f>CW944</f>
        <v>0</v>
      </c>
      <c r="AB944" s="71"/>
      <c r="AC944" s="71">
        <v>0</v>
      </c>
      <c r="AD944" s="71">
        <f>W944+X944+Y944+Z944+AA944+AB944+AC944</f>
        <v>0</v>
      </c>
      <c r="AE944" s="72">
        <v>0</v>
      </c>
      <c r="AF944" s="5"/>
      <c r="AG944" s="6"/>
      <c r="AH944" s="27" t="s">
        <v>3392</v>
      </c>
      <c r="AI944" s="44" t="s">
        <v>3393</v>
      </c>
      <c r="AJ944" s="26"/>
      <c r="AK944" s="5"/>
      <c r="AL944" s="82" t="s">
        <v>3637</v>
      </c>
      <c r="AM944" s="76"/>
      <c r="AN944" s="76"/>
      <c r="AO944" s="76"/>
      <c r="AP944" s="76"/>
      <c r="AQ944" s="76"/>
      <c r="AR944" s="76"/>
      <c r="AS944" s="76"/>
      <c r="AT944" s="76"/>
      <c r="AU944" s="76"/>
      <c r="AV944" s="76"/>
      <c r="AW944" s="76"/>
      <c r="AX944" s="76">
        <f>+AW944*600000</f>
        <v>0</v>
      </c>
      <c r="AY944" s="76"/>
      <c r="AZ944" s="76">
        <f>+AY944*70000</f>
        <v>0</v>
      </c>
      <c r="BA944" s="76"/>
      <c r="BB944" s="76"/>
      <c r="BC944" s="76"/>
      <c r="BD944" s="76">
        <f>+BC944*30000</f>
        <v>0</v>
      </c>
      <c r="BE944" s="76"/>
      <c r="BF944" s="76"/>
      <c r="BG944" s="76"/>
      <c r="BH944" s="76"/>
      <c r="BI944" s="76"/>
      <c r="BJ944" s="76"/>
      <c r="BK944" s="76"/>
      <c r="BL944" s="76">
        <f>+BK944*31500</f>
        <v>0</v>
      </c>
      <c r="BM944" s="76"/>
      <c r="BN944" s="76"/>
      <c r="BO944" s="76"/>
      <c r="BP944" s="76"/>
      <c r="BQ944" s="76"/>
      <c r="BR944" s="76"/>
      <c r="BS944" s="76"/>
      <c r="BT944" s="76"/>
      <c r="BU944" s="76"/>
      <c r="BV944" s="76"/>
      <c r="BW944" s="76"/>
      <c r="BX944" s="76"/>
      <c r="BY944" s="76"/>
      <c r="BZ944" s="76"/>
      <c r="CA944" s="76"/>
      <c r="CB944" s="76"/>
      <c r="CC944" s="76"/>
      <c r="CD944" s="76"/>
      <c r="CE944" s="76"/>
      <c r="CF944" s="76">
        <f>+CE944*28000</f>
        <v>0</v>
      </c>
      <c r="CG944" s="76"/>
      <c r="CH944" s="76">
        <f>+CG944*22500</f>
        <v>0</v>
      </c>
      <c r="CI944" s="76"/>
      <c r="CJ944" s="76">
        <f>+CI944*26000</f>
        <v>0</v>
      </c>
      <c r="CK944" s="76"/>
      <c r="CL944" s="76"/>
      <c r="CM944" s="76"/>
      <c r="CN944" s="76">
        <f>+CM944*22000</f>
        <v>0</v>
      </c>
      <c r="CO944" s="76"/>
      <c r="CP944" s="76">
        <f>+CO944*46000</f>
        <v>0</v>
      </c>
      <c r="CQ944" s="76"/>
      <c r="CR944" s="76">
        <f>+CQ944*49000</f>
        <v>0</v>
      </c>
      <c r="CS944" s="76"/>
      <c r="CT944" s="76"/>
      <c r="CU944" s="56">
        <f>AN944+AP944+AR944+AT944+AV944+AX944+AZ944+BB944+BD944+BF944+BH944+BJ944+BL944+BN944+BP944+BR944+BT944+BV944+BX944+BZ944+CB944+CD944+CF944+CH944+CJ944+CL944+CN944+CP944+CR944+CT944</f>
        <v>0</v>
      </c>
      <c r="CV944" s="76"/>
      <c r="CW944" s="76">
        <f>+CV944*1100</f>
        <v>0</v>
      </c>
      <c r="CX944" s="76"/>
      <c r="CY944" s="76">
        <f>+CX944*106250</f>
        <v>0</v>
      </c>
      <c r="CZ944" s="76"/>
      <c r="DA944" s="76">
        <f>+CZ944*34500</f>
        <v>0</v>
      </c>
      <c r="DB944" s="76"/>
      <c r="DC944" s="76">
        <f>+DB944*25000</f>
        <v>0</v>
      </c>
      <c r="DD944" s="219"/>
      <c r="DE944" s="219"/>
      <c r="DF944" s="166"/>
      <c r="DG944" s="116"/>
      <c r="DH944" s="117"/>
      <c r="DI944" s="24"/>
      <c r="DJ944" s="24"/>
      <c r="DK944" s="24"/>
      <c r="DL944" s="24"/>
      <c r="DM944" s="24"/>
      <c r="DN944" s="24"/>
      <c r="DO944" s="24"/>
      <c r="DP944" s="24"/>
      <c r="DQ944" s="24"/>
      <c r="DR944" s="24"/>
      <c r="DS944" s="24"/>
      <c r="DT944" s="24"/>
      <c r="DU944" s="24"/>
    </row>
    <row r="945" spans="1:125" s="8" customFormat="1" ht="84" x14ac:dyDescent="0.2">
      <c r="A945" s="77">
        <v>41330</v>
      </c>
      <c r="B945" s="352" t="s">
        <v>2772</v>
      </c>
      <c r="C945" s="354" t="s">
        <v>2058</v>
      </c>
      <c r="D945" s="354" t="s">
        <v>3504</v>
      </c>
      <c r="E945" s="75" t="str">
        <f>VLOOKUP(B945&amp;C945,Divipola!$C$2:$F$1138,4,FALSE)</f>
        <v>25845</v>
      </c>
      <c r="F945" s="87"/>
      <c r="G945" s="87">
        <v>6</v>
      </c>
      <c r="H945" s="87"/>
      <c r="I945" s="87"/>
      <c r="J945" s="87"/>
      <c r="K945" s="87"/>
      <c r="L945" s="87"/>
      <c r="M945" s="87"/>
      <c r="N945" s="87"/>
      <c r="O945" s="87"/>
      <c r="P945" s="87"/>
      <c r="Q945" s="87"/>
      <c r="R945" s="87"/>
      <c r="S945" s="87"/>
      <c r="T945" s="87"/>
      <c r="U945" s="88"/>
      <c r="V945" s="89"/>
      <c r="W945" s="96">
        <v>0</v>
      </c>
      <c r="X945" s="71">
        <f>CU945</f>
        <v>0</v>
      </c>
      <c r="Y945" s="71">
        <f>CY945</f>
        <v>0</v>
      </c>
      <c r="Z945" s="71">
        <f>DA945+DC945+DE945</f>
        <v>0</v>
      </c>
      <c r="AA945" s="71">
        <f>CW945</f>
        <v>0</v>
      </c>
      <c r="AB945" s="71"/>
      <c r="AC945" s="71">
        <v>0</v>
      </c>
      <c r="AD945" s="71">
        <f>W945+X945+Y945+Z945+AA945+AB945+AC945</f>
        <v>0</v>
      </c>
      <c r="AE945" s="72">
        <v>0</v>
      </c>
      <c r="AF945" s="5"/>
      <c r="AG945" s="6"/>
      <c r="AH945" s="27" t="s">
        <v>3392</v>
      </c>
      <c r="AI945" s="44" t="s">
        <v>3393</v>
      </c>
      <c r="AJ945" s="26"/>
      <c r="AK945" s="5"/>
      <c r="AL945" s="82" t="s">
        <v>3639</v>
      </c>
      <c r="AM945" s="76"/>
      <c r="AN945" s="76"/>
      <c r="AO945" s="76"/>
      <c r="AP945" s="76"/>
      <c r="AQ945" s="76"/>
      <c r="AR945" s="76"/>
      <c r="AS945" s="76"/>
      <c r="AT945" s="76"/>
      <c r="AU945" s="76"/>
      <c r="AV945" s="76"/>
      <c r="AW945" s="76"/>
      <c r="AX945" s="76">
        <f>+AW945*600000</f>
        <v>0</v>
      </c>
      <c r="AY945" s="76"/>
      <c r="AZ945" s="76">
        <f>+AY945*70000</f>
        <v>0</v>
      </c>
      <c r="BA945" s="76"/>
      <c r="BB945" s="76"/>
      <c r="BC945" s="76"/>
      <c r="BD945" s="76">
        <f>+BC945*30000</f>
        <v>0</v>
      </c>
      <c r="BE945" s="76"/>
      <c r="BF945" s="76"/>
      <c r="BG945" s="76"/>
      <c r="BH945" s="76"/>
      <c r="BI945" s="76"/>
      <c r="BJ945" s="76"/>
      <c r="BK945" s="76"/>
      <c r="BL945" s="76">
        <f>+BK945*31500</f>
        <v>0</v>
      </c>
      <c r="BM945" s="76"/>
      <c r="BN945" s="76"/>
      <c r="BO945" s="76"/>
      <c r="BP945" s="76"/>
      <c r="BQ945" s="76"/>
      <c r="BR945" s="76"/>
      <c r="BS945" s="76"/>
      <c r="BT945" s="76"/>
      <c r="BU945" s="76"/>
      <c r="BV945" s="76"/>
      <c r="BW945" s="76"/>
      <c r="BX945" s="76"/>
      <c r="BY945" s="76"/>
      <c r="BZ945" s="76"/>
      <c r="CA945" s="76"/>
      <c r="CB945" s="76"/>
      <c r="CC945" s="76"/>
      <c r="CD945" s="76"/>
      <c r="CE945" s="76"/>
      <c r="CF945" s="76">
        <f>+CE945*28000</f>
        <v>0</v>
      </c>
      <c r="CG945" s="76"/>
      <c r="CH945" s="76">
        <f>+CG945*22500</f>
        <v>0</v>
      </c>
      <c r="CI945" s="76"/>
      <c r="CJ945" s="76">
        <f>+CI945*26000</f>
        <v>0</v>
      </c>
      <c r="CK945" s="76"/>
      <c r="CL945" s="76"/>
      <c r="CM945" s="76"/>
      <c r="CN945" s="76">
        <f>+CM945*22000</f>
        <v>0</v>
      </c>
      <c r="CO945" s="76"/>
      <c r="CP945" s="76">
        <f>+CO945*46000</f>
        <v>0</v>
      </c>
      <c r="CQ945" s="76"/>
      <c r="CR945" s="76">
        <f>+CQ945*49000</f>
        <v>0</v>
      </c>
      <c r="CS945" s="76"/>
      <c r="CT945" s="76"/>
      <c r="CU945" s="56">
        <f>AN945+AP945+AR945+AT945+AV945+AX945+AZ945+BB945+BD945+BF945+BH945+BJ945+BL945+BN945+BP945+BR945+BT945+BV945+BX945+BZ945+CB945+CD945+CF945+CH945+CJ945+CL945+CN945+CP945+CR945+CT945</f>
        <v>0</v>
      </c>
      <c r="CV945" s="76"/>
      <c r="CW945" s="76">
        <f>+CV945*1100</f>
        <v>0</v>
      </c>
      <c r="CX945" s="76"/>
      <c r="CY945" s="76">
        <f>+CX945*106250</f>
        <v>0</v>
      </c>
      <c r="CZ945" s="76"/>
      <c r="DA945" s="76">
        <f>+CZ945*34500</f>
        <v>0</v>
      </c>
      <c r="DB945" s="76"/>
      <c r="DC945" s="76">
        <f>+DB945*25000</f>
        <v>0</v>
      </c>
      <c r="DD945" s="219"/>
      <c r="DE945" s="219"/>
      <c r="DF945" s="166"/>
      <c r="DG945" s="116"/>
      <c r="DH945" s="117"/>
      <c r="DI945" s="24"/>
      <c r="DJ945" s="24"/>
      <c r="DK945" s="24"/>
      <c r="DL945" s="24"/>
      <c r="DM945" s="24"/>
      <c r="DN945" s="24"/>
      <c r="DO945" s="24"/>
      <c r="DP945" s="24"/>
      <c r="DQ945" s="24"/>
      <c r="DR945" s="24"/>
      <c r="DS945" s="24"/>
      <c r="DT945" s="24"/>
      <c r="DU945" s="24"/>
    </row>
    <row r="946" spans="1:125" s="8" customFormat="1" ht="60" x14ac:dyDescent="0.2">
      <c r="A946" s="77">
        <v>41330</v>
      </c>
      <c r="B946" s="225" t="s">
        <v>2880</v>
      </c>
      <c r="C946" s="227" t="s">
        <v>2797</v>
      </c>
      <c r="D946" s="81" t="s">
        <v>2846</v>
      </c>
      <c r="E946" s="75" t="str">
        <f>VLOOKUP(B946&amp;C946,Divipola!$C$2:$F$1138,4,FALSE)</f>
        <v>54498</v>
      </c>
      <c r="F946" s="87"/>
      <c r="G946" s="87"/>
      <c r="H946" s="87"/>
      <c r="I946" s="87"/>
      <c r="J946" s="87"/>
      <c r="K946" s="87"/>
      <c r="L946" s="87"/>
      <c r="M946" s="87"/>
      <c r="N946" s="87"/>
      <c r="O946" s="87"/>
      <c r="P946" s="87"/>
      <c r="Q946" s="87"/>
      <c r="R946" s="87"/>
      <c r="S946" s="87"/>
      <c r="T946" s="87"/>
      <c r="U946" s="88">
        <v>8</v>
      </c>
      <c r="V946" s="89"/>
      <c r="W946" s="96">
        <v>0</v>
      </c>
      <c r="X946" s="71">
        <f>CU946</f>
        <v>0</v>
      </c>
      <c r="Y946" s="71">
        <f>CY946</f>
        <v>0</v>
      </c>
      <c r="Z946" s="71">
        <f>DA946+DC946+DE946</f>
        <v>0</v>
      </c>
      <c r="AA946" s="71">
        <f>CW946</f>
        <v>0</v>
      </c>
      <c r="AB946" s="71"/>
      <c r="AC946" s="71">
        <v>0</v>
      </c>
      <c r="AD946" s="71">
        <f>W946+X946+Y946+Z946+AA946+AB946+AC946</f>
        <v>0</v>
      </c>
      <c r="AE946" s="72">
        <v>0</v>
      </c>
      <c r="AF946" s="5"/>
      <c r="AG946" s="6"/>
      <c r="AH946" s="27" t="s">
        <v>3392</v>
      </c>
      <c r="AI946" s="44" t="s">
        <v>3393</v>
      </c>
      <c r="AJ946" s="26"/>
      <c r="AK946" s="5"/>
      <c r="AL946" s="82" t="s">
        <v>3642</v>
      </c>
      <c r="AM946" s="76"/>
      <c r="AN946" s="76"/>
      <c r="AO946" s="76"/>
      <c r="AP946" s="76"/>
      <c r="AQ946" s="76"/>
      <c r="AR946" s="76"/>
      <c r="AS946" s="76"/>
      <c r="AT946" s="76"/>
      <c r="AU946" s="76"/>
      <c r="AV946" s="76"/>
      <c r="AW946" s="76"/>
      <c r="AX946" s="76">
        <f>+AW946*600000</f>
        <v>0</v>
      </c>
      <c r="AY946" s="76"/>
      <c r="AZ946" s="76">
        <f>+AY946*70000</f>
        <v>0</v>
      </c>
      <c r="BA946" s="76"/>
      <c r="BB946" s="76"/>
      <c r="BC946" s="76"/>
      <c r="BD946" s="76">
        <f>+BC946*30000</f>
        <v>0</v>
      </c>
      <c r="BE946" s="76"/>
      <c r="BF946" s="76"/>
      <c r="BG946" s="76"/>
      <c r="BH946" s="76"/>
      <c r="BI946" s="76"/>
      <c r="BJ946" s="76"/>
      <c r="BK946" s="76"/>
      <c r="BL946" s="76">
        <f>+BK946*31500</f>
        <v>0</v>
      </c>
      <c r="BM946" s="76"/>
      <c r="BN946" s="76"/>
      <c r="BO946" s="76"/>
      <c r="BP946" s="76"/>
      <c r="BQ946" s="76"/>
      <c r="BR946" s="76"/>
      <c r="BS946" s="76"/>
      <c r="BT946" s="76"/>
      <c r="BU946" s="76"/>
      <c r="BV946" s="76"/>
      <c r="BW946" s="76"/>
      <c r="BX946" s="76"/>
      <c r="BY946" s="76"/>
      <c r="BZ946" s="76"/>
      <c r="CA946" s="76"/>
      <c r="CB946" s="76"/>
      <c r="CC946" s="76"/>
      <c r="CD946" s="76"/>
      <c r="CE946" s="76"/>
      <c r="CF946" s="76">
        <f>+CE946*28000</f>
        <v>0</v>
      </c>
      <c r="CG946" s="76"/>
      <c r="CH946" s="76">
        <f>+CG946*22500</f>
        <v>0</v>
      </c>
      <c r="CI946" s="76"/>
      <c r="CJ946" s="76">
        <f>+CI946*26000</f>
        <v>0</v>
      </c>
      <c r="CK946" s="76"/>
      <c r="CL946" s="76"/>
      <c r="CM946" s="76"/>
      <c r="CN946" s="76">
        <f>+CM946*22000</f>
        <v>0</v>
      </c>
      <c r="CO946" s="76"/>
      <c r="CP946" s="76">
        <f>+CO946*46000</f>
        <v>0</v>
      </c>
      <c r="CQ946" s="76"/>
      <c r="CR946" s="76">
        <f>+CQ946*49000</f>
        <v>0</v>
      </c>
      <c r="CS946" s="76"/>
      <c r="CT946" s="76"/>
      <c r="CU946" s="56">
        <f>AN946+AP946+AR946+AT946+AV946+AX946+AZ946+BB946+BD946+BF946+BH946+BJ946+BL946+BN946+BP946+BR946+BT946+BV946+BX946+BZ946+CB946+CD946+CF946+CH946+CJ946+CL946+CN946+CP946+CR946+CT946</f>
        <v>0</v>
      </c>
      <c r="CV946" s="76"/>
      <c r="CW946" s="76">
        <f>+CV946*1100</f>
        <v>0</v>
      </c>
      <c r="CX946" s="76"/>
      <c r="CY946" s="76">
        <f>+CX946*106250</f>
        <v>0</v>
      </c>
      <c r="CZ946" s="76"/>
      <c r="DA946" s="76">
        <f>+CZ946*34500</f>
        <v>0</v>
      </c>
      <c r="DB946" s="76"/>
      <c r="DC946" s="76">
        <f>+DB946*25000</f>
        <v>0</v>
      </c>
      <c r="DD946" s="219"/>
      <c r="DE946" s="219"/>
      <c r="DF946" s="166"/>
      <c r="DG946" s="116"/>
      <c r="DH946" s="117"/>
      <c r="DI946" s="24"/>
      <c r="DJ946" s="24"/>
      <c r="DK946" s="24"/>
      <c r="DL946" s="24"/>
      <c r="DM946" s="24"/>
      <c r="DN946" s="24"/>
      <c r="DO946" s="24"/>
      <c r="DP946" s="24"/>
      <c r="DQ946" s="24"/>
      <c r="DR946" s="24"/>
      <c r="DS946" s="24"/>
      <c r="DT946" s="24"/>
      <c r="DU946" s="24"/>
    </row>
    <row r="947" spans="1:125" s="8" customFormat="1" x14ac:dyDescent="0.2">
      <c r="A947" s="226">
        <v>41330</v>
      </c>
      <c r="B947" s="225" t="s">
        <v>1326</v>
      </c>
      <c r="C947" s="227" t="s">
        <v>2710</v>
      </c>
      <c r="D947" s="75" t="s">
        <v>3051</v>
      </c>
      <c r="E947" s="75" t="str">
        <f>VLOOKUP(B947&amp;C947,Divipola!$C$2:$F$1138,4,FALSE)</f>
        <v>70124</v>
      </c>
      <c r="F947" s="163"/>
      <c r="G947" s="163"/>
      <c r="H947" s="163"/>
      <c r="I947" s="163"/>
      <c r="J947" s="163"/>
      <c r="K947" s="163"/>
      <c r="L947" s="163"/>
      <c r="M947" s="163"/>
      <c r="N947" s="163"/>
      <c r="O947" s="163"/>
      <c r="P947" s="163"/>
      <c r="Q947" s="163"/>
      <c r="R947" s="163"/>
      <c r="S947" s="163"/>
      <c r="T947" s="163"/>
      <c r="U947" s="163"/>
      <c r="V947" s="134"/>
      <c r="W947" s="96">
        <v>0</v>
      </c>
      <c r="X947" s="71">
        <f>CU947</f>
        <v>0</v>
      </c>
      <c r="Y947" s="71">
        <f>CY947</f>
        <v>0</v>
      </c>
      <c r="Z947" s="71">
        <f>DA947+DC947+DE947</f>
        <v>32800000</v>
      </c>
      <c r="AA947" s="71">
        <f>CW947</f>
        <v>0</v>
      </c>
      <c r="AB947" s="71"/>
      <c r="AC947" s="71">
        <v>0</v>
      </c>
      <c r="AD947" s="71">
        <f>W947+X947+Y947+Z947+AA947+AB947+AC947</f>
        <v>32800000</v>
      </c>
      <c r="AE947" s="72">
        <v>0</v>
      </c>
      <c r="AF947" s="5"/>
      <c r="AG947" s="6"/>
      <c r="AH947" s="27" t="s">
        <v>3390</v>
      </c>
      <c r="AI947" s="44" t="s">
        <v>3391</v>
      </c>
      <c r="AJ947" s="26"/>
      <c r="AK947" s="5"/>
      <c r="AL947" s="82"/>
      <c r="AM947" s="76"/>
      <c r="AN947" s="76"/>
      <c r="AO947" s="76"/>
      <c r="AP947" s="76"/>
      <c r="AQ947" s="76"/>
      <c r="AR947" s="76"/>
      <c r="AS947" s="76"/>
      <c r="AT947" s="76"/>
      <c r="AU947" s="76"/>
      <c r="AV947" s="76"/>
      <c r="AW947" s="76"/>
      <c r="AX947" s="76">
        <f>+AW947*600000</f>
        <v>0</v>
      </c>
      <c r="AY947" s="76"/>
      <c r="AZ947" s="76">
        <f>+AY947*70000</f>
        <v>0</v>
      </c>
      <c r="BA947" s="76"/>
      <c r="BB947" s="76"/>
      <c r="BC947" s="76"/>
      <c r="BD947" s="76">
        <f>+BC947*30000</f>
        <v>0</v>
      </c>
      <c r="BE947" s="76"/>
      <c r="BF947" s="76"/>
      <c r="BG947" s="76"/>
      <c r="BH947" s="76"/>
      <c r="BI947" s="76"/>
      <c r="BJ947" s="76"/>
      <c r="BK947" s="76"/>
      <c r="BL947" s="76">
        <f>+BK947*31500</f>
        <v>0</v>
      </c>
      <c r="BM947" s="76"/>
      <c r="BN947" s="76"/>
      <c r="BO947" s="76"/>
      <c r="BP947" s="76"/>
      <c r="BQ947" s="76"/>
      <c r="BR947" s="76"/>
      <c r="BS947" s="76"/>
      <c r="BT947" s="76"/>
      <c r="BU947" s="76"/>
      <c r="BV947" s="76"/>
      <c r="BW947" s="76"/>
      <c r="BX947" s="76"/>
      <c r="BY947" s="76"/>
      <c r="BZ947" s="76"/>
      <c r="CA947" s="76"/>
      <c r="CB947" s="76"/>
      <c r="CC947" s="76"/>
      <c r="CD947" s="76"/>
      <c r="CE947" s="76"/>
      <c r="CF947" s="76">
        <f>+CE947*28000</f>
        <v>0</v>
      </c>
      <c r="CG947" s="76"/>
      <c r="CH947" s="76">
        <f>+CG947*22500</f>
        <v>0</v>
      </c>
      <c r="CI947" s="76"/>
      <c r="CJ947" s="76">
        <f>+CI947*26000</f>
        <v>0</v>
      </c>
      <c r="CK947" s="76"/>
      <c r="CL947" s="76"/>
      <c r="CM947" s="76"/>
      <c r="CN947" s="76">
        <f>+CM947*22000</f>
        <v>0</v>
      </c>
      <c r="CO947" s="76"/>
      <c r="CP947" s="76">
        <f>+CO947*46000</f>
        <v>0</v>
      </c>
      <c r="CQ947" s="76"/>
      <c r="CR947" s="76">
        <f>+CQ947*49000</f>
        <v>0</v>
      </c>
      <c r="CS947" s="76"/>
      <c r="CT947" s="76"/>
      <c r="CU947" s="56">
        <f>AN947+AP947+AR947+AT947+AV947+AX947+AZ947+BB947+BD947+BF947+BH947+BJ947+BL947+BN947+BP947+BR947+BT947+BV947+BX947+BZ947+CB947+CD947+CF947+CH947+CJ947+CL947+CN947+CP947+CR947+CT947</f>
        <v>0</v>
      </c>
      <c r="CV947" s="76"/>
      <c r="CW947" s="76">
        <f>+CV947*1100</f>
        <v>0</v>
      </c>
      <c r="CX947" s="76"/>
      <c r="CY947" s="76">
        <f>+CX947*106250</f>
        <v>0</v>
      </c>
      <c r="CZ947" s="76"/>
      <c r="DA947" s="76">
        <f>+CZ947*34500</f>
        <v>0</v>
      </c>
      <c r="DB947" s="86">
        <v>1000</v>
      </c>
      <c r="DC947" s="86">
        <f>+DB947*32000+4000*200</f>
        <v>32800000</v>
      </c>
      <c r="DD947" s="219"/>
      <c r="DE947" s="219"/>
      <c r="DF947" s="166"/>
      <c r="DG947" s="116"/>
      <c r="DH947" s="117"/>
      <c r="DI947" s="24"/>
      <c r="DJ947" s="24"/>
      <c r="DK947" s="24"/>
      <c r="DL947" s="24"/>
      <c r="DM947" s="24"/>
      <c r="DN947" s="24"/>
      <c r="DO947" s="24"/>
      <c r="DP947" s="24"/>
      <c r="DQ947" s="24"/>
      <c r="DR947" s="24"/>
      <c r="DS947" s="24"/>
      <c r="DT947" s="24"/>
      <c r="DU947" s="24"/>
    </row>
    <row r="948" spans="1:125" s="8" customFormat="1" x14ac:dyDescent="0.2">
      <c r="A948" s="226">
        <v>41330</v>
      </c>
      <c r="B948" s="225" t="s">
        <v>1326</v>
      </c>
      <c r="C948" s="227" t="s">
        <v>2711</v>
      </c>
      <c r="D948" s="75" t="s">
        <v>3051</v>
      </c>
      <c r="E948" s="75" t="str">
        <f>VLOOKUP(B948&amp;C948,Divipola!$C$2:$F$1138,4,FALSE)</f>
        <v>70678</v>
      </c>
      <c r="F948" s="163"/>
      <c r="G948" s="163"/>
      <c r="H948" s="163"/>
      <c r="I948" s="163"/>
      <c r="J948" s="163"/>
      <c r="K948" s="163"/>
      <c r="L948" s="163"/>
      <c r="M948" s="163"/>
      <c r="N948" s="163"/>
      <c r="O948" s="163"/>
      <c r="P948" s="163"/>
      <c r="Q948" s="163"/>
      <c r="R948" s="163"/>
      <c r="S948" s="163"/>
      <c r="T948" s="163"/>
      <c r="U948" s="163"/>
      <c r="V948" s="134"/>
      <c r="W948" s="96">
        <v>0</v>
      </c>
      <c r="X948" s="71">
        <f>CU948</f>
        <v>0</v>
      </c>
      <c r="Y948" s="71">
        <f>CY948</f>
        <v>0</v>
      </c>
      <c r="Z948" s="71">
        <f>DA948+DC948+DE948</f>
        <v>71800000</v>
      </c>
      <c r="AA948" s="71">
        <f>CW948</f>
        <v>44000000</v>
      </c>
      <c r="AB948" s="71"/>
      <c r="AC948" s="71">
        <v>0</v>
      </c>
      <c r="AD948" s="71">
        <f>W948+X948+Y948+Z948+AA948+AB948+AC948</f>
        <v>115800000</v>
      </c>
      <c r="AE948" s="72">
        <v>0</v>
      </c>
      <c r="AF948" s="5"/>
      <c r="AG948" s="6"/>
      <c r="AH948" s="27" t="s">
        <v>3390</v>
      </c>
      <c r="AI948" s="44" t="s">
        <v>3391</v>
      </c>
      <c r="AJ948" s="26"/>
      <c r="AK948" s="5"/>
      <c r="AL948" s="82"/>
      <c r="AM948" s="76"/>
      <c r="AN948" s="76"/>
      <c r="AO948" s="76"/>
      <c r="AP948" s="76"/>
      <c r="AQ948" s="76"/>
      <c r="AR948" s="76"/>
      <c r="AS948" s="76"/>
      <c r="AT948" s="76"/>
      <c r="AU948" s="76"/>
      <c r="AV948" s="76"/>
      <c r="AW948" s="76"/>
      <c r="AX948" s="76">
        <f>+AW948*600000</f>
        <v>0</v>
      </c>
      <c r="AY948" s="76"/>
      <c r="AZ948" s="76">
        <f>+AY948*70000</f>
        <v>0</v>
      </c>
      <c r="BA948" s="76"/>
      <c r="BB948" s="76"/>
      <c r="BC948" s="76"/>
      <c r="BD948" s="76">
        <f>+BC948*30000</f>
        <v>0</v>
      </c>
      <c r="BE948" s="76"/>
      <c r="BF948" s="76"/>
      <c r="BG948" s="76"/>
      <c r="BH948" s="76"/>
      <c r="BI948" s="76"/>
      <c r="BJ948" s="76"/>
      <c r="BK948" s="76"/>
      <c r="BL948" s="76">
        <f>+BK948*31500</f>
        <v>0</v>
      </c>
      <c r="BM948" s="76"/>
      <c r="BN948" s="76"/>
      <c r="BO948" s="76"/>
      <c r="BP948" s="76"/>
      <c r="BQ948" s="76"/>
      <c r="BR948" s="76"/>
      <c r="BS948" s="76"/>
      <c r="BT948" s="76"/>
      <c r="BU948" s="76"/>
      <c r="BV948" s="76"/>
      <c r="BW948" s="76"/>
      <c r="BX948" s="76"/>
      <c r="BY948" s="76"/>
      <c r="BZ948" s="76"/>
      <c r="CA948" s="76"/>
      <c r="CB948" s="76"/>
      <c r="CC948" s="76"/>
      <c r="CD948" s="76"/>
      <c r="CE948" s="76"/>
      <c r="CF948" s="76">
        <f>+CE948*28000</f>
        <v>0</v>
      </c>
      <c r="CG948" s="76"/>
      <c r="CH948" s="76">
        <f>+CG948*22500</f>
        <v>0</v>
      </c>
      <c r="CI948" s="76"/>
      <c r="CJ948" s="76">
        <f>+CI948*26000</f>
        <v>0</v>
      </c>
      <c r="CK948" s="76"/>
      <c r="CL948" s="76"/>
      <c r="CM948" s="76"/>
      <c r="CN948" s="76">
        <f>+CM948*22000</f>
        <v>0</v>
      </c>
      <c r="CO948" s="76"/>
      <c r="CP948" s="76">
        <f>+CO948*46000</f>
        <v>0</v>
      </c>
      <c r="CQ948" s="76"/>
      <c r="CR948" s="76">
        <f>+CQ948*49000</f>
        <v>0</v>
      </c>
      <c r="CS948" s="76"/>
      <c r="CT948" s="76"/>
      <c r="CU948" s="56">
        <f>AN948+AP948+AR948+AT948+AV948+AX948+AZ948+BB948+BD948+BF948+BH948+BJ948+BL948+BN948+BP948+BR948+BT948+BV948+BX948+BZ948+CB948+CD948+CF948+CH948+CJ948+CL948+CN948+CP948+CR948+CT948</f>
        <v>0</v>
      </c>
      <c r="CV948" s="86">
        <v>40000</v>
      </c>
      <c r="CW948" s="86">
        <f>+CV948*1100</f>
        <v>44000000</v>
      </c>
      <c r="CX948" s="76"/>
      <c r="CY948" s="76">
        <f>+CX948*106250</f>
        <v>0</v>
      </c>
      <c r="CZ948" s="76"/>
      <c r="DA948" s="76">
        <f>+CZ948*34500</f>
        <v>0</v>
      </c>
      <c r="DB948" s="86">
        <f>1150+800</f>
        <v>1950</v>
      </c>
      <c r="DC948" s="86">
        <f>1150*32000+800*41000+3200*400+4600*200</f>
        <v>71800000</v>
      </c>
      <c r="DD948" s="219"/>
      <c r="DE948" s="219"/>
      <c r="DF948" s="166"/>
      <c r="DG948" s="116"/>
      <c r="DH948" s="117"/>
      <c r="DI948" s="24"/>
      <c r="DJ948" s="24"/>
      <c r="DK948" s="24"/>
      <c r="DL948" s="24"/>
      <c r="DM948" s="24"/>
      <c r="DN948" s="24"/>
      <c r="DO948" s="24"/>
      <c r="DP948" s="24"/>
      <c r="DQ948" s="24"/>
      <c r="DR948" s="24"/>
      <c r="DS948" s="24"/>
      <c r="DT948" s="24"/>
      <c r="DU948" s="24"/>
    </row>
    <row r="949" spans="1:125" s="8" customFormat="1" ht="36" x14ac:dyDescent="0.2">
      <c r="A949" s="77">
        <v>41330</v>
      </c>
      <c r="B949" s="78" t="s">
        <v>2848</v>
      </c>
      <c r="C949" s="75" t="s">
        <v>515</v>
      </c>
      <c r="D949" s="81" t="s">
        <v>2846</v>
      </c>
      <c r="E949" s="75" t="str">
        <f>VLOOKUP(B949&amp;C949,Divipola!$C$2:$F$1138,4,FALSE)</f>
        <v>73030</v>
      </c>
      <c r="F949" s="87"/>
      <c r="G949" s="87"/>
      <c r="H949" s="87"/>
      <c r="I949" s="87"/>
      <c r="J949" s="87"/>
      <c r="K949" s="87"/>
      <c r="L949" s="87"/>
      <c r="M949" s="87"/>
      <c r="N949" s="87"/>
      <c r="O949" s="87"/>
      <c r="P949" s="87"/>
      <c r="Q949" s="87"/>
      <c r="R949" s="87"/>
      <c r="S949" s="87"/>
      <c r="T949" s="87"/>
      <c r="U949" s="88">
        <v>2</v>
      </c>
      <c r="V949" s="89"/>
      <c r="W949" s="96">
        <v>0</v>
      </c>
      <c r="X949" s="71">
        <f>CU949</f>
        <v>0</v>
      </c>
      <c r="Y949" s="71">
        <f>CY949</f>
        <v>0</v>
      </c>
      <c r="Z949" s="71">
        <f>DA949+DC949+DE949</f>
        <v>0</v>
      </c>
      <c r="AA949" s="71">
        <f>CW949</f>
        <v>0</v>
      </c>
      <c r="AB949" s="71"/>
      <c r="AC949" s="71">
        <v>0</v>
      </c>
      <c r="AD949" s="71">
        <f>W949+X949+Y949+Z949+AA949+AB949+AC949</f>
        <v>0</v>
      </c>
      <c r="AE949" s="72">
        <v>0</v>
      </c>
      <c r="AF949" s="5"/>
      <c r="AG949" s="6"/>
      <c r="AH949" s="27" t="s">
        <v>3392</v>
      </c>
      <c r="AI949" s="44" t="s">
        <v>3393</v>
      </c>
      <c r="AJ949" s="26"/>
      <c r="AK949" s="5"/>
      <c r="AL949" s="82" t="s">
        <v>3636</v>
      </c>
      <c r="AM949" s="76"/>
      <c r="AN949" s="76"/>
      <c r="AO949" s="76"/>
      <c r="AP949" s="76"/>
      <c r="AQ949" s="76"/>
      <c r="AR949" s="76"/>
      <c r="AS949" s="76"/>
      <c r="AT949" s="76"/>
      <c r="AU949" s="76"/>
      <c r="AV949" s="76"/>
      <c r="AW949" s="76"/>
      <c r="AX949" s="76">
        <f>+AW949*600000</f>
        <v>0</v>
      </c>
      <c r="AY949" s="76"/>
      <c r="AZ949" s="76">
        <f>+AY949*70000</f>
        <v>0</v>
      </c>
      <c r="BA949" s="76"/>
      <c r="BB949" s="76"/>
      <c r="BC949" s="76"/>
      <c r="BD949" s="76">
        <f>+BC949*30000</f>
        <v>0</v>
      </c>
      <c r="BE949" s="76"/>
      <c r="BF949" s="76"/>
      <c r="BG949" s="76"/>
      <c r="BH949" s="76"/>
      <c r="BI949" s="76"/>
      <c r="BJ949" s="76"/>
      <c r="BK949" s="76"/>
      <c r="BL949" s="76">
        <f>+BK949*31500</f>
        <v>0</v>
      </c>
      <c r="BM949" s="76"/>
      <c r="BN949" s="76"/>
      <c r="BO949" s="76"/>
      <c r="BP949" s="76"/>
      <c r="BQ949" s="76"/>
      <c r="BR949" s="76"/>
      <c r="BS949" s="76"/>
      <c r="BT949" s="76"/>
      <c r="BU949" s="76"/>
      <c r="BV949" s="76"/>
      <c r="BW949" s="76"/>
      <c r="BX949" s="76"/>
      <c r="BY949" s="76"/>
      <c r="BZ949" s="76"/>
      <c r="CA949" s="76"/>
      <c r="CB949" s="76"/>
      <c r="CC949" s="76"/>
      <c r="CD949" s="76"/>
      <c r="CE949" s="76"/>
      <c r="CF949" s="76">
        <f>+CE949*28000</f>
        <v>0</v>
      </c>
      <c r="CG949" s="76"/>
      <c r="CH949" s="76">
        <f>+CG949*22500</f>
        <v>0</v>
      </c>
      <c r="CI949" s="76"/>
      <c r="CJ949" s="76">
        <f>+CI949*26000</f>
        <v>0</v>
      </c>
      <c r="CK949" s="76"/>
      <c r="CL949" s="76"/>
      <c r="CM949" s="76"/>
      <c r="CN949" s="76">
        <f>+CM949*22000</f>
        <v>0</v>
      </c>
      <c r="CO949" s="76"/>
      <c r="CP949" s="76">
        <f>+CO949*46000</f>
        <v>0</v>
      </c>
      <c r="CQ949" s="76"/>
      <c r="CR949" s="76">
        <f>+CQ949*49000</f>
        <v>0</v>
      </c>
      <c r="CS949" s="76"/>
      <c r="CT949" s="76"/>
      <c r="CU949" s="56">
        <f>AN949+AP949+AR949+AT949+AV949+AX949+AZ949+BB949+BD949+BF949+BH949+BJ949+BL949+BN949+BP949+BR949+BT949+BV949+BX949+BZ949+CB949+CD949+CF949+CH949+CJ949+CL949+CN949+CP949+CR949+CT949</f>
        <v>0</v>
      </c>
      <c r="CV949" s="76"/>
      <c r="CW949" s="76">
        <f>+CV949*1100</f>
        <v>0</v>
      </c>
      <c r="CX949" s="76"/>
      <c r="CY949" s="76">
        <f>+CX949*106250</f>
        <v>0</v>
      </c>
      <c r="CZ949" s="76"/>
      <c r="DA949" s="76">
        <f>+CZ949*34500</f>
        <v>0</v>
      </c>
      <c r="DB949" s="76"/>
      <c r="DC949" s="76">
        <f>+DB949*25000</f>
        <v>0</v>
      </c>
      <c r="DD949" s="219"/>
      <c r="DE949" s="219"/>
      <c r="DF949" s="166"/>
      <c r="DG949" s="116"/>
      <c r="DH949" s="117"/>
      <c r="DI949" s="24"/>
      <c r="DJ949" s="24"/>
      <c r="DK949" s="24"/>
      <c r="DL949" s="24"/>
      <c r="DM949" s="24"/>
      <c r="DN949" s="24"/>
      <c r="DO949" s="24"/>
      <c r="DP949" s="24"/>
      <c r="DQ949" s="24"/>
      <c r="DR949" s="24"/>
      <c r="DS949" s="24"/>
      <c r="DT949" s="24"/>
      <c r="DU949" s="24"/>
    </row>
    <row r="950" spans="1:125" s="8" customFormat="1" ht="36" x14ac:dyDescent="0.2">
      <c r="A950" s="77">
        <v>41330</v>
      </c>
      <c r="B950" s="225" t="s">
        <v>2851</v>
      </c>
      <c r="C950" s="227" t="s">
        <v>2667</v>
      </c>
      <c r="D950" s="227" t="s">
        <v>2859</v>
      </c>
      <c r="E950" s="75" t="str">
        <f>VLOOKUP(B950&amp;C950,Divipola!$C$2:$F$1138,4,FALSE)</f>
        <v>76364</v>
      </c>
      <c r="F950" s="100"/>
      <c r="G950" s="100"/>
      <c r="H950" s="100"/>
      <c r="I950" s="100">
        <v>5</v>
      </c>
      <c r="J950" s="100">
        <v>1</v>
      </c>
      <c r="K950" s="100">
        <v>1</v>
      </c>
      <c r="L950" s="100"/>
      <c r="M950" s="100"/>
      <c r="N950" s="100"/>
      <c r="O950" s="100"/>
      <c r="P950" s="100"/>
      <c r="Q950" s="100"/>
      <c r="R950" s="100"/>
      <c r="S950" s="100"/>
      <c r="T950" s="100"/>
      <c r="U950" s="136"/>
      <c r="V950" s="89"/>
      <c r="W950" s="96">
        <v>0</v>
      </c>
      <c r="X950" s="71">
        <f>CU950</f>
        <v>0</v>
      </c>
      <c r="Y950" s="71">
        <f>CY950</f>
        <v>0</v>
      </c>
      <c r="Z950" s="71">
        <f>DA950+DC950+DE950</f>
        <v>0</v>
      </c>
      <c r="AA950" s="71">
        <f>CW950</f>
        <v>0</v>
      </c>
      <c r="AB950" s="71"/>
      <c r="AC950" s="71">
        <v>0</v>
      </c>
      <c r="AD950" s="71">
        <f>W950+X950+Y950+Z950+AA950+AB950+AC950</f>
        <v>0</v>
      </c>
      <c r="AE950" s="72">
        <v>0</v>
      </c>
      <c r="AF950" s="5"/>
      <c r="AG950" s="6"/>
      <c r="AH950" s="27" t="s">
        <v>3392</v>
      </c>
      <c r="AI950" s="44" t="s">
        <v>3393</v>
      </c>
      <c r="AJ950" s="26"/>
      <c r="AK950" s="5"/>
      <c r="AL950" s="82" t="s">
        <v>3643</v>
      </c>
      <c r="AM950" s="76"/>
      <c r="AN950" s="76"/>
      <c r="AO950" s="76"/>
      <c r="AP950" s="76"/>
      <c r="AQ950" s="76"/>
      <c r="AR950" s="76"/>
      <c r="AS950" s="76"/>
      <c r="AT950" s="76"/>
      <c r="AU950" s="76"/>
      <c r="AV950" s="76"/>
      <c r="AW950" s="76"/>
      <c r="AX950" s="76">
        <f>+AW950*600000</f>
        <v>0</v>
      </c>
      <c r="AY950" s="76"/>
      <c r="AZ950" s="76">
        <f>+AY950*70000</f>
        <v>0</v>
      </c>
      <c r="BA950" s="76"/>
      <c r="BB950" s="76"/>
      <c r="BC950" s="76"/>
      <c r="BD950" s="76">
        <f>+BC950*30000</f>
        <v>0</v>
      </c>
      <c r="BE950" s="76"/>
      <c r="BF950" s="76"/>
      <c r="BG950" s="76"/>
      <c r="BH950" s="76"/>
      <c r="BI950" s="76"/>
      <c r="BJ950" s="76"/>
      <c r="BK950" s="76"/>
      <c r="BL950" s="76">
        <f>+BK950*31500</f>
        <v>0</v>
      </c>
      <c r="BM950" s="76"/>
      <c r="BN950" s="76"/>
      <c r="BO950" s="76"/>
      <c r="BP950" s="76"/>
      <c r="BQ950" s="76"/>
      <c r="BR950" s="76"/>
      <c r="BS950" s="76"/>
      <c r="BT950" s="76"/>
      <c r="BU950" s="76"/>
      <c r="BV950" s="76"/>
      <c r="BW950" s="76"/>
      <c r="BX950" s="76"/>
      <c r="BY950" s="76"/>
      <c r="BZ950" s="76"/>
      <c r="CA950" s="76"/>
      <c r="CB950" s="76"/>
      <c r="CC950" s="76"/>
      <c r="CD950" s="76"/>
      <c r="CE950" s="76"/>
      <c r="CF950" s="76">
        <f>+CE950*28000</f>
        <v>0</v>
      </c>
      <c r="CG950" s="76"/>
      <c r="CH950" s="76">
        <f>+CG950*22500</f>
        <v>0</v>
      </c>
      <c r="CI950" s="76"/>
      <c r="CJ950" s="76">
        <f>+CI950*26000</f>
        <v>0</v>
      </c>
      <c r="CK950" s="76"/>
      <c r="CL950" s="76"/>
      <c r="CM950" s="76"/>
      <c r="CN950" s="76">
        <f>+CM950*22000</f>
        <v>0</v>
      </c>
      <c r="CO950" s="76"/>
      <c r="CP950" s="76">
        <f>+CO950*46000</f>
        <v>0</v>
      </c>
      <c r="CQ950" s="76"/>
      <c r="CR950" s="76">
        <f>+CQ950*49000</f>
        <v>0</v>
      </c>
      <c r="CS950" s="76"/>
      <c r="CT950" s="76"/>
      <c r="CU950" s="56">
        <f>AN950+AP950+AR950+AT950+AV950+AX950+AZ950+BB950+BD950+BF950+BH950+BJ950+BL950+BN950+BP950+BR950+BT950+BV950+BX950+BZ950+CB950+CD950+CF950+CH950+CJ950+CL950+CN950+CP950+CR950+CT950</f>
        <v>0</v>
      </c>
      <c r="CV950" s="76"/>
      <c r="CW950" s="76">
        <f>+CV950*1100</f>
        <v>0</v>
      </c>
      <c r="CX950" s="76"/>
      <c r="CY950" s="76">
        <f>+CX950*106250</f>
        <v>0</v>
      </c>
      <c r="CZ950" s="76"/>
      <c r="DA950" s="76">
        <f>+CZ950*34500</f>
        <v>0</v>
      </c>
      <c r="DB950" s="76"/>
      <c r="DC950" s="76">
        <f>+DB950*25000</f>
        <v>0</v>
      </c>
      <c r="DD950" s="219"/>
      <c r="DE950" s="219"/>
      <c r="DF950" s="166"/>
      <c r="DG950" s="116"/>
      <c r="DH950" s="117"/>
      <c r="DI950" s="24"/>
      <c r="DJ950" s="24"/>
      <c r="DK950" s="24"/>
      <c r="DL950" s="24"/>
      <c r="DM950" s="24"/>
      <c r="DN950" s="24"/>
      <c r="DO950" s="24"/>
      <c r="DP950" s="24"/>
      <c r="DQ950" s="24"/>
      <c r="DR950" s="24"/>
      <c r="DS950" s="24"/>
      <c r="DT950" s="24"/>
      <c r="DU950" s="24"/>
    </row>
    <row r="951" spans="1:125" s="8" customFormat="1" ht="24" x14ac:dyDescent="0.2">
      <c r="A951" s="77">
        <v>41331</v>
      </c>
      <c r="B951" s="225" t="s">
        <v>2894</v>
      </c>
      <c r="C951" s="227" t="s">
        <v>2459</v>
      </c>
      <c r="D951" s="81" t="s">
        <v>2846</v>
      </c>
      <c r="E951" s="75" t="str">
        <f>VLOOKUP(B951&amp;C951,Divipola!$C$2:$F$1138,4,FALSE)</f>
        <v>05310</v>
      </c>
      <c r="F951" s="100"/>
      <c r="G951" s="100"/>
      <c r="H951" s="100"/>
      <c r="I951" s="100"/>
      <c r="J951" s="100"/>
      <c r="K951" s="100"/>
      <c r="L951" s="100"/>
      <c r="M951" s="100"/>
      <c r="N951" s="100"/>
      <c r="O951" s="100"/>
      <c r="P951" s="100"/>
      <c r="Q951" s="100"/>
      <c r="R951" s="100"/>
      <c r="S951" s="100"/>
      <c r="T951" s="100"/>
      <c r="U951" s="136"/>
      <c r="V951" s="89"/>
      <c r="W951" s="96">
        <v>0</v>
      </c>
      <c r="X951" s="71">
        <f>CU951</f>
        <v>0</v>
      </c>
      <c r="Y951" s="71">
        <f>CY951</f>
        <v>0</v>
      </c>
      <c r="Z951" s="71">
        <f>DA951+DC951+DE951</f>
        <v>0</v>
      </c>
      <c r="AA951" s="71">
        <f>CW951</f>
        <v>0</v>
      </c>
      <c r="AB951" s="71"/>
      <c r="AC951" s="71">
        <v>0</v>
      </c>
      <c r="AD951" s="71">
        <f>W951+X951+Y951+Z951+AA951+AB951+AC951</f>
        <v>0</v>
      </c>
      <c r="AE951" s="72">
        <v>0</v>
      </c>
      <c r="AF951" s="5"/>
      <c r="AG951" s="6"/>
      <c r="AH951" s="27" t="s">
        <v>3392</v>
      </c>
      <c r="AI951" s="44" t="s">
        <v>3393</v>
      </c>
      <c r="AJ951" s="26"/>
      <c r="AK951" s="5"/>
      <c r="AL951" s="82" t="s">
        <v>3655</v>
      </c>
      <c r="AM951" s="76"/>
      <c r="AN951" s="76"/>
      <c r="AO951" s="76"/>
      <c r="AP951" s="76"/>
      <c r="AQ951" s="76"/>
      <c r="AR951" s="76"/>
      <c r="AS951" s="76"/>
      <c r="AT951" s="76"/>
      <c r="AU951" s="76"/>
      <c r="AV951" s="76"/>
      <c r="AW951" s="76"/>
      <c r="AX951" s="76">
        <f>+AW951*600000</f>
        <v>0</v>
      </c>
      <c r="AY951" s="76"/>
      <c r="AZ951" s="76">
        <f>+AY951*70000</f>
        <v>0</v>
      </c>
      <c r="BA951" s="76"/>
      <c r="BB951" s="76"/>
      <c r="BC951" s="76"/>
      <c r="BD951" s="76">
        <f>+BC951*30000</f>
        <v>0</v>
      </c>
      <c r="BE951" s="76"/>
      <c r="BF951" s="76"/>
      <c r="BG951" s="76"/>
      <c r="BH951" s="76"/>
      <c r="BI951" s="76"/>
      <c r="BJ951" s="76"/>
      <c r="BK951" s="76"/>
      <c r="BL951" s="76">
        <f>+BK951*31500</f>
        <v>0</v>
      </c>
      <c r="BM951" s="76"/>
      <c r="BN951" s="76"/>
      <c r="BO951" s="76"/>
      <c r="BP951" s="76"/>
      <c r="BQ951" s="76"/>
      <c r="BR951" s="76"/>
      <c r="BS951" s="76"/>
      <c r="BT951" s="76"/>
      <c r="BU951" s="76"/>
      <c r="BV951" s="76"/>
      <c r="BW951" s="76"/>
      <c r="BX951" s="76"/>
      <c r="BY951" s="76"/>
      <c r="BZ951" s="76"/>
      <c r="CA951" s="76"/>
      <c r="CB951" s="76"/>
      <c r="CC951" s="76"/>
      <c r="CD951" s="76"/>
      <c r="CE951" s="76"/>
      <c r="CF951" s="76">
        <f>+CE951*28000</f>
        <v>0</v>
      </c>
      <c r="CG951" s="76"/>
      <c r="CH951" s="76">
        <f>+CG951*22500</f>
        <v>0</v>
      </c>
      <c r="CI951" s="76"/>
      <c r="CJ951" s="76">
        <f>+CI951*26000</f>
        <v>0</v>
      </c>
      <c r="CK951" s="76"/>
      <c r="CL951" s="76"/>
      <c r="CM951" s="76"/>
      <c r="CN951" s="76">
        <f>+CM951*22000</f>
        <v>0</v>
      </c>
      <c r="CO951" s="76"/>
      <c r="CP951" s="76">
        <f>+CO951*46000</f>
        <v>0</v>
      </c>
      <c r="CQ951" s="76"/>
      <c r="CR951" s="76">
        <f>+CQ951*49000</f>
        <v>0</v>
      </c>
      <c r="CS951" s="76"/>
      <c r="CT951" s="76"/>
      <c r="CU951" s="56">
        <f>AN951+AP951+AR951+AT951+AV951+AX951+AZ951+BB951+BD951+BF951+BH951+BJ951+BL951+BN951+BP951+BR951+BT951+BV951+BX951+BZ951+CB951+CD951+CF951+CH951+CJ951+CL951+CN951+CP951+CR951+CT951</f>
        <v>0</v>
      </c>
      <c r="CV951" s="76"/>
      <c r="CW951" s="76">
        <f>+CV951*1100</f>
        <v>0</v>
      </c>
      <c r="CX951" s="76"/>
      <c r="CY951" s="76">
        <f>+CX951*106250</f>
        <v>0</v>
      </c>
      <c r="CZ951" s="76"/>
      <c r="DA951" s="76">
        <f>+CZ951*34500</f>
        <v>0</v>
      </c>
      <c r="DB951" s="76"/>
      <c r="DC951" s="76">
        <f>+DB951*25000</f>
        <v>0</v>
      </c>
      <c r="DD951" s="219"/>
      <c r="DE951" s="219"/>
      <c r="DF951" s="166"/>
      <c r="DG951" s="116"/>
      <c r="DH951" s="117"/>
      <c r="DI951" s="24"/>
      <c r="DJ951" s="24"/>
      <c r="DK951" s="24"/>
      <c r="DL951" s="24"/>
      <c r="DM951" s="24"/>
      <c r="DN951" s="24"/>
      <c r="DO951" s="24"/>
      <c r="DP951" s="24"/>
      <c r="DQ951" s="24"/>
      <c r="DR951" s="24"/>
      <c r="DS951" s="24"/>
      <c r="DT951" s="24"/>
      <c r="DU951" s="24"/>
    </row>
    <row r="952" spans="1:125" s="8" customFormat="1" ht="36" x14ac:dyDescent="0.2">
      <c r="A952" s="77">
        <v>41331</v>
      </c>
      <c r="B952" s="78" t="s">
        <v>2036</v>
      </c>
      <c r="C952" s="75" t="s">
        <v>1374</v>
      </c>
      <c r="D952" s="81" t="s">
        <v>2846</v>
      </c>
      <c r="E952" s="75" t="str">
        <f>VLOOKUP(B952&amp;C952,Divipola!$C$2:$F$1138,4,FALSE)</f>
        <v>81065</v>
      </c>
      <c r="F952" s="87"/>
      <c r="G952" s="87"/>
      <c r="H952" s="87"/>
      <c r="I952" s="87"/>
      <c r="J952" s="87"/>
      <c r="K952" s="87"/>
      <c r="L952" s="87"/>
      <c r="M952" s="87"/>
      <c r="N952" s="87"/>
      <c r="O952" s="87"/>
      <c r="P952" s="87"/>
      <c r="Q952" s="87"/>
      <c r="R952" s="87"/>
      <c r="S952" s="87"/>
      <c r="T952" s="87"/>
      <c r="U952" s="88"/>
      <c r="V952" s="89"/>
      <c r="W952" s="96">
        <v>0</v>
      </c>
      <c r="X952" s="71">
        <f>CU952</f>
        <v>0</v>
      </c>
      <c r="Y952" s="71">
        <f>CY952</f>
        <v>0</v>
      </c>
      <c r="Z952" s="71">
        <f>DA952+DC952+DE952</f>
        <v>0</v>
      </c>
      <c r="AA952" s="71">
        <f>CW952</f>
        <v>0</v>
      </c>
      <c r="AB952" s="71"/>
      <c r="AC952" s="71">
        <v>0</v>
      </c>
      <c r="AD952" s="71">
        <f>W952+X952+Y952+Z952+AA952+AB952+AC952</f>
        <v>0</v>
      </c>
      <c r="AE952" s="72">
        <v>0</v>
      </c>
      <c r="AF952" s="5"/>
      <c r="AG952" s="6"/>
      <c r="AH952" s="27" t="s">
        <v>3392</v>
      </c>
      <c r="AI952" s="44" t="s">
        <v>3393</v>
      </c>
      <c r="AJ952" s="26"/>
      <c r="AK952" s="5"/>
      <c r="AL952" s="82" t="s">
        <v>3657</v>
      </c>
      <c r="AM952" s="76"/>
      <c r="AN952" s="76"/>
      <c r="AO952" s="76"/>
      <c r="AP952" s="76"/>
      <c r="AQ952" s="76"/>
      <c r="AR952" s="76"/>
      <c r="AS952" s="76"/>
      <c r="AT952" s="76"/>
      <c r="AU952" s="76"/>
      <c r="AV952" s="76"/>
      <c r="AW952" s="76"/>
      <c r="AX952" s="76">
        <f>+AW952*600000</f>
        <v>0</v>
      </c>
      <c r="AY952" s="76"/>
      <c r="AZ952" s="76">
        <f>+AY952*70000</f>
        <v>0</v>
      </c>
      <c r="BA952" s="76"/>
      <c r="BB952" s="76"/>
      <c r="BC952" s="76"/>
      <c r="BD952" s="76">
        <f>+BC952*30000</f>
        <v>0</v>
      </c>
      <c r="BE952" s="76"/>
      <c r="BF952" s="76"/>
      <c r="BG952" s="76"/>
      <c r="BH952" s="76"/>
      <c r="BI952" s="76"/>
      <c r="BJ952" s="76"/>
      <c r="BK952" s="76"/>
      <c r="BL952" s="76">
        <f>+BK952*31500</f>
        <v>0</v>
      </c>
      <c r="BM952" s="76"/>
      <c r="BN952" s="76"/>
      <c r="BO952" s="76"/>
      <c r="BP952" s="76"/>
      <c r="BQ952" s="76"/>
      <c r="BR952" s="76"/>
      <c r="BS952" s="76"/>
      <c r="BT952" s="76"/>
      <c r="BU952" s="76"/>
      <c r="BV952" s="76"/>
      <c r="BW952" s="76"/>
      <c r="BX952" s="76"/>
      <c r="BY952" s="76"/>
      <c r="BZ952" s="76"/>
      <c r="CA952" s="76"/>
      <c r="CB952" s="76"/>
      <c r="CC952" s="76"/>
      <c r="CD952" s="76"/>
      <c r="CE952" s="76"/>
      <c r="CF952" s="76">
        <f>+CE952*28000</f>
        <v>0</v>
      </c>
      <c r="CG952" s="76"/>
      <c r="CH952" s="76">
        <f>+CG952*22500</f>
        <v>0</v>
      </c>
      <c r="CI952" s="76"/>
      <c r="CJ952" s="76">
        <f>+CI952*26000</f>
        <v>0</v>
      </c>
      <c r="CK952" s="76"/>
      <c r="CL952" s="76"/>
      <c r="CM952" s="76"/>
      <c r="CN952" s="76">
        <f>+CM952*22000</f>
        <v>0</v>
      </c>
      <c r="CO952" s="76"/>
      <c r="CP952" s="76">
        <f>+CO952*46000</f>
        <v>0</v>
      </c>
      <c r="CQ952" s="76"/>
      <c r="CR952" s="76">
        <f>+CQ952*49000</f>
        <v>0</v>
      </c>
      <c r="CS952" s="76"/>
      <c r="CT952" s="76"/>
      <c r="CU952" s="56">
        <f>AN952+AP952+AR952+AT952+AV952+AX952+AZ952+BB952+BD952+BF952+BH952+BJ952+BL952+BN952+BP952+BR952+BT952+BV952+BX952+BZ952+CB952+CD952+CF952+CH952+CJ952+CL952+CN952+CP952+CR952+CT952</f>
        <v>0</v>
      </c>
      <c r="CV952" s="76"/>
      <c r="CW952" s="76">
        <f>+CV952*1100</f>
        <v>0</v>
      </c>
      <c r="CX952" s="76"/>
      <c r="CY952" s="76">
        <f>+CX952*106250</f>
        <v>0</v>
      </c>
      <c r="CZ952" s="76"/>
      <c r="DA952" s="76">
        <f>+CZ952*34500</f>
        <v>0</v>
      </c>
      <c r="DB952" s="76"/>
      <c r="DC952" s="76">
        <f>+DB952*25000</f>
        <v>0</v>
      </c>
      <c r="DD952" s="219"/>
      <c r="DE952" s="219"/>
      <c r="DF952" s="166"/>
      <c r="DG952" s="116"/>
      <c r="DH952" s="117"/>
      <c r="DI952" s="24"/>
      <c r="DJ952" s="24"/>
      <c r="DK952" s="24"/>
      <c r="DL952" s="24"/>
      <c r="DM952" s="24"/>
      <c r="DN952" s="24"/>
      <c r="DO952" s="24"/>
      <c r="DP952" s="24"/>
      <c r="DQ952" s="24"/>
      <c r="DR952" s="24"/>
      <c r="DS952" s="24"/>
      <c r="DT952" s="24"/>
      <c r="DU952" s="24"/>
    </row>
    <row r="953" spans="1:125" s="8" customFormat="1" ht="36" x14ac:dyDescent="0.2">
      <c r="A953" s="77">
        <v>41331</v>
      </c>
      <c r="B953" s="78" t="s">
        <v>2036</v>
      </c>
      <c r="C953" s="75" t="s">
        <v>1374</v>
      </c>
      <c r="D953" s="81" t="s">
        <v>2846</v>
      </c>
      <c r="E953" s="75" t="str">
        <f>VLOOKUP(B953&amp;C953,Divipola!$C$2:$F$1138,4,FALSE)</f>
        <v>81065</v>
      </c>
      <c r="F953" s="87"/>
      <c r="G953" s="87"/>
      <c r="H953" s="87"/>
      <c r="I953" s="87"/>
      <c r="J953" s="87"/>
      <c r="K953" s="87"/>
      <c r="L953" s="87"/>
      <c r="M953" s="87"/>
      <c r="N953" s="87"/>
      <c r="O953" s="87"/>
      <c r="P953" s="87"/>
      <c r="Q953" s="87"/>
      <c r="R953" s="87"/>
      <c r="S953" s="87"/>
      <c r="T953" s="87"/>
      <c r="U953" s="88"/>
      <c r="V953" s="89"/>
      <c r="W953" s="96">
        <v>0</v>
      </c>
      <c r="X953" s="71">
        <f>CU953</f>
        <v>0</v>
      </c>
      <c r="Y953" s="71">
        <f>CY953</f>
        <v>0</v>
      </c>
      <c r="Z953" s="71">
        <f>DA953+DC953+DE953</f>
        <v>0</v>
      </c>
      <c r="AA953" s="71">
        <f>CW953</f>
        <v>0</v>
      </c>
      <c r="AB953" s="71"/>
      <c r="AC953" s="71">
        <v>0</v>
      </c>
      <c r="AD953" s="71">
        <f>W953+X953+Y953+Z953+AA953+AB953+AC953</f>
        <v>0</v>
      </c>
      <c r="AE953" s="72">
        <v>0</v>
      </c>
      <c r="AF953" s="5"/>
      <c r="AG953" s="6"/>
      <c r="AH953" s="27" t="s">
        <v>3392</v>
      </c>
      <c r="AI953" s="44" t="s">
        <v>3393</v>
      </c>
      <c r="AJ953" s="26"/>
      <c r="AK953" s="5"/>
      <c r="AL953" s="82" t="s">
        <v>3658</v>
      </c>
      <c r="AM953" s="76"/>
      <c r="AN953" s="76"/>
      <c r="AO953" s="76"/>
      <c r="AP953" s="76"/>
      <c r="AQ953" s="76"/>
      <c r="AR953" s="76"/>
      <c r="AS953" s="76"/>
      <c r="AT953" s="76"/>
      <c r="AU953" s="76"/>
      <c r="AV953" s="76"/>
      <c r="AW953" s="76"/>
      <c r="AX953" s="76">
        <f>+AW953*600000</f>
        <v>0</v>
      </c>
      <c r="AY953" s="76"/>
      <c r="AZ953" s="76">
        <f>+AY953*70000</f>
        <v>0</v>
      </c>
      <c r="BA953" s="76"/>
      <c r="BB953" s="76"/>
      <c r="BC953" s="76"/>
      <c r="BD953" s="76">
        <f>+BC953*30000</f>
        <v>0</v>
      </c>
      <c r="BE953" s="76"/>
      <c r="BF953" s="76"/>
      <c r="BG953" s="76"/>
      <c r="BH953" s="76"/>
      <c r="BI953" s="76"/>
      <c r="BJ953" s="76"/>
      <c r="BK953" s="76"/>
      <c r="BL953" s="76">
        <f>+BK953*31500</f>
        <v>0</v>
      </c>
      <c r="BM953" s="76"/>
      <c r="BN953" s="76"/>
      <c r="BO953" s="76"/>
      <c r="BP953" s="76"/>
      <c r="BQ953" s="76"/>
      <c r="BR953" s="76"/>
      <c r="BS953" s="76"/>
      <c r="BT953" s="76"/>
      <c r="BU953" s="76"/>
      <c r="BV953" s="76"/>
      <c r="BW953" s="76"/>
      <c r="BX953" s="76"/>
      <c r="BY953" s="76"/>
      <c r="BZ953" s="76"/>
      <c r="CA953" s="76"/>
      <c r="CB953" s="76"/>
      <c r="CC953" s="76"/>
      <c r="CD953" s="76"/>
      <c r="CE953" s="76"/>
      <c r="CF953" s="76">
        <f>+CE953*28000</f>
        <v>0</v>
      </c>
      <c r="CG953" s="76"/>
      <c r="CH953" s="76">
        <f>+CG953*22500</f>
        <v>0</v>
      </c>
      <c r="CI953" s="76"/>
      <c r="CJ953" s="76">
        <f>+CI953*26000</f>
        <v>0</v>
      </c>
      <c r="CK953" s="76"/>
      <c r="CL953" s="76"/>
      <c r="CM953" s="76"/>
      <c r="CN953" s="76">
        <f>+CM953*22000</f>
        <v>0</v>
      </c>
      <c r="CO953" s="76"/>
      <c r="CP953" s="76">
        <f>+CO953*46000</f>
        <v>0</v>
      </c>
      <c r="CQ953" s="76"/>
      <c r="CR953" s="76">
        <f>+CQ953*49000</f>
        <v>0</v>
      </c>
      <c r="CS953" s="76"/>
      <c r="CT953" s="76"/>
      <c r="CU953" s="56">
        <f>AN953+AP953+AR953+AT953+AV953+AX953+AZ953+BB953+BD953+BF953+BH953+BJ953+BL953+BN953+BP953+BR953+BT953+BV953+BX953+BZ953+CB953+CD953+CF953+CH953+CJ953+CL953+CN953+CP953+CR953+CT953</f>
        <v>0</v>
      </c>
      <c r="CV953" s="76"/>
      <c r="CW953" s="76">
        <f>+CV953*1100</f>
        <v>0</v>
      </c>
      <c r="CX953" s="76"/>
      <c r="CY953" s="76">
        <f>+CX953*106250</f>
        <v>0</v>
      </c>
      <c r="CZ953" s="76"/>
      <c r="DA953" s="76">
        <f>+CZ953*34500</f>
        <v>0</v>
      </c>
      <c r="DB953" s="76"/>
      <c r="DC953" s="76">
        <f>+DB953*25000</f>
        <v>0</v>
      </c>
      <c r="DD953" s="219"/>
      <c r="DE953" s="219"/>
      <c r="DF953" s="166"/>
      <c r="DG953" s="116"/>
      <c r="DH953" s="117"/>
      <c r="DI953" s="24"/>
      <c r="DJ953" s="24"/>
      <c r="DK953" s="24"/>
      <c r="DL953" s="24"/>
      <c r="DM953" s="24"/>
      <c r="DN953" s="24"/>
      <c r="DO953" s="24"/>
      <c r="DP953" s="24"/>
      <c r="DQ953" s="24"/>
      <c r="DR953" s="24"/>
      <c r="DS953" s="24"/>
      <c r="DT953" s="24"/>
      <c r="DU953" s="24"/>
    </row>
    <row r="954" spans="1:125" s="8" customFormat="1" ht="72" x14ac:dyDescent="0.2">
      <c r="A954" s="77">
        <v>41331</v>
      </c>
      <c r="B954" s="78" t="s">
        <v>2881</v>
      </c>
      <c r="C954" s="75" t="s">
        <v>2547</v>
      </c>
      <c r="D954" s="81" t="s">
        <v>2846</v>
      </c>
      <c r="E954" s="75" t="str">
        <f>VLOOKUP(B954&amp;C954,Divipola!$C$2:$F$1138,4,FALSE)</f>
        <v>08638</v>
      </c>
      <c r="F954" s="87"/>
      <c r="G954" s="87"/>
      <c r="H954" s="87"/>
      <c r="I954" s="87"/>
      <c r="J954" s="87"/>
      <c r="K954" s="87"/>
      <c r="L954" s="87"/>
      <c r="M954" s="87"/>
      <c r="N954" s="87"/>
      <c r="O954" s="87"/>
      <c r="P954" s="87"/>
      <c r="Q954" s="87"/>
      <c r="R954" s="87"/>
      <c r="S954" s="87"/>
      <c r="T954" s="87"/>
      <c r="U954" s="88"/>
      <c r="V954" s="89"/>
      <c r="W954" s="96">
        <v>0</v>
      </c>
      <c r="X954" s="71">
        <f>CU954</f>
        <v>0</v>
      </c>
      <c r="Y954" s="71">
        <f>CY954</f>
        <v>0</v>
      </c>
      <c r="Z954" s="71">
        <f>DA954+DC954+DE954</f>
        <v>0</v>
      </c>
      <c r="AA954" s="71">
        <f>CW954</f>
        <v>0</v>
      </c>
      <c r="AB954" s="71"/>
      <c r="AC954" s="71">
        <v>0</v>
      </c>
      <c r="AD954" s="71">
        <f>W954+X954+Y954+Z954+AA954+AB954+AC954</f>
        <v>0</v>
      </c>
      <c r="AE954" s="72">
        <v>0</v>
      </c>
      <c r="AF954" s="5"/>
      <c r="AG954" s="6"/>
      <c r="AH954" s="27" t="s">
        <v>3392</v>
      </c>
      <c r="AI954" s="44" t="s">
        <v>3393</v>
      </c>
      <c r="AJ954" s="26"/>
      <c r="AK954" s="5"/>
      <c r="AL954" s="82" t="s">
        <v>3656</v>
      </c>
      <c r="AM954" s="76"/>
      <c r="AN954" s="76"/>
      <c r="AO954" s="76"/>
      <c r="AP954" s="76"/>
      <c r="AQ954" s="76"/>
      <c r="AR954" s="76"/>
      <c r="AS954" s="76"/>
      <c r="AT954" s="76"/>
      <c r="AU954" s="76"/>
      <c r="AV954" s="76"/>
      <c r="AW954" s="76"/>
      <c r="AX954" s="76">
        <f>+AW954*600000</f>
        <v>0</v>
      </c>
      <c r="AY954" s="76"/>
      <c r="AZ954" s="76">
        <f>+AY954*70000</f>
        <v>0</v>
      </c>
      <c r="BA954" s="76"/>
      <c r="BB954" s="76"/>
      <c r="BC954" s="76"/>
      <c r="BD954" s="76">
        <f>+BC954*30000</f>
        <v>0</v>
      </c>
      <c r="BE954" s="76"/>
      <c r="BF954" s="76"/>
      <c r="BG954" s="76"/>
      <c r="BH954" s="76"/>
      <c r="BI954" s="76"/>
      <c r="BJ954" s="76"/>
      <c r="BK954" s="76"/>
      <c r="BL954" s="76">
        <f>+BK954*31500</f>
        <v>0</v>
      </c>
      <c r="BM954" s="76"/>
      <c r="BN954" s="76"/>
      <c r="BO954" s="76"/>
      <c r="BP954" s="76"/>
      <c r="BQ954" s="76"/>
      <c r="BR954" s="76"/>
      <c r="BS954" s="76"/>
      <c r="BT954" s="76"/>
      <c r="BU954" s="76"/>
      <c r="BV954" s="76"/>
      <c r="BW954" s="76"/>
      <c r="BX954" s="76"/>
      <c r="BY954" s="76"/>
      <c r="BZ954" s="76"/>
      <c r="CA954" s="76"/>
      <c r="CB954" s="76"/>
      <c r="CC954" s="76"/>
      <c r="CD954" s="76"/>
      <c r="CE954" s="76"/>
      <c r="CF954" s="76">
        <f>+CE954*28000</f>
        <v>0</v>
      </c>
      <c r="CG954" s="76"/>
      <c r="CH954" s="76">
        <f>+CG954*22500</f>
        <v>0</v>
      </c>
      <c r="CI954" s="76"/>
      <c r="CJ954" s="76">
        <f>+CI954*26000</f>
        <v>0</v>
      </c>
      <c r="CK954" s="76"/>
      <c r="CL954" s="76"/>
      <c r="CM954" s="76"/>
      <c r="CN954" s="76">
        <f>+CM954*22000</f>
        <v>0</v>
      </c>
      <c r="CO954" s="76"/>
      <c r="CP954" s="76">
        <f>+CO954*46000</f>
        <v>0</v>
      </c>
      <c r="CQ954" s="76"/>
      <c r="CR954" s="76">
        <f>+CQ954*49000</f>
        <v>0</v>
      </c>
      <c r="CS954" s="76"/>
      <c r="CT954" s="76"/>
      <c r="CU954" s="56">
        <f>AN954+AP954+AR954+AT954+AV954+AX954+AZ954+BB954+BD954+BF954+BH954+BJ954+BL954+BN954+BP954+BR954+BT954+BV954+BX954+BZ954+CB954+CD954+CF954+CH954+CJ954+CL954+CN954+CP954+CR954+CT954</f>
        <v>0</v>
      </c>
      <c r="CV954" s="76"/>
      <c r="CW954" s="76">
        <f>+CV954*1100</f>
        <v>0</v>
      </c>
      <c r="CX954" s="76"/>
      <c r="CY954" s="76">
        <f>+CX954*106250</f>
        <v>0</v>
      </c>
      <c r="CZ954" s="76"/>
      <c r="DA954" s="76">
        <f>+CZ954*34500</f>
        <v>0</v>
      </c>
      <c r="DB954" s="76"/>
      <c r="DC954" s="76">
        <f>+DB954*25000</f>
        <v>0</v>
      </c>
      <c r="DD954" s="219"/>
      <c r="DE954" s="219"/>
      <c r="DF954" s="166"/>
      <c r="DG954" s="116"/>
      <c r="DH954" s="117"/>
      <c r="DI954" s="24"/>
      <c r="DJ954" s="24"/>
      <c r="DK954" s="24"/>
      <c r="DL954" s="24"/>
      <c r="DM954" s="24"/>
      <c r="DN954" s="24"/>
      <c r="DO954" s="24"/>
      <c r="DP954" s="24"/>
      <c r="DQ954" s="24"/>
      <c r="DR954" s="24"/>
      <c r="DS954" s="24"/>
      <c r="DT954" s="24"/>
      <c r="DU954" s="24"/>
    </row>
    <row r="955" spans="1:125" s="8" customFormat="1" ht="168" x14ac:dyDescent="0.2">
      <c r="A955" s="77">
        <v>41331</v>
      </c>
      <c r="B955" s="78" t="s">
        <v>529</v>
      </c>
      <c r="C955" s="78" t="s">
        <v>529</v>
      </c>
      <c r="D955" s="227" t="s">
        <v>2936</v>
      </c>
      <c r="E955" s="75" t="str">
        <f>VLOOKUP(B955&amp;C955,Divipola!$C$2:$F$1138,4,FALSE)</f>
        <v>11001</v>
      </c>
      <c r="F955" s="87"/>
      <c r="G955" s="87">
        <v>5</v>
      </c>
      <c r="H955" s="87"/>
      <c r="I955" s="87">
        <v>5</v>
      </c>
      <c r="J955" s="87"/>
      <c r="K955" s="87"/>
      <c r="L955" s="87"/>
      <c r="M955" s="87"/>
      <c r="N955" s="87"/>
      <c r="O955" s="87"/>
      <c r="P955" s="87"/>
      <c r="Q955" s="87"/>
      <c r="R955" s="87"/>
      <c r="S955" s="87"/>
      <c r="T955" s="87"/>
      <c r="U955" s="88"/>
      <c r="V955" s="89"/>
      <c r="W955" s="96">
        <v>0</v>
      </c>
      <c r="X955" s="71">
        <f>CU955</f>
        <v>0</v>
      </c>
      <c r="Y955" s="71">
        <f>CY955</f>
        <v>0</v>
      </c>
      <c r="Z955" s="71">
        <f>DA955+DC955+DE955</f>
        <v>0</v>
      </c>
      <c r="AA955" s="71">
        <f>CW955</f>
        <v>0</v>
      </c>
      <c r="AB955" s="71"/>
      <c r="AC955" s="71">
        <v>0</v>
      </c>
      <c r="AD955" s="71">
        <f>W955+X955+Y955+Z955+AA955+AB955+AC955</f>
        <v>0</v>
      </c>
      <c r="AE955" s="72">
        <v>0</v>
      </c>
      <c r="AF955" s="5"/>
      <c r="AG955" s="6"/>
      <c r="AH955" s="27" t="s">
        <v>3392</v>
      </c>
      <c r="AI955" s="44" t="s">
        <v>3393</v>
      </c>
      <c r="AJ955" s="26"/>
      <c r="AK955" s="5"/>
      <c r="AL955" s="82" t="s">
        <v>3752</v>
      </c>
      <c r="AM955" s="76"/>
      <c r="AN955" s="76"/>
      <c r="AO955" s="76"/>
      <c r="AP955" s="76"/>
      <c r="AQ955" s="76"/>
      <c r="AR955" s="76"/>
      <c r="AS955" s="76"/>
      <c r="AT955" s="76"/>
      <c r="AU955" s="76"/>
      <c r="AV955" s="76"/>
      <c r="AW955" s="76"/>
      <c r="AX955" s="76">
        <f>+AW955*600000</f>
        <v>0</v>
      </c>
      <c r="AY955" s="76"/>
      <c r="AZ955" s="76">
        <f>+AY955*70000</f>
        <v>0</v>
      </c>
      <c r="BA955" s="76"/>
      <c r="BB955" s="76"/>
      <c r="BC955" s="76"/>
      <c r="BD955" s="76">
        <f>+BC955*30000</f>
        <v>0</v>
      </c>
      <c r="BE955" s="76"/>
      <c r="BF955" s="76"/>
      <c r="BG955" s="76"/>
      <c r="BH955" s="76"/>
      <c r="BI955" s="76"/>
      <c r="BJ955" s="76"/>
      <c r="BK955" s="76"/>
      <c r="BL955" s="76">
        <f>+BK955*31500</f>
        <v>0</v>
      </c>
      <c r="BM955" s="76"/>
      <c r="BN955" s="76"/>
      <c r="BO955" s="76"/>
      <c r="BP955" s="76"/>
      <c r="BQ955" s="76"/>
      <c r="BR955" s="76"/>
      <c r="BS955" s="76"/>
      <c r="BT955" s="76"/>
      <c r="BU955" s="76"/>
      <c r="BV955" s="76"/>
      <c r="BW955" s="76"/>
      <c r="BX955" s="76"/>
      <c r="BY955" s="76"/>
      <c r="BZ955" s="76"/>
      <c r="CA955" s="76"/>
      <c r="CB955" s="76"/>
      <c r="CC955" s="76"/>
      <c r="CD955" s="76"/>
      <c r="CE955" s="76"/>
      <c r="CF955" s="76">
        <f>+CE955*28000</f>
        <v>0</v>
      </c>
      <c r="CG955" s="76"/>
      <c r="CH955" s="76">
        <f>+CG955*22500</f>
        <v>0</v>
      </c>
      <c r="CI955" s="76"/>
      <c r="CJ955" s="76">
        <f>+CI955*26000</f>
        <v>0</v>
      </c>
      <c r="CK955" s="76"/>
      <c r="CL955" s="76"/>
      <c r="CM955" s="76"/>
      <c r="CN955" s="76">
        <f>+CM955*22000</f>
        <v>0</v>
      </c>
      <c r="CO955" s="76"/>
      <c r="CP955" s="76">
        <f>+CO955*46000</f>
        <v>0</v>
      </c>
      <c r="CQ955" s="76"/>
      <c r="CR955" s="76">
        <f>+CQ955*49000</f>
        <v>0</v>
      </c>
      <c r="CS955" s="76"/>
      <c r="CT955" s="76"/>
      <c r="CU955" s="56">
        <f>AN955+AP955+AR955+AT955+AV955+AX955+AZ955+BB955+BD955+BF955+BH955+BJ955+BL955+BN955+BP955+BR955+BT955+BV955+BX955+BZ955+CB955+CD955+CF955+CH955+CJ955+CL955+CN955+CP955+CR955+CT955</f>
        <v>0</v>
      </c>
      <c r="CV955" s="76"/>
      <c r="CW955" s="76">
        <f>+CV955*1100</f>
        <v>0</v>
      </c>
      <c r="CX955" s="76"/>
      <c r="CY955" s="76">
        <f>+CX955*106250</f>
        <v>0</v>
      </c>
      <c r="CZ955" s="76"/>
      <c r="DA955" s="76">
        <f>+CZ955*34500</f>
        <v>0</v>
      </c>
      <c r="DB955" s="76"/>
      <c r="DC955" s="76">
        <f>+DB955*25000</f>
        <v>0</v>
      </c>
      <c r="DD955" s="219"/>
      <c r="DE955" s="219"/>
      <c r="DF955" s="166"/>
      <c r="DG955" s="116"/>
      <c r="DH955" s="117"/>
      <c r="DI955" s="24"/>
      <c r="DJ955" s="24"/>
      <c r="DK955" s="24"/>
      <c r="DL955" s="24"/>
      <c r="DM955" s="24"/>
      <c r="DN955" s="24"/>
      <c r="DO955" s="24"/>
      <c r="DP955" s="24"/>
      <c r="DQ955" s="24"/>
      <c r="DR955" s="24"/>
      <c r="DS955" s="24"/>
      <c r="DT955" s="24"/>
      <c r="DU955" s="24"/>
    </row>
    <row r="956" spans="1:125" s="8" customFormat="1" ht="48" x14ac:dyDescent="0.2">
      <c r="A956" s="77">
        <v>41331</v>
      </c>
      <c r="B956" s="78" t="s">
        <v>2778</v>
      </c>
      <c r="C956" s="75" t="s">
        <v>1344</v>
      </c>
      <c r="D956" s="81" t="s">
        <v>2846</v>
      </c>
      <c r="E956" s="75" t="str">
        <f>VLOOKUP(B956&amp;C956,Divipola!$C$2:$F$1138,4,FALSE)</f>
        <v>85001</v>
      </c>
      <c r="F956" s="87"/>
      <c r="G956" s="87"/>
      <c r="H956" s="87"/>
      <c r="I956" s="87"/>
      <c r="J956" s="87"/>
      <c r="K956" s="87"/>
      <c r="L956" s="87"/>
      <c r="M956" s="87"/>
      <c r="N956" s="87"/>
      <c r="O956" s="87"/>
      <c r="P956" s="87"/>
      <c r="Q956" s="87"/>
      <c r="R956" s="87"/>
      <c r="S956" s="87"/>
      <c r="T956" s="87"/>
      <c r="U956" s="88">
        <v>3</v>
      </c>
      <c r="V956" s="89"/>
      <c r="W956" s="96">
        <v>0</v>
      </c>
      <c r="X956" s="71">
        <f>CU956</f>
        <v>0</v>
      </c>
      <c r="Y956" s="71">
        <f>CY956</f>
        <v>0</v>
      </c>
      <c r="Z956" s="71">
        <f>DA956+DC956+DE956</f>
        <v>0</v>
      </c>
      <c r="AA956" s="71">
        <f>CW956</f>
        <v>0</v>
      </c>
      <c r="AB956" s="71"/>
      <c r="AC956" s="71">
        <v>0</v>
      </c>
      <c r="AD956" s="71">
        <f>W956+X956+Y956+Z956+AA956+AB956+AC956</f>
        <v>0</v>
      </c>
      <c r="AE956" s="72">
        <v>0</v>
      </c>
      <c r="AF956" s="5"/>
      <c r="AG956" s="6"/>
      <c r="AH956" s="27" t="s">
        <v>3392</v>
      </c>
      <c r="AI956" s="44" t="s">
        <v>3393</v>
      </c>
      <c r="AJ956" s="26"/>
      <c r="AK956" s="5"/>
      <c r="AL956" s="82" t="s">
        <v>3800</v>
      </c>
      <c r="AM956" s="76"/>
      <c r="AN956" s="76"/>
      <c r="AO956" s="76"/>
      <c r="AP956" s="76"/>
      <c r="AQ956" s="76"/>
      <c r="AR956" s="76"/>
      <c r="AS956" s="76"/>
      <c r="AT956" s="76"/>
      <c r="AU956" s="76"/>
      <c r="AV956" s="76"/>
      <c r="AW956" s="76"/>
      <c r="AX956" s="76">
        <f>+AW956*600000</f>
        <v>0</v>
      </c>
      <c r="AY956" s="76"/>
      <c r="AZ956" s="76">
        <f>+AY956*70000</f>
        <v>0</v>
      </c>
      <c r="BA956" s="76"/>
      <c r="BB956" s="76"/>
      <c r="BC956" s="76"/>
      <c r="BD956" s="76">
        <f>+BC956*30000</f>
        <v>0</v>
      </c>
      <c r="BE956" s="76"/>
      <c r="BF956" s="76"/>
      <c r="BG956" s="76"/>
      <c r="BH956" s="76"/>
      <c r="BI956" s="76"/>
      <c r="BJ956" s="76"/>
      <c r="BK956" s="76"/>
      <c r="BL956" s="76">
        <f>+BK956*31500</f>
        <v>0</v>
      </c>
      <c r="BM956" s="76"/>
      <c r="BN956" s="76"/>
      <c r="BO956" s="76"/>
      <c r="BP956" s="76"/>
      <c r="BQ956" s="76"/>
      <c r="BR956" s="76"/>
      <c r="BS956" s="76"/>
      <c r="BT956" s="76"/>
      <c r="BU956" s="76"/>
      <c r="BV956" s="76"/>
      <c r="BW956" s="76"/>
      <c r="BX956" s="76"/>
      <c r="BY956" s="76"/>
      <c r="BZ956" s="76"/>
      <c r="CA956" s="76"/>
      <c r="CB956" s="76"/>
      <c r="CC956" s="76"/>
      <c r="CD956" s="76"/>
      <c r="CE956" s="76"/>
      <c r="CF956" s="76">
        <f>+CE956*28000</f>
        <v>0</v>
      </c>
      <c r="CG956" s="76"/>
      <c r="CH956" s="76">
        <f>+CG956*22500</f>
        <v>0</v>
      </c>
      <c r="CI956" s="76"/>
      <c r="CJ956" s="76">
        <f>+CI956*26000</f>
        <v>0</v>
      </c>
      <c r="CK956" s="76"/>
      <c r="CL956" s="76"/>
      <c r="CM956" s="76"/>
      <c r="CN956" s="76">
        <f>+CM956*22000</f>
        <v>0</v>
      </c>
      <c r="CO956" s="76"/>
      <c r="CP956" s="76">
        <f>+CO956*46000</f>
        <v>0</v>
      </c>
      <c r="CQ956" s="76"/>
      <c r="CR956" s="76">
        <f>+CQ956*49000</f>
        <v>0</v>
      </c>
      <c r="CS956" s="76"/>
      <c r="CT956" s="76"/>
      <c r="CU956" s="56">
        <f>AN956+AP956+AR956+AT956+AV956+AX956+AZ956+BB956+BD956+BF956+BH956+BJ956+BL956+BN956+BP956+BR956+BT956+BV956+BX956+BZ956+CB956+CD956+CF956+CH956+CJ956+CL956+CN956+CP956+CR956+CT956</f>
        <v>0</v>
      </c>
      <c r="CV956" s="76"/>
      <c r="CW956" s="76">
        <f>+CV956*1100</f>
        <v>0</v>
      </c>
      <c r="CX956" s="76"/>
      <c r="CY956" s="76">
        <f>+CX956*106250</f>
        <v>0</v>
      </c>
      <c r="CZ956" s="76"/>
      <c r="DA956" s="76">
        <f>+CZ956*34500</f>
        <v>0</v>
      </c>
      <c r="DB956" s="76"/>
      <c r="DC956" s="76">
        <f>+DB956*25000</f>
        <v>0</v>
      </c>
      <c r="DD956" s="219"/>
      <c r="DE956" s="219"/>
      <c r="DF956" s="166"/>
      <c r="DG956" s="116"/>
      <c r="DH956" s="117"/>
      <c r="DI956" s="24"/>
      <c r="DJ956" s="24"/>
      <c r="DK956" s="24"/>
      <c r="DL956" s="24"/>
      <c r="DM956" s="24"/>
      <c r="DN956" s="24"/>
      <c r="DO956" s="24"/>
      <c r="DP956" s="24"/>
      <c r="DQ956" s="24"/>
      <c r="DR956" s="24"/>
      <c r="DS956" s="24"/>
      <c r="DT956" s="24"/>
      <c r="DU956" s="24"/>
    </row>
    <row r="957" spans="1:125" s="8" customFormat="1" ht="60" x14ac:dyDescent="0.2">
      <c r="A957" s="77">
        <v>41331</v>
      </c>
      <c r="B957" s="225" t="s">
        <v>2855</v>
      </c>
      <c r="C957" s="227" t="s">
        <v>503</v>
      </c>
      <c r="D957" s="81" t="s">
        <v>2846</v>
      </c>
      <c r="E957" s="75" t="str">
        <f>VLOOKUP(B957&amp;C957,Divipola!$C$2:$F$1138,4,FALSE)</f>
        <v>20175</v>
      </c>
      <c r="F957" s="100"/>
      <c r="G957" s="100"/>
      <c r="H957" s="100"/>
      <c r="I957" s="100"/>
      <c r="J957" s="100"/>
      <c r="K957" s="100"/>
      <c r="L957" s="100"/>
      <c r="M957" s="100"/>
      <c r="N957" s="100"/>
      <c r="O957" s="100"/>
      <c r="P957" s="100"/>
      <c r="Q957" s="100"/>
      <c r="R957" s="100"/>
      <c r="S957" s="100"/>
      <c r="T957" s="100"/>
      <c r="U957" s="136">
        <v>16</v>
      </c>
      <c r="V957" s="89"/>
      <c r="W957" s="96">
        <v>0</v>
      </c>
      <c r="X957" s="71">
        <f>CU957</f>
        <v>0</v>
      </c>
      <c r="Y957" s="71">
        <f>CY957</f>
        <v>0</v>
      </c>
      <c r="Z957" s="71">
        <f>DA957+DC957+DE957</f>
        <v>0</v>
      </c>
      <c r="AA957" s="71">
        <f>CW957</f>
        <v>0</v>
      </c>
      <c r="AB957" s="71"/>
      <c r="AC957" s="71">
        <v>0</v>
      </c>
      <c r="AD957" s="71">
        <f>W957+X957+Y957+Z957+AA957+AB957+AC957</f>
        <v>0</v>
      </c>
      <c r="AE957" s="72">
        <v>0</v>
      </c>
      <c r="AF957" s="5"/>
      <c r="AG957" s="6"/>
      <c r="AH957" s="27" t="s">
        <v>3392</v>
      </c>
      <c r="AI957" s="44" t="s">
        <v>3393</v>
      </c>
      <c r="AJ957" s="26"/>
      <c r="AK957" s="5"/>
      <c r="AL957" s="82" t="s">
        <v>3654</v>
      </c>
      <c r="AM957" s="76"/>
      <c r="AN957" s="76"/>
      <c r="AO957" s="76"/>
      <c r="AP957" s="76"/>
      <c r="AQ957" s="76"/>
      <c r="AR957" s="76"/>
      <c r="AS957" s="76"/>
      <c r="AT957" s="76"/>
      <c r="AU957" s="76"/>
      <c r="AV957" s="76"/>
      <c r="AW957" s="76"/>
      <c r="AX957" s="76">
        <f>+AW957*600000</f>
        <v>0</v>
      </c>
      <c r="AY957" s="76"/>
      <c r="AZ957" s="76">
        <f>+AY957*70000</f>
        <v>0</v>
      </c>
      <c r="BA957" s="76"/>
      <c r="BB957" s="76"/>
      <c r="BC957" s="76"/>
      <c r="BD957" s="76">
        <f>+BC957*30000</f>
        <v>0</v>
      </c>
      <c r="BE957" s="76"/>
      <c r="BF957" s="76"/>
      <c r="BG957" s="76"/>
      <c r="BH957" s="76"/>
      <c r="BI957" s="76"/>
      <c r="BJ957" s="76"/>
      <c r="BK957" s="76"/>
      <c r="BL957" s="76">
        <f>+BK957*31500</f>
        <v>0</v>
      </c>
      <c r="BM957" s="76"/>
      <c r="BN957" s="76"/>
      <c r="BO957" s="76"/>
      <c r="BP957" s="76"/>
      <c r="BQ957" s="76"/>
      <c r="BR957" s="76"/>
      <c r="BS957" s="76"/>
      <c r="BT957" s="76"/>
      <c r="BU957" s="76"/>
      <c r="BV957" s="76"/>
      <c r="BW957" s="76"/>
      <c r="BX957" s="76"/>
      <c r="BY957" s="76"/>
      <c r="BZ957" s="76"/>
      <c r="CA957" s="76"/>
      <c r="CB957" s="76"/>
      <c r="CC957" s="76"/>
      <c r="CD957" s="76"/>
      <c r="CE957" s="76"/>
      <c r="CF957" s="76">
        <f>+CE957*28000</f>
        <v>0</v>
      </c>
      <c r="CG957" s="76"/>
      <c r="CH957" s="76">
        <f>+CG957*22500</f>
        <v>0</v>
      </c>
      <c r="CI957" s="76"/>
      <c r="CJ957" s="76">
        <f>+CI957*26000</f>
        <v>0</v>
      </c>
      <c r="CK957" s="76"/>
      <c r="CL957" s="76"/>
      <c r="CM957" s="76"/>
      <c r="CN957" s="76">
        <f>+CM957*22000</f>
        <v>0</v>
      </c>
      <c r="CO957" s="76"/>
      <c r="CP957" s="76">
        <f>+CO957*46000</f>
        <v>0</v>
      </c>
      <c r="CQ957" s="76"/>
      <c r="CR957" s="76">
        <f>+CQ957*49000</f>
        <v>0</v>
      </c>
      <c r="CS957" s="76"/>
      <c r="CT957" s="76"/>
      <c r="CU957" s="56">
        <f>AN957+AP957+AR957+AT957+AV957+AX957+AZ957+BB957+BD957+BF957+BH957+BJ957+BL957+BN957+BP957+BR957+BT957+BV957+BX957+BZ957+CB957+CD957+CF957+CH957+CJ957+CL957+CN957+CP957+CR957+CT957</f>
        <v>0</v>
      </c>
      <c r="CV957" s="76"/>
      <c r="CW957" s="76">
        <f>+CV957*1100</f>
        <v>0</v>
      </c>
      <c r="CX957" s="76"/>
      <c r="CY957" s="76">
        <f>+CX957*106250</f>
        <v>0</v>
      </c>
      <c r="CZ957" s="76"/>
      <c r="DA957" s="76">
        <f>+CZ957*34500</f>
        <v>0</v>
      </c>
      <c r="DB957" s="76"/>
      <c r="DC957" s="76">
        <f>+DB957*25000</f>
        <v>0</v>
      </c>
      <c r="DD957" s="219"/>
      <c r="DE957" s="219"/>
      <c r="DF957" s="166"/>
      <c r="DG957" s="116"/>
      <c r="DH957" s="117"/>
      <c r="DI957" s="24"/>
      <c r="DJ957" s="24"/>
      <c r="DK957" s="24"/>
      <c r="DL957" s="24"/>
      <c r="DM957" s="24"/>
      <c r="DN957" s="24"/>
      <c r="DO957" s="24"/>
      <c r="DP957" s="24"/>
      <c r="DQ957" s="24"/>
      <c r="DR957" s="24"/>
      <c r="DS957" s="24"/>
      <c r="DT957" s="24"/>
      <c r="DU957" s="24"/>
    </row>
    <row r="958" spans="1:125" s="8" customFormat="1" ht="60" x14ac:dyDescent="0.2">
      <c r="A958" s="77">
        <v>41331</v>
      </c>
      <c r="B958" s="78" t="s">
        <v>2772</v>
      </c>
      <c r="C958" s="75" t="s">
        <v>1183</v>
      </c>
      <c r="D958" s="81" t="s">
        <v>2846</v>
      </c>
      <c r="E958" s="75" t="str">
        <f>VLOOKUP(B958&amp;C958,Divipola!$C$2:$F$1138,4,FALSE)</f>
        <v>25807</v>
      </c>
      <c r="F958" s="87"/>
      <c r="G958" s="87"/>
      <c r="H958" s="87"/>
      <c r="I958" s="87"/>
      <c r="J958" s="87"/>
      <c r="K958" s="87"/>
      <c r="L958" s="87"/>
      <c r="M958" s="87"/>
      <c r="N958" s="87"/>
      <c r="O958" s="87"/>
      <c r="P958" s="87"/>
      <c r="Q958" s="87"/>
      <c r="R958" s="87"/>
      <c r="S958" s="87"/>
      <c r="T958" s="87"/>
      <c r="U958" s="88">
        <v>4</v>
      </c>
      <c r="V958" s="89"/>
      <c r="W958" s="96">
        <v>0</v>
      </c>
      <c r="X958" s="71">
        <f>CU958</f>
        <v>0</v>
      </c>
      <c r="Y958" s="71">
        <f>CY958</f>
        <v>0</v>
      </c>
      <c r="Z958" s="71">
        <f>DA958+DC958+DE958</f>
        <v>0</v>
      </c>
      <c r="AA958" s="71">
        <f>CW958</f>
        <v>0</v>
      </c>
      <c r="AB958" s="71"/>
      <c r="AC958" s="71">
        <v>0</v>
      </c>
      <c r="AD958" s="71">
        <f>W958+X958+Y958+Z958+AA958+AB958+AC958</f>
        <v>0</v>
      </c>
      <c r="AE958" s="72">
        <v>0</v>
      </c>
      <c r="AF958" s="5"/>
      <c r="AG958" s="6"/>
      <c r="AH958" s="27" t="s">
        <v>3392</v>
      </c>
      <c r="AI958" s="44" t="s">
        <v>3393</v>
      </c>
      <c r="AJ958" s="26"/>
      <c r="AK958" s="5"/>
      <c r="AL958" s="82" t="s">
        <v>3653</v>
      </c>
      <c r="AM958" s="76"/>
      <c r="AN958" s="76"/>
      <c r="AO958" s="76"/>
      <c r="AP958" s="76"/>
      <c r="AQ958" s="76"/>
      <c r="AR958" s="76"/>
      <c r="AS958" s="76"/>
      <c r="AT958" s="76"/>
      <c r="AU958" s="76"/>
      <c r="AV958" s="76"/>
      <c r="AW958" s="76"/>
      <c r="AX958" s="76">
        <f>+AW958*600000</f>
        <v>0</v>
      </c>
      <c r="AY958" s="76"/>
      <c r="AZ958" s="76">
        <f>+AY958*70000</f>
        <v>0</v>
      </c>
      <c r="BA958" s="76"/>
      <c r="BB958" s="76"/>
      <c r="BC958" s="76"/>
      <c r="BD958" s="76">
        <f>+BC958*30000</f>
        <v>0</v>
      </c>
      <c r="BE958" s="76"/>
      <c r="BF958" s="76"/>
      <c r="BG958" s="76"/>
      <c r="BH958" s="76"/>
      <c r="BI958" s="76"/>
      <c r="BJ958" s="76"/>
      <c r="BK958" s="76"/>
      <c r="BL958" s="76">
        <f>+BK958*31500</f>
        <v>0</v>
      </c>
      <c r="BM958" s="76"/>
      <c r="BN958" s="76"/>
      <c r="BO958" s="76"/>
      <c r="BP958" s="76"/>
      <c r="BQ958" s="76"/>
      <c r="BR958" s="76"/>
      <c r="BS958" s="76"/>
      <c r="BT958" s="76"/>
      <c r="BU958" s="76"/>
      <c r="BV958" s="76"/>
      <c r="BW958" s="76"/>
      <c r="BX958" s="76"/>
      <c r="BY958" s="76"/>
      <c r="BZ958" s="76"/>
      <c r="CA958" s="76"/>
      <c r="CB958" s="76"/>
      <c r="CC958" s="76"/>
      <c r="CD958" s="76"/>
      <c r="CE958" s="76"/>
      <c r="CF958" s="76">
        <f>+CE958*28000</f>
        <v>0</v>
      </c>
      <c r="CG958" s="76"/>
      <c r="CH958" s="76">
        <f>+CG958*22500</f>
        <v>0</v>
      </c>
      <c r="CI958" s="76"/>
      <c r="CJ958" s="76">
        <f>+CI958*26000</f>
        <v>0</v>
      </c>
      <c r="CK958" s="76"/>
      <c r="CL958" s="76"/>
      <c r="CM958" s="76"/>
      <c r="CN958" s="76">
        <f>+CM958*22000</f>
        <v>0</v>
      </c>
      <c r="CO958" s="76"/>
      <c r="CP958" s="76">
        <f>+CO958*46000</f>
        <v>0</v>
      </c>
      <c r="CQ958" s="76"/>
      <c r="CR958" s="76">
        <f>+CQ958*49000</f>
        <v>0</v>
      </c>
      <c r="CS958" s="76"/>
      <c r="CT958" s="76"/>
      <c r="CU958" s="56">
        <f>AN958+AP958+AR958+AT958+AV958+AX958+AZ958+BB958+BD958+BF958+BH958+BJ958+BL958+BN958+BP958+BR958+BT958+BV958+BX958+BZ958+CB958+CD958+CF958+CH958+CJ958+CL958+CN958+CP958+CR958+CT958</f>
        <v>0</v>
      </c>
      <c r="CV958" s="76"/>
      <c r="CW958" s="76">
        <f>+CV958*1100</f>
        <v>0</v>
      </c>
      <c r="CX958" s="76"/>
      <c r="CY958" s="76">
        <f>+CX958*106250</f>
        <v>0</v>
      </c>
      <c r="CZ958" s="76"/>
      <c r="DA958" s="76">
        <f>+CZ958*34500</f>
        <v>0</v>
      </c>
      <c r="DB958" s="76"/>
      <c r="DC958" s="76">
        <f>+DB958*25000</f>
        <v>0</v>
      </c>
      <c r="DD958" s="219"/>
      <c r="DE958" s="219"/>
      <c r="DF958" s="166"/>
      <c r="DG958" s="116"/>
      <c r="DH958" s="117"/>
      <c r="DI958" s="24"/>
      <c r="DJ958" s="24"/>
      <c r="DK958" s="24"/>
      <c r="DL958" s="24"/>
      <c r="DM958" s="24"/>
      <c r="DN958" s="24"/>
      <c r="DO958" s="24"/>
      <c r="DP958" s="24"/>
      <c r="DQ958" s="24"/>
      <c r="DR958" s="24"/>
      <c r="DS958" s="24"/>
      <c r="DT958" s="24"/>
      <c r="DU958" s="24"/>
    </row>
    <row r="959" spans="1:125" s="8" customFormat="1" ht="84" x14ac:dyDescent="0.2">
      <c r="A959" s="77">
        <v>41331</v>
      </c>
      <c r="B959" s="78" t="s">
        <v>2661</v>
      </c>
      <c r="C959" s="75" t="s">
        <v>2694</v>
      </c>
      <c r="D959" s="75" t="s">
        <v>2859</v>
      </c>
      <c r="E959" s="75" t="str">
        <f>VLOOKUP(B959&amp;C959,Divipola!$C$2:$F$1138,4,FALSE)</f>
        <v>41396</v>
      </c>
      <c r="F959" s="87"/>
      <c r="G959" s="87"/>
      <c r="H959" s="87"/>
      <c r="I959" s="87">
        <v>15</v>
      </c>
      <c r="J959" s="87">
        <v>3</v>
      </c>
      <c r="K959" s="87"/>
      <c r="L959" s="87">
        <v>3</v>
      </c>
      <c r="M959" s="87"/>
      <c r="N959" s="87"/>
      <c r="O959" s="87"/>
      <c r="P959" s="87"/>
      <c r="Q959" s="87"/>
      <c r="R959" s="87"/>
      <c r="S959" s="87"/>
      <c r="T959" s="87"/>
      <c r="U959" s="88"/>
      <c r="V959" s="89"/>
      <c r="W959" s="96">
        <v>1500000</v>
      </c>
      <c r="X959" s="71">
        <f>CU959</f>
        <v>0</v>
      </c>
      <c r="Y959" s="71">
        <f>CY959</f>
        <v>0</v>
      </c>
      <c r="Z959" s="71">
        <f>DA959+DC959+DE959</f>
        <v>0</v>
      </c>
      <c r="AA959" s="71">
        <f>CW959</f>
        <v>0</v>
      </c>
      <c r="AB959" s="71"/>
      <c r="AC959" s="71">
        <v>0</v>
      </c>
      <c r="AD959" s="71">
        <f>W959+X959+Y959+Z959+AA959+AB959+AC959</f>
        <v>1500000</v>
      </c>
      <c r="AE959" s="72">
        <v>0</v>
      </c>
      <c r="AF959" s="5"/>
      <c r="AG959" s="6"/>
      <c r="AH959" s="27" t="s">
        <v>3390</v>
      </c>
      <c r="AI959" s="44" t="s">
        <v>3391</v>
      </c>
      <c r="AJ959" s="26"/>
      <c r="AK959" s="5"/>
      <c r="AL959" s="82" t="s">
        <v>4561</v>
      </c>
      <c r="AM959" s="76"/>
      <c r="AN959" s="76"/>
      <c r="AO959" s="76"/>
      <c r="AP959" s="76"/>
      <c r="AQ959" s="76"/>
      <c r="AR959" s="76"/>
      <c r="AS959" s="76"/>
      <c r="AT959" s="76"/>
      <c r="AU959" s="76"/>
      <c r="AV959" s="76"/>
      <c r="AW959" s="76"/>
      <c r="AX959" s="76">
        <f>+AW959*600000</f>
        <v>0</v>
      </c>
      <c r="AY959" s="76"/>
      <c r="AZ959" s="76">
        <f>+AY959*70000</f>
        <v>0</v>
      </c>
      <c r="BA959" s="76"/>
      <c r="BB959" s="76"/>
      <c r="BC959" s="76"/>
      <c r="BD959" s="76">
        <f>+BC959*30000</f>
        <v>0</v>
      </c>
      <c r="BE959" s="76"/>
      <c r="BF959" s="76"/>
      <c r="BG959" s="76"/>
      <c r="BH959" s="76"/>
      <c r="BI959" s="76"/>
      <c r="BJ959" s="76"/>
      <c r="BK959" s="76"/>
      <c r="BL959" s="76">
        <f>+BK959*31500</f>
        <v>0</v>
      </c>
      <c r="BM959" s="76"/>
      <c r="BN959" s="76"/>
      <c r="BO959" s="76"/>
      <c r="BP959" s="76"/>
      <c r="BQ959" s="76"/>
      <c r="BR959" s="76"/>
      <c r="BS959" s="76"/>
      <c r="BT959" s="76"/>
      <c r="BU959" s="76"/>
      <c r="BV959" s="76"/>
      <c r="BW959" s="76"/>
      <c r="BX959" s="76"/>
      <c r="BY959" s="76"/>
      <c r="BZ959" s="76"/>
      <c r="CA959" s="76"/>
      <c r="CB959" s="76"/>
      <c r="CC959" s="76"/>
      <c r="CD959" s="76"/>
      <c r="CE959" s="76"/>
      <c r="CF959" s="76">
        <f>+CE959*28000</f>
        <v>0</v>
      </c>
      <c r="CG959" s="76"/>
      <c r="CH959" s="76">
        <f>+CG959*22500</f>
        <v>0</v>
      </c>
      <c r="CI959" s="76"/>
      <c r="CJ959" s="76">
        <f>+CI959*26000</f>
        <v>0</v>
      </c>
      <c r="CK959" s="76"/>
      <c r="CL959" s="76"/>
      <c r="CM959" s="76"/>
      <c r="CN959" s="76">
        <f>+CM959*22000</f>
        <v>0</v>
      </c>
      <c r="CO959" s="76"/>
      <c r="CP959" s="76">
        <f>+CO959*46000</f>
        <v>0</v>
      </c>
      <c r="CQ959" s="76"/>
      <c r="CR959" s="76">
        <f>+CQ959*49000</f>
        <v>0</v>
      </c>
      <c r="CS959" s="76"/>
      <c r="CT959" s="76"/>
      <c r="CU959" s="56">
        <f>AN959+AP959+AR959+AT959+AV959+AX959+AZ959+BB959+BD959+BF959+BH959+BJ959+BL959+BN959+BP959+BR959+BT959+BV959+BX959+BZ959+CB959+CD959+CF959+CH959+CJ959+CL959+CN959+CP959+CR959+CT959</f>
        <v>0</v>
      </c>
      <c r="CV959" s="76"/>
      <c r="CW959" s="76">
        <f>+CV959*1100</f>
        <v>0</v>
      </c>
      <c r="CX959" s="76"/>
      <c r="CY959" s="76">
        <f>+CX959*106250</f>
        <v>0</v>
      </c>
      <c r="CZ959" s="76"/>
      <c r="DA959" s="76">
        <f>+CZ959*34500</f>
        <v>0</v>
      </c>
      <c r="DB959" s="76"/>
      <c r="DC959" s="76">
        <f>+DB959*25000</f>
        <v>0</v>
      </c>
      <c r="DD959" s="219"/>
      <c r="DE959" s="219"/>
      <c r="DF959" s="166"/>
      <c r="DG959" s="116"/>
      <c r="DH959" s="117"/>
      <c r="DI959" s="24"/>
      <c r="DJ959" s="24"/>
      <c r="DK959" s="24"/>
      <c r="DL959" s="24"/>
      <c r="DM959" s="24"/>
      <c r="DN959" s="24"/>
      <c r="DO959" s="24"/>
      <c r="DP959" s="24"/>
      <c r="DQ959" s="24"/>
      <c r="DR959" s="24"/>
      <c r="DS959" s="24"/>
      <c r="DT959" s="24"/>
      <c r="DU959" s="24"/>
    </row>
    <row r="960" spans="1:125" s="8" customFormat="1" ht="36" x14ac:dyDescent="0.2">
      <c r="A960" s="77">
        <v>41331</v>
      </c>
      <c r="B960" s="225" t="s">
        <v>2811</v>
      </c>
      <c r="C960" s="227" t="s">
        <v>501</v>
      </c>
      <c r="D960" s="75" t="s">
        <v>3051</v>
      </c>
      <c r="E960" s="75" t="str">
        <f>VLOOKUP(B960&amp;C960,Divipola!$C$2:$F$1138,4,FALSE)</f>
        <v>52260</v>
      </c>
      <c r="F960" s="100"/>
      <c r="G960" s="100"/>
      <c r="H960" s="100"/>
      <c r="I960" s="100">
        <v>30</v>
      </c>
      <c r="J960" s="100">
        <v>6</v>
      </c>
      <c r="K960" s="100"/>
      <c r="L960" s="100">
        <v>6</v>
      </c>
      <c r="M960" s="100"/>
      <c r="N960" s="100"/>
      <c r="O960" s="100"/>
      <c r="P960" s="100"/>
      <c r="Q960" s="100"/>
      <c r="R960" s="100"/>
      <c r="S960" s="100"/>
      <c r="T960" s="100"/>
      <c r="U960" s="136"/>
      <c r="V960" s="89"/>
      <c r="W960" s="96">
        <v>0</v>
      </c>
      <c r="X960" s="71">
        <f>CU960</f>
        <v>0</v>
      </c>
      <c r="Y960" s="71">
        <f>CY960</f>
        <v>0</v>
      </c>
      <c r="Z960" s="71">
        <f>DA960+DC960+DE960</f>
        <v>0</v>
      </c>
      <c r="AA960" s="71">
        <f>CW960</f>
        <v>0</v>
      </c>
      <c r="AB960" s="71"/>
      <c r="AC960" s="71">
        <v>0</v>
      </c>
      <c r="AD960" s="71">
        <f>W960+X960+Y960+Z960+AA960+AB960+AC960</f>
        <v>0</v>
      </c>
      <c r="AE960" s="72">
        <v>0</v>
      </c>
      <c r="AF960" s="5"/>
      <c r="AG960" s="6"/>
      <c r="AH960" s="27" t="s">
        <v>3392</v>
      </c>
      <c r="AI960" s="44" t="s">
        <v>3393</v>
      </c>
      <c r="AJ960" s="26"/>
      <c r="AK960" s="5"/>
      <c r="AL960" s="82" t="s">
        <v>3651</v>
      </c>
      <c r="AM960" s="76"/>
      <c r="AN960" s="76"/>
      <c r="AO960" s="76"/>
      <c r="AP960" s="76"/>
      <c r="AQ960" s="76"/>
      <c r="AR960" s="76"/>
      <c r="AS960" s="76"/>
      <c r="AT960" s="76"/>
      <c r="AU960" s="76"/>
      <c r="AV960" s="76"/>
      <c r="AW960" s="76"/>
      <c r="AX960" s="76">
        <f>+AW960*600000</f>
        <v>0</v>
      </c>
      <c r="AY960" s="76"/>
      <c r="AZ960" s="76">
        <f>+AY960*70000</f>
        <v>0</v>
      </c>
      <c r="BA960" s="76"/>
      <c r="BB960" s="76"/>
      <c r="BC960" s="76"/>
      <c r="BD960" s="76">
        <f>+BC960*30000</f>
        <v>0</v>
      </c>
      <c r="BE960" s="76"/>
      <c r="BF960" s="76"/>
      <c r="BG960" s="76"/>
      <c r="BH960" s="76"/>
      <c r="BI960" s="76"/>
      <c r="BJ960" s="76"/>
      <c r="BK960" s="76"/>
      <c r="BL960" s="76">
        <f>+BK960*31500</f>
        <v>0</v>
      </c>
      <c r="BM960" s="76"/>
      <c r="BN960" s="76"/>
      <c r="BO960" s="76"/>
      <c r="BP960" s="76"/>
      <c r="BQ960" s="76"/>
      <c r="BR960" s="76"/>
      <c r="BS960" s="76"/>
      <c r="BT960" s="76"/>
      <c r="BU960" s="76"/>
      <c r="BV960" s="76"/>
      <c r="BW960" s="76"/>
      <c r="BX960" s="76"/>
      <c r="BY960" s="76"/>
      <c r="BZ960" s="76"/>
      <c r="CA960" s="76"/>
      <c r="CB960" s="76"/>
      <c r="CC960" s="76"/>
      <c r="CD960" s="76"/>
      <c r="CE960" s="76"/>
      <c r="CF960" s="76">
        <f>+CE960*28000</f>
        <v>0</v>
      </c>
      <c r="CG960" s="76"/>
      <c r="CH960" s="76">
        <f>+CG960*22500</f>
        <v>0</v>
      </c>
      <c r="CI960" s="76"/>
      <c r="CJ960" s="76">
        <f>+CI960*26000</f>
        <v>0</v>
      </c>
      <c r="CK960" s="76"/>
      <c r="CL960" s="76"/>
      <c r="CM960" s="76"/>
      <c r="CN960" s="76">
        <f>+CM960*22000</f>
        <v>0</v>
      </c>
      <c r="CO960" s="76"/>
      <c r="CP960" s="76">
        <f>+CO960*46000</f>
        <v>0</v>
      </c>
      <c r="CQ960" s="76"/>
      <c r="CR960" s="76">
        <f>+CQ960*49000</f>
        <v>0</v>
      </c>
      <c r="CS960" s="76"/>
      <c r="CT960" s="76"/>
      <c r="CU960" s="56">
        <f>AN960+AP960+AR960+AT960+AV960+AX960+AZ960+BB960+BD960+BF960+BH960+BJ960+BL960+BN960+BP960+BR960+BT960+BV960+BX960+BZ960+CB960+CD960+CF960+CH960+CJ960+CL960+CN960+CP960+CR960+CT960</f>
        <v>0</v>
      </c>
      <c r="CV960" s="76"/>
      <c r="CW960" s="76">
        <f>+CV960*1100</f>
        <v>0</v>
      </c>
      <c r="CX960" s="76"/>
      <c r="CY960" s="76">
        <f>+CX960*106250</f>
        <v>0</v>
      </c>
      <c r="CZ960" s="76"/>
      <c r="DA960" s="76">
        <f>+CZ960*34500</f>
        <v>0</v>
      </c>
      <c r="DB960" s="76"/>
      <c r="DC960" s="76">
        <f>+DB960*25000</f>
        <v>0</v>
      </c>
      <c r="DD960" s="219"/>
      <c r="DE960" s="219"/>
      <c r="DF960" s="166"/>
      <c r="DG960" s="116"/>
      <c r="DH960" s="117"/>
      <c r="DI960" s="24"/>
      <c r="DJ960" s="24"/>
      <c r="DK960" s="24"/>
      <c r="DL960" s="24"/>
      <c r="DM960" s="24"/>
      <c r="DN960" s="24"/>
      <c r="DO960" s="24"/>
      <c r="DP960" s="24"/>
      <c r="DQ960" s="24"/>
      <c r="DR960" s="24"/>
      <c r="DS960" s="24"/>
      <c r="DT960" s="24"/>
      <c r="DU960" s="24"/>
    </row>
    <row r="961" spans="1:125" s="8" customFormat="1" ht="60" x14ac:dyDescent="0.2">
      <c r="A961" s="77">
        <v>41331</v>
      </c>
      <c r="B961" s="78" t="s">
        <v>2860</v>
      </c>
      <c r="C961" s="75" t="s">
        <v>2776</v>
      </c>
      <c r="D961" s="75" t="s">
        <v>2859</v>
      </c>
      <c r="E961" s="75" t="str">
        <f>VLOOKUP(B961&amp;C961,Divipola!$C$2:$F$1138,4,FALSE)</f>
        <v>63001</v>
      </c>
      <c r="F961" s="87"/>
      <c r="G961" s="87"/>
      <c r="H961" s="87"/>
      <c r="I961" s="87">
        <v>6</v>
      </c>
      <c r="J961" s="87">
        <v>2</v>
      </c>
      <c r="K961" s="87">
        <v>1</v>
      </c>
      <c r="L961" s="87">
        <v>1</v>
      </c>
      <c r="M961" s="87"/>
      <c r="N961" s="87"/>
      <c r="O961" s="87"/>
      <c r="P961" s="87"/>
      <c r="Q961" s="87"/>
      <c r="R961" s="87"/>
      <c r="S961" s="87"/>
      <c r="T961" s="87"/>
      <c r="U961" s="88"/>
      <c r="V961" s="89"/>
      <c r="W961" s="96">
        <v>0</v>
      </c>
      <c r="X961" s="71">
        <f>CU961</f>
        <v>0</v>
      </c>
      <c r="Y961" s="71">
        <f>CY961</f>
        <v>0</v>
      </c>
      <c r="Z961" s="71">
        <f>DA961+DC961+DE961</f>
        <v>0</v>
      </c>
      <c r="AA961" s="71">
        <f>CW961</f>
        <v>0</v>
      </c>
      <c r="AB961" s="71"/>
      <c r="AC961" s="71">
        <v>0</v>
      </c>
      <c r="AD961" s="71">
        <f>W961+X961+Y961+Z961+AA961+AB961+AC961</f>
        <v>0</v>
      </c>
      <c r="AE961" s="72">
        <v>0</v>
      </c>
      <c r="AF961" s="5"/>
      <c r="AG961" s="6"/>
      <c r="AH961" s="27" t="s">
        <v>3392</v>
      </c>
      <c r="AI961" s="44" t="s">
        <v>3393</v>
      </c>
      <c r="AJ961" s="26"/>
      <c r="AK961" s="5"/>
      <c r="AL961" s="82" t="s">
        <v>3652</v>
      </c>
      <c r="AM961" s="76"/>
      <c r="AN961" s="76"/>
      <c r="AO961" s="76"/>
      <c r="AP961" s="76"/>
      <c r="AQ961" s="76"/>
      <c r="AR961" s="76"/>
      <c r="AS961" s="76"/>
      <c r="AT961" s="76"/>
      <c r="AU961" s="76"/>
      <c r="AV961" s="76"/>
      <c r="AW961" s="76"/>
      <c r="AX961" s="76">
        <f>+AW961*600000</f>
        <v>0</v>
      </c>
      <c r="AY961" s="76"/>
      <c r="AZ961" s="76">
        <f>+AY961*70000</f>
        <v>0</v>
      </c>
      <c r="BA961" s="76"/>
      <c r="BB961" s="76"/>
      <c r="BC961" s="76"/>
      <c r="BD961" s="76">
        <f>+BC961*30000</f>
        <v>0</v>
      </c>
      <c r="BE961" s="76"/>
      <c r="BF961" s="76"/>
      <c r="BG961" s="76"/>
      <c r="BH961" s="76"/>
      <c r="BI961" s="76"/>
      <c r="BJ961" s="76"/>
      <c r="BK961" s="76"/>
      <c r="BL961" s="76">
        <f>+BK961*31500</f>
        <v>0</v>
      </c>
      <c r="BM961" s="76"/>
      <c r="BN961" s="76"/>
      <c r="BO961" s="76"/>
      <c r="BP961" s="76"/>
      <c r="BQ961" s="76"/>
      <c r="BR961" s="76"/>
      <c r="BS961" s="76"/>
      <c r="BT961" s="76"/>
      <c r="BU961" s="76"/>
      <c r="BV961" s="76"/>
      <c r="BW961" s="76"/>
      <c r="BX961" s="76"/>
      <c r="BY961" s="76"/>
      <c r="BZ961" s="76"/>
      <c r="CA961" s="76"/>
      <c r="CB961" s="76"/>
      <c r="CC961" s="76"/>
      <c r="CD961" s="76"/>
      <c r="CE961" s="76"/>
      <c r="CF961" s="76">
        <f>+CE961*28000</f>
        <v>0</v>
      </c>
      <c r="CG961" s="76"/>
      <c r="CH961" s="76">
        <f>+CG961*22500</f>
        <v>0</v>
      </c>
      <c r="CI961" s="76"/>
      <c r="CJ961" s="76">
        <f>+CI961*26000</f>
        <v>0</v>
      </c>
      <c r="CK961" s="76"/>
      <c r="CL961" s="76"/>
      <c r="CM961" s="76"/>
      <c r="CN961" s="76">
        <f>+CM961*22000</f>
        <v>0</v>
      </c>
      <c r="CO961" s="76"/>
      <c r="CP961" s="76">
        <f>+CO961*46000</f>
        <v>0</v>
      </c>
      <c r="CQ961" s="76"/>
      <c r="CR961" s="76">
        <f>+CQ961*49000</f>
        <v>0</v>
      </c>
      <c r="CS961" s="76"/>
      <c r="CT961" s="76"/>
      <c r="CU961" s="56">
        <f>AN961+AP961+AR961+AT961+AV961+AX961+AZ961+BB961+BD961+BF961+BH961+BJ961+BL961+BN961+BP961+BR961+BT961+BV961+BX961+BZ961+CB961+CD961+CF961+CH961+CJ961+CL961+CN961+CP961+CR961+CT961</f>
        <v>0</v>
      </c>
      <c r="CV961" s="76"/>
      <c r="CW961" s="76">
        <f>+CV961*1100</f>
        <v>0</v>
      </c>
      <c r="CX961" s="76"/>
      <c r="CY961" s="76">
        <f>+CX961*106250</f>
        <v>0</v>
      </c>
      <c r="CZ961" s="76"/>
      <c r="DA961" s="76">
        <f>+CZ961*34500</f>
        <v>0</v>
      </c>
      <c r="DB961" s="76"/>
      <c r="DC961" s="76">
        <f>+DB961*25000</f>
        <v>0</v>
      </c>
      <c r="DD961" s="219"/>
      <c r="DE961" s="219"/>
      <c r="DF961" s="166"/>
      <c r="DG961" s="116"/>
      <c r="DH961" s="117"/>
      <c r="DI961" s="24"/>
      <c r="DJ961" s="24"/>
      <c r="DK961" s="24"/>
      <c r="DL961" s="24"/>
      <c r="DM961" s="24"/>
      <c r="DN961" s="24"/>
      <c r="DO961" s="24"/>
      <c r="DP961" s="24"/>
      <c r="DQ961" s="24"/>
      <c r="DR961" s="24"/>
      <c r="DS961" s="24"/>
      <c r="DT961" s="24"/>
      <c r="DU961" s="24"/>
    </row>
    <row r="962" spans="1:125" s="8" customFormat="1" ht="72" x14ac:dyDescent="0.2">
      <c r="A962" s="77">
        <v>41331</v>
      </c>
      <c r="B962" s="225" t="s">
        <v>2848</v>
      </c>
      <c r="C962" s="227" t="s">
        <v>2755</v>
      </c>
      <c r="D962" s="227" t="s">
        <v>3504</v>
      </c>
      <c r="E962" s="75" t="str">
        <f>VLOOKUP(B962&amp;C962,Divipola!$C$2:$F$1138,4,FALSE)</f>
        <v>73001</v>
      </c>
      <c r="F962" s="87">
        <v>2</v>
      </c>
      <c r="G962" s="87"/>
      <c r="H962" s="87"/>
      <c r="I962" s="87"/>
      <c r="J962" s="87"/>
      <c r="K962" s="87"/>
      <c r="L962" s="87"/>
      <c r="M962" s="87"/>
      <c r="N962" s="87"/>
      <c r="O962" s="87"/>
      <c r="P962" s="87"/>
      <c r="Q962" s="87"/>
      <c r="R962" s="87"/>
      <c r="S962" s="87"/>
      <c r="T962" s="87"/>
      <c r="U962" s="88"/>
      <c r="V962" s="89"/>
      <c r="W962" s="96">
        <v>0</v>
      </c>
      <c r="X962" s="71">
        <f>CU962</f>
        <v>0</v>
      </c>
      <c r="Y962" s="71">
        <f>CY962</f>
        <v>0</v>
      </c>
      <c r="Z962" s="71">
        <f>DA962+DC962+DE962</f>
        <v>0</v>
      </c>
      <c r="AA962" s="71">
        <f>CW962</f>
        <v>0</v>
      </c>
      <c r="AB962" s="71"/>
      <c r="AC962" s="71">
        <v>0</v>
      </c>
      <c r="AD962" s="71">
        <f>W962+X962+Y962+Z962+AA962+AB962+AC962</f>
        <v>0</v>
      </c>
      <c r="AE962" s="72">
        <v>0</v>
      </c>
      <c r="AF962" s="5"/>
      <c r="AG962" s="6"/>
      <c r="AH962" s="27" t="s">
        <v>3392</v>
      </c>
      <c r="AI962" s="44" t="s">
        <v>3393</v>
      </c>
      <c r="AJ962" s="26"/>
      <c r="AK962" s="5"/>
      <c r="AL962" s="82" t="s">
        <v>3650</v>
      </c>
      <c r="AM962" s="76"/>
      <c r="AN962" s="76"/>
      <c r="AO962" s="76"/>
      <c r="AP962" s="76"/>
      <c r="AQ962" s="76"/>
      <c r="AR962" s="76"/>
      <c r="AS962" s="76"/>
      <c r="AT962" s="76"/>
      <c r="AU962" s="76"/>
      <c r="AV962" s="76"/>
      <c r="AW962" s="76"/>
      <c r="AX962" s="76">
        <f>+AW962*600000</f>
        <v>0</v>
      </c>
      <c r="AY962" s="76"/>
      <c r="AZ962" s="76">
        <f>+AY962*70000</f>
        <v>0</v>
      </c>
      <c r="BA962" s="76"/>
      <c r="BB962" s="76"/>
      <c r="BC962" s="76"/>
      <c r="BD962" s="76">
        <f>+BC962*30000</f>
        <v>0</v>
      </c>
      <c r="BE962" s="76"/>
      <c r="BF962" s="76"/>
      <c r="BG962" s="76"/>
      <c r="BH962" s="76"/>
      <c r="BI962" s="76"/>
      <c r="BJ962" s="76"/>
      <c r="BK962" s="76"/>
      <c r="BL962" s="76">
        <f>+BK962*31500</f>
        <v>0</v>
      </c>
      <c r="BM962" s="76"/>
      <c r="BN962" s="76"/>
      <c r="BO962" s="76"/>
      <c r="BP962" s="76"/>
      <c r="BQ962" s="76"/>
      <c r="BR962" s="76"/>
      <c r="BS962" s="76"/>
      <c r="BT962" s="76"/>
      <c r="BU962" s="76"/>
      <c r="BV962" s="76"/>
      <c r="BW962" s="76"/>
      <c r="BX962" s="76"/>
      <c r="BY962" s="76"/>
      <c r="BZ962" s="76"/>
      <c r="CA962" s="76"/>
      <c r="CB962" s="76"/>
      <c r="CC962" s="76"/>
      <c r="CD962" s="76"/>
      <c r="CE962" s="76"/>
      <c r="CF962" s="76">
        <f>+CE962*28000</f>
        <v>0</v>
      </c>
      <c r="CG962" s="76"/>
      <c r="CH962" s="76">
        <f>+CG962*22500</f>
        <v>0</v>
      </c>
      <c r="CI962" s="76"/>
      <c r="CJ962" s="76">
        <f>+CI962*26000</f>
        <v>0</v>
      </c>
      <c r="CK962" s="76"/>
      <c r="CL962" s="76"/>
      <c r="CM962" s="76"/>
      <c r="CN962" s="76">
        <f>+CM962*22000</f>
        <v>0</v>
      </c>
      <c r="CO962" s="76"/>
      <c r="CP962" s="76">
        <f>+CO962*46000</f>
        <v>0</v>
      </c>
      <c r="CQ962" s="76"/>
      <c r="CR962" s="76">
        <f>+CQ962*49000</f>
        <v>0</v>
      </c>
      <c r="CS962" s="76"/>
      <c r="CT962" s="76"/>
      <c r="CU962" s="56">
        <f>AN962+AP962+AR962+AT962+AV962+AX962+AZ962+BB962+BD962+BF962+BH962+BJ962+BL962+BN962+BP962+BR962+BT962+BV962+BX962+BZ962+CB962+CD962+CF962+CH962+CJ962+CL962+CN962+CP962+CR962+CT962</f>
        <v>0</v>
      </c>
      <c r="CV962" s="76"/>
      <c r="CW962" s="76">
        <f>+CV962*1100</f>
        <v>0</v>
      </c>
      <c r="CX962" s="76"/>
      <c r="CY962" s="76">
        <f>+CX962*106250</f>
        <v>0</v>
      </c>
      <c r="CZ962" s="76"/>
      <c r="DA962" s="76">
        <f>+CZ962*34500</f>
        <v>0</v>
      </c>
      <c r="DB962" s="76"/>
      <c r="DC962" s="76">
        <f>+DB962*25000</f>
        <v>0</v>
      </c>
      <c r="DD962" s="219"/>
      <c r="DE962" s="219"/>
      <c r="DF962" s="166"/>
      <c r="DG962" s="116"/>
      <c r="DH962" s="117"/>
      <c r="DI962" s="24"/>
      <c r="DJ962" s="24"/>
      <c r="DK962" s="24"/>
      <c r="DL962" s="24"/>
      <c r="DM962" s="24"/>
      <c r="DN962" s="24"/>
      <c r="DO962" s="24"/>
      <c r="DP962" s="24"/>
      <c r="DQ962" s="24"/>
      <c r="DR962" s="24"/>
      <c r="DS962" s="24"/>
      <c r="DT962" s="24"/>
      <c r="DU962" s="24"/>
    </row>
    <row r="963" spans="1:125" s="8" customFormat="1" ht="48" x14ac:dyDescent="0.2">
      <c r="A963" s="77">
        <v>41332</v>
      </c>
      <c r="B963" s="78" t="s">
        <v>2036</v>
      </c>
      <c r="C963" s="75" t="s">
        <v>1984</v>
      </c>
      <c r="D963" s="81" t="s">
        <v>2846</v>
      </c>
      <c r="E963" s="75" t="str">
        <f>VLOOKUP(B963&amp;C963,Divipola!$C$2:$F$1138,4,FALSE)</f>
        <v>81220</v>
      </c>
      <c r="F963" s="87"/>
      <c r="G963" s="87"/>
      <c r="H963" s="87"/>
      <c r="I963" s="87"/>
      <c r="J963" s="87"/>
      <c r="K963" s="87"/>
      <c r="L963" s="87"/>
      <c r="M963" s="87"/>
      <c r="N963" s="87"/>
      <c r="O963" s="87"/>
      <c r="P963" s="87"/>
      <c r="Q963" s="87"/>
      <c r="R963" s="87"/>
      <c r="S963" s="87"/>
      <c r="T963" s="87"/>
      <c r="U963" s="88">
        <v>100</v>
      </c>
      <c r="V963" s="89"/>
      <c r="W963" s="96">
        <v>0</v>
      </c>
      <c r="X963" s="71">
        <f>CU963</f>
        <v>0</v>
      </c>
      <c r="Y963" s="71">
        <f>CY963</f>
        <v>0</v>
      </c>
      <c r="Z963" s="71">
        <f>DA963+DC963+DE963</f>
        <v>0</v>
      </c>
      <c r="AA963" s="71">
        <f>CW963</f>
        <v>0</v>
      </c>
      <c r="AB963" s="71"/>
      <c r="AC963" s="71">
        <v>0</v>
      </c>
      <c r="AD963" s="71">
        <f>W963+X963+Y963+Z963+AA963+AB963+AC963</f>
        <v>0</v>
      </c>
      <c r="AE963" s="72">
        <v>0</v>
      </c>
      <c r="AF963" s="5"/>
      <c r="AG963" s="6"/>
      <c r="AH963" s="27" t="s">
        <v>3392</v>
      </c>
      <c r="AI963" s="44" t="s">
        <v>3393</v>
      </c>
      <c r="AJ963" s="26"/>
      <c r="AK963" s="5"/>
      <c r="AL963" s="82" t="s">
        <v>3693</v>
      </c>
      <c r="AM963" s="76"/>
      <c r="AN963" s="76"/>
      <c r="AO963" s="76"/>
      <c r="AP963" s="76"/>
      <c r="AQ963" s="76"/>
      <c r="AR963" s="76"/>
      <c r="AS963" s="76"/>
      <c r="AT963" s="76"/>
      <c r="AU963" s="76"/>
      <c r="AV963" s="76"/>
      <c r="AW963" s="76"/>
      <c r="AX963" s="76">
        <f>+AW963*600000</f>
        <v>0</v>
      </c>
      <c r="AY963" s="76"/>
      <c r="AZ963" s="76">
        <f>+AY963*70000</f>
        <v>0</v>
      </c>
      <c r="BA963" s="76"/>
      <c r="BB963" s="76"/>
      <c r="BC963" s="76"/>
      <c r="BD963" s="76">
        <f>+BC963*30000</f>
        <v>0</v>
      </c>
      <c r="BE963" s="76"/>
      <c r="BF963" s="76"/>
      <c r="BG963" s="76"/>
      <c r="BH963" s="76"/>
      <c r="BI963" s="76"/>
      <c r="BJ963" s="76"/>
      <c r="BK963" s="76"/>
      <c r="BL963" s="76">
        <f>+BK963*31500</f>
        <v>0</v>
      </c>
      <c r="BM963" s="76"/>
      <c r="BN963" s="76"/>
      <c r="BO963" s="76"/>
      <c r="BP963" s="76"/>
      <c r="BQ963" s="76"/>
      <c r="BR963" s="76"/>
      <c r="BS963" s="76"/>
      <c r="BT963" s="76"/>
      <c r="BU963" s="76"/>
      <c r="BV963" s="76"/>
      <c r="BW963" s="76"/>
      <c r="BX963" s="76"/>
      <c r="BY963" s="76"/>
      <c r="BZ963" s="76"/>
      <c r="CA963" s="76"/>
      <c r="CB963" s="76"/>
      <c r="CC963" s="76"/>
      <c r="CD963" s="76"/>
      <c r="CE963" s="76"/>
      <c r="CF963" s="76">
        <f>+CE963*28000</f>
        <v>0</v>
      </c>
      <c r="CG963" s="76"/>
      <c r="CH963" s="76">
        <f>+CG963*22500</f>
        <v>0</v>
      </c>
      <c r="CI963" s="76"/>
      <c r="CJ963" s="76">
        <f>+CI963*26000</f>
        <v>0</v>
      </c>
      <c r="CK963" s="76"/>
      <c r="CL963" s="76"/>
      <c r="CM963" s="76"/>
      <c r="CN963" s="76">
        <f>+CM963*22000</f>
        <v>0</v>
      </c>
      <c r="CO963" s="76"/>
      <c r="CP963" s="76">
        <f>+CO963*46000</f>
        <v>0</v>
      </c>
      <c r="CQ963" s="76"/>
      <c r="CR963" s="76">
        <f>+CQ963*49000</f>
        <v>0</v>
      </c>
      <c r="CS963" s="76"/>
      <c r="CT963" s="76"/>
      <c r="CU963" s="56">
        <f>AN963+AP963+AR963+AT963+AV963+AX963+AZ963+BB963+BD963+BF963+BH963+BJ963+BL963+BN963+BP963+BR963+BT963+BV963+BX963+BZ963+CB963+CD963+CF963+CH963+CJ963+CL963+CN963+CP963+CR963+CT963</f>
        <v>0</v>
      </c>
      <c r="CV963" s="76"/>
      <c r="CW963" s="76">
        <f>+CV963*1100</f>
        <v>0</v>
      </c>
      <c r="CX963" s="76"/>
      <c r="CY963" s="76">
        <f>+CX963*106250</f>
        <v>0</v>
      </c>
      <c r="CZ963" s="76"/>
      <c r="DA963" s="76">
        <f>+CZ963*34500</f>
        <v>0</v>
      </c>
      <c r="DB963" s="76"/>
      <c r="DC963" s="76">
        <f>+DB963*25000</f>
        <v>0</v>
      </c>
      <c r="DD963" s="219"/>
      <c r="DE963" s="219"/>
      <c r="DF963" s="166"/>
      <c r="DG963" s="116"/>
      <c r="DH963" s="117"/>
      <c r="DI963" s="24"/>
      <c r="DJ963" s="24"/>
      <c r="DK963" s="24"/>
      <c r="DL963" s="24"/>
      <c r="DM963" s="24"/>
      <c r="DN963" s="24"/>
      <c r="DO963" s="24"/>
      <c r="DP963" s="24"/>
      <c r="DQ963" s="24"/>
      <c r="DR963" s="24"/>
      <c r="DS963" s="24"/>
      <c r="DT963" s="24"/>
      <c r="DU963" s="24"/>
    </row>
    <row r="964" spans="1:125" s="8" customFormat="1" ht="36" x14ac:dyDescent="0.2">
      <c r="A964" s="77">
        <v>41332</v>
      </c>
      <c r="B964" s="78" t="s">
        <v>2700</v>
      </c>
      <c r="C964" s="75" t="s">
        <v>9</v>
      </c>
      <c r="D964" s="81" t="s">
        <v>2846</v>
      </c>
      <c r="E964" s="75" t="str">
        <f>VLOOKUP(B964&amp;C964,Divipola!$C$2:$F$1138,4,FALSE)</f>
        <v>15097</v>
      </c>
      <c r="F964" s="87"/>
      <c r="G964" s="87"/>
      <c r="H964" s="87"/>
      <c r="I964" s="87"/>
      <c r="J964" s="87"/>
      <c r="K964" s="87"/>
      <c r="L964" s="87"/>
      <c r="M964" s="87"/>
      <c r="N964" s="87"/>
      <c r="O964" s="87"/>
      <c r="P964" s="87"/>
      <c r="Q964" s="87"/>
      <c r="R964" s="87"/>
      <c r="S964" s="87"/>
      <c r="T964" s="87"/>
      <c r="U964" s="88"/>
      <c r="V964" s="89"/>
      <c r="W964" s="96">
        <v>0</v>
      </c>
      <c r="X964" s="71">
        <f>CU964</f>
        <v>0</v>
      </c>
      <c r="Y964" s="71">
        <f>CY964</f>
        <v>0</v>
      </c>
      <c r="Z964" s="71">
        <f>DA964+DC964+DE964</f>
        <v>0</v>
      </c>
      <c r="AA964" s="71">
        <f>CW964</f>
        <v>0</v>
      </c>
      <c r="AB964" s="71"/>
      <c r="AC964" s="71">
        <v>0</v>
      </c>
      <c r="AD964" s="71">
        <f>W964+X964+Y964+Z964+AA964+AB964+AC964</f>
        <v>0</v>
      </c>
      <c r="AE964" s="72">
        <v>0</v>
      </c>
      <c r="AF964" s="5"/>
      <c r="AG964" s="6"/>
      <c r="AH964" s="27" t="s">
        <v>3392</v>
      </c>
      <c r="AI964" s="44" t="s">
        <v>3393</v>
      </c>
      <c r="AJ964" s="26"/>
      <c r="AK964" s="5"/>
      <c r="AL964" s="82" t="s">
        <v>3695</v>
      </c>
      <c r="AM964" s="76"/>
      <c r="AN964" s="76"/>
      <c r="AO964" s="76"/>
      <c r="AP964" s="76"/>
      <c r="AQ964" s="76"/>
      <c r="AR964" s="76"/>
      <c r="AS964" s="76"/>
      <c r="AT964" s="76"/>
      <c r="AU964" s="76"/>
      <c r="AV964" s="76"/>
      <c r="AW964" s="76"/>
      <c r="AX964" s="76">
        <f>+AW964*600000</f>
        <v>0</v>
      </c>
      <c r="AY964" s="76"/>
      <c r="AZ964" s="76">
        <f>+AY964*70000</f>
        <v>0</v>
      </c>
      <c r="BA964" s="76"/>
      <c r="BB964" s="76"/>
      <c r="BC964" s="76"/>
      <c r="BD964" s="76">
        <f>+BC964*30000</f>
        <v>0</v>
      </c>
      <c r="BE964" s="76"/>
      <c r="BF964" s="76"/>
      <c r="BG964" s="76"/>
      <c r="BH964" s="76"/>
      <c r="BI964" s="76"/>
      <c r="BJ964" s="76"/>
      <c r="BK964" s="76"/>
      <c r="BL964" s="76">
        <f>+BK964*31500</f>
        <v>0</v>
      </c>
      <c r="BM964" s="76"/>
      <c r="BN964" s="76"/>
      <c r="BO964" s="76"/>
      <c r="BP964" s="76"/>
      <c r="BQ964" s="76"/>
      <c r="BR964" s="76"/>
      <c r="BS964" s="76"/>
      <c r="BT964" s="76"/>
      <c r="BU964" s="76"/>
      <c r="BV964" s="76"/>
      <c r="BW964" s="76"/>
      <c r="BX964" s="76"/>
      <c r="BY964" s="76"/>
      <c r="BZ964" s="76"/>
      <c r="CA964" s="76"/>
      <c r="CB964" s="76"/>
      <c r="CC964" s="76"/>
      <c r="CD964" s="76"/>
      <c r="CE964" s="76"/>
      <c r="CF964" s="76">
        <f>+CE964*28000</f>
        <v>0</v>
      </c>
      <c r="CG964" s="76"/>
      <c r="CH964" s="76">
        <f>+CG964*22500</f>
        <v>0</v>
      </c>
      <c r="CI964" s="76"/>
      <c r="CJ964" s="76">
        <f>+CI964*26000</f>
        <v>0</v>
      </c>
      <c r="CK964" s="76"/>
      <c r="CL964" s="76"/>
      <c r="CM964" s="76"/>
      <c r="CN964" s="76">
        <f>+CM964*22000</f>
        <v>0</v>
      </c>
      <c r="CO964" s="76"/>
      <c r="CP964" s="76">
        <f>+CO964*46000</f>
        <v>0</v>
      </c>
      <c r="CQ964" s="76"/>
      <c r="CR964" s="76">
        <f>+CQ964*49000</f>
        <v>0</v>
      </c>
      <c r="CS964" s="76"/>
      <c r="CT964" s="76"/>
      <c r="CU964" s="56">
        <f>AN964+AP964+AR964+AT964+AV964+AX964+AZ964+BB964+BD964+BF964+BH964+BJ964+BL964+BN964+BP964+BR964+BT964+BV964+BX964+BZ964+CB964+CD964+CF964+CH964+CJ964+CL964+CN964+CP964+CR964+CT964</f>
        <v>0</v>
      </c>
      <c r="CV964" s="76"/>
      <c r="CW964" s="76">
        <f>+CV964*1100</f>
        <v>0</v>
      </c>
      <c r="CX964" s="76"/>
      <c r="CY964" s="76">
        <f>+CX964*106250</f>
        <v>0</v>
      </c>
      <c r="CZ964" s="76"/>
      <c r="DA964" s="76">
        <f>+CZ964*34500</f>
        <v>0</v>
      </c>
      <c r="DB964" s="76"/>
      <c r="DC964" s="76">
        <f>+DB964*25000</f>
        <v>0</v>
      </c>
      <c r="DD964" s="219"/>
      <c r="DE964" s="219"/>
      <c r="DF964" s="166"/>
      <c r="DG964" s="116"/>
      <c r="DH964" s="117"/>
      <c r="DI964" s="24"/>
      <c r="DJ964" s="24"/>
      <c r="DK964" s="24"/>
      <c r="DL964" s="24"/>
      <c r="DM964" s="24"/>
      <c r="DN964" s="24"/>
      <c r="DO964" s="24"/>
      <c r="DP964" s="24"/>
      <c r="DQ964" s="24"/>
      <c r="DR964" s="24"/>
      <c r="DS964" s="24"/>
      <c r="DT964" s="24"/>
      <c r="DU964" s="24"/>
    </row>
    <row r="965" spans="1:125" s="8" customFormat="1" ht="36" x14ac:dyDescent="0.2">
      <c r="A965" s="77">
        <v>41332</v>
      </c>
      <c r="B965" s="78" t="s">
        <v>2700</v>
      </c>
      <c r="C965" s="75" t="s">
        <v>1653</v>
      </c>
      <c r="D965" s="81" t="s">
        <v>2846</v>
      </c>
      <c r="E965" s="75" t="str">
        <f>VLOOKUP(B965&amp;C965,Divipola!$C$2:$F$1138,4,FALSE)</f>
        <v>15296</v>
      </c>
      <c r="F965" s="87"/>
      <c r="G965" s="87"/>
      <c r="H965" s="87"/>
      <c r="I965" s="87"/>
      <c r="J965" s="87"/>
      <c r="K965" s="87"/>
      <c r="L965" s="87"/>
      <c r="M965" s="87"/>
      <c r="N965" s="87"/>
      <c r="O965" s="87"/>
      <c r="P965" s="87"/>
      <c r="Q965" s="87"/>
      <c r="R965" s="87"/>
      <c r="S965" s="87"/>
      <c r="T965" s="87"/>
      <c r="U965" s="88"/>
      <c r="V965" s="89"/>
      <c r="W965" s="96">
        <v>0</v>
      </c>
      <c r="X965" s="71">
        <f>CU965</f>
        <v>0</v>
      </c>
      <c r="Y965" s="71">
        <f>CY965</f>
        <v>0</v>
      </c>
      <c r="Z965" s="71">
        <f>DA965+DC965+DE965</f>
        <v>0</v>
      </c>
      <c r="AA965" s="71">
        <f>CW965</f>
        <v>0</v>
      </c>
      <c r="AB965" s="71"/>
      <c r="AC965" s="71">
        <v>0</v>
      </c>
      <c r="AD965" s="71">
        <f>W965+X965+Y965+Z965+AA965+AB965+AC965</f>
        <v>0</v>
      </c>
      <c r="AE965" s="72">
        <v>0</v>
      </c>
      <c r="AF965" s="5"/>
      <c r="AG965" s="6"/>
      <c r="AH965" s="27" t="s">
        <v>3392</v>
      </c>
      <c r="AI965" s="44" t="s">
        <v>3393</v>
      </c>
      <c r="AJ965" s="26"/>
      <c r="AK965" s="5"/>
      <c r="AL965" s="82" t="s">
        <v>3694</v>
      </c>
      <c r="AM965" s="76"/>
      <c r="AN965" s="76"/>
      <c r="AO965" s="76"/>
      <c r="AP965" s="76"/>
      <c r="AQ965" s="76"/>
      <c r="AR965" s="76"/>
      <c r="AS965" s="76"/>
      <c r="AT965" s="76"/>
      <c r="AU965" s="76"/>
      <c r="AV965" s="76"/>
      <c r="AW965" s="76"/>
      <c r="AX965" s="76">
        <f>+AW965*600000</f>
        <v>0</v>
      </c>
      <c r="AY965" s="76"/>
      <c r="AZ965" s="76">
        <f>+AY965*70000</f>
        <v>0</v>
      </c>
      <c r="BA965" s="76"/>
      <c r="BB965" s="76"/>
      <c r="BC965" s="76"/>
      <c r="BD965" s="76">
        <f>+BC965*30000</f>
        <v>0</v>
      </c>
      <c r="BE965" s="76"/>
      <c r="BF965" s="76"/>
      <c r="BG965" s="76"/>
      <c r="BH965" s="76"/>
      <c r="BI965" s="76"/>
      <c r="BJ965" s="76"/>
      <c r="BK965" s="76"/>
      <c r="BL965" s="76">
        <f>+BK965*31500</f>
        <v>0</v>
      </c>
      <c r="BM965" s="76"/>
      <c r="BN965" s="76"/>
      <c r="BO965" s="76"/>
      <c r="BP965" s="76"/>
      <c r="BQ965" s="76"/>
      <c r="BR965" s="76"/>
      <c r="BS965" s="76"/>
      <c r="BT965" s="76"/>
      <c r="BU965" s="76"/>
      <c r="BV965" s="76"/>
      <c r="BW965" s="76"/>
      <c r="BX965" s="76"/>
      <c r="BY965" s="76"/>
      <c r="BZ965" s="76"/>
      <c r="CA965" s="76"/>
      <c r="CB965" s="76"/>
      <c r="CC965" s="76"/>
      <c r="CD965" s="76"/>
      <c r="CE965" s="76"/>
      <c r="CF965" s="76">
        <f>+CE965*28000</f>
        <v>0</v>
      </c>
      <c r="CG965" s="76"/>
      <c r="CH965" s="76">
        <f>+CG965*22500</f>
        <v>0</v>
      </c>
      <c r="CI965" s="76"/>
      <c r="CJ965" s="76">
        <f>+CI965*26000</f>
        <v>0</v>
      </c>
      <c r="CK965" s="76"/>
      <c r="CL965" s="76"/>
      <c r="CM965" s="76"/>
      <c r="CN965" s="76">
        <f>+CM965*22000</f>
        <v>0</v>
      </c>
      <c r="CO965" s="76"/>
      <c r="CP965" s="76">
        <f>+CO965*46000</f>
        <v>0</v>
      </c>
      <c r="CQ965" s="76"/>
      <c r="CR965" s="76">
        <f>+CQ965*49000</f>
        <v>0</v>
      </c>
      <c r="CS965" s="76"/>
      <c r="CT965" s="76"/>
      <c r="CU965" s="56">
        <f>AN965+AP965+AR965+AT965+AV965+AX965+AZ965+BB965+BD965+BF965+BH965+BJ965+BL965+BN965+BP965+BR965+BT965+BV965+BX965+BZ965+CB965+CD965+CF965+CH965+CJ965+CL965+CN965+CP965+CR965+CT965</f>
        <v>0</v>
      </c>
      <c r="CV965" s="76"/>
      <c r="CW965" s="76">
        <f>+CV965*1100</f>
        <v>0</v>
      </c>
      <c r="CX965" s="76"/>
      <c r="CY965" s="76">
        <f>+CX965*106250</f>
        <v>0</v>
      </c>
      <c r="CZ965" s="76"/>
      <c r="DA965" s="76">
        <f>+CZ965*34500</f>
        <v>0</v>
      </c>
      <c r="DB965" s="76"/>
      <c r="DC965" s="76">
        <f>+DB965*25000</f>
        <v>0</v>
      </c>
      <c r="DD965" s="219"/>
      <c r="DE965" s="219"/>
      <c r="DF965" s="166"/>
      <c r="DG965" s="116"/>
      <c r="DH965" s="117"/>
      <c r="DI965" s="24"/>
      <c r="DJ965" s="24"/>
      <c r="DK965" s="24"/>
      <c r="DL965" s="24"/>
      <c r="DM965" s="24"/>
      <c r="DN965" s="24"/>
      <c r="DO965" s="24"/>
      <c r="DP965" s="24"/>
      <c r="DQ965" s="24"/>
      <c r="DR965" s="24"/>
      <c r="DS965" s="24"/>
      <c r="DT965" s="24"/>
      <c r="DU965" s="24"/>
    </row>
    <row r="966" spans="1:125" s="8" customFormat="1" ht="48" x14ac:dyDescent="0.2">
      <c r="A966" s="77">
        <v>41332</v>
      </c>
      <c r="B966" s="78" t="s">
        <v>2778</v>
      </c>
      <c r="C966" s="75" t="s">
        <v>1267</v>
      </c>
      <c r="D966" s="81" t="s">
        <v>2846</v>
      </c>
      <c r="E966" s="75" t="str">
        <f>VLOOKUP(B966&amp;C966,Divipola!$C$2:$F$1138,4,FALSE)</f>
        <v>85315</v>
      </c>
      <c r="F966" s="87"/>
      <c r="G966" s="87"/>
      <c r="H966" s="87"/>
      <c r="I966" s="87"/>
      <c r="J966" s="87"/>
      <c r="K966" s="87"/>
      <c r="L966" s="87"/>
      <c r="M966" s="87"/>
      <c r="N966" s="87"/>
      <c r="O966" s="87"/>
      <c r="P966" s="87"/>
      <c r="Q966" s="87"/>
      <c r="R966" s="87"/>
      <c r="S966" s="87"/>
      <c r="T966" s="87"/>
      <c r="U966" s="88">
        <v>15</v>
      </c>
      <c r="V966" s="89"/>
      <c r="W966" s="96">
        <v>0</v>
      </c>
      <c r="X966" s="71">
        <f>CU966</f>
        <v>0</v>
      </c>
      <c r="Y966" s="71">
        <f>CY966</f>
        <v>0</v>
      </c>
      <c r="Z966" s="71">
        <f>DA966+DC966+DE966</f>
        <v>0</v>
      </c>
      <c r="AA966" s="71">
        <f>CW966</f>
        <v>0</v>
      </c>
      <c r="AB966" s="71"/>
      <c r="AC966" s="71">
        <v>0</v>
      </c>
      <c r="AD966" s="71">
        <f>W966+X966+Y966+Z966+AA966+AB966+AC966</f>
        <v>0</v>
      </c>
      <c r="AE966" s="72">
        <v>0</v>
      </c>
      <c r="AF966" s="5"/>
      <c r="AG966" s="6"/>
      <c r="AH966" s="27" t="s">
        <v>3392</v>
      </c>
      <c r="AI966" s="44" t="s">
        <v>3393</v>
      </c>
      <c r="AJ966" s="26"/>
      <c r="AK966" s="5"/>
      <c r="AL966" s="82" t="s">
        <v>3803</v>
      </c>
      <c r="AM966" s="76"/>
      <c r="AN966" s="76"/>
      <c r="AO966" s="76"/>
      <c r="AP966" s="76"/>
      <c r="AQ966" s="76"/>
      <c r="AR966" s="76"/>
      <c r="AS966" s="76"/>
      <c r="AT966" s="76"/>
      <c r="AU966" s="76"/>
      <c r="AV966" s="76"/>
      <c r="AW966" s="76"/>
      <c r="AX966" s="76">
        <f>+AW966*600000</f>
        <v>0</v>
      </c>
      <c r="AY966" s="76"/>
      <c r="AZ966" s="76">
        <f>+AY966*70000</f>
        <v>0</v>
      </c>
      <c r="BA966" s="76"/>
      <c r="BB966" s="76"/>
      <c r="BC966" s="76"/>
      <c r="BD966" s="76">
        <f>+BC966*30000</f>
        <v>0</v>
      </c>
      <c r="BE966" s="76"/>
      <c r="BF966" s="76"/>
      <c r="BG966" s="76"/>
      <c r="BH966" s="76"/>
      <c r="BI966" s="76"/>
      <c r="BJ966" s="76"/>
      <c r="BK966" s="76"/>
      <c r="BL966" s="76">
        <f>+BK966*31500</f>
        <v>0</v>
      </c>
      <c r="BM966" s="76"/>
      <c r="BN966" s="76"/>
      <c r="BO966" s="76"/>
      <c r="BP966" s="76"/>
      <c r="BQ966" s="76"/>
      <c r="BR966" s="76"/>
      <c r="BS966" s="76"/>
      <c r="BT966" s="76"/>
      <c r="BU966" s="76"/>
      <c r="BV966" s="76"/>
      <c r="BW966" s="76"/>
      <c r="BX966" s="76"/>
      <c r="BY966" s="76"/>
      <c r="BZ966" s="76"/>
      <c r="CA966" s="76"/>
      <c r="CB966" s="76"/>
      <c r="CC966" s="76"/>
      <c r="CD966" s="76"/>
      <c r="CE966" s="76"/>
      <c r="CF966" s="76">
        <f>+CE966*28000</f>
        <v>0</v>
      </c>
      <c r="CG966" s="76"/>
      <c r="CH966" s="76">
        <f>+CG966*22500</f>
        <v>0</v>
      </c>
      <c r="CI966" s="76"/>
      <c r="CJ966" s="76">
        <f>+CI966*26000</f>
        <v>0</v>
      </c>
      <c r="CK966" s="76"/>
      <c r="CL966" s="76"/>
      <c r="CM966" s="76"/>
      <c r="CN966" s="76">
        <f>+CM966*22000</f>
        <v>0</v>
      </c>
      <c r="CO966" s="76"/>
      <c r="CP966" s="76">
        <f>+CO966*46000</f>
        <v>0</v>
      </c>
      <c r="CQ966" s="76"/>
      <c r="CR966" s="76">
        <f>+CQ966*49000</f>
        <v>0</v>
      </c>
      <c r="CS966" s="76"/>
      <c r="CT966" s="76"/>
      <c r="CU966" s="56">
        <f>AN966+AP966+AR966+AT966+AV966+AX966+AZ966+BB966+BD966+BF966+BH966+BJ966+BL966+BN966+BP966+BR966+BT966+BV966+BX966+BZ966+CB966+CD966+CF966+CH966+CJ966+CL966+CN966+CP966+CR966+CT966</f>
        <v>0</v>
      </c>
      <c r="CV966" s="76"/>
      <c r="CW966" s="76">
        <f>+CV966*1100</f>
        <v>0</v>
      </c>
      <c r="CX966" s="76"/>
      <c r="CY966" s="76">
        <f>+CX966*106250</f>
        <v>0</v>
      </c>
      <c r="CZ966" s="76"/>
      <c r="DA966" s="76">
        <f>+CZ966*34500</f>
        <v>0</v>
      </c>
      <c r="DB966" s="76"/>
      <c r="DC966" s="76">
        <f>+DB966*25000</f>
        <v>0</v>
      </c>
      <c r="DD966" s="219"/>
      <c r="DE966" s="219"/>
      <c r="DF966" s="166"/>
      <c r="DG966" s="116"/>
      <c r="DH966" s="117"/>
      <c r="DI966" s="24"/>
      <c r="DJ966" s="24"/>
      <c r="DK966" s="24"/>
      <c r="DL966" s="24"/>
      <c r="DM966" s="24"/>
      <c r="DN966" s="24"/>
      <c r="DO966" s="24"/>
      <c r="DP966" s="24"/>
      <c r="DQ966" s="24"/>
      <c r="DR966" s="24"/>
      <c r="DS966" s="24"/>
      <c r="DT966" s="24"/>
      <c r="DU966" s="24"/>
    </row>
    <row r="967" spans="1:125" s="8" customFormat="1" ht="72" x14ac:dyDescent="0.2">
      <c r="A967" s="77">
        <v>41332</v>
      </c>
      <c r="B967" s="352" t="s">
        <v>2854</v>
      </c>
      <c r="C967" s="227" t="s">
        <v>2124</v>
      </c>
      <c r="D967" s="227" t="s">
        <v>2882</v>
      </c>
      <c r="E967" s="75" t="str">
        <f>VLOOKUP(B967&amp;C967,Divipola!$C$2:$F$1138,4,FALSE)</f>
        <v>19548</v>
      </c>
      <c r="F967" s="87"/>
      <c r="G967" s="87"/>
      <c r="H967" s="87"/>
      <c r="I967" s="87">
        <v>85</v>
      </c>
      <c r="J967" s="87">
        <v>17</v>
      </c>
      <c r="K967" s="87"/>
      <c r="L967" s="87">
        <v>17</v>
      </c>
      <c r="M967" s="87"/>
      <c r="N967" s="87"/>
      <c r="O967" s="87"/>
      <c r="P967" s="87"/>
      <c r="Q967" s="87"/>
      <c r="R967" s="87"/>
      <c r="S967" s="87"/>
      <c r="T967" s="87"/>
      <c r="U967" s="88"/>
      <c r="V967" s="89"/>
      <c r="W967" s="96">
        <v>0</v>
      </c>
      <c r="X967" s="71">
        <f>CU967</f>
        <v>0</v>
      </c>
      <c r="Y967" s="71">
        <f>CY967</f>
        <v>0</v>
      </c>
      <c r="Z967" s="71">
        <f>DA967+DC967+DE967</f>
        <v>0</v>
      </c>
      <c r="AA967" s="71">
        <f>CW967</f>
        <v>0</v>
      </c>
      <c r="AB967" s="71"/>
      <c r="AC967" s="71">
        <v>0</v>
      </c>
      <c r="AD967" s="71">
        <f>W967+X967+Y967+Z967+AA967+AB967+AC967</f>
        <v>0</v>
      </c>
      <c r="AE967" s="72">
        <v>0</v>
      </c>
      <c r="AF967" s="5"/>
      <c r="AG967" s="6"/>
      <c r="AH967" s="27" t="s">
        <v>3392</v>
      </c>
      <c r="AI967" s="44" t="s">
        <v>3393</v>
      </c>
      <c r="AJ967" s="26"/>
      <c r="AK967" s="5"/>
      <c r="AL967" s="82" t="s">
        <v>3662</v>
      </c>
      <c r="AM967" s="76"/>
      <c r="AN967" s="76"/>
      <c r="AO967" s="76"/>
      <c r="AP967" s="76"/>
      <c r="AQ967" s="76"/>
      <c r="AR967" s="76"/>
      <c r="AS967" s="76"/>
      <c r="AT967" s="76"/>
      <c r="AU967" s="76"/>
      <c r="AV967" s="76"/>
      <c r="AW967" s="76"/>
      <c r="AX967" s="76">
        <f>+AW967*600000</f>
        <v>0</v>
      </c>
      <c r="AY967" s="76"/>
      <c r="AZ967" s="76">
        <f>+AY967*70000</f>
        <v>0</v>
      </c>
      <c r="BA967" s="76"/>
      <c r="BB967" s="76"/>
      <c r="BC967" s="76"/>
      <c r="BD967" s="76">
        <f>+BC967*30000</f>
        <v>0</v>
      </c>
      <c r="BE967" s="76"/>
      <c r="BF967" s="76"/>
      <c r="BG967" s="76"/>
      <c r="BH967" s="76"/>
      <c r="BI967" s="76"/>
      <c r="BJ967" s="76"/>
      <c r="BK967" s="76"/>
      <c r="BL967" s="76">
        <f>+BK967*31500</f>
        <v>0</v>
      </c>
      <c r="BM967" s="76"/>
      <c r="BN967" s="76"/>
      <c r="BO967" s="76"/>
      <c r="BP967" s="76"/>
      <c r="BQ967" s="76"/>
      <c r="BR967" s="76"/>
      <c r="BS967" s="76"/>
      <c r="BT967" s="76"/>
      <c r="BU967" s="76"/>
      <c r="BV967" s="76"/>
      <c r="BW967" s="76"/>
      <c r="BX967" s="76"/>
      <c r="BY967" s="76"/>
      <c r="BZ967" s="76"/>
      <c r="CA967" s="76"/>
      <c r="CB967" s="76"/>
      <c r="CC967" s="76"/>
      <c r="CD967" s="76"/>
      <c r="CE967" s="76"/>
      <c r="CF967" s="76">
        <f>+CE967*28000</f>
        <v>0</v>
      </c>
      <c r="CG967" s="76"/>
      <c r="CH967" s="76">
        <f>+CG967*22500</f>
        <v>0</v>
      </c>
      <c r="CI967" s="76"/>
      <c r="CJ967" s="76">
        <f>+CI967*26000</f>
        <v>0</v>
      </c>
      <c r="CK967" s="76"/>
      <c r="CL967" s="76"/>
      <c r="CM967" s="76"/>
      <c r="CN967" s="76">
        <f>+CM967*22000</f>
        <v>0</v>
      </c>
      <c r="CO967" s="76"/>
      <c r="CP967" s="76">
        <f>+CO967*46000</f>
        <v>0</v>
      </c>
      <c r="CQ967" s="76"/>
      <c r="CR967" s="76">
        <f>+CQ967*49000</f>
        <v>0</v>
      </c>
      <c r="CS967" s="76"/>
      <c r="CT967" s="76"/>
      <c r="CU967" s="56">
        <f>AN967+AP967+AR967+AT967+AV967+AX967+AZ967+BB967+BD967+BF967+BH967+BJ967+BL967+BN967+BP967+BR967+BT967+BV967+BX967+BZ967+CB967+CD967+CF967+CH967+CJ967+CL967+CN967+CP967+CR967+CT967</f>
        <v>0</v>
      </c>
      <c r="CV967" s="76"/>
      <c r="CW967" s="76">
        <f>+CV967*1100</f>
        <v>0</v>
      </c>
      <c r="CX967" s="76"/>
      <c r="CY967" s="76">
        <f>+CX967*106250</f>
        <v>0</v>
      </c>
      <c r="CZ967" s="76"/>
      <c r="DA967" s="76">
        <f>+CZ967*34500</f>
        <v>0</v>
      </c>
      <c r="DB967" s="76"/>
      <c r="DC967" s="76">
        <f>+DB967*25000</f>
        <v>0</v>
      </c>
      <c r="DD967" s="219"/>
      <c r="DE967" s="219"/>
      <c r="DF967" s="166"/>
      <c r="DG967" s="116"/>
      <c r="DH967" s="117"/>
      <c r="DI967" s="24"/>
      <c r="DJ967" s="24"/>
      <c r="DK967" s="24"/>
      <c r="DL967" s="24"/>
      <c r="DM967" s="24"/>
      <c r="DN967" s="24"/>
      <c r="DO967" s="24"/>
      <c r="DP967" s="24"/>
      <c r="DQ967" s="24"/>
      <c r="DR967" s="24"/>
      <c r="DS967" s="24"/>
      <c r="DT967" s="24"/>
      <c r="DU967" s="24"/>
    </row>
    <row r="968" spans="1:125" s="8" customFormat="1" ht="36" x14ac:dyDescent="0.2">
      <c r="A968" s="77">
        <v>41332</v>
      </c>
      <c r="B968" s="225" t="s">
        <v>2855</v>
      </c>
      <c r="C968" s="227" t="s">
        <v>2168</v>
      </c>
      <c r="D968" s="227" t="s">
        <v>2849</v>
      </c>
      <c r="E968" s="75" t="str">
        <f>VLOOKUP(B968&amp;C968,Divipola!$C$2:$F$1138,4,FALSE)</f>
        <v>20001</v>
      </c>
      <c r="F968" s="100">
        <v>1</v>
      </c>
      <c r="G968" s="100">
        <v>2</v>
      </c>
      <c r="H968" s="100"/>
      <c r="I968" s="100"/>
      <c r="J968" s="100"/>
      <c r="K968" s="100"/>
      <c r="L968" s="100"/>
      <c r="M968" s="100"/>
      <c r="N968" s="100"/>
      <c r="O968" s="100"/>
      <c r="P968" s="100"/>
      <c r="Q968" s="100"/>
      <c r="R968" s="100"/>
      <c r="S968" s="100"/>
      <c r="T968" s="100"/>
      <c r="U968" s="136"/>
      <c r="V968" s="89"/>
      <c r="W968" s="96">
        <v>0</v>
      </c>
      <c r="X968" s="71">
        <f>CU968</f>
        <v>0</v>
      </c>
      <c r="Y968" s="71">
        <f>CY968</f>
        <v>0</v>
      </c>
      <c r="Z968" s="71">
        <f>DA968+DC968+DE968</f>
        <v>0</v>
      </c>
      <c r="AA968" s="71">
        <f>CW968</f>
        <v>0</v>
      </c>
      <c r="AB968" s="71"/>
      <c r="AC968" s="71">
        <v>0</v>
      </c>
      <c r="AD968" s="71">
        <f>W968+X968+Y968+Z968+AA968+AB968+AC968</f>
        <v>0</v>
      </c>
      <c r="AE968" s="72">
        <v>0</v>
      </c>
      <c r="AF968" s="5"/>
      <c r="AG968" s="6"/>
      <c r="AH968" s="27" t="s">
        <v>3392</v>
      </c>
      <c r="AI968" s="44" t="s">
        <v>3393</v>
      </c>
      <c r="AJ968" s="26"/>
      <c r="AK968" s="5"/>
      <c r="AL968" s="82" t="s">
        <v>3663</v>
      </c>
      <c r="AM968" s="76"/>
      <c r="AN968" s="76"/>
      <c r="AO968" s="76"/>
      <c r="AP968" s="76"/>
      <c r="AQ968" s="76"/>
      <c r="AR968" s="76"/>
      <c r="AS968" s="76"/>
      <c r="AT968" s="76"/>
      <c r="AU968" s="76"/>
      <c r="AV968" s="76"/>
      <c r="AW968" s="76"/>
      <c r="AX968" s="76">
        <f>+AW968*600000</f>
        <v>0</v>
      </c>
      <c r="AY968" s="76"/>
      <c r="AZ968" s="76">
        <f>+AY968*70000</f>
        <v>0</v>
      </c>
      <c r="BA968" s="76"/>
      <c r="BB968" s="76"/>
      <c r="BC968" s="76"/>
      <c r="BD968" s="76">
        <f>+BC968*30000</f>
        <v>0</v>
      </c>
      <c r="BE968" s="76"/>
      <c r="BF968" s="76"/>
      <c r="BG968" s="76"/>
      <c r="BH968" s="76"/>
      <c r="BI968" s="76"/>
      <c r="BJ968" s="76"/>
      <c r="BK968" s="76"/>
      <c r="BL968" s="76">
        <f>+BK968*31500</f>
        <v>0</v>
      </c>
      <c r="BM968" s="76"/>
      <c r="BN968" s="76"/>
      <c r="BO968" s="76"/>
      <c r="BP968" s="76"/>
      <c r="BQ968" s="76"/>
      <c r="BR968" s="76"/>
      <c r="BS968" s="76"/>
      <c r="BT968" s="76"/>
      <c r="BU968" s="76"/>
      <c r="BV968" s="76"/>
      <c r="BW968" s="76"/>
      <c r="BX968" s="76"/>
      <c r="BY968" s="76"/>
      <c r="BZ968" s="76"/>
      <c r="CA968" s="76"/>
      <c r="CB968" s="76"/>
      <c r="CC968" s="76"/>
      <c r="CD968" s="76"/>
      <c r="CE968" s="76"/>
      <c r="CF968" s="76">
        <f>+CE968*28000</f>
        <v>0</v>
      </c>
      <c r="CG968" s="76"/>
      <c r="CH968" s="76">
        <f>+CG968*22500</f>
        <v>0</v>
      </c>
      <c r="CI968" s="76"/>
      <c r="CJ968" s="76">
        <f>+CI968*26000</f>
        <v>0</v>
      </c>
      <c r="CK968" s="76"/>
      <c r="CL968" s="76"/>
      <c r="CM968" s="76"/>
      <c r="CN968" s="76">
        <f>+CM968*22000</f>
        <v>0</v>
      </c>
      <c r="CO968" s="76"/>
      <c r="CP968" s="76">
        <f>+CO968*46000</f>
        <v>0</v>
      </c>
      <c r="CQ968" s="76"/>
      <c r="CR968" s="76">
        <f>+CQ968*49000</f>
        <v>0</v>
      </c>
      <c r="CS968" s="76"/>
      <c r="CT968" s="76"/>
      <c r="CU968" s="56">
        <f>AN968+AP968+AR968+AT968+AV968+AX968+AZ968+BB968+BD968+BF968+BH968+BJ968+BL968+BN968+BP968+BR968+BT968+BV968+BX968+BZ968+CB968+CD968+CF968+CH968+CJ968+CL968+CN968+CP968+CR968+CT968</f>
        <v>0</v>
      </c>
      <c r="CV968" s="76"/>
      <c r="CW968" s="76">
        <f>+CV968*1100</f>
        <v>0</v>
      </c>
      <c r="CX968" s="76"/>
      <c r="CY968" s="76">
        <f>+CX968*106250</f>
        <v>0</v>
      </c>
      <c r="CZ968" s="76"/>
      <c r="DA968" s="76">
        <f>+CZ968*34500</f>
        <v>0</v>
      </c>
      <c r="DB968" s="76"/>
      <c r="DC968" s="76">
        <f>+DB968*25000</f>
        <v>0</v>
      </c>
      <c r="DD968" s="219"/>
      <c r="DE968" s="219"/>
      <c r="DF968" s="166"/>
      <c r="DG968" s="116"/>
      <c r="DH968" s="117"/>
      <c r="DI968" s="24"/>
      <c r="DJ968" s="24"/>
      <c r="DK968" s="24"/>
      <c r="DL968" s="24"/>
      <c r="DM968" s="24"/>
      <c r="DN968" s="24"/>
      <c r="DO968" s="24"/>
      <c r="DP968" s="24"/>
      <c r="DQ968" s="24"/>
      <c r="DR968" s="24"/>
      <c r="DS968" s="24"/>
      <c r="DT968" s="24"/>
      <c r="DU968" s="24"/>
    </row>
    <row r="969" spans="1:125" s="8" customFormat="1" ht="72" x14ac:dyDescent="0.2">
      <c r="A969" s="77">
        <v>41332</v>
      </c>
      <c r="B969" s="225" t="s">
        <v>2847</v>
      </c>
      <c r="C969" s="227" t="s">
        <v>2673</v>
      </c>
      <c r="D969" s="227" t="s">
        <v>2859</v>
      </c>
      <c r="E969" s="75" t="str">
        <f>VLOOKUP(B969&amp;C969,Divipola!$C$2:$F$1138,4,FALSE)</f>
        <v>68001</v>
      </c>
      <c r="F969" s="100"/>
      <c r="G969" s="100"/>
      <c r="H969" s="100"/>
      <c r="I969" s="100">
        <v>5</v>
      </c>
      <c r="J969" s="100">
        <v>1</v>
      </c>
      <c r="K969" s="100">
        <v>1</v>
      </c>
      <c r="L969" s="100"/>
      <c r="M969" s="100"/>
      <c r="N969" s="100"/>
      <c r="O969" s="100"/>
      <c r="P969" s="100"/>
      <c r="Q969" s="100"/>
      <c r="R969" s="100"/>
      <c r="S969" s="100"/>
      <c r="T969" s="100"/>
      <c r="U969" s="136"/>
      <c r="V969" s="89"/>
      <c r="W969" s="96">
        <v>0</v>
      </c>
      <c r="X969" s="71">
        <f>CU969</f>
        <v>0</v>
      </c>
      <c r="Y969" s="71">
        <f>CY969</f>
        <v>0</v>
      </c>
      <c r="Z969" s="71">
        <f>DA969+DC969+DE969</f>
        <v>0</v>
      </c>
      <c r="AA969" s="71">
        <f>CW969</f>
        <v>0</v>
      </c>
      <c r="AB969" s="71"/>
      <c r="AC969" s="71">
        <v>0</v>
      </c>
      <c r="AD969" s="71">
        <f>W969+X969+Y969+Z969+AA969+AB969+AC969</f>
        <v>0</v>
      </c>
      <c r="AE969" s="72">
        <v>0</v>
      </c>
      <c r="AF969" s="5"/>
      <c r="AG969" s="6"/>
      <c r="AH969" s="27" t="s">
        <v>3392</v>
      </c>
      <c r="AI969" s="44" t="s">
        <v>3393</v>
      </c>
      <c r="AJ969" s="26"/>
      <c r="AK969" s="5"/>
      <c r="AL969" s="82" t="s">
        <v>3659</v>
      </c>
      <c r="AM969" s="76"/>
      <c r="AN969" s="76"/>
      <c r="AO969" s="76"/>
      <c r="AP969" s="76"/>
      <c r="AQ969" s="76"/>
      <c r="AR969" s="76"/>
      <c r="AS969" s="76"/>
      <c r="AT969" s="76"/>
      <c r="AU969" s="76"/>
      <c r="AV969" s="76"/>
      <c r="AW969" s="76"/>
      <c r="AX969" s="76">
        <f>+AW969*600000</f>
        <v>0</v>
      </c>
      <c r="AY969" s="76"/>
      <c r="AZ969" s="76">
        <f>+AY969*70000</f>
        <v>0</v>
      </c>
      <c r="BA969" s="76"/>
      <c r="BB969" s="76"/>
      <c r="BC969" s="76"/>
      <c r="BD969" s="76">
        <f>+BC969*30000</f>
        <v>0</v>
      </c>
      <c r="BE969" s="76"/>
      <c r="BF969" s="76"/>
      <c r="BG969" s="76"/>
      <c r="BH969" s="76"/>
      <c r="BI969" s="76"/>
      <c r="BJ969" s="76"/>
      <c r="BK969" s="76"/>
      <c r="BL969" s="76">
        <f>+BK969*31500</f>
        <v>0</v>
      </c>
      <c r="BM969" s="76"/>
      <c r="BN969" s="76"/>
      <c r="BO969" s="76"/>
      <c r="BP969" s="76"/>
      <c r="BQ969" s="76"/>
      <c r="BR969" s="76"/>
      <c r="BS969" s="76"/>
      <c r="BT969" s="76"/>
      <c r="BU969" s="76"/>
      <c r="BV969" s="76"/>
      <c r="BW969" s="76"/>
      <c r="BX969" s="76"/>
      <c r="BY969" s="76"/>
      <c r="BZ969" s="76"/>
      <c r="CA969" s="76"/>
      <c r="CB969" s="76"/>
      <c r="CC969" s="76"/>
      <c r="CD969" s="76"/>
      <c r="CE969" s="76"/>
      <c r="CF969" s="76">
        <f>+CE969*28000</f>
        <v>0</v>
      </c>
      <c r="CG969" s="76"/>
      <c r="CH969" s="76">
        <f>+CG969*22500</f>
        <v>0</v>
      </c>
      <c r="CI969" s="76"/>
      <c r="CJ969" s="76">
        <f>+CI969*26000</f>
        <v>0</v>
      </c>
      <c r="CK969" s="76"/>
      <c r="CL969" s="76"/>
      <c r="CM969" s="76"/>
      <c r="CN969" s="76">
        <f>+CM969*22000</f>
        <v>0</v>
      </c>
      <c r="CO969" s="76"/>
      <c r="CP969" s="76">
        <f>+CO969*46000</f>
        <v>0</v>
      </c>
      <c r="CQ969" s="76"/>
      <c r="CR969" s="76">
        <f>+CQ969*49000</f>
        <v>0</v>
      </c>
      <c r="CS969" s="76"/>
      <c r="CT969" s="76"/>
      <c r="CU969" s="56">
        <f>AN969+AP969+AR969+AT969+AV969+AX969+AZ969+BB969+BD969+BF969+BH969+BJ969+BL969+BN969+BP969+BR969+BT969+BV969+BX969+BZ969+CB969+CD969+CF969+CH969+CJ969+CL969+CN969+CP969+CR969+CT969</f>
        <v>0</v>
      </c>
      <c r="CV969" s="76"/>
      <c r="CW969" s="76">
        <f>+CV969*1100</f>
        <v>0</v>
      </c>
      <c r="CX969" s="76"/>
      <c r="CY969" s="76">
        <f>+CX969*106250</f>
        <v>0</v>
      </c>
      <c r="CZ969" s="76"/>
      <c r="DA969" s="76">
        <f>+CZ969*34500</f>
        <v>0</v>
      </c>
      <c r="DB969" s="76"/>
      <c r="DC969" s="76">
        <f>+DB969*25000</f>
        <v>0</v>
      </c>
      <c r="DD969" s="219"/>
      <c r="DE969" s="219"/>
      <c r="DF969" s="166"/>
      <c r="DG969" s="116"/>
      <c r="DH969" s="117"/>
      <c r="DI969" s="24"/>
      <c r="DJ969" s="24"/>
      <c r="DK969" s="24"/>
      <c r="DL969" s="24"/>
      <c r="DM969" s="24"/>
      <c r="DN969" s="24"/>
      <c r="DO969" s="24"/>
      <c r="DP969" s="24"/>
      <c r="DQ969" s="24"/>
      <c r="DR969" s="24"/>
      <c r="DS969" s="24"/>
      <c r="DT969" s="24"/>
      <c r="DU969" s="24"/>
    </row>
    <row r="970" spans="1:125" s="8" customFormat="1" ht="48" x14ac:dyDescent="0.2">
      <c r="A970" s="77">
        <v>41332</v>
      </c>
      <c r="B970" s="78" t="s">
        <v>2847</v>
      </c>
      <c r="C970" s="75" t="s">
        <v>2673</v>
      </c>
      <c r="D970" s="81" t="s">
        <v>2846</v>
      </c>
      <c r="E970" s="75" t="str">
        <f>VLOOKUP(B970&amp;C970,Divipola!$C$2:$F$1138,4,FALSE)</f>
        <v>68001</v>
      </c>
      <c r="F970" s="87"/>
      <c r="G970" s="87"/>
      <c r="H970" s="87"/>
      <c r="I970" s="87"/>
      <c r="J970" s="87"/>
      <c r="K970" s="87"/>
      <c r="L970" s="87"/>
      <c r="M970" s="87"/>
      <c r="N970" s="87"/>
      <c r="O970" s="87"/>
      <c r="P970" s="87"/>
      <c r="Q970" s="87"/>
      <c r="R970" s="87"/>
      <c r="S970" s="87"/>
      <c r="T970" s="87"/>
      <c r="U970" s="88">
        <v>1</v>
      </c>
      <c r="V970" s="89"/>
      <c r="W970" s="96">
        <v>0</v>
      </c>
      <c r="X970" s="71">
        <f>CU970</f>
        <v>0</v>
      </c>
      <c r="Y970" s="71">
        <f>CY970</f>
        <v>0</v>
      </c>
      <c r="Z970" s="71">
        <f>DA970+DC970+DE970</f>
        <v>0</v>
      </c>
      <c r="AA970" s="71">
        <f>CW970</f>
        <v>0</v>
      </c>
      <c r="AB970" s="71"/>
      <c r="AC970" s="71">
        <v>0</v>
      </c>
      <c r="AD970" s="71">
        <f>W970+X970+Y970+Z970+AA970+AB970+AC970</f>
        <v>0</v>
      </c>
      <c r="AE970" s="72">
        <v>0</v>
      </c>
      <c r="AF970" s="5"/>
      <c r="AG970" s="6"/>
      <c r="AH970" s="27" t="s">
        <v>3392</v>
      </c>
      <c r="AI970" s="44" t="s">
        <v>3393</v>
      </c>
      <c r="AJ970" s="26"/>
      <c r="AK970" s="5"/>
      <c r="AL970" s="82" t="s">
        <v>3660</v>
      </c>
      <c r="AM970" s="76"/>
      <c r="AN970" s="76"/>
      <c r="AO970" s="76"/>
      <c r="AP970" s="76"/>
      <c r="AQ970" s="76"/>
      <c r="AR970" s="76"/>
      <c r="AS970" s="76"/>
      <c r="AT970" s="76"/>
      <c r="AU970" s="76"/>
      <c r="AV970" s="76"/>
      <c r="AW970" s="76"/>
      <c r="AX970" s="76">
        <f>+AW970*600000</f>
        <v>0</v>
      </c>
      <c r="AY970" s="76"/>
      <c r="AZ970" s="76">
        <f>+AY970*70000</f>
        <v>0</v>
      </c>
      <c r="BA970" s="76"/>
      <c r="BB970" s="76"/>
      <c r="BC970" s="76"/>
      <c r="BD970" s="76">
        <f>+BC970*30000</f>
        <v>0</v>
      </c>
      <c r="BE970" s="76"/>
      <c r="BF970" s="76"/>
      <c r="BG970" s="76"/>
      <c r="BH970" s="76"/>
      <c r="BI970" s="76"/>
      <c r="BJ970" s="76"/>
      <c r="BK970" s="76"/>
      <c r="BL970" s="76">
        <f>+BK970*31500</f>
        <v>0</v>
      </c>
      <c r="BM970" s="76"/>
      <c r="BN970" s="76"/>
      <c r="BO970" s="76"/>
      <c r="BP970" s="76"/>
      <c r="BQ970" s="76"/>
      <c r="BR970" s="76"/>
      <c r="BS970" s="76"/>
      <c r="BT970" s="76"/>
      <c r="BU970" s="76"/>
      <c r="BV970" s="76"/>
      <c r="BW970" s="76"/>
      <c r="BX970" s="76"/>
      <c r="BY970" s="76"/>
      <c r="BZ970" s="76"/>
      <c r="CA970" s="76"/>
      <c r="CB970" s="76"/>
      <c r="CC970" s="76"/>
      <c r="CD970" s="76"/>
      <c r="CE970" s="76"/>
      <c r="CF970" s="76">
        <f>+CE970*28000</f>
        <v>0</v>
      </c>
      <c r="CG970" s="76"/>
      <c r="CH970" s="76">
        <f>+CG970*22500</f>
        <v>0</v>
      </c>
      <c r="CI970" s="76"/>
      <c r="CJ970" s="76">
        <f>+CI970*26000</f>
        <v>0</v>
      </c>
      <c r="CK970" s="76"/>
      <c r="CL970" s="76"/>
      <c r="CM970" s="76"/>
      <c r="CN970" s="76">
        <f>+CM970*22000</f>
        <v>0</v>
      </c>
      <c r="CO970" s="76"/>
      <c r="CP970" s="76">
        <f>+CO970*46000</f>
        <v>0</v>
      </c>
      <c r="CQ970" s="76"/>
      <c r="CR970" s="76">
        <f>+CQ970*49000</f>
        <v>0</v>
      </c>
      <c r="CS970" s="76"/>
      <c r="CT970" s="76"/>
      <c r="CU970" s="56">
        <f>AN970+AP970+AR970+AT970+AV970+AX970+AZ970+BB970+BD970+BF970+BH970+BJ970+BL970+BN970+BP970+BR970+BT970+BV970+BX970+BZ970+CB970+CD970+CF970+CH970+CJ970+CL970+CN970+CP970+CR970+CT970</f>
        <v>0</v>
      </c>
      <c r="CV970" s="76"/>
      <c r="CW970" s="76">
        <f>+CV970*1100</f>
        <v>0</v>
      </c>
      <c r="CX970" s="76"/>
      <c r="CY970" s="76">
        <f>+CX970*106250</f>
        <v>0</v>
      </c>
      <c r="CZ970" s="76"/>
      <c r="DA970" s="76">
        <f>+CZ970*34500</f>
        <v>0</v>
      </c>
      <c r="DB970" s="76"/>
      <c r="DC970" s="76">
        <f>+DB970*25000</f>
        <v>0</v>
      </c>
      <c r="DD970" s="219"/>
      <c r="DE970" s="219"/>
      <c r="DF970" s="166"/>
      <c r="DG970" s="116"/>
      <c r="DH970" s="117"/>
      <c r="DI970" s="24"/>
      <c r="DJ970" s="24"/>
      <c r="DK970" s="24"/>
      <c r="DL970" s="24"/>
      <c r="DM970" s="24"/>
      <c r="DN970" s="24"/>
      <c r="DO970" s="24"/>
      <c r="DP970" s="24"/>
      <c r="DQ970" s="24"/>
      <c r="DR970" s="24"/>
      <c r="DS970" s="24"/>
      <c r="DT970" s="24"/>
      <c r="DU970" s="24"/>
    </row>
    <row r="971" spans="1:125" s="8" customFormat="1" ht="48" x14ac:dyDescent="0.2">
      <c r="A971" s="77">
        <v>41332</v>
      </c>
      <c r="B971" s="78" t="s">
        <v>2847</v>
      </c>
      <c r="C971" s="75" t="s">
        <v>2673</v>
      </c>
      <c r="D971" s="81" t="s">
        <v>2846</v>
      </c>
      <c r="E971" s="75" t="str">
        <f>VLOOKUP(B971&amp;C971,Divipola!$C$2:$F$1138,4,FALSE)</f>
        <v>68001</v>
      </c>
      <c r="F971" s="87"/>
      <c r="G971" s="87"/>
      <c r="H971" s="87"/>
      <c r="I971" s="87"/>
      <c r="J971" s="87"/>
      <c r="K971" s="87"/>
      <c r="L971" s="87"/>
      <c r="M971" s="87"/>
      <c r="N971" s="87"/>
      <c r="O971" s="87"/>
      <c r="P971" s="87"/>
      <c r="Q971" s="87"/>
      <c r="R971" s="87"/>
      <c r="S971" s="87"/>
      <c r="T971" s="87"/>
      <c r="U971" s="88">
        <v>0.5</v>
      </c>
      <c r="V971" s="89"/>
      <c r="W971" s="96">
        <v>0</v>
      </c>
      <c r="X971" s="71">
        <f>CU971</f>
        <v>0</v>
      </c>
      <c r="Y971" s="71">
        <f>CY971</f>
        <v>0</v>
      </c>
      <c r="Z971" s="71">
        <f>DA971+DC971+DE971</f>
        <v>0</v>
      </c>
      <c r="AA971" s="71">
        <f>CW971</f>
        <v>0</v>
      </c>
      <c r="AB971" s="71"/>
      <c r="AC971" s="71">
        <v>0</v>
      </c>
      <c r="AD971" s="71">
        <f>W971+X971+Y971+Z971+AA971+AB971+AC971</f>
        <v>0</v>
      </c>
      <c r="AE971" s="72">
        <v>0</v>
      </c>
      <c r="AF971" s="5"/>
      <c r="AG971" s="6"/>
      <c r="AH971" s="27" t="s">
        <v>3392</v>
      </c>
      <c r="AI971" s="44" t="s">
        <v>3393</v>
      </c>
      <c r="AJ971" s="26"/>
      <c r="AK971" s="5"/>
      <c r="AL971" s="82" t="s">
        <v>3661</v>
      </c>
      <c r="AM971" s="76"/>
      <c r="AN971" s="76"/>
      <c r="AO971" s="76"/>
      <c r="AP971" s="76"/>
      <c r="AQ971" s="76"/>
      <c r="AR971" s="76"/>
      <c r="AS971" s="76"/>
      <c r="AT971" s="76"/>
      <c r="AU971" s="76"/>
      <c r="AV971" s="76"/>
      <c r="AW971" s="76"/>
      <c r="AX971" s="76">
        <f>+AW971*600000</f>
        <v>0</v>
      </c>
      <c r="AY971" s="76"/>
      <c r="AZ971" s="76">
        <f>+AY971*70000</f>
        <v>0</v>
      </c>
      <c r="BA971" s="76"/>
      <c r="BB971" s="76"/>
      <c r="BC971" s="76"/>
      <c r="BD971" s="76">
        <f>+BC971*30000</f>
        <v>0</v>
      </c>
      <c r="BE971" s="76"/>
      <c r="BF971" s="76"/>
      <c r="BG971" s="76"/>
      <c r="BH971" s="76"/>
      <c r="BI971" s="76"/>
      <c r="BJ971" s="76"/>
      <c r="BK971" s="76"/>
      <c r="BL971" s="76">
        <f>+BK971*31500</f>
        <v>0</v>
      </c>
      <c r="BM971" s="76"/>
      <c r="BN971" s="76"/>
      <c r="BO971" s="76"/>
      <c r="BP971" s="76"/>
      <c r="BQ971" s="76"/>
      <c r="BR971" s="76"/>
      <c r="BS971" s="76"/>
      <c r="BT971" s="76"/>
      <c r="BU971" s="76"/>
      <c r="BV971" s="76"/>
      <c r="BW971" s="76"/>
      <c r="BX971" s="76"/>
      <c r="BY971" s="76"/>
      <c r="BZ971" s="76"/>
      <c r="CA971" s="76"/>
      <c r="CB971" s="76"/>
      <c r="CC971" s="76"/>
      <c r="CD971" s="76"/>
      <c r="CE971" s="76"/>
      <c r="CF971" s="76">
        <f>+CE971*28000</f>
        <v>0</v>
      </c>
      <c r="CG971" s="76"/>
      <c r="CH971" s="76">
        <f>+CG971*22500</f>
        <v>0</v>
      </c>
      <c r="CI971" s="76"/>
      <c r="CJ971" s="76">
        <f>+CI971*26000</f>
        <v>0</v>
      </c>
      <c r="CK971" s="76"/>
      <c r="CL971" s="76"/>
      <c r="CM971" s="76"/>
      <c r="CN971" s="76">
        <f>+CM971*22000</f>
        <v>0</v>
      </c>
      <c r="CO971" s="76"/>
      <c r="CP971" s="76">
        <f>+CO971*46000</f>
        <v>0</v>
      </c>
      <c r="CQ971" s="76"/>
      <c r="CR971" s="76">
        <f>+CQ971*49000</f>
        <v>0</v>
      </c>
      <c r="CS971" s="76"/>
      <c r="CT971" s="76"/>
      <c r="CU971" s="56">
        <f>AN971+AP971+AR971+AT971+AV971+AX971+AZ971+BB971+BD971+BF971+BH971+BJ971+BL971+BN971+BP971+BR971+BT971+BV971+BX971+BZ971+CB971+CD971+CF971+CH971+CJ971+CL971+CN971+CP971+CR971+CT971</f>
        <v>0</v>
      </c>
      <c r="CV971" s="76"/>
      <c r="CW971" s="76">
        <f>+CV971*1100</f>
        <v>0</v>
      </c>
      <c r="CX971" s="76"/>
      <c r="CY971" s="76">
        <f>+CX971*106250</f>
        <v>0</v>
      </c>
      <c r="CZ971" s="76"/>
      <c r="DA971" s="76">
        <f>+CZ971*34500</f>
        <v>0</v>
      </c>
      <c r="DB971" s="76"/>
      <c r="DC971" s="76">
        <f>+DB971*25000</f>
        <v>0</v>
      </c>
      <c r="DD971" s="219"/>
      <c r="DE971" s="219"/>
      <c r="DF971" s="166"/>
      <c r="DG971" s="116"/>
      <c r="DH971" s="117"/>
      <c r="DI971" s="24"/>
      <c r="DJ971" s="24"/>
      <c r="DK971" s="24"/>
      <c r="DL971" s="24"/>
      <c r="DM971" s="24"/>
      <c r="DN971" s="24"/>
      <c r="DO971" s="24"/>
      <c r="DP971" s="24"/>
      <c r="DQ971" s="24"/>
      <c r="DR971" s="24"/>
      <c r="DS971" s="24"/>
      <c r="DT971" s="24"/>
      <c r="DU971" s="24"/>
    </row>
    <row r="972" spans="1:125" s="8" customFormat="1" ht="72" x14ac:dyDescent="0.2">
      <c r="A972" s="77">
        <v>41332</v>
      </c>
      <c r="B972" s="78" t="s">
        <v>2848</v>
      </c>
      <c r="C972" s="75" t="s">
        <v>1393</v>
      </c>
      <c r="D972" s="75" t="s">
        <v>2859</v>
      </c>
      <c r="E972" s="75" t="str">
        <f>VLOOKUP(B972&amp;C972,Divipola!$C$2:$F$1138,4,FALSE)</f>
        <v>73168</v>
      </c>
      <c r="F972" s="87"/>
      <c r="G972" s="87"/>
      <c r="H972" s="87"/>
      <c r="I972" s="87">
        <v>5</v>
      </c>
      <c r="J972" s="87">
        <v>1</v>
      </c>
      <c r="K972" s="87">
        <v>1</v>
      </c>
      <c r="L972" s="87"/>
      <c r="M972" s="87"/>
      <c r="N972" s="87"/>
      <c r="O972" s="87"/>
      <c r="P972" s="87"/>
      <c r="Q972" s="87"/>
      <c r="R972" s="87"/>
      <c r="S972" s="87"/>
      <c r="T972" s="87"/>
      <c r="U972" s="88"/>
      <c r="V972" s="89"/>
      <c r="W972" s="96">
        <v>0</v>
      </c>
      <c r="X972" s="71">
        <f>CU972</f>
        <v>0</v>
      </c>
      <c r="Y972" s="71">
        <f>CY972</f>
        <v>0</v>
      </c>
      <c r="Z972" s="71">
        <f>DA972+DC972+DE972</f>
        <v>0</v>
      </c>
      <c r="AA972" s="71">
        <f>CW972</f>
        <v>0</v>
      </c>
      <c r="AB972" s="71"/>
      <c r="AC972" s="71">
        <v>0</v>
      </c>
      <c r="AD972" s="71">
        <f>W972+X972+Y972+Z972+AA972+AB972+AC972</f>
        <v>0</v>
      </c>
      <c r="AE972" s="72">
        <v>0</v>
      </c>
      <c r="AF972" s="5"/>
      <c r="AG972" s="6"/>
      <c r="AH972" s="27" t="s">
        <v>3392</v>
      </c>
      <c r="AI972" s="44" t="s">
        <v>3393</v>
      </c>
      <c r="AJ972" s="26"/>
      <c r="AK972" s="5"/>
      <c r="AL972" s="82" t="s">
        <v>3664</v>
      </c>
      <c r="AM972" s="76"/>
      <c r="AN972" s="76"/>
      <c r="AO972" s="76"/>
      <c r="AP972" s="76"/>
      <c r="AQ972" s="76"/>
      <c r="AR972" s="76"/>
      <c r="AS972" s="76"/>
      <c r="AT972" s="76"/>
      <c r="AU972" s="76"/>
      <c r="AV972" s="76"/>
      <c r="AW972" s="76"/>
      <c r="AX972" s="76">
        <f>+AW972*600000</f>
        <v>0</v>
      </c>
      <c r="AY972" s="76"/>
      <c r="AZ972" s="76">
        <f>+AY972*70000</f>
        <v>0</v>
      </c>
      <c r="BA972" s="76"/>
      <c r="BB972" s="76"/>
      <c r="BC972" s="76"/>
      <c r="BD972" s="76">
        <f>+BC972*30000</f>
        <v>0</v>
      </c>
      <c r="BE972" s="76"/>
      <c r="BF972" s="76"/>
      <c r="BG972" s="76"/>
      <c r="BH972" s="76"/>
      <c r="BI972" s="76"/>
      <c r="BJ972" s="76"/>
      <c r="BK972" s="76"/>
      <c r="BL972" s="76">
        <f>+BK972*31500</f>
        <v>0</v>
      </c>
      <c r="BM972" s="76"/>
      <c r="BN972" s="76"/>
      <c r="BO972" s="76"/>
      <c r="BP972" s="76"/>
      <c r="BQ972" s="76"/>
      <c r="BR972" s="76"/>
      <c r="BS972" s="76"/>
      <c r="BT972" s="76"/>
      <c r="BU972" s="76"/>
      <c r="BV972" s="76"/>
      <c r="BW972" s="76"/>
      <c r="BX972" s="76"/>
      <c r="BY972" s="76"/>
      <c r="BZ972" s="76"/>
      <c r="CA972" s="76"/>
      <c r="CB972" s="76"/>
      <c r="CC972" s="76"/>
      <c r="CD972" s="76"/>
      <c r="CE972" s="76"/>
      <c r="CF972" s="76">
        <f>+CE972*28000</f>
        <v>0</v>
      </c>
      <c r="CG972" s="76"/>
      <c r="CH972" s="76">
        <f>+CG972*22500</f>
        <v>0</v>
      </c>
      <c r="CI972" s="76"/>
      <c r="CJ972" s="76">
        <f>+CI972*26000</f>
        <v>0</v>
      </c>
      <c r="CK972" s="76"/>
      <c r="CL972" s="76"/>
      <c r="CM972" s="76"/>
      <c r="CN972" s="76">
        <f>+CM972*22000</f>
        <v>0</v>
      </c>
      <c r="CO972" s="76"/>
      <c r="CP972" s="76">
        <f>+CO972*46000</f>
        <v>0</v>
      </c>
      <c r="CQ972" s="76"/>
      <c r="CR972" s="76">
        <f>+CQ972*49000</f>
        <v>0</v>
      </c>
      <c r="CS972" s="76"/>
      <c r="CT972" s="76"/>
      <c r="CU972" s="56">
        <f>AN972+AP972+AR972+AT972+AV972+AX972+AZ972+BB972+BD972+BF972+BH972+BJ972+BL972+BN972+BP972+BR972+BT972+BV972+BX972+BZ972+CB972+CD972+CF972+CH972+CJ972+CL972+CN972+CP972+CR972+CT972</f>
        <v>0</v>
      </c>
      <c r="CV972" s="76"/>
      <c r="CW972" s="76">
        <f>+CV972*1100</f>
        <v>0</v>
      </c>
      <c r="CX972" s="76"/>
      <c r="CY972" s="76">
        <f>+CX972*106250</f>
        <v>0</v>
      </c>
      <c r="CZ972" s="76"/>
      <c r="DA972" s="76">
        <f>+CZ972*34500</f>
        <v>0</v>
      </c>
      <c r="DB972" s="76"/>
      <c r="DC972" s="76">
        <f>+DB972*25000</f>
        <v>0</v>
      </c>
      <c r="DD972" s="219"/>
      <c r="DE972" s="219"/>
      <c r="DF972" s="166"/>
      <c r="DG972" s="116"/>
      <c r="DH972" s="117"/>
      <c r="DI972" s="24"/>
      <c r="DJ972" s="24"/>
      <c r="DK972" s="24"/>
      <c r="DL972" s="24"/>
      <c r="DM972" s="24"/>
      <c r="DN972" s="24"/>
      <c r="DO972" s="24"/>
      <c r="DP972" s="24"/>
      <c r="DQ972" s="24"/>
      <c r="DR972" s="24"/>
      <c r="DS972" s="24"/>
      <c r="DT972" s="24"/>
      <c r="DU972" s="24"/>
    </row>
    <row r="973" spans="1:125" s="8" customFormat="1" ht="96" x14ac:dyDescent="0.2">
      <c r="A973" s="77">
        <v>41333</v>
      </c>
      <c r="B973" s="78" t="s">
        <v>2881</v>
      </c>
      <c r="C973" s="75" t="s">
        <v>2767</v>
      </c>
      <c r="D973" s="75" t="s">
        <v>2859</v>
      </c>
      <c r="E973" s="75" t="str">
        <f>VLOOKUP(B973&amp;C973,Divipola!$C$2:$F$1138,4,FALSE)</f>
        <v>08001</v>
      </c>
      <c r="F973" s="87"/>
      <c r="G973" s="87">
        <v>3</v>
      </c>
      <c r="H973" s="87"/>
      <c r="I973" s="87">
        <v>3</v>
      </c>
      <c r="J973" s="87"/>
      <c r="K973" s="87"/>
      <c r="L973" s="87"/>
      <c r="M973" s="87"/>
      <c r="N973" s="87"/>
      <c r="O973" s="87"/>
      <c r="P973" s="87"/>
      <c r="Q973" s="87"/>
      <c r="R973" s="87"/>
      <c r="S973" s="87"/>
      <c r="T973" s="87"/>
      <c r="U973" s="88"/>
      <c r="V973" s="89"/>
      <c r="W973" s="96">
        <v>0</v>
      </c>
      <c r="X973" s="71">
        <f>CU973</f>
        <v>0</v>
      </c>
      <c r="Y973" s="71">
        <f>CY973</f>
        <v>0</v>
      </c>
      <c r="Z973" s="71">
        <f>DA973+DC973+DE973</f>
        <v>0</v>
      </c>
      <c r="AA973" s="71">
        <f>CW973</f>
        <v>0</v>
      </c>
      <c r="AB973" s="71"/>
      <c r="AC973" s="71">
        <v>0</v>
      </c>
      <c r="AD973" s="71">
        <f>W973+X973+Y973+Z973+AA973+AB973+AC973</f>
        <v>0</v>
      </c>
      <c r="AE973" s="72">
        <v>0</v>
      </c>
      <c r="AF973" s="5"/>
      <c r="AG973" s="6"/>
      <c r="AH973" s="27" t="s">
        <v>3392</v>
      </c>
      <c r="AI973" s="44" t="s">
        <v>3393</v>
      </c>
      <c r="AJ973" s="26"/>
      <c r="AK973" s="5"/>
      <c r="AL973" s="82" t="s">
        <v>3707</v>
      </c>
      <c r="AM973" s="76"/>
      <c r="AN973" s="76"/>
      <c r="AO973" s="76"/>
      <c r="AP973" s="76"/>
      <c r="AQ973" s="76"/>
      <c r="AR973" s="76"/>
      <c r="AS973" s="76"/>
      <c r="AT973" s="76"/>
      <c r="AU973" s="76"/>
      <c r="AV973" s="76"/>
      <c r="AW973" s="76"/>
      <c r="AX973" s="76">
        <f>+AW973*600000</f>
        <v>0</v>
      </c>
      <c r="AY973" s="76"/>
      <c r="AZ973" s="76">
        <f>+AY973*70000</f>
        <v>0</v>
      </c>
      <c r="BA973" s="76"/>
      <c r="BB973" s="76"/>
      <c r="BC973" s="76"/>
      <c r="BD973" s="76">
        <f>+BC973*30000</f>
        <v>0</v>
      </c>
      <c r="BE973" s="76"/>
      <c r="BF973" s="76"/>
      <c r="BG973" s="76"/>
      <c r="BH973" s="76"/>
      <c r="BI973" s="76"/>
      <c r="BJ973" s="76"/>
      <c r="BK973" s="76"/>
      <c r="BL973" s="76">
        <f>+BK973*31500</f>
        <v>0</v>
      </c>
      <c r="BM973" s="76"/>
      <c r="BN973" s="76"/>
      <c r="BO973" s="76"/>
      <c r="BP973" s="76"/>
      <c r="BQ973" s="76"/>
      <c r="BR973" s="76"/>
      <c r="BS973" s="76"/>
      <c r="BT973" s="76"/>
      <c r="BU973" s="76"/>
      <c r="BV973" s="76"/>
      <c r="BW973" s="76"/>
      <c r="BX973" s="76"/>
      <c r="BY973" s="76"/>
      <c r="BZ973" s="76"/>
      <c r="CA973" s="76"/>
      <c r="CB973" s="76"/>
      <c r="CC973" s="76"/>
      <c r="CD973" s="76"/>
      <c r="CE973" s="76"/>
      <c r="CF973" s="76">
        <f>+CE973*28000</f>
        <v>0</v>
      </c>
      <c r="CG973" s="76"/>
      <c r="CH973" s="76">
        <f>+CG973*22500</f>
        <v>0</v>
      </c>
      <c r="CI973" s="76"/>
      <c r="CJ973" s="76">
        <f>+CI973*26000</f>
        <v>0</v>
      </c>
      <c r="CK973" s="76"/>
      <c r="CL973" s="76"/>
      <c r="CM973" s="76"/>
      <c r="CN973" s="76">
        <f>+CM973*22000</f>
        <v>0</v>
      </c>
      <c r="CO973" s="76"/>
      <c r="CP973" s="76">
        <f>+CO973*46000</f>
        <v>0</v>
      </c>
      <c r="CQ973" s="76"/>
      <c r="CR973" s="76">
        <f>+CQ973*49000</f>
        <v>0</v>
      </c>
      <c r="CS973" s="76"/>
      <c r="CT973" s="76"/>
      <c r="CU973" s="56">
        <f>AN973+AP973+AR973+AT973+AV973+AX973+AZ973+BB973+BD973+BF973+BH973+BJ973+BL973+BN973+BP973+BR973+BT973+BV973+BX973+BZ973+CB973+CD973+CF973+CH973+CJ973+CL973+CN973+CP973+CR973+CT973</f>
        <v>0</v>
      </c>
      <c r="CV973" s="76"/>
      <c r="CW973" s="76">
        <f>+CV973*1100</f>
        <v>0</v>
      </c>
      <c r="CX973" s="76"/>
      <c r="CY973" s="76">
        <f>+CX973*106250</f>
        <v>0</v>
      </c>
      <c r="CZ973" s="76"/>
      <c r="DA973" s="76">
        <f>+CZ973*34500</f>
        <v>0</v>
      </c>
      <c r="DB973" s="76"/>
      <c r="DC973" s="76">
        <f>+DB973*25000</f>
        <v>0</v>
      </c>
      <c r="DD973" s="219"/>
      <c r="DE973" s="219"/>
      <c r="DF973" s="166"/>
      <c r="DG973" s="116"/>
      <c r="DH973" s="117"/>
      <c r="DI973" s="24"/>
      <c r="DJ973" s="24"/>
      <c r="DK973" s="24"/>
      <c r="DL973" s="24"/>
      <c r="DM973" s="24"/>
      <c r="DN973" s="24"/>
      <c r="DO973" s="24"/>
      <c r="DP973" s="24"/>
      <c r="DQ973" s="24"/>
      <c r="DR973" s="24"/>
      <c r="DS973" s="24"/>
      <c r="DT973" s="24"/>
      <c r="DU973" s="24"/>
    </row>
    <row r="974" spans="1:125" s="8" customFormat="1" ht="36" x14ac:dyDescent="0.2">
      <c r="A974" s="77">
        <v>41333</v>
      </c>
      <c r="B974" s="78" t="s">
        <v>2700</v>
      </c>
      <c r="C974" s="75" t="s">
        <v>1708</v>
      </c>
      <c r="D974" s="81" t="s">
        <v>2846</v>
      </c>
      <c r="E974" s="75" t="str">
        <f>VLOOKUP(B974&amp;C974,Divipola!$C$2:$F$1138,4,FALSE)</f>
        <v>15676</v>
      </c>
      <c r="F974" s="87"/>
      <c r="G974" s="87"/>
      <c r="H974" s="87"/>
      <c r="I974" s="87"/>
      <c r="J974" s="87"/>
      <c r="K974" s="87"/>
      <c r="L974" s="87"/>
      <c r="M974" s="87"/>
      <c r="N974" s="87"/>
      <c r="O974" s="87"/>
      <c r="P974" s="87"/>
      <c r="Q974" s="87"/>
      <c r="R974" s="87"/>
      <c r="S974" s="87"/>
      <c r="T974" s="87"/>
      <c r="U974" s="88">
        <v>4</v>
      </c>
      <c r="V974" s="89"/>
      <c r="W974" s="96">
        <v>0</v>
      </c>
      <c r="X974" s="71">
        <f>CU974</f>
        <v>0</v>
      </c>
      <c r="Y974" s="71">
        <f>CY974</f>
        <v>0</v>
      </c>
      <c r="Z974" s="71">
        <f>DA974+DC974+DE974</f>
        <v>0</v>
      </c>
      <c r="AA974" s="71">
        <f>CW974</f>
        <v>0</v>
      </c>
      <c r="AB974" s="71"/>
      <c r="AC974" s="71">
        <v>0</v>
      </c>
      <c r="AD974" s="71">
        <f>W974+X974+Y974+Z974+AA974+AB974+AC974</f>
        <v>0</v>
      </c>
      <c r="AE974" s="72">
        <v>0</v>
      </c>
      <c r="AF974" s="5"/>
      <c r="AG974" s="6"/>
      <c r="AH974" s="27" t="s">
        <v>3392</v>
      </c>
      <c r="AI974" s="44" t="s">
        <v>3393</v>
      </c>
      <c r="AJ974" s="26"/>
      <c r="AK974" s="5"/>
      <c r="AL974" s="82" t="s">
        <v>3704</v>
      </c>
      <c r="AM974" s="76"/>
      <c r="AN974" s="76"/>
      <c r="AO974" s="76"/>
      <c r="AP974" s="76"/>
      <c r="AQ974" s="76"/>
      <c r="AR974" s="76"/>
      <c r="AS974" s="76"/>
      <c r="AT974" s="76"/>
      <c r="AU974" s="76"/>
      <c r="AV974" s="76"/>
      <c r="AW974" s="76"/>
      <c r="AX974" s="76">
        <f>+AW974*600000</f>
        <v>0</v>
      </c>
      <c r="AY974" s="76"/>
      <c r="AZ974" s="76">
        <f>+AY974*70000</f>
        <v>0</v>
      </c>
      <c r="BA974" s="76"/>
      <c r="BB974" s="76"/>
      <c r="BC974" s="76"/>
      <c r="BD974" s="76">
        <f>+BC974*30000</f>
        <v>0</v>
      </c>
      <c r="BE974" s="76"/>
      <c r="BF974" s="76"/>
      <c r="BG974" s="76"/>
      <c r="BH974" s="76"/>
      <c r="BI974" s="76"/>
      <c r="BJ974" s="76"/>
      <c r="BK974" s="76"/>
      <c r="BL974" s="76">
        <f>+BK974*31500</f>
        <v>0</v>
      </c>
      <c r="BM974" s="76"/>
      <c r="BN974" s="76"/>
      <c r="BO974" s="76"/>
      <c r="BP974" s="76"/>
      <c r="BQ974" s="76"/>
      <c r="BR974" s="76"/>
      <c r="BS974" s="76"/>
      <c r="BT974" s="76"/>
      <c r="BU974" s="76"/>
      <c r="BV974" s="76"/>
      <c r="BW974" s="76"/>
      <c r="BX974" s="76"/>
      <c r="BY974" s="76"/>
      <c r="BZ974" s="76"/>
      <c r="CA974" s="76"/>
      <c r="CB974" s="76"/>
      <c r="CC974" s="76"/>
      <c r="CD974" s="76"/>
      <c r="CE974" s="76"/>
      <c r="CF974" s="76">
        <f>+CE974*28000</f>
        <v>0</v>
      </c>
      <c r="CG974" s="76"/>
      <c r="CH974" s="76">
        <f>+CG974*22500</f>
        <v>0</v>
      </c>
      <c r="CI974" s="76"/>
      <c r="CJ974" s="76">
        <f>+CI974*26000</f>
        <v>0</v>
      </c>
      <c r="CK974" s="76"/>
      <c r="CL974" s="76"/>
      <c r="CM974" s="76"/>
      <c r="CN974" s="76">
        <f>+CM974*22000</f>
        <v>0</v>
      </c>
      <c r="CO974" s="76"/>
      <c r="CP974" s="76">
        <f>+CO974*46000</f>
        <v>0</v>
      </c>
      <c r="CQ974" s="76"/>
      <c r="CR974" s="76">
        <f>+CQ974*49000</f>
        <v>0</v>
      </c>
      <c r="CS974" s="76"/>
      <c r="CT974" s="76"/>
      <c r="CU974" s="56">
        <f>AN974+AP974+AR974+AT974+AV974+AX974+AZ974+BB974+BD974+BF974+BH974+BJ974+BL974+BN974+BP974+BR974+BT974+BV974+BX974+BZ974+CB974+CD974+CF974+CH974+CJ974+CL974+CN974+CP974+CR974+CT974</f>
        <v>0</v>
      </c>
      <c r="CV974" s="76"/>
      <c r="CW974" s="76">
        <f>+CV974*1100</f>
        <v>0</v>
      </c>
      <c r="CX974" s="76"/>
      <c r="CY974" s="76">
        <f>+CX974*106250</f>
        <v>0</v>
      </c>
      <c r="CZ974" s="76"/>
      <c r="DA974" s="76">
        <f>+CZ974*34500</f>
        <v>0</v>
      </c>
      <c r="DB974" s="76"/>
      <c r="DC974" s="76">
        <f>+DB974*25000</f>
        <v>0</v>
      </c>
      <c r="DD974" s="219"/>
      <c r="DE974" s="219"/>
      <c r="DF974" s="166"/>
      <c r="DG974" s="116"/>
      <c r="DH974" s="117"/>
      <c r="DI974" s="24"/>
      <c r="DJ974" s="24"/>
      <c r="DK974" s="24"/>
      <c r="DL974" s="24"/>
      <c r="DM974" s="24"/>
      <c r="DN974" s="24"/>
      <c r="DO974" s="24"/>
      <c r="DP974" s="24"/>
      <c r="DQ974" s="24"/>
      <c r="DR974" s="24"/>
      <c r="DS974" s="24"/>
      <c r="DT974" s="24"/>
      <c r="DU974" s="24"/>
    </row>
    <row r="975" spans="1:125" s="8" customFormat="1" ht="48" x14ac:dyDescent="0.2">
      <c r="A975" s="77">
        <v>41333</v>
      </c>
      <c r="B975" s="225" t="s">
        <v>2854</v>
      </c>
      <c r="C975" s="227" t="s">
        <v>1377</v>
      </c>
      <c r="D975" s="227" t="s">
        <v>2859</v>
      </c>
      <c r="E975" s="75" t="str">
        <f>VLOOKUP(B975&amp;C975,Divipola!$C$2:$F$1138,4,FALSE)</f>
        <v>19318</v>
      </c>
      <c r="F975" s="100"/>
      <c r="G975" s="100"/>
      <c r="H975" s="100"/>
      <c r="I975" s="100">
        <v>7</v>
      </c>
      <c r="J975" s="100">
        <v>1</v>
      </c>
      <c r="K975" s="100">
        <v>1</v>
      </c>
      <c r="L975" s="100"/>
      <c r="M975" s="100"/>
      <c r="N975" s="100"/>
      <c r="O975" s="100"/>
      <c r="P975" s="100"/>
      <c r="Q975" s="100"/>
      <c r="R975" s="100"/>
      <c r="S975" s="100"/>
      <c r="T975" s="100"/>
      <c r="U975" s="136"/>
      <c r="V975" s="89"/>
      <c r="W975" s="96">
        <v>0</v>
      </c>
      <c r="X975" s="71">
        <f>CU975</f>
        <v>0</v>
      </c>
      <c r="Y975" s="71">
        <f>CY975</f>
        <v>0</v>
      </c>
      <c r="Z975" s="71">
        <f>DA975+DC975+DE975</f>
        <v>0</v>
      </c>
      <c r="AA975" s="71">
        <f>CW975</f>
        <v>0</v>
      </c>
      <c r="AB975" s="71"/>
      <c r="AC975" s="71">
        <v>0</v>
      </c>
      <c r="AD975" s="71">
        <f>W975+X975+Y975+Z975+AA975+AB975+AC975</f>
        <v>0</v>
      </c>
      <c r="AE975" s="72">
        <v>0</v>
      </c>
      <c r="AF975" s="5"/>
      <c r="AG975" s="6"/>
      <c r="AH975" s="27" t="s">
        <v>3392</v>
      </c>
      <c r="AI975" s="44" t="s">
        <v>3393</v>
      </c>
      <c r="AJ975" s="26"/>
      <c r="AK975" s="5"/>
      <c r="AL975" s="82" t="s">
        <v>3706</v>
      </c>
      <c r="AM975" s="76"/>
      <c r="AN975" s="76"/>
      <c r="AO975" s="76"/>
      <c r="AP975" s="76"/>
      <c r="AQ975" s="76"/>
      <c r="AR975" s="76"/>
      <c r="AS975" s="76"/>
      <c r="AT975" s="76"/>
      <c r="AU975" s="76"/>
      <c r="AV975" s="76"/>
      <c r="AW975" s="76"/>
      <c r="AX975" s="76">
        <f>+AW975*600000</f>
        <v>0</v>
      </c>
      <c r="AY975" s="76"/>
      <c r="AZ975" s="76">
        <f>+AY975*70000</f>
        <v>0</v>
      </c>
      <c r="BA975" s="76"/>
      <c r="BB975" s="76"/>
      <c r="BC975" s="76"/>
      <c r="BD975" s="76">
        <f>+BC975*30000</f>
        <v>0</v>
      </c>
      <c r="BE975" s="76"/>
      <c r="BF975" s="76"/>
      <c r="BG975" s="76"/>
      <c r="BH975" s="76"/>
      <c r="BI975" s="76"/>
      <c r="BJ975" s="76"/>
      <c r="BK975" s="76"/>
      <c r="BL975" s="76">
        <f>+BK975*31500</f>
        <v>0</v>
      </c>
      <c r="BM975" s="76"/>
      <c r="BN975" s="76"/>
      <c r="BO975" s="76"/>
      <c r="BP975" s="76"/>
      <c r="BQ975" s="76"/>
      <c r="BR975" s="76"/>
      <c r="BS975" s="76"/>
      <c r="BT975" s="76"/>
      <c r="BU975" s="76"/>
      <c r="BV975" s="76"/>
      <c r="BW975" s="76"/>
      <c r="BX975" s="76"/>
      <c r="BY975" s="76"/>
      <c r="BZ975" s="76"/>
      <c r="CA975" s="76"/>
      <c r="CB975" s="76"/>
      <c r="CC975" s="76"/>
      <c r="CD975" s="76"/>
      <c r="CE975" s="76"/>
      <c r="CF975" s="76">
        <f>+CE975*28000</f>
        <v>0</v>
      </c>
      <c r="CG975" s="76"/>
      <c r="CH975" s="76">
        <f>+CG975*22500</f>
        <v>0</v>
      </c>
      <c r="CI975" s="76"/>
      <c r="CJ975" s="76">
        <f>+CI975*26000</f>
        <v>0</v>
      </c>
      <c r="CK975" s="76"/>
      <c r="CL975" s="76"/>
      <c r="CM975" s="76"/>
      <c r="CN975" s="76">
        <f>+CM975*22000</f>
        <v>0</v>
      </c>
      <c r="CO975" s="76"/>
      <c r="CP975" s="76">
        <f>+CO975*46000</f>
        <v>0</v>
      </c>
      <c r="CQ975" s="76"/>
      <c r="CR975" s="76">
        <f>+CQ975*49000</f>
        <v>0</v>
      </c>
      <c r="CS975" s="76"/>
      <c r="CT975" s="76"/>
      <c r="CU975" s="56">
        <f>AN975+AP975+AR975+AT975+AV975+AX975+AZ975+BB975+BD975+BF975+BH975+BJ975+BL975+BN975+BP975+BR975+BT975+BV975+BX975+BZ975+CB975+CD975+CF975+CH975+CJ975+CL975+CN975+CP975+CR975+CT975</f>
        <v>0</v>
      </c>
      <c r="CV975" s="76"/>
      <c r="CW975" s="76">
        <f>+CV975*1100</f>
        <v>0</v>
      </c>
      <c r="CX975" s="76"/>
      <c r="CY975" s="76">
        <f>+CX975*106250</f>
        <v>0</v>
      </c>
      <c r="CZ975" s="76"/>
      <c r="DA975" s="76">
        <f>+CZ975*34500</f>
        <v>0</v>
      </c>
      <c r="DB975" s="76"/>
      <c r="DC975" s="76">
        <f>+DB975*25000</f>
        <v>0</v>
      </c>
      <c r="DD975" s="219"/>
      <c r="DE975" s="219"/>
      <c r="DF975" s="166"/>
      <c r="DG975" s="116"/>
      <c r="DH975" s="117"/>
      <c r="DI975" s="24"/>
      <c r="DJ975" s="24"/>
      <c r="DK975" s="24"/>
      <c r="DL975" s="24"/>
      <c r="DM975" s="24"/>
      <c r="DN975" s="24"/>
      <c r="DO975" s="24"/>
      <c r="DP975" s="24"/>
      <c r="DQ975" s="24"/>
      <c r="DR975" s="24"/>
      <c r="DS975" s="24"/>
      <c r="DT975" s="24"/>
      <c r="DU975" s="24"/>
    </row>
    <row r="976" spans="1:125" s="8" customFormat="1" ht="228" x14ac:dyDescent="0.2">
      <c r="A976" s="77">
        <v>41333</v>
      </c>
      <c r="B976" s="78" t="s">
        <v>3136</v>
      </c>
      <c r="C976" s="75" t="s">
        <v>408</v>
      </c>
      <c r="D976" s="75" t="s">
        <v>3090</v>
      </c>
      <c r="E976" s="75" t="str">
        <f>VLOOKUP(B976&amp;C976,Divipola!$C$2:$F$1138,4,FALSE)</f>
        <v>44847</v>
      </c>
      <c r="F976" s="163"/>
      <c r="G976" s="163"/>
      <c r="H976" s="163"/>
      <c r="I976" s="163"/>
      <c r="J976" s="163"/>
      <c r="K976" s="163"/>
      <c r="L976" s="163"/>
      <c r="M976" s="163"/>
      <c r="N976" s="163"/>
      <c r="O976" s="163"/>
      <c r="P976" s="163"/>
      <c r="Q976" s="163"/>
      <c r="R976" s="163"/>
      <c r="S976" s="163"/>
      <c r="T976" s="163"/>
      <c r="U976" s="163"/>
      <c r="V976" s="134"/>
      <c r="W976" s="96">
        <v>0</v>
      </c>
      <c r="X976" s="71">
        <f>CU976</f>
        <v>0</v>
      </c>
      <c r="Y976" s="71">
        <f>CY976</f>
        <v>0</v>
      </c>
      <c r="Z976" s="71">
        <f>DA976+DC976+DE976</f>
        <v>0</v>
      </c>
      <c r="AA976" s="71">
        <f>CW976</f>
        <v>0</v>
      </c>
      <c r="AB976" s="71">
        <f>848000000+155000000+732900000</f>
        <v>1735900000</v>
      </c>
      <c r="AC976" s="71">
        <v>1500000000</v>
      </c>
      <c r="AD976" s="71">
        <f>W976+X976+Y976+Z976+AA976+AB976+AC976</f>
        <v>3235900000</v>
      </c>
      <c r="AE976" s="72">
        <v>0</v>
      </c>
      <c r="AF976" s="5"/>
      <c r="AG976" s="6"/>
      <c r="AH976" s="27" t="s">
        <v>3390</v>
      </c>
      <c r="AI976" s="44" t="s">
        <v>3391</v>
      </c>
      <c r="AJ976" s="26"/>
      <c r="AK976" s="5"/>
      <c r="AL976" s="82" t="s">
        <v>6347</v>
      </c>
      <c r="AM976" s="76"/>
      <c r="AN976" s="76"/>
      <c r="AO976" s="76"/>
      <c r="AP976" s="76"/>
      <c r="AQ976" s="76"/>
      <c r="AR976" s="76"/>
      <c r="AS976" s="76"/>
      <c r="AT976" s="76"/>
      <c r="AU976" s="76"/>
      <c r="AV976" s="76"/>
      <c r="AW976" s="76"/>
      <c r="AX976" s="76">
        <f>+AW976*600000</f>
        <v>0</v>
      </c>
      <c r="AY976" s="76"/>
      <c r="AZ976" s="76">
        <f>+AY976*70000</f>
        <v>0</v>
      </c>
      <c r="BA976" s="76"/>
      <c r="BB976" s="76"/>
      <c r="BC976" s="76"/>
      <c r="BD976" s="76">
        <f>+BC976*30000</f>
        <v>0</v>
      </c>
      <c r="BE976" s="76"/>
      <c r="BF976" s="76"/>
      <c r="BG976" s="76"/>
      <c r="BH976" s="76"/>
      <c r="BI976" s="76"/>
      <c r="BJ976" s="76"/>
      <c r="BK976" s="76"/>
      <c r="BL976" s="76">
        <f>+BK976*31500</f>
        <v>0</v>
      </c>
      <c r="BM976" s="76"/>
      <c r="BN976" s="76"/>
      <c r="BO976" s="76"/>
      <c r="BP976" s="76"/>
      <c r="BQ976" s="76"/>
      <c r="BR976" s="76"/>
      <c r="BS976" s="76"/>
      <c r="BT976" s="76"/>
      <c r="BU976" s="76"/>
      <c r="BV976" s="76"/>
      <c r="BW976" s="76"/>
      <c r="BX976" s="76"/>
      <c r="BY976" s="76"/>
      <c r="BZ976" s="76"/>
      <c r="CA976" s="76"/>
      <c r="CB976" s="76"/>
      <c r="CC976" s="76"/>
      <c r="CD976" s="76"/>
      <c r="CE976" s="76"/>
      <c r="CF976" s="76">
        <f>+CE976*28000</f>
        <v>0</v>
      </c>
      <c r="CG976" s="76"/>
      <c r="CH976" s="76">
        <f>+CG976*22500</f>
        <v>0</v>
      </c>
      <c r="CI976" s="76"/>
      <c r="CJ976" s="76">
        <f>+CI976*26000</f>
        <v>0</v>
      </c>
      <c r="CK976" s="76"/>
      <c r="CL976" s="76"/>
      <c r="CM976" s="76"/>
      <c r="CN976" s="76">
        <f>+CM976*22000</f>
        <v>0</v>
      </c>
      <c r="CO976" s="76"/>
      <c r="CP976" s="76">
        <f>+CO976*46000</f>
        <v>0</v>
      </c>
      <c r="CQ976" s="76"/>
      <c r="CR976" s="76">
        <f>+CQ976*49000</f>
        <v>0</v>
      </c>
      <c r="CS976" s="76"/>
      <c r="CT976" s="76"/>
      <c r="CU976" s="56">
        <f>AN976+AP976+AR976+AT976+AV976+AX976+AZ976+BB976+BD976+BF976+BH976+BJ976+BL976+BN976+BP976+BR976+BT976+BV976+BX976+BZ976+CB976+CD976+CF976+CH976+CJ976+CL976+CN976+CP976+CR976+CT976</f>
        <v>0</v>
      </c>
      <c r="CV976" s="76"/>
      <c r="CW976" s="76">
        <f>+CV976*1100</f>
        <v>0</v>
      </c>
      <c r="CX976" s="76"/>
      <c r="CY976" s="76">
        <f>+CX976*106250</f>
        <v>0</v>
      </c>
      <c r="CZ976" s="76"/>
      <c r="DA976" s="76">
        <f>+CZ976*34500</f>
        <v>0</v>
      </c>
      <c r="DB976" s="76"/>
      <c r="DC976" s="76">
        <f>+DB976*25000</f>
        <v>0</v>
      </c>
      <c r="DD976" s="287"/>
      <c r="DE976" s="311"/>
      <c r="DF976" s="166" t="s">
        <v>3247</v>
      </c>
      <c r="DG976" s="134" t="s">
        <v>4127</v>
      </c>
      <c r="DH976" s="117"/>
      <c r="DI976" s="24"/>
      <c r="DJ976" s="24"/>
      <c r="DK976" s="24"/>
      <c r="DL976" s="24"/>
      <c r="DM976" s="24"/>
      <c r="DN976" s="24"/>
      <c r="DO976" s="24"/>
      <c r="DP976" s="24"/>
      <c r="DQ976" s="24"/>
      <c r="DR976" s="24"/>
      <c r="DS976" s="24"/>
      <c r="DT976" s="24"/>
      <c r="DU976" s="24"/>
    </row>
    <row r="977" spans="1:125" s="8" customFormat="1" ht="72" x14ac:dyDescent="0.2">
      <c r="A977" s="77">
        <v>41333</v>
      </c>
      <c r="B977" s="78" t="s">
        <v>2906</v>
      </c>
      <c r="C977" s="75" t="s">
        <v>2773</v>
      </c>
      <c r="D977" s="75" t="s">
        <v>3090</v>
      </c>
      <c r="E977" s="75">
        <f>VLOOKUP(B977&amp;C977,Divipola!$C$2:$F$1138,4,FALSE)</f>
        <v>47</v>
      </c>
      <c r="F977" s="163"/>
      <c r="G977" s="163"/>
      <c r="H977" s="163"/>
      <c r="I977" s="163"/>
      <c r="J977" s="163"/>
      <c r="K977" s="163"/>
      <c r="L977" s="163"/>
      <c r="M977" s="163"/>
      <c r="N977" s="163"/>
      <c r="O977" s="163"/>
      <c r="P977" s="163"/>
      <c r="Q977" s="163"/>
      <c r="R977" s="163"/>
      <c r="S977" s="163"/>
      <c r="T977" s="163"/>
      <c r="U977" s="163"/>
      <c r="V977" s="134"/>
      <c r="W977" s="96">
        <v>0</v>
      </c>
      <c r="X977" s="71">
        <f>CU977</f>
        <v>0</v>
      </c>
      <c r="Y977" s="71">
        <f>CY977</f>
        <v>0</v>
      </c>
      <c r="Z977" s="71">
        <f>DA977+DC977+DE977</f>
        <v>0</v>
      </c>
      <c r="AA977" s="71">
        <f>CW977</f>
        <v>0</v>
      </c>
      <c r="AB977" s="71"/>
      <c r="AC977" s="71">
        <v>500000000</v>
      </c>
      <c r="AD977" s="71">
        <f>W977+X977+Y977+Z977+AA977+AB977+AC977</f>
        <v>500000000</v>
      </c>
      <c r="AE977" s="72">
        <v>0</v>
      </c>
      <c r="AF977" s="5"/>
      <c r="AG977" s="6"/>
      <c r="AH977" s="27" t="s">
        <v>3390</v>
      </c>
      <c r="AI977" s="44" t="s">
        <v>3391</v>
      </c>
      <c r="AJ977" s="26"/>
      <c r="AK977" s="5"/>
      <c r="AL977" s="82" t="s">
        <v>3696</v>
      </c>
      <c r="AM977" s="76"/>
      <c r="AN977" s="76"/>
      <c r="AO977" s="76"/>
      <c r="AP977" s="76"/>
      <c r="AQ977" s="76"/>
      <c r="AR977" s="76"/>
      <c r="AS977" s="76"/>
      <c r="AT977" s="76"/>
      <c r="AU977" s="76"/>
      <c r="AV977" s="76"/>
      <c r="AW977" s="76"/>
      <c r="AX977" s="76">
        <f>+AW977*600000</f>
        <v>0</v>
      </c>
      <c r="AY977" s="76"/>
      <c r="AZ977" s="76">
        <f>+AY977*70000</f>
        <v>0</v>
      </c>
      <c r="BA977" s="76"/>
      <c r="BB977" s="76"/>
      <c r="BC977" s="76"/>
      <c r="BD977" s="76">
        <f>+BC977*30000</f>
        <v>0</v>
      </c>
      <c r="BE977" s="76"/>
      <c r="BF977" s="76"/>
      <c r="BG977" s="76"/>
      <c r="BH977" s="76"/>
      <c r="BI977" s="76"/>
      <c r="BJ977" s="76"/>
      <c r="BK977" s="76"/>
      <c r="BL977" s="76">
        <f>+BK977*31500</f>
        <v>0</v>
      </c>
      <c r="BM977" s="76"/>
      <c r="BN977" s="76"/>
      <c r="BO977" s="76"/>
      <c r="BP977" s="76"/>
      <c r="BQ977" s="76"/>
      <c r="BR977" s="76"/>
      <c r="BS977" s="76"/>
      <c r="BT977" s="76"/>
      <c r="BU977" s="76"/>
      <c r="BV977" s="76"/>
      <c r="BW977" s="76"/>
      <c r="BX977" s="76"/>
      <c r="BY977" s="76"/>
      <c r="BZ977" s="76"/>
      <c r="CA977" s="76"/>
      <c r="CB977" s="76"/>
      <c r="CC977" s="76"/>
      <c r="CD977" s="76"/>
      <c r="CE977" s="76"/>
      <c r="CF977" s="76">
        <f>+CE977*28000</f>
        <v>0</v>
      </c>
      <c r="CG977" s="76"/>
      <c r="CH977" s="76">
        <f>+CG977*22500</f>
        <v>0</v>
      </c>
      <c r="CI977" s="76"/>
      <c r="CJ977" s="76">
        <f>+CI977*26000</f>
        <v>0</v>
      </c>
      <c r="CK977" s="76"/>
      <c r="CL977" s="76"/>
      <c r="CM977" s="76"/>
      <c r="CN977" s="76">
        <f>+CM977*22000</f>
        <v>0</v>
      </c>
      <c r="CO977" s="76"/>
      <c r="CP977" s="76">
        <f>+CO977*46000</f>
        <v>0</v>
      </c>
      <c r="CQ977" s="76"/>
      <c r="CR977" s="76">
        <f>+CQ977*49000</f>
        <v>0</v>
      </c>
      <c r="CS977" s="76"/>
      <c r="CT977" s="76"/>
      <c r="CU977" s="56">
        <f>AN977+AP977+AR977+AT977+AV977+AX977+AZ977+BB977+BD977+BF977+BH977+BJ977+BL977+BN977+BP977+BR977+BT977+BV977+BX977+BZ977+CB977+CD977+CF977+CH977+CJ977+CL977+CN977+CP977+CR977+CT977</f>
        <v>0</v>
      </c>
      <c r="CV977" s="76"/>
      <c r="CW977" s="76">
        <f>+CV977*1100</f>
        <v>0</v>
      </c>
      <c r="CX977" s="76"/>
      <c r="CY977" s="76">
        <f>+CX977*106250</f>
        <v>0</v>
      </c>
      <c r="CZ977" s="76"/>
      <c r="DA977" s="76">
        <f>+CZ977*34500</f>
        <v>0</v>
      </c>
      <c r="DB977" s="76"/>
      <c r="DC977" s="76">
        <f>+DB977*25000</f>
        <v>0</v>
      </c>
      <c r="DD977" s="219"/>
      <c r="DE977" s="219"/>
      <c r="DF977" s="166" t="s">
        <v>3247</v>
      </c>
      <c r="DG977" s="134" t="s">
        <v>4247</v>
      </c>
      <c r="DH977" s="117"/>
      <c r="DI977" s="24"/>
      <c r="DJ977" s="24"/>
      <c r="DK977" s="24"/>
      <c r="DL977" s="24"/>
      <c r="DM977" s="24"/>
      <c r="DN977" s="24"/>
      <c r="DO977" s="24"/>
      <c r="DP977" s="24"/>
      <c r="DQ977" s="24"/>
      <c r="DR977" s="24"/>
      <c r="DS977" s="24"/>
      <c r="DT977" s="24"/>
      <c r="DU977" s="24"/>
    </row>
    <row r="978" spans="1:125" s="8" customFormat="1" ht="60" x14ac:dyDescent="0.2">
      <c r="A978" s="77">
        <v>41333</v>
      </c>
      <c r="B978" s="78" t="s">
        <v>2811</v>
      </c>
      <c r="C978" s="75" t="s">
        <v>2839</v>
      </c>
      <c r="D978" s="75" t="s">
        <v>3090</v>
      </c>
      <c r="E978" s="226" t="str">
        <f>VLOOKUP(B978&amp;C978,Divipola!$C$2:$F$1138,4,FALSE)</f>
        <v>52835</v>
      </c>
      <c r="F978" s="163"/>
      <c r="G978" s="163"/>
      <c r="H978" s="163"/>
      <c r="I978" s="163"/>
      <c r="J978" s="163"/>
      <c r="K978" s="163"/>
      <c r="L978" s="163"/>
      <c r="M978" s="163"/>
      <c r="N978" s="163"/>
      <c r="O978" s="163"/>
      <c r="P978" s="163"/>
      <c r="Q978" s="163"/>
      <c r="R978" s="163"/>
      <c r="S978" s="163"/>
      <c r="T978" s="163"/>
      <c r="U978" s="163"/>
      <c r="V978" s="134"/>
      <c r="W978" s="96">
        <v>0</v>
      </c>
      <c r="X978" s="71">
        <f>CU978</f>
        <v>0</v>
      </c>
      <c r="Y978" s="71">
        <f>CY978</f>
        <v>0</v>
      </c>
      <c r="Z978" s="71">
        <f>DA978+DC978+DE978</f>
        <v>0</v>
      </c>
      <c r="AA978" s="71">
        <f>CW978</f>
        <v>0</v>
      </c>
      <c r="AB978" s="71">
        <v>424000000</v>
      </c>
      <c r="AC978" s="71">
        <v>0</v>
      </c>
      <c r="AD978" s="71">
        <f>W978+X978+Y978+Z978+AA978+AB978+AC978</f>
        <v>424000000</v>
      </c>
      <c r="AE978" s="72">
        <v>0</v>
      </c>
      <c r="AF978" s="5"/>
      <c r="AG978" s="6"/>
      <c r="AH978" s="27"/>
      <c r="AI978" s="44"/>
      <c r="AJ978" s="26"/>
      <c r="AK978" s="5"/>
      <c r="AL978" s="82" t="s">
        <v>5458</v>
      </c>
      <c r="AM978" s="76"/>
      <c r="AN978" s="76"/>
      <c r="AO978" s="76"/>
      <c r="AP978" s="76"/>
      <c r="AQ978" s="76"/>
      <c r="AR978" s="76"/>
      <c r="AS978" s="76"/>
      <c r="AT978" s="76"/>
      <c r="AU978" s="76"/>
      <c r="AV978" s="76"/>
      <c r="AW978" s="76"/>
      <c r="AX978" s="76">
        <f>+AW978*600000</f>
        <v>0</v>
      </c>
      <c r="AY978" s="76"/>
      <c r="AZ978" s="76">
        <f>+AY978*70000</f>
        <v>0</v>
      </c>
      <c r="BA978" s="76"/>
      <c r="BB978" s="76"/>
      <c r="BC978" s="76"/>
      <c r="BD978" s="76">
        <f>+BC978*30000</f>
        <v>0</v>
      </c>
      <c r="BE978" s="76"/>
      <c r="BF978" s="76"/>
      <c r="BG978" s="76"/>
      <c r="BH978" s="76"/>
      <c r="BI978" s="76"/>
      <c r="BJ978" s="76"/>
      <c r="BK978" s="76"/>
      <c r="BL978" s="76">
        <f>+BK978*31500</f>
        <v>0</v>
      </c>
      <c r="BM978" s="76"/>
      <c r="BN978" s="76"/>
      <c r="BO978" s="76"/>
      <c r="BP978" s="76"/>
      <c r="BQ978" s="76"/>
      <c r="BR978" s="76"/>
      <c r="BS978" s="76"/>
      <c r="BT978" s="76"/>
      <c r="BU978" s="76"/>
      <c r="BV978" s="76"/>
      <c r="BW978" s="76"/>
      <c r="BX978" s="76"/>
      <c r="BY978" s="76"/>
      <c r="BZ978" s="76"/>
      <c r="CA978" s="76"/>
      <c r="CB978" s="76"/>
      <c r="CC978" s="76"/>
      <c r="CD978" s="76"/>
      <c r="CE978" s="76"/>
      <c r="CF978" s="76">
        <f>+CE978*28000</f>
        <v>0</v>
      </c>
      <c r="CG978" s="76"/>
      <c r="CH978" s="76">
        <f>+CG978*22500</f>
        <v>0</v>
      </c>
      <c r="CI978" s="76"/>
      <c r="CJ978" s="76">
        <f>+CI978*26000</f>
        <v>0</v>
      </c>
      <c r="CK978" s="76"/>
      <c r="CL978" s="76"/>
      <c r="CM978" s="76"/>
      <c r="CN978" s="76">
        <f>+CM978*22000</f>
        <v>0</v>
      </c>
      <c r="CO978" s="76"/>
      <c r="CP978" s="76">
        <f>+CO978*46000</f>
        <v>0</v>
      </c>
      <c r="CQ978" s="76"/>
      <c r="CR978" s="76">
        <f>+CQ978*49000</f>
        <v>0</v>
      </c>
      <c r="CS978" s="76"/>
      <c r="CT978" s="76"/>
      <c r="CU978" s="56">
        <f>AN978+AP978+AR978+AT978+AV978+AX978+AZ978+BB978+BD978+BF978+BH978+BJ978+BL978+BN978+BP978+BR978+BT978+BV978+BX978+BZ978+CB978+CD978+CF978+CH978+CJ978+CL978+CN978+CP978+CR978+CT978</f>
        <v>0</v>
      </c>
      <c r="CV978" s="76"/>
      <c r="CW978" s="76">
        <f>+CV978*1100</f>
        <v>0</v>
      </c>
      <c r="CX978" s="76"/>
      <c r="CY978" s="76">
        <f>+CX978*106250</f>
        <v>0</v>
      </c>
      <c r="CZ978" s="76"/>
      <c r="DA978" s="76">
        <f>+CZ978*34500</f>
        <v>0</v>
      </c>
      <c r="DB978" s="76"/>
      <c r="DC978" s="76">
        <f>+DB978*25000</f>
        <v>0</v>
      </c>
      <c r="DD978" s="219"/>
      <c r="DE978" s="219"/>
      <c r="DF978" s="166"/>
      <c r="DG978" s="116"/>
      <c r="DH978" s="117"/>
      <c r="DI978" s="24"/>
      <c r="DJ978" s="24"/>
      <c r="DK978" s="24"/>
      <c r="DL978" s="24"/>
      <c r="DM978" s="24"/>
      <c r="DN978" s="24"/>
      <c r="DO978" s="24"/>
      <c r="DP978" s="24"/>
      <c r="DQ978" s="24"/>
      <c r="DR978" s="24"/>
      <c r="DS978" s="24"/>
      <c r="DT978" s="24"/>
      <c r="DU978" s="24"/>
    </row>
    <row r="979" spans="1:125" s="8" customFormat="1" ht="120" x14ac:dyDescent="0.2">
      <c r="A979" s="77">
        <v>41333</v>
      </c>
      <c r="B979" s="225" t="s">
        <v>2847</v>
      </c>
      <c r="C979" s="227" t="s">
        <v>1731</v>
      </c>
      <c r="D979" s="81" t="s">
        <v>2846</v>
      </c>
      <c r="E979" s="75" t="str">
        <f>VLOOKUP(B979&amp;C979,Divipola!$C$2:$F$1138,4,FALSE)</f>
        <v>68425</v>
      </c>
      <c r="F979" s="87"/>
      <c r="G979" s="87"/>
      <c r="H979" s="87"/>
      <c r="I979" s="87"/>
      <c r="J979" s="87"/>
      <c r="K979" s="87"/>
      <c r="L979" s="87"/>
      <c r="M979" s="87"/>
      <c r="N979" s="87"/>
      <c r="O979" s="87"/>
      <c r="P979" s="87"/>
      <c r="Q979" s="87"/>
      <c r="R979" s="87"/>
      <c r="S979" s="87"/>
      <c r="T979" s="87"/>
      <c r="U979" s="88">
        <v>25</v>
      </c>
      <c r="V979" s="89"/>
      <c r="W979" s="96">
        <v>0</v>
      </c>
      <c r="X979" s="71">
        <f>CU979</f>
        <v>0</v>
      </c>
      <c r="Y979" s="71">
        <f>CY979</f>
        <v>0</v>
      </c>
      <c r="Z979" s="71">
        <f>DA979+DC979+DE979</f>
        <v>0</v>
      </c>
      <c r="AA979" s="71">
        <f>CW979</f>
        <v>0</v>
      </c>
      <c r="AB979" s="71"/>
      <c r="AC979" s="71">
        <v>0</v>
      </c>
      <c r="AD979" s="71">
        <f>W979+X979+Y979+Z979+AA979+AB979+AC979</f>
        <v>0</v>
      </c>
      <c r="AE979" s="72">
        <v>0</v>
      </c>
      <c r="AF979" s="5"/>
      <c r="AG979" s="6"/>
      <c r="AH979" s="27" t="s">
        <v>3392</v>
      </c>
      <c r="AI979" s="44" t="s">
        <v>3393</v>
      </c>
      <c r="AJ979" s="26"/>
      <c r="AK979" s="5"/>
      <c r="AL979" s="82" t="s">
        <v>3705</v>
      </c>
      <c r="AM979" s="76"/>
      <c r="AN979" s="76"/>
      <c r="AO979" s="76"/>
      <c r="AP979" s="76"/>
      <c r="AQ979" s="76"/>
      <c r="AR979" s="76"/>
      <c r="AS979" s="76"/>
      <c r="AT979" s="76"/>
      <c r="AU979" s="76"/>
      <c r="AV979" s="76"/>
      <c r="AW979" s="76"/>
      <c r="AX979" s="76">
        <f>+AW979*600000</f>
        <v>0</v>
      </c>
      <c r="AY979" s="76"/>
      <c r="AZ979" s="76">
        <f>+AY979*70000</f>
        <v>0</v>
      </c>
      <c r="BA979" s="76"/>
      <c r="BB979" s="76"/>
      <c r="BC979" s="76"/>
      <c r="BD979" s="76">
        <f>+BC979*30000</f>
        <v>0</v>
      </c>
      <c r="BE979" s="76"/>
      <c r="BF979" s="76"/>
      <c r="BG979" s="76"/>
      <c r="BH979" s="76"/>
      <c r="BI979" s="76"/>
      <c r="BJ979" s="76"/>
      <c r="BK979" s="76"/>
      <c r="BL979" s="76">
        <f>+BK979*31500</f>
        <v>0</v>
      </c>
      <c r="BM979" s="76"/>
      <c r="BN979" s="76"/>
      <c r="BO979" s="76"/>
      <c r="BP979" s="76"/>
      <c r="BQ979" s="76"/>
      <c r="BR979" s="76"/>
      <c r="BS979" s="76"/>
      <c r="BT979" s="76"/>
      <c r="BU979" s="76"/>
      <c r="BV979" s="76"/>
      <c r="BW979" s="76"/>
      <c r="BX979" s="76"/>
      <c r="BY979" s="76"/>
      <c r="BZ979" s="76"/>
      <c r="CA979" s="76"/>
      <c r="CB979" s="76"/>
      <c r="CC979" s="76"/>
      <c r="CD979" s="76"/>
      <c r="CE979" s="76"/>
      <c r="CF979" s="76">
        <f>+CE979*28000</f>
        <v>0</v>
      </c>
      <c r="CG979" s="76"/>
      <c r="CH979" s="76">
        <f>+CG979*22500</f>
        <v>0</v>
      </c>
      <c r="CI979" s="76"/>
      <c r="CJ979" s="76">
        <f>+CI979*26000</f>
        <v>0</v>
      </c>
      <c r="CK979" s="76"/>
      <c r="CL979" s="76"/>
      <c r="CM979" s="76"/>
      <c r="CN979" s="76">
        <f>+CM979*22000</f>
        <v>0</v>
      </c>
      <c r="CO979" s="76"/>
      <c r="CP979" s="76">
        <f>+CO979*46000</f>
        <v>0</v>
      </c>
      <c r="CQ979" s="76"/>
      <c r="CR979" s="76">
        <f>+CQ979*49000</f>
        <v>0</v>
      </c>
      <c r="CS979" s="76"/>
      <c r="CT979" s="76"/>
      <c r="CU979" s="56">
        <f>AN979+AP979+AR979+AT979+AV979+AX979+AZ979+BB979+BD979+BF979+BH979+BJ979+BL979+BN979+BP979+BR979+BT979+BV979+BX979+BZ979+CB979+CD979+CF979+CH979+CJ979+CL979+CN979+CP979+CR979+CT979</f>
        <v>0</v>
      </c>
      <c r="CV979" s="76"/>
      <c r="CW979" s="76">
        <f>+CV979*1100</f>
        <v>0</v>
      </c>
      <c r="CX979" s="76"/>
      <c r="CY979" s="76">
        <f>+CX979*106250</f>
        <v>0</v>
      </c>
      <c r="CZ979" s="76"/>
      <c r="DA979" s="76">
        <f>+CZ979*34500</f>
        <v>0</v>
      </c>
      <c r="DB979" s="76"/>
      <c r="DC979" s="76">
        <f>+DB979*25000</f>
        <v>0</v>
      </c>
      <c r="DD979" s="219"/>
      <c r="DE979" s="219"/>
      <c r="DF979" s="166"/>
      <c r="DG979" s="116"/>
      <c r="DH979" s="117"/>
      <c r="DI979" s="24"/>
      <c r="DJ979" s="24"/>
      <c r="DK979" s="24"/>
      <c r="DL979" s="24"/>
      <c r="DM979" s="24"/>
      <c r="DN979" s="24"/>
      <c r="DO979" s="24"/>
      <c r="DP979" s="24"/>
      <c r="DQ979" s="24"/>
      <c r="DR979" s="24"/>
      <c r="DS979" s="24"/>
      <c r="DT979" s="24"/>
      <c r="DU979" s="24"/>
    </row>
    <row r="980" spans="1:125" s="8" customFormat="1" ht="36" x14ac:dyDescent="0.2">
      <c r="A980" s="77">
        <v>41333</v>
      </c>
      <c r="B980" s="78" t="s">
        <v>2848</v>
      </c>
      <c r="C980" s="75" t="s">
        <v>1915</v>
      </c>
      <c r="D980" s="84" t="s">
        <v>3088</v>
      </c>
      <c r="E980" s="75" t="str">
        <f>VLOOKUP(B980&amp;C980,Divipola!$C$2:$F$1138,4,FALSE)</f>
        <v>73686</v>
      </c>
      <c r="F980" s="87"/>
      <c r="G980" s="87"/>
      <c r="H980" s="87"/>
      <c r="I980" s="87"/>
      <c r="J980" s="87"/>
      <c r="K980" s="87"/>
      <c r="L980" s="87"/>
      <c r="M980" s="87"/>
      <c r="N980" s="87"/>
      <c r="O980" s="87">
        <v>1</v>
      </c>
      <c r="P980" s="87"/>
      <c r="Q980" s="87"/>
      <c r="R980" s="87"/>
      <c r="S980" s="87"/>
      <c r="T980" s="87"/>
      <c r="U980" s="88"/>
      <c r="V980" s="89"/>
      <c r="W980" s="96">
        <v>0</v>
      </c>
      <c r="X980" s="71">
        <f>CU980</f>
        <v>0</v>
      </c>
      <c r="Y980" s="71">
        <f>CY980</f>
        <v>0</v>
      </c>
      <c r="Z980" s="71">
        <f>DA980+DC980+DE980</f>
        <v>0</v>
      </c>
      <c r="AA980" s="71">
        <f>CW980</f>
        <v>0</v>
      </c>
      <c r="AB980" s="71"/>
      <c r="AC980" s="71">
        <v>0</v>
      </c>
      <c r="AD980" s="71">
        <f>W980+X980+Y980+Z980+AA980+AB980+AC980</f>
        <v>0</v>
      </c>
      <c r="AE980" s="72">
        <v>0</v>
      </c>
      <c r="AF980" s="5"/>
      <c r="AG980" s="6"/>
      <c r="AH980" s="27" t="s">
        <v>3392</v>
      </c>
      <c r="AI980" s="44" t="s">
        <v>3393</v>
      </c>
      <c r="AJ980" s="26"/>
      <c r="AK980" s="5"/>
      <c r="AL980" s="82" t="s">
        <v>3698</v>
      </c>
      <c r="AM980" s="76"/>
      <c r="AN980" s="76"/>
      <c r="AO980" s="76"/>
      <c r="AP980" s="76"/>
      <c r="AQ980" s="76"/>
      <c r="AR980" s="76"/>
      <c r="AS980" s="76"/>
      <c r="AT980" s="76"/>
      <c r="AU980" s="76"/>
      <c r="AV980" s="76"/>
      <c r="AW980" s="76"/>
      <c r="AX980" s="76">
        <f>+AW980*600000</f>
        <v>0</v>
      </c>
      <c r="AY980" s="76"/>
      <c r="AZ980" s="76">
        <f>+AY980*70000</f>
        <v>0</v>
      </c>
      <c r="BA980" s="76"/>
      <c r="BB980" s="76"/>
      <c r="BC980" s="76"/>
      <c r="BD980" s="76">
        <f>+BC980*30000</f>
        <v>0</v>
      </c>
      <c r="BE980" s="76"/>
      <c r="BF980" s="76"/>
      <c r="BG980" s="76"/>
      <c r="BH980" s="76"/>
      <c r="BI980" s="76"/>
      <c r="BJ980" s="76"/>
      <c r="BK980" s="76"/>
      <c r="BL980" s="76">
        <f>+BK980*31500</f>
        <v>0</v>
      </c>
      <c r="BM980" s="76"/>
      <c r="BN980" s="76"/>
      <c r="BO980" s="76"/>
      <c r="BP980" s="76"/>
      <c r="BQ980" s="76"/>
      <c r="BR980" s="76"/>
      <c r="BS980" s="76"/>
      <c r="BT980" s="76"/>
      <c r="BU980" s="76"/>
      <c r="BV980" s="76"/>
      <c r="BW980" s="76"/>
      <c r="BX980" s="76"/>
      <c r="BY980" s="76"/>
      <c r="BZ980" s="76"/>
      <c r="CA980" s="76"/>
      <c r="CB980" s="76"/>
      <c r="CC980" s="76"/>
      <c r="CD980" s="76"/>
      <c r="CE980" s="76"/>
      <c r="CF980" s="76">
        <f>+CE980*28000</f>
        <v>0</v>
      </c>
      <c r="CG980" s="76"/>
      <c r="CH980" s="76">
        <f>+CG980*22500</f>
        <v>0</v>
      </c>
      <c r="CI980" s="76"/>
      <c r="CJ980" s="76">
        <f>+CI980*26000</f>
        <v>0</v>
      </c>
      <c r="CK980" s="76"/>
      <c r="CL980" s="76"/>
      <c r="CM980" s="76"/>
      <c r="CN980" s="76">
        <f>+CM980*22000</f>
        <v>0</v>
      </c>
      <c r="CO980" s="76"/>
      <c r="CP980" s="76">
        <f>+CO980*46000</f>
        <v>0</v>
      </c>
      <c r="CQ980" s="76"/>
      <c r="CR980" s="76">
        <f>+CQ980*49000</f>
        <v>0</v>
      </c>
      <c r="CS980" s="76"/>
      <c r="CT980" s="76"/>
      <c r="CU980" s="56">
        <f>AN980+AP980+AR980+AT980+AV980+AX980+AZ980+BB980+BD980+BF980+BH980+BJ980+BL980+BN980+BP980+BR980+BT980+BV980+BX980+BZ980+CB980+CD980+CF980+CH980+CJ980+CL980+CN980+CP980+CR980+CT980</f>
        <v>0</v>
      </c>
      <c r="CV980" s="76"/>
      <c r="CW980" s="76">
        <f>+CV980*1100</f>
        <v>0</v>
      </c>
      <c r="CX980" s="76"/>
      <c r="CY980" s="76">
        <f>+CX980*106250</f>
        <v>0</v>
      </c>
      <c r="CZ980" s="76"/>
      <c r="DA980" s="76">
        <f>+CZ980*34500</f>
        <v>0</v>
      </c>
      <c r="DB980" s="76"/>
      <c r="DC980" s="76">
        <f>+DB980*25000</f>
        <v>0</v>
      </c>
      <c r="DD980" s="219"/>
      <c r="DE980" s="219"/>
      <c r="DF980" s="166"/>
      <c r="DG980" s="116"/>
      <c r="DH980" s="117"/>
      <c r="DI980" s="24"/>
      <c r="DJ980" s="24"/>
      <c r="DK980" s="24"/>
      <c r="DL980" s="24"/>
      <c r="DM980" s="24"/>
      <c r="DN980" s="24"/>
      <c r="DO980" s="24"/>
      <c r="DP980" s="24"/>
      <c r="DQ980" s="24"/>
      <c r="DR980" s="24"/>
      <c r="DS980" s="24"/>
      <c r="DT980" s="24"/>
      <c r="DU980" s="24"/>
    </row>
    <row r="981" spans="1:125" s="8" customFormat="1" ht="48" x14ac:dyDescent="0.2">
      <c r="A981" s="77">
        <v>41334</v>
      </c>
      <c r="B981" s="225" t="s">
        <v>2881</v>
      </c>
      <c r="C981" s="227" t="s">
        <v>490</v>
      </c>
      <c r="D981" s="227" t="s">
        <v>2882</v>
      </c>
      <c r="E981" s="75" t="str">
        <f>VLOOKUP(B981&amp;C981,Divipola!$C$2:$F$1138,4,FALSE)</f>
        <v>08606</v>
      </c>
      <c r="F981" s="87"/>
      <c r="G981" s="87">
        <v>1</v>
      </c>
      <c r="H981" s="87"/>
      <c r="I981" s="87">
        <v>230</v>
      </c>
      <c r="J981" s="87">
        <v>46</v>
      </c>
      <c r="K981" s="87"/>
      <c r="L981" s="87">
        <v>46</v>
      </c>
      <c r="M981" s="87"/>
      <c r="N981" s="87"/>
      <c r="O981" s="87"/>
      <c r="P981" s="87"/>
      <c r="Q981" s="87"/>
      <c r="R981" s="87"/>
      <c r="S981" s="87"/>
      <c r="T981" s="87"/>
      <c r="U981" s="88"/>
      <c r="V981" s="89"/>
      <c r="W981" s="96">
        <v>0</v>
      </c>
      <c r="X981" s="71">
        <f>CU981</f>
        <v>0</v>
      </c>
      <c r="Y981" s="71">
        <f>CY981</f>
        <v>0</v>
      </c>
      <c r="Z981" s="71">
        <f>DA981+DC981+DE981</f>
        <v>0</v>
      </c>
      <c r="AA981" s="71">
        <f>CW981</f>
        <v>0</v>
      </c>
      <c r="AB981" s="71"/>
      <c r="AC981" s="71">
        <v>0</v>
      </c>
      <c r="AD981" s="71">
        <f>W981+X981+Y981+Z981+AA981+AB981+AC981</f>
        <v>0</v>
      </c>
      <c r="AE981" s="72">
        <v>0</v>
      </c>
      <c r="AF981" s="5"/>
      <c r="AG981" s="6"/>
      <c r="AH981" s="27" t="s">
        <v>3392</v>
      </c>
      <c r="AI981" s="44" t="s">
        <v>3393</v>
      </c>
      <c r="AJ981" s="26"/>
      <c r="AK981" s="5"/>
      <c r="AL981" s="82" t="s">
        <v>3711</v>
      </c>
      <c r="AM981" s="76"/>
      <c r="AN981" s="76"/>
      <c r="AO981" s="76"/>
      <c r="AP981" s="76"/>
      <c r="AQ981" s="76"/>
      <c r="AR981" s="76"/>
      <c r="AS981" s="76"/>
      <c r="AT981" s="76"/>
      <c r="AU981" s="76"/>
      <c r="AV981" s="76"/>
      <c r="AW981" s="76"/>
      <c r="AX981" s="76">
        <f>+AW981*600000</f>
        <v>0</v>
      </c>
      <c r="AY981" s="76"/>
      <c r="AZ981" s="76">
        <f>+AY981*70000</f>
        <v>0</v>
      </c>
      <c r="BA981" s="76"/>
      <c r="BB981" s="76"/>
      <c r="BC981" s="76"/>
      <c r="BD981" s="76">
        <f>+BC981*30000</f>
        <v>0</v>
      </c>
      <c r="BE981" s="76"/>
      <c r="BF981" s="76"/>
      <c r="BG981" s="76"/>
      <c r="BH981" s="76"/>
      <c r="BI981" s="76"/>
      <c r="BJ981" s="76"/>
      <c r="BK981" s="76"/>
      <c r="BL981" s="76">
        <f>+BK981*31500</f>
        <v>0</v>
      </c>
      <c r="BM981" s="76"/>
      <c r="BN981" s="76"/>
      <c r="BO981" s="76"/>
      <c r="BP981" s="76"/>
      <c r="BQ981" s="76"/>
      <c r="BR981" s="76"/>
      <c r="BS981" s="76"/>
      <c r="BT981" s="76"/>
      <c r="BU981" s="76"/>
      <c r="BV981" s="76"/>
      <c r="BW981" s="76"/>
      <c r="BX981" s="76"/>
      <c r="BY981" s="76"/>
      <c r="BZ981" s="76"/>
      <c r="CA981" s="76"/>
      <c r="CB981" s="76"/>
      <c r="CC981" s="76"/>
      <c r="CD981" s="76"/>
      <c r="CE981" s="76"/>
      <c r="CF981" s="76">
        <f>+CE981*28000</f>
        <v>0</v>
      </c>
      <c r="CG981" s="76"/>
      <c r="CH981" s="76">
        <f>+CG981*22500</f>
        <v>0</v>
      </c>
      <c r="CI981" s="76"/>
      <c r="CJ981" s="76">
        <f>+CI981*26000</f>
        <v>0</v>
      </c>
      <c r="CK981" s="76"/>
      <c r="CL981" s="76"/>
      <c r="CM981" s="76"/>
      <c r="CN981" s="76">
        <f>+CM981*22000</f>
        <v>0</v>
      </c>
      <c r="CO981" s="76"/>
      <c r="CP981" s="76">
        <f>+CO981*46000</f>
        <v>0</v>
      </c>
      <c r="CQ981" s="76"/>
      <c r="CR981" s="76">
        <f>+CQ981*49000</f>
        <v>0</v>
      </c>
      <c r="CS981" s="76"/>
      <c r="CT981" s="76"/>
      <c r="CU981" s="56">
        <f>AN981+AP981+AR981+AT981+AV981+AX981+AZ981+BB981+BD981+BF981+BH981+BJ981+BL981+BN981+BP981+BR981+BT981+BV981+BX981+BZ981+CB981+CD981+CF981+CH981+CJ981+CL981+CN981+CP981+CR981+CT981</f>
        <v>0</v>
      </c>
      <c r="CV981" s="76"/>
      <c r="CW981" s="76">
        <f>+CV981*1100</f>
        <v>0</v>
      </c>
      <c r="CX981" s="76"/>
      <c r="CY981" s="76">
        <f>+CX981*106250</f>
        <v>0</v>
      </c>
      <c r="CZ981" s="76"/>
      <c r="DA981" s="76">
        <f>+CZ981*34500</f>
        <v>0</v>
      </c>
      <c r="DB981" s="76"/>
      <c r="DC981" s="76">
        <f>+DB981*25000</f>
        <v>0</v>
      </c>
      <c r="DD981" s="219"/>
      <c r="DE981" s="219"/>
      <c r="DF981" s="166"/>
      <c r="DG981" s="116"/>
      <c r="DH981" s="117"/>
      <c r="DI981" s="24"/>
      <c r="DJ981" s="24"/>
      <c r="DK981" s="24"/>
      <c r="DL981" s="24"/>
      <c r="DM981" s="24"/>
      <c r="DN981" s="24"/>
      <c r="DO981" s="24"/>
      <c r="DP981" s="24"/>
      <c r="DQ981" s="24"/>
      <c r="DR981" s="24"/>
      <c r="DS981" s="24"/>
      <c r="DT981" s="24"/>
      <c r="DU981" s="24"/>
    </row>
    <row r="982" spans="1:125" s="8" customFormat="1" ht="60" x14ac:dyDescent="0.2">
      <c r="A982" s="77">
        <v>41334</v>
      </c>
      <c r="B982" s="225" t="s">
        <v>2700</v>
      </c>
      <c r="C982" s="227" t="s">
        <v>666</v>
      </c>
      <c r="D982" s="227" t="s">
        <v>2936</v>
      </c>
      <c r="E982" s="75" t="str">
        <f>VLOOKUP(B982&amp;C982,Divipola!$C$2:$F$1138,4,FALSE)</f>
        <v>15755</v>
      </c>
      <c r="F982" s="87">
        <v>1</v>
      </c>
      <c r="G982" s="87"/>
      <c r="H982" s="87"/>
      <c r="I982" s="87"/>
      <c r="J982" s="87"/>
      <c r="K982" s="87"/>
      <c r="L982" s="87"/>
      <c r="M982" s="87"/>
      <c r="N982" s="87"/>
      <c r="O982" s="87"/>
      <c r="P982" s="87"/>
      <c r="Q982" s="87"/>
      <c r="R982" s="87"/>
      <c r="S982" s="87"/>
      <c r="T982" s="87"/>
      <c r="U982" s="88"/>
      <c r="V982" s="89"/>
      <c r="W982" s="96">
        <v>0</v>
      </c>
      <c r="X982" s="71">
        <f>CU982</f>
        <v>0</v>
      </c>
      <c r="Y982" s="71">
        <f>CY982</f>
        <v>0</v>
      </c>
      <c r="Z982" s="71">
        <f>DA982+DC982+DE982</f>
        <v>0</v>
      </c>
      <c r="AA982" s="71">
        <f>CW982</f>
        <v>0</v>
      </c>
      <c r="AB982" s="71"/>
      <c r="AC982" s="71">
        <v>0</v>
      </c>
      <c r="AD982" s="71">
        <f>W982+X982+Y982+Z982+AA982+AB982+AC982</f>
        <v>0</v>
      </c>
      <c r="AE982" s="72">
        <v>0</v>
      </c>
      <c r="AF982" s="5"/>
      <c r="AG982" s="6"/>
      <c r="AH982" s="27" t="s">
        <v>3392</v>
      </c>
      <c r="AI982" s="44" t="s">
        <v>3393</v>
      </c>
      <c r="AJ982" s="26"/>
      <c r="AK982" s="5"/>
      <c r="AL982" s="82" t="s">
        <v>3709</v>
      </c>
      <c r="AM982" s="76"/>
      <c r="AN982" s="76"/>
      <c r="AO982" s="76"/>
      <c r="AP982" s="76"/>
      <c r="AQ982" s="76"/>
      <c r="AR982" s="76"/>
      <c r="AS982" s="76"/>
      <c r="AT982" s="76"/>
      <c r="AU982" s="76"/>
      <c r="AV982" s="76"/>
      <c r="AW982" s="76"/>
      <c r="AX982" s="76">
        <f>+AW982*600000</f>
        <v>0</v>
      </c>
      <c r="AY982" s="76"/>
      <c r="AZ982" s="76">
        <f>+AY982*70000</f>
        <v>0</v>
      </c>
      <c r="BA982" s="76"/>
      <c r="BB982" s="76"/>
      <c r="BC982" s="76"/>
      <c r="BD982" s="76">
        <f>+BC982*30000</f>
        <v>0</v>
      </c>
      <c r="BE982" s="76"/>
      <c r="BF982" s="76"/>
      <c r="BG982" s="76"/>
      <c r="BH982" s="76"/>
      <c r="BI982" s="76"/>
      <c r="BJ982" s="76"/>
      <c r="BK982" s="76"/>
      <c r="BL982" s="76">
        <f>+BK982*31500</f>
        <v>0</v>
      </c>
      <c r="BM982" s="76"/>
      <c r="BN982" s="76"/>
      <c r="BO982" s="76"/>
      <c r="BP982" s="76"/>
      <c r="BQ982" s="76"/>
      <c r="BR982" s="76"/>
      <c r="BS982" s="76"/>
      <c r="BT982" s="76"/>
      <c r="BU982" s="76"/>
      <c r="BV982" s="76"/>
      <c r="BW982" s="76"/>
      <c r="BX982" s="76"/>
      <c r="BY982" s="76"/>
      <c r="BZ982" s="76"/>
      <c r="CA982" s="76"/>
      <c r="CB982" s="76"/>
      <c r="CC982" s="76"/>
      <c r="CD982" s="76"/>
      <c r="CE982" s="76"/>
      <c r="CF982" s="76">
        <f>+CE982*28000</f>
        <v>0</v>
      </c>
      <c r="CG982" s="76"/>
      <c r="CH982" s="76">
        <f>+CG982*22500</f>
        <v>0</v>
      </c>
      <c r="CI982" s="76"/>
      <c r="CJ982" s="76">
        <f>+CI982*26000</f>
        <v>0</v>
      </c>
      <c r="CK982" s="76"/>
      <c r="CL982" s="76"/>
      <c r="CM982" s="76"/>
      <c r="CN982" s="76">
        <f>+CM982*22000</f>
        <v>0</v>
      </c>
      <c r="CO982" s="76"/>
      <c r="CP982" s="76">
        <f>+CO982*46000</f>
        <v>0</v>
      </c>
      <c r="CQ982" s="76"/>
      <c r="CR982" s="76">
        <f>+CQ982*49000</f>
        <v>0</v>
      </c>
      <c r="CS982" s="76"/>
      <c r="CT982" s="76"/>
      <c r="CU982" s="56">
        <f>AN982+AP982+AR982+AT982+AV982+AX982+AZ982+BB982+BD982+BF982+BH982+BJ982+BL982+BN982+BP982+BR982+BT982+BV982+BX982+BZ982+CB982+CD982+CF982+CH982+CJ982+CL982+CN982+CP982+CR982+CT982</f>
        <v>0</v>
      </c>
      <c r="CV982" s="76"/>
      <c r="CW982" s="76">
        <f>+CV982*1100</f>
        <v>0</v>
      </c>
      <c r="CX982" s="76"/>
      <c r="CY982" s="76">
        <f>+CX982*106250</f>
        <v>0</v>
      </c>
      <c r="CZ982" s="76"/>
      <c r="DA982" s="76">
        <f>+CZ982*34500</f>
        <v>0</v>
      </c>
      <c r="DB982" s="76"/>
      <c r="DC982" s="76">
        <f>+DB982*25000</f>
        <v>0</v>
      </c>
      <c r="DD982" s="219"/>
      <c r="DE982" s="219"/>
      <c r="DF982" s="166"/>
      <c r="DG982" s="116"/>
      <c r="DH982" s="117"/>
      <c r="DI982" s="24"/>
      <c r="DJ982" s="24"/>
      <c r="DK982" s="24"/>
      <c r="DL982" s="24"/>
      <c r="DM982" s="24"/>
      <c r="DN982" s="24"/>
      <c r="DO982" s="24"/>
      <c r="DP982" s="24"/>
      <c r="DQ982" s="24"/>
      <c r="DR982" s="24"/>
      <c r="DS982" s="24"/>
      <c r="DT982" s="24"/>
      <c r="DU982" s="24"/>
    </row>
    <row r="983" spans="1:125" s="8" customFormat="1" ht="72" x14ac:dyDescent="0.2">
      <c r="A983" s="77">
        <v>41334</v>
      </c>
      <c r="B983" s="78" t="s">
        <v>2778</v>
      </c>
      <c r="C983" s="75" t="s">
        <v>2129</v>
      </c>
      <c r="D983" s="81" t="s">
        <v>2846</v>
      </c>
      <c r="E983" s="75" t="str">
        <f>VLOOKUP(B983&amp;C983,Divipola!$C$2:$F$1138,4,FALSE)</f>
        <v>85225</v>
      </c>
      <c r="F983" s="87"/>
      <c r="G983" s="87"/>
      <c r="H983" s="87"/>
      <c r="I983" s="87"/>
      <c r="J983" s="87"/>
      <c r="K983" s="87"/>
      <c r="L983" s="87"/>
      <c r="M983" s="87"/>
      <c r="N983" s="87"/>
      <c r="O983" s="87"/>
      <c r="P983" s="87"/>
      <c r="Q983" s="87"/>
      <c r="R983" s="87"/>
      <c r="S983" s="87"/>
      <c r="T983" s="179" t="s">
        <v>3816</v>
      </c>
      <c r="U983" s="180">
        <v>30</v>
      </c>
      <c r="V983" s="155"/>
      <c r="W983" s="96">
        <v>0</v>
      </c>
      <c r="X983" s="71">
        <f>CU983</f>
        <v>0</v>
      </c>
      <c r="Y983" s="71">
        <f>CY983</f>
        <v>0</v>
      </c>
      <c r="Z983" s="71">
        <f>DA983+DC983+DE983</f>
        <v>0</v>
      </c>
      <c r="AA983" s="71">
        <f>CW983</f>
        <v>0</v>
      </c>
      <c r="AB983" s="71"/>
      <c r="AC983" s="71">
        <v>0</v>
      </c>
      <c r="AD983" s="71">
        <f>W983+X983+Y983+Z983+AA983+AB983+AC983</f>
        <v>0</v>
      </c>
      <c r="AE983" s="72">
        <v>0</v>
      </c>
      <c r="AF983" s="5"/>
      <c r="AG983" s="6"/>
      <c r="AH983" s="27" t="s">
        <v>3392</v>
      </c>
      <c r="AI983" s="44" t="s">
        <v>3393</v>
      </c>
      <c r="AJ983" s="26"/>
      <c r="AK983" s="5"/>
      <c r="AL983" s="82" t="s">
        <v>3818</v>
      </c>
      <c r="AM983" s="76"/>
      <c r="AN983" s="76"/>
      <c r="AO983" s="76"/>
      <c r="AP983" s="76"/>
      <c r="AQ983" s="76"/>
      <c r="AR983" s="76"/>
      <c r="AS983" s="76"/>
      <c r="AT983" s="76"/>
      <c r="AU983" s="76"/>
      <c r="AV983" s="76"/>
      <c r="AW983" s="76"/>
      <c r="AX983" s="76">
        <f>+AW983*600000</f>
        <v>0</v>
      </c>
      <c r="AY983" s="76"/>
      <c r="AZ983" s="76">
        <f>+AY983*70000</f>
        <v>0</v>
      </c>
      <c r="BA983" s="76"/>
      <c r="BB983" s="76"/>
      <c r="BC983" s="76"/>
      <c r="BD983" s="76">
        <f>+BC983*30000</f>
        <v>0</v>
      </c>
      <c r="BE983" s="76"/>
      <c r="BF983" s="76"/>
      <c r="BG983" s="76"/>
      <c r="BH983" s="76"/>
      <c r="BI983" s="76"/>
      <c r="BJ983" s="76"/>
      <c r="BK983" s="76"/>
      <c r="BL983" s="76">
        <f>+BK983*31500</f>
        <v>0</v>
      </c>
      <c r="BM983" s="76"/>
      <c r="BN983" s="76"/>
      <c r="BO983" s="76"/>
      <c r="BP983" s="76"/>
      <c r="BQ983" s="76"/>
      <c r="BR983" s="76"/>
      <c r="BS983" s="76"/>
      <c r="BT983" s="76"/>
      <c r="BU983" s="76"/>
      <c r="BV983" s="76"/>
      <c r="BW983" s="76"/>
      <c r="BX983" s="76"/>
      <c r="BY983" s="76"/>
      <c r="BZ983" s="76"/>
      <c r="CA983" s="76"/>
      <c r="CB983" s="76"/>
      <c r="CC983" s="76"/>
      <c r="CD983" s="76"/>
      <c r="CE983" s="76"/>
      <c r="CF983" s="76">
        <f>+CE983*28000</f>
        <v>0</v>
      </c>
      <c r="CG983" s="76"/>
      <c r="CH983" s="76">
        <f>+CG983*22500</f>
        <v>0</v>
      </c>
      <c r="CI983" s="76"/>
      <c r="CJ983" s="76">
        <f>+CI983*26000</f>
        <v>0</v>
      </c>
      <c r="CK983" s="76"/>
      <c r="CL983" s="76"/>
      <c r="CM983" s="76"/>
      <c r="CN983" s="76">
        <f>+CM983*22000</f>
        <v>0</v>
      </c>
      <c r="CO983" s="76"/>
      <c r="CP983" s="76">
        <f>+CO983*46000</f>
        <v>0</v>
      </c>
      <c r="CQ983" s="76"/>
      <c r="CR983" s="76">
        <f>+CQ983*49000</f>
        <v>0</v>
      </c>
      <c r="CS983" s="76"/>
      <c r="CT983" s="76"/>
      <c r="CU983" s="56">
        <f>AN983+AP983+AR983+AT983+AV983+AX983+AZ983+BB983+BD983+BF983+BH983+BJ983+BL983+BN983+BP983+BR983+BT983+BV983+BX983+BZ983+CB983+CD983+CF983+CH983+CJ983+CL983+CN983+CP983+CR983+CT983</f>
        <v>0</v>
      </c>
      <c r="CV983" s="76"/>
      <c r="CW983" s="76">
        <f>+CV983*1100</f>
        <v>0</v>
      </c>
      <c r="CX983" s="76"/>
      <c r="CY983" s="76">
        <f>+CX983*106250</f>
        <v>0</v>
      </c>
      <c r="CZ983" s="76"/>
      <c r="DA983" s="76">
        <f>+CZ983*34500</f>
        <v>0</v>
      </c>
      <c r="DB983" s="76"/>
      <c r="DC983" s="76">
        <f>+DB983*25000</f>
        <v>0</v>
      </c>
      <c r="DD983" s="219"/>
      <c r="DE983" s="219"/>
      <c r="DF983" s="166"/>
      <c r="DG983" s="116"/>
      <c r="DH983" s="117"/>
      <c r="DI983" s="24"/>
      <c r="DJ983" s="24"/>
      <c r="DK983" s="24"/>
      <c r="DL983" s="24"/>
      <c r="DM983" s="24"/>
      <c r="DN983" s="24"/>
      <c r="DO983" s="24"/>
      <c r="DP983" s="24"/>
      <c r="DQ983" s="24"/>
      <c r="DR983" s="24"/>
      <c r="DS983" s="24"/>
      <c r="DT983" s="24"/>
      <c r="DU983" s="24"/>
    </row>
    <row r="984" spans="1:125" s="8" customFormat="1" ht="48" x14ac:dyDescent="0.2">
      <c r="A984" s="77">
        <v>41334</v>
      </c>
      <c r="B984" s="78" t="s">
        <v>2778</v>
      </c>
      <c r="C984" s="75" t="s">
        <v>2758</v>
      </c>
      <c r="D984" s="81" t="s">
        <v>2846</v>
      </c>
      <c r="E984" s="75" t="str">
        <f>VLOOKUP(B984&amp;C984,Divipola!$C$2:$F$1138,4,FALSE)</f>
        <v>85440</v>
      </c>
      <c r="F984" s="87"/>
      <c r="G984" s="87"/>
      <c r="H984" s="87"/>
      <c r="I984" s="87"/>
      <c r="J984" s="87"/>
      <c r="K984" s="87"/>
      <c r="L984" s="87"/>
      <c r="M984" s="87"/>
      <c r="N984" s="87"/>
      <c r="O984" s="87"/>
      <c r="P984" s="87"/>
      <c r="Q984" s="87"/>
      <c r="R984" s="87"/>
      <c r="S984" s="87"/>
      <c r="T984" s="88"/>
      <c r="U984" s="180">
        <v>8</v>
      </c>
      <c r="V984" s="155"/>
      <c r="W984" s="96">
        <v>0</v>
      </c>
      <c r="X984" s="71">
        <f>CU984</f>
        <v>0</v>
      </c>
      <c r="Y984" s="71">
        <f>CY984</f>
        <v>0</v>
      </c>
      <c r="Z984" s="71">
        <f>DA984+DC984+DE984</f>
        <v>0</v>
      </c>
      <c r="AA984" s="71">
        <f>CW984</f>
        <v>0</v>
      </c>
      <c r="AB984" s="71"/>
      <c r="AC984" s="71">
        <v>0</v>
      </c>
      <c r="AD984" s="71">
        <f>W984+X984+Y984+Z984+AA984+AB984+AC984</f>
        <v>0</v>
      </c>
      <c r="AE984" s="72">
        <v>0</v>
      </c>
      <c r="AF984" s="5"/>
      <c r="AG984" s="6"/>
      <c r="AH984" s="27" t="s">
        <v>3392</v>
      </c>
      <c r="AI984" s="44" t="s">
        <v>3393</v>
      </c>
      <c r="AJ984" s="26"/>
      <c r="AK984" s="5"/>
      <c r="AL984" s="82" t="s">
        <v>3826</v>
      </c>
      <c r="AM984" s="76"/>
      <c r="AN984" s="76"/>
      <c r="AO984" s="76"/>
      <c r="AP984" s="76"/>
      <c r="AQ984" s="76"/>
      <c r="AR984" s="76"/>
      <c r="AS984" s="76"/>
      <c r="AT984" s="76"/>
      <c r="AU984" s="76"/>
      <c r="AV984" s="76"/>
      <c r="AW984" s="76"/>
      <c r="AX984" s="76">
        <f>+AW984*600000</f>
        <v>0</v>
      </c>
      <c r="AY984" s="76"/>
      <c r="AZ984" s="76">
        <f>+AY984*70000</f>
        <v>0</v>
      </c>
      <c r="BA984" s="76"/>
      <c r="BB984" s="76"/>
      <c r="BC984" s="76"/>
      <c r="BD984" s="76">
        <f>+BC984*30000</f>
        <v>0</v>
      </c>
      <c r="BE984" s="76"/>
      <c r="BF984" s="76"/>
      <c r="BG984" s="76"/>
      <c r="BH984" s="76"/>
      <c r="BI984" s="76"/>
      <c r="BJ984" s="76"/>
      <c r="BK984" s="76"/>
      <c r="BL984" s="76">
        <f>+BK984*31500</f>
        <v>0</v>
      </c>
      <c r="BM984" s="76"/>
      <c r="BN984" s="76"/>
      <c r="BO984" s="76"/>
      <c r="BP984" s="76"/>
      <c r="BQ984" s="76"/>
      <c r="BR984" s="76"/>
      <c r="BS984" s="76"/>
      <c r="BT984" s="76"/>
      <c r="BU984" s="76"/>
      <c r="BV984" s="76"/>
      <c r="BW984" s="76"/>
      <c r="BX984" s="76"/>
      <c r="BY984" s="76"/>
      <c r="BZ984" s="76"/>
      <c r="CA984" s="76"/>
      <c r="CB984" s="76"/>
      <c r="CC984" s="76"/>
      <c r="CD984" s="76"/>
      <c r="CE984" s="76"/>
      <c r="CF984" s="76">
        <f>+CE984*28000</f>
        <v>0</v>
      </c>
      <c r="CG984" s="76"/>
      <c r="CH984" s="76">
        <f>+CG984*22500</f>
        <v>0</v>
      </c>
      <c r="CI984" s="76"/>
      <c r="CJ984" s="76">
        <f>+CI984*26000</f>
        <v>0</v>
      </c>
      <c r="CK984" s="76"/>
      <c r="CL984" s="76"/>
      <c r="CM984" s="76"/>
      <c r="CN984" s="76">
        <f>+CM984*22000</f>
        <v>0</v>
      </c>
      <c r="CO984" s="76"/>
      <c r="CP984" s="76">
        <f>+CO984*46000</f>
        <v>0</v>
      </c>
      <c r="CQ984" s="76"/>
      <c r="CR984" s="76">
        <f>+CQ984*49000</f>
        <v>0</v>
      </c>
      <c r="CS984" s="76"/>
      <c r="CT984" s="76"/>
      <c r="CU984" s="56">
        <f>AN984+AP984+AR984+AT984+AV984+AX984+AZ984+BB984+BD984+BF984+BH984+BJ984+BL984+BN984+BP984+BR984+BT984+BV984+BX984+BZ984+CB984+CD984+CF984+CH984+CJ984+CL984+CN984+CP984+CR984+CT984</f>
        <v>0</v>
      </c>
      <c r="CV984" s="76"/>
      <c r="CW984" s="76">
        <f>+CV984*1100</f>
        <v>0</v>
      </c>
      <c r="CX984" s="76"/>
      <c r="CY984" s="76">
        <f>+CX984*106250</f>
        <v>0</v>
      </c>
      <c r="CZ984" s="76"/>
      <c r="DA984" s="76">
        <f>+CZ984*34500</f>
        <v>0</v>
      </c>
      <c r="DB984" s="76"/>
      <c r="DC984" s="76">
        <f>+DB984*25000</f>
        <v>0</v>
      </c>
      <c r="DD984" s="219"/>
      <c r="DE984" s="219"/>
      <c r="DF984" s="166"/>
      <c r="DG984" s="116"/>
      <c r="DH984" s="117"/>
      <c r="DI984" s="24"/>
      <c r="DJ984" s="24"/>
      <c r="DK984" s="24"/>
      <c r="DL984" s="24"/>
      <c r="DM984" s="24"/>
      <c r="DN984" s="24"/>
      <c r="DO984" s="24"/>
      <c r="DP984" s="24"/>
      <c r="DQ984" s="24"/>
      <c r="DR984" s="24"/>
      <c r="DS984" s="24"/>
      <c r="DT984" s="24"/>
      <c r="DU984" s="24"/>
    </row>
    <row r="985" spans="1:125" s="8" customFormat="1" ht="36" x14ac:dyDescent="0.2">
      <c r="A985" s="77">
        <v>41334</v>
      </c>
      <c r="B985" s="78" t="s">
        <v>2852</v>
      </c>
      <c r="C985" s="75" t="s">
        <v>2149</v>
      </c>
      <c r="D985" s="75" t="s">
        <v>2859</v>
      </c>
      <c r="E985" s="75" t="str">
        <f>VLOOKUP(B985&amp;C985,Divipola!$C$2:$F$1138,4,FALSE)</f>
        <v>27050</v>
      </c>
      <c r="F985" s="87"/>
      <c r="G985" s="87"/>
      <c r="H985" s="87"/>
      <c r="I985" s="87">
        <v>5</v>
      </c>
      <c r="J985" s="87">
        <v>1</v>
      </c>
      <c r="K985" s="87">
        <v>1</v>
      </c>
      <c r="L985" s="87"/>
      <c r="M985" s="87"/>
      <c r="N985" s="87"/>
      <c r="O985" s="87"/>
      <c r="P985" s="87"/>
      <c r="Q985" s="87"/>
      <c r="R985" s="87"/>
      <c r="S985" s="87"/>
      <c r="T985" s="87"/>
      <c r="U985" s="88"/>
      <c r="V985" s="89"/>
      <c r="W985" s="96">
        <v>0</v>
      </c>
      <c r="X985" s="71">
        <f>CU985</f>
        <v>0</v>
      </c>
      <c r="Y985" s="71">
        <f>CY985</f>
        <v>0</v>
      </c>
      <c r="Z985" s="71">
        <f>DA985+DC985+DE985</f>
        <v>0</v>
      </c>
      <c r="AA985" s="71">
        <f>CW985</f>
        <v>0</v>
      </c>
      <c r="AB985" s="71"/>
      <c r="AC985" s="71">
        <v>0</v>
      </c>
      <c r="AD985" s="71">
        <f>W985+X985+Y985+Z985+AA985+AB985+AC985</f>
        <v>0</v>
      </c>
      <c r="AE985" s="72">
        <v>0</v>
      </c>
      <c r="AF985" s="5"/>
      <c r="AG985" s="6"/>
      <c r="AH985" s="27" t="s">
        <v>3392</v>
      </c>
      <c r="AI985" s="44" t="s">
        <v>3393</v>
      </c>
      <c r="AJ985" s="26"/>
      <c r="AK985" s="5"/>
      <c r="AL985" s="82" t="s">
        <v>3708</v>
      </c>
      <c r="AM985" s="76"/>
      <c r="AN985" s="76"/>
      <c r="AO985" s="76"/>
      <c r="AP985" s="76"/>
      <c r="AQ985" s="76"/>
      <c r="AR985" s="76"/>
      <c r="AS985" s="76"/>
      <c r="AT985" s="76"/>
      <c r="AU985" s="76"/>
      <c r="AV985" s="76"/>
      <c r="AW985" s="76"/>
      <c r="AX985" s="76">
        <f>+AW985*600000</f>
        <v>0</v>
      </c>
      <c r="AY985" s="76"/>
      <c r="AZ985" s="76">
        <f>+AY985*70000</f>
        <v>0</v>
      </c>
      <c r="BA985" s="76"/>
      <c r="BB985" s="76"/>
      <c r="BC985" s="76"/>
      <c r="BD985" s="76">
        <f>+BC985*30000</f>
        <v>0</v>
      </c>
      <c r="BE985" s="76"/>
      <c r="BF985" s="76"/>
      <c r="BG985" s="76"/>
      <c r="BH985" s="76"/>
      <c r="BI985" s="76"/>
      <c r="BJ985" s="76"/>
      <c r="BK985" s="76"/>
      <c r="BL985" s="76">
        <f>+BK985*31500</f>
        <v>0</v>
      </c>
      <c r="BM985" s="76"/>
      <c r="BN985" s="76"/>
      <c r="BO985" s="76"/>
      <c r="BP985" s="76"/>
      <c r="BQ985" s="76"/>
      <c r="BR985" s="76"/>
      <c r="BS985" s="76"/>
      <c r="BT985" s="76"/>
      <c r="BU985" s="76"/>
      <c r="BV985" s="76"/>
      <c r="BW985" s="76"/>
      <c r="BX985" s="76"/>
      <c r="BY985" s="76"/>
      <c r="BZ985" s="76"/>
      <c r="CA985" s="76"/>
      <c r="CB985" s="76"/>
      <c r="CC985" s="76"/>
      <c r="CD985" s="76"/>
      <c r="CE985" s="76"/>
      <c r="CF985" s="76">
        <f>+CE985*28000</f>
        <v>0</v>
      </c>
      <c r="CG985" s="76"/>
      <c r="CH985" s="76">
        <f>+CG985*22500</f>
        <v>0</v>
      </c>
      <c r="CI985" s="76"/>
      <c r="CJ985" s="76">
        <f>+CI985*26000</f>
        <v>0</v>
      </c>
      <c r="CK985" s="76"/>
      <c r="CL985" s="76"/>
      <c r="CM985" s="76"/>
      <c r="CN985" s="76">
        <f>+CM985*22000</f>
        <v>0</v>
      </c>
      <c r="CO985" s="76"/>
      <c r="CP985" s="76">
        <f>+CO985*46000</f>
        <v>0</v>
      </c>
      <c r="CQ985" s="76"/>
      <c r="CR985" s="76">
        <f>+CQ985*49000</f>
        <v>0</v>
      </c>
      <c r="CS985" s="76"/>
      <c r="CT985" s="76"/>
      <c r="CU985" s="56">
        <f>AN985+AP985+AR985+AT985+AV985+AX985+AZ985+BB985+BD985+BF985+BH985+BJ985+BL985+BN985+BP985+BR985+BT985+BV985+BX985+BZ985+CB985+CD985+CF985+CH985+CJ985+CL985+CN985+CP985+CR985+CT985</f>
        <v>0</v>
      </c>
      <c r="CV985" s="76"/>
      <c r="CW985" s="76">
        <f>+CV985*1100</f>
        <v>0</v>
      </c>
      <c r="CX985" s="76"/>
      <c r="CY985" s="76">
        <f>+CX985*106250</f>
        <v>0</v>
      </c>
      <c r="CZ985" s="76"/>
      <c r="DA985" s="76">
        <f>+CZ985*34500</f>
        <v>0</v>
      </c>
      <c r="DB985" s="76"/>
      <c r="DC985" s="76">
        <f>+DB985*25000</f>
        <v>0</v>
      </c>
      <c r="DD985" s="219"/>
      <c r="DE985" s="219"/>
      <c r="DF985" s="166"/>
      <c r="DG985" s="116"/>
      <c r="DH985" s="117"/>
      <c r="DI985" s="24"/>
      <c r="DJ985" s="24"/>
      <c r="DK985" s="24"/>
      <c r="DL985" s="24"/>
      <c r="DM985" s="24"/>
      <c r="DN985" s="24"/>
      <c r="DO985" s="24"/>
      <c r="DP985" s="24"/>
      <c r="DQ985" s="24"/>
      <c r="DR985" s="24"/>
      <c r="DS985" s="24"/>
      <c r="DT985" s="24"/>
      <c r="DU985" s="24"/>
    </row>
    <row r="986" spans="1:125" s="8" customFormat="1" ht="90.75" customHeight="1" x14ac:dyDescent="0.2">
      <c r="A986" s="77">
        <v>41334</v>
      </c>
      <c r="B986" s="78" t="s">
        <v>2852</v>
      </c>
      <c r="C986" s="75" t="s">
        <v>1243</v>
      </c>
      <c r="D986" s="75" t="s">
        <v>3051</v>
      </c>
      <c r="E986" s="75" t="str">
        <f>VLOOKUP(B986&amp;C986,Divipola!$C$2:$F$1138,4,FALSE)</f>
        <v>27430</v>
      </c>
      <c r="F986" s="87"/>
      <c r="G986" s="87"/>
      <c r="H986" s="87"/>
      <c r="I986" s="87">
        <v>620</v>
      </c>
      <c r="J986" s="87">
        <v>92</v>
      </c>
      <c r="K986" s="87"/>
      <c r="L986" s="87">
        <v>92</v>
      </c>
      <c r="M986" s="87"/>
      <c r="N986" s="87"/>
      <c r="O986" s="87"/>
      <c r="P986" s="87"/>
      <c r="Q986" s="87"/>
      <c r="R986" s="87"/>
      <c r="S986" s="87"/>
      <c r="T986" s="87"/>
      <c r="U986" s="88"/>
      <c r="V986" s="89"/>
      <c r="W986" s="96">
        <v>0</v>
      </c>
      <c r="X986" s="71">
        <f>CU986</f>
        <v>0</v>
      </c>
      <c r="Y986" s="71">
        <f>CY986</f>
        <v>0</v>
      </c>
      <c r="Z986" s="71">
        <f>DA986+DC986+DE986</f>
        <v>0</v>
      </c>
      <c r="AA986" s="71">
        <f>CW986</f>
        <v>0</v>
      </c>
      <c r="AB986" s="71"/>
      <c r="AC986" s="71">
        <v>0</v>
      </c>
      <c r="AD986" s="71">
        <f>W986+X986+Y986+Z986+AA986+AB986+AC986</f>
        <v>0</v>
      </c>
      <c r="AE986" s="72">
        <v>0</v>
      </c>
      <c r="AF986" s="5"/>
      <c r="AG986" s="6"/>
      <c r="AH986" s="27" t="s">
        <v>3390</v>
      </c>
      <c r="AI986" s="44" t="s">
        <v>3391</v>
      </c>
      <c r="AJ986" s="26"/>
      <c r="AK986" s="5" t="s">
        <v>3480</v>
      </c>
      <c r="AL986" s="82" t="s">
        <v>3710</v>
      </c>
      <c r="AM986" s="76"/>
      <c r="AN986" s="76"/>
      <c r="AO986" s="76"/>
      <c r="AP986" s="76"/>
      <c r="AQ986" s="76"/>
      <c r="AR986" s="76"/>
      <c r="AS986" s="76"/>
      <c r="AT986" s="76"/>
      <c r="AU986" s="76"/>
      <c r="AV986" s="76"/>
      <c r="AW986" s="76"/>
      <c r="AX986" s="76">
        <f>+AW986*600000</f>
        <v>0</v>
      </c>
      <c r="AY986" s="76"/>
      <c r="AZ986" s="76">
        <f>+AY986*70000</f>
        <v>0</v>
      </c>
      <c r="BA986" s="76"/>
      <c r="BB986" s="76"/>
      <c r="BC986" s="76"/>
      <c r="BD986" s="76">
        <f>+BC986*30000</f>
        <v>0</v>
      </c>
      <c r="BE986" s="76"/>
      <c r="BF986" s="76"/>
      <c r="BG986" s="76"/>
      <c r="BH986" s="76"/>
      <c r="BI986" s="76"/>
      <c r="BJ986" s="76"/>
      <c r="BK986" s="76"/>
      <c r="BL986" s="76">
        <f>+BK986*31500</f>
        <v>0</v>
      </c>
      <c r="BM986" s="76"/>
      <c r="BN986" s="76"/>
      <c r="BO986" s="76"/>
      <c r="BP986" s="76"/>
      <c r="BQ986" s="76"/>
      <c r="BR986" s="76"/>
      <c r="BS986" s="76"/>
      <c r="BT986" s="76"/>
      <c r="BU986" s="76"/>
      <c r="BV986" s="76"/>
      <c r="BW986" s="76"/>
      <c r="BX986" s="76"/>
      <c r="BY986" s="76"/>
      <c r="BZ986" s="76"/>
      <c r="CA986" s="76"/>
      <c r="CB986" s="76"/>
      <c r="CC986" s="76"/>
      <c r="CD986" s="76"/>
      <c r="CE986" s="76"/>
      <c r="CF986" s="76">
        <f>+CE986*28000</f>
        <v>0</v>
      </c>
      <c r="CG986" s="76"/>
      <c r="CH986" s="76">
        <f>+CG986*22500</f>
        <v>0</v>
      </c>
      <c r="CI986" s="76"/>
      <c r="CJ986" s="76">
        <f>+CI986*26000</f>
        <v>0</v>
      </c>
      <c r="CK986" s="76"/>
      <c r="CL986" s="76"/>
      <c r="CM986" s="76"/>
      <c r="CN986" s="76">
        <f>+CM986*22000</f>
        <v>0</v>
      </c>
      <c r="CO986" s="76"/>
      <c r="CP986" s="76">
        <f>+CO986*46000</f>
        <v>0</v>
      </c>
      <c r="CQ986" s="76"/>
      <c r="CR986" s="76">
        <f>+CQ986*49000</f>
        <v>0</v>
      </c>
      <c r="CS986" s="76"/>
      <c r="CT986" s="76"/>
      <c r="CU986" s="56">
        <f>AN986+AP986+AR986+AT986+AV986+AX986+AZ986+BB986+BD986+BF986+BH986+BJ986+BL986+BN986+BP986+BR986+BT986+BV986+BX986+BZ986+CB986+CD986+CF986+CH986+CJ986+CL986+CN986+CP986+CR986+CT986</f>
        <v>0</v>
      </c>
      <c r="CV986" s="76"/>
      <c r="CW986" s="76">
        <f>+CV986*1100</f>
        <v>0</v>
      </c>
      <c r="CX986" s="76"/>
      <c r="CY986" s="76">
        <f>+CX986*106250</f>
        <v>0</v>
      </c>
      <c r="CZ986" s="76"/>
      <c r="DA986" s="76">
        <f>+CZ986*34500</f>
        <v>0</v>
      </c>
      <c r="DB986" s="76"/>
      <c r="DC986" s="76">
        <f>+DB986*25000</f>
        <v>0</v>
      </c>
      <c r="DD986" s="219"/>
      <c r="DE986" s="219"/>
      <c r="DF986" s="166"/>
      <c r="DG986" s="116"/>
      <c r="DH986" s="117"/>
      <c r="DI986" s="24"/>
      <c r="DJ986" s="24"/>
      <c r="DK986" s="24"/>
      <c r="DL986" s="24"/>
      <c r="DM986" s="24"/>
      <c r="DN986" s="24"/>
      <c r="DO986" s="24"/>
      <c r="DP986" s="24"/>
      <c r="DQ986" s="24"/>
      <c r="DR986" s="24"/>
      <c r="DS986" s="24"/>
      <c r="DT986" s="24"/>
      <c r="DU986" s="24"/>
    </row>
    <row r="987" spans="1:125" s="8" customFormat="1" ht="72" x14ac:dyDescent="0.2">
      <c r="A987" s="77">
        <v>41334</v>
      </c>
      <c r="B987" s="78" t="s">
        <v>2772</v>
      </c>
      <c r="C987" s="75" t="s">
        <v>1168</v>
      </c>
      <c r="D987" s="81" t="s">
        <v>2846</v>
      </c>
      <c r="E987" s="75" t="str">
        <f>VLOOKUP(B987&amp;C987,Divipola!$C$2:$F$1138,4,FALSE)</f>
        <v>25779</v>
      </c>
      <c r="F987" s="93"/>
      <c r="G987" s="93"/>
      <c r="H987" s="93"/>
      <c r="I987" s="93"/>
      <c r="J987" s="93"/>
      <c r="K987" s="93"/>
      <c r="L987" s="93"/>
      <c r="M987" s="93"/>
      <c r="N987" s="93"/>
      <c r="O987" s="93"/>
      <c r="P987" s="93"/>
      <c r="Q987" s="93"/>
      <c r="R987" s="93"/>
      <c r="S987" s="93"/>
      <c r="T987" s="93"/>
      <c r="U987" s="125">
        <v>0.5</v>
      </c>
      <c r="V987" s="89"/>
      <c r="W987" s="96">
        <v>0</v>
      </c>
      <c r="X987" s="71">
        <f>CU987</f>
        <v>0</v>
      </c>
      <c r="Y987" s="71">
        <f>CY987</f>
        <v>0</v>
      </c>
      <c r="Z987" s="71">
        <f>DA987+DC987+DE987</f>
        <v>0</v>
      </c>
      <c r="AA987" s="71">
        <f>CW987</f>
        <v>0</v>
      </c>
      <c r="AB987" s="71"/>
      <c r="AC987" s="71">
        <v>0</v>
      </c>
      <c r="AD987" s="71">
        <f>W987+X987+Y987+Z987+AA987+AB987+AC987</f>
        <v>0</v>
      </c>
      <c r="AE987" s="72">
        <v>0</v>
      </c>
      <c r="AF987" s="5"/>
      <c r="AG987" s="6"/>
      <c r="AH987" s="27" t="s">
        <v>3392</v>
      </c>
      <c r="AI987" s="44" t="s">
        <v>3393</v>
      </c>
      <c r="AJ987" s="26"/>
      <c r="AK987" s="5"/>
      <c r="AL987" s="82" t="s">
        <v>3915</v>
      </c>
      <c r="AM987" s="76"/>
      <c r="AN987" s="76"/>
      <c r="AO987" s="76"/>
      <c r="AP987" s="76"/>
      <c r="AQ987" s="76"/>
      <c r="AR987" s="76"/>
      <c r="AS987" s="76"/>
      <c r="AT987" s="76"/>
      <c r="AU987" s="76"/>
      <c r="AV987" s="76"/>
      <c r="AW987" s="76"/>
      <c r="AX987" s="76">
        <f>+AW987*600000</f>
        <v>0</v>
      </c>
      <c r="AY987" s="76"/>
      <c r="AZ987" s="76">
        <f>+AY987*70000</f>
        <v>0</v>
      </c>
      <c r="BA987" s="76"/>
      <c r="BB987" s="76"/>
      <c r="BC987" s="76"/>
      <c r="BD987" s="76">
        <f>+BC987*30000</f>
        <v>0</v>
      </c>
      <c r="BE987" s="76"/>
      <c r="BF987" s="76"/>
      <c r="BG987" s="76"/>
      <c r="BH987" s="76"/>
      <c r="BI987" s="76"/>
      <c r="BJ987" s="76"/>
      <c r="BK987" s="76"/>
      <c r="BL987" s="76">
        <f>+BK987*31500</f>
        <v>0</v>
      </c>
      <c r="BM987" s="76"/>
      <c r="BN987" s="76"/>
      <c r="BO987" s="76"/>
      <c r="BP987" s="76"/>
      <c r="BQ987" s="76"/>
      <c r="BR987" s="76"/>
      <c r="BS987" s="76"/>
      <c r="BT987" s="76"/>
      <c r="BU987" s="76"/>
      <c r="BV987" s="76"/>
      <c r="BW987" s="76"/>
      <c r="BX987" s="76"/>
      <c r="BY987" s="76"/>
      <c r="BZ987" s="76"/>
      <c r="CA987" s="76"/>
      <c r="CB987" s="76"/>
      <c r="CC987" s="76"/>
      <c r="CD987" s="76"/>
      <c r="CE987" s="76"/>
      <c r="CF987" s="76">
        <f>+CE987*28000</f>
        <v>0</v>
      </c>
      <c r="CG987" s="76"/>
      <c r="CH987" s="76">
        <f>+CG987*22500</f>
        <v>0</v>
      </c>
      <c r="CI987" s="76"/>
      <c r="CJ987" s="76">
        <f>+CI987*26000</f>
        <v>0</v>
      </c>
      <c r="CK987" s="76"/>
      <c r="CL987" s="76"/>
      <c r="CM987" s="76"/>
      <c r="CN987" s="76">
        <f>+CM987*22000</f>
        <v>0</v>
      </c>
      <c r="CO987" s="76"/>
      <c r="CP987" s="76">
        <f>+CO987*46000</f>
        <v>0</v>
      </c>
      <c r="CQ987" s="76"/>
      <c r="CR987" s="76">
        <f>+CQ987*49000</f>
        <v>0</v>
      </c>
      <c r="CS987" s="76"/>
      <c r="CT987" s="76"/>
      <c r="CU987" s="56">
        <f>AN987+AP987+AR987+AT987+AV987+AX987+AZ987+BB987+BD987+BF987+BH987+BJ987+BL987+BN987+BP987+BR987+BT987+BV987+BX987+BZ987+CB987+CD987+CF987+CH987+CJ987+CL987+CN987+CP987+CR987+CT987</f>
        <v>0</v>
      </c>
      <c r="CV987" s="76"/>
      <c r="CW987" s="76">
        <f>+CV987*1100</f>
        <v>0</v>
      </c>
      <c r="CX987" s="76"/>
      <c r="CY987" s="76">
        <f>+CX987*106250</f>
        <v>0</v>
      </c>
      <c r="CZ987" s="76"/>
      <c r="DA987" s="76">
        <f>+CZ987*34500</f>
        <v>0</v>
      </c>
      <c r="DB987" s="76"/>
      <c r="DC987" s="76">
        <f>+DB987*25000</f>
        <v>0</v>
      </c>
      <c r="DD987" s="219"/>
      <c r="DE987" s="219"/>
      <c r="DF987" s="166"/>
      <c r="DG987" s="116"/>
      <c r="DH987" s="117"/>
      <c r="DI987" s="24"/>
      <c r="DJ987" s="24"/>
      <c r="DK987" s="24"/>
      <c r="DL987" s="24"/>
      <c r="DM987" s="24"/>
      <c r="DN987" s="24"/>
      <c r="DO987" s="24"/>
      <c r="DP987" s="24"/>
      <c r="DQ987" s="24"/>
      <c r="DR987" s="24"/>
      <c r="DS987" s="24"/>
      <c r="DT987" s="24"/>
      <c r="DU987" s="24"/>
    </row>
    <row r="988" spans="1:125" s="8" customFormat="1" ht="24" x14ac:dyDescent="0.2">
      <c r="A988" s="77">
        <v>41334</v>
      </c>
      <c r="B988" s="78" t="s">
        <v>2906</v>
      </c>
      <c r="C988" s="75" t="s">
        <v>421</v>
      </c>
      <c r="D988" s="75" t="s">
        <v>3051</v>
      </c>
      <c r="E988" s="75" t="str">
        <f>VLOOKUP(B988&amp;C988,Divipola!$C$2:$F$1138,4,FALSE)</f>
        <v>47058</v>
      </c>
      <c r="F988" s="163"/>
      <c r="G988" s="163"/>
      <c r="H988" s="163"/>
      <c r="I988" s="163"/>
      <c r="J988" s="163"/>
      <c r="K988" s="163"/>
      <c r="L988" s="163"/>
      <c r="M988" s="163"/>
      <c r="N988" s="163"/>
      <c r="O988" s="163"/>
      <c r="P988" s="163"/>
      <c r="Q988" s="163"/>
      <c r="R988" s="163"/>
      <c r="S988" s="163"/>
      <c r="T988" s="163"/>
      <c r="U988" s="163"/>
      <c r="V988" s="134"/>
      <c r="W988" s="96">
        <v>5600000</v>
      </c>
      <c r="X988" s="71">
        <f>CU988</f>
        <v>0</v>
      </c>
      <c r="Y988" s="71">
        <f>CY988</f>
        <v>0</v>
      </c>
      <c r="Z988" s="71">
        <f>DA988+DC988+DE988</f>
        <v>0</v>
      </c>
      <c r="AA988" s="71">
        <f>CW988</f>
        <v>0</v>
      </c>
      <c r="AB988" s="71"/>
      <c r="AC988" s="71">
        <v>0</v>
      </c>
      <c r="AD988" s="71">
        <f>W988+X988+Y988+Z988+AA988+AB988+AC988</f>
        <v>5600000</v>
      </c>
      <c r="AE988" s="72">
        <v>0</v>
      </c>
      <c r="AF988" s="5"/>
      <c r="AG988" s="6"/>
      <c r="AH988" s="27" t="s">
        <v>3390</v>
      </c>
      <c r="AI988" s="44" t="s">
        <v>3391</v>
      </c>
      <c r="AJ988" s="26"/>
      <c r="AK988" s="5"/>
      <c r="AL988" s="82" t="s">
        <v>3697</v>
      </c>
      <c r="AM988" s="76"/>
      <c r="AN988" s="76"/>
      <c r="AO988" s="76"/>
      <c r="AP988" s="76"/>
      <c r="AQ988" s="76"/>
      <c r="AR988" s="76"/>
      <c r="AS988" s="76"/>
      <c r="AT988" s="76"/>
      <c r="AU988" s="76"/>
      <c r="AV988" s="76"/>
      <c r="AW988" s="76"/>
      <c r="AX988" s="76">
        <f>+AW988*600000</f>
        <v>0</v>
      </c>
      <c r="AY988" s="76"/>
      <c r="AZ988" s="76">
        <f>+AY988*70000</f>
        <v>0</v>
      </c>
      <c r="BA988" s="76"/>
      <c r="BB988" s="76"/>
      <c r="BC988" s="76"/>
      <c r="BD988" s="76">
        <f>+BC988*30000</f>
        <v>0</v>
      </c>
      <c r="BE988" s="76"/>
      <c r="BF988" s="76"/>
      <c r="BG988" s="76"/>
      <c r="BH988" s="76"/>
      <c r="BI988" s="76"/>
      <c r="BJ988" s="76"/>
      <c r="BK988" s="76"/>
      <c r="BL988" s="76">
        <f>+BK988*31500</f>
        <v>0</v>
      </c>
      <c r="BM988" s="76"/>
      <c r="BN988" s="76"/>
      <c r="BO988" s="76"/>
      <c r="BP988" s="76"/>
      <c r="BQ988" s="76"/>
      <c r="BR988" s="76"/>
      <c r="BS988" s="76"/>
      <c r="BT988" s="76"/>
      <c r="BU988" s="76"/>
      <c r="BV988" s="76"/>
      <c r="BW988" s="76"/>
      <c r="BX988" s="76"/>
      <c r="BY988" s="76"/>
      <c r="BZ988" s="76"/>
      <c r="CA988" s="76"/>
      <c r="CB988" s="76"/>
      <c r="CC988" s="76"/>
      <c r="CD988" s="76"/>
      <c r="CE988" s="76"/>
      <c r="CF988" s="76">
        <f>+CE988*28000</f>
        <v>0</v>
      </c>
      <c r="CG988" s="76"/>
      <c r="CH988" s="76">
        <f>+CG988*22500</f>
        <v>0</v>
      </c>
      <c r="CI988" s="76"/>
      <c r="CJ988" s="76">
        <f>+CI988*26000</f>
        <v>0</v>
      </c>
      <c r="CK988" s="76"/>
      <c r="CL988" s="76"/>
      <c r="CM988" s="76"/>
      <c r="CN988" s="76">
        <f>+CM988*22000</f>
        <v>0</v>
      </c>
      <c r="CO988" s="76"/>
      <c r="CP988" s="76">
        <f>+CO988*46000</f>
        <v>0</v>
      </c>
      <c r="CQ988" s="76"/>
      <c r="CR988" s="76">
        <f>+CQ988*49000</f>
        <v>0</v>
      </c>
      <c r="CS988" s="76"/>
      <c r="CT988" s="76"/>
      <c r="CU988" s="56">
        <f>AN988+AP988+AR988+AT988+AV988+AX988+AZ988+BB988+BD988+BF988+BH988+BJ988+BL988+BN988+BP988+BR988+BT988+BV988+BX988+BZ988+CB988+CD988+CF988+CH988+CJ988+CL988+CN988+CP988+CR988+CT988</f>
        <v>0</v>
      </c>
      <c r="CV988" s="76"/>
      <c r="CW988" s="76">
        <f>+CV988*1100</f>
        <v>0</v>
      </c>
      <c r="CX988" s="76"/>
      <c r="CY988" s="76">
        <f>+CX988*106250</f>
        <v>0</v>
      </c>
      <c r="CZ988" s="76"/>
      <c r="DA988" s="76">
        <f>+CZ988*34500</f>
        <v>0</v>
      </c>
      <c r="DB988" s="76"/>
      <c r="DC988" s="76">
        <f>+DB988*25000</f>
        <v>0</v>
      </c>
      <c r="DD988" s="219"/>
      <c r="DE988" s="219"/>
      <c r="DF988" s="166"/>
      <c r="DG988" s="116"/>
      <c r="DH988" s="117"/>
      <c r="DI988" s="24"/>
      <c r="DJ988" s="24"/>
      <c r="DK988" s="24"/>
      <c r="DL988" s="24"/>
      <c r="DM988" s="24"/>
      <c r="DN988" s="24"/>
      <c r="DO988" s="24"/>
      <c r="DP988" s="24"/>
      <c r="DQ988" s="24"/>
      <c r="DR988" s="24"/>
      <c r="DS988" s="24"/>
      <c r="DT988" s="24"/>
      <c r="DU988" s="24"/>
    </row>
    <row r="989" spans="1:125" s="8" customFormat="1" ht="48" x14ac:dyDescent="0.2">
      <c r="A989" s="77">
        <v>41334</v>
      </c>
      <c r="B989" s="352" t="s">
        <v>2906</v>
      </c>
      <c r="C989" s="354" t="s">
        <v>2739</v>
      </c>
      <c r="D989" s="81" t="s">
        <v>2846</v>
      </c>
      <c r="E989" s="75" t="str">
        <f>VLOOKUP(B989&amp;C989,Divipola!$C$2:$F$1138,4,FALSE)</f>
        <v>47001</v>
      </c>
      <c r="F989" s="87"/>
      <c r="G989" s="87"/>
      <c r="H989" s="87"/>
      <c r="I989" s="87"/>
      <c r="J989" s="87"/>
      <c r="K989" s="87"/>
      <c r="L989" s="87"/>
      <c r="M989" s="87"/>
      <c r="N989" s="87"/>
      <c r="O989" s="87"/>
      <c r="P989" s="87"/>
      <c r="Q989" s="87"/>
      <c r="R989" s="87"/>
      <c r="S989" s="87"/>
      <c r="T989" s="87"/>
      <c r="U989" s="88">
        <v>1</v>
      </c>
      <c r="V989" s="89"/>
      <c r="W989" s="96">
        <v>0</v>
      </c>
      <c r="X989" s="71">
        <f>CU989</f>
        <v>0</v>
      </c>
      <c r="Y989" s="71">
        <f>CY989</f>
        <v>0</v>
      </c>
      <c r="Z989" s="71">
        <f>DA989+DC989+DE989</f>
        <v>0</v>
      </c>
      <c r="AA989" s="71">
        <f>CW989</f>
        <v>0</v>
      </c>
      <c r="AB989" s="71"/>
      <c r="AC989" s="71">
        <v>0</v>
      </c>
      <c r="AD989" s="71">
        <f>W989+X989+Y989+Z989+AA989+AB989+AC989</f>
        <v>0</v>
      </c>
      <c r="AE989" s="72">
        <v>0</v>
      </c>
      <c r="AF989" s="5"/>
      <c r="AG989" s="6"/>
      <c r="AH989" s="27" t="s">
        <v>3392</v>
      </c>
      <c r="AI989" s="44" t="s">
        <v>3393</v>
      </c>
      <c r="AJ989" s="26"/>
      <c r="AK989" s="5"/>
      <c r="AL989" s="82" t="s">
        <v>3713</v>
      </c>
      <c r="AM989" s="76"/>
      <c r="AN989" s="76"/>
      <c r="AO989" s="76"/>
      <c r="AP989" s="76"/>
      <c r="AQ989" s="76"/>
      <c r="AR989" s="76"/>
      <c r="AS989" s="76"/>
      <c r="AT989" s="76"/>
      <c r="AU989" s="76"/>
      <c r="AV989" s="76"/>
      <c r="AW989" s="76"/>
      <c r="AX989" s="76">
        <f>+AW989*600000</f>
        <v>0</v>
      </c>
      <c r="AY989" s="76"/>
      <c r="AZ989" s="76">
        <f>+AY989*70000</f>
        <v>0</v>
      </c>
      <c r="BA989" s="76"/>
      <c r="BB989" s="76"/>
      <c r="BC989" s="76"/>
      <c r="BD989" s="76">
        <f>+BC989*30000</f>
        <v>0</v>
      </c>
      <c r="BE989" s="76"/>
      <c r="BF989" s="76"/>
      <c r="BG989" s="76"/>
      <c r="BH989" s="76"/>
      <c r="BI989" s="76"/>
      <c r="BJ989" s="76"/>
      <c r="BK989" s="76"/>
      <c r="BL989" s="76">
        <f>+BK989*31500</f>
        <v>0</v>
      </c>
      <c r="BM989" s="76"/>
      <c r="BN989" s="76"/>
      <c r="BO989" s="76"/>
      <c r="BP989" s="76"/>
      <c r="BQ989" s="76"/>
      <c r="BR989" s="76"/>
      <c r="BS989" s="76"/>
      <c r="BT989" s="76"/>
      <c r="BU989" s="76"/>
      <c r="BV989" s="76"/>
      <c r="BW989" s="76"/>
      <c r="BX989" s="76"/>
      <c r="BY989" s="76"/>
      <c r="BZ989" s="76"/>
      <c r="CA989" s="76"/>
      <c r="CB989" s="76"/>
      <c r="CC989" s="76"/>
      <c r="CD989" s="76"/>
      <c r="CE989" s="76"/>
      <c r="CF989" s="76">
        <f>+CE989*28000</f>
        <v>0</v>
      </c>
      <c r="CG989" s="76"/>
      <c r="CH989" s="76">
        <f>+CG989*22500</f>
        <v>0</v>
      </c>
      <c r="CI989" s="76"/>
      <c r="CJ989" s="76">
        <f>+CI989*26000</f>
        <v>0</v>
      </c>
      <c r="CK989" s="76"/>
      <c r="CL989" s="76"/>
      <c r="CM989" s="76"/>
      <c r="CN989" s="76">
        <f>+CM989*22000</f>
        <v>0</v>
      </c>
      <c r="CO989" s="76"/>
      <c r="CP989" s="76">
        <f>+CO989*46000</f>
        <v>0</v>
      </c>
      <c r="CQ989" s="76"/>
      <c r="CR989" s="76">
        <f>+CQ989*49000</f>
        <v>0</v>
      </c>
      <c r="CS989" s="76"/>
      <c r="CT989" s="76"/>
      <c r="CU989" s="56">
        <f>AN989+AP989+AR989+AT989+AV989+AX989+AZ989+BB989+BD989+BF989+BH989+BJ989+BL989+BN989+BP989+BR989+BT989+BV989+BX989+BZ989+CB989+CD989+CF989+CH989+CJ989+CL989+CN989+CP989+CR989+CT989</f>
        <v>0</v>
      </c>
      <c r="CV989" s="76"/>
      <c r="CW989" s="76">
        <f>+CV989*1100</f>
        <v>0</v>
      </c>
      <c r="CX989" s="76"/>
      <c r="CY989" s="76">
        <f>+CX989*106250</f>
        <v>0</v>
      </c>
      <c r="CZ989" s="76"/>
      <c r="DA989" s="76">
        <f>+CZ989*34500</f>
        <v>0</v>
      </c>
      <c r="DB989" s="76"/>
      <c r="DC989" s="76">
        <f>+DB989*25000</f>
        <v>0</v>
      </c>
      <c r="DD989" s="219"/>
      <c r="DE989" s="219"/>
      <c r="DF989" s="166"/>
      <c r="DG989" s="116"/>
      <c r="DH989" s="117"/>
      <c r="DI989" s="24"/>
      <c r="DJ989" s="24"/>
      <c r="DK989" s="24"/>
      <c r="DL989" s="24"/>
      <c r="DM989" s="24"/>
      <c r="DN989" s="24"/>
      <c r="DO989" s="24"/>
      <c r="DP989" s="24"/>
      <c r="DQ989" s="24"/>
      <c r="DR989" s="24"/>
      <c r="DS989" s="24"/>
      <c r="DT989" s="24"/>
      <c r="DU989" s="24"/>
    </row>
    <row r="990" spans="1:125" s="8" customFormat="1" ht="48" x14ac:dyDescent="0.2">
      <c r="A990" s="77">
        <v>41335</v>
      </c>
      <c r="B990" s="78" t="s">
        <v>2894</v>
      </c>
      <c r="C990" s="75" t="s">
        <v>2415</v>
      </c>
      <c r="D990" s="75" t="s">
        <v>3051</v>
      </c>
      <c r="E990" s="75" t="str">
        <f>VLOOKUP(B990&amp;C990,Divipola!$C$2:$F$1138,4,FALSE)</f>
        <v>05172</v>
      </c>
      <c r="F990" s="87">
        <v>2</v>
      </c>
      <c r="G990" s="87">
        <v>3</v>
      </c>
      <c r="H990" s="87">
        <v>1</v>
      </c>
      <c r="I990" s="87"/>
      <c r="J990" s="87"/>
      <c r="K990" s="87"/>
      <c r="L990" s="87"/>
      <c r="M990" s="87"/>
      <c r="N990" s="87"/>
      <c r="O990" s="87"/>
      <c r="P990" s="87"/>
      <c r="Q990" s="87"/>
      <c r="R990" s="87"/>
      <c r="S990" s="87"/>
      <c r="T990" s="87"/>
      <c r="U990" s="88"/>
      <c r="V990" s="89"/>
      <c r="W990" s="96">
        <v>0</v>
      </c>
      <c r="X990" s="71">
        <f>CU990</f>
        <v>0</v>
      </c>
      <c r="Y990" s="71">
        <f>CY990</f>
        <v>0</v>
      </c>
      <c r="Z990" s="71">
        <f>DA990+DC990+DE990</f>
        <v>0</v>
      </c>
      <c r="AA990" s="71">
        <f>CW990</f>
        <v>0</v>
      </c>
      <c r="AB990" s="71"/>
      <c r="AC990" s="71">
        <v>0</v>
      </c>
      <c r="AD990" s="71">
        <f>W990+X990+Y990+Z990+AA990+AB990+AC990</f>
        <v>0</v>
      </c>
      <c r="AE990" s="72">
        <v>0</v>
      </c>
      <c r="AF990" s="5"/>
      <c r="AG990" s="6"/>
      <c r="AH990" s="27" t="s">
        <v>3392</v>
      </c>
      <c r="AI990" s="44" t="s">
        <v>3393</v>
      </c>
      <c r="AJ990" s="26"/>
      <c r="AK990" s="5"/>
      <c r="AL990" s="82" t="s">
        <v>3736</v>
      </c>
      <c r="AM990" s="76"/>
      <c r="AN990" s="76"/>
      <c r="AO990" s="76"/>
      <c r="AP990" s="76"/>
      <c r="AQ990" s="76"/>
      <c r="AR990" s="76"/>
      <c r="AS990" s="76"/>
      <c r="AT990" s="76"/>
      <c r="AU990" s="76"/>
      <c r="AV990" s="76"/>
      <c r="AW990" s="76"/>
      <c r="AX990" s="76">
        <f>+AW990*600000</f>
        <v>0</v>
      </c>
      <c r="AY990" s="76"/>
      <c r="AZ990" s="76">
        <f>+AY990*70000</f>
        <v>0</v>
      </c>
      <c r="BA990" s="76"/>
      <c r="BB990" s="76"/>
      <c r="BC990" s="76"/>
      <c r="BD990" s="76">
        <f>+BC990*30000</f>
        <v>0</v>
      </c>
      <c r="BE990" s="76"/>
      <c r="BF990" s="76"/>
      <c r="BG990" s="76"/>
      <c r="BH990" s="76"/>
      <c r="BI990" s="76"/>
      <c r="BJ990" s="76"/>
      <c r="BK990" s="76"/>
      <c r="BL990" s="76">
        <f>+BK990*31500</f>
        <v>0</v>
      </c>
      <c r="BM990" s="76"/>
      <c r="BN990" s="76"/>
      <c r="BO990" s="76"/>
      <c r="BP990" s="76"/>
      <c r="BQ990" s="76"/>
      <c r="BR990" s="76"/>
      <c r="BS990" s="76"/>
      <c r="BT990" s="76"/>
      <c r="BU990" s="76"/>
      <c r="BV990" s="76"/>
      <c r="BW990" s="76"/>
      <c r="BX990" s="76"/>
      <c r="BY990" s="76"/>
      <c r="BZ990" s="76"/>
      <c r="CA990" s="76"/>
      <c r="CB990" s="76"/>
      <c r="CC990" s="76"/>
      <c r="CD990" s="76"/>
      <c r="CE990" s="76"/>
      <c r="CF990" s="76">
        <f>+CE990*28000</f>
        <v>0</v>
      </c>
      <c r="CG990" s="76"/>
      <c r="CH990" s="76">
        <f>+CG990*22500</f>
        <v>0</v>
      </c>
      <c r="CI990" s="76"/>
      <c r="CJ990" s="76">
        <f>+CI990*26000</f>
        <v>0</v>
      </c>
      <c r="CK990" s="76"/>
      <c r="CL990" s="76"/>
      <c r="CM990" s="76"/>
      <c r="CN990" s="76">
        <f>+CM990*22000</f>
        <v>0</v>
      </c>
      <c r="CO990" s="76"/>
      <c r="CP990" s="76">
        <f>+CO990*46000</f>
        <v>0</v>
      </c>
      <c r="CQ990" s="76"/>
      <c r="CR990" s="76">
        <f>+CQ990*49000</f>
        <v>0</v>
      </c>
      <c r="CS990" s="76"/>
      <c r="CT990" s="76"/>
      <c r="CU990" s="56">
        <f>AN990+AP990+AR990+AT990+AV990+AX990+AZ990+BB990+BD990+BF990+BH990+BJ990+BL990+BN990+BP990+BR990+BT990+BV990+BX990+BZ990+CB990+CD990+CF990+CH990+CJ990+CL990+CN990+CP990+CR990+CT990</f>
        <v>0</v>
      </c>
      <c r="CV990" s="76"/>
      <c r="CW990" s="76">
        <f>+CV990*1100</f>
        <v>0</v>
      </c>
      <c r="CX990" s="76"/>
      <c r="CY990" s="76">
        <f>+CX990*106250</f>
        <v>0</v>
      </c>
      <c r="CZ990" s="76"/>
      <c r="DA990" s="76">
        <f>+CZ990*34500</f>
        <v>0</v>
      </c>
      <c r="DB990" s="76"/>
      <c r="DC990" s="76">
        <f>+DB990*25000</f>
        <v>0</v>
      </c>
      <c r="DD990" s="219"/>
      <c r="DE990" s="219"/>
      <c r="DF990" s="166"/>
      <c r="DG990" s="116"/>
      <c r="DH990" s="117"/>
      <c r="DI990" s="24"/>
      <c r="DJ990" s="24"/>
      <c r="DK990" s="24"/>
      <c r="DL990" s="24"/>
      <c r="DM990" s="24"/>
      <c r="DN990" s="24"/>
      <c r="DO990" s="24"/>
      <c r="DP990" s="24"/>
      <c r="DQ990" s="24"/>
      <c r="DR990" s="24"/>
      <c r="DS990" s="24"/>
      <c r="DT990" s="24"/>
      <c r="DU990" s="24"/>
    </row>
    <row r="991" spans="1:125" s="8" customFormat="1" ht="96" x14ac:dyDescent="0.2">
      <c r="A991" s="77">
        <v>41335</v>
      </c>
      <c r="B991" s="78" t="s">
        <v>2700</v>
      </c>
      <c r="C991" s="75" t="s">
        <v>1704</v>
      </c>
      <c r="D991" s="81" t="s">
        <v>2846</v>
      </c>
      <c r="E991" s="75" t="str">
        <f>VLOOKUP(B991&amp;C991,Divipola!$C$2:$F$1138,4,FALSE)</f>
        <v>15516</v>
      </c>
      <c r="F991" s="87"/>
      <c r="G991" s="87"/>
      <c r="H991" s="87"/>
      <c r="I991" s="87"/>
      <c r="J991" s="87"/>
      <c r="K991" s="87"/>
      <c r="L991" s="87"/>
      <c r="M991" s="87"/>
      <c r="N991" s="87"/>
      <c r="O991" s="87"/>
      <c r="P991" s="87"/>
      <c r="Q991" s="87"/>
      <c r="R991" s="87"/>
      <c r="S991" s="87"/>
      <c r="T991" s="87"/>
      <c r="U991" s="88">
        <v>6</v>
      </c>
      <c r="V991" s="89"/>
      <c r="W991" s="96">
        <v>0</v>
      </c>
      <c r="X991" s="71">
        <f>CU991</f>
        <v>0</v>
      </c>
      <c r="Y991" s="71">
        <f>CY991</f>
        <v>0</v>
      </c>
      <c r="Z991" s="71">
        <f>DA991+DC991+DE991</f>
        <v>0</v>
      </c>
      <c r="AA991" s="71">
        <f>CW991</f>
        <v>0</v>
      </c>
      <c r="AB991" s="71"/>
      <c r="AC991" s="71">
        <v>0</v>
      </c>
      <c r="AD991" s="71">
        <f>W991+X991+Y991+Z991+AA991+AB991+AC991</f>
        <v>0</v>
      </c>
      <c r="AE991" s="72">
        <v>0</v>
      </c>
      <c r="AF991" s="5"/>
      <c r="AG991" s="6"/>
      <c r="AH991" s="27" t="s">
        <v>3392</v>
      </c>
      <c r="AI991" s="44" t="s">
        <v>3393</v>
      </c>
      <c r="AJ991" s="26"/>
      <c r="AK991" s="5"/>
      <c r="AL991" s="82" t="s">
        <v>3721</v>
      </c>
      <c r="AM991" s="76"/>
      <c r="AN991" s="76"/>
      <c r="AO991" s="76"/>
      <c r="AP991" s="76"/>
      <c r="AQ991" s="76"/>
      <c r="AR991" s="76"/>
      <c r="AS991" s="76"/>
      <c r="AT991" s="76"/>
      <c r="AU991" s="76"/>
      <c r="AV991" s="76"/>
      <c r="AW991" s="76"/>
      <c r="AX991" s="76">
        <f>+AW991*600000</f>
        <v>0</v>
      </c>
      <c r="AY991" s="76"/>
      <c r="AZ991" s="76">
        <f>+AY991*70000</f>
        <v>0</v>
      </c>
      <c r="BA991" s="76"/>
      <c r="BB991" s="76"/>
      <c r="BC991" s="76"/>
      <c r="BD991" s="76">
        <f>+BC991*30000</f>
        <v>0</v>
      </c>
      <c r="BE991" s="76"/>
      <c r="BF991" s="76"/>
      <c r="BG991" s="76"/>
      <c r="BH991" s="76"/>
      <c r="BI991" s="76"/>
      <c r="BJ991" s="76"/>
      <c r="BK991" s="76"/>
      <c r="BL991" s="76">
        <f>+BK991*31500</f>
        <v>0</v>
      </c>
      <c r="BM991" s="76"/>
      <c r="BN991" s="76"/>
      <c r="BO991" s="76"/>
      <c r="BP991" s="76"/>
      <c r="BQ991" s="76"/>
      <c r="BR991" s="76"/>
      <c r="BS991" s="76"/>
      <c r="BT991" s="76"/>
      <c r="BU991" s="76"/>
      <c r="BV991" s="76"/>
      <c r="BW991" s="76"/>
      <c r="BX991" s="76"/>
      <c r="BY991" s="76"/>
      <c r="BZ991" s="76"/>
      <c r="CA991" s="76"/>
      <c r="CB991" s="76"/>
      <c r="CC991" s="76"/>
      <c r="CD991" s="76"/>
      <c r="CE991" s="76"/>
      <c r="CF991" s="76">
        <f>+CE991*28000</f>
        <v>0</v>
      </c>
      <c r="CG991" s="76"/>
      <c r="CH991" s="76">
        <f>+CG991*22500</f>
        <v>0</v>
      </c>
      <c r="CI991" s="76"/>
      <c r="CJ991" s="76">
        <f>+CI991*26000</f>
        <v>0</v>
      </c>
      <c r="CK991" s="76"/>
      <c r="CL991" s="76"/>
      <c r="CM991" s="76"/>
      <c r="CN991" s="76">
        <f>+CM991*22000</f>
        <v>0</v>
      </c>
      <c r="CO991" s="76"/>
      <c r="CP991" s="76">
        <f>+CO991*46000</f>
        <v>0</v>
      </c>
      <c r="CQ991" s="76"/>
      <c r="CR991" s="76">
        <f>+CQ991*49000</f>
        <v>0</v>
      </c>
      <c r="CS991" s="76"/>
      <c r="CT991" s="76"/>
      <c r="CU991" s="56">
        <f>AN991+AP991+AR991+AT991+AV991+AX991+AZ991+BB991+BD991+BF991+BH991+BJ991+BL991+BN991+BP991+BR991+BT991+BV991+BX991+BZ991+CB991+CD991+CF991+CH991+CJ991+CL991+CN991+CP991+CR991+CT991</f>
        <v>0</v>
      </c>
      <c r="CV991" s="76"/>
      <c r="CW991" s="76">
        <f>+CV991*1100</f>
        <v>0</v>
      </c>
      <c r="CX991" s="76"/>
      <c r="CY991" s="76">
        <f>+CX991*106250</f>
        <v>0</v>
      </c>
      <c r="CZ991" s="76"/>
      <c r="DA991" s="76">
        <f>+CZ991*34500</f>
        <v>0</v>
      </c>
      <c r="DB991" s="76"/>
      <c r="DC991" s="76">
        <f>+DB991*25000</f>
        <v>0</v>
      </c>
      <c r="DD991" s="219"/>
      <c r="DE991" s="219"/>
      <c r="DF991" s="166"/>
      <c r="DG991" s="116"/>
      <c r="DH991" s="117"/>
      <c r="DI991" s="24"/>
      <c r="DJ991" s="24"/>
      <c r="DK991" s="24"/>
      <c r="DL991" s="24"/>
      <c r="DM991" s="24"/>
      <c r="DN991" s="24"/>
      <c r="DO991" s="24"/>
      <c r="DP991" s="24"/>
      <c r="DQ991" s="24"/>
      <c r="DR991" s="24"/>
      <c r="DS991" s="24"/>
      <c r="DT991" s="24"/>
      <c r="DU991" s="24"/>
    </row>
    <row r="992" spans="1:125" s="8" customFormat="1" ht="48" x14ac:dyDescent="0.2">
      <c r="A992" s="77">
        <v>41335</v>
      </c>
      <c r="B992" s="78" t="s">
        <v>2778</v>
      </c>
      <c r="C992" s="75" t="s">
        <v>1267</v>
      </c>
      <c r="D992" s="81" t="s">
        <v>2846</v>
      </c>
      <c r="E992" s="75" t="str">
        <f>VLOOKUP(B992&amp;C992,Divipola!$C$2:$F$1138,4,FALSE)</f>
        <v>85315</v>
      </c>
      <c r="F992" s="87"/>
      <c r="G992" s="87"/>
      <c r="H992" s="87"/>
      <c r="I992" s="87"/>
      <c r="J992" s="87"/>
      <c r="K992" s="87"/>
      <c r="L992" s="87"/>
      <c r="M992" s="87"/>
      <c r="N992" s="87"/>
      <c r="O992" s="87"/>
      <c r="P992" s="87"/>
      <c r="Q992" s="87"/>
      <c r="R992" s="87"/>
      <c r="S992" s="87"/>
      <c r="T992" s="155"/>
      <c r="U992" s="178">
        <v>6</v>
      </c>
      <c r="V992" s="89"/>
      <c r="W992" s="96">
        <v>0</v>
      </c>
      <c r="X992" s="71">
        <f>CU992</f>
        <v>0</v>
      </c>
      <c r="Y992" s="71">
        <f>CY992</f>
        <v>0</v>
      </c>
      <c r="Z992" s="71">
        <f>DA992+DC992+DE992</f>
        <v>0</v>
      </c>
      <c r="AA992" s="71">
        <f>CW992</f>
        <v>0</v>
      </c>
      <c r="AB992" s="71"/>
      <c r="AC992" s="71">
        <v>0</v>
      </c>
      <c r="AD992" s="71">
        <f>W992+X992+Y992+Z992+AA992+AB992+AC992</f>
        <v>0</v>
      </c>
      <c r="AE992" s="72">
        <v>0</v>
      </c>
      <c r="AF992" s="5"/>
      <c r="AG992" s="6"/>
      <c r="AH992" s="27" t="s">
        <v>3392</v>
      </c>
      <c r="AI992" s="44" t="s">
        <v>3393</v>
      </c>
      <c r="AJ992" s="26"/>
      <c r="AK992" s="5"/>
      <c r="AL992" s="82" t="s">
        <v>3823</v>
      </c>
      <c r="AM992" s="76"/>
      <c r="AN992" s="76"/>
      <c r="AO992" s="76"/>
      <c r="AP992" s="76"/>
      <c r="AQ992" s="76"/>
      <c r="AR992" s="76"/>
      <c r="AS992" s="76"/>
      <c r="AT992" s="76"/>
      <c r="AU992" s="76"/>
      <c r="AV992" s="76"/>
      <c r="AW992" s="76"/>
      <c r="AX992" s="76">
        <f>+AW992*600000</f>
        <v>0</v>
      </c>
      <c r="AY992" s="76"/>
      <c r="AZ992" s="76">
        <f>+AY992*70000</f>
        <v>0</v>
      </c>
      <c r="BA992" s="76"/>
      <c r="BB992" s="76"/>
      <c r="BC992" s="76"/>
      <c r="BD992" s="76">
        <f>+BC992*30000</f>
        <v>0</v>
      </c>
      <c r="BE992" s="76"/>
      <c r="BF992" s="76"/>
      <c r="BG992" s="76"/>
      <c r="BH992" s="76"/>
      <c r="BI992" s="76"/>
      <c r="BJ992" s="76"/>
      <c r="BK992" s="76"/>
      <c r="BL992" s="76">
        <f>+BK992*31500</f>
        <v>0</v>
      </c>
      <c r="BM992" s="76"/>
      <c r="BN992" s="76"/>
      <c r="BO992" s="76"/>
      <c r="BP992" s="76"/>
      <c r="BQ992" s="76"/>
      <c r="BR992" s="76"/>
      <c r="BS992" s="76"/>
      <c r="BT992" s="76"/>
      <c r="BU992" s="76"/>
      <c r="BV992" s="76"/>
      <c r="BW992" s="76"/>
      <c r="BX992" s="76"/>
      <c r="BY992" s="76"/>
      <c r="BZ992" s="76"/>
      <c r="CA992" s="76"/>
      <c r="CB992" s="76"/>
      <c r="CC992" s="76"/>
      <c r="CD992" s="76"/>
      <c r="CE992" s="76"/>
      <c r="CF992" s="76">
        <f>+CE992*28000</f>
        <v>0</v>
      </c>
      <c r="CG992" s="76"/>
      <c r="CH992" s="76">
        <f>+CG992*22500</f>
        <v>0</v>
      </c>
      <c r="CI992" s="76"/>
      <c r="CJ992" s="76">
        <f>+CI992*26000</f>
        <v>0</v>
      </c>
      <c r="CK992" s="76"/>
      <c r="CL992" s="76"/>
      <c r="CM992" s="76"/>
      <c r="CN992" s="76">
        <f>+CM992*22000</f>
        <v>0</v>
      </c>
      <c r="CO992" s="76"/>
      <c r="CP992" s="76">
        <f>+CO992*46000</f>
        <v>0</v>
      </c>
      <c r="CQ992" s="76"/>
      <c r="CR992" s="76">
        <f>+CQ992*49000</f>
        <v>0</v>
      </c>
      <c r="CS992" s="76"/>
      <c r="CT992" s="76"/>
      <c r="CU992" s="56">
        <f>AN992+AP992+AR992+AT992+AV992+AX992+AZ992+BB992+BD992+BF992+BH992+BJ992+BL992+BN992+BP992+BR992+BT992+BV992+BX992+BZ992+CB992+CD992+CF992+CH992+CJ992+CL992+CN992+CP992+CR992+CT992</f>
        <v>0</v>
      </c>
      <c r="CV992" s="76"/>
      <c r="CW992" s="76">
        <f>+CV992*1100</f>
        <v>0</v>
      </c>
      <c r="CX992" s="76"/>
      <c r="CY992" s="76">
        <f>+CX992*106250</f>
        <v>0</v>
      </c>
      <c r="CZ992" s="76"/>
      <c r="DA992" s="76">
        <f>+CZ992*34500</f>
        <v>0</v>
      </c>
      <c r="DB992" s="76"/>
      <c r="DC992" s="76">
        <f>+DB992*25000</f>
        <v>0</v>
      </c>
      <c r="DD992" s="219"/>
      <c r="DE992" s="219"/>
      <c r="DF992" s="166"/>
      <c r="DG992" s="116"/>
      <c r="DH992" s="117"/>
      <c r="DI992" s="24"/>
      <c r="DJ992" s="24"/>
      <c r="DK992" s="24"/>
      <c r="DL992" s="24"/>
      <c r="DM992" s="24"/>
      <c r="DN992" s="24"/>
      <c r="DO992" s="24"/>
      <c r="DP992" s="24"/>
      <c r="DQ992" s="24"/>
      <c r="DR992" s="24"/>
      <c r="DS992" s="24"/>
      <c r="DT992" s="24"/>
      <c r="DU992" s="24"/>
    </row>
    <row r="993" spans="1:125" s="8" customFormat="1" ht="108" x14ac:dyDescent="0.2">
      <c r="A993" s="172">
        <v>41335</v>
      </c>
      <c r="B993" s="173" t="s">
        <v>2778</v>
      </c>
      <c r="C993" s="174" t="s">
        <v>1344</v>
      </c>
      <c r="D993" s="174" t="s">
        <v>3726</v>
      </c>
      <c r="E993" s="75" t="str">
        <f>VLOOKUP(B993&amp;C993,Divipola!$C$2:$F$1138,4,FALSE)</f>
        <v>85001</v>
      </c>
      <c r="F993" s="163"/>
      <c r="G993" s="163"/>
      <c r="H993" s="163"/>
      <c r="I993" s="163"/>
      <c r="J993" s="163"/>
      <c r="K993" s="163"/>
      <c r="L993" s="163"/>
      <c r="M993" s="163"/>
      <c r="N993" s="163"/>
      <c r="O993" s="163"/>
      <c r="P993" s="163"/>
      <c r="Q993" s="163"/>
      <c r="R993" s="163"/>
      <c r="S993" s="163"/>
      <c r="T993" s="163"/>
      <c r="U993" s="163"/>
      <c r="V993" s="134"/>
      <c r="W993" s="96">
        <v>0</v>
      </c>
      <c r="X993" s="71">
        <f>CU993</f>
        <v>0</v>
      </c>
      <c r="Y993" s="71">
        <f>CY993</f>
        <v>0</v>
      </c>
      <c r="Z993" s="71">
        <f>DA993+DC993+DE993</f>
        <v>0</v>
      </c>
      <c r="AA993" s="71">
        <f>CW993</f>
        <v>0</v>
      </c>
      <c r="AB993" s="71"/>
      <c r="AC993" s="71">
        <v>0</v>
      </c>
      <c r="AD993" s="71">
        <f>W993+X993+Y993+Z993+AA993+AB993+AC993</f>
        <v>0</v>
      </c>
      <c r="AE993" s="72">
        <v>0</v>
      </c>
      <c r="AF993" s="5"/>
      <c r="AG993" s="6"/>
      <c r="AH993" s="27" t="s">
        <v>3392</v>
      </c>
      <c r="AI993" s="44" t="s">
        <v>3393</v>
      </c>
      <c r="AJ993" s="26"/>
      <c r="AK993" s="5"/>
      <c r="AL993" s="82" t="s">
        <v>3714</v>
      </c>
      <c r="AM993" s="76"/>
      <c r="AN993" s="76"/>
      <c r="AO993" s="76"/>
      <c r="AP993" s="76"/>
      <c r="AQ993" s="76"/>
      <c r="AR993" s="76"/>
      <c r="AS993" s="76"/>
      <c r="AT993" s="76"/>
      <c r="AU993" s="76"/>
      <c r="AV993" s="76"/>
      <c r="AW993" s="76"/>
      <c r="AX993" s="76">
        <f>+AW993*600000</f>
        <v>0</v>
      </c>
      <c r="AY993" s="76"/>
      <c r="AZ993" s="76">
        <f>+AY993*70000</f>
        <v>0</v>
      </c>
      <c r="BA993" s="76"/>
      <c r="BB993" s="76"/>
      <c r="BC993" s="76"/>
      <c r="BD993" s="76">
        <f>+BC993*30000</f>
        <v>0</v>
      </c>
      <c r="BE993" s="76"/>
      <c r="BF993" s="76"/>
      <c r="BG993" s="76"/>
      <c r="BH993" s="76"/>
      <c r="BI993" s="76"/>
      <c r="BJ993" s="76"/>
      <c r="BK993" s="76"/>
      <c r="BL993" s="76">
        <f>+BK993*31500</f>
        <v>0</v>
      </c>
      <c r="BM993" s="76"/>
      <c r="BN993" s="76"/>
      <c r="BO993" s="76"/>
      <c r="BP993" s="76"/>
      <c r="BQ993" s="76"/>
      <c r="BR993" s="76"/>
      <c r="BS993" s="76"/>
      <c r="BT993" s="76"/>
      <c r="BU993" s="76"/>
      <c r="BV993" s="76"/>
      <c r="BW993" s="76"/>
      <c r="BX993" s="76"/>
      <c r="BY993" s="76"/>
      <c r="BZ993" s="76"/>
      <c r="CA993" s="76"/>
      <c r="CB993" s="76"/>
      <c r="CC993" s="76"/>
      <c r="CD993" s="76"/>
      <c r="CE993" s="76"/>
      <c r="CF993" s="76">
        <f>+CE993*28000</f>
        <v>0</v>
      </c>
      <c r="CG993" s="76"/>
      <c r="CH993" s="76">
        <f>+CG993*22500</f>
        <v>0</v>
      </c>
      <c r="CI993" s="76"/>
      <c r="CJ993" s="76">
        <f>+CI993*26000</f>
        <v>0</v>
      </c>
      <c r="CK993" s="76"/>
      <c r="CL993" s="76"/>
      <c r="CM993" s="76"/>
      <c r="CN993" s="76">
        <f>+CM993*22000</f>
        <v>0</v>
      </c>
      <c r="CO993" s="76"/>
      <c r="CP993" s="76">
        <f>+CO993*46000</f>
        <v>0</v>
      </c>
      <c r="CQ993" s="76"/>
      <c r="CR993" s="76">
        <f>+CQ993*49000</f>
        <v>0</v>
      </c>
      <c r="CS993" s="76"/>
      <c r="CT993" s="76"/>
      <c r="CU993" s="56">
        <f>AN993+AP993+AR993+AT993+AV993+AX993+AZ993+BB993+BD993+BF993+BH993+BJ993+BL993+BN993+BP993+BR993+BT993+BV993+BX993+BZ993+CB993+CD993+CF993+CH993+CJ993+CL993+CN993+CP993+CR993+CT993</f>
        <v>0</v>
      </c>
      <c r="CV993" s="76"/>
      <c r="CW993" s="76">
        <f>+CV993*1100</f>
        <v>0</v>
      </c>
      <c r="CX993" s="76"/>
      <c r="CY993" s="76">
        <f>+CX993*106250</f>
        <v>0</v>
      </c>
      <c r="CZ993" s="76"/>
      <c r="DA993" s="76">
        <f>+CZ993*34500</f>
        <v>0</v>
      </c>
      <c r="DB993" s="76"/>
      <c r="DC993" s="76">
        <f>+DB993*25000</f>
        <v>0</v>
      </c>
      <c r="DD993" s="219"/>
      <c r="DE993" s="219"/>
      <c r="DF993" s="166"/>
      <c r="DG993" s="116"/>
      <c r="DH993" s="117"/>
      <c r="DI993" s="24"/>
      <c r="DJ993" s="24"/>
      <c r="DK993" s="24"/>
      <c r="DL993" s="24"/>
      <c r="DM993" s="24"/>
      <c r="DN993" s="24"/>
      <c r="DO993" s="24"/>
      <c r="DP993" s="24"/>
      <c r="DQ993" s="24"/>
      <c r="DR993" s="24"/>
      <c r="DS993" s="24"/>
      <c r="DT993" s="24"/>
      <c r="DU993" s="24"/>
    </row>
    <row r="994" spans="1:125" s="8" customFormat="1" ht="36" x14ac:dyDescent="0.2">
      <c r="A994" s="353">
        <v>41335</v>
      </c>
      <c r="B994" s="352" t="s">
        <v>2778</v>
      </c>
      <c r="C994" s="354" t="s">
        <v>1344</v>
      </c>
      <c r="D994" s="81" t="s">
        <v>2846</v>
      </c>
      <c r="E994" s="75" t="str">
        <f>VLOOKUP(B994&amp;C994,Divipola!$C$2:$F$1138,4,FALSE)</f>
        <v>85001</v>
      </c>
      <c r="F994" s="87"/>
      <c r="G994" s="87"/>
      <c r="H994" s="87"/>
      <c r="I994" s="87"/>
      <c r="J994" s="87"/>
      <c r="K994" s="87"/>
      <c r="L994" s="87"/>
      <c r="M994" s="87"/>
      <c r="N994" s="87"/>
      <c r="O994" s="87"/>
      <c r="P994" s="87"/>
      <c r="Q994" s="87"/>
      <c r="R994" s="87"/>
      <c r="S994" s="87"/>
      <c r="T994" s="88"/>
      <c r="U994" s="180">
        <v>5</v>
      </c>
      <c r="V994" s="155"/>
      <c r="W994" s="96">
        <v>0</v>
      </c>
      <c r="X994" s="71">
        <f>CU994</f>
        <v>0</v>
      </c>
      <c r="Y994" s="71">
        <f>CY994</f>
        <v>0</v>
      </c>
      <c r="Z994" s="71">
        <f>DA994+DC994+DE994</f>
        <v>0</v>
      </c>
      <c r="AA994" s="71">
        <f>CW994</f>
        <v>0</v>
      </c>
      <c r="AB994" s="71"/>
      <c r="AC994" s="71">
        <v>0</v>
      </c>
      <c r="AD994" s="71">
        <f>W994+X994+Y994+Z994+AA994+AB994+AC994</f>
        <v>0</v>
      </c>
      <c r="AE994" s="72">
        <v>0</v>
      </c>
      <c r="AF994" s="5"/>
      <c r="AG994" s="6"/>
      <c r="AH994" s="27" t="s">
        <v>3392</v>
      </c>
      <c r="AI994" s="44" t="s">
        <v>3393</v>
      </c>
      <c r="AJ994" s="26"/>
      <c r="AK994" s="5"/>
      <c r="AL994" s="82" t="s">
        <v>3828</v>
      </c>
      <c r="AM994" s="76"/>
      <c r="AN994" s="76"/>
      <c r="AO994" s="76"/>
      <c r="AP994" s="76"/>
      <c r="AQ994" s="76"/>
      <c r="AR994" s="76"/>
      <c r="AS994" s="76"/>
      <c r="AT994" s="76"/>
      <c r="AU994" s="76"/>
      <c r="AV994" s="76"/>
      <c r="AW994" s="76"/>
      <c r="AX994" s="76">
        <f>+AW994*600000</f>
        <v>0</v>
      </c>
      <c r="AY994" s="76"/>
      <c r="AZ994" s="76">
        <f>+AY994*70000</f>
        <v>0</v>
      </c>
      <c r="BA994" s="76"/>
      <c r="BB994" s="76"/>
      <c r="BC994" s="76"/>
      <c r="BD994" s="76">
        <f>+BC994*30000</f>
        <v>0</v>
      </c>
      <c r="BE994" s="76"/>
      <c r="BF994" s="76"/>
      <c r="BG994" s="76"/>
      <c r="BH994" s="76"/>
      <c r="BI994" s="76"/>
      <c r="BJ994" s="76"/>
      <c r="BK994" s="76"/>
      <c r="BL994" s="76">
        <f>+BK994*31500</f>
        <v>0</v>
      </c>
      <c r="BM994" s="76"/>
      <c r="BN994" s="76"/>
      <c r="BO994" s="76"/>
      <c r="BP994" s="76"/>
      <c r="BQ994" s="76"/>
      <c r="BR994" s="76"/>
      <c r="BS994" s="76"/>
      <c r="BT994" s="76"/>
      <c r="BU994" s="76"/>
      <c r="BV994" s="76"/>
      <c r="BW994" s="76"/>
      <c r="BX994" s="76"/>
      <c r="BY994" s="76"/>
      <c r="BZ994" s="76"/>
      <c r="CA994" s="76"/>
      <c r="CB994" s="76"/>
      <c r="CC994" s="76"/>
      <c r="CD994" s="76"/>
      <c r="CE994" s="76"/>
      <c r="CF994" s="76">
        <f>+CE994*28000</f>
        <v>0</v>
      </c>
      <c r="CG994" s="76"/>
      <c r="CH994" s="76">
        <f>+CG994*22500</f>
        <v>0</v>
      </c>
      <c r="CI994" s="76"/>
      <c r="CJ994" s="76">
        <f>+CI994*26000</f>
        <v>0</v>
      </c>
      <c r="CK994" s="76"/>
      <c r="CL994" s="76"/>
      <c r="CM994" s="76"/>
      <c r="CN994" s="76">
        <f>+CM994*22000</f>
        <v>0</v>
      </c>
      <c r="CO994" s="76"/>
      <c r="CP994" s="76">
        <f>+CO994*46000</f>
        <v>0</v>
      </c>
      <c r="CQ994" s="76"/>
      <c r="CR994" s="76">
        <f>+CQ994*49000</f>
        <v>0</v>
      </c>
      <c r="CS994" s="76"/>
      <c r="CT994" s="76"/>
      <c r="CU994" s="56">
        <f>AN994+AP994+AR994+AT994+AV994+AX994+AZ994+BB994+BD994+BF994+BH994+BJ994+BL994+BN994+BP994+BR994+BT994+BV994+BX994+BZ994+CB994+CD994+CF994+CH994+CJ994+CL994+CN994+CP994+CR994+CT994</f>
        <v>0</v>
      </c>
      <c r="CV994" s="76"/>
      <c r="CW994" s="76">
        <f>+CV994*1100</f>
        <v>0</v>
      </c>
      <c r="CX994" s="76"/>
      <c r="CY994" s="76">
        <f>+CX994*106250</f>
        <v>0</v>
      </c>
      <c r="CZ994" s="76"/>
      <c r="DA994" s="76">
        <f>+CZ994*34500</f>
        <v>0</v>
      </c>
      <c r="DB994" s="76"/>
      <c r="DC994" s="76">
        <f>+DB994*25000</f>
        <v>0</v>
      </c>
      <c r="DD994" s="219"/>
      <c r="DE994" s="219"/>
      <c r="DF994" s="166"/>
      <c r="DG994" s="116"/>
      <c r="DH994" s="117"/>
      <c r="DI994" s="24"/>
      <c r="DJ994" s="24"/>
      <c r="DK994" s="24"/>
      <c r="DL994" s="24"/>
      <c r="DM994" s="24"/>
      <c r="DN994" s="24"/>
      <c r="DO994" s="24"/>
      <c r="DP994" s="24"/>
      <c r="DQ994" s="24"/>
      <c r="DR994" s="24"/>
      <c r="DS994" s="24"/>
      <c r="DT994" s="24"/>
      <c r="DU994" s="24"/>
    </row>
    <row r="995" spans="1:125" s="8" customFormat="1" ht="72" x14ac:dyDescent="0.2">
      <c r="A995" s="77">
        <v>41335</v>
      </c>
      <c r="B995" s="78" t="s">
        <v>2772</v>
      </c>
      <c r="C995" s="83" t="s">
        <v>2056</v>
      </c>
      <c r="D995" s="81" t="s">
        <v>2846</v>
      </c>
      <c r="E995" s="75" t="str">
        <f>VLOOKUP(B995&amp;C995,Divipola!$C$2:$F$1138,4,FALSE)</f>
        <v>25843</v>
      </c>
      <c r="F995" s="93"/>
      <c r="G995" s="93"/>
      <c r="H995" s="93"/>
      <c r="I995" s="93"/>
      <c r="J995" s="93"/>
      <c r="K995" s="93"/>
      <c r="L995" s="93"/>
      <c r="M995" s="93"/>
      <c r="N995" s="93"/>
      <c r="O995" s="93"/>
      <c r="P995" s="93"/>
      <c r="Q995" s="93"/>
      <c r="R995" s="93"/>
      <c r="S995" s="93"/>
      <c r="T995" s="93"/>
      <c r="U995" s="93">
        <v>0.5</v>
      </c>
      <c r="V995" s="89"/>
      <c r="W995" s="96">
        <v>0</v>
      </c>
      <c r="X995" s="71">
        <f>CU995</f>
        <v>0</v>
      </c>
      <c r="Y995" s="71">
        <f>CY995</f>
        <v>0</v>
      </c>
      <c r="Z995" s="71">
        <f>DA995+DC995+DE995</f>
        <v>0</v>
      </c>
      <c r="AA995" s="71">
        <f>CW995</f>
        <v>0</v>
      </c>
      <c r="AB995" s="71"/>
      <c r="AC995" s="71">
        <v>0</v>
      </c>
      <c r="AD995" s="71">
        <f>W995+X995+Y995+Z995+AA995+AB995+AC995</f>
        <v>0</v>
      </c>
      <c r="AE995" s="72">
        <v>0</v>
      </c>
      <c r="AF995" s="5"/>
      <c r="AG995" s="6"/>
      <c r="AH995" s="27" t="s">
        <v>3392</v>
      </c>
      <c r="AI995" s="44" t="s">
        <v>3393</v>
      </c>
      <c r="AJ995" s="26"/>
      <c r="AK995" s="5"/>
      <c r="AL995" s="82" t="s">
        <v>3916</v>
      </c>
      <c r="AM995" s="76"/>
      <c r="AN995" s="76"/>
      <c r="AO995" s="76"/>
      <c r="AP995" s="76"/>
      <c r="AQ995" s="76"/>
      <c r="AR995" s="76"/>
      <c r="AS995" s="76"/>
      <c r="AT995" s="76"/>
      <c r="AU995" s="76"/>
      <c r="AV995" s="76"/>
      <c r="AW995" s="76"/>
      <c r="AX995" s="76">
        <f>+AW995*600000</f>
        <v>0</v>
      </c>
      <c r="AY995" s="76"/>
      <c r="AZ995" s="76">
        <f>+AY995*70000</f>
        <v>0</v>
      </c>
      <c r="BA995" s="76"/>
      <c r="BB995" s="76"/>
      <c r="BC995" s="76"/>
      <c r="BD995" s="76">
        <f>+BC995*30000</f>
        <v>0</v>
      </c>
      <c r="BE995" s="76"/>
      <c r="BF995" s="76"/>
      <c r="BG995" s="76"/>
      <c r="BH995" s="76"/>
      <c r="BI995" s="76"/>
      <c r="BJ995" s="76"/>
      <c r="BK995" s="76"/>
      <c r="BL995" s="76">
        <f>+BK995*31500</f>
        <v>0</v>
      </c>
      <c r="BM995" s="76"/>
      <c r="BN995" s="76"/>
      <c r="BO995" s="76"/>
      <c r="BP995" s="76"/>
      <c r="BQ995" s="76"/>
      <c r="BR995" s="76"/>
      <c r="BS995" s="76"/>
      <c r="BT995" s="76"/>
      <c r="BU995" s="76"/>
      <c r="BV995" s="76"/>
      <c r="BW995" s="76"/>
      <c r="BX995" s="76"/>
      <c r="BY995" s="76"/>
      <c r="BZ995" s="76"/>
      <c r="CA995" s="76"/>
      <c r="CB995" s="76"/>
      <c r="CC995" s="76"/>
      <c r="CD995" s="76"/>
      <c r="CE995" s="76"/>
      <c r="CF995" s="76">
        <f>+CE995*28000</f>
        <v>0</v>
      </c>
      <c r="CG995" s="76"/>
      <c r="CH995" s="76">
        <f>+CG995*22500</f>
        <v>0</v>
      </c>
      <c r="CI995" s="76"/>
      <c r="CJ995" s="76">
        <f>+CI995*26000</f>
        <v>0</v>
      </c>
      <c r="CK995" s="76"/>
      <c r="CL995" s="76"/>
      <c r="CM995" s="76"/>
      <c r="CN995" s="76">
        <f>+CM995*22000</f>
        <v>0</v>
      </c>
      <c r="CO995" s="76"/>
      <c r="CP995" s="76">
        <f>+CO995*46000</f>
        <v>0</v>
      </c>
      <c r="CQ995" s="76"/>
      <c r="CR995" s="76">
        <f>+CQ995*49000</f>
        <v>0</v>
      </c>
      <c r="CS995" s="76"/>
      <c r="CT995" s="76"/>
      <c r="CU995" s="56">
        <f>AN995+AP995+AR995+AT995+AV995+AX995+AZ995+BB995+BD995+BF995+BH995+BJ995+BL995+BN995+BP995+BR995+BT995+BV995+BX995+BZ995+CB995+CD995+CF995+CH995+CJ995+CL995+CN995+CP995+CR995+CT995</f>
        <v>0</v>
      </c>
      <c r="CV995" s="76"/>
      <c r="CW995" s="76">
        <f>+CV995*1100</f>
        <v>0</v>
      </c>
      <c r="CX995" s="76"/>
      <c r="CY995" s="76">
        <f>+CX995*106250</f>
        <v>0</v>
      </c>
      <c r="CZ995" s="76"/>
      <c r="DA995" s="76">
        <f>+CZ995*34500</f>
        <v>0</v>
      </c>
      <c r="DB995" s="76"/>
      <c r="DC995" s="76">
        <f>+DB995*25000</f>
        <v>0</v>
      </c>
      <c r="DD995" s="219"/>
      <c r="DE995" s="219"/>
      <c r="DF995" s="166"/>
      <c r="DG995" s="116"/>
      <c r="DH995" s="117"/>
      <c r="DI995" s="24"/>
      <c r="DJ995" s="24"/>
      <c r="DK995" s="24"/>
      <c r="DL995" s="24"/>
      <c r="DM995" s="24"/>
      <c r="DN995" s="24"/>
      <c r="DO995" s="24"/>
      <c r="DP995" s="24"/>
      <c r="DQ995" s="24"/>
      <c r="DR995" s="24"/>
      <c r="DS995" s="24"/>
      <c r="DT995" s="24"/>
      <c r="DU995" s="24"/>
    </row>
    <row r="996" spans="1:125" s="8" customFormat="1" ht="84" x14ac:dyDescent="0.2">
      <c r="A996" s="172">
        <v>41335</v>
      </c>
      <c r="B996" s="173" t="s">
        <v>2851</v>
      </c>
      <c r="C996" s="174" t="s">
        <v>2688</v>
      </c>
      <c r="D996" s="75" t="s">
        <v>3051</v>
      </c>
      <c r="E996" s="75" t="str">
        <f>VLOOKUP(B996&amp;C996,Divipola!$C$2:$F$1138,4,FALSE)</f>
        <v>76736</v>
      </c>
      <c r="F996" s="87"/>
      <c r="G996" s="87"/>
      <c r="H996" s="87"/>
      <c r="I996" s="87">
        <v>325</v>
      </c>
      <c r="J996" s="87">
        <v>65</v>
      </c>
      <c r="K996" s="87"/>
      <c r="L996" s="87">
        <v>65</v>
      </c>
      <c r="M996" s="87"/>
      <c r="N996" s="87"/>
      <c r="O996" s="87"/>
      <c r="P996" s="87"/>
      <c r="Q996" s="87"/>
      <c r="R996" s="87"/>
      <c r="S996" s="87"/>
      <c r="T996" s="87"/>
      <c r="U996" s="88"/>
      <c r="V996" s="89"/>
      <c r="W996" s="96">
        <v>0</v>
      </c>
      <c r="X996" s="71">
        <f>CU996</f>
        <v>0</v>
      </c>
      <c r="Y996" s="71">
        <f>CY996</f>
        <v>0</v>
      </c>
      <c r="Z996" s="71">
        <f>DA996+DC996+DE996</f>
        <v>0</v>
      </c>
      <c r="AA996" s="71">
        <f>CW996</f>
        <v>0</v>
      </c>
      <c r="AB996" s="71"/>
      <c r="AC996" s="71">
        <v>0</v>
      </c>
      <c r="AD996" s="71">
        <f>W996+X996+Y996+Z996+AA996+AB996+AC996</f>
        <v>0</v>
      </c>
      <c r="AE996" s="72">
        <v>0</v>
      </c>
      <c r="AF996" s="5"/>
      <c r="AG996" s="6"/>
      <c r="AH996" s="27" t="s">
        <v>3392</v>
      </c>
      <c r="AI996" s="44" t="s">
        <v>3393</v>
      </c>
      <c r="AJ996" s="26"/>
      <c r="AK996" s="5"/>
      <c r="AL996" s="82" t="s">
        <v>3720</v>
      </c>
      <c r="AM996" s="76"/>
      <c r="AN996" s="76"/>
      <c r="AO996" s="76"/>
      <c r="AP996" s="76"/>
      <c r="AQ996" s="76"/>
      <c r="AR996" s="76"/>
      <c r="AS996" s="76"/>
      <c r="AT996" s="76"/>
      <c r="AU996" s="76"/>
      <c r="AV996" s="76"/>
      <c r="AW996" s="76"/>
      <c r="AX996" s="76">
        <f>+AW996*600000</f>
        <v>0</v>
      </c>
      <c r="AY996" s="76"/>
      <c r="AZ996" s="76">
        <f>+AY996*70000</f>
        <v>0</v>
      </c>
      <c r="BA996" s="76"/>
      <c r="BB996" s="76"/>
      <c r="BC996" s="76"/>
      <c r="BD996" s="76">
        <f>+BC996*30000</f>
        <v>0</v>
      </c>
      <c r="BE996" s="76"/>
      <c r="BF996" s="76"/>
      <c r="BG996" s="76"/>
      <c r="BH996" s="76"/>
      <c r="BI996" s="76"/>
      <c r="BJ996" s="76"/>
      <c r="BK996" s="76"/>
      <c r="BL996" s="76">
        <f>+BK996*31500</f>
        <v>0</v>
      </c>
      <c r="BM996" s="76"/>
      <c r="BN996" s="76"/>
      <c r="BO996" s="76"/>
      <c r="BP996" s="76"/>
      <c r="BQ996" s="76"/>
      <c r="BR996" s="76"/>
      <c r="BS996" s="76"/>
      <c r="BT996" s="76"/>
      <c r="BU996" s="76"/>
      <c r="BV996" s="76"/>
      <c r="BW996" s="76"/>
      <c r="BX996" s="76"/>
      <c r="BY996" s="76"/>
      <c r="BZ996" s="76"/>
      <c r="CA996" s="76"/>
      <c r="CB996" s="76"/>
      <c r="CC996" s="76"/>
      <c r="CD996" s="76"/>
      <c r="CE996" s="76"/>
      <c r="CF996" s="76">
        <f>+CE996*28000</f>
        <v>0</v>
      </c>
      <c r="CG996" s="76"/>
      <c r="CH996" s="76">
        <f>+CG996*22500</f>
        <v>0</v>
      </c>
      <c r="CI996" s="76"/>
      <c r="CJ996" s="76">
        <f>+CI996*26000</f>
        <v>0</v>
      </c>
      <c r="CK996" s="76"/>
      <c r="CL996" s="76"/>
      <c r="CM996" s="76"/>
      <c r="CN996" s="76">
        <f>+CM996*22000</f>
        <v>0</v>
      </c>
      <c r="CO996" s="76"/>
      <c r="CP996" s="76">
        <f>+CO996*46000</f>
        <v>0</v>
      </c>
      <c r="CQ996" s="76"/>
      <c r="CR996" s="76">
        <f>+CQ996*49000</f>
        <v>0</v>
      </c>
      <c r="CS996" s="76"/>
      <c r="CT996" s="76"/>
      <c r="CU996" s="56">
        <f>AN996+AP996+AR996+AT996+AV996+AX996+AZ996+BB996+BD996+BF996+BH996+BJ996+BL996+BN996+BP996+BR996+BT996+BV996+BX996+BZ996+CB996+CD996+CF996+CH996+CJ996+CL996+CN996+CP996+CR996+CT996</f>
        <v>0</v>
      </c>
      <c r="CV996" s="76"/>
      <c r="CW996" s="76">
        <f>+CV996*1100</f>
        <v>0</v>
      </c>
      <c r="CX996" s="76"/>
      <c r="CY996" s="76">
        <f>+CX996*106250</f>
        <v>0</v>
      </c>
      <c r="CZ996" s="76"/>
      <c r="DA996" s="76">
        <f>+CZ996*34500</f>
        <v>0</v>
      </c>
      <c r="DB996" s="76"/>
      <c r="DC996" s="76">
        <f>+DB996*25000</f>
        <v>0</v>
      </c>
      <c r="DD996" s="219"/>
      <c r="DE996" s="219"/>
      <c r="DF996" s="166"/>
      <c r="DG996" s="116"/>
      <c r="DH996" s="117"/>
      <c r="DI996" s="24"/>
      <c r="DJ996" s="24"/>
      <c r="DK996" s="24"/>
      <c r="DL996" s="24"/>
      <c r="DM996" s="24"/>
      <c r="DN996" s="24"/>
      <c r="DO996" s="24"/>
      <c r="DP996" s="24"/>
      <c r="DQ996" s="24"/>
      <c r="DR996" s="24"/>
      <c r="DS996" s="24"/>
      <c r="DT996" s="24"/>
      <c r="DU996" s="24"/>
    </row>
    <row r="997" spans="1:125" s="8" customFormat="1" ht="84" x14ac:dyDescent="0.2">
      <c r="A997" s="77">
        <v>41336</v>
      </c>
      <c r="B997" s="225" t="s">
        <v>2881</v>
      </c>
      <c r="C997" s="227" t="s">
        <v>2767</v>
      </c>
      <c r="D997" s="227" t="s">
        <v>2882</v>
      </c>
      <c r="E997" s="75" t="str">
        <f>VLOOKUP(B997&amp;C997,Divipola!$C$2:$F$1138,4,FALSE)</f>
        <v>08001</v>
      </c>
      <c r="F997" s="87"/>
      <c r="G997" s="87">
        <v>2</v>
      </c>
      <c r="H997" s="87"/>
      <c r="I997" s="87">
        <v>15</v>
      </c>
      <c r="J997" s="87">
        <v>5</v>
      </c>
      <c r="K997" s="87"/>
      <c r="L997" s="87">
        <v>5</v>
      </c>
      <c r="M997" s="87"/>
      <c r="N997" s="87"/>
      <c r="O997" s="87"/>
      <c r="P997" s="87"/>
      <c r="Q997" s="87"/>
      <c r="R997" s="87"/>
      <c r="S997" s="87"/>
      <c r="T997" s="87"/>
      <c r="U997" s="88"/>
      <c r="V997" s="89"/>
      <c r="W997" s="96">
        <v>0</v>
      </c>
      <c r="X997" s="71">
        <f>CU997</f>
        <v>0</v>
      </c>
      <c r="Y997" s="71">
        <f>CY997</f>
        <v>0</v>
      </c>
      <c r="Z997" s="71">
        <f>DA997+DC997+DE997</f>
        <v>0</v>
      </c>
      <c r="AA997" s="71">
        <f>CW997</f>
        <v>0</v>
      </c>
      <c r="AB997" s="71"/>
      <c r="AC997" s="71">
        <v>0</v>
      </c>
      <c r="AD997" s="71">
        <f>W997+X997+Y997+Z997+AA997+AB997+AC997</f>
        <v>0</v>
      </c>
      <c r="AE997" s="72">
        <v>0</v>
      </c>
      <c r="AF997" s="5"/>
      <c r="AG997" s="6"/>
      <c r="AH997" s="27" t="s">
        <v>3392</v>
      </c>
      <c r="AI997" s="44" t="s">
        <v>3393</v>
      </c>
      <c r="AJ997" s="26"/>
      <c r="AK997" s="5"/>
      <c r="AL997" s="82" t="s">
        <v>3718</v>
      </c>
      <c r="AM997" s="76"/>
      <c r="AN997" s="76"/>
      <c r="AO997" s="76"/>
      <c r="AP997" s="76"/>
      <c r="AQ997" s="76"/>
      <c r="AR997" s="76"/>
      <c r="AS997" s="76"/>
      <c r="AT997" s="76"/>
      <c r="AU997" s="76"/>
      <c r="AV997" s="76"/>
      <c r="AW997" s="76"/>
      <c r="AX997" s="76">
        <f>+AW997*600000</f>
        <v>0</v>
      </c>
      <c r="AY997" s="76"/>
      <c r="AZ997" s="76">
        <f>+AY997*70000</f>
        <v>0</v>
      </c>
      <c r="BA997" s="76"/>
      <c r="BB997" s="76"/>
      <c r="BC997" s="76"/>
      <c r="BD997" s="76">
        <f>+BC997*30000</f>
        <v>0</v>
      </c>
      <c r="BE997" s="76"/>
      <c r="BF997" s="76"/>
      <c r="BG997" s="76"/>
      <c r="BH997" s="76"/>
      <c r="BI997" s="76"/>
      <c r="BJ997" s="76"/>
      <c r="BK997" s="76"/>
      <c r="BL997" s="76">
        <f>+BK997*31500</f>
        <v>0</v>
      </c>
      <c r="BM997" s="76"/>
      <c r="BN997" s="76"/>
      <c r="BO997" s="76"/>
      <c r="BP997" s="76"/>
      <c r="BQ997" s="76"/>
      <c r="BR997" s="76"/>
      <c r="BS997" s="76"/>
      <c r="BT997" s="76"/>
      <c r="BU997" s="76"/>
      <c r="BV997" s="76"/>
      <c r="BW997" s="76"/>
      <c r="BX997" s="76"/>
      <c r="BY997" s="76"/>
      <c r="BZ997" s="76"/>
      <c r="CA997" s="76"/>
      <c r="CB997" s="76"/>
      <c r="CC997" s="76"/>
      <c r="CD997" s="76"/>
      <c r="CE997" s="76"/>
      <c r="CF997" s="76">
        <f>+CE997*28000</f>
        <v>0</v>
      </c>
      <c r="CG997" s="76"/>
      <c r="CH997" s="76">
        <f>+CG997*22500</f>
        <v>0</v>
      </c>
      <c r="CI997" s="76"/>
      <c r="CJ997" s="76">
        <f>+CI997*26000</f>
        <v>0</v>
      </c>
      <c r="CK997" s="76"/>
      <c r="CL997" s="76"/>
      <c r="CM997" s="76"/>
      <c r="CN997" s="76">
        <f>+CM997*22000</f>
        <v>0</v>
      </c>
      <c r="CO997" s="76"/>
      <c r="CP997" s="76">
        <f>+CO997*46000</f>
        <v>0</v>
      </c>
      <c r="CQ997" s="76"/>
      <c r="CR997" s="76">
        <f>+CQ997*49000</f>
        <v>0</v>
      </c>
      <c r="CS997" s="76"/>
      <c r="CT997" s="76"/>
      <c r="CU997" s="56">
        <f>AN997+AP997+AR997+AT997+AV997+AX997+AZ997+BB997+BD997+BF997+BH997+BJ997+BL997+BN997+BP997+BR997+BT997+BV997+BX997+BZ997+CB997+CD997+CF997+CH997+CJ997+CL997+CN997+CP997+CR997+CT997</f>
        <v>0</v>
      </c>
      <c r="CV997" s="76"/>
      <c r="CW997" s="76">
        <f>+CV997*1100</f>
        <v>0</v>
      </c>
      <c r="CX997" s="76"/>
      <c r="CY997" s="76">
        <f>+CX997*106250</f>
        <v>0</v>
      </c>
      <c r="CZ997" s="76"/>
      <c r="DA997" s="76">
        <f>+CZ997*34500</f>
        <v>0</v>
      </c>
      <c r="DB997" s="76"/>
      <c r="DC997" s="76">
        <f>+DB997*25000</f>
        <v>0</v>
      </c>
      <c r="DD997" s="219"/>
      <c r="DE997" s="219"/>
      <c r="DF997" s="166"/>
      <c r="DG997" s="116"/>
      <c r="DH997" s="117"/>
      <c r="DI997" s="24"/>
      <c r="DJ997" s="24"/>
      <c r="DK997" s="24"/>
      <c r="DL997" s="24"/>
      <c r="DM997" s="24"/>
      <c r="DN997" s="24"/>
      <c r="DO997" s="24"/>
      <c r="DP997" s="24"/>
      <c r="DQ997" s="24"/>
      <c r="DR997" s="24"/>
      <c r="DS997" s="24"/>
      <c r="DT997" s="24"/>
      <c r="DU997" s="24"/>
    </row>
    <row r="998" spans="1:125" s="8" customFormat="1" ht="48" x14ac:dyDescent="0.2">
      <c r="A998" s="77">
        <v>41336</v>
      </c>
      <c r="B998" s="225" t="s">
        <v>2700</v>
      </c>
      <c r="C998" s="227" t="s">
        <v>1700</v>
      </c>
      <c r="D998" s="81" t="s">
        <v>2846</v>
      </c>
      <c r="E998" s="75" t="str">
        <f>VLOOKUP(B998&amp;C998,Divipola!$C$2:$F$1138,4,FALSE)</f>
        <v>15238</v>
      </c>
      <c r="F998" s="87"/>
      <c r="G998" s="87"/>
      <c r="H998" s="87"/>
      <c r="I998" s="87"/>
      <c r="J998" s="87"/>
      <c r="K998" s="87"/>
      <c r="L998" s="87"/>
      <c r="M998" s="87"/>
      <c r="N998" s="87"/>
      <c r="O998" s="87"/>
      <c r="P998" s="87"/>
      <c r="Q998" s="87"/>
      <c r="R998" s="87"/>
      <c r="S998" s="87"/>
      <c r="T998" s="87"/>
      <c r="U998" s="88"/>
      <c r="V998" s="89"/>
      <c r="W998" s="96">
        <v>0</v>
      </c>
      <c r="X998" s="71">
        <f>CU998</f>
        <v>0</v>
      </c>
      <c r="Y998" s="71">
        <f>CY998</f>
        <v>0</v>
      </c>
      <c r="Z998" s="71">
        <f>DA998+DC998+DE998</f>
        <v>0</v>
      </c>
      <c r="AA998" s="71">
        <f>CW998</f>
        <v>0</v>
      </c>
      <c r="AB998" s="71"/>
      <c r="AC998" s="71">
        <v>0</v>
      </c>
      <c r="AD998" s="71">
        <f>W998+X998+Y998+Z998+AA998+AB998+AC998</f>
        <v>0</v>
      </c>
      <c r="AE998" s="72">
        <v>0</v>
      </c>
      <c r="AF998" s="5"/>
      <c r="AG998" s="6"/>
      <c r="AH998" s="27" t="s">
        <v>3392</v>
      </c>
      <c r="AI998" s="44" t="s">
        <v>3393</v>
      </c>
      <c r="AJ998" s="26"/>
      <c r="AK998" s="5"/>
      <c r="AL998" s="82" t="s">
        <v>3719</v>
      </c>
      <c r="AM998" s="76"/>
      <c r="AN998" s="76"/>
      <c r="AO998" s="76"/>
      <c r="AP998" s="76"/>
      <c r="AQ998" s="76"/>
      <c r="AR998" s="76"/>
      <c r="AS998" s="76"/>
      <c r="AT998" s="76"/>
      <c r="AU998" s="76"/>
      <c r="AV998" s="76"/>
      <c r="AW998" s="76"/>
      <c r="AX998" s="76">
        <f>+AW998*600000</f>
        <v>0</v>
      </c>
      <c r="AY998" s="76"/>
      <c r="AZ998" s="76">
        <f>+AY998*70000</f>
        <v>0</v>
      </c>
      <c r="BA998" s="76"/>
      <c r="BB998" s="76"/>
      <c r="BC998" s="76"/>
      <c r="BD998" s="76">
        <f>+BC998*30000</f>
        <v>0</v>
      </c>
      <c r="BE998" s="76"/>
      <c r="BF998" s="76"/>
      <c r="BG998" s="76"/>
      <c r="BH998" s="76"/>
      <c r="BI998" s="76"/>
      <c r="BJ998" s="76"/>
      <c r="BK998" s="76"/>
      <c r="BL998" s="76">
        <f>+BK998*31500</f>
        <v>0</v>
      </c>
      <c r="BM998" s="76"/>
      <c r="BN998" s="76"/>
      <c r="BO998" s="76"/>
      <c r="BP998" s="76"/>
      <c r="BQ998" s="76"/>
      <c r="BR998" s="76"/>
      <c r="BS998" s="76"/>
      <c r="BT998" s="76"/>
      <c r="BU998" s="76"/>
      <c r="BV998" s="76"/>
      <c r="BW998" s="76"/>
      <c r="BX998" s="76"/>
      <c r="BY998" s="76"/>
      <c r="BZ998" s="76"/>
      <c r="CA998" s="76"/>
      <c r="CB998" s="76"/>
      <c r="CC998" s="76"/>
      <c r="CD998" s="76"/>
      <c r="CE998" s="76"/>
      <c r="CF998" s="76">
        <f>+CE998*28000</f>
        <v>0</v>
      </c>
      <c r="CG998" s="76"/>
      <c r="CH998" s="76">
        <f>+CG998*22500</f>
        <v>0</v>
      </c>
      <c r="CI998" s="76"/>
      <c r="CJ998" s="76">
        <f>+CI998*26000</f>
        <v>0</v>
      </c>
      <c r="CK998" s="76"/>
      <c r="CL998" s="76"/>
      <c r="CM998" s="76"/>
      <c r="CN998" s="76">
        <f>+CM998*22000</f>
        <v>0</v>
      </c>
      <c r="CO998" s="76"/>
      <c r="CP998" s="76">
        <f>+CO998*46000</f>
        <v>0</v>
      </c>
      <c r="CQ998" s="76"/>
      <c r="CR998" s="76">
        <f>+CQ998*49000</f>
        <v>0</v>
      </c>
      <c r="CS998" s="76"/>
      <c r="CT998" s="76"/>
      <c r="CU998" s="56">
        <f>AN998+AP998+AR998+AT998+AV998+AX998+AZ998+BB998+BD998+BF998+BH998+BJ998+BL998+BN998+BP998+BR998+BT998+BV998+BX998+BZ998+CB998+CD998+CF998+CH998+CJ998+CL998+CN998+CP998+CR998+CT998</f>
        <v>0</v>
      </c>
      <c r="CV998" s="76"/>
      <c r="CW998" s="76">
        <f>+CV998*1100</f>
        <v>0</v>
      </c>
      <c r="CX998" s="76"/>
      <c r="CY998" s="76">
        <f>+CX998*106250</f>
        <v>0</v>
      </c>
      <c r="CZ998" s="76"/>
      <c r="DA998" s="76">
        <f>+CZ998*34500</f>
        <v>0</v>
      </c>
      <c r="DB998" s="76"/>
      <c r="DC998" s="76">
        <f>+DB998*25000</f>
        <v>0</v>
      </c>
      <c r="DD998" s="219"/>
      <c r="DE998" s="219"/>
      <c r="DF998" s="166"/>
      <c r="DG998" s="116"/>
      <c r="DH998" s="117"/>
      <c r="DI998" s="24"/>
      <c r="DJ998" s="24"/>
      <c r="DK998" s="24"/>
      <c r="DL998" s="24"/>
      <c r="DM998" s="24"/>
      <c r="DN998" s="24"/>
      <c r="DO998" s="24"/>
      <c r="DP998" s="24"/>
      <c r="DQ998" s="24"/>
      <c r="DR998" s="24"/>
      <c r="DS998" s="24"/>
      <c r="DT998" s="24"/>
      <c r="DU998" s="24"/>
    </row>
    <row r="999" spans="1:125" s="8" customFormat="1" ht="60" x14ac:dyDescent="0.2">
      <c r="A999" s="77">
        <v>41336</v>
      </c>
      <c r="B999" s="60" t="s">
        <v>2700</v>
      </c>
      <c r="C999" s="55" t="s">
        <v>1375</v>
      </c>
      <c r="D999" s="81" t="s">
        <v>2846</v>
      </c>
      <c r="E999" s="75" t="str">
        <f>VLOOKUP(B999&amp;C999,Divipola!$C$2:$F$1138,4,FALSE)</f>
        <v>15759</v>
      </c>
      <c r="F999" s="87"/>
      <c r="G999" s="87"/>
      <c r="H999" s="87"/>
      <c r="I999" s="87"/>
      <c r="J999" s="87"/>
      <c r="K999" s="87"/>
      <c r="L999" s="87"/>
      <c r="M999" s="87"/>
      <c r="N999" s="87"/>
      <c r="O999" s="87"/>
      <c r="P999" s="87"/>
      <c r="Q999" s="87"/>
      <c r="R999" s="87"/>
      <c r="S999" s="87"/>
      <c r="T999" s="87"/>
      <c r="U999" s="88"/>
      <c r="V999" s="89"/>
      <c r="W999" s="96">
        <v>0</v>
      </c>
      <c r="X999" s="71">
        <f>CU999</f>
        <v>0</v>
      </c>
      <c r="Y999" s="71">
        <f>CY999</f>
        <v>0</v>
      </c>
      <c r="Z999" s="71">
        <f>DA999+DC999+DE999</f>
        <v>0</v>
      </c>
      <c r="AA999" s="71">
        <f>CW999</f>
        <v>0</v>
      </c>
      <c r="AB999" s="71"/>
      <c r="AC999" s="71">
        <v>0</v>
      </c>
      <c r="AD999" s="71">
        <f>W999+X999+Y999+Z999+AA999+AB999+AC999</f>
        <v>0</v>
      </c>
      <c r="AE999" s="72">
        <v>0</v>
      </c>
      <c r="AF999" s="5"/>
      <c r="AG999" s="6"/>
      <c r="AH999" s="27" t="s">
        <v>3392</v>
      </c>
      <c r="AI999" s="44" t="s">
        <v>3393</v>
      </c>
      <c r="AJ999" s="26"/>
      <c r="AK999" s="5"/>
      <c r="AL999" s="82" t="s">
        <v>3717</v>
      </c>
      <c r="AM999" s="76"/>
      <c r="AN999" s="76"/>
      <c r="AO999" s="76"/>
      <c r="AP999" s="76"/>
      <c r="AQ999" s="76"/>
      <c r="AR999" s="76"/>
      <c r="AS999" s="76"/>
      <c r="AT999" s="76"/>
      <c r="AU999" s="76"/>
      <c r="AV999" s="76"/>
      <c r="AW999" s="76"/>
      <c r="AX999" s="76">
        <f>+AW999*600000</f>
        <v>0</v>
      </c>
      <c r="AY999" s="76"/>
      <c r="AZ999" s="76">
        <f>+AY999*70000</f>
        <v>0</v>
      </c>
      <c r="BA999" s="76"/>
      <c r="BB999" s="76"/>
      <c r="BC999" s="76"/>
      <c r="BD999" s="76">
        <f>+BC999*30000</f>
        <v>0</v>
      </c>
      <c r="BE999" s="76"/>
      <c r="BF999" s="76"/>
      <c r="BG999" s="76"/>
      <c r="BH999" s="76"/>
      <c r="BI999" s="76"/>
      <c r="BJ999" s="76"/>
      <c r="BK999" s="76"/>
      <c r="BL999" s="76">
        <f>+BK999*31500</f>
        <v>0</v>
      </c>
      <c r="BM999" s="76"/>
      <c r="BN999" s="76"/>
      <c r="BO999" s="76"/>
      <c r="BP999" s="76"/>
      <c r="BQ999" s="76"/>
      <c r="BR999" s="76"/>
      <c r="BS999" s="76"/>
      <c r="BT999" s="76"/>
      <c r="BU999" s="76"/>
      <c r="BV999" s="76"/>
      <c r="BW999" s="76"/>
      <c r="BX999" s="76"/>
      <c r="BY999" s="76"/>
      <c r="BZ999" s="76"/>
      <c r="CA999" s="76"/>
      <c r="CB999" s="76"/>
      <c r="CC999" s="76"/>
      <c r="CD999" s="76"/>
      <c r="CE999" s="76"/>
      <c r="CF999" s="76">
        <f>+CE999*28000</f>
        <v>0</v>
      </c>
      <c r="CG999" s="76"/>
      <c r="CH999" s="76">
        <f>+CG999*22500</f>
        <v>0</v>
      </c>
      <c r="CI999" s="76"/>
      <c r="CJ999" s="76">
        <f>+CI999*26000</f>
        <v>0</v>
      </c>
      <c r="CK999" s="76"/>
      <c r="CL999" s="76"/>
      <c r="CM999" s="76"/>
      <c r="CN999" s="76">
        <f>+CM999*22000</f>
        <v>0</v>
      </c>
      <c r="CO999" s="76"/>
      <c r="CP999" s="76">
        <f>+CO999*46000</f>
        <v>0</v>
      </c>
      <c r="CQ999" s="76"/>
      <c r="CR999" s="76">
        <f>+CQ999*49000</f>
        <v>0</v>
      </c>
      <c r="CS999" s="76"/>
      <c r="CT999" s="76"/>
      <c r="CU999" s="56">
        <f>AN999+AP999+AR999+AT999+AV999+AX999+AZ999+BB999+BD999+BF999+BH999+BJ999+BL999+BN999+BP999+BR999+BT999+BV999+BX999+BZ999+CB999+CD999+CF999+CH999+CJ999+CL999+CN999+CP999+CR999+CT999</f>
        <v>0</v>
      </c>
      <c r="CV999" s="76"/>
      <c r="CW999" s="76">
        <f>+CV999*1100</f>
        <v>0</v>
      </c>
      <c r="CX999" s="76"/>
      <c r="CY999" s="76">
        <f>+CX999*106250</f>
        <v>0</v>
      </c>
      <c r="CZ999" s="76"/>
      <c r="DA999" s="76">
        <f>+CZ999*34500</f>
        <v>0</v>
      </c>
      <c r="DB999" s="76"/>
      <c r="DC999" s="76">
        <f>+DB999*25000</f>
        <v>0</v>
      </c>
      <c r="DD999" s="219"/>
      <c r="DE999" s="219"/>
      <c r="DF999" s="164"/>
      <c r="DG999" s="116"/>
      <c r="DH999" s="117"/>
      <c r="DI999" s="24"/>
      <c r="DJ999" s="24"/>
      <c r="DK999" s="24"/>
      <c r="DL999" s="24"/>
      <c r="DM999" s="24"/>
      <c r="DN999" s="24"/>
      <c r="DO999" s="24"/>
      <c r="DP999" s="24"/>
      <c r="DQ999" s="24"/>
      <c r="DR999" s="24"/>
      <c r="DS999" s="24"/>
      <c r="DT999" s="24"/>
      <c r="DU999" s="24"/>
    </row>
    <row r="1000" spans="1:125" s="8" customFormat="1" ht="36" x14ac:dyDescent="0.2">
      <c r="A1000" s="77">
        <v>41336</v>
      </c>
      <c r="B1000" s="78" t="s">
        <v>2778</v>
      </c>
      <c r="C1000" s="227" t="s">
        <v>2547</v>
      </c>
      <c r="D1000" s="81" t="s">
        <v>2846</v>
      </c>
      <c r="E1000" s="75" t="str">
        <f>VLOOKUP(B1000&amp;C1000,Divipola!$C$2:$F$1138,4,FALSE)</f>
        <v>85300</v>
      </c>
      <c r="F1000" s="100"/>
      <c r="G1000" s="100"/>
      <c r="H1000" s="100"/>
      <c r="I1000" s="100"/>
      <c r="J1000" s="100"/>
      <c r="K1000" s="100"/>
      <c r="L1000" s="100"/>
      <c r="M1000" s="100"/>
      <c r="N1000" s="100"/>
      <c r="O1000" s="100"/>
      <c r="P1000" s="100"/>
      <c r="Q1000" s="100"/>
      <c r="R1000" s="100"/>
      <c r="S1000" s="100"/>
      <c r="T1000" s="155"/>
      <c r="U1000" s="181">
        <v>5</v>
      </c>
      <c r="V1000" s="89"/>
      <c r="W1000" s="96">
        <v>0</v>
      </c>
      <c r="X1000" s="71">
        <f>CU1000</f>
        <v>0</v>
      </c>
      <c r="Y1000" s="71">
        <f>CY1000</f>
        <v>0</v>
      </c>
      <c r="Z1000" s="71">
        <f>DA1000+DC1000+DE1000</f>
        <v>0</v>
      </c>
      <c r="AA1000" s="71">
        <f>CW1000</f>
        <v>0</v>
      </c>
      <c r="AB1000" s="71"/>
      <c r="AC1000" s="71">
        <v>0</v>
      </c>
      <c r="AD1000" s="71">
        <f>W1000+X1000+Y1000+Z1000+AA1000+AB1000+AC1000</f>
        <v>0</v>
      </c>
      <c r="AE1000" s="72">
        <v>0</v>
      </c>
      <c r="AF1000" s="5"/>
      <c r="AG1000" s="6"/>
      <c r="AH1000" s="27" t="s">
        <v>3392</v>
      </c>
      <c r="AI1000" s="44" t="s">
        <v>3393</v>
      </c>
      <c r="AJ1000" s="26"/>
      <c r="AK1000" s="5"/>
      <c r="AL1000" s="82" t="s">
        <v>3822</v>
      </c>
      <c r="AM1000" s="76"/>
      <c r="AN1000" s="76"/>
      <c r="AO1000" s="76"/>
      <c r="AP1000" s="76"/>
      <c r="AQ1000" s="76"/>
      <c r="AR1000" s="76"/>
      <c r="AS1000" s="76"/>
      <c r="AT1000" s="76"/>
      <c r="AU1000" s="76"/>
      <c r="AV1000" s="76"/>
      <c r="AW1000" s="76"/>
      <c r="AX1000" s="76">
        <f>+AW1000*600000</f>
        <v>0</v>
      </c>
      <c r="AY1000" s="76"/>
      <c r="AZ1000" s="76">
        <f>+AY1000*70000</f>
        <v>0</v>
      </c>
      <c r="BA1000" s="76"/>
      <c r="BB1000" s="76"/>
      <c r="BC1000" s="76"/>
      <c r="BD1000" s="76">
        <f>+BC1000*30000</f>
        <v>0</v>
      </c>
      <c r="BE1000" s="76"/>
      <c r="BF1000" s="76"/>
      <c r="BG1000" s="76"/>
      <c r="BH1000" s="76"/>
      <c r="BI1000" s="76"/>
      <c r="BJ1000" s="76"/>
      <c r="BK1000" s="76"/>
      <c r="BL1000" s="76">
        <f>+BK1000*31500</f>
        <v>0</v>
      </c>
      <c r="BM1000" s="76"/>
      <c r="BN1000" s="76"/>
      <c r="BO1000" s="76"/>
      <c r="BP1000" s="76"/>
      <c r="BQ1000" s="76"/>
      <c r="BR1000" s="76"/>
      <c r="BS1000" s="76"/>
      <c r="BT1000" s="76"/>
      <c r="BU1000" s="76"/>
      <c r="BV1000" s="76"/>
      <c r="BW1000" s="76"/>
      <c r="BX1000" s="76"/>
      <c r="BY1000" s="76"/>
      <c r="BZ1000" s="76"/>
      <c r="CA1000" s="76"/>
      <c r="CB1000" s="76"/>
      <c r="CC1000" s="76"/>
      <c r="CD1000" s="76"/>
      <c r="CE1000" s="76"/>
      <c r="CF1000" s="76">
        <f>+CE1000*28000</f>
        <v>0</v>
      </c>
      <c r="CG1000" s="76"/>
      <c r="CH1000" s="76">
        <f>+CG1000*22500</f>
        <v>0</v>
      </c>
      <c r="CI1000" s="76"/>
      <c r="CJ1000" s="76">
        <f>+CI1000*26000</f>
        <v>0</v>
      </c>
      <c r="CK1000" s="76"/>
      <c r="CL1000" s="76"/>
      <c r="CM1000" s="76"/>
      <c r="CN1000" s="76">
        <f>+CM1000*22000</f>
        <v>0</v>
      </c>
      <c r="CO1000" s="76"/>
      <c r="CP1000" s="76">
        <f>+CO1000*46000</f>
        <v>0</v>
      </c>
      <c r="CQ1000" s="76"/>
      <c r="CR1000" s="76">
        <f>+CQ1000*49000</f>
        <v>0</v>
      </c>
      <c r="CS1000" s="76"/>
      <c r="CT1000" s="76"/>
      <c r="CU1000" s="56">
        <f>AN1000+AP1000+AR1000+AT1000+AV1000+AX1000+AZ1000+BB1000+BD1000+BF1000+BH1000+BJ1000+BL1000+BN1000+BP1000+BR1000+BT1000+BV1000+BX1000+BZ1000+CB1000+CD1000+CF1000+CH1000+CJ1000+CL1000+CN1000+CP1000+CR1000+CT1000</f>
        <v>0</v>
      </c>
      <c r="CV1000" s="76"/>
      <c r="CW1000" s="76">
        <f>+CV1000*1100</f>
        <v>0</v>
      </c>
      <c r="CX1000" s="76"/>
      <c r="CY1000" s="76">
        <f>+CX1000*106250</f>
        <v>0</v>
      </c>
      <c r="CZ1000" s="76"/>
      <c r="DA1000" s="76">
        <f>+CZ1000*34500</f>
        <v>0</v>
      </c>
      <c r="DB1000" s="76"/>
      <c r="DC1000" s="76">
        <f>+DB1000*25000</f>
        <v>0</v>
      </c>
      <c r="DD1000" s="219"/>
      <c r="DE1000" s="219"/>
      <c r="DF1000" s="166"/>
      <c r="DG1000" s="116"/>
      <c r="DH1000" s="117"/>
      <c r="DI1000" s="24"/>
      <c r="DJ1000" s="24"/>
      <c r="DK1000" s="24"/>
      <c r="DL1000" s="24"/>
      <c r="DM1000" s="24"/>
      <c r="DN1000" s="24"/>
      <c r="DO1000" s="24"/>
      <c r="DP1000" s="24"/>
      <c r="DQ1000" s="24"/>
      <c r="DR1000" s="24"/>
      <c r="DS1000" s="24"/>
      <c r="DT1000" s="24"/>
      <c r="DU1000" s="24"/>
    </row>
    <row r="1001" spans="1:125" s="8" customFormat="1" ht="36" x14ac:dyDescent="0.2">
      <c r="A1001" s="77">
        <v>41336</v>
      </c>
      <c r="B1001" s="78" t="s">
        <v>2778</v>
      </c>
      <c r="C1001" s="227" t="s">
        <v>2012</v>
      </c>
      <c r="D1001" s="81" t="s">
        <v>2846</v>
      </c>
      <c r="E1001" s="75" t="str">
        <f>VLOOKUP(B1001&amp;C1001,Divipola!$C$2:$F$1138,4,FALSE)</f>
        <v>85325</v>
      </c>
      <c r="F1001" s="87"/>
      <c r="G1001" s="87"/>
      <c r="H1001" s="87"/>
      <c r="I1001" s="87"/>
      <c r="J1001" s="87"/>
      <c r="K1001" s="87"/>
      <c r="L1001" s="87"/>
      <c r="M1001" s="87"/>
      <c r="N1001" s="87"/>
      <c r="O1001" s="87"/>
      <c r="P1001" s="87"/>
      <c r="Q1001" s="87"/>
      <c r="R1001" s="87"/>
      <c r="S1001" s="87"/>
      <c r="T1001" s="155"/>
      <c r="U1001" s="178">
        <v>14</v>
      </c>
      <c r="V1001" s="89"/>
      <c r="W1001" s="96">
        <v>0</v>
      </c>
      <c r="X1001" s="71">
        <f>CU1001</f>
        <v>0</v>
      </c>
      <c r="Y1001" s="71">
        <f>CY1001</f>
        <v>0</v>
      </c>
      <c r="Z1001" s="71">
        <f>DA1001+DC1001+DE1001</f>
        <v>0</v>
      </c>
      <c r="AA1001" s="71">
        <f>CW1001</f>
        <v>0</v>
      </c>
      <c r="AB1001" s="71"/>
      <c r="AC1001" s="71">
        <v>0</v>
      </c>
      <c r="AD1001" s="71">
        <f>W1001+X1001+Y1001+Z1001+AA1001+AB1001+AC1001</f>
        <v>0</v>
      </c>
      <c r="AE1001" s="72">
        <v>0</v>
      </c>
      <c r="AF1001" s="5"/>
      <c r="AG1001" s="6"/>
      <c r="AH1001" s="27" t="s">
        <v>3392</v>
      </c>
      <c r="AI1001" s="44" t="s">
        <v>3393</v>
      </c>
      <c r="AJ1001" s="26"/>
      <c r="AK1001" s="5"/>
      <c r="AL1001" s="82" t="s">
        <v>3824</v>
      </c>
      <c r="AM1001" s="76"/>
      <c r="AN1001" s="76"/>
      <c r="AO1001" s="76"/>
      <c r="AP1001" s="76"/>
      <c r="AQ1001" s="76"/>
      <c r="AR1001" s="76"/>
      <c r="AS1001" s="76"/>
      <c r="AT1001" s="76"/>
      <c r="AU1001" s="76"/>
      <c r="AV1001" s="76"/>
      <c r="AW1001" s="76"/>
      <c r="AX1001" s="76">
        <f>+AW1001*600000</f>
        <v>0</v>
      </c>
      <c r="AY1001" s="76"/>
      <c r="AZ1001" s="76">
        <f>+AY1001*70000</f>
        <v>0</v>
      </c>
      <c r="BA1001" s="76"/>
      <c r="BB1001" s="76"/>
      <c r="BC1001" s="76"/>
      <c r="BD1001" s="76">
        <f>+BC1001*30000</f>
        <v>0</v>
      </c>
      <c r="BE1001" s="76"/>
      <c r="BF1001" s="76"/>
      <c r="BG1001" s="76"/>
      <c r="BH1001" s="76"/>
      <c r="BI1001" s="76"/>
      <c r="BJ1001" s="76"/>
      <c r="BK1001" s="76"/>
      <c r="BL1001" s="76">
        <f>+BK1001*31500</f>
        <v>0</v>
      </c>
      <c r="BM1001" s="76"/>
      <c r="BN1001" s="76"/>
      <c r="BO1001" s="76"/>
      <c r="BP1001" s="76"/>
      <c r="BQ1001" s="76"/>
      <c r="BR1001" s="76"/>
      <c r="BS1001" s="76"/>
      <c r="BT1001" s="76"/>
      <c r="BU1001" s="76"/>
      <c r="BV1001" s="76"/>
      <c r="BW1001" s="76"/>
      <c r="BX1001" s="76"/>
      <c r="BY1001" s="76"/>
      <c r="BZ1001" s="76"/>
      <c r="CA1001" s="76"/>
      <c r="CB1001" s="76"/>
      <c r="CC1001" s="76"/>
      <c r="CD1001" s="76"/>
      <c r="CE1001" s="76"/>
      <c r="CF1001" s="76">
        <f>+CE1001*28000</f>
        <v>0</v>
      </c>
      <c r="CG1001" s="76"/>
      <c r="CH1001" s="76">
        <f>+CG1001*22500</f>
        <v>0</v>
      </c>
      <c r="CI1001" s="76"/>
      <c r="CJ1001" s="76">
        <f>+CI1001*26000</f>
        <v>0</v>
      </c>
      <c r="CK1001" s="76"/>
      <c r="CL1001" s="76"/>
      <c r="CM1001" s="76"/>
      <c r="CN1001" s="76">
        <f>+CM1001*22000</f>
        <v>0</v>
      </c>
      <c r="CO1001" s="76"/>
      <c r="CP1001" s="76">
        <f>+CO1001*46000</f>
        <v>0</v>
      </c>
      <c r="CQ1001" s="76"/>
      <c r="CR1001" s="76">
        <f>+CQ1001*49000</f>
        <v>0</v>
      </c>
      <c r="CS1001" s="76"/>
      <c r="CT1001" s="76"/>
      <c r="CU1001" s="56">
        <f>AN1001+AP1001+AR1001+AT1001+AV1001+AX1001+AZ1001+BB1001+BD1001+BF1001+BH1001+BJ1001+BL1001+BN1001+BP1001+BR1001+BT1001+BV1001+BX1001+BZ1001+CB1001+CD1001+CF1001+CH1001+CJ1001+CL1001+CN1001+CP1001+CR1001+CT1001</f>
        <v>0</v>
      </c>
      <c r="CV1001" s="76"/>
      <c r="CW1001" s="76">
        <f>+CV1001*1100</f>
        <v>0</v>
      </c>
      <c r="CX1001" s="76"/>
      <c r="CY1001" s="76">
        <f>+CX1001*106250</f>
        <v>0</v>
      </c>
      <c r="CZ1001" s="76"/>
      <c r="DA1001" s="76">
        <f>+CZ1001*34500</f>
        <v>0</v>
      </c>
      <c r="DB1001" s="76"/>
      <c r="DC1001" s="76">
        <f>+DB1001*25000</f>
        <v>0</v>
      </c>
      <c r="DD1001" s="219"/>
      <c r="DE1001" s="219"/>
      <c r="DF1001" s="166"/>
      <c r="DG1001" s="116"/>
      <c r="DH1001" s="117"/>
      <c r="DI1001" s="24"/>
      <c r="DJ1001" s="24"/>
      <c r="DK1001" s="24"/>
      <c r="DL1001" s="24"/>
      <c r="DM1001" s="24"/>
      <c r="DN1001" s="24"/>
      <c r="DO1001" s="24"/>
      <c r="DP1001" s="24"/>
      <c r="DQ1001" s="24"/>
      <c r="DR1001" s="24"/>
      <c r="DS1001" s="24"/>
      <c r="DT1001" s="24"/>
      <c r="DU1001" s="24"/>
    </row>
    <row r="1002" spans="1:125" s="8" customFormat="1" ht="36" x14ac:dyDescent="0.2">
      <c r="A1002" s="226">
        <v>41336</v>
      </c>
      <c r="B1002" s="225" t="s">
        <v>2778</v>
      </c>
      <c r="C1002" s="227" t="s">
        <v>1344</v>
      </c>
      <c r="D1002" s="81" t="s">
        <v>2846</v>
      </c>
      <c r="E1002" s="75" t="str">
        <f>VLOOKUP(B1002&amp;C1002,Divipola!$C$2:$F$1138,4,FALSE)</f>
        <v>85001</v>
      </c>
      <c r="F1002" s="87"/>
      <c r="G1002" s="87"/>
      <c r="H1002" s="87"/>
      <c r="I1002" s="87"/>
      <c r="J1002" s="87"/>
      <c r="K1002" s="87"/>
      <c r="L1002" s="87"/>
      <c r="M1002" s="87"/>
      <c r="N1002" s="87"/>
      <c r="O1002" s="87"/>
      <c r="P1002" s="87"/>
      <c r="Q1002" s="87"/>
      <c r="R1002" s="87"/>
      <c r="S1002" s="87"/>
      <c r="T1002" s="88"/>
      <c r="U1002" s="180">
        <v>6</v>
      </c>
      <c r="V1002" s="155"/>
      <c r="W1002" s="96">
        <v>0</v>
      </c>
      <c r="X1002" s="71">
        <f>CU1002</f>
        <v>0</v>
      </c>
      <c r="Y1002" s="71">
        <f>CY1002</f>
        <v>0</v>
      </c>
      <c r="Z1002" s="71">
        <f>DA1002+DC1002+DE1002</f>
        <v>0</v>
      </c>
      <c r="AA1002" s="71">
        <f>CW1002</f>
        <v>0</v>
      </c>
      <c r="AB1002" s="71"/>
      <c r="AC1002" s="71">
        <v>0</v>
      </c>
      <c r="AD1002" s="71">
        <f>W1002+X1002+Y1002+Z1002+AA1002+AB1002+AC1002</f>
        <v>0</v>
      </c>
      <c r="AE1002" s="72">
        <v>0</v>
      </c>
      <c r="AF1002" s="5"/>
      <c r="AG1002" s="6"/>
      <c r="AH1002" s="27" t="s">
        <v>3392</v>
      </c>
      <c r="AI1002" s="44" t="s">
        <v>3393</v>
      </c>
      <c r="AJ1002" s="26"/>
      <c r="AK1002" s="5"/>
      <c r="AL1002" s="82" t="s">
        <v>3829</v>
      </c>
      <c r="AM1002" s="76"/>
      <c r="AN1002" s="76"/>
      <c r="AO1002" s="76"/>
      <c r="AP1002" s="76"/>
      <c r="AQ1002" s="76"/>
      <c r="AR1002" s="76"/>
      <c r="AS1002" s="76"/>
      <c r="AT1002" s="76"/>
      <c r="AU1002" s="76"/>
      <c r="AV1002" s="76"/>
      <c r="AW1002" s="76"/>
      <c r="AX1002" s="76">
        <f>+AW1002*600000</f>
        <v>0</v>
      </c>
      <c r="AY1002" s="76"/>
      <c r="AZ1002" s="76">
        <f>+AY1002*70000</f>
        <v>0</v>
      </c>
      <c r="BA1002" s="76"/>
      <c r="BB1002" s="76"/>
      <c r="BC1002" s="76"/>
      <c r="BD1002" s="76">
        <f>+BC1002*30000</f>
        <v>0</v>
      </c>
      <c r="BE1002" s="76"/>
      <c r="BF1002" s="76"/>
      <c r="BG1002" s="76"/>
      <c r="BH1002" s="76"/>
      <c r="BI1002" s="76"/>
      <c r="BJ1002" s="76"/>
      <c r="BK1002" s="76"/>
      <c r="BL1002" s="76">
        <f>+BK1002*31500</f>
        <v>0</v>
      </c>
      <c r="BM1002" s="76"/>
      <c r="BN1002" s="76"/>
      <c r="BO1002" s="76"/>
      <c r="BP1002" s="76"/>
      <c r="BQ1002" s="76"/>
      <c r="BR1002" s="76"/>
      <c r="BS1002" s="76"/>
      <c r="BT1002" s="76"/>
      <c r="BU1002" s="76"/>
      <c r="BV1002" s="76"/>
      <c r="BW1002" s="76"/>
      <c r="BX1002" s="76"/>
      <c r="BY1002" s="76"/>
      <c r="BZ1002" s="76"/>
      <c r="CA1002" s="76"/>
      <c r="CB1002" s="76"/>
      <c r="CC1002" s="76"/>
      <c r="CD1002" s="76"/>
      <c r="CE1002" s="76"/>
      <c r="CF1002" s="76">
        <f>+CE1002*28000</f>
        <v>0</v>
      </c>
      <c r="CG1002" s="76"/>
      <c r="CH1002" s="76">
        <f>+CG1002*22500</f>
        <v>0</v>
      </c>
      <c r="CI1002" s="76"/>
      <c r="CJ1002" s="76">
        <f>+CI1002*26000</f>
        <v>0</v>
      </c>
      <c r="CK1002" s="76"/>
      <c r="CL1002" s="76"/>
      <c r="CM1002" s="76"/>
      <c r="CN1002" s="76">
        <f>+CM1002*22000</f>
        <v>0</v>
      </c>
      <c r="CO1002" s="76"/>
      <c r="CP1002" s="76">
        <f>+CO1002*46000</f>
        <v>0</v>
      </c>
      <c r="CQ1002" s="76"/>
      <c r="CR1002" s="76">
        <f>+CQ1002*49000</f>
        <v>0</v>
      </c>
      <c r="CS1002" s="76"/>
      <c r="CT1002" s="76"/>
      <c r="CU1002" s="56">
        <f>AN1002+AP1002+AR1002+AT1002+AV1002+AX1002+AZ1002+BB1002+BD1002+BF1002+BH1002+BJ1002+BL1002+BN1002+BP1002+BR1002+BT1002+BV1002+BX1002+BZ1002+CB1002+CD1002+CF1002+CH1002+CJ1002+CL1002+CN1002+CP1002+CR1002+CT1002</f>
        <v>0</v>
      </c>
      <c r="CV1002" s="76"/>
      <c r="CW1002" s="76">
        <f>+CV1002*1100</f>
        <v>0</v>
      </c>
      <c r="CX1002" s="76"/>
      <c r="CY1002" s="76">
        <f>+CX1002*106250</f>
        <v>0</v>
      </c>
      <c r="CZ1002" s="76"/>
      <c r="DA1002" s="76">
        <f>+CZ1002*34500</f>
        <v>0</v>
      </c>
      <c r="DB1002" s="76"/>
      <c r="DC1002" s="76">
        <f>+DB1002*25000</f>
        <v>0</v>
      </c>
      <c r="DD1002" s="219"/>
      <c r="DE1002" s="219"/>
      <c r="DF1002" s="166"/>
      <c r="DG1002" s="116"/>
      <c r="DH1002" s="117"/>
      <c r="DI1002" s="24"/>
      <c r="DJ1002" s="24"/>
      <c r="DK1002" s="24"/>
      <c r="DL1002" s="24"/>
      <c r="DM1002" s="24"/>
      <c r="DN1002" s="24"/>
      <c r="DO1002" s="24"/>
      <c r="DP1002" s="24"/>
      <c r="DQ1002" s="24"/>
      <c r="DR1002" s="24"/>
      <c r="DS1002" s="24"/>
      <c r="DT1002" s="24"/>
      <c r="DU1002" s="24"/>
    </row>
    <row r="1003" spans="1:125" s="8" customFormat="1" ht="36" x14ac:dyDescent="0.2">
      <c r="A1003" s="226">
        <v>41336</v>
      </c>
      <c r="B1003" s="225" t="s">
        <v>2778</v>
      </c>
      <c r="C1003" s="227" t="s">
        <v>1344</v>
      </c>
      <c r="D1003" s="81" t="s">
        <v>2846</v>
      </c>
      <c r="E1003" s="75" t="str">
        <f>VLOOKUP(B1003&amp;C1003,Divipola!$C$2:$F$1138,4,FALSE)</f>
        <v>85001</v>
      </c>
      <c r="F1003" s="87"/>
      <c r="G1003" s="87"/>
      <c r="H1003" s="87"/>
      <c r="I1003" s="87"/>
      <c r="J1003" s="87"/>
      <c r="K1003" s="87"/>
      <c r="L1003" s="87"/>
      <c r="M1003" s="87"/>
      <c r="N1003" s="87"/>
      <c r="O1003" s="87"/>
      <c r="P1003" s="87"/>
      <c r="Q1003" s="87"/>
      <c r="R1003" s="87"/>
      <c r="S1003" s="87"/>
      <c r="T1003" s="88"/>
      <c r="U1003" s="180">
        <v>25</v>
      </c>
      <c r="V1003" s="155"/>
      <c r="W1003" s="96">
        <v>0</v>
      </c>
      <c r="X1003" s="71">
        <f>CU1003</f>
        <v>0</v>
      </c>
      <c r="Y1003" s="71">
        <f>CY1003</f>
        <v>0</v>
      </c>
      <c r="Z1003" s="71">
        <f>DA1003+DC1003+DE1003</f>
        <v>0</v>
      </c>
      <c r="AA1003" s="71">
        <f>CW1003</f>
        <v>0</v>
      </c>
      <c r="AB1003" s="71"/>
      <c r="AC1003" s="71">
        <v>0</v>
      </c>
      <c r="AD1003" s="71">
        <f>W1003+X1003+Y1003+Z1003+AA1003+AB1003+AC1003</f>
        <v>0</v>
      </c>
      <c r="AE1003" s="72">
        <v>0</v>
      </c>
      <c r="AF1003" s="5"/>
      <c r="AG1003" s="6"/>
      <c r="AH1003" s="27" t="s">
        <v>3392</v>
      </c>
      <c r="AI1003" s="44" t="s">
        <v>3393</v>
      </c>
      <c r="AJ1003" s="26"/>
      <c r="AK1003" s="5"/>
      <c r="AL1003" s="82" t="s">
        <v>3830</v>
      </c>
      <c r="AM1003" s="76"/>
      <c r="AN1003" s="76"/>
      <c r="AO1003" s="76"/>
      <c r="AP1003" s="76"/>
      <c r="AQ1003" s="76"/>
      <c r="AR1003" s="76"/>
      <c r="AS1003" s="76"/>
      <c r="AT1003" s="76"/>
      <c r="AU1003" s="76"/>
      <c r="AV1003" s="76"/>
      <c r="AW1003" s="76"/>
      <c r="AX1003" s="76">
        <f>+AW1003*600000</f>
        <v>0</v>
      </c>
      <c r="AY1003" s="76"/>
      <c r="AZ1003" s="76">
        <f>+AY1003*70000</f>
        <v>0</v>
      </c>
      <c r="BA1003" s="76"/>
      <c r="BB1003" s="76"/>
      <c r="BC1003" s="76"/>
      <c r="BD1003" s="76">
        <f>+BC1003*30000</f>
        <v>0</v>
      </c>
      <c r="BE1003" s="76"/>
      <c r="BF1003" s="76"/>
      <c r="BG1003" s="76"/>
      <c r="BH1003" s="76"/>
      <c r="BI1003" s="76"/>
      <c r="BJ1003" s="76"/>
      <c r="BK1003" s="76"/>
      <c r="BL1003" s="76">
        <f>+BK1003*31500</f>
        <v>0</v>
      </c>
      <c r="BM1003" s="76"/>
      <c r="BN1003" s="76"/>
      <c r="BO1003" s="76"/>
      <c r="BP1003" s="76"/>
      <c r="BQ1003" s="76"/>
      <c r="BR1003" s="76"/>
      <c r="BS1003" s="76"/>
      <c r="BT1003" s="76"/>
      <c r="BU1003" s="76"/>
      <c r="BV1003" s="76"/>
      <c r="BW1003" s="76"/>
      <c r="BX1003" s="76"/>
      <c r="BY1003" s="76"/>
      <c r="BZ1003" s="76"/>
      <c r="CA1003" s="76"/>
      <c r="CB1003" s="76"/>
      <c r="CC1003" s="76"/>
      <c r="CD1003" s="76"/>
      <c r="CE1003" s="76"/>
      <c r="CF1003" s="76">
        <f>+CE1003*28000</f>
        <v>0</v>
      </c>
      <c r="CG1003" s="76"/>
      <c r="CH1003" s="76">
        <f>+CG1003*22500</f>
        <v>0</v>
      </c>
      <c r="CI1003" s="76"/>
      <c r="CJ1003" s="76">
        <f>+CI1003*26000</f>
        <v>0</v>
      </c>
      <c r="CK1003" s="76"/>
      <c r="CL1003" s="76"/>
      <c r="CM1003" s="76"/>
      <c r="CN1003" s="76">
        <f>+CM1003*22000</f>
        <v>0</v>
      </c>
      <c r="CO1003" s="76"/>
      <c r="CP1003" s="76">
        <f>+CO1003*46000</f>
        <v>0</v>
      </c>
      <c r="CQ1003" s="76"/>
      <c r="CR1003" s="76">
        <f>+CQ1003*49000</f>
        <v>0</v>
      </c>
      <c r="CS1003" s="76"/>
      <c r="CT1003" s="76"/>
      <c r="CU1003" s="56">
        <f>AN1003+AP1003+AR1003+AT1003+AV1003+AX1003+AZ1003+BB1003+BD1003+BF1003+BH1003+BJ1003+BL1003+BN1003+BP1003+BR1003+BT1003+BV1003+BX1003+BZ1003+CB1003+CD1003+CF1003+CH1003+CJ1003+CL1003+CN1003+CP1003+CR1003+CT1003</f>
        <v>0</v>
      </c>
      <c r="CV1003" s="76"/>
      <c r="CW1003" s="76">
        <f>+CV1003*1100</f>
        <v>0</v>
      </c>
      <c r="CX1003" s="76"/>
      <c r="CY1003" s="76">
        <f>+CX1003*106250</f>
        <v>0</v>
      </c>
      <c r="CZ1003" s="76"/>
      <c r="DA1003" s="76">
        <f>+CZ1003*34500</f>
        <v>0</v>
      </c>
      <c r="DB1003" s="76"/>
      <c r="DC1003" s="76">
        <f>+DB1003*25000</f>
        <v>0</v>
      </c>
      <c r="DD1003" s="219"/>
      <c r="DE1003" s="219"/>
      <c r="DF1003" s="166"/>
      <c r="DG1003" s="116"/>
      <c r="DH1003" s="117"/>
      <c r="DI1003" s="24"/>
      <c r="DJ1003" s="24"/>
      <c r="DK1003" s="24"/>
      <c r="DL1003" s="24"/>
      <c r="DM1003" s="24"/>
      <c r="DN1003" s="24"/>
      <c r="DO1003" s="24"/>
      <c r="DP1003" s="24"/>
      <c r="DQ1003" s="24"/>
      <c r="DR1003" s="24"/>
      <c r="DS1003" s="24"/>
      <c r="DT1003" s="24"/>
      <c r="DU1003" s="24"/>
    </row>
    <row r="1004" spans="1:125" s="8" customFormat="1" ht="48" x14ac:dyDescent="0.2">
      <c r="A1004" s="77">
        <v>41336</v>
      </c>
      <c r="B1004" s="225" t="s">
        <v>2855</v>
      </c>
      <c r="C1004" s="227" t="s">
        <v>911</v>
      </c>
      <c r="D1004" s="227" t="s">
        <v>2849</v>
      </c>
      <c r="E1004" s="75" t="str">
        <f>VLOOKUP(B1004&amp;C1004,Divipola!$C$2:$F$1138,4,FALSE)</f>
        <v>20250</v>
      </c>
      <c r="F1004" s="87">
        <v>1</v>
      </c>
      <c r="G1004" s="87">
        <v>20</v>
      </c>
      <c r="H1004" s="87"/>
      <c r="I1004" s="87">
        <v>20</v>
      </c>
      <c r="J1004" s="87"/>
      <c r="K1004" s="87"/>
      <c r="L1004" s="87"/>
      <c r="M1004" s="87"/>
      <c r="N1004" s="87"/>
      <c r="O1004" s="87"/>
      <c r="P1004" s="87"/>
      <c r="Q1004" s="87"/>
      <c r="R1004" s="87"/>
      <c r="S1004" s="87"/>
      <c r="T1004" s="87"/>
      <c r="U1004" s="88"/>
      <c r="V1004" s="89"/>
      <c r="W1004" s="96">
        <v>0</v>
      </c>
      <c r="X1004" s="71">
        <f>CU1004</f>
        <v>0</v>
      </c>
      <c r="Y1004" s="71">
        <f>CY1004</f>
        <v>0</v>
      </c>
      <c r="Z1004" s="71">
        <f>DA1004+DC1004+DE1004</f>
        <v>0</v>
      </c>
      <c r="AA1004" s="71">
        <f>CW1004</f>
        <v>0</v>
      </c>
      <c r="AB1004" s="71"/>
      <c r="AC1004" s="71">
        <v>0</v>
      </c>
      <c r="AD1004" s="71">
        <f>W1004+X1004+Y1004+Z1004+AA1004+AB1004+AC1004</f>
        <v>0</v>
      </c>
      <c r="AE1004" s="72">
        <v>0</v>
      </c>
      <c r="AF1004" s="5"/>
      <c r="AG1004" s="6"/>
      <c r="AH1004" s="27" t="s">
        <v>3392</v>
      </c>
      <c r="AI1004" s="44" t="s">
        <v>3393</v>
      </c>
      <c r="AJ1004" s="26"/>
      <c r="AK1004" s="5"/>
      <c r="AL1004" s="82" t="s">
        <v>3715</v>
      </c>
      <c r="AM1004" s="76"/>
      <c r="AN1004" s="76"/>
      <c r="AO1004" s="76"/>
      <c r="AP1004" s="76"/>
      <c r="AQ1004" s="76"/>
      <c r="AR1004" s="76"/>
      <c r="AS1004" s="76"/>
      <c r="AT1004" s="76"/>
      <c r="AU1004" s="76"/>
      <c r="AV1004" s="76"/>
      <c r="AW1004" s="76"/>
      <c r="AX1004" s="76">
        <f>+AW1004*600000</f>
        <v>0</v>
      </c>
      <c r="AY1004" s="76"/>
      <c r="AZ1004" s="76">
        <f>+AY1004*70000</f>
        <v>0</v>
      </c>
      <c r="BA1004" s="76"/>
      <c r="BB1004" s="76"/>
      <c r="BC1004" s="76"/>
      <c r="BD1004" s="76">
        <f>+BC1004*30000</f>
        <v>0</v>
      </c>
      <c r="BE1004" s="76"/>
      <c r="BF1004" s="76"/>
      <c r="BG1004" s="76"/>
      <c r="BH1004" s="76"/>
      <c r="BI1004" s="76"/>
      <c r="BJ1004" s="76"/>
      <c r="BK1004" s="76"/>
      <c r="BL1004" s="76">
        <f>+BK1004*31500</f>
        <v>0</v>
      </c>
      <c r="BM1004" s="76"/>
      <c r="BN1004" s="76"/>
      <c r="BO1004" s="76"/>
      <c r="BP1004" s="76"/>
      <c r="BQ1004" s="76"/>
      <c r="BR1004" s="76"/>
      <c r="BS1004" s="76"/>
      <c r="BT1004" s="76"/>
      <c r="BU1004" s="76"/>
      <c r="BV1004" s="76"/>
      <c r="BW1004" s="76"/>
      <c r="BX1004" s="76"/>
      <c r="BY1004" s="76"/>
      <c r="BZ1004" s="76"/>
      <c r="CA1004" s="76"/>
      <c r="CB1004" s="76"/>
      <c r="CC1004" s="76"/>
      <c r="CD1004" s="76"/>
      <c r="CE1004" s="76"/>
      <c r="CF1004" s="76">
        <f>+CE1004*28000</f>
        <v>0</v>
      </c>
      <c r="CG1004" s="76"/>
      <c r="CH1004" s="76">
        <f>+CG1004*22500</f>
        <v>0</v>
      </c>
      <c r="CI1004" s="76"/>
      <c r="CJ1004" s="76">
        <f>+CI1004*26000</f>
        <v>0</v>
      </c>
      <c r="CK1004" s="76"/>
      <c r="CL1004" s="76"/>
      <c r="CM1004" s="76"/>
      <c r="CN1004" s="76">
        <f>+CM1004*22000</f>
        <v>0</v>
      </c>
      <c r="CO1004" s="76"/>
      <c r="CP1004" s="76">
        <f>+CO1004*46000</f>
        <v>0</v>
      </c>
      <c r="CQ1004" s="76"/>
      <c r="CR1004" s="76">
        <f>+CQ1004*49000</f>
        <v>0</v>
      </c>
      <c r="CS1004" s="76"/>
      <c r="CT1004" s="76"/>
      <c r="CU1004" s="56">
        <f>AN1004+AP1004+AR1004+AT1004+AV1004+AX1004+AZ1004+BB1004+BD1004+BF1004+BH1004+BJ1004+BL1004+BN1004+BP1004+BR1004+BT1004+BV1004+BX1004+BZ1004+CB1004+CD1004+CF1004+CH1004+CJ1004+CL1004+CN1004+CP1004+CR1004+CT1004</f>
        <v>0</v>
      </c>
      <c r="CV1004" s="76"/>
      <c r="CW1004" s="76">
        <f>+CV1004*1100</f>
        <v>0</v>
      </c>
      <c r="CX1004" s="76"/>
      <c r="CY1004" s="76">
        <f>+CX1004*106250</f>
        <v>0</v>
      </c>
      <c r="CZ1004" s="76"/>
      <c r="DA1004" s="76">
        <f>+CZ1004*34500</f>
        <v>0</v>
      </c>
      <c r="DB1004" s="76"/>
      <c r="DC1004" s="76">
        <f>+DB1004*25000</f>
        <v>0</v>
      </c>
      <c r="DD1004" s="219"/>
      <c r="DE1004" s="219"/>
      <c r="DF1004" s="166"/>
      <c r="DG1004" s="116"/>
      <c r="DH1004" s="117"/>
      <c r="DI1004" s="24"/>
      <c r="DJ1004" s="24"/>
      <c r="DK1004" s="24"/>
      <c r="DL1004" s="24"/>
      <c r="DM1004" s="24"/>
      <c r="DN1004" s="24"/>
      <c r="DO1004" s="24"/>
      <c r="DP1004" s="24"/>
      <c r="DQ1004" s="24"/>
      <c r="DR1004" s="24"/>
      <c r="DS1004" s="24"/>
      <c r="DT1004" s="24"/>
      <c r="DU1004" s="24"/>
    </row>
    <row r="1005" spans="1:125" s="8" customFormat="1" ht="216" x14ac:dyDescent="0.2">
      <c r="A1005" s="77">
        <v>41336</v>
      </c>
      <c r="B1005" s="176" t="s">
        <v>2852</v>
      </c>
      <c r="C1005" s="75" t="s">
        <v>1252</v>
      </c>
      <c r="D1005" s="75" t="s">
        <v>3051</v>
      </c>
      <c r="E1005" s="75" t="str">
        <f>VLOOKUP(B1005&amp;C1005,Divipola!$C$2:$F$1138,4,FALSE)</f>
        <v>27600</v>
      </c>
      <c r="F1005" s="87"/>
      <c r="G1005" s="87"/>
      <c r="H1005" s="87"/>
      <c r="I1005" s="87">
        <v>1517</v>
      </c>
      <c r="J1005" s="87">
        <v>313</v>
      </c>
      <c r="K1005" s="87"/>
      <c r="L1005" s="87">
        <v>313</v>
      </c>
      <c r="M1005" s="87"/>
      <c r="N1005" s="87"/>
      <c r="O1005" s="87"/>
      <c r="P1005" s="87"/>
      <c r="Q1005" s="87"/>
      <c r="R1005" s="87"/>
      <c r="S1005" s="87"/>
      <c r="T1005" s="87"/>
      <c r="U1005" s="88"/>
      <c r="V1005" s="89"/>
      <c r="W1005" s="96">
        <v>0</v>
      </c>
      <c r="X1005" s="71">
        <f>CU1005</f>
        <v>0</v>
      </c>
      <c r="Y1005" s="71">
        <f>CY1005</f>
        <v>0</v>
      </c>
      <c r="Z1005" s="71">
        <f>DA1005+DC1005+DE1005</f>
        <v>0</v>
      </c>
      <c r="AA1005" s="71">
        <f>CW1005</f>
        <v>0</v>
      </c>
      <c r="AB1005" s="71"/>
      <c r="AC1005" s="71">
        <v>0</v>
      </c>
      <c r="AD1005" s="71">
        <f>W1005+X1005+Y1005+Z1005+AA1005+AB1005+AC1005</f>
        <v>0</v>
      </c>
      <c r="AE1005" s="72">
        <v>0</v>
      </c>
      <c r="AF1005" s="5"/>
      <c r="AG1005" s="6"/>
      <c r="AH1005" s="27" t="s">
        <v>3390</v>
      </c>
      <c r="AI1005" s="44" t="s">
        <v>3391</v>
      </c>
      <c r="AJ1005" s="26"/>
      <c r="AK1005" s="5" t="s">
        <v>3480</v>
      </c>
      <c r="AL1005" s="82" t="s">
        <v>3723</v>
      </c>
      <c r="AM1005" s="76"/>
      <c r="AN1005" s="76"/>
      <c r="AO1005" s="76"/>
      <c r="AP1005" s="76"/>
      <c r="AQ1005" s="76"/>
      <c r="AR1005" s="76"/>
      <c r="AS1005" s="76"/>
      <c r="AT1005" s="76"/>
      <c r="AU1005" s="76"/>
      <c r="AV1005" s="76"/>
      <c r="AW1005" s="76"/>
      <c r="AX1005" s="76">
        <f>+AW1005*600000</f>
        <v>0</v>
      </c>
      <c r="AY1005" s="76"/>
      <c r="AZ1005" s="76">
        <f>+AY1005*70000</f>
        <v>0</v>
      </c>
      <c r="BA1005" s="76"/>
      <c r="BB1005" s="76"/>
      <c r="BC1005" s="76"/>
      <c r="BD1005" s="76">
        <f>+BC1005*30000</f>
        <v>0</v>
      </c>
      <c r="BE1005" s="76"/>
      <c r="BF1005" s="76"/>
      <c r="BG1005" s="76"/>
      <c r="BH1005" s="76"/>
      <c r="BI1005" s="76"/>
      <c r="BJ1005" s="76"/>
      <c r="BK1005" s="76"/>
      <c r="BL1005" s="76">
        <f>+BK1005*31500</f>
        <v>0</v>
      </c>
      <c r="BM1005" s="76"/>
      <c r="BN1005" s="76"/>
      <c r="BO1005" s="76"/>
      <c r="BP1005" s="76"/>
      <c r="BQ1005" s="76"/>
      <c r="BR1005" s="76"/>
      <c r="BS1005" s="76"/>
      <c r="BT1005" s="76"/>
      <c r="BU1005" s="76"/>
      <c r="BV1005" s="76"/>
      <c r="BW1005" s="76"/>
      <c r="BX1005" s="76"/>
      <c r="BY1005" s="76"/>
      <c r="BZ1005" s="76"/>
      <c r="CA1005" s="76"/>
      <c r="CB1005" s="76"/>
      <c r="CC1005" s="76"/>
      <c r="CD1005" s="76"/>
      <c r="CE1005" s="76"/>
      <c r="CF1005" s="76">
        <f>+CE1005*28000</f>
        <v>0</v>
      </c>
      <c r="CG1005" s="76"/>
      <c r="CH1005" s="76">
        <f>+CG1005*22500</f>
        <v>0</v>
      </c>
      <c r="CI1005" s="76"/>
      <c r="CJ1005" s="76">
        <f>+CI1005*26000</f>
        <v>0</v>
      </c>
      <c r="CK1005" s="76"/>
      <c r="CL1005" s="76"/>
      <c r="CM1005" s="76"/>
      <c r="CN1005" s="76">
        <f>+CM1005*22000</f>
        <v>0</v>
      </c>
      <c r="CO1005" s="76"/>
      <c r="CP1005" s="76">
        <f>+CO1005*46000</f>
        <v>0</v>
      </c>
      <c r="CQ1005" s="76"/>
      <c r="CR1005" s="76">
        <f>+CQ1005*49000</f>
        <v>0</v>
      </c>
      <c r="CS1005" s="76"/>
      <c r="CT1005" s="76"/>
      <c r="CU1005" s="56">
        <f>AN1005+AP1005+AR1005+AT1005+AV1005+AX1005+AZ1005+BB1005+BD1005+BF1005+BH1005+BJ1005+BL1005+BN1005+BP1005+BR1005+BT1005+BV1005+BX1005+BZ1005+CB1005+CD1005+CF1005+CH1005+CJ1005+CL1005+CN1005+CP1005+CR1005+CT1005</f>
        <v>0</v>
      </c>
      <c r="CV1005" s="76"/>
      <c r="CW1005" s="76">
        <f>+CV1005*1100</f>
        <v>0</v>
      </c>
      <c r="CX1005" s="76"/>
      <c r="CY1005" s="76">
        <f>+CX1005*106250</f>
        <v>0</v>
      </c>
      <c r="CZ1005" s="76"/>
      <c r="DA1005" s="76">
        <f>+CZ1005*34500</f>
        <v>0</v>
      </c>
      <c r="DB1005" s="76"/>
      <c r="DC1005" s="76">
        <f>+DB1005*25000</f>
        <v>0</v>
      </c>
      <c r="DD1005" s="219"/>
      <c r="DE1005" s="219"/>
      <c r="DF1005" s="166"/>
      <c r="DG1005" s="116"/>
      <c r="DH1005" s="117"/>
      <c r="DI1005" s="24"/>
      <c r="DJ1005" s="24"/>
      <c r="DK1005" s="24"/>
      <c r="DL1005" s="24"/>
      <c r="DM1005" s="24"/>
      <c r="DN1005" s="24"/>
      <c r="DO1005" s="24"/>
      <c r="DP1005" s="24"/>
      <c r="DQ1005" s="24"/>
      <c r="DR1005" s="24"/>
      <c r="DS1005" s="24"/>
      <c r="DT1005" s="24"/>
      <c r="DU1005" s="24"/>
    </row>
    <row r="1006" spans="1:125" s="8" customFormat="1" ht="132" x14ac:dyDescent="0.2">
      <c r="A1006" s="77">
        <v>41336</v>
      </c>
      <c r="B1006" s="177" t="s">
        <v>2852</v>
      </c>
      <c r="C1006" s="227" t="s">
        <v>1252</v>
      </c>
      <c r="D1006" s="227" t="s">
        <v>2882</v>
      </c>
      <c r="E1006" s="75" t="str">
        <f>VLOOKUP(B1006&amp;C1006,Divipola!$C$2:$F$1138,4,FALSE)</f>
        <v>27600</v>
      </c>
      <c r="F1006" s="87"/>
      <c r="G1006" s="87"/>
      <c r="H1006" s="87"/>
      <c r="I1006" s="87">
        <v>1020</v>
      </c>
      <c r="J1006" s="87">
        <v>204</v>
      </c>
      <c r="K1006" s="87">
        <v>52</v>
      </c>
      <c r="L1006" s="87">
        <v>152</v>
      </c>
      <c r="M1006" s="87"/>
      <c r="N1006" s="87"/>
      <c r="O1006" s="87"/>
      <c r="P1006" s="87"/>
      <c r="Q1006" s="87"/>
      <c r="R1006" s="87"/>
      <c r="S1006" s="87"/>
      <c r="T1006" s="87"/>
      <c r="U1006" s="88"/>
      <c r="V1006" s="89"/>
      <c r="W1006" s="96">
        <v>0</v>
      </c>
      <c r="X1006" s="71">
        <f>CU1006</f>
        <v>0</v>
      </c>
      <c r="Y1006" s="71">
        <f>CY1006</f>
        <v>0</v>
      </c>
      <c r="Z1006" s="71">
        <f>DA1006+DC1006+DE1006</f>
        <v>0</v>
      </c>
      <c r="AA1006" s="71">
        <f>CW1006</f>
        <v>0</v>
      </c>
      <c r="AB1006" s="71"/>
      <c r="AC1006" s="71">
        <v>0</v>
      </c>
      <c r="AD1006" s="71">
        <f>W1006+X1006+Y1006+Z1006+AA1006+AB1006+AC1006</f>
        <v>0</v>
      </c>
      <c r="AE1006" s="72">
        <v>0</v>
      </c>
      <c r="AF1006" s="5"/>
      <c r="AG1006" s="6"/>
      <c r="AH1006" s="27" t="s">
        <v>3390</v>
      </c>
      <c r="AI1006" s="44" t="s">
        <v>3391</v>
      </c>
      <c r="AJ1006" s="26"/>
      <c r="AK1006" s="5" t="s">
        <v>3480</v>
      </c>
      <c r="AL1006" s="82" t="s">
        <v>3722</v>
      </c>
      <c r="AM1006" s="76"/>
      <c r="AN1006" s="76"/>
      <c r="AO1006" s="76"/>
      <c r="AP1006" s="76"/>
      <c r="AQ1006" s="76"/>
      <c r="AR1006" s="76"/>
      <c r="AS1006" s="76"/>
      <c r="AT1006" s="76"/>
      <c r="AU1006" s="76"/>
      <c r="AV1006" s="76"/>
      <c r="AW1006" s="76"/>
      <c r="AX1006" s="76">
        <f>+AW1006*600000</f>
        <v>0</v>
      </c>
      <c r="AY1006" s="76"/>
      <c r="AZ1006" s="76">
        <f>+AY1006*70000</f>
        <v>0</v>
      </c>
      <c r="BA1006" s="76"/>
      <c r="BB1006" s="76"/>
      <c r="BC1006" s="76"/>
      <c r="BD1006" s="76">
        <f>+BC1006*30000</f>
        <v>0</v>
      </c>
      <c r="BE1006" s="76"/>
      <c r="BF1006" s="76"/>
      <c r="BG1006" s="76"/>
      <c r="BH1006" s="76"/>
      <c r="BI1006" s="76"/>
      <c r="BJ1006" s="76"/>
      <c r="BK1006" s="76"/>
      <c r="BL1006" s="76">
        <f>+BK1006*31500</f>
        <v>0</v>
      </c>
      <c r="BM1006" s="76"/>
      <c r="BN1006" s="76"/>
      <c r="BO1006" s="76"/>
      <c r="BP1006" s="76"/>
      <c r="BQ1006" s="76"/>
      <c r="BR1006" s="76"/>
      <c r="BS1006" s="76"/>
      <c r="BT1006" s="76"/>
      <c r="BU1006" s="76"/>
      <c r="BV1006" s="76"/>
      <c r="BW1006" s="76"/>
      <c r="BX1006" s="76"/>
      <c r="BY1006" s="76"/>
      <c r="BZ1006" s="76"/>
      <c r="CA1006" s="76"/>
      <c r="CB1006" s="76"/>
      <c r="CC1006" s="76"/>
      <c r="CD1006" s="76"/>
      <c r="CE1006" s="76"/>
      <c r="CF1006" s="76">
        <f>+CE1006*28000</f>
        <v>0</v>
      </c>
      <c r="CG1006" s="76"/>
      <c r="CH1006" s="76">
        <f>+CG1006*22500</f>
        <v>0</v>
      </c>
      <c r="CI1006" s="76"/>
      <c r="CJ1006" s="76">
        <f>+CI1006*26000</f>
        <v>0</v>
      </c>
      <c r="CK1006" s="76"/>
      <c r="CL1006" s="76"/>
      <c r="CM1006" s="76"/>
      <c r="CN1006" s="76">
        <f>+CM1006*22000</f>
        <v>0</v>
      </c>
      <c r="CO1006" s="76"/>
      <c r="CP1006" s="76">
        <f>+CO1006*46000</f>
        <v>0</v>
      </c>
      <c r="CQ1006" s="76"/>
      <c r="CR1006" s="76">
        <f>+CQ1006*49000</f>
        <v>0</v>
      </c>
      <c r="CS1006" s="76"/>
      <c r="CT1006" s="76"/>
      <c r="CU1006" s="56">
        <f>AN1006+AP1006+AR1006+AT1006+AV1006+AX1006+AZ1006+BB1006+BD1006+BF1006+BH1006+BJ1006+BL1006+BN1006+BP1006+BR1006+BT1006+BV1006+BX1006+BZ1006+CB1006+CD1006+CF1006+CH1006+CJ1006+CL1006+CN1006+CP1006+CR1006+CT1006</f>
        <v>0</v>
      </c>
      <c r="CV1006" s="76"/>
      <c r="CW1006" s="76">
        <f>+CV1006*1100</f>
        <v>0</v>
      </c>
      <c r="CX1006" s="76"/>
      <c r="CY1006" s="76">
        <f>+CX1006*106250</f>
        <v>0</v>
      </c>
      <c r="CZ1006" s="76"/>
      <c r="DA1006" s="76">
        <f>+CZ1006*34500</f>
        <v>0</v>
      </c>
      <c r="DB1006" s="76"/>
      <c r="DC1006" s="76">
        <f>+DB1006*25000</f>
        <v>0</v>
      </c>
      <c r="DD1006" s="219"/>
      <c r="DE1006" s="219"/>
      <c r="DF1006" s="166"/>
      <c r="DG1006" s="116"/>
      <c r="DH1006" s="117"/>
      <c r="DI1006" s="24"/>
      <c r="DJ1006" s="24"/>
      <c r="DK1006" s="24"/>
      <c r="DL1006" s="24"/>
      <c r="DM1006" s="24"/>
      <c r="DN1006" s="24"/>
      <c r="DO1006" s="24"/>
      <c r="DP1006" s="24"/>
      <c r="DQ1006" s="24"/>
      <c r="DR1006" s="24"/>
      <c r="DS1006" s="24"/>
      <c r="DT1006" s="24"/>
      <c r="DU1006" s="24"/>
    </row>
    <row r="1007" spans="1:125" s="8" customFormat="1" ht="48" x14ac:dyDescent="0.2">
      <c r="A1007" s="77">
        <v>41336</v>
      </c>
      <c r="B1007" s="176" t="s">
        <v>2906</v>
      </c>
      <c r="C1007" s="75" t="s">
        <v>437</v>
      </c>
      <c r="D1007" s="81" t="s">
        <v>2846</v>
      </c>
      <c r="E1007" s="75" t="str">
        <f>VLOOKUP(B1007&amp;C1007,Divipola!$C$2:$F$1138,4,FALSE)</f>
        <v>47288</v>
      </c>
      <c r="F1007" s="87"/>
      <c r="G1007" s="87"/>
      <c r="H1007" s="87"/>
      <c r="I1007" s="87"/>
      <c r="J1007" s="87"/>
      <c r="K1007" s="87"/>
      <c r="L1007" s="87"/>
      <c r="M1007" s="87"/>
      <c r="N1007" s="87"/>
      <c r="O1007" s="87"/>
      <c r="P1007" s="87"/>
      <c r="Q1007" s="87"/>
      <c r="R1007" s="87"/>
      <c r="S1007" s="87"/>
      <c r="T1007" s="87"/>
      <c r="U1007" s="88">
        <v>4</v>
      </c>
      <c r="V1007" s="89"/>
      <c r="W1007" s="96">
        <v>0</v>
      </c>
      <c r="X1007" s="71">
        <f>CU1007</f>
        <v>0</v>
      </c>
      <c r="Y1007" s="71">
        <f>CY1007</f>
        <v>0</v>
      </c>
      <c r="Z1007" s="71">
        <f>DA1007+DC1007+DE1007</f>
        <v>0</v>
      </c>
      <c r="AA1007" s="71">
        <f>CW1007</f>
        <v>0</v>
      </c>
      <c r="AB1007" s="71"/>
      <c r="AC1007" s="71">
        <v>0</v>
      </c>
      <c r="AD1007" s="71">
        <f>W1007+X1007+Y1007+Z1007+AA1007+AB1007+AC1007</f>
        <v>0</v>
      </c>
      <c r="AE1007" s="72">
        <v>0</v>
      </c>
      <c r="AF1007" s="5"/>
      <c r="AG1007" s="6"/>
      <c r="AH1007" s="27" t="s">
        <v>3392</v>
      </c>
      <c r="AI1007" s="44" t="s">
        <v>3393</v>
      </c>
      <c r="AJ1007" s="26"/>
      <c r="AK1007" s="5"/>
      <c r="AL1007" s="82" t="s">
        <v>3930</v>
      </c>
      <c r="AM1007" s="76"/>
      <c r="AN1007" s="76"/>
      <c r="AO1007" s="76"/>
      <c r="AP1007" s="76"/>
      <c r="AQ1007" s="76"/>
      <c r="AR1007" s="76"/>
      <c r="AS1007" s="76"/>
      <c r="AT1007" s="76"/>
      <c r="AU1007" s="76"/>
      <c r="AV1007" s="76"/>
      <c r="AW1007" s="76"/>
      <c r="AX1007" s="76">
        <f>+AW1007*600000</f>
        <v>0</v>
      </c>
      <c r="AY1007" s="76"/>
      <c r="AZ1007" s="76">
        <f>+AY1007*70000</f>
        <v>0</v>
      </c>
      <c r="BA1007" s="76"/>
      <c r="BB1007" s="76"/>
      <c r="BC1007" s="76"/>
      <c r="BD1007" s="76">
        <f>+BC1007*30000</f>
        <v>0</v>
      </c>
      <c r="BE1007" s="76"/>
      <c r="BF1007" s="76"/>
      <c r="BG1007" s="76"/>
      <c r="BH1007" s="76"/>
      <c r="BI1007" s="76"/>
      <c r="BJ1007" s="76"/>
      <c r="BK1007" s="76"/>
      <c r="BL1007" s="76">
        <f>+BK1007*31500</f>
        <v>0</v>
      </c>
      <c r="BM1007" s="76"/>
      <c r="BN1007" s="76"/>
      <c r="BO1007" s="76"/>
      <c r="BP1007" s="76"/>
      <c r="BQ1007" s="76"/>
      <c r="BR1007" s="76"/>
      <c r="BS1007" s="76"/>
      <c r="BT1007" s="76"/>
      <c r="BU1007" s="76"/>
      <c r="BV1007" s="76"/>
      <c r="BW1007" s="76"/>
      <c r="BX1007" s="76"/>
      <c r="BY1007" s="76"/>
      <c r="BZ1007" s="76"/>
      <c r="CA1007" s="76"/>
      <c r="CB1007" s="76"/>
      <c r="CC1007" s="76"/>
      <c r="CD1007" s="76"/>
      <c r="CE1007" s="76"/>
      <c r="CF1007" s="76">
        <f>+CE1007*28000</f>
        <v>0</v>
      </c>
      <c r="CG1007" s="76"/>
      <c r="CH1007" s="76">
        <f>+CG1007*22500</f>
        <v>0</v>
      </c>
      <c r="CI1007" s="76"/>
      <c r="CJ1007" s="76">
        <f>+CI1007*26000</f>
        <v>0</v>
      </c>
      <c r="CK1007" s="76"/>
      <c r="CL1007" s="76"/>
      <c r="CM1007" s="76"/>
      <c r="CN1007" s="76">
        <f>+CM1007*22000</f>
        <v>0</v>
      </c>
      <c r="CO1007" s="76"/>
      <c r="CP1007" s="76">
        <f>+CO1007*46000</f>
        <v>0</v>
      </c>
      <c r="CQ1007" s="76"/>
      <c r="CR1007" s="76">
        <f>+CQ1007*49000</f>
        <v>0</v>
      </c>
      <c r="CS1007" s="76"/>
      <c r="CT1007" s="76"/>
      <c r="CU1007" s="56">
        <f>AN1007+AP1007+AR1007+AT1007+AV1007+AX1007+AZ1007+BB1007+BD1007+BF1007+BH1007+BJ1007+BL1007+BN1007+BP1007+BR1007+BT1007+BV1007+BX1007+BZ1007+CB1007+CD1007+CF1007+CH1007+CJ1007+CL1007+CN1007+CP1007+CR1007+CT1007</f>
        <v>0</v>
      </c>
      <c r="CV1007" s="76"/>
      <c r="CW1007" s="76">
        <f>+CV1007*1100</f>
        <v>0</v>
      </c>
      <c r="CX1007" s="76"/>
      <c r="CY1007" s="76">
        <f>+CX1007*106250</f>
        <v>0</v>
      </c>
      <c r="CZ1007" s="76"/>
      <c r="DA1007" s="76">
        <f>+CZ1007*34500</f>
        <v>0</v>
      </c>
      <c r="DB1007" s="76"/>
      <c r="DC1007" s="76">
        <f>+DB1007*25000</f>
        <v>0</v>
      </c>
      <c r="DD1007" s="219"/>
      <c r="DE1007" s="219"/>
      <c r="DF1007" s="166"/>
      <c r="DG1007" s="116"/>
      <c r="DH1007" s="117"/>
      <c r="DI1007" s="24"/>
      <c r="DJ1007" s="24"/>
      <c r="DK1007" s="24"/>
      <c r="DL1007" s="24"/>
      <c r="DM1007" s="24"/>
      <c r="DN1007" s="24"/>
      <c r="DO1007" s="24"/>
      <c r="DP1007" s="24"/>
      <c r="DQ1007" s="24"/>
      <c r="DR1007" s="24"/>
      <c r="DS1007" s="24"/>
      <c r="DT1007" s="24"/>
      <c r="DU1007" s="24"/>
    </row>
    <row r="1008" spans="1:125" s="8" customFormat="1" ht="228" x14ac:dyDescent="0.2">
      <c r="A1008" s="77">
        <v>41336</v>
      </c>
      <c r="B1008" s="177" t="s">
        <v>1764</v>
      </c>
      <c r="C1008" s="352" t="s">
        <v>1764</v>
      </c>
      <c r="D1008" s="227" t="s">
        <v>2882</v>
      </c>
      <c r="E1008" s="75" t="str">
        <f>VLOOKUP(B1008&amp;C1008,Divipola!$C$2:$F$1138,4,FALSE)</f>
        <v>88001</v>
      </c>
      <c r="F1008" s="87"/>
      <c r="G1008" s="87"/>
      <c r="H1008" s="87"/>
      <c r="I1008" s="87">
        <v>15</v>
      </c>
      <c r="J1008" s="87">
        <v>3</v>
      </c>
      <c r="K1008" s="87"/>
      <c r="L1008" s="87">
        <v>3</v>
      </c>
      <c r="M1008" s="87"/>
      <c r="N1008" s="87"/>
      <c r="O1008" s="87"/>
      <c r="P1008" s="87"/>
      <c r="Q1008" s="87"/>
      <c r="R1008" s="87"/>
      <c r="S1008" s="87"/>
      <c r="T1008" s="87"/>
      <c r="U1008" s="88"/>
      <c r="V1008" s="89"/>
      <c r="W1008" s="96">
        <v>0</v>
      </c>
      <c r="X1008" s="71">
        <f>CU1008</f>
        <v>0</v>
      </c>
      <c r="Y1008" s="71">
        <f>CY1008</f>
        <v>0</v>
      </c>
      <c r="Z1008" s="71">
        <f>DA1008+DC1008+DE1008</f>
        <v>0</v>
      </c>
      <c r="AA1008" s="71">
        <f>CW1008</f>
        <v>0</v>
      </c>
      <c r="AB1008" s="71"/>
      <c r="AC1008" s="71">
        <v>0</v>
      </c>
      <c r="AD1008" s="71">
        <f>W1008+X1008+Y1008+Z1008+AA1008+AB1008+AC1008</f>
        <v>0</v>
      </c>
      <c r="AE1008" s="72">
        <v>0</v>
      </c>
      <c r="AF1008" s="5"/>
      <c r="AG1008" s="6"/>
      <c r="AH1008" s="27" t="s">
        <v>3392</v>
      </c>
      <c r="AI1008" s="44" t="s">
        <v>3393</v>
      </c>
      <c r="AJ1008" s="26"/>
      <c r="AK1008" s="5"/>
      <c r="AL1008" s="82" t="s">
        <v>3716</v>
      </c>
      <c r="AM1008" s="76"/>
      <c r="AN1008" s="76"/>
      <c r="AO1008" s="76"/>
      <c r="AP1008" s="76"/>
      <c r="AQ1008" s="76"/>
      <c r="AR1008" s="76"/>
      <c r="AS1008" s="76"/>
      <c r="AT1008" s="76"/>
      <c r="AU1008" s="76"/>
      <c r="AV1008" s="76"/>
      <c r="AW1008" s="76"/>
      <c r="AX1008" s="76">
        <f>+AW1008*600000</f>
        <v>0</v>
      </c>
      <c r="AY1008" s="76"/>
      <c r="AZ1008" s="76">
        <f>+AY1008*70000</f>
        <v>0</v>
      </c>
      <c r="BA1008" s="76"/>
      <c r="BB1008" s="76"/>
      <c r="BC1008" s="76"/>
      <c r="BD1008" s="76">
        <f>+BC1008*30000</f>
        <v>0</v>
      </c>
      <c r="BE1008" s="76"/>
      <c r="BF1008" s="76"/>
      <c r="BG1008" s="76"/>
      <c r="BH1008" s="76"/>
      <c r="BI1008" s="76"/>
      <c r="BJ1008" s="76"/>
      <c r="BK1008" s="76"/>
      <c r="BL1008" s="76">
        <f>+BK1008*31500</f>
        <v>0</v>
      </c>
      <c r="BM1008" s="76"/>
      <c r="BN1008" s="76"/>
      <c r="BO1008" s="76"/>
      <c r="BP1008" s="76"/>
      <c r="BQ1008" s="76"/>
      <c r="BR1008" s="76"/>
      <c r="BS1008" s="76"/>
      <c r="BT1008" s="76"/>
      <c r="BU1008" s="76"/>
      <c r="BV1008" s="76"/>
      <c r="BW1008" s="76"/>
      <c r="BX1008" s="76"/>
      <c r="BY1008" s="76"/>
      <c r="BZ1008" s="76"/>
      <c r="CA1008" s="76"/>
      <c r="CB1008" s="76"/>
      <c r="CC1008" s="76"/>
      <c r="CD1008" s="76"/>
      <c r="CE1008" s="76"/>
      <c r="CF1008" s="76">
        <f>+CE1008*28000</f>
        <v>0</v>
      </c>
      <c r="CG1008" s="76"/>
      <c r="CH1008" s="76">
        <f>+CG1008*22500</f>
        <v>0</v>
      </c>
      <c r="CI1008" s="76"/>
      <c r="CJ1008" s="76">
        <f>+CI1008*26000</f>
        <v>0</v>
      </c>
      <c r="CK1008" s="76"/>
      <c r="CL1008" s="76"/>
      <c r="CM1008" s="76"/>
      <c r="CN1008" s="76">
        <f>+CM1008*22000</f>
        <v>0</v>
      </c>
      <c r="CO1008" s="76"/>
      <c r="CP1008" s="76">
        <f>+CO1008*46000</f>
        <v>0</v>
      </c>
      <c r="CQ1008" s="76"/>
      <c r="CR1008" s="76">
        <f>+CQ1008*49000</f>
        <v>0</v>
      </c>
      <c r="CS1008" s="76"/>
      <c r="CT1008" s="76"/>
      <c r="CU1008" s="56">
        <f>AN1008+AP1008+AR1008+AT1008+AV1008+AX1008+AZ1008+BB1008+BD1008+BF1008+BH1008+BJ1008+BL1008+BN1008+BP1008+BR1008+BT1008+BV1008+BX1008+BZ1008+CB1008+CD1008+CF1008+CH1008+CJ1008+CL1008+CN1008+CP1008+CR1008+CT1008</f>
        <v>0</v>
      </c>
      <c r="CV1008" s="76"/>
      <c r="CW1008" s="76">
        <f>+CV1008*1100</f>
        <v>0</v>
      </c>
      <c r="CX1008" s="76"/>
      <c r="CY1008" s="76">
        <f>+CX1008*106250</f>
        <v>0</v>
      </c>
      <c r="CZ1008" s="76"/>
      <c r="DA1008" s="76">
        <f>+CZ1008*34500</f>
        <v>0</v>
      </c>
      <c r="DB1008" s="76"/>
      <c r="DC1008" s="76">
        <f>+DB1008*25000</f>
        <v>0</v>
      </c>
      <c r="DD1008" s="219"/>
      <c r="DE1008" s="219"/>
      <c r="DF1008" s="166"/>
      <c r="DG1008" s="116"/>
      <c r="DH1008" s="117"/>
      <c r="DI1008" s="24"/>
      <c r="DJ1008" s="24"/>
      <c r="DK1008" s="24"/>
      <c r="DL1008" s="24"/>
      <c r="DM1008" s="24"/>
      <c r="DN1008" s="24"/>
      <c r="DO1008" s="24"/>
      <c r="DP1008" s="24"/>
      <c r="DQ1008" s="24"/>
      <c r="DR1008" s="24"/>
      <c r="DS1008" s="24"/>
      <c r="DT1008" s="24"/>
      <c r="DU1008" s="24"/>
    </row>
    <row r="1009" spans="1:125" s="8" customFormat="1" ht="132" x14ac:dyDescent="0.2">
      <c r="A1009" s="77">
        <v>41336</v>
      </c>
      <c r="B1009" s="177" t="s">
        <v>2847</v>
      </c>
      <c r="C1009" s="227" t="s">
        <v>1731</v>
      </c>
      <c r="D1009" s="81" t="s">
        <v>2846</v>
      </c>
      <c r="E1009" s="75" t="str">
        <f>VLOOKUP(B1009&amp;C1009,Divipola!$C$2:$F$1138,4,FALSE)</f>
        <v>68425</v>
      </c>
      <c r="F1009" s="87"/>
      <c r="G1009" s="87"/>
      <c r="H1009" s="87"/>
      <c r="I1009" s="87"/>
      <c r="J1009" s="87"/>
      <c r="K1009" s="87"/>
      <c r="L1009" s="87"/>
      <c r="M1009" s="87"/>
      <c r="N1009" s="87"/>
      <c r="O1009" s="87"/>
      <c r="P1009" s="87"/>
      <c r="Q1009" s="87"/>
      <c r="R1009" s="87"/>
      <c r="S1009" s="87"/>
      <c r="T1009" s="87"/>
      <c r="U1009" s="88">
        <v>12</v>
      </c>
      <c r="V1009" s="89"/>
      <c r="W1009" s="96">
        <v>0</v>
      </c>
      <c r="X1009" s="71">
        <f>CU1009</f>
        <v>0</v>
      </c>
      <c r="Y1009" s="71">
        <f>CY1009</f>
        <v>0</v>
      </c>
      <c r="Z1009" s="71">
        <f>DA1009+DC1009+DE1009</f>
        <v>0</v>
      </c>
      <c r="AA1009" s="71">
        <f>CW1009</f>
        <v>0</v>
      </c>
      <c r="AB1009" s="71"/>
      <c r="AC1009" s="71">
        <v>0</v>
      </c>
      <c r="AD1009" s="71">
        <f>W1009+X1009+Y1009+Z1009+AA1009+AB1009+AC1009</f>
        <v>0</v>
      </c>
      <c r="AE1009" s="72">
        <v>0</v>
      </c>
      <c r="AF1009" s="5"/>
      <c r="AG1009" s="6"/>
      <c r="AH1009" s="27" t="s">
        <v>3392</v>
      </c>
      <c r="AI1009" s="44" t="s">
        <v>3393</v>
      </c>
      <c r="AJ1009" s="26"/>
      <c r="AK1009" s="5"/>
      <c r="AL1009" s="82" t="s">
        <v>3735</v>
      </c>
      <c r="AM1009" s="76"/>
      <c r="AN1009" s="76"/>
      <c r="AO1009" s="76"/>
      <c r="AP1009" s="76"/>
      <c r="AQ1009" s="76"/>
      <c r="AR1009" s="76"/>
      <c r="AS1009" s="76"/>
      <c r="AT1009" s="76"/>
      <c r="AU1009" s="76"/>
      <c r="AV1009" s="76"/>
      <c r="AW1009" s="76"/>
      <c r="AX1009" s="76">
        <f>+AW1009*600000</f>
        <v>0</v>
      </c>
      <c r="AY1009" s="76"/>
      <c r="AZ1009" s="76">
        <f>+AY1009*70000</f>
        <v>0</v>
      </c>
      <c r="BA1009" s="76"/>
      <c r="BB1009" s="76"/>
      <c r="BC1009" s="76"/>
      <c r="BD1009" s="76">
        <f>+BC1009*30000</f>
        <v>0</v>
      </c>
      <c r="BE1009" s="76"/>
      <c r="BF1009" s="76"/>
      <c r="BG1009" s="76"/>
      <c r="BH1009" s="76"/>
      <c r="BI1009" s="76"/>
      <c r="BJ1009" s="76"/>
      <c r="BK1009" s="76"/>
      <c r="BL1009" s="76">
        <f>+BK1009*31500</f>
        <v>0</v>
      </c>
      <c r="BM1009" s="76"/>
      <c r="BN1009" s="76"/>
      <c r="BO1009" s="76"/>
      <c r="BP1009" s="76"/>
      <c r="BQ1009" s="76"/>
      <c r="BR1009" s="76"/>
      <c r="BS1009" s="76"/>
      <c r="BT1009" s="76"/>
      <c r="BU1009" s="76"/>
      <c r="BV1009" s="76"/>
      <c r="BW1009" s="76"/>
      <c r="BX1009" s="76"/>
      <c r="BY1009" s="76"/>
      <c r="BZ1009" s="76"/>
      <c r="CA1009" s="76"/>
      <c r="CB1009" s="76"/>
      <c r="CC1009" s="76"/>
      <c r="CD1009" s="76"/>
      <c r="CE1009" s="76"/>
      <c r="CF1009" s="76">
        <f>+CE1009*28000</f>
        <v>0</v>
      </c>
      <c r="CG1009" s="76"/>
      <c r="CH1009" s="76">
        <f>+CG1009*22500</f>
        <v>0</v>
      </c>
      <c r="CI1009" s="76"/>
      <c r="CJ1009" s="76">
        <f>+CI1009*26000</f>
        <v>0</v>
      </c>
      <c r="CK1009" s="76"/>
      <c r="CL1009" s="76"/>
      <c r="CM1009" s="76"/>
      <c r="CN1009" s="76">
        <f>+CM1009*22000</f>
        <v>0</v>
      </c>
      <c r="CO1009" s="76"/>
      <c r="CP1009" s="76">
        <f>+CO1009*46000</f>
        <v>0</v>
      </c>
      <c r="CQ1009" s="76"/>
      <c r="CR1009" s="76">
        <f>+CQ1009*49000</f>
        <v>0</v>
      </c>
      <c r="CS1009" s="76"/>
      <c r="CT1009" s="76"/>
      <c r="CU1009" s="56">
        <f>AN1009+AP1009+AR1009+AT1009+AV1009+AX1009+AZ1009+BB1009+BD1009+BF1009+BH1009+BJ1009+BL1009+BN1009+BP1009+BR1009+BT1009+BV1009+BX1009+BZ1009+CB1009+CD1009+CF1009+CH1009+CJ1009+CL1009+CN1009+CP1009+CR1009+CT1009</f>
        <v>0</v>
      </c>
      <c r="CV1009" s="76"/>
      <c r="CW1009" s="76">
        <f>+CV1009*1100</f>
        <v>0</v>
      </c>
      <c r="CX1009" s="76"/>
      <c r="CY1009" s="76">
        <f>+CX1009*106250</f>
        <v>0</v>
      </c>
      <c r="CZ1009" s="76"/>
      <c r="DA1009" s="76">
        <f>+CZ1009*34500</f>
        <v>0</v>
      </c>
      <c r="DB1009" s="76"/>
      <c r="DC1009" s="76">
        <f>+DB1009*25000</f>
        <v>0</v>
      </c>
      <c r="DD1009" s="219"/>
      <c r="DE1009" s="219"/>
      <c r="DF1009" s="166"/>
      <c r="DG1009" s="116"/>
      <c r="DH1009" s="117"/>
      <c r="DI1009" s="24"/>
      <c r="DJ1009" s="24"/>
      <c r="DK1009" s="24"/>
      <c r="DL1009" s="24"/>
      <c r="DM1009" s="24"/>
      <c r="DN1009" s="24"/>
      <c r="DO1009" s="24"/>
      <c r="DP1009" s="24"/>
      <c r="DQ1009" s="24"/>
      <c r="DR1009" s="24"/>
      <c r="DS1009" s="24"/>
      <c r="DT1009" s="24"/>
      <c r="DU1009" s="24"/>
    </row>
    <row r="1010" spans="1:125" s="8" customFormat="1" ht="72" x14ac:dyDescent="0.2">
      <c r="A1010" s="226">
        <v>41336</v>
      </c>
      <c r="B1010" s="177" t="s">
        <v>2848</v>
      </c>
      <c r="C1010" s="227" t="s">
        <v>2788</v>
      </c>
      <c r="D1010" s="227" t="s">
        <v>3051</v>
      </c>
      <c r="E1010" s="75" t="str">
        <f>VLOOKUP(B1010&amp;C1010,Divipola!$C$2:$F$1138,4,FALSE)</f>
        <v>73200</v>
      </c>
      <c r="F1010" s="163"/>
      <c r="G1010" s="163"/>
      <c r="H1010" s="163"/>
      <c r="I1010" s="163">
        <v>37</v>
      </c>
      <c r="J1010" s="163">
        <v>10</v>
      </c>
      <c r="K1010" s="163"/>
      <c r="L1010" s="163">
        <v>10</v>
      </c>
      <c r="M1010" s="163"/>
      <c r="N1010" s="163"/>
      <c r="O1010" s="163"/>
      <c r="P1010" s="163">
        <v>1</v>
      </c>
      <c r="Q1010" s="163"/>
      <c r="R1010" s="163"/>
      <c r="S1010" s="163"/>
      <c r="T1010" s="163"/>
      <c r="U1010" s="163"/>
      <c r="V1010" s="134"/>
      <c r="W1010" s="96">
        <v>0</v>
      </c>
      <c r="X1010" s="71">
        <f>CU1010</f>
        <v>0</v>
      </c>
      <c r="Y1010" s="71">
        <f>CY1010</f>
        <v>0</v>
      </c>
      <c r="Z1010" s="71">
        <f>DA1010+DC1010+DE1010</f>
        <v>0</v>
      </c>
      <c r="AA1010" s="71">
        <f>CW1010</f>
        <v>0</v>
      </c>
      <c r="AB1010" s="71"/>
      <c r="AC1010" s="71">
        <v>0</v>
      </c>
      <c r="AD1010" s="71">
        <f>W1010+X1010+Y1010+Z1010+AA1010+AB1010+AC1010</f>
        <v>0</v>
      </c>
      <c r="AE1010" s="72">
        <v>0</v>
      </c>
      <c r="AF1010" s="5"/>
      <c r="AG1010" s="6"/>
      <c r="AH1010" s="27" t="s">
        <v>3390</v>
      </c>
      <c r="AI1010" s="44" t="s">
        <v>3393</v>
      </c>
      <c r="AJ1010" s="26"/>
      <c r="AK1010" s="5" t="s">
        <v>4242</v>
      </c>
      <c r="AL1010" s="82" t="s">
        <v>4560</v>
      </c>
      <c r="AM1010" s="76"/>
      <c r="AN1010" s="76"/>
      <c r="AO1010" s="76"/>
      <c r="AP1010" s="76"/>
      <c r="AQ1010" s="76"/>
      <c r="AR1010" s="76"/>
      <c r="AS1010" s="76"/>
      <c r="AT1010" s="76"/>
      <c r="AU1010" s="76"/>
      <c r="AV1010" s="76"/>
      <c r="AW1010" s="76"/>
      <c r="AX1010" s="76">
        <f>+AW1010*600000</f>
        <v>0</v>
      </c>
      <c r="AY1010" s="76"/>
      <c r="AZ1010" s="76">
        <f>+AY1010*70000</f>
        <v>0</v>
      </c>
      <c r="BA1010" s="76"/>
      <c r="BB1010" s="76"/>
      <c r="BC1010" s="76"/>
      <c r="BD1010" s="76">
        <f>+BC1010*30000</f>
        <v>0</v>
      </c>
      <c r="BE1010" s="76"/>
      <c r="BF1010" s="76"/>
      <c r="BG1010" s="76"/>
      <c r="BH1010" s="76"/>
      <c r="BI1010" s="76"/>
      <c r="BJ1010" s="76"/>
      <c r="BK1010" s="76"/>
      <c r="BL1010" s="76">
        <f>+BK1010*31500</f>
        <v>0</v>
      </c>
      <c r="BM1010" s="76"/>
      <c r="BN1010" s="76"/>
      <c r="BO1010" s="76"/>
      <c r="BP1010" s="76"/>
      <c r="BQ1010" s="76"/>
      <c r="BR1010" s="76"/>
      <c r="BS1010" s="76"/>
      <c r="BT1010" s="76"/>
      <c r="BU1010" s="76"/>
      <c r="BV1010" s="76"/>
      <c r="BW1010" s="76"/>
      <c r="BX1010" s="76"/>
      <c r="BY1010" s="76"/>
      <c r="BZ1010" s="76"/>
      <c r="CA1010" s="76"/>
      <c r="CB1010" s="76"/>
      <c r="CC1010" s="76"/>
      <c r="CD1010" s="76"/>
      <c r="CE1010" s="76"/>
      <c r="CF1010" s="76">
        <f>+CE1010*28000</f>
        <v>0</v>
      </c>
      <c r="CG1010" s="76"/>
      <c r="CH1010" s="76">
        <f>+CG1010*22500</f>
        <v>0</v>
      </c>
      <c r="CI1010" s="76"/>
      <c r="CJ1010" s="76">
        <f>+CI1010*26000</f>
        <v>0</v>
      </c>
      <c r="CK1010" s="76"/>
      <c r="CL1010" s="76"/>
      <c r="CM1010" s="76"/>
      <c r="CN1010" s="76">
        <f>+CM1010*22000</f>
        <v>0</v>
      </c>
      <c r="CO1010" s="76"/>
      <c r="CP1010" s="76">
        <f>+CO1010*46000</f>
        <v>0</v>
      </c>
      <c r="CQ1010" s="76"/>
      <c r="CR1010" s="76">
        <f>+CQ1010*49000</f>
        <v>0</v>
      </c>
      <c r="CS1010" s="76"/>
      <c r="CT1010" s="76"/>
      <c r="CU1010" s="56">
        <f>AN1010+AP1010+AR1010+AT1010+AV1010+AX1010+AZ1010+BB1010+BD1010+BF1010+BH1010+BJ1010+BL1010+BN1010+BP1010+BR1010+BT1010+BV1010+BX1010+BZ1010+CB1010+CD1010+CF1010+CH1010+CJ1010+CL1010+CN1010+CP1010+CR1010+CT1010</f>
        <v>0</v>
      </c>
      <c r="CV1010" s="76"/>
      <c r="CW1010" s="76">
        <f>+CV1010*1100</f>
        <v>0</v>
      </c>
      <c r="CX1010" s="76"/>
      <c r="CY1010" s="76">
        <f>+CX1010*106250</f>
        <v>0</v>
      </c>
      <c r="CZ1010" s="76"/>
      <c r="DA1010" s="76">
        <f>+CZ1010*34500</f>
        <v>0</v>
      </c>
      <c r="DB1010" s="76"/>
      <c r="DC1010" s="76">
        <f>+DB1010*25000</f>
        <v>0</v>
      </c>
      <c r="DD1010" s="219"/>
      <c r="DE1010" s="219"/>
      <c r="DF1010" s="166"/>
      <c r="DG1010" s="116"/>
      <c r="DH1010" s="117"/>
      <c r="DI1010" s="24"/>
      <c r="DJ1010" s="24"/>
      <c r="DK1010" s="24"/>
      <c r="DL1010" s="24"/>
      <c r="DM1010" s="24"/>
      <c r="DN1010" s="24"/>
      <c r="DO1010" s="24"/>
      <c r="DP1010" s="24"/>
      <c r="DQ1010" s="24"/>
      <c r="DR1010" s="24"/>
      <c r="DS1010" s="24"/>
      <c r="DT1010" s="24"/>
      <c r="DU1010" s="24"/>
    </row>
    <row r="1011" spans="1:125" s="8" customFormat="1" ht="192" x14ac:dyDescent="0.2">
      <c r="A1011" s="353">
        <v>41337</v>
      </c>
      <c r="B1011" s="177" t="s">
        <v>2036</v>
      </c>
      <c r="C1011" s="354" t="s">
        <v>1374</v>
      </c>
      <c r="D1011" s="81" t="s">
        <v>2846</v>
      </c>
      <c r="E1011" s="75" t="str">
        <f>VLOOKUP(B1011&amp;C1011,Divipola!$C$2:$F$1138,4,FALSE)</f>
        <v>81065</v>
      </c>
      <c r="F1011" s="87"/>
      <c r="G1011" s="87"/>
      <c r="H1011" s="87"/>
      <c r="I1011" s="87"/>
      <c r="J1011" s="87"/>
      <c r="K1011" s="87"/>
      <c r="L1011" s="87"/>
      <c r="M1011" s="87"/>
      <c r="N1011" s="87"/>
      <c r="O1011" s="87"/>
      <c r="P1011" s="87"/>
      <c r="Q1011" s="87"/>
      <c r="R1011" s="87"/>
      <c r="S1011" s="87"/>
      <c r="T1011" s="87"/>
      <c r="U1011" s="88"/>
      <c r="V1011" s="89"/>
      <c r="W1011" s="96">
        <v>0</v>
      </c>
      <c r="X1011" s="71">
        <f>CU1011</f>
        <v>0</v>
      </c>
      <c r="Y1011" s="71">
        <f>CY1011</f>
        <v>0</v>
      </c>
      <c r="Z1011" s="71">
        <f>DA1011+DC1011+DE1011</f>
        <v>0</v>
      </c>
      <c r="AA1011" s="71">
        <f>CW1011</f>
        <v>0</v>
      </c>
      <c r="AB1011" s="71"/>
      <c r="AC1011" s="71">
        <v>0</v>
      </c>
      <c r="AD1011" s="71">
        <f>W1011+X1011+Y1011+Z1011+AA1011+AB1011+AC1011</f>
        <v>0</v>
      </c>
      <c r="AE1011" s="72">
        <v>0</v>
      </c>
      <c r="AF1011" s="5"/>
      <c r="AG1011" s="6"/>
      <c r="AH1011" s="27" t="s">
        <v>3392</v>
      </c>
      <c r="AI1011" s="44" t="s">
        <v>3393</v>
      </c>
      <c r="AJ1011" s="26"/>
      <c r="AK1011" s="5"/>
      <c r="AL1011" s="82" t="s">
        <v>3861</v>
      </c>
      <c r="AM1011" s="76"/>
      <c r="AN1011" s="76"/>
      <c r="AO1011" s="76"/>
      <c r="AP1011" s="76"/>
      <c r="AQ1011" s="76"/>
      <c r="AR1011" s="76"/>
      <c r="AS1011" s="76"/>
      <c r="AT1011" s="76"/>
      <c r="AU1011" s="76"/>
      <c r="AV1011" s="76"/>
      <c r="AW1011" s="76"/>
      <c r="AX1011" s="76">
        <f>+AW1011*600000</f>
        <v>0</v>
      </c>
      <c r="AY1011" s="76"/>
      <c r="AZ1011" s="76">
        <f>+AY1011*70000</f>
        <v>0</v>
      </c>
      <c r="BA1011" s="76"/>
      <c r="BB1011" s="76"/>
      <c r="BC1011" s="76"/>
      <c r="BD1011" s="76">
        <f>+BC1011*30000</f>
        <v>0</v>
      </c>
      <c r="BE1011" s="76"/>
      <c r="BF1011" s="76"/>
      <c r="BG1011" s="76"/>
      <c r="BH1011" s="76"/>
      <c r="BI1011" s="76"/>
      <c r="BJ1011" s="76"/>
      <c r="BK1011" s="76"/>
      <c r="BL1011" s="76">
        <f>+BK1011*31500</f>
        <v>0</v>
      </c>
      <c r="BM1011" s="76"/>
      <c r="BN1011" s="76"/>
      <c r="BO1011" s="76"/>
      <c r="BP1011" s="76"/>
      <c r="BQ1011" s="76"/>
      <c r="BR1011" s="76"/>
      <c r="BS1011" s="76"/>
      <c r="BT1011" s="76"/>
      <c r="BU1011" s="76"/>
      <c r="BV1011" s="76"/>
      <c r="BW1011" s="76"/>
      <c r="BX1011" s="76"/>
      <c r="BY1011" s="76"/>
      <c r="BZ1011" s="76"/>
      <c r="CA1011" s="76"/>
      <c r="CB1011" s="76"/>
      <c r="CC1011" s="76"/>
      <c r="CD1011" s="76"/>
      <c r="CE1011" s="76"/>
      <c r="CF1011" s="76">
        <f>+CE1011*28000</f>
        <v>0</v>
      </c>
      <c r="CG1011" s="76"/>
      <c r="CH1011" s="76">
        <f>+CG1011*22500</f>
        <v>0</v>
      </c>
      <c r="CI1011" s="76"/>
      <c r="CJ1011" s="76">
        <f>+CI1011*26000</f>
        <v>0</v>
      </c>
      <c r="CK1011" s="76"/>
      <c r="CL1011" s="76"/>
      <c r="CM1011" s="76"/>
      <c r="CN1011" s="76">
        <f>+CM1011*22000</f>
        <v>0</v>
      </c>
      <c r="CO1011" s="76"/>
      <c r="CP1011" s="76">
        <f>+CO1011*46000</f>
        <v>0</v>
      </c>
      <c r="CQ1011" s="76"/>
      <c r="CR1011" s="76">
        <f>+CQ1011*49000</f>
        <v>0</v>
      </c>
      <c r="CS1011" s="76"/>
      <c r="CT1011" s="76"/>
      <c r="CU1011" s="56">
        <f>AN1011+AP1011+AR1011+AT1011+AV1011+AX1011+AZ1011+BB1011+BD1011+BF1011+BH1011+BJ1011+BL1011+BN1011+BP1011+BR1011+BT1011+BV1011+BX1011+BZ1011+CB1011+CD1011+CF1011+CH1011+CJ1011+CL1011+CN1011+CP1011+CR1011+CT1011</f>
        <v>0</v>
      </c>
      <c r="CV1011" s="76"/>
      <c r="CW1011" s="76">
        <f>+CV1011*1100</f>
        <v>0</v>
      </c>
      <c r="CX1011" s="76"/>
      <c r="CY1011" s="76">
        <f>+CX1011*106250</f>
        <v>0</v>
      </c>
      <c r="CZ1011" s="76"/>
      <c r="DA1011" s="76">
        <f>+CZ1011*34500</f>
        <v>0</v>
      </c>
      <c r="DB1011" s="76"/>
      <c r="DC1011" s="76">
        <f>+DB1011*25000</f>
        <v>0</v>
      </c>
      <c r="DD1011" s="219"/>
      <c r="DE1011" s="219"/>
      <c r="DF1011" s="166"/>
      <c r="DG1011" s="116"/>
      <c r="DH1011" s="117"/>
      <c r="DI1011" s="24"/>
      <c r="DJ1011" s="24"/>
      <c r="DK1011" s="24"/>
      <c r="DL1011" s="24"/>
      <c r="DM1011" s="24"/>
      <c r="DN1011" s="24"/>
      <c r="DO1011" s="24"/>
      <c r="DP1011" s="24"/>
      <c r="DQ1011" s="24"/>
      <c r="DR1011" s="24"/>
      <c r="DS1011" s="24"/>
      <c r="DT1011" s="24"/>
      <c r="DU1011" s="24"/>
    </row>
    <row r="1012" spans="1:125" s="8" customFormat="1" ht="24" x14ac:dyDescent="0.2">
      <c r="A1012" s="77">
        <v>41337</v>
      </c>
      <c r="B1012" s="176" t="s">
        <v>2036</v>
      </c>
      <c r="C1012" s="75" t="s">
        <v>1687</v>
      </c>
      <c r="D1012" s="75" t="s">
        <v>2846</v>
      </c>
      <c r="E1012" s="75" t="str">
        <f>VLOOKUP(B1012&amp;C1012,Divipola!$C$2:$F$1138,4,FALSE)</f>
        <v>81300</v>
      </c>
      <c r="F1012" s="163"/>
      <c r="G1012" s="163"/>
      <c r="H1012" s="163"/>
      <c r="I1012" s="163"/>
      <c r="J1012" s="163"/>
      <c r="K1012" s="163"/>
      <c r="L1012" s="163"/>
      <c r="M1012" s="163"/>
      <c r="N1012" s="163"/>
      <c r="O1012" s="163"/>
      <c r="P1012" s="163"/>
      <c r="Q1012" s="163"/>
      <c r="R1012" s="163"/>
      <c r="S1012" s="163"/>
      <c r="T1012" s="163"/>
      <c r="U1012" s="163">
        <v>225</v>
      </c>
      <c r="V1012" s="134"/>
      <c r="W1012" s="96">
        <v>0</v>
      </c>
      <c r="X1012" s="71">
        <f>CU1012</f>
        <v>0</v>
      </c>
      <c r="Y1012" s="71">
        <f>CY1012</f>
        <v>0</v>
      </c>
      <c r="Z1012" s="71">
        <f>DA1012+DC1012+DE1012</f>
        <v>0</v>
      </c>
      <c r="AA1012" s="71">
        <f>CW1012</f>
        <v>0</v>
      </c>
      <c r="AB1012" s="71"/>
      <c r="AC1012" s="71">
        <v>0</v>
      </c>
      <c r="AD1012" s="71">
        <f>W1012+X1012+Y1012+Z1012+AA1012+AB1012+AC1012</f>
        <v>0</v>
      </c>
      <c r="AE1012" s="72">
        <v>0</v>
      </c>
      <c r="AF1012" s="5"/>
      <c r="AG1012" s="6"/>
      <c r="AH1012" s="27" t="s">
        <v>3390</v>
      </c>
      <c r="AI1012" s="44" t="s">
        <v>3393</v>
      </c>
      <c r="AJ1012" s="26"/>
      <c r="AK1012" s="5" t="s">
        <v>4242</v>
      </c>
      <c r="AL1012" s="82" t="s">
        <v>4887</v>
      </c>
      <c r="AM1012" s="76"/>
      <c r="AN1012" s="76"/>
      <c r="AO1012" s="76"/>
      <c r="AP1012" s="76"/>
      <c r="AQ1012" s="76"/>
      <c r="AR1012" s="76"/>
      <c r="AS1012" s="76"/>
      <c r="AT1012" s="76"/>
      <c r="AU1012" s="76"/>
      <c r="AV1012" s="76"/>
      <c r="AW1012" s="76"/>
      <c r="AX1012" s="76">
        <f>+AW1012*600000</f>
        <v>0</v>
      </c>
      <c r="AY1012" s="76"/>
      <c r="AZ1012" s="76">
        <f>+AY1012*70000</f>
        <v>0</v>
      </c>
      <c r="BA1012" s="76"/>
      <c r="BB1012" s="76"/>
      <c r="BC1012" s="76"/>
      <c r="BD1012" s="76">
        <f>+BC1012*30000</f>
        <v>0</v>
      </c>
      <c r="BE1012" s="76"/>
      <c r="BF1012" s="76"/>
      <c r="BG1012" s="76"/>
      <c r="BH1012" s="76"/>
      <c r="BI1012" s="76"/>
      <c r="BJ1012" s="76"/>
      <c r="BK1012" s="76"/>
      <c r="BL1012" s="76">
        <f>+BK1012*31500</f>
        <v>0</v>
      </c>
      <c r="BM1012" s="76"/>
      <c r="BN1012" s="76"/>
      <c r="BO1012" s="76"/>
      <c r="BP1012" s="76"/>
      <c r="BQ1012" s="76"/>
      <c r="BR1012" s="76"/>
      <c r="BS1012" s="76"/>
      <c r="BT1012" s="76"/>
      <c r="BU1012" s="76"/>
      <c r="BV1012" s="76"/>
      <c r="BW1012" s="76"/>
      <c r="BX1012" s="76"/>
      <c r="BY1012" s="76"/>
      <c r="BZ1012" s="76"/>
      <c r="CA1012" s="76"/>
      <c r="CB1012" s="76"/>
      <c r="CC1012" s="76"/>
      <c r="CD1012" s="76"/>
      <c r="CE1012" s="76"/>
      <c r="CF1012" s="76">
        <f>+CE1012*28000</f>
        <v>0</v>
      </c>
      <c r="CG1012" s="76"/>
      <c r="CH1012" s="76">
        <f>+CG1012*22500</f>
        <v>0</v>
      </c>
      <c r="CI1012" s="76"/>
      <c r="CJ1012" s="76">
        <f>+CI1012*26000</f>
        <v>0</v>
      </c>
      <c r="CK1012" s="76"/>
      <c r="CL1012" s="76"/>
      <c r="CM1012" s="76"/>
      <c r="CN1012" s="76">
        <f>+CM1012*22000</f>
        <v>0</v>
      </c>
      <c r="CO1012" s="76"/>
      <c r="CP1012" s="76">
        <f>+CO1012*46000</f>
        <v>0</v>
      </c>
      <c r="CQ1012" s="76"/>
      <c r="CR1012" s="76">
        <f>+CQ1012*49000</f>
        <v>0</v>
      </c>
      <c r="CS1012" s="76"/>
      <c r="CT1012" s="76"/>
      <c r="CU1012" s="56">
        <f>AN1012+AP1012+AR1012+AT1012+AV1012+AX1012+AZ1012+BB1012+BD1012+BF1012+BH1012+BJ1012+BL1012+BN1012+BP1012+BR1012+BT1012+BV1012+BX1012+BZ1012+CB1012+CD1012+CF1012+CH1012+CJ1012+CL1012+CN1012+CP1012+CR1012+CT1012</f>
        <v>0</v>
      </c>
      <c r="CV1012" s="76"/>
      <c r="CW1012" s="76">
        <f>+CV1012*1100</f>
        <v>0</v>
      </c>
      <c r="CX1012" s="76"/>
      <c r="CY1012" s="76">
        <f>+CX1012*106250</f>
        <v>0</v>
      </c>
      <c r="CZ1012" s="76"/>
      <c r="DA1012" s="76">
        <f>+CZ1012*34500</f>
        <v>0</v>
      </c>
      <c r="DB1012" s="76"/>
      <c r="DC1012" s="76">
        <f>+DB1012*25000</f>
        <v>0</v>
      </c>
      <c r="DD1012" s="219"/>
      <c r="DE1012" s="219"/>
      <c r="DF1012" s="166"/>
      <c r="DG1012" s="116"/>
      <c r="DH1012" s="117"/>
      <c r="DI1012" s="24"/>
      <c r="DJ1012" s="24"/>
      <c r="DK1012" s="24"/>
      <c r="DL1012" s="24"/>
      <c r="DM1012" s="24"/>
      <c r="DN1012" s="24"/>
      <c r="DO1012" s="24"/>
      <c r="DP1012" s="24"/>
      <c r="DQ1012" s="24"/>
      <c r="DR1012" s="24"/>
      <c r="DS1012" s="24"/>
      <c r="DT1012" s="24"/>
      <c r="DU1012" s="24"/>
    </row>
    <row r="1013" spans="1:125" s="8" customFormat="1" ht="108" x14ac:dyDescent="0.2">
      <c r="A1013" s="226">
        <v>41337</v>
      </c>
      <c r="B1013" s="177" t="s">
        <v>2036</v>
      </c>
      <c r="C1013" s="227" t="s">
        <v>2670</v>
      </c>
      <c r="D1013" s="207" t="s">
        <v>2846</v>
      </c>
      <c r="E1013" s="75" t="str">
        <f>VLOOKUP(B1013&amp;C1013,Divipola!$C$2:$F$1138,4,FALSE)</f>
        <v>81794</v>
      </c>
      <c r="F1013" s="87"/>
      <c r="G1013" s="87"/>
      <c r="H1013" s="87"/>
      <c r="I1013" s="87"/>
      <c r="J1013" s="87"/>
      <c r="K1013" s="87"/>
      <c r="L1013" s="87"/>
      <c r="M1013" s="87"/>
      <c r="N1013" s="87"/>
      <c r="O1013" s="87"/>
      <c r="P1013" s="87"/>
      <c r="Q1013" s="87"/>
      <c r="R1013" s="87"/>
      <c r="S1013" s="87"/>
      <c r="T1013" s="87"/>
      <c r="U1013" s="88">
        <v>1200</v>
      </c>
      <c r="V1013" s="89"/>
      <c r="W1013" s="96">
        <v>0</v>
      </c>
      <c r="X1013" s="71">
        <f>CU1013</f>
        <v>0</v>
      </c>
      <c r="Y1013" s="71">
        <f>CY1013</f>
        <v>0</v>
      </c>
      <c r="Z1013" s="71">
        <f>DA1013+DC1013+DE1013</f>
        <v>0</v>
      </c>
      <c r="AA1013" s="71">
        <f>CW1013</f>
        <v>0</v>
      </c>
      <c r="AB1013" s="71"/>
      <c r="AC1013" s="71">
        <v>0</v>
      </c>
      <c r="AD1013" s="71">
        <f>W1013+X1013+Y1013+Z1013+AA1013+AB1013+AC1013</f>
        <v>0</v>
      </c>
      <c r="AE1013" s="72">
        <v>0</v>
      </c>
      <c r="AF1013" s="5"/>
      <c r="AG1013" s="6"/>
      <c r="AH1013" s="27" t="s">
        <v>3392</v>
      </c>
      <c r="AI1013" s="44" t="s">
        <v>3393</v>
      </c>
      <c r="AJ1013" s="26"/>
      <c r="AK1013" s="5"/>
      <c r="AL1013" s="82" t="s">
        <v>3836</v>
      </c>
      <c r="AM1013" s="76"/>
      <c r="AN1013" s="76"/>
      <c r="AO1013" s="76"/>
      <c r="AP1013" s="76"/>
      <c r="AQ1013" s="76"/>
      <c r="AR1013" s="76"/>
      <c r="AS1013" s="76"/>
      <c r="AT1013" s="76"/>
      <c r="AU1013" s="76"/>
      <c r="AV1013" s="76"/>
      <c r="AW1013" s="76"/>
      <c r="AX1013" s="76">
        <f>+AW1013*600000</f>
        <v>0</v>
      </c>
      <c r="AY1013" s="76"/>
      <c r="AZ1013" s="76">
        <f>+AY1013*70000</f>
        <v>0</v>
      </c>
      <c r="BA1013" s="76"/>
      <c r="BB1013" s="76"/>
      <c r="BC1013" s="76"/>
      <c r="BD1013" s="76">
        <f>+BC1013*30000</f>
        <v>0</v>
      </c>
      <c r="BE1013" s="76"/>
      <c r="BF1013" s="76"/>
      <c r="BG1013" s="76"/>
      <c r="BH1013" s="76"/>
      <c r="BI1013" s="76"/>
      <c r="BJ1013" s="76"/>
      <c r="BK1013" s="76"/>
      <c r="BL1013" s="76">
        <f>+BK1013*31500</f>
        <v>0</v>
      </c>
      <c r="BM1013" s="76"/>
      <c r="BN1013" s="76"/>
      <c r="BO1013" s="76"/>
      <c r="BP1013" s="76"/>
      <c r="BQ1013" s="76"/>
      <c r="BR1013" s="76"/>
      <c r="BS1013" s="76"/>
      <c r="BT1013" s="76"/>
      <c r="BU1013" s="76"/>
      <c r="BV1013" s="76"/>
      <c r="BW1013" s="76"/>
      <c r="BX1013" s="76"/>
      <c r="BY1013" s="76"/>
      <c r="BZ1013" s="76"/>
      <c r="CA1013" s="76"/>
      <c r="CB1013" s="76"/>
      <c r="CC1013" s="76"/>
      <c r="CD1013" s="76"/>
      <c r="CE1013" s="76"/>
      <c r="CF1013" s="76">
        <f>+CE1013*28000</f>
        <v>0</v>
      </c>
      <c r="CG1013" s="76"/>
      <c r="CH1013" s="76">
        <f>+CG1013*22500</f>
        <v>0</v>
      </c>
      <c r="CI1013" s="76"/>
      <c r="CJ1013" s="76">
        <f>+CI1013*26000</f>
        <v>0</v>
      </c>
      <c r="CK1013" s="76"/>
      <c r="CL1013" s="76"/>
      <c r="CM1013" s="76"/>
      <c r="CN1013" s="76">
        <f>+CM1013*22000</f>
        <v>0</v>
      </c>
      <c r="CO1013" s="76"/>
      <c r="CP1013" s="76">
        <f>+CO1013*46000</f>
        <v>0</v>
      </c>
      <c r="CQ1013" s="76"/>
      <c r="CR1013" s="76">
        <f>+CQ1013*49000</f>
        <v>0</v>
      </c>
      <c r="CS1013" s="76"/>
      <c r="CT1013" s="76"/>
      <c r="CU1013" s="56">
        <f>AN1013+AP1013+AR1013+AT1013+AV1013+AX1013+AZ1013+BB1013+BD1013+BF1013+BH1013+BJ1013+BL1013+BN1013+BP1013+BR1013+BT1013+BV1013+BX1013+BZ1013+CB1013+CD1013+CF1013+CH1013+CJ1013+CL1013+CN1013+CP1013+CR1013+CT1013</f>
        <v>0</v>
      </c>
      <c r="CV1013" s="76"/>
      <c r="CW1013" s="76">
        <f>+CV1013*1100</f>
        <v>0</v>
      </c>
      <c r="CX1013" s="76"/>
      <c r="CY1013" s="76">
        <f>+CX1013*106250</f>
        <v>0</v>
      </c>
      <c r="CZ1013" s="76"/>
      <c r="DA1013" s="76">
        <f>+CZ1013*34500</f>
        <v>0</v>
      </c>
      <c r="DB1013" s="76"/>
      <c r="DC1013" s="76">
        <f>+DB1013*25000</f>
        <v>0</v>
      </c>
      <c r="DD1013" s="219"/>
      <c r="DE1013" s="219"/>
      <c r="DF1013" s="166"/>
      <c r="DG1013" s="116"/>
      <c r="DH1013" s="117"/>
      <c r="DI1013" s="24"/>
      <c r="DJ1013" s="24"/>
      <c r="DK1013" s="24"/>
      <c r="DL1013" s="24"/>
      <c r="DM1013" s="24"/>
      <c r="DN1013" s="24"/>
      <c r="DO1013" s="24"/>
      <c r="DP1013" s="24"/>
      <c r="DQ1013" s="24"/>
      <c r="DR1013" s="24"/>
      <c r="DS1013" s="24"/>
      <c r="DT1013" s="24"/>
      <c r="DU1013" s="24"/>
    </row>
    <row r="1014" spans="1:125" s="8" customFormat="1" ht="36" x14ac:dyDescent="0.2">
      <c r="A1014" s="353">
        <v>41337</v>
      </c>
      <c r="B1014" s="177" t="s">
        <v>2700</v>
      </c>
      <c r="C1014" s="227" t="s">
        <v>1704</v>
      </c>
      <c r="D1014" s="207" t="s">
        <v>2846</v>
      </c>
      <c r="E1014" s="75" t="str">
        <f>VLOOKUP(B1014&amp;C1014,Divipola!$C$2:$F$1138,4,FALSE)</f>
        <v>15516</v>
      </c>
      <c r="F1014" s="87"/>
      <c r="G1014" s="87"/>
      <c r="H1014" s="87"/>
      <c r="I1014" s="87"/>
      <c r="J1014" s="87"/>
      <c r="K1014" s="87"/>
      <c r="L1014" s="87"/>
      <c r="M1014" s="87"/>
      <c r="N1014" s="87"/>
      <c r="O1014" s="87"/>
      <c r="P1014" s="87"/>
      <c r="Q1014" s="87"/>
      <c r="R1014" s="87"/>
      <c r="S1014" s="87"/>
      <c r="T1014" s="87"/>
      <c r="U1014" s="88"/>
      <c r="V1014" s="89"/>
      <c r="W1014" s="96">
        <v>0</v>
      </c>
      <c r="X1014" s="71">
        <f>CU1014</f>
        <v>0</v>
      </c>
      <c r="Y1014" s="71">
        <f>CY1014</f>
        <v>0</v>
      </c>
      <c r="Z1014" s="71">
        <f>DA1014+DC1014+DE1014</f>
        <v>0</v>
      </c>
      <c r="AA1014" s="71">
        <f>CW1014</f>
        <v>0</v>
      </c>
      <c r="AB1014" s="71"/>
      <c r="AC1014" s="71">
        <v>0</v>
      </c>
      <c r="AD1014" s="71">
        <f>W1014+X1014+Y1014+Z1014+AA1014+AB1014+AC1014</f>
        <v>0</v>
      </c>
      <c r="AE1014" s="72">
        <v>0</v>
      </c>
      <c r="AF1014" s="5"/>
      <c r="AG1014" s="6"/>
      <c r="AH1014" s="27" t="s">
        <v>3392</v>
      </c>
      <c r="AI1014" s="44" t="s">
        <v>3393</v>
      </c>
      <c r="AJ1014" s="26"/>
      <c r="AK1014" s="5"/>
      <c r="AL1014" s="82" t="s">
        <v>3730</v>
      </c>
      <c r="AM1014" s="76"/>
      <c r="AN1014" s="76"/>
      <c r="AO1014" s="76"/>
      <c r="AP1014" s="76"/>
      <c r="AQ1014" s="76"/>
      <c r="AR1014" s="76"/>
      <c r="AS1014" s="76"/>
      <c r="AT1014" s="76"/>
      <c r="AU1014" s="76"/>
      <c r="AV1014" s="76"/>
      <c r="AW1014" s="76"/>
      <c r="AX1014" s="76">
        <f>+AW1014*600000</f>
        <v>0</v>
      </c>
      <c r="AY1014" s="76"/>
      <c r="AZ1014" s="76">
        <f>+AY1014*70000</f>
        <v>0</v>
      </c>
      <c r="BA1014" s="76"/>
      <c r="BB1014" s="76"/>
      <c r="BC1014" s="76"/>
      <c r="BD1014" s="76">
        <f>+BC1014*30000</f>
        <v>0</v>
      </c>
      <c r="BE1014" s="76"/>
      <c r="BF1014" s="76"/>
      <c r="BG1014" s="76"/>
      <c r="BH1014" s="76"/>
      <c r="BI1014" s="76"/>
      <c r="BJ1014" s="76"/>
      <c r="BK1014" s="76"/>
      <c r="BL1014" s="76">
        <f>+BK1014*31500</f>
        <v>0</v>
      </c>
      <c r="BM1014" s="76"/>
      <c r="BN1014" s="76"/>
      <c r="BO1014" s="76"/>
      <c r="BP1014" s="76"/>
      <c r="BQ1014" s="76"/>
      <c r="BR1014" s="76"/>
      <c r="BS1014" s="76"/>
      <c r="BT1014" s="76"/>
      <c r="BU1014" s="76"/>
      <c r="BV1014" s="76"/>
      <c r="BW1014" s="76"/>
      <c r="BX1014" s="76"/>
      <c r="BY1014" s="76"/>
      <c r="BZ1014" s="76"/>
      <c r="CA1014" s="76"/>
      <c r="CB1014" s="76"/>
      <c r="CC1014" s="76"/>
      <c r="CD1014" s="76"/>
      <c r="CE1014" s="76"/>
      <c r="CF1014" s="76">
        <f>+CE1014*28000</f>
        <v>0</v>
      </c>
      <c r="CG1014" s="76"/>
      <c r="CH1014" s="76">
        <f>+CG1014*22500</f>
        <v>0</v>
      </c>
      <c r="CI1014" s="76"/>
      <c r="CJ1014" s="76">
        <f>+CI1014*26000</f>
        <v>0</v>
      </c>
      <c r="CK1014" s="76"/>
      <c r="CL1014" s="76"/>
      <c r="CM1014" s="76"/>
      <c r="CN1014" s="76">
        <f>+CM1014*22000</f>
        <v>0</v>
      </c>
      <c r="CO1014" s="76"/>
      <c r="CP1014" s="76">
        <f>+CO1014*46000</f>
        <v>0</v>
      </c>
      <c r="CQ1014" s="76"/>
      <c r="CR1014" s="76">
        <f>+CQ1014*49000</f>
        <v>0</v>
      </c>
      <c r="CS1014" s="76"/>
      <c r="CT1014" s="76"/>
      <c r="CU1014" s="56">
        <f>AN1014+AP1014+AR1014+AT1014+AV1014+AX1014+AZ1014+BB1014+BD1014+BF1014+BH1014+BJ1014+BL1014+BN1014+BP1014+BR1014+BT1014+BV1014+BX1014+BZ1014+CB1014+CD1014+CF1014+CH1014+CJ1014+CL1014+CN1014+CP1014+CR1014+CT1014</f>
        <v>0</v>
      </c>
      <c r="CV1014" s="76"/>
      <c r="CW1014" s="76">
        <f>+CV1014*1100</f>
        <v>0</v>
      </c>
      <c r="CX1014" s="76"/>
      <c r="CY1014" s="76">
        <f>+CX1014*106250</f>
        <v>0</v>
      </c>
      <c r="CZ1014" s="76"/>
      <c r="DA1014" s="76">
        <f>+CZ1014*34500</f>
        <v>0</v>
      </c>
      <c r="DB1014" s="76"/>
      <c r="DC1014" s="76">
        <f>+DB1014*25000</f>
        <v>0</v>
      </c>
      <c r="DD1014" s="219"/>
      <c r="DE1014" s="219"/>
      <c r="DF1014" s="166"/>
      <c r="DG1014" s="116"/>
      <c r="DH1014" s="117"/>
      <c r="DI1014" s="24"/>
      <c r="DJ1014" s="24"/>
      <c r="DK1014" s="24"/>
      <c r="DL1014" s="24"/>
      <c r="DM1014" s="24"/>
      <c r="DN1014" s="24"/>
      <c r="DO1014" s="24"/>
      <c r="DP1014" s="24"/>
      <c r="DQ1014" s="24"/>
      <c r="DR1014" s="24"/>
      <c r="DS1014" s="24"/>
      <c r="DT1014" s="24"/>
      <c r="DU1014" s="24"/>
    </row>
    <row r="1015" spans="1:125" s="8" customFormat="1" ht="72" x14ac:dyDescent="0.2">
      <c r="A1015" s="77">
        <v>41337</v>
      </c>
      <c r="B1015" s="176" t="s">
        <v>2778</v>
      </c>
      <c r="C1015" s="75" t="s">
        <v>2129</v>
      </c>
      <c r="D1015" s="81" t="s">
        <v>2846</v>
      </c>
      <c r="E1015" s="75" t="str">
        <f>VLOOKUP(B1015&amp;C1015,Divipola!$C$2:$F$1138,4,FALSE)</f>
        <v>85225</v>
      </c>
      <c r="F1015" s="87"/>
      <c r="G1015" s="87"/>
      <c r="H1015" s="87"/>
      <c r="I1015" s="87"/>
      <c r="J1015" s="87"/>
      <c r="K1015" s="87"/>
      <c r="L1015" s="87"/>
      <c r="M1015" s="87"/>
      <c r="N1015" s="87"/>
      <c r="O1015" s="87"/>
      <c r="P1015" s="87"/>
      <c r="Q1015" s="87"/>
      <c r="R1015" s="87"/>
      <c r="S1015" s="212"/>
      <c r="T1015" s="340" t="s">
        <v>3816</v>
      </c>
      <c r="U1015" s="341">
        <v>50</v>
      </c>
      <c r="V1015" s="155"/>
      <c r="W1015" s="96">
        <v>0</v>
      </c>
      <c r="X1015" s="71">
        <f>CU1015</f>
        <v>0</v>
      </c>
      <c r="Y1015" s="71">
        <f>CY1015</f>
        <v>0</v>
      </c>
      <c r="Z1015" s="71">
        <f>DA1015+DC1015+DE1015</f>
        <v>0</v>
      </c>
      <c r="AA1015" s="71">
        <f>CW1015</f>
        <v>0</v>
      </c>
      <c r="AB1015" s="71"/>
      <c r="AC1015" s="71">
        <v>0</v>
      </c>
      <c r="AD1015" s="71">
        <f>W1015+X1015+Y1015+Z1015+AA1015+AB1015+AC1015</f>
        <v>0</v>
      </c>
      <c r="AE1015" s="72">
        <v>0</v>
      </c>
      <c r="AF1015" s="5"/>
      <c r="AG1015" s="6"/>
      <c r="AH1015" s="27" t="s">
        <v>3392</v>
      </c>
      <c r="AI1015" s="44" t="s">
        <v>3393</v>
      </c>
      <c r="AJ1015" s="26"/>
      <c r="AK1015" s="5"/>
      <c r="AL1015" s="82" t="s">
        <v>3819</v>
      </c>
      <c r="AM1015" s="76"/>
      <c r="AN1015" s="76"/>
      <c r="AO1015" s="76"/>
      <c r="AP1015" s="76"/>
      <c r="AQ1015" s="76"/>
      <c r="AR1015" s="76"/>
      <c r="AS1015" s="76"/>
      <c r="AT1015" s="76"/>
      <c r="AU1015" s="76"/>
      <c r="AV1015" s="76"/>
      <c r="AW1015" s="76"/>
      <c r="AX1015" s="76">
        <f>+AW1015*600000</f>
        <v>0</v>
      </c>
      <c r="AY1015" s="76"/>
      <c r="AZ1015" s="76">
        <f>+AY1015*70000</f>
        <v>0</v>
      </c>
      <c r="BA1015" s="76"/>
      <c r="BB1015" s="76"/>
      <c r="BC1015" s="76"/>
      <c r="BD1015" s="76">
        <f>+BC1015*30000</f>
        <v>0</v>
      </c>
      <c r="BE1015" s="76"/>
      <c r="BF1015" s="76"/>
      <c r="BG1015" s="76"/>
      <c r="BH1015" s="76"/>
      <c r="BI1015" s="76"/>
      <c r="BJ1015" s="76"/>
      <c r="BK1015" s="76"/>
      <c r="BL1015" s="76">
        <f>+BK1015*31500</f>
        <v>0</v>
      </c>
      <c r="BM1015" s="76"/>
      <c r="BN1015" s="76"/>
      <c r="BO1015" s="76"/>
      <c r="BP1015" s="76"/>
      <c r="BQ1015" s="76"/>
      <c r="BR1015" s="76"/>
      <c r="BS1015" s="76"/>
      <c r="BT1015" s="76"/>
      <c r="BU1015" s="76"/>
      <c r="BV1015" s="76"/>
      <c r="BW1015" s="76"/>
      <c r="BX1015" s="76"/>
      <c r="BY1015" s="76"/>
      <c r="BZ1015" s="76"/>
      <c r="CA1015" s="76"/>
      <c r="CB1015" s="76"/>
      <c r="CC1015" s="76"/>
      <c r="CD1015" s="76"/>
      <c r="CE1015" s="76"/>
      <c r="CF1015" s="76">
        <f>+CE1015*28000</f>
        <v>0</v>
      </c>
      <c r="CG1015" s="76"/>
      <c r="CH1015" s="76">
        <f>+CG1015*22500</f>
        <v>0</v>
      </c>
      <c r="CI1015" s="76"/>
      <c r="CJ1015" s="76">
        <f>+CI1015*26000</f>
        <v>0</v>
      </c>
      <c r="CK1015" s="76"/>
      <c r="CL1015" s="76"/>
      <c r="CM1015" s="76"/>
      <c r="CN1015" s="76">
        <f>+CM1015*22000</f>
        <v>0</v>
      </c>
      <c r="CO1015" s="76"/>
      <c r="CP1015" s="76">
        <f>+CO1015*46000</f>
        <v>0</v>
      </c>
      <c r="CQ1015" s="76"/>
      <c r="CR1015" s="76">
        <f>+CQ1015*49000</f>
        <v>0</v>
      </c>
      <c r="CS1015" s="76"/>
      <c r="CT1015" s="76"/>
      <c r="CU1015" s="56">
        <f>AN1015+AP1015+AR1015+AT1015+AV1015+AX1015+AZ1015+BB1015+BD1015+BF1015+BH1015+BJ1015+BL1015+BN1015+BP1015+BR1015+BT1015+BV1015+BX1015+BZ1015+CB1015+CD1015+CF1015+CH1015+CJ1015+CL1015+CN1015+CP1015+CR1015+CT1015</f>
        <v>0</v>
      </c>
      <c r="CV1015" s="76"/>
      <c r="CW1015" s="76">
        <f>+CV1015*1100</f>
        <v>0</v>
      </c>
      <c r="CX1015" s="76"/>
      <c r="CY1015" s="76">
        <f>+CX1015*106250</f>
        <v>0</v>
      </c>
      <c r="CZ1015" s="76"/>
      <c r="DA1015" s="76">
        <f>+CZ1015*34500</f>
        <v>0</v>
      </c>
      <c r="DB1015" s="76"/>
      <c r="DC1015" s="76">
        <f>+DB1015*25000</f>
        <v>0</v>
      </c>
      <c r="DD1015" s="219"/>
      <c r="DE1015" s="219"/>
      <c r="DF1015" s="166"/>
      <c r="DG1015" s="116"/>
      <c r="DH1015" s="117"/>
      <c r="DI1015" s="24"/>
      <c r="DJ1015" s="24"/>
      <c r="DK1015" s="24"/>
      <c r="DL1015" s="24"/>
      <c r="DM1015" s="24"/>
      <c r="DN1015" s="24"/>
      <c r="DO1015" s="24"/>
      <c r="DP1015" s="24"/>
      <c r="DQ1015" s="24"/>
      <c r="DR1015" s="24"/>
      <c r="DS1015" s="24"/>
      <c r="DT1015" s="24"/>
      <c r="DU1015" s="24"/>
    </row>
    <row r="1016" spans="1:125" s="8" customFormat="1" ht="48" x14ac:dyDescent="0.2">
      <c r="A1016" s="77">
        <v>41337</v>
      </c>
      <c r="B1016" s="176" t="s">
        <v>2778</v>
      </c>
      <c r="C1016" s="75" t="s">
        <v>2212</v>
      </c>
      <c r="D1016" s="81" t="s">
        <v>2846</v>
      </c>
      <c r="E1016" s="75" t="str">
        <f>VLOOKUP(B1016&amp;C1016,Divipola!$C$2:$F$1138,4,FALSE)</f>
        <v>85250</v>
      </c>
      <c r="F1016" s="87"/>
      <c r="G1016" s="87"/>
      <c r="H1016" s="87"/>
      <c r="I1016" s="87"/>
      <c r="J1016" s="87"/>
      <c r="K1016" s="87"/>
      <c r="L1016" s="87"/>
      <c r="M1016" s="87"/>
      <c r="N1016" s="87"/>
      <c r="O1016" s="87"/>
      <c r="P1016" s="87"/>
      <c r="Q1016" s="87"/>
      <c r="R1016" s="87"/>
      <c r="S1016" s="87"/>
      <c r="T1016" s="88"/>
      <c r="U1016" s="180">
        <v>30</v>
      </c>
      <c r="V1016" s="155"/>
      <c r="W1016" s="96">
        <v>0</v>
      </c>
      <c r="X1016" s="71">
        <f>CU1016</f>
        <v>0</v>
      </c>
      <c r="Y1016" s="71">
        <f>CY1016</f>
        <v>0</v>
      </c>
      <c r="Z1016" s="71">
        <f>DA1016+DC1016+DE1016</f>
        <v>0</v>
      </c>
      <c r="AA1016" s="71">
        <f>CW1016</f>
        <v>0</v>
      </c>
      <c r="AB1016" s="71"/>
      <c r="AC1016" s="71">
        <v>0</v>
      </c>
      <c r="AD1016" s="71">
        <f>W1016+X1016+Y1016+Z1016+AA1016+AB1016+AC1016</f>
        <v>0</v>
      </c>
      <c r="AE1016" s="72">
        <v>0</v>
      </c>
      <c r="AF1016" s="5"/>
      <c r="AG1016" s="6"/>
      <c r="AH1016" s="27" t="s">
        <v>3392</v>
      </c>
      <c r="AI1016" s="44" t="s">
        <v>3393</v>
      </c>
      <c r="AJ1016" s="26"/>
      <c r="AK1016" s="5"/>
      <c r="AL1016" s="82" t="s">
        <v>3821</v>
      </c>
      <c r="AM1016" s="76"/>
      <c r="AN1016" s="76"/>
      <c r="AO1016" s="76"/>
      <c r="AP1016" s="76"/>
      <c r="AQ1016" s="76"/>
      <c r="AR1016" s="76"/>
      <c r="AS1016" s="76"/>
      <c r="AT1016" s="76"/>
      <c r="AU1016" s="76"/>
      <c r="AV1016" s="76"/>
      <c r="AW1016" s="76"/>
      <c r="AX1016" s="76">
        <f>+AW1016*600000</f>
        <v>0</v>
      </c>
      <c r="AY1016" s="76"/>
      <c r="AZ1016" s="76">
        <f>+AY1016*70000</f>
        <v>0</v>
      </c>
      <c r="BA1016" s="76"/>
      <c r="BB1016" s="76"/>
      <c r="BC1016" s="76"/>
      <c r="BD1016" s="76">
        <f>+BC1016*30000</f>
        <v>0</v>
      </c>
      <c r="BE1016" s="76"/>
      <c r="BF1016" s="76"/>
      <c r="BG1016" s="76"/>
      <c r="BH1016" s="76"/>
      <c r="BI1016" s="76"/>
      <c r="BJ1016" s="76"/>
      <c r="BK1016" s="76"/>
      <c r="BL1016" s="76">
        <f>+BK1016*31500</f>
        <v>0</v>
      </c>
      <c r="BM1016" s="76"/>
      <c r="BN1016" s="76"/>
      <c r="BO1016" s="76"/>
      <c r="BP1016" s="76"/>
      <c r="BQ1016" s="76"/>
      <c r="BR1016" s="76"/>
      <c r="BS1016" s="76"/>
      <c r="BT1016" s="76"/>
      <c r="BU1016" s="76"/>
      <c r="BV1016" s="76"/>
      <c r="BW1016" s="76"/>
      <c r="BX1016" s="76"/>
      <c r="BY1016" s="76"/>
      <c r="BZ1016" s="76"/>
      <c r="CA1016" s="76"/>
      <c r="CB1016" s="76"/>
      <c r="CC1016" s="76"/>
      <c r="CD1016" s="76"/>
      <c r="CE1016" s="76"/>
      <c r="CF1016" s="76">
        <f>+CE1016*28000</f>
        <v>0</v>
      </c>
      <c r="CG1016" s="76"/>
      <c r="CH1016" s="76">
        <f>+CG1016*22500</f>
        <v>0</v>
      </c>
      <c r="CI1016" s="76"/>
      <c r="CJ1016" s="76">
        <f>+CI1016*26000</f>
        <v>0</v>
      </c>
      <c r="CK1016" s="76"/>
      <c r="CL1016" s="76"/>
      <c r="CM1016" s="76"/>
      <c r="CN1016" s="76">
        <f>+CM1016*22000</f>
        <v>0</v>
      </c>
      <c r="CO1016" s="76"/>
      <c r="CP1016" s="76">
        <f>+CO1016*46000</f>
        <v>0</v>
      </c>
      <c r="CQ1016" s="76"/>
      <c r="CR1016" s="76">
        <f>+CQ1016*49000</f>
        <v>0</v>
      </c>
      <c r="CS1016" s="76"/>
      <c r="CT1016" s="76"/>
      <c r="CU1016" s="56">
        <f>AN1016+AP1016+AR1016+AT1016+AV1016+AX1016+AZ1016+BB1016+BD1016+BF1016+BH1016+BJ1016+BL1016+BN1016+BP1016+BR1016+BT1016+BV1016+BX1016+BZ1016+CB1016+CD1016+CF1016+CH1016+CJ1016+CL1016+CN1016+CP1016+CR1016+CT1016</f>
        <v>0</v>
      </c>
      <c r="CV1016" s="76"/>
      <c r="CW1016" s="76">
        <f>+CV1016*1100</f>
        <v>0</v>
      </c>
      <c r="CX1016" s="76"/>
      <c r="CY1016" s="76">
        <f>+CX1016*106250</f>
        <v>0</v>
      </c>
      <c r="CZ1016" s="76"/>
      <c r="DA1016" s="76">
        <f>+CZ1016*34500</f>
        <v>0</v>
      </c>
      <c r="DB1016" s="76"/>
      <c r="DC1016" s="76">
        <f>+DB1016*25000</f>
        <v>0</v>
      </c>
      <c r="DD1016" s="219"/>
      <c r="DE1016" s="219"/>
      <c r="DF1016" s="166"/>
      <c r="DG1016" s="116"/>
      <c r="DH1016" s="117"/>
      <c r="DI1016" s="24"/>
      <c r="DJ1016" s="24"/>
      <c r="DK1016" s="24"/>
      <c r="DL1016" s="24"/>
      <c r="DM1016" s="24"/>
      <c r="DN1016" s="24"/>
      <c r="DO1016" s="24"/>
      <c r="DP1016" s="24"/>
      <c r="DQ1016" s="24"/>
      <c r="DR1016" s="24"/>
      <c r="DS1016" s="24"/>
      <c r="DT1016" s="24"/>
      <c r="DU1016" s="24"/>
    </row>
    <row r="1017" spans="1:125" s="8" customFormat="1" ht="48" x14ac:dyDescent="0.2">
      <c r="A1017" s="77">
        <v>41337</v>
      </c>
      <c r="B1017" s="176" t="s">
        <v>2778</v>
      </c>
      <c r="C1017" s="75" t="s">
        <v>2195</v>
      </c>
      <c r="D1017" s="207" t="s">
        <v>2846</v>
      </c>
      <c r="E1017" s="75" t="str">
        <f>VLOOKUP(B1017&amp;C1017,Divipola!$C$2:$F$1138,4,FALSE)</f>
        <v>85430</v>
      </c>
      <c r="F1017" s="87"/>
      <c r="G1017" s="87"/>
      <c r="H1017" s="87"/>
      <c r="I1017" s="87"/>
      <c r="J1017" s="87"/>
      <c r="K1017" s="87"/>
      <c r="L1017" s="87"/>
      <c r="M1017" s="87"/>
      <c r="N1017" s="87"/>
      <c r="O1017" s="87"/>
      <c r="P1017" s="87"/>
      <c r="Q1017" s="87"/>
      <c r="R1017" s="87"/>
      <c r="S1017" s="87"/>
      <c r="T1017" s="88"/>
      <c r="U1017" s="180">
        <v>10</v>
      </c>
      <c r="V1017" s="155"/>
      <c r="W1017" s="96">
        <v>0</v>
      </c>
      <c r="X1017" s="71">
        <f>CU1017</f>
        <v>0</v>
      </c>
      <c r="Y1017" s="71">
        <f>CY1017</f>
        <v>0</v>
      </c>
      <c r="Z1017" s="71">
        <f>DA1017+DC1017+DE1017</f>
        <v>0</v>
      </c>
      <c r="AA1017" s="71">
        <f>CW1017</f>
        <v>0</v>
      </c>
      <c r="AB1017" s="71"/>
      <c r="AC1017" s="71">
        <v>0</v>
      </c>
      <c r="AD1017" s="71">
        <f>W1017+X1017+Y1017+Z1017+AA1017+AB1017+AC1017</f>
        <v>0</v>
      </c>
      <c r="AE1017" s="72">
        <v>0</v>
      </c>
      <c r="AF1017" s="5"/>
      <c r="AG1017" s="6"/>
      <c r="AH1017" s="27" t="s">
        <v>3392</v>
      </c>
      <c r="AI1017" s="44" t="s">
        <v>3393</v>
      </c>
      <c r="AJ1017" s="26"/>
      <c r="AK1017" s="5"/>
      <c r="AL1017" s="82" t="s">
        <v>3825</v>
      </c>
      <c r="AM1017" s="76"/>
      <c r="AN1017" s="76"/>
      <c r="AO1017" s="76"/>
      <c r="AP1017" s="76"/>
      <c r="AQ1017" s="76"/>
      <c r="AR1017" s="76"/>
      <c r="AS1017" s="76"/>
      <c r="AT1017" s="76"/>
      <c r="AU1017" s="76"/>
      <c r="AV1017" s="76"/>
      <c r="AW1017" s="76"/>
      <c r="AX1017" s="76">
        <f>+AW1017*600000</f>
        <v>0</v>
      </c>
      <c r="AY1017" s="76"/>
      <c r="AZ1017" s="76">
        <f>+AY1017*70000</f>
        <v>0</v>
      </c>
      <c r="BA1017" s="76"/>
      <c r="BB1017" s="76"/>
      <c r="BC1017" s="76"/>
      <c r="BD1017" s="76">
        <f>+BC1017*30000</f>
        <v>0</v>
      </c>
      <c r="BE1017" s="76"/>
      <c r="BF1017" s="76"/>
      <c r="BG1017" s="76"/>
      <c r="BH1017" s="76"/>
      <c r="BI1017" s="76"/>
      <c r="BJ1017" s="76"/>
      <c r="BK1017" s="76"/>
      <c r="BL1017" s="76">
        <f>+BK1017*31500</f>
        <v>0</v>
      </c>
      <c r="BM1017" s="76"/>
      <c r="BN1017" s="76"/>
      <c r="BO1017" s="76"/>
      <c r="BP1017" s="76"/>
      <c r="BQ1017" s="76"/>
      <c r="BR1017" s="76"/>
      <c r="BS1017" s="76"/>
      <c r="BT1017" s="76"/>
      <c r="BU1017" s="76"/>
      <c r="BV1017" s="76"/>
      <c r="BW1017" s="76"/>
      <c r="BX1017" s="76"/>
      <c r="BY1017" s="76"/>
      <c r="BZ1017" s="76"/>
      <c r="CA1017" s="76"/>
      <c r="CB1017" s="76"/>
      <c r="CC1017" s="76"/>
      <c r="CD1017" s="76"/>
      <c r="CE1017" s="76"/>
      <c r="CF1017" s="76">
        <f>+CE1017*28000</f>
        <v>0</v>
      </c>
      <c r="CG1017" s="76"/>
      <c r="CH1017" s="76">
        <f>+CG1017*22500</f>
        <v>0</v>
      </c>
      <c r="CI1017" s="76"/>
      <c r="CJ1017" s="76">
        <f>+CI1017*26000</f>
        <v>0</v>
      </c>
      <c r="CK1017" s="76"/>
      <c r="CL1017" s="76"/>
      <c r="CM1017" s="76"/>
      <c r="CN1017" s="76">
        <f>+CM1017*22000</f>
        <v>0</v>
      </c>
      <c r="CO1017" s="76"/>
      <c r="CP1017" s="76">
        <f>+CO1017*46000</f>
        <v>0</v>
      </c>
      <c r="CQ1017" s="76"/>
      <c r="CR1017" s="76">
        <f>+CQ1017*49000</f>
        <v>0</v>
      </c>
      <c r="CS1017" s="76"/>
      <c r="CT1017" s="76"/>
      <c r="CU1017" s="56">
        <f>AN1017+AP1017+AR1017+AT1017+AV1017+AX1017+AZ1017+BB1017+BD1017+BF1017+BH1017+BJ1017+BL1017+BN1017+BP1017+BR1017+BT1017+BV1017+BX1017+BZ1017+CB1017+CD1017+CF1017+CH1017+CJ1017+CL1017+CN1017+CP1017+CR1017+CT1017</f>
        <v>0</v>
      </c>
      <c r="CV1017" s="76"/>
      <c r="CW1017" s="76">
        <f>+CV1017*1100</f>
        <v>0</v>
      </c>
      <c r="CX1017" s="76"/>
      <c r="CY1017" s="76">
        <f>+CX1017*106250</f>
        <v>0</v>
      </c>
      <c r="CZ1017" s="76"/>
      <c r="DA1017" s="76">
        <f>+CZ1017*34500</f>
        <v>0</v>
      </c>
      <c r="DB1017" s="76"/>
      <c r="DC1017" s="76">
        <f>+DB1017*25000</f>
        <v>0</v>
      </c>
      <c r="DD1017" s="219"/>
      <c r="DE1017" s="219"/>
      <c r="DF1017" s="166"/>
      <c r="DG1017" s="116"/>
      <c r="DH1017" s="117"/>
      <c r="DI1017" s="24"/>
      <c r="DJ1017" s="24"/>
      <c r="DK1017" s="24"/>
      <c r="DL1017" s="24"/>
      <c r="DM1017" s="24"/>
      <c r="DN1017" s="24"/>
      <c r="DO1017" s="24"/>
      <c r="DP1017" s="24"/>
      <c r="DQ1017" s="24"/>
      <c r="DR1017" s="24"/>
      <c r="DS1017" s="24"/>
      <c r="DT1017" s="24"/>
      <c r="DU1017" s="24"/>
    </row>
    <row r="1018" spans="1:125" s="8" customFormat="1" ht="36" x14ac:dyDescent="0.2">
      <c r="A1018" s="353">
        <v>41337</v>
      </c>
      <c r="B1018" s="177" t="s">
        <v>2778</v>
      </c>
      <c r="C1018" s="227" t="s">
        <v>1344</v>
      </c>
      <c r="D1018" s="207" t="s">
        <v>2846</v>
      </c>
      <c r="E1018" s="75" t="str">
        <f>VLOOKUP(B1018&amp;C1018,Divipola!$C$2:$F$1138,4,FALSE)</f>
        <v>85001</v>
      </c>
      <c r="F1018" s="87"/>
      <c r="G1018" s="87"/>
      <c r="H1018" s="87"/>
      <c r="I1018" s="87"/>
      <c r="J1018" s="87"/>
      <c r="K1018" s="87"/>
      <c r="L1018" s="87"/>
      <c r="M1018" s="87"/>
      <c r="N1018" s="87"/>
      <c r="O1018" s="87"/>
      <c r="P1018" s="87"/>
      <c r="Q1018" s="87"/>
      <c r="R1018" s="87"/>
      <c r="S1018" s="87"/>
      <c r="T1018" s="88"/>
      <c r="U1018" s="180">
        <v>10</v>
      </c>
      <c r="V1018" s="155"/>
      <c r="W1018" s="96">
        <v>0</v>
      </c>
      <c r="X1018" s="71">
        <f>CU1018</f>
        <v>0</v>
      </c>
      <c r="Y1018" s="71">
        <f>CY1018</f>
        <v>0</v>
      </c>
      <c r="Z1018" s="71">
        <f>DA1018+DC1018+DE1018</f>
        <v>0</v>
      </c>
      <c r="AA1018" s="71">
        <f>CW1018</f>
        <v>0</v>
      </c>
      <c r="AB1018" s="71"/>
      <c r="AC1018" s="71">
        <v>0</v>
      </c>
      <c r="AD1018" s="71">
        <f>W1018+X1018+Y1018+Z1018+AA1018+AB1018+AC1018</f>
        <v>0</v>
      </c>
      <c r="AE1018" s="72">
        <v>0</v>
      </c>
      <c r="AF1018" s="5"/>
      <c r="AG1018" s="6"/>
      <c r="AH1018" s="27" t="s">
        <v>3392</v>
      </c>
      <c r="AI1018" s="44" t="s">
        <v>3393</v>
      </c>
      <c r="AJ1018" s="26"/>
      <c r="AK1018" s="5"/>
      <c r="AL1018" s="82" t="s">
        <v>3827</v>
      </c>
      <c r="AM1018" s="76"/>
      <c r="AN1018" s="76"/>
      <c r="AO1018" s="76"/>
      <c r="AP1018" s="76"/>
      <c r="AQ1018" s="76"/>
      <c r="AR1018" s="76"/>
      <c r="AS1018" s="76"/>
      <c r="AT1018" s="76"/>
      <c r="AU1018" s="76"/>
      <c r="AV1018" s="76"/>
      <c r="AW1018" s="76"/>
      <c r="AX1018" s="76">
        <f>+AW1018*600000</f>
        <v>0</v>
      </c>
      <c r="AY1018" s="76"/>
      <c r="AZ1018" s="76">
        <f>+AY1018*70000</f>
        <v>0</v>
      </c>
      <c r="BA1018" s="76"/>
      <c r="BB1018" s="76"/>
      <c r="BC1018" s="76"/>
      <c r="BD1018" s="76">
        <f>+BC1018*30000</f>
        <v>0</v>
      </c>
      <c r="BE1018" s="76"/>
      <c r="BF1018" s="76"/>
      <c r="BG1018" s="76"/>
      <c r="BH1018" s="76"/>
      <c r="BI1018" s="76"/>
      <c r="BJ1018" s="76"/>
      <c r="BK1018" s="76"/>
      <c r="BL1018" s="76">
        <f>+BK1018*31500</f>
        <v>0</v>
      </c>
      <c r="BM1018" s="76"/>
      <c r="BN1018" s="76"/>
      <c r="BO1018" s="76"/>
      <c r="BP1018" s="76"/>
      <c r="BQ1018" s="76"/>
      <c r="BR1018" s="76"/>
      <c r="BS1018" s="76"/>
      <c r="BT1018" s="76"/>
      <c r="BU1018" s="76"/>
      <c r="BV1018" s="76"/>
      <c r="BW1018" s="76"/>
      <c r="BX1018" s="76"/>
      <c r="BY1018" s="76"/>
      <c r="BZ1018" s="76"/>
      <c r="CA1018" s="76"/>
      <c r="CB1018" s="76"/>
      <c r="CC1018" s="76"/>
      <c r="CD1018" s="76"/>
      <c r="CE1018" s="76"/>
      <c r="CF1018" s="76">
        <f>+CE1018*28000</f>
        <v>0</v>
      </c>
      <c r="CG1018" s="76"/>
      <c r="CH1018" s="76">
        <f>+CG1018*22500</f>
        <v>0</v>
      </c>
      <c r="CI1018" s="76"/>
      <c r="CJ1018" s="76">
        <f>+CI1018*26000</f>
        <v>0</v>
      </c>
      <c r="CK1018" s="76"/>
      <c r="CL1018" s="76"/>
      <c r="CM1018" s="76"/>
      <c r="CN1018" s="76">
        <f>+CM1018*22000</f>
        <v>0</v>
      </c>
      <c r="CO1018" s="76"/>
      <c r="CP1018" s="76">
        <f>+CO1018*46000</f>
        <v>0</v>
      </c>
      <c r="CQ1018" s="76"/>
      <c r="CR1018" s="76">
        <f>+CQ1018*49000</f>
        <v>0</v>
      </c>
      <c r="CS1018" s="76"/>
      <c r="CT1018" s="76"/>
      <c r="CU1018" s="56">
        <f>AN1018+AP1018+AR1018+AT1018+AV1018+AX1018+AZ1018+BB1018+BD1018+BF1018+BH1018+BJ1018+BL1018+BN1018+BP1018+BR1018+BT1018+BV1018+BX1018+BZ1018+CB1018+CD1018+CF1018+CH1018+CJ1018+CL1018+CN1018+CP1018+CR1018+CT1018</f>
        <v>0</v>
      </c>
      <c r="CV1018" s="76"/>
      <c r="CW1018" s="76">
        <f>+CV1018*1100</f>
        <v>0</v>
      </c>
      <c r="CX1018" s="76"/>
      <c r="CY1018" s="76">
        <f>+CX1018*106250</f>
        <v>0</v>
      </c>
      <c r="CZ1018" s="76"/>
      <c r="DA1018" s="76">
        <f>+CZ1018*34500</f>
        <v>0</v>
      </c>
      <c r="DB1018" s="76"/>
      <c r="DC1018" s="76">
        <f>+DB1018*25000</f>
        <v>0</v>
      </c>
      <c r="DD1018" s="219"/>
      <c r="DE1018" s="219"/>
      <c r="DF1018" s="166"/>
      <c r="DG1018" s="116"/>
      <c r="DH1018" s="117"/>
      <c r="DI1018" s="24"/>
      <c r="DJ1018" s="24"/>
      <c r="DK1018" s="24"/>
      <c r="DL1018" s="24"/>
      <c r="DM1018" s="24"/>
      <c r="DN1018" s="24"/>
      <c r="DO1018" s="24"/>
      <c r="DP1018" s="24"/>
      <c r="DQ1018" s="24"/>
      <c r="DR1018" s="24"/>
      <c r="DS1018" s="24"/>
      <c r="DT1018" s="24"/>
      <c r="DU1018" s="24"/>
    </row>
    <row r="1019" spans="1:125" s="8" customFormat="1" ht="48" x14ac:dyDescent="0.2">
      <c r="A1019" s="353">
        <v>41337</v>
      </c>
      <c r="B1019" s="177" t="s">
        <v>2778</v>
      </c>
      <c r="C1019" s="227" t="s">
        <v>1344</v>
      </c>
      <c r="D1019" s="207" t="s">
        <v>2846</v>
      </c>
      <c r="E1019" s="75" t="str">
        <f>VLOOKUP(B1019&amp;C1019,Divipola!$C$2:$F$1138,4,FALSE)</f>
        <v>85001</v>
      </c>
      <c r="F1019" s="87"/>
      <c r="G1019" s="87"/>
      <c r="H1019" s="87"/>
      <c r="I1019" s="87"/>
      <c r="J1019" s="87"/>
      <c r="K1019" s="87"/>
      <c r="L1019" s="87"/>
      <c r="M1019" s="87"/>
      <c r="N1019" s="87"/>
      <c r="O1019" s="87"/>
      <c r="P1019" s="87"/>
      <c r="Q1019" s="87"/>
      <c r="R1019" s="87"/>
      <c r="S1019" s="87"/>
      <c r="T1019" s="88"/>
      <c r="U1019" s="180">
        <v>40</v>
      </c>
      <c r="V1019" s="155"/>
      <c r="W1019" s="96">
        <v>0</v>
      </c>
      <c r="X1019" s="71">
        <f>CU1019</f>
        <v>0</v>
      </c>
      <c r="Y1019" s="71">
        <f>CY1019</f>
        <v>0</v>
      </c>
      <c r="Z1019" s="71">
        <f>DA1019+DC1019+DE1019</f>
        <v>0</v>
      </c>
      <c r="AA1019" s="71">
        <f>CW1019</f>
        <v>0</v>
      </c>
      <c r="AB1019" s="71"/>
      <c r="AC1019" s="71">
        <v>0</v>
      </c>
      <c r="AD1019" s="71">
        <f>W1019+X1019+Y1019+Z1019+AA1019+AB1019+AC1019</f>
        <v>0</v>
      </c>
      <c r="AE1019" s="72">
        <v>0</v>
      </c>
      <c r="AF1019" s="5"/>
      <c r="AG1019" s="6"/>
      <c r="AH1019" s="27" t="s">
        <v>3392</v>
      </c>
      <c r="AI1019" s="44" t="s">
        <v>3393</v>
      </c>
      <c r="AJ1019" s="26"/>
      <c r="AK1019" s="5"/>
      <c r="AL1019" s="82" t="s">
        <v>3831</v>
      </c>
      <c r="AM1019" s="76"/>
      <c r="AN1019" s="76"/>
      <c r="AO1019" s="76"/>
      <c r="AP1019" s="76"/>
      <c r="AQ1019" s="76"/>
      <c r="AR1019" s="76"/>
      <c r="AS1019" s="76"/>
      <c r="AT1019" s="76"/>
      <c r="AU1019" s="76"/>
      <c r="AV1019" s="76"/>
      <c r="AW1019" s="76"/>
      <c r="AX1019" s="76">
        <f>+AW1019*600000</f>
        <v>0</v>
      </c>
      <c r="AY1019" s="76"/>
      <c r="AZ1019" s="76">
        <f>+AY1019*70000</f>
        <v>0</v>
      </c>
      <c r="BA1019" s="76"/>
      <c r="BB1019" s="76"/>
      <c r="BC1019" s="76"/>
      <c r="BD1019" s="76">
        <f>+BC1019*30000</f>
        <v>0</v>
      </c>
      <c r="BE1019" s="76"/>
      <c r="BF1019" s="76"/>
      <c r="BG1019" s="76"/>
      <c r="BH1019" s="76"/>
      <c r="BI1019" s="76"/>
      <c r="BJ1019" s="76"/>
      <c r="BK1019" s="76"/>
      <c r="BL1019" s="76">
        <f>+BK1019*31500</f>
        <v>0</v>
      </c>
      <c r="BM1019" s="76"/>
      <c r="BN1019" s="76"/>
      <c r="BO1019" s="76"/>
      <c r="BP1019" s="76"/>
      <c r="BQ1019" s="76"/>
      <c r="BR1019" s="76"/>
      <c r="BS1019" s="76"/>
      <c r="BT1019" s="76"/>
      <c r="BU1019" s="76"/>
      <c r="BV1019" s="76"/>
      <c r="BW1019" s="76"/>
      <c r="BX1019" s="76"/>
      <c r="BY1019" s="76"/>
      <c r="BZ1019" s="76"/>
      <c r="CA1019" s="76"/>
      <c r="CB1019" s="76"/>
      <c r="CC1019" s="76"/>
      <c r="CD1019" s="76"/>
      <c r="CE1019" s="76"/>
      <c r="CF1019" s="76">
        <f>+CE1019*28000</f>
        <v>0</v>
      </c>
      <c r="CG1019" s="76"/>
      <c r="CH1019" s="76">
        <f>+CG1019*22500</f>
        <v>0</v>
      </c>
      <c r="CI1019" s="76"/>
      <c r="CJ1019" s="76">
        <f>+CI1019*26000</f>
        <v>0</v>
      </c>
      <c r="CK1019" s="76"/>
      <c r="CL1019" s="76"/>
      <c r="CM1019" s="76"/>
      <c r="CN1019" s="76">
        <f>+CM1019*22000</f>
        <v>0</v>
      </c>
      <c r="CO1019" s="76"/>
      <c r="CP1019" s="76">
        <f>+CO1019*46000</f>
        <v>0</v>
      </c>
      <c r="CQ1019" s="76"/>
      <c r="CR1019" s="76">
        <f>+CQ1019*49000</f>
        <v>0</v>
      </c>
      <c r="CS1019" s="76"/>
      <c r="CT1019" s="76"/>
      <c r="CU1019" s="56">
        <f>AN1019+AP1019+AR1019+AT1019+AV1019+AX1019+AZ1019+BB1019+BD1019+BF1019+BH1019+BJ1019+BL1019+BN1019+BP1019+BR1019+BT1019+BV1019+BX1019+BZ1019+CB1019+CD1019+CF1019+CH1019+CJ1019+CL1019+CN1019+CP1019+CR1019+CT1019</f>
        <v>0</v>
      </c>
      <c r="CV1019" s="76"/>
      <c r="CW1019" s="76">
        <f>+CV1019*1100</f>
        <v>0</v>
      </c>
      <c r="CX1019" s="76"/>
      <c r="CY1019" s="76">
        <f>+CX1019*106250</f>
        <v>0</v>
      </c>
      <c r="CZ1019" s="76"/>
      <c r="DA1019" s="76">
        <f>+CZ1019*34500</f>
        <v>0</v>
      </c>
      <c r="DB1019" s="76"/>
      <c r="DC1019" s="76">
        <f>+DB1019*25000</f>
        <v>0</v>
      </c>
      <c r="DD1019" s="219"/>
      <c r="DE1019" s="219"/>
      <c r="DF1019" s="166"/>
      <c r="DG1019" s="116"/>
      <c r="DH1019" s="117"/>
      <c r="DI1019" s="24"/>
      <c r="DJ1019" s="24"/>
      <c r="DK1019" s="24"/>
      <c r="DL1019" s="24"/>
      <c r="DM1019" s="24"/>
      <c r="DN1019" s="24"/>
      <c r="DO1019" s="24"/>
      <c r="DP1019" s="24"/>
      <c r="DQ1019" s="24"/>
      <c r="DR1019" s="24"/>
      <c r="DS1019" s="24"/>
      <c r="DT1019" s="24"/>
      <c r="DU1019" s="24"/>
    </row>
    <row r="1020" spans="1:125" s="8" customFormat="1" ht="72" x14ac:dyDescent="0.2">
      <c r="A1020" s="226">
        <v>41337</v>
      </c>
      <c r="B1020" s="177" t="s">
        <v>2772</v>
      </c>
      <c r="C1020" s="227" t="s">
        <v>1113</v>
      </c>
      <c r="D1020" s="339" t="s">
        <v>3088</v>
      </c>
      <c r="E1020" s="75" t="str">
        <f>VLOOKUP(B1020&amp;C1020,Divipola!$C$2:$F$1138,4,FALSE)</f>
        <v>25438</v>
      </c>
      <c r="F1020" s="87"/>
      <c r="G1020" s="87"/>
      <c r="H1020" s="87"/>
      <c r="I1020" s="87"/>
      <c r="J1020" s="87"/>
      <c r="K1020" s="87"/>
      <c r="L1020" s="87"/>
      <c r="M1020" s="87">
        <v>1</v>
      </c>
      <c r="N1020" s="87"/>
      <c r="O1020" s="87"/>
      <c r="P1020" s="87"/>
      <c r="Q1020" s="87"/>
      <c r="R1020" s="87"/>
      <c r="S1020" s="87"/>
      <c r="T1020" s="87"/>
      <c r="U1020" s="88"/>
      <c r="V1020" s="89"/>
      <c r="W1020" s="96">
        <v>0</v>
      </c>
      <c r="X1020" s="71">
        <f>CU1020</f>
        <v>0</v>
      </c>
      <c r="Y1020" s="71">
        <f>CY1020</f>
        <v>0</v>
      </c>
      <c r="Z1020" s="71">
        <f>DA1020+DC1020+DE1020</f>
        <v>0</v>
      </c>
      <c r="AA1020" s="71">
        <f>CW1020</f>
        <v>0</v>
      </c>
      <c r="AB1020" s="71"/>
      <c r="AC1020" s="71">
        <v>0</v>
      </c>
      <c r="AD1020" s="71">
        <f>W1020+X1020+Y1020+Z1020+AA1020+AB1020+AC1020</f>
        <v>0</v>
      </c>
      <c r="AE1020" s="72">
        <v>0</v>
      </c>
      <c r="AF1020" s="5"/>
      <c r="AG1020" s="6"/>
      <c r="AH1020" s="27" t="s">
        <v>3392</v>
      </c>
      <c r="AI1020" s="44" t="s">
        <v>3393</v>
      </c>
      <c r="AJ1020" s="26"/>
      <c r="AK1020" s="5"/>
      <c r="AL1020" s="82" t="s">
        <v>3731</v>
      </c>
      <c r="AM1020" s="76"/>
      <c r="AN1020" s="76"/>
      <c r="AO1020" s="76"/>
      <c r="AP1020" s="76"/>
      <c r="AQ1020" s="76"/>
      <c r="AR1020" s="76"/>
      <c r="AS1020" s="76"/>
      <c r="AT1020" s="76"/>
      <c r="AU1020" s="76"/>
      <c r="AV1020" s="76"/>
      <c r="AW1020" s="76"/>
      <c r="AX1020" s="76">
        <f>+AW1020*600000</f>
        <v>0</v>
      </c>
      <c r="AY1020" s="76"/>
      <c r="AZ1020" s="76">
        <f>+AY1020*70000</f>
        <v>0</v>
      </c>
      <c r="BA1020" s="76"/>
      <c r="BB1020" s="76"/>
      <c r="BC1020" s="76"/>
      <c r="BD1020" s="76">
        <f>+BC1020*30000</f>
        <v>0</v>
      </c>
      <c r="BE1020" s="76"/>
      <c r="BF1020" s="76"/>
      <c r="BG1020" s="76"/>
      <c r="BH1020" s="76"/>
      <c r="BI1020" s="76"/>
      <c r="BJ1020" s="76"/>
      <c r="BK1020" s="76"/>
      <c r="BL1020" s="76">
        <f>+BK1020*31500</f>
        <v>0</v>
      </c>
      <c r="BM1020" s="76"/>
      <c r="BN1020" s="76"/>
      <c r="BO1020" s="76"/>
      <c r="BP1020" s="76"/>
      <c r="BQ1020" s="76"/>
      <c r="BR1020" s="76"/>
      <c r="BS1020" s="76"/>
      <c r="BT1020" s="76"/>
      <c r="BU1020" s="76"/>
      <c r="BV1020" s="76"/>
      <c r="BW1020" s="76"/>
      <c r="BX1020" s="76"/>
      <c r="BY1020" s="76"/>
      <c r="BZ1020" s="76"/>
      <c r="CA1020" s="76"/>
      <c r="CB1020" s="76"/>
      <c r="CC1020" s="76"/>
      <c r="CD1020" s="76"/>
      <c r="CE1020" s="76"/>
      <c r="CF1020" s="76">
        <f>+CE1020*28000</f>
        <v>0</v>
      </c>
      <c r="CG1020" s="76"/>
      <c r="CH1020" s="76">
        <f>+CG1020*22500</f>
        <v>0</v>
      </c>
      <c r="CI1020" s="76"/>
      <c r="CJ1020" s="76">
        <f>+CI1020*26000</f>
        <v>0</v>
      </c>
      <c r="CK1020" s="76"/>
      <c r="CL1020" s="76"/>
      <c r="CM1020" s="76"/>
      <c r="CN1020" s="76">
        <f>+CM1020*22000</f>
        <v>0</v>
      </c>
      <c r="CO1020" s="76"/>
      <c r="CP1020" s="76">
        <f>+CO1020*46000</f>
        <v>0</v>
      </c>
      <c r="CQ1020" s="76"/>
      <c r="CR1020" s="76">
        <f>+CQ1020*49000</f>
        <v>0</v>
      </c>
      <c r="CS1020" s="76"/>
      <c r="CT1020" s="76"/>
      <c r="CU1020" s="56">
        <f>AN1020+AP1020+AR1020+AT1020+AV1020+AX1020+AZ1020+BB1020+BD1020+BF1020+BH1020+BJ1020+BL1020+BN1020+BP1020+BR1020+BT1020+BV1020+BX1020+BZ1020+CB1020+CD1020+CF1020+CH1020+CJ1020+CL1020+CN1020+CP1020+CR1020+CT1020</f>
        <v>0</v>
      </c>
      <c r="CV1020" s="76"/>
      <c r="CW1020" s="76">
        <f>+CV1020*1100</f>
        <v>0</v>
      </c>
      <c r="CX1020" s="76"/>
      <c r="CY1020" s="76">
        <f>+CX1020*106250</f>
        <v>0</v>
      </c>
      <c r="CZ1020" s="76"/>
      <c r="DA1020" s="76">
        <f>+CZ1020*34500</f>
        <v>0</v>
      </c>
      <c r="DB1020" s="76"/>
      <c r="DC1020" s="76">
        <f>+DB1020*25000</f>
        <v>0</v>
      </c>
      <c r="DD1020" s="219"/>
      <c r="DE1020" s="219"/>
      <c r="DF1020" s="166"/>
      <c r="DG1020" s="116"/>
      <c r="DH1020" s="117"/>
      <c r="DI1020" s="24"/>
      <c r="DJ1020" s="24"/>
      <c r="DK1020" s="24"/>
      <c r="DL1020" s="24"/>
      <c r="DM1020" s="24"/>
      <c r="DN1020" s="24"/>
      <c r="DO1020" s="24"/>
      <c r="DP1020" s="24"/>
      <c r="DQ1020" s="24"/>
      <c r="DR1020" s="24"/>
      <c r="DS1020" s="24"/>
      <c r="DT1020" s="24"/>
      <c r="DU1020" s="24"/>
    </row>
    <row r="1021" spans="1:125" s="8" customFormat="1" ht="72" x14ac:dyDescent="0.2">
      <c r="A1021" s="5">
        <v>41337</v>
      </c>
      <c r="B1021" s="336" t="s">
        <v>2772</v>
      </c>
      <c r="C1021" s="84" t="s">
        <v>2834</v>
      </c>
      <c r="D1021" s="218" t="s">
        <v>2859</v>
      </c>
      <c r="E1021" s="75" t="str">
        <f>VLOOKUP(B1021&amp;C1021,Divipola!$C$2:$F$1138,4,FALSE)</f>
        <v>25851</v>
      </c>
      <c r="F1021" s="89"/>
      <c r="G1021" s="89"/>
      <c r="H1021" s="89"/>
      <c r="I1021" s="89">
        <v>10</v>
      </c>
      <c r="J1021" s="89">
        <v>1</v>
      </c>
      <c r="K1021" s="89">
        <v>1</v>
      </c>
      <c r="L1021" s="89"/>
      <c r="M1021" s="89"/>
      <c r="N1021" s="89"/>
      <c r="O1021" s="89"/>
      <c r="P1021" s="89"/>
      <c r="Q1021" s="89"/>
      <c r="R1021" s="89"/>
      <c r="S1021" s="89"/>
      <c r="T1021" s="89"/>
      <c r="U1021" s="89"/>
      <c r="V1021" s="89"/>
      <c r="W1021" s="96">
        <v>0</v>
      </c>
      <c r="X1021" s="71">
        <f>CU1021</f>
        <v>0</v>
      </c>
      <c r="Y1021" s="71">
        <f>CY1021</f>
        <v>0</v>
      </c>
      <c r="Z1021" s="71">
        <f>DA1021+DC1021+DE1021</f>
        <v>0</v>
      </c>
      <c r="AA1021" s="71">
        <f>CW1021</f>
        <v>0</v>
      </c>
      <c r="AB1021" s="71"/>
      <c r="AC1021" s="71">
        <v>0</v>
      </c>
      <c r="AD1021" s="71">
        <f>W1021+X1021+Y1021+Z1021+AA1021+AB1021+AC1021</f>
        <v>0</v>
      </c>
      <c r="AE1021" s="72">
        <v>0</v>
      </c>
      <c r="AF1021" s="5"/>
      <c r="AG1021" s="6"/>
      <c r="AH1021" s="27" t="s">
        <v>3392</v>
      </c>
      <c r="AI1021" s="44" t="s">
        <v>3393</v>
      </c>
      <c r="AJ1021" s="26"/>
      <c r="AK1021" s="5"/>
      <c r="AL1021" s="82" t="s">
        <v>3732</v>
      </c>
      <c r="AM1021" s="76"/>
      <c r="AN1021" s="76"/>
      <c r="AO1021" s="76"/>
      <c r="AP1021" s="76"/>
      <c r="AQ1021" s="76"/>
      <c r="AR1021" s="76"/>
      <c r="AS1021" s="76"/>
      <c r="AT1021" s="76"/>
      <c r="AU1021" s="76"/>
      <c r="AV1021" s="76"/>
      <c r="AW1021" s="76"/>
      <c r="AX1021" s="76">
        <f>+AW1021*600000</f>
        <v>0</v>
      </c>
      <c r="AY1021" s="76"/>
      <c r="AZ1021" s="76">
        <f>+AY1021*70000</f>
        <v>0</v>
      </c>
      <c r="BA1021" s="76"/>
      <c r="BB1021" s="76"/>
      <c r="BC1021" s="76"/>
      <c r="BD1021" s="76">
        <f>+BC1021*30000</f>
        <v>0</v>
      </c>
      <c r="BE1021" s="76"/>
      <c r="BF1021" s="76"/>
      <c r="BG1021" s="76"/>
      <c r="BH1021" s="76"/>
      <c r="BI1021" s="76"/>
      <c r="BJ1021" s="76"/>
      <c r="BK1021" s="76"/>
      <c r="BL1021" s="76">
        <f>+BK1021*31500</f>
        <v>0</v>
      </c>
      <c r="BM1021" s="76"/>
      <c r="BN1021" s="76"/>
      <c r="BO1021" s="76"/>
      <c r="BP1021" s="76"/>
      <c r="BQ1021" s="76"/>
      <c r="BR1021" s="76"/>
      <c r="BS1021" s="76"/>
      <c r="BT1021" s="76"/>
      <c r="BU1021" s="76"/>
      <c r="BV1021" s="76"/>
      <c r="BW1021" s="76"/>
      <c r="BX1021" s="76"/>
      <c r="BY1021" s="76"/>
      <c r="BZ1021" s="76"/>
      <c r="CA1021" s="76"/>
      <c r="CB1021" s="76"/>
      <c r="CC1021" s="76"/>
      <c r="CD1021" s="76"/>
      <c r="CE1021" s="76"/>
      <c r="CF1021" s="76">
        <f>+CE1021*28000</f>
        <v>0</v>
      </c>
      <c r="CG1021" s="76"/>
      <c r="CH1021" s="76">
        <f>+CG1021*22500</f>
        <v>0</v>
      </c>
      <c r="CI1021" s="76"/>
      <c r="CJ1021" s="76">
        <f>+CI1021*26000</f>
        <v>0</v>
      </c>
      <c r="CK1021" s="76"/>
      <c r="CL1021" s="76"/>
      <c r="CM1021" s="76"/>
      <c r="CN1021" s="76">
        <f>+CM1021*22000</f>
        <v>0</v>
      </c>
      <c r="CO1021" s="76"/>
      <c r="CP1021" s="76">
        <f>+CO1021*46000</f>
        <v>0</v>
      </c>
      <c r="CQ1021" s="76"/>
      <c r="CR1021" s="76">
        <f>+CQ1021*49000</f>
        <v>0</v>
      </c>
      <c r="CS1021" s="76"/>
      <c r="CT1021" s="76"/>
      <c r="CU1021" s="56">
        <f>AN1021+AP1021+AR1021+AT1021+AV1021+AX1021+AZ1021+BB1021+BD1021+BF1021+BH1021+BJ1021+BL1021+BN1021+BP1021+BR1021+BT1021+BV1021+BX1021+BZ1021+CB1021+CD1021+CF1021+CH1021+CJ1021+CL1021+CN1021+CP1021+CR1021+CT1021</f>
        <v>0</v>
      </c>
      <c r="CV1021" s="76"/>
      <c r="CW1021" s="76">
        <f>+CV1021*1100</f>
        <v>0</v>
      </c>
      <c r="CX1021" s="76"/>
      <c r="CY1021" s="76">
        <f>+CX1021*106250</f>
        <v>0</v>
      </c>
      <c r="CZ1021" s="76"/>
      <c r="DA1021" s="76">
        <f>+CZ1021*34500</f>
        <v>0</v>
      </c>
      <c r="DB1021" s="76"/>
      <c r="DC1021" s="76">
        <f>+DB1021*25000</f>
        <v>0</v>
      </c>
      <c r="DD1021" s="219"/>
      <c r="DE1021" s="219"/>
      <c r="DF1021" s="166"/>
      <c r="DG1021" s="116"/>
      <c r="DH1021" s="117"/>
      <c r="DI1021" s="24"/>
      <c r="DJ1021" s="24"/>
      <c r="DK1021" s="24"/>
      <c r="DL1021" s="24"/>
      <c r="DM1021" s="24"/>
      <c r="DN1021" s="24"/>
      <c r="DO1021" s="24"/>
      <c r="DP1021" s="24"/>
      <c r="DQ1021" s="24"/>
      <c r="DR1021" s="24"/>
      <c r="DS1021" s="24"/>
      <c r="DT1021" s="24"/>
      <c r="DU1021" s="24"/>
    </row>
    <row r="1022" spans="1:125" s="8" customFormat="1" ht="24" x14ac:dyDescent="0.2">
      <c r="A1022" s="353">
        <v>41337</v>
      </c>
      <c r="B1022" s="176" t="s">
        <v>2847</v>
      </c>
      <c r="C1022" s="227" t="s">
        <v>2814</v>
      </c>
      <c r="D1022" s="81" t="s">
        <v>2846</v>
      </c>
      <c r="E1022" s="75" t="str">
        <f>VLOOKUP(B1022&amp;C1022,Divipola!$C$2:$F$1138,4,FALSE)</f>
        <v>68307</v>
      </c>
      <c r="F1022" s="100"/>
      <c r="G1022" s="100"/>
      <c r="H1022" s="100"/>
      <c r="I1022" s="100"/>
      <c r="J1022" s="100"/>
      <c r="K1022" s="100"/>
      <c r="L1022" s="100"/>
      <c r="M1022" s="100"/>
      <c r="N1022" s="100"/>
      <c r="O1022" s="100"/>
      <c r="P1022" s="100"/>
      <c r="Q1022" s="100"/>
      <c r="R1022" s="100"/>
      <c r="S1022" s="100"/>
      <c r="T1022" s="100"/>
      <c r="U1022" s="136"/>
      <c r="V1022" s="89"/>
      <c r="W1022" s="96">
        <v>0</v>
      </c>
      <c r="X1022" s="71">
        <f>CU1022</f>
        <v>0</v>
      </c>
      <c r="Y1022" s="71">
        <f>CY1022</f>
        <v>0</v>
      </c>
      <c r="Z1022" s="71">
        <f>DA1022+DC1022+DE1022</f>
        <v>0</v>
      </c>
      <c r="AA1022" s="71">
        <f>CW1022</f>
        <v>0</v>
      </c>
      <c r="AB1022" s="71"/>
      <c r="AC1022" s="71">
        <v>0</v>
      </c>
      <c r="AD1022" s="71">
        <f>W1022+X1022+Y1022+Z1022+AA1022+AB1022+AC1022</f>
        <v>0</v>
      </c>
      <c r="AE1022" s="72">
        <v>0</v>
      </c>
      <c r="AF1022" s="5"/>
      <c r="AG1022" s="6"/>
      <c r="AH1022" s="27" t="s">
        <v>3392</v>
      </c>
      <c r="AI1022" s="44" t="s">
        <v>3393</v>
      </c>
      <c r="AJ1022" s="26"/>
      <c r="AK1022" s="5"/>
      <c r="AL1022" s="82" t="s">
        <v>3733</v>
      </c>
      <c r="AM1022" s="76"/>
      <c r="AN1022" s="76"/>
      <c r="AO1022" s="76"/>
      <c r="AP1022" s="76"/>
      <c r="AQ1022" s="76"/>
      <c r="AR1022" s="76"/>
      <c r="AS1022" s="76"/>
      <c r="AT1022" s="76"/>
      <c r="AU1022" s="76"/>
      <c r="AV1022" s="76"/>
      <c r="AW1022" s="76"/>
      <c r="AX1022" s="76">
        <f>+AW1022*600000</f>
        <v>0</v>
      </c>
      <c r="AY1022" s="76"/>
      <c r="AZ1022" s="76">
        <f>+AY1022*70000</f>
        <v>0</v>
      </c>
      <c r="BA1022" s="76"/>
      <c r="BB1022" s="76"/>
      <c r="BC1022" s="76"/>
      <c r="BD1022" s="76">
        <f>+BC1022*30000</f>
        <v>0</v>
      </c>
      <c r="BE1022" s="76"/>
      <c r="BF1022" s="76"/>
      <c r="BG1022" s="76"/>
      <c r="BH1022" s="76"/>
      <c r="BI1022" s="76"/>
      <c r="BJ1022" s="76"/>
      <c r="BK1022" s="76"/>
      <c r="BL1022" s="76">
        <f>+BK1022*31500</f>
        <v>0</v>
      </c>
      <c r="BM1022" s="76"/>
      <c r="BN1022" s="76"/>
      <c r="BO1022" s="76"/>
      <c r="BP1022" s="76"/>
      <c r="BQ1022" s="76"/>
      <c r="BR1022" s="76"/>
      <c r="BS1022" s="76"/>
      <c r="BT1022" s="76"/>
      <c r="BU1022" s="76"/>
      <c r="BV1022" s="76"/>
      <c r="BW1022" s="76"/>
      <c r="BX1022" s="76"/>
      <c r="BY1022" s="76"/>
      <c r="BZ1022" s="76"/>
      <c r="CA1022" s="76"/>
      <c r="CB1022" s="76"/>
      <c r="CC1022" s="76"/>
      <c r="CD1022" s="76"/>
      <c r="CE1022" s="76"/>
      <c r="CF1022" s="76">
        <f>+CE1022*28000</f>
        <v>0</v>
      </c>
      <c r="CG1022" s="76"/>
      <c r="CH1022" s="76">
        <f>+CG1022*22500</f>
        <v>0</v>
      </c>
      <c r="CI1022" s="76"/>
      <c r="CJ1022" s="76">
        <f>+CI1022*26000</f>
        <v>0</v>
      </c>
      <c r="CK1022" s="76"/>
      <c r="CL1022" s="76"/>
      <c r="CM1022" s="76"/>
      <c r="CN1022" s="76">
        <f>+CM1022*22000</f>
        <v>0</v>
      </c>
      <c r="CO1022" s="76"/>
      <c r="CP1022" s="76">
        <f>+CO1022*46000</f>
        <v>0</v>
      </c>
      <c r="CQ1022" s="76"/>
      <c r="CR1022" s="76">
        <f>+CQ1022*49000</f>
        <v>0</v>
      </c>
      <c r="CS1022" s="76"/>
      <c r="CT1022" s="76"/>
      <c r="CU1022" s="56">
        <f>AN1022+AP1022+AR1022+AT1022+AV1022+AX1022+AZ1022+BB1022+BD1022+BF1022+BH1022+BJ1022+BL1022+BN1022+BP1022+BR1022+BT1022+BV1022+BX1022+BZ1022+CB1022+CD1022+CF1022+CH1022+CJ1022+CL1022+CN1022+CP1022+CR1022+CT1022</f>
        <v>0</v>
      </c>
      <c r="CV1022" s="76"/>
      <c r="CW1022" s="76">
        <f>+CV1022*1100</f>
        <v>0</v>
      </c>
      <c r="CX1022" s="76"/>
      <c r="CY1022" s="76">
        <f>+CX1022*106250</f>
        <v>0</v>
      </c>
      <c r="CZ1022" s="76"/>
      <c r="DA1022" s="76">
        <f>+CZ1022*34500</f>
        <v>0</v>
      </c>
      <c r="DB1022" s="76"/>
      <c r="DC1022" s="76">
        <f>+DB1022*25000</f>
        <v>0</v>
      </c>
      <c r="DD1022" s="219"/>
      <c r="DE1022" s="219"/>
      <c r="DF1022" s="166"/>
      <c r="DG1022" s="116"/>
      <c r="DH1022" s="117"/>
      <c r="DI1022" s="24"/>
      <c r="DJ1022" s="24"/>
      <c r="DK1022" s="24"/>
      <c r="DL1022" s="24"/>
      <c r="DM1022" s="24"/>
      <c r="DN1022" s="24"/>
      <c r="DO1022" s="24"/>
      <c r="DP1022" s="24"/>
      <c r="DQ1022" s="24"/>
      <c r="DR1022" s="24"/>
      <c r="DS1022" s="24"/>
      <c r="DT1022" s="24"/>
      <c r="DU1022" s="24"/>
    </row>
    <row r="1023" spans="1:125" s="8" customFormat="1" ht="48" x14ac:dyDescent="0.2">
      <c r="A1023" s="77">
        <v>41337</v>
      </c>
      <c r="B1023" s="176" t="s">
        <v>2851</v>
      </c>
      <c r="C1023" s="75" t="s">
        <v>1959</v>
      </c>
      <c r="D1023" s="81" t="s">
        <v>2846</v>
      </c>
      <c r="E1023" s="75" t="str">
        <f>VLOOKUP(B1023&amp;C1023,Divipola!$C$2:$F$1138,4,FALSE)</f>
        <v>76616</v>
      </c>
      <c r="F1023" s="87"/>
      <c r="G1023" s="87"/>
      <c r="H1023" s="87"/>
      <c r="I1023" s="87"/>
      <c r="J1023" s="87"/>
      <c r="K1023" s="87"/>
      <c r="L1023" s="87"/>
      <c r="M1023" s="87"/>
      <c r="N1023" s="87"/>
      <c r="O1023" s="87"/>
      <c r="P1023" s="87"/>
      <c r="Q1023" s="87"/>
      <c r="R1023" s="87"/>
      <c r="S1023" s="87"/>
      <c r="T1023" s="87"/>
      <c r="U1023" s="88">
        <v>8</v>
      </c>
      <c r="V1023" s="89"/>
      <c r="W1023" s="96">
        <v>0</v>
      </c>
      <c r="X1023" s="71">
        <f>CU1023</f>
        <v>0</v>
      </c>
      <c r="Y1023" s="71">
        <f>CY1023</f>
        <v>0</v>
      </c>
      <c r="Z1023" s="71">
        <f>DA1023+DC1023+DE1023</f>
        <v>0</v>
      </c>
      <c r="AA1023" s="71">
        <f>CW1023</f>
        <v>0</v>
      </c>
      <c r="AB1023" s="71"/>
      <c r="AC1023" s="71">
        <v>0</v>
      </c>
      <c r="AD1023" s="71">
        <f>W1023+X1023+Y1023+Z1023+AA1023+AB1023+AC1023</f>
        <v>0</v>
      </c>
      <c r="AE1023" s="72">
        <v>0</v>
      </c>
      <c r="AF1023" s="5"/>
      <c r="AG1023" s="6"/>
      <c r="AH1023" s="27" t="s">
        <v>3392</v>
      </c>
      <c r="AI1023" s="44" t="s">
        <v>3393</v>
      </c>
      <c r="AJ1023" s="26"/>
      <c r="AK1023" s="5"/>
      <c r="AL1023" s="82" t="s">
        <v>3734</v>
      </c>
      <c r="AM1023" s="76"/>
      <c r="AN1023" s="76"/>
      <c r="AO1023" s="76"/>
      <c r="AP1023" s="76"/>
      <c r="AQ1023" s="76"/>
      <c r="AR1023" s="76"/>
      <c r="AS1023" s="76"/>
      <c r="AT1023" s="76"/>
      <c r="AU1023" s="76"/>
      <c r="AV1023" s="76"/>
      <c r="AW1023" s="76"/>
      <c r="AX1023" s="76">
        <f>+AW1023*600000</f>
        <v>0</v>
      </c>
      <c r="AY1023" s="76"/>
      <c r="AZ1023" s="76">
        <f>+AY1023*70000</f>
        <v>0</v>
      </c>
      <c r="BA1023" s="76"/>
      <c r="BB1023" s="76"/>
      <c r="BC1023" s="76"/>
      <c r="BD1023" s="76">
        <f>+BC1023*30000</f>
        <v>0</v>
      </c>
      <c r="BE1023" s="76"/>
      <c r="BF1023" s="76"/>
      <c r="BG1023" s="76"/>
      <c r="BH1023" s="76"/>
      <c r="BI1023" s="76"/>
      <c r="BJ1023" s="76"/>
      <c r="BK1023" s="76"/>
      <c r="BL1023" s="76">
        <f>+BK1023*31500</f>
        <v>0</v>
      </c>
      <c r="BM1023" s="76"/>
      <c r="BN1023" s="76"/>
      <c r="BO1023" s="76"/>
      <c r="BP1023" s="76"/>
      <c r="BQ1023" s="76"/>
      <c r="BR1023" s="76"/>
      <c r="BS1023" s="76"/>
      <c r="BT1023" s="76"/>
      <c r="BU1023" s="76"/>
      <c r="BV1023" s="76"/>
      <c r="BW1023" s="76"/>
      <c r="BX1023" s="76"/>
      <c r="BY1023" s="76"/>
      <c r="BZ1023" s="76"/>
      <c r="CA1023" s="76"/>
      <c r="CB1023" s="76"/>
      <c r="CC1023" s="76"/>
      <c r="CD1023" s="76"/>
      <c r="CE1023" s="76"/>
      <c r="CF1023" s="76">
        <f>+CE1023*28000</f>
        <v>0</v>
      </c>
      <c r="CG1023" s="76"/>
      <c r="CH1023" s="76">
        <f>+CG1023*22500</f>
        <v>0</v>
      </c>
      <c r="CI1023" s="76"/>
      <c r="CJ1023" s="76">
        <f>+CI1023*26000</f>
        <v>0</v>
      </c>
      <c r="CK1023" s="76"/>
      <c r="CL1023" s="76"/>
      <c r="CM1023" s="76"/>
      <c r="CN1023" s="76">
        <f>+CM1023*22000</f>
        <v>0</v>
      </c>
      <c r="CO1023" s="76"/>
      <c r="CP1023" s="76">
        <f>+CO1023*46000</f>
        <v>0</v>
      </c>
      <c r="CQ1023" s="76"/>
      <c r="CR1023" s="76">
        <f>+CQ1023*49000</f>
        <v>0</v>
      </c>
      <c r="CS1023" s="76"/>
      <c r="CT1023" s="76"/>
      <c r="CU1023" s="56">
        <f>AN1023+AP1023+AR1023+AT1023+AV1023+AX1023+AZ1023+BB1023+BD1023+BF1023+BH1023+BJ1023+BL1023+BN1023+BP1023+BR1023+BT1023+BV1023+BX1023+BZ1023+CB1023+CD1023+CF1023+CH1023+CJ1023+CL1023+CN1023+CP1023+CR1023+CT1023</f>
        <v>0</v>
      </c>
      <c r="CV1023" s="76"/>
      <c r="CW1023" s="76">
        <f>+CV1023*1100</f>
        <v>0</v>
      </c>
      <c r="CX1023" s="76"/>
      <c r="CY1023" s="76">
        <f>+CX1023*106250</f>
        <v>0</v>
      </c>
      <c r="CZ1023" s="76"/>
      <c r="DA1023" s="76">
        <f>+CZ1023*34500</f>
        <v>0</v>
      </c>
      <c r="DB1023" s="76"/>
      <c r="DC1023" s="76">
        <f>+DB1023*25000</f>
        <v>0</v>
      </c>
      <c r="DD1023" s="219"/>
      <c r="DE1023" s="219"/>
      <c r="DF1023" s="166"/>
      <c r="DG1023" s="116"/>
      <c r="DH1023" s="117"/>
      <c r="DI1023" s="24"/>
      <c r="DJ1023" s="24"/>
      <c r="DK1023" s="24"/>
      <c r="DL1023" s="24"/>
      <c r="DM1023" s="24"/>
      <c r="DN1023" s="24"/>
      <c r="DO1023" s="24"/>
      <c r="DP1023" s="24"/>
      <c r="DQ1023" s="24"/>
      <c r="DR1023" s="24"/>
      <c r="DS1023" s="24"/>
      <c r="DT1023" s="24"/>
      <c r="DU1023" s="24"/>
    </row>
    <row r="1024" spans="1:125" s="8" customFormat="1" ht="36" x14ac:dyDescent="0.2">
      <c r="A1024" s="353">
        <v>41338</v>
      </c>
      <c r="B1024" s="216" t="s">
        <v>2894</v>
      </c>
      <c r="C1024" s="354" t="s">
        <v>2615</v>
      </c>
      <c r="D1024" s="354" t="s">
        <v>2859</v>
      </c>
      <c r="E1024" s="75" t="str">
        <f>VLOOKUP(B1024&amp;C1024,Divipola!$C$2:$F$1138,4,FALSE)</f>
        <v>05837</v>
      </c>
      <c r="F1024" s="87"/>
      <c r="G1024" s="87"/>
      <c r="H1024" s="87"/>
      <c r="I1024" s="87"/>
      <c r="J1024" s="87"/>
      <c r="K1024" s="87"/>
      <c r="L1024" s="87"/>
      <c r="M1024" s="87"/>
      <c r="N1024" s="87"/>
      <c r="O1024" s="87"/>
      <c r="P1024" s="87"/>
      <c r="Q1024" s="87"/>
      <c r="R1024" s="87"/>
      <c r="S1024" s="87"/>
      <c r="T1024" s="87"/>
      <c r="U1024" s="88"/>
      <c r="V1024" s="89"/>
      <c r="W1024" s="96">
        <v>0</v>
      </c>
      <c r="X1024" s="71">
        <f>CU1024</f>
        <v>0</v>
      </c>
      <c r="Y1024" s="71">
        <f>CY1024</f>
        <v>0</v>
      </c>
      <c r="Z1024" s="71">
        <f>DA1024+DC1024+DE1024</f>
        <v>0</v>
      </c>
      <c r="AA1024" s="71">
        <f>CW1024</f>
        <v>0</v>
      </c>
      <c r="AB1024" s="71"/>
      <c r="AC1024" s="71">
        <v>0</v>
      </c>
      <c r="AD1024" s="71">
        <f>W1024+X1024+Y1024+Z1024+AA1024+AB1024+AC1024</f>
        <v>0</v>
      </c>
      <c r="AE1024" s="72">
        <v>0</v>
      </c>
      <c r="AF1024" s="5"/>
      <c r="AG1024" s="6"/>
      <c r="AH1024" s="27" t="s">
        <v>3392</v>
      </c>
      <c r="AI1024" s="44" t="s">
        <v>3393</v>
      </c>
      <c r="AJ1024" s="26"/>
      <c r="AK1024" s="5"/>
      <c r="AL1024" s="82" t="s">
        <v>3744</v>
      </c>
      <c r="AM1024" s="76"/>
      <c r="AN1024" s="76"/>
      <c r="AO1024" s="76"/>
      <c r="AP1024" s="76"/>
      <c r="AQ1024" s="76"/>
      <c r="AR1024" s="76"/>
      <c r="AS1024" s="76"/>
      <c r="AT1024" s="76"/>
      <c r="AU1024" s="76"/>
      <c r="AV1024" s="76"/>
      <c r="AW1024" s="76"/>
      <c r="AX1024" s="76">
        <f>+AW1024*600000</f>
        <v>0</v>
      </c>
      <c r="AY1024" s="76"/>
      <c r="AZ1024" s="76">
        <f>+AY1024*70000</f>
        <v>0</v>
      </c>
      <c r="BA1024" s="76"/>
      <c r="BB1024" s="76"/>
      <c r="BC1024" s="76"/>
      <c r="BD1024" s="76">
        <f>+BC1024*30000</f>
        <v>0</v>
      </c>
      <c r="BE1024" s="76"/>
      <c r="BF1024" s="76"/>
      <c r="BG1024" s="76"/>
      <c r="BH1024" s="76"/>
      <c r="BI1024" s="76"/>
      <c r="BJ1024" s="76"/>
      <c r="BK1024" s="76"/>
      <c r="BL1024" s="76">
        <f>+BK1024*31500</f>
        <v>0</v>
      </c>
      <c r="BM1024" s="76"/>
      <c r="BN1024" s="76"/>
      <c r="BO1024" s="76"/>
      <c r="BP1024" s="76"/>
      <c r="BQ1024" s="76"/>
      <c r="BR1024" s="76"/>
      <c r="BS1024" s="76"/>
      <c r="BT1024" s="76"/>
      <c r="BU1024" s="76"/>
      <c r="BV1024" s="76"/>
      <c r="BW1024" s="76"/>
      <c r="BX1024" s="76"/>
      <c r="BY1024" s="76"/>
      <c r="BZ1024" s="76"/>
      <c r="CA1024" s="76"/>
      <c r="CB1024" s="76"/>
      <c r="CC1024" s="76"/>
      <c r="CD1024" s="76"/>
      <c r="CE1024" s="76"/>
      <c r="CF1024" s="76">
        <f>+CE1024*28000</f>
        <v>0</v>
      </c>
      <c r="CG1024" s="76"/>
      <c r="CH1024" s="76">
        <f>+CG1024*22500</f>
        <v>0</v>
      </c>
      <c r="CI1024" s="76"/>
      <c r="CJ1024" s="76">
        <f>+CI1024*26000</f>
        <v>0</v>
      </c>
      <c r="CK1024" s="76"/>
      <c r="CL1024" s="76"/>
      <c r="CM1024" s="76"/>
      <c r="CN1024" s="76">
        <f>+CM1024*22000</f>
        <v>0</v>
      </c>
      <c r="CO1024" s="76"/>
      <c r="CP1024" s="76">
        <f>+CO1024*46000</f>
        <v>0</v>
      </c>
      <c r="CQ1024" s="76"/>
      <c r="CR1024" s="76">
        <f>+CQ1024*49000</f>
        <v>0</v>
      </c>
      <c r="CS1024" s="76"/>
      <c r="CT1024" s="76"/>
      <c r="CU1024" s="56">
        <f>AN1024+AP1024+AR1024+AT1024+AV1024+AX1024+AZ1024+BB1024+BD1024+BF1024+BH1024+BJ1024+BL1024+BN1024+BP1024+BR1024+BT1024+BV1024+BX1024+BZ1024+CB1024+CD1024+CF1024+CH1024+CJ1024+CL1024+CN1024+CP1024+CR1024+CT1024</f>
        <v>0</v>
      </c>
      <c r="CV1024" s="76"/>
      <c r="CW1024" s="76">
        <f>+CV1024*1100</f>
        <v>0</v>
      </c>
      <c r="CX1024" s="76"/>
      <c r="CY1024" s="76">
        <f>+CX1024*106250</f>
        <v>0</v>
      </c>
      <c r="CZ1024" s="76"/>
      <c r="DA1024" s="76">
        <f>+CZ1024*34500</f>
        <v>0</v>
      </c>
      <c r="DB1024" s="76"/>
      <c r="DC1024" s="76">
        <f>+DB1024*25000</f>
        <v>0</v>
      </c>
      <c r="DD1024" s="219"/>
      <c r="DE1024" s="219"/>
      <c r="DF1024" s="166"/>
      <c r="DG1024" s="116"/>
      <c r="DH1024" s="117"/>
      <c r="DI1024" s="24"/>
      <c r="DJ1024" s="24"/>
      <c r="DK1024" s="24"/>
      <c r="DL1024" s="24"/>
      <c r="DM1024" s="24"/>
      <c r="DN1024" s="24"/>
      <c r="DO1024" s="24"/>
      <c r="DP1024" s="24"/>
      <c r="DQ1024" s="24"/>
      <c r="DR1024" s="24"/>
      <c r="DS1024" s="24"/>
      <c r="DT1024" s="24"/>
      <c r="DU1024" s="24"/>
    </row>
    <row r="1025" spans="1:125" s="8" customFormat="1" ht="36" x14ac:dyDescent="0.2">
      <c r="A1025" s="77">
        <v>41338</v>
      </c>
      <c r="B1025" s="176" t="s">
        <v>2196</v>
      </c>
      <c r="C1025" s="75" t="s">
        <v>2221</v>
      </c>
      <c r="D1025" s="218" t="s">
        <v>2882</v>
      </c>
      <c r="E1025" s="75" t="str">
        <f>VLOOKUP(B1025&amp;C1025,Divipola!$C$2:$F$1138,4,FALSE)</f>
        <v>17513</v>
      </c>
      <c r="F1025" s="87"/>
      <c r="G1025" s="87"/>
      <c r="H1025" s="87"/>
      <c r="I1025" s="87">
        <v>50</v>
      </c>
      <c r="J1025" s="87">
        <v>10</v>
      </c>
      <c r="K1025" s="87"/>
      <c r="L1025" s="87">
        <v>10</v>
      </c>
      <c r="M1025" s="87"/>
      <c r="N1025" s="87"/>
      <c r="O1025" s="87"/>
      <c r="P1025" s="87"/>
      <c r="Q1025" s="87"/>
      <c r="R1025" s="87"/>
      <c r="S1025" s="87"/>
      <c r="T1025" s="87"/>
      <c r="U1025" s="178"/>
      <c r="V1025" s="89"/>
      <c r="W1025" s="96">
        <v>0</v>
      </c>
      <c r="X1025" s="71">
        <f>CU1025</f>
        <v>0</v>
      </c>
      <c r="Y1025" s="71">
        <f>CY1025</f>
        <v>0</v>
      </c>
      <c r="Z1025" s="71">
        <f>DA1025+DC1025+DE1025</f>
        <v>0</v>
      </c>
      <c r="AA1025" s="71">
        <f>CW1025</f>
        <v>0</v>
      </c>
      <c r="AB1025" s="71"/>
      <c r="AC1025" s="71">
        <v>0</v>
      </c>
      <c r="AD1025" s="71">
        <f>W1025+X1025+Y1025+Z1025+AA1025+AB1025+AC1025</f>
        <v>0</v>
      </c>
      <c r="AE1025" s="72">
        <v>0</v>
      </c>
      <c r="AF1025" s="5"/>
      <c r="AG1025" s="6"/>
      <c r="AH1025" s="27" t="s">
        <v>3392</v>
      </c>
      <c r="AI1025" s="44" t="s">
        <v>3393</v>
      </c>
      <c r="AJ1025" s="26"/>
      <c r="AK1025" s="5"/>
      <c r="AL1025" s="82" t="s">
        <v>3817</v>
      </c>
      <c r="AM1025" s="76"/>
      <c r="AN1025" s="76"/>
      <c r="AO1025" s="76"/>
      <c r="AP1025" s="76"/>
      <c r="AQ1025" s="76"/>
      <c r="AR1025" s="76"/>
      <c r="AS1025" s="76"/>
      <c r="AT1025" s="76"/>
      <c r="AU1025" s="76"/>
      <c r="AV1025" s="76"/>
      <c r="AW1025" s="76"/>
      <c r="AX1025" s="76">
        <f>+AW1025*600000</f>
        <v>0</v>
      </c>
      <c r="AY1025" s="76"/>
      <c r="AZ1025" s="76">
        <f>+AY1025*70000</f>
        <v>0</v>
      </c>
      <c r="BA1025" s="76"/>
      <c r="BB1025" s="76"/>
      <c r="BC1025" s="76"/>
      <c r="BD1025" s="76">
        <f>+BC1025*30000</f>
        <v>0</v>
      </c>
      <c r="BE1025" s="76"/>
      <c r="BF1025" s="76"/>
      <c r="BG1025" s="76"/>
      <c r="BH1025" s="76"/>
      <c r="BI1025" s="76"/>
      <c r="BJ1025" s="76"/>
      <c r="BK1025" s="76"/>
      <c r="BL1025" s="76">
        <f>+BK1025*31500</f>
        <v>0</v>
      </c>
      <c r="BM1025" s="76"/>
      <c r="BN1025" s="76"/>
      <c r="BO1025" s="76"/>
      <c r="BP1025" s="76"/>
      <c r="BQ1025" s="76"/>
      <c r="BR1025" s="76"/>
      <c r="BS1025" s="76"/>
      <c r="BT1025" s="76"/>
      <c r="BU1025" s="76"/>
      <c r="BV1025" s="76"/>
      <c r="BW1025" s="76"/>
      <c r="BX1025" s="76"/>
      <c r="BY1025" s="76"/>
      <c r="BZ1025" s="76"/>
      <c r="CA1025" s="76"/>
      <c r="CB1025" s="76"/>
      <c r="CC1025" s="76"/>
      <c r="CD1025" s="76"/>
      <c r="CE1025" s="76"/>
      <c r="CF1025" s="76">
        <f>+CE1025*28000</f>
        <v>0</v>
      </c>
      <c r="CG1025" s="76"/>
      <c r="CH1025" s="76">
        <f>+CG1025*22500</f>
        <v>0</v>
      </c>
      <c r="CI1025" s="76"/>
      <c r="CJ1025" s="76">
        <f>+CI1025*26000</f>
        <v>0</v>
      </c>
      <c r="CK1025" s="76"/>
      <c r="CL1025" s="76"/>
      <c r="CM1025" s="76"/>
      <c r="CN1025" s="76">
        <f>+CM1025*22000</f>
        <v>0</v>
      </c>
      <c r="CO1025" s="76"/>
      <c r="CP1025" s="76">
        <f>+CO1025*46000</f>
        <v>0</v>
      </c>
      <c r="CQ1025" s="76"/>
      <c r="CR1025" s="76">
        <f>+CQ1025*49000</f>
        <v>0</v>
      </c>
      <c r="CS1025" s="76"/>
      <c r="CT1025" s="76"/>
      <c r="CU1025" s="56">
        <f>AN1025+AP1025+AR1025+AT1025+AV1025+AX1025+AZ1025+BB1025+BD1025+BF1025+BH1025+BJ1025+BL1025+BN1025+BP1025+BR1025+BT1025+BV1025+BX1025+BZ1025+CB1025+CD1025+CF1025+CH1025+CJ1025+CL1025+CN1025+CP1025+CR1025+CT1025</f>
        <v>0</v>
      </c>
      <c r="CV1025" s="76"/>
      <c r="CW1025" s="76">
        <f>+CV1025*1100</f>
        <v>0</v>
      </c>
      <c r="CX1025" s="76"/>
      <c r="CY1025" s="76">
        <f>+CX1025*106250</f>
        <v>0</v>
      </c>
      <c r="CZ1025" s="76"/>
      <c r="DA1025" s="76">
        <f>+CZ1025*34500</f>
        <v>0</v>
      </c>
      <c r="DB1025" s="76"/>
      <c r="DC1025" s="76">
        <f>+DB1025*25000</f>
        <v>0</v>
      </c>
      <c r="DD1025" s="219"/>
      <c r="DE1025" s="219"/>
      <c r="DF1025" s="166"/>
      <c r="DG1025" s="116"/>
      <c r="DH1025" s="117"/>
      <c r="DI1025" s="24"/>
      <c r="DJ1025" s="24"/>
      <c r="DK1025" s="24"/>
      <c r="DL1025" s="24"/>
      <c r="DM1025" s="24"/>
      <c r="DN1025" s="24"/>
      <c r="DO1025" s="24"/>
      <c r="DP1025" s="24"/>
      <c r="DQ1025" s="24"/>
      <c r="DR1025" s="24"/>
      <c r="DS1025" s="24"/>
      <c r="DT1025" s="24"/>
      <c r="DU1025" s="24"/>
    </row>
    <row r="1026" spans="1:125" s="8" customFormat="1" ht="36" x14ac:dyDescent="0.2">
      <c r="A1026" s="77">
        <v>41338</v>
      </c>
      <c r="B1026" s="176" t="s">
        <v>2196</v>
      </c>
      <c r="C1026" s="75" t="s">
        <v>2110</v>
      </c>
      <c r="D1026" s="218" t="s">
        <v>2882</v>
      </c>
      <c r="E1026" s="75" t="str">
        <f>VLOOKUP(B1026&amp;C1026,Divipola!$C$2:$F$1138,4,FALSE)</f>
        <v>17614</v>
      </c>
      <c r="F1026" s="87"/>
      <c r="G1026" s="87"/>
      <c r="H1026" s="87"/>
      <c r="I1026" s="87">
        <v>150</v>
      </c>
      <c r="J1026" s="87">
        <v>30</v>
      </c>
      <c r="K1026" s="87"/>
      <c r="L1026" s="87">
        <v>30</v>
      </c>
      <c r="M1026" s="87"/>
      <c r="N1026" s="87"/>
      <c r="O1026" s="87"/>
      <c r="P1026" s="87"/>
      <c r="Q1026" s="87"/>
      <c r="R1026" s="87"/>
      <c r="S1026" s="87"/>
      <c r="T1026" s="179"/>
      <c r="U1026" s="180"/>
      <c r="V1026" s="155"/>
      <c r="W1026" s="96">
        <v>0</v>
      </c>
      <c r="X1026" s="71">
        <f>CU1026</f>
        <v>0</v>
      </c>
      <c r="Y1026" s="71">
        <f>CY1026</f>
        <v>0</v>
      </c>
      <c r="Z1026" s="71">
        <f>DA1026+DC1026+DE1026</f>
        <v>0</v>
      </c>
      <c r="AA1026" s="71">
        <f>CW1026</f>
        <v>0</v>
      </c>
      <c r="AB1026" s="71"/>
      <c r="AC1026" s="71">
        <v>0</v>
      </c>
      <c r="AD1026" s="71">
        <f>W1026+X1026+Y1026+Z1026+AA1026+AB1026+AC1026</f>
        <v>0</v>
      </c>
      <c r="AE1026" s="72">
        <v>0</v>
      </c>
      <c r="AF1026" s="5"/>
      <c r="AG1026" s="6"/>
      <c r="AH1026" s="27" t="s">
        <v>3392</v>
      </c>
      <c r="AI1026" s="44" t="s">
        <v>3393</v>
      </c>
      <c r="AJ1026" s="26"/>
      <c r="AK1026" s="5"/>
      <c r="AL1026" s="82" t="s">
        <v>3817</v>
      </c>
      <c r="AM1026" s="76"/>
      <c r="AN1026" s="76"/>
      <c r="AO1026" s="76"/>
      <c r="AP1026" s="76"/>
      <c r="AQ1026" s="76"/>
      <c r="AR1026" s="76"/>
      <c r="AS1026" s="76"/>
      <c r="AT1026" s="76"/>
      <c r="AU1026" s="76"/>
      <c r="AV1026" s="76"/>
      <c r="AW1026" s="76"/>
      <c r="AX1026" s="76">
        <f>+AW1026*600000</f>
        <v>0</v>
      </c>
      <c r="AY1026" s="76"/>
      <c r="AZ1026" s="76">
        <f>+AY1026*70000</f>
        <v>0</v>
      </c>
      <c r="BA1026" s="76"/>
      <c r="BB1026" s="76"/>
      <c r="BC1026" s="76"/>
      <c r="BD1026" s="76">
        <f>+BC1026*30000</f>
        <v>0</v>
      </c>
      <c r="BE1026" s="76"/>
      <c r="BF1026" s="76"/>
      <c r="BG1026" s="76"/>
      <c r="BH1026" s="76"/>
      <c r="BI1026" s="76"/>
      <c r="BJ1026" s="76"/>
      <c r="BK1026" s="76"/>
      <c r="BL1026" s="76">
        <f>+BK1026*31500</f>
        <v>0</v>
      </c>
      <c r="BM1026" s="76"/>
      <c r="BN1026" s="76"/>
      <c r="BO1026" s="76"/>
      <c r="BP1026" s="76"/>
      <c r="BQ1026" s="76"/>
      <c r="BR1026" s="76"/>
      <c r="BS1026" s="76"/>
      <c r="BT1026" s="76"/>
      <c r="BU1026" s="76"/>
      <c r="BV1026" s="76"/>
      <c r="BW1026" s="76"/>
      <c r="BX1026" s="76"/>
      <c r="BY1026" s="76"/>
      <c r="BZ1026" s="76"/>
      <c r="CA1026" s="76"/>
      <c r="CB1026" s="76"/>
      <c r="CC1026" s="76"/>
      <c r="CD1026" s="76"/>
      <c r="CE1026" s="76"/>
      <c r="CF1026" s="76">
        <f>+CE1026*28000</f>
        <v>0</v>
      </c>
      <c r="CG1026" s="76"/>
      <c r="CH1026" s="76">
        <f>+CG1026*22500</f>
        <v>0</v>
      </c>
      <c r="CI1026" s="76"/>
      <c r="CJ1026" s="76">
        <f>+CI1026*26000</f>
        <v>0</v>
      </c>
      <c r="CK1026" s="76"/>
      <c r="CL1026" s="76"/>
      <c r="CM1026" s="76"/>
      <c r="CN1026" s="76">
        <f>+CM1026*22000</f>
        <v>0</v>
      </c>
      <c r="CO1026" s="76"/>
      <c r="CP1026" s="76">
        <f>+CO1026*46000</f>
        <v>0</v>
      </c>
      <c r="CQ1026" s="76"/>
      <c r="CR1026" s="76">
        <f>+CQ1026*49000</f>
        <v>0</v>
      </c>
      <c r="CS1026" s="76"/>
      <c r="CT1026" s="76"/>
      <c r="CU1026" s="56">
        <f>AN1026+AP1026+AR1026+AT1026+AV1026+AX1026+AZ1026+BB1026+BD1026+BF1026+BH1026+BJ1026+BL1026+BN1026+BP1026+BR1026+BT1026+BV1026+BX1026+BZ1026+CB1026+CD1026+CF1026+CH1026+CJ1026+CL1026+CN1026+CP1026+CR1026+CT1026</f>
        <v>0</v>
      </c>
      <c r="CV1026" s="76"/>
      <c r="CW1026" s="76">
        <f>+CV1026*1100</f>
        <v>0</v>
      </c>
      <c r="CX1026" s="76"/>
      <c r="CY1026" s="76">
        <f>+CX1026*106250</f>
        <v>0</v>
      </c>
      <c r="CZ1026" s="76"/>
      <c r="DA1026" s="76">
        <f>+CZ1026*34500</f>
        <v>0</v>
      </c>
      <c r="DB1026" s="76"/>
      <c r="DC1026" s="76">
        <f>+DB1026*25000</f>
        <v>0</v>
      </c>
      <c r="DD1026" s="219"/>
      <c r="DE1026" s="219"/>
      <c r="DF1026" s="166"/>
      <c r="DG1026" s="116"/>
      <c r="DH1026" s="117"/>
      <c r="DI1026" s="24"/>
      <c r="DJ1026" s="24"/>
      <c r="DK1026" s="24"/>
      <c r="DL1026" s="24"/>
      <c r="DM1026" s="24"/>
      <c r="DN1026" s="24"/>
      <c r="DO1026" s="24"/>
      <c r="DP1026" s="24"/>
      <c r="DQ1026" s="24"/>
      <c r="DR1026" s="24"/>
      <c r="DS1026" s="24"/>
      <c r="DT1026" s="24"/>
      <c r="DU1026" s="24"/>
    </row>
    <row r="1027" spans="1:125" s="8" customFormat="1" ht="36" x14ac:dyDescent="0.2">
      <c r="A1027" s="353">
        <v>41338</v>
      </c>
      <c r="B1027" s="177" t="s">
        <v>2196</v>
      </c>
      <c r="C1027" s="227" t="s">
        <v>1367</v>
      </c>
      <c r="D1027" s="227" t="s">
        <v>2882</v>
      </c>
      <c r="E1027" s="75" t="str">
        <f>VLOOKUP(B1027&amp;C1027,Divipola!$C$2:$F$1138,4,FALSE)</f>
        <v>17653</v>
      </c>
      <c r="F1027" s="87"/>
      <c r="G1027" s="87"/>
      <c r="H1027" s="87"/>
      <c r="I1027" s="87">
        <v>5</v>
      </c>
      <c r="J1027" s="87">
        <v>1</v>
      </c>
      <c r="K1027" s="87"/>
      <c r="L1027" s="87">
        <v>1</v>
      </c>
      <c r="M1027" s="87"/>
      <c r="N1027" s="87"/>
      <c r="O1027" s="87"/>
      <c r="P1027" s="87"/>
      <c r="Q1027" s="87"/>
      <c r="R1027" s="87"/>
      <c r="S1027" s="87"/>
      <c r="T1027" s="87"/>
      <c r="U1027" s="178"/>
      <c r="V1027" s="89"/>
      <c r="W1027" s="96">
        <v>0</v>
      </c>
      <c r="X1027" s="71">
        <f>CU1027</f>
        <v>0</v>
      </c>
      <c r="Y1027" s="71">
        <f>CY1027</f>
        <v>0</v>
      </c>
      <c r="Z1027" s="71">
        <f>DA1027+DC1027+DE1027</f>
        <v>0</v>
      </c>
      <c r="AA1027" s="71">
        <f>CW1027</f>
        <v>0</v>
      </c>
      <c r="AB1027" s="71"/>
      <c r="AC1027" s="71">
        <v>0</v>
      </c>
      <c r="AD1027" s="71">
        <f>W1027+X1027+Y1027+Z1027+AA1027+AB1027+AC1027</f>
        <v>0</v>
      </c>
      <c r="AE1027" s="72">
        <v>0</v>
      </c>
      <c r="AF1027" s="5"/>
      <c r="AG1027" s="6"/>
      <c r="AH1027" s="27" t="s">
        <v>3392</v>
      </c>
      <c r="AI1027" s="44" t="s">
        <v>3393</v>
      </c>
      <c r="AJ1027" s="26"/>
      <c r="AK1027" s="5"/>
      <c r="AL1027" s="82" t="s">
        <v>3817</v>
      </c>
      <c r="AM1027" s="76"/>
      <c r="AN1027" s="76"/>
      <c r="AO1027" s="76"/>
      <c r="AP1027" s="76"/>
      <c r="AQ1027" s="76"/>
      <c r="AR1027" s="76"/>
      <c r="AS1027" s="76"/>
      <c r="AT1027" s="76"/>
      <c r="AU1027" s="76"/>
      <c r="AV1027" s="76"/>
      <c r="AW1027" s="76"/>
      <c r="AX1027" s="76">
        <f>+AW1027*600000</f>
        <v>0</v>
      </c>
      <c r="AY1027" s="76"/>
      <c r="AZ1027" s="76">
        <f>+AY1027*70000</f>
        <v>0</v>
      </c>
      <c r="BA1027" s="76"/>
      <c r="BB1027" s="76"/>
      <c r="BC1027" s="76"/>
      <c r="BD1027" s="76">
        <f>+BC1027*30000</f>
        <v>0</v>
      </c>
      <c r="BE1027" s="76"/>
      <c r="BF1027" s="76"/>
      <c r="BG1027" s="76"/>
      <c r="BH1027" s="76"/>
      <c r="BI1027" s="76"/>
      <c r="BJ1027" s="76"/>
      <c r="BK1027" s="76"/>
      <c r="BL1027" s="76">
        <f>+BK1027*31500</f>
        <v>0</v>
      </c>
      <c r="BM1027" s="76"/>
      <c r="BN1027" s="76"/>
      <c r="BO1027" s="76"/>
      <c r="BP1027" s="76"/>
      <c r="BQ1027" s="76"/>
      <c r="BR1027" s="76"/>
      <c r="BS1027" s="76"/>
      <c r="BT1027" s="76"/>
      <c r="BU1027" s="76"/>
      <c r="BV1027" s="76"/>
      <c r="BW1027" s="76"/>
      <c r="BX1027" s="76"/>
      <c r="BY1027" s="76"/>
      <c r="BZ1027" s="76"/>
      <c r="CA1027" s="76"/>
      <c r="CB1027" s="76"/>
      <c r="CC1027" s="76"/>
      <c r="CD1027" s="76"/>
      <c r="CE1027" s="76"/>
      <c r="CF1027" s="76">
        <f>+CE1027*28000</f>
        <v>0</v>
      </c>
      <c r="CG1027" s="76"/>
      <c r="CH1027" s="76">
        <f>+CG1027*22500</f>
        <v>0</v>
      </c>
      <c r="CI1027" s="76"/>
      <c r="CJ1027" s="76">
        <f>+CI1027*26000</f>
        <v>0</v>
      </c>
      <c r="CK1027" s="76"/>
      <c r="CL1027" s="76"/>
      <c r="CM1027" s="76"/>
      <c r="CN1027" s="76">
        <f>+CM1027*22000</f>
        <v>0</v>
      </c>
      <c r="CO1027" s="76"/>
      <c r="CP1027" s="76">
        <f>+CO1027*46000</f>
        <v>0</v>
      </c>
      <c r="CQ1027" s="76"/>
      <c r="CR1027" s="76">
        <f>+CQ1027*49000</f>
        <v>0</v>
      </c>
      <c r="CS1027" s="76"/>
      <c r="CT1027" s="76"/>
      <c r="CU1027" s="56">
        <f>AN1027+AP1027+AR1027+AT1027+AV1027+AX1027+AZ1027+BB1027+BD1027+BF1027+BH1027+BJ1027+BL1027+BN1027+BP1027+BR1027+BT1027+BV1027+BX1027+BZ1027+CB1027+CD1027+CF1027+CH1027+CJ1027+CL1027+CN1027+CP1027+CR1027+CT1027</f>
        <v>0</v>
      </c>
      <c r="CV1027" s="76"/>
      <c r="CW1027" s="76">
        <f>+CV1027*1100</f>
        <v>0</v>
      </c>
      <c r="CX1027" s="76"/>
      <c r="CY1027" s="76">
        <f>+CX1027*106250</f>
        <v>0</v>
      </c>
      <c r="CZ1027" s="76"/>
      <c r="DA1027" s="76">
        <f>+CZ1027*34500</f>
        <v>0</v>
      </c>
      <c r="DB1027" s="76"/>
      <c r="DC1027" s="76">
        <f>+DB1027*25000</f>
        <v>0</v>
      </c>
      <c r="DD1027" s="219"/>
      <c r="DE1027" s="219"/>
      <c r="DF1027" s="166"/>
      <c r="DG1027" s="116"/>
      <c r="DH1027" s="117"/>
      <c r="DI1027" s="24"/>
      <c r="DJ1027" s="24"/>
      <c r="DK1027" s="24"/>
      <c r="DL1027" s="24"/>
      <c r="DM1027" s="24"/>
      <c r="DN1027" s="24"/>
      <c r="DO1027" s="24"/>
      <c r="DP1027" s="24"/>
      <c r="DQ1027" s="24"/>
      <c r="DR1027" s="24"/>
      <c r="DS1027" s="24"/>
      <c r="DT1027" s="24"/>
      <c r="DU1027" s="24"/>
    </row>
    <row r="1028" spans="1:125" s="8" customFormat="1" ht="36" x14ac:dyDescent="0.2">
      <c r="A1028" s="77">
        <v>41338</v>
      </c>
      <c r="B1028" s="176" t="s">
        <v>2196</v>
      </c>
      <c r="C1028" s="75" t="s">
        <v>777</v>
      </c>
      <c r="D1028" s="218" t="s">
        <v>2882</v>
      </c>
      <c r="E1028" s="75" t="str">
        <f>VLOOKUP(B1028&amp;C1028,Divipola!$C$2:$F$1138,4,FALSE)</f>
        <v>17777</v>
      </c>
      <c r="F1028" s="87"/>
      <c r="G1028" s="87"/>
      <c r="H1028" s="87"/>
      <c r="I1028" s="87">
        <v>105</v>
      </c>
      <c r="J1028" s="87">
        <v>21</v>
      </c>
      <c r="K1028" s="87"/>
      <c r="L1028" s="87">
        <v>21</v>
      </c>
      <c r="M1028" s="87"/>
      <c r="N1028" s="87"/>
      <c r="O1028" s="87"/>
      <c r="P1028" s="87"/>
      <c r="Q1028" s="87"/>
      <c r="R1028" s="87"/>
      <c r="S1028" s="87"/>
      <c r="T1028" s="179"/>
      <c r="U1028" s="180"/>
      <c r="V1028" s="155"/>
      <c r="W1028" s="96">
        <v>0</v>
      </c>
      <c r="X1028" s="71">
        <f>CU1028</f>
        <v>0</v>
      </c>
      <c r="Y1028" s="71">
        <f>CY1028</f>
        <v>0</v>
      </c>
      <c r="Z1028" s="71">
        <f>DA1028+DC1028+DE1028</f>
        <v>0</v>
      </c>
      <c r="AA1028" s="71">
        <f>CW1028</f>
        <v>0</v>
      </c>
      <c r="AB1028" s="71"/>
      <c r="AC1028" s="71">
        <v>0</v>
      </c>
      <c r="AD1028" s="71">
        <f>W1028+X1028+Y1028+Z1028+AA1028+AB1028+AC1028</f>
        <v>0</v>
      </c>
      <c r="AE1028" s="72">
        <v>0</v>
      </c>
      <c r="AF1028" s="5"/>
      <c r="AG1028" s="6"/>
      <c r="AH1028" s="27" t="s">
        <v>3392</v>
      </c>
      <c r="AI1028" s="44" t="s">
        <v>3393</v>
      </c>
      <c r="AJ1028" s="26"/>
      <c r="AK1028" s="5"/>
      <c r="AL1028" s="82" t="s">
        <v>3817</v>
      </c>
      <c r="AM1028" s="76"/>
      <c r="AN1028" s="76"/>
      <c r="AO1028" s="76"/>
      <c r="AP1028" s="76"/>
      <c r="AQ1028" s="76"/>
      <c r="AR1028" s="76"/>
      <c r="AS1028" s="76"/>
      <c r="AT1028" s="76"/>
      <c r="AU1028" s="76"/>
      <c r="AV1028" s="76"/>
      <c r="AW1028" s="76"/>
      <c r="AX1028" s="76">
        <f>+AW1028*600000</f>
        <v>0</v>
      </c>
      <c r="AY1028" s="76"/>
      <c r="AZ1028" s="76">
        <f>+AY1028*70000</f>
        <v>0</v>
      </c>
      <c r="BA1028" s="76"/>
      <c r="BB1028" s="76"/>
      <c r="BC1028" s="76"/>
      <c r="BD1028" s="76">
        <f>+BC1028*30000</f>
        <v>0</v>
      </c>
      <c r="BE1028" s="76"/>
      <c r="BF1028" s="76"/>
      <c r="BG1028" s="76"/>
      <c r="BH1028" s="76"/>
      <c r="BI1028" s="76"/>
      <c r="BJ1028" s="76"/>
      <c r="BK1028" s="76"/>
      <c r="BL1028" s="76">
        <f>+BK1028*31500</f>
        <v>0</v>
      </c>
      <c r="BM1028" s="76"/>
      <c r="BN1028" s="76"/>
      <c r="BO1028" s="76"/>
      <c r="BP1028" s="76"/>
      <c r="BQ1028" s="76"/>
      <c r="BR1028" s="76"/>
      <c r="BS1028" s="76"/>
      <c r="BT1028" s="76"/>
      <c r="BU1028" s="76"/>
      <c r="BV1028" s="76"/>
      <c r="BW1028" s="76"/>
      <c r="BX1028" s="76"/>
      <c r="BY1028" s="76"/>
      <c r="BZ1028" s="76"/>
      <c r="CA1028" s="76"/>
      <c r="CB1028" s="76"/>
      <c r="CC1028" s="76"/>
      <c r="CD1028" s="76"/>
      <c r="CE1028" s="76"/>
      <c r="CF1028" s="76">
        <f>+CE1028*28000</f>
        <v>0</v>
      </c>
      <c r="CG1028" s="76"/>
      <c r="CH1028" s="76">
        <f>+CG1028*22500</f>
        <v>0</v>
      </c>
      <c r="CI1028" s="76"/>
      <c r="CJ1028" s="76">
        <f>+CI1028*26000</f>
        <v>0</v>
      </c>
      <c r="CK1028" s="76"/>
      <c r="CL1028" s="76"/>
      <c r="CM1028" s="76"/>
      <c r="CN1028" s="76">
        <f>+CM1028*22000</f>
        <v>0</v>
      </c>
      <c r="CO1028" s="76"/>
      <c r="CP1028" s="76">
        <f>+CO1028*46000</f>
        <v>0</v>
      </c>
      <c r="CQ1028" s="76"/>
      <c r="CR1028" s="76">
        <f>+CQ1028*49000</f>
        <v>0</v>
      </c>
      <c r="CS1028" s="76"/>
      <c r="CT1028" s="76"/>
      <c r="CU1028" s="56">
        <f>AN1028+AP1028+AR1028+AT1028+AV1028+AX1028+AZ1028+BB1028+BD1028+BF1028+BH1028+BJ1028+BL1028+BN1028+BP1028+BR1028+BT1028+BV1028+BX1028+BZ1028+CB1028+CD1028+CF1028+CH1028+CJ1028+CL1028+CN1028+CP1028+CR1028+CT1028</f>
        <v>0</v>
      </c>
      <c r="CV1028" s="76"/>
      <c r="CW1028" s="76">
        <f>+CV1028*1100</f>
        <v>0</v>
      </c>
      <c r="CX1028" s="76"/>
      <c r="CY1028" s="76">
        <f>+CX1028*106250</f>
        <v>0</v>
      </c>
      <c r="CZ1028" s="76"/>
      <c r="DA1028" s="76">
        <f>+CZ1028*34500</f>
        <v>0</v>
      </c>
      <c r="DB1028" s="76"/>
      <c r="DC1028" s="76">
        <f>+DB1028*25000</f>
        <v>0</v>
      </c>
      <c r="DD1028" s="219"/>
      <c r="DE1028" s="219"/>
      <c r="DF1028" s="166"/>
      <c r="DG1028" s="116"/>
      <c r="DH1028" s="117"/>
      <c r="DI1028" s="24"/>
      <c r="DJ1028" s="24"/>
      <c r="DK1028" s="24"/>
      <c r="DL1028" s="24"/>
      <c r="DM1028" s="24"/>
      <c r="DN1028" s="24"/>
      <c r="DO1028" s="24"/>
      <c r="DP1028" s="24"/>
      <c r="DQ1028" s="24"/>
      <c r="DR1028" s="24"/>
      <c r="DS1028" s="24"/>
      <c r="DT1028" s="24"/>
      <c r="DU1028" s="24"/>
    </row>
    <row r="1029" spans="1:125" s="8" customFormat="1" ht="60" x14ac:dyDescent="0.2">
      <c r="A1029" s="226">
        <v>41338</v>
      </c>
      <c r="B1029" s="208" t="s">
        <v>2778</v>
      </c>
      <c r="C1029" s="227" t="s">
        <v>1343</v>
      </c>
      <c r="D1029" s="81" t="s">
        <v>2846</v>
      </c>
      <c r="E1029" s="75" t="str">
        <f>VLOOKUP(B1029&amp;C1029,Divipola!$C$2:$F$1138,4,FALSE)</f>
        <v>85139</v>
      </c>
      <c r="F1029" s="87"/>
      <c r="G1029" s="87"/>
      <c r="H1029" s="87"/>
      <c r="I1029" s="87"/>
      <c r="J1029" s="87"/>
      <c r="K1029" s="87"/>
      <c r="L1029" s="87"/>
      <c r="M1029" s="87"/>
      <c r="N1029" s="87"/>
      <c r="O1029" s="87"/>
      <c r="P1029" s="87"/>
      <c r="Q1029" s="87"/>
      <c r="R1029" s="87"/>
      <c r="S1029" s="87"/>
      <c r="T1029" s="87"/>
      <c r="U1029" s="88"/>
      <c r="V1029" s="89"/>
      <c r="W1029" s="96">
        <v>0</v>
      </c>
      <c r="X1029" s="71">
        <f>CU1029</f>
        <v>0</v>
      </c>
      <c r="Y1029" s="71">
        <f>CY1029</f>
        <v>0</v>
      </c>
      <c r="Z1029" s="71">
        <f>DA1029+DC1029+DE1029</f>
        <v>0</v>
      </c>
      <c r="AA1029" s="71">
        <f>CW1029</f>
        <v>0</v>
      </c>
      <c r="AB1029" s="71"/>
      <c r="AC1029" s="71">
        <v>0</v>
      </c>
      <c r="AD1029" s="71">
        <f>W1029+X1029+Y1029+Z1029+AA1029+AB1029+AC1029</f>
        <v>0</v>
      </c>
      <c r="AE1029" s="72">
        <v>0</v>
      </c>
      <c r="AF1029" s="5"/>
      <c r="AG1029" s="6"/>
      <c r="AH1029" s="27" t="s">
        <v>3392</v>
      </c>
      <c r="AI1029" s="44" t="s">
        <v>3393</v>
      </c>
      <c r="AJ1029" s="26"/>
      <c r="AK1029" s="5"/>
      <c r="AL1029" s="82" t="s">
        <v>3746</v>
      </c>
      <c r="AM1029" s="76"/>
      <c r="AN1029" s="76"/>
      <c r="AO1029" s="76"/>
      <c r="AP1029" s="76"/>
      <c r="AQ1029" s="76"/>
      <c r="AR1029" s="76"/>
      <c r="AS1029" s="76"/>
      <c r="AT1029" s="76"/>
      <c r="AU1029" s="76"/>
      <c r="AV1029" s="76"/>
      <c r="AW1029" s="76"/>
      <c r="AX1029" s="76">
        <f>+AW1029*600000</f>
        <v>0</v>
      </c>
      <c r="AY1029" s="76"/>
      <c r="AZ1029" s="76">
        <f>+AY1029*70000</f>
        <v>0</v>
      </c>
      <c r="BA1029" s="76"/>
      <c r="BB1029" s="76"/>
      <c r="BC1029" s="76"/>
      <c r="BD1029" s="76">
        <f>+BC1029*30000</f>
        <v>0</v>
      </c>
      <c r="BE1029" s="76"/>
      <c r="BF1029" s="76"/>
      <c r="BG1029" s="76"/>
      <c r="BH1029" s="76"/>
      <c r="BI1029" s="76"/>
      <c r="BJ1029" s="76"/>
      <c r="BK1029" s="76"/>
      <c r="BL1029" s="76">
        <f>+BK1029*31500</f>
        <v>0</v>
      </c>
      <c r="BM1029" s="76"/>
      <c r="BN1029" s="76"/>
      <c r="BO1029" s="76"/>
      <c r="BP1029" s="76"/>
      <c r="BQ1029" s="76"/>
      <c r="BR1029" s="76"/>
      <c r="BS1029" s="76"/>
      <c r="BT1029" s="76"/>
      <c r="BU1029" s="76"/>
      <c r="BV1029" s="76"/>
      <c r="BW1029" s="76"/>
      <c r="BX1029" s="76"/>
      <c r="BY1029" s="76"/>
      <c r="BZ1029" s="76"/>
      <c r="CA1029" s="76"/>
      <c r="CB1029" s="76"/>
      <c r="CC1029" s="76"/>
      <c r="CD1029" s="76"/>
      <c r="CE1029" s="76"/>
      <c r="CF1029" s="76">
        <f>+CE1029*28000</f>
        <v>0</v>
      </c>
      <c r="CG1029" s="76"/>
      <c r="CH1029" s="76">
        <f>+CG1029*22500</f>
        <v>0</v>
      </c>
      <c r="CI1029" s="76"/>
      <c r="CJ1029" s="76">
        <f>+CI1029*26000</f>
        <v>0</v>
      </c>
      <c r="CK1029" s="76"/>
      <c r="CL1029" s="76"/>
      <c r="CM1029" s="76"/>
      <c r="CN1029" s="76">
        <f>+CM1029*22000</f>
        <v>0</v>
      </c>
      <c r="CO1029" s="76"/>
      <c r="CP1029" s="76">
        <f>+CO1029*46000</f>
        <v>0</v>
      </c>
      <c r="CQ1029" s="76"/>
      <c r="CR1029" s="76">
        <f>+CQ1029*49000</f>
        <v>0</v>
      </c>
      <c r="CS1029" s="76"/>
      <c r="CT1029" s="76"/>
      <c r="CU1029" s="56">
        <f>AN1029+AP1029+AR1029+AT1029+AV1029+AX1029+AZ1029+BB1029+BD1029+BF1029+BH1029+BJ1029+BL1029+BN1029+BP1029+BR1029+BT1029+BV1029+BX1029+BZ1029+CB1029+CD1029+CF1029+CH1029+CJ1029+CL1029+CN1029+CP1029+CR1029+CT1029</f>
        <v>0</v>
      </c>
      <c r="CV1029" s="76"/>
      <c r="CW1029" s="76">
        <f>+CV1029*1100</f>
        <v>0</v>
      </c>
      <c r="CX1029" s="76"/>
      <c r="CY1029" s="76">
        <f>+CX1029*106250</f>
        <v>0</v>
      </c>
      <c r="CZ1029" s="76"/>
      <c r="DA1029" s="76">
        <f>+CZ1029*34500</f>
        <v>0</v>
      </c>
      <c r="DB1029" s="76"/>
      <c r="DC1029" s="76">
        <f>+DB1029*25000</f>
        <v>0</v>
      </c>
      <c r="DD1029" s="219"/>
      <c r="DE1029" s="219"/>
      <c r="DF1029" s="166"/>
      <c r="DG1029" s="116"/>
      <c r="DH1029" s="117"/>
      <c r="DI1029" s="24"/>
      <c r="DJ1029" s="24"/>
      <c r="DK1029" s="24"/>
      <c r="DL1029" s="24"/>
      <c r="DM1029" s="24"/>
      <c r="DN1029" s="24"/>
      <c r="DO1029" s="24"/>
      <c r="DP1029" s="24"/>
      <c r="DQ1029" s="24"/>
      <c r="DR1029" s="24"/>
      <c r="DS1029" s="24"/>
      <c r="DT1029" s="24"/>
      <c r="DU1029" s="24"/>
    </row>
    <row r="1030" spans="1:125" s="8" customFormat="1" ht="84" x14ac:dyDescent="0.2">
      <c r="A1030" s="226">
        <v>41338</v>
      </c>
      <c r="B1030" s="208" t="s">
        <v>2778</v>
      </c>
      <c r="C1030" s="227" t="s">
        <v>1344</v>
      </c>
      <c r="D1030" s="81" t="s">
        <v>2846</v>
      </c>
      <c r="E1030" s="75" t="str">
        <f>VLOOKUP(B1030&amp;C1030,Divipola!$C$2:$F$1138,4,FALSE)</f>
        <v>85001</v>
      </c>
      <c r="F1030" s="87"/>
      <c r="G1030" s="87"/>
      <c r="H1030" s="87"/>
      <c r="I1030" s="87"/>
      <c r="J1030" s="87"/>
      <c r="K1030" s="87"/>
      <c r="L1030" s="87"/>
      <c r="M1030" s="87"/>
      <c r="N1030" s="87"/>
      <c r="O1030" s="87"/>
      <c r="P1030" s="87"/>
      <c r="Q1030" s="87"/>
      <c r="R1030" s="87"/>
      <c r="S1030" s="87"/>
      <c r="T1030" s="87"/>
      <c r="U1030" s="88">
        <v>10</v>
      </c>
      <c r="V1030" s="89"/>
      <c r="W1030" s="96">
        <v>0</v>
      </c>
      <c r="X1030" s="71">
        <f>CU1030</f>
        <v>0</v>
      </c>
      <c r="Y1030" s="71">
        <f>CY1030</f>
        <v>0</v>
      </c>
      <c r="Z1030" s="71">
        <f>DA1030+DC1030+DE1030</f>
        <v>0</v>
      </c>
      <c r="AA1030" s="71">
        <f>CW1030</f>
        <v>0</v>
      </c>
      <c r="AB1030" s="71"/>
      <c r="AC1030" s="71">
        <v>0</v>
      </c>
      <c r="AD1030" s="71">
        <f>W1030+X1030+Y1030+Z1030+AA1030+AB1030+AC1030</f>
        <v>0</v>
      </c>
      <c r="AE1030" s="72">
        <v>0</v>
      </c>
      <c r="AF1030" s="5"/>
      <c r="AG1030" s="6"/>
      <c r="AH1030" s="27" t="s">
        <v>3392</v>
      </c>
      <c r="AI1030" s="44" t="s">
        <v>3393</v>
      </c>
      <c r="AJ1030" s="26"/>
      <c r="AK1030" s="5"/>
      <c r="AL1030" s="82" t="s">
        <v>3745</v>
      </c>
      <c r="AM1030" s="76"/>
      <c r="AN1030" s="76"/>
      <c r="AO1030" s="76"/>
      <c r="AP1030" s="76"/>
      <c r="AQ1030" s="76"/>
      <c r="AR1030" s="76"/>
      <c r="AS1030" s="76"/>
      <c r="AT1030" s="76"/>
      <c r="AU1030" s="76"/>
      <c r="AV1030" s="76"/>
      <c r="AW1030" s="76"/>
      <c r="AX1030" s="76">
        <f>+AW1030*600000</f>
        <v>0</v>
      </c>
      <c r="AY1030" s="76"/>
      <c r="AZ1030" s="76">
        <f>+AY1030*70000</f>
        <v>0</v>
      </c>
      <c r="BA1030" s="76"/>
      <c r="BB1030" s="76"/>
      <c r="BC1030" s="76"/>
      <c r="BD1030" s="76">
        <f>+BC1030*30000</f>
        <v>0</v>
      </c>
      <c r="BE1030" s="76"/>
      <c r="BF1030" s="76"/>
      <c r="BG1030" s="76"/>
      <c r="BH1030" s="76"/>
      <c r="BI1030" s="76"/>
      <c r="BJ1030" s="76"/>
      <c r="BK1030" s="76"/>
      <c r="BL1030" s="76">
        <f>+BK1030*31500</f>
        <v>0</v>
      </c>
      <c r="BM1030" s="76"/>
      <c r="BN1030" s="76"/>
      <c r="BO1030" s="76"/>
      <c r="BP1030" s="76"/>
      <c r="BQ1030" s="76"/>
      <c r="BR1030" s="76"/>
      <c r="BS1030" s="76"/>
      <c r="BT1030" s="76"/>
      <c r="BU1030" s="76"/>
      <c r="BV1030" s="76"/>
      <c r="BW1030" s="76"/>
      <c r="BX1030" s="76"/>
      <c r="BY1030" s="76"/>
      <c r="BZ1030" s="76"/>
      <c r="CA1030" s="76"/>
      <c r="CB1030" s="76"/>
      <c r="CC1030" s="76"/>
      <c r="CD1030" s="76"/>
      <c r="CE1030" s="76"/>
      <c r="CF1030" s="76">
        <f>+CE1030*28000</f>
        <v>0</v>
      </c>
      <c r="CG1030" s="76"/>
      <c r="CH1030" s="76">
        <f>+CG1030*22500</f>
        <v>0</v>
      </c>
      <c r="CI1030" s="76"/>
      <c r="CJ1030" s="76">
        <f>+CI1030*26000</f>
        <v>0</v>
      </c>
      <c r="CK1030" s="76"/>
      <c r="CL1030" s="76"/>
      <c r="CM1030" s="76"/>
      <c r="CN1030" s="76">
        <f>+CM1030*22000</f>
        <v>0</v>
      </c>
      <c r="CO1030" s="76"/>
      <c r="CP1030" s="76">
        <f>+CO1030*46000</f>
        <v>0</v>
      </c>
      <c r="CQ1030" s="76"/>
      <c r="CR1030" s="76">
        <f>+CQ1030*49000</f>
        <v>0</v>
      </c>
      <c r="CS1030" s="76"/>
      <c r="CT1030" s="76"/>
      <c r="CU1030" s="56">
        <f>AN1030+AP1030+AR1030+AT1030+AV1030+AX1030+AZ1030+BB1030+BD1030+BF1030+BH1030+BJ1030+BL1030+BN1030+BP1030+BR1030+BT1030+BV1030+BX1030+BZ1030+CB1030+CD1030+CF1030+CH1030+CJ1030+CL1030+CN1030+CP1030+CR1030+CT1030</f>
        <v>0</v>
      </c>
      <c r="CV1030" s="76"/>
      <c r="CW1030" s="76">
        <f>+CV1030*1100</f>
        <v>0</v>
      </c>
      <c r="CX1030" s="76"/>
      <c r="CY1030" s="76">
        <f>+CX1030*106250</f>
        <v>0</v>
      </c>
      <c r="CZ1030" s="76"/>
      <c r="DA1030" s="76">
        <f>+CZ1030*34500</f>
        <v>0</v>
      </c>
      <c r="DB1030" s="76"/>
      <c r="DC1030" s="76">
        <f>+DB1030*25000</f>
        <v>0</v>
      </c>
      <c r="DD1030" s="219"/>
      <c r="DE1030" s="219"/>
      <c r="DF1030" s="166"/>
      <c r="DG1030" s="116"/>
      <c r="DH1030" s="117"/>
      <c r="DI1030" s="24"/>
      <c r="DJ1030" s="24"/>
      <c r="DK1030" s="24"/>
      <c r="DL1030" s="24"/>
      <c r="DM1030" s="24"/>
      <c r="DN1030" s="24"/>
      <c r="DO1030" s="24"/>
      <c r="DP1030" s="24"/>
      <c r="DQ1030" s="24"/>
      <c r="DR1030" s="24"/>
      <c r="DS1030" s="24"/>
      <c r="DT1030" s="24"/>
      <c r="DU1030" s="24"/>
    </row>
    <row r="1031" spans="1:125" s="8" customFormat="1" ht="96" x14ac:dyDescent="0.2">
      <c r="A1031" s="353">
        <v>41338</v>
      </c>
      <c r="B1031" s="208" t="s">
        <v>2772</v>
      </c>
      <c r="C1031" s="354" t="s">
        <v>2134</v>
      </c>
      <c r="D1031" s="81" t="s">
        <v>2846</v>
      </c>
      <c r="E1031" s="75" t="str">
        <f>VLOOKUP(B1031&amp;C1031,Divipola!$C$2:$F$1138,4,FALSE)</f>
        <v>25175</v>
      </c>
      <c r="F1031" s="87"/>
      <c r="G1031" s="87"/>
      <c r="H1031" s="87"/>
      <c r="I1031" s="87"/>
      <c r="J1031" s="87"/>
      <c r="K1031" s="87"/>
      <c r="L1031" s="87"/>
      <c r="M1031" s="87"/>
      <c r="N1031" s="87"/>
      <c r="O1031" s="87"/>
      <c r="P1031" s="87"/>
      <c r="Q1031" s="87"/>
      <c r="R1031" s="87"/>
      <c r="S1031" s="87"/>
      <c r="T1031" s="87"/>
      <c r="U1031" s="88">
        <v>1.5</v>
      </c>
      <c r="V1031" s="89"/>
      <c r="W1031" s="96">
        <v>0</v>
      </c>
      <c r="X1031" s="71">
        <f>CU1031</f>
        <v>0</v>
      </c>
      <c r="Y1031" s="71">
        <f>CY1031</f>
        <v>0</v>
      </c>
      <c r="Z1031" s="71">
        <f>DA1031+DC1031+DE1031</f>
        <v>0</v>
      </c>
      <c r="AA1031" s="71">
        <f>CW1031</f>
        <v>0</v>
      </c>
      <c r="AB1031" s="71"/>
      <c r="AC1031" s="71">
        <v>0</v>
      </c>
      <c r="AD1031" s="71">
        <f>W1031+X1031+Y1031+Z1031+AA1031+AB1031+AC1031</f>
        <v>0</v>
      </c>
      <c r="AE1031" s="72">
        <v>0</v>
      </c>
      <c r="AF1031" s="5"/>
      <c r="AG1031" s="6"/>
      <c r="AH1031" s="27" t="s">
        <v>3392</v>
      </c>
      <c r="AI1031" s="44" t="s">
        <v>3393</v>
      </c>
      <c r="AJ1031" s="26"/>
      <c r="AK1031" s="5"/>
      <c r="AL1031" s="82" t="s">
        <v>3748</v>
      </c>
      <c r="AM1031" s="76"/>
      <c r="AN1031" s="76"/>
      <c r="AO1031" s="76"/>
      <c r="AP1031" s="76"/>
      <c r="AQ1031" s="76"/>
      <c r="AR1031" s="76"/>
      <c r="AS1031" s="76"/>
      <c r="AT1031" s="76"/>
      <c r="AU1031" s="76"/>
      <c r="AV1031" s="76"/>
      <c r="AW1031" s="76"/>
      <c r="AX1031" s="76">
        <f>+AW1031*600000</f>
        <v>0</v>
      </c>
      <c r="AY1031" s="76"/>
      <c r="AZ1031" s="76">
        <f>+AY1031*70000</f>
        <v>0</v>
      </c>
      <c r="BA1031" s="76"/>
      <c r="BB1031" s="76"/>
      <c r="BC1031" s="76"/>
      <c r="BD1031" s="76">
        <f>+BC1031*30000</f>
        <v>0</v>
      </c>
      <c r="BE1031" s="76"/>
      <c r="BF1031" s="76"/>
      <c r="BG1031" s="76"/>
      <c r="BH1031" s="76"/>
      <c r="BI1031" s="76"/>
      <c r="BJ1031" s="76"/>
      <c r="BK1031" s="76"/>
      <c r="BL1031" s="76">
        <f>+BK1031*31500</f>
        <v>0</v>
      </c>
      <c r="BM1031" s="76"/>
      <c r="BN1031" s="76"/>
      <c r="BO1031" s="76"/>
      <c r="BP1031" s="76"/>
      <c r="BQ1031" s="76"/>
      <c r="BR1031" s="76"/>
      <c r="BS1031" s="76"/>
      <c r="BT1031" s="76"/>
      <c r="BU1031" s="76"/>
      <c r="BV1031" s="76"/>
      <c r="BW1031" s="76"/>
      <c r="BX1031" s="76"/>
      <c r="BY1031" s="76"/>
      <c r="BZ1031" s="76"/>
      <c r="CA1031" s="76"/>
      <c r="CB1031" s="76"/>
      <c r="CC1031" s="76"/>
      <c r="CD1031" s="76"/>
      <c r="CE1031" s="76"/>
      <c r="CF1031" s="76">
        <f>+CE1031*28000</f>
        <v>0</v>
      </c>
      <c r="CG1031" s="76"/>
      <c r="CH1031" s="76">
        <f>+CG1031*22500</f>
        <v>0</v>
      </c>
      <c r="CI1031" s="76"/>
      <c r="CJ1031" s="76">
        <f>+CI1031*26000</f>
        <v>0</v>
      </c>
      <c r="CK1031" s="76"/>
      <c r="CL1031" s="76"/>
      <c r="CM1031" s="76"/>
      <c r="CN1031" s="76">
        <f>+CM1031*22000</f>
        <v>0</v>
      </c>
      <c r="CO1031" s="76"/>
      <c r="CP1031" s="76">
        <f>+CO1031*46000</f>
        <v>0</v>
      </c>
      <c r="CQ1031" s="76"/>
      <c r="CR1031" s="76">
        <f>+CQ1031*49000</f>
        <v>0</v>
      </c>
      <c r="CS1031" s="76"/>
      <c r="CT1031" s="76"/>
      <c r="CU1031" s="56">
        <f>AN1031+AP1031+AR1031+AT1031+AV1031+AX1031+AZ1031+BB1031+BD1031+BF1031+BH1031+BJ1031+BL1031+BN1031+BP1031+BR1031+BT1031+BV1031+BX1031+BZ1031+CB1031+CD1031+CF1031+CH1031+CJ1031+CL1031+CN1031+CP1031+CR1031+CT1031</f>
        <v>0</v>
      </c>
      <c r="CV1031" s="76"/>
      <c r="CW1031" s="76">
        <f>+CV1031*1100</f>
        <v>0</v>
      </c>
      <c r="CX1031" s="76"/>
      <c r="CY1031" s="76">
        <f>+CX1031*106250</f>
        <v>0</v>
      </c>
      <c r="CZ1031" s="76"/>
      <c r="DA1031" s="76">
        <f>+CZ1031*34500</f>
        <v>0</v>
      </c>
      <c r="DB1031" s="76"/>
      <c r="DC1031" s="76">
        <f>+DB1031*25000</f>
        <v>0</v>
      </c>
      <c r="DD1031" s="219"/>
      <c r="DE1031" s="219"/>
      <c r="DF1031" s="166"/>
      <c r="DG1031" s="116"/>
      <c r="DH1031" s="117"/>
      <c r="DI1031" s="24"/>
      <c r="DJ1031" s="24"/>
      <c r="DK1031" s="24"/>
      <c r="DL1031" s="24"/>
      <c r="DM1031" s="24"/>
      <c r="DN1031" s="24"/>
      <c r="DO1031" s="24"/>
      <c r="DP1031" s="24"/>
      <c r="DQ1031" s="24"/>
      <c r="DR1031" s="24"/>
      <c r="DS1031" s="24"/>
      <c r="DT1031" s="24"/>
      <c r="DU1031" s="24"/>
    </row>
    <row r="1032" spans="1:125" s="8" customFormat="1" ht="36" x14ac:dyDescent="0.2">
      <c r="A1032" s="77">
        <v>41338</v>
      </c>
      <c r="B1032" s="78" t="s">
        <v>2772</v>
      </c>
      <c r="C1032" s="75" t="s">
        <v>2154</v>
      </c>
      <c r="D1032" s="75" t="s">
        <v>3051</v>
      </c>
      <c r="E1032" s="75" t="str">
        <f>VLOOKUP(B1032&amp;C1032,Divipola!$C$2:$F$1138,4,FALSE)</f>
        <v>25862</v>
      </c>
      <c r="F1032" s="163"/>
      <c r="G1032" s="163"/>
      <c r="H1032" s="163"/>
      <c r="I1032" s="163"/>
      <c r="J1032" s="163"/>
      <c r="K1032" s="163"/>
      <c r="L1032" s="163"/>
      <c r="M1032" s="163"/>
      <c r="N1032" s="163"/>
      <c r="O1032" s="163"/>
      <c r="P1032" s="163"/>
      <c r="Q1032" s="163"/>
      <c r="R1032" s="163"/>
      <c r="S1032" s="163"/>
      <c r="T1032" s="163"/>
      <c r="U1032" s="163"/>
      <c r="V1032" s="134"/>
      <c r="W1032" s="96">
        <v>0</v>
      </c>
      <c r="X1032" s="71">
        <f>CU1032</f>
        <v>0</v>
      </c>
      <c r="Y1032" s="71">
        <f>CY1032</f>
        <v>0</v>
      </c>
      <c r="Z1032" s="71">
        <f>DA1032+DC1032+DE1032</f>
        <v>0</v>
      </c>
      <c r="AA1032" s="71">
        <f>CW1032</f>
        <v>0</v>
      </c>
      <c r="AB1032" s="71"/>
      <c r="AC1032" s="71">
        <v>30000000</v>
      </c>
      <c r="AD1032" s="71">
        <f>W1032+X1032+Y1032+Z1032+AA1032+AB1032+AC1032</f>
        <v>30000000</v>
      </c>
      <c r="AE1032" s="72">
        <v>0</v>
      </c>
      <c r="AF1032" s="5"/>
      <c r="AG1032" s="6"/>
      <c r="AH1032" s="27" t="s">
        <v>3390</v>
      </c>
      <c r="AI1032" s="44" t="s">
        <v>3391</v>
      </c>
      <c r="AJ1032" s="26"/>
      <c r="AK1032" s="5"/>
      <c r="AL1032" s="82" t="s">
        <v>3737</v>
      </c>
      <c r="AM1032" s="76"/>
      <c r="AN1032" s="76"/>
      <c r="AO1032" s="76"/>
      <c r="AP1032" s="76"/>
      <c r="AQ1032" s="76"/>
      <c r="AR1032" s="76"/>
      <c r="AS1032" s="76"/>
      <c r="AT1032" s="76"/>
      <c r="AU1032" s="76"/>
      <c r="AV1032" s="76"/>
      <c r="AW1032" s="76"/>
      <c r="AX1032" s="76">
        <f>+AW1032*600000</f>
        <v>0</v>
      </c>
      <c r="AY1032" s="76"/>
      <c r="AZ1032" s="76">
        <f>+AY1032*70000</f>
        <v>0</v>
      </c>
      <c r="BA1032" s="76"/>
      <c r="BB1032" s="76"/>
      <c r="BC1032" s="76"/>
      <c r="BD1032" s="76">
        <f>+BC1032*30000</f>
        <v>0</v>
      </c>
      <c r="BE1032" s="76"/>
      <c r="BF1032" s="76"/>
      <c r="BG1032" s="76"/>
      <c r="BH1032" s="76"/>
      <c r="BI1032" s="76"/>
      <c r="BJ1032" s="76"/>
      <c r="BK1032" s="76"/>
      <c r="BL1032" s="76">
        <f>+BK1032*31500</f>
        <v>0</v>
      </c>
      <c r="BM1032" s="76"/>
      <c r="BN1032" s="76"/>
      <c r="BO1032" s="76"/>
      <c r="BP1032" s="76"/>
      <c r="BQ1032" s="76"/>
      <c r="BR1032" s="76"/>
      <c r="BS1032" s="76"/>
      <c r="BT1032" s="76"/>
      <c r="BU1032" s="76"/>
      <c r="BV1032" s="76"/>
      <c r="BW1032" s="76"/>
      <c r="BX1032" s="76"/>
      <c r="BY1032" s="76"/>
      <c r="BZ1032" s="76"/>
      <c r="CA1032" s="76"/>
      <c r="CB1032" s="76"/>
      <c r="CC1032" s="76"/>
      <c r="CD1032" s="76"/>
      <c r="CE1032" s="76"/>
      <c r="CF1032" s="76">
        <f>+CE1032*28000</f>
        <v>0</v>
      </c>
      <c r="CG1032" s="76"/>
      <c r="CH1032" s="76">
        <f>+CG1032*22500</f>
        <v>0</v>
      </c>
      <c r="CI1032" s="76"/>
      <c r="CJ1032" s="76">
        <f>+CI1032*26000</f>
        <v>0</v>
      </c>
      <c r="CK1032" s="76"/>
      <c r="CL1032" s="76"/>
      <c r="CM1032" s="76"/>
      <c r="CN1032" s="76">
        <f>+CM1032*22000</f>
        <v>0</v>
      </c>
      <c r="CO1032" s="76"/>
      <c r="CP1032" s="76">
        <f>+CO1032*46000</f>
        <v>0</v>
      </c>
      <c r="CQ1032" s="76"/>
      <c r="CR1032" s="76">
        <f>+CQ1032*49000</f>
        <v>0</v>
      </c>
      <c r="CS1032" s="76"/>
      <c r="CT1032" s="76"/>
      <c r="CU1032" s="56">
        <f>AN1032+AP1032+AR1032+AT1032+AV1032+AX1032+AZ1032+BB1032+BD1032+BF1032+BH1032+BJ1032+BL1032+BN1032+BP1032+BR1032+BT1032+BV1032+BX1032+BZ1032+CB1032+CD1032+CF1032+CH1032+CJ1032+CL1032+CN1032+CP1032+CR1032+CT1032</f>
        <v>0</v>
      </c>
      <c r="CV1032" s="76"/>
      <c r="CW1032" s="76">
        <f>+CV1032*1100</f>
        <v>0</v>
      </c>
      <c r="CX1032" s="76"/>
      <c r="CY1032" s="76">
        <f>+CX1032*106250</f>
        <v>0</v>
      </c>
      <c r="CZ1032" s="76"/>
      <c r="DA1032" s="76">
        <f>+CZ1032*34500</f>
        <v>0</v>
      </c>
      <c r="DB1032" s="76"/>
      <c r="DC1032" s="76">
        <f>+DB1032*25000</f>
        <v>0</v>
      </c>
      <c r="DD1032" s="219"/>
      <c r="DE1032" s="219"/>
      <c r="DF1032" s="166" t="s">
        <v>3249</v>
      </c>
      <c r="DG1032" s="116"/>
      <c r="DH1032" s="117"/>
      <c r="DI1032" s="24"/>
      <c r="DJ1032" s="24"/>
      <c r="DK1032" s="24"/>
      <c r="DL1032" s="24"/>
      <c r="DM1032" s="24"/>
      <c r="DN1032" s="24"/>
      <c r="DO1032" s="24"/>
      <c r="DP1032" s="24"/>
      <c r="DQ1032" s="24"/>
      <c r="DR1032" s="24"/>
      <c r="DS1032" s="24"/>
      <c r="DT1032" s="24"/>
      <c r="DU1032" s="24"/>
    </row>
    <row r="1033" spans="1:125" s="8" customFormat="1" ht="84" x14ac:dyDescent="0.2">
      <c r="A1033" s="226">
        <v>41338</v>
      </c>
      <c r="B1033" s="187" t="s">
        <v>506</v>
      </c>
      <c r="C1033" s="51" t="s">
        <v>1333</v>
      </c>
      <c r="D1033" s="51" t="s">
        <v>2882</v>
      </c>
      <c r="E1033" s="75" t="str">
        <f>VLOOKUP(B1033&amp;C1033,Divipola!$C$2:$F$1138,4,FALSE)</f>
        <v>50313</v>
      </c>
      <c r="F1033" s="183"/>
      <c r="G1033" s="183"/>
      <c r="H1033" s="183"/>
      <c r="I1033" s="163">
        <v>415</v>
      </c>
      <c r="J1033" s="163">
        <v>83</v>
      </c>
      <c r="K1033" s="163">
        <v>3</v>
      </c>
      <c r="L1033" s="87">
        <v>80</v>
      </c>
      <c r="M1033" s="183"/>
      <c r="N1033" s="182"/>
      <c r="O1033" s="182"/>
      <c r="P1033" s="182"/>
      <c r="Q1033" s="182"/>
      <c r="R1033" s="182"/>
      <c r="S1033" s="182"/>
      <c r="T1033" s="182"/>
      <c r="U1033" s="184"/>
      <c r="V1033" s="185"/>
      <c r="W1033" s="96">
        <v>0</v>
      </c>
      <c r="X1033" s="71">
        <f>CU1033</f>
        <v>0</v>
      </c>
      <c r="Y1033" s="71">
        <f>CY1033</f>
        <v>0</v>
      </c>
      <c r="Z1033" s="71">
        <f>DA1033+DC1033+DE1033</f>
        <v>0</v>
      </c>
      <c r="AA1033" s="71">
        <f>CW1033</f>
        <v>0</v>
      </c>
      <c r="AB1033" s="71"/>
      <c r="AC1033" s="71">
        <v>0</v>
      </c>
      <c r="AD1033" s="71">
        <f>W1033+X1033+Y1033+Z1033+AA1033+AB1033+AC1033</f>
        <v>0</v>
      </c>
      <c r="AE1033" s="72">
        <v>0</v>
      </c>
      <c r="AF1033" s="5"/>
      <c r="AG1033" s="6"/>
      <c r="AH1033" s="27" t="s">
        <v>3392</v>
      </c>
      <c r="AI1033" s="44" t="s">
        <v>3393</v>
      </c>
      <c r="AJ1033" s="26"/>
      <c r="AK1033" s="5"/>
      <c r="AL1033" s="82" t="s">
        <v>3839</v>
      </c>
      <c r="AM1033" s="76"/>
      <c r="AN1033" s="76"/>
      <c r="AO1033" s="76"/>
      <c r="AP1033" s="76"/>
      <c r="AQ1033" s="76"/>
      <c r="AR1033" s="76"/>
      <c r="AS1033" s="76"/>
      <c r="AT1033" s="76"/>
      <c r="AU1033" s="76"/>
      <c r="AV1033" s="76"/>
      <c r="AW1033" s="76"/>
      <c r="AX1033" s="76">
        <f>+AW1033*600000</f>
        <v>0</v>
      </c>
      <c r="AY1033" s="76"/>
      <c r="AZ1033" s="76">
        <f>+AY1033*70000</f>
        <v>0</v>
      </c>
      <c r="BA1033" s="76"/>
      <c r="BB1033" s="76"/>
      <c r="BC1033" s="76"/>
      <c r="BD1033" s="76">
        <f>+BC1033*30000</f>
        <v>0</v>
      </c>
      <c r="BE1033" s="76"/>
      <c r="BF1033" s="76"/>
      <c r="BG1033" s="76"/>
      <c r="BH1033" s="76"/>
      <c r="BI1033" s="76"/>
      <c r="BJ1033" s="76"/>
      <c r="BK1033" s="76"/>
      <c r="BL1033" s="76">
        <f>+BK1033*31500</f>
        <v>0</v>
      </c>
      <c r="BM1033" s="76"/>
      <c r="BN1033" s="76"/>
      <c r="BO1033" s="76"/>
      <c r="BP1033" s="76"/>
      <c r="BQ1033" s="76"/>
      <c r="BR1033" s="76"/>
      <c r="BS1033" s="76"/>
      <c r="BT1033" s="76"/>
      <c r="BU1033" s="76"/>
      <c r="BV1033" s="76"/>
      <c r="BW1033" s="76"/>
      <c r="BX1033" s="76"/>
      <c r="BY1033" s="76"/>
      <c r="BZ1033" s="76"/>
      <c r="CA1033" s="76"/>
      <c r="CB1033" s="76"/>
      <c r="CC1033" s="76"/>
      <c r="CD1033" s="76"/>
      <c r="CE1033" s="76"/>
      <c r="CF1033" s="76">
        <f>+CE1033*28000</f>
        <v>0</v>
      </c>
      <c r="CG1033" s="76"/>
      <c r="CH1033" s="76">
        <f>+CG1033*22500</f>
        <v>0</v>
      </c>
      <c r="CI1033" s="76"/>
      <c r="CJ1033" s="76">
        <f>+CI1033*26000</f>
        <v>0</v>
      </c>
      <c r="CK1033" s="76"/>
      <c r="CL1033" s="76"/>
      <c r="CM1033" s="76"/>
      <c r="CN1033" s="76">
        <f>+CM1033*22000</f>
        <v>0</v>
      </c>
      <c r="CO1033" s="76"/>
      <c r="CP1033" s="76">
        <f>+CO1033*46000</f>
        <v>0</v>
      </c>
      <c r="CQ1033" s="76"/>
      <c r="CR1033" s="76">
        <f>+CQ1033*49000</f>
        <v>0</v>
      </c>
      <c r="CS1033" s="76"/>
      <c r="CT1033" s="76"/>
      <c r="CU1033" s="56">
        <f>AN1033+AP1033+AR1033+AT1033+AV1033+AX1033+AZ1033+BB1033+BD1033+BF1033+BH1033+BJ1033+BL1033+BN1033+BP1033+BR1033+BT1033+BV1033+BX1033+BZ1033+CB1033+CD1033+CF1033+CH1033+CJ1033+CL1033+CN1033+CP1033+CR1033+CT1033</f>
        <v>0</v>
      </c>
      <c r="CV1033" s="76"/>
      <c r="CW1033" s="76">
        <f>+CV1033*1100</f>
        <v>0</v>
      </c>
      <c r="CX1033" s="76"/>
      <c r="CY1033" s="76">
        <f>+CX1033*106250</f>
        <v>0</v>
      </c>
      <c r="CZ1033" s="76"/>
      <c r="DA1033" s="76">
        <f>+CZ1033*34500</f>
        <v>0</v>
      </c>
      <c r="DB1033" s="76"/>
      <c r="DC1033" s="76">
        <f>+DB1033*25000</f>
        <v>0</v>
      </c>
      <c r="DD1033" s="219"/>
      <c r="DE1033" s="219"/>
      <c r="DF1033" s="166"/>
      <c r="DG1033" s="116"/>
      <c r="DH1033" s="117"/>
      <c r="DI1033" s="24"/>
      <c r="DJ1033" s="24"/>
      <c r="DK1033" s="24"/>
      <c r="DL1033" s="24"/>
      <c r="DM1033" s="24"/>
      <c r="DN1033" s="24"/>
      <c r="DO1033" s="24"/>
      <c r="DP1033" s="24"/>
      <c r="DQ1033" s="24"/>
      <c r="DR1033" s="24"/>
      <c r="DS1033" s="24"/>
      <c r="DT1033" s="24"/>
      <c r="DU1033" s="24"/>
    </row>
    <row r="1034" spans="1:125" s="8" customFormat="1" ht="60" x14ac:dyDescent="0.2">
      <c r="A1034" s="77">
        <v>41338</v>
      </c>
      <c r="B1034" s="78" t="s">
        <v>3131</v>
      </c>
      <c r="C1034" s="75" t="s">
        <v>2279</v>
      </c>
      <c r="D1034" s="75" t="s">
        <v>3051</v>
      </c>
      <c r="E1034" s="75" t="str">
        <f>VLOOKUP(B1034&amp;C1034,Divipola!$C$2:$F$1138,4,FALSE)</f>
        <v>86865</v>
      </c>
      <c r="F1034" s="163"/>
      <c r="G1034" s="163"/>
      <c r="H1034" s="163"/>
      <c r="I1034" s="163"/>
      <c r="J1034" s="163"/>
      <c r="K1034" s="163"/>
      <c r="L1034" s="163"/>
      <c r="M1034" s="163"/>
      <c r="N1034" s="163"/>
      <c r="O1034" s="163"/>
      <c r="P1034" s="163"/>
      <c r="Q1034" s="163"/>
      <c r="R1034" s="163"/>
      <c r="S1034" s="163"/>
      <c r="T1034" s="163"/>
      <c r="U1034" s="163"/>
      <c r="V1034" s="134"/>
      <c r="W1034" s="96">
        <v>0</v>
      </c>
      <c r="X1034" s="71">
        <f>CU1034</f>
        <v>0</v>
      </c>
      <c r="Y1034" s="71">
        <f>CY1034</f>
        <v>0</v>
      </c>
      <c r="Z1034" s="71">
        <f>DA1034+DC1034+DE1034</f>
        <v>0</v>
      </c>
      <c r="AA1034" s="71">
        <f>CW1034</f>
        <v>0</v>
      </c>
      <c r="AB1034" s="71"/>
      <c r="AC1034" s="71">
        <v>150000000</v>
      </c>
      <c r="AD1034" s="71">
        <f>W1034+X1034+Y1034+Z1034+AA1034+AB1034+AC1034</f>
        <v>150000000</v>
      </c>
      <c r="AE1034" s="72">
        <v>0</v>
      </c>
      <c r="AF1034" s="5"/>
      <c r="AG1034" s="6"/>
      <c r="AH1034" s="27" t="s">
        <v>3390</v>
      </c>
      <c r="AI1034" s="44" t="s">
        <v>3391</v>
      </c>
      <c r="AJ1034" s="26"/>
      <c r="AK1034" s="5"/>
      <c r="AL1034" s="82" t="s">
        <v>3729</v>
      </c>
      <c r="AM1034" s="76"/>
      <c r="AN1034" s="76"/>
      <c r="AO1034" s="76"/>
      <c r="AP1034" s="76"/>
      <c r="AQ1034" s="76"/>
      <c r="AR1034" s="76"/>
      <c r="AS1034" s="76"/>
      <c r="AT1034" s="76"/>
      <c r="AU1034" s="76"/>
      <c r="AV1034" s="76"/>
      <c r="AW1034" s="76"/>
      <c r="AX1034" s="76">
        <f>+AW1034*600000</f>
        <v>0</v>
      </c>
      <c r="AY1034" s="76"/>
      <c r="AZ1034" s="76">
        <f>+AY1034*70000</f>
        <v>0</v>
      </c>
      <c r="BA1034" s="76"/>
      <c r="BB1034" s="76"/>
      <c r="BC1034" s="76"/>
      <c r="BD1034" s="76">
        <f>+BC1034*30000</f>
        <v>0</v>
      </c>
      <c r="BE1034" s="76"/>
      <c r="BF1034" s="76"/>
      <c r="BG1034" s="76"/>
      <c r="BH1034" s="76"/>
      <c r="BI1034" s="76"/>
      <c r="BJ1034" s="76"/>
      <c r="BK1034" s="76"/>
      <c r="BL1034" s="76">
        <f>+BK1034*31500</f>
        <v>0</v>
      </c>
      <c r="BM1034" s="76"/>
      <c r="BN1034" s="76"/>
      <c r="BO1034" s="76"/>
      <c r="BP1034" s="76"/>
      <c r="BQ1034" s="76"/>
      <c r="BR1034" s="76"/>
      <c r="BS1034" s="76"/>
      <c r="BT1034" s="76"/>
      <c r="BU1034" s="76"/>
      <c r="BV1034" s="76"/>
      <c r="BW1034" s="76"/>
      <c r="BX1034" s="76"/>
      <c r="BY1034" s="76"/>
      <c r="BZ1034" s="76"/>
      <c r="CA1034" s="76"/>
      <c r="CB1034" s="76"/>
      <c r="CC1034" s="76"/>
      <c r="CD1034" s="76"/>
      <c r="CE1034" s="76"/>
      <c r="CF1034" s="76">
        <f>+CE1034*28000</f>
        <v>0</v>
      </c>
      <c r="CG1034" s="76"/>
      <c r="CH1034" s="76">
        <f>+CG1034*22500</f>
        <v>0</v>
      </c>
      <c r="CI1034" s="76"/>
      <c r="CJ1034" s="76">
        <f>+CI1034*26000</f>
        <v>0</v>
      </c>
      <c r="CK1034" s="76"/>
      <c r="CL1034" s="76"/>
      <c r="CM1034" s="76"/>
      <c r="CN1034" s="76">
        <f>+CM1034*22000</f>
        <v>0</v>
      </c>
      <c r="CO1034" s="76"/>
      <c r="CP1034" s="76">
        <f>+CO1034*46000</f>
        <v>0</v>
      </c>
      <c r="CQ1034" s="76"/>
      <c r="CR1034" s="76">
        <f>+CQ1034*49000</f>
        <v>0</v>
      </c>
      <c r="CS1034" s="76"/>
      <c r="CT1034" s="76"/>
      <c r="CU1034" s="56">
        <f>AN1034+AP1034+AR1034+AT1034+AV1034+AX1034+AZ1034+BB1034+BD1034+BF1034+BH1034+BJ1034+BL1034+BN1034+BP1034+BR1034+BT1034+BV1034+BX1034+BZ1034+CB1034+CD1034+CF1034+CH1034+CJ1034+CL1034+CN1034+CP1034+CR1034+CT1034</f>
        <v>0</v>
      </c>
      <c r="CV1034" s="76"/>
      <c r="CW1034" s="76">
        <f>+CV1034*1100</f>
        <v>0</v>
      </c>
      <c r="CX1034" s="76"/>
      <c r="CY1034" s="76">
        <f>+CX1034*106250</f>
        <v>0</v>
      </c>
      <c r="CZ1034" s="76"/>
      <c r="DA1034" s="76">
        <f>+CZ1034*34500</f>
        <v>0</v>
      </c>
      <c r="DB1034" s="76"/>
      <c r="DC1034" s="76">
        <f>+DB1034*25000</f>
        <v>0</v>
      </c>
      <c r="DD1034" s="219"/>
      <c r="DE1034" s="219"/>
      <c r="DF1034" s="166" t="s">
        <v>3247</v>
      </c>
      <c r="DG1034" s="116"/>
      <c r="DH1034" s="117"/>
      <c r="DI1034" s="24"/>
      <c r="DJ1034" s="24"/>
      <c r="DK1034" s="24"/>
      <c r="DL1034" s="24"/>
      <c r="DM1034" s="24"/>
      <c r="DN1034" s="24"/>
      <c r="DO1034" s="24"/>
      <c r="DP1034" s="24"/>
      <c r="DQ1034" s="24"/>
      <c r="DR1034" s="24"/>
      <c r="DS1034" s="24"/>
      <c r="DT1034" s="24"/>
      <c r="DU1034" s="24"/>
    </row>
    <row r="1035" spans="1:125" s="8" customFormat="1" ht="60" x14ac:dyDescent="0.2">
      <c r="A1035" s="77">
        <v>41338</v>
      </c>
      <c r="B1035" s="352" t="s">
        <v>2860</v>
      </c>
      <c r="C1035" s="354" t="s">
        <v>2776</v>
      </c>
      <c r="D1035" s="354" t="s">
        <v>2859</v>
      </c>
      <c r="E1035" s="75" t="str">
        <f>VLOOKUP(B1035&amp;C1035,Divipola!$C$2:$F$1138,4,FALSE)</f>
        <v>63001</v>
      </c>
      <c r="F1035" s="87"/>
      <c r="G1035" s="87">
        <v>1</v>
      </c>
      <c r="H1035" s="87"/>
      <c r="I1035" s="87"/>
      <c r="J1035" s="87"/>
      <c r="K1035" s="87"/>
      <c r="L1035" s="87"/>
      <c r="M1035" s="87"/>
      <c r="N1035" s="87"/>
      <c r="O1035" s="87"/>
      <c r="P1035" s="87"/>
      <c r="Q1035" s="87"/>
      <c r="R1035" s="87"/>
      <c r="S1035" s="87"/>
      <c r="T1035" s="87"/>
      <c r="U1035" s="88"/>
      <c r="V1035" s="89"/>
      <c r="W1035" s="96">
        <v>0</v>
      </c>
      <c r="X1035" s="71">
        <f>CU1035</f>
        <v>0</v>
      </c>
      <c r="Y1035" s="71">
        <f>CY1035</f>
        <v>0</v>
      </c>
      <c r="Z1035" s="71">
        <f>DA1035+DC1035+DE1035</f>
        <v>0</v>
      </c>
      <c r="AA1035" s="71">
        <f>CW1035</f>
        <v>0</v>
      </c>
      <c r="AB1035" s="71"/>
      <c r="AC1035" s="71">
        <v>0</v>
      </c>
      <c r="AD1035" s="71">
        <f>W1035+X1035+Y1035+Z1035+AA1035+AB1035+AC1035</f>
        <v>0</v>
      </c>
      <c r="AE1035" s="72">
        <v>0</v>
      </c>
      <c r="AF1035" s="5"/>
      <c r="AG1035" s="6"/>
      <c r="AH1035" s="27" t="s">
        <v>3392</v>
      </c>
      <c r="AI1035" s="44" t="s">
        <v>3393</v>
      </c>
      <c r="AJ1035" s="26"/>
      <c r="AK1035" s="5"/>
      <c r="AL1035" s="82" t="s">
        <v>3753</v>
      </c>
      <c r="AM1035" s="76"/>
      <c r="AN1035" s="76"/>
      <c r="AO1035" s="76"/>
      <c r="AP1035" s="76"/>
      <c r="AQ1035" s="76"/>
      <c r="AR1035" s="76"/>
      <c r="AS1035" s="76"/>
      <c r="AT1035" s="76"/>
      <c r="AU1035" s="76"/>
      <c r="AV1035" s="76"/>
      <c r="AW1035" s="76"/>
      <c r="AX1035" s="76">
        <f>+AW1035*600000</f>
        <v>0</v>
      </c>
      <c r="AY1035" s="76"/>
      <c r="AZ1035" s="76">
        <f>+AY1035*70000</f>
        <v>0</v>
      </c>
      <c r="BA1035" s="76"/>
      <c r="BB1035" s="76"/>
      <c r="BC1035" s="76"/>
      <c r="BD1035" s="76">
        <f>+BC1035*30000</f>
        <v>0</v>
      </c>
      <c r="BE1035" s="76"/>
      <c r="BF1035" s="76"/>
      <c r="BG1035" s="76"/>
      <c r="BH1035" s="76"/>
      <c r="BI1035" s="76"/>
      <c r="BJ1035" s="76"/>
      <c r="BK1035" s="76"/>
      <c r="BL1035" s="76">
        <f>+BK1035*31500</f>
        <v>0</v>
      </c>
      <c r="BM1035" s="76"/>
      <c r="BN1035" s="76"/>
      <c r="BO1035" s="76"/>
      <c r="BP1035" s="76"/>
      <c r="BQ1035" s="76"/>
      <c r="BR1035" s="76"/>
      <c r="BS1035" s="76"/>
      <c r="BT1035" s="76"/>
      <c r="BU1035" s="76"/>
      <c r="BV1035" s="76"/>
      <c r="BW1035" s="76"/>
      <c r="BX1035" s="76"/>
      <c r="BY1035" s="76"/>
      <c r="BZ1035" s="76"/>
      <c r="CA1035" s="76"/>
      <c r="CB1035" s="76"/>
      <c r="CC1035" s="76"/>
      <c r="CD1035" s="76"/>
      <c r="CE1035" s="76"/>
      <c r="CF1035" s="76">
        <f>+CE1035*28000</f>
        <v>0</v>
      </c>
      <c r="CG1035" s="76"/>
      <c r="CH1035" s="76">
        <f>+CG1035*22500</f>
        <v>0</v>
      </c>
      <c r="CI1035" s="76"/>
      <c r="CJ1035" s="76">
        <f>+CI1035*26000</f>
        <v>0</v>
      </c>
      <c r="CK1035" s="76"/>
      <c r="CL1035" s="76"/>
      <c r="CM1035" s="76"/>
      <c r="CN1035" s="76">
        <f>+CM1035*22000</f>
        <v>0</v>
      </c>
      <c r="CO1035" s="76"/>
      <c r="CP1035" s="76">
        <f>+CO1035*46000</f>
        <v>0</v>
      </c>
      <c r="CQ1035" s="76"/>
      <c r="CR1035" s="76">
        <f>+CQ1035*49000</f>
        <v>0</v>
      </c>
      <c r="CS1035" s="76"/>
      <c r="CT1035" s="76"/>
      <c r="CU1035" s="56">
        <f>AN1035+AP1035+AR1035+AT1035+AV1035+AX1035+AZ1035+BB1035+BD1035+BF1035+BH1035+BJ1035+BL1035+BN1035+BP1035+BR1035+BT1035+BV1035+BX1035+BZ1035+CB1035+CD1035+CF1035+CH1035+CJ1035+CL1035+CN1035+CP1035+CR1035+CT1035</f>
        <v>0</v>
      </c>
      <c r="CV1035" s="76"/>
      <c r="CW1035" s="76">
        <f>+CV1035*1100</f>
        <v>0</v>
      </c>
      <c r="CX1035" s="76"/>
      <c r="CY1035" s="76">
        <f>+CX1035*106250</f>
        <v>0</v>
      </c>
      <c r="CZ1035" s="76"/>
      <c r="DA1035" s="76">
        <f>+CZ1035*34500</f>
        <v>0</v>
      </c>
      <c r="DB1035" s="76"/>
      <c r="DC1035" s="76">
        <f>+DB1035*25000</f>
        <v>0</v>
      </c>
      <c r="DD1035" s="219"/>
      <c r="DE1035" s="219"/>
      <c r="DF1035" s="166"/>
      <c r="DG1035" s="116"/>
      <c r="DH1035" s="117"/>
      <c r="DI1035" s="24"/>
      <c r="DJ1035" s="24"/>
      <c r="DK1035" s="24"/>
      <c r="DL1035" s="24"/>
      <c r="DM1035" s="24"/>
      <c r="DN1035" s="24"/>
      <c r="DO1035" s="24"/>
      <c r="DP1035" s="24"/>
      <c r="DQ1035" s="24"/>
      <c r="DR1035" s="24"/>
      <c r="DS1035" s="24"/>
      <c r="DT1035" s="24"/>
      <c r="DU1035" s="24"/>
    </row>
    <row r="1036" spans="1:125" s="8" customFormat="1" ht="84" x14ac:dyDescent="0.2">
      <c r="A1036" s="353">
        <v>41338</v>
      </c>
      <c r="B1036" s="208" t="s">
        <v>2860</v>
      </c>
      <c r="C1036" s="354" t="s">
        <v>2776</v>
      </c>
      <c r="D1036" s="81" t="s">
        <v>2846</v>
      </c>
      <c r="E1036" s="75" t="str">
        <f>VLOOKUP(B1036&amp;C1036,Divipola!$C$2:$F$1138,4,FALSE)</f>
        <v>63001</v>
      </c>
      <c r="F1036" s="87"/>
      <c r="G1036" s="87"/>
      <c r="H1036" s="87"/>
      <c r="I1036" s="87"/>
      <c r="J1036" s="87"/>
      <c r="K1036" s="87"/>
      <c r="L1036" s="87"/>
      <c r="M1036" s="87"/>
      <c r="N1036" s="87"/>
      <c r="O1036" s="87"/>
      <c r="P1036" s="87"/>
      <c r="Q1036" s="87"/>
      <c r="R1036" s="87"/>
      <c r="S1036" s="87"/>
      <c r="T1036" s="87"/>
      <c r="U1036" s="88"/>
      <c r="V1036" s="89"/>
      <c r="W1036" s="96">
        <v>0</v>
      </c>
      <c r="X1036" s="71">
        <f>CU1036</f>
        <v>0</v>
      </c>
      <c r="Y1036" s="71">
        <f>CY1036</f>
        <v>0</v>
      </c>
      <c r="Z1036" s="71">
        <f>DA1036+DC1036+DE1036</f>
        <v>0</v>
      </c>
      <c r="AA1036" s="71">
        <f>CW1036</f>
        <v>0</v>
      </c>
      <c r="AB1036" s="71"/>
      <c r="AC1036" s="71">
        <v>0</v>
      </c>
      <c r="AD1036" s="71">
        <f>W1036+X1036+Y1036+Z1036+AA1036+AB1036+AC1036</f>
        <v>0</v>
      </c>
      <c r="AE1036" s="72">
        <v>0</v>
      </c>
      <c r="AF1036" s="5"/>
      <c r="AG1036" s="6"/>
      <c r="AH1036" s="27" t="s">
        <v>3392</v>
      </c>
      <c r="AI1036" s="44" t="s">
        <v>3393</v>
      </c>
      <c r="AJ1036" s="26"/>
      <c r="AK1036" s="5"/>
      <c r="AL1036" s="82" t="s">
        <v>3747</v>
      </c>
      <c r="AM1036" s="76"/>
      <c r="AN1036" s="76"/>
      <c r="AO1036" s="76"/>
      <c r="AP1036" s="76"/>
      <c r="AQ1036" s="76"/>
      <c r="AR1036" s="76"/>
      <c r="AS1036" s="76"/>
      <c r="AT1036" s="76"/>
      <c r="AU1036" s="76"/>
      <c r="AV1036" s="76"/>
      <c r="AW1036" s="76"/>
      <c r="AX1036" s="76">
        <f>+AW1036*600000</f>
        <v>0</v>
      </c>
      <c r="AY1036" s="76"/>
      <c r="AZ1036" s="76">
        <f>+AY1036*70000</f>
        <v>0</v>
      </c>
      <c r="BA1036" s="76"/>
      <c r="BB1036" s="76"/>
      <c r="BC1036" s="76"/>
      <c r="BD1036" s="76">
        <f>+BC1036*30000</f>
        <v>0</v>
      </c>
      <c r="BE1036" s="76"/>
      <c r="BF1036" s="76"/>
      <c r="BG1036" s="76"/>
      <c r="BH1036" s="76"/>
      <c r="BI1036" s="76"/>
      <c r="BJ1036" s="76"/>
      <c r="BK1036" s="76"/>
      <c r="BL1036" s="76">
        <f>+BK1036*31500</f>
        <v>0</v>
      </c>
      <c r="BM1036" s="76"/>
      <c r="BN1036" s="76"/>
      <c r="BO1036" s="76"/>
      <c r="BP1036" s="76"/>
      <c r="BQ1036" s="76"/>
      <c r="BR1036" s="76"/>
      <c r="BS1036" s="76"/>
      <c r="BT1036" s="76"/>
      <c r="BU1036" s="76"/>
      <c r="BV1036" s="76"/>
      <c r="BW1036" s="76"/>
      <c r="BX1036" s="76"/>
      <c r="BY1036" s="76"/>
      <c r="BZ1036" s="76"/>
      <c r="CA1036" s="76"/>
      <c r="CB1036" s="76"/>
      <c r="CC1036" s="76"/>
      <c r="CD1036" s="76"/>
      <c r="CE1036" s="76"/>
      <c r="CF1036" s="76">
        <f>+CE1036*28000</f>
        <v>0</v>
      </c>
      <c r="CG1036" s="76"/>
      <c r="CH1036" s="76">
        <f>+CG1036*22500</f>
        <v>0</v>
      </c>
      <c r="CI1036" s="76"/>
      <c r="CJ1036" s="76">
        <f>+CI1036*26000</f>
        <v>0</v>
      </c>
      <c r="CK1036" s="76"/>
      <c r="CL1036" s="76"/>
      <c r="CM1036" s="76"/>
      <c r="CN1036" s="76">
        <f>+CM1036*22000</f>
        <v>0</v>
      </c>
      <c r="CO1036" s="76"/>
      <c r="CP1036" s="76">
        <f>+CO1036*46000</f>
        <v>0</v>
      </c>
      <c r="CQ1036" s="76"/>
      <c r="CR1036" s="76">
        <f>+CQ1036*49000</f>
        <v>0</v>
      </c>
      <c r="CS1036" s="76"/>
      <c r="CT1036" s="76"/>
      <c r="CU1036" s="56">
        <f>AN1036+AP1036+AR1036+AT1036+AV1036+AX1036+AZ1036+BB1036+BD1036+BF1036+BH1036+BJ1036+BL1036+BN1036+BP1036+BR1036+BT1036+BV1036+BX1036+BZ1036+CB1036+CD1036+CF1036+CH1036+CJ1036+CL1036+CN1036+CP1036+CR1036+CT1036</f>
        <v>0</v>
      </c>
      <c r="CV1036" s="76"/>
      <c r="CW1036" s="76">
        <f>+CV1036*1100</f>
        <v>0</v>
      </c>
      <c r="CX1036" s="76"/>
      <c r="CY1036" s="76">
        <f>+CX1036*106250</f>
        <v>0</v>
      </c>
      <c r="CZ1036" s="76"/>
      <c r="DA1036" s="76">
        <f>+CZ1036*34500</f>
        <v>0</v>
      </c>
      <c r="DB1036" s="76"/>
      <c r="DC1036" s="76">
        <f>+DB1036*25000</f>
        <v>0</v>
      </c>
      <c r="DD1036" s="219"/>
      <c r="DE1036" s="219"/>
      <c r="DF1036" s="166"/>
      <c r="DG1036" s="116"/>
      <c r="DH1036" s="117"/>
      <c r="DI1036" s="24"/>
      <c r="DJ1036" s="24"/>
      <c r="DK1036" s="24"/>
      <c r="DL1036" s="24"/>
      <c r="DM1036" s="24"/>
      <c r="DN1036" s="24"/>
      <c r="DO1036" s="24"/>
      <c r="DP1036" s="24"/>
      <c r="DQ1036" s="24"/>
      <c r="DR1036" s="24"/>
      <c r="DS1036" s="24"/>
      <c r="DT1036" s="24"/>
      <c r="DU1036" s="24"/>
    </row>
    <row r="1037" spans="1:125" s="8" customFormat="1" ht="72" x14ac:dyDescent="0.2">
      <c r="A1037" s="226">
        <v>41338</v>
      </c>
      <c r="B1037" s="208" t="s">
        <v>2847</v>
      </c>
      <c r="C1037" s="227" t="s">
        <v>2673</v>
      </c>
      <c r="D1037" s="81" t="s">
        <v>2846</v>
      </c>
      <c r="E1037" s="75" t="str">
        <f>VLOOKUP(B1037&amp;C1037,Divipola!$C$2:$F$1138,4,FALSE)</f>
        <v>68001</v>
      </c>
      <c r="F1037" s="87"/>
      <c r="G1037" s="87"/>
      <c r="H1037" s="87"/>
      <c r="I1037" s="87"/>
      <c r="J1037" s="87"/>
      <c r="K1037" s="87"/>
      <c r="L1037" s="87"/>
      <c r="M1037" s="87"/>
      <c r="N1037" s="87"/>
      <c r="O1037" s="87"/>
      <c r="P1037" s="87"/>
      <c r="Q1037" s="87"/>
      <c r="R1037" s="87"/>
      <c r="S1037" s="87"/>
      <c r="T1037" s="87"/>
      <c r="U1037" s="88"/>
      <c r="V1037" s="89"/>
      <c r="W1037" s="96">
        <v>0</v>
      </c>
      <c r="X1037" s="71">
        <f>CU1037</f>
        <v>0</v>
      </c>
      <c r="Y1037" s="71">
        <f>CY1037</f>
        <v>0</v>
      </c>
      <c r="Z1037" s="71">
        <f>DA1037+DC1037+DE1037</f>
        <v>0</v>
      </c>
      <c r="AA1037" s="71">
        <f>CW1037</f>
        <v>0</v>
      </c>
      <c r="AB1037" s="71"/>
      <c r="AC1037" s="71">
        <v>0</v>
      </c>
      <c r="AD1037" s="71">
        <f>W1037+X1037+Y1037+Z1037+AA1037+AB1037+AC1037</f>
        <v>0</v>
      </c>
      <c r="AE1037" s="72">
        <v>0</v>
      </c>
      <c r="AF1037" s="5"/>
      <c r="AG1037" s="6"/>
      <c r="AH1037" s="27" t="s">
        <v>3392</v>
      </c>
      <c r="AI1037" s="44" t="s">
        <v>3393</v>
      </c>
      <c r="AJ1037" s="26"/>
      <c r="AK1037" s="5"/>
      <c r="AL1037" s="82" t="s">
        <v>3749</v>
      </c>
      <c r="AM1037" s="76"/>
      <c r="AN1037" s="76"/>
      <c r="AO1037" s="76"/>
      <c r="AP1037" s="76"/>
      <c r="AQ1037" s="76"/>
      <c r="AR1037" s="76"/>
      <c r="AS1037" s="76"/>
      <c r="AT1037" s="76"/>
      <c r="AU1037" s="76"/>
      <c r="AV1037" s="76"/>
      <c r="AW1037" s="76"/>
      <c r="AX1037" s="76">
        <f>+AW1037*600000</f>
        <v>0</v>
      </c>
      <c r="AY1037" s="76"/>
      <c r="AZ1037" s="76">
        <f>+AY1037*70000</f>
        <v>0</v>
      </c>
      <c r="BA1037" s="76"/>
      <c r="BB1037" s="76"/>
      <c r="BC1037" s="76"/>
      <c r="BD1037" s="76">
        <f>+BC1037*30000</f>
        <v>0</v>
      </c>
      <c r="BE1037" s="76"/>
      <c r="BF1037" s="76"/>
      <c r="BG1037" s="76"/>
      <c r="BH1037" s="76"/>
      <c r="BI1037" s="76"/>
      <c r="BJ1037" s="76"/>
      <c r="BK1037" s="76"/>
      <c r="BL1037" s="76">
        <f>+BK1037*31500</f>
        <v>0</v>
      </c>
      <c r="BM1037" s="76"/>
      <c r="BN1037" s="76"/>
      <c r="BO1037" s="76"/>
      <c r="BP1037" s="76"/>
      <c r="BQ1037" s="76"/>
      <c r="BR1037" s="76"/>
      <c r="BS1037" s="76"/>
      <c r="BT1037" s="76"/>
      <c r="BU1037" s="76"/>
      <c r="BV1037" s="76"/>
      <c r="BW1037" s="76"/>
      <c r="BX1037" s="76"/>
      <c r="BY1037" s="76"/>
      <c r="BZ1037" s="76"/>
      <c r="CA1037" s="76"/>
      <c r="CB1037" s="76"/>
      <c r="CC1037" s="76"/>
      <c r="CD1037" s="76"/>
      <c r="CE1037" s="76"/>
      <c r="CF1037" s="76">
        <f>+CE1037*28000</f>
        <v>0</v>
      </c>
      <c r="CG1037" s="76"/>
      <c r="CH1037" s="76">
        <f>+CG1037*22500</f>
        <v>0</v>
      </c>
      <c r="CI1037" s="76"/>
      <c r="CJ1037" s="76">
        <f>+CI1037*26000</f>
        <v>0</v>
      </c>
      <c r="CK1037" s="76"/>
      <c r="CL1037" s="76"/>
      <c r="CM1037" s="76"/>
      <c r="CN1037" s="76">
        <f>+CM1037*22000</f>
        <v>0</v>
      </c>
      <c r="CO1037" s="76"/>
      <c r="CP1037" s="76">
        <f>+CO1037*46000</f>
        <v>0</v>
      </c>
      <c r="CQ1037" s="76"/>
      <c r="CR1037" s="76">
        <f>+CQ1037*49000</f>
        <v>0</v>
      </c>
      <c r="CS1037" s="76"/>
      <c r="CT1037" s="76"/>
      <c r="CU1037" s="56">
        <f>AN1037+AP1037+AR1037+AT1037+AV1037+AX1037+AZ1037+BB1037+BD1037+BF1037+BH1037+BJ1037+BL1037+BN1037+BP1037+BR1037+BT1037+BV1037+BX1037+BZ1037+CB1037+CD1037+CF1037+CH1037+CJ1037+CL1037+CN1037+CP1037+CR1037+CT1037</f>
        <v>0</v>
      </c>
      <c r="CV1037" s="76"/>
      <c r="CW1037" s="76">
        <f>+CV1037*1100</f>
        <v>0</v>
      </c>
      <c r="CX1037" s="76"/>
      <c r="CY1037" s="76">
        <f>+CX1037*106250</f>
        <v>0</v>
      </c>
      <c r="CZ1037" s="76"/>
      <c r="DA1037" s="76">
        <f>+CZ1037*34500</f>
        <v>0</v>
      </c>
      <c r="DB1037" s="76"/>
      <c r="DC1037" s="76">
        <f>+DB1037*25000</f>
        <v>0</v>
      </c>
      <c r="DD1037" s="219"/>
      <c r="DE1037" s="219"/>
      <c r="DF1037" s="166"/>
      <c r="DG1037" s="116"/>
      <c r="DH1037" s="117"/>
      <c r="DI1037" s="24"/>
      <c r="DJ1037" s="24"/>
      <c r="DK1037" s="24"/>
      <c r="DL1037" s="24"/>
      <c r="DM1037" s="24"/>
      <c r="DN1037" s="24"/>
      <c r="DO1037" s="24"/>
      <c r="DP1037" s="24"/>
      <c r="DQ1037" s="24"/>
      <c r="DR1037" s="24"/>
      <c r="DS1037" s="24"/>
      <c r="DT1037" s="24"/>
      <c r="DU1037" s="24"/>
    </row>
    <row r="1038" spans="1:125" s="8" customFormat="1" ht="409.5" x14ac:dyDescent="0.2">
      <c r="A1038" s="77">
        <v>41338</v>
      </c>
      <c r="B1038" s="78" t="s">
        <v>2847</v>
      </c>
      <c r="C1038" s="75" t="s">
        <v>2796</v>
      </c>
      <c r="D1038" s="81" t="s">
        <v>2846</v>
      </c>
      <c r="E1038" s="75" t="str">
        <f>VLOOKUP(B1038&amp;C1038,Divipola!$C$2:$F$1138,4,FALSE)</f>
        <v>68444</v>
      </c>
      <c r="F1038" s="87"/>
      <c r="G1038" s="87"/>
      <c r="H1038" s="87"/>
      <c r="I1038" s="87"/>
      <c r="J1038" s="87"/>
      <c r="K1038" s="87"/>
      <c r="L1038" s="87"/>
      <c r="M1038" s="87"/>
      <c r="N1038" s="87"/>
      <c r="O1038" s="87"/>
      <c r="P1038" s="87"/>
      <c r="Q1038" s="87"/>
      <c r="R1038" s="87"/>
      <c r="S1038" s="87"/>
      <c r="T1038" s="87"/>
      <c r="U1038" s="88">
        <v>190</v>
      </c>
      <c r="V1038" s="89"/>
      <c r="W1038" s="96">
        <v>0</v>
      </c>
      <c r="X1038" s="71">
        <f>CU1038</f>
        <v>0</v>
      </c>
      <c r="Y1038" s="71">
        <f>CY1038</f>
        <v>0</v>
      </c>
      <c r="Z1038" s="71">
        <f>DA1038+DC1038+DE1038</f>
        <v>0</v>
      </c>
      <c r="AA1038" s="71">
        <f>CW1038</f>
        <v>0</v>
      </c>
      <c r="AB1038" s="71"/>
      <c r="AC1038" s="71">
        <v>0</v>
      </c>
      <c r="AD1038" s="71">
        <f>W1038+X1038+Y1038+Z1038+AA1038+AB1038+AC1038</f>
        <v>0</v>
      </c>
      <c r="AE1038" s="72">
        <v>0</v>
      </c>
      <c r="AF1038" s="5"/>
      <c r="AG1038" s="6"/>
      <c r="AH1038" s="27" t="s">
        <v>3392</v>
      </c>
      <c r="AI1038" s="44" t="s">
        <v>3393</v>
      </c>
      <c r="AJ1038" s="26"/>
      <c r="AK1038" s="5"/>
      <c r="AL1038" s="82" t="s">
        <v>3952</v>
      </c>
      <c r="AM1038" s="76"/>
      <c r="AN1038" s="76"/>
      <c r="AO1038" s="76"/>
      <c r="AP1038" s="76"/>
      <c r="AQ1038" s="76"/>
      <c r="AR1038" s="76"/>
      <c r="AS1038" s="76"/>
      <c r="AT1038" s="76"/>
      <c r="AU1038" s="76"/>
      <c r="AV1038" s="76"/>
      <c r="AW1038" s="76"/>
      <c r="AX1038" s="76">
        <f>+AW1038*600000</f>
        <v>0</v>
      </c>
      <c r="AY1038" s="76"/>
      <c r="AZ1038" s="76">
        <f>+AY1038*70000</f>
        <v>0</v>
      </c>
      <c r="BA1038" s="76"/>
      <c r="BB1038" s="76"/>
      <c r="BC1038" s="76"/>
      <c r="BD1038" s="76">
        <f>+BC1038*30000</f>
        <v>0</v>
      </c>
      <c r="BE1038" s="76"/>
      <c r="BF1038" s="76"/>
      <c r="BG1038" s="76"/>
      <c r="BH1038" s="76"/>
      <c r="BI1038" s="76"/>
      <c r="BJ1038" s="76"/>
      <c r="BK1038" s="76"/>
      <c r="BL1038" s="76">
        <f>+BK1038*31500</f>
        <v>0</v>
      </c>
      <c r="BM1038" s="76"/>
      <c r="BN1038" s="76"/>
      <c r="BO1038" s="76"/>
      <c r="BP1038" s="76"/>
      <c r="BQ1038" s="76"/>
      <c r="BR1038" s="76"/>
      <c r="BS1038" s="76"/>
      <c r="BT1038" s="76"/>
      <c r="BU1038" s="76"/>
      <c r="BV1038" s="76"/>
      <c r="BW1038" s="76"/>
      <c r="BX1038" s="76"/>
      <c r="BY1038" s="76"/>
      <c r="BZ1038" s="76"/>
      <c r="CA1038" s="76"/>
      <c r="CB1038" s="76"/>
      <c r="CC1038" s="76"/>
      <c r="CD1038" s="76"/>
      <c r="CE1038" s="76"/>
      <c r="CF1038" s="76">
        <f>+CE1038*28000</f>
        <v>0</v>
      </c>
      <c r="CG1038" s="76"/>
      <c r="CH1038" s="76">
        <f>+CG1038*22500</f>
        <v>0</v>
      </c>
      <c r="CI1038" s="76"/>
      <c r="CJ1038" s="76">
        <f>+CI1038*26000</f>
        <v>0</v>
      </c>
      <c r="CK1038" s="76"/>
      <c r="CL1038" s="76"/>
      <c r="CM1038" s="76"/>
      <c r="CN1038" s="76">
        <f>+CM1038*22000</f>
        <v>0</v>
      </c>
      <c r="CO1038" s="76"/>
      <c r="CP1038" s="76">
        <f>+CO1038*46000</f>
        <v>0</v>
      </c>
      <c r="CQ1038" s="76"/>
      <c r="CR1038" s="76">
        <f>+CQ1038*49000</f>
        <v>0</v>
      </c>
      <c r="CS1038" s="76"/>
      <c r="CT1038" s="76"/>
      <c r="CU1038" s="56">
        <f>AN1038+AP1038+AR1038+AT1038+AV1038+AX1038+AZ1038+BB1038+BD1038+BF1038+BH1038+BJ1038+BL1038+BN1038+BP1038+BR1038+BT1038+BV1038+BX1038+BZ1038+CB1038+CD1038+CF1038+CH1038+CJ1038+CL1038+CN1038+CP1038+CR1038+CT1038</f>
        <v>0</v>
      </c>
      <c r="CV1038" s="76"/>
      <c r="CW1038" s="76">
        <f>+CV1038*1100</f>
        <v>0</v>
      </c>
      <c r="CX1038" s="76"/>
      <c r="CY1038" s="76">
        <f>+CX1038*106250</f>
        <v>0</v>
      </c>
      <c r="CZ1038" s="76"/>
      <c r="DA1038" s="76">
        <f>+CZ1038*34500</f>
        <v>0</v>
      </c>
      <c r="DB1038" s="76"/>
      <c r="DC1038" s="76">
        <f>+DB1038*25000</f>
        <v>0</v>
      </c>
      <c r="DD1038" s="219"/>
      <c r="DE1038" s="219"/>
      <c r="DF1038" s="166"/>
      <c r="DG1038" s="116"/>
      <c r="DH1038" s="117"/>
      <c r="DI1038" s="24"/>
      <c r="DJ1038" s="24"/>
      <c r="DK1038" s="24"/>
      <c r="DL1038" s="24"/>
      <c r="DM1038" s="24"/>
      <c r="DN1038" s="24"/>
      <c r="DO1038" s="24"/>
      <c r="DP1038" s="24"/>
      <c r="DQ1038" s="24"/>
      <c r="DR1038" s="24"/>
      <c r="DS1038" s="24"/>
      <c r="DT1038" s="24"/>
      <c r="DU1038" s="24"/>
    </row>
    <row r="1039" spans="1:125" s="8" customFormat="1" ht="84" x14ac:dyDescent="0.2">
      <c r="A1039" s="77">
        <v>41338</v>
      </c>
      <c r="B1039" s="78" t="s">
        <v>2851</v>
      </c>
      <c r="C1039" s="75" t="s">
        <v>2754</v>
      </c>
      <c r="D1039" s="84" t="s">
        <v>3088</v>
      </c>
      <c r="E1039" s="75" t="str">
        <f>VLOOKUP(B1039&amp;C1039,Divipola!$C$2:$F$1138,4,FALSE)</f>
        <v>76109</v>
      </c>
      <c r="F1039" s="87"/>
      <c r="G1039" s="87"/>
      <c r="H1039" s="87"/>
      <c r="I1039" s="87"/>
      <c r="J1039" s="87"/>
      <c r="K1039" s="87"/>
      <c r="L1039" s="87"/>
      <c r="M1039" s="87">
        <v>1</v>
      </c>
      <c r="N1039" s="87"/>
      <c r="O1039" s="87"/>
      <c r="P1039" s="87"/>
      <c r="Q1039" s="87"/>
      <c r="R1039" s="87"/>
      <c r="S1039" s="87"/>
      <c r="T1039" s="87"/>
      <c r="U1039" s="88"/>
      <c r="V1039" s="89"/>
      <c r="W1039" s="96">
        <v>0</v>
      </c>
      <c r="X1039" s="71">
        <f>CU1039</f>
        <v>0</v>
      </c>
      <c r="Y1039" s="71">
        <f>CY1039</f>
        <v>0</v>
      </c>
      <c r="Z1039" s="71">
        <f>DA1039+DC1039+DE1039</f>
        <v>0</v>
      </c>
      <c r="AA1039" s="71">
        <f>CW1039</f>
        <v>0</v>
      </c>
      <c r="AB1039" s="71"/>
      <c r="AC1039" s="71">
        <v>0</v>
      </c>
      <c r="AD1039" s="71">
        <f>W1039+X1039+Y1039+Z1039+AA1039+AB1039+AC1039</f>
        <v>0</v>
      </c>
      <c r="AE1039" s="72">
        <v>0</v>
      </c>
      <c r="AF1039" s="5"/>
      <c r="AG1039" s="6"/>
      <c r="AH1039" s="27" t="s">
        <v>3392</v>
      </c>
      <c r="AI1039" s="44" t="s">
        <v>3393</v>
      </c>
      <c r="AJ1039" s="26"/>
      <c r="AK1039" s="5"/>
      <c r="AL1039" s="82" t="s">
        <v>3743</v>
      </c>
      <c r="AM1039" s="76"/>
      <c r="AN1039" s="76"/>
      <c r="AO1039" s="76"/>
      <c r="AP1039" s="76"/>
      <c r="AQ1039" s="76"/>
      <c r="AR1039" s="76"/>
      <c r="AS1039" s="76"/>
      <c r="AT1039" s="76"/>
      <c r="AU1039" s="76"/>
      <c r="AV1039" s="76"/>
      <c r="AW1039" s="76"/>
      <c r="AX1039" s="76">
        <f>+AW1039*600000</f>
        <v>0</v>
      </c>
      <c r="AY1039" s="76"/>
      <c r="AZ1039" s="76">
        <f>+AY1039*70000</f>
        <v>0</v>
      </c>
      <c r="BA1039" s="76"/>
      <c r="BB1039" s="76"/>
      <c r="BC1039" s="76"/>
      <c r="BD1039" s="76">
        <f>+BC1039*30000</f>
        <v>0</v>
      </c>
      <c r="BE1039" s="76"/>
      <c r="BF1039" s="76"/>
      <c r="BG1039" s="76"/>
      <c r="BH1039" s="76"/>
      <c r="BI1039" s="76"/>
      <c r="BJ1039" s="76"/>
      <c r="BK1039" s="76"/>
      <c r="BL1039" s="76">
        <f>+BK1039*31500</f>
        <v>0</v>
      </c>
      <c r="BM1039" s="76"/>
      <c r="BN1039" s="76"/>
      <c r="BO1039" s="76"/>
      <c r="BP1039" s="76"/>
      <c r="BQ1039" s="76"/>
      <c r="BR1039" s="76"/>
      <c r="BS1039" s="76"/>
      <c r="BT1039" s="76"/>
      <c r="BU1039" s="76"/>
      <c r="BV1039" s="76"/>
      <c r="BW1039" s="76"/>
      <c r="BX1039" s="76"/>
      <c r="BY1039" s="76"/>
      <c r="BZ1039" s="76"/>
      <c r="CA1039" s="76"/>
      <c r="CB1039" s="76"/>
      <c r="CC1039" s="76"/>
      <c r="CD1039" s="76"/>
      <c r="CE1039" s="76"/>
      <c r="CF1039" s="76">
        <f>+CE1039*28000</f>
        <v>0</v>
      </c>
      <c r="CG1039" s="76"/>
      <c r="CH1039" s="76">
        <f>+CG1039*22500</f>
        <v>0</v>
      </c>
      <c r="CI1039" s="76"/>
      <c r="CJ1039" s="76">
        <f>+CI1039*26000</f>
        <v>0</v>
      </c>
      <c r="CK1039" s="76"/>
      <c r="CL1039" s="76"/>
      <c r="CM1039" s="76"/>
      <c r="CN1039" s="76">
        <f>+CM1039*22000</f>
        <v>0</v>
      </c>
      <c r="CO1039" s="76"/>
      <c r="CP1039" s="76">
        <f>+CO1039*46000</f>
        <v>0</v>
      </c>
      <c r="CQ1039" s="76"/>
      <c r="CR1039" s="76">
        <f>+CQ1039*49000</f>
        <v>0</v>
      </c>
      <c r="CS1039" s="76"/>
      <c r="CT1039" s="76"/>
      <c r="CU1039" s="56">
        <f>AN1039+AP1039+AR1039+AT1039+AV1039+AX1039+AZ1039+BB1039+BD1039+BF1039+BH1039+BJ1039+BL1039+BN1039+BP1039+BR1039+BT1039+BV1039+BX1039+BZ1039+CB1039+CD1039+CF1039+CH1039+CJ1039+CL1039+CN1039+CP1039+CR1039+CT1039</f>
        <v>0</v>
      </c>
      <c r="CV1039" s="76"/>
      <c r="CW1039" s="76">
        <f>+CV1039*1100</f>
        <v>0</v>
      </c>
      <c r="CX1039" s="76"/>
      <c r="CY1039" s="76">
        <f>+CX1039*106250</f>
        <v>0</v>
      </c>
      <c r="CZ1039" s="76"/>
      <c r="DA1039" s="76">
        <f>+CZ1039*34500</f>
        <v>0</v>
      </c>
      <c r="DB1039" s="76"/>
      <c r="DC1039" s="76">
        <f>+DB1039*25000</f>
        <v>0</v>
      </c>
      <c r="DD1039" s="219"/>
      <c r="DE1039" s="219"/>
      <c r="DF1039" s="166"/>
      <c r="DG1039" s="116"/>
      <c r="DH1039" s="117"/>
      <c r="DI1039" s="24"/>
      <c r="DJ1039" s="24"/>
      <c r="DK1039" s="24"/>
      <c r="DL1039" s="24"/>
      <c r="DM1039" s="24"/>
      <c r="DN1039" s="24"/>
      <c r="DO1039" s="24"/>
      <c r="DP1039" s="24"/>
      <c r="DQ1039" s="24"/>
      <c r="DR1039" s="24"/>
      <c r="DS1039" s="24"/>
      <c r="DT1039" s="24"/>
      <c r="DU1039" s="24"/>
    </row>
    <row r="1040" spans="1:125" s="8" customFormat="1" ht="60" x14ac:dyDescent="0.2">
      <c r="A1040" s="226">
        <v>41339</v>
      </c>
      <c r="B1040" s="51" t="s">
        <v>2036</v>
      </c>
      <c r="C1040" s="51" t="s">
        <v>2753</v>
      </c>
      <c r="D1040" s="81" t="s">
        <v>2846</v>
      </c>
      <c r="E1040" s="75" t="str">
        <f>VLOOKUP(B1040&amp;C1040,Divipola!$C$2:$F$1138,4,FALSE)</f>
        <v>81736</v>
      </c>
      <c r="F1040" s="186"/>
      <c r="G1040" s="183"/>
      <c r="H1040" s="183"/>
      <c r="I1040" s="183"/>
      <c r="J1040" s="183"/>
      <c r="K1040" s="183"/>
      <c r="L1040" s="183"/>
      <c r="M1040" s="183"/>
      <c r="N1040" s="182"/>
      <c r="O1040" s="182"/>
      <c r="P1040" s="182"/>
      <c r="Q1040" s="182"/>
      <c r="R1040" s="182"/>
      <c r="S1040" s="182"/>
      <c r="T1040" s="182"/>
      <c r="U1040" s="184">
        <v>34</v>
      </c>
      <c r="V1040" s="185"/>
      <c r="W1040" s="96">
        <v>0</v>
      </c>
      <c r="X1040" s="71">
        <f>CU1040</f>
        <v>0</v>
      </c>
      <c r="Y1040" s="71">
        <f>CY1040</f>
        <v>0</v>
      </c>
      <c r="Z1040" s="71">
        <f>DA1040+DC1040+DE1040</f>
        <v>0</v>
      </c>
      <c r="AA1040" s="71">
        <f>CW1040</f>
        <v>0</v>
      </c>
      <c r="AB1040" s="71"/>
      <c r="AC1040" s="71">
        <v>0</v>
      </c>
      <c r="AD1040" s="71">
        <f>W1040+X1040+Y1040+Z1040+AA1040+AB1040+AC1040</f>
        <v>0</v>
      </c>
      <c r="AE1040" s="72">
        <v>0</v>
      </c>
      <c r="AF1040" s="5"/>
      <c r="AG1040" s="6"/>
      <c r="AH1040" s="27" t="s">
        <v>3392</v>
      </c>
      <c r="AI1040" s="44" t="s">
        <v>3393</v>
      </c>
      <c r="AJ1040" s="26"/>
      <c r="AK1040" s="5"/>
      <c r="AL1040" s="82" t="s">
        <v>3834</v>
      </c>
      <c r="AM1040" s="76"/>
      <c r="AN1040" s="76"/>
      <c r="AO1040" s="76"/>
      <c r="AP1040" s="76"/>
      <c r="AQ1040" s="76"/>
      <c r="AR1040" s="76"/>
      <c r="AS1040" s="76"/>
      <c r="AT1040" s="76"/>
      <c r="AU1040" s="76"/>
      <c r="AV1040" s="76"/>
      <c r="AW1040" s="76"/>
      <c r="AX1040" s="76">
        <f>+AW1040*600000</f>
        <v>0</v>
      </c>
      <c r="AY1040" s="76"/>
      <c r="AZ1040" s="76">
        <f>+AY1040*70000</f>
        <v>0</v>
      </c>
      <c r="BA1040" s="76"/>
      <c r="BB1040" s="76"/>
      <c r="BC1040" s="76"/>
      <c r="BD1040" s="76">
        <f>+BC1040*30000</f>
        <v>0</v>
      </c>
      <c r="BE1040" s="76"/>
      <c r="BF1040" s="76"/>
      <c r="BG1040" s="76"/>
      <c r="BH1040" s="76"/>
      <c r="BI1040" s="76"/>
      <c r="BJ1040" s="76"/>
      <c r="BK1040" s="76"/>
      <c r="BL1040" s="76">
        <f>+BK1040*31500</f>
        <v>0</v>
      </c>
      <c r="BM1040" s="76"/>
      <c r="BN1040" s="76"/>
      <c r="BO1040" s="76"/>
      <c r="BP1040" s="76"/>
      <c r="BQ1040" s="76"/>
      <c r="BR1040" s="76"/>
      <c r="BS1040" s="76"/>
      <c r="BT1040" s="76"/>
      <c r="BU1040" s="76"/>
      <c r="BV1040" s="76"/>
      <c r="BW1040" s="76"/>
      <c r="BX1040" s="76"/>
      <c r="BY1040" s="76"/>
      <c r="BZ1040" s="76"/>
      <c r="CA1040" s="76"/>
      <c r="CB1040" s="76"/>
      <c r="CC1040" s="76"/>
      <c r="CD1040" s="76"/>
      <c r="CE1040" s="76"/>
      <c r="CF1040" s="76">
        <f>+CE1040*28000</f>
        <v>0</v>
      </c>
      <c r="CG1040" s="76"/>
      <c r="CH1040" s="76">
        <f>+CG1040*22500</f>
        <v>0</v>
      </c>
      <c r="CI1040" s="76"/>
      <c r="CJ1040" s="76">
        <f>+CI1040*26000</f>
        <v>0</v>
      </c>
      <c r="CK1040" s="76"/>
      <c r="CL1040" s="76"/>
      <c r="CM1040" s="76"/>
      <c r="CN1040" s="76">
        <f>+CM1040*22000</f>
        <v>0</v>
      </c>
      <c r="CO1040" s="76"/>
      <c r="CP1040" s="76">
        <f>+CO1040*46000</f>
        <v>0</v>
      </c>
      <c r="CQ1040" s="76"/>
      <c r="CR1040" s="76">
        <f>+CQ1040*49000</f>
        <v>0</v>
      </c>
      <c r="CS1040" s="76"/>
      <c r="CT1040" s="76"/>
      <c r="CU1040" s="56">
        <f>AN1040+AP1040+AR1040+AT1040+AV1040+AX1040+AZ1040+BB1040+BD1040+BF1040+BH1040+BJ1040+BL1040+BN1040+BP1040+BR1040+BT1040+BV1040+BX1040+BZ1040+CB1040+CD1040+CF1040+CH1040+CJ1040+CL1040+CN1040+CP1040+CR1040+CT1040</f>
        <v>0</v>
      </c>
      <c r="CV1040" s="76"/>
      <c r="CW1040" s="76">
        <f>+CV1040*1100</f>
        <v>0</v>
      </c>
      <c r="CX1040" s="76"/>
      <c r="CY1040" s="76">
        <f>+CX1040*106250</f>
        <v>0</v>
      </c>
      <c r="CZ1040" s="76"/>
      <c r="DA1040" s="76">
        <f>+CZ1040*34500</f>
        <v>0</v>
      </c>
      <c r="DB1040" s="76"/>
      <c r="DC1040" s="76">
        <f>+DB1040*25000</f>
        <v>0</v>
      </c>
      <c r="DD1040" s="219"/>
      <c r="DE1040" s="219"/>
      <c r="DF1040" s="166"/>
      <c r="DG1040" s="116"/>
      <c r="DH1040" s="117"/>
      <c r="DI1040" s="24"/>
      <c r="DJ1040" s="24"/>
      <c r="DK1040" s="24"/>
      <c r="DL1040" s="24"/>
      <c r="DM1040" s="24"/>
      <c r="DN1040" s="24"/>
      <c r="DO1040" s="24"/>
      <c r="DP1040" s="24"/>
      <c r="DQ1040" s="24"/>
      <c r="DR1040" s="24"/>
      <c r="DS1040" s="24"/>
      <c r="DT1040" s="24"/>
      <c r="DU1040" s="24"/>
    </row>
    <row r="1041" spans="1:125" s="8" customFormat="1" ht="48" x14ac:dyDescent="0.2">
      <c r="A1041" s="77">
        <v>41339</v>
      </c>
      <c r="B1041" s="78" t="s">
        <v>2196</v>
      </c>
      <c r="C1041" s="75" t="s">
        <v>764</v>
      </c>
      <c r="D1041" s="75" t="s">
        <v>3051</v>
      </c>
      <c r="E1041" s="75" t="str">
        <f>VLOOKUP(B1041&amp;C1041,Divipola!$C$2:$F$1138,4,FALSE)</f>
        <v>17541</v>
      </c>
      <c r="F1041" s="163"/>
      <c r="G1041" s="163"/>
      <c r="H1041" s="163"/>
      <c r="I1041" s="163"/>
      <c r="J1041" s="163"/>
      <c r="K1041" s="163"/>
      <c r="L1041" s="163"/>
      <c r="M1041" s="163"/>
      <c r="N1041" s="163"/>
      <c r="O1041" s="163"/>
      <c r="P1041" s="163"/>
      <c r="Q1041" s="163"/>
      <c r="R1041" s="163"/>
      <c r="S1041" s="163"/>
      <c r="T1041" s="163"/>
      <c r="U1041" s="163"/>
      <c r="V1041" s="134"/>
      <c r="W1041" s="96">
        <v>900000</v>
      </c>
      <c r="X1041" s="71">
        <f>CU1041</f>
        <v>0</v>
      </c>
      <c r="Y1041" s="71">
        <f>CY1041</f>
        <v>0</v>
      </c>
      <c r="Z1041" s="71">
        <f>DA1041+DC1041+DE1041</f>
        <v>0</v>
      </c>
      <c r="AA1041" s="71">
        <f>CW1041</f>
        <v>0</v>
      </c>
      <c r="AB1041" s="71"/>
      <c r="AC1041" s="71">
        <v>0</v>
      </c>
      <c r="AD1041" s="71">
        <f>W1041+X1041+Y1041+Z1041+AA1041+AB1041+AC1041</f>
        <v>900000</v>
      </c>
      <c r="AE1041" s="72">
        <v>0</v>
      </c>
      <c r="AF1041" s="5"/>
      <c r="AG1041" s="6"/>
      <c r="AH1041" s="27" t="s">
        <v>3390</v>
      </c>
      <c r="AI1041" s="44" t="s">
        <v>3391</v>
      </c>
      <c r="AJ1041" s="26"/>
      <c r="AK1041" s="5"/>
      <c r="AL1041" s="82" t="s">
        <v>3742</v>
      </c>
      <c r="AM1041" s="76"/>
      <c r="AN1041" s="76"/>
      <c r="AO1041" s="76"/>
      <c r="AP1041" s="76"/>
      <c r="AQ1041" s="76"/>
      <c r="AR1041" s="76"/>
      <c r="AS1041" s="76"/>
      <c r="AT1041" s="76"/>
      <c r="AU1041" s="76"/>
      <c r="AV1041" s="76"/>
      <c r="AW1041" s="76"/>
      <c r="AX1041" s="76">
        <f>+AW1041*600000</f>
        <v>0</v>
      </c>
      <c r="AY1041" s="76"/>
      <c r="AZ1041" s="76">
        <f>+AY1041*70000</f>
        <v>0</v>
      </c>
      <c r="BA1041" s="76"/>
      <c r="BB1041" s="76"/>
      <c r="BC1041" s="76"/>
      <c r="BD1041" s="76">
        <f>+BC1041*30000</f>
        <v>0</v>
      </c>
      <c r="BE1041" s="76"/>
      <c r="BF1041" s="76"/>
      <c r="BG1041" s="76"/>
      <c r="BH1041" s="76"/>
      <c r="BI1041" s="76"/>
      <c r="BJ1041" s="76"/>
      <c r="BK1041" s="76"/>
      <c r="BL1041" s="76">
        <f>+BK1041*31500</f>
        <v>0</v>
      </c>
      <c r="BM1041" s="76"/>
      <c r="BN1041" s="76"/>
      <c r="BO1041" s="76"/>
      <c r="BP1041" s="76"/>
      <c r="BQ1041" s="76"/>
      <c r="BR1041" s="76"/>
      <c r="BS1041" s="76"/>
      <c r="BT1041" s="76"/>
      <c r="BU1041" s="76"/>
      <c r="BV1041" s="76"/>
      <c r="BW1041" s="76"/>
      <c r="BX1041" s="76"/>
      <c r="BY1041" s="76"/>
      <c r="BZ1041" s="76"/>
      <c r="CA1041" s="76"/>
      <c r="CB1041" s="76"/>
      <c r="CC1041" s="76"/>
      <c r="CD1041" s="76"/>
      <c r="CE1041" s="76"/>
      <c r="CF1041" s="76">
        <f>+CE1041*28000</f>
        <v>0</v>
      </c>
      <c r="CG1041" s="76"/>
      <c r="CH1041" s="76">
        <f>+CG1041*22500</f>
        <v>0</v>
      </c>
      <c r="CI1041" s="76"/>
      <c r="CJ1041" s="76">
        <f>+CI1041*26000</f>
        <v>0</v>
      </c>
      <c r="CK1041" s="76"/>
      <c r="CL1041" s="76"/>
      <c r="CM1041" s="76"/>
      <c r="CN1041" s="76">
        <f>+CM1041*22000</f>
        <v>0</v>
      </c>
      <c r="CO1041" s="76"/>
      <c r="CP1041" s="76">
        <f>+CO1041*46000</f>
        <v>0</v>
      </c>
      <c r="CQ1041" s="76"/>
      <c r="CR1041" s="76">
        <f>+CQ1041*49000</f>
        <v>0</v>
      </c>
      <c r="CS1041" s="76"/>
      <c r="CT1041" s="76"/>
      <c r="CU1041" s="56">
        <f>AN1041+AP1041+AR1041+AT1041+AV1041+AX1041+AZ1041+BB1041+BD1041+BF1041+BH1041+BJ1041+BL1041+BN1041+BP1041+BR1041+BT1041+BV1041+BX1041+BZ1041+CB1041+CD1041+CF1041+CH1041+CJ1041+CL1041+CN1041+CP1041+CR1041+CT1041</f>
        <v>0</v>
      </c>
      <c r="CV1041" s="76"/>
      <c r="CW1041" s="76">
        <f>+CV1041*1100</f>
        <v>0</v>
      </c>
      <c r="CX1041" s="76"/>
      <c r="CY1041" s="76">
        <f>+CX1041*106250</f>
        <v>0</v>
      </c>
      <c r="CZ1041" s="76"/>
      <c r="DA1041" s="76">
        <f>+CZ1041*34500</f>
        <v>0</v>
      </c>
      <c r="DB1041" s="76"/>
      <c r="DC1041" s="76">
        <f>+DB1041*25000</f>
        <v>0</v>
      </c>
      <c r="DD1041" s="219"/>
      <c r="DE1041" s="219"/>
      <c r="DF1041" s="166"/>
      <c r="DG1041" s="116"/>
      <c r="DH1041" s="117"/>
      <c r="DI1041" s="24"/>
      <c r="DJ1041" s="24"/>
      <c r="DK1041" s="24"/>
      <c r="DL1041" s="24"/>
      <c r="DM1041" s="24"/>
      <c r="DN1041" s="24"/>
      <c r="DO1041" s="24"/>
      <c r="DP1041" s="24"/>
      <c r="DQ1041" s="24"/>
      <c r="DR1041" s="24"/>
      <c r="DS1041" s="24"/>
      <c r="DT1041" s="24"/>
      <c r="DU1041" s="24"/>
    </row>
    <row r="1042" spans="1:125" s="8" customFormat="1" x14ac:dyDescent="0.2">
      <c r="A1042" s="353">
        <v>41339</v>
      </c>
      <c r="B1042" s="225" t="s">
        <v>2855</v>
      </c>
      <c r="C1042" s="227" t="s">
        <v>926</v>
      </c>
      <c r="D1042" s="227" t="s">
        <v>2882</v>
      </c>
      <c r="E1042" s="75" t="str">
        <f>VLOOKUP(B1042&amp;C1042,Divipola!$C$2:$F$1138,4,FALSE)</f>
        <v>20550</v>
      </c>
      <c r="F1042" s="87"/>
      <c r="G1042" s="87"/>
      <c r="H1042" s="87"/>
      <c r="I1042" s="87"/>
      <c r="J1042" s="87"/>
      <c r="K1042" s="87"/>
      <c r="L1042" s="87"/>
      <c r="M1042" s="87"/>
      <c r="N1042" s="87"/>
      <c r="O1042" s="87"/>
      <c r="P1042" s="87"/>
      <c r="Q1042" s="87"/>
      <c r="R1042" s="87"/>
      <c r="S1042" s="87"/>
      <c r="T1042" s="87"/>
      <c r="U1042" s="88"/>
      <c r="V1042" s="89"/>
      <c r="W1042" s="96">
        <v>0</v>
      </c>
      <c r="X1042" s="71">
        <f>CU1042</f>
        <v>0</v>
      </c>
      <c r="Y1042" s="71">
        <f>CY1042</f>
        <v>0</v>
      </c>
      <c r="Z1042" s="71">
        <f>DA1042+DC1042+DE1042</f>
        <v>0</v>
      </c>
      <c r="AA1042" s="71">
        <f>CW1042</f>
        <v>0</v>
      </c>
      <c r="AB1042" s="71"/>
      <c r="AC1042" s="71">
        <v>0</v>
      </c>
      <c r="AD1042" s="71">
        <f>W1042+X1042+Y1042+Z1042+AA1042+AB1042+AC1042</f>
        <v>0</v>
      </c>
      <c r="AE1042" s="72">
        <v>0</v>
      </c>
      <c r="AF1042" s="5"/>
      <c r="AG1042" s="6"/>
      <c r="AH1042" s="27" t="s">
        <v>3392</v>
      </c>
      <c r="AI1042" s="44" t="s">
        <v>3393</v>
      </c>
      <c r="AJ1042" s="26"/>
      <c r="AK1042" s="5"/>
      <c r="AL1042" s="82" t="s">
        <v>3858</v>
      </c>
      <c r="AM1042" s="76"/>
      <c r="AN1042" s="76"/>
      <c r="AO1042" s="76"/>
      <c r="AP1042" s="76"/>
      <c r="AQ1042" s="76"/>
      <c r="AR1042" s="76"/>
      <c r="AS1042" s="76"/>
      <c r="AT1042" s="76"/>
      <c r="AU1042" s="76"/>
      <c r="AV1042" s="76"/>
      <c r="AW1042" s="76"/>
      <c r="AX1042" s="76">
        <f>+AW1042*600000</f>
        <v>0</v>
      </c>
      <c r="AY1042" s="76"/>
      <c r="AZ1042" s="76">
        <f>+AY1042*70000</f>
        <v>0</v>
      </c>
      <c r="BA1042" s="76"/>
      <c r="BB1042" s="76"/>
      <c r="BC1042" s="76"/>
      <c r="BD1042" s="76">
        <f>+BC1042*30000</f>
        <v>0</v>
      </c>
      <c r="BE1042" s="76"/>
      <c r="BF1042" s="76"/>
      <c r="BG1042" s="76"/>
      <c r="BH1042" s="76"/>
      <c r="BI1042" s="76"/>
      <c r="BJ1042" s="76"/>
      <c r="BK1042" s="76"/>
      <c r="BL1042" s="76">
        <f>+BK1042*31500</f>
        <v>0</v>
      </c>
      <c r="BM1042" s="76"/>
      <c r="BN1042" s="76"/>
      <c r="BO1042" s="76"/>
      <c r="BP1042" s="76"/>
      <c r="BQ1042" s="76"/>
      <c r="BR1042" s="76"/>
      <c r="BS1042" s="76"/>
      <c r="BT1042" s="76"/>
      <c r="BU1042" s="76"/>
      <c r="BV1042" s="76"/>
      <c r="BW1042" s="76"/>
      <c r="BX1042" s="76"/>
      <c r="BY1042" s="76"/>
      <c r="BZ1042" s="76"/>
      <c r="CA1042" s="76"/>
      <c r="CB1042" s="76"/>
      <c r="CC1042" s="76"/>
      <c r="CD1042" s="76"/>
      <c r="CE1042" s="76"/>
      <c r="CF1042" s="76">
        <f>+CE1042*28000</f>
        <v>0</v>
      </c>
      <c r="CG1042" s="76"/>
      <c r="CH1042" s="76">
        <f>+CG1042*22500</f>
        <v>0</v>
      </c>
      <c r="CI1042" s="76"/>
      <c r="CJ1042" s="76">
        <f>+CI1042*26000</f>
        <v>0</v>
      </c>
      <c r="CK1042" s="76"/>
      <c r="CL1042" s="76"/>
      <c r="CM1042" s="76"/>
      <c r="CN1042" s="76">
        <f>+CM1042*22000</f>
        <v>0</v>
      </c>
      <c r="CO1042" s="76"/>
      <c r="CP1042" s="76">
        <f>+CO1042*46000</f>
        <v>0</v>
      </c>
      <c r="CQ1042" s="76"/>
      <c r="CR1042" s="76">
        <f>+CQ1042*49000</f>
        <v>0</v>
      </c>
      <c r="CS1042" s="76"/>
      <c r="CT1042" s="76"/>
      <c r="CU1042" s="56">
        <f>AN1042+AP1042+AR1042+AT1042+AV1042+AX1042+AZ1042+BB1042+BD1042+BF1042+BH1042+BJ1042+BL1042+BN1042+BP1042+BR1042+BT1042+BV1042+BX1042+BZ1042+CB1042+CD1042+CF1042+CH1042+CJ1042+CL1042+CN1042+CP1042+CR1042+CT1042</f>
        <v>0</v>
      </c>
      <c r="CV1042" s="76"/>
      <c r="CW1042" s="76">
        <f>+CV1042*1100</f>
        <v>0</v>
      </c>
      <c r="CX1042" s="76"/>
      <c r="CY1042" s="76">
        <f>+CX1042*106250</f>
        <v>0</v>
      </c>
      <c r="CZ1042" s="76"/>
      <c r="DA1042" s="76">
        <f>+CZ1042*34500</f>
        <v>0</v>
      </c>
      <c r="DB1042" s="76"/>
      <c r="DC1042" s="76">
        <f>+DB1042*25000</f>
        <v>0</v>
      </c>
      <c r="DD1042" s="219"/>
      <c r="DE1042" s="219"/>
      <c r="DF1042" s="166"/>
      <c r="DG1042" s="116"/>
      <c r="DH1042" s="117"/>
      <c r="DI1042" s="24"/>
      <c r="DJ1042" s="24"/>
      <c r="DK1042" s="24"/>
      <c r="DL1042" s="24"/>
      <c r="DM1042" s="24"/>
      <c r="DN1042" s="24"/>
      <c r="DO1042" s="24"/>
      <c r="DP1042" s="24"/>
      <c r="DQ1042" s="24"/>
      <c r="DR1042" s="24"/>
      <c r="DS1042" s="24"/>
      <c r="DT1042" s="24"/>
      <c r="DU1042" s="24"/>
    </row>
    <row r="1043" spans="1:125" s="8" customFormat="1" ht="60" x14ac:dyDescent="0.2">
      <c r="A1043" s="226">
        <v>41339</v>
      </c>
      <c r="B1043" s="187" t="s">
        <v>2855</v>
      </c>
      <c r="C1043" s="51" t="s">
        <v>936</v>
      </c>
      <c r="D1043" s="51" t="s">
        <v>3090</v>
      </c>
      <c r="E1043" s="75" t="str">
        <f>VLOOKUP(B1043&amp;C1043,Divipola!$C$2:$F$1138,4,FALSE)</f>
        <v>20710</v>
      </c>
      <c r="F1043" s="183"/>
      <c r="G1043" s="183"/>
      <c r="H1043" s="183"/>
      <c r="I1043" s="87">
        <v>185</v>
      </c>
      <c r="J1043" s="87">
        <v>37</v>
      </c>
      <c r="K1043" s="182"/>
      <c r="L1043" s="183"/>
      <c r="M1043" s="183"/>
      <c r="N1043" s="182"/>
      <c r="O1043" s="182"/>
      <c r="P1043" s="182"/>
      <c r="Q1043" s="182"/>
      <c r="R1043" s="182"/>
      <c r="S1043" s="182"/>
      <c r="T1043" s="182"/>
      <c r="U1043" s="184"/>
      <c r="V1043" s="185"/>
      <c r="W1043" s="96">
        <v>0</v>
      </c>
      <c r="X1043" s="71">
        <f>CU1043</f>
        <v>0</v>
      </c>
      <c r="Y1043" s="71">
        <f>CY1043</f>
        <v>0</v>
      </c>
      <c r="Z1043" s="71">
        <f>DA1043+DC1043+DE1043</f>
        <v>0</v>
      </c>
      <c r="AA1043" s="71">
        <f>CW1043</f>
        <v>0</v>
      </c>
      <c r="AB1043" s="71"/>
      <c r="AC1043" s="71">
        <v>0</v>
      </c>
      <c r="AD1043" s="71">
        <f>W1043+X1043+Y1043+Z1043+AA1043+AB1043+AC1043</f>
        <v>0</v>
      </c>
      <c r="AE1043" s="72">
        <v>0</v>
      </c>
      <c r="AF1043" s="5"/>
      <c r="AG1043" s="6"/>
      <c r="AH1043" s="27" t="s">
        <v>3392</v>
      </c>
      <c r="AI1043" s="44" t="s">
        <v>3393</v>
      </c>
      <c r="AJ1043" s="26"/>
      <c r="AK1043" s="5"/>
      <c r="AL1043" s="82" t="s">
        <v>3835</v>
      </c>
      <c r="AM1043" s="76"/>
      <c r="AN1043" s="76"/>
      <c r="AO1043" s="76"/>
      <c r="AP1043" s="76"/>
      <c r="AQ1043" s="76"/>
      <c r="AR1043" s="76"/>
      <c r="AS1043" s="76"/>
      <c r="AT1043" s="76"/>
      <c r="AU1043" s="76"/>
      <c r="AV1043" s="76"/>
      <c r="AW1043" s="76"/>
      <c r="AX1043" s="76">
        <f>+AW1043*600000</f>
        <v>0</v>
      </c>
      <c r="AY1043" s="76"/>
      <c r="AZ1043" s="76">
        <f>+AY1043*70000</f>
        <v>0</v>
      </c>
      <c r="BA1043" s="76"/>
      <c r="BB1043" s="76"/>
      <c r="BC1043" s="76"/>
      <c r="BD1043" s="76">
        <f>+BC1043*30000</f>
        <v>0</v>
      </c>
      <c r="BE1043" s="76"/>
      <c r="BF1043" s="76"/>
      <c r="BG1043" s="76"/>
      <c r="BH1043" s="76"/>
      <c r="BI1043" s="76"/>
      <c r="BJ1043" s="76"/>
      <c r="BK1043" s="76"/>
      <c r="BL1043" s="76">
        <f>+BK1043*31500</f>
        <v>0</v>
      </c>
      <c r="BM1043" s="76"/>
      <c r="BN1043" s="76"/>
      <c r="BO1043" s="76"/>
      <c r="BP1043" s="76"/>
      <c r="BQ1043" s="76"/>
      <c r="BR1043" s="76"/>
      <c r="BS1043" s="76"/>
      <c r="BT1043" s="76"/>
      <c r="BU1043" s="76"/>
      <c r="BV1043" s="76"/>
      <c r="BW1043" s="76"/>
      <c r="BX1043" s="76"/>
      <c r="BY1043" s="76"/>
      <c r="BZ1043" s="76"/>
      <c r="CA1043" s="76"/>
      <c r="CB1043" s="76"/>
      <c r="CC1043" s="76"/>
      <c r="CD1043" s="76"/>
      <c r="CE1043" s="76"/>
      <c r="CF1043" s="76">
        <f>+CE1043*28000</f>
        <v>0</v>
      </c>
      <c r="CG1043" s="76"/>
      <c r="CH1043" s="76">
        <f>+CG1043*22500</f>
        <v>0</v>
      </c>
      <c r="CI1043" s="76"/>
      <c r="CJ1043" s="76">
        <f>+CI1043*26000</f>
        <v>0</v>
      </c>
      <c r="CK1043" s="76"/>
      <c r="CL1043" s="76"/>
      <c r="CM1043" s="76"/>
      <c r="CN1043" s="76">
        <f>+CM1043*22000</f>
        <v>0</v>
      </c>
      <c r="CO1043" s="76"/>
      <c r="CP1043" s="76">
        <f>+CO1043*46000</f>
        <v>0</v>
      </c>
      <c r="CQ1043" s="76"/>
      <c r="CR1043" s="76">
        <f>+CQ1043*49000</f>
        <v>0</v>
      </c>
      <c r="CS1043" s="76"/>
      <c r="CT1043" s="76"/>
      <c r="CU1043" s="56">
        <f>AN1043+AP1043+AR1043+AT1043+AV1043+AX1043+AZ1043+BB1043+BD1043+BF1043+BH1043+BJ1043+BL1043+BN1043+BP1043+BR1043+BT1043+BV1043+BX1043+BZ1043+CB1043+CD1043+CF1043+CH1043+CJ1043+CL1043+CN1043+CP1043+CR1043+CT1043</f>
        <v>0</v>
      </c>
      <c r="CV1043" s="76"/>
      <c r="CW1043" s="76">
        <f>+CV1043*1100</f>
        <v>0</v>
      </c>
      <c r="CX1043" s="76"/>
      <c r="CY1043" s="76">
        <f>+CX1043*106250</f>
        <v>0</v>
      </c>
      <c r="CZ1043" s="76"/>
      <c r="DA1043" s="76">
        <f>+CZ1043*34500</f>
        <v>0</v>
      </c>
      <c r="DB1043" s="76"/>
      <c r="DC1043" s="76">
        <f>+DB1043*25000</f>
        <v>0</v>
      </c>
      <c r="DD1043" s="219"/>
      <c r="DE1043" s="219"/>
      <c r="DF1043" s="166"/>
      <c r="DG1043" s="116"/>
      <c r="DH1043" s="117"/>
      <c r="DI1043" s="24"/>
      <c r="DJ1043" s="24"/>
      <c r="DK1043" s="24"/>
      <c r="DL1043" s="24"/>
      <c r="DM1043" s="24"/>
      <c r="DN1043" s="24"/>
      <c r="DO1043" s="24"/>
      <c r="DP1043" s="24"/>
      <c r="DQ1043" s="24"/>
      <c r="DR1043" s="24"/>
      <c r="DS1043" s="24"/>
      <c r="DT1043" s="24"/>
      <c r="DU1043" s="24"/>
    </row>
    <row r="1044" spans="1:125" s="8" customFormat="1" ht="72" x14ac:dyDescent="0.2">
      <c r="A1044" s="226">
        <v>41339</v>
      </c>
      <c r="B1044" s="225" t="s">
        <v>2852</v>
      </c>
      <c r="C1044" s="227" t="s">
        <v>1278</v>
      </c>
      <c r="D1044" s="227" t="s">
        <v>2882</v>
      </c>
      <c r="E1044" s="75" t="str">
        <f>VLOOKUP(B1044&amp;C1044,Divipola!$C$2:$F$1138,4,FALSE)</f>
        <v>27135</v>
      </c>
      <c r="F1044" s="87"/>
      <c r="G1044" s="87"/>
      <c r="H1044" s="87"/>
      <c r="I1044" s="87">
        <v>1065</v>
      </c>
      <c r="J1044" s="87">
        <v>213</v>
      </c>
      <c r="K1044" s="87">
        <v>139</v>
      </c>
      <c r="L1044" s="87">
        <v>74</v>
      </c>
      <c r="M1044" s="87"/>
      <c r="N1044" s="87"/>
      <c r="O1044" s="87"/>
      <c r="P1044" s="87"/>
      <c r="Q1044" s="87"/>
      <c r="R1044" s="87"/>
      <c r="S1044" s="87"/>
      <c r="T1044" s="87"/>
      <c r="U1044" s="88"/>
      <c r="V1044" s="89"/>
      <c r="W1044" s="96">
        <v>0</v>
      </c>
      <c r="X1044" s="71">
        <f>CU1044</f>
        <v>0</v>
      </c>
      <c r="Y1044" s="71">
        <f>CY1044</f>
        <v>0</v>
      </c>
      <c r="Z1044" s="71">
        <f>DA1044+DC1044+DE1044</f>
        <v>0</v>
      </c>
      <c r="AA1044" s="71">
        <f>CW1044</f>
        <v>0</v>
      </c>
      <c r="AB1044" s="71"/>
      <c r="AC1044" s="71">
        <v>0</v>
      </c>
      <c r="AD1044" s="71">
        <f>W1044+X1044+Y1044+Z1044+AA1044+AB1044+AC1044</f>
        <v>0</v>
      </c>
      <c r="AE1044" s="72">
        <v>0</v>
      </c>
      <c r="AF1044" s="5"/>
      <c r="AG1044" s="6"/>
      <c r="AH1044" s="27" t="s">
        <v>3390</v>
      </c>
      <c r="AI1044" s="44" t="s">
        <v>3393</v>
      </c>
      <c r="AJ1044" s="26"/>
      <c r="AK1044" s="5" t="s">
        <v>4242</v>
      </c>
      <c r="AL1044" s="82" t="s">
        <v>3938</v>
      </c>
      <c r="AM1044" s="76"/>
      <c r="AN1044" s="76"/>
      <c r="AO1044" s="76"/>
      <c r="AP1044" s="76"/>
      <c r="AQ1044" s="76"/>
      <c r="AR1044" s="76"/>
      <c r="AS1044" s="76"/>
      <c r="AT1044" s="76"/>
      <c r="AU1044" s="76"/>
      <c r="AV1044" s="76"/>
      <c r="AW1044" s="76"/>
      <c r="AX1044" s="76">
        <f>+AW1044*600000</f>
        <v>0</v>
      </c>
      <c r="AY1044" s="76"/>
      <c r="AZ1044" s="76">
        <f>+AY1044*70000</f>
        <v>0</v>
      </c>
      <c r="BA1044" s="76"/>
      <c r="BB1044" s="76"/>
      <c r="BC1044" s="76"/>
      <c r="BD1044" s="76">
        <f>+BC1044*30000</f>
        <v>0</v>
      </c>
      <c r="BE1044" s="76"/>
      <c r="BF1044" s="76"/>
      <c r="BG1044" s="76"/>
      <c r="BH1044" s="76"/>
      <c r="BI1044" s="76"/>
      <c r="BJ1044" s="76"/>
      <c r="BK1044" s="76"/>
      <c r="BL1044" s="76">
        <f>+BK1044*31500</f>
        <v>0</v>
      </c>
      <c r="BM1044" s="76"/>
      <c r="BN1044" s="76"/>
      <c r="BO1044" s="76"/>
      <c r="BP1044" s="76"/>
      <c r="BQ1044" s="76"/>
      <c r="BR1044" s="76"/>
      <c r="BS1044" s="76"/>
      <c r="BT1044" s="76"/>
      <c r="BU1044" s="76"/>
      <c r="BV1044" s="76"/>
      <c r="BW1044" s="76"/>
      <c r="BX1044" s="76"/>
      <c r="BY1044" s="76"/>
      <c r="BZ1044" s="76"/>
      <c r="CA1044" s="76"/>
      <c r="CB1044" s="76"/>
      <c r="CC1044" s="76"/>
      <c r="CD1044" s="76"/>
      <c r="CE1044" s="76"/>
      <c r="CF1044" s="76">
        <f>+CE1044*28000</f>
        <v>0</v>
      </c>
      <c r="CG1044" s="76"/>
      <c r="CH1044" s="76">
        <f>+CG1044*22500</f>
        <v>0</v>
      </c>
      <c r="CI1044" s="76"/>
      <c r="CJ1044" s="76">
        <f>+CI1044*26000</f>
        <v>0</v>
      </c>
      <c r="CK1044" s="76"/>
      <c r="CL1044" s="76"/>
      <c r="CM1044" s="76"/>
      <c r="CN1044" s="76">
        <f>+CM1044*22000</f>
        <v>0</v>
      </c>
      <c r="CO1044" s="76"/>
      <c r="CP1044" s="76">
        <f>+CO1044*46000</f>
        <v>0</v>
      </c>
      <c r="CQ1044" s="76"/>
      <c r="CR1044" s="76">
        <f>+CQ1044*49000</f>
        <v>0</v>
      </c>
      <c r="CS1044" s="76"/>
      <c r="CT1044" s="76"/>
      <c r="CU1044" s="56">
        <f>AN1044+AP1044+AR1044+AT1044+AV1044+AX1044+AZ1044+BB1044+BD1044+BF1044+BH1044+BJ1044+BL1044+BN1044+BP1044+BR1044+BT1044+BV1044+BX1044+BZ1044+CB1044+CD1044+CF1044+CH1044+CJ1044+CL1044+CN1044+CP1044+CR1044+CT1044</f>
        <v>0</v>
      </c>
      <c r="CV1044" s="76"/>
      <c r="CW1044" s="76">
        <f>+CV1044*1100</f>
        <v>0</v>
      </c>
      <c r="CX1044" s="76"/>
      <c r="CY1044" s="76">
        <f>+CX1044*106250</f>
        <v>0</v>
      </c>
      <c r="CZ1044" s="76"/>
      <c r="DA1044" s="76">
        <f>+CZ1044*34500</f>
        <v>0</v>
      </c>
      <c r="DB1044" s="76"/>
      <c r="DC1044" s="76">
        <f>+DB1044*25000</f>
        <v>0</v>
      </c>
      <c r="DD1044" s="219"/>
      <c r="DE1044" s="219"/>
      <c r="DF1044" s="166"/>
      <c r="DG1044" s="116"/>
      <c r="DH1044" s="117"/>
      <c r="DI1044" s="24"/>
      <c r="DJ1044" s="24"/>
      <c r="DK1044" s="24"/>
      <c r="DL1044" s="24"/>
      <c r="DM1044" s="24"/>
      <c r="DN1044" s="24"/>
      <c r="DO1044" s="24"/>
      <c r="DP1044" s="24"/>
      <c r="DQ1044" s="24"/>
      <c r="DR1044" s="24"/>
      <c r="DS1044" s="24"/>
      <c r="DT1044" s="24"/>
      <c r="DU1044" s="24"/>
    </row>
    <row r="1045" spans="1:125" s="8" customFormat="1" ht="84" x14ac:dyDescent="0.2">
      <c r="A1045" s="226">
        <v>41339</v>
      </c>
      <c r="B1045" s="51" t="s">
        <v>2847</v>
      </c>
      <c r="C1045" s="51" t="s">
        <v>2814</v>
      </c>
      <c r="D1045" s="81" t="s">
        <v>2846</v>
      </c>
      <c r="E1045" s="75" t="str">
        <f>VLOOKUP(B1045&amp;C1045,Divipola!$C$2:$F$1138,4,FALSE)</f>
        <v>68307</v>
      </c>
      <c r="F1045" s="183"/>
      <c r="G1045" s="183"/>
      <c r="H1045" s="183"/>
      <c r="I1045" s="183"/>
      <c r="J1045" s="183"/>
      <c r="K1045" s="183"/>
      <c r="L1045" s="183"/>
      <c r="M1045" s="183"/>
      <c r="N1045" s="182"/>
      <c r="O1045" s="182"/>
      <c r="P1045" s="182"/>
      <c r="Q1045" s="182"/>
      <c r="R1045" s="182"/>
      <c r="S1045" s="182"/>
      <c r="T1045" s="182"/>
      <c r="U1045" s="184"/>
      <c r="V1045" s="185"/>
      <c r="W1045" s="96">
        <v>0</v>
      </c>
      <c r="X1045" s="71">
        <f>CU1045</f>
        <v>0</v>
      </c>
      <c r="Y1045" s="71">
        <f>CY1045</f>
        <v>0</v>
      </c>
      <c r="Z1045" s="71">
        <f>DA1045+DC1045+DE1045</f>
        <v>0</v>
      </c>
      <c r="AA1045" s="71">
        <f>CW1045</f>
        <v>0</v>
      </c>
      <c r="AB1045" s="71"/>
      <c r="AC1045" s="71">
        <v>0</v>
      </c>
      <c r="AD1045" s="71">
        <f>W1045+X1045+Y1045+Z1045+AA1045+AB1045+AC1045</f>
        <v>0</v>
      </c>
      <c r="AE1045" s="72">
        <v>0</v>
      </c>
      <c r="AF1045" s="5"/>
      <c r="AG1045" s="6"/>
      <c r="AH1045" s="27" t="s">
        <v>3392</v>
      </c>
      <c r="AI1045" s="44" t="s">
        <v>3393</v>
      </c>
      <c r="AJ1045" s="26"/>
      <c r="AK1045" s="5"/>
      <c r="AL1045" s="82" t="s">
        <v>3832</v>
      </c>
      <c r="AM1045" s="76"/>
      <c r="AN1045" s="76"/>
      <c r="AO1045" s="76"/>
      <c r="AP1045" s="76"/>
      <c r="AQ1045" s="76"/>
      <c r="AR1045" s="76"/>
      <c r="AS1045" s="76"/>
      <c r="AT1045" s="76"/>
      <c r="AU1045" s="76"/>
      <c r="AV1045" s="76"/>
      <c r="AW1045" s="76"/>
      <c r="AX1045" s="76">
        <f>+AW1045*600000</f>
        <v>0</v>
      </c>
      <c r="AY1045" s="76"/>
      <c r="AZ1045" s="76">
        <f>+AY1045*70000</f>
        <v>0</v>
      </c>
      <c r="BA1045" s="76"/>
      <c r="BB1045" s="76"/>
      <c r="BC1045" s="76"/>
      <c r="BD1045" s="76">
        <f>+BC1045*30000</f>
        <v>0</v>
      </c>
      <c r="BE1045" s="76"/>
      <c r="BF1045" s="76"/>
      <c r="BG1045" s="76"/>
      <c r="BH1045" s="76"/>
      <c r="BI1045" s="76"/>
      <c r="BJ1045" s="76"/>
      <c r="BK1045" s="76"/>
      <c r="BL1045" s="76">
        <f>+BK1045*31500</f>
        <v>0</v>
      </c>
      <c r="BM1045" s="76"/>
      <c r="BN1045" s="76"/>
      <c r="BO1045" s="76"/>
      <c r="BP1045" s="76"/>
      <c r="BQ1045" s="76"/>
      <c r="BR1045" s="76"/>
      <c r="BS1045" s="76"/>
      <c r="BT1045" s="76"/>
      <c r="BU1045" s="76"/>
      <c r="BV1045" s="76"/>
      <c r="BW1045" s="76"/>
      <c r="BX1045" s="76"/>
      <c r="BY1045" s="76"/>
      <c r="BZ1045" s="76"/>
      <c r="CA1045" s="76"/>
      <c r="CB1045" s="76"/>
      <c r="CC1045" s="76"/>
      <c r="CD1045" s="76"/>
      <c r="CE1045" s="76"/>
      <c r="CF1045" s="76">
        <f>+CE1045*28000</f>
        <v>0</v>
      </c>
      <c r="CG1045" s="76"/>
      <c r="CH1045" s="76">
        <f>+CG1045*22500</f>
        <v>0</v>
      </c>
      <c r="CI1045" s="76"/>
      <c r="CJ1045" s="76">
        <f>+CI1045*26000</f>
        <v>0</v>
      </c>
      <c r="CK1045" s="76"/>
      <c r="CL1045" s="76"/>
      <c r="CM1045" s="76"/>
      <c r="CN1045" s="76">
        <f>+CM1045*22000</f>
        <v>0</v>
      </c>
      <c r="CO1045" s="76"/>
      <c r="CP1045" s="76">
        <f>+CO1045*46000</f>
        <v>0</v>
      </c>
      <c r="CQ1045" s="76"/>
      <c r="CR1045" s="76">
        <f>+CQ1045*49000</f>
        <v>0</v>
      </c>
      <c r="CS1045" s="76"/>
      <c r="CT1045" s="76"/>
      <c r="CU1045" s="56">
        <f>AN1045+AP1045+AR1045+AT1045+AV1045+AX1045+AZ1045+BB1045+BD1045+BF1045+BH1045+BJ1045+BL1045+BN1045+BP1045+BR1045+BT1045+BV1045+BX1045+BZ1045+CB1045+CD1045+CF1045+CH1045+CJ1045+CL1045+CN1045+CP1045+CR1045+CT1045</f>
        <v>0</v>
      </c>
      <c r="CV1045" s="76"/>
      <c r="CW1045" s="76">
        <f>+CV1045*1100</f>
        <v>0</v>
      </c>
      <c r="CX1045" s="76"/>
      <c r="CY1045" s="76">
        <f>+CX1045*106250</f>
        <v>0</v>
      </c>
      <c r="CZ1045" s="76"/>
      <c r="DA1045" s="76">
        <f>+CZ1045*34500</f>
        <v>0</v>
      </c>
      <c r="DB1045" s="76"/>
      <c r="DC1045" s="76">
        <f>+DB1045*25000</f>
        <v>0</v>
      </c>
      <c r="DD1045" s="219"/>
      <c r="DE1045" s="219"/>
      <c r="DF1045" s="166"/>
      <c r="DG1045" s="116"/>
      <c r="DH1045" s="117"/>
      <c r="DI1045" s="24"/>
      <c r="DJ1045" s="24"/>
      <c r="DK1045" s="24"/>
      <c r="DL1045" s="24"/>
      <c r="DM1045" s="24"/>
      <c r="DN1045" s="24"/>
      <c r="DO1045" s="24"/>
      <c r="DP1045" s="24"/>
      <c r="DQ1045" s="24"/>
      <c r="DR1045" s="24"/>
      <c r="DS1045" s="24"/>
      <c r="DT1045" s="24"/>
      <c r="DU1045" s="24"/>
    </row>
    <row r="1046" spans="1:125" s="8" customFormat="1" ht="156" x14ac:dyDescent="0.2">
      <c r="A1046" s="353">
        <v>41339</v>
      </c>
      <c r="B1046" s="51" t="s">
        <v>2847</v>
      </c>
      <c r="C1046" s="51" t="s">
        <v>1745</v>
      </c>
      <c r="D1046" s="81" t="s">
        <v>2846</v>
      </c>
      <c r="E1046" s="75" t="str">
        <f>VLOOKUP(B1046&amp;C1046,Divipola!$C$2:$F$1138,4,FALSE)</f>
        <v>68502</v>
      </c>
      <c r="F1046" s="183"/>
      <c r="G1046" s="183"/>
      <c r="H1046" s="183"/>
      <c r="I1046" s="186"/>
      <c r="J1046" s="183"/>
      <c r="K1046" s="183"/>
      <c r="L1046" s="183"/>
      <c r="M1046" s="183"/>
      <c r="N1046" s="182"/>
      <c r="O1046" s="182"/>
      <c r="P1046" s="182"/>
      <c r="Q1046" s="182"/>
      <c r="R1046" s="182"/>
      <c r="S1046" s="182"/>
      <c r="T1046" s="182"/>
      <c r="U1046" s="184">
        <v>22</v>
      </c>
      <c r="V1046" s="185"/>
      <c r="W1046" s="96">
        <v>0</v>
      </c>
      <c r="X1046" s="71">
        <f>CU1046</f>
        <v>0</v>
      </c>
      <c r="Y1046" s="71">
        <f>CY1046</f>
        <v>0</v>
      </c>
      <c r="Z1046" s="71">
        <f>DA1046+DC1046+DE1046</f>
        <v>0</v>
      </c>
      <c r="AA1046" s="71">
        <f>CW1046</f>
        <v>0</v>
      </c>
      <c r="AB1046" s="71"/>
      <c r="AC1046" s="71">
        <v>0</v>
      </c>
      <c r="AD1046" s="71">
        <f>W1046+X1046+Y1046+Z1046+AA1046+AB1046+AC1046</f>
        <v>0</v>
      </c>
      <c r="AE1046" s="72">
        <v>0</v>
      </c>
      <c r="AF1046" s="5"/>
      <c r="AG1046" s="6"/>
      <c r="AH1046" s="27" t="s">
        <v>3392</v>
      </c>
      <c r="AI1046" s="44" t="s">
        <v>3393</v>
      </c>
      <c r="AJ1046" s="26"/>
      <c r="AK1046" s="5"/>
      <c r="AL1046" s="82" t="s">
        <v>3850</v>
      </c>
      <c r="AM1046" s="76"/>
      <c r="AN1046" s="76"/>
      <c r="AO1046" s="76"/>
      <c r="AP1046" s="76"/>
      <c r="AQ1046" s="76"/>
      <c r="AR1046" s="76"/>
      <c r="AS1046" s="76"/>
      <c r="AT1046" s="76"/>
      <c r="AU1046" s="76"/>
      <c r="AV1046" s="76"/>
      <c r="AW1046" s="76"/>
      <c r="AX1046" s="76">
        <f>+AW1046*600000</f>
        <v>0</v>
      </c>
      <c r="AY1046" s="76"/>
      <c r="AZ1046" s="76">
        <f>+AY1046*70000</f>
        <v>0</v>
      </c>
      <c r="BA1046" s="76"/>
      <c r="BB1046" s="76"/>
      <c r="BC1046" s="76"/>
      <c r="BD1046" s="76">
        <f>+BC1046*30000</f>
        <v>0</v>
      </c>
      <c r="BE1046" s="76"/>
      <c r="BF1046" s="76"/>
      <c r="BG1046" s="76"/>
      <c r="BH1046" s="76"/>
      <c r="BI1046" s="76"/>
      <c r="BJ1046" s="76"/>
      <c r="BK1046" s="76"/>
      <c r="BL1046" s="76">
        <f>+BK1046*31500</f>
        <v>0</v>
      </c>
      <c r="BM1046" s="76"/>
      <c r="BN1046" s="76"/>
      <c r="BO1046" s="76"/>
      <c r="BP1046" s="76"/>
      <c r="BQ1046" s="76"/>
      <c r="BR1046" s="76"/>
      <c r="BS1046" s="76"/>
      <c r="BT1046" s="76"/>
      <c r="BU1046" s="76"/>
      <c r="BV1046" s="76"/>
      <c r="BW1046" s="76"/>
      <c r="BX1046" s="76"/>
      <c r="BY1046" s="76"/>
      <c r="BZ1046" s="76"/>
      <c r="CA1046" s="76"/>
      <c r="CB1046" s="76"/>
      <c r="CC1046" s="76"/>
      <c r="CD1046" s="76"/>
      <c r="CE1046" s="76"/>
      <c r="CF1046" s="76">
        <f>+CE1046*28000</f>
        <v>0</v>
      </c>
      <c r="CG1046" s="76"/>
      <c r="CH1046" s="76">
        <f>+CG1046*22500</f>
        <v>0</v>
      </c>
      <c r="CI1046" s="76"/>
      <c r="CJ1046" s="76">
        <f>+CI1046*26000</f>
        <v>0</v>
      </c>
      <c r="CK1046" s="76"/>
      <c r="CL1046" s="76"/>
      <c r="CM1046" s="76"/>
      <c r="CN1046" s="76">
        <f>+CM1046*22000</f>
        <v>0</v>
      </c>
      <c r="CO1046" s="76"/>
      <c r="CP1046" s="76">
        <f>+CO1046*46000</f>
        <v>0</v>
      </c>
      <c r="CQ1046" s="76"/>
      <c r="CR1046" s="76">
        <f>+CQ1046*49000</f>
        <v>0</v>
      </c>
      <c r="CS1046" s="76"/>
      <c r="CT1046" s="76"/>
      <c r="CU1046" s="56">
        <f>AN1046+AP1046+AR1046+AT1046+AV1046+AX1046+AZ1046+BB1046+BD1046+BF1046+BH1046+BJ1046+BL1046+BN1046+BP1046+BR1046+BT1046+BV1046+BX1046+BZ1046+CB1046+CD1046+CF1046+CH1046+CJ1046+CL1046+CN1046+CP1046+CR1046+CT1046</f>
        <v>0</v>
      </c>
      <c r="CV1046" s="76"/>
      <c r="CW1046" s="76">
        <f>+CV1046*1100</f>
        <v>0</v>
      </c>
      <c r="CX1046" s="76"/>
      <c r="CY1046" s="76">
        <f>+CX1046*106250</f>
        <v>0</v>
      </c>
      <c r="CZ1046" s="76"/>
      <c r="DA1046" s="76">
        <f>+CZ1046*34500</f>
        <v>0</v>
      </c>
      <c r="DB1046" s="76"/>
      <c r="DC1046" s="76">
        <f>+DB1046*25000</f>
        <v>0</v>
      </c>
      <c r="DD1046" s="219"/>
      <c r="DE1046" s="219"/>
      <c r="DF1046" s="166"/>
      <c r="DG1046" s="116"/>
      <c r="DH1046" s="117"/>
      <c r="DI1046" s="24"/>
      <c r="DJ1046" s="24"/>
      <c r="DK1046" s="24"/>
      <c r="DL1046" s="24"/>
      <c r="DM1046" s="24"/>
      <c r="DN1046" s="24"/>
      <c r="DO1046" s="24"/>
      <c r="DP1046" s="24"/>
      <c r="DQ1046" s="24"/>
      <c r="DR1046" s="24"/>
      <c r="DS1046" s="24"/>
      <c r="DT1046" s="24"/>
      <c r="DU1046" s="24"/>
    </row>
    <row r="1047" spans="1:125" s="8" customFormat="1" ht="60" x14ac:dyDescent="0.2">
      <c r="A1047" s="77">
        <v>41339</v>
      </c>
      <c r="B1047" s="352" t="s">
        <v>2847</v>
      </c>
      <c r="C1047" s="354" t="s">
        <v>479</v>
      </c>
      <c r="D1047" s="81" t="s">
        <v>2846</v>
      </c>
      <c r="E1047" s="75" t="str">
        <f>VLOOKUP(B1047&amp;C1047,Divipola!$C$2:$F$1138,4,FALSE)</f>
        <v>68547</v>
      </c>
      <c r="F1047" s="87"/>
      <c r="G1047" s="87"/>
      <c r="H1047" s="87"/>
      <c r="I1047" s="87"/>
      <c r="J1047" s="87"/>
      <c r="K1047" s="87"/>
      <c r="L1047" s="87"/>
      <c r="M1047" s="87"/>
      <c r="N1047" s="87"/>
      <c r="O1047" s="87"/>
      <c r="P1047" s="87"/>
      <c r="Q1047" s="87"/>
      <c r="R1047" s="87"/>
      <c r="S1047" s="87"/>
      <c r="T1047" s="155"/>
      <c r="U1047" s="178"/>
      <c r="V1047" s="89"/>
      <c r="W1047" s="96">
        <v>0</v>
      </c>
      <c r="X1047" s="71">
        <f>CU1047</f>
        <v>0</v>
      </c>
      <c r="Y1047" s="71">
        <f>CY1047</f>
        <v>0</v>
      </c>
      <c r="Z1047" s="71">
        <f>DA1047+DC1047+DE1047</f>
        <v>0</v>
      </c>
      <c r="AA1047" s="71">
        <f>CW1047</f>
        <v>0</v>
      </c>
      <c r="AB1047" s="71"/>
      <c r="AC1047" s="71">
        <v>0</v>
      </c>
      <c r="AD1047" s="71">
        <f>W1047+X1047+Y1047+Z1047+AA1047+AB1047+AC1047</f>
        <v>0</v>
      </c>
      <c r="AE1047" s="72">
        <v>0</v>
      </c>
      <c r="AF1047" s="5"/>
      <c r="AG1047" s="6"/>
      <c r="AH1047" s="27" t="s">
        <v>3392</v>
      </c>
      <c r="AI1047" s="44" t="s">
        <v>3393</v>
      </c>
      <c r="AJ1047" s="26"/>
      <c r="AK1047" s="5"/>
      <c r="AL1047" s="82" t="s">
        <v>3820</v>
      </c>
      <c r="AM1047" s="76"/>
      <c r="AN1047" s="76"/>
      <c r="AO1047" s="76"/>
      <c r="AP1047" s="76"/>
      <c r="AQ1047" s="76"/>
      <c r="AR1047" s="76"/>
      <c r="AS1047" s="76"/>
      <c r="AT1047" s="76"/>
      <c r="AU1047" s="76"/>
      <c r="AV1047" s="76"/>
      <c r="AW1047" s="76"/>
      <c r="AX1047" s="76">
        <f>+AW1047*600000</f>
        <v>0</v>
      </c>
      <c r="AY1047" s="76"/>
      <c r="AZ1047" s="76">
        <f>+AY1047*70000</f>
        <v>0</v>
      </c>
      <c r="BA1047" s="76"/>
      <c r="BB1047" s="76"/>
      <c r="BC1047" s="76"/>
      <c r="BD1047" s="76">
        <f>+BC1047*30000</f>
        <v>0</v>
      </c>
      <c r="BE1047" s="76"/>
      <c r="BF1047" s="76"/>
      <c r="BG1047" s="76"/>
      <c r="BH1047" s="76"/>
      <c r="BI1047" s="76"/>
      <c r="BJ1047" s="76"/>
      <c r="BK1047" s="76"/>
      <c r="BL1047" s="76">
        <f>+BK1047*31500</f>
        <v>0</v>
      </c>
      <c r="BM1047" s="76"/>
      <c r="BN1047" s="76"/>
      <c r="BO1047" s="76"/>
      <c r="BP1047" s="76"/>
      <c r="BQ1047" s="76"/>
      <c r="BR1047" s="76"/>
      <c r="BS1047" s="76"/>
      <c r="BT1047" s="76"/>
      <c r="BU1047" s="76"/>
      <c r="BV1047" s="76"/>
      <c r="BW1047" s="76"/>
      <c r="BX1047" s="76"/>
      <c r="BY1047" s="76"/>
      <c r="BZ1047" s="76"/>
      <c r="CA1047" s="76"/>
      <c r="CB1047" s="76"/>
      <c r="CC1047" s="76"/>
      <c r="CD1047" s="76"/>
      <c r="CE1047" s="76"/>
      <c r="CF1047" s="76">
        <f>+CE1047*28000</f>
        <v>0</v>
      </c>
      <c r="CG1047" s="76"/>
      <c r="CH1047" s="76">
        <f>+CG1047*22500</f>
        <v>0</v>
      </c>
      <c r="CI1047" s="76"/>
      <c r="CJ1047" s="76">
        <f>+CI1047*26000</f>
        <v>0</v>
      </c>
      <c r="CK1047" s="76"/>
      <c r="CL1047" s="76"/>
      <c r="CM1047" s="76"/>
      <c r="CN1047" s="76">
        <f>+CM1047*22000</f>
        <v>0</v>
      </c>
      <c r="CO1047" s="76"/>
      <c r="CP1047" s="76">
        <f>+CO1047*46000</f>
        <v>0</v>
      </c>
      <c r="CQ1047" s="76"/>
      <c r="CR1047" s="76">
        <f>+CQ1047*49000</f>
        <v>0</v>
      </c>
      <c r="CS1047" s="76"/>
      <c r="CT1047" s="76"/>
      <c r="CU1047" s="56">
        <f>AN1047+AP1047+AR1047+AT1047+AV1047+AX1047+AZ1047+BB1047+BD1047+BF1047+BH1047+BJ1047+BL1047+BN1047+BP1047+BR1047+BT1047+BV1047+BX1047+BZ1047+CB1047+CD1047+CF1047+CH1047+CJ1047+CL1047+CN1047+CP1047+CR1047+CT1047</f>
        <v>0</v>
      </c>
      <c r="CV1047" s="76"/>
      <c r="CW1047" s="76">
        <f>+CV1047*1100</f>
        <v>0</v>
      </c>
      <c r="CX1047" s="76"/>
      <c r="CY1047" s="76">
        <f>+CX1047*106250</f>
        <v>0</v>
      </c>
      <c r="CZ1047" s="76"/>
      <c r="DA1047" s="76">
        <f>+CZ1047*34500</f>
        <v>0</v>
      </c>
      <c r="DB1047" s="76"/>
      <c r="DC1047" s="76">
        <f>+DB1047*25000</f>
        <v>0</v>
      </c>
      <c r="DD1047" s="219"/>
      <c r="DE1047" s="219"/>
      <c r="DF1047" s="166"/>
      <c r="DG1047" s="116"/>
      <c r="DH1047" s="117"/>
      <c r="DI1047" s="24"/>
      <c r="DJ1047" s="24"/>
      <c r="DK1047" s="24"/>
      <c r="DL1047" s="24"/>
      <c r="DM1047" s="24"/>
      <c r="DN1047" s="24"/>
      <c r="DO1047" s="24"/>
      <c r="DP1047" s="24"/>
      <c r="DQ1047" s="24"/>
      <c r="DR1047" s="24"/>
      <c r="DS1047" s="24"/>
      <c r="DT1047" s="24"/>
      <c r="DU1047" s="24"/>
    </row>
    <row r="1048" spans="1:125" s="8" customFormat="1" ht="108" x14ac:dyDescent="0.2">
      <c r="A1048" s="226">
        <v>41339</v>
      </c>
      <c r="B1048" s="51" t="s">
        <v>2847</v>
      </c>
      <c r="C1048" s="51" t="s">
        <v>1794</v>
      </c>
      <c r="D1048" s="81" t="s">
        <v>2846</v>
      </c>
      <c r="E1048" s="75" t="str">
        <f>VLOOKUP(B1048&amp;C1048,Divipola!$C$2:$F$1138,4,FALSE)</f>
        <v>68895</v>
      </c>
      <c r="F1048" s="183"/>
      <c r="G1048" s="183"/>
      <c r="H1048" s="183"/>
      <c r="I1048" s="183"/>
      <c r="J1048" s="183"/>
      <c r="K1048" s="183"/>
      <c r="L1048" s="183"/>
      <c r="M1048" s="183"/>
      <c r="N1048" s="182"/>
      <c r="O1048" s="182"/>
      <c r="P1048" s="182"/>
      <c r="Q1048" s="182"/>
      <c r="R1048" s="182"/>
      <c r="S1048" s="182"/>
      <c r="T1048" s="182"/>
      <c r="U1048" s="184"/>
      <c r="V1048" s="185"/>
      <c r="W1048" s="96">
        <v>0</v>
      </c>
      <c r="X1048" s="71">
        <f>CU1048</f>
        <v>0</v>
      </c>
      <c r="Y1048" s="71">
        <f>CY1048</f>
        <v>0</v>
      </c>
      <c r="Z1048" s="71">
        <f>DA1048+DC1048+DE1048</f>
        <v>0</v>
      </c>
      <c r="AA1048" s="71">
        <f>CW1048</f>
        <v>0</v>
      </c>
      <c r="AB1048" s="71"/>
      <c r="AC1048" s="71">
        <v>0</v>
      </c>
      <c r="AD1048" s="71">
        <f>W1048+X1048+Y1048+Z1048+AA1048+AB1048+AC1048</f>
        <v>0</v>
      </c>
      <c r="AE1048" s="72">
        <v>0</v>
      </c>
      <c r="AF1048" s="5"/>
      <c r="AG1048" s="6"/>
      <c r="AH1048" s="27" t="s">
        <v>3392</v>
      </c>
      <c r="AI1048" s="44" t="s">
        <v>3393</v>
      </c>
      <c r="AJ1048" s="26"/>
      <c r="AK1048" s="5"/>
      <c r="AL1048" s="82" t="s">
        <v>3833</v>
      </c>
      <c r="AM1048" s="76"/>
      <c r="AN1048" s="76"/>
      <c r="AO1048" s="76"/>
      <c r="AP1048" s="76"/>
      <c r="AQ1048" s="76"/>
      <c r="AR1048" s="76"/>
      <c r="AS1048" s="76"/>
      <c r="AT1048" s="76"/>
      <c r="AU1048" s="76"/>
      <c r="AV1048" s="76"/>
      <c r="AW1048" s="76"/>
      <c r="AX1048" s="76">
        <f>+AW1048*600000</f>
        <v>0</v>
      </c>
      <c r="AY1048" s="76"/>
      <c r="AZ1048" s="76">
        <f>+AY1048*70000</f>
        <v>0</v>
      </c>
      <c r="BA1048" s="76"/>
      <c r="BB1048" s="76"/>
      <c r="BC1048" s="76"/>
      <c r="BD1048" s="76">
        <f>+BC1048*30000</f>
        <v>0</v>
      </c>
      <c r="BE1048" s="76"/>
      <c r="BF1048" s="76"/>
      <c r="BG1048" s="76"/>
      <c r="BH1048" s="76"/>
      <c r="BI1048" s="76"/>
      <c r="BJ1048" s="76"/>
      <c r="BK1048" s="76"/>
      <c r="BL1048" s="76">
        <f>+BK1048*31500</f>
        <v>0</v>
      </c>
      <c r="BM1048" s="76"/>
      <c r="BN1048" s="76"/>
      <c r="BO1048" s="76"/>
      <c r="BP1048" s="76"/>
      <c r="BQ1048" s="76"/>
      <c r="BR1048" s="76"/>
      <c r="BS1048" s="76"/>
      <c r="BT1048" s="76"/>
      <c r="BU1048" s="76"/>
      <c r="BV1048" s="76"/>
      <c r="BW1048" s="76"/>
      <c r="BX1048" s="76"/>
      <c r="BY1048" s="76"/>
      <c r="BZ1048" s="76"/>
      <c r="CA1048" s="76"/>
      <c r="CB1048" s="76"/>
      <c r="CC1048" s="76"/>
      <c r="CD1048" s="76"/>
      <c r="CE1048" s="76"/>
      <c r="CF1048" s="76">
        <f>+CE1048*28000</f>
        <v>0</v>
      </c>
      <c r="CG1048" s="76"/>
      <c r="CH1048" s="76">
        <f>+CG1048*22500</f>
        <v>0</v>
      </c>
      <c r="CI1048" s="76"/>
      <c r="CJ1048" s="76">
        <f>+CI1048*26000</f>
        <v>0</v>
      </c>
      <c r="CK1048" s="76"/>
      <c r="CL1048" s="76"/>
      <c r="CM1048" s="76"/>
      <c r="CN1048" s="76">
        <f>+CM1048*22000</f>
        <v>0</v>
      </c>
      <c r="CO1048" s="76"/>
      <c r="CP1048" s="76">
        <f>+CO1048*46000</f>
        <v>0</v>
      </c>
      <c r="CQ1048" s="76"/>
      <c r="CR1048" s="76">
        <f>+CQ1048*49000</f>
        <v>0</v>
      </c>
      <c r="CS1048" s="76"/>
      <c r="CT1048" s="76"/>
      <c r="CU1048" s="56">
        <f>AN1048+AP1048+AR1048+AT1048+AV1048+AX1048+AZ1048+BB1048+BD1048+BF1048+BH1048+BJ1048+BL1048+BN1048+BP1048+BR1048+BT1048+BV1048+BX1048+BZ1048+CB1048+CD1048+CF1048+CH1048+CJ1048+CL1048+CN1048+CP1048+CR1048+CT1048</f>
        <v>0</v>
      </c>
      <c r="CV1048" s="76"/>
      <c r="CW1048" s="76">
        <f>+CV1048*1100</f>
        <v>0</v>
      </c>
      <c r="CX1048" s="76"/>
      <c r="CY1048" s="76">
        <f>+CX1048*106250</f>
        <v>0</v>
      </c>
      <c r="CZ1048" s="76"/>
      <c r="DA1048" s="76">
        <f>+CZ1048*34500</f>
        <v>0</v>
      </c>
      <c r="DB1048" s="76"/>
      <c r="DC1048" s="76">
        <f>+DB1048*25000</f>
        <v>0</v>
      </c>
      <c r="DD1048" s="219"/>
      <c r="DE1048" s="219"/>
      <c r="DF1048" s="166"/>
      <c r="DG1048" s="116"/>
      <c r="DH1048" s="117"/>
      <c r="DI1048" s="24"/>
      <c r="DJ1048" s="24"/>
      <c r="DK1048" s="24"/>
      <c r="DL1048" s="24"/>
      <c r="DM1048" s="24"/>
      <c r="DN1048" s="24"/>
      <c r="DO1048" s="24"/>
      <c r="DP1048" s="24"/>
      <c r="DQ1048" s="24"/>
      <c r="DR1048" s="24"/>
      <c r="DS1048" s="24"/>
      <c r="DT1048" s="24"/>
      <c r="DU1048" s="24"/>
    </row>
    <row r="1049" spans="1:125" s="8" customFormat="1" ht="72" x14ac:dyDescent="0.2">
      <c r="A1049" s="226">
        <v>41339</v>
      </c>
      <c r="B1049" s="225" t="s">
        <v>2847</v>
      </c>
      <c r="C1049" s="227" t="s">
        <v>1794</v>
      </c>
      <c r="D1049" s="81" t="s">
        <v>2846</v>
      </c>
      <c r="E1049" s="75" t="str">
        <f>VLOOKUP(B1049&amp;C1049,Divipola!$C$2:$F$1138,4,FALSE)</f>
        <v>68895</v>
      </c>
      <c r="F1049" s="87"/>
      <c r="G1049" s="87"/>
      <c r="H1049" s="87"/>
      <c r="I1049" s="87"/>
      <c r="J1049" s="87"/>
      <c r="K1049" s="87"/>
      <c r="L1049" s="87"/>
      <c r="M1049" s="87"/>
      <c r="N1049" s="87"/>
      <c r="O1049" s="87"/>
      <c r="P1049" s="87"/>
      <c r="Q1049" s="87"/>
      <c r="R1049" s="87"/>
      <c r="S1049" s="87"/>
      <c r="T1049" s="87"/>
      <c r="U1049" s="88">
        <v>80</v>
      </c>
      <c r="V1049" s="89"/>
      <c r="W1049" s="96">
        <v>0</v>
      </c>
      <c r="X1049" s="71">
        <f>CU1049</f>
        <v>0</v>
      </c>
      <c r="Y1049" s="71">
        <f>CY1049</f>
        <v>0</v>
      </c>
      <c r="Z1049" s="71">
        <f>DA1049+DC1049+DE1049</f>
        <v>0</v>
      </c>
      <c r="AA1049" s="71">
        <f>CW1049</f>
        <v>0</v>
      </c>
      <c r="AB1049" s="71"/>
      <c r="AC1049" s="71">
        <v>0</v>
      </c>
      <c r="AD1049" s="71">
        <f>W1049+X1049+Y1049+Z1049+AA1049+AB1049+AC1049</f>
        <v>0</v>
      </c>
      <c r="AE1049" s="72">
        <v>0</v>
      </c>
      <c r="AF1049" s="5"/>
      <c r="AG1049" s="6"/>
      <c r="AH1049" s="27" t="s">
        <v>3392</v>
      </c>
      <c r="AI1049" s="44" t="s">
        <v>3393</v>
      </c>
      <c r="AJ1049" s="26"/>
      <c r="AK1049" s="5"/>
      <c r="AL1049" s="82" t="s">
        <v>3848</v>
      </c>
      <c r="AM1049" s="76"/>
      <c r="AN1049" s="76"/>
      <c r="AO1049" s="76"/>
      <c r="AP1049" s="76"/>
      <c r="AQ1049" s="76"/>
      <c r="AR1049" s="76"/>
      <c r="AS1049" s="76"/>
      <c r="AT1049" s="76"/>
      <c r="AU1049" s="76"/>
      <c r="AV1049" s="76"/>
      <c r="AW1049" s="76"/>
      <c r="AX1049" s="76">
        <f>+AW1049*600000</f>
        <v>0</v>
      </c>
      <c r="AY1049" s="76"/>
      <c r="AZ1049" s="76">
        <f>+AY1049*70000</f>
        <v>0</v>
      </c>
      <c r="BA1049" s="76"/>
      <c r="BB1049" s="76"/>
      <c r="BC1049" s="76"/>
      <c r="BD1049" s="76">
        <f>+BC1049*30000</f>
        <v>0</v>
      </c>
      <c r="BE1049" s="76"/>
      <c r="BF1049" s="76"/>
      <c r="BG1049" s="76"/>
      <c r="BH1049" s="76"/>
      <c r="BI1049" s="76"/>
      <c r="BJ1049" s="76"/>
      <c r="BK1049" s="76"/>
      <c r="BL1049" s="76">
        <f>+BK1049*31500</f>
        <v>0</v>
      </c>
      <c r="BM1049" s="76"/>
      <c r="BN1049" s="76"/>
      <c r="BO1049" s="76"/>
      <c r="BP1049" s="76"/>
      <c r="BQ1049" s="76"/>
      <c r="BR1049" s="76"/>
      <c r="BS1049" s="76"/>
      <c r="BT1049" s="76"/>
      <c r="BU1049" s="76"/>
      <c r="BV1049" s="76"/>
      <c r="BW1049" s="76"/>
      <c r="BX1049" s="76"/>
      <c r="BY1049" s="76"/>
      <c r="BZ1049" s="76"/>
      <c r="CA1049" s="76"/>
      <c r="CB1049" s="76"/>
      <c r="CC1049" s="76"/>
      <c r="CD1049" s="76"/>
      <c r="CE1049" s="76"/>
      <c r="CF1049" s="76">
        <f>+CE1049*28000</f>
        <v>0</v>
      </c>
      <c r="CG1049" s="76"/>
      <c r="CH1049" s="76">
        <f>+CG1049*22500</f>
        <v>0</v>
      </c>
      <c r="CI1049" s="76"/>
      <c r="CJ1049" s="76">
        <f>+CI1049*26000</f>
        <v>0</v>
      </c>
      <c r="CK1049" s="76"/>
      <c r="CL1049" s="76"/>
      <c r="CM1049" s="76"/>
      <c r="CN1049" s="76">
        <f>+CM1049*22000</f>
        <v>0</v>
      </c>
      <c r="CO1049" s="76"/>
      <c r="CP1049" s="76">
        <f>+CO1049*46000</f>
        <v>0</v>
      </c>
      <c r="CQ1049" s="76"/>
      <c r="CR1049" s="76">
        <f>+CQ1049*49000</f>
        <v>0</v>
      </c>
      <c r="CS1049" s="76"/>
      <c r="CT1049" s="76"/>
      <c r="CU1049" s="56">
        <f>AN1049+AP1049+AR1049+AT1049+AV1049+AX1049+AZ1049+BB1049+BD1049+BF1049+BH1049+BJ1049+BL1049+BN1049+BP1049+BR1049+BT1049+BV1049+BX1049+BZ1049+CB1049+CD1049+CF1049+CH1049+CJ1049+CL1049+CN1049+CP1049+CR1049+CT1049</f>
        <v>0</v>
      </c>
      <c r="CV1049" s="76"/>
      <c r="CW1049" s="76">
        <f>+CV1049*1100</f>
        <v>0</v>
      </c>
      <c r="CX1049" s="76"/>
      <c r="CY1049" s="76">
        <f>+CX1049*106250</f>
        <v>0</v>
      </c>
      <c r="CZ1049" s="76"/>
      <c r="DA1049" s="76">
        <f>+CZ1049*34500</f>
        <v>0</v>
      </c>
      <c r="DB1049" s="76"/>
      <c r="DC1049" s="76">
        <f>+DB1049*25000</f>
        <v>0</v>
      </c>
      <c r="DD1049" s="219"/>
      <c r="DE1049" s="219"/>
      <c r="DF1049" s="166"/>
      <c r="DG1049" s="116"/>
      <c r="DH1049" s="117"/>
      <c r="DI1049" s="24"/>
      <c r="DJ1049" s="24"/>
      <c r="DK1049" s="24"/>
      <c r="DL1049" s="24"/>
      <c r="DM1049" s="24"/>
      <c r="DN1049" s="24"/>
      <c r="DO1049" s="24"/>
      <c r="DP1049" s="24"/>
      <c r="DQ1049" s="24"/>
      <c r="DR1049" s="24"/>
      <c r="DS1049" s="24"/>
      <c r="DT1049" s="24"/>
      <c r="DU1049" s="24"/>
    </row>
    <row r="1050" spans="1:125" s="8" customFormat="1" ht="36" x14ac:dyDescent="0.2">
      <c r="A1050" s="77">
        <v>41339</v>
      </c>
      <c r="B1050" s="78" t="s">
        <v>2848</v>
      </c>
      <c r="C1050" s="75" t="s">
        <v>2055</v>
      </c>
      <c r="D1050" s="75" t="s">
        <v>3051</v>
      </c>
      <c r="E1050" s="75" t="str">
        <f>VLOOKUP(B1050&amp;C1050,Divipola!$C$2:$F$1138,4,FALSE)</f>
        <v>73275</v>
      </c>
      <c r="F1050" s="163"/>
      <c r="G1050" s="163"/>
      <c r="H1050" s="163"/>
      <c r="I1050" s="163"/>
      <c r="J1050" s="163"/>
      <c r="K1050" s="163"/>
      <c r="L1050" s="163"/>
      <c r="M1050" s="163"/>
      <c r="N1050" s="163"/>
      <c r="O1050" s="163"/>
      <c r="P1050" s="163"/>
      <c r="Q1050" s="163"/>
      <c r="R1050" s="163"/>
      <c r="S1050" s="163"/>
      <c r="T1050" s="163"/>
      <c r="U1050" s="163"/>
      <c r="V1050" s="134"/>
      <c r="W1050" s="96">
        <v>3000000</v>
      </c>
      <c r="X1050" s="71">
        <f>CU1050</f>
        <v>0</v>
      </c>
      <c r="Y1050" s="71">
        <f>CY1050</f>
        <v>0</v>
      </c>
      <c r="Z1050" s="71">
        <f>DA1050+DC1050+DE1050</f>
        <v>0</v>
      </c>
      <c r="AA1050" s="71">
        <f>CW1050</f>
        <v>0</v>
      </c>
      <c r="AB1050" s="71"/>
      <c r="AC1050" s="71">
        <v>0</v>
      </c>
      <c r="AD1050" s="71">
        <f>W1050+X1050+Y1050+Z1050+AA1050+AB1050+AC1050</f>
        <v>3000000</v>
      </c>
      <c r="AE1050" s="72">
        <v>0</v>
      </c>
      <c r="AF1050" s="5"/>
      <c r="AG1050" s="6"/>
      <c r="AH1050" s="27" t="s">
        <v>3390</v>
      </c>
      <c r="AI1050" s="44" t="s">
        <v>3391</v>
      </c>
      <c r="AJ1050" s="26"/>
      <c r="AK1050" s="5"/>
      <c r="AL1050" s="82" t="s">
        <v>3815</v>
      </c>
      <c r="AM1050" s="76"/>
      <c r="AN1050" s="76"/>
      <c r="AO1050" s="76"/>
      <c r="AP1050" s="76"/>
      <c r="AQ1050" s="76"/>
      <c r="AR1050" s="76"/>
      <c r="AS1050" s="76"/>
      <c r="AT1050" s="76"/>
      <c r="AU1050" s="76"/>
      <c r="AV1050" s="76"/>
      <c r="AW1050" s="76"/>
      <c r="AX1050" s="76">
        <f>+AW1050*600000</f>
        <v>0</v>
      </c>
      <c r="AY1050" s="76"/>
      <c r="AZ1050" s="76">
        <f>+AY1050*70000</f>
        <v>0</v>
      </c>
      <c r="BA1050" s="76"/>
      <c r="BB1050" s="76"/>
      <c r="BC1050" s="76"/>
      <c r="BD1050" s="76">
        <f>+BC1050*30000</f>
        <v>0</v>
      </c>
      <c r="BE1050" s="76"/>
      <c r="BF1050" s="76"/>
      <c r="BG1050" s="76"/>
      <c r="BH1050" s="76"/>
      <c r="BI1050" s="76"/>
      <c r="BJ1050" s="76"/>
      <c r="BK1050" s="76"/>
      <c r="BL1050" s="76">
        <f>+BK1050*31500</f>
        <v>0</v>
      </c>
      <c r="BM1050" s="76"/>
      <c r="BN1050" s="76"/>
      <c r="BO1050" s="76"/>
      <c r="BP1050" s="76"/>
      <c r="BQ1050" s="76"/>
      <c r="BR1050" s="76"/>
      <c r="BS1050" s="76"/>
      <c r="BT1050" s="76"/>
      <c r="BU1050" s="76"/>
      <c r="BV1050" s="76"/>
      <c r="BW1050" s="76"/>
      <c r="BX1050" s="76"/>
      <c r="BY1050" s="76"/>
      <c r="BZ1050" s="76"/>
      <c r="CA1050" s="76"/>
      <c r="CB1050" s="76"/>
      <c r="CC1050" s="76"/>
      <c r="CD1050" s="76"/>
      <c r="CE1050" s="76"/>
      <c r="CF1050" s="76">
        <f>+CE1050*28000</f>
        <v>0</v>
      </c>
      <c r="CG1050" s="76"/>
      <c r="CH1050" s="76">
        <f>+CG1050*22500</f>
        <v>0</v>
      </c>
      <c r="CI1050" s="76"/>
      <c r="CJ1050" s="76">
        <f>+CI1050*26000</f>
        <v>0</v>
      </c>
      <c r="CK1050" s="76"/>
      <c r="CL1050" s="76"/>
      <c r="CM1050" s="76"/>
      <c r="CN1050" s="76">
        <f>+CM1050*22000</f>
        <v>0</v>
      </c>
      <c r="CO1050" s="76"/>
      <c r="CP1050" s="76">
        <f>+CO1050*46000</f>
        <v>0</v>
      </c>
      <c r="CQ1050" s="76"/>
      <c r="CR1050" s="76">
        <f>+CQ1050*49000</f>
        <v>0</v>
      </c>
      <c r="CS1050" s="76"/>
      <c r="CT1050" s="76"/>
      <c r="CU1050" s="56">
        <f>AN1050+AP1050+AR1050+AT1050+AV1050+AX1050+AZ1050+BB1050+BD1050+BF1050+BH1050+BJ1050+BL1050+BN1050+BP1050+BR1050+BT1050+BV1050+BX1050+BZ1050+CB1050+CD1050+CF1050+CH1050+CJ1050+CL1050+CN1050+CP1050+CR1050+CT1050</f>
        <v>0</v>
      </c>
      <c r="CV1050" s="76"/>
      <c r="CW1050" s="76">
        <f>+CV1050*1100</f>
        <v>0</v>
      </c>
      <c r="CX1050" s="76"/>
      <c r="CY1050" s="76">
        <f>+CX1050*106250</f>
        <v>0</v>
      </c>
      <c r="CZ1050" s="76"/>
      <c r="DA1050" s="76">
        <f>+CZ1050*34500</f>
        <v>0</v>
      </c>
      <c r="DB1050" s="76"/>
      <c r="DC1050" s="76">
        <f>+DB1050*25000</f>
        <v>0</v>
      </c>
      <c r="DD1050" s="219"/>
      <c r="DE1050" s="219"/>
      <c r="DF1050" s="166"/>
      <c r="DG1050" s="116"/>
      <c r="DH1050" s="117"/>
      <c r="DI1050" s="24"/>
      <c r="DJ1050" s="24"/>
      <c r="DK1050" s="24"/>
      <c r="DL1050" s="24"/>
      <c r="DM1050" s="24"/>
      <c r="DN1050" s="24"/>
      <c r="DO1050" s="24"/>
      <c r="DP1050" s="24"/>
      <c r="DQ1050" s="24"/>
      <c r="DR1050" s="24"/>
      <c r="DS1050" s="24"/>
      <c r="DT1050" s="24"/>
      <c r="DU1050" s="24"/>
    </row>
    <row r="1051" spans="1:125" s="8" customFormat="1" ht="48" x14ac:dyDescent="0.2">
      <c r="A1051" s="77">
        <v>41339</v>
      </c>
      <c r="B1051" s="78" t="s">
        <v>2851</v>
      </c>
      <c r="C1051" s="75" t="s">
        <v>2751</v>
      </c>
      <c r="D1051" s="75" t="s">
        <v>2882</v>
      </c>
      <c r="E1051" s="75" t="str">
        <f>VLOOKUP(B1051&amp;C1051,Divipola!$C$2:$F$1138,4,FALSE)</f>
        <v>76828</v>
      </c>
      <c r="F1051" s="87"/>
      <c r="G1051" s="87"/>
      <c r="H1051" s="87"/>
      <c r="I1051" s="87"/>
      <c r="J1051" s="87"/>
      <c r="K1051" s="87"/>
      <c r="L1051" s="87"/>
      <c r="M1051" s="87"/>
      <c r="N1051" s="87"/>
      <c r="O1051" s="87"/>
      <c r="P1051" s="87"/>
      <c r="Q1051" s="87"/>
      <c r="R1051" s="87"/>
      <c r="S1051" s="87"/>
      <c r="T1051" s="87"/>
      <c r="U1051" s="88"/>
      <c r="V1051" s="89"/>
      <c r="W1051" s="96">
        <v>0</v>
      </c>
      <c r="X1051" s="71">
        <f>CU1051</f>
        <v>0</v>
      </c>
      <c r="Y1051" s="71">
        <f>CY1051</f>
        <v>0</v>
      </c>
      <c r="Z1051" s="71">
        <f>DA1051+DC1051+DE1051</f>
        <v>0</v>
      </c>
      <c r="AA1051" s="71">
        <f>CW1051</f>
        <v>0</v>
      </c>
      <c r="AB1051" s="71"/>
      <c r="AC1051" s="71">
        <v>0</v>
      </c>
      <c r="AD1051" s="71">
        <f>W1051+X1051+Y1051+Z1051+AA1051+AB1051+AC1051</f>
        <v>0</v>
      </c>
      <c r="AE1051" s="72">
        <v>0</v>
      </c>
      <c r="AF1051" s="5"/>
      <c r="AG1051" s="6"/>
      <c r="AH1051" s="27" t="s">
        <v>3392</v>
      </c>
      <c r="AI1051" s="44" t="s">
        <v>3393</v>
      </c>
      <c r="AJ1051" s="26"/>
      <c r="AK1051" s="5"/>
      <c r="AL1051" s="82" t="s">
        <v>3845</v>
      </c>
      <c r="AM1051" s="76"/>
      <c r="AN1051" s="76"/>
      <c r="AO1051" s="76"/>
      <c r="AP1051" s="76"/>
      <c r="AQ1051" s="76"/>
      <c r="AR1051" s="76"/>
      <c r="AS1051" s="76"/>
      <c r="AT1051" s="76"/>
      <c r="AU1051" s="76"/>
      <c r="AV1051" s="76"/>
      <c r="AW1051" s="76"/>
      <c r="AX1051" s="76">
        <f>+AW1051*600000</f>
        <v>0</v>
      </c>
      <c r="AY1051" s="76"/>
      <c r="AZ1051" s="76">
        <f>+AY1051*70000</f>
        <v>0</v>
      </c>
      <c r="BA1051" s="76"/>
      <c r="BB1051" s="76"/>
      <c r="BC1051" s="76"/>
      <c r="BD1051" s="76">
        <f>+BC1051*30000</f>
        <v>0</v>
      </c>
      <c r="BE1051" s="76"/>
      <c r="BF1051" s="76"/>
      <c r="BG1051" s="76"/>
      <c r="BH1051" s="76"/>
      <c r="BI1051" s="76"/>
      <c r="BJ1051" s="76"/>
      <c r="BK1051" s="76"/>
      <c r="BL1051" s="76">
        <f>+BK1051*31500</f>
        <v>0</v>
      </c>
      <c r="BM1051" s="76"/>
      <c r="BN1051" s="76"/>
      <c r="BO1051" s="76"/>
      <c r="BP1051" s="76"/>
      <c r="BQ1051" s="76"/>
      <c r="BR1051" s="76"/>
      <c r="BS1051" s="76"/>
      <c r="BT1051" s="76"/>
      <c r="BU1051" s="76"/>
      <c r="BV1051" s="76"/>
      <c r="BW1051" s="76"/>
      <c r="BX1051" s="76"/>
      <c r="BY1051" s="76"/>
      <c r="BZ1051" s="76"/>
      <c r="CA1051" s="76"/>
      <c r="CB1051" s="76"/>
      <c r="CC1051" s="76"/>
      <c r="CD1051" s="76"/>
      <c r="CE1051" s="76"/>
      <c r="CF1051" s="76">
        <f>+CE1051*28000</f>
        <v>0</v>
      </c>
      <c r="CG1051" s="76"/>
      <c r="CH1051" s="76">
        <f>+CG1051*22500</f>
        <v>0</v>
      </c>
      <c r="CI1051" s="76"/>
      <c r="CJ1051" s="76">
        <f>+CI1051*26000</f>
        <v>0</v>
      </c>
      <c r="CK1051" s="76"/>
      <c r="CL1051" s="76"/>
      <c r="CM1051" s="76"/>
      <c r="CN1051" s="76">
        <f>+CM1051*22000</f>
        <v>0</v>
      </c>
      <c r="CO1051" s="76"/>
      <c r="CP1051" s="76">
        <f>+CO1051*46000</f>
        <v>0</v>
      </c>
      <c r="CQ1051" s="76"/>
      <c r="CR1051" s="76">
        <f>+CQ1051*49000</f>
        <v>0</v>
      </c>
      <c r="CS1051" s="76"/>
      <c r="CT1051" s="76"/>
      <c r="CU1051" s="56">
        <f>AN1051+AP1051+AR1051+AT1051+AV1051+AX1051+AZ1051+BB1051+BD1051+BF1051+BH1051+BJ1051+BL1051+BN1051+BP1051+BR1051+BT1051+BV1051+BX1051+BZ1051+CB1051+CD1051+CF1051+CH1051+CJ1051+CL1051+CN1051+CP1051+CR1051+CT1051</f>
        <v>0</v>
      </c>
      <c r="CV1051" s="76"/>
      <c r="CW1051" s="76">
        <f>+CV1051*1100</f>
        <v>0</v>
      </c>
      <c r="CX1051" s="76"/>
      <c r="CY1051" s="76">
        <f>+CX1051*106250</f>
        <v>0</v>
      </c>
      <c r="CZ1051" s="76"/>
      <c r="DA1051" s="76">
        <f>+CZ1051*34500</f>
        <v>0</v>
      </c>
      <c r="DB1051" s="76"/>
      <c r="DC1051" s="76">
        <f>+DB1051*25000</f>
        <v>0</v>
      </c>
      <c r="DD1051" s="219"/>
      <c r="DE1051" s="219"/>
      <c r="DF1051" s="166"/>
      <c r="DG1051" s="116"/>
      <c r="DH1051" s="117"/>
      <c r="DI1051" s="24"/>
      <c r="DJ1051" s="24"/>
      <c r="DK1051" s="24"/>
      <c r="DL1051" s="24"/>
      <c r="DM1051" s="24"/>
      <c r="DN1051" s="24"/>
      <c r="DO1051" s="24"/>
      <c r="DP1051" s="24"/>
      <c r="DQ1051" s="24"/>
      <c r="DR1051" s="24"/>
      <c r="DS1051" s="24"/>
      <c r="DT1051" s="24"/>
      <c r="DU1051" s="24"/>
    </row>
    <row r="1052" spans="1:125" s="8" customFormat="1" ht="36" x14ac:dyDescent="0.2">
      <c r="A1052" s="226">
        <v>41340</v>
      </c>
      <c r="B1052" s="225" t="s">
        <v>2036</v>
      </c>
      <c r="C1052" s="227" t="s">
        <v>2036</v>
      </c>
      <c r="D1052" s="81" t="s">
        <v>2846</v>
      </c>
      <c r="E1052" s="75" t="str">
        <f>VLOOKUP(B1052&amp;C1052,Divipola!$C$2:$F$1138,4,FALSE)</f>
        <v>81001</v>
      </c>
      <c r="F1052" s="87"/>
      <c r="G1052" s="87"/>
      <c r="H1052" s="87"/>
      <c r="I1052" s="87"/>
      <c r="J1052" s="87"/>
      <c r="K1052" s="87"/>
      <c r="L1052" s="87"/>
      <c r="M1052" s="87"/>
      <c r="N1052" s="87"/>
      <c r="O1052" s="87"/>
      <c r="P1052" s="87"/>
      <c r="Q1052" s="87"/>
      <c r="R1052" s="87"/>
      <c r="S1052" s="87"/>
      <c r="T1052" s="87"/>
      <c r="U1052" s="88">
        <v>10</v>
      </c>
      <c r="V1052" s="89"/>
      <c r="W1052" s="96">
        <v>0</v>
      </c>
      <c r="X1052" s="71">
        <f>CU1052</f>
        <v>0</v>
      </c>
      <c r="Y1052" s="71">
        <f>CY1052</f>
        <v>0</v>
      </c>
      <c r="Z1052" s="71">
        <f>DA1052+DC1052+DE1052</f>
        <v>0</v>
      </c>
      <c r="AA1052" s="71">
        <f>CW1052</f>
        <v>0</v>
      </c>
      <c r="AB1052" s="71"/>
      <c r="AC1052" s="71">
        <v>0</v>
      </c>
      <c r="AD1052" s="71">
        <f>W1052+X1052+Y1052+Z1052+AA1052+AB1052+AC1052</f>
        <v>0</v>
      </c>
      <c r="AE1052" s="72">
        <v>0</v>
      </c>
      <c r="AF1052" s="5"/>
      <c r="AG1052" s="6"/>
      <c r="AH1052" s="27" t="s">
        <v>3392</v>
      </c>
      <c r="AI1052" s="44" t="s">
        <v>3393</v>
      </c>
      <c r="AJ1052" s="26"/>
      <c r="AK1052" s="5"/>
      <c r="AL1052" s="82" t="s">
        <v>3846</v>
      </c>
      <c r="AM1052" s="76"/>
      <c r="AN1052" s="76"/>
      <c r="AO1052" s="76"/>
      <c r="AP1052" s="76"/>
      <c r="AQ1052" s="76"/>
      <c r="AR1052" s="76"/>
      <c r="AS1052" s="76"/>
      <c r="AT1052" s="76"/>
      <c r="AU1052" s="76"/>
      <c r="AV1052" s="76"/>
      <c r="AW1052" s="76"/>
      <c r="AX1052" s="76">
        <f>+AW1052*600000</f>
        <v>0</v>
      </c>
      <c r="AY1052" s="76"/>
      <c r="AZ1052" s="76">
        <f>+AY1052*70000</f>
        <v>0</v>
      </c>
      <c r="BA1052" s="76"/>
      <c r="BB1052" s="76"/>
      <c r="BC1052" s="76"/>
      <c r="BD1052" s="76">
        <f>+BC1052*30000</f>
        <v>0</v>
      </c>
      <c r="BE1052" s="76"/>
      <c r="BF1052" s="76"/>
      <c r="BG1052" s="76"/>
      <c r="BH1052" s="76"/>
      <c r="BI1052" s="76"/>
      <c r="BJ1052" s="76"/>
      <c r="BK1052" s="76"/>
      <c r="BL1052" s="76">
        <f>+BK1052*31500</f>
        <v>0</v>
      </c>
      <c r="BM1052" s="76"/>
      <c r="BN1052" s="76"/>
      <c r="BO1052" s="76"/>
      <c r="BP1052" s="76"/>
      <c r="BQ1052" s="76"/>
      <c r="BR1052" s="76"/>
      <c r="BS1052" s="76"/>
      <c r="BT1052" s="76"/>
      <c r="BU1052" s="76"/>
      <c r="BV1052" s="76"/>
      <c r="BW1052" s="76"/>
      <c r="BX1052" s="76"/>
      <c r="BY1052" s="76"/>
      <c r="BZ1052" s="76"/>
      <c r="CA1052" s="76"/>
      <c r="CB1052" s="76"/>
      <c r="CC1052" s="76"/>
      <c r="CD1052" s="76"/>
      <c r="CE1052" s="76"/>
      <c r="CF1052" s="76">
        <f>+CE1052*28000</f>
        <v>0</v>
      </c>
      <c r="CG1052" s="76"/>
      <c r="CH1052" s="76">
        <f>+CG1052*22500</f>
        <v>0</v>
      </c>
      <c r="CI1052" s="76"/>
      <c r="CJ1052" s="76">
        <f>+CI1052*26000</f>
        <v>0</v>
      </c>
      <c r="CK1052" s="76"/>
      <c r="CL1052" s="76"/>
      <c r="CM1052" s="76"/>
      <c r="CN1052" s="76">
        <f>+CM1052*22000</f>
        <v>0</v>
      </c>
      <c r="CO1052" s="76"/>
      <c r="CP1052" s="76">
        <f>+CO1052*46000</f>
        <v>0</v>
      </c>
      <c r="CQ1052" s="76"/>
      <c r="CR1052" s="76">
        <f>+CQ1052*49000</f>
        <v>0</v>
      </c>
      <c r="CS1052" s="76"/>
      <c r="CT1052" s="76"/>
      <c r="CU1052" s="56">
        <f>AN1052+AP1052+AR1052+AT1052+AV1052+AX1052+AZ1052+BB1052+BD1052+BF1052+BH1052+BJ1052+BL1052+BN1052+BP1052+BR1052+BT1052+BV1052+BX1052+BZ1052+CB1052+CD1052+CF1052+CH1052+CJ1052+CL1052+CN1052+CP1052+CR1052+CT1052</f>
        <v>0</v>
      </c>
      <c r="CV1052" s="76"/>
      <c r="CW1052" s="76">
        <f>+CV1052*1100</f>
        <v>0</v>
      </c>
      <c r="CX1052" s="76"/>
      <c r="CY1052" s="76">
        <f>+CX1052*106250</f>
        <v>0</v>
      </c>
      <c r="CZ1052" s="76"/>
      <c r="DA1052" s="76">
        <f>+CZ1052*34500</f>
        <v>0</v>
      </c>
      <c r="DB1052" s="76"/>
      <c r="DC1052" s="76">
        <f>+DB1052*25000</f>
        <v>0</v>
      </c>
      <c r="DD1052" s="219"/>
      <c r="DE1052" s="219"/>
      <c r="DF1052" s="166"/>
      <c r="DG1052" s="116"/>
      <c r="DH1052" s="117"/>
      <c r="DI1052" s="24"/>
      <c r="DJ1052" s="24"/>
      <c r="DK1052" s="24"/>
      <c r="DL1052" s="24"/>
      <c r="DM1052" s="24"/>
      <c r="DN1052" s="24"/>
      <c r="DO1052" s="24"/>
      <c r="DP1052" s="24"/>
      <c r="DQ1052" s="24"/>
      <c r="DR1052" s="24"/>
      <c r="DS1052" s="24"/>
      <c r="DT1052" s="24"/>
      <c r="DU1052" s="24"/>
    </row>
    <row r="1053" spans="1:125" s="8" customFormat="1" ht="60" x14ac:dyDescent="0.2">
      <c r="A1053" s="226">
        <v>41340</v>
      </c>
      <c r="B1053" s="225" t="s">
        <v>2778</v>
      </c>
      <c r="C1053" s="227" t="s">
        <v>2779</v>
      </c>
      <c r="D1053" s="81" t="s">
        <v>2846</v>
      </c>
      <c r="E1053" s="75" t="str">
        <f>VLOOKUP(B1053&amp;C1053,Divipola!$C$2:$F$1138,4,FALSE)</f>
        <v>85230</v>
      </c>
      <c r="F1053" s="87"/>
      <c r="G1053" s="87"/>
      <c r="H1053" s="87"/>
      <c r="I1053" s="87"/>
      <c r="J1053" s="87"/>
      <c r="K1053" s="87"/>
      <c r="L1053" s="87"/>
      <c r="M1053" s="87"/>
      <c r="N1053" s="87"/>
      <c r="O1053" s="87"/>
      <c r="P1053" s="87"/>
      <c r="Q1053" s="87"/>
      <c r="R1053" s="87"/>
      <c r="S1053" s="87"/>
      <c r="T1053" s="87"/>
      <c r="U1053" s="88">
        <v>60</v>
      </c>
      <c r="V1053" s="89"/>
      <c r="W1053" s="96">
        <v>0</v>
      </c>
      <c r="X1053" s="71">
        <f>CU1053</f>
        <v>0</v>
      </c>
      <c r="Y1053" s="71">
        <f>CY1053</f>
        <v>0</v>
      </c>
      <c r="Z1053" s="71">
        <f>DA1053+DC1053+DE1053</f>
        <v>0</v>
      </c>
      <c r="AA1053" s="71">
        <f>CW1053</f>
        <v>0</v>
      </c>
      <c r="AB1053" s="71"/>
      <c r="AC1053" s="71">
        <v>0</v>
      </c>
      <c r="AD1053" s="71">
        <f>W1053+X1053+Y1053+Z1053+AA1053+AB1053+AC1053</f>
        <v>0</v>
      </c>
      <c r="AE1053" s="72">
        <v>0</v>
      </c>
      <c r="AF1053" s="5"/>
      <c r="AG1053" s="6"/>
      <c r="AH1053" s="27" t="s">
        <v>3392</v>
      </c>
      <c r="AI1053" s="44" t="s">
        <v>3393</v>
      </c>
      <c r="AJ1053" s="26"/>
      <c r="AK1053" s="5"/>
      <c r="AL1053" s="82" t="s">
        <v>3844</v>
      </c>
      <c r="AM1053" s="76"/>
      <c r="AN1053" s="76"/>
      <c r="AO1053" s="76"/>
      <c r="AP1053" s="76"/>
      <c r="AQ1053" s="76"/>
      <c r="AR1053" s="76"/>
      <c r="AS1053" s="76"/>
      <c r="AT1053" s="76"/>
      <c r="AU1053" s="76"/>
      <c r="AV1053" s="76"/>
      <c r="AW1053" s="76"/>
      <c r="AX1053" s="76">
        <f>+AW1053*600000</f>
        <v>0</v>
      </c>
      <c r="AY1053" s="76"/>
      <c r="AZ1053" s="76">
        <f>+AY1053*70000</f>
        <v>0</v>
      </c>
      <c r="BA1053" s="76"/>
      <c r="BB1053" s="76"/>
      <c r="BC1053" s="76"/>
      <c r="BD1053" s="76">
        <f>+BC1053*30000</f>
        <v>0</v>
      </c>
      <c r="BE1053" s="76"/>
      <c r="BF1053" s="76"/>
      <c r="BG1053" s="76"/>
      <c r="BH1053" s="76"/>
      <c r="BI1053" s="76"/>
      <c r="BJ1053" s="76"/>
      <c r="BK1053" s="76"/>
      <c r="BL1053" s="76">
        <f>+BK1053*31500</f>
        <v>0</v>
      </c>
      <c r="BM1053" s="76"/>
      <c r="BN1053" s="76"/>
      <c r="BO1053" s="76"/>
      <c r="BP1053" s="76"/>
      <c r="BQ1053" s="76"/>
      <c r="BR1053" s="76"/>
      <c r="BS1053" s="76"/>
      <c r="BT1053" s="76"/>
      <c r="BU1053" s="76"/>
      <c r="BV1053" s="76"/>
      <c r="BW1053" s="76"/>
      <c r="BX1053" s="76"/>
      <c r="BY1053" s="76"/>
      <c r="BZ1053" s="76"/>
      <c r="CA1053" s="76"/>
      <c r="CB1053" s="76"/>
      <c r="CC1053" s="76"/>
      <c r="CD1053" s="76"/>
      <c r="CE1053" s="76"/>
      <c r="CF1053" s="76">
        <f>+CE1053*28000</f>
        <v>0</v>
      </c>
      <c r="CG1053" s="76"/>
      <c r="CH1053" s="76">
        <f>+CG1053*22500</f>
        <v>0</v>
      </c>
      <c r="CI1053" s="76"/>
      <c r="CJ1053" s="76">
        <f>+CI1053*26000</f>
        <v>0</v>
      </c>
      <c r="CK1053" s="76"/>
      <c r="CL1053" s="76"/>
      <c r="CM1053" s="76"/>
      <c r="CN1053" s="76">
        <f>+CM1053*22000</f>
        <v>0</v>
      </c>
      <c r="CO1053" s="76"/>
      <c r="CP1053" s="76">
        <f>+CO1053*46000</f>
        <v>0</v>
      </c>
      <c r="CQ1053" s="76"/>
      <c r="CR1053" s="76">
        <f>+CQ1053*49000</f>
        <v>0</v>
      </c>
      <c r="CS1053" s="76"/>
      <c r="CT1053" s="76"/>
      <c r="CU1053" s="56">
        <f>AN1053+AP1053+AR1053+AT1053+AV1053+AX1053+AZ1053+BB1053+BD1053+BF1053+BH1053+BJ1053+BL1053+BN1053+BP1053+BR1053+BT1053+BV1053+BX1053+BZ1053+CB1053+CD1053+CF1053+CH1053+CJ1053+CL1053+CN1053+CP1053+CR1053+CT1053</f>
        <v>0</v>
      </c>
      <c r="CV1053" s="76"/>
      <c r="CW1053" s="76">
        <f>+CV1053*1100</f>
        <v>0</v>
      </c>
      <c r="CX1053" s="76"/>
      <c r="CY1053" s="76">
        <f>+CX1053*106250</f>
        <v>0</v>
      </c>
      <c r="CZ1053" s="76"/>
      <c r="DA1053" s="76">
        <f>+CZ1053*34500</f>
        <v>0</v>
      </c>
      <c r="DB1053" s="76"/>
      <c r="DC1053" s="76">
        <f>+DB1053*25000</f>
        <v>0</v>
      </c>
      <c r="DD1053" s="219"/>
      <c r="DE1053" s="219"/>
      <c r="DF1053" s="166"/>
      <c r="DG1053" s="116"/>
      <c r="DH1053" s="117"/>
      <c r="DI1053" s="24"/>
      <c r="DJ1053" s="24"/>
      <c r="DK1053" s="24"/>
      <c r="DL1053" s="24"/>
      <c r="DM1053" s="24"/>
      <c r="DN1053" s="24"/>
      <c r="DO1053" s="24"/>
      <c r="DP1053" s="24"/>
      <c r="DQ1053" s="24"/>
      <c r="DR1053" s="24"/>
      <c r="DS1053" s="24"/>
      <c r="DT1053" s="24"/>
      <c r="DU1053" s="24"/>
    </row>
    <row r="1054" spans="1:125" s="8" customFormat="1" ht="48" x14ac:dyDescent="0.2">
      <c r="A1054" s="226">
        <v>41340</v>
      </c>
      <c r="B1054" s="225" t="s">
        <v>2778</v>
      </c>
      <c r="C1054" s="227" t="s">
        <v>1344</v>
      </c>
      <c r="D1054" s="81" t="s">
        <v>2846</v>
      </c>
      <c r="E1054" s="75" t="str">
        <f>VLOOKUP(B1054&amp;C1054,Divipola!$C$2:$F$1138,4,FALSE)</f>
        <v>85001</v>
      </c>
      <c r="F1054" s="87"/>
      <c r="G1054" s="87"/>
      <c r="H1054" s="87"/>
      <c r="I1054" s="87"/>
      <c r="J1054" s="87"/>
      <c r="K1054" s="87"/>
      <c r="L1054" s="87"/>
      <c r="M1054" s="87"/>
      <c r="N1054" s="87"/>
      <c r="O1054" s="87"/>
      <c r="P1054" s="87"/>
      <c r="Q1054" s="87"/>
      <c r="R1054" s="87"/>
      <c r="S1054" s="87"/>
      <c r="T1054" s="87"/>
      <c r="U1054" s="88"/>
      <c r="V1054" s="89"/>
      <c r="W1054" s="96">
        <v>0</v>
      </c>
      <c r="X1054" s="71">
        <f>CU1054</f>
        <v>0</v>
      </c>
      <c r="Y1054" s="71">
        <f>CY1054</f>
        <v>0</v>
      </c>
      <c r="Z1054" s="71">
        <f>DA1054+DC1054+DE1054</f>
        <v>0</v>
      </c>
      <c r="AA1054" s="71">
        <f>CW1054</f>
        <v>0</v>
      </c>
      <c r="AB1054" s="71"/>
      <c r="AC1054" s="71">
        <v>0</v>
      </c>
      <c r="AD1054" s="71">
        <f>W1054+X1054+Y1054+Z1054+AA1054+AB1054+AC1054</f>
        <v>0</v>
      </c>
      <c r="AE1054" s="72">
        <v>0</v>
      </c>
      <c r="AF1054" s="5"/>
      <c r="AG1054" s="6"/>
      <c r="AH1054" s="27" t="s">
        <v>3392</v>
      </c>
      <c r="AI1054" s="44" t="s">
        <v>3393</v>
      </c>
      <c r="AJ1054" s="26"/>
      <c r="AK1054" s="5"/>
      <c r="AL1054" s="82" t="s">
        <v>3842</v>
      </c>
      <c r="AM1054" s="76"/>
      <c r="AN1054" s="76"/>
      <c r="AO1054" s="76"/>
      <c r="AP1054" s="76"/>
      <c r="AQ1054" s="76"/>
      <c r="AR1054" s="76"/>
      <c r="AS1054" s="76"/>
      <c r="AT1054" s="76"/>
      <c r="AU1054" s="76"/>
      <c r="AV1054" s="76"/>
      <c r="AW1054" s="76"/>
      <c r="AX1054" s="76">
        <f>+AW1054*600000</f>
        <v>0</v>
      </c>
      <c r="AY1054" s="76"/>
      <c r="AZ1054" s="76">
        <f>+AY1054*70000</f>
        <v>0</v>
      </c>
      <c r="BA1054" s="76"/>
      <c r="BB1054" s="76"/>
      <c r="BC1054" s="76"/>
      <c r="BD1054" s="76">
        <f>+BC1054*30000</f>
        <v>0</v>
      </c>
      <c r="BE1054" s="76"/>
      <c r="BF1054" s="76"/>
      <c r="BG1054" s="76"/>
      <c r="BH1054" s="76"/>
      <c r="BI1054" s="76"/>
      <c r="BJ1054" s="76"/>
      <c r="BK1054" s="76"/>
      <c r="BL1054" s="76">
        <f>+BK1054*31500</f>
        <v>0</v>
      </c>
      <c r="BM1054" s="76"/>
      <c r="BN1054" s="76"/>
      <c r="BO1054" s="76"/>
      <c r="BP1054" s="76"/>
      <c r="BQ1054" s="76"/>
      <c r="BR1054" s="76"/>
      <c r="BS1054" s="76"/>
      <c r="BT1054" s="76"/>
      <c r="BU1054" s="76"/>
      <c r="BV1054" s="76"/>
      <c r="BW1054" s="76"/>
      <c r="BX1054" s="76"/>
      <c r="BY1054" s="76"/>
      <c r="BZ1054" s="76"/>
      <c r="CA1054" s="76"/>
      <c r="CB1054" s="76"/>
      <c r="CC1054" s="76"/>
      <c r="CD1054" s="76"/>
      <c r="CE1054" s="76"/>
      <c r="CF1054" s="76">
        <f>+CE1054*28000</f>
        <v>0</v>
      </c>
      <c r="CG1054" s="76"/>
      <c r="CH1054" s="76">
        <f>+CG1054*22500</f>
        <v>0</v>
      </c>
      <c r="CI1054" s="76"/>
      <c r="CJ1054" s="76">
        <f>+CI1054*26000</f>
        <v>0</v>
      </c>
      <c r="CK1054" s="76"/>
      <c r="CL1054" s="76"/>
      <c r="CM1054" s="76"/>
      <c r="CN1054" s="76">
        <f>+CM1054*22000</f>
        <v>0</v>
      </c>
      <c r="CO1054" s="76"/>
      <c r="CP1054" s="76">
        <f>+CO1054*46000</f>
        <v>0</v>
      </c>
      <c r="CQ1054" s="76"/>
      <c r="CR1054" s="76">
        <f>+CQ1054*49000</f>
        <v>0</v>
      </c>
      <c r="CS1054" s="76"/>
      <c r="CT1054" s="76"/>
      <c r="CU1054" s="56">
        <f>AN1054+AP1054+AR1054+AT1054+AV1054+AX1054+AZ1054+BB1054+BD1054+BF1054+BH1054+BJ1054+BL1054+BN1054+BP1054+BR1054+BT1054+BV1054+BX1054+BZ1054+CB1054+CD1054+CF1054+CH1054+CJ1054+CL1054+CN1054+CP1054+CR1054+CT1054</f>
        <v>0</v>
      </c>
      <c r="CV1054" s="76"/>
      <c r="CW1054" s="76">
        <f>+CV1054*1100</f>
        <v>0</v>
      </c>
      <c r="CX1054" s="76"/>
      <c r="CY1054" s="76">
        <f>+CX1054*106250</f>
        <v>0</v>
      </c>
      <c r="CZ1054" s="76"/>
      <c r="DA1054" s="76">
        <f>+CZ1054*34500</f>
        <v>0</v>
      </c>
      <c r="DB1054" s="76"/>
      <c r="DC1054" s="76">
        <f>+DB1054*25000</f>
        <v>0</v>
      </c>
      <c r="DD1054" s="219"/>
      <c r="DE1054" s="219"/>
      <c r="DF1054" s="166"/>
      <c r="DG1054" s="116"/>
      <c r="DH1054" s="117"/>
      <c r="DI1054" s="24"/>
      <c r="DJ1054" s="24"/>
      <c r="DK1054" s="24"/>
      <c r="DL1054" s="24"/>
      <c r="DM1054" s="24"/>
      <c r="DN1054" s="24"/>
      <c r="DO1054" s="24"/>
      <c r="DP1054" s="24"/>
      <c r="DQ1054" s="24"/>
      <c r="DR1054" s="24"/>
      <c r="DS1054" s="24"/>
      <c r="DT1054" s="24"/>
      <c r="DU1054" s="24"/>
    </row>
    <row r="1055" spans="1:125" s="8" customFormat="1" ht="36" x14ac:dyDescent="0.2">
      <c r="A1055" s="353">
        <v>41340</v>
      </c>
      <c r="B1055" s="352" t="s">
        <v>2854</v>
      </c>
      <c r="C1055" s="354" t="s">
        <v>1346</v>
      </c>
      <c r="D1055" s="354" t="s">
        <v>2882</v>
      </c>
      <c r="E1055" s="75" t="str">
        <f>VLOOKUP(B1055&amp;C1055,Divipola!$C$2:$F$1138,4,FALSE)</f>
        <v>19050</v>
      </c>
      <c r="F1055" s="87"/>
      <c r="G1055" s="87"/>
      <c r="H1055" s="87"/>
      <c r="I1055" s="87">
        <v>25</v>
      </c>
      <c r="J1055" s="87">
        <v>5</v>
      </c>
      <c r="K1055" s="87"/>
      <c r="L1055" s="87">
        <v>5</v>
      </c>
      <c r="M1055" s="87"/>
      <c r="N1055" s="87"/>
      <c r="O1055" s="87"/>
      <c r="P1055" s="87"/>
      <c r="Q1055" s="87"/>
      <c r="R1055" s="87"/>
      <c r="S1055" s="87"/>
      <c r="T1055" s="87"/>
      <c r="U1055" s="88"/>
      <c r="V1055" s="89"/>
      <c r="W1055" s="96">
        <v>0</v>
      </c>
      <c r="X1055" s="71">
        <f>CU1055</f>
        <v>0</v>
      </c>
      <c r="Y1055" s="71">
        <f>CY1055</f>
        <v>0</v>
      </c>
      <c r="Z1055" s="71">
        <f>DA1055+DC1055+DE1055</f>
        <v>0</v>
      </c>
      <c r="AA1055" s="71">
        <f>CW1055</f>
        <v>0</v>
      </c>
      <c r="AB1055" s="71"/>
      <c r="AC1055" s="71">
        <v>0</v>
      </c>
      <c r="AD1055" s="71">
        <f>W1055+X1055+Y1055+Z1055+AA1055+AB1055+AC1055</f>
        <v>0</v>
      </c>
      <c r="AE1055" s="72">
        <v>0</v>
      </c>
      <c r="AF1055" s="5"/>
      <c r="AG1055" s="6"/>
      <c r="AH1055" s="27" t="s">
        <v>3392</v>
      </c>
      <c r="AI1055" s="44" t="s">
        <v>3393</v>
      </c>
      <c r="AJ1055" s="26"/>
      <c r="AK1055" s="5"/>
      <c r="AL1055" s="82" t="s">
        <v>3843</v>
      </c>
      <c r="AM1055" s="76"/>
      <c r="AN1055" s="76"/>
      <c r="AO1055" s="76"/>
      <c r="AP1055" s="76"/>
      <c r="AQ1055" s="76"/>
      <c r="AR1055" s="76"/>
      <c r="AS1055" s="76"/>
      <c r="AT1055" s="76"/>
      <c r="AU1055" s="76"/>
      <c r="AV1055" s="76"/>
      <c r="AW1055" s="76"/>
      <c r="AX1055" s="76">
        <f>+AW1055*600000</f>
        <v>0</v>
      </c>
      <c r="AY1055" s="76"/>
      <c r="AZ1055" s="76">
        <f>+AY1055*70000</f>
        <v>0</v>
      </c>
      <c r="BA1055" s="76"/>
      <c r="BB1055" s="76"/>
      <c r="BC1055" s="76"/>
      <c r="BD1055" s="76">
        <f>+BC1055*30000</f>
        <v>0</v>
      </c>
      <c r="BE1055" s="76"/>
      <c r="BF1055" s="76"/>
      <c r="BG1055" s="76"/>
      <c r="BH1055" s="76"/>
      <c r="BI1055" s="76"/>
      <c r="BJ1055" s="76"/>
      <c r="BK1055" s="76"/>
      <c r="BL1055" s="76">
        <f>+BK1055*31500</f>
        <v>0</v>
      </c>
      <c r="BM1055" s="76"/>
      <c r="BN1055" s="76"/>
      <c r="BO1055" s="76"/>
      <c r="BP1055" s="76"/>
      <c r="BQ1055" s="76"/>
      <c r="BR1055" s="76"/>
      <c r="BS1055" s="76"/>
      <c r="BT1055" s="76"/>
      <c r="BU1055" s="76"/>
      <c r="BV1055" s="76"/>
      <c r="BW1055" s="76"/>
      <c r="BX1055" s="76"/>
      <c r="BY1055" s="76"/>
      <c r="BZ1055" s="76"/>
      <c r="CA1055" s="76"/>
      <c r="CB1055" s="76"/>
      <c r="CC1055" s="76"/>
      <c r="CD1055" s="76"/>
      <c r="CE1055" s="76"/>
      <c r="CF1055" s="76">
        <f>+CE1055*28000</f>
        <v>0</v>
      </c>
      <c r="CG1055" s="76"/>
      <c r="CH1055" s="76">
        <f>+CG1055*22500</f>
        <v>0</v>
      </c>
      <c r="CI1055" s="76"/>
      <c r="CJ1055" s="76">
        <f>+CI1055*26000</f>
        <v>0</v>
      </c>
      <c r="CK1055" s="76"/>
      <c r="CL1055" s="76"/>
      <c r="CM1055" s="76"/>
      <c r="CN1055" s="76">
        <f>+CM1055*22000</f>
        <v>0</v>
      </c>
      <c r="CO1055" s="76"/>
      <c r="CP1055" s="76">
        <f>+CO1055*46000</f>
        <v>0</v>
      </c>
      <c r="CQ1055" s="76"/>
      <c r="CR1055" s="76">
        <f>+CQ1055*49000</f>
        <v>0</v>
      </c>
      <c r="CS1055" s="76"/>
      <c r="CT1055" s="76"/>
      <c r="CU1055" s="56">
        <f>AN1055+AP1055+AR1055+AT1055+AV1055+AX1055+AZ1055+BB1055+BD1055+BF1055+BH1055+BJ1055+BL1055+BN1055+BP1055+BR1055+BT1055+BV1055+BX1055+BZ1055+CB1055+CD1055+CF1055+CH1055+CJ1055+CL1055+CN1055+CP1055+CR1055+CT1055</f>
        <v>0</v>
      </c>
      <c r="CV1055" s="76"/>
      <c r="CW1055" s="76">
        <f>+CV1055*1100</f>
        <v>0</v>
      </c>
      <c r="CX1055" s="76"/>
      <c r="CY1055" s="76">
        <f>+CX1055*106250</f>
        <v>0</v>
      </c>
      <c r="CZ1055" s="76"/>
      <c r="DA1055" s="76">
        <f>+CZ1055*34500</f>
        <v>0</v>
      </c>
      <c r="DB1055" s="76"/>
      <c r="DC1055" s="76">
        <f>+DB1055*25000</f>
        <v>0</v>
      </c>
      <c r="DD1055" s="219"/>
      <c r="DE1055" s="219"/>
      <c r="DF1055" s="166"/>
      <c r="DG1055" s="116"/>
      <c r="DH1055" s="117"/>
      <c r="DI1055" s="24"/>
      <c r="DJ1055" s="24"/>
      <c r="DK1055" s="24"/>
      <c r="DL1055" s="24"/>
      <c r="DM1055" s="24"/>
      <c r="DN1055" s="24"/>
      <c r="DO1055" s="24"/>
      <c r="DP1055" s="24"/>
      <c r="DQ1055" s="24"/>
      <c r="DR1055" s="24"/>
      <c r="DS1055" s="24"/>
      <c r="DT1055" s="24"/>
      <c r="DU1055" s="24"/>
    </row>
    <row r="1056" spans="1:125" s="8" customFormat="1" ht="409.5" x14ac:dyDescent="0.2">
      <c r="A1056" s="226">
        <v>41340</v>
      </c>
      <c r="B1056" s="225" t="s">
        <v>2854</v>
      </c>
      <c r="C1056" s="227" t="s">
        <v>2769</v>
      </c>
      <c r="D1056" s="227" t="s">
        <v>3194</v>
      </c>
      <c r="E1056" s="75" t="str">
        <f>VLOOKUP(B1056&amp;C1056,Divipola!$C$2:$F$1138,4,FALSE)</f>
        <v>19824</v>
      </c>
      <c r="F1056" s="87"/>
      <c r="G1056" s="87"/>
      <c r="H1056" s="87"/>
      <c r="I1056" s="87">
        <v>355</v>
      </c>
      <c r="J1056" s="87">
        <v>71</v>
      </c>
      <c r="K1056" s="87"/>
      <c r="L1056" s="87">
        <v>71</v>
      </c>
      <c r="M1056" s="87"/>
      <c r="N1056" s="87"/>
      <c r="O1056" s="87"/>
      <c r="P1056" s="87"/>
      <c r="Q1056" s="87"/>
      <c r="R1056" s="87"/>
      <c r="S1056" s="87"/>
      <c r="T1056" s="87"/>
      <c r="U1056" s="88"/>
      <c r="V1056" s="89"/>
      <c r="W1056" s="96">
        <v>0</v>
      </c>
      <c r="X1056" s="71">
        <f>CU1056</f>
        <v>0</v>
      </c>
      <c r="Y1056" s="71">
        <f>CY1056</f>
        <v>0</v>
      </c>
      <c r="Z1056" s="71">
        <f>DA1056+DC1056+DE1056</f>
        <v>0</v>
      </c>
      <c r="AA1056" s="71">
        <f>CW1056</f>
        <v>0</v>
      </c>
      <c r="AB1056" s="71"/>
      <c r="AC1056" s="71">
        <v>0</v>
      </c>
      <c r="AD1056" s="71">
        <f>W1056+X1056+Y1056+Z1056+AA1056+AB1056+AC1056</f>
        <v>0</v>
      </c>
      <c r="AE1056" s="72">
        <v>0</v>
      </c>
      <c r="AF1056" s="5"/>
      <c r="AG1056" s="6"/>
      <c r="AH1056" s="27" t="s">
        <v>3390</v>
      </c>
      <c r="AI1056" s="44" t="s">
        <v>3393</v>
      </c>
      <c r="AJ1056" s="26"/>
      <c r="AK1056" s="5" t="s">
        <v>4244</v>
      </c>
      <c r="AL1056" s="82" t="s">
        <v>3864</v>
      </c>
      <c r="AM1056" s="76"/>
      <c r="AN1056" s="76"/>
      <c r="AO1056" s="76"/>
      <c r="AP1056" s="76"/>
      <c r="AQ1056" s="76"/>
      <c r="AR1056" s="76"/>
      <c r="AS1056" s="76"/>
      <c r="AT1056" s="76"/>
      <c r="AU1056" s="76"/>
      <c r="AV1056" s="76"/>
      <c r="AW1056" s="76"/>
      <c r="AX1056" s="76">
        <f>+AW1056*600000</f>
        <v>0</v>
      </c>
      <c r="AY1056" s="76"/>
      <c r="AZ1056" s="76">
        <f>+AY1056*70000</f>
        <v>0</v>
      </c>
      <c r="BA1056" s="76"/>
      <c r="BB1056" s="76"/>
      <c r="BC1056" s="76"/>
      <c r="BD1056" s="76">
        <f>+BC1056*30000</f>
        <v>0</v>
      </c>
      <c r="BE1056" s="76"/>
      <c r="BF1056" s="76"/>
      <c r="BG1056" s="76"/>
      <c r="BH1056" s="76"/>
      <c r="BI1056" s="76"/>
      <c r="BJ1056" s="76"/>
      <c r="BK1056" s="76"/>
      <c r="BL1056" s="76">
        <f>+BK1056*31500</f>
        <v>0</v>
      </c>
      <c r="BM1056" s="76"/>
      <c r="BN1056" s="76"/>
      <c r="BO1056" s="76"/>
      <c r="BP1056" s="76"/>
      <c r="BQ1056" s="76"/>
      <c r="BR1056" s="76"/>
      <c r="BS1056" s="76"/>
      <c r="BT1056" s="76"/>
      <c r="BU1056" s="76"/>
      <c r="BV1056" s="76"/>
      <c r="BW1056" s="76"/>
      <c r="BX1056" s="76"/>
      <c r="BY1056" s="76"/>
      <c r="BZ1056" s="76"/>
      <c r="CA1056" s="76"/>
      <c r="CB1056" s="76"/>
      <c r="CC1056" s="76"/>
      <c r="CD1056" s="76"/>
      <c r="CE1056" s="76"/>
      <c r="CF1056" s="76">
        <f>+CE1056*28000</f>
        <v>0</v>
      </c>
      <c r="CG1056" s="76"/>
      <c r="CH1056" s="76">
        <f>+CG1056*22500</f>
        <v>0</v>
      </c>
      <c r="CI1056" s="76"/>
      <c r="CJ1056" s="76">
        <f>+CI1056*26000</f>
        <v>0</v>
      </c>
      <c r="CK1056" s="76"/>
      <c r="CL1056" s="76"/>
      <c r="CM1056" s="76"/>
      <c r="CN1056" s="76">
        <f>+CM1056*22000</f>
        <v>0</v>
      </c>
      <c r="CO1056" s="76"/>
      <c r="CP1056" s="76">
        <f>+CO1056*46000</f>
        <v>0</v>
      </c>
      <c r="CQ1056" s="76"/>
      <c r="CR1056" s="76">
        <f>+CQ1056*49000</f>
        <v>0</v>
      </c>
      <c r="CS1056" s="76"/>
      <c r="CT1056" s="76"/>
      <c r="CU1056" s="56">
        <f>AN1056+AP1056+AR1056+AT1056+AV1056+AX1056+AZ1056+BB1056+BD1056+BF1056+BH1056+BJ1056+BL1056+BN1056+BP1056+BR1056+BT1056+BV1056+BX1056+BZ1056+CB1056+CD1056+CF1056+CH1056+CJ1056+CL1056+CN1056+CP1056+CR1056+CT1056</f>
        <v>0</v>
      </c>
      <c r="CV1056" s="76"/>
      <c r="CW1056" s="76">
        <f>+CV1056*1100</f>
        <v>0</v>
      </c>
      <c r="CX1056" s="76"/>
      <c r="CY1056" s="76">
        <f>+CX1056*106250</f>
        <v>0</v>
      </c>
      <c r="CZ1056" s="76"/>
      <c r="DA1056" s="76">
        <f>+CZ1056*34500</f>
        <v>0</v>
      </c>
      <c r="DB1056" s="76"/>
      <c r="DC1056" s="76">
        <f>+DB1056*25000</f>
        <v>0</v>
      </c>
      <c r="DD1056" s="219"/>
      <c r="DE1056" s="219"/>
      <c r="DF1056" s="166"/>
      <c r="DG1056" s="116"/>
      <c r="DH1056" s="117"/>
      <c r="DI1056" s="24"/>
      <c r="DJ1056" s="24"/>
      <c r="DK1056" s="24"/>
      <c r="DL1056" s="24"/>
      <c r="DM1056" s="24"/>
      <c r="DN1056" s="24"/>
      <c r="DO1056" s="24"/>
      <c r="DP1056" s="24"/>
      <c r="DQ1056" s="24"/>
      <c r="DR1056" s="24"/>
      <c r="DS1056" s="24"/>
      <c r="DT1056" s="24"/>
      <c r="DU1056" s="24"/>
    </row>
    <row r="1057" spans="1:125" s="8" customFormat="1" ht="36" x14ac:dyDescent="0.2">
      <c r="A1057" s="353">
        <v>41340</v>
      </c>
      <c r="B1057" s="225" t="s">
        <v>2855</v>
      </c>
      <c r="C1057" s="227" t="s">
        <v>503</v>
      </c>
      <c r="D1057" s="227" t="s">
        <v>2859</v>
      </c>
      <c r="E1057" s="75" t="str">
        <f>VLOOKUP(B1057&amp;C1057,Divipola!$C$2:$F$1138,4,FALSE)</f>
        <v>20175</v>
      </c>
      <c r="F1057" s="87"/>
      <c r="G1057" s="87"/>
      <c r="H1057" s="87"/>
      <c r="I1057" s="87">
        <v>5</v>
      </c>
      <c r="J1057" s="87">
        <v>1</v>
      </c>
      <c r="K1057" s="87"/>
      <c r="L1057" s="87">
        <v>1</v>
      </c>
      <c r="M1057" s="87"/>
      <c r="N1057" s="87"/>
      <c r="O1057" s="87"/>
      <c r="P1057" s="87"/>
      <c r="Q1057" s="87"/>
      <c r="R1057" s="87"/>
      <c r="S1057" s="87"/>
      <c r="T1057" s="87"/>
      <c r="U1057" s="88"/>
      <c r="V1057" s="89"/>
      <c r="W1057" s="96">
        <v>0</v>
      </c>
      <c r="X1057" s="71">
        <f>CU1057</f>
        <v>0</v>
      </c>
      <c r="Y1057" s="71">
        <f>CY1057</f>
        <v>0</v>
      </c>
      <c r="Z1057" s="71">
        <f>DA1057+DC1057+DE1057</f>
        <v>0</v>
      </c>
      <c r="AA1057" s="71">
        <f>CW1057</f>
        <v>0</v>
      </c>
      <c r="AB1057" s="71"/>
      <c r="AC1057" s="71">
        <v>0</v>
      </c>
      <c r="AD1057" s="71">
        <f>W1057+X1057+Y1057+Z1057+AA1057+AB1057+AC1057</f>
        <v>0</v>
      </c>
      <c r="AE1057" s="72">
        <v>0</v>
      </c>
      <c r="AF1057" s="5"/>
      <c r="AG1057" s="6"/>
      <c r="AH1057" s="27" t="s">
        <v>3392</v>
      </c>
      <c r="AI1057" s="44" t="s">
        <v>3393</v>
      </c>
      <c r="AJ1057" s="26"/>
      <c r="AK1057" s="5"/>
      <c r="AL1057" s="82" t="s">
        <v>3841</v>
      </c>
      <c r="AM1057" s="76"/>
      <c r="AN1057" s="76"/>
      <c r="AO1057" s="76"/>
      <c r="AP1057" s="76"/>
      <c r="AQ1057" s="76"/>
      <c r="AR1057" s="76"/>
      <c r="AS1057" s="76"/>
      <c r="AT1057" s="76"/>
      <c r="AU1057" s="76"/>
      <c r="AV1057" s="76"/>
      <c r="AW1057" s="76"/>
      <c r="AX1057" s="76">
        <f>+AW1057*600000</f>
        <v>0</v>
      </c>
      <c r="AY1057" s="76"/>
      <c r="AZ1057" s="76">
        <f>+AY1057*70000</f>
        <v>0</v>
      </c>
      <c r="BA1057" s="76"/>
      <c r="BB1057" s="76"/>
      <c r="BC1057" s="76"/>
      <c r="BD1057" s="76">
        <f>+BC1057*30000</f>
        <v>0</v>
      </c>
      <c r="BE1057" s="76"/>
      <c r="BF1057" s="76"/>
      <c r="BG1057" s="76"/>
      <c r="BH1057" s="76"/>
      <c r="BI1057" s="76"/>
      <c r="BJ1057" s="76"/>
      <c r="BK1057" s="76"/>
      <c r="BL1057" s="76">
        <f>+BK1057*31500</f>
        <v>0</v>
      </c>
      <c r="BM1057" s="76"/>
      <c r="BN1057" s="76"/>
      <c r="BO1057" s="76"/>
      <c r="BP1057" s="76"/>
      <c r="BQ1057" s="76"/>
      <c r="BR1057" s="76"/>
      <c r="BS1057" s="76"/>
      <c r="BT1057" s="76"/>
      <c r="BU1057" s="76"/>
      <c r="BV1057" s="76"/>
      <c r="BW1057" s="76"/>
      <c r="BX1057" s="76"/>
      <c r="BY1057" s="76"/>
      <c r="BZ1057" s="76"/>
      <c r="CA1057" s="76"/>
      <c r="CB1057" s="76"/>
      <c r="CC1057" s="76"/>
      <c r="CD1057" s="76"/>
      <c r="CE1057" s="76"/>
      <c r="CF1057" s="76">
        <f>+CE1057*28000</f>
        <v>0</v>
      </c>
      <c r="CG1057" s="76"/>
      <c r="CH1057" s="76">
        <f>+CG1057*22500</f>
        <v>0</v>
      </c>
      <c r="CI1057" s="76"/>
      <c r="CJ1057" s="76">
        <f>+CI1057*26000</f>
        <v>0</v>
      </c>
      <c r="CK1057" s="76"/>
      <c r="CL1057" s="76"/>
      <c r="CM1057" s="76"/>
      <c r="CN1057" s="76">
        <f>+CM1057*22000</f>
        <v>0</v>
      </c>
      <c r="CO1057" s="76"/>
      <c r="CP1057" s="76">
        <f>+CO1057*46000</f>
        <v>0</v>
      </c>
      <c r="CQ1057" s="76"/>
      <c r="CR1057" s="76">
        <f>+CQ1057*49000</f>
        <v>0</v>
      </c>
      <c r="CS1057" s="76"/>
      <c r="CT1057" s="76"/>
      <c r="CU1057" s="56">
        <f>AN1057+AP1057+AR1057+AT1057+AV1057+AX1057+AZ1057+BB1057+BD1057+BF1057+BH1057+BJ1057+BL1057+BN1057+BP1057+BR1057+BT1057+BV1057+BX1057+BZ1057+CB1057+CD1057+CF1057+CH1057+CJ1057+CL1057+CN1057+CP1057+CR1057+CT1057</f>
        <v>0</v>
      </c>
      <c r="CV1057" s="76"/>
      <c r="CW1057" s="76">
        <f>+CV1057*1100</f>
        <v>0</v>
      </c>
      <c r="CX1057" s="76"/>
      <c r="CY1057" s="76">
        <f>+CX1057*106250</f>
        <v>0</v>
      </c>
      <c r="CZ1057" s="76"/>
      <c r="DA1057" s="76">
        <f>+CZ1057*34500</f>
        <v>0</v>
      </c>
      <c r="DB1057" s="76"/>
      <c r="DC1057" s="76">
        <f>+DB1057*25000</f>
        <v>0</v>
      </c>
      <c r="DD1057" s="219"/>
      <c r="DE1057" s="219"/>
      <c r="DF1057" s="166"/>
      <c r="DG1057" s="116"/>
      <c r="DH1057" s="117"/>
      <c r="DI1057" s="24"/>
      <c r="DJ1057" s="24"/>
      <c r="DK1057" s="24"/>
      <c r="DL1057" s="24"/>
      <c r="DM1057" s="24"/>
      <c r="DN1057" s="24"/>
      <c r="DO1057" s="24"/>
      <c r="DP1057" s="24"/>
      <c r="DQ1057" s="24"/>
      <c r="DR1057" s="24"/>
      <c r="DS1057" s="24"/>
      <c r="DT1057" s="24"/>
      <c r="DU1057" s="24"/>
    </row>
    <row r="1058" spans="1:125" s="8" customFormat="1" ht="84" x14ac:dyDescent="0.2">
      <c r="A1058" s="77">
        <v>41340</v>
      </c>
      <c r="B1058" s="78" t="s">
        <v>2855</v>
      </c>
      <c r="C1058" s="75" t="s">
        <v>919</v>
      </c>
      <c r="D1058" s="75" t="s">
        <v>2882</v>
      </c>
      <c r="E1058" s="75" t="str">
        <f>VLOOKUP(B1058&amp;C1058,Divipola!$C$2:$F$1138,4,FALSE)</f>
        <v>20400</v>
      </c>
      <c r="F1058" s="87"/>
      <c r="G1058" s="87"/>
      <c r="H1058" s="87"/>
      <c r="I1058" s="87">
        <v>85</v>
      </c>
      <c r="J1058" s="87">
        <v>17</v>
      </c>
      <c r="K1058" s="87"/>
      <c r="L1058" s="87">
        <v>17</v>
      </c>
      <c r="M1058" s="87"/>
      <c r="N1058" s="87"/>
      <c r="O1058" s="87"/>
      <c r="P1058" s="87"/>
      <c r="Q1058" s="87"/>
      <c r="R1058" s="87"/>
      <c r="S1058" s="87"/>
      <c r="T1058" s="87"/>
      <c r="U1058" s="88"/>
      <c r="V1058" s="89"/>
      <c r="W1058" s="96">
        <v>0</v>
      </c>
      <c r="X1058" s="71">
        <f>CU1058</f>
        <v>0</v>
      </c>
      <c r="Y1058" s="71">
        <f>CY1058</f>
        <v>0</v>
      </c>
      <c r="Z1058" s="71">
        <f>DA1058+DC1058+DE1058</f>
        <v>0</v>
      </c>
      <c r="AA1058" s="71">
        <f>CW1058</f>
        <v>0</v>
      </c>
      <c r="AB1058" s="71"/>
      <c r="AC1058" s="71">
        <v>0</v>
      </c>
      <c r="AD1058" s="71">
        <f>W1058+X1058+Y1058+Z1058+AA1058+AB1058+AC1058</f>
        <v>0</v>
      </c>
      <c r="AE1058" s="72">
        <v>0</v>
      </c>
      <c r="AF1058" s="5"/>
      <c r="AG1058" s="6"/>
      <c r="AH1058" s="27" t="s">
        <v>3392</v>
      </c>
      <c r="AI1058" s="44" t="s">
        <v>3393</v>
      </c>
      <c r="AJ1058" s="26"/>
      <c r="AK1058" s="5"/>
      <c r="AL1058" s="82" t="s">
        <v>3840</v>
      </c>
      <c r="AM1058" s="76"/>
      <c r="AN1058" s="76"/>
      <c r="AO1058" s="76"/>
      <c r="AP1058" s="76"/>
      <c r="AQ1058" s="76"/>
      <c r="AR1058" s="76"/>
      <c r="AS1058" s="76"/>
      <c r="AT1058" s="76"/>
      <c r="AU1058" s="76"/>
      <c r="AV1058" s="76"/>
      <c r="AW1058" s="76"/>
      <c r="AX1058" s="76">
        <f>+AW1058*600000</f>
        <v>0</v>
      </c>
      <c r="AY1058" s="76"/>
      <c r="AZ1058" s="76">
        <f>+AY1058*70000</f>
        <v>0</v>
      </c>
      <c r="BA1058" s="76"/>
      <c r="BB1058" s="76"/>
      <c r="BC1058" s="76"/>
      <c r="BD1058" s="76">
        <f>+BC1058*30000</f>
        <v>0</v>
      </c>
      <c r="BE1058" s="76"/>
      <c r="BF1058" s="76"/>
      <c r="BG1058" s="76"/>
      <c r="BH1058" s="76"/>
      <c r="BI1058" s="76"/>
      <c r="BJ1058" s="76"/>
      <c r="BK1058" s="76"/>
      <c r="BL1058" s="76">
        <f>+BK1058*31500</f>
        <v>0</v>
      </c>
      <c r="BM1058" s="76"/>
      <c r="BN1058" s="76"/>
      <c r="BO1058" s="76"/>
      <c r="BP1058" s="76"/>
      <c r="BQ1058" s="76"/>
      <c r="BR1058" s="76"/>
      <c r="BS1058" s="76"/>
      <c r="BT1058" s="76"/>
      <c r="BU1058" s="76"/>
      <c r="BV1058" s="76"/>
      <c r="BW1058" s="76"/>
      <c r="BX1058" s="76"/>
      <c r="BY1058" s="76"/>
      <c r="BZ1058" s="76"/>
      <c r="CA1058" s="76"/>
      <c r="CB1058" s="76"/>
      <c r="CC1058" s="76"/>
      <c r="CD1058" s="76"/>
      <c r="CE1058" s="76"/>
      <c r="CF1058" s="76">
        <f>+CE1058*28000</f>
        <v>0</v>
      </c>
      <c r="CG1058" s="76"/>
      <c r="CH1058" s="76">
        <f>+CG1058*22500</f>
        <v>0</v>
      </c>
      <c r="CI1058" s="76"/>
      <c r="CJ1058" s="76">
        <f>+CI1058*26000</f>
        <v>0</v>
      </c>
      <c r="CK1058" s="76"/>
      <c r="CL1058" s="76"/>
      <c r="CM1058" s="76"/>
      <c r="CN1058" s="76">
        <f>+CM1058*22000</f>
        <v>0</v>
      </c>
      <c r="CO1058" s="76"/>
      <c r="CP1058" s="76">
        <f>+CO1058*46000</f>
        <v>0</v>
      </c>
      <c r="CQ1058" s="76"/>
      <c r="CR1058" s="76">
        <f>+CQ1058*49000</f>
        <v>0</v>
      </c>
      <c r="CS1058" s="76"/>
      <c r="CT1058" s="76"/>
      <c r="CU1058" s="56">
        <f>AN1058+AP1058+AR1058+AT1058+AV1058+AX1058+AZ1058+BB1058+BD1058+BF1058+BH1058+BJ1058+BL1058+BN1058+BP1058+BR1058+BT1058+BV1058+BX1058+BZ1058+CB1058+CD1058+CF1058+CH1058+CJ1058+CL1058+CN1058+CP1058+CR1058+CT1058</f>
        <v>0</v>
      </c>
      <c r="CV1058" s="76"/>
      <c r="CW1058" s="76">
        <f>+CV1058*1100</f>
        <v>0</v>
      </c>
      <c r="CX1058" s="76"/>
      <c r="CY1058" s="76">
        <f>+CX1058*106250</f>
        <v>0</v>
      </c>
      <c r="CZ1058" s="76"/>
      <c r="DA1058" s="76">
        <f>+CZ1058*34500</f>
        <v>0</v>
      </c>
      <c r="DB1058" s="76"/>
      <c r="DC1058" s="76">
        <f>+DB1058*25000</f>
        <v>0</v>
      </c>
      <c r="DD1058" s="219"/>
      <c r="DE1058" s="219"/>
      <c r="DF1058" s="166"/>
      <c r="DG1058" s="116"/>
      <c r="DH1058" s="117"/>
      <c r="DI1058" s="24"/>
      <c r="DJ1058" s="24"/>
      <c r="DK1058" s="24"/>
      <c r="DL1058" s="24"/>
      <c r="DM1058" s="24"/>
      <c r="DN1058" s="24"/>
      <c r="DO1058" s="24"/>
      <c r="DP1058" s="24"/>
      <c r="DQ1058" s="24"/>
      <c r="DR1058" s="24"/>
      <c r="DS1058" s="24"/>
      <c r="DT1058" s="24"/>
      <c r="DU1058" s="24"/>
    </row>
    <row r="1059" spans="1:125" s="8" customFormat="1" ht="180" x14ac:dyDescent="0.2">
      <c r="A1059" s="97">
        <v>41340</v>
      </c>
      <c r="B1059" s="225" t="s">
        <v>2906</v>
      </c>
      <c r="C1059" s="227" t="s">
        <v>429</v>
      </c>
      <c r="D1059" s="81" t="s">
        <v>2846</v>
      </c>
      <c r="E1059" s="75" t="str">
        <f>VLOOKUP(B1059&amp;C1059,Divipola!$C$2:$F$1138,4,FALSE)</f>
        <v>47189</v>
      </c>
      <c r="F1059" s="87"/>
      <c r="G1059" s="87"/>
      <c r="H1059" s="87"/>
      <c r="I1059" s="87"/>
      <c r="J1059" s="87"/>
      <c r="K1059" s="87"/>
      <c r="L1059" s="87"/>
      <c r="M1059" s="87"/>
      <c r="N1059" s="87"/>
      <c r="O1059" s="87"/>
      <c r="P1059" s="87"/>
      <c r="Q1059" s="87"/>
      <c r="R1059" s="87"/>
      <c r="S1059" s="87"/>
      <c r="T1059" s="87"/>
      <c r="U1059" s="88"/>
      <c r="V1059" s="89"/>
      <c r="W1059" s="96">
        <v>0</v>
      </c>
      <c r="X1059" s="71">
        <f>CU1059</f>
        <v>0</v>
      </c>
      <c r="Y1059" s="71">
        <f>CY1059</f>
        <v>0</v>
      </c>
      <c r="Z1059" s="71">
        <f>DA1059+DC1059+DE1059</f>
        <v>0</v>
      </c>
      <c r="AA1059" s="71">
        <f>CW1059</f>
        <v>0</v>
      </c>
      <c r="AB1059" s="71"/>
      <c r="AC1059" s="71">
        <v>0</v>
      </c>
      <c r="AD1059" s="71">
        <f>W1059+X1059+Y1059+Z1059+AA1059+AB1059+AC1059</f>
        <v>0</v>
      </c>
      <c r="AE1059" s="72">
        <v>0</v>
      </c>
      <c r="AF1059" s="5"/>
      <c r="AG1059" s="6"/>
      <c r="AH1059" s="27" t="s">
        <v>3392</v>
      </c>
      <c r="AI1059" s="44" t="s">
        <v>3393</v>
      </c>
      <c r="AJ1059" s="26"/>
      <c r="AK1059" s="5"/>
      <c r="AL1059" s="82" t="s">
        <v>3863</v>
      </c>
      <c r="AM1059" s="76"/>
      <c r="AN1059" s="76"/>
      <c r="AO1059" s="76"/>
      <c r="AP1059" s="76"/>
      <c r="AQ1059" s="76"/>
      <c r="AR1059" s="76"/>
      <c r="AS1059" s="76"/>
      <c r="AT1059" s="76"/>
      <c r="AU1059" s="76"/>
      <c r="AV1059" s="76"/>
      <c r="AW1059" s="76"/>
      <c r="AX1059" s="76">
        <f>+AW1059*600000</f>
        <v>0</v>
      </c>
      <c r="AY1059" s="76"/>
      <c r="AZ1059" s="76">
        <f>+AY1059*70000</f>
        <v>0</v>
      </c>
      <c r="BA1059" s="76"/>
      <c r="BB1059" s="76"/>
      <c r="BC1059" s="76"/>
      <c r="BD1059" s="76">
        <f>+BC1059*30000</f>
        <v>0</v>
      </c>
      <c r="BE1059" s="76"/>
      <c r="BF1059" s="76"/>
      <c r="BG1059" s="76"/>
      <c r="BH1059" s="76"/>
      <c r="BI1059" s="76"/>
      <c r="BJ1059" s="76"/>
      <c r="BK1059" s="76"/>
      <c r="BL1059" s="76">
        <f>+BK1059*31500</f>
        <v>0</v>
      </c>
      <c r="BM1059" s="76"/>
      <c r="BN1059" s="76"/>
      <c r="BO1059" s="76"/>
      <c r="BP1059" s="76"/>
      <c r="BQ1059" s="76"/>
      <c r="BR1059" s="76"/>
      <c r="BS1059" s="76"/>
      <c r="BT1059" s="76"/>
      <c r="BU1059" s="76"/>
      <c r="BV1059" s="76"/>
      <c r="BW1059" s="76"/>
      <c r="BX1059" s="76"/>
      <c r="BY1059" s="76"/>
      <c r="BZ1059" s="76"/>
      <c r="CA1059" s="76"/>
      <c r="CB1059" s="76"/>
      <c r="CC1059" s="76"/>
      <c r="CD1059" s="76"/>
      <c r="CE1059" s="76"/>
      <c r="CF1059" s="76">
        <f>+CE1059*28000</f>
        <v>0</v>
      </c>
      <c r="CG1059" s="76"/>
      <c r="CH1059" s="76">
        <f>+CG1059*22500</f>
        <v>0</v>
      </c>
      <c r="CI1059" s="76"/>
      <c r="CJ1059" s="76">
        <f>+CI1059*26000</f>
        <v>0</v>
      </c>
      <c r="CK1059" s="76"/>
      <c r="CL1059" s="76"/>
      <c r="CM1059" s="76"/>
      <c r="CN1059" s="76">
        <f>+CM1059*22000</f>
        <v>0</v>
      </c>
      <c r="CO1059" s="76"/>
      <c r="CP1059" s="76">
        <f>+CO1059*46000</f>
        <v>0</v>
      </c>
      <c r="CQ1059" s="76"/>
      <c r="CR1059" s="76">
        <f>+CQ1059*49000</f>
        <v>0</v>
      </c>
      <c r="CS1059" s="76"/>
      <c r="CT1059" s="76"/>
      <c r="CU1059" s="56">
        <f>AN1059+AP1059+AR1059+AT1059+AV1059+AX1059+AZ1059+BB1059+BD1059+BF1059+BH1059+BJ1059+BL1059+BN1059+BP1059+BR1059+BT1059+BV1059+BX1059+BZ1059+CB1059+CD1059+CF1059+CH1059+CJ1059+CL1059+CN1059+CP1059+CR1059+CT1059</f>
        <v>0</v>
      </c>
      <c r="CV1059" s="76"/>
      <c r="CW1059" s="76">
        <f>+CV1059*1100</f>
        <v>0</v>
      </c>
      <c r="CX1059" s="76"/>
      <c r="CY1059" s="76">
        <f>+CX1059*106250</f>
        <v>0</v>
      </c>
      <c r="CZ1059" s="76"/>
      <c r="DA1059" s="76">
        <f>+CZ1059*34500</f>
        <v>0</v>
      </c>
      <c r="DB1059" s="76"/>
      <c r="DC1059" s="76">
        <f>+DB1059*25000</f>
        <v>0</v>
      </c>
      <c r="DD1059" s="219"/>
      <c r="DE1059" s="219"/>
      <c r="DF1059" s="166"/>
      <c r="DG1059" s="116"/>
      <c r="DH1059" s="117"/>
      <c r="DI1059" s="24"/>
      <c r="DJ1059" s="24"/>
      <c r="DK1059" s="24"/>
      <c r="DL1059" s="24"/>
      <c r="DM1059" s="24"/>
      <c r="DN1059" s="24"/>
      <c r="DO1059" s="24"/>
      <c r="DP1059" s="24"/>
      <c r="DQ1059" s="24"/>
      <c r="DR1059" s="24"/>
      <c r="DS1059" s="24"/>
      <c r="DT1059" s="24"/>
      <c r="DU1059" s="24"/>
    </row>
    <row r="1060" spans="1:125" s="8" customFormat="1" ht="48" x14ac:dyDescent="0.2">
      <c r="A1060" s="97">
        <v>41340</v>
      </c>
      <c r="B1060" s="60" t="s">
        <v>506</v>
      </c>
      <c r="C1060" s="55" t="s">
        <v>1292</v>
      </c>
      <c r="D1060" s="55" t="s">
        <v>2882</v>
      </c>
      <c r="E1060" s="75" t="str">
        <f>VLOOKUP(B1060&amp;C1060,Divipola!$C$2:$F$1138,4,FALSE)</f>
        <v>50150</v>
      </c>
      <c r="F1060" s="87"/>
      <c r="G1060" s="87"/>
      <c r="H1060" s="87"/>
      <c r="I1060" s="87">
        <v>15</v>
      </c>
      <c r="J1060" s="87">
        <v>3</v>
      </c>
      <c r="K1060" s="87"/>
      <c r="L1060" s="87">
        <v>3</v>
      </c>
      <c r="M1060" s="87"/>
      <c r="N1060" s="87"/>
      <c r="O1060" s="87"/>
      <c r="P1060" s="87"/>
      <c r="Q1060" s="87"/>
      <c r="R1060" s="87"/>
      <c r="S1060" s="87"/>
      <c r="T1060" s="87"/>
      <c r="U1060" s="88"/>
      <c r="V1060" s="89"/>
      <c r="W1060" s="96">
        <v>0</v>
      </c>
      <c r="X1060" s="71">
        <f>CU1060</f>
        <v>0</v>
      </c>
      <c r="Y1060" s="71">
        <f>CY1060</f>
        <v>0</v>
      </c>
      <c r="Z1060" s="71">
        <f>DA1060+DC1060+DE1060</f>
        <v>0</v>
      </c>
      <c r="AA1060" s="71">
        <f>CW1060</f>
        <v>0</v>
      </c>
      <c r="AB1060" s="71"/>
      <c r="AC1060" s="71">
        <v>0</v>
      </c>
      <c r="AD1060" s="71">
        <f>W1060+X1060+Y1060+Z1060+AA1060+AB1060+AC1060</f>
        <v>0</v>
      </c>
      <c r="AE1060" s="72">
        <v>0</v>
      </c>
      <c r="AF1060" s="5"/>
      <c r="AG1060" s="6"/>
      <c r="AH1060" s="27" t="s">
        <v>3392</v>
      </c>
      <c r="AI1060" s="44" t="s">
        <v>3393</v>
      </c>
      <c r="AJ1060" s="26"/>
      <c r="AK1060" s="5"/>
      <c r="AL1060" s="82" t="s">
        <v>3860</v>
      </c>
      <c r="AM1060" s="76"/>
      <c r="AN1060" s="76"/>
      <c r="AO1060" s="76"/>
      <c r="AP1060" s="76"/>
      <c r="AQ1060" s="76"/>
      <c r="AR1060" s="76"/>
      <c r="AS1060" s="76"/>
      <c r="AT1060" s="76"/>
      <c r="AU1060" s="76"/>
      <c r="AV1060" s="76"/>
      <c r="AW1060" s="76"/>
      <c r="AX1060" s="76">
        <f>+AW1060*600000</f>
        <v>0</v>
      </c>
      <c r="AY1060" s="76"/>
      <c r="AZ1060" s="76">
        <f>+AY1060*70000</f>
        <v>0</v>
      </c>
      <c r="BA1060" s="76"/>
      <c r="BB1060" s="76"/>
      <c r="BC1060" s="76"/>
      <c r="BD1060" s="76">
        <f>+BC1060*30000</f>
        <v>0</v>
      </c>
      <c r="BE1060" s="76"/>
      <c r="BF1060" s="76"/>
      <c r="BG1060" s="76"/>
      <c r="BH1060" s="76"/>
      <c r="BI1060" s="76"/>
      <c r="BJ1060" s="76"/>
      <c r="BK1060" s="76"/>
      <c r="BL1060" s="76">
        <f>+BK1060*31500</f>
        <v>0</v>
      </c>
      <c r="BM1060" s="76"/>
      <c r="BN1060" s="76"/>
      <c r="BO1060" s="76"/>
      <c r="BP1060" s="76"/>
      <c r="BQ1060" s="76"/>
      <c r="BR1060" s="76"/>
      <c r="BS1060" s="76"/>
      <c r="BT1060" s="76"/>
      <c r="BU1060" s="76"/>
      <c r="BV1060" s="76"/>
      <c r="BW1060" s="76"/>
      <c r="BX1060" s="76"/>
      <c r="BY1060" s="76"/>
      <c r="BZ1060" s="76"/>
      <c r="CA1060" s="76"/>
      <c r="CB1060" s="76"/>
      <c r="CC1060" s="76"/>
      <c r="CD1060" s="76"/>
      <c r="CE1060" s="76"/>
      <c r="CF1060" s="76">
        <f>+CE1060*28000</f>
        <v>0</v>
      </c>
      <c r="CG1060" s="76"/>
      <c r="CH1060" s="76">
        <f>+CG1060*22500</f>
        <v>0</v>
      </c>
      <c r="CI1060" s="76"/>
      <c r="CJ1060" s="76">
        <f>+CI1060*26000</f>
        <v>0</v>
      </c>
      <c r="CK1060" s="76"/>
      <c r="CL1060" s="76"/>
      <c r="CM1060" s="76"/>
      <c r="CN1060" s="76">
        <f>+CM1060*22000</f>
        <v>0</v>
      </c>
      <c r="CO1060" s="76"/>
      <c r="CP1060" s="76">
        <f>+CO1060*46000</f>
        <v>0</v>
      </c>
      <c r="CQ1060" s="76"/>
      <c r="CR1060" s="76">
        <f>+CQ1060*49000</f>
        <v>0</v>
      </c>
      <c r="CS1060" s="76"/>
      <c r="CT1060" s="76"/>
      <c r="CU1060" s="56">
        <f>AN1060+AP1060+AR1060+AT1060+AV1060+AX1060+AZ1060+BB1060+BD1060+BF1060+BH1060+BJ1060+BL1060+BN1060+BP1060+BR1060+BT1060+BV1060+BX1060+BZ1060+CB1060+CD1060+CF1060+CH1060+CJ1060+CL1060+CN1060+CP1060+CR1060+CT1060</f>
        <v>0</v>
      </c>
      <c r="CV1060" s="76"/>
      <c r="CW1060" s="76">
        <f>+CV1060*1100</f>
        <v>0</v>
      </c>
      <c r="CX1060" s="76"/>
      <c r="CY1060" s="76">
        <f>+CX1060*106250</f>
        <v>0</v>
      </c>
      <c r="CZ1060" s="76"/>
      <c r="DA1060" s="76">
        <f>+CZ1060*34500</f>
        <v>0</v>
      </c>
      <c r="DB1060" s="76"/>
      <c r="DC1060" s="76">
        <f>+DB1060*25000</f>
        <v>0</v>
      </c>
      <c r="DD1060" s="219"/>
      <c r="DE1060" s="219"/>
      <c r="DF1060" s="166"/>
      <c r="DG1060" s="116"/>
      <c r="DH1060" s="117"/>
      <c r="DI1060" s="24"/>
      <c r="DJ1060" s="24"/>
      <c r="DK1060" s="24"/>
      <c r="DL1060" s="24"/>
      <c r="DM1060" s="24"/>
      <c r="DN1060" s="24"/>
      <c r="DO1060" s="24"/>
      <c r="DP1060" s="24"/>
      <c r="DQ1060" s="24"/>
      <c r="DR1060" s="24"/>
      <c r="DS1060" s="24"/>
      <c r="DT1060" s="24"/>
      <c r="DU1060" s="24"/>
    </row>
    <row r="1061" spans="1:125" s="8" customFormat="1" ht="108" x14ac:dyDescent="0.2">
      <c r="A1061" s="226">
        <v>41340</v>
      </c>
      <c r="B1061" s="225" t="s">
        <v>2847</v>
      </c>
      <c r="C1061" s="227" t="s">
        <v>1378</v>
      </c>
      <c r="D1061" s="227" t="s">
        <v>3090</v>
      </c>
      <c r="E1061" s="75" t="str">
        <f>VLOOKUP(B1061&amp;C1061,Divipola!$C$2:$F$1138,4,FALSE)</f>
        <v>68077</v>
      </c>
      <c r="F1061" s="87"/>
      <c r="G1061" s="87"/>
      <c r="H1061" s="87"/>
      <c r="I1061" s="87"/>
      <c r="J1061" s="87"/>
      <c r="K1061" s="87"/>
      <c r="L1061" s="87"/>
      <c r="M1061" s="87"/>
      <c r="N1061" s="87"/>
      <c r="O1061" s="87"/>
      <c r="P1061" s="87"/>
      <c r="Q1061" s="87"/>
      <c r="R1061" s="87"/>
      <c r="S1061" s="87"/>
      <c r="T1061" s="87"/>
      <c r="U1061" s="88"/>
      <c r="V1061" s="89"/>
      <c r="W1061" s="96">
        <v>0</v>
      </c>
      <c r="X1061" s="71">
        <f>CU1061</f>
        <v>0</v>
      </c>
      <c r="Y1061" s="71">
        <f>CY1061</f>
        <v>0</v>
      </c>
      <c r="Z1061" s="71">
        <f>DA1061+DC1061+DE1061</f>
        <v>0</v>
      </c>
      <c r="AA1061" s="71">
        <f>CW1061</f>
        <v>0</v>
      </c>
      <c r="AB1061" s="71"/>
      <c r="AC1061" s="71">
        <v>0</v>
      </c>
      <c r="AD1061" s="71">
        <f>W1061+X1061+Y1061+Z1061+AA1061+AB1061+AC1061</f>
        <v>0</v>
      </c>
      <c r="AE1061" s="72">
        <v>0</v>
      </c>
      <c r="AF1061" s="5"/>
      <c r="AG1061" s="6"/>
      <c r="AH1061" s="27" t="s">
        <v>3392</v>
      </c>
      <c r="AI1061" s="44" t="s">
        <v>3393</v>
      </c>
      <c r="AJ1061" s="26"/>
      <c r="AK1061" s="5"/>
      <c r="AL1061" s="82" t="s">
        <v>3849</v>
      </c>
      <c r="AM1061" s="76"/>
      <c r="AN1061" s="76"/>
      <c r="AO1061" s="76"/>
      <c r="AP1061" s="76"/>
      <c r="AQ1061" s="76"/>
      <c r="AR1061" s="76"/>
      <c r="AS1061" s="76"/>
      <c r="AT1061" s="76"/>
      <c r="AU1061" s="76"/>
      <c r="AV1061" s="76"/>
      <c r="AW1061" s="76"/>
      <c r="AX1061" s="76">
        <f>+AW1061*600000</f>
        <v>0</v>
      </c>
      <c r="AY1061" s="76"/>
      <c r="AZ1061" s="76">
        <f>+AY1061*70000</f>
        <v>0</v>
      </c>
      <c r="BA1061" s="76"/>
      <c r="BB1061" s="76"/>
      <c r="BC1061" s="76"/>
      <c r="BD1061" s="76">
        <f>+BC1061*30000</f>
        <v>0</v>
      </c>
      <c r="BE1061" s="76"/>
      <c r="BF1061" s="76"/>
      <c r="BG1061" s="76"/>
      <c r="BH1061" s="76"/>
      <c r="BI1061" s="76"/>
      <c r="BJ1061" s="76"/>
      <c r="BK1061" s="76"/>
      <c r="BL1061" s="76">
        <f>+BK1061*31500</f>
        <v>0</v>
      </c>
      <c r="BM1061" s="76"/>
      <c r="BN1061" s="76"/>
      <c r="BO1061" s="76"/>
      <c r="BP1061" s="76"/>
      <c r="BQ1061" s="76"/>
      <c r="BR1061" s="76"/>
      <c r="BS1061" s="76"/>
      <c r="BT1061" s="76"/>
      <c r="BU1061" s="76"/>
      <c r="BV1061" s="76"/>
      <c r="BW1061" s="76"/>
      <c r="BX1061" s="76"/>
      <c r="BY1061" s="76"/>
      <c r="BZ1061" s="76"/>
      <c r="CA1061" s="76"/>
      <c r="CB1061" s="76"/>
      <c r="CC1061" s="76"/>
      <c r="CD1061" s="76"/>
      <c r="CE1061" s="76"/>
      <c r="CF1061" s="76">
        <f>+CE1061*28000</f>
        <v>0</v>
      </c>
      <c r="CG1061" s="76"/>
      <c r="CH1061" s="76">
        <f>+CG1061*22500</f>
        <v>0</v>
      </c>
      <c r="CI1061" s="76"/>
      <c r="CJ1061" s="76">
        <f>+CI1061*26000</f>
        <v>0</v>
      </c>
      <c r="CK1061" s="76"/>
      <c r="CL1061" s="76"/>
      <c r="CM1061" s="76"/>
      <c r="CN1061" s="76">
        <f>+CM1061*22000</f>
        <v>0</v>
      </c>
      <c r="CO1061" s="76"/>
      <c r="CP1061" s="76">
        <f>+CO1061*46000</f>
        <v>0</v>
      </c>
      <c r="CQ1061" s="76"/>
      <c r="CR1061" s="76">
        <f>+CQ1061*49000</f>
        <v>0</v>
      </c>
      <c r="CS1061" s="76"/>
      <c r="CT1061" s="76"/>
      <c r="CU1061" s="56">
        <f>AN1061+AP1061+AR1061+AT1061+AV1061+AX1061+AZ1061+BB1061+BD1061+BF1061+BH1061+BJ1061+BL1061+BN1061+BP1061+BR1061+BT1061+BV1061+BX1061+BZ1061+CB1061+CD1061+CF1061+CH1061+CJ1061+CL1061+CN1061+CP1061+CR1061+CT1061</f>
        <v>0</v>
      </c>
      <c r="CV1061" s="76"/>
      <c r="CW1061" s="76">
        <f>+CV1061*1100</f>
        <v>0</v>
      </c>
      <c r="CX1061" s="76"/>
      <c r="CY1061" s="76">
        <f>+CX1061*106250</f>
        <v>0</v>
      </c>
      <c r="CZ1061" s="76"/>
      <c r="DA1061" s="76">
        <f>+CZ1061*34500</f>
        <v>0</v>
      </c>
      <c r="DB1061" s="76"/>
      <c r="DC1061" s="76">
        <f>+DB1061*25000</f>
        <v>0</v>
      </c>
      <c r="DD1061" s="219"/>
      <c r="DE1061" s="219"/>
      <c r="DF1061" s="166"/>
      <c r="DG1061" s="116"/>
      <c r="DH1061" s="117"/>
      <c r="DI1061" s="24"/>
      <c r="DJ1061" s="24"/>
      <c r="DK1061" s="24"/>
      <c r="DL1061" s="24"/>
      <c r="DM1061" s="24"/>
      <c r="DN1061" s="24"/>
      <c r="DO1061" s="24"/>
      <c r="DP1061" s="24"/>
      <c r="DQ1061" s="24"/>
      <c r="DR1061" s="24"/>
      <c r="DS1061" s="24"/>
      <c r="DT1061" s="24"/>
      <c r="DU1061" s="24"/>
    </row>
    <row r="1062" spans="1:125" s="8" customFormat="1" ht="84" x14ac:dyDescent="0.2">
      <c r="A1062" s="226">
        <v>41340</v>
      </c>
      <c r="B1062" s="225" t="s">
        <v>2847</v>
      </c>
      <c r="C1062" s="227" t="s">
        <v>1773</v>
      </c>
      <c r="D1062" s="81" t="s">
        <v>2846</v>
      </c>
      <c r="E1062" s="75" t="str">
        <f>VLOOKUP(B1062&amp;C1062,Divipola!$C$2:$F$1138,4,FALSE)</f>
        <v>68684</v>
      </c>
      <c r="F1062" s="87"/>
      <c r="G1062" s="87"/>
      <c r="H1062" s="87"/>
      <c r="I1062" s="87"/>
      <c r="J1062" s="87"/>
      <c r="K1062" s="87"/>
      <c r="L1062" s="87"/>
      <c r="M1062" s="87"/>
      <c r="N1062" s="87"/>
      <c r="O1062" s="87"/>
      <c r="P1062" s="87"/>
      <c r="Q1062" s="87"/>
      <c r="R1062" s="87"/>
      <c r="S1062" s="87"/>
      <c r="T1062" s="87"/>
      <c r="U1062" s="88">
        <v>3</v>
      </c>
      <c r="V1062" s="89"/>
      <c r="W1062" s="96">
        <v>0</v>
      </c>
      <c r="X1062" s="71">
        <f>CU1062</f>
        <v>0</v>
      </c>
      <c r="Y1062" s="71">
        <f>CY1062</f>
        <v>0</v>
      </c>
      <c r="Z1062" s="71">
        <f>DA1062+DC1062+DE1062</f>
        <v>0</v>
      </c>
      <c r="AA1062" s="71">
        <f>CW1062</f>
        <v>0</v>
      </c>
      <c r="AB1062" s="71"/>
      <c r="AC1062" s="71">
        <v>0</v>
      </c>
      <c r="AD1062" s="71">
        <f>W1062+X1062+Y1062+Z1062+AA1062+AB1062+AC1062</f>
        <v>0</v>
      </c>
      <c r="AE1062" s="72">
        <v>0</v>
      </c>
      <c r="AF1062" s="5"/>
      <c r="AG1062" s="6"/>
      <c r="AH1062" s="27" t="s">
        <v>3392</v>
      </c>
      <c r="AI1062" s="44" t="s">
        <v>3393</v>
      </c>
      <c r="AJ1062" s="26"/>
      <c r="AK1062" s="5"/>
      <c r="AL1062" s="82" t="s">
        <v>3847</v>
      </c>
      <c r="AM1062" s="76"/>
      <c r="AN1062" s="76"/>
      <c r="AO1062" s="76"/>
      <c r="AP1062" s="76"/>
      <c r="AQ1062" s="76"/>
      <c r="AR1062" s="76"/>
      <c r="AS1062" s="76"/>
      <c r="AT1062" s="76"/>
      <c r="AU1062" s="76"/>
      <c r="AV1062" s="76"/>
      <c r="AW1062" s="76"/>
      <c r="AX1062" s="76">
        <f>+AW1062*600000</f>
        <v>0</v>
      </c>
      <c r="AY1062" s="76"/>
      <c r="AZ1062" s="76">
        <f>+AY1062*70000</f>
        <v>0</v>
      </c>
      <c r="BA1062" s="76"/>
      <c r="BB1062" s="76"/>
      <c r="BC1062" s="76"/>
      <c r="BD1062" s="76">
        <f>+BC1062*30000</f>
        <v>0</v>
      </c>
      <c r="BE1062" s="76"/>
      <c r="BF1062" s="76"/>
      <c r="BG1062" s="76"/>
      <c r="BH1062" s="76"/>
      <c r="BI1062" s="76"/>
      <c r="BJ1062" s="76"/>
      <c r="BK1062" s="76"/>
      <c r="BL1062" s="76">
        <f>+BK1062*31500</f>
        <v>0</v>
      </c>
      <c r="BM1062" s="76"/>
      <c r="BN1062" s="76"/>
      <c r="BO1062" s="76"/>
      <c r="BP1062" s="76"/>
      <c r="BQ1062" s="76"/>
      <c r="BR1062" s="76"/>
      <c r="BS1062" s="76"/>
      <c r="BT1062" s="76"/>
      <c r="BU1062" s="76"/>
      <c r="BV1062" s="76"/>
      <c r="BW1062" s="76"/>
      <c r="BX1062" s="76"/>
      <c r="BY1062" s="76"/>
      <c r="BZ1062" s="76"/>
      <c r="CA1062" s="76"/>
      <c r="CB1062" s="76"/>
      <c r="CC1062" s="76"/>
      <c r="CD1062" s="76"/>
      <c r="CE1062" s="76"/>
      <c r="CF1062" s="76">
        <f>+CE1062*28000</f>
        <v>0</v>
      </c>
      <c r="CG1062" s="76"/>
      <c r="CH1062" s="76">
        <f>+CG1062*22500</f>
        <v>0</v>
      </c>
      <c r="CI1062" s="76"/>
      <c r="CJ1062" s="76">
        <f>+CI1062*26000</f>
        <v>0</v>
      </c>
      <c r="CK1062" s="76"/>
      <c r="CL1062" s="76"/>
      <c r="CM1062" s="76"/>
      <c r="CN1062" s="76">
        <f>+CM1062*22000</f>
        <v>0</v>
      </c>
      <c r="CO1062" s="76"/>
      <c r="CP1062" s="76">
        <f>+CO1062*46000</f>
        <v>0</v>
      </c>
      <c r="CQ1062" s="76"/>
      <c r="CR1062" s="76">
        <f>+CQ1062*49000</f>
        <v>0</v>
      </c>
      <c r="CS1062" s="76"/>
      <c r="CT1062" s="76"/>
      <c r="CU1062" s="56">
        <f>AN1062+AP1062+AR1062+AT1062+AV1062+AX1062+AZ1062+BB1062+BD1062+BF1062+BH1062+BJ1062+BL1062+BN1062+BP1062+BR1062+BT1062+BV1062+BX1062+BZ1062+CB1062+CD1062+CF1062+CH1062+CJ1062+CL1062+CN1062+CP1062+CR1062+CT1062</f>
        <v>0</v>
      </c>
      <c r="CV1062" s="76"/>
      <c r="CW1062" s="76">
        <f>+CV1062*1100</f>
        <v>0</v>
      </c>
      <c r="CX1062" s="76"/>
      <c r="CY1062" s="76">
        <f>+CX1062*106250</f>
        <v>0</v>
      </c>
      <c r="CZ1062" s="76"/>
      <c r="DA1062" s="76">
        <f>+CZ1062*34500</f>
        <v>0</v>
      </c>
      <c r="DB1062" s="76"/>
      <c r="DC1062" s="76">
        <f>+DB1062*25000</f>
        <v>0</v>
      </c>
      <c r="DD1062" s="219"/>
      <c r="DE1062" s="219"/>
      <c r="DF1062" s="166"/>
      <c r="DG1062" s="116"/>
      <c r="DH1062" s="117"/>
      <c r="DI1062" s="24"/>
      <c r="DJ1062" s="24"/>
      <c r="DK1062" s="24"/>
      <c r="DL1062" s="24"/>
      <c r="DM1062" s="24"/>
      <c r="DN1062" s="24"/>
      <c r="DO1062" s="24"/>
      <c r="DP1062" s="24"/>
      <c r="DQ1062" s="24"/>
      <c r="DR1062" s="24"/>
      <c r="DS1062" s="24"/>
      <c r="DT1062" s="24"/>
      <c r="DU1062" s="24"/>
    </row>
    <row r="1063" spans="1:125" s="8" customFormat="1" ht="96" x14ac:dyDescent="0.2">
      <c r="A1063" s="353">
        <v>41341</v>
      </c>
      <c r="B1063" s="225" t="s">
        <v>2036</v>
      </c>
      <c r="C1063" s="227" t="s">
        <v>1374</v>
      </c>
      <c r="D1063" s="81" t="s">
        <v>2846</v>
      </c>
      <c r="E1063" s="75" t="str">
        <f>VLOOKUP(B1063&amp;C1063,Divipola!$C$2:$F$1138,4,FALSE)</f>
        <v>81065</v>
      </c>
      <c r="F1063" s="87"/>
      <c r="G1063" s="87"/>
      <c r="H1063" s="87"/>
      <c r="I1063" s="87"/>
      <c r="J1063" s="87"/>
      <c r="K1063" s="87"/>
      <c r="L1063" s="87"/>
      <c r="M1063" s="87"/>
      <c r="N1063" s="87"/>
      <c r="O1063" s="87"/>
      <c r="P1063" s="87"/>
      <c r="Q1063" s="87"/>
      <c r="R1063" s="87"/>
      <c r="S1063" s="87"/>
      <c r="T1063" s="87"/>
      <c r="U1063" s="88">
        <v>2</v>
      </c>
      <c r="V1063" s="89"/>
      <c r="W1063" s="96">
        <v>0</v>
      </c>
      <c r="X1063" s="71">
        <f>CU1063</f>
        <v>0</v>
      </c>
      <c r="Y1063" s="71">
        <f>CY1063</f>
        <v>0</v>
      </c>
      <c r="Z1063" s="71">
        <f>DA1063+DC1063+DE1063</f>
        <v>0</v>
      </c>
      <c r="AA1063" s="71">
        <f>CW1063</f>
        <v>0</v>
      </c>
      <c r="AB1063" s="71"/>
      <c r="AC1063" s="71">
        <v>0</v>
      </c>
      <c r="AD1063" s="71">
        <f>W1063+X1063+Y1063+Z1063+AA1063+AB1063+AC1063</f>
        <v>0</v>
      </c>
      <c r="AE1063" s="72">
        <v>0</v>
      </c>
      <c r="AF1063" s="5"/>
      <c r="AG1063" s="6"/>
      <c r="AH1063" s="27" t="s">
        <v>3392</v>
      </c>
      <c r="AI1063" s="44" t="s">
        <v>3393</v>
      </c>
      <c r="AJ1063" s="26"/>
      <c r="AK1063" s="5"/>
      <c r="AL1063" s="82" t="s">
        <v>3859</v>
      </c>
      <c r="AM1063" s="76"/>
      <c r="AN1063" s="76"/>
      <c r="AO1063" s="76"/>
      <c r="AP1063" s="76"/>
      <c r="AQ1063" s="76"/>
      <c r="AR1063" s="76"/>
      <c r="AS1063" s="76"/>
      <c r="AT1063" s="76"/>
      <c r="AU1063" s="76"/>
      <c r="AV1063" s="76"/>
      <c r="AW1063" s="76"/>
      <c r="AX1063" s="76">
        <f>+AW1063*600000</f>
        <v>0</v>
      </c>
      <c r="AY1063" s="76"/>
      <c r="AZ1063" s="76">
        <f>+AY1063*70000</f>
        <v>0</v>
      </c>
      <c r="BA1063" s="76"/>
      <c r="BB1063" s="76"/>
      <c r="BC1063" s="76"/>
      <c r="BD1063" s="76">
        <f>+BC1063*30000</f>
        <v>0</v>
      </c>
      <c r="BE1063" s="76"/>
      <c r="BF1063" s="76"/>
      <c r="BG1063" s="76"/>
      <c r="BH1063" s="76"/>
      <c r="BI1063" s="76"/>
      <c r="BJ1063" s="76"/>
      <c r="BK1063" s="76"/>
      <c r="BL1063" s="76">
        <f>+BK1063*31500</f>
        <v>0</v>
      </c>
      <c r="BM1063" s="76"/>
      <c r="BN1063" s="76"/>
      <c r="BO1063" s="76"/>
      <c r="BP1063" s="76"/>
      <c r="BQ1063" s="76"/>
      <c r="BR1063" s="76"/>
      <c r="BS1063" s="76"/>
      <c r="BT1063" s="76"/>
      <c r="BU1063" s="76"/>
      <c r="BV1063" s="76"/>
      <c r="BW1063" s="76"/>
      <c r="BX1063" s="76"/>
      <c r="BY1063" s="76"/>
      <c r="BZ1063" s="76"/>
      <c r="CA1063" s="76"/>
      <c r="CB1063" s="76"/>
      <c r="CC1063" s="76"/>
      <c r="CD1063" s="76"/>
      <c r="CE1063" s="76"/>
      <c r="CF1063" s="76">
        <f>+CE1063*28000</f>
        <v>0</v>
      </c>
      <c r="CG1063" s="76"/>
      <c r="CH1063" s="76">
        <f>+CG1063*22500</f>
        <v>0</v>
      </c>
      <c r="CI1063" s="76"/>
      <c r="CJ1063" s="76">
        <f>+CI1063*26000</f>
        <v>0</v>
      </c>
      <c r="CK1063" s="76"/>
      <c r="CL1063" s="76"/>
      <c r="CM1063" s="76"/>
      <c r="CN1063" s="76">
        <f>+CM1063*22000</f>
        <v>0</v>
      </c>
      <c r="CO1063" s="76"/>
      <c r="CP1063" s="76">
        <f>+CO1063*46000</f>
        <v>0</v>
      </c>
      <c r="CQ1063" s="76"/>
      <c r="CR1063" s="76">
        <f>+CQ1063*49000</f>
        <v>0</v>
      </c>
      <c r="CS1063" s="76"/>
      <c r="CT1063" s="76"/>
      <c r="CU1063" s="56">
        <f>AN1063+AP1063+AR1063+AT1063+AV1063+AX1063+AZ1063+BB1063+BD1063+BF1063+BH1063+BJ1063+BL1063+BN1063+BP1063+BR1063+BT1063+BV1063+BX1063+BZ1063+CB1063+CD1063+CF1063+CH1063+CJ1063+CL1063+CN1063+CP1063+CR1063+CT1063</f>
        <v>0</v>
      </c>
      <c r="CV1063" s="76"/>
      <c r="CW1063" s="76">
        <f>+CV1063*1100</f>
        <v>0</v>
      </c>
      <c r="CX1063" s="76"/>
      <c r="CY1063" s="76">
        <f>+CX1063*106250</f>
        <v>0</v>
      </c>
      <c r="CZ1063" s="76"/>
      <c r="DA1063" s="76">
        <f>+CZ1063*34500</f>
        <v>0</v>
      </c>
      <c r="DB1063" s="76"/>
      <c r="DC1063" s="76">
        <f>+DB1063*25000</f>
        <v>0</v>
      </c>
      <c r="DD1063" s="219"/>
      <c r="DE1063" s="219"/>
      <c r="DF1063" s="166"/>
      <c r="DG1063" s="116"/>
      <c r="DH1063" s="117"/>
      <c r="DI1063" s="24"/>
      <c r="DJ1063" s="24"/>
      <c r="DK1063" s="24"/>
      <c r="DL1063" s="24"/>
      <c r="DM1063" s="24"/>
      <c r="DN1063" s="24"/>
      <c r="DO1063" s="24"/>
      <c r="DP1063" s="24"/>
      <c r="DQ1063" s="24"/>
      <c r="DR1063" s="24"/>
      <c r="DS1063" s="24"/>
      <c r="DT1063" s="24"/>
      <c r="DU1063" s="24"/>
    </row>
    <row r="1064" spans="1:125" s="8" customFormat="1" ht="96" x14ac:dyDescent="0.2">
      <c r="A1064" s="77">
        <v>41341</v>
      </c>
      <c r="B1064" s="75" t="s">
        <v>2196</v>
      </c>
      <c r="C1064" s="75" t="s">
        <v>758</v>
      </c>
      <c r="D1064" s="75" t="s">
        <v>2936</v>
      </c>
      <c r="E1064" s="75" t="str">
        <f>VLOOKUP(B1064&amp;C1064,Divipola!$C$2:$F$1138,4,FALSE)</f>
        <v>17486</v>
      </c>
      <c r="F1064" s="93">
        <v>1</v>
      </c>
      <c r="G1064" s="93">
        <v>4</v>
      </c>
      <c r="H1064" s="93"/>
      <c r="I1064" s="93">
        <v>5</v>
      </c>
      <c r="J1064" s="93"/>
      <c r="K1064" s="93"/>
      <c r="L1064" s="93"/>
      <c r="M1064" s="93"/>
      <c r="N1064" s="93"/>
      <c r="O1064" s="93"/>
      <c r="P1064" s="93"/>
      <c r="Q1064" s="93"/>
      <c r="R1064" s="93"/>
      <c r="S1064" s="93"/>
      <c r="T1064" s="93"/>
      <c r="U1064" s="93"/>
      <c r="V1064" s="93"/>
      <c r="W1064" s="96">
        <v>0</v>
      </c>
      <c r="X1064" s="71">
        <f>CU1064</f>
        <v>0</v>
      </c>
      <c r="Y1064" s="71">
        <f>CY1064</f>
        <v>0</v>
      </c>
      <c r="Z1064" s="71">
        <f>DA1064+DC1064+DE1064</f>
        <v>0</v>
      </c>
      <c r="AA1064" s="71">
        <f>CW1064</f>
        <v>0</v>
      </c>
      <c r="AB1064" s="71"/>
      <c r="AC1064" s="71">
        <v>0</v>
      </c>
      <c r="AD1064" s="71">
        <f>W1064+X1064+Y1064+Z1064+AA1064+AB1064+AC1064</f>
        <v>0</v>
      </c>
      <c r="AE1064" s="72">
        <v>0</v>
      </c>
      <c r="AF1064" s="5"/>
      <c r="AG1064" s="6"/>
      <c r="AH1064" s="27" t="s">
        <v>3392</v>
      </c>
      <c r="AI1064" s="44" t="s">
        <v>3393</v>
      </c>
      <c r="AJ1064" s="26"/>
      <c r="AK1064" s="5"/>
      <c r="AL1064" s="82" t="s">
        <v>3852</v>
      </c>
      <c r="AM1064" s="76"/>
      <c r="AN1064" s="76"/>
      <c r="AO1064" s="76"/>
      <c r="AP1064" s="76"/>
      <c r="AQ1064" s="76"/>
      <c r="AR1064" s="76"/>
      <c r="AS1064" s="76"/>
      <c r="AT1064" s="76"/>
      <c r="AU1064" s="76"/>
      <c r="AV1064" s="76"/>
      <c r="AW1064" s="76"/>
      <c r="AX1064" s="76">
        <f>+AW1064*600000</f>
        <v>0</v>
      </c>
      <c r="AY1064" s="76"/>
      <c r="AZ1064" s="76">
        <f>+AY1064*70000</f>
        <v>0</v>
      </c>
      <c r="BA1064" s="76"/>
      <c r="BB1064" s="76"/>
      <c r="BC1064" s="76"/>
      <c r="BD1064" s="76">
        <f>+BC1064*30000</f>
        <v>0</v>
      </c>
      <c r="BE1064" s="76"/>
      <c r="BF1064" s="76"/>
      <c r="BG1064" s="76"/>
      <c r="BH1064" s="76"/>
      <c r="BI1064" s="76"/>
      <c r="BJ1064" s="76"/>
      <c r="BK1064" s="76"/>
      <c r="BL1064" s="76">
        <f>+BK1064*31500</f>
        <v>0</v>
      </c>
      <c r="BM1064" s="76"/>
      <c r="BN1064" s="76"/>
      <c r="BO1064" s="76"/>
      <c r="BP1064" s="76"/>
      <c r="BQ1064" s="76"/>
      <c r="BR1064" s="76"/>
      <c r="BS1064" s="76"/>
      <c r="BT1064" s="76"/>
      <c r="BU1064" s="76"/>
      <c r="BV1064" s="76"/>
      <c r="BW1064" s="76"/>
      <c r="BX1064" s="76"/>
      <c r="BY1064" s="76"/>
      <c r="BZ1064" s="76"/>
      <c r="CA1064" s="76"/>
      <c r="CB1064" s="76"/>
      <c r="CC1064" s="76"/>
      <c r="CD1064" s="76"/>
      <c r="CE1064" s="76"/>
      <c r="CF1064" s="76">
        <f>+CE1064*28000</f>
        <v>0</v>
      </c>
      <c r="CG1064" s="76"/>
      <c r="CH1064" s="76">
        <f>+CG1064*22500</f>
        <v>0</v>
      </c>
      <c r="CI1064" s="76"/>
      <c r="CJ1064" s="76">
        <f>+CI1064*26000</f>
        <v>0</v>
      </c>
      <c r="CK1064" s="76"/>
      <c r="CL1064" s="76"/>
      <c r="CM1064" s="76"/>
      <c r="CN1064" s="76">
        <f>+CM1064*22000</f>
        <v>0</v>
      </c>
      <c r="CO1064" s="76"/>
      <c r="CP1064" s="76">
        <f>+CO1064*46000</f>
        <v>0</v>
      </c>
      <c r="CQ1064" s="76"/>
      <c r="CR1064" s="76">
        <f>+CQ1064*49000</f>
        <v>0</v>
      </c>
      <c r="CS1064" s="76"/>
      <c r="CT1064" s="76"/>
      <c r="CU1064" s="56">
        <f>AN1064+AP1064+AR1064+AT1064+AV1064+AX1064+AZ1064+BB1064+BD1064+BF1064+BH1064+BJ1064+BL1064+BN1064+BP1064+BR1064+BT1064+BV1064+BX1064+BZ1064+CB1064+CD1064+CF1064+CH1064+CJ1064+CL1064+CN1064+CP1064+CR1064+CT1064</f>
        <v>0</v>
      </c>
      <c r="CV1064" s="76"/>
      <c r="CW1064" s="76">
        <f>+CV1064*1100</f>
        <v>0</v>
      </c>
      <c r="CX1064" s="76"/>
      <c r="CY1064" s="76">
        <f>+CX1064*106250</f>
        <v>0</v>
      </c>
      <c r="CZ1064" s="76"/>
      <c r="DA1064" s="76">
        <f>+CZ1064*34500</f>
        <v>0</v>
      </c>
      <c r="DB1064" s="76"/>
      <c r="DC1064" s="76">
        <f>+DB1064*25000</f>
        <v>0</v>
      </c>
      <c r="DD1064" s="219"/>
      <c r="DE1064" s="219"/>
      <c r="DF1064" s="166"/>
      <c r="DG1064" s="116"/>
      <c r="DH1064" s="117"/>
      <c r="DI1064" s="24"/>
      <c r="DJ1064" s="24"/>
      <c r="DK1064" s="24"/>
      <c r="DL1064" s="24"/>
      <c r="DM1064" s="24"/>
      <c r="DN1064" s="24"/>
      <c r="DO1064" s="24"/>
      <c r="DP1064" s="24"/>
      <c r="DQ1064" s="24"/>
      <c r="DR1064" s="24"/>
      <c r="DS1064" s="24"/>
      <c r="DT1064" s="24"/>
      <c r="DU1064" s="24"/>
    </row>
    <row r="1065" spans="1:125" s="8" customFormat="1" ht="36" x14ac:dyDescent="0.2">
      <c r="A1065" s="226">
        <v>41341</v>
      </c>
      <c r="B1065" s="225" t="s">
        <v>2087</v>
      </c>
      <c r="C1065" s="227" t="s">
        <v>2692</v>
      </c>
      <c r="D1065" s="227" t="s">
        <v>2859</v>
      </c>
      <c r="E1065" s="75" t="str">
        <f>VLOOKUP(B1065&amp;C1065,Divipola!$C$2:$F$1138,4,FALSE)</f>
        <v>18001</v>
      </c>
      <c r="F1065" s="87"/>
      <c r="G1065" s="87"/>
      <c r="H1065" s="87"/>
      <c r="I1065" s="87">
        <v>5</v>
      </c>
      <c r="J1065" s="87">
        <v>1</v>
      </c>
      <c r="K1065" s="87">
        <v>1</v>
      </c>
      <c r="L1065" s="87"/>
      <c r="M1065" s="87"/>
      <c r="N1065" s="87"/>
      <c r="O1065" s="87"/>
      <c r="P1065" s="87"/>
      <c r="Q1065" s="87"/>
      <c r="R1065" s="87"/>
      <c r="S1065" s="87"/>
      <c r="T1065" s="87"/>
      <c r="U1065" s="88"/>
      <c r="V1065" s="89"/>
      <c r="W1065" s="96">
        <v>0</v>
      </c>
      <c r="X1065" s="71">
        <f>CU1065</f>
        <v>0</v>
      </c>
      <c r="Y1065" s="71">
        <f>CY1065</f>
        <v>0</v>
      </c>
      <c r="Z1065" s="71">
        <f>DA1065+DC1065+DE1065</f>
        <v>0</v>
      </c>
      <c r="AA1065" s="71">
        <f>CW1065</f>
        <v>0</v>
      </c>
      <c r="AB1065" s="71"/>
      <c r="AC1065" s="71">
        <v>0</v>
      </c>
      <c r="AD1065" s="71">
        <f>W1065+X1065+Y1065+Z1065+AA1065+AB1065+AC1065</f>
        <v>0</v>
      </c>
      <c r="AE1065" s="72">
        <v>0</v>
      </c>
      <c r="AF1065" s="5"/>
      <c r="AG1065" s="6"/>
      <c r="AH1065" s="27" t="s">
        <v>3392</v>
      </c>
      <c r="AI1065" s="44" t="s">
        <v>3393</v>
      </c>
      <c r="AJ1065" s="26"/>
      <c r="AK1065" s="5"/>
      <c r="AL1065" s="82" t="s">
        <v>3851</v>
      </c>
      <c r="AM1065" s="76"/>
      <c r="AN1065" s="76"/>
      <c r="AO1065" s="76"/>
      <c r="AP1065" s="76"/>
      <c r="AQ1065" s="76"/>
      <c r="AR1065" s="76"/>
      <c r="AS1065" s="76"/>
      <c r="AT1065" s="76"/>
      <c r="AU1065" s="76"/>
      <c r="AV1065" s="76"/>
      <c r="AW1065" s="76"/>
      <c r="AX1065" s="76">
        <f>+AW1065*600000</f>
        <v>0</v>
      </c>
      <c r="AY1065" s="76"/>
      <c r="AZ1065" s="76">
        <f>+AY1065*70000</f>
        <v>0</v>
      </c>
      <c r="BA1065" s="76"/>
      <c r="BB1065" s="76"/>
      <c r="BC1065" s="76"/>
      <c r="BD1065" s="76">
        <f>+BC1065*30000</f>
        <v>0</v>
      </c>
      <c r="BE1065" s="76"/>
      <c r="BF1065" s="76"/>
      <c r="BG1065" s="76"/>
      <c r="BH1065" s="76"/>
      <c r="BI1065" s="76"/>
      <c r="BJ1065" s="76"/>
      <c r="BK1065" s="76"/>
      <c r="BL1065" s="76">
        <f>+BK1065*31500</f>
        <v>0</v>
      </c>
      <c r="BM1065" s="76"/>
      <c r="BN1065" s="76"/>
      <c r="BO1065" s="76"/>
      <c r="BP1065" s="76"/>
      <c r="BQ1065" s="76"/>
      <c r="BR1065" s="76"/>
      <c r="BS1065" s="76"/>
      <c r="BT1065" s="76"/>
      <c r="BU1065" s="76"/>
      <c r="BV1065" s="76"/>
      <c r="BW1065" s="76"/>
      <c r="BX1065" s="76"/>
      <c r="BY1065" s="76"/>
      <c r="BZ1065" s="76"/>
      <c r="CA1065" s="76"/>
      <c r="CB1065" s="76"/>
      <c r="CC1065" s="76"/>
      <c r="CD1065" s="76"/>
      <c r="CE1065" s="76"/>
      <c r="CF1065" s="76">
        <f>+CE1065*28000</f>
        <v>0</v>
      </c>
      <c r="CG1065" s="76"/>
      <c r="CH1065" s="76">
        <f>+CG1065*22500</f>
        <v>0</v>
      </c>
      <c r="CI1065" s="76"/>
      <c r="CJ1065" s="76">
        <f>+CI1065*26000</f>
        <v>0</v>
      </c>
      <c r="CK1065" s="76"/>
      <c r="CL1065" s="76"/>
      <c r="CM1065" s="76"/>
      <c r="CN1065" s="76">
        <f>+CM1065*22000</f>
        <v>0</v>
      </c>
      <c r="CO1065" s="76"/>
      <c r="CP1065" s="76">
        <f>+CO1065*46000</f>
        <v>0</v>
      </c>
      <c r="CQ1065" s="76"/>
      <c r="CR1065" s="76">
        <f>+CQ1065*49000</f>
        <v>0</v>
      </c>
      <c r="CS1065" s="76"/>
      <c r="CT1065" s="76"/>
      <c r="CU1065" s="56">
        <f>AN1065+AP1065+AR1065+AT1065+AV1065+AX1065+AZ1065+BB1065+BD1065+BF1065+BH1065+BJ1065+BL1065+BN1065+BP1065+BR1065+BT1065+BV1065+BX1065+BZ1065+CB1065+CD1065+CF1065+CH1065+CJ1065+CL1065+CN1065+CP1065+CR1065+CT1065</f>
        <v>0</v>
      </c>
      <c r="CV1065" s="76"/>
      <c r="CW1065" s="76">
        <f>+CV1065*1100</f>
        <v>0</v>
      </c>
      <c r="CX1065" s="76"/>
      <c r="CY1065" s="76">
        <f>+CX1065*106250</f>
        <v>0</v>
      </c>
      <c r="CZ1065" s="76"/>
      <c r="DA1065" s="76">
        <f>+CZ1065*34500</f>
        <v>0</v>
      </c>
      <c r="DB1065" s="76"/>
      <c r="DC1065" s="76">
        <f>+DB1065*25000</f>
        <v>0</v>
      </c>
      <c r="DD1065" s="219"/>
      <c r="DE1065" s="219"/>
      <c r="DF1065" s="166"/>
      <c r="DG1065" s="116"/>
      <c r="DH1065" s="117"/>
      <c r="DI1065" s="24"/>
      <c r="DJ1065" s="24"/>
      <c r="DK1065" s="24"/>
      <c r="DL1065" s="24"/>
      <c r="DM1065" s="24"/>
      <c r="DN1065" s="24"/>
      <c r="DO1065" s="24"/>
      <c r="DP1065" s="24"/>
      <c r="DQ1065" s="24"/>
      <c r="DR1065" s="24"/>
      <c r="DS1065" s="24"/>
      <c r="DT1065" s="24"/>
      <c r="DU1065" s="24"/>
    </row>
    <row r="1066" spans="1:125" s="8" customFormat="1" ht="48" x14ac:dyDescent="0.2">
      <c r="A1066" s="77">
        <v>41341</v>
      </c>
      <c r="B1066" s="337" t="s">
        <v>2087</v>
      </c>
      <c r="C1066" s="227" t="s">
        <v>811</v>
      </c>
      <c r="D1066" s="227" t="s">
        <v>2859</v>
      </c>
      <c r="E1066" s="75" t="str">
        <f>VLOOKUP(B1066&amp;C1066,Divipola!$C$2:$F$1138,4,FALSE)</f>
        <v>18610</v>
      </c>
      <c r="F1066" s="87"/>
      <c r="G1066" s="87"/>
      <c r="H1066" s="87"/>
      <c r="I1066" s="87">
        <v>10</v>
      </c>
      <c r="J1066" s="87">
        <v>2</v>
      </c>
      <c r="K1066" s="87">
        <v>2</v>
      </c>
      <c r="L1066" s="87"/>
      <c r="M1066" s="87"/>
      <c r="N1066" s="87"/>
      <c r="O1066" s="87"/>
      <c r="P1066" s="87"/>
      <c r="Q1066" s="87"/>
      <c r="R1066" s="87"/>
      <c r="S1066" s="87"/>
      <c r="T1066" s="87"/>
      <c r="U1066" s="88"/>
      <c r="V1066" s="89"/>
      <c r="W1066" s="96">
        <v>0</v>
      </c>
      <c r="X1066" s="71">
        <f>CU1066</f>
        <v>0</v>
      </c>
      <c r="Y1066" s="71">
        <f>CY1066</f>
        <v>0</v>
      </c>
      <c r="Z1066" s="71">
        <f>DA1066+DC1066+DE1066</f>
        <v>0</v>
      </c>
      <c r="AA1066" s="71">
        <f>CW1066</f>
        <v>0</v>
      </c>
      <c r="AB1066" s="71"/>
      <c r="AC1066" s="71">
        <v>0</v>
      </c>
      <c r="AD1066" s="71">
        <f>W1066+X1066+Y1066+Z1066+AA1066+AB1066+AC1066</f>
        <v>0</v>
      </c>
      <c r="AE1066" s="72">
        <v>0</v>
      </c>
      <c r="AF1066" s="5"/>
      <c r="AG1066" s="6"/>
      <c r="AH1066" s="27" t="s">
        <v>3392</v>
      </c>
      <c r="AI1066" s="44" t="s">
        <v>3393</v>
      </c>
      <c r="AJ1066" s="26"/>
      <c r="AK1066" s="5"/>
      <c r="AL1066" s="82" t="s">
        <v>3854</v>
      </c>
      <c r="AM1066" s="76"/>
      <c r="AN1066" s="76"/>
      <c r="AO1066" s="76"/>
      <c r="AP1066" s="76"/>
      <c r="AQ1066" s="76"/>
      <c r="AR1066" s="76"/>
      <c r="AS1066" s="76"/>
      <c r="AT1066" s="76"/>
      <c r="AU1066" s="76"/>
      <c r="AV1066" s="76"/>
      <c r="AW1066" s="76"/>
      <c r="AX1066" s="76">
        <f>+AW1066*600000</f>
        <v>0</v>
      </c>
      <c r="AY1066" s="76"/>
      <c r="AZ1066" s="76">
        <f>+AY1066*70000</f>
        <v>0</v>
      </c>
      <c r="BA1066" s="76"/>
      <c r="BB1066" s="76"/>
      <c r="BC1066" s="76"/>
      <c r="BD1066" s="76">
        <f>+BC1066*30000</f>
        <v>0</v>
      </c>
      <c r="BE1066" s="76"/>
      <c r="BF1066" s="76"/>
      <c r="BG1066" s="76"/>
      <c r="BH1066" s="76"/>
      <c r="BI1066" s="76"/>
      <c r="BJ1066" s="76"/>
      <c r="BK1066" s="76"/>
      <c r="BL1066" s="76">
        <f>+BK1066*31500</f>
        <v>0</v>
      </c>
      <c r="BM1066" s="76"/>
      <c r="BN1066" s="76"/>
      <c r="BO1066" s="76"/>
      <c r="BP1066" s="76"/>
      <c r="BQ1066" s="76"/>
      <c r="BR1066" s="76"/>
      <c r="BS1066" s="76"/>
      <c r="BT1066" s="76"/>
      <c r="BU1066" s="76"/>
      <c r="BV1066" s="76"/>
      <c r="BW1066" s="76"/>
      <c r="BX1066" s="76"/>
      <c r="BY1066" s="76"/>
      <c r="BZ1066" s="76"/>
      <c r="CA1066" s="76"/>
      <c r="CB1066" s="76"/>
      <c r="CC1066" s="76"/>
      <c r="CD1066" s="76"/>
      <c r="CE1066" s="76"/>
      <c r="CF1066" s="76">
        <f>+CE1066*28000</f>
        <v>0</v>
      </c>
      <c r="CG1066" s="76"/>
      <c r="CH1066" s="76">
        <f>+CG1066*22500</f>
        <v>0</v>
      </c>
      <c r="CI1066" s="76"/>
      <c r="CJ1066" s="76">
        <f>+CI1066*26000</f>
        <v>0</v>
      </c>
      <c r="CK1066" s="76"/>
      <c r="CL1066" s="76"/>
      <c r="CM1066" s="76"/>
      <c r="CN1066" s="76">
        <f>+CM1066*22000</f>
        <v>0</v>
      </c>
      <c r="CO1066" s="76"/>
      <c r="CP1066" s="76">
        <f>+CO1066*46000</f>
        <v>0</v>
      </c>
      <c r="CQ1066" s="76"/>
      <c r="CR1066" s="76">
        <f>+CQ1066*49000</f>
        <v>0</v>
      </c>
      <c r="CS1066" s="76"/>
      <c r="CT1066" s="76"/>
      <c r="CU1066" s="56">
        <f>AN1066+AP1066+AR1066+AT1066+AV1066+AX1066+AZ1066+BB1066+BD1066+BF1066+BH1066+BJ1066+BL1066+BN1066+BP1066+BR1066+BT1066+BV1066+BX1066+BZ1066+CB1066+CD1066+CF1066+CH1066+CJ1066+CL1066+CN1066+CP1066+CR1066+CT1066</f>
        <v>0</v>
      </c>
      <c r="CV1066" s="76"/>
      <c r="CW1066" s="76">
        <f>+CV1066*1100</f>
        <v>0</v>
      </c>
      <c r="CX1066" s="76"/>
      <c r="CY1066" s="76">
        <f>+CX1066*106250</f>
        <v>0</v>
      </c>
      <c r="CZ1066" s="76"/>
      <c r="DA1066" s="76">
        <f>+CZ1066*34500</f>
        <v>0</v>
      </c>
      <c r="DB1066" s="76"/>
      <c r="DC1066" s="76">
        <f>+DB1066*25000</f>
        <v>0</v>
      </c>
      <c r="DD1066" s="219"/>
      <c r="DE1066" s="219"/>
      <c r="DF1066" s="166"/>
      <c r="DG1066" s="116"/>
      <c r="DH1066" s="117"/>
      <c r="DI1066" s="24"/>
      <c r="DJ1066" s="24"/>
      <c r="DK1066" s="24"/>
      <c r="DL1066" s="24"/>
      <c r="DM1066" s="24"/>
      <c r="DN1066" s="24"/>
      <c r="DO1066" s="24"/>
      <c r="DP1066" s="24"/>
      <c r="DQ1066" s="24"/>
      <c r="DR1066" s="24"/>
      <c r="DS1066" s="24"/>
      <c r="DT1066" s="24"/>
      <c r="DU1066" s="24"/>
    </row>
    <row r="1067" spans="1:125" s="8" customFormat="1" ht="36" x14ac:dyDescent="0.2">
      <c r="A1067" s="226">
        <v>41341</v>
      </c>
      <c r="B1067" s="225" t="s">
        <v>2778</v>
      </c>
      <c r="C1067" s="227" t="s">
        <v>2194</v>
      </c>
      <c r="D1067" s="81" t="s">
        <v>2846</v>
      </c>
      <c r="E1067" s="75" t="str">
        <f>VLOOKUP(B1067&amp;C1067,Divipola!$C$2:$F$1138,4,FALSE)</f>
        <v>85010</v>
      </c>
      <c r="F1067" s="87"/>
      <c r="G1067" s="87"/>
      <c r="H1067" s="87"/>
      <c r="I1067" s="87"/>
      <c r="J1067" s="87"/>
      <c r="K1067" s="87"/>
      <c r="L1067" s="87"/>
      <c r="M1067" s="87"/>
      <c r="N1067" s="87"/>
      <c r="O1067" s="87"/>
      <c r="P1067" s="87"/>
      <c r="Q1067" s="87"/>
      <c r="R1067" s="87"/>
      <c r="S1067" s="87"/>
      <c r="T1067" s="87"/>
      <c r="U1067" s="88">
        <v>1</v>
      </c>
      <c r="V1067" s="89"/>
      <c r="W1067" s="96">
        <v>0</v>
      </c>
      <c r="X1067" s="71">
        <f>CU1067</f>
        <v>0</v>
      </c>
      <c r="Y1067" s="71">
        <f>CY1067</f>
        <v>0</v>
      </c>
      <c r="Z1067" s="71">
        <f>DA1067+DC1067+DE1067</f>
        <v>0</v>
      </c>
      <c r="AA1067" s="71">
        <f>CW1067</f>
        <v>0</v>
      </c>
      <c r="AB1067" s="71"/>
      <c r="AC1067" s="71">
        <v>0</v>
      </c>
      <c r="AD1067" s="71">
        <f>W1067+X1067+Y1067+Z1067+AA1067+AB1067+AC1067</f>
        <v>0</v>
      </c>
      <c r="AE1067" s="72">
        <v>0</v>
      </c>
      <c r="AF1067" s="5"/>
      <c r="AG1067" s="6"/>
      <c r="AH1067" s="27" t="s">
        <v>3392</v>
      </c>
      <c r="AI1067" s="44" t="s">
        <v>3393</v>
      </c>
      <c r="AJ1067" s="26"/>
      <c r="AK1067" s="5"/>
      <c r="AL1067" s="82" t="s">
        <v>3856</v>
      </c>
      <c r="AM1067" s="76"/>
      <c r="AN1067" s="76"/>
      <c r="AO1067" s="76"/>
      <c r="AP1067" s="76"/>
      <c r="AQ1067" s="76"/>
      <c r="AR1067" s="76"/>
      <c r="AS1067" s="76"/>
      <c r="AT1067" s="76"/>
      <c r="AU1067" s="76"/>
      <c r="AV1067" s="76"/>
      <c r="AW1067" s="76"/>
      <c r="AX1067" s="76">
        <f>+AW1067*600000</f>
        <v>0</v>
      </c>
      <c r="AY1067" s="76"/>
      <c r="AZ1067" s="76">
        <f>+AY1067*70000</f>
        <v>0</v>
      </c>
      <c r="BA1067" s="76"/>
      <c r="BB1067" s="76"/>
      <c r="BC1067" s="76"/>
      <c r="BD1067" s="76">
        <f>+BC1067*30000</f>
        <v>0</v>
      </c>
      <c r="BE1067" s="76"/>
      <c r="BF1067" s="76"/>
      <c r="BG1067" s="76"/>
      <c r="BH1067" s="76"/>
      <c r="BI1067" s="76"/>
      <c r="BJ1067" s="76"/>
      <c r="BK1067" s="76"/>
      <c r="BL1067" s="76">
        <f>+BK1067*31500</f>
        <v>0</v>
      </c>
      <c r="BM1067" s="76"/>
      <c r="BN1067" s="76"/>
      <c r="BO1067" s="76"/>
      <c r="BP1067" s="76"/>
      <c r="BQ1067" s="76"/>
      <c r="BR1067" s="76"/>
      <c r="BS1067" s="76"/>
      <c r="BT1067" s="76"/>
      <c r="BU1067" s="76"/>
      <c r="BV1067" s="76"/>
      <c r="BW1067" s="76"/>
      <c r="BX1067" s="76"/>
      <c r="BY1067" s="76"/>
      <c r="BZ1067" s="76"/>
      <c r="CA1067" s="76"/>
      <c r="CB1067" s="76"/>
      <c r="CC1067" s="76"/>
      <c r="CD1067" s="76"/>
      <c r="CE1067" s="76"/>
      <c r="CF1067" s="76">
        <f>+CE1067*28000</f>
        <v>0</v>
      </c>
      <c r="CG1067" s="76"/>
      <c r="CH1067" s="76">
        <f>+CG1067*22500</f>
        <v>0</v>
      </c>
      <c r="CI1067" s="76"/>
      <c r="CJ1067" s="76">
        <f>+CI1067*26000</f>
        <v>0</v>
      </c>
      <c r="CK1067" s="76"/>
      <c r="CL1067" s="76"/>
      <c r="CM1067" s="76"/>
      <c r="CN1067" s="76">
        <f>+CM1067*22000</f>
        <v>0</v>
      </c>
      <c r="CO1067" s="76"/>
      <c r="CP1067" s="76">
        <f>+CO1067*46000</f>
        <v>0</v>
      </c>
      <c r="CQ1067" s="76"/>
      <c r="CR1067" s="76">
        <f>+CQ1067*49000</f>
        <v>0</v>
      </c>
      <c r="CS1067" s="76"/>
      <c r="CT1067" s="76"/>
      <c r="CU1067" s="56">
        <f>AN1067+AP1067+AR1067+AT1067+AV1067+AX1067+AZ1067+BB1067+BD1067+BF1067+BH1067+BJ1067+BL1067+BN1067+BP1067+BR1067+BT1067+BV1067+BX1067+BZ1067+CB1067+CD1067+CF1067+CH1067+CJ1067+CL1067+CN1067+CP1067+CR1067+CT1067</f>
        <v>0</v>
      </c>
      <c r="CV1067" s="76"/>
      <c r="CW1067" s="76">
        <f>+CV1067*1100</f>
        <v>0</v>
      </c>
      <c r="CX1067" s="76"/>
      <c r="CY1067" s="76">
        <f>+CX1067*106250</f>
        <v>0</v>
      </c>
      <c r="CZ1067" s="76"/>
      <c r="DA1067" s="76">
        <f>+CZ1067*34500</f>
        <v>0</v>
      </c>
      <c r="DB1067" s="76"/>
      <c r="DC1067" s="76">
        <f>+DB1067*25000</f>
        <v>0</v>
      </c>
      <c r="DD1067" s="219"/>
      <c r="DE1067" s="219"/>
      <c r="DF1067" s="166"/>
      <c r="DG1067" s="116"/>
      <c r="DH1067" s="117"/>
      <c r="DI1067" s="24"/>
      <c r="DJ1067" s="24"/>
      <c r="DK1067" s="24"/>
      <c r="DL1067" s="24"/>
      <c r="DM1067" s="24"/>
      <c r="DN1067" s="24"/>
      <c r="DO1067" s="24"/>
      <c r="DP1067" s="24"/>
      <c r="DQ1067" s="24"/>
      <c r="DR1067" s="24"/>
      <c r="DS1067" s="24"/>
      <c r="DT1067" s="24"/>
      <c r="DU1067" s="24"/>
    </row>
    <row r="1068" spans="1:125" s="8" customFormat="1" ht="36" x14ac:dyDescent="0.2">
      <c r="A1068" s="353">
        <v>41341</v>
      </c>
      <c r="B1068" s="225" t="s">
        <v>2778</v>
      </c>
      <c r="C1068" s="227" t="s">
        <v>2194</v>
      </c>
      <c r="D1068" s="81" t="s">
        <v>2846</v>
      </c>
      <c r="E1068" s="75" t="str">
        <f>VLOOKUP(B1068&amp;C1068,Divipola!$C$2:$F$1138,4,FALSE)</f>
        <v>85010</v>
      </c>
      <c r="F1068" s="87"/>
      <c r="G1068" s="87"/>
      <c r="H1068" s="87"/>
      <c r="I1068" s="87"/>
      <c r="J1068" s="87"/>
      <c r="K1068" s="87"/>
      <c r="L1068" s="87"/>
      <c r="M1068" s="87"/>
      <c r="N1068" s="87"/>
      <c r="O1068" s="87"/>
      <c r="P1068" s="87"/>
      <c r="Q1068" s="87"/>
      <c r="R1068" s="87"/>
      <c r="S1068" s="87"/>
      <c r="T1068" s="87"/>
      <c r="U1068" s="88">
        <v>10</v>
      </c>
      <c r="V1068" s="89"/>
      <c r="W1068" s="96">
        <v>0</v>
      </c>
      <c r="X1068" s="71">
        <f>CU1068</f>
        <v>0</v>
      </c>
      <c r="Y1068" s="71">
        <f>CY1068</f>
        <v>0</v>
      </c>
      <c r="Z1068" s="71">
        <f>DA1068+DC1068+DE1068</f>
        <v>0</v>
      </c>
      <c r="AA1068" s="71">
        <f>CW1068</f>
        <v>0</v>
      </c>
      <c r="AB1068" s="71"/>
      <c r="AC1068" s="71">
        <v>0</v>
      </c>
      <c r="AD1068" s="71">
        <f>W1068+X1068+Y1068+Z1068+AA1068+AB1068+AC1068</f>
        <v>0</v>
      </c>
      <c r="AE1068" s="72">
        <v>0</v>
      </c>
      <c r="AF1068" s="5"/>
      <c r="AG1068" s="6"/>
      <c r="AH1068" s="27" t="s">
        <v>3392</v>
      </c>
      <c r="AI1068" s="44" t="s">
        <v>3393</v>
      </c>
      <c r="AJ1068" s="26"/>
      <c r="AK1068" s="5"/>
      <c r="AL1068" s="82" t="s">
        <v>3857</v>
      </c>
      <c r="AM1068" s="76"/>
      <c r="AN1068" s="76"/>
      <c r="AO1068" s="76"/>
      <c r="AP1068" s="76"/>
      <c r="AQ1068" s="76"/>
      <c r="AR1068" s="76"/>
      <c r="AS1068" s="76"/>
      <c r="AT1068" s="76"/>
      <c r="AU1068" s="76"/>
      <c r="AV1068" s="76"/>
      <c r="AW1068" s="76"/>
      <c r="AX1068" s="76">
        <f>+AW1068*600000</f>
        <v>0</v>
      </c>
      <c r="AY1068" s="76"/>
      <c r="AZ1068" s="76">
        <f>+AY1068*70000</f>
        <v>0</v>
      </c>
      <c r="BA1068" s="76"/>
      <c r="BB1068" s="76"/>
      <c r="BC1068" s="76"/>
      <c r="BD1068" s="76">
        <f>+BC1068*30000</f>
        <v>0</v>
      </c>
      <c r="BE1068" s="76"/>
      <c r="BF1068" s="76"/>
      <c r="BG1068" s="76"/>
      <c r="BH1068" s="76"/>
      <c r="BI1068" s="76"/>
      <c r="BJ1068" s="76"/>
      <c r="BK1068" s="76"/>
      <c r="BL1068" s="76">
        <f>+BK1068*31500</f>
        <v>0</v>
      </c>
      <c r="BM1068" s="76"/>
      <c r="BN1068" s="76"/>
      <c r="BO1068" s="76"/>
      <c r="BP1068" s="76"/>
      <c r="BQ1068" s="76"/>
      <c r="BR1068" s="76"/>
      <c r="BS1068" s="76"/>
      <c r="BT1068" s="76"/>
      <c r="BU1068" s="76"/>
      <c r="BV1068" s="76"/>
      <c r="BW1068" s="76"/>
      <c r="BX1068" s="76"/>
      <c r="BY1068" s="76"/>
      <c r="BZ1068" s="76"/>
      <c r="CA1068" s="76"/>
      <c r="CB1068" s="76"/>
      <c r="CC1068" s="76"/>
      <c r="CD1068" s="76"/>
      <c r="CE1068" s="76"/>
      <c r="CF1068" s="76">
        <f>+CE1068*28000</f>
        <v>0</v>
      </c>
      <c r="CG1068" s="76"/>
      <c r="CH1068" s="76">
        <f>+CG1068*22500</f>
        <v>0</v>
      </c>
      <c r="CI1068" s="76"/>
      <c r="CJ1068" s="76">
        <f>+CI1068*26000</f>
        <v>0</v>
      </c>
      <c r="CK1068" s="76"/>
      <c r="CL1068" s="76"/>
      <c r="CM1068" s="76"/>
      <c r="CN1068" s="76">
        <f>+CM1068*22000</f>
        <v>0</v>
      </c>
      <c r="CO1068" s="76"/>
      <c r="CP1068" s="76">
        <f>+CO1068*46000</f>
        <v>0</v>
      </c>
      <c r="CQ1068" s="76"/>
      <c r="CR1068" s="76">
        <f>+CQ1068*49000</f>
        <v>0</v>
      </c>
      <c r="CS1068" s="76"/>
      <c r="CT1068" s="76"/>
      <c r="CU1068" s="56">
        <f>AN1068+AP1068+AR1068+AT1068+AV1068+AX1068+AZ1068+BB1068+BD1068+BF1068+BH1068+BJ1068+BL1068+BN1068+BP1068+BR1068+BT1068+BV1068+BX1068+BZ1068+CB1068+CD1068+CF1068+CH1068+CJ1068+CL1068+CN1068+CP1068+CR1068+CT1068</f>
        <v>0</v>
      </c>
      <c r="CV1068" s="76"/>
      <c r="CW1068" s="76">
        <f>+CV1068*1100</f>
        <v>0</v>
      </c>
      <c r="CX1068" s="76"/>
      <c r="CY1068" s="76">
        <f>+CX1068*106250</f>
        <v>0</v>
      </c>
      <c r="CZ1068" s="76"/>
      <c r="DA1068" s="76">
        <f>+CZ1068*34500</f>
        <v>0</v>
      </c>
      <c r="DB1068" s="76"/>
      <c r="DC1068" s="76">
        <f>+DB1068*25000</f>
        <v>0</v>
      </c>
      <c r="DD1068" s="219"/>
      <c r="DE1068" s="219"/>
      <c r="DF1068" s="166"/>
      <c r="DG1068" s="116"/>
      <c r="DH1068" s="117"/>
      <c r="DI1068" s="24"/>
      <c r="DJ1068" s="24"/>
      <c r="DK1068" s="24"/>
      <c r="DL1068" s="24"/>
      <c r="DM1068" s="24"/>
      <c r="DN1068" s="24"/>
      <c r="DO1068" s="24"/>
      <c r="DP1068" s="24"/>
      <c r="DQ1068" s="24"/>
      <c r="DR1068" s="24"/>
      <c r="DS1068" s="24"/>
      <c r="DT1068" s="24"/>
      <c r="DU1068" s="24"/>
    </row>
    <row r="1069" spans="1:125" s="8" customFormat="1" ht="36" x14ac:dyDescent="0.2">
      <c r="A1069" s="77">
        <v>41341</v>
      </c>
      <c r="B1069" s="78" t="s">
        <v>2778</v>
      </c>
      <c r="C1069" s="75" t="s">
        <v>1343</v>
      </c>
      <c r="D1069" s="81" t="s">
        <v>2846</v>
      </c>
      <c r="E1069" s="75" t="str">
        <f>VLOOKUP(B1069&amp;C1069,Divipola!$C$2:$F$1138,4,FALSE)</f>
        <v>85139</v>
      </c>
      <c r="F1069" s="87"/>
      <c r="G1069" s="87"/>
      <c r="H1069" s="87"/>
      <c r="I1069" s="87"/>
      <c r="J1069" s="87"/>
      <c r="K1069" s="87"/>
      <c r="L1069" s="87"/>
      <c r="M1069" s="87"/>
      <c r="N1069" s="87"/>
      <c r="O1069" s="87"/>
      <c r="P1069" s="87"/>
      <c r="Q1069" s="87"/>
      <c r="R1069" s="87"/>
      <c r="S1069" s="87"/>
      <c r="T1069" s="87"/>
      <c r="U1069" s="88">
        <v>8</v>
      </c>
      <c r="V1069" s="89"/>
      <c r="W1069" s="96">
        <v>0</v>
      </c>
      <c r="X1069" s="71">
        <f>CU1069</f>
        <v>0</v>
      </c>
      <c r="Y1069" s="71">
        <f>CY1069</f>
        <v>0</v>
      </c>
      <c r="Z1069" s="71">
        <f>DA1069+DC1069+DE1069</f>
        <v>0</v>
      </c>
      <c r="AA1069" s="71">
        <f>CW1069</f>
        <v>0</v>
      </c>
      <c r="AB1069" s="71"/>
      <c r="AC1069" s="71">
        <v>0</v>
      </c>
      <c r="AD1069" s="71">
        <f>W1069+X1069+Y1069+Z1069+AA1069+AB1069+AC1069</f>
        <v>0</v>
      </c>
      <c r="AE1069" s="72">
        <v>0</v>
      </c>
      <c r="AF1069" s="5"/>
      <c r="AG1069" s="6"/>
      <c r="AH1069" s="27" t="s">
        <v>3392</v>
      </c>
      <c r="AI1069" s="44" t="s">
        <v>3393</v>
      </c>
      <c r="AJ1069" s="26"/>
      <c r="AK1069" s="5"/>
      <c r="AL1069" s="82" t="s">
        <v>3855</v>
      </c>
      <c r="AM1069" s="76"/>
      <c r="AN1069" s="76"/>
      <c r="AO1069" s="76"/>
      <c r="AP1069" s="76"/>
      <c r="AQ1069" s="76"/>
      <c r="AR1069" s="76"/>
      <c r="AS1069" s="76"/>
      <c r="AT1069" s="76"/>
      <c r="AU1069" s="76"/>
      <c r="AV1069" s="76"/>
      <c r="AW1069" s="76"/>
      <c r="AX1069" s="76">
        <f>+AW1069*600000</f>
        <v>0</v>
      </c>
      <c r="AY1069" s="76"/>
      <c r="AZ1069" s="76">
        <f>+AY1069*70000</f>
        <v>0</v>
      </c>
      <c r="BA1069" s="76"/>
      <c r="BB1069" s="76"/>
      <c r="BC1069" s="76"/>
      <c r="BD1069" s="76">
        <f>+BC1069*30000</f>
        <v>0</v>
      </c>
      <c r="BE1069" s="76"/>
      <c r="BF1069" s="76"/>
      <c r="BG1069" s="76"/>
      <c r="BH1069" s="76"/>
      <c r="BI1069" s="76"/>
      <c r="BJ1069" s="76"/>
      <c r="BK1069" s="76"/>
      <c r="BL1069" s="76">
        <f>+BK1069*31500</f>
        <v>0</v>
      </c>
      <c r="BM1069" s="76"/>
      <c r="BN1069" s="76"/>
      <c r="BO1069" s="76"/>
      <c r="BP1069" s="76"/>
      <c r="BQ1069" s="76"/>
      <c r="BR1069" s="76"/>
      <c r="BS1069" s="76"/>
      <c r="BT1069" s="76"/>
      <c r="BU1069" s="76"/>
      <c r="BV1069" s="76"/>
      <c r="BW1069" s="76"/>
      <c r="BX1069" s="76"/>
      <c r="BY1069" s="76"/>
      <c r="BZ1069" s="76"/>
      <c r="CA1069" s="76"/>
      <c r="CB1069" s="76"/>
      <c r="CC1069" s="76"/>
      <c r="CD1069" s="76"/>
      <c r="CE1069" s="76"/>
      <c r="CF1069" s="76">
        <f>+CE1069*28000</f>
        <v>0</v>
      </c>
      <c r="CG1069" s="76"/>
      <c r="CH1069" s="76">
        <f>+CG1069*22500</f>
        <v>0</v>
      </c>
      <c r="CI1069" s="76"/>
      <c r="CJ1069" s="76">
        <f>+CI1069*26000</f>
        <v>0</v>
      </c>
      <c r="CK1069" s="76"/>
      <c r="CL1069" s="76"/>
      <c r="CM1069" s="76"/>
      <c r="CN1069" s="76">
        <f>+CM1069*22000</f>
        <v>0</v>
      </c>
      <c r="CO1069" s="76"/>
      <c r="CP1069" s="76">
        <f>+CO1069*46000</f>
        <v>0</v>
      </c>
      <c r="CQ1069" s="76"/>
      <c r="CR1069" s="76">
        <f>+CQ1069*49000</f>
        <v>0</v>
      </c>
      <c r="CS1069" s="76"/>
      <c r="CT1069" s="76"/>
      <c r="CU1069" s="56">
        <f>AN1069+AP1069+AR1069+AT1069+AV1069+AX1069+AZ1069+BB1069+BD1069+BF1069+BH1069+BJ1069+BL1069+BN1069+BP1069+BR1069+BT1069+BV1069+BX1069+BZ1069+CB1069+CD1069+CF1069+CH1069+CJ1069+CL1069+CN1069+CP1069+CR1069+CT1069</f>
        <v>0</v>
      </c>
      <c r="CV1069" s="76"/>
      <c r="CW1069" s="76">
        <f>+CV1069*1100</f>
        <v>0</v>
      </c>
      <c r="CX1069" s="76"/>
      <c r="CY1069" s="76">
        <f>+CX1069*106250</f>
        <v>0</v>
      </c>
      <c r="CZ1069" s="76"/>
      <c r="DA1069" s="76">
        <f>+CZ1069*34500</f>
        <v>0</v>
      </c>
      <c r="DB1069" s="76"/>
      <c r="DC1069" s="76">
        <f>+DB1069*25000</f>
        <v>0</v>
      </c>
      <c r="DD1069" s="219"/>
      <c r="DE1069" s="219"/>
      <c r="DF1069" s="166"/>
      <c r="DG1069" s="116"/>
      <c r="DH1069" s="117"/>
      <c r="DI1069" s="24"/>
      <c r="DJ1069" s="24"/>
      <c r="DK1069" s="24"/>
      <c r="DL1069" s="24"/>
      <c r="DM1069" s="24"/>
      <c r="DN1069" s="24"/>
      <c r="DO1069" s="24"/>
      <c r="DP1069" s="24"/>
      <c r="DQ1069" s="24"/>
      <c r="DR1069" s="24"/>
      <c r="DS1069" s="24"/>
      <c r="DT1069" s="24"/>
      <c r="DU1069" s="24"/>
    </row>
    <row r="1070" spans="1:125" s="8" customFormat="1" ht="120" x14ac:dyDescent="0.2">
      <c r="A1070" s="226">
        <v>41341</v>
      </c>
      <c r="B1070" s="225" t="s">
        <v>2855</v>
      </c>
      <c r="C1070" s="227" t="s">
        <v>503</v>
      </c>
      <c r="D1070" s="81" t="s">
        <v>2846</v>
      </c>
      <c r="E1070" s="75" t="str">
        <f>VLOOKUP(B1070&amp;C1070,Divipola!$C$2:$F$1138,4,FALSE)</f>
        <v>20175</v>
      </c>
      <c r="F1070" s="87"/>
      <c r="G1070" s="87">
        <v>1</v>
      </c>
      <c r="H1070" s="87"/>
      <c r="I1070" s="87">
        <v>6</v>
      </c>
      <c r="J1070" s="87">
        <v>1</v>
      </c>
      <c r="K1070" s="87"/>
      <c r="L1070" s="87">
        <v>1</v>
      </c>
      <c r="M1070" s="87"/>
      <c r="N1070" s="87"/>
      <c r="O1070" s="87"/>
      <c r="P1070" s="87"/>
      <c r="Q1070" s="87"/>
      <c r="R1070" s="87"/>
      <c r="S1070" s="87"/>
      <c r="T1070" s="87"/>
      <c r="U1070" s="88">
        <v>2</v>
      </c>
      <c r="V1070" s="89"/>
      <c r="W1070" s="96">
        <v>0</v>
      </c>
      <c r="X1070" s="71">
        <f>CU1070</f>
        <v>0</v>
      </c>
      <c r="Y1070" s="71">
        <f>CY1070</f>
        <v>0</v>
      </c>
      <c r="Z1070" s="71">
        <f>DA1070+DC1070+DE1070</f>
        <v>0</v>
      </c>
      <c r="AA1070" s="71">
        <f>CW1070</f>
        <v>0</v>
      </c>
      <c r="AB1070" s="71"/>
      <c r="AC1070" s="71">
        <v>0</v>
      </c>
      <c r="AD1070" s="71">
        <f>W1070+X1070+Y1070+Z1070+AA1070+AB1070+AC1070</f>
        <v>0</v>
      </c>
      <c r="AE1070" s="72">
        <v>0</v>
      </c>
      <c r="AF1070" s="5"/>
      <c r="AG1070" s="6"/>
      <c r="AH1070" s="27" t="s">
        <v>3392</v>
      </c>
      <c r="AI1070" s="44" t="s">
        <v>3393</v>
      </c>
      <c r="AJ1070" s="26"/>
      <c r="AK1070" s="5"/>
      <c r="AL1070" s="82" t="s">
        <v>3868</v>
      </c>
      <c r="AM1070" s="76"/>
      <c r="AN1070" s="76"/>
      <c r="AO1070" s="76"/>
      <c r="AP1070" s="76"/>
      <c r="AQ1070" s="76"/>
      <c r="AR1070" s="76"/>
      <c r="AS1070" s="76"/>
      <c r="AT1070" s="76"/>
      <c r="AU1070" s="76"/>
      <c r="AV1070" s="76"/>
      <c r="AW1070" s="76"/>
      <c r="AX1070" s="76">
        <f>+AW1070*600000</f>
        <v>0</v>
      </c>
      <c r="AY1070" s="76"/>
      <c r="AZ1070" s="76">
        <f>+AY1070*70000</f>
        <v>0</v>
      </c>
      <c r="BA1070" s="76"/>
      <c r="BB1070" s="76"/>
      <c r="BC1070" s="76"/>
      <c r="BD1070" s="76">
        <f>+BC1070*30000</f>
        <v>0</v>
      </c>
      <c r="BE1070" s="76"/>
      <c r="BF1070" s="76"/>
      <c r="BG1070" s="76"/>
      <c r="BH1070" s="76"/>
      <c r="BI1070" s="76"/>
      <c r="BJ1070" s="76"/>
      <c r="BK1070" s="76"/>
      <c r="BL1070" s="76">
        <f>+BK1070*31500</f>
        <v>0</v>
      </c>
      <c r="BM1070" s="76"/>
      <c r="BN1070" s="76"/>
      <c r="BO1070" s="76"/>
      <c r="BP1070" s="76"/>
      <c r="BQ1070" s="76"/>
      <c r="BR1070" s="76"/>
      <c r="BS1070" s="76"/>
      <c r="BT1070" s="76"/>
      <c r="BU1070" s="76"/>
      <c r="BV1070" s="76"/>
      <c r="BW1070" s="76"/>
      <c r="BX1070" s="76"/>
      <c r="BY1070" s="76"/>
      <c r="BZ1070" s="76"/>
      <c r="CA1070" s="76"/>
      <c r="CB1070" s="76"/>
      <c r="CC1070" s="76"/>
      <c r="CD1070" s="76"/>
      <c r="CE1070" s="76"/>
      <c r="CF1070" s="76">
        <f>+CE1070*28000</f>
        <v>0</v>
      </c>
      <c r="CG1070" s="76"/>
      <c r="CH1070" s="76">
        <f>+CG1070*22500</f>
        <v>0</v>
      </c>
      <c r="CI1070" s="76"/>
      <c r="CJ1070" s="76">
        <f>+CI1070*26000</f>
        <v>0</v>
      </c>
      <c r="CK1070" s="76"/>
      <c r="CL1070" s="76"/>
      <c r="CM1070" s="76"/>
      <c r="CN1070" s="76">
        <f>+CM1070*22000</f>
        <v>0</v>
      </c>
      <c r="CO1070" s="76"/>
      <c r="CP1070" s="76">
        <f>+CO1070*46000</f>
        <v>0</v>
      </c>
      <c r="CQ1070" s="76"/>
      <c r="CR1070" s="76">
        <f>+CQ1070*49000</f>
        <v>0</v>
      </c>
      <c r="CS1070" s="76"/>
      <c r="CT1070" s="76"/>
      <c r="CU1070" s="56">
        <f>AN1070+AP1070+AR1070+AT1070+AV1070+AX1070+AZ1070+BB1070+BD1070+BF1070+BH1070+BJ1070+BL1070+BN1070+BP1070+BR1070+BT1070+BV1070+BX1070+BZ1070+CB1070+CD1070+CF1070+CH1070+CJ1070+CL1070+CN1070+CP1070+CR1070+CT1070</f>
        <v>0</v>
      </c>
      <c r="CV1070" s="76"/>
      <c r="CW1070" s="76">
        <f>+CV1070*1100</f>
        <v>0</v>
      </c>
      <c r="CX1070" s="76"/>
      <c r="CY1070" s="76">
        <f>+CX1070*106250</f>
        <v>0</v>
      </c>
      <c r="CZ1070" s="76"/>
      <c r="DA1070" s="76">
        <f>+CZ1070*34500</f>
        <v>0</v>
      </c>
      <c r="DB1070" s="76"/>
      <c r="DC1070" s="76">
        <f>+DB1070*25000</f>
        <v>0</v>
      </c>
      <c r="DD1070" s="219"/>
      <c r="DE1070" s="219"/>
      <c r="DF1070" s="166"/>
      <c r="DG1070" s="116"/>
      <c r="DH1070" s="117"/>
      <c r="DI1070" s="24"/>
      <c r="DJ1070" s="24"/>
      <c r="DK1070" s="24"/>
      <c r="DL1070" s="24"/>
      <c r="DM1070" s="24"/>
      <c r="DN1070" s="24"/>
      <c r="DO1070" s="24"/>
      <c r="DP1070" s="24"/>
      <c r="DQ1070" s="24"/>
      <c r="DR1070" s="24"/>
      <c r="DS1070" s="24"/>
      <c r="DT1070" s="24"/>
      <c r="DU1070" s="24"/>
    </row>
    <row r="1071" spans="1:125" s="8" customFormat="1" ht="84" x14ac:dyDescent="0.2">
      <c r="A1071" s="226">
        <v>41341</v>
      </c>
      <c r="B1071" s="225" t="s">
        <v>2880</v>
      </c>
      <c r="C1071" s="227" t="s">
        <v>2797</v>
      </c>
      <c r="D1071" s="81" t="s">
        <v>2846</v>
      </c>
      <c r="E1071" s="75" t="str">
        <f>VLOOKUP(B1071&amp;C1071,Divipola!$C$2:$F$1138,4,FALSE)</f>
        <v>54498</v>
      </c>
      <c r="F1071" s="87"/>
      <c r="G1071" s="87"/>
      <c r="H1071" s="87"/>
      <c r="I1071" s="87"/>
      <c r="J1071" s="87"/>
      <c r="K1071" s="87"/>
      <c r="L1071" s="87"/>
      <c r="M1071" s="87"/>
      <c r="N1071" s="87"/>
      <c r="O1071" s="87"/>
      <c r="P1071" s="87"/>
      <c r="Q1071" s="87"/>
      <c r="R1071" s="87"/>
      <c r="S1071" s="87"/>
      <c r="T1071" s="87"/>
      <c r="U1071" s="88">
        <v>15</v>
      </c>
      <c r="V1071" s="89"/>
      <c r="W1071" s="96">
        <v>0</v>
      </c>
      <c r="X1071" s="71">
        <f>CU1071</f>
        <v>0</v>
      </c>
      <c r="Y1071" s="71">
        <f>CY1071</f>
        <v>0</v>
      </c>
      <c r="Z1071" s="71">
        <f>DA1071+DC1071+DE1071</f>
        <v>0</v>
      </c>
      <c r="AA1071" s="71">
        <f>CW1071</f>
        <v>0</v>
      </c>
      <c r="AB1071" s="71"/>
      <c r="AC1071" s="71">
        <v>0</v>
      </c>
      <c r="AD1071" s="71">
        <f>W1071+X1071+Y1071+Z1071+AA1071+AB1071+AC1071</f>
        <v>0</v>
      </c>
      <c r="AE1071" s="72">
        <v>0</v>
      </c>
      <c r="AF1071" s="5"/>
      <c r="AG1071" s="6"/>
      <c r="AH1071" s="27" t="s">
        <v>3392</v>
      </c>
      <c r="AI1071" s="44" t="s">
        <v>3393</v>
      </c>
      <c r="AJ1071" s="26"/>
      <c r="AK1071" s="5"/>
      <c r="AL1071" s="82" t="s">
        <v>3862</v>
      </c>
      <c r="AM1071" s="76"/>
      <c r="AN1071" s="76"/>
      <c r="AO1071" s="76"/>
      <c r="AP1071" s="76"/>
      <c r="AQ1071" s="76"/>
      <c r="AR1071" s="76"/>
      <c r="AS1071" s="76"/>
      <c r="AT1071" s="76"/>
      <c r="AU1071" s="76"/>
      <c r="AV1071" s="76"/>
      <c r="AW1071" s="76"/>
      <c r="AX1071" s="76">
        <f>+AW1071*600000</f>
        <v>0</v>
      </c>
      <c r="AY1071" s="76"/>
      <c r="AZ1071" s="76">
        <f>+AY1071*70000</f>
        <v>0</v>
      </c>
      <c r="BA1071" s="76"/>
      <c r="BB1071" s="76"/>
      <c r="BC1071" s="76"/>
      <c r="BD1071" s="76">
        <f>+BC1071*30000</f>
        <v>0</v>
      </c>
      <c r="BE1071" s="76"/>
      <c r="BF1071" s="76"/>
      <c r="BG1071" s="76"/>
      <c r="BH1071" s="76"/>
      <c r="BI1071" s="76"/>
      <c r="BJ1071" s="76"/>
      <c r="BK1071" s="76"/>
      <c r="BL1071" s="76">
        <f>+BK1071*31500</f>
        <v>0</v>
      </c>
      <c r="BM1071" s="76"/>
      <c r="BN1071" s="76"/>
      <c r="BO1071" s="76"/>
      <c r="BP1071" s="76"/>
      <c r="BQ1071" s="76"/>
      <c r="BR1071" s="76"/>
      <c r="BS1071" s="76"/>
      <c r="BT1071" s="76"/>
      <c r="BU1071" s="76"/>
      <c r="BV1071" s="76"/>
      <c r="BW1071" s="76"/>
      <c r="BX1071" s="76"/>
      <c r="BY1071" s="76"/>
      <c r="BZ1071" s="76"/>
      <c r="CA1071" s="76"/>
      <c r="CB1071" s="76"/>
      <c r="CC1071" s="76"/>
      <c r="CD1071" s="76"/>
      <c r="CE1071" s="76"/>
      <c r="CF1071" s="76">
        <f>+CE1071*28000</f>
        <v>0</v>
      </c>
      <c r="CG1071" s="76"/>
      <c r="CH1071" s="76">
        <f>+CG1071*22500</f>
        <v>0</v>
      </c>
      <c r="CI1071" s="76"/>
      <c r="CJ1071" s="76">
        <f>+CI1071*26000</f>
        <v>0</v>
      </c>
      <c r="CK1071" s="76"/>
      <c r="CL1071" s="76"/>
      <c r="CM1071" s="76"/>
      <c r="CN1071" s="76">
        <f>+CM1071*22000</f>
        <v>0</v>
      </c>
      <c r="CO1071" s="76"/>
      <c r="CP1071" s="76">
        <f>+CO1071*46000</f>
        <v>0</v>
      </c>
      <c r="CQ1071" s="76"/>
      <c r="CR1071" s="76">
        <f>+CQ1071*49000</f>
        <v>0</v>
      </c>
      <c r="CS1071" s="76"/>
      <c r="CT1071" s="76"/>
      <c r="CU1071" s="56">
        <f>AN1071+AP1071+AR1071+AT1071+AV1071+AX1071+AZ1071+BB1071+BD1071+BF1071+BH1071+BJ1071+BL1071+BN1071+BP1071+BR1071+BT1071+BV1071+BX1071+BZ1071+CB1071+CD1071+CF1071+CH1071+CJ1071+CL1071+CN1071+CP1071+CR1071+CT1071</f>
        <v>0</v>
      </c>
      <c r="CV1071" s="76"/>
      <c r="CW1071" s="76">
        <f>+CV1071*1100</f>
        <v>0</v>
      </c>
      <c r="CX1071" s="76"/>
      <c r="CY1071" s="76">
        <f>+CX1071*106250</f>
        <v>0</v>
      </c>
      <c r="CZ1071" s="76"/>
      <c r="DA1071" s="76">
        <f>+CZ1071*34500</f>
        <v>0</v>
      </c>
      <c r="DB1071" s="76"/>
      <c r="DC1071" s="76">
        <f>+DB1071*25000</f>
        <v>0</v>
      </c>
      <c r="DD1071" s="219"/>
      <c r="DE1071" s="219"/>
      <c r="DF1071" s="166"/>
      <c r="DG1071" s="116"/>
      <c r="DH1071" s="117"/>
      <c r="DI1071" s="24"/>
      <c r="DJ1071" s="24"/>
      <c r="DK1071" s="24"/>
      <c r="DL1071" s="24"/>
      <c r="DM1071" s="24"/>
      <c r="DN1071" s="24"/>
      <c r="DO1071" s="24"/>
      <c r="DP1071" s="24"/>
      <c r="DQ1071" s="24"/>
      <c r="DR1071" s="24"/>
      <c r="DS1071" s="24"/>
      <c r="DT1071" s="24"/>
      <c r="DU1071" s="24"/>
    </row>
    <row r="1072" spans="1:125" s="8" customFormat="1" ht="48" x14ac:dyDescent="0.2">
      <c r="A1072" s="77">
        <v>41341</v>
      </c>
      <c r="B1072" s="78" t="s">
        <v>2880</v>
      </c>
      <c r="C1072" s="75" t="s">
        <v>2117</v>
      </c>
      <c r="D1072" s="81" t="s">
        <v>2846</v>
      </c>
      <c r="E1072" s="75" t="str">
        <f>VLOOKUP(B1072&amp;C1072,Divipola!$C$2:$F$1138,4,FALSE)</f>
        <v>54599</v>
      </c>
      <c r="F1072" s="87"/>
      <c r="G1072" s="87"/>
      <c r="H1072" s="87"/>
      <c r="I1072" s="87"/>
      <c r="J1072" s="87"/>
      <c r="K1072" s="87"/>
      <c r="L1072" s="87"/>
      <c r="M1072" s="87"/>
      <c r="N1072" s="87"/>
      <c r="O1072" s="87"/>
      <c r="P1072" s="87"/>
      <c r="Q1072" s="87"/>
      <c r="R1072" s="87"/>
      <c r="S1072" s="87"/>
      <c r="T1072" s="87"/>
      <c r="U1072" s="88">
        <v>5</v>
      </c>
      <c r="V1072" s="89"/>
      <c r="W1072" s="96">
        <v>0</v>
      </c>
      <c r="X1072" s="71">
        <f>CU1072</f>
        <v>0</v>
      </c>
      <c r="Y1072" s="71">
        <f>CY1072</f>
        <v>0</v>
      </c>
      <c r="Z1072" s="71">
        <f>DA1072+DC1072+DE1072</f>
        <v>0</v>
      </c>
      <c r="AA1072" s="71">
        <f>CW1072</f>
        <v>0</v>
      </c>
      <c r="AB1072" s="71"/>
      <c r="AC1072" s="71">
        <v>0</v>
      </c>
      <c r="AD1072" s="71">
        <f>W1072+X1072+Y1072+Z1072+AA1072+AB1072+AC1072</f>
        <v>0</v>
      </c>
      <c r="AE1072" s="72">
        <v>0</v>
      </c>
      <c r="AF1072" s="5"/>
      <c r="AG1072" s="6"/>
      <c r="AH1072" s="27" t="s">
        <v>3392</v>
      </c>
      <c r="AI1072" s="44" t="s">
        <v>3393</v>
      </c>
      <c r="AJ1072" s="26"/>
      <c r="AK1072" s="5"/>
      <c r="AL1072" s="82" t="s">
        <v>3853</v>
      </c>
      <c r="AM1072" s="76"/>
      <c r="AN1072" s="76"/>
      <c r="AO1072" s="76"/>
      <c r="AP1072" s="76"/>
      <c r="AQ1072" s="76"/>
      <c r="AR1072" s="76"/>
      <c r="AS1072" s="76"/>
      <c r="AT1072" s="76"/>
      <c r="AU1072" s="76"/>
      <c r="AV1072" s="76"/>
      <c r="AW1072" s="76"/>
      <c r="AX1072" s="76">
        <f>+AW1072*600000</f>
        <v>0</v>
      </c>
      <c r="AY1072" s="76"/>
      <c r="AZ1072" s="76">
        <f>+AY1072*70000</f>
        <v>0</v>
      </c>
      <c r="BA1072" s="76"/>
      <c r="BB1072" s="76"/>
      <c r="BC1072" s="76"/>
      <c r="BD1072" s="76">
        <f>+BC1072*30000</f>
        <v>0</v>
      </c>
      <c r="BE1072" s="76"/>
      <c r="BF1072" s="76"/>
      <c r="BG1072" s="76"/>
      <c r="BH1072" s="76"/>
      <c r="BI1072" s="76"/>
      <c r="BJ1072" s="76"/>
      <c r="BK1072" s="76"/>
      <c r="BL1072" s="76">
        <f>+BK1072*31500</f>
        <v>0</v>
      </c>
      <c r="BM1072" s="76"/>
      <c r="BN1072" s="76"/>
      <c r="BO1072" s="76"/>
      <c r="BP1072" s="76"/>
      <c r="BQ1072" s="76"/>
      <c r="BR1072" s="76"/>
      <c r="BS1072" s="76"/>
      <c r="BT1072" s="76"/>
      <c r="BU1072" s="76"/>
      <c r="BV1072" s="76"/>
      <c r="BW1072" s="76"/>
      <c r="BX1072" s="76"/>
      <c r="BY1072" s="76"/>
      <c r="BZ1072" s="76"/>
      <c r="CA1072" s="76"/>
      <c r="CB1072" s="76"/>
      <c r="CC1072" s="76"/>
      <c r="CD1072" s="76"/>
      <c r="CE1072" s="76"/>
      <c r="CF1072" s="76">
        <f>+CE1072*28000</f>
        <v>0</v>
      </c>
      <c r="CG1072" s="76"/>
      <c r="CH1072" s="76">
        <f>+CG1072*22500</f>
        <v>0</v>
      </c>
      <c r="CI1072" s="76"/>
      <c r="CJ1072" s="76">
        <f>+CI1072*26000</f>
        <v>0</v>
      </c>
      <c r="CK1072" s="76"/>
      <c r="CL1072" s="76"/>
      <c r="CM1072" s="76"/>
      <c r="CN1072" s="76">
        <f>+CM1072*22000</f>
        <v>0</v>
      </c>
      <c r="CO1072" s="76"/>
      <c r="CP1072" s="76">
        <f>+CO1072*46000</f>
        <v>0</v>
      </c>
      <c r="CQ1072" s="76"/>
      <c r="CR1072" s="76">
        <f>+CQ1072*49000</f>
        <v>0</v>
      </c>
      <c r="CS1072" s="76"/>
      <c r="CT1072" s="76"/>
      <c r="CU1072" s="56">
        <f>AN1072+AP1072+AR1072+AT1072+AV1072+AX1072+AZ1072+BB1072+BD1072+BF1072+BH1072+BJ1072+BL1072+BN1072+BP1072+BR1072+BT1072+BV1072+BX1072+BZ1072+CB1072+CD1072+CF1072+CH1072+CJ1072+CL1072+CN1072+CP1072+CR1072+CT1072</f>
        <v>0</v>
      </c>
      <c r="CV1072" s="76"/>
      <c r="CW1072" s="76">
        <f>+CV1072*1100</f>
        <v>0</v>
      </c>
      <c r="CX1072" s="76"/>
      <c r="CY1072" s="76">
        <f>+CX1072*106250</f>
        <v>0</v>
      </c>
      <c r="CZ1072" s="76"/>
      <c r="DA1072" s="76">
        <f>+CZ1072*34500</f>
        <v>0</v>
      </c>
      <c r="DB1072" s="76"/>
      <c r="DC1072" s="76">
        <f>+DB1072*25000</f>
        <v>0</v>
      </c>
      <c r="DD1072" s="219"/>
      <c r="DE1072" s="219"/>
      <c r="DF1072" s="166"/>
      <c r="DG1072" s="116"/>
      <c r="DH1072" s="117"/>
      <c r="DI1072" s="24"/>
      <c r="DJ1072" s="24"/>
      <c r="DK1072" s="24"/>
      <c r="DL1072" s="24"/>
      <c r="DM1072" s="24"/>
      <c r="DN1072" s="24"/>
      <c r="DO1072" s="24"/>
      <c r="DP1072" s="24"/>
      <c r="DQ1072" s="24"/>
      <c r="DR1072" s="24"/>
      <c r="DS1072" s="24"/>
      <c r="DT1072" s="24"/>
      <c r="DU1072" s="24"/>
    </row>
    <row r="1073" spans="1:125" s="8" customFormat="1" ht="108" x14ac:dyDescent="0.2">
      <c r="A1073" s="77">
        <v>41341</v>
      </c>
      <c r="B1073" s="78" t="s">
        <v>3131</v>
      </c>
      <c r="C1073" s="75" t="s">
        <v>2773</v>
      </c>
      <c r="D1073" s="75" t="s">
        <v>3051</v>
      </c>
      <c r="E1073" s="75">
        <f>VLOOKUP(B1073&amp;C1073,Divipola!$C$2:$F$1138,4,FALSE)</f>
        <v>86</v>
      </c>
      <c r="F1073" s="163"/>
      <c r="G1073" s="163"/>
      <c r="H1073" s="163"/>
      <c r="I1073" s="163"/>
      <c r="J1073" s="163"/>
      <c r="K1073" s="163"/>
      <c r="L1073" s="163"/>
      <c r="M1073" s="163"/>
      <c r="N1073" s="163"/>
      <c r="O1073" s="163"/>
      <c r="P1073" s="163"/>
      <c r="Q1073" s="163"/>
      <c r="R1073" s="163"/>
      <c r="S1073" s="163"/>
      <c r="T1073" s="163"/>
      <c r="U1073" s="163"/>
      <c r="V1073" s="134"/>
      <c r="W1073" s="96">
        <v>0</v>
      </c>
      <c r="X1073" s="71">
        <f>CU1073</f>
        <v>0</v>
      </c>
      <c r="Y1073" s="71">
        <f>CY1073</f>
        <v>0</v>
      </c>
      <c r="Z1073" s="71">
        <f>DA1073+DC1073+DE1073</f>
        <v>0</v>
      </c>
      <c r="AA1073" s="71">
        <f>CW1073</f>
        <v>0</v>
      </c>
      <c r="AB1073" s="71"/>
      <c r="AC1073" s="71">
        <v>300000000</v>
      </c>
      <c r="AD1073" s="71">
        <f>W1073+X1073+Y1073+Z1073+AA1073+AB1073+AC1073</f>
        <v>300000000</v>
      </c>
      <c r="AE1073" s="72">
        <v>0</v>
      </c>
      <c r="AF1073" s="5"/>
      <c r="AG1073" s="6"/>
      <c r="AH1073" s="27" t="s">
        <v>3390</v>
      </c>
      <c r="AI1073" s="44" t="s">
        <v>3391</v>
      </c>
      <c r="AJ1073" s="26"/>
      <c r="AK1073" s="5"/>
      <c r="AL1073" s="82" t="s">
        <v>3837</v>
      </c>
      <c r="AM1073" s="76"/>
      <c r="AN1073" s="76"/>
      <c r="AO1073" s="76"/>
      <c r="AP1073" s="76"/>
      <c r="AQ1073" s="76"/>
      <c r="AR1073" s="76"/>
      <c r="AS1073" s="76"/>
      <c r="AT1073" s="76"/>
      <c r="AU1073" s="76"/>
      <c r="AV1073" s="76"/>
      <c r="AW1073" s="76"/>
      <c r="AX1073" s="76">
        <f>+AW1073*600000</f>
        <v>0</v>
      </c>
      <c r="AY1073" s="76"/>
      <c r="AZ1073" s="76">
        <f>+AY1073*70000</f>
        <v>0</v>
      </c>
      <c r="BA1073" s="76"/>
      <c r="BB1073" s="76"/>
      <c r="BC1073" s="76"/>
      <c r="BD1073" s="76">
        <f>+BC1073*30000</f>
        <v>0</v>
      </c>
      <c r="BE1073" s="76"/>
      <c r="BF1073" s="76"/>
      <c r="BG1073" s="76"/>
      <c r="BH1073" s="76"/>
      <c r="BI1073" s="76"/>
      <c r="BJ1073" s="76"/>
      <c r="BK1073" s="76"/>
      <c r="BL1073" s="76">
        <f>+BK1073*31500</f>
        <v>0</v>
      </c>
      <c r="BM1073" s="76"/>
      <c r="BN1073" s="76"/>
      <c r="BO1073" s="76"/>
      <c r="BP1073" s="76"/>
      <c r="BQ1073" s="76"/>
      <c r="BR1073" s="76"/>
      <c r="BS1073" s="76"/>
      <c r="BT1073" s="76"/>
      <c r="BU1073" s="76"/>
      <c r="BV1073" s="76"/>
      <c r="BW1073" s="76"/>
      <c r="BX1073" s="76"/>
      <c r="BY1073" s="76"/>
      <c r="BZ1073" s="76"/>
      <c r="CA1073" s="76"/>
      <c r="CB1073" s="76"/>
      <c r="CC1073" s="76"/>
      <c r="CD1073" s="76"/>
      <c r="CE1073" s="76"/>
      <c r="CF1073" s="76">
        <f>+CE1073*28000</f>
        <v>0</v>
      </c>
      <c r="CG1073" s="76"/>
      <c r="CH1073" s="76">
        <f>+CG1073*22500</f>
        <v>0</v>
      </c>
      <c r="CI1073" s="76"/>
      <c r="CJ1073" s="76">
        <f>+CI1073*26000</f>
        <v>0</v>
      </c>
      <c r="CK1073" s="76"/>
      <c r="CL1073" s="76"/>
      <c r="CM1073" s="76"/>
      <c r="CN1073" s="76">
        <f>+CM1073*22000</f>
        <v>0</v>
      </c>
      <c r="CO1073" s="76"/>
      <c r="CP1073" s="76">
        <f>+CO1073*46000</f>
        <v>0</v>
      </c>
      <c r="CQ1073" s="76"/>
      <c r="CR1073" s="76">
        <f>+CQ1073*49000</f>
        <v>0</v>
      </c>
      <c r="CS1073" s="76"/>
      <c r="CT1073" s="76"/>
      <c r="CU1073" s="56">
        <f>AN1073+AP1073+AR1073+AT1073+AV1073+AX1073+AZ1073+BB1073+BD1073+BF1073+BH1073+BJ1073+BL1073+BN1073+BP1073+BR1073+BT1073+BV1073+BX1073+BZ1073+CB1073+CD1073+CF1073+CH1073+CJ1073+CL1073+CN1073+CP1073+CR1073+CT1073</f>
        <v>0</v>
      </c>
      <c r="CV1073" s="76"/>
      <c r="CW1073" s="76">
        <f>+CV1073*1100</f>
        <v>0</v>
      </c>
      <c r="CX1073" s="76"/>
      <c r="CY1073" s="76">
        <f>+CX1073*106250</f>
        <v>0</v>
      </c>
      <c r="CZ1073" s="76"/>
      <c r="DA1073" s="76">
        <f>+CZ1073*34500</f>
        <v>0</v>
      </c>
      <c r="DB1073" s="76"/>
      <c r="DC1073" s="76">
        <f>+DB1073*25000</f>
        <v>0</v>
      </c>
      <c r="DD1073" s="219"/>
      <c r="DE1073" s="219"/>
      <c r="DF1073" s="166" t="s">
        <v>3247</v>
      </c>
      <c r="DG1073" s="116"/>
      <c r="DH1073" s="117"/>
      <c r="DI1073" s="24"/>
      <c r="DJ1073" s="24"/>
      <c r="DK1073" s="24"/>
      <c r="DL1073" s="24"/>
      <c r="DM1073" s="24"/>
      <c r="DN1073" s="24"/>
      <c r="DO1073" s="24"/>
      <c r="DP1073" s="24"/>
      <c r="DQ1073" s="24"/>
      <c r="DR1073" s="24"/>
      <c r="DS1073" s="24"/>
      <c r="DT1073" s="24"/>
      <c r="DU1073" s="24"/>
    </row>
    <row r="1074" spans="1:125" s="8" customFormat="1" ht="144" x14ac:dyDescent="0.2">
      <c r="A1074" s="77">
        <v>41342</v>
      </c>
      <c r="B1074" s="208" t="s">
        <v>2881</v>
      </c>
      <c r="C1074" s="227" t="s">
        <v>2767</v>
      </c>
      <c r="D1074" s="75" t="s">
        <v>3051</v>
      </c>
      <c r="E1074" s="75" t="str">
        <f>VLOOKUP(B1074&amp;C1074,Divipola!$C$2:$F$1138,4,FALSE)</f>
        <v>08001</v>
      </c>
      <c r="F1074" s="87"/>
      <c r="G1074" s="87"/>
      <c r="H1074" s="87"/>
      <c r="I1074" s="87">
        <v>3000</v>
      </c>
      <c r="J1074" s="87">
        <v>600</v>
      </c>
      <c r="K1074" s="87"/>
      <c r="L1074" s="87"/>
      <c r="M1074" s="87"/>
      <c r="N1074" s="87"/>
      <c r="O1074" s="87"/>
      <c r="P1074" s="87"/>
      <c r="Q1074" s="87"/>
      <c r="R1074" s="87"/>
      <c r="S1074" s="87"/>
      <c r="T1074" s="87"/>
      <c r="U1074" s="88"/>
      <c r="V1074" s="89"/>
      <c r="W1074" s="96">
        <v>0</v>
      </c>
      <c r="X1074" s="71">
        <f>CU1074</f>
        <v>0</v>
      </c>
      <c r="Y1074" s="71">
        <f>CY1074</f>
        <v>0</v>
      </c>
      <c r="Z1074" s="71">
        <f>DA1074+DC1074+DE1074</f>
        <v>0</v>
      </c>
      <c r="AA1074" s="71">
        <f>CW1074</f>
        <v>0</v>
      </c>
      <c r="AB1074" s="71"/>
      <c r="AC1074" s="71">
        <v>0</v>
      </c>
      <c r="AD1074" s="71">
        <f>W1074+X1074+Y1074+Z1074+AA1074+AB1074+AC1074</f>
        <v>0</v>
      </c>
      <c r="AE1074" s="72">
        <v>0</v>
      </c>
      <c r="AF1074" s="5"/>
      <c r="AG1074" s="6"/>
      <c r="AH1074" s="27" t="s">
        <v>3392</v>
      </c>
      <c r="AI1074" s="44" t="s">
        <v>3393</v>
      </c>
      <c r="AJ1074" s="26"/>
      <c r="AK1074" s="5"/>
      <c r="AL1074" s="82" t="s">
        <v>3975</v>
      </c>
      <c r="AM1074" s="76"/>
      <c r="AN1074" s="76"/>
      <c r="AO1074" s="76"/>
      <c r="AP1074" s="76"/>
      <c r="AQ1074" s="76"/>
      <c r="AR1074" s="76"/>
      <c r="AS1074" s="76"/>
      <c r="AT1074" s="76"/>
      <c r="AU1074" s="76"/>
      <c r="AV1074" s="76"/>
      <c r="AW1074" s="76"/>
      <c r="AX1074" s="76">
        <f>+AW1074*600000</f>
        <v>0</v>
      </c>
      <c r="AY1074" s="76"/>
      <c r="AZ1074" s="76">
        <f>+AY1074*70000</f>
        <v>0</v>
      </c>
      <c r="BA1074" s="76"/>
      <c r="BB1074" s="76"/>
      <c r="BC1074" s="76"/>
      <c r="BD1074" s="76">
        <f>+BC1074*30000</f>
        <v>0</v>
      </c>
      <c r="BE1074" s="76"/>
      <c r="BF1074" s="76"/>
      <c r="BG1074" s="76"/>
      <c r="BH1074" s="76"/>
      <c r="BI1074" s="76"/>
      <c r="BJ1074" s="76"/>
      <c r="BK1074" s="76"/>
      <c r="BL1074" s="76">
        <f>+BK1074*31500</f>
        <v>0</v>
      </c>
      <c r="BM1074" s="76"/>
      <c r="BN1074" s="76"/>
      <c r="BO1074" s="76"/>
      <c r="BP1074" s="76"/>
      <c r="BQ1074" s="76"/>
      <c r="BR1074" s="76"/>
      <c r="BS1074" s="76"/>
      <c r="BT1074" s="76"/>
      <c r="BU1074" s="76"/>
      <c r="BV1074" s="76"/>
      <c r="BW1074" s="76"/>
      <c r="BX1074" s="76"/>
      <c r="BY1074" s="76"/>
      <c r="BZ1074" s="76"/>
      <c r="CA1074" s="76"/>
      <c r="CB1074" s="76"/>
      <c r="CC1074" s="76"/>
      <c r="CD1074" s="76"/>
      <c r="CE1074" s="76"/>
      <c r="CF1074" s="76">
        <f>+CE1074*28000</f>
        <v>0</v>
      </c>
      <c r="CG1074" s="76"/>
      <c r="CH1074" s="76">
        <f>+CG1074*22500</f>
        <v>0</v>
      </c>
      <c r="CI1074" s="76"/>
      <c r="CJ1074" s="76">
        <f>+CI1074*26000</f>
        <v>0</v>
      </c>
      <c r="CK1074" s="76"/>
      <c r="CL1074" s="76"/>
      <c r="CM1074" s="76"/>
      <c r="CN1074" s="76">
        <f>+CM1074*22000</f>
        <v>0</v>
      </c>
      <c r="CO1074" s="76"/>
      <c r="CP1074" s="76">
        <f>+CO1074*46000</f>
        <v>0</v>
      </c>
      <c r="CQ1074" s="76"/>
      <c r="CR1074" s="76">
        <f>+CQ1074*49000</f>
        <v>0</v>
      </c>
      <c r="CS1074" s="76"/>
      <c r="CT1074" s="76"/>
      <c r="CU1074" s="56">
        <f>AN1074+AP1074+AR1074+AT1074+AV1074+AX1074+AZ1074+BB1074+BD1074+BF1074+BH1074+BJ1074+BL1074+BN1074+BP1074+BR1074+BT1074+BV1074+BX1074+BZ1074+CB1074+CD1074+CF1074+CH1074+CJ1074+CL1074+CN1074+CP1074+CR1074+CT1074</f>
        <v>0</v>
      </c>
      <c r="CV1074" s="76"/>
      <c r="CW1074" s="76">
        <f>+CV1074*1100</f>
        <v>0</v>
      </c>
      <c r="CX1074" s="76"/>
      <c r="CY1074" s="76">
        <f>+CX1074*106250</f>
        <v>0</v>
      </c>
      <c r="CZ1074" s="76"/>
      <c r="DA1074" s="76">
        <f>+CZ1074*34500</f>
        <v>0</v>
      </c>
      <c r="DB1074" s="76"/>
      <c r="DC1074" s="76">
        <f>+DB1074*25000</f>
        <v>0</v>
      </c>
      <c r="DD1074" s="219"/>
      <c r="DE1074" s="219"/>
      <c r="DF1074" s="166"/>
      <c r="DG1074" s="116"/>
      <c r="DH1074" s="117"/>
      <c r="DI1074" s="24"/>
      <c r="DJ1074" s="24"/>
      <c r="DK1074" s="24"/>
      <c r="DL1074" s="24"/>
      <c r="DM1074" s="24"/>
      <c r="DN1074" s="24"/>
      <c r="DO1074" s="24"/>
      <c r="DP1074" s="24"/>
      <c r="DQ1074" s="24"/>
      <c r="DR1074" s="24"/>
      <c r="DS1074" s="24"/>
      <c r="DT1074" s="24"/>
      <c r="DU1074" s="24"/>
    </row>
    <row r="1075" spans="1:125" s="8" customFormat="1" ht="48" x14ac:dyDescent="0.2">
      <c r="A1075" s="77">
        <v>41342</v>
      </c>
      <c r="B1075" s="352" t="s">
        <v>529</v>
      </c>
      <c r="C1075" s="352" t="s">
        <v>529</v>
      </c>
      <c r="D1075" s="354" t="s">
        <v>2859</v>
      </c>
      <c r="E1075" s="75" t="str">
        <f>VLOOKUP(B1075&amp;C1075,Divipola!$C$2:$F$1138,4,FALSE)</f>
        <v>11001</v>
      </c>
      <c r="F1075" s="87"/>
      <c r="G1075" s="87"/>
      <c r="H1075" s="87"/>
      <c r="I1075" s="87"/>
      <c r="J1075" s="87"/>
      <c r="K1075" s="87"/>
      <c r="L1075" s="87"/>
      <c r="M1075" s="87"/>
      <c r="N1075" s="87"/>
      <c r="O1075" s="87"/>
      <c r="P1075" s="87"/>
      <c r="Q1075" s="87"/>
      <c r="R1075" s="87"/>
      <c r="S1075" s="87"/>
      <c r="T1075" s="87"/>
      <c r="U1075" s="88"/>
      <c r="V1075" s="89"/>
      <c r="W1075" s="96">
        <v>0</v>
      </c>
      <c r="X1075" s="71">
        <f>CU1075</f>
        <v>0</v>
      </c>
      <c r="Y1075" s="71">
        <f>CY1075</f>
        <v>0</v>
      </c>
      <c r="Z1075" s="71">
        <f>DA1075+DC1075+DE1075</f>
        <v>0</v>
      </c>
      <c r="AA1075" s="71">
        <f>CW1075</f>
        <v>0</v>
      </c>
      <c r="AB1075" s="71"/>
      <c r="AC1075" s="71">
        <v>0</v>
      </c>
      <c r="AD1075" s="71">
        <f>W1075+X1075+Y1075+Z1075+AA1075+AB1075+AC1075</f>
        <v>0</v>
      </c>
      <c r="AE1075" s="72">
        <v>0</v>
      </c>
      <c r="AF1075" s="5"/>
      <c r="AG1075" s="6"/>
      <c r="AH1075" s="27" t="s">
        <v>3392</v>
      </c>
      <c r="AI1075" s="44" t="s">
        <v>3393</v>
      </c>
      <c r="AJ1075" s="26"/>
      <c r="AK1075" s="5"/>
      <c r="AL1075" s="82" t="s">
        <v>3865</v>
      </c>
      <c r="AM1075" s="76"/>
      <c r="AN1075" s="76"/>
      <c r="AO1075" s="76"/>
      <c r="AP1075" s="76"/>
      <c r="AQ1075" s="76"/>
      <c r="AR1075" s="76"/>
      <c r="AS1075" s="76"/>
      <c r="AT1075" s="76"/>
      <c r="AU1075" s="76"/>
      <c r="AV1075" s="76"/>
      <c r="AW1075" s="76"/>
      <c r="AX1075" s="76">
        <f>+AW1075*600000</f>
        <v>0</v>
      </c>
      <c r="AY1075" s="76"/>
      <c r="AZ1075" s="76">
        <f>+AY1075*70000</f>
        <v>0</v>
      </c>
      <c r="BA1075" s="76"/>
      <c r="BB1075" s="76"/>
      <c r="BC1075" s="76"/>
      <c r="BD1075" s="76">
        <f>+BC1075*30000</f>
        <v>0</v>
      </c>
      <c r="BE1075" s="76"/>
      <c r="BF1075" s="76"/>
      <c r="BG1075" s="76"/>
      <c r="BH1075" s="76"/>
      <c r="BI1075" s="76"/>
      <c r="BJ1075" s="76"/>
      <c r="BK1075" s="76"/>
      <c r="BL1075" s="76">
        <f>+BK1075*31500</f>
        <v>0</v>
      </c>
      <c r="BM1075" s="76"/>
      <c r="BN1075" s="76"/>
      <c r="BO1075" s="76"/>
      <c r="BP1075" s="76"/>
      <c r="BQ1075" s="76"/>
      <c r="BR1075" s="76"/>
      <c r="BS1075" s="76"/>
      <c r="BT1075" s="76"/>
      <c r="BU1075" s="76"/>
      <c r="BV1075" s="76"/>
      <c r="BW1075" s="76"/>
      <c r="BX1075" s="76"/>
      <c r="BY1075" s="76"/>
      <c r="BZ1075" s="76"/>
      <c r="CA1075" s="76"/>
      <c r="CB1075" s="76"/>
      <c r="CC1075" s="76"/>
      <c r="CD1075" s="76"/>
      <c r="CE1075" s="76"/>
      <c r="CF1075" s="76">
        <f>+CE1075*28000</f>
        <v>0</v>
      </c>
      <c r="CG1075" s="76"/>
      <c r="CH1075" s="76">
        <f>+CG1075*22500</f>
        <v>0</v>
      </c>
      <c r="CI1075" s="76"/>
      <c r="CJ1075" s="76">
        <f>+CI1075*26000</f>
        <v>0</v>
      </c>
      <c r="CK1075" s="76"/>
      <c r="CL1075" s="76"/>
      <c r="CM1075" s="76"/>
      <c r="CN1075" s="76">
        <f>+CM1075*22000</f>
        <v>0</v>
      </c>
      <c r="CO1075" s="76"/>
      <c r="CP1075" s="76">
        <f>+CO1075*46000</f>
        <v>0</v>
      </c>
      <c r="CQ1075" s="76"/>
      <c r="CR1075" s="76">
        <f>+CQ1075*49000</f>
        <v>0</v>
      </c>
      <c r="CS1075" s="76"/>
      <c r="CT1075" s="76"/>
      <c r="CU1075" s="56">
        <f>AN1075+AP1075+AR1075+AT1075+AV1075+AX1075+AZ1075+BB1075+BD1075+BF1075+BH1075+BJ1075+BL1075+BN1075+BP1075+BR1075+BT1075+BV1075+BX1075+BZ1075+CB1075+CD1075+CF1075+CH1075+CJ1075+CL1075+CN1075+CP1075+CR1075+CT1075</f>
        <v>0</v>
      </c>
      <c r="CV1075" s="76"/>
      <c r="CW1075" s="76">
        <f>+CV1075*1100</f>
        <v>0</v>
      </c>
      <c r="CX1075" s="76"/>
      <c r="CY1075" s="76">
        <f>+CX1075*106250</f>
        <v>0</v>
      </c>
      <c r="CZ1075" s="76"/>
      <c r="DA1075" s="76">
        <f>+CZ1075*34500</f>
        <v>0</v>
      </c>
      <c r="DB1075" s="76"/>
      <c r="DC1075" s="76">
        <f>+DB1075*25000</f>
        <v>0</v>
      </c>
      <c r="DD1075" s="219"/>
      <c r="DE1075" s="219"/>
      <c r="DF1075" s="166"/>
      <c r="DG1075" s="116"/>
      <c r="DH1075" s="117"/>
      <c r="DI1075" s="24"/>
      <c r="DJ1075" s="24"/>
      <c r="DK1075" s="24"/>
      <c r="DL1075" s="24"/>
      <c r="DM1075" s="24"/>
      <c r="DN1075" s="24"/>
      <c r="DO1075" s="24"/>
      <c r="DP1075" s="24"/>
      <c r="DQ1075" s="24"/>
      <c r="DR1075" s="24"/>
      <c r="DS1075" s="24"/>
      <c r="DT1075" s="24"/>
      <c r="DU1075" s="24"/>
    </row>
    <row r="1076" spans="1:125" s="8" customFormat="1" ht="72" x14ac:dyDescent="0.2">
      <c r="A1076" s="226">
        <v>41342</v>
      </c>
      <c r="B1076" s="225" t="s">
        <v>2855</v>
      </c>
      <c r="C1076" s="227" t="s">
        <v>2749</v>
      </c>
      <c r="D1076" s="227" t="s">
        <v>2859</v>
      </c>
      <c r="E1076" s="75" t="str">
        <f>VLOOKUP(B1076&amp;C1076,Divipola!$C$2:$F$1138,4,FALSE)</f>
        <v>20011</v>
      </c>
      <c r="F1076" s="87"/>
      <c r="G1076" s="87"/>
      <c r="H1076" s="87"/>
      <c r="I1076" s="87">
        <v>1</v>
      </c>
      <c r="J1076" s="87">
        <v>1</v>
      </c>
      <c r="K1076" s="87">
        <v>1</v>
      </c>
      <c r="L1076" s="87"/>
      <c r="M1076" s="87"/>
      <c r="N1076" s="87"/>
      <c r="O1076" s="87"/>
      <c r="P1076" s="87"/>
      <c r="Q1076" s="87"/>
      <c r="R1076" s="87"/>
      <c r="S1076" s="87"/>
      <c r="T1076" s="87"/>
      <c r="U1076" s="88"/>
      <c r="V1076" s="89">
        <v>2</v>
      </c>
      <c r="W1076" s="96">
        <v>0</v>
      </c>
      <c r="X1076" s="71">
        <f>CU1076</f>
        <v>0</v>
      </c>
      <c r="Y1076" s="71">
        <f>CY1076</f>
        <v>0</v>
      </c>
      <c r="Z1076" s="71">
        <f>DA1076+DC1076+DE1076</f>
        <v>0</v>
      </c>
      <c r="AA1076" s="71">
        <f>CW1076</f>
        <v>0</v>
      </c>
      <c r="AB1076" s="71"/>
      <c r="AC1076" s="71">
        <v>0</v>
      </c>
      <c r="AD1076" s="71">
        <f>W1076+X1076+Y1076+Z1076+AA1076+AB1076+AC1076</f>
        <v>0</v>
      </c>
      <c r="AE1076" s="72">
        <v>0</v>
      </c>
      <c r="AF1076" s="5"/>
      <c r="AG1076" s="6"/>
      <c r="AH1076" s="27" t="s">
        <v>3392</v>
      </c>
      <c r="AI1076" s="44" t="s">
        <v>3393</v>
      </c>
      <c r="AJ1076" s="26"/>
      <c r="AK1076" s="5"/>
      <c r="AL1076" s="82" t="s">
        <v>3869</v>
      </c>
      <c r="AM1076" s="76"/>
      <c r="AN1076" s="76"/>
      <c r="AO1076" s="76"/>
      <c r="AP1076" s="76"/>
      <c r="AQ1076" s="76"/>
      <c r="AR1076" s="76"/>
      <c r="AS1076" s="76"/>
      <c r="AT1076" s="76"/>
      <c r="AU1076" s="76"/>
      <c r="AV1076" s="76"/>
      <c r="AW1076" s="76"/>
      <c r="AX1076" s="76">
        <f>+AW1076*600000</f>
        <v>0</v>
      </c>
      <c r="AY1076" s="76"/>
      <c r="AZ1076" s="76">
        <f>+AY1076*70000</f>
        <v>0</v>
      </c>
      <c r="BA1076" s="76"/>
      <c r="BB1076" s="76"/>
      <c r="BC1076" s="76"/>
      <c r="BD1076" s="76">
        <f>+BC1076*30000</f>
        <v>0</v>
      </c>
      <c r="BE1076" s="76"/>
      <c r="BF1076" s="76"/>
      <c r="BG1076" s="76"/>
      <c r="BH1076" s="76"/>
      <c r="BI1076" s="76"/>
      <c r="BJ1076" s="76"/>
      <c r="BK1076" s="76"/>
      <c r="BL1076" s="76">
        <f>+BK1076*31500</f>
        <v>0</v>
      </c>
      <c r="BM1076" s="76"/>
      <c r="BN1076" s="76"/>
      <c r="BO1076" s="76"/>
      <c r="BP1076" s="76"/>
      <c r="BQ1076" s="76"/>
      <c r="BR1076" s="76"/>
      <c r="BS1076" s="76"/>
      <c r="BT1076" s="76"/>
      <c r="BU1076" s="76"/>
      <c r="BV1076" s="76"/>
      <c r="BW1076" s="76"/>
      <c r="BX1076" s="76"/>
      <c r="BY1076" s="76"/>
      <c r="BZ1076" s="76"/>
      <c r="CA1076" s="76"/>
      <c r="CB1076" s="76"/>
      <c r="CC1076" s="76"/>
      <c r="CD1076" s="76"/>
      <c r="CE1076" s="76"/>
      <c r="CF1076" s="76">
        <f>+CE1076*28000</f>
        <v>0</v>
      </c>
      <c r="CG1076" s="76"/>
      <c r="CH1076" s="76">
        <f>+CG1076*22500</f>
        <v>0</v>
      </c>
      <c r="CI1076" s="76"/>
      <c r="CJ1076" s="76">
        <f>+CI1076*26000</f>
        <v>0</v>
      </c>
      <c r="CK1076" s="76"/>
      <c r="CL1076" s="76"/>
      <c r="CM1076" s="76"/>
      <c r="CN1076" s="76">
        <f>+CM1076*22000</f>
        <v>0</v>
      </c>
      <c r="CO1076" s="76"/>
      <c r="CP1076" s="76">
        <f>+CO1076*46000</f>
        <v>0</v>
      </c>
      <c r="CQ1076" s="76"/>
      <c r="CR1076" s="76">
        <f>+CQ1076*49000</f>
        <v>0</v>
      </c>
      <c r="CS1076" s="76"/>
      <c r="CT1076" s="76"/>
      <c r="CU1076" s="56">
        <f>AN1076+AP1076+AR1076+AT1076+AV1076+AX1076+AZ1076+BB1076+BD1076+BF1076+BH1076+BJ1076+BL1076+BN1076+BP1076+BR1076+BT1076+BV1076+BX1076+BZ1076+CB1076+CD1076+CF1076+CH1076+CJ1076+CL1076+CN1076+CP1076+CR1076+CT1076</f>
        <v>0</v>
      </c>
      <c r="CV1076" s="76"/>
      <c r="CW1076" s="76">
        <f>+CV1076*1100</f>
        <v>0</v>
      </c>
      <c r="CX1076" s="76"/>
      <c r="CY1076" s="76">
        <f>+CX1076*106250</f>
        <v>0</v>
      </c>
      <c r="CZ1076" s="76"/>
      <c r="DA1076" s="76">
        <f>+CZ1076*34500</f>
        <v>0</v>
      </c>
      <c r="DB1076" s="76"/>
      <c r="DC1076" s="76">
        <f>+DB1076*25000</f>
        <v>0</v>
      </c>
      <c r="DD1076" s="219"/>
      <c r="DE1076" s="219"/>
      <c r="DF1076" s="166"/>
      <c r="DG1076" s="116"/>
      <c r="DH1076" s="117"/>
      <c r="DI1076" s="24"/>
      <c r="DJ1076" s="24"/>
      <c r="DK1076" s="24"/>
      <c r="DL1076" s="24"/>
      <c r="DM1076" s="24"/>
      <c r="DN1076" s="24"/>
      <c r="DO1076" s="24"/>
      <c r="DP1076" s="24"/>
      <c r="DQ1076" s="24"/>
      <c r="DR1076" s="24"/>
      <c r="DS1076" s="24"/>
      <c r="DT1076" s="24"/>
      <c r="DU1076" s="24"/>
    </row>
    <row r="1077" spans="1:125" s="8" customFormat="1" ht="48" x14ac:dyDescent="0.2">
      <c r="A1077" s="77">
        <v>41342</v>
      </c>
      <c r="B1077" s="78" t="s">
        <v>2852</v>
      </c>
      <c r="C1077" s="75" t="s">
        <v>1327</v>
      </c>
      <c r="D1077" s="75" t="s">
        <v>2859</v>
      </c>
      <c r="E1077" s="75" t="str">
        <f>VLOOKUP(B1077&amp;C1077,Divipola!$C$2:$F$1138,4,FALSE)</f>
        <v>27001</v>
      </c>
      <c r="F1077" s="87"/>
      <c r="G1077" s="87"/>
      <c r="H1077" s="87"/>
      <c r="I1077" s="87">
        <v>9</v>
      </c>
      <c r="J1077" s="87">
        <v>1</v>
      </c>
      <c r="K1077" s="87">
        <v>1</v>
      </c>
      <c r="L1077" s="87"/>
      <c r="M1077" s="87"/>
      <c r="N1077" s="87"/>
      <c r="O1077" s="87"/>
      <c r="P1077" s="87"/>
      <c r="Q1077" s="87"/>
      <c r="R1077" s="87"/>
      <c r="S1077" s="87"/>
      <c r="T1077" s="87"/>
      <c r="U1077" s="88"/>
      <c r="V1077" s="89"/>
      <c r="W1077" s="96">
        <v>0</v>
      </c>
      <c r="X1077" s="71">
        <f>CU1077</f>
        <v>0</v>
      </c>
      <c r="Y1077" s="71">
        <f>CY1077</f>
        <v>0</v>
      </c>
      <c r="Z1077" s="71">
        <f>DA1077+DC1077+DE1077</f>
        <v>0</v>
      </c>
      <c r="AA1077" s="71">
        <f>CW1077</f>
        <v>0</v>
      </c>
      <c r="AB1077" s="71"/>
      <c r="AC1077" s="71">
        <v>0</v>
      </c>
      <c r="AD1077" s="71">
        <f>W1077+X1077+Y1077+Z1077+AA1077+AB1077+AC1077</f>
        <v>0</v>
      </c>
      <c r="AE1077" s="72">
        <v>0</v>
      </c>
      <c r="AF1077" s="5"/>
      <c r="AG1077" s="6"/>
      <c r="AH1077" s="27" t="s">
        <v>3392</v>
      </c>
      <c r="AI1077" s="44" t="s">
        <v>3393</v>
      </c>
      <c r="AJ1077" s="26"/>
      <c r="AK1077" s="5"/>
      <c r="AL1077" s="82" t="s">
        <v>3866</v>
      </c>
      <c r="AM1077" s="76"/>
      <c r="AN1077" s="76"/>
      <c r="AO1077" s="76"/>
      <c r="AP1077" s="76"/>
      <c r="AQ1077" s="76"/>
      <c r="AR1077" s="76"/>
      <c r="AS1077" s="76"/>
      <c r="AT1077" s="76"/>
      <c r="AU1077" s="76"/>
      <c r="AV1077" s="76"/>
      <c r="AW1077" s="76"/>
      <c r="AX1077" s="76">
        <f>+AW1077*600000</f>
        <v>0</v>
      </c>
      <c r="AY1077" s="76"/>
      <c r="AZ1077" s="76">
        <f>+AY1077*70000</f>
        <v>0</v>
      </c>
      <c r="BA1077" s="76"/>
      <c r="BB1077" s="76"/>
      <c r="BC1077" s="76"/>
      <c r="BD1077" s="76">
        <f>+BC1077*30000</f>
        <v>0</v>
      </c>
      <c r="BE1077" s="76"/>
      <c r="BF1077" s="76"/>
      <c r="BG1077" s="76"/>
      <c r="BH1077" s="76"/>
      <c r="BI1077" s="76"/>
      <c r="BJ1077" s="76"/>
      <c r="BK1077" s="76"/>
      <c r="BL1077" s="76">
        <f>+BK1077*31500</f>
        <v>0</v>
      </c>
      <c r="BM1077" s="76"/>
      <c r="BN1077" s="76"/>
      <c r="BO1077" s="76"/>
      <c r="BP1077" s="76"/>
      <c r="BQ1077" s="76"/>
      <c r="BR1077" s="76"/>
      <c r="BS1077" s="76"/>
      <c r="BT1077" s="76"/>
      <c r="BU1077" s="76"/>
      <c r="BV1077" s="76"/>
      <c r="BW1077" s="76"/>
      <c r="BX1077" s="76"/>
      <c r="BY1077" s="76"/>
      <c r="BZ1077" s="76"/>
      <c r="CA1077" s="76"/>
      <c r="CB1077" s="76"/>
      <c r="CC1077" s="76"/>
      <c r="CD1077" s="76"/>
      <c r="CE1077" s="76"/>
      <c r="CF1077" s="76">
        <f>+CE1077*28000</f>
        <v>0</v>
      </c>
      <c r="CG1077" s="76"/>
      <c r="CH1077" s="76">
        <f>+CG1077*22500</f>
        <v>0</v>
      </c>
      <c r="CI1077" s="76"/>
      <c r="CJ1077" s="76">
        <f>+CI1077*26000</f>
        <v>0</v>
      </c>
      <c r="CK1077" s="76"/>
      <c r="CL1077" s="76"/>
      <c r="CM1077" s="76"/>
      <c r="CN1077" s="76">
        <f>+CM1077*22000</f>
        <v>0</v>
      </c>
      <c r="CO1077" s="76"/>
      <c r="CP1077" s="76">
        <f>+CO1077*46000</f>
        <v>0</v>
      </c>
      <c r="CQ1077" s="76"/>
      <c r="CR1077" s="76">
        <f>+CQ1077*49000</f>
        <v>0</v>
      </c>
      <c r="CS1077" s="76"/>
      <c r="CT1077" s="76"/>
      <c r="CU1077" s="56">
        <f>AN1077+AP1077+AR1077+AT1077+AV1077+AX1077+AZ1077+BB1077+BD1077+BF1077+BH1077+BJ1077+BL1077+BN1077+BP1077+BR1077+BT1077+BV1077+BX1077+BZ1077+CB1077+CD1077+CF1077+CH1077+CJ1077+CL1077+CN1077+CP1077+CR1077+CT1077</f>
        <v>0</v>
      </c>
      <c r="CV1077" s="76"/>
      <c r="CW1077" s="76">
        <f>+CV1077*1100</f>
        <v>0</v>
      </c>
      <c r="CX1077" s="76"/>
      <c r="CY1077" s="76">
        <f>+CX1077*106250</f>
        <v>0</v>
      </c>
      <c r="CZ1077" s="76"/>
      <c r="DA1077" s="76">
        <f>+CZ1077*34500</f>
        <v>0</v>
      </c>
      <c r="DB1077" s="76"/>
      <c r="DC1077" s="76">
        <f>+DB1077*25000</f>
        <v>0</v>
      </c>
      <c r="DD1077" s="219"/>
      <c r="DE1077" s="219"/>
      <c r="DF1077" s="166"/>
      <c r="DG1077" s="116"/>
      <c r="DH1077" s="117"/>
      <c r="DI1077" s="24"/>
      <c r="DJ1077" s="24"/>
      <c r="DK1077" s="24"/>
      <c r="DL1077" s="24"/>
      <c r="DM1077" s="24"/>
      <c r="DN1077" s="24"/>
      <c r="DO1077" s="24"/>
      <c r="DP1077" s="24"/>
      <c r="DQ1077" s="24"/>
      <c r="DR1077" s="24"/>
      <c r="DS1077" s="24"/>
      <c r="DT1077" s="24"/>
      <c r="DU1077" s="24"/>
    </row>
    <row r="1078" spans="1:125" s="8" customFormat="1" ht="108" x14ac:dyDescent="0.2">
      <c r="A1078" s="77">
        <v>41342</v>
      </c>
      <c r="B1078" s="78" t="s">
        <v>2661</v>
      </c>
      <c r="C1078" s="75" t="s">
        <v>29</v>
      </c>
      <c r="D1078" s="81" t="s">
        <v>2846</v>
      </c>
      <c r="E1078" s="75" t="str">
        <f>VLOOKUP(B1078&amp;C1078,Divipola!$C$2:$F$1138,4,FALSE)</f>
        <v>41244</v>
      </c>
      <c r="F1078" s="87"/>
      <c r="G1078" s="87"/>
      <c r="H1078" s="87"/>
      <c r="I1078" s="87"/>
      <c r="J1078" s="87"/>
      <c r="K1078" s="87"/>
      <c r="L1078" s="87"/>
      <c r="M1078" s="87"/>
      <c r="N1078" s="87"/>
      <c r="O1078" s="87"/>
      <c r="P1078" s="87"/>
      <c r="Q1078" s="87"/>
      <c r="R1078" s="87"/>
      <c r="S1078" s="87"/>
      <c r="T1078" s="87"/>
      <c r="U1078" s="88">
        <v>15</v>
      </c>
      <c r="V1078" s="89"/>
      <c r="W1078" s="96">
        <v>0</v>
      </c>
      <c r="X1078" s="71">
        <f>CU1078</f>
        <v>0</v>
      </c>
      <c r="Y1078" s="71">
        <f>CY1078</f>
        <v>0</v>
      </c>
      <c r="Z1078" s="71">
        <f>DA1078+DC1078+DE1078</f>
        <v>0</v>
      </c>
      <c r="AA1078" s="71">
        <f>CW1078</f>
        <v>0</v>
      </c>
      <c r="AB1078" s="71"/>
      <c r="AC1078" s="71">
        <v>0</v>
      </c>
      <c r="AD1078" s="71">
        <f>W1078+X1078+Y1078+Z1078+AA1078+AB1078+AC1078</f>
        <v>0</v>
      </c>
      <c r="AE1078" s="72">
        <v>0</v>
      </c>
      <c r="AF1078" s="5"/>
      <c r="AG1078" s="6"/>
      <c r="AH1078" s="27" t="s">
        <v>3392</v>
      </c>
      <c r="AI1078" s="44" t="s">
        <v>3393</v>
      </c>
      <c r="AJ1078" s="26"/>
      <c r="AK1078" s="5"/>
      <c r="AL1078" s="82" t="s">
        <v>3870</v>
      </c>
      <c r="AM1078" s="76"/>
      <c r="AN1078" s="76"/>
      <c r="AO1078" s="76"/>
      <c r="AP1078" s="76"/>
      <c r="AQ1078" s="76"/>
      <c r="AR1078" s="76"/>
      <c r="AS1078" s="76"/>
      <c r="AT1078" s="76"/>
      <c r="AU1078" s="76"/>
      <c r="AV1078" s="76"/>
      <c r="AW1078" s="76"/>
      <c r="AX1078" s="76">
        <f>+AW1078*600000</f>
        <v>0</v>
      </c>
      <c r="AY1078" s="76"/>
      <c r="AZ1078" s="76">
        <f>+AY1078*70000</f>
        <v>0</v>
      </c>
      <c r="BA1078" s="76"/>
      <c r="BB1078" s="76"/>
      <c r="BC1078" s="76"/>
      <c r="BD1078" s="76">
        <f>+BC1078*30000</f>
        <v>0</v>
      </c>
      <c r="BE1078" s="76"/>
      <c r="BF1078" s="76"/>
      <c r="BG1078" s="76"/>
      <c r="BH1078" s="76"/>
      <c r="BI1078" s="76"/>
      <c r="BJ1078" s="76"/>
      <c r="BK1078" s="76"/>
      <c r="BL1078" s="76">
        <f>+BK1078*31500</f>
        <v>0</v>
      </c>
      <c r="BM1078" s="76"/>
      <c r="BN1078" s="76"/>
      <c r="BO1078" s="76"/>
      <c r="BP1078" s="76"/>
      <c r="BQ1078" s="76"/>
      <c r="BR1078" s="76"/>
      <c r="BS1078" s="76"/>
      <c r="BT1078" s="76"/>
      <c r="BU1078" s="76"/>
      <c r="BV1078" s="76"/>
      <c r="BW1078" s="76"/>
      <c r="BX1078" s="76"/>
      <c r="BY1078" s="76"/>
      <c r="BZ1078" s="76"/>
      <c r="CA1078" s="76"/>
      <c r="CB1078" s="76"/>
      <c r="CC1078" s="76"/>
      <c r="CD1078" s="76"/>
      <c r="CE1078" s="76"/>
      <c r="CF1078" s="76">
        <f>+CE1078*28000</f>
        <v>0</v>
      </c>
      <c r="CG1078" s="76"/>
      <c r="CH1078" s="76">
        <f>+CG1078*22500</f>
        <v>0</v>
      </c>
      <c r="CI1078" s="76"/>
      <c r="CJ1078" s="76">
        <f>+CI1078*26000</f>
        <v>0</v>
      </c>
      <c r="CK1078" s="76"/>
      <c r="CL1078" s="76"/>
      <c r="CM1078" s="76"/>
      <c r="CN1078" s="76">
        <f>+CM1078*22000</f>
        <v>0</v>
      </c>
      <c r="CO1078" s="76"/>
      <c r="CP1078" s="76">
        <f>+CO1078*46000</f>
        <v>0</v>
      </c>
      <c r="CQ1078" s="76"/>
      <c r="CR1078" s="76">
        <f>+CQ1078*49000</f>
        <v>0</v>
      </c>
      <c r="CS1078" s="76"/>
      <c r="CT1078" s="76"/>
      <c r="CU1078" s="56">
        <f>AN1078+AP1078+AR1078+AT1078+AV1078+AX1078+AZ1078+BB1078+BD1078+BF1078+BH1078+BJ1078+BL1078+BN1078+BP1078+BR1078+BT1078+BV1078+BX1078+BZ1078+CB1078+CD1078+CF1078+CH1078+CJ1078+CL1078+CN1078+CP1078+CR1078+CT1078</f>
        <v>0</v>
      </c>
      <c r="CV1078" s="76"/>
      <c r="CW1078" s="76">
        <f>+CV1078*1100</f>
        <v>0</v>
      </c>
      <c r="CX1078" s="76"/>
      <c r="CY1078" s="76">
        <f>+CX1078*106250</f>
        <v>0</v>
      </c>
      <c r="CZ1078" s="76"/>
      <c r="DA1078" s="76">
        <f>+CZ1078*34500</f>
        <v>0</v>
      </c>
      <c r="DB1078" s="76"/>
      <c r="DC1078" s="76">
        <f>+DB1078*25000</f>
        <v>0</v>
      </c>
      <c r="DD1078" s="219"/>
      <c r="DE1078" s="219"/>
      <c r="DF1078" s="166"/>
      <c r="DG1078" s="116"/>
      <c r="DH1078" s="117"/>
      <c r="DI1078" s="24"/>
      <c r="DJ1078" s="24"/>
      <c r="DK1078" s="24"/>
      <c r="DL1078" s="24"/>
      <c r="DM1078" s="24"/>
      <c r="DN1078" s="24"/>
      <c r="DO1078" s="24"/>
      <c r="DP1078" s="24"/>
      <c r="DQ1078" s="24"/>
      <c r="DR1078" s="24"/>
      <c r="DS1078" s="24"/>
      <c r="DT1078" s="24"/>
      <c r="DU1078" s="24"/>
    </row>
    <row r="1079" spans="1:125" s="8" customFormat="1" ht="228" x14ac:dyDescent="0.2">
      <c r="A1079" s="226">
        <v>41343</v>
      </c>
      <c r="B1079" s="225" t="s">
        <v>529</v>
      </c>
      <c r="C1079" s="227" t="s">
        <v>529</v>
      </c>
      <c r="D1079" s="227" t="s">
        <v>2859</v>
      </c>
      <c r="E1079" s="75" t="str">
        <f>VLOOKUP(B1079&amp;C1079,Divipola!$C$2:$F$1138,4,FALSE)</f>
        <v>11001</v>
      </c>
      <c r="F1079" s="87"/>
      <c r="G1079" s="87"/>
      <c r="H1079" s="87"/>
      <c r="I1079" s="87"/>
      <c r="J1079" s="87"/>
      <c r="K1079" s="87"/>
      <c r="L1079" s="87"/>
      <c r="M1079" s="87"/>
      <c r="N1079" s="87"/>
      <c r="O1079" s="87"/>
      <c r="P1079" s="87"/>
      <c r="Q1079" s="87"/>
      <c r="R1079" s="87"/>
      <c r="S1079" s="87"/>
      <c r="T1079" s="87"/>
      <c r="U1079" s="88"/>
      <c r="V1079" s="89"/>
      <c r="W1079" s="96">
        <v>0</v>
      </c>
      <c r="X1079" s="71">
        <f>CU1079</f>
        <v>0</v>
      </c>
      <c r="Y1079" s="71">
        <f>CY1079</f>
        <v>0</v>
      </c>
      <c r="Z1079" s="71">
        <f>DA1079+DC1079+DE1079</f>
        <v>0</v>
      </c>
      <c r="AA1079" s="71">
        <f>CW1079</f>
        <v>0</v>
      </c>
      <c r="AB1079" s="71"/>
      <c r="AC1079" s="71">
        <v>0</v>
      </c>
      <c r="AD1079" s="71">
        <f>W1079+X1079+Y1079+Z1079+AA1079+AB1079+AC1079</f>
        <v>0</v>
      </c>
      <c r="AE1079" s="72">
        <v>0</v>
      </c>
      <c r="AF1079" s="5"/>
      <c r="AG1079" s="6"/>
      <c r="AH1079" s="27" t="s">
        <v>3392</v>
      </c>
      <c r="AI1079" s="44" t="s">
        <v>3393</v>
      </c>
      <c r="AJ1079" s="26"/>
      <c r="AK1079" s="5"/>
      <c r="AL1079" s="82" t="s">
        <v>3874</v>
      </c>
      <c r="AM1079" s="76"/>
      <c r="AN1079" s="76"/>
      <c r="AO1079" s="76"/>
      <c r="AP1079" s="76"/>
      <c r="AQ1079" s="76"/>
      <c r="AR1079" s="76"/>
      <c r="AS1079" s="76"/>
      <c r="AT1079" s="76"/>
      <c r="AU1079" s="76"/>
      <c r="AV1079" s="76"/>
      <c r="AW1079" s="76"/>
      <c r="AX1079" s="76">
        <f>+AW1079*600000</f>
        <v>0</v>
      </c>
      <c r="AY1079" s="76"/>
      <c r="AZ1079" s="76">
        <f>+AY1079*70000</f>
        <v>0</v>
      </c>
      <c r="BA1079" s="76"/>
      <c r="BB1079" s="76"/>
      <c r="BC1079" s="76"/>
      <c r="BD1079" s="76">
        <f>+BC1079*30000</f>
        <v>0</v>
      </c>
      <c r="BE1079" s="76"/>
      <c r="BF1079" s="76"/>
      <c r="BG1079" s="76"/>
      <c r="BH1079" s="76"/>
      <c r="BI1079" s="76"/>
      <c r="BJ1079" s="76"/>
      <c r="BK1079" s="76"/>
      <c r="BL1079" s="76">
        <f>+BK1079*31500</f>
        <v>0</v>
      </c>
      <c r="BM1079" s="76"/>
      <c r="BN1079" s="76"/>
      <c r="BO1079" s="76"/>
      <c r="BP1079" s="76"/>
      <c r="BQ1079" s="76"/>
      <c r="BR1079" s="76"/>
      <c r="BS1079" s="76"/>
      <c r="BT1079" s="76"/>
      <c r="BU1079" s="76"/>
      <c r="BV1079" s="76"/>
      <c r="BW1079" s="76"/>
      <c r="BX1079" s="76"/>
      <c r="BY1079" s="76"/>
      <c r="BZ1079" s="76"/>
      <c r="CA1079" s="76"/>
      <c r="CB1079" s="76"/>
      <c r="CC1079" s="76"/>
      <c r="CD1079" s="76"/>
      <c r="CE1079" s="76"/>
      <c r="CF1079" s="76">
        <f>+CE1079*28000</f>
        <v>0</v>
      </c>
      <c r="CG1079" s="76"/>
      <c r="CH1079" s="76">
        <f>+CG1079*22500</f>
        <v>0</v>
      </c>
      <c r="CI1079" s="76"/>
      <c r="CJ1079" s="76">
        <f>+CI1079*26000</f>
        <v>0</v>
      </c>
      <c r="CK1079" s="76"/>
      <c r="CL1079" s="76"/>
      <c r="CM1079" s="76"/>
      <c r="CN1079" s="76">
        <f>+CM1079*22000</f>
        <v>0</v>
      </c>
      <c r="CO1079" s="76"/>
      <c r="CP1079" s="76">
        <f>+CO1079*46000</f>
        <v>0</v>
      </c>
      <c r="CQ1079" s="76"/>
      <c r="CR1079" s="76">
        <f>+CQ1079*49000</f>
        <v>0</v>
      </c>
      <c r="CS1079" s="76"/>
      <c r="CT1079" s="76"/>
      <c r="CU1079" s="56">
        <f>AN1079+AP1079+AR1079+AT1079+AV1079+AX1079+AZ1079+BB1079+BD1079+BF1079+BH1079+BJ1079+BL1079+BN1079+BP1079+BR1079+BT1079+BV1079+BX1079+BZ1079+CB1079+CD1079+CF1079+CH1079+CJ1079+CL1079+CN1079+CP1079+CR1079+CT1079</f>
        <v>0</v>
      </c>
      <c r="CV1079" s="76"/>
      <c r="CW1079" s="76">
        <f>+CV1079*1100</f>
        <v>0</v>
      </c>
      <c r="CX1079" s="76"/>
      <c r="CY1079" s="76">
        <f>+CX1079*106250</f>
        <v>0</v>
      </c>
      <c r="CZ1079" s="76"/>
      <c r="DA1079" s="76">
        <f>+CZ1079*34500</f>
        <v>0</v>
      </c>
      <c r="DB1079" s="76"/>
      <c r="DC1079" s="76">
        <f>+DB1079*25000</f>
        <v>0</v>
      </c>
      <c r="DD1079" s="219"/>
      <c r="DE1079" s="219"/>
      <c r="DF1079" s="166"/>
      <c r="DG1079" s="116"/>
      <c r="DH1079" s="117"/>
      <c r="DI1079" s="110"/>
      <c r="DJ1079" s="110"/>
      <c r="DK1079" s="110"/>
      <c r="DL1079" s="110"/>
      <c r="DM1079" s="110"/>
      <c r="DN1079" s="110"/>
      <c r="DO1079" s="110"/>
      <c r="DP1079" s="110"/>
      <c r="DQ1079" s="110"/>
      <c r="DR1079" s="110"/>
      <c r="DS1079" s="110"/>
      <c r="DT1079" s="110"/>
      <c r="DU1079" s="110"/>
    </row>
    <row r="1080" spans="1:125" s="8" customFormat="1" ht="60" x14ac:dyDescent="0.2">
      <c r="A1080" s="77">
        <v>41343</v>
      </c>
      <c r="B1080" s="225" t="s">
        <v>529</v>
      </c>
      <c r="C1080" s="227" t="s">
        <v>529</v>
      </c>
      <c r="D1080" s="227" t="s">
        <v>2859</v>
      </c>
      <c r="E1080" s="75" t="str">
        <f>VLOOKUP(B1080&amp;C1080,Divipola!$C$2:$F$1138,4,FALSE)</f>
        <v>11001</v>
      </c>
      <c r="F1080" s="87"/>
      <c r="G1080" s="87">
        <v>1</v>
      </c>
      <c r="H1080" s="87"/>
      <c r="I1080" s="87">
        <v>5</v>
      </c>
      <c r="J1080" s="87">
        <v>1</v>
      </c>
      <c r="K1080" s="87"/>
      <c r="L1080" s="87">
        <v>1</v>
      </c>
      <c r="M1080" s="87"/>
      <c r="N1080" s="87"/>
      <c r="O1080" s="87"/>
      <c r="P1080" s="87"/>
      <c r="Q1080" s="87"/>
      <c r="R1080" s="87"/>
      <c r="S1080" s="87"/>
      <c r="T1080" s="87"/>
      <c r="U1080" s="88"/>
      <c r="V1080" s="89"/>
      <c r="W1080" s="96">
        <v>0</v>
      </c>
      <c r="X1080" s="71">
        <f>CU1080</f>
        <v>0</v>
      </c>
      <c r="Y1080" s="71">
        <f>CY1080</f>
        <v>0</v>
      </c>
      <c r="Z1080" s="71">
        <f>DA1080+DC1080+DE1080</f>
        <v>0</v>
      </c>
      <c r="AA1080" s="71">
        <f>CW1080</f>
        <v>0</v>
      </c>
      <c r="AB1080" s="71"/>
      <c r="AC1080" s="71">
        <v>0</v>
      </c>
      <c r="AD1080" s="71">
        <f>W1080+X1080+Y1080+Z1080+AA1080+AB1080+AC1080</f>
        <v>0</v>
      </c>
      <c r="AE1080" s="72">
        <v>0</v>
      </c>
      <c r="AF1080" s="5"/>
      <c r="AG1080" s="6"/>
      <c r="AH1080" s="27" t="s">
        <v>3392</v>
      </c>
      <c r="AI1080" s="44" t="s">
        <v>3393</v>
      </c>
      <c r="AJ1080" s="26"/>
      <c r="AK1080" s="5"/>
      <c r="AL1080" s="82" t="s">
        <v>3873</v>
      </c>
      <c r="AM1080" s="76"/>
      <c r="AN1080" s="76"/>
      <c r="AO1080" s="76"/>
      <c r="AP1080" s="76"/>
      <c r="AQ1080" s="76"/>
      <c r="AR1080" s="76"/>
      <c r="AS1080" s="76"/>
      <c r="AT1080" s="76"/>
      <c r="AU1080" s="76"/>
      <c r="AV1080" s="76"/>
      <c r="AW1080" s="76"/>
      <c r="AX1080" s="76">
        <f>+AW1080*600000</f>
        <v>0</v>
      </c>
      <c r="AY1080" s="76"/>
      <c r="AZ1080" s="76">
        <f>+AY1080*70000</f>
        <v>0</v>
      </c>
      <c r="BA1080" s="76"/>
      <c r="BB1080" s="76"/>
      <c r="BC1080" s="76"/>
      <c r="BD1080" s="76">
        <f>+BC1080*30000</f>
        <v>0</v>
      </c>
      <c r="BE1080" s="76"/>
      <c r="BF1080" s="76"/>
      <c r="BG1080" s="76"/>
      <c r="BH1080" s="76"/>
      <c r="BI1080" s="76"/>
      <c r="BJ1080" s="76"/>
      <c r="BK1080" s="76"/>
      <c r="BL1080" s="76">
        <f>+BK1080*31500</f>
        <v>0</v>
      </c>
      <c r="BM1080" s="76"/>
      <c r="BN1080" s="76"/>
      <c r="BO1080" s="76"/>
      <c r="BP1080" s="76"/>
      <c r="BQ1080" s="76"/>
      <c r="BR1080" s="76"/>
      <c r="BS1080" s="76"/>
      <c r="BT1080" s="76"/>
      <c r="BU1080" s="76"/>
      <c r="BV1080" s="76"/>
      <c r="BW1080" s="76"/>
      <c r="BX1080" s="76"/>
      <c r="BY1080" s="76"/>
      <c r="BZ1080" s="76"/>
      <c r="CA1080" s="76"/>
      <c r="CB1080" s="76"/>
      <c r="CC1080" s="76"/>
      <c r="CD1080" s="76"/>
      <c r="CE1080" s="76"/>
      <c r="CF1080" s="76">
        <f>+CE1080*28000</f>
        <v>0</v>
      </c>
      <c r="CG1080" s="76"/>
      <c r="CH1080" s="76">
        <f>+CG1080*22500</f>
        <v>0</v>
      </c>
      <c r="CI1080" s="76"/>
      <c r="CJ1080" s="76">
        <f>+CI1080*26000</f>
        <v>0</v>
      </c>
      <c r="CK1080" s="76"/>
      <c r="CL1080" s="76"/>
      <c r="CM1080" s="76"/>
      <c r="CN1080" s="76">
        <f>+CM1080*22000</f>
        <v>0</v>
      </c>
      <c r="CO1080" s="76"/>
      <c r="CP1080" s="76">
        <f>+CO1080*46000</f>
        <v>0</v>
      </c>
      <c r="CQ1080" s="76"/>
      <c r="CR1080" s="76">
        <f>+CQ1080*49000</f>
        <v>0</v>
      </c>
      <c r="CS1080" s="76"/>
      <c r="CT1080" s="76"/>
      <c r="CU1080" s="56">
        <f>AN1080+AP1080+AR1080+AT1080+AV1080+AX1080+AZ1080+BB1080+BD1080+BF1080+BH1080+BJ1080+BL1080+BN1080+BP1080+BR1080+BT1080+BV1080+BX1080+BZ1080+CB1080+CD1080+CF1080+CH1080+CJ1080+CL1080+CN1080+CP1080+CR1080+CT1080</f>
        <v>0</v>
      </c>
      <c r="CV1080" s="76"/>
      <c r="CW1080" s="76">
        <f>+CV1080*1100</f>
        <v>0</v>
      </c>
      <c r="CX1080" s="76"/>
      <c r="CY1080" s="76">
        <f>+CX1080*106250</f>
        <v>0</v>
      </c>
      <c r="CZ1080" s="76"/>
      <c r="DA1080" s="76">
        <f>+CZ1080*34500</f>
        <v>0</v>
      </c>
      <c r="DB1080" s="76"/>
      <c r="DC1080" s="76">
        <f>+DB1080*25000</f>
        <v>0</v>
      </c>
      <c r="DD1080" s="219"/>
      <c r="DE1080" s="219"/>
      <c r="DF1080" s="166"/>
      <c r="DG1080" s="116"/>
      <c r="DH1080" s="117"/>
      <c r="DI1080" s="24"/>
      <c r="DJ1080" s="24"/>
      <c r="DK1080" s="24"/>
      <c r="DL1080" s="24"/>
      <c r="DM1080" s="24"/>
      <c r="DN1080" s="24"/>
      <c r="DO1080" s="24"/>
      <c r="DP1080" s="24"/>
      <c r="DQ1080" s="24"/>
      <c r="DR1080" s="24"/>
      <c r="DS1080" s="24"/>
      <c r="DT1080" s="24"/>
      <c r="DU1080" s="24"/>
    </row>
    <row r="1081" spans="1:125" s="8" customFormat="1" ht="72" x14ac:dyDescent="0.2">
      <c r="A1081" s="353">
        <v>41343</v>
      </c>
      <c r="B1081" s="352" t="s">
        <v>2700</v>
      </c>
      <c r="C1081" s="354" t="s">
        <v>704</v>
      </c>
      <c r="D1081" s="81" t="s">
        <v>2846</v>
      </c>
      <c r="E1081" s="75" t="str">
        <f>VLOOKUP(B1081&amp;C1081,Divipola!$C$2:$F$1138,4,FALSE)</f>
        <v>15810</v>
      </c>
      <c r="F1081" s="87"/>
      <c r="G1081" s="87"/>
      <c r="H1081" s="87"/>
      <c r="I1081" s="87"/>
      <c r="J1081" s="87"/>
      <c r="K1081" s="87"/>
      <c r="L1081" s="87"/>
      <c r="M1081" s="87"/>
      <c r="N1081" s="87"/>
      <c r="O1081" s="87"/>
      <c r="P1081" s="87"/>
      <c r="Q1081" s="87"/>
      <c r="R1081" s="87"/>
      <c r="S1081" s="87"/>
      <c r="T1081" s="87"/>
      <c r="U1081" s="88">
        <v>15</v>
      </c>
      <c r="V1081" s="89"/>
      <c r="W1081" s="96">
        <v>0</v>
      </c>
      <c r="X1081" s="71">
        <f>CU1081</f>
        <v>0</v>
      </c>
      <c r="Y1081" s="71">
        <f>CY1081</f>
        <v>0</v>
      </c>
      <c r="Z1081" s="71">
        <f>DA1081+DC1081+DE1081</f>
        <v>0</v>
      </c>
      <c r="AA1081" s="71">
        <f>CW1081</f>
        <v>0</v>
      </c>
      <c r="AB1081" s="71"/>
      <c r="AC1081" s="71">
        <v>0</v>
      </c>
      <c r="AD1081" s="71">
        <f>W1081+X1081+Y1081+Z1081+AA1081+AB1081+AC1081</f>
        <v>0</v>
      </c>
      <c r="AE1081" s="72">
        <v>0</v>
      </c>
      <c r="AF1081" s="5"/>
      <c r="AG1081" s="6"/>
      <c r="AH1081" s="27" t="s">
        <v>3392</v>
      </c>
      <c r="AI1081" s="44" t="s">
        <v>3393</v>
      </c>
      <c r="AJ1081" s="26"/>
      <c r="AK1081" s="5"/>
      <c r="AL1081" s="82" t="s">
        <v>3970</v>
      </c>
      <c r="AM1081" s="76"/>
      <c r="AN1081" s="76"/>
      <c r="AO1081" s="76"/>
      <c r="AP1081" s="76"/>
      <c r="AQ1081" s="76"/>
      <c r="AR1081" s="76"/>
      <c r="AS1081" s="76"/>
      <c r="AT1081" s="76"/>
      <c r="AU1081" s="76"/>
      <c r="AV1081" s="76"/>
      <c r="AW1081" s="76"/>
      <c r="AX1081" s="76">
        <f>+AW1081*600000</f>
        <v>0</v>
      </c>
      <c r="AY1081" s="76"/>
      <c r="AZ1081" s="76">
        <f>+AY1081*70000</f>
        <v>0</v>
      </c>
      <c r="BA1081" s="76"/>
      <c r="BB1081" s="76"/>
      <c r="BC1081" s="76"/>
      <c r="BD1081" s="76">
        <f>+BC1081*30000</f>
        <v>0</v>
      </c>
      <c r="BE1081" s="76"/>
      <c r="BF1081" s="76"/>
      <c r="BG1081" s="76"/>
      <c r="BH1081" s="76"/>
      <c r="BI1081" s="76"/>
      <c r="BJ1081" s="76"/>
      <c r="BK1081" s="76"/>
      <c r="BL1081" s="76">
        <f>+BK1081*31500</f>
        <v>0</v>
      </c>
      <c r="BM1081" s="76"/>
      <c r="BN1081" s="76"/>
      <c r="BO1081" s="76"/>
      <c r="BP1081" s="76"/>
      <c r="BQ1081" s="76"/>
      <c r="BR1081" s="76"/>
      <c r="BS1081" s="76"/>
      <c r="BT1081" s="76"/>
      <c r="BU1081" s="76"/>
      <c r="BV1081" s="76"/>
      <c r="BW1081" s="76"/>
      <c r="BX1081" s="76"/>
      <c r="BY1081" s="76"/>
      <c r="BZ1081" s="76"/>
      <c r="CA1081" s="76"/>
      <c r="CB1081" s="76"/>
      <c r="CC1081" s="76"/>
      <c r="CD1081" s="76"/>
      <c r="CE1081" s="76"/>
      <c r="CF1081" s="76">
        <f>+CE1081*28000</f>
        <v>0</v>
      </c>
      <c r="CG1081" s="76"/>
      <c r="CH1081" s="76">
        <f>+CG1081*22500</f>
        <v>0</v>
      </c>
      <c r="CI1081" s="76"/>
      <c r="CJ1081" s="76">
        <f>+CI1081*26000</f>
        <v>0</v>
      </c>
      <c r="CK1081" s="76"/>
      <c r="CL1081" s="76"/>
      <c r="CM1081" s="76"/>
      <c r="CN1081" s="76">
        <f>+CM1081*22000</f>
        <v>0</v>
      </c>
      <c r="CO1081" s="76"/>
      <c r="CP1081" s="76">
        <f>+CO1081*46000</f>
        <v>0</v>
      </c>
      <c r="CQ1081" s="76"/>
      <c r="CR1081" s="76">
        <f>+CQ1081*49000</f>
        <v>0</v>
      </c>
      <c r="CS1081" s="76"/>
      <c r="CT1081" s="76"/>
      <c r="CU1081" s="56">
        <f>AN1081+AP1081+AR1081+AT1081+AV1081+AX1081+AZ1081+BB1081+BD1081+BF1081+BH1081+BJ1081+BL1081+BN1081+BP1081+BR1081+BT1081+BV1081+BX1081+BZ1081+CB1081+CD1081+CF1081+CH1081+CJ1081+CL1081+CN1081+CP1081+CR1081+CT1081</f>
        <v>0</v>
      </c>
      <c r="CV1081" s="76"/>
      <c r="CW1081" s="76">
        <f>+CV1081*1100</f>
        <v>0</v>
      </c>
      <c r="CX1081" s="76"/>
      <c r="CY1081" s="76">
        <f>+CX1081*106250</f>
        <v>0</v>
      </c>
      <c r="CZ1081" s="76"/>
      <c r="DA1081" s="76">
        <f>+CZ1081*34500</f>
        <v>0</v>
      </c>
      <c r="DB1081" s="76"/>
      <c r="DC1081" s="76">
        <f>+DB1081*25000</f>
        <v>0</v>
      </c>
      <c r="DD1081" s="219"/>
      <c r="DE1081" s="219"/>
      <c r="DF1081" s="166"/>
      <c r="DG1081" s="116"/>
      <c r="DH1081" s="117"/>
      <c r="DI1081" s="24"/>
      <c r="DJ1081" s="24"/>
      <c r="DK1081" s="24"/>
      <c r="DL1081" s="24"/>
      <c r="DM1081" s="24"/>
      <c r="DN1081" s="24"/>
      <c r="DO1081" s="24"/>
      <c r="DP1081" s="24"/>
      <c r="DQ1081" s="24"/>
      <c r="DR1081" s="24"/>
      <c r="DS1081" s="24"/>
      <c r="DT1081" s="24"/>
      <c r="DU1081" s="24"/>
    </row>
    <row r="1082" spans="1:125" s="8" customFormat="1" ht="72" x14ac:dyDescent="0.2">
      <c r="A1082" s="77">
        <v>41343</v>
      </c>
      <c r="B1082" s="78" t="s">
        <v>2772</v>
      </c>
      <c r="C1082" s="75" t="s">
        <v>2827</v>
      </c>
      <c r="D1082" s="81" t="s">
        <v>2846</v>
      </c>
      <c r="E1082" s="75" t="str">
        <f>VLOOKUP(B1082&amp;C1082,Divipola!$C$2:$F$1138,4,FALSE)</f>
        <v>25099</v>
      </c>
      <c r="F1082" s="87"/>
      <c r="G1082" s="87"/>
      <c r="H1082" s="87"/>
      <c r="I1082" s="87"/>
      <c r="J1082" s="87"/>
      <c r="K1082" s="87"/>
      <c r="L1082" s="87"/>
      <c r="M1082" s="87"/>
      <c r="N1082" s="87"/>
      <c r="O1082" s="87"/>
      <c r="P1082" s="87"/>
      <c r="Q1082" s="87"/>
      <c r="R1082" s="87"/>
      <c r="S1082" s="87"/>
      <c r="T1082" s="87"/>
      <c r="U1082" s="88">
        <v>2</v>
      </c>
      <c r="V1082" s="89"/>
      <c r="W1082" s="96">
        <v>0</v>
      </c>
      <c r="X1082" s="71">
        <f>CU1082</f>
        <v>0</v>
      </c>
      <c r="Y1082" s="71">
        <f>CY1082</f>
        <v>0</v>
      </c>
      <c r="Z1082" s="71">
        <f>DA1082+DC1082+DE1082</f>
        <v>0</v>
      </c>
      <c r="AA1082" s="71">
        <f>CW1082</f>
        <v>0</v>
      </c>
      <c r="AB1082" s="71"/>
      <c r="AC1082" s="71">
        <v>0</v>
      </c>
      <c r="AD1082" s="71">
        <f>W1082+X1082+Y1082+Z1082+AA1082+AB1082+AC1082</f>
        <v>0</v>
      </c>
      <c r="AE1082" s="72">
        <v>0</v>
      </c>
      <c r="AF1082" s="5"/>
      <c r="AG1082" s="6"/>
      <c r="AH1082" s="27" t="s">
        <v>3392</v>
      </c>
      <c r="AI1082" s="44" t="s">
        <v>3393</v>
      </c>
      <c r="AJ1082" s="26"/>
      <c r="AK1082" s="5"/>
      <c r="AL1082" s="82" t="s">
        <v>3883</v>
      </c>
      <c r="AM1082" s="76"/>
      <c r="AN1082" s="76"/>
      <c r="AO1082" s="76"/>
      <c r="AP1082" s="76"/>
      <c r="AQ1082" s="76"/>
      <c r="AR1082" s="76"/>
      <c r="AS1082" s="76"/>
      <c r="AT1082" s="76"/>
      <c r="AU1082" s="76"/>
      <c r="AV1082" s="76"/>
      <c r="AW1082" s="76"/>
      <c r="AX1082" s="76">
        <f>+AW1082*600000</f>
        <v>0</v>
      </c>
      <c r="AY1082" s="76"/>
      <c r="AZ1082" s="76">
        <f>+AY1082*70000</f>
        <v>0</v>
      </c>
      <c r="BA1082" s="76"/>
      <c r="BB1082" s="76"/>
      <c r="BC1082" s="76"/>
      <c r="BD1082" s="76">
        <f>+BC1082*30000</f>
        <v>0</v>
      </c>
      <c r="BE1082" s="76"/>
      <c r="BF1082" s="76"/>
      <c r="BG1082" s="76"/>
      <c r="BH1082" s="76"/>
      <c r="BI1082" s="76"/>
      <c r="BJ1082" s="76"/>
      <c r="BK1082" s="76"/>
      <c r="BL1082" s="76">
        <f>+BK1082*31500</f>
        <v>0</v>
      </c>
      <c r="BM1082" s="76"/>
      <c r="BN1082" s="76"/>
      <c r="BO1082" s="76"/>
      <c r="BP1082" s="76"/>
      <c r="BQ1082" s="76"/>
      <c r="BR1082" s="76"/>
      <c r="BS1082" s="76"/>
      <c r="BT1082" s="76"/>
      <c r="BU1082" s="76"/>
      <c r="BV1082" s="76"/>
      <c r="BW1082" s="76"/>
      <c r="BX1082" s="76"/>
      <c r="BY1082" s="76"/>
      <c r="BZ1082" s="76"/>
      <c r="CA1082" s="76"/>
      <c r="CB1082" s="76"/>
      <c r="CC1082" s="76"/>
      <c r="CD1082" s="76"/>
      <c r="CE1082" s="76"/>
      <c r="CF1082" s="76">
        <f>+CE1082*28000</f>
        <v>0</v>
      </c>
      <c r="CG1082" s="76"/>
      <c r="CH1082" s="76">
        <f>+CG1082*22500</f>
        <v>0</v>
      </c>
      <c r="CI1082" s="76"/>
      <c r="CJ1082" s="76">
        <f>+CI1082*26000</f>
        <v>0</v>
      </c>
      <c r="CK1082" s="76"/>
      <c r="CL1082" s="76"/>
      <c r="CM1082" s="76"/>
      <c r="CN1082" s="76">
        <f>+CM1082*22000</f>
        <v>0</v>
      </c>
      <c r="CO1082" s="76"/>
      <c r="CP1082" s="76">
        <f>+CO1082*46000</f>
        <v>0</v>
      </c>
      <c r="CQ1082" s="76"/>
      <c r="CR1082" s="76">
        <f>+CQ1082*49000</f>
        <v>0</v>
      </c>
      <c r="CS1082" s="76"/>
      <c r="CT1082" s="76"/>
      <c r="CU1082" s="56">
        <f>AN1082+AP1082+AR1082+AT1082+AV1082+AX1082+AZ1082+BB1082+BD1082+BF1082+BH1082+BJ1082+BL1082+BN1082+BP1082+BR1082+BT1082+BV1082+BX1082+BZ1082+CB1082+CD1082+CF1082+CH1082+CJ1082+CL1082+CN1082+CP1082+CR1082+CT1082</f>
        <v>0</v>
      </c>
      <c r="CV1082" s="76"/>
      <c r="CW1082" s="76">
        <f>+CV1082*1100</f>
        <v>0</v>
      </c>
      <c r="CX1082" s="76"/>
      <c r="CY1082" s="76">
        <f>+CX1082*106250</f>
        <v>0</v>
      </c>
      <c r="CZ1082" s="76"/>
      <c r="DA1082" s="76">
        <f>+CZ1082*34500</f>
        <v>0</v>
      </c>
      <c r="DB1082" s="76"/>
      <c r="DC1082" s="76">
        <f>+DB1082*25000</f>
        <v>0</v>
      </c>
      <c r="DD1082" s="219"/>
      <c r="DE1082" s="219"/>
      <c r="DF1082" s="166"/>
      <c r="DG1082" s="116"/>
      <c r="DH1082" s="117"/>
      <c r="DI1082" s="24"/>
      <c r="DJ1082" s="24"/>
      <c r="DK1082" s="24"/>
      <c r="DL1082" s="24"/>
      <c r="DM1082" s="24"/>
      <c r="DN1082" s="24"/>
      <c r="DO1082" s="24"/>
      <c r="DP1082" s="24"/>
      <c r="DQ1082" s="24"/>
      <c r="DR1082" s="24"/>
      <c r="DS1082" s="24"/>
      <c r="DT1082" s="24"/>
      <c r="DU1082" s="24"/>
    </row>
    <row r="1083" spans="1:125" s="8" customFormat="1" ht="84" x14ac:dyDescent="0.2">
      <c r="A1083" s="226">
        <v>41343</v>
      </c>
      <c r="B1083" s="225" t="s">
        <v>2772</v>
      </c>
      <c r="C1083" s="227" t="s">
        <v>2690</v>
      </c>
      <c r="D1083" s="227" t="s">
        <v>2859</v>
      </c>
      <c r="E1083" s="75" t="str">
        <f>VLOOKUP(B1083&amp;C1083,Divipola!$C$2:$F$1138,4,FALSE)</f>
        <v>25513</v>
      </c>
      <c r="F1083" s="87"/>
      <c r="G1083" s="87"/>
      <c r="H1083" s="87"/>
      <c r="I1083" s="87"/>
      <c r="J1083" s="87"/>
      <c r="K1083" s="87"/>
      <c r="L1083" s="87"/>
      <c r="M1083" s="87"/>
      <c r="N1083" s="87"/>
      <c r="O1083" s="87"/>
      <c r="P1083" s="87"/>
      <c r="Q1083" s="87"/>
      <c r="R1083" s="87"/>
      <c r="S1083" s="87"/>
      <c r="T1083" s="87"/>
      <c r="U1083" s="88"/>
      <c r="V1083" s="89">
        <v>1</v>
      </c>
      <c r="W1083" s="96">
        <v>0</v>
      </c>
      <c r="X1083" s="71">
        <f>CU1083</f>
        <v>0</v>
      </c>
      <c r="Y1083" s="71">
        <f>CY1083</f>
        <v>0</v>
      </c>
      <c r="Z1083" s="71">
        <f>DA1083+DC1083+DE1083</f>
        <v>0</v>
      </c>
      <c r="AA1083" s="71">
        <f>CW1083</f>
        <v>0</v>
      </c>
      <c r="AB1083" s="71"/>
      <c r="AC1083" s="71">
        <v>0</v>
      </c>
      <c r="AD1083" s="71">
        <f>W1083+X1083+Y1083+Z1083+AA1083+AB1083+AC1083</f>
        <v>0</v>
      </c>
      <c r="AE1083" s="72">
        <v>0</v>
      </c>
      <c r="AF1083" s="5"/>
      <c r="AG1083" s="6"/>
      <c r="AH1083" s="27" t="s">
        <v>3392</v>
      </c>
      <c r="AI1083" s="44" t="s">
        <v>3393</v>
      </c>
      <c r="AJ1083" s="26"/>
      <c r="AK1083" s="5"/>
      <c r="AL1083" s="82" t="s">
        <v>3885</v>
      </c>
      <c r="AM1083" s="76"/>
      <c r="AN1083" s="76"/>
      <c r="AO1083" s="76"/>
      <c r="AP1083" s="76"/>
      <c r="AQ1083" s="76"/>
      <c r="AR1083" s="76"/>
      <c r="AS1083" s="76"/>
      <c r="AT1083" s="76"/>
      <c r="AU1083" s="76"/>
      <c r="AV1083" s="76"/>
      <c r="AW1083" s="76"/>
      <c r="AX1083" s="76">
        <f>+AW1083*600000</f>
        <v>0</v>
      </c>
      <c r="AY1083" s="76"/>
      <c r="AZ1083" s="76">
        <f>+AY1083*70000</f>
        <v>0</v>
      </c>
      <c r="BA1083" s="76"/>
      <c r="BB1083" s="76"/>
      <c r="BC1083" s="76"/>
      <c r="BD1083" s="76">
        <f>+BC1083*30000</f>
        <v>0</v>
      </c>
      <c r="BE1083" s="76"/>
      <c r="BF1083" s="76"/>
      <c r="BG1083" s="76"/>
      <c r="BH1083" s="76"/>
      <c r="BI1083" s="76"/>
      <c r="BJ1083" s="76"/>
      <c r="BK1083" s="76"/>
      <c r="BL1083" s="76">
        <f>+BK1083*31500</f>
        <v>0</v>
      </c>
      <c r="BM1083" s="76"/>
      <c r="BN1083" s="76"/>
      <c r="BO1083" s="76"/>
      <c r="BP1083" s="76"/>
      <c r="BQ1083" s="76"/>
      <c r="BR1083" s="76"/>
      <c r="BS1083" s="76"/>
      <c r="BT1083" s="76"/>
      <c r="BU1083" s="76"/>
      <c r="BV1083" s="76"/>
      <c r="BW1083" s="76"/>
      <c r="BX1083" s="76"/>
      <c r="BY1083" s="76"/>
      <c r="BZ1083" s="76"/>
      <c r="CA1083" s="76"/>
      <c r="CB1083" s="76"/>
      <c r="CC1083" s="76"/>
      <c r="CD1083" s="76"/>
      <c r="CE1083" s="76"/>
      <c r="CF1083" s="76">
        <f>+CE1083*28000</f>
        <v>0</v>
      </c>
      <c r="CG1083" s="76"/>
      <c r="CH1083" s="76">
        <f>+CG1083*22500</f>
        <v>0</v>
      </c>
      <c r="CI1083" s="76"/>
      <c r="CJ1083" s="76">
        <f>+CI1083*26000</f>
        <v>0</v>
      </c>
      <c r="CK1083" s="76"/>
      <c r="CL1083" s="76"/>
      <c r="CM1083" s="76"/>
      <c r="CN1083" s="76">
        <f>+CM1083*22000</f>
        <v>0</v>
      </c>
      <c r="CO1083" s="76"/>
      <c r="CP1083" s="76">
        <f>+CO1083*46000</f>
        <v>0</v>
      </c>
      <c r="CQ1083" s="76"/>
      <c r="CR1083" s="76">
        <f>+CQ1083*49000</f>
        <v>0</v>
      </c>
      <c r="CS1083" s="76"/>
      <c r="CT1083" s="76"/>
      <c r="CU1083" s="56">
        <f>AN1083+AP1083+AR1083+AT1083+AV1083+AX1083+AZ1083+BB1083+BD1083+BF1083+BH1083+BJ1083+BL1083+BN1083+BP1083+BR1083+BT1083+BV1083+BX1083+BZ1083+CB1083+CD1083+CF1083+CH1083+CJ1083+CL1083+CN1083+CP1083+CR1083+CT1083</f>
        <v>0</v>
      </c>
      <c r="CV1083" s="76"/>
      <c r="CW1083" s="76">
        <f>+CV1083*1100</f>
        <v>0</v>
      </c>
      <c r="CX1083" s="76"/>
      <c r="CY1083" s="76">
        <f>+CX1083*106250</f>
        <v>0</v>
      </c>
      <c r="CZ1083" s="76"/>
      <c r="DA1083" s="76">
        <f>+CZ1083*34500</f>
        <v>0</v>
      </c>
      <c r="DB1083" s="76"/>
      <c r="DC1083" s="76">
        <f>+DB1083*25000</f>
        <v>0</v>
      </c>
      <c r="DD1083" s="219"/>
      <c r="DE1083" s="219"/>
      <c r="DF1083" s="166"/>
      <c r="DG1083" s="116"/>
      <c r="DH1083" s="117"/>
      <c r="DI1083" s="24"/>
      <c r="DJ1083" s="24"/>
      <c r="DK1083" s="24"/>
      <c r="DL1083" s="24"/>
      <c r="DM1083" s="24"/>
      <c r="DN1083" s="24"/>
      <c r="DO1083" s="24"/>
      <c r="DP1083" s="24"/>
      <c r="DQ1083" s="24"/>
      <c r="DR1083" s="24"/>
      <c r="DS1083" s="24"/>
      <c r="DT1083" s="24"/>
      <c r="DU1083" s="24"/>
    </row>
    <row r="1084" spans="1:125" s="8" customFormat="1" ht="96" x14ac:dyDescent="0.2">
      <c r="A1084" s="77">
        <v>41343</v>
      </c>
      <c r="B1084" s="352" t="s">
        <v>2772</v>
      </c>
      <c r="C1084" s="354" t="s">
        <v>1151</v>
      </c>
      <c r="D1084" s="354" t="s">
        <v>2849</v>
      </c>
      <c r="E1084" s="75" t="str">
        <f>VLOOKUP(B1084&amp;C1084,Divipola!$C$2:$F$1138,4,FALSE)</f>
        <v>25662</v>
      </c>
      <c r="F1084" s="87">
        <v>2</v>
      </c>
      <c r="G1084" s="87">
        <v>16</v>
      </c>
      <c r="H1084" s="87"/>
      <c r="I1084" s="87">
        <v>18</v>
      </c>
      <c r="J1084" s="87"/>
      <c r="K1084" s="87"/>
      <c r="L1084" s="87"/>
      <c r="M1084" s="87"/>
      <c r="N1084" s="87"/>
      <c r="O1084" s="87"/>
      <c r="P1084" s="87"/>
      <c r="Q1084" s="87"/>
      <c r="R1084" s="87"/>
      <c r="S1084" s="87"/>
      <c r="T1084" s="87"/>
      <c r="U1084" s="88"/>
      <c r="V1084" s="89"/>
      <c r="W1084" s="96">
        <v>0</v>
      </c>
      <c r="X1084" s="71">
        <f>CU1084</f>
        <v>0</v>
      </c>
      <c r="Y1084" s="71">
        <f>CY1084</f>
        <v>0</v>
      </c>
      <c r="Z1084" s="71">
        <f>DA1084+DC1084+DE1084</f>
        <v>0</v>
      </c>
      <c r="AA1084" s="71">
        <f>CW1084</f>
        <v>0</v>
      </c>
      <c r="AB1084" s="71"/>
      <c r="AC1084" s="71">
        <v>0</v>
      </c>
      <c r="AD1084" s="71">
        <f>W1084+X1084+Y1084+Z1084+AA1084+AB1084+AC1084</f>
        <v>0</v>
      </c>
      <c r="AE1084" s="72">
        <v>0</v>
      </c>
      <c r="AF1084" s="5"/>
      <c r="AG1084" s="6"/>
      <c r="AH1084" s="27" t="s">
        <v>3392</v>
      </c>
      <c r="AI1084" s="44" t="s">
        <v>3393</v>
      </c>
      <c r="AJ1084" s="26"/>
      <c r="AK1084" s="5"/>
      <c r="AL1084" s="82" t="s">
        <v>3871</v>
      </c>
      <c r="AM1084" s="76"/>
      <c r="AN1084" s="76"/>
      <c r="AO1084" s="76"/>
      <c r="AP1084" s="76"/>
      <c r="AQ1084" s="76"/>
      <c r="AR1084" s="76"/>
      <c r="AS1084" s="76"/>
      <c r="AT1084" s="76"/>
      <c r="AU1084" s="76"/>
      <c r="AV1084" s="76"/>
      <c r="AW1084" s="76"/>
      <c r="AX1084" s="76">
        <f>+AW1084*600000</f>
        <v>0</v>
      </c>
      <c r="AY1084" s="76"/>
      <c r="AZ1084" s="76">
        <f>+AY1084*70000</f>
        <v>0</v>
      </c>
      <c r="BA1084" s="76"/>
      <c r="BB1084" s="76"/>
      <c r="BC1084" s="76"/>
      <c r="BD1084" s="76">
        <f>+BC1084*30000</f>
        <v>0</v>
      </c>
      <c r="BE1084" s="76"/>
      <c r="BF1084" s="76"/>
      <c r="BG1084" s="76"/>
      <c r="BH1084" s="76"/>
      <c r="BI1084" s="76"/>
      <c r="BJ1084" s="76"/>
      <c r="BK1084" s="76"/>
      <c r="BL1084" s="76">
        <f>+BK1084*31500</f>
        <v>0</v>
      </c>
      <c r="BM1084" s="76"/>
      <c r="BN1084" s="76"/>
      <c r="BO1084" s="76"/>
      <c r="BP1084" s="76"/>
      <c r="BQ1084" s="76"/>
      <c r="BR1084" s="76"/>
      <c r="BS1084" s="76"/>
      <c r="BT1084" s="76"/>
      <c r="BU1084" s="76"/>
      <c r="BV1084" s="76"/>
      <c r="BW1084" s="76"/>
      <c r="BX1084" s="76"/>
      <c r="BY1084" s="76"/>
      <c r="BZ1084" s="76"/>
      <c r="CA1084" s="76"/>
      <c r="CB1084" s="76"/>
      <c r="CC1084" s="76"/>
      <c r="CD1084" s="76"/>
      <c r="CE1084" s="76"/>
      <c r="CF1084" s="76">
        <f>+CE1084*28000</f>
        <v>0</v>
      </c>
      <c r="CG1084" s="76"/>
      <c r="CH1084" s="76">
        <f>+CG1084*22500</f>
        <v>0</v>
      </c>
      <c r="CI1084" s="76"/>
      <c r="CJ1084" s="76">
        <f>+CI1084*26000</f>
        <v>0</v>
      </c>
      <c r="CK1084" s="76"/>
      <c r="CL1084" s="76"/>
      <c r="CM1084" s="76"/>
      <c r="CN1084" s="76">
        <f>+CM1084*22000</f>
        <v>0</v>
      </c>
      <c r="CO1084" s="76"/>
      <c r="CP1084" s="76">
        <f>+CO1084*46000</f>
        <v>0</v>
      </c>
      <c r="CQ1084" s="76"/>
      <c r="CR1084" s="76">
        <f>+CQ1084*49000</f>
        <v>0</v>
      </c>
      <c r="CS1084" s="76"/>
      <c r="CT1084" s="76"/>
      <c r="CU1084" s="56">
        <f>AN1084+AP1084+AR1084+AT1084+AV1084+AX1084+AZ1084+BB1084+BD1084+BF1084+BH1084+BJ1084+BL1084+BN1084+BP1084+BR1084+BT1084+BV1084+BX1084+BZ1084+CB1084+CD1084+CF1084+CH1084+CJ1084+CL1084+CN1084+CP1084+CR1084+CT1084</f>
        <v>0</v>
      </c>
      <c r="CV1084" s="76"/>
      <c r="CW1084" s="76">
        <f>+CV1084*1100</f>
        <v>0</v>
      </c>
      <c r="CX1084" s="76"/>
      <c r="CY1084" s="76">
        <f>+CX1084*106250</f>
        <v>0</v>
      </c>
      <c r="CZ1084" s="76"/>
      <c r="DA1084" s="76">
        <f>+CZ1084*34500</f>
        <v>0</v>
      </c>
      <c r="DB1084" s="76"/>
      <c r="DC1084" s="76">
        <f>+DB1084*25000</f>
        <v>0</v>
      </c>
      <c r="DD1084" s="219"/>
      <c r="DE1084" s="219"/>
      <c r="DF1084" s="166"/>
      <c r="DG1084" s="116"/>
      <c r="DH1084" s="117"/>
      <c r="DI1084" s="24"/>
      <c r="DJ1084" s="24"/>
      <c r="DK1084" s="24"/>
      <c r="DL1084" s="24"/>
      <c r="DM1084" s="24"/>
      <c r="DN1084" s="24"/>
      <c r="DO1084" s="24"/>
      <c r="DP1084" s="24"/>
      <c r="DQ1084" s="24"/>
      <c r="DR1084" s="24"/>
      <c r="DS1084" s="24"/>
      <c r="DT1084" s="24"/>
      <c r="DU1084" s="24"/>
    </row>
    <row r="1085" spans="1:125" s="8" customFormat="1" ht="72" x14ac:dyDescent="0.2">
      <c r="A1085" s="226">
        <v>41343</v>
      </c>
      <c r="B1085" s="225" t="s">
        <v>2848</v>
      </c>
      <c r="C1085" s="227" t="s">
        <v>1872</v>
      </c>
      <c r="D1085" s="227" t="s">
        <v>2849</v>
      </c>
      <c r="E1085" s="75" t="str">
        <f>VLOOKUP(B1085&amp;C1085,Divipola!$C$2:$F$1138,4,FALSE)</f>
        <v>73268</v>
      </c>
      <c r="F1085" s="87">
        <v>2</v>
      </c>
      <c r="G1085" s="87">
        <v>1</v>
      </c>
      <c r="H1085" s="87"/>
      <c r="I1085" s="87">
        <v>3</v>
      </c>
      <c r="J1085" s="87"/>
      <c r="K1085" s="87"/>
      <c r="L1085" s="87"/>
      <c r="M1085" s="87"/>
      <c r="N1085" s="87"/>
      <c r="O1085" s="87"/>
      <c r="P1085" s="87"/>
      <c r="Q1085" s="87"/>
      <c r="R1085" s="87"/>
      <c r="S1085" s="87"/>
      <c r="T1085" s="87"/>
      <c r="U1085" s="88"/>
      <c r="V1085" s="89"/>
      <c r="W1085" s="96">
        <v>0</v>
      </c>
      <c r="X1085" s="71">
        <f>CU1085</f>
        <v>0</v>
      </c>
      <c r="Y1085" s="71">
        <f>CY1085</f>
        <v>0</v>
      </c>
      <c r="Z1085" s="71">
        <f>DA1085+DC1085+DE1085</f>
        <v>0</v>
      </c>
      <c r="AA1085" s="71">
        <f>CW1085</f>
        <v>0</v>
      </c>
      <c r="AB1085" s="71"/>
      <c r="AC1085" s="71">
        <v>0</v>
      </c>
      <c r="AD1085" s="71">
        <f>W1085+X1085+Y1085+Z1085+AA1085+AB1085+AC1085</f>
        <v>0</v>
      </c>
      <c r="AE1085" s="72">
        <v>0</v>
      </c>
      <c r="AF1085" s="5"/>
      <c r="AG1085" s="6"/>
      <c r="AH1085" s="27" t="s">
        <v>3392</v>
      </c>
      <c r="AI1085" s="44" t="s">
        <v>3393</v>
      </c>
      <c r="AJ1085" s="26"/>
      <c r="AK1085" s="5"/>
      <c r="AL1085" s="82" t="s">
        <v>3867</v>
      </c>
      <c r="AM1085" s="76"/>
      <c r="AN1085" s="76"/>
      <c r="AO1085" s="76"/>
      <c r="AP1085" s="76"/>
      <c r="AQ1085" s="76"/>
      <c r="AR1085" s="76"/>
      <c r="AS1085" s="76"/>
      <c r="AT1085" s="76"/>
      <c r="AU1085" s="76"/>
      <c r="AV1085" s="76"/>
      <c r="AW1085" s="76"/>
      <c r="AX1085" s="76">
        <f>+AW1085*600000</f>
        <v>0</v>
      </c>
      <c r="AY1085" s="76"/>
      <c r="AZ1085" s="76">
        <f>+AY1085*70000</f>
        <v>0</v>
      </c>
      <c r="BA1085" s="76"/>
      <c r="BB1085" s="76"/>
      <c r="BC1085" s="76"/>
      <c r="BD1085" s="76">
        <f>+BC1085*30000</f>
        <v>0</v>
      </c>
      <c r="BE1085" s="76"/>
      <c r="BF1085" s="76"/>
      <c r="BG1085" s="76"/>
      <c r="BH1085" s="76"/>
      <c r="BI1085" s="76"/>
      <c r="BJ1085" s="76"/>
      <c r="BK1085" s="76"/>
      <c r="BL1085" s="76">
        <f>+BK1085*31500</f>
        <v>0</v>
      </c>
      <c r="BM1085" s="76"/>
      <c r="BN1085" s="76"/>
      <c r="BO1085" s="76"/>
      <c r="BP1085" s="76"/>
      <c r="BQ1085" s="76"/>
      <c r="BR1085" s="76"/>
      <c r="BS1085" s="76"/>
      <c r="BT1085" s="76"/>
      <c r="BU1085" s="76"/>
      <c r="BV1085" s="76"/>
      <c r="BW1085" s="76"/>
      <c r="BX1085" s="76"/>
      <c r="BY1085" s="76"/>
      <c r="BZ1085" s="76"/>
      <c r="CA1085" s="76"/>
      <c r="CB1085" s="76"/>
      <c r="CC1085" s="76"/>
      <c r="CD1085" s="76"/>
      <c r="CE1085" s="76"/>
      <c r="CF1085" s="76">
        <f>+CE1085*28000</f>
        <v>0</v>
      </c>
      <c r="CG1085" s="76"/>
      <c r="CH1085" s="76">
        <f>+CG1085*22500</f>
        <v>0</v>
      </c>
      <c r="CI1085" s="76"/>
      <c r="CJ1085" s="76">
        <f>+CI1085*26000</f>
        <v>0</v>
      </c>
      <c r="CK1085" s="76"/>
      <c r="CL1085" s="76"/>
      <c r="CM1085" s="76"/>
      <c r="CN1085" s="76">
        <f>+CM1085*22000</f>
        <v>0</v>
      </c>
      <c r="CO1085" s="76"/>
      <c r="CP1085" s="76">
        <f>+CO1085*46000</f>
        <v>0</v>
      </c>
      <c r="CQ1085" s="76"/>
      <c r="CR1085" s="76">
        <f>+CQ1085*49000</f>
        <v>0</v>
      </c>
      <c r="CS1085" s="76"/>
      <c r="CT1085" s="76"/>
      <c r="CU1085" s="56">
        <f>AN1085+AP1085+AR1085+AT1085+AV1085+AX1085+AZ1085+BB1085+BD1085+BF1085+BH1085+BJ1085+BL1085+BN1085+BP1085+BR1085+BT1085+BV1085+BX1085+BZ1085+CB1085+CD1085+CF1085+CH1085+CJ1085+CL1085+CN1085+CP1085+CR1085+CT1085</f>
        <v>0</v>
      </c>
      <c r="CV1085" s="76"/>
      <c r="CW1085" s="76">
        <f>+CV1085*1100</f>
        <v>0</v>
      </c>
      <c r="CX1085" s="76"/>
      <c r="CY1085" s="76">
        <f>+CX1085*106250</f>
        <v>0</v>
      </c>
      <c r="CZ1085" s="76"/>
      <c r="DA1085" s="76">
        <f>+CZ1085*34500</f>
        <v>0</v>
      </c>
      <c r="DB1085" s="76"/>
      <c r="DC1085" s="76">
        <f>+DB1085*25000</f>
        <v>0</v>
      </c>
      <c r="DD1085" s="219"/>
      <c r="DE1085" s="219"/>
      <c r="DF1085" s="166"/>
      <c r="DG1085" s="116"/>
      <c r="DH1085" s="117"/>
      <c r="DI1085" s="24"/>
      <c r="DJ1085" s="24"/>
      <c r="DK1085" s="24"/>
      <c r="DL1085" s="24"/>
      <c r="DM1085" s="24"/>
      <c r="DN1085" s="24"/>
      <c r="DO1085" s="24"/>
      <c r="DP1085" s="24"/>
      <c r="DQ1085" s="24"/>
      <c r="DR1085" s="24"/>
      <c r="DS1085" s="24"/>
      <c r="DT1085" s="24"/>
      <c r="DU1085" s="24"/>
    </row>
    <row r="1086" spans="1:125" s="8" customFormat="1" ht="48" x14ac:dyDescent="0.2">
      <c r="A1086" s="77">
        <v>41343</v>
      </c>
      <c r="B1086" s="225" t="s">
        <v>2851</v>
      </c>
      <c r="C1086" s="227" t="s">
        <v>1686</v>
      </c>
      <c r="D1086" s="227" t="s">
        <v>2859</v>
      </c>
      <c r="E1086" s="75" t="str">
        <f>VLOOKUP(B1086&amp;C1086,Divipola!$C$2:$F$1138,4,FALSE)</f>
        <v>76001</v>
      </c>
      <c r="F1086" s="87"/>
      <c r="G1086" s="87"/>
      <c r="H1086" s="87"/>
      <c r="I1086" s="87"/>
      <c r="J1086" s="87"/>
      <c r="K1086" s="87"/>
      <c r="L1086" s="87"/>
      <c r="M1086" s="87"/>
      <c r="N1086" s="87"/>
      <c r="O1086" s="87"/>
      <c r="P1086" s="87"/>
      <c r="Q1086" s="87"/>
      <c r="R1086" s="87"/>
      <c r="S1086" s="87"/>
      <c r="T1086" s="87"/>
      <c r="U1086" s="88"/>
      <c r="V1086" s="89">
        <v>1</v>
      </c>
      <c r="W1086" s="96">
        <v>0</v>
      </c>
      <c r="X1086" s="71">
        <f>CU1086</f>
        <v>0</v>
      </c>
      <c r="Y1086" s="71">
        <f>CY1086</f>
        <v>0</v>
      </c>
      <c r="Z1086" s="71">
        <f>DA1086+DC1086+DE1086</f>
        <v>0</v>
      </c>
      <c r="AA1086" s="71">
        <f>CW1086</f>
        <v>0</v>
      </c>
      <c r="AB1086" s="71"/>
      <c r="AC1086" s="71">
        <v>0</v>
      </c>
      <c r="AD1086" s="71">
        <f>W1086+X1086+Y1086+Z1086+AA1086+AB1086+AC1086</f>
        <v>0</v>
      </c>
      <c r="AE1086" s="72">
        <v>0</v>
      </c>
      <c r="AF1086" s="5"/>
      <c r="AG1086" s="6"/>
      <c r="AH1086" s="27" t="s">
        <v>3392</v>
      </c>
      <c r="AI1086" s="44" t="s">
        <v>3393</v>
      </c>
      <c r="AJ1086" s="26"/>
      <c r="AK1086" s="5"/>
      <c r="AL1086" s="82" t="s">
        <v>3872</v>
      </c>
      <c r="AM1086" s="76"/>
      <c r="AN1086" s="76"/>
      <c r="AO1086" s="76"/>
      <c r="AP1086" s="76"/>
      <c r="AQ1086" s="76"/>
      <c r="AR1086" s="76"/>
      <c r="AS1086" s="76"/>
      <c r="AT1086" s="76"/>
      <c r="AU1086" s="76"/>
      <c r="AV1086" s="76"/>
      <c r="AW1086" s="76"/>
      <c r="AX1086" s="76">
        <f>+AW1086*600000</f>
        <v>0</v>
      </c>
      <c r="AY1086" s="76"/>
      <c r="AZ1086" s="76">
        <f>+AY1086*70000</f>
        <v>0</v>
      </c>
      <c r="BA1086" s="76"/>
      <c r="BB1086" s="76"/>
      <c r="BC1086" s="76"/>
      <c r="BD1086" s="76">
        <f>+BC1086*30000</f>
        <v>0</v>
      </c>
      <c r="BE1086" s="76"/>
      <c r="BF1086" s="76"/>
      <c r="BG1086" s="76"/>
      <c r="BH1086" s="76"/>
      <c r="BI1086" s="76"/>
      <c r="BJ1086" s="76"/>
      <c r="BK1086" s="76"/>
      <c r="BL1086" s="76">
        <f>+BK1086*31500</f>
        <v>0</v>
      </c>
      <c r="BM1086" s="76"/>
      <c r="BN1086" s="76"/>
      <c r="BO1086" s="76"/>
      <c r="BP1086" s="76"/>
      <c r="BQ1086" s="76"/>
      <c r="BR1086" s="76"/>
      <c r="BS1086" s="76"/>
      <c r="BT1086" s="76"/>
      <c r="BU1086" s="76"/>
      <c r="BV1086" s="76"/>
      <c r="BW1086" s="76"/>
      <c r="BX1086" s="76"/>
      <c r="BY1086" s="76"/>
      <c r="BZ1086" s="76"/>
      <c r="CA1086" s="76"/>
      <c r="CB1086" s="76"/>
      <c r="CC1086" s="76"/>
      <c r="CD1086" s="76"/>
      <c r="CE1086" s="76"/>
      <c r="CF1086" s="76">
        <f>+CE1086*28000</f>
        <v>0</v>
      </c>
      <c r="CG1086" s="76"/>
      <c r="CH1086" s="76">
        <f>+CG1086*22500</f>
        <v>0</v>
      </c>
      <c r="CI1086" s="76"/>
      <c r="CJ1086" s="76">
        <f>+CI1086*26000</f>
        <v>0</v>
      </c>
      <c r="CK1086" s="76"/>
      <c r="CL1086" s="76"/>
      <c r="CM1086" s="76"/>
      <c r="CN1086" s="76">
        <f>+CM1086*22000</f>
        <v>0</v>
      </c>
      <c r="CO1086" s="76"/>
      <c r="CP1086" s="76">
        <f>+CO1086*46000</f>
        <v>0</v>
      </c>
      <c r="CQ1086" s="76"/>
      <c r="CR1086" s="76">
        <f>+CQ1086*49000</f>
        <v>0</v>
      </c>
      <c r="CS1086" s="76"/>
      <c r="CT1086" s="76"/>
      <c r="CU1086" s="56">
        <f>AN1086+AP1086+AR1086+AT1086+AV1086+AX1086+AZ1086+BB1086+BD1086+BF1086+BH1086+BJ1086+BL1086+BN1086+BP1086+BR1086+BT1086+BV1086+BX1086+BZ1086+CB1086+CD1086+CF1086+CH1086+CJ1086+CL1086+CN1086+CP1086+CR1086+CT1086</f>
        <v>0</v>
      </c>
      <c r="CV1086" s="76"/>
      <c r="CW1086" s="76">
        <f>+CV1086*1100</f>
        <v>0</v>
      </c>
      <c r="CX1086" s="76"/>
      <c r="CY1086" s="76">
        <f>+CX1086*106250</f>
        <v>0</v>
      </c>
      <c r="CZ1086" s="76"/>
      <c r="DA1086" s="76">
        <f>+CZ1086*34500</f>
        <v>0</v>
      </c>
      <c r="DB1086" s="76"/>
      <c r="DC1086" s="76">
        <f>+DB1086*25000</f>
        <v>0</v>
      </c>
      <c r="DD1086" s="219"/>
      <c r="DE1086" s="219"/>
      <c r="DF1086" s="166"/>
      <c r="DG1086" s="116"/>
      <c r="DH1086" s="117"/>
      <c r="DI1086" s="24"/>
      <c r="DJ1086" s="24"/>
      <c r="DK1086" s="24"/>
      <c r="DL1086" s="24"/>
      <c r="DM1086" s="24"/>
      <c r="DN1086" s="24"/>
      <c r="DO1086" s="24"/>
      <c r="DP1086" s="24"/>
      <c r="DQ1086" s="24"/>
      <c r="DR1086" s="24"/>
      <c r="DS1086" s="24"/>
      <c r="DT1086" s="24"/>
      <c r="DU1086" s="24"/>
    </row>
    <row r="1087" spans="1:125" s="8" customFormat="1" ht="120" x14ac:dyDescent="0.2">
      <c r="A1087" s="226">
        <v>41344</v>
      </c>
      <c r="B1087" s="352" t="s">
        <v>2700</v>
      </c>
      <c r="C1087" s="354" t="s">
        <v>550</v>
      </c>
      <c r="D1087" s="81" t="s">
        <v>2846</v>
      </c>
      <c r="E1087" s="75" t="str">
        <f>VLOOKUP(B1087&amp;C1087,Divipola!$C$2:$F$1138,4,FALSE)</f>
        <v>15377</v>
      </c>
      <c r="F1087" s="87"/>
      <c r="G1087" s="87"/>
      <c r="H1087" s="87"/>
      <c r="I1087" s="87">
        <v>60</v>
      </c>
      <c r="J1087" s="87">
        <v>12</v>
      </c>
      <c r="K1087" s="87"/>
      <c r="L1087" s="87">
        <v>12</v>
      </c>
      <c r="M1087" s="87"/>
      <c r="N1087" s="87"/>
      <c r="O1087" s="87"/>
      <c r="P1087" s="87"/>
      <c r="Q1087" s="87"/>
      <c r="R1087" s="87"/>
      <c r="S1087" s="87"/>
      <c r="T1087" s="87"/>
      <c r="U1087" s="88">
        <v>20</v>
      </c>
      <c r="V1087" s="89"/>
      <c r="W1087" s="96">
        <v>0</v>
      </c>
      <c r="X1087" s="71">
        <f>CU1087</f>
        <v>0</v>
      </c>
      <c r="Y1087" s="71">
        <f>CY1087</f>
        <v>0</v>
      </c>
      <c r="Z1087" s="71">
        <f>DA1087+DC1087+DE1087</f>
        <v>0</v>
      </c>
      <c r="AA1087" s="71">
        <f>CW1087</f>
        <v>0</v>
      </c>
      <c r="AB1087" s="71"/>
      <c r="AC1087" s="71">
        <v>0</v>
      </c>
      <c r="AD1087" s="71">
        <f>W1087+X1087+Y1087+Z1087+AA1087+AB1087+AC1087</f>
        <v>0</v>
      </c>
      <c r="AE1087" s="72">
        <v>0</v>
      </c>
      <c r="AF1087" s="5"/>
      <c r="AG1087" s="6"/>
      <c r="AH1087" s="27" t="s">
        <v>3392</v>
      </c>
      <c r="AI1087" s="44" t="s">
        <v>3393</v>
      </c>
      <c r="AJ1087" s="26"/>
      <c r="AK1087" s="5"/>
      <c r="AL1087" s="82" t="s">
        <v>4011</v>
      </c>
      <c r="AM1087" s="76"/>
      <c r="AN1087" s="76"/>
      <c r="AO1087" s="76"/>
      <c r="AP1087" s="76"/>
      <c r="AQ1087" s="76"/>
      <c r="AR1087" s="76"/>
      <c r="AS1087" s="76"/>
      <c r="AT1087" s="76"/>
      <c r="AU1087" s="76"/>
      <c r="AV1087" s="76"/>
      <c r="AW1087" s="76"/>
      <c r="AX1087" s="76">
        <f>+AW1087*600000</f>
        <v>0</v>
      </c>
      <c r="AY1087" s="76"/>
      <c r="AZ1087" s="76">
        <f>+AY1087*70000</f>
        <v>0</v>
      </c>
      <c r="BA1087" s="76"/>
      <c r="BB1087" s="76"/>
      <c r="BC1087" s="76"/>
      <c r="BD1087" s="76">
        <f>+BC1087*30000</f>
        <v>0</v>
      </c>
      <c r="BE1087" s="76"/>
      <c r="BF1087" s="76"/>
      <c r="BG1087" s="76"/>
      <c r="BH1087" s="76"/>
      <c r="BI1087" s="76"/>
      <c r="BJ1087" s="76"/>
      <c r="BK1087" s="76"/>
      <c r="BL1087" s="76">
        <f>+BK1087*31500</f>
        <v>0</v>
      </c>
      <c r="BM1087" s="76"/>
      <c r="BN1087" s="76"/>
      <c r="BO1087" s="76"/>
      <c r="BP1087" s="76"/>
      <c r="BQ1087" s="76"/>
      <c r="BR1087" s="76"/>
      <c r="BS1087" s="76"/>
      <c r="BT1087" s="76"/>
      <c r="BU1087" s="76"/>
      <c r="BV1087" s="76"/>
      <c r="BW1087" s="76"/>
      <c r="BX1087" s="76"/>
      <c r="BY1087" s="76"/>
      <c r="BZ1087" s="76"/>
      <c r="CA1087" s="76"/>
      <c r="CB1087" s="76"/>
      <c r="CC1087" s="76"/>
      <c r="CD1087" s="76"/>
      <c r="CE1087" s="76"/>
      <c r="CF1087" s="76">
        <f>+CE1087*28000</f>
        <v>0</v>
      </c>
      <c r="CG1087" s="76"/>
      <c r="CH1087" s="76">
        <f>+CG1087*22500</f>
        <v>0</v>
      </c>
      <c r="CI1087" s="76"/>
      <c r="CJ1087" s="76">
        <f>+CI1087*26000</f>
        <v>0</v>
      </c>
      <c r="CK1087" s="76"/>
      <c r="CL1087" s="76"/>
      <c r="CM1087" s="76"/>
      <c r="CN1087" s="76">
        <f>+CM1087*22000</f>
        <v>0</v>
      </c>
      <c r="CO1087" s="76"/>
      <c r="CP1087" s="76">
        <f>+CO1087*46000</f>
        <v>0</v>
      </c>
      <c r="CQ1087" s="76"/>
      <c r="CR1087" s="76">
        <f>+CQ1087*49000</f>
        <v>0</v>
      </c>
      <c r="CS1087" s="76"/>
      <c r="CT1087" s="76"/>
      <c r="CU1087" s="56">
        <f>AN1087+AP1087+AR1087+AT1087+AV1087+AX1087+AZ1087+BB1087+BD1087+BF1087+BH1087+BJ1087+BL1087+BN1087+BP1087+BR1087+BT1087+BV1087+BX1087+BZ1087+CB1087+CD1087+CF1087+CH1087+CJ1087+CL1087+CN1087+CP1087+CR1087+CT1087</f>
        <v>0</v>
      </c>
      <c r="CV1087" s="76"/>
      <c r="CW1087" s="76">
        <f>+CV1087*1100</f>
        <v>0</v>
      </c>
      <c r="CX1087" s="76"/>
      <c r="CY1087" s="76">
        <f>+CX1087*106250</f>
        <v>0</v>
      </c>
      <c r="CZ1087" s="76"/>
      <c r="DA1087" s="76">
        <f>+CZ1087*34500</f>
        <v>0</v>
      </c>
      <c r="DB1087" s="76"/>
      <c r="DC1087" s="76">
        <f>+DB1087*25000</f>
        <v>0</v>
      </c>
      <c r="DD1087" s="219"/>
      <c r="DE1087" s="219"/>
      <c r="DF1087" s="166"/>
      <c r="DG1087" s="116"/>
      <c r="DH1087" s="117"/>
      <c r="DI1087" s="24"/>
      <c r="DJ1087" s="24"/>
      <c r="DK1087" s="24"/>
      <c r="DL1087" s="24"/>
      <c r="DM1087" s="24"/>
      <c r="DN1087" s="24"/>
      <c r="DO1087" s="24"/>
      <c r="DP1087" s="24"/>
      <c r="DQ1087" s="24"/>
      <c r="DR1087" s="24"/>
      <c r="DS1087" s="24"/>
      <c r="DT1087" s="24"/>
      <c r="DU1087" s="24"/>
    </row>
    <row r="1088" spans="1:125" s="8" customFormat="1" ht="48" x14ac:dyDescent="0.2">
      <c r="A1088" s="353">
        <v>41344</v>
      </c>
      <c r="B1088" s="2" t="s">
        <v>2700</v>
      </c>
      <c r="C1088" s="227" t="s">
        <v>1704</v>
      </c>
      <c r="D1088" s="81" t="s">
        <v>2846</v>
      </c>
      <c r="E1088" s="75" t="str">
        <f>VLOOKUP(B1088&amp;C1088,Divipola!$C$2:$F$1138,4,FALSE)</f>
        <v>15516</v>
      </c>
      <c r="F1088" s="87"/>
      <c r="G1088" s="87"/>
      <c r="H1088" s="87"/>
      <c r="I1088" s="87"/>
      <c r="J1088" s="87"/>
      <c r="K1088" s="87"/>
      <c r="L1088" s="87"/>
      <c r="M1088" s="87"/>
      <c r="N1088" s="87"/>
      <c r="O1088" s="87"/>
      <c r="P1088" s="87"/>
      <c r="Q1088" s="87"/>
      <c r="R1088" s="87"/>
      <c r="S1088" s="87"/>
      <c r="T1088" s="87"/>
      <c r="U1088" s="88">
        <v>5</v>
      </c>
      <c r="V1088" s="89"/>
      <c r="W1088" s="96">
        <v>0</v>
      </c>
      <c r="X1088" s="71">
        <f>CU1088</f>
        <v>0</v>
      </c>
      <c r="Y1088" s="71">
        <f>CY1088</f>
        <v>0</v>
      </c>
      <c r="Z1088" s="71">
        <f>DA1088+DC1088+DE1088</f>
        <v>0</v>
      </c>
      <c r="AA1088" s="71">
        <f>CW1088</f>
        <v>0</v>
      </c>
      <c r="AB1088" s="71"/>
      <c r="AC1088" s="71">
        <v>0</v>
      </c>
      <c r="AD1088" s="71">
        <f>W1088+X1088+Y1088+Z1088+AA1088+AB1088+AC1088</f>
        <v>0</v>
      </c>
      <c r="AE1088" s="72">
        <v>0</v>
      </c>
      <c r="AF1088" s="5"/>
      <c r="AG1088" s="6"/>
      <c r="AH1088" s="27" t="s">
        <v>3392</v>
      </c>
      <c r="AI1088" s="44" t="s">
        <v>3393</v>
      </c>
      <c r="AJ1088" s="26"/>
      <c r="AK1088" s="5"/>
      <c r="AL1088" s="82" t="s">
        <v>3879</v>
      </c>
      <c r="AM1088" s="76"/>
      <c r="AN1088" s="76"/>
      <c r="AO1088" s="76"/>
      <c r="AP1088" s="76"/>
      <c r="AQ1088" s="76"/>
      <c r="AR1088" s="76"/>
      <c r="AS1088" s="76"/>
      <c r="AT1088" s="76"/>
      <c r="AU1088" s="76"/>
      <c r="AV1088" s="76"/>
      <c r="AW1088" s="76"/>
      <c r="AX1088" s="76">
        <f>+AW1088*600000</f>
        <v>0</v>
      </c>
      <c r="AY1088" s="76"/>
      <c r="AZ1088" s="76">
        <f>+AY1088*70000</f>
        <v>0</v>
      </c>
      <c r="BA1088" s="76"/>
      <c r="BB1088" s="76"/>
      <c r="BC1088" s="76"/>
      <c r="BD1088" s="76">
        <f>+BC1088*30000</f>
        <v>0</v>
      </c>
      <c r="BE1088" s="76"/>
      <c r="BF1088" s="76"/>
      <c r="BG1088" s="76"/>
      <c r="BH1088" s="76"/>
      <c r="BI1088" s="76"/>
      <c r="BJ1088" s="76"/>
      <c r="BK1088" s="76"/>
      <c r="BL1088" s="76">
        <f>+BK1088*31500</f>
        <v>0</v>
      </c>
      <c r="BM1088" s="76"/>
      <c r="BN1088" s="76"/>
      <c r="BO1088" s="76"/>
      <c r="BP1088" s="76"/>
      <c r="BQ1088" s="76"/>
      <c r="BR1088" s="76"/>
      <c r="BS1088" s="76"/>
      <c r="BT1088" s="76"/>
      <c r="BU1088" s="76"/>
      <c r="BV1088" s="76"/>
      <c r="BW1088" s="76"/>
      <c r="BX1088" s="76"/>
      <c r="BY1088" s="76"/>
      <c r="BZ1088" s="76"/>
      <c r="CA1088" s="76"/>
      <c r="CB1088" s="76"/>
      <c r="CC1088" s="76"/>
      <c r="CD1088" s="76"/>
      <c r="CE1088" s="76"/>
      <c r="CF1088" s="76">
        <f>+CE1088*28000</f>
        <v>0</v>
      </c>
      <c r="CG1088" s="76"/>
      <c r="CH1088" s="76">
        <f>+CG1088*22500</f>
        <v>0</v>
      </c>
      <c r="CI1088" s="76"/>
      <c r="CJ1088" s="76">
        <f>+CI1088*26000</f>
        <v>0</v>
      </c>
      <c r="CK1088" s="76"/>
      <c r="CL1088" s="76"/>
      <c r="CM1088" s="76"/>
      <c r="CN1088" s="76">
        <f>+CM1088*22000</f>
        <v>0</v>
      </c>
      <c r="CO1088" s="76"/>
      <c r="CP1088" s="76">
        <f>+CO1088*46000</f>
        <v>0</v>
      </c>
      <c r="CQ1088" s="76"/>
      <c r="CR1088" s="76">
        <f>+CQ1088*49000</f>
        <v>0</v>
      </c>
      <c r="CS1088" s="76"/>
      <c r="CT1088" s="76"/>
      <c r="CU1088" s="56">
        <f>AN1088+AP1088+AR1088+AT1088+AV1088+AX1088+AZ1088+BB1088+BD1088+BF1088+BH1088+BJ1088+BL1088+BN1088+BP1088+BR1088+BT1088+BV1088+BX1088+BZ1088+CB1088+CD1088+CF1088+CH1088+CJ1088+CL1088+CN1088+CP1088+CR1088+CT1088</f>
        <v>0</v>
      </c>
      <c r="CV1088" s="76"/>
      <c r="CW1088" s="76">
        <f>+CV1088*1100</f>
        <v>0</v>
      </c>
      <c r="CX1088" s="76"/>
      <c r="CY1088" s="76">
        <f>+CX1088*106250</f>
        <v>0</v>
      </c>
      <c r="CZ1088" s="76"/>
      <c r="DA1088" s="76">
        <f>+CZ1088*34500</f>
        <v>0</v>
      </c>
      <c r="DB1088" s="76"/>
      <c r="DC1088" s="76">
        <f>+DB1088*25000</f>
        <v>0</v>
      </c>
      <c r="DD1088" s="219"/>
      <c r="DE1088" s="219"/>
      <c r="DF1088" s="166"/>
      <c r="DG1088" s="116"/>
      <c r="DH1088" s="117"/>
      <c r="DI1088" s="24"/>
      <c r="DJ1088" s="24"/>
      <c r="DK1088" s="24"/>
      <c r="DL1088" s="24"/>
      <c r="DM1088" s="24"/>
      <c r="DN1088" s="24"/>
      <c r="DO1088" s="24"/>
      <c r="DP1088" s="24"/>
      <c r="DQ1088" s="24"/>
      <c r="DR1088" s="24"/>
      <c r="DS1088" s="24"/>
      <c r="DT1088" s="24"/>
      <c r="DU1088" s="24"/>
    </row>
    <row r="1089" spans="1:125" s="8" customFormat="1" ht="84" x14ac:dyDescent="0.2">
      <c r="A1089" s="77">
        <v>41344</v>
      </c>
      <c r="B1089" s="78" t="s">
        <v>2854</v>
      </c>
      <c r="C1089" s="75" t="s">
        <v>2777</v>
      </c>
      <c r="D1089" s="75" t="s">
        <v>3051</v>
      </c>
      <c r="E1089" s="75" t="str">
        <f>VLOOKUP(B1089&amp;C1089,Divipola!$C$2:$F$1138,4,FALSE)</f>
        <v>19100</v>
      </c>
      <c r="F1089" s="163"/>
      <c r="G1089" s="163"/>
      <c r="H1089" s="163"/>
      <c r="I1089" s="163"/>
      <c r="J1089" s="163"/>
      <c r="K1089" s="163"/>
      <c r="L1089" s="163"/>
      <c r="M1089" s="163"/>
      <c r="N1089" s="163">
        <v>1</v>
      </c>
      <c r="O1089" s="163"/>
      <c r="P1089" s="163"/>
      <c r="Q1089" s="163"/>
      <c r="R1089" s="163"/>
      <c r="S1089" s="163"/>
      <c r="T1089" s="163"/>
      <c r="U1089" s="163"/>
      <c r="V1089" s="134"/>
      <c r="W1089" s="96">
        <v>0</v>
      </c>
      <c r="X1089" s="71">
        <f>CU1089</f>
        <v>0</v>
      </c>
      <c r="Y1089" s="71">
        <f>CY1089</f>
        <v>0</v>
      </c>
      <c r="Z1089" s="71">
        <f>DA1089+DC1089+DE1089</f>
        <v>0</v>
      </c>
      <c r="AA1089" s="71">
        <f>CW1089</f>
        <v>0</v>
      </c>
      <c r="AB1089" s="71"/>
      <c r="AC1089" s="71">
        <v>0</v>
      </c>
      <c r="AD1089" s="71">
        <f>W1089+X1089+Y1089+Z1089+AA1089+AB1089+AC1089</f>
        <v>0</v>
      </c>
      <c r="AE1089" s="72">
        <v>0</v>
      </c>
      <c r="AF1089" s="5"/>
      <c r="AG1089" s="6"/>
      <c r="AH1089" s="27" t="s">
        <v>3390</v>
      </c>
      <c r="AI1089" s="44" t="s">
        <v>3391</v>
      </c>
      <c r="AJ1089" s="26"/>
      <c r="AK1089" s="5"/>
      <c r="AL1089" s="82" t="s">
        <v>5822</v>
      </c>
      <c r="AM1089" s="76"/>
      <c r="AN1089" s="76"/>
      <c r="AO1089" s="76"/>
      <c r="AP1089" s="76"/>
      <c r="AQ1089" s="76"/>
      <c r="AR1089" s="76"/>
      <c r="AS1089" s="76"/>
      <c r="AT1089" s="76"/>
      <c r="AU1089" s="76"/>
      <c r="AV1089" s="76"/>
      <c r="AW1089" s="76"/>
      <c r="AX1089" s="76">
        <f>+AW1089*600000</f>
        <v>0</v>
      </c>
      <c r="AY1089" s="76"/>
      <c r="AZ1089" s="76">
        <f>+AY1089*70000</f>
        <v>0</v>
      </c>
      <c r="BA1089" s="76"/>
      <c r="BB1089" s="76"/>
      <c r="BC1089" s="76"/>
      <c r="BD1089" s="76">
        <f>+BC1089*30000</f>
        <v>0</v>
      </c>
      <c r="BE1089" s="76"/>
      <c r="BF1089" s="76"/>
      <c r="BG1089" s="76"/>
      <c r="BH1089" s="76"/>
      <c r="BI1089" s="76"/>
      <c r="BJ1089" s="76"/>
      <c r="BK1089" s="76"/>
      <c r="BL1089" s="76">
        <f>+BK1089*31500</f>
        <v>0</v>
      </c>
      <c r="BM1089" s="76"/>
      <c r="BN1089" s="76"/>
      <c r="BO1089" s="76"/>
      <c r="BP1089" s="76"/>
      <c r="BQ1089" s="76"/>
      <c r="BR1089" s="76"/>
      <c r="BS1089" s="76"/>
      <c r="BT1089" s="76"/>
      <c r="BU1089" s="76"/>
      <c r="BV1089" s="76"/>
      <c r="BW1089" s="76"/>
      <c r="BX1089" s="76"/>
      <c r="BY1089" s="76"/>
      <c r="BZ1089" s="76"/>
      <c r="CA1089" s="76"/>
      <c r="CB1089" s="76"/>
      <c r="CC1089" s="76"/>
      <c r="CD1089" s="76"/>
      <c r="CE1089" s="76"/>
      <c r="CF1089" s="76">
        <f>+CE1089*28000</f>
        <v>0</v>
      </c>
      <c r="CG1089" s="76"/>
      <c r="CH1089" s="76">
        <f>+CG1089*22500</f>
        <v>0</v>
      </c>
      <c r="CI1089" s="76"/>
      <c r="CJ1089" s="76">
        <f>+CI1089*26000</f>
        <v>0</v>
      </c>
      <c r="CK1089" s="76"/>
      <c r="CL1089" s="76"/>
      <c r="CM1089" s="76"/>
      <c r="CN1089" s="76">
        <f>+CM1089*22000</f>
        <v>0</v>
      </c>
      <c r="CO1089" s="76"/>
      <c r="CP1089" s="76">
        <f>+CO1089*46000</f>
        <v>0</v>
      </c>
      <c r="CQ1089" s="76"/>
      <c r="CR1089" s="76">
        <f>+CQ1089*49000</f>
        <v>0</v>
      </c>
      <c r="CS1089" s="76"/>
      <c r="CT1089" s="76"/>
      <c r="CU1089" s="56">
        <f>AN1089+AP1089+AR1089+AT1089+AV1089+AX1089+AZ1089+BB1089+BD1089+BF1089+BH1089+BJ1089+BL1089+BN1089+BP1089+BR1089+BT1089+BV1089+BX1089+BZ1089+CB1089+CD1089+CF1089+CH1089+CJ1089+CL1089+CN1089+CP1089+CR1089+CT1089</f>
        <v>0</v>
      </c>
      <c r="CV1089" s="76"/>
      <c r="CW1089" s="76">
        <f>+CV1089*1100</f>
        <v>0</v>
      </c>
      <c r="CX1089" s="76"/>
      <c r="CY1089" s="76">
        <f>+CX1089*106250</f>
        <v>0</v>
      </c>
      <c r="CZ1089" s="76"/>
      <c r="DA1089" s="76">
        <f>+CZ1089*34500</f>
        <v>0</v>
      </c>
      <c r="DB1089" s="76"/>
      <c r="DC1089" s="76">
        <f>+DB1089*25000</f>
        <v>0</v>
      </c>
      <c r="DD1089" s="219"/>
      <c r="DE1089" s="219"/>
      <c r="DF1089" s="166"/>
      <c r="DG1089" s="116"/>
      <c r="DH1089" s="117"/>
      <c r="DI1089" s="24"/>
      <c r="DJ1089" s="24"/>
      <c r="DK1089" s="24"/>
      <c r="DL1089" s="24"/>
      <c r="DM1089" s="24"/>
      <c r="DN1089" s="24"/>
      <c r="DO1089" s="24"/>
      <c r="DP1089" s="24"/>
      <c r="DQ1089" s="24"/>
      <c r="DR1089" s="24"/>
      <c r="DS1089" s="24"/>
      <c r="DT1089" s="24"/>
      <c r="DU1089" s="24"/>
    </row>
    <row r="1090" spans="1:125" s="8" customFormat="1" ht="84" x14ac:dyDescent="0.2">
      <c r="A1090" s="226">
        <v>41344</v>
      </c>
      <c r="B1090" s="225" t="s">
        <v>2852</v>
      </c>
      <c r="C1090" s="227" t="s">
        <v>2837</v>
      </c>
      <c r="D1090" s="227" t="s">
        <v>2859</v>
      </c>
      <c r="E1090" s="75" t="str">
        <f>VLOOKUP(B1090&amp;C1090,Divipola!$C$2:$F$1138,4,FALSE)</f>
        <v>27361</v>
      </c>
      <c r="F1090" s="87"/>
      <c r="G1090" s="87"/>
      <c r="H1090" s="87"/>
      <c r="I1090" s="87">
        <v>20</v>
      </c>
      <c r="J1090" s="87">
        <v>4</v>
      </c>
      <c r="K1090" s="87"/>
      <c r="L1090" s="87">
        <v>4</v>
      </c>
      <c r="M1090" s="87"/>
      <c r="N1090" s="87"/>
      <c r="O1090" s="87"/>
      <c r="P1090" s="87"/>
      <c r="Q1090" s="87"/>
      <c r="R1090" s="87"/>
      <c r="S1090" s="87"/>
      <c r="T1090" s="87"/>
      <c r="U1090" s="88"/>
      <c r="V1090" s="89"/>
      <c r="W1090" s="96">
        <v>0</v>
      </c>
      <c r="X1090" s="71">
        <f>CU1090</f>
        <v>0</v>
      </c>
      <c r="Y1090" s="71">
        <f>CY1090</f>
        <v>0</v>
      </c>
      <c r="Z1090" s="71">
        <f>DA1090+DC1090+DE1090</f>
        <v>0</v>
      </c>
      <c r="AA1090" s="71">
        <f>CW1090</f>
        <v>0</v>
      </c>
      <c r="AB1090" s="71"/>
      <c r="AC1090" s="71">
        <v>0</v>
      </c>
      <c r="AD1090" s="71">
        <f>W1090+X1090+Y1090+Z1090+AA1090+AB1090+AC1090</f>
        <v>0</v>
      </c>
      <c r="AE1090" s="72">
        <v>0</v>
      </c>
      <c r="AF1090" s="5"/>
      <c r="AG1090" s="6"/>
      <c r="AH1090" s="27" t="s">
        <v>3392</v>
      </c>
      <c r="AI1090" s="44" t="s">
        <v>3393</v>
      </c>
      <c r="AJ1090" s="26"/>
      <c r="AK1090" s="5"/>
      <c r="AL1090" s="82" t="s">
        <v>3878</v>
      </c>
      <c r="AM1090" s="76"/>
      <c r="AN1090" s="76"/>
      <c r="AO1090" s="76"/>
      <c r="AP1090" s="76"/>
      <c r="AQ1090" s="76"/>
      <c r="AR1090" s="76"/>
      <c r="AS1090" s="76"/>
      <c r="AT1090" s="76"/>
      <c r="AU1090" s="76"/>
      <c r="AV1090" s="76"/>
      <c r="AW1090" s="76"/>
      <c r="AX1090" s="76">
        <f>+AW1090*600000</f>
        <v>0</v>
      </c>
      <c r="AY1090" s="76"/>
      <c r="AZ1090" s="76">
        <f>+AY1090*70000</f>
        <v>0</v>
      </c>
      <c r="BA1090" s="76"/>
      <c r="BB1090" s="76"/>
      <c r="BC1090" s="76"/>
      <c r="BD1090" s="76">
        <f>+BC1090*30000</f>
        <v>0</v>
      </c>
      <c r="BE1090" s="76"/>
      <c r="BF1090" s="76"/>
      <c r="BG1090" s="76"/>
      <c r="BH1090" s="76"/>
      <c r="BI1090" s="76"/>
      <c r="BJ1090" s="76"/>
      <c r="BK1090" s="76"/>
      <c r="BL1090" s="76">
        <f>+BK1090*31500</f>
        <v>0</v>
      </c>
      <c r="BM1090" s="76"/>
      <c r="BN1090" s="76"/>
      <c r="BO1090" s="76"/>
      <c r="BP1090" s="76"/>
      <c r="BQ1090" s="76"/>
      <c r="BR1090" s="76"/>
      <c r="BS1090" s="76"/>
      <c r="BT1090" s="76"/>
      <c r="BU1090" s="76"/>
      <c r="BV1090" s="76"/>
      <c r="BW1090" s="76"/>
      <c r="BX1090" s="76"/>
      <c r="BY1090" s="76"/>
      <c r="BZ1090" s="76"/>
      <c r="CA1090" s="76"/>
      <c r="CB1090" s="76"/>
      <c r="CC1090" s="76"/>
      <c r="CD1090" s="76"/>
      <c r="CE1090" s="76"/>
      <c r="CF1090" s="76">
        <f>+CE1090*28000</f>
        <v>0</v>
      </c>
      <c r="CG1090" s="76"/>
      <c r="CH1090" s="76">
        <f>+CG1090*22500</f>
        <v>0</v>
      </c>
      <c r="CI1090" s="76"/>
      <c r="CJ1090" s="76">
        <f>+CI1090*26000</f>
        <v>0</v>
      </c>
      <c r="CK1090" s="76"/>
      <c r="CL1090" s="76"/>
      <c r="CM1090" s="76"/>
      <c r="CN1090" s="76">
        <f>+CM1090*22000</f>
        <v>0</v>
      </c>
      <c r="CO1090" s="76"/>
      <c r="CP1090" s="76">
        <f>+CO1090*46000</f>
        <v>0</v>
      </c>
      <c r="CQ1090" s="76"/>
      <c r="CR1090" s="76">
        <f>+CQ1090*49000</f>
        <v>0</v>
      </c>
      <c r="CS1090" s="76"/>
      <c r="CT1090" s="76"/>
      <c r="CU1090" s="56">
        <f>AN1090+AP1090+AR1090+AT1090+AV1090+AX1090+AZ1090+BB1090+BD1090+BF1090+BH1090+BJ1090+BL1090+BN1090+BP1090+BR1090+BT1090+BV1090+BX1090+BZ1090+CB1090+CD1090+CF1090+CH1090+CJ1090+CL1090+CN1090+CP1090+CR1090+CT1090</f>
        <v>0</v>
      </c>
      <c r="CV1090" s="76"/>
      <c r="CW1090" s="76">
        <f>+CV1090*1100</f>
        <v>0</v>
      </c>
      <c r="CX1090" s="76"/>
      <c r="CY1090" s="76">
        <f>+CX1090*106250</f>
        <v>0</v>
      </c>
      <c r="CZ1090" s="76"/>
      <c r="DA1090" s="76">
        <f>+CZ1090*34500</f>
        <v>0</v>
      </c>
      <c r="DB1090" s="76"/>
      <c r="DC1090" s="76">
        <f>+DB1090*25000</f>
        <v>0</v>
      </c>
      <c r="DD1090" s="219"/>
      <c r="DE1090" s="219"/>
      <c r="DF1090" s="166"/>
      <c r="DG1090" s="116"/>
      <c r="DH1090" s="117"/>
      <c r="DI1090" s="24"/>
      <c r="DJ1090" s="24"/>
      <c r="DK1090" s="24"/>
      <c r="DL1090" s="24"/>
      <c r="DM1090" s="24"/>
      <c r="DN1090" s="24"/>
      <c r="DO1090" s="24"/>
      <c r="DP1090" s="24"/>
      <c r="DQ1090" s="24"/>
      <c r="DR1090" s="24"/>
      <c r="DS1090" s="24"/>
      <c r="DT1090" s="24"/>
      <c r="DU1090" s="24"/>
    </row>
    <row r="1091" spans="1:125" s="8" customFormat="1" ht="96" x14ac:dyDescent="0.2">
      <c r="A1091" s="226">
        <v>41344</v>
      </c>
      <c r="B1091" s="225" t="s">
        <v>2718</v>
      </c>
      <c r="C1091" s="227" t="s">
        <v>2200</v>
      </c>
      <c r="D1091" s="227" t="s">
        <v>2882</v>
      </c>
      <c r="E1091" s="75" t="str">
        <f>VLOOKUP(B1091&amp;C1091,Divipola!$C$2:$F$1138,4,FALSE)</f>
        <v>23162</v>
      </c>
      <c r="F1091" s="87"/>
      <c r="G1091" s="87"/>
      <c r="H1091" s="87"/>
      <c r="I1091" s="87">
        <f>84*5</f>
        <v>420</v>
      </c>
      <c r="J1091" s="87">
        <v>84</v>
      </c>
      <c r="K1091" s="87"/>
      <c r="L1091" s="87">
        <v>84</v>
      </c>
      <c r="M1091" s="87"/>
      <c r="N1091" s="87"/>
      <c r="O1091" s="87"/>
      <c r="P1091" s="87"/>
      <c r="Q1091" s="87"/>
      <c r="R1091" s="87"/>
      <c r="S1091" s="87"/>
      <c r="T1091" s="87"/>
      <c r="U1091" s="88"/>
      <c r="V1091" s="89"/>
      <c r="W1091" s="96">
        <v>0</v>
      </c>
      <c r="X1091" s="71">
        <f>CU1091</f>
        <v>0</v>
      </c>
      <c r="Y1091" s="71">
        <f>CY1091</f>
        <v>0</v>
      </c>
      <c r="Z1091" s="71">
        <f>DA1091+DC1091+DE1091</f>
        <v>0</v>
      </c>
      <c r="AA1091" s="71">
        <f>CW1091</f>
        <v>0</v>
      </c>
      <c r="AB1091" s="71"/>
      <c r="AC1091" s="71">
        <v>0</v>
      </c>
      <c r="AD1091" s="71">
        <f>W1091+X1091+Y1091+Z1091+AA1091+AB1091+AC1091</f>
        <v>0</v>
      </c>
      <c r="AE1091" s="72">
        <v>0</v>
      </c>
      <c r="AF1091" s="5"/>
      <c r="AG1091" s="6"/>
      <c r="AH1091" s="27" t="s">
        <v>3390</v>
      </c>
      <c r="AI1091" s="44" t="s">
        <v>3393</v>
      </c>
      <c r="AJ1091" s="26"/>
      <c r="AK1091" s="5" t="s">
        <v>4242</v>
      </c>
      <c r="AL1091" s="82" t="s">
        <v>3976</v>
      </c>
      <c r="AM1091" s="76"/>
      <c r="AN1091" s="76"/>
      <c r="AO1091" s="76"/>
      <c r="AP1091" s="76"/>
      <c r="AQ1091" s="76"/>
      <c r="AR1091" s="76"/>
      <c r="AS1091" s="76"/>
      <c r="AT1091" s="76"/>
      <c r="AU1091" s="76"/>
      <c r="AV1091" s="76"/>
      <c r="AW1091" s="76"/>
      <c r="AX1091" s="76">
        <f>+AW1091*600000</f>
        <v>0</v>
      </c>
      <c r="AY1091" s="76"/>
      <c r="AZ1091" s="76">
        <f>+AY1091*70000</f>
        <v>0</v>
      </c>
      <c r="BA1091" s="76"/>
      <c r="BB1091" s="76"/>
      <c r="BC1091" s="76"/>
      <c r="BD1091" s="76">
        <f>+BC1091*30000</f>
        <v>0</v>
      </c>
      <c r="BE1091" s="76"/>
      <c r="BF1091" s="76"/>
      <c r="BG1091" s="76"/>
      <c r="BH1091" s="76"/>
      <c r="BI1091" s="76"/>
      <c r="BJ1091" s="76"/>
      <c r="BK1091" s="76"/>
      <c r="BL1091" s="76">
        <f>+BK1091*31500</f>
        <v>0</v>
      </c>
      <c r="BM1091" s="76"/>
      <c r="BN1091" s="76"/>
      <c r="BO1091" s="76"/>
      <c r="BP1091" s="76"/>
      <c r="BQ1091" s="76"/>
      <c r="BR1091" s="76"/>
      <c r="BS1091" s="76"/>
      <c r="BT1091" s="76"/>
      <c r="BU1091" s="76"/>
      <c r="BV1091" s="76"/>
      <c r="BW1091" s="76"/>
      <c r="BX1091" s="76"/>
      <c r="BY1091" s="76"/>
      <c r="BZ1091" s="76"/>
      <c r="CA1091" s="76"/>
      <c r="CB1091" s="76"/>
      <c r="CC1091" s="76"/>
      <c r="CD1091" s="76"/>
      <c r="CE1091" s="76"/>
      <c r="CF1091" s="76">
        <f>+CE1091*28000</f>
        <v>0</v>
      </c>
      <c r="CG1091" s="76"/>
      <c r="CH1091" s="76">
        <f>+CG1091*22500</f>
        <v>0</v>
      </c>
      <c r="CI1091" s="76"/>
      <c r="CJ1091" s="76">
        <f>+CI1091*26000</f>
        <v>0</v>
      </c>
      <c r="CK1091" s="76"/>
      <c r="CL1091" s="76"/>
      <c r="CM1091" s="76"/>
      <c r="CN1091" s="76">
        <f>+CM1091*22000</f>
        <v>0</v>
      </c>
      <c r="CO1091" s="76"/>
      <c r="CP1091" s="76">
        <f>+CO1091*46000</f>
        <v>0</v>
      </c>
      <c r="CQ1091" s="76"/>
      <c r="CR1091" s="76">
        <f>+CQ1091*49000</f>
        <v>0</v>
      </c>
      <c r="CS1091" s="76"/>
      <c r="CT1091" s="76"/>
      <c r="CU1091" s="56">
        <f>AN1091+AP1091+AR1091+AT1091+AV1091+AX1091+AZ1091+BB1091+BD1091+BF1091+BH1091+BJ1091+BL1091+BN1091+BP1091+BR1091+BT1091+BV1091+BX1091+BZ1091+CB1091+CD1091+CF1091+CH1091+CJ1091+CL1091+CN1091+CP1091+CR1091+CT1091</f>
        <v>0</v>
      </c>
      <c r="CV1091" s="76"/>
      <c r="CW1091" s="76">
        <f>+CV1091*1100</f>
        <v>0</v>
      </c>
      <c r="CX1091" s="76"/>
      <c r="CY1091" s="76">
        <f>+CX1091*106250</f>
        <v>0</v>
      </c>
      <c r="CZ1091" s="76"/>
      <c r="DA1091" s="76">
        <f>+CZ1091*34500</f>
        <v>0</v>
      </c>
      <c r="DB1091" s="76"/>
      <c r="DC1091" s="76">
        <f>+DB1091*25000</f>
        <v>0</v>
      </c>
      <c r="DD1091" s="219"/>
      <c r="DE1091" s="219"/>
      <c r="DF1091" s="166"/>
      <c r="DG1091" s="116"/>
      <c r="DH1091" s="117"/>
      <c r="DI1091" s="24"/>
      <c r="DJ1091" s="24"/>
      <c r="DK1091" s="24"/>
      <c r="DL1091" s="24"/>
      <c r="DM1091" s="24"/>
      <c r="DN1091" s="24"/>
      <c r="DO1091" s="24"/>
      <c r="DP1091" s="24"/>
      <c r="DQ1091" s="24"/>
      <c r="DR1091" s="24"/>
      <c r="DS1091" s="24"/>
      <c r="DT1091" s="24"/>
      <c r="DU1091" s="24"/>
    </row>
    <row r="1092" spans="1:125" s="8" customFormat="1" ht="48" x14ac:dyDescent="0.2">
      <c r="A1092" s="226">
        <v>41344</v>
      </c>
      <c r="B1092" s="225" t="s">
        <v>2718</v>
      </c>
      <c r="C1092" s="227" t="s">
        <v>958</v>
      </c>
      <c r="D1092" s="227" t="s">
        <v>2882</v>
      </c>
      <c r="E1092" s="75" t="str">
        <f>VLOOKUP(B1092&amp;C1092,Divipola!$C$2:$F$1138,4,FALSE)</f>
        <v>23189</v>
      </c>
      <c r="F1092" s="87"/>
      <c r="G1092" s="87"/>
      <c r="H1092" s="87"/>
      <c r="I1092" s="87">
        <v>25</v>
      </c>
      <c r="J1092" s="87">
        <v>5</v>
      </c>
      <c r="K1092" s="87"/>
      <c r="L1092" s="87">
        <v>5</v>
      </c>
      <c r="M1092" s="87"/>
      <c r="N1092" s="87"/>
      <c r="O1092" s="87"/>
      <c r="P1092" s="87"/>
      <c r="Q1092" s="87"/>
      <c r="R1092" s="87"/>
      <c r="S1092" s="87"/>
      <c r="T1092" s="87"/>
      <c r="U1092" s="88"/>
      <c r="V1092" s="89"/>
      <c r="W1092" s="96">
        <v>0</v>
      </c>
      <c r="X1092" s="71">
        <f>CU1092</f>
        <v>0</v>
      </c>
      <c r="Y1092" s="71">
        <f>CY1092</f>
        <v>0</v>
      </c>
      <c r="Z1092" s="71">
        <f>DA1092+DC1092+DE1092</f>
        <v>0</v>
      </c>
      <c r="AA1092" s="71">
        <f>CW1092</f>
        <v>0</v>
      </c>
      <c r="AB1092" s="71"/>
      <c r="AC1092" s="71">
        <v>0</v>
      </c>
      <c r="AD1092" s="71">
        <f>W1092+X1092+Y1092+Z1092+AA1092+AB1092+AC1092</f>
        <v>0</v>
      </c>
      <c r="AE1092" s="72">
        <v>0</v>
      </c>
      <c r="AF1092" s="5"/>
      <c r="AG1092" s="6"/>
      <c r="AH1092" s="27" t="s">
        <v>3392</v>
      </c>
      <c r="AI1092" s="44" t="s">
        <v>3393</v>
      </c>
      <c r="AJ1092" s="26"/>
      <c r="AK1092" s="5"/>
      <c r="AL1092" s="82" t="s">
        <v>3931</v>
      </c>
      <c r="AM1092" s="76"/>
      <c r="AN1092" s="76"/>
      <c r="AO1092" s="76"/>
      <c r="AP1092" s="76"/>
      <c r="AQ1092" s="76"/>
      <c r="AR1092" s="76"/>
      <c r="AS1092" s="76"/>
      <c r="AT1092" s="76"/>
      <c r="AU1092" s="76"/>
      <c r="AV1092" s="76"/>
      <c r="AW1092" s="76"/>
      <c r="AX1092" s="76">
        <f>+AW1092*600000</f>
        <v>0</v>
      </c>
      <c r="AY1092" s="76"/>
      <c r="AZ1092" s="76">
        <f>+AY1092*70000</f>
        <v>0</v>
      </c>
      <c r="BA1092" s="76"/>
      <c r="BB1092" s="76"/>
      <c r="BC1092" s="76"/>
      <c r="BD1092" s="76">
        <f>+BC1092*30000</f>
        <v>0</v>
      </c>
      <c r="BE1092" s="76"/>
      <c r="BF1092" s="76"/>
      <c r="BG1092" s="76"/>
      <c r="BH1092" s="76"/>
      <c r="BI1092" s="76"/>
      <c r="BJ1092" s="76"/>
      <c r="BK1092" s="76"/>
      <c r="BL1092" s="76">
        <f>+BK1092*31500</f>
        <v>0</v>
      </c>
      <c r="BM1092" s="76"/>
      <c r="BN1092" s="76"/>
      <c r="BO1092" s="76"/>
      <c r="BP1092" s="76"/>
      <c r="BQ1092" s="76"/>
      <c r="BR1092" s="76"/>
      <c r="BS1092" s="76"/>
      <c r="BT1092" s="76"/>
      <c r="BU1092" s="76"/>
      <c r="BV1092" s="76"/>
      <c r="BW1092" s="76"/>
      <c r="BX1092" s="76"/>
      <c r="BY1092" s="76"/>
      <c r="BZ1092" s="76"/>
      <c r="CA1092" s="76"/>
      <c r="CB1092" s="76"/>
      <c r="CC1092" s="76"/>
      <c r="CD1092" s="76"/>
      <c r="CE1092" s="76"/>
      <c r="CF1092" s="76">
        <f>+CE1092*28000</f>
        <v>0</v>
      </c>
      <c r="CG1092" s="76"/>
      <c r="CH1092" s="76">
        <f>+CG1092*22500</f>
        <v>0</v>
      </c>
      <c r="CI1092" s="76"/>
      <c r="CJ1092" s="76">
        <f>+CI1092*26000</f>
        <v>0</v>
      </c>
      <c r="CK1092" s="76"/>
      <c r="CL1092" s="76"/>
      <c r="CM1092" s="76"/>
      <c r="CN1092" s="76">
        <f>+CM1092*22000</f>
        <v>0</v>
      </c>
      <c r="CO1092" s="76"/>
      <c r="CP1092" s="76">
        <f>+CO1092*46000</f>
        <v>0</v>
      </c>
      <c r="CQ1092" s="76"/>
      <c r="CR1092" s="76">
        <f>+CQ1092*49000</f>
        <v>0</v>
      </c>
      <c r="CS1092" s="76"/>
      <c r="CT1092" s="76"/>
      <c r="CU1092" s="56">
        <f>AN1092+AP1092+AR1092+AT1092+AV1092+AX1092+AZ1092+BB1092+BD1092+BF1092+BH1092+BJ1092+BL1092+BN1092+BP1092+BR1092+BT1092+BV1092+BX1092+BZ1092+CB1092+CD1092+CF1092+CH1092+CJ1092+CL1092+CN1092+CP1092+CR1092+CT1092</f>
        <v>0</v>
      </c>
      <c r="CV1092" s="76"/>
      <c r="CW1092" s="76">
        <f>+CV1092*1100</f>
        <v>0</v>
      </c>
      <c r="CX1092" s="76"/>
      <c r="CY1092" s="76">
        <f>+CX1092*106250</f>
        <v>0</v>
      </c>
      <c r="CZ1092" s="76"/>
      <c r="DA1092" s="76">
        <f>+CZ1092*34500</f>
        <v>0</v>
      </c>
      <c r="DB1092" s="76"/>
      <c r="DC1092" s="76">
        <f>+DB1092*25000</f>
        <v>0</v>
      </c>
      <c r="DD1092" s="219"/>
      <c r="DE1092" s="219"/>
      <c r="DF1092" s="166"/>
      <c r="DG1092" s="116"/>
      <c r="DH1092" s="117"/>
      <c r="DI1092" s="24"/>
      <c r="DJ1092" s="24"/>
      <c r="DK1092" s="24"/>
      <c r="DL1092" s="24"/>
      <c r="DM1092" s="24"/>
      <c r="DN1092" s="24"/>
      <c r="DO1092" s="24"/>
      <c r="DP1092" s="24"/>
      <c r="DQ1092" s="24"/>
      <c r="DR1092" s="24"/>
      <c r="DS1092" s="24"/>
      <c r="DT1092" s="24"/>
      <c r="DU1092" s="24"/>
    </row>
    <row r="1093" spans="1:125" s="8" customFormat="1" ht="84" x14ac:dyDescent="0.2">
      <c r="A1093" s="226">
        <v>41344</v>
      </c>
      <c r="B1093" s="225" t="s">
        <v>2772</v>
      </c>
      <c r="C1093" s="227" t="s">
        <v>1183</v>
      </c>
      <c r="D1093" s="81" t="s">
        <v>2846</v>
      </c>
      <c r="E1093" s="75" t="str">
        <f>VLOOKUP(B1093&amp;C1093,Divipola!$C$2:$F$1138,4,FALSE)</f>
        <v>25807</v>
      </c>
      <c r="F1093" s="87"/>
      <c r="G1093" s="87"/>
      <c r="H1093" s="87"/>
      <c r="I1093" s="87"/>
      <c r="J1093" s="87"/>
      <c r="K1093" s="87"/>
      <c r="L1093" s="87"/>
      <c r="M1093" s="87"/>
      <c r="N1093" s="87"/>
      <c r="O1093" s="87"/>
      <c r="P1093" s="87"/>
      <c r="Q1093" s="87"/>
      <c r="R1093" s="87"/>
      <c r="S1093" s="87"/>
      <c r="T1093" s="87"/>
      <c r="U1093" s="88">
        <v>1</v>
      </c>
      <c r="V1093" s="89"/>
      <c r="W1093" s="96">
        <v>0</v>
      </c>
      <c r="X1093" s="71">
        <f>CU1093</f>
        <v>0</v>
      </c>
      <c r="Y1093" s="71">
        <f>CY1093</f>
        <v>0</v>
      </c>
      <c r="Z1093" s="71">
        <f>DA1093+DC1093+DE1093</f>
        <v>0</v>
      </c>
      <c r="AA1093" s="71">
        <f>CW1093</f>
        <v>0</v>
      </c>
      <c r="AB1093" s="71"/>
      <c r="AC1093" s="71">
        <v>0</v>
      </c>
      <c r="AD1093" s="71">
        <f>W1093+X1093+Y1093+Z1093+AA1093+AB1093+AC1093</f>
        <v>0</v>
      </c>
      <c r="AE1093" s="72">
        <v>0</v>
      </c>
      <c r="AF1093" s="5"/>
      <c r="AG1093" s="6"/>
      <c r="AH1093" s="27" t="s">
        <v>3392</v>
      </c>
      <c r="AI1093" s="44" t="s">
        <v>3393</v>
      </c>
      <c r="AJ1093" s="26"/>
      <c r="AK1093" s="5"/>
      <c r="AL1093" s="82" t="s">
        <v>3884</v>
      </c>
      <c r="AM1093" s="76"/>
      <c r="AN1093" s="76"/>
      <c r="AO1093" s="76"/>
      <c r="AP1093" s="76"/>
      <c r="AQ1093" s="76"/>
      <c r="AR1093" s="76"/>
      <c r="AS1093" s="76"/>
      <c r="AT1093" s="76"/>
      <c r="AU1093" s="76"/>
      <c r="AV1093" s="76"/>
      <c r="AW1093" s="76"/>
      <c r="AX1093" s="76">
        <f>+AW1093*600000</f>
        <v>0</v>
      </c>
      <c r="AY1093" s="76"/>
      <c r="AZ1093" s="76">
        <f>+AY1093*70000</f>
        <v>0</v>
      </c>
      <c r="BA1093" s="76"/>
      <c r="BB1093" s="76"/>
      <c r="BC1093" s="76"/>
      <c r="BD1093" s="76">
        <f>+BC1093*30000</f>
        <v>0</v>
      </c>
      <c r="BE1093" s="76"/>
      <c r="BF1093" s="76"/>
      <c r="BG1093" s="76"/>
      <c r="BH1093" s="76"/>
      <c r="BI1093" s="76"/>
      <c r="BJ1093" s="76"/>
      <c r="BK1093" s="76"/>
      <c r="BL1093" s="76">
        <f>+BK1093*31500</f>
        <v>0</v>
      </c>
      <c r="BM1093" s="76"/>
      <c r="BN1093" s="76"/>
      <c r="BO1093" s="76"/>
      <c r="BP1093" s="76"/>
      <c r="BQ1093" s="76"/>
      <c r="BR1093" s="76"/>
      <c r="BS1093" s="76"/>
      <c r="BT1093" s="76"/>
      <c r="BU1093" s="76"/>
      <c r="BV1093" s="76"/>
      <c r="BW1093" s="76"/>
      <c r="BX1093" s="76"/>
      <c r="BY1093" s="76"/>
      <c r="BZ1093" s="76"/>
      <c r="CA1093" s="76"/>
      <c r="CB1093" s="76"/>
      <c r="CC1093" s="76"/>
      <c r="CD1093" s="76"/>
      <c r="CE1093" s="76"/>
      <c r="CF1093" s="76">
        <f>+CE1093*28000</f>
        <v>0</v>
      </c>
      <c r="CG1093" s="76"/>
      <c r="CH1093" s="76">
        <f>+CG1093*22500</f>
        <v>0</v>
      </c>
      <c r="CI1093" s="76"/>
      <c r="CJ1093" s="76">
        <f>+CI1093*26000</f>
        <v>0</v>
      </c>
      <c r="CK1093" s="76"/>
      <c r="CL1093" s="76"/>
      <c r="CM1093" s="76"/>
      <c r="CN1093" s="76">
        <f>+CM1093*22000</f>
        <v>0</v>
      </c>
      <c r="CO1093" s="76"/>
      <c r="CP1093" s="76">
        <f>+CO1093*46000</f>
        <v>0</v>
      </c>
      <c r="CQ1093" s="76"/>
      <c r="CR1093" s="76">
        <f>+CQ1093*49000</f>
        <v>0</v>
      </c>
      <c r="CS1093" s="76"/>
      <c r="CT1093" s="76"/>
      <c r="CU1093" s="56">
        <f>AN1093+AP1093+AR1093+AT1093+AV1093+AX1093+AZ1093+BB1093+BD1093+BF1093+BH1093+BJ1093+BL1093+BN1093+BP1093+BR1093+BT1093+BV1093+BX1093+BZ1093+CB1093+CD1093+CF1093+CH1093+CJ1093+CL1093+CN1093+CP1093+CR1093+CT1093</f>
        <v>0</v>
      </c>
      <c r="CV1093" s="76"/>
      <c r="CW1093" s="76">
        <f>+CV1093*1100</f>
        <v>0</v>
      </c>
      <c r="CX1093" s="76"/>
      <c r="CY1093" s="76">
        <f>+CX1093*106250</f>
        <v>0</v>
      </c>
      <c r="CZ1093" s="76"/>
      <c r="DA1093" s="76">
        <f>+CZ1093*34500</f>
        <v>0</v>
      </c>
      <c r="DB1093" s="76"/>
      <c r="DC1093" s="76">
        <f>+DB1093*25000</f>
        <v>0</v>
      </c>
      <c r="DD1093" s="219"/>
      <c r="DE1093" s="219"/>
      <c r="DF1093" s="166"/>
      <c r="DG1093" s="116"/>
      <c r="DH1093" s="117"/>
      <c r="DI1093" s="24"/>
      <c r="DJ1093" s="24"/>
      <c r="DK1093" s="24"/>
      <c r="DL1093" s="24"/>
      <c r="DM1093" s="24"/>
      <c r="DN1093" s="24"/>
      <c r="DO1093" s="24"/>
      <c r="DP1093" s="24"/>
      <c r="DQ1093" s="24"/>
      <c r="DR1093" s="24"/>
      <c r="DS1093" s="24"/>
      <c r="DT1093" s="24"/>
      <c r="DU1093" s="24"/>
    </row>
    <row r="1094" spans="1:125" s="8" customFormat="1" ht="72" x14ac:dyDescent="0.2">
      <c r="A1094" s="353">
        <v>41344</v>
      </c>
      <c r="B1094" s="225" t="s">
        <v>2906</v>
      </c>
      <c r="C1094" s="227" t="s">
        <v>416</v>
      </c>
      <c r="D1094" s="81" t="s">
        <v>2846</v>
      </c>
      <c r="E1094" s="75" t="str">
        <f>VLOOKUP(B1094&amp;C1094,Divipola!$C$2:$F$1138,4,FALSE)</f>
        <v>47030</v>
      </c>
      <c r="F1094" s="87"/>
      <c r="G1094" s="87"/>
      <c r="H1094" s="87"/>
      <c r="I1094" s="87"/>
      <c r="J1094" s="87"/>
      <c r="K1094" s="87"/>
      <c r="L1094" s="87"/>
      <c r="M1094" s="87"/>
      <c r="N1094" s="87"/>
      <c r="O1094" s="87"/>
      <c r="P1094" s="87"/>
      <c r="Q1094" s="87"/>
      <c r="R1094" s="87"/>
      <c r="S1094" s="87"/>
      <c r="T1094" s="87"/>
      <c r="U1094" s="88">
        <v>5</v>
      </c>
      <c r="V1094" s="89"/>
      <c r="W1094" s="96">
        <v>0</v>
      </c>
      <c r="X1094" s="71">
        <f>CU1094</f>
        <v>0</v>
      </c>
      <c r="Y1094" s="71">
        <f>CY1094</f>
        <v>0</v>
      </c>
      <c r="Z1094" s="71">
        <f>DA1094+DC1094+DE1094</f>
        <v>0</v>
      </c>
      <c r="AA1094" s="71">
        <f>CW1094</f>
        <v>0</v>
      </c>
      <c r="AB1094" s="71"/>
      <c r="AC1094" s="71">
        <v>0</v>
      </c>
      <c r="AD1094" s="71">
        <f>W1094+X1094+Y1094+Z1094+AA1094+AB1094+AC1094</f>
        <v>0</v>
      </c>
      <c r="AE1094" s="72">
        <v>0</v>
      </c>
      <c r="AF1094" s="5"/>
      <c r="AG1094" s="6"/>
      <c r="AH1094" s="27" t="s">
        <v>3392</v>
      </c>
      <c r="AI1094" s="44" t="s">
        <v>3393</v>
      </c>
      <c r="AJ1094" s="26"/>
      <c r="AK1094" s="5"/>
      <c r="AL1094" s="82" t="s">
        <v>3958</v>
      </c>
      <c r="AM1094" s="76"/>
      <c r="AN1094" s="76"/>
      <c r="AO1094" s="76"/>
      <c r="AP1094" s="76"/>
      <c r="AQ1094" s="76"/>
      <c r="AR1094" s="76"/>
      <c r="AS1094" s="76"/>
      <c r="AT1094" s="76"/>
      <c r="AU1094" s="76"/>
      <c r="AV1094" s="76"/>
      <c r="AW1094" s="76"/>
      <c r="AX1094" s="76">
        <f>+AW1094*600000</f>
        <v>0</v>
      </c>
      <c r="AY1094" s="76"/>
      <c r="AZ1094" s="76">
        <f>+AY1094*70000</f>
        <v>0</v>
      </c>
      <c r="BA1094" s="76"/>
      <c r="BB1094" s="76"/>
      <c r="BC1094" s="76"/>
      <c r="BD1094" s="76">
        <f>+BC1094*30000</f>
        <v>0</v>
      </c>
      <c r="BE1094" s="76"/>
      <c r="BF1094" s="76"/>
      <c r="BG1094" s="76"/>
      <c r="BH1094" s="76"/>
      <c r="BI1094" s="76"/>
      <c r="BJ1094" s="76"/>
      <c r="BK1094" s="76"/>
      <c r="BL1094" s="76">
        <f>+BK1094*31500</f>
        <v>0</v>
      </c>
      <c r="BM1094" s="76"/>
      <c r="BN1094" s="76"/>
      <c r="BO1094" s="76"/>
      <c r="BP1094" s="76"/>
      <c r="BQ1094" s="76"/>
      <c r="BR1094" s="76"/>
      <c r="BS1094" s="76"/>
      <c r="BT1094" s="76"/>
      <c r="BU1094" s="76"/>
      <c r="BV1094" s="76"/>
      <c r="BW1094" s="76"/>
      <c r="BX1094" s="76"/>
      <c r="BY1094" s="76"/>
      <c r="BZ1094" s="76"/>
      <c r="CA1094" s="76"/>
      <c r="CB1094" s="76"/>
      <c r="CC1094" s="76"/>
      <c r="CD1094" s="76"/>
      <c r="CE1094" s="76"/>
      <c r="CF1094" s="76">
        <f>+CE1094*28000</f>
        <v>0</v>
      </c>
      <c r="CG1094" s="76"/>
      <c r="CH1094" s="76">
        <f>+CG1094*22500</f>
        <v>0</v>
      </c>
      <c r="CI1094" s="76"/>
      <c r="CJ1094" s="76">
        <f>+CI1094*26000</f>
        <v>0</v>
      </c>
      <c r="CK1094" s="76"/>
      <c r="CL1094" s="76"/>
      <c r="CM1094" s="76"/>
      <c r="CN1094" s="76">
        <f>+CM1094*22000</f>
        <v>0</v>
      </c>
      <c r="CO1094" s="76"/>
      <c r="CP1094" s="76">
        <f>+CO1094*46000</f>
        <v>0</v>
      </c>
      <c r="CQ1094" s="76"/>
      <c r="CR1094" s="76">
        <f>+CQ1094*49000</f>
        <v>0</v>
      </c>
      <c r="CS1094" s="76"/>
      <c r="CT1094" s="76"/>
      <c r="CU1094" s="56">
        <f>AN1094+AP1094+AR1094+AT1094+AV1094+AX1094+AZ1094+BB1094+BD1094+BF1094+BH1094+BJ1094+BL1094+BN1094+BP1094+BR1094+BT1094+BV1094+BX1094+BZ1094+CB1094+CD1094+CF1094+CH1094+CJ1094+CL1094+CN1094+CP1094+CR1094+CT1094</f>
        <v>0</v>
      </c>
      <c r="CV1094" s="76"/>
      <c r="CW1094" s="76">
        <f>+CV1094*1100</f>
        <v>0</v>
      </c>
      <c r="CX1094" s="76"/>
      <c r="CY1094" s="76">
        <f>+CX1094*106250</f>
        <v>0</v>
      </c>
      <c r="CZ1094" s="76"/>
      <c r="DA1094" s="76">
        <f>+CZ1094*34500</f>
        <v>0</v>
      </c>
      <c r="DB1094" s="76"/>
      <c r="DC1094" s="76">
        <f>+DB1094*25000</f>
        <v>0</v>
      </c>
      <c r="DD1094" s="219"/>
      <c r="DE1094" s="219"/>
      <c r="DF1094" s="166"/>
      <c r="DG1094" s="116"/>
      <c r="DH1094" s="117"/>
      <c r="DI1094" s="24"/>
      <c r="DJ1094" s="24"/>
      <c r="DK1094" s="24"/>
      <c r="DL1094" s="24"/>
      <c r="DM1094" s="24"/>
      <c r="DN1094" s="24"/>
      <c r="DO1094" s="24"/>
      <c r="DP1094" s="24"/>
      <c r="DQ1094" s="24"/>
      <c r="DR1094" s="24"/>
      <c r="DS1094" s="24"/>
      <c r="DT1094" s="24"/>
      <c r="DU1094" s="24"/>
    </row>
    <row r="1095" spans="1:125" s="8" customFormat="1" ht="84" x14ac:dyDescent="0.2">
      <c r="A1095" s="77">
        <v>41344</v>
      </c>
      <c r="B1095" s="78" t="s">
        <v>2906</v>
      </c>
      <c r="C1095" s="75" t="s">
        <v>429</v>
      </c>
      <c r="D1095" s="81" t="s">
        <v>2846</v>
      </c>
      <c r="E1095" s="75" t="str">
        <f>VLOOKUP(B1095&amp;C1095,Divipola!$C$2:$F$1138,4,FALSE)</f>
        <v>47189</v>
      </c>
      <c r="F1095" s="87"/>
      <c r="G1095" s="87"/>
      <c r="H1095" s="87"/>
      <c r="I1095" s="87"/>
      <c r="J1095" s="87"/>
      <c r="K1095" s="87"/>
      <c r="L1095" s="87"/>
      <c r="M1095" s="87"/>
      <c r="N1095" s="87"/>
      <c r="O1095" s="87"/>
      <c r="P1095" s="87"/>
      <c r="Q1095" s="87"/>
      <c r="R1095" s="87"/>
      <c r="S1095" s="87"/>
      <c r="T1095" s="87"/>
      <c r="U1095" s="88"/>
      <c r="V1095" s="89"/>
      <c r="W1095" s="96">
        <v>0</v>
      </c>
      <c r="X1095" s="71">
        <f>CU1095</f>
        <v>0</v>
      </c>
      <c r="Y1095" s="71">
        <f>CY1095</f>
        <v>0</v>
      </c>
      <c r="Z1095" s="71">
        <f>DA1095+DC1095+DE1095</f>
        <v>0</v>
      </c>
      <c r="AA1095" s="71">
        <f>CW1095</f>
        <v>0</v>
      </c>
      <c r="AB1095" s="71"/>
      <c r="AC1095" s="71">
        <v>0</v>
      </c>
      <c r="AD1095" s="71">
        <f>W1095+X1095+Y1095+Z1095+AA1095+AB1095+AC1095</f>
        <v>0</v>
      </c>
      <c r="AE1095" s="72">
        <v>0</v>
      </c>
      <c r="AF1095" s="5"/>
      <c r="AG1095" s="6"/>
      <c r="AH1095" s="27" t="s">
        <v>3392</v>
      </c>
      <c r="AI1095" s="44" t="s">
        <v>3393</v>
      </c>
      <c r="AJ1095" s="26"/>
      <c r="AK1095" s="5"/>
      <c r="AL1095" s="82" t="s">
        <v>3881</v>
      </c>
      <c r="AM1095" s="76"/>
      <c r="AN1095" s="76"/>
      <c r="AO1095" s="76"/>
      <c r="AP1095" s="76"/>
      <c r="AQ1095" s="76"/>
      <c r="AR1095" s="76"/>
      <c r="AS1095" s="76"/>
      <c r="AT1095" s="76"/>
      <c r="AU1095" s="76"/>
      <c r="AV1095" s="76"/>
      <c r="AW1095" s="76"/>
      <c r="AX1095" s="76">
        <f>+AW1095*600000</f>
        <v>0</v>
      </c>
      <c r="AY1095" s="76"/>
      <c r="AZ1095" s="76">
        <f>+AY1095*70000</f>
        <v>0</v>
      </c>
      <c r="BA1095" s="76"/>
      <c r="BB1095" s="76"/>
      <c r="BC1095" s="76"/>
      <c r="BD1095" s="76">
        <f>+BC1095*30000</f>
        <v>0</v>
      </c>
      <c r="BE1095" s="76"/>
      <c r="BF1095" s="76"/>
      <c r="BG1095" s="76"/>
      <c r="BH1095" s="76"/>
      <c r="BI1095" s="76"/>
      <c r="BJ1095" s="76"/>
      <c r="BK1095" s="76"/>
      <c r="BL1095" s="76">
        <f>+BK1095*31500</f>
        <v>0</v>
      </c>
      <c r="BM1095" s="76"/>
      <c r="BN1095" s="76"/>
      <c r="BO1095" s="76"/>
      <c r="BP1095" s="76"/>
      <c r="BQ1095" s="76"/>
      <c r="BR1095" s="76"/>
      <c r="BS1095" s="76"/>
      <c r="BT1095" s="76"/>
      <c r="BU1095" s="76"/>
      <c r="BV1095" s="76"/>
      <c r="BW1095" s="76"/>
      <c r="BX1095" s="76"/>
      <c r="BY1095" s="76"/>
      <c r="BZ1095" s="76"/>
      <c r="CA1095" s="76"/>
      <c r="CB1095" s="76"/>
      <c r="CC1095" s="76"/>
      <c r="CD1095" s="76"/>
      <c r="CE1095" s="76"/>
      <c r="CF1095" s="76">
        <f>+CE1095*28000</f>
        <v>0</v>
      </c>
      <c r="CG1095" s="76"/>
      <c r="CH1095" s="76">
        <f>+CG1095*22500</f>
        <v>0</v>
      </c>
      <c r="CI1095" s="76"/>
      <c r="CJ1095" s="76">
        <f>+CI1095*26000</f>
        <v>0</v>
      </c>
      <c r="CK1095" s="76"/>
      <c r="CL1095" s="76"/>
      <c r="CM1095" s="76"/>
      <c r="CN1095" s="76">
        <f>+CM1095*22000</f>
        <v>0</v>
      </c>
      <c r="CO1095" s="76"/>
      <c r="CP1095" s="76">
        <f>+CO1095*46000</f>
        <v>0</v>
      </c>
      <c r="CQ1095" s="76"/>
      <c r="CR1095" s="76">
        <f>+CQ1095*49000</f>
        <v>0</v>
      </c>
      <c r="CS1095" s="76"/>
      <c r="CT1095" s="76"/>
      <c r="CU1095" s="56">
        <f>AN1095+AP1095+AR1095+AT1095+AV1095+AX1095+AZ1095+BB1095+BD1095+BF1095+BH1095+BJ1095+BL1095+BN1095+BP1095+BR1095+BT1095+BV1095+BX1095+BZ1095+CB1095+CD1095+CF1095+CH1095+CJ1095+CL1095+CN1095+CP1095+CR1095+CT1095</f>
        <v>0</v>
      </c>
      <c r="CV1095" s="76"/>
      <c r="CW1095" s="76">
        <f>+CV1095*1100</f>
        <v>0</v>
      </c>
      <c r="CX1095" s="76"/>
      <c r="CY1095" s="76">
        <f>+CX1095*106250</f>
        <v>0</v>
      </c>
      <c r="CZ1095" s="76"/>
      <c r="DA1095" s="76">
        <f>+CZ1095*34500</f>
        <v>0</v>
      </c>
      <c r="DB1095" s="76"/>
      <c r="DC1095" s="76">
        <f>+DB1095*25000</f>
        <v>0</v>
      </c>
      <c r="DD1095" s="219"/>
      <c r="DE1095" s="219"/>
      <c r="DF1095" s="166"/>
      <c r="DG1095" s="116"/>
      <c r="DH1095" s="117"/>
      <c r="DI1095" s="24"/>
      <c r="DJ1095" s="24"/>
      <c r="DK1095" s="24"/>
      <c r="DL1095" s="24"/>
      <c r="DM1095" s="24"/>
      <c r="DN1095" s="24"/>
      <c r="DO1095" s="24"/>
      <c r="DP1095" s="24"/>
      <c r="DQ1095" s="24"/>
      <c r="DR1095" s="24"/>
      <c r="DS1095" s="24"/>
      <c r="DT1095" s="24"/>
      <c r="DU1095" s="24"/>
    </row>
    <row r="1096" spans="1:125" s="8" customFormat="1" ht="108" x14ac:dyDescent="0.2">
      <c r="A1096" s="226">
        <v>41344</v>
      </c>
      <c r="B1096" s="225" t="s">
        <v>2906</v>
      </c>
      <c r="C1096" s="227" t="s">
        <v>429</v>
      </c>
      <c r="D1096" s="81" t="s">
        <v>2846</v>
      </c>
      <c r="E1096" s="75" t="str">
        <f>VLOOKUP(B1096&amp;C1096,Divipola!$C$2:$F$1138,4,FALSE)</f>
        <v>47189</v>
      </c>
      <c r="F1096" s="87"/>
      <c r="G1096" s="87"/>
      <c r="H1096" s="87"/>
      <c r="I1096" s="87"/>
      <c r="J1096" s="87"/>
      <c r="K1096" s="87"/>
      <c r="L1096" s="87"/>
      <c r="M1096" s="87"/>
      <c r="N1096" s="87"/>
      <c r="O1096" s="87"/>
      <c r="P1096" s="87"/>
      <c r="Q1096" s="87"/>
      <c r="R1096" s="87"/>
      <c r="S1096" s="87"/>
      <c r="T1096" s="87"/>
      <c r="U1096" s="88"/>
      <c r="V1096" s="89"/>
      <c r="W1096" s="96">
        <v>0</v>
      </c>
      <c r="X1096" s="71">
        <f>CU1096</f>
        <v>0</v>
      </c>
      <c r="Y1096" s="71">
        <f>CY1096</f>
        <v>0</v>
      </c>
      <c r="Z1096" s="71">
        <f>DA1096+DC1096+DE1096</f>
        <v>0</v>
      </c>
      <c r="AA1096" s="71">
        <f>CW1096</f>
        <v>0</v>
      </c>
      <c r="AB1096" s="71"/>
      <c r="AC1096" s="71">
        <v>0</v>
      </c>
      <c r="AD1096" s="71">
        <f>W1096+X1096+Y1096+Z1096+AA1096+AB1096+AC1096</f>
        <v>0</v>
      </c>
      <c r="AE1096" s="72">
        <v>0</v>
      </c>
      <c r="AF1096" s="5"/>
      <c r="AG1096" s="6"/>
      <c r="AH1096" s="27" t="s">
        <v>3392</v>
      </c>
      <c r="AI1096" s="44" t="s">
        <v>3393</v>
      </c>
      <c r="AJ1096" s="26"/>
      <c r="AK1096" s="5"/>
      <c r="AL1096" s="82" t="s">
        <v>3882</v>
      </c>
      <c r="AM1096" s="76"/>
      <c r="AN1096" s="76"/>
      <c r="AO1096" s="76"/>
      <c r="AP1096" s="76"/>
      <c r="AQ1096" s="76"/>
      <c r="AR1096" s="76"/>
      <c r="AS1096" s="76"/>
      <c r="AT1096" s="76"/>
      <c r="AU1096" s="76"/>
      <c r="AV1096" s="76"/>
      <c r="AW1096" s="76"/>
      <c r="AX1096" s="76">
        <f>+AW1096*600000</f>
        <v>0</v>
      </c>
      <c r="AY1096" s="76"/>
      <c r="AZ1096" s="76">
        <f>+AY1096*70000</f>
        <v>0</v>
      </c>
      <c r="BA1096" s="76"/>
      <c r="BB1096" s="76"/>
      <c r="BC1096" s="76"/>
      <c r="BD1096" s="76">
        <f>+BC1096*30000</f>
        <v>0</v>
      </c>
      <c r="BE1096" s="76"/>
      <c r="BF1096" s="76"/>
      <c r="BG1096" s="76"/>
      <c r="BH1096" s="76"/>
      <c r="BI1096" s="76"/>
      <c r="BJ1096" s="76"/>
      <c r="BK1096" s="76"/>
      <c r="BL1096" s="76">
        <f>+BK1096*31500</f>
        <v>0</v>
      </c>
      <c r="BM1096" s="76"/>
      <c r="BN1096" s="76"/>
      <c r="BO1096" s="76"/>
      <c r="BP1096" s="76"/>
      <c r="BQ1096" s="76"/>
      <c r="BR1096" s="76"/>
      <c r="BS1096" s="76"/>
      <c r="BT1096" s="76"/>
      <c r="BU1096" s="76"/>
      <c r="BV1096" s="76"/>
      <c r="BW1096" s="76"/>
      <c r="BX1096" s="76"/>
      <c r="BY1096" s="76"/>
      <c r="BZ1096" s="76"/>
      <c r="CA1096" s="76"/>
      <c r="CB1096" s="76"/>
      <c r="CC1096" s="76"/>
      <c r="CD1096" s="76"/>
      <c r="CE1096" s="76"/>
      <c r="CF1096" s="76">
        <f>+CE1096*28000</f>
        <v>0</v>
      </c>
      <c r="CG1096" s="76"/>
      <c r="CH1096" s="76">
        <f>+CG1096*22500</f>
        <v>0</v>
      </c>
      <c r="CI1096" s="76"/>
      <c r="CJ1096" s="76">
        <f>+CI1096*26000</f>
        <v>0</v>
      </c>
      <c r="CK1096" s="76"/>
      <c r="CL1096" s="76"/>
      <c r="CM1096" s="76"/>
      <c r="CN1096" s="76">
        <f>+CM1096*22000</f>
        <v>0</v>
      </c>
      <c r="CO1096" s="76"/>
      <c r="CP1096" s="76">
        <f>+CO1096*46000</f>
        <v>0</v>
      </c>
      <c r="CQ1096" s="76"/>
      <c r="CR1096" s="76">
        <f>+CQ1096*49000</f>
        <v>0</v>
      </c>
      <c r="CS1096" s="76"/>
      <c r="CT1096" s="76"/>
      <c r="CU1096" s="56">
        <f>AN1096+AP1096+AR1096+AT1096+AV1096+AX1096+AZ1096+BB1096+BD1096+BF1096+BH1096+BJ1096+BL1096+BN1096+BP1096+BR1096+BT1096+BV1096+BX1096+BZ1096+CB1096+CD1096+CF1096+CH1096+CJ1096+CL1096+CN1096+CP1096+CR1096+CT1096</f>
        <v>0</v>
      </c>
      <c r="CV1096" s="76"/>
      <c r="CW1096" s="76">
        <f>+CV1096*1100</f>
        <v>0</v>
      </c>
      <c r="CX1096" s="76"/>
      <c r="CY1096" s="76">
        <f>+CX1096*106250</f>
        <v>0</v>
      </c>
      <c r="CZ1096" s="76"/>
      <c r="DA1096" s="76">
        <f>+CZ1096*34500</f>
        <v>0</v>
      </c>
      <c r="DB1096" s="76"/>
      <c r="DC1096" s="76">
        <f>+DB1096*25000</f>
        <v>0</v>
      </c>
      <c r="DD1096" s="219"/>
      <c r="DE1096" s="219"/>
      <c r="DF1096" s="166"/>
      <c r="DG1096" s="116"/>
      <c r="DH1096" s="117"/>
      <c r="DI1096" s="24"/>
      <c r="DJ1096" s="24"/>
      <c r="DK1096" s="24"/>
      <c r="DL1096" s="24"/>
      <c r="DM1096" s="24"/>
      <c r="DN1096" s="24"/>
      <c r="DO1096" s="24"/>
      <c r="DP1096" s="24"/>
      <c r="DQ1096" s="24"/>
      <c r="DR1096" s="24"/>
      <c r="DS1096" s="24"/>
      <c r="DT1096" s="24"/>
      <c r="DU1096" s="24"/>
    </row>
    <row r="1097" spans="1:125" s="8" customFormat="1" ht="36" x14ac:dyDescent="0.2">
      <c r="A1097" s="226">
        <v>41344</v>
      </c>
      <c r="B1097" s="225" t="s">
        <v>2906</v>
      </c>
      <c r="C1097" s="227" t="s">
        <v>448</v>
      </c>
      <c r="D1097" s="227" t="s">
        <v>2882</v>
      </c>
      <c r="E1097" s="75" t="str">
        <f>VLOOKUP(B1097&amp;C1097,Divipola!$C$2:$F$1138,4,FALSE)</f>
        <v>47551</v>
      </c>
      <c r="F1097" s="163"/>
      <c r="G1097" s="163"/>
      <c r="H1097" s="163"/>
      <c r="I1097" s="163">
        <v>90</v>
      </c>
      <c r="J1097" s="163">
        <v>18</v>
      </c>
      <c r="K1097" s="163"/>
      <c r="L1097" s="163">
        <v>18</v>
      </c>
      <c r="M1097" s="163"/>
      <c r="N1097" s="163"/>
      <c r="O1097" s="163"/>
      <c r="P1097" s="163"/>
      <c r="Q1097" s="163"/>
      <c r="R1097" s="163"/>
      <c r="S1097" s="163">
        <v>1</v>
      </c>
      <c r="T1097" s="163"/>
      <c r="U1097" s="163"/>
      <c r="V1097" s="134">
        <v>1</v>
      </c>
      <c r="W1097" s="96">
        <v>0</v>
      </c>
      <c r="X1097" s="71">
        <f>CU1097</f>
        <v>0</v>
      </c>
      <c r="Y1097" s="71">
        <f>CY1097</f>
        <v>0</v>
      </c>
      <c r="Z1097" s="71">
        <f>DA1097+DC1097+DE1097</f>
        <v>0</v>
      </c>
      <c r="AA1097" s="71">
        <f>CW1097</f>
        <v>0</v>
      </c>
      <c r="AB1097" s="71"/>
      <c r="AC1097" s="71">
        <v>0</v>
      </c>
      <c r="AD1097" s="71">
        <f>W1097+X1097+Y1097+Z1097+AA1097+AB1097+AC1097</f>
        <v>0</v>
      </c>
      <c r="AE1097" s="72">
        <v>0</v>
      </c>
      <c r="AF1097" s="5"/>
      <c r="AG1097" s="6"/>
      <c r="AH1097" s="27" t="s">
        <v>3390</v>
      </c>
      <c r="AI1097" s="44" t="s">
        <v>3393</v>
      </c>
      <c r="AJ1097" s="26"/>
      <c r="AK1097" s="5" t="s">
        <v>4242</v>
      </c>
      <c r="AL1097" s="82" t="s">
        <v>4621</v>
      </c>
      <c r="AM1097" s="76"/>
      <c r="AN1097" s="76"/>
      <c r="AO1097" s="76"/>
      <c r="AP1097" s="76"/>
      <c r="AQ1097" s="76"/>
      <c r="AR1097" s="76"/>
      <c r="AS1097" s="76"/>
      <c r="AT1097" s="76"/>
      <c r="AU1097" s="76"/>
      <c r="AV1097" s="76"/>
      <c r="AW1097" s="76"/>
      <c r="AX1097" s="76">
        <f>+AW1097*600000</f>
        <v>0</v>
      </c>
      <c r="AY1097" s="76"/>
      <c r="AZ1097" s="76">
        <f>+AY1097*70000</f>
        <v>0</v>
      </c>
      <c r="BA1097" s="76"/>
      <c r="BB1097" s="76"/>
      <c r="BC1097" s="76"/>
      <c r="BD1097" s="76">
        <f>+BC1097*30000</f>
        <v>0</v>
      </c>
      <c r="BE1097" s="76"/>
      <c r="BF1097" s="76"/>
      <c r="BG1097" s="76"/>
      <c r="BH1097" s="76"/>
      <c r="BI1097" s="76"/>
      <c r="BJ1097" s="76"/>
      <c r="BK1097" s="76"/>
      <c r="BL1097" s="76">
        <f>+BK1097*31500</f>
        <v>0</v>
      </c>
      <c r="BM1097" s="76"/>
      <c r="BN1097" s="76"/>
      <c r="BO1097" s="76"/>
      <c r="BP1097" s="76"/>
      <c r="BQ1097" s="76"/>
      <c r="BR1097" s="76"/>
      <c r="BS1097" s="76"/>
      <c r="BT1097" s="76"/>
      <c r="BU1097" s="76"/>
      <c r="BV1097" s="76"/>
      <c r="BW1097" s="76"/>
      <c r="BX1097" s="76"/>
      <c r="BY1097" s="76"/>
      <c r="BZ1097" s="76"/>
      <c r="CA1097" s="76"/>
      <c r="CB1097" s="76"/>
      <c r="CC1097" s="76"/>
      <c r="CD1097" s="76"/>
      <c r="CE1097" s="76"/>
      <c r="CF1097" s="76">
        <f>+CE1097*28000</f>
        <v>0</v>
      </c>
      <c r="CG1097" s="76"/>
      <c r="CH1097" s="76">
        <f>+CG1097*22500</f>
        <v>0</v>
      </c>
      <c r="CI1097" s="76"/>
      <c r="CJ1097" s="76">
        <f>+CI1097*26000</f>
        <v>0</v>
      </c>
      <c r="CK1097" s="76"/>
      <c r="CL1097" s="76"/>
      <c r="CM1097" s="76"/>
      <c r="CN1097" s="76">
        <f>+CM1097*22000</f>
        <v>0</v>
      </c>
      <c r="CO1097" s="76"/>
      <c r="CP1097" s="76">
        <f>+CO1097*46000</f>
        <v>0</v>
      </c>
      <c r="CQ1097" s="76"/>
      <c r="CR1097" s="76">
        <f>+CQ1097*49000</f>
        <v>0</v>
      </c>
      <c r="CS1097" s="76"/>
      <c r="CT1097" s="76"/>
      <c r="CU1097" s="56">
        <f>AN1097+AP1097+AR1097+AT1097+AV1097+AX1097+AZ1097+BB1097+BD1097+BF1097+BH1097+BJ1097+BL1097+BN1097+BP1097+BR1097+BT1097+BV1097+BX1097+BZ1097+CB1097+CD1097+CF1097+CH1097+CJ1097+CL1097+CN1097+CP1097+CR1097+CT1097</f>
        <v>0</v>
      </c>
      <c r="CV1097" s="76"/>
      <c r="CW1097" s="76">
        <f>+CV1097*1100</f>
        <v>0</v>
      </c>
      <c r="CX1097" s="76"/>
      <c r="CY1097" s="76">
        <f>+CX1097*106250</f>
        <v>0</v>
      </c>
      <c r="CZ1097" s="76"/>
      <c r="DA1097" s="76">
        <f>+CZ1097*34500</f>
        <v>0</v>
      </c>
      <c r="DB1097" s="76"/>
      <c r="DC1097" s="76">
        <f>+DB1097*25000</f>
        <v>0</v>
      </c>
      <c r="DD1097" s="219"/>
      <c r="DE1097" s="219"/>
      <c r="DF1097" s="166"/>
      <c r="DG1097" s="116"/>
      <c r="DH1097" s="117"/>
      <c r="DI1097" s="24"/>
      <c r="DJ1097" s="24"/>
      <c r="DK1097" s="24"/>
      <c r="DL1097" s="24"/>
      <c r="DM1097" s="24"/>
      <c r="DN1097" s="24"/>
      <c r="DO1097" s="24"/>
      <c r="DP1097" s="24"/>
      <c r="DQ1097" s="24"/>
      <c r="DR1097" s="24"/>
      <c r="DS1097" s="24"/>
      <c r="DT1097" s="24"/>
      <c r="DU1097" s="24"/>
    </row>
    <row r="1098" spans="1:125" s="8" customFormat="1" ht="36" x14ac:dyDescent="0.2">
      <c r="A1098" s="97">
        <v>41344</v>
      </c>
      <c r="B1098" s="60" t="s">
        <v>2860</v>
      </c>
      <c r="C1098" s="55" t="s">
        <v>2776</v>
      </c>
      <c r="D1098" s="55" t="s">
        <v>2882</v>
      </c>
      <c r="E1098" s="75" t="str">
        <f>VLOOKUP(B1098&amp;C1098,Divipola!$C$2:$F$1138,4,FALSE)</f>
        <v>63001</v>
      </c>
      <c r="F1098" s="87"/>
      <c r="G1098" s="87"/>
      <c r="H1098" s="87"/>
      <c r="I1098" s="87">
        <v>50</v>
      </c>
      <c r="J1098" s="87">
        <v>10</v>
      </c>
      <c r="K1098" s="87"/>
      <c r="L1098" s="87">
        <v>10</v>
      </c>
      <c r="M1098" s="87"/>
      <c r="N1098" s="87"/>
      <c r="O1098" s="87"/>
      <c r="P1098" s="87"/>
      <c r="Q1098" s="87"/>
      <c r="R1098" s="87"/>
      <c r="S1098" s="87"/>
      <c r="T1098" s="87"/>
      <c r="U1098" s="88"/>
      <c r="V1098" s="89"/>
      <c r="W1098" s="96">
        <v>0</v>
      </c>
      <c r="X1098" s="71">
        <f>CU1098</f>
        <v>0</v>
      </c>
      <c r="Y1098" s="71">
        <f>CY1098</f>
        <v>0</v>
      </c>
      <c r="Z1098" s="71">
        <f>DA1098+DC1098+DE1098</f>
        <v>0</v>
      </c>
      <c r="AA1098" s="71">
        <f>CW1098</f>
        <v>0</v>
      </c>
      <c r="AB1098" s="71"/>
      <c r="AC1098" s="71">
        <v>0</v>
      </c>
      <c r="AD1098" s="71">
        <f>W1098+X1098+Y1098+Z1098+AA1098+AB1098+AC1098</f>
        <v>0</v>
      </c>
      <c r="AE1098" s="72">
        <v>0</v>
      </c>
      <c r="AF1098" s="5"/>
      <c r="AG1098" s="6"/>
      <c r="AH1098" s="27" t="s">
        <v>3390</v>
      </c>
      <c r="AI1098" s="44" t="s">
        <v>3391</v>
      </c>
      <c r="AJ1098" s="26"/>
      <c r="AK1098" s="5" t="s">
        <v>3480</v>
      </c>
      <c r="AL1098" s="82" t="s">
        <v>3888</v>
      </c>
      <c r="AM1098" s="76"/>
      <c r="AN1098" s="76"/>
      <c r="AO1098" s="76"/>
      <c r="AP1098" s="76"/>
      <c r="AQ1098" s="76"/>
      <c r="AR1098" s="76"/>
      <c r="AS1098" s="76"/>
      <c r="AT1098" s="76"/>
      <c r="AU1098" s="76"/>
      <c r="AV1098" s="76"/>
      <c r="AW1098" s="76"/>
      <c r="AX1098" s="76">
        <f>+AW1098*600000</f>
        <v>0</v>
      </c>
      <c r="AY1098" s="76"/>
      <c r="AZ1098" s="76">
        <f>+AY1098*70000</f>
        <v>0</v>
      </c>
      <c r="BA1098" s="76"/>
      <c r="BB1098" s="76"/>
      <c r="BC1098" s="76"/>
      <c r="BD1098" s="76">
        <f>+BC1098*30000</f>
        <v>0</v>
      </c>
      <c r="BE1098" s="76"/>
      <c r="BF1098" s="76"/>
      <c r="BG1098" s="76"/>
      <c r="BH1098" s="76"/>
      <c r="BI1098" s="76"/>
      <c r="BJ1098" s="76"/>
      <c r="BK1098" s="76"/>
      <c r="BL1098" s="76">
        <f>+BK1098*31500</f>
        <v>0</v>
      </c>
      <c r="BM1098" s="76"/>
      <c r="BN1098" s="76"/>
      <c r="BO1098" s="76"/>
      <c r="BP1098" s="76"/>
      <c r="BQ1098" s="76"/>
      <c r="BR1098" s="76"/>
      <c r="BS1098" s="76"/>
      <c r="BT1098" s="76"/>
      <c r="BU1098" s="76"/>
      <c r="BV1098" s="76"/>
      <c r="BW1098" s="76"/>
      <c r="BX1098" s="76"/>
      <c r="BY1098" s="76"/>
      <c r="BZ1098" s="76"/>
      <c r="CA1098" s="76"/>
      <c r="CB1098" s="76"/>
      <c r="CC1098" s="76"/>
      <c r="CD1098" s="76"/>
      <c r="CE1098" s="76"/>
      <c r="CF1098" s="76">
        <f>+CE1098*28000</f>
        <v>0</v>
      </c>
      <c r="CG1098" s="76"/>
      <c r="CH1098" s="76">
        <f>+CG1098*22500</f>
        <v>0</v>
      </c>
      <c r="CI1098" s="76"/>
      <c r="CJ1098" s="76">
        <f>+CI1098*26000</f>
        <v>0</v>
      </c>
      <c r="CK1098" s="76"/>
      <c r="CL1098" s="76"/>
      <c r="CM1098" s="76"/>
      <c r="CN1098" s="76">
        <f>+CM1098*22000</f>
        <v>0</v>
      </c>
      <c r="CO1098" s="76"/>
      <c r="CP1098" s="76">
        <f>+CO1098*46000</f>
        <v>0</v>
      </c>
      <c r="CQ1098" s="76"/>
      <c r="CR1098" s="76">
        <f>+CQ1098*49000</f>
        <v>0</v>
      </c>
      <c r="CS1098" s="76"/>
      <c r="CT1098" s="76"/>
      <c r="CU1098" s="56">
        <f>AN1098+AP1098+AR1098+AT1098+AV1098+AX1098+AZ1098+BB1098+BD1098+BF1098+BH1098+BJ1098+BL1098+BN1098+BP1098+BR1098+BT1098+BV1098+BX1098+BZ1098+CB1098+CD1098+CF1098+CH1098+CJ1098+CL1098+CN1098+CP1098+CR1098+CT1098</f>
        <v>0</v>
      </c>
      <c r="CV1098" s="76"/>
      <c r="CW1098" s="76">
        <f>+CV1098*1100</f>
        <v>0</v>
      </c>
      <c r="CX1098" s="76"/>
      <c r="CY1098" s="76">
        <f>+CX1098*106250</f>
        <v>0</v>
      </c>
      <c r="CZ1098" s="76"/>
      <c r="DA1098" s="76">
        <f>+CZ1098*34500</f>
        <v>0</v>
      </c>
      <c r="DB1098" s="76"/>
      <c r="DC1098" s="76">
        <f>+DB1098*25000</f>
        <v>0</v>
      </c>
      <c r="DD1098" s="219"/>
      <c r="DE1098" s="219"/>
      <c r="DF1098" s="166"/>
      <c r="DG1098" s="116"/>
      <c r="DH1098" s="117"/>
      <c r="DI1098" s="24"/>
      <c r="DJ1098" s="24"/>
      <c r="DK1098" s="24"/>
      <c r="DL1098" s="24"/>
      <c r="DM1098" s="24"/>
      <c r="DN1098" s="24"/>
      <c r="DO1098" s="24"/>
      <c r="DP1098" s="24"/>
      <c r="DQ1098" s="24"/>
      <c r="DR1098" s="24"/>
      <c r="DS1098" s="24"/>
      <c r="DT1098" s="24"/>
      <c r="DU1098" s="24"/>
    </row>
    <row r="1099" spans="1:125" s="8" customFormat="1" ht="60" x14ac:dyDescent="0.2">
      <c r="A1099" s="226">
        <v>41344</v>
      </c>
      <c r="B1099" s="225" t="s">
        <v>2860</v>
      </c>
      <c r="C1099" s="227" t="s">
        <v>2078</v>
      </c>
      <c r="D1099" s="227" t="s">
        <v>2882</v>
      </c>
      <c r="E1099" s="75" t="str">
        <f>VLOOKUP(B1099&amp;C1099,Divipola!$C$2:$F$1138,4,FALSE)</f>
        <v>63190</v>
      </c>
      <c r="F1099" s="87"/>
      <c r="G1099" s="87"/>
      <c r="H1099" s="87"/>
      <c r="I1099" s="87">
        <v>85</v>
      </c>
      <c r="J1099" s="87">
        <v>17</v>
      </c>
      <c r="K1099" s="87"/>
      <c r="L1099" s="87">
        <v>17</v>
      </c>
      <c r="M1099" s="87"/>
      <c r="N1099" s="87"/>
      <c r="O1099" s="87"/>
      <c r="P1099" s="87"/>
      <c r="Q1099" s="87"/>
      <c r="R1099" s="87"/>
      <c r="S1099" s="87"/>
      <c r="T1099" s="87"/>
      <c r="U1099" s="88"/>
      <c r="V1099" s="89"/>
      <c r="W1099" s="96">
        <v>0</v>
      </c>
      <c r="X1099" s="71">
        <f>CU1099</f>
        <v>0</v>
      </c>
      <c r="Y1099" s="71">
        <f>CY1099</f>
        <v>0</v>
      </c>
      <c r="Z1099" s="71">
        <f>DA1099+DC1099+DE1099</f>
        <v>0</v>
      </c>
      <c r="AA1099" s="71">
        <f>CW1099</f>
        <v>0</v>
      </c>
      <c r="AB1099" s="71"/>
      <c r="AC1099" s="71">
        <v>0</v>
      </c>
      <c r="AD1099" s="71">
        <f>W1099+X1099+Y1099+Z1099+AA1099+AB1099+AC1099</f>
        <v>0</v>
      </c>
      <c r="AE1099" s="72">
        <v>0</v>
      </c>
      <c r="AF1099" s="5"/>
      <c r="AG1099" s="6"/>
      <c r="AH1099" s="27" t="s">
        <v>3390</v>
      </c>
      <c r="AI1099" s="44" t="s">
        <v>3391</v>
      </c>
      <c r="AJ1099" s="26"/>
      <c r="AK1099" s="5" t="s">
        <v>3480</v>
      </c>
      <c r="AL1099" s="82" t="s">
        <v>3887</v>
      </c>
      <c r="AM1099" s="76"/>
      <c r="AN1099" s="76"/>
      <c r="AO1099" s="76"/>
      <c r="AP1099" s="76"/>
      <c r="AQ1099" s="76"/>
      <c r="AR1099" s="76"/>
      <c r="AS1099" s="76"/>
      <c r="AT1099" s="76"/>
      <c r="AU1099" s="76"/>
      <c r="AV1099" s="76"/>
      <c r="AW1099" s="76"/>
      <c r="AX1099" s="76">
        <f>+AW1099*600000</f>
        <v>0</v>
      </c>
      <c r="AY1099" s="76"/>
      <c r="AZ1099" s="76">
        <f>+AY1099*70000</f>
        <v>0</v>
      </c>
      <c r="BA1099" s="76"/>
      <c r="BB1099" s="76"/>
      <c r="BC1099" s="76"/>
      <c r="BD1099" s="76">
        <f>+BC1099*30000</f>
        <v>0</v>
      </c>
      <c r="BE1099" s="76"/>
      <c r="BF1099" s="76"/>
      <c r="BG1099" s="76"/>
      <c r="BH1099" s="76"/>
      <c r="BI1099" s="76"/>
      <c r="BJ1099" s="76"/>
      <c r="BK1099" s="76"/>
      <c r="BL1099" s="76">
        <f>+BK1099*31500</f>
        <v>0</v>
      </c>
      <c r="BM1099" s="76"/>
      <c r="BN1099" s="76"/>
      <c r="BO1099" s="76"/>
      <c r="BP1099" s="76"/>
      <c r="BQ1099" s="76"/>
      <c r="BR1099" s="76"/>
      <c r="BS1099" s="76"/>
      <c r="BT1099" s="76"/>
      <c r="BU1099" s="76"/>
      <c r="BV1099" s="76"/>
      <c r="BW1099" s="76"/>
      <c r="BX1099" s="76"/>
      <c r="BY1099" s="76"/>
      <c r="BZ1099" s="76"/>
      <c r="CA1099" s="76"/>
      <c r="CB1099" s="76"/>
      <c r="CC1099" s="76"/>
      <c r="CD1099" s="76"/>
      <c r="CE1099" s="76"/>
      <c r="CF1099" s="76">
        <f>+CE1099*28000</f>
        <v>0</v>
      </c>
      <c r="CG1099" s="76"/>
      <c r="CH1099" s="76">
        <f>+CG1099*22500</f>
        <v>0</v>
      </c>
      <c r="CI1099" s="76"/>
      <c r="CJ1099" s="76">
        <f>+CI1099*26000</f>
        <v>0</v>
      </c>
      <c r="CK1099" s="76"/>
      <c r="CL1099" s="76"/>
      <c r="CM1099" s="76"/>
      <c r="CN1099" s="76">
        <f>+CM1099*22000</f>
        <v>0</v>
      </c>
      <c r="CO1099" s="76"/>
      <c r="CP1099" s="76">
        <f>+CO1099*46000</f>
        <v>0</v>
      </c>
      <c r="CQ1099" s="76"/>
      <c r="CR1099" s="76">
        <f>+CQ1099*49000</f>
        <v>0</v>
      </c>
      <c r="CS1099" s="76"/>
      <c r="CT1099" s="76"/>
      <c r="CU1099" s="56">
        <f>AN1099+AP1099+AR1099+AT1099+AV1099+AX1099+AZ1099+BB1099+BD1099+BF1099+BH1099+BJ1099+BL1099+BN1099+BP1099+BR1099+BT1099+BV1099+BX1099+BZ1099+CB1099+CD1099+CF1099+CH1099+CJ1099+CL1099+CN1099+CP1099+CR1099+CT1099</f>
        <v>0</v>
      </c>
      <c r="CV1099" s="76"/>
      <c r="CW1099" s="76">
        <f>+CV1099*1100</f>
        <v>0</v>
      </c>
      <c r="CX1099" s="76"/>
      <c r="CY1099" s="76">
        <f>+CX1099*106250</f>
        <v>0</v>
      </c>
      <c r="CZ1099" s="76"/>
      <c r="DA1099" s="76">
        <f>+CZ1099*34500</f>
        <v>0</v>
      </c>
      <c r="DB1099" s="76"/>
      <c r="DC1099" s="76">
        <f>+DB1099*25000</f>
        <v>0</v>
      </c>
      <c r="DD1099" s="219"/>
      <c r="DE1099" s="219"/>
      <c r="DF1099" s="166"/>
      <c r="DG1099" s="116"/>
      <c r="DH1099" s="117"/>
      <c r="DI1099" s="24"/>
      <c r="DJ1099" s="24"/>
      <c r="DK1099" s="24"/>
      <c r="DL1099" s="24"/>
      <c r="DM1099" s="24"/>
      <c r="DN1099" s="24"/>
      <c r="DO1099" s="24"/>
      <c r="DP1099" s="24"/>
      <c r="DQ1099" s="24"/>
      <c r="DR1099" s="24"/>
      <c r="DS1099" s="24"/>
      <c r="DT1099" s="24"/>
      <c r="DU1099" s="24"/>
    </row>
    <row r="1100" spans="1:125" s="8" customFormat="1" ht="36" x14ac:dyDescent="0.2">
      <c r="A1100" s="226">
        <v>41344</v>
      </c>
      <c r="B1100" s="225" t="s">
        <v>2860</v>
      </c>
      <c r="C1100" s="227" t="s">
        <v>2768</v>
      </c>
      <c r="D1100" s="227" t="s">
        <v>2882</v>
      </c>
      <c r="E1100" s="75" t="str">
        <f>VLOOKUP(B1100&amp;C1100,Divipola!$C$2:$F$1138,4,FALSE)</f>
        <v>63401</v>
      </c>
      <c r="F1100" s="87"/>
      <c r="G1100" s="87"/>
      <c r="H1100" s="87"/>
      <c r="I1100" s="87">
        <v>50</v>
      </c>
      <c r="J1100" s="87">
        <v>10</v>
      </c>
      <c r="K1100" s="87"/>
      <c r="L1100" s="87">
        <v>10</v>
      </c>
      <c r="M1100" s="87"/>
      <c r="N1100" s="87"/>
      <c r="O1100" s="87"/>
      <c r="P1100" s="87"/>
      <c r="Q1100" s="87"/>
      <c r="R1100" s="87"/>
      <c r="S1100" s="87"/>
      <c r="T1100" s="87"/>
      <c r="U1100" s="88"/>
      <c r="V1100" s="89"/>
      <c r="W1100" s="96">
        <v>0</v>
      </c>
      <c r="X1100" s="71">
        <f>CU1100</f>
        <v>0</v>
      </c>
      <c r="Y1100" s="71">
        <f>CY1100</f>
        <v>0</v>
      </c>
      <c r="Z1100" s="71">
        <f>DA1100+DC1100+DE1100</f>
        <v>0</v>
      </c>
      <c r="AA1100" s="71">
        <f>CW1100</f>
        <v>0</v>
      </c>
      <c r="AB1100" s="71"/>
      <c r="AC1100" s="71">
        <v>0</v>
      </c>
      <c r="AD1100" s="71">
        <f>W1100+X1100+Y1100+Z1100+AA1100+AB1100+AC1100</f>
        <v>0</v>
      </c>
      <c r="AE1100" s="72">
        <v>0</v>
      </c>
      <c r="AF1100" s="5"/>
      <c r="AG1100" s="6"/>
      <c r="AH1100" s="27" t="s">
        <v>3390</v>
      </c>
      <c r="AI1100" s="44" t="s">
        <v>3391</v>
      </c>
      <c r="AJ1100" s="26"/>
      <c r="AK1100" s="5" t="s">
        <v>3480</v>
      </c>
      <c r="AL1100" s="82" t="s">
        <v>3912</v>
      </c>
      <c r="AM1100" s="76"/>
      <c r="AN1100" s="76"/>
      <c r="AO1100" s="76"/>
      <c r="AP1100" s="76"/>
      <c r="AQ1100" s="76"/>
      <c r="AR1100" s="76"/>
      <c r="AS1100" s="76"/>
      <c r="AT1100" s="76"/>
      <c r="AU1100" s="76"/>
      <c r="AV1100" s="76"/>
      <c r="AW1100" s="76"/>
      <c r="AX1100" s="76">
        <f>+AW1100*600000</f>
        <v>0</v>
      </c>
      <c r="AY1100" s="76"/>
      <c r="AZ1100" s="76">
        <f>+AY1100*70000</f>
        <v>0</v>
      </c>
      <c r="BA1100" s="76"/>
      <c r="BB1100" s="76"/>
      <c r="BC1100" s="76"/>
      <c r="BD1100" s="76">
        <f>+BC1100*30000</f>
        <v>0</v>
      </c>
      <c r="BE1100" s="76"/>
      <c r="BF1100" s="76"/>
      <c r="BG1100" s="76"/>
      <c r="BH1100" s="76"/>
      <c r="BI1100" s="76"/>
      <c r="BJ1100" s="76"/>
      <c r="BK1100" s="76"/>
      <c r="BL1100" s="76">
        <f>+BK1100*31500</f>
        <v>0</v>
      </c>
      <c r="BM1100" s="76"/>
      <c r="BN1100" s="76"/>
      <c r="BO1100" s="76"/>
      <c r="BP1100" s="76"/>
      <c r="BQ1100" s="76"/>
      <c r="BR1100" s="76"/>
      <c r="BS1100" s="76"/>
      <c r="BT1100" s="76"/>
      <c r="BU1100" s="76"/>
      <c r="BV1100" s="76"/>
      <c r="BW1100" s="76"/>
      <c r="BX1100" s="76"/>
      <c r="BY1100" s="76"/>
      <c r="BZ1100" s="76"/>
      <c r="CA1100" s="76"/>
      <c r="CB1100" s="76"/>
      <c r="CC1100" s="76"/>
      <c r="CD1100" s="76"/>
      <c r="CE1100" s="76"/>
      <c r="CF1100" s="76">
        <f>+CE1100*28000</f>
        <v>0</v>
      </c>
      <c r="CG1100" s="76"/>
      <c r="CH1100" s="76">
        <f>+CG1100*22500</f>
        <v>0</v>
      </c>
      <c r="CI1100" s="76"/>
      <c r="CJ1100" s="76">
        <f>+CI1100*26000</f>
        <v>0</v>
      </c>
      <c r="CK1100" s="76"/>
      <c r="CL1100" s="76"/>
      <c r="CM1100" s="76"/>
      <c r="CN1100" s="76">
        <f>+CM1100*22000</f>
        <v>0</v>
      </c>
      <c r="CO1100" s="76"/>
      <c r="CP1100" s="76">
        <f>+CO1100*46000</f>
        <v>0</v>
      </c>
      <c r="CQ1100" s="76"/>
      <c r="CR1100" s="76">
        <f>+CQ1100*49000</f>
        <v>0</v>
      </c>
      <c r="CS1100" s="76"/>
      <c r="CT1100" s="76"/>
      <c r="CU1100" s="56">
        <f>AN1100+AP1100+AR1100+AT1100+AV1100+AX1100+AZ1100+BB1100+BD1100+BF1100+BH1100+BJ1100+BL1100+BN1100+BP1100+BR1100+BT1100+BV1100+BX1100+BZ1100+CB1100+CD1100+CF1100+CH1100+CJ1100+CL1100+CN1100+CP1100+CR1100+CT1100</f>
        <v>0</v>
      </c>
      <c r="CV1100" s="76"/>
      <c r="CW1100" s="76">
        <f>+CV1100*1100</f>
        <v>0</v>
      </c>
      <c r="CX1100" s="76"/>
      <c r="CY1100" s="76">
        <f>+CX1100*106250</f>
        <v>0</v>
      </c>
      <c r="CZ1100" s="76"/>
      <c r="DA1100" s="76">
        <f>+CZ1100*34500</f>
        <v>0</v>
      </c>
      <c r="DB1100" s="76"/>
      <c r="DC1100" s="76">
        <f>+DB1100*25000</f>
        <v>0</v>
      </c>
      <c r="DD1100" s="219"/>
      <c r="DE1100" s="219"/>
      <c r="DF1100" s="166"/>
      <c r="DG1100" s="116"/>
      <c r="DH1100" s="117"/>
      <c r="DI1100" s="24"/>
      <c r="DJ1100" s="24"/>
      <c r="DK1100" s="24"/>
      <c r="DL1100" s="24"/>
      <c r="DM1100" s="24"/>
      <c r="DN1100" s="24"/>
      <c r="DO1100" s="24"/>
      <c r="DP1100" s="24"/>
      <c r="DQ1100" s="24"/>
      <c r="DR1100" s="24"/>
      <c r="DS1100" s="24"/>
      <c r="DT1100" s="24"/>
      <c r="DU1100" s="24"/>
    </row>
    <row r="1101" spans="1:125" s="8" customFormat="1" ht="132" x14ac:dyDescent="0.2">
      <c r="A1101" s="226">
        <v>41344</v>
      </c>
      <c r="B1101" s="225" t="s">
        <v>2847</v>
      </c>
      <c r="C1101" s="227" t="s">
        <v>1745</v>
      </c>
      <c r="D1101" s="81" t="s">
        <v>2846</v>
      </c>
      <c r="E1101" s="75" t="str">
        <f>VLOOKUP(B1101&amp;C1101,Divipola!$C$2:$F$1138,4,FALSE)</f>
        <v>68502</v>
      </c>
      <c r="F1101" s="87"/>
      <c r="G1101" s="87"/>
      <c r="H1101" s="87"/>
      <c r="I1101" s="87"/>
      <c r="J1101" s="87"/>
      <c r="K1101" s="87"/>
      <c r="L1101" s="87"/>
      <c r="M1101" s="87"/>
      <c r="N1101" s="87"/>
      <c r="O1101" s="87"/>
      <c r="P1101" s="87"/>
      <c r="Q1101" s="87"/>
      <c r="R1101" s="87"/>
      <c r="S1101" s="87"/>
      <c r="T1101" s="88"/>
      <c r="U1101" s="89">
        <v>200</v>
      </c>
      <c r="V1101" s="104"/>
      <c r="W1101" s="96">
        <v>0</v>
      </c>
      <c r="X1101" s="71">
        <f>CU1101</f>
        <v>0</v>
      </c>
      <c r="Y1101" s="71">
        <f>CY1101</f>
        <v>0</v>
      </c>
      <c r="Z1101" s="71">
        <f>DA1101+DC1101+DE1101</f>
        <v>0</v>
      </c>
      <c r="AA1101" s="71">
        <f>CW1101</f>
        <v>0</v>
      </c>
      <c r="AB1101" s="71"/>
      <c r="AC1101" s="71">
        <v>0</v>
      </c>
      <c r="AD1101" s="71">
        <f>W1101+X1101+Y1101+Z1101+AA1101+AB1101+AC1101</f>
        <v>0</v>
      </c>
      <c r="AE1101" s="72">
        <v>0</v>
      </c>
      <c r="AF1101" s="5"/>
      <c r="AG1101" s="6"/>
      <c r="AH1101" s="27" t="s">
        <v>3392</v>
      </c>
      <c r="AI1101" s="44" t="s">
        <v>3393</v>
      </c>
      <c r="AJ1101" s="26"/>
      <c r="AK1101" s="5"/>
      <c r="AL1101" s="82" t="s">
        <v>3932</v>
      </c>
      <c r="AM1101" s="76"/>
      <c r="AN1101" s="76"/>
      <c r="AO1101" s="76"/>
      <c r="AP1101" s="76"/>
      <c r="AQ1101" s="76"/>
      <c r="AR1101" s="76"/>
      <c r="AS1101" s="76"/>
      <c r="AT1101" s="76"/>
      <c r="AU1101" s="76"/>
      <c r="AV1101" s="76"/>
      <c r="AW1101" s="76"/>
      <c r="AX1101" s="76">
        <f>+AW1101*600000</f>
        <v>0</v>
      </c>
      <c r="AY1101" s="76"/>
      <c r="AZ1101" s="76">
        <f>+AY1101*70000</f>
        <v>0</v>
      </c>
      <c r="BA1101" s="76"/>
      <c r="BB1101" s="76"/>
      <c r="BC1101" s="76"/>
      <c r="BD1101" s="76">
        <f>+BC1101*30000</f>
        <v>0</v>
      </c>
      <c r="BE1101" s="76"/>
      <c r="BF1101" s="76"/>
      <c r="BG1101" s="76"/>
      <c r="BH1101" s="76"/>
      <c r="BI1101" s="76"/>
      <c r="BJ1101" s="76"/>
      <c r="BK1101" s="76"/>
      <c r="BL1101" s="76">
        <f>+BK1101*31500</f>
        <v>0</v>
      </c>
      <c r="BM1101" s="76"/>
      <c r="BN1101" s="76"/>
      <c r="BO1101" s="76"/>
      <c r="BP1101" s="76"/>
      <c r="BQ1101" s="76"/>
      <c r="BR1101" s="76"/>
      <c r="BS1101" s="76"/>
      <c r="BT1101" s="76"/>
      <c r="BU1101" s="76"/>
      <c r="BV1101" s="76"/>
      <c r="BW1101" s="76"/>
      <c r="BX1101" s="76"/>
      <c r="BY1101" s="76"/>
      <c r="BZ1101" s="76"/>
      <c r="CA1101" s="76"/>
      <c r="CB1101" s="76"/>
      <c r="CC1101" s="76"/>
      <c r="CD1101" s="76"/>
      <c r="CE1101" s="76"/>
      <c r="CF1101" s="76">
        <f>+CE1101*28000</f>
        <v>0</v>
      </c>
      <c r="CG1101" s="76"/>
      <c r="CH1101" s="76">
        <f>+CG1101*22500</f>
        <v>0</v>
      </c>
      <c r="CI1101" s="76"/>
      <c r="CJ1101" s="76">
        <f>+CI1101*26000</f>
        <v>0</v>
      </c>
      <c r="CK1101" s="76"/>
      <c r="CL1101" s="76"/>
      <c r="CM1101" s="76"/>
      <c r="CN1101" s="76">
        <f>+CM1101*22000</f>
        <v>0</v>
      </c>
      <c r="CO1101" s="76"/>
      <c r="CP1101" s="76">
        <f>+CO1101*46000</f>
        <v>0</v>
      </c>
      <c r="CQ1101" s="76"/>
      <c r="CR1101" s="76">
        <f>+CQ1101*49000</f>
        <v>0</v>
      </c>
      <c r="CS1101" s="76"/>
      <c r="CT1101" s="76"/>
      <c r="CU1101" s="56">
        <f>AN1101+AP1101+AR1101+AT1101+AV1101+AX1101+AZ1101+BB1101+BD1101+BF1101+BH1101+BJ1101+BL1101+BN1101+BP1101+BR1101+BT1101+BV1101+BX1101+BZ1101+CB1101+CD1101+CF1101+CH1101+CJ1101+CL1101+CN1101+CP1101+CR1101+CT1101</f>
        <v>0</v>
      </c>
      <c r="CV1101" s="76"/>
      <c r="CW1101" s="76">
        <f>+CV1101*1100</f>
        <v>0</v>
      </c>
      <c r="CX1101" s="76"/>
      <c r="CY1101" s="76">
        <f>+CX1101*106250</f>
        <v>0</v>
      </c>
      <c r="CZ1101" s="76"/>
      <c r="DA1101" s="76">
        <f>+CZ1101*34500</f>
        <v>0</v>
      </c>
      <c r="DB1101" s="76"/>
      <c r="DC1101" s="76">
        <f>+DB1101*25000</f>
        <v>0</v>
      </c>
      <c r="DD1101" s="219"/>
      <c r="DE1101" s="219"/>
      <c r="DF1101" s="166"/>
      <c r="DG1101" s="116"/>
      <c r="DH1101" s="117"/>
      <c r="DI1101" s="24"/>
      <c r="DJ1101" s="24"/>
      <c r="DK1101" s="24"/>
      <c r="DL1101" s="24"/>
      <c r="DM1101" s="24"/>
      <c r="DN1101" s="24"/>
      <c r="DO1101" s="24"/>
      <c r="DP1101" s="24"/>
      <c r="DQ1101" s="24"/>
      <c r="DR1101" s="24"/>
      <c r="DS1101" s="24"/>
      <c r="DT1101" s="24"/>
      <c r="DU1101" s="24"/>
    </row>
    <row r="1102" spans="1:125" s="8" customFormat="1" ht="60" x14ac:dyDescent="0.2">
      <c r="A1102" s="226">
        <v>41344</v>
      </c>
      <c r="B1102" s="225" t="s">
        <v>2847</v>
      </c>
      <c r="C1102" s="227" t="s">
        <v>1747</v>
      </c>
      <c r="D1102" s="227" t="s">
        <v>2859</v>
      </c>
      <c r="E1102" s="75" t="str">
        <f>VLOOKUP(B1102&amp;C1102,Divipola!$C$2:$F$1138,4,FALSE)</f>
        <v>68522</v>
      </c>
      <c r="F1102" s="87"/>
      <c r="G1102" s="87"/>
      <c r="H1102" s="87"/>
      <c r="I1102" s="87"/>
      <c r="J1102" s="87"/>
      <c r="K1102" s="87"/>
      <c r="L1102" s="87"/>
      <c r="M1102" s="87"/>
      <c r="N1102" s="87"/>
      <c r="O1102" s="87"/>
      <c r="P1102" s="87"/>
      <c r="Q1102" s="87"/>
      <c r="R1102" s="87"/>
      <c r="S1102" s="87"/>
      <c r="T1102" s="87"/>
      <c r="U1102" s="88"/>
      <c r="V1102" s="89"/>
      <c r="W1102" s="96">
        <v>0</v>
      </c>
      <c r="X1102" s="71">
        <f>CU1102</f>
        <v>0</v>
      </c>
      <c r="Y1102" s="71">
        <f>CY1102</f>
        <v>0</v>
      </c>
      <c r="Z1102" s="71">
        <f>DA1102+DC1102+DE1102</f>
        <v>0</v>
      </c>
      <c r="AA1102" s="71">
        <f>CW1102</f>
        <v>0</v>
      </c>
      <c r="AB1102" s="71"/>
      <c r="AC1102" s="71">
        <v>0</v>
      </c>
      <c r="AD1102" s="71">
        <f>W1102+X1102+Y1102+Z1102+AA1102+AB1102+AC1102</f>
        <v>0</v>
      </c>
      <c r="AE1102" s="72">
        <v>0</v>
      </c>
      <c r="AF1102" s="5"/>
      <c r="AG1102" s="6"/>
      <c r="AH1102" s="27" t="s">
        <v>3392</v>
      </c>
      <c r="AI1102" s="44" t="s">
        <v>3393</v>
      </c>
      <c r="AJ1102" s="26"/>
      <c r="AK1102" s="5"/>
      <c r="AL1102" s="82" t="s">
        <v>3925</v>
      </c>
      <c r="AM1102" s="76"/>
      <c r="AN1102" s="76"/>
      <c r="AO1102" s="76"/>
      <c r="AP1102" s="76"/>
      <c r="AQ1102" s="76"/>
      <c r="AR1102" s="76"/>
      <c r="AS1102" s="76"/>
      <c r="AT1102" s="76"/>
      <c r="AU1102" s="76"/>
      <c r="AV1102" s="76"/>
      <c r="AW1102" s="76"/>
      <c r="AX1102" s="76">
        <f>+AW1102*600000</f>
        <v>0</v>
      </c>
      <c r="AY1102" s="76"/>
      <c r="AZ1102" s="76">
        <f>+AY1102*70000</f>
        <v>0</v>
      </c>
      <c r="BA1102" s="76"/>
      <c r="BB1102" s="76"/>
      <c r="BC1102" s="76"/>
      <c r="BD1102" s="76">
        <f>+BC1102*30000</f>
        <v>0</v>
      </c>
      <c r="BE1102" s="76"/>
      <c r="BF1102" s="76"/>
      <c r="BG1102" s="76"/>
      <c r="BH1102" s="76"/>
      <c r="BI1102" s="76"/>
      <c r="BJ1102" s="76"/>
      <c r="BK1102" s="76"/>
      <c r="BL1102" s="76">
        <f>+BK1102*31500</f>
        <v>0</v>
      </c>
      <c r="BM1102" s="76"/>
      <c r="BN1102" s="76"/>
      <c r="BO1102" s="76"/>
      <c r="BP1102" s="76"/>
      <c r="BQ1102" s="76"/>
      <c r="BR1102" s="76"/>
      <c r="BS1102" s="76"/>
      <c r="BT1102" s="76"/>
      <c r="BU1102" s="76"/>
      <c r="BV1102" s="76"/>
      <c r="BW1102" s="76"/>
      <c r="BX1102" s="76"/>
      <c r="BY1102" s="76"/>
      <c r="BZ1102" s="76"/>
      <c r="CA1102" s="76"/>
      <c r="CB1102" s="76"/>
      <c r="CC1102" s="76"/>
      <c r="CD1102" s="76"/>
      <c r="CE1102" s="76"/>
      <c r="CF1102" s="76">
        <f>+CE1102*28000</f>
        <v>0</v>
      </c>
      <c r="CG1102" s="76"/>
      <c r="CH1102" s="76">
        <f>+CG1102*22500</f>
        <v>0</v>
      </c>
      <c r="CI1102" s="76"/>
      <c r="CJ1102" s="76">
        <f>+CI1102*26000</f>
        <v>0</v>
      </c>
      <c r="CK1102" s="76"/>
      <c r="CL1102" s="76"/>
      <c r="CM1102" s="76"/>
      <c r="CN1102" s="76">
        <f>+CM1102*22000</f>
        <v>0</v>
      </c>
      <c r="CO1102" s="76"/>
      <c r="CP1102" s="76">
        <f>+CO1102*46000</f>
        <v>0</v>
      </c>
      <c r="CQ1102" s="76"/>
      <c r="CR1102" s="76">
        <f>+CQ1102*49000</f>
        <v>0</v>
      </c>
      <c r="CS1102" s="76"/>
      <c r="CT1102" s="76"/>
      <c r="CU1102" s="56">
        <f>AN1102+AP1102+AR1102+AT1102+AV1102+AX1102+AZ1102+BB1102+BD1102+BF1102+BH1102+BJ1102+BL1102+BN1102+BP1102+BR1102+BT1102+BV1102+BX1102+BZ1102+CB1102+CD1102+CF1102+CH1102+CJ1102+CL1102+CN1102+CP1102+CR1102+CT1102</f>
        <v>0</v>
      </c>
      <c r="CV1102" s="76"/>
      <c r="CW1102" s="76">
        <f>+CV1102*1100</f>
        <v>0</v>
      </c>
      <c r="CX1102" s="76"/>
      <c r="CY1102" s="76">
        <f>+CX1102*106250</f>
        <v>0</v>
      </c>
      <c r="CZ1102" s="76"/>
      <c r="DA1102" s="76">
        <f>+CZ1102*34500</f>
        <v>0</v>
      </c>
      <c r="DB1102" s="76"/>
      <c r="DC1102" s="76">
        <f>+DB1102*25000</f>
        <v>0</v>
      </c>
      <c r="DD1102" s="219"/>
      <c r="DE1102" s="219"/>
      <c r="DF1102" s="166"/>
      <c r="DG1102" s="116"/>
      <c r="DH1102" s="117"/>
      <c r="DI1102" s="24"/>
      <c r="DJ1102" s="24"/>
      <c r="DK1102" s="24"/>
      <c r="DL1102" s="24"/>
      <c r="DM1102" s="24"/>
      <c r="DN1102" s="24"/>
      <c r="DO1102" s="24"/>
      <c r="DP1102" s="24"/>
      <c r="DQ1102" s="24"/>
      <c r="DR1102" s="24"/>
      <c r="DS1102" s="24"/>
      <c r="DT1102" s="24"/>
      <c r="DU1102" s="24"/>
    </row>
    <row r="1103" spans="1:125" s="8" customFormat="1" ht="120" x14ac:dyDescent="0.2">
      <c r="A1103" s="226">
        <v>41344</v>
      </c>
      <c r="B1103" s="225" t="s">
        <v>2848</v>
      </c>
      <c r="C1103" s="227" t="s">
        <v>2755</v>
      </c>
      <c r="D1103" s="227" t="s">
        <v>2142</v>
      </c>
      <c r="E1103" s="75" t="str">
        <f>VLOOKUP(B1103&amp;C1103,Divipola!$C$2:$F$1138,4,FALSE)</f>
        <v>73001</v>
      </c>
      <c r="F1103" s="87"/>
      <c r="G1103" s="87"/>
      <c r="H1103" s="87"/>
      <c r="I1103" s="87"/>
      <c r="J1103" s="87"/>
      <c r="K1103" s="87"/>
      <c r="L1103" s="87"/>
      <c r="M1103" s="87"/>
      <c r="N1103" s="87"/>
      <c r="O1103" s="87"/>
      <c r="P1103" s="87"/>
      <c r="Q1103" s="87"/>
      <c r="R1103" s="87"/>
      <c r="S1103" s="87"/>
      <c r="T1103" s="87"/>
      <c r="U1103" s="88"/>
      <c r="V1103" s="89"/>
      <c r="W1103" s="96">
        <v>0</v>
      </c>
      <c r="X1103" s="71">
        <f>CU1103</f>
        <v>0</v>
      </c>
      <c r="Y1103" s="71">
        <f>CY1103</f>
        <v>0</v>
      </c>
      <c r="Z1103" s="71">
        <f>DA1103+DC1103+DE1103</f>
        <v>0</v>
      </c>
      <c r="AA1103" s="71">
        <f>CW1103</f>
        <v>0</v>
      </c>
      <c r="AB1103" s="71"/>
      <c r="AC1103" s="71">
        <v>0</v>
      </c>
      <c r="AD1103" s="71">
        <f>W1103+X1103+Y1103+Z1103+AA1103+AB1103+AC1103</f>
        <v>0</v>
      </c>
      <c r="AE1103" s="72">
        <v>0</v>
      </c>
      <c r="AF1103" s="5"/>
      <c r="AG1103" s="6"/>
      <c r="AH1103" s="27" t="s">
        <v>3392</v>
      </c>
      <c r="AI1103" s="44" t="s">
        <v>3393</v>
      </c>
      <c r="AJ1103" s="26"/>
      <c r="AK1103" s="5"/>
      <c r="AL1103" s="82" t="s">
        <v>3886</v>
      </c>
      <c r="AM1103" s="76"/>
      <c r="AN1103" s="76"/>
      <c r="AO1103" s="76"/>
      <c r="AP1103" s="76"/>
      <c r="AQ1103" s="76"/>
      <c r="AR1103" s="76"/>
      <c r="AS1103" s="76"/>
      <c r="AT1103" s="76"/>
      <c r="AU1103" s="76"/>
      <c r="AV1103" s="76"/>
      <c r="AW1103" s="76"/>
      <c r="AX1103" s="76">
        <f>+AW1103*600000</f>
        <v>0</v>
      </c>
      <c r="AY1103" s="76"/>
      <c r="AZ1103" s="76">
        <f>+AY1103*70000</f>
        <v>0</v>
      </c>
      <c r="BA1103" s="76"/>
      <c r="BB1103" s="76"/>
      <c r="BC1103" s="76"/>
      <c r="BD1103" s="76">
        <f>+BC1103*30000</f>
        <v>0</v>
      </c>
      <c r="BE1103" s="76"/>
      <c r="BF1103" s="76"/>
      <c r="BG1103" s="76"/>
      <c r="BH1103" s="76"/>
      <c r="BI1103" s="76"/>
      <c r="BJ1103" s="76"/>
      <c r="BK1103" s="76"/>
      <c r="BL1103" s="76">
        <f>+BK1103*31500</f>
        <v>0</v>
      </c>
      <c r="BM1103" s="76"/>
      <c r="BN1103" s="76"/>
      <c r="BO1103" s="76"/>
      <c r="BP1103" s="76"/>
      <c r="BQ1103" s="76"/>
      <c r="BR1103" s="76"/>
      <c r="BS1103" s="76"/>
      <c r="BT1103" s="76"/>
      <c r="BU1103" s="76"/>
      <c r="BV1103" s="76"/>
      <c r="BW1103" s="76"/>
      <c r="BX1103" s="76"/>
      <c r="BY1103" s="76"/>
      <c r="BZ1103" s="76"/>
      <c r="CA1103" s="76"/>
      <c r="CB1103" s="76"/>
      <c r="CC1103" s="76"/>
      <c r="CD1103" s="76"/>
      <c r="CE1103" s="76"/>
      <c r="CF1103" s="76">
        <f>+CE1103*28000</f>
        <v>0</v>
      </c>
      <c r="CG1103" s="76"/>
      <c r="CH1103" s="76">
        <f>+CG1103*22500</f>
        <v>0</v>
      </c>
      <c r="CI1103" s="76"/>
      <c r="CJ1103" s="76">
        <f>+CI1103*26000</f>
        <v>0</v>
      </c>
      <c r="CK1103" s="76"/>
      <c r="CL1103" s="76"/>
      <c r="CM1103" s="76"/>
      <c r="CN1103" s="76">
        <f>+CM1103*22000</f>
        <v>0</v>
      </c>
      <c r="CO1103" s="76"/>
      <c r="CP1103" s="76">
        <f>+CO1103*46000</f>
        <v>0</v>
      </c>
      <c r="CQ1103" s="76"/>
      <c r="CR1103" s="76">
        <f>+CQ1103*49000</f>
        <v>0</v>
      </c>
      <c r="CS1103" s="76"/>
      <c r="CT1103" s="76"/>
      <c r="CU1103" s="56">
        <f>AN1103+AP1103+AR1103+AT1103+AV1103+AX1103+AZ1103+BB1103+BD1103+BF1103+BH1103+BJ1103+BL1103+BN1103+BP1103+BR1103+BT1103+BV1103+BX1103+BZ1103+CB1103+CD1103+CF1103+CH1103+CJ1103+CL1103+CN1103+CP1103+CR1103+CT1103</f>
        <v>0</v>
      </c>
      <c r="CV1103" s="76"/>
      <c r="CW1103" s="76">
        <f>+CV1103*1100</f>
        <v>0</v>
      </c>
      <c r="CX1103" s="76"/>
      <c r="CY1103" s="76">
        <f>+CX1103*106250</f>
        <v>0</v>
      </c>
      <c r="CZ1103" s="76"/>
      <c r="DA1103" s="76">
        <f>+CZ1103*34500</f>
        <v>0</v>
      </c>
      <c r="DB1103" s="76"/>
      <c r="DC1103" s="76">
        <f>+DB1103*25000</f>
        <v>0</v>
      </c>
      <c r="DD1103" s="219"/>
      <c r="DE1103" s="219"/>
      <c r="DF1103" s="166"/>
      <c r="DG1103" s="116"/>
      <c r="DH1103" s="117"/>
      <c r="DI1103" s="24"/>
      <c r="DJ1103" s="24"/>
      <c r="DK1103" s="24"/>
      <c r="DL1103" s="24"/>
      <c r="DM1103" s="24"/>
      <c r="DN1103" s="24"/>
      <c r="DO1103" s="24"/>
      <c r="DP1103" s="24"/>
      <c r="DQ1103" s="24"/>
      <c r="DR1103" s="24"/>
      <c r="DS1103" s="24"/>
      <c r="DT1103" s="24"/>
      <c r="DU1103" s="24"/>
    </row>
    <row r="1104" spans="1:125" s="8" customFormat="1" ht="84" x14ac:dyDescent="0.2">
      <c r="A1104" s="226">
        <v>41344</v>
      </c>
      <c r="B1104" s="225" t="s">
        <v>2848</v>
      </c>
      <c r="C1104" s="227" t="s">
        <v>1887</v>
      </c>
      <c r="D1104" s="81" t="s">
        <v>2846</v>
      </c>
      <c r="E1104" s="75" t="str">
        <f>VLOOKUP(B1104&amp;C1104,Divipola!$C$2:$F$1138,4,FALSE)</f>
        <v>73443</v>
      </c>
      <c r="F1104" s="87"/>
      <c r="G1104" s="87"/>
      <c r="H1104" s="87"/>
      <c r="I1104" s="87"/>
      <c r="J1104" s="87"/>
      <c r="K1104" s="87"/>
      <c r="L1104" s="87"/>
      <c r="M1104" s="87"/>
      <c r="N1104" s="87"/>
      <c r="O1104" s="87"/>
      <c r="P1104" s="87"/>
      <c r="Q1104" s="87"/>
      <c r="R1104" s="87"/>
      <c r="S1104" s="87"/>
      <c r="T1104" s="87"/>
      <c r="U1104" s="88">
        <v>1</v>
      </c>
      <c r="V1104" s="89"/>
      <c r="W1104" s="96">
        <v>0</v>
      </c>
      <c r="X1104" s="71">
        <f>CU1104</f>
        <v>0</v>
      </c>
      <c r="Y1104" s="71">
        <f>CY1104</f>
        <v>0</v>
      </c>
      <c r="Z1104" s="71">
        <f>DA1104+DC1104+DE1104</f>
        <v>0</v>
      </c>
      <c r="AA1104" s="71">
        <f>CW1104</f>
        <v>0</v>
      </c>
      <c r="AB1104" s="71"/>
      <c r="AC1104" s="71">
        <v>0</v>
      </c>
      <c r="AD1104" s="71">
        <f>W1104+X1104+Y1104+Z1104+AA1104+AB1104+AC1104</f>
        <v>0</v>
      </c>
      <c r="AE1104" s="72">
        <v>0</v>
      </c>
      <c r="AF1104" s="5"/>
      <c r="AG1104" s="6"/>
      <c r="AH1104" s="27" t="s">
        <v>3392</v>
      </c>
      <c r="AI1104" s="44" t="s">
        <v>3393</v>
      </c>
      <c r="AJ1104" s="26"/>
      <c r="AK1104" s="5"/>
      <c r="AL1104" s="82" t="s">
        <v>3877</v>
      </c>
      <c r="AM1104" s="76"/>
      <c r="AN1104" s="76"/>
      <c r="AO1104" s="76"/>
      <c r="AP1104" s="76"/>
      <c r="AQ1104" s="76"/>
      <c r="AR1104" s="76"/>
      <c r="AS1104" s="76"/>
      <c r="AT1104" s="76"/>
      <c r="AU1104" s="76"/>
      <c r="AV1104" s="76"/>
      <c r="AW1104" s="76"/>
      <c r="AX1104" s="76">
        <f>+AW1104*600000</f>
        <v>0</v>
      </c>
      <c r="AY1104" s="76"/>
      <c r="AZ1104" s="76">
        <f>+AY1104*70000</f>
        <v>0</v>
      </c>
      <c r="BA1104" s="76"/>
      <c r="BB1104" s="76"/>
      <c r="BC1104" s="76"/>
      <c r="BD1104" s="76">
        <f>+BC1104*30000</f>
        <v>0</v>
      </c>
      <c r="BE1104" s="76"/>
      <c r="BF1104" s="76"/>
      <c r="BG1104" s="76"/>
      <c r="BH1104" s="76"/>
      <c r="BI1104" s="76"/>
      <c r="BJ1104" s="76"/>
      <c r="BK1104" s="76"/>
      <c r="BL1104" s="76">
        <f>+BK1104*31500</f>
        <v>0</v>
      </c>
      <c r="BM1104" s="76"/>
      <c r="BN1104" s="76"/>
      <c r="BO1104" s="76"/>
      <c r="BP1104" s="76"/>
      <c r="BQ1104" s="76"/>
      <c r="BR1104" s="76"/>
      <c r="BS1104" s="76"/>
      <c r="BT1104" s="76"/>
      <c r="BU1104" s="76"/>
      <c r="BV1104" s="76"/>
      <c r="BW1104" s="76"/>
      <c r="BX1104" s="76"/>
      <c r="BY1104" s="76"/>
      <c r="BZ1104" s="76"/>
      <c r="CA1104" s="76"/>
      <c r="CB1104" s="76"/>
      <c r="CC1104" s="76"/>
      <c r="CD1104" s="76"/>
      <c r="CE1104" s="76"/>
      <c r="CF1104" s="76">
        <f>+CE1104*28000</f>
        <v>0</v>
      </c>
      <c r="CG1104" s="76"/>
      <c r="CH1104" s="76">
        <f>+CG1104*22500</f>
        <v>0</v>
      </c>
      <c r="CI1104" s="76"/>
      <c r="CJ1104" s="76">
        <f>+CI1104*26000</f>
        <v>0</v>
      </c>
      <c r="CK1104" s="76"/>
      <c r="CL1104" s="76"/>
      <c r="CM1104" s="76"/>
      <c r="CN1104" s="76">
        <f>+CM1104*22000</f>
        <v>0</v>
      </c>
      <c r="CO1104" s="76"/>
      <c r="CP1104" s="76">
        <f>+CO1104*46000</f>
        <v>0</v>
      </c>
      <c r="CQ1104" s="76"/>
      <c r="CR1104" s="76">
        <f>+CQ1104*49000</f>
        <v>0</v>
      </c>
      <c r="CS1104" s="76"/>
      <c r="CT1104" s="76"/>
      <c r="CU1104" s="56">
        <f>AN1104+AP1104+AR1104+AT1104+AV1104+AX1104+AZ1104+BB1104+BD1104+BF1104+BH1104+BJ1104+BL1104+BN1104+BP1104+BR1104+BT1104+BV1104+BX1104+BZ1104+CB1104+CD1104+CF1104+CH1104+CJ1104+CL1104+CN1104+CP1104+CR1104+CT1104</f>
        <v>0</v>
      </c>
      <c r="CV1104" s="76"/>
      <c r="CW1104" s="76">
        <f>+CV1104*1100</f>
        <v>0</v>
      </c>
      <c r="CX1104" s="76"/>
      <c r="CY1104" s="76">
        <f>+CX1104*106250</f>
        <v>0</v>
      </c>
      <c r="CZ1104" s="76"/>
      <c r="DA1104" s="76">
        <f>+CZ1104*34500</f>
        <v>0</v>
      </c>
      <c r="DB1104" s="76"/>
      <c r="DC1104" s="76">
        <f>+DB1104*25000</f>
        <v>0</v>
      </c>
      <c r="DD1104" s="219"/>
      <c r="DE1104" s="219"/>
      <c r="DF1104" s="166"/>
      <c r="DG1104" s="116"/>
      <c r="DH1104" s="117"/>
      <c r="DI1104" s="24"/>
      <c r="DJ1104" s="24"/>
      <c r="DK1104" s="24"/>
      <c r="DL1104" s="24"/>
      <c r="DM1104" s="24"/>
      <c r="DN1104" s="24"/>
      <c r="DO1104" s="24"/>
      <c r="DP1104" s="24"/>
      <c r="DQ1104" s="24"/>
      <c r="DR1104" s="24"/>
      <c r="DS1104" s="24"/>
      <c r="DT1104" s="24"/>
      <c r="DU1104" s="24"/>
    </row>
    <row r="1105" spans="1:125" s="8" customFormat="1" ht="48" x14ac:dyDescent="0.2">
      <c r="A1105" s="226">
        <v>41344</v>
      </c>
      <c r="B1105" s="225" t="s">
        <v>2309</v>
      </c>
      <c r="C1105" s="227" t="s">
        <v>2310</v>
      </c>
      <c r="D1105" s="81" t="s">
        <v>2846</v>
      </c>
      <c r="E1105" s="75" t="str">
        <f>VLOOKUP(B1105&amp;C1105,Divipola!$C$2:$F$1138,4,FALSE)</f>
        <v>99001</v>
      </c>
      <c r="F1105" s="87"/>
      <c r="G1105" s="87"/>
      <c r="H1105" s="87"/>
      <c r="I1105" s="87"/>
      <c r="J1105" s="87"/>
      <c r="K1105" s="87"/>
      <c r="L1105" s="87"/>
      <c r="M1105" s="87"/>
      <c r="N1105" s="87"/>
      <c r="O1105" s="87"/>
      <c r="P1105" s="87"/>
      <c r="Q1105" s="87"/>
      <c r="R1105" s="87"/>
      <c r="S1105" s="87"/>
      <c r="T1105" s="87"/>
      <c r="U1105" s="88">
        <v>5</v>
      </c>
      <c r="V1105" s="89"/>
      <c r="W1105" s="96">
        <v>0</v>
      </c>
      <c r="X1105" s="71">
        <f>CU1105</f>
        <v>0</v>
      </c>
      <c r="Y1105" s="71">
        <f>CY1105</f>
        <v>0</v>
      </c>
      <c r="Z1105" s="71">
        <f>DA1105+DC1105+DE1105</f>
        <v>0</v>
      </c>
      <c r="AA1105" s="71">
        <f>CW1105</f>
        <v>0</v>
      </c>
      <c r="AB1105" s="71"/>
      <c r="AC1105" s="71">
        <v>0</v>
      </c>
      <c r="AD1105" s="71">
        <f>W1105+X1105+Y1105+Z1105+AA1105+AB1105+AC1105</f>
        <v>0</v>
      </c>
      <c r="AE1105" s="72">
        <v>0</v>
      </c>
      <c r="AF1105" s="5"/>
      <c r="AG1105" s="6"/>
      <c r="AH1105" s="27" t="s">
        <v>3392</v>
      </c>
      <c r="AI1105" s="44" t="s">
        <v>3393</v>
      </c>
      <c r="AJ1105" s="26"/>
      <c r="AK1105" s="5"/>
      <c r="AL1105" s="82" t="s">
        <v>3880</v>
      </c>
      <c r="AM1105" s="76"/>
      <c r="AN1105" s="76"/>
      <c r="AO1105" s="76"/>
      <c r="AP1105" s="76"/>
      <c r="AQ1105" s="76"/>
      <c r="AR1105" s="76"/>
      <c r="AS1105" s="76"/>
      <c r="AT1105" s="76"/>
      <c r="AU1105" s="76"/>
      <c r="AV1105" s="76"/>
      <c r="AW1105" s="76"/>
      <c r="AX1105" s="76">
        <f>+AW1105*600000</f>
        <v>0</v>
      </c>
      <c r="AY1105" s="76"/>
      <c r="AZ1105" s="76">
        <f>+AY1105*70000</f>
        <v>0</v>
      </c>
      <c r="BA1105" s="76"/>
      <c r="BB1105" s="76"/>
      <c r="BC1105" s="76"/>
      <c r="BD1105" s="76">
        <f>+BC1105*30000</f>
        <v>0</v>
      </c>
      <c r="BE1105" s="76"/>
      <c r="BF1105" s="76"/>
      <c r="BG1105" s="76"/>
      <c r="BH1105" s="76"/>
      <c r="BI1105" s="76"/>
      <c r="BJ1105" s="76"/>
      <c r="BK1105" s="76"/>
      <c r="BL1105" s="76">
        <f>+BK1105*31500</f>
        <v>0</v>
      </c>
      <c r="BM1105" s="76"/>
      <c r="BN1105" s="76"/>
      <c r="BO1105" s="76"/>
      <c r="BP1105" s="76"/>
      <c r="BQ1105" s="76"/>
      <c r="BR1105" s="76"/>
      <c r="BS1105" s="76"/>
      <c r="BT1105" s="76"/>
      <c r="BU1105" s="76"/>
      <c r="BV1105" s="76"/>
      <c r="BW1105" s="76"/>
      <c r="BX1105" s="76"/>
      <c r="BY1105" s="76"/>
      <c r="BZ1105" s="76"/>
      <c r="CA1105" s="76"/>
      <c r="CB1105" s="76"/>
      <c r="CC1105" s="76"/>
      <c r="CD1105" s="76"/>
      <c r="CE1105" s="76"/>
      <c r="CF1105" s="76">
        <f>+CE1105*28000</f>
        <v>0</v>
      </c>
      <c r="CG1105" s="76"/>
      <c r="CH1105" s="76">
        <f>+CG1105*22500</f>
        <v>0</v>
      </c>
      <c r="CI1105" s="76"/>
      <c r="CJ1105" s="76">
        <f>+CI1105*26000</f>
        <v>0</v>
      </c>
      <c r="CK1105" s="76"/>
      <c r="CL1105" s="76"/>
      <c r="CM1105" s="76"/>
      <c r="CN1105" s="76">
        <f>+CM1105*22000</f>
        <v>0</v>
      </c>
      <c r="CO1105" s="76"/>
      <c r="CP1105" s="76">
        <f>+CO1105*46000</f>
        <v>0</v>
      </c>
      <c r="CQ1105" s="76"/>
      <c r="CR1105" s="76">
        <f>+CQ1105*49000</f>
        <v>0</v>
      </c>
      <c r="CS1105" s="76"/>
      <c r="CT1105" s="76"/>
      <c r="CU1105" s="56">
        <f>AN1105+AP1105+AR1105+AT1105+AV1105+AX1105+AZ1105+BB1105+BD1105+BF1105+BH1105+BJ1105+BL1105+BN1105+BP1105+BR1105+BT1105+BV1105+BX1105+BZ1105+CB1105+CD1105+CF1105+CH1105+CJ1105+CL1105+CN1105+CP1105+CR1105+CT1105</f>
        <v>0</v>
      </c>
      <c r="CV1105" s="76"/>
      <c r="CW1105" s="76">
        <f>+CV1105*1100</f>
        <v>0</v>
      </c>
      <c r="CX1105" s="76"/>
      <c r="CY1105" s="76">
        <f>+CX1105*106250</f>
        <v>0</v>
      </c>
      <c r="CZ1105" s="76"/>
      <c r="DA1105" s="76">
        <f>+CZ1105*34500</f>
        <v>0</v>
      </c>
      <c r="DB1105" s="76"/>
      <c r="DC1105" s="76">
        <f>+DB1105*25000</f>
        <v>0</v>
      </c>
      <c r="DD1105" s="219"/>
      <c r="DE1105" s="219"/>
      <c r="DF1105" s="166"/>
      <c r="DG1105" s="116"/>
      <c r="DH1105" s="117"/>
      <c r="DI1105" s="24"/>
      <c r="DJ1105" s="24"/>
      <c r="DK1105" s="24"/>
      <c r="DL1105" s="24"/>
      <c r="DM1105" s="24"/>
      <c r="DN1105" s="24"/>
      <c r="DO1105" s="24"/>
      <c r="DP1105" s="24"/>
      <c r="DQ1105" s="24"/>
      <c r="DR1105" s="24"/>
      <c r="DS1105" s="24"/>
      <c r="DT1105" s="24"/>
      <c r="DU1105" s="24"/>
    </row>
    <row r="1106" spans="1:125" s="8" customFormat="1" ht="36" x14ac:dyDescent="0.2">
      <c r="A1106" s="77">
        <v>41345</v>
      </c>
      <c r="B1106" s="78" t="s">
        <v>2036</v>
      </c>
      <c r="C1106" s="75" t="s">
        <v>2036</v>
      </c>
      <c r="D1106" s="81" t="s">
        <v>2846</v>
      </c>
      <c r="E1106" s="75" t="str">
        <f>VLOOKUP(B1106&amp;C1106,Divipola!$C$2:$F$1138,4,FALSE)</f>
        <v>81001</v>
      </c>
      <c r="F1106" s="87"/>
      <c r="G1106" s="87"/>
      <c r="H1106" s="87"/>
      <c r="I1106" s="87"/>
      <c r="J1106" s="87"/>
      <c r="K1106" s="87"/>
      <c r="L1106" s="87"/>
      <c r="M1106" s="87"/>
      <c r="N1106" s="87"/>
      <c r="O1106" s="87"/>
      <c r="P1106" s="87"/>
      <c r="Q1106" s="87"/>
      <c r="R1106" s="87"/>
      <c r="S1106" s="87"/>
      <c r="T1106" s="87"/>
      <c r="U1106" s="87">
        <v>1</v>
      </c>
      <c r="V1106" s="89"/>
      <c r="W1106" s="96">
        <v>0</v>
      </c>
      <c r="X1106" s="71">
        <f>CU1106</f>
        <v>0</v>
      </c>
      <c r="Y1106" s="71">
        <f>CY1106</f>
        <v>0</v>
      </c>
      <c r="Z1106" s="71">
        <f>DA1106+DC1106+DE1106</f>
        <v>0</v>
      </c>
      <c r="AA1106" s="71">
        <f>CW1106</f>
        <v>0</v>
      </c>
      <c r="AB1106" s="71"/>
      <c r="AC1106" s="71">
        <v>0</v>
      </c>
      <c r="AD1106" s="71">
        <f>W1106+X1106+Y1106+Z1106+AA1106+AB1106+AC1106</f>
        <v>0</v>
      </c>
      <c r="AE1106" s="72">
        <v>0</v>
      </c>
      <c r="AF1106" s="5"/>
      <c r="AG1106" s="6"/>
      <c r="AH1106" s="27" t="s">
        <v>3392</v>
      </c>
      <c r="AI1106" s="44" t="s">
        <v>3393</v>
      </c>
      <c r="AJ1106" s="26"/>
      <c r="AK1106" s="5"/>
      <c r="AL1106" s="82" t="s">
        <v>3917</v>
      </c>
      <c r="AM1106" s="76"/>
      <c r="AN1106" s="76"/>
      <c r="AO1106" s="76"/>
      <c r="AP1106" s="76"/>
      <c r="AQ1106" s="76"/>
      <c r="AR1106" s="76"/>
      <c r="AS1106" s="76"/>
      <c r="AT1106" s="76"/>
      <c r="AU1106" s="76"/>
      <c r="AV1106" s="76"/>
      <c r="AW1106" s="76"/>
      <c r="AX1106" s="76">
        <f>+AW1106*600000</f>
        <v>0</v>
      </c>
      <c r="AY1106" s="76"/>
      <c r="AZ1106" s="76">
        <f>+AY1106*70000</f>
        <v>0</v>
      </c>
      <c r="BA1106" s="76"/>
      <c r="BB1106" s="76"/>
      <c r="BC1106" s="76"/>
      <c r="BD1106" s="76">
        <f>+BC1106*30000</f>
        <v>0</v>
      </c>
      <c r="BE1106" s="76"/>
      <c r="BF1106" s="76"/>
      <c r="BG1106" s="76"/>
      <c r="BH1106" s="76"/>
      <c r="BI1106" s="76"/>
      <c r="BJ1106" s="76"/>
      <c r="BK1106" s="76"/>
      <c r="BL1106" s="76">
        <f>+BK1106*31500</f>
        <v>0</v>
      </c>
      <c r="BM1106" s="76"/>
      <c r="BN1106" s="76"/>
      <c r="BO1106" s="76"/>
      <c r="BP1106" s="76"/>
      <c r="BQ1106" s="76"/>
      <c r="BR1106" s="76"/>
      <c r="BS1106" s="76"/>
      <c r="BT1106" s="76"/>
      <c r="BU1106" s="76"/>
      <c r="BV1106" s="76"/>
      <c r="BW1106" s="76"/>
      <c r="BX1106" s="76"/>
      <c r="BY1106" s="76"/>
      <c r="BZ1106" s="76"/>
      <c r="CA1106" s="76"/>
      <c r="CB1106" s="76"/>
      <c r="CC1106" s="76"/>
      <c r="CD1106" s="76"/>
      <c r="CE1106" s="76"/>
      <c r="CF1106" s="76">
        <f>+CE1106*28000</f>
        <v>0</v>
      </c>
      <c r="CG1106" s="76"/>
      <c r="CH1106" s="76">
        <f>+CG1106*22500</f>
        <v>0</v>
      </c>
      <c r="CI1106" s="76"/>
      <c r="CJ1106" s="76">
        <f>+CI1106*26000</f>
        <v>0</v>
      </c>
      <c r="CK1106" s="76"/>
      <c r="CL1106" s="76"/>
      <c r="CM1106" s="76"/>
      <c r="CN1106" s="76">
        <f>+CM1106*22000</f>
        <v>0</v>
      </c>
      <c r="CO1106" s="76"/>
      <c r="CP1106" s="76">
        <f>+CO1106*46000</f>
        <v>0</v>
      </c>
      <c r="CQ1106" s="76"/>
      <c r="CR1106" s="76">
        <f>+CQ1106*49000</f>
        <v>0</v>
      </c>
      <c r="CS1106" s="76"/>
      <c r="CT1106" s="76"/>
      <c r="CU1106" s="56">
        <f>AN1106+AP1106+AR1106+AT1106+AV1106+AX1106+AZ1106+BB1106+BD1106+BF1106+BH1106+BJ1106+BL1106+BN1106+BP1106+BR1106+BT1106+BV1106+BX1106+BZ1106+CB1106+CD1106+CF1106+CH1106+CJ1106+CL1106+CN1106+CP1106+CR1106+CT1106</f>
        <v>0</v>
      </c>
      <c r="CV1106" s="76"/>
      <c r="CW1106" s="76">
        <f>+CV1106*1100</f>
        <v>0</v>
      </c>
      <c r="CX1106" s="76"/>
      <c r="CY1106" s="76">
        <f>+CX1106*106250</f>
        <v>0</v>
      </c>
      <c r="CZ1106" s="76"/>
      <c r="DA1106" s="76">
        <f>+CZ1106*34500</f>
        <v>0</v>
      </c>
      <c r="DB1106" s="76"/>
      <c r="DC1106" s="76">
        <f>+DB1106*25000</f>
        <v>0</v>
      </c>
      <c r="DD1106" s="219"/>
      <c r="DE1106" s="219"/>
      <c r="DF1106" s="166"/>
      <c r="DG1106" s="116"/>
      <c r="DH1106" s="117"/>
      <c r="DI1106" s="24"/>
      <c r="DJ1106" s="24"/>
      <c r="DK1106" s="24"/>
      <c r="DL1106" s="24"/>
      <c r="DM1106" s="24"/>
      <c r="DN1106" s="24"/>
      <c r="DO1106" s="24"/>
      <c r="DP1106" s="24"/>
      <c r="DQ1106" s="24"/>
      <c r="DR1106" s="24"/>
      <c r="DS1106" s="24"/>
      <c r="DT1106" s="24"/>
      <c r="DU1106" s="24"/>
    </row>
    <row r="1107" spans="1:125" s="8" customFormat="1" ht="36" x14ac:dyDescent="0.2">
      <c r="A1107" s="77">
        <v>41345</v>
      </c>
      <c r="B1107" s="78" t="s">
        <v>2036</v>
      </c>
      <c r="C1107" s="83" t="s">
        <v>2036</v>
      </c>
      <c r="D1107" s="81" t="s">
        <v>2846</v>
      </c>
      <c r="E1107" s="75" t="str">
        <f>VLOOKUP(B1107&amp;C1107,Divipola!$C$2:$F$1138,4,FALSE)</f>
        <v>81001</v>
      </c>
      <c r="F1107" s="93"/>
      <c r="G1107" s="93"/>
      <c r="H1107" s="93"/>
      <c r="I1107" s="93"/>
      <c r="J1107" s="93"/>
      <c r="K1107" s="93"/>
      <c r="L1107" s="93"/>
      <c r="M1107" s="93"/>
      <c r="N1107" s="93"/>
      <c r="O1107" s="93"/>
      <c r="P1107" s="93"/>
      <c r="Q1107" s="93"/>
      <c r="R1107" s="93"/>
      <c r="S1107" s="93"/>
      <c r="T1107" s="93"/>
      <c r="U1107" s="93"/>
      <c r="V1107" s="89"/>
      <c r="W1107" s="96">
        <v>0</v>
      </c>
      <c r="X1107" s="71">
        <f>CU1107</f>
        <v>0</v>
      </c>
      <c r="Y1107" s="71">
        <f>CY1107</f>
        <v>0</v>
      </c>
      <c r="Z1107" s="71">
        <f>DA1107+DC1107+DE1107</f>
        <v>0</v>
      </c>
      <c r="AA1107" s="71">
        <f>CW1107</f>
        <v>0</v>
      </c>
      <c r="AB1107" s="71"/>
      <c r="AC1107" s="71">
        <v>0</v>
      </c>
      <c r="AD1107" s="71">
        <f>W1107+X1107+Y1107+Z1107+AA1107+AB1107+AC1107</f>
        <v>0</v>
      </c>
      <c r="AE1107" s="72">
        <v>0</v>
      </c>
      <c r="AF1107" s="5"/>
      <c r="AG1107" s="6"/>
      <c r="AH1107" s="27" t="s">
        <v>3392</v>
      </c>
      <c r="AI1107" s="44" t="s">
        <v>3393</v>
      </c>
      <c r="AJ1107" s="26"/>
      <c r="AK1107" s="5"/>
      <c r="AL1107" s="82" t="s">
        <v>3919</v>
      </c>
      <c r="AM1107" s="76"/>
      <c r="AN1107" s="76"/>
      <c r="AO1107" s="76"/>
      <c r="AP1107" s="76"/>
      <c r="AQ1107" s="76"/>
      <c r="AR1107" s="76"/>
      <c r="AS1107" s="76"/>
      <c r="AT1107" s="76"/>
      <c r="AU1107" s="76"/>
      <c r="AV1107" s="76"/>
      <c r="AW1107" s="76"/>
      <c r="AX1107" s="76">
        <f>+AW1107*600000</f>
        <v>0</v>
      </c>
      <c r="AY1107" s="76"/>
      <c r="AZ1107" s="76">
        <f>+AY1107*70000</f>
        <v>0</v>
      </c>
      <c r="BA1107" s="76"/>
      <c r="BB1107" s="76"/>
      <c r="BC1107" s="76"/>
      <c r="BD1107" s="76">
        <f>+BC1107*30000</f>
        <v>0</v>
      </c>
      <c r="BE1107" s="76"/>
      <c r="BF1107" s="76"/>
      <c r="BG1107" s="76"/>
      <c r="BH1107" s="76"/>
      <c r="BI1107" s="76"/>
      <c r="BJ1107" s="76"/>
      <c r="BK1107" s="76"/>
      <c r="BL1107" s="76">
        <f>+BK1107*31500</f>
        <v>0</v>
      </c>
      <c r="BM1107" s="76"/>
      <c r="BN1107" s="76"/>
      <c r="BO1107" s="76"/>
      <c r="BP1107" s="76"/>
      <c r="BQ1107" s="76"/>
      <c r="BR1107" s="76"/>
      <c r="BS1107" s="76"/>
      <c r="BT1107" s="76"/>
      <c r="BU1107" s="76"/>
      <c r="BV1107" s="76"/>
      <c r="BW1107" s="76"/>
      <c r="BX1107" s="76"/>
      <c r="BY1107" s="76"/>
      <c r="BZ1107" s="76"/>
      <c r="CA1107" s="76"/>
      <c r="CB1107" s="76"/>
      <c r="CC1107" s="76"/>
      <c r="CD1107" s="76"/>
      <c r="CE1107" s="76"/>
      <c r="CF1107" s="76">
        <f>+CE1107*28000</f>
        <v>0</v>
      </c>
      <c r="CG1107" s="76"/>
      <c r="CH1107" s="76">
        <f>+CG1107*22500</f>
        <v>0</v>
      </c>
      <c r="CI1107" s="76"/>
      <c r="CJ1107" s="76">
        <f>+CI1107*26000</f>
        <v>0</v>
      </c>
      <c r="CK1107" s="76"/>
      <c r="CL1107" s="76"/>
      <c r="CM1107" s="76"/>
      <c r="CN1107" s="76">
        <f>+CM1107*22000</f>
        <v>0</v>
      </c>
      <c r="CO1107" s="76"/>
      <c r="CP1107" s="76">
        <f>+CO1107*46000</f>
        <v>0</v>
      </c>
      <c r="CQ1107" s="76"/>
      <c r="CR1107" s="76">
        <f>+CQ1107*49000</f>
        <v>0</v>
      </c>
      <c r="CS1107" s="76"/>
      <c r="CT1107" s="76"/>
      <c r="CU1107" s="56">
        <f>AN1107+AP1107+AR1107+AT1107+AV1107+AX1107+AZ1107+BB1107+BD1107+BF1107+BH1107+BJ1107+BL1107+BN1107+BP1107+BR1107+BT1107+BV1107+BX1107+BZ1107+CB1107+CD1107+CF1107+CH1107+CJ1107+CL1107+CN1107+CP1107+CR1107+CT1107</f>
        <v>0</v>
      </c>
      <c r="CV1107" s="76"/>
      <c r="CW1107" s="76">
        <f>+CV1107*1100</f>
        <v>0</v>
      </c>
      <c r="CX1107" s="76"/>
      <c r="CY1107" s="76">
        <f>+CX1107*106250</f>
        <v>0</v>
      </c>
      <c r="CZ1107" s="76"/>
      <c r="DA1107" s="76">
        <f>+CZ1107*34500</f>
        <v>0</v>
      </c>
      <c r="DB1107" s="76"/>
      <c r="DC1107" s="76">
        <f>+DB1107*25000</f>
        <v>0</v>
      </c>
      <c r="DD1107" s="219"/>
      <c r="DE1107" s="219"/>
      <c r="DF1107" s="166"/>
      <c r="DG1107" s="116"/>
      <c r="DH1107" s="117"/>
      <c r="DI1107" s="24"/>
      <c r="DJ1107" s="24"/>
      <c r="DK1107" s="24"/>
      <c r="DL1107" s="24"/>
      <c r="DM1107" s="24"/>
      <c r="DN1107" s="24"/>
      <c r="DO1107" s="24"/>
      <c r="DP1107" s="24"/>
      <c r="DQ1107" s="24"/>
      <c r="DR1107" s="24"/>
      <c r="DS1107" s="24"/>
      <c r="DT1107" s="24"/>
      <c r="DU1107" s="24"/>
    </row>
    <row r="1108" spans="1:125" s="8" customFormat="1" ht="36" x14ac:dyDescent="0.2">
      <c r="A1108" s="77">
        <v>41345</v>
      </c>
      <c r="B1108" s="78" t="s">
        <v>2036</v>
      </c>
      <c r="C1108" s="75" t="s">
        <v>1374</v>
      </c>
      <c r="D1108" s="81" t="s">
        <v>2846</v>
      </c>
      <c r="E1108" s="75" t="str">
        <f>VLOOKUP(B1108&amp;C1108,Divipola!$C$2:$F$1138,4,FALSE)</f>
        <v>81065</v>
      </c>
      <c r="F1108" s="87"/>
      <c r="G1108" s="87"/>
      <c r="H1108" s="87"/>
      <c r="I1108" s="87"/>
      <c r="J1108" s="87"/>
      <c r="K1108" s="87"/>
      <c r="L1108" s="87"/>
      <c r="M1108" s="87"/>
      <c r="N1108" s="87"/>
      <c r="O1108" s="87"/>
      <c r="P1108" s="87"/>
      <c r="Q1108" s="87"/>
      <c r="R1108" s="87"/>
      <c r="S1108" s="87"/>
      <c r="T1108" s="87"/>
      <c r="U1108" s="88"/>
      <c r="V1108" s="89"/>
      <c r="W1108" s="96">
        <v>0</v>
      </c>
      <c r="X1108" s="71">
        <f>CU1108</f>
        <v>0</v>
      </c>
      <c r="Y1108" s="71">
        <f>CY1108</f>
        <v>0</v>
      </c>
      <c r="Z1108" s="71">
        <f>DA1108+DC1108+DE1108</f>
        <v>0</v>
      </c>
      <c r="AA1108" s="71">
        <f>CW1108</f>
        <v>0</v>
      </c>
      <c r="AB1108" s="71"/>
      <c r="AC1108" s="71">
        <v>0</v>
      </c>
      <c r="AD1108" s="71">
        <f>W1108+X1108+Y1108+Z1108+AA1108+AB1108+AC1108</f>
        <v>0</v>
      </c>
      <c r="AE1108" s="72">
        <v>0</v>
      </c>
      <c r="AF1108" s="5"/>
      <c r="AG1108" s="6"/>
      <c r="AH1108" s="27" t="s">
        <v>3392</v>
      </c>
      <c r="AI1108" s="44" t="s">
        <v>3393</v>
      </c>
      <c r="AJ1108" s="26"/>
      <c r="AK1108" s="5"/>
      <c r="AL1108" s="82" t="s">
        <v>3918</v>
      </c>
      <c r="AM1108" s="76"/>
      <c r="AN1108" s="76"/>
      <c r="AO1108" s="76"/>
      <c r="AP1108" s="76"/>
      <c r="AQ1108" s="76"/>
      <c r="AR1108" s="76"/>
      <c r="AS1108" s="76"/>
      <c r="AT1108" s="76"/>
      <c r="AU1108" s="76"/>
      <c r="AV1108" s="76"/>
      <c r="AW1108" s="76"/>
      <c r="AX1108" s="76">
        <f>+AW1108*600000</f>
        <v>0</v>
      </c>
      <c r="AY1108" s="76"/>
      <c r="AZ1108" s="76">
        <f>+AY1108*70000</f>
        <v>0</v>
      </c>
      <c r="BA1108" s="76"/>
      <c r="BB1108" s="76"/>
      <c r="BC1108" s="76"/>
      <c r="BD1108" s="76">
        <f>+BC1108*30000</f>
        <v>0</v>
      </c>
      <c r="BE1108" s="76"/>
      <c r="BF1108" s="76"/>
      <c r="BG1108" s="76"/>
      <c r="BH1108" s="76"/>
      <c r="BI1108" s="76"/>
      <c r="BJ1108" s="76"/>
      <c r="BK1108" s="76"/>
      <c r="BL1108" s="76">
        <f>+BK1108*31500</f>
        <v>0</v>
      </c>
      <c r="BM1108" s="76"/>
      <c r="BN1108" s="76"/>
      <c r="BO1108" s="76"/>
      <c r="BP1108" s="76"/>
      <c r="BQ1108" s="76"/>
      <c r="BR1108" s="76"/>
      <c r="BS1108" s="76"/>
      <c r="BT1108" s="76"/>
      <c r="BU1108" s="76"/>
      <c r="BV1108" s="76"/>
      <c r="BW1108" s="76"/>
      <c r="BX1108" s="76"/>
      <c r="BY1108" s="76"/>
      <c r="BZ1108" s="76"/>
      <c r="CA1108" s="76"/>
      <c r="CB1108" s="76"/>
      <c r="CC1108" s="76"/>
      <c r="CD1108" s="76"/>
      <c r="CE1108" s="76"/>
      <c r="CF1108" s="76">
        <f>+CE1108*28000</f>
        <v>0</v>
      </c>
      <c r="CG1108" s="76"/>
      <c r="CH1108" s="76">
        <f>+CG1108*22500</f>
        <v>0</v>
      </c>
      <c r="CI1108" s="76"/>
      <c r="CJ1108" s="76">
        <f>+CI1108*26000</f>
        <v>0</v>
      </c>
      <c r="CK1108" s="76"/>
      <c r="CL1108" s="76"/>
      <c r="CM1108" s="76"/>
      <c r="CN1108" s="76">
        <f>+CM1108*22000</f>
        <v>0</v>
      </c>
      <c r="CO1108" s="76"/>
      <c r="CP1108" s="76">
        <f>+CO1108*46000</f>
        <v>0</v>
      </c>
      <c r="CQ1108" s="76"/>
      <c r="CR1108" s="76">
        <f>+CQ1108*49000</f>
        <v>0</v>
      </c>
      <c r="CS1108" s="76"/>
      <c r="CT1108" s="76"/>
      <c r="CU1108" s="56">
        <f>AN1108+AP1108+AR1108+AT1108+AV1108+AX1108+AZ1108+BB1108+BD1108+BF1108+BH1108+BJ1108+BL1108+BN1108+BP1108+BR1108+BT1108+BV1108+BX1108+BZ1108+CB1108+CD1108+CF1108+CH1108+CJ1108+CL1108+CN1108+CP1108+CR1108+CT1108</f>
        <v>0</v>
      </c>
      <c r="CV1108" s="76"/>
      <c r="CW1108" s="76">
        <f>+CV1108*1100</f>
        <v>0</v>
      </c>
      <c r="CX1108" s="76"/>
      <c r="CY1108" s="76">
        <f>+CX1108*106250</f>
        <v>0</v>
      </c>
      <c r="CZ1108" s="76"/>
      <c r="DA1108" s="76">
        <f>+CZ1108*34500</f>
        <v>0</v>
      </c>
      <c r="DB1108" s="76"/>
      <c r="DC1108" s="76">
        <f>+DB1108*25000</f>
        <v>0</v>
      </c>
      <c r="DD1108" s="219"/>
      <c r="DE1108" s="219"/>
      <c r="DF1108" s="166"/>
      <c r="DG1108" s="116"/>
      <c r="DH1108" s="117"/>
      <c r="DI1108" s="24"/>
      <c r="DJ1108" s="24"/>
      <c r="DK1108" s="24"/>
      <c r="DL1108" s="24"/>
      <c r="DM1108" s="24"/>
      <c r="DN1108" s="24"/>
      <c r="DO1108" s="24"/>
      <c r="DP1108" s="24"/>
      <c r="DQ1108" s="24"/>
      <c r="DR1108" s="24"/>
      <c r="DS1108" s="24"/>
      <c r="DT1108" s="24"/>
      <c r="DU1108" s="24"/>
    </row>
    <row r="1109" spans="1:125" s="8" customFormat="1" ht="96" x14ac:dyDescent="0.2">
      <c r="A1109" s="77">
        <v>41345</v>
      </c>
      <c r="B1109" s="225" t="s">
        <v>529</v>
      </c>
      <c r="C1109" s="352" t="s">
        <v>529</v>
      </c>
      <c r="D1109" s="227" t="s">
        <v>2859</v>
      </c>
      <c r="E1109" s="75" t="str">
        <f>VLOOKUP(B1109&amp;C1109,Divipola!$C$2:$F$1138,4,FALSE)</f>
        <v>11001</v>
      </c>
      <c r="F1109" s="87"/>
      <c r="G1109" s="87">
        <v>1</v>
      </c>
      <c r="H1109" s="87"/>
      <c r="I1109" s="87">
        <v>11</v>
      </c>
      <c r="J1109" s="87">
        <v>3</v>
      </c>
      <c r="K1109" s="87"/>
      <c r="L1109" s="87">
        <v>1</v>
      </c>
      <c r="M1109" s="87"/>
      <c r="N1109" s="87"/>
      <c r="O1109" s="87"/>
      <c r="P1109" s="87"/>
      <c r="Q1109" s="87"/>
      <c r="R1109" s="87"/>
      <c r="S1109" s="87"/>
      <c r="T1109" s="87"/>
      <c r="U1109" s="88"/>
      <c r="V1109" s="89"/>
      <c r="W1109" s="96">
        <v>0</v>
      </c>
      <c r="X1109" s="71">
        <f>CU1109</f>
        <v>0</v>
      </c>
      <c r="Y1109" s="71">
        <f>CY1109</f>
        <v>0</v>
      </c>
      <c r="Z1109" s="71">
        <f>DA1109+DC1109+DE1109</f>
        <v>0</v>
      </c>
      <c r="AA1109" s="71">
        <f>CW1109</f>
        <v>0</v>
      </c>
      <c r="AB1109" s="71"/>
      <c r="AC1109" s="71">
        <v>0</v>
      </c>
      <c r="AD1109" s="71">
        <f>W1109+X1109+Y1109+Z1109+AA1109+AB1109+AC1109</f>
        <v>0</v>
      </c>
      <c r="AE1109" s="72">
        <v>0</v>
      </c>
      <c r="AF1109" s="5"/>
      <c r="AG1109" s="6"/>
      <c r="AH1109" s="27" t="s">
        <v>3392</v>
      </c>
      <c r="AI1109" s="44" t="s">
        <v>3393</v>
      </c>
      <c r="AJ1109" s="26"/>
      <c r="AK1109" s="5"/>
      <c r="AL1109" s="82" t="s">
        <v>3921</v>
      </c>
      <c r="AM1109" s="76"/>
      <c r="AN1109" s="76"/>
      <c r="AO1109" s="76"/>
      <c r="AP1109" s="76"/>
      <c r="AQ1109" s="76"/>
      <c r="AR1109" s="76"/>
      <c r="AS1109" s="76"/>
      <c r="AT1109" s="76"/>
      <c r="AU1109" s="76"/>
      <c r="AV1109" s="76"/>
      <c r="AW1109" s="76"/>
      <c r="AX1109" s="76">
        <f>+AW1109*600000</f>
        <v>0</v>
      </c>
      <c r="AY1109" s="76"/>
      <c r="AZ1109" s="76">
        <f>+AY1109*70000</f>
        <v>0</v>
      </c>
      <c r="BA1109" s="76"/>
      <c r="BB1109" s="76"/>
      <c r="BC1109" s="76"/>
      <c r="BD1109" s="76">
        <f>+BC1109*30000</f>
        <v>0</v>
      </c>
      <c r="BE1109" s="76"/>
      <c r="BF1109" s="76"/>
      <c r="BG1109" s="76"/>
      <c r="BH1109" s="76"/>
      <c r="BI1109" s="76"/>
      <c r="BJ1109" s="76"/>
      <c r="BK1109" s="76"/>
      <c r="BL1109" s="76">
        <f>+BK1109*31500</f>
        <v>0</v>
      </c>
      <c r="BM1109" s="76"/>
      <c r="BN1109" s="76"/>
      <c r="BO1109" s="76"/>
      <c r="BP1109" s="76"/>
      <c r="BQ1109" s="76"/>
      <c r="BR1109" s="76"/>
      <c r="BS1109" s="76"/>
      <c r="BT1109" s="76"/>
      <c r="BU1109" s="76"/>
      <c r="BV1109" s="76"/>
      <c r="BW1109" s="76"/>
      <c r="BX1109" s="76"/>
      <c r="BY1109" s="76"/>
      <c r="BZ1109" s="76"/>
      <c r="CA1109" s="76"/>
      <c r="CB1109" s="76"/>
      <c r="CC1109" s="76"/>
      <c r="CD1109" s="76"/>
      <c r="CE1109" s="76"/>
      <c r="CF1109" s="76">
        <f>+CE1109*28000</f>
        <v>0</v>
      </c>
      <c r="CG1109" s="76"/>
      <c r="CH1109" s="76">
        <f>+CG1109*22500</f>
        <v>0</v>
      </c>
      <c r="CI1109" s="76"/>
      <c r="CJ1109" s="76">
        <f>+CI1109*26000</f>
        <v>0</v>
      </c>
      <c r="CK1109" s="76"/>
      <c r="CL1109" s="76"/>
      <c r="CM1109" s="76"/>
      <c r="CN1109" s="76">
        <f>+CM1109*22000</f>
        <v>0</v>
      </c>
      <c r="CO1109" s="76"/>
      <c r="CP1109" s="76">
        <f>+CO1109*46000</f>
        <v>0</v>
      </c>
      <c r="CQ1109" s="76"/>
      <c r="CR1109" s="76">
        <f>+CQ1109*49000</f>
        <v>0</v>
      </c>
      <c r="CS1109" s="76"/>
      <c r="CT1109" s="76"/>
      <c r="CU1109" s="56">
        <f>AN1109+AP1109+AR1109+AT1109+AV1109+AX1109+AZ1109+BB1109+BD1109+BF1109+BH1109+BJ1109+BL1109+BN1109+BP1109+BR1109+BT1109+BV1109+BX1109+BZ1109+CB1109+CD1109+CF1109+CH1109+CJ1109+CL1109+CN1109+CP1109+CR1109+CT1109</f>
        <v>0</v>
      </c>
      <c r="CV1109" s="76"/>
      <c r="CW1109" s="76">
        <f>+CV1109*1100</f>
        <v>0</v>
      </c>
      <c r="CX1109" s="76"/>
      <c r="CY1109" s="76">
        <f>+CX1109*106250</f>
        <v>0</v>
      </c>
      <c r="CZ1109" s="76"/>
      <c r="DA1109" s="76">
        <f>+CZ1109*34500</f>
        <v>0</v>
      </c>
      <c r="DB1109" s="76"/>
      <c r="DC1109" s="76">
        <f>+DB1109*25000</f>
        <v>0</v>
      </c>
      <c r="DD1109" s="219"/>
      <c r="DE1109" s="219"/>
      <c r="DF1109" s="166"/>
      <c r="DG1109" s="116"/>
      <c r="DH1109" s="117"/>
      <c r="DI1109" s="24"/>
      <c r="DJ1109" s="24"/>
      <c r="DK1109" s="24"/>
      <c r="DL1109" s="24"/>
      <c r="DM1109" s="24"/>
      <c r="DN1109" s="24"/>
      <c r="DO1109" s="24"/>
      <c r="DP1109" s="24"/>
      <c r="DQ1109" s="24"/>
      <c r="DR1109" s="24"/>
      <c r="DS1109" s="24"/>
      <c r="DT1109" s="24"/>
      <c r="DU1109" s="24"/>
    </row>
    <row r="1110" spans="1:125" s="8" customFormat="1" ht="36" x14ac:dyDescent="0.2">
      <c r="A1110" s="77">
        <v>41345</v>
      </c>
      <c r="B1110" s="352" t="s">
        <v>529</v>
      </c>
      <c r="C1110" s="352" t="s">
        <v>529</v>
      </c>
      <c r="D1110" s="354" t="s">
        <v>2859</v>
      </c>
      <c r="E1110" s="75" t="str">
        <f>VLOOKUP(B1110&amp;C1110,Divipola!$C$2:$F$1138,4,FALSE)</f>
        <v>11001</v>
      </c>
      <c r="F1110" s="87"/>
      <c r="G1110" s="87"/>
      <c r="H1110" s="87"/>
      <c r="I1110" s="87"/>
      <c r="J1110" s="87"/>
      <c r="K1110" s="87"/>
      <c r="L1110" s="87"/>
      <c r="M1110" s="87"/>
      <c r="N1110" s="87"/>
      <c r="O1110" s="87"/>
      <c r="P1110" s="87"/>
      <c r="Q1110" s="87"/>
      <c r="R1110" s="87"/>
      <c r="S1110" s="87"/>
      <c r="T1110" s="87"/>
      <c r="U1110" s="88"/>
      <c r="V1110" s="89">
        <v>1</v>
      </c>
      <c r="W1110" s="96">
        <v>0</v>
      </c>
      <c r="X1110" s="71">
        <f>CU1110</f>
        <v>0</v>
      </c>
      <c r="Y1110" s="71">
        <f>CY1110</f>
        <v>0</v>
      </c>
      <c r="Z1110" s="71">
        <f>DA1110+DC1110+DE1110</f>
        <v>0</v>
      </c>
      <c r="AA1110" s="71">
        <f>CW1110</f>
        <v>0</v>
      </c>
      <c r="AB1110" s="71"/>
      <c r="AC1110" s="71">
        <v>0</v>
      </c>
      <c r="AD1110" s="71">
        <f>W1110+X1110+Y1110+Z1110+AA1110+AB1110+AC1110</f>
        <v>0</v>
      </c>
      <c r="AE1110" s="72">
        <v>0</v>
      </c>
      <c r="AF1110" s="5"/>
      <c r="AG1110" s="6"/>
      <c r="AH1110" s="27" t="s">
        <v>3392</v>
      </c>
      <c r="AI1110" s="44" t="s">
        <v>3393</v>
      </c>
      <c r="AJ1110" s="26"/>
      <c r="AK1110" s="5"/>
      <c r="AL1110" s="82" t="s">
        <v>3922</v>
      </c>
      <c r="AM1110" s="76"/>
      <c r="AN1110" s="76"/>
      <c r="AO1110" s="76"/>
      <c r="AP1110" s="76"/>
      <c r="AQ1110" s="76"/>
      <c r="AR1110" s="76"/>
      <c r="AS1110" s="76"/>
      <c r="AT1110" s="76"/>
      <c r="AU1110" s="76"/>
      <c r="AV1110" s="76"/>
      <c r="AW1110" s="76"/>
      <c r="AX1110" s="76">
        <f>+AW1110*600000</f>
        <v>0</v>
      </c>
      <c r="AY1110" s="76"/>
      <c r="AZ1110" s="76">
        <f>+AY1110*70000</f>
        <v>0</v>
      </c>
      <c r="BA1110" s="76"/>
      <c r="BB1110" s="76"/>
      <c r="BC1110" s="76"/>
      <c r="BD1110" s="76">
        <f>+BC1110*30000</f>
        <v>0</v>
      </c>
      <c r="BE1110" s="76"/>
      <c r="BF1110" s="76"/>
      <c r="BG1110" s="76"/>
      <c r="BH1110" s="76"/>
      <c r="BI1110" s="76"/>
      <c r="BJ1110" s="76"/>
      <c r="BK1110" s="76"/>
      <c r="BL1110" s="76">
        <f>+BK1110*31500</f>
        <v>0</v>
      </c>
      <c r="BM1110" s="76"/>
      <c r="BN1110" s="76"/>
      <c r="BO1110" s="76"/>
      <c r="BP1110" s="76"/>
      <c r="BQ1110" s="76"/>
      <c r="BR1110" s="76"/>
      <c r="BS1110" s="76"/>
      <c r="BT1110" s="76"/>
      <c r="BU1110" s="76"/>
      <c r="BV1110" s="76"/>
      <c r="BW1110" s="76"/>
      <c r="BX1110" s="76"/>
      <c r="BY1110" s="76"/>
      <c r="BZ1110" s="76"/>
      <c r="CA1110" s="76"/>
      <c r="CB1110" s="76"/>
      <c r="CC1110" s="76"/>
      <c r="CD1110" s="76"/>
      <c r="CE1110" s="76"/>
      <c r="CF1110" s="76">
        <f>+CE1110*28000</f>
        <v>0</v>
      </c>
      <c r="CG1110" s="76"/>
      <c r="CH1110" s="76">
        <f>+CG1110*22500</f>
        <v>0</v>
      </c>
      <c r="CI1110" s="76"/>
      <c r="CJ1110" s="76">
        <f>+CI1110*26000</f>
        <v>0</v>
      </c>
      <c r="CK1110" s="76"/>
      <c r="CL1110" s="76"/>
      <c r="CM1110" s="76"/>
      <c r="CN1110" s="76">
        <f>+CM1110*22000</f>
        <v>0</v>
      </c>
      <c r="CO1110" s="76"/>
      <c r="CP1110" s="76">
        <f>+CO1110*46000</f>
        <v>0</v>
      </c>
      <c r="CQ1110" s="76"/>
      <c r="CR1110" s="76">
        <f>+CQ1110*49000</f>
        <v>0</v>
      </c>
      <c r="CS1110" s="76"/>
      <c r="CT1110" s="76"/>
      <c r="CU1110" s="56">
        <f>AN1110+AP1110+AR1110+AT1110+AV1110+AX1110+AZ1110+BB1110+BD1110+BF1110+BH1110+BJ1110+BL1110+BN1110+BP1110+BR1110+BT1110+BV1110+BX1110+BZ1110+CB1110+CD1110+CF1110+CH1110+CJ1110+CL1110+CN1110+CP1110+CR1110+CT1110</f>
        <v>0</v>
      </c>
      <c r="CV1110" s="76"/>
      <c r="CW1110" s="76">
        <f>+CV1110*1100</f>
        <v>0</v>
      </c>
      <c r="CX1110" s="76"/>
      <c r="CY1110" s="76">
        <f>+CX1110*106250</f>
        <v>0</v>
      </c>
      <c r="CZ1110" s="76"/>
      <c r="DA1110" s="76">
        <f>+CZ1110*34500</f>
        <v>0</v>
      </c>
      <c r="DB1110" s="76"/>
      <c r="DC1110" s="76">
        <f>+DB1110*25000</f>
        <v>0</v>
      </c>
      <c r="DD1110" s="219"/>
      <c r="DE1110" s="219"/>
      <c r="DF1110" s="166"/>
      <c r="DG1110" s="116"/>
      <c r="DH1110" s="117"/>
      <c r="DI1110" s="24"/>
      <c r="DJ1110" s="24"/>
      <c r="DK1110" s="24"/>
      <c r="DL1110" s="24"/>
      <c r="DM1110" s="24"/>
      <c r="DN1110" s="24"/>
      <c r="DO1110" s="24"/>
      <c r="DP1110" s="24"/>
      <c r="DQ1110" s="24"/>
      <c r="DR1110" s="24"/>
      <c r="DS1110" s="24"/>
      <c r="DT1110" s="24"/>
      <c r="DU1110" s="24"/>
    </row>
    <row r="1111" spans="1:125" s="8" customFormat="1" ht="132" x14ac:dyDescent="0.2">
      <c r="A1111" s="226">
        <v>41345</v>
      </c>
      <c r="B1111" s="225" t="s">
        <v>2700</v>
      </c>
      <c r="C1111" s="227" t="s">
        <v>581</v>
      </c>
      <c r="D1111" s="81" t="s">
        <v>2846</v>
      </c>
      <c r="E1111" s="75" t="str">
        <f>VLOOKUP(B1111&amp;C1111,Divipola!$C$2:$F$1138,4,FALSE)</f>
        <v>15491</v>
      </c>
      <c r="F1111" s="87"/>
      <c r="G1111" s="87"/>
      <c r="H1111" s="87"/>
      <c r="I1111" s="87"/>
      <c r="J1111" s="87"/>
      <c r="K1111" s="87"/>
      <c r="L1111" s="87"/>
      <c r="M1111" s="87"/>
      <c r="N1111" s="87"/>
      <c r="O1111" s="87"/>
      <c r="P1111" s="87"/>
      <c r="Q1111" s="87"/>
      <c r="R1111" s="87"/>
      <c r="S1111" s="87"/>
      <c r="T1111" s="87"/>
      <c r="U1111" s="88">
        <v>12</v>
      </c>
      <c r="V1111" s="89"/>
      <c r="W1111" s="96">
        <v>0</v>
      </c>
      <c r="X1111" s="71">
        <f>CU1111</f>
        <v>0</v>
      </c>
      <c r="Y1111" s="71">
        <f>CY1111</f>
        <v>0</v>
      </c>
      <c r="Z1111" s="71">
        <f>DA1111+DC1111+DE1111</f>
        <v>0</v>
      </c>
      <c r="AA1111" s="71">
        <f>CW1111</f>
        <v>0</v>
      </c>
      <c r="AB1111" s="71"/>
      <c r="AC1111" s="71">
        <v>0</v>
      </c>
      <c r="AD1111" s="71">
        <f>W1111+X1111+Y1111+Z1111+AA1111+AB1111+AC1111</f>
        <v>0</v>
      </c>
      <c r="AE1111" s="72">
        <v>0</v>
      </c>
      <c r="AF1111" s="5"/>
      <c r="AG1111" s="6"/>
      <c r="AH1111" s="27" t="s">
        <v>3392</v>
      </c>
      <c r="AI1111" s="44" t="s">
        <v>3393</v>
      </c>
      <c r="AJ1111" s="26"/>
      <c r="AK1111" s="5"/>
      <c r="AL1111" s="82" t="s">
        <v>4010</v>
      </c>
      <c r="AM1111" s="76"/>
      <c r="AN1111" s="76"/>
      <c r="AO1111" s="76"/>
      <c r="AP1111" s="76"/>
      <c r="AQ1111" s="76"/>
      <c r="AR1111" s="76"/>
      <c r="AS1111" s="76"/>
      <c r="AT1111" s="76"/>
      <c r="AU1111" s="76"/>
      <c r="AV1111" s="76"/>
      <c r="AW1111" s="76"/>
      <c r="AX1111" s="76">
        <f>+AW1111*600000</f>
        <v>0</v>
      </c>
      <c r="AY1111" s="76"/>
      <c r="AZ1111" s="76">
        <f>+AY1111*70000</f>
        <v>0</v>
      </c>
      <c r="BA1111" s="76"/>
      <c r="BB1111" s="76"/>
      <c r="BC1111" s="76"/>
      <c r="BD1111" s="76">
        <f>+BC1111*30000</f>
        <v>0</v>
      </c>
      <c r="BE1111" s="76"/>
      <c r="BF1111" s="76"/>
      <c r="BG1111" s="76"/>
      <c r="BH1111" s="76"/>
      <c r="BI1111" s="76"/>
      <c r="BJ1111" s="76"/>
      <c r="BK1111" s="76"/>
      <c r="BL1111" s="76">
        <f>+BK1111*31500</f>
        <v>0</v>
      </c>
      <c r="BM1111" s="76"/>
      <c r="BN1111" s="76"/>
      <c r="BO1111" s="76"/>
      <c r="BP1111" s="76"/>
      <c r="BQ1111" s="76"/>
      <c r="BR1111" s="76"/>
      <c r="BS1111" s="76"/>
      <c r="BT1111" s="76"/>
      <c r="BU1111" s="76"/>
      <c r="BV1111" s="76"/>
      <c r="BW1111" s="76"/>
      <c r="BX1111" s="76"/>
      <c r="BY1111" s="76"/>
      <c r="BZ1111" s="76"/>
      <c r="CA1111" s="76"/>
      <c r="CB1111" s="76"/>
      <c r="CC1111" s="76"/>
      <c r="CD1111" s="76"/>
      <c r="CE1111" s="76"/>
      <c r="CF1111" s="76">
        <f>+CE1111*28000</f>
        <v>0</v>
      </c>
      <c r="CG1111" s="76"/>
      <c r="CH1111" s="76">
        <f>+CG1111*22500</f>
        <v>0</v>
      </c>
      <c r="CI1111" s="76"/>
      <c r="CJ1111" s="76">
        <f>+CI1111*26000</f>
        <v>0</v>
      </c>
      <c r="CK1111" s="76"/>
      <c r="CL1111" s="76"/>
      <c r="CM1111" s="76"/>
      <c r="CN1111" s="76">
        <f>+CM1111*22000</f>
        <v>0</v>
      </c>
      <c r="CO1111" s="76"/>
      <c r="CP1111" s="76">
        <f>+CO1111*46000</f>
        <v>0</v>
      </c>
      <c r="CQ1111" s="76"/>
      <c r="CR1111" s="76">
        <f>+CQ1111*49000</f>
        <v>0</v>
      </c>
      <c r="CS1111" s="76"/>
      <c r="CT1111" s="76"/>
      <c r="CU1111" s="56">
        <f>AN1111+AP1111+AR1111+AT1111+AV1111+AX1111+AZ1111+BB1111+BD1111+BF1111+BH1111+BJ1111+BL1111+BN1111+BP1111+BR1111+BT1111+BV1111+BX1111+BZ1111+CB1111+CD1111+CF1111+CH1111+CJ1111+CL1111+CN1111+CP1111+CR1111+CT1111</f>
        <v>0</v>
      </c>
      <c r="CV1111" s="76"/>
      <c r="CW1111" s="76">
        <f>+CV1111*1100</f>
        <v>0</v>
      </c>
      <c r="CX1111" s="76"/>
      <c r="CY1111" s="76">
        <f>+CX1111*106250</f>
        <v>0</v>
      </c>
      <c r="CZ1111" s="76"/>
      <c r="DA1111" s="76">
        <f>+CZ1111*34500</f>
        <v>0</v>
      </c>
      <c r="DB1111" s="76"/>
      <c r="DC1111" s="76">
        <f>+DB1111*25000</f>
        <v>0</v>
      </c>
      <c r="DD1111" s="219"/>
      <c r="DE1111" s="219"/>
      <c r="DF1111" s="166"/>
      <c r="DG1111" s="116"/>
      <c r="DH1111" s="117"/>
      <c r="DI1111" s="24"/>
      <c r="DJ1111" s="24"/>
      <c r="DK1111" s="24"/>
      <c r="DL1111" s="24"/>
      <c r="DM1111" s="24"/>
      <c r="DN1111" s="24"/>
      <c r="DO1111" s="24"/>
      <c r="DP1111" s="24"/>
      <c r="DQ1111" s="24"/>
      <c r="DR1111" s="24"/>
      <c r="DS1111" s="24"/>
      <c r="DT1111" s="24"/>
      <c r="DU1111" s="24"/>
    </row>
    <row r="1112" spans="1:125" s="8" customFormat="1" ht="108" x14ac:dyDescent="0.2">
      <c r="A1112" s="77">
        <v>41345</v>
      </c>
      <c r="B1112" s="225" t="s">
        <v>2087</v>
      </c>
      <c r="C1112" s="227" t="s">
        <v>787</v>
      </c>
      <c r="D1112" s="227" t="s">
        <v>3205</v>
      </c>
      <c r="E1112" s="75" t="str">
        <f>VLOOKUP(B1112&amp;C1112,Divipola!$C$2:$F$1138,4,FALSE)</f>
        <v>18029</v>
      </c>
      <c r="F1112" s="87"/>
      <c r="G1112" s="87"/>
      <c r="H1112" s="87"/>
      <c r="I1112" s="87"/>
      <c r="J1112" s="87"/>
      <c r="K1112" s="87"/>
      <c r="L1112" s="87"/>
      <c r="M1112" s="87"/>
      <c r="N1112" s="87">
        <v>1</v>
      </c>
      <c r="O1112" s="87"/>
      <c r="P1112" s="87"/>
      <c r="Q1112" s="87"/>
      <c r="R1112" s="87"/>
      <c r="S1112" s="87"/>
      <c r="T1112" s="87"/>
      <c r="U1112" s="88"/>
      <c r="V1112" s="89"/>
      <c r="W1112" s="96">
        <v>0</v>
      </c>
      <c r="X1112" s="71">
        <f>CU1112</f>
        <v>0</v>
      </c>
      <c r="Y1112" s="71">
        <f>CY1112</f>
        <v>0</v>
      </c>
      <c r="Z1112" s="71">
        <f>DA1112+DC1112+DE1112</f>
        <v>0</v>
      </c>
      <c r="AA1112" s="71">
        <f>CW1112</f>
        <v>0</v>
      </c>
      <c r="AB1112" s="71"/>
      <c r="AC1112" s="71">
        <v>0</v>
      </c>
      <c r="AD1112" s="71">
        <f>W1112+X1112+Y1112+Z1112+AA1112+AB1112+AC1112</f>
        <v>0</v>
      </c>
      <c r="AE1112" s="72">
        <v>0</v>
      </c>
      <c r="AF1112" s="5"/>
      <c r="AG1112" s="6"/>
      <c r="AH1112" s="27" t="s">
        <v>3392</v>
      </c>
      <c r="AI1112" s="44" t="s">
        <v>3393</v>
      </c>
      <c r="AJ1112" s="26"/>
      <c r="AK1112" s="5"/>
      <c r="AL1112" s="82" t="s">
        <v>3951</v>
      </c>
      <c r="AM1112" s="76"/>
      <c r="AN1112" s="76"/>
      <c r="AO1112" s="76"/>
      <c r="AP1112" s="76"/>
      <c r="AQ1112" s="76"/>
      <c r="AR1112" s="76"/>
      <c r="AS1112" s="76"/>
      <c r="AT1112" s="76"/>
      <c r="AU1112" s="76"/>
      <c r="AV1112" s="76"/>
      <c r="AW1112" s="76"/>
      <c r="AX1112" s="76">
        <f>+AW1112*600000</f>
        <v>0</v>
      </c>
      <c r="AY1112" s="76"/>
      <c r="AZ1112" s="76">
        <f>+AY1112*70000</f>
        <v>0</v>
      </c>
      <c r="BA1112" s="76"/>
      <c r="BB1112" s="76"/>
      <c r="BC1112" s="76"/>
      <c r="BD1112" s="76">
        <f>+BC1112*30000</f>
        <v>0</v>
      </c>
      <c r="BE1112" s="76"/>
      <c r="BF1112" s="76"/>
      <c r="BG1112" s="76"/>
      <c r="BH1112" s="76"/>
      <c r="BI1112" s="76"/>
      <c r="BJ1112" s="76"/>
      <c r="BK1112" s="76"/>
      <c r="BL1112" s="76">
        <f>+BK1112*31500</f>
        <v>0</v>
      </c>
      <c r="BM1112" s="76"/>
      <c r="BN1112" s="76"/>
      <c r="BO1112" s="76"/>
      <c r="BP1112" s="76"/>
      <c r="BQ1112" s="76"/>
      <c r="BR1112" s="76"/>
      <c r="BS1112" s="76"/>
      <c r="BT1112" s="76"/>
      <c r="BU1112" s="76"/>
      <c r="BV1112" s="76"/>
      <c r="BW1112" s="76"/>
      <c r="BX1112" s="76"/>
      <c r="BY1112" s="76"/>
      <c r="BZ1112" s="76"/>
      <c r="CA1112" s="76"/>
      <c r="CB1112" s="76"/>
      <c r="CC1112" s="76"/>
      <c r="CD1112" s="76"/>
      <c r="CE1112" s="76"/>
      <c r="CF1112" s="76">
        <f>+CE1112*28000</f>
        <v>0</v>
      </c>
      <c r="CG1112" s="76"/>
      <c r="CH1112" s="76">
        <f>+CG1112*22500</f>
        <v>0</v>
      </c>
      <c r="CI1112" s="76"/>
      <c r="CJ1112" s="76">
        <f>+CI1112*26000</f>
        <v>0</v>
      </c>
      <c r="CK1112" s="76"/>
      <c r="CL1112" s="76"/>
      <c r="CM1112" s="76"/>
      <c r="CN1112" s="76">
        <f>+CM1112*22000</f>
        <v>0</v>
      </c>
      <c r="CO1112" s="76"/>
      <c r="CP1112" s="76">
        <f>+CO1112*46000</f>
        <v>0</v>
      </c>
      <c r="CQ1112" s="76"/>
      <c r="CR1112" s="76">
        <f>+CQ1112*49000</f>
        <v>0</v>
      </c>
      <c r="CS1112" s="76"/>
      <c r="CT1112" s="76"/>
      <c r="CU1112" s="56">
        <f>AN1112+AP1112+AR1112+AT1112+AV1112+AX1112+AZ1112+BB1112+BD1112+BF1112+BH1112+BJ1112+BL1112+BN1112+BP1112+BR1112+BT1112+BV1112+BX1112+BZ1112+CB1112+CD1112+CF1112+CH1112+CJ1112+CL1112+CN1112+CP1112+CR1112+CT1112</f>
        <v>0</v>
      </c>
      <c r="CV1112" s="76"/>
      <c r="CW1112" s="76">
        <f>+CV1112*1100</f>
        <v>0</v>
      </c>
      <c r="CX1112" s="76"/>
      <c r="CY1112" s="76">
        <f>+CX1112*106250</f>
        <v>0</v>
      </c>
      <c r="CZ1112" s="76"/>
      <c r="DA1112" s="76">
        <f>+CZ1112*34500</f>
        <v>0</v>
      </c>
      <c r="DB1112" s="76"/>
      <c r="DC1112" s="76">
        <f>+DB1112*25000</f>
        <v>0</v>
      </c>
      <c r="DD1112" s="219"/>
      <c r="DE1112" s="219"/>
      <c r="DF1112" s="166"/>
      <c r="DG1112" s="116"/>
      <c r="DH1112" s="117"/>
      <c r="DI1112" s="24"/>
      <c r="DJ1112" s="24"/>
      <c r="DK1112" s="24"/>
      <c r="DL1112" s="24"/>
      <c r="DM1112" s="24"/>
      <c r="DN1112" s="24"/>
      <c r="DO1112" s="24"/>
      <c r="DP1112" s="24"/>
      <c r="DQ1112" s="24"/>
      <c r="DR1112" s="24"/>
      <c r="DS1112" s="24"/>
      <c r="DT1112" s="24"/>
      <c r="DU1112" s="24"/>
    </row>
    <row r="1113" spans="1:125" s="8" customFormat="1" ht="36" x14ac:dyDescent="0.2">
      <c r="A1113" s="5">
        <v>41345</v>
      </c>
      <c r="B1113" s="84" t="s">
        <v>2855</v>
      </c>
      <c r="C1113" s="338" t="s">
        <v>2782</v>
      </c>
      <c r="D1113" s="81" t="s">
        <v>2846</v>
      </c>
      <c r="E1113" s="75" t="str">
        <f>VLOOKUP(B1113&amp;C1113,Divipola!$C$2:$F$1138,4,FALSE)</f>
        <v>20787</v>
      </c>
      <c r="F1113" s="89"/>
      <c r="G1113" s="89"/>
      <c r="H1113" s="89"/>
      <c r="I1113" s="89"/>
      <c r="J1113" s="89"/>
      <c r="K1113" s="89"/>
      <c r="L1113" s="89"/>
      <c r="M1113" s="89"/>
      <c r="N1113" s="89"/>
      <c r="O1113" s="89"/>
      <c r="P1113" s="89"/>
      <c r="Q1113" s="89"/>
      <c r="R1113" s="89"/>
      <c r="S1113" s="89"/>
      <c r="T1113" s="89"/>
      <c r="U1113" s="89"/>
      <c r="V1113" s="89"/>
      <c r="W1113" s="96">
        <v>0</v>
      </c>
      <c r="X1113" s="71">
        <f>CU1113</f>
        <v>0</v>
      </c>
      <c r="Y1113" s="71">
        <f>CY1113</f>
        <v>0</v>
      </c>
      <c r="Z1113" s="71">
        <f>DA1113+DC1113+DE1113</f>
        <v>0</v>
      </c>
      <c r="AA1113" s="71">
        <f>CW1113</f>
        <v>0</v>
      </c>
      <c r="AB1113" s="71"/>
      <c r="AC1113" s="71">
        <v>0</v>
      </c>
      <c r="AD1113" s="71">
        <f>W1113+X1113+Y1113+Z1113+AA1113+AB1113+AC1113</f>
        <v>0</v>
      </c>
      <c r="AE1113" s="72">
        <v>0</v>
      </c>
      <c r="AF1113" s="5"/>
      <c r="AG1113" s="6"/>
      <c r="AH1113" s="27" t="s">
        <v>3392</v>
      </c>
      <c r="AI1113" s="44" t="s">
        <v>3393</v>
      </c>
      <c r="AJ1113" s="26"/>
      <c r="AK1113" s="5"/>
      <c r="AL1113" s="82" t="s">
        <v>3920</v>
      </c>
      <c r="AM1113" s="76"/>
      <c r="AN1113" s="76"/>
      <c r="AO1113" s="76"/>
      <c r="AP1113" s="76"/>
      <c r="AQ1113" s="76"/>
      <c r="AR1113" s="76"/>
      <c r="AS1113" s="76"/>
      <c r="AT1113" s="76"/>
      <c r="AU1113" s="76"/>
      <c r="AV1113" s="76"/>
      <c r="AW1113" s="76"/>
      <c r="AX1113" s="76">
        <f>+AW1113*600000</f>
        <v>0</v>
      </c>
      <c r="AY1113" s="76"/>
      <c r="AZ1113" s="76">
        <f>+AY1113*70000</f>
        <v>0</v>
      </c>
      <c r="BA1113" s="76"/>
      <c r="BB1113" s="76"/>
      <c r="BC1113" s="76"/>
      <c r="BD1113" s="76">
        <f>+BC1113*30000</f>
        <v>0</v>
      </c>
      <c r="BE1113" s="76"/>
      <c r="BF1113" s="76"/>
      <c r="BG1113" s="76"/>
      <c r="BH1113" s="76"/>
      <c r="BI1113" s="76"/>
      <c r="BJ1113" s="76"/>
      <c r="BK1113" s="76"/>
      <c r="BL1113" s="76">
        <f>+BK1113*31500</f>
        <v>0</v>
      </c>
      <c r="BM1113" s="76"/>
      <c r="BN1113" s="76"/>
      <c r="BO1113" s="76"/>
      <c r="BP1113" s="76"/>
      <c r="BQ1113" s="76"/>
      <c r="BR1113" s="76"/>
      <c r="BS1113" s="76"/>
      <c r="BT1113" s="76"/>
      <c r="BU1113" s="76"/>
      <c r="BV1113" s="76"/>
      <c r="BW1113" s="76"/>
      <c r="BX1113" s="76"/>
      <c r="BY1113" s="76"/>
      <c r="BZ1113" s="76"/>
      <c r="CA1113" s="76"/>
      <c r="CB1113" s="76"/>
      <c r="CC1113" s="76"/>
      <c r="CD1113" s="76"/>
      <c r="CE1113" s="76"/>
      <c r="CF1113" s="76">
        <f>+CE1113*28000</f>
        <v>0</v>
      </c>
      <c r="CG1113" s="76"/>
      <c r="CH1113" s="76">
        <f>+CG1113*22500</f>
        <v>0</v>
      </c>
      <c r="CI1113" s="76"/>
      <c r="CJ1113" s="76">
        <f>+CI1113*26000</f>
        <v>0</v>
      </c>
      <c r="CK1113" s="76"/>
      <c r="CL1113" s="76"/>
      <c r="CM1113" s="76"/>
      <c r="CN1113" s="76">
        <f>+CM1113*22000</f>
        <v>0</v>
      </c>
      <c r="CO1113" s="76"/>
      <c r="CP1113" s="76">
        <f>+CO1113*46000</f>
        <v>0</v>
      </c>
      <c r="CQ1113" s="76"/>
      <c r="CR1113" s="76">
        <f>+CQ1113*49000</f>
        <v>0</v>
      </c>
      <c r="CS1113" s="76"/>
      <c r="CT1113" s="76"/>
      <c r="CU1113" s="56">
        <f>AN1113+AP1113+AR1113+AT1113+AV1113+AX1113+AZ1113+BB1113+BD1113+BF1113+BH1113+BJ1113+BL1113+BN1113+BP1113+BR1113+BT1113+BV1113+BX1113+BZ1113+CB1113+CD1113+CF1113+CH1113+CJ1113+CL1113+CN1113+CP1113+CR1113+CT1113</f>
        <v>0</v>
      </c>
      <c r="CV1113" s="76"/>
      <c r="CW1113" s="76">
        <f>+CV1113*1100</f>
        <v>0</v>
      </c>
      <c r="CX1113" s="76"/>
      <c r="CY1113" s="76">
        <f>+CX1113*106250</f>
        <v>0</v>
      </c>
      <c r="CZ1113" s="76"/>
      <c r="DA1113" s="76">
        <f>+CZ1113*34500</f>
        <v>0</v>
      </c>
      <c r="DB1113" s="76"/>
      <c r="DC1113" s="76">
        <f>+DB1113*25000</f>
        <v>0</v>
      </c>
      <c r="DD1113" s="219"/>
      <c r="DE1113" s="219"/>
      <c r="DF1113" s="166"/>
      <c r="DG1113" s="116"/>
      <c r="DH1113" s="117"/>
      <c r="DI1113" s="24"/>
      <c r="DJ1113" s="24"/>
      <c r="DK1113" s="24"/>
      <c r="DL1113" s="24"/>
      <c r="DM1113" s="24"/>
      <c r="DN1113" s="24"/>
      <c r="DO1113" s="24"/>
      <c r="DP1113" s="24"/>
      <c r="DQ1113" s="24"/>
      <c r="DR1113" s="24"/>
      <c r="DS1113" s="24"/>
      <c r="DT1113" s="24"/>
      <c r="DU1113" s="24"/>
    </row>
    <row r="1114" spans="1:125" s="8" customFormat="1" ht="24" x14ac:dyDescent="0.2">
      <c r="A1114" s="77">
        <v>41345</v>
      </c>
      <c r="B1114" s="78" t="s">
        <v>2718</v>
      </c>
      <c r="C1114" s="75" t="s">
        <v>2793</v>
      </c>
      <c r="D1114" s="75" t="s">
        <v>2882</v>
      </c>
      <c r="E1114" s="75" t="str">
        <f>VLOOKUP(B1114&amp;C1114,Divipola!$C$2:$F$1138,4,FALSE)</f>
        <v>23001</v>
      </c>
      <c r="F1114" s="87"/>
      <c r="G1114" s="87"/>
      <c r="H1114" s="87"/>
      <c r="I1114" s="87">
        <v>75</v>
      </c>
      <c r="J1114" s="87">
        <v>15</v>
      </c>
      <c r="K1114" s="87"/>
      <c r="L1114" s="87">
        <v>15</v>
      </c>
      <c r="M1114" s="87"/>
      <c r="N1114" s="87"/>
      <c r="O1114" s="87"/>
      <c r="P1114" s="87"/>
      <c r="Q1114" s="87"/>
      <c r="R1114" s="87"/>
      <c r="S1114" s="87"/>
      <c r="T1114" s="87"/>
      <c r="U1114" s="88"/>
      <c r="V1114" s="89"/>
      <c r="W1114" s="96">
        <v>0</v>
      </c>
      <c r="X1114" s="71">
        <f>CU1114</f>
        <v>0</v>
      </c>
      <c r="Y1114" s="71">
        <f>CY1114</f>
        <v>0</v>
      </c>
      <c r="Z1114" s="71">
        <f>DA1114+DC1114+DE1114</f>
        <v>0</v>
      </c>
      <c r="AA1114" s="71">
        <f>CW1114</f>
        <v>0</v>
      </c>
      <c r="AB1114" s="71"/>
      <c r="AC1114" s="71">
        <v>0</v>
      </c>
      <c r="AD1114" s="71">
        <f>W1114+X1114+Y1114+Z1114+AA1114+AB1114+AC1114</f>
        <v>0</v>
      </c>
      <c r="AE1114" s="72">
        <v>0</v>
      </c>
      <c r="AF1114" s="5"/>
      <c r="AG1114" s="6"/>
      <c r="AH1114" s="27" t="s">
        <v>3392</v>
      </c>
      <c r="AI1114" s="44" t="s">
        <v>3393</v>
      </c>
      <c r="AJ1114" s="26"/>
      <c r="AK1114" s="5"/>
      <c r="AL1114" s="82" t="s">
        <v>3933</v>
      </c>
      <c r="AM1114" s="76"/>
      <c r="AN1114" s="76"/>
      <c r="AO1114" s="76"/>
      <c r="AP1114" s="76"/>
      <c r="AQ1114" s="76"/>
      <c r="AR1114" s="76"/>
      <c r="AS1114" s="76"/>
      <c r="AT1114" s="76"/>
      <c r="AU1114" s="76"/>
      <c r="AV1114" s="76"/>
      <c r="AW1114" s="76"/>
      <c r="AX1114" s="76">
        <f>+AW1114*600000</f>
        <v>0</v>
      </c>
      <c r="AY1114" s="76"/>
      <c r="AZ1114" s="76">
        <f>+AY1114*70000</f>
        <v>0</v>
      </c>
      <c r="BA1114" s="76"/>
      <c r="BB1114" s="76"/>
      <c r="BC1114" s="76"/>
      <c r="BD1114" s="76">
        <f>+BC1114*30000</f>
        <v>0</v>
      </c>
      <c r="BE1114" s="76"/>
      <c r="BF1114" s="76"/>
      <c r="BG1114" s="76"/>
      <c r="BH1114" s="76"/>
      <c r="BI1114" s="76"/>
      <c r="BJ1114" s="76"/>
      <c r="BK1114" s="76"/>
      <c r="BL1114" s="76">
        <f>+BK1114*31500</f>
        <v>0</v>
      </c>
      <c r="BM1114" s="76"/>
      <c r="BN1114" s="76"/>
      <c r="BO1114" s="76"/>
      <c r="BP1114" s="76"/>
      <c r="BQ1114" s="76"/>
      <c r="BR1114" s="76"/>
      <c r="BS1114" s="76"/>
      <c r="BT1114" s="76"/>
      <c r="BU1114" s="76"/>
      <c r="BV1114" s="76"/>
      <c r="BW1114" s="76"/>
      <c r="BX1114" s="76"/>
      <c r="BY1114" s="76"/>
      <c r="BZ1114" s="76"/>
      <c r="CA1114" s="76"/>
      <c r="CB1114" s="76"/>
      <c r="CC1114" s="76"/>
      <c r="CD1114" s="76"/>
      <c r="CE1114" s="76"/>
      <c r="CF1114" s="76">
        <f>+CE1114*28000</f>
        <v>0</v>
      </c>
      <c r="CG1114" s="76"/>
      <c r="CH1114" s="76">
        <f>+CG1114*22500</f>
        <v>0</v>
      </c>
      <c r="CI1114" s="76"/>
      <c r="CJ1114" s="76">
        <f>+CI1114*26000</f>
        <v>0</v>
      </c>
      <c r="CK1114" s="76"/>
      <c r="CL1114" s="76"/>
      <c r="CM1114" s="76"/>
      <c r="CN1114" s="76">
        <f>+CM1114*22000</f>
        <v>0</v>
      </c>
      <c r="CO1114" s="76"/>
      <c r="CP1114" s="76">
        <f>+CO1114*46000</f>
        <v>0</v>
      </c>
      <c r="CQ1114" s="76"/>
      <c r="CR1114" s="76">
        <f>+CQ1114*49000</f>
        <v>0</v>
      </c>
      <c r="CS1114" s="76"/>
      <c r="CT1114" s="76"/>
      <c r="CU1114" s="56">
        <f>AN1114+AP1114+AR1114+AT1114+AV1114+AX1114+AZ1114+BB1114+BD1114+BF1114+BH1114+BJ1114+BL1114+BN1114+BP1114+BR1114+BT1114+BV1114+BX1114+BZ1114+CB1114+CD1114+CF1114+CH1114+CJ1114+CL1114+CN1114+CP1114+CR1114+CT1114</f>
        <v>0</v>
      </c>
      <c r="CV1114" s="76"/>
      <c r="CW1114" s="76">
        <f>+CV1114*1100</f>
        <v>0</v>
      </c>
      <c r="CX1114" s="76"/>
      <c r="CY1114" s="76">
        <f>+CX1114*106250</f>
        <v>0</v>
      </c>
      <c r="CZ1114" s="76"/>
      <c r="DA1114" s="76">
        <f>+CZ1114*34500</f>
        <v>0</v>
      </c>
      <c r="DB1114" s="76"/>
      <c r="DC1114" s="76">
        <f>+DB1114*25000</f>
        <v>0</v>
      </c>
      <c r="DD1114" s="219"/>
      <c r="DE1114" s="219"/>
      <c r="DF1114" s="166"/>
      <c r="DG1114" s="116"/>
      <c r="DH1114" s="117"/>
      <c r="DI1114" s="24"/>
      <c r="DJ1114" s="24"/>
      <c r="DK1114" s="24"/>
      <c r="DL1114" s="24"/>
      <c r="DM1114" s="24"/>
      <c r="DN1114" s="24"/>
      <c r="DO1114" s="24"/>
      <c r="DP1114" s="24"/>
      <c r="DQ1114" s="24"/>
      <c r="DR1114" s="24"/>
      <c r="DS1114" s="24"/>
      <c r="DT1114" s="24"/>
      <c r="DU1114" s="24"/>
    </row>
    <row r="1115" spans="1:125" s="8" customFormat="1" x14ac:dyDescent="0.2">
      <c r="A1115" s="77">
        <v>41345</v>
      </c>
      <c r="B1115" s="78" t="s">
        <v>2718</v>
      </c>
      <c r="C1115" s="75" t="s">
        <v>972</v>
      </c>
      <c r="D1115" s="75" t="s">
        <v>4084</v>
      </c>
      <c r="E1115" s="75" t="str">
        <f>VLOOKUP(B1115&amp;C1115,Divipola!$C$2:$F$1138,4,FALSE)</f>
        <v>23500</v>
      </c>
      <c r="F1115" s="163"/>
      <c r="G1115" s="163"/>
      <c r="H1115" s="163"/>
      <c r="I1115" s="163">
        <f>21*5</f>
        <v>105</v>
      </c>
      <c r="J1115" s="163">
        <v>21</v>
      </c>
      <c r="K1115" s="163"/>
      <c r="L1115" s="163">
        <v>21</v>
      </c>
      <c r="M1115" s="163"/>
      <c r="N1115" s="163"/>
      <c r="O1115" s="163"/>
      <c r="P1115" s="163"/>
      <c r="Q1115" s="163"/>
      <c r="R1115" s="163"/>
      <c r="S1115" s="163"/>
      <c r="T1115" s="163"/>
      <c r="U1115" s="163"/>
      <c r="V1115" s="134"/>
      <c r="W1115" s="96">
        <v>0</v>
      </c>
      <c r="X1115" s="71">
        <f>CU1115</f>
        <v>0</v>
      </c>
      <c r="Y1115" s="71">
        <f>CY1115</f>
        <v>0</v>
      </c>
      <c r="Z1115" s="71">
        <f>DA1115+DC1115+DE1115</f>
        <v>0</v>
      </c>
      <c r="AA1115" s="71">
        <f>CW1115</f>
        <v>0</v>
      </c>
      <c r="AB1115" s="71"/>
      <c r="AC1115" s="71">
        <v>0</v>
      </c>
      <c r="AD1115" s="71">
        <f>W1115+X1115+Y1115+Z1115+AA1115+AB1115+AC1115</f>
        <v>0</v>
      </c>
      <c r="AE1115" s="72">
        <v>0</v>
      </c>
      <c r="AF1115" s="5"/>
      <c r="AG1115" s="6"/>
      <c r="AH1115" s="27" t="s">
        <v>3392</v>
      </c>
      <c r="AI1115" s="44" t="s">
        <v>3393</v>
      </c>
      <c r="AJ1115" s="26"/>
      <c r="AK1115" s="5"/>
      <c r="AL1115" s="82" t="s">
        <v>4085</v>
      </c>
      <c r="AM1115" s="76"/>
      <c r="AN1115" s="76"/>
      <c r="AO1115" s="76"/>
      <c r="AP1115" s="76"/>
      <c r="AQ1115" s="76"/>
      <c r="AR1115" s="76"/>
      <c r="AS1115" s="76"/>
      <c r="AT1115" s="76"/>
      <c r="AU1115" s="76"/>
      <c r="AV1115" s="76"/>
      <c r="AW1115" s="76"/>
      <c r="AX1115" s="76">
        <f>+AW1115*600000</f>
        <v>0</v>
      </c>
      <c r="AY1115" s="76"/>
      <c r="AZ1115" s="76">
        <f>+AY1115*70000</f>
        <v>0</v>
      </c>
      <c r="BA1115" s="76"/>
      <c r="BB1115" s="76"/>
      <c r="BC1115" s="76"/>
      <c r="BD1115" s="76">
        <f>+BC1115*30000</f>
        <v>0</v>
      </c>
      <c r="BE1115" s="76"/>
      <c r="BF1115" s="76"/>
      <c r="BG1115" s="76"/>
      <c r="BH1115" s="76"/>
      <c r="BI1115" s="76"/>
      <c r="BJ1115" s="76"/>
      <c r="BK1115" s="76"/>
      <c r="BL1115" s="76">
        <f>+BK1115*31500</f>
        <v>0</v>
      </c>
      <c r="BM1115" s="76"/>
      <c r="BN1115" s="76"/>
      <c r="BO1115" s="76"/>
      <c r="BP1115" s="76"/>
      <c r="BQ1115" s="76"/>
      <c r="BR1115" s="76"/>
      <c r="BS1115" s="76"/>
      <c r="BT1115" s="76"/>
      <c r="BU1115" s="76"/>
      <c r="BV1115" s="76"/>
      <c r="BW1115" s="76"/>
      <c r="BX1115" s="76"/>
      <c r="BY1115" s="76"/>
      <c r="BZ1115" s="76"/>
      <c r="CA1115" s="76"/>
      <c r="CB1115" s="76"/>
      <c r="CC1115" s="76"/>
      <c r="CD1115" s="76"/>
      <c r="CE1115" s="76"/>
      <c r="CF1115" s="76">
        <f>+CE1115*28000</f>
        <v>0</v>
      </c>
      <c r="CG1115" s="76"/>
      <c r="CH1115" s="76">
        <f>+CG1115*22500</f>
        <v>0</v>
      </c>
      <c r="CI1115" s="76"/>
      <c r="CJ1115" s="76">
        <f>+CI1115*26000</f>
        <v>0</v>
      </c>
      <c r="CK1115" s="76"/>
      <c r="CL1115" s="76"/>
      <c r="CM1115" s="76"/>
      <c r="CN1115" s="76">
        <f>+CM1115*22000</f>
        <v>0</v>
      </c>
      <c r="CO1115" s="76"/>
      <c r="CP1115" s="76">
        <f>+CO1115*46000</f>
        <v>0</v>
      </c>
      <c r="CQ1115" s="76"/>
      <c r="CR1115" s="76">
        <f>+CQ1115*49000</f>
        <v>0</v>
      </c>
      <c r="CS1115" s="76"/>
      <c r="CT1115" s="76"/>
      <c r="CU1115" s="56">
        <f>AN1115+AP1115+AR1115+AT1115+AV1115+AX1115+AZ1115+BB1115+BD1115+BF1115+BH1115+BJ1115+BL1115+BN1115+BP1115+BR1115+BT1115+BV1115+BX1115+BZ1115+CB1115+CD1115+CF1115+CH1115+CJ1115+CL1115+CN1115+CP1115+CR1115+CT1115</f>
        <v>0</v>
      </c>
      <c r="CV1115" s="76"/>
      <c r="CW1115" s="76">
        <f>+CV1115*1100</f>
        <v>0</v>
      </c>
      <c r="CX1115" s="76"/>
      <c r="CY1115" s="76">
        <f>+CX1115*106250</f>
        <v>0</v>
      </c>
      <c r="CZ1115" s="76"/>
      <c r="DA1115" s="76">
        <f>+CZ1115*34500</f>
        <v>0</v>
      </c>
      <c r="DB1115" s="76"/>
      <c r="DC1115" s="76">
        <f>+DB1115*25000</f>
        <v>0</v>
      </c>
      <c r="DD1115" s="219"/>
      <c r="DE1115" s="219"/>
      <c r="DF1115" s="166"/>
      <c r="DG1115" s="116"/>
      <c r="DH1115" s="117"/>
      <c r="DI1115" s="24"/>
      <c r="DJ1115" s="24"/>
      <c r="DK1115" s="24"/>
      <c r="DL1115" s="24"/>
      <c r="DM1115" s="24"/>
      <c r="DN1115" s="24"/>
      <c r="DO1115" s="24"/>
      <c r="DP1115" s="24"/>
      <c r="DQ1115" s="24"/>
      <c r="DR1115" s="24"/>
      <c r="DS1115" s="24"/>
      <c r="DT1115" s="24"/>
      <c r="DU1115" s="24"/>
    </row>
    <row r="1116" spans="1:125" s="8" customFormat="1" ht="24" x14ac:dyDescent="0.2">
      <c r="A1116" s="226">
        <v>41345</v>
      </c>
      <c r="B1116" s="225" t="s">
        <v>2718</v>
      </c>
      <c r="C1116" s="227" t="s">
        <v>2794</v>
      </c>
      <c r="D1116" s="227" t="s">
        <v>2882</v>
      </c>
      <c r="E1116" s="75" t="str">
        <f>VLOOKUP(B1116&amp;C1116,Divipola!$C$2:$F$1138,4,FALSE)</f>
        <v>23678</v>
      </c>
      <c r="F1116" s="87"/>
      <c r="G1116" s="87"/>
      <c r="H1116" s="87"/>
      <c r="I1116" s="87"/>
      <c r="J1116" s="87"/>
      <c r="K1116" s="87"/>
      <c r="L1116" s="87"/>
      <c r="M1116" s="87"/>
      <c r="N1116" s="87"/>
      <c r="O1116" s="87"/>
      <c r="P1116" s="87"/>
      <c r="Q1116" s="87"/>
      <c r="R1116" s="87"/>
      <c r="S1116" s="87"/>
      <c r="T1116" s="87"/>
      <c r="U1116" s="88"/>
      <c r="V1116" s="89"/>
      <c r="W1116" s="96">
        <v>0</v>
      </c>
      <c r="X1116" s="71">
        <f>CU1116</f>
        <v>0</v>
      </c>
      <c r="Y1116" s="71">
        <f>CY1116</f>
        <v>0</v>
      </c>
      <c r="Z1116" s="71">
        <f>DA1116+DC1116+DE1116</f>
        <v>0</v>
      </c>
      <c r="AA1116" s="71">
        <f>CW1116</f>
        <v>0</v>
      </c>
      <c r="AB1116" s="71"/>
      <c r="AC1116" s="71">
        <v>0</v>
      </c>
      <c r="AD1116" s="71">
        <f>W1116+X1116+Y1116+Z1116+AA1116+AB1116+AC1116</f>
        <v>0</v>
      </c>
      <c r="AE1116" s="72">
        <v>0</v>
      </c>
      <c r="AF1116" s="5"/>
      <c r="AG1116" s="6"/>
      <c r="AH1116" s="27" t="s">
        <v>3392</v>
      </c>
      <c r="AI1116" s="44" t="s">
        <v>3393</v>
      </c>
      <c r="AJ1116" s="26"/>
      <c r="AK1116" s="5"/>
      <c r="AL1116" s="82" t="s">
        <v>3934</v>
      </c>
      <c r="AM1116" s="76"/>
      <c r="AN1116" s="76"/>
      <c r="AO1116" s="76"/>
      <c r="AP1116" s="76"/>
      <c r="AQ1116" s="76"/>
      <c r="AR1116" s="76"/>
      <c r="AS1116" s="76"/>
      <c r="AT1116" s="76"/>
      <c r="AU1116" s="76"/>
      <c r="AV1116" s="76"/>
      <c r="AW1116" s="76"/>
      <c r="AX1116" s="76">
        <f>+AW1116*600000</f>
        <v>0</v>
      </c>
      <c r="AY1116" s="76"/>
      <c r="AZ1116" s="76">
        <f>+AY1116*70000</f>
        <v>0</v>
      </c>
      <c r="BA1116" s="76"/>
      <c r="BB1116" s="76"/>
      <c r="BC1116" s="76"/>
      <c r="BD1116" s="76">
        <f>+BC1116*30000</f>
        <v>0</v>
      </c>
      <c r="BE1116" s="76"/>
      <c r="BF1116" s="76"/>
      <c r="BG1116" s="76"/>
      <c r="BH1116" s="76"/>
      <c r="BI1116" s="76"/>
      <c r="BJ1116" s="76"/>
      <c r="BK1116" s="76"/>
      <c r="BL1116" s="76">
        <f>+BK1116*31500</f>
        <v>0</v>
      </c>
      <c r="BM1116" s="76"/>
      <c r="BN1116" s="76"/>
      <c r="BO1116" s="76"/>
      <c r="BP1116" s="76"/>
      <c r="BQ1116" s="76"/>
      <c r="BR1116" s="76"/>
      <c r="BS1116" s="76"/>
      <c r="BT1116" s="76"/>
      <c r="BU1116" s="76"/>
      <c r="BV1116" s="76"/>
      <c r="BW1116" s="76"/>
      <c r="BX1116" s="76"/>
      <c r="BY1116" s="76"/>
      <c r="BZ1116" s="76"/>
      <c r="CA1116" s="76"/>
      <c r="CB1116" s="76"/>
      <c r="CC1116" s="76"/>
      <c r="CD1116" s="76"/>
      <c r="CE1116" s="76"/>
      <c r="CF1116" s="76">
        <f>+CE1116*28000</f>
        <v>0</v>
      </c>
      <c r="CG1116" s="76"/>
      <c r="CH1116" s="76">
        <f>+CG1116*22500</f>
        <v>0</v>
      </c>
      <c r="CI1116" s="76"/>
      <c r="CJ1116" s="76">
        <f>+CI1116*26000</f>
        <v>0</v>
      </c>
      <c r="CK1116" s="76"/>
      <c r="CL1116" s="76"/>
      <c r="CM1116" s="76"/>
      <c r="CN1116" s="76">
        <f>+CM1116*22000</f>
        <v>0</v>
      </c>
      <c r="CO1116" s="76"/>
      <c r="CP1116" s="76">
        <f>+CO1116*46000</f>
        <v>0</v>
      </c>
      <c r="CQ1116" s="76"/>
      <c r="CR1116" s="76">
        <f>+CQ1116*49000</f>
        <v>0</v>
      </c>
      <c r="CS1116" s="76"/>
      <c r="CT1116" s="76"/>
      <c r="CU1116" s="56">
        <f>AN1116+AP1116+AR1116+AT1116+AV1116+AX1116+AZ1116+BB1116+BD1116+BF1116+BH1116+BJ1116+BL1116+BN1116+BP1116+BR1116+BT1116+BV1116+BX1116+BZ1116+CB1116+CD1116+CF1116+CH1116+CJ1116+CL1116+CN1116+CP1116+CR1116+CT1116</f>
        <v>0</v>
      </c>
      <c r="CV1116" s="76"/>
      <c r="CW1116" s="76">
        <f>+CV1116*1100</f>
        <v>0</v>
      </c>
      <c r="CX1116" s="76"/>
      <c r="CY1116" s="76">
        <f>+CX1116*106250</f>
        <v>0</v>
      </c>
      <c r="CZ1116" s="76"/>
      <c r="DA1116" s="76">
        <f>+CZ1116*34500</f>
        <v>0</v>
      </c>
      <c r="DB1116" s="76"/>
      <c r="DC1116" s="76">
        <f>+DB1116*25000</f>
        <v>0</v>
      </c>
      <c r="DD1116" s="219"/>
      <c r="DE1116" s="219"/>
      <c r="DF1116" s="166"/>
      <c r="DG1116" s="116"/>
      <c r="DH1116" s="117"/>
      <c r="DI1116" s="24"/>
      <c r="DJ1116" s="24"/>
      <c r="DK1116" s="24"/>
      <c r="DL1116" s="24"/>
      <c r="DM1116" s="24"/>
      <c r="DN1116" s="24"/>
      <c r="DO1116" s="24"/>
      <c r="DP1116" s="24"/>
      <c r="DQ1116" s="24"/>
      <c r="DR1116" s="24"/>
      <c r="DS1116" s="24"/>
      <c r="DT1116" s="24"/>
      <c r="DU1116" s="24"/>
    </row>
    <row r="1117" spans="1:125" s="8" customFormat="1" ht="84" x14ac:dyDescent="0.2">
      <c r="A1117" s="77">
        <v>41345</v>
      </c>
      <c r="B1117" s="75" t="s">
        <v>2772</v>
      </c>
      <c r="C1117" s="75" t="s">
        <v>2792</v>
      </c>
      <c r="D1117" s="81" t="s">
        <v>2846</v>
      </c>
      <c r="E1117" s="75" t="str">
        <f>VLOOKUP(B1117&amp;C1117,Divipola!$C$2:$F$1138,4,FALSE)</f>
        <v>25154</v>
      </c>
      <c r="F1117" s="93"/>
      <c r="G1117" s="93"/>
      <c r="H1117" s="93"/>
      <c r="I1117" s="93"/>
      <c r="J1117" s="93"/>
      <c r="K1117" s="93"/>
      <c r="L1117" s="93"/>
      <c r="M1117" s="93"/>
      <c r="N1117" s="93"/>
      <c r="O1117" s="93"/>
      <c r="P1117" s="93"/>
      <c r="Q1117" s="93"/>
      <c r="R1117" s="93"/>
      <c r="S1117" s="93"/>
      <c r="T1117" s="93"/>
      <c r="U1117" s="93">
        <v>1</v>
      </c>
      <c r="V1117" s="93"/>
      <c r="W1117" s="96">
        <v>0</v>
      </c>
      <c r="X1117" s="71">
        <f>CU1117</f>
        <v>0</v>
      </c>
      <c r="Y1117" s="71">
        <f>CY1117</f>
        <v>0</v>
      </c>
      <c r="Z1117" s="71">
        <f>DA1117+DC1117+DE1117</f>
        <v>0</v>
      </c>
      <c r="AA1117" s="71">
        <f>CW1117</f>
        <v>0</v>
      </c>
      <c r="AB1117" s="71"/>
      <c r="AC1117" s="71">
        <v>0</v>
      </c>
      <c r="AD1117" s="71">
        <f>W1117+X1117+Y1117+Z1117+AA1117+AB1117+AC1117</f>
        <v>0</v>
      </c>
      <c r="AE1117" s="72">
        <v>0</v>
      </c>
      <c r="AF1117" s="5"/>
      <c r="AG1117" s="6"/>
      <c r="AH1117" s="27" t="s">
        <v>3392</v>
      </c>
      <c r="AI1117" s="44" t="s">
        <v>3393</v>
      </c>
      <c r="AJ1117" s="26"/>
      <c r="AK1117" s="5"/>
      <c r="AL1117" s="82" t="s">
        <v>3914</v>
      </c>
      <c r="AM1117" s="76"/>
      <c r="AN1117" s="76"/>
      <c r="AO1117" s="76"/>
      <c r="AP1117" s="76"/>
      <c r="AQ1117" s="76"/>
      <c r="AR1117" s="76"/>
      <c r="AS1117" s="76"/>
      <c r="AT1117" s="76"/>
      <c r="AU1117" s="76"/>
      <c r="AV1117" s="76"/>
      <c r="AW1117" s="76"/>
      <c r="AX1117" s="76">
        <f>+AW1117*600000</f>
        <v>0</v>
      </c>
      <c r="AY1117" s="76"/>
      <c r="AZ1117" s="76">
        <f>+AY1117*70000</f>
        <v>0</v>
      </c>
      <c r="BA1117" s="76"/>
      <c r="BB1117" s="76"/>
      <c r="BC1117" s="76"/>
      <c r="BD1117" s="76">
        <f>+BC1117*30000</f>
        <v>0</v>
      </c>
      <c r="BE1117" s="76"/>
      <c r="BF1117" s="76"/>
      <c r="BG1117" s="76"/>
      <c r="BH1117" s="76"/>
      <c r="BI1117" s="76"/>
      <c r="BJ1117" s="76"/>
      <c r="BK1117" s="76"/>
      <c r="BL1117" s="76">
        <f>+BK1117*31500</f>
        <v>0</v>
      </c>
      <c r="BM1117" s="76"/>
      <c r="BN1117" s="76"/>
      <c r="BO1117" s="76"/>
      <c r="BP1117" s="76"/>
      <c r="BQ1117" s="76"/>
      <c r="BR1117" s="76"/>
      <c r="BS1117" s="76"/>
      <c r="BT1117" s="76"/>
      <c r="BU1117" s="76"/>
      <c r="BV1117" s="76"/>
      <c r="BW1117" s="76"/>
      <c r="BX1117" s="76"/>
      <c r="BY1117" s="76"/>
      <c r="BZ1117" s="76"/>
      <c r="CA1117" s="76"/>
      <c r="CB1117" s="76"/>
      <c r="CC1117" s="76"/>
      <c r="CD1117" s="76"/>
      <c r="CE1117" s="76"/>
      <c r="CF1117" s="76">
        <f>+CE1117*28000</f>
        <v>0</v>
      </c>
      <c r="CG1117" s="76"/>
      <c r="CH1117" s="76">
        <f>+CG1117*22500</f>
        <v>0</v>
      </c>
      <c r="CI1117" s="76"/>
      <c r="CJ1117" s="76">
        <f>+CI1117*26000</f>
        <v>0</v>
      </c>
      <c r="CK1117" s="76"/>
      <c r="CL1117" s="76"/>
      <c r="CM1117" s="76"/>
      <c r="CN1117" s="76">
        <f>+CM1117*22000</f>
        <v>0</v>
      </c>
      <c r="CO1117" s="76"/>
      <c r="CP1117" s="76">
        <f>+CO1117*46000</f>
        <v>0</v>
      </c>
      <c r="CQ1117" s="76"/>
      <c r="CR1117" s="76">
        <f>+CQ1117*49000</f>
        <v>0</v>
      </c>
      <c r="CS1117" s="76"/>
      <c r="CT1117" s="76"/>
      <c r="CU1117" s="56">
        <f>AN1117+AP1117+AR1117+AT1117+AV1117+AX1117+AZ1117+BB1117+BD1117+BF1117+BH1117+BJ1117+BL1117+BN1117+BP1117+BR1117+BT1117+BV1117+BX1117+BZ1117+CB1117+CD1117+CF1117+CH1117+CJ1117+CL1117+CN1117+CP1117+CR1117+CT1117</f>
        <v>0</v>
      </c>
      <c r="CV1117" s="76"/>
      <c r="CW1117" s="76">
        <f>+CV1117*1100</f>
        <v>0</v>
      </c>
      <c r="CX1117" s="76"/>
      <c r="CY1117" s="76">
        <f>+CX1117*106250</f>
        <v>0</v>
      </c>
      <c r="CZ1117" s="76"/>
      <c r="DA1117" s="76">
        <f>+CZ1117*34500</f>
        <v>0</v>
      </c>
      <c r="DB1117" s="76"/>
      <c r="DC1117" s="76">
        <f>+DB1117*25000</f>
        <v>0</v>
      </c>
      <c r="DD1117" s="219"/>
      <c r="DE1117" s="219"/>
      <c r="DF1117" s="166"/>
      <c r="DG1117" s="116"/>
      <c r="DH1117" s="117"/>
      <c r="DI1117" s="24"/>
      <c r="DJ1117" s="24"/>
      <c r="DK1117" s="24"/>
      <c r="DL1117" s="24"/>
      <c r="DM1117" s="24"/>
      <c r="DN1117" s="24"/>
      <c r="DO1117" s="24"/>
      <c r="DP1117" s="24"/>
      <c r="DQ1117" s="24"/>
      <c r="DR1117" s="24"/>
      <c r="DS1117" s="24"/>
      <c r="DT1117" s="24"/>
      <c r="DU1117" s="24"/>
    </row>
    <row r="1118" spans="1:125" s="8" customFormat="1" ht="84" x14ac:dyDescent="0.2">
      <c r="A1118" s="77">
        <v>41345</v>
      </c>
      <c r="B1118" s="78" t="s">
        <v>2906</v>
      </c>
      <c r="C1118" s="75" t="s">
        <v>2773</v>
      </c>
      <c r="D1118" s="75" t="s">
        <v>3121</v>
      </c>
      <c r="E1118" s="75">
        <f>VLOOKUP(B1118&amp;C1118,Divipola!$C$2:$F$1138,4,FALSE)</f>
        <v>47</v>
      </c>
      <c r="F1118" s="163"/>
      <c r="G1118" s="163"/>
      <c r="H1118" s="163"/>
      <c r="I1118" s="163"/>
      <c r="J1118" s="163"/>
      <c r="K1118" s="163"/>
      <c r="L1118" s="163"/>
      <c r="M1118" s="163"/>
      <c r="N1118" s="163"/>
      <c r="O1118" s="163"/>
      <c r="P1118" s="163"/>
      <c r="Q1118" s="163"/>
      <c r="R1118" s="163"/>
      <c r="S1118" s="163"/>
      <c r="T1118" s="163"/>
      <c r="U1118" s="163"/>
      <c r="V1118" s="134"/>
      <c r="W1118" s="96">
        <v>0</v>
      </c>
      <c r="X1118" s="71">
        <f>CU1118</f>
        <v>0</v>
      </c>
      <c r="Y1118" s="71">
        <f>CY1118</f>
        <v>0</v>
      </c>
      <c r="Z1118" s="71">
        <f>DA1118+DC1118+DE1118</f>
        <v>0</v>
      </c>
      <c r="AA1118" s="71">
        <f>CW1118</f>
        <v>0</v>
      </c>
      <c r="AB1118" s="71">
        <v>166600000</v>
      </c>
      <c r="AC1118" s="71">
        <v>0</v>
      </c>
      <c r="AD1118" s="71">
        <f>W1118+X1118+Y1118+Z1118+AA1118+AB1118+AC1118</f>
        <v>166600000</v>
      </c>
      <c r="AE1118" s="72">
        <v>0</v>
      </c>
      <c r="AF1118" s="5"/>
      <c r="AG1118" s="6"/>
      <c r="AH1118" s="27" t="s">
        <v>3390</v>
      </c>
      <c r="AI1118" s="44" t="s">
        <v>3391</v>
      </c>
      <c r="AJ1118" s="26"/>
      <c r="AK1118" s="5"/>
      <c r="AL1118" s="82" t="s">
        <v>3875</v>
      </c>
      <c r="AM1118" s="76"/>
      <c r="AN1118" s="76"/>
      <c r="AO1118" s="76"/>
      <c r="AP1118" s="76"/>
      <c r="AQ1118" s="76"/>
      <c r="AR1118" s="76"/>
      <c r="AS1118" s="76"/>
      <c r="AT1118" s="76"/>
      <c r="AU1118" s="76"/>
      <c r="AV1118" s="76"/>
      <c r="AW1118" s="76"/>
      <c r="AX1118" s="76">
        <f>+AW1118*600000</f>
        <v>0</v>
      </c>
      <c r="AY1118" s="76"/>
      <c r="AZ1118" s="76">
        <f>+AY1118*70000</f>
        <v>0</v>
      </c>
      <c r="BA1118" s="76"/>
      <c r="BB1118" s="76"/>
      <c r="BC1118" s="76"/>
      <c r="BD1118" s="76">
        <f>+BC1118*30000</f>
        <v>0</v>
      </c>
      <c r="BE1118" s="76"/>
      <c r="BF1118" s="76"/>
      <c r="BG1118" s="76"/>
      <c r="BH1118" s="76"/>
      <c r="BI1118" s="76"/>
      <c r="BJ1118" s="76"/>
      <c r="BK1118" s="76"/>
      <c r="BL1118" s="76">
        <f>+BK1118*31500</f>
        <v>0</v>
      </c>
      <c r="BM1118" s="76"/>
      <c r="BN1118" s="76"/>
      <c r="BO1118" s="76"/>
      <c r="BP1118" s="76"/>
      <c r="BQ1118" s="76"/>
      <c r="BR1118" s="76"/>
      <c r="BS1118" s="76"/>
      <c r="BT1118" s="76"/>
      <c r="BU1118" s="76"/>
      <c r="BV1118" s="76"/>
      <c r="BW1118" s="76"/>
      <c r="BX1118" s="76"/>
      <c r="BY1118" s="76"/>
      <c r="BZ1118" s="76"/>
      <c r="CA1118" s="76"/>
      <c r="CB1118" s="76"/>
      <c r="CC1118" s="76"/>
      <c r="CD1118" s="76"/>
      <c r="CE1118" s="76"/>
      <c r="CF1118" s="76">
        <f>+CE1118*28000</f>
        <v>0</v>
      </c>
      <c r="CG1118" s="76"/>
      <c r="CH1118" s="76">
        <f>+CG1118*22500</f>
        <v>0</v>
      </c>
      <c r="CI1118" s="76"/>
      <c r="CJ1118" s="76">
        <f>+CI1118*26000</f>
        <v>0</v>
      </c>
      <c r="CK1118" s="76"/>
      <c r="CL1118" s="76"/>
      <c r="CM1118" s="76"/>
      <c r="CN1118" s="76">
        <f>+CM1118*22000</f>
        <v>0</v>
      </c>
      <c r="CO1118" s="76"/>
      <c r="CP1118" s="76">
        <f>+CO1118*46000</f>
        <v>0</v>
      </c>
      <c r="CQ1118" s="76"/>
      <c r="CR1118" s="76">
        <f>+CQ1118*49000</f>
        <v>0</v>
      </c>
      <c r="CS1118" s="76"/>
      <c r="CT1118" s="76"/>
      <c r="CU1118" s="56">
        <f>AN1118+AP1118+AR1118+AT1118+AV1118+AX1118+AZ1118+BB1118+BD1118+BF1118+BH1118+BJ1118+BL1118+BN1118+BP1118+BR1118+BT1118+BV1118+BX1118+BZ1118+CB1118+CD1118+CF1118+CH1118+CJ1118+CL1118+CN1118+CP1118+CR1118+CT1118</f>
        <v>0</v>
      </c>
      <c r="CV1118" s="76"/>
      <c r="CW1118" s="76">
        <f>+CV1118*1100</f>
        <v>0</v>
      </c>
      <c r="CX1118" s="76"/>
      <c r="CY1118" s="76">
        <f>+CX1118*106250</f>
        <v>0</v>
      </c>
      <c r="CZ1118" s="76"/>
      <c r="DA1118" s="76">
        <f>+CZ1118*34500</f>
        <v>0</v>
      </c>
      <c r="DB1118" s="76"/>
      <c r="DC1118" s="76">
        <f>+DB1118*25000</f>
        <v>0</v>
      </c>
      <c r="DD1118" s="219"/>
      <c r="DE1118" s="219"/>
      <c r="DF1118" s="166"/>
      <c r="DG1118" s="134" t="s">
        <v>3876</v>
      </c>
      <c r="DH1118" s="117"/>
      <c r="DI1118" s="24"/>
      <c r="DJ1118" s="24"/>
      <c r="DK1118" s="24"/>
      <c r="DL1118" s="24"/>
      <c r="DM1118" s="24"/>
      <c r="DN1118" s="24"/>
      <c r="DO1118" s="24"/>
      <c r="DP1118" s="24"/>
      <c r="DQ1118" s="24"/>
      <c r="DR1118" s="24"/>
      <c r="DS1118" s="24"/>
      <c r="DT1118" s="24"/>
      <c r="DU1118" s="24"/>
    </row>
    <row r="1119" spans="1:125" s="8" customFormat="1" ht="36" x14ac:dyDescent="0.2">
      <c r="A1119" s="226">
        <v>41345</v>
      </c>
      <c r="B1119" s="225" t="s">
        <v>2860</v>
      </c>
      <c r="C1119" s="227" t="s">
        <v>2776</v>
      </c>
      <c r="D1119" s="227" t="s">
        <v>2859</v>
      </c>
      <c r="E1119" s="75" t="str">
        <f>VLOOKUP(B1119&amp;C1119,Divipola!$C$2:$F$1138,4,FALSE)</f>
        <v>63001</v>
      </c>
      <c r="F1119" s="87"/>
      <c r="G1119" s="87">
        <v>2</v>
      </c>
      <c r="H1119" s="87"/>
      <c r="I1119" s="87">
        <v>5</v>
      </c>
      <c r="J1119" s="87">
        <v>1</v>
      </c>
      <c r="K1119" s="87">
        <v>1</v>
      </c>
      <c r="L1119" s="87"/>
      <c r="M1119" s="87"/>
      <c r="N1119" s="87"/>
      <c r="O1119" s="87"/>
      <c r="P1119" s="87"/>
      <c r="Q1119" s="87"/>
      <c r="R1119" s="87"/>
      <c r="S1119" s="87"/>
      <c r="T1119" s="87"/>
      <c r="U1119" s="88"/>
      <c r="V1119" s="89"/>
      <c r="W1119" s="96">
        <v>0</v>
      </c>
      <c r="X1119" s="71">
        <f>CU1119</f>
        <v>0</v>
      </c>
      <c r="Y1119" s="71">
        <f>CY1119</f>
        <v>0</v>
      </c>
      <c r="Z1119" s="71">
        <f>DA1119+DC1119+DE1119</f>
        <v>0</v>
      </c>
      <c r="AA1119" s="71">
        <f>CW1119</f>
        <v>0</v>
      </c>
      <c r="AB1119" s="71"/>
      <c r="AC1119" s="71">
        <v>0</v>
      </c>
      <c r="AD1119" s="71">
        <f>W1119+X1119+Y1119+Z1119+AA1119+AB1119+AC1119</f>
        <v>0</v>
      </c>
      <c r="AE1119" s="72">
        <v>0</v>
      </c>
      <c r="AF1119" s="5"/>
      <c r="AG1119" s="6"/>
      <c r="AH1119" s="27" t="s">
        <v>3392</v>
      </c>
      <c r="AI1119" s="44" t="s">
        <v>3393</v>
      </c>
      <c r="AJ1119" s="26"/>
      <c r="AK1119" s="5"/>
      <c r="AL1119" s="82" t="s">
        <v>3911</v>
      </c>
      <c r="AM1119" s="76"/>
      <c r="AN1119" s="76"/>
      <c r="AO1119" s="76"/>
      <c r="AP1119" s="76"/>
      <c r="AQ1119" s="76"/>
      <c r="AR1119" s="76"/>
      <c r="AS1119" s="76"/>
      <c r="AT1119" s="76"/>
      <c r="AU1119" s="76"/>
      <c r="AV1119" s="76"/>
      <c r="AW1119" s="76"/>
      <c r="AX1119" s="76">
        <f>+AW1119*600000</f>
        <v>0</v>
      </c>
      <c r="AY1119" s="76"/>
      <c r="AZ1119" s="76">
        <f>+AY1119*70000</f>
        <v>0</v>
      </c>
      <c r="BA1119" s="76"/>
      <c r="BB1119" s="76"/>
      <c r="BC1119" s="76"/>
      <c r="BD1119" s="76">
        <f>+BC1119*30000</f>
        <v>0</v>
      </c>
      <c r="BE1119" s="76"/>
      <c r="BF1119" s="76"/>
      <c r="BG1119" s="76"/>
      <c r="BH1119" s="76"/>
      <c r="BI1119" s="76"/>
      <c r="BJ1119" s="76"/>
      <c r="BK1119" s="76"/>
      <c r="BL1119" s="76">
        <f>+BK1119*31500</f>
        <v>0</v>
      </c>
      <c r="BM1119" s="76"/>
      <c r="BN1119" s="76"/>
      <c r="BO1119" s="76"/>
      <c r="BP1119" s="76"/>
      <c r="BQ1119" s="76"/>
      <c r="BR1119" s="76"/>
      <c r="BS1119" s="76"/>
      <c r="BT1119" s="76"/>
      <c r="BU1119" s="76"/>
      <c r="BV1119" s="76"/>
      <c r="BW1119" s="76"/>
      <c r="BX1119" s="76"/>
      <c r="BY1119" s="76"/>
      <c r="BZ1119" s="76"/>
      <c r="CA1119" s="76"/>
      <c r="CB1119" s="76"/>
      <c r="CC1119" s="76"/>
      <c r="CD1119" s="76"/>
      <c r="CE1119" s="76"/>
      <c r="CF1119" s="76">
        <f>+CE1119*28000</f>
        <v>0</v>
      </c>
      <c r="CG1119" s="76"/>
      <c r="CH1119" s="76">
        <f>+CG1119*22500</f>
        <v>0</v>
      </c>
      <c r="CI1119" s="76"/>
      <c r="CJ1119" s="76">
        <f>+CI1119*26000</f>
        <v>0</v>
      </c>
      <c r="CK1119" s="76"/>
      <c r="CL1119" s="76"/>
      <c r="CM1119" s="76"/>
      <c r="CN1119" s="76">
        <f>+CM1119*22000</f>
        <v>0</v>
      </c>
      <c r="CO1119" s="76"/>
      <c r="CP1119" s="76">
        <f>+CO1119*46000</f>
        <v>0</v>
      </c>
      <c r="CQ1119" s="76"/>
      <c r="CR1119" s="76">
        <f>+CQ1119*49000</f>
        <v>0</v>
      </c>
      <c r="CS1119" s="76"/>
      <c r="CT1119" s="76"/>
      <c r="CU1119" s="56">
        <f>AN1119+AP1119+AR1119+AT1119+AV1119+AX1119+AZ1119+BB1119+BD1119+BF1119+BH1119+BJ1119+BL1119+BN1119+BP1119+BR1119+BT1119+BV1119+BX1119+BZ1119+CB1119+CD1119+CF1119+CH1119+CJ1119+CL1119+CN1119+CP1119+CR1119+CT1119</f>
        <v>0</v>
      </c>
      <c r="CV1119" s="76"/>
      <c r="CW1119" s="76">
        <f>+CV1119*1100</f>
        <v>0</v>
      </c>
      <c r="CX1119" s="76"/>
      <c r="CY1119" s="76">
        <f>+CX1119*106250</f>
        <v>0</v>
      </c>
      <c r="CZ1119" s="76"/>
      <c r="DA1119" s="76">
        <f>+CZ1119*34500</f>
        <v>0</v>
      </c>
      <c r="DB1119" s="76"/>
      <c r="DC1119" s="76">
        <f>+DB1119*25000</f>
        <v>0</v>
      </c>
      <c r="DD1119" s="219"/>
      <c r="DE1119" s="219"/>
      <c r="DF1119" s="166"/>
      <c r="DG1119" s="116"/>
      <c r="DH1119" s="117"/>
      <c r="DI1119" s="24"/>
      <c r="DJ1119" s="24"/>
      <c r="DK1119" s="24"/>
      <c r="DL1119" s="24"/>
      <c r="DM1119" s="24"/>
      <c r="DN1119" s="24"/>
      <c r="DO1119" s="24"/>
      <c r="DP1119" s="24"/>
      <c r="DQ1119" s="24"/>
      <c r="DR1119" s="24"/>
      <c r="DS1119" s="24"/>
      <c r="DT1119" s="24"/>
      <c r="DU1119" s="24"/>
    </row>
    <row r="1120" spans="1:125" s="8" customFormat="1" ht="36" x14ac:dyDescent="0.2">
      <c r="A1120" s="5">
        <v>41345</v>
      </c>
      <c r="B1120" s="84" t="s">
        <v>2847</v>
      </c>
      <c r="C1120" s="84" t="s">
        <v>1747</v>
      </c>
      <c r="D1120" s="81" t="s">
        <v>2846</v>
      </c>
      <c r="E1120" s="75" t="str">
        <f>VLOOKUP(B1120&amp;C1120,Divipola!$C$2:$F$1138,4,FALSE)</f>
        <v>68522</v>
      </c>
      <c r="F1120" s="89"/>
      <c r="G1120" s="89"/>
      <c r="H1120" s="89"/>
      <c r="I1120" s="89"/>
      <c r="J1120" s="89"/>
      <c r="K1120" s="89"/>
      <c r="L1120" s="89"/>
      <c r="M1120" s="89"/>
      <c r="N1120" s="89"/>
      <c r="O1120" s="89"/>
      <c r="P1120" s="89"/>
      <c r="Q1120" s="89"/>
      <c r="R1120" s="89"/>
      <c r="S1120" s="89"/>
      <c r="T1120" s="89"/>
      <c r="U1120" s="89">
        <v>1</v>
      </c>
      <c r="V1120" s="89"/>
      <c r="W1120" s="96">
        <v>0</v>
      </c>
      <c r="X1120" s="71">
        <f>CU1120</f>
        <v>0</v>
      </c>
      <c r="Y1120" s="71">
        <f>CY1120</f>
        <v>0</v>
      </c>
      <c r="Z1120" s="71">
        <f>DA1120+DC1120+DE1120</f>
        <v>0</v>
      </c>
      <c r="AA1120" s="71">
        <f>CW1120</f>
        <v>0</v>
      </c>
      <c r="AB1120" s="71"/>
      <c r="AC1120" s="71">
        <v>0</v>
      </c>
      <c r="AD1120" s="71">
        <f>W1120+X1120+Y1120+Z1120+AA1120+AB1120+AC1120</f>
        <v>0</v>
      </c>
      <c r="AE1120" s="72">
        <v>0</v>
      </c>
      <c r="AF1120" s="5"/>
      <c r="AG1120" s="6"/>
      <c r="AH1120" s="27" t="s">
        <v>3392</v>
      </c>
      <c r="AI1120" s="44" t="s">
        <v>3393</v>
      </c>
      <c r="AJ1120" s="26"/>
      <c r="AK1120" s="5"/>
      <c r="AL1120" s="82" t="s">
        <v>3913</v>
      </c>
      <c r="AM1120" s="76"/>
      <c r="AN1120" s="76"/>
      <c r="AO1120" s="76"/>
      <c r="AP1120" s="76"/>
      <c r="AQ1120" s="76"/>
      <c r="AR1120" s="76"/>
      <c r="AS1120" s="76"/>
      <c r="AT1120" s="76"/>
      <c r="AU1120" s="76"/>
      <c r="AV1120" s="76"/>
      <c r="AW1120" s="76"/>
      <c r="AX1120" s="76">
        <f>+AW1120*600000</f>
        <v>0</v>
      </c>
      <c r="AY1120" s="76"/>
      <c r="AZ1120" s="76">
        <f>+AY1120*70000</f>
        <v>0</v>
      </c>
      <c r="BA1120" s="76"/>
      <c r="BB1120" s="76"/>
      <c r="BC1120" s="76"/>
      <c r="BD1120" s="76">
        <f>+BC1120*30000</f>
        <v>0</v>
      </c>
      <c r="BE1120" s="76"/>
      <c r="BF1120" s="76"/>
      <c r="BG1120" s="76"/>
      <c r="BH1120" s="76"/>
      <c r="BI1120" s="76"/>
      <c r="BJ1120" s="76"/>
      <c r="BK1120" s="76"/>
      <c r="BL1120" s="76">
        <f>+BK1120*31500</f>
        <v>0</v>
      </c>
      <c r="BM1120" s="76"/>
      <c r="BN1120" s="76"/>
      <c r="BO1120" s="76"/>
      <c r="BP1120" s="76"/>
      <c r="BQ1120" s="76"/>
      <c r="BR1120" s="76"/>
      <c r="BS1120" s="76"/>
      <c r="BT1120" s="76"/>
      <c r="BU1120" s="76"/>
      <c r="BV1120" s="76"/>
      <c r="BW1120" s="76"/>
      <c r="BX1120" s="76"/>
      <c r="BY1120" s="76"/>
      <c r="BZ1120" s="76"/>
      <c r="CA1120" s="76"/>
      <c r="CB1120" s="76"/>
      <c r="CC1120" s="76"/>
      <c r="CD1120" s="76"/>
      <c r="CE1120" s="76"/>
      <c r="CF1120" s="76">
        <f>+CE1120*28000</f>
        <v>0</v>
      </c>
      <c r="CG1120" s="76"/>
      <c r="CH1120" s="76">
        <f>+CG1120*22500</f>
        <v>0</v>
      </c>
      <c r="CI1120" s="76"/>
      <c r="CJ1120" s="76">
        <f>+CI1120*26000</f>
        <v>0</v>
      </c>
      <c r="CK1120" s="76"/>
      <c r="CL1120" s="76"/>
      <c r="CM1120" s="76"/>
      <c r="CN1120" s="76">
        <f>+CM1120*22000</f>
        <v>0</v>
      </c>
      <c r="CO1120" s="76"/>
      <c r="CP1120" s="76">
        <f>+CO1120*46000</f>
        <v>0</v>
      </c>
      <c r="CQ1120" s="76"/>
      <c r="CR1120" s="76">
        <f>+CQ1120*49000</f>
        <v>0</v>
      </c>
      <c r="CS1120" s="76"/>
      <c r="CT1120" s="76"/>
      <c r="CU1120" s="56">
        <f>AN1120+AP1120+AR1120+AT1120+AV1120+AX1120+AZ1120+BB1120+BD1120+BF1120+BH1120+BJ1120+BL1120+BN1120+BP1120+BR1120+BT1120+BV1120+BX1120+BZ1120+CB1120+CD1120+CF1120+CH1120+CJ1120+CL1120+CN1120+CP1120+CR1120+CT1120</f>
        <v>0</v>
      </c>
      <c r="CV1120" s="76"/>
      <c r="CW1120" s="76">
        <f>+CV1120*1100</f>
        <v>0</v>
      </c>
      <c r="CX1120" s="76"/>
      <c r="CY1120" s="76">
        <f>+CX1120*106250</f>
        <v>0</v>
      </c>
      <c r="CZ1120" s="76"/>
      <c r="DA1120" s="76">
        <f>+CZ1120*34500</f>
        <v>0</v>
      </c>
      <c r="DB1120" s="76"/>
      <c r="DC1120" s="76">
        <f>+DB1120*25000</f>
        <v>0</v>
      </c>
      <c r="DD1120" s="219"/>
      <c r="DE1120" s="219"/>
      <c r="DF1120" s="166"/>
      <c r="DG1120" s="116"/>
      <c r="DH1120" s="117"/>
      <c r="DI1120" s="24"/>
      <c r="DJ1120" s="24"/>
      <c r="DK1120" s="24"/>
      <c r="DL1120" s="24"/>
      <c r="DM1120" s="24"/>
      <c r="DN1120" s="24"/>
      <c r="DO1120" s="24"/>
      <c r="DP1120" s="24"/>
      <c r="DQ1120" s="24"/>
      <c r="DR1120" s="24"/>
      <c r="DS1120" s="24"/>
      <c r="DT1120" s="24"/>
      <c r="DU1120" s="24"/>
    </row>
    <row r="1121" spans="1:125" s="8" customFormat="1" ht="84" x14ac:dyDescent="0.2">
      <c r="A1121" s="77">
        <v>41345</v>
      </c>
      <c r="B1121" s="78" t="s">
        <v>2847</v>
      </c>
      <c r="C1121" s="75" t="s">
        <v>1747</v>
      </c>
      <c r="D1121" s="81" t="s">
        <v>2846</v>
      </c>
      <c r="E1121" s="75" t="str">
        <f>VLOOKUP(B1121&amp;C1121,Divipola!$C$2:$F$1138,4,FALSE)</f>
        <v>68522</v>
      </c>
      <c r="F1121" s="87"/>
      <c r="G1121" s="87"/>
      <c r="H1121" s="87"/>
      <c r="I1121" s="87"/>
      <c r="J1121" s="87"/>
      <c r="K1121" s="87"/>
      <c r="L1121" s="87"/>
      <c r="M1121" s="87"/>
      <c r="N1121" s="87"/>
      <c r="O1121" s="87"/>
      <c r="P1121" s="87"/>
      <c r="Q1121" s="87"/>
      <c r="R1121" s="87"/>
      <c r="S1121" s="87"/>
      <c r="T1121" s="87"/>
      <c r="U1121" s="88">
        <v>1</v>
      </c>
      <c r="V1121" s="89"/>
      <c r="W1121" s="96">
        <v>0</v>
      </c>
      <c r="X1121" s="71">
        <f>CU1121</f>
        <v>0</v>
      </c>
      <c r="Y1121" s="71">
        <f>CY1121</f>
        <v>0</v>
      </c>
      <c r="Z1121" s="71">
        <f>DA1121+DC1121+DE1121</f>
        <v>0</v>
      </c>
      <c r="AA1121" s="71">
        <f>CW1121</f>
        <v>0</v>
      </c>
      <c r="AB1121" s="71"/>
      <c r="AC1121" s="71">
        <v>0</v>
      </c>
      <c r="AD1121" s="71">
        <f>W1121+X1121+Y1121+Z1121+AA1121+AB1121+AC1121</f>
        <v>0</v>
      </c>
      <c r="AE1121" s="72">
        <v>0</v>
      </c>
      <c r="AF1121" s="5"/>
      <c r="AG1121" s="6"/>
      <c r="AH1121" s="27" t="s">
        <v>3392</v>
      </c>
      <c r="AI1121" s="44" t="s">
        <v>3393</v>
      </c>
      <c r="AJ1121" s="26"/>
      <c r="AK1121" s="5"/>
      <c r="AL1121" s="82" t="s">
        <v>3926</v>
      </c>
      <c r="AM1121" s="76"/>
      <c r="AN1121" s="76"/>
      <c r="AO1121" s="76"/>
      <c r="AP1121" s="76"/>
      <c r="AQ1121" s="76"/>
      <c r="AR1121" s="76"/>
      <c r="AS1121" s="76"/>
      <c r="AT1121" s="76"/>
      <c r="AU1121" s="76"/>
      <c r="AV1121" s="76"/>
      <c r="AW1121" s="76"/>
      <c r="AX1121" s="76">
        <f>+AW1121*600000</f>
        <v>0</v>
      </c>
      <c r="AY1121" s="76"/>
      <c r="AZ1121" s="76">
        <f>+AY1121*70000</f>
        <v>0</v>
      </c>
      <c r="BA1121" s="76"/>
      <c r="BB1121" s="76"/>
      <c r="BC1121" s="76"/>
      <c r="BD1121" s="76">
        <f>+BC1121*30000</f>
        <v>0</v>
      </c>
      <c r="BE1121" s="76"/>
      <c r="BF1121" s="76"/>
      <c r="BG1121" s="76"/>
      <c r="BH1121" s="76"/>
      <c r="BI1121" s="76"/>
      <c r="BJ1121" s="76"/>
      <c r="BK1121" s="76"/>
      <c r="BL1121" s="76">
        <f>+BK1121*31500</f>
        <v>0</v>
      </c>
      <c r="BM1121" s="76"/>
      <c r="BN1121" s="76"/>
      <c r="BO1121" s="76"/>
      <c r="BP1121" s="76"/>
      <c r="BQ1121" s="76"/>
      <c r="BR1121" s="76"/>
      <c r="BS1121" s="76"/>
      <c r="BT1121" s="76"/>
      <c r="BU1121" s="76"/>
      <c r="BV1121" s="76"/>
      <c r="BW1121" s="76"/>
      <c r="BX1121" s="76"/>
      <c r="BY1121" s="76"/>
      <c r="BZ1121" s="76"/>
      <c r="CA1121" s="76"/>
      <c r="CB1121" s="76"/>
      <c r="CC1121" s="76"/>
      <c r="CD1121" s="76"/>
      <c r="CE1121" s="76"/>
      <c r="CF1121" s="76">
        <f>+CE1121*28000</f>
        <v>0</v>
      </c>
      <c r="CG1121" s="76"/>
      <c r="CH1121" s="76">
        <f>+CG1121*22500</f>
        <v>0</v>
      </c>
      <c r="CI1121" s="76"/>
      <c r="CJ1121" s="76">
        <f>+CI1121*26000</f>
        <v>0</v>
      </c>
      <c r="CK1121" s="76"/>
      <c r="CL1121" s="76"/>
      <c r="CM1121" s="76"/>
      <c r="CN1121" s="76">
        <f>+CM1121*22000</f>
        <v>0</v>
      </c>
      <c r="CO1121" s="76"/>
      <c r="CP1121" s="76">
        <f>+CO1121*46000</f>
        <v>0</v>
      </c>
      <c r="CQ1121" s="76"/>
      <c r="CR1121" s="76">
        <f>+CQ1121*49000</f>
        <v>0</v>
      </c>
      <c r="CS1121" s="76"/>
      <c r="CT1121" s="76"/>
      <c r="CU1121" s="56">
        <f>AN1121+AP1121+AR1121+AT1121+AV1121+AX1121+AZ1121+BB1121+BD1121+BF1121+BH1121+BJ1121+BL1121+BN1121+BP1121+BR1121+BT1121+BV1121+BX1121+BZ1121+CB1121+CD1121+CF1121+CH1121+CJ1121+CL1121+CN1121+CP1121+CR1121+CT1121</f>
        <v>0</v>
      </c>
      <c r="CV1121" s="76"/>
      <c r="CW1121" s="76">
        <f>+CV1121*1100</f>
        <v>0</v>
      </c>
      <c r="CX1121" s="76"/>
      <c r="CY1121" s="76">
        <f>+CX1121*106250</f>
        <v>0</v>
      </c>
      <c r="CZ1121" s="76"/>
      <c r="DA1121" s="76">
        <f>+CZ1121*34500</f>
        <v>0</v>
      </c>
      <c r="DB1121" s="76"/>
      <c r="DC1121" s="76">
        <f>+DB1121*25000</f>
        <v>0</v>
      </c>
      <c r="DD1121" s="219"/>
      <c r="DE1121" s="219"/>
      <c r="DF1121" s="166"/>
      <c r="DG1121" s="116"/>
      <c r="DH1121" s="117"/>
      <c r="DI1121" s="24"/>
      <c r="DJ1121" s="24"/>
      <c r="DK1121" s="24"/>
      <c r="DL1121" s="24"/>
      <c r="DM1121" s="24"/>
      <c r="DN1121" s="24"/>
      <c r="DO1121" s="24"/>
      <c r="DP1121" s="24"/>
      <c r="DQ1121" s="24"/>
      <c r="DR1121" s="24"/>
      <c r="DS1121" s="24"/>
      <c r="DT1121" s="24"/>
      <c r="DU1121" s="24"/>
    </row>
    <row r="1122" spans="1:125" s="8" customFormat="1" ht="36" x14ac:dyDescent="0.2">
      <c r="A1122" s="226">
        <v>41346</v>
      </c>
      <c r="B1122" s="225" t="s">
        <v>2777</v>
      </c>
      <c r="C1122" s="227" t="s">
        <v>1473</v>
      </c>
      <c r="D1122" s="227" t="s">
        <v>2882</v>
      </c>
      <c r="E1122" s="75" t="str">
        <f>VLOOKUP(B1122&amp;C1122,Divipola!$C$2:$F$1138,4,FALSE)</f>
        <v>13140</v>
      </c>
      <c r="F1122" s="87"/>
      <c r="G1122" s="87"/>
      <c r="H1122" s="87"/>
      <c r="I1122" s="87">
        <v>250</v>
      </c>
      <c r="J1122" s="87">
        <v>50</v>
      </c>
      <c r="K1122" s="87"/>
      <c r="L1122" s="87">
        <v>50</v>
      </c>
      <c r="M1122" s="87"/>
      <c r="N1122" s="87"/>
      <c r="O1122" s="87"/>
      <c r="P1122" s="87"/>
      <c r="Q1122" s="87"/>
      <c r="R1122" s="87"/>
      <c r="S1122" s="87"/>
      <c r="T1122" s="87"/>
      <c r="U1122" s="88"/>
      <c r="V1122" s="89"/>
      <c r="W1122" s="96">
        <v>0</v>
      </c>
      <c r="X1122" s="71">
        <f>CU1122</f>
        <v>0</v>
      </c>
      <c r="Y1122" s="71">
        <f>CY1122</f>
        <v>0</v>
      </c>
      <c r="Z1122" s="71">
        <f>DA1122+DC1122+DE1122</f>
        <v>0</v>
      </c>
      <c r="AA1122" s="71">
        <f>CW1122</f>
        <v>0</v>
      </c>
      <c r="AB1122" s="71"/>
      <c r="AC1122" s="71">
        <v>0</v>
      </c>
      <c r="AD1122" s="71">
        <f>W1122+X1122+Y1122+Z1122+AA1122+AB1122+AC1122</f>
        <v>0</v>
      </c>
      <c r="AE1122" s="72">
        <v>0</v>
      </c>
      <c r="AF1122" s="5"/>
      <c r="AG1122" s="6"/>
      <c r="AH1122" s="27" t="s">
        <v>3390</v>
      </c>
      <c r="AI1122" s="44" t="s">
        <v>3393</v>
      </c>
      <c r="AJ1122" s="26"/>
      <c r="AK1122" s="5" t="s">
        <v>4242</v>
      </c>
      <c r="AL1122" s="82" t="s">
        <v>3944</v>
      </c>
      <c r="AM1122" s="76"/>
      <c r="AN1122" s="76"/>
      <c r="AO1122" s="76"/>
      <c r="AP1122" s="76"/>
      <c r="AQ1122" s="76"/>
      <c r="AR1122" s="76"/>
      <c r="AS1122" s="76"/>
      <c r="AT1122" s="76"/>
      <c r="AU1122" s="76"/>
      <c r="AV1122" s="76"/>
      <c r="AW1122" s="76"/>
      <c r="AX1122" s="76">
        <f>+AW1122*600000</f>
        <v>0</v>
      </c>
      <c r="AY1122" s="76"/>
      <c r="AZ1122" s="76">
        <f>+AY1122*70000</f>
        <v>0</v>
      </c>
      <c r="BA1122" s="76"/>
      <c r="BB1122" s="76"/>
      <c r="BC1122" s="76"/>
      <c r="BD1122" s="76">
        <f>+BC1122*30000</f>
        <v>0</v>
      </c>
      <c r="BE1122" s="76"/>
      <c r="BF1122" s="76"/>
      <c r="BG1122" s="76"/>
      <c r="BH1122" s="76"/>
      <c r="BI1122" s="76"/>
      <c r="BJ1122" s="76"/>
      <c r="BK1122" s="76"/>
      <c r="BL1122" s="76">
        <f>+BK1122*31500</f>
        <v>0</v>
      </c>
      <c r="BM1122" s="76"/>
      <c r="BN1122" s="76"/>
      <c r="BO1122" s="76"/>
      <c r="BP1122" s="76"/>
      <c r="BQ1122" s="76"/>
      <c r="BR1122" s="76"/>
      <c r="BS1122" s="76"/>
      <c r="BT1122" s="76"/>
      <c r="BU1122" s="76"/>
      <c r="BV1122" s="76"/>
      <c r="BW1122" s="76"/>
      <c r="BX1122" s="76"/>
      <c r="BY1122" s="76"/>
      <c r="BZ1122" s="76"/>
      <c r="CA1122" s="76"/>
      <c r="CB1122" s="76"/>
      <c r="CC1122" s="76"/>
      <c r="CD1122" s="76"/>
      <c r="CE1122" s="76"/>
      <c r="CF1122" s="76">
        <f>+CE1122*28000</f>
        <v>0</v>
      </c>
      <c r="CG1122" s="76"/>
      <c r="CH1122" s="76">
        <f>+CG1122*22500</f>
        <v>0</v>
      </c>
      <c r="CI1122" s="76"/>
      <c r="CJ1122" s="76">
        <f>+CI1122*26000</f>
        <v>0</v>
      </c>
      <c r="CK1122" s="76"/>
      <c r="CL1122" s="76"/>
      <c r="CM1122" s="76"/>
      <c r="CN1122" s="76">
        <f>+CM1122*22000</f>
        <v>0</v>
      </c>
      <c r="CO1122" s="76"/>
      <c r="CP1122" s="76">
        <f>+CO1122*46000</f>
        <v>0</v>
      </c>
      <c r="CQ1122" s="76"/>
      <c r="CR1122" s="76">
        <f>+CQ1122*49000</f>
        <v>0</v>
      </c>
      <c r="CS1122" s="76"/>
      <c r="CT1122" s="76"/>
      <c r="CU1122" s="56">
        <f>AN1122+AP1122+AR1122+AT1122+AV1122+AX1122+AZ1122+BB1122+BD1122+BF1122+BH1122+BJ1122+BL1122+BN1122+BP1122+BR1122+BT1122+BV1122+BX1122+BZ1122+CB1122+CD1122+CF1122+CH1122+CJ1122+CL1122+CN1122+CP1122+CR1122+CT1122</f>
        <v>0</v>
      </c>
      <c r="CV1122" s="76"/>
      <c r="CW1122" s="76">
        <f>+CV1122*1100</f>
        <v>0</v>
      </c>
      <c r="CX1122" s="76"/>
      <c r="CY1122" s="76">
        <f>+CX1122*106250</f>
        <v>0</v>
      </c>
      <c r="CZ1122" s="76"/>
      <c r="DA1122" s="76">
        <f>+CZ1122*34500</f>
        <v>0</v>
      </c>
      <c r="DB1122" s="76"/>
      <c r="DC1122" s="76">
        <f>+DB1122*25000</f>
        <v>0</v>
      </c>
      <c r="DD1122" s="219"/>
      <c r="DE1122" s="219"/>
      <c r="DF1122" s="166"/>
      <c r="DG1122" s="116"/>
      <c r="DH1122" s="117"/>
      <c r="DI1122" s="24"/>
      <c r="DJ1122" s="24"/>
      <c r="DK1122" s="24"/>
      <c r="DL1122" s="24"/>
      <c r="DM1122" s="24"/>
      <c r="DN1122" s="24"/>
      <c r="DO1122" s="24"/>
      <c r="DP1122" s="24"/>
      <c r="DQ1122" s="24"/>
      <c r="DR1122" s="24"/>
      <c r="DS1122" s="24"/>
      <c r="DT1122" s="24"/>
      <c r="DU1122" s="24"/>
    </row>
    <row r="1123" spans="1:125" s="8" customFormat="1" ht="36" x14ac:dyDescent="0.2">
      <c r="A1123" s="226">
        <v>41346</v>
      </c>
      <c r="B1123" s="352" t="s">
        <v>2777</v>
      </c>
      <c r="C1123" s="354" t="s">
        <v>1513</v>
      </c>
      <c r="D1123" s="354" t="s">
        <v>2882</v>
      </c>
      <c r="E1123" s="75" t="str">
        <f>VLOOKUP(B1123&amp;C1123,Divipola!$C$2:$F$1138,4,FALSE)</f>
        <v>13620</v>
      </c>
      <c r="F1123" s="87"/>
      <c r="G1123" s="87"/>
      <c r="H1123" s="87"/>
      <c r="I1123" s="87"/>
      <c r="J1123" s="87"/>
      <c r="K1123" s="87"/>
      <c r="L1123" s="87"/>
      <c r="M1123" s="87"/>
      <c r="N1123" s="87"/>
      <c r="O1123" s="87"/>
      <c r="P1123" s="87"/>
      <c r="Q1123" s="87"/>
      <c r="R1123" s="87"/>
      <c r="S1123" s="87"/>
      <c r="T1123" s="87"/>
      <c r="U1123" s="88"/>
      <c r="V1123" s="89"/>
      <c r="W1123" s="96">
        <v>0</v>
      </c>
      <c r="X1123" s="71">
        <f>CU1123</f>
        <v>0</v>
      </c>
      <c r="Y1123" s="71">
        <f>CY1123</f>
        <v>0</v>
      </c>
      <c r="Z1123" s="71">
        <f>DA1123+DC1123+DE1123</f>
        <v>0</v>
      </c>
      <c r="AA1123" s="71">
        <f>CW1123</f>
        <v>0</v>
      </c>
      <c r="AB1123" s="71"/>
      <c r="AC1123" s="71">
        <v>0</v>
      </c>
      <c r="AD1123" s="71">
        <f>W1123+X1123+Y1123+Z1123+AA1123+AB1123+AC1123</f>
        <v>0</v>
      </c>
      <c r="AE1123" s="72">
        <v>0</v>
      </c>
      <c r="AF1123" s="5"/>
      <c r="AG1123" s="6"/>
      <c r="AH1123" s="27" t="s">
        <v>3392</v>
      </c>
      <c r="AI1123" s="44" t="s">
        <v>3393</v>
      </c>
      <c r="AJ1123" s="26"/>
      <c r="AK1123" s="5"/>
      <c r="AL1123" s="82" t="s">
        <v>3943</v>
      </c>
      <c r="AM1123" s="76"/>
      <c r="AN1123" s="76"/>
      <c r="AO1123" s="76"/>
      <c r="AP1123" s="76"/>
      <c r="AQ1123" s="76"/>
      <c r="AR1123" s="76"/>
      <c r="AS1123" s="76"/>
      <c r="AT1123" s="76"/>
      <c r="AU1123" s="76"/>
      <c r="AV1123" s="76"/>
      <c r="AW1123" s="76"/>
      <c r="AX1123" s="76">
        <f>+AW1123*600000</f>
        <v>0</v>
      </c>
      <c r="AY1123" s="76"/>
      <c r="AZ1123" s="76">
        <f>+AY1123*70000</f>
        <v>0</v>
      </c>
      <c r="BA1123" s="76"/>
      <c r="BB1123" s="76"/>
      <c r="BC1123" s="76"/>
      <c r="BD1123" s="76">
        <f>+BC1123*30000</f>
        <v>0</v>
      </c>
      <c r="BE1123" s="76"/>
      <c r="BF1123" s="76"/>
      <c r="BG1123" s="76"/>
      <c r="BH1123" s="76"/>
      <c r="BI1123" s="76"/>
      <c r="BJ1123" s="76"/>
      <c r="BK1123" s="76"/>
      <c r="BL1123" s="76">
        <f>+BK1123*31500</f>
        <v>0</v>
      </c>
      <c r="BM1123" s="76"/>
      <c r="BN1123" s="76"/>
      <c r="BO1123" s="76"/>
      <c r="BP1123" s="76"/>
      <c r="BQ1123" s="76"/>
      <c r="BR1123" s="76"/>
      <c r="BS1123" s="76"/>
      <c r="BT1123" s="76"/>
      <c r="BU1123" s="76"/>
      <c r="BV1123" s="76"/>
      <c r="BW1123" s="76"/>
      <c r="BX1123" s="76"/>
      <c r="BY1123" s="76"/>
      <c r="BZ1123" s="76"/>
      <c r="CA1123" s="76"/>
      <c r="CB1123" s="76"/>
      <c r="CC1123" s="76"/>
      <c r="CD1123" s="76"/>
      <c r="CE1123" s="76"/>
      <c r="CF1123" s="76">
        <f>+CE1123*28000</f>
        <v>0</v>
      </c>
      <c r="CG1123" s="76"/>
      <c r="CH1123" s="76">
        <f>+CG1123*22500</f>
        <v>0</v>
      </c>
      <c r="CI1123" s="76"/>
      <c r="CJ1123" s="76">
        <f>+CI1123*26000</f>
        <v>0</v>
      </c>
      <c r="CK1123" s="76"/>
      <c r="CL1123" s="76"/>
      <c r="CM1123" s="76"/>
      <c r="CN1123" s="76">
        <f>+CM1123*22000</f>
        <v>0</v>
      </c>
      <c r="CO1123" s="76"/>
      <c r="CP1123" s="76">
        <f>+CO1123*46000</f>
        <v>0</v>
      </c>
      <c r="CQ1123" s="76"/>
      <c r="CR1123" s="76">
        <f>+CQ1123*49000</f>
        <v>0</v>
      </c>
      <c r="CS1123" s="76"/>
      <c r="CT1123" s="76"/>
      <c r="CU1123" s="56">
        <f>AN1123+AP1123+AR1123+AT1123+AV1123+AX1123+AZ1123+BB1123+BD1123+BF1123+BH1123+BJ1123+BL1123+BN1123+BP1123+BR1123+BT1123+BV1123+BX1123+BZ1123+CB1123+CD1123+CF1123+CH1123+CJ1123+CL1123+CN1123+CP1123+CR1123+CT1123</f>
        <v>0</v>
      </c>
      <c r="CV1123" s="76"/>
      <c r="CW1123" s="76">
        <f>+CV1123*1100</f>
        <v>0</v>
      </c>
      <c r="CX1123" s="76"/>
      <c r="CY1123" s="76">
        <f>+CX1123*106250</f>
        <v>0</v>
      </c>
      <c r="CZ1123" s="76"/>
      <c r="DA1123" s="76">
        <f>+CZ1123*34500</f>
        <v>0</v>
      </c>
      <c r="DB1123" s="76"/>
      <c r="DC1123" s="76">
        <f>+DB1123*25000</f>
        <v>0</v>
      </c>
      <c r="DD1123" s="219"/>
      <c r="DE1123" s="219"/>
      <c r="DF1123" s="166"/>
      <c r="DG1123" s="116"/>
      <c r="DH1123" s="117"/>
      <c r="DI1123" s="24"/>
      <c r="DJ1123" s="24"/>
      <c r="DK1123" s="24"/>
      <c r="DL1123" s="24"/>
      <c r="DM1123" s="24"/>
      <c r="DN1123" s="24"/>
      <c r="DO1123" s="24"/>
      <c r="DP1123" s="24"/>
      <c r="DQ1123" s="24"/>
      <c r="DR1123" s="24"/>
      <c r="DS1123" s="24"/>
      <c r="DT1123" s="24"/>
      <c r="DU1123" s="24"/>
    </row>
    <row r="1124" spans="1:125" s="8" customFormat="1" ht="36" x14ac:dyDescent="0.2">
      <c r="A1124" s="77">
        <v>41346</v>
      </c>
      <c r="B1124" s="78" t="s">
        <v>2087</v>
      </c>
      <c r="C1124" s="75" t="s">
        <v>2692</v>
      </c>
      <c r="D1124" s="75" t="s">
        <v>2882</v>
      </c>
      <c r="E1124" s="75" t="str">
        <f>VLOOKUP(B1124&amp;C1124,Divipola!$C$2:$F$1138,4,FALSE)</f>
        <v>18001</v>
      </c>
      <c r="F1124" s="87"/>
      <c r="G1124" s="87"/>
      <c r="H1124" s="87"/>
      <c r="I1124" s="87"/>
      <c r="J1124" s="87"/>
      <c r="K1124" s="87"/>
      <c r="L1124" s="87"/>
      <c r="M1124" s="87"/>
      <c r="N1124" s="87"/>
      <c r="O1124" s="87"/>
      <c r="P1124" s="87"/>
      <c r="Q1124" s="87"/>
      <c r="R1124" s="87"/>
      <c r="S1124" s="87"/>
      <c r="T1124" s="87"/>
      <c r="U1124" s="87"/>
      <c r="V1124" s="89"/>
      <c r="W1124" s="96">
        <v>0</v>
      </c>
      <c r="X1124" s="71">
        <f>CU1124</f>
        <v>0</v>
      </c>
      <c r="Y1124" s="71">
        <f>CY1124</f>
        <v>0</v>
      </c>
      <c r="Z1124" s="71">
        <f>DA1124+DC1124+DE1124</f>
        <v>0</v>
      </c>
      <c r="AA1124" s="71">
        <f>CW1124</f>
        <v>0</v>
      </c>
      <c r="AB1124" s="71"/>
      <c r="AC1124" s="71">
        <v>0</v>
      </c>
      <c r="AD1124" s="71">
        <f>W1124+X1124+Y1124+Z1124+AA1124+AB1124+AC1124</f>
        <v>0</v>
      </c>
      <c r="AE1124" s="72">
        <v>0</v>
      </c>
      <c r="AF1124" s="5"/>
      <c r="AG1124" s="6"/>
      <c r="AH1124" s="27" t="s">
        <v>3392</v>
      </c>
      <c r="AI1124" s="44" t="s">
        <v>3393</v>
      </c>
      <c r="AJ1124" s="26"/>
      <c r="AK1124" s="5"/>
      <c r="AL1124" s="82" t="s">
        <v>3927</v>
      </c>
      <c r="AM1124" s="76"/>
      <c r="AN1124" s="76"/>
      <c r="AO1124" s="76"/>
      <c r="AP1124" s="76"/>
      <c r="AQ1124" s="76"/>
      <c r="AR1124" s="76"/>
      <c r="AS1124" s="76"/>
      <c r="AT1124" s="76"/>
      <c r="AU1124" s="76"/>
      <c r="AV1124" s="76"/>
      <c r="AW1124" s="76"/>
      <c r="AX1124" s="76">
        <f>+AW1124*600000</f>
        <v>0</v>
      </c>
      <c r="AY1124" s="76"/>
      <c r="AZ1124" s="76">
        <f>+AY1124*70000</f>
        <v>0</v>
      </c>
      <c r="BA1124" s="76"/>
      <c r="BB1124" s="76"/>
      <c r="BC1124" s="76"/>
      <c r="BD1124" s="76">
        <f>+BC1124*30000</f>
        <v>0</v>
      </c>
      <c r="BE1124" s="76"/>
      <c r="BF1124" s="76"/>
      <c r="BG1124" s="76"/>
      <c r="BH1124" s="76"/>
      <c r="BI1124" s="76"/>
      <c r="BJ1124" s="76"/>
      <c r="BK1124" s="76"/>
      <c r="BL1124" s="76">
        <f>+BK1124*31500</f>
        <v>0</v>
      </c>
      <c r="BM1124" s="76"/>
      <c r="BN1124" s="76"/>
      <c r="BO1124" s="76"/>
      <c r="BP1124" s="76"/>
      <c r="BQ1124" s="76"/>
      <c r="BR1124" s="76"/>
      <c r="BS1124" s="76"/>
      <c r="BT1124" s="76"/>
      <c r="BU1124" s="76"/>
      <c r="BV1124" s="76"/>
      <c r="BW1124" s="76"/>
      <c r="BX1124" s="76"/>
      <c r="BY1124" s="76"/>
      <c r="BZ1124" s="76"/>
      <c r="CA1124" s="76"/>
      <c r="CB1124" s="76"/>
      <c r="CC1124" s="76"/>
      <c r="CD1124" s="76"/>
      <c r="CE1124" s="76"/>
      <c r="CF1124" s="76">
        <f>+CE1124*28000</f>
        <v>0</v>
      </c>
      <c r="CG1124" s="76"/>
      <c r="CH1124" s="76">
        <f>+CG1124*22500</f>
        <v>0</v>
      </c>
      <c r="CI1124" s="76"/>
      <c r="CJ1124" s="76">
        <f>+CI1124*26000</f>
        <v>0</v>
      </c>
      <c r="CK1124" s="76"/>
      <c r="CL1124" s="76"/>
      <c r="CM1124" s="76"/>
      <c r="CN1124" s="76">
        <f>+CM1124*22000</f>
        <v>0</v>
      </c>
      <c r="CO1124" s="76"/>
      <c r="CP1124" s="76">
        <f>+CO1124*46000</f>
        <v>0</v>
      </c>
      <c r="CQ1124" s="76"/>
      <c r="CR1124" s="76">
        <f>+CQ1124*49000</f>
        <v>0</v>
      </c>
      <c r="CS1124" s="76"/>
      <c r="CT1124" s="76"/>
      <c r="CU1124" s="56">
        <f>AN1124+AP1124+AR1124+AT1124+AV1124+AX1124+AZ1124+BB1124+BD1124+BF1124+BH1124+BJ1124+BL1124+BN1124+BP1124+BR1124+BT1124+BV1124+BX1124+BZ1124+CB1124+CD1124+CF1124+CH1124+CJ1124+CL1124+CN1124+CP1124+CR1124+CT1124</f>
        <v>0</v>
      </c>
      <c r="CV1124" s="76"/>
      <c r="CW1124" s="76">
        <f>+CV1124*1100</f>
        <v>0</v>
      </c>
      <c r="CX1124" s="76"/>
      <c r="CY1124" s="76">
        <f>+CX1124*106250</f>
        <v>0</v>
      </c>
      <c r="CZ1124" s="76"/>
      <c r="DA1124" s="76">
        <f>+CZ1124*34500</f>
        <v>0</v>
      </c>
      <c r="DB1124" s="76"/>
      <c r="DC1124" s="76">
        <f>+DB1124*25000</f>
        <v>0</v>
      </c>
      <c r="DD1124" s="219"/>
      <c r="DE1124" s="219"/>
      <c r="DF1124" s="166"/>
      <c r="DG1124" s="116"/>
      <c r="DH1124" s="117"/>
      <c r="DI1124" s="24"/>
      <c r="DJ1124" s="24"/>
      <c r="DK1124" s="24"/>
      <c r="DL1124" s="24"/>
      <c r="DM1124" s="24"/>
      <c r="DN1124" s="24"/>
      <c r="DO1124" s="24"/>
      <c r="DP1124" s="24"/>
      <c r="DQ1124" s="24"/>
      <c r="DR1124" s="24"/>
      <c r="DS1124" s="24"/>
      <c r="DT1124" s="24"/>
      <c r="DU1124" s="24"/>
    </row>
    <row r="1125" spans="1:125" s="8" customFormat="1" ht="120" x14ac:dyDescent="0.2">
      <c r="A1125" s="226">
        <v>41346</v>
      </c>
      <c r="B1125" s="225" t="s">
        <v>2854</v>
      </c>
      <c r="C1125" s="227" t="s">
        <v>2731</v>
      </c>
      <c r="D1125" s="227" t="s">
        <v>2882</v>
      </c>
      <c r="E1125" s="75" t="str">
        <f>VLOOKUP(B1125&amp;C1125,Divipola!$C$2:$F$1138,4,FALSE)</f>
        <v>19001</v>
      </c>
      <c r="F1125" s="87"/>
      <c r="G1125" s="87"/>
      <c r="H1125" s="87"/>
      <c r="I1125" s="87">
        <v>20</v>
      </c>
      <c r="J1125" s="87">
        <v>4</v>
      </c>
      <c r="K1125" s="87"/>
      <c r="L1125" s="87">
        <v>4</v>
      </c>
      <c r="M1125" s="87"/>
      <c r="N1125" s="87"/>
      <c r="O1125" s="87"/>
      <c r="P1125" s="87"/>
      <c r="Q1125" s="87"/>
      <c r="R1125" s="87"/>
      <c r="S1125" s="87"/>
      <c r="T1125" s="87"/>
      <c r="U1125" s="88"/>
      <c r="V1125" s="89"/>
      <c r="W1125" s="96">
        <v>0</v>
      </c>
      <c r="X1125" s="71">
        <f>CU1125</f>
        <v>0</v>
      </c>
      <c r="Y1125" s="71">
        <f>CY1125</f>
        <v>0</v>
      </c>
      <c r="Z1125" s="71">
        <f>DA1125+DC1125+DE1125</f>
        <v>0</v>
      </c>
      <c r="AA1125" s="71">
        <f>CW1125</f>
        <v>0</v>
      </c>
      <c r="AB1125" s="71"/>
      <c r="AC1125" s="71">
        <v>0</v>
      </c>
      <c r="AD1125" s="71">
        <f>W1125+X1125+Y1125+Z1125+AA1125+AB1125+AC1125</f>
        <v>0</v>
      </c>
      <c r="AE1125" s="72">
        <v>0</v>
      </c>
      <c r="AF1125" s="5"/>
      <c r="AG1125" s="6"/>
      <c r="AH1125" s="27" t="s">
        <v>3392</v>
      </c>
      <c r="AI1125" s="44" t="s">
        <v>3393</v>
      </c>
      <c r="AJ1125" s="26"/>
      <c r="AK1125" s="5"/>
      <c r="AL1125" s="82" t="s">
        <v>3953</v>
      </c>
      <c r="AM1125" s="76"/>
      <c r="AN1125" s="76"/>
      <c r="AO1125" s="76"/>
      <c r="AP1125" s="76"/>
      <c r="AQ1125" s="76"/>
      <c r="AR1125" s="76"/>
      <c r="AS1125" s="76"/>
      <c r="AT1125" s="76"/>
      <c r="AU1125" s="76"/>
      <c r="AV1125" s="76"/>
      <c r="AW1125" s="76"/>
      <c r="AX1125" s="76">
        <f>+AW1125*600000</f>
        <v>0</v>
      </c>
      <c r="AY1125" s="76"/>
      <c r="AZ1125" s="76">
        <f>+AY1125*70000</f>
        <v>0</v>
      </c>
      <c r="BA1125" s="76"/>
      <c r="BB1125" s="76"/>
      <c r="BC1125" s="76"/>
      <c r="BD1125" s="76">
        <f>+BC1125*30000</f>
        <v>0</v>
      </c>
      <c r="BE1125" s="76"/>
      <c r="BF1125" s="76"/>
      <c r="BG1125" s="76"/>
      <c r="BH1125" s="76"/>
      <c r="BI1125" s="76"/>
      <c r="BJ1125" s="76"/>
      <c r="BK1125" s="76"/>
      <c r="BL1125" s="76">
        <f>+BK1125*31500</f>
        <v>0</v>
      </c>
      <c r="BM1125" s="76"/>
      <c r="BN1125" s="76"/>
      <c r="BO1125" s="76"/>
      <c r="BP1125" s="76"/>
      <c r="BQ1125" s="76"/>
      <c r="BR1125" s="76"/>
      <c r="BS1125" s="76"/>
      <c r="BT1125" s="76"/>
      <c r="BU1125" s="76"/>
      <c r="BV1125" s="76"/>
      <c r="BW1125" s="76"/>
      <c r="BX1125" s="76"/>
      <c r="BY1125" s="76"/>
      <c r="BZ1125" s="76"/>
      <c r="CA1125" s="76"/>
      <c r="CB1125" s="76"/>
      <c r="CC1125" s="76"/>
      <c r="CD1125" s="76"/>
      <c r="CE1125" s="76"/>
      <c r="CF1125" s="76">
        <f>+CE1125*28000</f>
        <v>0</v>
      </c>
      <c r="CG1125" s="76"/>
      <c r="CH1125" s="76">
        <f>+CG1125*22500</f>
        <v>0</v>
      </c>
      <c r="CI1125" s="76"/>
      <c r="CJ1125" s="76">
        <f>+CI1125*26000</f>
        <v>0</v>
      </c>
      <c r="CK1125" s="76"/>
      <c r="CL1125" s="76"/>
      <c r="CM1125" s="76"/>
      <c r="CN1125" s="76">
        <f>+CM1125*22000</f>
        <v>0</v>
      </c>
      <c r="CO1125" s="76"/>
      <c r="CP1125" s="76">
        <f>+CO1125*46000</f>
        <v>0</v>
      </c>
      <c r="CQ1125" s="76"/>
      <c r="CR1125" s="76">
        <f>+CQ1125*49000</f>
        <v>0</v>
      </c>
      <c r="CS1125" s="76"/>
      <c r="CT1125" s="76"/>
      <c r="CU1125" s="56">
        <f>AN1125+AP1125+AR1125+AT1125+AV1125+AX1125+AZ1125+BB1125+BD1125+BF1125+BH1125+BJ1125+BL1125+BN1125+BP1125+BR1125+BT1125+BV1125+BX1125+BZ1125+CB1125+CD1125+CF1125+CH1125+CJ1125+CL1125+CN1125+CP1125+CR1125+CT1125</f>
        <v>0</v>
      </c>
      <c r="CV1125" s="76"/>
      <c r="CW1125" s="76">
        <f>+CV1125*1100</f>
        <v>0</v>
      </c>
      <c r="CX1125" s="76"/>
      <c r="CY1125" s="76">
        <f>+CX1125*106250</f>
        <v>0</v>
      </c>
      <c r="CZ1125" s="76"/>
      <c r="DA1125" s="76">
        <f>+CZ1125*34500</f>
        <v>0</v>
      </c>
      <c r="DB1125" s="76"/>
      <c r="DC1125" s="76">
        <f>+DB1125*25000</f>
        <v>0</v>
      </c>
      <c r="DD1125" s="219"/>
      <c r="DE1125" s="219"/>
      <c r="DF1125" s="166"/>
      <c r="DG1125" s="116"/>
      <c r="DH1125" s="117"/>
      <c r="DI1125" s="24"/>
      <c r="DJ1125" s="24"/>
      <c r="DK1125" s="24"/>
      <c r="DL1125" s="24"/>
      <c r="DM1125" s="24"/>
      <c r="DN1125" s="24"/>
      <c r="DO1125" s="24"/>
      <c r="DP1125" s="24"/>
      <c r="DQ1125" s="24"/>
      <c r="DR1125" s="24"/>
      <c r="DS1125" s="24"/>
      <c r="DT1125" s="24"/>
      <c r="DU1125" s="24"/>
    </row>
    <row r="1126" spans="1:125" s="8" customFormat="1" ht="36" x14ac:dyDescent="0.2">
      <c r="A1126" s="226">
        <v>41346</v>
      </c>
      <c r="B1126" s="225" t="s">
        <v>2852</v>
      </c>
      <c r="C1126" s="227" t="s">
        <v>1245</v>
      </c>
      <c r="D1126" s="227" t="s">
        <v>2859</v>
      </c>
      <c r="E1126" s="75" t="str">
        <f>VLOOKUP(B1126&amp;C1126,Divipola!$C$2:$F$1138,4,FALSE)</f>
        <v>27450</v>
      </c>
      <c r="F1126" s="87"/>
      <c r="G1126" s="87"/>
      <c r="H1126" s="87"/>
      <c r="I1126" s="87">
        <v>5</v>
      </c>
      <c r="J1126" s="87">
        <v>1</v>
      </c>
      <c r="K1126" s="87">
        <v>1</v>
      </c>
      <c r="L1126" s="87"/>
      <c r="M1126" s="87"/>
      <c r="N1126" s="87"/>
      <c r="O1126" s="87"/>
      <c r="P1126" s="87"/>
      <c r="Q1126" s="87"/>
      <c r="R1126" s="87"/>
      <c r="S1126" s="87"/>
      <c r="T1126" s="87"/>
      <c r="U1126" s="88"/>
      <c r="V1126" s="89"/>
      <c r="W1126" s="96">
        <v>0</v>
      </c>
      <c r="X1126" s="71">
        <f>CU1126</f>
        <v>0</v>
      </c>
      <c r="Y1126" s="71">
        <f>CY1126</f>
        <v>0</v>
      </c>
      <c r="Z1126" s="71">
        <f>DA1126+DC1126+DE1126</f>
        <v>0</v>
      </c>
      <c r="AA1126" s="71">
        <f>CW1126</f>
        <v>0</v>
      </c>
      <c r="AB1126" s="71"/>
      <c r="AC1126" s="71">
        <v>0</v>
      </c>
      <c r="AD1126" s="71">
        <f>W1126+X1126+Y1126+Z1126+AA1126+AB1126+AC1126</f>
        <v>0</v>
      </c>
      <c r="AE1126" s="72">
        <v>0</v>
      </c>
      <c r="AF1126" s="5"/>
      <c r="AG1126" s="6"/>
      <c r="AH1126" s="27" t="s">
        <v>3392</v>
      </c>
      <c r="AI1126" s="44" t="s">
        <v>3393</v>
      </c>
      <c r="AJ1126" s="26"/>
      <c r="AK1126" s="5"/>
      <c r="AL1126" s="82" t="s">
        <v>3924</v>
      </c>
      <c r="AM1126" s="82"/>
      <c r="AN1126" s="76"/>
      <c r="AO1126" s="76"/>
      <c r="AP1126" s="76"/>
      <c r="AQ1126" s="76"/>
      <c r="AR1126" s="76"/>
      <c r="AS1126" s="76"/>
      <c r="AT1126" s="76"/>
      <c r="AU1126" s="76"/>
      <c r="AV1126" s="76"/>
      <c r="AW1126" s="76"/>
      <c r="AX1126" s="76">
        <f>+AW1126*600000</f>
        <v>0</v>
      </c>
      <c r="AY1126" s="76"/>
      <c r="AZ1126" s="76">
        <f>+AY1126*70000</f>
        <v>0</v>
      </c>
      <c r="BA1126" s="76"/>
      <c r="BB1126" s="76"/>
      <c r="BC1126" s="76"/>
      <c r="BD1126" s="76">
        <f>+BC1126*30000</f>
        <v>0</v>
      </c>
      <c r="BE1126" s="76"/>
      <c r="BF1126" s="76"/>
      <c r="BG1126" s="76"/>
      <c r="BH1126" s="76"/>
      <c r="BI1126" s="76"/>
      <c r="BJ1126" s="76"/>
      <c r="BK1126" s="76"/>
      <c r="BL1126" s="76">
        <f>+BK1126*31500</f>
        <v>0</v>
      </c>
      <c r="BM1126" s="76"/>
      <c r="BN1126" s="76"/>
      <c r="BO1126" s="76"/>
      <c r="BP1126" s="76"/>
      <c r="BQ1126" s="76"/>
      <c r="BR1126" s="76"/>
      <c r="BS1126" s="76"/>
      <c r="BT1126" s="76"/>
      <c r="BU1126" s="76"/>
      <c r="BV1126" s="76"/>
      <c r="BW1126" s="76"/>
      <c r="BX1126" s="76"/>
      <c r="BY1126" s="76"/>
      <c r="BZ1126" s="76"/>
      <c r="CA1126" s="76"/>
      <c r="CB1126" s="76"/>
      <c r="CC1126" s="76"/>
      <c r="CD1126" s="76"/>
      <c r="CE1126" s="76"/>
      <c r="CF1126" s="76">
        <f>+CE1126*28000</f>
        <v>0</v>
      </c>
      <c r="CG1126" s="76"/>
      <c r="CH1126" s="76">
        <f>+CG1126*22500</f>
        <v>0</v>
      </c>
      <c r="CI1126" s="76"/>
      <c r="CJ1126" s="76">
        <f>+CI1126*26000</f>
        <v>0</v>
      </c>
      <c r="CK1126" s="76"/>
      <c r="CL1126" s="76"/>
      <c r="CM1126" s="76"/>
      <c r="CN1126" s="76">
        <f>+CM1126*22000</f>
        <v>0</v>
      </c>
      <c r="CO1126" s="76"/>
      <c r="CP1126" s="76">
        <f>+CO1126*46000</f>
        <v>0</v>
      </c>
      <c r="CQ1126" s="76"/>
      <c r="CR1126" s="76">
        <f>+CQ1126*49000</f>
        <v>0</v>
      </c>
      <c r="CS1126" s="76"/>
      <c r="CT1126" s="76"/>
      <c r="CU1126" s="56">
        <f>AN1126+AP1126+AR1126+AT1126+AV1126+AX1126+AZ1126+BB1126+BD1126+BF1126+BH1126+BJ1126+BL1126+BN1126+BP1126+BR1126+BT1126+BV1126+BX1126+BZ1126+CB1126+CD1126+CF1126+CH1126+CJ1126+CL1126+CN1126+CP1126+CR1126+CT1126</f>
        <v>0</v>
      </c>
      <c r="CV1126" s="76"/>
      <c r="CW1126" s="76">
        <f>+CV1126*1100</f>
        <v>0</v>
      </c>
      <c r="CX1126" s="76"/>
      <c r="CY1126" s="76">
        <f>+CX1126*106250</f>
        <v>0</v>
      </c>
      <c r="CZ1126" s="76"/>
      <c r="DA1126" s="76">
        <f>+CZ1126*34500</f>
        <v>0</v>
      </c>
      <c r="DB1126" s="76"/>
      <c r="DC1126" s="76">
        <f>+DB1126*25000</f>
        <v>0</v>
      </c>
      <c r="DD1126" s="219"/>
      <c r="DE1126" s="219"/>
      <c r="DF1126" s="166"/>
      <c r="DG1126" s="116"/>
      <c r="DH1126" s="117"/>
      <c r="DI1126" s="24"/>
      <c r="DJ1126" s="24"/>
      <c r="DK1126" s="24"/>
      <c r="DL1126" s="24"/>
      <c r="DM1126" s="24"/>
      <c r="DN1126" s="24"/>
      <c r="DO1126" s="24"/>
      <c r="DP1126" s="24"/>
      <c r="DQ1126" s="24"/>
      <c r="DR1126" s="24"/>
      <c r="DS1126" s="24"/>
      <c r="DT1126" s="24"/>
      <c r="DU1126" s="24"/>
    </row>
    <row r="1127" spans="1:125" s="8" customFormat="1" ht="60" x14ac:dyDescent="0.2">
      <c r="A1127" s="226">
        <v>41346</v>
      </c>
      <c r="B1127" s="225" t="s">
        <v>2718</v>
      </c>
      <c r="C1127" s="227" t="s">
        <v>968</v>
      </c>
      <c r="D1127" s="227" t="s">
        <v>2859</v>
      </c>
      <c r="E1127" s="75" t="str">
        <f>VLOOKUP(B1127&amp;C1127,Divipola!$C$2:$F$1138,4,FALSE)</f>
        <v>23464</v>
      </c>
      <c r="F1127" s="87"/>
      <c r="G1127" s="87"/>
      <c r="H1127" s="87"/>
      <c r="I1127" s="87"/>
      <c r="J1127" s="87"/>
      <c r="K1127" s="87"/>
      <c r="L1127" s="87"/>
      <c r="M1127" s="87"/>
      <c r="N1127" s="87"/>
      <c r="O1127" s="87"/>
      <c r="P1127" s="87"/>
      <c r="Q1127" s="87"/>
      <c r="R1127" s="87"/>
      <c r="S1127" s="87"/>
      <c r="T1127" s="87"/>
      <c r="U1127" s="88"/>
      <c r="V1127" s="89">
        <v>1</v>
      </c>
      <c r="W1127" s="96">
        <v>0</v>
      </c>
      <c r="X1127" s="71">
        <f>CU1127</f>
        <v>0</v>
      </c>
      <c r="Y1127" s="71">
        <f>CY1127</f>
        <v>0</v>
      </c>
      <c r="Z1127" s="71">
        <f>DA1127+DC1127+DE1127</f>
        <v>0</v>
      </c>
      <c r="AA1127" s="71">
        <f>CW1127</f>
        <v>0</v>
      </c>
      <c r="AB1127" s="71"/>
      <c r="AC1127" s="71">
        <v>0</v>
      </c>
      <c r="AD1127" s="71">
        <f>W1127+X1127+Y1127+Z1127+AA1127+AB1127+AC1127</f>
        <v>0</v>
      </c>
      <c r="AE1127" s="72">
        <v>0</v>
      </c>
      <c r="AF1127" s="5"/>
      <c r="AG1127" s="6"/>
      <c r="AH1127" s="27" t="s">
        <v>3392</v>
      </c>
      <c r="AI1127" s="44" t="s">
        <v>3393</v>
      </c>
      <c r="AJ1127" s="26"/>
      <c r="AK1127" s="5"/>
      <c r="AL1127" s="82" t="s">
        <v>3936</v>
      </c>
      <c r="AM1127" s="76"/>
      <c r="AN1127" s="76"/>
      <c r="AO1127" s="76"/>
      <c r="AP1127" s="76"/>
      <c r="AQ1127" s="76"/>
      <c r="AR1127" s="76"/>
      <c r="AS1127" s="76"/>
      <c r="AT1127" s="76"/>
      <c r="AU1127" s="76"/>
      <c r="AV1127" s="76"/>
      <c r="AW1127" s="76"/>
      <c r="AX1127" s="76">
        <f>+AW1127*600000</f>
        <v>0</v>
      </c>
      <c r="AY1127" s="76"/>
      <c r="AZ1127" s="76">
        <f>+AY1127*70000</f>
        <v>0</v>
      </c>
      <c r="BA1127" s="76"/>
      <c r="BB1127" s="76"/>
      <c r="BC1127" s="76"/>
      <c r="BD1127" s="76">
        <f>+BC1127*30000</f>
        <v>0</v>
      </c>
      <c r="BE1127" s="76"/>
      <c r="BF1127" s="76"/>
      <c r="BG1127" s="76"/>
      <c r="BH1127" s="76"/>
      <c r="BI1127" s="76"/>
      <c r="BJ1127" s="76"/>
      <c r="BK1127" s="76"/>
      <c r="BL1127" s="76">
        <f>+BK1127*31500</f>
        <v>0</v>
      </c>
      <c r="BM1127" s="76"/>
      <c r="BN1127" s="76"/>
      <c r="BO1127" s="76"/>
      <c r="BP1127" s="76"/>
      <c r="BQ1127" s="76"/>
      <c r="BR1127" s="76"/>
      <c r="BS1127" s="76"/>
      <c r="BT1127" s="76"/>
      <c r="BU1127" s="76"/>
      <c r="BV1127" s="76"/>
      <c r="BW1127" s="76"/>
      <c r="BX1127" s="76"/>
      <c r="BY1127" s="76"/>
      <c r="BZ1127" s="76"/>
      <c r="CA1127" s="76"/>
      <c r="CB1127" s="76"/>
      <c r="CC1127" s="76"/>
      <c r="CD1127" s="76"/>
      <c r="CE1127" s="76"/>
      <c r="CF1127" s="76">
        <f>+CE1127*28000</f>
        <v>0</v>
      </c>
      <c r="CG1127" s="76"/>
      <c r="CH1127" s="76">
        <f>+CG1127*22500</f>
        <v>0</v>
      </c>
      <c r="CI1127" s="76"/>
      <c r="CJ1127" s="76">
        <f>+CI1127*26000</f>
        <v>0</v>
      </c>
      <c r="CK1127" s="76"/>
      <c r="CL1127" s="76"/>
      <c r="CM1127" s="76"/>
      <c r="CN1127" s="76">
        <f>+CM1127*22000</f>
        <v>0</v>
      </c>
      <c r="CO1127" s="76"/>
      <c r="CP1127" s="76">
        <f>+CO1127*46000</f>
        <v>0</v>
      </c>
      <c r="CQ1127" s="76"/>
      <c r="CR1127" s="76">
        <f>+CQ1127*49000</f>
        <v>0</v>
      </c>
      <c r="CS1127" s="76"/>
      <c r="CT1127" s="76"/>
      <c r="CU1127" s="56">
        <f>AN1127+AP1127+AR1127+AT1127+AV1127+AX1127+AZ1127+BB1127+BD1127+BF1127+BH1127+BJ1127+BL1127+BN1127+BP1127+BR1127+BT1127+BV1127+BX1127+BZ1127+CB1127+CD1127+CF1127+CH1127+CJ1127+CL1127+CN1127+CP1127+CR1127+CT1127</f>
        <v>0</v>
      </c>
      <c r="CV1127" s="76"/>
      <c r="CW1127" s="76">
        <f>+CV1127*1100</f>
        <v>0</v>
      </c>
      <c r="CX1127" s="76"/>
      <c r="CY1127" s="76">
        <f>+CX1127*106250</f>
        <v>0</v>
      </c>
      <c r="CZ1127" s="76"/>
      <c r="DA1127" s="76">
        <f>+CZ1127*34500</f>
        <v>0</v>
      </c>
      <c r="DB1127" s="76"/>
      <c r="DC1127" s="76">
        <f>+DB1127*25000</f>
        <v>0</v>
      </c>
      <c r="DD1127" s="219"/>
      <c r="DE1127" s="219"/>
      <c r="DF1127" s="166"/>
      <c r="DG1127" s="116"/>
      <c r="DH1127" s="117"/>
      <c r="DI1127" s="24"/>
      <c r="DJ1127" s="24"/>
      <c r="DK1127" s="24"/>
      <c r="DL1127" s="24"/>
      <c r="DM1127" s="24"/>
      <c r="DN1127" s="24"/>
      <c r="DO1127" s="24"/>
      <c r="DP1127" s="24"/>
      <c r="DQ1127" s="24"/>
      <c r="DR1127" s="24"/>
      <c r="DS1127" s="24"/>
      <c r="DT1127" s="24"/>
      <c r="DU1127" s="24"/>
    </row>
    <row r="1128" spans="1:125" s="8" customFormat="1" ht="96" x14ac:dyDescent="0.2">
      <c r="A1128" s="226">
        <v>41346</v>
      </c>
      <c r="B1128" s="352" t="s">
        <v>2772</v>
      </c>
      <c r="C1128" s="354" t="s">
        <v>1385</v>
      </c>
      <c r="D1128" s="84" t="s">
        <v>3088</v>
      </c>
      <c r="E1128" s="75" t="str">
        <f>VLOOKUP(B1128&amp;C1128,Divipola!$C$2:$F$1138,4,FALSE)</f>
        <v>25658</v>
      </c>
      <c r="F1128" s="100"/>
      <c r="G1128" s="100"/>
      <c r="H1128" s="100"/>
      <c r="I1128" s="100"/>
      <c r="J1128" s="100"/>
      <c r="K1128" s="100"/>
      <c r="L1128" s="100"/>
      <c r="M1128" s="100">
        <v>1</v>
      </c>
      <c r="N1128" s="100"/>
      <c r="O1128" s="100"/>
      <c r="P1128" s="100"/>
      <c r="Q1128" s="100"/>
      <c r="R1128" s="100"/>
      <c r="S1128" s="100"/>
      <c r="T1128" s="100"/>
      <c r="U1128" s="136"/>
      <c r="V1128" s="89"/>
      <c r="W1128" s="96">
        <v>0</v>
      </c>
      <c r="X1128" s="71">
        <f>CU1128</f>
        <v>0</v>
      </c>
      <c r="Y1128" s="71">
        <f>CY1128</f>
        <v>0</v>
      </c>
      <c r="Z1128" s="71">
        <f>DA1128+DC1128+DE1128</f>
        <v>0</v>
      </c>
      <c r="AA1128" s="71">
        <f>CW1128</f>
        <v>0</v>
      </c>
      <c r="AB1128" s="71"/>
      <c r="AC1128" s="71">
        <v>0</v>
      </c>
      <c r="AD1128" s="71">
        <f>W1128+X1128+Y1128+Z1128+AA1128+AB1128+AC1128</f>
        <v>0</v>
      </c>
      <c r="AE1128" s="72">
        <v>0</v>
      </c>
      <c r="AF1128" s="5"/>
      <c r="AG1128" s="6"/>
      <c r="AH1128" s="27" t="s">
        <v>3392</v>
      </c>
      <c r="AI1128" s="44" t="s">
        <v>3393</v>
      </c>
      <c r="AJ1128" s="26"/>
      <c r="AK1128" s="5"/>
      <c r="AL1128" s="82" t="s">
        <v>3928</v>
      </c>
      <c r="AM1128" s="76"/>
      <c r="AN1128" s="76"/>
      <c r="AO1128" s="76"/>
      <c r="AP1128" s="76"/>
      <c r="AQ1128" s="76"/>
      <c r="AR1128" s="76"/>
      <c r="AS1128" s="76"/>
      <c r="AT1128" s="76"/>
      <c r="AU1128" s="76"/>
      <c r="AV1128" s="76"/>
      <c r="AW1128" s="76"/>
      <c r="AX1128" s="76">
        <f>+AW1128*600000</f>
        <v>0</v>
      </c>
      <c r="AY1128" s="76"/>
      <c r="AZ1128" s="76">
        <f>+AY1128*70000</f>
        <v>0</v>
      </c>
      <c r="BA1128" s="76"/>
      <c r="BB1128" s="76"/>
      <c r="BC1128" s="76"/>
      <c r="BD1128" s="76">
        <f>+BC1128*30000</f>
        <v>0</v>
      </c>
      <c r="BE1128" s="76"/>
      <c r="BF1128" s="76"/>
      <c r="BG1128" s="76"/>
      <c r="BH1128" s="76"/>
      <c r="BI1128" s="76"/>
      <c r="BJ1128" s="76"/>
      <c r="BK1128" s="76"/>
      <c r="BL1128" s="76">
        <f>+BK1128*31500</f>
        <v>0</v>
      </c>
      <c r="BM1128" s="76"/>
      <c r="BN1128" s="76"/>
      <c r="BO1128" s="76"/>
      <c r="BP1128" s="76"/>
      <c r="BQ1128" s="76"/>
      <c r="BR1128" s="76"/>
      <c r="BS1128" s="76"/>
      <c r="BT1128" s="76"/>
      <c r="BU1128" s="76"/>
      <c r="BV1128" s="76"/>
      <c r="BW1128" s="76"/>
      <c r="BX1128" s="76"/>
      <c r="BY1128" s="76"/>
      <c r="BZ1128" s="76"/>
      <c r="CA1128" s="76"/>
      <c r="CB1128" s="76"/>
      <c r="CC1128" s="76"/>
      <c r="CD1128" s="76"/>
      <c r="CE1128" s="76"/>
      <c r="CF1128" s="76">
        <f>+CE1128*28000</f>
        <v>0</v>
      </c>
      <c r="CG1128" s="76"/>
      <c r="CH1128" s="76">
        <f>+CG1128*22500</f>
        <v>0</v>
      </c>
      <c r="CI1128" s="76"/>
      <c r="CJ1128" s="76">
        <f>+CI1128*26000</f>
        <v>0</v>
      </c>
      <c r="CK1128" s="76"/>
      <c r="CL1128" s="76"/>
      <c r="CM1128" s="76"/>
      <c r="CN1128" s="76">
        <f>+CM1128*22000</f>
        <v>0</v>
      </c>
      <c r="CO1128" s="76"/>
      <c r="CP1128" s="76">
        <f>+CO1128*46000</f>
        <v>0</v>
      </c>
      <c r="CQ1128" s="76"/>
      <c r="CR1128" s="76">
        <f>+CQ1128*49000</f>
        <v>0</v>
      </c>
      <c r="CS1128" s="76"/>
      <c r="CT1128" s="76"/>
      <c r="CU1128" s="56">
        <f>AN1128+AP1128+AR1128+AT1128+AV1128+AX1128+AZ1128+BB1128+BD1128+BF1128+BH1128+BJ1128+BL1128+BN1128+BP1128+BR1128+BT1128+BV1128+BX1128+BZ1128+CB1128+CD1128+CF1128+CH1128+CJ1128+CL1128+CN1128+CP1128+CR1128+CT1128</f>
        <v>0</v>
      </c>
      <c r="CV1128" s="76"/>
      <c r="CW1128" s="76">
        <f>+CV1128*1100</f>
        <v>0</v>
      </c>
      <c r="CX1128" s="76"/>
      <c r="CY1128" s="76">
        <f>+CX1128*106250</f>
        <v>0</v>
      </c>
      <c r="CZ1128" s="76"/>
      <c r="DA1128" s="76">
        <f>+CZ1128*34500</f>
        <v>0</v>
      </c>
      <c r="DB1128" s="76"/>
      <c r="DC1128" s="76">
        <f>+DB1128*25000</f>
        <v>0</v>
      </c>
      <c r="DD1128" s="219"/>
      <c r="DE1128" s="219"/>
      <c r="DF1128" s="166"/>
      <c r="DG1128" s="116"/>
      <c r="DH1128" s="117"/>
      <c r="DI1128" s="24"/>
      <c r="DJ1128" s="24"/>
      <c r="DK1128" s="24"/>
      <c r="DL1128" s="24"/>
      <c r="DM1128" s="24"/>
      <c r="DN1128" s="24"/>
      <c r="DO1128" s="24"/>
      <c r="DP1128" s="24"/>
      <c r="DQ1128" s="24"/>
      <c r="DR1128" s="24"/>
      <c r="DS1128" s="24"/>
      <c r="DT1128" s="24"/>
      <c r="DU1128" s="24"/>
    </row>
    <row r="1129" spans="1:125" s="8" customFormat="1" ht="48" x14ac:dyDescent="0.2">
      <c r="A1129" s="77">
        <v>41346</v>
      </c>
      <c r="B1129" s="78" t="s">
        <v>2906</v>
      </c>
      <c r="C1129" s="75" t="s">
        <v>437</v>
      </c>
      <c r="D1129" s="81" t="s">
        <v>2846</v>
      </c>
      <c r="E1129" s="75" t="str">
        <f>VLOOKUP(B1129&amp;C1129,Divipola!$C$2:$F$1138,4,FALSE)</f>
        <v>47288</v>
      </c>
      <c r="F1129" s="87"/>
      <c r="G1129" s="87"/>
      <c r="H1129" s="87"/>
      <c r="I1129" s="87"/>
      <c r="J1129" s="87"/>
      <c r="K1129" s="87"/>
      <c r="L1129" s="87"/>
      <c r="M1129" s="87"/>
      <c r="N1129" s="87"/>
      <c r="O1129" s="87"/>
      <c r="P1129" s="87"/>
      <c r="Q1129" s="87"/>
      <c r="R1129" s="87"/>
      <c r="S1129" s="87"/>
      <c r="T1129" s="87"/>
      <c r="U1129" s="88">
        <v>2</v>
      </c>
      <c r="V1129" s="89"/>
      <c r="W1129" s="96">
        <v>0</v>
      </c>
      <c r="X1129" s="71">
        <f>CU1129</f>
        <v>0</v>
      </c>
      <c r="Y1129" s="71">
        <f>CY1129</f>
        <v>0</v>
      </c>
      <c r="Z1129" s="71">
        <f>DA1129+DC1129+DE1129</f>
        <v>0</v>
      </c>
      <c r="AA1129" s="71">
        <f>CW1129</f>
        <v>0</v>
      </c>
      <c r="AB1129" s="71"/>
      <c r="AC1129" s="71">
        <v>0</v>
      </c>
      <c r="AD1129" s="71">
        <f>W1129+X1129+Y1129+Z1129+AA1129+AB1129+AC1129</f>
        <v>0</v>
      </c>
      <c r="AE1129" s="72">
        <v>0</v>
      </c>
      <c r="AF1129" s="5"/>
      <c r="AG1129" s="6"/>
      <c r="AH1129" s="27" t="s">
        <v>3392</v>
      </c>
      <c r="AI1129" s="44" t="s">
        <v>3393</v>
      </c>
      <c r="AJ1129" s="26"/>
      <c r="AK1129" s="5"/>
      <c r="AL1129" s="82" t="s">
        <v>3929</v>
      </c>
      <c r="AM1129" s="76"/>
      <c r="AN1129" s="76"/>
      <c r="AO1129" s="76"/>
      <c r="AP1129" s="76"/>
      <c r="AQ1129" s="76"/>
      <c r="AR1129" s="76"/>
      <c r="AS1129" s="76"/>
      <c r="AT1129" s="76"/>
      <c r="AU1129" s="76"/>
      <c r="AV1129" s="76"/>
      <c r="AW1129" s="76"/>
      <c r="AX1129" s="76">
        <f>+AW1129*600000</f>
        <v>0</v>
      </c>
      <c r="AY1129" s="76"/>
      <c r="AZ1129" s="76">
        <f>+AY1129*70000</f>
        <v>0</v>
      </c>
      <c r="BA1129" s="76"/>
      <c r="BB1129" s="76"/>
      <c r="BC1129" s="76"/>
      <c r="BD1129" s="76">
        <f>+BC1129*30000</f>
        <v>0</v>
      </c>
      <c r="BE1129" s="76"/>
      <c r="BF1129" s="76"/>
      <c r="BG1129" s="76"/>
      <c r="BH1129" s="76"/>
      <c r="BI1129" s="76"/>
      <c r="BJ1129" s="76"/>
      <c r="BK1129" s="76"/>
      <c r="BL1129" s="76">
        <f>+BK1129*31500</f>
        <v>0</v>
      </c>
      <c r="BM1129" s="76"/>
      <c r="BN1129" s="76"/>
      <c r="BO1129" s="76"/>
      <c r="BP1129" s="76"/>
      <c r="BQ1129" s="76"/>
      <c r="BR1129" s="76"/>
      <c r="BS1129" s="76"/>
      <c r="BT1129" s="76"/>
      <c r="BU1129" s="76"/>
      <c r="BV1129" s="76"/>
      <c r="BW1129" s="76"/>
      <c r="BX1129" s="76"/>
      <c r="BY1129" s="76"/>
      <c r="BZ1129" s="76"/>
      <c r="CA1129" s="76"/>
      <c r="CB1129" s="76"/>
      <c r="CC1129" s="76"/>
      <c r="CD1129" s="76"/>
      <c r="CE1129" s="76"/>
      <c r="CF1129" s="76">
        <f>+CE1129*28000</f>
        <v>0</v>
      </c>
      <c r="CG1129" s="76"/>
      <c r="CH1129" s="76">
        <f>+CG1129*22500</f>
        <v>0</v>
      </c>
      <c r="CI1129" s="76"/>
      <c r="CJ1129" s="76">
        <f>+CI1129*26000</f>
        <v>0</v>
      </c>
      <c r="CK1129" s="76"/>
      <c r="CL1129" s="76"/>
      <c r="CM1129" s="76"/>
      <c r="CN1129" s="76">
        <f>+CM1129*22000</f>
        <v>0</v>
      </c>
      <c r="CO1129" s="76"/>
      <c r="CP1129" s="76">
        <f>+CO1129*46000</f>
        <v>0</v>
      </c>
      <c r="CQ1129" s="76"/>
      <c r="CR1129" s="76">
        <f>+CQ1129*49000</f>
        <v>0</v>
      </c>
      <c r="CS1129" s="76"/>
      <c r="CT1129" s="76"/>
      <c r="CU1129" s="56">
        <f>AN1129+AP1129+AR1129+AT1129+AV1129+AX1129+AZ1129+BB1129+BD1129+BF1129+BH1129+BJ1129+BL1129+BN1129+BP1129+BR1129+BT1129+BV1129+BX1129+BZ1129+CB1129+CD1129+CF1129+CH1129+CJ1129+CL1129+CN1129+CP1129+CR1129+CT1129</f>
        <v>0</v>
      </c>
      <c r="CV1129" s="76"/>
      <c r="CW1129" s="76">
        <f>+CV1129*1100</f>
        <v>0</v>
      </c>
      <c r="CX1129" s="76"/>
      <c r="CY1129" s="76">
        <f>+CX1129*106250</f>
        <v>0</v>
      </c>
      <c r="CZ1129" s="76"/>
      <c r="DA1129" s="76">
        <f>+CZ1129*34500</f>
        <v>0</v>
      </c>
      <c r="DB1129" s="76"/>
      <c r="DC1129" s="76">
        <f>+DB1129*25000</f>
        <v>0</v>
      </c>
      <c r="DD1129" s="219"/>
      <c r="DE1129" s="219"/>
      <c r="DF1129" s="166"/>
      <c r="DG1129" s="116"/>
      <c r="DH1129" s="117"/>
      <c r="DI1129" s="24"/>
      <c r="DJ1129" s="24"/>
      <c r="DK1129" s="24"/>
      <c r="DL1129" s="24"/>
      <c r="DM1129" s="24"/>
      <c r="DN1129" s="24"/>
      <c r="DO1129" s="24"/>
      <c r="DP1129" s="24"/>
      <c r="DQ1129" s="24"/>
      <c r="DR1129" s="24"/>
      <c r="DS1129" s="24"/>
      <c r="DT1129" s="24"/>
      <c r="DU1129" s="24"/>
    </row>
    <row r="1130" spans="1:125" s="8" customFormat="1" ht="96" x14ac:dyDescent="0.2">
      <c r="A1130" s="97">
        <v>41346</v>
      </c>
      <c r="B1130" s="60" t="s">
        <v>2847</v>
      </c>
      <c r="C1130" s="55" t="s">
        <v>2799</v>
      </c>
      <c r="D1130" s="81" t="s">
        <v>2846</v>
      </c>
      <c r="E1130" s="75" t="str">
        <f>VLOOKUP(B1130&amp;C1130,Divipola!$C$2:$F$1138,4,FALSE)</f>
        <v>68121</v>
      </c>
      <c r="F1130" s="87"/>
      <c r="G1130" s="87"/>
      <c r="H1130" s="87"/>
      <c r="I1130" s="87"/>
      <c r="J1130" s="87"/>
      <c r="K1130" s="87"/>
      <c r="L1130" s="87"/>
      <c r="M1130" s="87"/>
      <c r="N1130" s="87"/>
      <c r="O1130" s="87"/>
      <c r="P1130" s="87"/>
      <c r="Q1130" s="87"/>
      <c r="R1130" s="87"/>
      <c r="S1130" s="87"/>
      <c r="T1130" s="87"/>
      <c r="U1130" s="88"/>
      <c r="V1130" s="89"/>
      <c r="W1130" s="96">
        <v>0</v>
      </c>
      <c r="X1130" s="71">
        <f>CU1130</f>
        <v>0</v>
      </c>
      <c r="Y1130" s="71">
        <f>CY1130</f>
        <v>0</v>
      </c>
      <c r="Z1130" s="71">
        <f>DA1130+DC1130+DE1130</f>
        <v>0</v>
      </c>
      <c r="AA1130" s="71">
        <f>CW1130</f>
        <v>0</v>
      </c>
      <c r="AB1130" s="71"/>
      <c r="AC1130" s="71">
        <v>0</v>
      </c>
      <c r="AD1130" s="71">
        <f>W1130+X1130+Y1130+Z1130+AA1130+AB1130+AC1130</f>
        <v>0</v>
      </c>
      <c r="AE1130" s="72">
        <v>0</v>
      </c>
      <c r="AF1130" s="5"/>
      <c r="AG1130" s="6"/>
      <c r="AH1130" s="27" t="s">
        <v>3392</v>
      </c>
      <c r="AI1130" s="44" t="s">
        <v>3393</v>
      </c>
      <c r="AJ1130" s="26"/>
      <c r="AK1130" s="5"/>
      <c r="AL1130" s="82" t="s">
        <v>3939</v>
      </c>
      <c r="AM1130" s="76"/>
      <c r="AN1130" s="76"/>
      <c r="AO1130" s="76"/>
      <c r="AP1130" s="76"/>
      <c r="AQ1130" s="76"/>
      <c r="AR1130" s="76"/>
      <c r="AS1130" s="76"/>
      <c r="AT1130" s="76"/>
      <c r="AU1130" s="76"/>
      <c r="AV1130" s="76"/>
      <c r="AW1130" s="76"/>
      <c r="AX1130" s="76">
        <f>+AW1130*600000</f>
        <v>0</v>
      </c>
      <c r="AY1130" s="76"/>
      <c r="AZ1130" s="76">
        <f>+AY1130*70000</f>
        <v>0</v>
      </c>
      <c r="BA1130" s="76"/>
      <c r="BB1130" s="76"/>
      <c r="BC1130" s="76"/>
      <c r="BD1130" s="76">
        <f>+BC1130*30000</f>
        <v>0</v>
      </c>
      <c r="BE1130" s="76"/>
      <c r="BF1130" s="76"/>
      <c r="BG1130" s="76"/>
      <c r="BH1130" s="76"/>
      <c r="BI1130" s="76"/>
      <c r="BJ1130" s="76"/>
      <c r="BK1130" s="76"/>
      <c r="BL1130" s="76">
        <f>+BK1130*31500</f>
        <v>0</v>
      </c>
      <c r="BM1130" s="76"/>
      <c r="BN1130" s="76"/>
      <c r="BO1130" s="76"/>
      <c r="BP1130" s="76"/>
      <c r="BQ1130" s="76"/>
      <c r="BR1130" s="76"/>
      <c r="BS1130" s="76"/>
      <c r="BT1130" s="76"/>
      <c r="BU1130" s="76"/>
      <c r="BV1130" s="76"/>
      <c r="BW1130" s="76"/>
      <c r="BX1130" s="76"/>
      <c r="BY1130" s="76"/>
      <c r="BZ1130" s="76"/>
      <c r="CA1130" s="76"/>
      <c r="CB1130" s="76"/>
      <c r="CC1130" s="76"/>
      <c r="CD1130" s="76"/>
      <c r="CE1130" s="76"/>
      <c r="CF1130" s="76">
        <f>+CE1130*28000</f>
        <v>0</v>
      </c>
      <c r="CG1130" s="76"/>
      <c r="CH1130" s="76">
        <f>+CG1130*22500</f>
        <v>0</v>
      </c>
      <c r="CI1130" s="76"/>
      <c r="CJ1130" s="76">
        <f>+CI1130*26000</f>
        <v>0</v>
      </c>
      <c r="CK1130" s="76"/>
      <c r="CL1130" s="76"/>
      <c r="CM1130" s="76"/>
      <c r="CN1130" s="76">
        <f>+CM1130*22000</f>
        <v>0</v>
      </c>
      <c r="CO1130" s="76"/>
      <c r="CP1130" s="76">
        <f>+CO1130*46000</f>
        <v>0</v>
      </c>
      <c r="CQ1130" s="76"/>
      <c r="CR1130" s="76">
        <f>+CQ1130*49000</f>
        <v>0</v>
      </c>
      <c r="CS1130" s="76"/>
      <c r="CT1130" s="76"/>
      <c r="CU1130" s="56">
        <f>AN1130+AP1130+AR1130+AT1130+AV1130+AX1130+AZ1130+BB1130+BD1130+BF1130+BH1130+BJ1130+BL1130+BN1130+BP1130+BR1130+BT1130+BV1130+BX1130+BZ1130+CB1130+CD1130+CF1130+CH1130+CJ1130+CL1130+CN1130+CP1130+CR1130+CT1130</f>
        <v>0</v>
      </c>
      <c r="CV1130" s="76"/>
      <c r="CW1130" s="76">
        <f>+CV1130*1100</f>
        <v>0</v>
      </c>
      <c r="CX1130" s="76"/>
      <c r="CY1130" s="76">
        <f>+CX1130*106250</f>
        <v>0</v>
      </c>
      <c r="CZ1130" s="76"/>
      <c r="DA1130" s="76">
        <f>+CZ1130*34500</f>
        <v>0</v>
      </c>
      <c r="DB1130" s="76"/>
      <c r="DC1130" s="76">
        <f>+DB1130*25000</f>
        <v>0</v>
      </c>
      <c r="DD1130" s="219"/>
      <c r="DE1130" s="219"/>
      <c r="DF1130" s="166"/>
      <c r="DG1130" s="116"/>
      <c r="DH1130" s="117"/>
      <c r="DI1130" s="24"/>
      <c r="DJ1130" s="24"/>
      <c r="DK1130" s="24"/>
      <c r="DL1130" s="24"/>
      <c r="DM1130" s="24"/>
      <c r="DN1130" s="24"/>
      <c r="DO1130" s="24"/>
      <c r="DP1130" s="24"/>
      <c r="DQ1130" s="24"/>
      <c r="DR1130" s="24"/>
      <c r="DS1130" s="24"/>
      <c r="DT1130" s="24"/>
      <c r="DU1130" s="24"/>
    </row>
    <row r="1131" spans="1:125" s="8" customFormat="1" ht="60" x14ac:dyDescent="0.2">
      <c r="A1131" s="226">
        <v>41346</v>
      </c>
      <c r="B1131" s="225" t="s">
        <v>2847</v>
      </c>
      <c r="C1131" s="227" t="s">
        <v>46</v>
      </c>
      <c r="D1131" s="84" t="s">
        <v>3088</v>
      </c>
      <c r="E1131" s="75" t="str">
        <f>VLOOKUP(B1131&amp;C1131,Divipola!$C$2:$F$1138,4,FALSE)</f>
        <v>68572</v>
      </c>
      <c r="F1131" s="87"/>
      <c r="G1131" s="87"/>
      <c r="H1131" s="87"/>
      <c r="I1131" s="87">
        <v>15</v>
      </c>
      <c r="J1131" s="87">
        <v>3</v>
      </c>
      <c r="K1131" s="87"/>
      <c r="L1131" s="87">
        <v>3</v>
      </c>
      <c r="M1131" s="87"/>
      <c r="N1131" s="87"/>
      <c r="O1131" s="87"/>
      <c r="P1131" s="87"/>
      <c r="Q1131" s="87"/>
      <c r="R1131" s="87"/>
      <c r="S1131" s="87"/>
      <c r="T1131" s="87"/>
      <c r="U1131" s="88"/>
      <c r="V1131" s="89"/>
      <c r="W1131" s="96">
        <v>0</v>
      </c>
      <c r="X1131" s="71">
        <f>CU1131</f>
        <v>0</v>
      </c>
      <c r="Y1131" s="71">
        <f>CY1131</f>
        <v>0</v>
      </c>
      <c r="Z1131" s="71">
        <f>DA1131+DC1131+DE1131</f>
        <v>0</v>
      </c>
      <c r="AA1131" s="71">
        <f>CW1131</f>
        <v>0</v>
      </c>
      <c r="AB1131" s="71"/>
      <c r="AC1131" s="71">
        <v>0</v>
      </c>
      <c r="AD1131" s="71">
        <f>W1131+X1131+Y1131+Z1131+AA1131+AB1131+AC1131</f>
        <v>0</v>
      </c>
      <c r="AE1131" s="72">
        <v>0</v>
      </c>
      <c r="AF1131" s="5"/>
      <c r="AG1131" s="6"/>
      <c r="AH1131" s="27" t="s">
        <v>3392</v>
      </c>
      <c r="AI1131" s="44" t="s">
        <v>3393</v>
      </c>
      <c r="AJ1131" s="26"/>
      <c r="AK1131" s="5"/>
      <c r="AL1131" s="82" t="s">
        <v>3937</v>
      </c>
      <c r="AM1131" s="76"/>
      <c r="AN1131" s="76"/>
      <c r="AO1131" s="76"/>
      <c r="AP1131" s="76"/>
      <c r="AQ1131" s="76"/>
      <c r="AR1131" s="76"/>
      <c r="AS1131" s="76"/>
      <c r="AT1131" s="76"/>
      <c r="AU1131" s="76"/>
      <c r="AV1131" s="76"/>
      <c r="AW1131" s="76"/>
      <c r="AX1131" s="76">
        <f>+AW1131*600000</f>
        <v>0</v>
      </c>
      <c r="AY1131" s="76"/>
      <c r="AZ1131" s="76">
        <f>+AY1131*70000</f>
        <v>0</v>
      </c>
      <c r="BA1131" s="76"/>
      <c r="BB1131" s="76"/>
      <c r="BC1131" s="76"/>
      <c r="BD1131" s="76">
        <f>+BC1131*30000</f>
        <v>0</v>
      </c>
      <c r="BE1131" s="76"/>
      <c r="BF1131" s="76"/>
      <c r="BG1131" s="76"/>
      <c r="BH1131" s="76"/>
      <c r="BI1131" s="76"/>
      <c r="BJ1131" s="76"/>
      <c r="BK1131" s="76"/>
      <c r="BL1131" s="76">
        <f>+BK1131*31500</f>
        <v>0</v>
      </c>
      <c r="BM1131" s="76"/>
      <c r="BN1131" s="76"/>
      <c r="BO1131" s="76"/>
      <c r="BP1131" s="76"/>
      <c r="BQ1131" s="76"/>
      <c r="BR1131" s="76"/>
      <c r="BS1131" s="76"/>
      <c r="BT1131" s="76"/>
      <c r="BU1131" s="76"/>
      <c r="BV1131" s="76"/>
      <c r="BW1131" s="76"/>
      <c r="BX1131" s="76"/>
      <c r="BY1131" s="76"/>
      <c r="BZ1131" s="76"/>
      <c r="CA1131" s="76"/>
      <c r="CB1131" s="76"/>
      <c r="CC1131" s="76"/>
      <c r="CD1131" s="76"/>
      <c r="CE1131" s="76"/>
      <c r="CF1131" s="76">
        <f>+CE1131*28000</f>
        <v>0</v>
      </c>
      <c r="CG1131" s="76"/>
      <c r="CH1131" s="76">
        <f>+CG1131*22500</f>
        <v>0</v>
      </c>
      <c r="CI1131" s="76"/>
      <c r="CJ1131" s="76">
        <f>+CI1131*26000</f>
        <v>0</v>
      </c>
      <c r="CK1131" s="76"/>
      <c r="CL1131" s="76"/>
      <c r="CM1131" s="76"/>
      <c r="CN1131" s="76">
        <f>+CM1131*22000</f>
        <v>0</v>
      </c>
      <c r="CO1131" s="76"/>
      <c r="CP1131" s="76">
        <f>+CO1131*46000</f>
        <v>0</v>
      </c>
      <c r="CQ1131" s="76"/>
      <c r="CR1131" s="76">
        <f>+CQ1131*49000</f>
        <v>0</v>
      </c>
      <c r="CS1131" s="76"/>
      <c r="CT1131" s="76"/>
      <c r="CU1131" s="56">
        <f>AN1131+AP1131+AR1131+AT1131+AV1131+AX1131+AZ1131+BB1131+BD1131+BF1131+BH1131+BJ1131+BL1131+BN1131+BP1131+BR1131+BT1131+BV1131+BX1131+BZ1131+CB1131+CD1131+CF1131+CH1131+CJ1131+CL1131+CN1131+CP1131+CR1131+CT1131</f>
        <v>0</v>
      </c>
      <c r="CV1131" s="76"/>
      <c r="CW1131" s="76">
        <f>+CV1131*1100</f>
        <v>0</v>
      </c>
      <c r="CX1131" s="76"/>
      <c r="CY1131" s="76">
        <f>+CX1131*106250</f>
        <v>0</v>
      </c>
      <c r="CZ1131" s="76"/>
      <c r="DA1131" s="76">
        <f>+CZ1131*34500</f>
        <v>0</v>
      </c>
      <c r="DB1131" s="76"/>
      <c r="DC1131" s="76">
        <f>+DB1131*25000</f>
        <v>0</v>
      </c>
      <c r="DD1131" s="219"/>
      <c r="DE1131" s="219"/>
      <c r="DF1131" s="166"/>
      <c r="DG1131" s="116"/>
      <c r="DH1131" s="117"/>
      <c r="DI1131" s="24"/>
      <c r="DJ1131" s="24"/>
      <c r="DK1131" s="24"/>
      <c r="DL1131" s="24"/>
      <c r="DM1131" s="24"/>
      <c r="DN1131" s="24"/>
      <c r="DO1131" s="24"/>
      <c r="DP1131" s="24"/>
      <c r="DQ1131" s="24"/>
      <c r="DR1131" s="24"/>
      <c r="DS1131" s="24"/>
      <c r="DT1131" s="24"/>
      <c r="DU1131" s="24"/>
    </row>
    <row r="1132" spans="1:125" s="8" customFormat="1" ht="72" x14ac:dyDescent="0.2">
      <c r="A1132" s="353">
        <v>41346</v>
      </c>
      <c r="B1132" s="352" t="s">
        <v>1326</v>
      </c>
      <c r="C1132" s="354" t="s">
        <v>1798</v>
      </c>
      <c r="D1132" s="75" t="s">
        <v>3051</v>
      </c>
      <c r="E1132" s="75" t="str">
        <f>VLOOKUP(B1132&amp;C1132,Divipola!$C$2:$F$1138,4,FALSE)</f>
        <v>70001</v>
      </c>
      <c r="F1132" s="87"/>
      <c r="G1132" s="87"/>
      <c r="H1132" s="87"/>
      <c r="I1132" s="87">
        <v>145</v>
      </c>
      <c r="J1132" s="87">
        <v>29</v>
      </c>
      <c r="K1132" s="87"/>
      <c r="L1132" s="87">
        <v>29</v>
      </c>
      <c r="M1132" s="87"/>
      <c r="N1132" s="87"/>
      <c r="O1132" s="87"/>
      <c r="P1132" s="87"/>
      <c r="Q1132" s="87"/>
      <c r="R1132" s="87"/>
      <c r="S1132" s="87"/>
      <c r="T1132" s="87"/>
      <c r="U1132" s="88"/>
      <c r="V1132" s="89"/>
      <c r="W1132" s="96">
        <v>0</v>
      </c>
      <c r="X1132" s="71">
        <f>CU1132</f>
        <v>0</v>
      </c>
      <c r="Y1132" s="71">
        <f>CY1132</f>
        <v>0</v>
      </c>
      <c r="Z1132" s="71">
        <f>DA1132+DC1132+DE1132</f>
        <v>0</v>
      </c>
      <c r="AA1132" s="71">
        <f>CW1132</f>
        <v>0</v>
      </c>
      <c r="AB1132" s="71"/>
      <c r="AC1132" s="71">
        <v>0</v>
      </c>
      <c r="AD1132" s="71">
        <f>W1132+X1132+Y1132+Z1132+AA1132+AB1132+AC1132</f>
        <v>0</v>
      </c>
      <c r="AE1132" s="72">
        <v>0</v>
      </c>
      <c r="AF1132" s="5"/>
      <c r="AG1132" s="6"/>
      <c r="AH1132" s="27" t="s">
        <v>3392</v>
      </c>
      <c r="AI1132" s="44" t="s">
        <v>3393</v>
      </c>
      <c r="AJ1132" s="26"/>
      <c r="AK1132" s="5"/>
      <c r="AL1132" s="82" t="s">
        <v>3935</v>
      </c>
      <c r="AM1132" s="76"/>
      <c r="AN1132" s="76"/>
      <c r="AO1132" s="76"/>
      <c r="AP1132" s="76"/>
      <c r="AQ1132" s="76"/>
      <c r="AR1132" s="76"/>
      <c r="AS1132" s="76"/>
      <c r="AT1132" s="76"/>
      <c r="AU1132" s="76"/>
      <c r="AV1132" s="76"/>
      <c r="AW1132" s="76"/>
      <c r="AX1132" s="76">
        <f>+AW1132*600000</f>
        <v>0</v>
      </c>
      <c r="AY1132" s="76"/>
      <c r="AZ1132" s="76">
        <f>+AY1132*70000</f>
        <v>0</v>
      </c>
      <c r="BA1132" s="76"/>
      <c r="BB1132" s="76"/>
      <c r="BC1132" s="76"/>
      <c r="BD1132" s="76">
        <f>+BC1132*30000</f>
        <v>0</v>
      </c>
      <c r="BE1132" s="76"/>
      <c r="BF1132" s="76"/>
      <c r="BG1132" s="76"/>
      <c r="BH1132" s="76"/>
      <c r="BI1132" s="76"/>
      <c r="BJ1132" s="76"/>
      <c r="BK1132" s="76"/>
      <c r="BL1132" s="76">
        <f>+BK1132*31500</f>
        <v>0</v>
      </c>
      <c r="BM1132" s="76"/>
      <c r="BN1132" s="76"/>
      <c r="BO1132" s="76"/>
      <c r="BP1132" s="76"/>
      <c r="BQ1132" s="76"/>
      <c r="BR1132" s="76"/>
      <c r="BS1132" s="76"/>
      <c r="BT1132" s="76"/>
      <c r="BU1132" s="76"/>
      <c r="BV1132" s="76"/>
      <c r="BW1132" s="76"/>
      <c r="BX1132" s="76"/>
      <c r="BY1132" s="76"/>
      <c r="BZ1132" s="76"/>
      <c r="CA1132" s="76"/>
      <c r="CB1132" s="76"/>
      <c r="CC1132" s="76"/>
      <c r="CD1132" s="76"/>
      <c r="CE1132" s="76"/>
      <c r="CF1132" s="76">
        <f>+CE1132*28000</f>
        <v>0</v>
      </c>
      <c r="CG1132" s="76"/>
      <c r="CH1132" s="76">
        <f>+CG1132*22500</f>
        <v>0</v>
      </c>
      <c r="CI1132" s="76"/>
      <c r="CJ1132" s="76">
        <f>+CI1132*26000</f>
        <v>0</v>
      </c>
      <c r="CK1132" s="76"/>
      <c r="CL1132" s="76"/>
      <c r="CM1132" s="76"/>
      <c r="CN1132" s="76">
        <f>+CM1132*22000</f>
        <v>0</v>
      </c>
      <c r="CO1132" s="76"/>
      <c r="CP1132" s="76">
        <f>+CO1132*46000</f>
        <v>0</v>
      </c>
      <c r="CQ1132" s="76"/>
      <c r="CR1132" s="76">
        <f>+CQ1132*49000</f>
        <v>0</v>
      </c>
      <c r="CS1132" s="76"/>
      <c r="CT1132" s="76"/>
      <c r="CU1132" s="56">
        <f>AN1132+AP1132+AR1132+AT1132+AV1132+AX1132+AZ1132+BB1132+BD1132+BF1132+BH1132+BJ1132+BL1132+BN1132+BP1132+BR1132+BT1132+BV1132+BX1132+BZ1132+CB1132+CD1132+CF1132+CH1132+CJ1132+CL1132+CN1132+CP1132+CR1132+CT1132</f>
        <v>0</v>
      </c>
      <c r="CV1132" s="76"/>
      <c r="CW1132" s="76">
        <f>+CV1132*1100</f>
        <v>0</v>
      </c>
      <c r="CX1132" s="76"/>
      <c r="CY1132" s="76">
        <f>+CX1132*106250</f>
        <v>0</v>
      </c>
      <c r="CZ1132" s="76"/>
      <c r="DA1132" s="76">
        <f>+CZ1132*34500</f>
        <v>0</v>
      </c>
      <c r="DB1132" s="76"/>
      <c r="DC1132" s="76">
        <f>+DB1132*25000</f>
        <v>0</v>
      </c>
      <c r="DD1132" s="219"/>
      <c r="DE1132" s="219"/>
      <c r="DF1132" s="166"/>
      <c r="DG1132" s="116"/>
      <c r="DH1132" s="117"/>
      <c r="DI1132" s="24"/>
      <c r="DJ1132" s="24"/>
      <c r="DK1132" s="24"/>
      <c r="DL1132" s="24"/>
      <c r="DM1132" s="24"/>
      <c r="DN1132" s="24"/>
      <c r="DO1132" s="24"/>
      <c r="DP1132" s="24"/>
      <c r="DQ1132" s="24"/>
      <c r="DR1132" s="24"/>
      <c r="DS1132" s="24"/>
      <c r="DT1132" s="24"/>
      <c r="DU1132" s="24"/>
    </row>
    <row r="1133" spans="1:125" s="8" customFormat="1" ht="48" x14ac:dyDescent="0.2">
      <c r="A1133" s="353">
        <v>41346</v>
      </c>
      <c r="B1133" s="225" t="s">
        <v>2848</v>
      </c>
      <c r="C1133" s="227" t="s">
        <v>2077</v>
      </c>
      <c r="D1133" s="227" t="s">
        <v>2859</v>
      </c>
      <c r="E1133" s="75" t="str">
        <f>VLOOKUP(B1133&amp;C1133,Divipola!$C$2:$F$1138,4,FALSE)</f>
        <v>73411</v>
      </c>
      <c r="F1133" s="87"/>
      <c r="G1133" s="87"/>
      <c r="H1133" s="87"/>
      <c r="I1133" s="87">
        <v>15</v>
      </c>
      <c r="J1133" s="87">
        <v>3</v>
      </c>
      <c r="K1133" s="87">
        <v>1</v>
      </c>
      <c r="L1133" s="87"/>
      <c r="M1133" s="87"/>
      <c r="N1133" s="87"/>
      <c r="O1133" s="87"/>
      <c r="P1133" s="87"/>
      <c r="Q1133" s="87"/>
      <c r="R1133" s="87"/>
      <c r="S1133" s="87"/>
      <c r="T1133" s="87"/>
      <c r="U1133" s="88"/>
      <c r="V1133" s="89"/>
      <c r="W1133" s="96">
        <v>0</v>
      </c>
      <c r="X1133" s="71">
        <f>CU1133</f>
        <v>0</v>
      </c>
      <c r="Y1133" s="71">
        <f>CY1133</f>
        <v>0</v>
      </c>
      <c r="Z1133" s="71">
        <f>DA1133+DC1133+DE1133</f>
        <v>0</v>
      </c>
      <c r="AA1133" s="71">
        <f>CW1133</f>
        <v>0</v>
      </c>
      <c r="AB1133" s="71"/>
      <c r="AC1133" s="71">
        <v>0</v>
      </c>
      <c r="AD1133" s="71">
        <f>W1133+X1133+Y1133+Z1133+AA1133+AB1133+AC1133</f>
        <v>0</v>
      </c>
      <c r="AE1133" s="72">
        <v>0</v>
      </c>
      <c r="AF1133" s="5"/>
      <c r="AG1133" s="6"/>
      <c r="AH1133" s="27" t="s">
        <v>3392</v>
      </c>
      <c r="AI1133" s="44" t="s">
        <v>3393</v>
      </c>
      <c r="AJ1133" s="26"/>
      <c r="AK1133" s="5"/>
      <c r="AL1133" s="82" t="s">
        <v>3923</v>
      </c>
      <c r="AM1133" s="76"/>
      <c r="AN1133" s="76"/>
      <c r="AO1133" s="76"/>
      <c r="AP1133" s="76"/>
      <c r="AQ1133" s="76"/>
      <c r="AR1133" s="76"/>
      <c r="AS1133" s="76"/>
      <c r="AT1133" s="76"/>
      <c r="AU1133" s="76"/>
      <c r="AV1133" s="76"/>
      <c r="AW1133" s="76"/>
      <c r="AX1133" s="76">
        <f>+AW1133*600000</f>
        <v>0</v>
      </c>
      <c r="AY1133" s="76"/>
      <c r="AZ1133" s="76">
        <f>+AY1133*70000</f>
        <v>0</v>
      </c>
      <c r="BA1133" s="76"/>
      <c r="BB1133" s="76"/>
      <c r="BC1133" s="76"/>
      <c r="BD1133" s="76">
        <f>+BC1133*30000</f>
        <v>0</v>
      </c>
      <c r="BE1133" s="76"/>
      <c r="BF1133" s="76"/>
      <c r="BG1133" s="76"/>
      <c r="BH1133" s="76"/>
      <c r="BI1133" s="76"/>
      <c r="BJ1133" s="76"/>
      <c r="BK1133" s="76"/>
      <c r="BL1133" s="76">
        <f>+BK1133*31500</f>
        <v>0</v>
      </c>
      <c r="BM1133" s="76"/>
      <c r="BN1133" s="76"/>
      <c r="BO1133" s="76"/>
      <c r="BP1133" s="76"/>
      <c r="BQ1133" s="76"/>
      <c r="BR1133" s="76"/>
      <c r="BS1133" s="76"/>
      <c r="BT1133" s="76"/>
      <c r="BU1133" s="76"/>
      <c r="BV1133" s="76"/>
      <c r="BW1133" s="76"/>
      <c r="BX1133" s="76"/>
      <c r="BY1133" s="76"/>
      <c r="BZ1133" s="76"/>
      <c r="CA1133" s="76"/>
      <c r="CB1133" s="76"/>
      <c r="CC1133" s="76"/>
      <c r="CD1133" s="76"/>
      <c r="CE1133" s="76"/>
      <c r="CF1133" s="76">
        <f>+CE1133*28000</f>
        <v>0</v>
      </c>
      <c r="CG1133" s="76"/>
      <c r="CH1133" s="76">
        <f>+CG1133*22500</f>
        <v>0</v>
      </c>
      <c r="CI1133" s="76"/>
      <c r="CJ1133" s="76">
        <f>+CI1133*26000</f>
        <v>0</v>
      </c>
      <c r="CK1133" s="76"/>
      <c r="CL1133" s="76"/>
      <c r="CM1133" s="76"/>
      <c r="CN1133" s="76">
        <f>+CM1133*22000</f>
        <v>0</v>
      </c>
      <c r="CO1133" s="76"/>
      <c r="CP1133" s="76">
        <f>+CO1133*46000</f>
        <v>0</v>
      </c>
      <c r="CQ1133" s="76"/>
      <c r="CR1133" s="76">
        <f>+CQ1133*49000</f>
        <v>0</v>
      </c>
      <c r="CS1133" s="76"/>
      <c r="CT1133" s="76"/>
      <c r="CU1133" s="56">
        <f>AN1133+AP1133+AR1133+AT1133+AV1133+AX1133+AZ1133+BB1133+BD1133+BF1133+BH1133+BJ1133+BL1133+BN1133+BP1133+BR1133+BT1133+BV1133+BX1133+BZ1133+CB1133+CD1133+CF1133+CH1133+CJ1133+CL1133+CN1133+CP1133+CR1133+CT1133</f>
        <v>0</v>
      </c>
      <c r="CV1133" s="76"/>
      <c r="CW1133" s="76">
        <f>+CV1133*1100</f>
        <v>0</v>
      </c>
      <c r="CX1133" s="76"/>
      <c r="CY1133" s="76">
        <f>+CX1133*106250</f>
        <v>0</v>
      </c>
      <c r="CZ1133" s="76"/>
      <c r="DA1133" s="76">
        <f>+CZ1133*34500</f>
        <v>0</v>
      </c>
      <c r="DB1133" s="76"/>
      <c r="DC1133" s="76">
        <f>+DB1133*25000</f>
        <v>0</v>
      </c>
      <c r="DD1133" s="219"/>
      <c r="DE1133" s="219"/>
      <c r="DF1133" s="166"/>
      <c r="DG1133" s="116"/>
      <c r="DH1133" s="117"/>
      <c r="DI1133" s="24"/>
      <c r="DJ1133" s="24"/>
      <c r="DK1133" s="24"/>
      <c r="DL1133" s="24"/>
      <c r="DM1133" s="24"/>
      <c r="DN1133" s="24"/>
      <c r="DO1133" s="24"/>
      <c r="DP1133" s="24"/>
      <c r="DQ1133" s="24"/>
      <c r="DR1133" s="24"/>
      <c r="DS1133" s="24"/>
      <c r="DT1133" s="24"/>
      <c r="DU1133" s="24"/>
    </row>
    <row r="1134" spans="1:125" s="8" customFormat="1" ht="36" x14ac:dyDescent="0.2">
      <c r="A1134" s="77">
        <v>41347</v>
      </c>
      <c r="B1134" s="225" t="s">
        <v>2036</v>
      </c>
      <c r="C1134" s="227" t="s">
        <v>2036</v>
      </c>
      <c r="D1134" s="81" t="s">
        <v>2846</v>
      </c>
      <c r="E1134" s="75" t="str">
        <f>VLOOKUP(B1134&amp;C1134,Divipola!$C$2:$F$1138,4,FALSE)</f>
        <v>81001</v>
      </c>
      <c r="F1134" s="87"/>
      <c r="G1134" s="87"/>
      <c r="H1134" s="87"/>
      <c r="I1134" s="87"/>
      <c r="J1134" s="87"/>
      <c r="K1134" s="87"/>
      <c r="L1134" s="87"/>
      <c r="M1134" s="87"/>
      <c r="N1134" s="87"/>
      <c r="O1134" s="87"/>
      <c r="P1134" s="87"/>
      <c r="Q1134" s="87"/>
      <c r="R1134" s="87"/>
      <c r="S1134" s="87"/>
      <c r="T1134" s="87"/>
      <c r="U1134" s="88">
        <v>15</v>
      </c>
      <c r="V1134" s="89"/>
      <c r="W1134" s="96">
        <v>0</v>
      </c>
      <c r="X1134" s="71">
        <f>CU1134</f>
        <v>0</v>
      </c>
      <c r="Y1134" s="71">
        <f>CY1134</f>
        <v>0</v>
      </c>
      <c r="Z1134" s="71">
        <f>DA1134+DC1134+DE1134</f>
        <v>0</v>
      </c>
      <c r="AA1134" s="71">
        <f>CW1134</f>
        <v>0</v>
      </c>
      <c r="AB1134" s="71"/>
      <c r="AC1134" s="71">
        <v>0</v>
      </c>
      <c r="AD1134" s="71">
        <f>W1134+X1134+Y1134+Z1134+AA1134+AB1134+AC1134</f>
        <v>0</v>
      </c>
      <c r="AE1134" s="72">
        <v>0</v>
      </c>
      <c r="AF1134" s="5"/>
      <c r="AG1134" s="6"/>
      <c r="AH1134" s="27" t="s">
        <v>3392</v>
      </c>
      <c r="AI1134" s="44" t="s">
        <v>3393</v>
      </c>
      <c r="AJ1134" s="26"/>
      <c r="AK1134" s="5"/>
      <c r="AL1134" s="82" t="s">
        <v>3948</v>
      </c>
      <c r="AM1134" s="76"/>
      <c r="AN1134" s="76"/>
      <c r="AO1134" s="76"/>
      <c r="AP1134" s="76"/>
      <c r="AQ1134" s="76"/>
      <c r="AR1134" s="76"/>
      <c r="AS1134" s="76"/>
      <c r="AT1134" s="76"/>
      <c r="AU1134" s="76"/>
      <c r="AV1134" s="76"/>
      <c r="AW1134" s="76"/>
      <c r="AX1134" s="76">
        <f>+AW1134*600000</f>
        <v>0</v>
      </c>
      <c r="AY1134" s="76"/>
      <c r="AZ1134" s="76">
        <f>+AY1134*70000</f>
        <v>0</v>
      </c>
      <c r="BA1134" s="76"/>
      <c r="BB1134" s="76"/>
      <c r="BC1134" s="76"/>
      <c r="BD1134" s="76">
        <f>+BC1134*30000</f>
        <v>0</v>
      </c>
      <c r="BE1134" s="76"/>
      <c r="BF1134" s="76"/>
      <c r="BG1134" s="76"/>
      <c r="BH1134" s="76"/>
      <c r="BI1134" s="76"/>
      <c r="BJ1134" s="76"/>
      <c r="BK1134" s="76"/>
      <c r="BL1134" s="76">
        <f>+BK1134*31500</f>
        <v>0</v>
      </c>
      <c r="BM1134" s="76"/>
      <c r="BN1134" s="76"/>
      <c r="BO1134" s="76"/>
      <c r="BP1134" s="76"/>
      <c r="BQ1134" s="76"/>
      <c r="BR1134" s="76"/>
      <c r="BS1134" s="76"/>
      <c r="BT1134" s="76"/>
      <c r="BU1134" s="76"/>
      <c r="BV1134" s="76"/>
      <c r="BW1134" s="76"/>
      <c r="BX1134" s="76"/>
      <c r="BY1134" s="76"/>
      <c r="BZ1134" s="76"/>
      <c r="CA1134" s="76"/>
      <c r="CB1134" s="76"/>
      <c r="CC1134" s="76"/>
      <c r="CD1134" s="76"/>
      <c r="CE1134" s="76"/>
      <c r="CF1134" s="76">
        <f>+CE1134*28000</f>
        <v>0</v>
      </c>
      <c r="CG1134" s="76"/>
      <c r="CH1134" s="76">
        <f>+CG1134*22500</f>
        <v>0</v>
      </c>
      <c r="CI1134" s="76"/>
      <c r="CJ1134" s="76">
        <f>+CI1134*26000</f>
        <v>0</v>
      </c>
      <c r="CK1134" s="76"/>
      <c r="CL1134" s="76"/>
      <c r="CM1134" s="76"/>
      <c r="CN1134" s="76">
        <f>+CM1134*22000</f>
        <v>0</v>
      </c>
      <c r="CO1134" s="76"/>
      <c r="CP1134" s="76">
        <f>+CO1134*46000</f>
        <v>0</v>
      </c>
      <c r="CQ1134" s="76"/>
      <c r="CR1134" s="76">
        <f>+CQ1134*49000</f>
        <v>0</v>
      </c>
      <c r="CS1134" s="76"/>
      <c r="CT1134" s="76"/>
      <c r="CU1134" s="56">
        <f>AN1134+AP1134+AR1134+AT1134+AV1134+AX1134+AZ1134+BB1134+BD1134+BF1134+BH1134+BJ1134+BL1134+BN1134+BP1134+BR1134+BT1134+BV1134+BX1134+BZ1134+CB1134+CD1134+CF1134+CH1134+CJ1134+CL1134+CN1134+CP1134+CR1134+CT1134</f>
        <v>0</v>
      </c>
      <c r="CV1134" s="76"/>
      <c r="CW1134" s="76">
        <f>+CV1134*1100</f>
        <v>0</v>
      </c>
      <c r="CX1134" s="76"/>
      <c r="CY1134" s="76">
        <f>+CX1134*106250</f>
        <v>0</v>
      </c>
      <c r="CZ1134" s="76"/>
      <c r="DA1134" s="76">
        <f>+CZ1134*34500</f>
        <v>0</v>
      </c>
      <c r="DB1134" s="76"/>
      <c r="DC1134" s="76">
        <f>+DB1134*25000</f>
        <v>0</v>
      </c>
      <c r="DD1134" s="219"/>
      <c r="DE1134" s="219"/>
      <c r="DF1134" s="166"/>
      <c r="DG1134" s="116"/>
      <c r="DH1134" s="117"/>
      <c r="DI1134" s="24"/>
      <c r="DJ1134" s="24"/>
      <c r="DK1134" s="24"/>
      <c r="DL1134" s="24"/>
      <c r="DM1134" s="24"/>
      <c r="DN1134" s="24"/>
      <c r="DO1134" s="24"/>
      <c r="DP1134" s="24"/>
      <c r="DQ1134" s="24"/>
      <c r="DR1134" s="24"/>
      <c r="DS1134" s="24"/>
      <c r="DT1134" s="24"/>
      <c r="DU1134" s="24"/>
    </row>
    <row r="1135" spans="1:125" s="8" customFormat="1" ht="36" x14ac:dyDescent="0.2">
      <c r="A1135" s="77">
        <v>41347</v>
      </c>
      <c r="B1135" s="225" t="s">
        <v>2036</v>
      </c>
      <c r="C1135" s="227" t="s">
        <v>2036</v>
      </c>
      <c r="D1135" s="81" t="s">
        <v>2846</v>
      </c>
      <c r="E1135" s="75" t="str">
        <f>VLOOKUP(B1135&amp;C1135,Divipola!$C$2:$F$1138,4,FALSE)</f>
        <v>81001</v>
      </c>
      <c r="F1135" s="87"/>
      <c r="G1135" s="87"/>
      <c r="H1135" s="87"/>
      <c r="I1135" s="87"/>
      <c r="J1135" s="87"/>
      <c r="K1135" s="87"/>
      <c r="L1135" s="87"/>
      <c r="M1135" s="87"/>
      <c r="N1135" s="87"/>
      <c r="O1135" s="87"/>
      <c r="P1135" s="87"/>
      <c r="Q1135" s="87"/>
      <c r="R1135" s="87"/>
      <c r="S1135" s="87"/>
      <c r="T1135" s="87"/>
      <c r="U1135" s="88">
        <v>15</v>
      </c>
      <c r="V1135" s="89"/>
      <c r="W1135" s="96">
        <v>0</v>
      </c>
      <c r="X1135" s="71">
        <f>CU1135</f>
        <v>0</v>
      </c>
      <c r="Y1135" s="71">
        <f>CY1135</f>
        <v>0</v>
      </c>
      <c r="Z1135" s="71">
        <f>DA1135+DC1135+DE1135</f>
        <v>0</v>
      </c>
      <c r="AA1135" s="71">
        <f>CW1135</f>
        <v>0</v>
      </c>
      <c r="AB1135" s="71"/>
      <c r="AC1135" s="71">
        <v>0</v>
      </c>
      <c r="AD1135" s="71">
        <f>W1135+X1135+Y1135+Z1135+AA1135+AB1135+AC1135</f>
        <v>0</v>
      </c>
      <c r="AE1135" s="72">
        <v>0</v>
      </c>
      <c r="AF1135" s="5"/>
      <c r="AG1135" s="6"/>
      <c r="AH1135" s="27" t="s">
        <v>3392</v>
      </c>
      <c r="AI1135" s="44" t="s">
        <v>3393</v>
      </c>
      <c r="AJ1135" s="26"/>
      <c r="AK1135" s="5"/>
      <c r="AL1135" s="82" t="s">
        <v>3949</v>
      </c>
      <c r="AM1135" s="76"/>
      <c r="AN1135" s="76"/>
      <c r="AO1135" s="76"/>
      <c r="AP1135" s="76"/>
      <c r="AQ1135" s="76"/>
      <c r="AR1135" s="76"/>
      <c r="AS1135" s="76"/>
      <c r="AT1135" s="76"/>
      <c r="AU1135" s="76"/>
      <c r="AV1135" s="76"/>
      <c r="AW1135" s="76"/>
      <c r="AX1135" s="76">
        <f>+AW1135*600000</f>
        <v>0</v>
      </c>
      <c r="AY1135" s="76"/>
      <c r="AZ1135" s="76">
        <f>+AY1135*70000</f>
        <v>0</v>
      </c>
      <c r="BA1135" s="76"/>
      <c r="BB1135" s="76"/>
      <c r="BC1135" s="76"/>
      <c r="BD1135" s="76">
        <f>+BC1135*30000</f>
        <v>0</v>
      </c>
      <c r="BE1135" s="76"/>
      <c r="BF1135" s="76"/>
      <c r="BG1135" s="76"/>
      <c r="BH1135" s="76"/>
      <c r="BI1135" s="76"/>
      <c r="BJ1135" s="76"/>
      <c r="BK1135" s="76"/>
      <c r="BL1135" s="76">
        <f>+BK1135*31500</f>
        <v>0</v>
      </c>
      <c r="BM1135" s="76"/>
      <c r="BN1135" s="76"/>
      <c r="BO1135" s="76"/>
      <c r="BP1135" s="76"/>
      <c r="BQ1135" s="76"/>
      <c r="BR1135" s="76"/>
      <c r="BS1135" s="76"/>
      <c r="BT1135" s="76"/>
      <c r="BU1135" s="76"/>
      <c r="BV1135" s="76"/>
      <c r="BW1135" s="76"/>
      <c r="BX1135" s="76"/>
      <c r="BY1135" s="76"/>
      <c r="BZ1135" s="76"/>
      <c r="CA1135" s="76"/>
      <c r="CB1135" s="76"/>
      <c r="CC1135" s="76"/>
      <c r="CD1135" s="76"/>
      <c r="CE1135" s="76"/>
      <c r="CF1135" s="76">
        <f>+CE1135*28000</f>
        <v>0</v>
      </c>
      <c r="CG1135" s="76"/>
      <c r="CH1135" s="76">
        <f>+CG1135*22500</f>
        <v>0</v>
      </c>
      <c r="CI1135" s="76"/>
      <c r="CJ1135" s="76">
        <f>+CI1135*26000</f>
        <v>0</v>
      </c>
      <c r="CK1135" s="76"/>
      <c r="CL1135" s="76"/>
      <c r="CM1135" s="76"/>
      <c r="CN1135" s="76">
        <f>+CM1135*22000</f>
        <v>0</v>
      </c>
      <c r="CO1135" s="76"/>
      <c r="CP1135" s="76">
        <f>+CO1135*46000</f>
        <v>0</v>
      </c>
      <c r="CQ1135" s="76"/>
      <c r="CR1135" s="76">
        <f>+CQ1135*49000</f>
        <v>0</v>
      </c>
      <c r="CS1135" s="76"/>
      <c r="CT1135" s="76"/>
      <c r="CU1135" s="56">
        <f>AN1135+AP1135+AR1135+AT1135+AV1135+AX1135+AZ1135+BB1135+BD1135+BF1135+BH1135+BJ1135+BL1135+BN1135+BP1135+BR1135+BT1135+BV1135+BX1135+BZ1135+CB1135+CD1135+CF1135+CH1135+CJ1135+CL1135+CN1135+CP1135+CR1135+CT1135</f>
        <v>0</v>
      </c>
      <c r="CV1135" s="76"/>
      <c r="CW1135" s="76">
        <f>+CV1135*1100</f>
        <v>0</v>
      </c>
      <c r="CX1135" s="76"/>
      <c r="CY1135" s="76">
        <f>+CX1135*106250</f>
        <v>0</v>
      </c>
      <c r="CZ1135" s="76"/>
      <c r="DA1135" s="76">
        <f>+CZ1135*34500</f>
        <v>0</v>
      </c>
      <c r="DB1135" s="76"/>
      <c r="DC1135" s="76">
        <f>+DB1135*25000</f>
        <v>0</v>
      </c>
      <c r="DD1135" s="219"/>
      <c r="DE1135" s="219"/>
      <c r="DF1135" s="166"/>
      <c r="DG1135" s="116"/>
      <c r="DH1135" s="117"/>
      <c r="DI1135" s="24"/>
      <c r="DJ1135" s="24"/>
      <c r="DK1135" s="24"/>
      <c r="DL1135" s="24"/>
      <c r="DM1135" s="24"/>
      <c r="DN1135" s="24"/>
      <c r="DO1135" s="24"/>
      <c r="DP1135" s="24"/>
      <c r="DQ1135" s="24"/>
      <c r="DR1135" s="24"/>
      <c r="DS1135" s="24"/>
      <c r="DT1135" s="24"/>
      <c r="DU1135" s="24"/>
    </row>
    <row r="1136" spans="1:125" s="8" customFormat="1" ht="36" x14ac:dyDescent="0.2">
      <c r="A1136" s="77">
        <v>41347</v>
      </c>
      <c r="B1136" s="225" t="s">
        <v>2036</v>
      </c>
      <c r="C1136" s="227" t="s">
        <v>2036</v>
      </c>
      <c r="D1136" s="81" t="s">
        <v>2846</v>
      </c>
      <c r="E1136" s="75" t="str">
        <f>VLOOKUP(B1136&amp;C1136,Divipola!$C$2:$F$1138,4,FALSE)</f>
        <v>81001</v>
      </c>
      <c r="F1136" s="87"/>
      <c r="G1136" s="87"/>
      <c r="H1136" s="87"/>
      <c r="I1136" s="87"/>
      <c r="J1136" s="87"/>
      <c r="K1136" s="87"/>
      <c r="L1136" s="87"/>
      <c r="M1136" s="87"/>
      <c r="N1136" s="87"/>
      <c r="O1136" s="87"/>
      <c r="P1136" s="87"/>
      <c r="Q1136" s="87"/>
      <c r="R1136" s="87"/>
      <c r="S1136" s="87"/>
      <c r="T1136" s="87"/>
      <c r="U1136" s="88">
        <v>25</v>
      </c>
      <c r="V1136" s="89"/>
      <c r="W1136" s="96">
        <v>0</v>
      </c>
      <c r="X1136" s="71">
        <f>CU1136</f>
        <v>0</v>
      </c>
      <c r="Y1136" s="71">
        <f>CY1136</f>
        <v>0</v>
      </c>
      <c r="Z1136" s="71">
        <f>DA1136+DC1136+DE1136</f>
        <v>0</v>
      </c>
      <c r="AA1136" s="71">
        <f>CW1136</f>
        <v>0</v>
      </c>
      <c r="AB1136" s="71"/>
      <c r="AC1136" s="71">
        <v>0</v>
      </c>
      <c r="AD1136" s="71">
        <f>W1136+X1136+Y1136+Z1136+AA1136+AB1136+AC1136</f>
        <v>0</v>
      </c>
      <c r="AE1136" s="72">
        <v>0</v>
      </c>
      <c r="AF1136" s="5"/>
      <c r="AG1136" s="6"/>
      <c r="AH1136" s="27" t="s">
        <v>3392</v>
      </c>
      <c r="AI1136" s="44" t="s">
        <v>3393</v>
      </c>
      <c r="AJ1136" s="26"/>
      <c r="AK1136" s="5"/>
      <c r="AL1136" s="82" t="s">
        <v>3950</v>
      </c>
      <c r="AM1136" s="76"/>
      <c r="AN1136" s="76"/>
      <c r="AO1136" s="76"/>
      <c r="AP1136" s="76"/>
      <c r="AQ1136" s="76"/>
      <c r="AR1136" s="76"/>
      <c r="AS1136" s="76"/>
      <c r="AT1136" s="76"/>
      <c r="AU1136" s="76"/>
      <c r="AV1136" s="76"/>
      <c r="AW1136" s="76"/>
      <c r="AX1136" s="76">
        <f>+AW1136*600000</f>
        <v>0</v>
      </c>
      <c r="AY1136" s="76"/>
      <c r="AZ1136" s="76">
        <f>+AY1136*70000</f>
        <v>0</v>
      </c>
      <c r="BA1136" s="76"/>
      <c r="BB1136" s="76"/>
      <c r="BC1136" s="76"/>
      <c r="BD1136" s="76">
        <f>+BC1136*30000</f>
        <v>0</v>
      </c>
      <c r="BE1136" s="76"/>
      <c r="BF1136" s="76"/>
      <c r="BG1136" s="76"/>
      <c r="BH1136" s="76"/>
      <c r="BI1136" s="76"/>
      <c r="BJ1136" s="76"/>
      <c r="BK1136" s="76"/>
      <c r="BL1136" s="76">
        <f>+BK1136*31500</f>
        <v>0</v>
      </c>
      <c r="BM1136" s="76"/>
      <c r="BN1136" s="76"/>
      <c r="BO1136" s="76"/>
      <c r="BP1136" s="76"/>
      <c r="BQ1136" s="76"/>
      <c r="BR1136" s="76"/>
      <c r="BS1136" s="76"/>
      <c r="BT1136" s="76"/>
      <c r="BU1136" s="76"/>
      <c r="BV1136" s="76"/>
      <c r="BW1136" s="76"/>
      <c r="BX1136" s="76"/>
      <c r="BY1136" s="76"/>
      <c r="BZ1136" s="76"/>
      <c r="CA1136" s="76"/>
      <c r="CB1136" s="76"/>
      <c r="CC1136" s="76"/>
      <c r="CD1136" s="76"/>
      <c r="CE1136" s="76"/>
      <c r="CF1136" s="76">
        <f>+CE1136*28000</f>
        <v>0</v>
      </c>
      <c r="CG1136" s="76"/>
      <c r="CH1136" s="76">
        <f>+CG1136*22500</f>
        <v>0</v>
      </c>
      <c r="CI1136" s="76"/>
      <c r="CJ1136" s="76">
        <f>+CI1136*26000</f>
        <v>0</v>
      </c>
      <c r="CK1136" s="76"/>
      <c r="CL1136" s="76"/>
      <c r="CM1136" s="76"/>
      <c r="CN1136" s="76">
        <f>+CM1136*22000</f>
        <v>0</v>
      </c>
      <c r="CO1136" s="76"/>
      <c r="CP1136" s="76">
        <f>+CO1136*46000</f>
        <v>0</v>
      </c>
      <c r="CQ1136" s="76"/>
      <c r="CR1136" s="76">
        <f>+CQ1136*49000</f>
        <v>0</v>
      </c>
      <c r="CS1136" s="76"/>
      <c r="CT1136" s="76"/>
      <c r="CU1136" s="56">
        <f>AN1136+AP1136+AR1136+AT1136+AV1136+AX1136+AZ1136+BB1136+BD1136+BF1136+BH1136+BJ1136+BL1136+BN1136+BP1136+BR1136+BT1136+BV1136+BX1136+BZ1136+CB1136+CD1136+CF1136+CH1136+CJ1136+CL1136+CN1136+CP1136+CR1136+CT1136</f>
        <v>0</v>
      </c>
      <c r="CV1136" s="76"/>
      <c r="CW1136" s="76">
        <f>+CV1136*1100</f>
        <v>0</v>
      </c>
      <c r="CX1136" s="76"/>
      <c r="CY1136" s="76">
        <f>+CX1136*106250</f>
        <v>0</v>
      </c>
      <c r="CZ1136" s="76"/>
      <c r="DA1136" s="76">
        <f>+CZ1136*34500</f>
        <v>0</v>
      </c>
      <c r="DB1136" s="76"/>
      <c r="DC1136" s="76">
        <f>+DB1136*25000</f>
        <v>0</v>
      </c>
      <c r="DD1136" s="219"/>
      <c r="DE1136" s="219"/>
      <c r="DF1136" s="166"/>
      <c r="DG1136" s="116"/>
      <c r="DH1136" s="117"/>
      <c r="DI1136" s="24"/>
      <c r="DJ1136" s="24"/>
      <c r="DK1136" s="24"/>
      <c r="DL1136" s="24"/>
      <c r="DM1136" s="24"/>
      <c r="DN1136" s="24"/>
      <c r="DO1136" s="24"/>
      <c r="DP1136" s="24"/>
      <c r="DQ1136" s="24"/>
      <c r="DR1136" s="24"/>
      <c r="DS1136" s="24"/>
      <c r="DT1136" s="24"/>
      <c r="DU1136" s="24"/>
    </row>
    <row r="1137" spans="1:125" s="8" customFormat="1" ht="36" x14ac:dyDescent="0.2">
      <c r="A1137" s="77">
        <v>41347</v>
      </c>
      <c r="B1137" s="75" t="s">
        <v>2881</v>
      </c>
      <c r="C1137" s="75" t="s">
        <v>2767</v>
      </c>
      <c r="D1137" s="75" t="s">
        <v>2882</v>
      </c>
      <c r="E1137" s="75" t="str">
        <f>VLOOKUP(B1137&amp;C1137,Divipola!$C$2:$F$1138,4,FALSE)</f>
        <v>08001</v>
      </c>
      <c r="F1137" s="93"/>
      <c r="G1137" s="93"/>
      <c r="H1137" s="93"/>
      <c r="I1137" s="93"/>
      <c r="J1137" s="93"/>
      <c r="K1137" s="93"/>
      <c r="L1137" s="93"/>
      <c r="M1137" s="93"/>
      <c r="N1137" s="93"/>
      <c r="O1137" s="93"/>
      <c r="P1137" s="93"/>
      <c r="Q1137" s="93"/>
      <c r="R1137" s="93"/>
      <c r="S1137" s="93"/>
      <c r="T1137" s="93"/>
      <c r="U1137" s="93"/>
      <c r="V1137" s="93"/>
      <c r="W1137" s="96">
        <v>0</v>
      </c>
      <c r="X1137" s="71">
        <f>CU1137</f>
        <v>0</v>
      </c>
      <c r="Y1137" s="71">
        <f>CY1137</f>
        <v>0</v>
      </c>
      <c r="Z1137" s="71">
        <f>DA1137+DC1137+DE1137</f>
        <v>0</v>
      </c>
      <c r="AA1137" s="71">
        <f>CW1137</f>
        <v>0</v>
      </c>
      <c r="AB1137" s="71"/>
      <c r="AC1137" s="71">
        <v>0</v>
      </c>
      <c r="AD1137" s="71">
        <f>W1137+X1137+Y1137+Z1137+AA1137+AB1137+AC1137</f>
        <v>0</v>
      </c>
      <c r="AE1137" s="72">
        <v>0</v>
      </c>
      <c r="AF1137" s="5"/>
      <c r="AG1137" s="6"/>
      <c r="AH1137" s="27" t="s">
        <v>3392</v>
      </c>
      <c r="AI1137" s="44" t="s">
        <v>3393</v>
      </c>
      <c r="AJ1137" s="26"/>
      <c r="AK1137" s="5"/>
      <c r="AL1137" s="82" t="s">
        <v>3946</v>
      </c>
      <c r="AM1137" s="76"/>
      <c r="AN1137" s="76"/>
      <c r="AO1137" s="76"/>
      <c r="AP1137" s="76"/>
      <c r="AQ1137" s="76"/>
      <c r="AR1137" s="76"/>
      <c r="AS1137" s="76"/>
      <c r="AT1137" s="76"/>
      <c r="AU1137" s="76"/>
      <c r="AV1137" s="76"/>
      <c r="AW1137" s="76"/>
      <c r="AX1137" s="76">
        <f>+AW1137*600000</f>
        <v>0</v>
      </c>
      <c r="AY1137" s="76"/>
      <c r="AZ1137" s="76">
        <f>+AY1137*70000</f>
        <v>0</v>
      </c>
      <c r="BA1137" s="76"/>
      <c r="BB1137" s="76"/>
      <c r="BC1137" s="76"/>
      <c r="BD1137" s="76">
        <f>+BC1137*30000</f>
        <v>0</v>
      </c>
      <c r="BE1137" s="76"/>
      <c r="BF1137" s="76"/>
      <c r="BG1137" s="76"/>
      <c r="BH1137" s="76"/>
      <c r="BI1137" s="76"/>
      <c r="BJ1137" s="76"/>
      <c r="BK1137" s="76"/>
      <c r="BL1137" s="76">
        <f>+BK1137*31500</f>
        <v>0</v>
      </c>
      <c r="BM1137" s="76"/>
      <c r="BN1137" s="76"/>
      <c r="BO1137" s="76"/>
      <c r="BP1137" s="76"/>
      <c r="BQ1137" s="76"/>
      <c r="BR1137" s="76"/>
      <c r="BS1137" s="76"/>
      <c r="BT1137" s="76"/>
      <c r="BU1137" s="76"/>
      <c r="BV1137" s="76"/>
      <c r="BW1137" s="76"/>
      <c r="BX1137" s="76"/>
      <c r="BY1137" s="76"/>
      <c r="BZ1137" s="76"/>
      <c r="CA1137" s="76"/>
      <c r="CB1137" s="76"/>
      <c r="CC1137" s="76"/>
      <c r="CD1137" s="76"/>
      <c r="CE1137" s="76"/>
      <c r="CF1137" s="76">
        <f>+CE1137*28000</f>
        <v>0</v>
      </c>
      <c r="CG1137" s="76"/>
      <c r="CH1137" s="76">
        <f>+CG1137*22500</f>
        <v>0</v>
      </c>
      <c r="CI1137" s="76"/>
      <c r="CJ1137" s="76">
        <f>+CI1137*26000</f>
        <v>0</v>
      </c>
      <c r="CK1137" s="76"/>
      <c r="CL1137" s="76"/>
      <c r="CM1137" s="76"/>
      <c r="CN1137" s="76">
        <f>+CM1137*22000</f>
        <v>0</v>
      </c>
      <c r="CO1137" s="76"/>
      <c r="CP1137" s="76">
        <f>+CO1137*46000</f>
        <v>0</v>
      </c>
      <c r="CQ1137" s="76"/>
      <c r="CR1137" s="76">
        <f>+CQ1137*49000</f>
        <v>0</v>
      </c>
      <c r="CS1137" s="76"/>
      <c r="CT1137" s="76"/>
      <c r="CU1137" s="56">
        <f>AN1137+AP1137+AR1137+AT1137+AV1137+AX1137+AZ1137+BB1137+BD1137+BF1137+BH1137+BJ1137+BL1137+BN1137+BP1137+BR1137+BT1137+BV1137+BX1137+BZ1137+CB1137+CD1137+CF1137+CH1137+CJ1137+CL1137+CN1137+CP1137+CR1137+CT1137</f>
        <v>0</v>
      </c>
      <c r="CV1137" s="76"/>
      <c r="CW1137" s="76">
        <f>+CV1137*1100</f>
        <v>0</v>
      </c>
      <c r="CX1137" s="76"/>
      <c r="CY1137" s="76">
        <f>+CX1137*106250</f>
        <v>0</v>
      </c>
      <c r="CZ1137" s="76"/>
      <c r="DA1137" s="76">
        <f>+CZ1137*34500</f>
        <v>0</v>
      </c>
      <c r="DB1137" s="76"/>
      <c r="DC1137" s="76">
        <f>+DB1137*25000</f>
        <v>0</v>
      </c>
      <c r="DD1137" s="219"/>
      <c r="DE1137" s="219"/>
      <c r="DF1137" s="166"/>
      <c r="DG1137" s="116"/>
      <c r="DH1137" s="117"/>
      <c r="DI1137" s="24"/>
      <c r="DJ1137" s="24"/>
      <c r="DK1137" s="24"/>
      <c r="DL1137" s="24"/>
      <c r="DM1137" s="24"/>
      <c r="DN1137" s="24"/>
      <c r="DO1137" s="24"/>
      <c r="DP1137" s="24"/>
      <c r="DQ1137" s="24"/>
      <c r="DR1137" s="24"/>
      <c r="DS1137" s="24"/>
      <c r="DT1137" s="24"/>
      <c r="DU1137" s="24"/>
    </row>
    <row r="1138" spans="1:125" s="8" customFormat="1" ht="24" x14ac:dyDescent="0.2">
      <c r="A1138" s="353">
        <v>41347</v>
      </c>
      <c r="B1138" s="225" t="s">
        <v>2855</v>
      </c>
      <c r="C1138" s="189" t="s">
        <v>892</v>
      </c>
      <c r="D1138" s="81" t="s">
        <v>2846</v>
      </c>
      <c r="E1138" s="75" t="str">
        <f>VLOOKUP(B1138&amp;C1138,Divipola!$C$2:$F$1138,4,FALSE)</f>
        <v>20013</v>
      </c>
      <c r="F1138" s="87"/>
      <c r="G1138" s="87"/>
      <c r="H1138" s="87"/>
      <c r="I1138" s="87"/>
      <c r="J1138" s="87"/>
      <c r="K1138" s="87"/>
      <c r="L1138" s="87"/>
      <c r="M1138" s="87"/>
      <c r="N1138" s="87"/>
      <c r="O1138" s="87"/>
      <c r="P1138" s="87"/>
      <c r="Q1138" s="87"/>
      <c r="R1138" s="87"/>
      <c r="S1138" s="87"/>
      <c r="T1138" s="87"/>
      <c r="U1138" s="88">
        <v>2</v>
      </c>
      <c r="V1138" s="89"/>
      <c r="W1138" s="96">
        <v>0</v>
      </c>
      <c r="X1138" s="71">
        <f>CU1138</f>
        <v>0</v>
      </c>
      <c r="Y1138" s="71">
        <f>CY1138</f>
        <v>0</v>
      </c>
      <c r="Z1138" s="71">
        <f>DA1138+DC1138+DE1138</f>
        <v>0</v>
      </c>
      <c r="AA1138" s="71">
        <f>CW1138</f>
        <v>0</v>
      </c>
      <c r="AB1138" s="71"/>
      <c r="AC1138" s="71">
        <v>0</v>
      </c>
      <c r="AD1138" s="71">
        <f>W1138+X1138+Y1138+Z1138+AA1138+AB1138+AC1138</f>
        <v>0</v>
      </c>
      <c r="AE1138" s="72">
        <v>0</v>
      </c>
      <c r="AF1138" s="5"/>
      <c r="AG1138" s="6"/>
      <c r="AH1138" s="27" t="s">
        <v>3392</v>
      </c>
      <c r="AI1138" s="44" t="s">
        <v>3393</v>
      </c>
      <c r="AJ1138" s="26"/>
      <c r="AK1138" s="5"/>
      <c r="AL1138" s="82" t="s">
        <v>3945</v>
      </c>
      <c r="AM1138" s="76"/>
      <c r="AN1138" s="76"/>
      <c r="AO1138" s="76"/>
      <c r="AP1138" s="76"/>
      <c r="AQ1138" s="76"/>
      <c r="AR1138" s="76"/>
      <c r="AS1138" s="76"/>
      <c r="AT1138" s="76"/>
      <c r="AU1138" s="76"/>
      <c r="AV1138" s="76"/>
      <c r="AW1138" s="76"/>
      <c r="AX1138" s="76">
        <f>+AW1138*600000</f>
        <v>0</v>
      </c>
      <c r="AY1138" s="76"/>
      <c r="AZ1138" s="76">
        <f>+AY1138*70000</f>
        <v>0</v>
      </c>
      <c r="BA1138" s="76"/>
      <c r="BB1138" s="76"/>
      <c r="BC1138" s="76"/>
      <c r="BD1138" s="76">
        <f>+BC1138*30000</f>
        <v>0</v>
      </c>
      <c r="BE1138" s="76"/>
      <c r="BF1138" s="76"/>
      <c r="BG1138" s="76"/>
      <c r="BH1138" s="76"/>
      <c r="BI1138" s="76"/>
      <c r="BJ1138" s="76"/>
      <c r="BK1138" s="76"/>
      <c r="BL1138" s="76">
        <f>+BK1138*31500</f>
        <v>0</v>
      </c>
      <c r="BM1138" s="76"/>
      <c r="BN1138" s="76"/>
      <c r="BO1138" s="76"/>
      <c r="BP1138" s="76"/>
      <c r="BQ1138" s="76"/>
      <c r="BR1138" s="76"/>
      <c r="BS1138" s="76"/>
      <c r="BT1138" s="76"/>
      <c r="BU1138" s="76"/>
      <c r="BV1138" s="76"/>
      <c r="BW1138" s="76"/>
      <c r="BX1138" s="76"/>
      <c r="BY1138" s="76"/>
      <c r="BZ1138" s="76"/>
      <c r="CA1138" s="76"/>
      <c r="CB1138" s="76"/>
      <c r="CC1138" s="76"/>
      <c r="CD1138" s="76"/>
      <c r="CE1138" s="76"/>
      <c r="CF1138" s="76">
        <f>+CE1138*28000</f>
        <v>0</v>
      </c>
      <c r="CG1138" s="76"/>
      <c r="CH1138" s="76">
        <f>+CG1138*22500</f>
        <v>0</v>
      </c>
      <c r="CI1138" s="76"/>
      <c r="CJ1138" s="76">
        <f>+CI1138*26000</f>
        <v>0</v>
      </c>
      <c r="CK1138" s="76"/>
      <c r="CL1138" s="76"/>
      <c r="CM1138" s="76"/>
      <c r="CN1138" s="76">
        <f>+CM1138*22000</f>
        <v>0</v>
      </c>
      <c r="CO1138" s="76"/>
      <c r="CP1138" s="76">
        <f>+CO1138*46000</f>
        <v>0</v>
      </c>
      <c r="CQ1138" s="76"/>
      <c r="CR1138" s="76">
        <f>+CQ1138*49000</f>
        <v>0</v>
      </c>
      <c r="CS1138" s="76"/>
      <c r="CT1138" s="76"/>
      <c r="CU1138" s="56">
        <f>AN1138+AP1138+AR1138+AT1138+AV1138+AX1138+AZ1138+BB1138+BD1138+BF1138+BH1138+BJ1138+BL1138+BN1138+BP1138+BR1138+BT1138+BV1138+BX1138+BZ1138+CB1138+CD1138+CF1138+CH1138+CJ1138+CL1138+CN1138+CP1138+CR1138+CT1138</f>
        <v>0</v>
      </c>
      <c r="CV1138" s="76"/>
      <c r="CW1138" s="76">
        <f>+CV1138*1100</f>
        <v>0</v>
      </c>
      <c r="CX1138" s="76"/>
      <c r="CY1138" s="76">
        <f>+CX1138*106250</f>
        <v>0</v>
      </c>
      <c r="CZ1138" s="76"/>
      <c r="DA1138" s="76">
        <f>+CZ1138*34500</f>
        <v>0</v>
      </c>
      <c r="DB1138" s="76"/>
      <c r="DC1138" s="76">
        <f>+DB1138*25000</f>
        <v>0</v>
      </c>
      <c r="DD1138" s="219"/>
      <c r="DE1138" s="219"/>
      <c r="DF1138" s="166"/>
      <c r="DG1138" s="116"/>
      <c r="DH1138" s="117"/>
      <c r="DI1138" s="24"/>
      <c r="DJ1138" s="24"/>
      <c r="DK1138" s="24"/>
      <c r="DL1138" s="24"/>
      <c r="DM1138" s="24"/>
      <c r="DN1138" s="24"/>
      <c r="DO1138" s="24"/>
      <c r="DP1138" s="24"/>
      <c r="DQ1138" s="24"/>
      <c r="DR1138" s="24"/>
      <c r="DS1138" s="24"/>
      <c r="DT1138" s="24"/>
      <c r="DU1138" s="24"/>
    </row>
    <row r="1139" spans="1:125" s="8" customFormat="1" ht="84" x14ac:dyDescent="0.2">
      <c r="A1139" s="226">
        <v>41347</v>
      </c>
      <c r="B1139" s="225" t="s">
        <v>2718</v>
      </c>
      <c r="C1139" s="227" t="s">
        <v>977</v>
      </c>
      <c r="D1139" s="227" t="s">
        <v>2882</v>
      </c>
      <c r="E1139" s="75" t="str">
        <f>VLOOKUP(B1139&amp;C1139,Divipola!$C$2:$F$1138,4,FALSE)</f>
        <v>23570</v>
      </c>
      <c r="F1139" s="87"/>
      <c r="G1139" s="87"/>
      <c r="H1139" s="87"/>
      <c r="I1139" s="87">
        <v>75</v>
      </c>
      <c r="J1139" s="87">
        <v>15</v>
      </c>
      <c r="K1139" s="87"/>
      <c r="L1139" s="87">
        <v>15</v>
      </c>
      <c r="M1139" s="87"/>
      <c r="N1139" s="87"/>
      <c r="O1139" s="87"/>
      <c r="P1139" s="87"/>
      <c r="Q1139" s="87"/>
      <c r="R1139" s="87"/>
      <c r="S1139" s="87"/>
      <c r="T1139" s="87"/>
      <c r="U1139" s="88"/>
      <c r="V1139" s="89"/>
      <c r="W1139" s="96">
        <v>0</v>
      </c>
      <c r="X1139" s="71">
        <f>CU1139</f>
        <v>0</v>
      </c>
      <c r="Y1139" s="71">
        <f>CY1139</f>
        <v>0</v>
      </c>
      <c r="Z1139" s="71">
        <f>DA1139+DC1139+DE1139</f>
        <v>0</v>
      </c>
      <c r="AA1139" s="71">
        <f>CW1139</f>
        <v>0</v>
      </c>
      <c r="AB1139" s="71"/>
      <c r="AC1139" s="71">
        <v>0</v>
      </c>
      <c r="AD1139" s="71">
        <f>W1139+X1139+Y1139+Z1139+AA1139+AB1139+AC1139</f>
        <v>0</v>
      </c>
      <c r="AE1139" s="72">
        <v>0</v>
      </c>
      <c r="AF1139" s="5"/>
      <c r="AG1139" s="6"/>
      <c r="AH1139" s="27" t="s">
        <v>3390</v>
      </c>
      <c r="AI1139" s="44" t="s">
        <v>3393</v>
      </c>
      <c r="AJ1139" s="26"/>
      <c r="AK1139" s="5" t="s">
        <v>4242</v>
      </c>
      <c r="AL1139" s="82" t="s">
        <v>3971</v>
      </c>
      <c r="AM1139" s="76"/>
      <c r="AN1139" s="76"/>
      <c r="AO1139" s="76"/>
      <c r="AP1139" s="76"/>
      <c r="AQ1139" s="76"/>
      <c r="AR1139" s="76"/>
      <c r="AS1139" s="76"/>
      <c r="AT1139" s="76"/>
      <c r="AU1139" s="76"/>
      <c r="AV1139" s="76"/>
      <c r="AW1139" s="76"/>
      <c r="AX1139" s="76">
        <f>+AW1139*600000</f>
        <v>0</v>
      </c>
      <c r="AY1139" s="76"/>
      <c r="AZ1139" s="76">
        <f>+AY1139*70000</f>
        <v>0</v>
      </c>
      <c r="BA1139" s="76"/>
      <c r="BB1139" s="76"/>
      <c r="BC1139" s="76"/>
      <c r="BD1139" s="76">
        <f>+BC1139*30000</f>
        <v>0</v>
      </c>
      <c r="BE1139" s="76"/>
      <c r="BF1139" s="76"/>
      <c r="BG1139" s="76"/>
      <c r="BH1139" s="76"/>
      <c r="BI1139" s="76"/>
      <c r="BJ1139" s="76"/>
      <c r="BK1139" s="76"/>
      <c r="BL1139" s="76">
        <f>+BK1139*31500</f>
        <v>0</v>
      </c>
      <c r="BM1139" s="76"/>
      <c r="BN1139" s="76"/>
      <c r="BO1139" s="76"/>
      <c r="BP1139" s="76"/>
      <c r="BQ1139" s="76"/>
      <c r="BR1139" s="76"/>
      <c r="BS1139" s="76"/>
      <c r="BT1139" s="76"/>
      <c r="BU1139" s="76"/>
      <c r="BV1139" s="76"/>
      <c r="BW1139" s="76"/>
      <c r="BX1139" s="76"/>
      <c r="BY1139" s="76"/>
      <c r="BZ1139" s="76"/>
      <c r="CA1139" s="76"/>
      <c r="CB1139" s="76"/>
      <c r="CC1139" s="76"/>
      <c r="CD1139" s="76"/>
      <c r="CE1139" s="76"/>
      <c r="CF1139" s="76">
        <f>+CE1139*28000</f>
        <v>0</v>
      </c>
      <c r="CG1139" s="76"/>
      <c r="CH1139" s="76">
        <f>+CG1139*22500</f>
        <v>0</v>
      </c>
      <c r="CI1139" s="76"/>
      <c r="CJ1139" s="76">
        <f>+CI1139*26000</f>
        <v>0</v>
      </c>
      <c r="CK1139" s="76"/>
      <c r="CL1139" s="76"/>
      <c r="CM1139" s="76"/>
      <c r="CN1139" s="76">
        <f>+CM1139*22000</f>
        <v>0</v>
      </c>
      <c r="CO1139" s="76"/>
      <c r="CP1139" s="76">
        <f>+CO1139*46000</f>
        <v>0</v>
      </c>
      <c r="CQ1139" s="76"/>
      <c r="CR1139" s="76">
        <f>+CQ1139*49000</f>
        <v>0</v>
      </c>
      <c r="CS1139" s="76"/>
      <c r="CT1139" s="76"/>
      <c r="CU1139" s="56">
        <f>AN1139+AP1139+AR1139+AT1139+AV1139+AX1139+AZ1139+BB1139+BD1139+BF1139+BH1139+BJ1139+BL1139+BN1139+BP1139+BR1139+BT1139+BV1139+BX1139+BZ1139+CB1139+CD1139+CF1139+CH1139+CJ1139+CL1139+CN1139+CP1139+CR1139+CT1139</f>
        <v>0</v>
      </c>
      <c r="CV1139" s="76"/>
      <c r="CW1139" s="76">
        <f>+CV1139*1100</f>
        <v>0</v>
      </c>
      <c r="CX1139" s="76"/>
      <c r="CY1139" s="76">
        <f>+CX1139*106250</f>
        <v>0</v>
      </c>
      <c r="CZ1139" s="76"/>
      <c r="DA1139" s="76">
        <f>+CZ1139*34500</f>
        <v>0</v>
      </c>
      <c r="DB1139" s="76"/>
      <c r="DC1139" s="76">
        <f>+DB1139*25000</f>
        <v>0</v>
      </c>
      <c r="DD1139" s="219"/>
      <c r="DE1139" s="219"/>
      <c r="DF1139" s="166"/>
      <c r="DG1139" s="116"/>
      <c r="DH1139" s="117"/>
      <c r="DI1139" s="24"/>
      <c r="DJ1139" s="24"/>
      <c r="DK1139" s="24"/>
      <c r="DL1139" s="24"/>
      <c r="DM1139" s="24"/>
      <c r="DN1139" s="24"/>
      <c r="DO1139" s="24"/>
      <c r="DP1139" s="24"/>
      <c r="DQ1139" s="24"/>
      <c r="DR1139" s="24"/>
      <c r="DS1139" s="24"/>
      <c r="DT1139" s="24"/>
      <c r="DU1139" s="24"/>
    </row>
    <row r="1140" spans="1:125" s="8" customFormat="1" ht="84" x14ac:dyDescent="0.2">
      <c r="A1140" s="77">
        <v>41347</v>
      </c>
      <c r="B1140" s="78" t="s">
        <v>2906</v>
      </c>
      <c r="C1140" s="83" t="s">
        <v>437</v>
      </c>
      <c r="D1140" s="81" t="s">
        <v>2846</v>
      </c>
      <c r="E1140" s="75" t="str">
        <f>VLOOKUP(B1140&amp;C1140,Divipola!$C$2:$F$1138,4,FALSE)</f>
        <v>47288</v>
      </c>
      <c r="F1140" s="93"/>
      <c r="G1140" s="93"/>
      <c r="H1140" s="93"/>
      <c r="I1140" s="93"/>
      <c r="J1140" s="93"/>
      <c r="K1140" s="93"/>
      <c r="L1140" s="93"/>
      <c r="M1140" s="93"/>
      <c r="N1140" s="93"/>
      <c r="O1140" s="93"/>
      <c r="P1140" s="93"/>
      <c r="Q1140" s="93"/>
      <c r="R1140" s="93"/>
      <c r="S1140" s="93"/>
      <c r="T1140" s="93"/>
      <c r="U1140" s="93">
        <v>1</v>
      </c>
      <c r="V1140" s="89"/>
      <c r="W1140" s="96">
        <v>0</v>
      </c>
      <c r="X1140" s="71">
        <f>CU1140</f>
        <v>0</v>
      </c>
      <c r="Y1140" s="71">
        <f>CY1140</f>
        <v>0</v>
      </c>
      <c r="Z1140" s="71">
        <f>DA1140+DC1140+DE1140</f>
        <v>0</v>
      </c>
      <c r="AA1140" s="71">
        <f>CW1140</f>
        <v>0</v>
      </c>
      <c r="AB1140" s="71"/>
      <c r="AC1140" s="71">
        <v>0</v>
      </c>
      <c r="AD1140" s="71">
        <f>W1140+X1140+Y1140+Z1140+AA1140+AB1140+AC1140</f>
        <v>0</v>
      </c>
      <c r="AE1140" s="72">
        <v>0</v>
      </c>
      <c r="AF1140" s="5"/>
      <c r="AG1140" s="6"/>
      <c r="AH1140" s="27" t="s">
        <v>3392</v>
      </c>
      <c r="AI1140" s="44" t="s">
        <v>3393</v>
      </c>
      <c r="AJ1140" s="26"/>
      <c r="AK1140" s="5"/>
      <c r="AL1140" s="82" t="s">
        <v>3947</v>
      </c>
      <c r="AM1140" s="76"/>
      <c r="AN1140" s="76"/>
      <c r="AO1140" s="76"/>
      <c r="AP1140" s="76"/>
      <c r="AQ1140" s="76"/>
      <c r="AR1140" s="76"/>
      <c r="AS1140" s="76"/>
      <c r="AT1140" s="76"/>
      <c r="AU1140" s="76"/>
      <c r="AV1140" s="76"/>
      <c r="AW1140" s="76"/>
      <c r="AX1140" s="76">
        <f>+AW1140*600000</f>
        <v>0</v>
      </c>
      <c r="AY1140" s="76"/>
      <c r="AZ1140" s="76">
        <f>+AY1140*70000</f>
        <v>0</v>
      </c>
      <c r="BA1140" s="76"/>
      <c r="BB1140" s="76"/>
      <c r="BC1140" s="76"/>
      <c r="BD1140" s="76">
        <f>+BC1140*30000</f>
        <v>0</v>
      </c>
      <c r="BE1140" s="76"/>
      <c r="BF1140" s="76"/>
      <c r="BG1140" s="76"/>
      <c r="BH1140" s="76"/>
      <c r="BI1140" s="76"/>
      <c r="BJ1140" s="76"/>
      <c r="BK1140" s="76"/>
      <c r="BL1140" s="76">
        <f>+BK1140*31500</f>
        <v>0</v>
      </c>
      <c r="BM1140" s="76"/>
      <c r="BN1140" s="76"/>
      <c r="BO1140" s="76"/>
      <c r="BP1140" s="76"/>
      <c r="BQ1140" s="76"/>
      <c r="BR1140" s="76"/>
      <c r="BS1140" s="76"/>
      <c r="BT1140" s="76"/>
      <c r="BU1140" s="76"/>
      <c r="BV1140" s="76"/>
      <c r="BW1140" s="76"/>
      <c r="BX1140" s="76"/>
      <c r="BY1140" s="76"/>
      <c r="BZ1140" s="76"/>
      <c r="CA1140" s="76"/>
      <c r="CB1140" s="76"/>
      <c r="CC1140" s="76"/>
      <c r="CD1140" s="76"/>
      <c r="CE1140" s="76"/>
      <c r="CF1140" s="76">
        <f>+CE1140*28000</f>
        <v>0</v>
      </c>
      <c r="CG1140" s="76"/>
      <c r="CH1140" s="76">
        <f>+CG1140*22500</f>
        <v>0</v>
      </c>
      <c r="CI1140" s="76"/>
      <c r="CJ1140" s="76">
        <f>+CI1140*26000</f>
        <v>0</v>
      </c>
      <c r="CK1140" s="76"/>
      <c r="CL1140" s="76"/>
      <c r="CM1140" s="76"/>
      <c r="CN1140" s="76">
        <f>+CM1140*22000</f>
        <v>0</v>
      </c>
      <c r="CO1140" s="76"/>
      <c r="CP1140" s="76">
        <f>+CO1140*46000</f>
        <v>0</v>
      </c>
      <c r="CQ1140" s="76"/>
      <c r="CR1140" s="76">
        <f>+CQ1140*49000</f>
        <v>0</v>
      </c>
      <c r="CS1140" s="76"/>
      <c r="CT1140" s="76"/>
      <c r="CU1140" s="56">
        <f>AN1140+AP1140+AR1140+AT1140+AV1140+AX1140+AZ1140+BB1140+BD1140+BF1140+BH1140+BJ1140+BL1140+BN1140+BP1140+BR1140+BT1140+BV1140+BX1140+BZ1140+CB1140+CD1140+CF1140+CH1140+CJ1140+CL1140+CN1140+CP1140+CR1140+CT1140</f>
        <v>0</v>
      </c>
      <c r="CV1140" s="76"/>
      <c r="CW1140" s="76">
        <f>+CV1140*1100</f>
        <v>0</v>
      </c>
      <c r="CX1140" s="76"/>
      <c r="CY1140" s="76">
        <f>+CX1140*106250</f>
        <v>0</v>
      </c>
      <c r="CZ1140" s="76"/>
      <c r="DA1140" s="76">
        <f>+CZ1140*34500</f>
        <v>0</v>
      </c>
      <c r="DB1140" s="76"/>
      <c r="DC1140" s="76">
        <f>+DB1140*25000</f>
        <v>0</v>
      </c>
      <c r="DD1140" s="219"/>
      <c r="DE1140" s="219"/>
      <c r="DF1140" s="166"/>
      <c r="DG1140" s="116"/>
      <c r="DH1140" s="117"/>
      <c r="DI1140" s="24"/>
      <c r="DJ1140" s="24"/>
      <c r="DK1140" s="24"/>
      <c r="DL1140" s="24"/>
      <c r="DM1140" s="24"/>
      <c r="DN1140" s="24"/>
      <c r="DO1140" s="24"/>
      <c r="DP1140" s="24"/>
      <c r="DQ1140" s="24"/>
      <c r="DR1140" s="24"/>
      <c r="DS1140" s="24"/>
      <c r="DT1140" s="24"/>
      <c r="DU1140" s="24"/>
    </row>
    <row r="1141" spans="1:125" s="8" customFormat="1" ht="60" x14ac:dyDescent="0.2">
      <c r="A1141" s="353">
        <v>41347</v>
      </c>
      <c r="B1141" s="225" t="s">
        <v>2847</v>
      </c>
      <c r="C1141" s="227" t="s">
        <v>328</v>
      </c>
      <c r="D1141" s="84" t="s">
        <v>3088</v>
      </c>
      <c r="E1141" s="75" t="str">
        <f>VLOOKUP(B1141&amp;C1141,Divipola!$C$2:$F$1138,4,FALSE)</f>
        <v>68209</v>
      </c>
      <c r="F1141" s="87"/>
      <c r="G1141" s="87"/>
      <c r="H1141" s="87"/>
      <c r="I1141" s="87"/>
      <c r="J1141" s="87"/>
      <c r="K1141" s="87"/>
      <c r="L1141" s="87"/>
      <c r="M1141" s="87"/>
      <c r="N1141" s="87"/>
      <c r="O1141" s="87"/>
      <c r="P1141" s="87"/>
      <c r="Q1141" s="87"/>
      <c r="R1141" s="87"/>
      <c r="S1141" s="87"/>
      <c r="T1141" s="87"/>
      <c r="U1141" s="88"/>
      <c r="V1141" s="89"/>
      <c r="W1141" s="96">
        <v>0</v>
      </c>
      <c r="X1141" s="71">
        <f>CU1141</f>
        <v>0</v>
      </c>
      <c r="Y1141" s="71">
        <f>CY1141</f>
        <v>0</v>
      </c>
      <c r="Z1141" s="71">
        <f>DA1141+DC1141+DE1141</f>
        <v>0</v>
      </c>
      <c r="AA1141" s="71">
        <f>CW1141</f>
        <v>0</v>
      </c>
      <c r="AB1141" s="71"/>
      <c r="AC1141" s="71">
        <v>0</v>
      </c>
      <c r="AD1141" s="71">
        <f>W1141+X1141+Y1141+Z1141+AA1141+AB1141+AC1141</f>
        <v>0</v>
      </c>
      <c r="AE1141" s="72">
        <v>0</v>
      </c>
      <c r="AF1141" s="5"/>
      <c r="AG1141" s="6"/>
      <c r="AH1141" s="27" t="s">
        <v>3392</v>
      </c>
      <c r="AI1141" s="44" t="s">
        <v>3393</v>
      </c>
      <c r="AJ1141" s="26"/>
      <c r="AK1141" s="5"/>
      <c r="AL1141" s="82" t="s">
        <v>3954</v>
      </c>
      <c r="AM1141" s="76"/>
      <c r="AN1141" s="76"/>
      <c r="AO1141" s="76"/>
      <c r="AP1141" s="76"/>
      <c r="AQ1141" s="76"/>
      <c r="AR1141" s="76"/>
      <c r="AS1141" s="76"/>
      <c r="AT1141" s="76"/>
      <c r="AU1141" s="76"/>
      <c r="AV1141" s="76"/>
      <c r="AW1141" s="76"/>
      <c r="AX1141" s="76">
        <f>+AW1141*600000</f>
        <v>0</v>
      </c>
      <c r="AY1141" s="76"/>
      <c r="AZ1141" s="76">
        <f>+AY1141*70000</f>
        <v>0</v>
      </c>
      <c r="BA1141" s="76"/>
      <c r="BB1141" s="76"/>
      <c r="BC1141" s="76"/>
      <c r="BD1141" s="76">
        <f>+BC1141*30000</f>
        <v>0</v>
      </c>
      <c r="BE1141" s="76"/>
      <c r="BF1141" s="76"/>
      <c r="BG1141" s="76"/>
      <c r="BH1141" s="76"/>
      <c r="BI1141" s="76"/>
      <c r="BJ1141" s="76"/>
      <c r="BK1141" s="76"/>
      <c r="BL1141" s="76">
        <f>+BK1141*31500</f>
        <v>0</v>
      </c>
      <c r="BM1141" s="76"/>
      <c r="BN1141" s="76"/>
      <c r="BO1141" s="76"/>
      <c r="BP1141" s="76"/>
      <c r="BQ1141" s="76"/>
      <c r="BR1141" s="76"/>
      <c r="BS1141" s="76"/>
      <c r="BT1141" s="76"/>
      <c r="BU1141" s="76"/>
      <c r="BV1141" s="76"/>
      <c r="BW1141" s="76"/>
      <c r="BX1141" s="76"/>
      <c r="BY1141" s="76"/>
      <c r="BZ1141" s="76"/>
      <c r="CA1141" s="76"/>
      <c r="CB1141" s="76"/>
      <c r="CC1141" s="76"/>
      <c r="CD1141" s="76"/>
      <c r="CE1141" s="76"/>
      <c r="CF1141" s="76">
        <f>+CE1141*28000</f>
        <v>0</v>
      </c>
      <c r="CG1141" s="76"/>
      <c r="CH1141" s="76">
        <f>+CG1141*22500</f>
        <v>0</v>
      </c>
      <c r="CI1141" s="76"/>
      <c r="CJ1141" s="76">
        <f>+CI1141*26000</f>
        <v>0</v>
      </c>
      <c r="CK1141" s="76"/>
      <c r="CL1141" s="76"/>
      <c r="CM1141" s="76"/>
      <c r="CN1141" s="76">
        <f>+CM1141*22000</f>
        <v>0</v>
      </c>
      <c r="CO1141" s="76"/>
      <c r="CP1141" s="76">
        <f>+CO1141*46000</f>
        <v>0</v>
      </c>
      <c r="CQ1141" s="76"/>
      <c r="CR1141" s="76">
        <f>+CQ1141*49000</f>
        <v>0</v>
      </c>
      <c r="CS1141" s="76"/>
      <c r="CT1141" s="76"/>
      <c r="CU1141" s="56">
        <f>AN1141+AP1141+AR1141+AT1141+AV1141+AX1141+AZ1141+BB1141+BD1141+BF1141+BH1141+BJ1141+BL1141+BN1141+BP1141+BR1141+BT1141+BV1141+BX1141+BZ1141+CB1141+CD1141+CF1141+CH1141+CJ1141+CL1141+CN1141+CP1141+CR1141+CT1141</f>
        <v>0</v>
      </c>
      <c r="CV1141" s="76"/>
      <c r="CW1141" s="76">
        <f>+CV1141*1100</f>
        <v>0</v>
      </c>
      <c r="CX1141" s="76"/>
      <c r="CY1141" s="76">
        <f>+CX1141*106250</f>
        <v>0</v>
      </c>
      <c r="CZ1141" s="76"/>
      <c r="DA1141" s="76">
        <f>+CZ1141*34500</f>
        <v>0</v>
      </c>
      <c r="DB1141" s="76"/>
      <c r="DC1141" s="76">
        <f>+DB1141*25000</f>
        <v>0</v>
      </c>
      <c r="DD1141" s="219"/>
      <c r="DE1141" s="219"/>
      <c r="DF1141" s="166"/>
      <c r="DG1141" s="116"/>
      <c r="DH1141" s="117"/>
      <c r="DI1141" s="24"/>
      <c r="DJ1141" s="24"/>
      <c r="DK1141" s="24"/>
      <c r="DL1141" s="24"/>
      <c r="DM1141" s="24"/>
      <c r="DN1141" s="24"/>
      <c r="DO1141" s="24"/>
      <c r="DP1141" s="24"/>
      <c r="DQ1141" s="24"/>
      <c r="DR1141" s="24"/>
      <c r="DS1141" s="24"/>
      <c r="DT1141" s="24"/>
      <c r="DU1141" s="24"/>
    </row>
    <row r="1142" spans="1:125" s="8" customFormat="1" ht="108" x14ac:dyDescent="0.2">
      <c r="A1142" s="226">
        <v>41348</v>
      </c>
      <c r="B1142" s="225" t="s">
        <v>2894</v>
      </c>
      <c r="C1142" s="227" t="s">
        <v>2604</v>
      </c>
      <c r="D1142" s="75" t="s">
        <v>3051</v>
      </c>
      <c r="E1142" s="75" t="str">
        <f>VLOOKUP(B1142&amp;C1142,Divipola!$C$2:$F$1138,4,FALSE)</f>
        <v>05790</v>
      </c>
      <c r="F1142" s="87"/>
      <c r="G1142" s="87"/>
      <c r="H1142" s="87"/>
      <c r="I1142" s="87">
        <v>125</v>
      </c>
      <c r="J1142" s="87">
        <v>25</v>
      </c>
      <c r="K1142" s="87"/>
      <c r="L1142" s="87">
        <v>25</v>
      </c>
      <c r="M1142" s="87"/>
      <c r="N1142" s="87"/>
      <c r="O1142" s="87"/>
      <c r="P1142" s="87"/>
      <c r="Q1142" s="87"/>
      <c r="R1142" s="87"/>
      <c r="S1142" s="87"/>
      <c r="T1142" s="87"/>
      <c r="U1142" s="88">
        <v>20</v>
      </c>
      <c r="V1142" s="89"/>
      <c r="W1142" s="96">
        <v>0</v>
      </c>
      <c r="X1142" s="71">
        <f>CU1142</f>
        <v>0</v>
      </c>
      <c r="Y1142" s="71">
        <f>CY1142</f>
        <v>0</v>
      </c>
      <c r="Z1142" s="71">
        <f>DA1142+DC1142+DE1142</f>
        <v>0</v>
      </c>
      <c r="AA1142" s="71">
        <f>CW1142</f>
        <v>0</v>
      </c>
      <c r="AB1142" s="71"/>
      <c r="AC1142" s="71">
        <v>0</v>
      </c>
      <c r="AD1142" s="71">
        <f>W1142+X1142+Y1142+Z1142+AA1142+AB1142+AC1142</f>
        <v>0</v>
      </c>
      <c r="AE1142" s="72">
        <v>0</v>
      </c>
      <c r="AF1142" s="5"/>
      <c r="AG1142" s="6"/>
      <c r="AH1142" s="27" t="s">
        <v>3392</v>
      </c>
      <c r="AI1142" s="44" t="s">
        <v>3393</v>
      </c>
      <c r="AJ1142" s="26"/>
      <c r="AK1142" s="5"/>
      <c r="AL1142" s="82" t="s">
        <v>3968</v>
      </c>
      <c r="AM1142" s="76"/>
      <c r="AN1142" s="76"/>
      <c r="AO1142" s="76"/>
      <c r="AP1142" s="76"/>
      <c r="AQ1142" s="76"/>
      <c r="AR1142" s="76"/>
      <c r="AS1142" s="76"/>
      <c r="AT1142" s="76"/>
      <c r="AU1142" s="76"/>
      <c r="AV1142" s="76"/>
      <c r="AW1142" s="76"/>
      <c r="AX1142" s="76">
        <f>+AW1142*600000</f>
        <v>0</v>
      </c>
      <c r="AY1142" s="76"/>
      <c r="AZ1142" s="76">
        <f>+AY1142*70000</f>
        <v>0</v>
      </c>
      <c r="BA1142" s="76"/>
      <c r="BB1142" s="76"/>
      <c r="BC1142" s="76"/>
      <c r="BD1142" s="76">
        <f>+BC1142*30000</f>
        <v>0</v>
      </c>
      <c r="BE1142" s="76"/>
      <c r="BF1142" s="76"/>
      <c r="BG1142" s="76"/>
      <c r="BH1142" s="76"/>
      <c r="BI1142" s="76"/>
      <c r="BJ1142" s="76"/>
      <c r="BK1142" s="76"/>
      <c r="BL1142" s="76">
        <f>+BK1142*31500</f>
        <v>0</v>
      </c>
      <c r="BM1142" s="76"/>
      <c r="BN1142" s="76"/>
      <c r="BO1142" s="76"/>
      <c r="BP1142" s="76"/>
      <c r="BQ1142" s="76"/>
      <c r="BR1142" s="76"/>
      <c r="BS1142" s="76"/>
      <c r="BT1142" s="76"/>
      <c r="BU1142" s="76"/>
      <c r="BV1142" s="76"/>
      <c r="BW1142" s="76"/>
      <c r="BX1142" s="76"/>
      <c r="BY1142" s="76"/>
      <c r="BZ1142" s="76"/>
      <c r="CA1142" s="76"/>
      <c r="CB1142" s="76"/>
      <c r="CC1142" s="76"/>
      <c r="CD1142" s="76"/>
      <c r="CE1142" s="76"/>
      <c r="CF1142" s="76">
        <f>+CE1142*28000</f>
        <v>0</v>
      </c>
      <c r="CG1142" s="76"/>
      <c r="CH1142" s="76">
        <f>+CG1142*22500</f>
        <v>0</v>
      </c>
      <c r="CI1142" s="76"/>
      <c r="CJ1142" s="76">
        <f>+CI1142*26000</f>
        <v>0</v>
      </c>
      <c r="CK1142" s="76"/>
      <c r="CL1142" s="76"/>
      <c r="CM1142" s="76"/>
      <c r="CN1142" s="76">
        <f>+CM1142*22000</f>
        <v>0</v>
      </c>
      <c r="CO1142" s="76"/>
      <c r="CP1142" s="76">
        <f>+CO1142*46000</f>
        <v>0</v>
      </c>
      <c r="CQ1142" s="76"/>
      <c r="CR1142" s="76">
        <f>+CQ1142*49000</f>
        <v>0</v>
      </c>
      <c r="CS1142" s="76"/>
      <c r="CT1142" s="76"/>
      <c r="CU1142" s="56">
        <f>AN1142+AP1142+AR1142+AT1142+AV1142+AX1142+AZ1142+BB1142+BD1142+BF1142+BH1142+BJ1142+BL1142+BN1142+BP1142+BR1142+BT1142+BV1142+BX1142+BZ1142+CB1142+CD1142+CF1142+CH1142+CJ1142+CL1142+CN1142+CP1142+CR1142+CT1142</f>
        <v>0</v>
      </c>
      <c r="CV1142" s="76"/>
      <c r="CW1142" s="76">
        <f>+CV1142*1100</f>
        <v>0</v>
      </c>
      <c r="CX1142" s="76"/>
      <c r="CY1142" s="76">
        <f>+CX1142*106250</f>
        <v>0</v>
      </c>
      <c r="CZ1142" s="76"/>
      <c r="DA1142" s="76">
        <f>+CZ1142*34500</f>
        <v>0</v>
      </c>
      <c r="DB1142" s="76"/>
      <c r="DC1142" s="76">
        <f>+DB1142*25000</f>
        <v>0</v>
      </c>
      <c r="DD1142" s="219"/>
      <c r="DE1142" s="219"/>
      <c r="DF1142" s="166"/>
      <c r="DG1142" s="116"/>
      <c r="DH1142" s="117"/>
      <c r="DI1142" s="24"/>
      <c r="DJ1142" s="24"/>
      <c r="DK1142" s="24"/>
      <c r="DL1142" s="24"/>
      <c r="DM1142" s="24"/>
      <c r="DN1142" s="24"/>
      <c r="DO1142" s="24"/>
      <c r="DP1142" s="24"/>
      <c r="DQ1142" s="24"/>
      <c r="DR1142" s="24"/>
      <c r="DS1142" s="24"/>
      <c r="DT1142" s="24"/>
      <c r="DU1142" s="24"/>
    </row>
    <row r="1143" spans="1:125" s="8" customFormat="1" ht="48" x14ac:dyDescent="0.2">
      <c r="A1143" s="77">
        <v>41348</v>
      </c>
      <c r="B1143" s="78" t="s">
        <v>2700</v>
      </c>
      <c r="C1143" s="75" t="s">
        <v>590</v>
      </c>
      <c r="D1143" s="84" t="s">
        <v>3088</v>
      </c>
      <c r="E1143" s="75" t="str">
        <f>VLOOKUP(B1143&amp;C1143,Divipola!$C$2:$F$1138,4,FALSE)</f>
        <v>15507</v>
      </c>
      <c r="F1143" s="87"/>
      <c r="G1143" s="87">
        <v>2</v>
      </c>
      <c r="H1143" s="87"/>
      <c r="I1143" s="87"/>
      <c r="J1143" s="87"/>
      <c r="K1143" s="87"/>
      <c r="L1143" s="87"/>
      <c r="M1143" s="87"/>
      <c r="N1143" s="87"/>
      <c r="O1143" s="87"/>
      <c r="P1143" s="87"/>
      <c r="Q1143" s="87"/>
      <c r="R1143" s="87"/>
      <c r="S1143" s="87"/>
      <c r="T1143" s="87"/>
      <c r="U1143" s="88"/>
      <c r="V1143" s="89"/>
      <c r="W1143" s="96">
        <v>0</v>
      </c>
      <c r="X1143" s="71">
        <f>CU1143</f>
        <v>0</v>
      </c>
      <c r="Y1143" s="71">
        <f>CY1143</f>
        <v>0</v>
      </c>
      <c r="Z1143" s="71">
        <f>DA1143+DC1143+DE1143</f>
        <v>0</v>
      </c>
      <c r="AA1143" s="71">
        <f>CW1143</f>
        <v>0</v>
      </c>
      <c r="AB1143" s="71"/>
      <c r="AC1143" s="71">
        <v>0</v>
      </c>
      <c r="AD1143" s="71">
        <f>W1143+X1143+Y1143+Z1143+AA1143+AB1143+AC1143</f>
        <v>0</v>
      </c>
      <c r="AE1143" s="72">
        <v>0</v>
      </c>
      <c r="AF1143" s="5"/>
      <c r="AG1143" s="6"/>
      <c r="AH1143" s="27" t="s">
        <v>3392</v>
      </c>
      <c r="AI1143" s="44" t="s">
        <v>3393</v>
      </c>
      <c r="AJ1143" s="26"/>
      <c r="AK1143" s="5"/>
      <c r="AL1143" s="82" t="s">
        <v>3965</v>
      </c>
      <c r="AM1143" s="76"/>
      <c r="AN1143" s="76"/>
      <c r="AO1143" s="76"/>
      <c r="AP1143" s="76"/>
      <c r="AQ1143" s="76"/>
      <c r="AR1143" s="76"/>
      <c r="AS1143" s="76"/>
      <c r="AT1143" s="76"/>
      <c r="AU1143" s="76"/>
      <c r="AV1143" s="76"/>
      <c r="AW1143" s="76"/>
      <c r="AX1143" s="76">
        <f>+AW1143*600000</f>
        <v>0</v>
      </c>
      <c r="AY1143" s="76"/>
      <c r="AZ1143" s="76">
        <f>+AY1143*70000</f>
        <v>0</v>
      </c>
      <c r="BA1143" s="76"/>
      <c r="BB1143" s="76"/>
      <c r="BC1143" s="76"/>
      <c r="BD1143" s="76">
        <f>+BC1143*30000</f>
        <v>0</v>
      </c>
      <c r="BE1143" s="76"/>
      <c r="BF1143" s="76"/>
      <c r="BG1143" s="76"/>
      <c r="BH1143" s="76"/>
      <c r="BI1143" s="76"/>
      <c r="BJ1143" s="76"/>
      <c r="BK1143" s="76"/>
      <c r="BL1143" s="76">
        <f>+BK1143*31500</f>
        <v>0</v>
      </c>
      <c r="BM1143" s="76"/>
      <c r="BN1143" s="76"/>
      <c r="BO1143" s="76"/>
      <c r="BP1143" s="76"/>
      <c r="BQ1143" s="76"/>
      <c r="BR1143" s="76"/>
      <c r="BS1143" s="76"/>
      <c r="BT1143" s="76"/>
      <c r="BU1143" s="76"/>
      <c r="BV1143" s="76"/>
      <c r="BW1143" s="76"/>
      <c r="BX1143" s="76"/>
      <c r="BY1143" s="76"/>
      <c r="BZ1143" s="76"/>
      <c r="CA1143" s="76"/>
      <c r="CB1143" s="76"/>
      <c r="CC1143" s="76"/>
      <c r="CD1143" s="76"/>
      <c r="CE1143" s="76"/>
      <c r="CF1143" s="76">
        <f>+CE1143*28000</f>
        <v>0</v>
      </c>
      <c r="CG1143" s="76"/>
      <c r="CH1143" s="76">
        <f>+CG1143*22500</f>
        <v>0</v>
      </c>
      <c r="CI1143" s="76"/>
      <c r="CJ1143" s="76">
        <f>+CI1143*26000</f>
        <v>0</v>
      </c>
      <c r="CK1143" s="76"/>
      <c r="CL1143" s="76"/>
      <c r="CM1143" s="76"/>
      <c r="CN1143" s="76">
        <f>+CM1143*22000</f>
        <v>0</v>
      </c>
      <c r="CO1143" s="76"/>
      <c r="CP1143" s="76">
        <f>+CO1143*46000</f>
        <v>0</v>
      </c>
      <c r="CQ1143" s="76"/>
      <c r="CR1143" s="76">
        <f>+CQ1143*49000</f>
        <v>0</v>
      </c>
      <c r="CS1143" s="76"/>
      <c r="CT1143" s="76"/>
      <c r="CU1143" s="56">
        <f>AN1143+AP1143+AR1143+AT1143+AV1143+AX1143+AZ1143+BB1143+BD1143+BF1143+BH1143+BJ1143+BL1143+BN1143+BP1143+BR1143+BT1143+BV1143+BX1143+BZ1143+CB1143+CD1143+CF1143+CH1143+CJ1143+CL1143+CN1143+CP1143+CR1143+CT1143</f>
        <v>0</v>
      </c>
      <c r="CV1143" s="76"/>
      <c r="CW1143" s="76">
        <f>+CV1143*1100</f>
        <v>0</v>
      </c>
      <c r="CX1143" s="76"/>
      <c r="CY1143" s="76">
        <f>+CX1143*106250</f>
        <v>0</v>
      </c>
      <c r="CZ1143" s="76"/>
      <c r="DA1143" s="76">
        <f>+CZ1143*34500</f>
        <v>0</v>
      </c>
      <c r="DB1143" s="76"/>
      <c r="DC1143" s="76">
        <f>+DB1143*25000</f>
        <v>0</v>
      </c>
      <c r="DD1143" s="219"/>
      <c r="DE1143" s="219"/>
      <c r="DF1143" s="166"/>
      <c r="DG1143" s="116"/>
      <c r="DH1143" s="117"/>
      <c r="DI1143" s="24"/>
      <c r="DJ1143" s="24"/>
      <c r="DK1143" s="24"/>
      <c r="DL1143" s="24"/>
      <c r="DM1143" s="24"/>
      <c r="DN1143" s="24"/>
      <c r="DO1143" s="24"/>
      <c r="DP1143" s="24"/>
      <c r="DQ1143" s="24"/>
      <c r="DR1143" s="24"/>
      <c r="DS1143" s="24"/>
      <c r="DT1143" s="24"/>
      <c r="DU1143" s="24"/>
    </row>
    <row r="1144" spans="1:125" s="8" customFormat="1" ht="60" x14ac:dyDescent="0.2">
      <c r="A1144" s="226">
        <v>41348</v>
      </c>
      <c r="B1144" s="352" t="s">
        <v>2700</v>
      </c>
      <c r="C1144" s="354" t="s">
        <v>2010</v>
      </c>
      <c r="D1144" s="354" t="s">
        <v>3635</v>
      </c>
      <c r="E1144" s="75" t="str">
        <f>VLOOKUP(B1144&amp;C1144,Divipola!$C$2:$F$1138,4,FALSE)</f>
        <v>15646</v>
      </c>
      <c r="F1144" s="87">
        <v>1</v>
      </c>
      <c r="G1144" s="87"/>
      <c r="H1144" s="87"/>
      <c r="I1144" s="87"/>
      <c r="J1144" s="87"/>
      <c r="K1144" s="87"/>
      <c r="L1144" s="87"/>
      <c r="M1144" s="87"/>
      <c r="N1144" s="87"/>
      <c r="O1144" s="87"/>
      <c r="P1144" s="87"/>
      <c r="Q1144" s="87"/>
      <c r="R1144" s="87"/>
      <c r="S1144" s="87"/>
      <c r="T1144" s="87"/>
      <c r="U1144" s="88"/>
      <c r="V1144" s="89"/>
      <c r="W1144" s="96">
        <v>0</v>
      </c>
      <c r="X1144" s="71">
        <f>CU1144</f>
        <v>0</v>
      </c>
      <c r="Y1144" s="71">
        <f>CY1144</f>
        <v>0</v>
      </c>
      <c r="Z1144" s="71">
        <f>DA1144+DC1144+DE1144</f>
        <v>0</v>
      </c>
      <c r="AA1144" s="71">
        <f>CW1144</f>
        <v>0</v>
      </c>
      <c r="AB1144" s="71"/>
      <c r="AC1144" s="71">
        <v>0</v>
      </c>
      <c r="AD1144" s="71">
        <f>W1144+X1144+Y1144+Z1144+AA1144+AB1144+AC1144</f>
        <v>0</v>
      </c>
      <c r="AE1144" s="72">
        <v>0</v>
      </c>
      <c r="AF1144" s="5"/>
      <c r="AG1144" s="6"/>
      <c r="AH1144" s="27" t="s">
        <v>3392</v>
      </c>
      <c r="AI1144" s="44" t="s">
        <v>3393</v>
      </c>
      <c r="AJ1144" s="26"/>
      <c r="AK1144" s="5"/>
      <c r="AL1144" s="82" t="s">
        <v>3959</v>
      </c>
      <c r="AM1144" s="76"/>
      <c r="AN1144" s="76"/>
      <c r="AO1144" s="76"/>
      <c r="AP1144" s="76"/>
      <c r="AQ1144" s="76"/>
      <c r="AR1144" s="76"/>
      <c r="AS1144" s="76"/>
      <c r="AT1144" s="76"/>
      <c r="AU1144" s="76"/>
      <c r="AV1144" s="76"/>
      <c r="AW1144" s="76"/>
      <c r="AX1144" s="76">
        <f>+AW1144*600000</f>
        <v>0</v>
      </c>
      <c r="AY1144" s="76"/>
      <c r="AZ1144" s="76">
        <f>+AY1144*70000</f>
        <v>0</v>
      </c>
      <c r="BA1144" s="76"/>
      <c r="BB1144" s="76"/>
      <c r="BC1144" s="76"/>
      <c r="BD1144" s="76">
        <f>+BC1144*30000</f>
        <v>0</v>
      </c>
      <c r="BE1144" s="76"/>
      <c r="BF1144" s="76"/>
      <c r="BG1144" s="76"/>
      <c r="BH1144" s="76"/>
      <c r="BI1144" s="76"/>
      <c r="BJ1144" s="76"/>
      <c r="BK1144" s="76"/>
      <c r="BL1144" s="76">
        <f>+BK1144*31500</f>
        <v>0</v>
      </c>
      <c r="BM1144" s="76"/>
      <c r="BN1144" s="76"/>
      <c r="BO1144" s="76"/>
      <c r="BP1144" s="76"/>
      <c r="BQ1144" s="76"/>
      <c r="BR1144" s="76"/>
      <c r="BS1144" s="76"/>
      <c r="BT1144" s="76"/>
      <c r="BU1144" s="76"/>
      <c r="BV1144" s="76"/>
      <c r="BW1144" s="76"/>
      <c r="BX1144" s="76"/>
      <c r="BY1144" s="76"/>
      <c r="BZ1144" s="76"/>
      <c r="CA1144" s="76"/>
      <c r="CB1144" s="76"/>
      <c r="CC1144" s="76"/>
      <c r="CD1144" s="76"/>
      <c r="CE1144" s="76"/>
      <c r="CF1144" s="76">
        <f>+CE1144*28000</f>
        <v>0</v>
      </c>
      <c r="CG1144" s="76"/>
      <c r="CH1144" s="76">
        <f>+CG1144*22500</f>
        <v>0</v>
      </c>
      <c r="CI1144" s="76"/>
      <c r="CJ1144" s="76">
        <f>+CI1144*26000</f>
        <v>0</v>
      </c>
      <c r="CK1144" s="76"/>
      <c r="CL1144" s="76"/>
      <c r="CM1144" s="76"/>
      <c r="CN1144" s="76">
        <f>+CM1144*22000</f>
        <v>0</v>
      </c>
      <c r="CO1144" s="76"/>
      <c r="CP1144" s="76">
        <f>+CO1144*46000</f>
        <v>0</v>
      </c>
      <c r="CQ1144" s="76"/>
      <c r="CR1144" s="76">
        <f>+CQ1144*49000</f>
        <v>0</v>
      </c>
      <c r="CS1144" s="76"/>
      <c r="CT1144" s="76"/>
      <c r="CU1144" s="56">
        <f>AN1144+AP1144+AR1144+AT1144+AV1144+AX1144+AZ1144+BB1144+BD1144+BF1144+BH1144+BJ1144+BL1144+BN1144+BP1144+BR1144+BT1144+BV1144+BX1144+BZ1144+CB1144+CD1144+CF1144+CH1144+CJ1144+CL1144+CN1144+CP1144+CR1144+CT1144</f>
        <v>0</v>
      </c>
      <c r="CV1144" s="76"/>
      <c r="CW1144" s="76">
        <f>+CV1144*1100</f>
        <v>0</v>
      </c>
      <c r="CX1144" s="76"/>
      <c r="CY1144" s="76">
        <f>+CX1144*106250</f>
        <v>0</v>
      </c>
      <c r="CZ1144" s="76"/>
      <c r="DA1144" s="76">
        <f>+CZ1144*34500</f>
        <v>0</v>
      </c>
      <c r="DB1144" s="76"/>
      <c r="DC1144" s="76">
        <f>+DB1144*25000</f>
        <v>0</v>
      </c>
      <c r="DD1144" s="219"/>
      <c r="DE1144" s="219"/>
      <c r="DF1144" s="166"/>
      <c r="DG1144" s="116"/>
      <c r="DH1144" s="117"/>
      <c r="DI1144" s="24"/>
      <c r="DJ1144" s="24"/>
      <c r="DK1144" s="24"/>
      <c r="DL1144" s="24"/>
      <c r="DM1144" s="24"/>
      <c r="DN1144" s="24"/>
      <c r="DO1144" s="24"/>
      <c r="DP1144" s="24"/>
      <c r="DQ1144" s="24"/>
      <c r="DR1144" s="24"/>
      <c r="DS1144" s="24"/>
      <c r="DT1144" s="24"/>
      <c r="DU1144" s="24"/>
    </row>
    <row r="1145" spans="1:125" s="8" customFormat="1" ht="228" x14ac:dyDescent="0.2">
      <c r="A1145" s="77">
        <v>41348</v>
      </c>
      <c r="B1145" s="208" t="s">
        <v>2196</v>
      </c>
      <c r="C1145" s="227" t="s">
        <v>752</v>
      </c>
      <c r="D1145" s="84" t="s">
        <v>3088</v>
      </c>
      <c r="E1145" s="75" t="str">
        <f>VLOOKUP(B1145&amp;C1145,Divipola!$C$2:$F$1138,4,FALSE)</f>
        <v>17444</v>
      </c>
      <c r="F1145" s="87"/>
      <c r="G1145" s="87"/>
      <c r="H1145" s="87"/>
      <c r="I1145" s="87">
        <v>375</v>
      </c>
      <c r="J1145" s="87">
        <v>75</v>
      </c>
      <c r="K1145" s="87"/>
      <c r="L1145" s="87">
        <v>75</v>
      </c>
      <c r="M1145" s="87"/>
      <c r="N1145" s="87"/>
      <c r="O1145" s="87"/>
      <c r="P1145" s="87"/>
      <c r="Q1145" s="87"/>
      <c r="R1145" s="87"/>
      <c r="S1145" s="87"/>
      <c r="T1145" s="87"/>
      <c r="U1145" s="88"/>
      <c r="V1145" s="89"/>
      <c r="W1145" s="96">
        <v>36420000</v>
      </c>
      <c r="X1145" s="71">
        <f>CU1145</f>
        <v>0</v>
      </c>
      <c r="Y1145" s="71">
        <f>CY1145</f>
        <v>0</v>
      </c>
      <c r="Z1145" s="71">
        <f>DA1145+DC1145+DE1145</f>
        <v>0</v>
      </c>
      <c r="AA1145" s="71">
        <f>CW1145</f>
        <v>0</v>
      </c>
      <c r="AB1145" s="71"/>
      <c r="AC1145" s="71">
        <v>0</v>
      </c>
      <c r="AD1145" s="71">
        <f>W1145+X1145+Y1145+Z1145+AA1145+AB1145+AC1145</f>
        <v>36420000</v>
      </c>
      <c r="AE1145" s="72">
        <v>0</v>
      </c>
      <c r="AF1145" s="5"/>
      <c r="AG1145" s="6"/>
      <c r="AH1145" s="27" t="s">
        <v>3392</v>
      </c>
      <c r="AI1145" s="44" t="s">
        <v>3393</v>
      </c>
      <c r="AJ1145" s="26"/>
      <c r="AK1145" s="5"/>
      <c r="AL1145" s="82" t="s">
        <v>5253</v>
      </c>
      <c r="AM1145" s="76"/>
      <c r="AN1145" s="76"/>
      <c r="AO1145" s="76"/>
      <c r="AP1145" s="76"/>
      <c r="AQ1145" s="76"/>
      <c r="AR1145" s="76"/>
      <c r="AS1145" s="76"/>
      <c r="AT1145" s="76"/>
      <c r="AU1145" s="76"/>
      <c r="AV1145" s="76"/>
      <c r="AW1145" s="76"/>
      <c r="AX1145" s="76">
        <f>+AW1145*600000</f>
        <v>0</v>
      </c>
      <c r="AY1145" s="76"/>
      <c r="AZ1145" s="76">
        <f>+AY1145*70000</f>
        <v>0</v>
      </c>
      <c r="BA1145" s="76"/>
      <c r="BB1145" s="76"/>
      <c r="BC1145" s="76"/>
      <c r="BD1145" s="76">
        <f>+BC1145*30000</f>
        <v>0</v>
      </c>
      <c r="BE1145" s="76"/>
      <c r="BF1145" s="76"/>
      <c r="BG1145" s="76"/>
      <c r="BH1145" s="76"/>
      <c r="BI1145" s="76"/>
      <c r="BJ1145" s="76"/>
      <c r="BK1145" s="76"/>
      <c r="BL1145" s="76">
        <f>+BK1145*31500</f>
        <v>0</v>
      </c>
      <c r="BM1145" s="76"/>
      <c r="BN1145" s="76"/>
      <c r="BO1145" s="76"/>
      <c r="BP1145" s="76"/>
      <c r="BQ1145" s="76"/>
      <c r="BR1145" s="76"/>
      <c r="BS1145" s="76"/>
      <c r="BT1145" s="76"/>
      <c r="BU1145" s="76"/>
      <c r="BV1145" s="76"/>
      <c r="BW1145" s="76"/>
      <c r="BX1145" s="76"/>
      <c r="BY1145" s="76"/>
      <c r="BZ1145" s="76"/>
      <c r="CA1145" s="76"/>
      <c r="CB1145" s="76"/>
      <c r="CC1145" s="76"/>
      <c r="CD1145" s="76"/>
      <c r="CE1145" s="76"/>
      <c r="CF1145" s="76">
        <f>+CE1145*28000</f>
        <v>0</v>
      </c>
      <c r="CG1145" s="76"/>
      <c r="CH1145" s="76">
        <f>+CG1145*22500</f>
        <v>0</v>
      </c>
      <c r="CI1145" s="76"/>
      <c r="CJ1145" s="76">
        <f>+CI1145*26000</f>
        <v>0</v>
      </c>
      <c r="CK1145" s="76"/>
      <c r="CL1145" s="76"/>
      <c r="CM1145" s="76"/>
      <c r="CN1145" s="76">
        <f>+CM1145*22000</f>
        <v>0</v>
      </c>
      <c r="CO1145" s="76"/>
      <c r="CP1145" s="76">
        <f>+CO1145*46000</f>
        <v>0</v>
      </c>
      <c r="CQ1145" s="76"/>
      <c r="CR1145" s="76">
        <f>+CQ1145*49000</f>
        <v>0</v>
      </c>
      <c r="CS1145" s="76"/>
      <c r="CT1145" s="76"/>
      <c r="CU1145" s="56">
        <f>AN1145+AP1145+AR1145+AT1145+AV1145+AX1145+AZ1145+BB1145+BD1145+BF1145+BH1145+BJ1145+BL1145+BN1145+BP1145+BR1145+BT1145+BV1145+BX1145+BZ1145+CB1145+CD1145+CF1145+CH1145+CJ1145+CL1145+CN1145+CP1145+CR1145+CT1145</f>
        <v>0</v>
      </c>
      <c r="CV1145" s="76"/>
      <c r="CW1145" s="76">
        <f>+CV1145*1100</f>
        <v>0</v>
      </c>
      <c r="CX1145" s="76"/>
      <c r="CY1145" s="76">
        <f>+CX1145*106250</f>
        <v>0</v>
      </c>
      <c r="CZ1145" s="76"/>
      <c r="DA1145" s="76">
        <f>+CZ1145*34500</f>
        <v>0</v>
      </c>
      <c r="DB1145" s="76"/>
      <c r="DC1145" s="76">
        <f>+DB1145*25000</f>
        <v>0</v>
      </c>
      <c r="DD1145" s="219"/>
      <c r="DE1145" s="219"/>
      <c r="DF1145" s="166"/>
      <c r="DG1145" s="116"/>
      <c r="DH1145" s="117"/>
      <c r="DI1145" s="24"/>
      <c r="DJ1145" s="24"/>
      <c r="DK1145" s="24"/>
      <c r="DL1145" s="24"/>
      <c r="DM1145" s="24"/>
      <c r="DN1145" s="24"/>
      <c r="DO1145" s="24"/>
      <c r="DP1145" s="24"/>
      <c r="DQ1145" s="24"/>
      <c r="DR1145" s="24"/>
      <c r="DS1145" s="24"/>
      <c r="DT1145" s="24"/>
      <c r="DU1145" s="24"/>
    </row>
    <row r="1146" spans="1:125" s="8" customFormat="1" ht="60" x14ac:dyDescent="0.2">
      <c r="A1146" s="226">
        <v>41348</v>
      </c>
      <c r="B1146" s="225" t="s">
        <v>2855</v>
      </c>
      <c r="C1146" s="227" t="s">
        <v>929</v>
      </c>
      <c r="D1146" s="81" t="s">
        <v>2846</v>
      </c>
      <c r="E1146" s="75" t="str">
        <f>VLOOKUP(B1146&amp;C1146,Divipola!$C$2:$F$1138,4,FALSE)</f>
        <v>20570</v>
      </c>
      <c r="F1146" s="87"/>
      <c r="G1146" s="87"/>
      <c r="H1146" s="87"/>
      <c r="I1146" s="87"/>
      <c r="J1146" s="87"/>
      <c r="K1146" s="87"/>
      <c r="L1146" s="87"/>
      <c r="M1146" s="87"/>
      <c r="N1146" s="87"/>
      <c r="O1146" s="87"/>
      <c r="P1146" s="87"/>
      <c r="Q1146" s="87"/>
      <c r="R1146" s="87"/>
      <c r="S1146" s="87"/>
      <c r="T1146" s="87"/>
      <c r="U1146" s="88">
        <v>25</v>
      </c>
      <c r="V1146" s="89"/>
      <c r="W1146" s="96">
        <v>0</v>
      </c>
      <c r="X1146" s="71">
        <f>CU1146</f>
        <v>0</v>
      </c>
      <c r="Y1146" s="71">
        <f>CY1146</f>
        <v>0</v>
      </c>
      <c r="Z1146" s="71">
        <f>DA1146+DC1146+DE1146</f>
        <v>0</v>
      </c>
      <c r="AA1146" s="71">
        <f>CW1146</f>
        <v>0</v>
      </c>
      <c r="AB1146" s="71"/>
      <c r="AC1146" s="71">
        <v>0</v>
      </c>
      <c r="AD1146" s="71">
        <f>W1146+X1146+Y1146+Z1146+AA1146+AB1146+AC1146</f>
        <v>0</v>
      </c>
      <c r="AE1146" s="72">
        <v>0</v>
      </c>
      <c r="AF1146" s="5"/>
      <c r="AG1146" s="6"/>
      <c r="AH1146" s="27" t="s">
        <v>3392</v>
      </c>
      <c r="AI1146" s="44" t="s">
        <v>3393</v>
      </c>
      <c r="AJ1146" s="26"/>
      <c r="AK1146" s="5"/>
      <c r="AL1146" s="82" t="s">
        <v>3956</v>
      </c>
      <c r="AM1146" s="76"/>
      <c r="AN1146" s="76"/>
      <c r="AO1146" s="76"/>
      <c r="AP1146" s="76"/>
      <c r="AQ1146" s="76"/>
      <c r="AR1146" s="76"/>
      <c r="AS1146" s="76"/>
      <c r="AT1146" s="76"/>
      <c r="AU1146" s="76"/>
      <c r="AV1146" s="76"/>
      <c r="AW1146" s="76"/>
      <c r="AX1146" s="76">
        <f>+AW1146*600000</f>
        <v>0</v>
      </c>
      <c r="AY1146" s="76"/>
      <c r="AZ1146" s="76">
        <f>+AY1146*70000</f>
        <v>0</v>
      </c>
      <c r="BA1146" s="76"/>
      <c r="BB1146" s="76"/>
      <c r="BC1146" s="76"/>
      <c r="BD1146" s="76">
        <f>+BC1146*30000</f>
        <v>0</v>
      </c>
      <c r="BE1146" s="76"/>
      <c r="BF1146" s="76"/>
      <c r="BG1146" s="76"/>
      <c r="BH1146" s="76"/>
      <c r="BI1146" s="76"/>
      <c r="BJ1146" s="76"/>
      <c r="BK1146" s="76"/>
      <c r="BL1146" s="76">
        <f>+BK1146*31500</f>
        <v>0</v>
      </c>
      <c r="BM1146" s="76"/>
      <c r="BN1146" s="76"/>
      <c r="BO1146" s="76"/>
      <c r="BP1146" s="76"/>
      <c r="BQ1146" s="76"/>
      <c r="BR1146" s="76"/>
      <c r="BS1146" s="76"/>
      <c r="BT1146" s="76"/>
      <c r="BU1146" s="76"/>
      <c r="BV1146" s="76"/>
      <c r="BW1146" s="76"/>
      <c r="BX1146" s="76"/>
      <c r="BY1146" s="76"/>
      <c r="BZ1146" s="76"/>
      <c r="CA1146" s="76"/>
      <c r="CB1146" s="76"/>
      <c r="CC1146" s="76"/>
      <c r="CD1146" s="76"/>
      <c r="CE1146" s="76"/>
      <c r="CF1146" s="76">
        <f>+CE1146*28000</f>
        <v>0</v>
      </c>
      <c r="CG1146" s="76"/>
      <c r="CH1146" s="76">
        <f>+CG1146*22500</f>
        <v>0</v>
      </c>
      <c r="CI1146" s="76"/>
      <c r="CJ1146" s="76">
        <f>+CI1146*26000</f>
        <v>0</v>
      </c>
      <c r="CK1146" s="76"/>
      <c r="CL1146" s="76"/>
      <c r="CM1146" s="76"/>
      <c r="CN1146" s="76">
        <f>+CM1146*22000</f>
        <v>0</v>
      </c>
      <c r="CO1146" s="76"/>
      <c r="CP1146" s="76">
        <f>+CO1146*46000</f>
        <v>0</v>
      </c>
      <c r="CQ1146" s="76"/>
      <c r="CR1146" s="76">
        <f>+CQ1146*49000</f>
        <v>0</v>
      </c>
      <c r="CS1146" s="76"/>
      <c r="CT1146" s="76"/>
      <c r="CU1146" s="56">
        <f>AN1146+AP1146+AR1146+AT1146+AV1146+AX1146+AZ1146+BB1146+BD1146+BF1146+BH1146+BJ1146+BL1146+BN1146+BP1146+BR1146+BT1146+BV1146+BX1146+BZ1146+CB1146+CD1146+CF1146+CH1146+CJ1146+CL1146+CN1146+CP1146+CR1146+CT1146</f>
        <v>0</v>
      </c>
      <c r="CV1146" s="76"/>
      <c r="CW1146" s="76">
        <f>+CV1146*1100</f>
        <v>0</v>
      </c>
      <c r="CX1146" s="76"/>
      <c r="CY1146" s="76">
        <f>+CX1146*106250</f>
        <v>0</v>
      </c>
      <c r="CZ1146" s="76"/>
      <c r="DA1146" s="76">
        <f>+CZ1146*34500</f>
        <v>0</v>
      </c>
      <c r="DB1146" s="76"/>
      <c r="DC1146" s="76">
        <f>+DB1146*25000</f>
        <v>0</v>
      </c>
      <c r="DD1146" s="219"/>
      <c r="DE1146" s="219"/>
      <c r="DF1146" s="166"/>
      <c r="DG1146" s="116"/>
      <c r="DH1146" s="117"/>
      <c r="DI1146" s="24"/>
      <c r="DJ1146" s="24"/>
      <c r="DK1146" s="24"/>
      <c r="DL1146" s="24"/>
      <c r="DM1146" s="24"/>
      <c r="DN1146" s="24"/>
      <c r="DO1146" s="24"/>
      <c r="DP1146" s="24"/>
      <c r="DQ1146" s="24"/>
      <c r="DR1146" s="24"/>
      <c r="DS1146" s="24"/>
      <c r="DT1146" s="24"/>
      <c r="DU1146" s="24"/>
    </row>
    <row r="1147" spans="1:125" s="8" customFormat="1" ht="96" x14ac:dyDescent="0.2">
      <c r="A1147" s="353">
        <v>41348</v>
      </c>
      <c r="B1147" s="225" t="s">
        <v>2852</v>
      </c>
      <c r="C1147" s="227" t="s">
        <v>2784</v>
      </c>
      <c r="D1147" s="75" t="s">
        <v>3051</v>
      </c>
      <c r="E1147" s="75" t="str">
        <f>VLOOKUP(B1147&amp;C1147,Divipola!$C$2:$F$1138,4,FALSE)</f>
        <v>27025</v>
      </c>
      <c r="F1147" s="87"/>
      <c r="G1147" s="87"/>
      <c r="H1147" s="87"/>
      <c r="I1147" s="87">
        <v>1000</v>
      </c>
      <c r="J1147" s="87">
        <v>200</v>
      </c>
      <c r="K1147" s="87"/>
      <c r="L1147" s="87"/>
      <c r="M1147" s="87"/>
      <c r="N1147" s="87"/>
      <c r="O1147" s="87"/>
      <c r="P1147" s="87"/>
      <c r="Q1147" s="87"/>
      <c r="R1147" s="87"/>
      <c r="S1147" s="87"/>
      <c r="T1147" s="87"/>
      <c r="U1147" s="88"/>
      <c r="V1147" s="89"/>
      <c r="W1147" s="96">
        <v>0</v>
      </c>
      <c r="X1147" s="71">
        <f>CU1147</f>
        <v>0</v>
      </c>
      <c r="Y1147" s="71">
        <f>CY1147</f>
        <v>0</v>
      </c>
      <c r="Z1147" s="71">
        <f>DA1147+DC1147+DE1147</f>
        <v>0</v>
      </c>
      <c r="AA1147" s="71">
        <f>CW1147</f>
        <v>0</v>
      </c>
      <c r="AB1147" s="71"/>
      <c r="AC1147" s="71">
        <v>0</v>
      </c>
      <c r="AD1147" s="71">
        <f>W1147+X1147+Y1147+Z1147+AA1147+AB1147+AC1147</f>
        <v>0</v>
      </c>
      <c r="AE1147" s="72">
        <v>0</v>
      </c>
      <c r="AF1147" s="5"/>
      <c r="AG1147" s="6"/>
      <c r="AH1147" s="27" t="s">
        <v>3390</v>
      </c>
      <c r="AI1147" s="44" t="s">
        <v>3391</v>
      </c>
      <c r="AJ1147" s="26"/>
      <c r="AK1147" s="5" t="s">
        <v>3480</v>
      </c>
      <c r="AL1147" s="82" t="s">
        <v>3977</v>
      </c>
      <c r="AM1147" s="76"/>
      <c r="AN1147" s="76"/>
      <c r="AO1147" s="76"/>
      <c r="AP1147" s="76"/>
      <c r="AQ1147" s="76"/>
      <c r="AR1147" s="76"/>
      <c r="AS1147" s="76"/>
      <c r="AT1147" s="76"/>
      <c r="AU1147" s="76"/>
      <c r="AV1147" s="76"/>
      <c r="AW1147" s="76"/>
      <c r="AX1147" s="76">
        <f>+AW1147*600000</f>
        <v>0</v>
      </c>
      <c r="AY1147" s="76"/>
      <c r="AZ1147" s="76">
        <f>+AY1147*70000</f>
        <v>0</v>
      </c>
      <c r="BA1147" s="76"/>
      <c r="BB1147" s="76"/>
      <c r="BC1147" s="76"/>
      <c r="BD1147" s="76">
        <f>+BC1147*30000</f>
        <v>0</v>
      </c>
      <c r="BE1147" s="76"/>
      <c r="BF1147" s="76"/>
      <c r="BG1147" s="76"/>
      <c r="BH1147" s="76"/>
      <c r="BI1147" s="76"/>
      <c r="BJ1147" s="76"/>
      <c r="BK1147" s="76"/>
      <c r="BL1147" s="76">
        <f>+BK1147*31500</f>
        <v>0</v>
      </c>
      <c r="BM1147" s="76"/>
      <c r="BN1147" s="76"/>
      <c r="BO1147" s="76"/>
      <c r="BP1147" s="76"/>
      <c r="BQ1147" s="76"/>
      <c r="BR1147" s="76"/>
      <c r="BS1147" s="76"/>
      <c r="BT1147" s="76"/>
      <c r="BU1147" s="76"/>
      <c r="BV1147" s="76"/>
      <c r="BW1147" s="76"/>
      <c r="BX1147" s="76"/>
      <c r="BY1147" s="76"/>
      <c r="BZ1147" s="76"/>
      <c r="CA1147" s="76"/>
      <c r="CB1147" s="76"/>
      <c r="CC1147" s="76"/>
      <c r="CD1147" s="76"/>
      <c r="CE1147" s="76"/>
      <c r="CF1147" s="76">
        <f>+CE1147*28000</f>
        <v>0</v>
      </c>
      <c r="CG1147" s="76"/>
      <c r="CH1147" s="76">
        <f>+CG1147*22500</f>
        <v>0</v>
      </c>
      <c r="CI1147" s="76"/>
      <c r="CJ1147" s="76">
        <f>+CI1147*26000</f>
        <v>0</v>
      </c>
      <c r="CK1147" s="76"/>
      <c r="CL1147" s="76"/>
      <c r="CM1147" s="76"/>
      <c r="CN1147" s="76">
        <f>+CM1147*22000</f>
        <v>0</v>
      </c>
      <c r="CO1147" s="76"/>
      <c r="CP1147" s="76">
        <f>+CO1147*46000</f>
        <v>0</v>
      </c>
      <c r="CQ1147" s="76"/>
      <c r="CR1147" s="76">
        <f>+CQ1147*49000</f>
        <v>0</v>
      </c>
      <c r="CS1147" s="76"/>
      <c r="CT1147" s="76"/>
      <c r="CU1147" s="56">
        <f>AN1147+AP1147+AR1147+AT1147+AV1147+AX1147+AZ1147+BB1147+BD1147+BF1147+BH1147+BJ1147+BL1147+BN1147+BP1147+BR1147+BT1147+BV1147+BX1147+BZ1147+CB1147+CD1147+CF1147+CH1147+CJ1147+CL1147+CN1147+CP1147+CR1147+CT1147</f>
        <v>0</v>
      </c>
      <c r="CV1147" s="76"/>
      <c r="CW1147" s="76">
        <f>+CV1147*1100</f>
        <v>0</v>
      </c>
      <c r="CX1147" s="76"/>
      <c r="CY1147" s="76">
        <f>+CX1147*106250</f>
        <v>0</v>
      </c>
      <c r="CZ1147" s="76"/>
      <c r="DA1147" s="76">
        <f>+CZ1147*34500</f>
        <v>0</v>
      </c>
      <c r="DB1147" s="76"/>
      <c r="DC1147" s="76">
        <f>+DB1147*25000</f>
        <v>0</v>
      </c>
      <c r="DD1147" s="219"/>
      <c r="DE1147" s="219"/>
      <c r="DF1147" s="166"/>
      <c r="DG1147" s="116"/>
      <c r="DH1147" s="117"/>
      <c r="DI1147" s="24"/>
      <c r="DJ1147" s="24"/>
      <c r="DK1147" s="24"/>
      <c r="DL1147" s="24"/>
      <c r="DM1147" s="24"/>
      <c r="DN1147" s="24"/>
      <c r="DO1147" s="24"/>
      <c r="DP1147" s="24"/>
      <c r="DQ1147" s="24"/>
      <c r="DR1147" s="24"/>
      <c r="DS1147" s="24"/>
      <c r="DT1147" s="24"/>
      <c r="DU1147" s="24"/>
    </row>
    <row r="1148" spans="1:125" s="8" customFormat="1" ht="276" x14ac:dyDescent="0.2">
      <c r="A1148" s="97">
        <v>41348</v>
      </c>
      <c r="B1148" s="60" t="s">
        <v>2852</v>
      </c>
      <c r="C1148" s="55" t="s">
        <v>1243</v>
      </c>
      <c r="D1148" s="75" t="s">
        <v>3051</v>
      </c>
      <c r="E1148" s="75" t="str">
        <f>VLOOKUP(B1148&amp;C1148,Divipola!$C$2:$F$1138,4,FALSE)</f>
        <v>27430</v>
      </c>
      <c r="F1148" s="87"/>
      <c r="G1148" s="87"/>
      <c r="H1148" s="87"/>
      <c r="I1148" s="87">
        <v>16185</v>
      </c>
      <c r="J1148" s="87">
        <v>3237</v>
      </c>
      <c r="K1148" s="87">
        <v>482</v>
      </c>
      <c r="L1148" s="87">
        <v>259</v>
      </c>
      <c r="M1148" s="87"/>
      <c r="N1148" s="87"/>
      <c r="O1148" s="87">
        <v>13</v>
      </c>
      <c r="P1148" s="87"/>
      <c r="Q1148" s="87"/>
      <c r="R1148" s="87"/>
      <c r="S1148" s="87"/>
      <c r="T1148" s="87"/>
      <c r="U1148" s="88">
        <v>1939</v>
      </c>
      <c r="V1148" s="89"/>
      <c r="W1148" s="96">
        <v>0</v>
      </c>
      <c r="X1148" s="71">
        <f>CU1148</f>
        <v>0</v>
      </c>
      <c r="Y1148" s="71">
        <f>CY1148</f>
        <v>0</v>
      </c>
      <c r="Z1148" s="71">
        <f>DA1148+DC1148+DE1148</f>
        <v>0</v>
      </c>
      <c r="AA1148" s="71">
        <f>CW1148</f>
        <v>0</v>
      </c>
      <c r="AB1148" s="71"/>
      <c r="AC1148" s="71">
        <v>0</v>
      </c>
      <c r="AD1148" s="71">
        <f>W1148+X1148+Y1148+Z1148+AA1148+AB1148+AC1148</f>
        <v>0</v>
      </c>
      <c r="AE1148" s="72">
        <v>0</v>
      </c>
      <c r="AF1148" s="5"/>
      <c r="AG1148" s="6"/>
      <c r="AH1148" s="27" t="s">
        <v>3390</v>
      </c>
      <c r="AI1148" s="44" t="s">
        <v>3391</v>
      </c>
      <c r="AJ1148" s="26"/>
      <c r="AK1148" s="5" t="s">
        <v>3480</v>
      </c>
      <c r="AL1148" s="82" t="s">
        <v>3978</v>
      </c>
      <c r="AM1148" s="76"/>
      <c r="AN1148" s="76"/>
      <c r="AO1148" s="76"/>
      <c r="AP1148" s="76"/>
      <c r="AQ1148" s="76"/>
      <c r="AR1148" s="76"/>
      <c r="AS1148" s="76"/>
      <c r="AT1148" s="76"/>
      <c r="AU1148" s="76"/>
      <c r="AV1148" s="76"/>
      <c r="AW1148" s="76"/>
      <c r="AX1148" s="76">
        <f>+AW1148*600000</f>
        <v>0</v>
      </c>
      <c r="AY1148" s="76"/>
      <c r="AZ1148" s="76">
        <f>+AY1148*70000</f>
        <v>0</v>
      </c>
      <c r="BA1148" s="76"/>
      <c r="BB1148" s="76"/>
      <c r="BC1148" s="76"/>
      <c r="BD1148" s="76">
        <f>+BC1148*30000</f>
        <v>0</v>
      </c>
      <c r="BE1148" s="76"/>
      <c r="BF1148" s="76"/>
      <c r="BG1148" s="76"/>
      <c r="BH1148" s="76"/>
      <c r="BI1148" s="76"/>
      <c r="BJ1148" s="76"/>
      <c r="BK1148" s="76"/>
      <c r="BL1148" s="76">
        <f>+BK1148*31500</f>
        <v>0</v>
      </c>
      <c r="BM1148" s="76"/>
      <c r="BN1148" s="76"/>
      <c r="BO1148" s="76"/>
      <c r="BP1148" s="76"/>
      <c r="BQ1148" s="76"/>
      <c r="BR1148" s="76"/>
      <c r="BS1148" s="76"/>
      <c r="BT1148" s="76"/>
      <c r="BU1148" s="76"/>
      <c r="BV1148" s="76"/>
      <c r="BW1148" s="76"/>
      <c r="BX1148" s="76"/>
      <c r="BY1148" s="76"/>
      <c r="BZ1148" s="76"/>
      <c r="CA1148" s="76"/>
      <c r="CB1148" s="76"/>
      <c r="CC1148" s="76"/>
      <c r="CD1148" s="76"/>
      <c r="CE1148" s="76"/>
      <c r="CF1148" s="76">
        <f>+CE1148*28000</f>
        <v>0</v>
      </c>
      <c r="CG1148" s="76"/>
      <c r="CH1148" s="76">
        <f>+CG1148*22500</f>
        <v>0</v>
      </c>
      <c r="CI1148" s="76"/>
      <c r="CJ1148" s="76">
        <f>+CI1148*26000</f>
        <v>0</v>
      </c>
      <c r="CK1148" s="76"/>
      <c r="CL1148" s="76"/>
      <c r="CM1148" s="76"/>
      <c r="CN1148" s="76">
        <f>+CM1148*22000</f>
        <v>0</v>
      </c>
      <c r="CO1148" s="76"/>
      <c r="CP1148" s="76">
        <f>+CO1148*46000</f>
        <v>0</v>
      </c>
      <c r="CQ1148" s="76"/>
      <c r="CR1148" s="76">
        <f>+CQ1148*49000</f>
        <v>0</v>
      </c>
      <c r="CS1148" s="76"/>
      <c r="CT1148" s="76"/>
      <c r="CU1148" s="56">
        <f>AN1148+AP1148+AR1148+AT1148+AV1148+AX1148+AZ1148+BB1148+BD1148+BF1148+BH1148+BJ1148+BL1148+BN1148+BP1148+BR1148+BT1148+BV1148+BX1148+BZ1148+CB1148+CD1148+CF1148+CH1148+CJ1148+CL1148+CN1148+CP1148+CR1148+CT1148</f>
        <v>0</v>
      </c>
      <c r="CV1148" s="76"/>
      <c r="CW1148" s="76">
        <f>+CV1148*1100</f>
        <v>0</v>
      </c>
      <c r="CX1148" s="76"/>
      <c r="CY1148" s="76">
        <f>+CX1148*106250</f>
        <v>0</v>
      </c>
      <c r="CZ1148" s="76"/>
      <c r="DA1148" s="76">
        <f>+CZ1148*34500</f>
        <v>0</v>
      </c>
      <c r="DB1148" s="76"/>
      <c r="DC1148" s="76">
        <f>+DB1148*25000</f>
        <v>0</v>
      </c>
      <c r="DD1148" s="219"/>
      <c r="DE1148" s="219"/>
      <c r="DF1148" s="166"/>
      <c r="DG1148" s="116"/>
      <c r="DH1148" s="117"/>
      <c r="DI1148" s="24"/>
      <c r="DJ1148" s="24"/>
      <c r="DK1148" s="24"/>
      <c r="DL1148" s="24"/>
      <c r="DM1148" s="24"/>
      <c r="DN1148" s="24"/>
      <c r="DO1148" s="24"/>
      <c r="DP1148" s="24"/>
      <c r="DQ1148" s="24"/>
      <c r="DR1148" s="24"/>
      <c r="DS1148" s="24"/>
      <c r="DT1148" s="24"/>
      <c r="DU1148" s="24"/>
    </row>
    <row r="1149" spans="1:125" s="8" customFormat="1" ht="120" x14ac:dyDescent="0.2">
      <c r="A1149" s="97">
        <v>41348</v>
      </c>
      <c r="B1149" s="60" t="s">
        <v>2852</v>
      </c>
      <c r="C1149" s="55" t="s">
        <v>1245</v>
      </c>
      <c r="D1149" s="75" t="s">
        <v>3051</v>
      </c>
      <c r="E1149" s="75" t="str">
        <f>VLOOKUP(B1149&amp;C1149,Divipola!$C$2:$F$1138,4,FALSE)</f>
        <v>27450</v>
      </c>
      <c r="F1149" s="87"/>
      <c r="G1149" s="87"/>
      <c r="H1149" s="87"/>
      <c r="I1149" s="87">
        <v>12500</v>
      </c>
      <c r="J1149" s="87">
        <v>2500</v>
      </c>
      <c r="K1149" s="87">
        <v>5</v>
      </c>
      <c r="L1149" s="87">
        <v>2</v>
      </c>
      <c r="M1149" s="87"/>
      <c r="N1149" s="87"/>
      <c r="O1149" s="87"/>
      <c r="P1149" s="87"/>
      <c r="Q1149" s="87"/>
      <c r="R1149" s="87"/>
      <c r="S1149" s="87">
        <v>1</v>
      </c>
      <c r="T1149" s="87"/>
      <c r="U1149" s="88"/>
      <c r="V1149" s="89"/>
      <c r="W1149" s="96">
        <v>0</v>
      </c>
      <c r="X1149" s="71">
        <f>CU1149</f>
        <v>0</v>
      </c>
      <c r="Y1149" s="71">
        <f>CY1149</f>
        <v>0</v>
      </c>
      <c r="Z1149" s="71">
        <f>DA1149+DC1149+DE1149</f>
        <v>0</v>
      </c>
      <c r="AA1149" s="71">
        <f>CW1149</f>
        <v>0</v>
      </c>
      <c r="AB1149" s="71"/>
      <c r="AC1149" s="71">
        <v>0</v>
      </c>
      <c r="AD1149" s="71">
        <f>W1149+X1149+Y1149+Z1149+AA1149+AB1149+AC1149</f>
        <v>0</v>
      </c>
      <c r="AE1149" s="72">
        <v>0</v>
      </c>
      <c r="AF1149" s="5"/>
      <c r="AG1149" s="6"/>
      <c r="AH1149" s="27" t="s">
        <v>3390</v>
      </c>
      <c r="AI1149" s="44" t="s">
        <v>3391</v>
      </c>
      <c r="AJ1149" s="26"/>
      <c r="AK1149" s="5" t="s">
        <v>3480</v>
      </c>
      <c r="AL1149" s="82" t="s">
        <v>3979</v>
      </c>
      <c r="AM1149" s="76"/>
      <c r="AN1149" s="76"/>
      <c r="AO1149" s="76"/>
      <c r="AP1149" s="76"/>
      <c r="AQ1149" s="76"/>
      <c r="AR1149" s="76"/>
      <c r="AS1149" s="76"/>
      <c r="AT1149" s="76"/>
      <c r="AU1149" s="76"/>
      <c r="AV1149" s="76"/>
      <c r="AW1149" s="76"/>
      <c r="AX1149" s="76">
        <f>+AW1149*600000</f>
        <v>0</v>
      </c>
      <c r="AY1149" s="76"/>
      <c r="AZ1149" s="76">
        <f>+AY1149*70000</f>
        <v>0</v>
      </c>
      <c r="BA1149" s="76"/>
      <c r="BB1149" s="76"/>
      <c r="BC1149" s="76"/>
      <c r="BD1149" s="76">
        <f>+BC1149*30000</f>
        <v>0</v>
      </c>
      <c r="BE1149" s="76"/>
      <c r="BF1149" s="76"/>
      <c r="BG1149" s="76"/>
      <c r="BH1149" s="76"/>
      <c r="BI1149" s="76"/>
      <c r="BJ1149" s="76"/>
      <c r="BK1149" s="76"/>
      <c r="BL1149" s="76">
        <f>+BK1149*31500</f>
        <v>0</v>
      </c>
      <c r="BM1149" s="76"/>
      <c r="BN1149" s="76"/>
      <c r="BO1149" s="76"/>
      <c r="BP1149" s="76"/>
      <c r="BQ1149" s="76"/>
      <c r="BR1149" s="76"/>
      <c r="BS1149" s="76"/>
      <c r="BT1149" s="76"/>
      <c r="BU1149" s="76"/>
      <c r="BV1149" s="76"/>
      <c r="BW1149" s="76"/>
      <c r="BX1149" s="76"/>
      <c r="BY1149" s="76"/>
      <c r="BZ1149" s="76"/>
      <c r="CA1149" s="76"/>
      <c r="CB1149" s="76"/>
      <c r="CC1149" s="76"/>
      <c r="CD1149" s="76"/>
      <c r="CE1149" s="76"/>
      <c r="CF1149" s="76">
        <f>+CE1149*28000</f>
        <v>0</v>
      </c>
      <c r="CG1149" s="76"/>
      <c r="CH1149" s="76">
        <f>+CG1149*22500</f>
        <v>0</v>
      </c>
      <c r="CI1149" s="76"/>
      <c r="CJ1149" s="76">
        <f>+CI1149*26000</f>
        <v>0</v>
      </c>
      <c r="CK1149" s="76"/>
      <c r="CL1149" s="76"/>
      <c r="CM1149" s="76"/>
      <c r="CN1149" s="76">
        <f>+CM1149*22000</f>
        <v>0</v>
      </c>
      <c r="CO1149" s="76"/>
      <c r="CP1149" s="76">
        <f>+CO1149*46000</f>
        <v>0</v>
      </c>
      <c r="CQ1149" s="76"/>
      <c r="CR1149" s="76">
        <f>+CQ1149*49000</f>
        <v>0</v>
      </c>
      <c r="CS1149" s="76"/>
      <c r="CT1149" s="76"/>
      <c r="CU1149" s="56">
        <f>AN1149+AP1149+AR1149+AT1149+AV1149+AX1149+AZ1149+BB1149+BD1149+BF1149+BH1149+BJ1149+BL1149+BN1149+BP1149+BR1149+BT1149+BV1149+BX1149+BZ1149+CB1149+CD1149+CF1149+CH1149+CJ1149+CL1149+CN1149+CP1149+CR1149+CT1149</f>
        <v>0</v>
      </c>
      <c r="CV1149" s="76"/>
      <c r="CW1149" s="76">
        <f>+CV1149*1100</f>
        <v>0</v>
      </c>
      <c r="CX1149" s="76"/>
      <c r="CY1149" s="76">
        <f>+CX1149*106250</f>
        <v>0</v>
      </c>
      <c r="CZ1149" s="76"/>
      <c r="DA1149" s="76">
        <f>+CZ1149*34500</f>
        <v>0</v>
      </c>
      <c r="DB1149" s="76"/>
      <c r="DC1149" s="76">
        <f>+DB1149*25000</f>
        <v>0</v>
      </c>
      <c r="DD1149" s="219"/>
      <c r="DE1149" s="219"/>
      <c r="DF1149" s="166"/>
      <c r="DG1149" s="116"/>
      <c r="DH1149" s="117"/>
      <c r="DI1149" s="24"/>
      <c r="DJ1149" s="24"/>
      <c r="DK1149" s="24"/>
      <c r="DL1149" s="24"/>
      <c r="DM1149" s="24"/>
      <c r="DN1149" s="24"/>
      <c r="DO1149" s="24"/>
      <c r="DP1149" s="24"/>
      <c r="DQ1149" s="24"/>
      <c r="DR1149" s="24"/>
      <c r="DS1149" s="24"/>
      <c r="DT1149" s="24"/>
      <c r="DU1149" s="24"/>
    </row>
    <row r="1150" spans="1:125" s="8" customFormat="1" ht="108" x14ac:dyDescent="0.2">
      <c r="A1150" s="97">
        <v>41348</v>
      </c>
      <c r="B1150" s="60" t="s">
        <v>2852</v>
      </c>
      <c r="C1150" s="55" t="s">
        <v>2148</v>
      </c>
      <c r="D1150" s="75" t="s">
        <v>3051</v>
      </c>
      <c r="E1150" s="75" t="str">
        <f>VLOOKUP(B1150&amp;C1150,Divipola!$C$2:$F$1138,4,FALSE)</f>
        <v>27491</v>
      </c>
      <c r="F1150" s="87"/>
      <c r="G1150" s="87"/>
      <c r="H1150" s="87"/>
      <c r="I1150" s="87">
        <v>14000</v>
      </c>
      <c r="J1150" s="87">
        <v>2800</v>
      </c>
      <c r="K1150" s="87">
        <v>43</v>
      </c>
      <c r="L1150" s="87"/>
      <c r="M1150" s="87"/>
      <c r="N1150" s="87"/>
      <c r="O1150" s="87">
        <v>5</v>
      </c>
      <c r="P1150" s="87"/>
      <c r="Q1150" s="87"/>
      <c r="R1150" s="87"/>
      <c r="S1150" s="87"/>
      <c r="T1150" s="87"/>
      <c r="U1150" s="88"/>
      <c r="V1150" s="89"/>
      <c r="W1150" s="96">
        <v>0</v>
      </c>
      <c r="X1150" s="71">
        <f>CU1150</f>
        <v>0</v>
      </c>
      <c r="Y1150" s="71">
        <f>CY1150</f>
        <v>0</v>
      </c>
      <c r="Z1150" s="71">
        <f>DA1150+DC1150+DE1150</f>
        <v>0</v>
      </c>
      <c r="AA1150" s="71">
        <f>CW1150</f>
        <v>0</v>
      </c>
      <c r="AB1150" s="71"/>
      <c r="AC1150" s="71">
        <v>0</v>
      </c>
      <c r="AD1150" s="71">
        <f>W1150+X1150+Y1150+Z1150+AA1150+AB1150+AC1150</f>
        <v>0</v>
      </c>
      <c r="AE1150" s="72">
        <v>0</v>
      </c>
      <c r="AF1150" s="5"/>
      <c r="AG1150" s="6"/>
      <c r="AH1150" s="27" t="s">
        <v>3390</v>
      </c>
      <c r="AI1150" s="44" t="s">
        <v>3391</v>
      </c>
      <c r="AJ1150" s="26"/>
      <c r="AK1150" s="5" t="s">
        <v>3480</v>
      </c>
      <c r="AL1150" s="82" t="s">
        <v>3955</v>
      </c>
      <c r="AM1150" s="76"/>
      <c r="AN1150" s="76"/>
      <c r="AO1150" s="76"/>
      <c r="AP1150" s="76"/>
      <c r="AQ1150" s="76"/>
      <c r="AR1150" s="76"/>
      <c r="AS1150" s="76"/>
      <c r="AT1150" s="76"/>
      <c r="AU1150" s="76"/>
      <c r="AV1150" s="76"/>
      <c r="AW1150" s="76"/>
      <c r="AX1150" s="76">
        <f>+AW1150*600000</f>
        <v>0</v>
      </c>
      <c r="AY1150" s="76"/>
      <c r="AZ1150" s="76">
        <f>+AY1150*70000</f>
        <v>0</v>
      </c>
      <c r="BA1150" s="76"/>
      <c r="BB1150" s="76"/>
      <c r="BC1150" s="76"/>
      <c r="BD1150" s="76">
        <f>+BC1150*30000</f>
        <v>0</v>
      </c>
      <c r="BE1150" s="76"/>
      <c r="BF1150" s="76"/>
      <c r="BG1150" s="76"/>
      <c r="BH1150" s="76"/>
      <c r="BI1150" s="76"/>
      <c r="BJ1150" s="76"/>
      <c r="BK1150" s="76"/>
      <c r="BL1150" s="76">
        <f>+BK1150*31500</f>
        <v>0</v>
      </c>
      <c r="BM1150" s="76"/>
      <c r="BN1150" s="76"/>
      <c r="BO1150" s="76"/>
      <c r="BP1150" s="76"/>
      <c r="BQ1150" s="76"/>
      <c r="BR1150" s="76"/>
      <c r="BS1150" s="76"/>
      <c r="BT1150" s="76"/>
      <c r="BU1150" s="76"/>
      <c r="BV1150" s="76"/>
      <c r="BW1150" s="76"/>
      <c r="BX1150" s="76"/>
      <c r="BY1150" s="76"/>
      <c r="BZ1150" s="76"/>
      <c r="CA1150" s="76"/>
      <c r="CB1150" s="76"/>
      <c r="CC1150" s="76"/>
      <c r="CD1150" s="76"/>
      <c r="CE1150" s="76"/>
      <c r="CF1150" s="76">
        <f>+CE1150*28000</f>
        <v>0</v>
      </c>
      <c r="CG1150" s="76"/>
      <c r="CH1150" s="76">
        <f>+CG1150*22500</f>
        <v>0</v>
      </c>
      <c r="CI1150" s="76"/>
      <c r="CJ1150" s="76">
        <f>+CI1150*26000</f>
        <v>0</v>
      </c>
      <c r="CK1150" s="76"/>
      <c r="CL1150" s="76"/>
      <c r="CM1150" s="76"/>
      <c r="CN1150" s="76">
        <f>+CM1150*22000</f>
        <v>0</v>
      </c>
      <c r="CO1150" s="76"/>
      <c r="CP1150" s="76">
        <f>+CO1150*46000</f>
        <v>0</v>
      </c>
      <c r="CQ1150" s="76"/>
      <c r="CR1150" s="76">
        <f>+CQ1150*49000</f>
        <v>0</v>
      </c>
      <c r="CS1150" s="76"/>
      <c r="CT1150" s="76"/>
      <c r="CU1150" s="56">
        <f>AN1150+AP1150+AR1150+AT1150+AV1150+AX1150+AZ1150+BB1150+BD1150+BF1150+BH1150+BJ1150+BL1150+BN1150+BP1150+BR1150+BT1150+BV1150+BX1150+BZ1150+CB1150+CD1150+CF1150+CH1150+CJ1150+CL1150+CN1150+CP1150+CR1150+CT1150</f>
        <v>0</v>
      </c>
      <c r="CV1150" s="76"/>
      <c r="CW1150" s="76">
        <f>+CV1150*1100</f>
        <v>0</v>
      </c>
      <c r="CX1150" s="76"/>
      <c r="CY1150" s="76">
        <f>+CX1150*106250</f>
        <v>0</v>
      </c>
      <c r="CZ1150" s="76"/>
      <c r="DA1150" s="76">
        <f>+CZ1150*34500</f>
        <v>0</v>
      </c>
      <c r="DB1150" s="76"/>
      <c r="DC1150" s="76">
        <f>+DB1150*25000</f>
        <v>0</v>
      </c>
      <c r="DD1150" s="219"/>
      <c r="DE1150" s="219"/>
      <c r="DF1150" s="166"/>
      <c r="DG1150" s="116"/>
      <c r="DH1150" s="117"/>
      <c r="DI1150" s="24"/>
      <c r="DJ1150" s="24"/>
      <c r="DK1150" s="24"/>
      <c r="DL1150" s="24"/>
      <c r="DM1150" s="24"/>
      <c r="DN1150" s="24"/>
      <c r="DO1150" s="24"/>
      <c r="DP1150" s="24"/>
      <c r="DQ1150" s="24"/>
      <c r="DR1150" s="24"/>
      <c r="DS1150" s="24"/>
      <c r="DT1150" s="24"/>
      <c r="DU1150" s="24"/>
    </row>
    <row r="1151" spans="1:125" s="8" customFormat="1" ht="156" x14ac:dyDescent="0.2">
      <c r="A1151" s="226">
        <v>41348</v>
      </c>
      <c r="B1151" s="225" t="s">
        <v>2852</v>
      </c>
      <c r="C1151" s="227" t="s">
        <v>2682</v>
      </c>
      <c r="D1151" s="75" t="s">
        <v>3051</v>
      </c>
      <c r="E1151" s="75" t="str">
        <f>VLOOKUP(B1151&amp;C1151,Divipola!$C$2:$F$1138,4,FALSE)</f>
        <v>27660</v>
      </c>
      <c r="F1151" s="87"/>
      <c r="G1151" s="87">
        <v>6</v>
      </c>
      <c r="H1151" s="87"/>
      <c r="I1151" s="87">
        <v>7325</v>
      </c>
      <c r="J1151" s="87">
        <v>1495</v>
      </c>
      <c r="K1151" s="87">
        <v>14</v>
      </c>
      <c r="L1151" s="87">
        <v>38</v>
      </c>
      <c r="M1151" s="87">
        <v>6</v>
      </c>
      <c r="N1151" s="87"/>
      <c r="O1151" s="87">
        <v>13</v>
      </c>
      <c r="P1151" s="87">
        <v>4</v>
      </c>
      <c r="Q1151" s="87"/>
      <c r="R1151" s="87"/>
      <c r="S1151" s="87">
        <v>8</v>
      </c>
      <c r="T1151" s="87">
        <v>3</v>
      </c>
      <c r="U1151" s="88">
        <v>250</v>
      </c>
      <c r="V1151" s="89"/>
      <c r="W1151" s="96">
        <v>0</v>
      </c>
      <c r="X1151" s="71">
        <f>CU1151</f>
        <v>0</v>
      </c>
      <c r="Y1151" s="71">
        <f>CY1151</f>
        <v>0</v>
      </c>
      <c r="Z1151" s="71">
        <f>DA1151+DC1151+DE1151</f>
        <v>911541337.15999997</v>
      </c>
      <c r="AA1151" s="71">
        <f>CW1151</f>
        <v>0</v>
      </c>
      <c r="AB1151" s="71"/>
      <c r="AC1151" s="71">
        <v>0</v>
      </c>
      <c r="AD1151" s="71">
        <f>W1151+X1151+Y1151+Z1151+AA1151+AB1151+AC1151</f>
        <v>911541337.15999997</v>
      </c>
      <c r="AE1151" s="72">
        <v>0</v>
      </c>
      <c r="AF1151" s="5"/>
      <c r="AG1151" s="6"/>
      <c r="AH1151" s="27" t="s">
        <v>3390</v>
      </c>
      <c r="AI1151" s="44" t="s">
        <v>3391</v>
      </c>
      <c r="AJ1151" s="26"/>
      <c r="AK1151" s="5" t="s">
        <v>3480</v>
      </c>
      <c r="AL1151" s="82" t="s">
        <v>5017</v>
      </c>
      <c r="AM1151" s="76"/>
      <c r="AN1151" s="76"/>
      <c r="AO1151" s="76"/>
      <c r="AP1151" s="76"/>
      <c r="AQ1151" s="76"/>
      <c r="AR1151" s="76"/>
      <c r="AS1151" s="76"/>
      <c r="AT1151" s="76"/>
      <c r="AU1151" s="76"/>
      <c r="AV1151" s="76"/>
      <c r="AW1151" s="76"/>
      <c r="AX1151" s="76">
        <f>+AW1151*600000</f>
        <v>0</v>
      </c>
      <c r="AY1151" s="76"/>
      <c r="AZ1151" s="76">
        <f>+AY1151*70000</f>
        <v>0</v>
      </c>
      <c r="BA1151" s="76"/>
      <c r="BB1151" s="76"/>
      <c r="BC1151" s="76"/>
      <c r="BD1151" s="76">
        <f>+BC1151*30000</f>
        <v>0</v>
      </c>
      <c r="BE1151" s="76"/>
      <c r="BF1151" s="76"/>
      <c r="BG1151" s="76"/>
      <c r="BH1151" s="76"/>
      <c r="BI1151" s="76"/>
      <c r="BJ1151" s="76"/>
      <c r="BK1151" s="76"/>
      <c r="BL1151" s="76">
        <f>+BK1151*31500</f>
        <v>0</v>
      </c>
      <c r="BM1151" s="76"/>
      <c r="BN1151" s="76"/>
      <c r="BO1151" s="76"/>
      <c r="BP1151" s="76"/>
      <c r="BQ1151" s="76"/>
      <c r="BR1151" s="76"/>
      <c r="BS1151" s="76"/>
      <c r="BT1151" s="76"/>
      <c r="BU1151" s="76"/>
      <c r="BV1151" s="76"/>
      <c r="BW1151" s="76"/>
      <c r="BX1151" s="76"/>
      <c r="BY1151" s="76"/>
      <c r="BZ1151" s="76"/>
      <c r="CA1151" s="76"/>
      <c r="CB1151" s="76"/>
      <c r="CC1151" s="76"/>
      <c r="CD1151" s="76"/>
      <c r="CE1151" s="76"/>
      <c r="CF1151" s="76">
        <f>+CE1151*28000</f>
        <v>0</v>
      </c>
      <c r="CG1151" s="76"/>
      <c r="CH1151" s="76">
        <f>+CG1151*22500</f>
        <v>0</v>
      </c>
      <c r="CI1151" s="76"/>
      <c r="CJ1151" s="76">
        <f>+CI1151*26000</f>
        <v>0</v>
      </c>
      <c r="CK1151" s="76"/>
      <c r="CL1151" s="76"/>
      <c r="CM1151" s="76"/>
      <c r="CN1151" s="76">
        <f>+CM1151*22000</f>
        <v>0</v>
      </c>
      <c r="CO1151" s="76"/>
      <c r="CP1151" s="76">
        <f>+CO1151*46000</f>
        <v>0</v>
      </c>
      <c r="CQ1151" s="76"/>
      <c r="CR1151" s="76">
        <f>+CQ1151*49000</f>
        <v>0</v>
      </c>
      <c r="CS1151" s="76"/>
      <c r="CT1151" s="76"/>
      <c r="CU1151" s="56">
        <f>AN1151+AP1151+AR1151+AT1151+AV1151+AX1151+AZ1151+BB1151+BD1151+BF1151+BH1151+BJ1151+BL1151+BN1151+BP1151+BR1151+BT1151+BV1151+BX1151+BZ1151+CB1151+CD1151+CF1151+CH1151+CJ1151+CL1151+CN1151+CP1151+CR1151+CT1151</f>
        <v>0</v>
      </c>
      <c r="CV1151" s="76"/>
      <c r="CW1151" s="76">
        <f>+CV1151*1100</f>
        <v>0</v>
      </c>
      <c r="CX1151" s="76"/>
      <c r="CY1151" s="76">
        <f>+CX1151*106250</f>
        <v>0</v>
      </c>
      <c r="CZ1151" s="76"/>
      <c r="DA1151" s="76">
        <f>+CZ1151*34500</f>
        <v>0</v>
      </c>
      <c r="DB1151" s="76"/>
      <c r="DC1151" s="76">
        <f>+DB1151*25000</f>
        <v>0</v>
      </c>
      <c r="DD1151" s="221" t="s">
        <v>5178</v>
      </c>
      <c r="DE1151" s="223">
        <f>290328600+173492737.16+447720000</f>
        <v>911541337.15999997</v>
      </c>
      <c r="DF1151" s="166"/>
      <c r="DG1151" s="192" t="s">
        <v>6466</v>
      </c>
      <c r="DH1151" s="117"/>
      <c r="DI1151" s="24"/>
      <c r="DJ1151" s="24"/>
      <c r="DK1151" s="24"/>
      <c r="DL1151" s="24"/>
      <c r="DM1151" s="24"/>
      <c r="DN1151" s="24"/>
      <c r="DO1151" s="24"/>
      <c r="DP1151" s="24"/>
      <c r="DQ1151" s="24"/>
      <c r="DR1151" s="24"/>
      <c r="DS1151" s="24"/>
      <c r="DT1151" s="24"/>
      <c r="DU1151" s="24"/>
    </row>
    <row r="1152" spans="1:125" s="8" customFormat="1" ht="72" x14ac:dyDescent="0.2">
      <c r="A1152" s="226">
        <v>41348</v>
      </c>
      <c r="B1152" s="225" t="s">
        <v>2774</v>
      </c>
      <c r="C1152" s="227" t="s">
        <v>2039</v>
      </c>
      <c r="D1152" s="84" t="s">
        <v>3088</v>
      </c>
      <c r="E1152" s="75" t="str">
        <f>VLOOKUP(B1152&amp;C1152,Divipola!$C$2:$F$1138,4,FALSE)</f>
        <v>66440</v>
      </c>
      <c r="F1152" s="87"/>
      <c r="G1152" s="87"/>
      <c r="H1152" s="87"/>
      <c r="I1152" s="87"/>
      <c r="J1152" s="87"/>
      <c r="K1152" s="87"/>
      <c r="L1152" s="87"/>
      <c r="M1152" s="87">
        <v>1</v>
      </c>
      <c r="N1152" s="87"/>
      <c r="O1152" s="87"/>
      <c r="P1152" s="87"/>
      <c r="Q1152" s="87"/>
      <c r="R1152" s="87"/>
      <c r="S1152" s="87"/>
      <c r="T1152" s="87"/>
      <c r="U1152" s="88"/>
      <c r="V1152" s="89"/>
      <c r="W1152" s="96">
        <v>0</v>
      </c>
      <c r="X1152" s="71">
        <f>CU1152</f>
        <v>0</v>
      </c>
      <c r="Y1152" s="71">
        <f>CY1152</f>
        <v>0</v>
      </c>
      <c r="Z1152" s="71">
        <f>DA1152+DC1152+DE1152</f>
        <v>0</v>
      </c>
      <c r="AA1152" s="71">
        <f>CW1152</f>
        <v>0</v>
      </c>
      <c r="AB1152" s="71"/>
      <c r="AC1152" s="71">
        <v>0</v>
      </c>
      <c r="AD1152" s="71">
        <f>W1152+X1152+Y1152+Z1152+AA1152+AB1152+AC1152</f>
        <v>0</v>
      </c>
      <c r="AE1152" s="72">
        <v>0</v>
      </c>
      <c r="AF1152" s="5"/>
      <c r="AG1152" s="6"/>
      <c r="AH1152" s="27" t="s">
        <v>3392</v>
      </c>
      <c r="AI1152" s="44" t="s">
        <v>3393</v>
      </c>
      <c r="AJ1152" s="26"/>
      <c r="AK1152" s="5"/>
      <c r="AL1152" s="82" t="s">
        <v>3969</v>
      </c>
      <c r="AM1152" s="76"/>
      <c r="AN1152" s="76"/>
      <c r="AO1152" s="76"/>
      <c r="AP1152" s="76"/>
      <c r="AQ1152" s="76"/>
      <c r="AR1152" s="76"/>
      <c r="AS1152" s="76"/>
      <c r="AT1152" s="76"/>
      <c r="AU1152" s="76"/>
      <c r="AV1152" s="76"/>
      <c r="AW1152" s="76"/>
      <c r="AX1152" s="76">
        <f>+AW1152*600000</f>
        <v>0</v>
      </c>
      <c r="AY1152" s="76"/>
      <c r="AZ1152" s="76">
        <f>+AY1152*70000</f>
        <v>0</v>
      </c>
      <c r="BA1152" s="76"/>
      <c r="BB1152" s="76"/>
      <c r="BC1152" s="76"/>
      <c r="BD1152" s="76">
        <f>+BC1152*30000</f>
        <v>0</v>
      </c>
      <c r="BE1152" s="76"/>
      <c r="BF1152" s="76"/>
      <c r="BG1152" s="76"/>
      <c r="BH1152" s="76"/>
      <c r="BI1152" s="76"/>
      <c r="BJ1152" s="76"/>
      <c r="BK1152" s="76"/>
      <c r="BL1152" s="76">
        <f>+BK1152*31500</f>
        <v>0</v>
      </c>
      <c r="BM1152" s="76"/>
      <c r="BN1152" s="76"/>
      <c r="BO1152" s="76"/>
      <c r="BP1152" s="76"/>
      <c r="BQ1152" s="76"/>
      <c r="BR1152" s="76"/>
      <c r="BS1152" s="76"/>
      <c r="BT1152" s="76"/>
      <c r="BU1152" s="76"/>
      <c r="BV1152" s="76"/>
      <c r="BW1152" s="76"/>
      <c r="BX1152" s="76"/>
      <c r="BY1152" s="76"/>
      <c r="BZ1152" s="76"/>
      <c r="CA1152" s="76"/>
      <c r="CB1152" s="76"/>
      <c r="CC1152" s="76"/>
      <c r="CD1152" s="76"/>
      <c r="CE1152" s="76"/>
      <c r="CF1152" s="76">
        <f>+CE1152*28000</f>
        <v>0</v>
      </c>
      <c r="CG1152" s="76"/>
      <c r="CH1152" s="76">
        <f>+CG1152*22500</f>
        <v>0</v>
      </c>
      <c r="CI1152" s="76"/>
      <c r="CJ1152" s="76">
        <f>+CI1152*26000</f>
        <v>0</v>
      </c>
      <c r="CK1152" s="76"/>
      <c r="CL1152" s="76"/>
      <c r="CM1152" s="76"/>
      <c r="CN1152" s="76">
        <f>+CM1152*22000</f>
        <v>0</v>
      </c>
      <c r="CO1152" s="76"/>
      <c r="CP1152" s="76">
        <f>+CO1152*46000</f>
        <v>0</v>
      </c>
      <c r="CQ1152" s="76"/>
      <c r="CR1152" s="76">
        <f>+CQ1152*49000</f>
        <v>0</v>
      </c>
      <c r="CS1152" s="76"/>
      <c r="CT1152" s="76"/>
      <c r="CU1152" s="56">
        <f>AN1152+AP1152+AR1152+AT1152+AV1152+AX1152+AZ1152+BB1152+BD1152+BF1152+BH1152+BJ1152+BL1152+BN1152+BP1152+BR1152+BT1152+BV1152+BX1152+BZ1152+CB1152+CD1152+CF1152+CH1152+CJ1152+CL1152+CN1152+CP1152+CR1152+CT1152</f>
        <v>0</v>
      </c>
      <c r="CV1152" s="76"/>
      <c r="CW1152" s="76">
        <f>+CV1152*1100</f>
        <v>0</v>
      </c>
      <c r="CX1152" s="76"/>
      <c r="CY1152" s="76">
        <f>+CX1152*106250</f>
        <v>0</v>
      </c>
      <c r="CZ1152" s="76"/>
      <c r="DA1152" s="76">
        <f>+CZ1152*34500</f>
        <v>0</v>
      </c>
      <c r="DB1152" s="76"/>
      <c r="DC1152" s="76">
        <f>+DB1152*25000</f>
        <v>0</v>
      </c>
      <c r="DD1152" s="219"/>
      <c r="DE1152" s="219"/>
      <c r="DF1152" s="166"/>
      <c r="DG1152" s="116"/>
      <c r="DH1152" s="117"/>
      <c r="DI1152" s="24"/>
      <c r="DJ1152" s="24"/>
      <c r="DK1152" s="24"/>
      <c r="DL1152" s="24"/>
      <c r="DM1152" s="24"/>
      <c r="DN1152" s="24"/>
      <c r="DO1152" s="24"/>
      <c r="DP1152" s="24"/>
      <c r="DQ1152" s="24"/>
      <c r="DR1152" s="24"/>
      <c r="DS1152" s="24"/>
      <c r="DT1152" s="24"/>
      <c r="DU1152" s="24"/>
    </row>
    <row r="1153" spans="1:125" s="8" customFormat="1" ht="48" x14ac:dyDescent="0.2">
      <c r="A1153" s="77">
        <v>41348</v>
      </c>
      <c r="B1153" s="78" t="s">
        <v>2848</v>
      </c>
      <c r="C1153" s="75" t="s">
        <v>515</v>
      </c>
      <c r="D1153" s="75" t="s">
        <v>3051</v>
      </c>
      <c r="E1153" s="75" t="str">
        <f>VLOOKUP(B1153&amp;C1153,Divipola!$C$2:$F$1138,4,FALSE)</f>
        <v>73030</v>
      </c>
      <c r="F1153" s="87"/>
      <c r="G1153" s="87"/>
      <c r="H1153" s="87"/>
      <c r="I1153" s="87">
        <v>280</v>
      </c>
      <c r="J1153" s="87">
        <v>56</v>
      </c>
      <c r="K1153" s="87"/>
      <c r="L1153" s="87">
        <v>56</v>
      </c>
      <c r="M1153" s="87"/>
      <c r="N1153" s="87"/>
      <c r="O1153" s="87"/>
      <c r="P1153" s="87"/>
      <c r="Q1153" s="87">
        <v>1</v>
      </c>
      <c r="R1153" s="87"/>
      <c r="S1153" s="87"/>
      <c r="T1153" s="87"/>
      <c r="U1153" s="88"/>
      <c r="V1153" s="89"/>
      <c r="W1153" s="96">
        <v>0</v>
      </c>
      <c r="X1153" s="71">
        <f>CU1153</f>
        <v>0</v>
      </c>
      <c r="Y1153" s="71">
        <f>CY1153</f>
        <v>0</v>
      </c>
      <c r="Z1153" s="71">
        <f>DA1153+DC1153+DE1153</f>
        <v>0</v>
      </c>
      <c r="AA1153" s="71">
        <f>CW1153</f>
        <v>0</v>
      </c>
      <c r="AB1153" s="71"/>
      <c r="AC1153" s="71">
        <v>0</v>
      </c>
      <c r="AD1153" s="71">
        <f>W1153+X1153+Y1153+Z1153+AA1153+AB1153+AC1153</f>
        <v>0</v>
      </c>
      <c r="AE1153" s="72">
        <v>0</v>
      </c>
      <c r="AF1153" s="5"/>
      <c r="AG1153" s="6"/>
      <c r="AH1153" s="27" t="s">
        <v>3392</v>
      </c>
      <c r="AI1153" s="44" t="s">
        <v>3393</v>
      </c>
      <c r="AJ1153" s="26"/>
      <c r="AK1153" s="5"/>
      <c r="AL1153" s="82" t="s">
        <v>3962</v>
      </c>
      <c r="AM1153" s="76"/>
      <c r="AN1153" s="76"/>
      <c r="AO1153" s="76"/>
      <c r="AP1153" s="76"/>
      <c r="AQ1153" s="76"/>
      <c r="AR1153" s="76"/>
      <c r="AS1153" s="76"/>
      <c r="AT1153" s="76"/>
      <c r="AU1153" s="76"/>
      <c r="AV1153" s="76"/>
      <c r="AW1153" s="76"/>
      <c r="AX1153" s="76">
        <f>+AW1153*600000</f>
        <v>0</v>
      </c>
      <c r="AY1153" s="76"/>
      <c r="AZ1153" s="76">
        <f>+AY1153*70000</f>
        <v>0</v>
      </c>
      <c r="BA1153" s="76"/>
      <c r="BB1153" s="76"/>
      <c r="BC1153" s="76"/>
      <c r="BD1153" s="76">
        <f>+BC1153*30000</f>
        <v>0</v>
      </c>
      <c r="BE1153" s="76"/>
      <c r="BF1153" s="76"/>
      <c r="BG1153" s="76"/>
      <c r="BH1153" s="76"/>
      <c r="BI1153" s="76"/>
      <c r="BJ1153" s="76"/>
      <c r="BK1153" s="76"/>
      <c r="BL1153" s="76">
        <f>+BK1153*31500</f>
        <v>0</v>
      </c>
      <c r="BM1153" s="76"/>
      <c r="BN1153" s="76"/>
      <c r="BO1153" s="76"/>
      <c r="BP1153" s="76"/>
      <c r="BQ1153" s="76"/>
      <c r="BR1153" s="76"/>
      <c r="BS1153" s="76"/>
      <c r="BT1153" s="76"/>
      <c r="BU1153" s="76"/>
      <c r="BV1153" s="76"/>
      <c r="BW1153" s="76"/>
      <c r="BX1153" s="76"/>
      <c r="BY1153" s="76"/>
      <c r="BZ1153" s="76"/>
      <c r="CA1153" s="76"/>
      <c r="CB1153" s="76"/>
      <c r="CC1153" s="76"/>
      <c r="CD1153" s="76"/>
      <c r="CE1153" s="76"/>
      <c r="CF1153" s="76">
        <f>+CE1153*28000</f>
        <v>0</v>
      </c>
      <c r="CG1153" s="76"/>
      <c r="CH1153" s="76">
        <f>+CG1153*22500</f>
        <v>0</v>
      </c>
      <c r="CI1153" s="76"/>
      <c r="CJ1153" s="76">
        <f>+CI1153*26000</f>
        <v>0</v>
      </c>
      <c r="CK1153" s="76"/>
      <c r="CL1153" s="76"/>
      <c r="CM1153" s="76"/>
      <c r="CN1153" s="76">
        <f>+CM1153*22000</f>
        <v>0</v>
      </c>
      <c r="CO1153" s="76"/>
      <c r="CP1153" s="76">
        <f>+CO1153*46000</f>
        <v>0</v>
      </c>
      <c r="CQ1153" s="76"/>
      <c r="CR1153" s="76">
        <f>+CQ1153*49000</f>
        <v>0</v>
      </c>
      <c r="CS1153" s="76"/>
      <c r="CT1153" s="76"/>
      <c r="CU1153" s="56">
        <f>AN1153+AP1153+AR1153+AT1153+AV1153+AX1153+AZ1153+BB1153+BD1153+BF1153+BH1153+BJ1153+BL1153+BN1153+BP1153+BR1153+BT1153+BV1153+BX1153+BZ1153+CB1153+CD1153+CF1153+CH1153+CJ1153+CL1153+CN1153+CP1153+CR1153+CT1153</f>
        <v>0</v>
      </c>
      <c r="CV1153" s="76"/>
      <c r="CW1153" s="76">
        <f>+CV1153*1100</f>
        <v>0</v>
      </c>
      <c r="CX1153" s="76"/>
      <c r="CY1153" s="76">
        <f>+CX1153*106250</f>
        <v>0</v>
      </c>
      <c r="CZ1153" s="76"/>
      <c r="DA1153" s="76">
        <f>+CZ1153*34500</f>
        <v>0</v>
      </c>
      <c r="DB1153" s="76"/>
      <c r="DC1153" s="76">
        <f>+DB1153*25000</f>
        <v>0</v>
      </c>
      <c r="DD1153" s="219"/>
      <c r="DE1153" s="219"/>
      <c r="DF1153" s="166"/>
      <c r="DG1153" s="116"/>
      <c r="DH1153" s="117"/>
      <c r="DI1153" s="24"/>
      <c r="DJ1153" s="24"/>
      <c r="DK1153" s="24"/>
      <c r="DL1153" s="24"/>
      <c r="DM1153" s="24"/>
      <c r="DN1153" s="24"/>
      <c r="DO1153" s="24"/>
      <c r="DP1153" s="24"/>
      <c r="DQ1153" s="24"/>
      <c r="DR1153" s="24"/>
      <c r="DS1153" s="24"/>
      <c r="DT1153" s="24"/>
      <c r="DU1153" s="24"/>
    </row>
    <row r="1154" spans="1:125" s="8" customFormat="1" ht="84" x14ac:dyDescent="0.2">
      <c r="A1154" s="77">
        <v>41348</v>
      </c>
      <c r="B1154" s="78" t="s">
        <v>2848</v>
      </c>
      <c r="C1154" s="75" t="s">
        <v>515</v>
      </c>
      <c r="D1154" s="75" t="s">
        <v>3425</v>
      </c>
      <c r="E1154" s="75" t="str">
        <f>VLOOKUP(B1154&amp;C1154,Divipola!$C$2:$F$1138,4,FALSE)</f>
        <v>73030</v>
      </c>
      <c r="F1154" s="87">
        <v>1</v>
      </c>
      <c r="G1154" s="87">
        <v>1</v>
      </c>
      <c r="H1154" s="87"/>
      <c r="I1154" s="87"/>
      <c r="J1154" s="87"/>
      <c r="K1154" s="87"/>
      <c r="L1154" s="87"/>
      <c r="M1154" s="87"/>
      <c r="N1154" s="87"/>
      <c r="O1154" s="87"/>
      <c r="P1154" s="87"/>
      <c r="Q1154" s="87"/>
      <c r="R1154" s="87"/>
      <c r="S1154" s="87"/>
      <c r="T1154" s="87"/>
      <c r="U1154" s="88"/>
      <c r="V1154" s="89"/>
      <c r="W1154" s="96">
        <v>0</v>
      </c>
      <c r="X1154" s="71">
        <f>CU1154</f>
        <v>0</v>
      </c>
      <c r="Y1154" s="71">
        <f>CY1154</f>
        <v>0</v>
      </c>
      <c r="Z1154" s="71">
        <f>DA1154+DC1154+DE1154</f>
        <v>0</v>
      </c>
      <c r="AA1154" s="71">
        <f>CW1154</f>
        <v>0</v>
      </c>
      <c r="AB1154" s="71"/>
      <c r="AC1154" s="71">
        <v>0</v>
      </c>
      <c r="AD1154" s="71">
        <f>W1154+X1154+Y1154+Z1154+AA1154+AB1154+AC1154</f>
        <v>0</v>
      </c>
      <c r="AE1154" s="72">
        <v>0</v>
      </c>
      <c r="AF1154" s="5"/>
      <c r="AG1154" s="6"/>
      <c r="AH1154" s="27" t="s">
        <v>3392</v>
      </c>
      <c r="AI1154" s="44" t="s">
        <v>3393</v>
      </c>
      <c r="AJ1154" s="26"/>
      <c r="AK1154" s="5"/>
      <c r="AL1154" s="82" t="s">
        <v>3963</v>
      </c>
      <c r="AM1154" s="76"/>
      <c r="AN1154" s="76"/>
      <c r="AO1154" s="76"/>
      <c r="AP1154" s="76"/>
      <c r="AQ1154" s="76"/>
      <c r="AR1154" s="76"/>
      <c r="AS1154" s="76"/>
      <c r="AT1154" s="76"/>
      <c r="AU1154" s="76"/>
      <c r="AV1154" s="76"/>
      <c r="AW1154" s="76"/>
      <c r="AX1154" s="76">
        <f>+AW1154*600000</f>
        <v>0</v>
      </c>
      <c r="AY1154" s="76"/>
      <c r="AZ1154" s="76">
        <f>+AY1154*70000</f>
        <v>0</v>
      </c>
      <c r="BA1154" s="76"/>
      <c r="BB1154" s="76"/>
      <c r="BC1154" s="76"/>
      <c r="BD1154" s="76">
        <f>+BC1154*30000</f>
        <v>0</v>
      </c>
      <c r="BE1154" s="76"/>
      <c r="BF1154" s="76"/>
      <c r="BG1154" s="76"/>
      <c r="BH1154" s="76"/>
      <c r="BI1154" s="76"/>
      <c r="BJ1154" s="76"/>
      <c r="BK1154" s="76"/>
      <c r="BL1154" s="76">
        <f>+BK1154*31500</f>
        <v>0</v>
      </c>
      <c r="BM1154" s="76"/>
      <c r="BN1154" s="76"/>
      <c r="BO1154" s="76"/>
      <c r="BP1154" s="76"/>
      <c r="BQ1154" s="76"/>
      <c r="BR1154" s="76"/>
      <c r="BS1154" s="76"/>
      <c r="BT1154" s="76"/>
      <c r="BU1154" s="76"/>
      <c r="BV1154" s="76"/>
      <c r="BW1154" s="76"/>
      <c r="BX1154" s="76"/>
      <c r="BY1154" s="76"/>
      <c r="BZ1154" s="76"/>
      <c r="CA1154" s="76"/>
      <c r="CB1154" s="76"/>
      <c r="CC1154" s="76"/>
      <c r="CD1154" s="76"/>
      <c r="CE1154" s="76"/>
      <c r="CF1154" s="76">
        <f>+CE1154*28000</f>
        <v>0</v>
      </c>
      <c r="CG1154" s="76"/>
      <c r="CH1154" s="76">
        <f>+CG1154*22500</f>
        <v>0</v>
      </c>
      <c r="CI1154" s="76"/>
      <c r="CJ1154" s="76">
        <f>+CI1154*26000</f>
        <v>0</v>
      </c>
      <c r="CK1154" s="76"/>
      <c r="CL1154" s="76"/>
      <c r="CM1154" s="76"/>
      <c r="CN1154" s="76">
        <f>+CM1154*22000</f>
        <v>0</v>
      </c>
      <c r="CO1154" s="76"/>
      <c r="CP1154" s="76">
        <f>+CO1154*46000</f>
        <v>0</v>
      </c>
      <c r="CQ1154" s="76"/>
      <c r="CR1154" s="76">
        <f>+CQ1154*49000</f>
        <v>0</v>
      </c>
      <c r="CS1154" s="76"/>
      <c r="CT1154" s="76"/>
      <c r="CU1154" s="56">
        <f>AN1154+AP1154+AR1154+AT1154+AV1154+AX1154+AZ1154+BB1154+BD1154+BF1154+BH1154+BJ1154+BL1154+BN1154+BP1154+BR1154+BT1154+BV1154+BX1154+BZ1154+CB1154+CD1154+CF1154+CH1154+CJ1154+CL1154+CN1154+CP1154+CR1154+CT1154</f>
        <v>0</v>
      </c>
      <c r="CV1154" s="76"/>
      <c r="CW1154" s="76">
        <f>+CV1154*1100</f>
        <v>0</v>
      </c>
      <c r="CX1154" s="76"/>
      <c r="CY1154" s="76">
        <f>+CX1154*106250</f>
        <v>0</v>
      </c>
      <c r="CZ1154" s="76"/>
      <c r="DA1154" s="76">
        <f>+CZ1154*34500</f>
        <v>0</v>
      </c>
      <c r="DB1154" s="76"/>
      <c r="DC1154" s="76">
        <f>+DB1154*25000</f>
        <v>0</v>
      </c>
      <c r="DD1154" s="219"/>
      <c r="DE1154" s="219"/>
      <c r="DF1154" s="166"/>
      <c r="DG1154" s="116"/>
      <c r="DH1154" s="117"/>
      <c r="DI1154" s="24"/>
      <c r="DJ1154" s="24"/>
      <c r="DK1154" s="24"/>
      <c r="DL1154" s="24"/>
      <c r="DM1154" s="24"/>
      <c r="DN1154" s="24"/>
      <c r="DO1154" s="24"/>
      <c r="DP1154" s="24"/>
      <c r="DQ1154" s="24"/>
      <c r="DR1154" s="24"/>
      <c r="DS1154" s="24"/>
      <c r="DT1154" s="24"/>
      <c r="DU1154" s="24"/>
    </row>
    <row r="1155" spans="1:125" s="8" customFormat="1" ht="24" x14ac:dyDescent="0.2">
      <c r="A1155" s="77">
        <v>41348</v>
      </c>
      <c r="B1155" s="78" t="s">
        <v>2848</v>
      </c>
      <c r="C1155" s="75" t="s">
        <v>1859</v>
      </c>
      <c r="D1155" s="75" t="s">
        <v>2859</v>
      </c>
      <c r="E1155" s="75" t="str">
        <f>VLOOKUP(B1155&amp;C1155,Divipola!$C$2:$F$1138,4,FALSE)</f>
        <v>73043</v>
      </c>
      <c r="F1155" s="87"/>
      <c r="G1155" s="87"/>
      <c r="H1155" s="87"/>
      <c r="I1155" s="87">
        <v>2</v>
      </c>
      <c r="J1155" s="87">
        <v>1</v>
      </c>
      <c r="K1155" s="87">
        <v>1</v>
      </c>
      <c r="L1155" s="87"/>
      <c r="M1155" s="87"/>
      <c r="N1155" s="87"/>
      <c r="O1155" s="87"/>
      <c r="P1155" s="87"/>
      <c r="Q1155" s="87"/>
      <c r="R1155" s="87"/>
      <c r="S1155" s="87"/>
      <c r="T1155" s="87"/>
      <c r="U1155" s="88"/>
      <c r="V1155" s="89"/>
      <c r="W1155" s="96">
        <v>0</v>
      </c>
      <c r="X1155" s="71">
        <f>CU1155</f>
        <v>0</v>
      </c>
      <c r="Y1155" s="71">
        <f>CY1155</f>
        <v>0</v>
      </c>
      <c r="Z1155" s="71">
        <f>DA1155+DC1155+DE1155</f>
        <v>0</v>
      </c>
      <c r="AA1155" s="71">
        <f>CW1155</f>
        <v>0</v>
      </c>
      <c r="AB1155" s="71"/>
      <c r="AC1155" s="71">
        <v>0</v>
      </c>
      <c r="AD1155" s="71">
        <f>W1155+X1155+Y1155+Z1155+AA1155+AB1155+AC1155</f>
        <v>0</v>
      </c>
      <c r="AE1155" s="72">
        <v>0</v>
      </c>
      <c r="AF1155" s="5"/>
      <c r="AG1155" s="6"/>
      <c r="AH1155" s="27" t="s">
        <v>3392</v>
      </c>
      <c r="AI1155" s="44" t="s">
        <v>3393</v>
      </c>
      <c r="AJ1155" s="26"/>
      <c r="AK1155" s="5"/>
      <c r="AL1155" s="82" t="s">
        <v>3964</v>
      </c>
      <c r="AM1155" s="76"/>
      <c r="AN1155" s="76"/>
      <c r="AO1155" s="76"/>
      <c r="AP1155" s="76"/>
      <c r="AQ1155" s="76"/>
      <c r="AR1155" s="76"/>
      <c r="AS1155" s="76"/>
      <c r="AT1155" s="76"/>
      <c r="AU1155" s="76"/>
      <c r="AV1155" s="76"/>
      <c r="AW1155" s="76"/>
      <c r="AX1155" s="76">
        <f>+AW1155*600000</f>
        <v>0</v>
      </c>
      <c r="AY1155" s="76"/>
      <c r="AZ1155" s="76">
        <f>+AY1155*70000</f>
        <v>0</v>
      </c>
      <c r="BA1155" s="76"/>
      <c r="BB1155" s="76"/>
      <c r="BC1155" s="76"/>
      <c r="BD1155" s="76">
        <f>+BC1155*30000</f>
        <v>0</v>
      </c>
      <c r="BE1155" s="76"/>
      <c r="BF1155" s="76"/>
      <c r="BG1155" s="76"/>
      <c r="BH1155" s="76"/>
      <c r="BI1155" s="76"/>
      <c r="BJ1155" s="76"/>
      <c r="BK1155" s="76"/>
      <c r="BL1155" s="76">
        <f>+BK1155*31500</f>
        <v>0</v>
      </c>
      <c r="BM1155" s="76"/>
      <c r="BN1155" s="76"/>
      <c r="BO1155" s="76"/>
      <c r="BP1155" s="76"/>
      <c r="BQ1155" s="76"/>
      <c r="BR1155" s="76"/>
      <c r="BS1155" s="76"/>
      <c r="BT1155" s="76"/>
      <c r="BU1155" s="76"/>
      <c r="BV1155" s="76"/>
      <c r="BW1155" s="76"/>
      <c r="BX1155" s="76"/>
      <c r="BY1155" s="76"/>
      <c r="BZ1155" s="76"/>
      <c r="CA1155" s="76"/>
      <c r="CB1155" s="76"/>
      <c r="CC1155" s="76"/>
      <c r="CD1155" s="76"/>
      <c r="CE1155" s="76"/>
      <c r="CF1155" s="76">
        <f>+CE1155*28000</f>
        <v>0</v>
      </c>
      <c r="CG1155" s="76"/>
      <c r="CH1155" s="76">
        <f>+CG1155*22500</f>
        <v>0</v>
      </c>
      <c r="CI1155" s="76"/>
      <c r="CJ1155" s="76">
        <f>+CI1155*26000</f>
        <v>0</v>
      </c>
      <c r="CK1155" s="76"/>
      <c r="CL1155" s="76"/>
      <c r="CM1155" s="76"/>
      <c r="CN1155" s="76">
        <f>+CM1155*22000</f>
        <v>0</v>
      </c>
      <c r="CO1155" s="76"/>
      <c r="CP1155" s="76">
        <f>+CO1155*46000</f>
        <v>0</v>
      </c>
      <c r="CQ1155" s="76"/>
      <c r="CR1155" s="76">
        <f>+CQ1155*49000</f>
        <v>0</v>
      </c>
      <c r="CS1155" s="76"/>
      <c r="CT1155" s="76"/>
      <c r="CU1155" s="56">
        <f>AN1155+AP1155+AR1155+AT1155+AV1155+AX1155+AZ1155+BB1155+BD1155+BF1155+BH1155+BJ1155+BL1155+BN1155+BP1155+BR1155+BT1155+BV1155+BX1155+BZ1155+CB1155+CD1155+CF1155+CH1155+CJ1155+CL1155+CN1155+CP1155+CR1155+CT1155</f>
        <v>0</v>
      </c>
      <c r="CV1155" s="76"/>
      <c r="CW1155" s="76">
        <f>+CV1155*1100</f>
        <v>0</v>
      </c>
      <c r="CX1155" s="76"/>
      <c r="CY1155" s="76">
        <f>+CX1155*106250</f>
        <v>0</v>
      </c>
      <c r="CZ1155" s="76"/>
      <c r="DA1155" s="76">
        <f>+CZ1155*34500</f>
        <v>0</v>
      </c>
      <c r="DB1155" s="76"/>
      <c r="DC1155" s="76">
        <f>+DB1155*25000</f>
        <v>0</v>
      </c>
      <c r="DD1155" s="219"/>
      <c r="DE1155" s="219"/>
      <c r="DF1155" s="166"/>
      <c r="DG1155" s="116"/>
      <c r="DH1155" s="117"/>
      <c r="DI1155" s="24"/>
      <c r="DJ1155" s="24"/>
      <c r="DK1155" s="24"/>
      <c r="DL1155" s="24"/>
      <c r="DM1155" s="24"/>
      <c r="DN1155" s="24"/>
      <c r="DO1155" s="24"/>
      <c r="DP1155" s="24"/>
      <c r="DQ1155" s="24"/>
      <c r="DR1155" s="24"/>
      <c r="DS1155" s="24"/>
      <c r="DT1155" s="24"/>
      <c r="DU1155" s="24"/>
    </row>
    <row r="1156" spans="1:125" s="8" customFormat="1" ht="60" x14ac:dyDescent="0.2">
      <c r="A1156" s="226">
        <v>41348</v>
      </c>
      <c r="B1156" s="225" t="s">
        <v>2848</v>
      </c>
      <c r="C1156" s="227" t="s">
        <v>2077</v>
      </c>
      <c r="D1156" s="84" t="s">
        <v>3088</v>
      </c>
      <c r="E1156" s="75" t="str">
        <f>VLOOKUP(B1156&amp;C1156,Divipola!$C$2:$F$1138,4,FALSE)</f>
        <v>73411</v>
      </c>
      <c r="F1156" s="87"/>
      <c r="G1156" s="87"/>
      <c r="H1156" s="87"/>
      <c r="I1156" s="87"/>
      <c r="J1156" s="87"/>
      <c r="K1156" s="87"/>
      <c r="L1156" s="87"/>
      <c r="M1156" s="87">
        <v>2</v>
      </c>
      <c r="N1156" s="87"/>
      <c r="O1156" s="87"/>
      <c r="P1156" s="87"/>
      <c r="Q1156" s="87"/>
      <c r="R1156" s="87"/>
      <c r="S1156" s="87"/>
      <c r="T1156" s="87"/>
      <c r="U1156" s="88"/>
      <c r="V1156" s="89"/>
      <c r="W1156" s="96">
        <v>0</v>
      </c>
      <c r="X1156" s="71">
        <f>CU1156</f>
        <v>0</v>
      </c>
      <c r="Y1156" s="71">
        <f>CY1156</f>
        <v>0</v>
      </c>
      <c r="Z1156" s="71">
        <f>DA1156+DC1156+DE1156</f>
        <v>0</v>
      </c>
      <c r="AA1156" s="71">
        <f>CW1156</f>
        <v>0</v>
      </c>
      <c r="AB1156" s="71"/>
      <c r="AC1156" s="71">
        <v>0</v>
      </c>
      <c r="AD1156" s="71">
        <f>W1156+X1156+Y1156+Z1156+AA1156+AB1156+AC1156</f>
        <v>0</v>
      </c>
      <c r="AE1156" s="72">
        <v>0</v>
      </c>
      <c r="AF1156" s="5"/>
      <c r="AG1156" s="6"/>
      <c r="AH1156" s="27" t="s">
        <v>3392</v>
      </c>
      <c r="AI1156" s="44" t="s">
        <v>3393</v>
      </c>
      <c r="AJ1156" s="26"/>
      <c r="AK1156" s="5"/>
      <c r="AL1156" s="82" t="s">
        <v>3957</v>
      </c>
      <c r="AM1156" s="76"/>
      <c r="AN1156" s="76"/>
      <c r="AO1156" s="76"/>
      <c r="AP1156" s="76"/>
      <c r="AQ1156" s="76"/>
      <c r="AR1156" s="76"/>
      <c r="AS1156" s="76"/>
      <c r="AT1156" s="76"/>
      <c r="AU1156" s="76"/>
      <c r="AV1156" s="76"/>
      <c r="AW1156" s="76"/>
      <c r="AX1156" s="76">
        <f>+AW1156*600000</f>
        <v>0</v>
      </c>
      <c r="AY1156" s="76"/>
      <c r="AZ1156" s="76">
        <f>+AY1156*70000</f>
        <v>0</v>
      </c>
      <c r="BA1156" s="76"/>
      <c r="BB1156" s="76"/>
      <c r="BC1156" s="76"/>
      <c r="BD1156" s="76">
        <f>+BC1156*30000</f>
        <v>0</v>
      </c>
      <c r="BE1156" s="76"/>
      <c r="BF1156" s="76"/>
      <c r="BG1156" s="76"/>
      <c r="BH1156" s="76"/>
      <c r="BI1156" s="76"/>
      <c r="BJ1156" s="76"/>
      <c r="BK1156" s="76"/>
      <c r="BL1156" s="76">
        <f>+BK1156*31500</f>
        <v>0</v>
      </c>
      <c r="BM1156" s="76"/>
      <c r="BN1156" s="76"/>
      <c r="BO1156" s="76"/>
      <c r="BP1156" s="76"/>
      <c r="BQ1156" s="76"/>
      <c r="BR1156" s="76"/>
      <c r="BS1156" s="76"/>
      <c r="BT1156" s="76"/>
      <c r="BU1156" s="76"/>
      <c r="BV1156" s="76"/>
      <c r="BW1156" s="76"/>
      <c r="BX1156" s="76"/>
      <c r="BY1156" s="76"/>
      <c r="BZ1156" s="76"/>
      <c r="CA1156" s="76"/>
      <c r="CB1156" s="76"/>
      <c r="CC1156" s="76"/>
      <c r="CD1156" s="76"/>
      <c r="CE1156" s="76"/>
      <c r="CF1156" s="76">
        <f>+CE1156*28000</f>
        <v>0</v>
      </c>
      <c r="CG1156" s="76"/>
      <c r="CH1156" s="76">
        <f>+CG1156*22500</f>
        <v>0</v>
      </c>
      <c r="CI1156" s="76"/>
      <c r="CJ1156" s="76">
        <f>+CI1156*26000</f>
        <v>0</v>
      </c>
      <c r="CK1156" s="76"/>
      <c r="CL1156" s="76"/>
      <c r="CM1156" s="76"/>
      <c r="CN1156" s="76">
        <f>+CM1156*22000</f>
        <v>0</v>
      </c>
      <c r="CO1156" s="76"/>
      <c r="CP1156" s="76">
        <f>+CO1156*46000</f>
        <v>0</v>
      </c>
      <c r="CQ1156" s="76"/>
      <c r="CR1156" s="76">
        <f>+CQ1156*49000</f>
        <v>0</v>
      </c>
      <c r="CS1156" s="76"/>
      <c r="CT1156" s="76"/>
      <c r="CU1156" s="56">
        <f>AN1156+AP1156+AR1156+AT1156+AV1156+AX1156+AZ1156+BB1156+BD1156+BF1156+BH1156+BJ1156+BL1156+BN1156+BP1156+BR1156+BT1156+BV1156+BX1156+BZ1156+CB1156+CD1156+CF1156+CH1156+CJ1156+CL1156+CN1156+CP1156+CR1156+CT1156</f>
        <v>0</v>
      </c>
      <c r="CV1156" s="76"/>
      <c r="CW1156" s="76">
        <f>+CV1156*1100</f>
        <v>0</v>
      </c>
      <c r="CX1156" s="76"/>
      <c r="CY1156" s="76">
        <f>+CX1156*106250</f>
        <v>0</v>
      </c>
      <c r="CZ1156" s="76"/>
      <c r="DA1156" s="76">
        <f>+CZ1156*34500</f>
        <v>0</v>
      </c>
      <c r="DB1156" s="76"/>
      <c r="DC1156" s="76">
        <f>+DB1156*25000</f>
        <v>0</v>
      </c>
      <c r="DD1156" s="219"/>
      <c r="DE1156" s="219"/>
      <c r="DF1156" s="166"/>
      <c r="DG1156" s="116"/>
      <c r="DH1156" s="117"/>
      <c r="DI1156" s="24"/>
      <c r="DJ1156" s="24"/>
      <c r="DK1156" s="24"/>
      <c r="DL1156" s="24"/>
      <c r="DM1156" s="24"/>
      <c r="DN1156" s="24"/>
      <c r="DO1156" s="24"/>
      <c r="DP1156" s="24"/>
      <c r="DQ1156" s="24"/>
      <c r="DR1156" s="24"/>
      <c r="DS1156" s="24"/>
      <c r="DT1156" s="24"/>
      <c r="DU1156" s="24"/>
    </row>
    <row r="1157" spans="1:125" s="8" customFormat="1" ht="96" x14ac:dyDescent="0.2">
      <c r="A1157" s="226">
        <v>41348</v>
      </c>
      <c r="B1157" s="225" t="s">
        <v>2851</v>
      </c>
      <c r="C1157" s="227" t="s">
        <v>1390</v>
      </c>
      <c r="D1157" s="227" t="s">
        <v>3205</v>
      </c>
      <c r="E1157" s="75" t="str">
        <f>VLOOKUP(B1157&amp;C1157,Divipola!$C$2:$F$1138,4,FALSE)</f>
        <v>76111</v>
      </c>
      <c r="F1157" s="87"/>
      <c r="G1157" s="87"/>
      <c r="H1157" s="87"/>
      <c r="I1157" s="87">
        <v>10</v>
      </c>
      <c r="J1157" s="87">
        <v>2</v>
      </c>
      <c r="K1157" s="87">
        <v>2</v>
      </c>
      <c r="L1157" s="87"/>
      <c r="M1157" s="87"/>
      <c r="N1157" s="87">
        <v>1</v>
      </c>
      <c r="O1157" s="87">
        <v>3</v>
      </c>
      <c r="P1157" s="87">
        <v>1</v>
      </c>
      <c r="Q1157" s="87"/>
      <c r="R1157" s="87"/>
      <c r="S1157" s="87"/>
      <c r="T1157" s="87"/>
      <c r="U1157" s="88"/>
      <c r="V1157" s="89"/>
      <c r="W1157" s="96">
        <v>0</v>
      </c>
      <c r="X1157" s="71">
        <f>CU1157</f>
        <v>0</v>
      </c>
      <c r="Y1157" s="71">
        <f>CY1157</f>
        <v>0</v>
      </c>
      <c r="Z1157" s="71">
        <f>DA1157+DC1157+DE1157</f>
        <v>0</v>
      </c>
      <c r="AA1157" s="71">
        <f>CW1157</f>
        <v>0</v>
      </c>
      <c r="AB1157" s="71"/>
      <c r="AC1157" s="71">
        <v>0</v>
      </c>
      <c r="AD1157" s="71">
        <f>W1157+X1157+Y1157+Z1157+AA1157+AB1157+AC1157</f>
        <v>0</v>
      </c>
      <c r="AE1157" s="72">
        <v>0</v>
      </c>
      <c r="AF1157" s="5"/>
      <c r="AG1157" s="6"/>
      <c r="AH1157" s="27" t="s">
        <v>3392</v>
      </c>
      <c r="AI1157" s="44" t="s">
        <v>3393</v>
      </c>
      <c r="AJ1157" s="26"/>
      <c r="AK1157" s="5"/>
      <c r="AL1157" s="82" t="s">
        <v>3960</v>
      </c>
      <c r="AM1157" s="76"/>
      <c r="AN1157" s="76"/>
      <c r="AO1157" s="76"/>
      <c r="AP1157" s="76"/>
      <c r="AQ1157" s="76"/>
      <c r="AR1157" s="76"/>
      <c r="AS1157" s="76"/>
      <c r="AT1157" s="76"/>
      <c r="AU1157" s="76"/>
      <c r="AV1157" s="76"/>
      <c r="AW1157" s="76"/>
      <c r="AX1157" s="76">
        <f>+AW1157*600000</f>
        <v>0</v>
      </c>
      <c r="AY1157" s="76"/>
      <c r="AZ1157" s="76">
        <f>+AY1157*70000</f>
        <v>0</v>
      </c>
      <c r="BA1157" s="76"/>
      <c r="BB1157" s="76"/>
      <c r="BC1157" s="76"/>
      <c r="BD1157" s="76">
        <f>+BC1157*30000</f>
        <v>0</v>
      </c>
      <c r="BE1157" s="76"/>
      <c r="BF1157" s="76"/>
      <c r="BG1157" s="76"/>
      <c r="BH1157" s="76"/>
      <c r="BI1157" s="76"/>
      <c r="BJ1157" s="76"/>
      <c r="BK1157" s="76"/>
      <c r="BL1157" s="76">
        <f>+BK1157*31500</f>
        <v>0</v>
      </c>
      <c r="BM1157" s="76"/>
      <c r="BN1157" s="76"/>
      <c r="BO1157" s="76"/>
      <c r="BP1157" s="76"/>
      <c r="BQ1157" s="76"/>
      <c r="BR1157" s="76"/>
      <c r="BS1157" s="76"/>
      <c r="BT1157" s="76"/>
      <c r="BU1157" s="76"/>
      <c r="BV1157" s="76"/>
      <c r="BW1157" s="76"/>
      <c r="BX1157" s="76"/>
      <c r="BY1157" s="76"/>
      <c r="BZ1157" s="76"/>
      <c r="CA1157" s="76"/>
      <c r="CB1157" s="76"/>
      <c r="CC1157" s="76"/>
      <c r="CD1157" s="76"/>
      <c r="CE1157" s="76"/>
      <c r="CF1157" s="76">
        <f>+CE1157*28000</f>
        <v>0</v>
      </c>
      <c r="CG1157" s="76"/>
      <c r="CH1157" s="76">
        <f>+CG1157*22500</f>
        <v>0</v>
      </c>
      <c r="CI1157" s="76"/>
      <c r="CJ1157" s="76">
        <f>+CI1157*26000</f>
        <v>0</v>
      </c>
      <c r="CK1157" s="76"/>
      <c r="CL1157" s="76"/>
      <c r="CM1157" s="76"/>
      <c r="CN1157" s="76">
        <f>+CM1157*22000</f>
        <v>0</v>
      </c>
      <c r="CO1157" s="76"/>
      <c r="CP1157" s="76">
        <f>+CO1157*46000</f>
        <v>0</v>
      </c>
      <c r="CQ1157" s="76"/>
      <c r="CR1157" s="76">
        <f>+CQ1157*49000</f>
        <v>0</v>
      </c>
      <c r="CS1157" s="76"/>
      <c r="CT1157" s="76"/>
      <c r="CU1157" s="56">
        <f>AN1157+AP1157+AR1157+AT1157+AV1157+AX1157+AZ1157+BB1157+BD1157+BF1157+BH1157+BJ1157+BL1157+BN1157+BP1157+BR1157+BT1157+BV1157+BX1157+BZ1157+CB1157+CD1157+CF1157+CH1157+CJ1157+CL1157+CN1157+CP1157+CR1157+CT1157</f>
        <v>0</v>
      </c>
      <c r="CV1157" s="76"/>
      <c r="CW1157" s="76">
        <f>+CV1157*1100</f>
        <v>0</v>
      </c>
      <c r="CX1157" s="76"/>
      <c r="CY1157" s="76">
        <f>+CX1157*106250</f>
        <v>0</v>
      </c>
      <c r="CZ1157" s="76"/>
      <c r="DA1157" s="76">
        <f>+CZ1157*34500</f>
        <v>0</v>
      </c>
      <c r="DB1157" s="76"/>
      <c r="DC1157" s="76">
        <f>+DB1157*25000</f>
        <v>0</v>
      </c>
      <c r="DD1157" s="219"/>
      <c r="DE1157" s="219"/>
      <c r="DF1157" s="166"/>
      <c r="DG1157" s="116"/>
      <c r="DH1157" s="117"/>
      <c r="DI1157" s="24"/>
      <c r="DJ1157" s="24"/>
      <c r="DK1157" s="24"/>
      <c r="DL1157" s="24"/>
      <c r="DM1157" s="24"/>
      <c r="DN1157" s="24"/>
      <c r="DO1157" s="24"/>
      <c r="DP1157" s="24"/>
      <c r="DQ1157" s="24"/>
      <c r="DR1157" s="24"/>
      <c r="DS1157" s="24"/>
      <c r="DT1157" s="24"/>
      <c r="DU1157" s="24"/>
    </row>
    <row r="1158" spans="1:125" s="8" customFormat="1" ht="96" x14ac:dyDescent="0.2">
      <c r="A1158" s="77">
        <v>41348</v>
      </c>
      <c r="B1158" s="78" t="s">
        <v>2851</v>
      </c>
      <c r="C1158" s="75" t="s">
        <v>2667</v>
      </c>
      <c r="D1158" s="84" t="s">
        <v>3088</v>
      </c>
      <c r="E1158" s="75" t="str">
        <f>VLOOKUP(B1158&amp;C1158,Divipola!$C$2:$F$1138,4,FALSE)</f>
        <v>76364</v>
      </c>
      <c r="F1158" s="87"/>
      <c r="G1158" s="87"/>
      <c r="H1158" s="87"/>
      <c r="I1158" s="87">
        <v>10</v>
      </c>
      <c r="J1158" s="87">
        <v>2</v>
      </c>
      <c r="K1158" s="87"/>
      <c r="L1158" s="87">
        <v>2</v>
      </c>
      <c r="M1158" s="87"/>
      <c r="N1158" s="87"/>
      <c r="O1158" s="87"/>
      <c r="P1158" s="87"/>
      <c r="Q1158" s="87"/>
      <c r="R1158" s="87"/>
      <c r="S1158" s="87"/>
      <c r="T1158" s="87"/>
      <c r="U1158" s="88"/>
      <c r="V1158" s="89"/>
      <c r="W1158" s="96">
        <v>0</v>
      </c>
      <c r="X1158" s="71">
        <f>CU1158</f>
        <v>0</v>
      </c>
      <c r="Y1158" s="71">
        <f>CY1158</f>
        <v>0</v>
      </c>
      <c r="Z1158" s="71">
        <f>DA1158+DC1158+DE1158</f>
        <v>0</v>
      </c>
      <c r="AA1158" s="71">
        <f>CW1158</f>
        <v>0</v>
      </c>
      <c r="AB1158" s="71"/>
      <c r="AC1158" s="71">
        <v>0</v>
      </c>
      <c r="AD1158" s="71">
        <f>W1158+X1158+Y1158+Z1158+AA1158+AB1158+AC1158</f>
        <v>0</v>
      </c>
      <c r="AE1158" s="72">
        <v>0</v>
      </c>
      <c r="AF1158" s="5"/>
      <c r="AG1158" s="6"/>
      <c r="AH1158" s="27" t="s">
        <v>3392</v>
      </c>
      <c r="AI1158" s="44" t="s">
        <v>3393</v>
      </c>
      <c r="AJ1158" s="26"/>
      <c r="AK1158" s="5"/>
      <c r="AL1158" s="82" t="s">
        <v>3961</v>
      </c>
      <c r="AM1158" s="76"/>
      <c r="AN1158" s="76"/>
      <c r="AO1158" s="76"/>
      <c r="AP1158" s="76"/>
      <c r="AQ1158" s="76"/>
      <c r="AR1158" s="76"/>
      <c r="AS1158" s="76"/>
      <c r="AT1158" s="76"/>
      <c r="AU1158" s="76"/>
      <c r="AV1158" s="76"/>
      <c r="AW1158" s="76"/>
      <c r="AX1158" s="76">
        <f>+AW1158*600000</f>
        <v>0</v>
      </c>
      <c r="AY1158" s="76"/>
      <c r="AZ1158" s="76">
        <f>+AY1158*70000</f>
        <v>0</v>
      </c>
      <c r="BA1158" s="76"/>
      <c r="BB1158" s="76"/>
      <c r="BC1158" s="76"/>
      <c r="BD1158" s="76">
        <f>+BC1158*30000</f>
        <v>0</v>
      </c>
      <c r="BE1158" s="76"/>
      <c r="BF1158" s="76"/>
      <c r="BG1158" s="76"/>
      <c r="BH1158" s="76"/>
      <c r="BI1158" s="76"/>
      <c r="BJ1158" s="76"/>
      <c r="BK1158" s="76"/>
      <c r="BL1158" s="76">
        <f>+BK1158*31500</f>
        <v>0</v>
      </c>
      <c r="BM1158" s="76"/>
      <c r="BN1158" s="76"/>
      <c r="BO1158" s="76"/>
      <c r="BP1158" s="76"/>
      <c r="BQ1158" s="76"/>
      <c r="BR1158" s="76"/>
      <c r="BS1158" s="76"/>
      <c r="BT1158" s="76"/>
      <c r="BU1158" s="76"/>
      <c r="BV1158" s="76"/>
      <c r="BW1158" s="76"/>
      <c r="BX1158" s="76"/>
      <c r="BY1158" s="76"/>
      <c r="BZ1158" s="76"/>
      <c r="CA1158" s="76"/>
      <c r="CB1158" s="76"/>
      <c r="CC1158" s="76"/>
      <c r="CD1158" s="76"/>
      <c r="CE1158" s="76"/>
      <c r="CF1158" s="76">
        <f>+CE1158*28000</f>
        <v>0</v>
      </c>
      <c r="CG1158" s="76"/>
      <c r="CH1158" s="76">
        <f>+CG1158*22500</f>
        <v>0</v>
      </c>
      <c r="CI1158" s="76"/>
      <c r="CJ1158" s="76">
        <f>+CI1158*26000</f>
        <v>0</v>
      </c>
      <c r="CK1158" s="76"/>
      <c r="CL1158" s="76"/>
      <c r="CM1158" s="76"/>
      <c r="CN1158" s="76">
        <f>+CM1158*22000</f>
        <v>0</v>
      </c>
      <c r="CO1158" s="76"/>
      <c r="CP1158" s="76">
        <f>+CO1158*46000</f>
        <v>0</v>
      </c>
      <c r="CQ1158" s="76"/>
      <c r="CR1158" s="76">
        <f>+CQ1158*49000</f>
        <v>0</v>
      </c>
      <c r="CS1158" s="76"/>
      <c r="CT1158" s="76"/>
      <c r="CU1158" s="56">
        <f>AN1158+AP1158+AR1158+AT1158+AV1158+AX1158+AZ1158+BB1158+BD1158+BF1158+BH1158+BJ1158+BL1158+BN1158+BP1158+BR1158+BT1158+BV1158+BX1158+BZ1158+CB1158+CD1158+CF1158+CH1158+CJ1158+CL1158+CN1158+CP1158+CR1158+CT1158</f>
        <v>0</v>
      </c>
      <c r="CV1158" s="76"/>
      <c r="CW1158" s="76">
        <f>+CV1158*1100</f>
        <v>0</v>
      </c>
      <c r="CX1158" s="76"/>
      <c r="CY1158" s="76">
        <f>+CX1158*106250</f>
        <v>0</v>
      </c>
      <c r="CZ1158" s="76"/>
      <c r="DA1158" s="76">
        <f>+CZ1158*34500</f>
        <v>0</v>
      </c>
      <c r="DB1158" s="76"/>
      <c r="DC1158" s="76">
        <f>+DB1158*25000</f>
        <v>0</v>
      </c>
      <c r="DD1158" s="219"/>
      <c r="DE1158" s="219"/>
      <c r="DF1158" s="166"/>
      <c r="DG1158" s="116"/>
      <c r="DH1158" s="117"/>
      <c r="DI1158" s="24"/>
      <c r="DJ1158" s="24"/>
      <c r="DK1158" s="24"/>
      <c r="DL1158" s="24"/>
      <c r="DM1158" s="24"/>
      <c r="DN1158" s="24"/>
      <c r="DO1158" s="24"/>
      <c r="DP1158" s="24"/>
      <c r="DQ1158" s="24"/>
      <c r="DR1158" s="24"/>
      <c r="DS1158" s="24"/>
      <c r="DT1158" s="24"/>
      <c r="DU1158" s="24"/>
    </row>
    <row r="1159" spans="1:125" s="8" customFormat="1" ht="48" x14ac:dyDescent="0.2">
      <c r="A1159" s="77">
        <v>41349</v>
      </c>
      <c r="B1159" s="208" t="s">
        <v>2894</v>
      </c>
      <c r="C1159" s="227" t="s">
        <v>2352</v>
      </c>
      <c r="D1159" s="227" t="s">
        <v>2882</v>
      </c>
      <c r="E1159" s="75" t="str">
        <f>VLOOKUP(B1159&amp;C1159,Divipola!$C$2:$F$1138,4,FALSE)</f>
        <v>05044</v>
      </c>
      <c r="F1159" s="87"/>
      <c r="G1159" s="87"/>
      <c r="H1159" s="87"/>
      <c r="I1159" s="87">
        <v>175</v>
      </c>
      <c r="J1159" s="87">
        <v>35</v>
      </c>
      <c r="K1159" s="87"/>
      <c r="L1159" s="87">
        <v>35</v>
      </c>
      <c r="M1159" s="87"/>
      <c r="N1159" s="87"/>
      <c r="O1159" s="87"/>
      <c r="P1159" s="87"/>
      <c r="Q1159" s="87"/>
      <c r="R1159" s="87"/>
      <c r="S1159" s="87"/>
      <c r="T1159" s="87"/>
      <c r="U1159" s="88"/>
      <c r="V1159" s="89"/>
      <c r="W1159" s="96">
        <v>0</v>
      </c>
      <c r="X1159" s="71">
        <f>CU1159</f>
        <v>0</v>
      </c>
      <c r="Y1159" s="71">
        <f>CY1159</f>
        <v>0</v>
      </c>
      <c r="Z1159" s="71">
        <f>DA1159+DC1159+DE1159</f>
        <v>0</v>
      </c>
      <c r="AA1159" s="71">
        <f>CW1159</f>
        <v>0</v>
      </c>
      <c r="AB1159" s="71"/>
      <c r="AC1159" s="71">
        <v>0</v>
      </c>
      <c r="AD1159" s="71">
        <f>W1159+X1159+Y1159+Z1159+AA1159+AB1159+AC1159</f>
        <v>0</v>
      </c>
      <c r="AE1159" s="72">
        <v>0</v>
      </c>
      <c r="AF1159" s="5"/>
      <c r="AG1159" s="6"/>
      <c r="AH1159" s="27" t="s">
        <v>3392</v>
      </c>
      <c r="AI1159" s="44" t="s">
        <v>3393</v>
      </c>
      <c r="AJ1159" s="26"/>
      <c r="AK1159" s="5"/>
      <c r="AL1159" s="82" t="s">
        <v>3974</v>
      </c>
      <c r="AM1159" s="76"/>
      <c r="AN1159" s="76"/>
      <c r="AO1159" s="76"/>
      <c r="AP1159" s="76"/>
      <c r="AQ1159" s="76"/>
      <c r="AR1159" s="76"/>
      <c r="AS1159" s="76"/>
      <c r="AT1159" s="76"/>
      <c r="AU1159" s="76"/>
      <c r="AV1159" s="76"/>
      <c r="AW1159" s="76"/>
      <c r="AX1159" s="76">
        <f>+AW1159*600000</f>
        <v>0</v>
      </c>
      <c r="AY1159" s="76"/>
      <c r="AZ1159" s="76">
        <f>+AY1159*70000</f>
        <v>0</v>
      </c>
      <c r="BA1159" s="76"/>
      <c r="BB1159" s="76"/>
      <c r="BC1159" s="76"/>
      <c r="BD1159" s="76">
        <f>+BC1159*30000</f>
        <v>0</v>
      </c>
      <c r="BE1159" s="76"/>
      <c r="BF1159" s="76"/>
      <c r="BG1159" s="76"/>
      <c r="BH1159" s="76"/>
      <c r="BI1159" s="76"/>
      <c r="BJ1159" s="76"/>
      <c r="BK1159" s="76"/>
      <c r="BL1159" s="76">
        <f>+BK1159*31500</f>
        <v>0</v>
      </c>
      <c r="BM1159" s="76"/>
      <c r="BN1159" s="76"/>
      <c r="BO1159" s="76"/>
      <c r="BP1159" s="76"/>
      <c r="BQ1159" s="76"/>
      <c r="BR1159" s="76"/>
      <c r="BS1159" s="76"/>
      <c r="BT1159" s="76"/>
      <c r="BU1159" s="76"/>
      <c r="BV1159" s="76"/>
      <c r="BW1159" s="76"/>
      <c r="BX1159" s="76"/>
      <c r="BY1159" s="76"/>
      <c r="BZ1159" s="76"/>
      <c r="CA1159" s="76"/>
      <c r="CB1159" s="76"/>
      <c r="CC1159" s="76"/>
      <c r="CD1159" s="76"/>
      <c r="CE1159" s="76"/>
      <c r="CF1159" s="76">
        <f>+CE1159*28000</f>
        <v>0</v>
      </c>
      <c r="CG1159" s="76"/>
      <c r="CH1159" s="76">
        <f>+CG1159*22500</f>
        <v>0</v>
      </c>
      <c r="CI1159" s="76"/>
      <c r="CJ1159" s="76">
        <f>+CI1159*26000</f>
        <v>0</v>
      </c>
      <c r="CK1159" s="76"/>
      <c r="CL1159" s="76"/>
      <c r="CM1159" s="76"/>
      <c r="CN1159" s="76">
        <f>+CM1159*22000</f>
        <v>0</v>
      </c>
      <c r="CO1159" s="76"/>
      <c r="CP1159" s="76">
        <f>+CO1159*46000</f>
        <v>0</v>
      </c>
      <c r="CQ1159" s="76"/>
      <c r="CR1159" s="76">
        <f>+CQ1159*49000</f>
        <v>0</v>
      </c>
      <c r="CS1159" s="76"/>
      <c r="CT1159" s="76"/>
      <c r="CU1159" s="56">
        <f>AN1159+AP1159+AR1159+AT1159+AV1159+AX1159+AZ1159+BB1159+BD1159+BF1159+BH1159+BJ1159+BL1159+BN1159+BP1159+BR1159+BT1159+BV1159+BX1159+BZ1159+CB1159+CD1159+CF1159+CH1159+CJ1159+CL1159+CN1159+CP1159+CR1159+CT1159</f>
        <v>0</v>
      </c>
      <c r="CV1159" s="76"/>
      <c r="CW1159" s="76">
        <f>+CV1159*1100</f>
        <v>0</v>
      </c>
      <c r="CX1159" s="76"/>
      <c r="CY1159" s="76">
        <f>+CX1159*106250</f>
        <v>0</v>
      </c>
      <c r="CZ1159" s="76"/>
      <c r="DA1159" s="76">
        <f>+CZ1159*34500</f>
        <v>0</v>
      </c>
      <c r="DB1159" s="76"/>
      <c r="DC1159" s="76">
        <f>+DB1159*25000</f>
        <v>0</v>
      </c>
      <c r="DD1159" s="219"/>
      <c r="DE1159" s="219"/>
      <c r="DF1159" s="166"/>
      <c r="DG1159" s="116"/>
      <c r="DH1159" s="117"/>
      <c r="DI1159" s="24"/>
      <c r="DJ1159" s="24"/>
      <c r="DK1159" s="24"/>
      <c r="DL1159" s="24"/>
      <c r="DM1159" s="24"/>
      <c r="DN1159" s="24"/>
      <c r="DO1159" s="24"/>
      <c r="DP1159" s="24"/>
      <c r="DQ1159" s="24"/>
      <c r="DR1159" s="24"/>
      <c r="DS1159" s="24"/>
      <c r="DT1159" s="24"/>
      <c r="DU1159" s="24"/>
    </row>
    <row r="1160" spans="1:125" s="8" customFormat="1" ht="72" x14ac:dyDescent="0.2">
      <c r="A1160" s="226">
        <v>41349</v>
      </c>
      <c r="B1160" s="225" t="s">
        <v>2855</v>
      </c>
      <c r="C1160" s="227" t="s">
        <v>933</v>
      </c>
      <c r="D1160" s="227" t="s">
        <v>2882</v>
      </c>
      <c r="E1160" s="75" t="str">
        <f>VLOOKUP(B1160&amp;C1160,Divipola!$C$2:$F$1138,4,FALSE)</f>
        <v>20621</v>
      </c>
      <c r="F1160" s="163"/>
      <c r="G1160" s="163"/>
      <c r="H1160" s="163"/>
      <c r="I1160" s="163"/>
      <c r="J1160" s="163"/>
      <c r="K1160" s="163"/>
      <c r="L1160" s="163"/>
      <c r="M1160" s="163"/>
      <c r="N1160" s="163"/>
      <c r="O1160" s="163"/>
      <c r="P1160" s="163"/>
      <c r="Q1160" s="163"/>
      <c r="R1160" s="163"/>
      <c r="S1160" s="163"/>
      <c r="T1160" s="163"/>
      <c r="U1160" s="163"/>
      <c r="V1160" s="134"/>
      <c r="W1160" s="96">
        <v>0</v>
      </c>
      <c r="X1160" s="71">
        <f>CU1160</f>
        <v>0</v>
      </c>
      <c r="Y1160" s="71">
        <f>CY1160</f>
        <v>0</v>
      </c>
      <c r="Z1160" s="71">
        <f>DA1160+DC1160+DE1160</f>
        <v>0</v>
      </c>
      <c r="AA1160" s="71">
        <f>CW1160</f>
        <v>0</v>
      </c>
      <c r="AB1160" s="71"/>
      <c r="AC1160" s="71">
        <v>0</v>
      </c>
      <c r="AD1160" s="71">
        <f>W1160+X1160+Y1160+Z1160+AA1160+AB1160+AC1160</f>
        <v>0</v>
      </c>
      <c r="AE1160" s="72">
        <v>0</v>
      </c>
      <c r="AF1160" s="5"/>
      <c r="AG1160" s="6"/>
      <c r="AH1160" s="27" t="s">
        <v>3392</v>
      </c>
      <c r="AI1160" s="44" t="s">
        <v>3393</v>
      </c>
      <c r="AJ1160" s="26"/>
      <c r="AK1160" s="5"/>
      <c r="AL1160" s="82" t="s">
        <v>4288</v>
      </c>
      <c r="AM1160" s="76"/>
      <c r="AN1160" s="76"/>
      <c r="AO1160" s="76"/>
      <c r="AP1160" s="76"/>
      <c r="AQ1160" s="76"/>
      <c r="AR1160" s="76"/>
      <c r="AS1160" s="76"/>
      <c r="AT1160" s="76"/>
      <c r="AU1160" s="76"/>
      <c r="AV1160" s="76"/>
      <c r="AW1160" s="76"/>
      <c r="AX1160" s="76">
        <f>+AW1160*600000</f>
        <v>0</v>
      </c>
      <c r="AY1160" s="76"/>
      <c r="AZ1160" s="76">
        <f>+AY1160*70000</f>
        <v>0</v>
      </c>
      <c r="BA1160" s="76"/>
      <c r="BB1160" s="76"/>
      <c r="BC1160" s="76"/>
      <c r="BD1160" s="76">
        <f>+BC1160*30000</f>
        <v>0</v>
      </c>
      <c r="BE1160" s="76"/>
      <c r="BF1160" s="76"/>
      <c r="BG1160" s="76"/>
      <c r="BH1160" s="76"/>
      <c r="BI1160" s="76"/>
      <c r="BJ1160" s="76"/>
      <c r="BK1160" s="76"/>
      <c r="BL1160" s="76">
        <f>+BK1160*31500</f>
        <v>0</v>
      </c>
      <c r="BM1160" s="76"/>
      <c r="BN1160" s="76"/>
      <c r="BO1160" s="76"/>
      <c r="BP1160" s="76"/>
      <c r="BQ1160" s="76"/>
      <c r="BR1160" s="76"/>
      <c r="BS1160" s="76"/>
      <c r="BT1160" s="76"/>
      <c r="BU1160" s="76"/>
      <c r="BV1160" s="76"/>
      <c r="BW1160" s="76"/>
      <c r="BX1160" s="76"/>
      <c r="BY1160" s="76"/>
      <c r="BZ1160" s="76"/>
      <c r="CA1160" s="76"/>
      <c r="CB1160" s="76"/>
      <c r="CC1160" s="76"/>
      <c r="CD1160" s="76"/>
      <c r="CE1160" s="76"/>
      <c r="CF1160" s="76">
        <f>+CE1160*28000</f>
        <v>0</v>
      </c>
      <c r="CG1160" s="76"/>
      <c r="CH1160" s="76">
        <f>+CG1160*22500</f>
        <v>0</v>
      </c>
      <c r="CI1160" s="76"/>
      <c r="CJ1160" s="76">
        <f>+CI1160*26000</f>
        <v>0</v>
      </c>
      <c r="CK1160" s="76"/>
      <c r="CL1160" s="76"/>
      <c r="CM1160" s="76"/>
      <c r="CN1160" s="76">
        <f>+CM1160*22000</f>
        <v>0</v>
      </c>
      <c r="CO1160" s="76"/>
      <c r="CP1160" s="76">
        <f>+CO1160*46000</f>
        <v>0</v>
      </c>
      <c r="CQ1160" s="76"/>
      <c r="CR1160" s="76">
        <f>+CQ1160*49000</f>
        <v>0</v>
      </c>
      <c r="CS1160" s="76"/>
      <c r="CT1160" s="76"/>
      <c r="CU1160" s="56">
        <f>AN1160+AP1160+AR1160+AT1160+AV1160+AX1160+AZ1160+BB1160+BD1160+BF1160+BH1160+BJ1160+BL1160+BN1160+BP1160+BR1160+BT1160+BV1160+BX1160+BZ1160+CB1160+CD1160+CF1160+CH1160+CJ1160+CL1160+CN1160+CP1160+CR1160+CT1160</f>
        <v>0</v>
      </c>
      <c r="CV1160" s="76"/>
      <c r="CW1160" s="76">
        <f>+CV1160*1100</f>
        <v>0</v>
      </c>
      <c r="CX1160" s="76"/>
      <c r="CY1160" s="76">
        <f>+CX1160*106250</f>
        <v>0</v>
      </c>
      <c r="CZ1160" s="76"/>
      <c r="DA1160" s="76">
        <f>+CZ1160*34500</f>
        <v>0</v>
      </c>
      <c r="DB1160" s="76"/>
      <c r="DC1160" s="76">
        <f>+DB1160*25000</f>
        <v>0</v>
      </c>
      <c r="DD1160" s="219"/>
      <c r="DE1160" s="219"/>
      <c r="DF1160" s="166"/>
      <c r="DG1160" s="116"/>
      <c r="DH1160" s="117"/>
      <c r="DI1160" s="24"/>
      <c r="DJ1160" s="24"/>
      <c r="DK1160" s="24"/>
      <c r="DL1160" s="24"/>
      <c r="DM1160" s="24"/>
      <c r="DN1160" s="24"/>
      <c r="DO1160" s="24"/>
      <c r="DP1160" s="24"/>
      <c r="DQ1160" s="24"/>
      <c r="DR1160" s="24"/>
      <c r="DS1160" s="24"/>
      <c r="DT1160" s="24"/>
      <c r="DU1160" s="24"/>
    </row>
    <row r="1161" spans="1:125" s="8" customFormat="1" ht="96" x14ac:dyDescent="0.2">
      <c r="A1161" s="77">
        <v>41349</v>
      </c>
      <c r="B1161" s="78" t="s">
        <v>2718</v>
      </c>
      <c r="C1161" s="75" t="s">
        <v>970</v>
      </c>
      <c r="D1161" s="75" t="s">
        <v>3205</v>
      </c>
      <c r="E1161" s="75" t="str">
        <f>VLOOKUP(B1161&amp;C1161,Divipola!$C$2:$F$1138,4,FALSE)</f>
        <v>23466</v>
      </c>
      <c r="F1161" s="87"/>
      <c r="G1161" s="87"/>
      <c r="H1161" s="87"/>
      <c r="I1161" s="87">
        <v>1025</v>
      </c>
      <c r="J1161" s="87">
        <v>205</v>
      </c>
      <c r="K1161" s="87"/>
      <c r="L1161" s="87">
        <v>205</v>
      </c>
      <c r="M1161" s="87"/>
      <c r="N1161" s="87"/>
      <c r="O1161" s="87"/>
      <c r="P1161" s="87"/>
      <c r="Q1161" s="87"/>
      <c r="R1161" s="87"/>
      <c r="S1161" s="87"/>
      <c r="T1161" s="87"/>
      <c r="U1161" s="88"/>
      <c r="V1161" s="89"/>
      <c r="W1161" s="96">
        <v>0</v>
      </c>
      <c r="X1161" s="71">
        <f>CU1161</f>
        <v>0</v>
      </c>
      <c r="Y1161" s="71">
        <f>CY1161</f>
        <v>0</v>
      </c>
      <c r="Z1161" s="71">
        <f>DA1161+DC1161+DE1161</f>
        <v>0</v>
      </c>
      <c r="AA1161" s="71">
        <f>CW1161</f>
        <v>0</v>
      </c>
      <c r="AB1161" s="71"/>
      <c r="AC1161" s="71">
        <v>0</v>
      </c>
      <c r="AD1161" s="71">
        <f>W1161+X1161+Y1161+Z1161+AA1161+AB1161+AC1161</f>
        <v>0</v>
      </c>
      <c r="AE1161" s="72">
        <v>0</v>
      </c>
      <c r="AF1161" s="5"/>
      <c r="AG1161" s="6"/>
      <c r="AH1161" s="27" t="s">
        <v>3392</v>
      </c>
      <c r="AI1161" s="44" t="s">
        <v>3393</v>
      </c>
      <c r="AJ1161" s="26"/>
      <c r="AK1161" s="5"/>
      <c r="AL1161" s="82" t="s">
        <v>3992</v>
      </c>
      <c r="AM1161" s="76"/>
      <c r="AN1161" s="76"/>
      <c r="AO1161" s="76"/>
      <c r="AP1161" s="76"/>
      <c r="AQ1161" s="76"/>
      <c r="AR1161" s="76"/>
      <c r="AS1161" s="76"/>
      <c r="AT1161" s="76"/>
      <c r="AU1161" s="76"/>
      <c r="AV1161" s="76"/>
      <c r="AW1161" s="76"/>
      <c r="AX1161" s="76">
        <f>+AW1161*600000</f>
        <v>0</v>
      </c>
      <c r="AY1161" s="76"/>
      <c r="AZ1161" s="76">
        <f>+AY1161*70000</f>
        <v>0</v>
      </c>
      <c r="BA1161" s="76"/>
      <c r="BB1161" s="76"/>
      <c r="BC1161" s="76"/>
      <c r="BD1161" s="76">
        <f>+BC1161*30000</f>
        <v>0</v>
      </c>
      <c r="BE1161" s="76"/>
      <c r="BF1161" s="76"/>
      <c r="BG1161" s="76"/>
      <c r="BH1161" s="76"/>
      <c r="BI1161" s="76"/>
      <c r="BJ1161" s="76"/>
      <c r="BK1161" s="76"/>
      <c r="BL1161" s="76">
        <f>+BK1161*31500</f>
        <v>0</v>
      </c>
      <c r="BM1161" s="76"/>
      <c r="BN1161" s="76"/>
      <c r="BO1161" s="76"/>
      <c r="BP1161" s="76"/>
      <c r="BQ1161" s="76"/>
      <c r="BR1161" s="76"/>
      <c r="BS1161" s="76"/>
      <c r="BT1161" s="76"/>
      <c r="BU1161" s="76"/>
      <c r="BV1161" s="76"/>
      <c r="BW1161" s="76"/>
      <c r="BX1161" s="76"/>
      <c r="BY1161" s="76"/>
      <c r="BZ1161" s="76"/>
      <c r="CA1161" s="76"/>
      <c r="CB1161" s="76"/>
      <c r="CC1161" s="76"/>
      <c r="CD1161" s="76"/>
      <c r="CE1161" s="76"/>
      <c r="CF1161" s="76">
        <f>+CE1161*28000</f>
        <v>0</v>
      </c>
      <c r="CG1161" s="76"/>
      <c r="CH1161" s="76">
        <f>+CG1161*22500</f>
        <v>0</v>
      </c>
      <c r="CI1161" s="76"/>
      <c r="CJ1161" s="76">
        <f>+CI1161*26000</f>
        <v>0</v>
      </c>
      <c r="CK1161" s="76"/>
      <c r="CL1161" s="76"/>
      <c r="CM1161" s="76"/>
      <c r="CN1161" s="76">
        <f>+CM1161*22000</f>
        <v>0</v>
      </c>
      <c r="CO1161" s="76"/>
      <c r="CP1161" s="76">
        <f>+CO1161*46000</f>
        <v>0</v>
      </c>
      <c r="CQ1161" s="76"/>
      <c r="CR1161" s="76">
        <f>+CQ1161*49000</f>
        <v>0</v>
      </c>
      <c r="CS1161" s="76"/>
      <c r="CT1161" s="76"/>
      <c r="CU1161" s="56">
        <f>AN1161+AP1161+AR1161+AT1161+AV1161+AX1161+AZ1161+BB1161+BD1161+BF1161+BH1161+BJ1161+BL1161+BN1161+BP1161+BR1161+BT1161+BV1161+BX1161+BZ1161+CB1161+CD1161+CF1161+CH1161+CJ1161+CL1161+CN1161+CP1161+CR1161+CT1161</f>
        <v>0</v>
      </c>
      <c r="CV1161" s="76"/>
      <c r="CW1161" s="76">
        <f>+CV1161*1100</f>
        <v>0</v>
      </c>
      <c r="CX1161" s="76"/>
      <c r="CY1161" s="76">
        <f>+CX1161*106250</f>
        <v>0</v>
      </c>
      <c r="CZ1161" s="76"/>
      <c r="DA1161" s="76">
        <f>+CZ1161*34500</f>
        <v>0</v>
      </c>
      <c r="DB1161" s="76"/>
      <c r="DC1161" s="76">
        <f>+DB1161*25000</f>
        <v>0</v>
      </c>
      <c r="DD1161" s="219"/>
      <c r="DE1161" s="219"/>
      <c r="DF1161" s="166"/>
      <c r="DG1161" s="116"/>
      <c r="DH1161" s="117"/>
      <c r="DI1161" s="24"/>
      <c r="DJ1161" s="24"/>
      <c r="DK1161" s="24"/>
      <c r="DL1161" s="24"/>
      <c r="DM1161" s="24"/>
      <c r="DN1161" s="24"/>
      <c r="DO1161" s="24"/>
      <c r="DP1161" s="24"/>
      <c r="DQ1161" s="24"/>
      <c r="DR1161" s="24"/>
      <c r="DS1161" s="24"/>
      <c r="DT1161" s="24"/>
      <c r="DU1161" s="24"/>
    </row>
    <row r="1162" spans="1:125" s="8" customFormat="1" ht="96" x14ac:dyDescent="0.2">
      <c r="A1162" s="226">
        <v>41349</v>
      </c>
      <c r="B1162" s="225" t="s">
        <v>2718</v>
      </c>
      <c r="C1162" s="227" t="s">
        <v>2701</v>
      </c>
      <c r="D1162" s="75" t="s">
        <v>3051</v>
      </c>
      <c r="E1162" s="75" t="str">
        <f>VLOOKUP(B1162&amp;C1162,Divipola!$C$2:$F$1138,4,FALSE)</f>
        <v>23580</v>
      </c>
      <c r="F1162" s="87"/>
      <c r="G1162" s="87"/>
      <c r="H1162" s="87"/>
      <c r="I1162" s="87">
        <v>250</v>
      </c>
      <c r="J1162" s="87">
        <v>50</v>
      </c>
      <c r="K1162" s="87"/>
      <c r="L1162" s="87">
        <v>50</v>
      </c>
      <c r="M1162" s="87"/>
      <c r="N1162" s="87"/>
      <c r="O1162" s="87"/>
      <c r="P1162" s="87"/>
      <c r="Q1162" s="87"/>
      <c r="R1162" s="87"/>
      <c r="S1162" s="87"/>
      <c r="T1162" s="87"/>
      <c r="U1162" s="88">
        <v>200</v>
      </c>
      <c r="V1162" s="89"/>
      <c r="W1162" s="96">
        <v>0</v>
      </c>
      <c r="X1162" s="71">
        <f>CU1162</f>
        <v>0</v>
      </c>
      <c r="Y1162" s="71">
        <f>CY1162</f>
        <v>0</v>
      </c>
      <c r="Z1162" s="71">
        <f>DA1162+DC1162+DE1162</f>
        <v>0</v>
      </c>
      <c r="AA1162" s="71">
        <f>CW1162</f>
        <v>0</v>
      </c>
      <c r="AB1162" s="71"/>
      <c r="AC1162" s="71">
        <v>0</v>
      </c>
      <c r="AD1162" s="71">
        <f>W1162+X1162+Y1162+Z1162+AA1162+AB1162+AC1162</f>
        <v>0</v>
      </c>
      <c r="AE1162" s="72">
        <v>0</v>
      </c>
      <c r="AF1162" s="5"/>
      <c r="AG1162" s="6"/>
      <c r="AH1162" s="27" t="s">
        <v>3392</v>
      </c>
      <c r="AI1162" s="44" t="s">
        <v>3393</v>
      </c>
      <c r="AJ1162" s="26"/>
      <c r="AK1162" s="5"/>
      <c r="AL1162" s="82" t="s">
        <v>3967</v>
      </c>
      <c r="AM1162" s="76"/>
      <c r="AN1162" s="76"/>
      <c r="AO1162" s="76"/>
      <c r="AP1162" s="76"/>
      <c r="AQ1162" s="76"/>
      <c r="AR1162" s="76"/>
      <c r="AS1162" s="76"/>
      <c r="AT1162" s="76"/>
      <c r="AU1162" s="76"/>
      <c r="AV1162" s="76"/>
      <c r="AW1162" s="76"/>
      <c r="AX1162" s="76">
        <f>+AW1162*600000</f>
        <v>0</v>
      </c>
      <c r="AY1162" s="76"/>
      <c r="AZ1162" s="76">
        <f>+AY1162*70000</f>
        <v>0</v>
      </c>
      <c r="BA1162" s="76"/>
      <c r="BB1162" s="76"/>
      <c r="BC1162" s="76"/>
      <c r="BD1162" s="76">
        <f>+BC1162*30000</f>
        <v>0</v>
      </c>
      <c r="BE1162" s="76"/>
      <c r="BF1162" s="76"/>
      <c r="BG1162" s="76"/>
      <c r="BH1162" s="76"/>
      <c r="BI1162" s="76"/>
      <c r="BJ1162" s="76"/>
      <c r="BK1162" s="76"/>
      <c r="BL1162" s="76">
        <f>+BK1162*31500</f>
        <v>0</v>
      </c>
      <c r="BM1162" s="76"/>
      <c r="BN1162" s="76"/>
      <c r="BO1162" s="76"/>
      <c r="BP1162" s="76"/>
      <c r="BQ1162" s="76"/>
      <c r="BR1162" s="76"/>
      <c r="BS1162" s="76"/>
      <c r="BT1162" s="76"/>
      <c r="BU1162" s="76"/>
      <c r="BV1162" s="76"/>
      <c r="BW1162" s="76"/>
      <c r="BX1162" s="76"/>
      <c r="BY1162" s="76"/>
      <c r="BZ1162" s="76"/>
      <c r="CA1162" s="76"/>
      <c r="CB1162" s="76"/>
      <c r="CC1162" s="76"/>
      <c r="CD1162" s="76"/>
      <c r="CE1162" s="76"/>
      <c r="CF1162" s="76">
        <f>+CE1162*28000</f>
        <v>0</v>
      </c>
      <c r="CG1162" s="76"/>
      <c r="CH1162" s="76">
        <f>+CG1162*22500</f>
        <v>0</v>
      </c>
      <c r="CI1162" s="76"/>
      <c r="CJ1162" s="76">
        <f>+CI1162*26000</f>
        <v>0</v>
      </c>
      <c r="CK1162" s="76"/>
      <c r="CL1162" s="76"/>
      <c r="CM1162" s="76"/>
      <c r="CN1162" s="76">
        <f>+CM1162*22000</f>
        <v>0</v>
      </c>
      <c r="CO1162" s="76"/>
      <c r="CP1162" s="76">
        <f>+CO1162*46000</f>
        <v>0</v>
      </c>
      <c r="CQ1162" s="76"/>
      <c r="CR1162" s="76">
        <f>+CQ1162*49000</f>
        <v>0</v>
      </c>
      <c r="CS1162" s="76"/>
      <c r="CT1162" s="76"/>
      <c r="CU1162" s="56">
        <f>AN1162+AP1162+AR1162+AT1162+AV1162+AX1162+AZ1162+BB1162+BD1162+BF1162+BH1162+BJ1162+BL1162+BN1162+BP1162+BR1162+BT1162+BV1162+BX1162+BZ1162+CB1162+CD1162+CF1162+CH1162+CJ1162+CL1162+CN1162+CP1162+CR1162+CT1162</f>
        <v>0</v>
      </c>
      <c r="CV1162" s="76"/>
      <c r="CW1162" s="76">
        <f>+CV1162*1100</f>
        <v>0</v>
      </c>
      <c r="CX1162" s="76"/>
      <c r="CY1162" s="76">
        <f>+CX1162*106250</f>
        <v>0</v>
      </c>
      <c r="CZ1162" s="76"/>
      <c r="DA1162" s="76">
        <f>+CZ1162*34500</f>
        <v>0</v>
      </c>
      <c r="DB1162" s="76"/>
      <c r="DC1162" s="76">
        <f>+DB1162*25000</f>
        <v>0</v>
      </c>
      <c r="DD1162" s="219"/>
      <c r="DE1162" s="219"/>
      <c r="DF1162" s="166"/>
      <c r="DG1162" s="116"/>
      <c r="DH1162" s="117"/>
      <c r="DI1162" s="24"/>
      <c r="DJ1162" s="24"/>
      <c r="DK1162" s="24"/>
      <c r="DL1162" s="24"/>
      <c r="DM1162" s="24"/>
      <c r="DN1162" s="24"/>
      <c r="DO1162" s="24"/>
      <c r="DP1162" s="24"/>
      <c r="DQ1162" s="24"/>
      <c r="DR1162" s="24"/>
      <c r="DS1162" s="24"/>
      <c r="DT1162" s="24"/>
      <c r="DU1162" s="24"/>
    </row>
    <row r="1163" spans="1:125" s="8" customFormat="1" ht="48" x14ac:dyDescent="0.2">
      <c r="A1163" s="77">
        <v>41349</v>
      </c>
      <c r="B1163" s="225" t="s">
        <v>1326</v>
      </c>
      <c r="C1163" s="227" t="s">
        <v>1798</v>
      </c>
      <c r="D1163" s="75" t="s">
        <v>3051</v>
      </c>
      <c r="E1163" s="75" t="str">
        <f>VLOOKUP(B1163&amp;C1163,Divipola!$C$2:$F$1138,4,FALSE)</f>
        <v>70001</v>
      </c>
      <c r="F1163" s="87"/>
      <c r="G1163" s="87"/>
      <c r="H1163" s="87"/>
      <c r="I1163" s="87">
        <v>1850</v>
      </c>
      <c r="J1163" s="87">
        <v>370</v>
      </c>
      <c r="K1163" s="87"/>
      <c r="L1163" s="87">
        <v>370</v>
      </c>
      <c r="M1163" s="87"/>
      <c r="N1163" s="87"/>
      <c r="O1163" s="87"/>
      <c r="P1163" s="87"/>
      <c r="Q1163" s="87"/>
      <c r="R1163" s="87"/>
      <c r="S1163" s="87"/>
      <c r="T1163" s="87"/>
      <c r="U1163" s="88"/>
      <c r="V1163" s="89"/>
      <c r="W1163" s="96">
        <v>0</v>
      </c>
      <c r="X1163" s="71">
        <f>CU1163</f>
        <v>0</v>
      </c>
      <c r="Y1163" s="71">
        <f>CY1163</f>
        <v>0</v>
      </c>
      <c r="Z1163" s="71">
        <f>DA1163+DC1163+DE1163</f>
        <v>0</v>
      </c>
      <c r="AA1163" s="71">
        <f>CW1163</f>
        <v>0</v>
      </c>
      <c r="AB1163" s="71"/>
      <c r="AC1163" s="71">
        <v>0</v>
      </c>
      <c r="AD1163" s="71">
        <f>W1163+X1163+Y1163+Z1163+AA1163+AB1163+AC1163</f>
        <v>0</v>
      </c>
      <c r="AE1163" s="72">
        <v>0</v>
      </c>
      <c r="AF1163" s="5"/>
      <c r="AG1163" s="6"/>
      <c r="AH1163" s="27" t="s">
        <v>3392</v>
      </c>
      <c r="AI1163" s="44" t="s">
        <v>3393</v>
      </c>
      <c r="AJ1163" s="26"/>
      <c r="AK1163" s="5"/>
      <c r="AL1163" s="82" t="s">
        <v>3966</v>
      </c>
      <c r="AM1163" s="76"/>
      <c r="AN1163" s="76"/>
      <c r="AO1163" s="76"/>
      <c r="AP1163" s="76"/>
      <c r="AQ1163" s="76"/>
      <c r="AR1163" s="76"/>
      <c r="AS1163" s="76"/>
      <c r="AT1163" s="76"/>
      <c r="AU1163" s="76"/>
      <c r="AV1163" s="76"/>
      <c r="AW1163" s="76"/>
      <c r="AX1163" s="76">
        <f>+AW1163*600000</f>
        <v>0</v>
      </c>
      <c r="AY1163" s="76"/>
      <c r="AZ1163" s="76">
        <f>+AY1163*70000</f>
        <v>0</v>
      </c>
      <c r="BA1163" s="76"/>
      <c r="BB1163" s="76"/>
      <c r="BC1163" s="76"/>
      <c r="BD1163" s="76">
        <f>+BC1163*30000</f>
        <v>0</v>
      </c>
      <c r="BE1163" s="76"/>
      <c r="BF1163" s="76"/>
      <c r="BG1163" s="76"/>
      <c r="BH1163" s="76"/>
      <c r="BI1163" s="76"/>
      <c r="BJ1163" s="76"/>
      <c r="BK1163" s="76"/>
      <c r="BL1163" s="76">
        <f>+BK1163*31500</f>
        <v>0</v>
      </c>
      <c r="BM1163" s="76"/>
      <c r="BN1163" s="76"/>
      <c r="BO1163" s="76"/>
      <c r="BP1163" s="76"/>
      <c r="BQ1163" s="76"/>
      <c r="BR1163" s="76"/>
      <c r="BS1163" s="76"/>
      <c r="BT1163" s="76"/>
      <c r="BU1163" s="76"/>
      <c r="BV1163" s="76"/>
      <c r="BW1163" s="76"/>
      <c r="BX1163" s="76"/>
      <c r="BY1163" s="76"/>
      <c r="BZ1163" s="76"/>
      <c r="CA1163" s="76"/>
      <c r="CB1163" s="76"/>
      <c r="CC1163" s="76"/>
      <c r="CD1163" s="76"/>
      <c r="CE1163" s="76"/>
      <c r="CF1163" s="76">
        <f>+CE1163*28000</f>
        <v>0</v>
      </c>
      <c r="CG1163" s="76"/>
      <c r="CH1163" s="76">
        <f>+CG1163*22500</f>
        <v>0</v>
      </c>
      <c r="CI1163" s="76"/>
      <c r="CJ1163" s="76">
        <f>+CI1163*26000</f>
        <v>0</v>
      </c>
      <c r="CK1163" s="76"/>
      <c r="CL1163" s="76"/>
      <c r="CM1163" s="76"/>
      <c r="CN1163" s="76">
        <f>+CM1163*22000</f>
        <v>0</v>
      </c>
      <c r="CO1163" s="76"/>
      <c r="CP1163" s="76">
        <f>+CO1163*46000</f>
        <v>0</v>
      </c>
      <c r="CQ1163" s="76"/>
      <c r="CR1163" s="76">
        <f>+CQ1163*49000</f>
        <v>0</v>
      </c>
      <c r="CS1163" s="76"/>
      <c r="CT1163" s="76"/>
      <c r="CU1163" s="56">
        <f>AN1163+AP1163+AR1163+AT1163+AV1163+AX1163+AZ1163+BB1163+BD1163+BF1163+BH1163+BJ1163+BL1163+BN1163+BP1163+BR1163+BT1163+BV1163+BX1163+BZ1163+CB1163+CD1163+CF1163+CH1163+CJ1163+CL1163+CN1163+CP1163+CR1163+CT1163</f>
        <v>0</v>
      </c>
      <c r="CV1163" s="76"/>
      <c r="CW1163" s="76">
        <f>+CV1163*1100</f>
        <v>0</v>
      </c>
      <c r="CX1163" s="76"/>
      <c r="CY1163" s="76">
        <f>+CX1163*106250</f>
        <v>0</v>
      </c>
      <c r="CZ1163" s="76"/>
      <c r="DA1163" s="76">
        <f>+CZ1163*34500</f>
        <v>0</v>
      </c>
      <c r="DB1163" s="76"/>
      <c r="DC1163" s="76">
        <f>+DB1163*25000</f>
        <v>0</v>
      </c>
      <c r="DD1163" s="219"/>
      <c r="DE1163" s="219"/>
      <c r="DF1163" s="166"/>
      <c r="DG1163" s="116"/>
      <c r="DH1163" s="117"/>
      <c r="DI1163" s="24"/>
      <c r="DJ1163" s="24"/>
      <c r="DK1163" s="24"/>
      <c r="DL1163" s="24"/>
      <c r="DM1163" s="24"/>
      <c r="DN1163" s="24"/>
      <c r="DO1163" s="24"/>
      <c r="DP1163" s="24"/>
      <c r="DQ1163" s="24"/>
      <c r="DR1163" s="24"/>
      <c r="DS1163" s="24"/>
      <c r="DT1163" s="24"/>
      <c r="DU1163" s="24"/>
    </row>
    <row r="1164" spans="1:125" s="8" customFormat="1" ht="240" x14ac:dyDescent="0.2">
      <c r="A1164" s="77">
        <v>41350</v>
      </c>
      <c r="B1164" s="78" t="s">
        <v>2036</v>
      </c>
      <c r="C1164" s="75" t="s">
        <v>1374</v>
      </c>
      <c r="D1164" s="75" t="s">
        <v>3051</v>
      </c>
      <c r="E1164" s="75" t="str">
        <f>VLOOKUP(B1164&amp;C1164,Divipola!$C$2:$F$1138,4,FALSE)</f>
        <v>81065</v>
      </c>
      <c r="F1164" s="87"/>
      <c r="G1164" s="87"/>
      <c r="H1164" s="87"/>
      <c r="I1164" s="87">
        <v>546</v>
      </c>
      <c r="J1164" s="87">
        <v>135</v>
      </c>
      <c r="K1164" s="87">
        <v>2</v>
      </c>
      <c r="L1164" s="87">
        <v>47</v>
      </c>
      <c r="M1164" s="87"/>
      <c r="N1164" s="87"/>
      <c r="O1164" s="87"/>
      <c r="P1164" s="87"/>
      <c r="Q1164" s="87"/>
      <c r="R1164" s="87"/>
      <c r="S1164" s="87"/>
      <c r="T1164" s="87"/>
      <c r="U1164" s="88"/>
      <c r="V1164" s="89"/>
      <c r="W1164" s="96">
        <v>0</v>
      </c>
      <c r="X1164" s="71">
        <f>CU1164</f>
        <v>0</v>
      </c>
      <c r="Y1164" s="71">
        <f>CY1164</f>
        <v>0</v>
      </c>
      <c r="Z1164" s="71">
        <f>DA1164+DC1164+DE1164</f>
        <v>0</v>
      </c>
      <c r="AA1164" s="71">
        <f>CW1164</f>
        <v>0</v>
      </c>
      <c r="AB1164" s="71"/>
      <c r="AC1164" s="71">
        <v>0</v>
      </c>
      <c r="AD1164" s="71">
        <f>W1164+X1164+Y1164+Z1164+AA1164+AB1164+AC1164</f>
        <v>0</v>
      </c>
      <c r="AE1164" s="72">
        <v>0</v>
      </c>
      <c r="AF1164" s="5"/>
      <c r="AG1164" s="6"/>
      <c r="AH1164" s="27" t="s">
        <v>3390</v>
      </c>
      <c r="AI1164" s="44" t="s">
        <v>3393</v>
      </c>
      <c r="AJ1164" s="26"/>
      <c r="AK1164" s="5" t="s">
        <v>4242</v>
      </c>
      <c r="AL1164" s="82" t="s">
        <v>4889</v>
      </c>
      <c r="AM1164" s="76"/>
      <c r="AN1164" s="76"/>
      <c r="AO1164" s="76"/>
      <c r="AP1164" s="76"/>
      <c r="AQ1164" s="76"/>
      <c r="AR1164" s="76"/>
      <c r="AS1164" s="76"/>
      <c r="AT1164" s="76"/>
      <c r="AU1164" s="76"/>
      <c r="AV1164" s="76"/>
      <c r="AW1164" s="76"/>
      <c r="AX1164" s="76">
        <f>+AW1164*600000</f>
        <v>0</v>
      </c>
      <c r="AY1164" s="76"/>
      <c r="AZ1164" s="76">
        <f>+AY1164*70000</f>
        <v>0</v>
      </c>
      <c r="BA1164" s="76"/>
      <c r="BB1164" s="76"/>
      <c r="BC1164" s="76"/>
      <c r="BD1164" s="76">
        <f>+BC1164*30000</f>
        <v>0</v>
      </c>
      <c r="BE1164" s="76"/>
      <c r="BF1164" s="76"/>
      <c r="BG1164" s="76"/>
      <c r="BH1164" s="76"/>
      <c r="BI1164" s="76"/>
      <c r="BJ1164" s="76"/>
      <c r="BK1164" s="76"/>
      <c r="BL1164" s="76">
        <f>+BK1164*31500</f>
        <v>0</v>
      </c>
      <c r="BM1164" s="76"/>
      <c r="BN1164" s="76"/>
      <c r="BO1164" s="76"/>
      <c r="BP1164" s="76"/>
      <c r="BQ1164" s="76"/>
      <c r="BR1164" s="76"/>
      <c r="BS1164" s="76"/>
      <c r="BT1164" s="76"/>
      <c r="BU1164" s="76"/>
      <c r="BV1164" s="76"/>
      <c r="BW1164" s="76"/>
      <c r="BX1164" s="76"/>
      <c r="BY1164" s="76"/>
      <c r="BZ1164" s="76"/>
      <c r="CA1164" s="76"/>
      <c r="CB1164" s="76"/>
      <c r="CC1164" s="76"/>
      <c r="CD1164" s="76"/>
      <c r="CE1164" s="76"/>
      <c r="CF1164" s="76">
        <f>+CE1164*28000</f>
        <v>0</v>
      </c>
      <c r="CG1164" s="76"/>
      <c r="CH1164" s="76">
        <f>+CG1164*22500</f>
        <v>0</v>
      </c>
      <c r="CI1164" s="76"/>
      <c r="CJ1164" s="76">
        <f>+CI1164*26000</f>
        <v>0</v>
      </c>
      <c r="CK1164" s="76"/>
      <c r="CL1164" s="76"/>
      <c r="CM1164" s="76"/>
      <c r="CN1164" s="76">
        <f>+CM1164*22000</f>
        <v>0</v>
      </c>
      <c r="CO1164" s="76"/>
      <c r="CP1164" s="76">
        <f>+CO1164*46000</f>
        <v>0</v>
      </c>
      <c r="CQ1164" s="76"/>
      <c r="CR1164" s="76">
        <f>+CQ1164*49000</f>
        <v>0</v>
      </c>
      <c r="CS1164" s="76"/>
      <c r="CT1164" s="76"/>
      <c r="CU1164" s="56">
        <f>AN1164+AP1164+AR1164+AT1164+AV1164+AX1164+AZ1164+BB1164+BD1164+BF1164+BH1164+BJ1164+BL1164+BN1164+BP1164+BR1164+BT1164+BV1164+BX1164+BZ1164+CB1164+CD1164+CF1164+CH1164+CJ1164+CL1164+CN1164+CP1164+CR1164+CT1164</f>
        <v>0</v>
      </c>
      <c r="CV1164" s="76"/>
      <c r="CW1164" s="76">
        <f>+CV1164*1100</f>
        <v>0</v>
      </c>
      <c r="CX1164" s="76"/>
      <c r="CY1164" s="76">
        <f>+CX1164*106250</f>
        <v>0</v>
      </c>
      <c r="CZ1164" s="76"/>
      <c r="DA1164" s="76">
        <f>+CZ1164*34500</f>
        <v>0</v>
      </c>
      <c r="DB1164" s="76"/>
      <c r="DC1164" s="76">
        <f>+DB1164*25000</f>
        <v>0</v>
      </c>
      <c r="DD1164" s="219"/>
      <c r="DE1164" s="219"/>
      <c r="DF1164" s="166"/>
      <c r="DG1164" s="116"/>
      <c r="DH1164" s="117"/>
      <c r="DI1164" s="24"/>
      <c r="DJ1164" s="24"/>
      <c r="DK1164" s="24"/>
      <c r="DL1164" s="24"/>
      <c r="DM1164" s="24"/>
      <c r="DN1164" s="24"/>
      <c r="DO1164" s="24"/>
      <c r="DP1164" s="24"/>
      <c r="DQ1164" s="24"/>
      <c r="DR1164" s="24"/>
      <c r="DS1164" s="24"/>
      <c r="DT1164" s="24"/>
      <c r="DU1164" s="24"/>
    </row>
    <row r="1165" spans="1:125" s="8" customFormat="1" ht="120" x14ac:dyDescent="0.2">
      <c r="A1165" s="77">
        <v>41350</v>
      </c>
      <c r="B1165" s="78" t="s">
        <v>2700</v>
      </c>
      <c r="C1165" s="75" t="s">
        <v>10</v>
      </c>
      <c r="D1165" s="75" t="s">
        <v>2882</v>
      </c>
      <c r="E1165" s="75" t="str">
        <f>VLOOKUP(B1165&amp;C1165,Divipola!$C$2:$F$1138,4,FALSE)</f>
        <v>15212</v>
      </c>
      <c r="F1165" s="87"/>
      <c r="G1165" s="87">
        <v>2</v>
      </c>
      <c r="H1165" s="87"/>
      <c r="I1165" s="87">
        <f>114*5</f>
        <v>570</v>
      </c>
      <c r="J1165" s="87">
        <v>114</v>
      </c>
      <c r="K1165" s="87"/>
      <c r="L1165" s="87">
        <v>114</v>
      </c>
      <c r="M1165" s="87">
        <v>1</v>
      </c>
      <c r="N1165" s="87"/>
      <c r="O1165" s="87"/>
      <c r="P1165" s="87"/>
      <c r="Q1165" s="87"/>
      <c r="R1165" s="87"/>
      <c r="S1165" s="87"/>
      <c r="T1165" s="87"/>
      <c r="U1165" s="88"/>
      <c r="V1165" s="89"/>
      <c r="W1165" s="96">
        <v>0</v>
      </c>
      <c r="X1165" s="71">
        <f>CU1165</f>
        <v>33060000</v>
      </c>
      <c r="Y1165" s="71">
        <f>CY1165</f>
        <v>12032700</v>
      </c>
      <c r="Z1165" s="71">
        <f>DA1165+DC1165+DE1165</f>
        <v>25800000</v>
      </c>
      <c r="AA1165" s="71">
        <f>CW1165</f>
        <v>0</v>
      </c>
      <c r="AB1165" s="71"/>
      <c r="AC1165" s="71">
        <v>0</v>
      </c>
      <c r="AD1165" s="71">
        <f>W1165+X1165+Y1165+Z1165+AA1165+AB1165+AC1165</f>
        <v>70892700</v>
      </c>
      <c r="AE1165" s="72">
        <v>0</v>
      </c>
      <c r="AF1165" s="5"/>
      <c r="AG1165" s="6"/>
      <c r="AH1165" s="27" t="s">
        <v>3390</v>
      </c>
      <c r="AI1165" s="44" t="s">
        <v>3391</v>
      </c>
      <c r="AJ1165" s="26"/>
      <c r="AK1165" s="5" t="s">
        <v>4242</v>
      </c>
      <c r="AL1165" s="82" t="s">
        <v>3991</v>
      </c>
      <c r="AM1165" s="76"/>
      <c r="AN1165" s="76"/>
      <c r="AO1165" s="76"/>
      <c r="AP1165" s="76"/>
      <c r="AQ1165" s="76"/>
      <c r="AR1165" s="76"/>
      <c r="AS1165" s="76"/>
      <c r="AT1165" s="76"/>
      <c r="AU1165" s="76"/>
      <c r="AV1165" s="76"/>
      <c r="AW1165" s="76"/>
      <c r="AX1165" s="76">
        <f>+AW1165*600000</f>
        <v>0</v>
      </c>
      <c r="AY1165" s="86">
        <v>228</v>
      </c>
      <c r="AZ1165" s="86">
        <f>+AY1165*70000</f>
        <v>15960000</v>
      </c>
      <c r="BA1165" s="76"/>
      <c r="BB1165" s="76"/>
      <c r="BC1165" s="76"/>
      <c r="BD1165" s="76">
        <f>+BC1165*30000</f>
        <v>0</v>
      </c>
      <c r="BE1165" s="76"/>
      <c r="BF1165" s="76"/>
      <c r="BG1165" s="76"/>
      <c r="BH1165" s="76"/>
      <c r="BI1165" s="76"/>
      <c r="BJ1165" s="76"/>
      <c r="BK1165" s="76"/>
      <c r="BL1165" s="76">
        <f>+BK1165*31500</f>
        <v>0</v>
      </c>
      <c r="BM1165" s="76"/>
      <c r="BN1165" s="76"/>
      <c r="BO1165" s="76"/>
      <c r="BP1165" s="76"/>
      <c r="BQ1165" s="76"/>
      <c r="BR1165" s="76"/>
      <c r="BS1165" s="76"/>
      <c r="BT1165" s="76"/>
      <c r="BU1165" s="76"/>
      <c r="BV1165" s="76"/>
      <c r="BW1165" s="76"/>
      <c r="BX1165" s="76"/>
      <c r="BY1165" s="76"/>
      <c r="BZ1165" s="76"/>
      <c r="CA1165" s="76"/>
      <c r="CB1165" s="76"/>
      <c r="CC1165" s="76"/>
      <c r="CD1165" s="76"/>
      <c r="CE1165" s="76"/>
      <c r="CF1165" s="76">
        <f>+CE1165*28000</f>
        <v>0</v>
      </c>
      <c r="CG1165" s="76"/>
      <c r="CH1165" s="76">
        <f>+CG1165*22500</f>
        <v>0</v>
      </c>
      <c r="CI1165" s="86">
        <v>228</v>
      </c>
      <c r="CJ1165" s="86">
        <f>+CI1165*26000</f>
        <v>5928000</v>
      </c>
      <c r="CK1165" s="76"/>
      <c r="CL1165" s="76"/>
      <c r="CM1165" s="76"/>
      <c r="CN1165" s="76">
        <f>+CM1165*22000</f>
        <v>0</v>
      </c>
      <c r="CO1165" s="86">
        <v>114</v>
      </c>
      <c r="CP1165" s="86">
        <f>+CO1165*46000</f>
        <v>5244000</v>
      </c>
      <c r="CQ1165" s="86">
        <v>114</v>
      </c>
      <c r="CR1165" s="86">
        <f>+CQ1165*52000</f>
        <v>5928000</v>
      </c>
      <c r="CS1165" s="76"/>
      <c r="CT1165" s="76"/>
      <c r="CU1165" s="56">
        <f>AN1165+AP1165+AR1165+AT1165+AV1165+AX1165+AZ1165+BB1165+BD1165+BF1165+BH1165+BJ1165+BL1165+BN1165+BP1165+BR1165+BT1165+BV1165+BX1165+BZ1165+CB1165+CD1165+CF1165+CH1165+CJ1165+CL1165+CN1165+CP1165+CR1165+CT1165</f>
        <v>33060000</v>
      </c>
      <c r="CV1165" s="76"/>
      <c r="CW1165" s="76">
        <f>+CV1165*1100</f>
        <v>0</v>
      </c>
      <c r="CX1165" s="86">
        <v>114</v>
      </c>
      <c r="CY1165" s="86">
        <f>+CX1165*105550</f>
        <v>12032700</v>
      </c>
      <c r="CZ1165" s="76"/>
      <c r="DA1165" s="76">
        <f>+CZ1165*34500</f>
        <v>0</v>
      </c>
      <c r="DB1165" s="86">
        <v>1000</v>
      </c>
      <c r="DC1165" s="86">
        <f>+DB1165*25000+4000*200</f>
        <v>25800000</v>
      </c>
      <c r="DD1165" s="219"/>
      <c r="DE1165" s="219"/>
      <c r="DF1165" s="166"/>
      <c r="DG1165" s="134" t="s">
        <v>5872</v>
      </c>
      <c r="DH1165" s="117"/>
      <c r="DI1165" s="24"/>
      <c r="DJ1165" s="24"/>
      <c r="DK1165" s="24"/>
      <c r="DL1165" s="24"/>
      <c r="DM1165" s="24"/>
      <c r="DN1165" s="24"/>
      <c r="DO1165" s="24"/>
      <c r="DP1165" s="24"/>
      <c r="DQ1165" s="24"/>
      <c r="DR1165" s="24"/>
      <c r="DS1165" s="24"/>
      <c r="DT1165" s="24"/>
      <c r="DU1165" s="24"/>
    </row>
    <row r="1166" spans="1:125" s="8" customFormat="1" ht="132" x14ac:dyDescent="0.2">
      <c r="A1166" s="77">
        <v>41350</v>
      </c>
      <c r="B1166" s="208" t="s">
        <v>2087</v>
      </c>
      <c r="C1166" s="354" t="s">
        <v>1352</v>
      </c>
      <c r="D1166" s="75" t="s">
        <v>3051</v>
      </c>
      <c r="E1166" s="75" t="str">
        <f>VLOOKUP(B1166&amp;C1166,Divipola!$C$2:$F$1138,4,FALSE)</f>
        <v>18785</v>
      </c>
      <c r="F1166" s="87"/>
      <c r="G1166" s="87"/>
      <c r="H1166" s="87"/>
      <c r="I1166" s="87">
        <v>1100</v>
      </c>
      <c r="J1166" s="87">
        <v>220</v>
      </c>
      <c r="K1166" s="87">
        <v>2</v>
      </c>
      <c r="L1166" s="87">
        <v>40</v>
      </c>
      <c r="M1166" s="87"/>
      <c r="N1166" s="87"/>
      <c r="O1166" s="87"/>
      <c r="P1166" s="87"/>
      <c r="Q1166" s="87"/>
      <c r="R1166" s="87"/>
      <c r="S1166" s="87"/>
      <c r="T1166" s="87"/>
      <c r="U1166" s="88"/>
      <c r="V1166" s="89"/>
      <c r="W1166" s="96">
        <v>0</v>
      </c>
      <c r="X1166" s="71">
        <f>CU1166</f>
        <v>52399427.200000003</v>
      </c>
      <c r="Y1166" s="71">
        <f>CY1166</f>
        <v>23141914.400000002</v>
      </c>
      <c r="Z1166" s="71">
        <f>DA1166+DC1166+DE1166</f>
        <v>62799094</v>
      </c>
      <c r="AA1166" s="71">
        <f>CW1166</f>
        <v>0</v>
      </c>
      <c r="AB1166" s="71"/>
      <c r="AC1166" s="71">
        <v>0</v>
      </c>
      <c r="AD1166" s="71">
        <f>W1166+X1166+Y1166+Z1166+AA1166+AB1166+AC1166</f>
        <v>138340435.60000002</v>
      </c>
      <c r="AE1166" s="72">
        <v>0</v>
      </c>
      <c r="AF1166" s="5"/>
      <c r="AG1166" s="6"/>
      <c r="AH1166" s="27" t="s">
        <v>3390</v>
      </c>
      <c r="AI1166" s="44" t="s">
        <v>3391</v>
      </c>
      <c r="AJ1166" s="26"/>
      <c r="AK1166" s="5"/>
      <c r="AL1166" s="82" t="s">
        <v>3973</v>
      </c>
      <c r="AM1166" s="76"/>
      <c r="AN1166" s="76"/>
      <c r="AO1166" s="76"/>
      <c r="AP1166" s="76"/>
      <c r="AQ1166" s="76"/>
      <c r="AR1166" s="76"/>
      <c r="AS1166" s="76"/>
      <c r="AT1166" s="76"/>
      <c r="AU1166" s="76"/>
      <c r="AV1166" s="76"/>
      <c r="AW1166" s="76"/>
      <c r="AX1166" s="76">
        <f>+AW1166*600000</f>
        <v>0</v>
      </c>
      <c r="AY1166" s="86">
        <v>450</v>
      </c>
      <c r="AZ1166" s="86">
        <f>+AY1166*69999.04</f>
        <v>31499567.999999996</v>
      </c>
      <c r="BA1166" s="76"/>
      <c r="BB1166" s="76"/>
      <c r="BC1166" s="76"/>
      <c r="BD1166" s="76">
        <f>+BC1166*30000</f>
        <v>0</v>
      </c>
      <c r="BE1166" s="76"/>
      <c r="BF1166" s="76"/>
      <c r="BG1166" s="76"/>
      <c r="BH1166" s="76"/>
      <c r="BI1166" s="76"/>
      <c r="BJ1166" s="76"/>
      <c r="BK1166" s="76"/>
      <c r="BL1166" s="76">
        <f>+BK1166*31500</f>
        <v>0</v>
      </c>
      <c r="BM1166" s="76"/>
      <c r="BN1166" s="76"/>
      <c r="BO1166" s="76"/>
      <c r="BP1166" s="76"/>
      <c r="BQ1166" s="76"/>
      <c r="BR1166" s="76"/>
      <c r="BS1166" s="76"/>
      <c r="BT1166" s="76"/>
      <c r="BU1166" s="76"/>
      <c r="BV1166" s="76"/>
      <c r="BW1166" s="76"/>
      <c r="BX1166" s="76"/>
      <c r="BY1166" s="76"/>
      <c r="BZ1166" s="76"/>
      <c r="CA1166" s="76"/>
      <c r="CB1166" s="76"/>
      <c r="CC1166" s="76"/>
      <c r="CD1166" s="76"/>
      <c r="CE1166" s="76"/>
      <c r="CF1166" s="76">
        <f>+CE1166*28000</f>
        <v>0</v>
      </c>
      <c r="CG1166" s="76"/>
      <c r="CH1166" s="76">
        <f>+CG1166*22500</f>
        <v>0</v>
      </c>
      <c r="CI1166" s="76"/>
      <c r="CJ1166" s="76">
        <f>+CI1166*26000</f>
        <v>0</v>
      </c>
      <c r="CK1166" s="76"/>
      <c r="CL1166" s="76"/>
      <c r="CM1166" s="76"/>
      <c r="CN1166" s="76">
        <f>+CM1166*22000</f>
        <v>0</v>
      </c>
      <c r="CO1166" s="86">
        <v>220</v>
      </c>
      <c r="CP1166" s="86">
        <f>+CO1166*45999.8</f>
        <v>10119956</v>
      </c>
      <c r="CQ1166" s="86">
        <v>220</v>
      </c>
      <c r="CR1166" s="86">
        <f>+CQ1166*48999.56</f>
        <v>10779903.199999999</v>
      </c>
      <c r="CS1166" s="76"/>
      <c r="CT1166" s="76"/>
      <c r="CU1166" s="56">
        <f>AN1166+AP1166+AR1166+AT1166+AV1166+AX1166+AZ1166+BB1166+BD1166+BF1166+BH1166+BJ1166+BL1166+BN1166+BP1166+BR1166+BT1166+BV1166+BX1166+BZ1166+CB1166+CD1166+CF1166+CH1166+CJ1166+CL1166+CN1166+CP1166+CR1166+CT1166</f>
        <v>52399427.200000003</v>
      </c>
      <c r="CV1166" s="76"/>
      <c r="CW1166" s="76">
        <f>+CV1166*1100</f>
        <v>0</v>
      </c>
      <c r="CX1166" s="86">
        <v>220</v>
      </c>
      <c r="CY1166" s="86">
        <f>+CX1166*105190.52</f>
        <v>23141914.400000002</v>
      </c>
      <c r="CZ1166" s="86">
        <v>250</v>
      </c>
      <c r="DA1166" s="86">
        <f>+CZ1166*34499.56</f>
        <v>8624890</v>
      </c>
      <c r="DB1166" s="86">
        <v>2100</v>
      </c>
      <c r="DC1166" s="86">
        <f>+DB1166*24999.16+8400*199.52</f>
        <v>54174204</v>
      </c>
      <c r="DD1166" s="219"/>
      <c r="DE1166" s="219"/>
      <c r="DF1166" s="166"/>
      <c r="DG1166" s="134" t="s">
        <v>5164</v>
      </c>
      <c r="DH1166" s="117"/>
      <c r="DI1166" s="24"/>
      <c r="DJ1166" s="24"/>
      <c r="DK1166" s="24"/>
      <c r="DL1166" s="24"/>
      <c r="DM1166" s="24"/>
      <c r="DN1166" s="24"/>
      <c r="DO1166" s="24"/>
      <c r="DP1166" s="24"/>
      <c r="DQ1166" s="24"/>
      <c r="DR1166" s="24"/>
      <c r="DS1166" s="24"/>
      <c r="DT1166" s="24"/>
      <c r="DU1166" s="24"/>
    </row>
    <row r="1167" spans="1:125" s="8" customFormat="1" x14ac:dyDescent="0.2">
      <c r="A1167" s="77">
        <v>41350</v>
      </c>
      <c r="B1167" s="78" t="s">
        <v>2854</v>
      </c>
      <c r="C1167" s="75" t="s">
        <v>1346</v>
      </c>
      <c r="D1167" s="75" t="s">
        <v>3051</v>
      </c>
      <c r="E1167" s="75" t="str">
        <f>VLOOKUP(B1167&amp;C1167,Divipola!$C$2:$F$1138,4,FALSE)</f>
        <v>19050</v>
      </c>
      <c r="F1167" s="163"/>
      <c r="G1167" s="163"/>
      <c r="H1167" s="163"/>
      <c r="I1167" s="163">
        <v>1185</v>
      </c>
      <c r="J1167" s="163">
        <v>237</v>
      </c>
      <c r="K1167" s="163"/>
      <c r="L1167" s="163">
        <v>237</v>
      </c>
      <c r="M1167" s="163"/>
      <c r="N1167" s="163"/>
      <c r="O1167" s="163"/>
      <c r="P1167" s="163"/>
      <c r="Q1167" s="163"/>
      <c r="R1167" s="163"/>
      <c r="S1167" s="163"/>
      <c r="T1167" s="163"/>
      <c r="U1167" s="163"/>
      <c r="V1167" s="134"/>
      <c r="W1167" s="96">
        <v>0</v>
      </c>
      <c r="X1167" s="71">
        <f>CU1167</f>
        <v>0</v>
      </c>
      <c r="Y1167" s="71">
        <f>CY1167</f>
        <v>0</v>
      </c>
      <c r="Z1167" s="71">
        <f>DA1167+DC1167+DE1167</f>
        <v>0</v>
      </c>
      <c r="AA1167" s="71">
        <f>CW1167</f>
        <v>0</v>
      </c>
      <c r="AB1167" s="71"/>
      <c r="AC1167" s="71">
        <v>0</v>
      </c>
      <c r="AD1167" s="71">
        <f>W1167+X1167+Y1167+Z1167+AA1167+AB1167+AC1167</f>
        <v>0</v>
      </c>
      <c r="AE1167" s="72">
        <v>0</v>
      </c>
      <c r="AF1167" s="5"/>
      <c r="AG1167" s="6"/>
      <c r="AH1167" s="27" t="s">
        <v>3390</v>
      </c>
      <c r="AI1167" s="44" t="s">
        <v>3393</v>
      </c>
      <c r="AJ1167" s="26"/>
      <c r="AK1167" s="5"/>
      <c r="AL1167" s="82" t="s">
        <v>4393</v>
      </c>
      <c r="AM1167" s="76"/>
      <c r="AN1167" s="76"/>
      <c r="AO1167" s="76"/>
      <c r="AP1167" s="76"/>
      <c r="AQ1167" s="76"/>
      <c r="AR1167" s="76"/>
      <c r="AS1167" s="76"/>
      <c r="AT1167" s="76"/>
      <c r="AU1167" s="76"/>
      <c r="AV1167" s="76"/>
      <c r="AW1167" s="76"/>
      <c r="AX1167" s="76">
        <f>+AW1167*600000</f>
        <v>0</v>
      </c>
      <c r="AY1167" s="76"/>
      <c r="AZ1167" s="76">
        <f>+AY1167*70000</f>
        <v>0</v>
      </c>
      <c r="BA1167" s="76"/>
      <c r="BB1167" s="76"/>
      <c r="BC1167" s="76"/>
      <c r="BD1167" s="76">
        <f>+BC1167*30000</f>
        <v>0</v>
      </c>
      <c r="BE1167" s="76"/>
      <c r="BF1167" s="76"/>
      <c r="BG1167" s="76"/>
      <c r="BH1167" s="76"/>
      <c r="BI1167" s="76"/>
      <c r="BJ1167" s="76"/>
      <c r="BK1167" s="76"/>
      <c r="BL1167" s="76">
        <f>+BK1167*31500</f>
        <v>0</v>
      </c>
      <c r="BM1167" s="76"/>
      <c r="BN1167" s="76"/>
      <c r="BO1167" s="76"/>
      <c r="BP1167" s="76"/>
      <c r="BQ1167" s="76"/>
      <c r="BR1167" s="76"/>
      <c r="BS1167" s="76"/>
      <c r="BT1167" s="76"/>
      <c r="BU1167" s="76"/>
      <c r="BV1167" s="76"/>
      <c r="BW1167" s="76"/>
      <c r="BX1167" s="76"/>
      <c r="BY1167" s="76"/>
      <c r="BZ1167" s="76"/>
      <c r="CA1167" s="76"/>
      <c r="CB1167" s="76"/>
      <c r="CC1167" s="76"/>
      <c r="CD1167" s="76"/>
      <c r="CE1167" s="76"/>
      <c r="CF1167" s="76">
        <f>+CE1167*28000</f>
        <v>0</v>
      </c>
      <c r="CG1167" s="76"/>
      <c r="CH1167" s="76">
        <f>+CG1167*22500</f>
        <v>0</v>
      </c>
      <c r="CI1167" s="76"/>
      <c r="CJ1167" s="76">
        <f>+CI1167*26000</f>
        <v>0</v>
      </c>
      <c r="CK1167" s="76"/>
      <c r="CL1167" s="76"/>
      <c r="CM1167" s="76"/>
      <c r="CN1167" s="76">
        <f>+CM1167*22000</f>
        <v>0</v>
      </c>
      <c r="CO1167" s="76"/>
      <c r="CP1167" s="76">
        <f>+CO1167*46000</f>
        <v>0</v>
      </c>
      <c r="CQ1167" s="76"/>
      <c r="CR1167" s="76">
        <f>+CQ1167*49000</f>
        <v>0</v>
      </c>
      <c r="CS1167" s="76"/>
      <c r="CT1167" s="76"/>
      <c r="CU1167" s="56">
        <f>AN1167+AP1167+AR1167+AT1167+AV1167+AX1167+AZ1167+BB1167+BD1167+BF1167+BH1167+BJ1167+BL1167+BN1167+BP1167+BR1167+BT1167+BV1167+BX1167+BZ1167+CB1167+CD1167+CF1167+CH1167+CJ1167+CL1167+CN1167+CP1167+CR1167+CT1167</f>
        <v>0</v>
      </c>
      <c r="CV1167" s="76"/>
      <c r="CW1167" s="76">
        <f>+CV1167*1100</f>
        <v>0</v>
      </c>
      <c r="CX1167" s="76"/>
      <c r="CY1167" s="76">
        <f>+CX1167*106250</f>
        <v>0</v>
      </c>
      <c r="CZ1167" s="76"/>
      <c r="DA1167" s="76">
        <f>+CZ1167*34500</f>
        <v>0</v>
      </c>
      <c r="DB1167" s="76"/>
      <c r="DC1167" s="76">
        <f>+DB1167*25000</f>
        <v>0</v>
      </c>
      <c r="DD1167" s="219"/>
      <c r="DE1167" s="219"/>
      <c r="DF1167" s="166"/>
      <c r="DG1167" s="116"/>
      <c r="DH1167" s="117"/>
      <c r="DI1167" s="24"/>
      <c r="DJ1167" s="24"/>
      <c r="DK1167" s="24"/>
      <c r="DL1167" s="24"/>
      <c r="DM1167" s="24"/>
      <c r="DN1167" s="24"/>
      <c r="DO1167" s="24"/>
      <c r="DP1167" s="24"/>
      <c r="DQ1167" s="24"/>
      <c r="DR1167" s="24"/>
      <c r="DS1167" s="24"/>
      <c r="DT1167" s="24"/>
      <c r="DU1167" s="24"/>
    </row>
    <row r="1168" spans="1:125" s="8" customFormat="1" ht="132" x14ac:dyDescent="0.2">
      <c r="A1168" s="353">
        <v>41350</v>
      </c>
      <c r="B1168" s="352" t="s">
        <v>2772</v>
      </c>
      <c r="C1168" s="354" t="s">
        <v>1108</v>
      </c>
      <c r="D1168" s="75" t="s">
        <v>3051</v>
      </c>
      <c r="E1168" s="75" t="str">
        <f>VLOOKUP(B1168&amp;C1168,Divipola!$C$2:$F$1138,4,FALSE)</f>
        <v>25430</v>
      </c>
      <c r="F1168" s="87"/>
      <c r="G1168" s="87"/>
      <c r="H1168" s="87"/>
      <c r="I1168" s="87">
        <v>60</v>
      </c>
      <c r="J1168" s="87">
        <v>12</v>
      </c>
      <c r="K1168" s="87"/>
      <c r="L1168" s="87">
        <v>12</v>
      </c>
      <c r="M1168" s="87"/>
      <c r="N1168" s="87"/>
      <c r="O1168" s="87"/>
      <c r="P1168" s="87"/>
      <c r="Q1168" s="87">
        <v>1</v>
      </c>
      <c r="R1168" s="87"/>
      <c r="S1168" s="87">
        <v>1</v>
      </c>
      <c r="T1168" s="87"/>
      <c r="U1168" s="88"/>
      <c r="V1168" s="89"/>
      <c r="W1168" s="96">
        <v>0</v>
      </c>
      <c r="X1168" s="71">
        <f>CU1168</f>
        <v>0</v>
      </c>
      <c r="Y1168" s="71">
        <f>CY1168</f>
        <v>0</v>
      </c>
      <c r="Z1168" s="71">
        <f>DA1168+DC1168+DE1168</f>
        <v>0</v>
      </c>
      <c r="AA1168" s="71">
        <f>CW1168</f>
        <v>0</v>
      </c>
      <c r="AB1168" s="71"/>
      <c r="AC1168" s="71">
        <v>0</v>
      </c>
      <c r="AD1168" s="71">
        <f>W1168+X1168+Y1168+Z1168+AA1168+AB1168+AC1168</f>
        <v>0</v>
      </c>
      <c r="AE1168" s="72">
        <v>0</v>
      </c>
      <c r="AF1168" s="5"/>
      <c r="AG1168" s="6"/>
      <c r="AH1168" s="27" t="s">
        <v>3392</v>
      </c>
      <c r="AI1168" s="44" t="s">
        <v>3393</v>
      </c>
      <c r="AJ1168" s="26"/>
      <c r="AK1168" s="5"/>
      <c r="AL1168" s="82" t="s">
        <v>3983</v>
      </c>
      <c r="AM1168" s="76"/>
      <c r="AN1168" s="76"/>
      <c r="AO1168" s="76"/>
      <c r="AP1168" s="76"/>
      <c r="AQ1168" s="76"/>
      <c r="AR1168" s="76"/>
      <c r="AS1168" s="76"/>
      <c r="AT1168" s="76"/>
      <c r="AU1168" s="76"/>
      <c r="AV1168" s="76"/>
      <c r="AW1168" s="76"/>
      <c r="AX1168" s="76">
        <f>+AW1168*600000</f>
        <v>0</v>
      </c>
      <c r="AY1168" s="76"/>
      <c r="AZ1168" s="76">
        <f>+AY1168*70000</f>
        <v>0</v>
      </c>
      <c r="BA1168" s="76"/>
      <c r="BB1168" s="76"/>
      <c r="BC1168" s="76"/>
      <c r="BD1168" s="76">
        <f>+BC1168*30000</f>
        <v>0</v>
      </c>
      <c r="BE1168" s="76"/>
      <c r="BF1168" s="76"/>
      <c r="BG1168" s="76"/>
      <c r="BH1168" s="76"/>
      <c r="BI1168" s="76"/>
      <c r="BJ1168" s="76"/>
      <c r="BK1168" s="76"/>
      <c r="BL1168" s="76">
        <f>+BK1168*31500</f>
        <v>0</v>
      </c>
      <c r="BM1168" s="76"/>
      <c r="BN1168" s="76"/>
      <c r="BO1168" s="76"/>
      <c r="BP1168" s="76"/>
      <c r="BQ1168" s="76"/>
      <c r="BR1168" s="76"/>
      <c r="BS1168" s="76"/>
      <c r="BT1168" s="76"/>
      <c r="BU1168" s="76"/>
      <c r="BV1168" s="76"/>
      <c r="BW1168" s="76"/>
      <c r="BX1168" s="76"/>
      <c r="BY1168" s="76"/>
      <c r="BZ1168" s="76"/>
      <c r="CA1168" s="76"/>
      <c r="CB1168" s="76"/>
      <c r="CC1168" s="76"/>
      <c r="CD1168" s="76"/>
      <c r="CE1168" s="76"/>
      <c r="CF1168" s="76">
        <f>+CE1168*28000</f>
        <v>0</v>
      </c>
      <c r="CG1168" s="76"/>
      <c r="CH1168" s="76">
        <f>+CG1168*22500</f>
        <v>0</v>
      </c>
      <c r="CI1168" s="76"/>
      <c r="CJ1168" s="76">
        <f>+CI1168*26000</f>
        <v>0</v>
      </c>
      <c r="CK1168" s="76"/>
      <c r="CL1168" s="76"/>
      <c r="CM1168" s="76"/>
      <c r="CN1168" s="76">
        <f>+CM1168*22000</f>
        <v>0</v>
      </c>
      <c r="CO1168" s="76"/>
      <c r="CP1168" s="76">
        <f>+CO1168*46000</f>
        <v>0</v>
      </c>
      <c r="CQ1168" s="76"/>
      <c r="CR1168" s="76">
        <f>+CQ1168*49000</f>
        <v>0</v>
      </c>
      <c r="CS1168" s="76"/>
      <c r="CT1168" s="76"/>
      <c r="CU1168" s="56">
        <f>AN1168+AP1168+AR1168+AT1168+AV1168+AX1168+AZ1168+BB1168+BD1168+BF1168+BH1168+BJ1168+BL1168+BN1168+BP1168+BR1168+BT1168+BV1168+BX1168+BZ1168+CB1168+CD1168+CF1168+CH1168+CJ1168+CL1168+CN1168+CP1168+CR1168+CT1168</f>
        <v>0</v>
      </c>
      <c r="CV1168" s="76"/>
      <c r="CW1168" s="76">
        <f>+CV1168*1100</f>
        <v>0</v>
      </c>
      <c r="CX1168" s="76"/>
      <c r="CY1168" s="76">
        <f>+CX1168*106250</f>
        <v>0</v>
      </c>
      <c r="CZ1168" s="76"/>
      <c r="DA1168" s="76">
        <f>+CZ1168*34500</f>
        <v>0</v>
      </c>
      <c r="DB1168" s="76"/>
      <c r="DC1168" s="76">
        <f>+DB1168*25000</f>
        <v>0</v>
      </c>
      <c r="DD1168" s="219"/>
      <c r="DE1168" s="219"/>
      <c r="DF1168" s="166"/>
      <c r="DG1168" s="116"/>
      <c r="DH1168" s="117"/>
      <c r="DI1168" s="24"/>
      <c r="DJ1168" s="24"/>
      <c r="DK1168" s="24"/>
      <c r="DL1168" s="24"/>
      <c r="DM1168" s="24"/>
      <c r="DN1168" s="24"/>
      <c r="DO1168" s="24"/>
      <c r="DP1168" s="24"/>
      <c r="DQ1168" s="24"/>
      <c r="DR1168" s="24"/>
      <c r="DS1168" s="24"/>
      <c r="DT1168" s="24"/>
      <c r="DU1168" s="24"/>
    </row>
    <row r="1169" spans="1:125" s="8" customFormat="1" ht="72" x14ac:dyDescent="0.2">
      <c r="A1169" s="77">
        <v>41350</v>
      </c>
      <c r="B1169" s="78" t="s">
        <v>2772</v>
      </c>
      <c r="C1169" s="75" t="s">
        <v>2690</v>
      </c>
      <c r="D1169" s="75" t="s">
        <v>3051</v>
      </c>
      <c r="E1169" s="75" t="str">
        <f>VLOOKUP(B1169&amp;C1169,Divipola!$C$2:$F$1138,4,FALSE)</f>
        <v>25513</v>
      </c>
      <c r="F1169" s="87"/>
      <c r="G1169" s="87"/>
      <c r="H1169" s="87"/>
      <c r="I1169" s="87">
        <v>15</v>
      </c>
      <c r="J1169" s="87">
        <v>3</v>
      </c>
      <c r="K1169" s="87"/>
      <c r="L1169" s="87">
        <v>3</v>
      </c>
      <c r="M1169" s="87"/>
      <c r="N1169" s="87"/>
      <c r="O1169" s="87"/>
      <c r="P1169" s="87"/>
      <c r="Q1169" s="87"/>
      <c r="R1169" s="87"/>
      <c r="S1169" s="87"/>
      <c r="T1169" s="87"/>
      <c r="U1169" s="88"/>
      <c r="V1169" s="89"/>
      <c r="W1169" s="96">
        <v>0</v>
      </c>
      <c r="X1169" s="71">
        <f>CU1169</f>
        <v>0</v>
      </c>
      <c r="Y1169" s="71">
        <f>CY1169</f>
        <v>0</v>
      </c>
      <c r="Z1169" s="71">
        <f>DA1169+DC1169+DE1169</f>
        <v>0</v>
      </c>
      <c r="AA1169" s="71">
        <f>CW1169</f>
        <v>0</v>
      </c>
      <c r="AB1169" s="71"/>
      <c r="AC1169" s="71">
        <v>0</v>
      </c>
      <c r="AD1169" s="71">
        <f>W1169+X1169+Y1169+Z1169+AA1169+AB1169+AC1169</f>
        <v>0</v>
      </c>
      <c r="AE1169" s="72">
        <v>0</v>
      </c>
      <c r="AF1169" s="5"/>
      <c r="AG1169" s="6"/>
      <c r="AH1169" s="27" t="s">
        <v>3392</v>
      </c>
      <c r="AI1169" s="44" t="s">
        <v>3393</v>
      </c>
      <c r="AJ1169" s="26"/>
      <c r="AK1169" s="5"/>
      <c r="AL1169" s="82" t="s">
        <v>3997</v>
      </c>
      <c r="AM1169" s="76"/>
      <c r="AN1169" s="76"/>
      <c r="AO1169" s="76"/>
      <c r="AP1169" s="76"/>
      <c r="AQ1169" s="76"/>
      <c r="AR1169" s="76"/>
      <c r="AS1169" s="76"/>
      <c r="AT1169" s="76"/>
      <c r="AU1169" s="76"/>
      <c r="AV1169" s="76"/>
      <c r="AW1169" s="76"/>
      <c r="AX1169" s="76">
        <f>+AW1169*600000</f>
        <v>0</v>
      </c>
      <c r="AY1169" s="76"/>
      <c r="AZ1169" s="76">
        <f>+AY1169*70000</f>
        <v>0</v>
      </c>
      <c r="BA1169" s="76"/>
      <c r="BB1169" s="76"/>
      <c r="BC1169" s="76"/>
      <c r="BD1169" s="76">
        <f>+BC1169*30000</f>
        <v>0</v>
      </c>
      <c r="BE1169" s="76"/>
      <c r="BF1169" s="76"/>
      <c r="BG1169" s="76"/>
      <c r="BH1169" s="76"/>
      <c r="BI1169" s="76"/>
      <c r="BJ1169" s="76"/>
      <c r="BK1169" s="76"/>
      <c r="BL1169" s="76">
        <f>+BK1169*31500</f>
        <v>0</v>
      </c>
      <c r="BM1169" s="76"/>
      <c r="BN1169" s="76"/>
      <c r="BO1169" s="76"/>
      <c r="BP1169" s="76"/>
      <c r="BQ1169" s="76"/>
      <c r="BR1169" s="76"/>
      <c r="BS1169" s="76"/>
      <c r="BT1169" s="76"/>
      <c r="BU1169" s="76"/>
      <c r="BV1169" s="76"/>
      <c r="BW1169" s="76"/>
      <c r="BX1169" s="76"/>
      <c r="BY1169" s="76"/>
      <c r="BZ1169" s="76"/>
      <c r="CA1169" s="76"/>
      <c r="CB1169" s="76"/>
      <c r="CC1169" s="76"/>
      <c r="CD1169" s="76"/>
      <c r="CE1169" s="76"/>
      <c r="CF1169" s="76">
        <f>+CE1169*28000</f>
        <v>0</v>
      </c>
      <c r="CG1169" s="76"/>
      <c r="CH1169" s="76">
        <f>+CG1169*22500</f>
        <v>0</v>
      </c>
      <c r="CI1169" s="76"/>
      <c r="CJ1169" s="76">
        <f>+CI1169*26000</f>
        <v>0</v>
      </c>
      <c r="CK1169" s="76"/>
      <c r="CL1169" s="76"/>
      <c r="CM1169" s="76"/>
      <c r="CN1169" s="76">
        <f>+CM1169*22000</f>
        <v>0</v>
      </c>
      <c r="CO1169" s="76"/>
      <c r="CP1169" s="76">
        <f>+CO1169*46000</f>
        <v>0</v>
      </c>
      <c r="CQ1169" s="76"/>
      <c r="CR1169" s="76">
        <f>+CQ1169*49000</f>
        <v>0</v>
      </c>
      <c r="CS1169" s="76"/>
      <c r="CT1169" s="76"/>
      <c r="CU1169" s="56">
        <f>AN1169+AP1169+AR1169+AT1169+AV1169+AX1169+AZ1169+BB1169+BD1169+BF1169+BH1169+BJ1169+BL1169+BN1169+BP1169+BR1169+BT1169+BV1169+BX1169+BZ1169+CB1169+CD1169+CF1169+CH1169+CJ1169+CL1169+CN1169+CP1169+CR1169+CT1169</f>
        <v>0</v>
      </c>
      <c r="CV1169" s="76"/>
      <c r="CW1169" s="76">
        <f>+CV1169*1100</f>
        <v>0</v>
      </c>
      <c r="CX1169" s="76"/>
      <c r="CY1169" s="76">
        <f>+CX1169*106250</f>
        <v>0</v>
      </c>
      <c r="CZ1169" s="76"/>
      <c r="DA1169" s="76">
        <f>+CZ1169*34500</f>
        <v>0</v>
      </c>
      <c r="DB1169" s="76"/>
      <c r="DC1169" s="76">
        <f>+DB1169*25000</f>
        <v>0</v>
      </c>
      <c r="DD1169" s="219"/>
      <c r="DE1169" s="219"/>
      <c r="DF1169" s="166"/>
      <c r="DG1169" s="116"/>
      <c r="DH1169" s="117"/>
      <c r="DI1169" s="24"/>
      <c r="DJ1169" s="24"/>
      <c r="DK1169" s="24"/>
      <c r="DL1169" s="24"/>
      <c r="DM1169" s="24"/>
      <c r="DN1169" s="24"/>
      <c r="DO1169" s="24"/>
      <c r="DP1169" s="24"/>
      <c r="DQ1169" s="24"/>
      <c r="DR1169" s="24"/>
      <c r="DS1169" s="24"/>
      <c r="DT1169" s="24"/>
      <c r="DU1169" s="24"/>
    </row>
    <row r="1170" spans="1:125" s="8" customFormat="1" ht="96" x14ac:dyDescent="0.2">
      <c r="A1170" s="77">
        <v>41350</v>
      </c>
      <c r="B1170" s="78" t="s">
        <v>2772</v>
      </c>
      <c r="C1170" s="75" t="s">
        <v>2030</v>
      </c>
      <c r="D1170" s="84" t="s">
        <v>3088</v>
      </c>
      <c r="E1170" s="75" t="str">
        <f>VLOOKUP(B1170&amp;C1170,Divipola!$C$2:$F$1138,4,FALSE)</f>
        <v>25754</v>
      </c>
      <c r="F1170" s="87"/>
      <c r="G1170" s="87"/>
      <c r="H1170" s="87"/>
      <c r="I1170" s="87">
        <v>6</v>
      </c>
      <c r="J1170" s="87">
        <v>1</v>
      </c>
      <c r="K1170" s="87"/>
      <c r="L1170" s="87">
        <v>1</v>
      </c>
      <c r="M1170" s="87"/>
      <c r="N1170" s="87"/>
      <c r="O1170" s="87"/>
      <c r="P1170" s="87"/>
      <c r="Q1170" s="87"/>
      <c r="R1170" s="87"/>
      <c r="S1170" s="87"/>
      <c r="T1170" s="87"/>
      <c r="U1170" s="88"/>
      <c r="V1170" s="89"/>
      <c r="W1170" s="96">
        <v>0</v>
      </c>
      <c r="X1170" s="71">
        <f>CU1170</f>
        <v>0</v>
      </c>
      <c r="Y1170" s="71">
        <f>CY1170</f>
        <v>0</v>
      </c>
      <c r="Z1170" s="71">
        <f>DA1170+DC1170+DE1170</f>
        <v>0</v>
      </c>
      <c r="AA1170" s="71">
        <f>CW1170</f>
        <v>0</v>
      </c>
      <c r="AB1170" s="71"/>
      <c r="AC1170" s="71">
        <v>0</v>
      </c>
      <c r="AD1170" s="71">
        <f>W1170+X1170+Y1170+Z1170+AA1170+AB1170+AC1170</f>
        <v>0</v>
      </c>
      <c r="AE1170" s="72">
        <v>0</v>
      </c>
      <c r="AF1170" s="5"/>
      <c r="AG1170" s="6"/>
      <c r="AH1170" s="27" t="s">
        <v>3392</v>
      </c>
      <c r="AI1170" s="44" t="s">
        <v>3393</v>
      </c>
      <c r="AJ1170" s="26"/>
      <c r="AK1170" s="5"/>
      <c r="AL1170" s="82" t="s">
        <v>3984</v>
      </c>
      <c r="AM1170" s="76"/>
      <c r="AN1170" s="76"/>
      <c r="AO1170" s="76"/>
      <c r="AP1170" s="76"/>
      <c r="AQ1170" s="76"/>
      <c r="AR1170" s="76"/>
      <c r="AS1170" s="76"/>
      <c r="AT1170" s="76"/>
      <c r="AU1170" s="76"/>
      <c r="AV1170" s="76"/>
      <c r="AW1170" s="76"/>
      <c r="AX1170" s="76">
        <f>+AW1170*600000</f>
        <v>0</v>
      </c>
      <c r="AY1170" s="76"/>
      <c r="AZ1170" s="76">
        <f>+AY1170*70000</f>
        <v>0</v>
      </c>
      <c r="BA1170" s="76"/>
      <c r="BB1170" s="76"/>
      <c r="BC1170" s="76"/>
      <c r="BD1170" s="76">
        <f>+BC1170*30000</f>
        <v>0</v>
      </c>
      <c r="BE1170" s="76"/>
      <c r="BF1170" s="76"/>
      <c r="BG1170" s="76"/>
      <c r="BH1170" s="76"/>
      <c r="BI1170" s="76"/>
      <c r="BJ1170" s="76"/>
      <c r="BK1170" s="76"/>
      <c r="BL1170" s="76">
        <f>+BK1170*31500</f>
        <v>0</v>
      </c>
      <c r="BM1170" s="76"/>
      <c r="BN1170" s="76"/>
      <c r="BO1170" s="76"/>
      <c r="BP1170" s="76"/>
      <c r="BQ1170" s="76"/>
      <c r="BR1170" s="76"/>
      <c r="BS1170" s="76"/>
      <c r="BT1170" s="76"/>
      <c r="BU1170" s="76"/>
      <c r="BV1170" s="76"/>
      <c r="BW1170" s="76"/>
      <c r="BX1170" s="76"/>
      <c r="BY1170" s="76"/>
      <c r="BZ1170" s="76"/>
      <c r="CA1170" s="76"/>
      <c r="CB1170" s="76"/>
      <c r="CC1170" s="76"/>
      <c r="CD1170" s="76"/>
      <c r="CE1170" s="76"/>
      <c r="CF1170" s="76">
        <f>+CE1170*28000</f>
        <v>0</v>
      </c>
      <c r="CG1170" s="76"/>
      <c r="CH1170" s="76">
        <f>+CG1170*22500</f>
        <v>0</v>
      </c>
      <c r="CI1170" s="76"/>
      <c r="CJ1170" s="76">
        <f>+CI1170*26000</f>
        <v>0</v>
      </c>
      <c r="CK1170" s="76"/>
      <c r="CL1170" s="76"/>
      <c r="CM1170" s="76"/>
      <c r="CN1170" s="76">
        <f>+CM1170*22000</f>
        <v>0</v>
      </c>
      <c r="CO1170" s="76"/>
      <c r="CP1170" s="76">
        <f>+CO1170*46000</f>
        <v>0</v>
      </c>
      <c r="CQ1170" s="76"/>
      <c r="CR1170" s="76">
        <f>+CQ1170*49000</f>
        <v>0</v>
      </c>
      <c r="CS1170" s="76"/>
      <c r="CT1170" s="76"/>
      <c r="CU1170" s="56">
        <f>AN1170+AP1170+AR1170+AT1170+AV1170+AX1170+AZ1170+BB1170+BD1170+BF1170+BH1170+BJ1170+BL1170+BN1170+BP1170+BR1170+BT1170+BV1170+BX1170+BZ1170+CB1170+CD1170+CF1170+CH1170+CJ1170+CL1170+CN1170+CP1170+CR1170+CT1170</f>
        <v>0</v>
      </c>
      <c r="CV1170" s="76"/>
      <c r="CW1170" s="76">
        <f>+CV1170*1100</f>
        <v>0</v>
      </c>
      <c r="CX1170" s="76"/>
      <c r="CY1170" s="76">
        <f>+CX1170*106250</f>
        <v>0</v>
      </c>
      <c r="CZ1170" s="76"/>
      <c r="DA1170" s="76">
        <f>+CZ1170*34500</f>
        <v>0</v>
      </c>
      <c r="DB1170" s="76"/>
      <c r="DC1170" s="76">
        <f>+DB1170*25000</f>
        <v>0</v>
      </c>
      <c r="DD1170" s="219"/>
      <c r="DE1170" s="219"/>
      <c r="DF1170" s="166"/>
      <c r="DG1170" s="116"/>
      <c r="DH1170" s="117"/>
      <c r="DI1170" s="24"/>
      <c r="DJ1170" s="24"/>
      <c r="DK1170" s="24"/>
      <c r="DL1170" s="24"/>
      <c r="DM1170" s="24"/>
      <c r="DN1170" s="24"/>
      <c r="DO1170" s="24"/>
      <c r="DP1170" s="24"/>
      <c r="DQ1170" s="24"/>
      <c r="DR1170" s="24"/>
      <c r="DS1170" s="24"/>
      <c r="DT1170" s="24"/>
      <c r="DU1170" s="24"/>
    </row>
    <row r="1171" spans="1:125" s="8" customFormat="1" ht="156" x14ac:dyDescent="0.2">
      <c r="A1171" s="77">
        <v>41350</v>
      </c>
      <c r="B1171" s="78" t="s">
        <v>2772</v>
      </c>
      <c r="C1171" s="75" t="s">
        <v>2051</v>
      </c>
      <c r="D1171" s="75" t="s">
        <v>3051</v>
      </c>
      <c r="E1171" s="75" t="str">
        <f>VLOOKUP(B1171&amp;C1171,Divipola!$C$2:$F$1138,4,FALSE)</f>
        <v>25799</v>
      </c>
      <c r="F1171" s="87"/>
      <c r="G1171" s="87"/>
      <c r="H1171" s="87"/>
      <c r="I1171" s="87">
        <v>100</v>
      </c>
      <c r="J1171" s="87">
        <v>20</v>
      </c>
      <c r="K1171" s="87"/>
      <c r="L1171" s="87">
        <v>20</v>
      </c>
      <c r="M1171" s="87"/>
      <c r="N1171" s="87"/>
      <c r="O1171" s="87"/>
      <c r="P1171" s="87"/>
      <c r="Q1171" s="87"/>
      <c r="R1171" s="87"/>
      <c r="S1171" s="87">
        <v>1</v>
      </c>
      <c r="T1171" s="87"/>
      <c r="U1171" s="88"/>
      <c r="V1171" s="89"/>
      <c r="W1171" s="96">
        <v>0</v>
      </c>
      <c r="X1171" s="71">
        <f>CU1171</f>
        <v>0</v>
      </c>
      <c r="Y1171" s="71">
        <f>CY1171</f>
        <v>0</v>
      </c>
      <c r="Z1171" s="71">
        <f>DA1171+DC1171+DE1171</f>
        <v>0</v>
      </c>
      <c r="AA1171" s="71">
        <f>CW1171</f>
        <v>0</v>
      </c>
      <c r="AB1171" s="71"/>
      <c r="AC1171" s="71">
        <v>0</v>
      </c>
      <c r="AD1171" s="71">
        <f>W1171+X1171+Y1171+Z1171+AA1171+AB1171+AC1171</f>
        <v>0</v>
      </c>
      <c r="AE1171" s="72">
        <v>0</v>
      </c>
      <c r="AF1171" s="5"/>
      <c r="AG1171" s="6"/>
      <c r="AH1171" s="27" t="s">
        <v>3392</v>
      </c>
      <c r="AI1171" s="44" t="s">
        <v>3393</v>
      </c>
      <c r="AJ1171" s="26"/>
      <c r="AK1171" s="5"/>
      <c r="AL1171" s="82" t="s">
        <v>3998</v>
      </c>
      <c r="AM1171" s="76"/>
      <c r="AN1171" s="76"/>
      <c r="AO1171" s="76"/>
      <c r="AP1171" s="76"/>
      <c r="AQ1171" s="76"/>
      <c r="AR1171" s="76"/>
      <c r="AS1171" s="76"/>
      <c r="AT1171" s="76"/>
      <c r="AU1171" s="76"/>
      <c r="AV1171" s="76"/>
      <c r="AW1171" s="76"/>
      <c r="AX1171" s="76">
        <f>+AW1171*600000</f>
        <v>0</v>
      </c>
      <c r="AY1171" s="76"/>
      <c r="AZ1171" s="76">
        <f>+AY1171*70000</f>
        <v>0</v>
      </c>
      <c r="BA1171" s="76"/>
      <c r="BB1171" s="76"/>
      <c r="BC1171" s="76"/>
      <c r="BD1171" s="76">
        <f>+BC1171*30000</f>
        <v>0</v>
      </c>
      <c r="BE1171" s="76"/>
      <c r="BF1171" s="76"/>
      <c r="BG1171" s="76"/>
      <c r="BH1171" s="76"/>
      <c r="BI1171" s="76"/>
      <c r="BJ1171" s="76"/>
      <c r="BK1171" s="76"/>
      <c r="BL1171" s="76">
        <f>+BK1171*31500</f>
        <v>0</v>
      </c>
      <c r="BM1171" s="76"/>
      <c r="BN1171" s="76"/>
      <c r="BO1171" s="76"/>
      <c r="BP1171" s="76"/>
      <c r="BQ1171" s="76"/>
      <c r="BR1171" s="76"/>
      <c r="BS1171" s="76"/>
      <c r="BT1171" s="76"/>
      <c r="BU1171" s="76"/>
      <c r="BV1171" s="76"/>
      <c r="BW1171" s="76"/>
      <c r="BX1171" s="76"/>
      <c r="BY1171" s="76"/>
      <c r="BZ1171" s="76"/>
      <c r="CA1171" s="76"/>
      <c r="CB1171" s="76"/>
      <c r="CC1171" s="76"/>
      <c r="CD1171" s="76"/>
      <c r="CE1171" s="76"/>
      <c r="CF1171" s="76">
        <f>+CE1171*28000</f>
        <v>0</v>
      </c>
      <c r="CG1171" s="76"/>
      <c r="CH1171" s="76">
        <f>+CG1171*22500</f>
        <v>0</v>
      </c>
      <c r="CI1171" s="76"/>
      <c r="CJ1171" s="76">
        <f>+CI1171*26000</f>
        <v>0</v>
      </c>
      <c r="CK1171" s="76"/>
      <c r="CL1171" s="76"/>
      <c r="CM1171" s="76"/>
      <c r="CN1171" s="76">
        <f>+CM1171*22000</f>
        <v>0</v>
      </c>
      <c r="CO1171" s="76"/>
      <c r="CP1171" s="76">
        <f>+CO1171*46000</f>
        <v>0</v>
      </c>
      <c r="CQ1171" s="76"/>
      <c r="CR1171" s="76">
        <f>+CQ1171*49000</f>
        <v>0</v>
      </c>
      <c r="CS1171" s="76"/>
      <c r="CT1171" s="76"/>
      <c r="CU1171" s="56">
        <f>AN1171+AP1171+AR1171+AT1171+AV1171+AX1171+AZ1171+BB1171+BD1171+BF1171+BH1171+BJ1171+BL1171+BN1171+BP1171+BR1171+BT1171+BV1171+BX1171+BZ1171+CB1171+CD1171+CF1171+CH1171+CJ1171+CL1171+CN1171+CP1171+CR1171+CT1171</f>
        <v>0</v>
      </c>
      <c r="CV1171" s="76"/>
      <c r="CW1171" s="76">
        <f>+CV1171*1100</f>
        <v>0</v>
      </c>
      <c r="CX1171" s="76"/>
      <c r="CY1171" s="76">
        <f>+CX1171*106250</f>
        <v>0</v>
      </c>
      <c r="CZ1171" s="76"/>
      <c r="DA1171" s="76">
        <f>+CZ1171*34500</f>
        <v>0</v>
      </c>
      <c r="DB1171" s="76"/>
      <c r="DC1171" s="76">
        <f>+DB1171*25000</f>
        <v>0</v>
      </c>
      <c r="DD1171" s="219"/>
      <c r="DE1171" s="219"/>
      <c r="DF1171" s="166"/>
      <c r="DG1171" s="116"/>
      <c r="DH1171" s="117"/>
      <c r="DI1171" s="24"/>
      <c r="DJ1171" s="24"/>
      <c r="DK1171" s="24"/>
      <c r="DL1171" s="24"/>
      <c r="DM1171" s="24"/>
      <c r="DN1171" s="24"/>
      <c r="DO1171" s="24"/>
      <c r="DP1171" s="24"/>
      <c r="DQ1171" s="24"/>
      <c r="DR1171" s="24"/>
      <c r="DS1171" s="24"/>
      <c r="DT1171" s="24"/>
      <c r="DU1171" s="24"/>
    </row>
    <row r="1172" spans="1:125" s="8" customFormat="1" ht="72" x14ac:dyDescent="0.2">
      <c r="A1172" s="77">
        <v>41350</v>
      </c>
      <c r="B1172" s="208" t="s">
        <v>2774</v>
      </c>
      <c r="C1172" s="227" t="s">
        <v>284</v>
      </c>
      <c r="D1172" s="84" t="s">
        <v>3088</v>
      </c>
      <c r="E1172" s="75" t="str">
        <f>VLOOKUP(B1172&amp;C1172,Divipola!$C$2:$F$1138,4,FALSE)</f>
        <v>66170</v>
      </c>
      <c r="F1172" s="87"/>
      <c r="G1172" s="87">
        <v>2</v>
      </c>
      <c r="H1172" s="87"/>
      <c r="I1172" s="87">
        <v>2</v>
      </c>
      <c r="J1172" s="87">
        <v>1</v>
      </c>
      <c r="K1172" s="87"/>
      <c r="L1172" s="87">
        <v>1</v>
      </c>
      <c r="M1172" s="87"/>
      <c r="N1172" s="87"/>
      <c r="O1172" s="87"/>
      <c r="P1172" s="87"/>
      <c r="Q1172" s="87"/>
      <c r="R1172" s="87"/>
      <c r="S1172" s="87"/>
      <c r="T1172" s="87"/>
      <c r="U1172" s="88"/>
      <c r="V1172" s="89"/>
      <c r="W1172" s="96">
        <v>0</v>
      </c>
      <c r="X1172" s="71">
        <f>CU1172</f>
        <v>0</v>
      </c>
      <c r="Y1172" s="71">
        <f>CY1172</f>
        <v>0</v>
      </c>
      <c r="Z1172" s="71">
        <f>DA1172+DC1172+DE1172</f>
        <v>0</v>
      </c>
      <c r="AA1172" s="71">
        <f>CW1172</f>
        <v>0</v>
      </c>
      <c r="AB1172" s="71"/>
      <c r="AC1172" s="71">
        <v>0</v>
      </c>
      <c r="AD1172" s="71">
        <f>W1172+X1172+Y1172+Z1172+AA1172+AB1172+AC1172</f>
        <v>0</v>
      </c>
      <c r="AE1172" s="72">
        <v>0</v>
      </c>
      <c r="AF1172" s="5"/>
      <c r="AG1172" s="6"/>
      <c r="AH1172" s="27" t="s">
        <v>3392</v>
      </c>
      <c r="AI1172" s="44" t="s">
        <v>3393</v>
      </c>
      <c r="AJ1172" s="26"/>
      <c r="AK1172" s="5"/>
      <c r="AL1172" s="82" t="s">
        <v>3972</v>
      </c>
      <c r="AM1172" s="76"/>
      <c r="AN1172" s="76"/>
      <c r="AO1172" s="76"/>
      <c r="AP1172" s="76"/>
      <c r="AQ1172" s="76"/>
      <c r="AR1172" s="76"/>
      <c r="AS1172" s="76"/>
      <c r="AT1172" s="76"/>
      <c r="AU1172" s="76"/>
      <c r="AV1172" s="76"/>
      <c r="AW1172" s="76"/>
      <c r="AX1172" s="76">
        <f>+AW1172*600000</f>
        <v>0</v>
      </c>
      <c r="AY1172" s="76"/>
      <c r="AZ1172" s="76">
        <f>+AY1172*70000</f>
        <v>0</v>
      </c>
      <c r="BA1172" s="76"/>
      <c r="BB1172" s="76"/>
      <c r="BC1172" s="76"/>
      <c r="BD1172" s="76">
        <f>+BC1172*30000</f>
        <v>0</v>
      </c>
      <c r="BE1172" s="76"/>
      <c r="BF1172" s="76"/>
      <c r="BG1172" s="76"/>
      <c r="BH1172" s="76"/>
      <c r="BI1172" s="76"/>
      <c r="BJ1172" s="76"/>
      <c r="BK1172" s="76"/>
      <c r="BL1172" s="76">
        <f>+BK1172*31500</f>
        <v>0</v>
      </c>
      <c r="BM1172" s="76"/>
      <c r="BN1172" s="76"/>
      <c r="BO1172" s="76"/>
      <c r="BP1172" s="76"/>
      <c r="BQ1172" s="76"/>
      <c r="BR1172" s="76"/>
      <c r="BS1172" s="76"/>
      <c r="BT1172" s="76"/>
      <c r="BU1172" s="76"/>
      <c r="BV1172" s="76"/>
      <c r="BW1172" s="76"/>
      <c r="BX1172" s="76"/>
      <c r="BY1172" s="76"/>
      <c r="BZ1172" s="76"/>
      <c r="CA1172" s="76"/>
      <c r="CB1172" s="76"/>
      <c r="CC1172" s="76"/>
      <c r="CD1172" s="76"/>
      <c r="CE1172" s="76"/>
      <c r="CF1172" s="76">
        <f>+CE1172*28000</f>
        <v>0</v>
      </c>
      <c r="CG1172" s="76"/>
      <c r="CH1172" s="76">
        <f>+CG1172*22500</f>
        <v>0</v>
      </c>
      <c r="CI1172" s="76"/>
      <c r="CJ1172" s="76">
        <f>+CI1172*26000</f>
        <v>0</v>
      </c>
      <c r="CK1172" s="76"/>
      <c r="CL1172" s="76"/>
      <c r="CM1172" s="76"/>
      <c r="CN1172" s="76">
        <f>+CM1172*22000</f>
        <v>0</v>
      </c>
      <c r="CO1172" s="76"/>
      <c r="CP1172" s="76">
        <f>+CO1172*46000</f>
        <v>0</v>
      </c>
      <c r="CQ1172" s="76"/>
      <c r="CR1172" s="76">
        <f>+CQ1172*49000</f>
        <v>0</v>
      </c>
      <c r="CS1172" s="76"/>
      <c r="CT1172" s="76"/>
      <c r="CU1172" s="56">
        <f>AN1172+AP1172+AR1172+AT1172+AV1172+AX1172+AZ1172+BB1172+BD1172+BF1172+BH1172+BJ1172+BL1172+BN1172+BP1172+BR1172+BT1172+BV1172+BX1172+BZ1172+CB1172+CD1172+CF1172+CH1172+CJ1172+CL1172+CN1172+CP1172+CR1172+CT1172</f>
        <v>0</v>
      </c>
      <c r="CV1172" s="76"/>
      <c r="CW1172" s="76">
        <f>+CV1172*1100</f>
        <v>0</v>
      </c>
      <c r="CX1172" s="76"/>
      <c r="CY1172" s="76">
        <f>+CX1172*106250</f>
        <v>0</v>
      </c>
      <c r="CZ1172" s="76"/>
      <c r="DA1172" s="76">
        <f>+CZ1172*34500</f>
        <v>0</v>
      </c>
      <c r="DB1172" s="76"/>
      <c r="DC1172" s="76">
        <f>+DB1172*25000</f>
        <v>0</v>
      </c>
      <c r="DD1172" s="219"/>
      <c r="DE1172" s="219"/>
      <c r="DF1172" s="166"/>
      <c r="DG1172" s="116"/>
      <c r="DH1172" s="117"/>
      <c r="DI1172" s="24"/>
      <c r="DJ1172" s="24"/>
      <c r="DK1172" s="24"/>
      <c r="DL1172" s="24"/>
      <c r="DM1172" s="24"/>
      <c r="DN1172" s="24"/>
      <c r="DO1172" s="24"/>
      <c r="DP1172" s="24"/>
      <c r="DQ1172" s="24"/>
      <c r="DR1172" s="24"/>
      <c r="DS1172" s="24"/>
      <c r="DT1172" s="24"/>
      <c r="DU1172" s="24"/>
    </row>
    <row r="1173" spans="1:125" s="8" customFormat="1" ht="36" x14ac:dyDescent="0.2">
      <c r="A1173" s="77">
        <v>41350</v>
      </c>
      <c r="B1173" s="78" t="s">
        <v>2848</v>
      </c>
      <c r="C1173" s="83" t="s">
        <v>1915</v>
      </c>
      <c r="D1173" s="75" t="s">
        <v>2882</v>
      </c>
      <c r="E1173" s="75" t="str">
        <f>VLOOKUP(B1173&amp;C1173,Divipola!$C$2:$F$1138,4,FALSE)</f>
        <v>73686</v>
      </c>
      <c r="F1173" s="93"/>
      <c r="G1173" s="93"/>
      <c r="H1173" s="93"/>
      <c r="I1173" s="93">
        <v>20</v>
      </c>
      <c r="J1173" s="93">
        <v>4</v>
      </c>
      <c r="K1173" s="93"/>
      <c r="L1173" s="93">
        <v>4</v>
      </c>
      <c r="M1173" s="93"/>
      <c r="N1173" s="93"/>
      <c r="O1173" s="93"/>
      <c r="P1173" s="93"/>
      <c r="Q1173" s="93"/>
      <c r="R1173" s="93"/>
      <c r="S1173" s="93"/>
      <c r="T1173" s="93"/>
      <c r="U1173" s="93"/>
      <c r="V1173" s="89"/>
      <c r="W1173" s="96">
        <v>0</v>
      </c>
      <c r="X1173" s="71">
        <f>CU1173</f>
        <v>0</v>
      </c>
      <c r="Y1173" s="71">
        <f>CY1173</f>
        <v>0</v>
      </c>
      <c r="Z1173" s="71">
        <f>DA1173+DC1173+DE1173</f>
        <v>0</v>
      </c>
      <c r="AA1173" s="71">
        <f>CW1173</f>
        <v>0</v>
      </c>
      <c r="AB1173" s="71"/>
      <c r="AC1173" s="71">
        <v>0</v>
      </c>
      <c r="AD1173" s="71">
        <f>W1173+X1173+Y1173+Z1173+AA1173+AB1173+AC1173</f>
        <v>0</v>
      </c>
      <c r="AE1173" s="72">
        <v>0</v>
      </c>
      <c r="AF1173" s="5"/>
      <c r="AG1173" s="6"/>
      <c r="AH1173" s="27" t="s">
        <v>3392</v>
      </c>
      <c r="AI1173" s="44" t="s">
        <v>3393</v>
      </c>
      <c r="AJ1173" s="26"/>
      <c r="AK1173" s="5"/>
      <c r="AL1173" s="82" t="s">
        <v>3982</v>
      </c>
      <c r="AM1173" s="76"/>
      <c r="AN1173" s="76"/>
      <c r="AO1173" s="76"/>
      <c r="AP1173" s="76"/>
      <c r="AQ1173" s="76"/>
      <c r="AR1173" s="76"/>
      <c r="AS1173" s="76"/>
      <c r="AT1173" s="76"/>
      <c r="AU1173" s="76"/>
      <c r="AV1173" s="76"/>
      <c r="AW1173" s="76"/>
      <c r="AX1173" s="76">
        <f>+AW1173*600000</f>
        <v>0</v>
      </c>
      <c r="AY1173" s="76"/>
      <c r="AZ1173" s="76">
        <f>+AY1173*70000</f>
        <v>0</v>
      </c>
      <c r="BA1173" s="76"/>
      <c r="BB1173" s="76"/>
      <c r="BC1173" s="76"/>
      <c r="BD1173" s="76">
        <f>+BC1173*30000</f>
        <v>0</v>
      </c>
      <c r="BE1173" s="76"/>
      <c r="BF1173" s="76"/>
      <c r="BG1173" s="76"/>
      <c r="BH1173" s="76"/>
      <c r="BI1173" s="76"/>
      <c r="BJ1173" s="76"/>
      <c r="BK1173" s="76"/>
      <c r="BL1173" s="76">
        <f>+BK1173*31500</f>
        <v>0</v>
      </c>
      <c r="BM1173" s="76"/>
      <c r="BN1173" s="76"/>
      <c r="BO1173" s="76"/>
      <c r="BP1173" s="76"/>
      <c r="BQ1173" s="76"/>
      <c r="BR1173" s="76"/>
      <c r="BS1173" s="76"/>
      <c r="BT1173" s="76"/>
      <c r="BU1173" s="76"/>
      <c r="BV1173" s="76"/>
      <c r="BW1173" s="76"/>
      <c r="BX1173" s="76"/>
      <c r="BY1173" s="76"/>
      <c r="BZ1173" s="76"/>
      <c r="CA1173" s="76"/>
      <c r="CB1173" s="76"/>
      <c r="CC1173" s="76"/>
      <c r="CD1173" s="76"/>
      <c r="CE1173" s="76"/>
      <c r="CF1173" s="76">
        <f>+CE1173*28000</f>
        <v>0</v>
      </c>
      <c r="CG1173" s="76"/>
      <c r="CH1173" s="76">
        <f>+CG1173*22500</f>
        <v>0</v>
      </c>
      <c r="CI1173" s="76"/>
      <c r="CJ1173" s="76">
        <f>+CI1173*26000</f>
        <v>0</v>
      </c>
      <c r="CK1173" s="76"/>
      <c r="CL1173" s="76"/>
      <c r="CM1173" s="76"/>
      <c r="CN1173" s="76">
        <f>+CM1173*22000</f>
        <v>0</v>
      </c>
      <c r="CO1173" s="76"/>
      <c r="CP1173" s="76">
        <f>+CO1173*46000</f>
        <v>0</v>
      </c>
      <c r="CQ1173" s="76"/>
      <c r="CR1173" s="76">
        <f>+CQ1173*49000</f>
        <v>0</v>
      </c>
      <c r="CS1173" s="76"/>
      <c r="CT1173" s="76"/>
      <c r="CU1173" s="56">
        <f>AN1173+AP1173+AR1173+AT1173+AV1173+AX1173+AZ1173+BB1173+BD1173+BF1173+BH1173+BJ1173+BL1173+BN1173+BP1173+BR1173+BT1173+BV1173+BX1173+BZ1173+CB1173+CD1173+CF1173+CH1173+CJ1173+CL1173+CN1173+CP1173+CR1173+CT1173</f>
        <v>0</v>
      </c>
      <c r="CV1173" s="76"/>
      <c r="CW1173" s="76">
        <f>+CV1173*1100</f>
        <v>0</v>
      </c>
      <c r="CX1173" s="76"/>
      <c r="CY1173" s="76">
        <f>+CX1173*106250</f>
        <v>0</v>
      </c>
      <c r="CZ1173" s="76"/>
      <c r="DA1173" s="76">
        <f>+CZ1173*34500</f>
        <v>0</v>
      </c>
      <c r="DB1173" s="76"/>
      <c r="DC1173" s="76">
        <f>+DB1173*25000</f>
        <v>0</v>
      </c>
      <c r="DD1173" s="219"/>
      <c r="DE1173" s="219"/>
      <c r="DF1173" s="166"/>
      <c r="DG1173" s="116"/>
      <c r="DH1173" s="117"/>
      <c r="DI1173" s="24"/>
      <c r="DJ1173" s="24"/>
      <c r="DK1173" s="24"/>
      <c r="DL1173" s="24"/>
      <c r="DM1173" s="24"/>
      <c r="DN1173" s="24"/>
      <c r="DO1173" s="24"/>
      <c r="DP1173" s="24"/>
      <c r="DQ1173" s="24"/>
      <c r="DR1173" s="24"/>
      <c r="DS1173" s="24"/>
      <c r="DT1173" s="24"/>
      <c r="DU1173" s="24"/>
    </row>
    <row r="1174" spans="1:125" s="8" customFormat="1" ht="204" x14ac:dyDescent="0.2">
      <c r="A1174" s="77">
        <v>41351</v>
      </c>
      <c r="B1174" s="78" t="s">
        <v>2036</v>
      </c>
      <c r="C1174" s="75" t="s">
        <v>1687</v>
      </c>
      <c r="D1174" s="75" t="s">
        <v>3051</v>
      </c>
      <c r="E1174" s="75" t="str">
        <f>VLOOKUP(B1174&amp;C1174,Divipola!$C$2:$F$1138,4,FALSE)</f>
        <v>81300</v>
      </c>
      <c r="F1174" s="87"/>
      <c r="G1174" s="87"/>
      <c r="H1174" s="87"/>
      <c r="I1174" s="87">
        <v>52</v>
      </c>
      <c r="J1174" s="87">
        <v>11</v>
      </c>
      <c r="K1174" s="87"/>
      <c r="L1174" s="87">
        <v>11</v>
      </c>
      <c r="M1174" s="87"/>
      <c r="N1174" s="87"/>
      <c r="O1174" s="87"/>
      <c r="P1174" s="87"/>
      <c r="Q1174" s="87"/>
      <c r="R1174" s="87"/>
      <c r="S1174" s="87"/>
      <c r="T1174" s="87"/>
      <c r="U1174" s="88"/>
      <c r="V1174" s="155"/>
      <c r="W1174" s="96">
        <v>0</v>
      </c>
      <c r="X1174" s="71">
        <f>CU1174</f>
        <v>0</v>
      </c>
      <c r="Y1174" s="71">
        <f>CY1174</f>
        <v>0</v>
      </c>
      <c r="Z1174" s="71">
        <f>DA1174+DC1174+DE1174</f>
        <v>0</v>
      </c>
      <c r="AA1174" s="71">
        <f>CW1174</f>
        <v>0</v>
      </c>
      <c r="AB1174" s="71"/>
      <c r="AC1174" s="71">
        <v>0</v>
      </c>
      <c r="AD1174" s="71">
        <f>W1174+X1174+Y1174+Z1174+AA1174+AB1174+AC1174</f>
        <v>0</v>
      </c>
      <c r="AE1174" s="72">
        <v>0</v>
      </c>
      <c r="AF1174" s="5"/>
      <c r="AG1174" s="6"/>
      <c r="AH1174" s="27" t="s">
        <v>3390</v>
      </c>
      <c r="AI1174" s="44" t="s">
        <v>3393</v>
      </c>
      <c r="AJ1174" s="26"/>
      <c r="AK1174" s="5" t="s">
        <v>4242</v>
      </c>
      <c r="AL1174" s="82" t="s">
        <v>4009</v>
      </c>
      <c r="AM1174" s="76"/>
      <c r="AN1174" s="76"/>
      <c r="AO1174" s="76"/>
      <c r="AP1174" s="76"/>
      <c r="AQ1174" s="76"/>
      <c r="AR1174" s="76"/>
      <c r="AS1174" s="76"/>
      <c r="AT1174" s="76"/>
      <c r="AU1174" s="76"/>
      <c r="AV1174" s="76"/>
      <c r="AW1174" s="76"/>
      <c r="AX1174" s="76">
        <f>+AW1174*600000</f>
        <v>0</v>
      </c>
      <c r="AY1174" s="76"/>
      <c r="AZ1174" s="76">
        <f>+AY1174*70000</f>
        <v>0</v>
      </c>
      <c r="BA1174" s="76"/>
      <c r="BB1174" s="76"/>
      <c r="BC1174" s="76"/>
      <c r="BD1174" s="76">
        <f>+BC1174*30000</f>
        <v>0</v>
      </c>
      <c r="BE1174" s="76"/>
      <c r="BF1174" s="76"/>
      <c r="BG1174" s="76"/>
      <c r="BH1174" s="76"/>
      <c r="BI1174" s="76"/>
      <c r="BJ1174" s="76"/>
      <c r="BK1174" s="76"/>
      <c r="BL1174" s="76">
        <f>+BK1174*31500</f>
        <v>0</v>
      </c>
      <c r="BM1174" s="76"/>
      <c r="BN1174" s="76"/>
      <c r="BO1174" s="76"/>
      <c r="BP1174" s="76"/>
      <c r="BQ1174" s="76"/>
      <c r="BR1174" s="76"/>
      <c r="BS1174" s="76"/>
      <c r="BT1174" s="76"/>
      <c r="BU1174" s="76"/>
      <c r="BV1174" s="76"/>
      <c r="BW1174" s="76"/>
      <c r="BX1174" s="76"/>
      <c r="BY1174" s="76"/>
      <c r="BZ1174" s="76"/>
      <c r="CA1174" s="76"/>
      <c r="CB1174" s="76"/>
      <c r="CC1174" s="76"/>
      <c r="CD1174" s="76"/>
      <c r="CE1174" s="76"/>
      <c r="CF1174" s="76">
        <f>+CE1174*28000</f>
        <v>0</v>
      </c>
      <c r="CG1174" s="76"/>
      <c r="CH1174" s="76">
        <f>+CG1174*22500</f>
        <v>0</v>
      </c>
      <c r="CI1174" s="76"/>
      <c r="CJ1174" s="76">
        <f>+CI1174*26000</f>
        <v>0</v>
      </c>
      <c r="CK1174" s="76"/>
      <c r="CL1174" s="76"/>
      <c r="CM1174" s="76"/>
      <c r="CN1174" s="76">
        <f>+CM1174*22000</f>
        <v>0</v>
      </c>
      <c r="CO1174" s="76"/>
      <c r="CP1174" s="76">
        <f>+CO1174*46000</f>
        <v>0</v>
      </c>
      <c r="CQ1174" s="76"/>
      <c r="CR1174" s="76">
        <f>+CQ1174*49000</f>
        <v>0</v>
      </c>
      <c r="CS1174" s="76"/>
      <c r="CT1174" s="76"/>
      <c r="CU1174" s="56">
        <f>AN1174+AP1174+AR1174+AT1174+AV1174+AX1174+AZ1174+BB1174+BD1174+BF1174+BH1174+BJ1174+BL1174+BN1174+BP1174+BR1174+BT1174+BV1174+BX1174+BZ1174+CB1174+CD1174+CF1174+CH1174+CJ1174+CL1174+CN1174+CP1174+CR1174+CT1174</f>
        <v>0</v>
      </c>
      <c r="CV1174" s="76"/>
      <c r="CW1174" s="76">
        <f>+CV1174*1100</f>
        <v>0</v>
      </c>
      <c r="CX1174" s="76"/>
      <c r="CY1174" s="76">
        <f>+CX1174*106250</f>
        <v>0</v>
      </c>
      <c r="CZ1174" s="76"/>
      <c r="DA1174" s="76">
        <f>+CZ1174*34500</f>
        <v>0</v>
      </c>
      <c r="DB1174" s="76"/>
      <c r="DC1174" s="76">
        <f>+DB1174*25000</f>
        <v>0</v>
      </c>
      <c r="DD1174" s="219"/>
      <c r="DE1174" s="219"/>
      <c r="DF1174" s="166"/>
      <c r="DG1174" s="116"/>
      <c r="DH1174" s="117"/>
      <c r="DI1174" s="24"/>
      <c r="DJ1174" s="24"/>
      <c r="DK1174" s="24"/>
      <c r="DL1174" s="24"/>
      <c r="DM1174" s="24"/>
      <c r="DN1174" s="24"/>
      <c r="DO1174" s="24"/>
      <c r="DP1174" s="24"/>
      <c r="DQ1174" s="24"/>
      <c r="DR1174" s="24"/>
      <c r="DS1174" s="24"/>
      <c r="DT1174" s="24"/>
      <c r="DU1174" s="24"/>
    </row>
    <row r="1175" spans="1:125" s="8" customFormat="1" ht="36" x14ac:dyDescent="0.2">
      <c r="A1175" s="5">
        <v>41351</v>
      </c>
      <c r="B1175" s="84" t="s">
        <v>2881</v>
      </c>
      <c r="C1175" s="84" t="s">
        <v>1413</v>
      </c>
      <c r="D1175" s="75" t="s">
        <v>2882</v>
      </c>
      <c r="E1175" s="75" t="str">
        <f>VLOOKUP(B1175&amp;C1175,Divipola!$C$2:$F$1138,4,FALSE)</f>
        <v>08433</v>
      </c>
      <c r="F1175" s="89"/>
      <c r="G1175" s="89"/>
      <c r="H1175" s="89"/>
      <c r="I1175" s="89"/>
      <c r="J1175" s="89"/>
      <c r="K1175" s="89"/>
      <c r="L1175" s="89"/>
      <c r="M1175" s="89"/>
      <c r="N1175" s="89"/>
      <c r="O1175" s="89"/>
      <c r="P1175" s="89"/>
      <c r="Q1175" s="89"/>
      <c r="R1175" s="89"/>
      <c r="S1175" s="89">
        <v>1</v>
      </c>
      <c r="T1175" s="89"/>
      <c r="U1175" s="89"/>
      <c r="V1175" s="89"/>
      <c r="W1175" s="96">
        <v>0</v>
      </c>
      <c r="X1175" s="71">
        <f>CU1175</f>
        <v>0</v>
      </c>
      <c r="Y1175" s="71">
        <f>CY1175</f>
        <v>0</v>
      </c>
      <c r="Z1175" s="71">
        <f>DA1175+DC1175+DE1175</f>
        <v>0</v>
      </c>
      <c r="AA1175" s="71">
        <f>CW1175</f>
        <v>0</v>
      </c>
      <c r="AB1175" s="71"/>
      <c r="AC1175" s="71">
        <v>0</v>
      </c>
      <c r="AD1175" s="71">
        <f>W1175+X1175+Y1175+Z1175+AA1175+AB1175+AC1175</f>
        <v>0</v>
      </c>
      <c r="AE1175" s="72">
        <v>0</v>
      </c>
      <c r="AF1175" s="5"/>
      <c r="AG1175" s="6"/>
      <c r="AH1175" s="27" t="s">
        <v>3392</v>
      </c>
      <c r="AI1175" s="44" t="s">
        <v>3393</v>
      </c>
      <c r="AJ1175" s="26"/>
      <c r="AK1175" s="5"/>
      <c r="AL1175" s="82" t="s">
        <v>3986</v>
      </c>
      <c r="AM1175" s="76"/>
      <c r="AN1175" s="76"/>
      <c r="AO1175" s="76"/>
      <c r="AP1175" s="76"/>
      <c r="AQ1175" s="76"/>
      <c r="AR1175" s="76"/>
      <c r="AS1175" s="76"/>
      <c r="AT1175" s="76"/>
      <c r="AU1175" s="76"/>
      <c r="AV1175" s="76"/>
      <c r="AW1175" s="76"/>
      <c r="AX1175" s="76">
        <f>+AW1175*600000</f>
        <v>0</v>
      </c>
      <c r="AY1175" s="76"/>
      <c r="AZ1175" s="76">
        <f>+AY1175*70000</f>
        <v>0</v>
      </c>
      <c r="BA1175" s="76"/>
      <c r="BB1175" s="76"/>
      <c r="BC1175" s="76"/>
      <c r="BD1175" s="76">
        <f>+BC1175*30000</f>
        <v>0</v>
      </c>
      <c r="BE1175" s="76"/>
      <c r="BF1175" s="76"/>
      <c r="BG1175" s="76"/>
      <c r="BH1175" s="76"/>
      <c r="BI1175" s="76"/>
      <c r="BJ1175" s="76"/>
      <c r="BK1175" s="76"/>
      <c r="BL1175" s="76">
        <f>+BK1175*31500</f>
        <v>0</v>
      </c>
      <c r="BM1175" s="76"/>
      <c r="BN1175" s="76"/>
      <c r="BO1175" s="76"/>
      <c r="BP1175" s="76"/>
      <c r="BQ1175" s="76"/>
      <c r="BR1175" s="76"/>
      <c r="BS1175" s="76"/>
      <c r="BT1175" s="76"/>
      <c r="BU1175" s="76"/>
      <c r="BV1175" s="76"/>
      <c r="BW1175" s="76"/>
      <c r="BX1175" s="76"/>
      <c r="BY1175" s="76"/>
      <c r="BZ1175" s="76"/>
      <c r="CA1175" s="76"/>
      <c r="CB1175" s="76"/>
      <c r="CC1175" s="76"/>
      <c r="CD1175" s="76"/>
      <c r="CE1175" s="76"/>
      <c r="CF1175" s="76">
        <f>+CE1175*28000</f>
        <v>0</v>
      </c>
      <c r="CG1175" s="76"/>
      <c r="CH1175" s="76">
        <f>+CG1175*22500</f>
        <v>0</v>
      </c>
      <c r="CI1175" s="76"/>
      <c r="CJ1175" s="76">
        <f>+CI1175*26000</f>
        <v>0</v>
      </c>
      <c r="CK1175" s="76"/>
      <c r="CL1175" s="76"/>
      <c r="CM1175" s="76"/>
      <c r="CN1175" s="76">
        <f>+CM1175*22000</f>
        <v>0</v>
      </c>
      <c r="CO1175" s="76"/>
      <c r="CP1175" s="76">
        <f>+CO1175*46000</f>
        <v>0</v>
      </c>
      <c r="CQ1175" s="76"/>
      <c r="CR1175" s="76">
        <f>+CQ1175*49000</f>
        <v>0</v>
      </c>
      <c r="CS1175" s="76"/>
      <c r="CT1175" s="76"/>
      <c r="CU1175" s="56">
        <f>AN1175+AP1175+AR1175+AT1175+AV1175+AX1175+AZ1175+BB1175+BD1175+BF1175+BH1175+BJ1175+BL1175+BN1175+BP1175+BR1175+BT1175+BV1175+BX1175+BZ1175+CB1175+CD1175+CF1175+CH1175+CJ1175+CL1175+CN1175+CP1175+CR1175+CT1175</f>
        <v>0</v>
      </c>
      <c r="CV1175" s="76"/>
      <c r="CW1175" s="76">
        <f>+CV1175*1100</f>
        <v>0</v>
      </c>
      <c r="CX1175" s="76"/>
      <c r="CY1175" s="76">
        <f>+CX1175*106250</f>
        <v>0</v>
      </c>
      <c r="CZ1175" s="76"/>
      <c r="DA1175" s="76">
        <f>+CZ1175*34500</f>
        <v>0</v>
      </c>
      <c r="DB1175" s="76"/>
      <c r="DC1175" s="76">
        <f>+DB1175*25000</f>
        <v>0</v>
      </c>
      <c r="DD1175" s="219"/>
      <c r="DE1175" s="219"/>
      <c r="DF1175" s="166"/>
      <c r="DG1175" s="116"/>
      <c r="DH1175" s="117"/>
      <c r="DI1175" s="24"/>
      <c r="DJ1175" s="24"/>
      <c r="DK1175" s="24"/>
      <c r="DL1175" s="24"/>
      <c r="DM1175" s="24"/>
      <c r="DN1175" s="24"/>
      <c r="DO1175" s="24"/>
      <c r="DP1175" s="24"/>
      <c r="DQ1175" s="24"/>
      <c r="DR1175" s="24"/>
      <c r="DS1175" s="24"/>
      <c r="DT1175" s="24"/>
      <c r="DU1175" s="24"/>
    </row>
    <row r="1176" spans="1:125" s="8" customFormat="1" ht="48" x14ac:dyDescent="0.2">
      <c r="A1176" s="77">
        <v>41351</v>
      </c>
      <c r="B1176" s="352" t="s">
        <v>529</v>
      </c>
      <c r="C1176" s="352" t="s">
        <v>529</v>
      </c>
      <c r="D1176" s="75" t="s">
        <v>3051</v>
      </c>
      <c r="E1176" s="75" t="str">
        <f>VLOOKUP(B1176&amp;C1176,Divipola!$C$2:$F$1138,4,FALSE)</f>
        <v>11001</v>
      </c>
      <c r="F1176" s="87"/>
      <c r="G1176" s="87"/>
      <c r="H1176" s="87"/>
      <c r="I1176" s="87">
        <v>50</v>
      </c>
      <c r="J1176" s="87">
        <v>10</v>
      </c>
      <c r="K1176" s="87"/>
      <c r="L1176" s="87">
        <v>10</v>
      </c>
      <c r="M1176" s="87"/>
      <c r="N1176" s="87"/>
      <c r="O1176" s="87"/>
      <c r="P1176" s="87"/>
      <c r="Q1176" s="87"/>
      <c r="R1176" s="87"/>
      <c r="S1176" s="87"/>
      <c r="T1176" s="87"/>
      <c r="U1176" s="88"/>
      <c r="V1176" s="89"/>
      <c r="W1176" s="96">
        <v>0</v>
      </c>
      <c r="X1176" s="71">
        <f>CU1176</f>
        <v>0</v>
      </c>
      <c r="Y1176" s="71">
        <f>CY1176</f>
        <v>0</v>
      </c>
      <c r="Z1176" s="71">
        <f>DA1176+DC1176+DE1176</f>
        <v>0</v>
      </c>
      <c r="AA1176" s="71">
        <f>CW1176</f>
        <v>0</v>
      </c>
      <c r="AB1176" s="71"/>
      <c r="AC1176" s="71">
        <v>0</v>
      </c>
      <c r="AD1176" s="71">
        <f>W1176+X1176+Y1176+Z1176+AA1176+AB1176+AC1176</f>
        <v>0</v>
      </c>
      <c r="AE1176" s="72">
        <v>0</v>
      </c>
      <c r="AF1176" s="5"/>
      <c r="AG1176" s="6"/>
      <c r="AH1176" s="27" t="s">
        <v>3392</v>
      </c>
      <c r="AI1176" s="44" t="s">
        <v>3393</v>
      </c>
      <c r="AJ1176" s="26"/>
      <c r="AK1176" s="5"/>
      <c r="AL1176" s="82" t="s">
        <v>3993</v>
      </c>
      <c r="AM1176" s="76"/>
      <c r="AN1176" s="76"/>
      <c r="AO1176" s="76"/>
      <c r="AP1176" s="76"/>
      <c r="AQ1176" s="76"/>
      <c r="AR1176" s="76"/>
      <c r="AS1176" s="76"/>
      <c r="AT1176" s="76"/>
      <c r="AU1176" s="76"/>
      <c r="AV1176" s="76"/>
      <c r="AW1176" s="76"/>
      <c r="AX1176" s="76">
        <f>+AW1176*600000</f>
        <v>0</v>
      </c>
      <c r="AY1176" s="76"/>
      <c r="AZ1176" s="76">
        <f>+AY1176*70000</f>
        <v>0</v>
      </c>
      <c r="BA1176" s="76"/>
      <c r="BB1176" s="76"/>
      <c r="BC1176" s="76"/>
      <c r="BD1176" s="76">
        <f>+BC1176*30000</f>
        <v>0</v>
      </c>
      <c r="BE1176" s="76"/>
      <c r="BF1176" s="76"/>
      <c r="BG1176" s="76"/>
      <c r="BH1176" s="76"/>
      <c r="BI1176" s="76"/>
      <c r="BJ1176" s="76"/>
      <c r="BK1176" s="76"/>
      <c r="BL1176" s="76">
        <f>+BK1176*31500</f>
        <v>0</v>
      </c>
      <c r="BM1176" s="76"/>
      <c r="BN1176" s="76"/>
      <c r="BO1176" s="76"/>
      <c r="BP1176" s="76"/>
      <c r="BQ1176" s="76"/>
      <c r="BR1176" s="76"/>
      <c r="BS1176" s="76"/>
      <c r="BT1176" s="76"/>
      <c r="BU1176" s="76"/>
      <c r="BV1176" s="76"/>
      <c r="BW1176" s="76"/>
      <c r="BX1176" s="76"/>
      <c r="BY1176" s="76"/>
      <c r="BZ1176" s="76"/>
      <c r="CA1176" s="76"/>
      <c r="CB1176" s="76"/>
      <c r="CC1176" s="76"/>
      <c r="CD1176" s="76"/>
      <c r="CE1176" s="76"/>
      <c r="CF1176" s="76">
        <f>+CE1176*28000</f>
        <v>0</v>
      </c>
      <c r="CG1176" s="76"/>
      <c r="CH1176" s="76">
        <f>+CG1176*22500</f>
        <v>0</v>
      </c>
      <c r="CI1176" s="76"/>
      <c r="CJ1176" s="76">
        <f>+CI1176*26000</f>
        <v>0</v>
      </c>
      <c r="CK1176" s="76"/>
      <c r="CL1176" s="76"/>
      <c r="CM1176" s="76"/>
      <c r="CN1176" s="76">
        <f>+CM1176*22000</f>
        <v>0</v>
      </c>
      <c r="CO1176" s="76"/>
      <c r="CP1176" s="76">
        <f>+CO1176*46000</f>
        <v>0</v>
      </c>
      <c r="CQ1176" s="76"/>
      <c r="CR1176" s="76">
        <f>+CQ1176*49000</f>
        <v>0</v>
      </c>
      <c r="CS1176" s="76"/>
      <c r="CT1176" s="76"/>
      <c r="CU1176" s="56">
        <f>AN1176+AP1176+AR1176+AT1176+AV1176+AX1176+AZ1176+BB1176+BD1176+BF1176+BH1176+BJ1176+BL1176+BN1176+BP1176+BR1176+BT1176+BV1176+BX1176+BZ1176+CB1176+CD1176+CF1176+CH1176+CJ1176+CL1176+CN1176+CP1176+CR1176+CT1176</f>
        <v>0</v>
      </c>
      <c r="CV1176" s="76"/>
      <c r="CW1176" s="76">
        <f>+CV1176*1100</f>
        <v>0</v>
      </c>
      <c r="CX1176" s="76"/>
      <c r="CY1176" s="76">
        <f>+CX1176*106250</f>
        <v>0</v>
      </c>
      <c r="CZ1176" s="76"/>
      <c r="DA1176" s="76">
        <f>+CZ1176*34500</f>
        <v>0</v>
      </c>
      <c r="DB1176" s="76"/>
      <c r="DC1176" s="76">
        <f>+DB1176*25000</f>
        <v>0</v>
      </c>
      <c r="DD1176" s="219"/>
      <c r="DE1176" s="219"/>
      <c r="DF1176" s="166"/>
      <c r="DG1176" s="116"/>
      <c r="DH1176" s="117"/>
      <c r="DI1176" s="24"/>
      <c r="DJ1176" s="24"/>
      <c r="DK1176" s="24"/>
      <c r="DL1176" s="24"/>
      <c r="DM1176" s="24"/>
      <c r="DN1176" s="24"/>
      <c r="DO1176" s="24"/>
      <c r="DP1176" s="24"/>
      <c r="DQ1176" s="24"/>
      <c r="DR1176" s="24"/>
      <c r="DS1176" s="24"/>
      <c r="DT1176" s="24"/>
      <c r="DU1176" s="24"/>
    </row>
    <row r="1177" spans="1:125" s="8" customFormat="1" ht="36" x14ac:dyDescent="0.2">
      <c r="A1177" s="77">
        <v>41351</v>
      </c>
      <c r="B1177" s="78" t="s">
        <v>2854</v>
      </c>
      <c r="C1177" s="83" t="s">
        <v>2738</v>
      </c>
      <c r="D1177" s="75" t="s">
        <v>3425</v>
      </c>
      <c r="E1177" s="75" t="str">
        <f>VLOOKUP(B1177&amp;C1177,Divipola!$C$2:$F$1138,4,FALSE)</f>
        <v>19473</v>
      </c>
      <c r="F1177" s="93">
        <v>1</v>
      </c>
      <c r="G1177" s="93">
        <v>8</v>
      </c>
      <c r="H1177" s="93"/>
      <c r="I1177" s="93"/>
      <c r="J1177" s="93"/>
      <c r="K1177" s="93"/>
      <c r="L1177" s="93"/>
      <c r="M1177" s="93"/>
      <c r="N1177" s="93"/>
      <c r="O1177" s="93"/>
      <c r="P1177" s="93"/>
      <c r="Q1177" s="93"/>
      <c r="R1177" s="93"/>
      <c r="S1177" s="93"/>
      <c r="T1177" s="93"/>
      <c r="U1177" s="93"/>
      <c r="V1177" s="89"/>
      <c r="W1177" s="96">
        <v>0</v>
      </c>
      <c r="X1177" s="71">
        <f>CU1177</f>
        <v>0</v>
      </c>
      <c r="Y1177" s="71">
        <f>CY1177</f>
        <v>0</v>
      </c>
      <c r="Z1177" s="71">
        <f>DA1177+DC1177+DE1177</f>
        <v>0</v>
      </c>
      <c r="AA1177" s="71">
        <f>CW1177</f>
        <v>0</v>
      </c>
      <c r="AB1177" s="71"/>
      <c r="AC1177" s="71">
        <v>0</v>
      </c>
      <c r="AD1177" s="71">
        <f>W1177+X1177+Y1177+Z1177+AA1177+AB1177+AC1177</f>
        <v>0</v>
      </c>
      <c r="AE1177" s="72">
        <v>0</v>
      </c>
      <c r="AF1177" s="5"/>
      <c r="AG1177" s="6"/>
      <c r="AH1177" s="27" t="s">
        <v>3392</v>
      </c>
      <c r="AI1177" s="44" t="s">
        <v>3393</v>
      </c>
      <c r="AJ1177" s="26"/>
      <c r="AK1177" s="5"/>
      <c r="AL1177" s="82" t="s">
        <v>3985</v>
      </c>
      <c r="AM1177" s="76"/>
      <c r="AN1177" s="76"/>
      <c r="AO1177" s="76"/>
      <c r="AP1177" s="76"/>
      <c r="AQ1177" s="76"/>
      <c r="AR1177" s="76"/>
      <c r="AS1177" s="76"/>
      <c r="AT1177" s="76"/>
      <c r="AU1177" s="76"/>
      <c r="AV1177" s="76"/>
      <c r="AW1177" s="76"/>
      <c r="AX1177" s="76">
        <f>+AW1177*600000</f>
        <v>0</v>
      </c>
      <c r="AY1177" s="76"/>
      <c r="AZ1177" s="76">
        <f>+AY1177*70000</f>
        <v>0</v>
      </c>
      <c r="BA1177" s="76"/>
      <c r="BB1177" s="76"/>
      <c r="BC1177" s="76"/>
      <c r="BD1177" s="76">
        <f>+BC1177*30000</f>
        <v>0</v>
      </c>
      <c r="BE1177" s="76"/>
      <c r="BF1177" s="76"/>
      <c r="BG1177" s="76"/>
      <c r="BH1177" s="76"/>
      <c r="BI1177" s="76"/>
      <c r="BJ1177" s="76"/>
      <c r="BK1177" s="76"/>
      <c r="BL1177" s="76">
        <f>+BK1177*31500</f>
        <v>0</v>
      </c>
      <c r="BM1177" s="76"/>
      <c r="BN1177" s="76"/>
      <c r="BO1177" s="76"/>
      <c r="BP1177" s="76"/>
      <c r="BQ1177" s="76"/>
      <c r="BR1177" s="76"/>
      <c r="BS1177" s="76"/>
      <c r="BT1177" s="76"/>
      <c r="BU1177" s="76"/>
      <c r="BV1177" s="76"/>
      <c r="BW1177" s="76"/>
      <c r="BX1177" s="76"/>
      <c r="BY1177" s="76"/>
      <c r="BZ1177" s="76"/>
      <c r="CA1177" s="76"/>
      <c r="CB1177" s="76"/>
      <c r="CC1177" s="76"/>
      <c r="CD1177" s="76"/>
      <c r="CE1177" s="76"/>
      <c r="CF1177" s="76">
        <f>+CE1177*28000</f>
        <v>0</v>
      </c>
      <c r="CG1177" s="76"/>
      <c r="CH1177" s="76">
        <f>+CG1177*22500</f>
        <v>0</v>
      </c>
      <c r="CI1177" s="76"/>
      <c r="CJ1177" s="76">
        <f>+CI1177*26000</f>
        <v>0</v>
      </c>
      <c r="CK1177" s="76"/>
      <c r="CL1177" s="76"/>
      <c r="CM1177" s="76"/>
      <c r="CN1177" s="76">
        <f>+CM1177*22000</f>
        <v>0</v>
      </c>
      <c r="CO1177" s="76"/>
      <c r="CP1177" s="76">
        <f>+CO1177*46000</f>
        <v>0</v>
      </c>
      <c r="CQ1177" s="76"/>
      <c r="CR1177" s="76">
        <f>+CQ1177*49000</f>
        <v>0</v>
      </c>
      <c r="CS1177" s="76"/>
      <c r="CT1177" s="76"/>
      <c r="CU1177" s="56">
        <f>AN1177+AP1177+AR1177+AT1177+AV1177+AX1177+AZ1177+BB1177+BD1177+BF1177+BH1177+BJ1177+BL1177+BN1177+BP1177+BR1177+BT1177+BV1177+BX1177+BZ1177+CB1177+CD1177+CF1177+CH1177+CJ1177+CL1177+CN1177+CP1177+CR1177+CT1177</f>
        <v>0</v>
      </c>
      <c r="CV1177" s="76"/>
      <c r="CW1177" s="76">
        <f>+CV1177*1100</f>
        <v>0</v>
      </c>
      <c r="CX1177" s="76"/>
      <c r="CY1177" s="76">
        <f>+CX1177*106250</f>
        <v>0</v>
      </c>
      <c r="CZ1177" s="76"/>
      <c r="DA1177" s="76">
        <f>+CZ1177*34500</f>
        <v>0</v>
      </c>
      <c r="DB1177" s="76"/>
      <c r="DC1177" s="76">
        <f>+DB1177*25000</f>
        <v>0</v>
      </c>
      <c r="DD1177" s="219"/>
      <c r="DE1177" s="219"/>
      <c r="DF1177" s="166"/>
      <c r="DG1177" s="116"/>
      <c r="DH1177" s="117"/>
      <c r="DI1177" s="24"/>
      <c r="DJ1177" s="24"/>
      <c r="DK1177" s="24"/>
      <c r="DL1177" s="24"/>
      <c r="DM1177" s="24"/>
      <c r="DN1177" s="24"/>
      <c r="DO1177" s="24"/>
      <c r="DP1177" s="24"/>
      <c r="DQ1177" s="24"/>
      <c r="DR1177" s="24"/>
      <c r="DS1177" s="24"/>
      <c r="DT1177" s="24"/>
      <c r="DU1177" s="24"/>
    </row>
    <row r="1178" spans="1:125" s="8" customFormat="1" ht="24" x14ac:dyDescent="0.2">
      <c r="A1178" s="77">
        <v>41351</v>
      </c>
      <c r="B1178" s="78" t="s">
        <v>2855</v>
      </c>
      <c r="C1178" s="75" t="s">
        <v>895</v>
      </c>
      <c r="D1178" s="75" t="s">
        <v>2882</v>
      </c>
      <c r="E1178" s="75" t="str">
        <f>VLOOKUP(B1178&amp;C1178,Divipola!$C$2:$F$1138,4,FALSE)</f>
        <v>20032</v>
      </c>
      <c r="F1178" s="87"/>
      <c r="G1178" s="87"/>
      <c r="H1178" s="87"/>
      <c r="I1178" s="87">
        <v>5</v>
      </c>
      <c r="J1178" s="87">
        <v>1</v>
      </c>
      <c r="K1178" s="87"/>
      <c r="L1178" s="87">
        <v>1</v>
      </c>
      <c r="M1178" s="87"/>
      <c r="N1178" s="87"/>
      <c r="O1178" s="87"/>
      <c r="P1178" s="87"/>
      <c r="Q1178" s="87"/>
      <c r="R1178" s="87"/>
      <c r="S1178" s="87"/>
      <c r="T1178" s="87"/>
      <c r="U1178" s="88"/>
      <c r="V1178" s="89"/>
      <c r="W1178" s="96">
        <v>0</v>
      </c>
      <c r="X1178" s="71">
        <f>CU1178</f>
        <v>0</v>
      </c>
      <c r="Y1178" s="71">
        <f>CY1178</f>
        <v>0</v>
      </c>
      <c r="Z1178" s="71">
        <f>DA1178+DC1178+DE1178</f>
        <v>0</v>
      </c>
      <c r="AA1178" s="71">
        <f>CW1178</f>
        <v>0</v>
      </c>
      <c r="AB1178" s="71"/>
      <c r="AC1178" s="71">
        <v>0</v>
      </c>
      <c r="AD1178" s="71">
        <f>W1178+X1178+Y1178+Z1178+AA1178+AB1178+AC1178</f>
        <v>0</v>
      </c>
      <c r="AE1178" s="72">
        <v>0</v>
      </c>
      <c r="AF1178" s="5"/>
      <c r="AG1178" s="6"/>
      <c r="AH1178" s="27" t="s">
        <v>3392</v>
      </c>
      <c r="AI1178" s="44" t="s">
        <v>3393</v>
      </c>
      <c r="AJ1178" s="26"/>
      <c r="AK1178" s="5"/>
      <c r="AL1178" s="82" t="s">
        <v>3989</v>
      </c>
      <c r="AM1178" s="76"/>
      <c r="AN1178" s="76"/>
      <c r="AO1178" s="76"/>
      <c r="AP1178" s="76"/>
      <c r="AQ1178" s="76"/>
      <c r="AR1178" s="76"/>
      <c r="AS1178" s="76"/>
      <c r="AT1178" s="76"/>
      <c r="AU1178" s="76"/>
      <c r="AV1178" s="76"/>
      <c r="AW1178" s="76"/>
      <c r="AX1178" s="76">
        <f>+AW1178*600000</f>
        <v>0</v>
      </c>
      <c r="AY1178" s="76"/>
      <c r="AZ1178" s="76">
        <f>+AY1178*70000</f>
        <v>0</v>
      </c>
      <c r="BA1178" s="76"/>
      <c r="BB1178" s="76"/>
      <c r="BC1178" s="76"/>
      <c r="BD1178" s="76">
        <f>+BC1178*30000</f>
        <v>0</v>
      </c>
      <c r="BE1178" s="76"/>
      <c r="BF1178" s="76"/>
      <c r="BG1178" s="76"/>
      <c r="BH1178" s="76"/>
      <c r="BI1178" s="76"/>
      <c r="BJ1178" s="76"/>
      <c r="BK1178" s="76"/>
      <c r="BL1178" s="76">
        <f>+BK1178*31500</f>
        <v>0</v>
      </c>
      <c r="BM1178" s="76"/>
      <c r="BN1178" s="76"/>
      <c r="BO1178" s="76"/>
      <c r="BP1178" s="76"/>
      <c r="BQ1178" s="76"/>
      <c r="BR1178" s="76"/>
      <c r="BS1178" s="76"/>
      <c r="BT1178" s="76"/>
      <c r="BU1178" s="76"/>
      <c r="BV1178" s="76"/>
      <c r="BW1178" s="76"/>
      <c r="BX1178" s="76"/>
      <c r="BY1178" s="76"/>
      <c r="BZ1178" s="76"/>
      <c r="CA1178" s="76"/>
      <c r="CB1178" s="76"/>
      <c r="CC1178" s="76"/>
      <c r="CD1178" s="76"/>
      <c r="CE1178" s="76"/>
      <c r="CF1178" s="76">
        <f>+CE1178*28000</f>
        <v>0</v>
      </c>
      <c r="CG1178" s="76"/>
      <c r="CH1178" s="76">
        <f>+CG1178*22500</f>
        <v>0</v>
      </c>
      <c r="CI1178" s="76"/>
      <c r="CJ1178" s="76">
        <f>+CI1178*26000</f>
        <v>0</v>
      </c>
      <c r="CK1178" s="76"/>
      <c r="CL1178" s="76"/>
      <c r="CM1178" s="76"/>
      <c r="CN1178" s="76">
        <f>+CM1178*22000</f>
        <v>0</v>
      </c>
      <c r="CO1178" s="76"/>
      <c r="CP1178" s="76">
        <f>+CO1178*46000</f>
        <v>0</v>
      </c>
      <c r="CQ1178" s="76"/>
      <c r="CR1178" s="76">
        <f>+CQ1178*49000</f>
        <v>0</v>
      </c>
      <c r="CS1178" s="76"/>
      <c r="CT1178" s="76"/>
      <c r="CU1178" s="56">
        <f>AN1178+AP1178+AR1178+AT1178+AV1178+AX1178+AZ1178+BB1178+BD1178+BF1178+BH1178+BJ1178+BL1178+BN1178+BP1178+BR1178+BT1178+BV1178+BX1178+BZ1178+CB1178+CD1178+CF1178+CH1178+CJ1178+CL1178+CN1178+CP1178+CR1178+CT1178</f>
        <v>0</v>
      </c>
      <c r="CV1178" s="76"/>
      <c r="CW1178" s="76">
        <f>+CV1178*1100</f>
        <v>0</v>
      </c>
      <c r="CX1178" s="76"/>
      <c r="CY1178" s="76">
        <f>+CX1178*106250</f>
        <v>0</v>
      </c>
      <c r="CZ1178" s="76"/>
      <c r="DA1178" s="76">
        <f>+CZ1178*34500</f>
        <v>0</v>
      </c>
      <c r="DB1178" s="76"/>
      <c r="DC1178" s="76">
        <f>+DB1178*25000</f>
        <v>0</v>
      </c>
      <c r="DD1178" s="219"/>
      <c r="DE1178" s="219"/>
      <c r="DF1178" s="166"/>
      <c r="DG1178" s="116"/>
      <c r="DH1178" s="117"/>
      <c r="DI1178" s="24"/>
      <c r="DJ1178" s="24"/>
      <c r="DK1178" s="24"/>
      <c r="DL1178" s="24"/>
      <c r="DM1178" s="24"/>
      <c r="DN1178" s="24"/>
      <c r="DO1178" s="24"/>
      <c r="DP1178" s="24"/>
      <c r="DQ1178" s="24"/>
      <c r="DR1178" s="24"/>
      <c r="DS1178" s="24"/>
      <c r="DT1178" s="24"/>
      <c r="DU1178" s="24"/>
    </row>
    <row r="1179" spans="1:125" s="8" customFormat="1" ht="24" x14ac:dyDescent="0.2">
      <c r="A1179" s="77">
        <v>41351</v>
      </c>
      <c r="B1179" s="78" t="s">
        <v>2855</v>
      </c>
      <c r="C1179" s="75" t="s">
        <v>2717</v>
      </c>
      <c r="D1179" s="81" t="s">
        <v>2846</v>
      </c>
      <c r="E1179" s="75" t="str">
        <f>VLOOKUP(B1179&amp;C1179,Divipola!$C$2:$F$1138,4,FALSE)</f>
        <v>20750</v>
      </c>
      <c r="F1179" s="87"/>
      <c r="G1179" s="87"/>
      <c r="H1179" s="87"/>
      <c r="I1179" s="87"/>
      <c r="J1179" s="87"/>
      <c r="K1179" s="87"/>
      <c r="L1179" s="87"/>
      <c r="M1179" s="87"/>
      <c r="N1179" s="87"/>
      <c r="O1179" s="87"/>
      <c r="P1179" s="87"/>
      <c r="Q1179" s="87"/>
      <c r="R1179" s="87"/>
      <c r="S1179" s="87"/>
      <c r="T1179" s="87"/>
      <c r="U1179" s="88"/>
      <c r="V1179" s="89"/>
      <c r="W1179" s="96">
        <v>0</v>
      </c>
      <c r="X1179" s="71">
        <f>CU1179</f>
        <v>0</v>
      </c>
      <c r="Y1179" s="71">
        <f>CY1179</f>
        <v>0</v>
      </c>
      <c r="Z1179" s="71">
        <f>DA1179+DC1179+DE1179</f>
        <v>0</v>
      </c>
      <c r="AA1179" s="71">
        <f>CW1179</f>
        <v>0</v>
      </c>
      <c r="AB1179" s="71"/>
      <c r="AC1179" s="71">
        <v>0</v>
      </c>
      <c r="AD1179" s="71">
        <f>W1179+X1179+Y1179+Z1179+AA1179+AB1179+AC1179</f>
        <v>0</v>
      </c>
      <c r="AE1179" s="72">
        <v>0</v>
      </c>
      <c r="AF1179" s="5"/>
      <c r="AG1179" s="6"/>
      <c r="AH1179" s="27" t="s">
        <v>3392</v>
      </c>
      <c r="AI1179" s="44" t="s">
        <v>3393</v>
      </c>
      <c r="AJ1179" s="26"/>
      <c r="AK1179" s="5"/>
      <c r="AL1179" s="82" t="s">
        <v>3990</v>
      </c>
      <c r="AM1179" s="76"/>
      <c r="AN1179" s="76"/>
      <c r="AO1179" s="76"/>
      <c r="AP1179" s="76"/>
      <c r="AQ1179" s="76"/>
      <c r="AR1179" s="76"/>
      <c r="AS1179" s="76"/>
      <c r="AT1179" s="76"/>
      <c r="AU1179" s="76"/>
      <c r="AV1179" s="76"/>
      <c r="AW1179" s="76"/>
      <c r="AX1179" s="76">
        <f>+AW1179*600000</f>
        <v>0</v>
      </c>
      <c r="AY1179" s="76"/>
      <c r="AZ1179" s="76">
        <f>+AY1179*70000</f>
        <v>0</v>
      </c>
      <c r="BA1179" s="76"/>
      <c r="BB1179" s="76"/>
      <c r="BC1179" s="76"/>
      <c r="BD1179" s="76">
        <f>+BC1179*30000</f>
        <v>0</v>
      </c>
      <c r="BE1179" s="76"/>
      <c r="BF1179" s="76"/>
      <c r="BG1179" s="76"/>
      <c r="BH1179" s="76"/>
      <c r="BI1179" s="76"/>
      <c r="BJ1179" s="76"/>
      <c r="BK1179" s="76"/>
      <c r="BL1179" s="76">
        <f>+BK1179*31500</f>
        <v>0</v>
      </c>
      <c r="BM1179" s="76"/>
      <c r="BN1179" s="76"/>
      <c r="BO1179" s="76"/>
      <c r="BP1179" s="76"/>
      <c r="BQ1179" s="76"/>
      <c r="BR1179" s="76"/>
      <c r="BS1179" s="76"/>
      <c r="BT1179" s="76"/>
      <c r="BU1179" s="76"/>
      <c r="BV1179" s="76"/>
      <c r="BW1179" s="76"/>
      <c r="BX1179" s="76"/>
      <c r="BY1179" s="76"/>
      <c r="BZ1179" s="76"/>
      <c r="CA1179" s="76"/>
      <c r="CB1179" s="76"/>
      <c r="CC1179" s="76"/>
      <c r="CD1179" s="76"/>
      <c r="CE1179" s="76"/>
      <c r="CF1179" s="76">
        <f>+CE1179*28000</f>
        <v>0</v>
      </c>
      <c r="CG1179" s="76"/>
      <c r="CH1179" s="76">
        <f>+CG1179*22500</f>
        <v>0</v>
      </c>
      <c r="CI1179" s="76"/>
      <c r="CJ1179" s="76">
        <f>+CI1179*26000</f>
        <v>0</v>
      </c>
      <c r="CK1179" s="76"/>
      <c r="CL1179" s="76"/>
      <c r="CM1179" s="76"/>
      <c r="CN1179" s="76">
        <f>+CM1179*22000</f>
        <v>0</v>
      </c>
      <c r="CO1179" s="76"/>
      <c r="CP1179" s="76">
        <f>+CO1179*46000</f>
        <v>0</v>
      </c>
      <c r="CQ1179" s="76"/>
      <c r="CR1179" s="76">
        <f>+CQ1179*49000</f>
        <v>0</v>
      </c>
      <c r="CS1179" s="76"/>
      <c r="CT1179" s="76"/>
      <c r="CU1179" s="56">
        <f>AN1179+AP1179+AR1179+AT1179+AV1179+AX1179+AZ1179+BB1179+BD1179+BF1179+BH1179+BJ1179+BL1179+BN1179+BP1179+BR1179+BT1179+BV1179+BX1179+BZ1179+CB1179+CD1179+CF1179+CH1179+CJ1179+CL1179+CN1179+CP1179+CR1179+CT1179</f>
        <v>0</v>
      </c>
      <c r="CV1179" s="76"/>
      <c r="CW1179" s="76">
        <f>+CV1179*1100</f>
        <v>0</v>
      </c>
      <c r="CX1179" s="76"/>
      <c r="CY1179" s="76">
        <f>+CX1179*106250</f>
        <v>0</v>
      </c>
      <c r="CZ1179" s="76"/>
      <c r="DA1179" s="76">
        <f>+CZ1179*34500</f>
        <v>0</v>
      </c>
      <c r="DB1179" s="76"/>
      <c r="DC1179" s="76">
        <f>+DB1179*25000</f>
        <v>0</v>
      </c>
      <c r="DD1179" s="219"/>
      <c r="DE1179" s="219"/>
      <c r="DF1179" s="166"/>
      <c r="DG1179" s="116"/>
      <c r="DH1179" s="117"/>
      <c r="DI1179" s="24"/>
      <c r="DJ1179" s="24"/>
      <c r="DK1179" s="24"/>
      <c r="DL1179" s="24"/>
      <c r="DM1179" s="24"/>
      <c r="DN1179" s="24"/>
      <c r="DO1179" s="24"/>
      <c r="DP1179" s="24"/>
      <c r="DQ1179" s="24"/>
      <c r="DR1179" s="24"/>
      <c r="DS1179" s="24"/>
      <c r="DT1179" s="24"/>
      <c r="DU1179" s="24"/>
    </row>
    <row r="1180" spans="1:125" s="8" customFormat="1" ht="96" x14ac:dyDescent="0.2">
      <c r="A1180" s="226">
        <v>41351</v>
      </c>
      <c r="B1180" s="225" t="s">
        <v>2855</v>
      </c>
      <c r="C1180" s="227" t="s">
        <v>2168</v>
      </c>
      <c r="D1180" s="81" t="s">
        <v>2846</v>
      </c>
      <c r="E1180" s="75" t="str">
        <f>VLOOKUP(B1180&amp;C1180,Divipola!$C$2:$F$1138,4,FALSE)</f>
        <v>20001</v>
      </c>
      <c r="F1180" s="87"/>
      <c r="G1180" s="87"/>
      <c r="H1180" s="87"/>
      <c r="I1180" s="87"/>
      <c r="J1180" s="87"/>
      <c r="K1180" s="87"/>
      <c r="L1180" s="87"/>
      <c r="M1180" s="87"/>
      <c r="N1180" s="87"/>
      <c r="O1180" s="87"/>
      <c r="P1180" s="87"/>
      <c r="Q1180" s="87"/>
      <c r="R1180" s="87"/>
      <c r="S1180" s="87"/>
      <c r="T1180" s="87"/>
      <c r="U1180" s="88">
        <v>110</v>
      </c>
      <c r="V1180" s="194"/>
      <c r="W1180" s="96">
        <v>0</v>
      </c>
      <c r="X1180" s="71">
        <f>CU1180</f>
        <v>0</v>
      </c>
      <c r="Y1180" s="71">
        <f>CY1180</f>
        <v>0</v>
      </c>
      <c r="Z1180" s="71">
        <f>DA1180+DC1180+DE1180</f>
        <v>0</v>
      </c>
      <c r="AA1180" s="71">
        <f>CW1180</f>
        <v>0</v>
      </c>
      <c r="AB1180" s="71"/>
      <c r="AC1180" s="71">
        <v>0</v>
      </c>
      <c r="AD1180" s="71">
        <f>W1180+X1180+Y1180+Z1180+AA1180+AB1180+AC1180</f>
        <v>0</v>
      </c>
      <c r="AE1180" s="72">
        <v>0</v>
      </c>
      <c r="AF1180" s="5"/>
      <c r="AG1180" s="6"/>
      <c r="AH1180" s="27" t="s">
        <v>3392</v>
      </c>
      <c r="AI1180" s="44" t="s">
        <v>3393</v>
      </c>
      <c r="AJ1180" s="26"/>
      <c r="AK1180" s="5"/>
      <c r="AL1180" s="82" t="s">
        <v>4002</v>
      </c>
      <c r="AM1180" s="76"/>
      <c r="AN1180" s="76"/>
      <c r="AO1180" s="76"/>
      <c r="AP1180" s="76"/>
      <c r="AQ1180" s="76"/>
      <c r="AR1180" s="76"/>
      <c r="AS1180" s="76"/>
      <c r="AT1180" s="76"/>
      <c r="AU1180" s="76"/>
      <c r="AV1180" s="76"/>
      <c r="AW1180" s="76"/>
      <c r="AX1180" s="76">
        <f>+AW1180*600000</f>
        <v>0</v>
      </c>
      <c r="AY1180" s="76"/>
      <c r="AZ1180" s="76">
        <f>+AY1180*70000</f>
        <v>0</v>
      </c>
      <c r="BA1180" s="76"/>
      <c r="BB1180" s="76"/>
      <c r="BC1180" s="76"/>
      <c r="BD1180" s="76">
        <f>+BC1180*30000</f>
        <v>0</v>
      </c>
      <c r="BE1180" s="76"/>
      <c r="BF1180" s="76"/>
      <c r="BG1180" s="76"/>
      <c r="BH1180" s="76"/>
      <c r="BI1180" s="76"/>
      <c r="BJ1180" s="76"/>
      <c r="BK1180" s="76"/>
      <c r="BL1180" s="76">
        <f>+BK1180*31500</f>
        <v>0</v>
      </c>
      <c r="BM1180" s="76"/>
      <c r="BN1180" s="76"/>
      <c r="BO1180" s="76"/>
      <c r="BP1180" s="76"/>
      <c r="BQ1180" s="76"/>
      <c r="BR1180" s="76"/>
      <c r="BS1180" s="76"/>
      <c r="BT1180" s="76"/>
      <c r="BU1180" s="76"/>
      <c r="BV1180" s="76"/>
      <c r="BW1180" s="76"/>
      <c r="BX1180" s="76"/>
      <c r="BY1180" s="76"/>
      <c r="BZ1180" s="76"/>
      <c r="CA1180" s="76"/>
      <c r="CB1180" s="76"/>
      <c r="CC1180" s="76"/>
      <c r="CD1180" s="76"/>
      <c r="CE1180" s="76"/>
      <c r="CF1180" s="76">
        <f>+CE1180*28000</f>
        <v>0</v>
      </c>
      <c r="CG1180" s="76"/>
      <c r="CH1180" s="76">
        <f>+CG1180*22500</f>
        <v>0</v>
      </c>
      <c r="CI1180" s="76"/>
      <c r="CJ1180" s="76">
        <f>+CI1180*26000</f>
        <v>0</v>
      </c>
      <c r="CK1180" s="76"/>
      <c r="CL1180" s="76"/>
      <c r="CM1180" s="76"/>
      <c r="CN1180" s="76">
        <f>+CM1180*22000</f>
        <v>0</v>
      </c>
      <c r="CO1180" s="76"/>
      <c r="CP1180" s="76">
        <f>+CO1180*46000</f>
        <v>0</v>
      </c>
      <c r="CQ1180" s="76"/>
      <c r="CR1180" s="76">
        <f>+CQ1180*49000</f>
        <v>0</v>
      </c>
      <c r="CS1180" s="76"/>
      <c r="CT1180" s="76"/>
      <c r="CU1180" s="56">
        <f>AN1180+AP1180+AR1180+AT1180+AV1180+AX1180+AZ1180+BB1180+BD1180+BF1180+BH1180+BJ1180+BL1180+BN1180+BP1180+BR1180+BT1180+BV1180+BX1180+BZ1180+CB1180+CD1180+CF1180+CH1180+CJ1180+CL1180+CN1180+CP1180+CR1180+CT1180</f>
        <v>0</v>
      </c>
      <c r="CV1180" s="76"/>
      <c r="CW1180" s="76">
        <f>+CV1180*1100</f>
        <v>0</v>
      </c>
      <c r="CX1180" s="76"/>
      <c r="CY1180" s="76">
        <f>+CX1180*106250</f>
        <v>0</v>
      </c>
      <c r="CZ1180" s="76"/>
      <c r="DA1180" s="76">
        <f>+CZ1180*34500</f>
        <v>0</v>
      </c>
      <c r="DB1180" s="76"/>
      <c r="DC1180" s="76">
        <f>+DB1180*25000</f>
        <v>0</v>
      </c>
      <c r="DD1180" s="219"/>
      <c r="DE1180" s="219"/>
      <c r="DF1180" s="166"/>
      <c r="DG1180" s="116"/>
      <c r="DH1180" s="117"/>
      <c r="DI1180" s="24"/>
      <c r="DJ1180" s="24"/>
      <c r="DK1180" s="24"/>
      <c r="DL1180" s="24"/>
      <c r="DM1180" s="24"/>
      <c r="DN1180" s="24"/>
      <c r="DO1180" s="24"/>
      <c r="DP1180" s="24"/>
      <c r="DQ1180" s="24"/>
      <c r="DR1180" s="24"/>
      <c r="DS1180" s="24"/>
      <c r="DT1180" s="24"/>
      <c r="DU1180" s="24"/>
    </row>
    <row r="1181" spans="1:125" s="8" customFormat="1" ht="132" x14ac:dyDescent="0.2">
      <c r="A1181" s="77">
        <v>41351</v>
      </c>
      <c r="B1181" s="78" t="s">
        <v>2852</v>
      </c>
      <c r="C1181" s="75" t="s">
        <v>2773</v>
      </c>
      <c r="D1181" s="75" t="s">
        <v>3051</v>
      </c>
      <c r="E1181" s="75">
        <f>VLOOKUP(B1181&amp;C1181,Divipola!$C$2:$F$1138,4,FALSE)</f>
        <v>27</v>
      </c>
      <c r="F1181" s="163"/>
      <c r="G1181" s="163"/>
      <c r="H1181" s="163"/>
      <c r="I1181" s="163"/>
      <c r="J1181" s="163"/>
      <c r="K1181" s="163"/>
      <c r="L1181" s="163"/>
      <c r="M1181" s="163"/>
      <c r="N1181" s="163"/>
      <c r="O1181" s="163"/>
      <c r="P1181" s="163"/>
      <c r="Q1181" s="163"/>
      <c r="R1181" s="163"/>
      <c r="S1181" s="163"/>
      <c r="T1181" s="163"/>
      <c r="U1181" s="163"/>
      <c r="V1181" s="134"/>
      <c r="W1181" s="96">
        <v>0</v>
      </c>
      <c r="X1181" s="71">
        <f>CU1181</f>
        <v>1493776377.76</v>
      </c>
      <c r="Y1181" s="71">
        <f>CY1181</f>
        <v>1094136005.24</v>
      </c>
      <c r="Z1181" s="71">
        <f>DA1181+DC1181+DE1181</f>
        <v>0</v>
      </c>
      <c r="AA1181" s="71">
        <f>CW1181</f>
        <v>0</v>
      </c>
      <c r="AB1181" s="71">
        <v>320000800</v>
      </c>
      <c r="AC1181" s="71">
        <v>100000000</v>
      </c>
      <c r="AD1181" s="71">
        <f>W1181+X1181+Y1181+Z1181+AA1181+AB1181+AC1181</f>
        <v>3007913183</v>
      </c>
      <c r="AE1181" s="72">
        <v>0</v>
      </c>
      <c r="AF1181" s="5"/>
      <c r="AG1181" s="6"/>
      <c r="AH1181" s="27" t="s">
        <v>3390</v>
      </c>
      <c r="AI1181" s="44" t="s">
        <v>3391</v>
      </c>
      <c r="AJ1181" s="26"/>
      <c r="AK1181" s="5"/>
      <c r="AL1181" s="82" t="s">
        <v>5677</v>
      </c>
      <c r="AM1181" s="76"/>
      <c r="AN1181" s="76"/>
      <c r="AO1181" s="76"/>
      <c r="AP1181" s="76"/>
      <c r="AQ1181" s="76"/>
      <c r="AR1181" s="76"/>
      <c r="AS1181" s="76"/>
      <c r="AT1181" s="76"/>
      <c r="AU1181" s="76"/>
      <c r="AV1181" s="76"/>
      <c r="AW1181" s="76"/>
      <c r="AX1181" s="76">
        <f>+AW1181*600000</f>
        <v>0</v>
      </c>
      <c r="AY1181" s="86">
        <v>4000</v>
      </c>
      <c r="AZ1181" s="86">
        <f>+AY1181*72000</f>
        <v>288000000</v>
      </c>
      <c r="BA1181" s="76"/>
      <c r="BB1181" s="76"/>
      <c r="BC1181" s="76"/>
      <c r="BD1181" s="76">
        <f>+BC1181*30000</f>
        <v>0</v>
      </c>
      <c r="BE1181" s="76"/>
      <c r="BF1181" s="76"/>
      <c r="BG1181" s="76"/>
      <c r="BH1181" s="76"/>
      <c r="BI1181" s="76"/>
      <c r="BJ1181" s="76"/>
      <c r="BK1181" s="76"/>
      <c r="BL1181" s="76">
        <f>+BK1181*31500</f>
        <v>0</v>
      </c>
      <c r="BM1181" s="76"/>
      <c r="BN1181" s="76"/>
      <c r="BO1181" s="76"/>
      <c r="BP1181" s="76"/>
      <c r="BQ1181" s="76"/>
      <c r="BR1181" s="76"/>
      <c r="BS1181" s="76"/>
      <c r="BT1181" s="76"/>
      <c r="BU1181" s="76"/>
      <c r="BV1181" s="76"/>
      <c r="BW1181" s="76"/>
      <c r="BX1181" s="76"/>
      <c r="BY1181" s="76"/>
      <c r="BZ1181" s="76"/>
      <c r="CA1181" s="76"/>
      <c r="CB1181" s="76"/>
      <c r="CC1181" s="76"/>
      <c r="CD1181" s="76"/>
      <c r="CE1181" s="76"/>
      <c r="CF1181" s="76">
        <f>+CE1181*28000</f>
        <v>0</v>
      </c>
      <c r="CG1181" s="76"/>
      <c r="CH1181" s="76">
        <f>+CG1181*22500</f>
        <v>0</v>
      </c>
      <c r="CI1181" s="86">
        <v>4000</v>
      </c>
      <c r="CJ1181" s="86">
        <f>2000*28000+2000*25999.08</f>
        <v>107998160</v>
      </c>
      <c r="CK1181" s="76"/>
      <c r="CL1181" s="76"/>
      <c r="CM1181" s="86">
        <v>20464</v>
      </c>
      <c r="CN1181" s="86">
        <f>4116*24000+4000*24000+4116*23999.24+4116*23999.24+4116*21999.4</f>
        <v>482895274.08000004</v>
      </c>
      <c r="CO1181" s="86">
        <v>2000</v>
      </c>
      <c r="CP1181" s="86">
        <f>750*48000+750*45999.8+500*45999.8</f>
        <v>93499750</v>
      </c>
      <c r="CQ1181" s="86">
        <v>10232</v>
      </c>
      <c r="CR1181" s="86">
        <f>2808*51000+2058*50999.4+750*48999.56+2058*53998+500*48999.56+2058*48999.56</f>
        <v>521383193.67999995</v>
      </c>
      <c r="CS1181" s="76"/>
      <c r="CT1181" s="76"/>
      <c r="CU1181" s="56">
        <f>AN1181+AP1181+AR1181+AT1181+AV1181+AX1181+AZ1181+BB1181+BD1181+BF1181+BH1181+BJ1181+BL1181+BN1181+BP1181+BR1181+BT1181+BV1181+BX1181+BZ1181+CB1181+CD1181+CF1181+CH1181+CJ1181+CL1181+CN1181+CP1181+CR1181+CT1181</f>
        <v>1493776377.76</v>
      </c>
      <c r="CV1181" s="76"/>
      <c r="CW1181" s="76">
        <f>+CV1181*1100</f>
        <v>0</v>
      </c>
      <c r="CX1181" s="86">
        <v>10232</v>
      </c>
      <c r="CY1181" s="86">
        <f>2808*107000+2058*108250+750*107166+2058*107663.28+500*105166+2058*105137.5</f>
        <v>1094136005.24</v>
      </c>
      <c r="CZ1181" s="76"/>
      <c r="DA1181" s="76">
        <f>+CZ1181*34500</f>
        <v>0</v>
      </c>
      <c r="DB1181" s="76"/>
      <c r="DC1181" s="76">
        <f>+DB1181*25000</f>
        <v>0</v>
      </c>
      <c r="DD1181" s="219"/>
      <c r="DE1181" s="219"/>
      <c r="DF1181" s="166" t="s">
        <v>3247</v>
      </c>
      <c r="DG1181" s="192" t="s">
        <v>5163</v>
      </c>
      <c r="DH1181" s="117"/>
      <c r="DI1181" s="24"/>
      <c r="DJ1181" s="24"/>
      <c r="DK1181" s="24"/>
      <c r="DL1181" s="24"/>
      <c r="DM1181" s="24"/>
      <c r="DN1181" s="24"/>
      <c r="DO1181" s="24"/>
      <c r="DP1181" s="24"/>
      <c r="DQ1181" s="24"/>
      <c r="DR1181" s="24"/>
      <c r="DS1181" s="24"/>
      <c r="DT1181" s="24"/>
      <c r="DU1181" s="24"/>
    </row>
    <row r="1182" spans="1:125" s="8" customFormat="1" ht="120" x14ac:dyDescent="0.2">
      <c r="A1182" s="353">
        <v>41351</v>
      </c>
      <c r="B1182" s="208" t="s">
        <v>2852</v>
      </c>
      <c r="C1182" s="204" t="s">
        <v>1250</v>
      </c>
      <c r="D1182" s="75" t="s">
        <v>3051</v>
      </c>
      <c r="E1182" s="75" t="str">
        <f>VLOOKUP(B1182&amp;C1182,Divipola!$C$2:$F$1138,4,FALSE)</f>
        <v>27580</v>
      </c>
      <c r="F1182" s="87"/>
      <c r="G1182" s="87"/>
      <c r="H1182" s="87"/>
      <c r="I1182" s="87">
        <v>1225</v>
      </c>
      <c r="J1182" s="87">
        <v>245</v>
      </c>
      <c r="K1182" s="87">
        <v>11</v>
      </c>
      <c r="L1182" s="87">
        <v>222</v>
      </c>
      <c r="M1182" s="87"/>
      <c r="N1182" s="87"/>
      <c r="O1182" s="87"/>
      <c r="P1182" s="87"/>
      <c r="Q1182" s="87"/>
      <c r="R1182" s="87"/>
      <c r="S1182" s="87"/>
      <c r="T1182" s="87"/>
      <c r="U1182" s="88"/>
      <c r="V1182" s="89"/>
      <c r="W1182" s="96">
        <v>0</v>
      </c>
      <c r="X1182" s="71">
        <f>CU1182</f>
        <v>0</v>
      </c>
      <c r="Y1182" s="71">
        <f>CY1182</f>
        <v>0</v>
      </c>
      <c r="Z1182" s="71">
        <f>DA1182+DC1182+DE1182</f>
        <v>0</v>
      </c>
      <c r="AA1182" s="71">
        <f>CW1182</f>
        <v>0</v>
      </c>
      <c r="AB1182" s="71"/>
      <c r="AC1182" s="71">
        <v>0</v>
      </c>
      <c r="AD1182" s="71">
        <f>W1182+X1182+Y1182+Z1182+AA1182+AB1182+AC1182</f>
        <v>0</v>
      </c>
      <c r="AE1182" s="72">
        <v>0</v>
      </c>
      <c r="AF1182" s="5"/>
      <c r="AG1182" s="6"/>
      <c r="AH1182" s="27" t="s">
        <v>3392</v>
      </c>
      <c r="AI1182" s="44" t="s">
        <v>3393</v>
      </c>
      <c r="AJ1182" s="26"/>
      <c r="AK1182" s="5"/>
      <c r="AL1182" s="82" t="s">
        <v>4264</v>
      </c>
      <c r="AM1182" s="76"/>
      <c r="AN1182" s="76"/>
      <c r="AO1182" s="76"/>
      <c r="AP1182" s="76"/>
      <c r="AQ1182" s="76"/>
      <c r="AR1182" s="76"/>
      <c r="AS1182" s="76"/>
      <c r="AT1182" s="76"/>
      <c r="AU1182" s="76"/>
      <c r="AV1182" s="76"/>
      <c r="AW1182" s="76"/>
      <c r="AX1182" s="76">
        <f>+AW1182*600000</f>
        <v>0</v>
      </c>
      <c r="AY1182" s="76"/>
      <c r="AZ1182" s="76">
        <f>+AY1182*70000</f>
        <v>0</v>
      </c>
      <c r="BA1182" s="76"/>
      <c r="BB1182" s="76"/>
      <c r="BC1182" s="76"/>
      <c r="BD1182" s="76">
        <f>+BC1182*30000</f>
        <v>0</v>
      </c>
      <c r="BE1182" s="76"/>
      <c r="BF1182" s="76"/>
      <c r="BG1182" s="76"/>
      <c r="BH1182" s="76"/>
      <c r="BI1182" s="76"/>
      <c r="BJ1182" s="76"/>
      <c r="BK1182" s="76"/>
      <c r="BL1182" s="76">
        <f>+BK1182*31500</f>
        <v>0</v>
      </c>
      <c r="BM1182" s="76"/>
      <c r="BN1182" s="76"/>
      <c r="BO1182" s="76"/>
      <c r="BP1182" s="76"/>
      <c r="BQ1182" s="76"/>
      <c r="BR1182" s="76"/>
      <c r="BS1182" s="76"/>
      <c r="BT1182" s="76"/>
      <c r="BU1182" s="76"/>
      <c r="BV1182" s="76"/>
      <c r="BW1182" s="76"/>
      <c r="BX1182" s="76"/>
      <c r="BY1182" s="76"/>
      <c r="BZ1182" s="76"/>
      <c r="CA1182" s="76"/>
      <c r="CB1182" s="76"/>
      <c r="CC1182" s="76"/>
      <c r="CD1182" s="76"/>
      <c r="CE1182" s="76"/>
      <c r="CF1182" s="76">
        <f>+CE1182*28000</f>
        <v>0</v>
      </c>
      <c r="CG1182" s="76"/>
      <c r="CH1182" s="76">
        <f>+CG1182*22500</f>
        <v>0</v>
      </c>
      <c r="CI1182" s="76"/>
      <c r="CJ1182" s="76">
        <f>+CI1182*26000</f>
        <v>0</v>
      </c>
      <c r="CK1182" s="76"/>
      <c r="CL1182" s="76"/>
      <c r="CM1182" s="76"/>
      <c r="CN1182" s="76">
        <f>+CM1182*22000</f>
        <v>0</v>
      </c>
      <c r="CO1182" s="76"/>
      <c r="CP1182" s="76">
        <f>+CO1182*46000</f>
        <v>0</v>
      </c>
      <c r="CQ1182" s="76"/>
      <c r="CR1182" s="76">
        <f>+CQ1182*49000</f>
        <v>0</v>
      </c>
      <c r="CS1182" s="76"/>
      <c r="CT1182" s="76"/>
      <c r="CU1182" s="56">
        <f>AN1182+AP1182+AR1182+AT1182+AV1182+AX1182+AZ1182+BB1182+BD1182+BF1182+BH1182+BJ1182+BL1182+BN1182+BP1182+BR1182+BT1182+BV1182+BX1182+BZ1182+CB1182+CD1182+CF1182+CH1182+CJ1182+CL1182+CN1182+CP1182+CR1182+CT1182</f>
        <v>0</v>
      </c>
      <c r="CV1182" s="76"/>
      <c r="CW1182" s="76">
        <f>+CV1182*1100</f>
        <v>0</v>
      </c>
      <c r="CX1182" s="76"/>
      <c r="CY1182" s="76">
        <f>+CX1182*106250</f>
        <v>0</v>
      </c>
      <c r="CZ1182" s="76"/>
      <c r="DA1182" s="76">
        <f>+CZ1182*34500</f>
        <v>0</v>
      </c>
      <c r="DB1182" s="76"/>
      <c r="DC1182" s="76">
        <f>+DB1182*25000</f>
        <v>0</v>
      </c>
      <c r="DD1182" s="219"/>
      <c r="DE1182" s="219"/>
      <c r="DF1182" s="166"/>
      <c r="DG1182" s="116"/>
      <c r="DH1182" s="117"/>
      <c r="DI1182" s="24"/>
      <c r="DJ1182" s="24"/>
      <c r="DK1182" s="24"/>
      <c r="DL1182" s="24"/>
      <c r="DM1182" s="24"/>
      <c r="DN1182" s="24"/>
      <c r="DO1182" s="24"/>
      <c r="DP1182" s="24"/>
      <c r="DQ1182" s="24"/>
      <c r="DR1182" s="24"/>
      <c r="DS1182" s="24"/>
      <c r="DT1182" s="24"/>
      <c r="DU1182" s="24"/>
    </row>
    <row r="1183" spans="1:125" s="8" customFormat="1" ht="48" x14ac:dyDescent="0.2">
      <c r="A1183" s="77">
        <v>41351</v>
      </c>
      <c r="B1183" s="78" t="s">
        <v>2852</v>
      </c>
      <c r="C1183" s="75" t="s">
        <v>1252</v>
      </c>
      <c r="D1183" s="75" t="s">
        <v>3051</v>
      </c>
      <c r="E1183" s="75" t="str">
        <f>VLOOKUP(B1183&amp;C1183,Divipola!$C$2:$F$1138,4,FALSE)</f>
        <v>27600</v>
      </c>
      <c r="F1183" s="87"/>
      <c r="G1183" s="87"/>
      <c r="H1183" s="87"/>
      <c r="I1183" s="87">
        <v>5610</v>
      </c>
      <c r="J1183" s="87">
        <v>968</v>
      </c>
      <c r="K1183" s="87"/>
      <c r="L1183" s="87">
        <v>7</v>
      </c>
      <c r="M1183" s="87"/>
      <c r="N1183" s="87"/>
      <c r="O1183" s="87"/>
      <c r="P1183" s="87"/>
      <c r="Q1183" s="87">
        <v>2</v>
      </c>
      <c r="R1183" s="87"/>
      <c r="S1183" s="87"/>
      <c r="T1183" s="87"/>
      <c r="U1183" s="88"/>
      <c r="V1183" s="89"/>
      <c r="W1183" s="96">
        <v>0</v>
      </c>
      <c r="X1183" s="71">
        <f>CU1183</f>
        <v>335896000</v>
      </c>
      <c r="Y1183" s="71">
        <f>CY1183</f>
        <v>103576000</v>
      </c>
      <c r="Z1183" s="71">
        <f>DA1183+DC1183+DE1183</f>
        <v>489354800</v>
      </c>
      <c r="AA1183" s="71">
        <f>CW1183</f>
        <v>0</v>
      </c>
      <c r="AB1183" s="71"/>
      <c r="AC1183" s="71">
        <v>0</v>
      </c>
      <c r="AD1183" s="71">
        <f>W1183+X1183+Y1183+Z1183+AA1183+AB1183+AC1183</f>
        <v>928826800</v>
      </c>
      <c r="AE1183" s="72">
        <v>0</v>
      </c>
      <c r="AF1183" s="5"/>
      <c r="AG1183" s="6"/>
      <c r="AH1183" s="27" t="s">
        <v>3390</v>
      </c>
      <c r="AI1183" s="44" t="s">
        <v>3391</v>
      </c>
      <c r="AJ1183" s="26"/>
      <c r="AK1183" s="5"/>
      <c r="AL1183" s="82" t="s">
        <v>5019</v>
      </c>
      <c r="AM1183" s="76"/>
      <c r="AN1183" s="76"/>
      <c r="AO1183" s="76"/>
      <c r="AP1183" s="76"/>
      <c r="AQ1183" s="76"/>
      <c r="AR1183" s="76"/>
      <c r="AS1183" s="76"/>
      <c r="AT1183" s="76"/>
      <c r="AU1183" s="76"/>
      <c r="AV1183" s="76"/>
      <c r="AW1183" s="76"/>
      <c r="AX1183" s="76">
        <f>+AW1183*600000</f>
        <v>0</v>
      </c>
      <c r="AY1183" s="86">
        <v>1936</v>
      </c>
      <c r="AZ1183" s="86">
        <f>+AY1183*72000</f>
        <v>139392000</v>
      </c>
      <c r="BA1183" s="76"/>
      <c r="BB1183" s="76"/>
      <c r="BC1183" s="76"/>
      <c r="BD1183" s="76">
        <f>+BC1183*30000</f>
        <v>0</v>
      </c>
      <c r="BE1183" s="76"/>
      <c r="BF1183" s="76"/>
      <c r="BG1183" s="76"/>
      <c r="BH1183" s="76"/>
      <c r="BI1183" s="76"/>
      <c r="BJ1183" s="76"/>
      <c r="BK1183" s="76"/>
      <c r="BL1183" s="76">
        <f>+BK1183*31500</f>
        <v>0</v>
      </c>
      <c r="BM1183" s="76"/>
      <c r="BN1183" s="76"/>
      <c r="BO1183" s="76"/>
      <c r="BP1183" s="76"/>
      <c r="BQ1183" s="76"/>
      <c r="BR1183" s="76"/>
      <c r="BS1183" s="76"/>
      <c r="BT1183" s="76"/>
      <c r="BU1183" s="76"/>
      <c r="BV1183" s="76"/>
      <c r="BW1183" s="76"/>
      <c r="BX1183" s="76"/>
      <c r="BY1183" s="76"/>
      <c r="BZ1183" s="76"/>
      <c r="CA1183" s="76"/>
      <c r="CB1183" s="76"/>
      <c r="CC1183" s="76"/>
      <c r="CD1183" s="76"/>
      <c r="CE1183" s="76"/>
      <c r="CF1183" s="76">
        <f>+CE1183*28000</f>
        <v>0</v>
      </c>
      <c r="CG1183" s="76"/>
      <c r="CH1183" s="76">
        <f>+CG1183*22500</f>
        <v>0</v>
      </c>
      <c r="CI1183" s="86">
        <v>1936</v>
      </c>
      <c r="CJ1183" s="86">
        <f>+CI1183*28000</f>
        <v>54208000</v>
      </c>
      <c r="CK1183" s="76"/>
      <c r="CL1183" s="76"/>
      <c r="CM1183" s="86">
        <v>1936</v>
      </c>
      <c r="CN1183" s="86">
        <f>+CM1183*24000</f>
        <v>46464000</v>
      </c>
      <c r="CO1183" s="86">
        <v>968</v>
      </c>
      <c r="CP1183" s="86">
        <f>+CO1183*48000</f>
        <v>46464000</v>
      </c>
      <c r="CQ1183" s="86">
        <v>968</v>
      </c>
      <c r="CR1183" s="86">
        <f>+CQ1183*51000</f>
        <v>49368000</v>
      </c>
      <c r="CS1183" s="76"/>
      <c r="CT1183" s="76"/>
      <c r="CU1183" s="56">
        <f>AN1183+AP1183+AR1183+AT1183+AV1183+AX1183+AZ1183+BB1183+BD1183+BF1183+BH1183+BJ1183+BL1183+BN1183+BP1183+BR1183+BT1183+BV1183+BX1183+BZ1183+CB1183+CD1183+CF1183+CH1183+CJ1183+CL1183+CN1183+CP1183+CR1183+CT1183</f>
        <v>335896000</v>
      </c>
      <c r="CV1183" s="76"/>
      <c r="CW1183" s="76">
        <f>+CV1183*1100</f>
        <v>0</v>
      </c>
      <c r="CX1183" s="86">
        <v>968</v>
      </c>
      <c r="CY1183" s="86">
        <f>+CX1183*107000</f>
        <v>103576000</v>
      </c>
      <c r="CZ1183" s="76"/>
      <c r="DA1183" s="76">
        <f>+CZ1183*34500</f>
        <v>0</v>
      </c>
      <c r="DB1183" s="76"/>
      <c r="DC1183" s="76">
        <f>+DB1183*25000</f>
        <v>0</v>
      </c>
      <c r="DD1183" s="221" t="s">
        <v>5018</v>
      </c>
      <c r="DE1183" s="309">
        <v>489354800</v>
      </c>
      <c r="DF1183" s="166"/>
      <c r="DG1183" s="192" t="s">
        <v>5883</v>
      </c>
      <c r="DH1183" s="117"/>
      <c r="DI1183" s="24"/>
      <c r="DJ1183" s="24"/>
      <c r="DK1183" s="24"/>
      <c r="DL1183" s="24"/>
      <c r="DM1183" s="24"/>
      <c r="DN1183" s="24"/>
      <c r="DO1183" s="24"/>
      <c r="DP1183" s="24"/>
      <c r="DQ1183" s="24"/>
      <c r="DR1183" s="24"/>
      <c r="DS1183" s="24"/>
      <c r="DT1183" s="24"/>
      <c r="DU1183" s="24"/>
    </row>
    <row r="1184" spans="1:125" s="8" customFormat="1" ht="72" x14ac:dyDescent="0.2">
      <c r="A1184" s="226">
        <v>41351</v>
      </c>
      <c r="B1184" s="225" t="s">
        <v>2772</v>
      </c>
      <c r="C1184" s="227" t="s">
        <v>488</v>
      </c>
      <c r="D1184" s="84" t="s">
        <v>3088</v>
      </c>
      <c r="E1184" s="75" t="str">
        <f>VLOOKUP(B1184&amp;C1184,Divipola!$C$2:$F$1138,4,FALSE)</f>
        <v>25823</v>
      </c>
      <c r="F1184" s="87"/>
      <c r="G1184" s="87"/>
      <c r="H1184" s="87"/>
      <c r="I1184" s="87"/>
      <c r="J1184" s="87"/>
      <c r="K1184" s="87"/>
      <c r="L1184" s="87"/>
      <c r="M1184" s="87">
        <v>1</v>
      </c>
      <c r="N1184" s="87"/>
      <c r="O1184" s="87"/>
      <c r="P1184" s="87"/>
      <c r="Q1184" s="87"/>
      <c r="R1184" s="87"/>
      <c r="S1184" s="87"/>
      <c r="T1184" s="87"/>
      <c r="U1184" s="88"/>
      <c r="V1184" s="89"/>
      <c r="W1184" s="96">
        <v>0</v>
      </c>
      <c r="X1184" s="71">
        <f>CU1184</f>
        <v>0</v>
      </c>
      <c r="Y1184" s="71">
        <f>CY1184</f>
        <v>0</v>
      </c>
      <c r="Z1184" s="71">
        <f>DA1184+DC1184+DE1184</f>
        <v>0</v>
      </c>
      <c r="AA1184" s="71">
        <f>CW1184</f>
        <v>0</v>
      </c>
      <c r="AB1184" s="71"/>
      <c r="AC1184" s="71">
        <v>0</v>
      </c>
      <c r="AD1184" s="71">
        <f>W1184+X1184+Y1184+Z1184+AA1184+AB1184+AC1184</f>
        <v>0</v>
      </c>
      <c r="AE1184" s="72">
        <v>0</v>
      </c>
      <c r="AF1184" s="5"/>
      <c r="AG1184" s="6"/>
      <c r="AH1184" s="27" t="s">
        <v>3392</v>
      </c>
      <c r="AI1184" s="44" t="s">
        <v>3393</v>
      </c>
      <c r="AJ1184" s="26"/>
      <c r="AK1184" s="5"/>
      <c r="AL1184" s="82" t="s">
        <v>4020</v>
      </c>
      <c r="AM1184" s="76"/>
      <c r="AN1184" s="76"/>
      <c r="AO1184" s="76"/>
      <c r="AP1184" s="76"/>
      <c r="AQ1184" s="76"/>
      <c r="AR1184" s="76"/>
      <c r="AS1184" s="76"/>
      <c r="AT1184" s="76"/>
      <c r="AU1184" s="76"/>
      <c r="AV1184" s="76"/>
      <c r="AW1184" s="76"/>
      <c r="AX1184" s="76">
        <f>+AW1184*600000</f>
        <v>0</v>
      </c>
      <c r="AY1184" s="76"/>
      <c r="AZ1184" s="76">
        <f>+AY1184*70000</f>
        <v>0</v>
      </c>
      <c r="BA1184" s="76"/>
      <c r="BB1184" s="76"/>
      <c r="BC1184" s="76"/>
      <c r="BD1184" s="76">
        <f>+BC1184*30000</f>
        <v>0</v>
      </c>
      <c r="BE1184" s="76"/>
      <c r="BF1184" s="76"/>
      <c r="BG1184" s="76"/>
      <c r="BH1184" s="76"/>
      <c r="BI1184" s="76"/>
      <c r="BJ1184" s="76"/>
      <c r="BK1184" s="76"/>
      <c r="BL1184" s="76">
        <f>+BK1184*31500</f>
        <v>0</v>
      </c>
      <c r="BM1184" s="76"/>
      <c r="BN1184" s="76"/>
      <c r="BO1184" s="76"/>
      <c r="BP1184" s="76"/>
      <c r="BQ1184" s="76"/>
      <c r="BR1184" s="76"/>
      <c r="BS1184" s="76"/>
      <c r="BT1184" s="76"/>
      <c r="BU1184" s="76"/>
      <c r="BV1184" s="76"/>
      <c r="BW1184" s="76"/>
      <c r="BX1184" s="76"/>
      <c r="BY1184" s="76"/>
      <c r="BZ1184" s="76"/>
      <c r="CA1184" s="76"/>
      <c r="CB1184" s="76"/>
      <c r="CC1184" s="76"/>
      <c r="CD1184" s="76"/>
      <c r="CE1184" s="76"/>
      <c r="CF1184" s="76">
        <f>+CE1184*28000</f>
        <v>0</v>
      </c>
      <c r="CG1184" s="76"/>
      <c r="CH1184" s="76">
        <f>+CG1184*22500</f>
        <v>0</v>
      </c>
      <c r="CI1184" s="76"/>
      <c r="CJ1184" s="76">
        <f>+CI1184*26000</f>
        <v>0</v>
      </c>
      <c r="CK1184" s="76"/>
      <c r="CL1184" s="76"/>
      <c r="CM1184" s="76"/>
      <c r="CN1184" s="76">
        <f>+CM1184*22000</f>
        <v>0</v>
      </c>
      <c r="CO1184" s="76"/>
      <c r="CP1184" s="76">
        <f>+CO1184*46000</f>
        <v>0</v>
      </c>
      <c r="CQ1184" s="76"/>
      <c r="CR1184" s="76">
        <f>+CQ1184*49000</f>
        <v>0</v>
      </c>
      <c r="CS1184" s="76"/>
      <c r="CT1184" s="76"/>
      <c r="CU1184" s="56">
        <f>AN1184+AP1184+AR1184+AT1184+AV1184+AX1184+AZ1184+BB1184+BD1184+BF1184+BH1184+BJ1184+BL1184+BN1184+BP1184+BR1184+BT1184+BV1184+BX1184+BZ1184+CB1184+CD1184+CF1184+CH1184+CJ1184+CL1184+CN1184+CP1184+CR1184+CT1184</f>
        <v>0</v>
      </c>
      <c r="CV1184" s="76"/>
      <c r="CW1184" s="76">
        <f>+CV1184*1100</f>
        <v>0</v>
      </c>
      <c r="CX1184" s="76"/>
      <c r="CY1184" s="76">
        <f>+CX1184*106250</f>
        <v>0</v>
      </c>
      <c r="CZ1184" s="76"/>
      <c r="DA1184" s="76">
        <f>+CZ1184*34500</f>
        <v>0</v>
      </c>
      <c r="DB1184" s="76"/>
      <c r="DC1184" s="76">
        <f>+DB1184*25000</f>
        <v>0</v>
      </c>
      <c r="DD1184" s="219"/>
      <c r="DE1184" s="219"/>
      <c r="DF1184" s="166"/>
      <c r="DG1184" s="116"/>
      <c r="DH1184" s="117"/>
      <c r="DI1184" s="24"/>
      <c r="DJ1184" s="24"/>
      <c r="DK1184" s="24"/>
      <c r="DL1184" s="24"/>
      <c r="DM1184" s="24"/>
      <c r="DN1184" s="24"/>
      <c r="DO1184" s="24"/>
      <c r="DP1184" s="24"/>
      <c r="DQ1184" s="24"/>
      <c r="DR1184" s="24"/>
      <c r="DS1184" s="24"/>
      <c r="DT1184" s="24"/>
      <c r="DU1184" s="24"/>
    </row>
    <row r="1185" spans="1:125" s="8" customFormat="1" ht="108" x14ac:dyDescent="0.2">
      <c r="A1185" s="226">
        <v>41351</v>
      </c>
      <c r="B1185" s="225" t="s">
        <v>2772</v>
      </c>
      <c r="C1185" s="227" t="s">
        <v>2157</v>
      </c>
      <c r="D1185" s="84" t="s">
        <v>3088</v>
      </c>
      <c r="E1185" s="75" t="str">
        <f>VLOOKUP(B1185&amp;C1185,Divipola!$C$2:$F$1138,4,FALSE)</f>
        <v>25885</v>
      </c>
      <c r="F1185" s="87"/>
      <c r="G1185" s="87"/>
      <c r="H1185" s="87"/>
      <c r="I1185" s="87"/>
      <c r="J1185" s="87"/>
      <c r="K1185" s="87"/>
      <c r="L1185" s="87"/>
      <c r="M1185" s="87">
        <v>1</v>
      </c>
      <c r="N1185" s="87"/>
      <c r="O1185" s="87"/>
      <c r="P1185" s="87"/>
      <c r="Q1185" s="87"/>
      <c r="R1185" s="87"/>
      <c r="S1185" s="87"/>
      <c r="T1185" s="87"/>
      <c r="U1185" s="88">
        <v>8</v>
      </c>
      <c r="V1185" s="89"/>
      <c r="W1185" s="96">
        <v>0</v>
      </c>
      <c r="X1185" s="71">
        <f>CU1185</f>
        <v>0</v>
      </c>
      <c r="Y1185" s="71">
        <f>CY1185</f>
        <v>0</v>
      </c>
      <c r="Z1185" s="71">
        <f>DA1185+DC1185+DE1185</f>
        <v>0</v>
      </c>
      <c r="AA1185" s="71">
        <f>CW1185</f>
        <v>0</v>
      </c>
      <c r="AB1185" s="71"/>
      <c r="AC1185" s="71">
        <v>0</v>
      </c>
      <c r="AD1185" s="71">
        <f>W1185+X1185+Y1185+Z1185+AA1185+AB1185+AC1185</f>
        <v>0</v>
      </c>
      <c r="AE1185" s="72">
        <v>0</v>
      </c>
      <c r="AF1185" s="5"/>
      <c r="AG1185" s="6"/>
      <c r="AH1185" s="27" t="s">
        <v>3392</v>
      </c>
      <c r="AI1185" s="44" t="s">
        <v>3393</v>
      </c>
      <c r="AJ1185" s="26"/>
      <c r="AK1185" s="5"/>
      <c r="AL1185" s="82" t="s">
        <v>4019</v>
      </c>
      <c r="AM1185" s="76"/>
      <c r="AN1185" s="76"/>
      <c r="AO1185" s="76"/>
      <c r="AP1185" s="76"/>
      <c r="AQ1185" s="76"/>
      <c r="AR1185" s="76"/>
      <c r="AS1185" s="76"/>
      <c r="AT1185" s="76"/>
      <c r="AU1185" s="76"/>
      <c r="AV1185" s="76"/>
      <c r="AW1185" s="76"/>
      <c r="AX1185" s="76">
        <f>+AW1185*600000</f>
        <v>0</v>
      </c>
      <c r="AY1185" s="76"/>
      <c r="AZ1185" s="76">
        <f>+AY1185*70000</f>
        <v>0</v>
      </c>
      <c r="BA1185" s="76"/>
      <c r="BB1185" s="76"/>
      <c r="BC1185" s="76"/>
      <c r="BD1185" s="76">
        <f>+BC1185*30000</f>
        <v>0</v>
      </c>
      <c r="BE1185" s="76"/>
      <c r="BF1185" s="76"/>
      <c r="BG1185" s="76"/>
      <c r="BH1185" s="76"/>
      <c r="BI1185" s="76"/>
      <c r="BJ1185" s="76"/>
      <c r="BK1185" s="76"/>
      <c r="BL1185" s="76">
        <f>+BK1185*31500</f>
        <v>0</v>
      </c>
      <c r="BM1185" s="76"/>
      <c r="BN1185" s="76"/>
      <c r="BO1185" s="76"/>
      <c r="BP1185" s="76"/>
      <c r="BQ1185" s="76"/>
      <c r="BR1185" s="76"/>
      <c r="BS1185" s="76"/>
      <c r="BT1185" s="76"/>
      <c r="BU1185" s="76"/>
      <c r="BV1185" s="76"/>
      <c r="BW1185" s="76"/>
      <c r="BX1185" s="76"/>
      <c r="BY1185" s="76"/>
      <c r="BZ1185" s="76"/>
      <c r="CA1185" s="76"/>
      <c r="CB1185" s="76"/>
      <c r="CC1185" s="76"/>
      <c r="CD1185" s="76"/>
      <c r="CE1185" s="76"/>
      <c r="CF1185" s="76">
        <f>+CE1185*28000</f>
        <v>0</v>
      </c>
      <c r="CG1185" s="76"/>
      <c r="CH1185" s="76">
        <f>+CG1185*22500</f>
        <v>0</v>
      </c>
      <c r="CI1185" s="76"/>
      <c r="CJ1185" s="76">
        <f>+CI1185*26000</f>
        <v>0</v>
      </c>
      <c r="CK1185" s="76"/>
      <c r="CL1185" s="76"/>
      <c r="CM1185" s="76"/>
      <c r="CN1185" s="76">
        <f>+CM1185*22000</f>
        <v>0</v>
      </c>
      <c r="CO1185" s="76"/>
      <c r="CP1185" s="76">
        <f>+CO1185*46000</f>
        <v>0</v>
      </c>
      <c r="CQ1185" s="76"/>
      <c r="CR1185" s="76">
        <f>+CQ1185*49000</f>
        <v>0</v>
      </c>
      <c r="CS1185" s="76"/>
      <c r="CT1185" s="76"/>
      <c r="CU1185" s="56">
        <f>AN1185+AP1185+AR1185+AT1185+AV1185+AX1185+AZ1185+BB1185+BD1185+BF1185+BH1185+BJ1185+BL1185+BN1185+BP1185+BR1185+BT1185+BV1185+BX1185+BZ1185+CB1185+CD1185+CF1185+CH1185+CJ1185+CL1185+CN1185+CP1185+CR1185+CT1185</f>
        <v>0</v>
      </c>
      <c r="CV1185" s="76"/>
      <c r="CW1185" s="76">
        <f>+CV1185*1100</f>
        <v>0</v>
      </c>
      <c r="CX1185" s="76"/>
      <c r="CY1185" s="76">
        <f>+CX1185*106250</f>
        <v>0</v>
      </c>
      <c r="CZ1185" s="76"/>
      <c r="DA1185" s="76">
        <f>+CZ1185*34500</f>
        <v>0</v>
      </c>
      <c r="DB1185" s="76"/>
      <c r="DC1185" s="76">
        <f>+DB1185*25000</f>
        <v>0</v>
      </c>
      <c r="DD1185" s="219"/>
      <c r="DE1185" s="219"/>
      <c r="DF1185" s="166"/>
      <c r="DG1185" s="116"/>
      <c r="DH1185" s="117"/>
      <c r="DI1185" s="24"/>
      <c r="DJ1185" s="24"/>
      <c r="DK1185" s="24"/>
      <c r="DL1185" s="24"/>
      <c r="DM1185" s="24"/>
      <c r="DN1185" s="24"/>
      <c r="DO1185" s="24"/>
      <c r="DP1185" s="24"/>
      <c r="DQ1185" s="24"/>
      <c r="DR1185" s="24"/>
      <c r="DS1185" s="24"/>
      <c r="DT1185" s="24"/>
      <c r="DU1185" s="24"/>
    </row>
    <row r="1186" spans="1:125" s="8" customFormat="1" ht="409.5" x14ac:dyDescent="0.2">
      <c r="A1186" s="226">
        <v>41351</v>
      </c>
      <c r="B1186" s="225" t="s">
        <v>2661</v>
      </c>
      <c r="C1186" s="227" t="s">
        <v>2085</v>
      </c>
      <c r="D1186" s="227" t="s">
        <v>3205</v>
      </c>
      <c r="E1186" s="75" t="str">
        <f>VLOOKUP(B1186&amp;C1186,Divipola!$C$2:$F$1138,4,FALSE)</f>
        <v>41676</v>
      </c>
      <c r="F1186" s="87"/>
      <c r="G1186" s="87">
        <v>4</v>
      </c>
      <c r="H1186" s="87"/>
      <c r="I1186" s="87">
        <v>1165</v>
      </c>
      <c r="J1186" s="87">
        <v>341</v>
      </c>
      <c r="K1186" s="87">
        <v>8</v>
      </c>
      <c r="L1186" s="87">
        <v>41</v>
      </c>
      <c r="M1186" s="87">
        <v>11</v>
      </c>
      <c r="N1186" s="87">
        <v>10</v>
      </c>
      <c r="O1186" s="87">
        <v>14</v>
      </c>
      <c r="P1186" s="87">
        <v>4</v>
      </c>
      <c r="Q1186" s="87"/>
      <c r="R1186" s="87"/>
      <c r="S1186" s="87">
        <v>8</v>
      </c>
      <c r="T1186" s="87"/>
      <c r="U1186" s="88"/>
      <c r="V1186" s="89">
        <v>4</v>
      </c>
      <c r="W1186" s="96">
        <f>14250000+4500000</f>
        <v>18750000</v>
      </c>
      <c r="X1186" s="71">
        <f>CU1186</f>
        <v>14350843.719999999</v>
      </c>
      <c r="Y1186" s="71">
        <f>CY1186</f>
        <v>19666042</v>
      </c>
      <c r="Z1186" s="71">
        <f>DA1186+DC1186+DE1186</f>
        <v>115396933.28</v>
      </c>
      <c r="AA1186" s="71">
        <f>CW1186</f>
        <v>0</v>
      </c>
      <c r="AB1186" s="71"/>
      <c r="AC1186" s="71">
        <v>0</v>
      </c>
      <c r="AD1186" s="71">
        <f>W1186+X1186+Y1186+Z1186+AA1186+AB1186+AC1186</f>
        <v>168163819</v>
      </c>
      <c r="AE1186" s="72">
        <v>0</v>
      </c>
      <c r="AF1186" s="5"/>
      <c r="AG1186" s="6"/>
      <c r="AH1186" s="27" t="s">
        <v>3390</v>
      </c>
      <c r="AI1186" s="44" t="s">
        <v>3391</v>
      </c>
      <c r="AJ1186" s="26"/>
      <c r="AK1186" s="5"/>
      <c r="AL1186" s="82" t="s">
        <v>4870</v>
      </c>
      <c r="AM1186" s="76"/>
      <c r="AN1186" s="76"/>
      <c r="AO1186" s="76"/>
      <c r="AP1186" s="76"/>
      <c r="AQ1186" s="76"/>
      <c r="AR1186" s="76"/>
      <c r="AS1186" s="76"/>
      <c r="AT1186" s="76"/>
      <c r="AU1186" s="76"/>
      <c r="AV1186" s="76"/>
      <c r="AW1186" s="76"/>
      <c r="AX1186" s="76">
        <f>+AW1186*600000</f>
        <v>0</v>
      </c>
      <c r="AY1186" s="86">
        <v>50</v>
      </c>
      <c r="AZ1186" s="86">
        <f>+AY1186*90518.28</f>
        <v>4525914</v>
      </c>
      <c r="BA1186" s="76"/>
      <c r="BB1186" s="76"/>
      <c r="BC1186" s="76"/>
      <c r="BD1186" s="76">
        <f>+BC1186*30000</f>
        <v>0</v>
      </c>
      <c r="BE1186" s="76"/>
      <c r="BF1186" s="76"/>
      <c r="BG1186" s="76"/>
      <c r="BH1186" s="76"/>
      <c r="BI1186" s="76"/>
      <c r="BJ1186" s="76"/>
      <c r="BK1186" s="76"/>
      <c r="BL1186" s="76">
        <f>+BK1186*31500</f>
        <v>0</v>
      </c>
      <c r="BM1186" s="76"/>
      <c r="BN1186" s="76"/>
      <c r="BO1186" s="76"/>
      <c r="BP1186" s="76"/>
      <c r="BQ1186" s="76"/>
      <c r="BR1186" s="76"/>
      <c r="BS1186" s="76"/>
      <c r="BT1186" s="76"/>
      <c r="BU1186" s="76"/>
      <c r="BV1186" s="76"/>
      <c r="BW1186" s="76"/>
      <c r="BX1186" s="76"/>
      <c r="BY1186" s="76"/>
      <c r="BZ1186" s="76"/>
      <c r="CA1186" s="76"/>
      <c r="CB1186" s="76"/>
      <c r="CC1186" s="76"/>
      <c r="CD1186" s="76"/>
      <c r="CE1186" s="76"/>
      <c r="CF1186" s="76">
        <f>+CE1186*28000</f>
        <v>0</v>
      </c>
      <c r="CG1186" s="76"/>
      <c r="CH1186" s="76">
        <f>+CG1186*22500</f>
        <v>0</v>
      </c>
      <c r="CI1186" s="86">
        <v>50</v>
      </c>
      <c r="CJ1186" s="86">
        <f>+CI1186*22499.36</f>
        <v>1124968</v>
      </c>
      <c r="CK1186" s="76"/>
      <c r="CL1186" s="76"/>
      <c r="CM1186" s="76"/>
      <c r="CN1186" s="76">
        <f>+CM1186*22000</f>
        <v>0</v>
      </c>
      <c r="CO1186" s="86">
        <v>187</v>
      </c>
      <c r="CP1186" s="86">
        <f>+CO1186*45999.8</f>
        <v>8601962.5999999996</v>
      </c>
      <c r="CQ1186" s="86">
        <v>2</v>
      </c>
      <c r="CR1186" s="86">
        <f>+CQ1186*48999.56</f>
        <v>97999.12</v>
      </c>
      <c r="CS1186" s="76"/>
      <c r="CT1186" s="76"/>
      <c r="CU1186" s="56">
        <f>AN1186+AP1186+AR1186+AT1186+AV1186+AX1186+AZ1186+BB1186+BD1186+BF1186+BH1186+BJ1186+BL1186+BN1186+BP1186+BR1186+BT1186+BV1186+BX1186+BZ1186+CB1186+CD1186+CF1186+CH1186+CJ1186+CL1186+CN1186+CP1186+CR1186+CT1186</f>
        <v>14350843.719999999</v>
      </c>
      <c r="CV1186" s="76"/>
      <c r="CW1186" s="76">
        <f>+CV1186*1100</f>
        <v>0</v>
      </c>
      <c r="CX1186" s="86">
        <v>187</v>
      </c>
      <c r="CY1186" s="86">
        <f>+CX1186*105166</f>
        <v>19666042</v>
      </c>
      <c r="CZ1186" s="76"/>
      <c r="DA1186" s="76">
        <f>+CZ1186*34500</f>
        <v>0</v>
      </c>
      <c r="DB1186" s="76"/>
      <c r="DC1186" s="76">
        <f>+DB1186*25000</f>
        <v>0</v>
      </c>
      <c r="DD1186" s="222" t="s">
        <v>5481</v>
      </c>
      <c r="DE1186" s="223">
        <f>160*22999.32+19*33749.04+15*73349.12+150*89999.76+96475609.52</f>
        <v>115396933.28</v>
      </c>
      <c r="DF1186" s="166"/>
      <c r="DG1186" s="192" t="s">
        <v>5480</v>
      </c>
      <c r="DH1186" s="117"/>
      <c r="DI1186" s="24"/>
      <c r="DJ1186" s="24"/>
      <c r="DK1186" s="24"/>
      <c r="DL1186" s="24"/>
      <c r="DM1186" s="24"/>
      <c r="DN1186" s="24"/>
      <c r="DO1186" s="24"/>
      <c r="DP1186" s="24"/>
      <c r="DQ1186" s="24"/>
      <c r="DR1186" s="24"/>
      <c r="DS1186" s="24"/>
      <c r="DT1186" s="24"/>
      <c r="DU1186" s="24"/>
    </row>
    <row r="1187" spans="1:125" s="8" customFormat="1" ht="48" x14ac:dyDescent="0.2">
      <c r="A1187" s="226">
        <v>41351</v>
      </c>
      <c r="B1187" s="225" t="s">
        <v>2847</v>
      </c>
      <c r="C1187" s="227" t="s">
        <v>1731</v>
      </c>
      <c r="D1187" s="81" t="s">
        <v>2846</v>
      </c>
      <c r="E1187" s="75" t="str">
        <f>VLOOKUP(B1187&amp;C1187,Divipola!$C$2:$F$1138,4,FALSE)</f>
        <v>68425</v>
      </c>
      <c r="F1187" s="100"/>
      <c r="G1187" s="100"/>
      <c r="H1187" s="100"/>
      <c r="I1187" s="100"/>
      <c r="J1187" s="100"/>
      <c r="K1187" s="100"/>
      <c r="L1187" s="100"/>
      <c r="M1187" s="100"/>
      <c r="N1187" s="100"/>
      <c r="O1187" s="100"/>
      <c r="P1187" s="100"/>
      <c r="Q1187" s="100"/>
      <c r="R1187" s="100"/>
      <c r="S1187" s="100"/>
      <c r="T1187" s="100"/>
      <c r="U1187" s="136"/>
      <c r="V1187" s="89"/>
      <c r="W1187" s="96">
        <v>0</v>
      </c>
      <c r="X1187" s="71">
        <f>CU1187</f>
        <v>0</v>
      </c>
      <c r="Y1187" s="71">
        <f>CY1187</f>
        <v>0</v>
      </c>
      <c r="Z1187" s="71">
        <f>DA1187+DC1187+DE1187</f>
        <v>0</v>
      </c>
      <c r="AA1187" s="71">
        <f>CW1187</f>
        <v>0</v>
      </c>
      <c r="AB1187" s="71"/>
      <c r="AC1187" s="71">
        <v>0</v>
      </c>
      <c r="AD1187" s="71">
        <f>W1187+X1187+Y1187+Z1187+AA1187+AB1187+AC1187</f>
        <v>0</v>
      </c>
      <c r="AE1187" s="72">
        <v>0</v>
      </c>
      <c r="AF1187" s="5"/>
      <c r="AG1187" s="6"/>
      <c r="AH1187" s="27" t="s">
        <v>3392</v>
      </c>
      <c r="AI1187" s="44" t="s">
        <v>3393</v>
      </c>
      <c r="AJ1187" s="26"/>
      <c r="AK1187" s="5"/>
      <c r="AL1187" s="82" t="s">
        <v>3988</v>
      </c>
      <c r="AM1187" s="76"/>
      <c r="AN1187" s="76"/>
      <c r="AO1187" s="76"/>
      <c r="AP1187" s="76"/>
      <c r="AQ1187" s="76"/>
      <c r="AR1187" s="76"/>
      <c r="AS1187" s="76"/>
      <c r="AT1187" s="76"/>
      <c r="AU1187" s="76"/>
      <c r="AV1187" s="76"/>
      <c r="AW1187" s="76"/>
      <c r="AX1187" s="76">
        <f>+AW1187*600000</f>
        <v>0</v>
      </c>
      <c r="AY1187" s="76"/>
      <c r="AZ1187" s="76">
        <f>+AY1187*70000</f>
        <v>0</v>
      </c>
      <c r="BA1187" s="76"/>
      <c r="BB1187" s="76"/>
      <c r="BC1187" s="76"/>
      <c r="BD1187" s="76">
        <f>+BC1187*30000</f>
        <v>0</v>
      </c>
      <c r="BE1187" s="76"/>
      <c r="BF1187" s="76"/>
      <c r="BG1187" s="76"/>
      <c r="BH1187" s="76"/>
      <c r="BI1187" s="76"/>
      <c r="BJ1187" s="76"/>
      <c r="BK1187" s="76"/>
      <c r="BL1187" s="76">
        <f>+BK1187*31500</f>
        <v>0</v>
      </c>
      <c r="BM1187" s="76"/>
      <c r="BN1187" s="76"/>
      <c r="BO1187" s="76"/>
      <c r="BP1187" s="76"/>
      <c r="BQ1187" s="76"/>
      <c r="BR1187" s="76"/>
      <c r="BS1187" s="76"/>
      <c r="BT1187" s="76"/>
      <c r="BU1187" s="76"/>
      <c r="BV1187" s="76"/>
      <c r="BW1187" s="76"/>
      <c r="BX1187" s="76"/>
      <c r="BY1187" s="76"/>
      <c r="BZ1187" s="76"/>
      <c r="CA1187" s="76"/>
      <c r="CB1187" s="76"/>
      <c r="CC1187" s="76"/>
      <c r="CD1187" s="76"/>
      <c r="CE1187" s="76"/>
      <c r="CF1187" s="76">
        <f>+CE1187*28000</f>
        <v>0</v>
      </c>
      <c r="CG1187" s="76"/>
      <c r="CH1187" s="76">
        <f>+CG1187*22500</f>
        <v>0</v>
      </c>
      <c r="CI1187" s="76"/>
      <c r="CJ1187" s="76">
        <f>+CI1187*26000</f>
        <v>0</v>
      </c>
      <c r="CK1187" s="76"/>
      <c r="CL1187" s="76"/>
      <c r="CM1187" s="76"/>
      <c r="CN1187" s="76">
        <f>+CM1187*22000</f>
        <v>0</v>
      </c>
      <c r="CO1187" s="76"/>
      <c r="CP1187" s="76">
        <f>+CO1187*46000</f>
        <v>0</v>
      </c>
      <c r="CQ1187" s="76"/>
      <c r="CR1187" s="76">
        <f>+CQ1187*49000</f>
        <v>0</v>
      </c>
      <c r="CS1187" s="76"/>
      <c r="CT1187" s="76"/>
      <c r="CU1187" s="56">
        <f>AN1187+AP1187+AR1187+AT1187+AV1187+AX1187+AZ1187+BB1187+BD1187+BF1187+BH1187+BJ1187+BL1187+BN1187+BP1187+BR1187+BT1187+BV1187+BX1187+BZ1187+CB1187+CD1187+CF1187+CH1187+CJ1187+CL1187+CN1187+CP1187+CR1187+CT1187</f>
        <v>0</v>
      </c>
      <c r="CV1187" s="76"/>
      <c r="CW1187" s="76">
        <f>+CV1187*1100</f>
        <v>0</v>
      </c>
      <c r="CX1187" s="76"/>
      <c r="CY1187" s="76">
        <f>+CX1187*106250</f>
        <v>0</v>
      </c>
      <c r="CZ1187" s="76"/>
      <c r="DA1187" s="76">
        <f>+CZ1187*34500</f>
        <v>0</v>
      </c>
      <c r="DB1187" s="76"/>
      <c r="DC1187" s="76">
        <f>+DB1187*25000</f>
        <v>0</v>
      </c>
      <c r="DD1187" s="219"/>
      <c r="DE1187" s="219"/>
      <c r="DF1187" s="166"/>
      <c r="DG1187" s="116"/>
      <c r="DH1187" s="117"/>
      <c r="DI1187" s="24"/>
      <c r="DJ1187" s="24"/>
      <c r="DK1187" s="24"/>
      <c r="DL1187" s="24"/>
      <c r="DM1187" s="24"/>
      <c r="DN1187" s="24"/>
      <c r="DO1187" s="24"/>
      <c r="DP1187" s="24"/>
      <c r="DQ1187" s="24"/>
      <c r="DR1187" s="24"/>
      <c r="DS1187" s="24"/>
      <c r="DT1187" s="24"/>
      <c r="DU1187" s="24"/>
    </row>
    <row r="1188" spans="1:125" s="8" customFormat="1" ht="36" x14ac:dyDescent="0.2">
      <c r="A1188" s="226">
        <v>41351</v>
      </c>
      <c r="B1188" s="78" t="s">
        <v>2848</v>
      </c>
      <c r="C1188" s="75" t="s">
        <v>2077</v>
      </c>
      <c r="D1188" s="84" t="s">
        <v>3088</v>
      </c>
      <c r="E1188" s="75" t="str">
        <f>VLOOKUP(B1188&amp;C1188,Divipola!$C$2:$F$1138,4,FALSE)</f>
        <v>73411</v>
      </c>
      <c r="F1188" s="93"/>
      <c r="G1188" s="93"/>
      <c r="H1188" s="93"/>
      <c r="I1188" s="93"/>
      <c r="J1188" s="93"/>
      <c r="K1188" s="93"/>
      <c r="L1188" s="93"/>
      <c r="M1188" s="93"/>
      <c r="N1188" s="93"/>
      <c r="O1188" s="93"/>
      <c r="P1188" s="93"/>
      <c r="Q1188" s="93"/>
      <c r="R1188" s="93"/>
      <c r="S1188" s="93"/>
      <c r="T1188" s="93"/>
      <c r="U1188" s="93"/>
      <c r="V1188" s="89"/>
      <c r="W1188" s="96">
        <v>0</v>
      </c>
      <c r="X1188" s="71">
        <f>CU1188</f>
        <v>0</v>
      </c>
      <c r="Y1188" s="71">
        <f>CY1188</f>
        <v>0</v>
      </c>
      <c r="Z1188" s="71">
        <f>DA1188+DC1188+DE1188</f>
        <v>0</v>
      </c>
      <c r="AA1188" s="71">
        <f>CW1188</f>
        <v>0</v>
      </c>
      <c r="AB1188" s="71"/>
      <c r="AC1188" s="71">
        <v>0</v>
      </c>
      <c r="AD1188" s="71">
        <f>W1188+X1188+Y1188+Z1188+AA1188+AB1188+AC1188</f>
        <v>0</v>
      </c>
      <c r="AE1188" s="72">
        <v>0</v>
      </c>
      <c r="AF1188" s="5"/>
      <c r="AG1188" s="6"/>
      <c r="AH1188" s="27" t="s">
        <v>3392</v>
      </c>
      <c r="AI1188" s="44" t="s">
        <v>3393</v>
      </c>
      <c r="AJ1188" s="26"/>
      <c r="AK1188" s="5"/>
      <c r="AL1188" s="82" t="s">
        <v>3981</v>
      </c>
      <c r="AM1188" s="76"/>
      <c r="AN1188" s="76"/>
      <c r="AO1188" s="76"/>
      <c r="AP1188" s="76"/>
      <c r="AQ1188" s="76"/>
      <c r="AR1188" s="76"/>
      <c r="AS1188" s="76"/>
      <c r="AT1188" s="76"/>
      <c r="AU1188" s="76"/>
      <c r="AV1188" s="76"/>
      <c r="AW1188" s="76"/>
      <c r="AX1188" s="76">
        <f>+AW1188*600000</f>
        <v>0</v>
      </c>
      <c r="AY1188" s="76"/>
      <c r="AZ1188" s="76">
        <f>+AY1188*70000</f>
        <v>0</v>
      </c>
      <c r="BA1188" s="76"/>
      <c r="BB1188" s="76"/>
      <c r="BC1188" s="76"/>
      <c r="BD1188" s="76">
        <f>+BC1188*30000</f>
        <v>0</v>
      </c>
      <c r="BE1188" s="76"/>
      <c r="BF1188" s="76"/>
      <c r="BG1188" s="76"/>
      <c r="BH1188" s="76"/>
      <c r="BI1188" s="76"/>
      <c r="BJ1188" s="76"/>
      <c r="BK1188" s="76"/>
      <c r="BL1188" s="76">
        <f>+BK1188*31500</f>
        <v>0</v>
      </c>
      <c r="BM1188" s="76"/>
      <c r="BN1188" s="76"/>
      <c r="BO1188" s="76"/>
      <c r="BP1188" s="76"/>
      <c r="BQ1188" s="76"/>
      <c r="BR1188" s="76"/>
      <c r="BS1188" s="76"/>
      <c r="BT1188" s="76"/>
      <c r="BU1188" s="76"/>
      <c r="BV1188" s="76"/>
      <c r="BW1188" s="76"/>
      <c r="BX1188" s="76"/>
      <c r="BY1188" s="76"/>
      <c r="BZ1188" s="76"/>
      <c r="CA1188" s="76"/>
      <c r="CB1188" s="76"/>
      <c r="CC1188" s="76"/>
      <c r="CD1188" s="76"/>
      <c r="CE1188" s="76"/>
      <c r="CF1188" s="76">
        <f>+CE1188*28000</f>
        <v>0</v>
      </c>
      <c r="CG1188" s="76"/>
      <c r="CH1188" s="76">
        <f>+CG1188*22500</f>
        <v>0</v>
      </c>
      <c r="CI1188" s="76"/>
      <c r="CJ1188" s="76">
        <f>+CI1188*26000</f>
        <v>0</v>
      </c>
      <c r="CK1188" s="76"/>
      <c r="CL1188" s="76"/>
      <c r="CM1188" s="76"/>
      <c r="CN1188" s="76">
        <f>+CM1188*22000</f>
        <v>0</v>
      </c>
      <c r="CO1188" s="76"/>
      <c r="CP1188" s="76">
        <f>+CO1188*46000</f>
        <v>0</v>
      </c>
      <c r="CQ1188" s="76"/>
      <c r="CR1188" s="76">
        <f>+CQ1188*49000</f>
        <v>0</v>
      </c>
      <c r="CS1188" s="76"/>
      <c r="CT1188" s="76"/>
      <c r="CU1188" s="56">
        <f>AN1188+AP1188+AR1188+AT1188+AV1188+AX1188+AZ1188+BB1188+BD1188+BF1188+BH1188+BJ1188+BL1188+BN1188+BP1188+BR1188+BT1188+BV1188+BX1188+BZ1188+CB1188+CD1188+CF1188+CH1188+CJ1188+CL1188+CN1188+CP1188+CR1188+CT1188</f>
        <v>0</v>
      </c>
      <c r="CV1188" s="76"/>
      <c r="CW1188" s="76">
        <f>+CV1188*1100</f>
        <v>0</v>
      </c>
      <c r="CX1188" s="76"/>
      <c r="CY1188" s="76">
        <f>+CX1188*106250</f>
        <v>0</v>
      </c>
      <c r="CZ1188" s="76"/>
      <c r="DA1188" s="76">
        <f>+CZ1188*34500</f>
        <v>0</v>
      </c>
      <c r="DB1188" s="76"/>
      <c r="DC1188" s="76">
        <f>+DB1188*25000</f>
        <v>0</v>
      </c>
      <c r="DD1188" s="219"/>
      <c r="DE1188" s="219"/>
      <c r="DF1188" s="166"/>
      <c r="DG1188" s="116"/>
      <c r="DH1188" s="117"/>
      <c r="DI1188" s="24"/>
      <c r="DJ1188" s="24"/>
      <c r="DK1188" s="24"/>
      <c r="DL1188" s="24"/>
      <c r="DM1188" s="24"/>
      <c r="DN1188" s="24"/>
      <c r="DO1188" s="24"/>
      <c r="DP1188" s="24"/>
      <c r="DQ1188" s="24"/>
      <c r="DR1188" s="24"/>
      <c r="DS1188" s="24"/>
      <c r="DT1188" s="24"/>
      <c r="DU1188" s="24"/>
    </row>
    <row r="1189" spans="1:125" s="8" customFormat="1" ht="48" x14ac:dyDescent="0.2">
      <c r="A1189" s="77">
        <v>41351</v>
      </c>
      <c r="B1189" s="78" t="s">
        <v>2851</v>
      </c>
      <c r="C1189" s="75" t="s">
        <v>1939</v>
      </c>
      <c r="D1189" s="75" t="s">
        <v>2142</v>
      </c>
      <c r="E1189" s="75" t="str">
        <f>VLOOKUP(B1189&amp;C1189,Divipola!$C$2:$F$1138,4,FALSE)</f>
        <v>76126</v>
      </c>
      <c r="F1189" s="87"/>
      <c r="G1189" s="87"/>
      <c r="H1189" s="87"/>
      <c r="I1189" s="87">
        <v>50</v>
      </c>
      <c r="J1189" s="87"/>
      <c r="K1189" s="87"/>
      <c r="L1189" s="87"/>
      <c r="M1189" s="87"/>
      <c r="N1189" s="87"/>
      <c r="O1189" s="87"/>
      <c r="P1189" s="87"/>
      <c r="Q1189" s="87"/>
      <c r="R1189" s="87"/>
      <c r="S1189" s="87"/>
      <c r="T1189" s="87"/>
      <c r="U1189" s="87"/>
      <c r="V1189" s="89"/>
      <c r="W1189" s="96">
        <v>0</v>
      </c>
      <c r="X1189" s="71">
        <f>CU1189</f>
        <v>0</v>
      </c>
      <c r="Y1189" s="71">
        <f>CY1189</f>
        <v>0</v>
      </c>
      <c r="Z1189" s="71">
        <f>DA1189+DC1189+DE1189</f>
        <v>0</v>
      </c>
      <c r="AA1189" s="71">
        <f>CW1189</f>
        <v>0</v>
      </c>
      <c r="AB1189" s="71"/>
      <c r="AC1189" s="71">
        <v>0</v>
      </c>
      <c r="AD1189" s="71">
        <f>W1189+X1189+Y1189+Z1189+AA1189+AB1189+AC1189</f>
        <v>0</v>
      </c>
      <c r="AE1189" s="72">
        <v>0</v>
      </c>
      <c r="AF1189" s="5"/>
      <c r="AG1189" s="6"/>
      <c r="AH1189" s="27" t="s">
        <v>3392</v>
      </c>
      <c r="AI1189" s="44" t="s">
        <v>3393</v>
      </c>
      <c r="AJ1189" s="26"/>
      <c r="AK1189" s="5"/>
      <c r="AL1189" s="82" t="s">
        <v>3987</v>
      </c>
      <c r="AM1189" s="76"/>
      <c r="AN1189" s="76"/>
      <c r="AO1189" s="76"/>
      <c r="AP1189" s="76"/>
      <c r="AQ1189" s="76"/>
      <c r="AR1189" s="76"/>
      <c r="AS1189" s="76"/>
      <c r="AT1189" s="76"/>
      <c r="AU1189" s="76"/>
      <c r="AV1189" s="76"/>
      <c r="AW1189" s="76"/>
      <c r="AX1189" s="76">
        <f>+AW1189*600000</f>
        <v>0</v>
      </c>
      <c r="AY1189" s="76"/>
      <c r="AZ1189" s="76">
        <f>+AY1189*70000</f>
        <v>0</v>
      </c>
      <c r="BA1189" s="76"/>
      <c r="BB1189" s="76"/>
      <c r="BC1189" s="76"/>
      <c r="BD1189" s="76">
        <f>+BC1189*30000</f>
        <v>0</v>
      </c>
      <c r="BE1189" s="76"/>
      <c r="BF1189" s="76"/>
      <c r="BG1189" s="76"/>
      <c r="BH1189" s="76"/>
      <c r="BI1189" s="76"/>
      <c r="BJ1189" s="76"/>
      <c r="BK1189" s="76"/>
      <c r="BL1189" s="76">
        <f>+BK1189*31500</f>
        <v>0</v>
      </c>
      <c r="BM1189" s="76"/>
      <c r="BN1189" s="76"/>
      <c r="BO1189" s="76"/>
      <c r="BP1189" s="76"/>
      <c r="BQ1189" s="76"/>
      <c r="BR1189" s="76"/>
      <c r="BS1189" s="76"/>
      <c r="BT1189" s="76"/>
      <c r="BU1189" s="76"/>
      <c r="BV1189" s="76"/>
      <c r="BW1189" s="76"/>
      <c r="BX1189" s="76"/>
      <c r="BY1189" s="76"/>
      <c r="BZ1189" s="76"/>
      <c r="CA1189" s="76"/>
      <c r="CB1189" s="76"/>
      <c r="CC1189" s="76"/>
      <c r="CD1189" s="76"/>
      <c r="CE1189" s="76"/>
      <c r="CF1189" s="76">
        <f>+CE1189*28000</f>
        <v>0</v>
      </c>
      <c r="CG1189" s="76"/>
      <c r="CH1189" s="76">
        <f>+CG1189*22500</f>
        <v>0</v>
      </c>
      <c r="CI1189" s="76"/>
      <c r="CJ1189" s="76">
        <f>+CI1189*26000</f>
        <v>0</v>
      </c>
      <c r="CK1189" s="76"/>
      <c r="CL1189" s="76"/>
      <c r="CM1189" s="76"/>
      <c r="CN1189" s="76">
        <f>+CM1189*22000</f>
        <v>0</v>
      </c>
      <c r="CO1189" s="76"/>
      <c r="CP1189" s="76">
        <f>+CO1189*46000</f>
        <v>0</v>
      </c>
      <c r="CQ1189" s="76"/>
      <c r="CR1189" s="76">
        <f>+CQ1189*49000</f>
        <v>0</v>
      </c>
      <c r="CS1189" s="76"/>
      <c r="CT1189" s="76"/>
      <c r="CU1189" s="56">
        <f>AN1189+AP1189+AR1189+AT1189+AV1189+AX1189+AZ1189+BB1189+BD1189+BF1189+BH1189+BJ1189+BL1189+BN1189+BP1189+BR1189+BT1189+BV1189+BX1189+BZ1189+CB1189+CD1189+CF1189+CH1189+CJ1189+CL1189+CN1189+CP1189+CR1189+CT1189</f>
        <v>0</v>
      </c>
      <c r="CV1189" s="76"/>
      <c r="CW1189" s="76">
        <f>+CV1189*1100</f>
        <v>0</v>
      </c>
      <c r="CX1189" s="76"/>
      <c r="CY1189" s="76">
        <f>+CX1189*106250</f>
        <v>0</v>
      </c>
      <c r="CZ1189" s="76"/>
      <c r="DA1189" s="76">
        <f>+CZ1189*34500</f>
        <v>0</v>
      </c>
      <c r="DB1189" s="76"/>
      <c r="DC1189" s="76">
        <f>+DB1189*25000</f>
        <v>0</v>
      </c>
      <c r="DD1189" s="219"/>
      <c r="DE1189" s="219"/>
      <c r="DF1189" s="166"/>
      <c r="DG1189" s="116"/>
      <c r="DH1189" s="117"/>
      <c r="DI1189" s="24"/>
      <c r="DJ1189" s="24"/>
      <c r="DK1189" s="24"/>
      <c r="DL1189" s="24"/>
      <c r="DM1189" s="24"/>
      <c r="DN1189" s="24"/>
      <c r="DO1189" s="24"/>
      <c r="DP1189" s="24"/>
      <c r="DQ1189" s="24"/>
      <c r="DR1189" s="24"/>
      <c r="DS1189" s="24"/>
      <c r="DT1189" s="24"/>
      <c r="DU1189" s="24"/>
    </row>
    <row r="1190" spans="1:125" s="8" customFormat="1" ht="120" x14ac:dyDescent="0.2">
      <c r="A1190" s="226">
        <v>41351</v>
      </c>
      <c r="B1190" s="225" t="s">
        <v>2851</v>
      </c>
      <c r="C1190" s="227" t="s">
        <v>2122</v>
      </c>
      <c r="D1190" s="75" t="s">
        <v>3051</v>
      </c>
      <c r="E1190" s="75" t="str">
        <f>VLOOKUP(B1190&amp;C1190,Divipola!$C$2:$F$1138,4,FALSE)</f>
        <v>76147</v>
      </c>
      <c r="F1190" s="87"/>
      <c r="G1190" s="87"/>
      <c r="H1190" s="87"/>
      <c r="I1190" s="87"/>
      <c r="J1190" s="87"/>
      <c r="K1190" s="87"/>
      <c r="L1190" s="87"/>
      <c r="M1190" s="87"/>
      <c r="N1190" s="87"/>
      <c r="O1190" s="87"/>
      <c r="P1190" s="87"/>
      <c r="Q1190" s="87">
        <v>1</v>
      </c>
      <c r="R1190" s="87"/>
      <c r="S1190" s="87"/>
      <c r="T1190" s="87"/>
      <c r="U1190" s="88"/>
      <c r="V1190" s="89"/>
      <c r="W1190" s="96">
        <v>0</v>
      </c>
      <c r="X1190" s="71">
        <f>CU1190</f>
        <v>0</v>
      </c>
      <c r="Y1190" s="71">
        <f>CY1190</f>
        <v>0</v>
      </c>
      <c r="Z1190" s="71">
        <f>DA1190+DC1190+DE1190</f>
        <v>0</v>
      </c>
      <c r="AA1190" s="71">
        <f>CW1190</f>
        <v>0</v>
      </c>
      <c r="AB1190" s="71"/>
      <c r="AC1190" s="71">
        <v>0</v>
      </c>
      <c r="AD1190" s="71">
        <f>W1190+X1190+Y1190+Z1190+AA1190+AB1190+AC1190</f>
        <v>0</v>
      </c>
      <c r="AE1190" s="72">
        <v>0</v>
      </c>
      <c r="AF1190" s="5"/>
      <c r="AG1190" s="6"/>
      <c r="AH1190" s="27" t="s">
        <v>3392</v>
      </c>
      <c r="AI1190" s="44" t="s">
        <v>3393</v>
      </c>
      <c r="AJ1190" s="26"/>
      <c r="AK1190" s="5"/>
      <c r="AL1190" s="82" t="s">
        <v>3980</v>
      </c>
      <c r="AM1190" s="76"/>
      <c r="AN1190" s="76"/>
      <c r="AO1190" s="76"/>
      <c r="AP1190" s="76"/>
      <c r="AQ1190" s="76"/>
      <c r="AR1190" s="76"/>
      <c r="AS1190" s="76"/>
      <c r="AT1190" s="76"/>
      <c r="AU1190" s="76"/>
      <c r="AV1190" s="76"/>
      <c r="AW1190" s="76"/>
      <c r="AX1190" s="76">
        <f>+AW1190*600000</f>
        <v>0</v>
      </c>
      <c r="AY1190" s="76"/>
      <c r="AZ1190" s="76">
        <f>+AY1190*70000</f>
        <v>0</v>
      </c>
      <c r="BA1190" s="76"/>
      <c r="BB1190" s="76"/>
      <c r="BC1190" s="76"/>
      <c r="BD1190" s="76">
        <f>+BC1190*30000</f>
        <v>0</v>
      </c>
      <c r="BE1190" s="76"/>
      <c r="BF1190" s="76"/>
      <c r="BG1190" s="76"/>
      <c r="BH1190" s="76"/>
      <c r="BI1190" s="76"/>
      <c r="BJ1190" s="76"/>
      <c r="BK1190" s="76"/>
      <c r="BL1190" s="76">
        <f>+BK1190*31500</f>
        <v>0</v>
      </c>
      <c r="BM1190" s="76"/>
      <c r="BN1190" s="76"/>
      <c r="BO1190" s="76"/>
      <c r="BP1190" s="76"/>
      <c r="BQ1190" s="76"/>
      <c r="BR1190" s="76"/>
      <c r="BS1190" s="76"/>
      <c r="BT1190" s="76"/>
      <c r="BU1190" s="76"/>
      <c r="BV1190" s="76"/>
      <c r="BW1190" s="76"/>
      <c r="BX1190" s="76"/>
      <c r="BY1190" s="76"/>
      <c r="BZ1190" s="76"/>
      <c r="CA1190" s="76"/>
      <c r="CB1190" s="76"/>
      <c r="CC1190" s="76"/>
      <c r="CD1190" s="76"/>
      <c r="CE1190" s="76"/>
      <c r="CF1190" s="76">
        <f>+CE1190*28000</f>
        <v>0</v>
      </c>
      <c r="CG1190" s="76"/>
      <c r="CH1190" s="76">
        <f>+CG1190*22500</f>
        <v>0</v>
      </c>
      <c r="CI1190" s="76"/>
      <c r="CJ1190" s="76">
        <f>+CI1190*26000</f>
        <v>0</v>
      </c>
      <c r="CK1190" s="76"/>
      <c r="CL1190" s="76"/>
      <c r="CM1190" s="76"/>
      <c r="CN1190" s="76">
        <f>+CM1190*22000</f>
        <v>0</v>
      </c>
      <c r="CO1190" s="76"/>
      <c r="CP1190" s="76">
        <f>+CO1190*46000</f>
        <v>0</v>
      </c>
      <c r="CQ1190" s="76"/>
      <c r="CR1190" s="76">
        <f>+CQ1190*49000</f>
        <v>0</v>
      </c>
      <c r="CS1190" s="76"/>
      <c r="CT1190" s="76"/>
      <c r="CU1190" s="56">
        <f>AN1190+AP1190+AR1190+AT1190+AV1190+AX1190+AZ1190+BB1190+BD1190+BF1190+BH1190+BJ1190+BL1190+BN1190+BP1190+BR1190+BT1190+BV1190+BX1190+BZ1190+CB1190+CD1190+CF1190+CH1190+CJ1190+CL1190+CN1190+CP1190+CR1190+CT1190</f>
        <v>0</v>
      </c>
      <c r="CV1190" s="76"/>
      <c r="CW1190" s="76">
        <f>+CV1190*1100</f>
        <v>0</v>
      </c>
      <c r="CX1190" s="76"/>
      <c r="CY1190" s="76">
        <f>+CX1190*106250</f>
        <v>0</v>
      </c>
      <c r="CZ1190" s="76"/>
      <c r="DA1190" s="76">
        <f>+CZ1190*34500</f>
        <v>0</v>
      </c>
      <c r="DB1190" s="76"/>
      <c r="DC1190" s="76">
        <f>+DB1190*25000</f>
        <v>0</v>
      </c>
      <c r="DD1190" s="219"/>
      <c r="DE1190" s="219"/>
      <c r="DF1190" s="166"/>
      <c r="DG1190" s="116"/>
      <c r="DH1190" s="117"/>
      <c r="DI1190" s="24"/>
      <c r="DJ1190" s="24"/>
      <c r="DK1190" s="24"/>
      <c r="DL1190" s="24"/>
      <c r="DM1190" s="24"/>
      <c r="DN1190" s="24"/>
      <c r="DO1190" s="24"/>
      <c r="DP1190" s="24"/>
      <c r="DQ1190" s="24"/>
      <c r="DR1190" s="24"/>
      <c r="DS1190" s="24"/>
      <c r="DT1190" s="24"/>
      <c r="DU1190" s="24"/>
    </row>
    <row r="1191" spans="1:125" s="8" customFormat="1" ht="60" x14ac:dyDescent="0.2">
      <c r="A1191" s="77">
        <v>41352</v>
      </c>
      <c r="B1191" s="78" t="s">
        <v>2894</v>
      </c>
      <c r="C1191" s="75" t="s">
        <v>2421</v>
      </c>
      <c r="D1191" s="75" t="s">
        <v>3051</v>
      </c>
      <c r="E1191" s="75" t="str">
        <f>VLOOKUP(B1191&amp;C1191,Divipola!$C$2:$F$1138,4,FALSE)</f>
        <v>05197</v>
      </c>
      <c r="F1191" s="87"/>
      <c r="G1191" s="87"/>
      <c r="H1191" s="87"/>
      <c r="I1191" s="87"/>
      <c r="J1191" s="87"/>
      <c r="K1191" s="87"/>
      <c r="L1191" s="87"/>
      <c r="M1191" s="87"/>
      <c r="N1191" s="87"/>
      <c r="O1191" s="87"/>
      <c r="P1191" s="87"/>
      <c r="Q1191" s="87"/>
      <c r="R1191" s="87"/>
      <c r="S1191" s="191"/>
      <c r="T1191" s="87"/>
      <c r="U1191" s="88"/>
      <c r="V1191" s="89"/>
      <c r="W1191" s="96">
        <v>0</v>
      </c>
      <c r="X1191" s="71">
        <f>CU1191</f>
        <v>0</v>
      </c>
      <c r="Y1191" s="71">
        <f>CY1191</f>
        <v>0</v>
      </c>
      <c r="Z1191" s="71">
        <f>DA1191+DC1191+DE1191</f>
        <v>0</v>
      </c>
      <c r="AA1191" s="71">
        <f>CW1191</f>
        <v>0</v>
      </c>
      <c r="AB1191" s="71"/>
      <c r="AC1191" s="71">
        <v>0</v>
      </c>
      <c r="AD1191" s="71">
        <f>W1191+X1191+Y1191+Z1191+AA1191+AB1191+AC1191</f>
        <v>0</v>
      </c>
      <c r="AE1191" s="72">
        <v>0</v>
      </c>
      <c r="AF1191" s="5"/>
      <c r="AG1191" s="6"/>
      <c r="AH1191" s="27" t="s">
        <v>3392</v>
      </c>
      <c r="AI1191" s="44" t="s">
        <v>3393</v>
      </c>
      <c r="AJ1191" s="26"/>
      <c r="AK1191" s="5"/>
      <c r="AL1191" s="82" t="s">
        <v>3996</v>
      </c>
      <c r="AM1191" s="76"/>
      <c r="AN1191" s="76"/>
      <c r="AO1191" s="76"/>
      <c r="AP1191" s="76"/>
      <c r="AQ1191" s="76"/>
      <c r="AR1191" s="76"/>
      <c r="AS1191" s="76"/>
      <c r="AT1191" s="76"/>
      <c r="AU1191" s="76"/>
      <c r="AV1191" s="76"/>
      <c r="AW1191" s="76"/>
      <c r="AX1191" s="76">
        <f>+AW1191*600000</f>
        <v>0</v>
      </c>
      <c r="AY1191" s="76"/>
      <c r="AZ1191" s="76">
        <f>+AY1191*70000</f>
        <v>0</v>
      </c>
      <c r="BA1191" s="76"/>
      <c r="BB1191" s="76"/>
      <c r="BC1191" s="76"/>
      <c r="BD1191" s="76">
        <f>+BC1191*30000</f>
        <v>0</v>
      </c>
      <c r="BE1191" s="76"/>
      <c r="BF1191" s="76"/>
      <c r="BG1191" s="76"/>
      <c r="BH1191" s="76"/>
      <c r="BI1191" s="76"/>
      <c r="BJ1191" s="76"/>
      <c r="BK1191" s="76"/>
      <c r="BL1191" s="76">
        <f>+BK1191*31500</f>
        <v>0</v>
      </c>
      <c r="BM1191" s="76"/>
      <c r="BN1191" s="76"/>
      <c r="BO1191" s="76"/>
      <c r="BP1191" s="76"/>
      <c r="BQ1191" s="76"/>
      <c r="BR1191" s="76"/>
      <c r="BS1191" s="76"/>
      <c r="BT1191" s="76"/>
      <c r="BU1191" s="76"/>
      <c r="BV1191" s="76"/>
      <c r="BW1191" s="76"/>
      <c r="BX1191" s="76"/>
      <c r="BY1191" s="76"/>
      <c r="BZ1191" s="76"/>
      <c r="CA1191" s="76"/>
      <c r="CB1191" s="76"/>
      <c r="CC1191" s="76"/>
      <c r="CD1191" s="76"/>
      <c r="CE1191" s="76"/>
      <c r="CF1191" s="76">
        <f>+CE1191*28000</f>
        <v>0</v>
      </c>
      <c r="CG1191" s="76"/>
      <c r="CH1191" s="76">
        <f>+CG1191*22500</f>
        <v>0</v>
      </c>
      <c r="CI1191" s="76"/>
      <c r="CJ1191" s="76">
        <f>+CI1191*26000</f>
        <v>0</v>
      </c>
      <c r="CK1191" s="76"/>
      <c r="CL1191" s="76"/>
      <c r="CM1191" s="76"/>
      <c r="CN1191" s="76">
        <f>+CM1191*22000</f>
        <v>0</v>
      </c>
      <c r="CO1191" s="76"/>
      <c r="CP1191" s="76">
        <f>+CO1191*46000</f>
        <v>0</v>
      </c>
      <c r="CQ1191" s="76"/>
      <c r="CR1191" s="76">
        <f>+CQ1191*49000</f>
        <v>0</v>
      </c>
      <c r="CS1191" s="76"/>
      <c r="CT1191" s="76"/>
      <c r="CU1191" s="56">
        <f>AN1191+AP1191+AR1191+AT1191+AV1191+AX1191+AZ1191+BB1191+BD1191+BF1191+BH1191+BJ1191+BL1191+BN1191+BP1191+BR1191+BT1191+BV1191+BX1191+BZ1191+CB1191+CD1191+CF1191+CH1191+CJ1191+CL1191+CN1191+CP1191+CR1191+CT1191</f>
        <v>0</v>
      </c>
      <c r="CV1191" s="76"/>
      <c r="CW1191" s="76">
        <f>+CV1191*1100</f>
        <v>0</v>
      </c>
      <c r="CX1191" s="76"/>
      <c r="CY1191" s="76">
        <f>+CX1191*106250</f>
        <v>0</v>
      </c>
      <c r="CZ1191" s="76"/>
      <c r="DA1191" s="76">
        <f>+CZ1191*34500</f>
        <v>0</v>
      </c>
      <c r="DB1191" s="76"/>
      <c r="DC1191" s="76">
        <f>+DB1191*25000</f>
        <v>0</v>
      </c>
      <c r="DD1191" s="219"/>
      <c r="DE1191" s="219"/>
      <c r="DF1191" s="166"/>
      <c r="DG1191" s="116"/>
      <c r="DH1191" s="117"/>
      <c r="DI1191" s="24"/>
      <c r="DJ1191" s="24"/>
      <c r="DK1191" s="24"/>
      <c r="DL1191" s="24"/>
      <c r="DM1191" s="24"/>
      <c r="DN1191" s="24"/>
      <c r="DO1191" s="24"/>
      <c r="DP1191" s="24"/>
      <c r="DQ1191" s="24"/>
      <c r="DR1191" s="24"/>
      <c r="DS1191" s="24"/>
      <c r="DT1191" s="24"/>
      <c r="DU1191" s="24"/>
    </row>
    <row r="1192" spans="1:125" s="8" customFormat="1" ht="48" x14ac:dyDescent="0.2">
      <c r="A1192" s="77">
        <v>41352</v>
      </c>
      <c r="B1192" s="225" t="s">
        <v>2036</v>
      </c>
      <c r="C1192" s="227" t="s">
        <v>2036</v>
      </c>
      <c r="D1192" s="81" t="s">
        <v>2846</v>
      </c>
      <c r="E1192" s="75" t="str">
        <f>VLOOKUP(B1192&amp;C1192,Divipola!$C$2:$F$1138,4,FALSE)</f>
        <v>81001</v>
      </c>
      <c r="F1192" s="87"/>
      <c r="G1192" s="87"/>
      <c r="H1192" s="87"/>
      <c r="I1192" s="87"/>
      <c r="J1192" s="87"/>
      <c r="K1192" s="87"/>
      <c r="L1192" s="87"/>
      <c r="M1192" s="87"/>
      <c r="N1192" s="87"/>
      <c r="O1192" s="87"/>
      <c r="P1192" s="87"/>
      <c r="Q1192" s="87"/>
      <c r="R1192" s="87"/>
      <c r="S1192" s="87"/>
      <c r="T1192" s="87"/>
      <c r="U1192" s="88">
        <v>30</v>
      </c>
      <c r="V1192" s="89"/>
      <c r="W1192" s="96">
        <v>0</v>
      </c>
      <c r="X1192" s="71">
        <f>CU1192</f>
        <v>0</v>
      </c>
      <c r="Y1192" s="71">
        <f>CY1192</f>
        <v>0</v>
      </c>
      <c r="Z1192" s="71">
        <f>DA1192+DC1192+DE1192</f>
        <v>0</v>
      </c>
      <c r="AA1192" s="71">
        <f>CW1192</f>
        <v>0</v>
      </c>
      <c r="AB1192" s="71"/>
      <c r="AC1192" s="71">
        <v>0</v>
      </c>
      <c r="AD1192" s="71">
        <f>W1192+X1192+Y1192+Z1192+AA1192+AB1192+AC1192</f>
        <v>0</v>
      </c>
      <c r="AE1192" s="72">
        <v>0</v>
      </c>
      <c r="AF1192" s="5"/>
      <c r="AG1192" s="6"/>
      <c r="AH1192" s="27" t="s">
        <v>3392</v>
      </c>
      <c r="AI1192" s="44" t="s">
        <v>3393</v>
      </c>
      <c r="AJ1192" s="26"/>
      <c r="AK1192" s="5"/>
      <c r="AL1192" s="82" t="s">
        <v>3999</v>
      </c>
      <c r="AM1192" s="76"/>
      <c r="AN1192" s="76"/>
      <c r="AO1192" s="76"/>
      <c r="AP1192" s="76"/>
      <c r="AQ1192" s="76"/>
      <c r="AR1192" s="76"/>
      <c r="AS1192" s="76"/>
      <c r="AT1192" s="76"/>
      <c r="AU1192" s="76"/>
      <c r="AV1192" s="76"/>
      <c r="AW1192" s="76"/>
      <c r="AX1192" s="76">
        <f>+AW1192*600000</f>
        <v>0</v>
      </c>
      <c r="AY1192" s="76"/>
      <c r="AZ1192" s="76">
        <f>+AY1192*70000</f>
        <v>0</v>
      </c>
      <c r="BA1192" s="76"/>
      <c r="BB1192" s="76"/>
      <c r="BC1192" s="76"/>
      <c r="BD1192" s="76">
        <f>+BC1192*30000</f>
        <v>0</v>
      </c>
      <c r="BE1192" s="76"/>
      <c r="BF1192" s="76"/>
      <c r="BG1192" s="76"/>
      <c r="BH1192" s="76"/>
      <c r="BI1192" s="76"/>
      <c r="BJ1192" s="76"/>
      <c r="BK1192" s="76"/>
      <c r="BL1192" s="76">
        <f>+BK1192*31500</f>
        <v>0</v>
      </c>
      <c r="BM1192" s="76"/>
      <c r="BN1192" s="76"/>
      <c r="BO1192" s="76"/>
      <c r="BP1192" s="76"/>
      <c r="BQ1192" s="76"/>
      <c r="BR1192" s="76"/>
      <c r="BS1192" s="76"/>
      <c r="BT1192" s="76"/>
      <c r="BU1192" s="76"/>
      <c r="BV1192" s="76"/>
      <c r="BW1192" s="76"/>
      <c r="BX1192" s="76"/>
      <c r="BY1192" s="76"/>
      <c r="BZ1192" s="76"/>
      <c r="CA1192" s="76"/>
      <c r="CB1192" s="76"/>
      <c r="CC1192" s="76"/>
      <c r="CD1192" s="76"/>
      <c r="CE1192" s="76"/>
      <c r="CF1192" s="76">
        <f>+CE1192*28000</f>
        <v>0</v>
      </c>
      <c r="CG1192" s="76"/>
      <c r="CH1192" s="76">
        <f>+CG1192*22500</f>
        <v>0</v>
      </c>
      <c r="CI1192" s="76"/>
      <c r="CJ1192" s="76">
        <f>+CI1192*26000</f>
        <v>0</v>
      </c>
      <c r="CK1192" s="76"/>
      <c r="CL1192" s="76"/>
      <c r="CM1192" s="76"/>
      <c r="CN1192" s="76">
        <f>+CM1192*22000</f>
        <v>0</v>
      </c>
      <c r="CO1192" s="76"/>
      <c r="CP1192" s="76">
        <f>+CO1192*46000</f>
        <v>0</v>
      </c>
      <c r="CQ1192" s="76"/>
      <c r="CR1192" s="76">
        <f>+CQ1192*49000</f>
        <v>0</v>
      </c>
      <c r="CS1192" s="76"/>
      <c r="CT1192" s="76"/>
      <c r="CU1192" s="56">
        <f>AN1192+AP1192+AR1192+AT1192+AV1192+AX1192+AZ1192+BB1192+BD1192+BF1192+BH1192+BJ1192+BL1192+BN1192+BP1192+BR1192+BT1192+BV1192+BX1192+BZ1192+CB1192+CD1192+CF1192+CH1192+CJ1192+CL1192+CN1192+CP1192+CR1192+CT1192</f>
        <v>0</v>
      </c>
      <c r="CV1192" s="76"/>
      <c r="CW1192" s="76">
        <f>+CV1192*1100</f>
        <v>0</v>
      </c>
      <c r="CX1192" s="76"/>
      <c r="CY1192" s="76">
        <f>+CX1192*106250</f>
        <v>0</v>
      </c>
      <c r="CZ1192" s="76"/>
      <c r="DA1192" s="76">
        <f>+CZ1192*34500</f>
        <v>0</v>
      </c>
      <c r="DB1192" s="76"/>
      <c r="DC1192" s="76">
        <f>+DB1192*25000</f>
        <v>0</v>
      </c>
      <c r="DD1192" s="219"/>
      <c r="DE1192" s="219"/>
      <c r="DF1192" s="166"/>
      <c r="DG1192" s="116"/>
      <c r="DH1192" s="117"/>
      <c r="DI1192" s="24"/>
      <c r="DJ1192" s="24"/>
      <c r="DK1192" s="24"/>
      <c r="DL1192" s="24"/>
      <c r="DM1192" s="24"/>
      <c r="DN1192" s="24"/>
      <c r="DO1192" s="24"/>
      <c r="DP1192" s="24"/>
      <c r="DQ1192" s="24"/>
      <c r="DR1192" s="24"/>
      <c r="DS1192" s="24"/>
      <c r="DT1192" s="24"/>
      <c r="DU1192" s="24"/>
    </row>
    <row r="1193" spans="1:125" s="8" customFormat="1" ht="84" x14ac:dyDescent="0.2">
      <c r="A1193" s="77">
        <v>41352</v>
      </c>
      <c r="B1193" s="225" t="s">
        <v>2036</v>
      </c>
      <c r="C1193" s="227" t="s">
        <v>2036</v>
      </c>
      <c r="D1193" s="81" t="s">
        <v>2846</v>
      </c>
      <c r="E1193" s="75" t="str">
        <f>VLOOKUP(B1193&amp;C1193,Divipola!$C$2:$F$1138,4,FALSE)</f>
        <v>81001</v>
      </c>
      <c r="F1193" s="87"/>
      <c r="G1193" s="87"/>
      <c r="H1193" s="87"/>
      <c r="I1193" s="87"/>
      <c r="J1193" s="87"/>
      <c r="K1193" s="87"/>
      <c r="L1193" s="87"/>
      <c r="M1193" s="87"/>
      <c r="N1193" s="87"/>
      <c r="O1193" s="87"/>
      <c r="P1193" s="87"/>
      <c r="Q1193" s="87"/>
      <c r="R1193" s="87"/>
      <c r="S1193" s="87"/>
      <c r="T1193" s="87"/>
      <c r="U1193" s="88">
        <v>150</v>
      </c>
      <c r="V1193" s="89"/>
      <c r="W1193" s="96">
        <v>0</v>
      </c>
      <c r="X1193" s="71">
        <f>CU1193</f>
        <v>0</v>
      </c>
      <c r="Y1193" s="71">
        <f>CY1193</f>
        <v>0</v>
      </c>
      <c r="Z1193" s="71">
        <f>DA1193+DC1193+DE1193</f>
        <v>0</v>
      </c>
      <c r="AA1193" s="71">
        <f>CW1193</f>
        <v>0</v>
      </c>
      <c r="AB1193" s="71"/>
      <c r="AC1193" s="71">
        <v>0</v>
      </c>
      <c r="AD1193" s="71">
        <f>W1193+X1193+Y1193+Z1193+AA1193+AB1193+AC1193</f>
        <v>0</v>
      </c>
      <c r="AE1193" s="72">
        <v>0</v>
      </c>
      <c r="AF1193" s="5"/>
      <c r="AG1193" s="6"/>
      <c r="AH1193" s="27" t="s">
        <v>3392</v>
      </c>
      <c r="AI1193" s="44" t="s">
        <v>3393</v>
      </c>
      <c r="AJ1193" s="26"/>
      <c r="AK1193" s="5"/>
      <c r="AL1193" s="82" t="s">
        <v>4026</v>
      </c>
      <c r="AM1193" s="76"/>
      <c r="AN1193" s="76"/>
      <c r="AO1193" s="76"/>
      <c r="AP1193" s="76"/>
      <c r="AQ1193" s="76"/>
      <c r="AR1193" s="76"/>
      <c r="AS1193" s="76"/>
      <c r="AT1193" s="76"/>
      <c r="AU1193" s="76"/>
      <c r="AV1193" s="76"/>
      <c r="AW1193" s="76"/>
      <c r="AX1193" s="76">
        <f>+AW1193*600000</f>
        <v>0</v>
      </c>
      <c r="AY1193" s="76"/>
      <c r="AZ1193" s="76">
        <f>+AY1193*70000</f>
        <v>0</v>
      </c>
      <c r="BA1193" s="76"/>
      <c r="BB1193" s="76"/>
      <c r="BC1193" s="76"/>
      <c r="BD1193" s="76">
        <f>+BC1193*30000</f>
        <v>0</v>
      </c>
      <c r="BE1193" s="76"/>
      <c r="BF1193" s="76"/>
      <c r="BG1193" s="76"/>
      <c r="BH1193" s="76"/>
      <c r="BI1193" s="76"/>
      <c r="BJ1193" s="76"/>
      <c r="BK1193" s="76"/>
      <c r="BL1193" s="76">
        <f>+BK1193*31500</f>
        <v>0</v>
      </c>
      <c r="BM1193" s="76"/>
      <c r="BN1193" s="76"/>
      <c r="BO1193" s="76"/>
      <c r="BP1193" s="76"/>
      <c r="BQ1193" s="76"/>
      <c r="BR1193" s="76"/>
      <c r="BS1193" s="76"/>
      <c r="BT1193" s="76"/>
      <c r="BU1193" s="76"/>
      <c r="BV1193" s="76"/>
      <c r="BW1193" s="76"/>
      <c r="BX1193" s="76"/>
      <c r="BY1193" s="76"/>
      <c r="BZ1193" s="76"/>
      <c r="CA1193" s="76"/>
      <c r="CB1193" s="76"/>
      <c r="CC1193" s="76"/>
      <c r="CD1193" s="76"/>
      <c r="CE1193" s="76"/>
      <c r="CF1193" s="76">
        <f>+CE1193*28000</f>
        <v>0</v>
      </c>
      <c r="CG1193" s="76"/>
      <c r="CH1193" s="76">
        <f>+CG1193*22500</f>
        <v>0</v>
      </c>
      <c r="CI1193" s="76"/>
      <c r="CJ1193" s="76">
        <f>+CI1193*26000</f>
        <v>0</v>
      </c>
      <c r="CK1193" s="76"/>
      <c r="CL1193" s="76"/>
      <c r="CM1193" s="76"/>
      <c r="CN1193" s="76">
        <f>+CM1193*22000</f>
        <v>0</v>
      </c>
      <c r="CO1193" s="76"/>
      <c r="CP1193" s="76">
        <f>+CO1193*46000</f>
        <v>0</v>
      </c>
      <c r="CQ1193" s="76"/>
      <c r="CR1193" s="76">
        <f>+CQ1193*49000</f>
        <v>0</v>
      </c>
      <c r="CS1193" s="76"/>
      <c r="CT1193" s="76"/>
      <c r="CU1193" s="56">
        <f>AN1193+AP1193+AR1193+AT1193+AV1193+AX1193+AZ1193+BB1193+BD1193+BF1193+BH1193+BJ1193+BL1193+BN1193+BP1193+BR1193+BT1193+BV1193+BX1193+BZ1193+CB1193+CD1193+CF1193+CH1193+CJ1193+CL1193+CN1193+CP1193+CR1193+CT1193</f>
        <v>0</v>
      </c>
      <c r="CV1193" s="76"/>
      <c r="CW1193" s="76">
        <f>+CV1193*1100</f>
        <v>0</v>
      </c>
      <c r="CX1193" s="76"/>
      <c r="CY1193" s="76">
        <f>+CX1193*106250</f>
        <v>0</v>
      </c>
      <c r="CZ1193" s="76"/>
      <c r="DA1193" s="76">
        <f>+CZ1193*34500</f>
        <v>0</v>
      </c>
      <c r="DB1193" s="76"/>
      <c r="DC1193" s="76">
        <f>+DB1193*25000</f>
        <v>0</v>
      </c>
      <c r="DD1193" s="219"/>
      <c r="DE1193" s="219"/>
      <c r="DF1193" s="166"/>
      <c r="DG1193" s="116"/>
      <c r="DH1193" s="117"/>
      <c r="DI1193" s="24"/>
      <c r="DJ1193" s="24"/>
      <c r="DK1193" s="24"/>
      <c r="DL1193" s="24"/>
      <c r="DM1193" s="24"/>
      <c r="DN1193" s="24"/>
      <c r="DO1193" s="24"/>
      <c r="DP1193" s="24"/>
      <c r="DQ1193" s="24"/>
      <c r="DR1193" s="24"/>
      <c r="DS1193" s="24"/>
      <c r="DT1193" s="24"/>
      <c r="DU1193" s="24"/>
    </row>
    <row r="1194" spans="1:125" s="8" customFormat="1" ht="48" x14ac:dyDescent="0.2">
      <c r="A1194" s="77">
        <v>41352</v>
      </c>
      <c r="B1194" s="225" t="s">
        <v>2700</v>
      </c>
      <c r="C1194" s="227" t="s">
        <v>1375</v>
      </c>
      <c r="D1194" s="75" t="s">
        <v>3051</v>
      </c>
      <c r="E1194" s="75" t="str">
        <f>VLOOKUP(B1194&amp;C1194,Divipola!$C$2:$F$1138,4,FALSE)</f>
        <v>15759</v>
      </c>
      <c r="F1194" s="87"/>
      <c r="G1194" s="87"/>
      <c r="H1194" s="87"/>
      <c r="I1194" s="87">
        <v>110</v>
      </c>
      <c r="J1194" s="87">
        <v>22</v>
      </c>
      <c r="K1194" s="87"/>
      <c r="L1194" s="87">
        <v>22</v>
      </c>
      <c r="M1194" s="87"/>
      <c r="N1194" s="87"/>
      <c r="O1194" s="87"/>
      <c r="P1194" s="87"/>
      <c r="Q1194" s="87"/>
      <c r="R1194" s="87"/>
      <c r="S1194" s="87"/>
      <c r="T1194" s="87"/>
      <c r="U1194" s="88"/>
      <c r="V1194" s="89"/>
      <c r="W1194" s="96">
        <v>0</v>
      </c>
      <c r="X1194" s="71">
        <f>CU1194</f>
        <v>0</v>
      </c>
      <c r="Y1194" s="71">
        <f>CY1194</f>
        <v>0</v>
      </c>
      <c r="Z1194" s="71">
        <f>DA1194+DC1194+DE1194</f>
        <v>0</v>
      </c>
      <c r="AA1194" s="71">
        <f>CW1194</f>
        <v>0</v>
      </c>
      <c r="AB1194" s="71"/>
      <c r="AC1194" s="71">
        <v>0</v>
      </c>
      <c r="AD1194" s="71">
        <f>W1194+X1194+Y1194+Z1194+AA1194+AB1194+AC1194</f>
        <v>0</v>
      </c>
      <c r="AE1194" s="72">
        <v>0</v>
      </c>
      <c r="AF1194" s="5"/>
      <c r="AG1194" s="6"/>
      <c r="AH1194" s="27" t="s">
        <v>3392</v>
      </c>
      <c r="AI1194" s="44" t="s">
        <v>3393</v>
      </c>
      <c r="AJ1194" s="26"/>
      <c r="AK1194" s="5"/>
      <c r="AL1194" s="82" t="s">
        <v>4000</v>
      </c>
      <c r="AM1194" s="76"/>
      <c r="AN1194" s="76"/>
      <c r="AO1194" s="76"/>
      <c r="AP1194" s="76"/>
      <c r="AQ1194" s="76"/>
      <c r="AR1194" s="76"/>
      <c r="AS1194" s="76"/>
      <c r="AT1194" s="76"/>
      <c r="AU1194" s="76"/>
      <c r="AV1194" s="76"/>
      <c r="AW1194" s="76"/>
      <c r="AX1194" s="76">
        <f>+AW1194*600000</f>
        <v>0</v>
      </c>
      <c r="AY1194" s="76"/>
      <c r="AZ1194" s="76">
        <f>+AY1194*70000</f>
        <v>0</v>
      </c>
      <c r="BA1194" s="76"/>
      <c r="BB1194" s="76"/>
      <c r="BC1194" s="76"/>
      <c r="BD1194" s="76">
        <f>+BC1194*30000</f>
        <v>0</v>
      </c>
      <c r="BE1194" s="76"/>
      <c r="BF1194" s="76"/>
      <c r="BG1194" s="76"/>
      <c r="BH1194" s="76"/>
      <c r="BI1194" s="76"/>
      <c r="BJ1194" s="76"/>
      <c r="BK1194" s="76"/>
      <c r="BL1194" s="76">
        <f>+BK1194*31500</f>
        <v>0</v>
      </c>
      <c r="BM1194" s="76"/>
      <c r="BN1194" s="76"/>
      <c r="BO1194" s="76"/>
      <c r="BP1194" s="76"/>
      <c r="BQ1194" s="76"/>
      <c r="BR1194" s="76"/>
      <c r="BS1194" s="76"/>
      <c r="BT1194" s="76"/>
      <c r="BU1194" s="76"/>
      <c r="BV1194" s="76"/>
      <c r="BW1194" s="76"/>
      <c r="BX1194" s="76"/>
      <c r="BY1194" s="76"/>
      <c r="BZ1194" s="76"/>
      <c r="CA1194" s="76"/>
      <c r="CB1194" s="76"/>
      <c r="CC1194" s="76"/>
      <c r="CD1194" s="76"/>
      <c r="CE1194" s="76"/>
      <c r="CF1194" s="76">
        <f>+CE1194*28000</f>
        <v>0</v>
      </c>
      <c r="CG1194" s="76"/>
      <c r="CH1194" s="76">
        <f>+CG1194*22500</f>
        <v>0</v>
      </c>
      <c r="CI1194" s="76"/>
      <c r="CJ1194" s="76">
        <f>+CI1194*26000</f>
        <v>0</v>
      </c>
      <c r="CK1194" s="76"/>
      <c r="CL1194" s="76"/>
      <c r="CM1194" s="76"/>
      <c r="CN1194" s="76">
        <f>+CM1194*22000</f>
        <v>0</v>
      </c>
      <c r="CO1194" s="76"/>
      <c r="CP1194" s="76">
        <f>+CO1194*46000</f>
        <v>0</v>
      </c>
      <c r="CQ1194" s="76"/>
      <c r="CR1194" s="76">
        <f>+CQ1194*49000</f>
        <v>0</v>
      </c>
      <c r="CS1194" s="76"/>
      <c r="CT1194" s="76"/>
      <c r="CU1194" s="56">
        <f>AN1194+AP1194+AR1194+AT1194+AV1194+AX1194+AZ1194+BB1194+BD1194+BF1194+BH1194+BJ1194+BL1194+BN1194+BP1194+BR1194+BT1194+BV1194+BX1194+BZ1194+CB1194+CD1194+CF1194+CH1194+CJ1194+CL1194+CN1194+CP1194+CR1194+CT1194</f>
        <v>0</v>
      </c>
      <c r="CV1194" s="76"/>
      <c r="CW1194" s="76">
        <f>+CV1194*1100</f>
        <v>0</v>
      </c>
      <c r="CX1194" s="76"/>
      <c r="CY1194" s="76">
        <f>+CX1194*106250</f>
        <v>0</v>
      </c>
      <c r="CZ1194" s="76"/>
      <c r="DA1194" s="76">
        <f>+CZ1194*34500</f>
        <v>0</v>
      </c>
      <c r="DB1194" s="76"/>
      <c r="DC1194" s="76">
        <f>+DB1194*25000</f>
        <v>0</v>
      </c>
      <c r="DD1194" s="219"/>
      <c r="DE1194" s="219"/>
      <c r="DF1194" s="166"/>
      <c r="DG1194" s="116"/>
      <c r="DH1194" s="117"/>
      <c r="DI1194" s="24"/>
      <c r="DJ1194" s="24"/>
      <c r="DK1194" s="24"/>
      <c r="DL1194" s="24"/>
      <c r="DM1194" s="24"/>
      <c r="DN1194" s="24"/>
      <c r="DO1194" s="24"/>
      <c r="DP1194" s="24"/>
      <c r="DQ1194" s="24"/>
      <c r="DR1194" s="24"/>
      <c r="DS1194" s="24"/>
      <c r="DT1194" s="24"/>
      <c r="DU1194" s="24"/>
    </row>
    <row r="1195" spans="1:125" s="8" customFormat="1" ht="204" x14ac:dyDescent="0.2">
      <c r="A1195" s="77">
        <v>41352</v>
      </c>
      <c r="B1195" s="208" t="s">
        <v>2772</v>
      </c>
      <c r="C1195" s="227" t="s">
        <v>2157</v>
      </c>
      <c r="D1195" s="84" t="s">
        <v>3088</v>
      </c>
      <c r="E1195" s="75" t="str">
        <f>VLOOKUP(B1195&amp;C1195,Divipola!$C$2:$F$1138,4,FALSE)</f>
        <v>25885</v>
      </c>
      <c r="F1195" s="87"/>
      <c r="G1195" s="87"/>
      <c r="H1195" s="87"/>
      <c r="I1195" s="87">
        <v>75</v>
      </c>
      <c r="J1195" s="87">
        <v>15</v>
      </c>
      <c r="K1195" s="87"/>
      <c r="L1195" s="87">
        <v>15</v>
      </c>
      <c r="M1195" s="87"/>
      <c r="N1195" s="87"/>
      <c r="O1195" s="87"/>
      <c r="P1195" s="87">
        <v>1</v>
      </c>
      <c r="Q1195" s="87"/>
      <c r="R1195" s="87"/>
      <c r="S1195" s="87"/>
      <c r="T1195" s="87"/>
      <c r="U1195" s="88">
        <v>50</v>
      </c>
      <c r="V1195" s="89"/>
      <c r="W1195" s="96">
        <v>0</v>
      </c>
      <c r="X1195" s="71">
        <f>CU1195</f>
        <v>0</v>
      </c>
      <c r="Y1195" s="71">
        <f>CY1195</f>
        <v>0</v>
      </c>
      <c r="Z1195" s="71">
        <f>DA1195+DC1195+DE1195</f>
        <v>0</v>
      </c>
      <c r="AA1195" s="71">
        <f>CW1195</f>
        <v>0</v>
      </c>
      <c r="AB1195" s="71"/>
      <c r="AC1195" s="71">
        <v>0</v>
      </c>
      <c r="AD1195" s="71">
        <f>W1195+X1195+Y1195+Z1195+AA1195+AB1195+AC1195</f>
        <v>0</v>
      </c>
      <c r="AE1195" s="72">
        <v>0</v>
      </c>
      <c r="AF1195" s="5"/>
      <c r="AG1195" s="6"/>
      <c r="AH1195" s="27" t="s">
        <v>3392</v>
      </c>
      <c r="AI1195" s="44" t="s">
        <v>3393</v>
      </c>
      <c r="AJ1195" s="26"/>
      <c r="AK1195" s="5"/>
      <c r="AL1195" s="82" t="s">
        <v>4068</v>
      </c>
      <c r="AM1195" s="76"/>
      <c r="AN1195" s="76"/>
      <c r="AO1195" s="76"/>
      <c r="AP1195" s="76"/>
      <c r="AQ1195" s="76"/>
      <c r="AR1195" s="76"/>
      <c r="AS1195" s="76"/>
      <c r="AT1195" s="76"/>
      <c r="AU1195" s="76"/>
      <c r="AV1195" s="76"/>
      <c r="AW1195" s="76"/>
      <c r="AX1195" s="76">
        <f>+AW1195*600000</f>
        <v>0</v>
      </c>
      <c r="AY1195" s="76"/>
      <c r="AZ1195" s="76">
        <f>+AY1195*70000</f>
        <v>0</v>
      </c>
      <c r="BA1195" s="76"/>
      <c r="BB1195" s="76"/>
      <c r="BC1195" s="76"/>
      <c r="BD1195" s="76">
        <f>+BC1195*30000</f>
        <v>0</v>
      </c>
      <c r="BE1195" s="76"/>
      <c r="BF1195" s="76"/>
      <c r="BG1195" s="76"/>
      <c r="BH1195" s="76"/>
      <c r="BI1195" s="76"/>
      <c r="BJ1195" s="76"/>
      <c r="BK1195" s="76"/>
      <c r="BL1195" s="76">
        <f>+BK1195*31500</f>
        <v>0</v>
      </c>
      <c r="BM1195" s="76"/>
      <c r="BN1195" s="76"/>
      <c r="BO1195" s="76"/>
      <c r="BP1195" s="76"/>
      <c r="BQ1195" s="76"/>
      <c r="BR1195" s="76"/>
      <c r="BS1195" s="76"/>
      <c r="BT1195" s="76"/>
      <c r="BU1195" s="76"/>
      <c r="BV1195" s="76"/>
      <c r="BW1195" s="76"/>
      <c r="BX1195" s="76"/>
      <c r="BY1195" s="76"/>
      <c r="BZ1195" s="76"/>
      <c r="CA1195" s="76"/>
      <c r="CB1195" s="76"/>
      <c r="CC1195" s="76"/>
      <c r="CD1195" s="76"/>
      <c r="CE1195" s="76"/>
      <c r="CF1195" s="76">
        <f>+CE1195*28000</f>
        <v>0</v>
      </c>
      <c r="CG1195" s="76"/>
      <c r="CH1195" s="76">
        <f>+CG1195*22500</f>
        <v>0</v>
      </c>
      <c r="CI1195" s="76"/>
      <c r="CJ1195" s="76">
        <f>+CI1195*26000</f>
        <v>0</v>
      </c>
      <c r="CK1195" s="76"/>
      <c r="CL1195" s="76"/>
      <c r="CM1195" s="76"/>
      <c r="CN1195" s="76">
        <f>+CM1195*22000</f>
        <v>0</v>
      </c>
      <c r="CO1195" s="76"/>
      <c r="CP1195" s="76">
        <f>+CO1195*46000</f>
        <v>0</v>
      </c>
      <c r="CQ1195" s="76"/>
      <c r="CR1195" s="76">
        <f>+CQ1195*49000</f>
        <v>0</v>
      </c>
      <c r="CS1195" s="76"/>
      <c r="CT1195" s="76"/>
      <c r="CU1195" s="56">
        <f>AN1195+AP1195+AR1195+AT1195+AV1195+AX1195+AZ1195+BB1195+BD1195+BF1195+BH1195+BJ1195+BL1195+BN1195+BP1195+BR1195+BT1195+BV1195+BX1195+BZ1195+CB1195+CD1195+CF1195+CH1195+CJ1195+CL1195+CN1195+CP1195+CR1195+CT1195</f>
        <v>0</v>
      </c>
      <c r="CV1195" s="76"/>
      <c r="CW1195" s="76">
        <f>+CV1195*1100</f>
        <v>0</v>
      </c>
      <c r="CX1195" s="76"/>
      <c r="CY1195" s="76">
        <f>+CX1195*106250</f>
        <v>0</v>
      </c>
      <c r="CZ1195" s="76"/>
      <c r="DA1195" s="76">
        <f>+CZ1195*34500</f>
        <v>0</v>
      </c>
      <c r="DB1195" s="76"/>
      <c r="DC1195" s="76">
        <f>+DB1195*25000</f>
        <v>0</v>
      </c>
      <c r="DD1195" s="219"/>
      <c r="DE1195" s="219"/>
      <c r="DF1195" s="166"/>
      <c r="DG1195" s="116"/>
      <c r="DH1195" s="117"/>
      <c r="DI1195" s="24"/>
      <c r="DJ1195" s="24"/>
      <c r="DK1195" s="24"/>
      <c r="DL1195" s="24"/>
      <c r="DM1195" s="24"/>
      <c r="DN1195" s="24"/>
      <c r="DO1195" s="24"/>
      <c r="DP1195" s="24"/>
      <c r="DQ1195" s="24"/>
      <c r="DR1195" s="24"/>
      <c r="DS1195" s="24"/>
      <c r="DT1195" s="24"/>
      <c r="DU1195" s="24"/>
    </row>
    <row r="1196" spans="1:125" s="8" customFormat="1" ht="48" x14ac:dyDescent="0.2">
      <c r="A1196" s="97">
        <v>41352</v>
      </c>
      <c r="B1196" s="60" t="s">
        <v>2661</v>
      </c>
      <c r="C1196" s="55" t="s">
        <v>2082</v>
      </c>
      <c r="D1196" s="84" t="s">
        <v>3088</v>
      </c>
      <c r="E1196" s="75" t="str">
        <f>VLOOKUP(B1196&amp;C1196,Divipola!$C$2:$F$1138,4,FALSE)</f>
        <v>41357</v>
      </c>
      <c r="F1196" s="87"/>
      <c r="G1196" s="87"/>
      <c r="H1196" s="87"/>
      <c r="I1196" s="87"/>
      <c r="J1196" s="87"/>
      <c r="K1196" s="87"/>
      <c r="L1196" s="87"/>
      <c r="M1196" s="87"/>
      <c r="N1196" s="87">
        <v>2</v>
      </c>
      <c r="O1196" s="87"/>
      <c r="P1196" s="87"/>
      <c r="Q1196" s="87"/>
      <c r="R1196" s="87"/>
      <c r="S1196" s="87"/>
      <c r="T1196" s="87"/>
      <c r="U1196" s="88">
        <v>3</v>
      </c>
      <c r="V1196" s="89"/>
      <c r="W1196" s="96">
        <v>0</v>
      </c>
      <c r="X1196" s="71">
        <f>CU1196</f>
        <v>0</v>
      </c>
      <c r="Y1196" s="71">
        <f>CY1196</f>
        <v>0</v>
      </c>
      <c r="Z1196" s="71">
        <f>DA1196+DC1196+DE1196</f>
        <v>0</v>
      </c>
      <c r="AA1196" s="71">
        <f>CW1196</f>
        <v>0</v>
      </c>
      <c r="AB1196" s="71"/>
      <c r="AC1196" s="71">
        <v>0</v>
      </c>
      <c r="AD1196" s="71">
        <f>W1196+X1196+Y1196+Z1196+AA1196+AB1196+AC1196</f>
        <v>0</v>
      </c>
      <c r="AE1196" s="72">
        <v>0</v>
      </c>
      <c r="AF1196" s="5"/>
      <c r="AG1196" s="6"/>
      <c r="AH1196" s="27" t="s">
        <v>3392</v>
      </c>
      <c r="AI1196" s="44" t="s">
        <v>3393</v>
      </c>
      <c r="AJ1196" s="26"/>
      <c r="AK1196" s="5"/>
      <c r="AL1196" s="82" t="s">
        <v>4093</v>
      </c>
      <c r="AM1196" s="76"/>
      <c r="AN1196" s="76"/>
      <c r="AO1196" s="76"/>
      <c r="AP1196" s="76"/>
      <c r="AQ1196" s="76"/>
      <c r="AR1196" s="76"/>
      <c r="AS1196" s="76"/>
      <c r="AT1196" s="76"/>
      <c r="AU1196" s="76"/>
      <c r="AV1196" s="76"/>
      <c r="AW1196" s="76"/>
      <c r="AX1196" s="76">
        <f>+AW1196*600000</f>
        <v>0</v>
      </c>
      <c r="AY1196" s="76"/>
      <c r="AZ1196" s="76">
        <f>+AY1196*70000</f>
        <v>0</v>
      </c>
      <c r="BA1196" s="76"/>
      <c r="BB1196" s="76"/>
      <c r="BC1196" s="76"/>
      <c r="BD1196" s="76">
        <f>+BC1196*30000</f>
        <v>0</v>
      </c>
      <c r="BE1196" s="76"/>
      <c r="BF1196" s="76"/>
      <c r="BG1196" s="76"/>
      <c r="BH1196" s="76"/>
      <c r="BI1196" s="76"/>
      <c r="BJ1196" s="76"/>
      <c r="BK1196" s="76"/>
      <c r="BL1196" s="76">
        <f>+BK1196*31500</f>
        <v>0</v>
      </c>
      <c r="BM1196" s="76"/>
      <c r="BN1196" s="76"/>
      <c r="BO1196" s="76"/>
      <c r="BP1196" s="76"/>
      <c r="BQ1196" s="76"/>
      <c r="BR1196" s="76"/>
      <c r="BS1196" s="76"/>
      <c r="BT1196" s="76"/>
      <c r="BU1196" s="76"/>
      <c r="BV1196" s="76"/>
      <c r="BW1196" s="76"/>
      <c r="BX1196" s="76"/>
      <c r="BY1196" s="76"/>
      <c r="BZ1196" s="76"/>
      <c r="CA1196" s="76"/>
      <c r="CB1196" s="76"/>
      <c r="CC1196" s="76"/>
      <c r="CD1196" s="76"/>
      <c r="CE1196" s="76"/>
      <c r="CF1196" s="76">
        <f>+CE1196*28000</f>
        <v>0</v>
      </c>
      <c r="CG1196" s="76"/>
      <c r="CH1196" s="76">
        <f>+CG1196*22500</f>
        <v>0</v>
      </c>
      <c r="CI1196" s="76"/>
      <c r="CJ1196" s="76">
        <f>+CI1196*26000</f>
        <v>0</v>
      </c>
      <c r="CK1196" s="76"/>
      <c r="CL1196" s="76"/>
      <c r="CM1196" s="76"/>
      <c r="CN1196" s="76">
        <f>+CM1196*22000</f>
        <v>0</v>
      </c>
      <c r="CO1196" s="76"/>
      <c r="CP1196" s="76">
        <f>+CO1196*46000</f>
        <v>0</v>
      </c>
      <c r="CQ1196" s="76"/>
      <c r="CR1196" s="76">
        <f>+CQ1196*49000</f>
        <v>0</v>
      </c>
      <c r="CS1196" s="76"/>
      <c r="CT1196" s="76"/>
      <c r="CU1196" s="56">
        <f>AN1196+AP1196+AR1196+AT1196+AV1196+AX1196+AZ1196+BB1196+BD1196+BF1196+BH1196+BJ1196+BL1196+BN1196+BP1196+BR1196+BT1196+BV1196+BX1196+BZ1196+CB1196+CD1196+CF1196+CH1196+CJ1196+CL1196+CN1196+CP1196+CR1196+CT1196</f>
        <v>0</v>
      </c>
      <c r="CV1196" s="76"/>
      <c r="CW1196" s="76">
        <f>+CV1196*1100</f>
        <v>0</v>
      </c>
      <c r="CX1196" s="76"/>
      <c r="CY1196" s="76">
        <f>+CX1196*106250</f>
        <v>0</v>
      </c>
      <c r="CZ1196" s="76"/>
      <c r="DA1196" s="76">
        <f>+CZ1196*34500</f>
        <v>0</v>
      </c>
      <c r="DB1196" s="76"/>
      <c r="DC1196" s="76">
        <f>+DB1196*25000</f>
        <v>0</v>
      </c>
      <c r="DD1196" s="219"/>
      <c r="DE1196" s="219"/>
      <c r="DF1196" s="166"/>
      <c r="DG1196" s="116"/>
      <c r="DH1196" s="117"/>
      <c r="DI1196" s="24"/>
      <c r="DJ1196" s="24"/>
      <c r="DK1196" s="24"/>
      <c r="DL1196" s="24"/>
      <c r="DM1196" s="24"/>
      <c r="DN1196" s="24"/>
      <c r="DO1196" s="24"/>
      <c r="DP1196" s="24"/>
      <c r="DQ1196" s="24"/>
      <c r="DR1196" s="24"/>
      <c r="DS1196" s="24"/>
      <c r="DT1196" s="24"/>
      <c r="DU1196" s="24"/>
    </row>
    <row r="1197" spans="1:125" s="8" customFormat="1" ht="36" x14ac:dyDescent="0.2">
      <c r="A1197" s="226">
        <v>41352</v>
      </c>
      <c r="B1197" s="225" t="s">
        <v>2661</v>
      </c>
      <c r="C1197" s="227" t="s">
        <v>1351</v>
      </c>
      <c r="D1197" s="227" t="s">
        <v>2882</v>
      </c>
      <c r="E1197" s="75" t="str">
        <f>VLOOKUP(B1197&amp;C1197,Divipola!$C$2:$F$1138,4,FALSE)</f>
        <v>41551</v>
      </c>
      <c r="F1197" s="87"/>
      <c r="G1197" s="87"/>
      <c r="H1197" s="87"/>
      <c r="I1197" s="87">
        <v>46</v>
      </c>
      <c r="J1197" s="87">
        <v>11</v>
      </c>
      <c r="K1197" s="87"/>
      <c r="L1197" s="87">
        <v>11</v>
      </c>
      <c r="M1197" s="87"/>
      <c r="N1197" s="87"/>
      <c r="O1197" s="87"/>
      <c r="P1197" s="87"/>
      <c r="Q1197" s="87"/>
      <c r="R1197" s="87"/>
      <c r="S1197" s="87"/>
      <c r="T1197" s="87"/>
      <c r="U1197" s="88"/>
      <c r="V1197" s="89"/>
      <c r="W1197" s="96">
        <v>0</v>
      </c>
      <c r="X1197" s="71">
        <f>CU1197</f>
        <v>0</v>
      </c>
      <c r="Y1197" s="71">
        <f>CY1197</f>
        <v>0</v>
      </c>
      <c r="Z1197" s="71">
        <f>DA1197+DC1197+DE1197</f>
        <v>0</v>
      </c>
      <c r="AA1197" s="71">
        <f>CW1197</f>
        <v>0</v>
      </c>
      <c r="AB1197" s="71"/>
      <c r="AC1197" s="71">
        <v>0</v>
      </c>
      <c r="AD1197" s="71">
        <f>W1197+X1197+Y1197+Z1197+AA1197+AB1197+AC1197</f>
        <v>0</v>
      </c>
      <c r="AE1197" s="72">
        <v>0</v>
      </c>
      <c r="AF1197" s="5"/>
      <c r="AG1197" s="6"/>
      <c r="AH1197" s="27" t="s">
        <v>3392</v>
      </c>
      <c r="AI1197" s="44" t="s">
        <v>3393</v>
      </c>
      <c r="AJ1197" s="26"/>
      <c r="AK1197" s="5"/>
      <c r="AL1197" s="82" t="s">
        <v>4094</v>
      </c>
      <c r="AM1197" s="76"/>
      <c r="AN1197" s="76"/>
      <c r="AO1197" s="76"/>
      <c r="AP1197" s="76"/>
      <c r="AQ1197" s="76"/>
      <c r="AR1197" s="76"/>
      <c r="AS1197" s="76"/>
      <c r="AT1197" s="76"/>
      <c r="AU1197" s="76"/>
      <c r="AV1197" s="76"/>
      <c r="AW1197" s="76"/>
      <c r="AX1197" s="76">
        <f>+AW1197*600000</f>
        <v>0</v>
      </c>
      <c r="AY1197" s="76"/>
      <c r="AZ1197" s="76">
        <f>+AY1197*70000</f>
        <v>0</v>
      </c>
      <c r="BA1197" s="76"/>
      <c r="BB1197" s="76"/>
      <c r="BC1197" s="76"/>
      <c r="BD1197" s="76">
        <f>+BC1197*30000</f>
        <v>0</v>
      </c>
      <c r="BE1197" s="76"/>
      <c r="BF1197" s="76"/>
      <c r="BG1197" s="76"/>
      <c r="BH1197" s="76"/>
      <c r="BI1197" s="76"/>
      <c r="BJ1197" s="76"/>
      <c r="BK1197" s="76"/>
      <c r="BL1197" s="76">
        <f>+BK1197*31500</f>
        <v>0</v>
      </c>
      <c r="BM1197" s="76"/>
      <c r="BN1197" s="76"/>
      <c r="BO1197" s="76"/>
      <c r="BP1197" s="76"/>
      <c r="BQ1197" s="76"/>
      <c r="BR1197" s="76"/>
      <c r="BS1197" s="76"/>
      <c r="BT1197" s="76"/>
      <c r="BU1197" s="76"/>
      <c r="BV1197" s="76"/>
      <c r="BW1197" s="76"/>
      <c r="BX1197" s="76"/>
      <c r="BY1197" s="76"/>
      <c r="BZ1197" s="76"/>
      <c r="CA1197" s="76"/>
      <c r="CB1197" s="76"/>
      <c r="CC1197" s="76"/>
      <c r="CD1197" s="76"/>
      <c r="CE1197" s="76"/>
      <c r="CF1197" s="76">
        <f>+CE1197*28000</f>
        <v>0</v>
      </c>
      <c r="CG1197" s="76"/>
      <c r="CH1197" s="76">
        <f>+CG1197*22500</f>
        <v>0</v>
      </c>
      <c r="CI1197" s="76"/>
      <c r="CJ1197" s="76">
        <f>+CI1197*26000</f>
        <v>0</v>
      </c>
      <c r="CK1197" s="76"/>
      <c r="CL1197" s="76"/>
      <c r="CM1197" s="76"/>
      <c r="CN1197" s="76">
        <f>+CM1197*22000</f>
        <v>0</v>
      </c>
      <c r="CO1197" s="76"/>
      <c r="CP1197" s="76">
        <f>+CO1197*46000</f>
        <v>0</v>
      </c>
      <c r="CQ1197" s="76"/>
      <c r="CR1197" s="76">
        <f>+CQ1197*49000</f>
        <v>0</v>
      </c>
      <c r="CS1197" s="76"/>
      <c r="CT1197" s="76"/>
      <c r="CU1197" s="56">
        <f>AN1197+AP1197+AR1197+AT1197+AV1197+AX1197+AZ1197+BB1197+BD1197+BF1197+BH1197+BJ1197+BL1197+BN1197+BP1197+BR1197+BT1197+BV1197+BX1197+BZ1197+CB1197+CD1197+CF1197+CH1197+CJ1197+CL1197+CN1197+CP1197+CR1197+CT1197</f>
        <v>0</v>
      </c>
      <c r="CV1197" s="76"/>
      <c r="CW1197" s="76">
        <f>+CV1197*1100</f>
        <v>0</v>
      </c>
      <c r="CX1197" s="76"/>
      <c r="CY1197" s="76">
        <f>+CX1197*106250</f>
        <v>0</v>
      </c>
      <c r="CZ1197" s="76"/>
      <c r="DA1197" s="76">
        <f>+CZ1197*34500</f>
        <v>0</v>
      </c>
      <c r="DB1197" s="76"/>
      <c r="DC1197" s="76">
        <f>+DB1197*25000</f>
        <v>0</v>
      </c>
      <c r="DD1197" s="219"/>
      <c r="DE1197" s="219"/>
      <c r="DF1197" s="166"/>
      <c r="DG1197" s="116"/>
      <c r="DH1197" s="117"/>
      <c r="DI1197" s="24"/>
      <c r="DJ1197" s="24"/>
      <c r="DK1197" s="24"/>
      <c r="DL1197" s="24"/>
      <c r="DM1197" s="24"/>
      <c r="DN1197" s="24"/>
      <c r="DO1197" s="24"/>
      <c r="DP1197" s="24"/>
      <c r="DQ1197" s="24"/>
      <c r="DR1197" s="24"/>
      <c r="DS1197" s="24"/>
      <c r="DT1197" s="24"/>
      <c r="DU1197" s="24"/>
    </row>
    <row r="1198" spans="1:125" s="8" customFormat="1" ht="36" x14ac:dyDescent="0.2">
      <c r="A1198" s="77">
        <v>41352</v>
      </c>
      <c r="B1198" s="60" t="s">
        <v>2811</v>
      </c>
      <c r="C1198" s="55" t="s">
        <v>505</v>
      </c>
      <c r="D1198" s="84" t="s">
        <v>3088</v>
      </c>
      <c r="E1198" s="75" t="str">
        <f>VLOOKUP(B1198&amp;C1198,Divipola!$C$2:$F$1138,4,FALSE)</f>
        <v>52687</v>
      </c>
      <c r="F1198" s="87"/>
      <c r="G1198" s="87"/>
      <c r="H1198" s="87"/>
      <c r="I1198" s="87"/>
      <c r="J1198" s="87"/>
      <c r="K1198" s="87"/>
      <c r="L1198" s="87"/>
      <c r="M1198" s="87">
        <v>1</v>
      </c>
      <c r="N1198" s="87"/>
      <c r="O1198" s="87"/>
      <c r="P1198" s="87"/>
      <c r="Q1198" s="87"/>
      <c r="R1198" s="87"/>
      <c r="S1198" s="87"/>
      <c r="T1198" s="87"/>
      <c r="U1198" s="88"/>
      <c r="V1198" s="89"/>
      <c r="W1198" s="96">
        <v>0</v>
      </c>
      <c r="X1198" s="71">
        <f>CU1198</f>
        <v>0</v>
      </c>
      <c r="Y1198" s="71">
        <f>CY1198</f>
        <v>0</v>
      </c>
      <c r="Z1198" s="71">
        <f>DA1198+DC1198+DE1198</f>
        <v>0</v>
      </c>
      <c r="AA1198" s="71">
        <f>CW1198</f>
        <v>0</v>
      </c>
      <c r="AB1198" s="71"/>
      <c r="AC1198" s="71">
        <v>0</v>
      </c>
      <c r="AD1198" s="71">
        <f>W1198+X1198+Y1198+Z1198+AA1198+AB1198+AC1198</f>
        <v>0</v>
      </c>
      <c r="AE1198" s="72">
        <v>0</v>
      </c>
      <c r="AF1198" s="5"/>
      <c r="AG1198" s="6"/>
      <c r="AH1198" s="27" t="s">
        <v>3392</v>
      </c>
      <c r="AI1198" s="44" t="s">
        <v>3393</v>
      </c>
      <c r="AJ1198" s="26"/>
      <c r="AK1198" s="5"/>
      <c r="AL1198" s="82" t="s">
        <v>4001</v>
      </c>
      <c r="AM1198" s="76"/>
      <c r="AN1198" s="76"/>
      <c r="AO1198" s="76"/>
      <c r="AP1198" s="76"/>
      <c r="AQ1198" s="76"/>
      <c r="AR1198" s="76"/>
      <c r="AS1198" s="76"/>
      <c r="AT1198" s="76"/>
      <c r="AU1198" s="76"/>
      <c r="AV1198" s="76"/>
      <c r="AW1198" s="76"/>
      <c r="AX1198" s="76">
        <f>+AW1198*600000</f>
        <v>0</v>
      </c>
      <c r="AY1198" s="76"/>
      <c r="AZ1198" s="76">
        <f>+AY1198*70000</f>
        <v>0</v>
      </c>
      <c r="BA1198" s="76"/>
      <c r="BB1198" s="76"/>
      <c r="BC1198" s="76"/>
      <c r="BD1198" s="76">
        <f>+BC1198*30000</f>
        <v>0</v>
      </c>
      <c r="BE1198" s="76"/>
      <c r="BF1198" s="76"/>
      <c r="BG1198" s="76"/>
      <c r="BH1198" s="76"/>
      <c r="BI1198" s="76"/>
      <c r="BJ1198" s="76"/>
      <c r="BK1198" s="76"/>
      <c r="BL1198" s="76">
        <f>+BK1198*31500</f>
        <v>0</v>
      </c>
      <c r="BM1198" s="76"/>
      <c r="BN1198" s="76"/>
      <c r="BO1198" s="76"/>
      <c r="BP1198" s="76"/>
      <c r="BQ1198" s="76"/>
      <c r="BR1198" s="76"/>
      <c r="BS1198" s="76"/>
      <c r="BT1198" s="76"/>
      <c r="BU1198" s="76"/>
      <c r="BV1198" s="76"/>
      <c r="BW1198" s="76"/>
      <c r="BX1198" s="76"/>
      <c r="BY1198" s="76"/>
      <c r="BZ1198" s="76"/>
      <c r="CA1198" s="76"/>
      <c r="CB1198" s="76"/>
      <c r="CC1198" s="76"/>
      <c r="CD1198" s="76"/>
      <c r="CE1198" s="76"/>
      <c r="CF1198" s="76">
        <f>+CE1198*28000</f>
        <v>0</v>
      </c>
      <c r="CG1198" s="76"/>
      <c r="CH1198" s="76">
        <f>+CG1198*22500</f>
        <v>0</v>
      </c>
      <c r="CI1198" s="76"/>
      <c r="CJ1198" s="76">
        <f>+CI1198*26000</f>
        <v>0</v>
      </c>
      <c r="CK1198" s="76"/>
      <c r="CL1198" s="76"/>
      <c r="CM1198" s="76"/>
      <c r="CN1198" s="76">
        <f>+CM1198*22000</f>
        <v>0</v>
      </c>
      <c r="CO1198" s="76"/>
      <c r="CP1198" s="76">
        <f>+CO1198*46000</f>
        <v>0</v>
      </c>
      <c r="CQ1198" s="76"/>
      <c r="CR1198" s="76">
        <f>+CQ1198*49000</f>
        <v>0</v>
      </c>
      <c r="CS1198" s="76"/>
      <c r="CT1198" s="76"/>
      <c r="CU1198" s="56">
        <f>AN1198+AP1198+AR1198+AT1198+AV1198+AX1198+AZ1198+BB1198+BD1198+BF1198+BH1198+BJ1198+BL1198+BN1198+BP1198+BR1198+BT1198+BV1198+BX1198+BZ1198+CB1198+CD1198+CF1198+CH1198+CJ1198+CL1198+CN1198+CP1198+CR1198+CT1198</f>
        <v>0</v>
      </c>
      <c r="CV1198" s="76"/>
      <c r="CW1198" s="76">
        <f>+CV1198*1100</f>
        <v>0</v>
      </c>
      <c r="CX1198" s="76"/>
      <c r="CY1198" s="76">
        <f>+CX1198*106250</f>
        <v>0</v>
      </c>
      <c r="CZ1198" s="76"/>
      <c r="DA1198" s="76">
        <f>+CZ1198*34500</f>
        <v>0</v>
      </c>
      <c r="DB1198" s="76"/>
      <c r="DC1198" s="76">
        <f>+DB1198*25000</f>
        <v>0</v>
      </c>
      <c r="DD1198" s="219"/>
      <c r="DE1198" s="219"/>
      <c r="DF1198" s="166"/>
      <c r="DG1198" s="116"/>
      <c r="DH1198" s="117"/>
      <c r="DI1198" s="24"/>
      <c r="DJ1198" s="24"/>
      <c r="DK1198" s="24"/>
      <c r="DL1198" s="24"/>
      <c r="DM1198" s="24"/>
      <c r="DN1198" s="24"/>
      <c r="DO1198" s="24"/>
      <c r="DP1198" s="24"/>
      <c r="DQ1198" s="24"/>
      <c r="DR1198" s="24"/>
      <c r="DS1198" s="24"/>
      <c r="DT1198" s="24"/>
      <c r="DU1198" s="24"/>
    </row>
    <row r="1199" spans="1:125" s="8" customFormat="1" ht="108" x14ac:dyDescent="0.2">
      <c r="A1199" s="77">
        <v>41352</v>
      </c>
      <c r="B1199" s="78" t="s">
        <v>3131</v>
      </c>
      <c r="C1199" s="75" t="s">
        <v>2689</v>
      </c>
      <c r="D1199" s="75" t="s">
        <v>3051</v>
      </c>
      <c r="E1199" s="75" t="str">
        <f>VLOOKUP(B1199&amp;C1199,Divipola!$C$2:$F$1138,4,FALSE)</f>
        <v>86320</v>
      </c>
      <c r="F1199" s="87"/>
      <c r="G1199" s="87"/>
      <c r="H1199" s="87"/>
      <c r="I1199" s="87">
        <v>155</v>
      </c>
      <c r="J1199" s="87">
        <v>31</v>
      </c>
      <c r="K1199" s="87"/>
      <c r="L1199" s="87">
        <v>31</v>
      </c>
      <c r="M1199" s="87"/>
      <c r="N1199" s="87"/>
      <c r="O1199" s="87"/>
      <c r="P1199" s="87"/>
      <c r="Q1199" s="87"/>
      <c r="R1199" s="87"/>
      <c r="S1199" s="87"/>
      <c r="T1199" s="87"/>
      <c r="U1199" s="88"/>
      <c r="V1199" s="89"/>
      <c r="W1199" s="96">
        <v>0</v>
      </c>
      <c r="X1199" s="71">
        <f>CU1199</f>
        <v>0</v>
      </c>
      <c r="Y1199" s="71">
        <f>CY1199</f>
        <v>0</v>
      </c>
      <c r="Z1199" s="71">
        <f>DA1199+DC1199+DE1199</f>
        <v>0</v>
      </c>
      <c r="AA1199" s="71">
        <f>CW1199</f>
        <v>0</v>
      </c>
      <c r="AB1199" s="71"/>
      <c r="AC1199" s="71">
        <v>0</v>
      </c>
      <c r="AD1199" s="71">
        <f>W1199+X1199+Y1199+Z1199+AA1199+AB1199+AC1199</f>
        <v>0</v>
      </c>
      <c r="AE1199" s="72">
        <v>0</v>
      </c>
      <c r="AF1199" s="5"/>
      <c r="AG1199" s="6"/>
      <c r="AH1199" s="27" t="s">
        <v>3392</v>
      </c>
      <c r="AI1199" s="44" t="s">
        <v>3393</v>
      </c>
      <c r="AJ1199" s="26"/>
      <c r="AK1199" s="5"/>
      <c r="AL1199" s="82" t="s">
        <v>4003</v>
      </c>
      <c r="AM1199" s="76"/>
      <c r="AN1199" s="76"/>
      <c r="AO1199" s="76"/>
      <c r="AP1199" s="76"/>
      <c r="AQ1199" s="76"/>
      <c r="AR1199" s="76"/>
      <c r="AS1199" s="76"/>
      <c r="AT1199" s="76"/>
      <c r="AU1199" s="76"/>
      <c r="AV1199" s="76"/>
      <c r="AW1199" s="76"/>
      <c r="AX1199" s="76">
        <f>+AW1199*600000</f>
        <v>0</v>
      </c>
      <c r="AY1199" s="76"/>
      <c r="AZ1199" s="76">
        <f>+AY1199*70000</f>
        <v>0</v>
      </c>
      <c r="BA1199" s="76"/>
      <c r="BB1199" s="76"/>
      <c r="BC1199" s="76"/>
      <c r="BD1199" s="76">
        <f>+BC1199*30000</f>
        <v>0</v>
      </c>
      <c r="BE1199" s="76"/>
      <c r="BF1199" s="76"/>
      <c r="BG1199" s="76"/>
      <c r="BH1199" s="76"/>
      <c r="BI1199" s="76"/>
      <c r="BJ1199" s="76"/>
      <c r="BK1199" s="76"/>
      <c r="BL1199" s="76">
        <f>+BK1199*31500</f>
        <v>0</v>
      </c>
      <c r="BM1199" s="76"/>
      <c r="BN1199" s="76"/>
      <c r="BO1199" s="76"/>
      <c r="BP1199" s="76"/>
      <c r="BQ1199" s="76"/>
      <c r="BR1199" s="76"/>
      <c r="BS1199" s="76"/>
      <c r="BT1199" s="76"/>
      <c r="BU1199" s="76"/>
      <c r="BV1199" s="76"/>
      <c r="BW1199" s="76"/>
      <c r="BX1199" s="76"/>
      <c r="BY1199" s="76"/>
      <c r="BZ1199" s="76"/>
      <c r="CA1199" s="76"/>
      <c r="CB1199" s="76"/>
      <c r="CC1199" s="76"/>
      <c r="CD1199" s="76"/>
      <c r="CE1199" s="76"/>
      <c r="CF1199" s="76">
        <f>+CE1199*28000</f>
        <v>0</v>
      </c>
      <c r="CG1199" s="76"/>
      <c r="CH1199" s="76">
        <f>+CG1199*22500</f>
        <v>0</v>
      </c>
      <c r="CI1199" s="76"/>
      <c r="CJ1199" s="76">
        <f>+CI1199*26000</f>
        <v>0</v>
      </c>
      <c r="CK1199" s="76"/>
      <c r="CL1199" s="76"/>
      <c r="CM1199" s="76"/>
      <c r="CN1199" s="76">
        <f>+CM1199*22000</f>
        <v>0</v>
      </c>
      <c r="CO1199" s="76"/>
      <c r="CP1199" s="76">
        <f>+CO1199*46000</f>
        <v>0</v>
      </c>
      <c r="CQ1199" s="76"/>
      <c r="CR1199" s="76">
        <f>+CQ1199*49000</f>
        <v>0</v>
      </c>
      <c r="CS1199" s="76"/>
      <c r="CT1199" s="76"/>
      <c r="CU1199" s="56">
        <f>AN1199+AP1199+AR1199+AT1199+AV1199+AX1199+AZ1199+BB1199+BD1199+BF1199+BH1199+BJ1199+BL1199+BN1199+BP1199+BR1199+BT1199+BV1199+BX1199+BZ1199+CB1199+CD1199+CF1199+CH1199+CJ1199+CL1199+CN1199+CP1199+CR1199+CT1199</f>
        <v>0</v>
      </c>
      <c r="CV1199" s="76"/>
      <c r="CW1199" s="76">
        <f>+CV1199*1100</f>
        <v>0</v>
      </c>
      <c r="CX1199" s="76"/>
      <c r="CY1199" s="76">
        <f>+CX1199*106250</f>
        <v>0</v>
      </c>
      <c r="CZ1199" s="76"/>
      <c r="DA1199" s="76">
        <f>+CZ1199*34500</f>
        <v>0</v>
      </c>
      <c r="DB1199" s="76"/>
      <c r="DC1199" s="76">
        <f>+DB1199*25000</f>
        <v>0</v>
      </c>
      <c r="DD1199" s="219"/>
      <c r="DE1199" s="219"/>
      <c r="DF1199" s="166"/>
      <c r="DG1199" s="116"/>
      <c r="DH1199" s="117"/>
      <c r="DI1199" s="24"/>
      <c r="DJ1199" s="24"/>
      <c r="DK1199" s="24"/>
      <c r="DL1199" s="24"/>
      <c r="DM1199" s="24"/>
      <c r="DN1199" s="24"/>
      <c r="DO1199" s="24"/>
      <c r="DP1199" s="24"/>
      <c r="DQ1199" s="24"/>
      <c r="DR1199" s="24"/>
      <c r="DS1199" s="24"/>
      <c r="DT1199" s="24"/>
      <c r="DU1199" s="24"/>
    </row>
    <row r="1200" spans="1:125" s="8" customFormat="1" ht="72" x14ac:dyDescent="0.2">
      <c r="A1200" s="77">
        <v>41353</v>
      </c>
      <c r="B1200" s="78" t="s">
        <v>2036</v>
      </c>
      <c r="C1200" s="75" t="s">
        <v>1687</v>
      </c>
      <c r="D1200" s="75" t="s">
        <v>3051</v>
      </c>
      <c r="E1200" s="75" t="str">
        <f>VLOOKUP(B1200&amp;C1200,Divipola!$C$2:$F$1138,4,FALSE)</f>
        <v>81300</v>
      </c>
      <c r="F1200" s="87"/>
      <c r="G1200" s="87"/>
      <c r="H1200" s="87"/>
      <c r="I1200" s="87">
        <v>137</v>
      </c>
      <c r="J1200" s="87">
        <v>31</v>
      </c>
      <c r="K1200" s="87"/>
      <c r="L1200" s="87">
        <v>2</v>
      </c>
      <c r="M1200" s="87"/>
      <c r="N1200" s="87"/>
      <c r="O1200" s="87"/>
      <c r="P1200" s="87"/>
      <c r="Q1200" s="87"/>
      <c r="R1200" s="87"/>
      <c r="S1200" s="87"/>
      <c r="T1200" s="87"/>
      <c r="U1200" s="88"/>
      <c r="V1200" s="89"/>
      <c r="W1200" s="96">
        <v>0</v>
      </c>
      <c r="X1200" s="71">
        <f>CU1200</f>
        <v>0</v>
      </c>
      <c r="Y1200" s="71">
        <f>CY1200</f>
        <v>0</v>
      </c>
      <c r="Z1200" s="71">
        <f>DA1200+DC1200+DE1200</f>
        <v>0</v>
      </c>
      <c r="AA1200" s="71">
        <f>CW1200</f>
        <v>0</v>
      </c>
      <c r="AB1200" s="71"/>
      <c r="AC1200" s="71">
        <v>0</v>
      </c>
      <c r="AD1200" s="71">
        <f>W1200+X1200+Y1200+Z1200+AA1200+AB1200+AC1200</f>
        <v>0</v>
      </c>
      <c r="AE1200" s="72">
        <v>0</v>
      </c>
      <c r="AF1200" s="5"/>
      <c r="AG1200" s="6"/>
      <c r="AH1200" s="27" t="s">
        <v>3390</v>
      </c>
      <c r="AI1200" s="44" t="s">
        <v>3393</v>
      </c>
      <c r="AJ1200" s="26"/>
      <c r="AK1200" s="5" t="s">
        <v>4242</v>
      </c>
      <c r="AL1200" s="82" t="s">
        <v>4888</v>
      </c>
      <c r="AM1200" s="76"/>
      <c r="AN1200" s="76"/>
      <c r="AO1200" s="76"/>
      <c r="AP1200" s="76"/>
      <c r="AQ1200" s="76"/>
      <c r="AR1200" s="76"/>
      <c r="AS1200" s="76"/>
      <c r="AT1200" s="76"/>
      <c r="AU1200" s="76"/>
      <c r="AV1200" s="76"/>
      <c r="AW1200" s="76"/>
      <c r="AX1200" s="76">
        <f>+AW1200*600000</f>
        <v>0</v>
      </c>
      <c r="AY1200" s="76"/>
      <c r="AZ1200" s="76">
        <f>+AY1200*70000</f>
        <v>0</v>
      </c>
      <c r="BA1200" s="76"/>
      <c r="BB1200" s="76"/>
      <c r="BC1200" s="76"/>
      <c r="BD1200" s="76">
        <f>+BC1200*30000</f>
        <v>0</v>
      </c>
      <c r="BE1200" s="76"/>
      <c r="BF1200" s="76"/>
      <c r="BG1200" s="76"/>
      <c r="BH1200" s="76"/>
      <c r="BI1200" s="76"/>
      <c r="BJ1200" s="76"/>
      <c r="BK1200" s="76"/>
      <c r="BL1200" s="76">
        <f>+BK1200*31500</f>
        <v>0</v>
      </c>
      <c r="BM1200" s="76"/>
      <c r="BN1200" s="76"/>
      <c r="BO1200" s="76"/>
      <c r="BP1200" s="76"/>
      <c r="BQ1200" s="76"/>
      <c r="BR1200" s="76"/>
      <c r="BS1200" s="76"/>
      <c r="BT1200" s="76"/>
      <c r="BU1200" s="76"/>
      <c r="BV1200" s="76"/>
      <c r="BW1200" s="76"/>
      <c r="BX1200" s="76"/>
      <c r="BY1200" s="76"/>
      <c r="BZ1200" s="76"/>
      <c r="CA1200" s="76"/>
      <c r="CB1200" s="76"/>
      <c r="CC1200" s="76"/>
      <c r="CD1200" s="76"/>
      <c r="CE1200" s="76"/>
      <c r="CF1200" s="76">
        <f>+CE1200*28000</f>
        <v>0</v>
      </c>
      <c r="CG1200" s="76"/>
      <c r="CH1200" s="76">
        <f>+CG1200*22500</f>
        <v>0</v>
      </c>
      <c r="CI1200" s="76"/>
      <c r="CJ1200" s="76">
        <f>+CI1200*26000</f>
        <v>0</v>
      </c>
      <c r="CK1200" s="76"/>
      <c r="CL1200" s="76"/>
      <c r="CM1200" s="76"/>
      <c r="CN1200" s="76">
        <f>+CM1200*22000</f>
        <v>0</v>
      </c>
      <c r="CO1200" s="76"/>
      <c r="CP1200" s="76">
        <f>+CO1200*46000</f>
        <v>0</v>
      </c>
      <c r="CQ1200" s="76"/>
      <c r="CR1200" s="76">
        <f>+CQ1200*49000</f>
        <v>0</v>
      </c>
      <c r="CS1200" s="76"/>
      <c r="CT1200" s="76"/>
      <c r="CU1200" s="56">
        <f>AN1200+AP1200+AR1200+AT1200+AV1200+AX1200+AZ1200+BB1200+BD1200+BF1200+BH1200+BJ1200+BL1200+BN1200+BP1200+BR1200+BT1200+BV1200+BX1200+BZ1200+CB1200+CD1200+CF1200+CH1200+CJ1200+CL1200+CN1200+CP1200+CR1200+CT1200</f>
        <v>0</v>
      </c>
      <c r="CV1200" s="76"/>
      <c r="CW1200" s="76">
        <f>+CV1200*1100</f>
        <v>0</v>
      </c>
      <c r="CX1200" s="76"/>
      <c r="CY1200" s="76">
        <f>+CX1200*106250</f>
        <v>0</v>
      </c>
      <c r="CZ1200" s="76"/>
      <c r="DA1200" s="76">
        <f>+CZ1200*34500</f>
        <v>0</v>
      </c>
      <c r="DB1200" s="76"/>
      <c r="DC1200" s="76">
        <f>+DB1200*25000</f>
        <v>0</v>
      </c>
      <c r="DD1200" s="219"/>
      <c r="DE1200" s="219"/>
      <c r="DF1200" s="166"/>
      <c r="DG1200" s="116"/>
      <c r="DH1200" s="117"/>
      <c r="DI1200" s="24"/>
      <c r="DJ1200" s="24"/>
      <c r="DK1200" s="24"/>
      <c r="DL1200" s="24"/>
      <c r="DM1200" s="24"/>
      <c r="DN1200" s="24"/>
      <c r="DO1200" s="24"/>
      <c r="DP1200" s="24"/>
      <c r="DQ1200" s="24"/>
      <c r="DR1200" s="24"/>
      <c r="DS1200" s="24"/>
      <c r="DT1200" s="24"/>
      <c r="DU1200" s="24"/>
    </row>
    <row r="1201" spans="1:125" s="8" customFormat="1" ht="60" x14ac:dyDescent="0.2">
      <c r="A1201" s="226">
        <v>41353</v>
      </c>
      <c r="B1201" s="225" t="s">
        <v>2196</v>
      </c>
      <c r="C1201" s="227" t="s">
        <v>508</v>
      </c>
      <c r="D1201" s="227" t="s">
        <v>2859</v>
      </c>
      <c r="E1201" s="75" t="str">
        <f>VLOOKUP(B1201&amp;C1201,Divipola!$C$2:$F$1138,4,FALSE)</f>
        <v>17001</v>
      </c>
      <c r="F1201" s="87"/>
      <c r="G1201" s="87"/>
      <c r="H1201" s="87"/>
      <c r="I1201" s="87">
        <v>3</v>
      </c>
      <c r="J1201" s="87">
        <v>1</v>
      </c>
      <c r="K1201" s="87"/>
      <c r="L1201" s="87">
        <v>1</v>
      </c>
      <c r="M1201" s="87"/>
      <c r="N1201" s="87"/>
      <c r="O1201" s="87"/>
      <c r="P1201" s="87"/>
      <c r="Q1201" s="87"/>
      <c r="R1201" s="87"/>
      <c r="S1201" s="87"/>
      <c r="T1201" s="87"/>
      <c r="U1201" s="88"/>
      <c r="V1201" s="89"/>
      <c r="W1201" s="96">
        <v>0</v>
      </c>
      <c r="X1201" s="71">
        <f>CU1201</f>
        <v>0</v>
      </c>
      <c r="Y1201" s="71">
        <f>CY1201</f>
        <v>0</v>
      </c>
      <c r="Z1201" s="71">
        <f>DA1201+DC1201+DE1201</f>
        <v>0</v>
      </c>
      <c r="AA1201" s="71">
        <f>CW1201</f>
        <v>0</v>
      </c>
      <c r="AB1201" s="71"/>
      <c r="AC1201" s="71">
        <v>0</v>
      </c>
      <c r="AD1201" s="71">
        <f>W1201+X1201+Y1201+Z1201+AA1201+AB1201+AC1201</f>
        <v>0</v>
      </c>
      <c r="AE1201" s="72">
        <v>0</v>
      </c>
      <c r="AF1201" s="5"/>
      <c r="AG1201" s="6"/>
      <c r="AH1201" s="27" t="s">
        <v>3392</v>
      </c>
      <c r="AI1201" s="44" t="s">
        <v>3393</v>
      </c>
      <c r="AJ1201" s="26"/>
      <c r="AK1201" s="5"/>
      <c r="AL1201" s="82" t="s">
        <v>4023</v>
      </c>
      <c r="AM1201" s="76"/>
      <c r="AN1201" s="76"/>
      <c r="AO1201" s="76"/>
      <c r="AP1201" s="76"/>
      <c r="AQ1201" s="76"/>
      <c r="AR1201" s="76"/>
      <c r="AS1201" s="76"/>
      <c r="AT1201" s="76"/>
      <c r="AU1201" s="76"/>
      <c r="AV1201" s="76"/>
      <c r="AW1201" s="76"/>
      <c r="AX1201" s="76">
        <f>+AW1201*600000</f>
        <v>0</v>
      </c>
      <c r="AY1201" s="76"/>
      <c r="AZ1201" s="76">
        <f>+AY1201*70000</f>
        <v>0</v>
      </c>
      <c r="BA1201" s="76"/>
      <c r="BB1201" s="76"/>
      <c r="BC1201" s="76"/>
      <c r="BD1201" s="76">
        <f>+BC1201*30000</f>
        <v>0</v>
      </c>
      <c r="BE1201" s="76"/>
      <c r="BF1201" s="76"/>
      <c r="BG1201" s="76"/>
      <c r="BH1201" s="76"/>
      <c r="BI1201" s="76"/>
      <c r="BJ1201" s="76"/>
      <c r="BK1201" s="76"/>
      <c r="BL1201" s="76">
        <f>+BK1201*31500</f>
        <v>0</v>
      </c>
      <c r="BM1201" s="76"/>
      <c r="BN1201" s="76"/>
      <c r="BO1201" s="76"/>
      <c r="BP1201" s="76"/>
      <c r="BQ1201" s="76"/>
      <c r="BR1201" s="76"/>
      <c r="BS1201" s="76"/>
      <c r="BT1201" s="76"/>
      <c r="BU1201" s="76"/>
      <c r="BV1201" s="76"/>
      <c r="BW1201" s="76"/>
      <c r="BX1201" s="76"/>
      <c r="BY1201" s="76"/>
      <c r="BZ1201" s="76"/>
      <c r="CA1201" s="76"/>
      <c r="CB1201" s="76"/>
      <c r="CC1201" s="76"/>
      <c r="CD1201" s="76"/>
      <c r="CE1201" s="76"/>
      <c r="CF1201" s="76">
        <f>+CE1201*28000</f>
        <v>0</v>
      </c>
      <c r="CG1201" s="76"/>
      <c r="CH1201" s="76">
        <f>+CG1201*22500</f>
        <v>0</v>
      </c>
      <c r="CI1201" s="76"/>
      <c r="CJ1201" s="76">
        <f>+CI1201*26000</f>
        <v>0</v>
      </c>
      <c r="CK1201" s="76"/>
      <c r="CL1201" s="76"/>
      <c r="CM1201" s="76"/>
      <c r="CN1201" s="76">
        <f>+CM1201*22000</f>
        <v>0</v>
      </c>
      <c r="CO1201" s="76"/>
      <c r="CP1201" s="76">
        <f>+CO1201*46000</f>
        <v>0</v>
      </c>
      <c r="CQ1201" s="76"/>
      <c r="CR1201" s="76">
        <f>+CQ1201*49000</f>
        <v>0</v>
      </c>
      <c r="CS1201" s="76"/>
      <c r="CT1201" s="76"/>
      <c r="CU1201" s="56">
        <f>AN1201+AP1201+AR1201+AT1201+AV1201+AX1201+AZ1201+BB1201+BD1201+BF1201+BH1201+BJ1201+BL1201+BN1201+BP1201+BR1201+BT1201+BV1201+BX1201+BZ1201+CB1201+CD1201+CF1201+CH1201+CJ1201+CL1201+CN1201+CP1201+CR1201+CT1201</f>
        <v>0</v>
      </c>
      <c r="CV1201" s="76"/>
      <c r="CW1201" s="76">
        <f>+CV1201*1100</f>
        <v>0</v>
      </c>
      <c r="CX1201" s="76"/>
      <c r="CY1201" s="76">
        <f>+CX1201*106250</f>
        <v>0</v>
      </c>
      <c r="CZ1201" s="76"/>
      <c r="DA1201" s="76">
        <f>+CZ1201*34500</f>
        <v>0</v>
      </c>
      <c r="DB1201" s="76"/>
      <c r="DC1201" s="76">
        <f>+DB1201*25000</f>
        <v>0</v>
      </c>
      <c r="DD1201" s="219"/>
      <c r="DE1201" s="219"/>
      <c r="DF1201" s="166"/>
      <c r="DG1201" s="116"/>
      <c r="DH1201" s="117"/>
      <c r="DI1201" s="24"/>
      <c r="DJ1201" s="24"/>
      <c r="DK1201" s="24"/>
      <c r="DL1201" s="24"/>
      <c r="DM1201" s="24"/>
      <c r="DN1201" s="24"/>
      <c r="DO1201" s="24"/>
      <c r="DP1201" s="24"/>
      <c r="DQ1201" s="24"/>
      <c r="DR1201" s="24"/>
      <c r="DS1201" s="24"/>
      <c r="DT1201" s="24"/>
      <c r="DU1201" s="24"/>
    </row>
    <row r="1202" spans="1:125" s="8" customFormat="1" ht="60" x14ac:dyDescent="0.2">
      <c r="A1202" s="77">
        <v>41353</v>
      </c>
      <c r="B1202" s="78" t="s">
        <v>2778</v>
      </c>
      <c r="C1202" s="75" t="s">
        <v>2212</v>
      </c>
      <c r="D1202" s="81" t="s">
        <v>2846</v>
      </c>
      <c r="E1202" s="75" t="str">
        <f>VLOOKUP(B1202&amp;C1202,Divipola!$C$2:$F$1138,4,FALSE)</f>
        <v>85250</v>
      </c>
      <c r="F1202" s="87"/>
      <c r="G1202" s="87"/>
      <c r="H1202" s="87"/>
      <c r="I1202" s="87"/>
      <c r="J1202" s="87"/>
      <c r="K1202" s="87"/>
      <c r="L1202" s="87"/>
      <c r="M1202" s="87"/>
      <c r="N1202" s="87"/>
      <c r="O1202" s="87"/>
      <c r="P1202" s="87"/>
      <c r="Q1202" s="87"/>
      <c r="R1202" s="87"/>
      <c r="S1202" s="87"/>
      <c r="T1202" s="87"/>
      <c r="U1202" s="88">
        <v>40</v>
      </c>
      <c r="V1202" s="89"/>
      <c r="W1202" s="96">
        <v>0</v>
      </c>
      <c r="X1202" s="71">
        <f>CU1202</f>
        <v>0</v>
      </c>
      <c r="Y1202" s="71">
        <f>CY1202</f>
        <v>0</v>
      </c>
      <c r="Z1202" s="71">
        <f>DA1202+DC1202+DE1202</f>
        <v>0</v>
      </c>
      <c r="AA1202" s="71">
        <f>CW1202</f>
        <v>0</v>
      </c>
      <c r="AB1202" s="71"/>
      <c r="AC1202" s="71">
        <v>0</v>
      </c>
      <c r="AD1202" s="71">
        <f>W1202+X1202+Y1202+Z1202+AA1202+AB1202+AC1202</f>
        <v>0</v>
      </c>
      <c r="AE1202" s="72">
        <v>0</v>
      </c>
      <c r="AF1202" s="5"/>
      <c r="AG1202" s="6"/>
      <c r="AH1202" s="27" t="s">
        <v>3392</v>
      </c>
      <c r="AI1202" s="44" t="s">
        <v>3393</v>
      </c>
      <c r="AJ1202" s="26"/>
      <c r="AK1202" s="5"/>
      <c r="AL1202" s="82" t="s">
        <v>4008</v>
      </c>
      <c r="AM1202" s="76"/>
      <c r="AN1202" s="76"/>
      <c r="AO1202" s="76"/>
      <c r="AP1202" s="76"/>
      <c r="AQ1202" s="76"/>
      <c r="AR1202" s="76"/>
      <c r="AS1202" s="76"/>
      <c r="AT1202" s="76"/>
      <c r="AU1202" s="76"/>
      <c r="AV1202" s="76"/>
      <c r="AW1202" s="76"/>
      <c r="AX1202" s="76">
        <f>+AW1202*600000</f>
        <v>0</v>
      </c>
      <c r="AY1202" s="76"/>
      <c r="AZ1202" s="76">
        <f>+AY1202*70000</f>
        <v>0</v>
      </c>
      <c r="BA1202" s="76"/>
      <c r="BB1202" s="76"/>
      <c r="BC1202" s="76"/>
      <c r="BD1202" s="76">
        <f>+BC1202*30000</f>
        <v>0</v>
      </c>
      <c r="BE1202" s="76"/>
      <c r="BF1202" s="76"/>
      <c r="BG1202" s="76"/>
      <c r="BH1202" s="76"/>
      <c r="BI1202" s="76"/>
      <c r="BJ1202" s="76"/>
      <c r="BK1202" s="76"/>
      <c r="BL1202" s="76">
        <f>+BK1202*31500</f>
        <v>0</v>
      </c>
      <c r="BM1202" s="76"/>
      <c r="BN1202" s="76"/>
      <c r="BO1202" s="76"/>
      <c r="BP1202" s="76"/>
      <c r="BQ1202" s="76"/>
      <c r="BR1202" s="76"/>
      <c r="BS1202" s="76"/>
      <c r="BT1202" s="76"/>
      <c r="BU1202" s="76"/>
      <c r="BV1202" s="76"/>
      <c r="BW1202" s="76"/>
      <c r="BX1202" s="76"/>
      <c r="BY1202" s="76"/>
      <c r="BZ1202" s="76"/>
      <c r="CA1202" s="76"/>
      <c r="CB1202" s="76"/>
      <c r="CC1202" s="76"/>
      <c r="CD1202" s="76"/>
      <c r="CE1202" s="76"/>
      <c r="CF1202" s="76">
        <f>+CE1202*28000</f>
        <v>0</v>
      </c>
      <c r="CG1202" s="76"/>
      <c r="CH1202" s="76">
        <f>+CG1202*22500</f>
        <v>0</v>
      </c>
      <c r="CI1202" s="76"/>
      <c r="CJ1202" s="76">
        <f>+CI1202*26000</f>
        <v>0</v>
      </c>
      <c r="CK1202" s="76"/>
      <c r="CL1202" s="76"/>
      <c r="CM1202" s="76"/>
      <c r="CN1202" s="76">
        <f>+CM1202*22000</f>
        <v>0</v>
      </c>
      <c r="CO1202" s="76"/>
      <c r="CP1202" s="76">
        <f>+CO1202*46000</f>
        <v>0</v>
      </c>
      <c r="CQ1202" s="76"/>
      <c r="CR1202" s="76">
        <f>+CQ1202*49000</f>
        <v>0</v>
      </c>
      <c r="CS1202" s="76"/>
      <c r="CT1202" s="76"/>
      <c r="CU1202" s="56">
        <f>AN1202+AP1202+AR1202+AT1202+AV1202+AX1202+AZ1202+BB1202+BD1202+BF1202+BH1202+BJ1202+BL1202+BN1202+BP1202+BR1202+BT1202+BV1202+BX1202+BZ1202+CB1202+CD1202+CF1202+CH1202+CJ1202+CL1202+CN1202+CP1202+CR1202+CT1202</f>
        <v>0</v>
      </c>
      <c r="CV1202" s="76"/>
      <c r="CW1202" s="76">
        <f>+CV1202*1100</f>
        <v>0</v>
      </c>
      <c r="CX1202" s="76"/>
      <c r="CY1202" s="76">
        <f>+CX1202*106250</f>
        <v>0</v>
      </c>
      <c r="CZ1202" s="76"/>
      <c r="DA1202" s="76">
        <f>+CZ1202*34500</f>
        <v>0</v>
      </c>
      <c r="DB1202" s="76"/>
      <c r="DC1202" s="76">
        <f>+DB1202*25000</f>
        <v>0</v>
      </c>
      <c r="DD1202" s="219"/>
      <c r="DE1202" s="219"/>
      <c r="DF1202" s="166"/>
      <c r="DG1202" s="116"/>
      <c r="DH1202" s="117"/>
      <c r="DI1202" s="24"/>
      <c r="DJ1202" s="24"/>
      <c r="DK1202" s="24"/>
      <c r="DL1202" s="24"/>
      <c r="DM1202" s="24"/>
      <c r="DN1202" s="24"/>
      <c r="DO1202" s="24"/>
      <c r="DP1202" s="24"/>
      <c r="DQ1202" s="24"/>
      <c r="DR1202" s="24"/>
      <c r="DS1202" s="24"/>
      <c r="DT1202" s="24"/>
      <c r="DU1202" s="24"/>
    </row>
    <row r="1203" spans="1:125" s="8" customFormat="1" ht="60" x14ac:dyDescent="0.2">
      <c r="A1203" s="77">
        <v>41353</v>
      </c>
      <c r="B1203" s="78" t="s">
        <v>2811</v>
      </c>
      <c r="C1203" s="75" t="s">
        <v>2787</v>
      </c>
      <c r="D1203" s="75" t="s">
        <v>3051</v>
      </c>
      <c r="E1203" s="75" t="str">
        <f>VLOOKUP(B1203&amp;C1203,Divipola!$C$2:$F$1138,4,FALSE)</f>
        <v>52693</v>
      </c>
      <c r="F1203" s="87"/>
      <c r="G1203" s="87"/>
      <c r="H1203" s="87"/>
      <c r="I1203" s="87">
        <v>10</v>
      </c>
      <c r="J1203" s="87">
        <v>2</v>
      </c>
      <c r="K1203" s="87">
        <v>2</v>
      </c>
      <c r="L1203" s="87"/>
      <c r="M1203" s="87"/>
      <c r="N1203" s="87"/>
      <c r="O1203" s="87"/>
      <c r="P1203" s="87"/>
      <c r="Q1203" s="87"/>
      <c r="R1203" s="87"/>
      <c r="S1203" s="87">
        <v>1</v>
      </c>
      <c r="T1203" s="87"/>
      <c r="U1203" s="88"/>
      <c r="V1203" s="89"/>
      <c r="W1203" s="96">
        <v>0</v>
      </c>
      <c r="X1203" s="71">
        <f>CU1203</f>
        <v>0</v>
      </c>
      <c r="Y1203" s="71">
        <f>CY1203</f>
        <v>0</v>
      </c>
      <c r="Z1203" s="71">
        <f>DA1203+DC1203+DE1203</f>
        <v>0</v>
      </c>
      <c r="AA1203" s="71">
        <f>CW1203</f>
        <v>0</v>
      </c>
      <c r="AB1203" s="71"/>
      <c r="AC1203" s="71">
        <v>0</v>
      </c>
      <c r="AD1203" s="71">
        <f>W1203+X1203+Y1203+Z1203+AA1203+AB1203+AC1203</f>
        <v>0</v>
      </c>
      <c r="AE1203" s="72">
        <v>0</v>
      </c>
      <c r="AF1203" s="5"/>
      <c r="AG1203" s="6"/>
      <c r="AH1203" s="27" t="s">
        <v>3392</v>
      </c>
      <c r="AI1203" s="44" t="s">
        <v>3393</v>
      </c>
      <c r="AJ1203" s="26"/>
      <c r="AK1203" s="5"/>
      <c r="AL1203" s="82" t="s">
        <v>4027</v>
      </c>
      <c r="AM1203" s="76"/>
      <c r="AN1203" s="76"/>
      <c r="AO1203" s="76"/>
      <c r="AP1203" s="76"/>
      <c r="AQ1203" s="76"/>
      <c r="AR1203" s="76"/>
      <c r="AS1203" s="76"/>
      <c r="AT1203" s="76"/>
      <c r="AU1203" s="76"/>
      <c r="AV1203" s="76"/>
      <c r="AW1203" s="76"/>
      <c r="AX1203" s="76">
        <f>+AW1203*600000</f>
        <v>0</v>
      </c>
      <c r="AY1203" s="76"/>
      <c r="AZ1203" s="76">
        <f>+AY1203*70000</f>
        <v>0</v>
      </c>
      <c r="BA1203" s="76"/>
      <c r="BB1203" s="76"/>
      <c r="BC1203" s="76"/>
      <c r="BD1203" s="76">
        <f>+BC1203*30000</f>
        <v>0</v>
      </c>
      <c r="BE1203" s="76"/>
      <c r="BF1203" s="76"/>
      <c r="BG1203" s="76"/>
      <c r="BH1203" s="76"/>
      <c r="BI1203" s="76"/>
      <c r="BJ1203" s="76"/>
      <c r="BK1203" s="76"/>
      <c r="BL1203" s="76">
        <f>+BK1203*31500</f>
        <v>0</v>
      </c>
      <c r="BM1203" s="76"/>
      <c r="BN1203" s="76"/>
      <c r="BO1203" s="76"/>
      <c r="BP1203" s="76"/>
      <c r="BQ1203" s="76"/>
      <c r="BR1203" s="76"/>
      <c r="BS1203" s="76"/>
      <c r="BT1203" s="76"/>
      <c r="BU1203" s="76"/>
      <c r="BV1203" s="76"/>
      <c r="BW1203" s="76"/>
      <c r="BX1203" s="76"/>
      <c r="BY1203" s="76"/>
      <c r="BZ1203" s="76"/>
      <c r="CA1203" s="76"/>
      <c r="CB1203" s="76"/>
      <c r="CC1203" s="76"/>
      <c r="CD1203" s="76"/>
      <c r="CE1203" s="76"/>
      <c r="CF1203" s="76">
        <f>+CE1203*28000</f>
        <v>0</v>
      </c>
      <c r="CG1203" s="76"/>
      <c r="CH1203" s="76">
        <f>+CG1203*22500</f>
        <v>0</v>
      </c>
      <c r="CI1203" s="76"/>
      <c r="CJ1203" s="76">
        <f>+CI1203*26000</f>
        <v>0</v>
      </c>
      <c r="CK1203" s="76"/>
      <c r="CL1203" s="76"/>
      <c r="CM1203" s="76"/>
      <c r="CN1203" s="76">
        <f>+CM1203*22000</f>
        <v>0</v>
      </c>
      <c r="CO1203" s="76"/>
      <c r="CP1203" s="76">
        <f>+CO1203*46000</f>
        <v>0</v>
      </c>
      <c r="CQ1203" s="76"/>
      <c r="CR1203" s="76">
        <f>+CQ1203*49000</f>
        <v>0</v>
      </c>
      <c r="CS1203" s="76"/>
      <c r="CT1203" s="76"/>
      <c r="CU1203" s="56">
        <f>AN1203+AP1203+AR1203+AT1203+AV1203+AX1203+AZ1203+BB1203+BD1203+BF1203+BH1203+BJ1203+BL1203+BN1203+BP1203+BR1203+BT1203+BV1203+BX1203+BZ1203+CB1203+CD1203+CF1203+CH1203+CJ1203+CL1203+CN1203+CP1203+CR1203+CT1203</f>
        <v>0</v>
      </c>
      <c r="CV1203" s="76"/>
      <c r="CW1203" s="76">
        <f>+CV1203*1100</f>
        <v>0</v>
      </c>
      <c r="CX1203" s="76"/>
      <c r="CY1203" s="76">
        <f>+CX1203*106250</f>
        <v>0</v>
      </c>
      <c r="CZ1203" s="76"/>
      <c r="DA1203" s="76">
        <f>+CZ1203*34500</f>
        <v>0</v>
      </c>
      <c r="DB1203" s="76"/>
      <c r="DC1203" s="76">
        <f>+DB1203*25000</f>
        <v>0</v>
      </c>
      <c r="DD1203" s="219"/>
      <c r="DE1203" s="219"/>
      <c r="DF1203" s="166"/>
      <c r="DG1203" s="116"/>
      <c r="DH1203" s="117"/>
      <c r="DI1203" s="24"/>
      <c r="DJ1203" s="24"/>
      <c r="DK1203" s="24"/>
      <c r="DL1203" s="24"/>
      <c r="DM1203" s="24"/>
      <c r="DN1203" s="24"/>
      <c r="DO1203" s="24"/>
      <c r="DP1203" s="24"/>
      <c r="DQ1203" s="24"/>
      <c r="DR1203" s="24"/>
      <c r="DS1203" s="24"/>
      <c r="DT1203" s="24"/>
      <c r="DU1203" s="24"/>
    </row>
    <row r="1204" spans="1:125" s="8" customFormat="1" ht="24" x14ac:dyDescent="0.2">
      <c r="A1204" s="77">
        <v>41353</v>
      </c>
      <c r="B1204" s="78" t="s">
        <v>2880</v>
      </c>
      <c r="C1204" s="75" t="s">
        <v>241</v>
      </c>
      <c r="D1204" s="84" t="s">
        <v>3088</v>
      </c>
      <c r="E1204" s="75" t="str">
        <f>VLOOKUP(B1204&amp;C1204,Divipola!$C$2:$F$1138,4,FALSE)</f>
        <v>54313</v>
      </c>
      <c r="F1204" s="163"/>
      <c r="G1204" s="163"/>
      <c r="H1204" s="163"/>
      <c r="I1204" s="163"/>
      <c r="J1204" s="163"/>
      <c r="K1204" s="163"/>
      <c r="L1204" s="163"/>
      <c r="M1204" s="163"/>
      <c r="N1204" s="163"/>
      <c r="O1204" s="163"/>
      <c r="P1204" s="163"/>
      <c r="Q1204" s="163"/>
      <c r="R1204" s="163"/>
      <c r="S1204" s="163"/>
      <c r="T1204" s="163"/>
      <c r="U1204" s="163"/>
      <c r="V1204" s="134"/>
      <c r="W1204" s="96">
        <v>0</v>
      </c>
      <c r="X1204" s="71">
        <f>CU1204</f>
        <v>0</v>
      </c>
      <c r="Y1204" s="71">
        <f>CY1204</f>
        <v>164341350</v>
      </c>
      <c r="Z1204" s="71">
        <f>DA1204+DC1204+DE1204</f>
        <v>0</v>
      </c>
      <c r="AA1204" s="71">
        <f>CW1204</f>
        <v>0</v>
      </c>
      <c r="AB1204" s="71"/>
      <c r="AC1204" s="71">
        <v>0</v>
      </c>
      <c r="AD1204" s="71">
        <f>W1204+X1204+Y1204+Z1204+AA1204+AB1204+AC1204</f>
        <v>164341350</v>
      </c>
      <c r="AE1204" s="72">
        <v>0</v>
      </c>
      <c r="AF1204" s="5"/>
      <c r="AG1204" s="6"/>
      <c r="AH1204" s="27" t="s">
        <v>3390</v>
      </c>
      <c r="AI1204" s="44" t="s">
        <v>3391</v>
      </c>
      <c r="AJ1204" s="26"/>
      <c r="AK1204" s="5"/>
      <c r="AL1204" s="82" t="s">
        <v>3089</v>
      </c>
      <c r="AM1204" s="76"/>
      <c r="AN1204" s="76"/>
      <c r="AO1204" s="76"/>
      <c r="AP1204" s="76"/>
      <c r="AQ1204" s="76"/>
      <c r="AR1204" s="76"/>
      <c r="AS1204" s="76"/>
      <c r="AT1204" s="76"/>
      <c r="AU1204" s="76"/>
      <c r="AV1204" s="76"/>
      <c r="AW1204" s="76"/>
      <c r="AX1204" s="76">
        <f>+AW1204*600000</f>
        <v>0</v>
      </c>
      <c r="AY1204" s="76"/>
      <c r="AZ1204" s="76">
        <f>+AY1204*70000</f>
        <v>0</v>
      </c>
      <c r="BA1204" s="76"/>
      <c r="BB1204" s="76"/>
      <c r="BC1204" s="76"/>
      <c r="BD1204" s="76">
        <f>+BC1204*30000</f>
        <v>0</v>
      </c>
      <c r="BE1204" s="76"/>
      <c r="BF1204" s="76"/>
      <c r="BG1204" s="76"/>
      <c r="BH1204" s="76"/>
      <c r="BI1204" s="76"/>
      <c r="BJ1204" s="76"/>
      <c r="BK1204" s="76"/>
      <c r="BL1204" s="76">
        <f>+BK1204*31500</f>
        <v>0</v>
      </c>
      <c r="BM1204" s="76"/>
      <c r="BN1204" s="76"/>
      <c r="BO1204" s="76"/>
      <c r="BP1204" s="76"/>
      <c r="BQ1204" s="76"/>
      <c r="BR1204" s="76"/>
      <c r="BS1204" s="76"/>
      <c r="BT1204" s="76"/>
      <c r="BU1204" s="76"/>
      <c r="BV1204" s="76"/>
      <c r="BW1204" s="76"/>
      <c r="BX1204" s="76"/>
      <c r="BY1204" s="76"/>
      <c r="BZ1204" s="76"/>
      <c r="CA1204" s="76"/>
      <c r="CB1204" s="76"/>
      <c r="CC1204" s="76"/>
      <c r="CD1204" s="76"/>
      <c r="CE1204" s="76"/>
      <c r="CF1204" s="76">
        <f>+CE1204*28000</f>
        <v>0</v>
      </c>
      <c r="CG1204" s="76"/>
      <c r="CH1204" s="76">
        <f>+CG1204*22500</f>
        <v>0</v>
      </c>
      <c r="CI1204" s="76"/>
      <c r="CJ1204" s="76">
        <f>+CI1204*26000</f>
        <v>0</v>
      </c>
      <c r="CK1204" s="76"/>
      <c r="CL1204" s="76"/>
      <c r="CM1204" s="76"/>
      <c r="CN1204" s="76">
        <f>+CM1204*22000</f>
        <v>0</v>
      </c>
      <c r="CO1204" s="76"/>
      <c r="CP1204" s="76">
        <f>+CO1204*46000</f>
        <v>0</v>
      </c>
      <c r="CQ1204" s="76"/>
      <c r="CR1204" s="76">
        <f>+CQ1204*49000</f>
        <v>0</v>
      </c>
      <c r="CS1204" s="76"/>
      <c r="CT1204" s="76"/>
      <c r="CU1204" s="56">
        <f>AN1204+AP1204+AR1204+AT1204+AV1204+AX1204+AZ1204+BB1204+BD1204+BF1204+BH1204+BJ1204+BL1204+BN1204+BP1204+BR1204+BT1204+BV1204+BX1204+BZ1204+CB1204+CD1204+CF1204+CH1204+CJ1204+CL1204+CN1204+CP1204+CR1204+CT1204</f>
        <v>0</v>
      </c>
      <c r="CV1204" s="76"/>
      <c r="CW1204" s="76">
        <f>+CV1204*1100</f>
        <v>0</v>
      </c>
      <c r="CX1204" s="86">
        <v>1557</v>
      </c>
      <c r="CY1204" s="86">
        <f>+CX1204*105550</f>
        <v>164341350</v>
      </c>
      <c r="CZ1204" s="86"/>
      <c r="DA1204" s="76">
        <f>+CZ1204*34500</f>
        <v>0</v>
      </c>
      <c r="DB1204" s="76"/>
      <c r="DC1204" s="76">
        <f>+DB1204*25000</f>
        <v>0</v>
      </c>
      <c r="DD1204" s="219"/>
      <c r="DE1204" s="219"/>
      <c r="DF1204" s="166"/>
      <c r="DG1204" s="134" t="s">
        <v>4796</v>
      </c>
      <c r="DH1204" s="117"/>
      <c r="DI1204" s="24"/>
      <c r="DJ1204" s="24"/>
      <c r="DK1204" s="24"/>
      <c r="DL1204" s="24"/>
      <c r="DM1204" s="24"/>
      <c r="DN1204" s="24"/>
      <c r="DO1204" s="24"/>
      <c r="DP1204" s="24"/>
      <c r="DQ1204" s="24"/>
      <c r="DR1204" s="24"/>
      <c r="DS1204" s="24"/>
      <c r="DT1204" s="24"/>
      <c r="DU1204" s="24"/>
    </row>
    <row r="1205" spans="1:125" s="8" customFormat="1" ht="48" x14ac:dyDescent="0.2">
      <c r="A1205" s="226">
        <v>41353</v>
      </c>
      <c r="B1205" s="225" t="s">
        <v>1764</v>
      </c>
      <c r="C1205" s="227" t="s">
        <v>1764</v>
      </c>
      <c r="D1205" s="227" t="s">
        <v>2859</v>
      </c>
      <c r="E1205" s="75" t="str">
        <f>VLOOKUP(B1205&amp;C1205,Divipola!$C$2:$F$1138,4,FALSE)</f>
        <v>88001</v>
      </c>
      <c r="F1205" s="87"/>
      <c r="G1205" s="87"/>
      <c r="H1205" s="87"/>
      <c r="I1205" s="87"/>
      <c r="J1205" s="87"/>
      <c r="K1205" s="87"/>
      <c r="L1205" s="87"/>
      <c r="M1205" s="87"/>
      <c r="N1205" s="87"/>
      <c r="O1205" s="87"/>
      <c r="P1205" s="87"/>
      <c r="Q1205" s="87"/>
      <c r="R1205" s="87"/>
      <c r="S1205" s="87"/>
      <c r="T1205" s="87"/>
      <c r="U1205" s="88"/>
      <c r="V1205" s="89">
        <v>1</v>
      </c>
      <c r="W1205" s="96">
        <v>0</v>
      </c>
      <c r="X1205" s="71">
        <f>CU1205</f>
        <v>0</v>
      </c>
      <c r="Y1205" s="71">
        <f>CY1205</f>
        <v>0</v>
      </c>
      <c r="Z1205" s="71">
        <f>DA1205+DC1205+DE1205</f>
        <v>0</v>
      </c>
      <c r="AA1205" s="71">
        <f>CW1205</f>
        <v>0</v>
      </c>
      <c r="AB1205" s="71"/>
      <c r="AC1205" s="71">
        <v>0</v>
      </c>
      <c r="AD1205" s="71">
        <f>W1205+X1205+Y1205+Z1205+AA1205+AB1205+AC1205</f>
        <v>0</v>
      </c>
      <c r="AE1205" s="72">
        <v>0</v>
      </c>
      <c r="AF1205" s="5"/>
      <c r="AG1205" s="6"/>
      <c r="AH1205" s="27" t="s">
        <v>3392</v>
      </c>
      <c r="AI1205" s="44" t="s">
        <v>3393</v>
      </c>
      <c r="AJ1205" s="26"/>
      <c r="AK1205" s="5"/>
      <c r="AL1205" s="82" t="s">
        <v>4024</v>
      </c>
      <c r="AM1205" s="76"/>
      <c r="AN1205" s="76"/>
      <c r="AO1205" s="76"/>
      <c r="AP1205" s="76"/>
      <c r="AQ1205" s="76"/>
      <c r="AR1205" s="76"/>
      <c r="AS1205" s="76"/>
      <c r="AT1205" s="76"/>
      <c r="AU1205" s="76"/>
      <c r="AV1205" s="76"/>
      <c r="AW1205" s="76"/>
      <c r="AX1205" s="76">
        <f>+AW1205*600000</f>
        <v>0</v>
      </c>
      <c r="AY1205" s="76"/>
      <c r="AZ1205" s="76">
        <f>+AY1205*70000</f>
        <v>0</v>
      </c>
      <c r="BA1205" s="76"/>
      <c r="BB1205" s="76"/>
      <c r="BC1205" s="76"/>
      <c r="BD1205" s="76">
        <f>+BC1205*30000</f>
        <v>0</v>
      </c>
      <c r="BE1205" s="76"/>
      <c r="BF1205" s="76"/>
      <c r="BG1205" s="76"/>
      <c r="BH1205" s="76"/>
      <c r="BI1205" s="76"/>
      <c r="BJ1205" s="76"/>
      <c r="BK1205" s="76"/>
      <c r="BL1205" s="76">
        <f>+BK1205*31500</f>
        <v>0</v>
      </c>
      <c r="BM1205" s="76"/>
      <c r="BN1205" s="76"/>
      <c r="BO1205" s="76"/>
      <c r="BP1205" s="76"/>
      <c r="BQ1205" s="76"/>
      <c r="BR1205" s="76"/>
      <c r="BS1205" s="76"/>
      <c r="BT1205" s="76"/>
      <c r="BU1205" s="76"/>
      <c r="BV1205" s="76"/>
      <c r="BW1205" s="76"/>
      <c r="BX1205" s="76"/>
      <c r="BY1205" s="76"/>
      <c r="BZ1205" s="76"/>
      <c r="CA1205" s="76"/>
      <c r="CB1205" s="76"/>
      <c r="CC1205" s="76"/>
      <c r="CD1205" s="76"/>
      <c r="CE1205" s="76"/>
      <c r="CF1205" s="76">
        <f>+CE1205*28000</f>
        <v>0</v>
      </c>
      <c r="CG1205" s="76"/>
      <c r="CH1205" s="76">
        <f>+CG1205*22500</f>
        <v>0</v>
      </c>
      <c r="CI1205" s="76"/>
      <c r="CJ1205" s="76">
        <f>+CI1205*26000</f>
        <v>0</v>
      </c>
      <c r="CK1205" s="76"/>
      <c r="CL1205" s="76"/>
      <c r="CM1205" s="76"/>
      <c r="CN1205" s="76">
        <f>+CM1205*22000</f>
        <v>0</v>
      </c>
      <c r="CO1205" s="76"/>
      <c r="CP1205" s="76">
        <f>+CO1205*46000</f>
        <v>0</v>
      </c>
      <c r="CQ1205" s="76"/>
      <c r="CR1205" s="76">
        <f>+CQ1205*49000</f>
        <v>0</v>
      </c>
      <c r="CS1205" s="76"/>
      <c r="CT1205" s="76"/>
      <c r="CU1205" s="56">
        <f>AN1205+AP1205+AR1205+AT1205+AV1205+AX1205+AZ1205+BB1205+BD1205+BF1205+BH1205+BJ1205+BL1205+BN1205+BP1205+BR1205+BT1205+BV1205+BX1205+BZ1205+CB1205+CD1205+CF1205+CH1205+CJ1205+CL1205+CN1205+CP1205+CR1205+CT1205</f>
        <v>0</v>
      </c>
      <c r="CV1205" s="76"/>
      <c r="CW1205" s="76">
        <f>+CV1205*1100</f>
        <v>0</v>
      </c>
      <c r="CX1205" s="76"/>
      <c r="CY1205" s="76">
        <f>+CX1205*106250</f>
        <v>0</v>
      </c>
      <c r="CZ1205" s="76"/>
      <c r="DA1205" s="76">
        <f>+CZ1205*34500</f>
        <v>0</v>
      </c>
      <c r="DB1205" s="76"/>
      <c r="DC1205" s="76">
        <f>+DB1205*25000</f>
        <v>0</v>
      </c>
      <c r="DD1205" s="219"/>
      <c r="DE1205" s="219"/>
      <c r="DF1205" s="166"/>
      <c r="DG1205" s="116"/>
      <c r="DH1205" s="117"/>
      <c r="DI1205" s="24"/>
      <c r="DJ1205" s="24"/>
      <c r="DK1205" s="24"/>
      <c r="DL1205" s="24"/>
      <c r="DM1205" s="24"/>
      <c r="DN1205" s="24"/>
      <c r="DO1205" s="24"/>
      <c r="DP1205" s="24"/>
      <c r="DQ1205" s="24"/>
      <c r="DR1205" s="24"/>
      <c r="DS1205" s="24"/>
      <c r="DT1205" s="24"/>
      <c r="DU1205" s="24"/>
    </row>
    <row r="1206" spans="1:125" s="8" customFormat="1" ht="60" x14ac:dyDescent="0.2">
      <c r="A1206" s="353">
        <v>41354</v>
      </c>
      <c r="B1206" s="352" t="s">
        <v>2894</v>
      </c>
      <c r="C1206" s="354" t="s">
        <v>2032</v>
      </c>
      <c r="D1206" s="84" t="s">
        <v>3088</v>
      </c>
      <c r="E1206" s="75" t="str">
        <f>VLOOKUP(B1206&amp;C1206,Divipola!$C$2:$F$1138,4,FALSE)</f>
        <v>05001</v>
      </c>
      <c r="F1206" s="87"/>
      <c r="G1206" s="87"/>
      <c r="H1206" s="87"/>
      <c r="I1206" s="87">
        <v>15</v>
      </c>
      <c r="J1206" s="87">
        <v>3</v>
      </c>
      <c r="K1206" s="87">
        <v>3</v>
      </c>
      <c r="L1206" s="87"/>
      <c r="M1206" s="87"/>
      <c r="N1206" s="87"/>
      <c r="O1206" s="87"/>
      <c r="P1206" s="87"/>
      <c r="Q1206" s="87"/>
      <c r="R1206" s="87"/>
      <c r="S1206" s="87"/>
      <c r="T1206" s="87"/>
      <c r="U1206" s="88"/>
      <c r="V1206" s="89"/>
      <c r="W1206" s="96">
        <v>0</v>
      </c>
      <c r="X1206" s="71">
        <f>CU1206</f>
        <v>0</v>
      </c>
      <c r="Y1206" s="71">
        <f>CY1206</f>
        <v>0</v>
      </c>
      <c r="Z1206" s="71">
        <f>DA1206+DC1206+DE1206</f>
        <v>0</v>
      </c>
      <c r="AA1206" s="71">
        <f>CW1206</f>
        <v>0</v>
      </c>
      <c r="AB1206" s="71"/>
      <c r="AC1206" s="71">
        <v>0</v>
      </c>
      <c r="AD1206" s="71">
        <f>W1206+X1206+Y1206+Z1206+AA1206+AB1206+AC1206</f>
        <v>0</v>
      </c>
      <c r="AE1206" s="72">
        <v>0</v>
      </c>
      <c r="AF1206" s="5"/>
      <c r="AG1206" s="6"/>
      <c r="AH1206" s="27" t="s">
        <v>3392</v>
      </c>
      <c r="AI1206" s="44" t="s">
        <v>3393</v>
      </c>
      <c r="AJ1206" s="26"/>
      <c r="AK1206" s="5"/>
      <c r="AL1206" s="82" t="s">
        <v>4025</v>
      </c>
      <c r="AM1206" s="76"/>
      <c r="AN1206" s="76"/>
      <c r="AO1206" s="76"/>
      <c r="AP1206" s="76"/>
      <c r="AQ1206" s="76"/>
      <c r="AR1206" s="76"/>
      <c r="AS1206" s="76"/>
      <c r="AT1206" s="76"/>
      <c r="AU1206" s="76"/>
      <c r="AV1206" s="76"/>
      <c r="AW1206" s="76"/>
      <c r="AX1206" s="76">
        <f>+AW1206*600000</f>
        <v>0</v>
      </c>
      <c r="AY1206" s="76"/>
      <c r="AZ1206" s="76">
        <f>+AY1206*70000</f>
        <v>0</v>
      </c>
      <c r="BA1206" s="76"/>
      <c r="BB1206" s="76"/>
      <c r="BC1206" s="76"/>
      <c r="BD1206" s="76">
        <f>+BC1206*30000</f>
        <v>0</v>
      </c>
      <c r="BE1206" s="76"/>
      <c r="BF1206" s="76"/>
      <c r="BG1206" s="76"/>
      <c r="BH1206" s="76"/>
      <c r="BI1206" s="76"/>
      <c r="BJ1206" s="76"/>
      <c r="BK1206" s="76"/>
      <c r="BL1206" s="76">
        <f>+BK1206*31500</f>
        <v>0</v>
      </c>
      <c r="BM1206" s="76"/>
      <c r="BN1206" s="76"/>
      <c r="BO1206" s="76"/>
      <c r="BP1206" s="76"/>
      <c r="BQ1206" s="76"/>
      <c r="BR1206" s="76"/>
      <c r="BS1206" s="76"/>
      <c r="BT1206" s="76"/>
      <c r="BU1206" s="76"/>
      <c r="BV1206" s="76"/>
      <c r="BW1206" s="76"/>
      <c r="BX1206" s="76"/>
      <c r="BY1206" s="76"/>
      <c r="BZ1206" s="76"/>
      <c r="CA1206" s="76"/>
      <c r="CB1206" s="76"/>
      <c r="CC1206" s="76"/>
      <c r="CD1206" s="76"/>
      <c r="CE1206" s="76"/>
      <c r="CF1206" s="76">
        <f>+CE1206*28000</f>
        <v>0</v>
      </c>
      <c r="CG1206" s="76"/>
      <c r="CH1206" s="76">
        <f>+CG1206*22500</f>
        <v>0</v>
      </c>
      <c r="CI1206" s="76"/>
      <c r="CJ1206" s="76">
        <f>+CI1206*26000</f>
        <v>0</v>
      </c>
      <c r="CK1206" s="76"/>
      <c r="CL1206" s="76"/>
      <c r="CM1206" s="76"/>
      <c r="CN1206" s="76">
        <f>+CM1206*22000</f>
        <v>0</v>
      </c>
      <c r="CO1206" s="76"/>
      <c r="CP1206" s="76">
        <f>+CO1206*46000</f>
        <v>0</v>
      </c>
      <c r="CQ1206" s="76"/>
      <c r="CR1206" s="76">
        <f>+CQ1206*49000</f>
        <v>0</v>
      </c>
      <c r="CS1206" s="76"/>
      <c r="CT1206" s="76"/>
      <c r="CU1206" s="56">
        <f>AN1206+AP1206+AR1206+AT1206+AV1206+AX1206+AZ1206+BB1206+BD1206+BF1206+BH1206+BJ1206+BL1206+BN1206+BP1206+BR1206+BT1206+BV1206+BX1206+BZ1206+CB1206+CD1206+CF1206+CH1206+CJ1206+CL1206+CN1206+CP1206+CR1206+CT1206</f>
        <v>0</v>
      </c>
      <c r="CV1206" s="76"/>
      <c r="CW1206" s="76">
        <f>+CV1206*1100</f>
        <v>0</v>
      </c>
      <c r="CX1206" s="76"/>
      <c r="CY1206" s="76">
        <f>+CX1206*106250</f>
        <v>0</v>
      </c>
      <c r="CZ1206" s="76"/>
      <c r="DA1206" s="76">
        <f>+CZ1206*34500</f>
        <v>0</v>
      </c>
      <c r="DB1206" s="76"/>
      <c r="DC1206" s="76">
        <f>+DB1206*25000</f>
        <v>0</v>
      </c>
      <c r="DD1206" s="219"/>
      <c r="DE1206" s="219"/>
      <c r="DF1206" s="166"/>
      <c r="DG1206" s="116"/>
      <c r="DH1206" s="117"/>
      <c r="DI1206" s="24"/>
      <c r="DJ1206" s="24"/>
      <c r="DK1206" s="24"/>
      <c r="DL1206" s="24"/>
      <c r="DM1206" s="24"/>
      <c r="DN1206" s="24"/>
      <c r="DO1206" s="24"/>
      <c r="DP1206" s="24"/>
      <c r="DQ1206" s="24"/>
      <c r="DR1206" s="24"/>
      <c r="DS1206" s="24"/>
      <c r="DT1206" s="24"/>
      <c r="DU1206" s="24"/>
    </row>
    <row r="1207" spans="1:125" s="8" customFormat="1" ht="48" x14ac:dyDescent="0.2">
      <c r="A1207" s="226">
        <v>41354</v>
      </c>
      <c r="B1207" s="225" t="s">
        <v>2036</v>
      </c>
      <c r="C1207" s="227" t="s">
        <v>2036</v>
      </c>
      <c r="D1207" s="81" t="s">
        <v>2846</v>
      </c>
      <c r="E1207" s="75" t="str">
        <f>VLOOKUP(B1207&amp;C1207,Divipola!$C$2:$F$1138,4,FALSE)</f>
        <v>81001</v>
      </c>
      <c r="F1207" s="87"/>
      <c r="G1207" s="87"/>
      <c r="H1207" s="87"/>
      <c r="I1207" s="87"/>
      <c r="J1207" s="87"/>
      <c r="K1207" s="87"/>
      <c r="L1207" s="87"/>
      <c r="M1207" s="87"/>
      <c r="N1207" s="87"/>
      <c r="O1207" s="87"/>
      <c r="P1207" s="87"/>
      <c r="Q1207" s="87"/>
      <c r="R1207" s="87"/>
      <c r="S1207" s="87"/>
      <c r="T1207" s="87"/>
      <c r="U1207" s="88">
        <v>120</v>
      </c>
      <c r="V1207" s="89"/>
      <c r="W1207" s="96">
        <v>0</v>
      </c>
      <c r="X1207" s="71">
        <f>CU1207</f>
        <v>0</v>
      </c>
      <c r="Y1207" s="71">
        <f>CY1207</f>
        <v>0</v>
      </c>
      <c r="Z1207" s="71">
        <f>DA1207+DC1207+DE1207</f>
        <v>0</v>
      </c>
      <c r="AA1207" s="71">
        <f>CW1207</f>
        <v>0</v>
      </c>
      <c r="AB1207" s="71"/>
      <c r="AC1207" s="71">
        <v>0</v>
      </c>
      <c r="AD1207" s="71">
        <f>W1207+X1207+Y1207+Z1207+AA1207+AB1207+AC1207</f>
        <v>0</v>
      </c>
      <c r="AE1207" s="72">
        <v>0</v>
      </c>
      <c r="AF1207" s="5"/>
      <c r="AG1207" s="6"/>
      <c r="AH1207" s="27" t="s">
        <v>3392</v>
      </c>
      <c r="AI1207" s="44" t="s">
        <v>3393</v>
      </c>
      <c r="AJ1207" s="26"/>
      <c r="AK1207" s="5"/>
      <c r="AL1207" s="82" t="s">
        <v>4021</v>
      </c>
      <c r="AM1207" s="76"/>
      <c r="AN1207" s="76"/>
      <c r="AO1207" s="76"/>
      <c r="AP1207" s="76"/>
      <c r="AQ1207" s="76"/>
      <c r="AR1207" s="76"/>
      <c r="AS1207" s="76"/>
      <c r="AT1207" s="76"/>
      <c r="AU1207" s="76"/>
      <c r="AV1207" s="76"/>
      <c r="AW1207" s="76"/>
      <c r="AX1207" s="76">
        <f>+AW1207*600000</f>
        <v>0</v>
      </c>
      <c r="AY1207" s="76"/>
      <c r="AZ1207" s="76">
        <f>+AY1207*70000</f>
        <v>0</v>
      </c>
      <c r="BA1207" s="76"/>
      <c r="BB1207" s="76"/>
      <c r="BC1207" s="76"/>
      <c r="BD1207" s="76">
        <f>+BC1207*30000</f>
        <v>0</v>
      </c>
      <c r="BE1207" s="76"/>
      <c r="BF1207" s="76"/>
      <c r="BG1207" s="76"/>
      <c r="BH1207" s="76"/>
      <c r="BI1207" s="76"/>
      <c r="BJ1207" s="76"/>
      <c r="BK1207" s="76"/>
      <c r="BL1207" s="76">
        <f>+BK1207*31500</f>
        <v>0</v>
      </c>
      <c r="BM1207" s="76"/>
      <c r="BN1207" s="76"/>
      <c r="BO1207" s="76"/>
      <c r="BP1207" s="76"/>
      <c r="BQ1207" s="76"/>
      <c r="BR1207" s="76"/>
      <c r="BS1207" s="76"/>
      <c r="BT1207" s="76"/>
      <c r="BU1207" s="76"/>
      <c r="BV1207" s="76"/>
      <c r="BW1207" s="76"/>
      <c r="BX1207" s="76"/>
      <c r="BY1207" s="76"/>
      <c r="BZ1207" s="76"/>
      <c r="CA1207" s="76"/>
      <c r="CB1207" s="76"/>
      <c r="CC1207" s="76"/>
      <c r="CD1207" s="76"/>
      <c r="CE1207" s="76"/>
      <c r="CF1207" s="76">
        <f>+CE1207*28000</f>
        <v>0</v>
      </c>
      <c r="CG1207" s="76"/>
      <c r="CH1207" s="76">
        <f>+CG1207*22500</f>
        <v>0</v>
      </c>
      <c r="CI1207" s="76"/>
      <c r="CJ1207" s="76">
        <f>+CI1207*26000</f>
        <v>0</v>
      </c>
      <c r="CK1207" s="76"/>
      <c r="CL1207" s="76"/>
      <c r="CM1207" s="76"/>
      <c r="CN1207" s="76">
        <f>+CM1207*22000</f>
        <v>0</v>
      </c>
      <c r="CO1207" s="76"/>
      <c r="CP1207" s="76">
        <f>+CO1207*46000</f>
        <v>0</v>
      </c>
      <c r="CQ1207" s="76"/>
      <c r="CR1207" s="76">
        <f>+CQ1207*49000</f>
        <v>0</v>
      </c>
      <c r="CS1207" s="76"/>
      <c r="CT1207" s="76"/>
      <c r="CU1207" s="56">
        <f>AN1207+AP1207+AR1207+AT1207+AV1207+AX1207+AZ1207+BB1207+BD1207+BF1207+BH1207+BJ1207+BL1207+BN1207+BP1207+BR1207+BT1207+BV1207+BX1207+BZ1207+CB1207+CD1207+CF1207+CH1207+CJ1207+CL1207+CN1207+CP1207+CR1207+CT1207</f>
        <v>0</v>
      </c>
      <c r="CV1207" s="76"/>
      <c r="CW1207" s="76">
        <f>+CV1207*1100</f>
        <v>0</v>
      </c>
      <c r="CX1207" s="76"/>
      <c r="CY1207" s="76">
        <f>+CX1207*106250</f>
        <v>0</v>
      </c>
      <c r="CZ1207" s="76"/>
      <c r="DA1207" s="76">
        <f>+CZ1207*34500</f>
        <v>0</v>
      </c>
      <c r="DB1207" s="76"/>
      <c r="DC1207" s="76">
        <f>+DB1207*25000</f>
        <v>0</v>
      </c>
      <c r="DD1207" s="219"/>
      <c r="DE1207" s="219"/>
      <c r="DF1207" s="166"/>
      <c r="DG1207" s="116"/>
      <c r="DH1207" s="117"/>
      <c r="DI1207" s="24"/>
      <c r="DJ1207" s="24"/>
      <c r="DK1207" s="24"/>
      <c r="DL1207" s="24"/>
      <c r="DM1207" s="24"/>
      <c r="DN1207" s="24"/>
      <c r="DO1207" s="24"/>
      <c r="DP1207" s="24"/>
      <c r="DQ1207" s="24"/>
      <c r="DR1207" s="24"/>
      <c r="DS1207" s="24"/>
      <c r="DT1207" s="24"/>
      <c r="DU1207" s="24"/>
    </row>
    <row r="1208" spans="1:125" s="8" customFormat="1" ht="36" x14ac:dyDescent="0.2">
      <c r="A1208" s="226">
        <v>41354</v>
      </c>
      <c r="B1208" s="225" t="s">
        <v>2854</v>
      </c>
      <c r="C1208" s="227" t="s">
        <v>2100</v>
      </c>
      <c r="D1208" s="227" t="s">
        <v>3425</v>
      </c>
      <c r="E1208" s="75" t="str">
        <f>VLOOKUP(B1208&amp;C1208,Divipola!$C$2:$F$1138,4,FALSE)</f>
        <v>19397</v>
      </c>
      <c r="F1208" s="87">
        <v>3</v>
      </c>
      <c r="G1208" s="87">
        <v>6</v>
      </c>
      <c r="H1208" s="87"/>
      <c r="I1208" s="87"/>
      <c r="J1208" s="87"/>
      <c r="K1208" s="87"/>
      <c r="L1208" s="87"/>
      <c r="M1208" s="87"/>
      <c r="N1208" s="87"/>
      <c r="O1208" s="87"/>
      <c r="P1208" s="87"/>
      <c r="Q1208" s="87"/>
      <c r="R1208" s="87"/>
      <c r="S1208" s="87"/>
      <c r="T1208" s="87"/>
      <c r="U1208" s="88"/>
      <c r="V1208" s="89"/>
      <c r="W1208" s="96">
        <v>0</v>
      </c>
      <c r="X1208" s="71">
        <f>CU1208</f>
        <v>0</v>
      </c>
      <c r="Y1208" s="71">
        <f>CY1208</f>
        <v>0</v>
      </c>
      <c r="Z1208" s="71">
        <f>DA1208+DC1208+DE1208</f>
        <v>0</v>
      </c>
      <c r="AA1208" s="71">
        <f>CW1208</f>
        <v>0</v>
      </c>
      <c r="AB1208" s="71"/>
      <c r="AC1208" s="71">
        <v>0</v>
      </c>
      <c r="AD1208" s="71">
        <f>W1208+X1208+Y1208+Z1208+AA1208+AB1208+AC1208</f>
        <v>0</v>
      </c>
      <c r="AE1208" s="72">
        <v>0</v>
      </c>
      <c r="AF1208" s="5"/>
      <c r="AG1208" s="6"/>
      <c r="AH1208" s="27" t="s">
        <v>3392</v>
      </c>
      <c r="AI1208" s="44" t="s">
        <v>3393</v>
      </c>
      <c r="AJ1208" s="26"/>
      <c r="AK1208" s="5"/>
      <c r="AL1208" s="82" t="s">
        <v>4014</v>
      </c>
      <c r="AM1208" s="76"/>
      <c r="AN1208" s="76"/>
      <c r="AO1208" s="76"/>
      <c r="AP1208" s="76"/>
      <c r="AQ1208" s="76"/>
      <c r="AR1208" s="76"/>
      <c r="AS1208" s="76"/>
      <c r="AT1208" s="76"/>
      <c r="AU1208" s="76"/>
      <c r="AV1208" s="76"/>
      <c r="AW1208" s="76"/>
      <c r="AX1208" s="76">
        <f>+AW1208*600000</f>
        <v>0</v>
      </c>
      <c r="AY1208" s="76"/>
      <c r="AZ1208" s="76">
        <f>+AY1208*70000</f>
        <v>0</v>
      </c>
      <c r="BA1208" s="76"/>
      <c r="BB1208" s="76"/>
      <c r="BC1208" s="76"/>
      <c r="BD1208" s="76">
        <f>+BC1208*30000</f>
        <v>0</v>
      </c>
      <c r="BE1208" s="76"/>
      <c r="BF1208" s="76"/>
      <c r="BG1208" s="76"/>
      <c r="BH1208" s="76"/>
      <c r="BI1208" s="76"/>
      <c r="BJ1208" s="76"/>
      <c r="BK1208" s="76"/>
      <c r="BL1208" s="76">
        <f>+BK1208*31500</f>
        <v>0</v>
      </c>
      <c r="BM1208" s="76"/>
      <c r="BN1208" s="76"/>
      <c r="BO1208" s="76"/>
      <c r="BP1208" s="76"/>
      <c r="BQ1208" s="76"/>
      <c r="BR1208" s="76"/>
      <c r="BS1208" s="76"/>
      <c r="BT1208" s="76"/>
      <c r="BU1208" s="76"/>
      <c r="BV1208" s="76"/>
      <c r="BW1208" s="76"/>
      <c r="BX1208" s="76"/>
      <c r="BY1208" s="76"/>
      <c r="BZ1208" s="76"/>
      <c r="CA1208" s="76"/>
      <c r="CB1208" s="76"/>
      <c r="CC1208" s="76"/>
      <c r="CD1208" s="76"/>
      <c r="CE1208" s="76"/>
      <c r="CF1208" s="76">
        <f>+CE1208*28000</f>
        <v>0</v>
      </c>
      <c r="CG1208" s="76"/>
      <c r="CH1208" s="76">
        <f>+CG1208*22500</f>
        <v>0</v>
      </c>
      <c r="CI1208" s="76"/>
      <c r="CJ1208" s="76">
        <f>+CI1208*26000</f>
        <v>0</v>
      </c>
      <c r="CK1208" s="76"/>
      <c r="CL1208" s="76"/>
      <c r="CM1208" s="76"/>
      <c r="CN1208" s="76">
        <f>+CM1208*22000</f>
        <v>0</v>
      </c>
      <c r="CO1208" s="76"/>
      <c r="CP1208" s="76">
        <f>+CO1208*46000</f>
        <v>0</v>
      </c>
      <c r="CQ1208" s="76"/>
      <c r="CR1208" s="76">
        <f>+CQ1208*49000</f>
        <v>0</v>
      </c>
      <c r="CS1208" s="76"/>
      <c r="CT1208" s="76"/>
      <c r="CU1208" s="56">
        <f>AN1208+AP1208+AR1208+AT1208+AV1208+AX1208+AZ1208+BB1208+BD1208+BF1208+BH1208+BJ1208+BL1208+BN1208+BP1208+BR1208+BT1208+BV1208+BX1208+BZ1208+CB1208+CD1208+CF1208+CH1208+CJ1208+CL1208+CN1208+CP1208+CR1208+CT1208</f>
        <v>0</v>
      </c>
      <c r="CV1208" s="76"/>
      <c r="CW1208" s="76">
        <f>+CV1208*1100</f>
        <v>0</v>
      </c>
      <c r="CX1208" s="76"/>
      <c r="CY1208" s="76">
        <f>+CX1208*106250</f>
        <v>0</v>
      </c>
      <c r="CZ1208" s="76"/>
      <c r="DA1208" s="76">
        <f>+CZ1208*34500</f>
        <v>0</v>
      </c>
      <c r="DB1208" s="76"/>
      <c r="DC1208" s="76">
        <f>+DB1208*25000</f>
        <v>0</v>
      </c>
      <c r="DD1208" s="219"/>
      <c r="DE1208" s="219"/>
      <c r="DF1208" s="166"/>
      <c r="DG1208" s="116"/>
      <c r="DH1208" s="117"/>
      <c r="DI1208" s="24"/>
      <c r="DJ1208" s="24"/>
      <c r="DK1208" s="24"/>
      <c r="DL1208" s="24"/>
      <c r="DM1208" s="24"/>
      <c r="DN1208" s="24"/>
      <c r="DO1208" s="24"/>
      <c r="DP1208" s="24"/>
      <c r="DQ1208" s="24"/>
      <c r="DR1208" s="24"/>
      <c r="DS1208" s="24"/>
      <c r="DT1208" s="24"/>
      <c r="DU1208" s="24"/>
    </row>
    <row r="1209" spans="1:125" s="8" customFormat="1" ht="36" x14ac:dyDescent="0.2">
      <c r="A1209" s="226">
        <v>41354</v>
      </c>
      <c r="B1209" s="225" t="s">
        <v>2852</v>
      </c>
      <c r="C1209" s="227" t="s">
        <v>1327</v>
      </c>
      <c r="D1209" s="227" t="s">
        <v>2859</v>
      </c>
      <c r="E1209" s="75" t="str">
        <f>VLOOKUP(B1209&amp;C1209,Divipola!$C$2:$F$1138,4,FALSE)</f>
        <v>27001</v>
      </c>
      <c r="F1209" s="87"/>
      <c r="G1209" s="87"/>
      <c r="H1209" s="87"/>
      <c r="I1209" s="87">
        <v>2</v>
      </c>
      <c r="J1209" s="87">
        <v>1</v>
      </c>
      <c r="K1209" s="87">
        <v>1</v>
      </c>
      <c r="L1209" s="87"/>
      <c r="M1209" s="87"/>
      <c r="N1209" s="87"/>
      <c r="O1209" s="87"/>
      <c r="P1209" s="87"/>
      <c r="Q1209" s="87"/>
      <c r="R1209" s="87"/>
      <c r="S1209" s="87"/>
      <c r="T1209" s="87"/>
      <c r="U1209" s="88"/>
      <c r="V1209" s="89"/>
      <c r="W1209" s="96">
        <v>0</v>
      </c>
      <c r="X1209" s="71">
        <f>CU1209</f>
        <v>0</v>
      </c>
      <c r="Y1209" s="71">
        <f>CY1209</f>
        <v>0</v>
      </c>
      <c r="Z1209" s="71">
        <f>DA1209+DC1209+DE1209</f>
        <v>0</v>
      </c>
      <c r="AA1209" s="71">
        <f>CW1209</f>
        <v>0</v>
      </c>
      <c r="AB1209" s="71"/>
      <c r="AC1209" s="71">
        <v>0</v>
      </c>
      <c r="AD1209" s="71">
        <f>W1209+X1209+Y1209+Z1209+AA1209+AB1209+AC1209</f>
        <v>0</v>
      </c>
      <c r="AE1209" s="72">
        <v>0</v>
      </c>
      <c r="AF1209" s="5"/>
      <c r="AG1209" s="6"/>
      <c r="AH1209" s="27" t="s">
        <v>3392</v>
      </c>
      <c r="AI1209" s="44" t="s">
        <v>3393</v>
      </c>
      <c r="AJ1209" s="26"/>
      <c r="AK1209" s="5"/>
      <c r="AL1209" s="82" t="s">
        <v>4022</v>
      </c>
      <c r="AM1209" s="76"/>
      <c r="AN1209" s="76"/>
      <c r="AO1209" s="76"/>
      <c r="AP1209" s="76"/>
      <c r="AQ1209" s="76"/>
      <c r="AR1209" s="76"/>
      <c r="AS1209" s="76"/>
      <c r="AT1209" s="76"/>
      <c r="AU1209" s="76"/>
      <c r="AV1209" s="76"/>
      <c r="AW1209" s="76"/>
      <c r="AX1209" s="76">
        <f>+AW1209*600000</f>
        <v>0</v>
      </c>
      <c r="AY1209" s="76"/>
      <c r="AZ1209" s="76">
        <f>+AY1209*70000</f>
        <v>0</v>
      </c>
      <c r="BA1209" s="76"/>
      <c r="BB1209" s="76"/>
      <c r="BC1209" s="76"/>
      <c r="BD1209" s="76">
        <f>+BC1209*30000</f>
        <v>0</v>
      </c>
      <c r="BE1209" s="76"/>
      <c r="BF1209" s="76"/>
      <c r="BG1209" s="76"/>
      <c r="BH1209" s="76"/>
      <c r="BI1209" s="76"/>
      <c r="BJ1209" s="76"/>
      <c r="BK1209" s="76"/>
      <c r="BL1209" s="76">
        <f>+BK1209*31500</f>
        <v>0</v>
      </c>
      <c r="BM1209" s="76"/>
      <c r="BN1209" s="76"/>
      <c r="BO1209" s="76"/>
      <c r="BP1209" s="76"/>
      <c r="BQ1209" s="76"/>
      <c r="BR1209" s="76"/>
      <c r="BS1209" s="76"/>
      <c r="BT1209" s="76"/>
      <c r="BU1209" s="76"/>
      <c r="BV1209" s="76"/>
      <c r="BW1209" s="76"/>
      <c r="BX1209" s="76"/>
      <c r="BY1209" s="76"/>
      <c r="BZ1209" s="76"/>
      <c r="CA1209" s="76"/>
      <c r="CB1209" s="76"/>
      <c r="CC1209" s="76"/>
      <c r="CD1209" s="76"/>
      <c r="CE1209" s="76"/>
      <c r="CF1209" s="76">
        <f>+CE1209*28000</f>
        <v>0</v>
      </c>
      <c r="CG1209" s="76"/>
      <c r="CH1209" s="76">
        <f>+CG1209*22500</f>
        <v>0</v>
      </c>
      <c r="CI1209" s="76"/>
      <c r="CJ1209" s="76">
        <f>+CI1209*26000</f>
        <v>0</v>
      </c>
      <c r="CK1209" s="76"/>
      <c r="CL1209" s="76"/>
      <c r="CM1209" s="76"/>
      <c r="CN1209" s="76">
        <f>+CM1209*22000</f>
        <v>0</v>
      </c>
      <c r="CO1209" s="76"/>
      <c r="CP1209" s="76">
        <f>+CO1209*46000</f>
        <v>0</v>
      </c>
      <c r="CQ1209" s="76"/>
      <c r="CR1209" s="76">
        <f>+CQ1209*49000</f>
        <v>0</v>
      </c>
      <c r="CS1209" s="76"/>
      <c r="CT1209" s="76"/>
      <c r="CU1209" s="56">
        <f>AN1209+AP1209+AR1209+AT1209+AV1209+AX1209+AZ1209+BB1209+BD1209+BF1209+BH1209+BJ1209+BL1209+BN1209+BP1209+BR1209+BT1209+BV1209+BX1209+BZ1209+CB1209+CD1209+CF1209+CH1209+CJ1209+CL1209+CN1209+CP1209+CR1209+CT1209</f>
        <v>0</v>
      </c>
      <c r="CV1209" s="76"/>
      <c r="CW1209" s="76">
        <f>+CV1209*1100</f>
        <v>0</v>
      </c>
      <c r="CX1209" s="76"/>
      <c r="CY1209" s="76">
        <f>+CX1209*106250</f>
        <v>0</v>
      </c>
      <c r="CZ1209" s="76"/>
      <c r="DA1209" s="76">
        <f>+CZ1209*34500</f>
        <v>0</v>
      </c>
      <c r="DB1209" s="76"/>
      <c r="DC1209" s="76">
        <f>+DB1209*25000</f>
        <v>0</v>
      </c>
      <c r="DD1209" s="219"/>
      <c r="DE1209" s="219"/>
      <c r="DF1209" s="166"/>
      <c r="DG1209" s="116"/>
      <c r="DH1209" s="117"/>
      <c r="DI1209" s="24"/>
      <c r="DJ1209" s="24"/>
      <c r="DK1209" s="24"/>
      <c r="DL1209" s="24"/>
      <c r="DM1209" s="24"/>
      <c r="DN1209" s="24"/>
      <c r="DO1209" s="24"/>
      <c r="DP1209" s="24"/>
      <c r="DQ1209" s="24"/>
      <c r="DR1209" s="24"/>
      <c r="DS1209" s="24"/>
      <c r="DT1209" s="24"/>
      <c r="DU1209" s="24"/>
    </row>
    <row r="1210" spans="1:125" s="8" customFormat="1" ht="108" x14ac:dyDescent="0.2">
      <c r="A1210" s="226">
        <v>41354</v>
      </c>
      <c r="B1210" s="225" t="s">
        <v>2772</v>
      </c>
      <c r="C1210" s="227" t="s">
        <v>1151</v>
      </c>
      <c r="D1210" s="84" t="s">
        <v>3088</v>
      </c>
      <c r="E1210" s="75" t="str">
        <f>VLOOKUP(B1210&amp;C1210,Divipola!$C$2:$F$1138,4,FALSE)</f>
        <v>25662</v>
      </c>
      <c r="F1210" s="87"/>
      <c r="G1210" s="87"/>
      <c r="H1210" s="87"/>
      <c r="I1210" s="87">
        <v>70</v>
      </c>
      <c r="J1210" s="87">
        <v>17</v>
      </c>
      <c r="K1210" s="87">
        <v>6</v>
      </c>
      <c r="L1210" s="87">
        <v>11</v>
      </c>
      <c r="M1210" s="87"/>
      <c r="N1210" s="87"/>
      <c r="O1210" s="87"/>
      <c r="P1210" s="87"/>
      <c r="Q1210" s="87"/>
      <c r="R1210" s="87"/>
      <c r="S1210" s="87"/>
      <c r="T1210" s="87"/>
      <c r="U1210" s="88"/>
      <c r="V1210" s="89"/>
      <c r="W1210" s="96">
        <v>0</v>
      </c>
      <c r="X1210" s="71">
        <f>CU1210</f>
        <v>0</v>
      </c>
      <c r="Y1210" s="71">
        <f>CY1210</f>
        <v>0</v>
      </c>
      <c r="Z1210" s="71">
        <f>DA1210+DC1210+DE1210</f>
        <v>0</v>
      </c>
      <c r="AA1210" s="71">
        <f>CW1210</f>
        <v>0</v>
      </c>
      <c r="AB1210" s="71"/>
      <c r="AC1210" s="71">
        <v>0</v>
      </c>
      <c r="AD1210" s="71">
        <f>W1210+X1210+Y1210+Z1210+AA1210+AB1210+AC1210</f>
        <v>0</v>
      </c>
      <c r="AE1210" s="72">
        <v>0</v>
      </c>
      <c r="AF1210" s="5"/>
      <c r="AG1210" s="6"/>
      <c r="AH1210" s="27" t="s">
        <v>3392</v>
      </c>
      <c r="AI1210" s="44" t="s">
        <v>3393</v>
      </c>
      <c r="AJ1210" s="26"/>
      <c r="AK1210" s="5"/>
      <c r="AL1210" s="82" t="s">
        <v>4016</v>
      </c>
      <c r="AM1210" s="76"/>
      <c r="AN1210" s="76"/>
      <c r="AO1210" s="76"/>
      <c r="AP1210" s="76"/>
      <c r="AQ1210" s="76"/>
      <c r="AR1210" s="76"/>
      <c r="AS1210" s="76"/>
      <c r="AT1210" s="76"/>
      <c r="AU1210" s="76"/>
      <c r="AV1210" s="76"/>
      <c r="AW1210" s="76"/>
      <c r="AX1210" s="76">
        <f>+AW1210*600000</f>
        <v>0</v>
      </c>
      <c r="AY1210" s="76"/>
      <c r="AZ1210" s="76">
        <f>+AY1210*70000</f>
        <v>0</v>
      </c>
      <c r="BA1210" s="76"/>
      <c r="BB1210" s="76"/>
      <c r="BC1210" s="76"/>
      <c r="BD1210" s="76">
        <f>+BC1210*30000</f>
        <v>0</v>
      </c>
      <c r="BE1210" s="76"/>
      <c r="BF1210" s="76"/>
      <c r="BG1210" s="76"/>
      <c r="BH1210" s="76"/>
      <c r="BI1210" s="76"/>
      <c r="BJ1210" s="76"/>
      <c r="BK1210" s="76"/>
      <c r="BL1210" s="76">
        <f>+BK1210*31500</f>
        <v>0</v>
      </c>
      <c r="BM1210" s="76"/>
      <c r="BN1210" s="76"/>
      <c r="BO1210" s="76"/>
      <c r="BP1210" s="76"/>
      <c r="BQ1210" s="76"/>
      <c r="BR1210" s="76"/>
      <c r="BS1210" s="76"/>
      <c r="BT1210" s="76"/>
      <c r="BU1210" s="76"/>
      <c r="BV1210" s="76"/>
      <c r="BW1210" s="76"/>
      <c r="BX1210" s="76"/>
      <c r="BY1210" s="76"/>
      <c r="BZ1210" s="76"/>
      <c r="CA1210" s="76"/>
      <c r="CB1210" s="76"/>
      <c r="CC1210" s="76"/>
      <c r="CD1210" s="76"/>
      <c r="CE1210" s="76"/>
      <c r="CF1210" s="76">
        <f>+CE1210*28000</f>
        <v>0</v>
      </c>
      <c r="CG1210" s="76"/>
      <c r="CH1210" s="76">
        <f>+CG1210*22500</f>
        <v>0</v>
      </c>
      <c r="CI1210" s="76"/>
      <c r="CJ1210" s="76">
        <f>+CI1210*26000</f>
        <v>0</v>
      </c>
      <c r="CK1210" s="76"/>
      <c r="CL1210" s="76"/>
      <c r="CM1210" s="76"/>
      <c r="CN1210" s="76">
        <f>+CM1210*22000</f>
        <v>0</v>
      </c>
      <c r="CO1210" s="76"/>
      <c r="CP1210" s="76">
        <f>+CO1210*46000</f>
        <v>0</v>
      </c>
      <c r="CQ1210" s="76"/>
      <c r="CR1210" s="76">
        <f>+CQ1210*49000</f>
        <v>0</v>
      </c>
      <c r="CS1210" s="76"/>
      <c r="CT1210" s="76"/>
      <c r="CU1210" s="56">
        <f>AN1210+AP1210+AR1210+AT1210+AV1210+AX1210+AZ1210+BB1210+BD1210+BF1210+BH1210+BJ1210+BL1210+BN1210+BP1210+BR1210+BT1210+BV1210+BX1210+BZ1210+CB1210+CD1210+CF1210+CH1210+CJ1210+CL1210+CN1210+CP1210+CR1210+CT1210</f>
        <v>0</v>
      </c>
      <c r="CV1210" s="76"/>
      <c r="CW1210" s="76">
        <f>+CV1210*1100</f>
        <v>0</v>
      </c>
      <c r="CX1210" s="76"/>
      <c r="CY1210" s="76">
        <f>+CX1210*106250</f>
        <v>0</v>
      </c>
      <c r="CZ1210" s="76"/>
      <c r="DA1210" s="76">
        <f>+CZ1210*34500</f>
        <v>0</v>
      </c>
      <c r="DB1210" s="76"/>
      <c r="DC1210" s="76">
        <f>+DB1210*25000</f>
        <v>0</v>
      </c>
      <c r="DD1210" s="219"/>
      <c r="DE1210" s="219"/>
      <c r="DF1210" s="166"/>
      <c r="DG1210" s="116"/>
      <c r="DH1210" s="117"/>
      <c r="DI1210" s="24"/>
      <c r="DJ1210" s="24"/>
      <c r="DK1210" s="24"/>
      <c r="DL1210" s="24"/>
      <c r="DM1210" s="24"/>
      <c r="DN1210" s="24"/>
      <c r="DO1210" s="24"/>
      <c r="DP1210" s="24"/>
      <c r="DQ1210" s="24"/>
      <c r="DR1210" s="24"/>
      <c r="DS1210" s="24"/>
      <c r="DT1210" s="24"/>
      <c r="DU1210" s="24"/>
    </row>
    <row r="1211" spans="1:125" s="8" customFormat="1" ht="60" x14ac:dyDescent="0.2">
      <c r="A1211" s="226">
        <v>41354</v>
      </c>
      <c r="B1211" s="225" t="s">
        <v>2291</v>
      </c>
      <c r="C1211" s="227" t="s">
        <v>2292</v>
      </c>
      <c r="D1211" s="227" t="s">
        <v>3425</v>
      </c>
      <c r="E1211" s="75" t="str">
        <f>VLOOKUP(B1211&amp;C1211,Divipola!$C$2:$F$1138,4,FALSE)</f>
        <v>94001</v>
      </c>
      <c r="F1211" s="87">
        <v>1</v>
      </c>
      <c r="G1211" s="87"/>
      <c r="H1211" s="87"/>
      <c r="I1211" s="87"/>
      <c r="J1211" s="87"/>
      <c r="K1211" s="87"/>
      <c r="L1211" s="87"/>
      <c r="M1211" s="87"/>
      <c r="N1211" s="87"/>
      <c r="O1211" s="87"/>
      <c r="P1211" s="87"/>
      <c r="Q1211" s="87"/>
      <c r="R1211" s="87"/>
      <c r="S1211" s="87"/>
      <c r="T1211" s="87"/>
      <c r="U1211" s="88"/>
      <c r="V1211" s="89"/>
      <c r="W1211" s="96">
        <v>0</v>
      </c>
      <c r="X1211" s="71">
        <f>CU1211</f>
        <v>0</v>
      </c>
      <c r="Y1211" s="71">
        <f>CY1211</f>
        <v>0</v>
      </c>
      <c r="Z1211" s="71">
        <f>DA1211+DC1211+DE1211</f>
        <v>0</v>
      </c>
      <c r="AA1211" s="71">
        <f>CW1211</f>
        <v>0</v>
      </c>
      <c r="AB1211" s="71"/>
      <c r="AC1211" s="71">
        <v>0</v>
      </c>
      <c r="AD1211" s="71">
        <f>W1211+X1211+Y1211+Z1211+AA1211+AB1211+AC1211</f>
        <v>0</v>
      </c>
      <c r="AE1211" s="72">
        <v>0</v>
      </c>
      <c r="AF1211" s="5"/>
      <c r="AG1211" s="6"/>
      <c r="AH1211" s="27" t="s">
        <v>3392</v>
      </c>
      <c r="AI1211" s="44" t="s">
        <v>3393</v>
      </c>
      <c r="AJ1211" s="26"/>
      <c r="AK1211" s="5"/>
      <c r="AL1211" s="82" t="s">
        <v>4018</v>
      </c>
      <c r="AM1211" s="76"/>
      <c r="AN1211" s="76"/>
      <c r="AO1211" s="76"/>
      <c r="AP1211" s="76"/>
      <c r="AQ1211" s="76"/>
      <c r="AR1211" s="76"/>
      <c r="AS1211" s="76"/>
      <c r="AT1211" s="76"/>
      <c r="AU1211" s="76"/>
      <c r="AV1211" s="76"/>
      <c r="AW1211" s="76"/>
      <c r="AX1211" s="76">
        <f>+AW1211*600000</f>
        <v>0</v>
      </c>
      <c r="AY1211" s="76"/>
      <c r="AZ1211" s="76">
        <f>+AY1211*70000</f>
        <v>0</v>
      </c>
      <c r="BA1211" s="76"/>
      <c r="BB1211" s="76"/>
      <c r="BC1211" s="76"/>
      <c r="BD1211" s="76">
        <f>+BC1211*30000</f>
        <v>0</v>
      </c>
      <c r="BE1211" s="76"/>
      <c r="BF1211" s="76"/>
      <c r="BG1211" s="76"/>
      <c r="BH1211" s="76"/>
      <c r="BI1211" s="76"/>
      <c r="BJ1211" s="76"/>
      <c r="BK1211" s="76"/>
      <c r="BL1211" s="76">
        <f>+BK1211*31500</f>
        <v>0</v>
      </c>
      <c r="BM1211" s="76"/>
      <c r="BN1211" s="76"/>
      <c r="BO1211" s="76"/>
      <c r="BP1211" s="76"/>
      <c r="BQ1211" s="76"/>
      <c r="BR1211" s="76"/>
      <c r="BS1211" s="76"/>
      <c r="BT1211" s="76"/>
      <c r="BU1211" s="76"/>
      <c r="BV1211" s="76"/>
      <c r="BW1211" s="76"/>
      <c r="BX1211" s="76"/>
      <c r="BY1211" s="76"/>
      <c r="BZ1211" s="76"/>
      <c r="CA1211" s="76"/>
      <c r="CB1211" s="76"/>
      <c r="CC1211" s="76"/>
      <c r="CD1211" s="76"/>
      <c r="CE1211" s="76"/>
      <c r="CF1211" s="76">
        <f>+CE1211*28000</f>
        <v>0</v>
      </c>
      <c r="CG1211" s="76"/>
      <c r="CH1211" s="76">
        <f>+CG1211*22500</f>
        <v>0</v>
      </c>
      <c r="CI1211" s="76"/>
      <c r="CJ1211" s="76">
        <f>+CI1211*26000</f>
        <v>0</v>
      </c>
      <c r="CK1211" s="76"/>
      <c r="CL1211" s="76"/>
      <c r="CM1211" s="76"/>
      <c r="CN1211" s="76">
        <f>+CM1211*22000</f>
        <v>0</v>
      </c>
      <c r="CO1211" s="76"/>
      <c r="CP1211" s="76">
        <f>+CO1211*46000</f>
        <v>0</v>
      </c>
      <c r="CQ1211" s="76"/>
      <c r="CR1211" s="76">
        <f>+CQ1211*49000</f>
        <v>0</v>
      </c>
      <c r="CS1211" s="76"/>
      <c r="CT1211" s="76"/>
      <c r="CU1211" s="56">
        <f>AN1211+AP1211+AR1211+AT1211+AV1211+AX1211+AZ1211+BB1211+BD1211+BF1211+BH1211+BJ1211+BL1211+BN1211+BP1211+BR1211+BT1211+BV1211+BX1211+BZ1211+CB1211+CD1211+CF1211+CH1211+CJ1211+CL1211+CN1211+CP1211+CR1211+CT1211</f>
        <v>0</v>
      </c>
      <c r="CV1211" s="76"/>
      <c r="CW1211" s="76">
        <f>+CV1211*1100</f>
        <v>0</v>
      </c>
      <c r="CX1211" s="76"/>
      <c r="CY1211" s="76">
        <f>+CX1211*106250</f>
        <v>0</v>
      </c>
      <c r="CZ1211" s="76"/>
      <c r="DA1211" s="76">
        <f>+CZ1211*34500</f>
        <v>0</v>
      </c>
      <c r="DB1211" s="76"/>
      <c r="DC1211" s="76">
        <f>+DB1211*25000</f>
        <v>0</v>
      </c>
      <c r="DD1211" s="219"/>
      <c r="DE1211" s="219"/>
      <c r="DF1211" s="166"/>
      <c r="DG1211" s="116"/>
      <c r="DH1211" s="117"/>
      <c r="DI1211" s="24"/>
      <c r="DJ1211" s="24"/>
      <c r="DK1211" s="24"/>
      <c r="DL1211" s="24"/>
      <c r="DM1211" s="24"/>
      <c r="DN1211" s="24"/>
      <c r="DO1211" s="24"/>
      <c r="DP1211" s="24"/>
      <c r="DQ1211" s="24"/>
      <c r="DR1211" s="24"/>
      <c r="DS1211" s="24"/>
      <c r="DT1211" s="24"/>
      <c r="DU1211" s="24"/>
    </row>
    <row r="1212" spans="1:125" s="8" customFormat="1" ht="36" x14ac:dyDescent="0.2">
      <c r="A1212" s="97">
        <v>41354</v>
      </c>
      <c r="B1212" s="60" t="s">
        <v>2291</v>
      </c>
      <c r="C1212" s="55" t="s">
        <v>2292</v>
      </c>
      <c r="D1212" s="55" t="s">
        <v>2882</v>
      </c>
      <c r="E1212" s="75" t="str">
        <f>VLOOKUP(B1212&amp;C1212,Divipola!$C$2:$F$1138,4,FALSE)</f>
        <v>94001</v>
      </c>
      <c r="F1212" s="87"/>
      <c r="G1212" s="87"/>
      <c r="H1212" s="87"/>
      <c r="I1212" s="87">
        <v>45</v>
      </c>
      <c r="J1212" s="87">
        <v>9</v>
      </c>
      <c r="K1212" s="87"/>
      <c r="L1212" s="87">
        <v>9</v>
      </c>
      <c r="M1212" s="87"/>
      <c r="N1212" s="87"/>
      <c r="O1212" s="87"/>
      <c r="P1212" s="87"/>
      <c r="Q1212" s="87"/>
      <c r="R1212" s="87"/>
      <c r="S1212" s="87"/>
      <c r="T1212" s="87"/>
      <c r="U1212" s="88"/>
      <c r="V1212" s="89">
        <v>2</v>
      </c>
      <c r="W1212" s="96">
        <v>0</v>
      </c>
      <c r="X1212" s="71">
        <f>CU1212</f>
        <v>0</v>
      </c>
      <c r="Y1212" s="71">
        <f>CY1212</f>
        <v>0</v>
      </c>
      <c r="Z1212" s="71">
        <f>DA1212+DC1212+DE1212</f>
        <v>0</v>
      </c>
      <c r="AA1212" s="71">
        <f>CW1212</f>
        <v>0</v>
      </c>
      <c r="AB1212" s="71"/>
      <c r="AC1212" s="71">
        <v>0</v>
      </c>
      <c r="AD1212" s="71">
        <f>W1212+X1212+Y1212+Z1212+AA1212+AB1212+AC1212</f>
        <v>0</v>
      </c>
      <c r="AE1212" s="72">
        <v>0</v>
      </c>
      <c r="AF1212" s="5"/>
      <c r="AG1212" s="6"/>
      <c r="AH1212" s="27" t="s">
        <v>3392</v>
      </c>
      <c r="AI1212" s="44" t="s">
        <v>3393</v>
      </c>
      <c r="AJ1212" s="26"/>
      <c r="AK1212" s="5"/>
      <c r="AL1212" s="82" t="s">
        <v>4017</v>
      </c>
      <c r="AM1212" s="76"/>
      <c r="AN1212" s="76"/>
      <c r="AO1212" s="76"/>
      <c r="AP1212" s="76"/>
      <c r="AQ1212" s="76"/>
      <c r="AR1212" s="76"/>
      <c r="AS1212" s="76"/>
      <c r="AT1212" s="76"/>
      <c r="AU1212" s="76"/>
      <c r="AV1212" s="76"/>
      <c r="AW1212" s="76"/>
      <c r="AX1212" s="76">
        <f>+AW1212*600000</f>
        <v>0</v>
      </c>
      <c r="AY1212" s="76"/>
      <c r="AZ1212" s="76">
        <f>+AY1212*70000</f>
        <v>0</v>
      </c>
      <c r="BA1212" s="76"/>
      <c r="BB1212" s="76"/>
      <c r="BC1212" s="76"/>
      <c r="BD1212" s="76">
        <f>+BC1212*30000</f>
        <v>0</v>
      </c>
      <c r="BE1212" s="76"/>
      <c r="BF1212" s="76"/>
      <c r="BG1212" s="76"/>
      <c r="BH1212" s="76"/>
      <c r="BI1212" s="76"/>
      <c r="BJ1212" s="76"/>
      <c r="BK1212" s="76"/>
      <c r="BL1212" s="76">
        <f>+BK1212*31500</f>
        <v>0</v>
      </c>
      <c r="BM1212" s="76"/>
      <c r="BN1212" s="76"/>
      <c r="BO1212" s="76"/>
      <c r="BP1212" s="76"/>
      <c r="BQ1212" s="76"/>
      <c r="BR1212" s="76"/>
      <c r="BS1212" s="76"/>
      <c r="BT1212" s="76"/>
      <c r="BU1212" s="76"/>
      <c r="BV1212" s="76"/>
      <c r="BW1212" s="76"/>
      <c r="BX1212" s="76"/>
      <c r="BY1212" s="76"/>
      <c r="BZ1212" s="76"/>
      <c r="CA1212" s="76"/>
      <c r="CB1212" s="76"/>
      <c r="CC1212" s="76"/>
      <c r="CD1212" s="76"/>
      <c r="CE1212" s="76"/>
      <c r="CF1212" s="76">
        <f>+CE1212*28000</f>
        <v>0</v>
      </c>
      <c r="CG1212" s="76"/>
      <c r="CH1212" s="76">
        <f>+CG1212*22500</f>
        <v>0</v>
      </c>
      <c r="CI1212" s="76"/>
      <c r="CJ1212" s="76">
        <f>+CI1212*26000</f>
        <v>0</v>
      </c>
      <c r="CK1212" s="76"/>
      <c r="CL1212" s="76"/>
      <c r="CM1212" s="76"/>
      <c r="CN1212" s="76">
        <f>+CM1212*22000</f>
        <v>0</v>
      </c>
      <c r="CO1212" s="76"/>
      <c r="CP1212" s="76">
        <f>+CO1212*46000</f>
        <v>0</v>
      </c>
      <c r="CQ1212" s="76"/>
      <c r="CR1212" s="76">
        <f>+CQ1212*49000</f>
        <v>0</v>
      </c>
      <c r="CS1212" s="76"/>
      <c r="CT1212" s="76"/>
      <c r="CU1212" s="56">
        <f>AN1212+AP1212+AR1212+AT1212+AV1212+AX1212+AZ1212+BB1212+BD1212+BF1212+BH1212+BJ1212+BL1212+BN1212+BP1212+BR1212+BT1212+BV1212+BX1212+BZ1212+CB1212+CD1212+CF1212+CH1212+CJ1212+CL1212+CN1212+CP1212+CR1212+CT1212</f>
        <v>0</v>
      </c>
      <c r="CV1212" s="76"/>
      <c r="CW1212" s="76">
        <f>+CV1212*1100</f>
        <v>0</v>
      </c>
      <c r="CX1212" s="76"/>
      <c r="CY1212" s="76">
        <f>+CX1212*106250</f>
        <v>0</v>
      </c>
      <c r="CZ1212" s="76"/>
      <c r="DA1212" s="76">
        <f>+CZ1212*34500</f>
        <v>0</v>
      </c>
      <c r="DB1212" s="76"/>
      <c r="DC1212" s="76">
        <f>+DB1212*25000</f>
        <v>0</v>
      </c>
      <c r="DD1212" s="219"/>
      <c r="DE1212" s="219"/>
      <c r="DF1212" s="166"/>
      <c r="DG1212" s="116"/>
      <c r="DH1212" s="117"/>
      <c r="DI1212" s="24"/>
      <c r="DJ1212" s="24"/>
      <c r="DK1212" s="24"/>
      <c r="DL1212" s="24"/>
      <c r="DM1212" s="24"/>
      <c r="DN1212" s="24"/>
      <c r="DO1212" s="24"/>
      <c r="DP1212" s="24"/>
      <c r="DQ1212" s="24"/>
      <c r="DR1212" s="24"/>
      <c r="DS1212" s="24"/>
      <c r="DT1212" s="24"/>
      <c r="DU1212" s="24"/>
    </row>
    <row r="1213" spans="1:125" s="8" customFormat="1" ht="36" x14ac:dyDescent="0.2">
      <c r="A1213" s="77">
        <v>41354</v>
      </c>
      <c r="B1213" s="78" t="s">
        <v>2661</v>
      </c>
      <c r="C1213" s="75" t="s">
        <v>2773</v>
      </c>
      <c r="D1213" s="75" t="s">
        <v>3051</v>
      </c>
      <c r="E1213" s="75">
        <f>VLOOKUP(B1213&amp;C1213,Divipola!$C$2:$F$1138,4,FALSE)</f>
        <v>41</v>
      </c>
      <c r="F1213" s="163"/>
      <c r="G1213" s="163"/>
      <c r="H1213" s="163"/>
      <c r="I1213" s="163"/>
      <c r="J1213" s="163"/>
      <c r="K1213" s="163"/>
      <c r="L1213" s="163"/>
      <c r="M1213" s="163"/>
      <c r="N1213" s="163"/>
      <c r="O1213" s="163"/>
      <c r="P1213" s="163"/>
      <c r="Q1213" s="163"/>
      <c r="R1213" s="163"/>
      <c r="S1213" s="163"/>
      <c r="T1213" s="163"/>
      <c r="U1213" s="163"/>
      <c r="V1213" s="134"/>
      <c r="W1213" s="96">
        <v>0</v>
      </c>
      <c r="X1213" s="71">
        <f>CU1213</f>
        <v>174397416</v>
      </c>
      <c r="Y1213" s="71">
        <f>CY1213</f>
        <v>106250000</v>
      </c>
      <c r="Z1213" s="71">
        <f>DA1213+DC1213+DE1213</f>
        <v>181249515</v>
      </c>
      <c r="AA1213" s="71">
        <f>CW1213</f>
        <v>0</v>
      </c>
      <c r="AB1213" s="71"/>
      <c r="AC1213" s="71">
        <v>0</v>
      </c>
      <c r="AD1213" s="71">
        <f>W1213+X1213+Y1213+Z1213+AA1213+AB1213+AC1213</f>
        <v>461896931</v>
      </c>
      <c r="AE1213" s="72">
        <v>0</v>
      </c>
      <c r="AF1213" s="5"/>
      <c r="AG1213" s="6"/>
      <c r="AH1213" s="27" t="s">
        <v>3390</v>
      </c>
      <c r="AI1213" s="44" t="s">
        <v>3391</v>
      </c>
      <c r="AJ1213" s="26"/>
      <c r="AK1213" s="5"/>
      <c r="AL1213" s="82"/>
      <c r="AM1213" s="76"/>
      <c r="AN1213" s="76"/>
      <c r="AO1213" s="76"/>
      <c r="AP1213" s="76"/>
      <c r="AQ1213" s="76"/>
      <c r="AR1213" s="76"/>
      <c r="AS1213" s="76"/>
      <c r="AT1213" s="76"/>
      <c r="AU1213" s="76"/>
      <c r="AV1213" s="76"/>
      <c r="AW1213" s="76"/>
      <c r="AX1213" s="76">
        <f>+AW1213*600000</f>
        <v>0</v>
      </c>
      <c r="AY1213" s="86">
        <v>1000</v>
      </c>
      <c r="AZ1213" s="86">
        <f>+AY1213*69999.04</f>
        <v>69999040</v>
      </c>
      <c r="BA1213" s="76"/>
      <c r="BB1213" s="76"/>
      <c r="BC1213" s="76"/>
      <c r="BD1213" s="76">
        <f>+BC1213*30000</f>
        <v>0</v>
      </c>
      <c r="BE1213" s="76"/>
      <c r="BF1213" s="76"/>
      <c r="BG1213" s="76"/>
      <c r="BH1213" s="76"/>
      <c r="BI1213" s="76"/>
      <c r="BJ1213" s="76"/>
      <c r="BK1213" s="76"/>
      <c r="BL1213" s="76">
        <f>+BK1213*31500</f>
        <v>0</v>
      </c>
      <c r="BM1213" s="76"/>
      <c r="BN1213" s="76"/>
      <c r="BO1213" s="76"/>
      <c r="BP1213" s="76"/>
      <c r="BQ1213" s="76"/>
      <c r="BR1213" s="76"/>
      <c r="BS1213" s="76"/>
      <c r="BT1213" s="76"/>
      <c r="BU1213" s="76"/>
      <c r="BV1213" s="76"/>
      <c r="BW1213" s="76"/>
      <c r="BX1213" s="76"/>
      <c r="BY1213" s="76"/>
      <c r="BZ1213" s="76"/>
      <c r="CA1213" s="76"/>
      <c r="CB1213" s="76"/>
      <c r="CC1213" s="76"/>
      <c r="CD1213" s="76"/>
      <c r="CE1213" s="76"/>
      <c r="CF1213" s="76">
        <f>+CE1213*28000</f>
        <v>0</v>
      </c>
      <c r="CG1213" s="76"/>
      <c r="CH1213" s="76">
        <f>+CG1213*22500</f>
        <v>0</v>
      </c>
      <c r="CI1213" s="86">
        <v>1000</v>
      </c>
      <c r="CJ1213" s="86">
        <f>+CI1213*25999.08</f>
        <v>25999080</v>
      </c>
      <c r="CK1213" s="76"/>
      <c r="CL1213" s="76"/>
      <c r="CM1213" s="76"/>
      <c r="CN1213" s="76">
        <f>+CM1213*22000</f>
        <v>0</v>
      </c>
      <c r="CO1213" s="86">
        <v>800</v>
      </c>
      <c r="CP1213" s="86">
        <f>+CO1213*45999.8</f>
        <v>36799840</v>
      </c>
      <c r="CQ1213" s="86">
        <v>800</v>
      </c>
      <c r="CR1213" s="86">
        <f>+CQ1213*51999.32</f>
        <v>41599456</v>
      </c>
      <c r="CS1213" s="76"/>
      <c r="CT1213" s="76"/>
      <c r="CU1213" s="56">
        <f>AN1213+AP1213+AR1213+AT1213+AV1213+AX1213+AZ1213+BB1213+BD1213+BF1213+BH1213+BJ1213+BL1213+BN1213+BP1213+BR1213+BT1213+BV1213+BX1213+BZ1213+CB1213+CD1213+CF1213+CH1213+CJ1213+CL1213+CN1213+CP1213+CR1213+CT1213</f>
        <v>174397416</v>
      </c>
      <c r="CV1213" s="76"/>
      <c r="CW1213" s="76">
        <f>+CV1213*1100</f>
        <v>0</v>
      </c>
      <c r="CX1213" s="86">
        <v>1000</v>
      </c>
      <c r="CY1213" s="86">
        <f>+CX1213*106250</f>
        <v>106250000</v>
      </c>
      <c r="CZ1213" s="76"/>
      <c r="DA1213" s="76">
        <f>+CZ1213*34500</f>
        <v>0</v>
      </c>
      <c r="DB1213" s="86">
        <v>2000</v>
      </c>
      <c r="DC1213" s="86">
        <f>+DB1213*31999.76</f>
        <v>63999520</v>
      </c>
      <c r="DD1213" s="221" t="s">
        <v>4034</v>
      </c>
      <c r="DE1213" s="309">
        <f>300*23000+900*40500+300*88000+200*88000+300*91000+5*519999</f>
        <v>117249995</v>
      </c>
      <c r="DF1213" s="166"/>
      <c r="DG1213" s="134" t="s">
        <v>5153</v>
      </c>
      <c r="DH1213" s="117"/>
      <c r="DI1213" s="24"/>
      <c r="DJ1213" s="24"/>
      <c r="DK1213" s="24"/>
      <c r="DL1213" s="24"/>
      <c r="DM1213" s="24"/>
      <c r="DN1213" s="24"/>
      <c r="DO1213" s="24"/>
      <c r="DP1213" s="24"/>
      <c r="DQ1213" s="24"/>
      <c r="DR1213" s="24"/>
      <c r="DS1213" s="24"/>
      <c r="DT1213" s="24"/>
      <c r="DU1213" s="24"/>
    </row>
    <row r="1214" spans="1:125" s="8" customFormat="1" ht="36" x14ac:dyDescent="0.2">
      <c r="A1214" s="226">
        <v>41354</v>
      </c>
      <c r="B1214" s="225" t="s">
        <v>2811</v>
      </c>
      <c r="C1214" s="227" t="s">
        <v>501</v>
      </c>
      <c r="D1214" s="84" t="s">
        <v>3088</v>
      </c>
      <c r="E1214" s="75" t="str">
        <f>VLOOKUP(B1214&amp;C1214,Divipola!$C$2:$F$1138,4,FALSE)</f>
        <v>52260</v>
      </c>
      <c r="F1214" s="87"/>
      <c r="G1214" s="87"/>
      <c r="H1214" s="87"/>
      <c r="I1214" s="87">
        <v>15</v>
      </c>
      <c r="J1214" s="87">
        <v>3</v>
      </c>
      <c r="K1214" s="87"/>
      <c r="L1214" s="87">
        <v>3</v>
      </c>
      <c r="M1214" s="87"/>
      <c r="N1214" s="87"/>
      <c r="O1214" s="87"/>
      <c r="P1214" s="87"/>
      <c r="Q1214" s="87"/>
      <c r="R1214" s="87"/>
      <c r="S1214" s="87"/>
      <c r="T1214" s="87"/>
      <c r="U1214" s="88"/>
      <c r="V1214" s="89"/>
      <c r="W1214" s="96">
        <v>0</v>
      </c>
      <c r="X1214" s="71">
        <f>CU1214</f>
        <v>0</v>
      </c>
      <c r="Y1214" s="71">
        <f>CY1214</f>
        <v>0</v>
      </c>
      <c r="Z1214" s="71">
        <f>DA1214+DC1214+DE1214</f>
        <v>0</v>
      </c>
      <c r="AA1214" s="71">
        <f>CW1214</f>
        <v>0</v>
      </c>
      <c r="AB1214" s="71"/>
      <c r="AC1214" s="71">
        <v>0</v>
      </c>
      <c r="AD1214" s="71">
        <f>W1214+X1214+Y1214+Z1214+AA1214+AB1214+AC1214</f>
        <v>0</v>
      </c>
      <c r="AE1214" s="72">
        <v>0</v>
      </c>
      <c r="AF1214" s="5"/>
      <c r="AG1214" s="6"/>
      <c r="AH1214" s="27" t="s">
        <v>3392</v>
      </c>
      <c r="AI1214" s="44" t="s">
        <v>3393</v>
      </c>
      <c r="AJ1214" s="26"/>
      <c r="AK1214" s="5"/>
      <c r="AL1214" s="82" t="s">
        <v>4033</v>
      </c>
      <c r="AM1214" s="76"/>
      <c r="AN1214" s="76"/>
      <c r="AO1214" s="76"/>
      <c r="AP1214" s="76"/>
      <c r="AQ1214" s="76"/>
      <c r="AR1214" s="76"/>
      <c r="AS1214" s="76"/>
      <c r="AT1214" s="76"/>
      <c r="AU1214" s="76"/>
      <c r="AV1214" s="76"/>
      <c r="AW1214" s="76"/>
      <c r="AX1214" s="76">
        <f>+AW1214*600000</f>
        <v>0</v>
      </c>
      <c r="AY1214" s="76"/>
      <c r="AZ1214" s="76">
        <f>+AY1214*70000</f>
        <v>0</v>
      </c>
      <c r="BA1214" s="76"/>
      <c r="BB1214" s="76"/>
      <c r="BC1214" s="76"/>
      <c r="BD1214" s="76">
        <f>+BC1214*30000</f>
        <v>0</v>
      </c>
      <c r="BE1214" s="76"/>
      <c r="BF1214" s="76"/>
      <c r="BG1214" s="76"/>
      <c r="BH1214" s="76"/>
      <c r="BI1214" s="76"/>
      <c r="BJ1214" s="76"/>
      <c r="BK1214" s="76"/>
      <c r="BL1214" s="76">
        <f>+BK1214*31500</f>
        <v>0</v>
      </c>
      <c r="BM1214" s="76"/>
      <c r="BN1214" s="76"/>
      <c r="BO1214" s="76"/>
      <c r="BP1214" s="76"/>
      <c r="BQ1214" s="76"/>
      <c r="BR1214" s="76"/>
      <c r="BS1214" s="76"/>
      <c r="BT1214" s="76"/>
      <c r="BU1214" s="76"/>
      <c r="BV1214" s="76"/>
      <c r="BW1214" s="76"/>
      <c r="BX1214" s="76"/>
      <c r="BY1214" s="76"/>
      <c r="BZ1214" s="76"/>
      <c r="CA1214" s="76"/>
      <c r="CB1214" s="76"/>
      <c r="CC1214" s="76"/>
      <c r="CD1214" s="76"/>
      <c r="CE1214" s="76"/>
      <c r="CF1214" s="76">
        <f>+CE1214*28000</f>
        <v>0</v>
      </c>
      <c r="CG1214" s="76"/>
      <c r="CH1214" s="76">
        <f>+CG1214*22500</f>
        <v>0</v>
      </c>
      <c r="CI1214" s="76"/>
      <c r="CJ1214" s="76">
        <f>+CI1214*26000</f>
        <v>0</v>
      </c>
      <c r="CK1214" s="76"/>
      <c r="CL1214" s="76"/>
      <c r="CM1214" s="76"/>
      <c r="CN1214" s="76">
        <f>+CM1214*22000</f>
        <v>0</v>
      </c>
      <c r="CO1214" s="76"/>
      <c r="CP1214" s="76">
        <f>+CO1214*46000</f>
        <v>0</v>
      </c>
      <c r="CQ1214" s="76"/>
      <c r="CR1214" s="76">
        <f>+CQ1214*49000</f>
        <v>0</v>
      </c>
      <c r="CS1214" s="76"/>
      <c r="CT1214" s="76"/>
      <c r="CU1214" s="56">
        <f>AN1214+AP1214+AR1214+AT1214+AV1214+AX1214+AZ1214+BB1214+BD1214+BF1214+BH1214+BJ1214+BL1214+BN1214+BP1214+BR1214+BT1214+BV1214+BX1214+BZ1214+CB1214+CD1214+CF1214+CH1214+CJ1214+CL1214+CN1214+CP1214+CR1214+CT1214</f>
        <v>0</v>
      </c>
      <c r="CV1214" s="76"/>
      <c r="CW1214" s="76">
        <f>+CV1214*1100</f>
        <v>0</v>
      </c>
      <c r="CX1214" s="76"/>
      <c r="CY1214" s="76">
        <f>+CX1214*106250</f>
        <v>0</v>
      </c>
      <c r="CZ1214" s="76"/>
      <c r="DA1214" s="76">
        <f>+CZ1214*34500</f>
        <v>0</v>
      </c>
      <c r="DB1214" s="76"/>
      <c r="DC1214" s="76">
        <f>+DB1214*25000</f>
        <v>0</v>
      </c>
      <c r="DD1214" s="219"/>
      <c r="DE1214" s="219"/>
      <c r="DF1214" s="166"/>
      <c r="DG1214" s="116"/>
      <c r="DH1214" s="117"/>
      <c r="DI1214" s="24"/>
      <c r="DJ1214" s="24"/>
      <c r="DK1214" s="24"/>
      <c r="DL1214" s="24"/>
      <c r="DM1214" s="24"/>
      <c r="DN1214" s="24"/>
      <c r="DO1214" s="24"/>
      <c r="DP1214" s="24"/>
      <c r="DQ1214" s="24"/>
      <c r="DR1214" s="24"/>
      <c r="DS1214" s="24"/>
      <c r="DT1214" s="24"/>
      <c r="DU1214" s="24"/>
    </row>
    <row r="1215" spans="1:125" s="8" customFormat="1" ht="120" x14ac:dyDescent="0.2">
      <c r="A1215" s="226">
        <v>41354</v>
      </c>
      <c r="B1215" s="225" t="s">
        <v>2811</v>
      </c>
      <c r="C1215" s="227" t="s">
        <v>478</v>
      </c>
      <c r="D1215" s="75" t="s">
        <v>3051</v>
      </c>
      <c r="E1215" s="75" t="str">
        <f>VLOOKUP(B1215&amp;C1215,Divipola!$C$2:$F$1138,4,FALSE)</f>
        <v>52287</v>
      </c>
      <c r="F1215" s="87"/>
      <c r="G1215" s="87"/>
      <c r="H1215" s="87"/>
      <c r="I1215" s="87">
        <v>24</v>
      </c>
      <c r="J1215" s="87">
        <v>7</v>
      </c>
      <c r="K1215" s="87"/>
      <c r="L1215" s="87">
        <v>7</v>
      </c>
      <c r="M1215" s="87">
        <v>10</v>
      </c>
      <c r="N1215" s="87"/>
      <c r="O1215" s="87"/>
      <c r="P1215" s="87"/>
      <c r="Q1215" s="87"/>
      <c r="R1215" s="87"/>
      <c r="S1215" s="87"/>
      <c r="T1215" s="87"/>
      <c r="U1215" s="88"/>
      <c r="V1215" s="89"/>
      <c r="W1215" s="96">
        <v>0</v>
      </c>
      <c r="X1215" s="71">
        <f>CU1215</f>
        <v>0</v>
      </c>
      <c r="Y1215" s="71">
        <f>CY1215</f>
        <v>0</v>
      </c>
      <c r="Z1215" s="71">
        <f>DA1215+DC1215+DE1215</f>
        <v>0</v>
      </c>
      <c r="AA1215" s="71">
        <f>CW1215</f>
        <v>0</v>
      </c>
      <c r="AB1215" s="71"/>
      <c r="AC1215" s="71">
        <v>0</v>
      </c>
      <c r="AD1215" s="71">
        <f>W1215+X1215+Y1215+Z1215+AA1215+AB1215+AC1215</f>
        <v>0</v>
      </c>
      <c r="AE1215" s="72">
        <v>0</v>
      </c>
      <c r="AF1215" s="5"/>
      <c r="AG1215" s="6"/>
      <c r="AH1215" s="27" t="s">
        <v>3392</v>
      </c>
      <c r="AI1215" s="44" t="s">
        <v>3393</v>
      </c>
      <c r="AJ1215" s="26"/>
      <c r="AK1215" s="5"/>
      <c r="AL1215" s="82" t="s">
        <v>4028</v>
      </c>
      <c r="AM1215" s="76"/>
      <c r="AN1215" s="76"/>
      <c r="AO1215" s="76"/>
      <c r="AP1215" s="76"/>
      <c r="AQ1215" s="76"/>
      <c r="AR1215" s="76"/>
      <c r="AS1215" s="76"/>
      <c r="AT1215" s="76"/>
      <c r="AU1215" s="76"/>
      <c r="AV1215" s="76"/>
      <c r="AW1215" s="76"/>
      <c r="AX1215" s="76">
        <f>+AW1215*600000</f>
        <v>0</v>
      </c>
      <c r="AY1215" s="76"/>
      <c r="AZ1215" s="76">
        <f>+AY1215*70000</f>
        <v>0</v>
      </c>
      <c r="BA1215" s="76"/>
      <c r="BB1215" s="76"/>
      <c r="BC1215" s="76"/>
      <c r="BD1215" s="76">
        <f>+BC1215*30000</f>
        <v>0</v>
      </c>
      <c r="BE1215" s="76"/>
      <c r="BF1215" s="76"/>
      <c r="BG1215" s="76"/>
      <c r="BH1215" s="76"/>
      <c r="BI1215" s="76"/>
      <c r="BJ1215" s="76"/>
      <c r="BK1215" s="76"/>
      <c r="BL1215" s="76">
        <f>+BK1215*31500</f>
        <v>0</v>
      </c>
      <c r="BM1215" s="76"/>
      <c r="BN1215" s="76"/>
      <c r="BO1215" s="76"/>
      <c r="BP1215" s="76"/>
      <c r="BQ1215" s="76"/>
      <c r="BR1215" s="76"/>
      <c r="BS1215" s="76"/>
      <c r="BT1215" s="76"/>
      <c r="BU1215" s="76"/>
      <c r="BV1215" s="76"/>
      <c r="BW1215" s="76"/>
      <c r="BX1215" s="76"/>
      <c r="BY1215" s="76"/>
      <c r="BZ1215" s="76"/>
      <c r="CA1215" s="76"/>
      <c r="CB1215" s="76"/>
      <c r="CC1215" s="76"/>
      <c r="CD1215" s="76"/>
      <c r="CE1215" s="76"/>
      <c r="CF1215" s="76">
        <f>+CE1215*28000</f>
        <v>0</v>
      </c>
      <c r="CG1215" s="76"/>
      <c r="CH1215" s="76">
        <f>+CG1215*22500</f>
        <v>0</v>
      </c>
      <c r="CI1215" s="76"/>
      <c r="CJ1215" s="76">
        <f>+CI1215*26000</f>
        <v>0</v>
      </c>
      <c r="CK1215" s="76"/>
      <c r="CL1215" s="76"/>
      <c r="CM1215" s="76"/>
      <c r="CN1215" s="76">
        <f>+CM1215*22000</f>
        <v>0</v>
      </c>
      <c r="CO1215" s="76"/>
      <c r="CP1215" s="76">
        <f>+CO1215*46000</f>
        <v>0</v>
      </c>
      <c r="CQ1215" s="76"/>
      <c r="CR1215" s="76">
        <f>+CQ1215*49000</f>
        <v>0</v>
      </c>
      <c r="CS1215" s="76"/>
      <c r="CT1215" s="76"/>
      <c r="CU1215" s="56">
        <f>AN1215+AP1215+AR1215+AT1215+AV1215+AX1215+AZ1215+BB1215+BD1215+BF1215+BH1215+BJ1215+BL1215+BN1215+BP1215+BR1215+BT1215+BV1215+BX1215+BZ1215+CB1215+CD1215+CF1215+CH1215+CJ1215+CL1215+CN1215+CP1215+CR1215+CT1215</f>
        <v>0</v>
      </c>
      <c r="CV1215" s="76"/>
      <c r="CW1215" s="76">
        <f>+CV1215*1100</f>
        <v>0</v>
      </c>
      <c r="CX1215" s="76"/>
      <c r="CY1215" s="76">
        <f>+CX1215*106250</f>
        <v>0</v>
      </c>
      <c r="CZ1215" s="76"/>
      <c r="DA1215" s="76">
        <f>+CZ1215*34500</f>
        <v>0</v>
      </c>
      <c r="DB1215" s="76"/>
      <c r="DC1215" s="76">
        <f>+DB1215*25000</f>
        <v>0</v>
      </c>
      <c r="DD1215" s="219"/>
      <c r="DE1215" s="219"/>
      <c r="DF1215" s="166"/>
      <c r="DG1215" s="116"/>
      <c r="DH1215" s="117"/>
      <c r="DI1215" s="24"/>
      <c r="DJ1215" s="24"/>
      <c r="DK1215" s="24"/>
      <c r="DL1215" s="24"/>
      <c r="DM1215" s="24"/>
      <c r="DN1215" s="24"/>
      <c r="DO1215" s="24"/>
      <c r="DP1215" s="24"/>
      <c r="DQ1215" s="24"/>
      <c r="DR1215" s="24"/>
      <c r="DS1215" s="24"/>
      <c r="DT1215" s="24"/>
      <c r="DU1215" s="24"/>
    </row>
    <row r="1216" spans="1:125" s="8" customFormat="1" ht="48" x14ac:dyDescent="0.2">
      <c r="A1216" s="226">
        <v>41354</v>
      </c>
      <c r="B1216" s="225" t="s">
        <v>2811</v>
      </c>
      <c r="C1216" s="227" t="s">
        <v>168</v>
      </c>
      <c r="D1216" s="84" t="s">
        <v>3088</v>
      </c>
      <c r="E1216" s="75" t="str">
        <f>VLOOKUP(B1216&amp;C1216,Divipola!$C$2:$F$1138,4,FALSE)</f>
        <v>52356</v>
      </c>
      <c r="F1216" s="87"/>
      <c r="G1216" s="87"/>
      <c r="H1216" s="87"/>
      <c r="I1216" s="87"/>
      <c r="J1216" s="87"/>
      <c r="K1216" s="87"/>
      <c r="L1216" s="87"/>
      <c r="M1216" s="87">
        <v>1</v>
      </c>
      <c r="N1216" s="87"/>
      <c r="O1216" s="87"/>
      <c r="P1216" s="87"/>
      <c r="Q1216" s="87"/>
      <c r="R1216" s="87"/>
      <c r="S1216" s="87"/>
      <c r="T1216" s="87"/>
      <c r="U1216" s="88"/>
      <c r="V1216" s="89"/>
      <c r="W1216" s="96">
        <v>0</v>
      </c>
      <c r="X1216" s="71">
        <f>CU1216</f>
        <v>0</v>
      </c>
      <c r="Y1216" s="71">
        <f>CY1216</f>
        <v>0</v>
      </c>
      <c r="Z1216" s="71">
        <f>DA1216+DC1216+DE1216</f>
        <v>0</v>
      </c>
      <c r="AA1216" s="71">
        <f>CW1216</f>
        <v>0</v>
      </c>
      <c r="AB1216" s="71"/>
      <c r="AC1216" s="71">
        <v>0</v>
      </c>
      <c r="AD1216" s="71">
        <f>W1216+X1216+Y1216+Z1216+AA1216+AB1216+AC1216</f>
        <v>0</v>
      </c>
      <c r="AE1216" s="72">
        <v>0</v>
      </c>
      <c r="AF1216" s="5"/>
      <c r="AG1216" s="6"/>
      <c r="AH1216" s="27" t="s">
        <v>3392</v>
      </c>
      <c r="AI1216" s="44" t="s">
        <v>3393</v>
      </c>
      <c r="AJ1216" s="26"/>
      <c r="AK1216" s="5"/>
      <c r="AL1216" s="82" t="s">
        <v>4054</v>
      </c>
      <c r="AM1216" s="76"/>
      <c r="AN1216" s="76"/>
      <c r="AO1216" s="76"/>
      <c r="AP1216" s="76"/>
      <c r="AQ1216" s="76"/>
      <c r="AR1216" s="76"/>
      <c r="AS1216" s="76"/>
      <c r="AT1216" s="76"/>
      <c r="AU1216" s="76"/>
      <c r="AV1216" s="76"/>
      <c r="AW1216" s="76"/>
      <c r="AX1216" s="76">
        <f>+AW1216*600000</f>
        <v>0</v>
      </c>
      <c r="AY1216" s="76"/>
      <c r="AZ1216" s="76">
        <f>+AY1216*70000</f>
        <v>0</v>
      </c>
      <c r="BA1216" s="76"/>
      <c r="BB1216" s="76"/>
      <c r="BC1216" s="76"/>
      <c r="BD1216" s="76">
        <f>+BC1216*30000</f>
        <v>0</v>
      </c>
      <c r="BE1216" s="76"/>
      <c r="BF1216" s="76"/>
      <c r="BG1216" s="76"/>
      <c r="BH1216" s="76"/>
      <c r="BI1216" s="76"/>
      <c r="BJ1216" s="76"/>
      <c r="BK1216" s="76"/>
      <c r="BL1216" s="76">
        <f>+BK1216*31500</f>
        <v>0</v>
      </c>
      <c r="BM1216" s="76"/>
      <c r="BN1216" s="76"/>
      <c r="BO1216" s="76"/>
      <c r="BP1216" s="76"/>
      <c r="BQ1216" s="76"/>
      <c r="BR1216" s="76"/>
      <c r="BS1216" s="76"/>
      <c r="BT1216" s="76"/>
      <c r="BU1216" s="76"/>
      <c r="BV1216" s="76"/>
      <c r="BW1216" s="76"/>
      <c r="BX1216" s="76"/>
      <c r="BY1216" s="76"/>
      <c r="BZ1216" s="76"/>
      <c r="CA1216" s="76"/>
      <c r="CB1216" s="76"/>
      <c r="CC1216" s="76"/>
      <c r="CD1216" s="76"/>
      <c r="CE1216" s="76"/>
      <c r="CF1216" s="76">
        <f>+CE1216*28000</f>
        <v>0</v>
      </c>
      <c r="CG1216" s="76"/>
      <c r="CH1216" s="76">
        <f>+CG1216*22500</f>
        <v>0</v>
      </c>
      <c r="CI1216" s="76"/>
      <c r="CJ1216" s="76">
        <f>+CI1216*26000</f>
        <v>0</v>
      </c>
      <c r="CK1216" s="76"/>
      <c r="CL1216" s="76"/>
      <c r="CM1216" s="76"/>
      <c r="CN1216" s="76">
        <f>+CM1216*22000</f>
        <v>0</v>
      </c>
      <c r="CO1216" s="76"/>
      <c r="CP1216" s="76">
        <f>+CO1216*46000</f>
        <v>0</v>
      </c>
      <c r="CQ1216" s="76"/>
      <c r="CR1216" s="76">
        <f>+CQ1216*49000</f>
        <v>0</v>
      </c>
      <c r="CS1216" s="76"/>
      <c r="CT1216" s="76"/>
      <c r="CU1216" s="56">
        <f>AN1216+AP1216+AR1216+AT1216+AV1216+AX1216+AZ1216+BB1216+BD1216+BF1216+BH1216+BJ1216+BL1216+BN1216+BP1216+BR1216+BT1216+BV1216+BX1216+BZ1216+CB1216+CD1216+CF1216+CH1216+CJ1216+CL1216+CN1216+CP1216+CR1216+CT1216</f>
        <v>0</v>
      </c>
      <c r="CV1216" s="76"/>
      <c r="CW1216" s="76">
        <f>+CV1216*1100</f>
        <v>0</v>
      </c>
      <c r="CX1216" s="76"/>
      <c r="CY1216" s="76">
        <f>+CX1216*106250</f>
        <v>0</v>
      </c>
      <c r="CZ1216" s="76"/>
      <c r="DA1216" s="76">
        <f>+CZ1216*34500</f>
        <v>0</v>
      </c>
      <c r="DB1216" s="76"/>
      <c r="DC1216" s="76">
        <f>+DB1216*25000</f>
        <v>0</v>
      </c>
      <c r="DD1216" s="219"/>
      <c r="DE1216" s="219"/>
      <c r="DF1216" s="166"/>
      <c r="DG1216" s="116"/>
      <c r="DH1216" s="117"/>
      <c r="DI1216" s="24"/>
      <c r="DJ1216" s="24"/>
      <c r="DK1216" s="24"/>
      <c r="DL1216" s="24"/>
      <c r="DM1216" s="24"/>
      <c r="DN1216" s="24"/>
      <c r="DO1216" s="24"/>
      <c r="DP1216" s="24"/>
      <c r="DQ1216" s="24"/>
      <c r="DR1216" s="24"/>
      <c r="DS1216" s="24"/>
      <c r="DT1216" s="24"/>
      <c r="DU1216" s="24"/>
    </row>
    <row r="1217" spans="1:125" s="8" customFormat="1" ht="60" x14ac:dyDescent="0.2">
      <c r="A1217" s="226">
        <v>41354</v>
      </c>
      <c r="B1217" s="225" t="s">
        <v>2811</v>
      </c>
      <c r="C1217" s="227" t="s">
        <v>170</v>
      </c>
      <c r="D1217" s="75" t="s">
        <v>3051</v>
      </c>
      <c r="E1217" s="75" t="str">
        <f>VLOOKUP(B1217&amp;C1217,Divipola!$C$2:$F$1138,4,FALSE)</f>
        <v>52378</v>
      </c>
      <c r="F1217" s="87"/>
      <c r="G1217" s="87"/>
      <c r="H1217" s="87"/>
      <c r="I1217" s="87">
        <v>73</v>
      </c>
      <c r="J1217" s="87">
        <v>13</v>
      </c>
      <c r="K1217" s="87"/>
      <c r="L1217" s="87">
        <v>13</v>
      </c>
      <c r="M1217" s="87"/>
      <c r="N1217" s="87"/>
      <c r="O1217" s="87"/>
      <c r="P1217" s="87"/>
      <c r="Q1217" s="87"/>
      <c r="R1217" s="87"/>
      <c r="S1217" s="87"/>
      <c r="T1217" s="87"/>
      <c r="U1217" s="88"/>
      <c r="V1217" s="89"/>
      <c r="W1217" s="96">
        <v>0</v>
      </c>
      <c r="X1217" s="71">
        <f>CU1217</f>
        <v>0</v>
      </c>
      <c r="Y1217" s="71">
        <f>CY1217</f>
        <v>0</v>
      </c>
      <c r="Z1217" s="71">
        <f>DA1217+DC1217+DE1217</f>
        <v>0</v>
      </c>
      <c r="AA1217" s="71">
        <f>CW1217</f>
        <v>0</v>
      </c>
      <c r="AB1217" s="71"/>
      <c r="AC1217" s="71">
        <v>0</v>
      </c>
      <c r="AD1217" s="71">
        <f>W1217+X1217+Y1217+Z1217+AA1217+AB1217+AC1217</f>
        <v>0</v>
      </c>
      <c r="AE1217" s="72">
        <v>0</v>
      </c>
      <c r="AF1217" s="5"/>
      <c r="AG1217" s="6"/>
      <c r="AH1217" s="27" t="s">
        <v>3392</v>
      </c>
      <c r="AI1217" s="44" t="s">
        <v>3393</v>
      </c>
      <c r="AJ1217" s="26"/>
      <c r="AK1217" s="5"/>
      <c r="AL1217" s="82" t="s">
        <v>4029</v>
      </c>
      <c r="AM1217" s="76"/>
      <c r="AN1217" s="76"/>
      <c r="AO1217" s="76"/>
      <c r="AP1217" s="76"/>
      <c r="AQ1217" s="76"/>
      <c r="AR1217" s="76"/>
      <c r="AS1217" s="76"/>
      <c r="AT1217" s="76"/>
      <c r="AU1217" s="76"/>
      <c r="AV1217" s="76"/>
      <c r="AW1217" s="76"/>
      <c r="AX1217" s="76">
        <f>+AW1217*600000</f>
        <v>0</v>
      </c>
      <c r="AY1217" s="76"/>
      <c r="AZ1217" s="76">
        <f>+AY1217*70000</f>
        <v>0</v>
      </c>
      <c r="BA1217" s="76"/>
      <c r="BB1217" s="76"/>
      <c r="BC1217" s="76"/>
      <c r="BD1217" s="76">
        <f>+BC1217*30000</f>
        <v>0</v>
      </c>
      <c r="BE1217" s="76"/>
      <c r="BF1217" s="76"/>
      <c r="BG1217" s="76"/>
      <c r="BH1217" s="76"/>
      <c r="BI1217" s="76"/>
      <c r="BJ1217" s="76"/>
      <c r="BK1217" s="76"/>
      <c r="BL1217" s="76">
        <f>+BK1217*31500</f>
        <v>0</v>
      </c>
      <c r="BM1217" s="76"/>
      <c r="BN1217" s="76"/>
      <c r="BO1217" s="76"/>
      <c r="BP1217" s="76"/>
      <c r="BQ1217" s="76"/>
      <c r="BR1217" s="76"/>
      <c r="BS1217" s="76"/>
      <c r="BT1217" s="76"/>
      <c r="BU1217" s="76"/>
      <c r="BV1217" s="76"/>
      <c r="BW1217" s="76"/>
      <c r="BX1217" s="76"/>
      <c r="BY1217" s="76"/>
      <c r="BZ1217" s="76"/>
      <c r="CA1217" s="76"/>
      <c r="CB1217" s="76"/>
      <c r="CC1217" s="76"/>
      <c r="CD1217" s="76"/>
      <c r="CE1217" s="76"/>
      <c r="CF1217" s="76">
        <f>+CE1217*28000</f>
        <v>0</v>
      </c>
      <c r="CG1217" s="76"/>
      <c r="CH1217" s="76">
        <f>+CG1217*22500</f>
        <v>0</v>
      </c>
      <c r="CI1217" s="76"/>
      <c r="CJ1217" s="76">
        <f>+CI1217*26000</f>
        <v>0</v>
      </c>
      <c r="CK1217" s="76"/>
      <c r="CL1217" s="76"/>
      <c r="CM1217" s="76"/>
      <c r="CN1217" s="76">
        <f>+CM1217*22000</f>
        <v>0</v>
      </c>
      <c r="CO1217" s="76"/>
      <c r="CP1217" s="76">
        <f>+CO1217*46000</f>
        <v>0</v>
      </c>
      <c r="CQ1217" s="76"/>
      <c r="CR1217" s="76">
        <f>+CQ1217*49000</f>
        <v>0</v>
      </c>
      <c r="CS1217" s="76"/>
      <c r="CT1217" s="76"/>
      <c r="CU1217" s="56">
        <f>AN1217+AP1217+AR1217+AT1217+AV1217+AX1217+AZ1217+BB1217+BD1217+BF1217+BH1217+BJ1217+BL1217+BN1217+BP1217+BR1217+BT1217+BV1217+BX1217+BZ1217+CB1217+CD1217+CF1217+CH1217+CJ1217+CL1217+CN1217+CP1217+CR1217+CT1217</f>
        <v>0</v>
      </c>
      <c r="CV1217" s="76"/>
      <c r="CW1217" s="76">
        <f>+CV1217*1100</f>
        <v>0</v>
      </c>
      <c r="CX1217" s="76"/>
      <c r="CY1217" s="76">
        <f>+CX1217*106250</f>
        <v>0</v>
      </c>
      <c r="CZ1217" s="76"/>
      <c r="DA1217" s="76">
        <f>+CZ1217*34500</f>
        <v>0</v>
      </c>
      <c r="DB1217" s="76"/>
      <c r="DC1217" s="76">
        <f>+DB1217*25000</f>
        <v>0</v>
      </c>
      <c r="DD1217" s="219"/>
      <c r="DE1217" s="219"/>
      <c r="DF1217" s="166"/>
      <c r="DG1217" s="116"/>
      <c r="DH1217" s="117"/>
      <c r="DI1217" s="24"/>
      <c r="DJ1217" s="24"/>
      <c r="DK1217" s="24"/>
      <c r="DL1217" s="24"/>
      <c r="DM1217" s="24"/>
      <c r="DN1217" s="24"/>
      <c r="DO1217" s="24"/>
      <c r="DP1217" s="24"/>
      <c r="DQ1217" s="24"/>
      <c r="DR1217" s="24"/>
      <c r="DS1217" s="24"/>
      <c r="DT1217" s="24"/>
      <c r="DU1217" s="24"/>
    </row>
    <row r="1218" spans="1:125" s="8" customFormat="1" ht="36" x14ac:dyDescent="0.2">
      <c r="A1218" s="226">
        <v>41354</v>
      </c>
      <c r="B1218" s="225" t="s">
        <v>2811</v>
      </c>
      <c r="C1218" s="227" t="s">
        <v>520</v>
      </c>
      <c r="D1218" s="75" t="s">
        <v>3051</v>
      </c>
      <c r="E1218" s="75" t="str">
        <f>VLOOKUP(B1218&amp;C1218,Divipola!$C$2:$F$1138,4,FALSE)</f>
        <v>52418</v>
      </c>
      <c r="F1218" s="87"/>
      <c r="G1218" s="87"/>
      <c r="H1218" s="87"/>
      <c r="I1218" s="87">
        <v>8</v>
      </c>
      <c r="J1218" s="87">
        <v>2</v>
      </c>
      <c r="K1218" s="87"/>
      <c r="L1218" s="87">
        <v>2</v>
      </c>
      <c r="M1218" s="87"/>
      <c r="N1218" s="87"/>
      <c r="O1218" s="87"/>
      <c r="P1218" s="87"/>
      <c r="Q1218" s="87"/>
      <c r="R1218" s="87"/>
      <c r="S1218" s="87"/>
      <c r="T1218" s="87"/>
      <c r="U1218" s="88"/>
      <c r="V1218" s="89"/>
      <c r="W1218" s="96">
        <v>0</v>
      </c>
      <c r="X1218" s="71">
        <f>CU1218</f>
        <v>0</v>
      </c>
      <c r="Y1218" s="71">
        <f>CY1218</f>
        <v>0</v>
      </c>
      <c r="Z1218" s="71">
        <f>DA1218+DC1218+DE1218</f>
        <v>0</v>
      </c>
      <c r="AA1218" s="71">
        <f>CW1218</f>
        <v>0</v>
      </c>
      <c r="AB1218" s="71"/>
      <c r="AC1218" s="71">
        <v>0</v>
      </c>
      <c r="AD1218" s="71">
        <f>W1218+X1218+Y1218+Z1218+AA1218+AB1218+AC1218</f>
        <v>0</v>
      </c>
      <c r="AE1218" s="72">
        <v>0</v>
      </c>
      <c r="AF1218" s="5"/>
      <c r="AG1218" s="6"/>
      <c r="AH1218" s="27" t="s">
        <v>3392</v>
      </c>
      <c r="AI1218" s="44" t="s">
        <v>3393</v>
      </c>
      <c r="AJ1218" s="26"/>
      <c r="AK1218" s="5"/>
      <c r="AL1218" s="82" t="s">
        <v>4032</v>
      </c>
      <c r="AM1218" s="76"/>
      <c r="AN1218" s="76"/>
      <c r="AO1218" s="76"/>
      <c r="AP1218" s="76"/>
      <c r="AQ1218" s="76"/>
      <c r="AR1218" s="76"/>
      <c r="AS1218" s="76"/>
      <c r="AT1218" s="76"/>
      <c r="AU1218" s="76"/>
      <c r="AV1218" s="76"/>
      <c r="AW1218" s="76"/>
      <c r="AX1218" s="76">
        <f>+AW1218*600000</f>
        <v>0</v>
      </c>
      <c r="AY1218" s="76"/>
      <c r="AZ1218" s="76">
        <f>+AY1218*70000</f>
        <v>0</v>
      </c>
      <c r="BA1218" s="76"/>
      <c r="BB1218" s="76"/>
      <c r="BC1218" s="76"/>
      <c r="BD1218" s="76">
        <f>+BC1218*30000</f>
        <v>0</v>
      </c>
      <c r="BE1218" s="76"/>
      <c r="BF1218" s="76"/>
      <c r="BG1218" s="76"/>
      <c r="BH1218" s="76"/>
      <c r="BI1218" s="76"/>
      <c r="BJ1218" s="76"/>
      <c r="BK1218" s="76"/>
      <c r="BL1218" s="76">
        <f>+BK1218*31500</f>
        <v>0</v>
      </c>
      <c r="BM1218" s="76"/>
      <c r="BN1218" s="76"/>
      <c r="BO1218" s="76"/>
      <c r="BP1218" s="76"/>
      <c r="BQ1218" s="76"/>
      <c r="BR1218" s="76"/>
      <c r="BS1218" s="76"/>
      <c r="BT1218" s="76"/>
      <c r="BU1218" s="76"/>
      <c r="BV1218" s="76"/>
      <c r="BW1218" s="76"/>
      <c r="BX1218" s="76"/>
      <c r="BY1218" s="76"/>
      <c r="BZ1218" s="76"/>
      <c r="CA1218" s="76"/>
      <c r="CB1218" s="76"/>
      <c r="CC1218" s="76"/>
      <c r="CD1218" s="76"/>
      <c r="CE1218" s="76"/>
      <c r="CF1218" s="76">
        <f>+CE1218*28000</f>
        <v>0</v>
      </c>
      <c r="CG1218" s="76"/>
      <c r="CH1218" s="76">
        <f>+CG1218*22500</f>
        <v>0</v>
      </c>
      <c r="CI1218" s="76"/>
      <c r="CJ1218" s="76">
        <f>+CI1218*26000</f>
        <v>0</v>
      </c>
      <c r="CK1218" s="76"/>
      <c r="CL1218" s="76"/>
      <c r="CM1218" s="76"/>
      <c r="CN1218" s="76">
        <f>+CM1218*22000</f>
        <v>0</v>
      </c>
      <c r="CO1218" s="76"/>
      <c r="CP1218" s="76">
        <f>+CO1218*46000</f>
        <v>0</v>
      </c>
      <c r="CQ1218" s="76"/>
      <c r="CR1218" s="76">
        <f>+CQ1218*49000</f>
        <v>0</v>
      </c>
      <c r="CS1218" s="76"/>
      <c r="CT1218" s="76"/>
      <c r="CU1218" s="56">
        <f>AN1218+AP1218+AR1218+AT1218+AV1218+AX1218+AZ1218+BB1218+BD1218+BF1218+BH1218+BJ1218+BL1218+BN1218+BP1218+BR1218+BT1218+BV1218+BX1218+BZ1218+CB1218+CD1218+CF1218+CH1218+CJ1218+CL1218+CN1218+CP1218+CR1218+CT1218</f>
        <v>0</v>
      </c>
      <c r="CV1218" s="76"/>
      <c r="CW1218" s="76">
        <f>+CV1218*1100</f>
        <v>0</v>
      </c>
      <c r="CX1218" s="76"/>
      <c r="CY1218" s="76">
        <f>+CX1218*106250</f>
        <v>0</v>
      </c>
      <c r="CZ1218" s="76"/>
      <c r="DA1218" s="76">
        <f>+CZ1218*34500</f>
        <v>0</v>
      </c>
      <c r="DB1218" s="76"/>
      <c r="DC1218" s="76">
        <f>+DB1218*25000</f>
        <v>0</v>
      </c>
      <c r="DD1218" s="219"/>
      <c r="DE1218" s="219"/>
      <c r="DF1218" s="166"/>
      <c r="DG1218" s="116"/>
      <c r="DH1218" s="117"/>
      <c r="DI1218" s="24"/>
      <c r="DJ1218" s="24"/>
      <c r="DK1218" s="24"/>
      <c r="DL1218" s="24"/>
      <c r="DM1218" s="24"/>
      <c r="DN1218" s="24"/>
      <c r="DO1218" s="24"/>
      <c r="DP1218" s="24"/>
      <c r="DQ1218" s="24"/>
      <c r="DR1218" s="24"/>
      <c r="DS1218" s="24"/>
      <c r="DT1218" s="24"/>
      <c r="DU1218" s="24"/>
    </row>
    <row r="1219" spans="1:125" s="8" customFormat="1" ht="48" x14ac:dyDescent="0.2">
      <c r="A1219" s="226">
        <v>41354</v>
      </c>
      <c r="B1219" s="225" t="s">
        <v>2811</v>
      </c>
      <c r="C1219" s="227" t="s">
        <v>2131</v>
      </c>
      <c r="D1219" s="84" t="s">
        <v>3088</v>
      </c>
      <c r="E1219" s="75" t="str">
        <f>VLOOKUP(B1219&amp;C1219,Divipola!$C$2:$F$1138,4,FALSE)</f>
        <v>52001</v>
      </c>
      <c r="F1219" s="87"/>
      <c r="G1219" s="87"/>
      <c r="H1219" s="87"/>
      <c r="I1219" s="87"/>
      <c r="J1219" s="87"/>
      <c r="K1219" s="87"/>
      <c r="L1219" s="87"/>
      <c r="M1219" s="87">
        <v>1</v>
      </c>
      <c r="N1219" s="87"/>
      <c r="O1219" s="87"/>
      <c r="P1219" s="87"/>
      <c r="Q1219" s="87"/>
      <c r="R1219" s="87"/>
      <c r="S1219" s="87"/>
      <c r="T1219" s="87"/>
      <c r="U1219" s="88"/>
      <c r="V1219" s="89"/>
      <c r="W1219" s="96">
        <v>0</v>
      </c>
      <c r="X1219" s="71">
        <f>CU1219</f>
        <v>0</v>
      </c>
      <c r="Y1219" s="71">
        <f>CY1219</f>
        <v>0</v>
      </c>
      <c r="Z1219" s="71">
        <f>DA1219+DC1219+DE1219</f>
        <v>0</v>
      </c>
      <c r="AA1219" s="71">
        <f>CW1219</f>
        <v>0</v>
      </c>
      <c r="AB1219" s="71"/>
      <c r="AC1219" s="71">
        <v>0</v>
      </c>
      <c r="AD1219" s="71">
        <f>W1219+X1219+Y1219+Z1219+AA1219+AB1219+AC1219</f>
        <v>0</v>
      </c>
      <c r="AE1219" s="72">
        <v>0</v>
      </c>
      <c r="AF1219" s="5"/>
      <c r="AG1219" s="6"/>
      <c r="AH1219" s="27" t="s">
        <v>3392</v>
      </c>
      <c r="AI1219" s="44" t="s">
        <v>3393</v>
      </c>
      <c r="AJ1219" s="26"/>
      <c r="AK1219" s="5"/>
      <c r="AL1219" s="82" t="s">
        <v>4030</v>
      </c>
      <c r="AM1219" s="76"/>
      <c r="AN1219" s="76"/>
      <c r="AO1219" s="76"/>
      <c r="AP1219" s="76"/>
      <c r="AQ1219" s="76"/>
      <c r="AR1219" s="76"/>
      <c r="AS1219" s="76"/>
      <c r="AT1219" s="76"/>
      <c r="AU1219" s="76"/>
      <c r="AV1219" s="76"/>
      <c r="AW1219" s="76"/>
      <c r="AX1219" s="76">
        <f>+AW1219*600000</f>
        <v>0</v>
      </c>
      <c r="AY1219" s="76"/>
      <c r="AZ1219" s="76">
        <f>+AY1219*70000</f>
        <v>0</v>
      </c>
      <c r="BA1219" s="76"/>
      <c r="BB1219" s="76"/>
      <c r="BC1219" s="76"/>
      <c r="BD1219" s="76">
        <f>+BC1219*30000</f>
        <v>0</v>
      </c>
      <c r="BE1219" s="76"/>
      <c r="BF1219" s="76"/>
      <c r="BG1219" s="76"/>
      <c r="BH1219" s="76"/>
      <c r="BI1219" s="76"/>
      <c r="BJ1219" s="76"/>
      <c r="BK1219" s="76"/>
      <c r="BL1219" s="76">
        <f>+BK1219*31500</f>
        <v>0</v>
      </c>
      <c r="BM1219" s="76"/>
      <c r="BN1219" s="76"/>
      <c r="BO1219" s="76"/>
      <c r="BP1219" s="76"/>
      <c r="BQ1219" s="76"/>
      <c r="BR1219" s="76"/>
      <c r="BS1219" s="76"/>
      <c r="BT1219" s="76"/>
      <c r="BU1219" s="76"/>
      <c r="BV1219" s="76"/>
      <c r="BW1219" s="76"/>
      <c r="BX1219" s="76"/>
      <c r="BY1219" s="76"/>
      <c r="BZ1219" s="76"/>
      <c r="CA1219" s="76"/>
      <c r="CB1219" s="76"/>
      <c r="CC1219" s="76"/>
      <c r="CD1219" s="76"/>
      <c r="CE1219" s="76"/>
      <c r="CF1219" s="76">
        <f>+CE1219*28000</f>
        <v>0</v>
      </c>
      <c r="CG1219" s="76"/>
      <c r="CH1219" s="76">
        <f>+CG1219*22500</f>
        <v>0</v>
      </c>
      <c r="CI1219" s="76"/>
      <c r="CJ1219" s="76">
        <f>+CI1219*26000</f>
        <v>0</v>
      </c>
      <c r="CK1219" s="76"/>
      <c r="CL1219" s="76"/>
      <c r="CM1219" s="76"/>
      <c r="CN1219" s="76">
        <f>+CM1219*22000</f>
        <v>0</v>
      </c>
      <c r="CO1219" s="76"/>
      <c r="CP1219" s="76">
        <f>+CO1219*46000</f>
        <v>0</v>
      </c>
      <c r="CQ1219" s="76"/>
      <c r="CR1219" s="76">
        <f>+CQ1219*49000</f>
        <v>0</v>
      </c>
      <c r="CS1219" s="76"/>
      <c r="CT1219" s="76"/>
      <c r="CU1219" s="56">
        <f>AN1219+AP1219+AR1219+AT1219+AV1219+AX1219+AZ1219+BB1219+BD1219+BF1219+BH1219+BJ1219+BL1219+BN1219+BP1219+BR1219+BT1219+BV1219+BX1219+BZ1219+CB1219+CD1219+CF1219+CH1219+CJ1219+CL1219+CN1219+CP1219+CR1219+CT1219</f>
        <v>0</v>
      </c>
      <c r="CV1219" s="76"/>
      <c r="CW1219" s="76">
        <f>+CV1219*1100</f>
        <v>0</v>
      </c>
      <c r="CX1219" s="76"/>
      <c r="CY1219" s="76">
        <f>+CX1219*106250</f>
        <v>0</v>
      </c>
      <c r="CZ1219" s="76"/>
      <c r="DA1219" s="76">
        <f>+CZ1219*34500</f>
        <v>0</v>
      </c>
      <c r="DB1219" s="76"/>
      <c r="DC1219" s="76">
        <f>+DB1219*25000</f>
        <v>0</v>
      </c>
      <c r="DD1219" s="219"/>
      <c r="DE1219" s="219"/>
      <c r="DF1219" s="166"/>
      <c r="DG1219" s="116"/>
      <c r="DH1219" s="117"/>
      <c r="DI1219" s="24"/>
      <c r="DJ1219" s="24"/>
      <c r="DK1219" s="24"/>
      <c r="DL1219" s="24"/>
      <c r="DM1219" s="24"/>
      <c r="DN1219" s="24"/>
      <c r="DO1219" s="24"/>
      <c r="DP1219" s="24"/>
      <c r="DQ1219" s="24"/>
      <c r="DR1219" s="24"/>
      <c r="DS1219" s="24"/>
      <c r="DT1219" s="24"/>
      <c r="DU1219" s="24"/>
    </row>
    <row r="1220" spans="1:125" s="8" customFormat="1" ht="60" x14ac:dyDescent="0.2">
      <c r="A1220" s="353">
        <v>41354</v>
      </c>
      <c r="B1220" s="352" t="s">
        <v>2811</v>
      </c>
      <c r="C1220" s="354" t="s">
        <v>2131</v>
      </c>
      <c r="D1220" s="75" t="s">
        <v>3051</v>
      </c>
      <c r="E1220" s="75" t="str">
        <f>VLOOKUP(B1220&amp;C1220,Divipola!$C$2:$F$1138,4,FALSE)</f>
        <v>52001</v>
      </c>
      <c r="F1220" s="87"/>
      <c r="G1220" s="87"/>
      <c r="H1220" s="87"/>
      <c r="I1220" s="87">
        <v>5</v>
      </c>
      <c r="J1220" s="87">
        <v>1</v>
      </c>
      <c r="K1220" s="87">
        <v>1</v>
      </c>
      <c r="L1220" s="87"/>
      <c r="M1220" s="87"/>
      <c r="N1220" s="87"/>
      <c r="O1220" s="87"/>
      <c r="P1220" s="87"/>
      <c r="Q1220" s="87"/>
      <c r="R1220" s="87"/>
      <c r="S1220" s="87"/>
      <c r="T1220" s="87"/>
      <c r="U1220" s="88"/>
      <c r="V1220" s="89"/>
      <c r="W1220" s="96">
        <v>0</v>
      </c>
      <c r="X1220" s="71">
        <f>CU1220</f>
        <v>0</v>
      </c>
      <c r="Y1220" s="71">
        <f>CY1220</f>
        <v>0</v>
      </c>
      <c r="Z1220" s="71">
        <f>DA1220+DC1220+DE1220</f>
        <v>0</v>
      </c>
      <c r="AA1220" s="71">
        <f>CW1220</f>
        <v>0</v>
      </c>
      <c r="AB1220" s="71"/>
      <c r="AC1220" s="71">
        <v>0</v>
      </c>
      <c r="AD1220" s="71">
        <f>W1220+X1220+Y1220+Z1220+AA1220+AB1220+AC1220</f>
        <v>0</v>
      </c>
      <c r="AE1220" s="72">
        <v>0</v>
      </c>
      <c r="AF1220" s="5"/>
      <c r="AG1220" s="6"/>
      <c r="AH1220" s="27" t="s">
        <v>3392</v>
      </c>
      <c r="AI1220" s="44" t="s">
        <v>3393</v>
      </c>
      <c r="AJ1220" s="26"/>
      <c r="AK1220" s="5"/>
      <c r="AL1220" s="82" t="s">
        <v>4031</v>
      </c>
      <c r="AM1220" s="76"/>
      <c r="AN1220" s="76"/>
      <c r="AO1220" s="76"/>
      <c r="AP1220" s="76"/>
      <c r="AQ1220" s="76"/>
      <c r="AR1220" s="76"/>
      <c r="AS1220" s="76"/>
      <c r="AT1220" s="76"/>
      <c r="AU1220" s="76"/>
      <c r="AV1220" s="76"/>
      <c r="AW1220" s="76"/>
      <c r="AX1220" s="76">
        <f>+AW1220*600000</f>
        <v>0</v>
      </c>
      <c r="AY1220" s="76"/>
      <c r="AZ1220" s="76">
        <f>+AY1220*70000</f>
        <v>0</v>
      </c>
      <c r="BA1220" s="76"/>
      <c r="BB1220" s="76"/>
      <c r="BC1220" s="76"/>
      <c r="BD1220" s="76">
        <f>+BC1220*30000</f>
        <v>0</v>
      </c>
      <c r="BE1220" s="76"/>
      <c r="BF1220" s="76"/>
      <c r="BG1220" s="76"/>
      <c r="BH1220" s="76"/>
      <c r="BI1220" s="76"/>
      <c r="BJ1220" s="76"/>
      <c r="BK1220" s="76"/>
      <c r="BL1220" s="76">
        <f>+BK1220*31500</f>
        <v>0</v>
      </c>
      <c r="BM1220" s="76"/>
      <c r="BN1220" s="76"/>
      <c r="BO1220" s="76"/>
      <c r="BP1220" s="76"/>
      <c r="BQ1220" s="76"/>
      <c r="BR1220" s="76"/>
      <c r="BS1220" s="76"/>
      <c r="BT1220" s="76"/>
      <c r="BU1220" s="76"/>
      <c r="BV1220" s="76"/>
      <c r="BW1220" s="76"/>
      <c r="BX1220" s="76"/>
      <c r="BY1220" s="76"/>
      <c r="BZ1220" s="76"/>
      <c r="CA1220" s="76"/>
      <c r="CB1220" s="76"/>
      <c r="CC1220" s="76"/>
      <c r="CD1220" s="76"/>
      <c r="CE1220" s="76"/>
      <c r="CF1220" s="76">
        <f>+CE1220*28000</f>
        <v>0</v>
      </c>
      <c r="CG1220" s="76"/>
      <c r="CH1220" s="76">
        <f>+CG1220*22500</f>
        <v>0</v>
      </c>
      <c r="CI1220" s="76"/>
      <c r="CJ1220" s="76">
        <f>+CI1220*26000</f>
        <v>0</v>
      </c>
      <c r="CK1220" s="76"/>
      <c r="CL1220" s="76"/>
      <c r="CM1220" s="76"/>
      <c r="CN1220" s="76">
        <f>+CM1220*22000</f>
        <v>0</v>
      </c>
      <c r="CO1220" s="76"/>
      <c r="CP1220" s="76">
        <f>+CO1220*46000</f>
        <v>0</v>
      </c>
      <c r="CQ1220" s="76"/>
      <c r="CR1220" s="76">
        <f>+CQ1220*49000</f>
        <v>0</v>
      </c>
      <c r="CS1220" s="76"/>
      <c r="CT1220" s="76"/>
      <c r="CU1220" s="56">
        <f>AN1220+AP1220+AR1220+AT1220+AV1220+AX1220+AZ1220+BB1220+BD1220+BF1220+BH1220+BJ1220+BL1220+BN1220+BP1220+BR1220+BT1220+BV1220+BX1220+BZ1220+CB1220+CD1220+CF1220+CH1220+CJ1220+CL1220+CN1220+CP1220+CR1220+CT1220</f>
        <v>0</v>
      </c>
      <c r="CV1220" s="76"/>
      <c r="CW1220" s="76">
        <f>+CV1220*1100</f>
        <v>0</v>
      </c>
      <c r="CX1220" s="76"/>
      <c r="CY1220" s="76">
        <f>+CX1220*106250</f>
        <v>0</v>
      </c>
      <c r="CZ1220" s="76"/>
      <c r="DA1220" s="76">
        <f>+CZ1220*34500</f>
        <v>0</v>
      </c>
      <c r="DB1220" s="76"/>
      <c r="DC1220" s="76">
        <f>+DB1220*25000</f>
        <v>0</v>
      </c>
      <c r="DD1220" s="219"/>
      <c r="DE1220" s="219"/>
      <c r="DF1220" s="166"/>
      <c r="DG1220" s="116"/>
      <c r="DH1220" s="117"/>
      <c r="DI1220" s="24"/>
      <c r="DJ1220" s="24"/>
      <c r="DK1220" s="24"/>
      <c r="DL1220" s="24"/>
      <c r="DM1220" s="24"/>
      <c r="DN1220" s="24"/>
      <c r="DO1220" s="24"/>
      <c r="DP1220" s="24"/>
      <c r="DQ1220" s="24"/>
      <c r="DR1220" s="24"/>
      <c r="DS1220" s="24"/>
      <c r="DT1220" s="24"/>
      <c r="DU1220" s="24"/>
    </row>
    <row r="1221" spans="1:125" s="8" customFormat="1" ht="24" x14ac:dyDescent="0.2">
      <c r="A1221" s="353">
        <v>41354</v>
      </c>
      <c r="B1221" s="352" t="s">
        <v>3131</v>
      </c>
      <c r="C1221" s="354" t="s">
        <v>2264</v>
      </c>
      <c r="D1221" s="75" t="s">
        <v>3051</v>
      </c>
      <c r="E1221" s="75" t="str">
        <f>VLOOKUP(B1221&amp;C1221,Divipola!$C$2:$F$1138,4,FALSE)</f>
        <v>86568</v>
      </c>
      <c r="F1221" s="87"/>
      <c r="G1221" s="87"/>
      <c r="H1221" s="87"/>
      <c r="I1221" s="87">
        <v>500</v>
      </c>
      <c r="J1221" s="87">
        <v>100</v>
      </c>
      <c r="K1221" s="87"/>
      <c r="L1221" s="87">
        <v>100</v>
      </c>
      <c r="M1221" s="87"/>
      <c r="N1221" s="87"/>
      <c r="O1221" s="87"/>
      <c r="P1221" s="87"/>
      <c r="Q1221" s="87"/>
      <c r="R1221" s="87"/>
      <c r="S1221" s="87"/>
      <c r="T1221" s="87"/>
      <c r="U1221" s="88"/>
      <c r="V1221" s="89"/>
      <c r="W1221" s="96">
        <v>0</v>
      </c>
      <c r="X1221" s="71">
        <f>CU1221</f>
        <v>0</v>
      </c>
      <c r="Y1221" s="71">
        <f>CY1221</f>
        <v>0</v>
      </c>
      <c r="Z1221" s="71">
        <f>DA1221+DC1221+DE1221</f>
        <v>0</v>
      </c>
      <c r="AA1221" s="71">
        <f>CW1221</f>
        <v>0</v>
      </c>
      <c r="AB1221" s="71"/>
      <c r="AC1221" s="71">
        <v>0</v>
      </c>
      <c r="AD1221" s="71">
        <f>W1221+X1221+Y1221+Z1221+AA1221+AB1221+AC1221</f>
        <v>0</v>
      </c>
      <c r="AE1221" s="72">
        <v>0</v>
      </c>
      <c r="AF1221" s="5"/>
      <c r="AG1221" s="6"/>
      <c r="AH1221" s="27" t="s">
        <v>3392</v>
      </c>
      <c r="AI1221" s="44" t="s">
        <v>3393</v>
      </c>
      <c r="AJ1221" s="26"/>
      <c r="AK1221" s="5"/>
      <c r="AL1221" s="82" t="s">
        <v>4013</v>
      </c>
      <c r="AM1221" s="76"/>
      <c r="AN1221" s="76"/>
      <c r="AO1221" s="76"/>
      <c r="AP1221" s="76"/>
      <c r="AQ1221" s="76"/>
      <c r="AR1221" s="76"/>
      <c r="AS1221" s="76"/>
      <c r="AT1221" s="76"/>
      <c r="AU1221" s="76"/>
      <c r="AV1221" s="76"/>
      <c r="AW1221" s="76"/>
      <c r="AX1221" s="76">
        <f>+AW1221*600000</f>
        <v>0</v>
      </c>
      <c r="AY1221" s="76"/>
      <c r="AZ1221" s="76">
        <f>+AY1221*70000</f>
        <v>0</v>
      </c>
      <c r="BA1221" s="76"/>
      <c r="BB1221" s="76"/>
      <c r="BC1221" s="76"/>
      <c r="BD1221" s="76">
        <f>+BC1221*30000</f>
        <v>0</v>
      </c>
      <c r="BE1221" s="76"/>
      <c r="BF1221" s="76"/>
      <c r="BG1221" s="76"/>
      <c r="BH1221" s="76"/>
      <c r="BI1221" s="76"/>
      <c r="BJ1221" s="76"/>
      <c r="BK1221" s="76"/>
      <c r="BL1221" s="76">
        <f>+BK1221*31500</f>
        <v>0</v>
      </c>
      <c r="BM1221" s="76"/>
      <c r="BN1221" s="76"/>
      <c r="BO1221" s="76"/>
      <c r="BP1221" s="76"/>
      <c r="BQ1221" s="76"/>
      <c r="BR1221" s="76"/>
      <c r="BS1221" s="76"/>
      <c r="BT1221" s="76"/>
      <c r="BU1221" s="76"/>
      <c r="BV1221" s="76"/>
      <c r="BW1221" s="76"/>
      <c r="BX1221" s="76"/>
      <c r="BY1221" s="76"/>
      <c r="BZ1221" s="76"/>
      <c r="CA1221" s="76"/>
      <c r="CB1221" s="76"/>
      <c r="CC1221" s="76"/>
      <c r="CD1221" s="76"/>
      <c r="CE1221" s="76"/>
      <c r="CF1221" s="76">
        <f>+CE1221*28000</f>
        <v>0</v>
      </c>
      <c r="CG1221" s="76"/>
      <c r="CH1221" s="76">
        <f>+CG1221*22500</f>
        <v>0</v>
      </c>
      <c r="CI1221" s="76"/>
      <c r="CJ1221" s="76">
        <f>+CI1221*26000</f>
        <v>0</v>
      </c>
      <c r="CK1221" s="76"/>
      <c r="CL1221" s="76"/>
      <c r="CM1221" s="76"/>
      <c r="CN1221" s="76">
        <f>+CM1221*22000</f>
        <v>0</v>
      </c>
      <c r="CO1221" s="76"/>
      <c r="CP1221" s="76">
        <f>+CO1221*46000</f>
        <v>0</v>
      </c>
      <c r="CQ1221" s="76"/>
      <c r="CR1221" s="76">
        <f>+CQ1221*49000</f>
        <v>0</v>
      </c>
      <c r="CS1221" s="76"/>
      <c r="CT1221" s="76"/>
      <c r="CU1221" s="56">
        <f>AN1221+AP1221+AR1221+AT1221+AV1221+AX1221+AZ1221+BB1221+BD1221+BF1221+BH1221+BJ1221+BL1221+BN1221+BP1221+BR1221+BT1221+BV1221+BX1221+BZ1221+CB1221+CD1221+CF1221+CH1221+CJ1221+CL1221+CN1221+CP1221+CR1221+CT1221</f>
        <v>0</v>
      </c>
      <c r="CV1221" s="76"/>
      <c r="CW1221" s="76">
        <f>+CV1221*1100</f>
        <v>0</v>
      </c>
      <c r="CX1221" s="76"/>
      <c r="CY1221" s="76">
        <f>+CX1221*106250</f>
        <v>0</v>
      </c>
      <c r="CZ1221" s="76"/>
      <c r="DA1221" s="76">
        <f>+CZ1221*34500</f>
        <v>0</v>
      </c>
      <c r="DB1221" s="76"/>
      <c r="DC1221" s="76">
        <f>+DB1221*25000</f>
        <v>0</v>
      </c>
      <c r="DD1221" s="219"/>
      <c r="DE1221" s="219"/>
      <c r="DF1221" s="166"/>
      <c r="DG1221" s="116"/>
      <c r="DH1221" s="117"/>
      <c r="DI1221" s="24"/>
      <c r="DJ1221" s="24"/>
      <c r="DK1221" s="24"/>
      <c r="DL1221" s="24"/>
      <c r="DM1221" s="24"/>
      <c r="DN1221" s="24"/>
      <c r="DO1221" s="24"/>
      <c r="DP1221" s="24"/>
      <c r="DQ1221" s="24"/>
      <c r="DR1221" s="24"/>
      <c r="DS1221" s="24"/>
      <c r="DT1221" s="24"/>
      <c r="DU1221" s="24"/>
    </row>
    <row r="1222" spans="1:125" s="8" customFormat="1" ht="24" x14ac:dyDescent="0.2">
      <c r="A1222" s="77">
        <v>41354</v>
      </c>
      <c r="B1222" s="78" t="s">
        <v>3131</v>
      </c>
      <c r="C1222" s="75" t="s">
        <v>2270</v>
      </c>
      <c r="D1222" s="75" t="s">
        <v>2882</v>
      </c>
      <c r="E1222" s="75" t="str">
        <f>VLOOKUP(B1222&amp;C1222,Divipola!$C$2:$F$1138,4,FALSE)</f>
        <v>86571</v>
      </c>
      <c r="F1222" s="87"/>
      <c r="G1222" s="87"/>
      <c r="H1222" s="87"/>
      <c r="I1222" s="87">
        <f>210*5</f>
        <v>1050</v>
      </c>
      <c r="J1222" s="87">
        <v>210</v>
      </c>
      <c r="K1222" s="87"/>
      <c r="L1222" s="87">
        <v>210</v>
      </c>
      <c r="M1222" s="87"/>
      <c r="N1222" s="87"/>
      <c r="O1222" s="87"/>
      <c r="P1222" s="87"/>
      <c r="Q1222" s="87"/>
      <c r="R1222" s="87"/>
      <c r="S1222" s="87"/>
      <c r="T1222" s="87"/>
      <c r="U1222" s="88"/>
      <c r="V1222" s="89"/>
      <c r="W1222" s="96">
        <v>0</v>
      </c>
      <c r="X1222" s="71">
        <f>CU1222</f>
        <v>0</v>
      </c>
      <c r="Y1222" s="71">
        <f>CY1222</f>
        <v>0</v>
      </c>
      <c r="Z1222" s="71">
        <f>DA1222+DC1222+DE1222</f>
        <v>0</v>
      </c>
      <c r="AA1222" s="71">
        <f>CW1222</f>
        <v>0</v>
      </c>
      <c r="AB1222" s="71"/>
      <c r="AC1222" s="71">
        <v>0</v>
      </c>
      <c r="AD1222" s="71">
        <f>W1222+X1222+Y1222+Z1222+AA1222+AB1222+AC1222</f>
        <v>0</v>
      </c>
      <c r="AE1222" s="72">
        <v>0</v>
      </c>
      <c r="AF1222" s="5"/>
      <c r="AG1222" s="6"/>
      <c r="AH1222" s="27" t="s">
        <v>3390</v>
      </c>
      <c r="AI1222" s="44" t="s">
        <v>3393</v>
      </c>
      <c r="AJ1222" s="26"/>
      <c r="AK1222" s="5" t="s">
        <v>4242</v>
      </c>
      <c r="AL1222" s="82" t="s">
        <v>4012</v>
      </c>
      <c r="AM1222" s="76"/>
      <c r="AN1222" s="76"/>
      <c r="AO1222" s="76"/>
      <c r="AP1222" s="76"/>
      <c r="AQ1222" s="76"/>
      <c r="AR1222" s="76"/>
      <c r="AS1222" s="76"/>
      <c r="AT1222" s="76"/>
      <c r="AU1222" s="76"/>
      <c r="AV1222" s="76"/>
      <c r="AW1222" s="76"/>
      <c r="AX1222" s="76">
        <f>+AW1222*600000</f>
        <v>0</v>
      </c>
      <c r="AY1222" s="76"/>
      <c r="AZ1222" s="76">
        <f>+AY1222*70000</f>
        <v>0</v>
      </c>
      <c r="BA1222" s="76"/>
      <c r="BB1222" s="76"/>
      <c r="BC1222" s="76"/>
      <c r="BD1222" s="76">
        <f>+BC1222*30000</f>
        <v>0</v>
      </c>
      <c r="BE1222" s="76"/>
      <c r="BF1222" s="76"/>
      <c r="BG1222" s="76"/>
      <c r="BH1222" s="76"/>
      <c r="BI1222" s="76"/>
      <c r="BJ1222" s="76"/>
      <c r="BK1222" s="76"/>
      <c r="BL1222" s="76">
        <f>+BK1222*31500</f>
        <v>0</v>
      </c>
      <c r="BM1222" s="76"/>
      <c r="BN1222" s="76"/>
      <c r="BO1222" s="76"/>
      <c r="BP1222" s="76"/>
      <c r="BQ1222" s="76"/>
      <c r="BR1222" s="76"/>
      <c r="BS1222" s="76"/>
      <c r="BT1222" s="76"/>
      <c r="BU1222" s="76"/>
      <c r="BV1222" s="76"/>
      <c r="BW1222" s="76"/>
      <c r="BX1222" s="76"/>
      <c r="BY1222" s="76"/>
      <c r="BZ1222" s="76"/>
      <c r="CA1222" s="76"/>
      <c r="CB1222" s="76"/>
      <c r="CC1222" s="76"/>
      <c r="CD1222" s="76"/>
      <c r="CE1222" s="76"/>
      <c r="CF1222" s="76">
        <f>+CE1222*28000</f>
        <v>0</v>
      </c>
      <c r="CG1222" s="76"/>
      <c r="CH1222" s="76">
        <f>+CG1222*22500</f>
        <v>0</v>
      </c>
      <c r="CI1222" s="76"/>
      <c r="CJ1222" s="76">
        <f>+CI1222*26000</f>
        <v>0</v>
      </c>
      <c r="CK1222" s="76"/>
      <c r="CL1222" s="76"/>
      <c r="CM1222" s="76"/>
      <c r="CN1222" s="76">
        <f>+CM1222*22000</f>
        <v>0</v>
      </c>
      <c r="CO1222" s="76"/>
      <c r="CP1222" s="76">
        <f>+CO1222*46000</f>
        <v>0</v>
      </c>
      <c r="CQ1222" s="76"/>
      <c r="CR1222" s="76">
        <f>+CQ1222*49000</f>
        <v>0</v>
      </c>
      <c r="CS1222" s="76"/>
      <c r="CT1222" s="76"/>
      <c r="CU1222" s="56">
        <f>AN1222+AP1222+AR1222+AT1222+AV1222+AX1222+AZ1222+BB1222+BD1222+BF1222+BH1222+BJ1222+BL1222+BN1222+BP1222+BR1222+BT1222+BV1222+BX1222+BZ1222+CB1222+CD1222+CF1222+CH1222+CJ1222+CL1222+CN1222+CP1222+CR1222+CT1222</f>
        <v>0</v>
      </c>
      <c r="CV1222" s="76"/>
      <c r="CW1222" s="76">
        <f>+CV1222*1100</f>
        <v>0</v>
      </c>
      <c r="CX1222" s="76"/>
      <c r="CY1222" s="76">
        <f>+CX1222*106250</f>
        <v>0</v>
      </c>
      <c r="CZ1222" s="76"/>
      <c r="DA1222" s="76">
        <f>+CZ1222*34500</f>
        <v>0</v>
      </c>
      <c r="DB1222" s="76"/>
      <c r="DC1222" s="76">
        <f>+DB1222*25000</f>
        <v>0</v>
      </c>
      <c r="DD1222" s="219"/>
      <c r="DE1222" s="219"/>
      <c r="DF1222" s="166"/>
      <c r="DG1222" s="116"/>
      <c r="DH1222" s="117"/>
      <c r="DI1222" s="24"/>
      <c r="DJ1222" s="24"/>
      <c r="DK1222" s="24"/>
      <c r="DL1222" s="24"/>
      <c r="DM1222" s="24"/>
      <c r="DN1222" s="24"/>
      <c r="DO1222" s="24"/>
      <c r="DP1222" s="24"/>
      <c r="DQ1222" s="24"/>
      <c r="DR1222" s="24"/>
      <c r="DS1222" s="24"/>
      <c r="DT1222" s="24"/>
      <c r="DU1222" s="24"/>
    </row>
    <row r="1223" spans="1:125" s="8" customFormat="1" ht="48" x14ac:dyDescent="0.2">
      <c r="A1223" s="77">
        <v>41354</v>
      </c>
      <c r="B1223" s="78" t="s">
        <v>3131</v>
      </c>
      <c r="C1223" s="75" t="s">
        <v>11</v>
      </c>
      <c r="D1223" s="75" t="s">
        <v>2859</v>
      </c>
      <c r="E1223" s="75" t="str">
        <f>VLOOKUP(B1223&amp;C1223,Divipola!$C$2:$F$1138,4,FALSE)</f>
        <v>86573</v>
      </c>
      <c r="F1223" s="163"/>
      <c r="G1223" s="163"/>
      <c r="H1223" s="163"/>
      <c r="I1223" s="163"/>
      <c r="J1223" s="163"/>
      <c r="K1223" s="163"/>
      <c r="L1223" s="163"/>
      <c r="M1223" s="163"/>
      <c r="N1223" s="163"/>
      <c r="O1223" s="163"/>
      <c r="P1223" s="163"/>
      <c r="Q1223" s="163"/>
      <c r="R1223" s="163"/>
      <c r="S1223" s="163"/>
      <c r="T1223" s="163"/>
      <c r="U1223" s="163"/>
      <c r="V1223" s="134"/>
      <c r="W1223" s="96">
        <v>4500000</v>
      </c>
      <c r="X1223" s="71">
        <f>CU1223</f>
        <v>0</v>
      </c>
      <c r="Y1223" s="71">
        <f>CY1223</f>
        <v>0</v>
      </c>
      <c r="Z1223" s="71">
        <f>DA1223+DC1223+DE1223</f>
        <v>0</v>
      </c>
      <c r="AA1223" s="71">
        <f>CW1223</f>
        <v>0</v>
      </c>
      <c r="AB1223" s="71"/>
      <c r="AC1223" s="71">
        <v>0</v>
      </c>
      <c r="AD1223" s="71">
        <f>W1223+X1223+Y1223+Z1223+AA1223+AB1223+AC1223</f>
        <v>4500000</v>
      </c>
      <c r="AE1223" s="72">
        <v>0</v>
      </c>
      <c r="AF1223" s="5"/>
      <c r="AG1223" s="6"/>
      <c r="AH1223" s="27" t="s">
        <v>3390</v>
      </c>
      <c r="AI1223" s="44" t="s">
        <v>3391</v>
      </c>
      <c r="AJ1223" s="26"/>
      <c r="AK1223" s="5"/>
      <c r="AL1223" s="82" t="s">
        <v>4007</v>
      </c>
      <c r="AM1223" s="76"/>
      <c r="AN1223" s="76"/>
      <c r="AO1223" s="76"/>
      <c r="AP1223" s="76"/>
      <c r="AQ1223" s="76"/>
      <c r="AR1223" s="76"/>
      <c r="AS1223" s="76"/>
      <c r="AT1223" s="76"/>
      <c r="AU1223" s="76"/>
      <c r="AV1223" s="76"/>
      <c r="AW1223" s="76"/>
      <c r="AX1223" s="76">
        <f>+AW1223*600000</f>
        <v>0</v>
      </c>
      <c r="AY1223" s="76"/>
      <c r="AZ1223" s="76">
        <f>+AY1223*70000</f>
        <v>0</v>
      </c>
      <c r="BA1223" s="76"/>
      <c r="BB1223" s="76"/>
      <c r="BC1223" s="76"/>
      <c r="BD1223" s="76">
        <f>+BC1223*30000</f>
        <v>0</v>
      </c>
      <c r="BE1223" s="76"/>
      <c r="BF1223" s="76"/>
      <c r="BG1223" s="76"/>
      <c r="BH1223" s="76"/>
      <c r="BI1223" s="76"/>
      <c r="BJ1223" s="76"/>
      <c r="BK1223" s="76"/>
      <c r="BL1223" s="76">
        <f>+BK1223*31500</f>
        <v>0</v>
      </c>
      <c r="BM1223" s="76"/>
      <c r="BN1223" s="76"/>
      <c r="BO1223" s="76"/>
      <c r="BP1223" s="76"/>
      <c r="BQ1223" s="76"/>
      <c r="BR1223" s="76"/>
      <c r="BS1223" s="76"/>
      <c r="BT1223" s="76"/>
      <c r="BU1223" s="76"/>
      <c r="BV1223" s="76"/>
      <c r="BW1223" s="76"/>
      <c r="BX1223" s="76"/>
      <c r="BY1223" s="76"/>
      <c r="BZ1223" s="76"/>
      <c r="CA1223" s="76"/>
      <c r="CB1223" s="76"/>
      <c r="CC1223" s="76"/>
      <c r="CD1223" s="76"/>
      <c r="CE1223" s="76"/>
      <c r="CF1223" s="76">
        <f>+CE1223*28000</f>
        <v>0</v>
      </c>
      <c r="CG1223" s="76"/>
      <c r="CH1223" s="76">
        <f>+CG1223*22500</f>
        <v>0</v>
      </c>
      <c r="CI1223" s="76"/>
      <c r="CJ1223" s="76">
        <f>+CI1223*26000</f>
        <v>0</v>
      </c>
      <c r="CK1223" s="76"/>
      <c r="CL1223" s="76"/>
      <c r="CM1223" s="76"/>
      <c r="CN1223" s="76">
        <f>+CM1223*22000</f>
        <v>0</v>
      </c>
      <c r="CO1223" s="76"/>
      <c r="CP1223" s="76">
        <f>+CO1223*46000</f>
        <v>0</v>
      </c>
      <c r="CQ1223" s="76"/>
      <c r="CR1223" s="76">
        <f>+CQ1223*49000</f>
        <v>0</v>
      </c>
      <c r="CS1223" s="76"/>
      <c r="CT1223" s="76"/>
      <c r="CU1223" s="56">
        <f>AN1223+AP1223+AR1223+AT1223+AV1223+AX1223+AZ1223+BB1223+BD1223+BF1223+BH1223+BJ1223+BL1223+BN1223+BP1223+BR1223+BT1223+BV1223+BX1223+BZ1223+CB1223+CD1223+CF1223+CH1223+CJ1223+CL1223+CN1223+CP1223+CR1223+CT1223</f>
        <v>0</v>
      </c>
      <c r="CV1223" s="76"/>
      <c r="CW1223" s="76">
        <f>+CV1223*1100</f>
        <v>0</v>
      </c>
      <c r="CX1223" s="76"/>
      <c r="CY1223" s="76">
        <f>+CX1223*106250</f>
        <v>0</v>
      </c>
      <c r="CZ1223" s="76"/>
      <c r="DA1223" s="76">
        <f>+CZ1223*34500</f>
        <v>0</v>
      </c>
      <c r="DB1223" s="76"/>
      <c r="DC1223" s="76">
        <f>+DB1223*25000</f>
        <v>0</v>
      </c>
      <c r="DD1223" s="219"/>
      <c r="DE1223" s="219"/>
      <c r="DF1223" s="166"/>
      <c r="DG1223" s="116"/>
      <c r="DH1223" s="117"/>
      <c r="DI1223" s="24"/>
      <c r="DJ1223" s="24"/>
      <c r="DK1223" s="24"/>
      <c r="DL1223" s="24"/>
      <c r="DM1223" s="24"/>
      <c r="DN1223" s="24"/>
      <c r="DO1223" s="24"/>
      <c r="DP1223" s="24"/>
      <c r="DQ1223" s="24"/>
      <c r="DR1223" s="24"/>
      <c r="DS1223" s="24"/>
      <c r="DT1223" s="24"/>
      <c r="DU1223" s="24"/>
    </row>
    <row r="1224" spans="1:125" s="8" customFormat="1" ht="36" x14ac:dyDescent="0.2">
      <c r="A1224" s="226">
        <v>41354</v>
      </c>
      <c r="B1224" s="225" t="s">
        <v>2860</v>
      </c>
      <c r="C1224" s="227" t="s">
        <v>2776</v>
      </c>
      <c r="D1224" s="75" t="s">
        <v>3051</v>
      </c>
      <c r="E1224" s="75" t="str">
        <f>VLOOKUP(B1224&amp;C1224,Divipola!$C$2:$F$1138,4,FALSE)</f>
        <v>63001</v>
      </c>
      <c r="F1224" s="87"/>
      <c r="G1224" s="87"/>
      <c r="H1224" s="87"/>
      <c r="I1224" s="87">
        <v>10</v>
      </c>
      <c r="J1224" s="87">
        <v>2</v>
      </c>
      <c r="K1224" s="87"/>
      <c r="L1224" s="87">
        <v>2</v>
      </c>
      <c r="M1224" s="87"/>
      <c r="N1224" s="87"/>
      <c r="O1224" s="87"/>
      <c r="P1224" s="87"/>
      <c r="Q1224" s="87"/>
      <c r="R1224" s="87"/>
      <c r="S1224" s="87"/>
      <c r="T1224" s="87"/>
      <c r="U1224" s="88"/>
      <c r="V1224" s="89"/>
      <c r="W1224" s="96">
        <v>0</v>
      </c>
      <c r="X1224" s="71">
        <f>CU1224</f>
        <v>0</v>
      </c>
      <c r="Y1224" s="71">
        <f>CY1224</f>
        <v>0</v>
      </c>
      <c r="Z1224" s="71">
        <f>DA1224+DC1224+DE1224</f>
        <v>0</v>
      </c>
      <c r="AA1224" s="71">
        <f>CW1224</f>
        <v>0</v>
      </c>
      <c r="AB1224" s="71"/>
      <c r="AC1224" s="71">
        <v>0</v>
      </c>
      <c r="AD1224" s="71">
        <f>W1224+X1224+Y1224+Z1224+AA1224+AB1224+AC1224</f>
        <v>0</v>
      </c>
      <c r="AE1224" s="72">
        <v>0</v>
      </c>
      <c r="AF1224" s="5"/>
      <c r="AG1224" s="6"/>
      <c r="AH1224" s="27" t="s">
        <v>3390</v>
      </c>
      <c r="AI1224" s="44" t="s">
        <v>3391</v>
      </c>
      <c r="AJ1224" s="26"/>
      <c r="AK1224" s="5" t="s">
        <v>3480</v>
      </c>
      <c r="AL1224" s="82" t="s">
        <v>4015</v>
      </c>
      <c r="AM1224" s="76"/>
      <c r="AN1224" s="76"/>
      <c r="AO1224" s="76"/>
      <c r="AP1224" s="76"/>
      <c r="AQ1224" s="76"/>
      <c r="AR1224" s="76"/>
      <c r="AS1224" s="76"/>
      <c r="AT1224" s="76"/>
      <c r="AU1224" s="76"/>
      <c r="AV1224" s="76"/>
      <c r="AW1224" s="76"/>
      <c r="AX1224" s="76">
        <f>+AW1224*600000</f>
        <v>0</v>
      </c>
      <c r="AY1224" s="76"/>
      <c r="AZ1224" s="76">
        <f>+AY1224*70000</f>
        <v>0</v>
      </c>
      <c r="BA1224" s="76"/>
      <c r="BB1224" s="76"/>
      <c r="BC1224" s="76"/>
      <c r="BD1224" s="76">
        <f>+BC1224*30000</f>
        <v>0</v>
      </c>
      <c r="BE1224" s="76"/>
      <c r="BF1224" s="76"/>
      <c r="BG1224" s="76"/>
      <c r="BH1224" s="76"/>
      <c r="BI1224" s="76"/>
      <c r="BJ1224" s="76"/>
      <c r="BK1224" s="76"/>
      <c r="BL1224" s="76">
        <f>+BK1224*31500</f>
        <v>0</v>
      </c>
      <c r="BM1224" s="76"/>
      <c r="BN1224" s="76"/>
      <c r="BO1224" s="76"/>
      <c r="BP1224" s="76"/>
      <c r="BQ1224" s="76"/>
      <c r="BR1224" s="76"/>
      <c r="BS1224" s="76"/>
      <c r="BT1224" s="76"/>
      <c r="BU1224" s="76"/>
      <c r="BV1224" s="76"/>
      <c r="BW1224" s="76"/>
      <c r="BX1224" s="76"/>
      <c r="BY1224" s="76"/>
      <c r="BZ1224" s="76"/>
      <c r="CA1224" s="76"/>
      <c r="CB1224" s="76"/>
      <c r="CC1224" s="76"/>
      <c r="CD1224" s="76"/>
      <c r="CE1224" s="76"/>
      <c r="CF1224" s="76">
        <f>+CE1224*28000</f>
        <v>0</v>
      </c>
      <c r="CG1224" s="76"/>
      <c r="CH1224" s="76">
        <f>+CG1224*22500</f>
        <v>0</v>
      </c>
      <c r="CI1224" s="76"/>
      <c r="CJ1224" s="76">
        <f>+CI1224*26000</f>
        <v>0</v>
      </c>
      <c r="CK1224" s="76"/>
      <c r="CL1224" s="76"/>
      <c r="CM1224" s="76"/>
      <c r="CN1224" s="76">
        <f>+CM1224*22000</f>
        <v>0</v>
      </c>
      <c r="CO1224" s="76"/>
      <c r="CP1224" s="76">
        <f>+CO1224*46000</f>
        <v>0</v>
      </c>
      <c r="CQ1224" s="76"/>
      <c r="CR1224" s="76">
        <f>+CQ1224*49000</f>
        <v>0</v>
      </c>
      <c r="CS1224" s="76"/>
      <c r="CT1224" s="76"/>
      <c r="CU1224" s="56">
        <f>AN1224+AP1224+AR1224+AT1224+AV1224+AX1224+AZ1224+BB1224+BD1224+BF1224+BH1224+BJ1224+BL1224+BN1224+BP1224+BR1224+BT1224+BV1224+BX1224+BZ1224+CB1224+CD1224+CF1224+CH1224+CJ1224+CL1224+CN1224+CP1224+CR1224+CT1224</f>
        <v>0</v>
      </c>
      <c r="CV1224" s="76"/>
      <c r="CW1224" s="76">
        <f>+CV1224*1100</f>
        <v>0</v>
      </c>
      <c r="CX1224" s="76"/>
      <c r="CY1224" s="76">
        <f>+CX1224*106250</f>
        <v>0</v>
      </c>
      <c r="CZ1224" s="76"/>
      <c r="DA1224" s="76">
        <f>+CZ1224*34500</f>
        <v>0</v>
      </c>
      <c r="DB1224" s="76"/>
      <c r="DC1224" s="76">
        <f>+DB1224*25000</f>
        <v>0</v>
      </c>
      <c r="DD1224" s="219"/>
      <c r="DE1224" s="219"/>
      <c r="DF1224" s="166"/>
      <c r="DG1224" s="116"/>
      <c r="DH1224" s="117"/>
      <c r="DI1224" s="24"/>
      <c r="DJ1224" s="24"/>
      <c r="DK1224" s="24"/>
      <c r="DL1224" s="24"/>
      <c r="DM1224" s="24"/>
      <c r="DN1224" s="24"/>
      <c r="DO1224" s="24"/>
      <c r="DP1224" s="24"/>
      <c r="DQ1224" s="24"/>
      <c r="DR1224" s="24"/>
      <c r="DS1224" s="24"/>
      <c r="DT1224" s="24"/>
      <c r="DU1224" s="24"/>
    </row>
    <row r="1225" spans="1:125" s="8" customFormat="1" ht="72" x14ac:dyDescent="0.2">
      <c r="A1225" s="77">
        <v>41355</v>
      </c>
      <c r="B1225" s="208" t="s">
        <v>2772</v>
      </c>
      <c r="C1225" s="75" t="s">
        <v>2672</v>
      </c>
      <c r="D1225" s="75" t="s">
        <v>3051</v>
      </c>
      <c r="E1225" s="75" t="str">
        <f>VLOOKUP(B1225&amp;C1225,Divipola!$C$2:$F$1138,4,FALSE)</f>
        <v>25290</v>
      </c>
      <c r="F1225" s="87"/>
      <c r="G1225" s="87"/>
      <c r="H1225" s="87"/>
      <c r="I1225" s="87">
        <v>70</v>
      </c>
      <c r="J1225" s="87">
        <v>14</v>
      </c>
      <c r="K1225" s="87"/>
      <c r="L1225" s="87">
        <v>14</v>
      </c>
      <c r="M1225" s="87"/>
      <c r="N1225" s="87"/>
      <c r="O1225" s="87"/>
      <c r="P1225" s="87"/>
      <c r="Q1225" s="87"/>
      <c r="R1225" s="87"/>
      <c r="S1225" s="87"/>
      <c r="T1225" s="87"/>
      <c r="U1225" s="88"/>
      <c r="V1225" s="89">
        <v>1</v>
      </c>
      <c r="W1225" s="96">
        <v>0</v>
      </c>
      <c r="X1225" s="71">
        <f>CU1225</f>
        <v>0</v>
      </c>
      <c r="Y1225" s="71">
        <f>CY1225</f>
        <v>0</v>
      </c>
      <c r="Z1225" s="71">
        <f>DA1225+DC1225+DE1225</f>
        <v>0</v>
      </c>
      <c r="AA1225" s="71">
        <f>CW1225</f>
        <v>0</v>
      </c>
      <c r="AB1225" s="71"/>
      <c r="AC1225" s="71">
        <v>0</v>
      </c>
      <c r="AD1225" s="71">
        <f>W1225+X1225+Y1225+Z1225+AA1225+AB1225+AC1225</f>
        <v>0</v>
      </c>
      <c r="AE1225" s="72">
        <v>0</v>
      </c>
      <c r="AF1225" s="5"/>
      <c r="AG1225" s="6"/>
      <c r="AH1225" s="27" t="s">
        <v>3392</v>
      </c>
      <c r="AI1225" s="44" t="s">
        <v>3393</v>
      </c>
      <c r="AJ1225" s="26"/>
      <c r="AK1225" s="5"/>
      <c r="AL1225" s="82" t="s">
        <v>4037</v>
      </c>
      <c r="AM1225" s="76"/>
      <c r="AN1225" s="76"/>
      <c r="AO1225" s="76"/>
      <c r="AP1225" s="76"/>
      <c r="AQ1225" s="76"/>
      <c r="AR1225" s="76"/>
      <c r="AS1225" s="76"/>
      <c r="AT1225" s="76"/>
      <c r="AU1225" s="76"/>
      <c r="AV1225" s="76"/>
      <c r="AW1225" s="76"/>
      <c r="AX1225" s="76">
        <f>+AW1225*600000</f>
        <v>0</v>
      </c>
      <c r="AY1225" s="76"/>
      <c r="AZ1225" s="76">
        <f>+AY1225*70000</f>
        <v>0</v>
      </c>
      <c r="BA1225" s="76"/>
      <c r="BB1225" s="76"/>
      <c r="BC1225" s="76"/>
      <c r="BD1225" s="76">
        <f>+BC1225*30000</f>
        <v>0</v>
      </c>
      <c r="BE1225" s="76"/>
      <c r="BF1225" s="76"/>
      <c r="BG1225" s="76"/>
      <c r="BH1225" s="76"/>
      <c r="BI1225" s="76"/>
      <c r="BJ1225" s="76"/>
      <c r="BK1225" s="76"/>
      <c r="BL1225" s="76">
        <f>+BK1225*31500</f>
        <v>0</v>
      </c>
      <c r="BM1225" s="76"/>
      <c r="BN1225" s="76"/>
      <c r="BO1225" s="76"/>
      <c r="BP1225" s="76"/>
      <c r="BQ1225" s="76"/>
      <c r="BR1225" s="76"/>
      <c r="BS1225" s="76"/>
      <c r="BT1225" s="76"/>
      <c r="BU1225" s="76"/>
      <c r="BV1225" s="76"/>
      <c r="BW1225" s="76"/>
      <c r="BX1225" s="76"/>
      <c r="BY1225" s="76"/>
      <c r="BZ1225" s="76"/>
      <c r="CA1225" s="76"/>
      <c r="CB1225" s="76"/>
      <c r="CC1225" s="76"/>
      <c r="CD1225" s="76"/>
      <c r="CE1225" s="76"/>
      <c r="CF1225" s="76">
        <f>+CE1225*28000</f>
        <v>0</v>
      </c>
      <c r="CG1225" s="76"/>
      <c r="CH1225" s="76">
        <f>+CG1225*22500</f>
        <v>0</v>
      </c>
      <c r="CI1225" s="76"/>
      <c r="CJ1225" s="76">
        <f>+CI1225*26000</f>
        <v>0</v>
      </c>
      <c r="CK1225" s="76"/>
      <c r="CL1225" s="76"/>
      <c r="CM1225" s="76"/>
      <c r="CN1225" s="76">
        <f>+CM1225*22000</f>
        <v>0</v>
      </c>
      <c r="CO1225" s="76"/>
      <c r="CP1225" s="76">
        <f>+CO1225*46000</f>
        <v>0</v>
      </c>
      <c r="CQ1225" s="76"/>
      <c r="CR1225" s="76">
        <f>+CQ1225*49000</f>
        <v>0</v>
      </c>
      <c r="CS1225" s="76"/>
      <c r="CT1225" s="76"/>
      <c r="CU1225" s="56">
        <f>AN1225+AP1225+AR1225+AT1225+AV1225+AX1225+AZ1225+BB1225+BD1225+BF1225+BH1225+BJ1225+BL1225+BN1225+BP1225+BR1225+BT1225+BV1225+BX1225+BZ1225+CB1225+CD1225+CF1225+CH1225+CJ1225+CL1225+CN1225+CP1225+CR1225+CT1225</f>
        <v>0</v>
      </c>
      <c r="CV1225" s="76"/>
      <c r="CW1225" s="76">
        <f>+CV1225*1100</f>
        <v>0</v>
      </c>
      <c r="CX1225" s="76"/>
      <c r="CY1225" s="76">
        <f>+CX1225*106250</f>
        <v>0</v>
      </c>
      <c r="CZ1225" s="76"/>
      <c r="DA1225" s="76">
        <f>+CZ1225*34500</f>
        <v>0</v>
      </c>
      <c r="DB1225" s="76"/>
      <c r="DC1225" s="76">
        <f>+DB1225*25000</f>
        <v>0</v>
      </c>
      <c r="DD1225" s="219"/>
      <c r="DE1225" s="219"/>
      <c r="DF1225" s="166"/>
      <c r="DG1225" s="116"/>
      <c r="DH1225" s="117"/>
      <c r="DI1225" s="24"/>
      <c r="DJ1225" s="24"/>
      <c r="DK1225" s="24"/>
      <c r="DL1225" s="24"/>
      <c r="DM1225" s="24"/>
      <c r="DN1225" s="24"/>
      <c r="DO1225" s="24"/>
      <c r="DP1225" s="24"/>
      <c r="DQ1225" s="24"/>
      <c r="DR1225" s="24"/>
      <c r="DS1225" s="24"/>
      <c r="DT1225" s="24"/>
      <c r="DU1225" s="24"/>
    </row>
    <row r="1226" spans="1:125" s="8" customFormat="1" ht="60" x14ac:dyDescent="0.2">
      <c r="A1226" s="77">
        <v>41355</v>
      </c>
      <c r="B1226" s="208" t="s">
        <v>2906</v>
      </c>
      <c r="C1226" s="227" t="s">
        <v>1367</v>
      </c>
      <c r="D1226" s="81" t="s">
        <v>2846</v>
      </c>
      <c r="E1226" s="75" t="str">
        <f>VLOOKUP(B1226&amp;C1226,Divipola!$C$2:$F$1138,4,FALSE)</f>
        <v>47675</v>
      </c>
      <c r="F1226" s="87"/>
      <c r="G1226" s="87"/>
      <c r="H1226" s="87"/>
      <c r="I1226" s="87"/>
      <c r="J1226" s="87"/>
      <c r="K1226" s="87"/>
      <c r="L1226" s="87"/>
      <c r="M1226" s="87"/>
      <c r="N1226" s="87"/>
      <c r="O1226" s="87"/>
      <c r="P1226" s="87"/>
      <c r="Q1226" s="87"/>
      <c r="R1226" s="87"/>
      <c r="S1226" s="87"/>
      <c r="T1226" s="87"/>
      <c r="U1226" s="88">
        <v>1</v>
      </c>
      <c r="V1226" s="89"/>
      <c r="W1226" s="96">
        <v>0</v>
      </c>
      <c r="X1226" s="71">
        <f>CU1226</f>
        <v>0</v>
      </c>
      <c r="Y1226" s="71">
        <f>CY1226</f>
        <v>0</v>
      </c>
      <c r="Z1226" s="71">
        <f>DA1226+DC1226+DE1226</f>
        <v>0</v>
      </c>
      <c r="AA1226" s="71">
        <f>CW1226</f>
        <v>0</v>
      </c>
      <c r="AB1226" s="71"/>
      <c r="AC1226" s="71">
        <v>0</v>
      </c>
      <c r="AD1226" s="71">
        <f>W1226+X1226+Y1226+Z1226+AA1226+AB1226+AC1226</f>
        <v>0</v>
      </c>
      <c r="AE1226" s="72">
        <v>0</v>
      </c>
      <c r="AF1226" s="5"/>
      <c r="AG1226" s="6"/>
      <c r="AH1226" s="27" t="s">
        <v>3392</v>
      </c>
      <c r="AI1226" s="44" t="s">
        <v>3393</v>
      </c>
      <c r="AJ1226" s="26"/>
      <c r="AK1226" s="5"/>
      <c r="AL1226" s="82" t="s">
        <v>4035</v>
      </c>
      <c r="AM1226" s="76"/>
      <c r="AN1226" s="76"/>
      <c r="AO1226" s="76"/>
      <c r="AP1226" s="76"/>
      <c r="AQ1226" s="76"/>
      <c r="AR1226" s="76"/>
      <c r="AS1226" s="76"/>
      <c r="AT1226" s="76"/>
      <c r="AU1226" s="76"/>
      <c r="AV1226" s="76"/>
      <c r="AW1226" s="76"/>
      <c r="AX1226" s="76">
        <f>+AW1226*600000</f>
        <v>0</v>
      </c>
      <c r="AY1226" s="76"/>
      <c r="AZ1226" s="76">
        <f>+AY1226*70000</f>
        <v>0</v>
      </c>
      <c r="BA1226" s="76"/>
      <c r="BB1226" s="76"/>
      <c r="BC1226" s="76"/>
      <c r="BD1226" s="76">
        <f>+BC1226*30000</f>
        <v>0</v>
      </c>
      <c r="BE1226" s="76"/>
      <c r="BF1226" s="76"/>
      <c r="BG1226" s="76"/>
      <c r="BH1226" s="76"/>
      <c r="BI1226" s="76"/>
      <c r="BJ1226" s="76"/>
      <c r="BK1226" s="76"/>
      <c r="BL1226" s="76">
        <f>+BK1226*31500</f>
        <v>0</v>
      </c>
      <c r="BM1226" s="76"/>
      <c r="BN1226" s="76"/>
      <c r="BO1226" s="76"/>
      <c r="BP1226" s="76"/>
      <c r="BQ1226" s="76"/>
      <c r="BR1226" s="76"/>
      <c r="BS1226" s="76"/>
      <c r="BT1226" s="76"/>
      <c r="BU1226" s="76"/>
      <c r="BV1226" s="76"/>
      <c r="BW1226" s="76"/>
      <c r="BX1226" s="76"/>
      <c r="BY1226" s="76"/>
      <c r="BZ1226" s="76"/>
      <c r="CA1226" s="76"/>
      <c r="CB1226" s="76"/>
      <c r="CC1226" s="76"/>
      <c r="CD1226" s="76"/>
      <c r="CE1226" s="76"/>
      <c r="CF1226" s="76">
        <f>+CE1226*28000</f>
        <v>0</v>
      </c>
      <c r="CG1226" s="76"/>
      <c r="CH1226" s="76">
        <f>+CG1226*22500</f>
        <v>0</v>
      </c>
      <c r="CI1226" s="76"/>
      <c r="CJ1226" s="76">
        <f>+CI1226*26000</f>
        <v>0</v>
      </c>
      <c r="CK1226" s="76"/>
      <c r="CL1226" s="76"/>
      <c r="CM1226" s="76"/>
      <c r="CN1226" s="76">
        <f>+CM1226*22000</f>
        <v>0</v>
      </c>
      <c r="CO1226" s="76"/>
      <c r="CP1226" s="76">
        <f>+CO1226*46000</f>
        <v>0</v>
      </c>
      <c r="CQ1226" s="76"/>
      <c r="CR1226" s="76">
        <f>+CQ1226*49000</f>
        <v>0</v>
      </c>
      <c r="CS1226" s="76"/>
      <c r="CT1226" s="76"/>
      <c r="CU1226" s="56">
        <f>AN1226+AP1226+AR1226+AT1226+AV1226+AX1226+AZ1226+BB1226+BD1226+BF1226+BH1226+BJ1226+BL1226+BN1226+BP1226+BR1226+BT1226+BV1226+BX1226+BZ1226+CB1226+CD1226+CF1226+CH1226+CJ1226+CL1226+CN1226+CP1226+CR1226+CT1226</f>
        <v>0</v>
      </c>
      <c r="CV1226" s="76"/>
      <c r="CW1226" s="76">
        <f>+CV1226*1100</f>
        <v>0</v>
      </c>
      <c r="CX1226" s="76"/>
      <c r="CY1226" s="76">
        <f>+CX1226*106250</f>
        <v>0</v>
      </c>
      <c r="CZ1226" s="76"/>
      <c r="DA1226" s="76">
        <f>+CZ1226*34500</f>
        <v>0</v>
      </c>
      <c r="DB1226" s="76"/>
      <c r="DC1226" s="76">
        <f>+DB1226*25000</f>
        <v>0</v>
      </c>
      <c r="DD1226" s="219"/>
      <c r="DE1226" s="219"/>
      <c r="DF1226" s="166"/>
      <c r="DG1226" s="116"/>
      <c r="DH1226" s="117"/>
      <c r="DI1226" s="24"/>
      <c r="DJ1226" s="24"/>
      <c r="DK1226" s="24"/>
      <c r="DL1226" s="24"/>
      <c r="DM1226" s="24"/>
      <c r="DN1226" s="24"/>
      <c r="DO1226" s="24"/>
      <c r="DP1226" s="24"/>
      <c r="DQ1226" s="24"/>
      <c r="DR1226" s="24"/>
      <c r="DS1226" s="24"/>
      <c r="DT1226" s="24"/>
      <c r="DU1226" s="24"/>
    </row>
    <row r="1227" spans="1:125" s="8" customFormat="1" ht="36" x14ac:dyDescent="0.2">
      <c r="A1227" s="226">
        <v>41355</v>
      </c>
      <c r="B1227" s="225" t="s">
        <v>2811</v>
      </c>
      <c r="C1227" s="227" t="s">
        <v>124</v>
      </c>
      <c r="D1227" s="84" t="s">
        <v>3088</v>
      </c>
      <c r="E1227" s="75" t="str">
        <f>VLOOKUP(B1227&amp;C1227,Divipola!$C$2:$F$1138,4,FALSE)</f>
        <v>52036</v>
      </c>
      <c r="F1227" s="87"/>
      <c r="G1227" s="87"/>
      <c r="H1227" s="87"/>
      <c r="I1227" s="87"/>
      <c r="J1227" s="87"/>
      <c r="K1227" s="87"/>
      <c r="L1227" s="87"/>
      <c r="M1227" s="87">
        <v>1</v>
      </c>
      <c r="N1227" s="87"/>
      <c r="O1227" s="87"/>
      <c r="P1227" s="87"/>
      <c r="Q1227" s="87"/>
      <c r="R1227" s="87"/>
      <c r="S1227" s="87"/>
      <c r="T1227" s="87"/>
      <c r="U1227" s="88"/>
      <c r="V1227" s="89"/>
      <c r="W1227" s="96">
        <v>0</v>
      </c>
      <c r="X1227" s="71">
        <f>CU1227</f>
        <v>0</v>
      </c>
      <c r="Y1227" s="71">
        <f>CY1227</f>
        <v>0</v>
      </c>
      <c r="Z1227" s="71">
        <f>DA1227+DC1227+DE1227</f>
        <v>0</v>
      </c>
      <c r="AA1227" s="71">
        <f>CW1227</f>
        <v>0</v>
      </c>
      <c r="AB1227" s="71"/>
      <c r="AC1227" s="71">
        <v>0</v>
      </c>
      <c r="AD1227" s="71">
        <f>W1227+X1227+Y1227+Z1227+AA1227+AB1227+AC1227</f>
        <v>0</v>
      </c>
      <c r="AE1227" s="72">
        <v>0</v>
      </c>
      <c r="AF1227" s="5"/>
      <c r="AG1227" s="6"/>
      <c r="AH1227" s="27" t="s">
        <v>3392</v>
      </c>
      <c r="AI1227" s="44" t="s">
        <v>3393</v>
      </c>
      <c r="AJ1227" s="26"/>
      <c r="AK1227" s="5"/>
      <c r="AL1227" s="82" t="s">
        <v>4053</v>
      </c>
      <c r="AM1227" s="76"/>
      <c r="AN1227" s="76"/>
      <c r="AO1227" s="76"/>
      <c r="AP1227" s="76"/>
      <c r="AQ1227" s="76"/>
      <c r="AR1227" s="76"/>
      <c r="AS1227" s="76"/>
      <c r="AT1227" s="76"/>
      <c r="AU1227" s="76"/>
      <c r="AV1227" s="76"/>
      <c r="AW1227" s="76"/>
      <c r="AX1227" s="76">
        <f>+AW1227*600000</f>
        <v>0</v>
      </c>
      <c r="AY1227" s="76"/>
      <c r="AZ1227" s="76">
        <f>+AY1227*70000</f>
        <v>0</v>
      </c>
      <c r="BA1227" s="76"/>
      <c r="BB1227" s="76"/>
      <c r="BC1227" s="76"/>
      <c r="BD1227" s="76">
        <f>+BC1227*30000</f>
        <v>0</v>
      </c>
      <c r="BE1227" s="76"/>
      <c r="BF1227" s="76"/>
      <c r="BG1227" s="76"/>
      <c r="BH1227" s="76"/>
      <c r="BI1227" s="76"/>
      <c r="BJ1227" s="76"/>
      <c r="BK1227" s="76"/>
      <c r="BL1227" s="76">
        <f>+BK1227*31500</f>
        <v>0</v>
      </c>
      <c r="BM1227" s="76"/>
      <c r="BN1227" s="76"/>
      <c r="BO1227" s="76"/>
      <c r="BP1227" s="76"/>
      <c r="BQ1227" s="76"/>
      <c r="BR1227" s="76"/>
      <c r="BS1227" s="76"/>
      <c r="BT1227" s="76"/>
      <c r="BU1227" s="76"/>
      <c r="BV1227" s="76"/>
      <c r="BW1227" s="76"/>
      <c r="BX1227" s="76"/>
      <c r="BY1227" s="76"/>
      <c r="BZ1227" s="76"/>
      <c r="CA1227" s="76"/>
      <c r="CB1227" s="76"/>
      <c r="CC1227" s="76"/>
      <c r="CD1227" s="76"/>
      <c r="CE1227" s="76"/>
      <c r="CF1227" s="76">
        <f>+CE1227*28000</f>
        <v>0</v>
      </c>
      <c r="CG1227" s="76"/>
      <c r="CH1227" s="76">
        <f>+CG1227*22500</f>
        <v>0</v>
      </c>
      <c r="CI1227" s="76"/>
      <c r="CJ1227" s="76">
        <f>+CI1227*26000</f>
        <v>0</v>
      </c>
      <c r="CK1227" s="76"/>
      <c r="CL1227" s="76"/>
      <c r="CM1227" s="76"/>
      <c r="CN1227" s="76">
        <f>+CM1227*22000</f>
        <v>0</v>
      </c>
      <c r="CO1227" s="76"/>
      <c r="CP1227" s="76">
        <f>+CO1227*46000</f>
        <v>0</v>
      </c>
      <c r="CQ1227" s="76"/>
      <c r="CR1227" s="76">
        <f>+CQ1227*49000</f>
        <v>0</v>
      </c>
      <c r="CS1227" s="76"/>
      <c r="CT1227" s="76"/>
      <c r="CU1227" s="56">
        <f>AN1227+AP1227+AR1227+AT1227+AV1227+AX1227+AZ1227+BB1227+BD1227+BF1227+BH1227+BJ1227+BL1227+BN1227+BP1227+BR1227+BT1227+BV1227+BX1227+BZ1227+CB1227+CD1227+CF1227+CH1227+CJ1227+CL1227+CN1227+CP1227+CR1227+CT1227</f>
        <v>0</v>
      </c>
      <c r="CV1227" s="76"/>
      <c r="CW1227" s="76">
        <f>+CV1227*1100</f>
        <v>0</v>
      </c>
      <c r="CX1227" s="76"/>
      <c r="CY1227" s="76">
        <f>+CX1227*106250</f>
        <v>0</v>
      </c>
      <c r="CZ1227" s="76"/>
      <c r="DA1227" s="76">
        <f>+CZ1227*34500</f>
        <v>0</v>
      </c>
      <c r="DB1227" s="76"/>
      <c r="DC1227" s="76">
        <f>+DB1227*25000</f>
        <v>0</v>
      </c>
      <c r="DD1227" s="219"/>
      <c r="DE1227" s="219"/>
      <c r="DF1227" s="166"/>
      <c r="DG1227" s="116"/>
      <c r="DH1227" s="117"/>
      <c r="DI1227" s="24"/>
      <c r="DJ1227" s="24"/>
      <c r="DK1227" s="24"/>
      <c r="DL1227" s="24"/>
      <c r="DM1227" s="24"/>
      <c r="DN1227" s="24"/>
      <c r="DO1227" s="24"/>
      <c r="DP1227" s="24"/>
      <c r="DQ1227" s="24"/>
      <c r="DR1227" s="24"/>
      <c r="DS1227" s="24"/>
      <c r="DT1227" s="24"/>
      <c r="DU1227" s="24"/>
    </row>
    <row r="1228" spans="1:125" s="8" customFormat="1" ht="72" x14ac:dyDescent="0.2">
      <c r="A1228" s="226">
        <v>41355</v>
      </c>
      <c r="B1228" s="225" t="s">
        <v>2811</v>
      </c>
      <c r="C1228" s="227" t="s">
        <v>2131</v>
      </c>
      <c r="D1228" s="75" t="s">
        <v>3051</v>
      </c>
      <c r="E1228" s="75" t="str">
        <f>VLOOKUP(B1228&amp;C1228,Divipola!$C$2:$F$1138,4,FALSE)</f>
        <v>52001</v>
      </c>
      <c r="F1228" s="87"/>
      <c r="G1228" s="87"/>
      <c r="H1228" s="87"/>
      <c r="I1228" s="87">
        <v>29</v>
      </c>
      <c r="J1228" s="87">
        <v>8</v>
      </c>
      <c r="K1228" s="87"/>
      <c r="L1228" s="87">
        <v>5</v>
      </c>
      <c r="M1228" s="87"/>
      <c r="N1228" s="87"/>
      <c r="O1228" s="87"/>
      <c r="P1228" s="87"/>
      <c r="Q1228" s="87"/>
      <c r="R1228" s="87"/>
      <c r="S1228" s="87"/>
      <c r="T1228" s="87"/>
      <c r="U1228" s="88"/>
      <c r="V1228" s="89"/>
      <c r="W1228" s="96">
        <v>0</v>
      </c>
      <c r="X1228" s="71">
        <f>CU1228</f>
        <v>0</v>
      </c>
      <c r="Y1228" s="71">
        <f>CY1228</f>
        <v>0</v>
      </c>
      <c r="Z1228" s="71">
        <f>DA1228+DC1228+DE1228</f>
        <v>0</v>
      </c>
      <c r="AA1228" s="71">
        <f>CW1228</f>
        <v>0</v>
      </c>
      <c r="AB1228" s="71"/>
      <c r="AC1228" s="71">
        <v>0</v>
      </c>
      <c r="AD1228" s="71">
        <f>W1228+X1228+Y1228+Z1228+AA1228+AB1228+AC1228</f>
        <v>0</v>
      </c>
      <c r="AE1228" s="72">
        <v>0</v>
      </c>
      <c r="AF1228" s="5"/>
      <c r="AG1228" s="6"/>
      <c r="AH1228" s="27" t="s">
        <v>3392</v>
      </c>
      <c r="AI1228" s="44" t="s">
        <v>3393</v>
      </c>
      <c r="AJ1228" s="26"/>
      <c r="AK1228" s="5"/>
      <c r="AL1228" s="82" t="s">
        <v>4052</v>
      </c>
      <c r="AM1228" s="76"/>
      <c r="AN1228" s="76"/>
      <c r="AO1228" s="76"/>
      <c r="AP1228" s="76"/>
      <c r="AQ1228" s="76"/>
      <c r="AR1228" s="76"/>
      <c r="AS1228" s="76"/>
      <c r="AT1228" s="76"/>
      <c r="AU1228" s="76"/>
      <c r="AV1228" s="76"/>
      <c r="AW1228" s="76"/>
      <c r="AX1228" s="76">
        <f>+AW1228*600000</f>
        <v>0</v>
      </c>
      <c r="AY1228" s="76"/>
      <c r="AZ1228" s="76">
        <f>+AY1228*70000</f>
        <v>0</v>
      </c>
      <c r="BA1228" s="76"/>
      <c r="BB1228" s="76"/>
      <c r="BC1228" s="76"/>
      <c r="BD1228" s="76">
        <f>+BC1228*30000</f>
        <v>0</v>
      </c>
      <c r="BE1228" s="76"/>
      <c r="BF1228" s="76"/>
      <c r="BG1228" s="76"/>
      <c r="BH1228" s="76"/>
      <c r="BI1228" s="76"/>
      <c r="BJ1228" s="76"/>
      <c r="BK1228" s="76"/>
      <c r="BL1228" s="76">
        <f>+BK1228*31500</f>
        <v>0</v>
      </c>
      <c r="BM1228" s="76"/>
      <c r="BN1228" s="76"/>
      <c r="BO1228" s="76"/>
      <c r="BP1228" s="76"/>
      <c r="BQ1228" s="76"/>
      <c r="BR1228" s="76"/>
      <c r="BS1228" s="76"/>
      <c r="BT1228" s="76"/>
      <c r="BU1228" s="76"/>
      <c r="BV1228" s="76"/>
      <c r="BW1228" s="76"/>
      <c r="BX1228" s="76"/>
      <c r="BY1228" s="76"/>
      <c r="BZ1228" s="76"/>
      <c r="CA1228" s="76"/>
      <c r="CB1228" s="76"/>
      <c r="CC1228" s="76"/>
      <c r="CD1228" s="76"/>
      <c r="CE1228" s="76"/>
      <c r="CF1228" s="76">
        <f>+CE1228*28000</f>
        <v>0</v>
      </c>
      <c r="CG1228" s="76"/>
      <c r="CH1228" s="76">
        <f>+CG1228*22500</f>
        <v>0</v>
      </c>
      <c r="CI1228" s="76"/>
      <c r="CJ1228" s="76">
        <f>+CI1228*26000</f>
        <v>0</v>
      </c>
      <c r="CK1228" s="76"/>
      <c r="CL1228" s="76"/>
      <c r="CM1228" s="76"/>
      <c r="CN1228" s="76">
        <f>+CM1228*22000</f>
        <v>0</v>
      </c>
      <c r="CO1228" s="76"/>
      <c r="CP1228" s="76">
        <f>+CO1228*46000</f>
        <v>0</v>
      </c>
      <c r="CQ1228" s="76"/>
      <c r="CR1228" s="76">
        <f>+CQ1228*49000</f>
        <v>0</v>
      </c>
      <c r="CS1228" s="76"/>
      <c r="CT1228" s="76"/>
      <c r="CU1228" s="56">
        <f>AN1228+AP1228+AR1228+AT1228+AV1228+AX1228+AZ1228+BB1228+BD1228+BF1228+BH1228+BJ1228+BL1228+BN1228+BP1228+BR1228+BT1228+BV1228+BX1228+BZ1228+CB1228+CD1228+CF1228+CH1228+CJ1228+CL1228+CN1228+CP1228+CR1228+CT1228</f>
        <v>0</v>
      </c>
      <c r="CV1228" s="76"/>
      <c r="CW1228" s="76">
        <f>+CV1228*1100</f>
        <v>0</v>
      </c>
      <c r="CX1228" s="76"/>
      <c r="CY1228" s="76">
        <f>+CX1228*106250</f>
        <v>0</v>
      </c>
      <c r="CZ1228" s="76"/>
      <c r="DA1228" s="76">
        <f>+CZ1228*34500</f>
        <v>0</v>
      </c>
      <c r="DB1228" s="76"/>
      <c r="DC1228" s="76">
        <f>+DB1228*25000</f>
        <v>0</v>
      </c>
      <c r="DD1228" s="219"/>
      <c r="DE1228" s="219"/>
      <c r="DF1228" s="166"/>
      <c r="DG1228" s="116"/>
      <c r="DH1228" s="117"/>
      <c r="DI1228" s="24"/>
      <c r="DJ1228" s="24"/>
      <c r="DK1228" s="24"/>
      <c r="DL1228" s="24"/>
      <c r="DM1228" s="24"/>
      <c r="DN1228" s="24"/>
      <c r="DO1228" s="24"/>
      <c r="DP1228" s="24"/>
      <c r="DQ1228" s="24"/>
      <c r="DR1228" s="24"/>
      <c r="DS1228" s="24"/>
      <c r="DT1228" s="24"/>
      <c r="DU1228" s="24"/>
    </row>
    <row r="1229" spans="1:125" s="8" customFormat="1" ht="60" x14ac:dyDescent="0.2">
      <c r="A1229" s="77">
        <v>41355</v>
      </c>
      <c r="B1229" s="208" t="s">
        <v>2860</v>
      </c>
      <c r="C1229" s="227" t="s">
        <v>2718</v>
      </c>
      <c r="D1229" s="84" t="s">
        <v>3088</v>
      </c>
      <c r="E1229" s="75" t="str">
        <f>VLOOKUP(B1229&amp;C1229,Divipola!$C$2:$F$1138,4,FALSE)</f>
        <v>63212</v>
      </c>
      <c r="F1229" s="87"/>
      <c r="G1229" s="87"/>
      <c r="H1229" s="87"/>
      <c r="I1229" s="87">
        <v>20</v>
      </c>
      <c r="J1229" s="87">
        <v>4</v>
      </c>
      <c r="K1229" s="87"/>
      <c r="L1229" s="87">
        <v>4</v>
      </c>
      <c r="M1229" s="87"/>
      <c r="N1229" s="87"/>
      <c r="O1229" s="87"/>
      <c r="P1229" s="87"/>
      <c r="Q1229" s="87"/>
      <c r="R1229" s="87"/>
      <c r="S1229" s="87"/>
      <c r="T1229" s="87"/>
      <c r="U1229" s="88"/>
      <c r="V1229" s="89"/>
      <c r="W1229" s="96">
        <v>0</v>
      </c>
      <c r="X1229" s="71">
        <f>CU1229</f>
        <v>0</v>
      </c>
      <c r="Y1229" s="71">
        <f>CY1229</f>
        <v>0</v>
      </c>
      <c r="Z1229" s="71">
        <f>DA1229+DC1229+DE1229</f>
        <v>0</v>
      </c>
      <c r="AA1229" s="71">
        <f>CW1229</f>
        <v>0</v>
      </c>
      <c r="AB1229" s="71"/>
      <c r="AC1229" s="71">
        <v>0</v>
      </c>
      <c r="AD1229" s="71">
        <f>W1229+X1229+Y1229+Z1229+AA1229+AB1229+AC1229</f>
        <v>0</v>
      </c>
      <c r="AE1229" s="72">
        <v>0</v>
      </c>
      <c r="AF1229" s="5"/>
      <c r="AG1229" s="6"/>
      <c r="AH1229" s="27" t="s">
        <v>3390</v>
      </c>
      <c r="AI1229" s="44" t="s">
        <v>3391</v>
      </c>
      <c r="AJ1229" s="26"/>
      <c r="AK1229" s="5" t="s">
        <v>3480</v>
      </c>
      <c r="AL1229" s="82" t="s">
        <v>4036</v>
      </c>
      <c r="AM1229" s="76"/>
      <c r="AN1229" s="76"/>
      <c r="AO1229" s="76"/>
      <c r="AP1229" s="76"/>
      <c r="AQ1229" s="76"/>
      <c r="AR1229" s="76"/>
      <c r="AS1229" s="76"/>
      <c r="AT1229" s="76"/>
      <c r="AU1229" s="76"/>
      <c r="AV1229" s="76"/>
      <c r="AW1229" s="76"/>
      <c r="AX1229" s="76">
        <f>+AW1229*600000</f>
        <v>0</v>
      </c>
      <c r="AY1229" s="76"/>
      <c r="AZ1229" s="76">
        <f>+AY1229*70000</f>
        <v>0</v>
      </c>
      <c r="BA1229" s="76"/>
      <c r="BB1229" s="76"/>
      <c r="BC1229" s="76"/>
      <c r="BD1229" s="76">
        <f>+BC1229*30000</f>
        <v>0</v>
      </c>
      <c r="BE1229" s="76"/>
      <c r="BF1229" s="76"/>
      <c r="BG1229" s="76"/>
      <c r="BH1229" s="76"/>
      <c r="BI1229" s="76"/>
      <c r="BJ1229" s="76"/>
      <c r="BK1229" s="76"/>
      <c r="BL1229" s="76">
        <f>+BK1229*31500</f>
        <v>0</v>
      </c>
      <c r="BM1229" s="76"/>
      <c r="BN1229" s="76"/>
      <c r="BO1229" s="76"/>
      <c r="BP1229" s="76"/>
      <c r="BQ1229" s="76"/>
      <c r="BR1229" s="76"/>
      <c r="BS1229" s="76"/>
      <c r="BT1229" s="76"/>
      <c r="BU1229" s="76"/>
      <c r="BV1229" s="76"/>
      <c r="BW1229" s="76"/>
      <c r="BX1229" s="76"/>
      <c r="BY1229" s="76"/>
      <c r="BZ1229" s="76"/>
      <c r="CA1229" s="76"/>
      <c r="CB1229" s="76"/>
      <c r="CC1229" s="76"/>
      <c r="CD1229" s="76"/>
      <c r="CE1229" s="76"/>
      <c r="CF1229" s="76">
        <f>+CE1229*28000</f>
        <v>0</v>
      </c>
      <c r="CG1229" s="76"/>
      <c r="CH1229" s="76">
        <f>+CG1229*22500</f>
        <v>0</v>
      </c>
      <c r="CI1229" s="76"/>
      <c r="CJ1229" s="76">
        <f>+CI1229*26000</f>
        <v>0</v>
      </c>
      <c r="CK1229" s="76"/>
      <c r="CL1229" s="76"/>
      <c r="CM1229" s="76"/>
      <c r="CN1229" s="76">
        <f>+CM1229*22000</f>
        <v>0</v>
      </c>
      <c r="CO1229" s="76"/>
      <c r="CP1229" s="76">
        <f>+CO1229*46000</f>
        <v>0</v>
      </c>
      <c r="CQ1229" s="76"/>
      <c r="CR1229" s="76">
        <f>+CQ1229*49000</f>
        <v>0</v>
      </c>
      <c r="CS1229" s="76"/>
      <c r="CT1229" s="76"/>
      <c r="CU1229" s="56">
        <f>AN1229+AP1229+AR1229+AT1229+AV1229+AX1229+AZ1229+BB1229+BD1229+BF1229+BH1229+BJ1229+BL1229+BN1229+BP1229+BR1229+BT1229+BV1229+BX1229+BZ1229+CB1229+CD1229+CF1229+CH1229+CJ1229+CL1229+CN1229+CP1229+CR1229+CT1229</f>
        <v>0</v>
      </c>
      <c r="CV1229" s="76"/>
      <c r="CW1229" s="76">
        <f>+CV1229*1100</f>
        <v>0</v>
      </c>
      <c r="CX1229" s="76"/>
      <c r="CY1229" s="76">
        <f>+CX1229*106250</f>
        <v>0</v>
      </c>
      <c r="CZ1229" s="76"/>
      <c r="DA1229" s="76">
        <f>+CZ1229*34500</f>
        <v>0</v>
      </c>
      <c r="DB1229" s="76"/>
      <c r="DC1229" s="76">
        <f>+DB1229*25000</f>
        <v>0</v>
      </c>
      <c r="DD1229" s="219"/>
      <c r="DE1229" s="219"/>
      <c r="DF1229" s="166"/>
      <c r="DG1229" s="116"/>
      <c r="DH1229" s="117"/>
      <c r="DI1229" s="24"/>
      <c r="DJ1229" s="24"/>
      <c r="DK1229" s="24"/>
      <c r="DL1229" s="24"/>
      <c r="DM1229" s="24"/>
      <c r="DN1229" s="24"/>
      <c r="DO1229" s="24"/>
      <c r="DP1229" s="24"/>
      <c r="DQ1229" s="24"/>
      <c r="DR1229" s="24"/>
      <c r="DS1229" s="24"/>
      <c r="DT1229" s="24"/>
      <c r="DU1229" s="24"/>
    </row>
    <row r="1230" spans="1:125" s="8" customFormat="1" ht="36" x14ac:dyDescent="0.2">
      <c r="A1230" s="97">
        <v>41355</v>
      </c>
      <c r="B1230" s="60" t="s">
        <v>2774</v>
      </c>
      <c r="C1230" s="55" t="s">
        <v>2745</v>
      </c>
      <c r="D1230" s="55" t="s">
        <v>2882</v>
      </c>
      <c r="E1230" s="75" t="str">
        <f>VLOOKUP(B1230&amp;C1230,Divipola!$C$2:$F$1138,4,FALSE)</f>
        <v>66318</v>
      </c>
      <c r="F1230" s="87"/>
      <c r="G1230" s="87"/>
      <c r="H1230" s="87"/>
      <c r="I1230" s="87">
        <v>145</v>
      </c>
      <c r="J1230" s="87">
        <v>29</v>
      </c>
      <c r="K1230" s="87"/>
      <c r="L1230" s="87">
        <v>29</v>
      </c>
      <c r="M1230" s="87"/>
      <c r="N1230" s="87"/>
      <c r="O1230" s="87"/>
      <c r="P1230" s="87"/>
      <c r="Q1230" s="87"/>
      <c r="R1230" s="87"/>
      <c r="S1230" s="87"/>
      <c r="T1230" s="87"/>
      <c r="U1230" s="88"/>
      <c r="V1230" s="89"/>
      <c r="W1230" s="96">
        <v>0</v>
      </c>
      <c r="X1230" s="71">
        <f>CU1230</f>
        <v>0</v>
      </c>
      <c r="Y1230" s="71">
        <f>CY1230</f>
        <v>0</v>
      </c>
      <c r="Z1230" s="71">
        <f>DA1230+DC1230+DE1230</f>
        <v>0</v>
      </c>
      <c r="AA1230" s="71">
        <f>CW1230</f>
        <v>0</v>
      </c>
      <c r="AB1230" s="71"/>
      <c r="AC1230" s="71">
        <v>0</v>
      </c>
      <c r="AD1230" s="71">
        <f>W1230+X1230+Y1230+Z1230+AA1230+AB1230+AC1230</f>
        <v>0</v>
      </c>
      <c r="AE1230" s="72">
        <v>0</v>
      </c>
      <c r="AF1230" s="5"/>
      <c r="AG1230" s="6"/>
      <c r="AH1230" s="27" t="s">
        <v>3392</v>
      </c>
      <c r="AI1230" s="44" t="s">
        <v>3393</v>
      </c>
      <c r="AJ1230" s="26"/>
      <c r="AK1230" s="5"/>
      <c r="AL1230" s="82" t="s">
        <v>4055</v>
      </c>
      <c r="AM1230" s="76"/>
      <c r="AN1230" s="76"/>
      <c r="AO1230" s="76"/>
      <c r="AP1230" s="76"/>
      <c r="AQ1230" s="76"/>
      <c r="AR1230" s="76"/>
      <c r="AS1230" s="76"/>
      <c r="AT1230" s="76"/>
      <c r="AU1230" s="76"/>
      <c r="AV1230" s="76"/>
      <c r="AW1230" s="76"/>
      <c r="AX1230" s="76">
        <f>+AW1230*600000</f>
        <v>0</v>
      </c>
      <c r="AY1230" s="76"/>
      <c r="AZ1230" s="76">
        <f>+AY1230*70000</f>
        <v>0</v>
      </c>
      <c r="BA1230" s="76"/>
      <c r="BB1230" s="76"/>
      <c r="BC1230" s="76"/>
      <c r="BD1230" s="76">
        <f>+BC1230*30000</f>
        <v>0</v>
      </c>
      <c r="BE1230" s="76"/>
      <c r="BF1230" s="76"/>
      <c r="BG1230" s="76"/>
      <c r="BH1230" s="76"/>
      <c r="BI1230" s="76"/>
      <c r="BJ1230" s="76"/>
      <c r="BK1230" s="76"/>
      <c r="BL1230" s="76">
        <f>+BK1230*31500</f>
        <v>0</v>
      </c>
      <c r="BM1230" s="76"/>
      <c r="BN1230" s="76"/>
      <c r="BO1230" s="76"/>
      <c r="BP1230" s="76"/>
      <c r="BQ1230" s="76"/>
      <c r="BR1230" s="76"/>
      <c r="BS1230" s="76"/>
      <c r="BT1230" s="76"/>
      <c r="BU1230" s="76"/>
      <c r="BV1230" s="76"/>
      <c r="BW1230" s="76"/>
      <c r="BX1230" s="76"/>
      <c r="BY1230" s="76"/>
      <c r="BZ1230" s="76"/>
      <c r="CA1230" s="76"/>
      <c r="CB1230" s="76"/>
      <c r="CC1230" s="76"/>
      <c r="CD1230" s="76"/>
      <c r="CE1230" s="76"/>
      <c r="CF1230" s="76">
        <f>+CE1230*28000</f>
        <v>0</v>
      </c>
      <c r="CG1230" s="76"/>
      <c r="CH1230" s="76">
        <f>+CG1230*22500</f>
        <v>0</v>
      </c>
      <c r="CI1230" s="76"/>
      <c r="CJ1230" s="76">
        <f>+CI1230*26000</f>
        <v>0</v>
      </c>
      <c r="CK1230" s="76"/>
      <c r="CL1230" s="76"/>
      <c r="CM1230" s="76"/>
      <c r="CN1230" s="76">
        <f>+CM1230*22000</f>
        <v>0</v>
      </c>
      <c r="CO1230" s="76"/>
      <c r="CP1230" s="76">
        <f>+CO1230*46000</f>
        <v>0</v>
      </c>
      <c r="CQ1230" s="76"/>
      <c r="CR1230" s="76">
        <f>+CQ1230*49000</f>
        <v>0</v>
      </c>
      <c r="CS1230" s="76"/>
      <c r="CT1230" s="76"/>
      <c r="CU1230" s="56">
        <f>AN1230+AP1230+AR1230+AT1230+AV1230+AX1230+AZ1230+BB1230+BD1230+BF1230+BH1230+BJ1230+BL1230+BN1230+BP1230+BR1230+BT1230+BV1230+BX1230+BZ1230+CB1230+CD1230+CF1230+CH1230+CJ1230+CL1230+CN1230+CP1230+CR1230+CT1230</f>
        <v>0</v>
      </c>
      <c r="CV1230" s="76"/>
      <c r="CW1230" s="76">
        <f>+CV1230*1100</f>
        <v>0</v>
      </c>
      <c r="CX1230" s="76"/>
      <c r="CY1230" s="76">
        <f>+CX1230*106250</f>
        <v>0</v>
      </c>
      <c r="CZ1230" s="76"/>
      <c r="DA1230" s="76">
        <f>+CZ1230*34500</f>
        <v>0</v>
      </c>
      <c r="DB1230" s="76"/>
      <c r="DC1230" s="76">
        <f>+DB1230*25000</f>
        <v>0</v>
      </c>
      <c r="DD1230" s="219"/>
      <c r="DE1230" s="219"/>
      <c r="DF1230" s="166"/>
      <c r="DG1230" s="116"/>
      <c r="DH1230" s="117"/>
      <c r="DI1230" s="24"/>
      <c r="DJ1230" s="24"/>
      <c r="DK1230" s="24"/>
      <c r="DL1230" s="24"/>
      <c r="DM1230" s="24"/>
      <c r="DN1230" s="24"/>
      <c r="DO1230" s="24"/>
      <c r="DP1230" s="24"/>
      <c r="DQ1230" s="24"/>
      <c r="DR1230" s="24"/>
      <c r="DS1230" s="24"/>
      <c r="DT1230" s="24"/>
      <c r="DU1230" s="24"/>
    </row>
    <row r="1231" spans="1:125" s="8" customFormat="1" ht="96" x14ac:dyDescent="0.2">
      <c r="A1231" s="353">
        <v>41356</v>
      </c>
      <c r="B1231" s="225" t="s">
        <v>2854</v>
      </c>
      <c r="C1231" s="227" t="s">
        <v>2777</v>
      </c>
      <c r="D1231" s="84" t="s">
        <v>3088</v>
      </c>
      <c r="E1231" s="75" t="str">
        <f>VLOOKUP(B1231&amp;C1231,Divipola!$C$2:$F$1138,4,FALSE)</f>
        <v>19100</v>
      </c>
      <c r="F1231" s="87"/>
      <c r="G1231" s="87"/>
      <c r="H1231" s="87"/>
      <c r="I1231" s="87">
        <v>75</v>
      </c>
      <c r="J1231" s="87">
        <v>21</v>
      </c>
      <c r="K1231" s="87"/>
      <c r="L1231" s="87">
        <v>21</v>
      </c>
      <c r="M1231" s="87"/>
      <c r="N1231" s="87"/>
      <c r="O1231" s="87"/>
      <c r="P1231" s="87"/>
      <c r="Q1231" s="87"/>
      <c r="R1231" s="87"/>
      <c r="S1231" s="87">
        <v>2</v>
      </c>
      <c r="T1231" s="87"/>
      <c r="U1231" s="88"/>
      <c r="V1231" s="89"/>
      <c r="W1231" s="96">
        <v>0</v>
      </c>
      <c r="X1231" s="71">
        <f>CU1231</f>
        <v>0</v>
      </c>
      <c r="Y1231" s="71">
        <f>CY1231</f>
        <v>0</v>
      </c>
      <c r="Z1231" s="71">
        <f>DA1231+DC1231+DE1231</f>
        <v>0</v>
      </c>
      <c r="AA1231" s="71">
        <f>CW1231</f>
        <v>0</v>
      </c>
      <c r="AB1231" s="71"/>
      <c r="AC1231" s="71">
        <v>0</v>
      </c>
      <c r="AD1231" s="71">
        <f>W1231+X1231+Y1231+Z1231+AA1231+AB1231+AC1231</f>
        <v>0</v>
      </c>
      <c r="AE1231" s="72">
        <v>0</v>
      </c>
      <c r="AF1231" s="5"/>
      <c r="AG1231" s="6"/>
      <c r="AH1231" s="27" t="s">
        <v>3392</v>
      </c>
      <c r="AI1231" s="44" t="s">
        <v>3393</v>
      </c>
      <c r="AJ1231" s="26"/>
      <c r="AK1231" s="5"/>
      <c r="AL1231" s="82" t="s">
        <v>4042</v>
      </c>
      <c r="AM1231" s="76"/>
      <c r="AN1231" s="76"/>
      <c r="AO1231" s="76"/>
      <c r="AP1231" s="76"/>
      <c r="AQ1231" s="76"/>
      <c r="AR1231" s="76"/>
      <c r="AS1231" s="76"/>
      <c r="AT1231" s="76"/>
      <c r="AU1231" s="76"/>
      <c r="AV1231" s="76"/>
      <c r="AW1231" s="76"/>
      <c r="AX1231" s="76">
        <f>+AW1231*600000</f>
        <v>0</v>
      </c>
      <c r="AY1231" s="76"/>
      <c r="AZ1231" s="76">
        <f>+AY1231*70000</f>
        <v>0</v>
      </c>
      <c r="BA1231" s="76"/>
      <c r="BB1231" s="76"/>
      <c r="BC1231" s="76"/>
      <c r="BD1231" s="76">
        <f>+BC1231*30000</f>
        <v>0</v>
      </c>
      <c r="BE1231" s="76"/>
      <c r="BF1231" s="76"/>
      <c r="BG1231" s="76"/>
      <c r="BH1231" s="76"/>
      <c r="BI1231" s="76"/>
      <c r="BJ1231" s="76"/>
      <c r="BK1231" s="76"/>
      <c r="BL1231" s="76">
        <f>+BK1231*31500</f>
        <v>0</v>
      </c>
      <c r="BM1231" s="76"/>
      <c r="BN1231" s="76"/>
      <c r="BO1231" s="76"/>
      <c r="BP1231" s="76"/>
      <c r="BQ1231" s="76"/>
      <c r="BR1231" s="76"/>
      <c r="BS1231" s="76"/>
      <c r="BT1231" s="76"/>
      <c r="BU1231" s="76"/>
      <c r="BV1231" s="76"/>
      <c r="BW1231" s="76"/>
      <c r="BX1231" s="76"/>
      <c r="BY1231" s="76"/>
      <c r="BZ1231" s="76"/>
      <c r="CA1231" s="76"/>
      <c r="CB1231" s="76"/>
      <c r="CC1231" s="76"/>
      <c r="CD1231" s="76"/>
      <c r="CE1231" s="76"/>
      <c r="CF1231" s="76">
        <f>+CE1231*28000</f>
        <v>0</v>
      </c>
      <c r="CG1231" s="76"/>
      <c r="CH1231" s="76">
        <f>+CG1231*22500</f>
        <v>0</v>
      </c>
      <c r="CI1231" s="76"/>
      <c r="CJ1231" s="76">
        <f>+CI1231*26000</f>
        <v>0</v>
      </c>
      <c r="CK1231" s="76"/>
      <c r="CL1231" s="76"/>
      <c r="CM1231" s="76"/>
      <c r="CN1231" s="76">
        <f>+CM1231*22000</f>
        <v>0</v>
      </c>
      <c r="CO1231" s="76"/>
      <c r="CP1231" s="76">
        <f>+CO1231*46000</f>
        <v>0</v>
      </c>
      <c r="CQ1231" s="76"/>
      <c r="CR1231" s="76">
        <f>+CQ1231*49000</f>
        <v>0</v>
      </c>
      <c r="CS1231" s="76"/>
      <c r="CT1231" s="76"/>
      <c r="CU1231" s="56">
        <f>AN1231+AP1231+AR1231+AT1231+AV1231+AX1231+AZ1231+BB1231+BD1231+BF1231+BH1231+BJ1231+BL1231+BN1231+BP1231+BR1231+BT1231+BV1231+BX1231+BZ1231+CB1231+CD1231+CF1231+CH1231+CJ1231+CL1231+CN1231+CP1231+CR1231+CT1231</f>
        <v>0</v>
      </c>
      <c r="CV1231" s="76"/>
      <c r="CW1231" s="76">
        <f>+CV1231*1100</f>
        <v>0</v>
      </c>
      <c r="CX1231" s="76"/>
      <c r="CY1231" s="76">
        <f>+CX1231*106250</f>
        <v>0</v>
      </c>
      <c r="CZ1231" s="76"/>
      <c r="DA1231" s="76">
        <f>+CZ1231*34500</f>
        <v>0</v>
      </c>
      <c r="DB1231" s="76"/>
      <c r="DC1231" s="76">
        <f>+DB1231*25000</f>
        <v>0</v>
      </c>
      <c r="DD1231" s="219"/>
      <c r="DE1231" s="219"/>
      <c r="DF1231" s="166"/>
      <c r="DG1231" s="116"/>
      <c r="DH1231" s="117"/>
      <c r="DI1231" s="24"/>
      <c r="DJ1231" s="24"/>
      <c r="DK1231" s="24"/>
      <c r="DL1231" s="24"/>
      <c r="DM1231" s="24"/>
      <c r="DN1231" s="24"/>
      <c r="DO1231" s="24"/>
      <c r="DP1231" s="24"/>
      <c r="DQ1231" s="24"/>
      <c r="DR1231" s="24"/>
      <c r="DS1231" s="24"/>
      <c r="DT1231" s="24"/>
      <c r="DU1231" s="24"/>
    </row>
    <row r="1232" spans="1:125" s="8" customFormat="1" ht="60" x14ac:dyDescent="0.2">
      <c r="A1232" s="77">
        <v>41356</v>
      </c>
      <c r="B1232" s="225" t="s">
        <v>2854</v>
      </c>
      <c r="C1232" s="227" t="s">
        <v>501</v>
      </c>
      <c r="D1232" s="84" t="s">
        <v>3088</v>
      </c>
      <c r="E1232" s="75" t="str">
        <f>VLOOKUP(B1232&amp;C1232,Divipola!$C$2:$F$1138,4,FALSE)</f>
        <v>19256</v>
      </c>
      <c r="F1232" s="87"/>
      <c r="G1232" s="87"/>
      <c r="H1232" s="87"/>
      <c r="I1232" s="87">
        <v>550</v>
      </c>
      <c r="J1232" s="87">
        <v>110</v>
      </c>
      <c r="K1232" s="87"/>
      <c r="L1232" s="87">
        <v>110</v>
      </c>
      <c r="M1232" s="87"/>
      <c r="N1232" s="87"/>
      <c r="O1232" s="87"/>
      <c r="P1232" s="87">
        <v>1</v>
      </c>
      <c r="Q1232" s="87"/>
      <c r="R1232" s="87"/>
      <c r="S1232" s="87"/>
      <c r="T1232" s="87"/>
      <c r="U1232" s="88"/>
      <c r="V1232" s="89"/>
      <c r="W1232" s="96">
        <v>0</v>
      </c>
      <c r="X1232" s="71">
        <f>CU1232</f>
        <v>0</v>
      </c>
      <c r="Y1232" s="71">
        <f>CY1232</f>
        <v>0</v>
      </c>
      <c r="Z1232" s="71">
        <f>DA1232+DC1232+DE1232</f>
        <v>0</v>
      </c>
      <c r="AA1232" s="71">
        <f>CW1232</f>
        <v>0</v>
      </c>
      <c r="AB1232" s="71"/>
      <c r="AC1232" s="71">
        <v>0</v>
      </c>
      <c r="AD1232" s="71">
        <f>W1232+X1232+Y1232+Z1232+AA1232+AB1232+AC1232</f>
        <v>0</v>
      </c>
      <c r="AE1232" s="72">
        <v>0</v>
      </c>
      <c r="AF1232" s="5"/>
      <c r="AG1232" s="6"/>
      <c r="AH1232" s="27" t="s">
        <v>3390</v>
      </c>
      <c r="AI1232" s="44" t="s">
        <v>3393</v>
      </c>
      <c r="AJ1232" s="26"/>
      <c r="AK1232" s="5"/>
      <c r="AL1232" s="82" t="s">
        <v>4081</v>
      </c>
      <c r="AM1232" s="76"/>
      <c r="AN1232" s="76"/>
      <c r="AO1232" s="76"/>
      <c r="AP1232" s="76"/>
      <c r="AQ1232" s="76"/>
      <c r="AR1232" s="76"/>
      <c r="AS1232" s="76"/>
      <c r="AT1232" s="76"/>
      <c r="AU1232" s="76"/>
      <c r="AV1232" s="76"/>
      <c r="AW1232" s="76"/>
      <c r="AX1232" s="76">
        <f>+AW1232*600000</f>
        <v>0</v>
      </c>
      <c r="AY1232" s="76"/>
      <c r="AZ1232" s="76">
        <f>+AY1232*70000</f>
        <v>0</v>
      </c>
      <c r="BA1232" s="76"/>
      <c r="BB1232" s="76"/>
      <c r="BC1232" s="76"/>
      <c r="BD1232" s="76">
        <f>+BC1232*30000</f>
        <v>0</v>
      </c>
      <c r="BE1232" s="76"/>
      <c r="BF1232" s="76"/>
      <c r="BG1232" s="76"/>
      <c r="BH1232" s="76"/>
      <c r="BI1232" s="76"/>
      <c r="BJ1232" s="76"/>
      <c r="BK1232" s="76"/>
      <c r="BL1232" s="76">
        <f>+BK1232*31500</f>
        <v>0</v>
      </c>
      <c r="BM1232" s="76"/>
      <c r="BN1232" s="76"/>
      <c r="BO1232" s="76"/>
      <c r="BP1232" s="76"/>
      <c r="BQ1232" s="76"/>
      <c r="BR1232" s="76"/>
      <c r="BS1232" s="76"/>
      <c r="BT1232" s="76"/>
      <c r="BU1232" s="76"/>
      <c r="BV1232" s="76"/>
      <c r="BW1232" s="76"/>
      <c r="BX1232" s="76"/>
      <c r="BY1232" s="76"/>
      <c r="BZ1232" s="76"/>
      <c r="CA1232" s="76"/>
      <c r="CB1232" s="76"/>
      <c r="CC1232" s="76"/>
      <c r="CD1232" s="76"/>
      <c r="CE1232" s="76"/>
      <c r="CF1232" s="76">
        <f>+CE1232*28000</f>
        <v>0</v>
      </c>
      <c r="CG1232" s="76"/>
      <c r="CH1232" s="76">
        <f>+CG1232*22500</f>
        <v>0</v>
      </c>
      <c r="CI1232" s="76"/>
      <c r="CJ1232" s="76">
        <f>+CI1232*26000</f>
        <v>0</v>
      </c>
      <c r="CK1232" s="76"/>
      <c r="CL1232" s="76"/>
      <c r="CM1232" s="76"/>
      <c r="CN1232" s="76">
        <f>+CM1232*22000</f>
        <v>0</v>
      </c>
      <c r="CO1232" s="76"/>
      <c r="CP1232" s="76">
        <f>+CO1232*46000</f>
        <v>0</v>
      </c>
      <c r="CQ1232" s="76"/>
      <c r="CR1232" s="76">
        <f>+CQ1232*49000</f>
        <v>0</v>
      </c>
      <c r="CS1232" s="76"/>
      <c r="CT1232" s="76"/>
      <c r="CU1232" s="56">
        <f>AN1232+AP1232+AR1232+AT1232+AV1232+AX1232+AZ1232+BB1232+BD1232+BF1232+BH1232+BJ1232+BL1232+BN1232+BP1232+BR1232+BT1232+BV1232+BX1232+BZ1232+CB1232+CD1232+CF1232+CH1232+CJ1232+CL1232+CN1232+CP1232+CR1232+CT1232</f>
        <v>0</v>
      </c>
      <c r="CV1232" s="76"/>
      <c r="CW1232" s="76">
        <f>+CV1232*1100</f>
        <v>0</v>
      </c>
      <c r="CX1232" s="76"/>
      <c r="CY1232" s="76">
        <f>+CX1232*106250</f>
        <v>0</v>
      </c>
      <c r="CZ1232" s="76"/>
      <c r="DA1232" s="76">
        <f>+CZ1232*34500</f>
        <v>0</v>
      </c>
      <c r="DB1232" s="76"/>
      <c r="DC1232" s="76">
        <f>+DB1232*25000</f>
        <v>0</v>
      </c>
      <c r="DD1232" s="219"/>
      <c r="DE1232" s="219"/>
      <c r="DF1232" s="166"/>
      <c r="DG1232" s="116"/>
      <c r="DH1232" s="117"/>
      <c r="DI1232" s="24"/>
      <c r="DJ1232" s="24"/>
      <c r="DK1232" s="24"/>
      <c r="DL1232" s="24"/>
      <c r="DM1232" s="24"/>
      <c r="DN1232" s="24"/>
      <c r="DO1232" s="24"/>
      <c r="DP1232" s="24"/>
      <c r="DQ1232" s="24"/>
      <c r="DR1232" s="24"/>
      <c r="DS1232" s="24"/>
      <c r="DT1232" s="24"/>
      <c r="DU1232" s="24"/>
    </row>
    <row r="1233" spans="1:125" s="8" customFormat="1" ht="84" x14ac:dyDescent="0.2">
      <c r="A1233" s="226">
        <v>41356</v>
      </c>
      <c r="B1233" s="225" t="s">
        <v>2772</v>
      </c>
      <c r="C1233" s="227" t="s">
        <v>2030</v>
      </c>
      <c r="D1233" s="75" t="s">
        <v>3051</v>
      </c>
      <c r="E1233" s="75" t="str">
        <f>VLOOKUP(B1233&amp;C1233,Divipola!$C$2:$F$1138,4,FALSE)</f>
        <v>25754</v>
      </c>
      <c r="F1233" s="87"/>
      <c r="G1233" s="87"/>
      <c r="H1233" s="87"/>
      <c r="I1233" s="87">
        <v>65</v>
      </c>
      <c r="J1233" s="87">
        <v>13</v>
      </c>
      <c r="K1233" s="87"/>
      <c r="L1233" s="87"/>
      <c r="M1233" s="87"/>
      <c r="N1233" s="87"/>
      <c r="O1233" s="87"/>
      <c r="P1233" s="87"/>
      <c r="Q1233" s="87"/>
      <c r="R1233" s="87"/>
      <c r="S1233" s="87"/>
      <c r="T1233" s="87"/>
      <c r="U1233" s="88"/>
      <c r="V1233" s="89"/>
      <c r="W1233" s="96">
        <v>0</v>
      </c>
      <c r="X1233" s="71">
        <f>CU1233</f>
        <v>0</v>
      </c>
      <c r="Y1233" s="71">
        <f>CY1233</f>
        <v>0</v>
      </c>
      <c r="Z1233" s="71">
        <f>DA1233+DC1233+DE1233</f>
        <v>0</v>
      </c>
      <c r="AA1233" s="71">
        <f>CW1233</f>
        <v>0</v>
      </c>
      <c r="AB1233" s="71"/>
      <c r="AC1233" s="71">
        <v>0</v>
      </c>
      <c r="AD1233" s="71">
        <f>W1233+X1233+Y1233+Z1233+AA1233+AB1233+AC1233</f>
        <v>0</v>
      </c>
      <c r="AE1233" s="72">
        <v>0</v>
      </c>
      <c r="AF1233" s="5"/>
      <c r="AG1233" s="6"/>
      <c r="AH1233" s="27" t="s">
        <v>3392</v>
      </c>
      <c r="AI1233" s="44" t="s">
        <v>3393</v>
      </c>
      <c r="AJ1233" s="26"/>
      <c r="AK1233" s="5"/>
      <c r="AL1233" s="82" t="s">
        <v>4043</v>
      </c>
      <c r="AM1233" s="76"/>
      <c r="AN1233" s="76"/>
      <c r="AO1233" s="76"/>
      <c r="AP1233" s="76"/>
      <c r="AQ1233" s="76"/>
      <c r="AR1233" s="76"/>
      <c r="AS1233" s="76"/>
      <c r="AT1233" s="76"/>
      <c r="AU1233" s="76"/>
      <c r="AV1233" s="76"/>
      <c r="AW1233" s="76"/>
      <c r="AX1233" s="76">
        <f>+AW1233*600000</f>
        <v>0</v>
      </c>
      <c r="AY1233" s="76"/>
      <c r="AZ1233" s="76">
        <f>+AY1233*70000</f>
        <v>0</v>
      </c>
      <c r="BA1233" s="76"/>
      <c r="BB1233" s="76"/>
      <c r="BC1233" s="76"/>
      <c r="BD1233" s="76">
        <f>+BC1233*30000</f>
        <v>0</v>
      </c>
      <c r="BE1233" s="76"/>
      <c r="BF1233" s="76"/>
      <c r="BG1233" s="76"/>
      <c r="BH1233" s="76"/>
      <c r="BI1233" s="76"/>
      <c r="BJ1233" s="76"/>
      <c r="BK1233" s="76"/>
      <c r="BL1233" s="76">
        <f>+BK1233*31500</f>
        <v>0</v>
      </c>
      <c r="BM1233" s="76"/>
      <c r="BN1233" s="76"/>
      <c r="BO1233" s="76"/>
      <c r="BP1233" s="76"/>
      <c r="BQ1233" s="76"/>
      <c r="BR1233" s="76"/>
      <c r="BS1233" s="76"/>
      <c r="BT1233" s="76"/>
      <c r="BU1233" s="76"/>
      <c r="BV1233" s="76"/>
      <c r="BW1233" s="76"/>
      <c r="BX1233" s="76"/>
      <c r="BY1233" s="76"/>
      <c r="BZ1233" s="76"/>
      <c r="CA1233" s="76"/>
      <c r="CB1233" s="76"/>
      <c r="CC1233" s="76"/>
      <c r="CD1233" s="76"/>
      <c r="CE1233" s="76"/>
      <c r="CF1233" s="76">
        <f>+CE1233*28000</f>
        <v>0</v>
      </c>
      <c r="CG1233" s="76"/>
      <c r="CH1233" s="76">
        <f>+CG1233*22500</f>
        <v>0</v>
      </c>
      <c r="CI1233" s="76"/>
      <c r="CJ1233" s="76">
        <f>+CI1233*26000</f>
        <v>0</v>
      </c>
      <c r="CK1233" s="76"/>
      <c r="CL1233" s="76"/>
      <c r="CM1233" s="76"/>
      <c r="CN1233" s="76">
        <f>+CM1233*22000</f>
        <v>0</v>
      </c>
      <c r="CO1233" s="76"/>
      <c r="CP1233" s="76">
        <f>+CO1233*46000</f>
        <v>0</v>
      </c>
      <c r="CQ1233" s="76"/>
      <c r="CR1233" s="76">
        <f>+CQ1233*49000</f>
        <v>0</v>
      </c>
      <c r="CS1233" s="76"/>
      <c r="CT1233" s="76"/>
      <c r="CU1233" s="56">
        <f>AN1233+AP1233+AR1233+AT1233+AV1233+AX1233+AZ1233+BB1233+BD1233+BF1233+BH1233+BJ1233+BL1233+BN1233+BP1233+BR1233+BT1233+BV1233+BX1233+BZ1233+CB1233+CD1233+CF1233+CH1233+CJ1233+CL1233+CN1233+CP1233+CR1233+CT1233</f>
        <v>0</v>
      </c>
      <c r="CV1233" s="76"/>
      <c r="CW1233" s="76">
        <f>+CV1233*1100</f>
        <v>0</v>
      </c>
      <c r="CX1233" s="76"/>
      <c r="CY1233" s="76">
        <f>+CX1233*106250</f>
        <v>0</v>
      </c>
      <c r="CZ1233" s="76"/>
      <c r="DA1233" s="76">
        <f>+CZ1233*34500</f>
        <v>0</v>
      </c>
      <c r="DB1233" s="76"/>
      <c r="DC1233" s="76">
        <f>+DB1233*25000</f>
        <v>0</v>
      </c>
      <c r="DD1233" s="219"/>
      <c r="DE1233" s="219"/>
      <c r="DF1233" s="166"/>
      <c r="DG1233" s="116"/>
      <c r="DH1233" s="117"/>
      <c r="DI1233" s="24"/>
      <c r="DJ1233" s="24"/>
      <c r="DK1233" s="24"/>
      <c r="DL1233" s="24"/>
      <c r="DM1233" s="24"/>
      <c r="DN1233" s="24"/>
      <c r="DO1233" s="24"/>
      <c r="DP1233" s="24"/>
      <c r="DQ1233" s="24"/>
      <c r="DR1233" s="24"/>
      <c r="DS1233" s="24"/>
      <c r="DT1233" s="24"/>
      <c r="DU1233" s="24"/>
    </row>
    <row r="1234" spans="1:125" s="8" customFormat="1" ht="48" x14ac:dyDescent="0.2">
      <c r="A1234" s="353">
        <v>41356</v>
      </c>
      <c r="B1234" s="225" t="s">
        <v>2811</v>
      </c>
      <c r="C1234" s="227" t="s">
        <v>494</v>
      </c>
      <c r="D1234" s="84" t="s">
        <v>3088</v>
      </c>
      <c r="E1234" s="75" t="str">
        <f>VLOOKUP(B1234&amp;C1234,Divipola!$C$2:$F$1138,4,FALSE)</f>
        <v>52019</v>
      </c>
      <c r="F1234" s="87"/>
      <c r="G1234" s="87"/>
      <c r="H1234" s="87"/>
      <c r="I1234" s="87"/>
      <c r="J1234" s="87"/>
      <c r="K1234" s="87"/>
      <c r="L1234" s="87"/>
      <c r="M1234" s="87">
        <v>1</v>
      </c>
      <c r="N1234" s="87"/>
      <c r="O1234" s="87"/>
      <c r="P1234" s="87"/>
      <c r="Q1234" s="87"/>
      <c r="R1234" s="87"/>
      <c r="S1234" s="87"/>
      <c r="T1234" s="87"/>
      <c r="U1234" s="88"/>
      <c r="V1234" s="89"/>
      <c r="W1234" s="96">
        <v>0</v>
      </c>
      <c r="X1234" s="71">
        <f>CU1234</f>
        <v>0</v>
      </c>
      <c r="Y1234" s="71">
        <f>CY1234</f>
        <v>0</v>
      </c>
      <c r="Z1234" s="71">
        <f>DA1234+DC1234+DE1234</f>
        <v>0</v>
      </c>
      <c r="AA1234" s="71">
        <f>CW1234</f>
        <v>0</v>
      </c>
      <c r="AB1234" s="71"/>
      <c r="AC1234" s="71">
        <v>0</v>
      </c>
      <c r="AD1234" s="71">
        <f>W1234+X1234+Y1234+Z1234+AA1234+AB1234+AC1234</f>
        <v>0</v>
      </c>
      <c r="AE1234" s="72">
        <v>0</v>
      </c>
      <c r="AF1234" s="5"/>
      <c r="AG1234" s="6"/>
      <c r="AH1234" s="27" t="s">
        <v>3392</v>
      </c>
      <c r="AI1234" s="44" t="s">
        <v>3393</v>
      </c>
      <c r="AJ1234" s="26"/>
      <c r="AK1234" s="5"/>
      <c r="AL1234" s="82" t="s">
        <v>4051</v>
      </c>
      <c r="AM1234" s="76"/>
      <c r="AN1234" s="76"/>
      <c r="AO1234" s="76"/>
      <c r="AP1234" s="76"/>
      <c r="AQ1234" s="76"/>
      <c r="AR1234" s="76"/>
      <c r="AS1234" s="76"/>
      <c r="AT1234" s="76"/>
      <c r="AU1234" s="76"/>
      <c r="AV1234" s="76"/>
      <c r="AW1234" s="76"/>
      <c r="AX1234" s="76">
        <f>+AW1234*600000</f>
        <v>0</v>
      </c>
      <c r="AY1234" s="76"/>
      <c r="AZ1234" s="76">
        <f>+AY1234*70000</f>
        <v>0</v>
      </c>
      <c r="BA1234" s="76"/>
      <c r="BB1234" s="76"/>
      <c r="BC1234" s="76"/>
      <c r="BD1234" s="76">
        <f>+BC1234*30000</f>
        <v>0</v>
      </c>
      <c r="BE1234" s="76"/>
      <c r="BF1234" s="76"/>
      <c r="BG1234" s="76"/>
      <c r="BH1234" s="76"/>
      <c r="BI1234" s="76"/>
      <c r="BJ1234" s="76"/>
      <c r="BK1234" s="76"/>
      <c r="BL1234" s="76">
        <f>+BK1234*31500</f>
        <v>0</v>
      </c>
      <c r="BM1234" s="76"/>
      <c r="BN1234" s="76"/>
      <c r="BO1234" s="76"/>
      <c r="BP1234" s="76"/>
      <c r="BQ1234" s="76"/>
      <c r="BR1234" s="76"/>
      <c r="BS1234" s="76"/>
      <c r="BT1234" s="76"/>
      <c r="BU1234" s="76"/>
      <c r="BV1234" s="76"/>
      <c r="BW1234" s="76"/>
      <c r="BX1234" s="76"/>
      <c r="BY1234" s="76"/>
      <c r="BZ1234" s="76"/>
      <c r="CA1234" s="76"/>
      <c r="CB1234" s="76"/>
      <c r="CC1234" s="76"/>
      <c r="CD1234" s="76"/>
      <c r="CE1234" s="76"/>
      <c r="CF1234" s="76">
        <f>+CE1234*28000</f>
        <v>0</v>
      </c>
      <c r="CG1234" s="76"/>
      <c r="CH1234" s="76">
        <f>+CG1234*22500</f>
        <v>0</v>
      </c>
      <c r="CI1234" s="76"/>
      <c r="CJ1234" s="76">
        <f>+CI1234*26000</f>
        <v>0</v>
      </c>
      <c r="CK1234" s="76"/>
      <c r="CL1234" s="76"/>
      <c r="CM1234" s="76"/>
      <c r="CN1234" s="76">
        <f>+CM1234*22000</f>
        <v>0</v>
      </c>
      <c r="CO1234" s="76"/>
      <c r="CP1234" s="76">
        <f>+CO1234*46000</f>
        <v>0</v>
      </c>
      <c r="CQ1234" s="76"/>
      <c r="CR1234" s="76">
        <f>+CQ1234*49000</f>
        <v>0</v>
      </c>
      <c r="CS1234" s="76"/>
      <c r="CT1234" s="76"/>
      <c r="CU1234" s="56">
        <f>AN1234+AP1234+AR1234+AT1234+AV1234+AX1234+AZ1234+BB1234+BD1234+BF1234+BH1234+BJ1234+BL1234+BN1234+BP1234+BR1234+BT1234+BV1234+BX1234+BZ1234+CB1234+CD1234+CF1234+CH1234+CJ1234+CL1234+CN1234+CP1234+CR1234+CT1234</f>
        <v>0</v>
      </c>
      <c r="CV1234" s="76"/>
      <c r="CW1234" s="76">
        <f>+CV1234*1100</f>
        <v>0</v>
      </c>
      <c r="CX1234" s="76"/>
      <c r="CY1234" s="76">
        <f>+CX1234*106250</f>
        <v>0</v>
      </c>
      <c r="CZ1234" s="76"/>
      <c r="DA1234" s="76">
        <f>+CZ1234*34500</f>
        <v>0</v>
      </c>
      <c r="DB1234" s="76"/>
      <c r="DC1234" s="76">
        <f>+DB1234*25000</f>
        <v>0</v>
      </c>
      <c r="DD1234" s="219"/>
      <c r="DE1234" s="219"/>
      <c r="DF1234" s="166"/>
      <c r="DG1234" s="116"/>
      <c r="DH1234" s="117"/>
      <c r="DI1234" s="24"/>
      <c r="DJ1234" s="24"/>
      <c r="DK1234" s="24"/>
      <c r="DL1234" s="24"/>
      <c r="DM1234" s="24"/>
      <c r="DN1234" s="24"/>
      <c r="DO1234" s="24"/>
      <c r="DP1234" s="24"/>
      <c r="DQ1234" s="24"/>
      <c r="DR1234" s="24"/>
      <c r="DS1234" s="24"/>
      <c r="DT1234" s="24"/>
      <c r="DU1234" s="24"/>
    </row>
    <row r="1235" spans="1:125" s="8" customFormat="1" ht="48" x14ac:dyDescent="0.2">
      <c r="A1235" s="77">
        <v>41356</v>
      </c>
      <c r="B1235" s="78" t="s">
        <v>2860</v>
      </c>
      <c r="C1235" s="75" t="s">
        <v>1325</v>
      </c>
      <c r="D1235" s="84" t="s">
        <v>3088</v>
      </c>
      <c r="E1235" s="75" t="str">
        <f>VLOOKUP(B1235&amp;C1235,Divipola!$C$2:$F$1138,4,FALSE)</f>
        <v>63111</v>
      </c>
      <c r="F1235" s="87"/>
      <c r="G1235" s="87"/>
      <c r="H1235" s="87"/>
      <c r="I1235" s="87">
        <v>4</v>
      </c>
      <c r="J1235" s="87">
        <v>1</v>
      </c>
      <c r="K1235" s="87"/>
      <c r="L1235" s="87">
        <v>1</v>
      </c>
      <c r="M1235" s="87"/>
      <c r="N1235" s="87"/>
      <c r="O1235" s="87"/>
      <c r="P1235" s="87"/>
      <c r="Q1235" s="87"/>
      <c r="R1235" s="87"/>
      <c r="S1235" s="87"/>
      <c r="T1235" s="87"/>
      <c r="U1235" s="88"/>
      <c r="V1235" s="89"/>
      <c r="W1235" s="96">
        <v>0</v>
      </c>
      <c r="X1235" s="71">
        <f>CU1235</f>
        <v>0</v>
      </c>
      <c r="Y1235" s="71">
        <f>CY1235</f>
        <v>0</v>
      </c>
      <c r="Z1235" s="71">
        <f>DA1235+DC1235+DE1235</f>
        <v>0</v>
      </c>
      <c r="AA1235" s="71">
        <f>CW1235</f>
        <v>0</v>
      </c>
      <c r="AB1235" s="71"/>
      <c r="AC1235" s="71">
        <v>0</v>
      </c>
      <c r="AD1235" s="71">
        <f>W1235+X1235+Y1235+Z1235+AA1235+AB1235+AC1235</f>
        <v>0</v>
      </c>
      <c r="AE1235" s="72">
        <v>0</v>
      </c>
      <c r="AF1235" s="5"/>
      <c r="AG1235" s="6"/>
      <c r="AH1235" s="27" t="s">
        <v>3390</v>
      </c>
      <c r="AI1235" s="44" t="s">
        <v>3391</v>
      </c>
      <c r="AJ1235" s="26"/>
      <c r="AK1235" s="5" t="s">
        <v>3480</v>
      </c>
      <c r="AL1235" s="82" t="s">
        <v>4041</v>
      </c>
      <c r="AM1235" s="76"/>
      <c r="AN1235" s="76"/>
      <c r="AO1235" s="76"/>
      <c r="AP1235" s="76"/>
      <c r="AQ1235" s="76"/>
      <c r="AR1235" s="76"/>
      <c r="AS1235" s="76"/>
      <c r="AT1235" s="76"/>
      <c r="AU1235" s="76"/>
      <c r="AV1235" s="76"/>
      <c r="AW1235" s="76"/>
      <c r="AX1235" s="76">
        <f>+AW1235*600000</f>
        <v>0</v>
      </c>
      <c r="AY1235" s="76"/>
      <c r="AZ1235" s="76">
        <f>+AY1235*70000</f>
        <v>0</v>
      </c>
      <c r="BA1235" s="76"/>
      <c r="BB1235" s="76"/>
      <c r="BC1235" s="76"/>
      <c r="BD1235" s="76">
        <f>+BC1235*30000</f>
        <v>0</v>
      </c>
      <c r="BE1235" s="76"/>
      <c r="BF1235" s="76"/>
      <c r="BG1235" s="76"/>
      <c r="BH1235" s="76"/>
      <c r="BI1235" s="76"/>
      <c r="BJ1235" s="76"/>
      <c r="BK1235" s="76"/>
      <c r="BL1235" s="76">
        <f>+BK1235*31500</f>
        <v>0</v>
      </c>
      <c r="BM1235" s="76"/>
      <c r="BN1235" s="76"/>
      <c r="BO1235" s="76"/>
      <c r="BP1235" s="76"/>
      <c r="BQ1235" s="76"/>
      <c r="BR1235" s="76"/>
      <c r="BS1235" s="76"/>
      <c r="BT1235" s="76"/>
      <c r="BU1235" s="76"/>
      <c r="BV1235" s="76"/>
      <c r="BW1235" s="76"/>
      <c r="BX1235" s="76"/>
      <c r="BY1235" s="76"/>
      <c r="BZ1235" s="76"/>
      <c r="CA1235" s="76"/>
      <c r="CB1235" s="76"/>
      <c r="CC1235" s="76"/>
      <c r="CD1235" s="76"/>
      <c r="CE1235" s="76"/>
      <c r="CF1235" s="76">
        <f>+CE1235*28000</f>
        <v>0</v>
      </c>
      <c r="CG1235" s="76"/>
      <c r="CH1235" s="76">
        <f>+CG1235*22500</f>
        <v>0</v>
      </c>
      <c r="CI1235" s="76"/>
      <c r="CJ1235" s="76">
        <f>+CI1235*26000</f>
        <v>0</v>
      </c>
      <c r="CK1235" s="76"/>
      <c r="CL1235" s="76"/>
      <c r="CM1235" s="76"/>
      <c r="CN1235" s="76">
        <f>+CM1235*22000</f>
        <v>0</v>
      </c>
      <c r="CO1235" s="76"/>
      <c r="CP1235" s="76">
        <f>+CO1235*46000</f>
        <v>0</v>
      </c>
      <c r="CQ1235" s="76"/>
      <c r="CR1235" s="76">
        <f>+CQ1235*49000</f>
        <v>0</v>
      </c>
      <c r="CS1235" s="76"/>
      <c r="CT1235" s="76"/>
      <c r="CU1235" s="56">
        <f>AN1235+AP1235+AR1235+AT1235+AV1235+AX1235+AZ1235+BB1235+BD1235+BF1235+BH1235+BJ1235+BL1235+BN1235+BP1235+BR1235+BT1235+BV1235+BX1235+BZ1235+CB1235+CD1235+CF1235+CH1235+CJ1235+CL1235+CN1235+CP1235+CR1235+CT1235</f>
        <v>0</v>
      </c>
      <c r="CV1235" s="76"/>
      <c r="CW1235" s="76">
        <f>+CV1235*1100</f>
        <v>0</v>
      </c>
      <c r="CX1235" s="76"/>
      <c r="CY1235" s="76">
        <f>+CX1235*106250</f>
        <v>0</v>
      </c>
      <c r="CZ1235" s="76"/>
      <c r="DA1235" s="76">
        <f>+CZ1235*34500</f>
        <v>0</v>
      </c>
      <c r="DB1235" s="76"/>
      <c r="DC1235" s="76">
        <f>+DB1235*25000</f>
        <v>0</v>
      </c>
      <c r="DD1235" s="219"/>
      <c r="DE1235" s="219"/>
      <c r="DF1235" s="166"/>
      <c r="DG1235" s="116"/>
      <c r="DH1235" s="117"/>
      <c r="DI1235" s="24"/>
      <c r="DJ1235" s="24"/>
      <c r="DK1235" s="24"/>
      <c r="DL1235" s="24"/>
      <c r="DM1235" s="24"/>
      <c r="DN1235" s="24"/>
      <c r="DO1235" s="24"/>
      <c r="DP1235" s="24"/>
      <c r="DQ1235" s="24"/>
      <c r="DR1235" s="24"/>
      <c r="DS1235" s="24"/>
      <c r="DT1235" s="24"/>
      <c r="DU1235" s="24"/>
    </row>
    <row r="1236" spans="1:125" s="8" customFormat="1" ht="108" x14ac:dyDescent="0.2">
      <c r="A1236" s="77">
        <v>41356</v>
      </c>
      <c r="B1236" s="78" t="s">
        <v>2847</v>
      </c>
      <c r="C1236" s="75" t="s">
        <v>2165</v>
      </c>
      <c r="D1236" s="75" t="s">
        <v>3051</v>
      </c>
      <c r="E1236" s="75" t="str">
        <f>VLOOKUP(B1236&amp;C1236,Divipola!$C$2:$F$1138,4,FALSE)</f>
        <v>68655</v>
      </c>
      <c r="F1236" s="87"/>
      <c r="G1236" s="87"/>
      <c r="H1236" s="87"/>
      <c r="I1236" s="87">
        <v>68</v>
      </c>
      <c r="J1236" s="87">
        <v>17</v>
      </c>
      <c r="K1236" s="87"/>
      <c r="L1236" s="87">
        <v>17</v>
      </c>
      <c r="M1236" s="87"/>
      <c r="N1236" s="87"/>
      <c r="O1236" s="87"/>
      <c r="P1236" s="87"/>
      <c r="Q1236" s="87"/>
      <c r="R1236" s="87"/>
      <c r="S1236" s="87"/>
      <c r="T1236" s="87"/>
      <c r="U1236" s="88">
        <v>40</v>
      </c>
      <c r="V1236" s="89"/>
      <c r="W1236" s="96">
        <v>0</v>
      </c>
      <c r="X1236" s="71">
        <f>CU1236</f>
        <v>0</v>
      </c>
      <c r="Y1236" s="71">
        <f>CY1236</f>
        <v>0</v>
      </c>
      <c r="Z1236" s="71">
        <f>DA1236+DC1236+DE1236</f>
        <v>0</v>
      </c>
      <c r="AA1236" s="71">
        <f>CW1236</f>
        <v>0</v>
      </c>
      <c r="AB1236" s="71"/>
      <c r="AC1236" s="71">
        <v>0</v>
      </c>
      <c r="AD1236" s="71">
        <f>W1236+X1236+Y1236+Z1236+AA1236+AB1236+AC1236</f>
        <v>0</v>
      </c>
      <c r="AE1236" s="72">
        <v>0</v>
      </c>
      <c r="AF1236" s="5"/>
      <c r="AG1236" s="6"/>
      <c r="AH1236" s="27" t="s">
        <v>3392</v>
      </c>
      <c r="AI1236" s="44" t="s">
        <v>3393</v>
      </c>
      <c r="AJ1236" s="26"/>
      <c r="AK1236" s="5"/>
      <c r="AL1236" s="82" t="s">
        <v>4038</v>
      </c>
      <c r="AM1236" s="76"/>
      <c r="AN1236" s="76"/>
      <c r="AO1236" s="76"/>
      <c r="AP1236" s="76"/>
      <c r="AQ1236" s="76"/>
      <c r="AR1236" s="76"/>
      <c r="AS1236" s="76"/>
      <c r="AT1236" s="76"/>
      <c r="AU1236" s="76"/>
      <c r="AV1236" s="76"/>
      <c r="AW1236" s="76"/>
      <c r="AX1236" s="76">
        <f>+AW1236*600000</f>
        <v>0</v>
      </c>
      <c r="AY1236" s="76"/>
      <c r="AZ1236" s="76">
        <f>+AY1236*70000</f>
        <v>0</v>
      </c>
      <c r="BA1236" s="76"/>
      <c r="BB1236" s="76"/>
      <c r="BC1236" s="76"/>
      <c r="BD1236" s="76">
        <f>+BC1236*30000</f>
        <v>0</v>
      </c>
      <c r="BE1236" s="76"/>
      <c r="BF1236" s="76"/>
      <c r="BG1236" s="76"/>
      <c r="BH1236" s="76"/>
      <c r="BI1236" s="76"/>
      <c r="BJ1236" s="76"/>
      <c r="BK1236" s="76"/>
      <c r="BL1236" s="76">
        <f>+BK1236*31500</f>
        <v>0</v>
      </c>
      <c r="BM1236" s="76"/>
      <c r="BN1236" s="76"/>
      <c r="BO1236" s="76"/>
      <c r="BP1236" s="76"/>
      <c r="BQ1236" s="76"/>
      <c r="BR1236" s="76"/>
      <c r="BS1236" s="76"/>
      <c r="BT1236" s="76"/>
      <c r="BU1236" s="76"/>
      <c r="BV1236" s="76"/>
      <c r="BW1236" s="76"/>
      <c r="BX1236" s="76"/>
      <c r="BY1236" s="76"/>
      <c r="BZ1236" s="76"/>
      <c r="CA1236" s="76"/>
      <c r="CB1236" s="76"/>
      <c r="CC1236" s="76"/>
      <c r="CD1236" s="76"/>
      <c r="CE1236" s="76"/>
      <c r="CF1236" s="76">
        <f>+CE1236*28000</f>
        <v>0</v>
      </c>
      <c r="CG1236" s="76"/>
      <c r="CH1236" s="76">
        <f>+CG1236*22500</f>
        <v>0</v>
      </c>
      <c r="CI1236" s="76"/>
      <c r="CJ1236" s="76">
        <f>+CI1236*26000</f>
        <v>0</v>
      </c>
      <c r="CK1236" s="76"/>
      <c r="CL1236" s="76"/>
      <c r="CM1236" s="76"/>
      <c r="CN1236" s="76">
        <f>+CM1236*22000</f>
        <v>0</v>
      </c>
      <c r="CO1236" s="76"/>
      <c r="CP1236" s="76">
        <f>+CO1236*46000</f>
        <v>0</v>
      </c>
      <c r="CQ1236" s="76"/>
      <c r="CR1236" s="76">
        <f>+CQ1236*49000</f>
        <v>0</v>
      </c>
      <c r="CS1236" s="76"/>
      <c r="CT1236" s="76"/>
      <c r="CU1236" s="56">
        <f>AN1236+AP1236+AR1236+AT1236+AV1236+AX1236+AZ1236+BB1236+BD1236+BF1236+BH1236+BJ1236+BL1236+BN1236+BP1236+BR1236+BT1236+BV1236+BX1236+BZ1236+CB1236+CD1236+CF1236+CH1236+CJ1236+CL1236+CN1236+CP1236+CR1236+CT1236</f>
        <v>0</v>
      </c>
      <c r="CV1236" s="76"/>
      <c r="CW1236" s="76">
        <f>+CV1236*1100</f>
        <v>0</v>
      </c>
      <c r="CX1236" s="76"/>
      <c r="CY1236" s="76">
        <f>+CX1236*106250</f>
        <v>0</v>
      </c>
      <c r="CZ1236" s="76"/>
      <c r="DA1236" s="76">
        <f>+CZ1236*34500</f>
        <v>0</v>
      </c>
      <c r="DB1236" s="76"/>
      <c r="DC1236" s="76">
        <f>+DB1236*25000</f>
        <v>0</v>
      </c>
      <c r="DD1236" s="219"/>
      <c r="DE1236" s="219"/>
      <c r="DF1236" s="166"/>
      <c r="DG1236" s="116"/>
      <c r="DH1236" s="117"/>
      <c r="DI1236" s="24"/>
      <c r="DJ1236" s="24"/>
      <c r="DK1236" s="24"/>
      <c r="DL1236" s="24"/>
      <c r="DM1236" s="24"/>
      <c r="DN1236" s="24"/>
      <c r="DO1236" s="24"/>
      <c r="DP1236" s="24"/>
      <c r="DQ1236" s="24"/>
      <c r="DR1236" s="24"/>
      <c r="DS1236" s="24"/>
      <c r="DT1236" s="24"/>
      <c r="DU1236" s="24"/>
    </row>
    <row r="1237" spans="1:125" s="8" customFormat="1" ht="72" x14ac:dyDescent="0.2">
      <c r="A1237" s="77">
        <v>41356</v>
      </c>
      <c r="B1237" s="352" t="s">
        <v>2848</v>
      </c>
      <c r="C1237" s="354" t="s">
        <v>1383</v>
      </c>
      <c r="D1237" s="354" t="s">
        <v>2849</v>
      </c>
      <c r="E1237" s="75" t="str">
        <f>VLOOKUP(B1237&amp;C1237,Divipola!$C$2:$F$1138,4,FALSE)</f>
        <v>73483</v>
      </c>
      <c r="F1237" s="87">
        <v>2</v>
      </c>
      <c r="G1237" s="87">
        <v>17</v>
      </c>
      <c r="H1237" s="87"/>
      <c r="I1237" s="87">
        <v>19</v>
      </c>
      <c r="J1237" s="87"/>
      <c r="K1237" s="87"/>
      <c r="L1237" s="87"/>
      <c r="M1237" s="87"/>
      <c r="N1237" s="87"/>
      <c r="O1237" s="87"/>
      <c r="P1237" s="87"/>
      <c r="Q1237" s="87"/>
      <c r="R1237" s="87"/>
      <c r="S1237" s="87"/>
      <c r="T1237" s="87"/>
      <c r="U1237" s="88"/>
      <c r="V1237" s="89"/>
      <c r="W1237" s="96">
        <v>0</v>
      </c>
      <c r="X1237" s="71">
        <f>CU1237</f>
        <v>0</v>
      </c>
      <c r="Y1237" s="71">
        <f>CY1237</f>
        <v>0</v>
      </c>
      <c r="Z1237" s="71">
        <f>DA1237+DC1237+DE1237</f>
        <v>0</v>
      </c>
      <c r="AA1237" s="71">
        <f>CW1237</f>
        <v>0</v>
      </c>
      <c r="AB1237" s="71"/>
      <c r="AC1237" s="71">
        <v>0</v>
      </c>
      <c r="AD1237" s="71">
        <f>W1237+X1237+Y1237+Z1237+AA1237+AB1237+AC1237</f>
        <v>0</v>
      </c>
      <c r="AE1237" s="72">
        <v>0</v>
      </c>
      <c r="AF1237" s="5"/>
      <c r="AG1237" s="6"/>
      <c r="AH1237" s="27" t="s">
        <v>3392</v>
      </c>
      <c r="AI1237" s="44" t="s">
        <v>3393</v>
      </c>
      <c r="AJ1237" s="26"/>
      <c r="AK1237" s="5"/>
      <c r="AL1237" s="82" t="s">
        <v>4039</v>
      </c>
      <c r="AM1237" s="76"/>
      <c r="AN1237" s="76"/>
      <c r="AO1237" s="76"/>
      <c r="AP1237" s="76"/>
      <c r="AQ1237" s="76"/>
      <c r="AR1237" s="76"/>
      <c r="AS1237" s="76"/>
      <c r="AT1237" s="76"/>
      <c r="AU1237" s="76"/>
      <c r="AV1237" s="76"/>
      <c r="AW1237" s="76"/>
      <c r="AX1237" s="76">
        <f>+AW1237*600000</f>
        <v>0</v>
      </c>
      <c r="AY1237" s="76"/>
      <c r="AZ1237" s="76">
        <f>+AY1237*70000</f>
        <v>0</v>
      </c>
      <c r="BA1237" s="76"/>
      <c r="BB1237" s="76"/>
      <c r="BC1237" s="76"/>
      <c r="BD1237" s="76">
        <f>+BC1237*30000</f>
        <v>0</v>
      </c>
      <c r="BE1237" s="76"/>
      <c r="BF1237" s="76"/>
      <c r="BG1237" s="76"/>
      <c r="BH1237" s="76"/>
      <c r="BI1237" s="76"/>
      <c r="BJ1237" s="76"/>
      <c r="BK1237" s="76"/>
      <c r="BL1237" s="76">
        <f>+BK1237*31500</f>
        <v>0</v>
      </c>
      <c r="BM1237" s="76"/>
      <c r="BN1237" s="76"/>
      <c r="BO1237" s="76"/>
      <c r="BP1237" s="76"/>
      <c r="BQ1237" s="76"/>
      <c r="BR1237" s="76"/>
      <c r="BS1237" s="76"/>
      <c r="BT1237" s="76"/>
      <c r="BU1237" s="76"/>
      <c r="BV1237" s="76"/>
      <c r="BW1237" s="76"/>
      <c r="BX1237" s="76"/>
      <c r="BY1237" s="76"/>
      <c r="BZ1237" s="76"/>
      <c r="CA1237" s="76"/>
      <c r="CB1237" s="76"/>
      <c r="CC1237" s="76"/>
      <c r="CD1237" s="76"/>
      <c r="CE1237" s="76"/>
      <c r="CF1237" s="76">
        <f>+CE1237*28000</f>
        <v>0</v>
      </c>
      <c r="CG1237" s="76"/>
      <c r="CH1237" s="76">
        <f>+CG1237*22500</f>
        <v>0</v>
      </c>
      <c r="CI1237" s="76"/>
      <c r="CJ1237" s="76">
        <f>+CI1237*26000</f>
        <v>0</v>
      </c>
      <c r="CK1237" s="76"/>
      <c r="CL1237" s="76"/>
      <c r="CM1237" s="76"/>
      <c r="CN1237" s="76">
        <f>+CM1237*22000</f>
        <v>0</v>
      </c>
      <c r="CO1237" s="76"/>
      <c r="CP1237" s="76">
        <f>+CO1237*46000</f>
        <v>0</v>
      </c>
      <c r="CQ1237" s="76"/>
      <c r="CR1237" s="76">
        <f>+CQ1237*49000</f>
        <v>0</v>
      </c>
      <c r="CS1237" s="76"/>
      <c r="CT1237" s="76"/>
      <c r="CU1237" s="56">
        <f>AN1237+AP1237+AR1237+AT1237+AV1237+AX1237+AZ1237+BB1237+BD1237+BF1237+BH1237+BJ1237+BL1237+BN1237+BP1237+BR1237+BT1237+BV1237+BX1237+BZ1237+CB1237+CD1237+CF1237+CH1237+CJ1237+CL1237+CN1237+CP1237+CR1237+CT1237</f>
        <v>0</v>
      </c>
      <c r="CV1237" s="76"/>
      <c r="CW1237" s="76">
        <f>+CV1237*1100</f>
        <v>0</v>
      </c>
      <c r="CX1237" s="76"/>
      <c r="CY1237" s="76">
        <f>+CX1237*106250</f>
        <v>0</v>
      </c>
      <c r="CZ1237" s="76"/>
      <c r="DA1237" s="76">
        <f>+CZ1237*34500</f>
        <v>0</v>
      </c>
      <c r="DB1237" s="76"/>
      <c r="DC1237" s="76">
        <f>+DB1237*25000</f>
        <v>0</v>
      </c>
      <c r="DD1237" s="219"/>
      <c r="DE1237" s="219"/>
      <c r="DF1237" s="166"/>
      <c r="DG1237" s="116"/>
      <c r="DH1237" s="117"/>
      <c r="DI1237" s="24"/>
      <c r="DJ1237" s="24"/>
      <c r="DK1237" s="24"/>
      <c r="DL1237" s="24"/>
      <c r="DM1237" s="24"/>
      <c r="DN1237" s="24"/>
      <c r="DO1237" s="24"/>
      <c r="DP1237" s="24"/>
      <c r="DQ1237" s="24"/>
      <c r="DR1237" s="24"/>
      <c r="DS1237" s="24"/>
      <c r="DT1237" s="24"/>
      <c r="DU1237" s="24"/>
    </row>
    <row r="1238" spans="1:125" s="8" customFormat="1" ht="72" x14ac:dyDescent="0.2">
      <c r="A1238" s="77">
        <v>41356</v>
      </c>
      <c r="B1238" s="225" t="s">
        <v>2848</v>
      </c>
      <c r="C1238" s="227" t="s">
        <v>1915</v>
      </c>
      <c r="D1238" s="84" t="s">
        <v>3088</v>
      </c>
      <c r="E1238" s="75" t="str">
        <f>VLOOKUP(B1238&amp;C1238,Divipola!$C$2:$F$1138,4,FALSE)</f>
        <v>73686</v>
      </c>
      <c r="F1238" s="87"/>
      <c r="G1238" s="87"/>
      <c r="H1238" s="87"/>
      <c r="I1238" s="87"/>
      <c r="J1238" s="87"/>
      <c r="K1238" s="87"/>
      <c r="L1238" s="87"/>
      <c r="M1238" s="87"/>
      <c r="N1238" s="87"/>
      <c r="O1238" s="87"/>
      <c r="P1238" s="87"/>
      <c r="Q1238" s="87"/>
      <c r="R1238" s="87"/>
      <c r="S1238" s="87"/>
      <c r="T1238" s="87"/>
      <c r="U1238" s="88"/>
      <c r="V1238" s="89"/>
      <c r="W1238" s="96">
        <v>0</v>
      </c>
      <c r="X1238" s="71">
        <f>CU1238</f>
        <v>0</v>
      </c>
      <c r="Y1238" s="71">
        <f>CY1238</f>
        <v>0</v>
      </c>
      <c r="Z1238" s="71">
        <f>DA1238+DC1238+DE1238</f>
        <v>0</v>
      </c>
      <c r="AA1238" s="71">
        <f>CW1238</f>
        <v>0</v>
      </c>
      <c r="AB1238" s="71"/>
      <c r="AC1238" s="71">
        <v>0</v>
      </c>
      <c r="AD1238" s="71">
        <f>W1238+X1238+Y1238+Z1238+AA1238+AB1238+AC1238</f>
        <v>0</v>
      </c>
      <c r="AE1238" s="72">
        <v>0</v>
      </c>
      <c r="AF1238" s="5"/>
      <c r="AG1238" s="6"/>
      <c r="AH1238" s="27" t="s">
        <v>3392</v>
      </c>
      <c r="AI1238" s="44" t="s">
        <v>3393</v>
      </c>
      <c r="AJ1238" s="26"/>
      <c r="AK1238" s="5"/>
      <c r="AL1238" s="82" t="s">
        <v>4040</v>
      </c>
      <c r="AM1238" s="76"/>
      <c r="AN1238" s="76"/>
      <c r="AO1238" s="76"/>
      <c r="AP1238" s="76"/>
      <c r="AQ1238" s="76"/>
      <c r="AR1238" s="76"/>
      <c r="AS1238" s="76"/>
      <c r="AT1238" s="76"/>
      <c r="AU1238" s="76"/>
      <c r="AV1238" s="76"/>
      <c r="AW1238" s="76"/>
      <c r="AX1238" s="76">
        <f>+AW1238*600000</f>
        <v>0</v>
      </c>
      <c r="AY1238" s="76"/>
      <c r="AZ1238" s="76">
        <f>+AY1238*70000</f>
        <v>0</v>
      </c>
      <c r="BA1238" s="76"/>
      <c r="BB1238" s="76"/>
      <c r="BC1238" s="76"/>
      <c r="BD1238" s="76">
        <f>+BC1238*30000</f>
        <v>0</v>
      </c>
      <c r="BE1238" s="76"/>
      <c r="BF1238" s="76"/>
      <c r="BG1238" s="76"/>
      <c r="BH1238" s="76"/>
      <c r="BI1238" s="76"/>
      <c r="BJ1238" s="76"/>
      <c r="BK1238" s="76"/>
      <c r="BL1238" s="76">
        <f>+BK1238*31500</f>
        <v>0</v>
      </c>
      <c r="BM1238" s="76"/>
      <c r="BN1238" s="76"/>
      <c r="BO1238" s="76"/>
      <c r="BP1238" s="76"/>
      <c r="BQ1238" s="76"/>
      <c r="BR1238" s="76"/>
      <c r="BS1238" s="76"/>
      <c r="BT1238" s="76"/>
      <c r="BU1238" s="76"/>
      <c r="BV1238" s="76"/>
      <c r="BW1238" s="76"/>
      <c r="BX1238" s="76"/>
      <c r="BY1238" s="76"/>
      <c r="BZ1238" s="76"/>
      <c r="CA1238" s="76"/>
      <c r="CB1238" s="76"/>
      <c r="CC1238" s="76"/>
      <c r="CD1238" s="76"/>
      <c r="CE1238" s="76"/>
      <c r="CF1238" s="76">
        <f>+CE1238*28000</f>
        <v>0</v>
      </c>
      <c r="CG1238" s="76"/>
      <c r="CH1238" s="76">
        <f>+CG1238*22500</f>
        <v>0</v>
      </c>
      <c r="CI1238" s="76"/>
      <c r="CJ1238" s="76">
        <f>+CI1238*26000</f>
        <v>0</v>
      </c>
      <c r="CK1238" s="76"/>
      <c r="CL1238" s="76"/>
      <c r="CM1238" s="76"/>
      <c r="CN1238" s="76">
        <f>+CM1238*22000</f>
        <v>0</v>
      </c>
      <c r="CO1238" s="76"/>
      <c r="CP1238" s="76">
        <f>+CO1238*46000</f>
        <v>0</v>
      </c>
      <c r="CQ1238" s="76"/>
      <c r="CR1238" s="76">
        <f>+CQ1238*49000</f>
        <v>0</v>
      </c>
      <c r="CS1238" s="76"/>
      <c r="CT1238" s="76"/>
      <c r="CU1238" s="56">
        <f>AN1238+AP1238+AR1238+AT1238+AV1238+AX1238+AZ1238+BB1238+BD1238+BF1238+BH1238+BJ1238+BL1238+BN1238+BP1238+BR1238+BT1238+BV1238+BX1238+BZ1238+CB1238+CD1238+CF1238+CH1238+CJ1238+CL1238+CN1238+CP1238+CR1238+CT1238</f>
        <v>0</v>
      </c>
      <c r="CV1238" s="76"/>
      <c r="CW1238" s="76">
        <f>+CV1238*1100</f>
        <v>0</v>
      </c>
      <c r="CX1238" s="76"/>
      <c r="CY1238" s="76">
        <f>+CX1238*106250</f>
        <v>0</v>
      </c>
      <c r="CZ1238" s="76"/>
      <c r="DA1238" s="76">
        <f>+CZ1238*34500</f>
        <v>0</v>
      </c>
      <c r="DB1238" s="76"/>
      <c r="DC1238" s="76">
        <f>+DB1238*25000</f>
        <v>0</v>
      </c>
      <c r="DD1238" s="219"/>
      <c r="DE1238" s="219"/>
      <c r="DF1238" s="166"/>
      <c r="DG1238" s="116"/>
      <c r="DH1238" s="117"/>
      <c r="DI1238" s="24"/>
      <c r="DJ1238" s="24"/>
      <c r="DK1238" s="24"/>
      <c r="DL1238" s="24"/>
      <c r="DM1238" s="24"/>
      <c r="DN1238" s="24"/>
      <c r="DO1238" s="24"/>
      <c r="DP1238" s="24"/>
      <c r="DQ1238" s="24"/>
      <c r="DR1238" s="24"/>
      <c r="DS1238" s="24"/>
      <c r="DT1238" s="24"/>
      <c r="DU1238" s="24"/>
    </row>
    <row r="1239" spans="1:125" s="8" customFormat="1" ht="48" x14ac:dyDescent="0.2">
      <c r="A1239" s="226">
        <v>41357</v>
      </c>
      <c r="B1239" s="225" t="s">
        <v>2700</v>
      </c>
      <c r="C1239" s="227" t="s">
        <v>1564</v>
      </c>
      <c r="D1239" s="81" t="s">
        <v>2846</v>
      </c>
      <c r="E1239" s="75" t="str">
        <f>VLOOKUP(B1239&amp;C1239,Divipola!$C$2:$F$1138,4,FALSE)</f>
        <v>15047</v>
      </c>
      <c r="F1239" s="87"/>
      <c r="G1239" s="87"/>
      <c r="H1239" s="87"/>
      <c r="I1239" s="87"/>
      <c r="J1239" s="87"/>
      <c r="K1239" s="87"/>
      <c r="L1239" s="87"/>
      <c r="M1239" s="87"/>
      <c r="N1239" s="87"/>
      <c r="O1239" s="87"/>
      <c r="P1239" s="87"/>
      <c r="Q1239" s="87"/>
      <c r="R1239" s="87"/>
      <c r="S1239" s="87"/>
      <c r="T1239" s="87"/>
      <c r="U1239" s="88">
        <v>1</v>
      </c>
      <c r="V1239" s="89"/>
      <c r="W1239" s="96">
        <v>0</v>
      </c>
      <c r="X1239" s="71">
        <f>CU1239</f>
        <v>0</v>
      </c>
      <c r="Y1239" s="71">
        <f>CY1239</f>
        <v>0</v>
      </c>
      <c r="Z1239" s="71">
        <f>DA1239+DC1239+DE1239</f>
        <v>0</v>
      </c>
      <c r="AA1239" s="71">
        <f>CW1239</f>
        <v>0</v>
      </c>
      <c r="AB1239" s="71"/>
      <c r="AC1239" s="71">
        <v>0</v>
      </c>
      <c r="AD1239" s="71">
        <f>W1239+X1239+Y1239+Z1239+AA1239+AB1239+AC1239</f>
        <v>0</v>
      </c>
      <c r="AE1239" s="72">
        <v>0</v>
      </c>
      <c r="AF1239" s="5"/>
      <c r="AG1239" s="6"/>
      <c r="AH1239" s="27" t="s">
        <v>3392</v>
      </c>
      <c r="AI1239" s="44" t="s">
        <v>3393</v>
      </c>
      <c r="AJ1239" s="26"/>
      <c r="AK1239" s="5"/>
      <c r="AL1239" s="82" t="s">
        <v>4044</v>
      </c>
      <c r="AM1239" s="76"/>
      <c r="AN1239" s="76"/>
      <c r="AO1239" s="76"/>
      <c r="AP1239" s="76"/>
      <c r="AQ1239" s="76"/>
      <c r="AR1239" s="76"/>
      <c r="AS1239" s="76"/>
      <c r="AT1239" s="76"/>
      <c r="AU1239" s="76"/>
      <c r="AV1239" s="76"/>
      <c r="AW1239" s="76"/>
      <c r="AX1239" s="76">
        <f>+AW1239*600000</f>
        <v>0</v>
      </c>
      <c r="AY1239" s="76"/>
      <c r="AZ1239" s="76">
        <f>+AY1239*70000</f>
        <v>0</v>
      </c>
      <c r="BA1239" s="76"/>
      <c r="BB1239" s="76"/>
      <c r="BC1239" s="76"/>
      <c r="BD1239" s="76">
        <f>+BC1239*30000</f>
        <v>0</v>
      </c>
      <c r="BE1239" s="76"/>
      <c r="BF1239" s="76"/>
      <c r="BG1239" s="76"/>
      <c r="BH1239" s="76"/>
      <c r="BI1239" s="76"/>
      <c r="BJ1239" s="76"/>
      <c r="BK1239" s="76"/>
      <c r="BL1239" s="76">
        <f>+BK1239*31500</f>
        <v>0</v>
      </c>
      <c r="BM1239" s="76"/>
      <c r="BN1239" s="76"/>
      <c r="BO1239" s="76"/>
      <c r="BP1239" s="76"/>
      <c r="BQ1239" s="76"/>
      <c r="BR1239" s="76"/>
      <c r="BS1239" s="76"/>
      <c r="BT1239" s="76"/>
      <c r="BU1239" s="76"/>
      <c r="BV1239" s="76"/>
      <c r="BW1239" s="76"/>
      <c r="BX1239" s="76"/>
      <c r="BY1239" s="76"/>
      <c r="BZ1239" s="76"/>
      <c r="CA1239" s="76"/>
      <c r="CB1239" s="76"/>
      <c r="CC1239" s="76"/>
      <c r="CD1239" s="76"/>
      <c r="CE1239" s="76"/>
      <c r="CF1239" s="76">
        <f>+CE1239*28000</f>
        <v>0</v>
      </c>
      <c r="CG1239" s="76"/>
      <c r="CH1239" s="76">
        <f>+CG1239*22500</f>
        <v>0</v>
      </c>
      <c r="CI1239" s="76"/>
      <c r="CJ1239" s="76">
        <f>+CI1239*26000</f>
        <v>0</v>
      </c>
      <c r="CK1239" s="76"/>
      <c r="CL1239" s="76"/>
      <c r="CM1239" s="76"/>
      <c r="CN1239" s="76">
        <f>+CM1239*22000</f>
        <v>0</v>
      </c>
      <c r="CO1239" s="76"/>
      <c r="CP1239" s="76">
        <f>+CO1239*46000</f>
        <v>0</v>
      </c>
      <c r="CQ1239" s="76"/>
      <c r="CR1239" s="76">
        <f>+CQ1239*49000</f>
        <v>0</v>
      </c>
      <c r="CS1239" s="76"/>
      <c r="CT1239" s="76"/>
      <c r="CU1239" s="56">
        <f>AN1239+AP1239+AR1239+AT1239+AV1239+AX1239+AZ1239+BB1239+BD1239+BF1239+BH1239+BJ1239+BL1239+BN1239+BP1239+BR1239+BT1239+BV1239+BX1239+BZ1239+CB1239+CD1239+CF1239+CH1239+CJ1239+CL1239+CN1239+CP1239+CR1239+CT1239</f>
        <v>0</v>
      </c>
      <c r="CV1239" s="76"/>
      <c r="CW1239" s="76">
        <f>+CV1239*1100</f>
        <v>0</v>
      </c>
      <c r="CX1239" s="76"/>
      <c r="CY1239" s="76">
        <f>+CX1239*106250</f>
        <v>0</v>
      </c>
      <c r="CZ1239" s="76"/>
      <c r="DA1239" s="76">
        <f>+CZ1239*34500</f>
        <v>0</v>
      </c>
      <c r="DB1239" s="76"/>
      <c r="DC1239" s="76">
        <f>+DB1239*25000</f>
        <v>0</v>
      </c>
      <c r="DD1239" s="219"/>
      <c r="DE1239" s="219"/>
      <c r="DF1239" s="166"/>
      <c r="DG1239" s="116"/>
      <c r="DH1239" s="117"/>
      <c r="DI1239" s="24"/>
      <c r="DJ1239" s="24"/>
      <c r="DK1239" s="24"/>
      <c r="DL1239" s="24"/>
      <c r="DM1239" s="24"/>
      <c r="DN1239" s="24"/>
      <c r="DO1239" s="24"/>
      <c r="DP1239" s="24"/>
      <c r="DQ1239" s="24"/>
      <c r="DR1239" s="24"/>
      <c r="DS1239" s="24"/>
      <c r="DT1239" s="24"/>
      <c r="DU1239" s="24"/>
    </row>
    <row r="1240" spans="1:125" s="8" customFormat="1" ht="216" x14ac:dyDescent="0.2">
      <c r="A1240" s="226">
        <v>41357</v>
      </c>
      <c r="B1240" s="352" t="s">
        <v>1764</v>
      </c>
      <c r="C1240" s="354" t="s">
        <v>1764</v>
      </c>
      <c r="D1240" s="354" t="s">
        <v>2142</v>
      </c>
      <c r="E1240" s="75" t="str">
        <f>VLOOKUP(B1240&amp;C1240,Divipola!$C$2:$F$1138,4,FALSE)</f>
        <v>88001</v>
      </c>
      <c r="F1240" s="87"/>
      <c r="G1240" s="87"/>
      <c r="H1240" s="87"/>
      <c r="I1240" s="87"/>
      <c r="J1240" s="87"/>
      <c r="K1240" s="87"/>
      <c r="L1240" s="87"/>
      <c r="M1240" s="87"/>
      <c r="N1240" s="87"/>
      <c r="O1240" s="87"/>
      <c r="P1240" s="87"/>
      <c r="Q1240" s="87"/>
      <c r="R1240" s="87"/>
      <c r="S1240" s="87"/>
      <c r="T1240" s="87"/>
      <c r="U1240" s="88"/>
      <c r="V1240" s="89"/>
      <c r="W1240" s="96">
        <v>0</v>
      </c>
      <c r="X1240" s="71">
        <f>CU1240</f>
        <v>0</v>
      </c>
      <c r="Y1240" s="71">
        <f>CY1240</f>
        <v>0</v>
      </c>
      <c r="Z1240" s="71">
        <f>DA1240+DC1240+DE1240</f>
        <v>0</v>
      </c>
      <c r="AA1240" s="71">
        <f>CW1240</f>
        <v>0</v>
      </c>
      <c r="AB1240" s="71"/>
      <c r="AC1240" s="71">
        <v>0</v>
      </c>
      <c r="AD1240" s="71">
        <f>W1240+X1240+Y1240+Z1240+AA1240+AB1240+AC1240</f>
        <v>0</v>
      </c>
      <c r="AE1240" s="72">
        <v>0</v>
      </c>
      <c r="AF1240" s="5"/>
      <c r="AG1240" s="6"/>
      <c r="AH1240" s="27" t="s">
        <v>3392</v>
      </c>
      <c r="AI1240" s="44" t="s">
        <v>3393</v>
      </c>
      <c r="AJ1240" s="26"/>
      <c r="AK1240" s="5"/>
      <c r="AL1240" s="82" t="s">
        <v>4047</v>
      </c>
      <c r="AM1240" s="76"/>
      <c r="AN1240" s="76"/>
      <c r="AO1240" s="76"/>
      <c r="AP1240" s="76"/>
      <c r="AQ1240" s="76"/>
      <c r="AR1240" s="76"/>
      <c r="AS1240" s="76"/>
      <c r="AT1240" s="76"/>
      <c r="AU1240" s="76"/>
      <c r="AV1240" s="76"/>
      <c r="AW1240" s="76"/>
      <c r="AX1240" s="76">
        <f>+AW1240*600000</f>
        <v>0</v>
      </c>
      <c r="AY1240" s="76"/>
      <c r="AZ1240" s="76">
        <f>+AY1240*70000</f>
        <v>0</v>
      </c>
      <c r="BA1240" s="76"/>
      <c r="BB1240" s="76"/>
      <c r="BC1240" s="76"/>
      <c r="BD1240" s="76">
        <f>+BC1240*30000</f>
        <v>0</v>
      </c>
      <c r="BE1240" s="76"/>
      <c r="BF1240" s="76"/>
      <c r="BG1240" s="76"/>
      <c r="BH1240" s="76"/>
      <c r="BI1240" s="76"/>
      <c r="BJ1240" s="76"/>
      <c r="BK1240" s="76"/>
      <c r="BL1240" s="76">
        <f>+BK1240*31500</f>
        <v>0</v>
      </c>
      <c r="BM1240" s="76"/>
      <c r="BN1240" s="76"/>
      <c r="BO1240" s="76"/>
      <c r="BP1240" s="76"/>
      <c r="BQ1240" s="76"/>
      <c r="BR1240" s="76"/>
      <c r="BS1240" s="76"/>
      <c r="BT1240" s="76"/>
      <c r="BU1240" s="76"/>
      <c r="BV1240" s="76"/>
      <c r="BW1240" s="76"/>
      <c r="BX1240" s="76"/>
      <c r="BY1240" s="76"/>
      <c r="BZ1240" s="76"/>
      <c r="CA1240" s="76"/>
      <c r="CB1240" s="76"/>
      <c r="CC1240" s="76"/>
      <c r="CD1240" s="76"/>
      <c r="CE1240" s="76"/>
      <c r="CF1240" s="76">
        <f>+CE1240*28000</f>
        <v>0</v>
      </c>
      <c r="CG1240" s="76"/>
      <c r="CH1240" s="76">
        <f>+CG1240*22500</f>
        <v>0</v>
      </c>
      <c r="CI1240" s="76"/>
      <c r="CJ1240" s="76">
        <f>+CI1240*26000</f>
        <v>0</v>
      </c>
      <c r="CK1240" s="76"/>
      <c r="CL1240" s="76"/>
      <c r="CM1240" s="76"/>
      <c r="CN1240" s="76">
        <f>+CM1240*22000</f>
        <v>0</v>
      </c>
      <c r="CO1240" s="76"/>
      <c r="CP1240" s="76">
        <f>+CO1240*46000</f>
        <v>0</v>
      </c>
      <c r="CQ1240" s="76"/>
      <c r="CR1240" s="76">
        <f>+CQ1240*49000</f>
        <v>0</v>
      </c>
      <c r="CS1240" s="76"/>
      <c r="CT1240" s="76"/>
      <c r="CU1240" s="56">
        <f>AN1240+AP1240+AR1240+AT1240+AV1240+AX1240+AZ1240+BB1240+BD1240+BF1240+BH1240+BJ1240+BL1240+BN1240+BP1240+BR1240+BT1240+BV1240+BX1240+BZ1240+CB1240+CD1240+CF1240+CH1240+CJ1240+CL1240+CN1240+CP1240+CR1240+CT1240</f>
        <v>0</v>
      </c>
      <c r="CV1240" s="76"/>
      <c r="CW1240" s="76">
        <f>+CV1240*1100</f>
        <v>0</v>
      </c>
      <c r="CX1240" s="76"/>
      <c r="CY1240" s="76">
        <f>+CX1240*106250</f>
        <v>0</v>
      </c>
      <c r="CZ1240" s="76"/>
      <c r="DA1240" s="76">
        <f>+CZ1240*34500</f>
        <v>0</v>
      </c>
      <c r="DB1240" s="76"/>
      <c r="DC1240" s="76">
        <f>+DB1240*25000</f>
        <v>0</v>
      </c>
      <c r="DD1240" s="219"/>
      <c r="DE1240" s="219"/>
      <c r="DF1240" s="166"/>
      <c r="DG1240" s="116"/>
      <c r="DH1240" s="117"/>
      <c r="DI1240" s="24"/>
      <c r="DJ1240" s="24"/>
      <c r="DK1240" s="24"/>
      <c r="DL1240" s="24"/>
      <c r="DM1240" s="24"/>
      <c r="DN1240" s="24"/>
      <c r="DO1240" s="24"/>
      <c r="DP1240" s="24"/>
      <c r="DQ1240" s="24"/>
      <c r="DR1240" s="24"/>
      <c r="DS1240" s="24"/>
      <c r="DT1240" s="24"/>
      <c r="DU1240" s="24"/>
    </row>
    <row r="1241" spans="1:125" s="8" customFormat="1" ht="132" x14ac:dyDescent="0.2">
      <c r="A1241" s="226">
        <v>41357</v>
      </c>
      <c r="B1241" s="352" t="s">
        <v>2847</v>
      </c>
      <c r="C1241" s="354" t="s">
        <v>355</v>
      </c>
      <c r="D1241" s="81" t="s">
        <v>2846</v>
      </c>
      <c r="E1241" s="75" t="str">
        <f>VLOOKUP(B1241&amp;C1241,Divipola!$C$2:$F$1138,4,FALSE)</f>
        <v>68296</v>
      </c>
      <c r="F1241" s="87"/>
      <c r="G1241" s="87"/>
      <c r="H1241" s="87"/>
      <c r="I1241" s="87"/>
      <c r="J1241" s="87"/>
      <c r="K1241" s="87"/>
      <c r="L1241" s="87"/>
      <c r="M1241" s="87"/>
      <c r="N1241" s="87"/>
      <c r="O1241" s="87"/>
      <c r="P1241" s="87"/>
      <c r="Q1241" s="87"/>
      <c r="R1241" s="87"/>
      <c r="S1241" s="87"/>
      <c r="T1241" s="87"/>
      <c r="U1241" s="88">
        <v>5</v>
      </c>
      <c r="V1241" s="89"/>
      <c r="W1241" s="96">
        <v>0</v>
      </c>
      <c r="X1241" s="71">
        <f>CU1241</f>
        <v>0</v>
      </c>
      <c r="Y1241" s="71">
        <f>CY1241</f>
        <v>0</v>
      </c>
      <c r="Z1241" s="71">
        <f>DA1241+DC1241+DE1241</f>
        <v>0</v>
      </c>
      <c r="AA1241" s="71">
        <f>CW1241</f>
        <v>0</v>
      </c>
      <c r="AB1241" s="71"/>
      <c r="AC1241" s="71">
        <v>0</v>
      </c>
      <c r="AD1241" s="71">
        <f>W1241+X1241+Y1241+Z1241+AA1241+AB1241+AC1241</f>
        <v>0</v>
      </c>
      <c r="AE1241" s="72">
        <v>0</v>
      </c>
      <c r="AF1241" s="5"/>
      <c r="AG1241" s="6"/>
      <c r="AH1241" s="27" t="s">
        <v>3392</v>
      </c>
      <c r="AI1241" s="44" t="s">
        <v>3393</v>
      </c>
      <c r="AJ1241" s="26"/>
      <c r="AK1241" s="5"/>
      <c r="AL1241" s="82" t="s">
        <v>4046</v>
      </c>
      <c r="AM1241" s="76"/>
      <c r="AN1241" s="76"/>
      <c r="AO1241" s="76"/>
      <c r="AP1241" s="76"/>
      <c r="AQ1241" s="76"/>
      <c r="AR1241" s="76"/>
      <c r="AS1241" s="76"/>
      <c r="AT1241" s="76"/>
      <c r="AU1241" s="76"/>
      <c r="AV1241" s="76"/>
      <c r="AW1241" s="76"/>
      <c r="AX1241" s="76">
        <f>+AW1241*600000</f>
        <v>0</v>
      </c>
      <c r="AY1241" s="76"/>
      <c r="AZ1241" s="76">
        <f>+AY1241*70000</f>
        <v>0</v>
      </c>
      <c r="BA1241" s="76"/>
      <c r="BB1241" s="76"/>
      <c r="BC1241" s="76"/>
      <c r="BD1241" s="76">
        <f>+BC1241*30000</f>
        <v>0</v>
      </c>
      <c r="BE1241" s="76"/>
      <c r="BF1241" s="76"/>
      <c r="BG1241" s="76"/>
      <c r="BH1241" s="76"/>
      <c r="BI1241" s="76"/>
      <c r="BJ1241" s="76"/>
      <c r="BK1241" s="76"/>
      <c r="BL1241" s="76">
        <f>+BK1241*31500</f>
        <v>0</v>
      </c>
      <c r="BM1241" s="76"/>
      <c r="BN1241" s="76"/>
      <c r="BO1241" s="76"/>
      <c r="BP1241" s="76"/>
      <c r="BQ1241" s="76"/>
      <c r="BR1241" s="76"/>
      <c r="BS1241" s="76"/>
      <c r="BT1241" s="76"/>
      <c r="BU1241" s="76"/>
      <c r="BV1241" s="76"/>
      <c r="BW1241" s="76"/>
      <c r="BX1241" s="76"/>
      <c r="BY1241" s="76"/>
      <c r="BZ1241" s="76"/>
      <c r="CA1241" s="76"/>
      <c r="CB1241" s="76"/>
      <c r="CC1241" s="76"/>
      <c r="CD1241" s="76"/>
      <c r="CE1241" s="76"/>
      <c r="CF1241" s="76">
        <f>+CE1241*28000</f>
        <v>0</v>
      </c>
      <c r="CG1241" s="76"/>
      <c r="CH1241" s="76">
        <f>+CG1241*22500</f>
        <v>0</v>
      </c>
      <c r="CI1241" s="76"/>
      <c r="CJ1241" s="76">
        <f>+CI1241*26000</f>
        <v>0</v>
      </c>
      <c r="CK1241" s="76"/>
      <c r="CL1241" s="76"/>
      <c r="CM1241" s="76"/>
      <c r="CN1241" s="76">
        <f>+CM1241*22000</f>
        <v>0</v>
      </c>
      <c r="CO1241" s="76"/>
      <c r="CP1241" s="76">
        <f>+CO1241*46000</f>
        <v>0</v>
      </c>
      <c r="CQ1241" s="76"/>
      <c r="CR1241" s="76">
        <f>+CQ1241*49000</f>
        <v>0</v>
      </c>
      <c r="CS1241" s="76"/>
      <c r="CT1241" s="76"/>
      <c r="CU1241" s="56">
        <f>AN1241+AP1241+AR1241+AT1241+AV1241+AX1241+AZ1241+BB1241+BD1241+BF1241+BH1241+BJ1241+BL1241+BN1241+BP1241+BR1241+BT1241+BV1241+BX1241+BZ1241+CB1241+CD1241+CF1241+CH1241+CJ1241+CL1241+CN1241+CP1241+CR1241+CT1241</f>
        <v>0</v>
      </c>
      <c r="CV1241" s="76"/>
      <c r="CW1241" s="76">
        <f>+CV1241*1100</f>
        <v>0</v>
      </c>
      <c r="CX1241" s="76"/>
      <c r="CY1241" s="76">
        <f>+CX1241*106250</f>
        <v>0</v>
      </c>
      <c r="CZ1241" s="76"/>
      <c r="DA1241" s="76">
        <f>+CZ1241*34500</f>
        <v>0</v>
      </c>
      <c r="DB1241" s="76"/>
      <c r="DC1241" s="76">
        <f>+DB1241*25000</f>
        <v>0</v>
      </c>
      <c r="DD1241" s="219"/>
      <c r="DE1241" s="219"/>
      <c r="DF1241" s="166"/>
      <c r="DG1241" s="116"/>
      <c r="DH1241" s="117"/>
      <c r="DI1241" s="24"/>
      <c r="DJ1241" s="24"/>
      <c r="DK1241" s="24"/>
      <c r="DL1241" s="24"/>
      <c r="DM1241" s="24"/>
      <c r="DN1241" s="24"/>
      <c r="DO1241" s="24"/>
      <c r="DP1241" s="24"/>
      <c r="DQ1241" s="24"/>
      <c r="DR1241" s="24"/>
      <c r="DS1241" s="24"/>
      <c r="DT1241" s="24"/>
      <c r="DU1241" s="24"/>
    </row>
    <row r="1242" spans="1:125" s="8" customFormat="1" ht="192" x14ac:dyDescent="0.2">
      <c r="A1242" s="226">
        <v>41357</v>
      </c>
      <c r="B1242" s="225" t="s">
        <v>2848</v>
      </c>
      <c r="C1242" s="227" t="s">
        <v>2211</v>
      </c>
      <c r="D1242" s="227" t="s">
        <v>2849</v>
      </c>
      <c r="E1242" s="75" t="str">
        <f>VLOOKUP(B1242&amp;C1242,Divipola!$C$2:$F$1138,4,FALSE)</f>
        <v>73861</v>
      </c>
      <c r="F1242" s="87">
        <v>1</v>
      </c>
      <c r="G1242" s="87">
        <v>7</v>
      </c>
      <c r="H1242" s="87"/>
      <c r="I1242" s="87">
        <v>8</v>
      </c>
      <c r="J1242" s="87"/>
      <c r="K1242" s="87"/>
      <c r="L1242" s="87"/>
      <c r="M1242" s="87"/>
      <c r="N1242" s="87"/>
      <c r="O1242" s="87"/>
      <c r="P1242" s="87"/>
      <c r="Q1242" s="87"/>
      <c r="R1242" s="87"/>
      <c r="S1242" s="87"/>
      <c r="T1242" s="87"/>
      <c r="U1242" s="88"/>
      <c r="V1242" s="89"/>
      <c r="W1242" s="96">
        <v>0</v>
      </c>
      <c r="X1242" s="71">
        <f>CU1242</f>
        <v>0</v>
      </c>
      <c r="Y1242" s="71">
        <f>CY1242</f>
        <v>0</v>
      </c>
      <c r="Z1242" s="71">
        <f>DA1242+DC1242+DE1242</f>
        <v>0</v>
      </c>
      <c r="AA1242" s="71">
        <f>CW1242</f>
        <v>0</v>
      </c>
      <c r="AB1242" s="71"/>
      <c r="AC1242" s="71">
        <v>0</v>
      </c>
      <c r="AD1242" s="71">
        <f>W1242+X1242+Y1242+Z1242+AA1242+AB1242+AC1242</f>
        <v>0</v>
      </c>
      <c r="AE1242" s="72">
        <v>0</v>
      </c>
      <c r="AF1242" s="5"/>
      <c r="AG1242" s="6"/>
      <c r="AH1242" s="27" t="s">
        <v>3392</v>
      </c>
      <c r="AI1242" s="44" t="s">
        <v>3393</v>
      </c>
      <c r="AJ1242" s="26"/>
      <c r="AK1242" s="5"/>
      <c r="AL1242" s="82" t="s">
        <v>4056</v>
      </c>
      <c r="AM1242" s="76"/>
      <c r="AN1242" s="76"/>
      <c r="AO1242" s="76"/>
      <c r="AP1242" s="76"/>
      <c r="AQ1242" s="76"/>
      <c r="AR1242" s="76"/>
      <c r="AS1242" s="76"/>
      <c r="AT1242" s="76"/>
      <c r="AU1242" s="76"/>
      <c r="AV1242" s="76"/>
      <c r="AW1242" s="76"/>
      <c r="AX1242" s="76">
        <f>+AW1242*600000</f>
        <v>0</v>
      </c>
      <c r="AY1242" s="76"/>
      <c r="AZ1242" s="76">
        <f>+AY1242*70000</f>
        <v>0</v>
      </c>
      <c r="BA1242" s="76"/>
      <c r="BB1242" s="76"/>
      <c r="BC1242" s="76"/>
      <c r="BD1242" s="76">
        <f>+BC1242*30000</f>
        <v>0</v>
      </c>
      <c r="BE1242" s="76"/>
      <c r="BF1242" s="76"/>
      <c r="BG1242" s="76"/>
      <c r="BH1242" s="76"/>
      <c r="BI1242" s="76"/>
      <c r="BJ1242" s="76"/>
      <c r="BK1242" s="76"/>
      <c r="BL1242" s="76">
        <f>+BK1242*31500</f>
        <v>0</v>
      </c>
      <c r="BM1242" s="76"/>
      <c r="BN1242" s="76"/>
      <c r="BO1242" s="76"/>
      <c r="BP1242" s="76"/>
      <c r="BQ1242" s="76"/>
      <c r="BR1242" s="76"/>
      <c r="BS1242" s="76"/>
      <c r="BT1242" s="76"/>
      <c r="BU1242" s="76"/>
      <c r="BV1242" s="76"/>
      <c r="BW1242" s="76"/>
      <c r="BX1242" s="76"/>
      <c r="BY1242" s="76"/>
      <c r="BZ1242" s="76"/>
      <c r="CA1242" s="76"/>
      <c r="CB1242" s="76"/>
      <c r="CC1242" s="76"/>
      <c r="CD1242" s="76"/>
      <c r="CE1242" s="76"/>
      <c r="CF1242" s="76">
        <f>+CE1242*28000</f>
        <v>0</v>
      </c>
      <c r="CG1242" s="76"/>
      <c r="CH1242" s="76">
        <f>+CG1242*22500</f>
        <v>0</v>
      </c>
      <c r="CI1242" s="76"/>
      <c r="CJ1242" s="76">
        <f>+CI1242*26000</f>
        <v>0</v>
      </c>
      <c r="CK1242" s="76"/>
      <c r="CL1242" s="76"/>
      <c r="CM1242" s="76"/>
      <c r="CN1242" s="76">
        <f>+CM1242*22000</f>
        <v>0</v>
      </c>
      <c r="CO1242" s="76"/>
      <c r="CP1242" s="76">
        <f>+CO1242*46000</f>
        <v>0</v>
      </c>
      <c r="CQ1242" s="76"/>
      <c r="CR1242" s="76">
        <f>+CQ1242*49000</f>
        <v>0</v>
      </c>
      <c r="CS1242" s="76"/>
      <c r="CT1242" s="76"/>
      <c r="CU1242" s="56">
        <f>AN1242+AP1242+AR1242+AT1242+AV1242+AX1242+AZ1242+BB1242+BD1242+BF1242+BH1242+BJ1242+BL1242+BN1242+BP1242+BR1242+BT1242+BV1242+BX1242+BZ1242+CB1242+CD1242+CF1242+CH1242+CJ1242+CL1242+CN1242+CP1242+CR1242+CT1242</f>
        <v>0</v>
      </c>
      <c r="CV1242" s="76"/>
      <c r="CW1242" s="76">
        <f>+CV1242*1100</f>
        <v>0</v>
      </c>
      <c r="CX1242" s="76"/>
      <c r="CY1242" s="76">
        <f>+CX1242*106250</f>
        <v>0</v>
      </c>
      <c r="CZ1242" s="76"/>
      <c r="DA1242" s="76">
        <f>+CZ1242*34500</f>
        <v>0</v>
      </c>
      <c r="DB1242" s="76"/>
      <c r="DC1242" s="76">
        <f>+DB1242*25000</f>
        <v>0</v>
      </c>
      <c r="DD1242" s="219"/>
      <c r="DE1242" s="219"/>
      <c r="DF1242" s="166"/>
      <c r="DG1242" s="116"/>
      <c r="DH1242" s="117"/>
      <c r="DI1242" s="24"/>
      <c r="DJ1242" s="24"/>
      <c r="DK1242" s="24"/>
      <c r="DL1242" s="24"/>
      <c r="DM1242" s="24"/>
      <c r="DN1242" s="24"/>
      <c r="DO1242" s="24"/>
      <c r="DP1242" s="24"/>
      <c r="DQ1242" s="24"/>
      <c r="DR1242" s="24"/>
      <c r="DS1242" s="24"/>
      <c r="DT1242" s="24"/>
      <c r="DU1242" s="24"/>
    </row>
    <row r="1243" spans="1:125" s="8" customFormat="1" ht="84" x14ac:dyDescent="0.2">
      <c r="A1243" s="77">
        <v>41357</v>
      </c>
      <c r="B1243" s="352" t="s">
        <v>2851</v>
      </c>
      <c r="C1243" s="354" t="s">
        <v>1686</v>
      </c>
      <c r="D1243" s="354" t="s">
        <v>2882</v>
      </c>
      <c r="E1243" s="75" t="str">
        <f>VLOOKUP(B1243&amp;C1243,Divipola!$C$2:$F$1138,4,FALSE)</f>
        <v>76001</v>
      </c>
      <c r="F1243" s="87"/>
      <c r="G1243" s="87"/>
      <c r="H1243" s="87"/>
      <c r="I1243" s="87">
        <v>150</v>
      </c>
      <c r="J1243" s="87">
        <v>30</v>
      </c>
      <c r="K1243" s="87"/>
      <c r="L1243" s="87">
        <v>30</v>
      </c>
      <c r="M1243" s="87"/>
      <c r="N1243" s="87"/>
      <c r="O1243" s="87"/>
      <c r="P1243" s="87"/>
      <c r="Q1243" s="87"/>
      <c r="R1243" s="87"/>
      <c r="S1243" s="87"/>
      <c r="T1243" s="87"/>
      <c r="U1243" s="88"/>
      <c r="V1243" s="89">
        <v>35</v>
      </c>
      <c r="W1243" s="96">
        <v>0</v>
      </c>
      <c r="X1243" s="71">
        <f>CU1243</f>
        <v>0</v>
      </c>
      <c r="Y1243" s="71">
        <f>CY1243</f>
        <v>0</v>
      </c>
      <c r="Z1243" s="71">
        <f>DA1243+DC1243+DE1243</f>
        <v>0</v>
      </c>
      <c r="AA1243" s="71">
        <f>CW1243</f>
        <v>0</v>
      </c>
      <c r="AB1243" s="71"/>
      <c r="AC1243" s="71">
        <v>0</v>
      </c>
      <c r="AD1243" s="71">
        <f>W1243+X1243+Y1243+Z1243+AA1243+AB1243+AC1243</f>
        <v>0</v>
      </c>
      <c r="AE1243" s="72">
        <v>0</v>
      </c>
      <c r="AF1243" s="5"/>
      <c r="AG1243" s="6"/>
      <c r="AH1243" s="27" t="s">
        <v>3392</v>
      </c>
      <c r="AI1243" s="44" t="s">
        <v>3393</v>
      </c>
      <c r="AJ1243" s="26"/>
      <c r="AK1243" s="5"/>
      <c r="AL1243" s="82" t="s">
        <v>4062</v>
      </c>
      <c r="AM1243" s="76"/>
      <c r="AN1243" s="76"/>
      <c r="AO1243" s="76"/>
      <c r="AP1243" s="76"/>
      <c r="AQ1243" s="76"/>
      <c r="AR1243" s="76"/>
      <c r="AS1243" s="76"/>
      <c r="AT1243" s="76"/>
      <c r="AU1243" s="76"/>
      <c r="AV1243" s="76"/>
      <c r="AW1243" s="76"/>
      <c r="AX1243" s="76">
        <f>+AW1243*600000</f>
        <v>0</v>
      </c>
      <c r="AY1243" s="76"/>
      <c r="AZ1243" s="76">
        <f>+AY1243*70000</f>
        <v>0</v>
      </c>
      <c r="BA1243" s="76"/>
      <c r="BB1243" s="76"/>
      <c r="BC1243" s="76"/>
      <c r="BD1243" s="76">
        <f>+BC1243*30000</f>
        <v>0</v>
      </c>
      <c r="BE1243" s="76"/>
      <c r="BF1243" s="76"/>
      <c r="BG1243" s="76"/>
      <c r="BH1243" s="76"/>
      <c r="BI1243" s="76"/>
      <c r="BJ1243" s="76"/>
      <c r="BK1243" s="76"/>
      <c r="BL1243" s="76">
        <f>+BK1243*31500</f>
        <v>0</v>
      </c>
      <c r="BM1243" s="76"/>
      <c r="BN1243" s="76"/>
      <c r="BO1243" s="76"/>
      <c r="BP1243" s="76"/>
      <c r="BQ1243" s="76"/>
      <c r="BR1243" s="76"/>
      <c r="BS1243" s="76"/>
      <c r="BT1243" s="76"/>
      <c r="BU1243" s="76"/>
      <c r="BV1243" s="76"/>
      <c r="BW1243" s="76"/>
      <c r="BX1243" s="76"/>
      <c r="BY1243" s="76"/>
      <c r="BZ1243" s="76"/>
      <c r="CA1243" s="76"/>
      <c r="CB1243" s="76"/>
      <c r="CC1243" s="76"/>
      <c r="CD1243" s="76"/>
      <c r="CE1243" s="76"/>
      <c r="CF1243" s="76">
        <f>+CE1243*28000</f>
        <v>0</v>
      </c>
      <c r="CG1243" s="76"/>
      <c r="CH1243" s="76">
        <f>+CG1243*22500</f>
        <v>0</v>
      </c>
      <c r="CI1243" s="76"/>
      <c r="CJ1243" s="76">
        <f>+CI1243*26000</f>
        <v>0</v>
      </c>
      <c r="CK1243" s="76"/>
      <c r="CL1243" s="76"/>
      <c r="CM1243" s="76"/>
      <c r="CN1243" s="76">
        <f>+CM1243*22000</f>
        <v>0</v>
      </c>
      <c r="CO1243" s="76"/>
      <c r="CP1243" s="76">
        <f>+CO1243*46000</f>
        <v>0</v>
      </c>
      <c r="CQ1243" s="76"/>
      <c r="CR1243" s="76">
        <f>+CQ1243*49000</f>
        <v>0</v>
      </c>
      <c r="CS1243" s="76"/>
      <c r="CT1243" s="76"/>
      <c r="CU1243" s="56">
        <f>AN1243+AP1243+AR1243+AT1243+AV1243+AX1243+AZ1243+BB1243+BD1243+BF1243+BH1243+BJ1243+BL1243+BN1243+BP1243+BR1243+BT1243+BV1243+BX1243+BZ1243+CB1243+CD1243+CF1243+CH1243+CJ1243+CL1243+CN1243+CP1243+CR1243+CT1243</f>
        <v>0</v>
      </c>
      <c r="CV1243" s="76"/>
      <c r="CW1243" s="76">
        <f>+CV1243*1100</f>
        <v>0</v>
      </c>
      <c r="CX1243" s="76"/>
      <c r="CY1243" s="76">
        <f>+CX1243*106250</f>
        <v>0</v>
      </c>
      <c r="CZ1243" s="76"/>
      <c r="DA1243" s="76">
        <f>+CZ1243*34500</f>
        <v>0</v>
      </c>
      <c r="DB1243" s="76"/>
      <c r="DC1243" s="76">
        <f>+DB1243*25000</f>
        <v>0</v>
      </c>
      <c r="DD1243" s="219"/>
      <c r="DE1243" s="219"/>
      <c r="DF1243" s="166"/>
      <c r="DG1243" s="116"/>
      <c r="DH1243" s="117"/>
      <c r="DI1243" s="24"/>
      <c r="DJ1243" s="24"/>
      <c r="DK1243" s="24"/>
      <c r="DL1243" s="24"/>
      <c r="DM1243" s="24"/>
      <c r="DN1243" s="24"/>
      <c r="DO1243" s="24"/>
      <c r="DP1243" s="24"/>
      <c r="DQ1243" s="24"/>
      <c r="DR1243" s="24"/>
      <c r="DS1243" s="24"/>
      <c r="DT1243" s="24"/>
      <c r="DU1243" s="24"/>
    </row>
    <row r="1244" spans="1:125" s="8" customFormat="1" ht="60" x14ac:dyDescent="0.2">
      <c r="A1244" s="226">
        <v>41357</v>
      </c>
      <c r="B1244" s="352" t="s">
        <v>2851</v>
      </c>
      <c r="C1244" s="354" t="s">
        <v>2667</v>
      </c>
      <c r="D1244" s="84" t="s">
        <v>3088</v>
      </c>
      <c r="E1244" s="75" t="str">
        <f>VLOOKUP(B1244&amp;C1244,Divipola!$C$2:$F$1138,4,FALSE)</f>
        <v>76364</v>
      </c>
      <c r="F1244" s="87"/>
      <c r="G1244" s="87"/>
      <c r="H1244" s="87"/>
      <c r="I1244" s="87">
        <v>10</v>
      </c>
      <c r="J1244" s="87">
        <v>2</v>
      </c>
      <c r="K1244" s="87"/>
      <c r="L1244" s="87">
        <v>2</v>
      </c>
      <c r="M1244" s="87"/>
      <c r="N1244" s="87"/>
      <c r="O1244" s="87"/>
      <c r="P1244" s="87"/>
      <c r="Q1244" s="87"/>
      <c r="R1244" s="87"/>
      <c r="S1244" s="87"/>
      <c r="T1244" s="87"/>
      <c r="U1244" s="88"/>
      <c r="V1244" s="89"/>
      <c r="W1244" s="96">
        <v>0</v>
      </c>
      <c r="X1244" s="71">
        <f>CU1244</f>
        <v>0</v>
      </c>
      <c r="Y1244" s="71">
        <f>CY1244</f>
        <v>0</v>
      </c>
      <c r="Z1244" s="71">
        <f>DA1244+DC1244+DE1244</f>
        <v>0</v>
      </c>
      <c r="AA1244" s="71">
        <f>CW1244</f>
        <v>0</v>
      </c>
      <c r="AB1244" s="71"/>
      <c r="AC1244" s="71">
        <v>0</v>
      </c>
      <c r="AD1244" s="71">
        <f>W1244+X1244+Y1244+Z1244+AA1244+AB1244+AC1244</f>
        <v>0</v>
      </c>
      <c r="AE1244" s="72">
        <v>0</v>
      </c>
      <c r="AF1244" s="5"/>
      <c r="AG1244" s="6"/>
      <c r="AH1244" s="27" t="s">
        <v>3392</v>
      </c>
      <c r="AI1244" s="44" t="s">
        <v>3393</v>
      </c>
      <c r="AJ1244" s="26"/>
      <c r="AK1244" s="5"/>
      <c r="AL1244" s="82" t="s">
        <v>4045</v>
      </c>
      <c r="AM1244" s="76"/>
      <c r="AN1244" s="76"/>
      <c r="AO1244" s="76"/>
      <c r="AP1244" s="76"/>
      <c r="AQ1244" s="76"/>
      <c r="AR1244" s="76"/>
      <c r="AS1244" s="76"/>
      <c r="AT1244" s="76"/>
      <c r="AU1244" s="76"/>
      <c r="AV1244" s="76"/>
      <c r="AW1244" s="76"/>
      <c r="AX1244" s="76">
        <f>+AW1244*600000</f>
        <v>0</v>
      </c>
      <c r="AY1244" s="76"/>
      <c r="AZ1244" s="76">
        <f>+AY1244*70000</f>
        <v>0</v>
      </c>
      <c r="BA1244" s="76"/>
      <c r="BB1244" s="76"/>
      <c r="BC1244" s="76"/>
      <c r="BD1244" s="76">
        <f>+BC1244*30000</f>
        <v>0</v>
      </c>
      <c r="BE1244" s="76"/>
      <c r="BF1244" s="76"/>
      <c r="BG1244" s="76"/>
      <c r="BH1244" s="76"/>
      <c r="BI1244" s="76"/>
      <c r="BJ1244" s="76"/>
      <c r="BK1244" s="76"/>
      <c r="BL1244" s="76">
        <f>+BK1244*31500</f>
        <v>0</v>
      </c>
      <c r="BM1244" s="76"/>
      <c r="BN1244" s="76"/>
      <c r="BO1244" s="76"/>
      <c r="BP1244" s="76"/>
      <c r="BQ1244" s="76"/>
      <c r="BR1244" s="76"/>
      <c r="BS1244" s="76"/>
      <c r="BT1244" s="76"/>
      <c r="BU1244" s="76"/>
      <c r="BV1244" s="76"/>
      <c r="BW1244" s="76"/>
      <c r="BX1244" s="76"/>
      <c r="BY1244" s="76"/>
      <c r="BZ1244" s="76"/>
      <c r="CA1244" s="76"/>
      <c r="CB1244" s="76"/>
      <c r="CC1244" s="76"/>
      <c r="CD1244" s="76"/>
      <c r="CE1244" s="76"/>
      <c r="CF1244" s="76">
        <f>+CE1244*28000</f>
        <v>0</v>
      </c>
      <c r="CG1244" s="76"/>
      <c r="CH1244" s="76">
        <f>+CG1244*22500</f>
        <v>0</v>
      </c>
      <c r="CI1244" s="76"/>
      <c r="CJ1244" s="76">
        <f>+CI1244*26000</f>
        <v>0</v>
      </c>
      <c r="CK1244" s="76"/>
      <c r="CL1244" s="76"/>
      <c r="CM1244" s="76"/>
      <c r="CN1244" s="76">
        <f>+CM1244*22000</f>
        <v>0</v>
      </c>
      <c r="CO1244" s="76"/>
      <c r="CP1244" s="76">
        <f>+CO1244*46000</f>
        <v>0</v>
      </c>
      <c r="CQ1244" s="76"/>
      <c r="CR1244" s="76">
        <f>+CQ1244*49000</f>
        <v>0</v>
      </c>
      <c r="CS1244" s="76"/>
      <c r="CT1244" s="76"/>
      <c r="CU1244" s="56">
        <f>AN1244+AP1244+AR1244+AT1244+AV1244+AX1244+AZ1244+BB1244+BD1244+BF1244+BH1244+BJ1244+BL1244+BN1244+BP1244+BR1244+BT1244+BV1244+BX1244+BZ1244+CB1244+CD1244+CF1244+CH1244+CJ1244+CL1244+CN1244+CP1244+CR1244+CT1244</f>
        <v>0</v>
      </c>
      <c r="CV1244" s="76"/>
      <c r="CW1244" s="76">
        <f>+CV1244*1100</f>
        <v>0</v>
      </c>
      <c r="CX1244" s="76"/>
      <c r="CY1244" s="76">
        <f>+CX1244*106250</f>
        <v>0</v>
      </c>
      <c r="CZ1244" s="76"/>
      <c r="DA1244" s="76">
        <f>+CZ1244*34500</f>
        <v>0</v>
      </c>
      <c r="DB1244" s="76"/>
      <c r="DC1244" s="76">
        <f>+DB1244*25000</f>
        <v>0</v>
      </c>
      <c r="DD1244" s="219"/>
      <c r="DE1244" s="219"/>
      <c r="DF1244" s="166"/>
      <c r="DG1244" s="116"/>
      <c r="DH1244" s="117"/>
      <c r="DI1244" s="24"/>
      <c r="DJ1244" s="24"/>
      <c r="DK1244" s="24"/>
      <c r="DL1244" s="24"/>
      <c r="DM1244" s="24"/>
      <c r="DN1244" s="24"/>
      <c r="DO1244" s="24"/>
      <c r="DP1244" s="24"/>
      <c r="DQ1244" s="24"/>
      <c r="DR1244" s="24"/>
      <c r="DS1244" s="24"/>
      <c r="DT1244" s="24"/>
      <c r="DU1244" s="24"/>
    </row>
    <row r="1245" spans="1:125" s="8" customFormat="1" ht="168" x14ac:dyDescent="0.2">
      <c r="A1245" s="77">
        <v>41357</v>
      </c>
      <c r="B1245" s="78" t="s">
        <v>2851</v>
      </c>
      <c r="C1245" s="75" t="s">
        <v>2667</v>
      </c>
      <c r="D1245" s="75" t="s">
        <v>2882</v>
      </c>
      <c r="E1245" s="75" t="str">
        <f>VLOOKUP(B1245&amp;C1245,Divipola!$C$2:$F$1138,4,FALSE)</f>
        <v>76364</v>
      </c>
      <c r="F1245" s="87"/>
      <c r="G1245" s="87"/>
      <c r="H1245" s="87"/>
      <c r="I1245" s="87">
        <v>1280</v>
      </c>
      <c r="J1245" s="87">
        <v>256</v>
      </c>
      <c r="K1245" s="87"/>
      <c r="L1245" s="87">
        <v>204</v>
      </c>
      <c r="M1245" s="87"/>
      <c r="N1245" s="87"/>
      <c r="O1245" s="87"/>
      <c r="P1245" s="87"/>
      <c r="Q1245" s="87"/>
      <c r="R1245" s="87"/>
      <c r="S1245" s="87"/>
      <c r="T1245" s="87"/>
      <c r="U1245" s="88"/>
      <c r="V1245" s="89">
        <v>0</v>
      </c>
      <c r="W1245" s="96">
        <v>0</v>
      </c>
      <c r="X1245" s="71">
        <f>CU1245</f>
        <v>103408304.40000001</v>
      </c>
      <c r="Y1245" s="71">
        <f>CY1245</f>
        <v>28350675</v>
      </c>
      <c r="Z1245" s="71">
        <f>DA1245+DC1245+DE1245</f>
        <v>66963146</v>
      </c>
      <c r="AA1245" s="71">
        <f>CW1245</f>
        <v>0</v>
      </c>
      <c r="AB1245" s="71"/>
      <c r="AC1245" s="71">
        <v>0</v>
      </c>
      <c r="AD1245" s="71">
        <f>W1245+X1245+Y1245+Z1245+AA1245+AB1245+AC1245</f>
        <v>198722125.40000001</v>
      </c>
      <c r="AE1245" s="72">
        <v>0</v>
      </c>
      <c r="AF1245" s="5"/>
      <c r="AG1245" s="6"/>
      <c r="AH1245" s="27" t="s">
        <v>3390</v>
      </c>
      <c r="AI1245" s="44" t="s">
        <v>3391</v>
      </c>
      <c r="AJ1245" s="26"/>
      <c r="AK1245" s="5"/>
      <c r="AL1245" s="82" t="s">
        <v>4096</v>
      </c>
      <c r="AM1245" s="76"/>
      <c r="AN1245" s="76"/>
      <c r="AO1245" s="76"/>
      <c r="AP1245" s="76"/>
      <c r="AQ1245" s="76"/>
      <c r="AR1245" s="76"/>
      <c r="AS1245" s="76"/>
      <c r="AT1245" s="76"/>
      <c r="AU1245" s="76"/>
      <c r="AV1245" s="76"/>
      <c r="AW1245" s="76"/>
      <c r="AX1245" s="76">
        <f>+AW1245*600000</f>
        <v>0</v>
      </c>
      <c r="AY1245" s="86">
        <v>810</v>
      </c>
      <c r="AZ1245" s="86">
        <f>+AY1245*69999.04</f>
        <v>56699222.399999999</v>
      </c>
      <c r="BA1245" s="76"/>
      <c r="BB1245" s="76"/>
      <c r="BC1245" s="76"/>
      <c r="BD1245" s="76">
        <f>+BC1245*30000</f>
        <v>0</v>
      </c>
      <c r="BE1245" s="76"/>
      <c r="BF1245" s="76"/>
      <c r="BG1245" s="76"/>
      <c r="BH1245" s="76"/>
      <c r="BI1245" s="76"/>
      <c r="BJ1245" s="76"/>
      <c r="BK1245" s="76"/>
      <c r="BL1245" s="76">
        <f>+BK1245*31500</f>
        <v>0</v>
      </c>
      <c r="BM1245" s="76"/>
      <c r="BN1245" s="76"/>
      <c r="BO1245" s="76"/>
      <c r="BP1245" s="76"/>
      <c r="BQ1245" s="76"/>
      <c r="BR1245" s="76"/>
      <c r="BS1245" s="76"/>
      <c r="BT1245" s="76"/>
      <c r="BU1245" s="76"/>
      <c r="BV1245" s="76"/>
      <c r="BW1245" s="76"/>
      <c r="BX1245" s="76"/>
      <c r="BY1245" s="76"/>
      <c r="BZ1245" s="76"/>
      <c r="CA1245" s="76"/>
      <c r="CB1245" s="76"/>
      <c r="CC1245" s="76"/>
      <c r="CD1245" s="76"/>
      <c r="CE1245" s="76"/>
      <c r="CF1245" s="76">
        <f>+CE1245*28000</f>
        <v>0</v>
      </c>
      <c r="CG1245" s="76"/>
      <c r="CH1245" s="76">
        <f>+CG1245*22500</f>
        <v>0</v>
      </c>
      <c r="CI1245" s="86">
        <v>810</v>
      </c>
      <c r="CJ1245" s="86">
        <f>+CI1245*25999.08</f>
        <v>21059254.800000001</v>
      </c>
      <c r="CK1245" s="76"/>
      <c r="CL1245" s="76"/>
      <c r="CM1245" s="76"/>
      <c r="CN1245" s="76">
        <f>+CM1245*22000</f>
        <v>0</v>
      </c>
      <c r="CO1245" s="86">
        <v>270</v>
      </c>
      <c r="CP1245" s="86">
        <f>+CO1245*45999.8</f>
        <v>12419946</v>
      </c>
      <c r="CQ1245" s="86">
        <v>270</v>
      </c>
      <c r="CR1245" s="86">
        <f>+CQ1245*48999.56</f>
        <v>13229881.199999999</v>
      </c>
      <c r="CS1245" s="76"/>
      <c r="CT1245" s="76"/>
      <c r="CU1245" s="56">
        <f>AN1245+AP1245+AR1245+AT1245+AV1245+AX1245+AZ1245+BB1245+BD1245+BF1245+BH1245+BJ1245+BL1245+BN1245+BP1245+BR1245+BT1245+BV1245+BX1245+BZ1245+CB1245+CD1245+CF1245+CH1245+CJ1245+CL1245+CN1245+CP1245+CR1245+CT1245</f>
        <v>103408304.40000001</v>
      </c>
      <c r="CV1245" s="76"/>
      <c r="CW1245" s="76">
        <f>+CV1245*1100</f>
        <v>0</v>
      </c>
      <c r="CX1245" s="86">
        <v>270</v>
      </c>
      <c r="CY1245" s="86">
        <f>+CX1245*105002.5</f>
        <v>28350675</v>
      </c>
      <c r="CZ1245" s="76"/>
      <c r="DA1245" s="76">
        <f>+CZ1245*34500</f>
        <v>0</v>
      </c>
      <c r="DB1245" s="86">
        <v>1600</v>
      </c>
      <c r="DC1245" s="86">
        <f>+DB1245*31999.76+9600*199.52</f>
        <v>53115008</v>
      </c>
      <c r="DD1245" s="222" t="s">
        <v>4792</v>
      </c>
      <c r="DE1245" s="309">
        <f>270*3399.96+2700*3799+270*9899.44</f>
        <v>13848138</v>
      </c>
      <c r="DF1245" s="166"/>
      <c r="DG1245" s="134" t="s">
        <v>4774</v>
      </c>
      <c r="DH1245" s="117"/>
      <c r="DI1245" s="24"/>
      <c r="DJ1245" s="24"/>
      <c r="DK1245" s="24"/>
      <c r="DL1245" s="24"/>
      <c r="DM1245" s="24"/>
      <c r="DN1245" s="24"/>
      <c r="DO1245" s="24"/>
      <c r="DP1245" s="24"/>
      <c r="DQ1245" s="24"/>
      <c r="DR1245" s="24"/>
      <c r="DS1245" s="24"/>
      <c r="DT1245" s="24"/>
      <c r="DU1245" s="24"/>
    </row>
    <row r="1246" spans="1:125" s="8" customFormat="1" ht="48" x14ac:dyDescent="0.2">
      <c r="A1246" s="77">
        <v>41358</v>
      </c>
      <c r="B1246" s="352" t="s">
        <v>2894</v>
      </c>
      <c r="C1246" s="354" t="s">
        <v>2607</v>
      </c>
      <c r="D1246" s="354" t="s">
        <v>2882</v>
      </c>
      <c r="E1246" s="75" t="str">
        <f>VLOOKUP(B1246&amp;C1246,Divipola!$C$2:$F$1138,4,FALSE)</f>
        <v>05792</v>
      </c>
      <c r="F1246" s="87"/>
      <c r="G1246" s="87"/>
      <c r="H1246" s="87"/>
      <c r="I1246" s="87">
        <v>5</v>
      </c>
      <c r="J1246" s="87">
        <v>1</v>
      </c>
      <c r="K1246" s="87">
        <v>1</v>
      </c>
      <c r="L1246" s="87"/>
      <c r="M1246" s="87"/>
      <c r="N1246" s="87"/>
      <c r="O1246" s="87"/>
      <c r="P1246" s="87"/>
      <c r="Q1246" s="87"/>
      <c r="R1246" s="87"/>
      <c r="S1246" s="87"/>
      <c r="T1246" s="87"/>
      <c r="U1246" s="88"/>
      <c r="V1246" s="89"/>
      <c r="W1246" s="96">
        <v>0</v>
      </c>
      <c r="X1246" s="71">
        <f>CU1246</f>
        <v>0</v>
      </c>
      <c r="Y1246" s="71">
        <f>CY1246</f>
        <v>0</v>
      </c>
      <c r="Z1246" s="71">
        <f>DA1246+DC1246+DE1246</f>
        <v>0</v>
      </c>
      <c r="AA1246" s="71">
        <f>CW1246</f>
        <v>0</v>
      </c>
      <c r="AB1246" s="71"/>
      <c r="AC1246" s="71">
        <v>0</v>
      </c>
      <c r="AD1246" s="71">
        <f>W1246+X1246+Y1246+Z1246+AA1246+AB1246+AC1246</f>
        <v>0</v>
      </c>
      <c r="AE1246" s="72">
        <v>0</v>
      </c>
      <c r="AF1246" s="5"/>
      <c r="AG1246" s="6"/>
      <c r="AH1246" s="27" t="s">
        <v>3392</v>
      </c>
      <c r="AI1246" s="44" t="s">
        <v>3393</v>
      </c>
      <c r="AJ1246" s="26"/>
      <c r="AK1246" s="5"/>
      <c r="AL1246" s="82" t="s">
        <v>4059</v>
      </c>
      <c r="AM1246" s="76"/>
      <c r="AN1246" s="76"/>
      <c r="AO1246" s="76"/>
      <c r="AP1246" s="76"/>
      <c r="AQ1246" s="76"/>
      <c r="AR1246" s="76"/>
      <c r="AS1246" s="76"/>
      <c r="AT1246" s="76"/>
      <c r="AU1246" s="76"/>
      <c r="AV1246" s="76"/>
      <c r="AW1246" s="76"/>
      <c r="AX1246" s="76">
        <f>+AW1246*600000</f>
        <v>0</v>
      </c>
      <c r="AY1246" s="76"/>
      <c r="AZ1246" s="76">
        <f>+AY1246*70000</f>
        <v>0</v>
      </c>
      <c r="BA1246" s="76"/>
      <c r="BB1246" s="76"/>
      <c r="BC1246" s="76"/>
      <c r="BD1246" s="76">
        <f>+BC1246*30000</f>
        <v>0</v>
      </c>
      <c r="BE1246" s="76"/>
      <c r="BF1246" s="76"/>
      <c r="BG1246" s="76"/>
      <c r="BH1246" s="76"/>
      <c r="BI1246" s="76"/>
      <c r="BJ1246" s="76"/>
      <c r="BK1246" s="76"/>
      <c r="BL1246" s="76">
        <f>+BK1246*31500</f>
        <v>0</v>
      </c>
      <c r="BM1246" s="76"/>
      <c r="BN1246" s="76"/>
      <c r="BO1246" s="76"/>
      <c r="BP1246" s="76"/>
      <c r="BQ1246" s="76"/>
      <c r="BR1246" s="76"/>
      <c r="BS1246" s="76"/>
      <c r="BT1246" s="76"/>
      <c r="BU1246" s="76"/>
      <c r="BV1246" s="76"/>
      <c r="BW1246" s="76"/>
      <c r="BX1246" s="76"/>
      <c r="BY1246" s="76"/>
      <c r="BZ1246" s="76"/>
      <c r="CA1246" s="76"/>
      <c r="CB1246" s="76"/>
      <c r="CC1246" s="76"/>
      <c r="CD1246" s="76"/>
      <c r="CE1246" s="76"/>
      <c r="CF1246" s="76">
        <f>+CE1246*28000</f>
        <v>0</v>
      </c>
      <c r="CG1246" s="76"/>
      <c r="CH1246" s="76">
        <f>+CG1246*22500</f>
        <v>0</v>
      </c>
      <c r="CI1246" s="76"/>
      <c r="CJ1246" s="76">
        <f>+CI1246*26000</f>
        <v>0</v>
      </c>
      <c r="CK1246" s="76"/>
      <c r="CL1246" s="76"/>
      <c r="CM1246" s="76"/>
      <c r="CN1246" s="76">
        <f>+CM1246*22000</f>
        <v>0</v>
      </c>
      <c r="CO1246" s="76"/>
      <c r="CP1246" s="76">
        <f>+CO1246*46000</f>
        <v>0</v>
      </c>
      <c r="CQ1246" s="76"/>
      <c r="CR1246" s="76">
        <f>+CQ1246*49000</f>
        <v>0</v>
      </c>
      <c r="CS1246" s="76"/>
      <c r="CT1246" s="76"/>
      <c r="CU1246" s="56">
        <f>AN1246+AP1246+AR1246+AT1246+AV1246+AX1246+AZ1246+BB1246+BD1246+BF1246+BH1246+BJ1246+BL1246+BN1246+BP1246+BR1246+BT1246+BV1246+BX1246+BZ1246+CB1246+CD1246+CF1246+CH1246+CJ1246+CL1246+CN1246+CP1246+CR1246+CT1246</f>
        <v>0</v>
      </c>
      <c r="CV1246" s="76"/>
      <c r="CW1246" s="76">
        <f>+CV1246*1100</f>
        <v>0</v>
      </c>
      <c r="CX1246" s="76"/>
      <c r="CY1246" s="76">
        <f>+CX1246*106250</f>
        <v>0</v>
      </c>
      <c r="CZ1246" s="76"/>
      <c r="DA1246" s="76">
        <f>+CZ1246*34500</f>
        <v>0</v>
      </c>
      <c r="DB1246" s="76"/>
      <c r="DC1246" s="76">
        <f>+DB1246*25000</f>
        <v>0</v>
      </c>
      <c r="DD1246" s="219"/>
      <c r="DE1246" s="219"/>
      <c r="DF1246" s="166"/>
      <c r="DG1246" s="116"/>
      <c r="DH1246" s="117"/>
      <c r="DI1246" s="24"/>
      <c r="DJ1246" s="24"/>
      <c r="DK1246" s="24"/>
      <c r="DL1246" s="24"/>
      <c r="DM1246" s="24"/>
      <c r="DN1246" s="24"/>
      <c r="DO1246" s="24"/>
      <c r="DP1246" s="24"/>
      <c r="DQ1246" s="24"/>
      <c r="DR1246" s="24"/>
      <c r="DS1246" s="24"/>
      <c r="DT1246" s="24"/>
      <c r="DU1246" s="24"/>
    </row>
    <row r="1247" spans="1:125" s="8" customFormat="1" ht="60" x14ac:dyDescent="0.2">
      <c r="A1247" s="77">
        <v>41358</v>
      </c>
      <c r="B1247" s="352" t="s">
        <v>2087</v>
      </c>
      <c r="C1247" s="354" t="s">
        <v>811</v>
      </c>
      <c r="D1247" s="354" t="s">
        <v>2882</v>
      </c>
      <c r="E1247" s="75" t="str">
        <f>VLOOKUP(B1247&amp;C1247,Divipola!$C$2:$F$1138,4,FALSE)</f>
        <v>18610</v>
      </c>
      <c r="F1247" s="163"/>
      <c r="G1247" s="163"/>
      <c r="H1247" s="163"/>
      <c r="I1247" s="163">
        <v>805</v>
      </c>
      <c r="J1247" s="163">
        <v>161</v>
      </c>
      <c r="K1247" s="163">
        <v>37</v>
      </c>
      <c r="L1247" s="163">
        <v>124</v>
      </c>
      <c r="M1247" s="163"/>
      <c r="N1247" s="163"/>
      <c r="O1247" s="163"/>
      <c r="P1247" s="163"/>
      <c r="Q1247" s="163"/>
      <c r="R1247" s="163"/>
      <c r="S1247" s="163"/>
      <c r="T1247" s="163"/>
      <c r="U1247" s="163"/>
      <c r="V1247" s="134"/>
      <c r="W1247" s="96">
        <v>0</v>
      </c>
      <c r="X1247" s="71">
        <f>CU1247</f>
        <v>15295000</v>
      </c>
      <c r="Y1247" s="71">
        <f>CY1247</f>
        <v>16905000</v>
      </c>
      <c r="Z1247" s="71">
        <f>DA1247+DC1247+DE1247</f>
        <v>72400000</v>
      </c>
      <c r="AA1247" s="71">
        <f>CW1247</f>
        <v>0</v>
      </c>
      <c r="AB1247" s="71"/>
      <c r="AC1247" s="71">
        <v>0</v>
      </c>
      <c r="AD1247" s="71">
        <f>W1247+X1247+Y1247+Z1247+AA1247+AB1247+AC1247</f>
        <v>104600000</v>
      </c>
      <c r="AE1247" s="72">
        <v>0</v>
      </c>
      <c r="AF1247" s="5"/>
      <c r="AG1247" s="6"/>
      <c r="AH1247" s="27" t="s">
        <v>3390</v>
      </c>
      <c r="AI1247" s="44" t="s">
        <v>3391</v>
      </c>
      <c r="AJ1247" s="26"/>
      <c r="AK1247" s="5"/>
      <c r="AL1247" s="82" t="s">
        <v>4992</v>
      </c>
      <c r="AM1247" s="76"/>
      <c r="AN1247" s="76"/>
      <c r="AO1247" s="76"/>
      <c r="AP1247" s="76"/>
      <c r="AQ1247" s="76"/>
      <c r="AR1247" s="76"/>
      <c r="AS1247" s="76"/>
      <c r="AT1247" s="76"/>
      <c r="AU1247" s="76"/>
      <c r="AV1247" s="76"/>
      <c r="AW1247" s="76"/>
      <c r="AX1247" s="76">
        <f>+AW1247*600000</f>
        <v>0</v>
      </c>
      <c r="AY1247" s="76"/>
      <c r="AZ1247" s="76">
        <f>+AY1247*70000</f>
        <v>0</v>
      </c>
      <c r="BA1247" s="76"/>
      <c r="BB1247" s="76"/>
      <c r="BC1247" s="76"/>
      <c r="BD1247" s="76">
        <f>+BC1247*30000</f>
        <v>0</v>
      </c>
      <c r="BE1247" s="76"/>
      <c r="BF1247" s="76"/>
      <c r="BG1247" s="76"/>
      <c r="BH1247" s="76"/>
      <c r="BI1247" s="76"/>
      <c r="BJ1247" s="76"/>
      <c r="BK1247" s="76"/>
      <c r="BL1247" s="76">
        <f>+BK1247*31500</f>
        <v>0</v>
      </c>
      <c r="BM1247" s="76"/>
      <c r="BN1247" s="76"/>
      <c r="BO1247" s="76"/>
      <c r="BP1247" s="76"/>
      <c r="BQ1247" s="76"/>
      <c r="BR1247" s="76"/>
      <c r="BS1247" s="76"/>
      <c r="BT1247" s="76"/>
      <c r="BU1247" s="76"/>
      <c r="BV1247" s="76"/>
      <c r="BW1247" s="76"/>
      <c r="BX1247" s="76"/>
      <c r="BY1247" s="76"/>
      <c r="BZ1247" s="76"/>
      <c r="CA1247" s="76"/>
      <c r="CB1247" s="76"/>
      <c r="CC1247" s="76"/>
      <c r="CD1247" s="76"/>
      <c r="CE1247" s="76"/>
      <c r="CF1247" s="76">
        <f>+CE1247*28000</f>
        <v>0</v>
      </c>
      <c r="CG1247" s="76"/>
      <c r="CH1247" s="76">
        <f>+CG1247*22500</f>
        <v>0</v>
      </c>
      <c r="CI1247" s="76"/>
      <c r="CJ1247" s="76">
        <f>+CI1247*26000</f>
        <v>0</v>
      </c>
      <c r="CK1247" s="76"/>
      <c r="CL1247" s="76"/>
      <c r="CM1247" s="76"/>
      <c r="CN1247" s="76">
        <f>+CM1247*22000</f>
        <v>0</v>
      </c>
      <c r="CO1247" s="86">
        <v>161</v>
      </c>
      <c r="CP1247" s="86">
        <f>+CO1247*46000</f>
        <v>7406000</v>
      </c>
      <c r="CQ1247" s="86">
        <v>161</v>
      </c>
      <c r="CR1247" s="86">
        <f>+CQ1247*49000</f>
        <v>7889000</v>
      </c>
      <c r="CS1247" s="76"/>
      <c r="CT1247" s="76"/>
      <c r="CU1247" s="56">
        <f>AN1247+AP1247+AR1247+AT1247+AV1247+AX1247+AZ1247+BB1247+BD1247+BF1247+BH1247+BJ1247+BL1247+BN1247+BP1247+BR1247+BT1247+BV1247+BX1247+BZ1247+CB1247+CD1247+CF1247+CH1247+CJ1247+CL1247+CN1247+CP1247+CR1247+CT1247</f>
        <v>15295000</v>
      </c>
      <c r="CV1247" s="76"/>
      <c r="CW1247" s="76">
        <f>+CV1247*1100</f>
        <v>0</v>
      </c>
      <c r="CX1247" s="86">
        <v>161</v>
      </c>
      <c r="CY1247" s="86">
        <f>+CX1247*105000</f>
        <v>16905000</v>
      </c>
      <c r="CZ1247" s="76"/>
      <c r="DA1247" s="76">
        <f>+CZ1247*34500</f>
        <v>0</v>
      </c>
      <c r="DB1247" s="86">
        <v>2000</v>
      </c>
      <c r="DC1247" s="86">
        <f>+DB1247*25000+112000*200</f>
        <v>72400000</v>
      </c>
      <c r="DD1247" s="219"/>
      <c r="DE1247" s="219"/>
      <c r="DF1247" s="166"/>
      <c r="DG1247" s="134" t="s">
        <v>5912</v>
      </c>
      <c r="DH1247" s="117"/>
      <c r="DI1247" s="24"/>
      <c r="DJ1247" s="24"/>
      <c r="DK1247" s="24"/>
      <c r="DL1247" s="24"/>
      <c r="DM1247" s="24"/>
      <c r="DN1247" s="24"/>
      <c r="DO1247" s="24"/>
      <c r="DP1247" s="24"/>
      <c r="DQ1247" s="24"/>
      <c r="DR1247" s="24"/>
      <c r="DS1247" s="24"/>
      <c r="DT1247" s="24"/>
      <c r="DU1247" s="24"/>
    </row>
    <row r="1248" spans="1:125" s="8" customFormat="1" ht="96" x14ac:dyDescent="0.2">
      <c r="A1248" s="77">
        <v>41358</v>
      </c>
      <c r="B1248" s="352" t="s">
        <v>2854</v>
      </c>
      <c r="C1248" s="354" t="s">
        <v>2216</v>
      </c>
      <c r="D1248" s="354" t="s">
        <v>2882</v>
      </c>
      <c r="E1248" s="75" t="str">
        <f>VLOOKUP(B1248&amp;C1248,Divipola!$C$2:$F$1138,4,FALSE)</f>
        <v>19075</v>
      </c>
      <c r="F1248" s="87"/>
      <c r="G1248" s="87"/>
      <c r="H1248" s="87"/>
      <c r="I1248" s="87">
        <v>725</v>
      </c>
      <c r="J1248" s="87">
        <v>145</v>
      </c>
      <c r="K1248" s="87"/>
      <c r="L1248" s="87">
        <v>145</v>
      </c>
      <c r="M1248" s="87"/>
      <c r="N1248" s="87"/>
      <c r="O1248" s="87"/>
      <c r="P1248" s="87"/>
      <c r="Q1248" s="87"/>
      <c r="R1248" s="87"/>
      <c r="S1248" s="87"/>
      <c r="T1248" s="87"/>
      <c r="U1248" s="88"/>
      <c r="V1248" s="89"/>
      <c r="W1248" s="96">
        <v>0</v>
      </c>
      <c r="X1248" s="71">
        <f>CU1248</f>
        <v>0</v>
      </c>
      <c r="Y1248" s="71">
        <f>CY1248</f>
        <v>0</v>
      </c>
      <c r="Z1248" s="71">
        <f>DA1248+DC1248+DE1248</f>
        <v>0</v>
      </c>
      <c r="AA1248" s="71">
        <f>CW1248</f>
        <v>0</v>
      </c>
      <c r="AB1248" s="71"/>
      <c r="AC1248" s="71">
        <v>0</v>
      </c>
      <c r="AD1248" s="71">
        <f>W1248+X1248+Y1248+Z1248+AA1248+AB1248+AC1248</f>
        <v>0</v>
      </c>
      <c r="AE1248" s="72">
        <v>0</v>
      </c>
      <c r="AF1248" s="5"/>
      <c r="AG1248" s="6"/>
      <c r="AH1248" s="27" t="s">
        <v>3390</v>
      </c>
      <c r="AI1248" s="44" t="s">
        <v>3393</v>
      </c>
      <c r="AJ1248" s="26"/>
      <c r="AK1248" s="5"/>
      <c r="AL1248" s="82" t="s">
        <v>4082</v>
      </c>
      <c r="AM1248" s="76"/>
      <c r="AN1248" s="76"/>
      <c r="AO1248" s="76"/>
      <c r="AP1248" s="76"/>
      <c r="AQ1248" s="76"/>
      <c r="AR1248" s="76"/>
      <c r="AS1248" s="76"/>
      <c r="AT1248" s="76"/>
      <c r="AU1248" s="76"/>
      <c r="AV1248" s="76"/>
      <c r="AW1248" s="76"/>
      <c r="AX1248" s="76">
        <f>+AW1248*600000</f>
        <v>0</v>
      </c>
      <c r="AY1248" s="76"/>
      <c r="AZ1248" s="76">
        <f>+AY1248*70000</f>
        <v>0</v>
      </c>
      <c r="BA1248" s="76"/>
      <c r="BB1248" s="76"/>
      <c r="BC1248" s="76"/>
      <c r="BD1248" s="76">
        <f>+BC1248*30000</f>
        <v>0</v>
      </c>
      <c r="BE1248" s="76"/>
      <c r="BF1248" s="76"/>
      <c r="BG1248" s="76"/>
      <c r="BH1248" s="76"/>
      <c r="BI1248" s="76"/>
      <c r="BJ1248" s="76"/>
      <c r="BK1248" s="76"/>
      <c r="BL1248" s="76">
        <f>+BK1248*31500</f>
        <v>0</v>
      </c>
      <c r="BM1248" s="76"/>
      <c r="BN1248" s="76"/>
      <c r="BO1248" s="76"/>
      <c r="BP1248" s="76"/>
      <c r="BQ1248" s="76"/>
      <c r="BR1248" s="76"/>
      <c r="BS1248" s="76"/>
      <c r="BT1248" s="76"/>
      <c r="BU1248" s="76"/>
      <c r="BV1248" s="76"/>
      <c r="BW1248" s="76"/>
      <c r="BX1248" s="76"/>
      <c r="BY1248" s="76"/>
      <c r="BZ1248" s="76"/>
      <c r="CA1248" s="76"/>
      <c r="CB1248" s="76"/>
      <c r="CC1248" s="76"/>
      <c r="CD1248" s="76"/>
      <c r="CE1248" s="76"/>
      <c r="CF1248" s="76">
        <f>+CE1248*28000</f>
        <v>0</v>
      </c>
      <c r="CG1248" s="76"/>
      <c r="CH1248" s="76">
        <f>+CG1248*22500</f>
        <v>0</v>
      </c>
      <c r="CI1248" s="76"/>
      <c r="CJ1248" s="76">
        <f>+CI1248*26000</f>
        <v>0</v>
      </c>
      <c r="CK1248" s="76"/>
      <c r="CL1248" s="76"/>
      <c r="CM1248" s="76"/>
      <c r="CN1248" s="76">
        <f>+CM1248*22000</f>
        <v>0</v>
      </c>
      <c r="CO1248" s="76"/>
      <c r="CP1248" s="76">
        <f>+CO1248*46000</f>
        <v>0</v>
      </c>
      <c r="CQ1248" s="76"/>
      <c r="CR1248" s="76">
        <f>+CQ1248*49000</f>
        <v>0</v>
      </c>
      <c r="CS1248" s="76"/>
      <c r="CT1248" s="76"/>
      <c r="CU1248" s="56">
        <f>AN1248+AP1248+AR1248+AT1248+AV1248+AX1248+AZ1248+BB1248+BD1248+BF1248+BH1248+BJ1248+BL1248+BN1248+BP1248+BR1248+BT1248+BV1248+BX1248+BZ1248+CB1248+CD1248+CF1248+CH1248+CJ1248+CL1248+CN1248+CP1248+CR1248+CT1248</f>
        <v>0</v>
      </c>
      <c r="CV1248" s="76"/>
      <c r="CW1248" s="76">
        <f>+CV1248*1100</f>
        <v>0</v>
      </c>
      <c r="CX1248" s="76"/>
      <c r="CY1248" s="76">
        <f>+CX1248*106250</f>
        <v>0</v>
      </c>
      <c r="CZ1248" s="76"/>
      <c r="DA1248" s="76">
        <f>+CZ1248*34500</f>
        <v>0</v>
      </c>
      <c r="DB1248" s="76"/>
      <c r="DC1248" s="76">
        <f>+DB1248*25000</f>
        <v>0</v>
      </c>
      <c r="DD1248" s="219"/>
      <c r="DE1248" s="219"/>
      <c r="DF1248" s="166"/>
      <c r="DG1248" s="116"/>
      <c r="DH1248" s="117"/>
      <c r="DI1248" s="24"/>
      <c r="DJ1248" s="24"/>
      <c r="DK1248" s="24"/>
      <c r="DL1248" s="24"/>
      <c r="DM1248" s="24"/>
      <c r="DN1248" s="24"/>
      <c r="DO1248" s="24"/>
      <c r="DP1248" s="24"/>
      <c r="DQ1248" s="24"/>
      <c r="DR1248" s="24"/>
      <c r="DS1248" s="24"/>
      <c r="DT1248" s="24"/>
      <c r="DU1248" s="24"/>
    </row>
    <row r="1249" spans="1:125" s="8" customFormat="1" ht="96" x14ac:dyDescent="0.2">
      <c r="A1249" s="77">
        <v>41358</v>
      </c>
      <c r="B1249" s="352" t="s">
        <v>2854</v>
      </c>
      <c r="C1249" s="354" t="s">
        <v>831</v>
      </c>
      <c r="D1249" s="84" t="s">
        <v>3088</v>
      </c>
      <c r="E1249" s="75" t="str">
        <f>VLOOKUP(B1249&amp;C1249,Divipola!$C$2:$F$1138,4,FALSE)</f>
        <v>19137</v>
      </c>
      <c r="F1249" s="87"/>
      <c r="G1249" s="87"/>
      <c r="H1249" s="87"/>
      <c r="I1249" s="87">
        <v>20</v>
      </c>
      <c r="J1249" s="87">
        <v>4</v>
      </c>
      <c r="K1249" s="87"/>
      <c r="L1249" s="87">
        <v>4</v>
      </c>
      <c r="M1249" s="87"/>
      <c r="N1249" s="87"/>
      <c r="O1249" s="87"/>
      <c r="P1249" s="87"/>
      <c r="Q1249" s="87"/>
      <c r="R1249" s="87"/>
      <c r="S1249" s="87">
        <v>1</v>
      </c>
      <c r="T1249" s="87"/>
      <c r="U1249" s="88"/>
      <c r="V1249" s="89"/>
      <c r="W1249" s="96">
        <v>0</v>
      </c>
      <c r="X1249" s="71">
        <f>CU1249</f>
        <v>0</v>
      </c>
      <c r="Y1249" s="71">
        <f>CY1249</f>
        <v>0</v>
      </c>
      <c r="Z1249" s="71">
        <f>DA1249+DC1249+DE1249</f>
        <v>0</v>
      </c>
      <c r="AA1249" s="71">
        <f>CW1249</f>
        <v>0</v>
      </c>
      <c r="AB1249" s="71"/>
      <c r="AC1249" s="71">
        <v>0</v>
      </c>
      <c r="AD1249" s="71">
        <f>W1249+X1249+Y1249+Z1249+AA1249+AB1249+AC1249</f>
        <v>0</v>
      </c>
      <c r="AE1249" s="72">
        <v>0</v>
      </c>
      <c r="AF1249" s="5"/>
      <c r="AG1249" s="6"/>
      <c r="AH1249" s="27" t="s">
        <v>3392</v>
      </c>
      <c r="AI1249" s="44" t="s">
        <v>3393</v>
      </c>
      <c r="AJ1249" s="26"/>
      <c r="AK1249" s="5"/>
      <c r="AL1249" s="82" t="s">
        <v>4060</v>
      </c>
      <c r="AM1249" s="76"/>
      <c r="AN1249" s="76"/>
      <c r="AO1249" s="76"/>
      <c r="AP1249" s="76"/>
      <c r="AQ1249" s="76"/>
      <c r="AR1249" s="76"/>
      <c r="AS1249" s="76"/>
      <c r="AT1249" s="76"/>
      <c r="AU1249" s="76"/>
      <c r="AV1249" s="76"/>
      <c r="AW1249" s="76"/>
      <c r="AX1249" s="76">
        <f>+AW1249*600000</f>
        <v>0</v>
      </c>
      <c r="AY1249" s="76"/>
      <c r="AZ1249" s="76">
        <f>+AY1249*70000</f>
        <v>0</v>
      </c>
      <c r="BA1249" s="76"/>
      <c r="BB1249" s="76"/>
      <c r="BC1249" s="76"/>
      <c r="BD1249" s="76">
        <f>+BC1249*30000</f>
        <v>0</v>
      </c>
      <c r="BE1249" s="76"/>
      <c r="BF1249" s="76"/>
      <c r="BG1249" s="76"/>
      <c r="BH1249" s="76"/>
      <c r="BI1249" s="76"/>
      <c r="BJ1249" s="76"/>
      <c r="BK1249" s="76"/>
      <c r="BL1249" s="76">
        <f>+BK1249*31500</f>
        <v>0</v>
      </c>
      <c r="BM1249" s="76"/>
      <c r="BN1249" s="76"/>
      <c r="BO1249" s="76"/>
      <c r="BP1249" s="76"/>
      <c r="BQ1249" s="76"/>
      <c r="BR1249" s="76"/>
      <c r="BS1249" s="76"/>
      <c r="BT1249" s="76"/>
      <c r="BU1249" s="76"/>
      <c r="BV1249" s="76"/>
      <c r="BW1249" s="76"/>
      <c r="BX1249" s="76"/>
      <c r="BY1249" s="76"/>
      <c r="BZ1249" s="76"/>
      <c r="CA1249" s="76"/>
      <c r="CB1249" s="76"/>
      <c r="CC1249" s="76"/>
      <c r="CD1249" s="76"/>
      <c r="CE1249" s="76"/>
      <c r="CF1249" s="76">
        <f>+CE1249*28000</f>
        <v>0</v>
      </c>
      <c r="CG1249" s="76"/>
      <c r="CH1249" s="76">
        <f>+CG1249*22500</f>
        <v>0</v>
      </c>
      <c r="CI1249" s="76"/>
      <c r="CJ1249" s="76">
        <f>+CI1249*26000</f>
        <v>0</v>
      </c>
      <c r="CK1249" s="76"/>
      <c r="CL1249" s="76"/>
      <c r="CM1249" s="76"/>
      <c r="CN1249" s="76">
        <f>+CM1249*22000</f>
        <v>0</v>
      </c>
      <c r="CO1249" s="76"/>
      <c r="CP1249" s="76">
        <f>+CO1249*46000</f>
        <v>0</v>
      </c>
      <c r="CQ1249" s="76"/>
      <c r="CR1249" s="76">
        <f>+CQ1249*49000</f>
        <v>0</v>
      </c>
      <c r="CS1249" s="76"/>
      <c r="CT1249" s="76"/>
      <c r="CU1249" s="56">
        <f>AN1249+AP1249+AR1249+AT1249+AV1249+AX1249+AZ1249+BB1249+BD1249+BF1249+BH1249+BJ1249+BL1249+BN1249+BP1249+BR1249+BT1249+BV1249+BX1249+BZ1249+CB1249+CD1249+CF1249+CH1249+CJ1249+CL1249+CN1249+CP1249+CR1249+CT1249</f>
        <v>0</v>
      </c>
      <c r="CV1249" s="76"/>
      <c r="CW1249" s="76">
        <f>+CV1249*1100</f>
        <v>0</v>
      </c>
      <c r="CX1249" s="76"/>
      <c r="CY1249" s="76">
        <f>+CX1249*106250</f>
        <v>0</v>
      </c>
      <c r="CZ1249" s="76"/>
      <c r="DA1249" s="76">
        <f>+CZ1249*34500</f>
        <v>0</v>
      </c>
      <c r="DB1249" s="76"/>
      <c r="DC1249" s="76">
        <f>+DB1249*25000</f>
        <v>0</v>
      </c>
      <c r="DD1249" s="219"/>
      <c r="DE1249" s="219"/>
      <c r="DF1249" s="166"/>
      <c r="DG1249" s="116"/>
      <c r="DH1249" s="117"/>
      <c r="DI1249" s="24"/>
      <c r="DJ1249" s="24"/>
      <c r="DK1249" s="24"/>
      <c r="DL1249" s="24"/>
      <c r="DM1249" s="24"/>
      <c r="DN1249" s="24"/>
      <c r="DO1249" s="24"/>
      <c r="DP1249" s="24"/>
      <c r="DQ1249" s="24"/>
      <c r="DR1249" s="24"/>
      <c r="DS1249" s="24"/>
      <c r="DT1249" s="24"/>
      <c r="DU1249" s="24"/>
    </row>
    <row r="1250" spans="1:125" s="8" customFormat="1" ht="60" x14ac:dyDescent="0.2">
      <c r="A1250" s="77">
        <v>41358</v>
      </c>
      <c r="B1250" s="78" t="s">
        <v>2854</v>
      </c>
      <c r="C1250" s="75" t="s">
        <v>1326</v>
      </c>
      <c r="D1250" s="84" t="s">
        <v>3088</v>
      </c>
      <c r="E1250" s="75" t="str">
        <f>VLOOKUP(B1250&amp;C1250,Divipola!$C$2:$F$1138,4,FALSE)</f>
        <v>19785</v>
      </c>
      <c r="F1250" s="87"/>
      <c r="G1250" s="87"/>
      <c r="H1250" s="87"/>
      <c r="I1250" s="87">
        <v>300</v>
      </c>
      <c r="J1250" s="87">
        <v>60</v>
      </c>
      <c r="K1250" s="87">
        <v>3</v>
      </c>
      <c r="L1250" s="87">
        <v>57</v>
      </c>
      <c r="M1250" s="87"/>
      <c r="N1250" s="87"/>
      <c r="O1250" s="87"/>
      <c r="P1250" s="87"/>
      <c r="Q1250" s="87"/>
      <c r="R1250" s="87"/>
      <c r="S1250" s="87"/>
      <c r="T1250" s="87"/>
      <c r="U1250" s="88"/>
      <c r="V1250" s="89"/>
      <c r="W1250" s="96">
        <v>0</v>
      </c>
      <c r="X1250" s="71">
        <f>CU1250</f>
        <v>0</v>
      </c>
      <c r="Y1250" s="71">
        <f>CY1250</f>
        <v>0</v>
      </c>
      <c r="Z1250" s="71">
        <f>DA1250+DC1250+DE1250</f>
        <v>0</v>
      </c>
      <c r="AA1250" s="71">
        <f>CW1250</f>
        <v>0</v>
      </c>
      <c r="AB1250" s="71"/>
      <c r="AC1250" s="71">
        <v>0</v>
      </c>
      <c r="AD1250" s="71">
        <f>W1250+X1250+Y1250+Z1250+AA1250+AB1250+AC1250</f>
        <v>0</v>
      </c>
      <c r="AE1250" s="72">
        <v>0</v>
      </c>
      <c r="AF1250" s="5"/>
      <c r="AG1250" s="6"/>
      <c r="AH1250" s="27" t="s">
        <v>3392</v>
      </c>
      <c r="AI1250" s="44" t="s">
        <v>3393</v>
      </c>
      <c r="AJ1250" s="26"/>
      <c r="AK1250" s="5"/>
      <c r="AL1250" s="82" t="s">
        <v>4048</v>
      </c>
      <c r="AM1250" s="76"/>
      <c r="AN1250" s="76"/>
      <c r="AO1250" s="76"/>
      <c r="AP1250" s="76"/>
      <c r="AQ1250" s="76"/>
      <c r="AR1250" s="76"/>
      <c r="AS1250" s="76"/>
      <c r="AT1250" s="76"/>
      <c r="AU1250" s="76"/>
      <c r="AV1250" s="76"/>
      <c r="AW1250" s="76"/>
      <c r="AX1250" s="76">
        <f>+AW1250*600000</f>
        <v>0</v>
      </c>
      <c r="AY1250" s="76"/>
      <c r="AZ1250" s="76">
        <f>+AY1250*70000</f>
        <v>0</v>
      </c>
      <c r="BA1250" s="76"/>
      <c r="BB1250" s="76"/>
      <c r="BC1250" s="76"/>
      <c r="BD1250" s="76">
        <f>+BC1250*30000</f>
        <v>0</v>
      </c>
      <c r="BE1250" s="76"/>
      <c r="BF1250" s="76"/>
      <c r="BG1250" s="76"/>
      <c r="BH1250" s="76"/>
      <c r="BI1250" s="76"/>
      <c r="BJ1250" s="76"/>
      <c r="BK1250" s="76"/>
      <c r="BL1250" s="76">
        <f>+BK1250*31500</f>
        <v>0</v>
      </c>
      <c r="BM1250" s="76"/>
      <c r="BN1250" s="76"/>
      <c r="BO1250" s="76"/>
      <c r="BP1250" s="76"/>
      <c r="BQ1250" s="76"/>
      <c r="BR1250" s="76"/>
      <c r="BS1250" s="76"/>
      <c r="BT1250" s="76"/>
      <c r="BU1250" s="76"/>
      <c r="BV1250" s="76"/>
      <c r="BW1250" s="76"/>
      <c r="BX1250" s="76"/>
      <c r="BY1250" s="76"/>
      <c r="BZ1250" s="76"/>
      <c r="CA1250" s="76"/>
      <c r="CB1250" s="76"/>
      <c r="CC1250" s="76"/>
      <c r="CD1250" s="76"/>
      <c r="CE1250" s="76"/>
      <c r="CF1250" s="76">
        <f>+CE1250*28000</f>
        <v>0</v>
      </c>
      <c r="CG1250" s="76"/>
      <c r="CH1250" s="76">
        <f>+CG1250*22500</f>
        <v>0</v>
      </c>
      <c r="CI1250" s="76"/>
      <c r="CJ1250" s="76">
        <f>+CI1250*26000</f>
        <v>0</v>
      </c>
      <c r="CK1250" s="76"/>
      <c r="CL1250" s="76"/>
      <c r="CM1250" s="76"/>
      <c r="CN1250" s="76">
        <f>+CM1250*22000</f>
        <v>0</v>
      </c>
      <c r="CO1250" s="76"/>
      <c r="CP1250" s="76">
        <f>+CO1250*46000</f>
        <v>0</v>
      </c>
      <c r="CQ1250" s="76"/>
      <c r="CR1250" s="76">
        <f>+CQ1250*49000</f>
        <v>0</v>
      </c>
      <c r="CS1250" s="76"/>
      <c r="CT1250" s="76"/>
      <c r="CU1250" s="56">
        <f>AN1250+AP1250+AR1250+AT1250+AV1250+AX1250+AZ1250+BB1250+BD1250+BF1250+BH1250+BJ1250+BL1250+BN1250+BP1250+BR1250+BT1250+BV1250+BX1250+BZ1250+CB1250+CD1250+CF1250+CH1250+CJ1250+CL1250+CN1250+CP1250+CR1250+CT1250</f>
        <v>0</v>
      </c>
      <c r="CV1250" s="76"/>
      <c r="CW1250" s="76">
        <f>+CV1250*1100</f>
        <v>0</v>
      </c>
      <c r="CX1250" s="76"/>
      <c r="CY1250" s="76">
        <f>+CX1250*106250</f>
        <v>0</v>
      </c>
      <c r="CZ1250" s="76"/>
      <c r="DA1250" s="76">
        <f>+CZ1250*34500</f>
        <v>0</v>
      </c>
      <c r="DB1250" s="76"/>
      <c r="DC1250" s="76">
        <f>+DB1250*25000</f>
        <v>0</v>
      </c>
      <c r="DD1250" s="219"/>
      <c r="DE1250" s="219"/>
      <c r="DF1250" s="166"/>
      <c r="DG1250" s="116"/>
      <c r="DH1250" s="117"/>
      <c r="DI1250" s="24"/>
      <c r="DJ1250" s="24"/>
      <c r="DK1250" s="24"/>
      <c r="DL1250" s="24"/>
      <c r="DM1250" s="24"/>
      <c r="DN1250" s="24"/>
      <c r="DO1250" s="24"/>
      <c r="DP1250" s="24"/>
      <c r="DQ1250" s="24"/>
      <c r="DR1250" s="24"/>
      <c r="DS1250" s="24"/>
      <c r="DT1250" s="24"/>
      <c r="DU1250" s="24"/>
    </row>
    <row r="1251" spans="1:125" s="8" customFormat="1" ht="108" x14ac:dyDescent="0.2">
      <c r="A1251" s="353">
        <v>41358</v>
      </c>
      <c r="B1251" s="352" t="s">
        <v>2772</v>
      </c>
      <c r="C1251" s="354" t="s">
        <v>1135</v>
      </c>
      <c r="D1251" s="354" t="s">
        <v>2849</v>
      </c>
      <c r="E1251" s="75" t="str">
        <f>VLOOKUP(B1251&amp;C1251,Divipola!$C$2:$F$1138,4,FALSE)</f>
        <v>25572</v>
      </c>
      <c r="F1251" s="87">
        <v>2</v>
      </c>
      <c r="G1251" s="87">
        <v>28</v>
      </c>
      <c r="H1251" s="87"/>
      <c r="I1251" s="87">
        <v>30</v>
      </c>
      <c r="J1251" s="87"/>
      <c r="K1251" s="87"/>
      <c r="L1251" s="87"/>
      <c r="M1251" s="87"/>
      <c r="N1251" s="87"/>
      <c r="O1251" s="87"/>
      <c r="P1251" s="87"/>
      <c r="Q1251" s="87"/>
      <c r="R1251" s="87"/>
      <c r="S1251" s="87"/>
      <c r="T1251" s="87"/>
      <c r="U1251" s="88"/>
      <c r="V1251" s="89"/>
      <c r="W1251" s="96">
        <v>0</v>
      </c>
      <c r="X1251" s="71">
        <f>CU1251</f>
        <v>0</v>
      </c>
      <c r="Y1251" s="71">
        <f>CY1251</f>
        <v>0</v>
      </c>
      <c r="Z1251" s="71">
        <f>DA1251+DC1251+DE1251</f>
        <v>0</v>
      </c>
      <c r="AA1251" s="71">
        <f>CW1251</f>
        <v>0</v>
      </c>
      <c r="AB1251" s="71"/>
      <c r="AC1251" s="71">
        <v>0</v>
      </c>
      <c r="AD1251" s="71">
        <f>W1251+X1251+Y1251+Z1251+AA1251+AB1251+AC1251</f>
        <v>0</v>
      </c>
      <c r="AE1251" s="72">
        <v>0</v>
      </c>
      <c r="AF1251" s="5"/>
      <c r="AG1251" s="6"/>
      <c r="AH1251" s="27" t="s">
        <v>3392</v>
      </c>
      <c r="AI1251" s="44" t="s">
        <v>3393</v>
      </c>
      <c r="AJ1251" s="26"/>
      <c r="AK1251" s="5"/>
      <c r="AL1251" s="82" t="s">
        <v>4103</v>
      </c>
      <c r="AM1251" s="76"/>
      <c r="AN1251" s="76"/>
      <c r="AO1251" s="76"/>
      <c r="AP1251" s="76"/>
      <c r="AQ1251" s="76"/>
      <c r="AR1251" s="76"/>
      <c r="AS1251" s="76"/>
      <c r="AT1251" s="76"/>
      <c r="AU1251" s="76"/>
      <c r="AV1251" s="76"/>
      <c r="AW1251" s="76"/>
      <c r="AX1251" s="76">
        <f>+AW1251*600000</f>
        <v>0</v>
      </c>
      <c r="AY1251" s="76"/>
      <c r="AZ1251" s="76">
        <f>+AY1251*70000</f>
        <v>0</v>
      </c>
      <c r="BA1251" s="76"/>
      <c r="BB1251" s="76"/>
      <c r="BC1251" s="76"/>
      <c r="BD1251" s="76">
        <f>+BC1251*30000</f>
        <v>0</v>
      </c>
      <c r="BE1251" s="76"/>
      <c r="BF1251" s="76"/>
      <c r="BG1251" s="76"/>
      <c r="BH1251" s="76"/>
      <c r="BI1251" s="76"/>
      <c r="BJ1251" s="76"/>
      <c r="BK1251" s="76"/>
      <c r="BL1251" s="76">
        <f>+BK1251*31500</f>
        <v>0</v>
      </c>
      <c r="BM1251" s="76"/>
      <c r="BN1251" s="76"/>
      <c r="BO1251" s="76"/>
      <c r="BP1251" s="76"/>
      <c r="BQ1251" s="76"/>
      <c r="BR1251" s="76"/>
      <c r="BS1251" s="76"/>
      <c r="BT1251" s="76"/>
      <c r="BU1251" s="76"/>
      <c r="BV1251" s="76"/>
      <c r="BW1251" s="76"/>
      <c r="BX1251" s="76"/>
      <c r="BY1251" s="76"/>
      <c r="BZ1251" s="76"/>
      <c r="CA1251" s="76"/>
      <c r="CB1251" s="76"/>
      <c r="CC1251" s="76"/>
      <c r="CD1251" s="76"/>
      <c r="CE1251" s="76"/>
      <c r="CF1251" s="76">
        <f>+CE1251*28000</f>
        <v>0</v>
      </c>
      <c r="CG1251" s="76"/>
      <c r="CH1251" s="76">
        <f>+CG1251*22500</f>
        <v>0</v>
      </c>
      <c r="CI1251" s="76"/>
      <c r="CJ1251" s="76">
        <f>+CI1251*26000</f>
        <v>0</v>
      </c>
      <c r="CK1251" s="76"/>
      <c r="CL1251" s="76"/>
      <c r="CM1251" s="76"/>
      <c r="CN1251" s="76">
        <f>+CM1251*22000</f>
        <v>0</v>
      </c>
      <c r="CO1251" s="76"/>
      <c r="CP1251" s="76">
        <f>+CO1251*46000</f>
        <v>0</v>
      </c>
      <c r="CQ1251" s="76"/>
      <c r="CR1251" s="76">
        <f>+CQ1251*49000</f>
        <v>0</v>
      </c>
      <c r="CS1251" s="76"/>
      <c r="CT1251" s="76"/>
      <c r="CU1251" s="56">
        <f>AN1251+AP1251+AR1251+AT1251+AV1251+AX1251+AZ1251+BB1251+BD1251+BF1251+BH1251+BJ1251+BL1251+BN1251+BP1251+BR1251+BT1251+BV1251+BX1251+BZ1251+CB1251+CD1251+CF1251+CH1251+CJ1251+CL1251+CN1251+CP1251+CR1251+CT1251</f>
        <v>0</v>
      </c>
      <c r="CV1251" s="76"/>
      <c r="CW1251" s="76">
        <f>+CV1251*1100</f>
        <v>0</v>
      </c>
      <c r="CX1251" s="76"/>
      <c r="CY1251" s="76">
        <f>+CX1251*106250</f>
        <v>0</v>
      </c>
      <c r="CZ1251" s="76"/>
      <c r="DA1251" s="76">
        <f>+CZ1251*34500</f>
        <v>0</v>
      </c>
      <c r="DB1251" s="76"/>
      <c r="DC1251" s="76">
        <f>+DB1251*25000</f>
        <v>0</v>
      </c>
      <c r="DD1251" s="219"/>
      <c r="DE1251" s="219"/>
      <c r="DF1251" s="166"/>
      <c r="DG1251" s="116"/>
      <c r="DH1251" s="117"/>
      <c r="DI1251" s="24"/>
      <c r="DJ1251" s="24"/>
      <c r="DK1251" s="24"/>
      <c r="DL1251" s="24"/>
      <c r="DM1251" s="24"/>
      <c r="DN1251" s="24"/>
      <c r="DO1251" s="24"/>
      <c r="DP1251" s="24"/>
      <c r="DQ1251" s="24"/>
      <c r="DR1251" s="24"/>
      <c r="DS1251" s="24"/>
      <c r="DT1251" s="24"/>
      <c r="DU1251" s="24"/>
    </row>
    <row r="1252" spans="1:125" s="8" customFormat="1" ht="60" x14ac:dyDescent="0.2">
      <c r="A1252" s="353">
        <v>41358</v>
      </c>
      <c r="B1252" s="352" t="s">
        <v>2661</v>
      </c>
      <c r="C1252" s="354" t="s">
        <v>517</v>
      </c>
      <c r="D1252" s="75" t="s">
        <v>3051</v>
      </c>
      <c r="E1252" s="75" t="str">
        <f>VLOOKUP(B1252&amp;C1252,Divipola!$C$2:$F$1138,4,FALSE)</f>
        <v>41298</v>
      </c>
      <c r="F1252" s="87"/>
      <c r="G1252" s="87"/>
      <c r="H1252" s="87"/>
      <c r="I1252" s="87"/>
      <c r="J1252" s="87"/>
      <c r="K1252" s="87"/>
      <c r="L1252" s="87"/>
      <c r="M1252" s="87"/>
      <c r="N1252" s="87"/>
      <c r="O1252" s="87"/>
      <c r="P1252" s="87">
        <v>1</v>
      </c>
      <c r="Q1252" s="87"/>
      <c r="R1252" s="87"/>
      <c r="S1252" s="87"/>
      <c r="T1252" s="87"/>
      <c r="U1252" s="88"/>
      <c r="V1252" s="89"/>
      <c r="W1252" s="96">
        <v>0</v>
      </c>
      <c r="X1252" s="71">
        <f>CU1252</f>
        <v>0</v>
      </c>
      <c r="Y1252" s="71">
        <f>CY1252</f>
        <v>0</v>
      </c>
      <c r="Z1252" s="71">
        <f>DA1252+DC1252+DE1252</f>
        <v>0</v>
      </c>
      <c r="AA1252" s="71">
        <f>CW1252</f>
        <v>0</v>
      </c>
      <c r="AB1252" s="71"/>
      <c r="AC1252" s="71">
        <v>0</v>
      </c>
      <c r="AD1252" s="71">
        <f>W1252+X1252+Y1252+Z1252+AA1252+AB1252+AC1252</f>
        <v>0</v>
      </c>
      <c r="AE1252" s="72">
        <v>0</v>
      </c>
      <c r="AF1252" s="5"/>
      <c r="AG1252" s="6"/>
      <c r="AH1252" s="27" t="s">
        <v>3392</v>
      </c>
      <c r="AI1252" s="44" t="s">
        <v>3393</v>
      </c>
      <c r="AJ1252" s="26"/>
      <c r="AK1252" s="5"/>
      <c r="AL1252" s="82" t="s">
        <v>4097</v>
      </c>
      <c r="AM1252" s="76"/>
      <c r="AN1252" s="76"/>
      <c r="AO1252" s="76"/>
      <c r="AP1252" s="76"/>
      <c r="AQ1252" s="76"/>
      <c r="AR1252" s="76"/>
      <c r="AS1252" s="76"/>
      <c r="AT1252" s="76"/>
      <c r="AU1252" s="76"/>
      <c r="AV1252" s="76"/>
      <c r="AW1252" s="76"/>
      <c r="AX1252" s="76">
        <f>+AW1252*600000</f>
        <v>0</v>
      </c>
      <c r="AY1252" s="76"/>
      <c r="AZ1252" s="76">
        <f>+AY1252*70000</f>
        <v>0</v>
      </c>
      <c r="BA1252" s="76"/>
      <c r="BB1252" s="76"/>
      <c r="BC1252" s="76"/>
      <c r="BD1252" s="76">
        <f>+BC1252*30000</f>
        <v>0</v>
      </c>
      <c r="BE1252" s="76"/>
      <c r="BF1252" s="76"/>
      <c r="BG1252" s="76"/>
      <c r="BH1252" s="76"/>
      <c r="BI1252" s="76"/>
      <c r="BJ1252" s="76"/>
      <c r="BK1252" s="76"/>
      <c r="BL1252" s="76">
        <f>+BK1252*31500</f>
        <v>0</v>
      </c>
      <c r="BM1252" s="76"/>
      <c r="BN1252" s="76"/>
      <c r="BO1252" s="76"/>
      <c r="BP1252" s="76"/>
      <c r="BQ1252" s="76"/>
      <c r="BR1252" s="76"/>
      <c r="BS1252" s="76"/>
      <c r="BT1252" s="76"/>
      <c r="BU1252" s="76"/>
      <c r="BV1252" s="76"/>
      <c r="BW1252" s="76"/>
      <c r="BX1252" s="76"/>
      <c r="BY1252" s="76"/>
      <c r="BZ1252" s="76"/>
      <c r="CA1252" s="76"/>
      <c r="CB1252" s="76"/>
      <c r="CC1252" s="76"/>
      <c r="CD1252" s="76"/>
      <c r="CE1252" s="76"/>
      <c r="CF1252" s="76">
        <f>+CE1252*28000</f>
        <v>0</v>
      </c>
      <c r="CG1252" s="76"/>
      <c r="CH1252" s="76">
        <f>+CG1252*22500</f>
        <v>0</v>
      </c>
      <c r="CI1252" s="76"/>
      <c r="CJ1252" s="76">
        <f>+CI1252*26000</f>
        <v>0</v>
      </c>
      <c r="CK1252" s="76"/>
      <c r="CL1252" s="76"/>
      <c r="CM1252" s="76"/>
      <c r="CN1252" s="76">
        <f>+CM1252*22000</f>
        <v>0</v>
      </c>
      <c r="CO1252" s="76"/>
      <c r="CP1252" s="76">
        <f>+CO1252*46000</f>
        <v>0</v>
      </c>
      <c r="CQ1252" s="76"/>
      <c r="CR1252" s="76">
        <f>+CQ1252*49000</f>
        <v>0</v>
      </c>
      <c r="CS1252" s="76"/>
      <c r="CT1252" s="76"/>
      <c r="CU1252" s="56">
        <f>AN1252+AP1252+AR1252+AT1252+AV1252+AX1252+AZ1252+BB1252+BD1252+BF1252+BH1252+BJ1252+BL1252+BN1252+BP1252+BR1252+BT1252+BV1252+BX1252+BZ1252+CB1252+CD1252+CF1252+CH1252+CJ1252+CL1252+CN1252+CP1252+CR1252+CT1252</f>
        <v>0</v>
      </c>
      <c r="CV1252" s="76"/>
      <c r="CW1252" s="76">
        <f>+CV1252*1100</f>
        <v>0</v>
      </c>
      <c r="CX1252" s="76"/>
      <c r="CY1252" s="76">
        <f>+CX1252*106250</f>
        <v>0</v>
      </c>
      <c r="CZ1252" s="76"/>
      <c r="DA1252" s="76">
        <f>+CZ1252*34500</f>
        <v>0</v>
      </c>
      <c r="DB1252" s="76"/>
      <c r="DC1252" s="76">
        <f>+DB1252*25000</f>
        <v>0</v>
      </c>
      <c r="DD1252" s="219"/>
      <c r="DE1252" s="219"/>
      <c r="DF1252" s="166"/>
      <c r="DG1252" s="116"/>
      <c r="DH1252" s="117"/>
      <c r="DI1252" s="24"/>
      <c r="DJ1252" s="24"/>
      <c r="DK1252" s="24"/>
      <c r="DL1252" s="24"/>
      <c r="DM1252" s="24"/>
      <c r="DN1252" s="24"/>
      <c r="DO1252" s="24"/>
      <c r="DP1252" s="24"/>
      <c r="DQ1252" s="24"/>
      <c r="DR1252" s="24"/>
      <c r="DS1252" s="24"/>
      <c r="DT1252" s="24"/>
      <c r="DU1252" s="24"/>
    </row>
    <row r="1253" spans="1:125" s="8" customFormat="1" ht="36" x14ac:dyDescent="0.2">
      <c r="A1253" s="353">
        <v>41358</v>
      </c>
      <c r="B1253" s="352" t="s">
        <v>2661</v>
      </c>
      <c r="C1253" s="354" t="s">
        <v>517</v>
      </c>
      <c r="D1253" s="354" t="s">
        <v>2882</v>
      </c>
      <c r="E1253" s="75" t="str">
        <f>VLOOKUP(B1253&amp;C1253,Divipola!$C$2:$F$1138,4,FALSE)</f>
        <v>41298</v>
      </c>
      <c r="F1253" s="87"/>
      <c r="G1253" s="87"/>
      <c r="H1253" s="87"/>
      <c r="I1253" s="87">
        <v>90</v>
      </c>
      <c r="J1253" s="87">
        <v>18</v>
      </c>
      <c r="K1253" s="87"/>
      <c r="L1253" s="87">
        <v>18</v>
      </c>
      <c r="M1253" s="87"/>
      <c r="N1253" s="87"/>
      <c r="O1253" s="87"/>
      <c r="P1253" s="87"/>
      <c r="Q1253" s="87"/>
      <c r="R1253" s="87"/>
      <c r="S1253" s="87"/>
      <c r="T1253" s="87"/>
      <c r="U1253" s="88"/>
      <c r="V1253" s="89"/>
      <c r="W1253" s="96">
        <v>0</v>
      </c>
      <c r="X1253" s="71">
        <f>CU1253</f>
        <v>0</v>
      </c>
      <c r="Y1253" s="71">
        <f>CY1253</f>
        <v>0</v>
      </c>
      <c r="Z1253" s="71">
        <f>DA1253+DC1253+DE1253</f>
        <v>0</v>
      </c>
      <c r="AA1253" s="71">
        <f>CW1253</f>
        <v>0</v>
      </c>
      <c r="AB1253" s="71"/>
      <c r="AC1253" s="71">
        <v>0</v>
      </c>
      <c r="AD1253" s="71">
        <f>W1253+X1253+Y1253+Z1253+AA1253+AB1253+AC1253</f>
        <v>0</v>
      </c>
      <c r="AE1253" s="72">
        <v>0</v>
      </c>
      <c r="AF1253" s="5"/>
      <c r="AG1253" s="6"/>
      <c r="AH1253" s="27" t="s">
        <v>3392</v>
      </c>
      <c r="AI1253" s="44" t="s">
        <v>3393</v>
      </c>
      <c r="AJ1253" s="26"/>
      <c r="AK1253" s="5"/>
      <c r="AL1253" s="82" t="s">
        <v>4095</v>
      </c>
      <c r="AM1253" s="76"/>
      <c r="AN1253" s="76"/>
      <c r="AO1253" s="76"/>
      <c r="AP1253" s="76"/>
      <c r="AQ1253" s="76"/>
      <c r="AR1253" s="76"/>
      <c r="AS1253" s="76"/>
      <c r="AT1253" s="76"/>
      <c r="AU1253" s="76"/>
      <c r="AV1253" s="76"/>
      <c r="AW1253" s="76"/>
      <c r="AX1253" s="76">
        <f>+AW1253*600000</f>
        <v>0</v>
      </c>
      <c r="AY1253" s="76"/>
      <c r="AZ1253" s="76">
        <f>+AY1253*70000</f>
        <v>0</v>
      </c>
      <c r="BA1253" s="76"/>
      <c r="BB1253" s="76"/>
      <c r="BC1253" s="76"/>
      <c r="BD1253" s="76">
        <f>+BC1253*30000</f>
        <v>0</v>
      </c>
      <c r="BE1253" s="76"/>
      <c r="BF1253" s="76"/>
      <c r="BG1253" s="76"/>
      <c r="BH1253" s="76"/>
      <c r="BI1253" s="76"/>
      <c r="BJ1253" s="76"/>
      <c r="BK1253" s="76"/>
      <c r="BL1253" s="76">
        <f>+BK1253*31500</f>
        <v>0</v>
      </c>
      <c r="BM1253" s="76"/>
      <c r="BN1253" s="76"/>
      <c r="BO1253" s="76"/>
      <c r="BP1253" s="76"/>
      <c r="BQ1253" s="76"/>
      <c r="BR1253" s="76"/>
      <c r="BS1253" s="76"/>
      <c r="BT1253" s="76"/>
      <c r="BU1253" s="76"/>
      <c r="BV1253" s="76"/>
      <c r="BW1253" s="76"/>
      <c r="BX1253" s="76"/>
      <c r="BY1253" s="76"/>
      <c r="BZ1253" s="76"/>
      <c r="CA1253" s="76"/>
      <c r="CB1253" s="76"/>
      <c r="CC1253" s="76"/>
      <c r="CD1253" s="76"/>
      <c r="CE1253" s="76"/>
      <c r="CF1253" s="76">
        <f>+CE1253*28000</f>
        <v>0</v>
      </c>
      <c r="CG1253" s="76"/>
      <c r="CH1253" s="76">
        <f>+CG1253*22500</f>
        <v>0</v>
      </c>
      <c r="CI1253" s="76"/>
      <c r="CJ1253" s="76">
        <f>+CI1253*26000</f>
        <v>0</v>
      </c>
      <c r="CK1253" s="76"/>
      <c r="CL1253" s="76"/>
      <c r="CM1253" s="76"/>
      <c r="CN1253" s="76">
        <f>+CM1253*22000</f>
        <v>0</v>
      </c>
      <c r="CO1253" s="76"/>
      <c r="CP1253" s="76">
        <f>+CO1253*46000</f>
        <v>0</v>
      </c>
      <c r="CQ1253" s="76"/>
      <c r="CR1253" s="76">
        <f>+CQ1253*49000</f>
        <v>0</v>
      </c>
      <c r="CS1253" s="76"/>
      <c r="CT1253" s="76"/>
      <c r="CU1253" s="56">
        <f>AN1253+AP1253+AR1253+AT1253+AV1253+AX1253+AZ1253+BB1253+BD1253+BF1253+BH1253+BJ1253+BL1253+BN1253+BP1253+BR1253+BT1253+BV1253+BX1253+BZ1253+CB1253+CD1253+CF1253+CH1253+CJ1253+CL1253+CN1253+CP1253+CR1253+CT1253</f>
        <v>0</v>
      </c>
      <c r="CV1253" s="76"/>
      <c r="CW1253" s="76">
        <f>+CV1253*1100</f>
        <v>0</v>
      </c>
      <c r="CX1253" s="76"/>
      <c r="CY1253" s="76">
        <f>+CX1253*106250</f>
        <v>0</v>
      </c>
      <c r="CZ1253" s="76"/>
      <c r="DA1253" s="76">
        <f>+CZ1253*34500</f>
        <v>0</v>
      </c>
      <c r="DB1253" s="76"/>
      <c r="DC1253" s="76">
        <f>+DB1253*25000</f>
        <v>0</v>
      </c>
      <c r="DD1253" s="219"/>
      <c r="DE1253" s="219"/>
      <c r="DF1253" s="166"/>
      <c r="DG1253" s="116"/>
      <c r="DH1253" s="117"/>
      <c r="DI1253" s="24"/>
      <c r="DJ1253" s="24"/>
      <c r="DK1253" s="24"/>
      <c r="DL1253" s="24"/>
      <c r="DM1253" s="24"/>
      <c r="DN1253" s="24"/>
      <c r="DO1253" s="24"/>
      <c r="DP1253" s="24"/>
      <c r="DQ1253" s="24"/>
      <c r="DR1253" s="24"/>
      <c r="DS1253" s="24"/>
      <c r="DT1253" s="24"/>
      <c r="DU1253" s="24"/>
    </row>
    <row r="1254" spans="1:125" s="8" customFormat="1" ht="48" x14ac:dyDescent="0.2">
      <c r="A1254" s="77">
        <v>41358</v>
      </c>
      <c r="B1254" s="225" t="s">
        <v>2811</v>
      </c>
      <c r="C1254" s="227" t="s">
        <v>494</v>
      </c>
      <c r="D1254" s="84" t="s">
        <v>3088</v>
      </c>
      <c r="E1254" s="75" t="str">
        <f>VLOOKUP(B1254&amp;C1254,Divipola!$C$2:$F$1138,4,FALSE)</f>
        <v>52019</v>
      </c>
      <c r="F1254" s="87"/>
      <c r="G1254" s="87"/>
      <c r="H1254" s="87"/>
      <c r="I1254" s="87"/>
      <c r="J1254" s="87"/>
      <c r="K1254" s="87"/>
      <c r="L1254" s="87"/>
      <c r="M1254" s="87">
        <v>1</v>
      </c>
      <c r="N1254" s="87"/>
      <c r="O1254" s="87"/>
      <c r="P1254" s="87"/>
      <c r="Q1254" s="87"/>
      <c r="R1254" s="87"/>
      <c r="S1254" s="87"/>
      <c r="T1254" s="87"/>
      <c r="U1254" s="88"/>
      <c r="V1254" s="89"/>
      <c r="W1254" s="96">
        <v>0</v>
      </c>
      <c r="X1254" s="71">
        <f>CU1254</f>
        <v>0</v>
      </c>
      <c r="Y1254" s="71">
        <f>CY1254</f>
        <v>0</v>
      </c>
      <c r="Z1254" s="71">
        <f>DA1254+DC1254+DE1254</f>
        <v>0</v>
      </c>
      <c r="AA1254" s="71">
        <f>CW1254</f>
        <v>0</v>
      </c>
      <c r="AB1254" s="71"/>
      <c r="AC1254" s="71">
        <v>0</v>
      </c>
      <c r="AD1254" s="71">
        <f>W1254+X1254+Y1254+Z1254+AA1254+AB1254+AC1254</f>
        <v>0</v>
      </c>
      <c r="AE1254" s="72">
        <v>0</v>
      </c>
      <c r="AF1254" s="5"/>
      <c r="AG1254" s="6"/>
      <c r="AH1254" s="27" t="s">
        <v>3392</v>
      </c>
      <c r="AI1254" s="44" t="s">
        <v>3393</v>
      </c>
      <c r="AJ1254" s="26"/>
      <c r="AK1254" s="5"/>
      <c r="AL1254" s="82" t="s">
        <v>4061</v>
      </c>
      <c r="AM1254" s="76"/>
      <c r="AN1254" s="76"/>
      <c r="AO1254" s="76"/>
      <c r="AP1254" s="76"/>
      <c r="AQ1254" s="76"/>
      <c r="AR1254" s="76"/>
      <c r="AS1254" s="76"/>
      <c r="AT1254" s="76"/>
      <c r="AU1254" s="76"/>
      <c r="AV1254" s="76"/>
      <c r="AW1254" s="76"/>
      <c r="AX1254" s="76">
        <f>+AW1254*600000</f>
        <v>0</v>
      </c>
      <c r="AY1254" s="76"/>
      <c r="AZ1254" s="76">
        <f>+AY1254*70000</f>
        <v>0</v>
      </c>
      <c r="BA1254" s="76"/>
      <c r="BB1254" s="76"/>
      <c r="BC1254" s="76"/>
      <c r="BD1254" s="76">
        <f>+BC1254*30000</f>
        <v>0</v>
      </c>
      <c r="BE1254" s="76"/>
      <c r="BF1254" s="76"/>
      <c r="BG1254" s="76"/>
      <c r="BH1254" s="76"/>
      <c r="BI1254" s="76"/>
      <c r="BJ1254" s="76"/>
      <c r="BK1254" s="76"/>
      <c r="BL1254" s="76">
        <f>+BK1254*31500</f>
        <v>0</v>
      </c>
      <c r="BM1254" s="76"/>
      <c r="BN1254" s="76"/>
      <c r="BO1254" s="76"/>
      <c r="BP1254" s="76"/>
      <c r="BQ1254" s="76"/>
      <c r="BR1254" s="76"/>
      <c r="BS1254" s="76"/>
      <c r="BT1254" s="76"/>
      <c r="BU1254" s="76"/>
      <c r="BV1254" s="76"/>
      <c r="BW1254" s="76"/>
      <c r="BX1254" s="76"/>
      <c r="BY1254" s="76"/>
      <c r="BZ1254" s="76"/>
      <c r="CA1254" s="76"/>
      <c r="CB1254" s="76"/>
      <c r="CC1254" s="76"/>
      <c r="CD1254" s="76"/>
      <c r="CE1254" s="76"/>
      <c r="CF1254" s="76">
        <f>+CE1254*28000</f>
        <v>0</v>
      </c>
      <c r="CG1254" s="76"/>
      <c r="CH1254" s="76">
        <f>+CG1254*22500</f>
        <v>0</v>
      </c>
      <c r="CI1254" s="76"/>
      <c r="CJ1254" s="76">
        <f>+CI1254*26000</f>
        <v>0</v>
      </c>
      <c r="CK1254" s="76"/>
      <c r="CL1254" s="76"/>
      <c r="CM1254" s="76"/>
      <c r="CN1254" s="76">
        <f>+CM1254*22000</f>
        <v>0</v>
      </c>
      <c r="CO1254" s="76"/>
      <c r="CP1254" s="76">
        <f>+CO1254*46000</f>
        <v>0</v>
      </c>
      <c r="CQ1254" s="76"/>
      <c r="CR1254" s="76">
        <f>+CQ1254*49000</f>
        <v>0</v>
      </c>
      <c r="CS1254" s="76"/>
      <c r="CT1254" s="76"/>
      <c r="CU1254" s="56">
        <f>AN1254+AP1254+AR1254+AT1254+AV1254+AX1254+AZ1254+BB1254+BD1254+BF1254+BH1254+BJ1254+BL1254+BN1254+BP1254+BR1254+BT1254+BV1254+BX1254+BZ1254+CB1254+CD1254+CF1254+CH1254+CJ1254+CL1254+CN1254+CP1254+CR1254+CT1254</f>
        <v>0</v>
      </c>
      <c r="CV1254" s="76"/>
      <c r="CW1254" s="76">
        <f>+CV1254*1100</f>
        <v>0</v>
      </c>
      <c r="CX1254" s="76"/>
      <c r="CY1254" s="76">
        <f>+CX1254*106250</f>
        <v>0</v>
      </c>
      <c r="CZ1254" s="76"/>
      <c r="DA1254" s="76">
        <f>+CZ1254*34500</f>
        <v>0</v>
      </c>
      <c r="DB1254" s="76"/>
      <c r="DC1254" s="76">
        <f>+DB1254*25000</f>
        <v>0</v>
      </c>
      <c r="DD1254" s="219"/>
      <c r="DE1254" s="219"/>
      <c r="DF1254" s="166"/>
      <c r="DG1254" s="116"/>
      <c r="DH1254" s="117"/>
      <c r="DI1254" s="24"/>
      <c r="DJ1254" s="24"/>
      <c r="DK1254" s="24"/>
      <c r="DL1254" s="24"/>
      <c r="DM1254" s="24"/>
      <c r="DN1254" s="24"/>
      <c r="DO1254" s="24"/>
      <c r="DP1254" s="24"/>
      <c r="DQ1254" s="24"/>
      <c r="DR1254" s="24"/>
      <c r="DS1254" s="24"/>
      <c r="DT1254" s="24"/>
      <c r="DU1254" s="24"/>
    </row>
    <row r="1255" spans="1:125" s="8" customFormat="1" ht="48" x14ac:dyDescent="0.2">
      <c r="A1255" s="226">
        <v>41358</v>
      </c>
      <c r="B1255" s="352" t="s">
        <v>2811</v>
      </c>
      <c r="C1255" s="354" t="s">
        <v>498</v>
      </c>
      <c r="D1255" s="84" t="s">
        <v>3088</v>
      </c>
      <c r="E1255" s="75" t="str">
        <f>VLOOKUP(B1255&amp;C1255,Divipola!$C$2:$F$1138,4,FALSE)</f>
        <v>52233</v>
      </c>
      <c r="F1255" s="87"/>
      <c r="G1255" s="87"/>
      <c r="H1255" s="87"/>
      <c r="I1255" s="87"/>
      <c r="J1255" s="87"/>
      <c r="K1255" s="87"/>
      <c r="L1255" s="87"/>
      <c r="M1255" s="87">
        <v>2</v>
      </c>
      <c r="N1255" s="87"/>
      <c r="O1255" s="87"/>
      <c r="P1255" s="87"/>
      <c r="Q1255" s="87"/>
      <c r="R1255" s="87"/>
      <c r="S1255" s="87"/>
      <c r="T1255" s="87"/>
      <c r="U1255" s="88"/>
      <c r="V1255" s="89"/>
      <c r="W1255" s="96">
        <v>0</v>
      </c>
      <c r="X1255" s="71">
        <f>CU1255</f>
        <v>0</v>
      </c>
      <c r="Y1255" s="71">
        <f>CY1255</f>
        <v>0</v>
      </c>
      <c r="Z1255" s="71">
        <f>DA1255+DC1255+DE1255</f>
        <v>0</v>
      </c>
      <c r="AA1255" s="71">
        <f>CW1255</f>
        <v>0</v>
      </c>
      <c r="AB1255" s="71"/>
      <c r="AC1255" s="71">
        <v>0</v>
      </c>
      <c r="AD1255" s="71">
        <f>W1255+X1255+Y1255+Z1255+AA1255+AB1255+AC1255</f>
        <v>0</v>
      </c>
      <c r="AE1255" s="72">
        <v>0</v>
      </c>
      <c r="AF1255" s="5"/>
      <c r="AG1255" s="6"/>
      <c r="AH1255" s="27" t="s">
        <v>3392</v>
      </c>
      <c r="AI1255" s="44" t="s">
        <v>3393</v>
      </c>
      <c r="AJ1255" s="26"/>
      <c r="AK1255" s="5"/>
      <c r="AL1255" s="82" t="s">
        <v>4050</v>
      </c>
      <c r="AM1255" s="76"/>
      <c r="AN1255" s="76"/>
      <c r="AO1255" s="76"/>
      <c r="AP1255" s="76"/>
      <c r="AQ1255" s="76"/>
      <c r="AR1255" s="76"/>
      <c r="AS1255" s="76"/>
      <c r="AT1255" s="76"/>
      <c r="AU1255" s="76"/>
      <c r="AV1255" s="76"/>
      <c r="AW1255" s="76"/>
      <c r="AX1255" s="76">
        <f>+AW1255*600000</f>
        <v>0</v>
      </c>
      <c r="AY1255" s="76"/>
      <c r="AZ1255" s="76">
        <f>+AY1255*70000</f>
        <v>0</v>
      </c>
      <c r="BA1255" s="76"/>
      <c r="BB1255" s="76"/>
      <c r="BC1255" s="76"/>
      <c r="BD1255" s="76">
        <f>+BC1255*30000</f>
        <v>0</v>
      </c>
      <c r="BE1255" s="76"/>
      <c r="BF1255" s="76"/>
      <c r="BG1255" s="76"/>
      <c r="BH1255" s="76"/>
      <c r="BI1255" s="76"/>
      <c r="BJ1255" s="76"/>
      <c r="BK1255" s="76"/>
      <c r="BL1255" s="76">
        <f>+BK1255*31500</f>
        <v>0</v>
      </c>
      <c r="BM1255" s="76"/>
      <c r="BN1255" s="76"/>
      <c r="BO1255" s="76"/>
      <c r="BP1255" s="76"/>
      <c r="BQ1255" s="76"/>
      <c r="BR1255" s="76"/>
      <c r="BS1255" s="76"/>
      <c r="BT1255" s="76"/>
      <c r="BU1255" s="76"/>
      <c r="BV1255" s="76"/>
      <c r="BW1255" s="76"/>
      <c r="BX1255" s="76"/>
      <c r="BY1255" s="76"/>
      <c r="BZ1255" s="76"/>
      <c r="CA1255" s="76"/>
      <c r="CB1255" s="76"/>
      <c r="CC1255" s="76"/>
      <c r="CD1255" s="76"/>
      <c r="CE1255" s="76"/>
      <c r="CF1255" s="76">
        <f>+CE1255*28000</f>
        <v>0</v>
      </c>
      <c r="CG1255" s="76"/>
      <c r="CH1255" s="76">
        <f>+CG1255*22500</f>
        <v>0</v>
      </c>
      <c r="CI1255" s="76"/>
      <c r="CJ1255" s="76">
        <f>+CI1255*26000</f>
        <v>0</v>
      </c>
      <c r="CK1255" s="76"/>
      <c r="CL1255" s="76"/>
      <c r="CM1255" s="76"/>
      <c r="CN1255" s="76">
        <f>+CM1255*22000</f>
        <v>0</v>
      </c>
      <c r="CO1255" s="76"/>
      <c r="CP1255" s="76">
        <f>+CO1255*46000</f>
        <v>0</v>
      </c>
      <c r="CQ1255" s="76"/>
      <c r="CR1255" s="76">
        <f>+CQ1255*49000</f>
        <v>0</v>
      </c>
      <c r="CS1255" s="76"/>
      <c r="CT1255" s="76"/>
      <c r="CU1255" s="56">
        <f>AN1255+AP1255+AR1255+AT1255+AV1255+AX1255+AZ1255+BB1255+BD1255+BF1255+BH1255+BJ1255+BL1255+BN1255+BP1255+BR1255+BT1255+BV1255+BX1255+BZ1255+CB1255+CD1255+CF1255+CH1255+CJ1255+CL1255+CN1255+CP1255+CR1255+CT1255</f>
        <v>0</v>
      </c>
      <c r="CV1255" s="76"/>
      <c r="CW1255" s="76">
        <f>+CV1255*1100</f>
        <v>0</v>
      </c>
      <c r="CX1255" s="76"/>
      <c r="CY1255" s="76">
        <f>+CX1255*106250</f>
        <v>0</v>
      </c>
      <c r="CZ1255" s="76"/>
      <c r="DA1255" s="76">
        <f>+CZ1255*34500</f>
        <v>0</v>
      </c>
      <c r="DB1255" s="76"/>
      <c r="DC1255" s="76">
        <f>+DB1255*25000</f>
        <v>0</v>
      </c>
      <c r="DD1255" s="219"/>
      <c r="DE1255" s="219"/>
      <c r="DF1255" s="166"/>
      <c r="DG1255" s="116"/>
      <c r="DH1255" s="117"/>
      <c r="DI1255" s="24"/>
      <c r="DJ1255" s="24"/>
      <c r="DK1255" s="24"/>
      <c r="DL1255" s="24"/>
      <c r="DM1255" s="24"/>
      <c r="DN1255" s="24"/>
      <c r="DO1255" s="24"/>
      <c r="DP1255" s="24"/>
      <c r="DQ1255" s="24"/>
      <c r="DR1255" s="24"/>
      <c r="DS1255" s="24"/>
      <c r="DT1255" s="24"/>
      <c r="DU1255" s="24"/>
    </row>
    <row r="1256" spans="1:125" s="8" customFormat="1" ht="36" x14ac:dyDescent="0.2">
      <c r="A1256" s="226">
        <v>41358</v>
      </c>
      <c r="B1256" s="225" t="s">
        <v>2811</v>
      </c>
      <c r="C1256" s="227" t="s">
        <v>2657</v>
      </c>
      <c r="D1256" s="84" t="s">
        <v>3088</v>
      </c>
      <c r="E1256" s="75" t="str">
        <f>VLOOKUP(B1256&amp;C1256,Divipola!$C$2:$F$1138,4,FALSE)</f>
        <v>52381</v>
      </c>
      <c r="F1256" s="87"/>
      <c r="G1256" s="87"/>
      <c r="H1256" s="87"/>
      <c r="I1256" s="87"/>
      <c r="J1256" s="87"/>
      <c r="K1256" s="87"/>
      <c r="L1256" s="87"/>
      <c r="M1256" s="87">
        <v>1</v>
      </c>
      <c r="N1256" s="87"/>
      <c r="O1256" s="87"/>
      <c r="P1256" s="87"/>
      <c r="Q1256" s="87"/>
      <c r="R1256" s="87"/>
      <c r="S1256" s="87"/>
      <c r="T1256" s="87"/>
      <c r="U1256" s="88"/>
      <c r="V1256" s="89"/>
      <c r="W1256" s="96">
        <v>0</v>
      </c>
      <c r="X1256" s="71">
        <f>CU1256</f>
        <v>0</v>
      </c>
      <c r="Y1256" s="71">
        <f>CY1256</f>
        <v>0</v>
      </c>
      <c r="Z1256" s="71">
        <f>DA1256+DC1256+DE1256</f>
        <v>0</v>
      </c>
      <c r="AA1256" s="71">
        <f>CW1256</f>
        <v>0</v>
      </c>
      <c r="AB1256" s="71"/>
      <c r="AC1256" s="71">
        <v>0</v>
      </c>
      <c r="AD1256" s="71">
        <f>W1256+X1256+Y1256+Z1256+AA1256+AB1256+AC1256</f>
        <v>0</v>
      </c>
      <c r="AE1256" s="72">
        <v>0</v>
      </c>
      <c r="AF1256" s="5"/>
      <c r="AG1256" s="6"/>
      <c r="AH1256" s="27" t="s">
        <v>3392</v>
      </c>
      <c r="AI1256" s="44" t="s">
        <v>3393</v>
      </c>
      <c r="AJ1256" s="26"/>
      <c r="AK1256" s="5"/>
      <c r="AL1256" s="82" t="s">
        <v>4049</v>
      </c>
      <c r="AM1256" s="76"/>
      <c r="AN1256" s="76"/>
      <c r="AO1256" s="76"/>
      <c r="AP1256" s="76"/>
      <c r="AQ1256" s="76"/>
      <c r="AR1256" s="76"/>
      <c r="AS1256" s="76"/>
      <c r="AT1256" s="76"/>
      <c r="AU1256" s="76"/>
      <c r="AV1256" s="76"/>
      <c r="AW1256" s="76"/>
      <c r="AX1256" s="76">
        <f>+AW1256*600000</f>
        <v>0</v>
      </c>
      <c r="AY1256" s="76"/>
      <c r="AZ1256" s="76">
        <f>+AY1256*70000</f>
        <v>0</v>
      </c>
      <c r="BA1256" s="76"/>
      <c r="BB1256" s="76"/>
      <c r="BC1256" s="76"/>
      <c r="BD1256" s="76">
        <f>+BC1256*30000</f>
        <v>0</v>
      </c>
      <c r="BE1256" s="76"/>
      <c r="BF1256" s="76"/>
      <c r="BG1256" s="76"/>
      <c r="BH1256" s="76"/>
      <c r="BI1256" s="76"/>
      <c r="BJ1256" s="76"/>
      <c r="BK1256" s="76"/>
      <c r="BL1256" s="76">
        <f>+BK1256*31500</f>
        <v>0</v>
      </c>
      <c r="BM1256" s="76"/>
      <c r="BN1256" s="76"/>
      <c r="BO1256" s="76"/>
      <c r="BP1256" s="76"/>
      <c r="BQ1256" s="76"/>
      <c r="BR1256" s="76"/>
      <c r="BS1256" s="76"/>
      <c r="BT1256" s="76"/>
      <c r="BU1256" s="76"/>
      <c r="BV1256" s="76"/>
      <c r="BW1256" s="76"/>
      <c r="BX1256" s="76"/>
      <c r="BY1256" s="76"/>
      <c r="BZ1256" s="76"/>
      <c r="CA1256" s="76"/>
      <c r="CB1256" s="76"/>
      <c r="CC1256" s="76"/>
      <c r="CD1256" s="76"/>
      <c r="CE1256" s="76"/>
      <c r="CF1256" s="76">
        <f>+CE1256*28000</f>
        <v>0</v>
      </c>
      <c r="CG1256" s="76"/>
      <c r="CH1256" s="76">
        <f>+CG1256*22500</f>
        <v>0</v>
      </c>
      <c r="CI1256" s="76"/>
      <c r="CJ1256" s="76">
        <f>+CI1256*26000</f>
        <v>0</v>
      </c>
      <c r="CK1256" s="76"/>
      <c r="CL1256" s="76"/>
      <c r="CM1256" s="76"/>
      <c r="CN1256" s="76">
        <f>+CM1256*22000</f>
        <v>0</v>
      </c>
      <c r="CO1256" s="76"/>
      <c r="CP1256" s="76">
        <f>+CO1256*46000</f>
        <v>0</v>
      </c>
      <c r="CQ1256" s="76"/>
      <c r="CR1256" s="76">
        <f>+CQ1256*49000</f>
        <v>0</v>
      </c>
      <c r="CS1256" s="76"/>
      <c r="CT1256" s="76"/>
      <c r="CU1256" s="56">
        <f>AN1256+AP1256+AR1256+AT1256+AV1256+AX1256+AZ1256+BB1256+BD1256+BF1256+BH1256+BJ1256+BL1256+BN1256+BP1256+BR1256+BT1256+BV1256+BX1256+BZ1256+CB1256+CD1256+CF1256+CH1256+CJ1256+CL1256+CN1256+CP1256+CR1256+CT1256</f>
        <v>0</v>
      </c>
      <c r="CV1256" s="76"/>
      <c r="CW1256" s="76">
        <f>+CV1256*1100</f>
        <v>0</v>
      </c>
      <c r="CX1256" s="76"/>
      <c r="CY1256" s="76">
        <f>+CX1256*106250</f>
        <v>0</v>
      </c>
      <c r="CZ1256" s="76"/>
      <c r="DA1256" s="76">
        <f>+CZ1256*34500</f>
        <v>0</v>
      </c>
      <c r="DB1256" s="76"/>
      <c r="DC1256" s="76">
        <f>+DB1256*25000</f>
        <v>0</v>
      </c>
      <c r="DD1256" s="219"/>
      <c r="DE1256" s="219"/>
      <c r="DF1256" s="166"/>
      <c r="DG1256" s="116"/>
      <c r="DH1256" s="117"/>
      <c r="DI1256" s="24"/>
      <c r="DJ1256" s="24"/>
      <c r="DK1256" s="24"/>
      <c r="DL1256" s="24"/>
      <c r="DM1256" s="24"/>
      <c r="DN1256" s="24"/>
      <c r="DO1256" s="24"/>
      <c r="DP1256" s="24"/>
      <c r="DQ1256" s="24"/>
      <c r="DR1256" s="24"/>
      <c r="DS1256" s="24"/>
      <c r="DT1256" s="24"/>
      <c r="DU1256" s="24"/>
    </row>
    <row r="1257" spans="1:125" s="8" customFormat="1" ht="48" x14ac:dyDescent="0.2">
      <c r="A1257" s="77">
        <v>41358</v>
      </c>
      <c r="B1257" s="352" t="s">
        <v>2811</v>
      </c>
      <c r="C1257" s="354" t="s">
        <v>2062</v>
      </c>
      <c r="D1257" s="84" t="s">
        <v>3088</v>
      </c>
      <c r="E1257" s="75" t="str">
        <f>VLOOKUP(B1257&amp;C1257,Divipola!$C$2:$F$1138,4,FALSE)</f>
        <v>52678</v>
      </c>
      <c r="F1257" s="87"/>
      <c r="G1257" s="87"/>
      <c r="H1257" s="87"/>
      <c r="I1257" s="87"/>
      <c r="J1257" s="87"/>
      <c r="K1257" s="87"/>
      <c r="L1257" s="87"/>
      <c r="M1257" s="87">
        <v>1</v>
      </c>
      <c r="N1257" s="87"/>
      <c r="O1257" s="87"/>
      <c r="P1257" s="87"/>
      <c r="Q1257" s="87"/>
      <c r="R1257" s="87"/>
      <c r="S1257" s="87"/>
      <c r="T1257" s="87"/>
      <c r="U1257" s="88"/>
      <c r="V1257" s="89"/>
      <c r="W1257" s="96">
        <v>0</v>
      </c>
      <c r="X1257" s="71">
        <f>CU1257</f>
        <v>0</v>
      </c>
      <c r="Y1257" s="71">
        <f>CY1257</f>
        <v>0</v>
      </c>
      <c r="Z1257" s="71">
        <f>DA1257+DC1257+DE1257</f>
        <v>0</v>
      </c>
      <c r="AA1257" s="71">
        <f>CW1257</f>
        <v>0</v>
      </c>
      <c r="AB1257" s="71"/>
      <c r="AC1257" s="71">
        <v>0</v>
      </c>
      <c r="AD1257" s="71">
        <f>W1257+X1257+Y1257+Z1257+AA1257+AB1257+AC1257</f>
        <v>0</v>
      </c>
      <c r="AE1257" s="72">
        <v>0</v>
      </c>
      <c r="AF1257" s="5"/>
      <c r="AG1257" s="6"/>
      <c r="AH1257" s="27" t="s">
        <v>3392</v>
      </c>
      <c r="AI1257" s="44" t="s">
        <v>3393</v>
      </c>
      <c r="AJ1257" s="26"/>
      <c r="AK1257" s="5"/>
      <c r="AL1257" s="82" t="s">
        <v>4057</v>
      </c>
      <c r="AM1257" s="76"/>
      <c r="AN1257" s="76"/>
      <c r="AO1257" s="76"/>
      <c r="AP1257" s="76"/>
      <c r="AQ1257" s="76"/>
      <c r="AR1257" s="76"/>
      <c r="AS1257" s="76"/>
      <c r="AT1257" s="76"/>
      <c r="AU1257" s="76"/>
      <c r="AV1257" s="76"/>
      <c r="AW1257" s="76"/>
      <c r="AX1257" s="76">
        <f>+AW1257*600000</f>
        <v>0</v>
      </c>
      <c r="AY1257" s="76"/>
      <c r="AZ1257" s="76">
        <f>+AY1257*70000</f>
        <v>0</v>
      </c>
      <c r="BA1257" s="76"/>
      <c r="BB1257" s="76"/>
      <c r="BC1257" s="76"/>
      <c r="BD1257" s="76">
        <f>+BC1257*30000</f>
        <v>0</v>
      </c>
      <c r="BE1257" s="76"/>
      <c r="BF1257" s="76"/>
      <c r="BG1257" s="76"/>
      <c r="BH1257" s="76"/>
      <c r="BI1257" s="76"/>
      <c r="BJ1257" s="76"/>
      <c r="BK1257" s="76"/>
      <c r="BL1257" s="76">
        <f>+BK1257*31500</f>
        <v>0</v>
      </c>
      <c r="BM1257" s="76"/>
      <c r="BN1257" s="76"/>
      <c r="BO1257" s="76"/>
      <c r="BP1257" s="76"/>
      <c r="BQ1257" s="76"/>
      <c r="BR1257" s="76"/>
      <c r="BS1257" s="76"/>
      <c r="BT1257" s="76"/>
      <c r="BU1257" s="76"/>
      <c r="BV1257" s="76"/>
      <c r="BW1257" s="76"/>
      <c r="BX1257" s="76"/>
      <c r="BY1257" s="76"/>
      <c r="BZ1257" s="76"/>
      <c r="CA1257" s="76"/>
      <c r="CB1257" s="76"/>
      <c r="CC1257" s="76"/>
      <c r="CD1257" s="76"/>
      <c r="CE1257" s="76"/>
      <c r="CF1257" s="76">
        <f>+CE1257*28000</f>
        <v>0</v>
      </c>
      <c r="CG1257" s="76"/>
      <c r="CH1257" s="76">
        <f>+CG1257*22500</f>
        <v>0</v>
      </c>
      <c r="CI1257" s="76"/>
      <c r="CJ1257" s="76">
        <f>+CI1257*26000</f>
        <v>0</v>
      </c>
      <c r="CK1257" s="76"/>
      <c r="CL1257" s="76"/>
      <c r="CM1257" s="76"/>
      <c r="CN1257" s="76">
        <f>+CM1257*22000</f>
        <v>0</v>
      </c>
      <c r="CO1257" s="76"/>
      <c r="CP1257" s="76">
        <f>+CO1257*46000</f>
        <v>0</v>
      </c>
      <c r="CQ1257" s="76"/>
      <c r="CR1257" s="76">
        <f>+CQ1257*49000</f>
        <v>0</v>
      </c>
      <c r="CS1257" s="76"/>
      <c r="CT1257" s="76"/>
      <c r="CU1257" s="56">
        <f>AN1257+AP1257+AR1257+AT1257+AV1257+AX1257+AZ1257+BB1257+BD1257+BF1257+BH1257+BJ1257+BL1257+BN1257+BP1257+BR1257+BT1257+BV1257+BX1257+BZ1257+CB1257+CD1257+CF1257+CH1257+CJ1257+CL1257+CN1257+CP1257+CR1257+CT1257</f>
        <v>0</v>
      </c>
      <c r="CV1257" s="76"/>
      <c r="CW1257" s="76">
        <f>+CV1257*1100</f>
        <v>0</v>
      </c>
      <c r="CX1257" s="76"/>
      <c r="CY1257" s="76">
        <f>+CX1257*106250</f>
        <v>0</v>
      </c>
      <c r="CZ1257" s="76"/>
      <c r="DA1257" s="76">
        <f>+CZ1257*34500</f>
        <v>0</v>
      </c>
      <c r="DB1257" s="76"/>
      <c r="DC1257" s="76">
        <f>+DB1257*25000</f>
        <v>0</v>
      </c>
      <c r="DD1257" s="219"/>
      <c r="DE1257" s="219"/>
      <c r="DF1257" s="166"/>
      <c r="DG1257" s="116"/>
      <c r="DH1257" s="117"/>
      <c r="DI1257" s="24"/>
      <c r="DJ1257" s="24"/>
      <c r="DK1257" s="24"/>
      <c r="DL1257" s="24"/>
      <c r="DM1257" s="24"/>
      <c r="DN1257" s="24"/>
      <c r="DO1257" s="24"/>
      <c r="DP1257" s="24"/>
      <c r="DQ1257" s="24"/>
      <c r="DR1257" s="24"/>
      <c r="DS1257" s="24"/>
      <c r="DT1257" s="24"/>
      <c r="DU1257" s="24"/>
    </row>
    <row r="1258" spans="1:125" s="8" customFormat="1" ht="48" x14ac:dyDescent="0.2">
      <c r="A1258" s="77">
        <v>41358</v>
      </c>
      <c r="B1258" s="352" t="s">
        <v>2847</v>
      </c>
      <c r="C1258" s="354" t="s">
        <v>1380</v>
      </c>
      <c r="D1258" s="84" t="s">
        <v>3088</v>
      </c>
      <c r="E1258" s="75" t="str">
        <f>VLOOKUP(B1258&amp;C1258,Divipola!$C$2:$F$1138,4,FALSE)</f>
        <v>68615</v>
      </c>
      <c r="F1258" s="87"/>
      <c r="G1258" s="87"/>
      <c r="H1258" s="87"/>
      <c r="I1258" s="87"/>
      <c r="J1258" s="87"/>
      <c r="K1258" s="87"/>
      <c r="L1258" s="87"/>
      <c r="M1258" s="87"/>
      <c r="N1258" s="87"/>
      <c r="O1258" s="87"/>
      <c r="P1258" s="87"/>
      <c r="Q1258" s="87"/>
      <c r="R1258" s="87"/>
      <c r="S1258" s="87"/>
      <c r="T1258" s="87"/>
      <c r="U1258" s="88"/>
      <c r="V1258" s="89"/>
      <c r="W1258" s="96">
        <v>0</v>
      </c>
      <c r="X1258" s="71">
        <f>CU1258</f>
        <v>0</v>
      </c>
      <c r="Y1258" s="71">
        <f>CY1258</f>
        <v>0</v>
      </c>
      <c r="Z1258" s="71">
        <f>DA1258+DC1258+DE1258</f>
        <v>0</v>
      </c>
      <c r="AA1258" s="71">
        <f>CW1258</f>
        <v>0</v>
      </c>
      <c r="AB1258" s="71"/>
      <c r="AC1258" s="71">
        <v>0</v>
      </c>
      <c r="AD1258" s="71">
        <f>W1258+X1258+Y1258+Z1258+AA1258+AB1258+AC1258</f>
        <v>0</v>
      </c>
      <c r="AE1258" s="72">
        <v>0</v>
      </c>
      <c r="AF1258" s="5"/>
      <c r="AG1258" s="6"/>
      <c r="AH1258" s="27" t="s">
        <v>3392</v>
      </c>
      <c r="AI1258" s="44" t="s">
        <v>3393</v>
      </c>
      <c r="AJ1258" s="26"/>
      <c r="AK1258" s="5"/>
      <c r="AL1258" s="82" t="s">
        <v>4058</v>
      </c>
      <c r="AM1258" s="76"/>
      <c r="AN1258" s="76"/>
      <c r="AO1258" s="76"/>
      <c r="AP1258" s="76"/>
      <c r="AQ1258" s="76"/>
      <c r="AR1258" s="76"/>
      <c r="AS1258" s="76"/>
      <c r="AT1258" s="76"/>
      <c r="AU1258" s="76"/>
      <c r="AV1258" s="76"/>
      <c r="AW1258" s="76"/>
      <c r="AX1258" s="76">
        <f>+AW1258*600000</f>
        <v>0</v>
      </c>
      <c r="AY1258" s="76"/>
      <c r="AZ1258" s="76">
        <f>+AY1258*70000</f>
        <v>0</v>
      </c>
      <c r="BA1258" s="76"/>
      <c r="BB1258" s="76"/>
      <c r="BC1258" s="76"/>
      <c r="BD1258" s="76">
        <f>+BC1258*30000</f>
        <v>0</v>
      </c>
      <c r="BE1258" s="76"/>
      <c r="BF1258" s="76"/>
      <c r="BG1258" s="76"/>
      <c r="BH1258" s="76"/>
      <c r="BI1258" s="76"/>
      <c r="BJ1258" s="76"/>
      <c r="BK1258" s="76"/>
      <c r="BL1258" s="76">
        <f>+BK1258*31500</f>
        <v>0</v>
      </c>
      <c r="BM1258" s="76"/>
      <c r="BN1258" s="76"/>
      <c r="BO1258" s="76"/>
      <c r="BP1258" s="76"/>
      <c r="BQ1258" s="76"/>
      <c r="BR1258" s="76"/>
      <c r="BS1258" s="76"/>
      <c r="BT1258" s="76"/>
      <c r="BU1258" s="76"/>
      <c r="BV1258" s="76"/>
      <c r="BW1258" s="76"/>
      <c r="BX1258" s="76"/>
      <c r="BY1258" s="76"/>
      <c r="BZ1258" s="76"/>
      <c r="CA1258" s="76"/>
      <c r="CB1258" s="76"/>
      <c r="CC1258" s="76"/>
      <c r="CD1258" s="76"/>
      <c r="CE1258" s="76"/>
      <c r="CF1258" s="76">
        <f>+CE1258*28000</f>
        <v>0</v>
      </c>
      <c r="CG1258" s="76"/>
      <c r="CH1258" s="76">
        <f>+CG1258*22500</f>
        <v>0</v>
      </c>
      <c r="CI1258" s="76"/>
      <c r="CJ1258" s="76">
        <f>+CI1258*26000</f>
        <v>0</v>
      </c>
      <c r="CK1258" s="76"/>
      <c r="CL1258" s="76"/>
      <c r="CM1258" s="76"/>
      <c r="CN1258" s="76">
        <f>+CM1258*22000</f>
        <v>0</v>
      </c>
      <c r="CO1258" s="76"/>
      <c r="CP1258" s="76">
        <f>+CO1258*46000</f>
        <v>0</v>
      </c>
      <c r="CQ1258" s="76"/>
      <c r="CR1258" s="76">
        <f>+CQ1258*49000</f>
        <v>0</v>
      </c>
      <c r="CS1258" s="76"/>
      <c r="CT1258" s="76"/>
      <c r="CU1258" s="56">
        <f>AN1258+AP1258+AR1258+AT1258+AV1258+AX1258+AZ1258+BB1258+BD1258+BF1258+BH1258+BJ1258+BL1258+BN1258+BP1258+BR1258+BT1258+BV1258+BX1258+BZ1258+CB1258+CD1258+CF1258+CH1258+CJ1258+CL1258+CN1258+CP1258+CR1258+CT1258</f>
        <v>0</v>
      </c>
      <c r="CV1258" s="76"/>
      <c r="CW1258" s="76">
        <f>+CV1258*1100</f>
        <v>0</v>
      </c>
      <c r="CX1258" s="76"/>
      <c r="CY1258" s="76">
        <f>+CX1258*106250</f>
        <v>0</v>
      </c>
      <c r="CZ1258" s="76"/>
      <c r="DA1258" s="76">
        <f>+CZ1258*34500</f>
        <v>0</v>
      </c>
      <c r="DB1258" s="76"/>
      <c r="DC1258" s="76">
        <f>+DB1258*25000</f>
        <v>0</v>
      </c>
      <c r="DD1258" s="219"/>
      <c r="DE1258" s="219"/>
      <c r="DF1258" s="166"/>
      <c r="DG1258" s="116"/>
      <c r="DH1258" s="117"/>
      <c r="DI1258" s="24"/>
      <c r="DJ1258" s="24"/>
      <c r="DK1258" s="24"/>
      <c r="DL1258" s="24"/>
      <c r="DM1258" s="24"/>
      <c r="DN1258" s="24"/>
      <c r="DO1258" s="24"/>
      <c r="DP1258" s="24"/>
      <c r="DQ1258" s="24"/>
      <c r="DR1258" s="24"/>
      <c r="DS1258" s="24"/>
      <c r="DT1258" s="24"/>
      <c r="DU1258" s="24"/>
    </row>
    <row r="1259" spans="1:125" s="8" customFormat="1" ht="36" x14ac:dyDescent="0.2">
      <c r="A1259" s="77">
        <v>41358</v>
      </c>
      <c r="B1259" s="78" t="s">
        <v>2848</v>
      </c>
      <c r="C1259" s="75" t="s">
        <v>2755</v>
      </c>
      <c r="D1259" s="75" t="s">
        <v>3051</v>
      </c>
      <c r="E1259" s="75" t="str">
        <f>VLOOKUP(B1259&amp;C1259,Divipola!$C$2:$F$1138,4,FALSE)</f>
        <v>73001</v>
      </c>
      <c r="F1259" s="93"/>
      <c r="G1259" s="93"/>
      <c r="H1259" s="93"/>
      <c r="I1259" s="93">
        <v>110</v>
      </c>
      <c r="J1259" s="93">
        <v>22</v>
      </c>
      <c r="K1259" s="93"/>
      <c r="L1259" s="93">
        <v>22</v>
      </c>
      <c r="M1259" s="93"/>
      <c r="N1259" s="93"/>
      <c r="O1259" s="93"/>
      <c r="P1259" s="93"/>
      <c r="Q1259" s="93"/>
      <c r="R1259" s="93"/>
      <c r="S1259" s="93"/>
      <c r="T1259" s="93"/>
      <c r="U1259" s="93"/>
      <c r="V1259" s="89"/>
      <c r="W1259" s="96">
        <v>0</v>
      </c>
      <c r="X1259" s="71">
        <f>CU1259</f>
        <v>0</v>
      </c>
      <c r="Y1259" s="71">
        <f>CY1259</f>
        <v>0</v>
      </c>
      <c r="Z1259" s="71">
        <f>DA1259+DC1259+DE1259</f>
        <v>0</v>
      </c>
      <c r="AA1259" s="71">
        <f>CW1259</f>
        <v>0</v>
      </c>
      <c r="AB1259" s="71"/>
      <c r="AC1259" s="71">
        <v>0</v>
      </c>
      <c r="AD1259" s="71">
        <f>W1259+X1259+Y1259+Z1259+AA1259+AB1259+AC1259</f>
        <v>0</v>
      </c>
      <c r="AE1259" s="72">
        <v>0</v>
      </c>
      <c r="AF1259" s="5"/>
      <c r="AG1259" s="6"/>
      <c r="AH1259" s="27" t="s">
        <v>3392</v>
      </c>
      <c r="AI1259" s="44" t="s">
        <v>3393</v>
      </c>
      <c r="AJ1259" s="26"/>
      <c r="AK1259" s="5"/>
      <c r="AL1259" s="82" t="s">
        <v>4256</v>
      </c>
      <c r="AM1259" s="76"/>
      <c r="AN1259" s="76"/>
      <c r="AO1259" s="76"/>
      <c r="AP1259" s="76"/>
      <c r="AQ1259" s="76"/>
      <c r="AR1259" s="76"/>
      <c r="AS1259" s="76"/>
      <c r="AT1259" s="76"/>
      <c r="AU1259" s="76"/>
      <c r="AV1259" s="76"/>
      <c r="AW1259" s="76"/>
      <c r="AX1259" s="76">
        <f>+AW1259*600000</f>
        <v>0</v>
      </c>
      <c r="AY1259" s="76"/>
      <c r="AZ1259" s="76">
        <f>+AY1259*70000</f>
        <v>0</v>
      </c>
      <c r="BA1259" s="76"/>
      <c r="BB1259" s="76"/>
      <c r="BC1259" s="76"/>
      <c r="BD1259" s="76">
        <f>+BC1259*30000</f>
        <v>0</v>
      </c>
      <c r="BE1259" s="76"/>
      <c r="BF1259" s="76"/>
      <c r="BG1259" s="76"/>
      <c r="BH1259" s="76"/>
      <c r="BI1259" s="76"/>
      <c r="BJ1259" s="76"/>
      <c r="BK1259" s="76"/>
      <c r="BL1259" s="76">
        <f>+BK1259*31500</f>
        <v>0</v>
      </c>
      <c r="BM1259" s="76"/>
      <c r="BN1259" s="76"/>
      <c r="BO1259" s="76"/>
      <c r="BP1259" s="76"/>
      <c r="BQ1259" s="76"/>
      <c r="BR1259" s="76"/>
      <c r="BS1259" s="76"/>
      <c r="BT1259" s="76"/>
      <c r="BU1259" s="76"/>
      <c r="BV1259" s="76"/>
      <c r="BW1259" s="76"/>
      <c r="BX1259" s="76"/>
      <c r="BY1259" s="76"/>
      <c r="BZ1259" s="76"/>
      <c r="CA1259" s="76"/>
      <c r="CB1259" s="76"/>
      <c r="CC1259" s="76"/>
      <c r="CD1259" s="76"/>
      <c r="CE1259" s="76"/>
      <c r="CF1259" s="76">
        <f>+CE1259*28000</f>
        <v>0</v>
      </c>
      <c r="CG1259" s="76"/>
      <c r="CH1259" s="76">
        <f>+CG1259*22500</f>
        <v>0</v>
      </c>
      <c r="CI1259" s="76"/>
      <c r="CJ1259" s="76">
        <f>+CI1259*26000</f>
        <v>0</v>
      </c>
      <c r="CK1259" s="76"/>
      <c r="CL1259" s="76"/>
      <c r="CM1259" s="76"/>
      <c r="CN1259" s="76">
        <f>+CM1259*22000</f>
        <v>0</v>
      </c>
      <c r="CO1259" s="76"/>
      <c r="CP1259" s="76">
        <f>+CO1259*46000</f>
        <v>0</v>
      </c>
      <c r="CQ1259" s="76"/>
      <c r="CR1259" s="76">
        <f>+CQ1259*49000</f>
        <v>0</v>
      </c>
      <c r="CS1259" s="76"/>
      <c r="CT1259" s="76"/>
      <c r="CU1259" s="56">
        <f>AN1259+AP1259+AR1259+AT1259+AV1259+AX1259+AZ1259+BB1259+BD1259+BF1259+BH1259+BJ1259+BL1259+BN1259+BP1259+BR1259+BT1259+BV1259+BX1259+BZ1259+CB1259+CD1259+CF1259+CH1259+CJ1259+CL1259+CN1259+CP1259+CR1259+CT1259</f>
        <v>0</v>
      </c>
      <c r="CV1259" s="76"/>
      <c r="CW1259" s="76">
        <f>+CV1259*1100</f>
        <v>0</v>
      </c>
      <c r="CX1259" s="76"/>
      <c r="CY1259" s="76">
        <f>+CX1259*106250</f>
        <v>0</v>
      </c>
      <c r="CZ1259" s="76"/>
      <c r="DA1259" s="76">
        <f>+CZ1259*34500</f>
        <v>0</v>
      </c>
      <c r="DB1259" s="76"/>
      <c r="DC1259" s="76">
        <f>+DB1259*25000</f>
        <v>0</v>
      </c>
      <c r="DD1259" s="219"/>
      <c r="DE1259" s="219"/>
      <c r="DF1259" s="166"/>
      <c r="DG1259" s="116"/>
      <c r="DH1259" s="117"/>
      <c r="DI1259" s="24"/>
      <c r="DJ1259" s="24"/>
      <c r="DK1259" s="24"/>
      <c r="DL1259" s="24"/>
      <c r="DM1259" s="24"/>
      <c r="DN1259" s="24"/>
      <c r="DO1259" s="24"/>
      <c r="DP1259" s="24"/>
      <c r="DQ1259" s="24"/>
      <c r="DR1259" s="24"/>
      <c r="DS1259" s="24"/>
      <c r="DT1259" s="24"/>
      <c r="DU1259" s="24"/>
    </row>
    <row r="1260" spans="1:125" s="8" customFormat="1" ht="48" x14ac:dyDescent="0.2">
      <c r="A1260" s="77">
        <v>41358</v>
      </c>
      <c r="B1260" s="75" t="s">
        <v>2848</v>
      </c>
      <c r="C1260" s="75" t="s">
        <v>2755</v>
      </c>
      <c r="D1260" s="75" t="s">
        <v>2882</v>
      </c>
      <c r="E1260" s="75" t="str">
        <f>VLOOKUP(B1260&amp;C1260,Divipola!$C$2:$F$1138,4,FALSE)</f>
        <v>73001</v>
      </c>
      <c r="F1260" s="93"/>
      <c r="G1260" s="93"/>
      <c r="H1260" s="93"/>
      <c r="I1260" s="93">
        <v>80</v>
      </c>
      <c r="J1260" s="93">
        <v>16</v>
      </c>
      <c r="K1260" s="93"/>
      <c r="L1260" s="93">
        <v>16</v>
      </c>
      <c r="M1260" s="93"/>
      <c r="N1260" s="93"/>
      <c r="O1260" s="93"/>
      <c r="P1260" s="93"/>
      <c r="Q1260" s="93"/>
      <c r="R1260" s="93"/>
      <c r="S1260" s="93"/>
      <c r="T1260" s="93"/>
      <c r="U1260" s="93"/>
      <c r="V1260" s="93"/>
      <c r="W1260" s="96">
        <v>0</v>
      </c>
      <c r="X1260" s="71">
        <f>CU1260</f>
        <v>0</v>
      </c>
      <c r="Y1260" s="71">
        <f>CY1260</f>
        <v>0</v>
      </c>
      <c r="Z1260" s="71">
        <f>DA1260+DC1260+DE1260</f>
        <v>0</v>
      </c>
      <c r="AA1260" s="71">
        <f>CW1260</f>
        <v>0</v>
      </c>
      <c r="AB1260" s="71"/>
      <c r="AC1260" s="71">
        <v>0</v>
      </c>
      <c r="AD1260" s="71">
        <f>W1260+X1260+Y1260+Z1260+AA1260+AB1260+AC1260</f>
        <v>0</v>
      </c>
      <c r="AE1260" s="72">
        <v>0</v>
      </c>
      <c r="AF1260" s="5"/>
      <c r="AG1260" s="6"/>
      <c r="AH1260" s="27" t="s">
        <v>3392</v>
      </c>
      <c r="AI1260" s="44" t="s">
        <v>3393</v>
      </c>
      <c r="AJ1260" s="26"/>
      <c r="AK1260" s="5"/>
      <c r="AL1260" s="82" t="s">
        <v>4255</v>
      </c>
      <c r="AM1260" s="76"/>
      <c r="AN1260" s="76"/>
      <c r="AO1260" s="76"/>
      <c r="AP1260" s="76"/>
      <c r="AQ1260" s="76"/>
      <c r="AR1260" s="76"/>
      <c r="AS1260" s="76"/>
      <c r="AT1260" s="76"/>
      <c r="AU1260" s="76"/>
      <c r="AV1260" s="76"/>
      <c r="AW1260" s="76"/>
      <c r="AX1260" s="76">
        <f>+AW1260*600000</f>
        <v>0</v>
      </c>
      <c r="AY1260" s="76"/>
      <c r="AZ1260" s="76">
        <f>+AY1260*70000</f>
        <v>0</v>
      </c>
      <c r="BA1260" s="76"/>
      <c r="BB1260" s="76"/>
      <c r="BC1260" s="76"/>
      <c r="BD1260" s="76">
        <f>+BC1260*30000</f>
        <v>0</v>
      </c>
      <c r="BE1260" s="76"/>
      <c r="BF1260" s="76"/>
      <c r="BG1260" s="76"/>
      <c r="BH1260" s="76"/>
      <c r="BI1260" s="76"/>
      <c r="BJ1260" s="76"/>
      <c r="BK1260" s="76"/>
      <c r="BL1260" s="76">
        <f>+BK1260*31500</f>
        <v>0</v>
      </c>
      <c r="BM1260" s="76"/>
      <c r="BN1260" s="76"/>
      <c r="BO1260" s="76"/>
      <c r="BP1260" s="76"/>
      <c r="BQ1260" s="76"/>
      <c r="BR1260" s="76"/>
      <c r="BS1260" s="76"/>
      <c r="BT1260" s="76"/>
      <c r="BU1260" s="76"/>
      <c r="BV1260" s="76"/>
      <c r="BW1260" s="76"/>
      <c r="BX1260" s="76"/>
      <c r="BY1260" s="76"/>
      <c r="BZ1260" s="76"/>
      <c r="CA1260" s="76"/>
      <c r="CB1260" s="76"/>
      <c r="CC1260" s="76"/>
      <c r="CD1260" s="76"/>
      <c r="CE1260" s="76"/>
      <c r="CF1260" s="76">
        <f>+CE1260*28000</f>
        <v>0</v>
      </c>
      <c r="CG1260" s="76"/>
      <c r="CH1260" s="76">
        <f>+CG1260*22500</f>
        <v>0</v>
      </c>
      <c r="CI1260" s="76"/>
      <c r="CJ1260" s="76">
        <f>+CI1260*26000</f>
        <v>0</v>
      </c>
      <c r="CK1260" s="76"/>
      <c r="CL1260" s="76"/>
      <c r="CM1260" s="76"/>
      <c r="CN1260" s="76">
        <f>+CM1260*22000</f>
        <v>0</v>
      </c>
      <c r="CO1260" s="76"/>
      <c r="CP1260" s="76">
        <f>+CO1260*46000</f>
        <v>0</v>
      </c>
      <c r="CQ1260" s="76"/>
      <c r="CR1260" s="76">
        <f>+CQ1260*49000</f>
        <v>0</v>
      </c>
      <c r="CS1260" s="76"/>
      <c r="CT1260" s="76"/>
      <c r="CU1260" s="56">
        <f>AN1260+AP1260+AR1260+AT1260+AV1260+AX1260+AZ1260+BB1260+BD1260+BF1260+BH1260+BJ1260+BL1260+BN1260+BP1260+BR1260+BT1260+BV1260+BX1260+BZ1260+CB1260+CD1260+CF1260+CH1260+CJ1260+CL1260+CN1260+CP1260+CR1260+CT1260</f>
        <v>0</v>
      </c>
      <c r="CV1260" s="76"/>
      <c r="CW1260" s="76">
        <f>+CV1260*1100</f>
        <v>0</v>
      </c>
      <c r="CX1260" s="76"/>
      <c r="CY1260" s="76">
        <f>+CX1260*106250</f>
        <v>0</v>
      </c>
      <c r="CZ1260" s="76"/>
      <c r="DA1260" s="76">
        <f>+CZ1260*34500</f>
        <v>0</v>
      </c>
      <c r="DB1260" s="76"/>
      <c r="DC1260" s="76">
        <f>+DB1260*25000</f>
        <v>0</v>
      </c>
      <c r="DD1260" s="219"/>
      <c r="DE1260" s="219"/>
      <c r="DF1260" s="166"/>
      <c r="DG1260" s="116"/>
      <c r="DH1260" s="117"/>
      <c r="DI1260" s="24"/>
      <c r="DJ1260" s="24"/>
      <c r="DK1260" s="24"/>
      <c r="DL1260" s="24"/>
      <c r="DM1260" s="24"/>
      <c r="DN1260" s="24"/>
      <c r="DO1260" s="24"/>
      <c r="DP1260" s="24"/>
      <c r="DQ1260" s="24"/>
      <c r="DR1260" s="24"/>
      <c r="DS1260" s="24"/>
      <c r="DT1260" s="24"/>
      <c r="DU1260" s="24"/>
    </row>
    <row r="1261" spans="1:125" s="8" customFormat="1" ht="216" x14ac:dyDescent="0.2">
      <c r="A1261" s="77">
        <v>41359</v>
      </c>
      <c r="B1261" s="78" t="s">
        <v>2777</v>
      </c>
      <c r="C1261" s="75" t="s">
        <v>2783</v>
      </c>
      <c r="D1261" s="84" t="s">
        <v>3088</v>
      </c>
      <c r="E1261" s="75" t="str">
        <f>VLOOKUP(B1261&amp;C1261,Divipola!$C$2:$F$1138,4,FALSE)</f>
        <v>13001</v>
      </c>
      <c r="F1261" s="163"/>
      <c r="G1261" s="163"/>
      <c r="H1261" s="163"/>
      <c r="I1261" s="163"/>
      <c r="J1261" s="163"/>
      <c r="K1261" s="163"/>
      <c r="L1261" s="163"/>
      <c r="M1261" s="163"/>
      <c r="N1261" s="163"/>
      <c r="O1261" s="163"/>
      <c r="P1261" s="163"/>
      <c r="Q1261" s="163"/>
      <c r="R1261" s="163"/>
      <c r="S1261" s="163"/>
      <c r="T1261" s="163"/>
      <c r="U1261" s="163"/>
      <c r="V1261" s="134"/>
      <c r="W1261" s="96">
        <f>299400000+399000000+7800000+35400000+324000000+420000000+601200000</f>
        <v>2086800000</v>
      </c>
      <c r="X1261" s="71">
        <f>CU1261</f>
        <v>0</v>
      </c>
      <c r="Y1261" s="71">
        <f>CY1261</f>
        <v>0</v>
      </c>
      <c r="Z1261" s="71">
        <f>DA1261+DC1261+DE1261</f>
        <v>0</v>
      </c>
      <c r="AA1261" s="71">
        <f>CW1261</f>
        <v>0</v>
      </c>
      <c r="AB1261" s="71"/>
      <c r="AC1261" s="71">
        <v>0</v>
      </c>
      <c r="AD1261" s="71">
        <f>W1261+X1261+Y1261+Z1261+AA1261+AB1261+AC1261</f>
        <v>2086800000</v>
      </c>
      <c r="AE1261" s="72">
        <v>0</v>
      </c>
      <c r="AF1261" s="5"/>
      <c r="AG1261" s="6"/>
      <c r="AH1261" s="27" t="s">
        <v>3390</v>
      </c>
      <c r="AI1261" s="44" t="s">
        <v>3391</v>
      </c>
      <c r="AJ1261" s="26"/>
      <c r="AK1261" s="5"/>
      <c r="AL1261" s="82" t="s">
        <v>6360</v>
      </c>
      <c r="AM1261" s="76"/>
      <c r="AN1261" s="76"/>
      <c r="AO1261" s="76"/>
      <c r="AP1261" s="76"/>
      <c r="AQ1261" s="76"/>
      <c r="AR1261" s="76"/>
      <c r="AS1261" s="76"/>
      <c r="AT1261" s="76"/>
      <c r="AU1261" s="76"/>
      <c r="AV1261" s="76"/>
      <c r="AW1261" s="76"/>
      <c r="AX1261" s="76">
        <f>+AW1261*600000</f>
        <v>0</v>
      </c>
      <c r="AY1261" s="76"/>
      <c r="AZ1261" s="76">
        <f>+AY1261*70000</f>
        <v>0</v>
      </c>
      <c r="BA1261" s="76"/>
      <c r="BB1261" s="76"/>
      <c r="BC1261" s="76"/>
      <c r="BD1261" s="76">
        <f>+BC1261*30000</f>
        <v>0</v>
      </c>
      <c r="BE1261" s="76"/>
      <c r="BF1261" s="76"/>
      <c r="BG1261" s="76"/>
      <c r="BH1261" s="76"/>
      <c r="BI1261" s="76"/>
      <c r="BJ1261" s="76"/>
      <c r="BK1261" s="76"/>
      <c r="BL1261" s="76">
        <f>+BK1261*31500</f>
        <v>0</v>
      </c>
      <c r="BM1261" s="76"/>
      <c r="BN1261" s="76"/>
      <c r="BO1261" s="76"/>
      <c r="BP1261" s="76"/>
      <c r="BQ1261" s="76"/>
      <c r="BR1261" s="76"/>
      <c r="BS1261" s="76"/>
      <c r="BT1261" s="76"/>
      <c r="BU1261" s="76"/>
      <c r="BV1261" s="76"/>
      <c r="BW1261" s="76"/>
      <c r="BX1261" s="76"/>
      <c r="BY1261" s="76"/>
      <c r="BZ1261" s="76"/>
      <c r="CA1261" s="76"/>
      <c r="CB1261" s="76"/>
      <c r="CC1261" s="76"/>
      <c r="CD1261" s="76"/>
      <c r="CE1261" s="76"/>
      <c r="CF1261" s="76">
        <f>+CE1261*28000</f>
        <v>0</v>
      </c>
      <c r="CG1261" s="76"/>
      <c r="CH1261" s="76">
        <f>+CG1261*22500</f>
        <v>0</v>
      </c>
      <c r="CI1261" s="76"/>
      <c r="CJ1261" s="76">
        <f>+CI1261*26000</f>
        <v>0</v>
      </c>
      <c r="CK1261" s="76"/>
      <c r="CL1261" s="76"/>
      <c r="CM1261" s="76"/>
      <c r="CN1261" s="76">
        <f>+CM1261*22000</f>
        <v>0</v>
      </c>
      <c r="CO1261" s="76"/>
      <c r="CP1261" s="76">
        <f>+CO1261*46000</f>
        <v>0</v>
      </c>
      <c r="CQ1261" s="76"/>
      <c r="CR1261" s="76">
        <f>+CQ1261*49000</f>
        <v>0</v>
      </c>
      <c r="CS1261" s="76"/>
      <c r="CT1261" s="76"/>
      <c r="CU1261" s="56">
        <f>AN1261+AP1261+AR1261+AT1261+AV1261+AX1261+AZ1261+BB1261+BD1261+BF1261+BH1261+BJ1261+BL1261+BN1261+BP1261+BR1261+BT1261+BV1261+BX1261+BZ1261+CB1261+CD1261+CF1261+CH1261+CJ1261+CL1261+CN1261+CP1261+CR1261+CT1261</f>
        <v>0</v>
      </c>
      <c r="CV1261" s="76"/>
      <c r="CW1261" s="76">
        <f>+CV1261*1100</f>
        <v>0</v>
      </c>
      <c r="CX1261" s="76"/>
      <c r="CY1261" s="76">
        <f>+CX1261*106250</f>
        <v>0</v>
      </c>
      <c r="CZ1261" s="76"/>
      <c r="DA1261" s="76">
        <f>+CZ1261*34500</f>
        <v>0</v>
      </c>
      <c r="DB1261" s="76"/>
      <c r="DC1261" s="76">
        <f>+DB1261*25000</f>
        <v>0</v>
      </c>
      <c r="DD1261" s="219"/>
      <c r="DE1261" s="219"/>
      <c r="DF1261" s="166"/>
      <c r="DG1261" s="116"/>
      <c r="DH1261" s="117"/>
      <c r="DI1261" s="24"/>
      <c r="DJ1261" s="24"/>
      <c r="DK1261" s="24"/>
      <c r="DL1261" s="24"/>
      <c r="DM1261" s="24"/>
      <c r="DN1261" s="24"/>
      <c r="DO1261" s="24"/>
      <c r="DP1261" s="24"/>
      <c r="DQ1261" s="24"/>
      <c r="DR1261" s="24"/>
      <c r="DS1261" s="24"/>
      <c r="DT1261" s="24"/>
      <c r="DU1261" s="24"/>
    </row>
    <row r="1262" spans="1:125" s="8" customFormat="1" ht="48" x14ac:dyDescent="0.2">
      <c r="A1262" s="353">
        <v>41359</v>
      </c>
      <c r="B1262" s="352" t="s">
        <v>2700</v>
      </c>
      <c r="C1262" s="354" t="s">
        <v>1585</v>
      </c>
      <c r="D1262" s="81" t="s">
        <v>2846</v>
      </c>
      <c r="E1262" s="75" t="str">
        <f>VLOOKUP(B1262&amp;C1262,Divipola!$C$2:$F$1138,4,FALSE)</f>
        <v>15114</v>
      </c>
      <c r="F1262" s="87"/>
      <c r="G1262" s="87"/>
      <c r="H1262" s="87"/>
      <c r="I1262" s="87"/>
      <c r="J1262" s="87"/>
      <c r="K1262" s="87"/>
      <c r="L1262" s="87"/>
      <c r="M1262" s="87"/>
      <c r="N1262" s="87"/>
      <c r="O1262" s="87"/>
      <c r="P1262" s="87"/>
      <c r="Q1262" s="87"/>
      <c r="R1262" s="87"/>
      <c r="S1262" s="87"/>
      <c r="T1262" s="87"/>
      <c r="U1262" s="88">
        <v>20</v>
      </c>
      <c r="V1262" s="89"/>
      <c r="W1262" s="96">
        <v>0</v>
      </c>
      <c r="X1262" s="71">
        <f>CU1262</f>
        <v>0</v>
      </c>
      <c r="Y1262" s="71">
        <f>CY1262</f>
        <v>0</v>
      </c>
      <c r="Z1262" s="71">
        <f>DA1262+DC1262+DE1262</f>
        <v>0</v>
      </c>
      <c r="AA1262" s="71">
        <f>CW1262</f>
        <v>0</v>
      </c>
      <c r="AB1262" s="71"/>
      <c r="AC1262" s="71">
        <v>0</v>
      </c>
      <c r="AD1262" s="71">
        <f>W1262+X1262+Y1262+Z1262+AA1262+AB1262+AC1262</f>
        <v>0</v>
      </c>
      <c r="AE1262" s="72">
        <v>0</v>
      </c>
      <c r="AF1262" s="5"/>
      <c r="AG1262" s="6"/>
      <c r="AH1262" s="27" t="s">
        <v>3392</v>
      </c>
      <c r="AI1262" s="44" t="s">
        <v>3393</v>
      </c>
      <c r="AJ1262" s="26"/>
      <c r="AK1262" s="5"/>
      <c r="AL1262" s="82" t="s">
        <v>4089</v>
      </c>
      <c r="AM1262" s="76"/>
      <c r="AN1262" s="76"/>
      <c r="AO1262" s="76"/>
      <c r="AP1262" s="76"/>
      <c r="AQ1262" s="76"/>
      <c r="AR1262" s="76"/>
      <c r="AS1262" s="76"/>
      <c r="AT1262" s="76"/>
      <c r="AU1262" s="76"/>
      <c r="AV1262" s="76"/>
      <c r="AW1262" s="76"/>
      <c r="AX1262" s="76">
        <f>+AW1262*600000</f>
        <v>0</v>
      </c>
      <c r="AY1262" s="76"/>
      <c r="AZ1262" s="76">
        <f>+AY1262*70000</f>
        <v>0</v>
      </c>
      <c r="BA1262" s="76"/>
      <c r="BB1262" s="76"/>
      <c r="BC1262" s="76"/>
      <c r="BD1262" s="76">
        <f>+BC1262*30000</f>
        <v>0</v>
      </c>
      <c r="BE1262" s="76"/>
      <c r="BF1262" s="76"/>
      <c r="BG1262" s="76"/>
      <c r="BH1262" s="76"/>
      <c r="BI1262" s="76"/>
      <c r="BJ1262" s="76"/>
      <c r="BK1262" s="76"/>
      <c r="BL1262" s="76">
        <f>+BK1262*31500</f>
        <v>0</v>
      </c>
      <c r="BM1262" s="76"/>
      <c r="BN1262" s="76"/>
      <c r="BO1262" s="76"/>
      <c r="BP1262" s="76"/>
      <c r="BQ1262" s="76"/>
      <c r="BR1262" s="76"/>
      <c r="BS1262" s="76"/>
      <c r="BT1262" s="76"/>
      <c r="BU1262" s="76"/>
      <c r="BV1262" s="76"/>
      <c r="BW1262" s="76"/>
      <c r="BX1262" s="76"/>
      <c r="BY1262" s="76"/>
      <c r="BZ1262" s="76"/>
      <c r="CA1262" s="76"/>
      <c r="CB1262" s="76"/>
      <c r="CC1262" s="76"/>
      <c r="CD1262" s="76"/>
      <c r="CE1262" s="76"/>
      <c r="CF1262" s="76">
        <f>+CE1262*28000</f>
        <v>0</v>
      </c>
      <c r="CG1262" s="76"/>
      <c r="CH1262" s="76">
        <f>+CG1262*22500</f>
        <v>0</v>
      </c>
      <c r="CI1262" s="76"/>
      <c r="CJ1262" s="76">
        <f>+CI1262*26000</f>
        <v>0</v>
      </c>
      <c r="CK1262" s="76"/>
      <c r="CL1262" s="76"/>
      <c r="CM1262" s="76"/>
      <c r="CN1262" s="76">
        <f>+CM1262*22000</f>
        <v>0</v>
      </c>
      <c r="CO1262" s="76"/>
      <c r="CP1262" s="76">
        <f>+CO1262*46000</f>
        <v>0</v>
      </c>
      <c r="CQ1262" s="76"/>
      <c r="CR1262" s="76">
        <f>+CQ1262*49000</f>
        <v>0</v>
      </c>
      <c r="CS1262" s="76"/>
      <c r="CT1262" s="76"/>
      <c r="CU1262" s="56">
        <f>AN1262+AP1262+AR1262+AT1262+AV1262+AX1262+AZ1262+BB1262+BD1262+BF1262+BH1262+BJ1262+BL1262+BN1262+BP1262+BR1262+BT1262+BV1262+BX1262+BZ1262+CB1262+CD1262+CF1262+CH1262+CJ1262+CL1262+CN1262+CP1262+CR1262+CT1262</f>
        <v>0</v>
      </c>
      <c r="CV1262" s="76"/>
      <c r="CW1262" s="76">
        <f>+CV1262*1100</f>
        <v>0</v>
      </c>
      <c r="CX1262" s="76"/>
      <c r="CY1262" s="76">
        <f>+CX1262*106250</f>
        <v>0</v>
      </c>
      <c r="CZ1262" s="76"/>
      <c r="DA1262" s="76">
        <f>+CZ1262*34500</f>
        <v>0</v>
      </c>
      <c r="DB1262" s="76"/>
      <c r="DC1262" s="76">
        <f>+DB1262*25000</f>
        <v>0</v>
      </c>
      <c r="DD1262" s="219"/>
      <c r="DE1262" s="219"/>
      <c r="DF1262" s="166"/>
      <c r="DG1262" s="116"/>
      <c r="DH1262" s="117"/>
      <c r="DI1262" s="24"/>
      <c r="DJ1262" s="24"/>
      <c r="DK1262" s="24"/>
      <c r="DL1262" s="24"/>
      <c r="DM1262" s="24"/>
      <c r="DN1262" s="24"/>
      <c r="DO1262" s="24"/>
      <c r="DP1262" s="24"/>
      <c r="DQ1262" s="24"/>
      <c r="DR1262" s="24"/>
      <c r="DS1262" s="24"/>
      <c r="DT1262" s="24"/>
      <c r="DU1262" s="24"/>
    </row>
    <row r="1263" spans="1:125" s="8" customFormat="1" ht="36" x14ac:dyDescent="0.2">
      <c r="A1263" s="77">
        <v>41359</v>
      </c>
      <c r="B1263" s="78" t="s">
        <v>2196</v>
      </c>
      <c r="C1263" s="75" t="s">
        <v>523</v>
      </c>
      <c r="D1263" s="75" t="s">
        <v>3051</v>
      </c>
      <c r="E1263" s="75" t="str">
        <f>VLOOKUP(B1263&amp;C1263,Divipola!$C$2:$F$1138,4,FALSE)</f>
        <v>17174</v>
      </c>
      <c r="F1263" s="163"/>
      <c r="G1263" s="163"/>
      <c r="H1263" s="163"/>
      <c r="I1263" s="163"/>
      <c r="J1263" s="163"/>
      <c r="K1263" s="163"/>
      <c r="L1263" s="163"/>
      <c r="M1263" s="163"/>
      <c r="N1263" s="163"/>
      <c r="O1263" s="163"/>
      <c r="P1263" s="163"/>
      <c r="Q1263" s="163"/>
      <c r="R1263" s="163"/>
      <c r="S1263" s="163"/>
      <c r="T1263" s="163"/>
      <c r="U1263" s="163"/>
      <c r="V1263" s="134"/>
      <c r="W1263" s="96">
        <v>600000</v>
      </c>
      <c r="X1263" s="71">
        <f>CU1263</f>
        <v>0</v>
      </c>
      <c r="Y1263" s="71">
        <f>CY1263</f>
        <v>0</v>
      </c>
      <c r="Z1263" s="71">
        <f>DA1263+DC1263+DE1263</f>
        <v>0</v>
      </c>
      <c r="AA1263" s="71">
        <f>CW1263</f>
        <v>0</v>
      </c>
      <c r="AB1263" s="71"/>
      <c r="AC1263" s="71">
        <v>0</v>
      </c>
      <c r="AD1263" s="71">
        <f>W1263+X1263+Y1263+Z1263+AA1263+AB1263+AC1263</f>
        <v>600000</v>
      </c>
      <c r="AE1263" s="72">
        <v>0</v>
      </c>
      <c r="AF1263" s="5"/>
      <c r="AG1263" s="6"/>
      <c r="AH1263" s="27" t="s">
        <v>3390</v>
      </c>
      <c r="AI1263" s="44" t="s">
        <v>3391</v>
      </c>
      <c r="AJ1263" s="26"/>
      <c r="AK1263" s="5"/>
      <c r="AL1263" s="82" t="s">
        <v>4064</v>
      </c>
      <c r="AM1263" s="76"/>
      <c r="AN1263" s="76"/>
      <c r="AO1263" s="76"/>
      <c r="AP1263" s="76"/>
      <c r="AQ1263" s="76"/>
      <c r="AR1263" s="76"/>
      <c r="AS1263" s="76"/>
      <c r="AT1263" s="76"/>
      <c r="AU1263" s="76"/>
      <c r="AV1263" s="76"/>
      <c r="AW1263" s="76"/>
      <c r="AX1263" s="76">
        <f>+AW1263*600000</f>
        <v>0</v>
      </c>
      <c r="AY1263" s="76"/>
      <c r="AZ1263" s="76">
        <f>+AY1263*70000</f>
        <v>0</v>
      </c>
      <c r="BA1263" s="76"/>
      <c r="BB1263" s="76"/>
      <c r="BC1263" s="76"/>
      <c r="BD1263" s="76">
        <f>+BC1263*30000</f>
        <v>0</v>
      </c>
      <c r="BE1263" s="76"/>
      <c r="BF1263" s="76"/>
      <c r="BG1263" s="76"/>
      <c r="BH1263" s="76"/>
      <c r="BI1263" s="76"/>
      <c r="BJ1263" s="76"/>
      <c r="BK1263" s="76"/>
      <c r="BL1263" s="76">
        <f>+BK1263*31500</f>
        <v>0</v>
      </c>
      <c r="BM1263" s="76"/>
      <c r="BN1263" s="76"/>
      <c r="BO1263" s="76"/>
      <c r="BP1263" s="76"/>
      <c r="BQ1263" s="76"/>
      <c r="BR1263" s="76"/>
      <c r="BS1263" s="76"/>
      <c r="BT1263" s="76"/>
      <c r="BU1263" s="76"/>
      <c r="BV1263" s="76"/>
      <c r="BW1263" s="76"/>
      <c r="BX1263" s="76"/>
      <c r="BY1263" s="76"/>
      <c r="BZ1263" s="76"/>
      <c r="CA1263" s="76"/>
      <c r="CB1263" s="76"/>
      <c r="CC1263" s="76"/>
      <c r="CD1263" s="76"/>
      <c r="CE1263" s="76"/>
      <c r="CF1263" s="76">
        <f>+CE1263*28000</f>
        <v>0</v>
      </c>
      <c r="CG1263" s="76"/>
      <c r="CH1263" s="76">
        <f>+CG1263*22500</f>
        <v>0</v>
      </c>
      <c r="CI1263" s="76"/>
      <c r="CJ1263" s="76">
        <f>+CI1263*26000</f>
        <v>0</v>
      </c>
      <c r="CK1263" s="76"/>
      <c r="CL1263" s="76"/>
      <c r="CM1263" s="76"/>
      <c r="CN1263" s="76">
        <f>+CM1263*22000</f>
        <v>0</v>
      </c>
      <c r="CO1263" s="76"/>
      <c r="CP1263" s="76">
        <f>+CO1263*46000</f>
        <v>0</v>
      </c>
      <c r="CQ1263" s="76"/>
      <c r="CR1263" s="76">
        <f>+CQ1263*49000</f>
        <v>0</v>
      </c>
      <c r="CS1263" s="76"/>
      <c r="CT1263" s="76"/>
      <c r="CU1263" s="56">
        <f>AN1263+AP1263+AR1263+AT1263+AV1263+AX1263+AZ1263+BB1263+BD1263+BF1263+BH1263+BJ1263+BL1263+BN1263+BP1263+BR1263+BT1263+BV1263+BX1263+BZ1263+CB1263+CD1263+CF1263+CH1263+CJ1263+CL1263+CN1263+CP1263+CR1263+CT1263</f>
        <v>0</v>
      </c>
      <c r="CV1263" s="76"/>
      <c r="CW1263" s="76">
        <f>+CV1263*1100</f>
        <v>0</v>
      </c>
      <c r="CX1263" s="76"/>
      <c r="CY1263" s="76">
        <f>+CX1263*106250</f>
        <v>0</v>
      </c>
      <c r="CZ1263" s="76"/>
      <c r="DA1263" s="76">
        <f>+CZ1263*34500</f>
        <v>0</v>
      </c>
      <c r="DB1263" s="76"/>
      <c r="DC1263" s="76">
        <f>+DB1263*25000</f>
        <v>0</v>
      </c>
      <c r="DD1263" s="219"/>
      <c r="DE1263" s="219"/>
      <c r="DF1263" s="166"/>
      <c r="DG1263" s="116"/>
      <c r="DH1263" s="117"/>
      <c r="DI1263" s="24"/>
      <c r="DJ1263" s="24"/>
      <c r="DK1263" s="24"/>
      <c r="DL1263" s="24"/>
      <c r="DM1263" s="24"/>
      <c r="DN1263" s="24"/>
      <c r="DO1263" s="24"/>
      <c r="DP1263" s="24"/>
      <c r="DQ1263" s="24"/>
      <c r="DR1263" s="24"/>
      <c r="DS1263" s="24"/>
      <c r="DT1263" s="24"/>
      <c r="DU1263" s="24"/>
    </row>
    <row r="1264" spans="1:125" s="8" customFormat="1" ht="132" x14ac:dyDescent="0.2">
      <c r="A1264" s="77">
        <v>41359</v>
      </c>
      <c r="B1264" s="352" t="s">
        <v>2196</v>
      </c>
      <c r="C1264" s="354" t="s">
        <v>524</v>
      </c>
      <c r="D1264" s="75" t="s">
        <v>3051</v>
      </c>
      <c r="E1264" s="75" t="str">
        <f>VLOOKUP(B1264&amp;C1264,Divipola!$C$2:$F$1138,4,FALSE)</f>
        <v>17495</v>
      </c>
      <c r="F1264" s="87"/>
      <c r="G1264" s="87"/>
      <c r="H1264" s="87"/>
      <c r="I1264" s="87">
        <v>250</v>
      </c>
      <c r="J1264" s="87">
        <v>50</v>
      </c>
      <c r="K1264" s="87"/>
      <c r="L1264" s="87">
        <v>50</v>
      </c>
      <c r="M1264" s="87"/>
      <c r="N1264" s="87"/>
      <c r="O1264" s="87"/>
      <c r="P1264" s="87"/>
      <c r="Q1264" s="87"/>
      <c r="R1264" s="87"/>
      <c r="S1264" s="87"/>
      <c r="T1264" s="87">
        <v>2</v>
      </c>
      <c r="U1264" s="88"/>
      <c r="V1264" s="89">
        <v>1</v>
      </c>
      <c r="W1264" s="96">
        <v>0</v>
      </c>
      <c r="X1264" s="71">
        <f>CU1264</f>
        <v>19149686</v>
      </c>
      <c r="Y1264" s="71">
        <f>CY1264</f>
        <v>5312500</v>
      </c>
      <c r="Z1264" s="71">
        <f>DA1264+DC1264+DE1264</f>
        <v>0</v>
      </c>
      <c r="AA1264" s="71">
        <f>CW1264</f>
        <v>0</v>
      </c>
      <c r="AB1264" s="71"/>
      <c r="AC1264" s="71">
        <v>0</v>
      </c>
      <c r="AD1264" s="71">
        <f>W1264+X1264+Y1264+Z1264+AA1264+AB1264+AC1264</f>
        <v>24462186</v>
      </c>
      <c r="AE1264" s="72">
        <v>0</v>
      </c>
      <c r="AF1264" s="5"/>
      <c r="AG1264" s="6"/>
      <c r="AH1264" s="27" t="s">
        <v>3390</v>
      </c>
      <c r="AI1264" s="44" t="s">
        <v>3391</v>
      </c>
      <c r="AJ1264" s="26"/>
      <c r="AK1264" s="5"/>
      <c r="AL1264" s="82" t="s">
        <v>4106</v>
      </c>
      <c r="AM1264" s="76"/>
      <c r="AN1264" s="76"/>
      <c r="AO1264" s="76"/>
      <c r="AP1264" s="76"/>
      <c r="AQ1264" s="76"/>
      <c r="AR1264" s="76"/>
      <c r="AS1264" s="76"/>
      <c r="AT1264" s="76"/>
      <c r="AU1264" s="76"/>
      <c r="AV1264" s="76"/>
      <c r="AW1264" s="76"/>
      <c r="AX1264" s="76">
        <f>+AW1264*600000</f>
        <v>0</v>
      </c>
      <c r="AY1264" s="86">
        <v>150</v>
      </c>
      <c r="AZ1264" s="86">
        <f>+AY1264*69999.04</f>
        <v>10499855.999999998</v>
      </c>
      <c r="BA1264" s="76"/>
      <c r="BB1264" s="76"/>
      <c r="BC1264" s="76"/>
      <c r="BD1264" s="76">
        <f>+BC1264*30000</f>
        <v>0</v>
      </c>
      <c r="BE1264" s="76"/>
      <c r="BF1264" s="76"/>
      <c r="BG1264" s="76"/>
      <c r="BH1264" s="76"/>
      <c r="BI1264" s="76"/>
      <c r="BJ1264" s="76"/>
      <c r="BK1264" s="76"/>
      <c r="BL1264" s="76">
        <f>+BK1264*31500</f>
        <v>0</v>
      </c>
      <c r="BM1264" s="76"/>
      <c r="BN1264" s="76"/>
      <c r="BO1264" s="76"/>
      <c r="BP1264" s="76"/>
      <c r="BQ1264" s="76"/>
      <c r="BR1264" s="76"/>
      <c r="BS1264" s="76"/>
      <c r="BT1264" s="76"/>
      <c r="BU1264" s="76"/>
      <c r="BV1264" s="76"/>
      <c r="BW1264" s="76"/>
      <c r="BX1264" s="76"/>
      <c r="BY1264" s="76"/>
      <c r="BZ1264" s="76"/>
      <c r="CA1264" s="76"/>
      <c r="CB1264" s="76"/>
      <c r="CC1264" s="76"/>
      <c r="CD1264" s="76"/>
      <c r="CE1264" s="76"/>
      <c r="CF1264" s="76">
        <f>+CE1264*28000</f>
        <v>0</v>
      </c>
      <c r="CG1264" s="76"/>
      <c r="CH1264" s="76">
        <f>+CG1264*22500</f>
        <v>0</v>
      </c>
      <c r="CI1264" s="86">
        <v>150</v>
      </c>
      <c r="CJ1264" s="86">
        <f>+CI1264*25999.08</f>
        <v>3899862.0000000005</v>
      </c>
      <c r="CK1264" s="76"/>
      <c r="CL1264" s="76"/>
      <c r="CM1264" s="76"/>
      <c r="CN1264" s="76">
        <f>+CM1264*22000</f>
        <v>0</v>
      </c>
      <c r="CO1264" s="86">
        <v>50</v>
      </c>
      <c r="CP1264" s="86">
        <f>+CO1264*45999.8</f>
        <v>2299990</v>
      </c>
      <c r="CQ1264" s="86">
        <v>50</v>
      </c>
      <c r="CR1264" s="86">
        <f>+CQ1264*48999.56</f>
        <v>2449978</v>
      </c>
      <c r="CS1264" s="76"/>
      <c r="CT1264" s="76"/>
      <c r="CU1264" s="56">
        <f>AN1264+AP1264+AR1264+AT1264+AV1264+AX1264+AZ1264+BB1264+BD1264+BF1264+BH1264+BJ1264+BL1264+BN1264+BP1264+BR1264+BT1264+BV1264+BX1264+BZ1264+CB1264+CD1264+CF1264+CH1264+CJ1264+CL1264+CN1264+CP1264+CR1264+CT1264</f>
        <v>19149686</v>
      </c>
      <c r="CV1264" s="76"/>
      <c r="CW1264" s="76">
        <f>+CV1264*1100</f>
        <v>0</v>
      </c>
      <c r="CX1264" s="86">
        <v>50</v>
      </c>
      <c r="CY1264" s="86">
        <f>+CX1264*106250</f>
        <v>5312500</v>
      </c>
      <c r="CZ1264" s="76"/>
      <c r="DA1264" s="76">
        <f>+CZ1264*34500</f>
        <v>0</v>
      </c>
      <c r="DB1264" s="76"/>
      <c r="DC1264" s="76">
        <f>+DB1264*25000</f>
        <v>0</v>
      </c>
      <c r="DD1264" s="219"/>
      <c r="DE1264" s="219"/>
      <c r="DF1264" s="166"/>
      <c r="DG1264" s="134" t="s">
        <v>5604</v>
      </c>
      <c r="DH1264" s="117"/>
      <c r="DI1264" s="24"/>
      <c r="DJ1264" s="24"/>
      <c r="DK1264" s="24"/>
      <c r="DL1264" s="24"/>
      <c r="DM1264" s="24"/>
      <c r="DN1264" s="24"/>
      <c r="DO1264" s="24"/>
      <c r="DP1264" s="24"/>
      <c r="DQ1264" s="24"/>
      <c r="DR1264" s="24"/>
      <c r="DS1264" s="24"/>
      <c r="DT1264" s="24"/>
      <c r="DU1264" s="24"/>
    </row>
    <row r="1265" spans="1:125" s="8" customFormat="1" ht="96" x14ac:dyDescent="0.2">
      <c r="A1265" s="226">
        <v>41359</v>
      </c>
      <c r="B1265" s="225" t="s">
        <v>2854</v>
      </c>
      <c r="C1265" s="227" t="s">
        <v>2081</v>
      </c>
      <c r="D1265" s="227" t="s">
        <v>2882</v>
      </c>
      <c r="E1265" s="75" t="str">
        <f>VLOOKUP(B1265&amp;C1265,Divipola!$C$2:$F$1138,4,FALSE)</f>
        <v>19532</v>
      </c>
      <c r="F1265" s="87"/>
      <c r="G1265" s="87"/>
      <c r="H1265" s="87"/>
      <c r="I1265" s="87">
        <v>142</v>
      </c>
      <c r="J1265" s="87">
        <v>27</v>
      </c>
      <c r="K1265" s="87"/>
      <c r="L1265" s="87">
        <v>27</v>
      </c>
      <c r="M1265" s="87"/>
      <c r="N1265" s="87"/>
      <c r="O1265" s="87"/>
      <c r="P1265" s="87"/>
      <c r="Q1265" s="87"/>
      <c r="R1265" s="87"/>
      <c r="S1265" s="87"/>
      <c r="T1265" s="87"/>
      <c r="U1265" s="88"/>
      <c r="V1265" s="89"/>
      <c r="W1265" s="96">
        <v>0</v>
      </c>
      <c r="X1265" s="71">
        <f>CU1265</f>
        <v>0</v>
      </c>
      <c r="Y1265" s="71">
        <f>CY1265</f>
        <v>0</v>
      </c>
      <c r="Z1265" s="71">
        <f>DA1265+DC1265+DE1265</f>
        <v>0</v>
      </c>
      <c r="AA1265" s="71">
        <f>CW1265</f>
        <v>0</v>
      </c>
      <c r="AB1265" s="71"/>
      <c r="AC1265" s="71">
        <v>0</v>
      </c>
      <c r="AD1265" s="71">
        <f>W1265+X1265+Y1265+Z1265+AA1265+AB1265+AC1265</f>
        <v>0</v>
      </c>
      <c r="AE1265" s="72">
        <v>0</v>
      </c>
      <c r="AF1265" s="5"/>
      <c r="AG1265" s="6"/>
      <c r="AH1265" s="27" t="s">
        <v>3390</v>
      </c>
      <c r="AI1265" s="44" t="s">
        <v>3393</v>
      </c>
      <c r="AJ1265" s="26"/>
      <c r="AK1265" s="5"/>
      <c r="AL1265" s="82" t="s">
        <v>4394</v>
      </c>
      <c r="AM1265" s="76"/>
      <c r="AN1265" s="76"/>
      <c r="AO1265" s="76"/>
      <c r="AP1265" s="76"/>
      <c r="AQ1265" s="76"/>
      <c r="AR1265" s="76"/>
      <c r="AS1265" s="76"/>
      <c r="AT1265" s="76"/>
      <c r="AU1265" s="76"/>
      <c r="AV1265" s="76"/>
      <c r="AW1265" s="76"/>
      <c r="AX1265" s="76">
        <f>+AW1265*600000</f>
        <v>0</v>
      </c>
      <c r="AY1265" s="76"/>
      <c r="AZ1265" s="76">
        <f>+AY1265*70000</f>
        <v>0</v>
      </c>
      <c r="BA1265" s="76"/>
      <c r="BB1265" s="76"/>
      <c r="BC1265" s="76"/>
      <c r="BD1265" s="76">
        <f>+BC1265*30000</f>
        <v>0</v>
      </c>
      <c r="BE1265" s="76"/>
      <c r="BF1265" s="76"/>
      <c r="BG1265" s="76"/>
      <c r="BH1265" s="76"/>
      <c r="BI1265" s="76"/>
      <c r="BJ1265" s="76"/>
      <c r="BK1265" s="76"/>
      <c r="BL1265" s="76">
        <f>+BK1265*31500</f>
        <v>0</v>
      </c>
      <c r="BM1265" s="76"/>
      <c r="BN1265" s="76"/>
      <c r="BO1265" s="76"/>
      <c r="BP1265" s="76"/>
      <c r="BQ1265" s="76"/>
      <c r="BR1265" s="76"/>
      <c r="BS1265" s="76"/>
      <c r="BT1265" s="76"/>
      <c r="BU1265" s="76"/>
      <c r="BV1265" s="76"/>
      <c r="BW1265" s="76"/>
      <c r="BX1265" s="76"/>
      <c r="BY1265" s="76"/>
      <c r="BZ1265" s="76"/>
      <c r="CA1265" s="76"/>
      <c r="CB1265" s="76"/>
      <c r="CC1265" s="76"/>
      <c r="CD1265" s="76"/>
      <c r="CE1265" s="76"/>
      <c r="CF1265" s="76">
        <f>+CE1265*28000</f>
        <v>0</v>
      </c>
      <c r="CG1265" s="76"/>
      <c r="CH1265" s="76">
        <f>+CG1265*22500</f>
        <v>0</v>
      </c>
      <c r="CI1265" s="76"/>
      <c r="CJ1265" s="76">
        <f>+CI1265*26000</f>
        <v>0</v>
      </c>
      <c r="CK1265" s="76"/>
      <c r="CL1265" s="76"/>
      <c r="CM1265" s="76"/>
      <c r="CN1265" s="76">
        <f>+CM1265*22000</f>
        <v>0</v>
      </c>
      <c r="CO1265" s="76"/>
      <c r="CP1265" s="76">
        <f>+CO1265*46000</f>
        <v>0</v>
      </c>
      <c r="CQ1265" s="76"/>
      <c r="CR1265" s="76">
        <f>+CQ1265*49000</f>
        <v>0</v>
      </c>
      <c r="CS1265" s="76"/>
      <c r="CT1265" s="76"/>
      <c r="CU1265" s="56">
        <f>AN1265+AP1265+AR1265+AT1265+AV1265+AX1265+AZ1265+BB1265+BD1265+BF1265+BH1265+BJ1265+BL1265+BN1265+BP1265+BR1265+BT1265+BV1265+BX1265+BZ1265+CB1265+CD1265+CF1265+CH1265+CJ1265+CL1265+CN1265+CP1265+CR1265+CT1265</f>
        <v>0</v>
      </c>
      <c r="CV1265" s="76"/>
      <c r="CW1265" s="76">
        <f>+CV1265*1100</f>
        <v>0</v>
      </c>
      <c r="CX1265" s="76"/>
      <c r="CY1265" s="76">
        <f>+CX1265*106250</f>
        <v>0</v>
      </c>
      <c r="CZ1265" s="76"/>
      <c r="DA1265" s="76">
        <f>+CZ1265*34500</f>
        <v>0</v>
      </c>
      <c r="DB1265" s="76"/>
      <c r="DC1265" s="76">
        <f>+DB1265*25000</f>
        <v>0</v>
      </c>
      <c r="DD1265" s="219"/>
      <c r="DE1265" s="219"/>
      <c r="DF1265" s="166"/>
      <c r="DG1265" s="116"/>
      <c r="DH1265" s="117"/>
      <c r="DI1265" s="24"/>
      <c r="DJ1265" s="24"/>
      <c r="DK1265" s="24"/>
      <c r="DL1265" s="24"/>
      <c r="DM1265" s="24"/>
      <c r="DN1265" s="24"/>
      <c r="DO1265" s="24"/>
      <c r="DP1265" s="24"/>
      <c r="DQ1265" s="24"/>
      <c r="DR1265" s="24"/>
      <c r="DS1265" s="24"/>
      <c r="DT1265" s="24"/>
      <c r="DU1265" s="24"/>
    </row>
    <row r="1266" spans="1:125" s="8" customFormat="1" ht="36" x14ac:dyDescent="0.2">
      <c r="A1266" s="226">
        <v>41359</v>
      </c>
      <c r="B1266" s="225" t="s">
        <v>2855</v>
      </c>
      <c r="C1266" s="227" t="s">
        <v>911</v>
      </c>
      <c r="D1266" s="227" t="s">
        <v>2882</v>
      </c>
      <c r="E1266" s="75" t="str">
        <f>VLOOKUP(B1266&amp;C1266,Divipola!$C$2:$F$1138,4,FALSE)</f>
        <v>20250</v>
      </c>
      <c r="F1266" s="87"/>
      <c r="G1266" s="87"/>
      <c r="H1266" s="87"/>
      <c r="I1266" s="87">
        <v>20</v>
      </c>
      <c r="J1266" s="87">
        <v>4</v>
      </c>
      <c r="K1266" s="87"/>
      <c r="L1266" s="87">
        <v>4</v>
      </c>
      <c r="M1266" s="87"/>
      <c r="N1266" s="87"/>
      <c r="O1266" s="87"/>
      <c r="P1266" s="87"/>
      <c r="Q1266" s="87"/>
      <c r="R1266" s="87"/>
      <c r="S1266" s="87"/>
      <c r="T1266" s="87"/>
      <c r="U1266" s="88"/>
      <c r="V1266" s="89"/>
      <c r="W1266" s="96">
        <v>0</v>
      </c>
      <c r="X1266" s="71">
        <f>CU1266</f>
        <v>0</v>
      </c>
      <c r="Y1266" s="71">
        <f>CY1266</f>
        <v>0</v>
      </c>
      <c r="Z1266" s="71">
        <f>DA1266+DC1266+DE1266</f>
        <v>0</v>
      </c>
      <c r="AA1266" s="71">
        <f>CW1266</f>
        <v>0</v>
      </c>
      <c r="AB1266" s="71"/>
      <c r="AC1266" s="71">
        <v>0</v>
      </c>
      <c r="AD1266" s="71">
        <f>W1266+X1266+Y1266+Z1266+AA1266+AB1266+AC1266</f>
        <v>0</v>
      </c>
      <c r="AE1266" s="72">
        <v>0</v>
      </c>
      <c r="AF1266" s="5"/>
      <c r="AG1266" s="6"/>
      <c r="AH1266" s="27" t="s">
        <v>3392</v>
      </c>
      <c r="AI1266" s="44" t="s">
        <v>3393</v>
      </c>
      <c r="AJ1266" s="26"/>
      <c r="AK1266" s="5"/>
      <c r="AL1266" s="82" t="s">
        <v>4090</v>
      </c>
      <c r="AM1266" s="76"/>
      <c r="AN1266" s="76"/>
      <c r="AO1266" s="76"/>
      <c r="AP1266" s="76"/>
      <c r="AQ1266" s="76"/>
      <c r="AR1266" s="76"/>
      <c r="AS1266" s="76"/>
      <c r="AT1266" s="76"/>
      <c r="AU1266" s="76"/>
      <c r="AV1266" s="76"/>
      <c r="AW1266" s="76"/>
      <c r="AX1266" s="76">
        <f>+AW1266*600000</f>
        <v>0</v>
      </c>
      <c r="AY1266" s="76"/>
      <c r="AZ1266" s="76">
        <f>+AY1266*70000</f>
        <v>0</v>
      </c>
      <c r="BA1266" s="76"/>
      <c r="BB1266" s="76"/>
      <c r="BC1266" s="76"/>
      <c r="BD1266" s="76">
        <f>+BC1266*30000</f>
        <v>0</v>
      </c>
      <c r="BE1266" s="76"/>
      <c r="BF1266" s="76"/>
      <c r="BG1266" s="76"/>
      <c r="BH1266" s="76"/>
      <c r="BI1266" s="76"/>
      <c r="BJ1266" s="76"/>
      <c r="BK1266" s="76"/>
      <c r="BL1266" s="76">
        <f>+BK1266*31500</f>
        <v>0</v>
      </c>
      <c r="BM1266" s="76"/>
      <c r="BN1266" s="76"/>
      <c r="BO1266" s="76"/>
      <c r="BP1266" s="76"/>
      <c r="BQ1266" s="76"/>
      <c r="BR1266" s="76"/>
      <c r="BS1266" s="76"/>
      <c r="BT1266" s="76"/>
      <c r="BU1266" s="76"/>
      <c r="BV1266" s="76"/>
      <c r="BW1266" s="76"/>
      <c r="BX1266" s="76"/>
      <c r="BY1266" s="76"/>
      <c r="BZ1266" s="76"/>
      <c r="CA1266" s="76"/>
      <c r="CB1266" s="76"/>
      <c r="CC1266" s="76"/>
      <c r="CD1266" s="76"/>
      <c r="CE1266" s="76"/>
      <c r="CF1266" s="76">
        <f>+CE1266*28000</f>
        <v>0</v>
      </c>
      <c r="CG1266" s="76"/>
      <c r="CH1266" s="76">
        <f>+CG1266*22500</f>
        <v>0</v>
      </c>
      <c r="CI1266" s="76"/>
      <c r="CJ1266" s="76">
        <f>+CI1266*26000</f>
        <v>0</v>
      </c>
      <c r="CK1266" s="76"/>
      <c r="CL1266" s="76"/>
      <c r="CM1266" s="76"/>
      <c r="CN1266" s="76">
        <f>+CM1266*22000</f>
        <v>0</v>
      </c>
      <c r="CO1266" s="76"/>
      <c r="CP1266" s="76">
        <f>+CO1266*46000</f>
        <v>0</v>
      </c>
      <c r="CQ1266" s="76"/>
      <c r="CR1266" s="76">
        <f>+CQ1266*49000</f>
        <v>0</v>
      </c>
      <c r="CS1266" s="76"/>
      <c r="CT1266" s="76"/>
      <c r="CU1266" s="56">
        <f>AN1266+AP1266+AR1266+AT1266+AV1266+AX1266+AZ1266+BB1266+BD1266+BF1266+BH1266+BJ1266+BL1266+BN1266+BP1266+BR1266+BT1266+BV1266+BX1266+BZ1266+CB1266+CD1266+CF1266+CH1266+CJ1266+CL1266+CN1266+CP1266+CR1266+CT1266</f>
        <v>0</v>
      </c>
      <c r="CV1266" s="76"/>
      <c r="CW1266" s="76">
        <f>+CV1266*1100</f>
        <v>0</v>
      </c>
      <c r="CX1266" s="76"/>
      <c r="CY1266" s="76">
        <f>+CX1266*106250</f>
        <v>0</v>
      </c>
      <c r="CZ1266" s="76"/>
      <c r="DA1266" s="76">
        <f>+CZ1266*34500</f>
        <v>0</v>
      </c>
      <c r="DB1266" s="76"/>
      <c r="DC1266" s="76">
        <f>+DB1266*25000</f>
        <v>0</v>
      </c>
      <c r="DD1266" s="219"/>
      <c r="DE1266" s="219"/>
      <c r="DF1266" s="166"/>
      <c r="DG1266" s="116"/>
      <c r="DH1266" s="117"/>
      <c r="DI1266" s="24"/>
      <c r="DJ1266" s="24"/>
      <c r="DK1266" s="24"/>
      <c r="DL1266" s="24"/>
      <c r="DM1266" s="24"/>
      <c r="DN1266" s="24"/>
      <c r="DO1266" s="24"/>
      <c r="DP1266" s="24"/>
      <c r="DQ1266" s="24"/>
      <c r="DR1266" s="24"/>
      <c r="DS1266" s="24"/>
      <c r="DT1266" s="24"/>
      <c r="DU1266" s="24"/>
    </row>
    <row r="1267" spans="1:125" s="8" customFormat="1" ht="84" x14ac:dyDescent="0.2">
      <c r="A1267" s="77">
        <v>41359</v>
      </c>
      <c r="B1267" s="75" t="s">
        <v>2772</v>
      </c>
      <c r="C1267" s="75" t="s">
        <v>2829</v>
      </c>
      <c r="D1267" s="81" t="s">
        <v>2846</v>
      </c>
      <c r="E1267" s="75" t="str">
        <f>VLOOKUP(B1267&amp;C1267,Divipola!$C$2:$F$1138,4,FALSE)</f>
        <v>25372</v>
      </c>
      <c r="F1267" s="93"/>
      <c r="G1267" s="93"/>
      <c r="H1267" s="93"/>
      <c r="I1267" s="93"/>
      <c r="J1267" s="93"/>
      <c r="K1267" s="93"/>
      <c r="L1267" s="93"/>
      <c r="M1267" s="93"/>
      <c r="N1267" s="93"/>
      <c r="O1267" s="93"/>
      <c r="P1267" s="202"/>
      <c r="Q1267" s="93"/>
      <c r="R1267" s="93"/>
      <c r="S1267" s="93"/>
      <c r="T1267" s="93"/>
      <c r="U1267" s="93">
        <v>1</v>
      </c>
      <c r="V1267" s="93"/>
      <c r="W1267" s="96">
        <v>0</v>
      </c>
      <c r="X1267" s="71">
        <f>CU1267</f>
        <v>0</v>
      </c>
      <c r="Y1267" s="71">
        <f>CY1267</f>
        <v>0</v>
      </c>
      <c r="Z1267" s="71">
        <f>DA1267+DC1267+DE1267</f>
        <v>0</v>
      </c>
      <c r="AA1267" s="71">
        <f>CW1267</f>
        <v>0</v>
      </c>
      <c r="AB1267" s="71"/>
      <c r="AC1267" s="71">
        <v>0</v>
      </c>
      <c r="AD1267" s="71">
        <f>W1267+X1267+Y1267+Z1267+AA1267+AB1267+AC1267</f>
        <v>0</v>
      </c>
      <c r="AE1267" s="72">
        <v>0</v>
      </c>
      <c r="AF1267" s="5"/>
      <c r="AG1267" s="6"/>
      <c r="AH1267" s="27" t="s">
        <v>3392</v>
      </c>
      <c r="AI1267" s="44" t="s">
        <v>3393</v>
      </c>
      <c r="AJ1267" s="26"/>
      <c r="AK1267" s="5"/>
      <c r="AL1267" s="82" t="s">
        <v>4145</v>
      </c>
      <c r="AM1267" s="76"/>
      <c r="AN1267" s="76"/>
      <c r="AO1267" s="76"/>
      <c r="AP1267" s="76"/>
      <c r="AQ1267" s="76"/>
      <c r="AR1267" s="76"/>
      <c r="AS1267" s="76"/>
      <c r="AT1267" s="76"/>
      <c r="AU1267" s="76"/>
      <c r="AV1267" s="76"/>
      <c r="AW1267" s="76"/>
      <c r="AX1267" s="76">
        <f>+AW1267*600000</f>
        <v>0</v>
      </c>
      <c r="AY1267" s="76"/>
      <c r="AZ1267" s="76">
        <f>+AY1267*70000</f>
        <v>0</v>
      </c>
      <c r="BA1267" s="76"/>
      <c r="BB1267" s="76"/>
      <c r="BC1267" s="76"/>
      <c r="BD1267" s="76">
        <f>+BC1267*30000</f>
        <v>0</v>
      </c>
      <c r="BE1267" s="76"/>
      <c r="BF1267" s="76"/>
      <c r="BG1267" s="76"/>
      <c r="BH1267" s="76"/>
      <c r="BI1267" s="76"/>
      <c r="BJ1267" s="76"/>
      <c r="BK1267" s="76"/>
      <c r="BL1267" s="76">
        <f>+BK1267*31500</f>
        <v>0</v>
      </c>
      <c r="BM1267" s="76"/>
      <c r="BN1267" s="76"/>
      <c r="BO1267" s="76"/>
      <c r="BP1267" s="76"/>
      <c r="BQ1267" s="76"/>
      <c r="BR1267" s="76"/>
      <c r="BS1267" s="76"/>
      <c r="BT1267" s="76"/>
      <c r="BU1267" s="76"/>
      <c r="BV1267" s="76"/>
      <c r="BW1267" s="76"/>
      <c r="BX1267" s="76"/>
      <c r="BY1267" s="76"/>
      <c r="BZ1267" s="76"/>
      <c r="CA1267" s="76"/>
      <c r="CB1267" s="76"/>
      <c r="CC1267" s="76"/>
      <c r="CD1267" s="76"/>
      <c r="CE1267" s="76"/>
      <c r="CF1267" s="76">
        <f>+CE1267*28000</f>
        <v>0</v>
      </c>
      <c r="CG1267" s="76"/>
      <c r="CH1267" s="76">
        <f>+CG1267*22500</f>
        <v>0</v>
      </c>
      <c r="CI1267" s="76"/>
      <c r="CJ1267" s="76">
        <f>+CI1267*26000</f>
        <v>0</v>
      </c>
      <c r="CK1267" s="76"/>
      <c r="CL1267" s="76"/>
      <c r="CM1267" s="76"/>
      <c r="CN1267" s="76">
        <f>+CM1267*22000</f>
        <v>0</v>
      </c>
      <c r="CO1267" s="76"/>
      <c r="CP1267" s="76">
        <f>+CO1267*46000</f>
        <v>0</v>
      </c>
      <c r="CQ1267" s="76"/>
      <c r="CR1267" s="76">
        <f>+CQ1267*49000</f>
        <v>0</v>
      </c>
      <c r="CS1267" s="76"/>
      <c r="CT1267" s="76"/>
      <c r="CU1267" s="56">
        <f>AN1267+AP1267+AR1267+AT1267+AV1267+AX1267+AZ1267+BB1267+BD1267+BF1267+BH1267+BJ1267+BL1267+BN1267+BP1267+BR1267+BT1267+BV1267+BX1267+BZ1267+CB1267+CD1267+CF1267+CH1267+CJ1267+CL1267+CN1267+CP1267+CR1267+CT1267</f>
        <v>0</v>
      </c>
      <c r="CV1267" s="76"/>
      <c r="CW1267" s="76">
        <f>+CV1267*1100</f>
        <v>0</v>
      </c>
      <c r="CX1267" s="76"/>
      <c r="CY1267" s="76">
        <f>+CX1267*106250</f>
        <v>0</v>
      </c>
      <c r="CZ1267" s="76"/>
      <c r="DA1267" s="76">
        <f>+CZ1267*34500</f>
        <v>0</v>
      </c>
      <c r="DB1267" s="76"/>
      <c r="DC1267" s="76">
        <f>+DB1267*25000</f>
        <v>0</v>
      </c>
      <c r="DD1267" s="219"/>
      <c r="DE1267" s="219"/>
      <c r="DF1267" s="166"/>
      <c r="DG1267" s="116"/>
      <c r="DH1267" s="117"/>
      <c r="DI1267" s="24"/>
      <c r="DJ1267" s="24"/>
      <c r="DK1267" s="24"/>
      <c r="DL1267" s="24"/>
      <c r="DM1267" s="24"/>
      <c r="DN1267" s="24"/>
      <c r="DO1267" s="24"/>
      <c r="DP1267" s="24"/>
      <c r="DQ1267" s="24"/>
      <c r="DR1267" s="24"/>
      <c r="DS1267" s="24"/>
      <c r="DT1267" s="24"/>
      <c r="DU1267" s="24"/>
    </row>
    <row r="1268" spans="1:125" s="8" customFormat="1" ht="84" x14ac:dyDescent="0.2">
      <c r="A1268" s="77">
        <v>41359</v>
      </c>
      <c r="B1268" s="78" t="s">
        <v>2772</v>
      </c>
      <c r="C1268" s="75" t="s">
        <v>2829</v>
      </c>
      <c r="D1268" s="81" t="s">
        <v>2846</v>
      </c>
      <c r="E1268" s="75" t="str">
        <f>VLOOKUP(B1268&amp;C1268,Divipola!$C$2:$F$1138,4,FALSE)</f>
        <v>25372</v>
      </c>
      <c r="F1268" s="93"/>
      <c r="G1268" s="93"/>
      <c r="H1268" s="93"/>
      <c r="I1268" s="93"/>
      <c r="J1268" s="93"/>
      <c r="K1268" s="93"/>
      <c r="L1268" s="93"/>
      <c r="M1268" s="93"/>
      <c r="N1268" s="93"/>
      <c r="O1268" s="93"/>
      <c r="P1268" s="93"/>
      <c r="Q1268" s="93"/>
      <c r="R1268" s="93"/>
      <c r="S1268" s="93"/>
      <c r="T1268" s="93"/>
      <c r="U1268" s="125">
        <v>1.5</v>
      </c>
      <c r="V1268" s="89"/>
      <c r="W1268" s="96">
        <v>0</v>
      </c>
      <c r="X1268" s="71">
        <f>CU1268</f>
        <v>0</v>
      </c>
      <c r="Y1268" s="71">
        <f>CY1268</f>
        <v>0</v>
      </c>
      <c r="Z1268" s="71">
        <f>DA1268+DC1268+DE1268</f>
        <v>0</v>
      </c>
      <c r="AA1268" s="71">
        <f>CW1268</f>
        <v>0</v>
      </c>
      <c r="AB1268" s="71"/>
      <c r="AC1268" s="71">
        <v>0</v>
      </c>
      <c r="AD1268" s="71">
        <f>W1268+X1268+Y1268+Z1268+AA1268+AB1268+AC1268</f>
        <v>0</v>
      </c>
      <c r="AE1268" s="72">
        <v>0</v>
      </c>
      <c r="AF1268" s="5"/>
      <c r="AG1268" s="6"/>
      <c r="AH1268" s="27" t="s">
        <v>3392</v>
      </c>
      <c r="AI1268" s="44" t="s">
        <v>3393</v>
      </c>
      <c r="AJ1268" s="26"/>
      <c r="AK1268" s="5"/>
      <c r="AL1268" s="82" t="s">
        <v>4146</v>
      </c>
      <c r="AM1268" s="76"/>
      <c r="AN1268" s="76"/>
      <c r="AO1268" s="76"/>
      <c r="AP1268" s="76"/>
      <c r="AQ1268" s="76"/>
      <c r="AR1268" s="76"/>
      <c r="AS1268" s="76"/>
      <c r="AT1268" s="76"/>
      <c r="AU1268" s="76"/>
      <c r="AV1268" s="76"/>
      <c r="AW1268" s="76"/>
      <c r="AX1268" s="76">
        <f>+AW1268*600000</f>
        <v>0</v>
      </c>
      <c r="AY1268" s="76"/>
      <c r="AZ1268" s="76">
        <f>+AY1268*70000</f>
        <v>0</v>
      </c>
      <c r="BA1268" s="76"/>
      <c r="BB1268" s="76"/>
      <c r="BC1268" s="76"/>
      <c r="BD1268" s="76">
        <f>+BC1268*30000</f>
        <v>0</v>
      </c>
      <c r="BE1268" s="76"/>
      <c r="BF1268" s="76"/>
      <c r="BG1268" s="76"/>
      <c r="BH1268" s="76"/>
      <c r="BI1268" s="76"/>
      <c r="BJ1268" s="76"/>
      <c r="BK1268" s="76"/>
      <c r="BL1268" s="76">
        <f>+BK1268*31500</f>
        <v>0</v>
      </c>
      <c r="BM1268" s="76"/>
      <c r="BN1268" s="76"/>
      <c r="BO1268" s="76"/>
      <c r="BP1268" s="76"/>
      <c r="BQ1268" s="76"/>
      <c r="BR1268" s="76"/>
      <c r="BS1268" s="76"/>
      <c r="BT1268" s="76"/>
      <c r="BU1268" s="76"/>
      <c r="BV1268" s="76"/>
      <c r="BW1268" s="76"/>
      <c r="BX1268" s="76"/>
      <c r="BY1268" s="76"/>
      <c r="BZ1268" s="76"/>
      <c r="CA1268" s="76"/>
      <c r="CB1268" s="76"/>
      <c r="CC1268" s="76"/>
      <c r="CD1268" s="76"/>
      <c r="CE1268" s="76"/>
      <c r="CF1268" s="76">
        <f>+CE1268*28000</f>
        <v>0</v>
      </c>
      <c r="CG1268" s="76"/>
      <c r="CH1268" s="76">
        <f>+CG1268*22500</f>
        <v>0</v>
      </c>
      <c r="CI1268" s="76"/>
      <c r="CJ1268" s="76">
        <f>+CI1268*26000</f>
        <v>0</v>
      </c>
      <c r="CK1268" s="76"/>
      <c r="CL1268" s="76"/>
      <c r="CM1268" s="76"/>
      <c r="CN1268" s="76">
        <f>+CM1268*22000</f>
        <v>0</v>
      </c>
      <c r="CO1268" s="76"/>
      <c r="CP1268" s="76">
        <f>+CO1268*46000</f>
        <v>0</v>
      </c>
      <c r="CQ1268" s="76"/>
      <c r="CR1268" s="76">
        <f>+CQ1268*49000</f>
        <v>0</v>
      </c>
      <c r="CS1268" s="76"/>
      <c r="CT1268" s="76"/>
      <c r="CU1268" s="56">
        <f>AN1268+AP1268+AR1268+AT1268+AV1268+AX1268+AZ1268+BB1268+BD1268+BF1268+BH1268+BJ1268+BL1268+BN1268+BP1268+BR1268+BT1268+BV1268+BX1268+BZ1268+CB1268+CD1268+CF1268+CH1268+CJ1268+CL1268+CN1268+CP1268+CR1268+CT1268</f>
        <v>0</v>
      </c>
      <c r="CV1268" s="76"/>
      <c r="CW1268" s="76">
        <f>+CV1268*1100</f>
        <v>0</v>
      </c>
      <c r="CX1268" s="76"/>
      <c r="CY1268" s="76">
        <f>+CX1268*106250</f>
        <v>0</v>
      </c>
      <c r="CZ1268" s="76"/>
      <c r="DA1268" s="76">
        <f>+CZ1268*34500</f>
        <v>0</v>
      </c>
      <c r="DB1268" s="76"/>
      <c r="DC1268" s="76">
        <f>+DB1268*25000</f>
        <v>0</v>
      </c>
      <c r="DD1268" s="219"/>
      <c r="DE1268" s="219"/>
      <c r="DF1268" s="166"/>
      <c r="DG1268" s="116"/>
      <c r="DH1268" s="117"/>
      <c r="DI1268" s="24"/>
      <c r="DJ1268" s="24"/>
      <c r="DK1268" s="24"/>
      <c r="DL1268" s="24"/>
      <c r="DM1268" s="24"/>
      <c r="DN1268" s="24"/>
      <c r="DO1268" s="24"/>
      <c r="DP1268" s="24"/>
      <c r="DQ1268" s="24"/>
      <c r="DR1268" s="24"/>
      <c r="DS1268" s="24"/>
      <c r="DT1268" s="24"/>
      <c r="DU1268" s="24"/>
    </row>
    <row r="1269" spans="1:125" s="8" customFormat="1" ht="60" x14ac:dyDescent="0.2">
      <c r="A1269" s="77">
        <v>41359</v>
      </c>
      <c r="B1269" s="78" t="s">
        <v>2772</v>
      </c>
      <c r="C1269" s="75" t="s">
        <v>1110</v>
      </c>
      <c r="D1269" s="81" t="s">
        <v>2846</v>
      </c>
      <c r="E1269" s="75" t="str">
        <f>VLOOKUP(B1269&amp;C1269,Divipola!$C$2:$F$1138,4,FALSE)</f>
        <v>25436</v>
      </c>
      <c r="F1269" s="87"/>
      <c r="G1269" s="87"/>
      <c r="H1269" s="87"/>
      <c r="I1269" s="87"/>
      <c r="J1269" s="87"/>
      <c r="K1269" s="87"/>
      <c r="L1269" s="87"/>
      <c r="M1269" s="87"/>
      <c r="N1269" s="87"/>
      <c r="O1269" s="87"/>
      <c r="P1269" s="87"/>
      <c r="Q1269" s="87"/>
      <c r="R1269" s="87"/>
      <c r="S1269" s="87"/>
      <c r="T1269" s="87"/>
      <c r="U1269" s="88">
        <v>1</v>
      </c>
      <c r="V1269" s="89"/>
      <c r="W1269" s="96">
        <v>0</v>
      </c>
      <c r="X1269" s="71">
        <f>CU1269</f>
        <v>0</v>
      </c>
      <c r="Y1269" s="71">
        <f>CY1269</f>
        <v>0</v>
      </c>
      <c r="Z1269" s="71">
        <f>DA1269+DC1269+DE1269</f>
        <v>0</v>
      </c>
      <c r="AA1269" s="71">
        <f>CW1269</f>
        <v>0</v>
      </c>
      <c r="AB1269" s="71"/>
      <c r="AC1269" s="71">
        <v>0</v>
      </c>
      <c r="AD1269" s="71">
        <f>W1269+X1269+Y1269+Z1269+AA1269+AB1269+AC1269</f>
        <v>0</v>
      </c>
      <c r="AE1269" s="72">
        <v>0</v>
      </c>
      <c r="AF1269" s="5"/>
      <c r="AG1269" s="6"/>
      <c r="AH1269" s="27" t="s">
        <v>3392</v>
      </c>
      <c r="AI1269" s="44" t="s">
        <v>3393</v>
      </c>
      <c r="AJ1269" s="26"/>
      <c r="AK1269" s="5"/>
      <c r="AL1269" s="82" t="s">
        <v>4148</v>
      </c>
      <c r="AM1269" s="76"/>
      <c r="AN1269" s="76"/>
      <c r="AO1269" s="76"/>
      <c r="AP1269" s="76"/>
      <c r="AQ1269" s="76"/>
      <c r="AR1269" s="76"/>
      <c r="AS1269" s="76"/>
      <c r="AT1269" s="76"/>
      <c r="AU1269" s="76"/>
      <c r="AV1269" s="76"/>
      <c r="AW1269" s="76"/>
      <c r="AX1269" s="76">
        <f>+AW1269*600000</f>
        <v>0</v>
      </c>
      <c r="AY1269" s="76"/>
      <c r="AZ1269" s="76">
        <f>+AY1269*70000</f>
        <v>0</v>
      </c>
      <c r="BA1269" s="76"/>
      <c r="BB1269" s="76"/>
      <c r="BC1269" s="76"/>
      <c r="BD1269" s="76">
        <f>+BC1269*30000</f>
        <v>0</v>
      </c>
      <c r="BE1269" s="76"/>
      <c r="BF1269" s="76"/>
      <c r="BG1269" s="76"/>
      <c r="BH1269" s="76"/>
      <c r="BI1269" s="76"/>
      <c r="BJ1269" s="76"/>
      <c r="BK1269" s="76"/>
      <c r="BL1269" s="76">
        <f>+BK1269*31500</f>
        <v>0</v>
      </c>
      <c r="BM1269" s="76"/>
      <c r="BN1269" s="76"/>
      <c r="BO1269" s="76"/>
      <c r="BP1269" s="76"/>
      <c r="BQ1269" s="76"/>
      <c r="BR1269" s="76"/>
      <c r="BS1269" s="76"/>
      <c r="BT1269" s="76"/>
      <c r="BU1269" s="76"/>
      <c r="BV1269" s="76"/>
      <c r="BW1269" s="76"/>
      <c r="BX1269" s="76"/>
      <c r="BY1269" s="76"/>
      <c r="BZ1269" s="76"/>
      <c r="CA1269" s="76"/>
      <c r="CB1269" s="76"/>
      <c r="CC1269" s="76"/>
      <c r="CD1269" s="76"/>
      <c r="CE1269" s="76"/>
      <c r="CF1269" s="76">
        <f>+CE1269*28000</f>
        <v>0</v>
      </c>
      <c r="CG1269" s="76"/>
      <c r="CH1269" s="76">
        <f>+CG1269*22500</f>
        <v>0</v>
      </c>
      <c r="CI1269" s="76"/>
      <c r="CJ1269" s="76">
        <f>+CI1269*26000</f>
        <v>0</v>
      </c>
      <c r="CK1269" s="76"/>
      <c r="CL1269" s="76"/>
      <c r="CM1269" s="76"/>
      <c r="CN1269" s="76">
        <f>+CM1269*22000</f>
        <v>0</v>
      </c>
      <c r="CO1269" s="76"/>
      <c r="CP1269" s="76">
        <f>+CO1269*46000</f>
        <v>0</v>
      </c>
      <c r="CQ1269" s="76"/>
      <c r="CR1269" s="76">
        <f>+CQ1269*49000</f>
        <v>0</v>
      </c>
      <c r="CS1269" s="76"/>
      <c r="CT1269" s="76"/>
      <c r="CU1269" s="56">
        <f>AN1269+AP1269+AR1269+AT1269+AV1269+AX1269+AZ1269+BB1269+BD1269+BF1269+BH1269+BJ1269+BL1269+BN1269+BP1269+BR1269+BT1269+BV1269+BX1269+BZ1269+CB1269+CD1269+CF1269+CH1269+CJ1269+CL1269+CN1269+CP1269+CR1269+CT1269</f>
        <v>0</v>
      </c>
      <c r="CV1269" s="76"/>
      <c r="CW1269" s="76">
        <f>+CV1269*1100</f>
        <v>0</v>
      </c>
      <c r="CX1269" s="76"/>
      <c r="CY1269" s="76">
        <f>+CX1269*106250</f>
        <v>0</v>
      </c>
      <c r="CZ1269" s="76"/>
      <c r="DA1269" s="76">
        <f>+CZ1269*34500</f>
        <v>0</v>
      </c>
      <c r="DB1269" s="76"/>
      <c r="DC1269" s="76">
        <f>+DB1269*25000</f>
        <v>0</v>
      </c>
      <c r="DD1269" s="219"/>
      <c r="DE1269" s="219"/>
      <c r="DF1269" s="166"/>
      <c r="DG1269" s="116"/>
      <c r="DH1269" s="117"/>
      <c r="DI1269" s="24"/>
      <c r="DJ1269" s="24"/>
      <c r="DK1269" s="24"/>
      <c r="DL1269" s="24"/>
      <c r="DM1269" s="24"/>
      <c r="DN1269" s="24"/>
      <c r="DO1269" s="24"/>
      <c r="DP1269" s="24"/>
      <c r="DQ1269" s="24"/>
      <c r="DR1269" s="24"/>
      <c r="DS1269" s="24"/>
      <c r="DT1269" s="24"/>
      <c r="DU1269" s="24"/>
    </row>
    <row r="1270" spans="1:125" s="8" customFormat="1" ht="96" x14ac:dyDescent="0.2">
      <c r="A1270" s="77">
        <v>41359</v>
      </c>
      <c r="B1270" s="78" t="s">
        <v>2772</v>
      </c>
      <c r="C1270" s="83" t="s">
        <v>1188</v>
      </c>
      <c r="D1270" s="81" t="s">
        <v>2846</v>
      </c>
      <c r="E1270" s="75" t="str">
        <f>VLOOKUP(B1270&amp;C1270,Divipola!$C$2:$F$1138,4,FALSE)</f>
        <v>25839</v>
      </c>
      <c r="F1270" s="93"/>
      <c r="G1270" s="93"/>
      <c r="H1270" s="93"/>
      <c r="I1270" s="93"/>
      <c r="J1270" s="93"/>
      <c r="K1270" s="93"/>
      <c r="L1270" s="93"/>
      <c r="M1270" s="93"/>
      <c r="N1270" s="93"/>
      <c r="O1270" s="93"/>
      <c r="P1270" s="93"/>
      <c r="Q1270" s="93"/>
      <c r="R1270" s="93"/>
      <c r="S1270" s="93"/>
      <c r="T1270" s="93"/>
      <c r="U1270" s="93">
        <v>1</v>
      </c>
      <c r="V1270" s="89"/>
      <c r="W1270" s="96">
        <v>0</v>
      </c>
      <c r="X1270" s="71">
        <f>CU1270</f>
        <v>0</v>
      </c>
      <c r="Y1270" s="71">
        <f>CY1270</f>
        <v>0</v>
      </c>
      <c r="Z1270" s="71">
        <f>DA1270+DC1270+DE1270</f>
        <v>0</v>
      </c>
      <c r="AA1270" s="71">
        <f>CW1270</f>
        <v>0</v>
      </c>
      <c r="AB1270" s="71"/>
      <c r="AC1270" s="71">
        <v>0</v>
      </c>
      <c r="AD1270" s="71">
        <f>W1270+X1270+Y1270+Z1270+AA1270+AB1270+AC1270</f>
        <v>0</v>
      </c>
      <c r="AE1270" s="72">
        <v>0</v>
      </c>
      <c r="AF1270" s="5"/>
      <c r="AG1270" s="6"/>
      <c r="AH1270" s="27" t="s">
        <v>3392</v>
      </c>
      <c r="AI1270" s="44" t="s">
        <v>3393</v>
      </c>
      <c r="AJ1270" s="26"/>
      <c r="AK1270" s="5"/>
      <c r="AL1270" s="82" t="s">
        <v>4147</v>
      </c>
      <c r="AM1270" s="76"/>
      <c r="AN1270" s="76"/>
      <c r="AO1270" s="76"/>
      <c r="AP1270" s="76"/>
      <c r="AQ1270" s="76"/>
      <c r="AR1270" s="76"/>
      <c r="AS1270" s="76"/>
      <c r="AT1270" s="76"/>
      <c r="AU1270" s="76"/>
      <c r="AV1270" s="76"/>
      <c r="AW1270" s="76"/>
      <c r="AX1270" s="76">
        <f>+AW1270*600000</f>
        <v>0</v>
      </c>
      <c r="AY1270" s="76"/>
      <c r="AZ1270" s="76">
        <f>+AY1270*70000</f>
        <v>0</v>
      </c>
      <c r="BA1270" s="76"/>
      <c r="BB1270" s="76"/>
      <c r="BC1270" s="76"/>
      <c r="BD1270" s="76">
        <f>+BC1270*30000</f>
        <v>0</v>
      </c>
      <c r="BE1270" s="76"/>
      <c r="BF1270" s="76"/>
      <c r="BG1270" s="76"/>
      <c r="BH1270" s="76"/>
      <c r="BI1270" s="76"/>
      <c r="BJ1270" s="76"/>
      <c r="BK1270" s="76"/>
      <c r="BL1270" s="76">
        <f>+BK1270*31500</f>
        <v>0</v>
      </c>
      <c r="BM1270" s="76"/>
      <c r="BN1270" s="76"/>
      <c r="BO1270" s="76"/>
      <c r="BP1270" s="76"/>
      <c r="BQ1270" s="76"/>
      <c r="BR1270" s="76"/>
      <c r="BS1270" s="76"/>
      <c r="BT1270" s="76"/>
      <c r="BU1270" s="76"/>
      <c r="BV1270" s="76"/>
      <c r="BW1270" s="76"/>
      <c r="BX1270" s="76"/>
      <c r="BY1270" s="76"/>
      <c r="BZ1270" s="76"/>
      <c r="CA1270" s="76"/>
      <c r="CB1270" s="76"/>
      <c r="CC1270" s="76"/>
      <c r="CD1270" s="76"/>
      <c r="CE1270" s="76"/>
      <c r="CF1270" s="76">
        <f>+CE1270*28000</f>
        <v>0</v>
      </c>
      <c r="CG1270" s="76"/>
      <c r="CH1270" s="76">
        <f>+CG1270*22500</f>
        <v>0</v>
      </c>
      <c r="CI1270" s="76"/>
      <c r="CJ1270" s="76">
        <f>+CI1270*26000</f>
        <v>0</v>
      </c>
      <c r="CK1270" s="76"/>
      <c r="CL1270" s="76"/>
      <c r="CM1270" s="76"/>
      <c r="CN1270" s="76">
        <f>+CM1270*22000</f>
        <v>0</v>
      </c>
      <c r="CO1270" s="76"/>
      <c r="CP1270" s="76">
        <f>+CO1270*46000</f>
        <v>0</v>
      </c>
      <c r="CQ1270" s="76"/>
      <c r="CR1270" s="76">
        <f>+CQ1270*49000</f>
        <v>0</v>
      </c>
      <c r="CS1270" s="76"/>
      <c r="CT1270" s="76"/>
      <c r="CU1270" s="56">
        <f>AN1270+AP1270+AR1270+AT1270+AV1270+AX1270+AZ1270+BB1270+BD1270+BF1270+BH1270+BJ1270+BL1270+BN1270+BP1270+BR1270+BT1270+BV1270+BX1270+BZ1270+CB1270+CD1270+CF1270+CH1270+CJ1270+CL1270+CN1270+CP1270+CR1270+CT1270</f>
        <v>0</v>
      </c>
      <c r="CV1270" s="76"/>
      <c r="CW1270" s="76">
        <f>+CV1270*1100</f>
        <v>0</v>
      </c>
      <c r="CX1270" s="76"/>
      <c r="CY1270" s="76">
        <f>+CX1270*106250</f>
        <v>0</v>
      </c>
      <c r="CZ1270" s="76"/>
      <c r="DA1270" s="76">
        <f>+CZ1270*34500</f>
        <v>0</v>
      </c>
      <c r="DB1270" s="76"/>
      <c r="DC1270" s="76">
        <f>+DB1270*25000</f>
        <v>0</v>
      </c>
      <c r="DD1270" s="219"/>
      <c r="DE1270" s="219"/>
      <c r="DF1270" s="166"/>
      <c r="DG1270" s="116"/>
      <c r="DH1270" s="117"/>
      <c r="DI1270" s="24"/>
      <c r="DJ1270" s="24"/>
      <c r="DK1270" s="24"/>
      <c r="DL1270" s="24"/>
      <c r="DM1270" s="24"/>
      <c r="DN1270" s="24"/>
      <c r="DO1270" s="24"/>
      <c r="DP1270" s="24"/>
      <c r="DQ1270" s="24"/>
      <c r="DR1270" s="24"/>
      <c r="DS1270" s="24"/>
      <c r="DT1270" s="24"/>
      <c r="DU1270" s="24"/>
    </row>
    <row r="1271" spans="1:125" s="8" customFormat="1" ht="36" x14ac:dyDescent="0.2">
      <c r="A1271" s="353">
        <v>41359</v>
      </c>
      <c r="B1271" s="352" t="s">
        <v>2772</v>
      </c>
      <c r="C1271" s="354" t="s">
        <v>2157</v>
      </c>
      <c r="D1271" s="354" t="s">
        <v>2882</v>
      </c>
      <c r="E1271" s="75" t="str">
        <f>VLOOKUP(B1271&amp;C1271,Divipola!$C$2:$F$1138,4,FALSE)</f>
        <v>25885</v>
      </c>
      <c r="F1271" s="87"/>
      <c r="G1271" s="87"/>
      <c r="H1271" s="87"/>
      <c r="I1271" s="87">
        <v>75</v>
      </c>
      <c r="J1271" s="87">
        <v>15</v>
      </c>
      <c r="K1271" s="87"/>
      <c r="L1271" s="87">
        <v>15</v>
      </c>
      <c r="M1271" s="87"/>
      <c r="N1271" s="87"/>
      <c r="O1271" s="87"/>
      <c r="P1271" s="87"/>
      <c r="Q1271" s="87"/>
      <c r="R1271" s="87"/>
      <c r="S1271" s="87"/>
      <c r="T1271" s="87"/>
      <c r="U1271" s="88"/>
      <c r="V1271" s="89"/>
      <c r="W1271" s="96">
        <v>0</v>
      </c>
      <c r="X1271" s="71">
        <f>CU1271</f>
        <v>0</v>
      </c>
      <c r="Y1271" s="71">
        <f>CY1271</f>
        <v>0</v>
      </c>
      <c r="Z1271" s="71">
        <f>DA1271+DC1271+DE1271</f>
        <v>0</v>
      </c>
      <c r="AA1271" s="71">
        <f>CW1271</f>
        <v>0</v>
      </c>
      <c r="AB1271" s="71"/>
      <c r="AC1271" s="71">
        <v>0</v>
      </c>
      <c r="AD1271" s="71">
        <f>W1271+X1271+Y1271+Z1271+AA1271+AB1271+AC1271</f>
        <v>0</v>
      </c>
      <c r="AE1271" s="72">
        <v>0</v>
      </c>
      <c r="AF1271" s="5"/>
      <c r="AG1271" s="6"/>
      <c r="AH1271" s="27" t="s">
        <v>3392</v>
      </c>
      <c r="AI1271" s="44" t="s">
        <v>3393</v>
      </c>
      <c r="AJ1271" s="26"/>
      <c r="AK1271" s="5"/>
      <c r="AL1271" s="82" t="s">
        <v>4091</v>
      </c>
      <c r="AM1271" s="76"/>
      <c r="AN1271" s="76"/>
      <c r="AO1271" s="76"/>
      <c r="AP1271" s="76"/>
      <c r="AQ1271" s="76"/>
      <c r="AR1271" s="76"/>
      <c r="AS1271" s="76"/>
      <c r="AT1271" s="76"/>
      <c r="AU1271" s="76"/>
      <c r="AV1271" s="76"/>
      <c r="AW1271" s="76"/>
      <c r="AX1271" s="76">
        <f>+AW1271*600000</f>
        <v>0</v>
      </c>
      <c r="AY1271" s="76"/>
      <c r="AZ1271" s="76">
        <f>+AY1271*70000</f>
        <v>0</v>
      </c>
      <c r="BA1271" s="76"/>
      <c r="BB1271" s="76"/>
      <c r="BC1271" s="76"/>
      <c r="BD1271" s="76">
        <f>+BC1271*30000</f>
        <v>0</v>
      </c>
      <c r="BE1271" s="76"/>
      <c r="BF1271" s="76"/>
      <c r="BG1271" s="76"/>
      <c r="BH1271" s="76"/>
      <c r="BI1271" s="76"/>
      <c r="BJ1271" s="76"/>
      <c r="BK1271" s="76"/>
      <c r="BL1271" s="76">
        <f>+BK1271*31500</f>
        <v>0</v>
      </c>
      <c r="BM1271" s="76"/>
      <c r="BN1271" s="76"/>
      <c r="BO1271" s="76"/>
      <c r="BP1271" s="76"/>
      <c r="BQ1271" s="76"/>
      <c r="BR1271" s="76"/>
      <c r="BS1271" s="76"/>
      <c r="BT1271" s="76"/>
      <c r="BU1271" s="76"/>
      <c r="BV1271" s="76"/>
      <c r="BW1271" s="76"/>
      <c r="BX1271" s="76"/>
      <c r="BY1271" s="76"/>
      <c r="BZ1271" s="76"/>
      <c r="CA1271" s="76"/>
      <c r="CB1271" s="76"/>
      <c r="CC1271" s="76"/>
      <c r="CD1271" s="76"/>
      <c r="CE1271" s="76"/>
      <c r="CF1271" s="76">
        <f>+CE1271*28000</f>
        <v>0</v>
      </c>
      <c r="CG1271" s="76"/>
      <c r="CH1271" s="76">
        <f>+CG1271*22500</f>
        <v>0</v>
      </c>
      <c r="CI1271" s="76"/>
      <c r="CJ1271" s="76">
        <f>+CI1271*26000</f>
        <v>0</v>
      </c>
      <c r="CK1271" s="76"/>
      <c r="CL1271" s="76"/>
      <c r="CM1271" s="76"/>
      <c r="CN1271" s="76">
        <f>+CM1271*22000</f>
        <v>0</v>
      </c>
      <c r="CO1271" s="76"/>
      <c r="CP1271" s="76">
        <f>+CO1271*46000</f>
        <v>0</v>
      </c>
      <c r="CQ1271" s="76"/>
      <c r="CR1271" s="76">
        <f>+CQ1271*49000</f>
        <v>0</v>
      </c>
      <c r="CS1271" s="76"/>
      <c r="CT1271" s="76"/>
      <c r="CU1271" s="56">
        <f>AN1271+AP1271+AR1271+AT1271+AV1271+AX1271+AZ1271+BB1271+BD1271+BF1271+BH1271+BJ1271+BL1271+BN1271+BP1271+BR1271+BT1271+BV1271+BX1271+BZ1271+CB1271+CD1271+CF1271+CH1271+CJ1271+CL1271+CN1271+CP1271+CR1271+CT1271</f>
        <v>0</v>
      </c>
      <c r="CV1271" s="76"/>
      <c r="CW1271" s="76">
        <f>+CV1271*1100</f>
        <v>0</v>
      </c>
      <c r="CX1271" s="76"/>
      <c r="CY1271" s="76">
        <f>+CX1271*106250</f>
        <v>0</v>
      </c>
      <c r="CZ1271" s="76"/>
      <c r="DA1271" s="76">
        <f>+CZ1271*34500</f>
        <v>0</v>
      </c>
      <c r="DB1271" s="76"/>
      <c r="DC1271" s="76">
        <f>+DB1271*25000</f>
        <v>0</v>
      </c>
      <c r="DD1271" s="219"/>
      <c r="DE1271" s="219"/>
      <c r="DF1271" s="166"/>
      <c r="DG1271" s="116"/>
      <c r="DH1271" s="117"/>
      <c r="DI1271" s="110"/>
      <c r="DJ1271" s="110"/>
      <c r="DK1271" s="110"/>
      <c r="DL1271" s="110"/>
      <c r="DM1271" s="110"/>
      <c r="DN1271" s="110"/>
      <c r="DO1271" s="110"/>
      <c r="DP1271" s="110"/>
      <c r="DQ1271" s="110"/>
      <c r="DR1271" s="110"/>
      <c r="DS1271" s="110"/>
      <c r="DT1271" s="110"/>
      <c r="DU1271" s="110"/>
    </row>
    <row r="1272" spans="1:125" s="8" customFormat="1" ht="60" x14ac:dyDescent="0.2">
      <c r="A1272" s="77">
        <v>41359</v>
      </c>
      <c r="B1272" s="78" t="s">
        <v>2880</v>
      </c>
      <c r="C1272" s="75" t="s">
        <v>2797</v>
      </c>
      <c r="D1272" s="81" t="s">
        <v>2846</v>
      </c>
      <c r="E1272" s="75" t="str">
        <f>VLOOKUP(B1272&amp;C1272,Divipola!$C$2:$F$1138,4,FALSE)</f>
        <v>54498</v>
      </c>
      <c r="F1272" s="87"/>
      <c r="G1272" s="87"/>
      <c r="H1272" s="87"/>
      <c r="I1272" s="87"/>
      <c r="J1272" s="87"/>
      <c r="K1272" s="87"/>
      <c r="L1272" s="87"/>
      <c r="M1272" s="87"/>
      <c r="N1272" s="87"/>
      <c r="O1272" s="87"/>
      <c r="P1272" s="87"/>
      <c r="Q1272" s="87"/>
      <c r="R1272" s="87"/>
      <c r="S1272" s="87"/>
      <c r="T1272" s="87"/>
      <c r="U1272" s="88">
        <v>50</v>
      </c>
      <c r="V1272" s="89"/>
      <c r="W1272" s="96">
        <v>0</v>
      </c>
      <c r="X1272" s="71">
        <f>CU1272</f>
        <v>0</v>
      </c>
      <c r="Y1272" s="71">
        <f>CY1272</f>
        <v>0</v>
      </c>
      <c r="Z1272" s="71">
        <f>DA1272+DC1272+DE1272</f>
        <v>0</v>
      </c>
      <c r="AA1272" s="71">
        <f>CW1272</f>
        <v>0</v>
      </c>
      <c r="AB1272" s="71"/>
      <c r="AC1272" s="71">
        <v>0</v>
      </c>
      <c r="AD1272" s="71">
        <f>W1272+X1272+Y1272+Z1272+AA1272+AB1272+AC1272</f>
        <v>0</v>
      </c>
      <c r="AE1272" s="72">
        <v>0</v>
      </c>
      <c r="AF1272" s="5"/>
      <c r="AG1272" s="6"/>
      <c r="AH1272" s="27" t="s">
        <v>3392</v>
      </c>
      <c r="AI1272" s="44" t="s">
        <v>3393</v>
      </c>
      <c r="AJ1272" s="26"/>
      <c r="AK1272" s="5"/>
      <c r="AL1272" s="82" t="s">
        <v>4087</v>
      </c>
      <c r="AM1272" s="76"/>
      <c r="AN1272" s="76"/>
      <c r="AO1272" s="76"/>
      <c r="AP1272" s="76"/>
      <c r="AQ1272" s="76"/>
      <c r="AR1272" s="76"/>
      <c r="AS1272" s="76"/>
      <c r="AT1272" s="76"/>
      <c r="AU1272" s="76"/>
      <c r="AV1272" s="76"/>
      <c r="AW1272" s="76"/>
      <c r="AX1272" s="76">
        <f>+AW1272*600000</f>
        <v>0</v>
      </c>
      <c r="AY1272" s="76"/>
      <c r="AZ1272" s="76">
        <f>+AY1272*70000</f>
        <v>0</v>
      </c>
      <c r="BA1272" s="76"/>
      <c r="BB1272" s="76"/>
      <c r="BC1272" s="76"/>
      <c r="BD1272" s="76">
        <f>+BC1272*30000</f>
        <v>0</v>
      </c>
      <c r="BE1272" s="76"/>
      <c r="BF1272" s="76"/>
      <c r="BG1272" s="76"/>
      <c r="BH1272" s="76"/>
      <c r="BI1272" s="76"/>
      <c r="BJ1272" s="76"/>
      <c r="BK1272" s="76"/>
      <c r="BL1272" s="76">
        <f>+BK1272*31500</f>
        <v>0</v>
      </c>
      <c r="BM1272" s="76"/>
      <c r="BN1272" s="76"/>
      <c r="BO1272" s="76"/>
      <c r="BP1272" s="76"/>
      <c r="BQ1272" s="76"/>
      <c r="BR1272" s="76"/>
      <c r="BS1272" s="76"/>
      <c r="BT1272" s="76"/>
      <c r="BU1272" s="76"/>
      <c r="BV1272" s="76"/>
      <c r="BW1272" s="76"/>
      <c r="BX1272" s="76"/>
      <c r="BY1272" s="76"/>
      <c r="BZ1272" s="76"/>
      <c r="CA1272" s="76"/>
      <c r="CB1272" s="76"/>
      <c r="CC1272" s="76"/>
      <c r="CD1272" s="76"/>
      <c r="CE1272" s="76"/>
      <c r="CF1272" s="76">
        <f>+CE1272*28000</f>
        <v>0</v>
      </c>
      <c r="CG1272" s="76"/>
      <c r="CH1272" s="76">
        <f>+CG1272*22500</f>
        <v>0</v>
      </c>
      <c r="CI1272" s="76"/>
      <c r="CJ1272" s="76">
        <f>+CI1272*26000</f>
        <v>0</v>
      </c>
      <c r="CK1272" s="76"/>
      <c r="CL1272" s="76"/>
      <c r="CM1272" s="76"/>
      <c r="CN1272" s="76">
        <f>+CM1272*22000</f>
        <v>0</v>
      </c>
      <c r="CO1272" s="76"/>
      <c r="CP1272" s="76">
        <f>+CO1272*46000</f>
        <v>0</v>
      </c>
      <c r="CQ1272" s="76"/>
      <c r="CR1272" s="76">
        <f>+CQ1272*49000</f>
        <v>0</v>
      </c>
      <c r="CS1272" s="76"/>
      <c r="CT1272" s="76"/>
      <c r="CU1272" s="56">
        <f>AN1272+AP1272+AR1272+AT1272+AV1272+AX1272+AZ1272+BB1272+BD1272+BF1272+BH1272+BJ1272+BL1272+BN1272+BP1272+BR1272+BT1272+BV1272+BX1272+BZ1272+CB1272+CD1272+CF1272+CH1272+CJ1272+CL1272+CN1272+CP1272+CR1272+CT1272</f>
        <v>0</v>
      </c>
      <c r="CV1272" s="76"/>
      <c r="CW1272" s="76">
        <f>+CV1272*1100</f>
        <v>0</v>
      </c>
      <c r="CX1272" s="76"/>
      <c r="CY1272" s="76">
        <f>+CX1272*106250</f>
        <v>0</v>
      </c>
      <c r="CZ1272" s="76"/>
      <c r="DA1272" s="76">
        <f>+CZ1272*34500</f>
        <v>0</v>
      </c>
      <c r="DB1272" s="76"/>
      <c r="DC1272" s="76">
        <f>+DB1272*25000</f>
        <v>0</v>
      </c>
      <c r="DD1272" s="219"/>
      <c r="DE1272" s="219"/>
      <c r="DF1272" s="166"/>
      <c r="DG1272" s="116"/>
      <c r="DH1272" s="117"/>
      <c r="DI1272" s="24"/>
      <c r="DJ1272" s="24"/>
      <c r="DK1272" s="24"/>
      <c r="DL1272" s="24"/>
      <c r="DM1272" s="24"/>
      <c r="DN1272" s="24"/>
      <c r="DO1272" s="24"/>
      <c r="DP1272" s="24"/>
      <c r="DQ1272" s="24"/>
      <c r="DR1272" s="24"/>
      <c r="DS1272" s="24"/>
      <c r="DT1272" s="24"/>
      <c r="DU1272" s="24"/>
    </row>
    <row r="1273" spans="1:125" s="8" customFormat="1" ht="36" x14ac:dyDescent="0.2">
      <c r="A1273" s="226">
        <v>41359</v>
      </c>
      <c r="B1273" s="352" t="s">
        <v>2880</v>
      </c>
      <c r="C1273" s="354" t="s">
        <v>2117</v>
      </c>
      <c r="D1273" s="81" t="s">
        <v>2846</v>
      </c>
      <c r="E1273" s="75" t="str">
        <f>VLOOKUP(B1273&amp;C1273,Divipola!$C$2:$F$1138,4,FALSE)</f>
        <v>54599</v>
      </c>
      <c r="F1273" s="87"/>
      <c r="G1273" s="87"/>
      <c r="H1273" s="87"/>
      <c r="I1273" s="87"/>
      <c r="J1273" s="87"/>
      <c r="K1273" s="87"/>
      <c r="L1273" s="87"/>
      <c r="M1273" s="87"/>
      <c r="N1273" s="87"/>
      <c r="O1273" s="87"/>
      <c r="P1273" s="87"/>
      <c r="Q1273" s="87"/>
      <c r="R1273" s="87"/>
      <c r="S1273" s="87"/>
      <c r="T1273" s="87"/>
      <c r="U1273" s="88">
        <v>6</v>
      </c>
      <c r="V1273" s="89"/>
      <c r="W1273" s="96">
        <v>0</v>
      </c>
      <c r="X1273" s="71">
        <f>CU1273</f>
        <v>0</v>
      </c>
      <c r="Y1273" s="71">
        <f>CY1273</f>
        <v>0</v>
      </c>
      <c r="Z1273" s="71">
        <f>DA1273+DC1273+DE1273</f>
        <v>0</v>
      </c>
      <c r="AA1273" s="71">
        <f>CW1273</f>
        <v>0</v>
      </c>
      <c r="AB1273" s="71"/>
      <c r="AC1273" s="71">
        <v>0</v>
      </c>
      <c r="AD1273" s="71">
        <f>W1273+X1273+Y1273+Z1273+AA1273+AB1273+AC1273</f>
        <v>0</v>
      </c>
      <c r="AE1273" s="72">
        <v>0</v>
      </c>
      <c r="AF1273" s="5"/>
      <c r="AG1273" s="6"/>
      <c r="AH1273" s="27" t="s">
        <v>3392</v>
      </c>
      <c r="AI1273" s="44" t="s">
        <v>3393</v>
      </c>
      <c r="AJ1273" s="26"/>
      <c r="AK1273" s="5"/>
      <c r="AL1273" s="82" t="s">
        <v>4088</v>
      </c>
      <c r="AM1273" s="76"/>
      <c r="AN1273" s="76"/>
      <c r="AO1273" s="76"/>
      <c r="AP1273" s="76"/>
      <c r="AQ1273" s="76"/>
      <c r="AR1273" s="76"/>
      <c r="AS1273" s="76"/>
      <c r="AT1273" s="76"/>
      <c r="AU1273" s="76"/>
      <c r="AV1273" s="76"/>
      <c r="AW1273" s="76"/>
      <c r="AX1273" s="76">
        <f>+AW1273*600000</f>
        <v>0</v>
      </c>
      <c r="AY1273" s="76"/>
      <c r="AZ1273" s="76">
        <f>+AY1273*70000</f>
        <v>0</v>
      </c>
      <c r="BA1273" s="76"/>
      <c r="BB1273" s="76"/>
      <c r="BC1273" s="76"/>
      <c r="BD1273" s="76">
        <f>+BC1273*30000</f>
        <v>0</v>
      </c>
      <c r="BE1273" s="76"/>
      <c r="BF1273" s="76"/>
      <c r="BG1273" s="76"/>
      <c r="BH1273" s="76"/>
      <c r="BI1273" s="76"/>
      <c r="BJ1273" s="76"/>
      <c r="BK1273" s="76"/>
      <c r="BL1273" s="76">
        <f>+BK1273*31500</f>
        <v>0</v>
      </c>
      <c r="BM1273" s="76"/>
      <c r="BN1273" s="76"/>
      <c r="BO1273" s="76"/>
      <c r="BP1273" s="76"/>
      <c r="BQ1273" s="76"/>
      <c r="BR1273" s="76"/>
      <c r="BS1273" s="76"/>
      <c r="BT1273" s="76"/>
      <c r="BU1273" s="76"/>
      <c r="BV1273" s="76"/>
      <c r="BW1273" s="76"/>
      <c r="BX1273" s="76"/>
      <c r="BY1273" s="76"/>
      <c r="BZ1273" s="76"/>
      <c r="CA1273" s="76"/>
      <c r="CB1273" s="76"/>
      <c r="CC1273" s="76"/>
      <c r="CD1273" s="76"/>
      <c r="CE1273" s="76"/>
      <c r="CF1273" s="76">
        <f>+CE1273*28000</f>
        <v>0</v>
      </c>
      <c r="CG1273" s="76"/>
      <c r="CH1273" s="76">
        <f>+CG1273*22500</f>
        <v>0</v>
      </c>
      <c r="CI1273" s="76"/>
      <c r="CJ1273" s="76">
        <f>+CI1273*26000</f>
        <v>0</v>
      </c>
      <c r="CK1273" s="76"/>
      <c r="CL1273" s="76"/>
      <c r="CM1273" s="76"/>
      <c r="CN1273" s="76">
        <f>+CM1273*22000</f>
        <v>0</v>
      </c>
      <c r="CO1273" s="76"/>
      <c r="CP1273" s="76">
        <f>+CO1273*46000</f>
        <v>0</v>
      </c>
      <c r="CQ1273" s="76"/>
      <c r="CR1273" s="76">
        <f>+CQ1273*49000</f>
        <v>0</v>
      </c>
      <c r="CS1273" s="76"/>
      <c r="CT1273" s="76"/>
      <c r="CU1273" s="56">
        <f>AN1273+AP1273+AR1273+AT1273+AV1273+AX1273+AZ1273+BB1273+BD1273+BF1273+BH1273+BJ1273+BL1273+BN1273+BP1273+BR1273+BT1273+BV1273+BX1273+BZ1273+CB1273+CD1273+CF1273+CH1273+CJ1273+CL1273+CN1273+CP1273+CR1273+CT1273</f>
        <v>0</v>
      </c>
      <c r="CV1273" s="76"/>
      <c r="CW1273" s="76">
        <f>+CV1273*1100</f>
        <v>0</v>
      </c>
      <c r="CX1273" s="76"/>
      <c r="CY1273" s="76">
        <f>+CX1273*106250</f>
        <v>0</v>
      </c>
      <c r="CZ1273" s="76"/>
      <c r="DA1273" s="76">
        <f>+CZ1273*34500</f>
        <v>0</v>
      </c>
      <c r="DB1273" s="76"/>
      <c r="DC1273" s="76">
        <f>+DB1273*25000</f>
        <v>0</v>
      </c>
      <c r="DD1273" s="219"/>
      <c r="DE1273" s="219"/>
      <c r="DF1273" s="166"/>
      <c r="DG1273" s="116"/>
      <c r="DH1273" s="117"/>
      <c r="DI1273" s="24"/>
      <c r="DJ1273" s="24"/>
      <c r="DK1273" s="24"/>
      <c r="DL1273" s="24"/>
      <c r="DM1273" s="24"/>
      <c r="DN1273" s="24"/>
      <c r="DO1273" s="24"/>
      <c r="DP1273" s="24"/>
      <c r="DQ1273" s="24"/>
      <c r="DR1273" s="24"/>
      <c r="DS1273" s="24"/>
      <c r="DT1273" s="24"/>
      <c r="DU1273" s="24"/>
    </row>
    <row r="1274" spans="1:125" s="8" customFormat="1" ht="96" x14ac:dyDescent="0.2">
      <c r="A1274" s="97">
        <v>41359</v>
      </c>
      <c r="B1274" s="60" t="s">
        <v>3131</v>
      </c>
      <c r="C1274" s="55" t="s">
        <v>2747</v>
      </c>
      <c r="D1274" s="75" t="s">
        <v>3051</v>
      </c>
      <c r="E1274" s="75" t="str">
        <f>VLOOKUP(B1274&amp;C1274,Divipola!$C$2:$F$1138,4,FALSE)</f>
        <v>86001</v>
      </c>
      <c r="F1274" s="87"/>
      <c r="G1274" s="87"/>
      <c r="H1274" s="87"/>
      <c r="I1274" s="87">
        <v>250</v>
      </c>
      <c r="J1274" s="87">
        <v>50</v>
      </c>
      <c r="K1274" s="87"/>
      <c r="L1274" s="87">
        <v>50</v>
      </c>
      <c r="M1274" s="87"/>
      <c r="N1274" s="87"/>
      <c r="O1274" s="87"/>
      <c r="P1274" s="87"/>
      <c r="Q1274" s="87"/>
      <c r="R1274" s="87"/>
      <c r="S1274" s="87"/>
      <c r="T1274" s="87"/>
      <c r="U1274" s="88"/>
      <c r="V1274" s="89"/>
      <c r="W1274" s="96">
        <v>0</v>
      </c>
      <c r="X1274" s="71">
        <f>CU1274</f>
        <v>0</v>
      </c>
      <c r="Y1274" s="71">
        <f>CY1274</f>
        <v>0</v>
      </c>
      <c r="Z1274" s="71">
        <f>DA1274+DC1274+DE1274</f>
        <v>289520807.47999996</v>
      </c>
      <c r="AA1274" s="71">
        <f>CW1274</f>
        <v>0</v>
      </c>
      <c r="AB1274" s="71"/>
      <c r="AC1274" s="71">
        <v>0</v>
      </c>
      <c r="AD1274" s="71">
        <f>W1274+X1274+Y1274+Z1274+AA1274+AB1274+AC1274</f>
        <v>289520807.47999996</v>
      </c>
      <c r="AE1274" s="72">
        <v>0</v>
      </c>
      <c r="AF1274" s="5"/>
      <c r="AG1274" s="6"/>
      <c r="AH1274" s="27" t="s">
        <v>3390</v>
      </c>
      <c r="AI1274" s="44" t="s">
        <v>3391</v>
      </c>
      <c r="AJ1274" s="26"/>
      <c r="AK1274" s="5"/>
      <c r="AL1274" s="82" t="s">
        <v>4101</v>
      </c>
      <c r="AM1274" s="76"/>
      <c r="AN1274" s="76"/>
      <c r="AO1274" s="76"/>
      <c r="AP1274" s="76"/>
      <c r="AQ1274" s="76"/>
      <c r="AR1274" s="76"/>
      <c r="AS1274" s="76"/>
      <c r="AT1274" s="76"/>
      <c r="AU1274" s="76"/>
      <c r="AV1274" s="76"/>
      <c r="AW1274" s="76"/>
      <c r="AX1274" s="76">
        <f>+AW1274*600000</f>
        <v>0</v>
      </c>
      <c r="AY1274" s="76"/>
      <c r="AZ1274" s="76">
        <f>+AY1274*70000</f>
        <v>0</v>
      </c>
      <c r="BA1274" s="76"/>
      <c r="BB1274" s="76"/>
      <c r="BC1274" s="76"/>
      <c r="BD1274" s="76">
        <f>+BC1274*30000</f>
        <v>0</v>
      </c>
      <c r="BE1274" s="76"/>
      <c r="BF1274" s="76"/>
      <c r="BG1274" s="76"/>
      <c r="BH1274" s="76"/>
      <c r="BI1274" s="76"/>
      <c r="BJ1274" s="76"/>
      <c r="BK1274" s="76"/>
      <c r="BL1274" s="76">
        <f>+BK1274*31500</f>
        <v>0</v>
      </c>
      <c r="BM1274" s="76"/>
      <c r="BN1274" s="76"/>
      <c r="BO1274" s="76"/>
      <c r="BP1274" s="76"/>
      <c r="BQ1274" s="76"/>
      <c r="BR1274" s="76"/>
      <c r="BS1274" s="76"/>
      <c r="BT1274" s="76"/>
      <c r="BU1274" s="76"/>
      <c r="BV1274" s="76"/>
      <c r="BW1274" s="76"/>
      <c r="BX1274" s="76"/>
      <c r="BY1274" s="76"/>
      <c r="BZ1274" s="76"/>
      <c r="CA1274" s="76"/>
      <c r="CB1274" s="76"/>
      <c r="CC1274" s="76"/>
      <c r="CD1274" s="76"/>
      <c r="CE1274" s="76"/>
      <c r="CF1274" s="76">
        <f>+CE1274*28000</f>
        <v>0</v>
      </c>
      <c r="CG1274" s="76"/>
      <c r="CH1274" s="76">
        <f>+CG1274*22500</f>
        <v>0</v>
      </c>
      <c r="CI1274" s="76"/>
      <c r="CJ1274" s="76">
        <f>+CI1274*26000</f>
        <v>0</v>
      </c>
      <c r="CK1274" s="76"/>
      <c r="CL1274" s="76"/>
      <c r="CM1274" s="76"/>
      <c r="CN1274" s="76">
        <f>+CM1274*22000</f>
        <v>0</v>
      </c>
      <c r="CO1274" s="76"/>
      <c r="CP1274" s="76">
        <f>+CO1274*46000</f>
        <v>0</v>
      </c>
      <c r="CQ1274" s="76"/>
      <c r="CR1274" s="76">
        <f>+CQ1274*49000</f>
        <v>0</v>
      </c>
      <c r="CS1274" s="76"/>
      <c r="CT1274" s="76"/>
      <c r="CU1274" s="56">
        <f>AN1274+AP1274+AR1274+AT1274+AV1274+AX1274+AZ1274+BB1274+BD1274+BF1274+BH1274+BJ1274+BL1274+BN1274+BP1274+BR1274+BT1274+BV1274+BX1274+BZ1274+CB1274+CD1274+CF1274+CH1274+CJ1274+CL1274+CN1274+CP1274+CR1274+CT1274</f>
        <v>0</v>
      </c>
      <c r="CV1274" s="76"/>
      <c r="CW1274" s="76">
        <f>+CV1274*1100</f>
        <v>0</v>
      </c>
      <c r="CX1274" s="76"/>
      <c r="CY1274" s="76">
        <f>+CX1274*106250</f>
        <v>0</v>
      </c>
      <c r="CZ1274" s="86">
        <v>2184</v>
      </c>
      <c r="DA1274" s="86">
        <f>+CZ1274*34499.56</f>
        <v>75347039.039999992</v>
      </c>
      <c r="DB1274" s="344">
        <f>672+224</f>
        <v>896</v>
      </c>
      <c r="DC1274" s="86">
        <f>672*41000.2+224*39799.6</f>
        <v>36467244.799999997</v>
      </c>
      <c r="DD1274" s="222" t="s">
        <v>6495</v>
      </c>
      <c r="DE1274" s="309">
        <f>1960*21808+3909*14999.96+16800*3886+28*394400</f>
        <v>177706523.63999999</v>
      </c>
      <c r="DF1274" s="166"/>
      <c r="DG1274" s="192" t="s">
        <v>6496</v>
      </c>
      <c r="DH1274" s="117"/>
      <c r="DI1274" s="24"/>
      <c r="DJ1274" s="24"/>
      <c r="DK1274" s="24"/>
      <c r="DL1274" s="24"/>
      <c r="DM1274" s="24"/>
      <c r="DN1274" s="24"/>
      <c r="DO1274" s="24"/>
      <c r="DP1274" s="24"/>
      <c r="DQ1274" s="24"/>
      <c r="DR1274" s="24"/>
      <c r="DS1274" s="24"/>
      <c r="DT1274" s="24"/>
      <c r="DU1274" s="24"/>
    </row>
    <row r="1275" spans="1:125" s="8" customFormat="1" ht="48" x14ac:dyDescent="0.2">
      <c r="A1275" s="353">
        <v>41359</v>
      </c>
      <c r="B1275" s="225" t="s">
        <v>3131</v>
      </c>
      <c r="C1275" s="227" t="s">
        <v>2689</v>
      </c>
      <c r="D1275" s="75" t="s">
        <v>3051</v>
      </c>
      <c r="E1275" s="75" t="str">
        <f>VLOOKUP(B1275&amp;C1275,Divipola!$C$2:$F$1138,4,FALSE)</f>
        <v>86320</v>
      </c>
      <c r="F1275" s="87"/>
      <c r="G1275" s="87"/>
      <c r="H1275" s="87"/>
      <c r="I1275" s="87">
        <v>1575</v>
      </c>
      <c r="J1275" s="87">
        <v>315</v>
      </c>
      <c r="K1275" s="87"/>
      <c r="L1275" s="87">
        <v>315</v>
      </c>
      <c r="M1275" s="87"/>
      <c r="N1275" s="87"/>
      <c r="O1275" s="87"/>
      <c r="P1275" s="87"/>
      <c r="Q1275" s="87"/>
      <c r="R1275" s="87"/>
      <c r="S1275" s="87"/>
      <c r="T1275" s="87"/>
      <c r="U1275" s="88"/>
      <c r="V1275" s="89"/>
      <c r="W1275" s="96">
        <v>0</v>
      </c>
      <c r="X1275" s="71">
        <f>CU1275</f>
        <v>0</v>
      </c>
      <c r="Y1275" s="71">
        <f>CY1275</f>
        <v>0</v>
      </c>
      <c r="Z1275" s="71">
        <f>DA1275+DC1275+DE1275</f>
        <v>0</v>
      </c>
      <c r="AA1275" s="71">
        <f>CW1275</f>
        <v>0</v>
      </c>
      <c r="AB1275" s="71"/>
      <c r="AC1275" s="71">
        <v>0</v>
      </c>
      <c r="AD1275" s="71">
        <f>W1275+X1275+Y1275+Z1275+AA1275+AB1275+AC1275</f>
        <v>0</v>
      </c>
      <c r="AE1275" s="72">
        <v>0</v>
      </c>
      <c r="AF1275" s="5"/>
      <c r="AG1275" s="6"/>
      <c r="AH1275" s="27" t="s">
        <v>3392</v>
      </c>
      <c r="AI1275" s="44" t="s">
        <v>3393</v>
      </c>
      <c r="AJ1275" s="26"/>
      <c r="AK1275" s="5"/>
      <c r="AL1275" s="82" t="s">
        <v>4100</v>
      </c>
      <c r="AM1275" s="76"/>
      <c r="AN1275" s="76"/>
      <c r="AO1275" s="76"/>
      <c r="AP1275" s="76"/>
      <c r="AQ1275" s="76"/>
      <c r="AR1275" s="76"/>
      <c r="AS1275" s="76"/>
      <c r="AT1275" s="76"/>
      <c r="AU1275" s="76"/>
      <c r="AV1275" s="76"/>
      <c r="AW1275" s="76"/>
      <c r="AX1275" s="76">
        <f>+AW1275*600000</f>
        <v>0</v>
      </c>
      <c r="AY1275" s="76"/>
      <c r="AZ1275" s="76">
        <f>+AY1275*70000</f>
        <v>0</v>
      </c>
      <c r="BA1275" s="76"/>
      <c r="BB1275" s="76"/>
      <c r="BC1275" s="76"/>
      <c r="BD1275" s="76">
        <f>+BC1275*30000</f>
        <v>0</v>
      </c>
      <c r="BE1275" s="76"/>
      <c r="BF1275" s="76"/>
      <c r="BG1275" s="76"/>
      <c r="BH1275" s="76"/>
      <c r="BI1275" s="76"/>
      <c r="BJ1275" s="76"/>
      <c r="BK1275" s="76"/>
      <c r="BL1275" s="76">
        <f>+BK1275*31500</f>
        <v>0</v>
      </c>
      <c r="BM1275" s="76"/>
      <c r="BN1275" s="76"/>
      <c r="BO1275" s="76"/>
      <c r="BP1275" s="76"/>
      <c r="BQ1275" s="76"/>
      <c r="BR1275" s="76"/>
      <c r="BS1275" s="76"/>
      <c r="BT1275" s="76"/>
      <c r="BU1275" s="76"/>
      <c r="BV1275" s="76"/>
      <c r="BW1275" s="76"/>
      <c r="BX1275" s="76"/>
      <c r="BY1275" s="76"/>
      <c r="BZ1275" s="76"/>
      <c r="CA1275" s="76"/>
      <c r="CB1275" s="76"/>
      <c r="CC1275" s="76"/>
      <c r="CD1275" s="76"/>
      <c r="CE1275" s="76"/>
      <c r="CF1275" s="76">
        <f>+CE1275*28000</f>
        <v>0</v>
      </c>
      <c r="CG1275" s="76"/>
      <c r="CH1275" s="76">
        <f>+CG1275*22500</f>
        <v>0</v>
      </c>
      <c r="CI1275" s="76"/>
      <c r="CJ1275" s="76">
        <f>+CI1275*26000</f>
        <v>0</v>
      </c>
      <c r="CK1275" s="76"/>
      <c r="CL1275" s="76"/>
      <c r="CM1275" s="76"/>
      <c r="CN1275" s="76">
        <f>+CM1275*22000</f>
        <v>0</v>
      </c>
      <c r="CO1275" s="76"/>
      <c r="CP1275" s="76">
        <f>+CO1275*46000</f>
        <v>0</v>
      </c>
      <c r="CQ1275" s="76"/>
      <c r="CR1275" s="76">
        <f>+CQ1275*49000</f>
        <v>0</v>
      </c>
      <c r="CS1275" s="76"/>
      <c r="CT1275" s="76"/>
      <c r="CU1275" s="56">
        <f>AN1275+AP1275+AR1275+AT1275+AV1275+AX1275+AZ1275+BB1275+BD1275+BF1275+BH1275+BJ1275+BL1275+BN1275+BP1275+BR1275+BT1275+BV1275+BX1275+BZ1275+CB1275+CD1275+CF1275+CH1275+CJ1275+CL1275+CN1275+CP1275+CR1275+CT1275</f>
        <v>0</v>
      </c>
      <c r="CV1275" s="76"/>
      <c r="CW1275" s="76">
        <f>+CV1275*1100</f>
        <v>0</v>
      </c>
      <c r="CX1275" s="76"/>
      <c r="CY1275" s="76">
        <f>+CX1275*106250</f>
        <v>0</v>
      </c>
      <c r="CZ1275" s="76"/>
      <c r="DA1275" s="76">
        <f>+CZ1275*34500</f>
        <v>0</v>
      </c>
      <c r="DB1275" s="76"/>
      <c r="DC1275" s="76">
        <f>+DB1275*25000</f>
        <v>0</v>
      </c>
      <c r="DD1275" s="219"/>
      <c r="DE1275" s="219"/>
      <c r="DF1275" s="166"/>
      <c r="DG1275" s="116"/>
      <c r="DH1275" s="117"/>
      <c r="DI1275" s="24"/>
      <c r="DJ1275" s="24"/>
      <c r="DK1275" s="24"/>
      <c r="DL1275" s="24"/>
      <c r="DM1275" s="24"/>
      <c r="DN1275" s="24"/>
      <c r="DO1275" s="24"/>
      <c r="DP1275" s="24"/>
      <c r="DQ1275" s="24"/>
      <c r="DR1275" s="24"/>
      <c r="DS1275" s="24"/>
      <c r="DT1275" s="24"/>
      <c r="DU1275" s="24"/>
    </row>
    <row r="1276" spans="1:125" s="8" customFormat="1" ht="48" x14ac:dyDescent="0.2">
      <c r="A1276" s="353">
        <v>41359</v>
      </c>
      <c r="B1276" s="352" t="s">
        <v>3131</v>
      </c>
      <c r="C1276" s="354" t="s">
        <v>2264</v>
      </c>
      <c r="D1276" s="75" t="s">
        <v>3051</v>
      </c>
      <c r="E1276" s="75" t="str">
        <f>VLOOKUP(B1276&amp;C1276,Divipola!$C$2:$F$1138,4,FALSE)</f>
        <v>86568</v>
      </c>
      <c r="F1276" s="87"/>
      <c r="G1276" s="87"/>
      <c r="H1276" s="87"/>
      <c r="I1276" s="87">
        <v>500</v>
      </c>
      <c r="J1276" s="87">
        <v>100</v>
      </c>
      <c r="K1276" s="87"/>
      <c r="L1276" s="87">
        <v>100</v>
      </c>
      <c r="M1276" s="87"/>
      <c r="N1276" s="87"/>
      <c r="O1276" s="87"/>
      <c r="P1276" s="87"/>
      <c r="Q1276" s="87"/>
      <c r="R1276" s="87"/>
      <c r="S1276" s="87"/>
      <c r="T1276" s="87"/>
      <c r="U1276" s="88"/>
      <c r="V1276" s="89"/>
      <c r="W1276" s="96">
        <v>0</v>
      </c>
      <c r="X1276" s="71">
        <f>CU1276</f>
        <v>0</v>
      </c>
      <c r="Y1276" s="71">
        <f>CY1276</f>
        <v>0</v>
      </c>
      <c r="Z1276" s="71">
        <f>DA1276+DC1276+DE1276</f>
        <v>0</v>
      </c>
      <c r="AA1276" s="71">
        <f>CW1276</f>
        <v>0</v>
      </c>
      <c r="AB1276" s="71"/>
      <c r="AC1276" s="71">
        <v>0</v>
      </c>
      <c r="AD1276" s="71">
        <f>W1276+X1276+Y1276+Z1276+AA1276+AB1276+AC1276</f>
        <v>0</v>
      </c>
      <c r="AE1276" s="72">
        <v>0</v>
      </c>
      <c r="AF1276" s="5"/>
      <c r="AG1276" s="6"/>
      <c r="AH1276" s="27" t="s">
        <v>3392</v>
      </c>
      <c r="AI1276" s="44" t="s">
        <v>3393</v>
      </c>
      <c r="AJ1276" s="26"/>
      <c r="AK1276" s="5"/>
      <c r="AL1276" s="82" t="s">
        <v>4099</v>
      </c>
      <c r="AM1276" s="76"/>
      <c r="AN1276" s="76"/>
      <c r="AO1276" s="76"/>
      <c r="AP1276" s="76"/>
      <c r="AQ1276" s="76"/>
      <c r="AR1276" s="76"/>
      <c r="AS1276" s="76"/>
      <c r="AT1276" s="76"/>
      <c r="AU1276" s="76"/>
      <c r="AV1276" s="76"/>
      <c r="AW1276" s="76"/>
      <c r="AX1276" s="76">
        <f>+AW1276*600000</f>
        <v>0</v>
      </c>
      <c r="AY1276" s="76"/>
      <c r="AZ1276" s="76">
        <f>+AY1276*70000</f>
        <v>0</v>
      </c>
      <c r="BA1276" s="76"/>
      <c r="BB1276" s="76"/>
      <c r="BC1276" s="76"/>
      <c r="BD1276" s="76">
        <f>+BC1276*30000</f>
        <v>0</v>
      </c>
      <c r="BE1276" s="76"/>
      <c r="BF1276" s="76"/>
      <c r="BG1276" s="76"/>
      <c r="BH1276" s="76"/>
      <c r="BI1276" s="76"/>
      <c r="BJ1276" s="76"/>
      <c r="BK1276" s="76"/>
      <c r="BL1276" s="76">
        <f>+BK1276*31500</f>
        <v>0</v>
      </c>
      <c r="BM1276" s="76"/>
      <c r="BN1276" s="76"/>
      <c r="BO1276" s="76"/>
      <c r="BP1276" s="76"/>
      <c r="BQ1276" s="76"/>
      <c r="BR1276" s="76"/>
      <c r="BS1276" s="76"/>
      <c r="BT1276" s="76"/>
      <c r="BU1276" s="76"/>
      <c r="BV1276" s="76"/>
      <c r="BW1276" s="76"/>
      <c r="BX1276" s="76"/>
      <c r="BY1276" s="76"/>
      <c r="BZ1276" s="76"/>
      <c r="CA1276" s="76"/>
      <c r="CB1276" s="76"/>
      <c r="CC1276" s="76"/>
      <c r="CD1276" s="76"/>
      <c r="CE1276" s="76"/>
      <c r="CF1276" s="76">
        <f>+CE1276*28000</f>
        <v>0</v>
      </c>
      <c r="CG1276" s="76"/>
      <c r="CH1276" s="76">
        <f>+CG1276*22500</f>
        <v>0</v>
      </c>
      <c r="CI1276" s="76"/>
      <c r="CJ1276" s="76">
        <f>+CI1276*26000</f>
        <v>0</v>
      </c>
      <c r="CK1276" s="76"/>
      <c r="CL1276" s="76"/>
      <c r="CM1276" s="76"/>
      <c r="CN1276" s="76">
        <f>+CM1276*22000</f>
        <v>0</v>
      </c>
      <c r="CO1276" s="76"/>
      <c r="CP1276" s="76">
        <f>+CO1276*46000</f>
        <v>0</v>
      </c>
      <c r="CQ1276" s="76"/>
      <c r="CR1276" s="76">
        <f>+CQ1276*49000</f>
        <v>0</v>
      </c>
      <c r="CS1276" s="76"/>
      <c r="CT1276" s="76"/>
      <c r="CU1276" s="56">
        <f>AN1276+AP1276+AR1276+AT1276+AV1276+AX1276+AZ1276+BB1276+BD1276+BF1276+BH1276+BJ1276+BL1276+BN1276+BP1276+BR1276+BT1276+BV1276+BX1276+BZ1276+CB1276+CD1276+CF1276+CH1276+CJ1276+CL1276+CN1276+CP1276+CR1276+CT1276</f>
        <v>0</v>
      </c>
      <c r="CV1276" s="76"/>
      <c r="CW1276" s="76">
        <f>+CV1276*1100</f>
        <v>0</v>
      </c>
      <c r="CX1276" s="76"/>
      <c r="CY1276" s="76">
        <f>+CX1276*106250</f>
        <v>0</v>
      </c>
      <c r="CZ1276" s="76"/>
      <c r="DA1276" s="76">
        <f>+CZ1276*34500</f>
        <v>0</v>
      </c>
      <c r="DB1276" s="76"/>
      <c r="DC1276" s="76">
        <f>+DB1276*25000</f>
        <v>0</v>
      </c>
      <c r="DD1276" s="219"/>
      <c r="DE1276" s="219"/>
      <c r="DF1276" s="166"/>
      <c r="DG1276" s="116"/>
      <c r="DH1276" s="117"/>
      <c r="DI1276" s="24"/>
      <c r="DJ1276" s="24"/>
      <c r="DK1276" s="24"/>
      <c r="DL1276" s="24"/>
      <c r="DM1276" s="24"/>
      <c r="DN1276" s="24"/>
      <c r="DO1276" s="24"/>
      <c r="DP1276" s="24"/>
      <c r="DQ1276" s="24"/>
      <c r="DR1276" s="24"/>
      <c r="DS1276" s="24"/>
      <c r="DT1276" s="24"/>
      <c r="DU1276" s="24"/>
    </row>
    <row r="1277" spans="1:125" s="8" customFormat="1" ht="72" x14ac:dyDescent="0.2">
      <c r="A1277" s="226">
        <v>41359</v>
      </c>
      <c r="B1277" s="225" t="s">
        <v>3131</v>
      </c>
      <c r="C1277" s="227" t="s">
        <v>2267</v>
      </c>
      <c r="D1277" s="75" t="s">
        <v>3051</v>
      </c>
      <c r="E1277" s="75" t="str">
        <f>VLOOKUP(B1277&amp;C1277,Divipola!$C$2:$F$1138,4,FALSE)</f>
        <v>86569</v>
      </c>
      <c r="F1277" s="87"/>
      <c r="G1277" s="87"/>
      <c r="H1277" s="87"/>
      <c r="I1277" s="87">
        <v>320</v>
      </c>
      <c r="J1277" s="87">
        <v>70</v>
      </c>
      <c r="K1277" s="87"/>
      <c r="L1277" s="87">
        <v>70</v>
      </c>
      <c r="M1277" s="87"/>
      <c r="N1277" s="87"/>
      <c r="O1277" s="87"/>
      <c r="P1277" s="87"/>
      <c r="Q1277" s="87"/>
      <c r="R1277" s="87"/>
      <c r="S1277" s="87"/>
      <c r="T1277" s="87"/>
      <c r="U1277" s="88"/>
      <c r="V1277" s="89"/>
      <c r="W1277" s="96">
        <v>0</v>
      </c>
      <c r="X1277" s="71">
        <f>CU1277</f>
        <v>0</v>
      </c>
      <c r="Y1277" s="71">
        <f>CY1277</f>
        <v>0</v>
      </c>
      <c r="Z1277" s="71">
        <f>DA1277+DC1277+DE1277</f>
        <v>0</v>
      </c>
      <c r="AA1277" s="71">
        <f>CW1277</f>
        <v>0</v>
      </c>
      <c r="AB1277" s="71"/>
      <c r="AC1277" s="71">
        <v>0</v>
      </c>
      <c r="AD1277" s="71">
        <f>W1277+X1277+Y1277+Z1277+AA1277+AB1277+AC1277</f>
        <v>0</v>
      </c>
      <c r="AE1277" s="72">
        <v>0</v>
      </c>
      <c r="AF1277" s="5"/>
      <c r="AG1277" s="6"/>
      <c r="AH1277" s="27" t="s">
        <v>3392</v>
      </c>
      <c r="AI1277" s="44" t="s">
        <v>3393</v>
      </c>
      <c r="AJ1277" s="26"/>
      <c r="AK1277" s="5"/>
      <c r="AL1277" s="82" t="s">
        <v>4102</v>
      </c>
      <c r="AM1277" s="76"/>
      <c r="AN1277" s="76"/>
      <c r="AO1277" s="76"/>
      <c r="AP1277" s="76"/>
      <c r="AQ1277" s="76"/>
      <c r="AR1277" s="76"/>
      <c r="AS1277" s="76"/>
      <c r="AT1277" s="76"/>
      <c r="AU1277" s="76"/>
      <c r="AV1277" s="76"/>
      <c r="AW1277" s="76"/>
      <c r="AX1277" s="76">
        <f>+AW1277*600000</f>
        <v>0</v>
      </c>
      <c r="AY1277" s="76"/>
      <c r="AZ1277" s="76">
        <f>+AY1277*70000</f>
        <v>0</v>
      </c>
      <c r="BA1277" s="76"/>
      <c r="BB1277" s="76"/>
      <c r="BC1277" s="76"/>
      <c r="BD1277" s="76">
        <f>+BC1277*30000</f>
        <v>0</v>
      </c>
      <c r="BE1277" s="76"/>
      <c r="BF1277" s="76"/>
      <c r="BG1277" s="76"/>
      <c r="BH1277" s="76"/>
      <c r="BI1277" s="76"/>
      <c r="BJ1277" s="76"/>
      <c r="BK1277" s="76"/>
      <c r="BL1277" s="76">
        <f>+BK1277*31500</f>
        <v>0</v>
      </c>
      <c r="BM1277" s="76"/>
      <c r="BN1277" s="76"/>
      <c r="BO1277" s="76"/>
      <c r="BP1277" s="76"/>
      <c r="BQ1277" s="76"/>
      <c r="BR1277" s="76"/>
      <c r="BS1277" s="76"/>
      <c r="BT1277" s="76"/>
      <c r="BU1277" s="76"/>
      <c r="BV1277" s="76"/>
      <c r="BW1277" s="76"/>
      <c r="BX1277" s="76"/>
      <c r="BY1277" s="76"/>
      <c r="BZ1277" s="76"/>
      <c r="CA1277" s="76"/>
      <c r="CB1277" s="76"/>
      <c r="CC1277" s="76"/>
      <c r="CD1277" s="76"/>
      <c r="CE1277" s="76"/>
      <c r="CF1277" s="76">
        <f>+CE1277*28000</f>
        <v>0</v>
      </c>
      <c r="CG1277" s="76"/>
      <c r="CH1277" s="76">
        <f>+CG1277*22500</f>
        <v>0</v>
      </c>
      <c r="CI1277" s="76"/>
      <c r="CJ1277" s="76">
        <f>+CI1277*26000</f>
        <v>0</v>
      </c>
      <c r="CK1277" s="76"/>
      <c r="CL1277" s="76"/>
      <c r="CM1277" s="76"/>
      <c r="CN1277" s="76">
        <f>+CM1277*22000</f>
        <v>0</v>
      </c>
      <c r="CO1277" s="76"/>
      <c r="CP1277" s="76">
        <f>+CO1277*46000</f>
        <v>0</v>
      </c>
      <c r="CQ1277" s="76"/>
      <c r="CR1277" s="76">
        <f>+CQ1277*49000</f>
        <v>0</v>
      </c>
      <c r="CS1277" s="76"/>
      <c r="CT1277" s="76"/>
      <c r="CU1277" s="56">
        <f>AN1277+AP1277+AR1277+AT1277+AV1277+AX1277+AZ1277+BB1277+BD1277+BF1277+BH1277+BJ1277+BL1277+BN1277+BP1277+BR1277+BT1277+BV1277+BX1277+BZ1277+CB1277+CD1277+CF1277+CH1277+CJ1277+CL1277+CN1277+CP1277+CR1277+CT1277</f>
        <v>0</v>
      </c>
      <c r="CV1277" s="76"/>
      <c r="CW1277" s="76">
        <f>+CV1277*1100</f>
        <v>0</v>
      </c>
      <c r="CX1277" s="76"/>
      <c r="CY1277" s="76">
        <f>+CX1277*106250</f>
        <v>0</v>
      </c>
      <c r="CZ1277" s="76"/>
      <c r="DA1277" s="76">
        <f>+CZ1277*34500</f>
        <v>0</v>
      </c>
      <c r="DB1277" s="76"/>
      <c r="DC1277" s="76">
        <f>+DB1277*25000</f>
        <v>0</v>
      </c>
      <c r="DD1277" s="219"/>
      <c r="DE1277" s="219"/>
      <c r="DF1277" s="166"/>
      <c r="DG1277" s="116"/>
      <c r="DH1277" s="117"/>
      <c r="DI1277" s="24"/>
      <c r="DJ1277" s="24"/>
      <c r="DK1277" s="24"/>
      <c r="DL1277" s="24"/>
      <c r="DM1277" s="24"/>
      <c r="DN1277" s="24"/>
      <c r="DO1277" s="24"/>
      <c r="DP1277" s="24"/>
      <c r="DQ1277" s="24"/>
      <c r="DR1277" s="24"/>
      <c r="DS1277" s="24"/>
      <c r="DT1277" s="24"/>
      <c r="DU1277" s="24"/>
    </row>
    <row r="1278" spans="1:125" s="8" customFormat="1" ht="48" x14ac:dyDescent="0.2">
      <c r="A1278" s="353">
        <v>41359</v>
      </c>
      <c r="B1278" s="352" t="s">
        <v>3131</v>
      </c>
      <c r="C1278" s="354" t="s">
        <v>2281</v>
      </c>
      <c r="D1278" s="75" t="s">
        <v>3051</v>
      </c>
      <c r="E1278" s="75" t="str">
        <f>VLOOKUP(B1278&amp;C1278,Divipola!$C$2:$F$1138,4,FALSE)</f>
        <v>86885</v>
      </c>
      <c r="F1278" s="87"/>
      <c r="G1278" s="87"/>
      <c r="H1278" s="87"/>
      <c r="I1278" s="87">
        <v>80</v>
      </c>
      <c r="J1278" s="87">
        <v>16</v>
      </c>
      <c r="K1278" s="87"/>
      <c r="L1278" s="87">
        <v>16</v>
      </c>
      <c r="M1278" s="87"/>
      <c r="N1278" s="87"/>
      <c r="O1278" s="87"/>
      <c r="P1278" s="87"/>
      <c r="Q1278" s="87"/>
      <c r="R1278" s="87"/>
      <c r="S1278" s="87"/>
      <c r="T1278" s="87"/>
      <c r="U1278" s="88"/>
      <c r="V1278" s="89"/>
      <c r="W1278" s="96">
        <v>0</v>
      </c>
      <c r="X1278" s="71">
        <f>CU1278</f>
        <v>0</v>
      </c>
      <c r="Y1278" s="71">
        <f>CY1278</f>
        <v>0</v>
      </c>
      <c r="Z1278" s="71">
        <f>DA1278+DC1278+DE1278</f>
        <v>0</v>
      </c>
      <c r="AA1278" s="71">
        <f>CW1278</f>
        <v>0</v>
      </c>
      <c r="AB1278" s="71"/>
      <c r="AC1278" s="71">
        <v>0</v>
      </c>
      <c r="AD1278" s="71">
        <f>W1278+X1278+Y1278+Z1278+AA1278+AB1278+AC1278</f>
        <v>0</v>
      </c>
      <c r="AE1278" s="72">
        <v>0</v>
      </c>
      <c r="AF1278" s="5"/>
      <c r="AG1278" s="6"/>
      <c r="AH1278" s="27" t="s">
        <v>3392</v>
      </c>
      <c r="AI1278" s="44" t="s">
        <v>3393</v>
      </c>
      <c r="AJ1278" s="26"/>
      <c r="AK1278" s="5"/>
      <c r="AL1278" s="82" t="s">
        <v>4098</v>
      </c>
      <c r="AM1278" s="76"/>
      <c r="AN1278" s="76"/>
      <c r="AO1278" s="76"/>
      <c r="AP1278" s="76"/>
      <c r="AQ1278" s="76"/>
      <c r="AR1278" s="76"/>
      <c r="AS1278" s="76"/>
      <c r="AT1278" s="76"/>
      <c r="AU1278" s="76"/>
      <c r="AV1278" s="76"/>
      <c r="AW1278" s="76"/>
      <c r="AX1278" s="76">
        <f>+AW1278*600000</f>
        <v>0</v>
      </c>
      <c r="AY1278" s="76"/>
      <c r="AZ1278" s="76">
        <f>+AY1278*70000</f>
        <v>0</v>
      </c>
      <c r="BA1278" s="76"/>
      <c r="BB1278" s="76"/>
      <c r="BC1278" s="76"/>
      <c r="BD1278" s="76">
        <f>+BC1278*30000</f>
        <v>0</v>
      </c>
      <c r="BE1278" s="76"/>
      <c r="BF1278" s="76"/>
      <c r="BG1278" s="76"/>
      <c r="BH1278" s="76"/>
      <c r="BI1278" s="76"/>
      <c r="BJ1278" s="76"/>
      <c r="BK1278" s="76"/>
      <c r="BL1278" s="76">
        <f>+BK1278*31500</f>
        <v>0</v>
      </c>
      <c r="BM1278" s="76"/>
      <c r="BN1278" s="76"/>
      <c r="BO1278" s="76"/>
      <c r="BP1278" s="76"/>
      <c r="BQ1278" s="76"/>
      <c r="BR1278" s="76"/>
      <c r="BS1278" s="76"/>
      <c r="BT1278" s="76"/>
      <c r="BU1278" s="76"/>
      <c r="BV1278" s="76"/>
      <c r="BW1278" s="76"/>
      <c r="BX1278" s="76"/>
      <c r="BY1278" s="76"/>
      <c r="BZ1278" s="76"/>
      <c r="CA1278" s="76"/>
      <c r="CB1278" s="76"/>
      <c r="CC1278" s="76"/>
      <c r="CD1278" s="76"/>
      <c r="CE1278" s="76"/>
      <c r="CF1278" s="76">
        <f>+CE1278*28000</f>
        <v>0</v>
      </c>
      <c r="CG1278" s="76"/>
      <c r="CH1278" s="76">
        <f>+CG1278*22500</f>
        <v>0</v>
      </c>
      <c r="CI1278" s="76"/>
      <c r="CJ1278" s="76">
        <f>+CI1278*26000</f>
        <v>0</v>
      </c>
      <c r="CK1278" s="76"/>
      <c r="CL1278" s="76"/>
      <c r="CM1278" s="76"/>
      <c r="CN1278" s="76">
        <f>+CM1278*22000</f>
        <v>0</v>
      </c>
      <c r="CO1278" s="76"/>
      <c r="CP1278" s="76">
        <f>+CO1278*46000</f>
        <v>0</v>
      </c>
      <c r="CQ1278" s="76"/>
      <c r="CR1278" s="76">
        <f>+CQ1278*49000</f>
        <v>0</v>
      </c>
      <c r="CS1278" s="76"/>
      <c r="CT1278" s="76"/>
      <c r="CU1278" s="56">
        <f>AN1278+AP1278+AR1278+AT1278+AV1278+AX1278+AZ1278+BB1278+BD1278+BF1278+BH1278+BJ1278+BL1278+BN1278+BP1278+BR1278+BT1278+BV1278+BX1278+BZ1278+CB1278+CD1278+CF1278+CH1278+CJ1278+CL1278+CN1278+CP1278+CR1278+CT1278</f>
        <v>0</v>
      </c>
      <c r="CV1278" s="76"/>
      <c r="CW1278" s="76">
        <f>+CV1278*1100</f>
        <v>0</v>
      </c>
      <c r="CX1278" s="76"/>
      <c r="CY1278" s="76">
        <f>+CX1278*106250</f>
        <v>0</v>
      </c>
      <c r="CZ1278" s="76"/>
      <c r="DA1278" s="76">
        <f>+CZ1278*34500</f>
        <v>0</v>
      </c>
      <c r="DB1278" s="76"/>
      <c r="DC1278" s="76">
        <f>+DB1278*25000</f>
        <v>0</v>
      </c>
      <c r="DD1278" s="219"/>
      <c r="DE1278" s="219"/>
      <c r="DF1278" s="166"/>
      <c r="DG1278" s="116"/>
      <c r="DH1278" s="117"/>
      <c r="DI1278" s="24"/>
      <c r="DJ1278" s="24"/>
      <c r="DK1278" s="24"/>
      <c r="DL1278" s="24"/>
      <c r="DM1278" s="24"/>
      <c r="DN1278" s="24"/>
      <c r="DO1278" s="24"/>
      <c r="DP1278" s="24"/>
      <c r="DQ1278" s="24"/>
      <c r="DR1278" s="24"/>
      <c r="DS1278" s="24"/>
      <c r="DT1278" s="24"/>
      <c r="DU1278" s="24"/>
    </row>
    <row r="1279" spans="1:125" s="8" customFormat="1" ht="60" x14ac:dyDescent="0.2">
      <c r="A1279" s="77">
        <v>41359</v>
      </c>
      <c r="B1279" s="352" t="s">
        <v>2860</v>
      </c>
      <c r="C1279" s="354" t="s">
        <v>476</v>
      </c>
      <c r="D1279" s="354" t="s">
        <v>2882</v>
      </c>
      <c r="E1279" s="75" t="str">
        <f>VLOOKUP(B1279&amp;C1279,Divipola!$C$2:$F$1138,4,FALSE)</f>
        <v>63272</v>
      </c>
      <c r="F1279" s="87"/>
      <c r="G1279" s="87"/>
      <c r="H1279" s="87"/>
      <c r="I1279" s="87">
        <v>5</v>
      </c>
      <c r="J1279" s="87">
        <v>1</v>
      </c>
      <c r="K1279" s="87"/>
      <c r="L1279" s="87">
        <v>1</v>
      </c>
      <c r="M1279" s="87"/>
      <c r="N1279" s="87"/>
      <c r="O1279" s="87"/>
      <c r="P1279" s="87"/>
      <c r="Q1279" s="87"/>
      <c r="R1279" s="87"/>
      <c r="S1279" s="87"/>
      <c r="T1279" s="87"/>
      <c r="U1279" s="88"/>
      <c r="V1279" s="89"/>
      <c r="W1279" s="96">
        <v>0</v>
      </c>
      <c r="X1279" s="71">
        <f>CU1279</f>
        <v>0</v>
      </c>
      <c r="Y1279" s="71">
        <f>CY1279</f>
        <v>0</v>
      </c>
      <c r="Z1279" s="71">
        <f>DA1279+DC1279+DE1279</f>
        <v>0</v>
      </c>
      <c r="AA1279" s="71">
        <f>CW1279</f>
        <v>0</v>
      </c>
      <c r="AB1279" s="71"/>
      <c r="AC1279" s="71">
        <v>0</v>
      </c>
      <c r="AD1279" s="71">
        <f>W1279+X1279+Y1279+Z1279+AA1279+AB1279+AC1279</f>
        <v>0</v>
      </c>
      <c r="AE1279" s="72">
        <v>0</v>
      </c>
      <c r="AF1279" s="5"/>
      <c r="AG1279" s="6"/>
      <c r="AH1279" s="27" t="s">
        <v>3390</v>
      </c>
      <c r="AI1279" s="44" t="s">
        <v>3391</v>
      </c>
      <c r="AJ1279" s="26"/>
      <c r="AK1279" s="5" t="s">
        <v>3480</v>
      </c>
      <c r="AL1279" s="82" t="s">
        <v>4078</v>
      </c>
      <c r="AM1279" s="76"/>
      <c r="AN1279" s="76"/>
      <c r="AO1279" s="76"/>
      <c r="AP1279" s="76"/>
      <c r="AQ1279" s="76"/>
      <c r="AR1279" s="76"/>
      <c r="AS1279" s="76"/>
      <c r="AT1279" s="76"/>
      <c r="AU1279" s="76"/>
      <c r="AV1279" s="76"/>
      <c r="AW1279" s="76"/>
      <c r="AX1279" s="76">
        <f>+AW1279*600000</f>
        <v>0</v>
      </c>
      <c r="AY1279" s="76"/>
      <c r="AZ1279" s="76">
        <f>+AY1279*70000</f>
        <v>0</v>
      </c>
      <c r="BA1279" s="76"/>
      <c r="BB1279" s="76"/>
      <c r="BC1279" s="76"/>
      <c r="BD1279" s="76">
        <f>+BC1279*30000</f>
        <v>0</v>
      </c>
      <c r="BE1279" s="76"/>
      <c r="BF1279" s="76"/>
      <c r="BG1279" s="76"/>
      <c r="BH1279" s="76"/>
      <c r="BI1279" s="76"/>
      <c r="BJ1279" s="76"/>
      <c r="BK1279" s="76"/>
      <c r="BL1279" s="76">
        <f>+BK1279*31500</f>
        <v>0</v>
      </c>
      <c r="BM1279" s="76"/>
      <c r="BN1279" s="76"/>
      <c r="BO1279" s="76"/>
      <c r="BP1279" s="76"/>
      <c r="BQ1279" s="76"/>
      <c r="BR1279" s="76"/>
      <c r="BS1279" s="76"/>
      <c r="BT1279" s="76"/>
      <c r="BU1279" s="76"/>
      <c r="BV1279" s="76"/>
      <c r="BW1279" s="76"/>
      <c r="BX1279" s="76"/>
      <c r="BY1279" s="76"/>
      <c r="BZ1279" s="76"/>
      <c r="CA1279" s="76"/>
      <c r="CB1279" s="76"/>
      <c r="CC1279" s="76"/>
      <c r="CD1279" s="76"/>
      <c r="CE1279" s="76"/>
      <c r="CF1279" s="76">
        <f>+CE1279*28000</f>
        <v>0</v>
      </c>
      <c r="CG1279" s="76"/>
      <c r="CH1279" s="76">
        <f>+CG1279*22500</f>
        <v>0</v>
      </c>
      <c r="CI1279" s="76"/>
      <c r="CJ1279" s="76">
        <f>+CI1279*26000</f>
        <v>0</v>
      </c>
      <c r="CK1279" s="76"/>
      <c r="CL1279" s="76"/>
      <c r="CM1279" s="76"/>
      <c r="CN1279" s="76">
        <f>+CM1279*22000</f>
        <v>0</v>
      </c>
      <c r="CO1279" s="76"/>
      <c r="CP1279" s="76">
        <f>+CO1279*46000</f>
        <v>0</v>
      </c>
      <c r="CQ1279" s="76"/>
      <c r="CR1279" s="76">
        <f>+CQ1279*49000</f>
        <v>0</v>
      </c>
      <c r="CS1279" s="76"/>
      <c r="CT1279" s="76"/>
      <c r="CU1279" s="56">
        <f>AN1279+AP1279+AR1279+AT1279+AV1279+AX1279+AZ1279+BB1279+BD1279+BF1279+BH1279+BJ1279+BL1279+BN1279+BP1279+BR1279+BT1279+BV1279+BX1279+BZ1279+CB1279+CD1279+CF1279+CH1279+CJ1279+CL1279+CN1279+CP1279+CR1279+CT1279</f>
        <v>0</v>
      </c>
      <c r="CV1279" s="76"/>
      <c r="CW1279" s="76">
        <f>+CV1279*1100</f>
        <v>0</v>
      </c>
      <c r="CX1279" s="76"/>
      <c r="CY1279" s="76">
        <f>+CX1279*106250</f>
        <v>0</v>
      </c>
      <c r="CZ1279" s="76"/>
      <c r="DA1279" s="76">
        <f>+CZ1279*34500</f>
        <v>0</v>
      </c>
      <c r="DB1279" s="76"/>
      <c r="DC1279" s="76">
        <f>+DB1279*25000</f>
        <v>0</v>
      </c>
      <c r="DD1279" s="219"/>
      <c r="DE1279" s="219"/>
      <c r="DF1279" s="166"/>
      <c r="DG1279" s="116"/>
      <c r="DH1279" s="117"/>
      <c r="DI1279" s="24"/>
      <c r="DJ1279" s="24"/>
      <c r="DK1279" s="24"/>
      <c r="DL1279" s="24"/>
      <c r="DM1279" s="24"/>
      <c r="DN1279" s="24"/>
      <c r="DO1279" s="24"/>
      <c r="DP1279" s="24"/>
      <c r="DQ1279" s="24"/>
      <c r="DR1279" s="24"/>
      <c r="DS1279" s="24"/>
      <c r="DT1279" s="24"/>
      <c r="DU1279" s="24"/>
    </row>
    <row r="1280" spans="1:125" s="8" customFormat="1" ht="60" x14ac:dyDescent="0.2">
      <c r="A1280" s="353">
        <v>41359</v>
      </c>
      <c r="B1280" s="352" t="s">
        <v>2860</v>
      </c>
      <c r="C1280" s="354" t="s">
        <v>476</v>
      </c>
      <c r="D1280" s="354" t="s">
        <v>2882</v>
      </c>
      <c r="E1280" s="75" t="str">
        <f>VLOOKUP(B1280&amp;C1280,Divipola!$C$2:$F$1138,4,FALSE)</f>
        <v>63272</v>
      </c>
      <c r="F1280" s="87"/>
      <c r="G1280" s="87"/>
      <c r="H1280" s="87"/>
      <c r="I1280" s="87">
        <v>5</v>
      </c>
      <c r="J1280" s="87">
        <v>1</v>
      </c>
      <c r="K1280" s="87"/>
      <c r="L1280" s="87">
        <v>1</v>
      </c>
      <c r="M1280" s="87"/>
      <c r="N1280" s="87"/>
      <c r="O1280" s="87"/>
      <c r="P1280" s="87"/>
      <c r="Q1280" s="87"/>
      <c r="R1280" s="87"/>
      <c r="S1280" s="87"/>
      <c r="T1280" s="87"/>
      <c r="U1280" s="88"/>
      <c r="V1280" s="89"/>
      <c r="W1280" s="96">
        <v>0</v>
      </c>
      <c r="X1280" s="71">
        <f>CU1280</f>
        <v>0</v>
      </c>
      <c r="Y1280" s="71">
        <f>CY1280</f>
        <v>0</v>
      </c>
      <c r="Z1280" s="71">
        <f>DA1280+DC1280+DE1280</f>
        <v>0</v>
      </c>
      <c r="AA1280" s="71">
        <f>CW1280</f>
        <v>0</v>
      </c>
      <c r="AB1280" s="71"/>
      <c r="AC1280" s="71">
        <v>0</v>
      </c>
      <c r="AD1280" s="71">
        <f>W1280+X1280+Y1280+Z1280+AA1280+AB1280+AC1280</f>
        <v>0</v>
      </c>
      <c r="AE1280" s="72">
        <v>0</v>
      </c>
      <c r="AF1280" s="5"/>
      <c r="AG1280" s="6"/>
      <c r="AH1280" s="27" t="s">
        <v>3390</v>
      </c>
      <c r="AI1280" s="44" t="s">
        <v>3391</v>
      </c>
      <c r="AJ1280" s="26"/>
      <c r="AK1280" s="5" t="s">
        <v>3480</v>
      </c>
      <c r="AL1280" s="82" t="s">
        <v>4079</v>
      </c>
      <c r="AM1280" s="76"/>
      <c r="AN1280" s="76"/>
      <c r="AO1280" s="76"/>
      <c r="AP1280" s="76"/>
      <c r="AQ1280" s="76"/>
      <c r="AR1280" s="76"/>
      <c r="AS1280" s="76"/>
      <c r="AT1280" s="76"/>
      <c r="AU1280" s="76"/>
      <c r="AV1280" s="76"/>
      <c r="AW1280" s="76"/>
      <c r="AX1280" s="76">
        <f>+AW1280*600000</f>
        <v>0</v>
      </c>
      <c r="AY1280" s="76"/>
      <c r="AZ1280" s="76">
        <f>+AY1280*70000</f>
        <v>0</v>
      </c>
      <c r="BA1280" s="76"/>
      <c r="BB1280" s="76"/>
      <c r="BC1280" s="76"/>
      <c r="BD1280" s="76">
        <f>+BC1280*30000</f>
        <v>0</v>
      </c>
      <c r="BE1280" s="76"/>
      <c r="BF1280" s="76"/>
      <c r="BG1280" s="76"/>
      <c r="BH1280" s="76"/>
      <c r="BI1280" s="76"/>
      <c r="BJ1280" s="76"/>
      <c r="BK1280" s="76"/>
      <c r="BL1280" s="76">
        <f>+BK1280*31500</f>
        <v>0</v>
      </c>
      <c r="BM1280" s="76"/>
      <c r="BN1280" s="76"/>
      <c r="BO1280" s="76"/>
      <c r="BP1280" s="76"/>
      <c r="BQ1280" s="76"/>
      <c r="BR1280" s="76"/>
      <c r="BS1280" s="76"/>
      <c r="BT1280" s="76"/>
      <c r="BU1280" s="76"/>
      <c r="BV1280" s="76"/>
      <c r="BW1280" s="76"/>
      <c r="BX1280" s="76"/>
      <c r="BY1280" s="76"/>
      <c r="BZ1280" s="76"/>
      <c r="CA1280" s="76"/>
      <c r="CB1280" s="76"/>
      <c r="CC1280" s="76"/>
      <c r="CD1280" s="76"/>
      <c r="CE1280" s="76"/>
      <c r="CF1280" s="76">
        <f>+CE1280*28000</f>
        <v>0</v>
      </c>
      <c r="CG1280" s="76"/>
      <c r="CH1280" s="76">
        <f>+CG1280*22500</f>
        <v>0</v>
      </c>
      <c r="CI1280" s="76"/>
      <c r="CJ1280" s="76">
        <f>+CI1280*26000</f>
        <v>0</v>
      </c>
      <c r="CK1280" s="76"/>
      <c r="CL1280" s="76"/>
      <c r="CM1280" s="76"/>
      <c r="CN1280" s="76">
        <f>+CM1280*22000</f>
        <v>0</v>
      </c>
      <c r="CO1280" s="76"/>
      <c r="CP1280" s="76">
        <f>+CO1280*46000</f>
        <v>0</v>
      </c>
      <c r="CQ1280" s="76"/>
      <c r="CR1280" s="76">
        <f>+CQ1280*49000</f>
        <v>0</v>
      </c>
      <c r="CS1280" s="76"/>
      <c r="CT1280" s="76"/>
      <c r="CU1280" s="56">
        <f>AN1280+AP1280+AR1280+AT1280+AV1280+AX1280+AZ1280+BB1280+BD1280+BF1280+BH1280+BJ1280+BL1280+BN1280+BP1280+BR1280+BT1280+BV1280+BX1280+BZ1280+CB1280+CD1280+CF1280+CH1280+CJ1280+CL1280+CN1280+CP1280+CR1280+CT1280</f>
        <v>0</v>
      </c>
      <c r="CV1280" s="76"/>
      <c r="CW1280" s="76">
        <f>+CV1280*1100</f>
        <v>0</v>
      </c>
      <c r="CX1280" s="76"/>
      <c r="CY1280" s="76">
        <f>+CX1280*106250</f>
        <v>0</v>
      </c>
      <c r="CZ1280" s="76"/>
      <c r="DA1280" s="76">
        <f>+CZ1280*34500</f>
        <v>0</v>
      </c>
      <c r="DB1280" s="76"/>
      <c r="DC1280" s="76">
        <f>+DB1280*25000</f>
        <v>0</v>
      </c>
      <c r="DD1280" s="219"/>
      <c r="DE1280" s="219"/>
      <c r="DF1280" s="166"/>
      <c r="DG1280" s="116"/>
      <c r="DH1280" s="117"/>
      <c r="DI1280" s="24"/>
      <c r="DJ1280" s="24"/>
      <c r="DK1280" s="24"/>
      <c r="DL1280" s="24"/>
      <c r="DM1280" s="24"/>
      <c r="DN1280" s="24"/>
      <c r="DO1280" s="24"/>
      <c r="DP1280" s="24"/>
      <c r="DQ1280" s="24"/>
      <c r="DR1280" s="24"/>
      <c r="DS1280" s="24"/>
      <c r="DT1280" s="24"/>
      <c r="DU1280" s="24"/>
    </row>
    <row r="1281" spans="1:125" s="8" customFormat="1" ht="36" x14ac:dyDescent="0.2">
      <c r="A1281" s="77">
        <v>41359</v>
      </c>
      <c r="B1281" s="352" t="s">
        <v>2774</v>
      </c>
      <c r="C1281" s="354" t="s">
        <v>2037</v>
      </c>
      <c r="D1281" s="354" t="s">
        <v>2882</v>
      </c>
      <c r="E1281" s="75" t="str">
        <f>VLOOKUP(B1281&amp;C1281,Divipola!$C$2:$F$1138,4,FALSE)</f>
        <v>66045</v>
      </c>
      <c r="F1281" s="87"/>
      <c r="G1281" s="87"/>
      <c r="H1281" s="87"/>
      <c r="I1281" s="87"/>
      <c r="J1281" s="87"/>
      <c r="K1281" s="87"/>
      <c r="L1281" s="87"/>
      <c r="M1281" s="87"/>
      <c r="N1281" s="87"/>
      <c r="O1281" s="87"/>
      <c r="P1281" s="87"/>
      <c r="Q1281" s="87"/>
      <c r="R1281" s="87"/>
      <c r="S1281" s="87"/>
      <c r="T1281" s="87"/>
      <c r="U1281" s="88"/>
      <c r="V1281" s="89"/>
      <c r="W1281" s="96">
        <v>0</v>
      </c>
      <c r="X1281" s="71">
        <f>CU1281</f>
        <v>0</v>
      </c>
      <c r="Y1281" s="71">
        <f>CY1281</f>
        <v>0</v>
      </c>
      <c r="Z1281" s="71">
        <f>DA1281+DC1281+DE1281</f>
        <v>0</v>
      </c>
      <c r="AA1281" s="71">
        <f>CW1281</f>
        <v>0</v>
      </c>
      <c r="AB1281" s="71"/>
      <c r="AC1281" s="71">
        <v>0</v>
      </c>
      <c r="AD1281" s="71">
        <f>W1281+X1281+Y1281+Z1281+AA1281+AB1281+AC1281</f>
        <v>0</v>
      </c>
      <c r="AE1281" s="72">
        <v>0</v>
      </c>
      <c r="AF1281" s="5"/>
      <c r="AG1281" s="6"/>
      <c r="AH1281" s="27" t="s">
        <v>3392</v>
      </c>
      <c r="AI1281" s="44" t="s">
        <v>3393</v>
      </c>
      <c r="AJ1281" s="26"/>
      <c r="AK1281" s="5"/>
      <c r="AL1281" s="82" t="s">
        <v>4071</v>
      </c>
      <c r="AM1281" s="76"/>
      <c r="AN1281" s="76"/>
      <c r="AO1281" s="76"/>
      <c r="AP1281" s="76"/>
      <c r="AQ1281" s="76"/>
      <c r="AR1281" s="76"/>
      <c r="AS1281" s="76"/>
      <c r="AT1281" s="76"/>
      <c r="AU1281" s="76"/>
      <c r="AV1281" s="76"/>
      <c r="AW1281" s="76"/>
      <c r="AX1281" s="76">
        <f>+AW1281*600000</f>
        <v>0</v>
      </c>
      <c r="AY1281" s="76"/>
      <c r="AZ1281" s="76">
        <f>+AY1281*70000</f>
        <v>0</v>
      </c>
      <c r="BA1281" s="76"/>
      <c r="BB1281" s="76"/>
      <c r="BC1281" s="76"/>
      <c r="BD1281" s="76">
        <f>+BC1281*30000</f>
        <v>0</v>
      </c>
      <c r="BE1281" s="76"/>
      <c r="BF1281" s="76"/>
      <c r="BG1281" s="76"/>
      <c r="BH1281" s="76"/>
      <c r="BI1281" s="76"/>
      <c r="BJ1281" s="76"/>
      <c r="BK1281" s="76"/>
      <c r="BL1281" s="76">
        <f>+BK1281*31500</f>
        <v>0</v>
      </c>
      <c r="BM1281" s="76"/>
      <c r="BN1281" s="76"/>
      <c r="BO1281" s="76"/>
      <c r="BP1281" s="76"/>
      <c r="BQ1281" s="76"/>
      <c r="BR1281" s="76"/>
      <c r="BS1281" s="76"/>
      <c r="BT1281" s="76"/>
      <c r="BU1281" s="76"/>
      <c r="BV1281" s="76"/>
      <c r="BW1281" s="76"/>
      <c r="BX1281" s="76"/>
      <c r="BY1281" s="76"/>
      <c r="BZ1281" s="76"/>
      <c r="CA1281" s="76"/>
      <c r="CB1281" s="76"/>
      <c r="CC1281" s="76"/>
      <c r="CD1281" s="76"/>
      <c r="CE1281" s="76"/>
      <c r="CF1281" s="76">
        <f>+CE1281*28000</f>
        <v>0</v>
      </c>
      <c r="CG1281" s="76"/>
      <c r="CH1281" s="76">
        <f>+CG1281*22500</f>
        <v>0</v>
      </c>
      <c r="CI1281" s="76"/>
      <c r="CJ1281" s="76">
        <f>+CI1281*26000</f>
        <v>0</v>
      </c>
      <c r="CK1281" s="76"/>
      <c r="CL1281" s="76"/>
      <c r="CM1281" s="76"/>
      <c r="CN1281" s="76">
        <f>+CM1281*22000</f>
        <v>0</v>
      </c>
      <c r="CO1281" s="76"/>
      <c r="CP1281" s="76">
        <f>+CO1281*46000</f>
        <v>0</v>
      </c>
      <c r="CQ1281" s="76"/>
      <c r="CR1281" s="76">
        <f>+CQ1281*49000</f>
        <v>0</v>
      </c>
      <c r="CS1281" s="76"/>
      <c r="CT1281" s="76"/>
      <c r="CU1281" s="56">
        <f>AN1281+AP1281+AR1281+AT1281+AV1281+AX1281+AZ1281+BB1281+BD1281+BF1281+BH1281+BJ1281+BL1281+BN1281+BP1281+BR1281+BT1281+BV1281+BX1281+BZ1281+CB1281+CD1281+CF1281+CH1281+CJ1281+CL1281+CN1281+CP1281+CR1281+CT1281</f>
        <v>0</v>
      </c>
      <c r="CV1281" s="76"/>
      <c r="CW1281" s="76">
        <f>+CV1281*1100</f>
        <v>0</v>
      </c>
      <c r="CX1281" s="76"/>
      <c r="CY1281" s="76">
        <f>+CX1281*106250</f>
        <v>0</v>
      </c>
      <c r="CZ1281" s="76"/>
      <c r="DA1281" s="76">
        <f>+CZ1281*34500</f>
        <v>0</v>
      </c>
      <c r="DB1281" s="76"/>
      <c r="DC1281" s="76">
        <f>+DB1281*25000</f>
        <v>0</v>
      </c>
      <c r="DD1281" s="219"/>
      <c r="DE1281" s="219"/>
      <c r="DF1281" s="166"/>
      <c r="DG1281" s="116"/>
      <c r="DH1281" s="117"/>
      <c r="DI1281" s="24"/>
      <c r="DJ1281" s="24"/>
      <c r="DK1281" s="24"/>
      <c r="DL1281" s="24"/>
      <c r="DM1281" s="24"/>
      <c r="DN1281" s="24"/>
      <c r="DO1281" s="24"/>
      <c r="DP1281" s="24"/>
      <c r="DQ1281" s="24"/>
      <c r="DR1281" s="24"/>
      <c r="DS1281" s="24"/>
      <c r="DT1281" s="24"/>
      <c r="DU1281" s="24"/>
    </row>
    <row r="1282" spans="1:125" s="8" customFormat="1" ht="36" x14ac:dyDescent="0.2">
      <c r="A1282" s="77">
        <v>41359</v>
      </c>
      <c r="B1282" s="352" t="s">
        <v>2774</v>
      </c>
      <c r="C1282" s="354" t="s">
        <v>2216</v>
      </c>
      <c r="D1282" s="354" t="s">
        <v>2882</v>
      </c>
      <c r="E1282" s="75" t="str">
        <f>VLOOKUP(B1282&amp;C1282,Divipola!$C$2:$F$1138,4,FALSE)</f>
        <v>66075</v>
      </c>
      <c r="F1282" s="87"/>
      <c r="G1282" s="87"/>
      <c r="H1282" s="87"/>
      <c r="I1282" s="87">
        <v>5</v>
      </c>
      <c r="J1282" s="87">
        <v>1</v>
      </c>
      <c r="K1282" s="87"/>
      <c r="L1282" s="87">
        <v>1</v>
      </c>
      <c r="M1282" s="87"/>
      <c r="N1282" s="87"/>
      <c r="O1282" s="87"/>
      <c r="P1282" s="87"/>
      <c r="Q1282" s="87"/>
      <c r="R1282" s="87"/>
      <c r="S1282" s="87"/>
      <c r="T1282" s="87"/>
      <c r="U1282" s="88"/>
      <c r="V1282" s="89"/>
      <c r="W1282" s="96">
        <v>0</v>
      </c>
      <c r="X1282" s="71">
        <f>CU1282</f>
        <v>0</v>
      </c>
      <c r="Y1282" s="71">
        <f>CY1282</f>
        <v>0</v>
      </c>
      <c r="Z1282" s="71">
        <f>DA1282+DC1282+DE1282</f>
        <v>0</v>
      </c>
      <c r="AA1282" s="71">
        <f>CW1282</f>
        <v>0</v>
      </c>
      <c r="AB1282" s="71"/>
      <c r="AC1282" s="71">
        <v>0</v>
      </c>
      <c r="AD1282" s="71">
        <f>W1282+X1282+Y1282+Z1282+AA1282+AB1282+AC1282</f>
        <v>0</v>
      </c>
      <c r="AE1282" s="72">
        <v>0</v>
      </c>
      <c r="AF1282" s="5"/>
      <c r="AG1282" s="6"/>
      <c r="AH1282" s="27" t="s">
        <v>3392</v>
      </c>
      <c r="AI1282" s="44" t="s">
        <v>3393</v>
      </c>
      <c r="AJ1282" s="26"/>
      <c r="AK1282" s="5"/>
      <c r="AL1282" s="82" t="s">
        <v>4073</v>
      </c>
      <c r="AM1282" s="76"/>
      <c r="AN1282" s="76"/>
      <c r="AO1282" s="76"/>
      <c r="AP1282" s="76"/>
      <c r="AQ1282" s="76"/>
      <c r="AR1282" s="76"/>
      <c r="AS1282" s="76"/>
      <c r="AT1282" s="76"/>
      <c r="AU1282" s="76"/>
      <c r="AV1282" s="76"/>
      <c r="AW1282" s="76"/>
      <c r="AX1282" s="76">
        <f>+AW1282*600000</f>
        <v>0</v>
      </c>
      <c r="AY1282" s="76"/>
      <c r="AZ1282" s="76">
        <f>+AY1282*70000</f>
        <v>0</v>
      </c>
      <c r="BA1282" s="76"/>
      <c r="BB1282" s="76"/>
      <c r="BC1282" s="76"/>
      <c r="BD1282" s="76">
        <f>+BC1282*30000</f>
        <v>0</v>
      </c>
      <c r="BE1282" s="76"/>
      <c r="BF1282" s="76"/>
      <c r="BG1282" s="76"/>
      <c r="BH1282" s="76"/>
      <c r="BI1282" s="76"/>
      <c r="BJ1282" s="76"/>
      <c r="BK1282" s="76"/>
      <c r="BL1282" s="76">
        <f>+BK1282*31500</f>
        <v>0</v>
      </c>
      <c r="BM1282" s="76"/>
      <c r="BN1282" s="76"/>
      <c r="BO1282" s="76"/>
      <c r="BP1282" s="76"/>
      <c r="BQ1282" s="76"/>
      <c r="BR1282" s="76"/>
      <c r="BS1282" s="76"/>
      <c r="BT1282" s="76"/>
      <c r="BU1282" s="76"/>
      <c r="BV1282" s="76"/>
      <c r="BW1282" s="76"/>
      <c r="BX1282" s="76"/>
      <c r="BY1282" s="76"/>
      <c r="BZ1282" s="76"/>
      <c r="CA1282" s="76"/>
      <c r="CB1282" s="76"/>
      <c r="CC1282" s="76"/>
      <c r="CD1282" s="76"/>
      <c r="CE1282" s="76"/>
      <c r="CF1282" s="76">
        <f>+CE1282*28000</f>
        <v>0</v>
      </c>
      <c r="CG1282" s="76"/>
      <c r="CH1282" s="76">
        <f>+CG1282*22500</f>
        <v>0</v>
      </c>
      <c r="CI1282" s="76"/>
      <c r="CJ1282" s="76">
        <f>+CI1282*26000</f>
        <v>0</v>
      </c>
      <c r="CK1282" s="76"/>
      <c r="CL1282" s="76"/>
      <c r="CM1282" s="76"/>
      <c r="CN1282" s="76">
        <f>+CM1282*22000</f>
        <v>0</v>
      </c>
      <c r="CO1282" s="76"/>
      <c r="CP1282" s="76">
        <f>+CO1282*46000</f>
        <v>0</v>
      </c>
      <c r="CQ1282" s="76"/>
      <c r="CR1282" s="76">
        <f>+CQ1282*49000</f>
        <v>0</v>
      </c>
      <c r="CS1282" s="76"/>
      <c r="CT1282" s="76"/>
      <c r="CU1282" s="56">
        <f>AN1282+AP1282+AR1282+AT1282+AV1282+AX1282+AZ1282+BB1282+BD1282+BF1282+BH1282+BJ1282+BL1282+BN1282+BP1282+BR1282+BT1282+BV1282+BX1282+BZ1282+CB1282+CD1282+CF1282+CH1282+CJ1282+CL1282+CN1282+CP1282+CR1282+CT1282</f>
        <v>0</v>
      </c>
      <c r="CV1282" s="76"/>
      <c r="CW1282" s="76">
        <f>+CV1282*1100</f>
        <v>0</v>
      </c>
      <c r="CX1282" s="76"/>
      <c r="CY1282" s="76">
        <f>+CX1282*106250</f>
        <v>0</v>
      </c>
      <c r="CZ1282" s="76"/>
      <c r="DA1282" s="76">
        <f>+CZ1282*34500</f>
        <v>0</v>
      </c>
      <c r="DB1282" s="76"/>
      <c r="DC1282" s="76">
        <f>+DB1282*25000</f>
        <v>0</v>
      </c>
      <c r="DD1282" s="219"/>
      <c r="DE1282" s="219"/>
      <c r="DF1282" s="166"/>
      <c r="DG1282" s="116"/>
      <c r="DH1282" s="117"/>
      <c r="DI1282" s="24"/>
      <c r="DJ1282" s="24"/>
      <c r="DK1282" s="24"/>
      <c r="DL1282" s="24"/>
      <c r="DM1282" s="24"/>
      <c r="DN1282" s="24"/>
      <c r="DO1282" s="24"/>
      <c r="DP1282" s="24"/>
      <c r="DQ1282" s="24"/>
      <c r="DR1282" s="24"/>
      <c r="DS1282" s="24"/>
      <c r="DT1282" s="24"/>
      <c r="DU1282" s="24"/>
    </row>
    <row r="1283" spans="1:125" s="8" customFormat="1" ht="36" x14ac:dyDescent="0.2">
      <c r="A1283" s="77">
        <v>41359</v>
      </c>
      <c r="B1283" s="352" t="s">
        <v>2774</v>
      </c>
      <c r="C1283" s="354" t="s">
        <v>2216</v>
      </c>
      <c r="D1283" s="354" t="s">
        <v>2882</v>
      </c>
      <c r="E1283" s="75" t="str">
        <f>VLOOKUP(B1283&amp;C1283,Divipola!$C$2:$F$1138,4,FALSE)</f>
        <v>66075</v>
      </c>
      <c r="F1283" s="87"/>
      <c r="G1283" s="87"/>
      <c r="H1283" s="87"/>
      <c r="I1283" s="87">
        <v>5</v>
      </c>
      <c r="J1283" s="87">
        <v>1</v>
      </c>
      <c r="K1283" s="87"/>
      <c r="L1283" s="87">
        <v>1</v>
      </c>
      <c r="M1283" s="87"/>
      <c r="N1283" s="87"/>
      <c r="O1283" s="87"/>
      <c r="P1283" s="87"/>
      <c r="Q1283" s="87"/>
      <c r="R1283" s="87"/>
      <c r="S1283" s="87"/>
      <c r="T1283" s="87"/>
      <c r="U1283" s="88"/>
      <c r="V1283" s="89"/>
      <c r="W1283" s="96">
        <v>0</v>
      </c>
      <c r="X1283" s="71">
        <f>CU1283</f>
        <v>0</v>
      </c>
      <c r="Y1283" s="71">
        <f>CY1283</f>
        <v>0</v>
      </c>
      <c r="Z1283" s="71">
        <f>DA1283+DC1283+DE1283</f>
        <v>0</v>
      </c>
      <c r="AA1283" s="71">
        <f>CW1283</f>
        <v>0</v>
      </c>
      <c r="AB1283" s="71"/>
      <c r="AC1283" s="71">
        <v>0</v>
      </c>
      <c r="AD1283" s="71">
        <f>W1283+X1283+Y1283+Z1283+AA1283+AB1283+AC1283</f>
        <v>0</v>
      </c>
      <c r="AE1283" s="72">
        <v>0</v>
      </c>
      <c r="AF1283" s="5"/>
      <c r="AG1283" s="6"/>
      <c r="AH1283" s="27" t="s">
        <v>3392</v>
      </c>
      <c r="AI1283" s="44" t="s">
        <v>3393</v>
      </c>
      <c r="AJ1283" s="26"/>
      <c r="AK1283" s="5"/>
      <c r="AL1283" s="82" t="s">
        <v>4074</v>
      </c>
      <c r="AM1283" s="76"/>
      <c r="AN1283" s="76"/>
      <c r="AO1283" s="76"/>
      <c r="AP1283" s="76"/>
      <c r="AQ1283" s="76"/>
      <c r="AR1283" s="76"/>
      <c r="AS1283" s="76"/>
      <c r="AT1283" s="76"/>
      <c r="AU1283" s="76"/>
      <c r="AV1283" s="76"/>
      <c r="AW1283" s="76"/>
      <c r="AX1283" s="76">
        <f>+AW1283*600000</f>
        <v>0</v>
      </c>
      <c r="AY1283" s="76"/>
      <c r="AZ1283" s="76">
        <f>+AY1283*70000</f>
        <v>0</v>
      </c>
      <c r="BA1283" s="76"/>
      <c r="BB1283" s="76"/>
      <c r="BC1283" s="76"/>
      <c r="BD1283" s="76">
        <f>+BC1283*30000</f>
        <v>0</v>
      </c>
      <c r="BE1283" s="76"/>
      <c r="BF1283" s="76"/>
      <c r="BG1283" s="76"/>
      <c r="BH1283" s="76"/>
      <c r="BI1283" s="76"/>
      <c r="BJ1283" s="76"/>
      <c r="BK1283" s="76"/>
      <c r="BL1283" s="76">
        <f>+BK1283*31500</f>
        <v>0</v>
      </c>
      <c r="BM1283" s="76"/>
      <c r="BN1283" s="76"/>
      <c r="BO1283" s="76"/>
      <c r="BP1283" s="76"/>
      <c r="BQ1283" s="76"/>
      <c r="BR1283" s="76"/>
      <c r="BS1283" s="76"/>
      <c r="BT1283" s="76"/>
      <c r="BU1283" s="76"/>
      <c r="BV1283" s="76"/>
      <c r="BW1283" s="76"/>
      <c r="BX1283" s="76"/>
      <c r="BY1283" s="76"/>
      <c r="BZ1283" s="76"/>
      <c r="CA1283" s="76"/>
      <c r="CB1283" s="76"/>
      <c r="CC1283" s="76"/>
      <c r="CD1283" s="76"/>
      <c r="CE1283" s="76"/>
      <c r="CF1283" s="76">
        <f>+CE1283*28000</f>
        <v>0</v>
      </c>
      <c r="CG1283" s="76"/>
      <c r="CH1283" s="76">
        <f>+CG1283*22500</f>
        <v>0</v>
      </c>
      <c r="CI1283" s="76"/>
      <c r="CJ1283" s="76">
        <f>+CI1283*26000</f>
        <v>0</v>
      </c>
      <c r="CK1283" s="76"/>
      <c r="CL1283" s="76"/>
      <c r="CM1283" s="76"/>
      <c r="CN1283" s="76">
        <f>+CM1283*22000</f>
        <v>0</v>
      </c>
      <c r="CO1283" s="76"/>
      <c r="CP1283" s="76">
        <f>+CO1283*46000</f>
        <v>0</v>
      </c>
      <c r="CQ1283" s="76"/>
      <c r="CR1283" s="76">
        <f>+CQ1283*49000</f>
        <v>0</v>
      </c>
      <c r="CS1283" s="76"/>
      <c r="CT1283" s="76"/>
      <c r="CU1283" s="56">
        <f>AN1283+AP1283+AR1283+AT1283+AV1283+AX1283+AZ1283+BB1283+BD1283+BF1283+BH1283+BJ1283+BL1283+BN1283+BP1283+BR1283+BT1283+BV1283+BX1283+BZ1283+CB1283+CD1283+CF1283+CH1283+CJ1283+CL1283+CN1283+CP1283+CR1283+CT1283</f>
        <v>0</v>
      </c>
      <c r="CV1283" s="76"/>
      <c r="CW1283" s="76">
        <f>+CV1283*1100</f>
        <v>0</v>
      </c>
      <c r="CX1283" s="76"/>
      <c r="CY1283" s="76">
        <f>+CX1283*106250</f>
        <v>0</v>
      </c>
      <c r="CZ1283" s="76"/>
      <c r="DA1283" s="76">
        <f>+CZ1283*34500</f>
        <v>0</v>
      </c>
      <c r="DB1283" s="76"/>
      <c r="DC1283" s="76">
        <f>+DB1283*25000</f>
        <v>0</v>
      </c>
      <c r="DD1283" s="219"/>
      <c r="DE1283" s="219"/>
      <c r="DF1283" s="166"/>
      <c r="DG1283" s="116"/>
      <c r="DH1283" s="117"/>
      <c r="DI1283" s="24"/>
      <c r="DJ1283" s="24"/>
      <c r="DK1283" s="24"/>
      <c r="DL1283" s="24"/>
      <c r="DM1283" s="24"/>
      <c r="DN1283" s="24"/>
      <c r="DO1283" s="24"/>
      <c r="DP1283" s="24"/>
      <c r="DQ1283" s="24"/>
      <c r="DR1283" s="24"/>
      <c r="DS1283" s="24"/>
      <c r="DT1283" s="24"/>
      <c r="DU1283" s="24"/>
    </row>
    <row r="1284" spans="1:125" s="8" customFormat="1" ht="48" x14ac:dyDescent="0.2">
      <c r="A1284" s="77">
        <v>41359</v>
      </c>
      <c r="B1284" s="78" t="s">
        <v>2774</v>
      </c>
      <c r="C1284" s="75" t="s">
        <v>284</v>
      </c>
      <c r="D1284" s="75" t="s">
        <v>2859</v>
      </c>
      <c r="E1284" s="75" t="str">
        <f>VLOOKUP(B1284&amp;C1284,Divipola!$C$2:$F$1138,4,FALSE)</f>
        <v>66170</v>
      </c>
      <c r="F1284" s="87"/>
      <c r="G1284" s="87"/>
      <c r="H1284" s="87"/>
      <c r="I1284" s="87">
        <v>24</v>
      </c>
      <c r="J1284" s="87">
        <v>4</v>
      </c>
      <c r="K1284" s="87">
        <v>4</v>
      </c>
      <c r="L1284" s="87"/>
      <c r="M1284" s="87"/>
      <c r="N1284" s="87"/>
      <c r="O1284" s="87"/>
      <c r="P1284" s="87"/>
      <c r="Q1284" s="87"/>
      <c r="R1284" s="87"/>
      <c r="S1284" s="87"/>
      <c r="T1284" s="87"/>
      <c r="U1284" s="88"/>
      <c r="V1284" s="89"/>
      <c r="W1284" s="96">
        <v>0</v>
      </c>
      <c r="X1284" s="71">
        <f>CU1284</f>
        <v>0</v>
      </c>
      <c r="Y1284" s="71">
        <f>CY1284</f>
        <v>0</v>
      </c>
      <c r="Z1284" s="71">
        <f>DA1284+DC1284+DE1284</f>
        <v>0</v>
      </c>
      <c r="AA1284" s="71">
        <f>CW1284</f>
        <v>0</v>
      </c>
      <c r="AB1284" s="71"/>
      <c r="AC1284" s="71">
        <v>0</v>
      </c>
      <c r="AD1284" s="71">
        <f>W1284+X1284+Y1284+Z1284+AA1284+AB1284+AC1284</f>
        <v>0</v>
      </c>
      <c r="AE1284" s="72">
        <v>0</v>
      </c>
      <c r="AF1284" s="5"/>
      <c r="AG1284" s="6"/>
      <c r="AH1284" s="27" t="s">
        <v>3392</v>
      </c>
      <c r="AI1284" s="44" t="s">
        <v>3393</v>
      </c>
      <c r="AJ1284" s="26"/>
      <c r="AK1284" s="5"/>
      <c r="AL1284" s="82" t="s">
        <v>4086</v>
      </c>
      <c r="AM1284" s="76"/>
      <c r="AN1284" s="76"/>
      <c r="AO1284" s="76"/>
      <c r="AP1284" s="76"/>
      <c r="AQ1284" s="76"/>
      <c r="AR1284" s="76"/>
      <c r="AS1284" s="76"/>
      <c r="AT1284" s="76"/>
      <c r="AU1284" s="76"/>
      <c r="AV1284" s="76"/>
      <c r="AW1284" s="76"/>
      <c r="AX1284" s="76">
        <f>+AW1284*600000</f>
        <v>0</v>
      </c>
      <c r="AY1284" s="76"/>
      <c r="AZ1284" s="76">
        <f>+AY1284*70000</f>
        <v>0</v>
      </c>
      <c r="BA1284" s="76"/>
      <c r="BB1284" s="76"/>
      <c r="BC1284" s="76"/>
      <c r="BD1284" s="76">
        <f>+BC1284*30000</f>
        <v>0</v>
      </c>
      <c r="BE1284" s="76"/>
      <c r="BF1284" s="76"/>
      <c r="BG1284" s="76"/>
      <c r="BH1284" s="76"/>
      <c r="BI1284" s="76"/>
      <c r="BJ1284" s="76"/>
      <c r="BK1284" s="76"/>
      <c r="BL1284" s="76">
        <f>+BK1284*31500</f>
        <v>0</v>
      </c>
      <c r="BM1284" s="76"/>
      <c r="BN1284" s="76"/>
      <c r="BO1284" s="76"/>
      <c r="BP1284" s="76"/>
      <c r="BQ1284" s="76"/>
      <c r="BR1284" s="76"/>
      <c r="BS1284" s="76"/>
      <c r="BT1284" s="76"/>
      <c r="BU1284" s="76"/>
      <c r="BV1284" s="76"/>
      <c r="BW1284" s="76"/>
      <c r="BX1284" s="76"/>
      <c r="BY1284" s="76"/>
      <c r="BZ1284" s="76"/>
      <c r="CA1284" s="76"/>
      <c r="CB1284" s="76"/>
      <c r="CC1284" s="76"/>
      <c r="CD1284" s="76"/>
      <c r="CE1284" s="76"/>
      <c r="CF1284" s="76">
        <f>+CE1284*28000</f>
        <v>0</v>
      </c>
      <c r="CG1284" s="76"/>
      <c r="CH1284" s="76">
        <f>+CG1284*22500</f>
        <v>0</v>
      </c>
      <c r="CI1284" s="76"/>
      <c r="CJ1284" s="76">
        <f>+CI1284*26000</f>
        <v>0</v>
      </c>
      <c r="CK1284" s="76"/>
      <c r="CL1284" s="76"/>
      <c r="CM1284" s="76"/>
      <c r="CN1284" s="76">
        <f>+CM1284*22000</f>
        <v>0</v>
      </c>
      <c r="CO1284" s="76"/>
      <c r="CP1284" s="76">
        <f>+CO1284*46000</f>
        <v>0</v>
      </c>
      <c r="CQ1284" s="76"/>
      <c r="CR1284" s="76">
        <f>+CQ1284*49000</f>
        <v>0</v>
      </c>
      <c r="CS1284" s="76"/>
      <c r="CT1284" s="76"/>
      <c r="CU1284" s="56">
        <f>AN1284+AP1284+AR1284+AT1284+AV1284+AX1284+AZ1284+BB1284+BD1284+BF1284+BH1284+BJ1284+BL1284+BN1284+BP1284+BR1284+BT1284+BV1284+BX1284+BZ1284+CB1284+CD1284+CF1284+CH1284+CJ1284+CL1284+CN1284+CP1284+CR1284+CT1284</f>
        <v>0</v>
      </c>
      <c r="CV1284" s="76"/>
      <c r="CW1284" s="76">
        <f>+CV1284*1100</f>
        <v>0</v>
      </c>
      <c r="CX1284" s="76"/>
      <c r="CY1284" s="76">
        <f>+CX1284*106250</f>
        <v>0</v>
      </c>
      <c r="CZ1284" s="76"/>
      <c r="DA1284" s="76">
        <f>+CZ1284*34500</f>
        <v>0</v>
      </c>
      <c r="DB1284" s="76"/>
      <c r="DC1284" s="76">
        <f>+DB1284*25000</f>
        <v>0</v>
      </c>
      <c r="DD1284" s="219"/>
      <c r="DE1284" s="219"/>
      <c r="DF1284" s="166"/>
      <c r="DG1284" s="116"/>
      <c r="DH1284" s="117"/>
      <c r="DI1284" s="24"/>
      <c r="DJ1284" s="24"/>
      <c r="DK1284" s="24"/>
      <c r="DL1284" s="24"/>
      <c r="DM1284" s="24"/>
      <c r="DN1284" s="24"/>
      <c r="DO1284" s="24"/>
      <c r="DP1284" s="24"/>
      <c r="DQ1284" s="24"/>
      <c r="DR1284" s="24"/>
      <c r="DS1284" s="24"/>
      <c r="DT1284" s="24"/>
      <c r="DU1284" s="24"/>
    </row>
    <row r="1285" spans="1:125" s="8" customFormat="1" ht="48" x14ac:dyDescent="0.2">
      <c r="A1285" s="77">
        <v>41359</v>
      </c>
      <c r="B1285" s="352" t="s">
        <v>2774</v>
      </c>
      <c r="C1285" s="354" t="s">
        <v>284</v>
      </c>
      <c r="D1285" s="354" t="s">
        <v>2882</v>
      </c>
      <c r="E1285" s="75" t="str">
        <f>VLOOKUP(B1285&amp;C1285,Divipola!$C$2:$F$1138,4,FALSE)</f>
        <v>66170</v>
      </c>
      <c r="F1285" s="87"/>
      <c r="G1285" s="87"/>
      <c r="H1285" s="87"/>
      <c r="I1285" s="87">
        <v>10</v>
      </c>
      <c r="J1285" s="87">
        <v>2</v>
      </c>
      <c r="K1285" s="87"/>
      <c r="L1285" s="87">
        <v>2</v>
      </c>
      <c r="M1285" s="87"/>
      <c r="N1285" s="87"/>
      <c r="O1285" s="87"/>
      <c r="P1285" s="87"/>
      <c r="Q1285" s="87"/>
      <c r="R1285" s="87"/>
      <c r="S1285" s="87"/>
      <c r="T1285" s="87"/>
      <c r="U1285" s="88"/>
      <c r="V1285" s="89"/>
      <c r="W1285" s="96">
        <v>0</v>
      </c>
      <c r="X1285" s="71">
        <f>CU1285</f>
        <v>0</v>
      </c>
      <c r="Y1285" s="71">
        <f>CY1285</f>
        <v>0</v>
      </c>
      <c r="Z1285" s="71">
        <f>DA1285+DC1285+DE1285</f>
        <v>0</v>
      </c>
      <c r="AA1285" s="71">
        <f>CW1285</f>
        <v>0</v>
      </c>
      <c r="AB1285" s="71"/>
      <c r="AC1285" s="71">
        <v>0</v>
      </c>
      <c r="AD1285" s="71">
        <f>W1285+X1285+Y1285+Z1285+AA1285+AB1285+AC1285</f>
        <v>0</v>
      </c>
      <c r="AE1285" s="72">
        <v>0</v>
      </c>
      <c r="AF1285" s="5"/>
      <c r="AG1285" s="6"/>
      <c r="AH1285" s="27" t="s">
        <v>3392</v>
      </c>
      <c r="AI1285" s="44" t="s">
        <v>3393</v>
      </c>
      <c r="AJ1285" s="26"/>
      <c r="AK1285" s="5"/>
      <c r="AL1285" s="82" t="s">
        <v>4075</v>
      </c>
      <c r="AM1285" s="76"/>
      <c r="AN1285" s="76"/>
      <c r="AO1285" s="76"/>
      <c r="AP1285" s="76"/>
      <c r="AQ1285" s="76"/>
      <c r="AR1285" s="76"/>
      <c r="AS1285" s="76"/>
      <c r="AT1285" s="76"/>
      <c r="AU1285" s="76"/>
      <c r="AV1285" s="76"/>
      <c r="AW1285" s="76"/>
      <c r="AX1285" s="76">
        <f>+AW1285*600000</f>
        <v>0</v>
      </c>
      <c r="AY1285" s="76"/>
      <c r="AZ1285" s="76">
        <f>+AY1285*70000</f>
        <v>0</v>
      </c>
      <c r="BA1285" s="76"/>
      <c r="BB1285" s="76"/>
      <c r="BC1285" s="76"/>
      <c r="BD1285" s="76">
        <f>+BC1285*30000</f>
        <v>0</v>
      </c>
      <c r="BE1285" s="76"/>
      <c r="BF1285" s="76"/>
      <c r="BG1285" s="76"/>
      <c r="BH1285" s="76"/>
      <c r="BI1285" s="76"/>
      <c r="BJ1285" s="76"/>
      <c r="BK1285" s="76"/>
      <c r="BL1285" s="76">
        <f>+BK1285*31500</f>
        <v>0</v>
      </c>
      <c r="BM1285" s="76"/>
      <c r="BN1285" s="76"/>
      <c r="BO1285" s="76"/>
      <c r="BP1285" s="76"/>
      <c r="BQ1285" s="76"/>
      <c r="BR1285" s="76"/>
      <c r="BS1285" s="76"/>
      <c r="BT1285" s="76"/>
      <c r="BU1285" s="76"/>
      <c r="BV1285" s="76"/>
      <c r="BW1285" s="76"/>
      <c r="BX1285" s="76"/>
      <c r="BY1285" s="76"/>
      <c r="BZ1285" s="76"/>
      <c r="CA1285" s="76"/>
      <c r="CB1285" s="76"/>
      <c r="CC1285" s="76"/>
      <c r="CD1285" s="76"/>
      <c r="CE1285" s="76"/>
      <c r="CF1285" s="76">
        <f>+CE1285*28000</f>
        <v>0</v>
      </c>
      <c r="CG1285" s="76"/>
      <c r="CH1285" s="76">
        <f>+CG1285*22500</f>
        <v>0</v>
      </c>
      <c r="CI1285" s="76"/>
      <c r="CJ1285" s="76">
        <f>+CI1285*26000</f>
        <v>0</v>
      </c>
      <c r="CK1285" s="76"/>
      <c r="CL1285" s="76"/>
      <c r="CM1285" s="76"/>
      <c r="CN1285" s="76">
        <f>+CM1285*22000</f>
        <v>0</v>
      </c>
      <c r="CO1285" s="76"/>
      <c r="CP1285" s="76">
        <f>+CO1285*46000</f>
        <v>0</v>
      </c>
      <c r="CQ1285" s="76"/>
      <c r="CR1285" s="76">
        <f>+CQ1285*49000</f>
        <v>0</v>
      </c>
      <c r="CS1285" s="76"/>
      <c r="CT1285" s="76"/>
      <c r="CU1285" s="56">
        <f>AN1285+AP1285+AR1285+AT1285+AV1285+AX1285+AZ1285+BB1285+BD1285+BF1285+BH1285+BJ1285+BL1285+BN1285+BP1285+BR1285+BT1285+BV1285+BX1285+BZ1285+CB1285+CD1285+CF1285+CH1285+CJ1285+CL1285+CN1285+CP1285+CR1285+CT1285</f>
        <v>0</v>
      </c>
      <c r="CV1285" s="76"/>
      <c r="CW1285" s="76">
        <f>+CV1285*1100</f>
        <v>0</v>
      </c>
      <c r="CX1285" s="76"/>
      <c r="CY1285" s="76">
        <f>+CX1285*106250</f>
        <v>0</v>
      </c>
      <c r="CZ1285" s="76"/>
      <c r="DA1285" s="76">
        <f>+CZ1285*34500</f>
        <v>0</v>
      </c>
      <c r="DB1285" s="76"/>
      <c r="DC1285" s="76">
        <f>+DB1285*25000</f>
        <v>0</v>
      </c>
      <c r="DD1285" s="219"/>
      <c r="DE1285" s="219"/>
      <c r="DF1285" s="166"/>
      <c r="DG1285" s="116"/>
      <c r="DH1285" s="117"/>
      <c r="DI1285" s="24"/>
      <c r="DJ1285" s="24"/>
      <c r="DK1285" s="24"/>
      <c r="DL1285" s="24"/>
      <c r="DM1285" s="24"/>
      <c r="DN1285" s="24"/>
      <c r="DO1285" s="24"/>
      <c r="DP1285" s="24"/>
      <c r="DQ1285" s="24"/>
      <c r="DR1285" s="24"/>
      <c r="DS1285" s="24"/>
      <c r="DT1285" s="24"/>
      <c r="DU1285" s="24"/>
    </row>
    <row r="1286" spans="1:125" s="8" customFormat="1" ht="60" x14ac:dyDescent="0.2">
      <c r="A1286" s="77">
        <v>41359</v>
      </c>
      <c r="B1286" s="78" t="s">
        <v>2774</v>
      </c>
      <c r="C1286" s="75" t="s">
        <v>2039</v>
      </c>
      <c r="D1286" s="84" t="s">
        <v>3088</v>
      </c>
      <c r="E1286" s="75" t="str">
        <f>VLOOKUP(B1286&amp;C1286,Divipola!$C$2:$F$1138,4,FALSE)</f>
        <v>66440</v>
      </c>
      <c r="F1286" s="163"/>
      <c r="G1286" s="163"/>
      <c r="H1286" s="163"/>
      <c r="I1286" s="163"/>
      <c r="J1286" s="163"/>
      <c r="K1286" s="163"/>
      <c r="L1286" s="163"/>
      <c r="M1286" s="163"/>
      <c r="N1286" s="163"/>
      <c r="O1286" s="163"/>
      <c r="P1286" s="163"/>
      <c r="Q1286" s="163"/>
      <c r="R1286" s="163"/>
      <c r="S1286" s="163"/>
      <c r="T1286" s="163"/>
      <c r="U1286" s="163"/>
      <c r="V1286" s="134"/>
      <c r="W1286" s="96">
        <v>0</v>
      </c>
      <c r="X1286" s="71">
        <f>CU1286</f>
        <v>0</v>
      </c>
      <c r="Y1286" s="71">
        <f>CY1286</f>
        <v>0</v>
      </c>
      <c r="Z1286" s="71">
        <f>DA1286+DC1286+DE1286</f>
        <v>0</v>
      </c>
      <c r="AA1286" s="71">
        <f>CW1286</f>
        <v>0</v>
      </c>
      <c r="AB1286" s="71"/>
      <c r="AC1286" s="71">
        <v>181330251</v>
      </c>
      <c r="AD1286" s="71">
        <f>W1286+X1286+Y1286+Z1286+AA1286+AB1286+AC1286</f>
        <v>181330251</v>
      </c>
      <c r="AE1286" s="72">
        <v>0</v>
      </c>
      <c r="AF1286" s="5"/>
      <c r="AG1286" s="6"/>
      <c r="AH1286" s="27" t="s">
        <v>3390</v>
      </c>
      <c r="AI1286" s="44" t="s">
        <v>3391</v>
      </c>
      <c r="AJ1286" s="26"/>
      <c r="AK1286" s="5"/>
      <c r="AL1286" s="82" t="s">
        <v>4063</v>
      </c>
      <c r="AM1286" s="76"/>
      <c r="AN1286" s="76"/>
      <c r="AO1286" s="76"/>
      <c r="AP1286" s="76"/>
      <c r="AQ1286" s="76"/>
      <c r="AR1286" s="76"/>
      <c r="AS1286" s="76"/>
      <c r="AT1286" s="76"/>
      <c r="AU1286" s="76"/>
      <c r="AV1286" s="76"/>
      <c r="AW1286" s="76"/>
      <c r="AX1286" s="76">
        <f>+AW1286*600000</f>
        <v>0</v>
      </c>
      <c r="AY1286" s="76"/>
      <c r="AZ1286" s="76">
        <f>+AY1286*70000</f>
        <v>0</v>
      </c>
      <c r="BA1286" s="76"/>
      <c r="BB1286" s="76"/>
      <c r="BC1286" s="76"/>
      <c r="BD1286" s="76">
        <f>+BC1286*30000</f>
        <v>0</v>
      </c>
      <c r="BE1286" s="76"/>
      <c r="BF1286" s="76"/>
      <c r="BG1286" s="76"/>
      <c r="BH1286" s="76"/>
      <c r="BI1286" s="76"/>
      <c r="BJ1286" s="76"/>
      <c r="BK1286" s="76"/>
      <c r="BL1286" s="76">
        <f>+BK1286*31500</f>
        <v>0</v>
      </c>
      <c r="BM1286" s="76"/>
      <c r="BN1286" s="76"/>
      <c r="BO1286" s="76"/>
      <c r="BP1286" s="76"/>
      <c r="BQ1286" s="76"/>
      <c r="BR1286" s="76"/>
      <c r="BS1286" s="76"/>
      <c r="BT1286" s="76"/>
      <c r="BU1286" s="76"/>
      <c r="BV1286" s="76"/>
      <c r="BW1286" s="76"/>
      <c r="BX1286" s="76"/>
      <c r="BY1286" s="76"/>
      <c r="BZ1286" s="76"/>
      <c r="CA1286" s="76"/>
      <c r="CB1286" s="76"/>
      <c r="CC1286" s="76"/>
      <c r="CD1286" s="76"/>
      <c r="CE1286" s="76"/>
      <c r="CF1286" s="76">
        <f>+CE1286*28000</f>
        <v>0</v>
      </c>
      <c r="CG1286" s="76"/>
      <c r="CH1286" s="76">
        <f>+CG1286*22500</f>
        <v>0</v>
      </c>
      <c r="CI1286" s="76"/>
      <c r="CJ1286" s="76">
        <f>+CI1286*26000</f>
        <v>0</v>
      </c>
      <c r="CK1286" s="76"/>
      <c r="CL1286" s="76"/>
      <c r="CM1286" s="76"/>
      <c r="CN1286" s="76">
        <f>+CM1286*22000</f>
        <v>0</v>
      </c>
      <c r="CO1286" s="76"/>
      <c r="CP1286" s="76">
        <f>+CO1286*46000</f>
        <v>0</v>
      </c>
      <c r="CQ1286" s="76"/>
      <c r="CR1286" s="76">
        <f>+CQ1286*49000</f>
        <v>0</v>
      </c>
      <c r="CS1286" s="76"/>
      <c r="CT1286" s="76"/>
      <c r="CU1286" s="56">
        <f>AN1286+AP1286+AR1286+AT1286+AV1286+AX1286+AZ1286+BB1286+BD1286+BF1286+BH1286+BJ1286+BL1286+BN1286+BP1286+BR1286+BT1286+BV1286+BX1286+BZ1286+CB1286+CD1286+CF1286+CH1286+CJ1286+CL1286+CN1286+CP1286+CR1286+CT1286</f>
        <v>0</v>
      </c>
      <c r="CV1286" s="76"/>
      <c r="CW1286" s="76">
        <f>+CV1286*1100</f>
        <v>0</v>
      </c>
      <c r="CX1286" s="76"/>
      <c r="CY1286" s="76">
        <f>+CX1286*106250</f>
        <v>0</v>
      </c>
      <c r="CZ1286" s="76"/>
      <c r="DA1286" s="76">
        <f>+CZ1286*34500</f>
        <v>0</v>
      </c>
      <c r="DB1286" s="76"/>
      <c r="DC1286" s="76">
        <f>+DB1286*25000</f>
        <v>0</v>
      </c>
      <c r="DD1286" s="219"/>
      <c r="DE1286" s="219"/>
      <c r="DF1286" s="166" t="s">
        <v>3248</v>
      </c>
      <c r="DG1286" s="116"/>
      <c r="DH1286" s="117"/>
      <c r="DI1286" s="24"/>
      <c r="DJ1286" s="24"/>
      <c r="DK1286" s="24"/>
      <c r="DL1286" s="24"/>
      <c r="DM1286" s="24"/>
      <c r="DN1286" s="24"/>
      <c r="DO1286" s="24"/>
      <c r="DP1286" s="24"/>
      <c r="DQ1286" s="24"/>
      <c r="DR1286" s="24"/>
      <c r="DS1286" s="24"/>
      <c r="DT1286" s="24"/>
      <c r="DU1286" s="24"/>
    </row>
    <row r="1287" spans="1:125" s="8" customFormat="1" ht="36" x14ac:dyDescent="0.2">
      <c r="A1287" s="77">
        <v>41359</v>
      </c>
      <c r="B1287" s="352" t="s">
        <v>2774</v>
      </c>
      <c r="C1287" s="354" t="s">
        <v>2039</v>
      </c>
      <c r="D1287" s="354" t="s">
        <v>2882</v>
      </c>
      <c r="E1287" s="75" t="str">
        <f>VLOOKUP(B1287&amp;C1287,Divipola!$C$2:$F$1138,4,FALSE)</f>
        <v>66440</v>
      </c>
      <c r="F1287" s="87"/>
      <c r="G1287" s="87"/>
      <c r="H1287" s="87"/>
      <c r="I1287" s="87">
        <v>150</v>
      </c>
      <c r="J1287" s="87">
        <v>30</v>
      </c>
      <c r="K1287" s="87"/>
      <c r="L1287" s="87">
        <v>30</v>
      </c>
      <c r="M1287" s="87"/>
      <c r="N1287" s="87"/>
      <c r="O1287" s="87"/>
      <c r="P1287" s="87"/>
      <c r="Q1287" s="87"/>
      <c r="R1287" s="87"/>
      <c r="S1287" s="87">
        <v>1</v>
      </c>
      <c r="T1287" s="87"/>
      <c r="U1287" s="88"/>
      <c r="V1287" s="89"/>
      <c r="W1287" s="96">
        <v>0</v>
      </c>
      <c r="X1287" s="71">
        <f>CU1287</f>
        <v>0</v>
      </c>
      <c r="Y1287" s="71">
        <f>CY1287</f>
        <v>0</v>
      </c>
      <c r="Z1287" s="71">
        <f>DA1287+DC1287+DE1287</f>
        <v>0</v>
      </c>
      <c r="AA1287" s="71">
        <f>CW1287</f>
        <v>0</v>
      </c>
      <c r="AB1287" s="71"/>
      <c r="AC1287" s="71">
        <v>0</v>
      </c>
      <c r="AD1287" s="71">
        <f>W1287+X1287+Y1287+Z1287+AA1287+AB1287+AC1287</f>
        <v>0</v>
      </c>
      <c r="AE1287" s="72">
        <v>0</v>
      </c>
      <c r="AF1287" s="5"/>
      <c r="AG1287" s="6"/>
      <c r="AH1287" s="27" t="s">
        <v>3392</v>
      </c>
      <c r="AI1287" s="44" t="s">
        <v>3393</v>
      </c>
      <c r="AJ1287" s="26"/>
      <c r="AK1287" s="5"/>
      <c r="AL1287" s="82" t="s">
        <v>4070</v>
      </c>
      <c r="AM1287" s="76"/>
      <c r="AN1287" s="76"/>
      <c r="AO1287" s="76"/>
      <c r="AP1287" s="76"/>
      <c r="AQ1287" s="76"/>
      <c r="AR1287" s="76"/>
      <c r="AS1287" s="76"/>
      <c r="AT1287" s="76"/>
      <c r="AU1287" s="76"/>
      <c r="AV1287" s="76"/>
      <c r="AW1287" s="76"/>
      <c r="AX1287" s="76">
        <f>+AW1287*600000</f>
        <v>0</v>
      </c>
      <c r="AY1287" s="76"/>
      <c r="AZ1287" s="76">
        <f>+AY1287*70000</f>
        <v>0</v>
      </c>
      <c r="BA1287" s="76"/>
      <c r="BB1287" s="76"/>
      <c r="BC1287" s="76"/>
      <c r="BD1287" s="76">
        <f>+BC1287*30000</f>
        <v>0</v>
      </c>
      <c r="BE1287" s="76"/>
      <c r="BF1287" s="76"/>
      <c r="BG1287" s="76"/>
      <c r="BH1287" s="76"/>
      <c r="BI1287" s="76"/>
      <c r="BJ1287" s="76"/>
      <c r="BK1287" s="76"/>
      <c r="BL1287" s="76">
        <f>+BK1287*31500</f>
        <v>0</v>
      </c>
      <c r="BM1287" s="76"/>
      <c r="BN1287" s="76"/>
      <c r="BO1287" s="76"/>
      <c r="BP1287" s="76"/>
      <c r="BQ1287" s="76"/>
      <c r="BR1287" s="76"/>
      <c r="BS1287" s="76"/>
      <c r="BT1287" s="76"/>
      <c r="BU1287" s="76"/>
      <c r="BV1287" s="76"/>
      <c r="BW1287" s="76"/>
      <c r="BX1287" s="76"/>
      <c r="BY1287" s="76"/>
      <c r="BZ1287" s="76"/>
      <c r="CA1287" s="76"/>
      <c r="CB1287" s="76"/>
      <c r="CC1287" s="76"/>
      <c r="CD1287" s="76"/>
      <c r="CE1287" s="76"/>
      <c r="CF1287" s="76">
        <f>+CE1287*28000</f>
        <v>0</v>
      </c>
      <c r="CG1287" s="76"/>
      <c r="CH1287" s="76">
        <f>+CG1287*22500</f>
        <v>0</v>
      </c>
      <c r="CI1287" s="76"/>
      <c r="CJ1287" s="76">
        <f>+CI1287*26000</f>
        <v>0</v>
      </c>
      <c r="CK1287" s="76"/>
      <c r="CL1287" s="76"/>
      <c r="CM1287" s="76"/>
      <c r="CN1287" s="76">
        <f>+CM1287*22000</f>
        <v>0</v>
      </c>
      <c r="CO1287" s="76"/>
      <c r="CP1287" s="76">
        <f>+CO1287*46000</f>
        <v>0</v>
      </c>
      <c r="CQ1287" s="76"/>
      <c r="CR1287" s="76">
        <f>+CQ1287*49000</f>
        <v>0</v>
      </c>
      <c r="CS1287" s="76"/>
      <c r="CT1287" s="76"/>
      <c r="CU1287" s="56">
        <f>AN1287+AP1287+AR1287+AT1287+AV1287+AX1287+AZ1287+BB1287+BD1287+BF1287+BH1287+BJ1287+BL1287+BN1287+BP1287+BR1287+BT1287+BV1287+BX1287+BZ1287+CB1287+CD1287+CF1287+CH1287+CJ1287+CL1287+CN1287+CP1287+CR1287+CT1287</f>
        <v>0</v>
      </c>
      <c r="CV1287" s="76"/>
      <c r="CW1287" s="76">
        <f>+CV1287*1100</f>
        <v>0</v>
      </c>
      <c r="CX1287" s="76"/>
      <c r="CY1287" s="76">
        <f>+CX1287*106250</f>
        <v>0</v>
      </c>
      <c r="CZ1287" s="76"/>
      <c r="DA1287" s="76">
        <f>+CZ1287*34500</f>
        <v>0</v>
      </c>
      <c r="DB1287" s="76"/>
      <c r="DC1287" s="76">
        <f>+DB1287*25000</f>
        <v>0</v>
      </c>
      <c r="DD1287" s="219"/>
      <c r="DE1287" s="219"/>
      <c r="DF1287" s="166"/>
      <c r="DG1287" s="116"/>
      <c r="DH1287" s="117"/>
      <c r="DI1287" s="24"/>
      <c r="DJ1287" s="24"/>
      <c r="DK1287" s="24"/>
      <c r="DL1287" s="24"/>
      <c r="DM1287" s="24"/>
      <c r="DN1287" s="24"/>
      <c r="DO1287" s="24"/>
      <c r="DP1287" s="24"/>
      <c r="DQ1287" s="24"/>
      <c r="DR1287" s="24"/>
      <c r="DS1287" s="24"/>
      <c r="DT1287" s="24"/>
      <c r="DU1287" s="24"/>
    </row>
    <row r="1288" spans="1:125" s="8" customFormat="1" ht="36" x14ac:dyDescent="0.2">
      <c r="A1288" s="77">
        <v>41359</v>
      </c>
      <c r="B1288" s="225" t="s">
        <v>2774</v>
      </c>
      <c r="C1288" s="227" t="s">
        <v>1347</v>
      </c>
      <c r="D1288" s="354" t="s">
        <v>2882</v>
      </c>
      <c r="E1288" s="75" t="str">
        <f>VLOOKUP(B1288&amp;C1288,Divipola!$C$2:$F$1138,4,FALSE)</f>
        <v>66001</v>
      </c>
      <c r="F1288" s="87"/>
      <c r="G1288" s="87"/>
      <c r="H1288" s="87"/>
      <c r="I1288" s="87">
        <v>55</v>
      </c>
      <c r="J1288" s="87">
        <v>11</v>
      </c>
      <c r="K1288" s="87"/>
      <c r="L1288" s="87">
        <v>11</v>
      </c>
      <c r="M1288" s="87"/>
      <c r="N1288" s="87"/>
      <c r="O1288" s="87"/>
      <c r="P1288" s="87"/>
      <c r="Q1288" s="87"/>
      <c r="R1288" s="87"/>
      <c r="S1288" s="87"/>
      <c r="T1288" s="87"/>
      <c r="U1288" s="88"/>
      <c r="V1288" s="89"/>
      <c r="W1288" s="96">
        <v>0</v>
      </c>
      <c r="X1288" s="71">
        <f>CU1288</f>
        <v>0</v>
      </c>
      <c r="Y1288" s="71">
        <f>CY1288</f>
        <v>0</v>
      </c>
      <c r="Z1288" s="71">
        <f>DA1288+DC1288+DE1288</f>
        <v>0</v>
      </c>
      <c r="AA1288" s="71">
        <f>CW1288</f>
        <v>0</v>
      </c>
      <c r="AB1288" s="71"/>
      <c r="AC1288" s="71">
        <v>0</v>
      </c>
      <c r="AD1288" s="71">
        <f>W1288+X1288+Y1288+Z1288+AA1288+AB1288+AC1288</f>
        <v>0</v>
      </c>
      <c r="AE1288" s="72">
        <v>0</v>
      </c>
      <c r="AF1288" s="5"/>
      <c r="AG1288" s="6"/>
      <c r="AH1288" s="27" t="s">
        <v>3392</v>
      </c>
      <c r="AI1288" s="44" t="s">
        <v>3393</v>
      </c>
      <c r="AJ1288" s="26"/>
      <c r="AK1288" s="5"/>
      <c r="AL1288" s="82" t="s">
        <v>4076</v>
      </c>
      <c r="AM1288" s="76"/>
      <c r="AN1288" s="76"/>
      <c r="AO1288" s="76"/>
      <c r="AP1288" s="76"/>
      <c r="AQ1288" s="76"/>
      <c r="AR1288" s="76"/>
      <c r="AS1288" s="76"/>
      <c r="AT1288" s="76"/>
      <c r="AU1288" s="76"/>
      <c r="AV1288" s="76"/>
      <c r="AW1288" s="76"/>
      <c r="AX1288" s="76">
        <f>+AW1288*600000</f>
        <v>0</v>
      </c>
      <c r="AY1288" s="76"/>
      <c r="AZ1288" s="76">
        <f>+AY1288*70000</f>
        <v>0</v>
      </c>
      <c r="BA1288" s="76"/>
      <c r="BB1288" s="76"/>
      <c r="BC1288" s="76"/>
      <c r="BD1288" s="76">
        <f>+BC1288*30000</f>
        <v>0</v>
      </c>
      <c r="BE1288" s="76"/>
      <c r="BF1288" s="76"/>
      <c r="BG1288" s="76"/>
      <c r="BH1288" s="76"/>
      <c r="BI1288" s="76"/>
      <c r="BJ1288" s="76"/>
      <c r="BK1288" s="76"/>
      <c r="BL1288" s="76">
        <f>+BK1288*31500</f>
        <v>0</v>
      </c>
      <c r="BM1288" s="76"/>
      <c r="BN1288" s="76"/>
      <c r="BO1288" s="76"/>
      <c r="BP1288" s="76"/>
      <c r="BQ1288" s="76"/>
      <c r="BR1288" s="76"/>
      <c r="BS1288" s="76"/>
      <c r="BT1288" s="76"/>
      <c r="BU1288" s="76"/>
      <c r="BV1288" s="76"/>
      <c r="BW1288" s="76"/>
      <c r="BX1288" s="76"/>
      <c r="BY1288" s="76"/>
      <c r="BZ1288" s="76"/>
      <c r="CA1288" s="76"/>
      <c r="CB1288" s="76"/>
      <c r="CC1288" s="76"/>
      <c r="CD1288" s="76"/>
      <c r="CE1288" s="76"/>
      <c r="CF1288" s="76">
        <f>+CE1288*28000</f>
        <v>0</v>
      </c>
      <c r="CG1288" s="76"/>
      <c r="CH1288" s="76">
        <f>+CG1288*22500</f>
        <v>0</v>
      </c>
      <c r="CI1288" s="76"/>
      <c r="CJ1288" s="76">
        <f>+CI1288*26000</f>
        <v>0</v>
      </c>
      <c r="CK1288" s="76"/>
      <c r="CL1288" s="76"/>
      <c r="CM1288" s="76"/>
      <c r="CN1288" s="76">
        <f>+CM1288*22000</f>
        <v>0</v>
      </c>
      <c r="CO1288" s="76"/>
      <c r="CP1288" s="76">
        <f>+CO1288*46000</f>
        <v>0</v>
      </c>
      <c r="CQ1288" s="76"/>
      <c r="CR1288" s="76">
        <f>+CQ1288*49000</f>
        <v>0</v>
      </c>
      <c r="CS1288" s="76"/>
      <c r="CT1288" s="76"/>
      <c r="CU1288" s="56">
        <f>AN1288+AP1288+AR1288+AT1288+AV1288+AX1288+AZ1288+BB1288+BD1288+BF1288+BH1288+BJ1288+BL1288+BN1288+BP1288+BR1288+BT1288+BV1288+BX1288+BZ1288+CB1288+CD1288+CF1288+CH1288+CJ1288+CL1288+CN1288+CP1288+CR1288+CT1288</f>
        <v>0</v>
      </c>
      <c r="CV1288" s="76"/>
      <c r="CW1288" s="76">
        <f>+CV1288*1100</f>
        <v>0</v>
      </c>
      <c r="CX1288" s="76"/>
      <c r="CY1288" s="76">
        <f>+CX1288*106250</f>
        <v>0</v>
      </c>
      <c r="CZ1288" s="76"/>
      <c r="DA1288" s="76">
        <f>+CZ1288*34500</f>
        <v>0</v>
      </c>
      <c r="DB1288" s="76"/>
      <c r="DC1288" s="76">
        <f>+DB1288*25000</f>
        <v>0</v>
      </c>
      <c r="DD1288" s="219"/>
      <c r="DE1288" s="219"/>
      <c r="DF1288" s="166"/>
      <c r="DG1288" s="116"/>
      <c r="DH1288" s="117"/>
      <c r="DI1288" s="24"/>
      <c r="DJ1288" s="24"/>
      <c r="DK1288" s="24"/>
      <c r="DL1288" s="24"/>
      <c r="DM1288" s="24"/>
      <c r="DN1288" s="24"/>
      <c r="DO1288" s="24"/>
      <c r="DP1288" s="24"/>
      <c r="DQ1288" s="24"/>
      <c r="DR1288" s="24"/>
      <c r="DS1288" s="24"/>
      <c r="DT1288" s="24"/>
      <c r="DU1288" s="24"/>
    </row>
    <row r="1289" spans="1:125" s="8" customFormat="1" ht="36" x14ac:dyDescent="0.2">
      <c r="A1289" s="77">
        <v>41359</v>
      </c>
      <c r="B1289" s="352" t="s">
        <v>2774</v>
      </c>
      <c r="C1289" s="354" t="s">
        <v>1370</v>
      </c>
      <c r="D1289" s="354" t="s">
        <v>2882</v>
      </c>
      <c r="E1289" s="75" t="str">
        <f>VLOOKUP(B1289&amp;C1289,Divipola!$C$2:$F$1138,4,FALSE)</f>
        <v>66594</v>
      </c>
      <c r="F1289" s="87"/>
      <c r="G1289" s="87"/>
      <c r="H1289" s="87"/>
      <c r="I1289" s="87">
        <v>15</v>
      </c>
      <c r="J1289" s="87">
        <v>3</v>
      </c>
      <c r="K1289" s="87"/>
      <c r="L1289" s="87">
        <v>3</v>
      </c>
      <c r="M1289" s="87"/>
      <c r="N1289" s="87"/>
      <c r="O1289" s="87"/>
      <c r="P1289" s="87"/>
      <c r="Q1289" s="87"/>
      <c r="R1289" s="87"/>
      <c r="S1289" s="87"/>
      <c r="T1289" s="87"/>
      <c r="U1289" s="88"/>
      <c r="V1289" s="89"/>
      <c r="W1289" s="96">
        <v>0</v>
      </c>
      <c r="X1289" s="71">
        <f>CU1289</f>
        <v>0</v>
      </c>
      <c r="Y1289" s="71">
        <f>CY1289</f>
        <v>0</v>
      </c>
      <c r="Z1289" s="71">
        <f>DA1289+DC1289+DE1289</f>
        <v>0</v>
      </c>
      <c r="AA1289" s="71">
        <f>CW1289</f>
        <v>0</v>
      </c>
      <c r="AB1289" s="71"/>
      <c r="AC1289" s="71">
        <v>0</v>
      </c>
      <c r="AD1289" s="71">
        <f>W1289+X1289+Y1289+Z1289+AA1289+AB1289+AC1289</f>
        <v>0</v>
      </c>
      <c r="AE1289" s="72">
        <v>0</v>
      </c>
      <c r="AF1289" s="5"/>
      <c r="AG1289" s="6"/>
      <c r="AH1289" s="27" t="s">
        <v>3392</v>
      </c>
      <c r="AI1289" s="44" t="s">
        <v>3393</v>
      </c>
      <c r="AJ1289" s="26"/>
      <c r="AK1289" s="5"/>
      <c r="AL1289" s="82" t="s">
        <v>4077</v>
      </c>
      <c r="AM1289" s="76"/>
      <c r="AN1289" s="76"/>
      <c r="AO1289" s="76"/>
      <c r="AP1289" s="76"/>
      <c r="AQ1289" s="76"/>
      <c r="AR1289" s="76"/>
      <c r="AS1289" s="76"/>
      <c r="AT1289" s="76"/>
      <c r="AU1289" s="76"/>
      <c r="AV1289" s="76"/>
      <c r="AW1289" s="76"/>
      <c r="AX1289" s="76">
        <f>+AW1289*600000</f>
        <v>0</v>
      </c>
      <c r="AY1289" s="76"/>
      <c r="AZ1289" s="76">
        <f>+AY1289*70000</f>
        <v>0</v>
      </c>
      <c r="BA1289" s="76"/>
      <c r="BB1289" s="76"/>
      <c r="BC1289" s="76"/>
      <c r="BD1289" s="76">
        <f>+BC1289*30000</f>
        <v>0</v>
      </c>
      <c r="BE1289" s="76"/>
      <c r="BF1289" s="76"/>
      <c r="BG1289" s="76"/>
      <c r="BH1289" s="76"/>
      <c r="BI1289" s="76"/>
      <c r="BJ1289" s="76"/>
      <c r="BK1289" s="76"/>
      <c r="BL1289" s="76">
        <f>+BK1289*31500</f>
        <v>0</v>
      </c>
      <c r="BM1289" s="76"/>
      <c r="BN1289" s="76"/>
      <c r="BO1289" s="76"/>
      <c r="BP1289" s="76"/>
      <c r="BQ1289" s="76"/>
      <c r="BR1289" s="76"/>
      <c r="BS1289" s="76"/>
      <c r="BT1289" s="76"/>
      <c r="BU1289" s="76"/>
      <c r="BV1289" s="76"/>
      <c r="BW1289" s="76"/>
      <c r="BX1289" s="76"/>
      <c r="BY1289" s="76"/>
      <c r="BZ1289" s="76"/>
      <c r="CA1289" s="76"/>
      <c r="CB1289" s="76"/>
      <c r="CC1289" s="76"/>
      <c r="CD1289" s="76"/>
      <c r="CE1289" s="76"/>
      <c r="CF1289" s="76">
        <f>+CE1289*28000</f>
        <v>0</v>
      </c>
      <c r="CG1289" s="76"/>
      <c r="CH1289" s="76">
        <f>+CG1289*22500</f>
        <v>0</v>
      </c>
      <c r="CI1289" s="76"/>
      <c r="CJ1289" s="76">
        <f>+CI1289*26000</f>
        <v>0</v>
      </c>
      <c r="CK1289" s="76"/>
      <c r="CL1289" s="76"/>
      <c r="CM1289" s="76"/>
      <c r="CN1289" s="76">
        <f>+CM1289*22000</f>
        <v>0</v>
      </c>
      <c r="CO1289" s="76"/>
      <c r="CP1289" s="76">
        <f>+CO1289*46000</f>
        <v>0</v>
      </c>
      <c r="CQ1289" s="76"/>
      <c r="CR1289" s="76">
        <f>+CQ1289*49000</f>
        <v>0</v>
      </c>
      <c r="CS1289" s="76"/>
      <c r="CT1289" s="76"/>
      <c r="CU1289" s="56">
        <f>AN1289+AP1289+AR1289+AT1289+AV1289+AX1289+AZ1289+BB1289+BD1289+BF1289+BH1289+BJ1289+BL1289+BN1289+BP1289+BR1289+BT1289+BV1289+BX1289+BZ1289+CB1289+CD1289+CF1289+CH1289+CJ1289+CL1289+CN1289+CP1289+CR1289+CT1289</f>
        <v>0</v>
      </c>
      <c r="CV1289" s="76"/>
      <c r="CW1289" s="76">
        <f>+CV1289*1100</f>
        <v>0</v>
      </c>
      <c r="CX1289" s="76"/>
      <c r="CY1289" s="76">
        <f>+CX1289*106250</f>
        <v>0</v>
      </c>
      <c r="CZ1289" s="76"/>
      <c r="DA1289" s="76">
        <f>+CZ1289*34500</f>
        <v>0</v>
      </c>
      <c r="DB1289" s="76"/>
      <c r="DC1289" s="76">
        <f>+DB1289*25000</f>
        <v>0</v>
      </c>
      <c r="DD1289" s="219"/>
      <c r="DE1289" s="219"/>
      <c r="DF1289" s="166"/>
      <c r="DG1289" s="116"/>
      <c r="DH1289" s="117"/>
      <c r="DI1289" s="24"/>
      <c r="DJ1289" s="24"/>
      <c r="DK1289" s="24"/>
      <c r="DL1289" s="24"/>
      <c r="DM1289" s="24"/>
      <c r="DN1289" s="24"/>
      <c r="DO1289" s="24"/>
      <c r="DP1289" s="24"/>
      <c r="DQ1289" s="24"/>
      <c r="DR1289" s="24"/>
      <c r="DS1289" s="24"/>
      <c r="DT1289" s="24"/>
      <c r="DU1289" s="24"/>
    </row>
    <row r="1290" spans="1:125" s="8" customFormat="1" ht="36" x14ac:dyDescent="0.2">
      <c r="A1290" s="77">
        <v>41359</v>
      </c>
      <c r="B1290" s="352" t="s">
        <v>2774</v>
      </c>
      <c r="C1290" s="354" t="s">
        <v>2790</v>
      </c>
      <c r="D1290" s="227" t="s">
        <v>2882</v>
      </c>
      <c r="E1290" s="75" t="str">
        <f>VLOOKUP(B1290&amp;C1290,Divipola!$C$2:$F$1138,4,FALSE)</f>
        <v>66682</v>
      </c>
      <c r="F1290" s="87"/>
      <c r="G1290" s="87"/>
      <c r="H1290" s="87"/>
      <c r="I1290" s="87">
        <v>20</v>
      </c>
      <c r="J1290" s="87">
        <v>4</v>
      </c>
      <c r="K1290" s="87"/>
      <c r="L1290" s="87">
        <v>4</v>
      </c>
      <c r="M1290" s="87"/>
      <c r="N1290" s="87"/>
      <c r="O1290" s="87"/>
      <c r="P1290" s="87"/>
      <c r="Q1290" s="87"/>
      <c r="R1290" s="87"/>
      <c r="S1290" s="87"/>
      <c r="T1290" s="87"/>
      <c r="U1290" s="88"/>
      <c r="V1290" s="89"/>
      <c r="W1290" s="96">
        <v>0</v>
      </c>
      <c r="X1290" s="71">
        <f>CU1290</f>
        <v>0</v>
      </c>
      <c r="Y1290" s="71">
        <f>CY1290</f>
        <v>0</v>
      </c>
      <c r="Z1290" s="71">
        <f>DA1290+DC1290+DE1290</f>
        <v>0</v>
      </c>
      <c r="AA1290" s="71">
        <f>CW1290</f>
        <v>0</v>
      </c>
      <c r="AB1290" s="71"/>
      <c r="AC1290" s="71">
        <v>0</v>
      </c>
      <c r="AD1290" s="71">
        <f>W1290+X1290+Y1290+Z1290+AA1290+AB1290+AC1290</f>
        <v>0</v>
      </c>
      <c r="AE1290" s="72">
        <v>0</v>
      </c>
      <c r="AF1290" s="5"/>
      <c r="AG1290" s="6"/>
      <c r="AH1290" s="27" t="s">
        <v>3392</v>
      </c>
      <c r="AI1290" s="44" t="s">
        <v>3393</v>
      </c>
      <c r="AJ1290" s="26"/>
      <c r="AK1290" s="5"/>
      <c r="AL1290" s="82" t="s">
        <v>4072</v>
      </c>
      <c r="AM1290" s="76"/>
      <c r="AN1290" s="76"/>
      <c r="AO1290" s="76"/>
      <c r="AP1290" s="76"/>
      <c r="AQ1290" s="76"/>
      <c r="AR1290" s="76"/>
      <c r="AS1290" s="76"/>
      <c r="AT1290" s="76"/>
      <c r="AU1290" s="76"/>
      <c r="AV1290" s="76"/>
      <c r="AW1290" s="76"/>
      <c r="AX1290" s="76">
        <f>+AW1290*600000</f>
        <v>0</v>
      </c>
      <c r="AY1290" s="76"/>
      <c r="AZ1290" s="76">
        <f>+AY1290*70000</f>
        <v>0</v>
      </c>
      <c r="BA1290" s="76"/>
      <c r="BB1290" s="76"/>
      <c r="BC1290" s="76"/>
      <c r="BD1290" s="76">
        <f>+BC1290*30000</f>
        <v>0</v>
      </c>
      <c r="BE1290" s="76"/>
      <c r="BF1290" s="76"/>
      <c r="BG1290" s="76"/>
      <c r="BH1290" s="76"/>
      <c r="BI1290" s="76"/>
      <c r="BJ1290" s="76"/>
      <c r="BK1290" s="76"/>
      <c r="BL1290" s="76">
        <f>+BK1290*31500</f>
        <v>0</v>
      </c>
      <c r="BM1290" s="76"/>
      <c r="BN1290" s="76"/>
      <c r="BO1290" s="76"/>
      <c r="BP1290" s="76"/>
      <c r="BQ1290" s="76"/>
      <c r="BR1290" s="76"/>
      <c r="BS1290" s="76"/>
      <c r="BT1290" s="76"/>
      <c r="BU1290" s="76"/>
      <c r="BV1290" s="76"/>
      <c r="BW1290" s="76"/>
      <c r="BX1290" s="76"/>
      <c r="BY1290" s="76"/>
      <c r="BZ1290" s="76"/>
      <c r="CA1290" s="76"/>
      <c r="CB1290" s="76"/>
      <c r="CC1290" s="76"/>
      <c r="CD1290" s="76"/>
      <c r="CE1290" s="76"/>
      <c r="CF1290" s="76">
        <f>+CE1290*28000</f>
        <v>0</v>
      </c>
      <c r="CG1290" s="76"/>
      <c r="CH1290" s="76">
        <f>+CG1290*22500</f>
        <v>0</v>
      </c>
      <c r="CI1290" s="76"/>
      <c r="CJ1290" s="76">
        <f>+CI1290*26000</f>
        <v>0</v>
      </c>
      <c r="CK1290" s="76"/>
      <c r="CL1290" s="76"/>
      <c r="CM1290" s="76"/>
      <c r="CN1290" s="76">
        <f>+CM1290*22000</f>
        <v>0</v>
      </c>
      <c r="CO1290" s="76"/>
      <c r="CP1290" s="76">
        <f>+CO1290*46000</f>
        <v>0</v>
      </c>
      <c r="CQ1290" s="76"/>
      <c r="CR1290" s="76">
        <f>+CQ1290*49000</f>
        <v>0</v>
      </c>
      <c r="CS1290" s="76"/>
      <c r="CT1290" s="76"/>
      <c r="CU1290" s="56">
        <f>AN1290+AP1290+AR1290+AT1290+AV1290+AX1290+AZ1290+BB1290+BD1290+BF1290+BH1290+BJ1290+BL1290+BN1290+BP1290+BR1290+BT1290+BV1290+BX1290+BZ1290+CB1290+CD1290+CF1290+CH1290+CJ1290+CL1290+CN1290+CP1290+CR1290+CT1290</f>
        <v>0</v>
      </c>
      <c r="CV1290" s="76"/>
      <c r="CW1290" s="76">
        <f>+CV1290*1100</f>
        <v>0</v>
      </c>
      <c r="CX1290" s="76"/>
      <c r="CY1290" s="76">
        <f>+CX1290*106250</f>
        <v>0</v>
      </c>
      <c r="CZ1290" s="76"/>
      <c r="DA1290" s="76">
        <f>+CZ1290*34500</f>
        <v>0</v>
      </c>
      <c r="DB1290" s="76"/>
      <c r="DC1290" s="76">
        <f>+DB1290*25000</f>
        <v>0</v>
      </c>
      <c r="DD1290" s="219"/>
      <c r="DE1290" s="219"/>
      <c r="DF1290" s="166"/>
      <c r="DG1290" s="116"/>
      <c r="DH1290" s="117"/>
      <c r="DI1290" s="24"/>
      <c r="DJ1290" s="24"/>
      <c r="DK1290" s="24"/>
      <c r="DL1290" s="24"/>
      <c r="DM1290" s="24"/>
      <c r="DN1290" s="24"/>
      <c r="DO1290" s="24"/>
      <c r="DP1290" s="24"/>
      <c r="DQ1290" s="24"/>
      <c r="DR1290" s="24"/>
      <c r="DS1290" s="24"/>
      <c r="DT1290" s="24"/>
      <c r="DU1290" s="24"/>
    </row>
    <row r="1291" spans="1:125" s="8" customFormat="1" ht="48" x14ac:dyDescent="0.2">
      <c r="A1291" s="77">
        <v>41359</v>
      </c>
      <c r="B1291" s="352" t="s">
        <v>2848</v>
      </c>
      <c r="C1291" s="354" t="s">
        <v>2755</v>
      </c>
      <c r="D1291" s="354" t="s">
        <v>2849</v>
      </c>
      <c r="E1291" s="75" t="str">
        <f>VLOOKUP(B1291&amp;C1291,Divipola!$C$2:$F$1138,4,FALSE)</f>
        <v>73001</v>
      </c>
      <c r="F1291" s="87">
        <v>2</v>
      </c>
      <c r="G1291" s="87"/>
      <c r="H1291" s="87"/>
      <c r="I1291" s="87">
        <v>2</v>
      </c>
      <c r="J1291" s="87"/>
      <c r="K1291" s="87"/>
      <c r="L1291" s="87"/>
      <c r="M1291" s="87"/>
      <c r="N1291" s="87"/>
      <c r="O1291" s="87"/>
      <c r="P1291" s="87"/>
      <c r="Q1291" s="87"/>
      <c r="R1291" s="87"/>
      <c r="S1291" s="87"/>
      <c r="T1291" s="87"/>
      <c r="U1291" s="88"/>
      <c r="V1291" s="89"/>
      <c r="W1291" s="96">
        <v>0</v>
      </c>
      <c r="X1291" s="71">
        <f>CU1291</f>
        <v>0</v>
      </c>
      <c r="Y1291" s="71">
        <f>CY1291</f>
        <v>0</v>
      </c>
      <c r="Z1291" s="71">
        <f>DA1291+DC1291+DE1291</f>
        <v>0</v>
      </c>
      <c r="AA1291" s="71">
        <f>CW1291</f>
        <v>0</v>
      </c>
      <c r="AB1291" s="71"/>
      <c r="AC1291" s="71">
        <v>0</v>
      </c>
      <c r="AD1291" s="71">
        <f>W1291+X1291+Y1291+Z1291+AA1291+AB1291+AC1291</f>
        <v>0</v>
      </c>
      <c r="AE1291" s="72">
        <v>0</v>
      </c>
      <c r="AF1291" s="5"/>
      <c r="AG1291" s="6"/>
      <c r="AH1291" s="27" t="s">
        <v>3392</v>
      </c>
      <c r="AI1291" s="44" t="s">
        <v>3393</v>
      </c>
      <c r="AJ1291" s="26"/>
      <c r="AK1291" s="5"/>
      <c r="AL1291" s="82" t="s">
        <v>4069</v>
      </c>
      <c r="AM1291" s="76"/>
      <c r="AN1291" s="76"/>
      <c r="AO1291" s="76"/>
      <c r="AP1291" s="76"/>
      <c r="AQ1291" s="76"/>
      <c r="AR1291" s="76"/>
      <c r="AS1291" s="76"/>
      <c r="AT1291" s="76"/>
      <c r="AU1291" s="76"/>
      <c r="AV1291" s="76"/>
      <c r="AW1291" s="76"/>
      <c r="AX1291" s="76">
        <f>+AW1291*600000</f>
        <v>0</v>
      </c>
      <c r="AY1291" s="76"/>
      <c r="AZ1291" s="76">
        <f>+AY1291*70000</f>
        <v>0</v>
      </c>
      <c r="BA1291" s="76"/>
      <c r="BB1291" s="76"/>
      <c r="BC1291" s="76"/>
      <c r="BD1291" s="76">
        <f>+BC1291*30000</f>
        <v>0</v>
      </c>
      <c r="BE1291" s="76"/>
      <c r="BF1291" s="76"/>
      <c r="BG1291" s="76"/>
      <c r="BH1291" s="76"/>
      <c r="BI1291" s="76"/>
      <c r="BJ1291" s="76"/>
      <c r="BK1291" s="76"/>
      <c r="BL1291" s="76">
        <f>+BK1291*31500</f>
        <v>0</v>
      </c>
      <c r="BM1291" s="76"/>
      <c r="BN1291" s="76"/>
      <c r="BO1291" s="76"/>
      <c r="BP1291" s="76"/>
      <c r="BQ1291" s="76"/>
      <c r="BR1291" s="76"/>
      <c r="BS1291" s="76"/>
      <c r="BT1291" s="76"/>
      <c r="BU1291" s="76"/>
      <c r="BV1291" s="76"/>
      <c r="BW1291" s="76"/>
      <c r="BX1291" s="76"/>
      <c r="BY1291" s="76"/>
      <c r="BZ1291" s="76"/>
      <c r="CA1291" s="76"/>
      <c r="CB1291" s="76"/>
      <c r="CC1291" s="76"/>
      <c r="CD1291" s="76"/>
      <c r="CE1291" s="76"/>
      <c r="CF1291" s="76">
        <f>+CE1291*28000</f>
        <v>0</v>
      </c>
      <c r="CG1291" s="76"/>
      <c r="CH1291" s="76">
        <f>+CG1291*22500</f>
        <v>0</v>
      </c>
      <c r="CI1291" s="76"/>
      <c r="CJ1291" s="76">
        <f>+CI1291*26000</f>
        <v>0</v>
      </c>
      <c r="CK1291" s="76"/>
      <c r="CL1291" s="76"/>
      <c r="CM1291" s="76"/>
      <c r="CN1291" s="76">
        <f>+CM1291*22000</f>
        <v>0</v>
      </c>
      <c r="CO1291" s="76"/>
      <c r="CP1291" s="76">
        <f>+CO1291*46000</f>
        <v>0</v>
      </c>
      <c r="CQ1291" s="76"/>
      <c r="CR1291" s="76">
        <f>+CQ1291*49000</f>
        <v>0</v>
      </c>
      <c r="CS1291" s="76"/>
      <c r="CT1291" s="76"/>
      <c r="CU1291" s="56">
        <f>AN1291+AP1291+AR1291+AT1291+AV1291+AX1291+AZ1291+BB1291+BD1291+BF1291+BH1291+BJ1291+BL1291+BN1291+BP1291+BR1291+BT1291+BV1291+BX1291+BZ1291+CB1291+CD1291+CF1291+CH1291+CJ1291+CL1291+CN1291+CP1291+CR1291+CT1291</f>
        <v>0</v>
      </c>
      <c r="CV1291" s="76"/>
      <c r="CW1291" s="76">
        <f>+CV1291*1100</f>
        <v>0</v>
      </c>
      <c r="CX1291" s="76"/>
      <c r="CY1291" s="76">
        <f>+CX1291*106250</f>
        <v>0</v>
      </c>
      <c r="CZ1291" s="76"/>
      <c r="DA1291" s="76">
        <f>+CZ1291*34500</f>
        <v>0</v>
      </c>
      <c r="DB1291" s="76"/>
      <c r="DC1291" s="76">
        <f>+DB1291*25000</f>
        <v>0</v>
      </c>
      <c r="DD1291" s="219"/>
      <c r="DE1291" s="219"/>
      <c r="DF1291" s="166"/>
      <c r="DG1291" s="116"/>
      <c r="DH1291" s="117"/>
      <c r="DI1291" s="24"/>
      <c r="DJ1291" s="24"/>
      <c r="DK1291" s="24"/>
      <c r="DL1291" s="24"/>
      <c r="DM1291" s="24"/>
      <c r="DN1291" s="24"/>
      <c r="DO1291" s="24"/>
      <c r="DP1291" s="24"/>
      <c r="DQ1291" s="24"/>
      <c r="DR1291" s="24"/>
      <c r="DS1291" s="24"/>
      <c r="DT1291" s="24"/>
      <c r="DU1291" s="24"/>
    </row>
    <row r="1292" spans="1:125" s="8" customFormat="1" ht="60" x14ac:dyDescent="0.2">
      <c r="A1292" s="226">
        <v>41359</v>
      </c>
      <c r="B1292" s="352" t="s">
        <v>2848</v>
      </c>
      <c r="C1292" s="354" t="s">
        <v>2755</v>
      </c>
      <c r="D1292" s="75" t="s">
        <v>3051</v>
      </c>
      <c r="E1292" s="75" t="str">
        <f>VLOOKUP(B1292&amp;C1292,Divipola!$C$2:$F$1138,4,FALSE)</f>
        <v>73001</v>
      </c>
      <c r="F1292" s="87"/>
      <c r="G1292" s="87"/>
      <c r="H1292" s="87"/>
      <c r="I1292" s="87"/>
      <c r="J1292" s="87"/>
      <c r="K1292" s="87"/>
      <c r="L1292" s="87"/>
      <c r="M1292" s="87"/>
      <c r="N1292" s="87"/>
      <c r="O1292" s="87"/>
      <c r="P1292" s="87"/>
      <c r="Q1292" s="87"/>
      <c r="R1292" s="87"/>
      <c r="S1292" s="87"/>
      <c r="T1292" s="87"/>
      <c r="U1292" s="88"/>
      <c r="V1292" s="89"/>
      <c r="W1292" s="96">
        <v>0</v>
      </c>
      <c r="X1292" s="71">
        <f>CU1292</f>
        <v>0</v>
      </c>
      <c r="Y1292" s="71">
        <f>CY1292</f>
        <v>0</v>
      </c>
      <c r="Z1292" s="71">
        <f>DA1292+DC1292+DE1292</f>
        <v>0</v>
      </c>
      <c r="AA1292" s="71">
        <f>CW1292</f>
        <v>0</v>
      </c>
      <c r="AB1292" s="71"/>
      <c r="AC1292" s="71">
        <v>0</v>
      </c>
      <c r="AD1292" s="71">
        <f>W1292+X1292+Y1292+Z1292+AA1292+AB1292+AC1292</f>
        <v>0</v>
      </c>
      <c r="AE1292" s="72">
        <v>0</v>
      </c>
      <c r="AF1292" s="5"/>
      <c r="AG1292" s="6"/>
      <c r="AH1292" s="27" t="s">
        <v>3392</v>
      </c>
      <c r="AI1292" s="44" t="s">
        <v>3393</v>
      </c>
      <c r="AJ1292" s="26"/>
      <c r="AK1292" s="5"/>
      <c r="AL1292" s="82" t="s">
        <v>4080</v>
      </c>
      <c r="AM1292" s="76"/>
      <c r="AN1292" s="76"/>
      <c r="AO1292" s="76"/>
      <c r="AP1292" s="76"/>
      <c r="AQ1292" s="76"/>
      <c r="AR1292" s="76"/>
      <c r="AS1292" s="76"/>
      <c r="AT1292" s="76"/>
      <c r="AU1292" s="76"/>
      <c r="AV1292" s="76"/>
      <c r="AW1292" s="76"/>
      <c r="AX1292" s="76">
        <f>+AW1292*600000</f>
        <v>0</v>
      </c>
      <c r="AY1292" s="76"/>
      <c r="AZ1292" s="76">
        <f>+AY1292*70000</f>
        <v>0</v>
      </c>
      <c r="BA1292" s="76"/>
      <c r="BB1292" s="76"/>
      <c r="BC1292" s="76"/>
      <c r="BD1292" s="76">
        <f>+BC1292*30000</f>
        <v>0</v>
      </c>
      <c r="BE1292" s="76"/>
      <c r="BF1292" s="76"/>
      <c r="BG1292" s="76"/>
      <c r="BH1292" s="76"/>
      <c r="BI1292" s="76"/>
      <c r="BJ1292" s="76"/>
      <c r="BK1292" s="76"/>
      <c r="BL1292" s="76">
        <f>+BK1292*31500</f>
        <v>0</v>
      </c>
      <c r="BM1292" s="76"/>
      <c r="BN1292" s="76"/>
      <c r="BO1292" s="76"/>
      <c r="BP1292" s="76"/>
      <c r="BQ1292" s="76"/>
      <c r="BR1292" s="76"/>
      <c r="BS1292" s="76"/>
      <c r="BT1292" s="76"/>
      <c r="BU1292" s="76"/>
      <c r="BV1292" s="76"/>
      <c r="BW1292" s="76"/>
      <c r="BX1292" s="76"/>
      <c r="BY1292" s="76"/>
      <c r="BZ1292" s="76"/>
      <c r="CA1292" s="76"/>
      <c r="CB1292" s="76"/>
      <c r="CC1292" s="76"/>
      <c r="CD1292" s="76"/>
      <c r="CE1292" s="76"/>
      <c r="CF1292" s="76">
        <f>+CE1292*28000</f>
        <v>0</v>
      </c>
      <c r="CG1292" s="76"/>
      <c r="CH1292" s="76">
        <f>+CG1292*22500</f>
        <v>0</v>
      </c>
      <c r="CI1292" s="76"/>
      <c r="CJ1292" s="76">
        <f>+CI1292*26000</f>
        <v>0</v>
      </c>
      <c r="CK1292" s="76"/>
      <c r="CL1292" s="76"/>
      <c r="CM1292" s="76"/>
      <c r="CN1292" s="76">
        <f>+CM1292*22000</f>
        <v>0</v>
      </c>
      <c r="CO1292" s="76"/>
      <c r="CP1292" s="76">
        <f>+CO1292*46000</f>
        <v>0</v>
      </c>
      <c r="CQ1292" s="76"/>
      <c r="CR1292" s="76">
        <f>+CQ1292*49000</f>
        <v>0</v>
      </c>
      <c r="CS1292" s="76"/>
      <c r="CT1292" s="76"/>
      <c r="CU1292" s="56">
        <f>AN1292+AP1292+AR1292+AT1292+AV1292+AX1292+AZ1292+BB1292+BD1292+BF1292+BH1292+BJ1292+BL1292+BN1292+BP1292+BR1292+BT1292+BV1292+BX1292+BZ1292+CB1292+CD1292+CF1292+CH1292+CJ1292+CL1292+CN1292+CP1292+CR1292+CT1292</f>
        <v>0</v>
      </c>
      <c r="CV1292" s="76"/>
      <c r="CW1292" s="76">
        <f>+CV1292*1100</f>
        <v>0</v>
      </c>
      <c r="CX1292" s="76"/>
      <c r="CY1292" s="76">
        <f>+CX1292*106250</f>
        <v>0</v>
      </c>
      <c r="CZ1292" s="76"/>
      <c r="DA1292" s="76">
        <f>+CZ1292*34500</f>
        <v>0</v>
      </c>
      <c r="DB1292" s="76"/>
      <c r="DC1292" s="76">
        <f>+DB1292*25000</f>
        <v>0</v>
      </c>
      <c r="DD1292" s="219"/>
      <c r="DE1292" s="219"/>
      <c r="DF1292" s="166"/>
      <c r="DG1292" s="116"/>
      <c r="DH1292" s="117"/>
      <c r="DI1292" s="24"/>
      <c r="DJ1292" s="24"/>
      <c r="DK1292" s="24"/>
      <c r="DL1292" s="24"/>
      <c r="DM1292" s="24"/>
      <c r="DN1292" s="24"/>
      <c r="DO1292" s="24"/>
      <c r="DP1292" s="24"/>
      <c r="DQ1292" s="24"/>
      <c r="DR1292" s="24"/>
      <c r="DS1292" s="24"/>
      <c r="DT1292" s="24"/>
      <c r="DU1292" s="24"/>
    </row>
    <row r="1293" spans="1:125" s="8" customFormat="1" ht="156" x14ac:dyDescent="0.2">
      <c r="A1293" s="77">
        <v>41359</v>
      </c>
      <c r="B1293" s="78" t="s">
        <v>2851</v>
      </c>
      <c r="C1293" s="75" t="s">
        <v>1959</v>
      </c>
      <c r="D1293" s="75" t="s">
        <v>2882</v>
      </c>
      <c r="E1293" s="75" t="str">
        <f>VLOOKUP(B1293&amp;C1293,Divipola!$C$2:$F$1138,4,FALSE)</f>
        <v>76616</v>
      </c>
      <c r="F1293" s="163"/>
      <c r="G1293" s="163"/>
      <c r="H1293" s="163"/>
      <c r="I1293" s="163">
        <v>485</v>
      </c>
      <c r="J1293" s="163">
        <v>97</v>
      </c>
      <c r="K1293" s="163"/>
      <c r="L1293" s="163">
        <v>97</v>
      </c>
      <c r="M1293" s="163"/>
      <c r="N1293" s="163"/>
      <c r="O1293" s="163"/>
      <c r="P1293" s="163"/>
      <c r="Q1293" s="163"/>
      <c r="R1293" s="163"/>
      <c r="S1293" s="163">
        <v>1</v>
      </c>
      <c r="T1293" s="163"/>
      <c r="U1293" s="163"/>
      <c r="V1293" s="89">
        <v>1</v>
      </c>
      <c r="W1293" s="96">
        <v>0</v>
      </c>
      <c r="X1293" s="71">
        <f>CU1293</f>
        <v>0</v>
      </c>
      <c r="Y1293" s="71">
        <f>CY1293</f>
        <v>0</v>
      </c>
      <c r="Z1293" s="71">
        <f>DA1293+DC1293+DE1293</f>
        <v>0</v>
      </c>
      <c r="AA1293" s="71">
        <f>CW1293</f>
        <v>0</v>
      </c>
      <c r="AB1293" s="71"/>
      <c r="AC1293" s="71">
        <v>0</v>
      </c>
      <c r="AD1293" s="71">
        <f>W1293+X1293+Y1293+Z1293+AA1293+AB1293+AC1293</f>
        <v>0</v>
      </c>
      <c r="AE1293" s="72">
        <v>0</v>
      </c>
      <c r="AF1293" s="5"/>
      <c r="AG1293" s="6"/>
      <c r="AH1293" s="27" t="s">
        <v>3390</v>
      </c>
      <c r="AI1293" s="44" t="s">
        <v>3391</v>
      </c>
      <c r="AJ1293" s="26"/>
      <c r="AK1293" s="5"/>
      <c r="AL1293" s="82" t="s">
        <v>4575</v>
      </c>
      <c r="AM1293" s="76"/>
      <c r="AN1293" s="76"/>
      <c r="AO1293" s="76"/>
      <c r="AP1293" s="76"/>
      <c r="AQ1293" s="76"/>
      <c r="AR1293" s="76"/>
      <c r="AS1293" s="76"/>
      <c r="AT1293" s="76"/>
      <c r="AU1293" s="76"/>
      <c r="AV1293" s="76"/>
      <c r="AW1293" s="76"/>
      <c r="AX1293" s="76">
        <f>+AW1293*600000</f>
        <v>0</v>
      </c>
      <c r="AY1293" s="76"/>
      <c r="AZ1293" s="76">
        <f>+AY1293*70000</f>
        <v>0</v>
      </c>
      <c r="BA1293" s="76"/>
      <c r="BB1293" s="76"/>
      <c r="BC1293" s="76"/>
      <c r="BD1293" s="76">
        <f>+BC1293*30000</f>
        <v>0</v>
      </c>
      <c r="BE1293" s="76"/>
      <c r="BF1293" s="76"/>
      <c r="BG1293" s="76"/>
      <c r="BH1293" s="76"/>
      <c r="BI1293" s="76"/>
      <c r="BJ1293" s="76"/>
      <c r="BK1293" s="76"/>
      <c r="BL1293" s="76">
        <f>+BK1293*31500</f>
        <v>0</v>
      </c>
      <c r="BM1293" s="76"/>
      <c r="BN1293" s="76"/>
      <c r="BO1293" s="76"/>
      <c r="BP1293" s="76"/>
      <c r="BQ1293" s="76"/>
      <c r="BR1293" s="76"/>
      <c r="BS1293" s="76"/>
      <c r="BT1293" s="76"/>
      <c r="BU1293" s="76"/>
      <c r="BV1293" s="76"/>
      <c r="BW1293" s="76"/>
      <c r="BX1293" s="76"/>
      <c r="BY1293" s="76"/>
      <c r="BZ1293" s="76"/>
      <c r="CA1293" s="76"/>
      <c r="CB1293" s="76"/>
      <c r="CC1293" s="76"/>
      <c r="CD1293" s="76"/>
      <c r="CE1293" s="76"/>
      <c r="CF1293" s="76">
        <f>+CE1293*28000</f>
        <v>0</v>
      </c>
      <c r="CG1293" s="76"/>
      <c r="CH1293" s="76">
        <f>+CG1293*22500</f>
        <v>0</v>
      </c>
      <c r="CI1293" s="76"/>
      <c r="CJ1293" s="76">
        <f>+CI1293*26000</f>
        <v>0</v>
      </c>
      <c r="CK1293" s="76"/>
      <c r="CL1293" s="76"/>
      <c r="CM1293" s="76"/>
      <c r="CN1293" s="76">
        <f>+CM1293*22000</f>
        <v>0</v>
      </c>
      <c r="CO1293" s="76"/>
      <c r="CP1293" s="76">
        <f>+CO1293*46000</f>
        <v>0</v>
      </c>
      <c r="CQ1293" s="76"/>
      <c r="CR1293" s="76">
        <f>+CQ1293*49000</f>
        <v>0</v>
      </c>
      <c r="CS1293" s="76"/>
      <c r="CT1293" s="76"/>
      <c r="CU1293" s="56">
        <f>AN1293+AP1293+AR1293+AT1293+AV1293+AX1293+AZ1293+BB1293+BD1293+BF1293+BH1293+BJ1293+BL1293+BN1293+BP1293+BR1293+BT1293+BV1293+BX1293+BZ1293+CB1293+CD1293+CF1293+CH1293+CJ1293+CL1293+CN1293+CP1293+CR1293+CT1293</f>
        <v>0</v>
      </c>
      <c r="CV1293" s="76"/>
      <c r="CW1293" s="76">
        <f>+CV1293*1100</f>
        <v>0</v>
      </c>
      <c r="CX1293" s="76"/>
      <c r="CY1293" s="76">
        <f>+CX1293*106250</f>
        <v>0</v>
      </c>
      <c r="CZ1293" s="76"/>
      <c r="DA1293" s="76">
        <f>+CZ1293*34500</f>
        <v>0</v>
      </c>
      <c r="DB1293" s="76"/>
      <c r="DC1293" s="76">
        <f>+DB1293*25000</f>
        <v>0</v>
      </c>
      <c r="DD1293" s="219"/>
      <c r="DE1293" s="219"/>
      <c r="DF1293" s="166"/>
      <c r="DG1293" s="116"/>
      <c r="DH1293" s="117"/>
      <c r="DI1293" s="24"/>
      <c r="DJ1293" s="24"/>
      <c r="DK1293" s="24"/>
      <c r="DL1293" s="24"/>
      <c r="DM1293" s="24"/>
      <c r="DN1293" s="24"/>
      <c r="DO1293" s="24"/>
      <c r="DP1293" s="24"/>
      <c r="DQ1293" s="24"/>
      <c r="DR1293" s="24"/>
      <c r="DS1293" s="24"/>
      <c r="DT1293" s="24"/>
      <c r="DU1293" s="24"/>
    </row>
    <row r="1294" spans="1:125" s="8" customFormat="1" ht="60" x14ac:dyDescent="0.2">
      <c r="A1294" s="77">
        <v>41359</v>
      </c>
      <c r="B1294" s="352" t="s">
        <v>2851</v>
      </c>
      <c r="C1294" s="354" t="s">
        <v>1358</v>
      </c>
      <c r="D1294" s="354" t="s">
        <v>2882</v>
      </c>
      <c r="E1294" s="75" t="str">
        <f>VLOOKUP(B1294&amp;C1294,Divipola!$C$2:$F$1138,4,FALSE)</f>
        <v>76890</v>
      </c>
      <c r="F1294" s="87"/>
      <c r="G1294" s="87"/>
      <c r="H1294" s="87"/>
      <c r="I1294" s="87">
        <f>26*5</f>
        <v>130</v>
      </c>
      <c r="J1294" s="87">
        <v>26</v>
      </c>
      <c r="K1294" s="87"/>
      <c r="L1294" s="87">
        <v>26</v>
      </c>
      <c r="M1294" s="87"/>
      <c r="N1294" s="87"/>
      <c r="O1294" s="87"/>
      <c r="P1294" s="87"/>
      <c r="Q1294" s="87"/>
      <c r="R1294" s="87"/>
      <c r="S1294" s="87"/>
      <c r="T1294" s="87"/>
      <c r="U1294" s="88"/>
      <c r="V1294" s="89"/>
      <c r="W1294" s="96">
        <v>0</v>
      </c>
      <c r="X1294" s="71">
        <f>CU1294</f>
        <v>16099718.880000001</v>
      </c>
      <c r="Y1294" s="71">
        <f>CY1294</f>
        <v>2940070</v>
      </c>
      <c r="Z1294" s="71">
        <f>DA1294+DC1294+DE1294</f>
        <v>18590252.799999997</v>
      </c>
      <c r="AA1294" s="71">
        <f>CW1294</f>
        <v>0</v>
      </c>
      <c r="AB1294" s="71"/>
      <c r="AC1294" s="71">
        <v>0</v>
      </c>
      <c r="AD1294" s="71">
        <f>W1294+X1294+Y1294+Z1294+AA1294+AB1294+AC1294</f>
        <v>37630041.68</v>
      </c>
      <c r="AE1294" s="72">
        <v>0</v>
      </c>
      <c r="AF1294" s="5"/>
      <c r="AG1294" s="6"/>
      <c r="AH1294" s="27" t="s">
        <v>3390</v>
      </c>
      <c r="AI1294" s="44" t="s">
        <v>3391</v>
      </c>
      <c r="AJ1294" s="26"/>
      <c r="AK1294" s="5"/>
      <c r="AL1294" s="82" t="s">
        <v>4181</v>
      </c>
      <c r="AM1294" s="76"/>
      <c r="AN1294" s="76"/>
      <c r="AO1294" s="76"/>
      <c r="AP1294" s="76"/>
      <c r="AQ1294" s="76"/>
      <c r="AR1294" s="76"/>
      <c r="AS1294" s="76"/>
      <c r="AT1294" s="76"/>
      <c r="AU1294" s="76"/>
      <c r="AV1294" s="76"/>
      <c r="AW1294" s="76"/>
      <c r="AX1294" s="76">
        <f>+AW1294*600000</f>
        <v>0</v>
      </c>
      <c r="AY1294" s="86">
        <v>140</v>
      </c>
      <c r="AZ1294" s="86">
        <f>+AY1294*69999.04</f>
        <v>9799865.5999999996</v>
      </c>
      <c r="BA1294" s="76"/>
      <c r="BB1294" s="76"/>
      <c r="BC1294" s="76"/>
      <c r="BD1294" s="76">
        <f>+BC1294*30000</f>
        <v>0</v>
      </c>
      <c r="BE1294" s="76"/>
      <c r="BF1294" s="76"/>
      <c r="BG1294" s="76"/>
      <c r="BH1294" s="76"/>
      <c r="BI1294" s="76"/>
      <c r="BJ1294" s="76"/>
      <c r="BK1294" s="76"/>
      <c r="BL1294" s="76">
        <f>+BK1294*31500</f>
        <v>0</v>
      </c>
      <c r="BM1294" s="76"/>
      <c r="BN1294" s="76"/>
      <c r="BO1294" s="76"/>
      <c r="BP1294" s="76"/>
      <c r="BQ1294" s="76"/>
      <c r="BR1294" s="76"/>
      <c r="BS1294" s="76"/>
      <c r="BT1294" s="76"/>
      <c r="BU1294" s="76"/>
      <c r="BV1294" s="76"/>
      <c r="BW1294" s="76"/>
      <c r="BX1294" s="76"/>
      <c r="BY1294" s="76"/>
      <c r="BZ1294" s="76"/>
      <c r="CA1294" s="76"/>
      <c r="CB1294" s="76"/>
      <c r="CC1294" s="76"/>
      <c r="CD1294" s="76"/>
      <c r="CE1294" s="76"/>
      <c r="CF1294" s="76">
        <f>+CE1294*28000</f>
        <v>0</v>
      </c>
      <c r="CG1294" s="76"/>
      <c r="CH1294" s="76">
        <f>+CG1294*22500</f>
        <v>0</v>
      </c>
      <c r="CI1294" s="86">
        <v>140</v>
      </c>
      <c r="CJ1294" s="86">
        <f>+CI1294*25999.08</f>
        <v>3639871.2</v>
      </c>
      <c r="CK1294" s="76"/>
      <c r="CL1294" s="76"/>
      <c r="CM1294" s="76"/>
      <c r="CN1294" s="76">
        <f>+CM1294*22000</f>
        <v>0</v>
      </c>
      <c r="CO1294" s="86">
        <v>28</v>
      </c>
      <c r="CP1294" s="86">
        <f>+CO1294*45999.8</f>
        <v>1287994.4000000001</v>
      </c>
      <c r="CQ1294" s="86">
        <v>28</v>
      </c>
      <c r="CR1294" s="86">
        <f>+CQ1294*48999.56</f>
        <v>1371987.68</v>
      </c>
      <c r="CS1294" s="76"/>
      <c r="CT1294" s="76"/>
      <c r="CU1294" s="56">
        <f>AN1294+AP1294+AR1294+AT1294+AV1294+AX1294+AZ1294+BB1294+BD1294+BF1294+BH1294+BJ1294+BL1294+BN1294+BP1294+BR1294+BT1294+BV1294+BX1294+BZ1294+CB1294+CD1294+CF1294+CH1294+CJ1294+CL1294+CN1294+CP1294+CR1294+CT1294</f>
        <v>16099718.880000001</v>
      </c>
      <c r="CV1294" s="76"/>
      <c r="CW1294" s="76">
        <f>+CV1294*1100</f>
        <v>0</v>
      </c>
      <c r="CX1294" s="86">
        <v>28</v>
      </c>
      <c r="CY1294" s="86">
        <f>+CX1294*105002.5</f>
        <v>2940070</v>
      </c>
      <c r="CZ1294" s="76"/>
      <c r="DA1294" s="76">
        <f>+CZ1294*34500</f>
        <v>0</v>
      </c>
      <c r="DB1294" s="86">
        <v>560</v>
      </c>
      <c r="DC1294" s="86">
        <f>+DB1294*31999.76+3360*199.52</f>
        <v>18590252.799999997</v>
      </c>
      <c r="DD1294" s="219"/>
      <c r="DE1294" s="219"/>
      <c r="DF1294" s="166"/>
      <c r="DG1294" s="134" t="s">
        <v>5157</v>
      </c>
      <c r="DH1294" s="117"/>
      <c r="DI1294" s="24"/>
      <c r="DJ1294" s="24"/>
      <c r="DK1294" s="24"/>
      <c r="DL1294" s="24"/>
      <c r="DM1294" s="24"/>
      <c r="DN1294" s="24"/>
      <c r="DO1294" s="24"/>
      <c r="DP1294" s="24"/>
      <c r="DQ1294" s="24"/>
      <c r="DR1294" s="24"/>
      <c r="DS1294" s="24"/>
      <c r="DT1294" s="24"/>
      <c r="DU1294" s="24"/>
    </row>
    <row r="1295" spans="1:125" s="8" customFormat="1" ht="84" x14ac:dyDescent="0.2">
      <c r="A1295" s="5">
        <v>41360</v>
      </c>
      <c r="B1295" s="84" t="s">
        <v>2772</v>
      </c>
      <c r="C1295" s="84" t="s">
        <v>2829</v>
      </c>
      <c r="D1295" s="81" t="s">
        <v>2846</v>
      </c>
      <c r="E1295" s="75" t="str">
        <f>VLOOKUP(B1295&amp;C1295,Divipola!$C$2:$F$1138,4,FALSE)</f>
        <v>25372</v>
      </c>
      <c r="F1295" s="89"/>
      <c r="G1295" s="89"/>
      <c r="H1295" s="89"/>
      <c r="I1295" s="89"/>
      <c r="J1295" s="89"/>
      <c r="K1295" s="89"/>
      <c r="L1295" s="89"/>
      <c r="M1295" s="89"/>
      <c r="N1295" s="89"/>
      <c r="O1295" s="89"/>
      <c r="P1295" s="89"/>
      <c r="Q1295" s="89"/>
      <c r="R1295" s="89"/>
      <c r="S1295" s="89"/>
      <c r="T1295" s="89"/>
      <c r="U1295" s="89">
        <v>2</v>
      </c>
      <c r="V1295" s="89"/>
      <c r="W1295" s="96">
        <v>0</v>
      </c>
      <c r="X1295" s="71">
        <f>CU1295</f>
        <v>0</v>
      </c>
      <c r="Y1295" s="71">
        <f>CY1295</f>
        <v>0</v>
      </c>
      <c r="Z1295" s="71">
        <f>DA1295+DC1295+DE1295</f>
        <v>0</v>
      </c>
      <c r="AA1295" s="71">
        <f>CW1295</f>
        <v>0</v>
      </c>
      <c r="AB1295" s="71"/>
      <c r="AC1295" s="71">
        <v>0</v>
      </c>
      <c r="AD1295" s="71">
        <f>W1295+X1295+Y1295+Z1295+AA1295+AB1295+AC1295</f>
        <v>0</v>
      </c>
      <c r="AE1295" s="72">
        <v>0</v>
      </c>
      <c r="AF1295" s="5"/>
      <c r="AG1295" s="6"/>
      <c r="AH1295" s="27" t="s">
        <v>3392</v>
      </c>
      <c r="AI1295" s="44" t="s">
        <v>3393</v>
      </c>
      <c r="AJ1295" s="26"/>
      <c r="AK1295" s="5"/>
      <c r="AL1295" s="82" t="s">
        <v>4144</v>
      </c>
      <c r="AM1295" s="76"/>
      <c r="AN1295" s="76"/>
      <c r="AO1295" s="76"/>
      <c r="AP1295" s="76"/>
      <c r="AQ1295" s="76"/>
      <c r="AR1295" s="76"/>
      <c r="AS1295" s="76"/>
      <c r="AT1295" s="76"/>
      <c r="AU1295" s="76"/>
      <c r="AV1295" s="76"/>
      <c r="AW1295" s="76"/>
      <c r="AX1295" s="76">
        <f>+AW1295*600000</f>
        <v>0</v>
      </c>
      <c r="AY1295" s="76"/>
      <c r="AZ1295" s="76">
        <f>+AY1295*70000</f>
        <v>0</v>
      </c>
      <c r="BA1295" s="76"/>
      <c r="BB1295" s="76"/>
      <c r="BC1295" s="76"/>
      <c r="BD1295" s="76">
        <f>+BC1295*30000</f>
        <v>0</v>
      </c>
      <c r="BE1295" s="76"/>
      <c r="BF1295" s="76"/>
      <c r="BG1295" s="76"/>
      <c r="BH1295" s="76"/>
      <c r="BI1295" s="76"/>
      <c r="BJ1295" s="76"/>
      <c r="BK1295" s="76"/>
      <c r="BL1295" s="76">
        <f>+BK1295*31500</f>
        <v>0</v>
      </c>
      <c r="BM1295" s="76"/>
      <c r="BN1295" s="76"/>
      <c r="BO1295" s="76"/>
      <c r="BP1295" s="76"/>
      <c r="BQ1295" s="76"/>
      <c r="BR1295" s="76"/>
      <c r="BS1295" s="76"/>
      <c r="BT1295" s="76"/>
      <c r="BU1295" s="76"/>
      <c r="BV1295" s="76"/>
      <c r="BW1295" s="76"/>
      <c r="BX1295" s="76"/>
      <c r="BY1295" s="76"/>
      <c r="BZ1295" s="76"/>
      <c r="CA1295" s="76"/>
      <c r="CB1295" s="76"/>
      <c r="CC1295" s="76"/>
      <c r="CD1295" s="76"/>
      <c r="CE1295" s="76"/>
      <c r="CF1295" s="76">
        <f>+CE1295*28000</f>
        <v>0</v>
      </c>
      <c r="CG1295" s="76"/>
      <c r="CH1295" s="76">
        <f>+CG1295*22500</f>
        <v>0</v>
      </c>
      <c r="CI1295" s="76"/>
      <c r="CJ1295" s="76">
        <f>+CI1295*26000</f>
        <v>0</v>
      </c>
      <c r="CK1295" s="76"/>
      <c r="CL1295" s="76"/>
      <c r="CM1295" s="76"/>
      <c r="CN1295" s="76">
        <f>+CM1295*22000</f>
        <v>0</v>
      </c>
      <c r="CO1295" s="76"/>
      <c r="CP1295" s="76">
        <f>+CO1295*46000</f>
        <v>0</v>
      </c>
      <c r="CQ1295" s="76"/>
      <c r="CR1295" s="76">
        <f>+CQ1295*49000</f>
        <v>0</v>
      </c>
      <c r="CS1295" s="76"/>
      <c r="CT1295" s="76"/>
      <c r="CU1295" s="56">
        <f>AN1295+AP1295+AR1295+AT1295+AV1295+AX1295+AZ1295+BB1295+BD1295+BF1295+BH1295+BJ1295+BL1295+BN1295+BP1295+BR1295+BT1295+BV1295+BX1295+BZ1295+CB1295+CD1295+CF1295+CH1295+CJ1295+CL1295+CN1295+CP1295+CR1295+CT1295</f>
        <v>0</v>
      </c>
      <c r="CV1295" s="76"/>
      <c r="CW1295" s="76">
        <f>+CV1295*1100</f>
        <v>0</v>
      </c>
      <c r="CX1295" s="76"/>
      <c r="CY1295" s="76">
        <f>+CX1295*106250</f>
        <v>0</v>
      </c>
      <c r="CZ1295" s="76"/>
      <c r="DA1295" s="76">
        <f>+CZ1295*34500</f>
        <v>0</v>
      </c>
      <c r="DB1295" s="76"/>
      <c r="DC1295" s="76">
        <f>+DB1295*25000</f>
        <v>0</v>
      </c>
      <c r="DD1295" s="219"/>
      <c r="DE1295" s="219"/>
      <c r="DF1295" s="166"/>
      <c r="DG1295" s="116"/>
      <c r="DH1295" s="117"/>
      <c r="DI1295" s="24"/>
      <c r="DJ1295" s="24"/>
      <c r="DK1295" s="24"/>
      <c r="DL1295" s="24"/>
      <c r="DM1295" s="24"/>
      <c r="DN1295" s="24"/>
      <c r="DO1295" s="24"/>
      <c r="DP1295" s="24"/>
      <c r="DQ1295" s="24"/>
      <c r="DR1295" s="24"/>
      <c r="DS1295" s="24"/>
      <c r="DT1295" s="24"/>
      <c r="DU1295" s="24"/>
    </row>
    <row r="1296" spans="1:125" s="8" customFormat="1" ht="84" x14ac:dyDescent="0.2">
      <c r="A1296" s="197">
        <v>41360</v>
      </c>
      <c r="B1296" s="198" t="s">
        <v>2772</v>
      </c>
      <c r="C1296" s="199" t="s">
        <v>1337</v>
      </c>
      <c r="D1296" s="81" t="s">
        <v>2846</v>
      </c>
      <c r="E1296" s="75" t="str">
        <f>VLOOKUP(B1296&amp;C1296,Divipola!$C$2:$F$1138,4,FALSE)</f>
        <v>25407</v>
      </c>
      <c r="F1296" s="200"/>
      <c r="G1296" s="200"/>
      <c r="H1296" s="200"/>
      <c r="I1296" s="200"/>
      <c r="J1296" s="200"/>
      <c r="K1296" s="200"/>
      <c r="L1296" s="200"/>
      <c r="M1296" s="200"/>
      <c r="N1296" s="200"/>
      <c r="O1296" s="200"/>
      <c r="P1296" s="200"/>
      <c r="Q1296" s="200"/>
      <c r="R1296" s="200"/>
      <c r="S1296" s="200"/>
      <c r="T1296" s="200"/>
      <c r="U1296" s="201">
        <v>2</v>
      </c>
      <c r="V1296" s="89"/>
      <c r="W1296" s="96">
        <v>0</v>
      </c>
      <c r="X1296" s="71">
        <f>CU1296</f>
        <v>0</v>
      </c>
      <c r="Y1296" s="71">
        <f>CY1296</f>
        <v>0</v>
      </c>
      <c r="Z1296" s="71">
        <f>DA1296+DC1296+DE1296</f>
        <v>0</v>
      </c>
      <c r="AA1296" s="71">
        <f>CW1296</f>
        <v>0</v>
      </c>
      <c r="AB1296" s="71"/>
      <c r="AC1296" s="71">
        <v>0</v>
      </c>
      <c r="AD1296" s="71">
        <f>W1296+X1296+Y1296+Z1296+AA1296+AB1296+AC1296</f>
        <v>0</v>
      </c>
      <c r="AE1296" s="72">
        <v>0</v>
      </c>
      <c r="AF1296" s="5"/>
      <c r="AG1296" s="6"/>
      <c r="AH1296" s="27" t="s">
        <v>3392</v>
      </c>
      <c r="AI1296" s="44" t="s">
        <v>3393</v>
      </c>
      <c r="AJ1296" s="26"/>
      <c r="AK1296" s="5"/>
      <c r="AL1296" s="82" t="s">
        <v>4142</v>
      </c>
      <c r="AM1296" s="76"/>
      <c r="AN1296" s="76"/>
      <c r="AO1296" s="76"/>
      <c r="AP1296" s="76"/>
      <c r="AQ1296" s="76"/>
      <c r="AR1296" s="76"/>
      <c r="AS1296" s="76"/>
      <c r="AT1296" s="76"/>
      <c r="AU1296" s="76"/>
      <c r="AV1296" s="76"/>
      <c r="AW1296" s="76"/>
      <c r="AX1296" s="76">
        <f>+AW1296*600000</f>
        <v>0</v>
      </c>
      <c r="AY1296" s="76"/>
      <c r="AZ1296" s="76">
        <f>+AY1296*70000</f>
        <v>0</v>
      </c>
      <c r="BA1296" s="76"/>
      <c r="BB1296" s="76"/>
      <c r="BC1296" s="76"/>
      <c r="BD1296" s="76">
        <f>+BC1296*30000</f>
        <v>0</v>
      </c>
      <c r="BE1296" s="76"/>
      <c r="BF1296" s="76"/>
      <c r="BG1296" s="76"/>
      <c r="BH1296" s="76"/>
      <c r="BI1296" s="76"/>
      <c r="BJ1296" s="76"/>
      <c r="BK1296" s="76"/>
      <c r="BL1296" s="76">
        <f>+BK1296*31500</f>
        <v>0</v>
      </c>
      <c r="BM1296" s="76"/>
      <c r="BN1296" s="76"/>
      <c r="BO1296" s="76"/>
      <c r="BP1296" s="76"/>
      <c r="BQ1296" s="76"/>
      <c r="BR1296" s="76"/>
      <c r="BS1296" s="76"/>
      <c r="BT1296" s="76"/>
      <c r="BU1296" s="76"/>
      <c r="BV1296" s="76"/>
      <c r="BW1296" s="76"/>
      <c r="BX1296" s="76"/>
      <c r="BY1296" s="76"/>
      <c r="BZ1296" s="76"/>
      <c r="CA1296" s="76"/>
      <c r="CB1296" s="76"/>
      <c r="CC1296" s="76"/>
      <c r="CD1296" s="76"/>
      <c r="CE1296" s="76"/>
      <c r="CF1296" s="76">
        <f>+CE1296*28000</f>
        <v>0</v>
      </c>
      <c r="CG1296" s="76"/>
      <c r="CH1296" s="76">
        <f>+CG1296*22500</f>
        <v>0</v>
      </c>
      <c r="CI1296" s="76"/>
      <c r="CJ1296" s="76">
        <f>+CI1296*26000</f>
        <v>0</v>
      </c>
      <c r="CK1296" s="76"/>
      <c r="CL1296" s="76"/>
      <c r="CM1296" s="76"/>
      <c r="CN1296" s="76">
        <f>+CM1296*22000</f>
        <v>0</v>
      </c>
      <c r="CO1296" s="76"/>
      <c r="CP1296" s="76">
        <f>+CO1296*46000</f>
        <v>0</v>
      </c>
      <c r="CQ1296" s="76"/>
      <c r="CR1296" s="76">
        <f>+CQ1296*49000</f>
        <v>0</v>
      </c>
      <c r="CS1296" s="76"/>
      <c r="CT1296" s="76"/>
      <c r="CU1296" s="56">
        <f>AN1296+AP1296+AR1296+AT1296+AV1296+AX1296+AZ1296+BB1296+BD1296+BF1296+BH1296+BJ1296+BL1296+BN1296+BP1296+BR1296+BT1296+BV1296+BX1296+BZ1296+CB1296+CD1296+CF1296+CH1296+CJ1296+CL1296+CN1296+CP1296+CR1296+CT1296</f>
        <v>0</v>
      </c>
      <c r="CV1296" s="76"/>
      <c r="CW1296" s="76">
        <f>+CV1296*1100</f>
        <v>0</v>
      </c>
      <c r="CX1296" s="76"/>
      <c r="CY1296" s="76">
        <f>+CX1296*106250</f>
        <v>0</v>
      </c>
      <c r="CZ1296" s="76"/>
      <c r="DA1296" s="76">
        <f>+CZ1296*34500</f>
        <v>0</v>
      </c>
      <c r="DB1296" s="76"/>
      <c r="DC1296" s="76">
        <f>+DB1296*25000</f>
        <v>0</v>
      </c>
      <c r="DD1296" s="219"/>
      <c r="DE1296" s="219"/>
      <c r="DF1296" s="166"/>
      <c r="DG1296" s="116"/>
      <c r="DH1296" s="117"/>
      <c r="DI1296" s="24"/>
      <c r="DJ1296" s="24"/>
      <c r="DK1296" s="24"/>
      <c r="DL1296" s="24"/>
      <c r="DM1296" s="24"/>
      <c r="DN1296" s="24"/>
      <c r="DO1296" s="24"/>
      <c r="DP1296" s="24"/>
      <c r="DQ1296" s="24"/>
      <c r="DR1296" s="24"/>
      <c r="DS1296" s="24"/>
      <c r="DT1296" s="24"/>
      <c r="DU1296" s="24"/>
    </row>
    <row r="1297" spans="1:125" s="8" customFormat="1" ht="60" x14ac:dyDescent="0.2">
      <c r="A1297" s="77">
        <v>41360</v>
      </c>
      <c r="B1297" s="78" t="s">
        <v>2772</v>
      </c>
      <c r="C1297" s="75" t="s">
        <v>1110</v>
      </c>
      <c r="D1297" s="81" t="s">
        <v>2846</v>
      </c>
      <c r="E1297" s="75" t="str">
        <f>VLOOKUP(B1297&amp;C1297,Divipola!$C$2:$F$1138,4,FALSE)</f>
        <v>25436</v>
      </c>
      <c r="F1297" s="87"/>
      <c r="G1297" s="87"/>
      <c r="H1297" s="87"/>
      <c r="I1297" s="87"/>
      <c r="J1297" s="87"/>
      <c r="K1297" s="87"/>
      <c r="L1297" s="87"/>
      <c r="M1297" s="87"/>
      <c r="N1297" s="87"/>
      <c r="O1297" s="87"/>
      <c r="P1297" s="87"/>
      <c r="Q1297" s="87"/>
      <c r="R1297" s="87"/>
      <c r="S1297" s="87"/>
      <c r="T1297" s="87"/>
      <c r="U1297" s="88">
        <v>2</v>
      </c>
      <c r="V1297" s="89"/>
      <c r="W1297" s="96">
        <v>0</v>
      </c>
      <c r="X1297" s="71">
        <f>CU1297</f>
        <v>0</v>
      </c>
      <c r="Y1297" s="71">
        <f>CY1297</f>
        <v>0</v>
      </c>
      <c r="Z1297" s="71">
        <f>DA1297+DC1297+DE1297</f>
        <v>0</v>
      </c>
      <c r="AA1297" s="71">
        <f>CW1297</f>
        <v>0</v>
      </c>
      <c r="AB1297" s="71"/>
      <c r="AC1297" s="71">
        <v>0</v>
      </c>
      <c r="AD1297" s="71">
        <f>W1297+X1297+Y1297+Z1297+AA1297+AB1297+AC1297</f>
        <v>0</v>
      </c>
      <c r="AE1297" s="72">
        <v>0</v>
      </c>
      <c r="AF1297" s="5"/>
      <c r="AG1297" s="6"/>
      <c r="AH1297" s="27" t="s">
        <v>3392</v>
      </c>
      <c r="AI1297" s="44" t="s">
        <v>3393</v>
      </c>
      <c r="AJ1297" s="26"/>
      <c r="AK1297" s="5"/>
      <c r="AL1297" s="82" t="s">
        <v>4143</v>
      </c>
      <c r="AM1297" s="76"/>
      <c r="AN1297" s="76"/>
      <c r="AO1297" s="76"/>
      <c r="AP1297" s="76"/>
      <c r="AQ1297" s="76"/>
      <c r="AR1297" s="76"/>
      <c r="AS1297" s="76"/>
      <c r="AT1297" s="76"/>
      <c r="AU1297" s="76"/>
      <c r="AV1297" s="76"/>
      <c r="AW1297" s="76"/>
      <c r="AX1297" s="76">
        <f>+AW1297*600000</f>
        <v>0</v>
      </c>
      <c r="AY1297" s="76"/>
      <c r="AZ1297" s="76">
        <f>+AY1297*70000</f>
        <v>0</v>
      </c>
      <c r="BA1297" s="76"/>
      <c r="BB1297" s="76"/>
      <c r="BC1297" s="76"/>
      <c r="BD1297" s="76">
        <f>+BC1297*30000</f>
        <v>0</v>
      </c>
      <c r="BE1297" s="76"/>
      <c r="BF1297" s="76"/>
      <c r="BG1297" s="76"/>
      <c r="BH1297" s="76"/>
      <c r="BI1297" s="76"/>
      <c r="BJ1297" s="76"/>
      <c r="BK1297" s="76"/>
      <c r="BL1297" s="76">
        <f>+BK1297*31500</f>
        <v>0</v>
      </c>
      <c r="BM1297" s="76"/>
      <c r="BN1297" s="76"/>
      <c r="BO1297" s="76"/>
      <c r="BP1297" s="76"/>
      <c r="BQ1297" s="76"/>
      <c r="BR1297" s="76"/>
      <c r="BS1297" s="76"/>
      <c r="BT1297" s="76"/>
      <c r="BU1297" s="76"/>
      <c r="BV1297" s="76"/>
      <c r="BW1297" s="76"/>
      <c r="BX1297" s="76"/>
      <c r="BY1297" s="76"/>
      <c r="BZ1297" s="76"/>
      <c r="CA1297" s="76"/>
      <c r="CB1297" s="76"/>
      <c r="CC1297" s="76"/>
      <c r="CD1297" s="76"/>
      <c r="CE1297" s="76"/>
      <c r="CF1297" s="76">
        <f>+CE1297*28000</f>
        <v>0</v>
      </c>
      <c r="CG1297" s="76"/>
      <c r="CH1297" s="76">
        <f>+CG1297*22500</f>
        <v>0</v>
      </c>
      <c r="CI1297" s="76"/>
      <c r="CJ1297" s="76">
        <f>+CI1297*26000</f>
        <v>0</v>
      </c>
      <c r="CK1297" s="76"/>
      <c r="CL1297" s="76"/>
      <c r="CM1297" s="76"/>
      <c r="CN1297" s="76">
        <f>+CM1297*22000</f>
        <v>0</v>
      </c>
      <c r="CO1297" s="76"/>
      <c r="CP1297" s="76">
        <f>+CO1297*46000</f>
        <v>0</v>
      </c>
      <c r="CQ1297" s="76"/>
      <c r="CR1297" s="76">
        <f>+CQ1297*49000</f>
        <v>0</v>
      </c>
      <c r="CS1297" s="76"/>
      <c r="CT1297" s="76"/>
      <c r="CU1297" s="56">
        <f>AN1297+AP1297+AR1297+AT1297+AV1297+AX1297+AZ1297+BB1297+BD1297+BF1297+BH1297+BJ1297+BL1297+BN1297+BP1297+BR1297+BT1297+BV1297+BX1297+BZ1297+CB1297+CD1297+CF1297+CH1297+CJ1297+CL1297+CN1297+CP1297+CR1297+CT1297</f>
        <v>0</v>
      </c>
      <c r="CV1297" s="76"/>
      <c r="CW1297" s="76">
        <f>+CV1297*1100</f>
        <v>0</v>
      </c>
      <c r="CX1297" s="76"/>
      <c r="CY1297" s="76">
        <f>+CX1297*106250</f>
        <v>0</v>
      </c>
      <c r="CZ1297" s="76"/>
      <c r="DA1297" s="76">
        <f>+CZ1297*34500</f>
        <v>0</v>
      </c>
      <c r="DB1297" s="76"/>
      <c r="DC1297" s="76">
        <f>+DB1297*25000</f>
        <v>0</v>
      </c>
      <c r="DD1297" s="219"/>
      <c r="DE1297" s="219"/>
      <c r="DF1297" s="166"/>
      <c r="DG1297" s="116"/>
      <c r="DH1297" s="117"/>
      <c r="DI1297" s="24"/>
      <c r="DJ1297" s="24"/>
      <c r="DK1297" s="24"/>
      <c r="DL1297" s="24"/>
      <c r="DM1297" s="24"/>
      <c r="DN1297" s="24"/>
      <c r="DO1297" s="24"/>
      <c r="DP1297" s="24"/>
      <c r="DQ1297" s="24"/>
      <c r="DR1297" s="24"/>
      <c r="DS1297" s="24"/>
      <c r="DT1297" s="24"/>
      <c r="DU1297" s="24"/>
    </row>
    <row r="1298" spans="1:125" s="8" customFormat="1" ht="48" x14ac:dyDescent="0.2">
      <c r="A1298" s="77">
        <v>41360</v>
      </c>
      <c r="B1298" s="78" t="s">
        <v>2661</v>
      </c>
      <c r="C1298" s="75" t="s">
        <v>2808</v>
      </c>
      <c r="D1298" s="75" t="s">
        <v>3205</v>
      </c>
      <c r="E1298" s="75" t="str">
        <f>VLOOKUP(B1298&amp;C1298,Divipola!$C$2:$F$1138,4,FALSE)</f>
        <v>41359</v>
      </c>
      <c r="F1298" s="163"/>
      <c r="G1298" s="163"/>
      <c r="H1298" s="163"/>
      <c r="I1298" s="163"/>
      <c r="J1298" s="163"/>
      <c r="K1298" s="163"/>
      <c r="L1298" s="163"/>
      <c r="M1298" s="163"/>
      <c r="N1298" s="163"/>
      <c r="O1298" s="163"/>
      <c r="P1298" s="163"/>
      <c r="Q1298" s="163"/>
      <c r="R1298" s="163"/>
      <c r="S1298" s="163"/>
      <c r="T1298" s="163"/>
      <c r="U1298" s="163"/>
      <c r="V1298" s="134"/>
      <c r="W1298" s="96">
        <v>26250000</v>
      </c>
      <c r="X1298" s="71">
        <f>CU1298</f>
        <v>0</v>
      </c>
      <c r="Y1298" s="71">
        <f>CY1298</f>
        <v>0</v>
      </c>
      <c r="Z1298" s="71">
        <f>DA1298+DC1298+DE1298</f>
        <v>0</v>
      </c>
      <c r="AA1298" s="71">
        <f>CW1298</f>
        <v>0</v>
      </c>
      <c r="AB1298" s="71"/>
      <c r="AC1298" s="71">
        <v>0</v>
      </c>
      <c r="AD1298" s="71">
        <f>W1298+X1298+Y1298+Z1298+AA1298+AB1298+AC1298</f>
        <v>26250000</v>
      </c>
      <c r="AE1298" s="72">
        <v>0</v>
      </c>
      <c r="AF1298" s="5"/>
      <c r="AG1298" s="6"/>
      <c r="AH1298" s="27" t="s">
        <v>3390</v>
      </c>
      <c r="AI1298" s="44" t="s">
        <v>3391</v>
      </c>
      <c r="AJ1298" s="26"/>
      <c r="AK1298" s="5"/>
      <c r="AL1298" s="82" t="s">
        <v>4083</v>
      </c>
      <c r="AM1298" s="76"/>
      <c r="AN1298" s="76"/>
      <c r="AO1298" s="76"/>
      <c r="AP1298" s="76"/>
      <c r="AQ1298" s="76"/>
      <c r="AR1298" s="76"/>
      <c r="AS1298" s="76"/>
      <c r="AT1298" s="76"/>
      <c r="AU1298" s="76"/>
      <c r="AV1298" s="76"/>
      <c r="AW1298" s="76"/>
      <c r="AX1298" s="76">
        <f>+AW1298*600000</f>
        <v>0</v>
      </c>
      <c r="AY1298" s="76"/>
      <c r="AZ1298" s="76">
        <f>+AY1298*70000</f>
        <v>0</v>
      </c>
      <c r="BA1298" s="76"/>
      <c r="BB1298" s="76"/>
      <c r="BC1298" s="76"/>
      <c r="BD1298" s="76">
        <f>+BC1298*30000</f>
        <v>0</v>
      </c>
      <c r="BE1298" s="76"/>
      <c r="BF1298" s="76"/>
      <c r="BG1298" s="76"/>
      <c r="BH1298" s="76"/>
      <c r="BI1298" s="76"/>
      <c r="BJ1298" s="76"/>
      <c r="BK1298" s="76"/>
      <c r="BL1298" s="76">
        <f>+BK1298*31500</f>
        <v>0</v>
      </c>
      <c r="BM1298" s="76"/>
      <c r="BN1298" s="76"/>
      <c r="BO1298" s="76"/>
      <c r="BP1298" s="76"/>
      <c r="BQ1298" s="76"/>
      <c r="BR1298" s="76"/>
      <c r="BS1298" s="76"/>
      <c r="BT1298" s="76"/>
      <c r="BU1298" s="76"/>
      <c r="BV1298" s="76"/>
      <c r="BW1298" s="76"/>
      <c r="BX1298" s="76"/>
      <c r="BY1298" s="76"/>
      <c r="BZ1298" s="76"/>
      <c r="CA1298" s="76"/>
      <c r="CB1298" s="76"/>
      <c r="CC1298" s="76"/>
      <c r="CD1298" s="76"/>
      <c r="CE1298" s="76"/>
      <c r="CF1298" s="76">
        <f>+CE1298*28000</f>
        <v>0</v>
      </c>
      <c r="CG1298" s="76"/>
      <c r="CH1298" s="76">
        <f>+CG1298*22500</f>
        <v>0</v>
      </c>
      <c r="CI1298" s="76"/>
      <c r="CJ1298" s="76">
        <f>+CI1298*26000</f>
        <v>0</v>
      </c>
      <c r="CK1298" s="76"/>
      <c r="CL1298" s="76"/>
      <c r="CM1298" s="76"/>
      <c r="CN1298" s="76">
        <f>+CM1298*22000</f>
        <v>0</v>
      </c>
      <c r="CO1298" s="76"/>
      <c r="CP1298" s="76">
        <f>+CO1298*46000</f>
        <v>0</v>
      </c>
      <c r="CQ1298" s="76"/>
      <c r="CR1298" s="76">
        <f>+CQ1298*49000</f>
        <v>0</v>
      </c>
      <c r="CS1298" s="76"/>
      <c r="CT1298" s="76"/>
      <c r="CU1298" s="56">
        <f>AN1298+AP1298+AR1298+AT1298+AV1298+AX1298+AZ1298+BB1298+BD1298+BF1298+BH1298+BJ1298+BL1298+BN1298+BP1298+BR1298+BT1298+BV1298+BX1298+BZ1298+CB1298+CD1298+CF1298+CH1298+CJ1298+CL1298+CN1298+CP1298+CR1298+CT1298</f>
        <v>0</v>
      </c>
      <c r="CV1298" s="76"/>
      <c r="CW1298" s="76">
        <f>+CV1298*1100</f>
        <v>0</v>
      </c>
      <c r="CX1298" s="76"/>
      <c r="CY1298" s="76">
        <f>+CX1298*106250</f>
        <v>0</v>
      </c>
      <c r="CZ1298" s="76"/>
      <c r="DA1298" s="76">
        <f>+CZ1298*34500</f>
        <v>0</v>
      </c>
      <c r="DB1298" s="76"/>
      <c r="DC1298" s="76">
        <f>+DB1298*25000</f>
        <v>0</v>
      </c>
      <c r="DD1298" s="219"/>
      <c r="DE1298" s="219"/>
      <c r="DF1298" s="166"/>
      <c r="DG1298" s="116"/>
      <c r="DH1298" s="117"/>
      <c r="DI1298" s="24"/>
      <c r="DJ1298" s="24"/>
      <c r="DK1298" s="24"/>
      <c r="DL1298" s="24"/>
      <c r="DM1298" s="24"/>
      <c r="DN1298" s="24"/>
      <c r="DO1298" s="24"/>
      <c r="DP1298" s="24"/>
      <c r="DQ1298" s="24"/>
      <c r="DR1298" s="24"/>
      <c r="DS1298" s="24"/>
      <c r="DT1298" s="24"/>
      <c r="DU1298" s="24"/>
    </row>
    <row r="1299" spans="1:125" s="8" customFormat="1" ht="84" x14ac:dyDescent="0.2">
      <c r="A1299" s="353">
        <v>41360</v>
      </c>
      <c r="B1299" s="352" t="s">
        <v>2906</v>
      </c>
      <c r="C1299" s="354" t="s">
        <v>2739</v>
      </c>
      <c r="D1299" s="81" t="s">
        <v>2846</v>
      </c>
      <c r="E1299" s="75" t="str">
        <f>VLOOKUP(B1299&amp;C1299,Divipola!$C$2:$F$1138,4,FALSE)</f>
        <v>47001</v>
      </c>
      <c r="F1299" s="87"/>
      <c r="G1299" s="87"/>
      <c r="H1299" s="87"/>
      <c r="I1299" s="87"/>
      <c r="J1299" s="87"/>
      <c r="K1299" s="87"/>
      <c r="L1299" s="87"/>
      <c r="M1299" s="87"/>
      <c r="N1299" s="87"/>
      <c r="O1299" s="87"/>
      <c r="P1299" s="87"/>
      <c r="Q1299" s="87"/>
      <c r="R1299" s="87"/>
      <c r="S1299" s="87"/>
      <c r="T1299" s="87"/>
      <c r="U1299" s="88">
        <v>1</v>
      </c>
      <c r="V1299" s="89"/>
      <c r="W1299" s="96">
        <v>0</v>
      </c>
      <c r="X1299" s="71">
        <f>CU1299</f>
        <v>0</v>
      </c>
      <c r="Y1299" s="71">
        <f>CY1299</f>
        <v>0</v>
      </c>
      <c r="Z1299" s="71">
        <f>DA1299+DC1299+DE1299</f>
        <v>0</v>
      </c>
      <c r="AA1299" s="71">
        <f>CW1299</f>
        <v>0</v>
      </c>
      <c r="AB1299" s="71"/>
      <c r="AC1299" s="71">
        <v>0</v>
      </c>
      <c r="AD1299" s="71">
        <f>W1299+X1299+Y1299+Z1299+AA1299+AB1299+AC1299</f>
        <v>0</v>
      </c>
      <c r="AE1299" s="72">
        <v>0</v>
      </c>
      <c r="AF1299" s="5"/>
      <c r="AG1299" s="6"/>
      <c r="AH1299" s="27" t="s">
        <v>3392</v>
      </c>
      <c r="AI1299" s="44" t="s">
        <v>3393</v>
      </c>
      <c r="AJ1299" s="26"/>
      <c r="AK1299" s="5"/>
      <c r="AL1299" s="82" t="s">
        <v>4108</v>
      </c>
      <c r="AM1299" s="76"/>
      <c r="AN1299" s="76"/>
      <c r="AO1299" s="76"/>
      <c r="AP1299" s="76"/>
      <c r="AQ1299" s="76"/>
      <c r="AR1299" s="76"/>
      <c r="AS1299" s="76"/>
      <c r="AT1299" s="76"/>
      <c r="AU1299" s="76"/>
      <c r="AV1299" s="76"/>
      <c r="AW1299" s="76"/>
      <c r="AX1299" s="76">
        <f>+AW1299*600000</f>
        <v>0</v>
      </c>
      <c r="AY1299" s="76"/>
      <c r="AZ1299" s="76">
        <f>+AY1299*70000</f>
        <v>0</v>
      </c>
      <c r="BA1299" s="76"/>
      <c r="BB1299" s="76"/>
      <c r="BC1299" s="76"/>
      <c r="BD1299" s="76">
        <f>+BC1299*30000</f>
        <v>0</v>
      </c>
      <c r="BE1299" s="76"/>
      <c r="BF1299" s="76"/>
      <c r="BG1299" s="76"/>
      <c r="BH1299" s="76"/>
      <c r="BI1299" s="76"/>
      <c r="BJ1299" s="76"/>
      <c r="BK1299" s="76"/>
      <c r="BL1299" s="76">
        <f>+BK1299*31500</f>
        <v>0</v>
      </c>
      <c r="BM1299" s="76"/>
      <c r="BN1299" s="76"/>
      <c r="BO1299" s="76"/>
      <c r="BP1299" s="76"/>
      <c r="BQ1299" s="76"/>
      <c r="BR1299" s="76"/>
      <c r="BS1299" s="76"/>
      <c r="BT1299" s="76"/>
      <c r="BU1299" s="76"/>
      <c r="BV1299" s="76"/>
      <c r="BW1299" s="76"/>
      <c r="BX1299" s="76"/>
      <c r="BY1299" s="76"/>
      <c r="BZ1299" s="76"/>
      <c r="CA1299" s="76"/>
      <c r="CB1299" s="76"/>
      <c r="CC1299" s="76"/>
      <c r="CD1299" s="76"/>
      <c r="CE1299" s="76"/>
      <c r="CF1299" s="76">
        <f>+CE1299*28000</f>
        <v>0</v>
      </c>
      <c r="CG1299" s="76"/>
      <c r="CH1299" s="76">
        <f>+CG1299*22500</f>
        <v>0</v>
      </c>
      <c r="CI1299" s="76"/>
      <c r="CJ1299" s="76">
        <f>+CI1299*26000</f>
        <v>0</v>
      </c>
      <c r="CK1299" s="76"/>
      <c r="CL1299" s="76"/>
      <c r="CM1299" s="76"/>
      <c r="CN1299" s="76">
        <f>+CM1299*22000</f>
        <v>0</v>
      </c>
      <c r="CO1299" s="76"/>
      <c r="CP1299" s="76">
        <f>+CO1299*46000</f>
        <v>0</v>
      </c>
      <c r="CQ1299" s="76"/>
      <c r="CR1299" s="76">
        <f>+CQ1299*49000</f>
        <v>0</v>
      </c>
      <c r="CS1299" s="76"/>
      <c r="CT1299" s="76"/>
      <c r="CU1299" s="56">
        <f>AN1299+AP1299+AR1299+AT1299+AV1299+AX1299+AZ1299+BB1299+BD1299+BF1299+BH1299+BJ1299+BL1299+BN1299+BP1299+BR1299+BT1299+BV1299+BX1299+BZ1299+CB1299+CD1299+CF1299+CH1299+CJ1299+CL1299+CN1299+CP1299+CR1299+CT1299</f>
        <v>0</v>
      </c>
      <c r="CV1299" s="76"/>
      <c r="CW1299" s="76">
        <f>+CV1299*1100</f>
        <v>0</v>
      </c>
      <c r="CX1299" s="76"/>
      <c r="CY1299" s="76">
        <f>+CX1299*106250</f>
        <v>0</v>
      </c>
      <c r="CZ1299" s="76"/>
      <c r="DA1299" s="76">
        <f>+CZ1299*34500</f>
        <v>0</v>
      </c>
      <c r="DB1299" s="76"/>
      <c r="DC1299" s="76">
        <f>+DB1299*25000</f>
        <v>0</v>
      </c>
      <c r="DD1299" s="219"/>
      <c r="DE1299" s="219"/>
      <c r="DF1299" s="166"/>
      <c r="DG1299" s="116"/>
      <c r="DH1299" s="117"/>
      <c r="DI1299" s="24"/>
      <c r="DJ1299" s="24"/>
      <c r="DK1299" s="24"/>
      <c r="DL1299" s="24"/>
      <c r="DM1299" s="24"/>
      <c r="DN1299" s="24"/>
      <c r="DO1299" s="24"/>
      <c r="DP1299" s="24"/>
      <c r="DQ1299" s="24"/>
      <c r="DR1299" s="24"/>
      <c r="DS1299" s="24"/>
      <c r="DT1299" s="24"/>
      <c r="DU1299" s="24"/>
    </row>
    <row r="1300" spans="1:125" s="8" customFormat="1" ht="84" x14ac:dyDescent="0.2">
      <c r="A1300" s="353">
        <v>41360</v>
      </c>
      <c r="B1300" s="352" t="s">
        <v>2811</v>
      </c>
      <c r="C1300" s="354" t="s">
        <v>2065</v>
      </c>
      <c r="D1300" s="81" t="s">
        <v>2846</v>
      </c>
      <c r="E1300" s="75" t="str">
        <f>VLOOKUP(B1300&amp;C1300,Divipola!$C$2:$F$1138,4,FALSE)</f>
        <v>52683</v>
      </c>
      <c r="F1300" s="87"/>
      <c r="G1300" s="87"/>
      <c r="H1300" s="87"/>
      <c r="I1300" s="87">
        <v>25</v>
      </c>
      <c r="J1300" s="87">
        <v>5</v>
      </c>
      <c r="K1300" s="87"/>
      <c r="L1300" s="87">
        <v>1</v>
      </c>
      <c r="M1300" s="87"/>
      <c r="N1300" s="87"/>
      <c r="O1300" s="87"/>
      <c r="P1300" s="87"/>
      <c r="Q1300" s="87"/>
      <c r="R1300" s="87"/>
      <c r="S1300" s="87"/>
      <c r="T1300" s="87"/>
      <c r="U1300" s="88">
        <v>5</v>
      </c>
      <c r="V1300" s="89"/>
      <c r="W1300" s="96">
        <v>0</v>
      </c>
      <c r="X1300" s="71">
        <f>CU1300</f>
        <v>0</v>
      </c>
      <c r="Y1300" s="71">
        <f>CY1300</f>
        <v>0</v>
      </c>
      <c r="Z1300" s="71">
        <f>DA1300+DC1300+DE1300</f>
        <v>0</v>
      </c>
      <c r="AA1300" s="71">
        <f>CW1300</f>
        <v>0</v>
      </c>
      <c r="AB1300" s="71"/>
      <c r="AC1300" s="71">
        <v>0</v>
      </c>
      <c r="AD1300" s="71">
        <f>W1300+X1300+Y1300+Z1300+AA1300+AB1300+AC1300</f>
        <v>0</v>
      </c>
      <c r="AE1300" s="72">
        <v>0</v>
      </c>
      <c r="AF1300" s="5"/>
      <c r="AG1300" s="6"/>
      <c r="AH1300" s="27" t="s">
        <v>3392</v>
      </c>
      <c r="AI1300" s="44" t="s">
        <v>3393</v>
      </c>
      <c r="AJ1300" s="26"/>
      <c r="AK1300" s="5"/>
      <c r="AL1300" s="82" t="s">
        <v>4104</v>
      </c>
      <c r="AM1300" s="76"/>
      <c r="AN1300" s="76"/>
      <c r="AO1300" s="76"/>
      <c r="AP1300" s="76"/>
      <c r="AQ1300" s="76"/>
      <c r="AR1300" s="76"/>
      <c r="AS1300" s="76"/>
      <c r="AT1300" s="76"/>
      <c r="AU1300" s="76"/>
      <c r="AV1300" s="76"/>
      <c r="AW1300" s="76"/>
      <c r="AX1300" s="76">
        <f>+AW1300*600000</f>
        <v>0</v>
      </c>
      <c r="AY1300" s="76"/>
      <c r="AZ1300" s="76">
        <f>+AY1300*70000</f>
        <v>0</v>
      </c>
      <c r="BA1300" s="76"/>
      <c r="BB1300" s="76"/>
      <c r="BC1300" s="76"/>
      <c r="BD1300" s="76">
        <f>+BC1300*30000</f>
        <v>0</v>
      </c>
      <c r="BE1300" s="76"/>
      <c r="BF1300" s="76"/>
      <c r="BG1300" s="76"/>
      <c r="BH1300" s="76"/>
      <c r="BI1300" s="76"/>
      <c r="BJ1300" s="76"/>
      <c r="BK1300" s="76"/>
      <c r="BL1300" s="76">
        <f>+BK1300*31500</f>
        <v>0</v>
      </c>
      <c r="BM1300" s="76"/>
      <c r="BN1300" s="76"/>
      <c r="BO1300" s="76"/>
      <c r="BP1300" s="76"/>
      <c r="BQ1300" s="76"/>
      <c r="BR1300" s="76"/>
      <c r="BS1300" s="76"/>
      <c r="BT1300" s="76"/>
      <c r="BU1300" s="76"/>
      <c r="BV1300" s="76"/>
      <c r="BW1300" s="76"/>
      <c r="BX1300" s="76"/>
      <c r="BY1300" s="76"/>
      <c r="BZ1300" s="76"/>
      <c r="CA1300" s="76"/>
      <c r="CB1300" s="76"/>
      <c r="CC1300" s="76"/>
      <c r="CD1300" s="76"/>
      <c r="CE1300" s="76"/>
      <c r="CF1300" s="76">
        <f>+CE1300*28000</f>
        <v>0</v>
      </c>
      <c r="CG1300" s="76"/>
      <c r="CH1300" s="76">
        <f>+CG1300*22500</f>
        <v>0</v>
      </c>
      <c r="CI1300" s="76"/>
      <c r="CJ1300" s="76">
        <f>+CI1300*26000</f>
        <v>0</v>
      </c>
      <c r="CK1300" s="76"/>
      <c r="CL1300" s="76"/>
      <c r="CM1300" s="76"/>
      <c r="CN1300" s="76">
        <f>+CM1300*22000</f>
        <v>0</v>
      </c>
      <c r="CO1300" s="76"/>
      <c r="CP1300" s="76">
        <f>+CO1300*46000</f>
        <v>0</v>
      </c>
      <c r="CQ1300" s="76"/>
      <c r="CR1300" s="76">
        <f>+CQ1300*49000</f>
        <v>0</v>
      </c>
      <c r="CS1300" s="76"/>
      <c r="CT1300" s="76"/>
      <c r="CU1300" s="56">
        <f>AN1300+AP1300+AR1300+AT1300+AV1300+AX1300+AZ1300+BB1300+BD1300+BF1300+BH1300+BJ1300+BL1300+BN1300+BP1300+BR1300+BT1300+BV1300+BX1300+BZ1300+CB1300+CD1300+CF1300+CH1300+CJ1300+CL1300+CN1300+CP1300+CR1300+CT1300</f>
        <v>0</v>
      </c>
      <c r="CV1300" s="76"/>
      <c r="CW1300" s="76">
        <f>+CV1300*1100</f>
        <v>0</v>
      </c>
      <c r="CX1300" s="76"/>
      <c r="CY1300" s="76">
        <f>+CX1300*106250</f>
        <v>0</v>
      </c>
      <c r="CZ1300" s="76"/>
      <c r="DA1300" s="76">
        <f>+CZ1300*34500</f>
        <v>0</v>
      </c>
      <c r="DB1300" s="76"/>
      <c r="DC1300" s="76">
        <f>+DB1300*25000</f>
        <v>0</v>
      </c>
      <c r="DD1300" s="219"/>
      <c r="DE1300" s="219"/>
      <c r="DF1300" s="166"/>
      <c r="DG1300" s="116"/>
      <c r="DH1300" s="117"/>
      <c r="DI1300" s="24"/>
      <c r="DJ1300" s="24"/>
      <c r="DK1300" s="24"/>
      <c r="DL1300" s="24"/>
      <c r="DM1300" s="24"/>
      <c r="DN1300" s="24"/>
      <c r="DO1300" s="24"/>
      <c r="DP1300" s="24"/>
      <c r="DQ1300" s="24"/>
      <c r="DR1300" s="24"/>
      <c r="DS1300" s="24"/>
      <c r="DT1300" s="24"/>
      <c r="DU1300" s="24"/>
    </row>
    <row r="1301" spans="1:125" s="8" customFormat="1" ht="132" x14ac:dyDescent="0.2">
      <c r="A1301" s="77">
        <v>41360</v>
      </c>
      <c r="B1301" s="78" t="s">
        <v>2847</v>
      </c>
      <c r="C1301" s="75" t="s">
        <v>355</v>
      </c>
      <c r="D1301" s="81" t="s">
        <v>2846</v>
      </c>
      <c r="E1301" s="75" t="str">
        <f>VLOOKUP(B1301&amp;C1301,Divipola!$C$2:$F$1138,4,FALSE)</f>
        <v>68296</v>
      </c>
      <c r="F1301" s="87"/>
      <c r="G1301" s="87"/>
      <c r="H1301" s="87"/>
      <c r="I1301" s="87"/>
      <c r="J1301" s="87"/>
      <c r="K1301" s="87"/>
      <c r="L1301" s="87"/>
      <c r="M1301" s="87"/>
      <c r="N1301" s="87"/>
      <c r="O1301" s="87"/>
      <c r="P1301" s="87"/>
      <c r="Q1301" s="87"/>
      <c r="R1301" s="87"/>
      <c r="S1301" s="87"/>
      <c r="T1301" s="87"/>
      <c r="U1301" s="88">
        <v>8</v>
      </c>
      <c r="V1301" s="89"/>
      <c r="W1301" s="96">
        <v>0</v>
      </c>
      <c r="X1301" s="71">
        <f>CU1301</f>
        <v>0</v>
      </c>
      <c r="Y1301" s="71">
        <f>CY1301</f>
        <v>0</v>
      </c>
      <c r="Z1301" s="71">
        <f>DA1301+DC1301+DE1301</f>
        <v>0</v>
      </c>
      <c r="AA1301" s="71">
        <f>CW1301</f>
        <v>0</v>
      </c>
      <c r="AB1301" s="71"/>
      <c r="AC1301" s="71">
        <v>0</v>
      </c>
      <c r="AD1301" s="71">
        <f>W1301+X1301+Y1301+Z1301+AA1301+AB1301+AC1301</f>
        <v>0</v>
      </c>
      <c r="AE1301" s="72">
        <v>0</v>
      </c>
      <c r="AF1301" s="5"/>
      <c r="AG1301" s="6"/>
      <c r="AH1301" s="27" t="s">
        <v>3392</v>
      </c>
      <c r="AI1301" s="44" t="s">
        <v>3393</v>
      </c>
      <c r="AJ1301" s="26"/>
      <c r="AK1301" s="5"/>
      <c r="AL1301" s="82" t="s">
        <v>4737</v>
      </c>
      <c r="AM1301" s="76"/>
      <c r="AN1301" s="76"/>
      <c r="AO1301" s="76"/>
      <c r="AP1301" s="76"/>
      <c r="AQ1301" s="76"/>
      <c r="AR1301" s="76"/>
      <c r="AS1301" s="76"/>
      <c r="AT1301" s="76"/>
      <c r="AU1301" s="76"/>
      <c r="AV1301" s="76"/>
      <c r="AW1301" s="76"/>
      <c r="AX1301" s="76">
        <f>+AW1301*600000</f>
        <v>0</v>
      </c>
      <c r="AY1301" s="76"/>
      <c r="AZ1301" s="76">
        <f>+AY1301*70000</f>
        <v>0</v>
      </c>
      <c r="BA1301" s="76"/>
      <c r="BB1301" s="76"/>
      <c r="BC1301" s="76"/>
      <c r="BD1301" s="76">
        <f>+BC1301*30000</f>
        <v>0</v>
      </c>
      <c r="BE1301" s="76"/>
      <c r="BF1301" s="76"/>
      <c r="BG1301" s="76"/>
      <c r="BH1301" s="76"/>
      <c r="BI1301" s="76"/>
      <c r="BJ1301" s="76"/>
      <c r="BK1301" s="76"/>
      <c r="BL1301" s="76">
        <f>+BK1301*31500</f>
        <v>0</v>
      </c>
      <c r="BM1301" s="76"/>
      <c r="BN1301" s="76"/>
      <c r="BO1301" s="76"/>
      <c r="BP1301" s="76"/>
      <c r="BQ1301" s="76"/>
      <c r="BR1301" s="76"/>
      <c r="BS1301" s="76"/>
      <c r="BT1301" s="76"/>
      <c r="BU1301" s="76"/>
      <c r="BV1301" s="76"/>
      <c r="BW1301" s="76"/>
      <c r="BX1301" s="76"/>
      <c r="BY1301" s="76"/>
      <c r="BZ1301" s="76"/>
      <c r="CA1301" s="76"/>
      <c r="CB1301" s="76"/>
      <c r="CC1301" s="76"/>
      <c r="CD1301" s="76"/>
      <c r="CE1301" s="76"/>
      <c r="CF1301" s="76">
        <f>+CE1301*28000</f>
        <v>0</v>
      </c>
      <c r="CG1301" s="76"/>
      <c r="CH1301" s="76">
        <f>+CG1301*22500</f>
        <v>0</v>
      </c>
      <c r="CI1301" s="76"/>
      <c r="CJ1301" s="76">
        <f>+CI1301*26000</f>
        <v>0</v>
      </c>
      <c r="CK1301" s="76"/>
      <c r="CL1301" s="76"/>
      <c r="CM1301" s="76"/>
      <c r="CN1301" s="76">
        <f>+CM1301*22000</f>
        <v>0</v>
      </c>
      <c r="CO1301" s="76"/>
      <c r="CP1301" s="76">
        <f>+CO1301*46000</f>
        <v>0</v>
      </c>
      <c r="CQ1301" s="76"/>
      <c r="CR1301" s="76">
        <f>+CQ1301*49000</f>
        <v>0</v>
      </c>
      <c r="CS1301" s="76"/>
      <c r="CT1301" s="76"/>
      <c r="CU1301" s="56">
        <f>AN1301+AP1301+AR1301+AT1301+AV1301+AX1301+AZ1301+BB1301+BD1301+BF1301+BH1301+BJ1301+BL1301+BN1301+BP1301+BR1301+BT1301+BV1301+BX1301+BZ1301+CB1301+CD1301+CF1301+CH1301+CJ1301+CL1301+CN1301+CP1301+CR1301+CT1301</f>
        <v>0</v>
      </c>
      <c r="CV1301" s="76"/>
      <c r="CW1301" s="76">
        <f>+CV1301*1100</f>
        <v>0</v>
      </c>
      <c r="CX1301" s="76"/>
      <c r="CY1301" s="76">
        <f>+CX1301*106250</f>
        <v>0</v>
      </c>
      <c r="CZ1301" s="76"/>
      <c r="DA1301" s="76">
        <f>+CZ1301*34500</f>
        <v>0</v>
      </c>
      <c r="DB1301" s="76"/>
      <c r="DC1301" s="76">
        <f>+DB1301*25000</f>
        <v>0</v>
      </c>
      <c r="DD1301" s="219"/>
      <c r="DE1301" s="219"/>
      <c r="DF1301" s="166"/>
      <c r="DG1301" s="116"/>
      <c r="DH1301" s="117"/>
      <c r="DI1301" s="24"/>
      <c r="DJ1301" s="24"/>
      <c r="DK1301" s="24"/>
      <c r="DL1301" s="24"/>
      <c r="DM1301" s="24"/>
      <c r="DN1301" s="24"/>
      <c r="DO1301" s="24"/>
      <c r="DP1301" s="24"/>
      <c r="DQ1301" s="24"/>
      <c r="DR1301" s="24"/>
      <c r="DS1301" s="24"/>
      <c r="DT1301" s="24"/>
      <c r="DU1301" s="24"/>
    </row>
    <row r="1302" spans="1:125" s="8" customFormat="1" ht="96" x14ac:dyDescent="0.2">
      <c r="A1302" s="353">
        <v>41360</v>
      </c>
      <c r="B1302" s="352" t="s">
        <v>2847</v>
      </c>
      <c r="C1302" s="354" t="s">
        <v>2054</v>
      </c>
      <c r="D1302" s="81" t="s">
        <v>2846</v>
      </c>
      <c r="E1302" s="75" t="str">
        <f>VLOOKUP(B1302&amp;C1302,Divipola!$C$2:$F$1138,4,FALSE)</f>
        <v>68320</v>
      </c>
      <c r="F1302" s="87"/>
      <c r="G1302" s="87"/>
      <c r="H1302" s="87"/>
      <c r="I1302" s="87"/>
      <c r="J1302" s="87"/>
      <c r="K1302" s="87"/>
      <c r="L1302" s="87"/>
      <c r="M1302" s="87"/>
      <c r="N1302" s="87"/>
      <c r="O1302" s="87"/>
      <c r="P1302" s="87"/>
      <c r="Q1302" s="87"/>
      <c r="R1302" s="87"/>
      <c r="S1302" s="87"/>
      <c r="T1302" s="87"/>
      <c r="U1302" s="88">
        <v>12</v>
      </c>
      <c r="V1302" s="89"/>
      <c r="W1302" s="96">
        <v>0</v>
      </c>
      <c r="X1302" s="71">
        <f>CU1302</f>
        <v>0</v>
      </c>
      <c r="Y1302" s="71">
        <f>CY1302</f>
        <v>0</v>
      </c>
      <c r="Z1302" s="71">
        <f>DA1302+DC1302+DE1302</f>
        <v>0</v>
      </c>
      <c r="AA1302" s="71">
        <f>CW1302</f>
        <v>0</v>
      </c>
      <c r="AB1302" s="71"/>
      <c r="AC1302" s="71">
        <v>0</v>
      </c>
      <c r="AD1302" s="71">
        <f>W1302+X1302+Y1302+Z1302+AA1302+AB1302+AC1302</f>
        <v>0</v>
      </c>
      <c r="AE1302" s="72">
        <v>0</v>
      </c>
      <c r="AF1302" s="5"/>
      <c r="AG1302" s="6"/>
      <c r="AH1302" s="27" t="s">
        <v>3392</v>
      </c>
      <c r="AI1302" s="44" t="s">
        <v>3393</v>
      </c>
      <c r="AJ1302" s="26"/>
      <c r="AK1302" s="5"/>
      <c r="AL1302" s="82" t="s">
        <v>4092</v>
      </c>
      <c r="AM1302" s="76"/>
      <c r="AN1302" s="76"/>
      <c r="AO1302" s="76"/>
      <c r="AP1302" s="76"/>
      <c r="AQ1302" s="76"/>
      <c r="AR1302" s="76"/>
      <c r="AS1302" s="76"/>
      <c r="AT1302" s="76"/>
      <c r="AU1302" s="76"/>
      <c r="AV1302" s="76"/>
      <c r="AW1302" s="76"/>
      <c r="AX1302" s="76">
        <f>+AW1302*600000</f>
        <v>0</v>
      </c>
      <c r="AY1302" s="76"/>
      <c r="AZ1302" s="76">
        <f>+AY1302*70000</f>
        <v>0</v>
      </c>
      <c r="BA1302" s="76"/>
      <c r="BB1302" s="76"/>
      <c r="BC1302" s="76"/>
      <c r="BD1302" s="76">
        <f>+BC1302*30000</f>
        <v>0</v>
      </c>
      <c r="BE1302" s="76"/>
      <c r="BF1302" s="76"/>
      <c r="BG1302" s="76"/>
      <c r="BH1302" s="76"/>
      <c r="BI1302" s="76"/>
      <c r="BJ1302" s="76"/>
      <c r="BK1302" s="76"/>
      <c r="BL1302" s="76">
        <f>+BK1302*31500</f>
        <v>0</v>
      </c>
      <c r="BM1302" s="76"/>
      <c r="BN1302" s="76"/>
      <c r="BO1302" s="76"/>
      <c r="BP1302" s="76"/>
      <c r="BQ1302" s="76"/>
      <c r="BR1302" s="76"/>
      <c r="BS1302" s="76"/>
      <c r="BT1302" s="76"/>
      <c r="BU1302" s="76"/>
      <c r="BV1302" s="76"/>
      <c r="BW1302" s="76"/>
      <c r="BX1302" s="76"/>
      <c r="BY1302" s="76"/>
      <c r="BZ1302" s="76"/>
      <c r="CA1302" s="76"/>
      <c r="CB1302" s="76"/>
      <c r="CC1302" s="76"/>
      <c r="CD1302" s="76"/>
      <c r="CE1302" s="76"/>
      <c r="CF1302" s="76">
        <f>+CE1302*28000</f>
        <v>0</v>
      </c>
      <c r="CG1302" s="76"/>
      <c r="CH1302" s="76">
        <f>+CG1302*22500</f>
        <v>0</v>
      </c>
      <c r="CI1302" s="76"/>
      <c r="CJ1302" s="76">
        <f>+CI1302*26000</f>
        <v>0</v>
      </c>
      <c r="CK1302" s="76"/>
      <c r="CL1302" s="76"/>
      <c r="CM1302" s="76"/>
      <c r="CN1302" s="76">
        <f>+CM1302*22000</f>
        <v>0</v>
      </c>
      <c r="CO1302" s="76"/>
      <c r="CP1302" s="76">
        <f>+CO1302*46000</f>
        <v>0</v>
      </c>
      <c r="CQ1302" s="76"/>
      <c r="CR1302" s="76">
        <f>+CQ1302*49000</f>
        <v>0</v>
      </c>
      <c r="CS1302" s="76"/>
      <c r="CT1302" s="76"/>
      <c r="CU1302" s="56">
        <f>AN1302+AP1302+AR1302+AT1302+AV1302+AX1302+AZ1302+BB1302+BD1302+BF1302+BH1302+BJ1302+BL1302+BN1302+BP1302+BR1302+BT1302+BV1302+BX1302+BZ1302+CB1302+CD1302+CF1302+CH1302+CJ1302+CL1302+CN1302+CP1302+CR1302+CT1302</f>
        <v>0</v>
      </c>
      <c r="CV1302" s="76"/>
      <c r="CW1302" s="76">
        <f>+CV1302*1100</f>
        <v>0</v>
      </c>
      <c r="CX1302" s="76"/>
      <c r="CY1302" s="76">
        <f>+CX1302*106250</f>
        <v>0</v>
      </c>
      <c r="CZ1302" s="76"/>
      <c r="DA1302" s="76">
        <f>+CZ1302*34500</f>
        <v>0</v>
      </c>
      <c r="DB1302" s="76"/>
      <c r="DC1302" s="76">
        <f>+DB1302*25000</f>
        <v>0</v>
      </c>
      <c r="DD1302" s="219"/>
      <c r="DE1302" s="219"/>
      <c r="DF1302" s="166"/>
      <c r="DG1302" s="116"/>
      <c r="DH1302" s="117"/>
      <c r="DI1302" s="24"/>
      <c r="DJ1302" s="24"/>
      <c r="DK1302" s="24"/>
      <c r="DL1302" s="24"/>
      <c r="DM1302" s="24"/>
      <c r="DN1302" s="24"/>
      <c r="DO1302" s="24"/>
      <c r="DP1302" s="24"/>
      <c r="DQ1302" s="24"/>
      <c r="DR1302" s="24"/>
      <c r="DS1302" s="24"/>
      <c r="DT1302" s="24"/>
      <c r="DU1302" s="24"/>
    </row>
    <row r="1303" spans="1:125" s="8" customFormat="1" ht="60" x14ac:dyDescent="0.2">
      <c r="A1303" s="226">
        <v>41361</v>
      </c>
      <c r="B1303" s="225" t="s">
        <v>529</v>
      </c>
      <c r="C1303" s="227" t="s">
        <v>529</v>
      </c>
      <c r="D1303" s="227" t="s">
        <v>2882</v>
      </c>
      <c r="E1303" s="75" t="str">
        <f>VLOOKUP(B1303&amp;C1303,Divipola!$C$2:$F$1138,4,FALSE)</f>
        <v>11001</v>
      </c>
      <c r="F1303" s="87"/>
      <c r="G1303" s="87"/>
      <c r="H1303" s="87"/>
      <c r="I1303" s="87">
        <v>69</v>
      </c>
      <c r="J1303" s="87">
        <v>15</v>
      </c>
      <c r="K1303" s="87"/>
      <c r="L1303" s="87">
        <v>15</v>
      </c>
      <c r="M1303" s="87"/>
      <c r="N1303" s="87"/>
      <c r="O1303" s="87"/>
      <c r="P1303" s="87"/>
      <c r="Q1303" s="87"/>
      <c r="R1303" s="87"/>
      <c r="S1303" s="87"/>
      <c r="T1303" s="87"/>
      <c r="U1303" s="88"/>
      <c r="V1303" s="89"/>
      <c r="W1303" s="96">
        <v>0</v>
      </c>
      <c r="X1303" s="71">
        <f>CU1303</f>
        <v>0</v>
      </c>
      <c r="Y1303" s="71">
        <f>CY1303</f>
        <v>0</v>
      </c>
      <c r="Z1303" s="71">
        <f>DA1303+DC1303+DE1303</f>
        <v>0</v>
      </c>
      <c r="AA1303" s="71">
        <f>CW1303</f>
        <v>0</v>
      </c>
      <c r="AB1303" s="71"/>
      <c r="AC1303" s="71">
        <v>0</v>
      </c>
      <c r="AD1303" s="71">
        <f>W1303+X1303+Y1303+Z1303+AA1303+AB1303+AC1303</f>
        <v>0</v>
      </c>
      <c r="AE1303" s="72">
        <v>0</v>
      </c>
      <c r="AF1303" s="5"/>
      <c r="AG1303" s="6"/>
      <c r="AH1303" s="27" t="s">
        <v>3392</v>
      </c>
      <c r="AI1303" s="44" t="s">
        <v>3393</v>
      </c>
      <c r="AJ1303" s="26"/>
      <c r="AK1303" s="5"/>
      <c r="AL1303" s="82" t="s">
        <v>4107</v>
      </c>
      <c r="AM1303" s="76"/>
      <c r="AN1303" s="76"/>
      <c r="AO1303" s="76"/>
      <c r="AP1303" s="76"/>
      <c r="AQ1303" s="76"/>
      <c r="AR1303" s="76"/>
      <c r="AS1303" s="76"/>
      <c r="AT1303" s="76"/>
      <c r="AU1303" s="76"/>
      <c r="AV1303" s="76"/>
      <c r="AW1303" s="76"/>
      <c r="AX1303" s="76">
        <f>+AW1303*600000</f>
        <v>0</v>
      </c>
      <c r="AY1303" s="76"/>
      <c r="AZ1303" s="76">
        <f>+AY1303*70000</f>
        <v>0</v>
      </c>
      <c r="BA1303" s="76"/>
      <c r="BB1303" s="76"/>
      <c r="BC1303" s="76"/>
      <c r="BD1303" s="76">
        <f>+BC1303*30000</f>
        <v>0</v>
      </c>
      <c r="BE1303" s="76"/>
      <c r="BF1303" s="76"/>
      <c r="BG1303" s="76"/>
      <c r="BH1303" s="76"/>
      <c r="BI1303" s="76"/>
      <c r="BJ1303" s="76"/>
      <c r="BK1303" s="76"/>
      <c r="BL1303" s="76">
        <f>+BK1303*31500</f>
        <v>0</v>
      </c>
      <c r="BM1303" s="76"/>
      <c r="BN1303" s="76"/>
      <c r="BO1303" s="76"/>
      <c r="BP1303" s="76"/>
      <c r="BQ1303" s="76"/>
      <c r="BR1303" s="76"/>
      <c r="BS1303" s="76"/>
      <c r="BT1303" s="76"/>
      <c r="BU1303" s="76"/>
      <c r="BV1303" s="76"/>
      <c r="BW1303" s="76"/>
      <c r="BX1303" s="76"/>
      <c r="BY1303" s="76"/>
      <c r="BZ1303" s="76"/>
      <c r="CA1303" s="76"/>
      <c r="CB1303" s="76"/>
      <c r="CC1303" s="76"/>
      <c r="CD1303" s="76"/>
      <c r="CE1303" s="76"/>
      <c r="CF1303" s="76">
        <f>+CE1303*28000</f>
        <v>0</v>
      </c>
      <c r="CG1303" s="76"/>
      <c r="CH1303" s="76">
        <f>+CG1303*22500</f>
        <v>0</v>
      </c>
      <c r="CI1303" s="76"/>
      <c r="CJ1303" s="76">
        <f>+CI1303*26000</f>
        <v>0</v>
      </c>
      <c r="CK1303" s="76"/>
      <c r="CL1303" s="76"/>
      <c r="CM1303" s="76"/>
      <c r="CN1303" s="76">
        <f>+CM1303*22000</f>
        <v>0</v>
      </c>
      <c r="CO1303" s="76"/>
      <c r="CP1303" s="76">
        <f>+CO1303*46000</f>
        <v>0</v>
      </c>
      <c r="CQ1303" s="76"/>
      <c r="CR1303" s="76">
        <f>+CQ1303*49000</f>
        <v>0</v>
      </c>
      <c r="CS1303" s="76"/>
      <c r="CT1303" s="76"/>
      <c r="CU1303" s="56">
        <f>AN1303+AP1303+AR1303+AT1303+AV1303+AX1303+AZ1303+BB1303+BD1303+BF1303+BH1303+BJ1303+BL1303+BN1303+BP1303+BR1303+BT1303+BV1303+BX1303+BZ1303+CB1303+CD1303+CF1303+CH1303+CJ1303+CL1303+CN1303+CP1303+CR1303+CT1303</f>
        <v>0</v>
      </c>
      <c r="CV1303" s="76"/>
      <c r="CW1303" s="76">
        <f>+CV1303*1100</f>
        <v>0</v>
      </c>
      <c r="CX1303" s="76"/>
      <c r="CY1303" s="76">
        <f>+CX1303*106250</f>
        <v>0</v>
      </c>
      <c r="CZ1303" s="76"/>
      <c r="DA1303" s="76">
        <f>+CZ1303*34500</f>
        <v>0</v>
      </c>
      <c r="DB1303" s="76"/>
      <c r="DC1303" s="76">
        <f>+DB1303*25000</f>
        <v>0</v>
      </c>
      <c r="DD1303" s="219"/>
      <c r="DE1303" s="219"/>
      <c r="DF1303" s="166"/>
      <c r="DG1303" s="116"/>
      <c r="DH1303" s="117"/>
      <c r="DI1303" s="24"/>
      <c r="DJ1303" s="24"/>
      <c r="DK1303" s="24"/>
      <c r="DL1303" s="24"/>
      <c r="DM1303" s="24"/>
      <c r="DN1303" s="24"/>
      <c r="DO1303" s="24"/>
      <c r="DP1303" s="24"/>
      <c r="DQ1303" s="24"/>
      <c r="DR1303" s="24"/>
      <c r="DS1303" s="24"/>
      <c r="DT1303" s="24"/>
      <c r="DU1303" s="24"/>
    </row>
    <row r="1304" spans="1:125" s="8" customFormat="1" ht="60" x14ac:dyDescent="0.2">
      <c r="A1304" s="353">
        <v>41361</v>
      </c>
      <c r="B1304" s="352" t="s">
        <v>2196</v>
      </c>
      <c r="C1304" s="354" t="s">
        <v>2112</v>
      </c>
      <c r="D1304" s="75" t="s">
        <v>3051</v>
      </c>
      <c r="E1304" s="75" t="str">
        <f>VLOOKUP(B1304&amp;C1304,Divipola!$C$2:$F$1138,4,FALSE)</f>
        <v>17524</v>
      </c>
      <c r="F1304" s="87"/>
      <c r="G1304" s="87"/>
      <c r="H1304" s="87"/>
      <c r="I1304" s="87">
        <v>180</v>
      </c>
      <c r="J1304" s="87">
        <v>30</v>
      </c>
      <c r="K1304" s="87"/>
      <c r="L1304" s="87">
        <v>30</v>
      </c>
      <c r="M1304" s="87"/>
      <c r="N1304" s="87"/>
      <c r="O1304" s="87"/>
      <c r="P1304" s="87"/>
      <c r="Q1304" s="87"/>
      <c r="R1304" s="87"/>
      <c r="S1304" s="87"/>
      <c r="T1304" s="87"/>
      <c r="U1304" s="88"/>
      <c r="V1304" s="89"/>
      <c r="W1304" s="96">
        <v>0</v>
      </c>
      <c r="X1304" s="71">
        <f>CU1304</f>
        <v>0</v>
      </c>
      <c r="Y1304" s="71">
        <f>CY1304</f>
        <v>0</v>
      </c>
      <c r="Z1304" s="71">
        <f>DA1304+DC1304+DE1304</f>
        <v>0</v>
      </c>
      <c r="AA1304" s="71">
        <f>CW1304</f>
        <v>0</v>
      </c>
      <c r="AB1304" s="71"/>
      <c r="AC1304" s="71">
        <v>0</v>
      </c>
      <c r="AD1304" s="71">
        <f>W1304+X1304+Y1304+Z1304+AA1304+AB1304+AC1304</f>
        <v>0</v>
      </c>
      <c r="AE1304" s="72">
        <v>0</v>
      </c>
      <c r="AF1304" s="5"/>
      <c r="AG1304" s="6"/>
      <c r="AH1304" s="27" t="s">
        <v>3392</v>
      </c>
      <c r="AI1304" s="44" t="s">
        <v>3393</v>
      </c>
      <c r="AJ1304" s="26"/>
      <c r="AK1304" s="5"/>
      <c r="AL1304" s="82" t="s">
        <v>4109</v>
      </c>
      <c r="AM1304" s="76"/>
      <c r="AN1304" s="76"/>
      <c r="AO1304" s="76"/>
      <c r="AP1304" s="76"/>
      <c r="AQ1304" s="76"/>
      <c r="AR1304" s="76"/>
      <c r="AS1304" s="76"/>
      <c r="AT1304" s="76"/>
      <c r="AU1304" s="76"/>
      <c r="AV1304" s="76"/>
      <c r="AW1304" s="76"/>
      <c r="AX1304" s="76">
        <f>+AW1304*600000</f>
        <v>0</v>
      </c>
      <c r="AY1304" s="76"/>
      <c r="AZ1304" s="76">
        <f>+AY1304*70000</f>
        <v>0</v>
      </c>
      <c r="BA1304" s="76"/>
      <c r="BB1304" s="76"/>
      <c r="BC1304" s="76"/>
      <c r="BD1304" s="76">
        <f>+BC1304*30000</f>
        <v>0</v>
      </c>
      <c r="BE1304" s="76"/>
      <c r="BF1304" s="76"/>
      <c r="BG1304" s="76"/>
      <c r="BH1304" s="76"/>
      <c r="BI1304" s="76"/>
      <c r="BJ1304" s="76"/>
      <c r="BK1304" s="76"/>
      <c r="BL1304" s="76">
        <f>+BK1304*31500</f>
        <v>0</v>
      </c>
      <c r="BM1304" s="76"/>
      <c r="BN1304" s="76"/>
      <c r="BO1304" s="76"/>
      <c r="BP1304" s="76"/>
      <c r="BQ1304" s="76"/>
      <c r="BR1304" s="76"/>
      <c r="BS1304" s="76"/>
      <c r="BT1304" s="76"/>
      <c r="BU1304" s="76"/>
      <c r="BV1304" s="76"/>
      <c r="BW1304" s="76"/>
      <c r="BX1304" s="76"/>
      <c r="BY1304" s="76"/>
      <c r="BZ1304" s="76"/>
      <c r="CA1304" s="76"/>
      <c r="CB1304" s="76"/>
      <c r="CC1304" s="76"/>
      <c r="CD1304" s="76"/>
      <c r="CE1304" s="76"/>
      <c r="CF1304" s="76">
        <f>+CE1304*28000</f>
        <v>0</v>
      </c>
      <c r="CG1304" s="76"/>
      <c r="CH1304" s="76">
        <f>+CG1304*22500</f>
        <v>0</v>
      </c>
      <c r="CI1304" s="76"/>
      <c r="CJ1304" s="76">
        <f>+CI1304*26000</f>
        <v>0</v>
      </c>
      <c r="CK1304" s="76"/>
      <c r="CL1304" s="76"/>
      <c r="CM1304" s="76"/>
      <c r="CN1304" s="76">
        <f>+CM1304*22000</f>
        <v>0</v>
      </c>
      <c r="CO1304" s="76"/>
      <c r="CP1304" s="76">
        <f>+CO1304*46000</f>
        <v>0</v>
      </c>
      <c r="CQ1304" s="76"/>
      <c r="CR1304" s="76">
        <f>+CQ1304*49000</f>
        <v>0</v>
      </c>
      <c r="CS1304" s="76"/>
      <c r="CT1304" s="76"/>
      <c r="CU1304" s="56">
        <f>AN1304+AP1304+AR1304+AT1304+AV1304+AX1304+AZ1304+BB1304+BD1304+BF1304+BH1304+BJ1304+BL1304+BN1304+BP1304+BR1304+BT1304+BV1304+BX1304+BZ1304+CB1304+CD1304+CF1304+CH1304+CJ1304+CL1304+CN1304+CP1304+CR1304+CT1304</f>
        <v>0</v>
      </c>
      <c r="CV1304" s="76"/>
      <c r="CW1304" s="76">
        <f>+CV1304*1100</f>
        <v>0</v>
      </c>
      <c r="CX1304" s="76"/>
      <c r="CY1304" s="76">
        <f>+CX1304*106250</f>
        <v>0</v>
      </c>
      <c r="CZ1304" s="76"/>
      <c r="DA1304" s="76">
        <f>+CZ1304*34500</f>
        <v>0</v>
      </c>
      <c r="DB1304" s="76"/>
      <c r="DC1304" s="76">
        <f>+DB1304*25000</f>
        <v>0</v>
      </c>
      <c r="DD1304" s="219"/>
      <c r="DE1304" s="219"/>
      <c r="DF1304" s="166"/>
      <c r="DG1304" s="116"/>
      <c r="DH1304" s="117"/>
      <c r="DI1304" s="24"/>
      <c r="DJ1304" s="24"/>
      <c r="DK1304" s="24"/>
      <c r="DL1304" s="24"/>
      <c r="DM1304" s="24"/>
      <c r="DN1304" s="24"/>
      <c r="DO1304" s="24"/>
      <c r="DP1304" s="24"/>
      <c r="DQ1304" s="24"/>
      <c r="DR1304" s="24"/>
      <c r="DS1304" s="24"/>
      <c r="DT1304" s="24"/>
      <c r="DU1304" s="24"/>
    </row>
    <row r="1305" spans="1:125" s="8" customFormat="1" ht="264" x14ac:dyDescent="0.2">
      <c r="A1305" s="353">
        <v>41361</v>
      </c>
      <c r="B1305" s="352" t="s">
        <v>2854</v>
      </c>
      <c r="C1305" s="354" t="s">
        <v>2809</v>
      </c>
      <c r="D1305" s="354" t="s">
        <v>2859</v>
      </c>
      <c r="E1305" s="75" t="str">
        <f>VLOOKUP(B1305&amp;C1305,Divipola!$C$2:$F$1138,4,FALSE)</f>
        <v>19355</v>
      </c>
      <c r="F1305" s="87"/>
      <c r="G1305" s="87"/>
      <c r="H1305" s="87"/>
      <c r="I1305" s="87"/>
      <c r="J1305" s="87"/>
      <c r="K1305" s="87"/>
      <c r="L1305" s="87"/>
      <c r="M1305" s="87"/>
      <c r="N1305" s="87"/>
      <c r="O1305" s="87"/>
      <c r="P1305" s="87"/>
      <c r="Q1305" s="87"/>
      <c r="R1305" s="87"/>
      <c r="S1305" s="87"/>
      <c r="T1305" s="87">
        <v>1</v>
      </c>
      <c r="U1305" s="88"/>
      <c r="V1305" s="89"/>
      <c r="W1305" s="96">
        <v>0</v>
      </c>
      <c r="X1305" s="71">
        <f>CU1305</f>
        <v>0</v>
      </c>
      <c r="Y1305" s="71">
        <f>CY1305</f>
        <v>0</v>
      </c>
      <c r="Z1305" s="71">
        <f>DA1305+DC1305+DE1305</f>
        <v>0</v>
      </c>
      <c r="AA1305" s="71">
        <f>CW1305</f>
        <v>0</v>
      </c>
      <c r="AB1305" s="71"/>
      <c r="AC1305" s="71">
        <v>0</v>
      </c>
      <c r="AD1305" s="71">
        <f>W1305+X1305+Y1305+Z1305+AA1305+AB1305+AC1305</f>
        <v>0</v>
      </c>
      <c r="AE1305" s="72">
        <v>0</v>
      </c>
      <c r="AF1305" s="5"/>
      <c r="AG1305" s="6"/>
      <c r="AH1305" s="27" t="s">
        <v>3392</v>
      </c>
      <c r="AI1305" s="44" t="s">
        <v>3393</v>
      </c>
      <c r="AJ1305" s="26"/>
      <c r="AK1305" s="5"/>
      <c r="AL1305" s="82" t="s">
        <v>4116</v>
      </c>
      <c r="AM1305" s="76"/>
      <c r="AN1305" s="76"/>
      <c r="AO1305" s="76"/>
      <c r="AP1305" s="76"/>
      <c r="AQ1305" s="76"/>
      <c r="AR1305" s="76"/>
      <c r="AS1305" s="76"/>
      <c r="AT1305" s="76"/>
      <c r="AU1305" s="76"/>
      <c r="AV1305" s="76"/>
      <c r="AW1305" s="76"/>
      <c r="AX1305" s="76">
        <f>+AW1305*600000</f>
        <v>0</v>
      </c>
      <c r="AY1305" s="76"/>
      <c r="AZ1305" s="76">
        <f>+AY1305*70000</f>
        <v>0</v>
      </c>
      <c r="BA1305" s="76"/>
      <c r="BB1305" s="76"/>
      <c r="BC1305" s="76"/>
      <c r="BD1305" s="76">
        <f>+BC1305*30000</f>
        <v>0</v>
      </c>
      <c r="BE1305" s="76"/>
      <c r="BF1305" s="76"/>
      <c r="BG1305" s="76"/>
      <c r="BH1305" s="76"/>
      <c r="BI1305" s="76"/>
      <c r="BJ1305" s="76"/>
      <c r="BK1305" s="76"/>
      <c r="BL1305" s="76">
        <f>+BK1305*31500</f>
        <v>0</v>
      </c>
      <c r="BM1305" s="76"/>
      <c r="BN1305" s="76"/>
      <c r="BO1305" s="76"/>
      <c r="BP1305" s="76"/>
      <c r="BQ1305" s="76"/>
      <c r="BR1305" s="76"/>
      <c r="BS1305" s="76"/>
      <c r="BT1305" s="76"/>
      <c r="BU1305" s="76"/>
      <c r="BV1305" s="76"/>
      <c r="BW1305" s="76"/>
      <c r="BX1305" s="76"/>
      <c r="BY1305" s="76"/>
      <c r="BZ1305" s="76"/>
      <c r="CA1305" s="76"/>
      <c r="CB1305" s="76"/>
      <c r="CC1305" s="76"/>
      <c r="CD1305" s="76"/>
      <c r="CE1305" s="76"/>
      <c r="CF1305" s="76">
        <f>+CE1305*28000</f>
        <v>0</v>
      </c>
      <c r="CG1305" s="76"/>
      <c r="CH1305" s="76">
        <f>+CG1305*22500</f>
        <v>0</v>
      </c>
      <c r="CI1305" s="76"/>
      <c r="CJ1305" s="76">
        <f>+CI1305*26000</f>
        <v>0</v>
      </c>
      <c r="CK1305" s="76"/>
      <c r="CL1305" s="76"/>
      <c r="CM1305" s="76"/>
      <c r="CN1305" s="76">
        <f>+CM1305*22000</f>
        <v>0</v>
      </c>
      <c r="CO1305" s="76"/>
      <c r="CP1305" s="76">
        <f>+CO1305*46000</f>
        <v>0</v>
      </c>
      <c r="CQ1305" s="76"/>
      <c r="CR1305" s="76">
        <f>+CQ1305*49000</f>
        <v>0</v>
      </c>
      <c r="CS1305" s="76"/>
      <c r="CT1305" s="76"/>
      <c r="CU1305" s="56">
        <f>AN1305+AP1305+AR1305+AT1305+AV1305+AX1305+AZ1305+BB1305+BD1305+BF1305+BH1305+BJ1305+BL1305+BN1305+BP1305+BR1305+BT1305+BV1305+BX1305+BZ1305+CB1305+CD1305+CF1305+CH1305+CJ1305+CL1305+CN1305+CP1305+CR1305+CT1305</f>
        <v>0</v>
      </c>
      <c r="CV1305" s="76"/>
      <c r="CW1305" s="76">
        <f>+CV1305*1100</f>
        <v>0</v>
      </c>
      <c r="CX1305" s="76"/>
      <c r="CY1305" s="76">
        <f>+CX1305*106250</f>
        <v>0</v>
      </c>
      <c r="CZ1305" s="76"/>
      <c r="DA1305" s="76">
        <f>+CZ1305*34500</f>
        <v>0</v>
      </c>
      <c r="DB1305" s="76"/>
      <c r="DC1305" s="76">
        <f>+DB1305*25000</f>
        <v>0</v>
      </c>
      <c r="DD1305" s="219"/>
      <c r="DE1305" s="219"/>
      <c r="DF1305" s="166"/>
      <c r="DG1305" s="116"/>
      <c r="DH1305" s="117"/>
      <c r="DI1305" s="24"/>
      <c r="DJ1305" s="24"/>
      <c r="DK1305" s="24"/>
      <c r="DL1305" s="24"/>
      <c r="DM1305" s="24"/>
      <c r="DN1305" s="24"/>
      <c r="DO1305" s="24"/>
      <c r="DP1305" s="24"/>
      <c r="DQ1305" s="24"/>
      <c r="DR1305" s="24"/>
      <c r="DS1305" s="24"/>
      <c r="DT1305" s="24"/>
      <c r="DU1305" s="24"/>
    </row>
    <row r="1306" spans="1:125" s="8" customFormat="1" ht="240" x14ac:dyDescent="0.2">
      <c r="A1306" s="226">
        <v>41361</v>
      </c>
      <c r="B1306" s="352" t="s">
        <v>2855</v>
      </c>
      <c r="C1306" s="354" t="s">
        <v>2168</v>
      </c>
      <c r="D1306" s="81" t="s">
        <v>2846</v>
      </c>
      <c r="E1306" s="75" t="str">
        <f>VLOOKUP(B1306&amp;C1306,Divipola!$C$2:$F$1138,4,FALSE)</f>
        <v>20001</v>
      </c>
      <c r="F1306" s="87"/>
      <c r="G1306" s="87"/>
      <c r="H1306" s="87"/>
      <c r="I1306" s="87"/>
      <c r="J1306" s="87"/>
      <c r="K1306" s="87"/>
      <c r="L1306" s="87"/>
      <c r="M1306" s="87"/>
      <c r="N1306" s="87"/>
      <c r="O1306" s="87"/>
      <c r="P1306" s="87"/>
      <c r="Q1306" s="87"/>
      <c r="R1306" s="87"/>
      <c r="S1306" s="87"/>
      <c r="T1306" s="87"/>
      <c r="U1306" s="88">
        <v>270</v>
      </c>
      <c r="V1306" s="89"/>
      <c r="W1306" s="96">
        <v>0</v>
      </c>
      <c r="X1306" s="71">
        <f>CU1306</f>
        <v>0</v>
      </c>
      <c r="Y1306" s="71">
        <f>CY1306</f>
        <v>0</v>
      </c>
      <c r="Z1306" s="71">
        <f>DA1306+DC1306+DE1306</f>
        <v>0</v>
      </c>
      <c r="AA1306" s="71">
        <f>CW1306</f>
        <v>0</v>
      </c>
      <c r="AB1306" s="71"/>
      <c r="AC1306" s="71">
        <v>0</v>
      </c>
      <c r="AD1306" s="71">
        <f>W1306+X1306+Y1306+Z1306+AA1306+AB1306+AC1306</f>
        <v>0</v>
      </c>
      <c r="AE1306" s="72">
        <v>0</v>
      </c>
      <c r="AF1306" s="5"/>
      <c r="AG1306" s="6"/>
      <c r="AH1306" s="27" t="s">
        <v>3392</v>
      </c>
      <c r="AI1306" s="44" t="s">
        <v>3393</v>
      </c>
      <c r="AJ1306" s="26"/>
      <c r="AK1306" s="5"/>
      <c r="AL1306" s="82" t="s">
        <v>4125</v>
      </c>
      <c r="AM1306" s="76"/>
      <c r="AN1306" s="76"/>
      <c r="AO1306" s="76"/>
      <c r="AP1306" s="76"/>
      <c r="AQ1306" s="76"/>
      <c r="AR1306" s="76"/>
      <c r="AS1306" s="76"/>
      <c r="AT1306" s="76"/>
      <c r="AU1306" s="76"/>
      <c r="AV1306" s="76"/>
      <c r="AW1306" s="76"/>
      <c r="AX1306" s="76">
        <f>+AW1306*600000</f>
        <v>0</v>
      </c>
      <c r="AY1306" s="76"/>
      <c r="AZ1306" s="76">
        <f>+AY1306*70000</f>
        <v>0</v>
      </c>
      <c r="BA1306" s="76"/>
      <c r="BB1306" s="76"/>
      <c r="BC1306" s="76"/>
      <c r="BD1306" s="76">
        <f>+BC1306*30000</f>
        <v>0</v>
      </c>
      <c r="BE1306" s="76"/>
      <c r="BF1306" s="76"/>
      <c r="BG1306" s="76"/>
      <c r="BH1306" s="76"/>
      <c r="BI1306" s="76"/>
      <c r="BJ1306" s="76"/>
      <c r="BK1306" s="76"/>
      <c r="BL1306" s="76">
        <f>+BK1306*31500</f>
        <v>0</v>
      </c>
      <c r="BM1306" s="76"/>
      <c r="BN1306" s="76"/>
      <c r="BO1306" s="76"/>
      <c r="BP1306" s="76"/>
      <c r="BQ1306" s="76"/>
      <c r="BR1306" s="76"/>
      <c r="BS1306" s="76"/>
      <c r="BT1306" s="76"/>
      <c r="BU1306" s="76"/>
      <c r="BV1306" s="76"/>
      <c r="BW1306" s="76"/>
      <c r="BX1306" s="76"/>
      <c r="BY1306" s="76"/>
      <c r="BZ1306" s="76"/>
      <c r="CA1306" s="76"/>
      <c r="CB1306" s="76"/>
      <c r="CC1306" s="76"/>
      <c r="CD1306" s="76"/>
      <c r="CE1306" s="76"/>
      <c r="CF1306" s="76">
        <f>+CE1306*28000</f>
        <v>0</v>
      </c>
      <c r="CG1306" s="76"/>
      <c r="CH1306" s="76">
        <f>+CG1306*22500</f>
        <v>0</v>
      </c>
      <c r="CI1306" s="76"/>
      <c r="CJ1306" s="76">
        <f>+CI1306*26000</f>
        <v>0</v>
      </c>
      <c r="CK1306" s="76"/>
      <c r="CL1306" s="76"/>
      <c r="CM1306" s="76"/>
      <c r="CN1306" s="76">
        <f>+CM1306*22000</f>
        <v>0</v>
      </c>
      <c r="CO1306" s="76"/>
      <c r="CP1306" s="76">
        <f>+CO1306*46000</f>
        <v>0</v>
      </c>
      <c r="CQ1306" s="76"/>
      <c r="CR1306" s="76">
        <f>+CQ1306*49000</f>
        <v>0</v>
      </c>
      <c r="CS1306" s="76"/>
      <c r="CT1306" s="76"/>
      <c r="CU1306" s="56">
        <f>AN1306+AP1306+AR1306+AT1306+AV1306+AX1306+AZ1306+BB1306+BD1306+BF1306+BH1306+BJ1306+BL1306+BN1306+BP1306+BR1306+BT1306+BV1306+BX1306+BZ1306+CB1306+CD1306+CF1306+CH1306+CJ1306+CL1306+CN1306+CP1306+CR1306+CT1306</f>
        <v>0</v>
      </c>
      <c r="CV1306" s="76"/>
      <c r="CW1306" s="76">
        <f>+CV1306*1100</f>
        <v>0</v>
      </c>
      <c r="CX1306" s="76"/>
      <c r="CY1306" s="76">
        <f>+CX1306*106250</f>
        <v>0</v>
      </c>
      <c r="CZ1306" s="76"/>
      <c r="DA1306" s="76">
        <f>+CZ1306*34500</f>
        <v>0</v>
      </c>
      <c r="DB1306" s="76"/>
      <c r="DC1306" s="76">
        <f>+DB1306*25000</f>
        <v>0</v>
      </c>
      <c r="DD1306" s="219"/>
      <c r="DE1306" s="219"/>
      <c r="DF1306" s="166"/>
      <c r="DG1306" s="116"/>
      <c r="DH1306" s="117"/>
      <c r="DI1306" s="24"/>
      <c r="DJ1306" s="24"/>
      <c r="DK1306" s="24"/>
      <c r="DL1306" s="24"/>
      <c r="DM1306" s="24"/>
      <c r="DN1306" s="24"/>
      <c r="DO1306" s="24"/>
      <c r="DP1306" s="24"/>
      <c r="DQ1306" s="24"/>
      <c r="DR1306" s="24"/>
      <c r="DS1306" s="24"/>
      <c r="DT1306" s="24"/>
      <c r="DU1306" s="24"/>
    </row>
    <row r="1307" spans="1:125" s="8" customFormat="1" ht="60" x14ac:dyDescent="0.2">
      <c r="A1307" s="77">
        <v>41361</v>
      </c>
      <c r="B1307" s="78" t="s">
        <v>2718</v>
      </c>
      <c r="C1307" s="75" t="s">
        <v>1001</v>
      </c>
      <c r="D1307" s="75" t="s">
        <v>3051</v>
      </c>
      <c r="E1307" s="75" t="str">
        <f>VLOOKUP(B1307&amp;C1307,Divipola!$C$2:$F$1138,4,FALSE)</f>
        <v>23807</v>
      </c>
      <c r="F1307" s="87"/>
      <c r="G1307" s="87"/>
      <c r="H1307" s="87"/>
      <c r="I1307" s="87">
        <v>300</v>
      </c>
      <c r="J1307" s="87">
        <v>60</v>
      </c>
      <c r="K1307" s="87"/>
      <c r="L1307" s="87">
        <v>4</v>
      </c>
      <c r="M1307" s="87"/>
      <c r="N1307" s="87"/>
      <c r="O1307" s="87"/>
      <c r="P1307" s="87"/>
      <c r="Q1307" s="87"/>
      <c r="R1307" s="87"/>
      <c r="S1307" s="87"/>
      <c r="T1307" s="87"/>
      <c r="U1307" s="88"/>
      <c r="V1307" s="89"/>
      <c r="W1307" s="96">
        <v>0</v>
      </c>
      <c r="X1307" s="71">
        <f>CU1307</f>
        <v>0</v>
      </c>
      <c r="Y1307" s="71">
        <f>CY1307</f>
        <v>0</v>
      </c>
      <c r="Z1307" s="71">
        <f>DA1307+DC1307+DE1307</f>
        <v>0</v>
      </c>
      <c r="AA1307" s="71">
        <f>CW1307</f>
        <v>0</v>
      </c>
      <c r="AB1307" s="71"/>
      <c r="AC1307" s="71">
        <v>0</v>
      </c>
      <c r="AD1307" s="71">
        <f>W1307+X1307+Y1307+Z1307+AA1307+AB1307+AC1307</f>
        <v>0</v>
      </c>
      <c r="AE1307" s="72">
        <v>0</v>
      </c>
      <c r="AF1307" s="5"/>
      <c r="AG1307" s="6"/>
      <c r="AH1307" s="27" t="s">
        <v>3392</v>
      </c>
      <c r="AI1307" s="44" t="s">
        <v>3393</v>
      </c>
      <c r="AJ1307" s="26"/>
      <c r="AK1307" s="5"/>
      <c r="AL1307" s="82" t="s">
        <v>4114</v>
      </c>
      <c r="AM1307" s="76"/>
      <c r="AN1307" s="76"/>
      <c r="AO1307" s="76"/>
      <c r="AP1307" s="76"/>
      <c r="AQ1307" s="76"/>
      <c r="AR1307" s="76"/>
      <c r="AS1307" s="76"/>
      <c r="AT1307" s="76"/>
      <c r="AU1307" s="76"/>
      <c r="AV1307" s="76"/>
      <c r="AW1307" s="76"/>
      <c r="AX1307" s="76">
        <f>+AW1307*600000</f>
        <v>0</v>
      </c>
      <c r="AY1307" s="76"/>
      <c r="AZ1307" s="76">
        <f>+AY1307*70000</f>
        <v>0</v>
      </c>
      <c r="BA1307" s="76"/>
      <c r="BB1307" s="76"/>
      <c r="BC1307" s="76"/>
      <c r="BD1307" s="76">
        <f>+BC1307*30000</f>
        <v>0</v>
      </c>
      <c r="BE1307" s="76"/>
      <c r="BF1307" s="76"/>
      <c r="BG1307" s="76"/>
      <c r="BH1307" s="76"/>
      <c r="BI1307" s="76"/>
      <c r="BJ1307" s="76"/>
      <c r="BK1307" s="76"/>
      <c r="BL1307" s="76">
        <f>+BK1307*31500</f>
        <v>0</v>
      </c>
      <c r="BM1307" s="76"/>
      <c r="BN1307" s="76"/>
      <c r="BO1307" s="76"/>
      <c r="BP1307" s="76"/>
      <c r="BQ1307" s="76"/>
      <c r="BR1307" s="76"/>
      <c r="BS1307" s="76"/>
      <c r="BT1307" s="76"/>
      <c r="BU1307" s="76"/>
      <c r="BV1307" s="76"/>
      <c r="BW1307" s="76"/>
      <c r="BX1307" s="76"/>
      <c r="BY1307" s="76"/>
      <c r="BZ1307" s="76"/>
      <c r="CA1307" s="76"/>
      <c r="CB1307" s="76"/>
      <c r="CC1307" s="76"/>
      <c r="CD1307" s="76"/>
      <c r="CE1307" s="76"/>
      <c r="CF1307" s="76">
        <f>+CE1307*28000</f>
        <v>0</v>
      </c>
      <c r="CG1307" s="76"/>
      <c r="CH1307" s="76">
        <f>+CG1307*22500</f>
        <v>0</v>
      </c>
      <c r="CI1307" s="76"/>
      <c r="CJ1307" s="76">
        <f>+CI1307*26000</f>
        <v>0</v>
      </c>
      <c r="CK1307" s="76"/>
      <c r="CL1307" s="76"/>
      <c r="CM1307" s="76"/>
      <c r="CN1307" s="76">
        <f>+CM1307*22000</f>
        <v>0</v>
      </c>
      <c r="CO1307" s="76"/>
      <c r="CP1307" s="76">
        <f>+CO1307*46000</f>
        <v>0</v>
      </c>
      <c r="CQ1307" s="76"/>
      <c r="CR1307" s="76">
        <f>+CQ1307*49000</f>
        <v>0</v>
      </c>
      <c r="CS1307" s="76"/>
      <c r="CT1307" s="76"/>
      <c r="CU1307" s="56">
        <f>AN1307+AP1307+AR1307+AT1307+AV1307+AX1307+AZ1307+BB1307+BD1307+BF1307+BH1307+BJ1307+BL1307+BN1307+BP1307+BR1307+BT1307+BV1307+BX1307+BZ1307+CB1307+CD1307+CF1307+CH1307+CJ1307+CL1307+CN1307+CP1307+CR1307+CT1307</f>
        <v>0</v>
      </c>
      <c r="CV1307" s="76"/>
      <c r="CW1307" s="76">
        <f>+CV1307*1100</f>
        <v>0</v>
      </c>
      <c r="CX1307" s="76"/>
      <c r="CY1307" s="76">
        <f>+CX1307*106250</f>
        <v>0</v>
      </c>
      <c r="CZ1307" s="76"/>
      <c r="DA1307" s="76">
        <f>+CZ1307*34500</f>
        <v>0</v>
      </c>
      <c r="DB1307" s="76"/>
      <c r="DC1307" s="76">
        <f>+DB1307*25000</f>
        <v>0</v>
      </c>
      <c r="DD1307" s="219"/>
      <c r="DE1307" s="219"/>
      <c r="DF1307" s="166"/>
      <c r="DG1307" s="116"/>
      <c r="DH1307" s="117"/>
      <c r="DI1307" s="24"/>
      <c r="DJ1307" s="24"/>
      <c r="DK1307" s="24"/>
      <c r="DL1307" s="24"/>
      <c r="DM1307" s="24"/>
      <c r="DN1307" s="24"/>
      <c r="DO1307" s="24"/>
      <c r="DP1307" s="24"/>
      <c r="DQ1307" s="24"/>
      <c r="DR1307" s="24"/>
      <c r="DS1307" s="24"/>
      <c r="DT1307" s="24"/>
      <c r="DU1307" s="24"/>
    </row>
    <row r="1308" spans="1:125" s="8" customFormat="1" ht="60" x14ac:dyDescent="0.2">
      <c r="A1308" s="77">
        <v>41361</v>
      </c>
      <c r="B1308" s="78" t="s">
        <v>2772</v>
      </c>
      <c r="C1308" s="75" t="s">
        <v>1394</v>
      </c>
      <c r="D1308" s="81" t="s">
        <v>2846</v>
      </c>
      <c r="E1308" s="75" t="str">
        <f>VLOOKUP(B1308&amp;C1308,Divipola!$C$2:$F$1138,4,FALSE)</f>
        <v>25297</v>
      </c>
      <c r="F1308" s="87"/>
      <c r="G1308" s="87"/>
      <c r="H1308" s="87"/>
      <c r="I1308" s="87"/>
      <c r="J1308" s="87"/>
      <c r="K1308" s="87"/>
      <c r="L1308" s="87"/>
      <c r="M1308" s="87"/>
      <c r="N1308" s="87"/>
      <c r="O1308" s="87"/>
      <c r="P1308" s="87"/>
      <c r="Q1308" s="87"/>
      <c r="R1308" s="87"/>
      <c r="S1308" s="191"/>
      <c r="T1308" s="87"/>
      <c r="U1308" s="88">
        <v>1</v>
      </c>
      <c r="V1308" s="89"/>
      <c r="W1308" s="96">
        <v>0</v>
      </c>
      <c r="X1308" s="71">
        <f>CU1308</f>
        <v>0</v>
      </c>
      <c r="Y1308" s="71">
        <f>CY1308</f>
        <v>0</v>
      </c>
      <c r="Z1308" s="71">
        <f>DA1308+DC1308+DE1308</f>
        <v>0</v>
      </c>
      <c r="AA1308" s="71">
        <f>CW1308</f>
        <v>0</v>
      </c>
      <c r="AB1308" s="71"/>
      <c r="AC1308" s="71">
        <v>0</v>
      </c>
      <c r="AD1308" s="71">
        <f>W1308+X1308+Y1308+Z1308+AA1308+AB1308+AC1308</f>
        <v>0</v>
      </c>
      <c r="AE1308" s="72">
        <v>0</v>
      </c>
      <c r="AF1308" s="5"/>
      <c r="AG1308" s="6"/>
      <c r="AH1308" s="27" t="s">
        <v>3392</v>
      </c>
      <c r="AI1308" s="44" t="s">
        <v>3393</v>
      </c>
      <c r="AJ1308" s="26"/>
      <c r="AK1308" s="5"/>
      <c r="AL1308" s="82" t="s">
        <v>4141</v>
      </c>
      <c r="AM1308" s="76"/>
      <c r="AN1308" s="76"/>
      <c r="AO1308" s="76"/>
      <c r="AP1308" s="76"/>
      <c r="AQ1308" s="76"/>
      <c r="AR1308" s="76"/>
      <c r="AS1308" s="76"/>
      <c r="AT1308" s="76"/>
      <c r="AU1308" s="76"/>
      <c r="AV1308" s="76"/>
      <c r="AW1308" s="76"/>
      <c r="AX1308" s="76">
        <f>+AW1308*600000</f>
        <v>0</v>
      </c>
      <c r="AY1308" s="76"/>
      <c r="AZ1308" s="76">
        <f>+AY1308*70000</f>
        <v>0</v>
      </c>
      <c r="BA1308" s="76"/>
      <c r="BB1308" s="76"/>
      <c r="BC1308" s="76"/>
      <c r="BD1308" s="76">
        <f>+BC1308*30000</f>
        <v>0</v>
      </c>
      <c r="BE1308" s="76"/>
      <c r="BF1308" s="76"/>
      <c r="BG1308" s="76"/>
      <c r="BH1308" s="76"/>
      <c r="BI1308" s="76"/>
      <c r="BJ1308" s="76"/>
      <c r="BK1308" s="76"/>
      <c r="BL1308" s="76">
        <f>+BK1308*31500</f>
        <v>0</v>
      </c>
      <c r="BM1308" s="76"/>
      <c r="BN1308" s="76"/>
      <c r="BO1308" s="76"/>
      <c r="BP1308" s="76"/>
      <c r="BQ1308" s="76"/>
      <c r="BR1308" s="76"/>
      <c r="BS1308" s="76"/>
      <c r="BT1308" s="76"/>
      <c r="BU1308" s="76"/>
      <c r="BV1308" s="76"/>
      <c r="BW1308" s="76"/>
      <c r="BX1308" s="76"/>
      <c r="BY1308" s="76"/>
      <c r="BZ1308" s="76"/>
      <c r="CA1308" s="76"/>
      <c r="CB1308" s="76"/>
      <c r="CC1308" s="76"/>
      <c r="CD1308" s="76"/>
      <c r="CE1308" s="76"/>
      <c r="CF1308" s="76">
        <f>+CE1308*28000</f>
        <v>0</v>
      </c>
      <c r="CG1308" s="76"/>
      <c r="CH1308" s="76">
        <f>+CG1308*22500</f>
        <v>0</v>
      </c>
      <c r="CI1308" s="76"/>
      <c r="CJ1308" s="76">
        <f>+CI1308*26000</f>
        <v>0</v>
      </c>
      <c r="CK1308" s="76"/>
      <c r="CL1308" s="76"/>
      <c r="CM1308" s="76"/>
      <c r="CN1308" s="76">
        <f>+CM1308*22000</f>
        <v>0</v>
      </c>
      <c r="CO1308" s="76"/>
      <c r="CP1308" s="76">
        <f>+CO1308*46000</f>
        <v>0</v>
      </c>
      <c r="CQ1308" s="76"/>
      <c r="CR1308" s="76">
        <f>+CQ1308*49000</f>
        <v>0</v>
      </c>
      <c r="CS1308" s="76"/>
      <c r="CT1308" s="76"/>
      <c r="CU1308" s="56">
        <f>AN1308+AP1308+AR1308+AT1308+AV1308+AX1308+AZ1308+BB1308+BD1308+BF1308+BH1308+BJ1308+BL1308+BN1308+BP1308+BR1308+BT1308+BV1308+BX1308+BZ1308+CB1308+CD1308+CF1308+CH1308+CJ1308+CL1308+CN1308+CP1308+CR1308+CT1308</f>
        <v>0</v>
      </c>
      <c r="CV1308" s="76"/>
      <c r="CW1308" s="76">
        <f>+CV1308*1100</f>
        <v>0</v>
      </c>
      <c r="CX1308" s="76"/>
      <c r="CY1308" s="76">
        <f>+CX1308*106250</f>
        <v>0</v>
      </c>
      <c r="CZ1308" s="76"/>
      <c r="DA1308" s="76">
        <f>+CZ1308*34500</f>
        <v>0</v>
      </c>
      <c r="DB1308" s="76"/>
      <c r="DC1308" s="76">
        <f>+DB1308*25000</f>
        <v>0</v>
      </c>
      <c r="DD1308" s="219"/>
      <c r="DE1308" s="219"/>
      <c r="DF1308" s="166"/>
      <c r="DG1308" s="116"/>
      <c r="DH1308" s="117"/>
      <c r="DI1308" s="24"/>
      <c r="DJ1308" s="24"/>
      <c r="DK1308" s="24"/>
      <c r="DL1308" s="24"/>
      <c r="DM1308" s="24"/>
      <c r="DN1308" s="24"/>
      <c r="DO1308" s="24"/>
      <c r="DP1308" s="24"/>
      <c r="DQ1308" s="24"/>
      <c r="DR1308" s="24"/>
      <c r="DS1308" s="24"/>
      <c r="DT1308" s="24"/>
      <c r="DU1308" s="24"/>
    </row>
    <row r="1309" spans="1:125" s="8" customFormat="1" ht="72" x14ac:dyDescent="0.2">
      <c r="A1309" s="226">
        <v>41361</v>
      </c>
      <c r="B1309" s="225" t="s">
        <v>2772</v>
      </c>
      <c r="C1309" s="227" t="s">
        <v>1088</v>
      </c>
      <c r="D1309" s="81" t="s">
        <v>2846</v>
      </c>
      <c r="E1309" s="75" t="str">
        <f>VLOOKUP(B1309&amp;C1309,Divipola!$C$2:$F$1138,4,FALSE)</f>
        <v>25339</v>
      </c>
      <c r="F1309" s="100"/>
      <c r="G1309" s="100"/>
      <c r="H1309" s="100"/>
      <c r="I1309" s="100"/>
      <c r="J1309" s="100"/>
      <c r="K1309" s="100"/>
      <c r="L1309" s="100"/>
      <c r="M1309" s="100"/>
      <c r="N1309" s="100"/>
      <c r="O1309" s="100"/>
      <c r="P1309" s="100"/>
      <c r="Q1309" s="100"/>
      <c r="R1309" s="100"/>
      <c r="S1309" s="100"/>
      <c r="T1309" s="100"/>
      <c r="U1309" s="136">
        <v>1</v>
      </c>
      <c r="V1309" s="89"/>
      <c r="W1309" s="96">
        <v>0</v>
      </c>
      <c r="X1309" s="71">
        <f>CU1309</f>
        <v>0</v>
      </c>
      <c r="Y1309" s="71">
        <f>CY1309</f>
        <v>0</v>
      </c>
      <c r="Z1309" s="71">
        <f>DA1309+DC1309+DE1309</f>
        <v>0</v>
      </c>
      <c r="AA1309" s="71">
        <f>CW1309</f>
        <v>0</v>
      </c>
      <c r="AB1309" s="71"/>
      <c r="AC1309" s="71">
        <v>0</v>
      </c>
      <c r="AD1309" s="71">
        <f>W1309+X1309+Y1309+Z1309+AA1309+AB1309+AC1309</f>
        <v>0</v>
      </c>
      <c r="AE1309" s="72">
        <v>0</v>
      </c>
      <c r="AF1309" s="5"/>
      <c r="AG1309" s="6"/>
      <c r="AH1309" s="27" t="s">
        <v>3392</v>
      </c>
      <c r="AI1309" s="44" t="s">
        <v>3393</v>
      </c>
      <c r="AJ1309" s="26"/>
      <c r="AK1309" s="5"/>
      <c r="AL1309" s="82" t="s">
        <v>4140</v>
      </c>
      <c r="AM1309" s="76"/>
      <c r="AN1309" s="76"/>
      <c r="AO1309" s="76"/>
      <c r="AP1309" s="76"/>
      <c r="AQ1309" s="76"/>
      <c r="AR1309" s="76"/>
      <c r="AS1309" s="76"/>
      <c r="AT1309" s="76"/>
      <c r="AU1309" s="76"/>
      <c r="AV1309" s="76"/>
      <c r="AW1309" s="76"/>
      <c r="AX1309" s="76">
        <f>+AW1309*600000</f>
        <v>0</v>
      </c>
      <c r="AY1309" s="76"/>
      <c r="AZ1309" s="76">
        <f>+AY1309*70000</f>
        <v>0</v>
      </c>
      <c r="BA1309" s="76"/>
      <c r="BB1309" s="76"/>
      <c r="BC1309" s="76"/>
      <c r="BD1309" s="76">
        <f>+BC1309*30000</f>
        <v>0</v>
      </c>
      <c r="BE1309" s="76"/>
      <c r="BF1309" s="76"/>
      <c r="BG1309" s="76"/>
      <c r="BH1309" s="76"/>
      <c r="BI1309" s="76"/>
      <c r="BJ1309" s="76"/>
      <c r="BK1309" s="76"/>
      <c r="BL1309" s="76">
        <f>+BK1309*31500</f>
        <v>0</v>
      </c>
      <c r="BM1309" s="76"/>
      <c r="BN1309" s="76"/>
      <c r="BO1309" s="76"/>
      <c r="BP1309" s="76"/>
      <c r="BQ1309" s="76"/>
      <c r="BR1309" s="76"/>
      <c r="BS1309" s="76"/>
      <c r="BT1309" s="76"/>
      <c r="BU1309" s="76"/>
      <c r="BV1309" s="76"/>
      <c r="BW1309" s="76"/>
      <c r="BX1309" s="76"/>
      <c r="BY1309" s="76"/>
      <c r="BZ1309" s="76"/>
      <c r="CA1309" s="76"/>
      <c r="CB1309" s="76"/>
      <c r="CC1309" s="76"/>
      <c r="CD1309" s="76"/>
      <c r="CE1309" s="76"/>
      <c r="CF1309" s="76">
        <f>+CE1309*28000</f>
        <v>0</v>
      </c>
      <c r="CG1309" s="76"/>
      <c r="CH1309" s="76">
        <f>+CG1309*22500</f>
        <v>0</v>
      </c>
      <c r="CI1309" s="76"/>
      <c r="CJ1309" s="76">
        <f>+CI1309*26000</f>
        <v>0</v>
      </c>
      <c r="CK1309" s="76"/>
      <c r="CL1309" s="76"/>
      <c r="CM1309" s="76"/>
      <c r="CN1309" s="76">
        <f>+CM1309*22000</f>
        <v>0</v>
      </c>
      <c r="CO1309" s="76"/>
      <c r="CP1309" s="76">
        <f>+CO1309*46000</f>
        <v>0</v>
      </c>
      <c r="CQ1309" s="76"/>
      <c r="CR1309" s="76">
        <f>+CQ1309*49000</f>
        <v>0</v>
      </c>
      <c r="CS1309" s="76"/>
      <c r="CT1309" s="76"/>
      <c r="CU1309" s="56">
        <f>AN1309+AP1309+AR1309+AT1309+AV1309+AX1309+AZ1309+BB1309+BD1309+BF1309+BH1309+BJ1309+BL1309+BN1309+BP1309+BR1309+BT1309+BV1309+BX1309+BZ1309+CB1309+CD1309+CF1309+CH1309+CJ1309+CL1309+CN1309+CP1309+CR1309+CT1309</f>
        <v>0</v>
      </c>
      <c r="CV1309" s="76"/>
      <c r="CW1309" s="76">
        <f>+CV1309*1100</f>
        <v>0</v>
      </c>
      <c r="CX1309" s="76"/>
      <c r="CY1309" s="76">
        <f>+CX1309*106250</f>
        <v>0</v>
      </c>
      <c r="CZ1309" s="76"/>
      <c r="DA1309" s="76">
        <f>+CZ1309*34500</f>
        <v>0</v>
      </c>
      <c r="DB1309" s="76"/>
      <c r="DC1309" s="76">
        <f>+DB1309*25000</f>
        <v>0</v>
      </c>
      <c r="DD1309" s="219"/>
      <c r="DE1309" s="219"/>
      <c r="DF1309" s="166"/>
      <c r="DG1309" s="116"/>
      <c r="DH1309" s="117"/>
      <c r="DI1309" s="24"/>
      <c r="DJ1309" s="24"/>
      <c r="DK1309" s="24"/>
      <c r="DL1309" s="24"/>
      <c r="DM1309" s="24"/>
      <c r="DN1309" s="24"/>
      <c r="DO1309" s="24"/>
      <c r="DP1309" s="24"/>
      <c r="DQ1309" s="24"/>
      <c r="DR1309" s="24"/>
      <c r="DS1309" s="24"/>
      <c r="DT1309" s="24"/>
      <c r="DU1309" s="24"/>
    </row>
    <row r="1310" spans="1:125" s="8" customFormat="1" ht="156" x14ac:dyDescent="0.2">
      <c r="A1310" s="226">
        <v>41361</v>
      </c>
      <c r="B1310" s="225" t="s">
        <v>2772</v>
      </c>
      <c r="C1310" s="227" t="s">
        <v>2120</v>
      </c>
      <c r="D1310" s="75" t="s">
        <v>3051</v>
      </c>
      <c r="E1310" s="75" t="str">
        <f>VLOOKUP(B1310&amp;C1310,Divipola!$C$2:$F$1138,4,FALSE)</f>
        <v>25785</v>
      </c>
      <c r="F1310" s="87"/>
      <c r="G1310" s="87"/>
      <c r="H1310" s="87"/>
      <c r="I1310" s="87">
        <v>20</v>
      </c>
      <c r="J1310" s="87">
        <v>4</v>
      </c>
      <c r="K1310" s="87"/>
      <c r="L1310" s="87">
        <v>4</v>
      </c>
      <c r="M1310" s="87"/>
      <c r="N1310" s="87"/>
      <c r="O1310" s="87"/>
      <c r="P1310" s="87"/>
      <c r="Q1310" s="87"/>
      <c r="R1310" s="87"/>
      <c r="S1310" s="87"/>
      <c r="T1310" s="87"/>
      <c r="U1310" s="88"/>
      <c r="V1310" s="89"/>
      <c r="W1310" s="96">
        <v>0</v>
      </c>
      <c r="X1310" s="71">
        <f>CU1310</f>
        <v>0</v>
      </c>
      <c r="Y1310" s="71">
        <f>CY1310</f>
        <v>0</v>
      </c>
      <c r="Z1310" s="71">
        <f>DA1310+DC1310+DE1310</f>
        <v>0</v>
      </c>
      <c r="AA1310" s="71">
        <f>CW1310</f>
        <v>0</v>
      </c>
      <c r="AB1310" s="71"/>
      <c r="AC1310" s="71">
        <v>0</v>
      </c>
      <c r="AD1310" s="71">
        <f>W1310+X1310+Y1310+Z1310+AA1310+AB1310+AC1310</f>
        <v>0</v>
      </c>
      <c r="AE1310" s="72">
        <v>0</v>
      </c>
      <c r="AF1310" s="5"/>
      <c r="AG1310" s="6"/>
      <c r="AH1310" s="27" t="s">
        <v>3392</v>
      </c>
      <c r="AI1310" s="44" t="s">
        <v>3393</v>
      </c>
      <c r="AJ1310" s="26"/>
      <c r="AK1310" s="5"/>
      <c r="AL1310" s="82" t="s">
        <v>4170</v>
      </c>
      <c r="AM1310" s="76"/>
      <c r="AN1310" s="76"/>
      <c r="AO1310" s="76"/>
      <c r="AP1310" s="76"/>
      <c r="AQ1310" s="76"/>
      <c r="AR1310" s="76"/>
      <c r="AS1310" s="76"/>
      <c r="AT1310" s="76"/>
      <c r="AU1310" s="76"/>
      <c r="AV1310" s="76"/>
      <c r="AW1310" s="76"/>
      <c r="AX1310" s="76">
        <f>+AW1310*600000</f>
        <v>0</v>
      </c>
      <c r="AY1310" s="76"/>
      <c r="AZ1310" s="76">
        <f>+AY1310*70000</f>
        <v>0</v>
      </c>
      <c r="BA1310" s="76"/>
      <c r="BB1310" s="76"/>
      <c r="BC1310" s="76"/>
      <c r="BD1310" s="76">
        <f>+BC1310*30000</f>
        <v>0</v>
      </c>
      <c r="BE1310" s="76"/>
      <c r="BF1310" s="76"/>
      <c r="BG1310" s="76"/>
      <c r="BH1310" s="76"/>
      <c r="BI1310" s="76"/>
      <c r="BJ1310" s="76"/>
      <c r="BK1310" s="76"/>
      <c r="BL1310" s="76">
        <f>+BK1310*31500</f>
        <v>0</v>
      </c>
      <c r="BM1310" s="76"/>
      <c r="BN1310" s="76"/>
      <c r="BO1310" s="76"/>
      <c r="BP1310" s="76"/>
      <c r="BQ1310" s="76"/>
      <c r="BR1310" s="76"/>
      <c r="BS1310" s="76"/>
      <c r="BT1310" s="76"/>
      <c r="BU1310" s="76"/>
      <c r="BV1310" s="76"/>
      <c r="BW1310" s="76"/>
      <c r="BX1310" s="76"/>
      <c r="BY1310" s="76"/>
      <c r="BZ1310" s="76"/>
      <c r="CA1310" s="76"/>
      <c r="CB1310" s="76"/>
      <c r="CC1310" s="76"/>
      <c r="CD1310" s="76"/>
      <c r="CE1310" s="76"/>
      <c r="CF1310" s="76">
        <f>+CE1310*28000</f>
        <v>0</v>
      </c>
      <c r="CG1310" s="76"/>
      <c r="CH1310" s="76">
        <f>+CG1310*22500</f>
        <v>0</v>
      </c>
      <c r="CI1310" s="76"/>
      <c r="CJ1310" s="76">
        <f>+CI1310*26000</f>
        <v>0</v>
      </c>
      <c r="CK1310" s="76"/>
      <c r="CL1310" s="76"/>
      <c r="CM1310" s="76"/>
      <c r="CN1310" s="76">
        <f>+CM1310*22000</f>
        <v>0</v>
      </c>
      <c r="CO1310" s="76"/>
      <c r="CP1310" s="76">
        <f>+CO1310*46000</f>
        <v>0</v>
      </c>
      <c r="CQ1310" s="76"/>
      <c r="CR1310" s="76">
        <f>+CQ1310*49000</f>
        <v>0</v>
      </c>
      <c r="CS1310" s="76"/>
      <c r="CT1310" s="76"/>
      <c r="CU1310" s="56">
        <f>AN1310+AP1310+AR1310+AT1310+AV1310+AX1310+AZ1310+BB1310+BD1310+BF1310+BH1310+BJ1310+BL1310+BN1310+BP1310+BR1310+BT1310+BV1310+BX1310+BZ1310+CB1310+CD1310+CF1310+CH1310+CJ1310+CL1310+CN1310+CP1310+CR1310+CT1310</f>
        <v>0</v>
      </c>
      <c r="CV1310" s="76"/>
      <c r="CW1310" s="76">
        <f>+CV1310*1100</f>
        <v>0</v>
      </c>
      <c r="CX1310" s="76"/>
      <c r="CY1310" s="76">
        <f>+CX1310*106250</f>
        <v>0</v>
      </c>
      <c r="CZ1310" s="76"/>
      <c r="DA1310" s="76">
        <f>+CZ1310*34500</f>
        <v>0</v>
      </c>
      <c r="DB1310" s="76"/>
      <c r="DC1310" s="76">
        <f>+DB1310*25000</f>
        <v>0</v>
      </c>
      <c r="DD1310" s="219"/>
      <c r="DE1310" s="219"/>
      <c r="DF1310" s="166"/>
      <c r="DG1310" s="116"/>
      <c r="DH1310" s="117"/>
      <c r="DI1310" s="24"/>
      <c r="DJ1310" s="24"/>
      <c r="DK1310" s="24"/>
      <c r="DL1310" s="24"/>
      <c r="DM1310" s="24"/>
      <c r="DN1310" s="24"/>
      <c r="DO1310" s="24"/>
      <c r="DP1310" s="24"/>
      <c r="DQ1310" s="24"/>
      <c r="DR1310" s="24"/>
      <c r="DS1310" s="24"/>
      <c r="DT1310" s="24"/>
      <c r="DU1310" s="24"/>
    </row>
    <row r="1311" spans="1:125" s="8" customFormat="1" ht="72" x14ac:dyDescent="0.2">
      <c r="A1311" s="226">
        <v>41361</v>
      </c>
      <c r="B1311" s="225" t="s">
        <v>506</v>
      </c>
      <c r="C1311" s="227" t="s">
        <v>2786</v>
      </c>
      <c r="D1311" s="227" t="s">
        <v>3463</v>
      </c>
      <c r="E1311" s="75" t="str">
        <f>VLOOKUP(B1311&amp;C1311,Divipola!$C$2:$F$1138,4,FALSE)</f>
        <v>50006</v>
      </c>
      <c r="F1311" s="87"/>
      <c r="G1311" s="87"/>
      <c r="H1311" s="87"/>
      <c r="I1311" s="87">
        <v>7</v>
      </c>
      <c r="J1311" s="87"/>
      <c r="K1311" s="87"/>
      <c r="L1311" s="87"/>
      <c r="M1311" s="87"/>
      <c r="N1311" s="87"/>
      <c r="O1311" s="87"/>
      <c r="P1311" s="87"/>
      <c r="Q1311" s="87"/>
      <c r="R1311" s="87"/>
      <c r="S1311" s="87"/>
      <c r="T1311" s="87"/>
      <c r="U1311" s="88"/>
      <c r="V1311" s="89"/>
      <c r="W1311" s="96">
        <v>0</v>
      </c>
      <c r="X1311" s="71">
        <f>CU1311</f>
        <v>0</v>
      </c>
      <c r="Y1311" s="71">
        <f>CY1311</f>
        <v>0</v>
      </c>
      <c r="Z1311" s="71">
        <f>DA1311+DC1311+DE1311</f>
        <v>0</v>
      </c>
      <c r="AA1311" s="71">
        <f>CW1311</f>
        <v>0</v>
      </c>
      <c r="AB1311" s="71"/>
      <c r="AC1311" s="71">
        <v>0</v>
      </c>
      <c r="AD1311" s="71">
        <f>W1311+X1311+Y1311+Z1311+AA1311+AB1311+AC1311</f>
        <v>0</v>
      </c>
      <c r="AE1311" s="72">
        <v>0</v>
      </c>
      <c r="AF1311" s="5"/>
      <c r="AG1311" s="6"/>
      <c r="AH1311" s="27" t="s">
        <v>3392</v>
      </c>
      <c r="AI1311" s="44" t="s">
        <v>3393</v>
      </c>
      <c r="AJ1311" s="26"/>
      <c r="AK1311" s="5"/>
      <c r="AL1311" s="82" t="s">
        <v>4123</v>
      </c>
      <c r="AM1311" s="76"/>
      <c r="AN1311" s="76"/>
      <c r="AO1311" s="76"/>
      <c r="AP1311" s="76"/>
      <c r="AQ1311" s="76"/>
      <c r="AR1311" s="76"/>
      <c r="AS1311" s="76"/>
      <c r="AT1311" s="76"/>
      <c r="AU1311" s="76"/>
      <c r="AV1311" s="76"/>
      <c r="AW1311" s="76"/>
      <c r="AX1311" s="76">
        <f>+AW1311*600000</f>
        <v>0</v>
      </c>
      <c r="AY1311" s="76"/>
      <c r="AZ1311" s="76">
        <f>+AY1311*70000</f>
        <v>0</v>
      </c>
      <c r="BA1311" s="76"/>
      <c r="BB1311" s="76"/>
      <c r="BC1311" s="76"/>
      <c r="BD1311" s="76">
        <f>+BC1311*30000</f>
        <v>0</v>
      </c>
      <c r="BE1311" s="76"/>
      <c r="BF1311" s="76"/>
      <c r="BG1311" s="76"/>
      <c r="BH1311" s="76"/>
      <c r="BI1311" s="76"/>
      <c r="BJ1311" s="76"/>
      <c r="BK1311" s="76"/>
      <c r="BL1311" s="76">
        <f>+BK1311*31500</f>
        <v>0</v>
      </c>
      <c r="BM1311" s="76"/>
      <c r="BN1311" s="76"/>
      <c r="BO1311" s="76"/>
      <c r="BP1311" s="76"/>
      <c r="BQ1311" s="76"/>
      <c r="BR1311" s="76"/>
      <c r="BS1311" s="76"/>
      <c r="BT1311" s="76"/>
      <c r="BU1311" s="76"/>
      <c r="BV1311" s="76"/>
      <c r="BW1311" s="76"/>
      <c r="BX1311" s="76"/>
      <c r="BY1311" s="76"/>
      <c r="BZ1311" s="76"/>
      <c r="CA1311" s="76"/>
      <c r="CB1311" s="76"/>
      <c r="CC1311" s="76"/>
      <c r="CD1311" s="76"/>
      <c r="CE1311" s="76"/>
      <c r="CF1311" s="76">
        <f>+CE1311*28000</f>
        <v>0</v>
      </c>
      <c r="CG1311" s="76"/>
      <c r="CH1311" s="76">
        <f>+CG1311*22500</f>
        <v>0</v>
      </c>
      <c r="CI1311" s="76"/>
      <c r="CJ1311" s="76">
        <f>+CI1311*26000</f>
        <v>0</v>
      </c>
      <c r="CK1311" s="76"/>
      <c r="CL1311" s="76"/>
      <c r="CM1311" s="76"/>
      <c r="CN1311" s="76">
        <f>+CM1311*22000</f>
        <v>0</v>
      </c>
      <c r="CO1311" s="76"/>
      <c r="CP1311" s="76">
        <f>+CO1311*46000</f>
        <v>0</v>
      </c>
      <c r="CQ1311" s="76"/>
      <c r="CR1311" s="76">
        <f>+CQ1311*49000</f>
        <v>0</v>
      </c>
      <c r="CS1311" s="76"/>
      <c r="CT1311" s="76"/>
      <c r="CU1311" s="56">
        <f>AN1311+AP1311+AR1311+AT1311+AV1311+AX1311+AZ1311+BB1311+BD1311+BF1311+BH1311+BJ1311+BL1311+BN1311+BP1311+BR1311+BT1311+BV1311+BX1311+BZ1311+CB1311+CD1311+CF1311+CH1311+CJ1311+CL1311+CN1311+CP1311+CR1311+CT1311</f>
        <v>0</v>
      </c>
      <c r="CV1311" s="76"/>
      <c r="CW1311" s="76">
        <f>+CV1311*1100</f>
        <v>0</v>
      </c>
      <c r="CX1311" s="76"/>
      <c r="CY1311" s="76">
        <f>+CX1311*106250</f>
        <v>0</v>
      </c>
      <c r="CZ1311" s="76"/>
      <c r="DA1311" s="76">
        <f>+CZ1311*34500</f>
        <v>0</v>
      </c>
      <c r="DB1311" s="76"/>
      <c r="DC1311" s="76">
        <f>+DB1311*25000</f>
        <v>0</v>
      </c>
      <c r="DD1311" s="219"/>
      <c r="DE1311" s="219"/>
      <c r="DF1311" s="166"/>
      <c r="DG1311" s="116"/>
      <c r="DH1311" s="117"/>
      <c r="DI1311" s="24"/>
      <c r="DJ1311" s="24"/>
      <c r="DK1311" s="24"/>
      <c r="DL1311" s="24"/>
      <c r="DM1311" s="24"/>
      <c r="DN1311" s="24"/>
      <c r="DO1311" s="24"/>
      <c r="DP1311" s="24"/>
      <c r="DQ1311" s="24"/>
      <c r="DR1311" s="24"/>
      <c r="DS1311" s="24"/>
      <c r="DT1311" s="24"/>
      <c r="DU1311" s="24"/>
    </row>
    <row r="1312" spans="1:125" s="8" customFormat="1" ht="48" x14ac:dyDescent="0.2">
      <c r="A1312" s="353">
        <v>41361</v>
      </c>
      <c r="B1312" s="352" t="s">
        <v>2811</v>
      </c>
      <c r="C1312" s="354" t="s">
        <v>2715</v>
      </c>
      <c r="D1312" s="354" t="s">
        <v>2849</v>
      </c>
      <c r="E1312" s="75" t="str">
        <f>VLOOKUP(B1312&amp;C1312,Divipola!$C$2:$F$1138,4,FALSE)</f>
        <v>52079</v>
      </c>
      <c r="F1312" s="87">
        <v>1</v>
      </c>
      <c r="G1312" s="87">
        <v>2</v>
      </c>
      <c r="H1312" s="87"/>
      <c r="I1312" s="87"/>
      <c r="J1312" s="87"/>
      <c r="K1312" s="87"/>
      <c r="L1312" s="87"/>
      <c r="M1312" s="87"/>
      <c r="N1312" s="87"/>
      <c r="O1312" s="87"/>
      <c r="P1312" s="87"/>
      <c r="Q1312" s="87"/>
      <c r="R1312" s="87"/>
      <c r="S1312" s="87"/>
      <c r="T1312" s="87"/>
      <c r="U1312" s="88"/>
      <c r="V1312" s="89"/>
      <c r="W1312" s="96">
        <v>0</v>
      </c>
      <c r="X1312" s="71">
        <f>CU1312</f>
        <v>0</v>
      </c>
      <c r="Y1312" s="71">
        <f>CY1312</f>
        <v>0</v>
      </c>
      <c r="Z1312" s="71">
        <f>DA1312+DC1312+DE1312</f>
        <v>0</v>
      </c>
      <c r="AA1312" s="71">
        <f>CW1312</f>
        <v>0</v>
      </c>
      <c r="AB1312" s="71"/>
      <c r="AC1312" s="71">
        <v>0</v>
      </c>
      <c r="AD1312" s="71">
        <f>W1312+X1312+Y1312+Z1312+AA1312+AB1312+AC1312</f>
        <v>0</v>
      </c>
      <c r="AE1312" s="72">
        <v>0</v>
      </c>
      <c r="AF1312" s="5"/>
      <c r="AG1312" s="6"/>
      <c r="AH1312" s="27" t="s">
        <v>3392</v>
      </c>
      <c r="AI1312" s="44" t="s">
        <v>3393</v>
      </c>
      <c r="AJ1312" s="26"/>
      <c r="AK1312" s="5"/>
      <c r="AL1312" s="82" t="s">
        <v>4117</v>
      </c>
      <c r="AM1312" s="76"/>
      <c r="AN1312" s="76"/>
      <c r="AO1312" s="76"/>
      <c r="AP1312" s="76"/>
      <c r="AQ1312" s="76"/>
      <c r="AR1312" s="76"/>
      <c r="AS1312" s="76"/>
      <c r="AT1312" s="76"/>
      <c r="AU1312" s="76"/>
      <c r="AV1312" s="76"/>
      <c r="AW1312" s="76"/>
      <c r="AX1312" s="76">
        <f>+AW1312*600000</f>
        <v>0</v>
      </c>
      <c r="AY1312" s="76"/>
      <c r="AZ1312" s="76">
        <f>+AY1312*70000</f>
        <v>0</v>
      </c>
      <c r="BA1312" s="76"/>
      <c r="BB1312" s="76"/>
      <c r="BC1312" s="76"/>
      <c r="BD1312" s="76">
        <f>+BC1312*30000</f>
        <v>0</v>
      </c>
      <c r="BE1312" s="76"/>
      <c r="BF1312" s="76"/>
      <c r="BG1312" s="76"/>
      <c r="BH1312" s="76"/>
      <c r="BI1312" s="76"/>
      <c r="BJ1312" s="76"/>
      <c r="BK1312" s="76"/>
      <c r="BL1312" s="76">
        <f>+BK1312*31500</f>
        <v>0</v>
      </c>
      <c r="BM1312" s="76"/>
      <c r="BN1312" s="76"/>
      <c r="BO1312" s="76"/>
      <c r="BP1312" s="76"/>
      <c r="BQ1312" s="76"/>
      <c r="BR1312" s="76"/>
      <c r="BS1312" s="76"/>
      <c r="BT1312" s="76"/>
      <c r="BU1312" s="76"/>
      <c r="BV1312" s="76"/>
      <c r="BW1312" s="76"/>
      <c r="BX1312" s="76"/>
      <c r="BY1312" s="76"/>
      <c r="BZ1312" s="76"/>
      <c r="CA1312" s="76"/>
      <c r="CB1312" s="76"/>
      <c r="CC1312" s="76"/>
      <c r="CD1312" s="76"/>
      <c r="CE1312" s="76"/>
      <c r="CF1312" s="76">
        <f>+CE1312*28000</f>
        <v>0</v>
      </c>
      <c r="CG1312" s="76"/>
      <c r="CH1312" s="76">
        <f>+CG1312*22500</f>
        <v>0</v>
      </c>
      <c r="CI1312" s="76"/>
      <c r="CJ1312" s="76">
        <f>+CI1312*26000</f>
        <v>0</v>
      </c>
      <c r="CK1312" s="76"/>
      <c r="CL1312" s="76"/>
      <c r="CM1312" s="76"/>
      <c r="CN1312" s="76">
        <f>+CM1312*22000</f>
        <v>0</v>
      </c>
      <c r="CO1312" s="76"/>
      <c r="CP1312" s="76">
        <f>+CO1312*46000</f>
        <v>0</v>
      </c>
      <c r="CQ1312" s="76"/>
      <c r="CR1312" s="76">
        <f>+CQ1312*49000</f>
        <v>0</v>
      </c>
      <c r="CS1312" s="76"/>
      <c r="CT1312" s="76"/>
      <c r="CU1312" s="56">
        <f>AN1312+AP1312+AR1312+AT1312+AV1312+AX1312+AZ1312+BB1312+BD1312+BF1312+BH1312+BJ1312+BL1312+BN1312+BP1312+BR1312+BT1312+BV1312+BX1312+BZ1312+CB1312+CD1312+CF1312+CH1312+CJ1312+CL1312+CN1312+CP1312+CR1312+CT1312</f>
        <v>0</v>
      </c>
      <c r="CV1312" s="76"/>
      <c r="CW1312" s="76">
        <f>+CV1312*1100</f>
        <v>0</v>
      </c>
      <c r="CX1312" s="76"/>
      <c r="CY1312" s="76">
        <f>+CX1312*106250</f>
        <v>0</v>
      </c>
      <c r="CZ1312" s="76"/>
      <c r="DA1312" s="76">
        <f>+CZ1312*34500</f>
        <v>0</v>
      </c>
      <c r="DB1312" s="76"/>
      <c r="DC1312" s="76">
        <f>+DB1312*25000</f>
        <v>0</v>
      </c>
      <c r="DD1312" s="219"/>
      <c r="DE1312" s="219"/>
      <c r="DF1312" s="166"/>
      <c r="DG1312" s="116"/>
      <c r="DH1312" s="117"/>
      <c r="DI1312" s="24"/>
      <c r="DJ1312" s="24"/>
      <c r="DK1312" s="24"/>
      <c r="DL1312" s="24"/>
      <c r="DM1312" s="24"/>
      <c r="DN1312" s="24"/>
      <c r="DO1312" s="24"/>
      <c r="DP1312" s="24"/>
      <c r="DQ1312" s="24"/>
      <c r="DR1312" s="24"/>
      <c r="DS1312" s="24"/>
      <c r="DT1312" s="24"/>
      <c r="DU1312" s="24"/>
    </row>
    <row r="1313" spans="1:125" s="8" customFormat="1" ht="36" x14ac:dyDescent="0.2">
      <c r="A1313" s="226">
        <v>41361</v>
      </c>
      <c r="B1313" s="225" t="s">
        <v>2848</v>
      </c>
      <c r="C1313" s="227" t="s">
        <v>1859</v>
      </c>
      <c r="D1313" s="227" t="s">
        <v>2859</v>
      </c>
      <c r="E1313" s="75" t="str">
        <f>VLOOKUP(B1313&amp;C1313,Divipola!$C$2:$F$1138,4,FALSE)</f>
        <v>73043</v>
      </c>
      <c r="F1313" s="87"/>
      <c r="G1313" s="87"/>
      <c r="H1313" s="87"/>
      <c r="I1313" s="87">
        <v>5</v>
      </c>
      <c r="J1313" s="87">
        <v>1</v>
      </c>
      <c r="K1313" s="87"/>
      <c r="L1313" s="87">
        <v>1</v>
      </c>
      <c r="M1313" s="87"/>
      <c r="N1313" s="87"/>
      <c r="O1313" s="87"/>
      <c r="P1313" s="87"/>
      <c r="Q1313" s="87"/>
      <c r="R1313" s="87"/>
      <c r="S1313" s="87"/>
      <c r="T1313" s="87"/>
      <c r="U1313" s="88"/>
      <c r="V1313" s="89"/>
      <c r="W1313" s="96">
        <v>0</v>
      </c>
      <c r="X1313" s="71">
        <f>CU1313</f>
        <v>0</v>
      </c>
      <c r="Y1313" s="71">
        <f>CY1313</f>
        <v>0</v>
      </c>
      <c r="Z1313" s="71">
        <f>DA1313+DC1313+DE1313</f>
        <v>0</v>
      </c>
      <c r="AA1313" s="71">
        <f>CW1313</f>
        <v>0</v>
      </c>
      <c r="AB1313" s="71"/>
      <c r="AC1313" s="71">
        <v>0</v>
      </c>
      <c r="AD1313" s="71">
        <f>W1313+X1313+Y1313+Z1313+AA1313+AB1313+AC1313</f>
        <v>0</v>
      </c>
      <c r="AE1313" s="72">
        <v>0</v>
      </c>
      <c r="AF1313" s="5"/>
      <c r="AG1313" s="6"/>
      <c r="AH1313" s="27" t="s">
        <v>3392</v>
      </c>
      <c r="AI1313" s="44" t="s">
        <v>3393</v>
      </c>
      <c r="AJ1313" s="26"/>
      <c r="AK1313" s="5"/>
      <c r="AL1313" s="82" t="s">
        <v>4110</v>
      </c>
      <c r="AM1313" s="76"/>
      <c r="AN1313" s="76"/>
      <c r="AO1313" s="76"/>
      <c r="AP1313" s="76"/>
      <c r="AQ1313" s="76"/>
      <c r="AR1313" s="76"/>
      <c r="AS1313" s="76"/>
      <c r="AT1313" s="76"/>
      <c r="AU1313" s="76"/>
      <c r="AV1313" s="76"/>
      <c r="AW1313" s="76"/>
      <c r="AX1313" s="76">
        <f>+AW1313*600000</f>
        <v>0</v>
      </c>
      <c r="AY1313" s="76"/>
      <c r="AZ1313" s="76">
        <f>+AY1313*70000</f>
        <v>0</v>
      </c>
      <c r="BA1313" s="76"/>
      <c r="BB1313" s="76"/>
      <c r="BC1313" s="76"/>
      <c r="BD1313" s="76">
        <f>+BC1313*30000</f>
        <v>0</v>
      </c>
      <c r="BE1313" s="76"/>
      <c r="BF1313" s="76"/>
      <c r="BG1313" s="76"/>
      <c r="BH1313" s="76"/>
      <c r="BI1313" s="76"/>
      <c r="BJ1313" s="76"/>
      <c r="BK1313" s="76"/>
      <c r="BL1313" s="76">
        <f>+BK1313*31500</f>
        <v>0</v>
      </c>
      <c r="BM1313" s="76"/>
      <c r="BN1313" s="76"/>
      <c r="BO1313" s="76"/>
      <c r="BP1313" s="76"/>
      <c r="BQ1313" s="76"/>
      <c r="BR1313" s="76"/>
      <c r="BS1313" s="76"/>
      <c r="BT1313" s="76"/>
      <c r="BU1313" s="76"/>
      <c r="BV1313" s="76"/>
      <c r="BW1313" s="76"/>
      <c r="BX1313" s="76"/>
      <c r="BY1313" s="76"/>
      <c r="BZ1313" s="76"/>
      <c r="CA1313" s="76"/>
      <c r="CB1313" s="76"/>
      <c r="CC1313" s="76"/>
      <c r="CD1313" s="76"/>
      <c r="CE1313" s="76"/>
      <c r="CF1313" s="76">
        <f>+CE1313*28000</f>
        <v>0</v>
      </c>
      <c r="CG1313" s="76"/>
      <c r="CH1313" s="76">
        <f>+CG1313*22500</f>
        <v>0</v>
      </c>
      <c r="CI1313" s="76"/>
      <c r="CJ1313" s="76">
        <f>+CI1313*26000</f>
        <v>0</v>
      </c>
      <c r="CK1313" s="76"/>
      <c r="CL1313" s="76"/>
      <c r="CM1313" s="76"/>
      <c r="CN1313" s="76">
        <f>+CM1313*22000</f>
        <v>0</v>
      </c>
      <c r="CO1313" s="76"/>
      <c r="CP1313" s="76">
        <f>+CO1313*46000</f>
        <v>0</v>
      </c>
      <c r="CQ1313" s="76"/>
      <c r="CR1313" s="76">
        <f>+CQ1313*49000</f>
        <v>0</v>
      </c>
      <c r="CS1313" s="76"/>
      <c r="CT1313" s="76"/>
      <c r="CU1313" s="56">
        <f>AN1313+AP1313+AR1313+AT1313+AV1313+AX1313+AZ1313+BB1313+BD1313+BF1313+BH1313+BJ1313+BL1313+BN1313+BP1313+BR1313+BT1313+BV1313+BX1313+BZ1313+CB1313+CD1313+CF1313+CH1313+CJ1313+CL1313+CN1313+CP1313+CR1313+CT1313</f>
        <v>0</v>
      </c>
      <c r="CV1313" s="76"/>
      <c r="CW1313" s="76">
        <f>+CV1313*1100</f>
        <v>0</v>
      </c>
      <c r="CX1313" s="76"/>
      <c r="CY1313" s="76">
        <f>+CX1313*106250</f>
        <v>0</v>
      </c>
      <c r="CZ1313" s="76"/>
      <c r="DA1313" s="76">
        <f>+CZ1313*34500</f>
        <v>0</v>
      </c>
      <c r="DB1313" s="76"/>
      <c r="DC1313" s="76">
        <f>+DB1313*25000</f>
        <v>0</v>
      </c>
      <c r="DD1313" s="219"/>
      <c r="DE1313" s="219"/>
      <c r="DF1313" s="166"/>
      <c r="DG1313" s="116"/>
      <c r="DH1313" s="117"/>
      <c r="DI1313" s="24"/>
      <c r="DJ1313" s="24"/>
      <c r="DK1313" s="24"/>
      <c r="DL1313" s="24"/>
      <c r="DM1313" s="24"/>
      <c r="DN1313" s="24"/>
      <c r="DO1313" s="24"/>
      <c r="DP1313" s="24"/>
      <c r="DQ1313" s="24"/>
      <c r="DR1313" s="24"/>
      <c r="DS1313" s="24"/>
      <c r="DT1313" s="24"/>
      <c r="DU1313" s="24"/>
    </row>
    <row r="1314" spans="1:125" s="8" customFormat="1" ht="132" x14ac:dyDescent="0.2">
      <c r="A1314" s="77">
        <v>41361</v>
      </c>
      <c r="B1314" s="78" t="s">
        <v>2848</v>
      </c>
      <c r="C1314" s="75" t="s">
        <v>2755</v>
      </c>
      <c r="D1314" s="75" t="s">
        <v>2142</v>
      </c>
      <c r="E1314" s="75" t="str">
        <f>VLOOKUP(B1314&amp;C1314,Divipola!$C$2:$F$1138,4,FALSE)</f>
        <v>73001</v>
      </c>
      <c r="F1314" s="87"/>
      <c r="G1314" s="87"/>
      <c r="H1314" s="87">
        <v>7</v>
      </c>
      <c r="I1314" s="87">
        <v>7</v>
      </c>
      <c r="J1314" s="87"/>
      <c r="K1314" s="87"/>
      <c r="L1314" s="87"/>
      <c r="M1314" s="87"/>
      <c r="N1314" s="87"/>
      <c r="O1314" s="87"/>
      <c r="P1314" s="87"/>
      <c r="Q1314" s="87"/>
      <c r="R1314" s="87"/>
      <c r="S1314" s="87"/>
      <c r="T1314" s="87"/>
      <c r="U1314" s="88"/>
      <c r="V1314" s="89"/>
      <c r="W1314" s="96">
        <v>0</v>
      </c>
      <c r="X1314" s="71">
        <f>CU1314</f>
        <v>0</v>
      </c>
      <c r="Y1314" s="71">
        <f>CY1314</f>
        <v>0</v>
      </c>
      <c r="Z1314" s="71">
        <f>DA1314+DC1314+DE1314</f>
        <v>0</v>
      </c>
      <c r="AA1314" s="71">
        <f>CW1314</f>
        <v>0</v>
      </c>
      <c r="AB1314" s="71"/>
      <c r="AC1314" s="71">
        <v>0</v>
      </c>
      <c r="AD1314" s="71">
        <f>W1314+X1314+Y1314+Z1314+AA1314+AB1314+AC1314</f>
        <v>0</v>
      </c>
      <c r="AE1314" s="72">
        <v>0</v>
      </c>
      <c r="AF1314" s="5"/>
      <c r="AG1314" s="6"/>
      <c r="AH1314" s="27" t="s">
        <v>3392</v>
      </c>
      <c r="AI1314" s="44" t="s">
        <v>3393</v>
      </c>
      <c r="AJ1314" s="26"/>
      <c r="AK1314" s="5"/>
      <c r="AL1314" s="82" t="s">
        <v>4105</v>
      </c>
      <c r="AM1314" s="76"/>
      <c r="AN1314" s="76"/>
      <c r="AO1314" s="76"/>
      <c r="AP1314" s="76"/>
      <c r="AQ1314" s="76"/>
      <c r="AR1314" s="76"/>
      <c r="AS1314" s="76"/>
      <c r="AT1314" s="76"/>
      <c r="AU1314" s="76"/>
      <c r="AV1314" s="76"/>
      <c r="AW1314" s="76"/>
      <c r="AX1314" s="76">
        <f>+AW1314*600000</f>
        <v>0</v>
      </c>
      <c r="AY1314" s="76"/>
      <c r="AZ1314" s="76">
        <f>+AY1314*70000</f>
        <v>0</v>
      </c>
      <c r="BA1314" s="76"/>
      <c r="BB1314" s="76"/>
      <c r="BC1314" s="76"/>
      <c r="BD1314" s="76">
        <f>+BC1314*30000</f>
        <v>0</v>
      </c>
      <c r="BE1314" s="76"/>
      <c r="BF1314" s="76"/>
      <c r="BG1314" s="76"/>
      <c r="BH1314" s="76"/>
      <c r="BI1314" s="76"/>
      <c r="BJ1314" s="76"/>
      <c r="BK1314" s="76"/>
      <c r="BL1314" s="76">
        <f>+BK1314*31500</f>
        <v>0</v>
      </c>
      <c r="BM1314" s="76"/>
      <c r="BN1314" s="76"/>
      <c r="BO1314" s="76"/>
      <c r="BP1314" s="76"/>
      <c r="BQ1314" s="76"/>
      <c r="BR1314" s="76"/>
      <c r="BS1314" s="76"/>
      <c r="BT1314" s="76"/>
      <c r="BU1314" s="76"/>
      <c r="BV1314" s="76"/>
      <c r="BW1314" s="76"/>
      <c r="BX1314" s="76"/>
      <c r="BY1314" s="76"/>
      <c r="BZ1314" s="76"/>
      <c r="CA1314" s="76"/>
      <c r="CB1314" s="76"/>
      <c r="CC1314" s="76"/>
      <c r="CD1314" s="76"/>
      <c r="CE1314" s="76"/>
      <c r="CF1314" s="76">
        <f>+CE1314*28000</f>
        <v>0</v>
      </c>
      <c r="CG1314" s="76"/>
      <c r="CH1314" s="76">
        <f>+CG1314*22500</f>
        <v>0</v>
      </c>
      <c r="CI1314" s="76"/>
      <c r="CJ1314" s="76">
        <f>+CI1314*26000</f>
        <v>0</v>
      </c>
      <c r="CK1314" s="76"/>
      <c r="CL1314" s="76"/>
      <c r="CM1314" s="76"/>
      <c r="CN1314" s="76">
        <f>+CM1314*22000</f>
        <v>0</v>
      </c>
      <c r="CO1314" s="76"/>
      <c r="CP1314" s="76">
        <f>+CO1314*46000</f>
        <v>0</v>
      </c>
      <c r="CQ1314" s="76"/>
      <c r="CR1314" s="76">
        <f>+CQ1314*49000</f>
        <v>0</v>
      </c>
      <c r="CS1314" s="76"/>
      <c r="CT1314" s="76"/>
      <c r="CU1314" s="56">
        <f>AN1314+AP1314+AR1314+AT1314+AV1314+AX1314+AZ1314+BB1314+BD1314+BF1314+BH1314+BJ1314+BL1314+BN1314+BP1314+BR1314+BT1314+BV1314+BX1314+BZ1314+CB1314+CD1314+CF1314+CH1314+CJ1314+CL1314+CN1314+CP1314+CR1314+CT1314</f>
        <v>0</v>
      </c>
      <c r="CV1314" s="76"/>
      <c r="CW1314" s="76">
        <f>+CV1314*1100</f>
        <v>0</v>
      </c>
      <c r="CX1314" s="76"/>
      <c r="CY1314" s="76">
        <f>+CX1314*106250</f>
        <v>0</v>
      </c>
      <c r="CZ1314" s="76"/>
      <c r="DA1314" s="76">
        <f>+CZ1314*34500</f>
        <v>0</v>
      </c>
      <c r="DB1314" s="76"/>
      <c r="DC1314" s="76">
        <f>+DB1314*25000</f>
        <v>0</v>
      </c>
      <c r="DD1314" s="219"/>
      <c r="DE1314" s="219"/>
      <c r="DF1314" s="166"/>
      <c r="DG1314" s="116"/>
      <c r="DH1314" s="117"/>
      <c r="DI1314" s="24"/>
      <c r="DJ1314" s="24"/>
      <c r="DK1314" s="24"/>
      <c r="DL1314" s="24"/>
      <c r="DM1314" s="24"/>
      <c r="DN1314" s="24"/>
      <c r="DO1314" s="24"/>
      <c r="DP1314" s="24"/>
      <c r="DQ1314" s="24"/>
      <c r="DR1314" s="24"/>
      <c r="DS1314" s="24"/>
      <c r="DT1314" s="24"/>
      <c r="DU1314" s="24"/>
    </row>
    <row r="1315" spans="1:125" s="8" customFormat="1" ht="24" x14ac:dyDescent="0.2">
      <c r="A1315" s="77">
        <v>41362</v>
      </c>
      <c r="B1315" s="78" t="s">
        <v>2854</v>
      </c>
      <c r="C1315" s="75" t="s">
        <v>2731</v>
      </c>
      <c r="D1315" s="75" t="s">
        <v>2882</v>
      </c>
      <c r="E1315" s="75" t="str">
        <f>VLOOKUP(B1315&amp;C1315,Divipola!$C$2:$F$1138,4,FALSE)</f>
        <v>19001</v>
      </c>
      <c r="F1315" s="87"/>
      <c r="G1315" s="87"/>
      <c r="H1315" s="87"/>
      <c r="I1315" s="87">
        <v>55</v>
      </c>
      <c r="J1315" s="87">
        <v>11</v>
      </c>
      <c r="K1315" s="87"/>
      <c r="L1315" s="87">
        <v>11</v>
      </c>
      <c r="M1315" s="87"/>
      <c r="N1315" s="87"/>
      <c r="O1315" s="87"/>
      <c r="P1315" s="87"/>
      <c r="Q1315" s="87"/>
      <c r="R1315" s="87"/>
      <c r="S1315" s="87"/>
      <c r="T1315" s="87"/>
      <c r="U1315" s="88"/>
      <c r="V1315" s="89"/>
      <c r="W1315" s="96">
        <v>0</v>
      </c>
      <c r="X1315" s="71">
        <f>CU1315</f>
        <v>0</v>
      </c>
      <c r="Y1315" s="71">
        <f>CY1315</f>
        <v>0</v>
      </c>
      <c r="Z1315" s="71">
        <f>DA1315+DC1315+DE1315</f>
        <v>0</v>
      </c>
      <c r="AA1315" s="71">
        <f>CW1315</f>
        <v>0</v>
      </c>
      <c r="AB1315" s="71"/>
      <c r="AC1315" s="71">
        <v>0</v>
      </c>
      <c r="AD1315" s="71">
        <f>W1315+X1315+Y1315+Z1315+AA1315+AB1315+AC1315</f>
        <v>0</v>
      </c>
      <c r="AE1315" s="72">
        <v>0</v>
      </c>
      <c r="AF1315" s="5"/>
      <c r="AG1315" s="6"/>
      <c r="AH1315" s="27" t="s">
        <v>3392</v>
      </c>
      <c r="AI1315" s="44" t="s">
        <v>3393</v>
      </c>
      <c r="AJ1315" s="26"/>
      <c r="AK1315" s="5"/>
      <c r="AL1315" s="82" t="s">
        <v>4113</v>
      </c>
      <c r="AM1315" s="76"/>
      <c r="AN1315" s="76"/>
      <c r="AO1315" s="76"/>
      <c r="AP1315" s="76"/>
      <c r="AQ1315" s="76"/>
      <c r="AR1315" s="76"/>
      <c r="AS1315" s="76"/>
      <c r="AT1315" s="76"/>
      <c r="AU1315" s="76"/>
      <c r="AV1315" s="76"/>
      <c r="AW1315" s="76"/>
      <c r="AX1315" s="76">
        <f>+AW1315*600000</f>
        <v>0</v>
      </c>
      <c r="AY1315" s="76"/>
      <c r="AZ1315" s="76">
        <f>+AY1315*70000</f>
        <v>0</v>
      </c>
      <c r="BA1315" s="76"/>
      <c r="BB1315" s="76"/>
      <c r="BC1315" s="76"/>
      <c r="BD1315" s="76">
        <f>+BC1315*30000</f>
        <v>0</v>
      </c>
      <c r="BE1315" s="76"/>
      <c r="BF1315" s="76"/>
      <c r="BG1315" s="76"/>
      <c r="BH1315" s="76"/>
      <c r="BI1315" s="76"/>
      <c r="BJ1315" s="76"/>
      <c r="BK1315" s="76"/>
      <c r="BL1315" s="76">
        <f>+BK1315*31500</f>
        <v>0</v>
      </c>
      <c r="BM1315" s="76"/>
      <c r="BN1315" s="76"/>
      <c r="BO1315" s="76"/>
      <c r="BP1315" s="76"/>
      <c r="BQ1315" s="76"/>
      <c r="BR1315" s="76"/>
      <c r="BS1315" s="76"/>
      <c r="BT1315" s="76"/>
      <c r="BU1315" s="76"/>
      <c r="BV1315" s="76"/>
      <c r="BW1315" s="76"/>
      <c r="BX1315" s="76"/>
      <c r="BY1315" s="76"/>
      <c r="BZ1315" s="76"/>
      <c r="CA1315" s="76"/>
      <c r="CB1315" s="76"/>
      <c r="CC1315" s="76"/>
      <c r="CD1315" s="76"/>
      <c r="CE1315" s="76"/>
      <c r="CF1315" s="76">
        <f>+CE1315*28000</f>
        <v>0</v>
      </c>
      <c r="CG1315" s="76"/>
      <c r="CH1315" s="76">
        <f>+CG1315*22500</f>
        <v>0</v>
      </c>
      <c r="CI1315" s="76"/>
      <c r="CJ1315" s="76">
        <f>+CI1315*26000</f>
        <v>0</v>
      </c>
      <c r="CK1315" s="76"/>
      <c r="CL1315" s="76"/>
      <c r="CM1315" s="76"/>
      <c r="CN1315" s="76">
        <f>+CM1315*22000</f>
        <v>0</v>
      </c>
      <c r="CO1315" s="76"/>
      <c r="CP1315" s="76">
        <f>+CO1315*46000</f>
        <v>0</v>
      </c>
      <c r="CQ1315" s="76"/>
      <c r="CR1315" s="76">
        <f>+CQ1315*49000</f>
        <v>0</v>
      </c>
      <c r="CS1315" s="76"/>
      <c r="CT1315" s="76"/>
      <c r="CU1315" s="56">
        <f>AN1315+AP1315+AR1315+AT1315+AV1315+AX1315+AZ1315+BB1315+BD1315+BF1315+BH1315+BJ1315+BL1315+BN1315+BP1315+BR1315+BT1315+BV1315+BX1315+BZ1315+CB1315+CD1315+CF1315+CH1315+CJ1315+CL1315+CN1315+CP1315+CR1315+CT1315</f>
        <v>0</v>
      </c>
      <c r="CV1315" s="76"/>
      <c r="CW1315" s="76">
        <f>+CV1315*1100</f>
        <v>0</v>
      </c>
      <c r="CX1315" s="76"/>
      <c r="CY1315" s="76">
        <f>+CX1315*106250</f>
        <v>0</v>
      </c>
      <c r="CZ1315" s="76"/>
      <c r="DA1315" s="76">
        <f>+CZ1315*34500</f>
        <v>0</v>
      </c>
      <c r="DB1315" s="76"/>
      <c r="DC1315" s="76">
        <f>+DB1315*25000</f>
        <v>0</v>
      </c>
      <c r="DD1315" s="219"/>
      <c r="DE1315" s="219"/>
      <c r="DF1315" s="166"/>
      <c r="DG1315" s="116"/>
      <c r="DH1315" s="117"/>
      <c r="DI1315" s="24"/>
      <c r="DJ1315" s="24"/>
      <c r="DK1315" s="24"/>
      <c r="DL1315" s="24"/>
      <c r="DM1315" s="24"/>
      <c r="DN1315" s="24"/>
      <c r="DO1315" s="24"/>
      <c r="DP1315" s="24"/>
      <c r="DQ1315" s="24"/>
      <c r="DR1315" s="24"/>
      <c r="DS1315" s="24"/>
      <c r="DT1315" s="24"/>
      <c r="DU1315" s="24"/>
    </row>
    <row r="1316" spans="1:125" s="8" customFormat="1" ht="60" x14ac:dyDescent="0.2">
      <c r="A1316" s="77">
        <v>41362</v>
      </c>
      <c r="B1316" s="78" t="s">
        <v>2718</v>
      </c>
      <c r="C1316" s="75" t="s">
        <v>2793</v>
      </c>
      <c r="D1316" s="75" t="s">
        <v>2882</v>
      </c>
      <c r="E1316" s="75" t="str">
        <f>VLOOKUP(B1316&amp;C1316,Divipola!$C$2:$F$1138,4,FALSE)</f>
        <v>23001</v>
      </c>
      <c r="F1316" s="87"/>
      <c r="G1316" s="87"/>
      <c r="H1316" s="87"/>
      <c r="I1316" s="87">
        <v>105</v>
      </c>
      <c r="J1316" s="87">
        <v>21</v>
      </c>
      <c r="K1316" s="87"/>
      <c r="L1316" s="87">
        <v>21</v>
      </c>
      <c r="M1316" s="87"/>
      <c r="N1316" s="87"/>
      <c r="O1316" s="87"/>
      <c r="P1316" s="87"/>
      <c r="Q1316" s="87"/>
      <c r="R1316" s="87"/>
      <c r="S1316" s="87"/>
      <c r="T1316" s="87"/>
      <c r="U1316" s="88"/>
      <c r="V1316" s="89"/>
      <c r="W1316" s="96">
        <v>0</v>
      </c>
      <c r="X1316" s="71">
        <f>CU1316</f>
        <v>0</v>
      </c>
      <c r="Y1316" s="71">
        <f>CY1316</f>
        <v>0</v>
      </c>
      <c r="Z1316" s="71">
        <f>DA1316+DC1316+DE1316</f>
        <v>0</v>
      </c>
      <c r="AA1316" s="71">
        <f>CW1316</f>
        <v>0</v>
      </c>
      <c r="AB1316" s="71"/>
      <c r="AC1316" s="71">
        <v>0</v>
      </c>
      <c r="AD1316" s="71">
        <f>W1316+X1316+Y1316+Z1316+AA1316+AB1316+AC1316</f>
        <v>0</v>
      </c>
      <c r="AE1316" s="72">
        <v>0</v>
      </c>
      <c r="AF1316" s="5"/>
      <c r="AG1316" s="6"/>
      <c r="AH1316" s="27" t="s">
        <v>3392</v>
      </c>
      <c r="AI1316" s="44" t="s">
        <v>3393</v>
      </c>
      <c r="AJ1316" s="26"/>
      <c r="AK1316" s="5"/>
      <c r="AL1316" s="82" t="s">
        <v>4150</v>
      </c>
      <c r="AM1316" s="76"/>
      <c r="AN1316" s="76"/>
      <c r="AO1316" s="76"/>
      <c r="AP1316" s="76"/>
      <c r="AQ1316" s="76"/>
      <c r="AR1316" s="76"/>
      <c r="AS1316" s="76"/>
      <c r="AT1316" s="76"/>
      <c r="AU1316" s="76"/>
      <c r="AV1316" s="76"/>
      <c r="AW1316" s="76"/>
      <c r="AX1316" s="76">
        <f>+AW1316*600000</f>
        <v>0</v>
      </c>
      <c r="AY1316" s="76"/>
      <c r="AZ1316" s="76">
        <f>+AY1316*70000</f>
        <v>0</v>
      </c>
      <c r="BA1316" s="76"/>
      <c r="BB1316" s="76"/>
      <c r="BC1316" s="76"/>
      <c r="BD1316" s="76">
        <f>+BC1316*30000</f>
        <v>0</v>
      </c>
      <c r="BE1316" s="76"/>
      <c r="BF1316" s="76"/>
      <c r="BG1316" s="76"/>
      <c r="BH1316" s="76"/>
      <c r="BI1316" s="76"/>
      <c r="BJ1316" s="76"/>
      <c r="BK1316" s="76"/>
      <c r="BL1316" s="76">
        <f>+BK1316*31500</f>
        <v>0</v>
      </c>
      <c r="BM1316" s="76"/>
      <c r="BN1316" s="76"/>
      <c r="BO1316" s="76"/>
      <c r="BP1316" s="76"/>
      <c r="BQ1316" s="76"/>
      <c r="BR1316" s="76"/>
      <c r="BS1316" s="76"/>
      <c r="BT1316" s="76"/>
      <c r="BU1316" s="76"/>
      <c r="BV1316" s="76"/>
      <c r="BW1316" s="76"/>
      <c r="BX1316" s="76"/>
      <c r="BY1316" s="76"/>
      <c r="BZ1316" s="76"/>
      <c r="CA1316" s="76"/>
      <c r="CB1316" s="76"/>
      <c r="CC1316" s="76"/>
      <c r="CD1316" s="76"/>
      <c r="CE1316" s="76"/>
      <c r="CF1316" s="76">
        <f>+CE1316*28000</f>
        <v>0</v>
      </c>
      <c r="CG1316" s="76"/>
      <c r="CH1316" s="76">
        <f>+CG1316*22500</f>
        <v>0</v>
      </c>
      <c r="CI1316" s="76"/>
      <c r="CJ1316" s="76">
        <f>+CI1316*26000</f>
        <v>0</v>
      </c>
      <c r="CK1316" s="76"/>
      <c r="CL1316" s="76"/>
      <c r="CM1316" s="76"/>
      <c r="CN1316" s="76">
        <f>+CM1316*22000</f>
        <v>0</v>
      </c>
      <c r="CO1316" s="76"/>
      <c r="CP1316" s="76">
        <f>+CO1316*46000</f>
        <v>0</v>
      </c>
      <c r="CQ1316" s="76"/>
      <c r="CR1316" s="76">
        <f>+CQ1316*49000</f>
        <v>0</v>
      </c>
      <c r="CS1316" s="76"/>
      <c r="CT1316" s="76"/>
      <c r="CU1316" s="56">
        <f>AN1316+AP1316+AR1316+AT1316+AV1316+AX1316+AZ1316+BB1316+BD1316+BF1316+BH1316+BJ1316+BL1316+BN1316+BP1316+BR1316+BT1316+BV1316+BX1316+BZ1316+CB1316+CD1316+CF1316+CH1316+CJ1316+CL1316+CN1316+CP1316+CR1316+CT1316</f>
        <v>0</v>
      </c>
      <c r="CV1316" s="76"/>
      <c r="CW1316" s="76">
        <f>+CV1316*1100</f>
        <v>0</v>
      </c>
      <c r="CX1316" s="76"/>
      <c r="CY1316" s="76">
        <f>+CX1316*106250</f>
        <v>0</v>
      </c>
      <c r="CZ1316" s="76"/>
      <c r="DA1316" s="76">
        <f>+CZ1316*34500</f>
        <v>0</v>
      </c>
      <c r="DB1316" s="76"/>
      <c r="DC1316" s="76">
        <f>+DB1316*25000</f>
        <v>0</v>
      </c>
      <c r="DD1316" s="219"/>
      <c r="DE1316" s="219"/>
      <c r="DF1316" s="166"/>
      <c r="DG1316" s="116"/>
      <c r="DH1316" s="117"/>
      <c r="DI1316" s="24"/>
      <c r="DJ1316" s="24"/>
      <c r="DK1316" s="24"/>
      <c r="DL1316" s="24"/>
      <c r="DM1316" s="24"/>
      <c r="DN1316" s="24"/>
      <c r="DO1316" s="24"/>
      <c r="DP1316" s="24"/>
      <c r="DQ1316" s="24"/>
      <c r="DR1316" s="24"/>
      <c r="DS1316" s="24"/>
      <c r="DT1316" s="24"/>
      <c r="DU1316" s="24"/>
    </row>
    <row r="1317" spans="1:125" s="8" customFormat="1" ht="48" x14ac:dyDescent="0.2">
      <c r="A1317" s="77">
        <v>41362</v>
      </c>
      <c r="B1317" s="78" t="s">
        <v>2718</v>
      </c>
      <c r="C1317" s="83" t="s">
        <v>986</v>
      </c>
      <c r="D1317" s="75" t="s">
        <v>2882</v>
      </c>
      <c r="E1317" s="75" t="str">
        <f>VLOOKUP(B1317&amp;C1317,Divipola!$C$2:$F$1138,4,FALSE)</f>
        <v>23660</v>
      </c>
      <c r="F1317" s="93"/>
      <c r="G1317" s="93"/>
      <c r="H1317" s="93"/>
      <c r="I1317" s="93">
        <v>15</v>
      </c>
      <c r="J1317" s="93">
        <v>3</v>
      </c>
      <c r="K1317" s="93"/>
      <c r="L1317" s="93">
        <v>3</v>
      </c>
      <c r="M1317" s="93"/>
      <c r="N1317" s="93"/>
      <c r="O1317" s="93"/>
      <c r="P1317" s="93"/>
      <c r="Q1317" s="93"/>
      <c r="R1317" s="93"/>
      <c r="S1317" s="93"/>
      <c r="T1317" s="93"/>
      <c r="U1317" s="93"/>
      <c r="V1317" s="89"/>
      <c r="W1317" s="96">
        <v>0</v>
      </c>
      <c r="X1317" s="71">
        <f>CU1317</f>
        <v>0</v>
      </c>
      <c r="Y1317" s="71">
        <f>CY1317</f>
        <v>0</v>
      </c>
      <c r="Z1317" s="71">
        <f>DA1317+DC1317+DE1317</f>
        <v>0</v>
      </c>
      <c r="AA1317" s="71">
        <f>CW1317</f>
        <v>0</v>
      </c>
      <c r="AB1317" s="71"/>
      <c r="AC1317" s="71">
        <v>0</v>
      </c>
      <c r="AD1317" s="71">
        <f>W1317+X1317+Y1317+Z1317+AA1317+AB1317+AC1317</f>
        <v>0</v>
      </c>
      <c r="AE1317" s="72">
        <v>0</v>
      </c>
      <c r="AF1317" s="5"/>
      <c r="AG1317" s="6"/>
      <c r="AH1317" s="27" t="s">
        <v>3392</v>
      </c>
      <c r="AI1317" s="44" t="s">
        <v>3393</v>
      </c>
      <c r="AJ1317" s="26"/>
      <c r="AK1317" s="5"/>
      <c r="AL1317" s="82" t="s">
        <v>4151</v>
      </c>
      <c r="AM1317" s="76"/>
      <c r="AN1317" s="76"/>
      <c r="AO1317" s="76"/>
      <c r="AP1317" s="76"/>
      <c r="AQ1317" s="76"/>
      <c r="AR1317" s="76"/>
      <c r="AS1317" s="76"/>
      <c r="AT1317" s="76"/>
      <c r="AU1317" s="76"/>
      <c r="AV1317" s="76"/>
      <c r="AW1317" s="76"/>
      <c r="AX1317" s="76">
        <f>+AW1317*600000</f>
        <v>0</v>
      </c>
      <c r="AY1317" s="76"/>
      <c r="AZ1317" s="76">
        <f>+AY1317*70000</f>
        <v>0</v>
      </c>
      <c r="BA1317" s="76"/>
      <c r="BB1317" s="76"/>
      <c r="BC1317" s="76"/>
      <c r="BD1317" s="76">
        <f>+BC1317*30000</f>
        <v>0</v>
      </c>
      <c r="BE1317" s="76"/>
      <c r="BF1317" s="76"/>
      <c r="BG1317" s="76"/>
      <c r="BH1317" s="76"/>
      <c r="BI1317" s="76"/>
      <c r="BJ1317" s="76"/>
      <c r="BK1317" s="76"/>
      <c r="BL1317" s="76">
        <f>+BK1317*31500</f>
        <v>0</v>
      </c>
      <c r="BM1317" s="76"/>
      <c r="BN1317" s="76"/>
      <c r="BO1317" s="76"/>
      <c r="BP1317" s="76"/>
      <c r="BQ1317" s="76"/>
      <c r="BR1317" s="76"/>
      <c r="BS1317" s="76"/>
      <c r="BT1317" s="76"/>
      <c r="BU1317" s="76"/>
      <c r="BV1317" s="76"/>
      <c r="BW1317" s="76"/>
      <c r="BX1317" s="76"/>
      <c r="BY1317" s="76"/>
      <c r="BZ1317" s="76"/>
      <c r="CA1317" s="76"/>
      <c r="CB1317" s="76"/>
      <c r="CC1317" s="76"/>
      <c r="CD1317" s="76"/>
      <c r="CE1317" s="76"/>
      <c r="CF1317" s="76">
        <f>+CE1317*28000</f>
        <v>0</v>
      </c>
      <c r="CG1317" s="76"/>
      <c r="CH1317" s="76">
        <f>+CG1317*22500</f>
        <v>0</v>
      </c>
      <c r="CI1317" s="76"/>
      <c r="CJ1317" s="76">
        <f>+CI1317*26000</f>
        <v>0</v>
      </c>
      <c r="CK1317" s="76"/>
      <c r="CL1317" s="76"/>
      <c r="CM1317" s="76"/>
      <c r="CN1317" s="76">
        <f>+CM1317*22000</f>
        <v>0</v>
      </c>
      <c r="CO1317" s="76"/>
      <c r="CP1317" s="76">
        <f>+CO1317*46000</f>
        <v>0</v>
      </c>
      <c r="CQ1317" s="76"/>
      <c r="CR1317" s="76">
        <f>+CQ1317*49000</f>
        <v>0</v>
      </c>
      <c r="CS1317" s="76"/>
      <c r="CT1317" s="76"/>
      <c r="CU1317" s="56">
        <f>AN1317+AP1317+AR1317+AT1317+AV1317+AX1317+AZ1317+BB1317+BD1317+BF1317+BH1317+BJ1317+BL1317+BN1317+BP1317+BR1317+BT1317+BV1317+BX1317+BZ1317+CB1317+CD1317+CF1317+CH1317+CJ1317+CL1317+CN1317+CP1317+CR1317+CT1317</f>
        <v>0</v>
      </c>
      <c r="CV1317" s="76"/>
      <c r="CW1317" s="76">
        <f>+CV1317*1100</f>
        <v>0</v>
      </c>
      <c r="CX1317" s="76"/>
      <c r="CY1317" s="76">
        <f>+CX1317*106250</f>
        <v>0</v>
      </c>
      <c r="CZ1317" s="76"/>
      <c r="DA1317" s="76">
        <f>+CZ1317*34500</f>
        <v>0</v>
      </c>
      <c r="DB1317" s="76"/>
      <c r="DC1317" s="76">
        <f>+DB1317*25000</f>
        <v>0</v>
      </c>
      <c r="DD1317" s="219"/>
      <c r="DE1317" s="219"/>
      <c r="DF1317" s="166"/>
      <c r="DG1317" s="116"/>
      <c r="DH1317" s="117"/>
      <c r="DI1317" s="24"/>
      <c r="DJ1317" s="24"/>
      <c r="DK1317" s="24"/>
      <c r="DL1317" s="24"/>
      <c r="DM1317" s="24"/>
      <c r="DN1317" s="24"/>
      <c r="DO1317" s="24"/>
      <c r="DP1317" s="24"/>
      <c r="DQ1317" s="24"/>
      <c r="DR1317" s="24"/>
      <c r="DS1317" s="24"/>
      <c r="DT1317" s="24"/>
      <c r="DU1317" s="24"/>
    </row>
    <row r="1318" spans="1:125" s="8" customFormat="1" ht="60" x14ac:dyDescent="0.2">
      <c r="A1318" s="226">
        <v>41362</v>
      </c>
      <c r="B1318" s="225" t="s">
        <v>2847</v>
      </c>
      <c r="C1318" s="227" t="s">
        <v>2673</v>
      </c>
      <c r="D1318" s="84" t="s">
        <v>3088</v>
      </c>
      <c r="E1318" s="75" t="str">
        <f>VLOOKUP(B1318&amp;C1318,Divipola!$C$2:$F$1138,4,FALSE)</f>
        <v>68001</v>
      </c>
      <c r="F1318" s="87"/>
      <c r="G1318" s="87"/>
      <c r="H1318" s="87"/>
      <c r="I1318" s="87"/>
      <c r="J1318" s="87"/>
      <c r="K1318" s="87"/>
      <c r="L1318" s="87"/>
      <c r="M1318" s="87">
        <v>1</v>
      </c>
      <c r="N1318" s="87"/>
      <c r="O1318" s="87"/>
      <c r="P1318" s="87"/>
      <c r="Q1318" s="87"/>
      <c r="R1318" s="87"/>
      <c r="S1318" s="87"/>
      <c r="T1318" s="87"/>
      <c r="U1318" s="88"/>
      <c r="V1318" s="89"/>
      <c r="W1318" s="96">
        <v>0</v>
      </c>
      <c r="X1318" s="71">
        <f>CU1318</f>
        <v>0</v>
      </c>
      <c r="Y1318" s="71">
        <f>CY1318</f>
        <v>0</v>
      </c>
      <c r="Z1318" s="71">
        <f>DA1318+DC1318+DE1318</f>
        <v>0</v>
      </c>
      <c r="AA1318" s="71">
        <f>CW1318</f>
        <v>0</v>
      </c>
      <c r="AB1318" s="71"/>
      <c r="AC1318" s="71">
        <v>0</v>
      </c>
      <c r="AD1318" s="71">
        <f>W1318+X1318+Y1318+Z1318+AA1318+AB1318+AC1318</f>
        <v>0</v>
      </c>
      <c r="AE1318" s="72">
        <v>0</v>
      </c>
      <c r="AF1318" s="5"/>
      <c r="AG1318" s="6"/>
      <c r="AH1318" s="27" t="s">
        <v>3392</v>
      </c>
      <c r="AI1318" s="44" t="s">
        <v>3393</v>
      </c>
      <c r="AJ1318" s="26"/>
      <c r="AK1318" s="5"/>
      <c r="AL1318" s="82" t="s">
        <v>4111</v>
      </c>
      <c r="AM1318" s="76"/>
      <c r="AN1318" s="76"/>
      <c r="AO1318" s="76"/>
      <c r="AP1318" s="76"/>
      <c r="AQ1318" s="76"/>
      <c r="AR1318" s="76"/>
      <c r="AS1318" s="76"/>
      <c r="AT1318" s="76"/>
      <c r="AU1318" s="76"/>
      <c r="AV1318" s="76"/>
      <c r="AW1318" s="76"/>
      <c r="AX1318" s="76">
        <f>+AW1318*600000</f>
        <v>0</v>
      </c>
      <c r="AY1318" s="76"/>
      <c r="AZ1318" s="76">
        <f>+AY1318*70000</f>
        <v>0</v>
      </c>
      <c r="BA1318" s="76"/>
      <c r="BB1318" s="76"/>
      <c r="BC1318" s="76"/>
      <c r="BD1318" s="76">
        <f>+BC1318*30000</f>
        <v>0</v>
      </c>
      <c r="BE1318" s="76"/>
      <c r="BF1318" s="76"/>
      <c r="BG1318" s="76"/>
      <c r="BH1318" s="76"/>
      <c r="BI1318" s="76"/>
      <c r="BJ1318" s="76"/>
      <c r="BK1318" s="76"/>
      <c r="BL1318" s="76">
        <f>+BK1318*31500</f>
        <v>0</v>
      </c>
      <c r="BM1318" s="76"/>
      <c r="BN1318" s="76"/>
      <c r="BO1318" s="76"/>
      <c r="BP1318" s="76"/>
      <c r="BQ1318" s="76"/>
      <c r="BR1318" s="76"/>
      <c r="BS1318" s="76"/>
      <c r="BT1318" s="76"/>
      <c r="BU1318" s="76"/>
      <c r="BV1318" s="76"/>
      <c r="BW1318" s="76"/>
      <c r="BX1318" s="76"/>
      <c r="BY1318" s="76"/>
      <c r="BZ1318" s="76"/>
      <c r="CA1318" s="76"/>
      <c r="CB1318" s="76"/>
      <c r="CC1318" s="76"/>
      <c r="CD1318" s="76"/>
      <c r="CE1318" s="76"/>
      <c r="CF1318" s="76">
        <f>+CE1318*28000</f>
        <v>0</v>
      </c>
      <c r="CG1318" s="76"/>
      <c r="CH1318" s="76">
        <f>+CG1318*22500</f>
        <v>0</v>
      </c>
      <c r="CI1318" s="76"/>
      <c r="CJ1318" s="76">
        <f>+CI1318*26000</f>
        <v>0</v>
      </c>
      <c r="CK1318" s="76"/>
      <c r="CL1318" s="76"/>
      <c r="CM1318" s="76"/>
      <c r="CN1318" s="76">
        <f>+CM1318*22000</f>
        <v>0</v>
      </c>
      <c r="CO1318" s="76"/>
      <c r="CP1318" s="76">
        <f>+CO1318*46000</f>
        <v>0</v>
      </c>
      <c r="CQ1318" s="76"/>
      <c r="CR1318" s="76">
        <f>+CQ1318*49000</f>
        <v>0</v>
      </c>
      <c r="CS1318" s="76"/>
      <c r="CT1318" s="76"/>
      <c r="CU1318" s="56">
        <f>AN1318+AP1318+AR1318+AT1318+AV1318+AX1318+AZ1318+BB1318+BD1318+BF1318+BH1318+BJ1318+BL1318+BN1318+BP1318+BR1318+BT1318+BV1318+BX1318+BZ1318+CB1318+CD1318+CF1318+CH1318+CJ1318+CL1318+CN1318+CP1318+CR1318+CT1318</f>
        <v>0</v>
      </c>
      <c r="CV1318" s="76"/>
      <c r="CW1318" s="76">
        <f>+CV1318*1100</f>
        <v>0</v>
      </c>
      <c r="CX1318" s="76"/>
      <c r="CY1318" s="76">
        <f>+CX1318*106250</f>
        <v>0</v>
      </c>
      <c r="CZ1318" s="76"/>
      <c r="DA1318" s="76">
        <f>+CZ1318*34500</f>
        <v>0</v>
      </c>
      <c r="DB1318" s="76"/>
      <c r="DC1318" s="76">
        <f>+DB1318*25000</f>
        <v>0</v>
      </c>
      <c r="DD1318" s="219"/>
      <c r="DE1318" s="219"/>
      <c r="DF1318" s="166"/>
      <c r="DG1318" s="116"/>
      <c r="DH1318" s="117"/>
      <c r="DI1318" s="24"/>
      <c r="DJ1318" s="24"/>
      <c r="DK1318" s="24"/>
      <c r="DL1318" s="24"/>
      <c r="DM1318" s="24"/>
      <c r="DN1318" s="24"/>
      <c r="DO1318" s="24"/>
      <c r="DP1318" s="24"/>
      <c r="DQ1318" s="24"/>
      <c r="DR1318" s="24"/>
      <c r="DS1318" s="24"/>
      <c r="DT1318" s="24"/>
      <c r="DU1318" s="24"/>
    </row>
    <row r="1319" spans="1:125" s="8" customFormat="1" ht="48" x14ac:dyDescent="0.2">
      <c r="A1319" s="226">
        <v>41362</v>
      </c>
      <c r="B1319" s="225" t="s">
        <v>2851</v>
      </c>
      <c r="C1319" s="227" t="s">
        <v>2667</v>
      </c>
      <c r="D1319" s="227" t="s">
        <v>3504</v>
      </c>
      <c r="E1319" s="75" t="str">
        <f>VLOOKUP(B1319&amp;C1319,Divipola!$C$2:$F$1138,4,FALSE)</f>
        <v>76364</v>
      </c>
      <c r="F1319" s="87"/>
      <c r="G1319" s="87">
        <v>2</v>
      </c>
      <c r="H1319" s="87"/>
      <c r="I1319" s="87">
        <v>2</v>
      </c>
      <c r="J1319" s="87"/>
      <c r="K1319" s="87"/>
      <c r="L1319" s="87"/>
      <c r="M1319" s="87"/>
      <c r="N1319" s="87"/>
      <c r="O1319" s="87"/>
      <c r="P1319" s="87"/>
      <c r="Q1319" s="87"/>
      <c r="R1319" s="87"/>
      <c r="S1319" s="87"/>
      <c r="T1319" s="87"/>
      <c r="U1319" s="88"/>
      <c r="V1319" s="89"/>
      <c r="W1319" s="96">
        <v>0</v>
      </c>
      <c r="X1319" s="71">
        <f>CU1319</f>
        <v>0</v>
      </c>
      <c r="Y1319" s="71">
        <f>CY1319</f>
        <v>0</v>
      </c>
      <c r="Z1319" s="71">
        <f>DA1319+DC1319+DE1319</f>
        <v>0</v>
      </c>
      <c r="AA1319" s="71">
        <f>CW1319</f>
        <v>0</v>
      </c>
      <c r="AB1319" s="71"/>
      <c r="AC1319" s="71">
        <v>0</v>
      </c>
      <c r="AD1319" s="71">
        <f>W1319+X1319+Y1319+Z1319+AA1319+AB1319+AC1319</f>
        <v>0</v>
      </c>
      <c r="AE1319" s="72">
        <v>0</v>
      </c>
      <c r="AF1319" s="5"/>
      <c r="AG1319" s="6"/>
      <c r="AH1319" s="27" t="s">
        <v>3392</v>
      </c>
      <c r="AI1319" s="44" t="s">
        <v>3393</v>
      </c>
      <c r="AJ1319" s="26"/>
      <c r="AK1319" s="5"/>
      <c r="AL1319" s="82" t="s">
        <v>4112</v>
      </c>
      <c r="AM1319" s="76"/>
      <c r="AN1319" s="76"/>
      <c r="AO1319" s="76"/>
      <c r="AP1319" s="76"/>
      <c r="AQ1319" s="76"/>
      <c r="AR1319" s="76"/>
      <c r="AS1319" s="76"/>
      <c r="AT1319" s="76"/>
      <c r="AU1319" s="76"/>
      <c r="AV1319" s="76"/>
      <c r="AW1319" s="76"/>
      <c r="AX1319" s="76">
        <f>+AW1319*600000</f>
        <v>0</v>
      </c>
      <c r="AY1319" s="76"/>
      <c r="AZ1319" s="76">
        <f>+AY1319*70000</f>
        <v>0</v>
      </c>
      <c r="BA1319" s="76"/>
      <c r="BB1319" s="76"/>
      <c r="BC1319" s="76"/>
      <c r="BD1319" s="76">
        <f>+BC1319*30000</f>
        <v>0</v>
      </c>
      <c r="BE1319" s="76"/>
      <c r="BF1319" s="76"/>
      <c r="BG1319" s="76"/>
      <c r="BH1319" s="76"/>
      <c r="BI1319" s="76"/>
      <c r="BJ1319" s="76"/>
      <c r="BK1319" s="76"/>
      <c r="BL1319" s="76">
        <f>+BK1319*31500</f>
        <v>0</v>
      </c>
      <c r="BM1319" s="76"/>
      <c r="BN1319" s="76"/>
      <c r="BO1319" s="76"/>
      <c r="BP1319" s="76"/>
      <c r="BQ1319" s="76"/>
      <c r="BR1319" s="76"/>
      <c r="BS1319" s="76"/>
      <c r="BT1319" s="76"/>
      <c r="BU1319" s="76"/>
      <c r="BV1319" s="76"/>
      <c r="BW1319" s="76"/>
      <c r="BX1319" s="76"/>
      <c r="BY1319" s="76"/>
      <c r="BZ1319" s="76"/>
      <c r="CA1319" s="76"/>
      <c r="CB1319" s="76"/>
      <c r="CC1319" s="76"/>
      <c r="CD1319" s="76"/>
      <c r="CE1319" s="76"/>
      <c r="CF1319" s="76">
        <f>+CE1319*28000</f>
        <v>0</v>
      </c>
      <c r="CG1319" s="76"/>
      <c r="CH1319" s="76">
        <f>+CG1319*22500</f>
        <v>0</v>
      </c>
      <c r="CI1319" s="76"/>
      <c r="CJ1319" s="76">
        <f>+CI1319*26000</f>
        <v>0</v>
      </c>
      <c r="CK1319" s="76"/>
      <c r="CL1319" s="76"/>
      <c r="CM1319" s="76"/>
      <c r="CN1319" s="76">
        <f>+CM1319*22000</f>
        <v>0</v>
      </c>
      <c r="CO1319" s="76"/>
      <c r="CP1319" s="76">
        <f>+CO1319*46000</f>
        <v>0</v>
      </c>
      <c r="CQ1319" s="76"/>
      <c r="CR1319" s="76">
        <f>+CQ1319*49000</f>
        <v>0</v>
      </c>
      <c r="CS1319" s="76"/>
      <c r="CT1319" s="76"/>
      <c r="CU1319" s="56">
        <f>AN1319+AP1319+AR1319+AT1319+AV1319+AX1319+AZ1319+BB1319+BD1319+BF1319+BH1319+BJ1319+BL1319+BN1319+BP1319+BR1319+BT1319+BV1319+BX1319+BZ1319+CB1319+CD1319+CF1319+CH1319+CJ1319+CL1319+CN1319+CP1319+CR1319+CT1319</f>
        <v>0</v>
      </c>
      <c r="CV1319" s="76"/>
      <c r="CW1319" s="76">
        <f>+CV1319*1100</f>
        <v>0</v>
      </c>
      <c r="CX1319" s="76"/>
      <c r="CY1319" s="76">
        <f>+CX1319*106250</f>
        <v>0</v>
      </c>
      <c r="CZ1319" s="76"/>
      <c r="DA1319" s="76">
        <f>+CZ1319*34500</f>
        <v>0</v>
      </c>
      <c r="DB1319" s="76"/>
      <c r="DC1319" s="76">
        <f>+DB1319*25000</f>
        <v>0</v>
      </c>
      <c r="DD1319" s="219"/>
      <c r="DE1319" s="219"/>
      <c r="DF1319" s="166"/>
      <c r="DG1319" s="116"/>
      <c r="DH1319" s="117"/>
      <c r="DI1319" s="24"/>
      <c r="DJ1319" s="24"/>
      <c r="DK1319" s="24"/>
      <c r="DL1319" s="24"/>
      <c r="DM1319" s="24"/>
      <c r="DN1319" s="24"/>
      <c r="DO1319" s="24"/>
      <c r="DP1319" s="24"/>
      <c r="DQ1319" s="24"/>
      <c r="DR1319" s="24"/>
      <c r="DS1319" s="24"/>
      <c r="DT1319" s="24"/>
      <c r="DU1319" s="24"/>
    </row>
    <row r="1320" spans="1:125" s="8" customFormat="1" ht="36" x14ac:dyDescent="0.2">
      <c r="A1320" s="226">
        <v>41363</v>
      </c>
      <c r="B1320" s="225" t="s">
        <v>2700</v>
      </c>
      <c r="C1320" s="227" t="s">
        <v>2108</v>
      </c>
      <c r="D1320" s="81" t="s">
        <v>2846</v>
      </c>
      <c r="E1320" s="75" t="str">
        <f>VLOOKUP(B1320&amp;C1320,Divipola!$C$2:$F$1138,4,FALSE)</f>
        <v>15804</v>
      </c>
      <c r="F1320" s="87"/>
      <c r="G1320" s="87"/>
      <c r="H1320" s="87"/>
      <c r="I1320" s="87"/>
      <c r="J1320" s="87"/>
      <c r="K1320" s="87"/>
      <c r="L1320" s="87"/>
      <c r="M1320" s="87"/>
      <c r="N1320" s="87"/>
      <c r="O1320" s="87"/>
      <c r="P1320" s="87"/>
      <c r="Q1320" s="87"/>
      <c r="R1320" s="87"/>
      <c r="S1320" s="87"/>
      <c r="T1320" s="87"/>
      <c r="U1320" s="88">
        <v>6</v>
      </c>
      <c r="V1320" s="89"/>
      <c r="W1320" s="96">
        <v>0</v>
      </c>
      <c r="X1320" s="71">
        <f>CU1320</f>
        <v>0</v>
      </c>
      <c r="Y1320" s="71">
        <f>CY1320</f>
        <v>0</v>
      </c>
      <c r="Z1320" s="71">
        <f>DA1320+DC1320+DE1320</f>
        <v>0</v>
      </c>
      <c r="AA1320" s="71">
        <f>CW1320</f>
        <v>0</v>
      </c>
      <c r="AB1320" s="71"/>
      <c r="AC1320" s="71">
        <v>0</v>
      </c>
      <c r="AD1320" s="71">
        <f>W1320+X1320+Y1320+Z1320+AA1320+AB1320+AC1320</f>
        <v>0</v>
      </c>
      <c r="AE1320" s="72">
        <v>0</v>
      </c>
      <c r="AF1320" s="5"/>
      <c r="AG1320" s="6"/>
      <c r="AH1320" s="27" t="s">
        <v>3392</v>
      </c>
      <c r="AI1320" s="44" t="s">
        <v>3393</v>
      </c>
      <c r="AJ1320" s="26"/>
      <c r="AK1320" s="5"/>
      <c r="AL1320" s="82" t="s">
        <v>4115</v>
      </c>
      <c r="AM1320" s="76"/>
      <c r="AN1320" s="76"/>
      <c r="AO1320" s="76"/>
      <c r="AP1320" s="76"/>
      <c r="AQ1320" s="76"/>
      <c r="AR1320" s="76"/>
      <c r="AS1320" s="76"/>
      <c r="AT1320" s="76"/>
      <c r="AU1320" s="76"/>
      <c r="AV1320" s="76"/>
      <c r="AW1320" s="76"/>
      <c r="AX1320" s="76">
        <f>+AW1320*600000</f>
        <v>0</v>
      </c>
      <c r="AY1320" s="76"/>
      <c r="AZ1320" s="76">
        <f>+AY1320*70000</f>
        <v>0</v>
      </c>
      <c r="BA1320" s="76"/>
      <c r="BB1320" s="76"/>
      <c r="BC1320" s="76"/>
      <c r="BD1320" s="76">
        <f>+BC1320*30000</f>
        <v>0</v>
      </c>
      <c r="BE1320" s="76"/>
      <c r="BF1320" s="76"/>
      <c r="BG1320" s="76"/>
      <c r="BH1320" s="76"/>
      <c r="BI1320" s="76"/>
      <c r="BJ1320" s="76"/>
      <c r="BK1320" s="76"/>
      <c r="BL1320" s="76">
        <f>+BK1320*31500</f>
        <v>0</v>
      </c>
      <c r="BM1320" s="76"/>
      <c r="BN1320" s="76"/>
      <c r="BO1320" s="76"/>
      <c r="BP1320" s="76"/>
      <c r="BQ1320" s="76"/>
      <c r="BR1320" s="76"/>
      <c r="BS1320" s="76"/>
      <c r="BT1320" s="76"/>
      <c r="BU1320" s="76"/>
      <c r="BV1320" s="76"/>
      <c r="BW1320" s="76"/>
      <c r="BX1320" s="76"/>
      <c r="BY1320" s="76"/>
      <c r="BZ1320" s="76"/>
      <c r="CA1320" s="76"/>
      <c r="CB1320" s="76"/>
      <c r="CC1320" s="76"/>
      <c r="CD1320" s="76"/>
      <c r="CE1320" s="76"/>
      <c r="CF1320" s="76">
        <f>+CE1320*28000</f>
        <v>0</v>
      </c>
      <c r="CG1320" s="76"/>
      <c r="CH1320" s="76">
        <f>+CG1320*22500</f>
        <v>0</v>
      </c>
      <c r="CI1320" s="76"/>
      <c r="CJ1320" s="76">
        <f>+CI1320*26000</f>
        <v>0</v>
      </c>
      <c r="CK1320" s="76"/>
      <c r="CL1320" s="76"/>
      <c r="CM1320" s="76"/>
      <c r="CN1320" s="76">
        <f>+CM1320*22000</f>
        <v>0</v>
      </c>
      <c r="CO1320" s="76"/>
      <c r="CP1320" s="76">
        <f>+CO1320*46000</f>
        <v>0</v>
      </c>
      <c r="CQ1320" s="76"/>
      <c r="CR1320" s="76">
        <f>+CQ1320*49000</f>
        <v>0</v>
      </c>
      <c r="CS1320" s="76"/>
      <c r="CT1320" s="76"/>
      <c r="CU1320" s="56">
        <f>AN1320+AP1320+AR1320+AT1320+AV1320+AX1320+AZ1320+BB1320+BD1320+BF1320+BH1320+BJ1320+BL1320+BN1320+BP1320+BR1320+BT1320+BV1320+BX1320+BZ1320+CB1320+CD1320+CF1320+CH1320+CJ1320+CL1320+CN1320+CP1320+CR1320+CT1320</f>
        <v>0</v>
      </c>
      <c r="CV1320" s="76"/>
      <c r="CW1320" s="76">
        <f>+CV1320*1100</f>
        <v>0</v>
      </c>
      <c r="CX1320" s="76"/>
      <c r="CY1320" s="76">
        <f>+CX1320*106250</f>
        <v>0</v>
      </c>
      <c r="CZ1320" s="76"/>
      <c r="DA1320" s="76">
        <f>+CZ1320*34500</f>
        <v>0</v>
      </c>
      <c r="DB1320" s="76"/>
      <c r="DC1320" s="76">
        <f>+DB1320*25000</f>
        <v>0</v>
      </c>
      <c r="DD1320" s="219"/>
      <c r="DE1320" s="219"/>
      <c r="DF1320" s="166"/>
      <c r="DG1320" s="116"/>
      <c r="DH1320" s="117"/>
      <c r="DI1320" s="24"/>
      <c r="DJ1320" s="24"/>
      <c r="DK1320" s="24"/>
      <c r="DL1320" s="24"/>
      <c r="DM1320" s="24"/>
      <c r="DN1320" s="24"/>
      <c r="DO1320" s="24"/>
      <c r="DP1320" s="24"/>
      <c r="DQ1320" s="24"/>
      <c r="DR1320" s="24"/>
      <c r="DS1320" s="24"/>
      <c r="DT1320" s="24"/>
      <c r="DU1320" s="24"/>
    </row>
    <row r="1321" spans="1:125" s="8" customFormat="1" ht="132" x14ac:dyDescent="0.2">
      <c r="A1321" s="353">
        <v>41363</v>
      </c>
      <c r="B1321" s="352" t="s">
        <v>2196</v>
      </c>
      <c r="C1321" s="354" t="s">
        <v>777</v>
      </c>
      <c r="D1321" s="354" t="s">
        <v>2859</v>
      </c>
      <c r="E1321" s="75" t="str">
        <f>VLOOKUP(B1321&amp;C1321,Divipola!$C$2:$F$1138,4,FALSE)</f>
        <v>17777</v>
      </c>
      <c r="F1321" s="87"/>
      <c r="G1321" s="87">
        <v>1</v>
      </c>
      <c r="H1321" s="87"/>
      <c r="I1321" s="87">
        <v>5</v>
      </c>
      <c r="J1321" s="87">
        <v>1</v>
      </c>
      <c r="K1321" s="87"/>
      <c r="L1321" s="87">
        <v>1</v>
      </c>
      <c r="M1321" s="87"/>
      <c r="N1321" s="87"/>
      <c r="O1321" s="87"/>
      <c r="P1321" s="87"/>
      <c r="Q1321" s="87"/>
      <c r="R1321" s="87"/>
      <c r="S1321" s="87"/>
      <c r="T1321" s="87"/>
      <c r="U1321" s="88"/>
      <c r="V1321" s="89">
        <v>1</v>
      </c>
      <c r="W1321" s="96">
        <v>0</v>
      </c>
      <c r="X1321" s="71">
        <f>CU1321</f>
        <v>0</v>
      </c>
      <c r="Y1321" s="71">
        <f>CY1321</f>
        <v>0</v>
      </c>
      <c r="Z1321" s="71">
        <f>DA1321+DC1321+DE1321</f>
        <v>0</v>
      </c>
      <c r="AA1321" s="71">
        <f>CW1321</f>
        <v>0</v>
      </c>
      <c r="AB1321" s="71"/>
      <c r="AC1321" s="71">
        <v>0</v>
      </c>
      <c r="AD1321" s="71">
        <f>W1321+X1321+Y1321+Z1321+AA1321+AB1321+AC1321</f>
        <v>0</v>
      </c>
      <c r="AE1321" s="72">
        <v>0</v>
      </c>
      <c r="AF1321" s="5"/>
      <c r="AG1321" s="6"/>
      <c r="AH1321" s="27" t="s">
        <v>3392</v>
      </c>
      <c r="AI1321" s="44" t="s">
        <v>3393</v>
      </c>
      <c r="AJ1321" s="26"/>
      <c r="AK1321" s="5"/>
      <c r="AL1321" s="82" t="s">
        <v>4120</v>
      </c>
      <c r="AM1321" s="76"/>
      <c r="AN1321" s="76"/>
      <c r="AO1321" s="76"/>
      <c r="AP1321" s="76"/>
      <c r="AQ1321" s="76"/>
      <c r="AR1321" s="76"/>
      <c r="AS1321" s="76"/>
      <c r="AT1321" s="76"/>
      <c r="AU1321" s="76"/>
      <c r="AV1321" s="76"/>
      <c r="AW1321" s="76"/>
      <c r="AX1321" s="76">
        <f>+AW1321*600000</f>
        <v>0</v>
      </c>
      <c r="AY1321" s="76"/>
      <c r="AZ1321" s="76">
        <f>+AY1321*70000</f>
        <v>0</v>
      </c>
      <c r="BA1321" s="76"/>
      <c r="BB1321" s="76"/>
      <c r="BC1321" s="76"/>
      <c r="BD1321" s="76">
        <f>+BC1321*30000</f>
        <v>0</v>
      </c>
      <c r="BE1321" s="76"/>
      <c r="BF1321" s="76"/>
      <c r="BG1321" s="76"/>
      <c r="BH1321" s="76"/>
      <c r="BI1321" s="76"/>
      <c r="BJ1321" s="76"/>
      <c r="BK1321" s="76"/>
      <c r="BL1321" s="76">
        <f>+BK1321*31500</f>
        <v>0</v>
      </c>
      <c r="BM1321" s="76"/>
      <c r="BN1321" s="76"/>
      <c r="BO1321" s="76"/>
      <c r="BP1321" s="76"/>
      <c r="BQ1321" s="76"/>
      <c r="BR1321" s="76"/>
      <c r="BS1321" s="76"/>
      <c r="BT1321" s="76"/>
      <c r="BU1321" s="76"/>
      <c r="BV1321" s="76"/>
      <c r="BW1321" s="76"/>
      <c r="BX1321" s="76"/>
      <c r="BY1321" s="76"/>
      <c r="BZ1321" s="76"/>
      <c r="CA1321" s="76"/>
      <c r="CB1321" s="76"/>
      <c r="CC1321" s="76"/>
      <c r="CD1321" s="76"/>
      <c r="CE1321" s="76"/>
      <c r="CF1321" s="76">
        <f>+CE1321*28000</f>
        <v>0</v>
      </c>
      <c r="CG1321" s="76"/>
      <c r="CH1321" s="76">
        <f>+CG1321*22500</f>
        <v>0</v>
      </c>
      <c r="CI1321" s="76"/>
      <c r="CJ1321" s="76">
        <f>+CI1321*26000</f>
        <v>0</v>
      </c>
      <c r="CK1321" s="76"/>
      <c r="CL1321" s="76"/>
      <c r="CM1321" s="76"/>
      <c r="CN1321" s="76">
        <f>+CM1321*22000</f>
        <v>0</v>
      </c>
      <c r="CO1321" s="76"/>
      <c r="CP1321" s="76">
        <f>+CO1321*46000</f>
        <v>0</v>
      </c>
      <c r="CQ1321" s="76"/>
      <c r="CR1321" s="76">
        <f>+CQ1321*49000</f>
        <v>0</v>
      </c>
      <c r="CS1321" s="76"/>
      <c r="CT1321" s="76"/>
      <c r="CU1321" s="56">
        <f>AN1321+AP1321+AR1321+AT1321+AV1321+AX1321+AZ1321+BB1321+BD1321+BF1321+BH1321+BJ1321+BL1321+BN1321+BP1321+BR1321+BT1321+BV1321+BX1321+BZ1321+CB1321+CD1321+CF1321+CH1321+CJ1321+CL1321+CN1321+CP1321+CR1321+CT1321</f>
        <v>0</v>
      </c>
      <c r="CV1321" s="76"/>
      <c r="CW1321" s="76">
        <f>+CV1321*1100</f>
        <v>0</v>
      </c>
      <c r="CX1321" s="76"/>
      <c r="CY1321" s="76">
        <f>+CX1321*106250</f>
        <v>0</v>
      </c>
      <c r="CZ1321" s="76"/>
      <c r="DA1321" s="76">
        <f>+CZ1321*34500</f>
        <v>0</v>
      </c>
      <c r="DB1321" s="76"/>
      <c r="DC1321" s="76">
        <f>+DB1321*25000</f>
        <v>0</v>
      </c>
      <c r="DD1321" s="219"/>
      <c r="DE1321" s="219"/>
      <c r="DF1321" s="166"/>
      <c r="DG1321" s="116"/>
      <c r="DH1321" s="117"/>
      <c r="DI1321" s="24"/>
      <c r="DJ1321" s="24"/>
      <c r="DK1321" s="24"/>
      <c r="DL1321" s="24"/>
      <c r="DM1321" s="24"/>
      <c r="DN1321" s="24"/>
      <c r="DO1321" s="24"/>
      <c r="DP1321" s="24"/>
      <c r="DQ1321" s="24"/>
      <c r="DR1321" s="24"/>
      <c r="DS1321" s="24"/>
      <c r="DT1321" s="24"/>
      <c r="DU1321" s="24"/>
    </row>
    <row r="1322" spans="1:125" s="8" customFormat="1" ht="48" x14ac:dyDescent="0.2">
      <c r="A1322" s="226">
        <v>41363</v>
      </c>
      <c r="B1322" s="352" t="s">
        <v>2880</v>
      </c>
      <c r="C1322" s="354" t="s">
        <v>2797</v>
      </c>
      <c r="D1322" s="81" t="s">
        <v>2846</v>
      </c>
      <c r="E1322" s="75" t="str">
        <f>VLOOKUP(B1322&amp;C1322,Divipola!$C$2:$F$1138,4,FALSE)</f>
        <v>54498</v>
      </c>
      <c r="F1322" s="87"/>
      <c r="G1322" s="87"/>
      <c r="H1322" s="87"/>
      <c r="I1322" s="87">
        <v>15</v>
      </c>
      <c r="J1322" s="87">
        <v>3</v>
      </c>
      <c r="K1322" s="87">
        <v>3</v>
      </c>
      <c r="L1322" s="87"/>
      <c r="M1322" s="87"/>
      <c r="N1322" s="87"/>
      <c r="O1322" s="87"/>
      <c r="P1322" s="87"/>
      <c r="Q1322" s="87"/>
      <c r="R1322" s="87"/>
      <c r="S1322" s="87"/>
      <c r="T1322" s="87"/>
      <c r="U1322" s="88">
        <v>40</v>
      </c>
      <c r="V1322" s="89"/>
      <c r="W1322" s="96">
        <v>0</v>
      </c>
      <c r="X1322" s="71">
        <f>CU1322</f>
        <v>0</v>
      </c>
      <c r="Y1322" s="71">
        <f>CY1322</f>
        <v>0</v>
      </c>
      <c r="Z1322" s="71">
        <f>DA1322+DC1322+DE1322</f>
        <v>0</v>
      </c>
      <c r="AA1322" s="71">
        <f>CW1322</f>
        <v>0</v>
      </c>
      <c r="AB1322" s="71"/>
      <c r="AC1322" s="71">
        <v>0</v>
      </c>
      <c r="AD1322" s="71">
        <f>W1322+X1322+Y1322+Z1322+AA1322+AB1322+AC1322</f>
        <v>0</v>
      </c>
      <c r="AE1322" s="72">
        <v>0</v>
      </c>
      <c r="AF1322" s="5"/>
      <c r="AG1322" s="6"/>
      <c r="AH1322" s="27" t="s">
        <v>3392</v>
      </c>
      <c r="AI1322" s="44" t="s">
        <v>3393</v>
      </c>
      <c r="AJ1322" s="26"/>
      <c r="AK1322" s="5"/>
      <c r="AL1322" s="82" t="s">
        <v>4119</v>
      </c>
      <c r="AM1322" s="76"/>
      <c r="AN1322" s="76"/>
      <c r="AO1322" s="76"/>
      <c r="AP1322" s="76"/>
      <c r="AQ1322" s="76"/>
      <c r="AR1322" s="76"/>
      <c r="AS1322" s="76"/>
      <c r="AT1322" s="76"/>
      <c r="AU1322" s="76"/>
      <c r="AV1322" s="76"/>
      <c r="AW1322" s="76"/>
      <c r="AX1322" s="76">
        <f>+AW1322*600000</f>
        <v>0</v>
      </c>
      <c r="AY1322" s="76"/>
      <c r="AZ1322" s="76">
        <f>+AY1322*70000</f>
        <v>0</v>
      </c>
      <c r="BA1322" s="76"/>
      <c r="BB1322" s="76"/>
      <c r="BC1322" s="76"/>
      <c r="BD1322" s="76">
        <f>+BC1322*30000</f>
        <v>0</v>
      </c>
      <c r="BE1322" s="76"/>
      <c r="BF1322" s="76"/>
      <c r="BG1322" s="76"/>
      <c r="BH1322" s="76"/>
      <c r="BI1322" s="76"/>
      <c r="BJ1322" s="76"/>
      <c r="BK1322" s="76"/>
      <c r="BL1322" s="76">
        <f>+BK1322*31500</f>
        <v>0</v>
      </c>
      <c r="BM1322" s="76"/>
      <c r="BN1322" s="76"/>
      <c r="BO1322" s="76"/>
      <c r="BP1322" s="76"/>
      <c r="BQ1322" s="76"/>
      <c r="BR1322" s="76"/>
      <c r="BS1322" s="76"/>
      <c r="BT1322" s="76"/>
      <c r="BU1322" s="76"/>
      <c r="BV1322" s="76"/>
      <c r="BW1322" s="76"/>
      <c r="BX1322" s="76"/>
      <c r="BY1322" s="76"/>
      <c r="BZ1322" s="76"/>
      <c r="CA1322" s="76"/>
      <c r="CB1322" s="76"/>
      <c r="CC1322" s="76"/>
      <c r="CD1322" s="76"/>
      <c r="CE1322" s="76"/>
      <c r="CF1322" s="76">
        <f>+CE1322*28000</f>
        <v>0</v>
      </c>
      <c r="CG1322" s="76"/>
      <c r="CH1322" s="76">
        <f>+CG1322*22500</f>
        <v>0</v>
      </c>
      <c r="CI1322" s="76"/>
      <c r="CJ1322" s="76">
        <f>+CI1322*26000</f>
        <v>0</v>
      </c>
      <c r="CK1322" s="76"/>
      <c r="CL1322" s="76"/>
      <c r="CM1322" s="76"/>
      <c r="CN1322" s="76">
        <f>+CM1322*22000</f>
        <v>0</v>
      </c>
      <c r="CO1322" s="76"/>
      <c r="CP1322" s="76">
        <f>+CO1322*46000</f>
        <v>0</v>
      </c>
      <c r="CQ1322" s="76"/>
      <c r="CR1322" s="76">
        <f>+CQ1322*49000</f>
        <v>0</v>
      </c>
      <c r="CS1322" s="76"/>
      <c r="CT1322" s="76"/>
      <c r="CU1322" s="56">
        <f>AN1322+AP1322+AR1322+AT1322+AV1322+AX1322+AZ1322+BB1322+BD1322+BF1322+BH1322+BJ1322+BL1322+BN1322+BP1322+BR1322+BT1322+BV1322+BX1322+BZ1322+CB1322+CD1322+CF1322+CH1322+CJ1322+CL1322+CN1322+CP1322+CR1322+CT1322</f>
        <v>0</v>
      </c>
      <c r="CV1322" s="76"/>
      <c r="CW1322" s="76">
        <f>+CV1322*1100</f>
        <v>0</v>
      </c>
      <c r="CX1322" s="76"/>
      <c r="CY1322" s="76">
        <f>+CX1322*106250</f>
        <v>0</v>
      </c>
      <c r="CZ1322" s="76"/>
      <c r="DA1322" s="76">
        <f>+CZ1322*34500</f>
        <v>0</v>
      </c>
      <c r="DB1322" s="76"/>
      <c r="DC1322" s="76">
        <f>+DB1322*25000</f>
        <v>0</v>
      </c>
      <c r="DD1322" s="219"/>
      <c r="DE1322" s="219"/>
      <c r="DF1322" s="166"/>
      <c r="DG1322" s="116"/>
      <c r="DH1322" s="117"/>
      <c r="DI1322" s="24"/>
      <c r="DJ1322" s="24"/>
      <c r="DK1322" s="24"/>
      <c r="DL1322" s="24"/>
      <c r="DM1322" s="24"/>
      <c r="DN1322" s="24"/>
      <c r="DO1322" s="24"/>
      <c r="DP1322" s="24"/>
      <c r="DQ1322" s="24"/>
      <c r="DR1322" s="24"/>
      <c r="DS1322" s="24"/>
      <c r="DT1322" s="24"/>
      <c r="DU1322" s="24"/>
    </row>
    <row r="1323" spans="1:125" s="8" customFormat="1" ht="108" x14ac:dyDescent="0.2">
      <c r="A1323" s="226">
        <v>41363</v>
      </c>
      <c r="B1323" s="225" t="s">
        <v>2848</v>
      </c>
      <c r="C1323" s="227" t="s">
        <v>1907</v>
      </c>
      <c r="D1323" s="84" t="s">
        <v>3088</v>
      </c>
      <c r="E1323" s="75" t="str">
        <f>VLOOKUP(B1323&amp;C1323,Divipola!$C$2:$F$1138,4,FALSE)</f>
        <v>73624</v>
      </c>
      <c r="F1323" s="87"/>
      <c r="G1323" s="87"/>
      <c r="H1323" s="87"/>
      <c r="I1323" s="87"/>
      <c r="J1323" s="87"/>
      <c r="K1323" s="87"/>
      <c r="L1323" s="87"/>
      <c r="M1323" s="87"/>
      <c r="N1323" s="87"/>
      <c r="O1323" s="87"/>
      <c r="P1323" s="87">
        <v>1</v>
      </c>
      <c r="Q1323" s="87"/>
      <c r="R1323" s="87"/>
      <c r="S1323" s="87"/>
      <c r="T1323" s="87"/>
      <c r="U1323" s="88"/>
      <c r="V1323" s="89"/>
      <c r="W1323" s="96">
        <v>0</v>
      </c>
      <c r="X1323" s="71">
        <f>CU1323</f>
        <v>0</v>
      </c>
      <c r="Y1323" s="71">
        <f>CY1323</f>
        <v>0</v>
      </c>
      <c r="Z1323" s="71">
        <f>DA1323+DC1323+DE1323</f>
        <v>0</v>
      </c>
      <c r="AA1323" s="71">
        <f>CW1323</f>
        <v>0</v>
      </c>
      <c r="AB1323" s="71"/>
      <c r="AC1323" s="71">
        <v>0</v>
      </c>
      <c r="AD1323" s="71">
        <f>W1323+X1323+Y1323+Z1323+AA1323+AB1323+AC1323</f>
        <v>0</v>
      </c>
      <c r="AE1323" s="72">
        <v>0</v>
      </c>
      <c r="AF1323" s="5"/>
      <c r="AG1323" s="6"/>
      <c r="AH1323" s="27" t="s">
        <v>3392</v>
      </c>
      <c r="AI1323" s="44" t="s">
        <v>3393</v>
      </c>
      <c r="AJ1323" s="26"/>
      <c r="AK1323" s="5"/>
      <c r="AL1323" s="82" t="s">
        <v>4121</v>
      </c>
      <c r="AM1323" s="76"/>
      <c r="AN1323" s="76"/>
      <c r="AO1323" s="76"/>
      <c r="AP1323" s="76"/>
      <c r="AQ1323" s="76"/>
      <c r="AR1323" s="76"/>
      <c r="AS1323" s="76"/>
      <c r="AT1323" s="76"/>
      <c r="AU1323" s="76"/>
      <c r="AV1323" s="76"/>
      <c r="AW1323" s="76"/>
      <c r="AX1323" s="76">
        <f>+AW1323*600000</f>
        <v>0</v>
      </c>
      <c r="AY1323" s="76"/>
      <c r="AZ1323" s="76">
        <f>+AY1323*70000</f>
        <v>0</v>
      </c>
      <c r="BA1323" s="76"/>
      <c r="BB1323" s="76"/>
      <c r="BC1323" s="76"/>
      <c r="BD1323" s="76">
        <f>+BC1323*30000</f>
        <v>0</v>
      </c>
      <c r="BE1323" s="76"/>
      <c r="BF1323" s="76"/>
      <c r="BG1323" s="76"/>
      <c r="BH1323" s="76"/>
      <c r="BI1323" s="76"/>
      <c r="BJ1323" s="76"/>
      <c r="BK1323" s="76"/>
      <c r="BL1323" s="76">
        <f>+BK1323*31500</f>
        <v>0</v>
      </c>
      <c r="BM1323" s="76"/>
      <c r="BN1323" s="76"/>
      <c r="BO1323" s="76"/>
      <c r="BP1323" s="76"/>
      <c r="BQ1323" s="76"/>
      <c r="BR1323" s="76"/>
      <c r="BS1323" s="76"/>
      <c r="BT1323" s="76"/>
      <c r="BU1323" s="76"/>
      <c r="BV1323" s="76"/>
      <c r="BW1323" s="76"/>
      <c r="BX1323" s="76"/>
      <c r="BY1323" s="76"/>
      <c r="BZ1323" s="76"/>
      <c r="CA1323" s="76"/>
      <c r="CB1323" s="76"/>
      <c r="CC1323" s="76"/>
      <c r="CD1323" s="76"/>
      <c r="CE1323" s="76"/>
      <c r="CF1323" s="76">
        <f>+CE1323*28000</f>
        <v>0</v>
      </c>
      <c r="CG1323" s="76"/>
      <c r="CH1323" s="76">
        <f>+CG1323*22500</f>
        <v>0</v>
      </c>
      <c r="CI1323" s="76"/>
      <c r="CJ1323" s="76">
        <f>+CI1323*26000</f>
        <v>0</v>
      </c>
      <c r="CK1323" s="76"/>
      <c r="CL1323" s="76"/>
      <c r="CM1323" s="76"/>
      <c r="CN1323" s="76">
        <f>+CM1323*22000</f>
        <v>0</v>
      </c>
      <c r="CO1323" s="76"/>
      <c r="CP1323" s="76">
        <f>+CO1323*46000</f>
        <v>0</v>
      </c>
      <c r="CQ1323" s="76"/>
      <c r="CR1323" s="76">
        <f>+CQ1323*49000</f>
        <v>0</v>
      </c>
      <c r="CS1323" s="76"/>
      <c r="CT1323" s="76"/>
      <c r="CU1323" s="56">
        <f>AN1323+AP1323+AR1323+AT1323+AV1323+AX1323+AZ1323+BB1323+BD1323+BF1323+BH1323+BJ1323+BL1323+BN1323+BP1323+BR1323+BT1323+BV1323+BX1323+BZ1323+CB1323+CD1323+CF1323+CH1323+CJ1323+CL1323+CN1323+CP1323+CR1323+CT1323</f>
        <v>0</v>
      </c>
      <c r="CV1323" s="76"/>
      <c r="CW1323" s="76">
        <f>+CV1323*1100</f>
        <v>0</v>
      </c>
      <c r="CX1323" s="76"/>
      <c r="CY1323" s="76">
        <f>+CX1323*106250</f>
        <v>0</v>
      </c>
      <c r="CZ1323" s="76"/>
      <c r="DA1323" s="76">
        <f>+CZ1323*34500</f>
        <v>0</v>
      </c>
      <c r="DB1323" s="76"/>
      <c r="DC1323" s="76">
        <f>+DB1323*25000</f>
        <v>0</v>
      </c>
      <c r="DD1323" s="219"/>
      <c r="DE1323" s="219"/>
      <c r="DF1323" s="166"/>
      <c r="DG1323" s="116"/>
      <c r="DH1323" s="117"/>
      <c r="DI1323" s="24"/>
      <c r="DJ1323" s="24"/>
      <c r="DK1323" s="24"/>
      <c r="DL1323" s="24"/>
      <c r="DM1323" s="24"/>
      <c r="DN1323" s="24"/>
      <c r="DO1323" s="24"/>
      <c r="DP1323" s="24"/>
      <c r="DQ1323" s="24"/>
      <c r="DR1323" s="24"/>
      <c r="DS1323" s="24"/>
      <c r="DT1323" s="24"/>
      <c r="DU1323" s="24"/>
    </row>
    <row r="1324" spans="1:125" s="8" customFormat="1" ht="48" x14ac:dyDescent="0.2">
      <c r="A1324" s="77">
        <v>41363</v>
      </c>
      <c r="B1324" s="225" t="s">
        <v>2851</v>
      </c>
      <c r="C1324" s="227" t="s">
        <v>2667</v>
      </c>
      <c r="D1324" s="227" t="s">
        <v>3017</v>
      </c>
      <c r="E1324" s="75" t="str">
        <f>VLOOKUP(B1324&amp;C1324,Divipola!$C$2:$F$1138,4,FALSE)</f>
        <v>76364</v>
      </c>
      <c r="F1324" s="87"/>
      <c r="G1324" s="87"/>
      <c r="H1324" s="87"/>
      <c r="I1324" s="87">
        <v>10</v>
      </c>
      <c r="J1324" s="87">
        <v>2</v>
      </c>
      <c r="K1324" s="87"/>
      <c r="L1324" s="87">
        <v>2</v>
      </c>
      <c r="M1324" s="87"/>
      <c r="N1324" s="87"/>
      <c r="O1324" s="87"/>
      <c r="P1324" s="87"/>
      <c r="Q1324" s="87"/>
      <c r="R1324" s="87"/>
      <c r="S1324" s="87"/>
      <c r="T1324" s="87"/>
      <c r="U1324" s="88"/>
      <c r="V1324" s="89"/>
      <c r="W1324" s="96">
        <v>0</v>
      </c>
      <c r="X1324" s="71">
        <f>CU1324</f>
        <v>0</v>
      </c>
      <c r="Y1324" s="71">
        <f>CY1324</f>
        <v>0</v>
      </c>
      <c r="Z1324" s="71">
        <f>DA1324+DC1324+DE1324</f>
        <v>0</v>
      </c>
      <c r="AA1324" s="71">
        <f>CW1324</f>
        <v>0</v>
      </c>
      <c r="AB1324" s="71"/>
      <c r="AC1324" s="71">
        <v>0</v>
      </c>
      <c r="AD1324" s="71">
        <f>W1324+X1324+Y1324+Z1324+AA1324+AB1324+AC1324</f>
        <v>0</v>
      </c>
      <c r="AE1324" s="72">
        <v>0</v>
      </c>
      <c r="AF1324" s="5"/>
      <c r="AG1324" s="6"/>
      <c r="AH1324" s="27" t="s">
        <v>3392</v>
      </c>
      <c r="AI1324" s="44" t="s">
        <v>3393</v>
      </c>
      <c r="AJ1324" s="26"/>
      <c r="AK1324" s="5"/>
      <c r="AL1324" s="82" t="s">
        <v>4118</v>
      </c>
      <c r="AM1324" s="76"/>
      <c r="AN1324" s="76"/>
      <c r="AO1324" s="76"/>
      <c r="AP1324" s="76"/>
      <c r="AQ1324" s="76"/>
      <c r="AR1324" s="76"/>
      <c r="AS1324" s="76"/>
      <c r="AT1324" s="76"/>
      <c r="AU1324" s="76"/>
      <c r="AV1324" s="76"/>
      <c r="AW1324" s="76"/>
      <c r="AX1324" s="76">
        <f>+AW1324*600000</f>
        <v>0</v>
      </c>
      <c r="AY1324" s="76"/>
      <c r="AZ1324" s="76">
        <f>+AY1324*70000</f>
        <v>0</v>
      </c>
      <c r="BA1324" s="76"/>
      <c r="BB1324" s="76"/>
      <c r="BC1324" s="76"/>
      <c r="BD1324" s="76">
        <f>+BC1324*30000</f>
        <v>0</v>
      </c>
      <c r="BE1324" s="76"/>
      <c r="BF1324" s="76"/>
      <c r="BG1324" s="76"/>
      <c r="BH1324" s="76"/>
      <c r="BI1324" s="76"/>
      <c r="BJ1324" s="76"/>
      <c r="BK1324" s="76"/>
      <c r="BL1324" s="76">
        <f>+BK1324*31500</f>
        <v>0</v>
      </c>
      <c r="BM1324" s="76"/>
      <c r="BN1324" s="76"/>
      <c r="BO1324" s="76"/>
      <c r="BP1324" s="76"/>
      <c r="BQ1324" s="76"/>
      <c r="BR1324" s="76"/>
      <c r="BS1324" s="76"/>
      <c r="BT1324" s="76"/>
      <c r="BU1324" s="76"/>
      <c r="BV1324" s="76"/>
      <c r="BW1324" s="76"/>
      <c r="BX1324" s="76"/>
      <c r="BY1324" s="76"/>
      <c r="BZ1324" s="76"/>
      <c r="CA1324" s="76"/>
      <c r="CB1324" s="76"/>
      <c r="CC1324" s="76"/>
      <c r="CD1324" s="76"/>
      <c r="CE1324" s="76"/>
      <c r="CF1324" s="76">
        <f>+CE1324*28000</f>
        <v>0</v>
      </c>
      <c r="CG1324" s="76"/>
      <c r="CH1324" s="76">
        <f>+CG1324*22500</f>
        <v>0</v>
      </c>
      <c r="CI1324" s="76"/>
      <c r="CJ1324" s="76">
        <f>+CI1324*26000</f>
        <v>0</v>
      </c>
      <c r="CK1324" s="76"/>
      <c r="CL1324" s="76"/>
      <c r="CM1324" s="76"/>
      <c r="CN1324" s="76">
        <f>+CM1324*22000</f>
        <v>0</v>
      </c>
      <c r="CO1324" s="76"/>
      <c r="CP1324" s="76">
        <f>+CO1324*46000</f>
        <v>0</v>
      </c>
      <c r="CQ1324" s="76"/>
      <c r="CR1324" s="76">
        <f>+CQ1324*49000</f>
        <v>0</v>
      </c>
      <c r="CS1324" s="76"/>
      <c r="CT1324" s="76"/>
      <c r="CU1324" s="56">
        <f>AN1324+AP1324+AR1324+AT1324+AV1324+AX1324+AZ1324+BB1324+BD1324+BF1324+BH1324+BJ1324+BL1324+BN1324+BP1324+BR1324+BT1324+BV1324+BX1324+BZ1324+CB1324+CD1324+CF1324+CH1324+CJ1324+CL1324+CN1324+CP1324+CR1324+CT1324</f>
        <v>0</v>
      </c>
      <c r="CV1324" s="76"/>
      <c r="CW1324" s="76">
        <f>+CV1324*1100</f>
        <v>0</v>
      </c>
      <c r="CX1324" s="76"/>
      <c r="CY1324" s="76">
        <f>+CX1324*106250</f>
        <v>0</v>
      </c>
      <c r="CZ1324" s="76"/>
      <c r="DA1324" s="76">
        <f>+CZ1324*34500</f>
        <v>0</v>
      </c>
      <c r="DB1324" s="76"/>
      <c r="DC1324" s="76">
        <f>+DB1324*25000</f>
        <v>0</v>
      </c>
      <c r="DD1324" s="219"/>
      <c r="DE1324" s="219"/>
      <c r="DF1324" s="166"/>
      <c r="DG1324" s="116"/>
      <c r="DH1324" s="117"/>
      <c r="DI1324" s="24"/>
      <c r="DJ1324" s="24"/>
      <c r="DK1324" s="24"/>
      <c r="DL1324" s="24"/>
      <c r="DM1324" s="24"/>
      <c r="DN1324" s="24"/>
      <c r="DO1324" s="24"/>
      <c r="DP1324" s="24"/>
      <c r="DQ1324" s="24"/>
      <c r="DR1324" s="24"/>
      <c r="DS1324" s="24"/>
      <c r="DT1324" s="24"/>
      <c r="DU1324" s="24"/>
    </row>
    <row r="1325" spans="1:125" s="8" customFormat="1" ht="120" x14ac:dyDescent="0.2">
      <c r="A1325" s="77">
        <v>41363</v>
      </c>
      <c r="B1325" s="78" t="s">
        <v>2851</v>
      </c>
      <c r="C1325" s="75" t="s">
        <v>2800</v>
      </c>
      <c r="D1325" s="81" t="s">
        <v>2846</v>
      </c>
      <c r="E1325" s="75" t="str">
        <f>VLOOKUP(B1325&amp;C1325,Divipola!$C$2:$F$1138,4,FALSE)</f>
        <v>76895</v>
      </c>
      <c r="F1325" s="87"/>
      <c r="G1325" s="87"/>
      <c r="H1325" s="87"/>
      <c r="I1325" s="87"/>
      <c r="J1325" s="87"/>
      <c r="K1325" s="87"/>
      <c r="L1325" s="87"/>
      <c r="M1325" s="87"/>
      <c r="N1325" s="87"/>
      <c r="O1325" s="87"/>
      <c r="P1325" s="87"/>
      <c r="Q1325" s="87"/>
      <c r="R1325" s="87"/>
      <c r="S1325" s="87"/>
      <c r="T1325" s="87"/>
      <c r="U1325" s="88"/>
      <c r="V1325" s="89"/>
      <c r="W1325" s="96">
        <v>0</v>
      </c>
      <c r="X1325" s="71">
        <f>CU1325</f>
        <v>0</v>
      </c>
      <c r="Y1325" s="71">
        <f>CY1325</f>
        <v>0</v>
      </c>
      <c r="Z1325" s="71">
        <f>DA1325+DC1325+DE1325</f>
        <v>0</v>
      </c>
      <c r="AA1325" s="71">
        <f>CW1325</f>
        <v>0</v>
      </c>
      <c r="AB1325" s="71"/>
      <c r="AC1325" s="71">
        <v>0</v>
      </c>
      <c r="AD1325" s="71">
        <f>W1325+X1325+Y1325+Z1325+AA1325+AB1325+AC1325</f>
        <v>0</v>
      </c>
      <c r="AE1325" s="72">
        <v>0</v>
      </c>
      <c r="AF1325" s="5"/>
      <c r="AG1325" s="6"/>
      <c r="AH1325" s="27" t="s">
        <v>3392</v>
      </c>
      <c r="AI1325" s="44" t="s">
        <v>3393</v>
      </c>
      <c r="AJ1325" s="26"/>
      <c r="AK1325" s="5"/>
      <c r="AL1325" s="82" t="s">
        <v>4124</v>
      </c>
      <c r="AM1325" s="76"/>
      <c r="AN1325" s="76"/>
      <c r="AO1325" s="76"/>
      <c r="AP1325" s="76"/>
      <c r="AQ1325" s="76"/>
      <c r="AR1325" s="76"/>
      <c r="AS1325" s="76"/>
      <c r="AT1325" s="76"/>
      <c r="AU1325" s="76"/>
      <c r="AV1325" s="76"/>
      <c r="AW1325" s="76"/>
      <c r="AX1325" s="76">
        <f>+AW1325*600000</f>
        <v>0</v>
      </c>
      <c r="AY1325" s="76"/>
      <c r="AZ1325" s="76">
        <f>+AY1325*70000</f>
        <v>0</v>
      </c>
      <c r="BA1325" s="76"/>
      <c r="BB1325" s="76"/>
      <c r="BC1325" s="76"/>
      <c r="BD1325" s="76">
        <f>+BC1325*30000</f>
        <v>0</v>
      </c>
      <c r="BE1325" s="76"/>
      <c r="BF1325" s="76"/>
      <c r="BG1325" s="76"/>
      <c r="BH1325" s="76"/>
      <c r="BI1325" s="76"/>
      <c r="BJ1325" s="76"/>
      <c r="BK1325" s="76"/>
      <c r="BL1325" s="76">
        <f>+BK1325*31500</f>
        <v>0</v>
      </c>
      <c r="BM1325" s="76"/>
      <c r="BN1325" s="76"/>
      <c r="BO1325" s="76"/>
      <c r="BP1325" s="76"/>
      <c r="BQ1325" s="76"/>
      <c r="BR1325" s="76"/>
      <c r="BS1325" s="76"/>
      <c r="BT1325" s="76"/>
      <c r="BU1325" s="76"/>
      <c r="BV1325" s="76"/>
      <c r="BW1325" s="76"/>
      <c r="BX1325" s="76"/>
      <c r="BY1325" s="76"/>
      <c r="BZ1325" s="76"/>
      <c r="CA1325" s="76"/>
      <c r="CB1325" s="76"/>
      <c r="CC1325" s="76"/>
      <c r="CD1325" s="76"/>
      <c r="CE1325" s="76"/>
      <c r="CF1325" s="76">
        <f>+CE1325*28000</f>
        <v>0</v>
      </c>
      <c r="CG1325" s="76"/>
      <c r="CH1325" s="76">
        <f>+CG1325*22500</f>
        <v>0</v>
      </c>
      <c r="CI1325" s="76"/>
      <c r="CJ1325" s="76">
        <f>+CI1325*26000</f>
        <v>0</v>
      </c>
      <c r="CK1325" s="76"/>
      <c r="CL1325" s="76"/>
      <c r="CM1325" s="76"/>
      <c r="CN1325" s="76">
        <f>+CM1325*22000</f>
        <v>0</v>
      </c>
      <c r="CO1325" s="76"/>
      <c r="CP1325" s="76">
        <f>+CO1325*46000</f>
        <v>0</v>
      </c>
      <c r="CQ1325" s="76"/>
      <c r="CR1325" s="76">
        <f>+CQ1325*49000</f>
        <v>0</v>
      </c>
      <c r="CS1325" s="76"/>
      <c r="CT1325" s="76"/>
      <c r="CU1325" s="56">
        <f>AN1325+AP1325+AR1325+AT1325+AV1325+AX1325+AZ1325+BB1325+BD1325+BF1325+BH1325+BJ1325+BL1325+BN1325+BP1325+BR1325+BT1325+BV1325+BX1325+BZ1325+CB1325+CD1325+CF1325+CH1325+CJ1325+CL1325+CN1325+CP1325+CR1325+CT1325</f>
        <v>0</v>
      </c>
      <c r="CV1325" s="76"/>
      <c r="CW1325" s="76">
        <f>+CV1325*1100</f>
        <v>0</v>
      </c>
      <c r="CX1325" s="76"/>
      <c r="CY1325" s="76">
        <f>+CX1325*106250</f>
        <v>0</v>
      </c>
      <c r="CZ1325" s="76"/>
      <c r="DA1325" s="76">
        <f>+CZ1325*34500</f>
        <v>0</v>
      </c>
      <c r="DB1325" s="76"/>
      <c r="DC1325" s="76">
        <f>+DB1325*25000</f>
        <v>0</v>
      </c>
      <c r="DD1325" s="219"/>
      <c r="DE1325" s="219"/>
      <c r="DF1325" s="166"/>
      <c r="DG1325" s="116"/>
      <c r="DH1325" s="117"/>
      <c r="DI1325" s="24"/>
      <c r="DJ1325" s="24"/>
      <c r="DK1325" s="24"/>
      <c r="DL1325" s="24"/>
      <c r="DM1325" s="24"/>
      <c r="DN1325" s="24"/>
      <c r="DO1325" s="24"/>
      <c r="DP1325" s="24"/>
      <c r="DQ1325" s="24"/>
      <c r="DR1325" s="24"/>
      <c r="DS1325" s="24"/>
      <c r="DT1325" s="24"/>
      <c r="DU1325" s="24"/>
    </row>
    <row r="1326" spans="1:125" s="8" customFormat="1" ht="48" x14ac:dyDescent="0.2">
      <c r="A1326" s="97">
        <v>41364</v>
      </c>
      <c r="B1326" s="60" t="s">
        <v>2777</v>
      </c>
      <c r="C1326" s="55" t="s">
        <v>2783</v>
      </c>
      <c r="D1326" s="55" t="s">
        <v>2859</v>
      </c>
      <c r="E1326" s="75" t="str">
        <f>VLOOKUP(B1326&amp;C1326,Divipola!$C$2:$F$1138,4,FALSE)</f>
        <v>13001</v>
      </c>
      <c r="F1326" s="87"/>
      <c r="G1326" s="87"/>
      <c r="H1326" s="87"/>
      <c r="I1326" s="87">
        <v>17</v>
      </c>
      <c r="J1326" s="87">
        <v>4</v>
      </c>
      <c r="K1326" s="87">
        <v>4</v>
      </c>
      <c r="L1326" s="87"/>
      <c r="M1326" s="87"/>
      <c r="N1326" s="87"/>
      <c r="O1326" s="87"/>
      <c r="P1326" s="87"/>
      <c r="Q1326" s="87"/>
      <c r="R1326" s="87"/>
      <c r="S1326" s="87"/>
      <c r="T1326" s="87"/>
      <c r="U1326" s="88"/>
      <c r="V1326" s="89"/>
      <c r="W1326" s="96">
        <v>0</v>
      </c>
      <c r="X1326" s="71">
        <f>CU1326</f>
        <v>0</v>
      </c>
      <c r="Y1326" s="71">
        <f>CY1326</f>
        <v>0</v>
      </c>
      <c r="Z1326" s="71">
        <f>DA1326+DC1326+DE1326</f>
        <v>0</v>
      </c>
      <c r="AA1326" s="71">
        <f>CW1326</f>
        <v>0</v>
      </c>
      <c r="AB1326" s="71"/>
      <c r="AC1326" s="71">
        <v>0</v>
      </c>
      <c r="AD1326" s="71">
        <f>W1326+X1326+Y1326+Z1326+AA1326+AB1326+AC1326</f>
        <v>0</v>
      </c>
      <c r="AE1326" s="72">
        <v>0</v>
      </c>
      <c r="AF1326" s="5"/>
      <c r="AG1326" s="6"/>
      <c r="AH1326" s="27" t="s">
        <v>3392</v>
      </c>
      <c r="AI1326" s="44" t="s">
        <v>3393</v>
      </c>
      <c r="AJ1326" s="26"/>
      <c r="AK1326" s="5"/>
      <c r="AL1326" s="82" t="s">
        <v>4122</v>
      </c>
      <c r="AM1326" s="76"/>
      <c r="AN1326" s="76"/>
      <c r="AO1326" s="76"/>
      <c r="AP1326" s="76"/>
      <c r="AQ1326" s="76"/>
      <c r="AR1326" s="76"/>
      <c r="AS1326" s="76"/>
      <c r="AT1326" s="76"/>
      <c r="AU1326" s="76"/>
      <c r="AV1326" s="76"/>
      <c r="AW1326" s="76"/>
      <c r="AX1326" s="76">
        <f>+AW1326*600000</f>
        <v>0</v>
      </c>
      <c r="AY1326" s="76"/>
      <c r="AZ1326" s="76">
        <f>+AY1326*70000</f>
        <v>0</v>
      </c>
      <c r="BA1326" s="76"/>
      <c r="BB1326" s="76"/>
      <c r="BC1326" s="76"/>
      <c r="BD1326" s="76">
        <f>+BC1326*30000</f>
        <v>0</v>
      </c>
      <c r="BE1326" s="76"/>
      <c r="BF1326" s="76"/>
      <c r="BG1326" s="76"/>
      <c r="BH1326" s="76"/>
      <c r="BI1326" s="76"/>
      <c r="BJ1326" s="76"/>
      <c r="BK1326" s="76"/>
      <c r="BL1326" s="76">
        <f>+BK1326*31500</f>
        <v>0</v>
      </c>
      <c r="BM1326" s="76"/>
      <c r="BN1326" s="76"/>
      <c r="BO1326" s="76"/>
      <c r="BP1326" s="76"/>
      <c r="BQ1326" s="76"/>
      <c r="BR1326" s="76"/>
      <c r="BS1326" s="76"/>
      <c r="BT1326" s="76"/>
      <c r="BU1326" s="76"/>
      <c r="BV1326" s="76"/>
      <c r="BW1326" s="76"/>
      <c r="BX1326" s="76"/>
      <c r="BY1326" s="76"/>
      <c r="BZ1326" s="76"/>
      <c r="CA1326" s="76"/>
      <c r="CB1326" s="76"/>
      <c r="CC1326" s="76"/>
      <c r="CD1326" s="76"/>
      <c r="CE1326" s="76"/>
      <c r="CF1326" s="76">
        <f>+CE1326*28000</f>
        <v>0</v>
      </c>
      <c r="CG1326" s="76"/>
      <c r="CH1326" s="76">
        <f>+CG1326*22500</f>
        <v>0</v>
      </c>
      <c r="CI1326" s="76"/>
      <c r="CJ1326" s="76">
        <f>+CI1326*26000</f>
        <v>0</v>
      </c>
      <c r="CK1326" s="76"/>
      <c r="CL1326" s="76"/>
      <c r="CM1326" s="76"/>
      <c r="CN1326" s="76">
        <f>+CM1326*22000</f>
        <v>0</v>
      </c>
      <c r="CO1326" s="76"/>
      <c r="CP1326" s="76">
        <f>+CO1326*46000</f>
        <v>0</v>
      </c>
      <c r="CQ1326" s="76"/>
      <c r="CR1326" s="76">
        <f>+CQ1326*49000</f>
        <v>0</v>
      </c>
      <c r="CS1326" s="76"/>
      <c r="CT1326" s="76"/>
      <c r="CU1326" s="56">
        <f>AN1326+AP1326+AR1326+AT1326+AV1326+AX1326+AZ1326+BB1326+BD1326+BF1326+BH1326+BJ1326+BL1326+BN1326+BP1326+BR1326+BT1326+BV1326+BX1326+BZ1326+CB1326+CD1326+CF1326+CH1326+CJ1326+CL1326+CN1326+CP1326+CR1326+CT1326</f>
        <v>0</v>
      </c>
      <c r="CV1326" s="76"/>
      <c r="CW1326" s="76">
        <f>+CV1326*1100</f>
        <v>0</v>
      </c>
      <c r="CX1326" s="76"/>
      <c r="CY1326" s="76">
        <f>+CX1326*106250</f>
        <v>0</v>
      </c>
      <c r="CZ1326" s="76"/>
      <c r="DA1326" s="76">
        <f>+CZ1326*34500</f>
        <v>0</v>
      </c>
      <c r="DB1326" s="76"/>
      <c r="DC1326" s="76">
        <f>+DB1326*25000</f>
        <v>0</v>
      </c>
      <c r="DD1326" s="219"/>
      <c r="DE1326" s="219"/>
      <c r="DF1326" s="166"/>
      <c r="DG1326" s="116"/>
      <c r="DH1326" s="117"/>
      <c r="DI1326" s="24"/>
      <c r="DJ1326" s="24"/>
      <c r="DK1326" s="24"/>
      <c r="DL1326" s="24"/>
      <c r="DM1326" s="24"/>
      <c r="DN1326" s="24"/>
      <c r="DO1326" s="24"/>
      <c r="DP1326" s="24"/>
      <c r="DQ1326" s="24"/>
      <c r="DR1326" s="24"/>
      <c r="DS1326" s="24"/>
      <c r="DT1326" s="24"/>
      <c r="DU1326" s="24"/>
    </row>
    <row r="1327" spans="1:125" s="8" customFormat="1" ht="72" x14ac:dyDescent="0.2">
      <c r="A1327" s="77">
        <v>41364</v>
      </c>
      <c r="B1327" s="78" t="s">
        <v>2852</v>
      </c>
      <c r="C1327" s="75" t="s">
        <v>2110</v>
      </c>
      <c r="D1327" s="75" t="s">
        <v>2859</v>
      </c>
      <c r="E1327" s="75" t="str">
        <f>VLOOKUP(B1327&amp;C1327,Divipola!$C$2:$F$1138,4,FALSE)</f>
        <v>27615</v>
      </c>
      <c r="F1327" s="87"/>
      <c r="G1327" s="87"/>
      <c r="H1327" s="87"/>
      <c r="I1327" s="87">
        <v>50</v>
      </c>
      <c r="J1327" s="87">
        <v>10</v>
      </c>
      <c r="K1327" s="87">
        <v>5</v>
      </c>
      <c r="L1327" s="87">
        <v>4</v>
      </c>
      <c r="M1327" s="87"/>
      <c r="N1327" s="87"/>
      <c r="O1327" s="87"/>
      <c r="P1327" s="87"/>
      <c r="Q1327" s="87"/>
      <c r="R1327" s="87"/>
      <c r="S1327" s="87"/>
      <c r="T1327" s="87"/>
      <c r="U1327" s="88"/>
      <c r="V1327" s="89"/>
      <c r="W1327" s="96">
        <v>0</v>
      </c>
      <c r="X1327" s="71">
        <f>CU1327</f>
        <v>0</v>
      </c>
      <c r="Y1327" s="71">
        <f>CY1327</f>
        <v>0</v>
      </c>
      <c r="Z1327" s="71">
        <f>DA1327+DC1327+DE1327</f>
        <v>0</v>
      </c>
      <c r="AA1327" s="71">
        <f>CW1327</f>
        <v>0</v>
      </c>
      <c r="AB1327" s="71"/>
      <c r="AC1327" s="71">
        <v>0</v>
      </c>
      <c r="AD1327" s="71">
        <f>W1327+X1327+Y1327+Z1327+AA1327+AB1327+AC1327</f>
        <v>0</v>
      </c>
      <c r="AE1327" s="72">
        <v>0</v>
      </c>
      <c r="AF1327" s="5"/>
      <c r="AG1327" s="6"/>
      <c r="AH1327" s="27" t="s">
        <v>3392</v>
      </c>
      <c r="AI1327" s="44" t="s">
        <v>3393</v>
      </c>
      <c r="AJ1327" s="26"/>
      <c r="AK1327" s="5"/>
      <c r="AL1327" s="82" t="s">
        <v>4175</v>
      </c>
      <c r="AM1327" s="76"/>
      <c r="AN1327" s="76"/>
      <c r="AO1327" s="76"/>
      <c r="AP1327" s="76"/>
      <c r="AQ1327" s="76"/>
      <c r="AR1327" s="76"/>
      <c r="AS1327" s="76"/>
      <c r="AT1327" s="76"/>
      <c r="AU1327" s="76"/>
      <c r="AV1327" s="76"/>
      <c r="AW1327" s="76"/>
      <c r="AX1327" s="76">
        <f>+AW1327*600000</f>
        <v>0</v>
      </c>
      <c r="AY1327" s="76"/>
      <c r="AZ1327" s="76">
        <f>+AY1327*70000</f>
        <v>0</v>
      </c>
      <c r="BA1327" s="76"/>
      <c r="BB1327" s="76"/>
      <c r="BC1327" s="76"/>
      <c r="BD1327" s="76">
        <f>+BC1327*30000</f>
        <v>0</v>
      </c>
      <c r="BE1327" s="76"/>
      <c r="BF1327" s="76"/>
      <c r="BG1327" s="76"/>
      <c r="BH1327" s="76"/>
      <c r="BI1327" s="76"/>
      <c r="BJ1327" s="76"/>
      <c r="BK1327" s="76"/>
      <c r="BL1327" s="76">
        <f>+BK1327*31500</f>
        <v>0</v>
      </c>
      <c r="BM1327" s="76"/>
      <c r="BN1327" s="76"/>
      <c r="BO1327" s="76"/>
      <c r="BP1327" s="76"/>
      <c r="BQ1327" s="76"/>
      <c r="BR1327" s="76"/>
      <c r="BS1327" s="76"/>
      <c r="BT1327" s="76"/>
      <c r="BU1327" s="76"/>
      <c r="BV1327" s="76"/>
      <c r="BW1327" s="76"/>
      <c r="BX1327" s="76"/>
      <c r="BY1327" s="76"/>
      <c r="BZ1327" s="76"/>
      <c r="CA1327" s="76"/>
      <c r="CB1327" s="76"/>
      <c r="CC1327" s="76"/>
      <c r="CD1327" s="76"/>
      <c r="CE1327" s="76"/>
      <c r="CF1327" s="76">
        <f>+CE1327*28000</f>
        <v>0</v>
      </c>
      <c r="CG1327" s="76"/>
      <c r="CH1327" s="76">
        <f>+CG1327*22500</f>
        <v>0</v>
      </c>
      <c r="CI1327" s="76"/>
      <c r="CJ1327" s="76">
        <f>+CI1327*26000</f>
        <v>0</v>
      </c>
      <c r="CK1327" s="76"/>
      <c r="CL1327" s="76"/>
      <c r="CM1327" s="76"/>
      <c r="CN1327" s="76">
        <f>+CM1327*22000</f>
        <v>0</v>
      </c>
      <c r="CO1327" s="76"/>
      <c r="CP1327" s="76">
        <f>+CO1327*46000</f>
        <v>0</v>
      </c>
      <c r="CQ1327" s="76"/>
      <c r="CR1327" s="76">
        <f>+CQ1327*49000</f>
        <v>0</v>
      </c>
      <c r="CS1327" s="76"/>
      <c r="CT1327" s="76"/>
      <c r="CU1327" s="56">
        <f>AN1327+AP1327+AR1327+AT1327+AV1327+AX1327+AZ1327+BB1327+BD1327+BF1327+BH1327+BJ1327+BL1327+BN1327+BP1327+BR1327+BT1327+BV1327+BX1327+BZ1327+CB1327+CD1327+CF1327+CH1327+CJ1327+CL1327+CN1327+CP1327+CR1327+CT1327</f>
        <v>0</v>
      </c>
      <c r="CV1327" s="76"/>
      <c r="CW1327" s="76">
        <f>+CV1327*1100</f>
        <v>0</v>
      </c>
      <c r="CX1327" s="76"/>
      <c r="CY1327" s="76">
        <f>+CX1327*106250</f>
        <v>0</v>
      </c>
      <c r="CZ1327" s="76"/>
      <c r="DA1327" s="76">
        <f>+CZ1327*34500</f>
        <v>0</v>
      </c>
      <c r="DB1327" s="76"/>
      <c r="DC1327" s="76">
        <f>+DB1327*25000</f>
        <v>0</v>
      </c>
      <c r="DD1327" s="219"/>
      <c r="DE1327" s="219"/>
      <c r="DF1327" s="166"/>
      <c r="DG1327" s="116"/>
      <c r="DH1327" s="117"/>
      <c r="DI1327" s="24"/>
      <c r="DJ1327" s="24"/>
      <c r="DK1327" s="24"/>
      <c r="DL1327" s="24"/>
      <c r="DM1327" s="24"/>
      <c r="DN1327" s="24"/>
      <c r="DO1327" s="24"/>
      <c r="DP1327" s="24"/>
      <c r="DQ1327" s="24"/>
      <c r="DR1327" s="24"/>
      <c r="DS1327" s="24"/>
      <c r="DT1327" s="24"/>
      <c r="DU1327" s="24"/>
    </row>
    <row r="1328" spans="1:125" s="8" customFormat="1" ht="48" x14ac:dyDescent="0.2">
      <c r="A1328" s="77">
        <v>41364</v>
      </c>
      <c r="B1328" s="78" t="s">
        <v>1326</v>
      </c>
      <c r="C1328" s="75" t="s">
        <v>1850</v>
      </c>
      <c r="D1328" s="75" t="s">
        <v>2882</v>
      </c>
      <c r="E1328" s="75" t="str">
        <f>VLOOKUP(B1328&amp;C1328,Divipola!$C$2:$F$1138,4,FALSE)</f>
        <v>70820</v>
      </c>
      <c r="F1328" s="163"/>
      <c r="G1328" s="163"/>
      <c r="H1328" s="163"/>
      <c r="I1328" s="163">
        <f>400*5</f>
        <v>2000</v>
      </c>
      <c r="J1328" s="163">
        <v>400</v>
      </c>
      <c r="K1328" s="163"/>
      <c r="L1328" s="163">
        <v>85</v>
      </c>
      <c r="M1328" s="163"/>
      <c r="N1328" s="163"/>
      <c r="O1328" s="163"/>
      <c r="P1328" s="163"/>
      <c r="Q1328" s="163"/>
      <c r="R1328" s="163"/>
      <c r="S1328" s="163"/>
      <c r="T1328" s="163"/>
      <c r="U1328" s="163"/>
      <c r="V1328" s="134"/>
      <c r="W1328" s="96">
        <v>0</v>
      </c>
      <c r="X1328" s="71">
        <f>CU1328</f>
        <v>66400000</v>
      </c>
      <c r="Y1328" s="71">
        <f>CY1328</f>
        <v>42220000</v>
      </c>
      <c r="Z1328" s="71">
        <f>DA1328+DC1328+DE1328</f>
        <v>16840000</v>
      </c>
      <c r="AA1328" s="71">
        <f>CW1328</f>
        <v>0</v>
      </c>
      <c r="AB1328" s="71"/>
      <c r="AC1328" s="71">
        <v>0</v>
      </c>
      <c r="AD1328" s="71">
        <f>W1328+X1328+Y1328+Z1328+AA1328+AB1328+AC1328</f>
        <v>125460000</v>
      </c>
      <c r="AE1328" s="72">
        <v>0</v>
      </c>
      <c r="AF1328" s="5"/>
      <c r="AG1328" s="6"/>
      <c r="AH1328" s="27" t="s">
        <v>3390</v>
      </c>
      <c r="AI1328" s="44" t="s">
        <v>3393</v>
      </c>
      <c r="AJ1328" s="26"/>
      <c r="AK1328" s="5" t="s">
        <v>4242</v>
      </c>
      <c r="AL1328" s="82" t="s">
        <v>5219</v>
      </c>
      <c r="AM1328" s="76"/>
      <c r="AN1328" s="76"/>
      <c r="AO1328" s="76"/>
      <c r="AP1328" s="76"/>
      <c r="AQ1328" s="76"/>
      <c r="AR1328" s="76"/>
      <c r="AS1328" s="76"/>
      <c r="AT1328" s="76"/>
      <c r="AU1328" s="76"/>
      <c r="AV1328" s="76"/>
      <c r="AW1328" s="76"/>
      <c r="AX1328" s="76">
        <f>+AW1328*600000</f>
        <v>0</v>
      </c>
      <c r="AY1328" s="86">
        <v>500</v>
      </c>
      <c r="AZ1328" s="86">
        <f>+AY1328*70000</f>
        <v>35000000</v>
      </c>
      <c r="BA1328" s="76"/>
      <c r="BB1328" s="76"/>
      <c r="BC1328" s="76"/>
      <c r="BD1328" s="76">
        <f>+BC1328*30000</f>
        <v>0</v>
      </c>
      <c r="BE1328" s="76"/>
      <c r="BF1328" s="76"/>
      <c r="BG1328" s="76"/>
      <c r="BH1328" s="76"/>
      <c r="BI1328" s="76"/>
      <c r="BJ1328" s="76"/>
      <c r="BK1328" s="76"/>
      <c r="BL1328" s="76">
        <f>+BK1328*31500</f>
        <v>0</v>
      </c>
      <c r="BM1328" s="76"/>
      <c r="BN1328" s="76"/>
      <c r="BO1328" s="76"/>
      <c r="BP1328" s="76"/>
      <c r="BQ1328" s="76"/>
      <c r="BR1328" s="76"/>
      <c r="BS1328" s="76"/>
      <c r="BT1328" s="76"/>
      <c r="BU1328" s="76"/>
      <c r="BV1328" s="76"/>
      <c r="BW1328" s="76"/>
      <c r="BX1328" s="76"/>
      <c r="BY1328" s="76"/>
      <c r="BZ1328" s="76"/>
      <c r="CA1328" s="76"/>
      <c r="CB1328" s="76"/>
      <c r="CC1328" s="76"/>
      <c r="CD1328" s="76"/>
      <c r="CE1328" s="76"/>
      <c r="CF1328" s="76">
        <f>+CE1328*28000</f>
        <v>0</v>
      </c>
      <c r="CG1328" s="76"/>
      <c r="CH1328" s="76">
        <f>+CG1328*22500</f>
        <v>0</v>
      </c>
      <c r="CI1328" s="76"/>
      <c r="CJ1328" s="76">
        <f>+CI1328*26000</f>
        <v>0</v>
      </c>
      <c r="CK1328" s="76"/>
      <c r="CL1328" s="76"/>
      <c r="CM1328" s="76"/>
      <c r="CN1328" s="76">
        <f>+CM1328*22000</f>
        <v>0</v>
      </c>
      <c r="CO1328" s="86">
        <v>400</v>
      </c>
      <c r="CP1328" s="86">
        <f>+CO1328*46000</f>
        <v>18400000</v>
      </c>
      <c r="CQ1328" s="86">
        <v>250</v>
      </c>
      <c r="CR1328" s="86">
        <f>+CQ1328*52000</f>
        <v>13000000</v>
      </c>
      <c r="CS1328" s="76"/>
      <c r="CT1328" s="76"/>
      <c r="CU1328" s="56">
        <f>AN1328+AP1328+AR1328+AT1328+AV1328+AX1328+AZ1328+BB1328+BD1328+BF1328+BH1328+BJ1328+BL1328+BN1328+BP1328+BR1328+BT1328+BV1328+BX1328+BZ1328+CB1328+CD1328+CF1328+CH1328+CJ1328+CL1328+CN1328+CP1328+CR1328+CT1328</f>
        <v>66400000</v>
      </c>
      <c r="CV1328" s="76"/>
      <c r="CW1328" s="76">
        <f>+CV1328*1100</f>
        <v>0</v>
      </c>
      <c r="CX1328" s="86">
        <v>400</v>
      </c>
      <c r="CY1328" s="86">
        <f>+CX1328*105550</f>
        <v>42220000</v>
      </c>
      <c r="CZ1328" s="76"/>
      <c r="DA1328" s="76">
        <f>+CZ1328*34500</f>
        <v>0</v>
      </c>
      <c r="DB1328" s="86">
        <v>600</v>
      </c>
      <c r="DC1328" s="86">
        <f>400*25000+1600*200+200*31000+800*400</f>
        <v>16840000</v>
      </c>
      <c r="DD1328" s="219"/>
      <c r="DE1328" s="219"/>
      <c r="DF1328" s="166"/>
      <c r="DG1328" s="134" t="s">
        <v>5876</v>
      </c>
      <c r="DH1328" s="117"/>
      <c r="DI1328" s="24"/>
      <c r="DJ1328" s="24"/>
      <c r="DK1328" s="24"/>
      <c r="DL1328" s="24"/>
      <c r="DM1328" s="24"/>
      <c r="DN1328" s="24"/>
      <c r="DO1328" s="24"/>
      <c r="DP1328" s="24"/>
      <c r="DQ1328" s="24"/>
      <c r="DR1328" s="24"/>
      <c r="DS1328" s="24"/>
      <c r="DT1328" s="24"/>
      <c r="DU1328" s="24"/>
    </row>
    <row r="1329" spans="1:125" s="8" customFormat="1" ht="72" x14ac:dyDescent="0.2">
      <c r="A1329" s="353">
        <v>41365</v>
      </c>
      <c r="B1329" s="352" t="s">
        <v>2700</v>
      </c>
      <c r="C1329" s="354" t="s">
        <v>1705</v>
      </c>
      <c r="D1329" s="354" t="s">
        <v>2936</v>
      </c>
      <c r="E1329" s="75" t="str">
        <f>VLOOKUP(B1329&amp;C1329,Divipola!$C$2:$F$1138,4,FALSE)</f>
        <v>15572</v>
      </c>
      <c r="F1329" s="87"/>
      <c r="G1329" s="87"/>
      <c r="H1329" s="87"/>
      <c r="I1329" s="87">
        <v>7</v>
      </c>
      <c r="J1329" s="87"/>
      <c r="K1329" s="87"/>
      <c r="L1329" s="87"/>
      <c r="M1329" s="87"/>
      <c r="N1329" s="87"/>
      <c r="O1329" s="87"/>
      <c r="P1329" s="87"/>
      <c r="Q1329" s="87"/>
      <c r="R1329" s="87"/>
      <c r="S1329" s="87"/>
      <c r="T1329" s="87"/>
      <c r="U1329" s="88"/>
      <c r="V1329" s="89"/>
      <c r="W1329" s="96">
        <v>0</v>
      </c>
      <c r="X1329" s="71">
        <f>CU1329</f>
        <v>0</v>
      </c>
      <c r="Y1329" s="71">
        <f>CY1329</f>
        <v>0</v>
      </c>
      <c r="Z1329" s="71">
        <f>DA1329+DC1329+DE1329</f>
        <v>0</v>
      </c>
      <c r="AA1329" s="71">
        <f>CW1329</f>
        <v>0</v>
      </c>
      <c r="AB1329" s="71"/>
      <c r="AC1329" s="71">
        <v>0</v>
      </c>
      <c r="AD1329" s="71">
        <f>W1329+X1329+Y1329+Z1329+AA1329+AB1329+AC1329</f>
        <v>0</v>
      </c>
      <c r="AE1329" s="72">
        <v>0</v>
      </c>
      <c r="AF1329" s="5"/>
      <c r="AG1329" s="6"/>
      <c r="AH1329" s="27" t="s">
        <v>3392</v>
      </c>
      <c r="AI1329" s="44" t="s">
        <v>3393</v>
      </c>
      <c r="AJ1329" s="26"/>
      <c r="AK1329" s="5"/>
      <c r="AL1329" s="82" t="s">
        <v>4451</v>
      </c>
      <c r="AM1329" s="76"/>
      <c r="AN1329" s="76"/>
      <c r="AO1329" s="76"/>
      <c r="AP1329" s="76"/>
      <c r="AQ1329" s="76"/>
      <c r="AR1329" s="76"/>
      <c r="AS1329" s="76"/>
      <c r="AT1329" s="76"/>
      <c r="AU1329" s="76"/>
      <c r="AV1329" s="76"/>
      <c r="AW1329" s="76"/>
      <c r="AX1329" s="76">
        <f>+AW1329*600000</f>
        <v>0</v>
      </c>
      <c r="AY1329" s="76"/>
      <c r="AZ1329" s="76">
        <f>+AY1329*70000</f>
        <v>0</v>
      </c>
      <c r="BA1329" s="76"/>
      <c r="BB1329" s="76"/>
      <c r="BC1329" s="76"/>
      <c r="BD1329" s="76">
        <f>+BC1329*30000</f>
        <v>0</v>
      </c>
      <c r="BE1329" s="76"/>
      <c r="BF1329" s="76"/>
      <c r="BG1329" s="76"/>
      <c r="BH1329" s="76"/>
      <c r="BI1329" s="76"/>
      <c r="BJ1329" s="76"/>
      <c r="BK1329" s="76"/>
      <c r="BL1329" s="76">
        <f>+BK1329*31500</f>
        <v>0</v>
      </c>
      <c r="BM1329" s="76"/>
      <c r="BN1329" s="76"/>
      <c r="BO1329" s="76"/>
      <c r="BP1329" s="76"/>
      <c r="BQ1329" s="76"/>
      <c r="BR1329" s="76"/>
      <c r="BS1329" s="76"/>
      <c r="BT1329" s="76"/>
      <c r="BU1329" s="76"/>
      <c r="BV1329" s="76"/>
      <c r="BW1329" s="76"/>
      <c r="BX1329" s="76"/>
      <c r="BY1329" s="76"/>
      <c r="BZ1329" s="76"/>
      <c r="CA1329" s="76"/>
      <c r="CB1329" s="76"/>
      <c r="CC1329" s="76"/>
      <c r="CD1329" s="76"/>
      <c r="CE1329" s="76"/>
      <c r="CF1329" s="76">
        <f>+CE1329*28000</f>
        <v>0</v>
      </c>
      <c r="CG1329" s="76"/>
      <c r="CH1329" s="76">
        <f>+CG1329*22500</f>
        <v>0</v>
      </c>
      <c r="CI1329" s="76"/>
      <c r="CJ1329" s="76">
        <f>+CI1329*26000</f>
        <v>0</v>
      </c>
      <c r="CK1329" s="76"/>
      <c r="CL1329" s="76"/>
      <c r="CM1329" s="76"/>
      <c r="CN1329" s="76">
        <f>+CM1329*22000</f>
        <v>0</v>
      </c>
      <c r="CO1329" s="76"/>
      <c r="CP1329" s="76">
        <f>+CO1329*46000</f>
        <v>0</v>
      </c>
      <c r="CQ1329" s="76"/>
      <c r="CR1329" s="76">
        <f>+CQ1329*49000</f>
        <v>0</v>
      </c>
      <c r="CS1329" s="76"/>
      <c r="CT1329" s="76"/>
      <c r="CU1329" s="56">
        <f>AN1329+AP1329+AR1329+AT1329+AV1329+AX1329+AZ1329+BB1329+BD1329+BF1329+BH1329+BJ1329+BL1329+BN1329+BP1329+BR1329+BT1329+BV1329+BX1329+BZ1329+CB1329+CD1329+CF1329+CH1329+CJ1329+CL1329+CN1329+CP1329+CR1329+CT1329</f>
        <v>0</v>
      </c>
      <c r="CV1329" s="76"/>
      <c r="CW1329" s="76">
        <f>+CV1329*1100</f>
        <v>0</v>
      </c>
      <c r="CX1329" s="76"/>
      <c r="CY1329" s="76">
        <f>+CX1329*106250</f>
        <v>0</v>
      </c>
      <c r="CZ1329" s="76"/>
      <c r="DA1329" s="76">
        <f>+CZ1329*34500</f>
        <v>0</v>
      </c>
      <c r="DB1329" s="76"/>
      <c r="DC1329" s="76">
        <f>+DB1329*25000</f>
        <v>0</v>
      </c>
      <c r="DD1329" s="219"/>
      <c r="DE1329" s="219"/>
      <c r="DF1329" s="166"/>
      <c r="DG1329" s="116"/>
      <c r="DH1329" s="117"/>
      <c r="DI1329" s="24"/>
      <c r="DJ1329" s="24"/>
      <c r="DK1329" s="24"/>
      <c r="DL1329" s="24"/>
      <c r="DM1329" s="24"/>
      <c r="DN1329" s="24"/>
      <c r="DO1329" s="24"/>
      <c r="DP1329" s="24"/>
      <c r="DQ1329" s="24"/>
      <c r="DR1329" s="24"/>
      <c r="DS1329" s="24"/>
      <c r="DT1329" s="24"/>
      <c r="DU1329" s="24"/>
    </row>
    <row r="1330" spans="1:125" s="8" customFormat="1" ht="36" x14ac:dyDescent="0.2">
      <c r="A1330" s="77">
        <v>41365</v>
      </c>
      <c r="B1330" s="225" t="s">
        <v>2700</v>
      </c>
      <c r="C1330" s="227" t="s">
        <v>1707</v>
      </c>
      <c r="D1330" s="81" t="s">
        <v>2846</v>
      </c>
      <c r="E1330" s="75" t="str">
        <f>VLOOKUP(B1330&amp;C1330,Divipola!$C$2:$F$1138,4,FALSE)</f>
        <v>15632</v>
      </c>
      <c r="F1330" s="87"/>
      <c r="G1330" s="87"/>
      <c r="H1330" s="87"/>
      <c r="I1330" s="87"/>
      <c r="J1330" s="87"/>
      <c r="K1330" s="87"/>
      <c r="L1330" s="87"/>
      <c r="M1330" s="87"/>
      <c r="N1330" s="87"/>
      <c r="O1330" s="87"/>
      <c r="P1330" s="87"/>
      <c r="Q1330" s="87"/>
      <c r="R1330" s="87"/>
      <c r="S1330" s="87"/>
      <c r="T1330" s="87"/>
      <c r="U1330" s="88">
        <v>2</v>
      </c>
      <c r="V1330" s="89"/>
      <c r="W1330" s="96">
        <v>0</v>
      </c>
      <c r="X1330" s="71">
        <f>CU1330</f>
        <v>0</v>
      </c>
      <c r="Y1330" s="71">
        <f>CY1330</f>
        <v>0</v>
      </c>
      <c r="Z1330" s="71">
        <f>DA1330+DC1330+DE1330</f>
        <v>0</v>
      </c>
      <c r="AA1330" s="71">
        <f>CW1330</f>
        <v>0</v>
      </c>
      <c r="AB1330" s="71"/>
      <c r="AC1330" s="71">
        <v>0</v>
      </c>
      <c r="AD1330" s="71">
        <f>W1330+X1330+Y1330+Z1330+AA1330+AB1330+AC1330</f>
        <v>0</v>
      </c>
      <c r="AE1330" s="72">
        <v>0</v>
      </c>
      <c r="AF1330" s="5"/>
      <c r="AG1330" s="6"/>
      <c r="AH1330" s="27" t="s">
        <v>3392</v>
      </c>
      <c r="AI1330" s="44" t="s">
        <v>3393</v>
      </c>
      <c r="AJ1330" s="26"/>
      <c r="AK1330" s="5"/>
      <c r="AL1330" s="82" t="s">
        <v>4176</v>
      </c>
      <c r="AM1330" s="76"/>
      <c r="AN1330" s="76"/>
      <c r="AO1330" s="76"/>
      <c r="AP1330" s="76"/>
      <c r="AQ1330" s="76"/>
      <c r="AR1330" s="76"/>
      <c r="AS1330" s="76"/>
      <c r="AT1330" s="76"/>
      <c r="AU1330" s="76"/>
      <c r="AV1330" s="76"/>
      <c r="AW1330" s="76"/>
      <c r="AX1330" s="76">
        <f>+AW1330*600000</f>
        <v>0</v>
      </c>
      <c r="AY1330" s="76"/>
      <c r="AZ1330" s="76">
        <f>+AY1330*70000</f>
        <v>0</v>
      </c>
      <c r="BA1330" s="76"/>
      <c r="BB1330" s="76"/>
      <c r="BC1330" s="76"/>
      <c r="BD1330" s="76">
        <f>+BC1330*30000</f>
        <v>0</v>
      </c>
      <c r="BE1330" s="76"/>
      <c r="BF1330" s="76"/>
      <c r="BG1330" s="76"/>
      <c r="BH1330" s="76"/>
      <c r="BI1330" s="76"/>
      <c r="BJ1330" s="76"/>
      <c r="BK1330" s="76"/>
      <c r="BL1330" s="76">
        <f>+BK1330*31500</f>
        <v>0</v>
      </c>
      <c r="BM1330" s="76"/>
      <c r="BN1330" s="76"/>
      <c r="BO1330" s="76"/>
      <c r="BP1330" s="76"/>
      <c r="BQ1330" s="76"/>
      <c r="BR1330" s="76"/>
      <c r="BS1330" s="76"/>
      <c r="BT1330" s="76"/>
      <c r="BU1330" s="76"/>
      <c r="BV1330" s="76"/>
      <c r="BW1330" s="76"/>
      <c r="BX1330" s="76"/>
      <c r="BY1330" s="76"/>
      <c r="BZ1330" s="76"/>
      <c r="CA1330" s="76"/>
      <c r="CB1330" s="76"/>
      <c r="CC1330" s="76"/>
      <c r="CD1330" s="76"/>
      <c r="CE1330" s="76"/>
      <c r="CF1330" s="76">
        <f>+CE1330*28000</f>
        <v>0</v>
      </c>
      <c r="CG1330" s="76"/>
      <c r="CH1330" s="76">
        <f>+CG1330*22500</f>
        <v>0</v>
      </c>
      <c r="CI1330" s="76"/>
      <c r="CJ1330" s="76">
        <f>+CI1330*26000</f>
        <v>0</v>
      </c>
      <c r="CK1330" s="76"/>
      <c r="CL1330" s="76"/>
      <c r="CM1330" s="76"/>
      <c r="CN1330" s="76">
        <f>+CM1330*22000</f>
        <v>0</v>
      </c>
      <c r="CO1330" s="76"/>
      <c r="CP1330" s="76">
        <f>+CO1330*46000</f>
        <v>0</v>
      </c>
      <c r="CQ1330" s="76"/>
      <c r="CR1330" s="76">
        <f>+CQ1330*49000</f>
        <v>0</v>
      </c>
      <c r="CS1330" s="76"/>
      <c r="CT1330" s="76"/>
      <c r="CU1330" s="56">
        <f>AN1330+AP1330+AR1330+AT1330+AV1330+AX1330+AZ1330+BB1330+BD1330+BF1330+BH1330+BJ1330+BL1330+BN1330+BP1330+BR1330+BT1330+BV1330+BX1330+BZ1330+CB1330+CD1330+CF1330+CH1330+CJ1330+CL1330+CN1330+CP1330+CR1330+CT1330</f>
        <v>0</v>
      </c>
      <c r="CV1330" s="76"/>
      <c r="CW1330" s="76">
        <f>+CV1330*1100</f>
        <v>0</v>
      </c>
      <c r="CX1330" s="76"/>
      <c r="CY1330" s="76">
        <f>+CX1330*106250</f>
        <v>0</v>
      </c>
      <c r="CZ1330" s="76"/>
      <c r="DA1330" s="76">
        <f>+CZ1330*34500</f>
        <v>0</v>
      </c>
      <c r="DB1330" s="76"/>
      <c r="DC1330" s="76">
        <f>+DB1330*25000</f>
        <v>0</v>
      </c>
      <c r="DD1330" s="219"/>
      <c r="DE1330" s="219"/>
      <c r="DF1330" s="166"/>
      <c r="DG1330" s="116"/>
      <c r="DH1330" s="117"/>
      <c r="DI1330" s="24"/>
      <c r="DJ1330" s="24"/>
      <c r="DK1330" s="24"/>
      <c r="DL1330" s="24"/>
      <c r="DM1330" s="24"/>
      <c r="DN1330" s="24"/>
      <c r="DO1330" s="24"/>
      <c r="DP1330" s="24"/>
      <c r="DQ1330" s="24"/>
      <c r="DR1330" s="24"/>
      <c r="DS1330" s="24"/>
      <c r="DT1330" s="24"/>
      <c r="DU1330" s="24"/>
    </row>
    <row r="1331" spans="1:125" s="8" customFormat="1" ht="36" x14ac:dyDescent="0.2">
      <c r="A1331" s="77">
        <v>41365</v>
      </c>
      <c r="B1331" s="225" t="s">
        <v>2700</v>
      </c>
      <c r="C1331" s="227" t="s">
        <v>2108</v>
      </c>
      <c r="D1331" s="81" t="s">
        <v>2846</v>
      </c>
      <c r="E1331" s="75" t="str">
        <f>VLOOKUP(B1331&amp;C1331,Divipola!$C$2:$F$1138,4,FALSE)</f>
        <v>15804</v>
      </c>
      <c r="F1331" s="87"/>
      <c r="G1331" s="87"/>
      <c r="H1331" s="87"/>
      <c r="I1331" s="87"/>
      <c r="J1331" s="87"/>
      <c r="K1331" s="87"/>
      <c r="L1331" s="87"/>
      <c r="M1331" s="87"/>
      <c r="N1331" s="87"/>
      <c r="O1331" s="87"/>
      <c r="P1331" s="87"/>
      <c r="Q1331" s="87"/>
      <c r="R1331" s="87"/>
      <c r="S1331" s="87"/>
      <c r="T1331" s="87"/>
      <c r="U1331" s="88">
        <v>7</v>
      </c>
      <c r="V1331" s="89"/>
      <c r="W1331" s="96">
        <v>0</v>
      </c>
      <c r="X1331" s="71">
        <f>CU1331</f>
        <v>0</v>
      </c>
      <c r="Y1331" s="71">
        <f>CY1331</f>
        <v>0</v>
      </c>
      <c r="Z1331" s="71">
        <f>DA1331+DC1331+DE1331</f>
        <v>0</v>
      </c>
      <c r="AA1331" s="71">
        <f>CW1331</f>
        <v>0</v>
      </c>
      <c r="AB1331" s="71"/>
      <c r="AC1331" s="71">
        <v>0</v>
      </c>
      <c r="AD1331" s="71">
        <f>W1331+X1331+Y1331+Z1331+AA1331+AB1331+AC1331</f>
        <v>0</v>
      </c>
      <c r="AE1331" s="72">
        <v>0</v>
      </c>
      <c r="AF1331" s="5"/>
      <c r="AG1331" s="6"/>
      <c r="AH1331" s="27" t="s">
        <v>3392</v>
      </c>
      <c r="AI1331" s="44" t="s">
        <v>3393</v>
      </c>
      <c r="AJ1331" s="26"/>
      <c r="AK1331" s="5"/>
      <c r="AL1331" s="82" t="s">
        <v>4154</v>
      </c>
      <c r="AM1331" s="76"/>
      <c r="AN1331" s="76"/>
      <c r="AO1331" s="76"/>
      <c r="AP1331" s="76"/>
      <c r="AQ1331" s="76"/>
      <c r="AR1331" s="76"/>
      <c r="AS1331" s="76"/>
      <c r="AT1331" s="76"/>
      <c r="AU1331" s="76"/>
      <c r="AV1331" s="76"/>
      <c r="AW1331" s="76"/>
      <c r="AX1331" s="76">
        <f>+AW1331*600000</f>
        <v>0</v>
      </c>
      <c r="AY1331" s="76"/>
      <c r="AZ1331" s="76">
        <f>+AY1331*70000</f>
        <v>0</v>
      </c>
      <c r="BA1331" s="76"/>
      <c r="BB1331" s="76"/>
      <c r="BC1331" s="76"/>
      <c r="BD1331" s="76">
        <f>+BC1331*30000</f>
        <v>0</v>
      </c>
      <c r="BE1331" s="76"/>
      <c r="BF1331" s="76"/>
      <c r="BG1331" s="76"/>
      <c r="BH1331" s="76"/>
      <c r="BI1331" s="76"/>
      <c r="BJ1331" s="76"/>
      <c r="BK1331" s="76"/>
      <c r="BL1331" s="76">
        <f>+BK1331*31500</f>
        <v>0</v>
      </c>
      <c r="BM1331" s="76"/>
      <c r="BN1331" s="76"/>
      <c r="BO1331" s="76"/>
      <c r="BP1331" s="76"/>
      <c r="BQ1331" s="76"/>
      <c r="BR1331" s="76"/>
      <c r="BS1331" s="76"/>
      <c r="BT1331" s="76"/>
      <c r="BU1331" s="76"/>
      <c r="BV1331" s="76"/>
      <c r="BW1331" s="76"/>
      <c r="BX1331" s="76"/>
      <c r="BY1331" s="76"/>
      <c r="BZ1331" s="76"/>
      <c r="CA1331" s="76"/>
      <c r="CB1331" s="76"/>
      <c r="CC1331" s="76"/>
      <c r="CD1331" s="76"/>
      <c r="CE1331" s="76"/>
      <c r="CF1331" s="76">
        <f>+CE1331*28000</f>
        <v>0</v>
      </c>
      <c r="CG1331" s="76"/>
      <c r="CH1331" s="76">
        <f>+CG1331*22500</f>
        <v>0</v>
      </c>
      <c r="CI1331" s="76"/>
      <c r="CJ1331" s="76">
        <f>+CI1331*26000</f>
        <v>0</v>
      </c>
      <c r="CK1331" s="76"/>
      <c r="CL1331" s="76"/>
      <c r="CM1331" s="76"/>
      <c r="CN1331" s="76">
        <f>+CM1331*22000</f>
        <v>0</v>
      </c>
      <c r="CO1331" s="76"/>
      <c r="CP1331" s="76">
        <f>+CO1331*46000</f>
        <v>0</v>
      </c>
      <c r="CQ1331" s="76"/>
      <c r="CR1331" s="76">
        <f>+CQ1331*49000</f>
        <v>0</v>
      </c>
      <c r="CS1331" s="76"/>
      <c r="CT1331" s="76"/>
      <c r="CU1331" s="56">
        <f>AN1331+AP1331+AR1331+AT1331+AV1331+AX1331+AZ1331+BB1331+BD1331+BF1331+BH1331+BJ1331+BL1331+BN1331+BP1331+BR1331+BT1331+BV1331+BX1331+BZ1331+CB1331+CD1331+CF1331+CH1331+CJ1331+CL1331+CN1331+CP1331+CR1331+CT1331</f>
        <v>0</v>
      </c>
      <c r="CV1331" s="76"/>
      <c r="CW1331" s="76">
        <f>+CV1331*1100</f>
        <v>0</v>
      </c>
      <c r="CX1331" s="76"/>
      <c r="CY1331" s="76">
        <f>+CX1331*106250</f>
        <v>0</v>
      </c>
      <c r="CZ1331" s="76"/>
      <c r="DA1331" s="76">
        <f>+CZ1331*34500</f>
        <v>0</v>
      </c>
      <c r="DB1331" s="76"/>
      <c r="DC1331" s="76">
        <f>+DB1331*25000</f>
        <v>0</v>
      </c>
      <c r="DD1331" s="219"/>
      <c r="DE1331" s="219"/>
      <c r="DF1331" s="166"/>
      <c r="DG1331" s="116"/>
      <c r="DH1331" s="117"/>
      <c r="DI1331" s="24"/>
      <c r="DJ1331" s="24"/>
      <c r="DK1331" s="24"/>
      <c r="DL1331" s="24"/>
      <c r="DM1331" s="24"/>
      <c r="DN1331" s="24"/>
      <c r="DO1331" s="24"/>
      <c r="DP1331" s="24"/>
      <c r="DQ1331" s="24"/>
      <c r="DR1331" s="24"/>
      <c r="DS1331" s="24"/>
      <c r="DT1331" s="24"/>
      <c r="DU1331" s="24"/>
    </row>
    <row r="1332" spans="1:125" s="8" customFormat="1" ht="24" x14ac:dyDescent="0.2">
      <c r="A1332" s="77">
        <v>41365</v>
      </c>
      <c r="B1332" s="78" t="s">
        <v>2778</v>
      </c>
      <c r="C1332" s="83" t="s">
        <v>1344</v>
      </c>
      <c r="D1332" s="81" t="s">
        <v>2846</v>
      </c>
      <c r="E1332" s="75" t="str">
        <f>VLOOKUP(B1332&amp;C1332,Divipola!$C$2:$F$1138,4,FALSE)</f>
        <v>85001</v>
      </c>
      <c r="F1332" s="93"/>
      <c r="G1332" s="93"/>
      <c r="H1332" s="93"/>
      <c r="I1332" s="93"/>
      <c r="J1332" s="93"/>
      <c r="K1332" s="93"/>
      <c r="L1332" s="93"/>
      <c r="M1332" s="93"/>
      <c r="N1332" s="93"/>
      <c r="O1332" s="93"/>
      <c r="P1332" s="93"/>
      <c r="Q1332" s="93"/>
      <c r="R1332" s="93"/>
      <c r="S1332" s="93"/>
      <c r="T1332" s="93"/>
      <c r="U1332" s="93"/>
      <c r="V1332" s="89"/>
      <c r="W1332" s="96">
        <v>0</v>
      </c>
      <c r="X1332" s="71">
        <f>CU1332</f>
        <v>0</v>
      </c>
      <c r="Y1332" s="71">
        <f>CY1332</f>
        <v>0</v>
      </c>
      <c r="Z1332" s="71">
        <f>DA1332+DC1332+DE1332</f>
        <v>0</v>
      </c>
      <c r="AA1332" s="71">
        <f>CW1332</f>
        <v>0</v>
      </c>
      <c r="AB1332" s="71"/>
      <c r="AC1332" s="71">
        <v>0</v>
      </c>
      <c r="AD1332" s="71">
        <f>W1332+X1332+Y1332+Z1332+AA1332+AB1332+AC1332</f>
        <v>0</v>
      </c>
      <c r="AE1332" s="72">
        <v>0</v>
      </c>
      <c r="AF1332" s="5"/>
      <c r="AG1332" s="6"/>
      <c r="AH1332" s="27" t="s">
        <v>3392</v>
      </c>
      <c r="AI1332" s="44" t="s">
        <v>3393</v>
      </c>
      <c r="AJ1332" s="26"/>
      <c r="AK1332" s="5"/>
      <c r="AL1332" s="82" t="s">
        <v>4139</v>
      </c>
      <c r="AM1332" s="76"/>
      <c r="AN1332" s="76"/>
      <c r="AO1332" s="76"/>
      <c r="AP1332" s="76"/>
      <c r="AQ1332" s="76"/>
      <c r="AR1332" s="76"/>
      <c r="AS1332" s="76"/>
      <c r="AT1332" s="76"/>
      <c r="AU1332" s="76"/>
      <c r="AV1332" s="76"/>
      <c r="AW1332" s="76"/>
      <c r="AX1332" s="76">
        <f>+AW1332*600000</f>
        <v>0</v>
      </c>
      <c r="AY1332" s="76"/>
      <c r="AZ1332" s="76">
        <f>+AY1332*70000</f>
        <v>0</v>
      </c>
      <c r="BA1332" s="76"/>
      <c r="BB1332" s="76"/>
      <c r="BC1332" s="76"/>
      <c r="BD1332" s="76">
        <f>+BC1332*30000</f>
        <v>0</v>
      </c>
      <c r="BE1332" s="76"/>
      <c r="BF1332" s="76"/>
      <c r="BG1332" s="76"/>
      <c r="BH1332" s="76"/>
      <c r="BI1332" s="76"/>
      <c r="BJ1332" s="76"/>
      <c r="BK1332" s="76"/>
      <c r="BL1332" s="76">
        <f>+BK1332*31500</f>
        <v>0</v>
      </c>
      <c r="BM1332" s="76"/>
      <c r="BN1332" s="76"/>
      <c r="BO1332" s="76"/>
      <c r="BP1332" s="76"/>
      <c r="BQ1332" s="76"/>
      <c r="BR1332" s="76"/>
      <c r="BS1332" s="76"/>
      <c r="BT1332" s="76"/>
      <c r="BU1332" s="76"/>
      <c r="BV1332" s="76"/>
      <c r="BW1332" s="76"/>
      <c r="BX1332" s="76"/>
      <c r="BY1332" s="76"/>
      <c r="BZ1332" s="76"/>
      <c r="CA1332" s="76"/>
      <c r="CB1332" s="76"/>
      <c r="CC1332" s="76"/>
      <c r="CD1332" s="76"/>
      <c r="CE1332" s="76"/>
      <c r="CF1332" s="76">
        <f>+CE1332*28000</f>
        <v>0</v>
      </c>
      <c r="CG1332" s="76"/>
      <c r="CH1332" s="76">
        <f>+CG1332*22500</f>
        <v>0</v>
      </c>
      <c r="CI1332" s="76"/>
      <c r="CJ1332" s="76">
        <f>+CI1332*26000</f>
        <v>0</v>
      </c>
      <c r="CK1332" s="76"/>
      <c r="CL1332" s="76"/>
      <c r="CM1332" s="76"/>
      <c r="CN1332" s="76">
        <f>+CM1332*22000</f>
        <v>0</v>
      </c>
      <c r="CO1332" s="76"/>
      <c r="CP1332" s="76">
        <f>+CO1332*46000</f>
        <v>0</v>
      </c>
      <c r="CQ1332" s="76"/>
      <c r="CR1332" s="76">
        <f>+CQ1332*49000</f>
        <v>0</v>
      </c>
      <c r="CS1332" s="76"/>
      <c r="CT1332" s="76"/>
      <c r="CU1332" s="56">
        <f>AN1332+AP1332+AR1332+AT1332+AV1332+AX1332+AZ1332+BB1332+BD1332+BF1332+BH1332+BJ1332+BL1332+BN1332+BP1332+BR1332+BT1332+BV1332+BX1332+BZ1332+CB1332+CD1332+CF1332+CH1332+CJ1332+CL1332+CN1332+CP1332+CR1332+CT1332</f>
        <v>0</v>
      </c>
      <c r="CV1332" s="76"/>
      <c r="CW1332" s="76">
        <f>+CV1332*1100</f>
        <v>0</v>
      </c>
      <c r="CX1332" s="76"/>
      <c r="CY1332" s="76">
        <f>+CX1332*106250</f>
        <v>0</v>
      </c>
      <c r="CZ1332" s="76"/>
      <c r="DA1332" s="76">
        <f>+CZ1332*34500</f>
        <v>0</v>
      </c>
      <c r="DB1332" s="76"/>
      <c r="DC1332" s="76">
        <f>+DB1332*25000</f>
        <v>0</v>
      </c>
      <c r="DD1332" s="219"/>
      <c r="DE1332" s="219"/>
      <c r="DF1332" s="166"/>
      <c r="DG1332" s="116"/>
      <c r="DH1332" s="117"/>
      <c r="DI1332" s="24"/>
      <c r="DJ1332" s="24"/>
      <c r="DK1332" s="24"/>
      <c r="DL1332" s="24"/>
      <c r="DM1332" s="24"/>
      <c r="DN1332" s="24"/>
      <c r="DO1332" s="24"/>
      <c r="DP1332" s="24"/>
      <c r="DQ1332" s="24"/>
      <c r="DR1332" s="24"/>
      <c r="DS1332" s="24"/>
      <c r="DT1332" s="24"/>
      <c r="DU1332" s="24"/>
    </row>
    <row r="1333" spans="1:125" s="8" customFormat="1" ht="120" x14ac:dyDescent="0.2">
      <c r="A1333" s="226">
        <v>41365</v>
      </c>
      <c r="B1333" s="225" t="s">
        <v>2854</v>
      </c>
      <c r="C1333" s="227" t="s">
        <v>2093</v>
      </c>
      <c r="D1333" s="227" t="s">
        <v>2882</v>
      </c>
      <c r="E1333" s="75" t="str">
        <f>VLOOKUP(B1333&amp;C1333,Divipola!$C$2:$F$1138,4,FALSE)</f>
        <v>19455</v>
      </c>
      <c r="F1333" s="87"/>
      <c r="G1333" s="87"/>
      <c r="H1333" s="87"/>
      <c r="I1333" s="87">
        <v>25</v>
      </c>
      <c r="J1333" s="87">
        <v>5</v>
      </c>
      <c r="K1333" s="87"/>
      <c r="L1333" s="87">
        <v>5</v>
      </c>
      <c r="M1333" s="87"/>
      <c r="N1333" s="87"/>
      <c r="O1333" s="87"/>
      <c r="P1333" s="87"/>
      <c r="Q1333" s="87"/>
      <c r="R1333" s="87"/>
      <c r="S1333" s="87"/>
      <c r="T1333" s="87"/>
      <c r="U1333" s="88"/>
      <c r="V1333" s="89"/>
      <c r="W1333" s="96">
        <v>0</v>
      </c>
      <c r="X1333" s="71">
        <f>CU1333</f>
        <v>0</v>
      </c>
      <c r="Y1333" s="71">
        <f>CY1333</f>
        <v>0</v>
      </c>
      <c r="Z1333" s="71">
        <f>DA1333+DC1333+DE1333</f>
        <v>0</v>
      </c>
      <c r="AA1333" s="71">
        <f>CW1333</f>
        <v>0</v>
      </c>
      <c r="AB1333" s="71"/>
      <c r="AC1333" s="71">
        <v>0</v>
      </c>
      <c r="AD1333" s="71">
        <f>W1333+X1333+Y1333+Z1333+AA1333+AB1333+AC1333</f>
        <v>0</v>
      </c>
      <c r="AE1333" s="72">
        <v>0</v>
      </c>
      <c r="AF1333" s="5"/>
      <c r="AG1333" s="6"/>
      <c r="AH1333" s="27" t="s">
        <v>3392</v>
      </c>
      <c r="AI1333" s="44" t="s">
        <v>3393</v>
      </c>
      <c r="AJ1333" s="26"/>
      <c r="AK1333" s="5"/>
      <c r="AL1333" s="82" t="s">
        <v>4153</v>
      </c>
      <c r="AM1333" s="76"/>
      <c r="AN1333" s="76"/>
      <c r="AO1333" s="76"/>
      <c r="AP1333" s="76"/>
      <c r="AQ1333" s="76"/>
      <c r="AR1333" s="76"/>
      <c r="AS1333" s="76"/>
      <c r="AT1333" s="76"/>
      <c r="AU1333" s="76"/>
      <c r="AV1333" s="76"/>
      <c r="AW1333" s="76"/>
      <c r="AX1333" s="76">
        <f>+AW1333*600000</f>
        <v>0</v>
      </c>
      <c r="AY1333" s="76"/>
      <c r="AZ1333" s="76">
        <f>+AY1333*70000</f>
        <v>0</v>
      </c>
      <c r="BA1333" s="76"/>
      <c r="BB1333" s="76"/>
      <c r="BC1333" s="76"/>
      <c r="BD1333" s="76">
        <f>+BC1333*30000</f>
        <v>0</v>
      </c>
      <c r="BE1333" s="76"/>
      <c r="BF1333" s="76"/>
      <c r="BG1333" s="76"/>
      <c r="BH1333" s="76"/>
      <c r="BI1333" s="76"/>
      <c r="BJ1333" s="76"/>
      <c r="BK1333" s="76"/>
      <c r="BL1333" s="76">
        <f>+BK1333*31500</f>
        <v>0</v>
      </c>
      <c r="BM1333" s="76"/>
      <c r="BN1333" s="76"/>
      <c r="BO1333" s="76"/>
      <c r="BP1333" s="76"/>
      <c r="BQ1333" s="76"/>
      <c r="BR1333" s="76"/>
      <c r="BS1333" s="76"/>
      <c r="BT1333" s="76"/>
      <c r="BU1333" s="76"/>
      <c r="BV1333" s="76"/>
      <c r="BW1333" s="76"/>
      <c r="BX1333" s="76"/>
      <c r="BY1333" s="76"/>
      <c r="BZ1333" s="76"/>
      <c r="CA1333" s="76"/>
      <c r="CB1333" s="76"/>
      <c r="CC1333" s="76"/>
      <c r="CD1333" s="76"/>
      <c r="CE1333" s="76"/>
      <c r="CF1333" s="76">
        <f>+CE1333*28000</f>
        <v>0</v>
      </c>
      <c r="CG1333" s="76"/>
      <c r="CH1333" s="76">
        <f>+CG1333*22500</f>
        <v>0</v>
      </c>
      <c r="CI1333" s="76"/>
      <c r="CJ1333" s="76">
        <f>+CI1333*26000</f>
        <v>0</v>
      </c>
      <c r="CK1333" s="76"/>
      <c r="CL1333" s="76"/>
      <c r="CM1333" s="76"/>
      <c r="CN1333" s="76">
        <f>+CM1333*22000</f>
        <v>0</v>
      </c>
      <c r="CO1333" s="76"/>
      <c r="CP1333" s="76">
        <f>+CO1333*46000</f>
        <v>0</v>
      </c>
      <c r="CQ1333" s="76"/>
      <c r="CR1333" s="76">
        <f>+CQ1333*49000</f>
        <v>0</v>
      </c>
      <c r="CS1333" s="76"/>
      <c r="CT1333" s="76"/>
      <c r="CU1333" s="56">
        <f>AN1333+AP1333+AR1333+AT1333+AV1333+AX1333+AZ1333+BB1333+BD1333+BF1333+BH1333+BJ1333+BL1333+BN1333+BP1333+BR1333+BT1333+BV1333+BX1333+BZ1333+CB1333+CD1333+CF1333+CH1333+CJ1333+CL1333+CN1333+CP1333+CR1333+CT1333</f>
        <v>0</v>
      </c>
      <c r="CV1333" s="76"/>
      <c r="CW1333" s="76">
        <f>+CV1333*1100</f>
        <v>0</v>
      </c>
      <c r="CX1333" s="76"/>
      <c r="CY1333" s="76">
        <f>+CX1333*106250</f>
        <v>0</v>
      </c>
      <c r="CZ1333" s="76"/>
      <c r="DA1333" s="76">
        <f>+CZ1333*34500</f>
        <v>0</v>
      </c>
      <c r="DB1333" s="76"/>
      <c r="DC1333" s="76">
        <f>+DB1333*25000</f>
        <v>0</v>
      </c>
      <c r="DD1333" s="219"/>
      <c r="DE1333" s="219"/>
      <c r="DF1333" s="166"/>
      <c r="DG1333" s="116"/>
      <c r="DH1333" s="117"/>
      <c r="DI1333" s="24"/>
      <c r="DJ1333" s="24"/>
      <c r="DK1333" s="24"/>
      <c r="DL1333" s="24"/>
      <c r="DM1333" s="24"/>
      <c r="DN1333" s="24"/>
      <c r="DO1333" s="24"/>
      <c r="DP1333" s="24"/>
      <c r="DQ1333" s="24"/>
      <c r="DR1333" s="24"/>
      <c r="DS1333" s="24"/>
      <c r="DT1333" s="24"/>
      <c r="DU1333" s="24"/>
    </row>
    <row r="1334" spans="1:125" s="8" customFormat="1" ht="48" x14ac:dyDescent="0.2">
      <c r="A1334" s="353">
        <v>41365</v>
      </c>
      <c r="B1334" s="352" t="s">
        <v>2855</v>
      </c>
      <c r="C1334" s="354" t="s">
        <v>2168</v>
      </c>
      <c r="D1334" s="354" t="s">
        <v>2859</v>
      </c>
      <c r="E1334" s="75" t="str">
        <f>VLOOKUP(B1334&amp;C1334,Divipola!$C$2:$F$1138,4,FALSE)</f>
        <v>20001</v>
      </c>
      <c r="F1334" s="87"/>
      <c r="G1334" s="87"/>
      <c r="H1334" s="87"/>
      <c r="I1334" s="87">
        <v>5</v>
      </c>
      <c r="J1334" s="87">
        <v>1</v>
      </c>
      <c r="K1334" s="87">
        <v>1</v>
      </c>
      <c r="L1334" s="87"/>
      <c r="M1334" s="87"/>
      <c r="N1334" s="87"/>
      <c r="O1334" s="87"/>
      <c r="P1334" s="87"/>
      <c r="Q1334" s="87"/>
      <c r="R1334" s="87"/>
      <c r="S1334" s="87"/>
      <c r="T1334" s="87"/>
      <c r="U1334" s="88"/>
      <c r="V1334" s="89"/>
      <c r="W1334" s="96">
        <v>0</v>
      </c>
      <c r="X1334" s="71">
        <f>CU1334</f>
        <v>0</v>
      </c>
      <c r="Y1334" s="71">
        <f>CY1334</f>
        <v>0</v>
      </c>
      <c r="Z1334" s="71">
        <f>DA1334+DC1334+DE1334</f>
        <v>0</v>
      </c>
      <c r="AA1334" s="71">
        <f>CW1334</f>
        <v>0</v>
      </c>
      <c r="AB1334" s="71"/>
      <c r="AC1334" s="71">
        <v>0</v>
      </c>
      <c r="AD1334" s="71">
        <f>W1334+X1334+Y1334+Z1334+AA1334+AB1334+AC1334</f>
        <v>0</v>
      </c>
      <c r="AE1334" s="72">
        <v>0</v>
      </c>
      <c r="AF1334" s="5"/>
      <c r="AG1334" s="6"/>
      <c r="AH1334" s="27" t="s">
        <v>3392</v>
      </c>
      <c r="AI1334" s="44" t="s">
        <v>3393</v>
      </c>
      <c r="AJ1334" s="26"/>
      <c r="AK1334" s="5"/>
      <c r="AL1334" s="82" t="s">
        <v>4152</v>
      </c>
      <c r="AM1334" s="76"/>
      <c r="AN1334" s="76"/>
      <c r="AO1334" s="76"/>
      <c r="AP1334" s="76"/>
      <c r="AQ1334" s="76"/>
      <c r="AR1334" s="76"/>
      <c r="AS1334" s="76"/>
      <c r="AT1334" s="76"/>
      <c r="AU1334" s="76"/>
      <c r="AV1334" s="76"/>
      <c r="AW1334" s="76"/>
      <c r="AX1334" s="76">
        <f>+AW1334*600000</f>
        <v>0</v>
      </c>
      <c r="AY1334" s="76"/>
      <c r="AZ1334" s="76">
        <f>+AY1334*70000</f>
        <v>0</v>
      </c>
      <c r="BA1334" s="76"/>
      <c r="BB1334" s="76"/>
      <c r="BC1334" s="76"/>
      <c r="BD1334" s="76">
        <f>+BC1334*30000</f>
        <v>0</v>
      </c>
      <c r="BE1334" s="76"/>
      <c r="BF1334" s="76"/>
      <c r="BG1334" s="76"/>
      <c r="BH1334" s="76"/>
      <c r="BI1334" s="76"/>
      <c r="BJ1334" s="76"/>
      <c r="BK1334" s="76"/>
      <c r="BL1334" s="76">
        <f>+BK1334*31500</f>
        <v>0</v>
      </c>
      <c r="BM1334" s="76"/>
      <c r="BN1334" s="76"/>
      <c r="BO1334" s="76"/>
      <c r="BP1334" s="76"/>
      <c r="BQ1334" s="76"/>
      <c r="BR1334" s="76"/>
      <c r="BS1334" s="76"/>
      <c r="BT1334" s="76"/>
      <c r="BU1334" s="76"/>
      <c r="BV1334" s="76"/>
      <c r="BW1334" s="76"/>
      <c r="BX1334" s="76"/>
      <c r="BY1334" s="76"/>
      <c r="BZ1334" s="76"/>
      <c r="CA1334" s="76"/>
      <c r="CB1334" s="76"/>
      <c r="CC1334" s="76"/>
      <c r="CD1334" s="76"/>
      <c r="CE1334" s="76"/>
      <c r="CF1334" s="76">
        <f>+CE1334*28000</f>
        <v>0</v>
      </c>
      <c r="CG1334" s="76"/>
      <c r="CH1334" s="76">
        <f>+CG1334*22500</f>
        <v>0</v>
      </c>
      <c r="CI1334" s="76"/>
      <c r="CJ1334" s="76">
        <f>+CI1334*26000</f>
        <v>0</v>
      </c>
      <c r="CK1334" s="76"/>
      <c r="CL1334" s="76"/>
      <c r="CM1334" s="76"/>
      <c r="CN1334" s="76">
        <f>+CM1334*22000</f>
        <v>0</v>
      </c>
      <c r="CO1334" s="76"/>
      <c r="CP1334" s="76">
        <f>+CO1334*46000</f>
        <v>0</v>
      </c>
      <c r="CQ1334" s="76"/>
      <c r="CR1334" s="76">
        <f>+CQ1334*49000</f>
        <v>0</v>
      </c>
      <c r="CS1334" s="76"/>
      <c r="CT1334" s="76"/>
      <c r="CU1334" s="56">
        <f>AN1334+AP1334+AR1334+AT1334+AV1334+AX1334+AZ1334+BB1334+BD1334+BF1334+BH1334+BJ1334+BL1334+BN1334+BP1334+BR1334+BT1334+BV1334+BX1334+BZ1334+CB1334+CD1334+CF1334+CH1334+CJ1334+CL1334+CN1334+CP1334+CR1334+CT1334</f>
        <v>0</v>
      </c>
      <c r="CV1334" s="76"/>
      <c r="CW1334" s="76">
        <f>+CV1334*1100</f>
        <v>0</v>
      </c>
      <c r="CX1334" s="76"/>
      <c r="CY1334" s="76">
        <f>+CX1334*106250</f>
        <v>0</v>
      </c>
      <c r="CZ1334" s="76"/>
      <c r="DA1334" s="76">
        <f>+CZ1334*34500</f>
        <v>0</v>
      </c>
      <c r="DB1334" s="76"/>
      <c r="DC1334" s="76">
        <f>+DB1334*25000</f>
        <v>0</v>
      </c>
      <c r="DD1334" s="219"/>
      <c r="DE1334" s="219"/>
      <c r="DF1334" s="166"/>
      <c r="DG1334" s="116"/>
      <c r="DH1334" s="117"/>
      <c r="DI1334" s="24"/>
      <c r="DJ1334" s="24"/>
      <c r="DK1334" s="24"/>
      <c r="DL1334" s="24"/>
      <c r="DM1334" s="24"/>
      <c r="DN1334" s="24"/>
      <c r="DO1334" s="24"/>
      <c r="DP1334" s="24"/>
      <c r="DQ1334" s="24"/>
      <c r="DR1334" s="24"/>
      <c r="DS1334" s="24"/>
      <c r="DT1334" s="24"/>
      <c r="DU1334" s="24"/>
    </row>
    <row r="1335" spans="1:125" s="8" customFormat="1" ht="24" x14ac:dyDescent="0.2">
      <c r="A1335" s="226">
        <v>41365</v>
      </c>
      <c r="B1335" s="225" t="s">
        <v>2906</v>
      </c>
      <c r="C1335" s="227" t="s">
        <v>437</v>
      </c>
      <c r="D1335" s="81" t="s">
        <v>2846</v>
      </c>
      <c r="E1335" s="75" t="str">
        <f>VLOOKUP(B1335&amp;C1335,Divipola!$C$2:$F$1138,4,FALSE)</f>
        <v>47288</v>
      </c>
      <c r="F1335" s="87"/>
      <c r="G1335" s="87"/>
      <c r="H1335" s="87"/>
      <c r="I1335" s="87"/>
      <c r="J1335" s="87"/>
      <c r="K1335" s="87"/>
      <c r="L1335" s="87"/>
      <c r="M1335" s="87"/>
      <c r="N1335" s="87"/>
      <c r="O1335" s="87"/>
      <c r="P1335" s="87"/>
      <c r="Q1335" s="87"/>
      <c r="R1335" s="87"/>
      <c r="S1335" s="87"/>
      <c r="T1335" s="87"/>
      <c r="U1335" s="88"/>
      <c r="V1335" s="89"/>
      <c r="W1335" s="96">
        <v>0</v>
      </c>
      <c r="X1335" s="71">
        <f>CU1335</f>
        <v>0</v>
      </c>
      <c r="Y1335" s="71">
        <f>CY1335</f>
        <v>0</v>
      </c>
      <c r="Z1335" s="71">
        <f>DA1335+DC1335+DE1335</f>
        <v>0</v>
      </c>
      <c r="AA1335" s="71">
        <f>CW1335</f>
        <v>0</v>
      </c>
      <c r="AB1335" s="71"/>
      <c r="AC1335" s="71">
        <v>0</v>
      </c>
      <c r="AD1335" s="71">
        <f>W1335+X1335+Y1335+Z1335+AA1335+AB1335+AC1335</f>
        <v>0</v>
      </c>
      <c r="AE1335" s="72">
        <v>0</v>
      </c>
      <c r="AF1335" s="5"/>
      <c r="AG1335" s="6"/>
      <c r="AH1335" s="27" t="s">
        <v>3392</v>
      </c>
      <c r="AI1335" s="44" t="s">
        <v>3393</v>
      </c>
      <c r="AJ1335" s="26"/>
      <c r="AK1335" s="5"/>
      <c r="AL1335" s="82" t="s">
        <v>4138</v>
      </c>
      <c r="AM1335" s="76"/>
      <c r="AN1335" s="76"/>
      <c r="AO1335" s="76"/>
      <c r="AP1335" s="76"/>
      <c r="AQ1335" s="76"/>
      <c r="AR1335" s="76"/>
      <c r="AS1335" s="76"/>
      <c r="AT1335" s="76"/>
      <c r="AU1335" s="76"/>
      <c r="AV1335" s="76"/>
      <c r="AW1335" s="76"/>
      <c r="AX1335" s="76">
        <f>+AW1335*600000</f>
        <v>0</v>
      </c>
      <c r="AY1335" s="76"/>
      <c r="AZ1335" s="76">
        <f>+AY1335*70000</f>
        <v>0</v>
      </c>
      <c r="BA1335" s="76"/>
      <c r="BB1335" s="76"/>
      <c r="BC1335" s="76"/>
      <c r="BD1335" s="76">
        <f>+BC1335*30000</f>
        <v>0</v>
      </c>
      <c r="BE1335" s="76"/>
      <c r="BF1335" s="76"/>
      <c r="BG1335" s="76"/>
      <c r="BH1335" s="76"/>
      <c r="BI1335" s="76"/>
      <c r="BJ1335" s="76"/>
      <c r="BK1335" s="76"/>
      <c r="BL1335" s="76">
        <f>+BK1335*31500</f>
        <v>0</v>
      </c>
      <c r="BM1335" s="76"/>
      <c r="BN1335" s="76"/>
      <c r="BO1335" s="76"/>
      <c r="BP1335" s="76"/>
      <c r="BQ1335" s="76"/>
      <c r="BR1335" s="76"/>
      <c r="BS1335" s="76"/>
      <c r="BT1335" s="76"/>
      <c r="BU1335" s="76"/>
      <c r="BV1335" s="76"/>
      <c r="BW1335" s="76"/>
      <c r="BX1335" s="76"/>
      <c r="BY1335" s="76"/>
      <c r="BZ1335" s="76"/>
      <c r="CA1335" s="76"/>
      <c r="CB1335" s="76"/>
      <c r="CC1335" s="76"/>
      <c r="CD1335" s="76"/>
      <c r="CE1335" s="76"/>
      <c r="CF1335" s="76">
        <f>+CE1335*28000</f>
        <v>0</v>
      </c>
      <c r="CG1335" s="76"/>
      <c r="CH1335" s="76">
        <f>+CG1335*22500</f>
        <v>0</v>
      </c>
      <c r="CI1335" s="76"/>
      <c r="CJ1335" s="76">
        <f>+CI1335*26000</f>
        <v>0</v>
      </c>
      <c r="CK1335" s="76"/>
      <c r="CL1335" s="76"/>
      <c r="CM1335" s="76"/>
      <c r="CN1335" s="76">
        <f>+CM1335*22000</f>
        <v>0</v>
      </c>
      <c r="CO1335" s="76"/>
      <c r="CP1335" s="76">
        <f>+CO1335*46000</f>
        <v>0</v>
      </c>
      <c r="CQ1335" s="76"/>
      <c r="CR1335" s="76">
        <f>+CQ1335*49000</f>
        <v>0</v>
      </c>
      <c r="CS1335" s="76"/>
      <c r="CT1335" s="76"/>
      <c r="CU1335" s="56">
        <f>AN1335+AP1335+AR1335+AT1335+AV1335+AX1335+AZ1335+BB1335+BD1335+BF1335+BH1335+BJ1335+BL1335+BN1335+BP1335+BR1335+BT1335+BV1335+BX1335+BZ1335+CB1335+CD1335+CF1335+CH1335+CJ1335+CL1335+CN1335+CP1335+CR1335+CT1335</f>
        <v>0</v>
      </c>
      <c r="CV1335" s="76"/>
      <c r="CW1335" s="76">
        <f>+CV1335*1100</f>
        <v>0</v>
      </c>
      <c r="CX1335" s="76"/>
      <c r="CY1335" s="76">
        <f>+CX1335*106250</f>
        <v>0</v>
      </c>
      <c r="CZ1335" s="76"/>
      <c r="DA1335" s="76">
        <f>+CZ1335*34500</f>
        <v>0</v>
      </c>
      <c r="DB1335" s="76"/>
      <c r="DC1335" s="76">
        <f>+DB1335*25000</f>
        <v>0</v>
      </c>
      <c r="DD1335" s="219"/>
      <c r="DE1335" s="219"/>
      <c r="DF1335" s="166"/>
      <c r="DG1335" s="116"/>
      <c r="DH1335" s="117"/>
      <c r="DI1335" s="24"/>
      <c r="DJ1335" s="24"/>
      <c r="DK1335" s="24"/>
      <c r="DL1335" s="24"/>
      <c r="DM1335" s="24"/>
      <c r="DN1335" s="24"/>
      <c r="DO1335" s="24"/>
      <c r="DP1335" s="24"/>
      <c r="DQ1335" s="24"/>
      <c r="DR1335" s="24"/>
      <c r="DS1335" s="24"/>
      <c r="DT1335" s="24"/>
      <c r="DU1335" s="24"/>
    </row>
    <row r="1336" spans="1:125" s="8" customFormat="1" ht="48" x14ac:dyDescent="0.2">
      <c r="A1336" s="226">
        <v>41365</v>
      </c>
      <c r="B1336" s="352" t="s">
        <v>506</v>
      </c>
      <c r="C1336" s="227" t="s">
        <v>98</v>
      </c>
      <c r="D1336" s="227" t="s">
        <v>2859</v>
      </c>
      <c r="E1336" s="75" t="str">
        <f>VLOOKUP(B1336&amp;C1336,Divipola!$C$2:$F$1138,4,FALSE)</f>
        <v>50568</v>
      </c>
      <c r="F1336" s="87"/>
      <c r="G1336" s="87">
        <v>10</v>
      </c>
      <c r="H1336" s="87"/>
      <c r="I1336" s="87"/>
      <c r="J1336" s="87"/>
      <c r="K1336" s="87"/>
      <c r="L1336" s="87"/>
      <c r="M1336" s="87"/>
      <c r="N1336" s="87"/>
      <c r="O1336" s="87"/>
      <c r="P1336" s="87"/>
      <c r="Q1336" s="87"/>
      <c r="R1336" s="87"/>
      <c r="S1336" s="87"/>
      <c r="T1336" s="87"/>
      <c r="U1336" s="88"/>
      <c r="V1336" s="89"/>
      <c r="W1336" s="96">
        <v>0</v>
      </c>
      <c r="X1336" s="71">
        <f>CU1336</f>
        <v>0</v>
      </c>
      <c r="Y1336" s="71">
        <f>CY1336</f>
        <v>0</v>
      </c>
      <c r="Z1336" s="71">
        <f>DA1336+DC1336+DE1336</f>
        <v>0</v>
      </c>
      <c r="AA1336" s="71">
        <f>CW1336</f>
        <v>0</v>
      </c>
      <c r="AB1336" s="71"/>
      <c r="AC1336" s="71">
        <v>0</v>
      </c>
      <c r="AD1336" s="71">
        <f>W1336+X1336+Y1336+Z1336+AA1336+AB1336+AC1336</f>
        <v>0</v>
      </c>
      <c r="AE1336" s="72">
        <v>0</v>
      </c>
      <c r="AF1336" s="5"/>
      <c r="AG1336" s="6"/>
      <c r="AH1336" s="27" t="s">
        <v>3392</v>
      </c>
      <c r="AI1336" s="44" t="s">
        <v>3393</v>
      </c>
      <c r="AJ1336" s="26"/>
      <c r="AK1336" s="5"/>
      <c r="AL1336" s="82" t="s">
        <v>4134</v>
      </c>
      <c r="AM1336" s="76"/>
      <c r="AN1336" s="76"/>
      <c r="AO1336" s="76"/>
      <c r="AP1336" s="76"/>
      <c r="AQ1336" s="76"/>
      <c r="AR1336" s="76"/>
      <c r="AS1336" s="76"/>
      <c r="AT1336" s="76"/>
      <c r="AU1336" s="76"/>
      <c r="AV1336" s="76"/>
      <c r="AW1336" s="76"/>
      <c r="AX1336" s="76">
        <f>+AW1336*600000</f>
        <v>0</v>
      </c>
      <c r="AY1336" s="76"/>
      <c r="AZ1336" s="76">
        <f>+AY1336*70000</f>
        <v>0</v>
      </c>
      <c r="BA1336" s="76"/>
      <c r="BB1336" s="76"/>
      <c r="BC1336" s="76"/>
      <c r="BD1336" s="76">
        <f>+BC1336*30000</f>
        <v>0</v>
      </c>
      <c r="BE1336" s="76"/>
      <c r="BF1336" s="76"/>
      <c r="BG1336" s="76"/>
      <c r="BH1336" s="76"/>
      <c r="BI1336" s="76"/>
      <c r="BJ1336" s="76"/>
      <c r="BK1336" s="76"/>
      <c r="BL1336" s="76">
        <f>+BK1336*31500</f>
        <v>0</v>
      </c>
      <c r="BM1336" s="76"/>
      <c r="BN1336" s="76"/>
      <c r="BO1336" s="76"/>
      <c r="BP1336" s="76"/>
      <c r="BQ1336" s="76"/>
      <c r="BR1336" s="76"/>
      <c r="BS1336" s="76"/>
      <c r="BT1336" s="76"/>
      <c r="BU1336" s="76"/>
      <c r="BV1336" s="76"/>
      <c r="BW1336" s="76"/>
      <c r="BX1336" s="76"/>
      <c r="BY1336" s="76"/>
      <c r="BZ1336" s="76"/>
      <c r="CA1336" s="76"/>
      <c r="CB1336" s="76"/>
      <c r="CC1336" s="76"/>
      <c r="CD1336" s="76"/>
      <c r="CE1336" s="76"/>
      <c r="CF1336" s="76">
        <f>+CE1336*28000</f>
        <v>0</v>
      </c>
      <c r="CG1336" s="76"/>
      <c r="CH1336" s="76">
        <f>+CG1336*22500</f>
        <v>0</v>
      </c>
      <c r="CI1336" s="76"/>
      <c r="CJ1336" s="76">
        <f>+CI1336*26000</f>
        <v>0</v>
      </c>
      <c r="CK1336" s="76"/>
      <c r="CL1336" s="76"/>
      <c r="CM1336" s="76"/>
      <c r="CN1336" s="76">
        <f>+CM1336*22000</f>
        <v>0</v>
      </c>
      <c r="CO1336" s="76"/>
      <c r="CP1336" s="76">
        <f>+CO1336*46000</f>
        <v>0</v>
      </c>
      <c r="CQ1336" s="76"/>
      <c r="CR1336" s="76">
        <f>+CQ1336*49000</f>
        <v>0</v>
      </c>
      <c r="CS1336" s="76"/>
      <c r="CT1336" s="76"/>
      <c r="CU1336" s="56">
        <f>AN1336+AP1336+AR1336+AT1336+AV1336+AX1336+AZ1336+BB1336+BD1336+BF1336+BH1336+BJ1336+BL1336+BN1336+BP1336+BR1336+BT1336+BV1336+BX1336+BZ1336+CB1336+CD1336+CF1336+CH1336+CJ1336+CL1336+CN1336+CP1336+CR1336+CT1336</f>
        <v>0</v>
      </c>
      <c r="CV1336" s="76"/>
      <c r="CW1336" s="76">
        <f>+CV1336*1100</f>
        <v>0</v>
      </c>
      <c r="CX1336" s="76"/>
      <c r="CY1336" s="76">
        <f>+CX1336*106250</f>
        <v>0</v>
      </c>
      <c r="CZ1336" s="76"/>
      <c r="DA1336" s="76">
        <f>+CZ1336*34500</f>
        <v>0</v>
      </c>
      <c r="DB1336" s="76"/>
      <c r="DC1336" s="76">
        <f>+DB1336*25000</f>
        <v>0</v>
      </c>
      <c r="DD1336" s="219"/>
      <c r="DE1336" s="219"/>
      <c r="DF1336" s="166"/>
      <c r="DG1336" s="116"/>
      <c r="DH1336" s="117"/>
      <c r="DI1336" s="24"/>
      <c r="DJ1336" s="24"/>
      <c r="DK1336" s="24"/>
      <c r="DL1336" s="24"/>
      <c r="DM1336" s="24"/>
      <c r="DN1336" s="24"/>
      <c r="DO1336" s="24"/>
      <c r="DP1336" s="24"/>
      <c r="DQ1336" s="24"/>
      <c r="DR1336" s="24"/>
      <c r="DS1336" s="24"/>
      <c r="DT1336" s="24"/>
      <c r="DU1336" s="24"/>
    </row>
    <row r="1337" spans="1:125" s="8" customFormat="1" ht="96" x14ac:dyDescent="0.2">
      <c r="A1337" s="77">
        <v>41365</v>
      </c>
      <c r="B1337" s="78" t="s">
        <v>2847</v>
      </c>
      <c r="C1337" s="75" t="s">
        <v>298</v>
      </c>
      <c r="D1337" s="81" t="s">
        <v>2846</v>
      </c>
      <c r="E1337" s="75" t="str">
        <f>VLOOKUP(B1337&amp;C1337,Divipola!$C$2:$F$1138,4,FALSE)</f>
        <v>68051</v>
      </c>
      <c r="F1337" s="87"/>
      <c r="G1337" s="87"/>
      <c r="H1337" s="87"/>
      <c r="I1337" s="87"/>
      <c r="J1337" s="87"/>
      <c r="K1337" s="87"/>
      <c r="L1337" s="87"/>
      <c r="M1337" s="87"/>
      <c r="N1337" s="87"/>
      <c r="O1337" s="87"/>
      <c r="P1337" s="87"/>
      <c r="Q1337" s="87"/>
      <c r="R1337" s="87"/>
      <c r="S1337" s="87"/>
      <c r="T1337" s="87"/>
      <c r="U1337" s="87">
        <v>5</v>
      </c>
      <c r="V1337" s="89"/>
      <c r="W1337" s="96">
        <v>0</v>
      </c>
      <c r="X1337" s="71">
        <f>CU1337</f>
        <v>0</v>
      </c>
      <c r="Y1337" s="71">
        <f>CY1337</f>
        <v>0</v>
      </c>
      <c r="Z1337" s="71">
        <f>DA1337+DC1337+DE1337</f>
        <v>0</v>
      </c>
      <c r="AA1337" s="71">
        <f>CW1337</f>
        <v>0</v>
      </c>
      <c r="AB1337" s="71"/>
      <c r="AC1337" s="71">
        <v>0</v>
      </c>
      <c r="AD1337" s="71">
        <f>W1337+X1337+Y1337+Z1337+AA1337+AB1337+AC1337</f>
        <v>0</v>
      </c>
      <c r="AE1337" s="72">
        <v>0</v>
      </c>
      <c r="AF1337" s="5"/>
      <c r="AG1337" s="6"/>
      <c r="AH1337" s="27" t="s">
        <v>3392</v>
      </c>
      <c r="AI1337" s="44" t="s">
        <v>3393</v>
      </c>
      <c r="AJ1337" s="26"/>
      <c r="AK1337" s="5"/>
      <c r="AL1337" s="82" t="s">
        <v>4149</v>
      </c>
      <c r="AM1337" s="76"/>
      <c r="AN1337" s="76"/>
      <c r="AO1337" s="76"/>
      <c r="AP1337" s="76"/>
      <c r="AQ1337" s="76"/>
      <c r="AR1337" s="76"/>
      <c r="AS1337" s="76"/>
      <c r="AT1337" s="76"/>
      <c r="AU1337" s="76"/>
      <c r="AV1337" s="76"/>
      <c r="AW1337" s="76"/>
      <c r="AX1337" s="76">
        <f>+AW1337*600000</f>
        <v>0</v>
      </c>
      <c r="AY1337" s="76"/>
      <c r="AZ1337" s="76">
        <f>+AY1337*70000</f>
        <v>0</v>
      </c>
      <c r="BA1337" s="76"/>
      <c r="BB1337" s="76"/>
      <c r="BC1337" s="76"/>
      <c r="BD1337" s="76">
        <f>+BC1337*30000</f>
        <v>0</v>
      </c>
      <c r="BE1337" s="76"/>
      <c r="BF1337" s="76"/>
      <c r="BG1337" s="76"/>
      <c r="BH1337" s="76"/>
      <c r="BI1337" s="76"/>
      <c r="BJ1337" s="76"/>
      <c r="BK1337" s="76"/>
      <c r="BL1337" s="76">
        <f>+BK1337*31500</f>
        <v>0</v>
      </c>
      <c r="BM1337" s="76"/>
      <c r="BN1337" s="76"/>
      <c r="BO1337" s="76"/>
      <c r="BP1337" s="76"/>
      <c r="BQ1337" s="76"/>
      <c r="BR1337" s="76"/>
      <c r="BS1337" s="76"/>
      <c r="BT1337" s="76"/>
      <c r="BU1337" s="76"/>
      <c r="BV1337" s="76"/>
      <c r="BW1337" s="76"/>
      <c r="BX1337" s="76"/>
      <c r="BY1337" s="76"/>
      <c r="BZ1337" s="76"/>
      <c r="CA1337" s="76"/>
      <c r="CB1337" s="76"/>
      <c r="CC1337" s="76"/>
      <c r="CD1337" s="76"/>
      <c r="CE1337" s="76"/>
      <c r="CF1337" s="76">
        <f>+CE1337*28000</f>
        <v>0</v>
      </c>
      <c r="CG1337" s="76"/>
      <c r="CH1337" s="76">
        <f>+CG1337*22500</f>
        <v>0</v>
      </c>
      <c r="CI1337" s="76"/>
      <c r="CJ1337" s="76">
        <f>+CI1337*26000</f>
        <v>0</v>
      </c>
      <c r="CK1337" s="76"/>
      <c r="CL1337" s="76"/>
      <c r="CM1337" s="76"/>
      <c r="CN1337" s="76">
        <f>+CM1337*22000</f>
        <v>0</v>
      </c>
      <c r="CO1337" s="76"/>
      <c r="CP1337" s="76">
        <f>+CO1337*46000</f>
        <v>0</v>
      </c>
      <c r="CQ1337" s="76"/>
      <c r="CR1337" s="76">
        <f>+CQ1337*49000</f>
        <v>0</v>
      </c>
      <c r="CS1337" s="76"/>
      <c r="CT1337" s="76"/>
      <c r="CU1337" s="56">
        <f>AN1337+AP1337+AR1337+AT1337+AV1337+AX1337+AZ1337+BB1337+BD1337+BF1337+BH1337+BJ1337+BL1337+BN1337+BP1337+BR1337+BT1337+BV1337+BX1337+BZ1337+CB1337+CD1337+CF1337+CH1337+CJ1337+CL1337+CN1337+CP1337+CR1337+CT1337</f>
        <v>0</v>
      </c>
      <c r="CV1337" s="76"/>
      <c r="CW1337" s="76">
        <f>+CV1337*1100</f>
        <v>0</v>
      </c>
      <c r="CX1337" s="76"/>
      <c r="CY1337" s="76">
        <f>+CX1337*106250</f>
        <v>0</v>
      </c>
      <c r="CZ1337" s="76"/>
      <c r="DA1337" s="76">
        <f>+CZ1337*34500</f>
        <v>0</v>
      </c>
      <c r="DB1337" s="76"/>
      <c r="DC1337" s="76">
        <f>+DB1337*25000</f>
        <v>0</v>
      </c>
      <c r="DD1337" s="219"/>
      <c r="DE1337" s="219"/>
      <c r="DF1337" s="166"/>
      <c r="DG1337" s="116"/>
      <c r="DH1337" s="117"/>
      <c r="DI1337" s="24"/>
      <c r="DJ1337" s="24"/>
      <c r="DK1337" s="24"/>
      <c r="DL1337" s="24"/>
      <c r="DM1337" s="24"/>
      <c r="DN1337" s="24"/>
      <c r="DO1337" s="24"/>
      <c r="DP1337" s="24"/>
      <c r="DQ1337" s="24"/>
      <c r="DR1337" s="24"/>
      <c r="DS1337" s="24"/>
      <c r="DT1337" s="24"/>
      <c r="DU1337" s="24"/>
    </row>
    <row r="1338" spans="1:125" s="8" customFormat="1" ht="36" x14ac:dyDescent="0.2">
      <c r="A1338" s="77">
        <v>41365</v>
      </c>
      <c r="B1338" s="352" t="s">
        <v>2847</v>
      </c>
      <c r="C1338" s="354" t="s">
        <v>337</v>
      </c>
      <c r="D1338" s="81" t="s">
        <v>2846</v>
      </c>
      <c r="E1338" s="75" t="str">
        <f>VLOOKUP(B1338&amp;C1338,Divipola!$C$2:$F$1138,4,FALSE)</f>
        <v>68229</v>
      </c>
      <c r="F1338" s="87"/>
      <c r="G1338" s="87"/>
      <c r="H1338" s="87"/>
      <c r="I1338" s="87"/>
      <c r="J1338" s="87"/>
      <c r="K1338" s="87"/>
      <c r="L1338" s="87"/>
      <c r="M1338" s="87"/>
      <c r="N1338" s="87"/>
      <c r="O1338" s="87"/>
      <c r="P1338" s="87"/>
      <c r="Q1338" s="87"/>
      <c r="R1338" s="87"/>
      <c r="S1338" s="87"/>
      <c r="T1338" s="87"/>
      <c r="U1338" s="88">
        <v>3</v>
      </c>
      <c r="V1338" s="89"/>
      <c r="W1338" s="96">
        <v>0</v>
      </c>
      <c r="X1338" s="71">
        <f>CU1338</f>
        <v>0</v>
      </c>
      <c r="Y1338" s="71">
        <f>CY1338</f>
        <v>0</v>
      </c>
      <c r="Z1338" s="71">
        <f>DA1338+DC1338+DE1338</f>
        <v>0</v>
      </c>
      <c r="AA1338" s="71">
        <f>CW1338</f>
        <v>0</v>
      </c>
      <c r="AB1338" s="71"/>
      <c r="AC1338" s="71">
        <v>0</v>
      </c>
      <c r="AD1338" s="71">
        <f>W1338+X1338+Y1338+Z1338+AA1338+AB1338+AC1338</f>
        <v>0</v>
      </c>
      <c r="AE1338" s="72">
        <v>0</v>
      </c>
      <c r="AF1338" s="5"/>
      <c r="AG1338" s="6"/>
      <c r="AH1338" s="27" t="s">
        <v>3392</v>
      </c>
      <c r="AI1338" s="44" t="s">
        <v>3393</v>
      </c>
      <c r="AJ1338" s="26"/>
      <c r="AK1338" s="5"/>
      <c r="AL1338" s="82" t="s">
        <v>4155</v>
      </c>
      <c r="AM1338" s="76"/>
      <c r="AN1338" s="76"/>
      <c r="AO1338" s="76"/>
      <c r="AP1338" s="76"/>
      <c r="AQ1338" s="76"/>
      <c r="AR1338" s="76"/>
      <c r="AS1338" s="76"/>
      <c r="AT1338" s="76"/>
      <c r="AU1338" s="76"/>
      <c r="AV1338" s="76"/>
      <c r="AW1338" s="76"/>
      <c r="AX1338" s="76">
        <f>+AW1338*600000</f>
        <v>0</v>
      </c>
      <c r="AY1338" s="76"/>
      <c r="AZ1338" s="76">
        <f>+AY1338*70000</f>
        <v>0</v>
      </c>
      <c r="BA1338" s="76"/>
      <c r="BB1338" s="76"/>
      <c r="BC1338" s="76"/>
      <c r="BD1338" s="76">
        <f>+BC1338*30000</f>
        <v>0</v>
      </c>
      <c r="BE1338" s="76"/>
      <c r="BF1338" s="76"/>
      <c r="BG1338" s="76"/>
      <c r="BH1338" s="76"/>
      <c r="BI1338" s="76"/>
      <c r="BJ1338" s="76"/>
      <c r="BK1338" s="76"/>
      <c r="BL1338" s="76">
        <f>+BK1338*31500</f>
        <v>0</v>
      </c>
      <c r="BM1338" s="76"/>
      <c r="BN1338" s="76"/>
      <c r="BO1338" s="76"/>
      <c r="BP1338" s="76"/>
      <c r="BQ1338" s="76"/>
      <c r="BR1338" s="76"/>
      <c r="BS1338" s="76"/>
      <c r="BT1338" s="76"/>
      <c r="BU1338" s="76"/>
      <c r="BV1338" s="76"/>
      <c r="BW1338" s="76"/>
      <c r="BX1338" s="76"/>
      <c r="BY1338" s="76"/>
      <c r="BZ1338" s="76"/>
      <c r="CA1338" s="76"/>
      <c r="CB1338" s="76"/>
      <c r="CC1338" s="76"/>
      <c r="CD1338" s="76"/>
      <c r="CE1338" s="76"/>
      <c r="CF1338" s="76">
        <f>+CE1338*28000</f>
        <v>0</v>
      </c>
      <c r="CG1338" s="76"/>
      <c r="CH1338" s="76">
        <f>+CG1338*22500</f>
        <v>0</v>
      </c>
      <c r="CI1338" s="76"/>
      <c r="CJ1338" s="76">
        <f>+CI1338*26000</f>
        <v>0</v>
      </c>
      <c r="CK1338" s="76"/>
      <c r="CL1338" s="76"/>
      <c r="CM1338" s="76"/>
      <c r="CN1338" s="76">
        <f>+CM1338*22000</f>
        <v>0</v>
      </c>
      <c r="CO1338" s="76"/>
      <c r="CP1338" s="76">
        <f>+CO1338*46000</f>
        <v>0</v>
      </c>
      <c r="CQ1338" s="76"/>
      <c r="CR1338" s="76">
        <f>+CQ1338*49000</f>
        <v>0</v>
      </c>
      <c r="CS1338" s="76"/>
      <c r="CT1338" s="76"/>
      <c r="CU1338" s="56">
        <f>AN1338+AP1338+AR1338+AT1338+AV1338+AX1338+AZ1338+BB1338+BD1338+BF1338+BH1338+BJ1338+BL1338+BN1338+BP1338+BR1338+BT1338+BV1338+BX1338+BZ1338+CB1338+CD1338+CF1338+CH1338+CJ1338+CL1338+CN1338+CP1338+CR1338+CT1338</f>
        <v>0</v>
      </c>
      <c r="CV1338" s="76"/>
      <c r="CW1338" s="76">
        <f>+CV1338*1100</f>
        <v>0</v>
      </c>
      <c r="CX1338" s="76"/>
      <c r="CY1338" s="76">
        <f>+CX1338*106250</f>
        <v>0</v>
      </c>
      <c r="CZ1338" s="76"/>
      <c r="DA1338" s="76">
        <f>+CZ1338*34500</f>
        <v>0</v>
      </c>
      <c r="DB1338" s="76"/>
      <c r="DC1338" s="76">
        <f>+DB1338*25000</f>
        <v>0</v>
      </c>
      <c r="DD1338" s="219"/>
      <c r="DE1338" s="219"/>
      <c r="DF1338" s="166"/>
      <c r="DG1338" s="116"/>
      <c r="DH1338" s="117"/>
      <c r="DI1338" s="24"/>
      <c r="DJ1338" s="24"/>
      <c r="DK1338" s="24"/>
      <c r="DL1338" s="24"/>
      <c r="DM1338" s="24"/>
      <c r="DN1338" s="24"/>
      <c r="DO1338" s="24"/>
      <c r="DP1338" s="24"/>
      <c r="DQ1338" s="24"/>
      <c r="DR1338" s="24"/>
      <c r="DS1338" s="24"/>
      <c r="DT1338" s="24"/>
      <c r="DU1338" s="24"/>
    </row>
    <row r="1339" spans="1:125" s="8" customFormat="1" ht="60" x14ac:dyDescent="0.2">
      <c r="A1339" s="226">
        <v>41365</v>
      </c>
      <c r="B1339" s="225" t="s">
        <v>2847</v>
      </c>
      <c r="C1339" s="227" t="s">
        <v>1380</v>
      </c>
      <c r="D1339" s="81" t="s">
        <v>2846</v>
      </c>
      <c r="E1339" s="75" t="str">
        <f>VLOOKUP(B1339&amp;C1339,Divipola!$C$2:$F$1138,4,FALSE)</f>
        <v>68615</v>
      </c>
      <c r="F1339" s="87"/>
      <c r="G1339" s="87"/>
      <c r="H1339" s="87"/>
      <c r="I1339" s="87"/>
      <c r="J1339" s="87"/>
      <c r="K1339" s="87"/>
      <c r="L1339" s="87"/>
      <c r="M1339" s="87"/>
      <c r="N1339" s="87"/>
      <c r="O1339" s="87"/>
      <c r="P1339" s="87"/>
      <c r="Q1339" s="87"/>
      <c r="R1339" s="87"/>
      <c r="S1339" s="87"/>
      <c r="T1339" s="87"/>
      <c r="U1339" s="88">
        <v>20</v>
      </c>
      <c r="V1339" s="89"/>
      <c r="W1339" s="96">
        <v>0</v>
      </c>
      <c r="X1339" s="71">
        <f>CU1339</f>
        <v>0</v>
      </c>
      <c r="Y1339" s="71">
        <f>CY1339</f>
        <v>0</v>
      </c>
      <c r="Z1339" s="71">
        <f>DA1339+DC1339+DE1339</f>
        <v>0</v>
      </c>
      <c r="AA1339" s="71">
        <f>CW1339</f>
        <v>0</v>
      </c>
      <c r="AB1339" s="71"/>
      <c r="AC1339" s="71">
        <v>0</v>
      </c>
      <c r="AD1339" s="71">
        <f>W1339+X1339+Y1339+Z1339+AA1339+AB1339+AC1339</f>
        <v>0</v>
      </c>
      <c r="AE1339" s="72">
        <v>0</v>
      </c>
      <c r="AF1339" s="5"/>
      <c r="AG1339" s="6"/>
      <c r="AH1339" s="27" t="s">
        <v>3392</v>
      </c>
      <c r="AI1339" s="44" t="s">
        <v>3393</v>
      </c>
      <c r="AJ1339" s="26"/>
      <c r="AK1339" s="5"/>
      <c r="AL1339" s="82" t="s">
        <v>4168</v>
      </c>
      <c r="AM1339" s="76"/>
      <c r="AN1339" s="76"/>
      <c r="AO1339" s="76"/>
      <c r="AP1339" s="76"/>
      <c r="AQ1339" s="76"/>
      <c r="AR1339" s="76"/>
      <c r="AS1339" s="76"/>
      <c r="AT1339" s="76"/>
      <c r="AU1339" s="76"/>
      <c r="AV1339" s="76"/>
      <c r="AW1339" s="76"/>
      <c r="AX1339" s="76">
        <f>+AW1339*600000</f>
        <v>0</v>
      </c>
      <c r="AY1339" s="76"/>
      <c r="AZ1339" s="76">
        <f>+AY1339*70000</f>
        <v>0</v>
      </c>
      <c r="BA1339" s="76"/>
      <c r="BB1339" s="76"/>
      <c r="BC1339" s="76"/>
      <c r="BD1339" s="76">
        <f>+BC1339*30000</f>
        <v>0</v>
      </c>
      <c r="BE1339" s="76"/>
      <c r="BF1339" s="76"/>
      <c r="BG1339" s="76"/>
      <c r="BH1339" s="76"/>
      <c r="BI1339" s="76"/>
      <c r="BJ1339" s="76"/>
      <c r="BK1339" s="76"/>
      <c r="BL1339" s="76">
        <f>+BK1339*31500</f>
        <v>0</v>
      </c>
      <c r="BM1339" s="76"/>
      <c r="BN1339" s="76"/>
      <c r="BO1339" s="76"/>
      <c r="BP1339" s="76"/>
      <c r="BQ1339" s="76"/>
      <c r="BR1339" s="76"/>
      <c r="BS1339" s="76"/>
      <c r="BT1339" s="76"/>
      <c r="BU1339" s="76"/>
      <c r="BV1339" s="76"/>
      <c r="BW1339" s="76"/>
      <c r="BX1339" s="76"/>
      <c r="BY1339" s="76"/>
      <c r="BZ1339" s="76"/>
      <c r="CA1339" s="76"/>
      <c r="CB1339" s="76"/>
      <c r="CC1339" s="76"/>
      <c r="CD1339" s="76"/>
      <c r="CE1339" s="76"/>
      <c r="CF1339" s="76">
        <f>+CE1339*28000</f>
        <v>0</v>
      </c>
      <c r="CG1339" s="76"/>
      <c r="CH1339" s="76">
        <f>+CG1339*22500</f>
        <v>0</v>
      </c>
      <c r="CI1339" s="76"/>
      <c r="CJ1339" s="76">
        <f>+CI1339*26000</f>
        <v>0</v>
      </c>
      <c r="CK1339" s="76"/>
      <c r="CL1339" s="76"/>
      <c r="CM1339" s="76"/>
      <c r="CN1339" s="76">
        <f>+CM1339*22000</f>
        <v>0</v>
      </c>
      <c r="CO1339" s="76"/>
      <c r="CP1339" s="76">
        <f>+CO1339*46000</f>
        <v>0</v>
      </c>
      <c r="CQ1339" s="76"/>
      <c r="CR1339" s="76">
        <f>+CQ1339*49000</f>
        <v>0</v>
      </c>
      <c r="CS1339" s="76"/>
      <c r="CT1339" s="76"/>
      <c r="CU1339" s="56">
        <f>AN1339+AP1339+AR1339+AT1339+AV1339+AX1339+AZ1339+BB1339+BD1339+BF1339+BH1339+BJ1339+BL1339+BN1339+BP1339+BR1339+BT1339+BV1339+BX1339+BZ1339+CB1339+CD1339+CF1339+CH1339+CJ1339+CL1339+CN1339+CP1339+CR1339+CT1339</f>
        <v>0</v>
      </c>
      <c r="CV1339" s="76"/>
      <c r="CW1339" s="76">
        <f>+CV1339*1100</f>
        <v>0</v>
      </c>
      <c r="CX1339" s="76"/>
      <c r="CY1339" s="76">
        <f>+CX1339*106250</f>
        <v>0</v>
      </c>
      <c r="CZ1339" s="76"/>
      <c r="DA1339" s="76">
        <f>+CZ1339*34500</f>
        <v>0</v>
      </c>
      <c r="DB1339" s="76"/>
      <c r="DC1339" s="76">
        <f>+DB1339*25000</f>
        <v>0</v>
      </c>
      <c r="DD1339" s="219"/>
      <c r="DE1339" s="219"/>
      <c r="DF1339" s="166"/>
      <c r="DG1339" s="116"/>
      <c r="DH1339" s="117"/>
      <c r="DI1339" s="24"/>
      <c r="DJ1339" s="24"/>
      <c r="DK1339" s="24"/>
      <c r="DL1339" s="24"/>
      <c r="DM1339" s="24"/>
      <c r="DN1339" s="24"/>
      <c r="DO1339" s="24"/>
      <c r="DP1339" s="24"/>
      <c r="DQ1339" s="24"/>
      <c r="DR1339" s="24"/>
      <c r="DS1339" s="24"/>
      <c r="DT1339" s="24"/>
      <c r="DU1339" s="24"/>
    </row>
    <row r="1340" spans="1:125" s="8" customFormat="1" ht="72" x14ac:dyDescent="0.2">
      <c r="A1340" s="226">
        <v>41365</v>
      </c>
      <c r="B1340" s="225" t="s">
        <v>2848</v>
      </c>
      <c r="C1340" s="227" t="s">
        <v>2077</v>
      </c>
      <c r="D1340" s="84" t="s">
        <v>3088</v>
      </c>
      <c r="E1340" s="75" t="str">
        <f>VLOOKUP(B1340&amp;C1340,Divipola!$C$2:$F$1138,4,FALSE)</f>
        <v>73411</v>
      </c>
      <c r="F1340" s="87"/>
      <c r="G1340" s="87"/>
      <c r="H1340" s="87"/>
      <c r="I1340" s="87">
        <v>5</v>
      </c>
      <c r="J1340" s="87">
        <v>1</v>
      </c>
      <c r="K1340" s="87">
        <v>1</v>
      </c>
      <c r="L1340" s="87"/>
      <c r="M1340" s="87"/>
      <c r="N1340" s="87"/>
      <c r="O1340" s="87"/>
      <c r="P1340" s="87"/>
      <c r="Q1340" s="87"/>
      <c r="R1340" s="87"/>
      <c r="S1340" s="87"/>
      <c r="T1340" s="87"/>
      <c r="U1340" s="88"/>
      <c r="V1340" s="89"/>
      <c r="W1340" s="96">
        <v>0</v>
      </c>
      <c r="X1340" s="71">
        <f>CU1340</f>
        <v>0</v>
      </c>
      <c r="Y1340" s="71">
        <f>CY1340</f>
        <v>0</v>
      </c>
      <c r="Z1340" s="71">
        <f>DA1340+DC1340+DE1340</f>
        <v>0</v>
      </c>
      <c r="AA1340" s="71">
        <f>CW1340</f>
        <v>0</v>
      </c>
      <c r="AB1340" s="71"/>
      <c r="AC1340" s="71">
        <v>0</v>
      </c>
      <c r="AD1340" s="71">
        <f>W1340+X1340+Y1340+Z1340+AA1340+AB1340+AC1340</f>
        <v>0</v>
      </c>
      <c r="AE1340" s="72">
        <v>0</v>
      </c>
      <c r="AF1340" s="5"/>
      <c r="AG1340" s="6"/>
      <c r="AH1340" s="27" t="s">
        <v>3392</v>
      </c>
      <c r="AI1340" s="44" t="s">
        <v>3393</v>
      </c>
      <c r="AJ1340" s="26"/>
      <c r="AK1340" s="5"/>
      <c r="AL1340" s="82" t="s">
        <v>4136</v>
      </c>
      <c r="AM1340" s="76"/>
      <c r="AN1340" s="76"/>
      <c r="AO1340" s="76"/>
      <c r="AP1340" s="76"/>
      <c r="AQ1340" s="76"/>
      <c r="AR1340" s="76"/>
      <c r="AS1340" s="76"/>
      <c r="AT1340" s="76"/>
      <c r="AU1340" s="76"/>
      <c r="AV1340" s="76"/>
      <c r="AW1340" s="76"/>
      <c r="AX1340" s="76">
        <f>+AW1340*600000</f>
        <v>0</v>
      </c>
      <c r="AY1340" s="76"/>
      <c r="AZ1340" s="76">
        <f>+AY1340*70000</f>
        <v>0</v>
      </c>
      <c r="BA1340" s="76"/>
      <c r="BB1340" s="76"/>
      <c r="BC1340" s="76"/>
      <c r="BD1340" s="76">
        <f>+BC1340*30000</f>
        <v>0</v>
      </c>
      <c r="BE1340" s="76"/>
      <c r="BF1340" s="76"/>
      <c r="BG1340" s="76"/>
      <c r="BH1340" s="76"/>
      <c r="BI1340" s="76"/>
      <c r="BJ1340" s="76"/>
      <c r="BK1340" s="76"/>
      <c r="BL1340" s="76">
        <f>+BK1340*31500</f>
        <v>0</v>
      </c>
      <c r="BM1340" s="76"/>
      <c r="BN1340" s="76"/>
      <c r="BO1340" s="76"/>
      <c r="BP1340" s="76"/>
      <c r="BQ1340" s="76"/>
      <c r="BR1340" s="76"/>
      <c r="BS1340" s="76"/>
      <c r="BT1340" s="76"/>
      <c r="BU1340" s="76"/>
      <c r="BV1340" s="76"/>
      <c r="BW1340" s="76"/>
      <c r="BX1340" s="76"/>
      <c r="BY1340" s="76"/>
      <c r="BZ1340" s="76"/>
      <c r="CA1340" s="76"/>
      <c r="CB1340" s="76"/>
      <c r="CC1340" s="76"/>
      <c r="CD1340" s="76"/>
      <c r="CE1340" s="76"/>
      <c r="CF1340" s="76">
        <f>+CE1340*28000</f>
        <v>0</v>
      </c>
      <c r="CG1340" s="76"/>
      <c r="CH1340" s="76">
        <f>+CG1340*22500</f>
        <v>0</v>
      </c>
      <c r="CI1340" s="76"/>
      <c r="CJ1340" s="76">
        <f>+CI1340*26000</f>
        <v>0</v>
      </c>
      <c r="CK1340" s="76"/>
      <c r="CL1340" s="76"/>
      <c r="CM1340" s="76"/>
      <c r="CN1340" s="76">
        <f>+CM1340*22000</f>
        <v>0</v>
      </c>
      <c r="CO1340" s="76"/>
      <c r="CP1340" s="76">
        <f>+CO1340*46000</f>
        <v>0</v>
      </c>
      <c r="CQ1340" s="76"/>
      <c r="CR1340" s="76">
        <f>+CQ1340*49000</f>
        <v>0</v>
      </c>
      <c r="CS1340" s="76"/>
      <c r="CT1340" s="76"/>
      <c r="CU1340" s="56">
        <f>AN1340+AP1340+AR1340+AT1340+AV1340+AX1340+AZ1340+BB1340+BD1340+BF1340+BH1340+BJ1340+BL1340+BN1340+BP1340+BR1340+BT1340+BV1340+BX1340+BZ1340+CB1340+CD1340+CF1340+CH1340+CJ1340+CL1340+CN1340+CP1340+CR1340+CT1340</f>
        <v>0</v>
      </c>
      <c r="CV1340" s="76"/>
      <c r="CW1340" s="76">
        <f>+CV1340*1100</f>
        <v>0</v>
      </c>
      <c r="CX1340" s="76"/>
      <c r="CY1340" s="76">
        <f>+CX1340*106250</f>
        <v>0</v>
      </c>
      <c r="CZ1340" s="76"/>
      <c r="DA1340" s="76">
        <f>+CZ1340*34500</f>
        <v>0</v>
      </c>
      <c r="DB1340" s="76"/>
      <c r="DC1340" s="76">
        <f>+DB1340*25000</f>
        <v>0</v>
      </c>
      <c r="DD1340" s="219"/>
      <c r="DE1340" s="219"/>
      <c r="DF1340" s="166"/>
      <c r="DG1340" s="116"/>
      <c r="DH1340" s="117"/>
      <c r="DI1340" s="24"/>
      <c r="DJ1340" s="24"/>
      <c r="DK1340" s="24"/>
      <c r="DL1340" s="24"/>
      <c r="DM1340" s="24"/>
      <c r="DN1340" s="24"/>
      <c r="DO1340" s="24"/>
      <c r="DP1340" s="24"/>
      <c r="DQ1340" s="24"/>
      <c r="DR1340" s="24"/>
      <c r="DS1340" s="24"/>
      <c r="DT1340" s="24"/>
      <c r="DU1340" s="24"/>
    </row>
    <row r="1341" spans="1:125" s="8" customFormat="1" ht="60" x14ac:dyDescent="0.2">
      <c r="A1341" s="226">
        <v>41365</v>
      </c>
      <c r="B1341" s="225" t="s">
        <v>2848</v>
      </c>
      <c r="C1341" s="227" t="s">
        <v>2077</v>
      </c>
      <c r="D1341" s="227" t="s">
        <v>2859</v>
      </c>
      <c r="E1341" s="75" t="str">
        <f>VLOOKUP(B1341&amp;C1341,Divipola!$C$2:$F$1138,4,FALSE)</f>
        <v>73411</v>
      </c>
      <c r="F1341" s="87"/>
      <c r="G1341" s="87"/>
      <c r="H1341" s="87"/>
      <c r="I1341" s="87">
        <v>5</v>
      </c>
      <c r="J1341" s="87">
        <v>1</v>
      </c>
      <c r="K1341" s="87">
        <v>1</v>
      </c>
      <c r="L1341" s="87"/>
      <c r="M1341" s="87"/>
      <c r="N1341" s="87"/>
      <c r="O1341" s="87"/>
      <c r="P1341" s="87"/>
      <c r="Q1341" s="87"/>
      <c r="R1341" s="87"/>
      <c r="S1341" s="87"/>
      <c r="T1341" s="87"/>
      <c r="U1341" s="88"/>
      <c r="V1341" s="89"/>
      <c r="W1341" s="96">
        <v>0</v>
      </c>
      <c r="X1341" s="71">
        <f>CU1341</f>
        <v>0</v>
      </c>
      <c r="Y1341" s="71">
        <f>CY1341</f>
        <v>0</v>
      </c>
      <c r="Z1341" s="71">
        <f>DA1341+DC1341+DE1341</f>
        <v>0</v>
      </c>
      <c r="AA1341" s="71">
        <f>CW1341</f>
        <v>0</v>
      </c>
      <c r="AB1341" s="71"/>
      <c r="AC1341" s="71">
        <v>0</v>
      </c>
      <c r="AD1341" s="71">
        <f>W1341+X1341+Y1341+Z1341+AA1341+AB1341+AC1341</f>
        <v>0</v>
      </c>
      <c r="AE1341" s="72">
        <v>0</v>
      </c>
      <c r="AF1341" s="5"/>
      <c r="AG1341" s="6"/>
      <c r="AH1341" s="27" t="s">
        <v>3392</v>
      </c>
      <c r="AI1341" s="44" t="s">
        <v>3393</v>
      </c>
      <c r="AJ1341" s="26"/>
      <c r="AK1341" s="5"/>
      <c r="AL1341" s="82" t="s">
        <v>4135</v>
      </c>
      <c r="AM1341" s="76"/>
      <c r="AN1341" s="76"/>
      <c r="AO1341" s="76"/>
      <c r="AP1341" s="76"/>
      <c r="AQ1341" s="76"/>
      <c r="AR1341" s="76"/>
      <c r="AS1341" s="76"/>
      <c r="AT1341" s="76"/>
      <c r="AU1341" s="76"/>
      <c r="AV1341" s="76"/>
      <c r="AW1341" s="76"/>
      <c r="AX1341" s="76">
        <f>+AW1341*600000</f>
        <v>0</v>
      </c>
      <c r="AY1341" s="76"/>
      <c r="AZ1341" s="76">
        <f>+AY1341*70000</f>
        <v>0</v>
      </c>
      <c r="BA1341" s="76"/>
      <c r="BB1341" s="76"/>
      <c r="BC1341" s="76"/>
      <c r="BD1341" s="76">
        <f>+BC1341*30000</f>
        <v>0</v>
      </c>
      <c r="BE1341" s="76"/>
      <c r="BF1341" s="76"/>
      <c r="BG1341" s="76"/>
      <c r="BH1341" s="76"/>
      <c r="BI1341" s="76"/>
      <c r="BJ1341" s="76"/>
      <c r="BK1341" s="76"/>
      <c r="BL1341" s="76">
        <f>+BK1341*31500</f>
        <v>0</v>
      </c>
      <c r="BM1341" s="76"/>
      <c r="BN1341" s="76"/>
      <c r="BO1341" s="76"/>
      <c r="BP1341" s="76"/>
      <c r="BQ1341" s="76"/>
      <c r="BR1341" s="76"/>
      <c r="BS1341" s="76"/>
      <c r="BT1341" s="76"/>
      <c r="BU1341" s="76"/>
      <c r="BV1341" s="76"/>
      <c r="BW1341" s="76"/>
      <c r="BX1341" s="76"/>
      <c r="BY1341" s="76"/>
      <c r="BZ1341" s="76"/>
      <c r="CA1341" s="76"/>
      <c r="CB1341" s="76"/>
      <c r="CC1341" s="76"/>
      <c r="CD1341" s="76"/>
      <c r="CE1341" s="76"/>
      <c r="CF1341" s="76">
        <f>+CE1341*28000</f>
        <v>0</v>
      </c>
      <c r="CG1341" s="76"/>
      <c r="CH1341" s="76">
        <f>+CG1341*22500</f>
        <v>0</v>
      </c>
      <c r="CI1341" s="76"/>
      <c r="CJ1341" s="76">
        <f>+CI1341*26000</f>
        <v>0</v>
      </c>
      <c r="CK1341" s="76"/>
      <c r="CL1341" s="76"/>
      <c r="CM1341" s="76"/>
      <c r="CN1341" s="76">
        <f>+CM1341*22000</f>
        <v>0</v>
      </c>
      <c r="CO1341" s="76"/>
      <c r="CP1341" s="76">
        <f>+CO1341*46000</f>
        <v>0</v>
      </c>
      <c r="CQ1341" s="76"/>
      <c r="CR1341" s="76">
        <f>+CQ1341*49000</f>
        <v>0</v>
      </c>
      <c r="CS1341" s="76"/>
      <c r="CT1341" s="76"/>
      <c r="CU1341" s="56">
        <f>AN1341+AP1341+AR1341+AT1341+AV1341+AX1341+AZ1341+BB1341+BD1341+BF1341+BH1341+BJ1341+BL1341+BN1341+BP1341+BR1341+BT1341+BV1341+BX1341+BZ1341+CB1341+CD1341+CF1341+CH1341+CJ1341+CL1341+CN1341+CP1341+CR1341+CT1341</f>
        <v>0</v>
      </c>
      <c r="CV1341" s="76"/>
      <c r="CW1341" s="76">
        <f>+CV1341*1100</f>
        <v>0</v>
      </c>
      <c r="CX1341" s="76"/>
      <c r="CY1341" s="76">
        <f>+CX1341*106250</f>
        <v>0</v>
      </c>
      <c r="CZ1341" s="76"/>
      <c r="DA1341" s="76">
        <f>+CZ1341*34500</f>
        <v>0</v>
      </c>
      <c r="DB1341" s="76"/>
      <c r="DC1341" s="76">
        <f>+DB1341*25000</f>
        <v>0</v>
      </c>
      <c r="DD1341" s="219"/>
      <c r="DE1341" s="219"/>
      <c r="DF1341" s="166"/>
      <c r="DG1341" s="116"/>
      <c r="DH1341" s="117"/>
      <c r="DI1341" s="24"/>
      <c r="DJ1341" s="24"/>
      <c r="DK1341" s="24"/>
      <c r="DL1341" s="24"/>
      <c r="DM1341" s="24"/>
      <c r="DN1341" s="24"/>
      <c r="DO1341" s="24"/>
      <c r="DP1341" s="24"/>
      <c r="DQ1341" s="24"/>
      <c r="DR1341" s="24"/>
      <c r="DS1341" s="24"/>
      <c r="DT1341" s="24"/>
      <c r="DU1341" s="24"/>
    </row>
    <row r="1342" spans="1:125" s="8" customFormat="1" ht="72" x14ac:dyDescent="0.2">
      <c r="A1342" s="226">
        <v>41365</v>
      </c>
      <c r="B1342" s="225" t="s">
        <v>2848</v>
      </c>
      <c r="C1342" s="227" t="s">
        <v>1887</v>
      </c>
      <c r="D1342" s="75" t="s">
        <v>3051</v>
      </c>
      <c r="E1342" s="75" t="str">
        <f>VLOOKUP(B1342&amp;C1342,Divipola!$C$2:$F$1138,4,FALSE)</f>
        <v>73443</v>
      </c>
      <c r="F1342" s="87"/>
      <c r="G1342" s="87"/>
      <c r="H1342" s="87"/>
      <c r="I1342" s="87">
        <v>15</v>
      </c>
      <c r="J1342" s="87">
        <v>3</v>
      </c>
      <c r="K1342" s="87"/>
      <c r="L1342" s="87">
        <v>3</v>
      </c>
      <c r="M1342" s="87"/>
      <c r="N1342" s="87"/>
      <c r="O1342" s="87"/>
      <c r="P1342" s="87"/>
      <c r="Q1342" s="87"/>
      <c r="R1342" s="87"/>
      <c r="S1342" s="87"/>
      <c r="T1342" s="87"/>
      <c r="U1342" s="88"/>
      <c r="V1342" s="89"/>
      <c r="W1342" s="96">
        <v>0</v>
      </c>
      <c r="X1342" s="71">
        <f>CU1342</f>
        <v>0</v>
      </c>
      <c r="Y1342" s="71">
        <f>CY1342</f>
        <v>0</v>
      </c>
      <c r="Z1342" s="71">
        <f>DA1342+DC1342+DE1342</f>
        <v>0</v>
      </c>
      <c r="AA1342" s="71">
        <f>CW1342</f>
        <v>0</v>
      </c>
      <c r="AB1342" s="71"/>
      <c r="AC1342" s="71">
        <v>0</v>
      </c>
      <c r="AD1342" s="71">
        <f>W1342+X1342+Y1342+Z1342+AA1342+AB1342+AC1342</f>
        <v>0</v>
      </c>
      <c r="AE1342" s="72">
        <v>0</v>
      </c>
      <c r="AF1342" s="5"/>
      <c r="AG1342" s="6"/>
      <c r="AH1342" s="27" t="s">
        <v>3392</v>
      </c>
      <c r="AI1342" s="44" t="s">
        <v>3393</v>
      </c>
      <c r="AJ1342" s="26"/>
      <c r="AK1342" s="5"/>
      <c r="AL1342" s="82" t="s">
        <v>4462</v>
      </c>
      <c r="AM1342" s="76"/>
      <c r="AN1342" s="76"/>
      <c r="AO1342" s="76"/>
      <c r="AP1342" s="76"/>
      <c r="AQ1342" s="76"/>
      <c r="AR1342" s="76"/>
      <c r="AS1342" s="76"/>
      <c r="AT1342" s="76"/>
      <c r="AU1342" s="76"/>
      <c r="AV1342" s="76"/>
      <c r="AW1342" s="76"/>
      <c r="AX1342" s="76">
        <f>+AW1342*600000</f>
        <v>0</v>
      </c>
      <c r="AY1342" s="76"/>
      <c r="AZ1342" s="76">
        <f>+AY1342*70000</f>
        <v>0</v>
      </c>
      <c r="BA1342" s="76"/>
      <c r="BB1342" s="76"/>
      <c r="BC1342" s="76"/>
      <c r="BD1342" s="76">
        <f>+BC1342*30000</f>
        <v>0</v>
      </c>
      <c r="BE1342" s="76"/>
      <c r="BF1342" s="76"/>
      <c r="BG1342" s="76"/>
      <c r="BH1342" s="76"/>
      <c r="BI1342" s="76"/>
      <c r="BJ1342" s="76"/>
      <c r="BK1342" s="76"/>
      <c r="BL1342" s="76">
        <f>+BK1342*31500</f>
        <v>0</v>
      </c>
      <c r="BM1342" s="76"/>
      <c r="BN1342" s="76"/>
      <c r="BO1342" s="76"/>
      <c r="BP1342" s="76"/>
      <c r="BQ1342" s="76"/>
      <c r="BR1342" s="76"/>
      <c r="BS1342" s="76"/>
      <c r="BT1342" s="76"/>
      <c r="BU1342" s="76"/>
      <c r="BV1342" s="76"/>
      <c r="BW1342" s="76"/>
      <c r="BX1342" s="76"/>
      <c r="BY1342" s="76"/>
      <c r="BZ1342" s="76"/>
      <c r="CA1342" s="76"/>
      <c r="CB1342" s="76"/>
      <c r="CC1342" s="76"/>
      <c r="CD1342" s="76"/>
      <c r="CE1342" s="76"/>
      <c r="CF1342" s="76">
        <f>+CE1342*28000</f>
        <v>0</v>
      </c>
      <c r="CG1342" s="76"/>
      <c r="CH1342" s="76">
        <f>+CG1342*22500</f>
        <v>0</v>
      </c>
      <c r="CI1342" s="76"/>
      <c r="CJ1342" s="76">
        <f>+CI1342*26000</f>
        <v>0</v>
      </c>
      <c r="CK1342" s="76"/>
      <c r="CL1342" s="76"/>
      <c r="CM1342" s="76"/>
      <c r="CN1342" s="76">
        <f>+CM1342*22000</f>
        <v>0</v>
      </c>
      <c r="CO1342" s="76"/>
      <c r="CP1342" s="76">
        <f>+CO1342*46000</f>
        <v>0</v>
      </c>
      <c r="CQ1342" s="76"/>
      <c r="CR1342" s="76">
        <f>+CQ1342*49000</f>
        <v>0</v>
      </c>
      <c r="CS1342" s="76"/>
      <c r="CT1342" s="76"/>
      <c r="CU1342" s="56">
        <f>AN1342+AP1342+AR1342+AT1342+AV1342+AX1342+AZ1342+BB1342+BD1342+BF1342+BH1342+BJ1342+BL1342+BN1342+BP1342+BR1342+BT1342+BV1342+BX1342+BZ1342+CB1342+CD1342+CF1342+CH1342+CJ1342+CL1342+CN1342+CP1342+CR1342+CT1342</f>
        <v>0</v>
      </c>
      <c r="CV1342" s="76"/>
      <c r="CW1342" s="76">
        <f>+CV1342*1100</f>
        <v>0</v>
      </c>
      <c r="CX1342" s="76"/>
      <c r="CY1342" s="76">
        <f>+CX1342*106250</f>
        <v>0</v>
      </c>
      <c r="CZ1342" s="76"/>
      <c r="DA1342" s="76">
        <f>+CZ1342*34500</f>
        <v>0</v>
      </c>
      <c r="DB1342" s="76"/>
      <c r="DC1342" s="76">
        <f>+DB1342*25000</f>
        <v>0</v>
      </c>
      <c r="DD1342" s="219"/>
      <c r="DE1342" s="219"/>
      <c r="DF1342" s="166"/>
      <c r="DG1342" s="116"/>
      <c r="DH1342" s="117"/>
      <c r="DI1342" s="24"/>
      <c r="DJ1342" s="24"/>
      <c r="DK1342" s="24"/>
      <c r="DL1342" s="24"/>
      <c r="DM1342" s="24"/>
      <c r="DN1342" s="24"/>
      <c r="DO1342" s="24"/>
      <c r="DP1342" s="24"/>
      <c r="DQ1342" s="24"/>
      <c r="DR1342" s="24"/>
      <c r="DS1342" s="24"/>
      <c r="DT1342" s="24"/>
      <c r="DU1342" s="24"/>
    </row>
    <row r="1343" spans="1:125" s="8" customFormat="1" ht="84" x14ac:dyDescent="0.2">
      <c r="A1343" s="226">
        <v>41365</v>
      </c>
      <c r="B1343" s="225" t="s">
        <v>2848</v>
      </c>
      <c r="C1343" s="227" t="s">
        <v>1907</v>
      </c>
      <c r="D1343" s="84" t="s">
        <v>3088</v>
      </c>
      <c r="E1343" s="75" t="str">
        <f>VLOOKUP(B1343&amp;C1343,Divipola!$C$2:$F$1138,4,FALSE)</f>
        <v>73624</v>
      </c>
      <c r="F1343" s="87"/>
      <c r="G1343" s="87"/>
      <c r="H1343" s="87"/>
      <c r="I1343" s="87"/>
      <c r="J1343" s="87"/>
      <c r="K1343" s="87"/>
      <c r="L1343" s="87"/>
      <c r="M1343" s="87"/>
      <c r="N1343" s="87"/>
      <c r="O1343" s="87"/>
      <c r="P1343" s="87"/>
      <c r="Q1343" s="87"/>
      <c r="R1343" s="87"/>
      <c r="S1343" s="87"/>
      <c r="T1343" s="87"/>
      <c r="U1343" s="88"/>
      <c r="V1343" s="89"/>
      <c r="W1343" s="96">
        <v>0</v>
      </c>
      <c r="X1343" s="71">
        <f>CU1343</f>
        <v>0</v>
      </c>
      <c r="Y1343" s="71">
        <f>CY1343</f>
        <v>0</v>
      </c>
      <c r="Z1343" s="71">
        <f>DA1343+DC1343+DE1343</f>
        <v>0</v>
      </c>
      <c r="AA1343" s="71">
        <f>CW1343</f>
        <v>0</v>
      </c>
      <c r="AB1343" s="71"/>
      <c r="AC1343" s="71">
        <v>0</v>
      </c>
      <c r="AD1343" s="71">
        <f>W1343+X1343+Y1343+Z1343+AA1343+AB1343+AC1343</f>
        <v>0</v>
      </c>
      <c r="AE1343" s="72">
        <v>0</v>
      </c>
      <c r="AF1343" s="5"/>
      <c r="AG1343" s="6"/>
      <c r="AH1343" s="27" t="s">
        <v>3392</v>
      </c>
      <c r="AI1343" s="44" t="s">
        <v>3393</v>
      </c>
      <c r="AJ1343" s="26"/>
      <c r="AK1343" s="5"/>
      <c r="AL1343" s="82" t="s">
        <v>4137</v>
      </c>
      <c r="AM1343" s="76"/>
      <c r="AN1343" s="76"/>
      <c r="AO1343" s="76"/>
      <c r="AP1343" s="76"/>
      <c r="AQ1343" s="76"/>
      <c r="AR1343" s="76"/>
      <c r="AS1343" s="76"/>
      <c r="AT1343" s="76"/>
      <c r="AU1343" s="76"/>
      <c r="AV1343" s="76"/>
      <c r="AW1343" s="76"/>
      <c r="AX1343" s="76">
        <f>+AW1343*600000</f>
        <v>0</v>
      </c>
      <c r="AY1343" s="76"/>
      <c r="AZ1343" s="76">
        <f>+AY1343*70000</f>
        <v>0</v>
      </c>
      <c r="BA1343" s="76"/>
      <c r="BB1343" s="76"/>
      <c r="BC1343" s="76"/>
      <c r="BD1343" s="76">
        <f>+BC1343*30000</f>
        <v>0</v>
      </c>
      <c r="BE1343" s="76"/>
      <c r="BF1343" s="76"/>
      <c r="BG1343" s="76"/>
      <c r="BH1343" s="76"/>
      <c r="BI1343" s="76"/>
      <c r="BJ1343" s="76"/>
      <c r="BK1343" s="76"/>
      <c r="BL1343" s="76">
        <f>+BK1343*31500</f>
        <v>0</v>
      </c>
      <c r="BM1343" s="76"/>
      <c r="BN1343" s="76"/>
      <c r="BO1343" s="76"/>
      <c r="BP1343" s="76"/>
      <c r="BQ1343" s="76"/>
      <c r="BR1343" s="76"/>
      <c r="BS1343" s="76"/>
      <c r="BT1343" s="76"/>
      <c r="BU1343" s="76"/>
      <c r="BV1343" s="76"/>
      <c r="BW1343" s="76"/>
      <c r="BX1343" s="76"/>
      <c r="BY1343" s="76"/>
      <c r="BZ1343" s="76"/>
      <c r="CA1343" s="76"/>
      <c r="CB1343" s="76"/>
      <c r="CC1343" s="76"/>
      <c r="CD1343" s="76"/>
      <c r="CE1343" s="76"/>
      <c r="CF1343" s="76">
        <f>+CE1343*28000</f>
        <v>0</v>
      </c>
      <c r="CG1343" s="76"/>
      <c r="CH1343" s="76">
        <f>+CG1343*22500</f>
        <v>0</v>
      </c>
      <c r="CI1343" s="76"/>
      <c r="CJ1343" s="76">
        <f>+CI1343*26000</f>
        <v>0</v>
      </c>
      <c r="CK1343" s="76"/>
      <c r="CL1343" s="76"/>
      <c r="CM1343" s="76"/>
      <c r="CN1343" s="76">
        <f>+CM1343*22000</f>
        <v>0</v>
      </c>
      <c r="CO1343" s="76"/>
      <c r="CP1343" s="76">
        <f>+CO1343*46000</f>
        <v>0</v>
      </c>
      <c r="CQ1343" s="76"/>
      <c r="CR1343" s="76">
        <f>+CQ1343*49000</f>
        <v>0</v>
      </c>
      <c r="CS1343" s="76"/>
      <c r="CT1343" s="76"/>
      <c r="CU1343" s="56">
        <f>AN1343+AP1343+AR1343+AT1343+AV1343+AX1343+AZ1343+BB1343+BD1343+BF1343+BH1343+BJ1343+BL1343+BN1343+BP1343+BR1343+BT1343+BV1343+BX1343+BZ1343+CB1343+CD1343+CF1343+CH1343+CJ1343+CL1343+CN1343+CP1343+CR1343+CT1343</f>
        <v>0</v>
      </c>
      <c r="CV1343" s="76"/>
      <c r="CW1343" s="76">
        <f>+CV1343*1100</f>
        <v>0</v>
      </c>
      <c r="CX1343" s="76"/>
      <c r="CY1343" s="76">
        <f>+CX1343*106250</f>
        <v>0</v>
      </c>
      <c r="CZ1343" s="76"/>
      <c r="DA1343" s="76">
        <f>+CZ1343*34500</f>
        <v>0</v>
      </c>
      <c r="DB1343" s="76"/>
      <c r="DC1343" s="76">
        <f>+DB1343*25000</f>
        <v>0</v>
      </c>
      <c r="DD1343" s="219"/>
      <c r="DE1343" s="219"/>
      <c r="DF1343" s="166"/>
      <c r="DG1343" s="116"/>
      <c r="DH1343" s="117"/>
      <c r="DI1343" s="24"/>
      <c r="DJ1343" s="24"/>
      <c r="DK1343" s="24"/>
      <c r="DL1343" s="24"/>
      <c r="DM1343" s="24"/>
      <c r="DN1343" s="24"/>
      <c r="DO1343" s="24"/>
      <c r="DP1343" s="24"/>
      <c r="DQ1343" s="24"/>
      <c r="DR1343" s="24"/>
      <c r="DS1343" s="24"/>
      <c r="DT1343" s="24"/>
      <c r="DU1343" s="24"/>
    </row>
    <row r="1344" spans="1:125" s="8" customFormat="1" ht="96" x14ac:dyDescent="0.2">
      <c r="A1344" s="226">
        <v>41365</v>
      </c>
      <c r="B1344" s="225" t="s">
        <v>2848</v>
      </c>
      <c r="C1344" s="227" t="s">
        <v>1258</v>
      </c>
      <c r="D1344" s="81" t="s">
        <v>2846</v>
      </c>
      <c r="E1344" s="75" t="str">
        <f>VLOOKUP(B1344&amp;C1344,Divipola!$C$2:$F$1138,4,FALSE)</f>
        <v>73870</v>
      </c>
      <c r="F1344" s="87"/>
      <c r="G1344" s="87"/>
      <c r="H1344" s="87"/>
      <c r="I1344" s="87"/>
      <c r="J1344" s="87"/>
      <c r="K1344" s="87"/>
      <c r="L1344" s="87"/>
      <c r="M1344" s="87"/>
      <c r="N1344" s="87"/>
      <c r="O1344" s="87"/>
      <c r="P1344" s="87"/>
      <c r="Q1344" s="87"/>
      <c r="R1344" s="87"/>
      <c r="S1344" s="87"/>
      <c r="T1344" s="87"/>
      <c r="U1344" s="88">
        <v>1</v>
      </c>
      <c r="V1344" s="89"/>
      <c r="W1344" s="96">
        <v>0</v>
      </c>
      <c r="X1344" s="71">
        <f>CU1344</f>
        <v>0</v>
      </c>
      <c r="Y1344" s="71">
        <f>CY1344</f>
        <v>0</v>
      </c>
      <c r="Z1344" s="71">
        <f>DA1344+DC1344+DE1344</f>
        <v>0</v>
      </c>
      <c r="AA1344" s="71">
        <f>CW1344</f>
        <v>0</v>
      </c>
      <c r="AB1344" s="71"/>
      <c r="AC1344" s="71">
        <v>0</v>
      </c>
      <c r="AD1344" s="71">
        <f>W1344+X1344+Y1344+Z1344+AA1344+AB1344+AC1344</f>
        <v>0</v>
      </c>
      <c r="AE1344" s="72">
        <v>0</v>
      </c>
      <c r="AF1344" s="5"/>
      <c r="AG1344" s="6"/>
      <c r="AH1344" s="27" t="s">
        <v>3392</v>
      </c>
      <c r="AI1344" s="44" t="s">
        <v>3393</v>
      </c>
      <c r="AJ1344" s="26"/>
      <c r="AK1344" s="5"/>
      <c r="AL1344" s="82" t="s">
        <v>4156</v>
      </c>
      <c r="AM1344" s="76"/>
      <c r="AN1344" s="76"/>
      <c r="AO1344" s="76"/>
      <c r="AP1344" s="76"/>
      <c r="AQ1344" s="76"/>
      <c r="AR1344" s="76"/>
      <c r="AS1344" s="76"/>
      <c r="AT1344" s="76"/>
      <c r="AU1344" s="76"/>
      <c r="AV1344" s="76"/>
      <c r="AW1344" s="76"/>
      <c r="AX1344" s="76">
        <f>+AW1344*600000</f>
        <v>0</v>
      </c>
      <c r="AY1344" s="76"/>
      <c r="AZ1344" s="76">
        <f>+AY1344*70000</f>
        <v>0</v>
      </c>
      <c r="BA1344" s="76"/>
      <c r="BB1344" s="76"/>
      <c r="BC1344" s="76"/>
      <c r="BD1344" s="76">
        <f>+BC1344*30000</f>
        <v>0</v>
      </c>
      <c r="BE1344" s="76"/>
      <c r="BF1344" s="76"/>
      <c r="BG1344" s="76"/>
      <c r="BH1344" s="76"/>
      <c r="BI1344" s="76"/>
      <c r="BJ1344" s="76"/>
      <c r="BK1344" s="76"/>
      <c r="BL1344" s="76">
        <f>+BK1344*31500</f>
        <v>0</v>
      </c>
      <c r="BM1344" s="76"/>
      <c r="BN1344" s="76"/>
      <c r="BO1344" s="76"/>
      <c r="BP1344" s="76"/>
      <c r="BQ1344" s="76"/>
      <c r="BR1344" s="76"/>
      <c r="BS1344" s="76"/>
      <c r="BT1344" s="76"/>
      <c r="BU1344" s="76"/>
      <c r="BV1344" s="76"/>
      <c r="BW1344" s="76"/>
      <c r="BX1344" s="76"/>
      <c r="BY1344" s="76"/>
      <c r="BZ1344" s="76"/>
      <c r="CA1344" s="76"/>
      <c r="CB1344" s="76"/>
      <c r="CC1344" s="76"/>
      <c r="CD1344" s="76"/>
      <c r="CE1344" s="76"/>
      <c r="CF1344" s="76">
        <f>+CE1344*28000</f>
        <v>0</v>
      </c>
      <c r="CG1344" s="76"/>
      <c r="CH1344" s="76">
        <f>+CG1344*22500</f>
        <v>0</v>
      </c>
      <c r="CI1344" s="76"/>
      <c r="CJ1344" s="76">
        <f>+CI1344*26000</f>
        <v>0</v>
      </c>
      <c r="CK1344" s="76"/>
      <c r="CL1344" s="76"/>
      <c r="CM1344" s="76"/>
      <c r="CN1344" s="76">
        <f>+CM1344*22000</f>
        <v>0</v>
      </c>
      <c r="CO1344" s="76"/>
      <c r="CP1344" s="76">
        <f>+CO1344*46000</f>
        <v>0</v>
      </c>
      <c r="CQ1344" s="76"/>
      <c r="CR1344" s="76">
        <f>+CQ1344*49000</f>
        <v>0</v>
      </c>
      <c r="CS1344" s="76"/>
      <c r="CT1344" s="76"/>
      <c r="CU1344" s="56">
        <f>AN1344+AP1344+AR1344+AT1344+AV1344+AX1344+AZ1344+BB1344+BD1344+BF1344+BH1344+BJ1344+BL1344+BN1344+BP1344+BR1344+BT1344+BV1344+BX1344+BZ1344+CB1344+CD1344+CF1344+CH1344+CJ1344+CL1344+CN1344+CP1344+CR1344+CT1344</f>
        <v>0</v>
      </c>
      <c r="CV1344" s="76"/>
      <c r="CW1344" s="76">
        <f>+CV1344*1100</f>
        <v>0</v>
      </c>
      <c r="CX1344" s="76"/>
      <c r="CY1344" s="76">
        <f>+CX1344*106250</f>
        <v>0</v>
      </c>
      <c r="CZ1344" s="76"/>
      <c r="DA1344" s="76">
        <f>+CZ1344*34500</f>
        <v>0</v>
      </c>
      <c r="DB1344" s="76"/>
      <c r="DC1344" s="76">
        <f>+DB1344*25000</f>
        <v>0</v>
      </c>
      <c r="DD1344" s="219"/>
      <c r="DE1344" s="219"/>
      <c r="DF1344" s="166"/>
      <c r="DG1344" s="116"/>
      <c r="DH1344" s="117"/>
      <c r="DI1344" s="24"/>
      <c r="DJ1344" s="24"/>
      <c r="DK1344" s="24"/>
      <c r="DL1344" s="24"/>
      <c r="DM1344" s="24"/>
      <c r="DN1344" s="24"/>
      <c r="DO1344" s="24"/>
      <c r="DP1344" s="24"/>
      <c r="DQ1344" s="24"/>
      <c r="DR1344" s="24"/>
      <c r="DS1344" s="24"/>
      <c r="DT1344" s="24"/>
      <c r="DU1344" s="24"/>
    </row>
    <row r="1345" spans="1:125" s="8" customFormat="1" ht="36" x14ac:dyDescent="0.2">
      <c r="A1345" s="226">
        <v>41366</v>
      </c>
      <c r="B1345" s="225" t="s">
        <v>2894</v>
      </c>
      <c r="C1345" s="227" t="s">
        <v>2067</v>
      </c>
      <c r="D1345" s="227" t="s">
        <v>2882</v>
      </c>
      <c r="E1345" s="75" t="str">
        <f>VLOOKUP(B1345&amp;C1345,Divipola!$C$2:$F$1138,4,FALSE)</f>
        <v>05873</v>
      </c>
      <c r="F1345" s="87"/>
      <c r="G1345" s="87"/>
      <c r="H1345" s="87"/>
      <c r="I1345" s="87"/>
      <c r="J1345" s="87"/>
      <c r="K1345" s="87"/>
      <c r="L1345" s="87"/>
      <c r="M1345" s="87"/>
      <c r="N1345" s="87"/>
      <c r="O1345" s="87"/>
      <c r="P1345" s="87"/>
      <c r="Q1345" s="87"/>
      <c r="R1345" s="87"/>
      <c r="S1345" s="87"/>
      <c r="T1345" s="87"/>
      <c r="U1345" s="88"/>
      <c r="V1345" s="89"/>
      <c r="W1345" s="96">
        <v>0</v>
      </c>
      <c r="X1345" s="71">
        <f>CU1345</f>
        <v>0</v>
      </c>
      <c r="Y1345" s="71">
        <f>CY1345</f>
        <v>0</v>
      </c>
      <c r="Z1345" s="71">
        <f>DA1345+DC1345+DE1345</f>
        <v>0</v>
      </c>
      <c r="AA1345" s="71">
        <f>CW1345</f>
        <v>0</v>
      </c>
      <c r="AB1345" s="71"/>
      <c r="AC1345" s="71">
        <v>0</v>
      </c>
      <c r="AD1345" s="71">
        <f>W1345+X1345+Y1345+Z1345+AA1345+AB1345+AC1345</f>
        <v>0</v>
      </c>
      <c r="AE1345" s="72">
        <v>0</v>
      </c>
      <c r="AF1345" s="5"/>
      <c r="AG1345" s="6"/>
      <c r="AH1345" s="27" t="s">
        <v>3392</v>
      </c>
      <c r="AI1345" s="44" t="s">
        <v>3393</v>
      </c>
      <c r="AJ1345" s="26"/>
      <c r="AK1345" s="5"/>
      <c r="AL1345" s="82" t="s">
        <v>4161</v>
      </c>
      <c r="AM1345" s="76"/>
      <c r="AN1345" s="76"/>
      <c r="AO1345" s="76"/>
      <c r="AP1345" s="76"/>
      <c r="AQ1345" s="76"/>
      <c r="AR1345" s="76"/>
      <c r="AS1345" s="76"/>
      <c r="AT1345" s="76"/>
      <c r="AU1345" s="76"/>
      <c r="AV1345" s="76"/>
      <c r="AW1345" s="76"/>
      <c r="AX1345" s="76">
        <f>+AW1345*600000</f>
        <v>0</v>
      </c>
      <c r="AY1345" s="76"/>
      <c r="AZ1345" s="76">
        <f>+AY1345*70000</f>
        <v>0</v>
      </c>
      <c r="BA1345" s="76"/>
      <c r="BB1345" s="76"/>
      <c r="BC1345" s="76"/>
      <c r="BD1345" s="76">
        <f>+BC1345*30000</f>
        <v>0</v>
      </c>
      <c r="BE1345" s="76"/>
      <c r="BF1345" s="76"/>
      <c r="BG1345" s="76"/>
      <c r="BH1345" s="76"/>
      <c r="BI1345" s="76"/>
      <c r="BJ1345" s="76"/>
      <c r="BK1345" s="76"/>
      <c r="BL1345" s="76">
        <f>+BK1345*31500</f>
        <v>0</v>
      </c>
      <c r="BM1345" s="76"/>
      <c r="BN1345" s="76"/>
      <c r="BO1345" s="76"/>
      <c r="BP1345" s="76"/>
      <c r="BQ1345" s="76"/>
      <c r="BR1345" s="76"/>
      <c r="BS1345" s="76"/>
      <c r="BT1345" s="76"/>
      <c r="BU1345" s="76"/>
      <c r="BV1345" s="76"/>
      <c r="BW1345" s="76"/>
      <c r="BX1345" s="76"/>
      <c r="BY1345" s="76"/>
      <c r="BZ1345" s="76"/>
      <c r="CA1345" s="76"/>
      <c r="CB1345" s="76"/>
      <c r="CC1345" s="76"/>
      <c r="CD1345" s="76"/>
      <c r="CE1345" s="76"/>
      <c r="CF1345" s="76">
        <f>+CE1345*28000</f>
        <v>0</v>
      </c>
      <c r="CG1345" s="76"/>
      <c r="CH1345" s="76">
        <f>+CG1345*22500</f>
        <v>0</v>
      </c>
      <c r="CI1345" s="76"/>
      <c r="CJ1345" s="76">
        <f>+CI1345*26000</f>
        <v>0</v>
      </c>
      <c r="CK1345" s="76"/>
      <c r="CL1345" s="76"/>
      <c r="CM1345" s="76"/>
      <c r="CN1345" s="76">
        <f>+CM1345*22000</f>
        <v>0</v>
      </c>
      <c r="CO1345" s="76"/>
      <c r="CP1345" s="76">
        <f>+CO1345*46000</f>
        <v>0</v>
      </c>
      <c r="CQ1345" s="76"/>
      <c r="CR1345" s="76">
        <f>+CQ1345*49000</f>
        <v>0</v>
      </c>
      <c r="CS1345" s="76"/>
      <c r="CT1345" s="76"/>
      <c r="CU1345" s="56">
        <f>AN1345+AP1345+AR1345+AT1345+AV1345+AX1345+AZ1345+BB1345+BD1345+BF1345+BH1345+BJ1345+BL1345+BN1345+BP1345+BR1345+BT1345+BV1345+BX1345+BZ1345+CB1345+CD1345+CF1345+CH1345+CJ1345+CL1345+CN1345+CP1345+CR1345+CT1345</f>
        <v>0</v>
      </c>
      <c r="CV1345" s="76"/>
      <c r="CW1345" s="76">
        <f>+CV1345*1100</f>
        <v>0</v>
      </c>
      <c r="CX1345" s="76"/>
      <c r="CY1345" s="76">
        <f>+CX1345*106250</f>
        <v>0</v>
      </c>
      <c r="CZ1345" s="76"/>
      <c r="DA1345" s="76">
        <f>+CZ1345*34500</f>
        <v>0</v>
      </c>
      <c r="DB1345" s="76"/>
      <c r="DC1345" s="76">
        <f>+DB1345*25000</f>
        <v>0</v>
      </c>
      <c r="DD1345" s="219"/>
      <c r="DE1345" s="219"/>
      <c r="DF1345" s="166"/>
      <c r="DG1345" s="116"/>
      <c r="DH1345" s="117"/>
      <c r="DI1345" s="24"/>
      <c r="DJ1345" s="24"/>
      <c r="DK1345" s="24"/>
      <c r="DL1345" s="24"/>
      <c r="DM1345" s="24"/>
      <c r="DN1345" s="24"/>
      <c r="DO1345" s="24"/>
      <c r="DP1345" s="24"/>
      <c r="DQ1345" s="24"/>
      <c r="DR1345" s="24"/>
      <c r="DS1345" s="24"/>
      <c r="DT1345" s="24"/>
      <c r="DU1345" s="24"/>
    </row>
    <row r="1346" spans="1:125" s="8" customFormat="1" ht="48" x14ac:dyDescent="0.2">
      <c r="A1346" s="226">
        <v>41366</v>
      </c>
      <c r="B1346" s="225" t="s">
        <v>2894</v>
      </c>
      <c r="C1346" s="227" t="s">
        <v>2639</v>
      </c>
      <c r="D1346" s="227" t="s">
        <v>2882</v>
      </c>
      <c r="E1346" s="75" t="str">
        <f>VLOOKUP(B1346&amp;C1346,Divipola!$C$2:$F$1138,4,FALSE)</f>
        <v>05887</v>
      </c>
      <c r="F1346" s="87"/>
      <c r="G1346" s="87"/>
      <c r="H1346" s="87"/>
      <c r="I1346" s="87">
        <v>10</v>
      </c>
      <c r="J1346" s="87">
        <v>2</v>
      </c>
      <c r="K1346" s="87"/>
      <c r="L1346" s="87">
        <v>2</v>
      </c>
      <c r="M1346" s="87"/>
      <c r="N1346" s="87"/>
      <c r="O1346" s="87"/>
      <c r="P1346" s="87"/>
      <c r="Q1346" s="87"/>
      <c r="R1346" s="87"/>
      <c r="S1346" s="87"/>
      <c r="T1346" s="87"/>
      <c r="U1346" s="88"/>
      <c r="V1346" s="89"/>
      <c r="W1346" s="96">
        <v>0</v>
      </c>
      <c r="X1346" s="71">
        <f>CU1346</f>
        <v>0</v>
      </c>
      <c r="Y1346" s="71">
        <f>CY1346</f>
        <v>0</v>
      </c>
      <c r="Z1346" s="71">
        <f>DA1346+DC1346+DE1346</f>
        <v>0</v>
      </c>
      <c r="AA1346" s="71">
        <f>CW1346</f>
        <v>0</v>
      </c>
      <c r="AB1346" s="71"/>
      <c r="AC1346" s="71">
        <v>0</v>
      </c>
      <c r="AD1346" s="71">
        <f>W1346+X1346+Y1346+Z1346+AA1346+AB1346+AC1346</f>
        <v>0</v>
      </c>
      <c r="AE1346" s="72">
        <v>0</v>
      </c>
      <c r="AF1346" s="5"/>
      <c r="AG1346" s="6"/>
      <c r="AH1346" s="27" t="s">
        <v>3392</v>
      </c>
      <c r="AI1346" s="44" t="s">
        <v>3393</v>
      </c>
      <c r="AJ1346" s="26"/>
      <c r="AK1346" s="5"/>
      <c r="AL1346" s="82" t="s">
        <v>4160</v>
      </c>
      <c r="AM1346" s="76"/>
      <c r="AN1346" s="76"/>
      <c r="AO1346" s="76"/>
      <c r="AP1346" s="76"/>
      <c r="AQ1346" s="76"/>
      <c r="AR1346" s="76"/>
      <c r="AS1346" s="76"/>
      <c r="AT1346" s="76"/>
      <c r="AU1346" s="76"/>
      <c r="AV1346" s="76"/>
      <c r="AW1346" s="76"/>
      <c r="AX1346" s="76">
        <f>+AW1346*600000</f>
        <v>0</v>
      </c>
      <c r="AY1346" s="76"/>
      <c r="AZ1346" s="76">
        <f>+AY1346*70000</f>
        <v>0</v>
      </c>
      <c r="BA1346" s="76"/>
      <c r="BB1346" s="76"/>
      <c r="BC1346" s="76"/>
      <c r="BD1346" s="76">
        <f>+BC1346*30000</f>
        <v>0</v>
      </c>
      <c r="BE1346" s="76"/>
      <c r="BF1346" s="76"/>
      <c r="BG1346" s="76"/>
      <c r="BH1346" s="76"/>
      <c r="BI1346" s="76"/>
      <c r="BJ1346" s="76"/>
      <c r="BK1346" s="76"/>
      <c r="BL1346" s="76">
        <f>+BK1346*31500</f>
        <v>0</v>
      </c>
      <c r="BM1346" s="76"/>
      <c r="BN1346" s="76"/>
      <c r="BO1346" s="76"/>
      <c r="BP1346" s="76"/>
      <c r="BQ1346" s="76"/>
      <c r="BR1346" s="76"/>
      <c r="BS1346" s="76"/>
      <c r="BT1346" s="76"/>
      <c r="BU1346" s="76"/>
      <c r="BV1346" s="76"/>
      <c r="BW1346" s="76"/>
      <c r="BX1346" s="76"/>
      <c r="BY1346" s="76"/>
      <c r="BZ1346" s="76"/>
      <c r="CA1346" s="76"/>
      <c r="CB1346" s="76"/>
      <c r="CC1346" s="76"/>
      <c r="CD1346" s="76"/>
      <c r="CE1346" s="76"/>
      <c r="CF1346" s="76">
        <f>+CE1346*28000</f>
        <v>0</v>
      </c>
      <c r="CG1346" s="76"/>
      <c r="CH1346" s="76">
        <f>+CG1346*22500</f>
        <v>0</v>
      </c>
      <c r="CI1346" s="76"/>
      <c r="CJ1346" s="76">
        <f>+CI1346*26000</f>
        <v>0</v>
      </c>
      <c r="CK1346" s="76"/>
      <c r="CL1346" s="76"/>
      <c r="CM1346" s="76"/>
      <c r="CN1346" s="76">
        <f>+CM1346*22000</f>
        <v>0</v>
      </c>
      <c r="CO1346" s="76"/>
      <c r="CP1346" s="76">
        <f>+CO1346*46000</f>
        <v>0</v>
      </c>
      <c r="CQ1346" s="76"/>
      <c r="CR1346" s="76">
        <f>+CQ1346*49000</f>
        <v>0</v>
      </c>
      <c r="CS1346" s="76"/>
      <c r="CT1346" s="76"/>
      <c r="CU1346" s="56">
        <f>AN1346+AP1346+AR1346+AT1346+AV1346+AX1346+AZ1346+BB1346+BD1346+BF1346+BH1346+BJ1346+BL1346+BN1346+BP1346+BR1346+BT1346+BV1346+BX1346+BZ1346+CB1346+CD1346+CF1346+CH1346+CJ1346+CL1346+CN1346+CP1346+CR1346+CT1346</f>
        <v>0</v>
      </c>
      <c r="CV1346" s="76"/>
      <c r="CW1346" s="76">
        <f>+CV1346*1100</f>
        <v>0</v>
      </c>
      <c r="CX1346" s="76"/>
      <c r="CY1346" s="76">
        <f>+CX1346*106250</f>
        <v>0</v>
      </c>
      <c r="CZ1346" s="76"/>
      <c r="DA1346" s="76">
        <f>+CZ1346*34500</f>
        <v>0</v>
      </c>
      <c r="DB1346" s="76"/>
      <c r="DC1346" s="76">
        <f>+DB1346*25000</f>
        <v>0</v>
      </c>
      <c r="DD1346" s="219"/>
      <c r="DE1346" s="219"/>
      <c r="DF1346" s="166"/>
      <c r="DG1346" s="116"/>
      <c r="DH1346" s="117"/>
      <c r="DI1346" s="24"/>
      <c r="DJ1346" s="24"/>
      <c r="DK1346" s="24"/>
      <c r="DL1346" s="24"/>
      <c r="DM1346" s="24"/>
      <c r="DN1346" s="24"/>
      <c r="DO1346" s="24"/>
      <c r="DP1346" s="24"/>
      <c r="DQ1346" s="24"/>
      <c r="DR1346" s="24"/>
      <c r="DS1346" s="24"/>
      <c r="DT1346" s="24"/>
      <c r="DU1346" s="24"/>
    </row>
    <row r="1347" spans="1:125" s="8" customFormat="1" ht="48" x14ac:dyDescent="0.2">
      <c r="A1347" s="353">
        <v>41366</v>
      </c>
      <c r="B1347" s="352" t="s">
        <v>2700</v>
      </c>
      <c r="C1347" s="354" t="s">
        <v>1603</v>
      </c>
      <c r="D1347" s="81" t="s">
        <v>2846</v>
      </c>
      <c r="E1347" s="75" t="str">
        <f>VLOOKUP(B1347&amp;C1347,Divipola!$C$2:$F$1138,4,FALSE)</f>
        <v>15183</v>
      </c>
      <c r="F1347" s="87"/>
      <c r="G1347" s="87"/>
      <c r="H1347" s="87"/>
      <c r="I1347" s="87"/>
      <c r="J1347" s="87"/>
      <c r="K1347" s="87"/>
      <c r="L1347" s="87"/>
      <c r="M1347" s="87"/>
      <c r="N1347" s="87"/>
      <c r="O1347" s="87"/>
      <c r="P1347" s="87"/>
      <c r="Q1347" s="87"/>
      <c r="R1347" s="87"/>
      <c r="S1347" s="87"/>
      <c r="T1347" s="87"/>
      <c r="U1347" s="88">
        <v>30</v>
      </c>
      <c r="V1347" s="89"/>
      <c r="W1347" s="96">
        <v>0</v>
      </c>
      <c r="X1347" s="71">
        <f>CU1347</f>
        <v>0</v>
      </c>
      <c r="Y1347" s="71">
        <f>CY1347</f>
        <v>0</v>
      </c>
      <c r="Z1347" s="71">
        <f>DA1347+DC1347+DE1347</f>
        <v>0</v>
      </c>
      <c r="AA1347" s="71">
        <f>CW1347</f>
        <v>0</v>
      </c>
      <c r="AB1347" s="71"/>
      <c r="AC1347" s="71">
        <v>0</v>
      </c>
      <c r="AD1347" s="71">
        <f>W1347+X1347+Y1347+Z1347+AA1347+AB1347+AC1347</f>
        <v>0</v>
      </c>
      <c r="AE1347" s="72">
        <v>0</v>
      </c>
      <c r="AF1347" s="5"/>
      <c r="AG1347" s="6"/>
      <c r="AH1347" s="27" t="s">
        <v>3392</v>
      </c>
      <c r="AI1347" s="44" t="s">
        <v>3393</v>
      </c>
      <c r="AJ1347" s="26"/>
      <c r="AK1347" s="5"/>
      <c r="AL1347" s="82" t="s">
        <v>4165</v>
      </c>
      <c r="AM1347" s="76"/>
      <c r="AN1347" s="76"/>
      <c r="AO1347" s="76"/>
      <c r="AP1347" s="76"/>
      <c r="AQ1347" s="76"/>
      <c r="AR1347" s="76"/>
      <c r="AS1347" s="76"/>
      <c r="AT1347" s="76"/>
      <c r="AU1347" s="76"/>
      <c r="AV1347" s="76"/>
      <c r="AW1347" s="76"/>
      <c r="AX1347" s="76">
        <f>+AW1347*600000</f>
        <v>0</v>
      </c>
      <c r="AY1347" s="76"/>
      <c r="AZ1347" s="76">
        <f>+AY1347*70000</f>
        <v>0</v>
      </c>
      <c r="BA1347" s="76"/>
      <c r="BB1347" s="76"/>
      <c r="BC1347" s="76"/>
      <c r="BD1347" s="76">
        <f>+BC1347*30000</f>
        <v>0</v>
      </c>
      <c r="BE1347" s="76"/>
      <c r="BF1347" s="76"/>
      <c r="BG1347" s="76"/>
      <c r="BH1347" s="76"/>
      <c r="BI1347" s="76"/>
      <c r="BJ1347" s="76"/>
      <c r="BK1347" s="76"/>
      <c r="BL1347" s="76">
        <f>+BK1347*31500</f>
        <v>0</v>
      </c>
      <c r="BM1347" s="76"/>
      <c r="BN1347" s="76"/>
      <c r="BO1347" s="76"/>
      <c r="BP1347" s="76"/>
      <c r="BQ1347" s="76"/>
      <c r="BR1347" s="76"/>
      <c r="BS1347" s="76"/>
      <c r="BT1347" s="76"/>
      <c r="BU1347" s="76"/>
      <c r="BV1347" s="76"/>
      <c r="BW1347" s="76"/>
      <c r="BX1347" s="76"/>
      <c r="BY1347" s="76"/>
      <c r="BZ1347" s="76"/>
      <c r="CA1347" s="76"/>
      <c r="CB1347" s="76"/>
      <c r="CC1347" s="76"/>
      <c r="CD1347" s="76"/>
      <c r="CE1347" s="76"/>
      <c r="CF1347" s="76">
        <f>+CE1347*28000</f>
        <v>0</v>
      </c>
      <c r="CG1347" s="76"/>
      <c r="CH1347" s="76">
        <f>+CG1347*22500</f>
        <v>0</v>
      </c>
      <c r="CI1347" s="76"/>
      <c r="CJ1347" s="76">
        <f>+CI1347*26000</f>
        <v>0</v>
      </c>
      <c r="CK1347" s="76"/>
      <c r="CL1347" s="76"/>
      <c r="CM1347" s="76"/>
      <c r="CN1347" s="76">
        <f>+CM1347*22000</f>
        <v>0</v>
      </c>
      <c r="CO1347" s="76"/>
      <c r="CP1347" s="76">
        <f>+CO1347*46000</f>
        <v>0</v>
      </c>
      <c r="CQ1347" s="76"/>
      <c r="CR1347" s="76">
        <f>+CQ1347*49000</f>
        <v>0</v>
      </c>
      <c r="CS1347" s="76"/>
      <c r="CT1347" s="76"/>
      <c r="CU1347" s="56">
        <f>AN1347+AP1347+AR1347+AT1347+AV1347+AX1347+AZ1347+BB1347+BD1347+BF1347+BH1347+BJ1347+BL1347+BN1347+BP1347+BR1347+BT1347+BV1347+BX1347+BZ1347+CB1347+CD1347+CF1347+CH1347+CJ1347+CL1347+CN1347+CP1347+CR1347+CT1347</f>
        <v>0</v>
      </c>
      <c r="CV1347" s="76"/>
      <c r="CW1347" s="76">
        <f>+CV1347*1100</f>
        <v>0</v>
      </c>
      <c r="CX1347" s="76"/>
      <c r="CY1347" s="76">
        <f>+CX1347*106250</f>
        <v>0</v>
      </c>
      <c r="CZ1347" s="76"/>
      <c r="DA1347" s="76">
        <f>+CZ1347*34500</f>
        <v>0</v>
      </c>
      <c r="DB1347" s="76"/>
      <c r="DC1347" s="76">
        <f>+DB1347*25000</f>
        <v>0</v>
      </c>
      <c r="DD1347" s="219"/>
      <c r="DE1347" s="219"/>
      <c r="DF1347" s="166"/>
      <c r="DG1347" s="116"/>
      <c r="DH1347" s="117"/>
      <c r="DI1347" s="24"/>
      <c r="DJ1347" s="24"/>
      <c r="DK1347" s="24"/>
      <c r="DL1347" s="24"/>
      <c r="DM1347" s="24"/>
      <c r="DN1347" s="24"/>
      <c r="DO1347" s="24"/>
      <c r="DP1347" s="24"/>
      <c r="DQ1347" s="24"/>
      <c r="DR1347" s="24"/>
      <c r="DS1347" s="24"/>
      <c r="DT1347" s="24"/>
      <c r="DU1347" s="24"/>
    </row>
    <row r="1348" spans="1:125" s="8" customFormat="1" ht="96" x14ac:dyDescent="0.2">
      <c r="A1348" s="226">
        <v>41366</v>
      </c>
      <c r="B1348" s="225" t="s">
        <v>2700</v>
      </c>
      <c r="C1348" s="227" t="s">
        <v>550</v>
      </c>
      <c r="D1348" s="81" t="s">
        <v>2846</v>
      </c>
      <c r="E1348" s="75" t="str">
        <f>VLOOKUP(B1348&amp;C1348,Divipola!$C$2:$F$1138,4,FALSE)</f>
        <v>15377</v>
      </c>
      <c r="F1348" s="87"/>
      <c r="G1348" s="87"/>
      <c r="H1348" s="87"/>
      <c r="I1348" s="87"/>
      <c r="J1348" s="87"/>
      <c r="K1348" s="87"/>
      <c r="L1348" s="87"/>
      <c r="M1348" s="87"/>
      <c r="N1348" s="87"/>
      <c r="O1348" s="87"/>
      <c r="P1348" s="87"/>
      <c r="Q1348" s="87"/>
      <c r="R1348" s="87"/>
      <c r="S1348" s="87"/>
      <c r="T1348" s="87"/>
      <c r="U1348" s="88">
        <v>20</v>
      </c>
      <c r="V1348" s="89"/>
      <c r="W1348" s="96">
        <v>0</v>
      </c>
      <c r="X1348" s="71">
        <f>CU1348</f>
        <v>0</v>
      </c>
      <c r="Y1348" s="71">
        <f>CY1348</f>
        <v>0</v>
      </c>
      <c r="Z1348" s="71">
        <f>DA1348+DC1348+DE1348</f>
        <v>0</v>
      </c>
      <c r="AA1348" s="71">
        <f>CW1348</f>
        <v>0</v>
      </c>
      <c r="AB1348" s="71"/>
      <c r="AC1348" s="71">
        <v>0</v>
      </c>
      <c r="AD1348" s="71">
        <f>W1348+X1348+Y1348+Z1348+AA1348+AB1348+AC1348</f>
        <v>0</v>
      </c>
      <c r="AE1348" s="72">
        <v>0</v>
      </c>
      <c r="AF1348" s="5"/>
      <c r="AG1348" s="6"/>
      <c r="AH1348" s="27" t="s">
        <v>3392</v>
      </c>
      <c r="AI1348" s="44" t="s">
        <v>3393</v>
      </c>
      <c r="AJ1348" s="26"/>
      <c r="AK1348" s="5"/>
      <c r="AL1348" s="82" t="s">
        <v>4164</v>
      </c>
      <c r="AM1348" s="76"/>
      <c r="AN1348" s="76"/>
      <c r="AO1348" s="76"/>
      <c r="AP1348" s="76"/>
      <c r="AQ1348" s="76"/>
      <c r="AR1348" s="76"/>
      <c r="AS1348" s="76"/>
      <c r="AT1348" s="76"/>
      <c r="AU1348" s="76"/>
      <c r="AV1348" s="76"/>
      <c r="AW1348" s="76"/>
      <c r="AX1348" s="76">
        <f>+AW1348*600000</f>
        <v>0</v>
      </c>
      <c r="AY1348" s="76"/>
      <c r="AZ1348" s="76">
        <f>+AY1348*70000</f>
        <v>0</v>
      </c>
      <c r="BA1348" s="76"/>
      <c r="BB1348" s="76"/>
      <c r="BC1348" s="76"/>
      <c r="BD1348" s="76">
        <f>+BC1348*30000</f>
        <v>0</v>
      </c>
      <c r="BE1348" s="76"/>
      <c r="BF1348" s="76"/>
      <c r="BG1348" s="76"/>
      <c r="BH1348" s="76"/>
      <c r="BI1348" s="76"/>
      <c r="BJ1348" s="76"/>
      <c r="BK1348" s="76"/>
      <c r="BL1348" s="76">
        <f>+BK1348*31500</f>
        <v>0</v>
      </c>
      <c r="BM1348" s="76"/>
      <c r="BN1348" s="76"/>
      <c r="BO1348" s="76"/>
      <c r="BP1348" s="76"/>
      <c r="BQ1348" s="76"/>
      <c r="BR1348" s="76"/>
      <c r="BS1348" s="76"/>
      <c r="BT1348" s="76"/>
      <c r="BU1348" s="76"/>
      <c r="BV1348" s="76"/>
      <c r="BW1348" s="76"/>
      <c r="BX1348" s="76"/>
      <c r="BY1348" s="76"/>
      <c r="BZ1348" s="76"/>
      <c r="CA1348" s="76"/>
      <c r="CB1348" s="76"/>
      <c r="CC1348" s="76"/>
      <c r="CD1348" s="76"/>
      <c r="CE1348" s="76"/>
      <c r="CF1348" s="76">
        <f>+CE1348*28000</f>
        <v>0</v>
      </c>
      <c r="CG1348" s="76"/>
      <c r="CH1348" s="76">
        <f>+CG1348*22500</f>
        <v>0</v>
      </c>
      <c r="CI1348" s="76"/>
      <c r="CJ1348" s="76">
        <f>+CI1348*26000</f>
        <v>0</v>
      </c>
      <c r="CK1348" s="76"/>
      <c r="CL1348" s="76"/>
      <c r="CM1348" s="76"/>
      <c r="CN1348" s="76">
        <f>+CM1348*22000</f>
        <v>0</v>
      </c>
      <c r="CO1348" s="76"/>
      <c r="CP1348" s="76">
        <f>+CO1348*46000</f>
        <v>0</v>
      </c>
      <c r="CQ1348" s="76"/>
      <c r="CR1348" s="76">
        <f>+CQ1348*49000</f>
        <v>0</v>
      </c>
      <c r="CS1348" s="76"/>
      <c r="CT1348" s="76"/>
      <c r="CU1348" s="56">
        <f>AN1348+AP1348+AR1348+AT1348+AV1348+AX1348+AZ1348+BB1348+BD1348+BF1348+BH1348+BJ1348+BL1348+BN1348+BP1348+BR1348+BT1348+BV1348+BX1348+BZ1348+CB1348+CD1348+CF1348+CH1348+CJ1348+CL1348+CN1348+CP1348+CR1348+CT1348</f>
        <v>0</v>
      </c>
      <c r="CV1348" s="76"/>
      <c r="CW1348" s="76">
        <f>+CV1348*1100</f>
        <v>0</v>
      </c>
      <c r="CX1348" s="76"/>
      <c r="CY1348" s="76">
        <f>+CX1348*106250</f>
        <v>0</v>
      </c>
      <c r="CZ1348" s="76"/>
      <c r="DA1348" s="76">
        <f>+CZ1348*34500</f>
        <v>0</v>
      </c>
      <c r="DB1348" s="76"/>
      <c r="DC1348" s="76">
        <f>+DB1348*25000</f>
        <v>0</v>
      </c>
      <c r="DD1348" s="219"/>
      <c r="DE1348" s="219"/>
      <c r="DF1348" s="166"/>
      <c r="DG1348" s="116"/>
      <c r="DH1348" s="117"/>
      <c r="DI1348" s="24"/>
      <c r="DJ1348" s="24"/>
      <c r="DK1348" s="24"/>
      <c r="DL1348" s="24"/>
      <c r="DM1348" s="24"/>
      <c r="DN1348" s="24"/>
      <c r="DO1348" s="24"/>
      <c r="DP1348" s="24"/>
      <c r="DQ1348" s="24"/>
      <c r="DR1348" s="24"/>
      <c r="DS1348" s="24"/>
      <c r="DT1348" s="24"/>
      <c r="DU1348" s="24"/>
    </row>
    <row r="1349" spans="1:125" s="8" customFormat="1" ht="48" x14ac:dyDescent="0.2">
      <c r="A1349" s="226">
        <v>41366</v>
      </c>
      <c r="B1349" s="225" t="s">
        <v>2854</v>
      </c>
      <c r="C1349" s="227" t="s">
        <v>2698</v>
      </c>
      <c r="D1349" s="227" t="s">
        <v>2882</v>
      </c>
      <c r="E1349" s="75" t="str">
        <f>VLOOKUP(B1349&amp;C1349,Divipola!$C$2:$F$1138,4,FALSE)</f>
        <v>19780</v>
      </c>
      <c r="F1349" s="87"/>
      <c r="G1349" s="87"/>
      <c r="H1349" s="87"/>
      <c r="I1349" s="87">
        <v>225</v>
      </c>
      <c r="J1349" s="87">
        <v>45</v>
      </c>
      <c r="K1349" s="87"/>
      <c r="L1349" s="87">
        <v>45</v>
      </c>
      <c r="M1349" s="87"/>
      <c r="N1349" s="87"/>
      <c r="O1349" s="87"/>
      <c r="P1349" s="87"/>
      <c r="Q1349" s="87"/>
      <c r="R1349" s="87"/>
      <c r="S1349" s="87"/>
      <c r="T1349" s="87"/>
      <c r="U1349" s="88"/>
      <c r="V1349" s="89"/>
      <c r="W1349" s="96">
        <v>0</v>
      </c>
      <c r="X1349" s="71">
        <f>CU1349</f>
        <v>0</v>
      </c>
      <c r="Y1349" s="71">
        <f>CY1349</f>
        <v>0</v>
      </c>
      <c r="Z1349" s="71">
        <f>DA1349+DC1349+DE1349</f>
        <v>0</v>
      </c>
      <c r="AA1349" s="71">
        <f>CW1349</f>
        <v>0</v>
      </c>
      <c r="AB1349" s="71"/>
      <c r="AC1349" s="71">
        <v>0</v>
      </c>
      <c r="AD1349" s="71">
        <f>W1349+X1349+Y1349+Z1349+AA1349+AB1349+AC1349</f>
        <v>0</v>
      </c>
      <c r="AE1349" s="72">
        <v>0</v>
      </c>
      <c r="AF1349" s="5"/>
      <c r="AG1349" s="6"/>
      <c r="AH1349" s="27" t="s">
        <v>3392</v>
      </c>
      <c r="AI1349" s="44" t="s">
        <v>3393</v>
      </c>
      <c r="AJ1349" s="26"/>
      <c r="AK1349" s="5"/>
      <c r="AL1349" s="82" t="s">
        <v>4167</v>
      </c>
      <c r="AM1349" s="76"/>
      <c r="AN1349" s="76"/>
      <c r="AO1349" s="76"/>
      <c r="AP1349" s="76"/>
      <c r="AQ1349" s="76"/>
      <c r="AR1349" s="76"/>
      <c r="AS1349" s="76"/>
      <c r="AT1349" s="76"/>
      <c r="AU1349" s="76"/>
      <c r="AV1349" s="76"/>
      <c r="AW1349" s="76"/>
      <c r="AX1349" s="76">
        <f>+AW1349*600000</f>
        <v>0</v>
      </c>
      <c r="AY1349" s="76"/>
      <c r="AZ1349" s="76">
        <f>+AY1349*70000</f>
        <v>0</v>
      </c>
      <c r="BA1349" s="76"/>
      <c r="BB1349" s="76"/>
      <c r="BC1349" s="76"/>
      <c r="BD1349" s="76">
        <f>+BC1349*30000</f>
        <v>0</v>
      </c>
      <c r="BE1349" s="76"/>
      <c r="BF1349" s="76"/>
      <c r="BG1349" s="76"/>
      <c r="BH1349" s="76"/>
      <c r="BI1349" s="76"/>
      <c r="BJ1349" s="76"/>
      <c r="BK1349" s="76"/>
      <c r="BL1349" s="76">
        <f>+BK1349*31500</f>
        <v>0</v>
      </c>
      <c r="BM1349" s="76"/>
      <c r="BN1349" s="76"/>
      <c r="BO1349" s="76"/>
      <c r="BP1349" s="76"/>
      <c r="BQ1349" s="76"/>
      <c r="BR1349" s="76"/>
      <c r="BS1349" s="76"/>
      <c r="BT1349" s="76"/>
      <c r="BU1349" s="76"/>
      <c r="BV1349" s="76"/>
      <c r="BW1349" s="76"/>
      <c r="BX1349" s="76"/>
      <c r="BY1349" s="76"/>
      <c r="BZ1349" s="76"/>
      <c r="CA1349" s="76"/>
      <c r="CB1349" s="76"/>
      <c r="CC1349" s="76"/>
      <c r="CD1349" s="76"/>
      <c r="CE1349" s="76"/>
      <c r="CF1349" s="76">
        <f>+CE1349*28000</f>
        <v>0</v>
      </c>
      <c r="CG1349" s="76"/>
      <c r="CH1349" s="76">
        <f>+CG1349*22500</f>
        <v>0</v>
      </c>
      <c r="CI1349" s="76"/>
      <c r="CJ1349" s="76">
        <f>+CI1349*26000</f>
        <v>0</v>
      </c>
      <c r="CK1349" s="76"/>
      <c r="CL1349" s="76"/>
      <c r="CM1349" s="76"/>
      <c r="CN1349" s="76">
        <f>+CM1349*22000</f>
        <v>0</v>
      </c>
      <c r="CO1349" s="76"/>
      <c r="CP1349" s="76">
        <f>+CO1349*46000</f>
        <v>0</v>
      </c>
      <c r="CQ1349" s="76"/>
      <c r="CR1349" s="76">
        <f>+CQ1349*49000</f>
        <v>0</v>
      </c>
      <c r="CS1349" s="76"/>
      <c r="CT1349" s="76"/>
      <c r="CU1349" s="56">
        <f>AN1349+AP1349+AR1349+AT1349+AV1349+AX1349+AZ1349+BB1349+BD1349+BF1349+BH1349+BJ1349+BL1349+BN1349+BP1349+BR1349+BT1349+BV1349+BX1349+BZ1349+CB1349+CD1349+CF1349+CH1349+CJ1349+CL1349+CN1349+CP1349+CR1349+CT1349</f>
        <v>0</v>
      </c>
      <c r="CV1349" s="76"/>
      <c r="CW1349" s="76">
        <f>+CV1349*1100</f>
        <v>0</v>
      </c>
      <c r="CX1349" s="76"/>
      <c r="CY1349" s="76">
        <f>+CX1349*106250</f>
        <v>0</v>
      </c>
      <c r="CZ1349" s="76"/>
      <c r="DA1349" s="76">
        <f>+CZ1349*34500</f>
        <v>0</v>
      </c>
      <c r="DB1349" s="76"/>
      <c r="DC1349" s="76">
        <f>+DB1349*25000</f>
        <v>0</v>
      </c>
      <c r="DD1349" s="219"/>
      <c r="DE1349" s="219"/>
      <c r="DF1349" s="166"/>
      <c r="DG1349" s="116"/>
      <c r="DH1349" s="117"/>
      <c r="DI1349" s="24"/>
      <c r="DJ1349" s="24"/>
      <c r="DK1349" s="24"/>
      <c r="DL1349" s="24"/>
      <c r="DM1349" s="24"/>
      <c r="DN1349" s="24"/>
      <c r="DO1349" s="24"/>
      <c r="DP1349" s="24"/>
      <c r="DQ1349" s="24"/>
      <c r="DR1349" s="24"/>
      <c r="DS1349" s="24"/>
      <c r="DT1349" s="24"/>
      <c r="DU1349" s="24"/>
    </row>
    <row r="1350" spans="1:125" s="8" customFormat="1" ht="60" x14ac:dyDescent="0.2">
      <c r="A1350" s="226">
        <v>41366</v>
      </c>
      <c r="B1350" s="225" t="s">
        <v>2718</v>
      </c>
      <c r="C1350" s="227" t="s">
        <v>1001</v>
      </c>
      <c r="D1350" s="81" t="s">
        <v>2846</v>
      </c>
      <c r="E1350" s="75" t="str">
        <f>VLOOKUP(B1350&amp;C1350,Divipola!$C$2:$F$1138,4,FALSE)</f>
        <v>23807</v>
      </c>
      <c r="F1350" s="87"/>
      <c r="G1350" s="87"/>
      <c r="H1350" s="87"/>
      <c r="I1350" s="87"/>
      <c r="J1350" s="87"/>
      <c r="K1350" s="87"/>
      <c r="L1350" s="87"/>
      <c r="M1350" s="87"/>
      <c r="N1350" s="87"/>
      <c r="O1350" s="87"/>
      <c r="P1350" s="87"/>
      <c r="Q1350" s="87"/>
      <c r="R1350" s="87"/>
      <c r="S1350" s="87"/>
      <c r="T1350" s="87"/>
      <c r="U1350" s="88">
        <v>150</v>
      </c>
      <c r="V1350" s="89"/>
      <c r="W1350" s="96">
        <v>0</v>
      </c>
      <c r="X1350" s="71">
        <f>CU1350</f>
        <v>0</v>
      </c>
      <c r="Y1350" s="71">
        <f>CY1350</f>
        <v>0</v>
      </c>
      <c r="Z1350" s="71">
        <f>DA1350+DC1350+DE1350</f>
        <v>0</v>
      </c>
      <c r="AA1350" s="71">
        <f>CW1350</f>
        <v>0</v>
      </c>
      <c r="AB1350" s="71"/>
      <c r="AC1350" s="71">
        <v>0</v>
      </c>
      <c r="AD1350" s="71">
        <f>W1350+X1350+Y1350+Z1350+AA1350+AB1350+AC1350</f>
        <v>0</v>
      </c>
      <c r="AE1350" s="72">
        <v>0</v>
      </c>
      <c r="AF1350" s="5"/>
      <c r="AG1350" s="6"/>
      <c r="AH1350" s="27" t="s">
        <v>3392</v>
      </c>
      <c r="AI1350" s="44" t="s">
        <v>3393</v>
      </c>
      <c r="AJ1350" s="26"/>
      <c r="AK1350" s="5"/>
      <c r="AL1350" s="82" t="s">
        <v>4166</v>
      </c>
      <c r="AM1350" s="76"/>
      <c r="AN1350" s="76"/>
      <c r="AO1350" s="76"/>
      <c r="AP1350" s="76"/>
      <c r="AQ1350" s="76"/>
      <c r="AR1350" s="76"/>
      <c r="AS1350" s="76"/>
      <c r="AT1350" s="76"/>
      <c r="AU1350" s="76"/>
      <c r="AV1350" s="76"/>
      <c r="AW1350" s="76"/>
      <c r="AX1350" s="76">
        <f>+AW1350*600000</f>
        <v>0</v>
      </c>
      <c r="AY1350" s="76"/>
      <c r="AZ1350" s="76">
        <f>+AY1350*70000</f>
        <v>0</v>
      </c>
      <c r="BA1350" s="76"/>
      <c r="BB1350" s="76"/>
      <c r="BC1350" s="76"/>
      <c r="BD1350" s="76">
        <f>+BC1350*30000</f>
        <v>0</v>
      </c>
      <c r="BE1350" s="76"/>
      <c r="BF1350" s="76"/>
      <c r="BG1350" s="76"/>
      <c r="BH1350" s="76"/>
      <c r="BI1350" s="76"/>
      <c r="BJ1350" s="76"/>
      <c r="BK1350" s="76"/>
      <c r="BL1350" s="76">
        <f>+BK1350*31500</f>
        <v>0</v>
      </c>
      <c r="BM1350" s="76"/>
      <c r="BN1350" s="76"/>
      <c r="BO1350" s="76"/>
      <c r="BP1350" s="76"/>
      <c r="BQ1350" s="76"/>
      <c r="BR1350" s="76"/>
      <c r="BS1350" s="76"/>
      <c r="BT1350" s="76"/>
      <c r="BU1350" s="76"/>
      <c r="BV1350" s="76"/>
      <c r="BW1350" s="76"/>
      <c r="BX1350" s="76"/>
      <c r="BY1350" s="76"/>
      <c r="BZ1350" s="76"/>
      <c r="CA1350" s="76"/>
      <c r="CB1350" s="76"/>
      <c r="CC1350" s="76"/>
      <c r="CD1350" s="76"/>
      <c r="CE1350" s="76"/>
      <c r="CF1350" s="76">
        <f>+CE1350*28000</f>
        <v>0</v>
      </c>
      <c r="CG1350" s="76"/>
      <c r="CH1350" s="76">
        <f>+CG1350*22500</f>
        <v>0</v>
      </c>
      <c r="CI1350" s="76"/>
      <c r="CJ1350" s="76">
        <f>+CI1350*26000</f>
        <v>0</v>
      </c>
      <c r="CK1350" s="76"/>
      <c r="CL1350" s="76"/>
      <c r="CM1350" s="76"/>
      <c r="CN1350" s="76">
        <f>+CM1350*22000</f>
        <v>0</v>
      </c>
      <c r="CO1350" s="76"/>
      <c r="CP1350" s="76">
        <f>+CO1350*46000</f>
        <v>0</v>
      </c>
      <c r="CQ1350" s="76"/>
      <c r="CR1350" s="76">
        <f>+CQ1350*49000</f>
        <v>0</v>
      </c>
      <c r="CS1350" s="76"/>
      <c r="CT1350" s="76"/>
      <c r="CU1350" s="56">
        <f>AN1350+AP1350+AR1350+AT1350+AV1350+AX1350+AZ1350+BB1350+BD1350+BF1350+BH1350+BJ1350+BL1350+BN1350+BP1350+BR1350+BT1350+BV1350+BX1350+BZ1350+CB1350+CD1350+CF1350+CH1350+CJ1350+CL1350+CN1350+CP1350+CR1350+CT1350</f>
        <v>0</v>
      </c>
      <c r="CV1350" s="76"/>
      <c r="CW1350" s="76">
        <f>+CV1350*1100</f>
        <v>0</v>
      </c>
      <c r="CX1350" s="76"/>
      <c r="CY1350" s="76">
        <f>+CX1350*106250</f>
        <v>0</v>
      </c>
      <c r="CZ1350" s="76"/>
      <c r="DA1350" s="76">
        <f>+CZ1350*34500</f>
        <v>0</v>
      </c>
      <c r="DB1350" s="76"/>
      <c r="DC1350" s="76">
        <f>+DB1350*25000</f>
        <v>0</v>
      </c>
      <c r="DD1350" s="219"/>
      <c r="DE1350" s="219"/>
      <c r="DF1350" s="166"/>
      <c r="DG1350" s="116"/>
      <c r="DH1350" s="117"/>
      <c r="DI1350" s="24"/>
      <c r="DJ1350" s="24"/>
      <c r="DK1350" s="24"/>
      <c r="DL1350" s="24"/>
      <c r="DM1350" s="24"/>
      <c r="DN1350" s="24"/>
      <c r="DO1350" s="24"/>
      <c r="DP1350" s="24"/>
      <c r="DQ1350" s="24"/>
      <c r="DR1350" s="24"/>
      <c r="DS1350" s="24"/>
      <c r="DT1350" s="24"/>
      <c r="DU1350" s="24"/>
    </row>
    <row r="1351" spans="1:125" s="8" customFormat="1" ht="120" x14ac:dyDescent="0.2">
      <c r="A1351" s="226">
        <v>41366</v>
      </c>
      <c r="B1351" s="225" t="s">
        <v>2906</v>
      </c>
      <c r="C1351" s="227" t="s">
        <v>429</v>
      </c>
      <c r="D1351" s="227" t="s">
        <v>2859</v>
      </c>
      <c r="E1351" s="75" t="str">
        <f>VLOOKUP(B1351&amp;C1351,Divipola!$C$2:$F$1138,4,FALSE)</f>
        <v>47189</v>
      </c>
      <c r="F1351" s="87"/>
      <c r="G1351" s="87"/>
      <c r="H1351" s="87"/>
      <c r="I1351" s="87"/>
      <c r="J1351" s="87"/>
      <c r="K1351" s="87"/>
      <c r="L1351" s="87"/>
      <c r="M1351" s="87"/>
      <c r="N1351" s="87"/>
      <c r="O1351" s="87"/>
      <c r="P1351" s="87"/>
      <c r="Q1351" s="87"/>
      <c r="R1351" s="87"/>
      <c r="S1351" s="87"/>
      <c r="T1351" s="87"/>
      <c r="U1351" s="88"/>
      <c r="V1351" s="89"/>
      <c r="W1351" s="96">
        <v>0</v>
      </c>
      <c r="X1351" s="71">
        <f>CU1351</f>
        <v>0</v>
      </c>
      <c r="Y1351" s="71">
        <f>CY1351</f>
        <v>0</v>
      </c>
      <c r="Z1351" s="71">
        <f>DA1351+DC1351+DE1351</f>
        <v>0</v>
      </c>
      <c r="AA1351" s="71">
        <f>CW1351</f>
        <v>0</v>
      </c>
      <c r="AB1351" s="71"/>
      <c r="AC1351" s="71">
        <v>0</v>
      </c>
      <c r="AD1351" s="71">
        <f>W1351+X1351+Y1351+Z1351+AA1351+AB1351+AC1351</f>
        <v>0</v>
      </c>
      <c r="AE1351" s="72">
        <v>0</v>
      </c>
      <c r="AF1351" s="5"/>
      <c r="AG1351" s="6"/>
      <c r="AH1351" s="27" t="s">
        <v>3392</v>
      </c>
      <c r="AI1351" s="44" t="s">
        <v>3393</v>
      </c>
      <c r="AJ1351" s="26"/>
      <c r="AK1351" s="5"/>
      <c r="AL1351" s="82" t="s">
        <v>4171</v>
      </c>
      <c r="AM1351" s="76"/>
      <c r="AN1351" s="76"/>
      <c r="AO1351" s="76"/>
      <c r="AP1351" s="76"/>
      <c r="AQ1351" s="76"/>
      <c r="AR1351" s="76"/>
      <c r="AS1351" s="76"/>
      <c r="AT1351" s="76"/>
      <c r="AU1351" s="76"/>
      <c r="AV1351" s="76"/>
      <c r="AW1351" s="76"/>
      <c r="AX1351" s="76">
        <f>+AW1351*600000</f>
        <v>0</v>
      </c>
      <c r="AY1351" s="76"/>
      <c r="AZ1351" s="76">
        <f>+AY1351*70000</f>
        <v>0</v>
      </c>
      <c r="BA1351" s="76"/>
      <c r="BB1351" s="76"/>
      <c r="BC1351" s="76"/>
      <c r="BD1351" s="76">
        <f>+BC1351*30000</f>
        <v>0</v>
      </c>
      <c r="BE1351" s="76"/>
      <c r="BF1351" s="76"/>
      <c r="BG1351" s="76"/>
      <c r="BH1351" s="76"/>
      <c r="BI1351" s="76"/>
      <c r="BJ1351" s="76"/>
      <c r="BK1351" s="76"/>
      <c r="BL1351" s="76">
        <f>+BK1351*31500</f>
        <v>0</v>
      </c>
      <c r="BM1351" s="76"/>
      <c r="BN1351" s="76"/>
      <c r="BO1351" s="76"/>
      <c r="BP1351" s="76"/>
      <c r="BQ1351" s="76"/>
      <c r="BR1351" s="76"/>
      <c r="BS1351" s="76"/>
      <c r="BT1351" s="76"/>
      <c r="BU1351" s="76"/>
      <c r="BV1351" s="76"/>
      <c r="BW1351" s="76"/>
      <c r="BX1351" s="76"/>
      <c r="BY1351" s="76"/>
      <c r="BZ1351" s="76"/>
      <c r="CA1351" s="76"/>
      <c r="CB1351" s="76"/>
      <c r="CC1351" s="76"/>
      <c r="CD1351" s="76"/>
      <c r="CE1351" s="76"/>
      <c r="CF1351" s="76">
        <f>+CE1351*28000</f>
        <v>0</v>
      </c>
      <c r="CG1351" s="76"/>
      <c r="CH1351" s="76">
        <f>+CG1351*22500</f>
        <v>0</v>
      </c>
      <c r="CI1351" s="76"/>
      <c r="CJ1351" s="76">
        <f>+CI1351*26000</f>
        <v>0</v>
      </c>
      <c r="CK1351" s="76"/>
      <c r="CL1351" s="76"/>
      <c r="CM1351" s="76"/>
      <c r="CN1351" s="76">
        <f>+CM1351*22000</f>
        <v>0</v>
      </c>
      <c r="CO1351" s="76"/>
      <c r="CP1351" s="76">
        <f>+CO1351*46000</f>
        <v>0</v>
      </c>
      <c r="CQ1351" s="76"/>
      <c r="CR1351" s="76">
        <f>+CQ1351*49000</f>
        <v>0</v>
      </c>
      <c r="CS1351" s="76"/>
      <c r="CT1351" s="76"/>
      <c r="CU1351" s="56">
        <f>AN1351+AP1351+AR1351+AT1351+AV1351+AX1351+AZ1351+BB1351+BD1351+BF1351+BH1351+BJ1351+BL1351+BN1351+BP1351+BR1351+BT1351+BV1351+BX1351+BZ1351+CB1351+CD1351+CF1351+CH1351+CJ1351+CL1351+CN1351+CP1351+CR1351+CT1351</f>
        <v>0</v>
      </c>
      <c r="CV1351" s="76"/>
      <c r="CW1351" s="76">
        <f>+CV1351*1100</f>
        <v>0</v>
      </c>
      <c r="CX1351" s="76"/>
      <c r="CY1351" s="76">
        <f>+CX1351*106250</f>
        <v>0</v>
      </c>
      <c r="CZ1351" s="76"/>
      <c r="DA1351" s="76">
        <f>+CZ1351*34500</f>
        <v>0</v>
      </c>
      <c r="DB1351" s="76"/>
      <c r="DC1351" s="76">
        <f>+DB1351*25000</f>
        <v>0</v>
      </c>
      <c r="DD1351" s="219"/>
      <c r="DE1351" s="219"/>
      <c r="DF1351" s="166"/>
      <c r="DG1351" s="116"/>
      <c r="DH1351" s="117"/>
      <c r="DI1351" s="24"/>
      <c r="DJ1351" s="24"/>
      <c r="DK1351" s="24"/>
      <c r="DL1351" s="24"/>
      <c r="DM1351" s="24"/>
      <c r="DN1351" s="24"/>
      <c r="DO1351" s="24"/>
      <c r="DP1351" s="24"/>
      <c r="DQ1351" s="24"/>
      <c r="DR1351" s="24"/>
      <c r="DS1351" s="24"/>
      <c r="DT1351" s="24"/>
      <c r="DU1351" s="24"/>
    </row>
    <row r="1352" spans="1:125" s="8" customFormat="1" ht="48" x14ac:dyDescent="0.2">
      <c r="A1352" s="77">
        <v>41366</v>
      </c>
      <c r="B1352" s="78" t="s">
        <v>2880</v>
      </c>
      <c r="C1352" s="75" t="s">
        <v>482</v>
      </c>
      <c r="D1352" s="75" t="s">
        <v>3051</v>
      </c>
      <c r="E1352" s="75" t="str">
        <f>VLOOKUP(B1352&amp;C1352,Divipola!$C$2:$F$1138,4,FALSE)</f>
        <v>54051</v>
      </c>
      <c r="F1352" s="163"/>
      <c r="G1352" s="163"/>
      <c r="H1352" s="163"/>
      <c r="I1352" s="163"/>
      <c r="J1352" s="163"/>
      <c r="K1352" s="163"/>
      <c r="L1352" s="163"/>
      <c r="M1352" s="163"/>
      <c r="N1352" s="163"/>
      <c r="O1352" s="163"/>
      <c r="P1352" s="163"/>
      <c r="Q1352" s="163"/>
      <c r="R1352" s="163"/>
      <c r="S1352" s="163"/>
      <c r="T1352" s="163"/>
      <c r="U1352" s="163"/>
      <c r="V1352" s="134"/>
      <c r="W1352" s="96">
        <v>0</v>
      </c>
      <c r="X1352" s="71">
        <f>CU1352</f>
        <v>0</v>
      </c>
      <c r="Y1352" s="71">
        <f>CY1352</f>
        <v>0</v>
      </c>
      <c r="Z1352" s="71">
        <f>DA1352+DC1352+DE1352</f>
        <v>384999600</v>
      </c>
      <c r="AA1352" s="71">
        <f>CW1352</f>
        <v>0</v>
      </c>
      <c r="AB1352" s="71"/>
      <c r="AC1352" s="71">
        <v>0</v>
      </c>
      <c r="AD1352" s="71">
        <f>W1352+X1352+Y1352+Z1352+AA1352+AB1352+AC1352</f>
        <v>384999600</v>
      </c>
      <c r="AE1352" s="72">
        <v>0</v>
      </c>
      <c r="AF1352" s="5"/>
      <c r="AG1352" s="6"/>
      <c r="AH1352" s="27" t="s">
        <v>3390</v>
      </c>
      <c r="AI1352" s="44" t="s">
        <v>3391</v>
      </c>
      <c r="AJ1352" s="26"/>
      <c r="AK1352" s="5"/>
      <c r="AL1352" s="82"/>
      <c r="AM1352" s="76"/>
      <c r="AN1352" s="76"/>
      <c r="AO1352" s="76"/>
      <c r="AP1352" s="76"/>
      <c r="AQ1352" s="76"/>
      <c r="AR1352" s="76"/>
      <c r="AS1352" s="76"/>
      <c r="AT1352" s="76"/>
      <c r="AU1352" s="76"/>
      <c r="AV1352" s="76"/>
      <c r="AW1352" s="76"/>
      <c r="AX1352" s="76">
        <f>+AW1352*600000</f>
        <v>0</v>
      </c>
      <c r="AY1352" s="76"/>
      <c r="AZ1352" s="76">
        <f>+AY1352*70000</f>
        <v>0</v>
      </c>
      <c r="BA1352" s="76"/>
      <c r="BB1352" s="76"/>
      <c r="BC1352" s="76"/>
      <c r="BD1352" s="76">
        <f>+BC1352*30000</f>
        <v>0</v>
      </c>
      <c r="BE1352" s="76"/>
      <c r="BF1352" s="76"/>
      <c r="BG1352" s="76"/>
      <c r="BH1352" s="76"/>
      <c r="BI1352" s="76"/>
      <c r="BJ1352" s="76"/>
      <c r="BK1352" s="76"/>
      <c r="BL1352" s="76">
        <f>+BK1352*31500</f>
        <v>0</v>
      </c>
      <c r="BM1352" s="76"/>
      <c r="BN1352" s="76"/>
      <c r="BO1352" s="76"/>
      <c r="BP1352" s="76"/>
      <c r="BQ1352" s="76"/>
      <c r="BR1352" s="76"/>
      <c r="BS1352" s="76"/>
      <c r="BT1352" s="76"/>
      <c r="BU1352" s="76"/>
      <c r="BV1352" s="76"/>
      <c r="BW1352" s="76"/>
      <c r="BX1352" s="76"/>
      <c r="BY1352" s="76"/>
      <c r="BZ1352" s="76"/>
      <c r="CA1352" s="76"/>
      <c r="CB1352" s="76"/>
      <c r="CC1352" s="76"/>
      <c r="CD1352" s="76"/>
      <c r="CE1352" s="76"/>
      <c r="CF1352" s="76">
        <f>+CE1352*28000</f>
        <v>0</v>
      </c>
      <c r="CG1352" s="76"/>
      <c r="CH1352" s="76">
        <f>+CG1352*22500</f>
        <v>0</v>
      </c>
      <c r="CI1352" s="76"/>
      <c r="CJ1352" s="76">
        <f>+CI1352*26000</f>
        <v>0</v>
      </c>
      <c r="CK1352" s="76"/>
      <c r="CL1352" s="76"/>
      <c r="CM1352" s="76"/>
      <c r="CN1352" s="76">
        <f>+CM1352*22000</f>
        <v>0</v>
      </c>
      <c r="CO1352" s="76"/>
      <c r="CP1352" s="76">
        <f>+CO1352*46000</f>
        <v>0</v>
      </c>
      <c r="CQ1352" s="76"/>
      <c r="CR1352" s="76">
        <f>+CQ1352*49000</f>
        <v>0</v>
      </c>
      <c r="CS1352" s="76"/>
      <c r="CT1352" s="76"/>
      <c r="CU1352" s="56">
        <f>AN1352+AP1352+AR1352+AT1352+AV1352+AX1352+AZ1352+BB1352+BD1352+BF1352+BH1352+BJ1352+BL1352+BN1352+BP1352+BR1352+BT1352+BV1352+BX1352+BZ1352+CB1352+CD1352+CF1352+CH1352+CJ1352+CL1352+CN1352+CP1352+CR1352+CT1352</f>
        <v>0</v>
      </c>
      <c r="CV1352" s="76"/>
      <c r="CW1352" s="76">
        <f>+CV1352*1100</f>
        <v>0</v>
      </c>
      <c r="CX1352" s="76"/>
      <c r="CY1352" s="76">
        <f>+CX1352*106250</f>
        <v>0</v>
      </c>
      <c r="CZ1352" s="86">
        <v>1500</v>
      </c>
      <c r="DA1352" s="86">
        <f>+CZ1352*33988</f>
        <v>50982000</v>
      </c>
      <c r="DB1352" s="86">
        <v>3000</v>
      </c>
      <c r="DC1352" s="86">
        <f>+DB1352*24940</f>
        <v>74820000</v>
      </c>
      <c r="DD1352" s="222" t="s">
        <v>4385</v>
      </c>
      <c r="DE1352" s="309">
        <f>600*50460+50000*1800+500*89900+2500*6496+1600*25752+2000*17980+100*5684</f>
        <v>259197600</v>
      </c>
      <c r="DF1352" s="166"/>
      <c r="DG1352" s="134" t="s">
        <v>5156</v>
      </c>
      <c r="DH1352" s="117"/>
      <c r="DI1352" s="24"/>
      <c r="DJ1352" s="24"/>
      <c r="DK1352" s="24"/>
      <c r="DL1352" s="24"/>
      <c r="DM1352" s="24"/>
      <c r="DN1352" s="24"/>
      <c r="DO1352" s="24"/>
      <c r="DP1352" s="24"/>
      <c r="DQ1352" s="24"/>
      <c r="DR1352" s="24"/>
      <c r="DS1352" s="24"/>
      <c r="DT1352" s="24"/>
      <c r="DU1352" s="24"/>
    </row>
    <row r="1353" spans="1:125" s="8" customFormat="1" ht="72" x14ac:dyDescent="0.2">
      <c r="A1353" s="226">
        <v>41366</v>
      </c>
      <c r="B1353" s="225" t="s">
        <v>2880</v>
      </c>
      <c r="C1353" s="227" t="s">
        <v>241</v>
      </c>
      <c r="D1353" s="84" t="s">
        <v>3088</v>
      </c>
      <c r="E1353" s="75" t="str">
        <f>VLOOKUP(B1353&amp;C1353,Divipola!$C$2:$F$1138,4,FALSE)</f>
        <v>54313</v>
      </c>
      <c r="F1353" s="163"/>
      <c r="G1353" s="163"/>
      <c r="H1353" s="163"/>
      <c r="I1353" s="163"/>
      <c r="J1353" s="163"/>
      <c r="K1353" s="163"/>
      <c r="L1353" s="163"/>
      <c r="M1353" s="163"/>
      <c r="N1353" s="163"/>
      <c r="O1353" s="163"/>
      <c r="P1353" s="163"/>
      <c r="Q1353" s="163"/>
      <c r="R1353" s="163"/>
      <c r="S1353" s="163"/>
      <c r="T1353" s="163"/>
      <c r="U1353" s="163"/>
      <c r="V1353" s="134"/>
      <c r="W1353" s="96">
        <v>0</v>
      </c>
      <c r="X1353" s="71">
        <f>CU1353</f>
        <v>0</v>
      </c>
      <c r="Y1353" s="71">
        <f>CY1353</f>
        <v>0</v>
      </c>
      <c r="Z1353" s="71">
        <f>DA1353+DC1353+DE1353</f>
        <v>218710344</v>
      </c>
      <c r="AA1353" s="71">
        <f>CW1353</f>
        <v>0</v>
      </c>
      <c r="AB1353" s="71"/>
      <c r="AC1353" s="71">
        <v>0</v>
      </c>
      <c r="AD1353" s="71">
        <f>W1353+X1353+Y1353+Z1353+AA1353+AB1353+AC1353</f>
        <v>218710344</v>
      </c>
      <c r="AE1353" s="72">
        <v>0</v>
      </c>
      <c r="AF1353" s="5"/>
      <c r="AG1353" s="6"/>
      <c r="AH1353" s="27" t="s">
        <v>3390</v>
      </c>
      <c r="AI1353" s="44" t="s">
        <v>3391</v>
      </c>
      <c r="AJ1353" s="26"/>
      <c r="AK1353" s="5"/>
      <c r="AL1353" s="82" t="s">
        <v>5875</v>
      </c>
      <c r="AM1353" s="76"/>
      <c r="AN1353" s="76"/>
      <c r="AO1353" s="76"/>
      <c r="AP1353" s="76"/>
      <c r="AQ1353" s="76"/>
      <c r="AR1353" s="76"/>
      <c r="AS1353" s="76"/>
      <c r="AT1353" s="76"/>
      <c r="AU1353" s="76"/>
      <c r="AV1353" s="76"/>
      <c r="AW1353" s="76"/>
      <c r="AX1353" s="76">
        <f>+AW1353*600000</f>
        <v>0</v>
      </c>
      <c r="AY1353" s="76"/>
      <c r="AZ1353" s="76">
        <f>+AY1353*70000</f>
        <v>0</v>
      </c>
      <c r="BA1353" s="76"/>
      <c r="BB1353" s="76"/>
      <c r="BC1353" s="76"/>
      <c r="BD1353" s="76">
        <f>+BC1353*30000</f>
        <v>0</v>
      </c>
      <c r="BE1353" s="76"/>
      <c r="BF1353" s="76"/>
      <c r="BG1353" s="76"/>
      <c r="BH1353" s="76"/>
      <c r="BI1353" s="76"/>
      <c r="BJ1353" s="76"/>
      <c r="BK1353" s="76"/>
      <c r="BL1353" s="76">
        <f>+BK1353*31500</f>
        <v>0</v>
      </c>
      <c r="BM1353" s="76"/>
      <c r="BN1353" s="76"/>
      <c r="BO1353" s="76"/>
      <c r="BP1353" s="76"/>
      <c r="BQ1353" s="76"/>
      <c r="BR1353" s="76"/>
      <c r="BS1353" s="76"/>
      <c r="BT1353" s="76"/>
      <c r="BU1353" s="76"/>
      <c r="BV1353" s="76"/>
      <c r="BW1353" s="76"/>
      <c r="BX1353" s="76"/>
      <c r="BY1353" s="76"/>
      <c r="BZ1353" s="76"/>
      <c r="CA1353" s="76"/>
      <c r="CB1353" s="76"/>
      <c r="CC1353" s="76"/>
      <c r="CD1353" s="76"/>
      <c r="CE1353" s="76"/>
      <c r="CF1353" s="76">
        <f>+CE1353*28000</f>
        <v>0</v>
      </c>
      <c r="CG1353" s="76"/>
      <c r="CH1353" s="76">
        <f>+CG1353*22500</f>
        <v>0</v>
      </c>
      <c r="CI1353" s="76"/>
      <c r="CJ1353" s="76">
        <f>+CI1353*26000</f>
        <v>0</v>
      </c>
      <c r="CK1353" s="76"/>
      <c r="CL1353" s="76"/>
      <c r="CM1353" s="76"/>
      <c r="CN1353" s="76">
        <f>+CM1353*22000</f>
        <v>0</v>
      </c>
      <c r="CO1353" s="76"/>
      <c r="CP1353" s="76">
        <f>+CO1353*46000</f>
        <v>0</v>
      </c>
      <c r="CQ1353" s="76"/>
      <c r="CR1353" s="76">
        <f>+CQ1353*49000</f>
        <v>0</v>
      </c>
      <c r="CS1353" s="76"/>
      <c r="CT1353" s="76"/>
      <c r="CU1353" s="56">
        <f>AN1353+AP1353+AR1353+AT1353+AV1353+AX1353+AZ1353+BB1353+BD1353+BF1353+BH1353+BJ1353+BL1353+BN1353+BP1353+BR1353+BT1353+BV1353+BX1353+BZ1353+CB1353+CD1353+CF1353+CH1353+CJ1353+CL1353+CN1353+CP1353+CR1353+CT1353</f>
        <v>0</v>
      </c>
      <c r="CV1353" s="76"/>
      <c r="CW1353" s="76">
        <f>+CV1353*1100</f>
        <v>0</v>
      </c>
      <c r="CX1353" s="76"/>
      <c r="CY1353" s="76">
        <f>+CX1353*106250</f>
        <v>0</v>
      </c>
      <c r="CZ1353" s="76"/>
      <c r="DA1353" s="76">
        <f>+CZ1353*34500</f>
        <v>0</v>
      </c>
      <c r="DB1353" s="76"/>
      <c r="DC1353" s="76">
        <f>+DB1353*25000</f>
        <v>0</v>
      </c>
      <c r="DD1353" s="222" t="s">
        <v>4772</v>
      </c>
      <c r="DE1353" s="309">
        <v>218710344</v>
      </c>
      <c r="DF1353" s="166"/>
      <c r="DG1353" s="134" t="s">
        <v>4773</v>
      </c>
      <c r="DH1353" s="117"/>
      <c r="DI1353" s="24"/>
      <c r="DJ1353" s="24"/>
      <c r="DK1353" s="24"/>
      <c r="DL1353" s="24"/>
      <c r="DM1353" s="24"/>
      <c r="DN1353" s="24"/>
      <c r="DO1353" s="24"/>
      <c r="DP1353" s="24"/>
      <c r="DQ1353" s="24"/>
      <c r="DR1353" s="24"/>
      <c r="DS1353" s="24"/>
      <c r="DT1353" s="24"/>
      <c r="DU1353" s="24"/>
    </row>
    <row r="1354" spans="1:125" s="8" customFormat="1" ht="48" x14ac:dyDescent="0.2">
      <c r="A1354" s="77">
        <v>41366</v>
      </c>
      <c r="B1354" s="225" t="s">
        <v>2880</v>
      </c>
      <c r="C1354" s="227" t="s">
        <v>2117</v>
      </c>
      <c r="D1354" s="81" t="s">
        <v>2846</v>
      </c>
      <c r="E1354" s="75" t="str">
        <f>VLOOKUP(B1354&amp;C1354,Divipola!$C$2:$F$1138,4,FALSE)</f>
        <v>54599</v>
      </c>
      <c r="F1354" s="87"/>
      <c r="G1354" s="87"/>
      <c r="H1354" s="87"/>
      <c r="I1354" s="87"/>
      <c r="J1354" s="87"/>
      <c r="K1354" s="87"/>
      <c r="L1354" s="87"/>
      <c r="M1354" s="87"/>
      <c r="N1354" s="87"/>
      <c r="O1354" s="87"/>
      <c r="P1354" s="87"/>
      <c r="Q1354" s="87"/>
      <c r="R1354" s="87"/>
      <c r="S1354" s="87"/>
      <c r="T1354" s="87"/>
      <c r="U1354" s="88">
        <v>8</v>
      </c>
      <c r="V1354" s="89"/>
      <c r="W1354" s="96">
        <v>0</v>
      </c>
      <c r="X1354" s="71">
        <f>CU1354</f>
        <v>0</v>
      </c>
      <c r="Y1354" s="71">
        <f>CY1354</f>
        <v>0</v>
      </c>
      <c r="Z1354" s="71">
        <f>DA1354+DC1354+DE1354</f>
        <v>0</v>
      </c>
      <c r="AA1354" s="71">
        <f>CW1354</f>
        <v>0</v>
      </c>
      <c r="AB1354" s="71"/>
      <c r="AC1354" s="71">
        <v>0</v>
      </c>
      <c r="AD1354" s="71">
        <f>W1354+X1354+Y1354+Z1354+AA1354+AB1354+AC1354</f>
        <v>0</v>
      </c>
      <c r="AE1354" s="72">
        <v>0</v>
      </c>
      <c r="AF1354" s="5"/>
      <c r="AG1354" s="6"/>
      <c r="AH1354" s="27" t="s">
        <v>3392</v>
      </c>
      <c r="AI1354" s="44" t="s">
        <v>3393</v>
      </c>
      <c r="AJ1354" s="26"/>
      <c r="AK1354" s="5"/>
      <c r="AL1354" s="82" t="s">
        <v>4177</v>
      </c>
      <c r="AM1354" s="76"/>
      <c r="AN1354" s="76"/>
      <c r="AO1354" s="76"/>
      <c r="AP1354" s="76"/>
      <c r="AQ1354" s="76"/>
      <c r="AR1354" s="76"/>
      <c r="AS1354" s="76"/>
      <c r="AT1354" s="76"/>
      <c r="AU1354" s="76"/>
      <c r="AV1354" s="76"/>
      <c r="AW1354" s="76"/>
      <c r="AX1354" s="76">
        <f>+AW1354*600000</f>
        <v>0</v>
      </c>
      <c r="AY1354" s="76"/>
      <c r="AZ1354" s="76">
        <f>+AY1354*70000</f>
        <v>0</v>
      </c>
      <c r="BA1354" s="76"/>
      <c r="BB1354" s="76"/>
      <c r="BC1354" s="76"/>
      <c r="BD1354" s="76">
        <f>+BC1354*30000</f>
        <v>0</v>
      </c>
      <c r="BE1354" s="76"/>
      <c r="BF1354" s="76"/>
      <c r="BG1354" s="76"/>
      <c r="BH1354" s="76"/>
      <c r="BI1354" s="76"/>
      <c r="BJ1354" s="76"/>
      <c r="BK1354" s="76"/>
      <c r="BL1354" s="76">
        <f>+BK1354*31500</f>
        <v>0</v>
      </c>
      <c r="BM1354" s="76"/>
      <c r="BN1354" s="76"/>
      <c r="BO1354" s="76"/>
      <c r="BP1354" s="76"/>
      <c r="BQ1354" s="76"/>
      <c r="BR1354" s="76"/>
      <c r="BS1354" s="76"/>
      <c r="BT1354" s="76"/>
      <c r="BU1354" s="76"/>
      <c r="BV1354" s="76"/>
      <c r="BW1354" s="76"/>
      <c r="BX1354" s="76"/>
      <c r="BY1354" s="76"/>
      <c r="BZ1354" s="76"/>
      <c r="CA1354" s="76"/>
      <c r="CB1354" s="76"/>
      <c r="CC1354" s="76"/>
      <c r="CD1354" s="76"/>
      <c r="CE1354" s="76"/>
      <c r="CF1354" s="76">
        <f>+CE1354*28000</f>
        <v>0</v>
      </c>
      <c r="CG1354" s="76"/>
      <c r="CH1354" s="76">
        <f>+CG1354*22500</f>
        <v>0</v>
      </c>
      <c r="CI1354" s="76"/>
      <c r="CJ1354" s="76">
        <f>+CI1354*26000</f>
        <v>0</v>
      </c>
      <c r="CK1354" s="76"/>
      <c r="CL1354" s="76"/>
      <c r="CM1354" s="76"/>
      <c r="CN1354" s="76">
        <f>+CM1354*22000</f>
        <v>0</v>
      </c>
      <c r="CO1354" s="76"/>
      <c r="CP1354" s="76">
        <f>+CO1354*46000</f>
        <v>0</v>
      </c>
      <c r="CQ1354" s="76"/>
      <c r="CR1354" s="76">
        <f>+CQ1354*49000</f>
        <v>0</v>
      </c>
      <c r="CS1354" s="76"/>
      <c r="CT1354" s="76"/>
      <c r="CU1354" s="56">
        <f>AN1354+AP1354+AR1354+AT1354+AV1354+AX1354+AZ1354+BB1354+BD1354+BF1354+BH1354+BJ1354+BL1354+BN1354+BP1354+BR1354+BT1354+BV1354+BX1354+BZ1354+CB1354+CD1354+CF1354+CH1354+CJ1354+CL1354+CN1354+CP1354+CR1354+CT1354</f>
        <v>0</v>
      </c>
      <c r="CV1354" s="76"/>
      <c r="CW1354" s="76">
        <f>+CV1354*1100</f>
        <v>0</v>
      </c>
      <c r="CX1354" s="76"/>
      <c r="CY1354" s="76">
        <f>+CX1354*106250</f>
        <v>0</v>
      </c>
      <c r="CZ1354" s="76"/>
      <c r="DA1354" s="76">
        <f>+CZ1354*34500</f>
        <v>0</v>
      </c>
      <c r="DB1354" s="76"/>
      <c r="DC1354" s="76">
        <f>+DB1354*25000</f>
        <v>0</v>
      </c>
      <c r="DD1354" s="219"/>
      <c r="DE1354" s="219"/>
      <c r="DF1354" s="166"/>
      <c r="DG1354" s="116"/>
      <c r="DH1354" s="117"/>
      <c r="DI1354" s="24"/>
      <c r="DJ1354" s="24"/>
      <c r="DK1354" s="24"/>
      <c r="DL1354" s="24"/>
      <c r="DM1354" s="24"/>
      <c r="DN1354" s="24"/>
      <c r="DO1354" s="24"/>
      <c r="DP1354" s="24"/>
      <c r="DQ1354" s="24"/>
      <c r="DR1354" s="24"/>
      <c r="DS1354" s="24"/>
      <c r="DT1354" s="24"/>
      <c r="DU1354" s="24"/>
    </row>
    <row r="1355" spans="1:125" s="8" customFormat="1" ht="108" x14ac:dyDescent="0.2">
      <c r="A1355" s="226">
        <v>41366</v>
      </c>
      <c r="B1355" s="352" t="s">
        <v>2847</v>
      </c>
      <c r="C1355" s="354" t="s">
        <v>2684</v>
      </c>
      <c r="D1355" s="75" t="s">
        <v>3051</v>
      </c>
      <c r="E1355" s="75" t="str">
        <f>VLOOKUP(B1355&amp;C1355,Divipola!$C$2:$F$1138,4,FALSE)</f>
        <v>68081</v>
      </c>
      <c r="F1355" s="87"/>
      <c r="G1355" s="87"/>
      <c r="H1355" s="87"/>
      <c r="I1355" s="87">
        <v>120</v>
      </c>
      <c r="J1355" s="87">
        <v>24</v>
      </c>
      <c r="K1355" s="87"/>
      <c r="L1355" s="87">
        <v>24</v>
      </c>
      <c r="M1355" s="87"/>
      <c r="N1355" s="87"/>
      <c r="O1355" s="87"/>
      <c r="P1355" s="87"/>
      <c r="Q1355" s="87"/>
      <c r="R1355" s="87"/>
      <c r="S1355" s="87"/>
      <c r="T1355" s="87"/>
      <c r="U1355" s="88"/>
      <c r="V1355" s="89"/>
      <c r="W1355" s="96">
        <v>0</v>
      </c>
      <c r="X1355" s="71">
        <f>CU1355</f>
        <v>0</v>
      </c>
      <c r="Y1355" s="71">
        <f>CY1355</f>
        <v>0</v>
      </c>
      <c r="Z1355" s="71">
        <f>DA1355+DC1355+DE1355</f>
        <v>0</v>
      </c>
      <c r="AA1355" s="71">
        <f>CW1355</f>
        <v>0</v>
      </c>
      <c r="AB1355" s="71"/>
      <c r="AC1355" s="71">
        <v>0</v>
      </c>
      <c r="AD1355" s="71">
        <f>W1355+X1355+Y1355+Z1355+AA1355+AB1355+AC1355</f>
        <v>0</v>
      </c>
      <c r="AE1355" s="72">
        <v>0</v>
      </c>
      <c r="AF1355" s="5"/>
      <c r="AG1355" s="6"/>
      <c r="AH1355" s="27" t="s">
        <v>3392</v>
      </c>
      <c r="AI1355" s="44" t="s">
        <v>3393</v>
      </c>
      <c r="AJ1355" s="26"/>
      <c r="AK1355" s="5"/>
      <c r="AL1355" s="82" t="s">
        <v>4159</v>
      </c>
      <c r="AM1355" s="76"/>
      <c r="AN1355" s="76"/>
      <c r="AO1355" s="76"/>
      <c r="AP1355" s="76"/>
      <c r="AQ1355" s="76"/>
      <c r="AR1355" s="76"/>
      <c r="AS1355" s="76"/>
      <c r="AT1355" s="76"/>
      <c r="AU1355" s="76"/>
      <c r="AV1355" s="76"/>
      <c r="AW1355" s="76"/>
      <c r="AX1355" s="76">
        <f>+AW1355*600000</f>
        <v>0</v>
      </c>
      <c r="AY1355" s="76"/>
      <c r="AZ1355" s="76">
        <f>+AY1355*70000</f>
        <v>0</v>
      </c>
      <c r="BA1355" s="76"/>
      <c r="BB1355" s="76"/>
      <c r="BC1355" s="76"/>
      <c r="BD1355" s="76">
        <f>+BC1355*30000</f>
        <v>0</v>
      </c>
      <c r="BE1355" s="76"/>
      <c r="BF1355" s="76"/>
      <c r="BG1355" s="76"/>
      <c r="BH1355" s="76"/>
      <c r="BI1355" s="76"/>
      <c r="BJ1355" s="76"/>
      <c r="BK1355" s="76"/>
      <c r="BL1355" s="76">
        <f>+BK1355*31500</f>
        <v>0</v>
      </c>
      <c r="BM1355" s="76"/>
      <c r="BN1355" s="76"/>
      <c r="BO1355" s="76"/>
      <c r="BP1355" s="76"/>
      <c r="BQ1355" s="76"/>
      <c r="BR1355" s="76"/>
      <c r="BS1355" s="76"/>
      <c r="BT1355" s="76"/>
      <c r="BU1355" s="76"/>
      <c r="BV1355" s="76"/>
      <c r="BW1355" s="76"/>
      <c r="BX1355" s="76"/>
      <c r="BY1355" s="76"/>
      <c r="BZ1355" s="76"/>
      <c r="CA1355" s="76"/>
      <c r="CB1355" s="76"/>
      <c r="CC1355" s="76"/>
      <c r="CD1355" s="76"/>
      <c r="CE1355" s="76"/>
      <c r="CF1355" s="76">
        <f>+CE1355*28000</f>
        <v>0</v>
      </c>
      <c r="CG1355" s="76"/>
      <c r="CH1355" s="76">
        <f>+CG1355*22500</f>
        <v>0</v>
      </c>
      <c r="CI1355" s="76"/>
      <c r="CJ1355" s="76">
        <f>+CI1355*26000</f>
        <v>0</v>
      </c>
      <c r="CK1355" s="76"/>
      <c r="CL1355" s="76"/>
      <c r="CM1355" s="76"/>
      <c r="CN1355" s="76">
        <f>+CM1355*22000</f>
        <v>0</v>
      </c>
      <c r="CO1355" s="76"/>
      <c r="CP1355" s="76">
        <f>+CO1355*46000</f>
        <v>0</v>
      </c>
      <c r="CQ1355" s="76"/>
      <c r="CR1355" s="76">
        <f>+CQ1355*49000</f>
        <v>0</v>
      </c>
      <c r="CS1355" s="76"/>
      <c r="CT1355" s="76"/>
      <c r="CU1355" s="56">
        <f>AN1355+AP1355+AR1355+AT1355+AV1355+AX1355+AZ1355+BB1355+BD1355+BF1355+BH1355+BJ1355+BL1355+BN1355+BP1355+BR1355+BT1355+BV1355+BX1355+BZ1355+CB1355+CD1355+CF1355+CH1355+CJ1355+CL1355+CN1355+CP1355+CR1355+CT1355</f>
        <v>0</v>
      </c>
      <c r="CV1355" s="76"/>
      <c r="CW1355" s="76">
        <f>+CV1355*1100</f>
        <v>0</v>
      </c>
      <c r="CX1355" s="76"/>
      <c r="CY1355" s="76">
        <f>+CX1355*106250</f>
        <v>0</v>
      </c>
      <c r="CZ1355" s="76"/>
      <c r="DA1355" s="76">
        <f>+CZ1355*34500</f>
        <v>0</v>
      </c>
      <c r="DB1355" s="76"/>
      <c r="DC1355" s="76">
        <f>+DB1355*25000</f>
        <v>0</v>
      </c>
      <c r="DD1355" s="219"/>
      <c r="DE1355" s="219"/>
      <c r="DF1355" s="166"/>
      <c r="DG1355" s="116"/>
      <c r="DH1355" s="117"/>
      <c r="DI1355" s="24"/>
      <c r="DJ1355" s="24"/>
      <c r="DK1355" s="24"/>
      <c r="DL1355" s="24"/>
      <c r="DM1355" s="24"/>
      <c r="DN1355" s="24"/>
      <c r="DO1355" s="24"/>
      <c r="DP1355" s="24"/>
      <c r="DQ1355" s="24"/>
      <c r="DR1355" s="24"/>
      <c r="DS1355" s="24"/>
      <c r="DT1355" s="24"/>
      <c r="DU1355" s="24"/>
    </row>
    <row r="1356" spans="1:125" s="8" customFormat="1" ht="72" x14ac:dyDescent="0.2">
      <c r="A1356" s="353">
        <v>41366</v>
      </c>
      <c r="B1356" s="352" t="s">
        <v>2847</v>
      </c>
      <c r="C1356" s="354" t="s">
        <v>2684</v>
      </c>
      <c r="D1356" s="354" t="s">
        <v>2882</v>
      </c>
      <c r="E1356" s="75" t="str">
        <f>VLOOKUP(B1356&amp;C1356,Divipola!$C$2:$F$1138,4,FALSE)</f>
        <v>68081</v>
      </c>
      <c r="F1356" s="87"/>
      <c r="G1356" s="87"/>
      <c r="H1356" s="87"/>
      <c r="I1356" s="87">
        <v>5</v>
      </c>
      <c r="J1356" s="87">
        <v>1</v>
      </c>
      <c r="K1356" s="87">
        <v>1</v>
      </c>
      <c r="L1356" s="87"/>
      <c r="M1356" s="87"/>
      <c r="N1356" s="87"/>
      <c r="O1356" s="87"/>
      <c r="P1356" s="87"/>
      <c r="Q1356" s="87"/>
      <c r="R1356" s="87"/>
      <c r="S1356" s="87"/>
      <c r="T1356" s="87"/>
      <c r="U1356" s="88"/>
      <c r="V1356" s="89"/>
      <c r="W1356" s="96">
        <v>0</v>
      </c>
      <c r="X1356" s="71">
        <f>CU1356</f>
        <v>0</v>
      </c>
      <c r="Y1356" s="71">
        <f>CY1356</f>
        <v>0</v>
      </c>
      <c r="Z1356" s="71">
        <f>DA1356+DC1356+DE1356</f>
        <v>0</v>
      </c>
      <c r="AA1356" s="71">
        <f>CW1356</f>
        <v>0</v>
      </c>
      <c r="AB1356" s="71"/>
      <c r="AC1356" s="71">
        <v>0</v>
      </c>
      <c r="AD1356" s="71">
        <f>W1356+X1356+Y1356+Z1356+AA1356+AB1356+AC1356</f>
        <v>0</v>
      </c>
      <c r="AE1356" s="72">
        <v>0</v>
      </c>
      <c r="AF1356" s="5"/>
      <c r="AG1356" s="6"/>
      <c r="AH1356" s="27" t="s">
        <v>3392</v>
      </c>
      <c r="AI1356" s="44" t="s">
        <v>3393</v>
      </c>
      <c r="AJ1356" s="26"/>
      <c r="AK1356" s="5"/>
      <c r="AL1356" s="82" t="s">
        <v>4158</v>
      </c>
      <c r="AM1356" s="76"/>
      <c r="AN1356" s="76"/>
      <c r="AO1356" s="76"/>
      <c r="AP1356" s="76"/>
      <c r="AQ1356" s="76"/>
      <c r="AR1356" s="76"/>
      <c r="AS1356" s="76"/>
      <c r="AT1356" s="76"/>
      <c r="AU1356" s="76"/>
      <c r="AV1356" s="76"/>
      <c r="AW1356" s="76"/>
      <c r="AX1356" s="76">
        <f>+AW1356*600000</f>
        <v>0</v>
      </c>
      <c r="AY1356" s="76"/>
      <c r="AZ1356" s="76">
        <f>+AY1356*70000</f>
        <v>0</v>
      </c>
      <c r="BA1356" s="76"/>
      <c r="BB1356" s="76"/>
      <c r="BC1356" s="76"/>
      <c r="BD1356" s="76">
        <f>+BC1356*30000</f>
        <v>0</v>
      </c>
      <c r="BE1356" s="76"/>
      <c r="BF1356" s="76"/>
      <c r="BG1356" s="76"/>
      <c r="BH1356" s="76"/>
      <c r="BI1356" s="76"/>
      <c r="BJ1356" s="76"/>
      <c r="BK1356" s="76"/>
      <c r="BL1356" s="76">
        <f>+BK1356*31500</f>
        <v>0</v>
      </c>
      <c r="BM1356" s="76"/>
      <c r="BN1356" s="76"/>
      <c r="BO1356" s="76"/>
      <c r="BP1356" s="76"/>
      <c r="BQ1356" s="76"/>
      <c r="BR1356" s="76"/>
      <c r="BS1356" s="76"/>
      <c r="BT1356" s="76"/>
      <c r="BU1356" s="76"/>
      <c r="BV1356" s="76"/>
      <c r="BW1356" s="76"/>
      <c r="BX1356" s="76"/>
      <c r="BY1356" s="76"/>
      <c r="BZ1356" s="76"/>
      <c r="CA1356" s="76"/>
      <c r="CB1356" s="76"/>
      <c r="CC1356" s="76"/>
      <c r="CD1356" s="76"/>
      <c r="CE1356" s="76"/>
      <c r="CF1356" s="76">
        <f>+CE1356*28000</f>
        <v>0</v>
      </c>
      <c r="CG1356" s="76"/>
      <c r="CH1356" s="76">
        <f>+CG1356*22500</f>
        <v>0</v>
      </c>
      <c r="CI1356" s="76"/>
      <c r="CJ1356" s="76">
        <f>+CI1356*26000</f>
        <v>0</v>
      </c>
      <c r="CK1356" s="76"/>
      <c r="CL1356" s="76"/>
      <c r="CM1356" s="76"/>
      <c r="CN1356" s="76">
        <f>+CM1356*22000</f>
        <v>0</v>
      </c>
      <c r="CO1356" s="76"/>
      <c r="CP1356" s="76">
        <f>+CO1356*46000</f>
        <v>0</v>
      </c>
      <c r="CQ1356" s="76"/>
      <c r="CR1356" s="76">
        <f>+CQ1356*49000</f>
        <v>0</v>
      </c>
      <c r="CS1356" s="76"/>
      <c r="CT1356" s="76"/>
      <c r="CU1356" s="56">
        <f>AN1356+AP1356+AR1356+AT1356+AV1356+AX1356+AZ1356+BB1356+BD1356+BF1356+BH1356+BJ1356+BL1356+BN1356+BP1356+BR1356+BT1356+BV1356+BX1356+BZ1356+CB1356+CD1356+CF1356+CH1356+CJ1356+CL1356+CN1356+CP1356+CR1356+CT1356</f>
        <v>0</v>
      </c>
      <c r="CV1356" s="76"/>
      <c r="CW1356" s="76">
        <f>+CV1356*1100</f>
        <v>0</v>
      </c>
      <c r="CX1356" s="76"/>
      <c r="CY1356" s="76">
        <f>+CX1356*106250</f>
        <v>0</v>
      </c>
      <c r="CZ1356" s="76"/>
      <c r="DA1356" s="76">
        <f>+CZ1356*34500</f>
        <v>0</v>
      </c>
      <c r="DB1356" s="76"/>
      <c r="DC1356" s="76">
        <f>+DB1356*25000</f>
        <v>0</v>
      </c>
      <c r="DD1356" s="219"/>
      <c r="DE1356" s="219"/>
      <c r="DF1356" s="166"/>
      <c r="DG1356" s="116"/>
      <c r="DH1356" s="117"/>
      <c r="DI1356" s="24"/>
      <c r="DJ1356" s="24"/>
      <c r="DK1356" s="24"/>
      <c r="DL1356" s="24"/>
      <c r="DM1356" s="24"/>
      <c r="DN1356" s="24"/>
      <c r="DO1356" s="24"/>
      <c r="DP1356" s="24"/>
      <c r="DQ1356" s="24"/>
      <c r="DR1356" s="24"/>
      <c r="DS1356" s="24"/>
      <c r="DT1356" s="24"/>
      <c r="DU1356" s="24"/>
    </row>
    <row r="1357" spans="1:125" s="8" customFormat="1" ht="60" x14ac:dyDescent="0.2">
      <c r="A1357" s="226">
        <v>41366</v>
      </c>
      <c r="B1357" s="225" t="s">
        <v>2847</v>
      </c>
      <c r="C1357" s="227" t="s">
        <v>2673</v>
      </c>
      <c r="D1357" s="227" t="s">
        <v>2849</v>
      </c>
      <c r="E1357" s="75" t="str">
        <f>VLOOKUP(B1357&amp;C1357,Divipola!$C$2:$F$1138,4,FALSE)</f>
        <v>68001</v>
      </c>
      <c r="F1357" s="87">
        <v>1</v>
      </c>
      <c r="G1357" s="87">
        <v>1</v>
      </c>
      <c r="H1357" s="87"/>
      <c r="I1357" s="87">
        <v>2</v>
      </c>
      <c r="J1357" s="87"/>
      <c r="K1357" s="87"/>
      <c r="L1357" s="87"/>
      <c r="M1357" s="87"/>
      <c r="N1357" s="87"/>
      <c r="O1357" s="87"/>
      <c r="P1357" s="87"/>
      <c r="Q1357" s="87"/>
      <c r="R1357" s="87"/>
      <c r="S1357" s="87"/>
      <c r="T1357" s="87"/>
      <c r="U1357" s="88"/>
      <c r="V1357" s="89"/>
      <c r="W1357" s="96">
        <v>0</v>
      </c>
      <c r="X1357" s="71">
        <f>CU1357</f>
        <v>0</v>
      </c>
      <c r="Y1357" s="71">
        <f>CY1357</f>
        <v>0</v>
      </c>
      <c r="Z1357" s="71">
        <f>DA1357+DC1357+DE1357</f>
        <v>0</v>
      </c>
      <c r="AA1357" s="71">
        <f>CW1357</f>
        <v>0</v>
      </c>
      <c r="AB1357" s="71"/>
      <c r="AC1357" s="71">
        <v>0</v>
      </c>
      <c r="AD1357" s="71">
        <f>W1357+X1357+Y1357+Z1357+AA1357+AB1357+AC1357</f>
        <v>0</v>
      </c>
      <c r="AE1357" s="72">
        <v>0</v>
      </c>
      <c r="AF1357" s="5"/>
      <c r="AG1357" s="6"/>
      <c r="AH1357" s="27" t="s">
        <v>3392</v>
      </c>
      <c r="AI1357" s="44" t="s">
        <v>3393</v>
      </c>
      <c r="AJ1357" s="26"/>
      <c r="AK1357" s="5"/>
      <c r="AL1357" s="82" t="s">
        <v>4172</v>
      </c>
      <c r="AM1357" s="76"/>
      <c r="AN1357" s="76"/>
      <c r="AO1357" s="76"/>
      <c r="AP1357" s="76"/>
      <c r="AQ1357" s="76"/>
      <c r="AR1357" s="76"/>
      <c r="AS1357" s="76"/>
      <c r="AT1357" s="76"/>
      <c r="AU1357" s="76"/>
      <c r="AV1357" s="76"/>
      <c r="AW1357" s="76"/>
      <c r="AX1357" s="76">
        <f>+AW1357*600000</f>
        <v>0</v>
      </c>
      <c r="AY1357" s="76"/>
      <c r="AZ1357" s="76">
        <f>+AY1357*70000</f>
        <v>0</v>
      </c>
      <c r="BA1357" s="76"/>
      <c r="BB1357" s="76"/>
      <c r="BC1357" s="76"/>
      <c r="BD1357" s="76">
        <f>+BC1357*30000</f>
        <v>0</v>
      </c>
      <c r="BE1357" s="76"/>
      <c r="BF1357" s="76"/>
      <c r="BG1357" s="76"/>
      <c r="BH1357" s="76"/>
      <c r="BI1357" s="76"/>
      <c r="BJ1357" s="76"/>
      <c r="BK1357" s="76"/>
      <c r="BL1357" s="76">
        <f>+BK1357*31500</f>
        <v>0</v>
      </c>
      <c r="BM1357" s="76"/>
      <c r="BN1357" s="76"/>
      <c r="BO1357" s="76"/>
      <c r="BP1357" s="76"/>
      <c r="BQ1357" s="76"/>
      <c r="BR1357" s="76"/>
      <c r="BS1357" s="76"/>
      <c r="BT1357" s="76"/>
      <c r="BU1357" s="76"/>
      <c r="BV1357" s="76"/>
      <c r="BW1357" s="76"/>
      <c r="BX1357" s="76"/>
      <c r="BY1357" s="76"/>
      <c r="BZ1357" s="76"/>
      <c r="CA1357" s="76"/>
      <c r="CB1357" s="76"/>
      <c r="CC1357" s="76"/>
      <c r="CD1357" s="76"/>
      <c r="CE1357" s="76"/>
      <c r="CF1357" s="76">
        <f>+CE1357*28000</f>
        <v>0</v>
      </c>
      <c r="CG1357" s="76"/>
      <c r="CH1357" s="76">
        <f>+CG1357*22500</f>
        <v>0</v>
      </c>
      <c r="CI1357" s="76"/>
      <c r="CJ1357" s="76">
        <f>+CI1357*26000</f>
        <v>0</v>
      </c>
      <c r="CK1357" s="76"/>
      <c r="CL1357" s="76"/>
      <c r="CM1357" s="76"/>
      <c r="CN1357" s="76">
        <f>+CM1357*22000</f>
        <v>0</v>
      </c>
      <c r="CO1357" s="76"/>
      <c r="CP1357" s="76">
        <f>+CO1357*46000</f>
        <v>0</v>
      </c>
      <c r="CQ1357" s="76"/>
      <c r="CR1357" s="76">
        <f>+CQ1357*49000</f>
        <v>0</v>
      </c>
      <c r="CS1357" s="76"/>
      <c r="CT1357" s="76"/>
      <c r="CU1357" s="56">
        <f>AN1357+AP1357+AR1357+AT1357+AV1357+AX1357+AZ1357+BB1357+BD1357+BF1357+BH1357+BJ1357+BL1357+BN1357+BP1357+BR1357+BT1357+BV1357+BX1357+BZ1357+CB1357+CD1357+CF1357+CH1357+CJ1357+CL1357+CN1357+CP1357+CR1357+CT1357</f>
        <v>0</v>
      </c>
      <c r="CV1357" s="76"/>
      <c r="CW1357" s="76">
        <f>+CV1357*1100</f>
        <v>0</v>
      </c>
      <c r="CX1357" s="76"/>
      <c r="CY1357" s="76">
        <f>+CX1357*106250</f>
        <v>0</v>
      </c>
      <c r="CZ1357" s="76"/>
      <c r="DA1357" s="76">
        <f>+CZ1357*34500</f>
        <v>0</v>
      </c>
      <c r="DB1357" s="76"/>
      <c r="DC1357" s="76">
        <f>+DB1357*25000</f>
        <v>0</v>
      </c>
      <c r="DD1357" s="219"/>
      <c r="DE1357" s="219"/>
      <c r="DF1357" s="166"/>
      <c r="DG1357" s="116"/>
      <c r="DH1357" s="117"/>
      <c r="DI1357" s="24"/>
      <c r="DJ1357" s="24"/>
      <c r="DK1357" s="24"/>
      <c r="DL1357" s="24"/>
      <c r="DM1357" s="24"/>
      <c r="DN1357" s="24"/>
      <c r="DO1357" s="24"/>
      <c r="DP1357" s="24"/>
      <c r="DQ1357" s="24"/>
      <c r="DR1357" s="24"/>
      <c r="DS1357" s="24"/>
      <c r="DT1357" s="24"/>
      <c r="DU1357" s="24"/>
    </row>
    <row r="1358" spans="1:125" s="8" customFormat="1" ht="60" x14ac:dyDescent="0.2">
      <c r="A1358" s="77">
        <v>41366</v>
      </c>
      <c r="B1358" s="78" t="s">
        <v>2847</v>
      </c>
      <c r="C1358" s="75" t="s">
        <v>2673</v>
      </c>
      <c r="D1358" s="81" t="s">
        <v>2846</v>
      </c>
      <c r="E1358" s="75" t="str">
        <f>VLOOKUP(B1358&amp;C1358,Divipola!$C$2:$F$1138,4,FALSE)</f>
        <v>68001</v>
      </c>
      <c r="F1358" s="87"/>
      <c r="G1358" s="87"/>
      <c r="H1358" s="87"/>
      <c r="I1358" s="87"/>
      <c r="J1358" s="87"/>
      <c r="K1358" s="87"/>
      <c r="L1358" s="87"/>
      <c r="M1358" s="87"/>
      <c r="N1358" s="87"/>
      <c r="O1358" s="87"/>
      <c r="P1358" s="87"/>
      <c r="Q1358" s="87"/>
      <c r="R1358" s="87"/>
      <c r="S1358" s="87"/>
      <c r="T1358" s="87"/>
      <c r="U1358" s="88">
        <v>3</v>
      </c>
      <c r="V1358" s="89"/>
      <c r="W1358" s="96">
        <v>0</v>
      </c>
      <c r="X1358" s="71">
        <f>CU1358</f>
        <v>0</v>
      </c>
      <c r="Y1358" s="71">
        <f>CY1358</f>
        <v>0</v>
      </c>
      <c r="Z1358" s="71">
        <f>DA1358+DC1358+DE1358</f>
        <v>0</v>
      </c>
      <c r="AA1358" s="71">
        <f>CW1358</f>
        <v>0</v>
      </c>
      <c r="AB1358" s="71"/>
      <c r="AC1358" s="71">
        <v>0</v>
      </c>
      <c r="AD1358" s="71">
        <f>W1358+X1358+Y1358+Z1358+AA1358+AB1358+AC1358</f>
        <v>0</v>
      </c>
      <c r="AE1358" s="72">
        <v>0</v>
      </c>
      <c r="AF1358" s="5"/>
      <c r="AG1358" s="6"/>
      <c r="AH1358" s="27" t="s">
        <v>3392</v>
      </c>
      <c r="AI1358" s="44" t="s">
        <v>3393</v>
      </c>
      <c r="AJ1358" s="26"/>
      <c r="AK1358" s="5"/>
      <c r="AL1358" s="82" t="s">
        <v>4157</v>
      </c>
      <c r="AM1358" s="76"/>
      <c r="AN1358" s="76"/>
      <c r="AO1358" s="76"/>
      <c r="AP1358" s="76"/>
      <c r="AQ1358" s="76"/>
      <c r="AR1358" s="76"/>
      <c r="AS1358" s="76"/>
      <c r="AT1358" s="76"/>
      <c r="AU1358" s="76"/>
      <c r="AV1358" s="76"/>
      <c r="AW1358" s="76"/>
      <c r="AX1358" s="76">
        <f>+AW1358*600000</f>
        <v>0</v>
      </c>
      <c r="AY1358" s="76"/>
      <c r="AZ1358" s="76">
        <f>+AY1358*70000</f>
        <v>0</v>
      </c>
      <c r="BA1358" s="76"/>
      <c r="BB1358" s="76"/>
      <c r="BC1358" s="76"/>
      <c r="BD1358" s="76">
        <f>+BC1358*30000</f>
        <v>0</v>
      </c>
      <c r="BE1358" s="76"/>
      <c r="BF1358" s="76"/>
      <c r="BG1358" s="76"/>
      <c r="BH1358" s="76"/>
      <c r="BI1358" s="76"/>
      <c r="BJ1358" s="76"/>
      <c r="BK1358" s="76"/>
      <c r="BL1358" s="76">
        <f>+BK1358*31500</f>
        <v>0</v>
      </c>
      <c r="BM1358" s="76"/>
      <c r="BN1358" s="76"/>
      <c r="BO1358" s="76"/>
      <c r="BP1358" s="76"/>
      <c r="BQ1358" s="76"/>
      <c r="BR1358" s="76"/>
      <c r="BS1358" s="76"/>
      <c r="BT1358" s="76"/>
      <c r="BU1358" s="76"/>
      <c r="BV1358" s="76"/>
      <c r="BW1358" s="76"/>
      <c r="BX1358" s="76"/>
      <c r="BY1358" s="76"/>
      <c r="BZ1358" s="76"/>
      <c r="CA1358" s="76"/>
      <c r="CB1358" s="76"/>
      <c r="CC1358" s="76"/>
      <c r="CD1358" s="76"/>
      <c r="CE1358" s="76"/>
      <c r="CF1358" s="76">
        <f>+CE1358*28000</f>
        <v>0</v>
      </c>
      <c r="CG1358" s="76"/>
      <c r="CH1358" s="76">
        <f>+CG1358*22500</f>
        <v>0</v>
      </c>
      <c r="CI1358" s="76"/>
      <c r="CJ1358" s="76">
        <f>+CI1358*26000</f>
        <v>0</v>
      </c>
      <c r="CK1358" s="76"/>
      <c r="CL1358" s="76"/>
      <c r="CM1358" s="76"/>
      <c r="CN1358" s="76">
        <f>+CM1358*22000</f>
        <v>0</v>
      </c>
      <c r="CO1358" s="76"/>
      <c r="CP1358" s="76">
        <f>+CO1358*46000</f>
        <v>0</v>
      </c>
      <c r="CQ1358" s="76"/>
      <c r="CR1358" s="76">
        <f>+CQ1358*49000</f>
        <v>0</v>
      </c>
      <c r="CS1358" s="76"/>
      <c r="CT1358" s="76"/>
      <c r="CU1358" s="56">
        <f>AN1358+AP1358+AR1358+AT1358+AV1358+AX1358+AZ1358+BB1358+BD1358+BF1358+BH1358+BJ1358+BL1358+BN1358+BP1358+BR1358+BT1358+BV1358+BX1358+BZ1358+CB1358+CD1358+CF1358+CH1358+CJ1358+CL1358+CN1358+CP1358+CR1358+CT1358</f>
        <v>0</v>
      </c>
      <c r="CV1358" s="76"/>
      <c r="CW1358" s="76">
        <f>+CV1358*1100</f>
        <v>0</v>
      </c>
      <c r="CX1358" s="76"/>
      <c r="CY1358" s="76">
        <f>+CX1358*106250</f>
        <v>0</v>
      </c>
      <c r="CZ1358" s="76"/>
      <c r="DA1358" s="76">
        <f>+CZ1358*34500</f>
        <v>0</v>
      </c>
      <c r="DB1358" s="76"/>
      <c r="DC1358" s="76">
        <f>+DB1358*25000</f>
        <v>0</v>
      </c>
      <c r="DD1358" s="219"/>
      <c r="DE1358" s="219"/>
      <c r="DF1358" s="166"/>
      <c r="DG1358" s="116"/>
      <c r="DH1358" s="117"/>
      <c r="DI1358" s="24"/>
      <c r="DJ1358" s="24"/>
      <c r="DK1358" s="24"/>
      <c r="DL1358" s="24"/>
      <c r="DM1358" s="24"/>
      <c r="DN1358" s="24"/>
      <c r="DO1358" s="24"/>
      <c r="DP1358" s="24"/>
      <c r="DQ1358" s="24"/>
      <c r="DR1358" s="24"/>
      <c r="DS1358" s="24"/>
      <c r="DT1358" s="24"/>
      <c r="DU1358" s="24"/>
    </row>
    <row r="1359" spans="1:125" s="8" customFormat="1" ht="24" x14ac:dyDescent="0.2">
      <c r="A1359" s="226">
        <v>41366</v>
      </c>
      <c r="B1359" s="225" t="s">
        <v>2847</v>
      </c>
      <c r="C1359" s="227" t="s">
        <v>2054</v>
      </c>
      <c r="D1359" s="75" t="s">
        <v>3051</v>
      </c>
      <c r="E1359" s="75" t="str">
        <f>VLOOKUP(B1359&amp;C1359,Divipola!$C$2:$F$1138,4,FALSE)</f>
        <v>68320</v>
      </c>
      <c r="F1359" s="163"/>
      <c r="G1359" s="163"/>
      <c r="H1359" s="163"/>
      <c r="I1359" s="163"/>
      <c r="J1359" s="163"/>
      <c r="K1359" s="163"/>
      <c r="L1359" s="163"/>
      <c r="M1359" s="163"/>
      <c r="N1359" s="163"/>
      <c r="O1359" s="163"/>
      <c r="P1359" s="163"/>
      <c r="Q1359" s="163"/>
      <c r="R1359" s="163"/>
      <c r="S1359" s="163"/>
      <c r="T1359" s="163"/>
      <c r="U1359" s="163"/>
      <c r="V1359" s="134"/>
      <c r="W1359" s="96">
        <v>0</v>
      </c>
      <c r="X1359" s="71">
        <f>CU1359</f>
        <v>0</v>
      </c>
      <c r="Y1359" s="71">
        <f>CY1359</f>
        <v>0</v>
      </c>
      <c r="Z1359" s="71">
        <f>DA1359+DC1359+DE1359</f>
        <v>230420213.40000001</v>
      </c>
      <c r="AA1359" s="71">
        <f>CW1359</f>
        <v>0</v>
      </c>
      <c r="AB1359" s="71"/>
      <c r="AC1359" s="71">
        <v>0</v>
      </c>
      <c r="AD1359" s="71">
        <f>W1359+X1359+Y1359+Z1359+AA1359+AB1359+AC1359</f>
        <v>230420213.40000001</v>
      </c>
      <c r="AE1359" s="72">
        <v>0</v>
      </c>
      <c r="AF1359" s="5"/>
      <c r="AG1359" s="6"/>
      <c r="AH1359" s="27" t="s">
        <v>3390</v>
      </c>
      <c r="AI1359" s="44" t="s">
        <v>3391</v>
      </c>
      <c r="AJ1359" s="26"/>
      <c r="AK1359" s="5"/>
      <c r="AL1359" s="82"/>
      <c r="AM1359" s="76"/>
      <c r="AN1359" s="76"/>
      <c r="AO1359" s="76"/>
      <c r="AP1359" s="76"/>
      <c r="AQ1359" s="76"/>
      <c r="AR1359" s="76"/>
      <c r="AS1359" s="76"/>
      <c r="AT1359" s="76"/>
      <c r="AU1359" s="76"/>
      <c r="AV1359" s="76"/>
      <c r="AW1359" s="76"/>
      <c r="AX1359" s="76">
        <f>+AW1359*600000</f>
        <v>0</v>
      </c>
      <c r="AY1359" s="76"/>
      <c r="AZ1359" s="76">
        <f>+AY1359*70000</f>
        <v>0</v>
      </c>
      <c r="BA1359" s="76"/>
      <c r="BB1359" s="76"/>
      <c r="BC1359" s="76"/>
      <c r="BD1359" s="76">
        <f>+BC1359*30000</f>
        <v>0</v>
      </c>
      <c r="BE1359" s="76"/>
      <c r="BF1359" s="76"/>
      <c r="BG1359" s="76"/>
      <c r="BH1359" s="76"/>
      <c r="BI1359" s="76"/>
      <c r="BJ1359" s="76"/>
      <c r="BK1359" s="76"/>
      <c r="BL1359" s="76">
        <f>+BK1359*31500</f>
        <v>0</v>
      </c>
      <c r="BM1359" s="76"/>
      <c r="BN1359" s="76"/>
      <c r="BO1359" s="76"/>
      <c r="BP1359" s="76"/>
      <c r="BQ1359" s="76"/>
      <c r="BR1359" s="76"/>
      <c r="BS1359" s="76"/>
      <c r="BT1359" s="76"/>
      <c r="BU1359" s="76"/>
      <c r="BV1359" s="76"/>
      <c r="BW1359" s="76"/>
      <c r="BX1359" s="76"/>
      <c r="BY1359" s="76"/>
      <c r="BZ1359" s="76"/>
      <c r="CA1359" s="76"/>
      <c r="CB1359" s="76"/>
      <c r="CC1359" s="76"/>
      <c r="CD1359" s="76"/>
      <c r="CE1359" s="76"/>
      <c r="CF1359" s="76">
        <f>+CE1359*28000</f>
        <v>0</v>
      </c>
      <c r="CG1359" s="76"/>
      <c r="CH1359" s="76">
        <f>+CG1359*22500</f>
        <v>0</v>
      </c>
      <c r="CI1359" s="76"/>
      <c r="CJ1359" s="76">
        <f>+CI1359*26000</f>
        <v>0</v>
      </c>
      <c r="CK1359" s="76"/>
      <c r="CL1359" s="76"/>
      <c r="CM1359" s="76"/>
      <c r="CN1359" s="76">
        <f>+CM1359*22000</f>
        <v>0</v>
      </c>
      <c r="CO1359" s="76"/>
      <c r="CP1359" s="76">
        <f>+CO1359*46000</f>
        <v>0</v>
      </c>
      <c r="CQ1359" s="76"/>
      <c r="CR1359" s="76">
        <f>+CQ1359*49000</f>
        <v>0</v>
      </c>
      <c r="CS1359" s="76"/>
      <c r="CT1359" s="76"/>
      <c r="CU1359" s="56">
        <f>AN1359+AP1359+AR1359+AT1359+AV1359+AX1359+AZ1359+BB1359+BD1359+BF1359+BH1359+BJ1359+BL1359+BN1359+BP1359+BR1359+BT1359+BV1359+BX1359+BZ1359+CB1359+CD1359+CF1359+CH1359+CJ1359+CL1359+CN1359+CP1359+CR1359+CT1359</f>
        <v>0</v>
      </c>
      <c r="CV1359" s="76"/>
      <c r="CW1359" s="76">
        <f>+CV1359*1100</f>
        <v>0</v>
      </c>
      <c r="CX1359" s="76"/>
      <c r="CY1359" s="76">
        <f>+CX1359*106250</f>
        <v>0</v>
      </c>
      <c r="CZ1359" s="76"/>
      <c r="DA1359" s="76">
        <f>+CZ1359*34500</f>
        <v>0</v>
      </c>
      <c r="DB1359" s="76"/>
      <c r="DC1359" s="76">
        <f>+DB1359*25000</f>
        <v>0</v>
      </c>
      <c r="DD1359" s="222" t="s">
        <v>4386</v>
      </c>
      <c r="DE1359" s="309">
        <v>230420213.40000001</v>
      </c>
      <c r="DF1359" s="166"/>
      <c r="DG1359" s="134" t="s">
        <v>5881</v>
      </c>
      <c r="DH1359" s="117"/>
      <c r="DI1359" s="24"/>
      <c r="DJ1359" s="24"/>
      <c r="DK1359" s="24"/>
      <c r="DL1359" s="24"/>
      <c r="DM1359" s="24"/>
      <c r="DN1359" s="24"/>
      <c r="DO1359" s="24"/>
      <c r="DP1359" s="24"/>
      <c r="DQ1359" s="24"/>
      <c r="DR1359" s="24"/>
      <c r="DS1359" s="24"/>
      <c r="DT1359" s="24"/>
      <c r="DU1359" s="24"/>
    </row>
    <row r="1360" spans="1:125" s="8" customFormat="1" ht="24" x14ac:dyDescent="0.2">
      <c r="A1360" s="226">
        <v>41366</v>
      </c>
      <c r="B1360" s="60" t="s">
        <v>2851</v>
      </c>
      <c r="C1360" s="55" t="s">
        <v>1346</v>
      </c>
      <c r="D1360" s="55" t="s">
        <v>2882</v>
      </c>
      <c r="E1360" s="75" t="str">
        <f>VLOOKUP(B1360&amp;C1360,Divipola!$C$2:$F$1138,4,FALSE)</f>
        <v>76054</v>
      </c>
      <c r="F1360" s="87"/>
      <c r="G1360" s="87"/>
      <c r="H1360" s="87"/>
      <c r="I1360" s="87">
        <f>261*5</f>
        <v>1305</v>
      </c>
      <c r="J1360" s="87">
        <v>261</v>
      </c>
      <c r="K1360" s="87"/>
      <c r="L1360" s="87">
        <v>261</v>
      </c>
      <c r="M1360" s="87"/>
      <c r="N1360" s="87"/>
      <c r="O1360" s="87"/>
      <c r="P1360" s="87"/>
      <c r="Q1360" s="87"/>
      <c r="R1360" s="87"/>
      <c r="S1360" s="87"/>
      <c r="T1360" s="87"/>
      <c r="U1360" s="88"/>
      <c r="V1360" s="89"/>
      <c r="W1360" s="96">
        <v>0</v>
      </c>
      <c r="X1360" s="71">
        <f>CU1360</f>
        <v>0</v>
      </c>
      <c r="Y1360" s="71">
        <f>CY1360</f>
        <v>0</v>
      </c>
      <c r="Z1360" s="71">
        <f>DA1360+DC1360+DE1360</f>
        <v>0</v>
      </c>
      <c r="AA1360" s="71">
        <f>CW1360</f>
        <v>0</v>
      </c>
      <c r="AB1360" s="71"/>
      <c r="AC1360" s="71">
        <v>0</v>
      </c>
      <c r="AD1360" s="71">
        <f>W1360+X1360+Y1360+Z1360+AA1360+AB1360+AC1360</f>
        <v>0</v>
      </c>
      <c r="AE1360" s="72">
        <v>0</v>
      </c>
      <c r="AF1360" s="5"/>
      <c r="AG1360" s="6"/>
      <c r="AH1360" s="27" t="s">
        <v>3390</v>
      </c>
      <c r="AI1360" s="44" t="s">
        <v>3391</v>
      </c>
      <c r="AJ1360" s="26"/>
      <c r="AK1360" s="5"/>
      <c r="AL1360" s="82" t="s">
        <v>4163</v>
      </c>
      <c r="AM1360" s="76"/>
      <c r="AN1360" s="76"/>
      <c r="AO1360" s="76"/>
      <c r="AP1360" s="76"/>
      <c r="AQ1360" s="76"/>
      <c r="AR1360" s="76"/>
      <c r="AS1360" s="76"/>
      <c r="AT1360" s="76"/>
      <c r="AU1360" s="76"/>
      <c r="AV1360" s="76"/>
      <c r="AW1360" s="76"/>
      <c r="AX1360" s="76">
        <f>+AW1360*600000</f>
        <v>0</v>
      </c>
      <c r="AY1360" s="76"/>
      <c r="AZ1360" s="76">
        <f>+AY1360*70000</f>
        <v>0</v>
      </c>
      <c r="BA1360" s="76"/>
      <c r="BB1360" s="76"/>
      <c r="BC1360" s="76"/>
      <c r="BD1360" s="76">
        <f>+BC1360*30000</f>
        <v>0</v>
      </c>
      <c r="BE1360" s="76"/>
      <c r="BF1360" s="76"/>
      <c r="BG1360" s="76"/>
      <c r="BH1360" s="76"/>
      <c r="BI1360" s="76"/>
      <c r="BJ1360" s="76"/>
      <c r="BK1360" s="76"/>
      <c r="BL1360" s="76">
        <f>+BK1360*31500</f>
        <v>0</v>
      </c>
      <c r="BM1360" s="76"/>
      <c r="BN1360" s="76"/>
      <c r="BO1360" s="76"/>
      <c r="BP1360" s="76"/>
      <c r="BQ1360" s="76"/>
      <c r="BR1360" s="76"/>
      <c r="BS1360" s="76"/>
      <c r="BT1360" s="76"/>
      <c r="BU1360" s="76"/>
      <c r="BV1360" s="76"/>
      <c r="BW1360" s="76"/>
      <c r="BX1360" s="76"/>
      <c r="BY1360" s="76"/>
      <c r="BZ1360" s="76"/>
      <c r="CA1360" s="76"/>
      <c r="CB1360" s="76"/>
      <c r="CC1360" s="76"/>
      <c r="CD1360" s="76"/>
      <c r="CE1360" s="76"/>
      <c r="CF1360" s="76">
        <f>+CE1360*28000</f>
        <v>0</v>
      </c>
      <c r="CG1360" s="76"/>
      <c r="CH1360" s="76">
        <f>+CG1360*22500</f>
        <v>0</v>
      </c>
      <c r="CI1360" s="76"/>
      <c r="CJ1360" s="76">
        <f>+CI1360*26000</f>
        <v>0</v>
      </c>
      <c r="CK1360" s="76"/>
      <c r="CL1360" s="76"/>
      <c r="CM1360" s="76"/>
      <c r="CN1360" s="76">
        <f>+CM1360*22000</f>
        <v>0</v>
      </c>
      <c r="CO1360" s="76"/>
      <c r="CP1360" s="76">
        <f>+CO1360*46000</f>
        <v>0</v>
      </c>
      <c r="CQ1360" s="76"/>
      <c r="CR1360" s="76">
        <f>+CQ1360*49000</f>
        <v>0</v>
      </c>
      <c r="CS1360" s="76"/>
      <c r="CT1360" s="76"/>
      <c r="CU1360" s="56">
        <f>AN1360+AP1360+AR1360+AT1360+AV1360+AX1360+AZ1360+BB1360+BD1360+BF1360+BH1360+BJ1360+BL1360+BN1360+BP1360+BR1360+BT1360+BV1360+BX1360+BZ1360+CB1360+CD1360+CF1360+CH1360+CJ1360+CL1360+CN1360+CP1360+CR1360+CT1360</f>
        <v>0</v>
      </c>
      <c r="CV1360" s="76"/>
      <c r="CW1360" s="76">
        <f>+CV1360*1100</f>
        <v>0</v>
      </c>
      <c r="CX1360" s="76"/>
      <c r="CY1360" s="76">
        <f>+CX1360*106250</f>
        <v>0</v>
      </c>
      <c r="CZ1360" s="76"/>
      <c r="DA1360" s="76">
        <f>+CZ1360*34500</f>
        <v>0</v>
      </c>
      <c r="DB1360" s="76"/>
      <c r="DC1360" s="76">
        <f>+DB1360*25000</f>
        <v>0</v>
      </c>
      <c r="DD1360" s="219"/>
      <c r="DE1360" s="219"/>
      <c r="DF1360" s="166"/>
      <c r="DG1360" s="116"/>
      <c r="DH1360" s="117"/>
      <c r="DI1360" s="24"/>
      <c r="DJ1360" s="24"/>
      <c r="DK1360" s="24"/>
      <c r="DL1360" s="24"/>
      <c r="DM1360" s="24"/>
      <c r="DN1360" s="24"/>
      <c r="DO1360" s="24"/>
      <c r="DP1360" s="24"/>
      <c r="DQ1360" s="24"/>
      <c r="DR1360" s="24"/>
      <c r="DS1360" s="24"/>
      <c r="DT1360" s="24"/>
      <c r="DU1360" s="24"/>
    </row>
    <row r="1361" spans="1:125" s="8" customFormat="1" ht="36" x14ac:dyDescent="0.2">
      <c r="A1361" s="226">
        <v>41366</v>
      </c>
      <c r="B1361" s="225" t="s">
        <v>2851</v>
      </c>
      <c r="C1361" s="227" t="s">
        <v>2751</v>
      </c>
      <c r="D1361" s="227" t="s">
        <v>2882</v>
      </c>
      <c r="E1361" s="75" t="str">
        <f>VLOOKUP(B1361&amp;C1361,Divipola!$C$2:$F$1138,4,FALSE)</f>
        <v>76828</v>
      </c>
      <c r="F1361" s="87"/>
      <c r="G1361" s="87"/>
      <c r="H1361" s="87"/>
      <c r="I1361" s="87"/>
      <c r="J1361" s="87"/>
      <c r="K1361" s="87"/>
      <c r="L1361" s="87"/>
      <c r="M1361" s="87"/>
      <c r="N1361" s="87"/>
      <c r="O1361" s="87"/>
      <c r="P1361" s="87"/>
      <c r="Q1361" s="87"/>
      <c r="R1361" s="87"/>
      <c r="S1361" s="87"/>
      <c r="T1361" s="87"/>
      <c r="U1361" s="88"/>
      <c r="V1361" s="89"/>
      <c r="W1361" s="96">
        <v>0</v>
      </c>
      <c r="X1361" s="71">
        <f>CU1361</f>
        <v>0</v>
      </c>
      <c r="Y1361" s="71">
        <f>CY1361</f>
        <v>0</v>
      </c>
      <c r="Z1361" s="71">
        <f>DA1361+DC1361+DE1361</f>
        <v>0</v>
      </c>
      <c r="AA1361" s="71">
        <f>CW1361</f>
        <v>0</v>
      </c>
      <c r="AB1361" s="71"/>
      <c r="AC1361" s="71">
        <v>0</v>
      </c>
      <c r="AD1361" s="71">
        <f>W1361+X1361+Y1361+Z1361+AA1361+AB1361+AC1361</f>
        <v>0</v>
      </c>
      <c r="AE1361" s="72">
        <v>0</v>
      </c>
      <c r="AF1361" s="5"/>
      <c r="AG1361" s="6"/>
      <c r="AH1361" s="27" t="s">
        <v>3392</v>
      </c>
      <c r="AI1361" s="44" t="s">
        <v>3393</v>
      </c>
      <c r="AJ1361" s="26"/>
      <c r="AK1361" s="5"/>
      <c r="AL1361" s="82" t="s">
        <v>4162</v>
      </c>
      <c r="AM1361" s="76"/>
      <c r="AN1361" s="76"/>
      <c r="AO1361" s="76"/>
      <c r="AP1361" s="76"/>
      <c r="AQ1361" s="76"/>
      <c r="AR1361" s="76"/>
      <c r="AS1361" s="76"/>
      <c r="AT1361" s="76"/>
      <c r="AU1361" s="76"/>
      <c r="AV1361" s="76"/>
      <c r="AW1361" s="76"/>
      <c r="AX1361" s="76">
        <f>+AW1361*600000</f>
        <v>0</v>
      </c>
      <c r="AY1361" s="76"/>
      <c r="AZ1361" s="76">
        <f>+AY1361*70000</f>
        <v>0</v>
      </c>
      <c r="BA1361" s="76"/>
      <c r="BB1361" s="76"/>
      <c r="BC1361" s="76"/>
      <c r="BD1361" s="76">
        <f>+BC1361*30000</f>
        <v>0</v>
      </c>
      <c r="BE1361" s="76"/>
      <c r="BF1361" s="76"/>
      <c r="BG1361" s="76"/>
      <c r="BH1361" s="76"/>
      <c r="BI1361" s="76"/>
      <c r="BJ1361" s="76"/>
      <c r="BK1361" s="76"/>
      <c r="BL1361" s="76">
        <f>+BK1361*31500</f>
        <v>0</v>
      </c>
      <c r="BM1361" s="76"/>
      <c r="BN1361" s="76"/>
      <c r="BO1361" s="76"/>
      <c r="BP1361" s="76"/>
      <c r="BQ1361" s="76"/>
      <c r="BR1361" s="76"/>
      <c r="BS1361" s="76"/>
      <c r="BT1361" s="76"/>
      <c r="BU1361" s="76"/>
      <c r="BV1361" s="76"/>
      <c r="BW1361" s="76"/>
      <c r="BX1361" s="76"/>
      <c r="BY1361" s="76"/>
      <c r="BZ1361" s="76"/>
      <c r="CA1361" s="76"/>
      <c r="CB1361" s="76"/>
      <c r="CC1361" s="76"/>
      <c r="CD1361" s="76"/>
      <c r="CE1361" s="76"/>
      <c r="CF1361" s="76">
        <f>+CE1361*28000</f>
        <v>0</v>
      </c>
      <c r="CG1361" s="76"/>
      <c r="CH1361" s="76">
        <f>+CG1361*22500</f>
        <v>0</v>
      </c>
      <c r="CI1361" s="76"/>
      <c r="CJ1361" s="76">
        <f>+CI1361*26000</f>
        <v>0</v>
      </c>
      <c r="CK1361" s="76"/>
      <c r="CL1361" s="76"/>
      <c r="CM1361" s="76"/>
      <c r="CN1361" s="76">
        <f>+CM1361*22000</f>
        <v>0</v>
      </c>
      <c r="CO1361" s="76"/>
      <c r="CP1361" s="76">
        <f>+CO1361*46000</f>
        <v>0</v>
      </c>
      <c r="CQ1361" s="76"/>
      <c r="CR1361" s="76">
        <f>+CQ1361*49000</f>
        <v>0</v>
      </c>
      <c r="CS1361" s="76"/>
      <c r="CT1361" s="76"/>
      <c r="CU1361" s="56">
        <f>AN1361+AP1361+AR1361+AT1361+AV1361+AX1361+AZ1361+BB1361+BD1361+BF1361+BH1361+BJ1361+BL1361+BN1361+BP1361+BR1361+BT1361+BV1361+BX1361+BZ1361+CB1361+CD1361+CF1361+CH1361+CJ1361+CL1361+CN1361+CP1361+CR1361+CT1361</f>
        <v>0</v>
      </c>
      <c r="CV1361" s="76"/>
      <c r="CW1361" s="76">
        <f>+CV1361*1100</f>
        <v>0</v>
      </c>
      <c r="CX1361" s="76"/>
      <c r="CY1361" s="76">
        <f>+CX1361*106250</f>
        <v>0</v>
      </c>
      <c r="CZ1361" s="76"/>
      <c r="DA1361" s="76">
        <f>+CZ1361*34500</f>
        <v>0</v>
      </c>
      <c r="DB1361" s="76"/>
      <c r="DC1361" s="76">
        <f>+DB1361*25000</f>
        <v>0</v>
      </c>
      <c r="DD1361" s="219"/>
      <c r="DE1361" s="219"/>
      <c r="DF1361" s="166"/>
      <c r="DG1361" s="116"/>
      <c r="DH1361" s="117"/>
      <c r="DI1361" s="24"/>
      <c r="DJ1361" s="24"/>
      <c r="DK1361" s="24"/>
      <c r="DL1361" s="24"/>
      <c r="DM1361" s="24"/>
      <c r="DN1361" s="24"/>
      <c r="DO1361" s="24"/>
      <c r="DP1361" s="24"/>
      <c r="DQ1361" s="24"/>
      <c r="DR1361" s="24"/>
      <c r="DS1361" s="24"/>
      <c r="DT1361" s="24"/>
      <c r="DU1361" s="24"/>
    </row>
    <row r="1362" spans="1:125" s="8" customFormat="1" ht="36" x14ac:dyDescent="0.2">
      <c r="A1362" s="226">
        <v>41367</v>
      </c>
      <c r="B1362" s="352" t="s">
        <v>2854</v>
      </c>
      <c r="C1362" s="227" t="s">
        <v>516</v>
      </c>
      <c r="D1362" s="227" t="s">
        <v>2859</v>
      </c>
      <c r="E1362" s="75" t="str">
        <f>VLOOKUP(B1362&amp;C1362,Divipola!$C$2:$F$1138,4,FALSE)</f>
        <v>19418</v>
      </c>
      <c r="F1362" s="87"/>
      <c r="G1362" s="87"/>
      <c r="H1362" s="87"/>
      <c r="I1362" s="87">
        <v>20</v>
      </c>
      <c r="J1362" s="87">
        <v>4</v>
      </c>
      <c r="K1362" s="87">
        <v>4</v>
      </c>
      <c r="L1362" s="87"/>
      <c r="M1362" s="87"/>
      <c r="N1362" s="87"/>
      <c r="O1362" s="87"/>
      <c r="P1362" s="87"/>
      <c r="Q1362" s="87"/>
      <c r="R1362" s="87"/>
      <c r="S1362" s="87"/>
      <c r="T1362" s="87"/>
      <c r="U1362" s="88"/>
      <c r="V1362" s="89"/>
      <c r="W1362" s="96">
        <v>0</v>
      </c>
      <c r="X1362" s="71">
        <f>CU1362</f>
        <v>0</v>
      </c>
      <c r="Y1362" s="71">
        <f>CY1362</f>
        <v>0</v>
      </c>
      <c r="Z1362" s="71">
        <f>DA1362+DC1362+DE1362</f>
        <v>0</v>
      </c>
      <c r="AA1362" s="71">
        <f>CW1362</f>
        <v>0</v>
      </c>
      <c r="AB1362" s="71"/>
      <c r="AC1362" s="71">
        <v>0</v>
      </c>
      <c r="AD1362" s="71">
        <f>W1362+X1362+Y1362+Z1362+AA1362+AB1362+AC1362</f>
        <v>0</v>
      </c>
      <c r="AE1362" s="72">
        <v>0</v>
      </c>
      <c r="AF1362" s="5"/>
      <c r="AG1362" s="6"/>
      <c r="AH1362" s="27" t="s">
        <v>3392</v>
      </c>
      <c r="AI1362" s="44" t="s">
        <v>3393</v>
      </c>
      <c r="AJ1362" s="26"/>
      <c r="AK1362" s="5"/>
      <c r="AL1362" s="82" t="s">
        <v>4173</v>
      </c>
      <c r="AM1362" s="76"/>
      <c r="AN1362" s="76"/>
      <c r="AO1362" s="76"/>
      <c r="AP1362" s="76"/>
      <c r="AQ1362" s="76"/>
      <c r="AR1362" s="76"/>
      <c r="AS1362" s="76"/>
      <c r="AT1362" s="76"/>
      <c r="AU1362" s="76"/>
      <c r="AV1362" s="76"/>
      <c r="AW1362" s="76"/>
      <c r="AX1362" s="76">
        <f>+AW1362*600000</f>
        <v>0</v>
      </c>
      <c r="AY1362" s="76"/>
      <c r="AZ1362" s="76">
        <f>+AY1362*70000</f>
        <v>0</v>
      </c>
      <c r="BA1362" s="76"/>
      <c r="BB1362" s="76"/>
      <c r="BC1362" s="76"/>
      <c r="BD1362" s="76">
        <f>+BC1362*30000</f>
        <v>0</v>
      </c>
      <c r="BE1362" s="76"/>
      <c r="BF1362" s="76"/>
      <c r="BG1362" s="76"/>
      <c r="BH1362" s="76"/>
      <c r="BI1362" s="76"/>
      <c r="BJ1362" s="76"/>
      <c r="BK1362" s="76"/>
      <c r="BL1362" s="76">
        <f>+BK1362*31500</f>
        <v>0</v>
      </c>
      <c r="BM1362" s="76"/>
      <c r="BN1362" s="76"/>
      <c r="BO1362" s="76"/>
      <c r="BP1362" s="76"/>
      <c r="BQ1362" s="76"/>
      <c r="BR1362" s="76"/>
      <c r="BS1362" s="76"/>
      <c r="BT1362" s="76"/>
      <c r="BU1362" s="76"/>
      <c r="BV1362" s="76"/>
      <c r="BW1362" s="76"/>
      <c r="BX1362" s="76"/>
      <c r="BY1362" s="76"/>
      <c r="BZ1362" s="76"/>
      <c r="CA1362" s="76"/>
      <c r="CB1362" s="76"/>
      <c r="CC1362" s="76"/>
      <c r="CD1362" s="76"/>
      <c r="CE1362" s="76"/>
      <c r="CF1362" s="76">
        <f>+CE1362*28000</f>
        <v>0</v>
      </c>
      <c r="CG1362" s="76"/>
      <c r="CH1362" s="76">
        <f>+CG1362*22500</f>
        <v>0</v>
      </c>
      <c r="CI1362" s="76"/>
      <c r="CJ1362" s="76">
        <f>+CI1362*26000</f>
        <v>0</v>
      </c>
      <c r="CK1362" s="76"/>
      <c r="CL1362" s="76"/>
      <c r="CM1362" s="76"/>
      <c r="CN1362" s="76">
        <f>+CM1362*22000</f>
        <v>0</v>
      </c>
      <c r="CO1362" s="76"/>
      <c r="CP1362" s="76">
        <f>+CO1362*46000</f>
        <v>0</v>
      </c>
      <c r="CQ1362" s="76"/>
      <c r="CR1362" s="76">
        <f>+CQ1362*49000</f>
        <v>0</v>
      </c>
      <c r="CS1362" s="76"/>
      <c r="CT1362" s="76"/>
      <c r="CU1362" s="56">
        <f>AN1362+AP1362+AR1362+AT1362+AV1362+AX1362+AZ1362+BB1362+BD1362+BF1362+BH1362+BJ1362+BL1362+BN1362+BP1362+BR1362+BT1362+BV1362+BX1362+BZ1362+CB1362+CD1362+CF1362+CH1362+CJ1362+CL1362+CN1362+CP1362+CR1362+CT1362</f>
        <v>0</v>
      </c>
      <c r="CV1362" s="76"/>
      <c r="CW1362" s="76">
        <f>+CV1362*1100</f>
        <v>0</v>
      </c>
      <c r="CX1362" s="76"/>
      <c r="CY1362" s="76">
        <f>+CX1362*106250</f>
        <v>0</v>
      </c>
      <c r="CZ1362" s="76"/>
      <c r="DA1362" s="76">
        <f>+CZ1362*34500</f>
        <v>0</v>
      </c>
      <c r="DB1362" s="76"/>
      <c r="DC1362" s="76">
        <f>+DB1362*25000</f>
        <v>0</v>
      </c>
      <c r="DD1362" s="219"/>
      <c r="DE1362" s="219"/>
      <c r="DF1362" s="166"/>
      <c r="DG1362" s="116"/>
      <c r="DH1362" s="117"/>
      <c r="DI1362" s="24"/>
      <c r="DJ1362" s="24"/>
      <c r="DK1362" s="24"/>
      <c r="DL1362" s="24"/>
      <c r="DM1362" s="24"/>
      <c r="DN1362" s="24"/>
      <c r="DO1362" s="24"/>
      <c r="DP1362" s="24"/>
      <c r="DQ1362" s="24"/>
      <c r="DR1362" s="24"/>
      <c r="DS1362" s="24"/>
      <c r="DT1362" s="24"/>
      <c r="DU1362" s="24"/>
    </row>
    <row r="1363" spans="1:125" s="8" customFormat="1" ht="60" x14ac:dyDescent="0.2">
      <c r="A1363" s="226">
        <v>41367</v>
      </c>
      <c r="B1363" s="225" t="s">
        <v>2772</v>
      </c>
      <c r="C1363" s="227" t="s">
        <v>1055</v>
      </c>
      <c r="D1363" s="81" t="s">
        <v>2846</v>
      </c>
      <c r="E1363" s="75" t="str">
        <f>VLOOKUP(B1363&amp;C1363,Divipola!$C$2:$F$1138,4,FALSE)</f>
        <v>25281</v>
      </c>
      <c r="F1363" s="87"/>
      <c r="G1363" s="87"/>
      <c r="H1363" s="87"/>
      <c r="I1363" s="87"/>
      <c r="J1363" s="87"/>
      <c r="K1363" s="87"/>
      <c r="L1363" s="87"/>
      <c r="M1363" s="87"/>
      <c r="N1363" s="87"/>
      <c r="O1363" s="87"/>
      <c r="P1363" s="87"/>
      <c r="Q1363" s="87"/>
      <c r="R1363" s="87"/>
      <c r="S1363" s="87"/>
      <c r="T1363" s="87"/>
      <c r="U1363" s="88"/>
      <c r="V1363" s="89"/>
      <c r="W1363" s="96">
        <v>0</v>
      </c>
      <c r="X1363" s="71">
        <f>CU1363</f>
        <v>0</v>
      </c>
      <c r="Y1363" s="71">
        <f>CY1363</f>
        <v>0</v>
      </c>
      <c r="Z1363" s="71">
        <f>DA1363+DC1363+DE1363</f>
        <v>0</v>
      </c>
      <c r="AA1363" s="71">
        <f>CW1363</f>
        <v>0</v>
      </c>
      <c r="AB1363" s="71"/>
      <c r="AC1363" s="71">
        <v>0</v>
      </c>
      <c r="AD1363" s="71">
        <f>W1363+X1363+Y1363+Z1363+AA1363+AB1363+AC1363</f>
        <v>0</v>
      </c>
      <c r="AE1363" s="72">
        <v>0</v>
      </c>
      <c r="AF1363" s="5"/>
      <c r="AG1363" s="6"/>
      <c r="AH1363" s="27" t="s">
        <v>3392</v>
      </c>
      <c r="AI1363" s="44" t="s">
        <v>3393</v>
      </c>
      <c r="AJ1363" s="26"/>
      <c r="AK1363" s="5"/>
      <c r="AL1363" s="82" t="s">
        <v>4189</v>
      </c>
      <c r="AM1363" s="76"/>
      <c r="AN1363" s="76"/>
      <c r="AO1363" s="76"/>
      <c r="AP1363" s="76"/>
      <c r="AQ1363" s="76"/>
      <c r="AR1363" s="76"/>
      <c r="AS1363" s="76"/>
      <c r="AT1363" s="76"/>
      <c r="AU1363" s="76"/>
      <c r="AV1363" s="76"/>
      <c r="AW1363" s="76"/>
      <c r="AX1363" s="76">
        <f>+AW1363*600000</f>
        <v>0</v>
      </c>
      <c r="AY1363" s="76"/>
      <c r="AZ1363" s="76">
        <f>+AY1363*70000</f>
        <v>0</v>
      </c>
      <c r="BA1363" s="76"/>
      <c r="BB1363" s="76"/>
      <c r="BC1363" s="76"/>
      <c r="BD1363" s="76">
        <f>+BC1363*30000</f>
        <v>0</v>
      </c>
      <c r="BE1363" s="76"/>
      <c r="BF1363" s="76"/>
      <c r="BG1363" s="76"/>
      <c r="BH1363" s="76"/>
      <c r="BI1363" s="76"/>
      <c r="BJ1363" s="76"/>
      <c r="BK1363" s="76"/>
      <c r="BL1363" s="76">
        <f>+BK1363*31500</f>
        <v>0</v>
      </c>
      <c r="BM1363" s="76"/>
      <c r="BN1363" s="76"/>
      <c r="BO1363" s="76"/>
      <c r="BP1363" s="76"/>
      <c r="BQ1363" s="76"/>
      <c r="BR1363" s="76"/>
      <c r="BS1363" s="76"/>
      <c r="BT1363" s="76"/>
      <c r="BU1363" s="76"/>
      <c r="BV1363" s="76"/>
      <c r="BW1363" s="76"/>
      <c r="BX1363" s="76"/>
      <c r="BY1363" s="76"/>
      <c r="BZ1363" s="76"/>
      <c r="CA1363" s="76"/>
      <c r="CB1363" s="76"/>
      <c r="CC1363" s="76"/>
      <c r="CD1363" s="76"/>
      <c r="CE1363" s="76"/>
      <c r="CF1363" s="76">
        <f>+CE1363*28000</f>
        <v>0</v>
      </c>
      <c r="CG1363" s="76"/>
      <c r="CH1363" s="76">
        <f>+CG1363*22500</f>
        <v>0</v>
      </c>
      <c r="CI1363" s="76"/>
      <c r="CJ1363" s="76">
        <f>+CI1363*26000</f>
        <v>0</v>
      </c>
      <c r="CK1363" s="76"/>
      <c r="CL1363" s="76"/>
      <c r="CM1363" s="76"/>
      <c r="CN1363" s="76">
        <f>+CM1363*22000</f>
        <v>0</v>
      </c>
      <c r="CO1363" s="76"/>
      <c r="CP1363" s="76">
        <f>+CO1363*46000</f>
        <v>0</v>
      </c>
      <c r="CQ1363" s="76"/>
      <c r="CR1363" s="76">
        <f>+CQ1363*49000</f>
        <v>0</v>
      </c>
      <c r="CS1363" s="76"/>
      <c r="CT1363" s="76"/>
      <c r="CU1363" s="56">
        <f>AN1363+AP1363+AR1363+AT1363+AV1363+AX1363+AZ1363+BB1363+BD1363+BF1363+BH1363+BJ1363+BL1363+BN1363+BP1363+BR1363+BT1363+BV1363+BX1363+BZ1363+CB1363+CD1363+CF1363+CH1363+CJ1363+CL1363+CN1363+CP1363+CR1363+CT1363</f>
        <v>0</v>
      </c>
      <c r="CV1363" s="76"/>
      <c r="CW1363" s="76">
        <f>+CV1363*1100</f>
        <v>0</v>
      </c>
      <c r="CX1363" s="76"/>
      <c r="CY1363" s="76">
        <f>+CX1363*106250</f>
        <v>0</v>
      </c>
      <c r="CZ1363" s="76"/>
      <c r="DA1363" s="76">
        <f>+CZ1363*34500</f>
        <v>0</v>
      </c>
      <c r="DB1363" s="76"/>
      <c r="DC1363" s="76">
        <f>+DB1363*25000</f>
        <v>0</v>
      </c>
      <c r="DD1363" s="219"/>
      <c r="DE1363" s="219"/>
      <c r="DF1363" s="166"/>
      <c r="DG1363" s="116"/>
      <c r="DH1363" s="117"/>
      <c r="DI1363" s="24"/>
      <c r="DJ1363" s="24"/>
      <c r="DK1363" s="24"/>
      <c r="DL1363" s="24"/>
      <c r="DM1363" s="24"/>
      <c r="DN1363" s="24"/>
      <c r="DO1363" s="24"/>
      <c r="DP1363" s="24"/>
      <c r="DQ1363" s="24"/>
      <c r="DR1363" s="24"/>
      <c r="DS1363" s="24"/>
      <c r="DT1363" s="24"/>
      <c r="DU1363" s="24"/>
    </row>
    <row r="1364" spans="1:125" s="8" customFormat="1" ht="72" x14ac:dyDescent="0.2">
      <c r="A1364" s="226">
        <v>41367</v>
      </c>
      <c r="B1364" s="225" t="s">
        <v>2772</v>
      </c>
      <c r="C1364" s="227" t="s">
        <v>1110</v>
      </c>
      <c r="D1364" s="81" t="s">
        <v>2846</v>
      </c>
      <c r="E1364" s="75" t="str">
        <f>VLOOKUP(B1364&amp;C1364,Divipola!$C$2:$F$1138,4,FALSE)</f>
        <v>25436</v>
      </c>
      <c r="F1364" s="87"/>
      <c r="G1364" s="87"/>
      <c r="H1364" s="87"/>
      <c r="I1364" s="87"/>
      <c r="J1364" s="87"/>
      <c r="K1364" s="87"/>
      <c r="L1364" s="87"/>
      <c r="M1364" s="87"/>
      <c r="N1364" s="87"/>
      <c r="O1364" s="87"/>
      <c r="P1364" s="87"/>
      <c r="Q1364" s="87"/>
      <c r="R1364" s="87"/>
      <c r="S1364" s="87"/>
      <c r="T1364" s="87"/>
      <c r="U1364" s="88">
        <v>0.5</v>
      </c>
      <c r="V1364" s="89"/>
      <c r="W1364" s="96">
        <v>0</v>
      </c>
      <c r="X1364" s="71">
        <f>CU1364</f>
        <v>0</v>
      </c>
      <c r="Y1364" s="71">
        <f>CY1364</f>
        <v>0</v>
      </c>
      <c r="Z1364" s="71">
        <f>DA1364+DC1364+DE1364</f>
        <v>0</v>
      </c>
      <c r="AA1364" s="71">
        <f>CW1364</f>
        <v>0</v>
      </c>
      <c r="AB1364" s="71"/>
      <c r="AC1364" s="71">
        <v>0</v>
      </c>
      <c r="AD1364" s="71">
        <f>W1364+X1364+Y1364+Z1364+AA1364+AB1364+AC1364</f>
        <v>0</v>
      </c>
      <c r="AE1364" s="72">
        <v>0</v>
      </c>
      <c r="AF1364" s="5"/>
      <c r="AG1364" s="6"/>
      <c r="AH1364" s="27" t="s">
        <v>3392</v>
      </c>
      <c r="AI1364" s="44" t="s">
        <v>3393</v>
      </c>
      <c r="AJ1364" s="26"/>
      <c r="AK1364" s="5"/>
      <c r="AL1364" s="82" t="s">
        <v>4188</v>
      </c>
      <c r="AM1364" s="76"/>
      <c r="AN1364" s="76"/>
      <c r="AO1364" s="76"/>
      <c r="AP1364" s="76"/>
      <c r="AQ1364" s="76"/>
      <c r="AR1364" s="76"/>
      <c r="AS1364" s="76"/>
      <c r="AT1364" s="76"/>
      <c r="AU1364" s="76"/>
      <c r="AV1364" s="76"/>
      <c r="AW1364" s="76"/>
      <c r="AX1364" s="76">
        <f>+AW1364*600000</f>
        <v>0</v>
      </c>
      <c r="AY1364" s="76"/>
      <c r="AZ1364" s="76">
        <f>+AY1364*70000</f>
        <v>0</v>
      </c>
      <c r="BA1364" s="76"/>
      <c r="BB1364" s="76"/>
      <c r="BC1364" s="76"/>
      <c r="BD1364" s="76">
        <f>+BC1364*30000</f>
        <v>0</v>
      </c>
      <c r="BE1364" s="76"/>
      <c r="BF1364" s="76"/>
      <c r="BG1364" s="76"/>
      <c r="BH1364" s="76"/>
      <c r="BI1364" s="76"/>
      <c r="BJ1364" s="76"/>
      <c r="BK1364" s="76"/>
      <c r="BL1364" s="76">
        <f>+BK1364*31500</f>
        <v>0</v>
      </c>
      <c r="BM1364" s="76"/>
      <c r="BN1364" s="76"/>
      <c r="BO1364" s="76"/>
      <c r="BP1364" s="76"/>
      <c r="BQ1364" s="76"/>
      <c r="BR1364" s="76"/>
      <c r="BS1364" s="76"/>
      <c r="BT1364" s="76"/>
      <c r="BU1364" s="76"/>
      <c r="BV1364" s="76"/>
      <c r="BW1364" s="76"/>
      <c r="BX1364" s="76"/>
      <c r="BY1364" s="76"/>
      <c r="BZ1364" s="76"/>
      <c r="CA1364" s="76"/>
      <c r="CB1364" s="76"/>
      <c r="CC1364" s="76"/>
      <c r="CD1364" s="76"/>
      <c r="CE1364" s="76"/>
      <c r="CF1364" s="76">
        <f>+CE1364*28000</f>
        <v>0</v>
      </c>
      <c r="CG1364" s="76"/>
      <c r="CH1364" s="76">
        <f>+CG1364*22500</f>
        <v>0</v>
      </c>
      <c r="CI1364" s="76"/>
      <c r="CJ1364" s="76">
        <f>+CI1364*26000</f>
        <v>0</v>
      </c>
      <c r="CK1364" s="76"/>
      <c r="CL1364" s="76"/>
      <c r="CM1364" s="76"/>
      <c r="CN1364" s="76">
        <f>+CM1364*22000</f>
        <v>0</v>
      </c>
      <c r="CO1364" s="76"/>
      <c r="CP1364" s="76">
        <f>+CO1364*46000</f>
        <v>0</v>
      </c>
      <c r="CQ1364" s="76"/>
      <c r="CR1364" s="76">
        <f>+CQ1364*49000</f>
        <v>0</v>
      </c>
      <c r="CS1364" s="76"/>
      <c r="CT1364" s="76"/>
      <c r="CU1364" s="56">
        <f>AN1364+AP1364+AR1364+AT1364+AV1364+AX1364+AZ1364+BB1364+BD1364+BF1364+BH1364+BJ1364+BL1364+BN1364+BP1364+BR1364+BT1364+BV1364+BX1364+BZ1364+CB1364+CD1364+CF1364+CH1364+CJ1364+CL1364+CN1364+CP1364+CR1364+CT1364</f>
        <v>0</v>
      </c>
      <c r="CV1364" s="76"/>
      <c r="CW1364" s="76">
        <f>+CV1364*1100</f>
        <v>0</v>
      </c>
      <c r="CX1364" s="76"/>
      <c r="CY1364" s="76">
        <f>+CX1364*106250</f>
        <v>0</v>
      </c>
      <c r="CZ1364" s="76"/>
      <c r="DA1364" s="76">
        <f>+CZ1364*34500</f>
        <v>0</v>
      </c>
      <c r="DB1364" s="76"/>
      <c r="DC1364" s="76">
        <f>+DB1364*25000</f>
        <v>0</v>
      </c>
      <c r="DD1364" s="219"/>
      <c r="DE1364" s="219"/>
      <c r="DF1364" s="166"/>
      <c r="DG1364" s="116"/>
      <c r="DH1364" s="117"/>
      <c r="DI1364" s="24"/>
      <c r="DJ1364" s="24"/>
      <c r="DK1364" s="24"/>
      <c r="DL1364" s="24"/>
      <c r="DM1364" s="24"/>
      <c r="DN1364" s="24"/>
      <c r="DO1364" s="24"/>
      <c r="DP1364" s="24"/>
      <c r="DQ1364" s="24"/>
      <c r="DR1364" s="24"/>
      <c r="DS1364" s="24"/>
      <c r="DT1364" s="24"/>
      <c r="DU1364" s="24"/>
    </row>
    <row r="1365" spans="1:125" s="8" customFormat="1" ht="36" x14ac:dyDescent="0.2">
      <c r="A1365" s="226">
        <v>41367</v>
      </c>
      <c r="B1365" s="352" t="s">
        <v>2906</v>
      </c>
      <c r="C1365" s="354" t="s">
        <v>2739</v>
      </c>
      <c r="D1365" s="354" t="s">
        <v>3504</v>
      </c>
      <c r="E1365" s="75" t="str">
        <f>VLOOKUP(B1365&amp;C1365,Divipola!$C$2:$F$1138,4,FALSE)</f>
        <v>47001</v>
      </c>
      <c r="F1365" s="87">
        <v>1</v>
      </c>
      <c r="G1365" s="87"/>
      <c r="H1365" s="87"/>
      <c r="I1365" s="87"/>
      <c r="J1365" s="87"/>
      <c r="K1365" s="87"/>
      <c r="L1365" s="87"/>
      <c r="M1365" s="87"/>
      <c r="N1365" s="87"/>
      <c r="O1365" s="87"/>
      <c r="P1365" s="87"/>
      <c r="Q1365" s="87"/>
      <c r="R1365" s="87"/>
      <c r="S1365" s="87"/>
      <c r="T1365" s="87"/>
      <c r="U1365" s="88"/>
      <c r="V1365" s="89"/>
      <c r="W1365" s="96">
        <v>0</v>
      </c>
      <c r="X1365" s="71">
        <f>CU1365</f>
        <v>0</v>
      </c>
      <c r="Y1365" s="71">
        <f>CY1365</f>
        <v>0</v>
      </c>
      <c r="Z1365" s="71">
        <f>DA1365+DC1365+DE1365</f>
        <v>0</v>
      </c>
      <c r="AA1365" s="71">
        <f>CW1365</f>
        <v>0</v>
      </c>
      <c r="AB1365" s="71"/>
      <c r="AC1365" s="71">
        <v>0</v>
      </c>
      <c r="AD1365" s="71">
        <f>W1365+X1365+Y1365+Z1365+AA1365+AB1365+AC1365</f>
        <v>0</v>
      </c>
      <c r="AE1365" s="72">
        <v>0</v>
      </c>
      <c r="AF1365" s="5"/>
      <c r="AG1365" s="6"/>
      <c r="AH1365" s="27" t="s">
        <v>3392</v>
      </c>
      <c r="AI1365" s="44" t="s">
        <v>3393</v>
      </c>
      <c r="AJ1365" s="26"/>
      <c r="AK1365" s="5"/>
      <c r="AL1365" s="82" t="s">
        <v>4174</v>
      </c>
      <c r="AM1365" s="76"/>
      <c r="AN1365" s="76"/>
      <c r="AO1365" s="76"/>
      <c r="AP1365" s="76"/>
      <c r="AQ1365" s="76"/>
      <c r="AR1365" s="76"/>
      <c r="AS1365" s="76"/>
      <c r="AT1365" s="76"/>
      <c r="AU1365" s="76"/>
      <c r="AV1365" s="76"/>
      <c r="AW1365" s="76"/>
      <c r="AX1365" s="76">
        <f>+AW1365*600000</f>
        <v>0</v>
      </c>
      <c r="AY1365" s="76"/>
      <c r="AZ1365" s="76">
        <f>+AY1365*70000</f>
        <v>0</v>
      </c>
      <c r="BA1365" s="76"/>
      <c r="BB1365" s="76"/>
      <c r="BC1365" s="76"/>
      <c r="BD1365" s="76">
        <f>+BC1365*30000</f>
        <v>0</v>
      </c>
      <c r="BE1365" s="76"/>
      <c r="BF1365" s="76"/>
      <c r="BG1365" s="76"/>
      <c r="BH1365" s="76"/>
      <c r="BI1365" s="76"/>
      <c r="BJ1365" s="76"/>
      <c r="BK1365" s="76"/>
      <c r="BL1365" s="76">
        <f>+BK1365*31500</f>
        <v>0</v>
      </c>
      <c r="BM1365" s="76"/>
      <c r="BN1365" s="76"/>
      <c r="BO1365" s="76"/>
      <c r="BP1365" s="76"/>
      <c r="BQ1365" s="76"/>
      <c r="BR1365" s="76"/>
      <c r="BS1365" s="76"/>
      <c r="BT1365" s="76"/>
      <c r="BU1365" s="76"/>
      <c r="BV1365" s="76"/>
      <c r="BW1365" s="76"/>
      <c r="BX1365" s="76"/>
      <c r="BY1365" s="76"/>
      <c r="BZ1365" s="76"/>
      <c r="CA1365" s="76"/>
      <c r="CB1365" s="76"/>
      <c r="CC1365" s="76"/>
      <c r="CD1365" s="76"/>
      <c r="CE1365" s="76"/>
      <c r="CF1365" s="76">
        <f>+CE1365*28000</f>
        <v>0</v>
      </c>
      <c r="CG1365" s="76"/>
      <c r="CH1365" s="76">
        <f>+CG1365*22500</f>
        <v>0</v>
      </c>
      <c r="CI1365" s="76"/>
      <c r="CJ1365" s="76">
        <f>+CI1365*26000</f>
        <v>0</v>
      </c>
      <c r="CK1365" s="76"/>
      <c r="CL1365" s="76"/>
      <c r="CM1365" s="76"/>
      <c r="CN1365" s="76">
        <f>+CM1365*22000</f>
        <v>0</v>
      </c>
      <c r="CO1365" s="76"/>
      <c r="CP1365" s="76">
        <f>+CO1365*46000</f>
        <v>0</v>
      </c>
      <c r="CQ1365" s="76"/>
      <c r="CR1365" s="76">
        <f>+CQ1365*49000</f>
        <v>0</v>
      </c>
      <c r="CS1365" s="76"/>
      <c r="CT1365" s="76"/>
      <c r="CU1365" s="56">
        <f>AN1365+AP1365+AR1365+AT1365+AV1365+AX1365+AZ1365+BB1365+BD1365+BF1365+BH1365+BJ1365+BL1365+BN1365+BP1365+BR1365+BT1365+BV1365+BX1365+BZ1365+CB1365+CD1365+CF1365+CH1365+CJ1365+CL1365+CN1365+CP1365+CR1365+CT1365</f>
        <v>0</v>
      </c>
      <c r="CV1365" s="76"/>
      <c r="CW1365" s="76">
        <f>+CV1365*1100</f>
        <v>0</v>
      </c>
      <c r="CX1365" s="76"/>
      <c r="CY1365" s="76">
        <f>+CX1365*106250</f>
        <v>0</v>
      </c>
      <c r="CZ1365" s="76"/>
      <c r="DA1365" s="76">
        <f>+CZ1365*34500</f>
        <v>0</v>
      </c>
      <c r="DB1365" s="76"/>
      <c r="DC1365" s="76">
        <f>+DB1365*25000</f>
        <v>0</v>
      </c>
      <c r="DD1365" s="219"/>
      <c r="DE1365" s="219"/>
      <c r="DF1365" s="166"/>
      <c r="DG1365" s="116"/>
      <c r="DH1365" s="117"/>
      <c r="DI1365" s="24"/>
      <c r="DJ1365" s="24"/>
      <c r="DK1365" s="24"/>
      <c r="DL1365" s="24"/>
      <c r="DM1365" s="24"/>
      <c r="DN1365" s="24"/>
      <c r="DO1365" s="24"/>
      <c r="DP1365" s="24"/>
      <c r="DQ1365" s="24"/>
      <c r="DR1365" s="24"/>
      <c r="DS1365" s="24"/>
      <c r="DT1365" s="24"/>
      <c r="DU1365" s="24"/>
    </row>
    <row r="1366" spans="1:125" s="8" customFormat="1" ht="36" x14ac:dyDescent="0.2">
      <c r="A1366" s="77">
        <v>41367</v>
      </c>
      <c r="B1366" s="225" t="s">
        <v>2848</v>
      </c>
      <c r="C1366" s="227" t="s">
        <v>515</v>
      </c>
      <c r="D1366" s="227" t="s">
        <v>2859</v>
      </c>
      <c r="E1366" s="75" t="str">
        <f>VLOOKUP(B1366&amp;C1366,Divipola!$C$2:$F$1138,4,FALSE)</f>
        <v>73030</v>
      </c>
      <c r="F1366" s="87"/>
      <c r="G1366" s="87"/>
      <c r="H1366" s="87"/>
      <c r="I1366" s="87">
        <v>5</v>
      </c>
      <c r="J1366" s="87">
        <v>1</v>
      </c>
      <c r="K1366" s="87">
        <v>1</v>
      </c>
      <c r="L1366" s="87"/>
      <c r="M1366" s="87"/>
      <c r="N1366" s="87"/>
      <c r="O1366" s="87"/>
      <c r="P1366" s="87"/>
      <c r="Q1366" s="87"/>
      <c r="R1366" s="87"/>
      <c r="S1366" s="87"/>
      <c r="T1366" s="87"/>
      <c r="U1366" s="88"/>
      <c r="V1366" s="89"/>
      <c r="W1366" s="96">
        <v>0</v>
      </c>
      <c r="X1366" s="71">
        <f>CU1366</f>
        <v>0</v>
      </c>
      <c r="Y1366" s="71">
        <f>CY1366</f>
        <v>0</v>
      </c>
      <c r="Z1366" s="71">
        <f>DA1366+DC1366+DE1366</f>
        <v>0</v>
      </c>
      <c r="AA1366" s="71">
        <f>CW1366</f>
        <v>0</v>
      </c>
      <c r="AB1366" s="71"/>
      <c r="AC1366" s="71">
        <v>0</v>
      </c>
      <c r="AD1366" s="71">
        <f>W1366+X1366+Y1366+Z1366+AA1366+AB1366+AC1366</f>
        <v>0</v>
      </c>
      <c r="AE1366" s="72">
        <v>0</v>
      </c>
      <c r="AF1366" s="5"/>
      <c r="AG1366" s="6"/>
      <c r="AH1366" s="27" t="s">
        <v>3392</v>
      </c>
      <c r="AI1366" s="44" t="s">
        <v>3393</v>
      </c>
      <c r="AJ1366" s="26"/>
      <c r="AK1366" s="5"/>
      <c r="AL1366" s="82" t="s">
        <v>4179</v>
      </c>
      <c r="AM1366" s="76"/>
      <c r="AN1366" s="76"/>
      <c r="AO1366" s="76"/>
      <c r="AP1366" s="76"/>
      <c r="AQ1366" s="76"/>
      <c r="AR1366" s="76"/>
      <c r="AS1366" s="76"/>
      <c r="AT1366" s="76"/>
      <c r="AU1366" s="76"/>
      <c r="AV1366" s="76"/>
      <c r="AW1366" s="76"/>
      <c r="AX1366" s="76">
        <f>+AW1366*600000</f>
        <v>0</v>
      </c>
      <c r="AY1366" s="76"/>
      <c r="AZ1366" s="76">
        <f>+AY1366*70000</f>
        <v>0</v>
      </c>
      <c r="BA1366" s="76"/>
      <c r="BB1366" s="76"/>
      <c r="BC1366" s="76"/>
      <c r="BD1366" s="76">
        <f>+BC1366*30000</f>
        <v>0</v>
      </c>
      <c r="BE1366" s="76"/>
      <c r="BF1366" s="76"/>
      <c r="BG1366" s="76"/>
      <c r="BH1366" s="76"/>
      <c r="BI1366" s="76"/>
      <c r="BJ1366" s="76"/>
      <c r="BK1366" s="76"/>
      <c r="BL1366" s="76">
        <f>+BK1366*31500</f>
        <v>0</v>
      </c>
      <c r="BM1366" s="76"/>
      <c r="BN1366" s="76"/>
      <c r="BO1366" s="76"/>
      <c r="BP1366" s="76"/>
      <c r="BQ1366" s="76"/>
      <c r="BR1366" s="76"/>
      <c r="BS1366" s="76"/>
      <c r="BT1366" s="76"/>
      <c r="BU1366" s="76"/>
      <c r="BV1366" s="76"/>
      <c r="BW1366" s="76"/>
      <c r="BX1366" s="76"/>
      <c r="BY1366" s="76"/>
      <c r="BZ1366" s="76"/>
      <c r="CA1366" s="76"/>
      <c r="CB1366" s="76"/>
      <c r="CC1366" s="76"/>
      <c r="CD1366" s="76"/>
      <c r="CE1366" s="76"/>
      <c r="CF1366" s="76">
        <f>+CE1366*28000</f>
        <v>0</v>
      </c>
      <c r="CG1366" s="76"/>
      <c r="CH1366" s="76">
        <f>+CG1366*22500</f>
        <v>0</v>
      </c>
      <c r="CI1366" s="76"/>
      <c r="CJ1366" s="76">
        <f>+CI1366*26000</f>
        <v>0</v>
      </c>
      <c r="CK1366" s="76"/>
      <c r="CL1366" s="76"/>
      <c r="CM1366" s="76"/>
      <c r="CN1366" s="76">
        <f>+CM1366*22000</f>
        <v>0</v>
      </c>
      <c r="CO1366" s="76"/>
      <c r="CP1366" s="76">
        <f>+CO1366*46000</f>
        <v>0</v>
      </c>
      <c r="CQ1366" s="76"/>
      <c r="CR1366" s="76">
        <f>+CQ1366*49000</f>
        <v>0</v>
      </c>
      <c r="CS1366" s="76"/>
      <c r="CT1366" s="76"/>
      <c r="CU1366" s="56">
        <f>AN1366+AP1366+AR1366+AT1366+AV1366+AX1366+AZ1366+BB1366+BD1366+BF1366+BH1366+BJ1366+BL1366+BN1366+BP1366+BR1366+BT1366+BV1366+BX1366+BZ1366+CB1366+CD1366+CF1366+CH1366+CJ1366+CL1366+CN1366+CP1366+CR1366+CT1366</f>
        <v>0</v>
      </c>
      <c r="CV1366" s="76"/>
      <c r="CW1366" s="76">
        <f>+CV1366*1100</f>
        <v>0</v>
      </c>
      <c r="CX1366" s="76"/>
      <c r="CY1366" s="76">
        <f>+CX1366*106250</f>
        <v>0</v>
      </c>
      <c r="CZ1366" s="76"/>
      <c r="DA1366" s="76">
        <f>+CZ1366*34500</f>
        <v>0</v>
      </c>
      <c r="DB1366" s="76"/>
      <c r="DC1366" s="76">
        <f>+DB1366*25000</f>
        <v>0</v>
      </c>
      <c r="DD1366" s="219"/>
      <c r="DE1366" s="219"/>
      <c r="DF1366" s="166"/>
      <c r="DG1366" s="116"/>
      <c r="DH1366" s="117"/>
      <c r="DI1366" s="24"/>
      <c r="DJ1366" s="24"/>
      <c r="DK1366" s="24"/>
      <c r="DL1366" s="24"/>
      <c r="DM1366" s="24"/>
      <c r="DN1366" s="24"/>
      <c r="DO1366" s="24"/>
      <c r="DP1366" s="24"/>
      <c r="DQ1366" s="24"/>
      <c r="DR1366" s="24"/>
      <c r="DS1366" s="24"/>
      <c r="DT1366" s="24"/>
      <c r="DU1366" s="24"/>
    </row>
    <row r="1367" spans="1:125" s="8" customFormat="1" ht="48" x14ac:dyDescent="0.2">
      <c r="A1367" s="77">
        <v>41367</v>
      </c>
      <c r="B1367" s="225" t="s">
        <v>2848</v>
      </c>
      <c r="C1367" s="227" t="s">
        <v>2755</v>
      </c>
      <c r="D1367" s="81" t="s">
        <v>2846</v>
      </c>
      <c r="E1367" s="75" t="str">
        <f>VLOOKUP(B1367&amp;C1367,Divipola!$C$2:$F$1138,4,FALSE)</f>
        <v>73001</v>
      </c>
      <c r="F1367" s="87"/>
      <c r="G1367" s="87"/>
      <c r="H1367" s="87"/>
      <c r="I1367" s="87"/>
      <c r="J1367" s="87"/>
      <c r="K1367" s="87"/>
      <c r="L1367" s="87"/>
      <c r="M1367" s="87"/>
      <c r="N1367" s="87"/>
      <c r="O1367" s="87"/>
      <c r="P1367" s="87"/>
      <c r="Q1367" s="87"/>
      <c r="R1367" s="87"/>
      <c r="S1367" s="87"/>
      <c r="T1367" s="87"/>
      <c r="U1367" s="88">
        <v>5</v>
      </c>
      <c r="V1367" s="89"/>
      <c r="W1367" s="96">
        <v>0</v>
      </c>
      <c r="X1367" s="71">
        <f>CU1367</f>
        <v>0</v>
      </c>
      <c r="Y1367" s="71">
        <f>CY1367</f>
        <v>0</v>
      </c>
      <c r="Z1367" s="71">
        <f>DA1367+DC1367+DE1367</f>
        <v>0</v>
      </c>
      <c r="AA1367" s="71">
        <f>CW1367</f>
        <v>0</v>
      </c>
      <c r="AB1367" s="71"/>
      <c r="AC1367" s="71">
        <v>0</v>
      </c>
      <c r="AD1367" s="71">
        <f>W1367+X1367+Y1367+Z1367+AA1367+AB1367+AC1367</f>
        <v>0</v>
      </c>
      <c r="AE1367" s="72">
        <v>0</v>
      </c>
      <c r="AF1367" s="5"/>
      <c r="AG1367" s="6"/>
      <c r="AH1367" s="27" t="s">
        <v>3392</v>
      </c>
      <c r="AI1367" s="44" t="s">
        <v>3393</v>
      </c>
      <c r="AJ1367" s="26"/>
      <c r="AK1367" s="5"/>
      <c r="AL1367" s="82" t="s">
        <v>4178</v>
      </c>
      <c r="AM1367" s="76"/>
      <c r="AN1367" s="76"/>
      <c r="AO1367" s="76"/>
      <c r="AP1367" s="76"/>
      <c r="AQ1367" s="76"/>
      <c r="AR1367" s="76"/>
      <c r="AS1367" s="76"/>
      <c r="AT1367" s="76"/>
      <c r="AU1367" s="76"/>
      <c r="AV1367" s="76"/>
      <c r="AW1367" s="76"/>
      <c r="AX1367" s="76">
        <f>+AW1367*600000</f>
        <v>0</v>
      </c>
      <c r="AY1367" s="76"/>
      <c r="AZ1367" s="76">
        <f>+AY1367*70000</f>
        <v>0</v>
      </c>
      <c r="BA1367" s="76"/>
      <c r="BB1367" s="76"/>
      <c r="BC1367" s="76"/>
      <c r="BD1367" s="76">
        <f>+BC1367*30000</f>
        <v>0</v>
      </c>
      <c r="BE1367" s="76"/>
      <c r="BF1367" s="76"/>
      <c r="BG1367" s="76"/>
      <c r="BH1367" s="76"/>
      <c r="BI1367" s="76"/>
      <c r="BJ1367" s="76"/>
      <c r="BK1367" s="76"/>
      <c r="BL1367" s="76">
        <f>+BK1367*31500</f>
        <v>0</v>
      </c>
      <c r="BM1367" s="76"/>
      <c r="BN1367" s="76"/>
      <c r="BO1367" s="76"/>
      <c r="BP1367" s="76"/>
      <c r="BQ1367" s="76"/>
      <c r="BR1367" s="76"/>
      <c r="BS1367" s="76"/>
      <c r="BT1367" s="76"/>
      <c r="BU1367" s="76"/>
      <c r="BV1367" s="76"/>
      <c r="BW1367" s="76"/>
      <c r="BX1367" s="76"/>
      <c r="BY1367" s="76"/>
      <c r="BZ1367" s="76"/>
      <c r="CA1367" s="76"/>
      <c r="CB1367" s="76"/>
      <c r="CC1367" s="76"/>
      <c r="CD1367" s="76"/>
      <c r="CE1367" s="76"/>
      <c r="CF1367" s="76">
        <f>+CE1367*28000</f>
        <v>0</v>
      </c>
      <c r="CG1367" s="76"/>
      <c r="CH1367" s="76">
        <f>+CG1367*22500</f>
        <v>0</v>
      </c>
      <c r="CI1367" s="76"/>
      <c r="CJ1367" s="76">
        <f>+CI1367*26000</f>
        <v>0</v>
      </c>
      <c r="CK1367" s="76"/>
      <c r="CL1367" s="76"/>
      <c r="CM1367" s="76"/>
      <c r="CN1367" s="76">
        <f>+CM1367*22000</f>
        <v>0</v>
      </c>
      <c r="CO1367" s="76"/>
      <c r="CP1367" s="76">
        <f>+CO1367*46000</f>
        <v>0</v>
      </c>
      <c r="CQ1367" s="76"/>
      <c r="CR1367" s="76">
        <f>+CQ1367*49000</f>
        <v>0</v>
      </c>
      <c r="CS1367" s="76"/>
      <c r="CT1367" s="76"/>
      <c r="CU1367" s="56">
        <f>AN1367+AP1367+AR1367+AT1367+AV1367+AX1367+AZ1367+BB1367+BD1367+BF1367+BH1367+BJ1367+BL1367+BN1367+BP1367+BR1367+BT1367+BV1367+BX1367+BZ1367+CB1367+CD1367+CF1367+CH1367+CJ1367+CL1367+CN1367+CP1367+CR1367+CT1367</f>
        <v>0</v>
      </c>
      <c r="CV1367" s="76"/>
      <c r="CW1367" s="76">
        <f>+CV1367*1100</f>
        <v>0</v>
      </c>
      <c r="CX1367" s="76"/>
      <c r="CY1367" s="76">
        <f>+CX1367*106250</f>
        <v>0</v>
      </c>
      <c r="CZ1367" s="76"/>
      <c r="DA1367" s="76">
        <f>+CZ1367*34500</f>
        <v>0</v>
      </c>
      <c r="DB1367" s="76"/>
      <c r="DC1367" s="76">
        <f>+DB1367*25000</f>
        <v>0</v>
      </c>
      <c r="DD1367" s="219"/>
      <c r="DE1367" s="219"/>
      <c r="DF1367" s="166"/>
      <c r="DG1367" s="116"/>
      <c r="DH1367" s="117"/>
      <c r="DI1367" s="24"/>
      <c r="DJ1367" s="24"/>
      <c r="DK1367" s="24"/>
      <c r="DL1367" s="24"/>
      <c r="DM1367" s="24"/>
      <c r="DN1367" s="24"/>
      <c r="DO1367" s="24"/>
      <c r="DP1367" s="24"/>
      <c r="DQ1367" s="24"/>
      <c r="DR1367" s="24"/>
      <c r="DS1367" s="24"/>
      <c r="DT1367" s="24"/>
      <c r="DU1367" s="24"/>
    </row>
    <row r="1368" spans="1:125" s="8" customFormat="1" ht="60" x14ac:dyDescent="0.2">
      <c r="A1368" s="77">
        <v>41367</v>
      </c>
      <c r="B1368" s="225" t="s">
        <v>2851</v>
      </c>
      <c r="C1368" s="227" t="s">
        <v>2135</v>
      </c>
      <c r="D1368" s="227" t="s">
        <v>2882</v>
      </c>
      <c r="E1368" s="75" t="str">
        <f>VLOOKUP(B1368&amp;C1368,Divipola!$C$2:$F$1138,4,FALSE)</f>
        <v>76834</v>
      </c>
      <c r="F1368" s="87"/>
      <c r="G1368" s="87"/>
      <c r="H1368" s="87"/>
      <c r="I1368" s="87">
        <v>290</v>
      </c>
      <c r="J1368" s="87">
        <v>58</v>
      </c>
      <c r="K1368" s="87"/>
      <c r="L1368" s="87"/>
      <c r="M1368" s="87"/>
      <c r="N1368" s="87"/>
      <c r="O1368" s="87"/>
      <c r="P1368" s="87"/>
      <c r="Q1368" s="87"/>
      <c r="R1368" s="87"/>
      <c r="S1368" s="87"/>
      <c r="T1368" s="87"/>
      <c r="U1368" s="88"/>
      <c r="V1368" s="89"/>
      <c r="W1368" s="96">
        <v>0</v>
      </c>
      <c r="X1368" s="71">
        <f>CU1368</f>
        <v>0</v>
      </c>
      <c r="Y1368" s="71">
        <f>CY1368</f>
        <v>0</v>
      </c>
      <c r="Z1368" s="71">
        <f>DA1368+DC1368+DE1368</f>
        <v>0</v>
      </c>
      <c r="AA1368" s="71">
        <f>CW1368</f>
        <v>0</v>
      </c>
      <c r="AB1368" s="71"/>
      <c r="AC1368" s="71">
        <v>0</v>
      </c>
      <c r="AD1368" s="71">
        <f>W1368+X1368+Y1368+Z1368+AA1368+AB1368+AC1368</f>
        <v>0</v>
      </c>
      <c r="AE1368" s="72">
        <v>0</v>
      </c>
      <c r="AF1368" s="5"/>
      <c r="AG1368" s="6"/>
      <c r="AH1368" s="27" t="s">
        <v>3392</v>
      </c>
      <c r="AI1368" s="44" t="s">
        <v>3393</v>
      </c>
      <c r="AJ1368" s="26"/>
      <c r="AK1368" s="5"/>
      <c r="AL1368" s="82" t="s">
        <v>4180</v>
      </c>
      <c r="AM1368" s="76"/>
      <c r="AN1368" s="76"/>
      <c r="AO1368" s="76"/>
      <c r="AP1368" s="76"/>
      <c r="AQ1368" s="76"/>
      <c r="AR1368" s="76"/>
      <c r="AS1368" s="76"/>
      <c r="AT1368" s="76"/>
      <c r="AU1368" s="76"/>
      <c r="AV1368" s="76"/>
      <c r="AW1368" s="76"/>
      <c r="AX1368" s="76">
        <f>+AW1368*600000</f>
        <v>0</v>
      </c>
      <c r="AY1368" s="76"/>
      <c r="AZ1368" s="76">
        <f>+AY1368*70000</f>
        <v>0</v>
      </c>
      <c r="BA1368" s="76"/>
      <c r="BB1368" s="76"/>
      <c r="BC1368" s="76"/>
      <c r="BD1368" s="76">
        <f>+BC1368*30000</f>
        <v>0</v>
      </c>
      <c r="BE1368" s="76"/>
      <c r="BF1368" s="76"/>
      <c r="BG1368" s="76"/>
      <c r="BH1368" s="76"/>
      <c r="BI1368" s="76"/>
      <c r="BJ1368" s="76"/>
      <c r="BK1368" s="76"/>
      <c r="BL1368" s="76">
        <f>+BK1368*31500</f>
        <v>0</v>
      </c>
      <c r="BM1368" s="76"/>
      <c r="BN1368" s="76"/>
      <c r="BO1368" s="76"/>
      <c r="BP1368" s="76"/>
      <c r="BQ1368" s="76"/>
      <c r="BR1368" s="76"/>
      <c r="BS1368" s="76"/>
      <c r="BT1368" s="76"/>
      <c r="BU1368" s="76"/>
      <c r="BV1368" s="76"/>
      <c r="BW1368" s="76"/>
      <c r="BX1368" s="76"/>
      <c r="BY1368" s="76"/>
      <c r="BZ1368" s="76"/>
      <c r="CA1368" s="76"/>
      <c r="CB1368" s="76"/>
      <c r="CC1368" s="76"/>
      <c r="CD1368" s="76"/>
      <c r="CE1368" s="76"/>
      <c r="CF1368" s="76">
        <f>+CE1368*28000</f>
        <v>0</v>
      </c>
      <c r="CG1368" s="76"/>
      <c r="CH1368" s="76">
        <f>+CG1368*22500</f>
        <v>0</v>
      </c>
      <c r="CI1368" s="76"/>
      <c r="CJ1368" s="76">
        <f>+CI1368*26000</f>
        <v>0</v>
      </c>
      <c r="CK1368" s="76"/>
      <c r="CL1368" s="76"/>
      <c r="CM1368" s="76"/>
      <c r="CN1368" s="76">
        <f>+CM1368*22000</f>
        <v>0</v>
      </c>
      <c r="CO1368" s="76"/>
      <c r="CP1368" s="76">
        <f>+CO1368*46000</f>
        <v>0</v>
      </c>
      <c r="CQ1368" s="76"/>
      <c r="CR1368" s="76">
        <f>+CQ1368*49000</f>
        <v>0</v>
      </c>
      <c r="CS1368" s="76"/>
      <c r="CT1368" s="76"/>
      <c r="CU1368" s="56">
        <f>AN1368+AP1368+AR1368+AT1368+AV1368+AX1368+AZ1368+BB1368+BD1368+BF1368+BH1368+BJ1368+BL1368+BN1368+BP1368+BR1368+BT1368+BV1368+BX1368+BZ1368+CB1368+CD1368+CF1368+CH1368+CJ1368+CL1368+CN1368+CP1368+CR1368+CT1368</f>
        <v>0</v>
      </c>
      <c r="CV1368" s="76"/>
      <c r="CW1368" s="76">
        <f>+CV1368*1100</f>
        <v>0</v>
      </c>
      <c r="CX1368" s="76"/>
      <c r="CY1368" s="76">
        <f>+CX1368*106250</f>
        <v>0</v>
      </c>
      <c r="CZ1368" s="76"/>
      <c r="DA1368" s="76">
        <f>+CZ1368*34500</f>
        <v>0</v>
      </c>
      <c r="DB1368" s="76"/>
      <c r="DC1368" s="76">
        <f>+DB1368*25000</f>
        <v>0</v>
      </c>
      <c r="DD1368" s="219"/>
      <c r="DE1368" s="219"/>
      <c r="DF1368" s="166"/>
      <c r="DG1368" s="116"/>
      <c r="DH1368" s="117"/>
      <c r="DI1368" s="24"/>
      <c r="DJ1368" s="24"/>
      <c r="DK1368" s="24"/>
      <c r="DL1368" s="24"/>
      <c r="DM1368" s="24"/>
      <c r="DN1368" s="24"/>
      <c r="DO1368" s="24"/>
      <c r="DP1368" s="24"/>
      <c r="DQ1368" s="24"/>
      <c r="DR1368" s="24"/>
      <c r="DS1368" s="24"/>
      <c r="DT1368" s="24"/>
      <c r="DU1368" s="24"/>
    </row>
    <row r="1369" spans="1:125" s="8" customFormat="1" ht="84" x14ac:dyDescent="0.2">
      <c r="A1369" s="226">
        <v>41368</v>
      </c>
      <c r="B1369" s="225" t="s">
        <v>2772</v>
      </c>
      <c r="C1369" s="227" t="s">
        <v>1028</v>
      </c>
      <c r="D1369" s="81" t="s">
        <v>2846</v>
      </c>
      <c r="E1369" s="75" t="str">
        <f>VLOOKUP(B1369&amp;C1369,Divipola!$C$2:$F$1138,4,FALSE)</f>
        <v>25151</v>
      </c>
      <c r="F1369" s="87"/>
      <c r="G1369" s="87"/>
      <c r="H1369" s="87"/>
      <c r="I1369" s="87"/>
      <c r="J1369" s="87"/>
      <c r="K1369" s="87"/>
      <c r="L1369" s="87"/>
      <c r="M1369" s="87"/>
      <c r="N1369" s="87"/>
      <c r="O1369" s="87"/>
      <c r="P1369" s="87"/>
      <c r="Q1369" s="87"/>
      <c r="R1369" s="87"/>
      <c r="S1369" s="87"/>
      <c r="T1369" s="87"/>
      <c r="U1369" s="88">
        <v>5</v>
      </c>
      <c r="V1369" s="89"/>
      <c r="W1369" s="96">
        <v>0</v>
      </c>
      <c r="X1369" s="71">
        <f>CU1369</f>
        <v>0</v>
      </c>
      <c r="Y1369" s="71">
        <f>CY1369</f>
        <v>0</v>
      </c>
      <c r="Z1369" s="71">
        <f>DA1369+DC1369+DE1369</f>
        <v>0</v>
      </c>
      <c r="AA1369" s="71">
        <f>CW1369</f>
        <v>0</v>
      </c>
      <c r="AB1369" s="71"/>
      <c r="AC1369" s="71">
        <v>0</v>
      </c>
      <c r="AD1369" s="71">
        <f>W1369+X1369+Y1369+Z1369+AA1369+AB1369+AC1369</f>
        <v>0</v>
      </c>
      <c r="AE1369" s="72">
        <v>0</v>
      </c>
      <c r="AF1369" s="5"/>
      <c r="AG1369" s="6"/>
      <c r="AH1369" s="27" t="s">
        <v>3392</v>
      </c>
      <c r="AI1369" s="44" t="s">
        <v>3393</v>
      </c>
      <c r="AJ1369" s="26"/>
      <c r="AK1369" s="5"/>
      <c r="AL1369" s="82" t="s">
        <v>4190</v>
      </c>
      <c r="AM1369" s="76"/>
      <c r="AN1369" s="76"/>
      <c r="AO1369" s="76"/>
      <c r="AP1369" s="76"/>
      <c r="AQ1369" s="76"/>
      <c r="AR1369" s="76"/>
      <c r="AS1369" s="76"/>
      <c r="AT1369" s="76"/>
      <c r="AU1369" s="76"/>
      <c r="AV1369" s="76"/>
      <c r="AW1369" s="76"/>
      <c r="AX1369" s="76">
        <f>+AW1369*600000</f>
        <v>0</v>
      </c>
      <c r="AY1369" s="76"/>
      <c r="AZ1369" s="76">
        <f>+AY1369*70000</f>
        <v>0</v>
      </c>
      <c r="BA1369" s="76"/>
      <c r="BB1369" s="76"/>
      <c r="BC1369" s="76"/>
      <c r="BD1369" s="76">
        <f>+BC1369*30000</f>
        <v>0</v>
      </c>
      <c r="BE1369" s="76"/>
      <c r="BF1369" s="76"/>
      <c r="BG1369" s="76"/>
      <c r="BH1369" s="76"/>
      <c r="BI1369" s="76"/>
      <c r="BJ1369" s="76"/>
      <c r="BK1369" s="76"/>
      <c r="BL1369" s="76">
        <f>+BK1369*31500</f>
        <v>0</v>
      </c>
      <c r="BM1369" s="76"/>
      <c r="BN1369" s="76"/>
      <c r="BO1369" s="76"/>
      <c r="BP1369" s="76"/>
      <c r="BQ1369" s="76"/>
      <c r="BR1369" s="76"/>
      <c r="BS1369" s="76"/>
      <c r="BT1369" s="76"/>
      <c r="BU1369" s="76"/>
      <c r="BV1369" s="76"/>
      <c r="BW1369" s="76"/>
      <c r="BX1369" s="76"/>
      <c r="BY1369" s="76"/>
      <c r="BZ1369" s="76"/>
      <c r="CA1369" s="76"/>
      <c r="CB1369" s="76"/>
      <c r="CC1369" s="76"/>
      <c r="CD1369" s="76"/>
      <c r="CE1369" s="76"/>
      <c r="CF1369" s="76">
        <f>+CE1369*28000</f>
        <v>0</v>
      </c>
      <c r="CG1369" s="76"/>
      <c r="CH1369" s="76">
        <f>+CG1369*22500</f>
        <v>0</v>
      </c>
      <c r="CI1369" s="76"/>
      <c r="CJ1369" s="76">
        <f>+CI1369*26000</f>
        <v>0</v>
      </c>
      <c r="CK1369" s="76"/>
      <c r="CL1369" s="76"/>
      <c r="CM1369" s="76"/>
      <c r="CN1369" s="76">
        <f>+CM1369*22000</f>
        <v>0</v>
      </c>
      <c r="CO1369" s="76"/>
      <c r="CP1369" s="76">
        <f>+CO1369*46000</f>
        <v>0</v>
      </c>
      <c r="CQ1369" s="76"/>
      <c r="CR1369" s="76">
        <f>+CQ1369*49000</f>
        <v>0</v>
      </c>
      <c r="CS1369" s="76"/>
      <c r="CT1369" s="76"/>
      <c r="CU1369" s="56">
        <f>AN1369+AP1369+AR1369+AT1369+AV1369+AX1369+AZ1369+BB1369+BD1369+BF1369+BH1369+BJ1369+BL1369+BN1369+BP1369+BR1369+BT1369+BV1369+BX1369+BZ1369+CB1369+CD1369+CF1369+CH1369+CJ1369+CL1369+CN1369+CP1369+CR1369+CT1369</f>
        <v>0</v>
      </c>
      <c r="CV1369" s="76"/>
      <c r="CW1369" s="76">
        <f>+CV1369*1100</f>
        <v>0</v>
      </c>
      <c r="CX1369" s="76"/>
      <c r="CY1369" s="76">
        <f>+CX1369*106250</f>
        <v>0</v>
      </c>
      <c r="CZ1369" s="76"/>
      <c r="DA1369" s="76">
        <f>+CZ1369*34500</f>
        <v>0</v>
      </c>
      <c r="DB1369" s="76"/>
      <c r="DC1369" s="76">
        <f>+DB1369*25000</f>
        <v>0</v>
      </c>
      <c r="DD1369" s="219"/>
      <c r="DE1369" s="219"/>
      <c r="DF1369" s="166"/>
      <c r="DG1369" s="116"/>
      <c r="DH1369" s="117"/>
      <c r="DI1369" s="24"/>
      <c r="DJ1369" s="24"/>
      <c r="DK1369" s="24"/>
      <c r="DL1369" s="24"/>
      <c r="DM1369" s="24"/>
      <c r="DN1369" s="24"/>
      <c r="DO1369" s="24"/>
      <c r="DP1369" s="24"/>
      <c r="DQ1369" s="24"/>
      <c r="DR1369" s="24"/>
      <c r="DS1369" s="24"/>
      <c r="DT1369" s="24"/>
      <c r="DU1369" s="24"/>
    </row>
    <row r="1370" spans="1:125" s="8" customFormat="1" ht="108" x14ac:dyDescent="0.2">
      <c r="A1370" s="226">
        <v>41368</v>
      </c>
      <c r="B1370" s="225" t="s">
        <v>2772</v>
      </c>
      <c r="C1370" s="227" t="s">
        <v>1068</v>
      </c>
      <c r="D1370" s="81" t="s">
        <v>2846</v>
      </c>
      <c r="E1370" s="75" t="str">
        <f>VLOOKUP(B1370&amp;C1370,Divipola!$C$2:$F$1138,4,FALSE)</f>
        <v>25299</v>
      </c>
      <c r="F1370" s="87"/>
      <c r="G1370" s="87"/>
      <c r="H1370" s="87"/>
      <c r="I1370" s="87"/>
      <c r="J1370" s="87"/>
      <c r="K1370" s="87"/>
      <c r="L1370" s="87"/>
      <c r="M1370" s="87"/>
      <c r="N1370" s="87"/>
      <c r="O1370" s="87"/>
      <c r="P1370" s="87"/>
      <c r="Q1370" s="87"/>
      <c r="R1370" s="87"/>
      <c r="S1370" s="87"/>
      <c r="T1370" s="87"/>
      <c r="U1370" s="88">
        <v>3</v>
      </c>
      <c r="V1370" s="89"/>
      <c r="W1370" s="96">
        <v>0</v>
      </c>
      <c r="X1370" s="71">
        <f>CU1370</f>
        <v>0</v>
      </c>
      <c r="Y1370" s="71">
        <f>CY1370</f>
        <v>0</v>
      </c>
      <c r="Z1370" s="71">
        <f>DA1370+DC1370+DE1370</f>
        <v>0</v>
      </c>
      <c r="AA1370" s="71">
        <f>CW1370</f>
        <v>0</v>
      </c>
      <c r="AB1370" s="71"/>
      <c r="AC1370" s="71">
        <v>0</v>
      </c>
      <c r="AD1370" s="71">
        <f>W1370+X1370+Y1370+Z1370+AA1370+AB1370+AC1370</f>
        <v>0</v>
      </c>
      <c r="AE1370" s="72">
        <v>0</v>
      </c>
      <c r="AF1370" s="5"/>
      <c r="AG1370" s="6"/>
      <c r="AH1370" s="27" t="s">
        <v>3392</v>
      </c>
      <c r="AI1370" s="44" t="s">
        <v>3393</v>
      </c>
      <c r="AJ1370" s="26"/>
      <c r="AK1370" s="5"/>
      <c r="AL1370" s="82" t="s">
        <v>4191</v>
      </c>
      <c r="AM1370" s="76"/>
      <c r="AN1370" s="76"/>
      <c r="AO1370" s="76"/>
      <c r="AP1370" s="76"/>
      <c r="AQ1370" s="76"/>
      <c r="AR1370" s="76"/>
      <c r="AS1370" s="76"/>
      <c r="AT1370" s="76"/>
      <c r="AU1370" s="76"/>
      <c r="AV1370" s="76"/>
      <c r="AW1370" s="76"/>
      <c r="AX1370" s="76">
        <f>+AW1370*600000</f>
        <v>0</v>
      </c>
      <c r="AY1370" s="76"/>
      <c r="AZ1370" s="76">
        <f>+AY1370*70000</f>
        <v>0</v>
      </c>
      <c r="BA1370" s="76"/>
      <c r="BB1370" s="76"/>
      <c r="BC1370" s="76"/>
      <c r="BD1370" s="76">
        <f>+BC1370*30000</f>
        <v>0</v>
      </c>
      <c r="BE1370" s="76"/>
      <c r="BF1370" s="76"/>
      <c r="BG1370" s="76"/>
      <c r="BH1370" s="76"/>
      <c r="BI1370" s="76"/>
      <c r="BJ1370" s="76"/>
      <c r="BK1370" s="76"/>
      <c r="BL1370" s="76">
        <f>+BK1370*31500</f>
        <v>0</v>
      </c>
      <c r="BM1370" s="76"/>
      <c r="BN1370" s="76"/>
      <c r="BO1370" s="76"/>
      <c r="BP1370" s="76"/>
      <c r="BQ1370" s="76"/>
      <c r="BR1370" s="76"/>
      <c r="BS1370" s="76"/>
      <c r="BT1370" s="76"/>
      <c r="BU1370" s="76"/>
      <c r="BV1370" s="76"/>
      <c r="BW1370" s="76"/>
      <c r="BX1370" s="76"/>
      <c r="BY1370" s="76"/>
      <c r="BZ1370" s="76"/>
      <c r="CA1370" s="76"/>
      <c r="CB1370" s="76"/>
      <c r="CC1370" s="76"/>
      <c r="CD1370" s="76"/>
      <c r="CE1370" s="76"/>
      <c r="CF1370" s="76">
        <f>+CE1370*28000</f>
        <v>0</v>
      </c>
      <c r="CG1370" s="76"/>
      <c r="CH1370" s="76">
        <f>+CG1370*22500</f>
        <v>0</v>
      </c>
      <c r="CI1370" s="76"/>
      <c r="CJ1370" s="76">
        <f>+CI1370*26000</f>
        <v>0</v>
      </c>
      <c r="CK1370" s="76"/>
      <c r="CL1370" s="76"/>
      <c r="CM1370" s="76"/>
      <c r="CN1370" s="76">
        <f>+CM1370*22000</f>
        <v>0</v>
      </c>
      <c r="CO1370" s="76"/>
      <c r="CP1370" s="76">
        <f>+CO1370*46000</f>
        <v>0</v>
      </c>
      <c r="CQ1370" s="76"/>
      <c r="CR1370" s="76">
        <f>+CQ1370*49000</f>
        <v>0</v>
      </c>
      <c r="CS1370" s="76"/>
      <c r="CT1370" s="76"/>
      <c r="CU1370" s="56">
        <f>AN1370+AP1370+AR1370+AT1370+AV1370+AX1370+AZ1370+BB1370+BD1370+BF1370+BH1370+BJ1370+BL1370+BN1370+BP1370+BR1370+BT1370+BV1370+BX1370+BZ1370+CB1370+CD1370+CF1370+CH1370+CJ1370+CL1370+CN1370+CP1370+CR1370+CT1370</f>
        <v>0</v>
      </c>
      <c r="CV1370" s="76"/>
      <c r="CW1370" s="76">
        <f>+CV1370*1100</f>
        <v>0</v>
      </c>
      <c r="CX1370" s="76"/>
      <c r="CY1370" s="76">
        <f>+CX1370*106250</f>
        <v>0</v>
      </c>
      <c r="CZ1370" s="76"/>
      <c r="DA1370" s="76">
        <f>+CZ1370*34500</f>
        <v>0</v>
      </c>
      <c r="DB1370" s="76"/>
      <c r="DC1370" s="76">
        <f>+DB1370*25000</f>
        <v>0</v>
      </c>
      <c r="DD1370" s="219"/>
      <c r="DE1370" s="219"/>
      <c r="DF1370" s="166"/>
      <c r="DG1370" s="116"/>
      <c r="DH1370" s="117"/>
      <c r="DI1370" s="24"/>
      <c r="DJ1370" s="24"/>
      <c r="DK1370" s="24"/>
      <c r="DL1370" s="24"/>
      <c r="DM1370" s="24"/>
      <c r="DN1370" s="24"/>
      <c r="DO1370" s="24"/>
      <c r="DP1370" s="24"/>
      <c r="DQ1370" s="24"/>
      <c r="DR1370" s="24"/>
      <c r="DS1370" s="24"/>
      <c r="DT1370" s="24"/>
      <c r="DU1370" s="24"/>
    </row>
    <row r="1371" spans="1:125" s="8" customFormat="1" ht="96" x14ac:dyDescent="0.2">
      <c r="A1371" s="226">
        <v>41368</v>
      </c>
      <c r="B1371" s="352" t="s">
        <v>2772</v>
      </c>
      <c r="C1371" s="354" t="s">
        <v>1082</v>
      </c>
      <c r="D1371" s="81" t="s">
        <v>2846</v>
      </c>
      <c r="E1371" s="75" t="str">
        <f>VLOOKUP(B1371&amp;C1371,Divipola!$C$2:$F$1138,4,FALSE)</f>
        <v>25326</v>
      </c>
      <c r="F1371" s="87"/>
      <c r="G1371" s="87"/>
      <c r="H1371" s="87"/>
      <c r="I1371" s="87"/>
      <c r="J1371" s="87"/>
      <c r="K1371" s="87"/>
      <c r="L1371" s="87"/>
      <c r="M1371" s="87"/>
      <c r="N1371" s="87"/>
      <c r="O1371" s="87"/>
      <c r="P1371" s="87"/>
      <c r="Q1371" s="87"/>
      <c r="R1371" s="87"/>
      <c r="S1371" s="87"/>
      <c r="T1371" s="87"/>
      <c r="U1371" s="88">
        <v>4</v>
      </c>
      <c r="V1371" s="89"/>
      <c r="W1371" s="96">
        <v>0</v>
      </c>
      <c r="X1371" s="71">
        <f>CU1371</f>
        <v>0</v>
      </c>
      <c r="Y1371" s="71">
        <f>CY1371</f>
        <v>0</v>
      </c>
      <c r="Z1371" s="71">
        <f>DA1371+DC1371+DE1371</f>
        <v>0</v>
      </c>
      <c r="AA1371" s="71">
        <f>CW1371</f>
        <v>0</v>
      </c>
      <c r="AB1371" s="71"/>
      <c r="AC1371" s="71">
        <v>0</v>
      </c>
      <c r="AD1371" s="71">
        <f>W1371+X1371+Y1371+Z1371+AA1371+AB1371+AC1371</f>
        <v>0</v>
      </c>
      <c r="AE1371" s="72">
        <v>0</v>
      </c>
      <c r="AF1371" s="5"/>
      <c r="AG1371" s="6"/>
      <c r="AH1371" s="27" t="s">
        <v>3392</v>
      </c>
      <c r="AI1371" s="44" t="s">
        <v>3393</v>
      </c>
      <c r="AJ1371" s="26"/>
      <c r="AK1371" s="5"/>
      <c r="AL1371" s="82" t="s">
        <v>4193</v>
      </c>
      <c r="AM1371" s="76"/>
      <c r="AN1371" s="76"/>
      <c r="AO1371" s="76"/>
      <c r="AP1371" s="76"/>
      <c r="AQ1371" s="76"/>
      <c r="AR1371" s="76"/>
      <c r="AS1371" s="76"/>
      <c r="AT1371" s="76"/>
      <c r="AU1371" s="76"/>
      <c r="AV1371" s="76"/>
      <c r="AW1371" s="76"/>
      <c r="AX1371" s="76">
        <f>+AW1371*600000</f>
        <v>0</v>
      </c>
      <c r="AY1371" s="76"/>
      <c r="AZ1371" s="76">
        <f>+AY1371*70000</f>
        <v>0</v>
      </c>
      <c r="BA1371" s="76"/>
      <c r="BB1371" s="76"/>
      <c r="BC1371" s="76"/>
      <c r="BD1371" s="76">
        <f>+BC1371*30000</f>
        <v>0</v>
      </c>
      <c r="BE1371" s="76"/>
      <c r="BF1371" s="76"/>
      <c r="BG1371" s="76"/>
      <c r="BH1371" s="76"/>
      <c r="BI1371" s="76"/>
      <c r="BJ1371" s="76"/>
      <c r="BK1371" s="76"/>
      <c r="BL1371" s="76">
        <f>+BK1371*31500</f>
        <v>0</v>
      </c>
      <c r="BM1371" s="76"/>
      <c r="BN1371" s="76"/>
      <c r="BO1371" s="76"/>
      <c r="BP1371" s="76"/>
      <c r="BQ1371" s="76"/>
      <c r="BR1371" s="76"/>
      <c r="BS1371" s="76"/>
      <c r="BT1371" s="76"/>
      <c r="BU1371" s="76"/>
      <c r="BV1371" s="76"/>
      <c r="BW1371" s="76"/>
      <c r="BX1371" s="76"/>
      <c r="BY1371" s="76"/>
      <c r="BZ1371" s="76"/>
      <c r="CA1371" s="76"/>
      <c r="CB1371" s="76"/>
      <c r="CC1371" s="76"/>
      <c r="CD1371" s="76"/>
      <c r="CE1371" s="76"/>
      <c r="CF1371" s="76">
        <f>+CE1371*28000</f>
        <v>0</v>
      </c>
      <c r="CG1371" s="76"/>
      <c r="CH1371" s="76">
        <f>+CG1371*22500</f>
        <v>0</v>
      </c>
      <c r="CI1371" s="76"/>
      <c r="CJ1371" s="76">
        <f>+CI1371*26000</f>
        <v>0</v>
      </c>
      <c r="CK1371" s="76"/>
      <c r="CL1371" s="76"/>
      <c r="CM1371" s="76"/>
      <c r="CN1371" s="76">
        <f>+CM1371*22000</f>
        <v>0</v>
      </c>
      <c r="CO1371" s="76"/>
      <c r="CP1371" s="76">
        <f>+CO1371*46000</f>
        <v>0</v>
      </c>
      <c r="CQ1371" s="76"/>
      <c r="CR1371" s="76">
        <f>+CQ1371*49000</f>
        <v>0</v>
      </c>
      <c r="CS1371" s="76"/>
      <c r="CT1371" s="76"/>
      <c r="CU1371" s="56">
        <f>AN1371+AP1371+AR1371+AT1371+AV1371+AX1371+AZ1371+BB1371+BD1371+BF1371+BH1371+BJ1371+BL1371+BN1371+BP1371+BR1371+BT1371+BV1371+BX1371+BZ1371+CB1371+CD1371+CF1371+CH1371+CJ1371+CL1371+CN1371+CP1371+CR1371+CT1371</f>
        <v>0</v>
      </c>
      <c r="CV1371" s="76"/>
      <c r="CW1371" s="76">
        <f>+CV1371*1100</f>
        <v>0</v>
      </c>
      <c r="CX1371" s="76"/>
      <c r="CY1371" s="76">
        <f>+CX1371*106250</f>
        <v>0</v>
      </c>
      <c r="CZ1371" s="76"/>
      <c r="DA1371" s="76">
        <f>+CZ1371*34500</f>
        <v>0</v>
      </c>
      <c r="DB1371" s="76"/>
      <c r="DC1371" s="76">
        <f>+DB1371*25000</f>
        <v>0</v>
      </c>
      <c r="DD1371" s="219"/>
      <c r="DE1371" s="219"/>
      <c r="DF1371" s="166"/>
      <c r="DG1371" s="116"/>
      <c r="DH1371" s="117"/>
      <c r="DI1371" s="24"/>
      <c r="DJ1371" s="24"/>
      <c r="DK1371" s="24"/>
      <c r="DL1371" s="24"/>
      <c r="DM1371" s="24"/>
      <c r="DN1371" s="24"/>
      <c r="DO1371" s="24"/>
      <c r="DP1371" s="24"/>
      <c r="DQ1371" s="24"/>
      <c r="DR1371" s="24"/>
      <c r="DS1371" s="24"/>
      <c r="DT1371" s="24"/>
      <c r="DU1371" s="24"/>
    </row>
    <row r="1372" spans="1:125" s="8" customFormat="1" ht="144" x14ac:dyDescent="0.2">
      <c r="A1372" s="97">
        <v>41368</v>
      </c>
      <c r="B1372" s="60" t="s">
        <v>2772</v>
      </c>
      <c r="C1372" s="55" t="s">
        <v>1100</v>
      </c>
      <c r="D1372" s="55" t="s">
        <v>2882</v>
      </c>
      <c r="E1372" s="75" t="str">
        <f>VLOOKUP(B1372&amp;C1372,Divipola!$C$2:$F$1138,4,FALSE)</f>
        <v>25398</v>
      </c>
      <c r="F1372" s="87"/>
      <c r="G1372" s="87"/>
      <c r="H1372" s="87"/>
      <c r="I1372" s="87">
        <v>90</v>
      </c>
      <c r="J1372" s="87">
        <v>18</v>
      </c>
      <c r="K1372" s="87"/>
      <c r="L1372" s="87">
        <v>18</v>
      </c>
      <c r="M1372" s="87"/>
      <c r="N1372" s="87"/>
      <c r="O1372" s="87"/>
      <c r="P1372" s="87"/>
      <c r="Q1372" s="87"/>
      <c r="R1372" s="87"/>
      <c r="S1372" s="87"/>
      <c r="T1372" s="87">
        <v>2</v>
      </c>
      <c r="U1372" s="88"/>
      <c r="V1372" s="134"/>
      <c r="W1372" s="96">
        <v>0</v>
      </c>
      <c r="X1372" s="71">
        <f>CU1372</f>
        <v>0</v>
      </c>
      <c r="Y1372" s="71">
        <f>CY1372</f>
        <v>0</v>
      </c>
      <c r="Z1372" s="71">
        <f>DA1372+DC1372+DE1372</f>
        <v>0</v>
      </c>
      <c r="AA1372" s="71">
        <f>CW1372</f>
        <v>0</v>
      </c>
      <c r="AB1372" s="71"/>
      <c r="AC1372" s="71">
        <v>0</v>
      </c>
      <c r="AD1372" s="71">
        <f>W1372+X1372+Y1372+Z1372+AA1372+AB1372+AC1372</f>
        <v>0</v>
      </c>
      <c r="AE1372" s="72">
        <v>0</v>
      </c>
      <c r="AF1372" s="5"/>
      <c r="AG1372" s="6"/>
      <c r="AH1372" s="27" t="s">
        <v>3392</v>
      </c>
      <c r="AI1372" s="44" t="s">
        <v>3393</v>
      </c>
      <c r="AJ1372" s="26"/>
      <c r="AK1372" s="5"/>
      <c r="AL1372" s="82" t="s">
        <v>4220</v>
      </c>
      <c r="AM1372" s="76"/>
      <c r="AN1372" s="76"/>
      <c r="AO1372" s="76"/>
      <c r="AP1372" s="76"/>
      <c r="AQ1372" s="76"/>
      <c r="AR1372" s="76"/>
      <c r="AS1372" s="76"/>
      <c r="AT1372" s="76"/>
      <c r="AU1372" s="76"/>
      <c r="AV1372" s="76"/>
      <c r="AW1372" s="76"/>
      <c r="AX1372" s="76">
        <f>+AW1372*600000</f>
        <v>0</v>
      </c>
      <c r="AY1372" s="76"/>
      <c r="AZ1372" s="76">
        <f>+AY1372*70000</f>
        <v>0</v>
      </c>
      <c r="BA1372" s="76"/>
      <c r="BB1372" s="76"/>
      <c r="BC1372" s="76"/>
      <c r="BD1372" s="76">
        <f>+BC1372*30000</f>
        <v>0</v>
      </c>
      <c r="BE1372" s="76"/>
      <c r="BF1372" s="76"/>
      <c r="BG1372" s="76"/>
      <c r="BH1372" s="76"/>
      <c r="BI1372" s="76"/>
      <c r="BJ1372" s="76"/>
      <c r="BK1372" s="76"/>
      <c r="BL1372" s="76">
        <f>+BK1372*31500</f>
        <v>0</v>
      </c>
      <c r="BM1372" s="76"/>
      <c r="BN1372" s="76"/>
      <c r="BO1372" s="76"/>
      <c r="BP1372" s="76"/>
      <c r="BQ1372" s="76"/>
      <c r="BR1372" s="76"/>
      <c r="BS1372" s="76"/>
      <c r="BT1372" s="76"/>
      <c r="BU1372" s="76"/>
      <c r="BV1372" s="76"/>
      <c r="BW1372" s="76"/>
      <c r="BX1372" s="76"/>
      <c r="BY1372" s="76"/>
      <c r="BZ1372" s="76"/>
      <c r="CA1372" s="76"/>
      <c r="CB1372" s="76"/>
      <c r="CC1372" s="76"/>
      <c r="CD1372" s="76"/>
      <c r="CE1372" s="76"/>
      <c r="CF1372" s="76">
        <f>+CE1372*28000</f>
        <v>0</v>
      </c>
      <c r="CG1372" s="76"/>
      <c r="CH1372" s="76">
        <f>+CG1372*22500</f>
        <v>0</v>
      </c>
      <c r="CI1372" s="76"/>
      <c r="CJ1372" s="76">
        <f>+CI1372*26000</f>
        <v>0</v>
      </c>
      <c r="CK1372" s="76"/>
      <c r="CL1372" s="76"/>
      <c r="CM1372" s="76"/>
      <c r="CN1372" s="76">
        <f>+CM1372*22000</f>
        <v>0</v>
      </c>
      <c r="CO1372" s="76"/>
      <c r="CP1372" s="76">
        <f>+CO1372*46000</f>
        <v>0</v>
      </c>
      <c r="CQ1372" s="76"/>
      <c r="CR1372" s="76">
        <f>+CQ1372*49000</f>
        <v>0</v>
      </c>
      <c r="CS1372" s="76"/>
      <c r="CT1372" s="76"/>
      <c r="CU1372" s="56">
        <f>AN1372+AP1372+AR1372+AT1372+AV1372+AX1372+AZ1372+BB1372+BD1372+BF1372+BH1372+BJ1372+BL1372+BN1372+BP1372+BR1372+BT1372+BV1372+BX1372+BZ1372+CB1372+CD1372+CF1372+CH1372+CJ1372+CL1372+CN1372+CP1372+CR1372+CT1372</f>
        <v>0</v>
      </c>
      <c r="CV1372" s="76"/>
      <c r="CW1372" s="76">
        <f>+CV1372*1100</f>
        <v>0</v>
      </c>
      <c r="CX1372" s="76"/>
      <c r="CY1372" s="76">
        <f>+CX1372*106250</f>
        <v>0</v>
      </c>
      <c r="CZ1372" s="76"/>
      <c r="DA1372" s="76">
        <f>+CZ1372*34500</f>
        <v>0</v>
      </c>
      <c r="DB1372" s="76"/>
      <c r="DC1372" s="76">
        <f>+DB1372*25000</f>
        <v>0</v>
      </c>
      <c r="DD1372" s="219"/>
      <c r="DE1372" s="219"/>
      <c r="DF1372" s="166"/>
      <c r="DG1372" s="116"/>
      <c r="DH1372" s="117"/>
      <c r="DI1372" s="24"/>
      <c r="DJ1372" s="24"/>
      <c r="DK1372" s="24"/>
      <c r="DL1372" s="24"/>
      <c r="DM1372" s="24"/>
      <c r="DN1372" s="24"/>
      <c r="DO1372" s="24"/>
      <c r="DP1372" s="24"/>
      <c r="DQ1372" s="24"/>
      <c r="DR1372" s="24"/>
      <c r="DS1372" s="24"/>
      <c r="DT1372" s="24"/>
      <c r="DU1372" s="24"/>
    </row>
    <row r="1373" spans="1:125" s="8" customFormat="1" ht="84" x14ac:dyDescent="0.2">
      <c r="A1373" s="226">
        <v>41368</v>
      </c>
      <c r="B1373" s="225" t="s">
        <v>2772</v>
      </c>
      <c r="C1373" s="227" t="s">
        <v>1183</v>
      </c>
      <c r="D1373" s="81" t="s">
        <v>2846</v>
      </c>
      <c r="E1373" s="75" t="str">
        <f>VLOOKUP(B1373&amp;C1373,Divipola!$C$2:$F$1138,4,FALSE)</f>
        <v>25807</v>
      </c>
      <c r="F1373" s="87"/>
      <c r="G1373" s="87"/>
      <c r="H1373" s="87"/>
      <c r="I1373" s="87"/>
      <c r="J1373" s="87"/>
      <c r="K1373" s="87"/>
      <c r="L1373" s="87"/>
      <c r="M1373" s="87"/>
      <c r="N1373" s="87"/>
      <c r="O1373" s="87"/>
      <c r="P1373" s="87"/>
      <c r="Q1373" s="87"/>
      <c r="R1373" s="87"/>
      <c r="S1373" s="87"/>
      <c r="T1373" s="87"/>
      <c r="U1373" s="88">
        <v>4</v>
      </c>
      <c r="V1373" s="89"/>
      <c r="W1373" s="96">
        <v>0</v>
      </c>
      <c r="X1373" s="71">
        <f>CU1373</f>
        <v>0</v>
      </c>
      <c r="Y1373" s="71">
        <f>CY1373</f>
        <v>0</v>
      </c>
      <c r="Z1373" s="71">
        <f>DA1373+DC1373+DE1373</f>
        <v>0</v>
      </c>
      <c r="AA1373" s="71">
        <f>CW1373</f>
        <v>0</v>
      </c>
      <c r="AB1373" s="71"/>
      <c r="AC1373" s="71">
        <v>0</v>
      </c>
      <c r="AD1373" s="71">
        <f>W1373+X1373+Y1373+Z1373+AA1373+AB1373+AC1373</f>
        <v>0</v>
      </c>
      <c r="AE1373" s="72">
        <v>0</v>
      </c>
      <c r="AF1373" s="5"/>
      <c r="AG1373" s="6"/>
      <c r="AH1373" s="27" t="s">
        <v>3392</v>
      </c>
      <c r="AI1373" s="44" t="s">
        <v>3393</v>
      </c>
      <c r="AJ1373" s="26"/>
      <c r="AK1373" s="5"/>
      <c r="AL1373" s="82" t="s">
        <v>4233</v>
      </c>
      <c r="AM1373" s="76"/>
      <c r="AN1373" s="76"/>
      <c r="AO1373" s="76"/>
      <c r="AP1373" s="76"/>
      <c r="AQ1373" s="76"/>
      <c r="AR1373" s="76"/>
      <c r="AS1373" s="76"/>
      <c r="AT1373" s="76"/>
      <c r="AU1373" s="76"/>
      <c r="AV1373" s="76"/>
      <c r="AW1373" s="76"/>
      <c r="AX1373" s="76">
        <f>+AW1373*600000</f>
        <v>0</v>
      </c>
      <c r="AY1373" s="76"/>
      <c r="AZ1373" s="76">
        <f>+AY1373*70000</f>
        <v>0</v>
      </c>
      <c r="BA1373" s="76"/>
      <c r="BB1373" s="76"/>
      <c r="BC1373" s="76"/>
      <c r="BD1373" s="76">
        <f>+BC1373*30000</f>
        <v>0</v>
      </c>
      <c r="BE1373" s="76"/>
      <c r="BF1373" s="76"/>
      <c r="BG1373" s="76"/>
      <c r="BH1373" s="76"/>
      <c r="BI1373" s="76"/>
      <c r="BJ1373" s="76"/>
      <c r="BK1373" s="76"/>
      <c r="BL1373" s="76">
        <f>+BK1373*31500</f>
        <v>0</v>
      </c>
      <c r="BM1373" s="76"/>
      <c r="BN1373" s="76"/>
      <c r="BO1373" s="76"/>
      <c r="BP1373" s="76"/>
      <c r="BQ1373" s="76"/>
      <c r="BR1373" s="76"/>
      <c r="BS1373" s="76"/>
      <c r="BT1373" s="76"/>
      <c r="BU1373" s="76"/>
      <c r="BV1373" s="76"/>
      <c r="BW1373" s="76"/>
      <c r="BX1373" s="76"/>
      <c r="BY1373" s="76"/>
      <c r="BZ1373" s="76"/>
      <c r="CA1373" s="76"/>
      <c r="CB1373" s="76"/>
      <c r="CC1373" s="76"/>
      <c r="CD1373" s="76"/>
      <c r="CE1373" s="76"/>
      <c r="CF1373" s="76">
        <f>+CE1373*28000</f>
        <v>0</v>
      </c>
      <c r="CG1373" s="76"/>
      <c r="CH1373" s="76">
        <f>+CG1373*22500</f>
        <v>0</v>
      </c>
      <c r="CI1373" s="76"/>
      <c r="CJ1373" s="76">
        <f>+CI1373*26000</f>
        <v>0</v>
      </c>
      <c r="CK1373" s="76"/>
      <c r="CL1373" s="76"/>
      <c r="CM1373" s="76"/>
      <c r="CN1373" s="76">
        <f>+CM1373*22000</f>
        <v>0</v>
      </c>
      <c r="CO1373" s="76"/>
      <c r="CP1373" s="76">
        <f>+CO1373*46000</f>
        <v>0</v>
      </c>
      <c r="CQ1373" s="76"/>
      <c r="CR1373" s="76">
        <f>+CQ1373*49000</f>
        <v>0</v>
      </c>
      <c r="CS1373" s="76"/>
      <c r="CT1373" s="76"/>
      <c r="CU1373" s="56">
        <f>AN1373+AP1373+AR1373+AT1373+AV1373+AX1373+AZ1373+BB1373+BD1373+BF1373+BH1373+BJ1373+BL1373+BN1373+BP1373+BR1373+BT1373+BV1373+BX1373+BZ1373+CB1373+CD1373+CF1373+CH1373+CJ1373+CL1373+CN1373+CP1373+CR1373+CT1373</f>
        <v>0</v>
      </c>
      <c r="CV1373" s="76"/>
      <c r="CW1373" s="76">
        <f>+CV1373*1100</f>
        <v>0</v>
      </c>
      <c r="CX1373" s="76"/>
      <c r="CY1373" s="76">
        <f>+CX1373*106250</f>
        <v>0</v>
      </c>
      <c r="CZ1373" s="76"/>
      <c r="DA1373" s="76">
        <f>+CZ1373*34500</f>
        <v>0</v>
      </c>
      <c r="DB1373" s="76"/>
      <c r="DC1373" s="76">
        <f>+DB1373*25000</f>
        <v>0</v>
      </c>
      <c r="DD1373" s="219"/>
      <c r="DE1373" s="219"/>
      <c r="DF1373" s="166"/>
      <c r="DG1373" s="116"/>
      <c r="DH1373" s="117"/>
      <c r="DI1373" s="24"/>
      <c r="DJ1373" s="24"/>
      <c r="DK1373" s="24"/>
      <c r="DL1373" s="24"/>
      <c r="DM1373" s="24"/>
      <c r="DN1373" s="24"/>
      <c r="DO1373" s="24"/>
      <c r="DP1373" s="24"/>
      <c r="DQ1373" s="24"/>
      <c r="DR1373" s="24"/>
      <c r="DS1373" s="24"/>
      <c r="DT1373" s="24"/>
      <c r="DU1373" s="24"/>
    </row>
    <row r="1374" spans="1:125" s="8" customFormat="1" ht="84" x14ac:dyDescent="0.2">
      <c r="A1374" s="226">
        <v>41368</v>
      </c>
      <c r="B1374" s="225" t="s">
        <v>2906</v>
      </c>
      <c r="C1374" s="227" t="s">
        <v>472</v>
      </c>
      <c r="D1374" s="227" t="s">
        <v>2882</v>
      </c>
      <c r="E1374" s="75" t="str">
        <f>VLOOKUP(B1374&amp;C1374,Divipola!$C$2:$F$1138,4,FALSE)</f>
        <v>47798</v>
      </c>
      <c r="F1374" s="87"/>
      <c r="G1374" s="87"/>
      <c r="H1374" s="87"/>
      <c r="I1374" s="87">
        <v>100</v>
      </c>
      <c r="J1374" s="87">
        <v>20</v>
      </c>
      <c r="K1374" s="87"/>
      <c r="L1374" s="87">
        <v>20</v>
      </c>
      <c r="M1374" s="87"/>
      <c r="N1374" s="87"/>
      <c r="O1374" s="87"/>
      <c r="P1374" s="87"/>
      <c r="Q1374" s="87"/>
      <c r="R1374" s="87"/>
      <c r="S1374" s="87"/>
      <c r="T1374" s="87"/>
      <c r="U1374" s="88"/>
      <c r="V1374" s="89"/>
      <c r="W1374" s="96">
        <v>0</v>
      </c>
      <c r="X1374" s="71">
        <f>CU1374</f>
        <v>0</v>
      </c>
      <c r="Y1374" s="71">
        <f>CY1374</f>
        <v>0</v>
      </c>
      <c r="Z1374" s="71">
        <f>DA1374+DC1374+DE1374</f>
        <v>0</v>
      </c>
      <c r="AA1374" s="71">
        <f>CW1374</f>
        <v>0</v>
      </c>
      <c r="AB1374" s="71"/>
      <c r="AC1374" s="71">
        <v>0</v>
      </c>
      <c r="AD1374" s="71">
        <f>W1374+X1374+Y1374+Z1374+AA1374+AB1374+AC1374</f>
        <v>0</v>
      </c>
      <c r="AE1374" s="72">
        <v>0</v>
      </c>
      <c r="AF1374" s="5"/>
      <c r="AG1374" s="6"/>
      <c r="AH1374" s="27" t="s">
        <v>3392</v>
      </c>
      <c r="AI1374" s="44" t="s">
        <v>3393</v>
      </c>
      <c r="AJ1374" s="26"/>
      <c r="AK1374" s="5"/>
      <c r="AL1374" s="82" t="s">
        <v>4187</v>
      </c>
      <c r="AM1374" s="76"/>
      <c r="AN1374" s="76"/>
      <c r="AO1374" s="76"/>
      <c r="AP1374" s="76"/>
      <c r="AQ1374" s="76"/>
      <c r="AR1374" s="76"/>
      <c r="AS1374" s="76"/>
      <c r="AT1374" s="76"/>
      <c r="AU1374" s="76"/>
      <c r="AV1374" s="76"/>
      <c r="AW1374" s="76"/>
      <c r="AX1374" s="76">
        <f>+AW1374*600000</f>
        <v>0</v>
      </c>
      <c r="AY1374" s="76"/>
      <c r="AZ1374" s="76">
        <f>+AY1374*70000</f>
        <v>0</v>
      </c>
      <c r="BA1374" s="76"/>
      <c r="BB1374" s="76"/>
      <c r="BC1374" s="76"/>
      <c r="BD1374" s="76">
        <f>+BC1374*30000</f>
        <v>0</v>
      </c>
      <c r="BE1374" s="76"/>
      <c r="BF1374" s="76"/>
      <c r="BG1374" s="76"/>
      <c r="BH1374" s="76"/>
      <c r="BI1374" s="76"/>
      <c r="BJ1374" s="76"/>
      <c r="BK1374" s="76"/>
      <c r="BL1374" s="76">
        <f>+BK1374*31500</f>
        <v>0</v>
      </c>
      <c r="BM1374" s="76"/>
      <c r="BN1374" s="76"/>
      <c r="BO1374" s="76"/>
      <c r="BP1374" s="76"/>
      <c r="BQ1374" s="76"/>
      <c r="BR1374" s="76"/>
      <c r="BS1374" s="76"/>
      <c r="BT1374" s="76"/>
      <c r="BU1374" s="76"/>
      <c r="BV1374" s="76"/>
      <c r="BW1374" s="76"/>
      <c r="BX1374" s="76"/>
      <c r="BY1374" s="76"/>
      <c r="BZ1374" s="76"/>
      <c r="CA1374" s="76"/>
      <c r="CB1374" s="76"/>
      <c r="CC1374" s="76"/>
      <c r="CD1374" s="76"/>
      <c r="CE1374" s="76"/>
      <c r="CF1374" s="76">
        <f>+CE1374*28000</f>
        <v>0</v>
      </c>
      <c r="CG1374" s="76"/>
      <c r="CH1374" s="76">
        <f>+CG1374*22500</f>
        <v>0</v>
      </c>
      <c r="CI1374" s="76"/>
      <c r="CJ1374" s="76">
        <f>+CI1374*26000</f>
        <v>0</v>
      </c>
      <c r="CK1374" s="76"/>
      <c r="CL1374" s="76"/>
      <c r="CM1374" s="76"/>
      <c r="CN1374" s="76">
        <f>+CM1374*22000</f>
        <v>0</v>
      </c>
      <c r="CO1374" s="76"/>
      <c r="CP1374" s="76">
        <f>+CO1374*46000</f>
        <v>0</v>
      </c>
      <c r="CQ1374" s="76"/>
      <c r="CR1374" s="76">
        <f>+CQ1374*49000</f>
        <v>0</v>
      </c>
      <c r="CS1374" s="76"/>
      <c r="CT1374" s="76"/>
      <c r="CU1374" s="56">
        <f>AN1374+AP1374+AR1374+AT1374+AV1374+AX1374+AZ1374+BB1374+BD1374+BF1374+BH1374+BJ1374+BL1374+BN1374+BP1374+BR1374+BT1374+BV1374+BX1374+BZ1374+CB1374+CD1374+CF1374+CH1374+CJ1374+CL1374+CN1374+CP1374+CR1374+CT1374</f>
        <v>0</v>
      </c>
      <c r="CV1374" s="76"/>
      <c r="CW1374" s="76">
        <f>+CV1374*1100</f>
        <v>0</v>
      </c>
      <c r="CX1374" s="76"/>
      <c r="CY1374" s="76">
        <f>+CX1374*106250</f>
        <v>0</v>
      </c>
      <c r="CZ1374" s="76"/>
      <c r="DA1374" s="76">
        <f>+CZ1374*34500</f>
        <v>0</v>
      </c>
      <c r="DB1374" s="76"/>
      <c r="DC1374" s="76">
        <f>+DB1374*25000</f>
        <v>0</v>
      </c>
      <c r="DD1374" s="219"/>
      <c r="DE1374" s="219"/>
      <c r="DF1374" s="166"/>
      <c r="DG1374" s="116"/>
      <c r="DH1374" s="117"/>
      <c r="DI1374" s="24"/>
      <c r="DJ1374" s="24"/>
      <c r="DK1374" s="24"/>
      <c r="DL1374" s="24"/>
      <c r="DM1374" s="24"/>
      <c r="DN1374" s="24"/>
      <c r="DO1374" s="24"/>
      <c r="DP1374" s="24"/>
      <c r="DQ1374" s="24"/>
      <c r="DR1374" s="24"/>
      <c r="DS1374" s="24"/>
      <c r="DT1374" s="24"/>
      <c r="DU1374" s="24"/>
    </row>
    <row r="1375" spans="1:125" s="8" customFormat="1" ht="108" x14ac:dyDescent="0.2">
      <c r="A1375" s="77">
        <v>41368</v>
      </c>
      <c r="B1375" s="78" t="s">
        <v>2880</v>
      </c>
      <c r="C1375" s="75" t="s">
        <v>2666</v>
      </c>
      <c r="D1375" s="81" t="s">
        <v>2846</v>
      </c>
      <c r="E1375" s="75" t="str">
        <f>VLOOKUP(B1375&amp;C1375,Divipola!$C$2:$F$1138,4,FALSE)</f>
        <v>54099</v>
      </c>
      <c r="F1375" s="87"/>
      <c r="G1375" s="87"/>
      <c r="H1375" s="87"/>
      <c r="I1375" s="87"/>
      <c r="J1375" s="87"/>
      <c r="K1375" s="87"/>
      <c r="L1375" s="87"/>
      <c r="M1375" s="87"/>
      <c r="N1375" s="87"/>
      <c r="O1375" s="87"/>
      <c r="P1375" s="87"/>
      <c r="Q1375" s="87"/>
      <c r="R1375" s="87"/>
      <c r="S1375" s="87"/>
      <c r="T1375" s="87"/>
      <c r="U1375" s="88">
        <v>50</v>
      </c>
      <c r="V1375" s="89"/>
      <c r="W1375" s="96">
        <v>0</v>
      </c>
      <c r="X1375" s="71">
        <f>CU1375</f>
        <v>0</v>
      </c>
      <c r="Y1375" s="71">
        <f>CY1375</f>
        <v>0</v>
      </c>
      <c r="Z1375" s="71">
        <f>DA1375+DC1375+DE1375</f>
        <v>0</v>
      </c>
      <c r="AA1375" s="71">
        <f>CW1375</f>
        <v>0</v>
      </c>
      <c r="AB1375" s="71"/>
      <c r="AC1375" s="71">
        <v>0</v>
      </c>
      <c r="AD1375" s="71">
        <f>W1375+X1375+Y1375+Z1375+AA1375+AB1375+AC1375</f>
        <v>0</v>
      </c>
      <c r="AE1375" s="72">
        <v>0</v>
      </c>
      <c r="AF1375" s="5"/>
      <c r="AG1375" s="6"/>
      <c r="AH1375" s="27" t="s">
        <v>3392</v>
      </c>
      <c r="AI1375" s="44" t="s">
        <v>3393</v>
      </c>
      <c r="AJ1375" s="26"/>
      <c r="AK1375" s="5"/>
      <c r="AL1375" s="82" t="s">
        <v>4185</v>
      </c>
      <c r="AM1375" s="76"/>
      <c r="AN1375" s="76"/>
      <c r="AO1375" s="76"/>
      <c r="AP1375" s="76"/>
      <c r="AQ1375" s="76"/>
      <c r="AR1375" s="76"/>
      <c r="AS1375" s="76"/>
      <c r="AT1375" s="76"/>
      <c r="AU1375" s="76"/>
      <c r="AV1375" s="76"/>
      <c r="AW1375" s="76"/>
      <c r="AX1375" s="76">
        <f>+AW1375*600000</f>
        <v>0</v>
      </c>
      <c r="AY1375" s="76"/>
      <c r="AZ1375" s="76">
        <f>+AY1375*70000</f>
        <v>0</v>
      </c>
      <c r="BA1375" s="76"/>
      <c r="BB1375" s="76"/>
      <c r="BC1375" s="76"/>
      <c r="BD1375" s="76">
        <f>+BC1375*30000</f>
        <v>0</v>
      </c>
      <c r="BE1375" s="76"/>
      <c r="BF1375" s="76"/>
      <c r="BG1375" s="76"/>
      <c r="BH1375" s="76"/>
      <c r="BI1375" s="76"/>
      <c r="BJ1375" s="76"/>
      <c r="BK1375" s="76"/>
      <c r="BL1375" s="76">
        <f>+BK1375*31500</f>
        <v>0</v>
      </c>
      <c r="BM1375" s="76"/>
      <c r="BN1375" s="76"/>
      <c r="BO1375" s="76"/>
      <c r="BP1375" s="76"/>
      <c r="BQ1375" s="76"/>
      <c r="BR1375" s="76"/>
      <c r="BS1375" s="76"/>
      <c r="BT1375" s="76"/>
      <c r="BU1375" s="76"/>
      <c r="BV1375" s="76"/>
      <c r="BW1375" s="76"/>
      <c r="BX1375" s="76"/>
      <c r="BY1375" s="76"/>
      <c r="BZ1375" s="76"/>
      <c r="CA1375" s="76"/>
      <c r="CB1375" s="76"/>
      <c r="CC1375" s="76"/>
      <c r="CD1375" s="76"/>
      <c r="CE1375" s="76"/>
      <c r="CF1375" s="76">
        <f>+CE1375*28000</f>
        <v>0</v>
      </c>
      <c r="CG1375" s="76"/>
      <c r="CH1375" s="76">
        <f>+CG1375*22500</f>
        <v>0</v>
      </c>
      <c r="CI1375" s="76"/>
      <c r="CJ1375" s="76">
        <f>+CI1375*26000</f>
        <v>0</v>
      </c>
      <c r="CK1375" s="76"/>
      <c r="CL1375" s="76"/>
      <c r="CM1375" s="76"/>
      <c r="CN1375" s="76">
        <f>+CM1375*22000</f>
        <v>0</v>
      </c>
      <c r="CO1375" s="76"/>
      <c r="CP1375" s="76">
        <f>+CO1375*46000</f>
        <v>0</v>
      </c>
      <c r="CQ1375" s="76"/>
      <c r="CR1375" s="76">
        <f>+CQ1375*49000</f>
        <v>0</v>
      </c>
      <c r="CS1375" s="76"/>
      <c r="CT1375" s="76"/>
      <c r="CU1375" s="56">
        <f>AN1375+AP1375+AR1375+AT1375+AV1375+AX1375+AZ1375+BB1375+BD1375+BF1375+BH1375+BJ1375+BL1375+BN1375+BP1375+BR1375+BT1375+BV1375+BX1375+BZ1375+CB1375+CD1375+CF1375+CH1375+CJ1375+CL1375+CN1375+CP1375+CR1375+CT1375</f>
        <v>0</v>
      </c>
      <c r="CV1375" s="76"/>
      <c r="CW1375" s="76">
        <f>+CV1375*1100</f>
        <v>0</v>
      </c>
      <c r="CX1375" s="76"/>
      <c r="CY1375" s="76">
        <f>+CX1375*106250</f>
        <v>0</v>
      </c>
      <c r="CZ1375" s="76"/>
      <c r="DA1375" s="76">
        <f>+CZ1375*34500</f>
        <v>0</v>
      </c>
      <c r="DB1375" s="76"/>
      <c r="DC1375" s="76">
        <f>+DB1375*25000</f>
        <v>0</v>
      </c>
      <c r="DD1375" s="219"/>
      <c r="DE1375" s="219"/>
      <c r="DF1375" s="166"/>
      <c r="DG1375" s="116"/>
      <c r="DH1375" s="117"/>
      <c r="DI1375" s="24"/>
      <c r="DJ1375" s="24"/>
      <c r="DK1375" s="24"/>
      <c r="DL1375" s="24"/>
      <c r="DM1375" s="24"/>
      <c r="DN1375" s="24"/>
      <c r="DO1375" s="24"/>
      <c r="DP1375" s="24"/>
      <c r="DQ1375" s="24"/>
      <c r="DR1375" s="24"/>
      <c r="DS1375" s="24"/>
      <c r="DT1375" s="24"/>
      <c r="DU1375" s="24"/>
    </row>
    <row r="1376" spans="1:125" s="8" customFormat="1" ht="48" x14ac:dyDescent="0.2">
      <c r="A1376" s="77">
        <v>41368</v>
      </c>
      <c r="B1376" s="352" t="s">
        <v>2880</v>
      </c>
      <c r="C1376" s="227" t="s">
        <v>2117</v>
      </c>
      <c r="D1376" s="81" t="s">
        <v>2846</v>
      </c>
      <c r="E1376" s="75" t="str">
        <f>VLOOKUP(B1376&amp;C1376,Divipola!$C$2:$F$1138,4,FALSE)</f>
        <v>54599</v>
      </c>
      <c r="F1376" s="87"/>
      <c r="G1376" s="87"/>
      <c r="H1376" s="87"/>
      <c r="I1376" s="87"/>
      <c r="J1376" s="87"/>
      <c r="K1376" s="87"/>
      <c r="L1376" s="87"/>
      <c r="M1376" s="87"/>
      <c r="N1376" s="87"/>
      <c r="O1376" s="87"/>
      <c r="P1376" s="87"/>
      <c r="Q1376" s="87"/>
      <c r="R1376" s="87"/>
      <c r="S1376" s="87"/>
      <c r="T1376" s="87"/>
      <c r="U1376" s="88">
        <v>7</v>
      </c>
      <c r="V1376" s="89"/>
      <c r="W1376" s="96">
        <v>0</v>
      </c>
      <c r="X1376" s="71">
        <f>CU1376</f>
        <v>0</v>
      </c>
      <c r="Y1376" s="71">
        <f>CY1376</f>
        <v>0</v>
      </c>
      <c r="Z1376" s="71">
        <f>DA1376+DC1376+DE1376</f>
        <v>0</v>
      </c>
      <c r="AA1376" s="71">
        <f>CW1376</f>
        <v>0</v>
      </c>
      <c r="AB1376" s="71"/>
      <c r="AC1376" s="71">
        <v>0</v>
      </c>
      <c r="AD1376" s="71">
        <f>W1376+X1376+Y1376+Z1376+AA1376+AB1376+AC1376</f>
        <v>0</v>
      </c>
      <c r="AE1376" s="72">
        <v>0</v>
      </c>
      <c r="AF1376" s="5"/>
      <c r="AG1376" s="6"/>
      <c r="AH1376" s="27" t="s">
        <v>3392</v>
      </c>
      <c r="AI1376" s="44" t="s">
        <v>3393</v>
      </c>
      <c r="AJ1376" s="26"/>
      <c r="AK1376" s="5"/>
      <c r="AL1376" s="82" t="s">
        <v>4186</v>
      </c>
      <c r="AM1376" s="76"/>
      <c r="AN1376" s="76"/>
      <c r="AO1376" s="76"/>
      <c r="AP1376" s="76"/>
      <c r="AQ1376" s="76"/>
      <c r="AR1376" s="76"/>
      <c r="AS1376" s="76"/>
      <c r="AT1376" s="76"/>
      <c r="AU1376" s="76"/>
      <c r="AV1376" s="76"/>
      <c r="AW1376" s="76"/>
      <c r="AX1376" s="76">
        <f>+AW1376*600000</f>
        <v>0</v>
      </c>
      <c r="AY1376" s="76"/>
      <c r="AZ1376" s="76">
        <f>+AY1376*70000</f>
        <v>0</v>
      </c>
      <c r="BA1376" s="76"/>
      <c r="BB1376" s="76"/>
      <c r="BC1376" s="76"/>
      <c r="BD1376" s="76">
        <f>+BC1376*30000</f>
        <v>0</v>
      </c>
      <c r="BE1376" s="76"/>
      <c r="BF1376" s="76"/>
      <c r="BG1376" s="76"/>
      <c r="BH1376" s="76"/>
      <c r="BI1376" s="76"/>
      <c r="BJ1376" s="76"/>
      <c r="BK1376" s="76"/>
      <c r="BL1376" s="76">
        <f>+BK1376*31500</f>
        <v>0</v>
      </c>
      <c r="BM1376" s="76"/>
      <c r="BN1376" s="76"/>
      <c r="BO1376" s="76"/>
      <c r="BP1376" s="76"/>
      <c r="BQ1376" s="76"/>
      <c r="BR1376" s="76"/>
      <c r="BS1376" s="76"/>
      <c r="BT1376" s="76"/>
      <c r="BU1376" s="76"/>
      <c r="BV1376" s="76"/>
      <c r="BW1376" s="76"/>
      <c r="BX1376" s="76"/>
      <c r="BY1376" s="76"/>
      <c r="BZ1376" s="76"/>
      <c r="CA1376" s="76"/>
      <c r="CB1376" s="76"/>
      <c r="CC1376" s="76"/>
      <c r="CD1376" s="76"/>
      <c r="CE1376" s="76"/>
      <c r="CF1376" s="76">
        <f>+CE1376*28000</f>
        <v>0</v>
      </c>
      <c r="CG1376" s="76"/>
      <c r="CH1376" s="76">
        <f>+CG1376*22500</f>
        <v>0</v>
      </c>
      <c r="CI1376" s="76"/>
      <c r="CJ1376" s="76">
        <f>+CI1376*26000</f>
        <v>0</v>
      </c>
      <c r="CK1376" s="76"/>
      <c r="CL1376" s="76"/>
      <c r="CM1376" s="76"/>
      <c r="CN1376" s="76">
        <f>+CM1376*22000</f>
        <v>0</v>
      </c>
      <c r="CO1376" s="76"/>
      <c r="CP1376" s="76">
        <f>+CO1376*46000</f>
        <v>0</v>
      </c>
      <c r="CQ1376" s="76"/>
      <c r="CR1376" s="76">
        <f>+CQ1376*49000</f>
        <v>0</v>
      </c>
      <c r="CS1376" s="76"/>
      <c r="CT1376" s="76"/>
      <c r="CU1376" s="56">
        <f>AN1376+AP1376+AR1376+AT1376+AV1376+AX1376+AZ1376+BB1376+BD1376+BF1376+BH1376+BJ1376+BL1376+BN1376+BP1376+BR1376+BT1376+BV1376+BX1376+BZ1376+CB1376+CD1376+CF1376+CH1376+CJ1376+CL1376+CN1376+CP1376+CR1376+CT1376</f>
        <v>0</v>
      </c>
      <c r="CV1376" s="76"/>
      <c r="CW1376" s="76">
        <f>+CV1376*1100</f>
        <v>0</v>
      </c>
      <c r="CX1376" s="76"/>
      <c r="CY1376" s="76">
        <f>+CX1376*106250</f>
        <v>0</v>
      </c>
      <c r="CZ1376" s="76"/>
      <c r="DA1376" s="76">
        <f>+CZ1376*34500</f>
        <v>0</v>
      </c>
      <c r="DB1376" s="76"/>
      <c r="DC1376" s="76">
        <f>+DB1376*25000</f>
        <v>0</v>
      </c>
      <c r="DD1376" s="219"/>
      <c r="DE1376" s="219"/>
      <c r="DF1376" s="166"/>
      <c r="DG1376" s="116"/>
      <c r="DH1376" s="117"/>
      <c r="DI1376" s="24"/>
      <c r="DJ1376" s="24"/>
      <c r="DK1376" s="24"/>
      <c r="DL1376" s="24"/>
      <c r="DM1376" s="24"/>
      <c r="DN1376" s="24"/>
      <c r="DO1376" s="24"/>
      <c r="DP1376" s="24"/>
      <c r="DQ1376" s="24"/>
      <c r="DR1376" s="24"/>
      <c r="DS1376" s="24"/>
      <c r="DT1376" s="24"/>
      <c r="DU1376" s="24"/>
    </row>
    <row r="1377" spans="1:125" s="8" customFormat="1" ht="60" x14ac:dyDescent="0.2">
      <c r="A1377" s="77">
        <v>41368</v>
      </c>
      <c r="B1377" s="225" t="s">
        <v>2847</v>
      </c>
      <c r="C1377" s="227" t="s">
        <v>2673</v>
      </c>
      <c r="D1377" s="81" t="s">
        <v>2846</v>
      </c>
      <c r="E1377" s="75" t="str">
        <f>VLOOKUP(B1377&amp;C1377,Divipola!$C$2:$F$1138,4,FALSE)</f>
        <v>68001</v>
      </c>
      <c r="F1377" s="87"/>
      <c r="G1377" s="87"/>
      <c r="H1377" s="87"/>
      <c r="I1377" s="87"/>
      <c r="J1377" s="87"/>
      <c r="K1377" s="87"/>
      <c r="L1377" s="87"/>
      <c r="M1377" s="87"/>
      <c r="N1377" s="87"/>
      <c r="O1377" s="87"/>
      <c r="P1377" s="87"/>
      <c r="Q1377" s="87"/>
      <c r="R1377" s="87"/>
      <c r="S1377" s="87"/>
      <c r="T1377" s="87"/>
      <c r="U1377" s="88"/>
      <c r="V1377" s="89"/>
      <c r="W1377" s="96">
        <v>0</v>
      </c>
      <c r="X1377" s="71">
        <f>CU1377</f>
        <v>0</v>
      </c>
      <c r="Y1377" s="71">
        <f>CY1377</f>
        <v>0</v>
      </c>
      <c r="Z1377" s="71">
        <f>DA1377+DC1377+DE1377</f>
        <v>0</v>
      </c>
      <c r="AA1377" s="71">
        <f>CW1377</f>
        <v>0</v>
      </c>
      <c r="AB1377" s="71"/>
      <c r="AC1377" s="71">
        <v>0</v>
      </c>
      <c r="AD1377" s="71">
        <f>W1377+X1377+Y1377+Z1377+AA1377+AB1377+AC1377</f>
        <v>0</v>
      </c>
      <c r="AE1377" s="72">
        <v>0</v>
      </c>
      <c r="AF1377" s="5"/>
      <c r="AG1377" s="6"/>
      <c r="AH1377" s="27" t="s">
        <v>3392</v>
      </c>
      <c r="AI1377" s="44" t="s">
        <v>3393</v>
      </c>
      <c r="AJ1377" s="26"/>
      <c r="AK1377" s="5"/>
      <c r="AL1377" s="82" t="s">
        <v>4183</v>
      </c>
      <c r="AM1377" s="76"/>
      <c r="AN1377" s="76"/>
      <c r="AO1377" s="76"/>
      <c r="AP1377" s="76"/>
      <c r="AQ1377" s="76"/>
      <c r="AR1377" s="76"/>
      <c r="AS1377" s="76"/>
      <c r="AT1377" s="76"/>
      <c r="AU1377" s="76"/>
      <c r="AV1377" s="76"/>
      <c r="AW1377" s="76"/>
      <c r="AX1377" s="76">
        <f>+AW1377*600000</f>
        <v>0</v>
      </c>
      <c r="AY1377" s="76"/>
      <c r="AZ1377" s="76">
        <f>+AY1377*70000</f>
        <v>0</v>
      </c>
      <c r="BA1377" s="76"/>
      <c r="BB1377" s="76"/>
      <c r="BC1377" s="76"/>
      <c r="BD1377" s="76">
        <f>+BC1377*30000</f>
        <v>0</v>
      </c>
      <c r="BE1377" s="76"/>
      <c r="BF1377" s="76"/>
      <c r="BG1377" s="76"/>
      <c r="BH1377" s="76"/>
      <c r="BI1377" s="76"/>
      <c r="BJ1377" s="76"/>
      <c r="BK1377" s="76"/>
      <c r="BL1377" s="76">
        <f>+BK1377*31500</f>
        <v>0</v>
      </c>
      <c r="BM1377" s="76"/>
      <c r="BN1377" s="76"/>
      <c r="BO1377" s="76"/>
      <c r="BP1377" s="76"/>
      <c r="BQ1377" s="76"/>
      <c r="BR1377" s="76"/>
      <c r="BS1377" s="76"/>
      <c r="BT1377" s="76"/>
      <c r="BU1377" s="76"/>
      <c r="BV1377" s="76"/>
      <c r="BW1377" s="76"/>
      <c r="BX1377" s="76"/>
      <c r="BY1377" s="76"/>
      <c r="BZ1377" s="76"/>
      <c r="CA1377" s="76"/>
      <c r="CB1377" s="76"/>
      <c r="CC1377" s="76"/>
      <c r="CD1377" s="76"/>
      <c r="CE1377" s="76"/>
      <c r="CF1377" s="76">
        <f>+CE1377*28000</f>
        <v>0</v>
      </c>
      <c r="CG1377" s="76"/>
      <c r="CH1377" s="76">
        <f>+CG1377*22500</f>
        <v>0</v>
      </c>
      <c r="CI1377" s="76"/>
      <c r="CJ1377" s="76">
        <f>+CI1377*26000</f>
        <v>0</v>
      </c>
      <c r="CK1377" s="76"/>
      <c r="CL1377" s="76"/>
      <c r="CM1377" s="76"/>
      <c r="CN1377" s="76">
        <f>+CM1377*22000</f>
        <v>0</v>
      </c>
      <c r="CO1377" s="76"/>
      <c r="CP1377" s="76">
        <f>+CO1377*46000</f>
        <v>0</v>
      </c>
      <c r="CQ1377" s="76"/>
      <c r="CR1377" s="76">
        <f>+CQ1377*49000</f>
        <v>0</v>
      </c>
      <c r="CS1377" s="76"/>
      <c r="CT1377" s="76"/>
      <c r="CU1377" s="56">
        <f>AN1377+AP1377+AR1377+AT1377+AV1377+AX1377+AZ1377+BB1377+BD1377+BF1377+BH1377+BJ1377+BL1377+BN1377+BP1377+BR1377+BT1377+BV1377+BX1377+BZ1377+CB1377+CD1377+CF1377+CH1377+CJ1377+CL1377+CN1377+CP1377+CR1377+CT1377</f>
        <v>0</v>
      </c>
      <c r="CV1377" s="76"/>
      <c r="CW1377" s="76">
        <f>+CV1377*1100</f>
        <v>0</v>
      </c>
      <c r="CX1377" s="76"/>
      <c r="CY1377" s="76">
        <f>+CX1377*106250</f>
        <v>0</v>
      </c>
      <c r="CZ1377" s="76"/>
      <c r="DA1377" s="76">
        <f>+CZ1377*34500</f>
        <v>0</v>
      </c>
      <c r="DB1377" s="76"/>
      <c r="DC1377" s="76">
        <f>+DB1377*25000</f>
        <v>0</v>
      </c>
      <c r="DD1377" s="219"/>
      <c r="DE1377" s="219"/>
      <c r="DF1377" s="166"/>
      <c r="DG1377" s="116"/>
      <c r="DH1377" s="117"/>
      <c r="DI1377" s="24"/>
      <c r="DJ1377" s="24"/>
      <c r="DK1377" s="24"/>
      <c r="DL1377" s="24"/>
      <c r="DM1377" s="24"/>
      <c r="DN1377" s="24"/>
      <c r="DO1377" s="24"/>
      <c r="DP1377" s="24"/>
      <c r="DQ1377" s="24"/>
      <c r="DR1377" s="24"/>
      <c r="DS1377" s="24"/>
      <c r="DT1377" s="24"/>
      <c r="DU1377" s="24"/>
    </row>
    <row r="1378" spans="1:125" s="8" customFormat="1" ht="60" x14ac:dyDescent="0.2">
      <c r="A1378" s="77">
        <v>41368</v>
      </c>
      <c r="B1378" s="78" t="s">
        <v>2847</v>
      </c>
      <c r="C1378" s="75" t="s">
        <v>2197</v>
      </c>
      <c r="D1378" s="81" t="s">
        <v>2846</v>
      </c>
      <c r="E1378" s="75" t="str">
        <f>VLOOKUP(B1378&amp;C1378,Divipola!$C$2:$F$1138,4,FALSE)</f>
        <v>68276</v>
      </c>
      <c r="F1378" s="87"/>
      <c r="G1378" s="87"/>
      <c r="H1378" s="87"/>
      <c r="I1378" s="87"/>
      <c r="J1378" s="87"/>
      <c r="K1378" s="87"/>
      <c r="L1378" s="87"/>
      <c r="M1378" s="87"/>
      <c r="N1378" s="87"/>
      <c r="O1378" s="87"/>
      <c r="P1378" s="87"/>
      <c r="Q1378" s="87"/>
      <c r="R1378" s="87"/>
      <c r="S1378" s="87"/>
      <c r="T1378" s="87"/>
      <c r="U1378" s="88">
        <v>0.2</v>
      </c>
      <c r="V1378" s="89"/>
      <c r="W1378" s="96">
        <v>0</v>
      </c>
      <c r="X1378" s="71">
        <f>CU1378</f>
        <v>0</v>
      </c>
      <c r="Y1378" s="71">
        <f>CY1378</f>
        <v>0</v>
      </c>
      <c r="Z1378" s="71">
        <f>DA1378+DC1378+DE1378</f>
        <v>0</v>
      </c>
      <c r="AA1378" s="71">
        <f>CW1378</f>
        <v>0</v>
      </c>
      <c r="AB1378" s="71"/>
      <c r="AC1378" s="71">
        <v>0</v>
      </c>
      <c r="AD1378" s="71">
        <f>W1378+X1378+Y1378+Z1378+AA1378+AB1378+AC1378</f>
        <v>0</v>
      </c>
      <c r="AE1378" s="72">
        <v>0</v>
      </c>
      <c r="AF1378" s="5"/>
      <c r="AG1378" s="6"/>
      <c r="AH1378" s="27" t="s">
        <v>3392</v>
      </c>
      <c r="AI1378" s="44" t="s">
        <v>3393</v>
      </c>
      <c r="AJ1378" s="26"/>
      <c r="AK1378" s="5"/>
      <c r="AL1378" s="82" t="s">
        <v>4182</v>
      </c>
      <c r="AM1378" s="76"/>
      <c r="AN1378" s="76"/>
      <c r="AO1378" s="76"/>
      <c r="AP1378" s="76"/>
      <c r="AQ1378" s="76"/>
      <c r="AR1378" s="76"/>
      <c r="AS1378" s="76"/>
      <c r="AT1378" s="76"/>
      <c r="AU1378" s="76"/>
      <c r="AV1378" s="76"/>
      <c r="AW1378" s="76"/>
      <c r="AX1378" s="76">
        <f>+AW1378*600000</f>
        <v>0</v>
      </c>
      <c r="AY1378" s="76"/>
      <c r="AZ1378" s="76">
        <f>+AY1378*70000</f>
        <v>0</v>
      </c>
      <c r="BA1378" s="76"/>
      <c r="BB1378" s="76"/>
      <c r="BC1378" s="76"/>
      <c r="BD1378" s="76">
        <f>+BC1378*30000</f>
        <v>0</v>
      </c>
      <c r="BE1378" s="76"/>
      <c r="BF1378" s="76"/>
      <c r="BG1378" s="76"/>
      <c r="BH1378" s="76"/>
      <c r="BI1378" s="76"/>
      <c r="BJ1378" s="76"/>
      <c r="BK1378" s="76"/>
      <c r="BL1378" s="76">
        <f>+BK1378*31500</f>
        <v>0</v>
      </c>
      <c r="BM1378" s="76"/>
      <c r="BN1378" s="76"/>
      <c r="BO1378" s="76"/>
      <c r="BP1378" s="76"/>
      <c r="BQ1378" s="76"/>
      <c r="BR1378" s="76"/>
      <c r="BS1378" s="76"/>
      <c r="BT1378" s="76"/>
      <c r="BU1378" s="76"/>
      <c r="BV1378" s="76"/>
      <c r="BW1378" s="76"/>
      <c r="BX1378" s="76"/>
      <c r="BY1378" s="76"/>
      <c r="BZ1378" s="76"/>
      <c r="CA1378" s="76"/>
      <c r="CB1378" s="76"/>
      <c r="CC1378" s="76"/>
      <c r="CD1378" s="76"/>
      <c r="CE1378" s="76"/>
      <c r="CF1378" s="76">
        <f>+CE1378*28000</f>
        <v>0</v>
      </c>
      <c r="CG1378" s="76"/>
      <c r="CH1378" s="76">
        <f>+CG1378*22500</f>
        <v>0</v>
      </c>
      <c r="CI1378" s="76"/>
      <c r="CJ1378" s="76">
        <f>+CI1378*26000</f>
        <v>0</v>
      </c>
      <c r="CK1378" s="76"/>
      <c r="CL1378" s="76"/>
      <c r="CM1378" s="76"/>
      <c r="CN1378" s="76">
        <f>+CM1378*22000</f>
        <v>0</v>
      </c>
      <c r="CO1378" s="76"/>
      <c r="CP1378" s="76">
        <f>+CO1378*46000</f>
        <v>0</v>
      </c>
      <c r="CQ1378" s="76"/>
      <c r="CR1378" s="76">
        <f>+CQ1378*49000</f>
        <v>0</v>
      </c>
      <c r="CS1378" s="76"/>
      <c r="CT1378" s="76"/>
      <c r="CU1378" s="56">
        <f>AN1378+AP1378+AR1378+AT1378+AV1378+AX1378+AZ1378+BB1378+BD1378+BF1378+BH1378+BJ1378+BL1378+BN1378+BP1378+BR1378+BT1378+BV1378+BX1378+BZ1378+CB1378+CD1378+CF1378+CH1378+CJ1378+CL1378+CN1378+CP1378+CR1378+CT1378</f>
        <v>0</v>
      </c>
      <c r="CV1378" s="76"/>
      <c r="CW1378" s="76">
        <f>+CV1378*1100</f>
        <v>0</v>
      </c>
      <c r="CX1378" s="76"/>
      <c r="CY1378" s="76">
        <f>+CX1378*106250</f>
        <v>0</v>
      </c>
      <c r="CZ1378" s="76"/>
      <c r="DA1378" s="76">
        <f>+CZ1378*34500</f>
        <v>0</v>
      </c>
      <c r="DB1378" s="76"/>
      <c r="DC1378" s="76">
        <f>+DB1378*25000</f>
        <v>0</v>
      </c>
      <c r="DD1378" s="219"/>
      <c r="DE1378" s="219"/>
      <c r="DF1378" s="166"/>
      <c r="DG1378" s="116"/>
      <c r="DH1378" s="117"/>
      <c r="DI1378" s="24"/>
      <c r="DJ1378" s="24"/>
      <c r="DK1378" s="24"/>
      <c r="DL1378" s="24"/>
      <c r="DM1378" s="24"/>
      <c r="DN1378" s="24"/>
      <c r="DO1378" s="24"/>
      <c r="DP1378" s="24"/>
      <c r="DQ1378" s="24"/>
      <c r="DR1378" s="24"/>
      <c r="DS1378" s="24"/>
      <c r="DT1378" s="24"/>
      <c r="DU1378" s="24"/>
    </row>
    <row r="1379" spans="1:125" s="8" customFormat="1" ht="60" x14ac:dyDescent="0.2">
      <c r="A1379" s="77">
        <v>41368</v>
      </c>
      <c r="B1379" s="352" t="s">
        <v>2847</v>
      </c>
      <c r="C1379" s="354" t="s">
        <v>2814</v>
      </c>
      <c r="D1379" s="81" t="s">
        <v>2846</v>
      </c>
      <c r="E1379" s="75" t="str">
        <f>VLOOKUP(B1379&amp;C1379,Divipola!$C$2:$F$1138,4,FALSE)</f>
        <v>68307</v>
      </c>
      <c r="F1379" s="87"/>
      <c r="G1379" s="87"/>
      <c r="H1379" s="87"/>
      <c r="I1379" s="87"/>
      <c r="J1379" s="87"/>
      <c r="K1379" s="87"/>
      <c r="L1379" s="87"/>
      <c r="M1379" s="87"/>
      <c r="N1379" s="87"/>
      <c r="O1379" s="87"/>
      <c r="P1379" s="87"/>
      <c r="Q1379" s="87"/>
      <c r="R1379" s="87"/>
      <c r="S1379" s="87"/>
      <c r="T1379" s="87"/>
      <c r="U1379" s="88"/>
      <c r="V1379" s="89"/>
      <c r="W1379" s="96">
        <v>0</v>
      </c>
      <c r="X1379" s="71">
        <f>CU1379</f>
        <v>0</v>
      </c>
      <c r="Y1379" s="71">
        <f>CY1379</f>
        <v>0</v>
      </c>
      <c r="Z1379" s="71">
        <f>DA1379+DC1379+DE1379</f>
        <v>0</v>
      </c>
      <c r="AA1379" s="71">
        <f>CW1379</f>
        <v>0</v>
      </c>
      <c r="AB1379" s="71"/>
      <c r="AC1379" s="71">
        <v>0</v>
      </c>
      <c r="AD1379" s="71">
        <f>W1379+X1379+Y1379+Z1379+AA1379+AB1379+AC1379</f>
        <v>0</v>
      </c>
      <c r="AE1379" s="72">
        <v>0</v>
      </c>
      <c r="AF1379" s="5"/>
      <c r="AG1379" s="6"/>
      <c r="AH1379" s="27" t="s">
        <v>3392</v>
      </c>
      <c r="AI1379" s="44" t="s">
        <v>3393</v>
      </c>
      <c r="AJ1379" s="26"/>
      <c r="AK1379" s="5"/>
      <c r="AL1379" s="82" t="s">
        <v>4184</v>
      </c>
      <c r="AM1379" s="76"/>
      <c r="AN1379" s="76"/>
      <c r="AO1379" s="76"/>
      <c r="AP1379" s="76"/>
      <c r="AQ1379" s="76"/>
      <c r="AR1379" s="76"/>
      <c r="AS1379" s="76"/>
      <c r="AT1379" s="76"/>
      <c r="AU1379" s="76"/>
      <c r="AV1379" s="76"/>
      <c r="AW1379" s="76"/>
      <c r="AX1379" s="76">
        <f>+AW1379*600000</f>
        <v>0</v>
      </c>
      <c r="AY1379" s="76"/>
      <c r="AZ1379" s="76">
        <f>+AY1379*70000</f>
        <v>0</v>
      </c>
      <c r="BA1379" s="76"/>
      <c r="BB1379" s="76"/>
      <c r="BC1379" s="76"/>
      <c r="BD1379" s="76">
        <f>+BC1379*30000</f>
        <v>0</v>
      </c>
      <c r="BE1379" s="76"/>
      <c r="BF1379" s="76"/>
      <c r="BG1379" s="76"/>
      <c r="BH1379" s="76"/>
      <c r="BI1379" s="76"/>
      <c r="BJ1379" s="76"/>
      <c r="BK1379" s="76"/>
      <c r="BL1379" s="76">
        <f>+BK1379*31500</f>
        <v>0</v>
      </c>
      <c r="BM1379" s="76"/>
      <c r="BN1379" s="76"/>
      <c r="BO1379" s="76"/>
      <c r="BP1379" s="76"/>
      <c r="BQ1379" s="76"/>
      <c r="BR1379" s="76"/>
      <c r="BS1379" s="76"/>
      <c r="BT1379" s="76"/>
      <c r="BU1379" s="76"/>
      <c r="BV1379" s="76"/>
      <c r="BW1379" s="76"/>
      <c r="BX1379" s="76"/>
      <c r="BY1379" s="76"/>
      <c r="BZ1379" s="76"/>
      <c r="CA1379" s="76"/>
      <c r="CB1379" s="76"/>
      <c r="CC1379" s="76"/>
      <c r="CD1379" s="76"/>
      <c r="CE1379" s="76"/>
      <c r="CF1379" s="76">
        <f>+CE1379*28000</f>
        <v>0</v>
      </c>
      <c r="CG1379" s="76"/>
      <c r="CH1379" s="76">
        <f>+CG1379*22500</f>
        <v>0</v>
      </c>
      <c r="CI1379" s="76"/>
      <c r="CJ1379" s="76">
        <f>+CI1379*26000</f>
        <v>0</v>
      </c>
      <c r="CK1379" s="76"/>
      <c r="CL1379" s="76"/>
      <c r="CM1379" s="76"/>
      <c r="CN1379" s="76">
        <f>+CM1379*22000</f>
        <v>0</v>
      </c>
      <c r="CO1379" s="76"/>
      <c r="CP1379" s="76">
        <f>+CO1379*46000</f>
        <v>0</v>
      </c>
      <c r="CQ1379" s="76"/>
      <c r="CR1379" s="76">
        <f>+CQ1379*49000</f>
        <v>0</v>
      </c>
      <c r="CS1379" s="76"/>
      <c r="CT1379" s="76"/>
      <c r="CU1379" s="56">
        <f>AN1379+AP1379+AR1379+AT1379+AV1379+AX1379+AZ1379+BB1379+BD1379+BF1379+BH1379+BJ1379+BL1379+BN1379+BP1379+BR1379+BT1379+BV1379+BX1379+BZ1379+CB1379+CD1379+CF1379+CH1379+CJ1379+CL1379+CN1379+CP1379+CR1379+CT1379</f>
        <v>0</v>
      </c>
      <c r="CV1379" s="76"/>
      <c r="CW1379" s="76">
        <f>+CV1379*1100</f>
        <v>0</v>
      </c>
      <c r="CX1379" s="76"/>
      <c r="CY1379" s="76">
        <f>+CX1379*106250</f>
        <v>0</v>
      </c>
      <c r="CZ1379" s="76"/>
      <c r="DA1379" s="76">
        <f>+CZ1379*34500</f>
        <v>0</v>
      </c>
      <c r="DB1379" s="76"/>
      <c r="DC1379" s="76">
        <f>+DB1379*25000</f>
        <v>0</v>
      </c>
      <c r="DD1379" s="219"/>
      <c r="DE1379" s="219"/>
      <c r="DF1379" s="166"/>
      <c r="DG1379" s="116"/>
      <c r="DH1379" s="117"/>
      <c r="DI1379" s="24"/>
      <c r="DJ1379" s="24"/>
      <c r="DK1379" s="24"/>
      <c r="DL1379" s="24"/>
      <c r="DM1379" s="24"/>
      <c r="DN1379" s="24"/>
      <c r="DO1379" s="24"/>
      <c r="DP1379" s="24"/>
      <c r="DQ1379" s="24"/>
      <c r="DR1379" s="24"/>
      <c r="DS1379" s="24"/>
      <c r="DT1379" s="24"/>
      <c r="DU1379" s="24"/>
    </row>
    <row r="1380" spans="1:125" s="8" customFormat="1" ht="96" x14ac:dyDescent="0.2">
      <c r="A1380" s="77">
        <v>41368</v>
      </c>
      <c r="B1380" s="78" t="s">
        <v>2848</v>
      </c>
      <c r="C1380" s="75" t="s">
        <v>1912</v>
      </c>
      <c r="D1380" s="75" t="s">
        <v>3051</v>
      </c>
      <c r="E1380" s="75" t="str">
        <f>VLOOKUP(B1380&amp;C1380,Divipola!$C$2:$F$1138,4,FALSE)</f>
        <v>73675</v>
      </c>
      <c r="F1380" s="163"/>
      <c r="G1380" s="163"/>
      <c r="H1380" s="163"/>
      <c r="I1380" s="163"/>
      <c r="J1380" s="163"/>
      <c r="K1380" s="163"/>
      <c r="L1380" s="163"/>
      <c r="M1380" s="163"/>
      <c r="N1380" s="163"/>
      <c r="O1380" s="163"/>
      <c r="P1380" s="163"/>
      <c r="Q1380" s="163"/>
      <c r="R1380" s="163"/>
      <c r="S1380" s="163"/>
      <c r="T1380" s="163"/>
      <c r="U1380" s="163"/>
      <c r="V1380" s="134"/>
      <c r="W1380" s="96">
        <f>10260000+12600000</f>
        <v>22860000</v>
      </c>
      <c r="X1380" s="71">
        <f>CU1380</f>
        <v>0</v>
      </c>
      <c r="Y1380" s="71">
        <f>CY1380</f>
        <v>0</v>
      </c>
      <c r="Z1380" s="71">
        <f>DA1380+DC1380+DE1380</f>
        <v>0</v>
      </c>
      <c r="AA1380" s="71">
        <f>CW1380</f>
        <v>0</v>
      </c>
      <c r="AB1380" s="71"/>
      <c r="AC1380" s="71">
        <v>0</v>
      </c>
      <c r="AD1380" s="71">
        <f>W1380+X1380+Y1380+Z1380+AA1380+AB1380+AC1380</f>
        <v>22860000</v>
      </c>
      <c r="AE1380" s="72">
        <v>0</v>
      </c>
      <c r="AF1380" s="5"/>
      <c r="AG1380" s="6"/>
      <c r="AH1380" s="27" t="s">
        <v>3390</v>
      </c>
      <c r="AI1380" s="44" t="s">
        <v>3391</v>
      </c>
      <c r="AJ1380" s="26"/>
      <c r="AK1380" s="5"/>
      <c r="AL1380" s="82" t="s">
        <v>5715</v>
      </c>
      <c r="AM1380" s="76"/>
      <c r="AN1380" s="76"/>
      <c r="AO1380" s="76"/>
      <c r="AP1380" s="76"/>
      <c r="AQ1380" s="76"/>
      <c r="AR1380" s="76"/>
      <c r="AS1380" s="76"/>
      <c r="AT1380" s="76"/>
      <c r="AU1380" s="76"/>
      <c r="AV1380" s="76"/>
      <c r="AW1380" s="76"/>
      <c r="AX1380" s="76">
        <f>+AW1380*600000</f>
        <v>0</v>
      </c>
      <c r="AY1380" s="76"/>
      <c r="AZ1380" s="76">
        <f>+AY1380*70000</f>
        <v>0</v>
      </c>
      <c r="BA1380" s="76"/>
      <c r="BB1380" s="76"/>
      <c r="BC1380" s="76"/>
      <c r="BD1380" s="76">
        <f>+BC1380*30000</f>
        <v>0</v>
      </c>
      <c r="BE1380" s="76"/>
      <c r="BF1380" s="76"/>
      <c r="BG1380" s="76"/>
      <c r="BH1380" s="76"/>
      <c r="BI1380" s="76"/>
      <c r="BJ1380" s="76"/>
      <c r="BK1380" s="76"/>
      <c r="BL1380" s="76">
        <f>+BK1380*31500</f>
        <v>0</v>
      </c>
      <c r="BM1380" s="76"/>
      <c r="BN1380" s="76"/>
      <c r="BO1380" s="76"/>
      <c r="BP1380" s="76"/>
      <c r="BQ1380" s="76"/>
      <c r="BR1380" s="76"/>
      <c r="BS1380" s="76"/>
      <c r="BT1380" s="76"/>
      <c r="BU1380" s="76"/>
      <c r="BV1380" s="76"/>
      <c r="BW1380" s="76"/>
      <c r="BX1380" s="76"/>
      <c r="BY1380" s="76"/>
      <c r="BZ1380" s="76"/>
      <c r="CA1380" s="76"/>
      <c r="CB1380" s="76"/>
      <c r="CC1380" s="76"/>
      <c r="CD1380" s="76"/>
      <c r="CE1380" s="76"/>
      <c r="CF1380" s="76">
        <f>+CE1380*28000</f>
        <v>0</v>
      </c>
      <c r="CG1380" s="76"/>
      <c r="CH1380" s="76">
        <f>+CG1380*22500</f>
        <v>0</v>
      </c>
      <c r="CI1380" s="76"/>
      <c r="CJ1380" s="76">
        <f>+CI1380*26000</f>
        <v>0</v>
      </c>
      <c r="CK1380" s="76"/>
      <c r="CL1380" s="76"/>
      <c r="CM1380" s="76"/>
      <c r="CN1380" s="76">
        <f>+CM1380*22000</f>
        <v>0</v>
      </c>
      <c r="CO1380" s="76"/>
      <c r="CP1380" s="76">
        <f>+CO1380*46000</f>
        <v>0</v>
      </c>
      <c r="CQ1380" s="76"/>
      <c r="CR1380" s="76">
        <f>+CQ1380*49000</f>
        <v>0</v>
      </c>
      <c r="CS1380" s="76"/>
      <c r="CT1380" s="76"/>
      <c r="CU1380" s="56">
        <f>AN1380+AP1380+AR1380+AT1380+AV1380+AX1380+AZ1380+BB1380+BD1380+BF1380+BH1380+BJ1380+BL1380+BN1380+BP1380+BR1380+BT1380+BV1380+BX1380+BZ1380+CB1380+CD1380+CF1380+CH1380+CJ1380+CL1380+CN1380+CP1380+CR1380+CT1380</f>
        <v>0</v>
      </c>
      <c r="CV1380" s="76"/>
      <c r="CW1380" s="76">
        <f>+CV1380*1100</f>
        <v>0</v>
      </c>
      <c r="CX1380" s="76"/>
      <c r="CY1380" s="76">
        <f>+CX1380*106250</f>
        <v>0</v>
      </c>
      <c r="CZ1380" s="76"/>
      <c r="DA1380" s="76">
        <f>+CZ1380*34500</f>
        <v>0</v>
      </c>
      <c r="DB1380" s="76"/>
      <c r="DC1380" s="76">
        <f>+DB1380*25000</f>
        <v>0</v>
      </c>
      <c r="DD1380" s="219"/>
      <c r="DE1380" s="219"/>
      <c r="DF1380" s="166"/>
      <c r="DG1380" s="116"/>
      <c r="DH1380" s="117"/>
      <c r="DI1380" s="24"/>
      <c r="DJ1380" s="24"/>
      <c r="DK1380" s="24"/>
      <c r="DL1380" s="24"/>
      <c r="DM1380" s="24"/>
      <c r="DN1380" s="24"/>
      <c r="DO1380" s="24"/>
      <c r="DP1380" s="24"/>
      <c r="DQ1380" s="24"/>
      <c r="DR1380" s="24"/>
      <c r="DS1380" s="24"/>
      <c r="DT1380" s="24"/>
      <c r="DU1380" s="24"/>
    </row>
    <row r="1381" spans="1:125" s="8" customFormat="1" ht="24" x14ac:dyDescent="0.2">
      <c r="A1381" s="226">
        <v>41369</v>
      </c>
      <c r="B1381" s="352" t="s">
        <v>2894</v>
      </c>
      <c r="C1381" s="354" t="s">
        <v>2349</v>
      </c>
      <c r="D1381" s="81" t="s">
        <v>2846</v>
      </c>
      <c r="E1381" s="75" t="str">
        <f>VLOOKUP(B1381&amp;C1381,Divipola!$C$2:$F$1138,4,FALSE)</f>
        <v>05042</v>
      </c>
      <c r="F1381" s="87"/>
      <c r="G1381" s="87"/>
      <c r="H1381" s="87"/>
      <c r="I1381" s="87"/>
      <c r="J1381" s="87"/>
      <c r="K1381" s="87"/>
      <c r="L1381" s="87"/>
      <c r="M1381" s="87"/>
      <c r="N1381" s="87"/>
      <c r="O1381" s="87"/>
      <c r="P1381" s="87"/>
      <c r="Q1381" s="87"/>
      <c r="R1381" s="87"/>
      <c r="S1381" s="87"/>
      <c r="T1381" s="87"/>
      <c r="U1381" s="88"/>
      <c r="V1381" s="89"/>
      <c r="W1381" s="96">
        <v>0</v>
      </c>
      <c r="X1381" s="71">
        <f>CU1381</f>
        <v>0</v>
      </c>
      <c r="Y1381" s="71">
        <f>CY1381</f>
        <v>0</v>
      </c>
      <c r="Z1381" s="71">
        <f>DA1381+DC1381+DE1381</f>
        <v>0</v>
      </c>
      <c r="AA1381" s="71">
        <f>CW1381</f>
        <v>0</v>
      </c>
      <c r="AB1381" s="71"/>
      <c r="AC1381" s="71">
        <v>0</v>
      </c>
      <c r="AD1381" s="71">
        <f>W1381+X1381+Y1381+Z1381+AA1381+AB1381+AC1381</f>
        <v>0</v>
      </c>
      <c r="AE1381" s="72">
        <v>0</v>
      </c>
      <c r="AF1381" s="5"/>
      <c r="AG1381" s="6"/>
      <c r="AH1381" s="27" t="s">
        <v>3392</v>
      </c>
      <c r="AI1381" s="44" t="s">
        <v>3393</v>
      </c>
      <c r="AJ1381" s="26"/>
      <c r="AK1381" s="5"/>
      <c r="AL1381" s="82" t="s">
        <v>4197</v>
      </c>
      <c r="AM1381" s="76"/>
      <c r="AN1381" s="76"/>
      <c r="AO1381" s="76"/>
      <c r="AP1381" s="76"/>
      <c r="AQ1381" s="76"/>
      <c r="AR1381" s="76"/>
      <c r="AS1381" s="76"/>
      <c r="AT1381" s="76"/>
      <c r="AU1381" s="76"/>
      <c r="AV1381" s="76"/>
      <c r="AW1381" s="76"/>
      <c r="AX1381" s="76">
        <f>+AW1381*600000</f>
        <v>0</v>
      </c>
      <c r="AY1381" s="76"/>
      <c r="AZ1381" s="76">
        <f>+AY1381*70000</f>
        <v>0</v>
      </c>
      <c r="BA1381" s="76"/>
      <c r="BB1381" s="76"/>
      <c r="BC1381" s="76"/>
      <c r="BD1381" s="76">
        <f>+BC1381*30000</f>
        <v>0</v>
      </c>
      <c r="BE1381" s="76"/>
      <c r="BF1381" s="76"/>
      <c r="BG1381" s="76"/>
      <c r="BH1381" s="76"/>
      <c r="BI1381" s="76"/>
      <c r="BJ1381" s="76"/>
      <c r="BK1381" s="76"/>
      <c r="BL1381" s="76">
        <f>+BK1381*31500</f>
        <v>0</v>
      </c>
      <c r="BM1381" s="76"/>
      <c r="BN1381" s="76"/>
      <c r="BO1381" s="76"/>
      <c r="BP1381" s="76"/>
      <c r="BQ1381" s="76"/>
      <c r="BR1381" s="76"/>
      <c r="BS1381" s="76"/>
      <c r="BT1381" s="76"/>
      <c r="BU1381" s="76"/>
      <c r="BV1381" s="76"/>
      <c r="BW1381" s="76"/>
      <c r="BX1381" s="76"/>
      <c r="BY1381" s="76"/>
      <c r="BZ1381" s="76"/>
      <c r="CA1381" s="76"/>
      <c r="CB1381" s="76"/>
      <c r="CC1381" s="76"/>
      <c r="CD1381" s="76"/>
      <c r="CE1381" s="76"/>
      <c r="CF1381" s="76">
        <f>+CE1381*28000</f>
        <v>0</v>
      </c>
      <c r="CG1381" s="76"/>
      <c r="CH1381" s="76">
        <f>+CG1381*22500</f>
        <v>0</v>
      </c>
      <c r="CI1381" s="76"/>
      <c r="CJ1381" s="76">
        <f>+CI1381*26000</f>
        <v>0</v>
      </c>
      <c r="CK1381" s="76"/>
      <c r="CL1381" s="76"/>
      <c r="CM1381" s="76"/>
      <c r="CN1381" s="76">
        <f>+CM1381*22000</f>
        <v>0</v>
      </c>
      <c r="CO1381" s="76"/>
      <c r="CP1381" s="76">
        <f>+CO1381*46000</f>
        <v>0</v>
      </c>
      <c r="CQ1381" s="76"/>
      <c r="CR1381" s="76">
        <f>+CQ1381*49000</f>
        <v>0</v>
      </c>
      <c r="CS1381" s="76"/>
      <c r="CT1381" s="76"/>
      <c r="CU1381" s="56">
        <f>AN1381+AP1381+AR1381+AT1381+AV1381+AX1381+AZ1381+BB1381+BD1381+BF1381+BH1381+BJ1381+BL1381+BN1381+BP1381+BR1381+BT1381+BV1381+BX1381+BZ1381+CB1381+CD1381+CF1381+CH1381+CJ1381+CL1381+CN1381+CP1381+CR1381+CT1381</f>
        <v>0</v>
      </c>
      <c r="CV1381" s="76"/>
      <c r="CW1381" s="76">
        <f>+CV1381*1100</f>
        <v>0</v>
      </c>
      <c r="CX1381" s="76"/>
      <c r="CY1381" s="76">
        <f>+CX1381*106250</f>
        <v>0</v>
      </c>
      <c r="CZ1381" s="76"/>
      <c r="DA1381" s="76">
        <f>+CZ1381*34500</f>
        <v>0</v>
      </c>
      <c r="DB1381" s="76"/>
      <c r="DC1381" s="76">
        <f>+DB1381*25000</f>
        <v>0</v>
      </c>
      <c r="DD1381" s="219"/>
      <c r="DE1381" s="219"/>
      <c r="DF1381" s="166"/>
      <c r="DG1381" s="116"/>
      <c r="DH1381" s="117"/>
      <c r="DI1381" s="24"/>
      <c r="DJ1381" s="24"/>
      <c r="DK1381" s="24"/>
      <c r="DL1381" s="24"/>
      <c r="DM1381" s="24"/>
      <c r="DN1381" s="24"/>
      <c r="DO1381" s="24"/>
      <c r="DP1381" s="24"/>
      <c r="DQ1381" s="24"/>
      <c r="DR1381" s="24"/>
      <c r="DS1381" s="24"/>
      <c r="DT1381" s="24"/>
      <c r="DU1381" s="24"/>
    </row>
    <row r="1382" spans="1:125" s="8" customFormat="1" ht="24" x14ac:dyDescent="0.2">
      <c r="A1382" s="226">
        <v>41369</v>
      </c>
      <c r="B1382" s="225" t="s">
        <v>2196</v>
      </c>
      <c r="C1382" s="227" t="s">
        <v>524</v>
      </c>
      <c r="D1382" s="75" t="s">
        <v>3051</v>
      </c>
      <c r="E1382" s="75" t="str">
        <f>VLOOKUP(B1382&amp;C1382,Divipola!$C$2:$F$1138,4,FALSE)</f>
        <v>17495</v>
      </c>
      <c r="F1382" s="87"/>
      <c r="G1382" s="87"/>
      <c r="H1382" s="87"/>
      <c r="I1382" s="87">
        <v>280</v>
      </c>
      <c r="J1382" s="87">
        <v>56</v>
      </c>
      <c r="K1382" s="87"/>
      <c r="L1382" s="87">
        <v>56</v>
      </c>
      <c r="M1382" s="87"/>
      <c r="N1382" s="87"/>
      <c r="O1382" s="87"/>
      <c r="P1382" s="87"/>
      <c r="Q1382" s="87"/>
      <c r="R1382" s="87"/>
      <c r="S1382" s="87"/>
      <c r="T1382" s="87"/>
      <c r="U1382" s="88"/>
      <c r="V1382" s="89"/>
      <c r="W1382" s="96">
        <v>0</v>
      </c>
      <c r="X1382" s="71">
        <f>CU1382</f>
        <v>0</v>
      </c>
      <c r="Y1382" s="71">
        <f>CY1382</f>
        <v>0</v>
      </c>
      <c r="Z1382" s="71">
        <f>DA1382+DC1382+DE1382</f>
        <v>0</v>
      </c>
      <c r="AA1382" s="71">
        <f>CW1382</f>
        <v>0</v>
      </c>
      <c r="AB1382" s="71"/>
      <c r="AC1382" s="71">
        <v>0</v>
      </c>
      <c r="AD1382" s="71">
        <f>W1382+X1382+Y1382+Z1382+AA1382+AB1382+AC1382</f>
        <v>0</v>
      </c>
      <c r="AE1382" s="72">
        <v>0</v>
      </c>
      <c r="AF1382" s="5"/>
      <c r="AG1382" s="6"/>
      <c r="AH1382" s="27" t="s">
        <v>3392</v>
      </c>
      <c r="AI1382" s="44" t="s">
        <v>3393</v>
      </c>
      <c r="AJ1382" s="26"/>
      <c r="AK1382" s="5"/>
      <c r="AL1382" s="82" t="s">
        <v>4196</v>
      </c>
      <c r="AM1382" s="76"/>
      <c r="AN1382" s="76"/>
      <c r="AO1382" s="76"/>
      <c r="AP1382" s="76"/>
      <c r="AQ1382" s="76"/>
      <c r="AR1382" s="76"/>
      <c r="AS1382" s="76"/>
      <c r="AT1382" s="76"/>
      <c r="AU1382" s="76"/>
      <c r="AV1382" s="76"/>
      <c r="AW1382" s="76"/>
      <c r="AX1382" s="76">
        <f>+AW1382*600000</f>
        <v>0</v>
      </c>
      <c r="AY1382" s="76"/>
      <c r="AZ1382" s="76">
        <f>+AY1382*70000</f>
        <v>0</v>
      </c>
      <c r="BA1382" s="76"/>
      <c r="BB1382" s="76"/>
      <c r="BC1382" s="76"/>
      <c r="BD1382" s="76">
        <f>+BC1382*30000</f>
        <v>0</v>
      </c>
      <c r="BE1382" s="76"/>
      <c r="BF1382" s="76"/>
      <c r="BG1382" s="76"/>
      <c r="BH1382" s="76"/>
      <c r="BI1382" s="76"/>
      <c r="BJ1382" s="76"/>
      <c r="BK1382" s="76"/>
      <c r="BL1382" s="76">
        <f>+BK1382*31500</f>
        <v>0</v>
      </c>
      <c r="BM1382" s="76"/>
      <c r="BN1382" s="76"/>
      <c r="BO1382" s="76"/>
      <c r="BP1382" s="76"/>
      <c r="BQ1382" s="76"/>
      <c r="BR1382" s="76"/>
      <c r="BS1382" s="76"/>
      <c r="BT1382" s="76"/>
      <c r="BU1382" s="76"/>
      <c r="BV1382" s="76"/>
      <c r="BW1382" s="76"/>
      <c r="BX1382" s="76"/>
      <c r="BY1382" s="76"/>
      <c r="BZ1382" s="76"/>
      <c r="CA1382" s="76"/>
      <c r="CB1382" s="76"/>
      <c r="CC1382" s="76"/>
      <c r="CD1382" s="76"/>
      <c r="CE1382" s="76"/>
      <c r="CF1382" s="76">
        <f>+CE1382*28000</f>
        <v>0</v>
      </c>
      <c r="CG1382" s="76"/>
      <c r="CH1382" s="76">
        <f>+CG1382*22500</f>
        <v>0</v>
      </c>
      <c r="CI1382" s="76"/>
      <c r="CJ1382" s="76">
        <f>+CI1382*26000</f>
        <v>0</v>
      </c>
      <c r="CK1382" s="76"/>
      <c r="CL1382" s="76"/>
      <c r="CM1382" s="76"/>
      <c r="CN1382" s="76">
        <f>+CM1382*22000</f>
        <v>0</v>
      </c>
      <c r="CO1382" s="76"/>
      <c r="CP1382" s="76">
        <f>+CO1382*46000</f>
        <v>0</v>
      </c>
      <c r="CQ1382" s="76"/>
      <c r="CR1382" s="76">
        <f>+CQ1382*49000</f>
        <v>0</v>
      </c>
      <c r="CS1382" s="76"/>
      <c r="CT1382" s="76"/>
      <c r="CU1382" s="56">
        <f>AN1382+AP1382+AR1382+AT1382+AV1382+AX1382+AZ1382+BB1382+BD1382+BF1382+BH1382+BJ1382+BL1382+BN1382+BP1382+BR1382+BT1382+BV1382+BX1382+BZ1382+CB1382+CD1382+CF1382+CH1382+CJ1382+CL1382+CN1382+CP1382+CR1382+CT1382</f>
        <v>0</v>
      </c>
      <c r="CV1382" s="76"/>
      <c r="CW1382" s="76">
        <f>+CV1382*1100</f>
        <v>0</v>
      </c>
      <c r="CX1382" s="76"/>
      <c r="CY1382" s="76">
        <f>+CX1382*106250</f>
        <v>0</v>
      </c>
      <c r="CZ1382" s="76"/>
      <c r="DA1382" s="76">
        <f>+CZ1382*34500</f>
        <v>0</v>
      </c>
      <c r="DB1382" s="76"/>
      <c r="DC1382" s="76">
        <f>+DB1382*25000</f>
        <v>0</v>
      </c>
      <c r="DD1382" s="219"/>
      <c r="DE1382" s="219"/>
      <c r="DF1382" s="166"/>
      <c r="DG1382" s="116"/>
      <c r="DH1382" s="117"/>
      <c r="DI1382" s="24"/>
      <c r="DJ1382" s="24"/>
      <c r="DK1382" s="24"/>
      <c r="DL1382" s="24"/>
      <c r="DM1382" s="24"/>
      <c r="DN1382" s="24"/>
      <c r="DO1382" s="24"/>
      <c r="DP1382" s="24"/>
      <c r="DQ1382" s="24"/>
      <c r="DR1382" s="24"/>
      <c r="DS1382" s="24"/>
      <c r="DT1382" s="24"/>
      <c r="DU1382" s="24"/>
    </row>
    <row r="1383" spans="1:125" s="8" customFormat="1" ht="48" x14ac:dyDescent="0.2">
      <c r="A1383" s="226">
        <v>41369</v>
      </c>
      <c r="B1383" s="352" t="s">
        <v>2718</v>
      </c>
      <c r="C1383" s="354" t="s">
        <v>1001</v>
      </c>
      <c r="D1383" s="354" t="s">
        <v>2849</v>
      </c>
      <c r="E1383" s="75" t="str">
        <f>VLOOKUP(B1383&amp;C1383,Divipola!$C$2:$F$1138,4,FALSE)</f>
        <v>23807</v>
      </c>
      <c r="F1383" s="87">
        <v>2</v>
      </c>
      <c r="G1383" s="87">
        <v>32</v>
      </c>
      <c r="H1383" s="87"/>
      <c r="I1383" s="87">
        <v>34</v>
      </c>
      <c r="J1383" s="87"/>
      <c r="K1383" s="87"/>
      <c r="L1383" s="87"/>
      <c r="M1383" s="87"/>
      <c r="N1383" s="87"/>
      <c r="O1383" s="87"/>
      <c r="P1383" s="87"/>
      <c r="Q1383" s="87"/>
      <c r="R1383" s="87"/>
      <c r="S1383" s="87"/>
      <c r="T1383" s="87"/>
      <c r="U1383" s="88"/>
      <c r="V1383" s="89"/>
      <c r="W1383" s="96">
        <v>0</v>
      </c>
      <c r="X1383" s="71">
        <f>CU1383</f>
        <v>0</v>
      </c>
      <c r="Y1383" s="71">
        <f>CY1383</f>
        <v>0</v>
      </c>
      <c r="Z1383" s="71">
        <f>DA1383+DC1383+DE1383</f>
        <v>0</v>
      </c>
      <c r="AA1383" s="71">
        <f>CW1383</f>
        <v>0</v>
      </c>
      <c r="AB1383" s="71"/>
      <c r="AC1383" s="71">
        <v>0</v>
      </c>
      <c r="AD1383" s="71">
        <f>W1383+X1383+Y1383+Z1383+AA1383+AB1383+AC1383</f>
        <v>0</v>
      </c>
      <c r="AE1383" s="72">
        <v>0</v>
      </c>
      <c r="AF1383" s="5"/>
      <c r="AG1383" s="6"/>
      <c r="AH1383" s="27" t="s">
        <v>3392</v>
      </c>
      <c r="AI1383" s="44" t="s">
        <v>3393</v>
      </c>
      <c r="AJ1383" s="26"/>
      <c r="AK1383" s="5"/>
      <c r="AL1383" s="82" t="s">
        <v>4199</v>
      </c>
      <c r="AM1383" s="76"/>
      <c r="AN1383" s="76"/>
      <c r="AO1383" s="76"/>
      <c r="AP1383" s="76"/>
      <c r="AQ1383" s="76"/>
      <c r="AR1383" s="76"/>
      <c r="AS1383" s="76"/>
      <c r="AT1383" s="76"/>
      <c r="AU1383" s="76"/>
      <c r="AV1383" s="76"/>
      <c r="AW1383" s="76"/>
      <c r="AX1383" s="76">
        <f>+AW1383*600000</f>
        <v>0</v>
      </c>
      <c r="AY1383" s="76"/>
      <c r="AZ1383" s="76">
        <f>+AY1383*70000</f>
        <v>0</v>
      </c>
      <c r="BA1383" s="76"/>
      <c r="BB1383" s="76"/>
      <c r="BC1383" s="76"/>
      <c r="BD1383" s="76">
        <f>+BC1383*30000</f>
        <v>0</v>
      </c>
      <c r="BE1383" s="76"/>
      <c r="BF1383" s="76"/>
      <c r="BG1383" s="76"/>
      <c r="BH1383" s="76"/>
      <c r="BI1383" s="76"/>
      <c r="BJ1383" s="76"/>
      <c r="BK1383" s="76"/>
      <c r="BL1383" s="76">
        <f>+BK1383*31500</f>
        <v>0</v>
      </c>
      <c r="BM1383" s="76"/>
      <c r="BN1383" s="76"/>
      <c r="BO1383" s="76"/>
      <c r="BP1383" s="76"/>
      <c r="BQ1383" s="76"/>
      <c r="BR1383" s="76"/>
      <c r="BS1383" s="76"/>
      <c r="BT1383" s="76"/>
      <c r="BU1383" s="76"/>
      <c r="BV1383" s="76"/>
      <c r="BW1383" s="76"/>
      <c r="BX1383" s="76"/>
      <c r="BY1383" s="76"/>
      <c r="BZ1383" s="76"/>
      <c r="CA1383" s="76"/>
      <c r="CB1383" s="76"/>
      <c r="CC1383" s="76"/>
      <c r="CD1383" s="76"/>
      <c r="CE1383" s="76"/>
      <c r="CF1383" s="76">
        <f>+CE1383*28000</f>
        <v>0</v>
      </c>
      <c r="CG1383" s="76"/>
      <c r="CH1383" s="76">
        <f>+CG1383*22500</f>
        <v>0</v>
      </c>
      <c r="CI1383" s="76"/>
      <c r="CJ1383" s="76">
        <f>+CI1383*26000</f>
        <v>0</v>
      </c>
      <c r="CK1383" s="76"/>
      <c r="CL1383" s="76"/>
      <c r="CM1383" s="76"/>
      <c r="CN1383" s="76">
        <f>+CM1383*22000</f>
        <v>0</v>
      </c>
      <c r="CO1383" s="76"/>
      <c r="CP1383" s="76">
        <f>+CO1383*46000</f>
        <v>0</v>
      </c>
      <c r="CQ1383" s="76"/>
      <c r="CR1383" s="76">
        <f>+CQ1383*49000</f>
        <v>0</v>
      </c>
      <c r="CS1383" s="76"/>
      <c r="CT1383" s="76"/>
      <c r="CU1383" s="56">
        <f>AN1383+AP1383+AR1383+AT1383+AV1383+AX1383+AZ1383+BB1383+BD1383+BF1383+BH1383+BJ1383+BL1383+BN1383+BP1383+BR1383+BT1383+BV1383+BX1383+BZ1383+CB1383+CD1383+CF1383+CH1383+CJ1383+CL1383+CN1383+CP1383+CR1383+CT1383</f>
        <v>0</v>
      </c>
      <c r="CV1383" s="76"/>
      <c r="CW1383" s="76">
        <f>+CV1383*1100</f>
        <v>0</v>
      </c>
      <c r="CX1383" s="76"/>
      <c r="CY1383" s="76">
        <f>+CX1383*106250</f>
        <v>0</v>
      </c>
      <c r="CZ1383" s="76"/>
      <c r="DA1383" s="76">
        <f>+CZ1383*34500</f>
        <v>0</v>
      </c>
      <c r="DB1383" s="76"/>
      <c r="DC1383" s="76">
        <f>+DB1383*25000</f>
        <v>0</v>
      </c>
      <c r="DD1383" s="219"/>
      <c r="DE1383" s="219"/>
      <c r="DF1383" s="166"/>
      <c r="DG1383" s="116"/>
      <c r="DH1383" s="117"/>
      <c r="DI1383" s="24"/>
      <c r="DJ1383" s="24"/>
      <c r="DK1383" s="24"/>
      <c r="DL1383" s="24"/>
      <c r="DM1383" s="24"/>
      <c r="DN1383" s="24"/>
      <c r="DO1383" s="24"/>
      <c r="DP1383" s="24"/>
      <c r="DQ1383" s="24"/>
      <c r="DR1383" s="24"/>
      <c r="DS1383" s="24"/>
      <c r="DT1383" s="24"/>
      <c r="DU1383" s="24"/>
    </row>
    <row r="1384" spans="1:125" s="8" customFormat="1" ht="72" x14ac:dyDescent="0.2">
      <c r="A1384" s="77">
        <v>41369</v>
      </c>
      <c r="B1384" s="78" t="s">
        <v>2772</v>
      </c>
      <c r="C1384" s="75" t="s">
        <v>1028</v>
      </c>
      <c r="D1384" s="81" t="s">
        <v>2846</v>
      </c>
      <c r="E1384" s="75" t="str">
        <f>VLOOKUP(B1384&amp;C1384,Divipola!$C$2:$F$1138,4,FALSE)</f>
        <v>25151</v>
      </c>
      <c r="F1384" s="87"/>
      <c r="G1384" s="87"/>
      <c r="H1384" s="87"/>
      <c r="I1384" s="87"/>
      <c r="J1384" s="87"/>
      <c r="K1384" s="87"/>
      <c r="L1384" s="87"/>
      <c r="M1384" s="87"/>
      <c r="N1384" s="87"/>
      <c r="O1384" s="87"/>
      <c r="P1384" s="87"/>
      <c r="Q1384" s="87"/>
      <c r="R1384" s="87"/>
      <c r="S1384" s="87"/>
      <c r="T1384" s="87"/>
      <c r="U1384" s="88">
        <v>4</v>
      </c>
      <c r="V1384" s="89"/>
      <c r="W1384" s="96">
        <v>0</v>
      </c>
      <c r="X1384" s="71">
        <f>CU1384</f>
        <v>0</v>
      </c>
      <c r="Y1384" s="71">
        <f>CY1384</f>
        <v>0</v>
      </c>
      <c r="Z1384" s="71">
        <f>DA1384+DC1384+DE1384</f>
        <v>0</v>
      </c>
      <c r="AA1384" s="71">
        <f>CW1384</f>
        <v>0</v>
      </c>
      <c r="AB1384" s="71"/>
      <c r="AC1384" s="71">
        <v>0</v>
      </c>
      <c r="AD1384" s="71">
        <f>W1384+X1384+Y1384+Z1384+AA1384+AB1384+AC1384</f>
        <v>0</v>
      </c>
      <c r="AE1384" s="72">
        <v>0</v>
      </c>
      <c r="AF1384" s="5"/>
      <c r="AG1384" s="6"/>
      <c r="AH1384" s="27" t="s">
        <v>3392</v>
      </c>
      <c r="AI1384" s="44" t="s">
        <v>3393</v>
      </c>
      <c r="AJ1384" s="26"/>
      <c r="AK1384" s="5"/>
      <c r="AL1384" s="82" t="s">
        <v>4232</v>
      </c>
      <c r="AM1384" s="76"/>
      <c r="AN1384" s="76"/>
      <c r="AO1384" s="76"/>
      <c r="AP1384" s="76"/>
      <c r="AQ1384" s="76"/>
      <c r="AR1384" s="76"/>
      <c r="AS1384" s="76"/>
      <c r="AT1384" s="76"/>
      <c r="AU1384" s="76"/>
      <c r="AV1384" s="76"/>
      <c r="AW1384" s="76"/>
      <c r="AX1384" s="76">
        <f>+AW1384*600000</f>
        <v>0</v>
      </c>
      <c r="AY1384" s="76"/>
      <c r="AZ1384" s="76">
        <f>+AY1384*70000</f>
        <v>0</v>
      </c>
      <c r="BA1384" s="76"/>
      <c r="BB1384" s="76"/>
      <c r="BC1384" s="76"/>
      <c r="BD1384" s="76">
        <f>+BC1384*30000</f>
        <v>0</v>
      </c>
      <c r="BE1384" s="76"/>
      <c r="BF1384" s="76"/>
      <c r="BG1384" s="76"/>
      <c r="BH1384" s="76"/>
      <c r="BI1384" s="76"/>
      <c r="BJ1384" s="76"/>
      <c r="BK1384" s="76"/>
      <c r="BL1384" s="76">
        <f>+BK1384*31500</f>
        <v>0</v>
      </c>
      <c r="BM1384" s="76"/>
      <c r="BN1384" s="76"/>
      <c r="BO1384" s="76"/>
      <c r="BP1384" s="76"/>
      <c r="BQ1384" s="76"/>
      <c r="BR1384" s="76"/>
      <c r="BS1384" s="76"/>
      <c r="BT1384" s="76"/>
      <c r="BU1384" s="76"/>
      <c r="BV1384" s="76"/>
      <c r="BW1384" s="76"/>
      <c r="BX1384" s="76"/>
      <c r="BY1384" s="76"/>
      <c r="BZ1384" s="76"/>
      <c r="CA1384" s="76"/>
      <c r="CB1384" s="76"/>
      <c r="CC1384" s="76"/>
      <c r="CD1384" s="76"/>
      <c r="CE1384" s="76"/>
      <c r="CF1384" s="76">
        <f>+CE1384*28000</f>
        <v>0</v>
      </c>
      <c r="CG1384" s="76"/>
      <c r="CH1384" s="76">
        <f>+CG1384*22500</f>
        <v>0</v>
      </c>
      <c r="CI1384" s="76"/>
      <c r="CJ1384" s="76">
        <f>+CI1384*26000</f>
        <v>0</v>
      </c>
      <c r="CK1384" s="76"/>
      <c r="CL1384" s="76"/>
      <c r="CM1384" s="76"/>
      <c r="CN1384" s="76">
        <f>+CM1384*22000</f>
        <v>0</v>
      </c>
      <c r="CO1384" s="76"/>
      <c r="CP1384" s="76">
        <f>+CO1384*46000</f>
        <v>0</v>
      </c>
      <c r="CQ1384" s="76"/>
      <c r="CR1384" s="76">
        <f>+CQ1384*49000</f>
        <v>0</v>
      </c>
      <c r="CS1384" s="76"/>
      <c r="CT1384" s="76"/>
      <c r="CU1384" s="56">
        <f>AN1384+AP1384+AR1384+AT1384+AV1384+AX1384+AZ1384+BB1384+BD1384+BF1384+BH1384+BJ1384+BL1384+BN1384+BP1384+BR1384+BT1384+BV1384+BX1384+BZ1384+CB1384+CD1384+CF1384+CH1384+CJ1384+CL1384+CN1384+CP1384+CR1384+CT1384</f>
        <v>0</v>
      </c>
      <c r="CV1384" s="76"/>
      <c r="CW1384" s="76">
        <f>+CV1384*1100</f>
        <v>0</v>
      </c>
      <c r="CX1384" s="76"/>
      <c r="CY1384" s="76">
        <f>+CX1384*106250</f>
        <v>0</v>
      </c>
      <c r="CZ1384" s="76"/>
      <c r="DA1384" s="76">
        <f>+CZ1384*34500</f>
        <v>0</v>
      </c>
      <c r="DB1384" s="76"/>
      <c r="DC1384" s="76">
        <f>+DB1384*25000</f>
        <v>0</v>
      </c>
      <c r="DD1384" s="219"/>
      <c r="DE1384" s="219"/>
      <c r="DF1384" s="166"/>
      <c r="DG1384" s="116"/>
      <c r="DH1384" s="117"/>
      <c r="DI1384" s="24"/>
      <c r="DJ1384" s="24"/>
      <c r="DK1384" s="24"/>
      <c r="DL1384" s="24"/>
      <c r="DM1384" s="24"/>
      <c r="DN1384" s="24"/>
      <c r="DO1384" s="24"/>
      <c r="DP1384" s="24"/>
      <c r="DQ1384" s="24"/>
      <c r="DR1384" s="24"/>
      <c r="DS1384" s="24"/>
      <c r="DT1384" s="24"/>
      <c r="DU1384" s="24"/>
    </row>
    <row r="1385" spans="1:125" s="8" customFormat="1" ht="108" x14ac:dyDescent="0.2">
      <c r="A1385" s="97">
        <v>41369</v>
      </c>
      <c r="B1385" s="60" t="s">
        <v>2772</v>
      </c>
      <c r="C1385" s="55" t="s">
        <v>1082</v>
      </c>
      <c r="D1385" s="81" t="s">
        <v>2846</v>
      </c>
      <c r="E1385" s="75" t="str">
        <f>VLOOKUP(B1385&amp;C1385,Divipola!$C$2:$F$1138,4,FALSE)</f>
        <v>25326</v>
      </c>
      <c r="F1385" s="87"/>
      <c r="G1385" s="87"/>
      <c r="H1385" s="87"/>
      <c r="I1385" s="87"/>
      <c r="J1385" s="87"/>
      <c r="K1385" s="87"/>
      <c r="L1385" s="87"/>
      <c r="M1385" s="87"/>
      <c r="N1385" s="87"/>
      <c r="O1385" s="87"/>
      <c r="P1385" s="87"/>
      <c r="Q1385" s="87"/>
      <c r="R1385" s="87"/>
      <c r="S1385" s="87"/>
      <c r="T1385" s="87"/>
      <c r="U1385" s="88">
        <v>0.5</v>
      </c>
      <c r="V1385" s="89"/>
      <c r="W1385" s="96">
        <v>0</v>
      </c>
      <c r="X1385" s="71">
        <f>CU1385</f>
        <v>0</v>
      </c>
      <c r="Y1385" s="71">
        <f>CY1385</f>
        <v>0</v>
      </c>
      <c r="Z1385" s="71">
        <f>DA1385+DC1385+DE1385</f>
        <v>0</v>
      </c>
      <c r="AA1385" s="71">
        <f>CW1385</f>
        <v>0</v>
      </c>
      <c r="AB1385" s="71"/>
      <c r="AC1385" s="71">
        <v>0</v>
      </c>
      <c r="AD1385" s="71">
        <f>W1385+X1385+Y1385+Z1385+AA1385+AB1385+AC1385</f>
        <v>0</v>
      </c>
      <c r="AE1385" s="72">
        <v>0</v>
      </c>
      <c r="AF1385" s="5"/>
      <c r="AG1385" s="6"/>
      <c r="AH1385" s="27" t="s">
        <v>3392</v>
      </c>
      <c r="AI1385" s="44" t="s">
        <v>3393</v>
      </c>
      <c r="AJ1385" s="26"/>
      <c r="AK1385" s="5"/>
      <c r="AL1385" s="82" t="s">
        <v>4192</v>
      </c>
      <c r="AM1385" s="76"/>
      <c r="AN1385" s="76"/>
      <c r="AO1385" s="76"/>
      <c r="AP1385" s="76"/>
      <c r="AQ1385" s="76"/>
      <c r="AR1385" s="76"/>
      <c r="AS1385" s="76"/>
      <c r="AT1385" s="76"/>
      <c r="AU1385" s="76"/>
      <c r="AV1385" s="76"/>
      <c r="AW1385" s="76"/>
      <c r="AX1385" s="76">
        <f>+AW1385*600000</f>
        <v>0</v>
      </c>
      <c r="AY1385" s="76"/>
      <c r="AZ1385" s="76">
        <f>+AY1385*70000</f>
        <v>0</v>
      </c>
      <c r="BA1385" s="76"/>
      <c r="BB1385" s="76"/>
      <c r="BC1385" s="76"/>
      <c r="BD1385" s="76">
        <f>+BC1385*30000</f>
        <v>0</v>
      </c>
      <c r="BE1385" s="76"/>
      <c r="BF1385" s="76"/>
      <c r="BG1385" s="76"/>
      <c r="BH1385" s="76"/>
      <c r="BI1385" s="76"/>
      <c r="BJ1385" s="76"/>
      <c r="BK1385" s="76"/>
      <c r="BL1385" s="76">
        <f>+BK1385*31500</f>
        <v>0</v>
      </c>
      <c r="BM1385" s="76"/>
      <c r="BN1385" s="76"/>
      <c r="BO1385" s="76"/>
      <c r="BP1385" s="76"/>
      <c r="BQ1385" s="76"/>
      <c r="BR1385" s="76"/>
      <c r="BS1385" s="76"/>
      <c r="BT1385" s="76"/>
      <c r="BU1385" s="76"/>
      <c r="BV1385" s="76"/>
      <c r="BW1385" s="76"/>
      <c r="BX1385" s="76"/>
      <c r="BY1385" s="76"/>
      <c r="BZ1385" s="76"/>
      <c r="CA1385" s="76"/>
      <c r="CB1385" s="76"/>
      <c r="CC1385" s="76"/>
      <c r="CD1385" s="76"/>
      <c r="CE1385" s="76"/>
      <c r="CF1385" s="76">
        <f>+CE1385*28000</f>
        <v>0</v>
      </c>
      <c r="CG1385" s="76"/>
      <c r="CH1385" s="76">
        <f>+CG1385*22500</f>
        <v>0</v>
      </c>
      <c r="CI1385" s="76"/>
      <c r="CJ1385" s="76">
        <f>+CI1385*26000</f>
        <v>0</v>
      </c>
      <c r="CK1385" s="76"/>
      <c r="CL1385" s="76"/>
      <c r="CM1385" s="76"/>
      <c r="CN1385" s="76">
        <f>+CM1385*22000</f>
        <v>0</v>
      </c>
      <c r="CO1385" s="76"/>
      <c r="CP1385" s="76">
        <f>+CO1385*46000</f>
        <v>0</v>
      </c>
      <c r="CQ1385" s="76"/>
      <c r="CR1385" s="76">
        <f>+CQ1385*49000</f>
        <v>0</v>
      </c>
      <c r="CS1385" s="76"/>
      <c r="CT1385" s="76"/>
      <c r="CU1385" s="56">
        <f>AN1385+AP1385+AR1385+AT1385+AV1385+AX1385+AZ1385+BB1385+BD1385+BF1385+BH1385+BJ1385+BL1385+BN1385+BP1385+BR1385+BT1385+BV1385+BX1385+BZ1385+CB1385+CD1385+CF1385+CH1385+CJ1385+CL1385+CN1385+CP1385+CR1385+CT1385</f>
        <v>0</v>
      </c>
      <c r="CV1385" s="76"/>
      <c r="CW1385" s="76">
        <f>+CV1385*1100</f>
        <v>0</v>
      </c>
      <c r="CX1385" s="76"/>
      <c r="CY1385" s="76">
        <f>+CX1385*106250</f>
        <v>0</v>
      </c>
      <c r="CZ1385" s="76"/>
      <c r="DA1385" s="76">
        <f>+CZ1385*34500</f>
        <v>0</v>
      </c>
      <c r="DB1385" s="76"/>
      <c r="DC1385" s="76">
        <f>+DB1385*25000</f>
        <v>0</v>
      </c>
      <c r="DD1385" s="219"/>
      <c r="DE1385" s="219"/>
      <c r="DF1385" s="166"/>
      <c r="DG1385" s="116"/>
      <c r="DH1385" s="117"/>
      <c r="DI1385" s="24"/>
      <c r="DJ1385" s="24"/>
      <c r="DK1385" s="24"/>
      <c r="DL1385" s="24"/>
      <c r="DM1385" s="24"/>
      <c r="DN1385" s="24"/>
      <c r="DO1385" s="24"/>
      <c r="DP1385" s="24"/>
      <c r="DQ1385" s="24"/>
      <c r="DR1385" s="24"/>
      <c r="DS1385" s="24"/>
      <c r="DT1385" s="24"/>
      <c r="DU1385" s="24"/>
    </row>
    <row r="1386" spans="1:125" s="8" customFormat="1" ht="120" x14ac:dyDescent="0.2">
      <c r="A1386" s="353">
        <v>41369</v>
      </c>
      <c r="B1386" s="352" t="s">
        <v>2772</v>
      </c>
      <c r="C1386" s="354" t="s">
        <v>1082</v>
      </c>
      <c r="D1386" s="81" t="s">
        <v>2846</v>
      </c>
      <c r="E1386" s="75" t="str">
        <f>VLOOKUP(B1386&amp;C1386,Divipola!$C$2:$F$1138,4,FALSE)</f>
        <v>25326</v>
      </c>
      <c r="F1386" s="87"/>
      <c r="G1386" s="87"/>
      <c r="H1386" s="87"/>
      <c r="I1386" s="87"/>
      <c r="J1386" s="87"/>
      <c r="K1386" s="87"/>
      <c r="L1386" s="87"/>
      <c r="M1386" s="87"/>
      <c r="N1386" s="87"/>
      <c r="O1386" s="87"/>
      <c r="P1386" s="87"/>
      <c r="Q1386" s="87"/>
      <c r="R1386" s="87"/>
      <c r="S1386" s="87"/>
      <c r="T1386" s="87"/>
      <c r="U1386" s="88">
        <v>10</v>
      </c>
      <c r="V1386" s="89"/>
      <c r="W1386" s="96">
        <v>0</v>
      </c>
      <c r="X1386" s="71">
        <f>CU1386</f>
        <v>0</v>
      </c>
      <c r="Y1386" s="71">
        <f>CY1386</f>
        <v>0</v>
      </c>
      <c r="Z1386" s="71">
        <f>DA1386+DC1386+DE1386</f>
        <v>0</v>
      </c>
      <c r="AA1386" s="71">
        <f>CW1386</f>
        <v>0</v>
      </c>
      <c r="AB1386" s="71"/>
      <c r="AC1386" s="71">
        <v>0</v>
      </c>
      <c r="AD1386" s="71">
        <f>W1386+X1386+Y1386+Z1386+AA1386+AB1386+AC1386</f>
        <v>0</v>
      </c>
      <c r="AE1386" s="72">
        <v>0</v>
      </c>
      <c r="AF1386" s="5"/>
      <c r="AG1386" s="6"/>
      <c r="AH1386" s="27" t="s">
        <v>3392</v>
      </c>
      <c r="AI1386" s="44" t="s">
        <v>3393</v>
      </c>
      <c r="AJ1386" s="26"/>
      <c r="AK1386" s="5"/>
      <c r="AL1386" s="82" t="s">
        <v>4213</v>
      </c>
      <c r="AM1386" s="76"/>
      <c r="AN1386" s="76"/>
      <c r="AO1386" s="76"/>
      <c r="AP1386" s="76"/>
      <c r="AQ1386" s="76"/>
      <c r="AR1386" s="76"/>
      <c r="AS1386" s="76"/>
      <c r="AT1386" s="76"/>
      <c r="AU1386" s="76"/>
      <c r="AV1386" s="76"/>
      <c r="AW1386" s="76"/>
      <c r="AX1386" s="76">
        <f>+AW1386*600000</f>
        <v>0</v>
      </c>
      <c r="AY1386" s="76"/>
      <c r="AZ1386" s="76">
        <f>+AY1386*70000</f>
        <v>0</v>
      </c>
      <c r="BA1386" s="76"/>
      <c r="BB1386" s="76"/>
      <c r="BC1386" s="76"/>
      <c r="BD1386" s="76">
        <f>+BC1386*30000</f>
        <v>0</v>
      </c>
      <c r="BE1386" s="76"/>
      <c r="BF1386" s="76"/>
      <c r="BG1386" s="76"/>
      <c r="BH1386" s="76"/>
      <c r="BI1386" s="76"/>
      <c r="BJ1386" s="76"/>
      <c r="BK1386" s="76"/>
      <c r="BL1386" s="76">
        <f>+BK1386*31500</f>
        <v>0</v>
      </c>
      <c r="BM1386" s="76"/>
      <c r="BN1386" s="76"/>
      <c r="BO1386" s="76"/>
      <c r="BP1386" s="76"/>
      <c r="BQ1386" s="76"/>
      <c r="BR1386" s="76"/>
      <c r="BS1386" s="76"/>
      <c r="BT1386" s="76"/>
      <c r="BU1386" s="76"/>
      <c r="BV1386" s="76"/>
      <c r="BW1386" s="76"/>
      <c r="BX1386" s="76"/>
      <c r="BY1386" s="76"/>
      <c r="BZ1386" s="76"/>
      <c r="CA1386" s="76"/>
      <c r="CB1386" s="76"/>
      <c r="CC1386" s="76"/>
      <c r="CD1386" s="76"/>
      <c r="CE1386" s="76"/>
      <c r="CF1386" s="76">
        <f>+CE1386*28000</f>
        <v>0</v>
      </c>
      <c r="CG1386" s="76"/>
      <c r="CH1386" s="76">
        <f>+CG1386*22500</f>
        <v>0</v>
      </c>
      <c r="CI1386" s="76"/>
      <c r="CJ1386" s="76">
        <f>+CI1386*26000</f>
        <v>0</v>
      </c>
      <c r="CK1386" s="76"/>
      <c r="CL1386" s="76"/>
      <c r="CM1386" s="76"/>
      <c r="CN1386" s="76">
        <f>+CM1386*22000</f>
        <v>0</v>
      </c>
      <c r="CO1386" s="76"/>
      <c r="CP1386" s="76">
        <f>+CO1386*46000</f>
        <v>0</v>
      </c>
      <c r="CQ1386" s="76"/>
      <c r="CR1386" s="76">
        <f>+CQ1386*49000</f>
        <v>0</v>
      </c>
      <c r="CS1386" s="76"/>
      <c r="CT1386" s="76"/>
      <c r="CU1386" s="56">
        <f>AN1386+AP1386+AR1386+AT1386+AV1386+AX1386+AZ1386+BB1386+BD1386+BF1386+BH1386+BJ1386+BL1386+BN1386+BP1386+BR1386+BT1386+BV1386+BX1386+BZ1386+CB1386+CD1386+CF1386+CH1386+CJ1386+CL1386+CN1386+CP1386+CR1386+CT1386</f>
        <v>0</v>
      </c>
      <c r="CV1386" s="76"/>
      <c r="CW1386" s="76">
        <f>+CV1386*1100</f>
        <v>0</v>
      </c>
      <c r="CX1386" s="76"/>
      <c r="CY1386" s="76">
        <f>+CX1386*106250</f>
        <v>0</v>
      </c>
      <c r="CZ1386" s="76"/>
      <c r="DA1386" s="76">
        <f>+CZ1386*34500</f>
        <v>0</v>
      </c>
      <c r="DB1386" s="76"/>
      <c r="DC1386" s="76">
        <f>+DB1386*25000</f>
        <v>0</v>
      </c>
      <c r="DD1386" s="219"/>
      <c r="DE1386" s="219"/>
      <c r="DF1386" s="166"/>
      <c r="DG1386" s="116"/>
      <c r="DH1386" s="117"/>
      <c r="DI1386" s="24"/>
      <c r="DJ1386" s="24"/>
      <c r="DK1386" s="24"/>
      <c r="DL1386" s="24"/>
      <c r="DM1386" s="24"/>
      <c r="DN1386" s="24"/>
      <c r="DO1386" s="24"/>
      <c r="DP1386" s="24"/>
      <c r="DQ1386" s="24"/>
      <c r="DR1386" s="24"/>
      <c r="DS1386" s="24"/>
      <c r="DT1386" s="24"/>
      <c r="DU1386" s="24"/>
    </row>
    <row r="1387" spans="1:125" s="8" customFormat="1" ht="84" x14ac:dyDescent="0.2">
      <c r="A1387" s="226">
        <v>41369</v>
      </c>
      <c r="B1387" s="225" t="s">
        <v>2772</v>
      </c>
      <c r="C1387" s="227" t="s">
        <v>1183</v>
      </c>
      <c r="D1387" s="81" t="s">
        <v>2846</v>
      </c>
      <c r="E1387" s="75" t="str">
        <f>VLOOKUP(B1387&amp;C1387,Divipola!$C$2:$F$1138,4,FALSE)</f>
        <v>25807</v>
      </c>
      <c r="F1387" s="87"/>
      <c r="G1387" s="87"/>
      <c r="H1387" s="87"/>
      <c r="I1387" s="87"/>
      <c r="J1387" s="87"/>
      <c r="K1387" s="87"/>
      <c r="L1387" s="87"/>
      <c r="M1387" s="87"/>
      <c r="N1387" s="87"/>
      <c r="O1387" s="87"/>
      <c r="P1387" s="87"/>
      <c r="Q1387" s="87"/>
      <c r="R1387" s="87"/>
      <c r="S1387" s="87"/>
      <c r="T1387" s="87"/>
      <c r="U1387" s="88">
        <v>0.5</v>
      </c>
      <c r="V1387" s="89"/>
      <c r="W1387" s="96">
        <v>0</v>
      </c>
      <c r="X1387" s="71">
        <f>CU1387</f>
        <v>0</v>
      </c>
      <c r="Y1387" s="71">
        <f>CY1387</f>
        <v>0</v>
      </c>
      <c r="Z1387" s="71">
        <f>DA1387+DC1387+DE1387</f>
        <v>0</v>
      </c>
      <c r="AA1387" s="71">
        <f>CW1387</f>
        <v>0</v>
      </c>
      <c r="AB1387" s="71"/>
      <c r="AC1387" s="71">
        <v>0</v>
      </c>
      <c r="AD1387" s="71">
        <f>W1387+X1387+Y1387+Z1387+AA1387+AB1387+AC1387</f>
        <v>0</v>
      </c>
      <c r="AE1387" s="72">
        <v>0</v>
      </c>
      <c r="AF1387" s="5"/>
      <c r="AG1387" s="6"/>
      <c r="AH1387" s="27" t="s">
        <v>3392</v>
      </c>
      <c r="AI1387" s="44" t="s">
        <v>3393</v>
      </c>
      <c r="AJ1387" s="26"/>
      <c r="AK1387" s="5"/>
      <c r="AL1387" s="82" t="s">
        <v>4194</v>
      </c>
      <c r="AM1387" s="76"/>
      <c r="AN1387" s="76"/>
      <c r="AO1387" s="76"/>
      <c r="AP1387" s="76"/>
      <c r="AQ1387" s="76"/>
      <c r="AR1387" s="76"/>
      <c r="AS1387" s="76"/>
      <c r="AT1387" s="76"/>
      <c r="AU1387" s="76"/>
      <c r="AV1387" s="76"/>
      <c r="AW1387" s="76"/>
      <c r="AX1387" s="76">
        <f>+AW1387*600000</f>
        <v>0</v>
      </c>
      <c r="AY1387" s="76"/>
      <c r="AZ1387" s="76">
        <f>+AY1387*70000</f>
        <v>0</v>
      </c>
      <c r="BA1387" s="76"/>
      <c r="BB1387" s="76"/>
      <c r="BC1387" s="76"/>
      <c r="BD1387" s="76">
        <f>+BC1387*30000</f>
        <v>0</v>
      </c>
      <c r="BE1387" s="76"/>
      <c r="BF1387" s="76"/>
      <c r="BG1387" s="76"/>
      <c r="BH1387" s="76"/>
      <c r="BI1387" s="76"/>
      <c r="BJ1387" s="76"/>
      <c r="BK1387" s="76"/>
      <c r="BL1387" s="76">
        <f>+BK1387*31500</f>
        <v>0</v>
      </c>
      <c r="BM1387" s="76"/>
      <c r="BN1387" s="76"/>
      <c r="BO1387" s="76"/>
      <c r="BP1387" s="76"/>
      <c r="BQ1387" s="76"/>
      <c r="BR1387" s="76"/>
      <c r="BS1387" s="76"/>
      <c r="BT1387" s="76"/>
      <c r="BU1387" s="76"/>
      <c r="BV1387" s="76"/>
      <c r="BW1387" s="76"/>
      <c r="BX1387" s="76"/>
      <c r="BY1387" s="76"/>
      <c r="BZ1387" s="76"/>
      <c r="CA1387" s="76"/>
      <c r="CB1387" s="76"/>
      <c r="CC1387" s="76"/>
      <c r="CD1387" s="76"/>
      <c r="CE1387" s="76"/>
      <c r="CF1387" s="76">
        <f>+CE1387*28000</f>
        <v>0</v>
      </c>
      <c r="CG1387" s="76"/>
      <c r="CH1387" s="76">
        <f>+CG1387*22500</f>
        <v>0</v>
      </c>
      <c r="CI1387" s="76"/>
      <c r="CJ1387" s="76">
        <f>+CI1387*26000</f>
        <v>0</v>
      </c>
      <c r="CK1387" s="76"/>
      <c r="CL1387" s="76"/>
      <c r="CM1387" s="76"/>
      <c r="CN1387" s="76">
        <f>+CM1387*22000</f>
        <v>0</v>
      </c>
      <c r="CO1387" s="76"/>
      <c r="CP1387" s="76">
        <f>+CO1387*46000</f>
        <v>0</v>
      </c>
      <c r="CQ1387" s="76"/>
      <c r="CR1387" s="76">
        <f>+CQ1387*49000</f>
        <v>0</v>
      </c>
      <c r="CS1387" s="76"/>
      <c r="CT1387" s="76"/>
      <c r="CU1387" s="56">
        <f>AN1387+AP1387+AR1387+AT1387+AV1387+AX1387+AZ1387+BB1387+BD1387+BF1387+BH1387+BJ1387+BL1387+BN1387+BP1387+BR1387+BT1387+BV1387+BX1387+BZ1387+CB1387+CD1387+CF1387+CH1387+CJ1387+CL1387+CN1387+CP1387+CR1387+CT1387</f>
        <v>0</v>
      </c>
      <c r="CV1387" s="76"/>
      <c r="CW1387" s="76">
        <f>+CV1387*1100</f>
        <v>0</v>
      </c>
      <c r="CX1387" s="76"/>
      <c r="CY1387" s="76">
        <f>+CX1387*106250</f>
        <v>0</v>
      </c>
      <c r="CZ1387" s="76"/>
      <c r="DA1387" s="76">
        <f>+CZ1387*34500</f>
        <v>0</v>
      </c>
      <c r="DB1387" s="76"/>
      <c r="DC1387" s="76">
        <f>+DB1387*25000</f>
        <v>0</v>
      </c>
      <c r="DD1387" s="219"/>
      <c r="DE1387" s="219"/>
      <c r="DF1387" s="166"/>
      <c r="DG1387" s="116"/>
      <c r="DH1387" s="117"/>
      <c r="DI1387" s="24"/>
      <c r="DJ1387" s="24"/>
      <c r="DK1387" s="24"/>
      <c r="DL1387" s="24"/>
      <c r="DM1387" s="24"/>
      <c r="DN1387" s="24"/>
      <c r="DO1387" s="24"/>
      <c r="DP1387" s="24"/>
      <c r="DQ1387" s="24"/>
      <c r="DR1387" s="24"/>
      <c r="DS1387" s="24"/>
      <c r="DT1387" s="24"/>
      <c r="DU1387" s="24"/>
    </row>
    <row r="1388" spans="1:125" s="8" customFormat="1" ht="132" x14ac:dyDescent="0.2">
      <c r="A1388" s="77">
        <v>41369</v>
      </c>
      <c r="B1388" s="78" t="s">
        <v>2772</v>
      </c>
      <c r="C1388" s="75" t="s">
        <v>1199</v>
      </c>
      <c r="D1388" s="75" t="s">
        <v>2882</v>
      </c>
      <c r="E1388" s="75" t="str">
        <f>VLOOKUP(B1388&amp;C1388,Divipola!$C$2:$F$1138,4,FALSE)</f>
        <v>25871</v>
      </c>
      <c r="F1388" s="87"/>
      <c r="G1388" s="87"/>
      <c r="H1388" s="87"/>
      <c r="I1388" s="87">
        <v>250</v>
      </c>
      <c r="J1388" s="87">
        <v>50</v>
      </c>
      <c r="K1388" s="87"/>
      <c r="L1388" s="87">
        <v>50</v>
      </c>
      <c r="M1388" s="87"/>
      <c r="N1388" s="87"/>
      <c r="O1388" s="87"/>
      <c r="P1388" s="87"/>
      <c r="Q1388" s="87"/>
      <c r="R1388" s="87"/>
      <c r="S1388" s="87"/>
      <c r="T1388" s="87"/>
      <c r="U1388" s="87"/>
      <c r="V1388" s="89"/>
      <c r="W1388" s="96">
        <v>0</v>
      </c>
      <c r="X1388" s="71">
        <f>CU1388</f>
        <v>0</v>
      </c>
      <c r="Y1388" s="71">
        <f>CY1388</f>
        <v>0</v>
      </c>
      <c r="Z1388" s="71">
        <f>DA1388+DC1388+DE1388</f>
        <v>0</v>
      </c>
      <c r="AA1388" s="71">
        <f>CW1388</f>
        <v>0</v>
      </c>
      <c r="AB1388" s="71"/>
      <c r="AC1388" s="71">
        <v>0</v>
      </c>
      <c r="AD1388" s="71">
        <f>W1388+X1388+Y1388+Z1388+AA1388+AB1388+AC1388</f>
        <v>0</v>
      </c>
      <c r="AE1388" s="72">
        <v>0</v>
      </c>
      <c r="AF1388" s="5"/>
      <c r="AG1388" s="6"/>
      <c r="AH1388" s="27" t="s">
        <v>3392</v>
      </c>
      <c r="AI1388" s="44" t="s">
        <v>3393</v>
      </c>
      <c r="AJ1388" s="26"/>
      <c r="AK1388" s="5"/>
      <c r="AL1388" s="82" t="s">
        <v>4234</v>
      </c>
      <c r="AM1388" s="76"/>
      <c r="AN1388" s="76"/>
      <c r="AO1388" s="76"/>
      <c r="AP1388" s="76"/>
      <c r="AQ1388" s="76"/>
      <c r="AR1388" s="76"/>
      <c r="AS1388" s="76"/>
      <c r="AT1388" s="76"/>
      <c r="AU1388" s="76"/>
      <c r="AV1388" s="76"/>
      <c r="AW1388" s="76"/>
      <c r="AX1388" s="76">
        <f>+AW1388*600000</f>
        <v>0</v>
      </c>
      <c r="AY1388" s="76"/>
      <c r="AZ1388" s="76">
        <f>+AY1388*70000</f>
        <v>0</v>
      </c>
      <c r="BA1388" s="76"/>
      <c r="BB1388" s="76"/>
      <c r="BC1388" s="76"/>
      <c r="BD1388" s="76">
        <f>+BC1388*30000</f>
        <v>0</v>
      </c>
      <c r="BE1388" s="76"/>
      <c r="BF1388" s="76"/>
      <c r="BG1388" s="76"/>
      <c r="BH1388" s="76"/>
      <c r="BI1388" s="76"/>
      <c r="BJ1388" s="76"/>
      <c r="BK1388" s="76"/>
      <c r="BL1388" s="76">
        <f>+BK1388*31500</f>
        <v>0</v>
      </c>
      <c r="BM1388" s="76"/>
      <c r="BN1388" s="76"/>
      <c r="BO1388" s="76"/>
      <c r="BP1388" s="76"/>
      <c r="BQ1388" s="76"/>
      <c r="BR1388" s="76"/>
      <c r="BS1388" s="76"/>
      <c r="BT1388" s="76"/>
      <c r="BU1388" s="76"/>
      <c r="BV1388" s="76"/>
      <c r="BW1388" s="76"/>
      <c r="BX1388" s="76"/>
      <c r="BY1388" s="76"/>
      <c r="BZ1388" s="76"/>
      <c r="CA1388" s="76"/>
      <c r="CB1388" s="76"/>
      <c r="CC1388" s="76"/>
      <c r="CD1388" s="76"/>
      <c r="CE1388" s="76"/>
      <c r="CF1388" s="76">
        <f>+CE1388*28000</f>
        <v>0</v>
      </c>
      <c r="CG1388" s="76"/>
      <c r="CH1388" s="76">
        <f>+CG1388*22500</f>
        <v>0</v>
      </c>
      <c r="CI1388" s="76"/>
      <c r="CJ1388" s="76">
        <f>+CI1388*26000</f>
        <v>0</v>
      </c>
      <c r="CK1388" s="76"/>
      <c r="CL1388" s="76"/>
      <c r="CM1388" s="76"/>
      <c r="CN1388" s="76">
        <f>+CM1388*22000</f>
        <v>0</v>
      </c>
      <c r="CO1388" s="76"/>
      <c r="CP1388" s="76">
        <f>+CO1388*46000</f>
        <v>0</v>
      </c>
      <c r="CQ1388" s="76"/>
      <c r="CR1388" s="76">
        <f>+CQ1388*49000</f>
        <v>0</v>
      </c>
      <c r="CS1388" s="76"/>
      <c r="CT1388" s="76"/>
      <c r="CU1388" s="56">
        <f>AN1388+AP1388+AR1388+AT1388+AV1388+AX1388+AZ1388+BB1388+BD1388+BF1388+BH1388+BJ1388+BL1388+BN1388+BP1388+BR1388+BT1388+BV1388+BX1388+BZ1388+CB1388+CD1388+CF1388+CH1388+CJ1388+CL1388+CN1388+CP1388+CR1388+CT1388</f>
        <v>0</v>
      </c>
      <c r="CV1388" s="76"/>
      <c r="CW1388" s="76">
        <f>+CV1388*1100</f>
        <v>0</v>
      </c>
      <c r="CX1388" s="76"/>
      <c r="CY1388" s="76">
        <f>+CX1388*106250</f>
        <v>0</v>
      </c>
      <c r="CZ1388" s="76"/>
      <c r="DA1388" s="76">
        <f>+CZ1388*34500</f>
        <v>0</v>
      </c>
      <c r="DB1388" s="76"/>
      <c r="DC1388" s="76">
        <f>+DB1388*25000</f>
        <v>0</v>
      </c>
      <c r="DD1388" s="219"/>
      <c r="DE1388" s="219"/>
      <c r="DF1388" s="166"/>
      <c r="DG1388" s="116"/>
      <c r="DH1388" s="117"/>
      <c r="DI1388" s="24"/>
      <c r="DJ1388" s="24"/>
      <c r="DK1388" s="24"/>
      <c r="DL1388" s="24"/>
      <c r="DM1388" s="24"/>
      <c r="DN1388" s="24"/>
      <c r="DO1388" s="24"/>
      <c r="DP1388" s="24"/>
      <c r="DQ1388" s="24"/>
      <c r="DR1388" s="24"/>
      <c r="DS1388" s="24"/>
      <c r="DT1388" s="24"/>
      <c r="DU1388" s="24"/>
    </row>
    <row r="1389" spans="1:125" s="8" customFormat="1" ht="72" x14ac:dyDescent="0.2">
      <c r="A1389" s="353">
        <v>41369</v>
      </c>
      <c r="B1389" s="352" t="s">
        <v>2291</v>
      </c>
      <c r="C1389" s="354" t="s">
        <v>2292</v>
      </c>
      <c r="D1389" s="354" t="s">
        <v>3425</v>
      </c>
      <c r="E1389" s="75" t="str">
        <f>VLOOKUP(B1389&amp;C1389,Divipola!$C$2:$F$1138,4,FALSE)</f>
        <v>94001</v>
      </c>
      <c r="F1389" s="87">
        <v>2</v>
      </c>
      <c r="G1389" s="87"/>
      <c r="H1389" s="87"/>
      <c r="I1389" s="87"/>
      <c r="J1389" s="87"/>
      <c r="K1389" s="87"/>
      <c r="L1389" s="87"/>
      <c r="M1389" s="87"/>
      <c r="N1389" s="87"/>
      <c r="O1389" s="87"/>
      <c r="P1389" s="87"/>
      <c r="Q1389" s="87"/>
      <c r="R1389" s="87"/>
      <c r="S1389" s="87"/>
      <c r="T1389" s="87"/>
      <c r="U1389" s="88"/>
      <c r="V1389" s="89"/>
      <c r="W1389" s="96">
        <v>0</v>
      </c>
      <c r="X1389" s="71">
        <f>CU1389</f>
        <v>0</v>
      </c>
      <c r="Y1389" s="71">
        <f>CY1389</f>
        <v>0</v>
      </c>
      <c r="Z1389" s="71">
        <f>DA1389+DC1389+DE1389</f>
        <v>0</v>
      </c>
      <c r="AA1389" s="71">
        <f>CW1389</f>
        <v>0</v>
      </c>
      <c r="AB1389" s="71"/>
      <c r="AC1389" s="71">
        <v>0</v>
      </c>
      <c r="AD1389" s="71">
        <f>W1389+X1389+Y1389+Z1389+AA1389+AB1389+AC1389</f>
        <v>0</v>
      </c>
      <c r="AE1389" s="72">
        <v>0</v>
      </c>
      <c r="AF1389" s="5"/>
      <c r="AG1389" s="6"/>
      <c r="AH1389" s="27" t="s">
        <v>3392</v>
      </c>
      <c r="AI1389" s="44" t="s">
        <v>3393</v>
      </c>
      <c r="AJ1389" s="26"/>
      <c r="AK1389" s="5"/>
      <c r="AL1389" s="82" t="s">
        <v>4195</v>
      </c>
      <c r="AM1389" s="76"/>
      <c r="AN1389" s="76"/>
      <c r="AO1389" s="76"/>
      <c r="AP1389" s="76"/>
      <c r="AQ1389" s="76"/>
      <c r="AR1389" s="76"/>
      <c r="AS1389" s="76"/>
      <c r="AT1389" s="76"/>
      <c r="AU1389" s="76"/>
      <c r="AV1389" s="76"/>
      <c r="AW1389" s="76"/>
      <c r="AX1389" s="76">
        <f>+AW1389*600000</f>
        <v>0</v>
      </c>
      <c r="AY1389" s="76"/>
      <c r="AZ1389" s="76">
        <f>+AY1389*70000</f>
        <v>0</v>
      </c>
      <c r="BA1389" s="76"/>
      <c r="BB1389" s="76"/>
      <c r="BC1389" s="76"/>
      <c r="BD1389" s="76">
        <f>+BC1389*30000</f>
        <v>0</v>
      </c>
      <c r="BE1389" s="76"/>
      <c r="BF1389" s="76"/>
      <c r="BG1389" s="76"/>
      <c r="BH1389" s="76"/>
      <c r="BI1389" s="76"/>
      <c r="BJ1389" s="76"/>
      <c r="BK1389" s="76"/>
      <c r="BL1389" s="76">
        <f>+BK1389*31500</f>
        <v>0</v>
      </c>
      <c r="BM1389" s="76"/>
      <c r="BN1389" s="76"/>
      <c r="BO1389" s="76"/>
      <c r="BP1389" s="76"/>
      <c r="BQ1389" s="76"/>
      <c r="BR1389" s="76"/>
      <c r="BS1389" s="76"/>
      <c r="BT1389" s="76"/>
      <c r="BU1389" s="76"/>
      <c r="BV1389" s="76"/>
      <c r="BW1389" s="76"/>
      <c r="BX1389" s="76"/>
      <c r="BY1389" s="76"/>
      <c r="BZ1389" s="76"/>
      <c r="CA1389" s="76"/>
      <c r="CB1389" s="76"/>
      <c r="CC1389" s="76"/>
      <c r="CD1389" s="76"/>
      <c r="CE1389" s="76"/>
      <c r="CF1389" s="76">
        <f>+CE1389*28000</f>
        <v>0</v>
      </c>
      <c r="CG1389" s="76"/>
      <c r="CH1389" s="76">
        <f>+CG1389*22500</f>
        <v>0</v>
      </c>
      <c r="CI1389" s="76"/>
      <c r="CJ1389" s="76">
        <f>+CI1389*26000</f>
        <v>0</v>
      </c>
      <c r="CK1389" s="76"/>
      <c r="CL1389" s="76"/>
      <c r="CM1389" s="76"/>
      <c r="CN1389" s="76">
        <f>+CM1389*22000</f>
        <v>0</v>
      </c>
      <c r="CO1389" s="76"/>
      <c r="CP1389" s="76">
        <f>+CO1389*46000</f>
        <v>0</v>
      </c>
      <c r="CQ1389" s="76"/>
      <c r="CR1389" s="76">
        <f>+CQ1389*49000</f>
        <v>0</v>
      </c>
      <c r="CS1389" s="76"/>
      <c r="CT1389" s="76"/>
      <c r="CU1389" s="56">
        <f>AN1389+AP1389+AR1389+AT1389+AV1389+AX1389+AZ1389+BB1389+BD1389+BF1389+BH1389+BJ1389+BL1389+BN1389+BP1389+BR1389+BT1389+BV1389+BX1389+BZ1389+CB1389+CD1389+CF1389+CH1389+CJ1389+CL1389+CN1389+CP1389+CR1389+CT1389</f>
        <v>0</v>
      </c>
      <c r="CV1389" s="76"/>
      <c r="CW1389" s="76">
        <f>+CV1389*1100</f>
        <v>0</v>
      </c>
      <c r="CX1389" s="76"/>
      <c r="CY1389" s="76">
        <f>+CX1389*106250</f>
        <v>0</v>
      </c>
      <c r="CZ1389" s="76"/>
      <c r="DA1389" s="76">
        <f>+CZ1389*34500</f>
        <v>0</v>
      </c>
      <c r="DB1389" s="76"/>
      <c r="DC1389" s="76">
        <f>+DB1389*25000</f>
        <v>0</v>
      </c>
      <c r="DD1389" s="219"/>
      <c r="DE1389" s="219"/>
      <c r="DF1389" s="166"/>
      <c r="DG1389" s="116"/>
      <c r="DH1389" s="117"/>
      <c r="DI1389" s="24"/>
      <c r="DJ1389" s="24"/>
      <c r="DK1389" s="24"/>
      <c r="DL1389" s="24"/>
      <c r="DM1389" s="24"/>
      <c r="DN1389" s="24"/>
      <c r="DO1389" s="24"/>
      <c r="DP1389" s="24"/>
      <c r="DQ1389" s="24"/>
      <c r="DR1389" s="24"/>
      <c r="DS1389" s="24"/>
      <c r="DT1389" s="24"/>
      <c r="DU1389" s="24"/>
    </row>
    <row r="1390" spans="1:125" s="8" customFormat="1" ht="36" x14ac:dyDescent="0.2">
      <c r="A1390" s="226">
        <v>41369</v>
      </c>
      <c r="B1390" s="225" t="s">
        <v>2860</v>
      </c>
      <c r="C1390" s="227" t="s">
        <v>2078</v>
      </c>
      <c r="D1390" s="227" t="s">
        <v>2882</v>
      </c>
      <c r="E1390" s="75" t="str">
        <f>VLOOKUP(B1390&amp;C1390,Divipola!$C$2:$F$1138,4,FALSE)</f>
        <v>63190</v>
      </c>
      <c r="F1390" s="87"/>
      <c r="G1390" s="87"/>
      <c r="H1390" s="87"/>
      <c r="I1390" s="87">
        <v>5</v>
      </c>
      <c r="J1390" s="87"/>
      <c r="K1390" s="87">
        <v>1</v>
      </c>
      <c r="L1390" s="87"/>
      <c r="M1390" s="87"/>
      <c r="N1390" s="87"/>
      <c r="O1390" s="87"/>
      <c r="P1390" s="87"/>
      <c r="Q1390" s="87"/>
      <c r="R1390" s="87"/>
      <c r="S1390" s="87"/>
      <c r="T1390" s="87"/>
      <c r="U1390" s="88"/>
      <c r="V1390" s="89"/>
      <c r="W1390" s="96">
        <v>0</v>
      </c>
      <c r="X1390" s="71">
        <f>CU1390</f>
        <v>0</v>
      </c>
      <c r="Y1390" s="71">
        <f>CY1390</f>
        <v>0</v>
      </c>
      <c r="Z1390" s="71">
        <f>DA1390+DC1390+DE1390</f>
        <v>0</v>
      </c>
      <c r="AA1390" s="71">
        <f>CW1390</f>
        <v>0</v>
      </c>
      <c r="AB1390" s="71"/>
      <c r="AC1390" s="71">
        <v>0</v>
      </c>
      <c r="AD1390" s="71">
        <f>W1390+X1390+Y1390+Z1390+AA1390+AB1390+AC1390</f>
        <v>0</v>
      </c>
      <c r="AE1390" s="72">
        <v>0</v>
      </c>
      <c r="AF1390" s="5"/>
      <c r="AG1390" s="6"/>
      <c r="AH1390" s="27" t="s">
        <v>3390</v>
      </c>
      <c r="AI1390" s="44" t="s">
        <v>3391</v>
      </c>
      <c r="AJ1390" s="26"/>
      <c r="AK1390" s="5" t="s">
        <v>3480</v>
      </c>
      <c r="AL1390" s="82" t="s">
        <v>4200</v>
      </c>
      <c r="AM1390" s="76"/>
      <c r="AN1390" s="76"/>
      <c r="AO1390" s="76"/>
      <c r="AP1390" s="76"/>
      <c r="AQ1390" s="76"/>
      <c r="AR1390" s="76"/>
      <c r="AS1390" s="76"/>
      <c r="AT1390" s="76"/>
      <c r="AU1390" s="76"/>
      <c r="AV1390" s="76"/>
      <c r="AW1390" s="76"/>
      <c r="AX1390" s="76">
        <f>+AW1390*600000</f>
        <v>0</v>
      </c>
      <c r="AY1390" s="76"/>
      <c r="AZ1390" s="76">
        <f>+AY1390*70000</f>
        <v>0</v>
      </c>
      <c r="BA1390" s="76"/>
      <c r="BB1390" s="76"/>
      <c r="BC1390" s="76"/>
      <c r="BD1390" s="76">
        <f>+BC1390*30000</f>
        <v>0</v>
      </c>
      <c r="BE1390" s="76"/>
      <c r="BF1390" s="76"/>
      <c r="BG1390" s="76"/>
      <c r="BH1390" s="76"/>
      <c r="BI1390" s="76"/>
      <c r="BJ1390" s="76"/>
      <c r="BK1390" s="76"/>
      <c r="BL1390" s="76">
        <f>+BK1390*31500</f>
        <v>0</v>
      </c>
      <c r="BM1390" s="76"/>
      <c r="BN1390" s="76"/>
      <c r="BO1390" s="76"/>
      <c r="BP1390" s="76"/>
      <c r="BQ1390" s="76"/>
      <c r="BR1390" s="76"/>
      <c r="BS1390" s="76"/>
      <c r="BT1390" s="76"/>
      <c r="BU1390" s="76"/>
      <c r="BV1390" s="76"/>
      <c r="BW1390" s="76"/>
      <c r="BX1390" s="76"/>
      <c r="BY1390" s="76"/>
      <c r="BZ1390" s="76"/>
      <c r="CA1390" s="76"/>
      <c r="CB1390" s="76"/>
      <c r="CC1390" s="76"/>
      <c r="CD1390" s="76"/>
      <c r="CE1390" s="76"/>
      <c r="CF1390" s="76">
        <f>+CE1390*28000</f>
        <v>0</v>
      </c>
      <c r="CG1390" s="76"/>
      <c r="CH1390" s="76">
        <f>+CG1390*22500</f>
        <v>0</v>
      </c>
      <c r="CI1390" s="76"/>
      <c r="CJ1390" s="76">
        <f>+CI1390*26000</f>
        <v>0</v>
      </c>
      <c r="CK1390" s="76"/>
      <c r="CL1390" s="76"/>
      <c r="CM1390" s="76"/>
      <c r="CN1390" s="76">
        <f>+CM1390*22000</f>
        <v>0</v>
      </c>
      <c r="CO1390" s="76"/>
      <c r="CP1390" s="76">
        <f>+CO1390*46000</f>
        <v>0</v>
      </c>
      <c r="CQ1390" s="76"/>
      <c r="CR1390" s="76">
        <f>+CQ1390*49000</f>
        <v>0</v>
      </c>
      <c r="CS1390" s="76"/>
      <c r="CT1390" s="76"/>
      <c r="CU1390" s="56">
        <f>AN1390+AP1390+AR1390+AT1390+AV1390+AX1390+AZ1390+BB1390+BD1390+BF1390+BH1390+BJ1390+BL1390+BN1390+BP1390+BR1390+BT1390+BV1390+BX1390+BZ1390+CB1390+CD1390+CF1390+CH1390+CJ1390+CL1390+CN1390+CP1390+CR1390+CT1390</f>
        <v>0</v>
      </c>
      <c r="CV1390" s="76"/>
      <c r="CW1390" s="76">
        <f>+CV1390*1100</f>
        <v>0</v>
      </c>
      <c r="CX1390" s="76"/>
      <c r="CY1390" s="76">
        <f>+CX1390*106250</f>
        <v>0</v>
      </c>
      <c r="CZ1390" s="76"/>
      <c r="DA1390" s="76">
        <f>+CZ1390*34500</f>
        <v>0</v>
      </c>
      <c r="DB1390" s="76"/>
      <c r="DC1390" s="76">
        <f>+DB1390*25000</f>
        <v>0</v>
      </c>
      <c r="DD1390" s="219"/>
      <c r="DE1390" s="219"/>
      <c r="DF1390" s="166"/>
      <c r="DG1390" s="116"/>
      <c r="DH1390" s="117"/>
      <c r="DI1390" s="24"/>
      <c r="DJ1390" s="24"/>
      <c r="DK1390" s="24"/>
      <c r="DL1390" s="24"/>
      <c r="DM1390" s="24"/>
      <c r="DN1390" s="24"/>
      <c r="DO1390" s="24"/>
      <c r="DP1390" s="24"/>
      <c r="DQ1390" s="24"/>
      <c r="DR1390" s="24"/>
      <c r="DS1390" s="24"/>
      <c r="DT1390" s="24"/>
      <c r="DU1390" s="24"/>
    </row>
    <row r="1391" spans="1:125" s="8" customFormat="1" ht="144" x14ac:dyDescent="0.2">
      <c r="A1391" s="226">
        <v>41369</v>
      </c>
      <c r="B1391" s="225" t="s">
        <v>1326</v>
      </c>
      <c r="C1391" s="227" t="s">
        <v>1814</v>
      </c>
      <c r="D1391" s="227" t="s">
        <v>2882</v>
      </c>
      <c r="E1391" s="75" t="str">
        <f>VLOOKUP(B1391&amp;C1391,Divipola!$C$2:$F$1138,4,FALSE)</f>
        <v>70235</v>
      </c>
      <c r="F1391" s="87"/>
      <c r="G1391" s="87"/>
      <c r="H1391" s="87"/>
      <c r="I1391" s="87">
        <v>500</v>
      </c>
      <c r="J1391" s="87">
        <v>100</v>
      </c>
      <c r="K1391" s="87"/>
      <c r="L1391" s="87">
        <v>100</v>
      </c>
      <c r="M1391" s="87"/>
      <c r="N1391" s="87"/>
      <c r="O1391" s="87"/>
      <c r="P1391" s="87"/>
      <c r="Q1391" s="87"/>
      <c r="R1391" s="87"/>
      <c r="S1391" s="87"/>
      <c r="T1391" s="87"/>
      <c r="U1391" s="88"/>
      <c r="V1391" s="89"/>
      <c r="W1391" s="96">
        <v>0</v>
      </c>
      <c r="X1391" s="71">
        <f>CU1391</f>
        <v>0</v>
      </c>
      <c r="Y1391" s="71">
        <f>CY1391</f>
        <v>0</v>
      </c>
      <c r="Z1391" s="71">
        <f>DA1391+DC1391+DE1391</f>
        <v>35757000</v>
      </c>
      <c r="AA1391" s="71">
        <f>CW1391</f>
        <v>0</v>
      </c>
      <c r="AB1391" s="71"/>
      <c r="AC1391" s="71">
        <v>0</v>
      </c>
      <c r="AD1391" s="71">
        <f>W1391+X1391+Y1391+Z1391+AA1391+AB1391+AC1391</f>
        <v>35757000</v>
      </c>
      <c r="AE1391" s="72">
        <v>0</v>
      </c>
      <c r="AF1391" s="5"/>
      <c r="AG1391" s="6"/>
      <c r="AH1391" s="27" t="s">
        <v>3390</v>
      </c>
      <c r="AI1391" s="44" t="s">
        <v>3391</v>
      </c>
      <c r="AJ1391" s="26"/>
      <c r="AK1391" s="5" t="s">
        <v>4242</v>
      </c>
      <c r="AL1391" s="82" t="s">
        <v>4610</v>
      </c>
      <c r="AM1391" s="76"/>
      <c r="AN1391" s="76"/>
      <c r="AO1391" s="76"/>
      <c r="AP1391" s="76"/>
      <c r="AQ1391" s="76"/>
      <c r="AR1391" s="76"/>
      <c r="AS1391" s="76"/>
      <c r="AT1391" s="76"/>
      <c r="AU1391" s="76"/>
      <c r="AV1391" s="76"/>
      <c r="AW1391" s="76"/>
      <c r="AX1391" s="76">
        <f>+AW1391*600000</f>
        <v>0</v>
      </c>
      <c r="AY1391" s="76"/>
      <c r="AZ1391" s="76">
        <f>+AY1391*70000</f>
        <v>0</v>
      </c>
      <c r="BA1391" s="76"/>
      <c r="BB1391" s="76"/>
      <c r="BC1391" s="76"/>
      <c r="BD1391" s="76">
        <f>+BC1391*30000</f>
        <v>0</v>
      </c>
      <c r="BE1391" s="76"/>
      <c r="BF1391" s="76"/>
      <c r="BG1391" s="76"/>
      <c r="BH1391" s="76"/>
      <c r="BI1391" s="76"/>
      <c r="BJ1391" s="76"/>
      <c r="BK1391" s="76"/>
      <c r="BL1391" s="76">
        <f>+BK1391*31500</f>
        <v>0</v>
      </c>
      <c r="BM1391" s="76"/>
      <c r="BN1391" s="76"/>
      <c r="BO1391" s="76"/>
      <c r="BP1391" s="76"/>
      <c r="BQ1391" s="76"/>
      <c r="BR1391" s="76"/>
      <c r="BS1391" s="76"/>
      <c r="BT1391" s="76"/>
      <c r="BU1391" s="76"/>
      <c r="BV1391" s="76"/>
      <c r="BW1391" s="76"/>
      <c r="BX1391" s="76"/>
      <c r="BY1391" s="76"/>
      <c r="BZ1391" s="76"/>
      <c r="CA1391" s="76"/>
      <c r="CB1391" s="76"/>
      <c r="CC1391" s="76"/>
      <c r="CD1391" s="76"/>
      <c r="CE1391" s="76"/>
      <c r="CF1391" s="76">
        <f>+CE1391*28000</f>
        <v>0</v>
      </c>
      <c r="CG1391" s="76"/>
      <c r="CH1391" s="76">
        <f>+CG1391*22500</f>
        <v>0</v>
      </c>
      <c r="CI1391" s="76"/>
      <c r="CJ1391" s="76">
        <f>+CI1391*26000</f>
        <v>0</v>
      </c>
      <c r="CK1391" s="76"/>
      <c r="CL1391" s="76"/>
      <c r="CM1391" s="76"/>
      <c r="CN1391" s="76">
        <f>+CM1391*22000</f>
        <v>0</v>
      </c>
      <c r="CO1391" s="76"/>
      <c r="CP1391" s="76">
        <f>+CO1391*46000</f>
        <v>0</v>
      </c>
      <c r="CQ1391" s="76"/>
      <c r="CR1391" s="76">
        <f>+CQ1391*49000</f>
        <v>0</v>
      </c>
      <c r="CS1391" s="76"/>
      <c r="CT1391" s="76"/>
      <c r="CU1391" s="56">
        <f>AN1391+AP1391+AR1391+AT1391+AV1391+AX1391+AZ1391+BB1391+BD1391+BF1391+BH1391+BJ1391+BL1391+BN1391+BP1391+BR1391+BT1391+BV1391+BX1391+BZ1391+CB1391+CD1391+CF1391+CH1391+CJ1391+CL1391+CN1391+CP1391+CR1391+CT1391</f>
        <v>0</v>
      </c>
      <c r="CV1391" s="76"/>
      <c r="CW1391" s="76">
        <f>+CV1391*1100</f>
        <v>0</v>
      </c>
      <c r="CX1391" s="76"/>
      <c r="CY1391" s="76">
        <f>+CX1391*106250</f>
        <v>0</v>
      </c>
      <c r="CZ1391" s="76"/>
      <c r="DA1391" s="76">
        <f>+CZ1391*34500</f>
        <v>0</v>
      </c>
      <c r="DB1391" s="86">
        <f>1000+300</f>
        <v>1300</v>
      </c>
      <c r="DC1391" s="86">
        <f>1000*24999.16+4000*199.52+300*30999.84+1200*549.84</f>
        <v>35757000</v>
      </c>
      <c r="DD1391" s="219"/>
      <c r="DE1391" s="219"/>
      <c r="DF1391" s="166"/>
      <c r="DG1391" s="134" t="s">
        <v>5871</v>
      </c>
      <c r="DH1391" s="117"/>
      <c r="DI1391" s="24"/>
      <c r="DJ1391" s="24"/>
      <c r="DK1391" s="24"/>
      <c r="DL1391" s="24"/>
      <c r="DM1391" s="24"/>
      <c r="DN1391" s="24"/>
      <c r="DO1391" s="24"/>
      <c r="DP1391" s="24"/>
      <c r="DQ1391" s="24"/>
      <c r="DR1391" s="24"/>
      <c r="DS1391" s="24"/>
      <c r="DT1391" s="24"/>
      <c r="DU1391" s="24"/>
    </row>
    <row r="1392" spans="1:125" s="8" customFormat="1" ht="48" x14ac:dyDescent="0.2">
      <c r="A1392" s="226">
        <v>41369</v>
      </c>
      <c r="B1392" s="225" t="s">
        <v>2848</v>
      </c>
      <c r="C1392" s="227" t="s">
        <v>2674</v>
      </c>
      <c r="D1392" s="227" t="s">
        <v>2882</v>
      </c>
      <c r="E1392" s="75" t="str">
        <f>VLOOKUP(B1392&amp;C1392,Divipola!$C$2:$F$1138,4,FALSE)</f>
        <v>73352</v>
      </c>
      <c r="F1392" s="87"/>
      <c r="G1392" s="87"/>
      <c r="H1392" s="87"/>
      <c r="I1392" s="87">
        <v>5</v>
      </c>
      <c r="J1392" s="87">
        <v>1</v>
      </c>
      <c r="K1392" s="87"/>
      <c r="L1392" s="87">
        <v>1</v>
      </c>
      <c r="M1392" s="87"/>
      <c r="N1392" s="87"/>
      <c r="O1392" s="87"/>
      <c r="P1392" s="87"/>
      <c r="Q1392" s="87"/>
      <c r="R1392" s="87"/>
      <c r="S1392" s="87"/>
      <c r="T1392" s="87"/>
      <c r="U1392" s="88"/>
      <c r="V1392" s="89"/>
      <c r="W1392" s="96">
        <v>0</v>
      </c>
      <c r="X1392" s="71">
        <f>CU1392</f>
        <v>0</v>
      </c>
      <c r="Y1392" s="71">
        <f>CY1392</f>
        <v>0</v>
      </c>
      <c r="Z1392" s="71">
        <f>DA1392+DC1392+DE1392</f>
        <v>0</v>
      </c>
      <c r="AA1392" s="71">
        <f>CW1392</f>
        <v>0</v>
      </c>
      <c r="AB1392" s="71"/>
      <c r="AC1392" s="71">
        <v>0</v>
      </c>
      <c r="AD1392" s="71">
        <f>W1392+X1392+Y1392+Z1392+AA1392+AB1392+AC1392</f>
        <v>0</v>
      </c>
      <c r="AE1392" s="72">
        <v>0</v>
      </c>
      <c r="AF1392" s="5"/>
      <c r="AG1392" s="6"/>
      <c r="AH1392" s="27" t="s">
        <v>3392</v>
      </c>
      <c r="AI1392" s="44" t="s">
        <v>3393</v>
      </c>
      <c r="AJ1392" s="26"/>
      <c r="AK1392" s="5"/>
      <c r="AL1392" s="82" t="s">
        <v>4198</v>
      </c>
      <c r="AM1392" s="76"/>
      <c r="AN1392" s="76"/>
      <c r="AO1392" s="76"/>
      <c r="AP1392" s="76"/>
      <c r="AQ1392" s="76"/>
      <c r="AR1392" s="76"/>
      <c r="AS1392" s="76"/>
      <c r="AT1392" s="76"/>
      <c r="AU1392" s="76"/>
      <c r="AV1392" s="76"/>
      <c r="AW1392" s="76"/>
      <c r="AX1392" s="76">
        <f>+AW1392*600000</f>
        <v>0</v>
      </c>
      <c r="AY1392" s="76"/>
      <c r="AZ1392" s="76">
        <f>+AY1392*70000</f>
        <v>0</v>
      </c>
      <c r="BA1392" s="76"/>
      <c r="BB1392" s="76"/>
      <c r="BC1392" s="76"/>
      <c r="BD1392" s="76">
        <f>+BC1392*30000</f>
        <v>0</v>
      </c>
      <c r="BE1392" s="76"/>
      <c r="BF1392" s="76"/>
      <c r="BG1392" s="76"/>
      <c r="BH1392" s="76"/>
      <c r="BI1392" s="76"/>
      <c r="BJ1392" s="76"/>
      <c r="BK1392" s="76"/>
      <c r="BL1392" s="76">
        <f>+BK1392*31500</f>
        <v>0</v>
      </c>
      <c r="BM1392" s="76"/>
      <c r="BN1392" s="76"/>
      <c r="BO1392" s="76"/>
      <c r="BP1392" s="76"/>
      <c r="BQ1392" s="76"/>
      <c r="BR1392" s="76"/>
      <c r="BS1392" s="76"/>
      <c r="BT1392" s="76"/>
      <c r="BU1392" s="76"/>
      <c r="BV1392" s="76"/>
      <c r="BW1392" s="76"/>
      <c r="BX1392" s="76"/>
      <c r="BY1392" s="76"/>
      <c r="BZ1392" s="76"/>
      <c r="CA1392" s="76"/>
      <c r="CB1392" s="76"/>
      <c r="CC1392" s="76"/>
      <c r="CD1392" s="76"/>
      <c r="CE1392" s="76"/>
      <c r="CF1392" s="76">
        <f>+CE1392*28000</f>
        <v>0</v>
      </c>
      <c r="CG1392" s="76"/>
      <c r="CH1392" s="76">
        <f>+CG1392*22500</f>
        <v>0</v>
      </c>
      <c r="CI1392" s="76"/>
      <c r="CJ1392" s="76">
        <f>+CI1392*26000</f>
        <v>0</v>
      </c>
      <c r="CK1392" s="76"/>
      <c r="CL1392" s="76"/>
      <c r="CM1392" s="76"/>
      <c r="CN1392" s="76">
        <f>+CM1392*22000</f>
        <v>0</v>
      </c>
      <c r="CO1392" s="76"/>
      <c r="CP1392" s="76">
        <f>+CO1392*46000</f>
        <v>0</v>
      </c>
      <c r="CQ1392" s="76"/>
      <c r="CR1392" s="76">
        <f>+CQ1392*49000</f>
        <v>0</v>
      </c>
      <c r="CS1392" s="76"/>
      <c r="CT1392" s="76"/>
      <c r="CU1392" s="56">
        <f>AN1392+AP1392+AR1392+AT1392+AV1392+AX1392+AZ1392+BB1392+BD1392+BF1392+BH1392+BJ1392+BL1392+BN1392+BP1392+BR1392+BT1392+BV1392+BX1392+BZ1392+CB1392+CD1392+CF1392+CH1392+CJ1392+CL1392+CN1392+CP1392+CR1392+CT1392</f>
        <v>0</v>
      </c>
      <c r="CV1392" s="76"/>
      <c r="CW1392" s="76">
        <f>+CV1392*1100</f>
        <v>0</v>
      </c>
      <c r="CX1392" s="76"/>
      <c r="CY1392" s="76">
        <f>+CX1392*106250</f>
        <v>0</v>
      </c>
      <c r="CZ1392" s="76"/>
      <c r="DA1392" s="76">
        <f>+CZ1392*34500</f>
        <v>0</v>
      </c>
      <c r="DB1392" s="76"/>
      <c r="DC1392" s="76">
        <f>+DB1392*25000</f>
        <v>0</v>
      </c>
      <c r="DD1392" s="219"/>
      <c r="DE1392" s="219"/>
      <c r="DF1392" s="166"/>
      <c r="DG1392" s="116"/>
      <c r="DH1392" s="117"/>
      <c r="DI1392" s="24"/>
      <c r="DJ1392" s="24"/>
      <c r="DK1392" s="24"/>
      <c r="DL1392" s="24"/>
      <c r="DM1392" s="24"/>
      <c r="DN1392" s="24"/>
      <c r="DO1392" s="24"/>
      <c r="DP1392" s="24"/>
      <c r="DQ1392" s="24"/>
      <c r="DR1392" s="24"/>
      <c r="DS1392" s="24"/>
      <c r="DT1392" s="24"/>
      <c r="DU1392" s="24"/>
    </row>
    <row r="1393" spans="1:125" s="8" customFormat="1" ht="96" x14ac:dyDescent="0.2">
      <c r="A1393" s="77">
        <v>41369</v>
      </c>
      <c r="B1393" s="78" t="s">
        <v>2851</v>
      </c>
      <c r="C1393" s="75" t="s">
        <v>2667</v>
      </c>
      <c r="D1393" s="75" t="s">
        <v>2882</v>
      </c>
      <c r="E1393" s="75" t="str">
        <f>VLOOKUP(B1393&amp;C1393,Divipola!$C$2:$F$1138,4,FALSE)</f>
        <v>76364</v>
      </c>
      <c r="F1393" s="87"/>
      <c r="G1393" s="87"/>
      <c r="H1393" s="87"/>
      <c r="I1393" s="87">
        <v>10</v>
      </c>
      <c r="J1393" s="87">
        <v>2</v>
      </c>
      <c r="K1393" s="87"/>
      <c r="L1393" s="87">
        <v>2</v>
      </c>
      <c r="M1393" s="87"/>
      <c r="N1393" s="87"/>
      <c r="O1393" s="87"/>
      <c r="P1393" s="87"/>
      <c r="Q1393" s="87"/>
      <c r="R1393" s="87"/>
      <c r="S1393" s="87"/>
      <c r="T1393" s="87"/>
      <c r="U1393" s="88"/>
      <c r="V1393" s="89"/>
      <c r="W1393" s="96">
        <v>0</v>
      </c>
      <c r="X1393" s="71">
        <f>CU1393</f>
        <v>0</v>
      </c>
      <c r="Y1393" s="71">
        <f>CY1393</f>
        <v>0</v>
      </c>
      <c r="Z1393" s="71">
        <f>DA1393+DC1393+DE1393</f>
        <v>0</v>
      </c>
      <c r="AA1393" s="71">
        <f>CW1393</f>
        <v>0</v>
      </c>
      <c r="AB1393" s="71"/>
      <c r="AC1393" s="71">
        <v>0</v>
      </c>
      <c r="AD1393" s="71">
        <f>W1393+X1393+Y1393+Z1393+AA1393+AB1393+AC1393</f>
        <v>0</v>
      </c>
      <c r="AE1393" s="72">
        <v>0</v>
      </c>
      <c r="AF1393" s="5"/>
      <c r="AG1393" s="6"/>
      <c r="AH1393" s="27" t="s">
        <v>3392</v>
      </c>
      <c r="AI1393" s="44" t="s">
        <v>3393</v>
      </c>
      <c r="AJ1393" s="26"/>
      <c r="AK1393" s="5"/>
      <c r="AL1393" s="82" t="s">
        <v>4201</v>
      </c>
      <c r="AM1393" s="76"/>
      <c r="AN1393" s="76"/>
      <c r="AO1393" s="76"/>
      <c r="AP1393" s="76"/>
      <c r="AQ1393" s="76"/>
      <c r="AR1393" s="76"/>
      <c r="AS1393" s="76"/>
      <c r="AT1393" s="76"/>
      <c r="AU1393" s="76"/>
      <c r="AV1393" s="76"/>
      <c r="AW1393" s="76"/>
      <c r="AX1393" s="76">
        <f>+AW1393*600000</f>
        <v>0</v>
      </c>
      <c r="AY1393" s="76"/>
      <c r="AZ1393" s="76">
        <f>+AY1393*70000</f>
        <v>0</v>
      </c>
      <c r="BA1393" s="76"/>
      <c r="BB1393" s="76"/>
      <c r="BC1393" s="76"/>
      <c r="BD1393" s="76">
        <f>+BC1393*30000</f>
        <v>0</v>
      </c>
      <c r="BE1393" s="76"/>
      <c r="BF1393" s="76"/>
      <c r="BG1393" s="76"/>
      <c r="BH1393" s="76"/>
      <c r="BI1393" s="76"/>
      <c r="BJ1393" s="76"/>
      <c r="BK1393" s="76"/>
      <c r="BL1393" s="76">
        <f>+BK1393*31500</f>
        <v>0</v>
      </c>
      <c r="BM1393" s="76"/>
      <c r="BN1393" s="76"/>
      <c r="BO1393" s="76"/>
      <c r="BP1393" s="76"/>
      <c r="BQ1393" s="76"/>
      <c r="BR1393" s="76"/>
      <c r="BS1393" s="76"/>
      <c r="BT1393" s="76"/>
      <c r="BU1393" s="76"/>
      <c r="BV1393" s="76"/>
      <c r="BW1393" s="76"/>
      <c r="BX1393" s="76"/>
      <c r="BY1393" s="76"/>
      <c r="BZ1393" s="76"/>
      <c r="CA1393" s="76"/>
      <c r="CB1393" s="76"/>
      <c r="CC1393" s="76"/>
      <c r="CD1393" s="76"/>
      <c r="CE1393" s="76"/>
      <c r="CF1393" s="76">
        <f>+CE1393*28000</f>
        <v>0</v>
      </c>
      <c r="CG1393" s="76"/>
      <c r="CH1393" s="76">
        <f>+CG1393*22500</f>
        <v>0</v>
      </c>
      <c r="CI1393" s="76"/>
      <c r="CJ1393" s="76">
        <f>+CI1393*26000</f>
        <v>0</v>
      </c>
      <c r="CK1393" s="76"/>
      <c r="CL1393" s="76"/>
      <c r="CM1393" s="76"/>
      <c r="CN1393" s="76">
        <f>+CM1393*22000</f>
        <v>0</v>
      </c>
      <c r="CO1393" s="76"/>
      <c r="CP1393" s="76">
        <f>+CO1393*46000</f>
        <v>0</v>
      </c>
      <c r="CQ1393" s="76"/>
      <c r="CR1393" s="76">
        <f>+CQ1393*49000</f>
        <v>0</v>
      </c>
      <c r="CS1393" s="76"/>
      <c r="CT1393" s="76"/>
      <c r="CU1393" s="56">
        <f>AN1393+AP1393+AR1393+AT1393+AV1393+AX1393+AZ1393+BB1393+BD1393+BF1393+BH1393+BJ1393+BL1393+BN1393+BP1393+BR1393+BT1393+BV1393+BX1393+BZ1393+CB1393+CD1393+CF1393+CH1393+CJ1393+CL1393+CN1393+CP1393+CR1393+CT1393</f>
        <v>0</v>
      </c>
      <c r="CV1393" s="76"/>
      <c r="CW1393" s="76">
        <f>+CV1393*1100</f>
        <v>0</v>
      </c>
      <c r="CX1393" s="76"/>
      <c r="CY1393" s="76">
        <f>+CX1393*106250</f>
        <v>0</v>
      </c>
      <c r="CZ1393" s="76"/>
      <c r="DA1393" s="76">
        <f>+CZ1393*34500</f>
        <v>0</v>
      </c>
      <c r="DB1393" s="76"/>
      <c r="DC1393" s="76">
        <f>+DB1393*25000</f>
        <v>0</v>
      </c>
      <c r="DD1393" s="219"/>
      <c r="DE1393" s="219"/>
      <c r="DF1393" s="166"/>
      <c r="DG1393" s="116"/>
      <c r="DH1393" s="117"/>
      <c r="DI1393" s="24"/>
      <c r="DJ1393" s="24"/>
      <c r="DK1393" s="24"/>
      <c r="DL1393" s="24"/>
      <c r="DM1393" s="24"/>
      <c r="DN1393" s="24"/>
      <c r="DO1393" s="24"/>
      <c r="DP1393" s="24"/>
      <c r="DQ1393" s="24"/>
      <c r="DR1393" s="24"/>
      <c r="DS1393" s="24"/>
      <c r="DT1393" s="24"/>
      <c r="DU1393" s="24"/>
    </row>
    <row r="1394" spans="1:125" s="8" customFormat="1" ht="48" x14ac:dyDescent="0.2">
      <c r="A1394" s="226">
        <v>41370</v>
      </c>
      <c r="B1394" s="352" t="s">
        <v>529</v>
      </c>
      <c r="C1394" s="352" t="s">
        <v>529</v>
      </c>
      <c r="D1394" s="354" t="s">
        <v>2859</v>
      </c>
      <c r="E1394" s="75" t="str">
        <f>VLOOKUP(B1394&amp;C1394,Divipola!$C$2:$F$1138,4,FALSE)</f>
        <v>11001</v>
      </c>
      <c r="F1394" s="87"/>
      <c r="G1394" s="87"/>
      <c r="H1394" s="87"/>
      <c r="I1394" s="87"/>
      <c r="J1394" s="87"/>
      <c r="K1394" s="87"/>
      <c r="L1394" s="87"/>
      <c r="M1394" s="87"/>
      <c r="N1394" s="87"/>
      <c r="O1394" s="87"/>
      <c r="P1394" s="87"/>
      <c r="Q1394" s="87"/>
      <c r="R1394" s="87"/>
      <c r="S1394" s="87"/>
      <c r="T1394" s="87"/>
      <c r="U1394" s="88"/>
      <c r="V1394" s="89"/>
      <c r="W1394" s="96">
        <v>0</v>
      </c>
      <c r="X1394" s="71">
        <f>CU1394</f>
        <v>0</v>
      </c>
      <c r="Y1394" s="71">
        <f>CY1394</f>
        <v>0</v>
      </c>
      <c r="Z1394" s="71">
        <f>DA1394+DC1394+DE1394</f>
        <v>0</v>
      </c>
      <c r="AA1394" s="71">
        <f>CW1394</f>
        <v>0</v>
      </c>
      <c r="AB1394" s="71"/>
      <c r="AC1394" s="71">
        <v>0</v>
      </c>
      <c r="AD1394" s="71">
        <f>W1394+X1394+Y1394+Z1394+AA1394+AB1394+AC1394</f>
        <v>0</v>
      </c>
      <c r="AE1394" s="72">
        <v>0</v>
      </c>
      <c r="AF1394" s="5"/>
      <c r="AG1394" s="6"/>
      <c r="AH1394" s="27" t="s">
        <v>3392</v>
      </c>
      <c r="AI1394" s="44" t="s">
        <v>3393</v>
      </c>
      <c r="AJ1394" s="26"/>
      <c r="AK1394" s="5"/>
      <c r="AL1394" s="82" t="s">
        <v>4208</v>
      </c>
      <c r="AM1394" s="76"/>
      <c r="AN1394" s="76"/>
      <c r="AO1394" s="76"/>
      <c r="AP1394" s="76"/>
      <c r="AQ1394" s="76"/>
      <c r="AR1394" s="76"/>
      <c r="AS1394" s="76"/>
      <c r="AT1394" s="76"/>
      <c r="AU1394" s="76"/>
      <c r="AV1394" s="76"/>
      <c r="AW1394" s="76"/>
      <c r="AX1394" s="76">
        <f>+AW1394*600000</f>
        <v>0</v>
      </c>
      <c r="AY1394" s="76"/>
      <c r="AZ1394" s="76">
        <f>+AY1394*70000</f>
        <v>0</v>
      </c>
      <c r="BA1394" s="76"/>
      <c r="BB1394" s="76"/>
      <c r="BC1394" s="76"/>
      <c r="BD1394" s="76">
        <f>+BC1394*30000</f>
        <v>0</v>
      </c>
      <c r="BE1394" s="76"/>
      <c r="BF1394" s="76"/>
      <c r="BG1394" s="76"/>
      <c r="BH1394" s="76"/>
      <c r="BI1394" s="76"/>
      <c r="BJ1394" s="76"/>
      <c r="BK1394" s="76"/>
      <c r="BL1394" s="76">
        <f>+BK1394*31500</f>
        <v>0</v>
      </c>
      <c r="BM1394" s="76"/>
      <c r="BN1394" s="76"/>
      <c r="BO1394" s="76"/>
      <c r="BP1394" s="76"/>
      <c r="BQ1394" s="76"/>
      <c r="BR1394" s="76"/>
      <c r="BS1394" s="76"/>
      <c r="BT1394" s="76"/>
      <c r="BU1394" s="76"/>
      <c r="BV1394" s="76"/>
      <c r="BW1394" s="76"/>
      <c r="BX1394" s="76"/>
      <c r="BY1394" s="76"/>
      <c r="BZ1394" s="76"/>
      <c r="CA1394" s="76"/>
      <c r="CB1394" s="76"/>
      <c r="CC1394" s="76"/>
      <c r="CD1394" s="76"/>
      <c r="CE1394" s="76"/>
      <c r="CF1394" s="76">
        <f>+CE1394*28000</f>
        <v>0</v>
      </c>
      <c r="CG1394" s="76"/>
      <c r="CH1394" s="76">
        <f>+CG1394*22500</f>
        <v>0</v>
      </c>
      <c r="CI1394" s="76"/>
      <c r="CJ1394" s="76">
        <f>+CI1394*26000</f>
        <v>0</v>
      </c>
      <c r="CK1394" s="76"/>
      <c r="CL1394" s="76"/>
      <c r="CM1394" s="76"/>
      <c r="CN1394" s="76">
        <f>+CM1394*22000</f>
        <v>0</v>
      </c>
      <c r="CO1394" s="76"/>
      <c r="CP1394" s="76">
        <f>+CO1394*46000</f>
        <v>0</v>
      </c>
      <c r="CQ1394" s="76"/>
      <c r="CR1394" s="76">
        <f>+CQ1394*49000</f>
        <v>0</v>
      </c>
      <c r="CS1394" s="76"/>
      <c r="CT1394" s="76"/>
      <c r="CU1394" s="56">
        <f>AN1394+AP1394+AR1394+AT1394+AV1394+AX1394+AZ1394+BB1394+BD1394+BF1394+BH1394+BJ1394+BL1394+BN1394+BP1394+BR1394+BT1394+BV1394+BX1394+BZ1394+CB1394+CD1394+CF1394+CH1394+CJ1394+CL1394+CN1394+CP1394+CR1394+CT1394</f>
        <v>0</v>
      </c>
      <c r="CV1394" s="76"/>
      <c r="CW1394" s="76">
        <f>+CV1394*1100</f>
        <v>0</v>
      </c>
      <c r="CX1394" s="76"/>
      <c r="CY1394" s="76">
        <f>+CX1394*106250</f>
        <v>0</v>
      </c>
      <c r="CZ1394" s="76"/>
      <c r="DA1394" s="76">
        <f>+CZ1394*34500</f>
        <v>0</v>
      </c>
      <c r="DB1394" s="76"/>
      <c r="DC1394" s="76">
        <f>+DB1394*25000</f>
        <v>0</v>
      </c>
      <c r="DD1394" s="219"/>
      <c r="DE1394" s="219"/>
      <c r="DF1394" s="166"/>
      <c r="DG1394" s="116"/>
      <c r="DH1394" s="117"/>
      <c r="DI1394" s="24"/>
      <c r="DJ1394" s="24"/>
      <c r="DK1394" s="24"/>
      <c r="DL1394" s="24"/>
      <c r="DM1394" s="24"/>
      <c r="DN1394" s="24"/>
      <c r="DO1394" s="24"/>
      <c r="DP1394" s="24"/>
      <c r="DQ1394" s="24"/>
      <c r="DR1394" s="24"/>
      <c r="DS1394" s="24"/>
      <c r="DT1394" s="24"/>
      <c r="DU1394" s="24"/>
    </row>
    <row r="1395" spans="1:125" s="8" customFormat="1" ht="60" x14ac:dyDescent="0.2">
      <c r="A1395" s="77">
        <v>41370</v>
      </c>
      <c r="B1395" s="78" t="s">
        <v>2700</v>
      </c>
      <c r="C1395" s="75" t="s">
        <v>1564</v>
      </c>
      <c r="D1395" s="81" t="s">
        <v>2846</v>
      </c>
      <c r="E1395" s="75" t="str">
        <f>VLOOKUP(B1395&amp;C1395,Divipola!$C$2:$F$1138,4,FALSE)</f>
        <v>15047</v>
      </c>
      <c r="F1395" s="87"/>
      <c r="G1395" s="87"/>
      <c r="H1395" s="87"/>
      <c r="I1395" s="87"/>
      <c r="J1395" s="87"/>
      <c r="K1395" s="87"/>
      <c r="L1395" s="87"/>
      <c r="M1395" s="87"/>
      <c r="N1395" s="87"/>
      <c r="O1395" s="87"/>
      <c r="P1395" s="87"/>
      <c r="Q1395" s="87"/>
      <c r="R1395" s="87"/>
      <c r="S1395" s="87"/>
      <c r="T1395" s="87"/>
      <c r="U1395" s="88">
        <v>1</v>
      </c>
      <c r="V1395" s="89"/>
      <c r="W1395" s="96">
        <v>0</v>
      </c>
      <c r="X1395" s="71">
        <f>CU1395</f>
        <v>0</v>
      </c>
      <c r="Y1395" s="71">
        <f>CY1395</f>
        <v>0</v>
      </c>
      <c r="Z1395" s="71">
        <f>DA1395+DC1395+DE1395</f>
        <v>0</v>
      </c>
      <c r="AA1395" s="71">
        <f>CW1395</f>
        <v>0</v>
      </c>
      <c r="AB1395" s="71"/>
      <c r="AC1395" s="71">
        <v>0</v>
      </c>
      <c r="AD1395" s="71">
        <f>W1395+X1395+Y1395+Z1395+AA1395+AB1395+AC1395</f>
        <v>0</v>
      </c>
      <c r="AE1395" s="72">
        <v>0</v>
      </c>
      <c r="AF1395" s="5"/>
      <c r="AG1395" s="6"/>
      <c r="AH1395" s="27" t="s">
        <v>3392</v>
      </c>
      <c r="AI1395" s="44" t="s">
        <v>3393</v>
      </c>
      <c r="AJ1395" s="26"/>
      <c r="AK1395" s="5"/>
      <c r="AL1395" s="82" t="s">
        <v>4207</v>
      </c>
      <c r="AM1395" s="76"/>
      <c r="AN1395" s="76"/>
      <c r="AO1395" s="76"/>
      <c r="AP1395" s="76"/>
      <c r="AQ1395" s="76"/>
      <c r="AR1395" s="76"/>
      <c r="AS1395" s="76"/>
      <c r="AT1395" s="76"/>
      <c r="AU1395" s="76"/>
      <c r="AV1395" s="76"/>
      <c r="AW1395" s="76"/>
      <c r="AX1395" s="76">
        <f>+AW1395*600000</f>
        <v>0</v>
      </c>
      <c r="AY1395" s="76"/>
      <c r="AZ1395" s="76">
        <f>+AY1395*70000</f>
        <v>0</v>
      </c>
      <c r="BA1395" s="76"/>
      <c r="BB1395" s="76"/>
      <c r="BC1395" s="76"/>
      <c r="BD1395" s="76">
        <f>+BC1395*30000</f>
        <v>0</v>
      </c>
      <c r="BE1395" s="76"/>
      <c r="BF1395" s="76"/>
      <c r="BG1395" s="76"/>
      <c r="BH1395" s="76"/>
      <c r="BI1395" s="76"/>
      <c r="BJ1395" s="76"/>
      <c r="BK1395" s="76"/>
      <c r="BL1395" s="76">
        <f>+BK1395*31500</f>
        <v>0</v>
      </c>
      <c r="BM1395" s="76"/>
      <c r="BN1395" s="76"/>
      <c r="BO1395" s="76"/>
      <c r="BP1395" s="76"/>
      <c r="BQ1395" s="76"/>
      <c r="BR1395" s="76"/>
      <c r="BS1395" s="76"/>
      <c r="BT1395" s="76"/>
      <c r="BU1395" s="76"/>
      <c r="BV1395" s="76"/>
      <c r="BW1395" s="76"/>
      <c r="BX1395" s="76"/>
      <c r="BY1395" s="76"/>
      <c r="BZ1395" s="76"/>
      <c r="CA1395" s="76"/>
      <c r="CB1395" s="76"/>
      <c r="CC1395" s="76"/>
      <c r="CD1395" s="76"/>
      <c r="CE1395" s="76"/>
      <c r="CF1395" s="76">
        <f>+CE1395*28000</f>
        <v>0</v>
      </c>
      <c r="CG1395" s="76"/>
      <c r="CH1395" s="76">
        <f>+CG1395*22500</f>
        <v>0</v>
      </c>
      <c r="CI1395" s="76"/>
      <c r="CJ1395" s="76">
        <f>+CI1395*26000</f>
        <v>0</v>
      </c>
      <c r="CK1395" s="76"/>
      <c r="CL1395" s="76"/>
      <c r="CM1395" s="76"/>
      <c r="CN1395" s="76">
        <f>+CM1395*22000</f>
        <v>0</v>
      </c>
      <c r="CO1395" s="76"/>
      <c r="CP1395" s="76">
        <f>+CO1395*46000</f>
        <v>0</v>
      </c>
      <c r="CQ1395" s="76"/>
      <c r="CR1395" s="76">
        <f>+CQ1395*49000</f>
        <v>0</v>
      </c>
      <c r="CS1395" s="76"/>
      <c r="CT1395" s="76"/>
      <c r="CU1395" s="56">
        <f>AN1395+AP1395+AR1395+AT1395+AV1395+AX1395+AZ1395+BB1395+BD1395+BF1395+BH1395+BJ1395+BL1395+BN1395+BP1395+BR1395+BT1395+BV1395+BX1395+BZ1395+CB1395+CD1395+CF1395+CH1395+CJ1395+CL1395+CN1395+CP1395+CR1395+CT1395</f>
        <v>0</v>
      </c>
      <c r="CV1395" s="76"/>
      <c r="CW1395" s="76">
        <f>+CV1395*1100</f>
        <v>0</v>
      </c>
      <c r="CX1395" s="76"/>
      <c r="CY1395" s="76">
        <f>+CX1395*106250</f>
        <v>0</v>
      </c>
      <c r="CZ1395" s="76"/>
      <c r="DA1395" s="76">
        <f>+CZ1395*34500</f>
        <v>0</v>
      </c>
      <c r="DB1395" s="76"/>
      <c r="DC1395" s="76">
        <f>+DB1395*25000</f>
        <v>0</v>
      </c>
      <c r="DD1395" s="219"/>
      <c r="DE1395" s="219"/>
      <c r="DF1395" s="166"/>
      <c r="DG1395" s="116"/>
      <c r="DH1395" s="117"/>
      <c r="DI1395" s="24"/>
      <c r="DJ1395" s="24"/>
      <c r="DK1395" s="24"/>
      <c r="DL1395" s="24"/>
      <c r="DM1395" s="24"/>
      <c r="DN1395" s="24"/>
      <c r="DO1395" s="24"/>
      <c r="DP1395" s="24"/>
      <c r="DQ1395" s="24"/>
      <c r="DR1395" s="24"/>
      <c r="DS1395" s="24"/>
      <c r="DT1395" s="24"/>
      <c r="DU1395" s="24"/>
    </row>
    <row r="1396" spans="1:125" s="8" customFormat="1" ht="24" x14ac:dyDescent="0.2">
      <c r="A1396" s="226">
        <v>41370</v>
      </c>
      <c r="B1396" s="225" t="s">
        <v>2700</v>
      </c>
      <c r="C1396" s="227" t="s">
        <v>704</v>
      </c>
      <c r="D1396" s="81" t="s">
        <v>2846</v>
      </c>
      <c r="E1396" s="75" t="str">
        <f>VLOOKUP(B1396&amp;C1396,Divipola!$C$2:$F$1138,4,FALSE)</f>
        <v>15810</v>
      </c>
      <c r="F1396" s="87"/>
      <c r="G1396" s="87"/>
      <c r="H1396" s="87"/>
      <c r="I1396" s="87"/>
      <c r="J1396" s="87"/>
      <c r="K1396" s="87"/>
      <c r="L1396" s="87"/>
      <c r="M1396" s="87"/>
      <c r="N1396" s="87"/>
      <c r="O1396" s="87"/>
      <c r="P1396" s="87"/>
      <c r="Q1396" s="87"/>
      <c r="R1396" s="87"/>
      <c r="S1396" s="87"/>
      <c r="T1396" s="87"/>
      <c r="U1396" s="88">
        <v>50</v>
      </c>
      <c r="V1396" s="89"/>
      <c r="W1396" s="96">
        <v>0</v>
      </c>
      <c r="X1396" s="71">
        <f>CU1396</f>
        <v>0</v>
      </c>
      <c r="Y1396" s="71">
        <f>CY1396</f>
        <v>0</v>
      </c>
      <c r="Z1396" s="71">
        <f>DA1396+DC1396+DE1396</f>
        <v>0</v>
      </c>
      <c r="AA1396" s="71">
        <f>CW1396</f>
        <v>0</v>
      </c>
      <c r="AB1396" s="71"/>
      <c r="AC1396" s="71">
        <v>0</v>
      </c>
      <c r="AD1396" s="71">
        <f>W1396+X1396+Y1396+Z1396+AA1396+AB1396+AC1396</f>
        <v>0</v>
      </c>
      <c r="AE1396" s="72">
        <v>0</v>
      </c>
      <c r="AF1396" s="5"/>
      <c r="AG1396" s="6"/>
      <c r="AH1396" s="27" t="s">
        <v>3392</v>
      </c>
      <c r="AI1396" s="44" t="s">
        <v>3393</v>
      </c>
      <c r="AJ1396" s="26"/>
      <c r="AK1396" s="5"/>
      <c r="AL1396" s="82" t="s">
        <v>4204</v>
      </c>
      <c r="AM1396" s="76"/>
      <c r="AN1396" s="76"/>
      <c r="AO1396" s="76"/>
      <c r="AP1396" s="76"/>
      <c r="AQ1396" s="76"/>
      <c r="AR1396" s="76"/>
      <c r="AS1396" s="76"/>
      <c r="AT1396" s="76"/>
      <c r="AU1396" s="76"/>
      <c r="AV1396" s="76"/>
      <c r="AW1396" s="76"/>
      <c r="AX1396" s="76">
        <f>+AW1396*600000</f>
        <v>0</v>
      </c>
      <c r="AY1396" s="76"/>
      <c r="AZ1396" s="76">
        <f>+AY1396*70000</f>
        <v>0</v>
      </c>
      <c r="BA1396" s="76"/>
      <c r="BB1396" s="76"/>
      <c r="BC1396" s="76"/>
      <c r="BD1396" s="76">
        <f>+BC1396*30000</f>
        <v>0</v>
      </c>
      <c r="BE1396" s="76"/>
      <c r="BF1396" s="76"/>
      <c r="BG1396" s="76"/>
      <c r="BH1396" s="76"/>
      <c r="BI1396" s="76"/>
      <c r="BJ1396" s="76"/>
      <c r="BK1396" s="76"/>
      <c r="BL1396" s="76">
        <f>+BK1396*31500</f>
        <v>0</v>
      </c>
      <c r="BM1396" s="76"/>
      <c r="BN1396" s="76"/>
      <c r="BO1396" s="76"/>
      <c r="BP1396" s="76"/>
      <c r="BQ1396" s="76"/>
      <c r="BR1396" s="76"/>
      <c r="BS1396" s="76"/>
      <c r="BT1396" s="76"/>
      <c r="BU1396" s="76"/>
      <c r="BV1396" s="76"/>
      <c r="BW1396" s="76"/>
      <c r="BX1396" s="76"/>
      <c r="BY1396" s="76"/>
      <c r="BZ1396" s="76"/>
      <c r="CA1396" s="76"/>
      <c r="CB1396" s="76"/>
      <c r="CC1396" s="76"/>
      <c r="CD1396" s="76"/>
      <c r="CE1396" s="76"/>
      <c r="CF1396" s="76">
        <f>+CE1396*28000</f>
        <v>0</v>
      </c>
      <c r="CG1396" s="76"/>
      <c r="CH1396" s="76">
        <f>+CG1396*22500</f>
        <v>0</v>
      </c>
      <c r="CI1396" s="76"/>
      <c r="CJ1396" s="76">
        <f>+CI1396*26000</f>
        <v>0</v>
      </c>
      <c r="CK1396" s="76"/>
      <c r="CL1396" s="76"/>
      <c r="CM1396" s="76"/>
      <c r="CN1396" s="76">
        <f>+CM1396*22000</f>
        <v>0</v>
      </c>
      <c r="CO1396" s="76"/>
      <c r="CP1396" s="76">
        <f>+CO1396*46000</f>
        <v>0</v>
      </c>
      <c r="CQ1396" s="76"/>
      <c r="CR1396" s="76">
        <f>+CQ1396*49000</f>
        <v>0</v>
      </c>
      <c r="CS1396" s="76"/>
      <c r="CT1396" s="76"/>
      <c r="CU1396" s="56">
        <f>AN1396+AP1396+AR1396+AT1396+AV1396+AX1396+AZ1396+BB1396+BD1396+BF1396+BH1396+BJ1396+BL1396+BN1396+BP1396+BR1396+BT1396+BV1396+BX1396+BZ1396+CB1396+CD1396+CF1396+CH1396+CJ1396+CL1396+CN1396+CP1396+CR1396+CT1396</f>
        <v>0</v>
      </c>
      <c r="CV1396" s="76"/>
      <c r="CW1396" s="76">
        <f>+CV1396*1100</f>
        <v>0</v>
      </c>
      <c r="CX1396" s="76"/>
      <c r="CY1396" s="76">
        <f>+CX1396*106250</f>
        <v>0</v>
      </c>
      <c r="CZ1396" s="76"/>
      <c r="DA1396" s="76">
        <f>+CZ1396*34500</f>
        <v>0</v>
      </c>
      <c r="DB1396" s="76"/>
      <c r="DC1396" s="76">
        <f>+DB1396*25000</f>
        <v>0</v>
      </c>
      <c r="DD1396" s="219"/>
      <c r="DE1396" s="219"/>
      <c r="DF1396" s="166"/>
      <c r="DG1396" s="116"/>
      <c r="DH1396" s="117"/>
      <c r="DI1396" s="24"/>
      <c r="DJ1396" s="24"/>
      <c r="DK1396" s="24"/>
      <c r="DL1396" s="24"/>
      <c r="DM1396" s="24"/>
      <c r="DN1396" s="24"/>
      <c r="DO1396" s="24"/>
      <c r="DP1396" s="24"/>
      <c r="DQ1396" s="24"/>
      <c r="DR1396" s="24"/>
      <c r="DS1396" s="24"/>
      <c r="DT1396" s="24"/>
      <c r="DU1396" s="24"/>
    </row>
    <row r="1397" spans="1:125" s="8" customFormat="1" ht="36" x14ac:dyDescent="0.2">
      <c r="A1397" s="77">
        <v>41370</v>
      </c>
      <c r="B1397" s="78" t="s">
        <v>2778</v>
      </c>
      <c r="C1397" s="83" t="s">
        <v>1344</v>
      </c>
      <c r="D1397" s="81" t="s">
        <v>2846</v>
      </c>
      <c r="E1397" s="75" t="str">
        <f>VLOOKUP(B1397&amp;C1397,Divipola!$C$2:$F$1138,4,FALSE)</f>
        <v>85001</v>
      </c>
      <c r="F1397" s="93"/>
      <c r="G1397" s="93"/>
      <c r="H1397" s="93"/>
      <c r="I1397" s="93"/>
      <c r="J1397" s="93"/>
      <c r="K1397" s="93"/>
      <c r="L1397" s="93"/>
      <c r="M1397" s="93"/>
      <c r="N1397" s="93"/>
      <c r="O1397" s="93"/>
      <c r="P1397" s="93"/>
      <c r="Q1397" s="93"/>
      <c r="R1397" s="93"/>
      <c r="S1397" s="93"/>
      <c r="T1397" s="93"/>
      <c r="U1397" s="89">
        <v>40</v>
      </c>
      <c r="V1397" s="134"/>
      <c r="W1397" s="96">
        <v>0</v>
      </c>
      <c r="X1397" s="71">
        <f>CU1397</f>
        <v>0</v>
      </c>
      <c r="Y1397" s="71">
        <f>CY1397</f>
        <v>0</v>
      </c>
      <c r="Z1397" s="71">
        <f>DA1397+DC1397+DE1397</f>
        <v>0</v>
      </c>
      <c r="AA1397" s="71">
        <f>CW1397</f>
        <v>0</v>
      </c>
      <c r="AB1397" s="71"/>
      <c r="AC1397" s="71">
        <v>0</v>
      </c>
      <c r="AD1397" s="71">
        <f>W1397+X1397+Y1397+Z1397+AA1397+AB1397+AC1397</f>
        <v>0</v>
      </c>
      <c r="AE1397" s="72">
        <v>0</v>
      </c>
      <c r="AF1397" s="5"/>
      <c r="AG1397" s="6"/>
      <c r="AH1397" s="27" t="s">
        <v>3392</v>
      </c>
      <c r="AI1397" s="44" t="s">
        <v>3393</v>
      </c>
      <c r="AJ1397" s="26"/>
      <c r="AK1397" s="5"/>
      <c r="AL1397" s="82" t="s">
        <v>4216</v>
      </c>
      <c r="AM1397" s="76"/>
      <c r="AN1397" s="76"/>
      <c r="AO1397" s="76"/>
      <c r="AP1397" s="76"/>
      <c r="AQ1397" s="76"/>
      <c r="AR1397" s="76"/>
      <c r="AS1397" s="76"/>
      <c r="AT1397" s="76"/>
      <c r="AU1397" s="76"/>
      <c r="AV1397" s="76"/>
      <c r="AW1397" s="76"/>
      <c r="AX1397" s="76">
        <f>+AW1397*600000</f>
        <v>0</v>
      </c>
      <c r="AY1397" s="76"/>
      <c r="AZ1397" s="76">
        <f>+AY1397*70000</f>
        <v>0</v>
      </c>
      <c r="BA1397" s="76"/>
      <c r="BB1397" s="76"/>
      <c r="BC1397" s="76"/>
      <c r="BD1397" s="76">
        <f>+BC1397*30000</f>
        <v>0</v>
      </c>
      <c r="BE1397" s="76"/>
      <c r="BF1397" s="76"/>
      <c r="BG1397" s="76"/>
      <c r="BH1397" s="76"/>
      <c r="BI1397" s="76"/>
      <c r="BJ1397" s="76"/>
      <c r="BK1397" s="76"/>
      <c r="BL1397" s="76">
        <f>+BK1397*31500</f>
        <v>0</v>
      </c>
      <c r="BM1397" s="76"/>
      <c r="BN1397" s="76"/>
      <c r="BO1397" s="76"/>
      <c r="BP1397" s="76"/>
      <c r="BQ1397" s="76"/>
      <c r="BR1397" s="76"/>
      <c r="BS1397" s="76"/>
      <c r="BT1397" s="76"/>
      <c r="BU1397" s="76"/>
      <c r="BV1397" s="76"/>
      <c r="BW1397" s="76"/>
      <c r="BX1397" s="76"/>
      <c r="BY1397" s="76"/>
      <c r="BZ1397" s="76"/>
      <c r="CA1397" s="76"/>
      <c r="CB1397" s="76"/>
      <c r="CC1397" s="76"/>
      <c r="CD1397" s="76"/>
      <c r="CE1397" s="76"/>
      <c r="CF1397" s="76">
        <f>+CE1397*28000</f>
        <v>0</v>
      </c>
      <c r="CG1397" s="76"/>
      <c r="CH1397" s="76">
        <f>+CG1397*22500</f>
        <v>0</v>
      </c>
      <c r="CI1397" s="76"/>
      <c r="CJ1397" s="76">
        <f>+CI1397*26000</f>
        <v>0</v>
      </c>
      <c r="CK1397" s="76"/>
      <c r="CL1397" s="76"/>
      <c r="CM1397" s="76"/>
      <c r="CN1397" s="76">
        <f>+CM1397*22000</f>
        <v>0</v>
      </c>
      <c r="CO1397" s="76"/>
      <c r="CP1397" s="76">
        <f>+CO1397*46000</f>
        <v>0</v>
      </c>
      <c r="CQ1397" s="76"/>
      <c r="CR1397" s="76">
        <f>+CQ1397*49000</f>
        <v>0</v>
      </c>
      <c r="CS1397" s="76"/>
      <c r="CT1397" s="76"/>
      <c r="CU1397" s="56">
        <f>AN1397+AP1397+AR1397+AT1397+AV1397+AX1397+AZ1397+BB1397+BD1397+BF1397+BH1397+BJ1397+BL1397+BN1397+BP1397+BR1397+BT1397+BV1397+BX1397+BZ1397+CB1397+CD1397+CF1397+CH1397+CJ1397+CL1397+CN1397+CP1397+CR1397+CT1397</f>
        <v>0</v>
      </c>
      <c r="CV1397" s="76"/>
      <c r="CW1397" s="76">
        <f>+CV1397*1100</f>
        <v>0</v>
      </c>
      <c r="CX1397" s="76"/>
      <c r="CY1397" s="76">
        <f>+CX1397*106250</f>
        <v>0</v>
      </c>
      <c r="CZ1397" s="76"/>
      <c r="DA1397" s="76">
        <f>+CZ1397*34500</f>
        <v>0</v>
      </c>
      <c r="DB1397" s="76"/>
      <c r="DC1397" s="76">
        <f>+DB1397*25000</f>
        <v>0</v>
      </c>
      <c r="DD1397" s="219"/>
      <c r="DE1397" s="219"/>
      <c r="DF1397" s="166"/>
      <c r="DG1397" s="116"/>
      <c r="DH1397" s="117"/>
      <c r="DI1397" s="24"/>
      <c r="DJ1397" s="24"/>
      <c r="DK1397" s="24"/>
      <c r="DL1397" s="24"/>
      <c r="DM1397" s="24"/>
      <c r="DN1397" s="24"/>
      <c r="DO1397" s="24"/>
      <c r="DP1397" s="24"/>
      <c r="DQ1397" s="24"/>
      <c r="DR1397" s="24"/>
      <c r="DS1397" s="24"/>
      <c r="DT1397" s="24"/>
      <c r="DU1397" s="24"/>
    </row>
    <row r="1398" spans="1:125" s="8" customFormat="1" ht="36" x14ac:dyDescent="0.2">
      <c r="A1398" s="226">
        <v>41370</v>
      </c>
      <c r="B1398" s="225" t="s">
        <v>2772</v>
      </c>
      <c r="C1398" s="227" t="s">
        <v>1028</v>
      </c>
      <c r="D1398" s="81" t="s">
        <v>2846</v>
      </c>
      <c r="E1398" s="75" t="str">
        <f>VLOOKUP(B1398&amp;C1398,Divipola!$C$2:$F$1138,4,FALSE)</f>
        <v>25151</v>
      </c>
      <c r="F1398" s="87"/>
      <c r="G1398" s="87"/>
      <c r="H1398" s="87"/>
      <c r="I1398" s="87"/>
      <c r="J1398" s="87"/>
      <c r="K1398" s="87"/>
      <c r="L1398" s="87"/>
      <c r="M1398" s="87"/>
      <c r="N1398" s="87"/>
      <c r="O1398" s="87"/>
      <c r="P1398" s="87"/>
      <c r="Q1398" s="87"/>
      <c r="R1398" s="87"/>
      <c r="S1398" s="87"/>
      <c r="T1398" s="87"/>
      <c r="U1398" s="88"/>
      <c r="V1398" s="89"/>
      <c r="W1398" s="96">
        <v>0</v>
      </c>
      <c r="X1398" s="71">
        <f>CU1398</f>
        <v>0</v>
      </c>
      <c r="Y1398" s="71">
        <f>CY1398</f>
        <v>0</v>
      </c>
      <c r="Z1398" s="71">
        <f>DA1398+DC1398+DE1398</f>
        <v>0</v>
      </c>
      <c r="AA1398" s="71">
        <f>CW1398</f>
        <v>0</v>
      </c>
      <c r="AB1398" s="71"/>
      <c r="AC1398" s="71">
        <v>0</v>
      </c>
      <c r="AD1398" s="71">
        <f>W1398+X1398+Y1398+Z1398+AA1398+AB1398+AC1398</f>
        <v>0</v>
      </c>
      <c r="AE1398" s="72">
        <v>0</v>
      </c>
      <c r="AF1398" s="5"/>
      <c r="AG1398" s="6"/>
      <c r="AH1398" s="27" t="s">
        <v>3392</v>
      </c>
      <c r="AI1398" s="44" t="s">
        <v>3393</v>
      </c>
      <c r="AJ1398" s="26"/>
      <c r="AK1398" s="5"/>
      <c r="AL1398" s="82" t="s">
        <v>4202</v>
      </c>
      <c r="AM1398" s="76"/>
      <c r="AN1398" s="76"/>
      <c r="AO1398" s="76"/>
      <c r="AP1398" s="76"/>
      <c r="AQ1398" s="76"/>
      <c r="AR1398" s="76"/>
      <c r="AS1398" s="76"/>
      <c r="AT1398" s="76"/>
      <c r="AU1398" s="76"/>
      <c r="AV1398" s="76"/>
      <c r="AW1398" s="76"/>
      <c r="AX1398" s="76">
        <f>+AW1398*600000</f>
        <v>0</v>
      </c>
      <c r="AY1398" s="76"/>
      <c r="AZ1398" s="76">
        <f>+AY1398*70000</f>
        <v>0</v>
      </c>
      <c r="BA1398" s="76"/>
      <c r="BB1398" s="76"/>
      <c r="BC1398" s="76"/>
      <c r="BD1398" s="76">
        <f>+BC1398*30000</f>
        <v>0</v>
      </c>
      <c r="BE1398" s="76"/>
      <c r="BF1398" s="76"/>
      <c r="BG1398" s="76"/>
      <c r="BH1398" s="76"/>
      <c r="BI1398" s="76"/>
      <c r="BJ1398" s="76"/>
      <c r="BK1398" s="76"/>
      <c r="BL1398" s="76">
        <f>+BK1398*31500</f>
        <v>0</v>
      </c>
      <c r="BM1398" s="76"/>
      <c r="BN1398" s="76"/>
      <c r="BO1398" s="76"/>
      <c r="BP1398" s="76"/>
      <c r="BQ1398" s="76"/>
      <c r="BR1398" s="76"/>
      <c r="BS1398" s="76"/>
      <c r="BT1398" s="76"/>
      <c r="BU1398" s="76"/>
      <c r="BV1398" s="76"/>
      <c r="BW1398" s="76"/>
      <c r="BX1398" s="76"/>
      <c r="BY1398" s="76"/>
      <c r="BZ1398" s="76"/>
      <c r="CA1398" s="76"/>
      <c r="CB1398" s="76"/>
      <c r="CC1398" s="76"/>
      <c r="CD1398" s="76"/>
      <c r="CE1398" s="76"/>
      <c r="CF1398" s="76">
        <f>+CE1398*28000</f>
        <v>0</v>
      </c>
      <c r="CG1398" s="76"/>
      <c r="CH1398" s="76">
        <f>+CG1398*22500</f>
        <v>0</v>
      </c>
      <c r="CI1398" s="76"/>
      <c r="CJ1398" s="76">
        <f>+CI1398*26000</f>
        <v>0</v>
      </c>
      <c r="CK1398" s="76"/>
      <c r="CL1398" s="76"/>
      <c r="CM1398" s="76"/>
      <c r="CN1398" s="76">
        <f>+CM1398*22000</f>
        <v>0</v>
      </c>
      <c r="CO1398" s="76"/>
      <c r="CP1398" s="76">
        <f>+CO1398*46000</f>
        <v>0</v>
      </c>
      <c r="CQ1398" s="76"/>
      <c r="CR1398" s="76">
        <f>+CQ1398*49000</f>
        <v>0</v>
      </c>
      <c r="CS1398" s="76"/>
      <c r="CT1398" s="76"/>
      <c r="CU1398" s="56">
        <f>AN1398+AP1398+AR1398+AT1398+AV1398+AX1398+AZ1398+BB1398+BD1398+BF1398+BH1398+BJ1398+BL1398+BN1398+BP1398+BR1398+BT1398+BV1398+BX1398+BZ1398+CB1398+CD1398+CF1398+CH1398+CJ1398+CL1398+CN1398+CP1398+CR1398+CT1398</f>
        <v>0</v>
      </c>
      <c r="CV1398" s="76"/>
      <c r="CW1398" s="76">
        <f>+CV1398*1100</f>
        <v>0</v>
      </c>
      <c r="CX1398" s="76"/>
      <c r="CY1398" s="76">
        <f>+CX1398*106250</f>
        <v>0</v>
      </c>
      <c r="CZ1398" s="76"/>
      <c r="DA1398" s="76">
        <f>+CZ1398*34500</f>
        <v>0</v>
      </c>
      <c r="DB1398" s="76"/>
      <c r="DC1398" s="76">
        <f>+DB1398*25000</f>
        <v>0</v>
      </c>
      <c r="DD1398" s="219"/>
      <c r="DE1398" s="219"/>
      <c r="DF1398" s="166"/>
      <c r="DG1398" s="116"/>
      <c r="DH1398" s="117"/>
      <c r="DI1398" s="24"/>
      <c r="DJ1398" s="24"/>
      <c r="DK1398" s="24"/>
      <c r="DL1398" s="24"/>
      <c r="DM1398" s="24"/>
      <c r="DN1398" s="24"/>
      <c r="DO1398" s="24"/>
      <c r="DP1398" s="24"/>
      <c r="DQ1398" s="24"/>
      <c r="DR1398" s="24"/>
      <c r="DS1398" s="24"/>
      <c r="DT1398" s="24"/>
      <c r="DU1398" s="24"/>
    </row>
    <row r="1399" spans="1:125" s="8" customFormat="1" ht="72" x14ac:dyDescent="0.2">
      <c r="A1399" s="77">
        <v>41370</v>
      </c>
      <c r="B1399" s="78" t="s">
        <v>2772</v>
      </c>
      <c r="C1399" s="83" t="s">
        <v>1028</v>
      </c>
      <c r="D1399" s="81" t="s">
        <v>2846</v>
      </c>
      <c r="E1399" s="75" t="str">
        <f>VLOOKUP(B1399&amp;C1399,Divipola!$C$2:$F$1138,4,FALSE)</f>
        <v>25151</v>
      </c>
      <c r="F1399" s="93"/>
      <c r="G1399" s="93"/>
      <c r="H1399" s="93"/>
      <c r="I1399" s="93"/>
      <c r="J1399" s="93"/>
      <c r="K1399" s="93"/>
      <c r="L1399" s="93"/>
      <c r="M1399" s="93"/>
      <c r="N1399" s="93"/>
      <c r="O1399" s="93"/>
      <c r="P1399" s="93"/>
      <c r="Q1399" s="93"/>
      <c r="R1399" s="93"/>
      <c r="S1399" s="93"/>
      <c r="T1399" s="93"/>
      <c r="U1399" s="93">
        <v>1</v>
      </c>
      <c r="V1399" s="89"/>
      <c r="W1399" s="96">
        <v>0</v>
      </c>
      <c r="X1399" s="71">
        <f>CU1399</f>
        <v>0</v>
      </c>
      <c r="Y1399" s="71">
        <f>CY1399</f>
        <v>0</v>
      </c>
      <c r="Z1399" s="71">
        <f>DA1399+DC1399+DE1399</f>
        <v>0</v>
      </c>
      <c r="AA1399" s="71">
        <f>CW1399</f>
        <v>0</v>
      </c>
      <c r="AB1399" s="71"/>
      <c r="AC1399" s="71">
        <v>0</v>
      </c>
      <c r="AD1399" s="71">
        <f>W1399+X1399+Y1399+Z1399+AA1399+AB1399+AC1399</f>
        <v>0</v>
      </c>
      <c r="AE1399" s="72">
        <v>0</v>
      </c>
      <c r="AF1399" s="5"/>
      <c r="AG1399" s="6"/>
      <c r="AH1399" s="27" t="s">
        <v>3392</v>
      </c>
      <c r="AI1399" s="44" t="s">
        <v>3393</v>
      </c>
      <c r="AJ1399" s="26"/>
      <c r="AK1399" s="5"/>
      <c r="AL1399" s="82" t="s">
        <v>4231</v>
      </c>
      <c r="AM1399" s="76"/>
      <c r="AN1399" s="76"/>
      <c r="AO1399" s="76"/>
      <c r="AP1399" s="76"/>
      <c r="AQ1399" s="76"/>
      <c r="AR1399" s="76"/>
      <c r="AS1399" s="76"/>
      <c r="AT1399" s="76"/>
      <c r="AU1399" s="76"/>
      <c r="AV1399" s="76"/>
      <c r="AW1399" s="76"/>
      <c r="AX1399" s="76">
        <f>+AW1399*600000</f>
        <v>0</v>
      </c>
      <c r="AY1399" s="76"/>
      <c r="AZ1399" s="76">
        <f>+AY1399*70000</f>
        <v>0</v>
      </c>
      <c r="BA1399" s="76"/>
      <c r="BB1399" s="76"/>
      <c r="BC1399" s="76"/>
      <c r="BD1399" s="76">
        <f>+BC1399*30000</f>
        <v>0</v>
      </c>
      <c r="BE1399" s="76"/>
      <c r="BF1399" s="76"/>
      <c r="BG1399" s="76"/>
      <c r="BH1399" s="76"/>
      <c r="BI1399" s="76"/>
      <c r="BJ1399" s="76"/>
      <c r="BK1399" s="76"/>
      <c r="BL1399" s="76">
        <f>+BK1399*31500</f>
        <v>0</v>
      </c>
      <c r="BM1399" s="76"/>
      <c r="BN1399" s="76"/>
      <c r="BO1399" s="76"/>
      <c r="BP1399" s="76"/>
      <c r="BQ1399" s="76"/>
      <c r="BR1399" s="76"/>
      <c r="BS1399" s="76"/>
      <c r="BT1399" s="76"/>
      <c r="BU1399" s="76"/>
      <c r="BV1399" s="76"/>
      <c r="BW1399" s="76"/>
      <c r="BX1399" s="76"/>
      <c r="BY1399" s="76"/>
      <c r="BZ1399" s="76"/>
      <c r="CA1399" s="76"/>
      <c r="CB1399" s="76"/>
      <c r="CC1399" s="76"/>
      <c r="CD1399" s="76"/>
      <c r="CE1399" s="76"/>
      <c r="CF1399" s="76">
        <f>+CE1399*28000</f>
        <v>0</v>
      </c>
      <c r="CG1399" s="76"/>
      <c r="CH1399" s="76">
        <f>+CG1399*22500</f>
        <v>0</v>
      </c>
      <c r="CI1399" s="76"/>
      <c r="CJ1399" s="76">
        <f>+CI1399*26000</f>
        <v>0</v>
      </c>
      <c r="CK1399" s="76"/>
      <c r="CL1399" s="76"/>
      <c r="CM1399" s="76"/>
      <c r="CN1399" s="76">
        <f>+CM1399*22000</f>
        <v>0</v>
      </c>
      <c r="CO1399" s="76"/>
      <c r="CP1399" s="76">
        <f>+CO1399*46000</f>
        <v>0</v>
      </c>
      <c r="CQ1399" s="76"/>
      <c r="CR1399" s="76">
        <f>+CQ1399*49000</f>
        <v>0</v>
      </c>
      <c r="CS1399" s="76"/>
      <c r="CT1399" s="76"/>
      <c r="CU1399" s="56">
        <f>AN1399+AP1399+AR1399+AT1399+AV1399+AX1399+AZ1399+BB1399+BD1399+BF1399+BH1399+BJ1399+BL1399+BN1399+BP1399+BR1399+BT1399+BV1399+BX1399+BZ1399+CB1399+CD1399+CF1399+CH1399+CJ1399+CL1399+CN1399+CP1399+CR1399+CT1399</f>
        <v>0</v>
      </c>
      <c r="CV1399" s="76"/>
      <c r="CW1399" s="76">
        <f>+CV1399*1100</f>
        <v>0</v>
      </c>
      <c r="CX1399" s="76"/>
      <c r="CY1399" s="76">
        <f>+CX1399*106250</f>
        <v>0</v>
      </c>
      <c r="CZ1399" s="76"/>
      <c r="DA1399" s="76">
        <f>+CZ1399*34500</f>
        <v>0</v>
      </c>
      <c r="DB1399" s="76"/>
      <c r="DC1399" s="76">
        <f>+DB1399*25000</f>
        <v>0</v>
      </c>
      <c r="DD1399" s="219"/>
      <c r="DE1399" s="219"/>
      <c r="DF1399" s="166"/>
      <c r="DG1399" s="116"/>
      <c r="DH1399" s="117"/>
      <c r="DI1399" s="24"/>
      <c r="DJ1399" s="24"/>
      <c r="DK1399" s="24"/>
      <c r="DL1399" s="24"/>
      <c r="DM1399" s="24"/>
      <c r="DN1399" s="24"/>
      <c r="DO1399" s="24"/>
      <c r="DP1399" s="24"/>
      <c r="DQ1399" s="24"/>
      <c r="DR1399" s="24"/>
      <c r="DS1399" s="24"/>
      <c r="DT1399" s="24"/>
      <c r="DU1399" s="24"/>
    </row>
    <row r="1400" spans="1:125" s="8" customFormat="1" ht="24" x14ac:dyDescent="0.2">
      <c r="A1400" s="226">
        <v>41370</v>
      </c>
      <c r="B1400" s="352" t="s">
        <v>2906</v>
      </c>
      <c r="C1400" s="354" t="s">
        <v>2739</v>
      </c>
      <c r="D1400" s="81" t="s">
        <v>2846</v>
      </c>
      <c r="E1400" s="75" t="str">
        <f>VLOOKUP(B1400&amp;C1400,Divipola!$C$2:$F$1138,4,FALSE)</f>
        <v>47001</v>
      </c>
      <c r="F1400" s="87"/>
      <c r="G1400" s="87"/>
      <c r="H1400" s="87"/>
      <c r="I1400" s="87"/>
      <c r="J1400" s="87"/>
      <c r="K1400" s="87"/>
      <c r="L1400" s="87"/>
      <c r="M1400" s="87"/>
      <c r="N1400" s="87"/>
      <c r="O1400" s="87"/>
      <c r="P1400" s="87"/>
      <c r="Q1400" s="87"/>
      <c r="R1400" s="87"/>
      <c r="S1400" s="87"/>
      <c r="T1400" s="87"/>
      <c r="U1400" s="88">
        <v>2</v>
      </c>
      <c r="V1400" s="89"/>
      <c r="W1400" s="96">
        <v>0</v>
      </c>
      <c r="X1400" s="71">
        <f>CU1400</f>
        <v>0</v>
      </c>
      <c r="Y1400" s="71">
        <f>CY1400</f>
        <v>0</v>
      </c>
      <c r="Z1400" s="71">
        <f>DA1400+DC1400+DE1400</f>
        <v>0</v>
      </c>
      <c r="AA1400" s="71">
        <f>CW1400</f>
        <v>0</v>
      </c>
      <c r="AB1400" s="71"/>
      <c r="AC1400" s="71">
        <v>0</v>
      </c>
      <c r="AD1400" s="71">
        <f>W1400+X1400+Y1400+Z1400+AA1400+AB1400+AC1400</f>
        <v>0</v>
      </c>
      <c r="AE1400" s="72">
        <v>0</v>
      </c>
      <c r="AF1400" s="5"/>
      <c r="AG1400" s="6"/>
      <c r="AH1400" s="27" t="s">
        <v>3392</v>
      </c>
      <c r="AI1400" s="44" t="s">
        <v>3393</v>
      </c>
      <c r="AJ1400" s="26"/>
      <c r="AK1400" s="5"/>
      <c r="AL1400" s="82" t="s">
        <v>4206</v>
      </c>
      <c r="AM1400" s="76"/>
      <c r="AN1400" s="76"/>
      <c r="AO1400" s="76"/>
      <c r="AP1400" s="76"/>
      <c r="AQ1400" s="76"/>
      <c r="AR1400" s="76"/>
      <c r="AS1400" s="76"/>
      <c r="AT1400" s="76"/>
      <c r="AU1400" s="76"/>
      <c r="AV1400" s="76"/>
      <c r="AW1400" s="76"/>
      <c r="AX1400" s="76">
        <f>+AW1400*600000</f>
        <v>0</v>
      </c>
      <c r="AY1400" s="76"/>
      <c r="AZ1400" s="76">
        <f>+AY1400*70000</f>
        <v>0</v>
      </c>
      <c r="BA1400" s="76"/>
      <c r="BB1400" s="76"/>
      <c r="BC1400" s="76"/>
      <c r="BD1400" s="76">
        <f>+BC1400*30000</f>
        <v>0</v>
      </c>
      <c r="BE1400" s="76"/>
      <c r="BF1400" s="76"/>
      <c r="BG1400" s="76"/>
      <c r="BH1400" s="76"/>
      <c r="BI1400" s="76"/>
      <c r="BJ1400" s="76"/>
      <c r="BK1400" s="76"/>
      <c r="BL1400" s="76">
        <f>+BK1400*31500</f>
        <v>0</v>
      </c>
      <c r="BM1400" s="76"/>
      <c r="BN1400" s="76"/>
      <c r="BO1400" s="76"/>
      <c r="BP1400" s="76"/>
      <c r="BQ1400" s="76"/>
      <c r="BR1400" s="76"/>
      <c r="BS1400" s="76"/>
      <c r="BT1400" s="76"/>
      <c r="BU1400" s="76"/>
      <c r="BV1400" s="76"/>
      <c r="BW1400" s="76"/>
      <c r="BX1400" s="76"/>
      <c r="BY1400" s="76"/>
      <c r="BZ1400" s="76"/>
      <c r="CA1400" s="76"/>
      <c r="CB1400" s="76"/>
      <c r="CC1400" s="76"/>
      <c r="CD1400" s="76"/>
      <c r="CE1400" s="76"/>
      <c r="CF1400" s="76">
        <f>+CE1400*28000</f>
        <v>0</v>
      </c>
      <c r="CG1400" s="76"/>
      <c r="CH1400" s="76">
        <f>+CG1400*22500</f>
        <v>0</v>
      </c>
      <c r="CI1400" s="76"/>
      <c r="CJ1400" s="76">
        <f>+CI1400*26000</f>
        <v>0</v>
      </c>
      <c r="CK1400" s="76"/>
      <c r="CL1400" s="76"/>
      <c r="CM1400" s="76"/>
      <c r="CN1400" s="76">
        <f>+CM1400*22000</f>
        <v>0</v>
      </c>
      <c r="CO1400" s="76"/>
      <c r="CP1400" s="76">
        <f>+CO1400*46000</f>
        <v>0</v>
      </c>
      <c r="CQ1400" s="76"/>
      <c r="CR1400" s="76">
        <f>+CQ1400*49000</f>
        <v>0</v>
      </c>
      <c r="CS1400" s="76"/>
      <c r="CT1400" s="76"/>
      <c r="CU1400" s="56">
        <f>AN1400+AP1400+AR1400+AT1400+AV1400+AX1400+AZ1400+BB1400+BD1400+BF1400+BH1400+BJ1400+BL1400+BN1400+BP1400+BR1400+BT1400+BV1400+BX1400+BZ1400+CB1400+CD1400+CF1400+CH1400+CJ1400+CL1400+CN1400+CP1400+CR1400+CT1400</f>
        <v>0</v>
      </c>
      <c r="CV1400" s="76"/>
      <c r="CW1400" s="76">
        <f>+CV1400*1100</f>
        <v>0</v>
      </c>
      <c r="CX1400" s="76"/>
      <c r="CY1400" s="76">
        <f>+CX1400*106250</f>
        <v>0</v>
      </c>
      <c r="CZ1400" s="76"/>
      <c r="DA1400" s="76">
        <f>+CZ1400*34500</f>
        <v>0</v>
      </c>
      <c r="DB1400" s="76"/>
      <c r="DC1400" s="76">
        <f>+DB1400*25000</f>
        <v>0</v>
      </c>
      <c r="DD1400" s="219"/>
      <c r="DE1400" s="219"/>
      <c r="DF1400" s="166"/>
      <c r="DG1400" s="116"/>
      <c r="DH1400" s="117"/>
      <c r="DI1400" s="24"/>
      <c r="DJ1400" s="24"/>
      <c r="DK1400" s="24"/>
      <c r="DL1400" s="24"/>
      <c r="DM1400" s="24"/>
      <c r="DN1400" s="24"/>
      <c r="DO1400" s="24"/>
      <c r="DP1400" s="24"/>
      <c r="DQ1400" s="24"/>
      <c r="DR1400" s="24"/>
      <c r="DS1400" s="24"/>
      <c r="DT1400" s="24"/>
      <c r="DU1400" s="24"/>
    </row>
    <row r="1401" spans="1:125" s="8" customFormat="1" ht="36" x14ac:dyDescent="0.2">
      <c r="A1401" s="226">
        <v>41370</v>
      </c>
      <c r="B1401" s="225" t="s">
        <v>2847</v>
      </c>
      <c r="C1401" s="227" t="s">
        <v>479</v>
      </c>
      <c r="D1401" s="81" t="s">
        <v>2846</v>
      </c>
      <c r="E1401" s="75" t="str">
        <f>VLOOKUP(B1401&amp;C1401,Divipola!$C$2:$F$1138,4,FALSE)</f>
        <v>68547</v>
      </c>
      <c r="F1401" s="87"/>
      <c r="G1401" s="87"/>
      <c r="H1401" s="87"/>
      <c r="I1401" s="87"/>
      <c r="J1401" s="87"/>
      <c r="K1401" s="87"/>
      <c r="L1401" s="87"/>
      <c r="M1401" s="87"/>
      <c r="N1401" s="87"/>
      <c r="O1401" s="87"/>
      <c r="P1401" s="87"/>
      <c r="Q1401" s="87"/>
      <c r="R1401" s="87"/>
      <c r="S1401" s="87"/>
      <c r="T1401" s="87"/>
      <c r="U1401" s="88">
        <v>8</v>
      </c>
      <c r="V1401" s="89"/>
      <c r="W1401" s="96">
        <v>0</v>
      </c>
      <c r="X1401" s="71">
        <f>CU1401</f>
        <v>0</v>
      </c>
      <c r="Y1401" s="71">
        <f>CY1401</f>
        <v>0</v>
      </c>
      <c r="Z1401" s="71">
        <f>DA1401+DC1401+DE1401</f>
        <v>0</v>
      </c>
      <c r="AA1401" s="71">
        <f>CW1401</f>
        <v>0</v>
      </c>
      <c r="AB1401" s="71"/>
      <c r="AC1401" s="71">
        <v>0</v>
      </c>
      <c r="AD1401" s="71">
        <f>W1401+X1401+Y1401+Z1401+AA1401+AB1401+AC1401</f>
        <v>0</v>
      </c>
      <c r="AE1401" s="72">
        <v>0</v>
      </c>
      <c r="AF1401" s="5"/>
      <c r="AG1401" s="6"/>
      <c r="AH1401" s="27" t="s">
        <v>3392</v>
      </c>
      <c r="AI1401" s="44" t="s">
        <v>3393</v>
      </c>
      <c r="AJ1401" s="26"/>
      <c r="AK1401" s="5"/>
      <c r="AL1401" s="82" t="s">
        <v>4205</v>
      </c>
      <c r="AM1401" s="76"/>
      <c r="AN1401" s="76"/>
      <c r="AO1401" s="76"/>
      <c r="AP1401" s="76"/>
      <c r="AQ1401" s="76"/>
      <c r="AR1401" s="76"/>
      <c r="AS1401" s="76"/>
      <c r="AT1401" s="76"/>
      <c r="AU1401" s="76"/>
      <c r="AV1401" s="76"/>
      <c r="AW1401" s="76"/>
      <c r="AX1401" s="76">
        <f>+AW1401*600000</f>
        <v>0</v>
      </c>
      <c r="AY1401" s="76"/>
      <c r="AZ1401" s="76">
        <f>+AY1401*70000</f>
        <v>0</v>
      </c>
      <c r="BA1401" s="76"/>
      <c r="BB1401" s="76"/>
      <c r="BC1401" s="76"/>
      <c r="BD1401" s="76">
        <f>+BC1401*30000</f>
        <v>0</v>
      </c>
      <c r="BE1401" s="76"/>
      <c r="BF1401" s="76"/>
      <c r="BG1401" s="76"/>
      <c r="BH1401" s="76"/>
      <c r="BI1401" s="76"/>
      <c r="BJ1401" s="76"/>
      <c r="BK1401" s="76"/>
      <c r="BL1401" s="76">
        <f>+BK1401*31500</f>
        <v>0</v>
      </c>
      <c r="BM1401" s="76"/>
      <c r="BN1401" s="76"/>
      <c r="BO1401" s="76"/>
      <c r="BP1401" s="76"/>
      <c r="BQ1401" s="76"/>
      <c r="BR1401" s="76"/>
      <c r="BS1401" s="76"/>
      <c r="BT1401" s="76"/>
      <c r="BU1401" s="76"/>
      <c r="BV1401" s="76"/>
      <c r="BW1401" s="76"/>
      <c r="BX1401" s="76"/>
      <c r="BY1401" s="76"/>
      <c r="BZ1401" s="76"/>
      <c r="CA1401" s="76"/>
      <c r="CB1401" s="76"/>
      <c r="CC1401" s="76"/>
      <c r="CD1401" s="76"/>
      <c r="CE1401" s="76"/>
      <c r="CF1401" s="76">
        <f>+CE1401*28000</f>
        <v>0</v>
      </c>
      <c r="CG1401" s="76"/>
      <c r="CH1401" s="76">
        <f>+CG1401*22500</f>
        <v>0</v>
      </c>
      <c r="CI1401" s="76"/>
      <c r="CJ1401" s="76">
        <f>+CI1401*26000</f>
        <v>0</v>
      </c>
      <c r="CK1401" s="76"/>
      <c r="CL1401" s="76"/>
      <c r="CM1401" s="76"/>
      <c r="CN1401" s="76">
        <f>+CM1401*22000</f>
        <v>0</v>
      </c>
      <c r="CO1401" s="76"/>
      <c r="CP1401" s="76">
        <f>+CO1401*46000</f>
        <v>0</v>
      </c>
      <c r="CQ1401" s="76"/>
      <c r="CR1401" s="76">
        <f>+CQ1401*49000</f>
        <v>0</v>
      </c>
      <c r="CS1401" s="76"/>
      <c r="CT1401" s="76"/>
      <c r="CU1401" s="56">
        <f>AN1401+AP1401+AR1401+AT1401+AV1401+AX1401+AZ1401+BB1401+BD1401+BF1401+BH1401+BJ1401+BL1401+BN1401+BP1401+BR1401+BT1401+BV1401+BX1401+BZ1401+CB1401+CD1401+CF1401+CH1401+CJ1401+CL1401+CN1401+CP1401+CR1401+CT1401</f>
        <v>0</v>
      </c>
      <c r="CV1401" s="76"/>
      <c r="CW1401" s="76">
        <f>+CV1401*1100</f>
        <v>0</v>
      </c>
      <c r="CX1401" s="76"/>
      <c r="CY1401" s="76">
        <f>+CX1401*106250</f>
        <v>0</v>
      </c>
      <c r="CZ1401" s="76"/>
      <c r="DA1401" s="76">
        <f>+CZ1401*34500</f>
        <v>0</v>
      </c>
      <c r="DB1401" s="76"/>
      <c r="DC1401" s="76">
        <f>+DB1401*25000</f>
        <v>0</v>
      </c>
      <c r="DD1401" s="219"/>
      <c r="DE1401" s="219"/>
      <c r="DF1401" s="166"/>
      <c r="DG1401" s="116"/>
      <c r="DH1401" s="117"/>
      <c r="DI1401" s="151"/>
      <c r="DJ1401" s="151"/>
      <c r="DK1401" s="151"/>
      <c r="DL1401" s="151"/>
      <c r="DM1401" s="151"/>
      <c r="DN1401" s="151"/>
      <c r="DO1401" s="151"/>
      <c r="DP1401" s="151"/>
      <c r="DQ1401" s="151"/>
      <c r="DR1401" s="151"/>
      <c r="DS1401" s="151"/>
      <c r="DT1401" s="151"/>
      <c r="DU1401" s="151"/>
    </row>
    <row r="1402" spans="1:125" s="8" customFormat="1" ht="48" x14ac:dyDescent="0.2">
      <c r="A1402" s="77">
        <v>41370</v>
      </c>
      <c r="B1402" s="78" t="s">
        <v>2848</v>
      </c>
      <c r="C1402" s="75" t="s">
        <v>1258</v>
      </c>
      <c r="D1402" s="75" t="s">
        <v>3051</v>
      </c>
      <c r="E1402" s="75" t="str">
        <f>VLOOKUP(B1402&amp;C1402,Divipola!$C$2:$F$1138,4,FALSE)</f>
        <v>73870</v>
      </c>
      <c r="F1402" s="87"/>
      <c r="G1402" s="87"/>
      <c r="H1402" s="87"/>
      <c r="I1402" s="87">
        <v>150</v>
      </c>
      <c r="J1402" s="87">
        <v>30</v>
      </c>
      <c r="K1402" s="87"/>
      <c r="L1402" s="87">
        <v>30</v>
      </c>
      <c r="M1402" s="87"/>
      <c r="N1402" s="87"/>
      <c r="O1402" s="87"/>
      <c r="P1402" s="87"/>
      <c r="Q1402" s="87"/>
      <c r="R1402" s="87"/>
      <c r="S1402" s="87"/>
      <c r="T1402" s="87"/>
      <c r="U1402" s="88"/>
      <c r="V1402" s="89"/>
      <c r="W1402" s="96">
        <v>0</v>
      </c>
      <c r="X1402" s="71">
        <f>CU1402</f>
        <v>0</v>
      </c>
      <c r="Y1402" s="71">
        <f>CY1402</f>
        <v>0</v>
      </c>
      <c r="Z1402" s="71">
        <f>DA1402+DC1402+DE1402</f>
        <v>0</v>
      </c>
      <c r="AA1402" s="71">
        <f>CW1402</f>
        <v>0</v>
      </c>
      <c r="AB1402" s="71"/>
      <c r="AC1402" s="71">
        <v>0</v>
      </c>
      <c r="AD1402" s="71">
        <f>W1402+X1402+Y1402+Z1402+AA1402+AB1402+AC1402</f>
        <v>0</v>
      </c>
      <c r="AE1402" s="72">
        <v>0</v>
      </c>
      <c r="AF1402" s="5"/>
      <c r="AG1402" s="6"/>
      <c r="AH1402" s="27" t="s">
        <v>3392</v>
      </c>
      <c r="AI1402" s="44" t="s">
        <v>3393</v>
      </c>
      <c r="AJ1402" s="26"/>
      <c r="AK1402" s="5"/>
      <c r="AL1402" s="82" t="s">
        <v>4203</v>
      </c>
      <c r="AM1402" s="76"/>
      <c r="AN1402" s="76"/>
      <c r="AO1402" s="76"/>
      <c r="AP1402" s="76"/>
      <c r="AQ1402" s="76"/>
      <c r="AR1402" s="76"/>
      <c r="AS1402" s="76"/>
      <c r="AT1402" s="76"/>
      <c r="AU1402" s="76"/>
      <c r="AV1402" s="76"/>
      <c r="AW1402" s="76"/>
      <c r="AX1402" s="76">
        <f>+AW1402*600000</f>
        <v>0</v>
      </c>
      <c r="AY1402" s="76"/>
      <c r="AZ1402" s="76">
        <f>+AY1402*70000</f>
        <v>0</v>
      </c>
      <c r="BA1402" s="76"/>
      <c r="BB1402" s="76"/>
      <c r="BC1402" s="76"/>
      <c r="BD1402" s="76">
        <f>+BC1402*30000</f>
        <v>0</v>
      </c>
      <c r="BE1402" s="76"/>
      <c r="BF1402" s="76"/>
      <c r="BG1402" s="76"/>
      <c r="BH1402" s="76"/>
      <c r="BI1402" s="76"/>
      <c r="BJ1402" s="76"/>
      <c r="BK1402" s="76"/>
      <c r="BL1402" s="76">
        <f>+BK1402*31500</f>
        <v>0</v>
      </c>
      <c r="BM1402" s="76"/>
      <c r="BN1402" s="76"/>
      <c r="BO1402" s="76"/>
      <c r="BP1402" s="76"/>
      <c r="BQ1402" s="76"/>
      <c r="BR1402" s="76"/>
      <c r="BS1402" s="76"/>
      <c r="BT1402" s="76"/>
      <c r="BU1402" s="76"/>
      <c r="BV1402" s="76"/>
      <c r="BW1402" s="76"/>
      <c r="BX1402" s="76"/>
      <c r="BY1402" s="76"/>
      <c r="BZ1402" s="76"/>
      <c r="CA1402" s="76"/>
      <c r="CB1402" s="76"/>
      <c r="CC1402" s="76"/>
      <c r="CD1402" s="76"/>
      <c r="CE1402" s="76"/>
      <c r="CF1402" s="76">
        <f>+CE1402*28000</f>
        <v>0</v>
      </c>
      <c r="CG1402" s="76"/>
      <c r="CH1402" s="76">
        <f>+CG1402*22500</f>
        <v>0</v>
      </c>
      <c r="CI1402" s="76"/>
      <c r="CJ1402" s="76">
        <f>+CI1402*26000</f>
        <v>0</v>
      </c>
      <c r="CK1402" s="76"/>
      <c r="CL1402" s="76"/>
      <c r="CM1402" s="76"/>
      <c r="CN1402" s="76">
        <f>+CM1402*22000</f>
        <v>0</v>
      </c>
      <c r="CO1402" s="76"/>
      <c r="CP1402" s="76">
        <f>+CO1402*46000</f>
        <v>0</v>
      </c>
      <c r="CQ1402" s="76"/>
      <c r="CR1402" s="76">
        <f>+CQ1402*49000</f>
        <v>0</v>
      </c>
      <c r="CS1402" s="76"/>
      <c r="CT1402" s="76"/>
      <c r="CU1402" s="56">
        <f>AN1402+AP1402+AR1402+AT1402+AV1402+AX1402+AZ1402+BB1402+BD1402+BF1402+BH1402+BJ1402+BL1402+BN1402+BP1402+BR1402+BT1402+BV1402+BX1402+BZ1402+CB1402+CD1402+CF1402+CH1402+CJ1402+CL1402+CN1402+CP1402+CR1402+CT1402</f>
        <v>0</v>
      </c>
      <c r="CV1402" s="76"/>
      <c r="CW1402" s="76">
        <f>+CV1402*1100</f>
        <v>0</v>
      </c>
      <c r="CX1402" s="76"/>
      <c r="CY1402" s="76">
        <f>+CX1402*106250</f>
        <v>0</v>
      </c>
      <c r="CZ1402" s="76"/>
      <c r="DA1402" s="76">
        <f>+CZ1402*34500</f>
        <v>0</v>
      </c>
      <c r="DB1402" s="76"/>
      <c r="DC1402" s="76">
        <f>+DB1402*25000</f>
        <v>0</v>
      </c>
      <c r="DD1402" s="219"/>
      <c r="DE1402" s="219"/>
      <c r="DF1402" s="166"/>
      <c r="DG1402" s="116"/>
      <c r="DH1402" s="117"/>
      <c r="DI1402" s="24"/>
      <c r="DJ1402" s="24"/>
      <c r="DK1402" s="24"/>
      <c r="DL1402" s="24"/>
      <c r="DM1402" s="24"/>
      <c r="DN1402" s="24"/>
      <c r="DO1402" s="24"/>
      <c r="DP1402" s="24"/>
      <c r="DQ1402" s="24"/>
      <c r="DR1402" s="24"/>
      <c r="DS1402" s="24"/>
      <c r="DT1402" s="24"/>
      <c r="DU1402" s="24"/>
    </row>
    <row r="1403" spans="1:125" s="8" customFormat="1" ht="48" x14ac:dyDescent="0.2">
      <c r="A1403" s="226">
        <v>41371</v>
      </c>
      <c r="B1403" s="225" t="s">
        <v>2700</v>
      </c>
      <c r="C1403" s="227" t="s">
        <v>1375</v>
      </c>
      <c r="D1403" s="81" t="s">
        <v>2846</v>
      </c>
      <c r="E1403" s="75" t="str">
        <f>VLOOKUP(B1403&amp;C1403,Divipola!$C$2:$F$1138,4,FALSE)</f>
        <v>15759</v>
      </c>
      <c r="F1403" s="87"/>
      <c r="G1403" s="87"/>
      <c r="H1403" s="87"/>
      <c r="I1403" s="87"/>
      <c r="J1403" s="87"/>
      <c r="K1403" s="87"/>
      <c r="L1403" s="87"/>
      <c r="M1403" s="87"/>
      <c r="N1403" s="87"/>
      <c r="O1403" s="87"/>
      <c r="P1403" s="87"/>
      <c r="Q1403" s="87"/>
      <c r="R1403" s="87"/>
      <c r="S1403" s="87"/>
      <c r="T1403" s="87"/>
      <c r="U1403" s="88">
        <v>1</v>
      </c>
      <c r="V1403" s="89"/>
      <c r="W1403" s="96">
        <v>0</v>
      </c>
      <c r="X1403" s="71">
        <f>CU1403</f>
        <v>0</v>
      </c>
      <c r="Y1403" s="71">
        <f>CY1403</f>
        <v>0</v>
      </c>
      <c r="Z1403" s="71">
        <f>DA1403+DC1403+DE1403</f>
        <v>0</v>
      </c>
      <c r="AA1403" s="71">
        <f>CW1403</f>
        <v>0</v>
      </c>
      <c r="AB1403" s="71"/>
      <c r="AC1403" s="71">
        <v>0</v>
      </c>
      <c r="AD1403" s="71">
        <f>W1403+X1403+Y1403+Z1403+AA1403+AB1403+AC1403</f>
        <v>0</v>
      </c>
      <c r="AE1403" s="72">
        <v>0</v>
      </c>
      <c r="AF1403" s="5"/>
      <c r="AG1403" s="6"/>
      <c r="AH1403" s="27" t="s">
        <v>3392</v>
      </c>
      <c r="AI1403" s="44" t="s">
        <v>3393</v>
      </c>
      <c r="AJ1403" s="26"/>
      <c r="AK1403" s="5"/>
      <c r="AL1403" s="82" t="s">
        <v>4210</v>
      </c>
      <c r="AM1403" s="76"/>
      <c r="AN1403" s="76"/>
      <c r="AO1403" s="76"/>
      <c r="AP1403" s="76"/>
      <c r="AQ1403" s="76"/>
      <c r="AR1403" s="76"/>
      <c r="AS1403" s="76"/>
      <c r="AT1403" s="76"/>
      <c r="AU1403" s="76"/>
      <c r="AV1403" s="76"/>
      <c r="AW1403" s="76"/>
      <c r="AX1403" s="76">
        <f>+AW1403*600000</f>
        <v>0</v>
      </c>
      <c r="AY1403" s="76"/>
      <c r="AZ1403" s="76">
        <f>+AY1403*70000</f>
        <v>0</v>
      </c>
      <c r="BA1403" s="76"/>
      <c r="BB1403" s="76"/>
      <c r="BC1403" s="76"/>
      <c r="BD1403" s="76">
        <f>+BC1403*30000</f>
        <v>0</v>
      </c>
      <c r="BE1403" s="76"/>
      <c r="BF1403" s="76"/>
      <c r="BG1403" s="76"/>
      <c r="BH1403" s="76"/>
      <c r="BI1403" s="76"/>
      <c r="BJ1403" s="76"/>
      <c r="BK1403" s="76"/>
      <c r="BL1403" s="76">
        <f>+BK1403*31500</f>
        <v>0</v>
      </c>
      <c r="BM1403" s="76"/>
      <c r="BN1403" s="76"/>
      <c r="BO1403" s="76"/>
      <c r="BP1403" s="76"/>
      <c r="BQ1403" s="76"/>
      <c r="BR1403" s="76"/>
      <c r="BS1403" s="76"/>
      <c r="BT1403" s="76"/>
      <c r="BU1403" s="76"/>
      <c r="BV1403" s="76"/>
      <c r="BW1403" s="76"/>
      <c r="BX1403" s="76"/>
      <c r="BY1403" s="76"/>
      <c r="BZ1403" s="76"/>
      <c r="CA1403" s="76"/>
      <c r="CB1403" s="76"/>
      <c r="CC1403" s="76"/>
      <c r="CD1403" s="76"/>
      <c r="CE1403" s="76"/>
      <c r="CF1403" s="76">
        <f>+CE1403*28000</f>
        <v>0</v>
      </c>
      <c r="CG1403" s="76"/>
      <c r="CH1403" s="76">
        <f>+CG1403*22500</f>
        <v>0</v>
      </c>
      <c r="CI1403" s="76"/>
      <c r="CJ1403" s="76">
        <f>+CI1403*26000</f>
        <v>0</v>
      </c>
      <c r="CK1403" s="76"/>
      <c r="CL1403" s="76"/>
      <c r="CM1403" s="76"/>
      <c r="CN1403" s="76">
        <f>+CM1403*22000</f>
        <v>0</v>
      </c>
      <c r="CO1403" s="76"/>
      <c r="CP1403" s="76">
        <f>+CO1403*46000</f>
        <v>0</v>
      </c>
      <c r="CQ1403" s="76"/>
      <c r="CR1403" s="76">
        <f>+CQ1403*49000</f>
        <v>0</v>
      </c>
      <c r="CS1403" s="76"/>
      <c r="CT1403" s="76"/>
      <c r="CU1403" s="56">
        <f>AN1403+AP1403+AR1403+AT1403+AV1403+AX1403+AZ1403+BB1403+BD1403+BF1403+BH1403+BJ1403+BL1403+BN1403+BP1403+BR1403+BT1403+BV1403+BX1403+BZ1403+CB1403+CD1403+CF1403+CH1403+CJ1403+CL1403+CN1403+CP1403+CR1403+CT1403</f>
        <v>0</v>
      </c>
      <c r="CV1403" s="76"/>
      <c r="CW1403" s="76">
        <f>+CV1403*1100</f>
        <v>0</v>
      </c>
      <c r="CX1403" s="76"/>
      <c r="CY1403" s="76">
        <f>+CX1403*106250</f>
        <v>0</v>
      </c>
      <c r="CZ1403" s="76"/>
      <c r="DA1403" s="76">
        <f>+CZ1403*34500</f>
        <v>0</v>
      </c>
      <c r="DB1403" s="76"/>
      <c r="DC1403" s="76">
        <f>+DB1403*25000</f>
        <v>0</v>
      </c>
      <c r="DD1403" s="219"/>
      <c r="DE1403" s="219"/>
      <c r="DF1403" s="166"/>
      <c r="DG1403" s="116"/>
      <c r="DH1403" s="117"/>
      <c r="DI1403" s="24"/>
      <c r="DJ1403" s="24"/>
      <c r="DK1403" s="24"/>
      <c r="DL1403" s="24"/>
      <c r="DM1403" s="24"/>
      <c r="DN1403" s="24"/>
      <c r="DO1403" s="24"/>
      <c r="DP1403" s="24"/>
      <c r="DQ1403" s="24"/>
      <c r="DR1403" s="24"/>
      <c r="DS1403" s="24"/>
      <c r="DT1403" s="24"/>
      <c r="DU1403" s="24"/>
    </row>
    <row r="1404" spans="1:125" s="8" customFormat="1" ht="84" x14ac:dyDescent="0.2">
      <c r="A1404" s="226">
        <v>41371</v>
      </c>
      <c r="B1404" s="225" t="s">
        <v>2196</v>
      </c>
      <c r="C1404" s="227" t="s">
        <v>1340</v>
      </c>
      <c r="D1404" s="227" t="s">
        <v>2859</v>
      </c>
      <c r="E1404" s="75" t="str">
        <f>VLOOKUP(B1404&amp;C1404,Divipola!$C$2:$F$1138,4,FALSE)</f>
        <v>17433</v>
      </c>
      <c r="F1404" s="87"/>
      <c r="G1404" s="87"/>
      <c r="H1404" s="87"/>
      <c r="I1404" s="87"/>
      <c r="J1404" s="87"/>
      <c r="K1404" s="87"/>
      <c r="L1404" s="87"/>
      <c r="M1404" s="87"/>
      <c r="N1404" s="87"/>
      <c r="O1404" s="87"/>
      <c r="P1404" s="87"/>
      <c r="Q1404" s="87"/>
      <c r="R1404" s="87"/>
      <c r="S1404" s="87"/>
      <c r="T1404" s="87"/>
      <c r="U1404" s="88"/>
      <c r="V1404" s="89">
        <v>4</v>
      </c>
      <c r="W1404" s="96">
        <v>0</v>
      </c>
      <c r="X1404" s="71">
        <f>CU1404</f>
        <v>0</v>
      </c>
      <c r="Y1404" s="71">
        <f>CY1404</f>
        <v>0</v>
      </c>
      <c r="Z1404" s="71">
        <f>DA1404+DC1404+DE1404</f>
        <v>0</v>
      </c>
      <c r="AA1404" s="71">
        <f>CW1404</f>
        <v>0</v>
      </c>
      <c r="AB1404" s="71"/>
      <c r="AC1404" s="71">
        <v>0</v>
      </c>
      <c r="AD1404" s="71">
        <f>W1404+X1404+Y1404+Z1404+AA1404+AB1404+AC1404</f>
        <v>0</v>
      </c>
      <c r="AE1404" s="72">
        <v>0</v>
      </c>
      <c r="AF1404" s="5"/>
      <c r="AG1404" s="6"/>
      <c r="AH1404" s="27" t="s">
        <v>3392</v>
      </c>
      <c r="AI1404" s="44" t="s">
        <v>3393</v>
      </c>
      <c r="AJ1404" s="26"/>
      <c r="AK1404" s="5"/>
      <c r="AL1404" s="82" t="s">
        <v>4209</v>
      </c>
      <c r="AM1404" s="76"/>
      <c r="AN1404" s="76"/>
      <c r="AO1404" s="76"/>
      <c r="AP1404" s="76"/>
      <c r="AQ1404" s="76"/>
      <c r="AR1404" s="76"/>
      <c r="AS1404" s="76"/>
      <c r="AT1404" s="76"/>
      <c r="AU1404" s="76"/>
      <c r="AV1404" s="76"/>
      <c r="AW1404" s="76"/>
      <c r="AX1404" s="76">
        <f>+AW1404*600000</f>
        <v>0</v>
      </c>
      <c r="AY1404" s="76"/>
      <c r="AZ1404" s="76">
        <f>+AY1404*70000</f>
        <v>0</v>
      </c>
      <c r="BA1404" s="76"/>
      <c r="BB1404" s="76"/>
      <c r="BC1404" s="76"/>
      <c r="BD1404" s="76">
        <f>+BC1404*30000</f>
        <v>0</v>
      </c>
      <c r="BE1404" s="76"/>
      <c r="BF1404" s="76"/>
      <c r="BG1404" s="76"/>
      <c r="BH1404" s="76"/>
      <c r="BI1404" s="76"/>
      <c r="BJ1404" s="76"/>
      <c r="BK1404" s="76"/>
      <c r="BL1404" s="76">
        <f>+BK1404*31500</f>
        <v>0</v>
      </c>
      <c r="BM1404" s="76"/>
      <c r="BN1404" s="76"/>
      <c r="BO1404" s="76"/>
      <c r="BP1404" s="76"/>
      <c r="BQ1404" s="76"/>
      <c r="BR1404" s="76"/>
      <c r="BS1404" s="76"/>
      <c r="BT1404" s="76"/>
      <c r="BU1404" s="76"/>
      <c r="BV1404" s="76"/>
      <c r="BW1404" s="76"/>
      <c r="BX1404" s="76"/>
      <c r="BY1404" s="76"/>
      <c r="BZ1404" s="76"/>
      <c r="CA1404" s="76"/>
      <c r="CB1404" s="76"/>
      <c r="CC1404" s="76"/>
      <c r="CD1404" s="76"/>
      <c r="CE1404" s="76"/>
      <c r="CF1404" s="76">
        <f>+CE1404*28000</f>
        <v>0</v>
      </c>
      <c r="CG1404" s="76"/>
      <c r="CH1404" s="76">
        <f>+CG1404*22500</f>
        <v>0</v>
      </c>
      <c r="CI1404" s="76"/>
      <c r="CJ1404" s="76">
        <f>+CI1404*26000</f>
        <v>0</v>
      </c>
      <c r="CK1404" s="76"/>
      <c r="CL1404" s="76"/>
      <c r="CM1404" s="76"/>
      <c r="CN1404" s="76">
        <f>+CM1404*22000</f>
        <v>0</v>
      </c>
      <c r="CO1404" s="76"/>
      <c r="CP1404" s="76">
        <f>+CO1404*46000</f>
        <v>0</v>
      </c>
      <c r="CQ1404" s="76"/>
      <c r="CR1404" s="76">
        <f>+CQ1404*49000</f>
        <v>0</v>
      </c>
      <c r="CS1404" s="76"/>
      <c r="CT1404" s="76"/>
      <c r="CU1404" s="56">
        <f>AN1404+AP1404+AR1404+AT1404+AV1404+AX1404+AZ1404+BB1404+BD1404+BF1404+BH1404+BJ1404+BL1404+BN1404+BP1404+BR1404+BT1404+BV1404+BX1404+BZ1404+CB1404+CD1404+CF1404+CH1404+CJ1404+CL1404+CN1404+CP1404+CR1404+CT1404</f>
        <v>0</v>
      </c>
      <c r="CV1404" s="76"/>
      <c r="CW1404" s="76">
        <f>+CV1404*1100</f>
        <v>0</v>
      </c>
      <c r="CX1404" s="76"/>
      <c r="CY1404" s="76">
        <f>+CX1404*106250</f>
        <v>0</v>
      </c>
      <c r="CZ1404" s="76"/>
      <c r="DA1404" s="76">
        <f>+CZ1404*34500</f>
        <v>0</v>
      </c>
      <c r="DB1404" s="76"/>
      <c r="DC1404" s="76">
        <f>+DB1404*25000</f>
        <v>0</v>
      </c>
      <c r="DD1404" s="219"/>
      <c r="DE1404" s="219"/>
      <c r="DF1404" s="166"/>
      <c r="DG1404" s="116"/>
      <c r="DH1404" s="117"/>
      <c r="DI1404" s="24"/>
      <c r="DJ1404" s="24"/>
      <c r="DK1404" s="24"/>
      <c r="DL1404" s="24"/>
      <c r="DM1404" s="24"/>
      <c r="DN1404" s="24"/>
      <c r="DO1404" s="24"/>
      <c r="DP1404" s="24"/>
      <c r="DQ1404" s="24"/>
      <c r="DR1404" s="24"/>
      <c r="DS1404" s="24"/>
      <c r="DT1404" s="24"/>
      <c r="DU1404" s="24"/>
    </row>
    <row r="1405" spans="1:125" s="8" customFormat="1" ht="72" x14ac:dyDescent="0.2">
      <c r="A1405" s="226">
        <v>41371</v>
      </c>
      <c r="B1405" s="352" t="s">
        <v>2772</v>
      </c>
      <c r="C1405" s="227" t="s">
        <v>1110</v>
      </c>
      <c r="D1405" s="81" t="s">
        <v>2846</v>
      </c>
      <c r="E1405" s="75" t="str">
        <f>VLOOKUP(B1405&amp;C1405,Divipola!$C$2:$F$1138,4,FALSE)</f>
        <v>25436</v>
      </c>
      <c r="F1405" s="87"/>
      <c r="G1405" s="87"/>
      <c r="H1405" s="87"/>
      <c r="I1405" s="87"/>
      <c r="J1405" s="87"/>
      <c r="K1405" s="87"/>
      <c r="L1405" s="87"/>
      <c r="M1405" s="87"/>
      <c r="N1405" s="87"/>
      <c r="O1405" s="87"/>
      <c r="P1405" s="87"/>
      <c r="Q1405" s="87"/>
      <c r="R1405" s="87"/>
      <c r="S1405" s="87"/>
      <c r="T1405" s="87"/>
      <c r="U1405" s="88">
        <v>5</v>
      </c>
      <c r="V1405" s="89"/>
      <c r="W1405" s="96">
        <v>0</v>
      </c>
      <c r="X1405" s="71">
        <f>CU1405</f>
        <v>0</v>
      </c>
      <c r="Y1405" s="71">
        <f>CY1405</f>
        <v>0</v>
      </c>
      <c r="Z1405" s="71">
        <f>DA1405+DC1405+DE1405</f>
        <v>0</v>
      </c>
      <c r="AA1405" s="71">
        <f>CW1405</f>
        <v>0</v>
      </c>
      <c r="AB1405" s="71"/>
      <c r="AC1405" s="71">
        <v>0</v>
      </c>
      <c r="AD1405" s="71">
        <f>W1405+X1405+Y1405+Z1405+AA1405+AB1405+AC1405</f>
        <v>0</v>
      </c>
      <c r="AE1405" s="72">
        <v>0</v>
      </c>
      <c r="AF1405" s="5"/>
      <c r="AG1405" s="6"/>
      <c r="AH1405" s="27" t="s">
        <v>3392</v>
      </c>
      <c r="AI1405" s="44" t="s">
        <v>3393</v>
      </c>
      <c r="AJ1405" s="26"/>
      <c r="AK1405" s="5"/>
      <c r="AL1405" s="82" t="s">
        <v>4228</v>
      </c>
      <c r="AM1405" s="76"/>
      <c r="AN1405" s="76"/>
      <c r="AO1405" s="76"/>
      <c r="AP1405" s="76"/>
      <c r="AQ1405" s="76"/>
      <c r="AR1405" s="76"/>
      <c r="AS1405" s="76"/>
      <c r="AT1405" s="76"/>
      <c r="AU1405" s="76"/>
      <c r="AV1405" s="76"/>
      <c r="AW1405" s="76"/>
      <c r="AX1405" s="76">
        <f>+AW1405*600000</f>
        <v>0</v>
      </c>
      <c r="AY1405" s="76"/>
      <c r="AZ1405" s="76">
        <f>+AY1405*70000</f>
        <v>0</v>
      </c>
      <c r="BA1405" s="76"/>
      <c r="BB1405" s="76"/>
      <c r="BC1405" s="76"/>
      <c r="BD1405" s="76">
        <f>+BC1405*30000</f>
        <v>0</v>
      </c>
      <c r="BE1405" s="76"/>
      <c r="BF1405" s="76"/>
      <c r="BG1405" s="76"/>
      <c r="BH1405" s="76"/>
      <c r="BI1405" s="76"/>
      <c r="BJ1405" s="76"/>
      <c r="BK1405" s="76"/>
      <c r="BL1405" s="76">
        <f>+BK1405*31500</f>
        <v>0</v>
      </c>
      <c r="BM1405" s="76"/>
      <c r="BN1405" s="76"/>
      <c r="BO1405" s="76"/>
      <c r="BP1405" s="76"/>
      <c r="BQ1405" s="76"/>
      <c r="BR1405" s="76"/>
      <c r="BS1405" s="76"/>
      <c r="BT1405" s="76"/>
      <c r="BU1405" s="76"/>
      <c r="BV1405" s="76"/>
      <c r="BW1405" s="76"/>
      <c r="BX1405" s="76"/>
      <c r="BY1405" s="76"/>
      <c r="BZ1405" s="76"/>
      <c r="CA1405" s="76"/>
      <c r="CB1405" s="76"/>
      <c r="CC1405" s="76"/>
      <c r="CD1405" s="76"/>
      <c r="CE1405" s="76"/>
      <c r="CF1405" s="76">
        <f>+CE1405*28000</f>
        <v>0</v>
      </c>
      <c r="CG1405" s="76"/>
      <c r="CH1405" s="76">
        <f>+CG1405*22500</f>
        <v>0</v>
      </c>
      <c r="CI1405" s="76"/>
      <c r="CJ1405" s="76">
        <f>+CI1405*26000</f>
        <v>0</v>
      </c>
      <c r="CK1405" s="76"/>
      <c r="CL1405" s="76"/>
      <c r="CM1405" s="76"/>
      <c r="CN1405" s="76">
        <f>+CM1405*22000</f>
        <v>0</v>
      </c>
      <c r="CO1405" s="76"/>
      <c r="CP1405" s="76">
        <f>+CO1405*46000</f>
        <v>0</v>
      </c>
      <c r="CQ1405" s="76"/>
      <c r="CR1405" s="76">
        <f>+CQ1405*49000</f>
        <v>0</v>
      </c>
      <c r="CS1405" s="76"/>
      <c r="CT1405" s="76"/>
      <c r="CU1405" s="56">
        <f>AN1405+AP1405+AR1405+AT1405+AV1405+AX1405+AZ1405+BB1405+BD1405+BF1405+BH1405+BJ1405+BL1405+BN1405+BP1405+BR1405+BT1405+BV1405+BX1405+BZ1405+CB1405+CD1405+CF1405+CH1405+CJ1405+CL1405+CN1405+CP1405+CR1405+CT1405</f>
        <v>0</v>
      </c>
      <c r="CV1405" s="76"/>
      <c r="CW1405" s="76">
        <f>+CV1405*1100</f>
        <v>0</v>
      </c>
      <c r="CX1405" s="76"/>
      <c r="CY1405" s="76">
        <f>+CX1405*106250</f>
        <v>0</v>
      </c>
      <c r="CZ1405" s="76"/>
      <c r="DA1405" s="76">
        <f>+CZ1405*34500</f>
        <v>0</v>
      </c>
      <c r="DB1405" s="76"/>
      <c r="DC1405" s="76">
        <f>+DB1405*25000</f>
        <v>0</v>
      </c>
      <c r="DD1405" s="219"/>
      <c r="DE1405" s="219"/>
      <c r="DF1405" s="166"/>
      <c r="DG1405" s="116"/>
      <c r="DH1405" s="117"/>
      <c r="DI1405" s="24"/>
      <c r="DJ1405" s="24"/>
      <c r="DK1405" s="24"/>
      <c r="DL1405" s="24"/>
      <c r="DM1405" s="24"/>
      <c r="DN1405" s="24"/>
      <c r="DO1405" s="24"/>
      <c r="DP1405" s="24"/>
      <c r="DQ1405" s="24"/>
      <c r="DR1405" s="24"/>
      <c r="DS1405" s="24"/>
      <c r="DT1405" s="24"/>
      <c r="DU1405" s="24"/>
    </row>
    <row r="1406" spans="1:125" s="8" customFormat="1" ht="36" x14ac:dyDescent="0.2">
      <c r="A1406" s="77">
        <v>41371</v>
      </c>
      <c r="B1406" s="78" t="s">
        <v>2880</v>
      </c>
      <c r="C1406" s="75" t="s">
        <v>2797</v>
      </c>
      <c r="D1406" s="81" t="s">
        <v>2846</v>
      </c>
      <c r="E1406" s="75" t="str">
        <f>VLOOKUP(B1406&amp;C1406,Divipola!$C$2:$F$1138,4,FALSE)</f>
        <v>54498</v>
      </c>
      <c r="F1406" s="87"/>
      <c r="G1406" s="87"/>
      <c r="H1406" s="87"/>
      <c r="I1406" s="87"/>
      <c r="J1406" s="87"/>
      <c r="K1406" s="87"/>
      <c r="L1406" s="87"/>
      <c r="M1406" s="87"/>
      <c r="N1406" s="87"/>
      <c r="O1406" s="87"/>
      <c r="P1406" s="87"/>
      <c r="Q1406" s="87"/>
      <c r="R1406" s="87"/>
      <c r="S1406" s="87"/>
      <c r="T1406" s="87"/>
      <c r="U1406" s="88">
        <v>45</v>
      </c>
      <c r="V1406" s="89"/>
      <c r="W1406" s="96">
        <v>0</v>
      </c>
      <c r="X1406" s="71">
        <f>CU1406</f>
        <v>0</v>
      </c>
      <c r="Y1406" s="71">
        <f>CY1406</f>
        <v>0</v>
      </c>
      <c r="Z1406" s="71">
        <f>DA1406+DC1406+DE1406</f>
        <v>0</v>
      </c>
      <c r="AA1406" s="71">
        <f>CW1406</f>
        <v>0</v>
      </c>
      <c r="AB1406" s="71"/>
      <c r="AC1406" s="71">
        <v>0</v>
      </c>
      <c r="AD1406" s="71">
        <f>W1406+X1406+Y1406+Z1406+AA1406+AB1406+AC1406</f>
        <v>0</v>
      </c>
      <c r="AE1406" s="72">
        <v>0</v>
      </c>
      <c r="AF1406" s="5"/>
      <c r="AG1406" s="6"/>
      <c r="AH1406" s="27" t="s">
        <v>3392</v>
      </c>
      <c r="AI1406" s="44" t="s">
        <v>3393</v>
      </c>
      <c r="AJ1406" s="26"/>
      <c r="AK1406" s="5"/>
      <c r="AL1406" s="82" t="s">
        <v>4214</v>
      </c>
      <c r="AM1406" s="76"/>
      <c r="AN1406" s="76"/>
      <c r="AO1406" s="76"/>
      <c r="AP1406" s="76"/>
      <c r="AQ1406" s="76"/>
      <c r="AR1406" s="76"/>
      <c r="AS1406" s="76"/>
      <c r="AT1406" s="76"/>
      <c r="AU1406" s="76"/>
      <c r="AV1406" s="76"/>
      <c r="AW1406" s="76"/>
      <c r="AX1406" s="76">
        <f>+AW1406*600000</f>
        <v>0</v>
      </c>
      <c r="AY1406" s="76"/>
      <c r="AZ1406" s="76">
        <f>+AY1406*70000</f>
        <v>0</v>
      </c>
      <c r="BA1406" s="76"/>
      <c r="BB1406" s="76"/>
      <c r="BC1406" s="76"/>
      <c r="BD1406" s="76">
        <f>+BC1406*30000</f>
        <v>0</v>
      </c>
      <c r="BE1406" s="76"/>
      <c r="BF1406" s="76"/>
      <c r="BG1406" s="76"/>
      <c r="BH1406" s="76"/>
      <c r="BI1406" s="76"/>
      <c r="BJ1406" s="76"/>
      <c r="BK1406" s="76"/>
      <c r="BL1406" s="76">
        <f>+BK1406*31500</f>
        <v>0</v>
      </c>
      <c r="BM1406" s="76"/>
      <c r="BN1406" s="76"/>
      <c r="BO1406" s="76"/>
      <c r="BP1406" s="76"/>
      <c r="BQ1406" s="76"/>
      <c r="BR1406" s="76"/>
      <c r="BS1406" s="76"/>
      <c r="BT1406" s="76"/>
      <c r="BU1406" s="76"/>
      <c r="BV1406" s="76"/>
      <c r="BW1406" s="76"/>
      <c r="BX1406" s="76"/>
      <c r="BY1406" s="76"/>
      <c r="BZ1406" s="76"/>
      <c r="CA1406" s="76"/>
      <c r="CB1406" s="76"/>
      <c r="CC1406" s="76"/>
      <c r="CD1406" s="76"/>
      <c r="CE1406" s="76"/>
      <c r="CF1406" s="76">
        <f>+CE1406*28000</f>
        <v>0</v>
      </c>
      <c r="CG1406" s="76"/>
      <c r="CH1406" s="76">
        <f>+CG1406*22500</f>
        <v>0</v>
      </c>
      <c r="CI1406" s="76"/>
      <c r="CJ1406" s="76">
        <f>+CI1406*26000</f>
        <v>0</v>
      </c>
      <c r="CK1406" s="76"/>
      <c r="CL1406" s="76"/>
      <c r="CM1406" s="76"/>
      <c r="CN1406" s="76">
        <f>+CM1406*22000</f>
        <v>0</v>
      </c>
      <c r="CO1406" s="76"/>
      <c r="CP1406" s="76">
        <f>+CO1406*46000</f>
        <v>0</v>
      </c>
      <c r="CQ1406" s="76"/>
      <c r="CR1406" s="76">
        <f>+CQ1406*49000</f>
        <v>0</v>
      </c>
      <c r="CS1406" s="76"/>
      <c r="CT1406" s="76"/>
      <c r="CU1406" s="56">
        <f>AN1406+AP1406+AR1406+AT1406+AV1406+AX1406+AZ1406+BB1406+BD1406+BF1406+BH1406+BJ1406+BL1406+BN1406+BP1406+BR1406+BT1406+BV1406+BX1406+BZ1406+CB1406+CD1406+CF1406+CH1406+CJ1406+CL1406+CN1406+CP1406+CR1406+CT1406</f>
        <v>0</v>
      </c>
      <c r="CV1406" s="76"/>
      <c r="CW1406" s="76">
        <f>+CV1406*1100</f>
        <v>0</v>
      </c>
      <c r="CX1406" s="76"/>
      <c r="CY1406" s="76">
        <f>+CX1406*106250</f>
        <v>0</v>
      </c>
      <c r="CZ1406" s="76"/>
      <c r="DA1406" s="76">
        <f>+CZ1406*34500</f>
        <v>0</v>
      </c>
      <c r="DB1406" s="76"/>
      <c r="DC1406" s="76">
        <f>+DB1406*25000</f>
        <v>0</v>
      </c>
      <c r="DD1406" s="219"/>
      <c r="DE1406" s="219"/>
      <c r="DF1406" s="166"/>
      <c r="DG1406" s="116"/>
      <c r="DH1406" s="117"/>
      <c r="DI1406" s="24"/>
      <c r="DJ1406" s="24"/>
      <c r="DK1406" s="24"/>
      <c r="DL1406" s="24"/>
      <c r="DM1406" s="24"/>
      <c r="DN1406" s="24"/>
      <c r="DO1406" s="24"/>
      <c r="DP1406" s="24"/>
      <c r="DQ1406" s="24"/>
      <c r="DR1406" s="24"/>
      <c r="DS1406" s="24"/>
      <c r="DT1406" s="24"/>
      <c r="DU1406" s="24"/>
    </row>
    <row r="1407" spans="1:125" s="8" customFormat="1" ht="48" x14ac:dyDescent="0.2">
      <c r="A1407" s="77">
        <v>41371</v>
      </c>
      <c r="B1407" s="78" t="s">
        <v>2860</v>
      </c>
      <c r="C1407" s="217" t="s">
        <v>2078</v>
      </c>
      <c r="D1407" s="75" t="s">
        <v>2882</v>
      </c>
      <c r="E1407" s="75" t="str">
        <f>VLOOKUP(B1407&amp;C1407,Divipola!$C$2:$F$1138,4,FALSE)</f>
        <v>63190</v>
      </c>
      <c r="F1407" s="87"/>
      <c r="G1407" s="87"/>
      <c r="H1407" s="87"/>
      <c r="I1407" s="87">
        <v>10</v>
      </c>
      <c r="J1407" s="87">
        <v>2</v>
      </c>
      <c r="K1407" s="87"/>
      <c r="L1407" s="87">
        <v>2</v>
      </c>
      <c r="M1407" s="87"/>
      <c r="N1407" s="87"/>
      <c r="O1407" s="87"/>
      <c r="P1407" s="87"/>
      <c r="Q1407" s="87"/>
      <c r="R1407" s="87"/>
      <c r="S1407" s="87"/>
      <c r="T1407" s="87"/>
      <c r="U1407" s="88"/>
      <c r="V1407" s="89"/>
      <c r="W1407" s="96">
        <v>0</v>
      </c>
      <c r="X1407" s="71">
        <f>CU1407</f>
        <v>0</v>
      </c>
      <c r="Y1407" s="71">
        <f>CY1407</f>
        <v>0</v>
      </c>
      <c r="Z1407" s="71">
        <f>DA1407+DC1407+DE1407</f>
        <v>0</v>
      </c>
      <c r="AA1407" s="71">
        <f>CW1407</f>
        <v>0</v>
      </c>
      <c r="AB1407" s="71"/>
      <c r="AC1407" s="71">
        <v>0</v>
      </c>
      <c r="AD1407" s="71">
        <f>W1407+X1407+Y1407+Z1407+AA1407+AB1407+AC1407</f>
        <v>0</v>
      </c>
      <c r="AE1407" s="72">
        <v>0</v>
      </c>
      <c r="AF1407" s="5"/>
      <c r="AG1407" s="6"/>
      <c r="AH1407" s="27" t="s">
        <v>3390</v>
      </c>
      <c r="AI1407" s="44" t="s">
        <v>3391</v>
      </c>
      <c r="AJ1407" s="26"/>
      <c r="AK1407" s="5" t="s">
        <v>3480</v>
      </c>
      <c r="AL1407" s="82" t="s">
        <v>4222</v>
      </c>
      <c r="AM1407" s="76"/>
      <c r="AN1407" s="76"/>
      <c r="AO1407" s="76"/>
      <c r="AP1407" s="76"/>
      <c r="AQ1407" s="76"/>
      <c r="AR1407" s="76"/>
      <c r="AS1407" s="76"/>
      <c r="AT1407" s="76"/>
      <c r="AU1407" s="76"/>
      <c r="AV1407" s="76"/>
      <c r="AW1407" s="76"/>
      <c r="AX1407" s="76">
        <f>+AW1407*600000</f>
        <v>0</v>
      </c>
      <c r="AY1407" s="76"/>
      <c r="AZ1407" s="76">
        <f>+AY1407*70000</f>
        <v>0</v>
      </c>
      <c r="BA1407" s="76"/>
      <c r="BB1407" s="76"/>
      <c r="BC1407" s="76"/>
      <c r="BD1407" s="76">
        <f>+BC1407*30000</f>
        <v>0</v>
      </c>
      <c r="BE1407" s="76"/>
      <c r="BF1407" s="76"/>
      <c r="BG1407" s="76"/>
      <c r="BH1407" s="76"/>
      <c r="BI1407" s="76"/>
      <c r="BJ1407" s="76"/>
      <c r="BK1407" s="76"/>
      <c r="BL1407" s="76">
        <f>+BK1407*31500</f>
        <v>0</v>
      </c>
      <c r="BM1407" s="76"/>
      <c r="BN1407" s="76"/>
      <c r="BO1407" s="76"/>
      <c r="BP1407" s="76"/>
      <c r="BQ1407" s="76"/>
      <c r="BR1407" s="76"/>
      <c r="BS1407" s="76"/>
      <c r="BT1407" s="76"/>
      <c r="BU1407" s="76"/>
      <c r="BV1407" s="76"/>
      <c r="BW1407" s="76"/>
      <c r="BX1407" s="76"/>
      <c r="BY1407" s="76"/>
      <c r="BZ1407" s="76"/>
      <c r="CA1407" s="76"/>
      <c r="CB1407" s="76"/>
      <c r="CC1407" s="76"/>
      <c r="CD1407" s="76"/>
      <c r="CE1407" s="76"/>
      <c r="CF1407" s="76">
        <f>+CE1407*28000</f>
        <v>0</v>
      </c>
      <c r="CG1407" s="76"/>
      <c r="CH1407" s="76">
        <f>+CG1407*22500</f>
        <v>0</v>
      </c>
      <c r="CI1407" s="76"/>
      <c r="CJ1407" s="76">
        <f>+CI1407*26000</f>
        <v>0</v>
      </c>
      <c r="CK1407" s="76"/>
      <c r="CL1407" s="76"/>
      <c r="CM1407" s="76"/>
      <c r="CN1407" s="76">
        <f>+CM1407*22000</f>
        <v>0</v>
      </c>
      <c r="CO1407" s="76"/>
      <c r="CP1407" s="76">
        <f>+CO1407*46000</f>
        <v>0</v>
      </c>
      <c r="CQ1407" s="76"/>
      <c r="CR1407" s="76">
        <f>+CQ1407*49000</f>
        <v>0</v>
      </c>
      <c r="CS1407" s="76"/>
      <c r="CT1407" s="76"/>
      <c r="CU1407" s="56">
        <f>AN1407+AP1407+AR1407+AT1407+AV1407+AX1407+AZ1407+BB1407+BD1407+BF1407+BH1407+BJ1407+BL1407+BN1407+BP1407+BR1407+BT1407+BV1407+BX1407+BZ1407+CB1407+CD1407+CF1407+CH1407+CJ1407+CL1407+CN1407+CP1407+CR1407+CT1407</f>
        <v>0</v>
      </c>
      <c r="CV1407" s="76"/>
      <c r="CW1407" s="76">
        <f>+CV1407*1100</f>
        <v>0</v>
      </c>
      <c r="CX1407" s="76"/>
      <c r="CY1407" s="76">
        <f>+CX1407*106250</f>
        <v>0</v>
      </c>
      <c r="CZ1407" s="76"/>
      <c r="DA1407" s="76">
        <f>+CZ1407*34500</f>
        <v>0</v>
      </c>
      <c r="DB1407" s="76"/>
      <c r="DC1407" s="76">
        <f>+DB1407*25000</f>
        <v>0</v>
      </c>
      <c r="DD1407" s="219"/>
      <c r="DE1407" s="219"/>
      <c r="DF1407" s="166"/>
      <c r="DG1407" s="116"/>
      <c r="DH1407" s="117"/>
      <c r="DI1407" s="24"/>
      <c r="DJ1407" s="24"/>
      <c r="DK1407" s="24"/>
      <c r="DL1407" s="24"/>
      <c r="DM1407" s="24"/>
      <c r="DN1407" s="24"/>
      <c r="DO1407" s="24"/>
      <c r="DP1407" s="24"/>
      <c r="DQ1407" s="24"/>
      <c r="DR1407" s="24"/>
      <c r="DS1407" s="24"/>
      <c r="DT1407" s="24"/>
      <c r="DU1407" s="24"/>
    </row>
    <row r="1408" spans="1:125" s="8" customFormat="1" ht="36" x14ac:dyDescent="0.2">
      <c r="A1408" s="226">
        <v>41371</v>
      </c>
      <c r="B1408" s="352" t="s">
        <v>2860</v>
      </c>
      <c r="C1408" s="227" t="s">
        <v>2173</v>
      </c>
      <c r="D1408" s="227" t="s">
        <v>2882</v>
      </c>
      <c r="E1408" s="75" t="str">
        <f>VLOOKUP(B1408&amp;C1408,Divipola!$C$2:$F$1138,4,FALSE)</f>
        <v>63470</v>
      </c>
      <c r="F1408" s="87"/>
      <c r="G1408" s="87"/>
      <c r="H1408" s="87"/>
      <c r="I1408" s="87">
        <v>5</v>
      </c>
      <c r="J1408" s="87">
        <v>1</v>
      </c>
      <c r="K1408" s="87"/>
      <c r="L1408" s="87">
        <v>1</v>
      </c>
      <c r="M1408" s="87"/>
      <c r="N1408" s="87"/>
      <c r="O1408" s="87"/>
      <c r="P1408" s="87"/>
      <c r="Q1408" s="87"/>
      <c r="R1408" s="87"/>
      <c r="S1408" s="87"/>
      <c r="T1408" s="87"/>
      <c r="U1408" s="88"/>
      <c r="V1408" s="89"/>
      <c r="W1408" s="96">
        <v>0</v>
      </c>
      <c r="X1408" s="71">
        <f>CU1408</f>
        <v>0</v>
      </c>
      <c r="Y1408" s="71">
        <f>CY1408</f>
        <v>0</v>
      </c>
      <c r="Z1408" s="71">
        <f>DA1408+DC1408+DE1408</f>
        <v>0</v>
      </c>
      <c r="AA1408" s="71">
        <f>CW1408</f>
        <v>0</v>
      </c>
      <c r="AB1408" s="71"/>
      <c r="AC1408" s="71">
        <v>0</v>
      </c>
      <c r="AD1408" s="71">
        <f>W1408+X1408+Y1408+Z1408+AA1408+AB1408+AC1408</f>
        <v>0</v>
      </c>
      <c r="AE1408" s="72">
        <v>0</v>
      </c>
      <c r="AF1408" s="5"/>
      <c r="AG1408" s="6"/>
      <c r="AH1408" s="27" t="s">
        <v>3390</v>
      </c>
      <c r="AI1408" s="44" t="s">
        <v>3391</v>
      </c>
      <c r="AJ1408" s="26"/>
      <c r="AK1408" s="5" t="s">
        <v>3480</v>
      </c>
      <c r="AL1408" s="82" t="s">
        <v>4211</v>
      </c>
      <c r="AM1408" s="76"/>
      <c r="AN1408" s="76"/>
      <c r="AO1408" s="76"/>
      <c r="AP1408" s="76"/>
      <c r="AQ1408" s="76"/>
      <c r="AR1408" s="76"/>
      <c r="AS1408" s="76"/>
      <c r="AT1408" s="76"/>
      <c r="AU1408" s="76"/>
      <c r="AV1408" s="76"/>
      <c r="AW1408" s="76"/>
      <c r="AX1408" s="76">
        <f>+AW1408*600000</f>
        <v>0</v>
      </c>
      <c r="AY1408" s="76"/>
      <c r="AZ1408" s="76">
        <f>+AY1408*70000</f>
        <v>0</v>
      </c>
      <c r="BA1408" s="76"/>
      <c r="BB1408" s="76"/>
      <c r="BC1408" s="76"/>
      <c r="BD1408" s="76">
        <f>+BC1408*30000</f>
        <v>0</v>
      </c>
      <c r="BE1408" s="76"/>
      <c r="BF1408" s="76"/>
      <c r="BG1408" s="76"/>
      <c r="BH1408" s="76"/>
      <c r="BI1408" s="76"/>
      <c r="BJ1408" s="76"/>
      <c r="BK1408" s="76"/>
      <c r="BL1408" s="76">
        <f>+BK1408*31500</f>
        <v>0</v>
      </c>
      <c r="BM1408" s="76"/>
      <c r="BN1408" s="76"/>
      <c r="BO1408" s="76"/>
      <c r="BP1408" s="76"/>
      <c r="BQ1408" s="76"/>
      <c r="BR1408" s="76"/>
      <c r="BS1408" s="76"/>
      <c r="BT1408" s="76"/>
      <c r="BU1408" s="76"/>
      <c r="BV1408" s="76"/>
      <c r="BW1408" s="76"/>
      <c r="BX1408" s="76"/>
      <c r="BY1408" s="76"/>
      <c r="BZ1408" s="76"/>
      <c r="CA1408" s="76"/>
      <c r="CB1408" s="76"/>
      <c r="CC1408" s="76"/>
      <c r="CD1408" s="76"/>
      <c r="CE1408" s="76"/>
      <c r="CF1408" s="76">
        <f>+CE1408*28000</f>
        <v>0</v>
      </c>
      <c r="CG1408" s="76"/>
      <c r="CH1408" s="76">
        <f>+CG1408*22500</f>
        <v>0</v>
      </c>
      <c r="CI1408" s="76"/>
      <c r="CJ1408" s="76">
        <f>+CI1408*26000</f>
        <v>0</v>
      </c>
      <c r="CK1408" s="76"/>
      <c r="CL1408" s="76"/>
      <c r="CM1408" s="76"/>
      <c r="CN1408" s="76">
        <f>+CM1408*22000</f>
        <v>0</v>
      </c>
      <c r="CO1408" s="76"/>
      <c r="CP1408" s="76">
        <f>+CO1408*46000</f>
        <v>0</v>
      </c>
      <c r="CQ1408" s="76"/>
      <c r="CR1408" s="76">
        <f>+CQ1408*49000</f>
        <v>0</v>
      </c>
      <c r="CS1408" s="76"/>
      <c r="CT1408" s="76"/>
      <c r="CU1408" s="56">
        <f>AN1408+AP1408+AR1408+AT1408+AV1408+AX1408+AZ1408+BB1408+BD1408+BF1408+BH1408+BJ1408+BL1408+BN1408+BP1408+BR1408+BT1408+BV1408+BX1408+BZ1408+CB1408+CD1408+CF1408+CH1408+CJ1408+CL1408+CN1408+CP1408+CR1408+CT1408</f>
        <v>0</v>
      </c>
      <c r="CV1408" s="76"/>
      <c r="CW1408" s="76">
        <f>+CV1408*1100</f>
        <v>0</v>
      </c>
      <c r="CX1408" s="76"/>
      <c r="CY1408" s="76">
        <f>+CX1408*106250</f>
        <v>0</v>
      </c>
      <c r="CZ1408" s="76"/>
      <c r="DA1408" s="76">
        <f>+CZ1408*34500</f>
        <v>0</v>
      </c>
      <c r="DB1408" s="76"/>
      <c r="DC1408" s="76">
        <f>+DB1408*25000</f>
        <v>0</v>
      </c>
      <c r="DD1408" s="219"/>
      <c r="DE1408" s="219"/>
      <c r="DF1408" s="166"/>
      <c r="DG1408" s="116"/>
      <c r="DH1408" s="117"/>
      <c r="DI1408" s="24"/>
      <c r="DJ1408" s="24"/>
      <c r="DK1408" s="24"/>
      <c r="DL1408" s="24"/>
      <c r="DM1408" s="24"/>
      <c r="DN1408" s="24"/>
      <c r="DO1408" s="24"/>
      <c r="DP1408" s="24"/>
      <c r="DQ1408" s="24"/>
      <c r="DR1408" s="24"/>
      <c r="DS1408" s="24"/>
      <c r="DT1408" s="24"/>
      <c r="DU1408" s="24"/>
    </row>
    <row r="1409" spans="1:125" s="8" customFormat="1" ht="48" x14ac:dyDescent="0.2">
      <c r="A1409" s="97">
        <v>41371</v>
      </c>
      <c r="B1409" s="60" t="s">
        <v>2860</v>
      </c>
      <c r="C1409" s="55" t="s">
        <v>2173</v>
      </c>
      <c r="D1409" s="55" t="s">
        <v>2882</v>
      </c>
      <c r="E1409" s="75" t="str">
        <f>VLOOKUP(B1409&amp;C1409,Divipola!$C$2:$F$1138,4,FALSE)</f>
        <v>63470</v>
      </c>
      <c r="F1409" s="87"/>
      <c r="G1409" s="87"/>
      <c r="H1409" s="87"/>
      <c r="I1409" s="87">
        <v>13</v>
      </c>
      <c r="J1409" s="87">
        <v>2</v>
      </c>
      <c r="K1409" s="87"/>
      <c r="L1409" s="87">
        <v>2</v>
      </c>
      <c r="M1409" s="87"/>
      <c r="N1409" s="87"/>
      <c r="O1409" s="87"/>
      <c r="P1409" s="87"/>
      <c r="Q1409" s="87"/>
      <c r="R1409" s="87"/>
      <c r="S1409" s="87"/>
      <c r="T1409" s="87"/>
      <c r="U1409" s="88"/>
      <c r="V1409" s="89"/>
      <c r="W1409" s="96">
        <v>0</v>
      </c>
      <c r="X1409" s="71">
        <f>CU1409</f>
        <v>0</v>
      </c>
      <c r="Y1409" s="71">
        <f>CY1409</f>
        <v>0</v>
      </c>
      <c r="Z1409" s="71">
        <f>DA1409+DC1409+DE1409</f>
        <v>0</v>
      </c>
      <c r="AA1409" s="71">
        <f>CW1409</f>
        <v>0</v>
      </c>
      <c r="AB1409" s="71"/>
      <c r="AC1409" s="71">
        <v>0</v>
      </c>
      <c r="AD1409" s="71">
        <f>W1409+X1409+Y1409+Z1409+AA1409+AB1409+AC1409</f>
        <v>0</v>
      </c>
      <c r="AE1409" s="72">
        <v>0</v>
      </c>
      <c r="AF1409" s="5"/>
      <c r="AG1409" s="6"/>
      <c r="AH1409" s="27" t="s">
        <v>3390</v>
      </c>
      <c r="AI1409" s="44" t="s">
        <v>3391</v>
      </c>
      <c r="AJ1409" s="26"/>
      <c r="AK1409" s="5" t="s">
        <v>3480</v>
      </c>
      <c r="AL1409" s="82" t="s">
        <v>4212</v>
      </c>
      <c r="AM1409" s="76"/>
      <c r="AN1409" s="76"/>
      <c r="AO1409" s="76"/>
      <c r="AP1409" s="76"/>
      <c r="AQ1409" s="76"/>
      <c r="AR1409" s="76"/>
      <c r="AS1409" s="76"/>
      <c r="AT1409" s="76"/>
      <c r="AU1409" s="76"/>
      <c r="AV1409" s="76"/>
      <c r="AW1409" s="76"/>
      <c r="AX1409" s="76">
        <f>+AW1409*600000</f>
        <v>0</v>
      </c>
      <c r="AY1409" s="76"/>
      <c r="AZ1409" s="76">
        <f>+AY1409*70000</f>
        <v>0</v>
      </c>
      <c r="BA1409" s="76"/>
      <c r="BB1409" s="76"/>
      <c r="BC1409" s="76"/>
      <c r="BD1409" s="76">
        <f>+BC1409*30000</f>
        <v>0</v>
      </c>
      <c r="BE1409" s="76"/>
      <c r="BF1409" s="76"/>
      <c r="BG1409" s="76"/>
      <c r="BH1409" s="76"/>
      <c r="BI1409" s="76"/>
      <c r="BJ1409" s="76"/>
      <c r="BK1409" s="76"/>
      <c r="BL1409" s="76">
        <f>+BK1409*31500</f>
        <v>0</v>
      </c>
      <c r="BM1409" s="76"/>
      <c r="BN1409" s="76"/>
      <c r="BO1409" s="76"/>
      <c r="BP1409" s="76"/>
      <c r="BQ1409" s="76"/>
      <c r="BR1409" s="76"/>
      <c r="BS1409" s="76"/>
      <c r="BT1409" s="76"/>
      <c r="BU1409" s="76"/>
      <c r="BV1409" s="76"/>
      <c r="BW1409" s="76"/>
      <c r="BX1409" s="76"/>
      <c r="BY1409" s="76"/>
      <c r="BZ1409" s="76"/>
      <c r="CA1409" s="76"/>
      <c r="CB1409" s="76"/>
      <c r="CC1409" s="76"/>
      <c r="CD1409" s="76"/>
      <c r="CE1409" s="76"/>
      <c r="CF1409" s="76">
        <f>+CE1409*28000</f>
        <v>0</v>
      </c>
      <c r="CG1409" s="76"/>
      <c r="CH1409" s="76">
        <f>+CG1409*22500</f>
        <v>0</v>
      </c>
      <c r="CI1409" s="76"/>
      <c r="CJ1409" s="76">
        <f>+CI1409*26000</f>
        <v>0</v>
      </c>
      <c r="CK1409" s="76"/>
      <c r="CL1409" s="76"/>
      <c r="CM1409" s="76"/>
      <c r="CN1409" s="76">
        <f>+CM1409*22000</f>
        <v>0</v>
      </c>
      <c r="CO1409" s="76"/>
      <c r="CP1409" s="76">
        <f>+CO1409*46000</f>
        <v>0</v>
      </c>
      <c r="CQ1409" s="76"/>
      <c r="CR1409" s="76">
        <f>+CQ1409*49000</f>
        <v>0</v>
      </c>
      <c r="CS1409" s="76"/>
      <c r="CT1409" s="76"/>
      <c r="CU1409" s="56">
        <f>AN1409+AP1409+AR1409+AT1409+AV1409+AX1409+AZ1409+BB1409+BD1409+BF1409+BH1409+BJ1409+BL1409+BN1409+BP1409+BR1409+BT1409+BV1409+BX1409+BZ1409+CB1409+CD1409+CF1409+CH1409+CJ1409+CL1409+CN1409+CP1409+CR1409+CT1409</f>
        <v>0</v>
      </c>
      <c r="CV1409" s="76"/>
      <c r="CW1409" s="76">
        <f>+CV1409*1100</f>
        <v>0</v>
      </c>
      <c r="CX1409" s="76"/>
      <c r="CY1409" s="76">
        <f>+CX1409*106250</f>
        <v>0</v>
      </c>
      <c r="CZ1409" s="76"/>
      <c r="DA1409" s="76">
        <f>+CZ1409*34500</f>
        <v>0</v>
      </c>
      <c r="DB1409" s="76"/>
      <c r="DC1409" s="76">
        <f>+DB1409*25000</f>
        <v>0</v>
      </c>
      <c r="DD1409" s="219"/>
      <c r="DE1409" s="219"/>
      <c r="DF1409" s="166"/>
      <c r="DG1409" s="116"/>
      <c r="DH1409" s="117"/>
      <c r="DI1409" s="24"/>
      <c r="DJ1409" s="24"/>
      <c r="DK1409" s="24"/>
      <c r="DL1409" s="24"/>
      <c r="DM1409" s="24"/>
      <c r="DN1409" s="24"/>
      <c r="DO1409" s="24"/>
      <c r="DP1409" s="24"/>
      <c r="DQ1409" s="24"/>
      <c r="DR1409" s="24"/>
      <c r="DS1409" s="24"/>
      <c r="DT1409" s="24"/>
      <c r="DU1409" s="24"/>
    </row>
    <row r="1410" spans="1:125" s="8" customFormat="1" ht="36" x14ac:dyDescent="0.2">
      <c r="A1410" s="77">
        <v>41371</v>
      </c>
      <c r="B1410" s="78" t="s">
        <v>2847</v>
      </c>
      <c r="C1410" s="75" t="s">
        <v>342</v>
      </c>
      <c r="D1410" s="75" t="s">
        <v>2882</v>
      </c>
      <c r="E1410" s="75" t="str">
        <f>VLOOKUP(B1410&amp;C1410,Divipola!$C$2:$F$1138,4,FALSE)</f>
        <v>68245</v>
      </c>
      <c r="F1410" s="163"/>
      <c r="G1410" s="163"/>
      <c r="H1410" s="163"/>
      <c r="I1410" s="163">
        <v>400</v>
      </c>
      <c r="J1410" s="163">
        <v>150</v>
      </c>
      <c r="K1410" s="163"/>
      <c r="L1410" s="163">
        <v>150</v>
      </c>
      <c r="M1410" s="163"/>
      <c r="N1410" s="163"/>
      <c r="O1410" s="163"/>
      <c r="P1410" s="163"/>
      <c r="Q1410" s="163"/>
      <c r="R1410" s="163"/>
      <c r="S1410" s="163"/>
      <c r="T1410" s="163"/>
      <c r="U1410" s="163"/>
      <c r="V1410" s="134"/>
      <c r="W1410" s="96">
        <v>0</v>
      </c>
      <c r="X1410" s="71">
        <f>CU1410</f>
        <v>0</v>
      </c>
      <c r="Y1410" s="71">
        <f>CY1410</f>
        <v>15832500</v>
      </c>
      <c r="Z1410" s="71">
        <f>DA1410+DC1410+DE1410</f>
        <v>9005000</v>
      </c>
      <c r="AA1410" s="71">
        <f>CW1410</f>
        <v>0</v>
      </c>
      <c r="AB1410" s="71"/>
      <c r="AC1410" s="71">
        <v>0</v>
      </c>
      <c r="AD1410" s="71">
        <f>W1410+X1410+Y1410+Z1410+AA1410+AB1410+AC1410</f>
        <v>24837500</v>
      </c>
      <c r="AE1410" s="72">
        <v>0</v>
      </c>
      <c r="AF1410" s="5"/>
      <c r="AG1410" s="6"/>
      <c r="AH1410" s="27"/>
      <c r="AI1410" s="44"/>
      <c r="AJ1410" s="26"/>
      <c r="AK1410" s="5"/>
      <c r="AL1410" s="82" t="s">
        <v>5254</v>
      </c>
      <c r="AM1410" s="76"/>
      <c r="AN1410" s="76"/>
      <c r="AO1410" s="76"/>
      <c r="AP1410" s="76"/>
      <c r="AQ1410" s="76"/>
      <c r="AR1410" s="76"/>
      <c r="AS1410" s="76"/>
      <c r="AT1410" s="76"/>
      <c r="AU1410" s="76"/>
      <c r="AV1410" s="76"/>
      <c r="AW1410" s="76"/>
      <c r="AX1410" s="76">
        <f>+AW1410*600000</f>
        <v>0</v>
      </c>
      <c r="AY1410" s="76"/>
      <c r="AZ1410" s="76">
        <f>+AY1410*70000</f>
        <v>0</v>
      </c>
      <c r="BA1410" s="76"/>
      <c r="BB1410" s="76"/>
      <c r="BC1410" s="76"/>
      <c r="BD1410" s="76">
        <f>+BC1410*30000</f>
        <v>0</v>
      </c>
      <c r="BE1410" s="76"/>
      <c r="BF1410" s="76"/>
      <c r="BG1410" s="76"/>
      <c r="BH1410" s="76"/>
      <c r="BI1410" s="76"/>
      <c r="BJ1410" s="76"/>
      <c r="BK1410" s="76"/>
      <c r="BL1410" s="76">
        <f>+BK1410*31500</f>
        <v>0</v>
      </c>
      <c r="BM1410" s="76"/>
      <c r="BN1410" s="76"/>
      <c r="BO1410" s="76"/>
      <c r="BP1410" s="76"/>
      <c r="BQ1410" s="76"/>
      <c r="BR1410" s="76"/>
      <c r="BS1410" s="76"/>
      <c r="BT1410" s="76"/>
      <c r="BU1410" s="76"/>
      <c r="BV1410" s="76"/>
      <c r="BW1410" s="76"/>
      <c r="BX1410" s="76"/>
      <c r="BY1410" s="76"/>
      <c r="BZ1410" s="76"/>
      <c r="CA1410" s="76"/>
      <c r="CB1410" s="76"/>
      <c r="CC1410" s="76"/>
      <c r="CD1410" s="76"/>
      <c r="CE1410" s="76"/>
      <c r="CF1410" s="76">
        <f>+CE1410*28000</f>
        <v>0</v>
      </c>
      <c r="CG1410" s="76"/>
      <c r="CH1410" s="76">
        <f>+CG1410*22500</f>
        <v>0</v>
      </c>
      <c r="CI1410" s="76"/>
      <c r="CJ1410" s="76">
        <f>+CI1410*26000</f>
        <v>0</v>
      </c>
      <c r="CK1410" s="76"/>
      <c r="CL1410" s="76"/>
      <c r="CM1410" s="76"/>
      <c r="CN1410" s="76">
        <f>+CM1410*22000</f>
        <v>0</v>
      </c>
      <c r="CO1410" s="76"/>
      <c r="CP1410" s="76">
        <f>+CO1410*46000</f>
        <v>0</v>
      </c>
      <c r="CQ1410" s="76"/>
      <c r="CR1410" s="76">
        <f>+CQ1410*49000</f>
        <v>0</v>
      </c>
      <c r="CS1410" s="76"/>
      <c r="CT1410" s="76"/>
      <c r="CU1410" s="56">
        <f>AN1410+AP1410+AR1410+AT1410+AV1410+AX1410+AZ1410+BB1410+BD1410+BF1410+BH1410+BJ1410+BL1410+BN1410+BP1410+BR1410+BT1410+BV1410+BX1410+BZ1410+CB1410+CD1410+CF1410+CH1410+CJ1410+CL1410+CN1410+CP1410+CR1410+CT1410</f>
        <v>0</v>
      </c>
      <c r="CV1410" s="76"/>
      <c r="CW1410" s="76">
        <f>+CV1410*1100</f>
        <v>0</v>
      </c>
      <c r="CX1410" s="86">
        <v>150</v>
      </c>
      <c r="CY1410" s="86">
        <f>+CX1410*105550</f>
        <v>15832500</v>
      </c>
      <c r="CZ1410" s="76"/>
      <c r="DA1410" s="76">
        <f>+CZ1410*34500</f>
        <v>0</v>
      </c>
      <c r="DB1410" s="86">
        <v>275</v>
      </c>
      <c r="DC1410" s="86">
        <f>200*32000+800*200+75*31000+300*400</f>
        <v>9005000</v>
      </c>
      <c r="DD1410" s="219"/>
      <c r="DE1410" s="219"/>
      <c r="DF1410" s="166"/>
      <c r="DG1410" s="134" t="s">
        <v>5882</v>
      </c>
      <c r="DH1410" s="117"/>
      <c r="DI1410" s="24"/>
      <c r="DJ1410" s="24"/>
      <c r="DK1410" s="24"/>
      <c r="DL1410" s="24"/>
      <c r="DM1410" s="24"/>
      <c r="DN1410" s="24"/>
      <c r="DO1410" s="24"/>
      <c r="DP1410" s="24"/>
      <c r="DQ1410" s="24"/>
      <c r="DR1410" s="24"/>
      <c r="DS1410" s="24"/>
      <c r="DT1410" s="24"/>
      <c r="DU1410" s="24"/>
    </row>
    <row r="1411" spans="1:125" s="8" customFormat="1" ht="36" x14ac:dyDescent="0.2">
      <c r="A1411" s="226">
        <v>41372</v>
      </c>
      <c r="B1411" s="225" t="s">
        <v>2894</v>
      </c>
      <c r="C1411" s="227" t="s">
        <v>2702</v>
      </c>
      <c r="D1411" s="81" t="s">
        <v>2846</v>
      </c>
      <c r="E1411" s="75" t="str">
        <f>VLOOKUP(B1411&amp;C1411,Divipola!$C$2:$F$1138,4,FALSE)</f>
        <v>05088</v>
      </c>
      <c r="F1411" s="87"/>
      <c r="G1411" s="87"/>
      <c r="H1411" s="87"/>
      <c r="I1411" s="87"/>
      <c r="J1411" s="87"/>
      <c r="K1411" s="87"/>
      <c r="L1411" s="87"/>
      <c r="M1411" s="87"/>
      <c r="N1411" s="87"/>
      <c r="O1411" s="87"/>
      <c r="P1411" s="87"/>
      <c r="Q1411" s="87"/>
      <c r="R1411" s="87"/>
      <c r="S1411" s="87"/>
      <c r="T1411" s="87"/>
      <c r="U1411" s="88">
        <v>1</v>
      </c>
      <c r="V1411" s="89"/>
      <c r="W1411" s="96">
        <v>0</v>
      </c>
      <c r="X1411" s="71">
        <f>CU1411</f>
        <v>0</v>
      </c>
      <c r="Y1411" s="71">
        <f>CY1411</f>
        <v>0</v>
      </c>
      <c r="Z1411" s="71">
        <f>DA1411+DC1411+DE1411</f>
        <v>0</v>
      </c>
      <c r="AA1411" s="71">
        <f>CW1411</f>
        <v>0</v>
      </c>
      <c r="AB1411" s="71"/>
      <c r="AC1411" s="71">
        <v>0</v>
      </c>
      <c r="AD1411" s="71">
        <f>W1411+X1411+Y1411+Z1411+AA1411+AB1411+AC1411</f>
        <v>0</v>
      </c>
      <c r="AE1411" s="72">
        <v>0</v>
      </c>
      <c r="AF1411" s="5"/>
      <c r="AG1411" s="6"/>
      <c r="AH1411" s="27" t="s">
        <v>3392</v>
      </c>
      <c r="AI1411" s="44" t="s">
        <v>3393</v>
      </c>
      <c r="AJ1411" s="26"/>
      <c r="AK1411" s="5"/>
      <c r="AL1411" s="82" t="s">
        <v>4223</v>
      </c>
      <c r="AM1411" s="76"/>
      <c r="AN1411" s="76"/>
      <c r="AO1411" s="76"/>
      <c r="AP1411" s="76"/>
      <c r="AQ1411" s="76"/>
      <c r="AR1411" s="76"/>
      <c r="AS1411" s="76"/>
      <c r="AT1411" s="76"/>
      <c r="AU1411" s="76"/>
      <c r="AV1411" s="76"/>
      <c r="AW1411" s="76"/>
      <c r="AX1411" s="76">
        <f>+AW1411*600000</f>
        <v>0</v>
      </c>
      <c r="AY1411" s="76"/>
      <c r="AZ1411" s="76">
        <f>+AY1411*70000</f>
        <v>0</v>
      </c>
      <c r="BA1411" s="76"/>
      <c r="BB1411" s="76"/>
      <c r="BC1411" s="76"/>
      <c r="BD1411" s="76">
        <f>+BC1411*30000</f>
        <v>0</v>
      </c>
      <c r="BE1411" s="76"/>
      <c r="BF1411" s="76"/>
      <c r="BG1411" s="76"/>
      <c r="BH1411" s="76"/>
      <c r="BI1411" s="76"/>
      <c r="BJ1411" s="76"/>
      <c r="BK1411" s="76"/>
      <c r="BL1411" s="76">
        <f>+BK1411*31500</f>
        <v>0</v>
      </c>
      <c r="BM1411" s="76"/>
      <c r="BN1411" s="76"/>
      <c r="BO1411" s="76"/>
      <c r="BP1411" s="76"/>
      <c r="BQ1411" s="76"/>
      <c r="BR1411" s="76"/>
      <c r="BS1411" s="76"/>
      <c r="BT1411" s="76"/>
      <c r="BU1411" s="76"/>
      <c r="BV1411" s="76"/>
      <c r="BW1411" s="76"/>
      <c r="BX1411" s="76"/>
      <c r="BY1411" s="76"/>
      <c r="BZ1411" s="76"/>
      <c r="CA1411" s="76"/>
      <c r="CB1411" s="76"/>
      <c r="CC1411" s="76"/>
      <c r="CD1411" s="76"/>
      <c r="CE1411" s="76"/>
      <c r="CF1411" s="76">
        <f>+CE1411*28000</f>
        <v>0</v>
      </c>
      <c r="CG1411" s="76"/>
      <c r="CH1411" s="76">
        <f>+CG1411*22500</f>
        <v>0</v>
      </c>
      <c r="CI1411" s="76"/>
      <c r="CJ1411" s="76">
        <f>+CI1411*26000</f>
        <v>0</v>
      </c>
      <c r="CK1411" s="76"/>
      <c r="CL1411" s="76"/>
      <c r="CM1411" s="76"/>
      <c r="CN1411" s="76">
        <f>+CM1411*22000</f>
        <v>0</v>
      </c>
      <c r="CO1411" s="76"/>
      <c r="CP1411" s="76">
        <f>+CO1411*46000</f>
        <v>0</v>
      </c>
      <c r="CQ1411" s="76"/>
      <c r="CR1411" s="76">
        <f>+CQ1411*49000</f>
        <v>0</v>
      </c>
      <c r="CS1411" s="76"/>
      <c r="CT1411" s="76"/>
      <c r="CU1411" s="56">
        <f>AN1411+AP1411+AR1411+AT1411+AV1411+AX1411+AZ1411+BB1411+BD1411+BF1411+BH1411+BJ1411+BL1411+BN1411+BP1411+BR1411+BT1411+BV1411+BX1411+BZ1411+CB1411+CD1411+CF1411+CH1411+CJ1411+CL1411+CN1411+CP1411+CR1411+CT1411</f>
        <v>0</v>
      </c>
      <c r="CV1411" s="76"/>
      <c r="CW1411" s="76">
        <f>+CV1411*1100</f>
        <v>0</v>
      </c>
      <c r="CX1411" s="76"/>
      <c r="CY1411" s="76">
        <f>+CX1411*106250</f>
        <v>0</v>
      </c>
      <c r="CZ1411" s="76"/>
      <c r="DA1411" s="76">
        <f>+CZ1411*34500</f>
        <v>0</v>
      </c>
      <c r="DB1411" s="76"/>
      <c r="DC1411" s="76">
        <f>+DB1411*25000</f>
        <v>0</v>
      </c>
      <c r="DD1411" s="219"/>
      <c r="DE1411" s="219"/>
      <c r="DF1411" s="166"/>
      <c r="DG1411" s="116"/>
      <c r="DH1411" s="117"/>
      <c r="DI1411" s="24"/>
      <c r="DJ1411" s="24"/>
      <c r="DK1411" s="24"/>
      <c r="DL1411" s="24"/>
      <c r="DM1411" s="24"/>
      <c r="DN1411" s="24"/>
      <c r="DO1411" s="24"/>
      <c r="DP1411" s="24"/>
      <c r="DQ1411" s="24"/>
      <c r="DR1411" s="24"/>
      <c r="DS1411" s="24"/>
      <c r="DT1411" s="24"/>
      <c r="DU1411" s="24"/>
    </row>
    <row r="1412" spans="1:125" s="8" customFormat="1" ht="108" x14ac:dyDescent="0.2">
      <c r="A1412" s="353">
        <v>41372</v>
      </c>
      <c r="B1412" s="352" t="s">
        <v>2894</v>
      </c>
      <c r="C1412" s="354" t="s">
        <v>2702</v>
      </c>
      <c r="D1412" s="81" t="s">
        <v>2846</v>
      </c>
      <c r="E1412" s="75" t="str">
        <f>VLOOKUP(B1412&amp;C1412,Divipola!$C$2:$F$1138,4,FALSE)</f>
        <v>05088</v>
      </c>
      <c r="F1412" s="87"/>
      <c r="G1412" s="87"/>
      <c r="H1412" s="87"/>
      <c r="I1412" s="87"/>
      <c r="J1412" s="87"/>
      <c r="K1412" s="87"/>
      <c r="L1412" s="87"/>
      <c r="M1412" s="87"/>
      <c r="N1412" s="87"/>
      <c r="O1412" s="87"/>
      <c r="P1412" s="87"/>
      <c r="Q1412" s="87"/>
      <c r="R1412" s="87"/>
      <c r="S1412" s="87"/>
      <c r="T1412" s="87"/>
      <c r="U1412" s="88">
        <v>60</v>
      </c>
      <c r="V1412" s="89"/>
      <c r="W1412" s="96">
        <v>0</v>
      </c>
      <c r="X1412" s="71">
        <f>CU1412</f>
        <v>0</v>
      </c>
      <c r="Y1412" s="71">
        <f>CY1412</f>
        <v>0</v>
      </c>
      <c r="Z1412" s="71">
        <f>DA1412+DC1412+DE1412</f>
        <v>0</v>
      </c>
      <c r="AA1412" s="71">
        <f>CW1412</f>
        <v>0</v>
      </c>
      <c r="AB1412" s="71"/>
      <c r="AC1412" s="71">
        <v>0</v>
      </c>
      <c r="AD1412" s="71">
        <f>W1412+X1412+Y1412+Z1412+AA1412+AB1412+AC1412</f>
        <v>0</v>
      </c>
      <c r="AE1412" s="72">
        <v>0</v>
      </c>
      <c r="AF1412" s="5"/>
      <c r="AG1412" s="6"/>
      <c r="AH1412" s="27" t="s">
        <v>3392</v>
      </c>
      <c r="AI1412" s="44" t="s">
        <v>3393</v>
      </c>
      <c r="AJ1412" s="26"/>
      <c r="AK1412" s="5"/>
      <c r="AL1412" s="82" t="s">
        <v>4239</v>
      </c>
      <c r="AM1412" s="76"/>
      <c r="AN1412" s="76"/>
      <c r="AO1412" s="76"/>
      <c r="AP1412" s="76"/>
      <c r="AQ1412" s="76"/>
      <c r="AR1412" s="76"/>
      <c r="AS1412" s="76"/>
      <c r="AT1412" s="76"/>
      <c r="AU1412" s="76"/>
      <c r="AV1412" s="76"/>
      <c r="AW1412" s="76"/>
      <c r="AX1412" s="76">
        <f>+AW1412*600000</f>
        <v>0</v>
      </c>
      <c r="AY1412" s="76"/>
      <c r="AZ1412" s="76">
        <f>+AY1412*70000</f>
        <v>0</v>
      </c>
      <c r="BA1412" s="76"/>
      <c r="BB1412" s="76"/>
      <c r="BC1412" s="76"/>
      <c r="BD1412" s="76">
        <f>+BC1412*30000</f>
        <v>0</v>
      </c>
      <c r="BE1412" s="76"/>
      <c r="BF1412" s="76"/>
      <c r="BG1412" s="76"/>
      <c r="BH1412" s="76"/>
      <c r="BI1412" s="76"/>
      <c r="BJ1412" s="76"/>
      <c r="BK1412" s="76"/>
      <c r="BL1412" s="76">
        <f>+BK1412*31500</f>
        <v>0</v>
      </c>
      <c r="BM1412" s="76"/>
      <c r="BN1412" s="76"/>
      <c r="BO1412" s="76"/>
      <c r="BP1412" s="76"/>
      <c r="BQ1412" s="76"/>
      <c r="BR1412" s="76"/>
      <c r="BS1412" s="76"/>
      <c r="BT1412" s="76"/>
      <c r="BU1412" s="76"/>
      <c r="BV1412" s="76"/>
      <c r="BW1412" s="76"/>
      <c r="BX1412" s="76"/>
      <c r="BY1412" s="76"/>
      <c r="BZ1412" s="76"/>
      <c r="CA1412" s="76"/>
      <c r="CB1412" s="76"/>
      <c r="CC1412" s="76"/>
      <c r="CD1412" s="76"/>
      <c r="CE1412" s="76"/>
      <c r="CF1412" s="76">
        <f>+CE1412*28000</f>
        <v>0</v>
      </c>
      <c r="CG1412" s="76"/>
      <c r="CH1412" s="76">
        <f>+CG1412*22500</f>
        <v>0</v>
      </c>
      <c r="CI1412" s="76"/>
      <c r="CJ1412" s="76">
        <f>+CI1412*26000</f>
        <v>0</v>
      </c>
      <c r="CK1412" s="76"/>
      <c r="CL1412" s="76"/>
      <c r="CM1412" s="76"/>
      <c r="CN1412" s="76">
        <f>+CM1412*22000</f>
        <v>0</v>
      </c>
      <c r="CO1412" s="76"/>
      <c r="CP1412" s="76">
        <f>+CO1412*46000</f>
        <v>0</v>
      </c>
      <c r="CQ1412" s="76"/>
      <c r="CR1412" s="76">
        <f>+CQ1412*49000</f>
        <v>0</v>
      </c>
      <c r="CS1412" s="76"/>
      <c r="CT1412" s="76"/>
      <c r="CU1412" s="56">
        <f>AN1412+AP1412+AR1412+AT1412+AV1412+AX1412+AZ1412+BB1412+BD1412+BF1412+BH1412+BJ1412+BL1412+BN1412+BP1412+BR1412+BT1412+BV1412+BX1412+BZ1412+CB1412+CD1412+CF1412+CH1412+CJ1412+CL1412+CN1412+CP1412+CR1412+CT1412</f>
        <v>0</v>
      </c>
      <c r="CV1412" s="76"/>
      <c r="CW1412" s="76">
        <f>+CV1412*1100</f>
        <v>0</v>
      </c>
      <c r="CX1412" s="76"/>
      <c r="CY1412" s="76">
        <f>+CX1412*106250</f>
        <v>0</v>
      </c>
      <c r="CZ1412" s="76"/>
      <c r="DA1412" s="76">
        <f>+CZ1412*34500</f>
        <v>0</v>
      </c>
      <c r="DB1412" s="76"/>
      <c r="DC1412" s="76">
        <f>+DB1412*25000</f>
        <v>0</v>
      </c>
      <c r="DD1412" s="219"/>
      <c r="DE1412" s="219"/>
      <c r="DF1412" s="166"/>
      <c r="DG1412" s="116"/>
      <c r="DH1412" s="117"/>
      <c r="DI1412" s="24"/>
      <c r="DJ1412" s="24"/>
      <c r="DK1412" s="24"/>
      <c r="DL1412" s="24"/>
      <c r="DM1412" s="24"/>
      <c r="DN1412" s="24"/>
      <c r="DO1412" s="24"/>
      <c r="DP1412" s="24"/>
      <c r="DQ1412" s="24"/>
      <c r="DR1412" s="24"/>
      <c r="DS1412" s="24"/>
      <c r="DT1412" s="24"/>
      <c r="DU1412" s="24"/>
    </row>
    <row r="1413" spans="1:125" s="8" customFormat="1" ht="36" x14ac:dyDescent="0.2">
      <c r="A1413" s="353">
        <v>41372</v>
      </c>
      <c r="B1413" s="352" t="s">
        <v>2087</v>
      </c>
      <c r="C1413" s="354" t="s">
        <v>2692</v>
      </c>
      <c r="D1413" s="75" t="s">
        <v>3051</v>
      </c>
      <c r="E1413" s="75" t="str">
        <f>VLOOKUP(B1413&amp;C1413,Divipola!$C$2:$F$1138,4,FALSE)</f>
        <v>18001</v>
      </c>
      <c r="F1413" s="87"/>
      <c r="G1413" s="87"/>
      <c r="H1413" s="87"/>
      <c r="I1413" s="87"/>
      <c r="J1413" s="87"/>
      <c r="K1413" s="87"/>
      <c r="L1413" s="87"/>
      <c r="M1413" s="87"/>
      <c r="N1413" s="87"/>
      <c r="O1413" s="87"/>
      <c r="P1413" s="87"/>
      <c r="Q1413" s="87"/>
      <c r="R1413" s="87"/>
      <c r="S1413" s="87"/>
      <c r="T1413" s="87"/>
      <c r="U1413" s="88"/>
      <c r="V1413" s="134"/>
      <c r="W1413" s="96">
        <v>0</v>
      </c>
      <c r="X1413" s="71">
        <f>CU1413</f>
        <v>0</v>
      </c>
      <c r="Y1413" s="71">
        <f>CY1413</f>
        <v>0</v>
      </c>
      <c r="Z1413" s="71">
        <f>DA1413+DC1413+DE1413</f>
        <v>0</v>
      </c>
      <c r="AA1413" s="71">
        <f>CW1413</f>
        <v>0</v>
      </c>
      <c r="AB1413" s="71"/>
      <c r="AC1413" s="71">
        <v>0</v>
      </c>
      <c r="AD1413" s="71">
        <f>W1413+X1413+Y1413+Z1413+AA1413+AB1413+AC1413</f>
        <v>0</v>
      </c>
      <c r="AE1413" s="72">
        <v>0</v>
      </c>
      <c r="AF1413" s="5"/>
      <c r="AG1413" s="6"/>
      <c r="AH1413" s="27" t="s">
        <v>3392</v>
      </c>
      <c r="AI1413" s="44" t="s">
        <v>3393</v>
      </c>
      <c r="AJ1413" s="26"/>
      <c r="AK1413" s="5"/>
      <c r="AL1413" s="82" t="s">
        <v>4217</v>
      </c>
      <c r="AM1413" s="76"/>
      <c r="AN1413" s="76"/>
      <c r="AO1413" s="76"/>
      <c r="AP1413" s="76"/>
      <c r="AQ1413" s="76"/>
      <c r="AR1413" s="76"/>
      <c r="AS1413" s="76"/>
      <c r="AT1413" s="76"/>
      <c r="AU1413" s="76"/>
      <c r="AV1413" s="76"/>
      <c r="AW1413" s="76"/>
      <c r="AX1413" s="76">
        <f>+AW1413*600000</f>
        <v>0</v>
      </c>
      <c r="AY1413" s="76"/>
      <c r="AZ1413" s="76">
        <f>+AY1413*70000</f>
        <v>0</v>
      </c>
      <c r="BA1413" s="76"/>
      <c r="BB1413" s="76"/>
      <c r="BC1413" s="76"/>
      <c r="BD1413" s="76">
        <f>+BC1413*30000</f>
        <v>0</v>
      </c>
      <c r="BE1413" s="76"/>
      <c r="BF1413" s="76"/>
      <c r="BG1413" s="76"/>
      <c r="BH1413" s="76"/>
      <c r="BI1413" s="76"/>
      <c r="BJ1413" s="76"/>
      <c r="BK1413" s="76"/>
      <c r="BL1413" s="76">
        <f>+BK1413*31500</f>
        <v>0</v>
      </c>
      <c r="BM1413" s="76"/>
      <c r="BN1413" s="76"/>
      <c r="BO1413" s="76"/>
      <c r="BP1413" s="76"/>
      <c r="BQ1413" s="76"/>
      <c r="BR1413" s="76"/>
      <c r="BS1413" s="76"/>
      <c r="BT1413" s="76"/>
      <c r="BU1413" s="76"/>
      <c r="BV1413" s="76"/>
      <c r="BW1413" s="76"/>
      <c r="BX1413" s="76"/>
      <c r="BY1413" s="76"/>
      <c r="BZ1413" s="76"/>
      <c r="CA1413" s="76"/>
      <c r="CB1413" s="76"/>
      <c r="CC1413" s="76"/>
      <c r="CD1413" s="76"/>
      <c r="CE1413" s="76"/>
      <c r="CF1413" s="76">
        <f>+CE1413*28000</f>
        <v>0</v>
      </c>
      <c r="CG1413" s="76"/>
      <c r="CH1413" s="76">
        <f>+CG1413*22500</f>
        <v>0</v>
      </c>
      <c r="CI1413" s="76"/>
      <c r="CJ1413" s="76">
        <f>+CI1413*26000</f>
        <v>0</v>
      </c>
      <c r="CK1413" s="76"/>
      <c r="CL1413" s="76"/>
      <c r="CM1413" s="76"/>
      <c r="CN1413" s="76">
        <f>+CM1413*22000</f>
        <v>0</v>
      </c>
      <c r="CO1413" s="76"/>
      <c r="CP1413" s="76">
        <f>+CO1413*46000</f>
        <v>0</v>
      </c>
      <c r="CQ1413" s="76"/>
      <c r="CR1413" s="76">
        <f>+CQ1413*49000</f>
        <v>0</v>
      </c>
      <c r="CS1413" s="76"/>
      <c r="CT1413" s="76"/>
      <c r="CU1413" s="56">
        <f>AN1413+AP1413+AR1413+AT1413+AV1413+AX1413+AZ1413+BB1413+BD1413+BF1413+BH1413+BJ1413+BL1413+BN1413+BP1413+BR1413+BT1413+BV1413+BX1413+BZ1413+CB1413+CD1413+CF1413+CH1413+CJ1413+CL1413+CN1413+CP1413+CR1413+CT1413</f>
        <v>0</v>
      </c>
      <c r="CV1413" s="76"/>
      <c r="CW1413" s="76">
        <f>+CV1413*1100</f>
        <v>0</v>
      </c>
      <c r="CX1413" s="76"/>
      <c r="CY1413" s="76">
        <f>+CX1413*106250</f>
        <v>0</v>
      </c>
      <c r="CZ1413" s="76"/>
      <c r="DA1413" s="76">
        <f>+CZ1413*34500</f>
        <v>0</v>
      </c>
      <c r="DB1413" s="76"/>
      <c r="DC1413" s="76">
        <f>+DB1413*25000</f>
        <v>0</v>
      </c>
      <c r="DD1413" s="219"/>
      <c r="DE1413" s="219"/>
      <c r="DF1413" s="166"/>
      <c r="DG1413" s="116"/>
      <c r="DH1413" s="117"/>
      <c r="DI1413" s="24"/>
      <c r="DJ1413" s="24"/>
      <c r="DK1413" s="24"/>
      <c r="DL1413" s="24"/>
      <c r="DM1413" s="24"/>
      <c r="DN1413" s="24"/>
      <c r="DO1413" s="24"/>
      <c r="DP1413" s="24"/>
      <c r="DQ1413" s="24"/>
      <c r="DR1413" s="24"/>
      <c r="DS1413" s="24"/>
      <c r="DT1413" s="24"/>
      <c r="DU1413" s="24"/>
    </row>
    <row r="1414" spans="1:125" s="8" customFormat="1" x14ac:dyDescent="0.2">
      <c r="A1414" s="77">
        <v>41372</v>
      </c>
      <c r="B1414" s="78" t="s">
        <v>2854</v>
      </c>
      <c r="C1414" s="75" t="s">
        <v>1346</v>
      </c>
      <c r="D1414" s="75" t="s">
        <v>2882</v>
      </c>
      <c r="E1414" s="75" t="str">
        <f>VLOOKUP(B1414&amp;C1414,Divipola!$C$2:$F$1138,4,FALSE)</f>
        <v>19050</v>
      </c>
      <c r="F1414" s="163"/>
      <c r="G1414" s="163"/>
      <c r="H1414" s="163"/>
      <c r="I1414" s="163">
        <v>1550</v>
      </c>
      <c r="J1414" s="163">
        <v>310</v>
      </c>
      <c r="K1414" s="163"/>
      <c r="L1414" s="163">
        <v>310</v>
      </c>
      <c r="M1414" s="163"/>
      <c r="N1414" s="163"/>
      <c r="O1414" s="163"/>
      <c r="P1414" s="163"/>
      <c r="Q1414" s="163"/>
      <c r="R1414" s="163"/>
      <c r="S1414" s="163"/>
      <c r="T1414" s="163"/>
      <c r="U1414" s="163"/>
      <c r="V1414" s="134"/>
      <c r="W1414" s="96">
        <v>0</v>
      </c>
      <c r="X1414" s="71">
        <f>CU1414</f>
        <v>0</v>
      </c>
      <c r="Y1414" s="71">
        <f>CY1414</f>
        <v>0</v>
      </c>
      <c r="Z1414" s="71">
        <f>DA1414+DC1414+DE1414</f>
        <v>0</v>
      </c>
      <c r="AA1414" s="71">
        <f>CW1414</f>
        <v>0</v>
      </c>
      <c r="AB1414" s="71"/>
      <c r="AC1414" s="71">
        <v>0</v>
      </c>
      <c r="AD1414" s="71">
        <f>W1414+X1414+Y1414+Z1414+AA1414+AB1414+AC1414</f>
        <v>0</v>
      </c>
      <c r="AE1414" s="72">
        <v>0</v>
      </c>
      <c r="AF1414" s="5"/>
      <c r="AG1414" s="6"/>
      <c r="AH1414" s="27" t="s">
        <v>3390</v>
      </c>
      <c r="AI1414" s="44" t="s">
        <v>3393</v>
      </c>
      <c r="AJ1414" s="26"/>
      <c r="AK1414" s="5"/>
      <c r="AL1414" s="82" t="s">
        <v>4393</v>
      </c>
      <c r="AM1414" s="76"/>
      <c r="AN1414" s="76"/>
      <c r="AO1414" s="76"/>
      <c r="AP1414" s="76"/>
      <c r="AQ1414" s="76"/>
      <c r="AR1414" s="76"/>
      <c r="AS1414" s="76"/>
      <c r="AT1414" s="76"/>
      <c r="AU1414" s="76"/>
      <c r="AV1414" s="76"/>
      <c r="AW1414" s="76"/>
      <c r="AX1414" s="76">
        <f>+AW1414*600000</f>
        <v>0</v>
      </c>
      <c r="AY1414" s="76"/>
      <c r="AZ1414" s="76">
        <f>+AY1414*70000</f>
        <v>0</v>
      </c>
      <c r="BA1414" s="76"/>
      <c r="BB1414" s="76"/>
      <c r="BC1414" s="76"/>
      <c r="BD1414" s="76">
        <f>+BC1414*30000</f>
        <v>0</v>
      </c>
      <c r="BE1414" s="76"/>
      <c r="BF1414" s="76"/>
      <c r="BG1414" s="76"/>
      <c r="BH1414" s="76"/>
      <c r="BI1414" s="76"/>
      <c r="BJ1414" s="76"/>
      <c r="BK1414" s="76"/>
      <c r="BL1414" s="76">
        <f>+BK1414*31500</f>
        <v>0</v>
      </c>
      <c r="BM1414" s="76"/>
      <c r="BN1414" s="76"/>
      <c r="BO1414" s="76"/>
      <c r="BP1414" s="76"/>
      <c r="BQ1414" s="76"/>
      <c r="BR1414" s="76"/>
      <c r="BS1414" s="76"/>
      <c r="BT1414" s="76"/>
      <c r="BU1414" s="76"/>
      <c r="BV1414" s="76"/>
      <c r="BW1414" s="76"/>
      <c r="BX1414" s="76"/>
      <c r="BY1414" s="76"/>
      <c r="BZ1414" s="76"/>
      <c r="CA1414" s="76"/>
      <c r="CB1414" s="76"/>
      <c r="CC1414" s="76"/>
      <c r="CD1414" s="76"/>
      <c r="CE1414" s="76"/>
      <c r="CF1414" s="76">
        <f>+CE1414*28000</f>
        <v>0</v>
      </c>
      <c r="CG1414" s="76"/>
      <c r="CH1414" s="76">
        <f>+CG1414*22500</f>
        <v>0</v>
      </c>
      <c r="CI1414" s="76"/>
      <c r="CJ1414" s="76">
        <f>+CI1414*26000</f>
        <v>0</v>
      </c>
      <c r="CK1414" s="76"/>
      <c r="CL1414" s="76"/>
      <c r="CM1414" s="76"/>
      <c r="CN1414" s="76">
        <f>+CM1414*22000</f>
        <v>0</v>
      </c>
      <c r="CO1414" s="76"/>
      <c r="CP1414" s="76">
        <f>+CO1414*46000</f>
        <v>0</v>
      </c>
      <c r="CQ1414" s="76"/>
      <c r="CR1414" s="76">
        <f>+CQ1414*49000</f>
        <v>0</v>
      </c>
      <c r="CS1414" s="76"/>
      <c r="CT1414" s="76"/>
      <c r="CU1414" s="56">
        <f>AN1414+AP1414+AR1414+AT1414+AV1414+AX1414+AZ1414+BB1414+BD1414+BF1414+BH1414+BJ1414+BL1414+BN1414+BP1414+BR1414+BT1414+BV1414+BX1414+BZ1414+CB1414+CD1414+CF1414+CH1414+CJ1414+CL1414+CN1414+CP1414+CR1414+CT1414</f>
        <v>0</v>
      </c>
      <c r="CV1414" s="76"/>
      <c r="CW1414" s="76">
        <f>+CV1414*1100</f>
        <v>0</v>
      </c>
      <c r="CX1414" s="76"/>
      <c r="CY1414" s="76">
        <f>+CX1414*106250</f>
        <v>0</v>
      </c>
      <c r="CZ1414" s="76"/>
      <c r="DA1414" s="76">
        <f>+CZ1414*34500</f>
        <v>0</v>
      </c>
      <c r="DB1414" s="76"/>
      <c r="DC1414" s="76">
        <f>+DB1414*25000</f>
        <v>0</v>
      </c>
      <c r="DD1414" s="219"/>
      <c r="DE1414" s="219"/>
      <c r="DF1414" s="166"/>
      <c r="DG1414" s="116"/>
      <c r="DH1414" s="117"/>
      <c r="DI1414" s="24"/>
      <c r="DJ1414" s="24"/>
      <c r="DK1414" s="24"/>
      <c r="DL1414" s="24"/>
      <c r="DM1414" s="24"/>
      <c r="DN1414" s="24"/>
      <c r="DO1414" s="24"/>
      <c r="DP1414" s="24"/>
      <c r="DQ1414" s="24"/>
      <c r="DR1414" s="24"/>
      <c r="DS1414" s="24"/>
      <c r="DT1414" s="24"/>
      <c r="DU1414" s="24"/>
    </row>
    <row r="1415" spans="1:125" s="8" customFormat="1" ht="60" x14ac:dyDescent="0.2">
      <c r="A1415" s="353">
        <v>41372</v>
      </c>
      <c r="B1415" s="225" t="s">
        <v>2852</v>
      </c>
      <c r="C1415" s="227" t="s">
        <v>1243</v>
      </c>
      <c r="D1415" s="75" t="s">
        <v>3051</v>
      </c>
      <c r="E1415" s="75" t="str">
        <f>VLOOKUP(B1415&amp;C1415,Divipola!$C$2:$F$1138,4,FALSE)</f>
        <v>27430</v>
      </c>
      <c r="F1415" s="87"/>
      <c r="G1415" s="87"/>
      <c r="H1415" s="87"/>
      <c r="I1415" s="87">
        <v>15</v>
      </c>
      <c r="J1415" s="87">
        <v>3</v>
      </c>
      <c r="K1415" s="87"/>
      <c r="L1415" s="87">
        <v>3</v>
      </c>
      <c r="M1415" s="87"/>
      <c r="N1415" s="87"/>
      <c r="O1415" s="87"/>
      <c r="P1415" s="87"/>
      <c r="Q1415" s="87"/>
      <c r="R1415" s="87"/>
      <c r="S1415" s="87">
        <v>3</v>
      </c>
      <c r="T1415" s="87">
        <v>1</v>
      </c>
      <c r="U1415" s="88"/>
      <c r="V1415" s="134"/>
      <c r="W1415" s="96">
        <v>0</v>
      </c>
      <c r="X1415" s="71">
        <f>CU1415</f>
        <v>0</v>
      </c>
      <c r="Y1415" s="71">
        <f>CY1415</f>
        <v>0</v>
      </c>
      <c r="Z1415" s="71">
        <f>DA1415+DC1415+DE1415</f>
        <v>0</v>
      </c>
      <c r="AA1415" s="71">
        <f>CW1415</f>
        <v>0</v>
      </c>
      <c r="AB1415" s="71"/>
      <c r="AC1415" s="71">
        <v>0</v>
      </c>
      <c r="AD1415" s="71">
        <f>W1415+X1415+Y1415+Z1415+AA1415+AB1415+AC1415</f>
        <v>0</v>
      </c>
      <c r="AE1415" s="72">
        <v>0</v>
      </c>
      <c r="AF1415" s="5"/>
      <c r="AG1415" s="6"/>
      <c r="AH1415" s="27" t="s">
        <v>3390</v>
      </c>
      <c r="AI1415" s="44" t="s">
        <v>3391</v>
      </c>
      <c r="AJ1415" s="26"/>
      <c r="AK1415" s="5" t="s">
        <v>3480</v>
      </c>
      <c r="AL1415" s="82" t="s">
        <v>4218</v>
      </c>
      <c r="AM1415" s="76"/>
      <c r="AN1415" s="76"/>
      <c r="AO1415" s="76"/>
      <c r="AP1415" s="76"/>
      <c r="AQ1415" s="76"/>
      <c r="AR1415" s="76"/>
      <c r="AS1415" s="76"/>
      <c r="AT1415" s="76"/>
      <c r="AU1415" s="76"/>
      <c r="AV1415" s="76"/>
      <c r="AW1415" s="76"/>
      <c r="AX1415" s="76">
        <f>+AW1415*600000</f>
        <v>0</v>
      </c>
      <c r="AY1415" s="76"/>
      <c r="AZ1415" s="76">
        <f>+AY1415*70000</f>
        <v>0</v>
      </c>
      <c r="BA1415" s="76"/>
      <c r="BB1415" s="76"/>
      <c r="BC1415" s="76"/>
      <c r="BD1415" s="76">
        <f>+BC1415*30000</f>
        <v>0</v>
      </c>
      <c r="BE1415" s="76"/>
      <c r="BF1415" s="76"/>
      <c r="BG1415" s="76"/>
      <c r="BH1415" s="76"/>
      <c r="BI1415" s="76"/>
      <c r="BJ1415" s="76"/>
      <c r="BK1415" s="76"/>
      <c r="BL1415" s="76">
        <f>+BK1415*31500</f>
        <v>0</v>
      </c>
      <c r="BM1415" s="76"/>
      <c r="BN1415" s="76"/>
      <c r="BO1415" s="76"/>
      <c r="BP1415" s="76"/>
      <c r="BQ1415" s="76"/>
      <c r="BR1415" s="76"/>
      <c r="BS1415" s="76"/>
      <c r="BT1415" s="76"/>
      <c r="BU1415" s="76"/>
      <c r="BV1415" s="76"/>
      <c r="BW1415" s="76"/>
      <c r="BX1415" s="76"/>
      <c r="BY1415" s="76"/>
      <c r="BZ1415" s="76"/>
      <c r="CA1415" s="76"/>
      <c r="CB1415" s="76"/>
      <c r="CC1415" s="76"/>
      <c r="CD1415" s="76"/>
      <c r="CE1415" s="76"/>
      <c r="CF1415" s="76">
        <f>+CE1415*28000</f>
        <v>0</v>
      </c>
      <c r="CG1415" s="76"/>
      <c r="CH1415" s="76">
        <f>+CG1415*22500</f>
        <v>0</v>
      </c>
      <c r="CI1415" s="76"/>
      <c r="CJ1415" s="76">
        <f>+CI1415*26000</f>
        <v>0</v>
      </c>
      <c r="CK1415" s="76"/>
      <c r="CL1415" s="76"/>
      <c r="CM1415" s="76"/>
      <c r="CN1415" s="76">
        <f>+CM1415*22000</f>
        <v>0</v>
      </c>
      <c r="CO1415" s="76"/>
      <c r="CP1415" s="76">
        <f>+CO1415*46000</f>
        <v>0</v>
      </c>
      <c r="CQ1415" s="76"/>
      <c r="CR1415" s="76">
        <f>+CQ1415*49000</f>
        <v>0</v>
      </c>
      <c r="CS1415" s="76"/>
      <c r="CT1415" s="76"/>
      <c r="CU1415" s="56">
        <f>AN1415+AP1415+AR1415+AT1415+AV1415+AX1415+AZ1415+BB1415+BD1415+BF1415+BH1415+BJ1415+BL1415+BN1415+BP1415+BR1415+BT1415+BV1415+BX1415+BZ1415+CB1415+CD1415+CF1415+CH1415+CJ1415+CL1415+CN1415+CP1415+CR1415+CT1415</f>
        <v>0</v>
      </c>
      <c r="CV1415" s="76"/>
      <c r="CW1415" s="76">
        <f>+CV1415*1100</f>
        <v>0</v>
      </c>
      <c r="CX1415" s="76"/>
      <c r="CY1415" s="76">
        <f>+CX1415*106250</f>
        <v>0</v>
      </c>
      <c r="CZ1415" s="76"/>
      <c r="DA1415" s="76">
        <f>+CZ1415*34500</f>
        <v>0</v>
      </c>
      <c r="DB1415" s="76"/>
      <c r="DC1415" s="76">
        <f>+DB1415*25000</f>
        <v>0</v>
      </c>
      <c r="DD1415" s="219"/>
      <c r="DE1415" s="219"/>
      <c r="DF1415" s="166"/>
      <c r="DG1415" s="116"/>
      <c r="DH1415" s="117"/>
      <c r="DI1415" s="24"/>
      <c r="DJ1415" s="24"/>
      <c r="DK1415" s="24"/>
      <c r="DL1415" s="24"/>
      <c r="DM1415" s="24"/>
      <c r="DN1415" s="24"/>
      <c r="DO1415" s="24"/>
      <c r="DP1415" s="24"/>
      <c r="DQ1415" s="24"/>
      <c r="DR1415" s="24"/>
      <c r="DS1415" s="24"/>
      <c r="DT1415" s="24"/>
      <c r="DU1415" s="24"/>
    </row>
    <row r="1416" spans="1:125" s="8" customFormat="1" ht="72" x14ac:dyDescent="0.2">
      <c r="A1416" s="353">
        <v>41372</v>
      </c>
      <c r="B1416" s="225" t="s">
        <v>2772</v>
      </c>
      <c r="C1416" s="227" t="s">
        <v>1022</v>
      </c>
      <c r="D1416" s="75" t="s">
        <v>3051</v>
      </c>
      <c r="E1416" s="75" t="str">
        <f>VLOOKUP(B1416&amp;C1416,Divipola!$C$2:$F$1138,4,FALSE)</f>
        <v>25123</v>
      </c>
      <c r="F1416" s="87"/>
      <c r="G1416" s="87"/>
      <c r="H1416" s="87"/>
      <c r="I1416" s="87"/>
      <c r="J1416" s="87"/>
      <c r="K1416" s="87"/>
      <c r="L1416" s="87"/>
      <c r="M1416" s="87"/>
      <c r="N1416" s="87"/>
      <c r="O1416" s="87"/>
      <c r="P1416" s="87"/>
      <c r="Q1416" s="87"/>
      <c r="R1416" s="87"/>
      <c r="S1416" s="87"/>
      <c r="T1416" s="87"/>
      <c r="U1416" s="88"/>
      <c r="V1416" s="89"/>
      <c r="W1416" s="96">
        <v>0</v>
      </c>
      <c r="X1416" s="71">
        <f>CU1416</f>
        <v>0</v>
      </c>
      <c r="Y1416" s="71">
        <f>CY1416</f>
        <v>0</v>
      </c>
      <c r="Z1416" s="71">
        <f>DA1416+DC1416+DE1416</f>
        <v>0</v>
      </c>
      <c r="AA1416" s="71">
        <f>CW1416</f>
        <v>0</v>
      </c>
      <c r="AB1416" s="71"/>
      <c r="AC1416" s="71">
        <v>0</v>
      </c>
      <c r="AD1416" s="71">
        <f>W1416+X1416+Y1416+Z1416+AA1416+AB1416+AC1416</f>
        <v>0</v>
      </c>
      <c r="AE1416" s="72">
        <v>0</v>
      </c>
      <c r="AF1416" s="5"/>
      <c r="AG1416" s="6"/>
      <c r="AH1416" s="27" t="s">
        <v>3392</v>
      </c>
      <c r="AI1416" s="44" t="s">
        <v>3393</v>
      </c>
      <c r="AJ1416" s="26"/>
      <c r="AK1416" s="5"/>
      <c r="AL1416" s="82" t="s">
        <v>4224</v>
      </c>
      <c r="AM1416" s="76"/>
      <c r="AN1416" s="76"/>
      <c r="AO1416" s="76"/>
      <c r="AP1416" s="76"/>
      <c r="AQ1416" s="76"/>
      <c r="AR1416" s="76"/>
      <c r="AS1416" s="76"/>
      <c r="AT1416" s="76"/>
      <c r="AU1416" s="76"/>
      <c r="AV1416" s="76"/>
      <c r="AW1416" s="76"/>
      <c r="AX1416" s="76">
        <f>+AW1416*600000</f>
        <v>0</v>
      </c>
      <c r="AY1416" s="76"/>
      <c r="AZ1416" s="76">
        <f>+AY1416*70000</f>
        <v>0</v>
      </c>
      <c r="BA1416" s="76"/>
      <c r="BB1416" s="76"/>
      <c r="BC1416" s="76"/>
      <c r="BD1416" s="76">
        <f>+BC1416*30000</f>
        <v>0</v>
      </c>
      <c r="BE1416" s="76"/>
      <c r="BF1416" s="76"/>
      <c r="BG1416" s="76"/>
      <c r="BH1416" s="76"/>
      <c r="BI1416" s="76"/>
      <c r="BJ1416" s="76"/>
      <c r="BK1416" s="76"/>
      <c r="BL1416" s="76">
        <f>+BK1416*31500</f>
        <v>0</v>
      </c>
      <c r="BM1416" s="76"/>
      <c r="BN1416" s="76"/>
      <c r="BO1416" s="76"/>
      <c r="BP1416" s="76"/>
      <c r="BQ1416" s="76"/>
      <c r="BR1416" s="76"/>
      <c r="BS1416" s="76"/>
      <c r="BT1416" s="76"/>
      <c r="BU1416" s="76"/>
      <c r="BV1416" s="76"/>
      <c r="BW1416" s="76"/>
      <c r="BX1416" s="76"/>
      <c r="BY1416" s="76"/>
      <c r="BZ1416" s="76"/>
      <c r="CA1416" s="76"/>
      <c r="CB1416" s="76"/>
      <c r="CC1416" s="76"/>
      <c r="CD1416" s="76"/>
      <c r="CE1416" s="76"/>
      <c r="CF1416" s="76">
        <f>+CE1416*28000</f>
        <v>0</v>
      </c>
      <c r="CG1416" s="76"/>
      <c r="CH1416" s="76">
        <f>+CG1416*22500</f>
        <v>0</v>
      </c>
      <c r="CI1416" s="76"/>
      <c r="CJ1416" s="76">
        <f>+CI1416*26000</f>
        <v>0</v>
      </c>
      <c r="CK1416" s="76"/>
      <c r="CL1416" s="76"/>
      <c r="CM1416" s="76"/>
      <c r="CN1416" s="76">
        <f>+CM1416*22000</f>
        <v>0</v>
      </c>
      <c r="CO1416" s="76"/>
      <c r="CP1416" s="76">
        <f>+CO1416*46000</f>
        <v>0</v>
      </c>
      <c r="CQ1416" s="76"/>
      <c r="CR1416" s="76">
        <f>+CQ1416*49000</f>
        <v>0</v>
      </c>
      <c r="CS1416" s="76"/>
      <c r="CT1416" s="76"/>
      <c r="CU1416" s="56">
        <f>AN1416+AP1416+AR1416+AT1416+AV1416+AX1416+AZ1416+BB1416+BD1416+BF1416+BH1416+BJ1416+BL1416+BN1416+BP1416+BR1416+BT1416+BV1416+BX1416+BZ1416+CB1416+CD1416+CF1416+CH1416+CJ1416+CL1416+CN1416+CP1416+CR1416+CT1416</f>
        <v>0</v>
      </c>
      <c r="CV1416" s="76"/>
      <c r="CW1416" s="76">
        <f>+CV1416*1100</f>
        <v>0</v>
      </c>
      <c r="CX1416" s="76"/>
      <c r="CY1416" s="76">
        <f>+CX1416*106250</f>
        <v>0</v>
      </c>
      <c r="CZ1416" s="76"/>
      <c r="DA1416" s="76">
        <f>+CZ1416*34500</f>
        <v>0</v>
      </c>
      <c r="DB1416" s="76"/>
      <c r="DC1416" s="76">
        <f>+DB1416*25000</f>
        <v>0</v>
      </c>
      <c r="DD1416" s="219"/>
      <c r="DE1416" s="219"/>
      <c r="DF1416" s="166"/>
      <c r="DG1416" s="116"/>
      <c r="DH1416" s="117"/>
      <c r="DI1416" s="24"/>
      <c r="DJ1416" s="24"/>
      <c r="DK1416" s="24"/>
      <c r="DL1416" s="24"/>
      <c r="DM1416" s="24"/>
      <c r="DN1416" s="24"/>
      <c r="DO1416" s="24"/>
      <c r="DP1416" s="24"/>
      <c r="DQ1416" s="24"/>
      <c r="DR1416" s="24"/>
      <c r="DS1416" s="24"/>
      <c r="DT1416" s="24"/>
      <c r="DU1416" s="24"/>
    </row>
    <row r="1417" spans="1:125" s="8" customFormat="1" ht="84" x14ac:dyDescent="0.2">
      <c r="A1417" s="97">
        <v>41372</v>
      </c>
      <c r="B1417" s="60" t="s">
        <v>2772</v>
      </c>
      <c r="C1417" s="55" t="s">
        <v>1028</v>
      </c>
      <c r="D1417" s="81" t="s">
        <v>2846</v>
      </c>
      <c r="E1417" s="75" t="str">
        <f>VLOOKUP(B1417&amp;C1417,Divipola!$C$2:$F$1138,4,FALSE)</f>
        <v>25151</v>
      </c>
      <c r="F1417" s="87"/>
      <c r="G1417" s="87"/>
      <c r="H1417" s="87"/>
      <c r="I1417" s="87"/>
      <c r="J1417" s="87"/>
      <c r="K1417" s="87"/>
      <c r="L1417" s="87"/>
      <c r="M1417" s="87"/>
      <c r="N1417" s="87"/>
      <c r="O1417" s="87"/>
      <c r="P1417" s="87"/>
      <c r="Q1417" s="87"/>
      <c r="R1417" s="87"/>
      <c r="S1417" s="87"/>
      <c r="T1417" s="87"/>
      <c r="U1417" s="88">
        <v>3</v>
      </c>
      <c r="V1417" s="89"/>
      <c r="W1417" s="96">
        <v>0</v>
      </c>
      <c r="X1417" s="71">
        <f>CU1417</f>
        <v>0</v>
      </c>
      <c r="Y1417" s="71">
        <f>CY1417</f>
        <v>0</v>
      </c>
      <c r="Z1417" s="71">
        <f>DA1417+DC1417+DE1417</f>
        <v>0</v>
      </c>
      <c r="AA1417" s="71">
        <f>CW1417</f>
        <v>0</v>
      </c>
      <c r="AB1417" s="71"/>
      <c r="AC1417" s="71">
        <v>0</v>
      </c>
      <c r="AD1417" s="71">
        <f>W1417+X1417+Y1417+Z1417+AA1417+AB1417+AC1417</f>
        <v>0</v>
      </c>
      <c r="AE1417" s="72">
        <v>0</v>
      </c>
      <c r="AF1417" s="5"/>
      <c r="AG1417" s="6"/>
      <c r="AH1417" s="27" t="s">
        <v>3392</v>
      </c>
      <c r="AI1417" s="44" t="s">
        <v>3393</v>
      </c>
      <c r="AJ1417" s="26"/>
      <c r="AK1417" s="5"/>
      <c r="AL1417" s="82" t="s">
        <v>4230</v>
      </c>
      <c r="AM1417" s="76"/>
      <c r="AN1417" s="76"/>
      <c r="AO1417" s="76"/>
      <c r="AP1417" s="76"/>
      <c r="AQ1417" s="76"/>
      <c r="AR1417" s="76"/>
      <c r="AS1417" s="76"/>
      <c r="AT1417" s="76"/>
      <c r="AU1417" s="76"/>
      <c r="AV1417" s="76"/>
      <c r="AW1417" s="76"/>
      <c r="AX1417" s="76">
        <f>+AW1417*600000</f>
        <v>0</v>
      </c>
      <c r="AY1417" s="76"/>
      <c r="AZ1417" s="76">
        <f>+AY1417*70000</f>
        <v>0</v>
      </c>
      <c r="BA1417" s="76"/>
      <c r="BB1417" s="76"/>
      <c r="BC1417" s="76"/>
      <c r="BD1417" s="76">
        <f>+BC1417*30000</f>
        <v>0</v>
      </c>
      <c r="BE1417" s="76"/>
      <c r="BF1417" s="76"/>
      <c r="BG1417" s="76"/>
      <c r="BH1417" s="76"/>
      <c r="BI1417" s="76"/>
      <c r="BJ1417" s="76"/>
      <c r="BK1417" s="76"/>
      <c r="BL1417" s="76">
        <f>+BK1417*31500</f>
        <v>0</v>
      </c>
      <c r="BM1417" s="76"/>
      <c r="BN1417" s="76"/>
      <c r="BO1417" s="76"/>
      <c r="BP1417" s="76"/>
      <c r="BQ1417" s="76"/>
      <c r="BR1417" s="76"/>
      <c r="BS1417" s="76"/>
      <c r="BT1417" s="76"/>
      <c r="BU1417" s="76"/>
      <c r="BV1417" s="76"/>
      <c r="BW1417" s="76"/>
      <c r="BX1417" s="76"/>
      <c r="BY1417" s="76"/>
      <c r="BZ1417" s="76"/>
      <c r="CA1417" s="76"/>
      <c r="CB1417" s="76"/>
      <c r="CC1417" s="76"/>
      <c r="CD1417" s="76"/>
      <c r="CE1417" s="76"/>
      <c r="CF1417" s="76">
        <f>+CE1417*28000</f>
        <v>0</v>
      </c>
      <c r="CG1417" s="76"/>
      <c r="CH1417" s="76">
        <f>+CG1417*22500</f>
        <v>0</v>
      </c>
      <c r="CI1417" s="76"/>
      <c r="CJ1417" s="76">
        <f>+CI1417*26000</f>
        <v>0</v>
      </c>
      <c r="CK1417" s="76"/>
      <c r="CL1417" s="76"/>
      <c r="CM1417" s="76"/>
      <c r="CN1417" s="76">
        <f>+CM1417*22000</f>
        <v>0</v>
      </c>
      <c r="CO1417" s="76"/>
      <c r="CP1417" s="76">
        <f>+CO1417*46000</f>
        <v>0</v>
      </c>
      <c r="CQ1417" s="76"/>
      <c r="CR1417" s="76">
        <f>+CQ1417*49000</f>
        <v>0</v>
      </c>
      <c r="CS1417" s="76"/>
      <c r="CT1417" s="76"/>
      <c r="CU1417" s="56">
        <f>AN1417+AP1417+AR1417+AT1417+AV1417+AX1417+AZ1417+BB1417+BD1417+BF1417+BH1417+BJ1417+BL1417+BN1417+BP1417+BR1417+BT1417+BV1417+BX1417+BZ1417+CB1417+CD1417+CF1417+CH1417+CJ1417+CL1417+CN1417+CP1417+CR1417+CT1417</f>
        <v>0</v>
      </c>
      <c r="CV1417" s="76"/>
      <c r="CW1417" s="76">
        <f>+CV1417*1100</f>
        <v>0</v>
      </c>
      <c r="CX1417" s="76"/>
      <c r="CY1417" s="76">
        <f>+CX1417*106250</f>
        <v>0</v>
      </c>
      <c r="CZ1417" s="76"/>
      <c r="DA1417" s="76">
        <f>+CZ1417*34500</f>
        <v>0</v>
      </c>
      <c r="DB1417" s="76"/>
      <c r="DC1417" s="76">
        <f>+DB1417*25000</f>
        <v>0</v>
      </c>
      <c r="DD1417" s="219"/>
      <c r="DE1417" s="219"/>
      <c r="DF1417" s="166"/>
      <c r="DG1417" s="116"/>
      <c r="DH1417" s="117"/>
      <c r="DI1417" s="24"/>
      <c r="DJ1417" s="24"/>
      <c r="DK1417" s="24"/>
      <c r="DL1417" s="24"/>
      <c r="DM1417" s="24"/>
      <c r="DN1417" s="24"/>
      <c r="DO1417" s="24"/>
      <c r="DP1417" s="24"/>
      <c r="DQ1417" s="24"/>
      <c r="DR1417" s="24"/>
      <c r="DS1417" s="24"/>
      <c r="DT1417" s="24"/>
      <c r="DU1417" s="24"/>
    </row>
    <row r="1418" spans="1:125" s="8" customFormat="1" ht="60" x14ac:dyDescent="0.2">
      <c r="A1418" s="226">
        <v>41372</v>
      </c>
      <c r="B1418" s="225" t="s">
        <v>2772</v>
      </c>
      <c r="C1418" s="227" t="s">
        <v>2829</v>
      </c>
      <c r="D1418" s="81" t="s">
        <v>2846</v>
      </c>
      <c r="E1418" s="75" t="str">
        <f>VLOOKUP(B1418&amp;C1418,Divipola!$C$2:$F$1138,4,FALSE)</f>
        <v>25372</v>
      </c>
      <c r="F1418" s="87"/>
      <c r="G1418" s="87"/>
      <c r="H1418" s="87"/>
      <c r="I1418" s="87"/>
      <c r="J1418" s="87"/>
      <c r="K1418" s="87"/>
      <c r="L1418" s="87"/>
      <c r="M1418" s="87"/>
      <c r="N1418" s="87"/>
      <c r="O1418" s="87"/>
      <c r="P1418" s="87"/>
      <c r="Q1418" s="87"/>
      <c r="R1418" s="87"/>
      <c r="S1418" s="87"/>
      <c r="T1418" s="87"/>
      <c r="U1418" s="88">
        <v>3</v>
      </c>
      <c r="V1418" s="89"/>
      <c r="W1418" s="96">
        <v>0</v>
      </c>
      <c r="X1418" s="71">
        <f>CU1418</f>
        <v>0</v>
      </c>
      <c r="Y1418" s="71">
        <f>CY1418</f>
        <v>0</v>
      </c>
      <c r="Z1418" s="71">
        <f>DA1418+DC1418+DE1418</f>
        <v>0</v>
      </c>
      <c r="AA1418" s="71">
        <f>CW1418</f>
        <v>0</v>
      </c>
      <c r="AB1418" s="71"/>
      <c r="AC1418" s="71">
        <v>0</v>
      </c>
      <c r="AD1418" s="71">
        <f>W1418+X1418+Y1418+Z1418+AA1418+AB1418+AC1418</f>
        <v>0</v>
      </c>
      <c r="AE1418" s="72">
        <v>0</v>
      </c>
      <c r="AF1418" s="5"/>
      <c r="AG1418" s="6"/>
      <c r="AH1418" s="27" t="s">
        <v>3392</v>
      </c>
      <c r="AI1418" s="44" t="s">
        <v>3393</v>
      </c>
      <c r="AJ1418" s="26"/>
      <c r="AK1418" s="5"/>
      <c r="AL1418" s="82" t="s">
        <v>4229</v>
      </c>
      <c r="AM1418" s="76"/>
      <c r="AN1418" s="76"/>
      <c r="AO1418" s="76"/>
      <c r="AP1418" s="76"/>
      <c r="AQ1418" s="76"/>
      <c r="AR1418" s="76"/>
      <c r="AS1418" s="76"/>
      <c r="AT1418" s="76"/>
      <c r="AU1418" s="76"/>
      <c r="AV1418" s="76"/>
      <c r="AW1418" s="76"/>
      <c r="AX1418" s="76">
        <f>+AW1418*600000</f>
        <v>0</v>
      </c>
      <c r="AY1418" s="76"/>
      <c r="AZ1418" s="76">
        <f>+AY1418*70000</f>
        <v>0</v>
      </c>
      <c r="BA1418" s="76"/>
      <c r="BB1418" s="76"/>
      <c r="BC1418" s="76"/>
      <c r="BD1418" s="76">
        <f>+BC1418*30000</f>
        <v>0</v>
      </c>
      <c r="BE1418" s="76"/>
      <c r="BF1418" s="76"/>
      <c r="BG1418" s="76"/>
      <c r="BH1418" s="76"/>
      <c r="BI1418" s="76"/>
      <c r="BJ1418" s="76"/>
      <c r="BK1418" s="76"/>
      <c r="BL1418" s="76">
        <f>+BK1418*31500</f>
        <v>0</v>
      </c>
      <c r="BM1418" s="76"/>
      <c r="BN1418" s="76"/>
      <c r="BO1418" s="76"/>
      <c r="BP1418" s="76"/>
      <c r="BQ1418" s="76"/>
      <c r="BR1418" s="76"/>
      <c r="BS1418" s="76"/>
      <c r="BT1418" s="76"/>
      <c r="BU1418" s="76"/>
      <c r="BV1418" s="76"/>
      <c r="BW1418" s="76"/>
      <c r="BX1418" s="76"/>
      <c r="BY1418" s="76"/>
      <c r="BZ1418" s="76"/>
      <c r="CA1418" s="76"/>
      <c r="CB1418" s="76"/>
      <c r="CC1418" s="76"/>
      <c r="CD1418" s="76"/>
      <c r="CE1418" s="76"/>
      <c r="CF1418" s="76">
        <f>+CE1418*28000</f>
        <v>0</v>
      </c>
      <c r="CG1418" s="76"/>
      <c r="CH1418" s="76">
        <f>+CG1418*22500</f>
        <v>0</v>
      </c>
      <c r="CI1418" s="76"/>
      <c r="CJ1418" s="76">
        <f>+CI1418*26000</f>
        <v>0</v>
      </c>
      <c r="CK1418" s="76"/>
      <c r="CL1418" s="76"/>
      <c r="CM1418" s="76"/>
      <c r="CN1418" s="76">
        <f>+CM1418*22000</f>
        <v>0</v>
      </c>
      <c r="CO1418" s="76"/>
      <c r="CP1418" s="76">
        <f>+CO1418*46000</f>
        <v>0</v>
      </c>
      <c r="CQ1418" s="76"/>
      <c r="CR1418" s="76">
        <f>+CQ1418*49000</f>
        <v>0</v>
      </c>
      <c r="CS1418" s="76"/>
      <c r="CT1418" s="76"/>
      <c r="CU1418" s="56">
        <f>AN1418+AP1418+AR1418+AT1418+AV1418+AX1418+AZ1418+BB1418+BD1418+BF1418+BH1418+BJ1418+BL1418+BN1418+BP1418+BR1418+BT1418+BV1418+BX1418+BZ1418+CB1418+CD1418+CF1418+CH1418+CJ1418+CL1418+CN1418+CP1418+CR1418+CT1418</f>
        <v>0</v>
      </c>
      <c r="CV1418" s="76"/>
      <c r="CW1418" s="76">
        <f>+CV1418*1100</f>
        <v>0</v>
      </c>
      <c r="CX1418" s="76"/>
      <c r="CY1418" s="76">
        <f>+CX1418*106250</f>
        <v>0</v>
      </c>
      <c r="CZ1418" s="76"/>
      <c r="DA1418" s="76">
        <f>+CZ1418*34500</f>
        <v>0</v>
      </c>
      <c r="DB1418" s="76"/>
      <c r="DC1418" s="76">
        <f>+DB1418*25000</f>
        <v>0</v>
      </c>
      <c r="DD1418" s="219"/>
      <c r="DE1418" s="219"/>
      <c r="DF1418" s="166"/>
      <c r="DG1418" s="116"/>
      <c r="DH1418" s="117"/>
      <c r="DI1418" s="24"/>
      <c r="DJ1418" s="24"/>
      <c r="DK1418" s="24"/>
      <c r="DL1418" s="24"/>
      <c r="DM1418" s="24"/>
      <c r="DN1418" s="24"/>
      <c r="DO1418" s="24"/>
      <c r="DP1418" s="24"/>
      <c r="DQ1418" s="24"/>
      <c r="DR1418" s="24"/>
      <c r="DS1418" s="24"/>
      <c r="DT1418" s="24"/>
      <c r="DU1418" s="24"/>
    </row>
    <row r="1419" spans="1:125" s="8" customFormat="1" ht="144" x14ac:dyDescent="0.2">
      <c r="A1419" s="77">
        <v>41372</v>
      </c>
      <c r="B1419" s="78" t="s">
        <v>2772</v>
      </c>
      <c r="C1419" s="75" t="s">
        <v>488</v>
      </c>
      <c r="D1419" s="75" t="s">
        <v>2882</v>
      </c>
      <c r="E1419" s="75" t="str">
        <f>VLOOKUP(B1419&amp;C1419,Divipola!$C$2:$F$1138,4,FALSE)</f>
        <v>25823</v>
      </c>
      <c r="F1419" s="87"/>
      <c r="G1419" s="87"/>
      <c r="H1419" s="87"/>
      <c r="I1419" s="87">
        <v>250</v>
      </c>
      <c r="J1419" s="87">
        <v>50</v>
      </c>
      <c r="K1419" s="87"/>
      <c r="L1419" s="87">
        <v>50</v>
      </c>
      <c r="M1419" s="87">
        <v>12</v>
      </c>
      <c r="N1419" s="87"/>
      <c r="O1419" s="87"/>
      <c r="P1419" s="87"/>
      <c r="Q1419" s="87"/>
      <c r="R1419" s="87"/>
      <c r="S1419" s="87">
        <v>3</v>
      </c>
      <c r="T1419" s="87"/>
      <c r="U1419" s="88"/>
      <c r="V1419" s="89"/>
      <c r="W1419" s="96">
        <v>0</v>
      </c>
      <c r="X1419" s="71">
        <f>CU1419</f>
        <v>0</v>
      </c>
      <c r="Y1419" s="71">
        <f>CY1419</f>
        <v>0</v>
      </c>
      <c r="Z1419" s="71">
        <f>DA1419+DC1419+DE1419</f>
        <v>0</v>
      </c>
      <c r="AA1419" s="71">
        <f>CW1419</f>
        <v>0</v>
      </c>
      <c r="AB1419" s="71"/>
      <c r="AC1419" s="71">
        <v>0</v>
      </c>
      <c r="AD1419" s="71">
        <f>W1419+X1419+Y1419+Z1419+AA1419+AB1419+AC1419</f>
        <v>0</v>
      </c>
      <c r="AE1419" s="72">
        <v>0</v>
      </c>
      <c r="AF1419" s="5"/>
      <c r="AG1419" s="6"/>
      <c r="AH1419" s="27" t="s">
        <v>3392</v>
      </c>
      <c r="AI1419" s="44" t="s">
        <v>3393</v>
      </c>
      <c r="AJ1419" s="26"/>
      <c r="AK1419" s="5"/>
      <c r="AL1419" s="82" t="s">
        <v>4235</v>
      </c>
      <c r="AM1419" s="76"/>
      <c r="AN1419" s="76"/>
      <c r="AO1419" s="76"/>
      <c r="AP1419" s="76"/>
      <c r="AQ1419" s="76"/>
      <c r="AR1419" s="76"/>
      <c r="AS1419" s="76"/>
      <c r="AT1419" s="76"/>
      <c r="AU1419" s="76"/>
      <c r="AV1419" s="76"/>
      <c r="AW1419" s="76"/>
      <c r="AX1419" s="76">
        <f>+AW1419*600000</f>
        <v>0</v>
      </c>
      <c r="AY1419" s="76"/>
      <c r="AZ1419" s="76">
        <f>+AY1419*70000</f>
        <v>0</v>
      </c>
      <c r="BA1419" s="76"/>
      <c r="BB1419" s="76"/>
      <c r="BC1419" s="76"/>
      <c r="BD1419" s="76">
        <f>+BC1419*30000</f>
        <v>0</v>
      </c>
      <c r="BE1419" s="76"/>
      <c r="BF1419" s="76"/>
      <c r="BG1419" s="76"/>
      <c r="BH1419" s="76"/>
      <c r="BI1419" s="76"/>
      <c r="BJ1419" s="76"/>
      <c r="BK1419" s="76"/>
      <c r="BL1419" s="76">
        <f>+BK1419*31500</f>
        <v>0</v>
      </c>
      <c r="BM1419" s="76"/>
      <c r="BN1419" s="76"/>
      <c r="BO1419" s="76"/>
      <c r="BP1419" s="76"/>
      <c r="BQ1419" s="76"/>
      <c r="BR1419" s="76"/>
      <c r="BS1419" s="76"/>
      <c r="BT1419" s="76"/>
      <c r="BU1419" s="76"/>
      <c r="BV1419" s="76"/>
      <c r="BW1419" s="76"/>
      <c r="BX1419" s="76"/>
      <c r="BY1419" s="76"/>
      <c r="BZ1419" s="76"/>
      <c r="CA1419" s="76"/>
      <c r="CB1419" s="76"/>
      <c r="CC1419" s="76"/>
      <c r="CD1419" s="76"/>
      <c r="CE1419" s="76"/>
      <c r="CF1419" s="76">
        <f>+CE1419*28000</f>
        <v>0</v>
      </c>
      <c r="CG1419" s="76"/>
      <c r="CH1419" s="76">
        <f>+CG1419*22500</f>
        <v>0</v>
      </c>
      <c r="CI1419" s="76"/>
      <c r="CJ1419" s="76">
        <f>+CI1419*26000</f>
        <v>0</v>
      </c>
      <c r="CK1419" s="76"/>
      <c r="CL1419" s="76"/>
      <c r="CM1419" s="76"/>
      <c r="CN1419" s="76">
        <f>+CM1419*22000</f>
        <v>0</v>
      </c>
      <c r="CO1419" s="76"/>
      <c r="CP1419" s="76">
        <f>+CO1419*46000</f>
        <v>0</v>
      </c>
      <c r="CQ1419" s="76"/>
      <c r="CR1419" s="76">
        <f>+CQ1419*49000</f>
        <v>0</v>
      </c>
      <c r="CS1419" s="76"/>
      <c r="CT1419" s="76"/>
      <c r="CU1419" s="56">
        <f>AN1419+AP1419+AR1419+AT1419+AV1419+AX1419+AZ1419+BB1419+BD1419+BF1419+BH1419+BJ1419+BL1419+BN1419+BP1419+BR1419+BT1419+BV1419+BX1419+BZ1419+CB1419+CD1419+CF1419+CH1419+CJ1419+CL1419+CN1419+CP1419+CR1419+CT1419</f>
        <v>0</v>
      </c>
      <c r="CV1419" s="76"/>
      <c r="CW1419" s="76">
        <f>+CV1419*1100</f>
        <v>0</v>
      </c>
      <c r="CX1419" s="76"/>
      <c r="CY1419" s="76">
        <f>+CX1419*106250</f>
        <v>0</v>
      </c>
      <c r="CZ1419" s="76"/>
      <c r="DA1419" s="76">
        <f>+CZ1419*34500</f>
        <v>0</v>
      </c>
      <c r="DB1419" s="76"/>
      <c r="DC1419" s="76">
        <f>+DB1419*25000</f>
        <v>0</v>
      </c>
      <c r="DD1419" s="219"/>
      <c r="DE1419" s="219"/>
      <c r="DF1419" s="166"/>
      <c r="DG1419" s="116"/>
      <c r="DH1419" s="117"/>
      <c r="DI1419" s="24"/>
      <c r="DJ1419" s="24"/>
      <c r="DK1419" s="24"/>
      <c r="DL1419" s="24"/>
      <c r="DM1419" s="24"/>
      <c r="DN1419" s="24"/>
      <c r="DO1419" s="24"/>
      <c r="DP1419" s="24"/>
      <c r="DQ1419" s="24"/>
      <c r="DR1419" s="24"/>
      <c r="DS1419" s="24"/>
      <c r="DT1419" s="24"/>
      <c r="DU1419" s="24"/>
    </row>
    <row r="1420" spans="1:125" s="8" customFormat="1" ht="132" x14ac:dyDescent="0.2">
      <c r="A1420" s="226">
        <v>41372</v>
      </c>
      <c r="B1420" s="225" t="s">
        <v>2772</v>
      </c>
      <c r="C1420" s="227" t="s">
        <v>2157</v>
      </c>
      <c r="D1420" s="227" t="s">
        <v>2882</v>
      </c>
      <c r="E1420" s="75" t="str">
        <f>VLOOKUP(B1420&amp;C1420,Divipola!$C$2:$F$1138,4,FALSE)</f>
        <v>25885</v>
      </c>
      <c r="F1420" s="87"/>
      <c r="G1420" s="87"/>
      <c r="H1420" s="87"/>
      <c r="I1420" s="87">
        <v>100</v>
      </c>
      <c r="J1420" s="87">
        <v>20</v>
      </c>
      <c r="K1420" s="87"/>
      <c r="L1420" s="87">
        <v>20</v>
      </c>
      <c r="M1420" s="87"/>
      <c r="N1420" s="87"/>
      <c r="O1420" s="87"/>
      <c r="P1420" s="87"/>
      <c r="Q1420" s="87"/>
      <c r="R1420" s="87"/>
      <c r="S1420" s="87"/>
      <c r="T1420" s="87"/>
      <c r="U1420" s="88"/>
      <c r="V1420" s="134"/>
      <c r="W1420" s="96">
        <v>0</v>
      </c>
      <c r="X1420" s="71">
        <f>CU1420</f>
        <v>0</v>
      </c>
      <c r="Y1420" s="71">
        <f>CY1420</f>
        <v>0</v>
      </c>
      <c r="Z1420" s="71">
        <f>DA1420+DC1420+DE1420</f>
        <v>0</v>
      </c>
      <c r="AA1420" s="71">
        <f>CW1420</f>
        <v>0</v>
      </c>
      <c r="AB1420" s="71"/>
      <c r="AC1420" s="71">
        <v>0</v>
      </c>
      <c r="AD1420" s="71">
        <f>W1420+X1420+Y1420+Z1420+AA1420+AB1420+AC1420</f>
        <v>0</v>
      </c>
      <c r="AE1420" s="72">
        <v>0</v>
      </c>
      <c r="AF1420" s="5"/>
      <c r="AG1420" s="6"/>
      <c r="AH1420" s="27" t="s">
        <v>3392</v>
      </c>
      <c r="AI1420" s="44" t="s">
        <v>3393</v>
      </c>
      <c r="AJ1420" s="26"/>
      <c r="AK1420" s="5"/>
      <c r="AL1420" s="82" t="s">
        <v>4219</v>
      </c>
      <c r="AM1420" s="76"/>
      <c r="AN1420" s="76"/>
      <c r="AO1420" s="76"/>
      <c r="AP1420" s="76"/>
      <c r="AQ1420" s="76"/>
      <c r="AR1420" s="76"/>
      <c r="AS1420" s="76"/>
      <c r="AT1420" s="76"/>
      <c r="AU1420" s="76"/>
      <c r="AV1420" s="76"/>
      <c r="AW1420" s="76"/>
      <c r="AX1420" s="76">
        <f>+AW1420*600000</f>
        <v>0</v>
      </c>
      <c r="AY1420" s="76"/>
      <c r="AZ1420" s="76">
        <f>+AY1420*70000</f>
        <v>0</v>
      </c>
      <c r="BA1420" s="76"/>
      <c r="BB1420" s="76"/>
      <c r="BC1420" s="76"/>
      <c r="BD1420" s="76">
        <f>+BC1420*30000</f>
        <v>0</v>
      </c>
      <c r="BE1420" s="76"/>
      <c r="BF1420" s="76"/>
      <c r="BG1420" s="76"/>
      <c r="BH1420" s="76"/>
      <c r="BI1420" s="76"/>
      <c r="BJ1420" s="76"/>
      <c r="BK1420" s="76"/>
      <c r="BL1420" s="76">
        <f>+BK1420*31500</f>
        <v>0</v>
      </c>
      <c r="BM1420" s="76"/>
      <c r="BN1420" s="76"/>
      <c r="BO1420" s="76"/>
      <c r="BP1420" s="76"/>
      <c r="BQ1420" s="76"/>
      <c r="BR1420" s="76"/>
      <c r="BS1420" s="76"/>
      <c r="BT1420" s="76"/>
      <c r="BU1420" s="76"/>
      <c r="BV1420" s="76"/>
      <c r="BW1420" s="76"/>
      <c r="BX1420" s="76"/>
      <c r="BY1420" s="76"/>
      <c r="BZ1420" s="76"/>
      <c r="CA1420" s="76"/>
      <c r="CB1420" s="76"/>
      <c r="CC1420" s="76"/>
      <c r="CD1420" s="76"/>
      <c r="CE1420" s="76"/>
      <c r="CF1420" s="76">
        <f>+CE1420*28000</f>
        <v>0</v>
      </c>
      <c r="CG1420" s="76"/>
      <c r="CH1420" s="76">
        <f>+CG1420*22500</f>
        <v>0</v>
      </c>
      <c r="CI1420" s="76"/>
      <c r="CJ1420" s="76">
        <f>+CI1420*26000</f>
        <v>0</v>
      </c>
      <c r="CK1420" s="76"/>
      <c r="CL1420" s="76"/>
      <c r="CM1420" s="76"/>
      <c r="CN1420" s="76">
        <f>+CM1420*22000</f>
        <v>0</v>
      </c>
      <c r="CO1420" s="76"/>
      <c r="CP1420" s="76">
        <f>+CO1420*46000</f>
        <v>0</v>
      </c>
      <c r="CQ1420" s="76"/>
      <c r="CR1420" s="76">
        <f>+CQ1420*49000</f>
        <v>0</v>
      </c>
      <c r="CS1420" s="76"/>
      <c r="CT1420" s="76"/>
      <c r="CU1420" s="56">
        <f>AN1420+AP1420+AR1420+AT1420+AV1420+AX1420+AZ1420+BB1420+BD1420+BF1420+BH1420+BJ1420+BL1420+BN1420+BP1420+BR1420+BT1420+BV1420+BX1420+BZ1420+CB1420+CD1420+CF1420+CH1420+CJ1420+CL1420+CN1420+CP1420+CR1420+CT1420</f>
        <v>0</v>
      </c>
      <c r="CV1420" s="76"/>
      <c r="CW1420" s="76">
        <f>+CV1420*1100</f>
        <v>0</v>
      </c>
      <c r="CX1420" s="76"/>
      <c r="CY1420" s="76">
        <f>+CX1420*106250</f>
        <v>0</v>
      </c>
      <c r="CZ1420" s="76"/>
      <c r="DA1420" s="76">
        <f>+CZ1420*34500</f>
        <v>0</v>
      </c>
      <c r="DB1420" s="76"/>
      <c r="DC1420" s="76">
        <f>+DB1420*25000</f>
        <v>0</v>
      </c>
      <c r="DD1420" s="219"/>
      <c r="DE1420" s="219"/>
      <c r="DF1420" s="166"/>
      <c r="DG1420" s="116"/>
      <c r="DH1420" s="117"/>
      <c r="DI1420" s="24"/>
      <c r="DJ1420" s="24"/>
      <c r="DK1420" s="24"/>
      <c r="DL1420" s="24"/>
      <c r="DM1420" s="24"/>
      <c r="DN1420" s="24"/>
      <c r="DO1420" s="24"/>
      <c r="DP1420" s="24"/>
      <c r="DQ1420" s="24"/>
      <c r="DR1420" s="24"/>
      <c r="DS1420" s="24"/>
      <c r="DT1420" s="24"/>
      <c r="DU1420" s="24"/>
    </row>
    <row r="1421" spans="1:125" s="8" customFormat="1" ht="108" x14ac:dyDescent="0.2">
      <c r="A1421" s="353">
        <v>41372</v>
      </c>
      <c r="B1421" s="225" t="s">
        <v>2847</v>
      </c>
      <c r="C1421" s="210" t="s">
        <v>525</v>
      </c>
      <c r="D1421" s="81" t="s">
        <v>2846</v>
      </c>
      <c r="E1421" s="75" t="str">
        <f>VLOOKUP(B1421&amp;C1421,Divipola!$C$2:$F$1138,4,FALSE)</f>
        <v>68686</v>
      </c>
      <c r="F1421" s="87"/>
      <c r="G1421" s="87"/>
      <c r="H1421" s="87"/>
      <c r="I1421" s="87"/>
      <c r="J1421" s="87"/>
      <c r="K1421" s="87"/>
      <c r="L1421" s="87"/>
      <c r="M1421" s="87"/>
      <c r="N1421" s="87"/>
      <c r="O1421" s="87"/>
      <c r="P1421" s="87"/>
      <c r="Q1421" s="87"/>
      <c r="R1421" s="87"/>
      <c r="S1421" s="87"/>
      <c r="T1421" s="88"/>
      <c r="U1421" s="89">
        <v>10</v>
      </c>
      <c r="V1421" s="104"/>
      <c r="W1421" s="96">
        <v>0</v>
      </c>
      <c r="X1421" s="71">
        <f>CU1421</f>
        <v>0</v>
      </c>
      <c r="Y1421" s="71">
        <f>CY1421</f>
        <v>0</v>
      </c>
      <c r="Z1421" s="71">
        <f>DA1421+DC1421+DE1421</f>
        <v>0</v>
      </c>
      <c r="AA1421" s="71">
        <f>CW1421</f>
        <v>0</v>
      </c>
      <c r="AB1421" s="71"/>
      <c r="AC1421" s="71">
        <v>0</v>
      </c>
      <c r="AD1421" s="71">
        <f>W1421+X1421+Y1421+Z1421+AA1421+AB1421+AC1421</f>
        <v>0</v>
      </c>
      <c r="AE1421" s="72">
        <v>0</v>
      </c>
      <c r="AF1421" s="5"/>
      <c r="AG1421" s="6"/>
      <c r="AH1421" s="27" t="s">
        <v>3392</v>
      </c>
      <c r="AI1421" s="44" t="s">
        <v>3393</v>
      </c>
      <c r="AJ1421" s="26"/>
      <c r="AK1421" s="5"/>
      <c r="AL1421" s="82" t="s">
        <v>4226</v>
      </c>
      <c r="AM1421" s="76"/>
      <c r="AN1421" s="76"/>
      <c r="AO1421" s="76"/>
      <c r="AP1421" s="76"/>
      <c r="AQ1421" s="76"/>
      <c r="AR1421" s="76"/>
      <c r="AS1421" s="76"/>
      <c r="AT1421" s="76"/>
      <c r="AU1421" s="76"/>
      <c r="AV1421" s="76"/>
      <c r="AW1421" s="76"/>
      <c r="AX1421" s="76">
        <f>+AW1421*600000</f>
        <v>0</v>
      </c>
      <c r="AY1421" s="76"/>
      <c r="AZ1421" s="76">
        <f>+AY1421*70000</f>
        <v>0</v>
      </c>
      <c r="BA1421" s="76"/>
      <c r="BB1421" s="76"/>
      <c r="BC1421" s="76"/>
      <c r="BD1421" s="76">
        <f>+BC1421*30000</f>
        <v>0</v>
      </c>
      <c r="BE1421" s="76"/>
      <c r="BF1421" s="76"/>
      <c r="BG1421" s="76"/>
      <c r="BH1421" s="76"/>
      <c r="BI1421" s="76"/>
      <c r="BJ1421" s="76"/>
      <c r="BK1421" s="76"/>
      <c r="BL1421" s="76">
        <f>+BK1421*31500</f>
        <v>0</v>
      </c>
      <c r="BM1421" s="76"/>
      <c r="BN1421" s="76"/>
      <c r="BO1421" s="76"/>
      <c r="BP1421" s="76"/>
      <c r="BQ1421" s="76"/>
      <c r="BR1421" s="76"/>
      <c r="BS1421" s="76"/>
      <c r="BT1421" s="76"/>
      <c r="BU1421" s="76"/>
      <c r="BV1421" s="76"/>
      <c r="BW1421" s="76"/>
      <c r="BX1421" s="76"/>
      <c r="BY1421" s="76"/>
      <c r="BZ1421" s="76"/>
      <c r="CA1421" s="76"/>
      <c r="CB1421" s="76"/>
      <c r="CC1421" s="76"/>
      <c r="CD1421" s="76"/>
      <c r="CE1421" s="76"/>
      <c r="CF1421" s="76">
        <f>+CE1421*28000</f>
        <v>0</v>
      </c>
      <c r="CG1421" s="76"/>
      <c r="CH1421" s="76">
        <f>+CG1421*22500</f>
        <v>0</v>
      </c>
      <c r="CI1421" s="76"/>
      <c r="CJ1421" s="76">
        <f>+CI1421*26000</f>
        <v>0</v>
      </c>
      <c r="CK1421" s="76"/>
      <c r="CL1421" s="76"/>
      <c r="CM1421" s="76"/>
      <c r="CN1421" s="76">
        <f>+CM1421*22000</f>
        <v>0</v>
      </c>
      <c r="CO1421" s="76"/>
      <c r="CP1421" s="76">
        <f>+CO1421*46000</f>
        <v>0</v>
      </c>
      <c r="CQ1421" s="76"/>
      <c r="CR1421" s="76">
        <f>+CQ1421*49000</f>
        <v>0</v>
      </c>
      <c r="CS1421" s="76"/>
      <c r="CT1421" s="76"/>
      <c r="CU1421" s="56">
        <f>AN1421+AP1421+AR1421+AT1421+AV1421+AX1421+AZ1421+BB1421+BD1421+BF1421+BH1421+BJ1421+BL1421+BN1421+BP1421+BR1421+BT1421+BV1421+BX1421+BZ1421+CB1421+CD1421+CF1421+CH1421+CJ1421+CL1421+CN1421+CP1421+CR1421+CT1421</f>
        <v>0</v>
      </c>
      <c r="CV1421" s="76"/>
      <c r="CW1421" s="76">
        <f>+CV1421*1100</f>
        <v>0</v>
      </c>
      <c r="CX1421" s="76"/>
      <c r="CY1421" s="76">
        <f>+CX1421*106250</f>
        <v>0</v>
      </c>
      <c r="CZ1421" s="76"/>
      <c r="DA1421" s="76">
        <f>+CZ1421*34500</f>
        <v>0</v>
      </c>
      <c r="DB1421" s="76"/>
      <c r="DC1421" s="76">
        <f>+DB1421*25000</f>
        <v>0</v>
      </c>
      <c r="DD1421" s="219"/>
      <c r="DE1421" s="219"/>
      <c r="DF1421" s="166"/>
      <c r="DG1421" s="116"/>
      <c r="DH1421" s="117"/>
      <c r="DI1421" s="24"/>
      <c r="DJ1421" s="24"/>
      <c r="DK1421" s="24"/>
      <c r="DL1421" s="24"/>
      <c r="DM1421" s="24"/>
      <c r="DN1421" s="24"/>
      <c r="DO1421" s="24"/>
      <c r="DP1421" s="24"/>
      <c r="DQ1421" s="24"/>
      <c r="DR1421" s="24"/>
      <c r="DS1421" s="24"/>
      <c r="DT1421" s="24"/>
      <c r="DU1421" s="24"/>
    </row>
    <row r="1422" spans="1:125" s="8" customFormat="1" ht="60" x14ac:dyDescent="0.2">
      <c r="A1422" s="353">
        <v>41372</v>
      </c>
      <c r="B1422" s="352" t="s">
        <v>2851</v>
      </c>
      <c r="C1422" s="354" t="s">
        <v>2102</v>
      </c>
      <c r="D1422" s="354" t="s">
        <v>2882</v>
      </c>
      <c r="E1422" s="75" t="str">
        <f>VLOOKUP(B1422&amp;C1422,Divipola!$C$2:$F$1138,4,FALSE)</f>
        <v>76248</v>
      </c>
      <c r="F1422" s="87"/>
      <c r="G1422" s="87"/>
      <c r="H1422" s="87"/>
      <c r="I1422" s="87"/>
      <c r="J1422" s="87"/>
      <c r="K1422" s="87"/>
      <c r="L1422" s="87"/>
      <c r="M1422" s="87"/>
      <c r="N1422" s="87"/>
      <c r="O1422" s="87"/>
      <c r="P1422" s="87"/>
      <c r="Q1422" s="87"/>
      <c r="R1422" s="87"/>
      <c r="S1422" s="87"/>
      <c r="T1422" s="87"/>
      <c r="U1422" s="88"/>
      <c r="V1422" s="134"/>
      <c r="W1422" s="96">
        <v>0</v>
      </c>
      <c r="X1422" s="71">
        <f>CU1422</f>
        <v>0</v>
      </c>
      <c r="Y1422" s="71">
        <f>CY1422</f>
        <v>0</v>
      </c>
      <c r="Z1422" s="71">
        <f>DA1422+DC1422+DE1422</f>
        <v>0</v>
      </c>
      <c r="AA1422" s="71">
        <f>CW1422</f>
        <v>0</v>
      </c>
      <c r="AB1422" s="71"/>
      <c r="AC1422" s="71">
        <v>0</v>
      </c>
      <c r="AD1422" s="71">
        <f>W1422+X1422+Y1422+Z1422+AA1422+AB1422+AC1422</f>
        <v>0</v>
      </c>
      <c r="AE1422" s="72">
        <v>0</v>
      </c>
      <c r="AF1422" s="5"/>
      <c r="AG1422" s="6"/>
      <c r="AH1422" s="27" t="s">
        <v>3392</v>
      </c>
      <c r="AI1422" s="44" t="s">
        <v>3393</v>
      </c>
      <c r="AJ1422" s="26"/>
      <c r="AK1422" s="5"/>
      <c r="AL1422" s="82" t="s">
        <v>4221</v>
      </c>
      <c r="AM1422" s="76"/>
      <c r="AN1422" s="76"/>
      <c r="AO1422" s="76"/>
      <c r="AP1422" s="76"/>
      <c r="AQ1422" s="76"/>
      <c r="AR1422" s="76"/>
      <c r="AS1422" s="76"/>
      <c r="AT1422" s="76"/>
      <c r="AU1422" s="76"/>
      <c r="AV1422" s="76"/>
      <c r="AW1422" s="76"/>
      <c r="AX1422" s="76">
        <f>+AW1422*600000</f>
        <v>0</v>
      </c>
      <c r="AY1422" s="76"/>
      <c r="AZ1422" s="76">
        <f>+AY1422*70000</f>
        <v>0</v>
      </c>
      <c r="BA1422" s="76"/>
      <c r="BB1422" s="76"/>
      <c r="BC1422" s="76"/>
      <c r="BD1422" s="76">
        <f>+BC1422*30000</f>
        <v>0</v>
      </c>
      <c r="BE1422" s="76"/>
      <c r="BF1422" s="76"/>
      <c r="BG1422" s="76"/>
      <c r="BH1422" s="76"/>
      <c r="BI1422" s="76"/>
      <c r="BJ1422" s="76"/>
      <c r="BK1422" s="76"/>
      <c r="BL1422" s="76">
        <f>+BK1422*31500</f>
        <v>0</v>
      </c>
      <c r="BM1422" s="76"/>
      <c r="BN1422" s="76"/>
      <c r="BO1422" s="76"/>
      <c r="BP1422" s="76"/>
      <c r="BQ1422" s="76"/>
      <c r="BR1422" s="76"/>
      <c r="BS1422" s="76"/>
      <c r="BT1422" s="76"/>
      <c r="BU1422" s="76"/>
      <c r="BV1422" s="76"/>
      <c r="BW1422" s="76"/>
      <c r="BX1422" s="76"/>
      <c r="BY1422" s="76"/>
      <c r="BZ1422" s="76"/>
      <c r="CA1422" s="76"/>
      <c r="CB1422" s="76"/>
      <c r="CC1422" s="76"/>
      <c r="CD1422" s="76"/>
      <c r="CE1422" s="76"/>
      <c r="CF1422" s="76">
        <f>+CE1422*28000</f>
        <v>0</v>
      </c>
      <c r="CG1422" s="76"/>
      <c r="CH1422" s="76">
        <f>+CG1422*22500</f>
        <v>0</v>
      </c>
      <c r="CI1422" s="76"/>
      <c r="CJ1422" s="76">
        <f>+CI1422*26000</f>
        <v>0</v>
      </c>
      <c r="CK1422" s="76"/>
      <c r="CL1422" s="76"/>
      <c r="CM1422" s="76"/>
      <c r="CN1422" s="76">
        <f>+CM1422*22000</f>
        <v>0</v>
      </c>
      <c r="CO1422" s="76"/>
      <c r="CP1422" s="76">
        <f>+CO1422*46000</f>
        <v>0</v>
      </c>
      <c r="CQ1422" s="76"/>
      <c r="CR1422" s="76">
        <f>+CQ1422*49000</f>
        <v>0</v>
      </c>
      <c r="CS1422" s="76"/>
      <c r="CT1422" s="76"/>
      <c r="CU1422" s="56">
        <f>AN1422+AP1422+AR1422+AT1422+AV1422+AX1422+AZ1422+BB1422+BD1422+BF1422+BH1422+BJ1422+BL1422+BN1422+BP1422+BR1422+BT1422+BV1422+BX1422+BZ1422+CB1422+CD1422+CF1422+CH1422+CJ1422+CL1422+CN1422+CP1422+CR1422+CT1422</f>
        <v>0</v>
      </c>
      <c r="CV1422" s="76"/>
      <c r="CW1422" s="76">
        <f>+CV1422*1100</f>
        <v>0</v>
      </c>
      <c r="CX1422" s="76"/>
      <c r="CY1422" s="76">
        <f>+CX1422*106250</f>
        <v>0</v>
      </c>
      <c r="CZ1422" s="76"/>
      <c r="DA1422" s="76">
        <f>+CZ1422*34500</f>
        <v>0</v>
      </c>
      <c r="DB1422" s="76"/>
      <c r="DC1422" s="76">
        <f>+DB1422*25000</f>
        <v>0</v>
      </c>
      <c r="DD1422" s="219"/>
      <c r="DE1422" s="219"/>
      <c r="DF1422" s="166"/>
      <c r="DG1422" s="116"/>
      <c r="DH1422" s="117"/>
      <c r="DI1422" s="24"/>
      <c r="DJ1422" s="24"/>
      <c r="DK1422" s="24"/>
      <c r="DL1422" s="24"/>
      <c r="DM1422" s="24"/>
      <c r="DN1422" s="24"/>
      <c r="DO1422" s="24"/>
      <c r="DP1422" s="24"/>
      <c r="DQ1422" s="24"/>
      <c r="DR1422" s="24"/>
      <c r="DS1422" s="24"/>
      <c r="DT1422" s="24"/>
      <c r="DU1422" s="24"/>
    </row>
    <row r="1423" spans="1:125" s="8" customFormat="1" ht="72" x14ac:dyDescent="0.2">
      <c r="A1423" s="5">
        <v>41373</v>
      </c>
      <c r="B1423" s="84" t="s">
        <v>2894</v>
      </c>
      <c r="C1423" s="84" t="s">
        <v>1378</v>
      </c>
      <c r="D1423" s="81" t="s">
        <v>2846</v>
      </c>
      <c r="E1423" s="75" t="str">
        <f>VLOOKUP(B1423&amp;C1423,Divipola!$C$2:$F$1138,4,FALSE)</f>
        <v>05079</v>
      </c>
      <c r="F1423" s="89"/>
      <c r="G1423" s="89"/>
      <c r="H1423" s="89"/>
      <c r="I1423" s="89"/>
      <c r="J1423" s="89"/>
      <c r="K1423" s="89"/>
      <c r="L1423" s="89"/>
      <c r="M1423" s="89"/>
      <c r="N1423" s="89"/>
      <c r="O1423" s="89"/>
      <c r="P1423" s="89"/>
      <c r="Q1423" s="89"/>
      <c r="R1423" s="89"/>
      <c r="S1423" s="89"/>
      <c r="T1423" s="89"/>
      <c r="U1423" s="89"/>
      <c r="V1423" s="89"/>
      <c r="W1423" s="96">
        <v>0</v>
      </c>
      <c r="X1423" s="71">
        <f>CU1423</f>
        <v>0</v>
      </c>
      <c r="Y1423" s="71">
        <f>CY1423</f>
        <v>0</v>
      </c>
      <c r="Z1423" s="71">
        <f>DA1423+DC1423+DE1423</f>
        <v>0</v>
      </c>
      <c r="AA1423" s="71">
        <f>CW1423</f>
        <v>0</v>
      </c>
      <c r="AB1423" s="71"/>
      <c r="AC1423" s="71">
        <v>0</v>
      </c>
      <c r="AD1423" s="71">
        <f>W1423+X1423+Y1423+Z1423+AA1423+AB1423+AC1423</f>
        <v>0</v>
      </c>
      <c r="AE1423" s="72">
        <v>0</v>
      </c>
      <c r="AF1423" s="5"/>
      <c r="AG1423" s="6"/>
      <c r="AH1423" s="27" t="s">
        <v>3392</v>
      </c>
      <c r="AI1423" s="44" t="s">
        <v>3393</v>
      </c>
      <c r="AJ1423" s="26"/>
      <c r="AK1423" s="5"/>
      <c r="AL1423" s="82" t="s">
        <v>4237</v>
      </c>
      <c r="AM1423" s="76"/>
      <c r="AN1423" s="76"/>
      <c r="AO1423" s="76"/>
      <c r="AP1423" s="76"/>
      <c r="AQ1423" s="76"/>
      <c r="AR1423" s="76"/>
      <c r="AS1423" s="76"/>
      <c r="AT1423" s="76"/>
      <c r="AU1423" s="76"/>
      <c r="AV1423" s="76"/>
      <c r="AW1423" s="76"/>
      <c r="AX1423" s="76">
        <f>+AW1423*600000</f>
        <v>0</v>
      </c>
      <c r="AY1423" s="76"/>
      <c r="AZ1423" s="76">
        <f>+AY1423*70000</f>
        <v>0</v>
      </c>
      <c r="BA1423" s="76"/>
      <c r="BB1423" s="76"/>
      <c r="BC1423" s="76"/>
      <c r="BD1423" s="76">
        <f>+BC1423*30000</f>
        <v>0</v>
      </c>
      <c r="BE1423" s="76"/>
      <c r="BF1423" s="76"/>
      <c r="BG1423" s="76"/>
      <c r="BH1423" s="76"/>
      <c r="BI1423" s="76"/>
      <c r="BJ1423" s="76"/>
      <c r="BK1423" s="76"/>
      <c r="BL1423" s="76">
        <f>+BK1423*31500</f>
        <v>0</v>
      </c>
      <c r="BM1423" s="76"/>
      <c r="BN1423" s="76"/>
      <c r="BO1423" s="76"/>
      <c r="BP1423" s="76"/>
      <c r="BQ1423" s="76"/>
      <c r="BR1423" s="76"/>
      <c r="BS1423" s="76"/>
      <c r="BT1423" s="76"/>
      <c r="BU1423" s="76"/>
      <c r="BV1423" s="76"/>
      <c r="BW1423" s="76"/>
      <c r="BX1423" s="76"/>
      <c r="BY1423" s="76"/>
      <c r="BZ1423" s="76"/>
      <c r="CA1423" s="76"/>
      <c r="CB1423" s="76"/>
      <c r="CC1423" s="76"/>
      <c r="CD1423" s="76"/>
      <c r="CE1423" s="76"/>
      <c r="CF1423" s="76">
        <f>+CE1423*28000</f>
        <v>0</v>
      </c>
      <c r="CG1423" s="76"/>
      <c r="CH1423" s="76">
        <f>+CG1423*22500</f>
        <v>0</v>
      </c>
      <c r="CI1423" s="76"/>
      <c r="CJ1423" s="76">
        <f>+CI1423*26000</f>
        <v>0</v>
      </c>
      <c r="CK1423" s="76"/>
      <c r="CL1423" s="76"/>
      <c r="CM1423" s="76"/>
      <c r="CN1423" s="76">
        <f>+CM1423*22000</f>
        <v>0</v>
      </c>
      <c r="CO1423" s="76"/>
      <c r="CP1423" s="76">
        <f>+CO1423*46000</f>
        <v>0</v>
      </c>
      <c r="CQ1423" s="76"/>
      <c r="CR1423" s="76">
        <f>+CQ1423*49000</f>
        <v>0</v>
      </c>
      <c r="CS1423" s="76"/>
      <c r="CT1423" s="76"/>
      <c r="CU1423" s="56">
        <f>AN1423+AP1423+AR1423+AT1423+AV1423+AX1423+AZ1423+BB1423+BD1423+BF1423+BH1423+BJ1423+BL1423+BN1423+BP1423+BR1423+BT1423+BV1423+BX1423+BZ1423+CB1423+CD1423+CF1423+CH1423+CJ1423+CL1423+CN1423+CP1423+CR1423+CT1423</f>
        <v>0</v>
      </c>
      <c r="CV1423" s="76"/>
      <c r="CW1423" s="76">
        <f>+CV1423*1100</f>
        <v>0</v>
      </c>
      <c r="CX1423" s="76"/>
      <c r="CY1423" s="76">
        <f>+CX1423*106250</f>
        <v>0</v>
      </c>
      <c r="CZ1423" s="76"/>
      <c r="DA1423" s="76">
        <f>+CZ1423*34500</f>
        <v>0</v>
      </c>
      <c r="DB1423" s="76"/>
      <c r="DC1423" s="76">
        <f>+DB1423*25000</f>
        <v>0</v>
      </c>
      <c r="DD1423" s="219"/>
      <c r="DE1423" s="219"/>
      <c r="DF1423" s="166"/>
      <c r="DG1423" s="116"/>
      <c r="DH1423" s="117"/>
      <c r="DI1423" s="24"/>
      <c r="DJ1423" s="24"/>
      <c r="DK1423" s="24"/>
      <c r="DL1423" s="24"/>
      <c r="DM1423" s="24"/>
      <c r="DN1423" s="24"/>
      <c r="DO1423" s="24"/>
      <c r="DP1423" s="24"/>
      <c r="DQ1423" s="24"/>
      <c r="DR1423" s="24"/>
      <c r="DS1423" s="24"/>
      <c r="DT1423" s="24"/>
      <c r="DU1423" s="24"/>
    </row>
    <row r="1424" spans="1:125" s="8" customFormat="1" ht="36" x14ac:dyDescent="0.2">
      <c r="A1424" s="77">
        <v>41373</v>
      </c>
      <c r="B1424" s="78" t="s">
        <v>2894</v>
      </c>
      <c r="C1424" s="75" t="s">
        <v>2681</v>
      </c>
      <c r="D1424" s="81" t="s">
        <v>2846</v>
      </c>
      <c r="E1424" s="75" t="str">
        <f>VLOOKUP(B1424&amp;C1424,Divipola!$C$2:$F$1138,4,FALSE)</f>
        <v>05212</v>
      </c>
      <c r="F1424" s="87"/>
      <c r="G1424" s="87"/>
      <c r="H1424" s="87"/>
      <c r="I1424" s="87"/>
      <c r="J1424" s="87"/>
      <c r="K1424" s="87"/>
      <c r="L1424" s="87"/>
      <c r="M1424" s="87"/>
      <c r="N1424" s="87"/>
      <c r="O1424" s="87"/>
      <c r="P1424" s="87"/>
      <c r="Q1424" s="87"/>
      <c r="R1424" s="87"/>
      <c r="S1424" s="87"/>
      <c r="T1424" s="87"/>
      <c r="U1424" s="88">
        <v>4</v>
      </c>
      <c r="V1424" s="89"/>
      <c r="W1424" s="96">
        <v>0</v>
      </c>
      <c r="X1424" s="71">
        <f>CU1424</f>
        <v>0</v>
      </c>
      <c r="Y1424" s="71">
        <f>CY1424</f>
        <v>0</v>
      </c>
      <c r="Z1424" s="71">
        <f>DA1424+DC1424+DE1424</f>
        <v>0</v>
      </c>
      <c r="AA1424" s="71">
        <f>CW1424</f>
        <v>0</v>
      </c>
      <c r="AB1424" s="71"/>
      <c r="AC1424" s="71">
        <v>0</v>
      </c>
      <c r="AD1424" s="71">
        <f>W1424+X1424+Y1424+Z1424+AA1424+AB1424+AC1424</f>
        <v>0</v>
      </c>
      <c r="AE1424" s="72">
        <v>0</v>
      </c>
      <c r="AF1424" s="5"/>
      <c r="AG1424" s="6"/>
      <c r="AH1424" s="27" t="s">
        <v>3392</v>
      </c>
      <c r="AI1424" s="44" t="s">
        <v>3393</v>
      </c>
      <c r="AJ1424" s="26"/>
      <c r="AK1424" s="5"/>
      <c r="AL1424" s="82" t="s">
        <v>4238</v>
      </c>
      <c r="AM1424" s="76"/>
      <c r="AN1424" s="76"/>
      <c r="AO1424" s="76"/>
      <c r="AP1424" s="76"/>
      <c r="AQ1424" s="76"/>
      <c r="AR1424" s="76"/>
      <c r="AS1424" s="76"/>
      <c r="AT1424" s="76"/>
      <c r="AU1424" s="76"/>
      <c r="AV1424" s="76"/>
      <c r="AW1424" s="76"/>
      <c r="AX1424" s="76">
        <f>+AW1424*600000</f>
        <v>0</v>
      </c>
      <c r="AY1424" s="76"/>
      <c r="AZ1424" s="76">
        <f>+AY1424*70000</f>
        <v>0</v>
      </c>
      <c r="BA1424" s="76"/>
      <c r="BB1424" s="76"/>
      <c r="BC1424" s="76"/>
      <c r="BD1424" s="76">
        <f>+BC1424*30000</f>
        <v>0</v>
      </c>
      <c r="BE1424" s="76"/>
      <c r="BF1424" s="76"/>
      <c r="BG1424" s="76"/>
      <c r="BH1424" s="76"/>
      <c r="BI1424" s="76"/>
      <c r="BJ1424" s="76"/>
      <c r="BK1424" s="76"/>
      <c r="BL1424" s="76">
        <f>+BK1424*31500</f>
        <v>0</v>
      </c>
      <c r="BM1424" s="76"/>
      <c r="BN1424" s="76"/>
      <c r="BO1424" s="76"/>
      <c r="BP1424" s="76"/>
      <c r="BQ1424" s="76"/>
      <c r="BR1424" s="76"/>
      <c r="BS1424" s="76"/>
      <c r="BT1424" s="76"/>
      <c r="BU1424" s="76"/>
      <c r="BV1424" s="76"/>
      <c r="BW1424" s="76"/>
      <c r="BX1424" s="76"/>
      <c r="BY1424" s="76"/>
      <c r="BZ1424" s="76"/>
      <c r="CA1424" s="76"/>
      <c r="CB1424" s="76"/>
      <c r="CC1424" s="76"/>
      <c r="CD1424" s="76"/>
      <c r="CE1424" s="76"/>
      <c r="CF1424" s="76">
        <f>+CE1424*28000</f>
        <v>0</v>
      </c>
      <c r="CG1424" s="76"/>
      <c r="CH1424" s="76">
        <f>+CG1424*22500</f>
        <v>0</v>
      </c>
      <c r="CI1424" s="76"/>
      <c r="CJ1424" s="76">
        <f>+CI1424*26000</f>
        <v>0</v>
      </c>
      <c r="CK1424" s="76"/>
      <c r="CL1424" s="76"/>
      <c r="CM1424" s="76"/>
      <c r="CN1424" s="76">
        <f>+CM1424*22000</f>
        <v>0</v>
      </c>
      <c r="CO1424" s="76"/>
      <c r="CP1424" s="76">
        <f>+CO1424*46000</f>
        <v>0</v>
      </c>
      <c r="CQ1424" s="76"/>
      <c r="CR1424" s="76">
        <f>+CQ1424*49000</f>
        <v>0</v>
      </c>
      <c r="CS1424" s="76"/>
      <c r="CT1424" s="76"/>
      <c r="CU1424" s="56">
        <f>AN1424+AP1424+AR1424+AT1424+AV1424+AX1424+AZ1424+BB1424+BD1424+BF1424+BH1424+BJ1424+BL1424+BN1424+BP1424+BR1424+BT1424+BV1424+BX1424+BZ1424+CB1424+CD1424+CF1424+CH1424+CJ1424+CL1424+CN1424+CP1424+CR1424+CT1424</f>
        <v>0</v>
      </c>
      <c r="CV1424" s="76"/>
      <c r="CW1424" s="76">
        <f>+CV1424*1100</f>
        <v>0</v>
      </c>
      <c r="CX1424" s="76"/>
      <c r="CY1424" s="76">
        <f>+CX1424*106250</f>
        <v>0</v>
      </c>
      <c r="CZ1424" s="76"/>
      <c r="DA1424" s="76">
        <f>+CZ1424*34500</f>
        <v>0</v>
      </c>
      <c r="DB1424" s="76"/>
      <c r="DC1424" s="76">
        <f>+DB1424*25000</f>
        <v>0</v>
      </c>
      <c r="DD1424" s="219"/>
      <c r="DE1424" s="219"/>
      <c r="DF1424" s="166"/>
      <c r="DG1424" s="116"/>
      <c r="DH1424" s="117"/>
      <c r="DI1424" s="24"/>
      <c r="DJ1424" s="24"/>
      <c r="DK1424" s="24"/>
      <c r="DL1424" s="24"/>
      <c r="DM1424" s="24"/>
      <c r="DN1424" s="24"/>
      <c r="DO1424" s="24"/>
      <c r="DP1424" s="24"/>
      <c r="DQ1424" s="24"/>
      <c r="DR1424" s="24"/>
      <c r="DS1424" s="24"/>
      <c r="DT1424" s="24"/>
      <c r="DU1424" s="24"/>
    </row>
    <row r="1425" spans="1:125" s="8" customFormat="1" ht="96" x14ac:dyDescent="0.2">
      <c r="A1425" s="77">
        <v>41373</v>
      </c>
      <c r="B1425" s="78" t="s">
        <v>2894</v>
      </c>
      <c r="C1425" s="75" t="s">
        <v>2615</v>
      </c>
      <c r="D1425" s="75" t="s">
        <v>3027</v>
      </c>
      <c r="E1425" s="75" t="str">
        <f>VLOOKUP(B1425&amp;C1425,Divipola!$C$2:$F$1138,4,FALSE)</f>
        <v>05837</v>
      </c>
      <c r="F1425" s="87"/>
      <c r="G1425" s="87"/>
      <c r="H1425" s="87"/>
      <c r="I1425" s="87"/>
      <c r="J1425" s="87"/>
      <c r="K1425" s="87"/>
      <c r="L1425" s="87"/>
      <c r="M1425" s="87"/>
      <c r="N1425" s="87"/>
      <c r="O1425" s="87"/>
      <c r="P1425" s="87"/>
      <c r="Q1425" s="87"/>
      <c r="R1425" s="87"/>
      <c r="S1425" s="87"/>
      <c r="T1425" s="87"/>
      <c r="U1425" s="88"/>
      <c r="V1425" s="89"/>
      <c r="W1425" s="96">
        <v>0</v>
      </c>
      <c r="X1425" s="71">
        <f>CU1425</f>
        <v>0</v>
      </c>
      <c r="Y1425" s="71">
        <f>CY1425</f>
        <v>0</v>
      </c>
      <c r="Z1425" s="71">
        <f>DA1425+DC1425+DE1425</f>
        <v>0</v>
      </c>
      <c r="AA1425" s="71">
        <f>CW1425</f>
        <v>0</v>
      </c>
      <c r="AB1425" s="71"/>
      <c r="AC1425" s="71">
        <v>0</v>
      </c>
      <c r="AD1425" s="71">
        <f>W1425+X1425+Y1425+Z1425+AA1425+AB1425+AC1425</f>
        <v>0</v>
      </c>
      <c r="AE1425" s="72">
        <v>0</v>
      </c>
      <c r="AF1425" s="5"/>
      <c r="AG1425" s="6"/>
      <c r="AH1425" s="27" t="s">
        <v>3392</v>
      </c>
      <c r="AI1425" s="44" t="s">
        <v>3393</v>
      </c>
      <c r="AJ1425" s="26"/>
      <c r="AK1425" s="5"/>
      <c r="AL1425" s="82" t="s">
        <v>4258</v>
      </c>
      <c r="AM1425" s="76"/>
      <c r="AN1425" s="76"/>
      <c r="AO1425" s="76"/>
      <c r="AP1425" s="76"/>
      <c r="AQ1425" s="76"/>
      <c r="AR1425" s="76"/>
      <c r="AS1425" s="76"/>
      <c r="AT1425" s="76"/>
      <c r="AU1425" s="76"/>
      <c r="AV1425" s="76"/>
      <c r="AW1425" s="76"/>
      <c r="AX1425" s="76">
        <f>+AW1425*600000</f>
        <v>0</v>
      </c>
      <c r="AY1425" s="76"/>
      <c r="AZ1425" s="76">
        <f>+AY1425*70000</f>
        <v>0</v>
      </c>
      <c r="BA1425" s="76"/>
      <c r="BB1425" s="76"/>
      <c r="BC1425" s="76"/>
      <c r="BD1425" s="76">
        <f>+BC1425*30000</f>
        <v>0</v>
      </c>
      <c r="BE1425" s="76"/>
      <c r="BF1425" s="76"/>
      <c r="BG1425" s="76"/>
      <c r="BH1425" s="76"/>
      <c r="BI1425" s="76"/>
      <c r="BJ1425" s="76"/>
      <c r="BK1425" s="76"/>
      <c r="BL1425" s="76">
        <f>+BK1425*31500</f>
        <v>0</v>
      </c>
      <c r="BM1425" s="76"/>
      <c r="BN1425" s="76"/>
      <c r="BO1425" s="76"/>
      <c r="BP1425" s="76"/>
      <c r="BQ1425" s="76"/>
      <c r="BR1425" s="76"/>
      <c r="BS1425" s="76"/>
      <c r="BT1425" s="76"/>
      <c r="BU1425" s="76"/>
      <c r="BV1425" s="76"/>
      <c r="BW1425" s="76"/>
      <c r="BX1425" s="76"/>
      <c r="BY1425" s="76"/>
      <c r="BZ1425" s="76"/>
      <c r="CA1425" s="76"/>
      <c r="CB1425" s="76"/>
      <c r="CC1425" s="76"/>
      <c r="CD1425" s="76"/>
      <c r="CE1425" s="76"/>
      <c r="CF1425" s="76">
        <f>+CE1425*28000</f>
        <v>0</v>
      </c>
      <c r="CG1425" s="76"/>
      <c r="CH1425" s="76">
        <f>+CG1425*22500</f>
        <v>0</v>
      </c>
      <c r="CI1425" s="76"/>
      <c r="CJ1425" s="76">
        <f>+CI1425*26000</f>
        <v>0</v>
      </c>
      <c r="CK1425" s="76"/>
      <c r="CL1425" s="76"/>
      <c r="CM1425" s="76"/>
      <c r="CN1425" s="76">
        <f>+CM1425*22000</f>
        <v>0</v>
      </c>
      <c r="CO1425" s="76"/>
      <c r="CP1425" s="76">
        <f>+CO1425*46000</f>
        <v>0</v>
      </c>
      <c r="CQ1425" s="76"/>
      <c r="CR1425" s="76">
        <f>+CQ1425*49000</f>
        <v>0</v>
      </c>
      <c r="CS1425" s="76"/>
      <c r="CT1425" s="76"/>
      <c r="CU1425" s="56">
        <f>AN1425+AP1425+AR1425+AT1425+AV1425+AX1425+AZ1425+BB1425+BD1425+BF1425+BH1425+BJ1425+BL1425+BN1425+BP1425+BR1425+BT1425+BV1425+BX1425+BZ1425+CB1425+CD1425+CF1425+CH1425+CJ1425+CL1425+CN1425+CP1425+CR1425+CT1425</f>
        <v>0</v>
      </c>
      <c r="CV1425" s="76"/>
      <c r="CW1425" s="76">
        <f>+CV1425*1100</f>
        <v>0</v>
      </c>
      <c r="CX1425" s="76"/>
      <c r="CY1425" s="76">
        <f>+CX1425*106250</f>
        <v>0</v>
      </c>
      <c r="CZ1425" s="76"/>
      <c r="DA1425" s="76">
        <f>+CZ1425*34500</f>
        <v>0</v>
      </c>
      <c r="DB1425" s="76"/>
      <c r="DC1425" s="76">
        <f>+DB1425*25000</f>
        <v>0</v>
      </c>
      <c r="DD1425" s="219"/>
      <c r="DE1425" s="219"/>
      <c r="DF1425" s="166"/>
      <c r="DG1425" s="116"/>
      <c r="DH1425" s="117"/>
      <c r="DI1425" s="24"/>
      <c r="DJ1425" s="24"/>
      <c r="DK1425" s="24"/>
      <c r="DL1425" s="24"/>
      <c r="DM1425" s="24"/>
      <c r="DN1425" s="24"/>
      <c r="DO1425" s="24"/>
      <c r="DP1425" s="24"/>
      <c r="DQ1425" s="24"/>
      <c r="DR1425" s="24"/>
      <c r="DS1425" s="24"/>
      <c r="DT1425" s="24"/>
      <c r="DU1425" s="24"/>
    </row>
    <row r="1426" spans="1:125" s="8" customFormat="1" ht="36" x14ac:dyDescent="0.2">
      <c r="A1426" s="77">
        <v>41373</v>
      </c>
      <c r="B1426" s="78" t="s">
        <v>2854</v>
      </c>
      <c r="C1426" s="83" t="s">
        <v>2698</v>
      </c>
      <c r="D1426" s="75" t="s">
        <v>2882</v>
      </c>
      <c r="E1426" s="75" t="str">
        <f>VLOOKUP(B1426&amp;C1426,Divipola!$C$2:$F$1138,4,FALSE)</f>
        <v>19780</v>
      </c>
      <c r="F1426" s="93"/>
      <c r="G1426" s="93"/>
      <c r="H1426" s="93"/>
      <c r="I1426" s="93">
        <v>30</v>
      </c>
      <c r="J1426" s="93">
        <v>6</v>
      </c>
      <c r="K1426" s="93"/>
      <c r="L1426" s="93">
        <v>6</v>
      </c>
      <c r="M1426" s="93"/>
      <c r="N1426" s="93"/>
      <c r="O1426" s="93"/>
      <c r="P1426" s="93"/>
      <c r="Q1426" s="93"/>
      <c r="R1426" s="93"/>
      <c r="S1426" s="93"/>
      <c r="T1426" s="93"/>
      <c r="U1426" s="93"/>
      <c r="V1426" s="89"/>
      <c r="W1426" s="96">
        <v>0</v>
      </c>
      <c r="X1426" s="71">
        <f>CU1426</f>
        <v>0</v>
      </c>
      <c r="Y1426" s="71">
        <f>CY1426</f>
        <v>0</v>
      </c>
      <c r="Z1426" s="71">
        <f>DA1426+DC1426+DE1426</f>
        <v>0</v>
      </c>
      <c r="AA1426" s="71">
        <f>CW1426</f>
        <v>0</v>
      </c>
      <c r="AB1426" s="71"/>
      <c r="AC1426" s="71">
        <v>0</v>
      </c>
      <c r="AD1426" s="71">
        <f>W1426+X1426+Y1426+Z1426+AA1426+AB1426+AC1426</f>
        <v>0</v>
      </c>
      <c r="AE1426" s="72">
        <v>0</v>
      </c>
      <c r="AF1426" s="5"/>
      <c r="AG1426" s="6"/>
      <c r="AH1426" s="27" t="s">
        <v>3392</v>
      </c>
      <c r="AI1426" s="44" t="s">
        <v>3393</v>
      </c>
      <c r="AJ1426" s="26"/>
      <c r="AK1426" s="5"/>
      <c r="AL1426" s="82" t="s">
        <v>4236</v>
      </c>
      <c r="AM1426" s="76"/>
      <c r="AN1426" s="76"/>
      <c r="AO1426" s="76"/>
      <c r="AP1426" s="76"/>
      <c r="AQ1426" s="76"/>
      <c r="AR1426" s="76"/>
      <c r="AS1426" s="76"/>
      <c r="AT1426" s="76"/>
      <c r="AU1426" s="76"/>
      <c r="AV1426" s="76"/>
      <c r="AW1426" s="76"/>
      <c r="AX1426" s="76">
        <f>+AW1426*600000</f>
        <v>0</v>
      </c>
      <c r="AY1426" s="76"/>
      <c r="AZ1426" s="76">
        <f>+AY1426*70000</f>
        <v>0</v>
      </c>
      <c r="BA1426" s="76"/>
      <c r="BB1426" s="76"/>
      <c r="BC1426" s="76"/>
      <c r="BD1426" s="76">
        <f>+BC1426*30000</f>
        <v>0</v>
      </c>
      <c r="BE1426" s="76"/>
      <c r="BF1426" s="76"/>
      <c r="BG1426" s="76"/>
      <c r="BH1426" s="76"/>
      <c r="BI1426" s="76"/>
      <c r="BJ1426" s="76"/>
      <c r="BK1426" s="76"/>
      <c r="BL1426" s="76">
        <f>+BK1426*31500</f>
        <v>0</v>
      </c>
      <c r="BM1426" s="76"/>
      <c r="BN1426" s="76"/>
      <c r="BO1426" s="76"/>
      <c r="BP1426" s="76"/>
      <c r="BQ1426" s="76"/>
      <c r="BR1426" s="76"/>
      <c r="BS1426" s="76"/>
      <c r="BT1426" s="76"/>
      <c r="BU1426" s="76"/>
      <c r="BV1426" s="76"/>
      <c r="BW1426" s="76"/>
      <c r="BX1426" s="76"/>
      <c r="BY1426" s="76"/>
      <c r="BZ1426" s="76"/>
      <c r="CA1426" s="76"/>
      <c r="CB1426" s="76"/>
      <c r="CC1426" s="76"/>
      <c r="CD1426" s="76"/>
      <c r="CE1426" s="76"/>
      <c r="CF1426" s="76">
        <f>+CE1426*28000</f>
        <v>0</v>
      </c>
      <c r="CG1426" s="76"/>
      <c r="CH1426" s="76">
        <f>+CG1426*22500</f>
        <v>0</v>
      </c>
      <c r="CI1426" s="76"/>
      <c r="CJ1426" s="76">
        <f>+CI1426*26000</f>
        <v>0</v>
      </c>
      <c r="CK1426" s="76"/>
      <c r="CL1426" s="76"/>
      <c r="CM1426" s="76"/>
      <c r="CN1426" s="76">
        <f>+CM1426*22000</f>
        <v>0</v>
      </c>
      <c r="CO1426" s="76"/>
      <c r="CP1426" s="76">
        <f>+CO1426*46000</f>
        <v>0</v>
      </c>
      <c r="CQ1426" s="76"/>
      <c r="CR1426" s="76">
        <f>+CQ1426*49000</f>
        <v>0</v>
      </c>
      <c r="CS1426" s="76"/>
      <c r="CT1426" s="76"/>
      <c r="CU1426" s="56">
        <f>AN1426+AP1426+AR1426+AT1426+AV1426+AX1426+AZ1426+BB1426+BD1426+BF1426+BH1426+BJ1426+BL1426+BN1426+BP1426+BR1426+BT1426+BV1426+BX1426+BZ1426+CB1426+CD1426+CF1426+CH1426+CJ1426+CL1426+CN1426+CP1426+CR1426+CT1426</f>
        <v>0</v>
      </c>
      <c r="CV1426" s="76"/>
      <c r="CW1426" s="76">
        <f>+CV1426*1100</f>
        <v>0</v>
      </c>
      <c r="CX1426" s="76"/>
      <c r="CY1426" s="76">
        <f>+CX1426*106250</f>
        <v>0</v>
      </c>
      <c r="CZ1426" s="76"/>
      <c r="DA1426" s="76">
        <f>+CZ1426*34500</f>
        <v>0</v>
      </c>
      <c r="DB1426" s="76"/>
      <c r="DC1426" s="76">
        <f>+DB1426*25000</f>
        <v>0</v>
      </c>
      <c r="DD1426" s="219"/>
      <c r="DE1426" s="219"/>
      <c r="DF1426" s="166"/>
      <c r="DG1426" s="116"/>
      <c r="DH1426" s="117"/>
      <c r="DI1426" s="24"/>
      <c r="DJ1426" s="24"/>
      <c r="DK1426" s="24"/>
      <c r="DL1426" s="24"/>
      <c r="DM1426" s="24"/>
      <c r="DN1426" s="24"/>
      <c r="DO1426" s="24"/>
      <c r="DP1426" s="24"/>
      <c r="DQ1426" s="24"/>
      <c r="DR1426" s="24"/>
      <c r="DS1426" s="24"/>
      <c r="DT1426" s="24"/>
      <c r="DU1426" s="24"/>
    </row>
    <row r="1427" spans="1:125" s="8" customFormat="1" ht="36" x14ac:dyDescent="0.2">
      <c r="A1427" s="353">
        <v>41373</v>
      </c>
      <c r="B1427" s="225" t="s">
        <v>2718</v>
      </c>
      <c r="C1427" s="227" t="s">
        <v>2701</v>
      </c>
      <c r="D1427" s="227" t="s">
        <v>2859</v>
      </c>
      <c r="E1427" s="75" t="str">
        <f>VLOOKUP(B1427&amp;C1427,Divipola!$C$2:$F$1138,4,FALSE)</f>
        <v>23580</v>
      </c>
      <c r="F1427" s="87"/>
      <c r="G1427" s="87"/>
      <c r="H1427" s="87"/>
      <c r="I1427" s="87">
        <v>10</v>
      </c>
      <c r="J1427" s="87">
        <v>2</v>
      </c>
      <c r="K1427" s="87">
        <v>2</v>
      </c>
      <c r="L1427" s="87"/>
      <c r="M1427" s="87"/>
      <c r="N1427" s="87"/>
      <c r="O1427" s="87"/>
      <c r="P1427" s="87"/>
      <c r="Q1427" s="87"/>
      <c r="R1427" s="87"/>
      <c r="S1427" s="87"/>
      <c r="T1427" s="87"/>
      <c r="U1427" s="88"/>
      <c r="V1427" s="89"/>
      <c r="W1427" s="96">
        <v>0</v>
      </c>
      <c r="X1427" s="71">
        <f>CU1427</f>
        <v>0</v>
      </c>
      <c r="Y1427" s="71">
        <f>CY1427</f>
        <v>0</v>
      </c>
      <c r="Z1427" s="71">
        <f>DA1427+DC1427+DE1427</f>
        <v>0</v>
      </c>
      <c r="AA1427" s="71">
        <f>CW1427</f>
        <v>0</v>
      </c>
      <c r="AB1427" s="71"/>
      <c r="AC1427" s="71">
        <v>0</v>
      </c>
      <c r="AD1427" s="71">
        <f>W1427+X1427+Y1427+Z1427+AA1427+AB1427+AC1427</f>
        <v>0</v>
      </c>
      <c r="AE1427" s="72">
        <v>0</v>
      </c>
      <c r="AF1427" s="5"/>
      <c r="AG1427" s="6"/>
      <c r="AH1427" s="27" t="s">
        <v>3392</v>
      </c>
      <c r="AI1427" s="44" t="s">
        <v>3393</v>
      </c>
      <c r="AJ1427" s="26"/>
      <c r="AK1427" s="5"/>
      <c r="AL1427" s="82" t="s">
        <v>4227</v>
      </c>
      <c r="AM1427" s="76"/>
      <c r="AN1427" s="76"/>
      <c r="AO1427" s="76"/>
      <c r="AP1427" s="76"/>
      <c r="AQ1427" s="76"/>
      <c r="AR1427" s="76"/>
      <c r="AS1427" s="76"/>
      <c r="AT1427" s="76"/>
      <c r="AU1427" s="76"/>
      <c r="AV1427" s="76"/>
      <c r="AW1427" s="76"/>
      <c r="AX1427" s="76">
        <f>+AW1427*600000</f>
        <v>0</v>
      </c>
      <c r="AY1427" s="76"/>
      <c r="AZ1427" s="76">
        <f>+AY1427*70000</f>
        <v>0</v>
      </c>
      <c r="BA1427" s="76"/>
      <c r="BB1427" s="76"/>
      <c r="BC1427" s="76"/>
      <c r="BD1427" s="76">
        <f>+BC1427*30000</f>
        <v>0</v>
      </c>
      <c r="BE1427" s="76"/>
      <c r="BF1427" s="76"/>
      <c r="BG1427" s="76"/>
      <c r="BH1427" s="76"/>
      <c r="BI1427" s="76"/>
      <c r="BJ1427" s="76"/>
      <c r="BK1427" s="76"/>
      <c r="BL1427" s="76">
        <f>+BK1427*31500</f>
        <v>0</v>
      </c>
      <c r="BM1427" s="76"/>
      <c r="BN1427" s="76"/>
      <c r="BO1427" s="76"/>
      <c r="BP1427" s="76"/>
      <c r="BQ1427" s="76"/>
      <c r="BR1427" s="76"/>
      <c r="BS1427" s="76"/>
      <c r="BT1427" s="76"/>
      <c r="BU1427" s="76"/>
      <c r="BV1427" s="76"/>
      <c r="BW1427" s="76"/>
      <c r="BX1427" s="76"/>
      <c r="BY1427" s="76"/>
      <c r="BZ1427" s="76"/>
      <c r="CA1427" s="76"/>
      <c r="CB1427" s="76"/>
      <c r="CC1427" s="76"/>
      <c r="CD1427" s="76"/>
      <c r="CE1427" s="76"/>
      <c r="CF1427" s="76">
        <f>+CE1427*28000</f>
        <v>0</v>
      </c>
      <c r="CG1427" s="76"/>
      <c r="CH1427" s="76">
        <f>+CG1427*22500</f>
        <v>0</v>
      </c>
      <c r="CI1427" s="76"/>
      <c r="CJ1427" s="76">
        <f>+CI1427*26000</f>
        <v>0</v>
      </c>
      <c r="CK1427" s="76"/>
      <c r="CL1427" s="76"/>
      <c r="CM1427" s="76"/>
      <c r="CN1427" s="76">
        <f>+CM1427*22000</f>
        <v>0</v>
      </c>
      <c r="CO1427" s="76"/>
      <c r="CP1427" s="76">
        <f>+CO1427*46000</f>
        <v>0</v>
      </c>
      <c r="CQ1427" s="76"/>
      <c r="CR1427" s="76">
        <f>+CQ1427*49000</f>
        <v>0</v>
      </c>
      <c r="CS1427" s="76"/>
      <c r="CT1427" s="76"/>
      <c r="CU1427" s="56">
        <f>AN1427+AP1427+AR1427+AT1427+AV1427+AX1427+AZ1427+BB1427+BD1427+BF1427+BH1427+BJ1427+BL1427+BN1427+BP1427+BR1427+BT1427+BV1427+BX1427+BZ1427+CB1427+CD1427+CF1427+CH1427+CJ1427+CL1427+CN1427+CP1427+CR1427+CT1427</f>
        <v>0</v>
      </c>
      <c r="CV1427" s="76"/>
      <c r="CW1427" s="76">
        <f>+CV1427*1100</f>
        <v>0</v>
      </c>
      <c r="CX1427" s="76"/>
      <c r="CY1427" s="76">
        <f>+CX1427*106250</f>
        <v>0</v>
      </c>
      <c r="CZ1427" s="76"/>
      <c r="DA1427" s="76">
        <f>+CZ1427*34500</f>
        <v>0</v>
      </c>
      <c r="DB1427" s="76"/>
      <c r="DC1427" s="76">
        <f>+DB1427*25000</f>
        <v>0</v>
      </c>
      <c r="DD1427" s="219"/>
      <c r="DE1427" s="219"/>
      <c r="DF1427" s="166"/>
      <c r="DG1427" s="116"/>
      <c r="DH1427" s="117"/>
      <c r="DI1427" s="24"/>
      <c r="DJ1427" s="24"/>
      <c r="DK1427" s="24"/>
      <c r="DL1427" s="24"/>
      <c r="DM1427" s="24"/>
      <c r="DN1427" s="24"/>
      <c r="DO1427" s="24"/>
      <c r="DP1427" s="24"/>
      <c r="DQ1427" s="24"/>
      <c r="DR1427" s="24"/>
      <c r="DS1427" s="24"/>
      <c r="DT1427" s="24"/>
      <c r="DU1427" s="24"/>
    </row>
    <row r="1428" spans="1:125" s="8" customFormat="1" ht="180" x14ac:dyDescent="0.2">
      <c r="A1428" s="197">
        <v>41373</v>
      </c>
      <c r="B1428" s="198" t="s">
        <v>2772</v>
      </c>
      <c r="C1428" s="199" t="s">
        <v>1372</v>
      </c>
      <c r="D1428" s="81" t="s">
        <v>2846</v>
      </c>
      <c r="E1428" s="75" t="str">
        <f>VLOOKUP(B1428&amp;C1428,Divipola!$C$2:$F$1138,4,FALSE)</f>
        <v>25817</v>
      </c>
      <c r="F1428" s="200"/>
      <c r="G1428" s="200"/>
      <c r="H1428" s="200"/>
      <c r="I1428" s="200"/>
      <c r="J1428" s="200"/>
      <c r="K1428" s="200"/>
      <c r="L1428" s="200"/>
      <c r="M1428" s="200"/>
      <c r="N1428" s="200"/>
      <c r="O1428" s="200"/>
      <c r="P1428" s="200"/>
      <c r="Q1428" s="200"/>
      <c r="R1428" s="200"/>
      <c r="S1428" s="200"/>
      <c r="T1428" s="200"/>
      <c r="U1428" s="201">
        <v>8</v>
      </c>
      <c r="V1428" s="89"/>
      <c r="W1428" s="96">
        <v>0</v>
      </c>
      <c r="X1428" s="71">
        <f>CU1428</f>
        <v>0</v>
      </c>
      <c r="Y1428" s="71">
        <f>CY1428</f>
        <v>0</v>
      </c>
      <c r="Z1428" s="71">
        <f>DA1428+DC1428+DE1428</f>
        <v>0</v>
      </c>
      <c r="AA1428" s="71">
        <f>CW1428</f>
        <v>0</v>
      </c>
      <c r="AB1428" s="71"/>
      <c r="AC1428" s="71">
        <v>0</v>
      </c>
      <c r="AD1428" s="71">
        <f>W1428+X1428+Y1428+Z1428+AA1428+AB1428+AC1428</f>
        <v>0</v>
      </c>
      <c r="AE1428" s="72">
        <v>0</v>
      </c>
      <c r="AF1428" s="5"/>
      <c r="AG1428" s="6"/>
      <c r="AH1428" s="27" t="s">
        <v>3392</v>
      </c>
      <c r="AI1428" s="44" t="s">
        <v>3393</v>
      </c>
      <c r="AJ1428" s="26"/>
      <c r="AK1428" s="5"/>
      <c r="AL1428" s="82" t="s">
        <v>6397</v>
      </c>
      <c r="AM1428" s="76"/>
      <c r="AN1428" s="76"/>
      <c r="AO1428" s="76"/>
      <c r="AP1428" s="76"/>
      <c r="AQ1428" s="76"/>
      <c r="AR1428" s="76"/>
      <c r="AS1428" s="76"/>
      <c r="AT1428" s="76"/>
      <c r="AU1428" s="76"/>
      <c r="AV1428" s="76"/>
      <c r="AW1428" s="76"/>
      <c r="AX1428" s="76">
        <f>+AW1428*600000</f>
        <v>0</v>
      </c>
      <c r="AY1428" s="76"/>
      <c r="AZ1428" s="76">
        <f>+AY1428*70000</f>
        <v>0</v>
      </c>
      <c r="BA1428" s="76"/>
      <c r="BB1428" s="76"/>
      <c r="BC1428" s="76"/>
      <c r="BD1428" s="76">
        <f>+BC1428*30000</f>
        <v>0</v>
      </c>
      <c r="BE1428" s="76"/>
      <c r="BF1428" s="76"/>
      <c r="BG1428" s="76"/>
      <c r="BH1428" s="76"/>
      <c r="BI1428" s="76"/>
      <c r="BJ1428" s="76"/>
      <c r="BK1428" s="76"/>
      <c r="BL1428" s="76">
        <f>+BK1428*31500</f>
        <v>0</v>
      </c>
      <c r="BM1428" s="76"/>
      <c r="BN1428" s="76"/>
      <c r="BO1428" s="76"/>
      <c r="BP1428" s="76"/>
      <c r="BQ1428" s="76"/>
      <c r="BR1428" s="76"/>
      <c r="BS1428" s="76"/>
      <c r="BT1428" s="76"/>
      <c r="BU1428" s="76"/>
      <c r="BV1428" s="76"/>
      <c r="BW1428" s="76"/>
      <c r="BX1428" s="76"/>
      <c r="BY1428" s="76"/>
      <c r="BZ1428" s="76"/>
      <c r="CA1428" s="76"/>
      <c r="CB1428" s="76"/>
      <c r="CC1428" s="76"/>
      <c r="CD1428" s="76"/>
      <c r="CE1428" s="76"/>
      <c r="CF1428" s="76">
        <f>+CE1428*28000</f>
        <v>0</v>
      </c>
      <c r="CG1428" s="76"/>
      <c r="CH1428" s="76">
        <f>+CG1428*22500</f>
        <v>0</v>
      </c>
      <c r="CI1428" s="76"/>
      <c r="CJ1428" s="76">
        <f>+CI1428*26000</f>
        <v>0</v>
      </c>
      <c r="CK1428" s="76"/>
      <c r="CL1428" s="76"/>
      <c r="CM1428" s="76"/>
      <c r="CN1428" s="76">
        <f>+CM1428*22000</f>
        <v>0</v>
      </c>
      <c r="CO1428" s="76"/>
      <c r="CP1428" s="76">
        <f>+CO1428*46000</f>
        <v>0</v>
      </c>
      <c r="CQ1428" s="76"/>
      <c r="CR1428" s="76">
        <f>+CQ1428*49000</f>
        <v>0</v>
      </c>
      <c r="CS1428" s="76"/>
      <c r="CT1428" s="76"/>
      <c r="CU1428" s="56">
        <f>AN1428+AP1428+AR1428+AT1428+AV1428+AX1428+AZ1428+BB1428+BD1428+BF1428+BH1428+BJ1428+BL1428+BN1428+BP1428+BR1428+BT1428+BV1428+BX1428+BZ1428+CB1428+CD1428+CF1428+CH1428+CJ1428+CL1428+CN1428+CP1428+CR1428+CT1428</f>
        <v>0</v>
      </c>
      <c r="CV1428" s="76"/>
      <c r="CW1428" s="76">
        <f>+CV1428*1100</f>
        <v>0</v>
      </c>
      <c r="CX1428" s="76"/>
      <c r="CY1428" s="76">
        <f>+CX1428*106250</f>
        <v>0</v>
      </c>
      <c r="CZ1428" s="76"/>
      <c r="DA1428" s="76">
        <f>+CZ1428*34500</f>
        <v>0</v>
      </c>
      <c r="DB1428" s="76"/>
      <c r="DC1428" s="76">
        <f>+DB1428*25000</f>
        <v>0</v>
      </c>
      <c r="DD1428" s="219"/>
      <c r="DE1428" s="219"/>
      <c r="DF1428" s="166"/>
      <c r="DG1428" s="116"/>
      <c r="DH1428" s="117"/>
      <c r="DI1428" s="24"/>
      <c r="DJ1428" s="24"/>
      <c r="DK1428" s="24"/>
      <c r="DL1428" s="24"/>
      <c r="DM1428" s="24"/>
      <c r="DN1428" s="24"/>
      <c r="DO1428" s="24"/>
      <c r="DP1428" s="24"/>
      <c r="DQ1428" s="24"/>
      <c r="DR1428" s="24"/>
      <c r="DS1428" s="24"/>
      <c r="DT1428" s="24"/>
      <c r="DU1428" s="24"/>
    </row>
    <row r="1429" spans="1:125" s="8" customFormat="1" ht="24" x14ac:dyDescent="0.2">
      <c r="A1429" s="353">
        <v>41373</v>
      </c>
      <c r="B1429" s="352" t="s">
        <v>2811</v>
      </c>
      <c r="C1429" s="354" t="s">
        <v>494</v>
      </c>
      <c r="D1429" s="354" t="s">
        <v>2859</v>
      </c>
      <c r="E1429" s="75" t="str">
        <f>VLOOKUP(B1429&amp;C1429,Divipola!$C$2:$F$1138,4,FALSE)</f>
        <v>52019</v>
      </c>
      <c r="F1429" s="87"/>
      <c r="G1429" s="87"/>
      <c r="H1429" s="87"/>
      <c r="I1429" s="87">
        <v>6</v>
      </c>
      <c r="J1429" s="87">
        <v>2</v>
      </c>
      <c r="K1429" s="87">
        <v>1</v>
      </c>
      <c r="L1429" s="87"/>
      <c r="M1429" s="87"/>
      <c r="N1429" s="87"/>
      <c r="O1429" s="87"/>
      <c r="P1429" s="87"/>
      <c r="Q1429" s="87"/>
      <c r="R1429" s="87"/>
      <c r="S1429" s="87"/>
      <c r="T1429" s="87"/>
      <c r="U1429" s="88"/>
      <c r="V1429" s="89"/>
      <c r="W1429" s="96">
        <v>0</v>
      </c>
      <c r="X1429" s="71">
        <f>CU1429</f>
        <v>0</v>
      </c>
      <c r="Y1429" s="71">
        <f>CY1429</f>
        <v>0</v>
      </c>
      <c r="Z1429" s="71">
        <f>DA1429+DC1429+DE1429</f>
        <v>0</v>
      </c>
      <c r="AA1429" s="71">
        <f>CW1429</f>
        <v>0</v>
      </c>
      <c r="AB1429" s="71"/>
      <c r="AC1429" s="71">
        <v>0</v>
      </c>
      <c r="AD1429" s="71">
        <f>W1429+X1429+Y1429+Z1429+AA1429+AB1429+AC1429</f>
        <v>0</v>
      </c>
      <c r="AE1429" s="72">
        <v>0</v>
      </c>
      <c r="AF1429" s="5"/>
      <c r="AG1429" s="6"/>
      <c r="AH1429" s="27" t="s">
        <v>3392</v>
      </c>
      <c r="AI1429" s="44" t="s">
        <v>3393</v>
      </c>
      <c r="AJ1429" s="26"/>
      <c r="AK1429" s="5"/>
      <c r="AL1429" s="82" t="s">
        <v>4240</v>
      </c>
      <c r="AM1429" s="76"/>
      <c r="AN1429" s="76"/>
      <c r="AO1429" s="76"/>
      <c r="AP1429" s="76"/>
      <c r="AQ1429" s="76"/>
      <c r="AR1429" s="76"/>
      <c r="AS1429" s="76"/>
      <c r="AT1429" s="76"/>
      <c r="AU1429" s="76"/>
      <c r="AV1429" s="76"/>
      <c r="AW1429" s="76"/>
      <c r="AX1429" s="76">
        <f>+AW1429*600000</f>
        <v>0</v>
      </c>
      <c r="AY1429" s="76"/>
      <c r="AZ1429" s="76">
        <f>+AY1429*70000</f>
        <v>0</v>
      </c>
      <c r="BA1429" s="76"/>
      <c r="BB1429" s="76"/>
      <c r="BC1429" s="76"/>
      <c r="BD1429" s="76">
        <f>+BC1429*30000</f>
        <v>0</v>
      </c>
      <c r="BE1429" s="76"/>
      <c r="BF1429" s="76"/>
      <c r="BG1429" s="76"/>
      <c r="BH1429" s="76"/>
      <c r="BI1429" s="76"/>
      <c r="BJ1429" s="76"/>
      <c r="BK1429" s="76"/>
      <c r="BL1429" s="76">
        <f>+BK1429*31500</f>
        <v>0</v>
      </c>
      <c r="BM1429" s="76"/>
      <c r="BN1429" s="76"/>
      <c r="BO1429" s="76"/>
      <c r="BP1429" s="76"/>
      <c r="BQ1429" s="76"/>
      <c r="BR1429" s="76"/>
      <c r="BS1429" s="76"/>
      <c r="BT1429" s="76"/>
      <c r="BU1429" s="76"/>
      <c r="BV1429" s="76"/>
      <c r="BW1429" s="76"/>
      <c r="BX1429" s="76"/>
      <c r="BY1429" s="76"/>
      <c r="BZ1429" s="76"/>
      <c r="CA1429" s="76"/>
      <c r="CB1429" s="76"/>
      <c r="CC1429" s="76"/>
      <c r="CD1429" s="76"/>
      <c r="CE1429" s="76"/>
      <c r="CF1429" s="76">
        <f>+CE1429*28000</f>
        <v>0</v>
      </c>
      <c r="CG1429" s="76"/>
      <c r="CH1429" s="76">
        <f>+CG1429*22500</f>
        <v>0</v>
      </c>
      <c r="CI1429" s="76"/>
      <c r="CJ1429" s="76">
        <f>+CI1429*26000</f>
        <v>0</v>
      </c>
      <c r="CK1429" s="76"/>
      <c r="CL1429" s="76"/>
      <c r="CM1429" s="76"/>
      <c r="CN1429" s="76">
        <f>+CM1429*22000</f>
        <v>0</v>
      </c>
      <c r="CO1429" s="76"/>
      <c r="CP1429" s="76">
        <f>+CO1429*46000</f>
        <v>0</v>
      </c>
      <c r="CQ1429" s="76"/>
      <c r="CR1429" s="76">
        <f>+CQ1429*49000</f>
        <v>0</v>
      </c>
      <c r="CS1429" s="76"/>
      <c r="CT1429" s="76"/>
      <c r="CU1429" s="56">
        <f>AN1429+AP1429+AR1429+AT1429+AV1429+AX1429+AZ1429+BB1429+BD1429+BF1429+BH1429+BJ1429+BL1429+BN1429+BP1429+BR1429+BT1429+BV1429+BX1429+BZ1429+CB1429+CD1429+CF1429+CH1429+CJ1429+CL1429+CN1429+CP1429+CR1429+CT1429</f>
        <v>0</v>
      </c>
      <c r="CV1429" s="76"/>
      <c r="CW1429" s="76">
        <f>+CV1429*1100</f>
        <v>0</v>
      </c>
      <c r="CX1429" s="76"/>
      <c r="CY1429" s="76">
        <f>+CX1429*106250</f>
        <v>0</v>
      </c>
      <c r="CZ1429" s="76"/>
      <c r="DA1429" s="76">
        <f>+CZ1429*34500</f>
        <v>0</v>
      </c>
      <c r="DB1429" s="76"/>
      <c r="DC1429" s="76">
        <f>+DB1429*25000</f>
        <v>0</v>
      </c>
      <c r="DD1429" s="219"/>
      <c r="DE1429" s="219"/>
      <c r="DF1429" s="166"/>
      <c r="DG1429" s="116"/>
      <c r="DH1429" s="117"/>
      <c r="DI1429" s="24"/>
      <c r="DJ1429" s="24"/>
      <c r="DK1429" s="24"/>
      <c r="DL1429" s="24"/>
      <c r="DM1429" s="24"/>
      <c r="DN1429" s="24"/>
      <c r="DO1429" s="24"/>
      <c r="DP1429" s="24"/>
      <c r="DQ1429" s="24"/>
      <c r="DR1429" s="24"/>
      <c r="DS1429" s="24"/>
      <c r="DT1429" s="24"/>
      <c r="DU1429" s="24"/>
    </row>
    <row r="1430" spans="1:125" s="8" customFormat="1" ht="36" x14ac:dyDescent="0.2">
      <c r="A1430" s="353">
        <v>41373</v>
      </c>
      <c r="B1430" s="352" t="s">
        <v>2880</v>
      </c>
      <c r="C1430" s="354" t="s">
        <v>2121</v>
      </c>
      <c r="D1430" s="81" t="s">
        <v>2846</v>
      </c>
      <c r="E1430" s="75" t="str">
        <f>VLOOKUP(B1430&amp;C1430,Divipola!$C$2:$F$1138,4,FALSE)</f>
        <v>54172</v>
      </c>
      <c r="F1430" s="87"/>
      <c r="G1430" s="87"/>
      <c r="H1430" s="87"/>
      <c r="I1430" s="87"/>
      <c r="J1430" s="87"/>
      <c r="K1430" s="87"/>
      <c r="L1430" s="87"/>
      <c r="M1430" s="87"/>
      <c r="N1430" s="87"/>
      <c r="O1430" s="87"/>
      <c r="P1430" s="87"/>
      <c r="Q1430" s="87"/>
      <c r="R1430" s="87"/>
      <c r="S1430" s="87"/>
      <c r="T1430" s="87"/>
      <c r="U1430" s="88">
        <v>7</v>
      </c>
      <c r="V1430" s="89"/>
      <c r="W1430" s="96">
        <v>0</v>
      </c>
      <c r="X1430" s="71">
        <f>CU1430</f>
        <v>0</v>
      </c>
      <c r="Y1430" s="71">
        <f>CY1430</f>
        <v>0</v>
      </c>
      <c r="Z1430" s="71">
        <f>DA1430+DC1430+DE1430</f>
        <v>0</v>
      </c>
      <c r="AA1430" s="71">
        <f>CW1430</f>
        <v>0</v>
      </c>
      <c r="AB1430" s="71"/>
      <c r="AC1430" s="71">
        <v>0</v>
      </c>
      <c r="AD1430" s="71">
        <f>W1430+X1430+Y1430+Z1430+AA1430+AB1430+AC1430</f>
        <v>0</v>
      </c>
      <c r="AE1430" s="72">
        <v>0</v>
      </c>
      <c r="AF1430" s="5"/>
      <c r="AG1430" s="6"/>
      <c r="AH1430" s="27" t="s">
        <v>3392</v>
      </c>
      <c r="AI1430" s="44" t="s">
        <v>3393</v>
      </c>
      <c r="AJ1430" s="26"/>
      <c r="AK1430" s="5"/>
      <c r="AL1430" s="82" t="s">
        <v>4241</v>
      </c>
      <c r="AM1430" s="76"/>
      <c r="AN1430" s="76"/>
      <c r="AO1430" s="76"/>
      <c r="AP1430" s="76"/>
      <c r="AQ1430" s="76"/>
      <c r="AR1430" s="76"/>
      <c r="AS1430" s="76"/>
      <c r="AT1430" s="76"/>
      <c r="AU1430" s="76"/>
      <c r="AV1430" s="76"/>
      <c r="AW1430" s="76"/>
      <c r="AX1430" s="76">
        <f>+AW1430*600000</f>
        <v>0</v>
      </c>
      <c r="AY1430" s="76"/>
      <c r="AZ1430" s="76">
        <f>+AY1430*70000</f>
        <v>0</v>
      </c>
      <c r="BA1430" s="76"/>
      <c r="BB1430" s="76"/>
      <c r="BC1430" s="76"/>
      <c r="BD1430" s="76">
        <f>+BC1430*30000</f>
        <v>0</v>
      </c>
      <c r="BE1430" s="76"/>
      <c r="BF1430" s="76"/>
      <c r="BG1430" s="76"/>
      <c r="BH1430" s="76"/>
      <c r="BI1430" s="76"/>
      <c r="BJ1430" s="76"/>
      <c r="BK1430" s="76"/>
      <c r="BL1430" s="76">
        <f>+BK1430*31500</f>
        <v>0</v>
      </c>
      <c r="BM1430" s="76"/>
      <c r="BN1430" s="76"/>
      <c r="BO1430" s="76"/>
      <c r="BP1430" s="76"/>
      <c r="BQ1430" s="76"/>
      <c r="BR1430" s="76"/>
      <c r="BS1430" s="76"/>
      <c r="BT1430" s="76"/>
      <c r="BU1430" s="76"/>
      <c r="BV1430" s="76"/>
      <c r="BW1430" s="76"/>
      <c r="BX1430" s="76"/>
      <c r="BY1430" s="76"/>
      <c r="BZ1430" s="76"/>
      <c r="CA1430" s="76"/>
      <c r="CB1430" s="76"/>
      <c r="CC1430" s="76"/>
      <c r="CD1430" s="76"/>
      <c r="CE1430" s="76"/>
      <c r="CF1430" s="76">
        <f>+CE1430*28000</f>
        <v>0</v>
      </c>
      <c r="CG1430" s="76"/>
      <c r="CH1430" s="76">
        <f>+CG1430*22500</f>
        <v>0</v>
      </c>
      <c r="CI1430" s="76"/>
      <c r="CJ1430" s="76">
        <f>+CI1430*26000</f>
        <v>0</v>
      </c>
      <c r="CK1430" s="76"/>
      <c r="CL1430" s="76"/>
      <c r="CM1430" s="76"/>
      <c r="CN1430" s="76">
        <f>+CM1430*22000</f>
        <v>0</v>
      </c>
      <c r="CO1430" s="76"/>
      <c r="CP1430" s="76">
        <f>+CO1430*46000</f>
        <v>0</v>
      </c>
      <c r="CQ1430" s="76"/>
      <c r="CR1430" s="76">
        <f>+CQ1430*49000</f>
        <v>0</v>
      </c>
      <c r="CS1430" s="76"/>
      <c r="CT1430" s="76"/>
      <c r="CU1430" s="56">
        <f>AN1430+AP1430+AR1430+AT1430+AV1430+AX1430+AZ1430+BB1430+BD1430+BF1430+BH1430+BJ1430+BL1430+BN1430+BP1430+BR1430+BT1430+BV1430+BX1430+BZ1430+CB1430+CD1430+CF1430+CH1430+CJ1430+CL1430+CN1430+CP1430+CR1430+CT1430</f>
        <v>0</v>
      </c>
      <c r="CV1430" s="76"/>
      <c r="CW1430" s="76">
        <f>+CV1430*1100</f>
        <v>0</v>
      </c>
      <c r="CX1430" s="76"/>
      <c r="CY1430" s="76">
        <f>+CX1430*106250</f>
        <v>0</v>
      </c>
      <c r="CZ1430" s="76"/>
      <c r="DA1430" s="76">
        <f>+CZ1430*34500</f>
        <v>0</v>
      </c>
      <c r="DB1430" s="76"/>
      <c r="DC1430" s="76">
        <f>+DB1430*25000</f>
        <v>0</v>
      </c>
      <c r="DD1430" s="219"/>
      <c r="DE1430" s="219"/>
      <c r="DF1430" s="166"/>
      <c r="DG1430" s="116"/>
      <c r="DH1430" s="117"/>
      <c r="DI1430" s="24"/>
      <c r="DJ1430" s="24"/>
      <c r="DK1430" s="24"/>
      <c r="DL1430" s="24"/>
      <c r="DM1430" s="24"/>
      <c r="DN1430" s="24"/>
      <c r="DO1430" s="24"/>
      <c r="DP1430" s="24"/>
      <c r="DQ1430" s="24"/>
      <c r="DR1430" s="24"/>
      <c r="DS1430" s="24"/>
      <c r="DT1430" s="24"/>
      <c r="DU1430" s="24"/>
    </row>
    <row r="1431" spans="1:125" s="8" customFormat="1" ht="180" x14ac:dyDescent="0.2">
      <c r="A1431" s="226">
        <v>41373</v>
      </c>
      <c r="B1431" s="225" t="s">
        <v>2847</v>
      </c>
      <c r="C1431" s="227" t="s">
        <v>2147</v>
      </c>
      <c r="D1431" s="227" t="s">
        <v>2882</v>
      </c>
      <c r="E1431" s="75" t="str">
        <f>VLOOKUP(B1431&amp;C1431,Divipola!$C$2:$F$1138,4,FALSE)</f>
        <v>68298</v>
      </c>
      <c r="F1431" s="87"/>
      <c r="G1431" s="87"/>
      <c r="H1431" s="87"/>
      <c r="I1431" s="87">
        <v>140</v>
      </c>
      <c r="J1431" s="87">
        <v>28</v>
      </c>
      <c r="K1431" s="87"/>
      <c r="L1431" s="87">
        <v>28</v>
      </c>
      <c r="M1431" s="87"/>
      <c r="N1431" s="87"/>
      <c r="O1431" s="87"/>
      <c r="P1431" s="87"/>
      <c r="Q1431" s="87"/>
      <c r="R1431" s="87"/>
      <c r="S1431" s="87">
        <v>1</v>
      </c>
      <c r="T1431" s="87"/>
      <c r="U1431" s="88"/>
      <c r="V1431" s="89"/>
      <c r="W1431" s="96">
        <v>0</v>
      </c>
      <c r="X1431" s="71">
        <f>CU1431</f>
        <v>0</v>
      </c>
      <c r="Y1431" s="71">
        <f>CY1431</f>
        <v>0</v>
      </c>
      <c r="Z1431" s="71">
        <f>DA1431+DC1431+DE1431</f>
        <v>0</v>
      </c>
      <c r="AA1431" s="71">
        <f>CW1431</f>
        <v>0</v>
      </c>
      <c r="AB1431" s="71"/>
      <c r="AC1431" s="71">
        <v>0</v>
      </c>
      <c r="AD1431" s="71">
        <f>W1431+X1431+Y1431+Z1431+AA1431+AB1431+AC1431</f>
        <v>0</v>
      </c>
      <c r="AE1431" s="72">
        <v>0</v>
      </c>
      <c r="AF1431" s="5"/>
      <c r="AG1431" s="6"/>
      <c r="AH1431" s="27" t="s">
        <v>3392</v>
      </c>
      <c r="AI1431" s="44" t="s">
        <v>3393</v>
      </c>
      <c r="AJ1431" s="26"/>
      <c r="AK1431" s="5"/>
      <c r="AL1431" s="82" t="s">
        <v>4245</v>
      </c>
      <c r="AM1431" s="76"/>
      <c r="AN1431" s="76"/>
      <c r="AO1431" s="76"/>
      <c r="AP1431" s="76"/>
      <c r="AQ1431" s="76"/>
      <c r="AR1431" s="76"/>
      <c r="AS1431" s="76"/>
      <c r="AT1431" s="76"/>
      <c r="AU1431" s="76"/>
      <c r="AV1431" s="76"/>
      <c r="AW1431" s="76"/>
      <c r="AX1431" s="76">
        <f>+AW1431*600000</f>
        <v>0</v>
      </c>
      <c r="AY1431" s="76"/>
      <c r="AZ1431" s="76">
        <f>+AY1431*70000</f>
        <v>0</v>
      </c>
      <c r="BA1431" s="76"/>
      <c r="BB1431" s="76"/>
      <c r="BC1431" s="76"/>
      <c r="BD1431" s="76">
        <f>+BC1431*30000</f>
        <v>0</v>
      </c>
      <c r="BE1431" s="76"/>
      <c r="BF1431" s="76"/>
      <c r="BG1431" s="76"/>
      <c r="BH1431" s="76"/>
      <c r="BI1431" s="76"/>
      <c r="BJ1431" s="76"/>
      <c r="BK1431" s="76"/>
      <c r="BL1431" s="76">
        <f>+BK1431*31500</f>
        <v>0</v>
      </c>
      <c r="BM1431" s="76"/>
      <c r="BN1431" s="76"/>
      <c r="BO1431" s="76"/>
      <c r="BP1431" s="76"/>
      <c r="BQ1431" s="76"/>
      <c r="BR1431" s="76"/>
      <c r="BS1431" s="76"/>
      <c r="BT1431" s="76"/>
      <c r="BU1431" s="76"/>
      <c r="BV1431" s="76"/>
      <c r="BW1431" s="76"/>
      <c r="BX1431" s="76"/>
      <c r="BY1431" s="76"/>
      <c r="BZ1431" s="76"/>
      <c r="CA1431" s="76"/>
      <c r="CB1431" s="76"/>
      <c r="CC1431" s="76"/>
      <c r="CD1431" s="76"/>
      <c r="CE1431" s="76"/>
      <c r="CF1431" s="76">
        <f>+CE1431*28000</f>
        <v>0</v>
      </c>
      <c r="CG1431" s="76"/>
      <c r="CH1431" s="76">
        <f>+CG1431*22500</f>
        <v>0</v>
      </c>
      <c r="CI1431" s="76"/>
      <c r="CJ1431" s="76">
        <f>+CI1431*26000</f>
        <v>0</v>
      </c>
      <c r="CK1431" s="76"/>
      <c r="CL1431" s="76"/>
      <c r="CM1431" s="76"/>
      <c r="CN1431" s="76">
        <f>+CM1431*22000</f>
        <v>0</v>
      </c>
      <c r="CO1431" s="76"/>
      <c r="CP1431" s="76">
        <f>+CO1431*46000</f>
        <v>0</v>
      </c>
      <c r="CQ1431" s="76"/>
      <c r="CR1431" s="76">
        <f>+CQ1431*49000</f>
        <v>0</v>
      </c>
      <c r="CS1431" s="76"/>
      <c r="CT1431" s="76"/>
      <c r="CU1431" s="56">
        <f>AN1431+AP1431+AR1431+AT1431+AV1431+AX1431+AZ1431+BB1431+BD1431+BF1431+BH1431+BJ1431+BL1431+BN1431+BP1431+BR1431+BT1431+BV1431+BX1431+BZ1431+CB1431+CD1431+CF1431+CH1431+CJ1431+CL1431+CN1431+CP1431+CR1431+CT1431</f>
        <v>0</v>
      </c>
      <c r="CV1431" s="76"/>
      <c r="CW1431" s="76">
        <f>+CV1431*1100</f>
        <v>0</v>
      </c>
      <c r="CX1431" s="76"/>
      <c r="CY1431" s="76">
        <f>+CX1431*106250</f>
        <v>0</v>
      </c>
      <c r="CZ1431" s="76"/>
      <c r="DA1431" s="76">
        <f>+CZ1431*34500</f>
        <v>0</v>
      </c>
      <c r="DB1431" s="76"/>
      <c r="DC1431" s="76">
        <f>+DB1431*25000</f>
        <v>0</v>
      </c>
      <c r="DD1431" s="219"/>
      <c r="DE1431" s="219"/>
      <c r="DF1431" s="166"/>
      <c r="DG1431" s="116"/>
      <c r="DH1431" s="117"/>
      <c r="DI1431" s="24"/>
      <c r="DJ1431" s="24"/>
      <c r="DK1431" s="24"/>
      <c r="DL1431" s="24"/>
      <c r="DM1431" s="24"/>
      <c r="DN1431" s="24"/>
      <c r="DO1431" s="24"/>
      <c r="DP1431" s="24"/>
      <c r="DQ1431" s="24"/>
      <c r="DR1431" s="24"/>
      <c r="DS1431" s="24"/>
      <c r="DT1431" s="24"/>
      <c r="DU1431" s="24"/>
    </row>
    <row r="1432" spans="1:125" s="8" customFormat="1" ht="60" x14ac:dyDescent="0.2">
      <c r="A1432" s="77">
        <v>41373</v>
      </c>
      <c r="B1432" s="78" t="s">
        <v>2848</v>
      </c>
      <c r="C1432" s="75" t="s">
        <v>2755</v>
      </c>
      <c r="D1432" s="75" t="s">
        <v>3051</v>
      </c>
      <c r="E1432" s="75" t="str">
        <f>VLOOKUP(B1432&amp;C1432,Divipola!$C$2:$F$1138,4,FALSE)</f>
        <v>73001</v>
      </c>
      <c r="F1432" s="87"/>
      <c r="G1432" s="87"/>
      <c r="H1432" s="87"/>
      <c r="I1432" s="87">
        <v>10</v>
      </c>
      <c r="J1432" s="87">
        <v>2</v>
      </c>
      <c r="K1432" s="87"/>
      <c r="L1432" s="87">
        <v>2</v>
      </c>
      <c r="M1432" s="87">
        <v>1</v>
      </c>
      <c r="N1432" s="87"/>
      <c r="O1432" s="87"/>
      <c r="P1432" s="87">
        <v>1</v>
      </c>
      <c r="Q1432" s="87"/>
      <c r="R1432" s="87"/>
      <c r="S1432" s="87"/>
      <c r="T1432" s="87">
        <v>1</v>
      </c>
      <c r="U1432" s="88"/>
      <c r="V1432" s="89"/>
      <c r="W1432" s="96">
        <v>0</v>
      </c>
      <c r="X1432" s="71">
        <f>CU1432</f>
        <v>0</v>
      </c>
      <c r="Y1432" s="71">
        <f>CY1432</f>
        <v>0</v>
      </c>
      <c r="Z1432" s="71">
        <f>DA1432+DC1432+DE1432</f>
        <v>0</v>
      </c>
      <c r="AA1432" s="71">
        <f>CW1432</f>
        <v>0</v>
      </c>
      <c r="AB1432" s="71"/>
      <c r="AC1432" s="71">
        <v>0</v>
      </c>
      <c r="AD1432" s="71">
        <f>W1432+X1432+Y1432+Z1432+AA1432+AB1432+AC1432</f>
        <v>0</v>
      </c>
      <c r="AE1432" s="72">
        <v>0</v>
      </c>
      <c r="AF1432" s="5"/>
      <c r="AG1432" s="6"/>
      <c r="AH1432" s="27" t="s">
        <v>3392</v>
      </c>
      <c r="AI1432" s="44" t="s">
        <v>3393</v>
      </c>
      <c r="AJ1432" s="26"/>
      <c r="AK1432" s="5"/>
      <c r="AL1432" s="82" t="s">
        <v>4225</v>
      </c>
      <c r="AM1432" s="76"/>
      <c r="AN1432" s="76"/>
      <c r="AO1432" s="76"/>
      <c r="AP1432" s="76"/>
      <c r="AQ1432" s="76"/>
      <c r="AR1432" s="76"/>
      <c r="AS1432" s="76"/>
      <c r="AT1432" s="76"/>
      <c r="AU1432" s="76"/>
      <c r="AV1432" s="76"/>
      <c r="AW1432" s="76"/>
      <c r="AX1432" s="76">
        <f>+AW1432*600000</f>
        <v>0</v>
      </c>
      <c r="AY1432" s="76"/>
      <c r="AZ1432" s="76">
        <f>+AY1432*70000</f>
        <v>0</v>
      </c>
      <c r="BA1432" s="76"/>
      <c r="BB1432" s="76"/>
      <c r="BC1432" s="76"/>
      <c r="BD1432" s="76">
        <f>+BC1432*30000</f>
        <v>0</v>
      </c>
      <c r="BE1432" s="76"/>
      <c r="BF1432" s="76"/>
      <c r="BG1432" s="76"/>
      <c r="BH1432" s="76"/>
      <c r="BI1432" s="76"/>
      <c r="BJ1432" s="76"/>
      <c r="BK1432" s="76"/>
      <c r="BL1432" s="76">
        <f>+BK1432*31500</f>
        <v>0</v>
      </c>
      <c r="BM1432" s="76"/>
      <c r="BN1432" s="76"/>
      <c r="BO1432" s="76"/>
      <c r="BP1432" s="76"/>
      <c r="BQ1432" s="76"/>
      <c r="BR1432" s="76"/>
      <c r="BS1432" s="76"/>
      <c r="BT1432" s="76"/>
      <c r="BU1432" s="76"/>
      <c r="BV1432" s="76"/>
      <c r="BW1432" s="76"/>
      <c r="BX1432" s="76"/>
      <c r="BY1432" s="76"/>
      <c r="BZ1432" s="76"/>
      <c r="CA1432" s="76"/>
      <c r="CB1432" s="76"/>
      <c r="CC1432" s="76"/>
      <c r="CD1432" s="76"/>
      <c r="CE1432" s="76"/>
      <c r="CF1432" s="76">
        <f>+CE1432*28000</f>
        <v>0</v>
      </c>
      <c r="CG1432" s="76"/>
      <c r="CH1432" s="76">
        <f>+CG1432*22500</f>
        <v>0</v>
      </c>
      <c r="CI1432" s="76"/>
      <c r="CJ1432" s="76">
        <f>+CI1432*26000</f>
        <v>0</v>
      </c>
      <c r="CK1432" s="76"/>
      <c r="CL1432" s="76"/>
      <c r="CM1432" s="76"/>
      <c r="CN1432" s="76">
        <f>+CM1432*22000</f>
        <v>0</v>
      </c>
      <c r="CO1432" s="76"/>
      <c r="CP1432" s="76">
        <f>+CO1432*46000</f>
        <v>0</v>
      </c>
      <c r="CQ1432" s="76"/>
      <c r="CR1432" s="76">
        <f>+CQ1432*49000</f>
        <v>0</v>
      </c>
      <c r="CS1432" s="76"/>
      <c r="CT1432" s="76"/>
      <c r="CU1432" s="56">
        <f>AN1432+AP1432+AR1432+AT1432+AV1432+AX1432+AZ1432+BB1432+BD1432+BF1432+BH1432+BJ1432+BL1432+BN1432+BP1432+BR1432+BT1432+BV1432+BX1432+BZ1432+CB1432+CD1432+CF1432+CH1432+CJ1432+CL1432+CN1432+CP1432+CR1432+CT1432</f>
        <v>0</v>
      </c>
      <c r="CV1432" s="76"/>
      <c r="CW1432" s="76">
        <f>+CV1432*1100</f>
        <v>0</v>
      </c>
      <c r="CX1432" s="76"/>
      <c r="CY1432" s="76">
        <f>+CX1432*106250</f>
        <v>0</v>
      </c>
      <c r="CZ1432" s="76"/>
      <c r="DA1432" s="76">
        <f>+CZ1432*34500</f>
        <v>0</v>
      </c>
      <c r="DB1432" s="76"/>
      <c r="DC1432" s="76">
        <f>+DB1432*25000</f>
        <v>0</v>
      </c>
      <c r="DD1432" s="219"/>
      <c r="DE1432" s="219"/>
      <c r="DF1432" s="166"/>
      <c r="DG1432" s="116"/>
      <c r="DH1432" s="117"/>
      <c r="DI1432" s="24"/>
      <c r="DJ1432" s="24"/>
      <c r="DK1432" s="24"/>
      <c r="DL1432" s="24"/>
      <c r="DM1432" s="24"/>
      <c r="DN1432" s="24"/>
      <c r="DO1432" s="24"/>
      <c r="DP1432" s="24"/>
      <c r="DQ1432" s="24"/>
      <c r="DR1432" s="24"/>
      <c r="DS1432" s="24"/>
      <c r="DT1432" s="24"/>
      <c r="DU1432" s="24"/>
    </row>
    <row r="1433" spans="1:125" s="8" customFormat="1" ht="48" x14ac:dyDescent="0.2">
      <c r="A1433" s="77">
        <v>41374</v>
      </c>
      <c r="B1433" s="78" t="s">
        <v>2852</v>
      </c>
      <c r="C1433" s="83" t="s">
        <v>2697</v>
      </c>
      <c r="D1433" s="75" t="s">
        <v>2882</v>
      </c>
      <c r="E1433" s="75" t="str">
        <f>VLOOKUP(B1433&amp;C1433,Divipola!$C$2:$F$1138,4,FALSE)</f>
        <v>27787</v>
      </c>
      <c r="F1433" s="93"/>
      <c r="G1433" s="93"/>
      <c r="H1433" s="93"/>
      <c r="I1433" s="93"/>
      <c r="J1433" s="93"/>
      <c r="K1433" s="93"/>
      <c r="L1433" s="93"/>
      <c r="M1433" s="93"/>
      <c r="N1433" s="93"/>
      <c r="O1433" s="93"/>
      <c r="P1433" s="93"/>
      <c r="Q1433" s="93"/>
      <c r="R1433" s="93"/>
      <c r="S1433" s="93"/>
      <c r="T1433" s="93"/>
      <c r="U1433" s="93"/>
      <c r="V1433" s="89"/>
      <c r="W1433" s="96">
        <v>0</v>
      </c>
      <c r="X1433" s="71">
        <f>CU1433</f>
        <v>0</v>
      </c>
      <c r="Y1433" s="71">
        <f>CY1433</f>
        <v>0</v>
      </c>
      <c r="Z1433" s="71">
        <f>DA1433+DC1433+DE1433</f>
        <v>0</v>
      </c>
      <c r="AA1433" s="71">
        <f>CW1433</f>
        <v>0</v>
      </c>
      <c r="AB1433" s="71"/>
      <c r="AC1433" s="71">
        <v>0</v>
      </c>
      <c r="AD1433" s="71">
        <f>W1433+X1433+Y1433+Z1433+AA1433+AB1433+AC1433</f>
        <v>0</v>
      </c>
      <c r="AE1433" s="72">
        <v>0</v>
      </c>
      <c r="AF1433" s="5"/>
      <c r="AG1433" s="6"/>
      <c r="AH1433" s="27" t="s">
        <v>3392</v>
      </c>
      <c r="AI1433" s="44" t="s">
        <v>3393</v>
      </c>
      <c r="AJ1433" s="26"/>
      <c r="AK1433" s="5"/>
      <c r="AL1433" s="82" t="s">
        <v>4250</v>
      </c>
      <c r="AM1433" s="76"/>
      <c r="AN1433" s="76"/>
      <c r="AO1433" s="76"/>
      <c r="AP1433" s="76"/>
      <c r="AQ1433" s="76"/>
      <c r="AR1433" s="76"/>
      <c r="AS1433" s="76"/>
      <c r="AT1433" s="76"/>
      <c r="AU1433" s="76"/>
      <c r="AV1433" s="76"/>
      <c r="AW1433" s="76"/>
      <c r="AX1433" s="76">
        <f>+AW1433*600000</f>
        <v>0</v>
      </c>
      <c r="AY1433" s="76"/>
      <c r="AZ1433" s="76">
        <f>+AY1433*70000</f>
        <v>0</v>
      </c>
      <c r="BA1433" s="76"/>
      <c r="BB1433" s="76"/>
      <c r="BC1433" s="76"/>
      <c r="BD1433" s="76">
        <f>+BC1433*30000</f>
        <v>0</v>
      </c>
      <c r="BE1433" s="76"/>
      <c r="BF1433" s="76"/>
      <c r="BG1433" s="76"/>
      <c r="BH1433" s="76"/>
      <c r="BI1433" s="76"/>
      <c r="BJ1433" s="76"/>
      <c r="BK1433" s="76"/>
      <c r="BL1433" s="76">
        <f>+BK1433*31500</f>
        <v>0</v>
      </c>
      <c r="BM1433" s="76"/>
      <c r="BN1433" s="76"/>
      <c r="BO1433" s="76"/>
      <c r="BP1433" s="76"/>
      <c r="BQ1433" s="76"/>
      <c r="BR1433" s="76"/>
      <c r="BS1433" s="76"/>
      <c r="BT1433" s="76"/>
      <c r="BU1433" s="76"/>
      <c r="BV1433" s="76"/>
      <c r="BW1433" s="76"/>
      <c r="BX1433" s="76"/>
      <c r="BY1433" s="76"/>
      <c r="BZ1433" s="76"/>
      <c r="CA1433" s="76"/>
      <c r="CB1433" s="76"/>
      <c r="CC1433" s="76"/>
      <c r="CD1433" s="76"/>
      <c r="CE1433" s="76"/>
      <c r="CF1433" s="76">
        <f>+CE1433*28000</f>
        <v>0</v>
      </c>
      <c r="CG1433" s="76"/>
      <c r="CH1433" s="76">
        <f>+CG1433*22500</f>
        <v>0</v>
      </c>
      <c r="CI1433" s="76"/>
      <c r="CJ1433" s="76">
        <f>+CI1433*26000</f>
        <v>0</v>
      </c>
      <c r="CK1433" s="76"/>
      <c r="CL1433" s="76"/>
      <c r="CM1433" s="76"/>
      <c r="CN1433" s="76">
        <f>+CM1433*22000</f>
        <v>0</v>
      </c>
      <c r="CO1433" s="76"/>
      <c r="CP1433" s="76">
        <f>+CO1433*46000</f>
        <v>0</v>
      </c>
      <c r="CQ1433" s="76"/>
      <c r="CR1433" s="76">
        <f>+CQ1433*49000</f>
        <v>0</v>
      </c>
      <c r="CS1433" s="76"/>
      <c r="CT1433" s="76"/>
      <c r="CU1433" s="56">
        <f>AN1433+AP1433+AR1433+AT1433+AV1433+AX1433+AZ1433+BB1433+BD1433+BF1433+BH1433+BJ1433+BL1433+BN1433+BP1433+BR1433+BT1433+BV1433+BX1433+BZ1433+CB1433+CD1433+CF1433+CH1433+CJ1433+CL1433+CN1433+CP1433+CR1433+CT1433</f>
        <v>0</v>
      </c>
      <c r="CV1433" s="76"/>
      <c r="CW1433" s="76">
        <f>+CV1433*1100</f>
        <v>0</v>
      </c>
      <c r="CX1433" s="76"/>
      <c r="CY1433" s="76">
        <f>+CX1433*106250</f>
        <v>0</v>
      </c>
      <c r="CZ1433" s="76"/>
      <c r="DA1433" s="76">
        <f>+CZ1433*34500</f>
        <v>0</v>
      </c>
      <c r="DB1433" s="76"/>
      <c r="DC1433" s="76">
        <f>+DB1433*25000</f>
        <v>0</v>
      </c>
      <c r="DD1433" s="219"/>
      <c r="DE1433" s="219"/>
      <c r="DF1433" s="166"/>
      <c r="DG1433" s="116"/>
      <c r="DH1433" s="117"/>
      <c r="DI1433" s="24"/>
      <c r="DJ1433" s="24"/>
      <c r="DK1433" s="24"/>
      <c r="DL1433" s="24"/>
      <c r="DM1433" s="24"/>
      <c r="DN1433" s="24"/>
      <c r="DO1433" s="24"/>
      <c r="DP1433" s="24"/>
      <c r="DQ1433" s="24"/>
      <c r="DR1433" s="24"/>
      <c r="DS1433" s="24"/>
      <c r="DT1433" s="24"/>
      <c r="DU1433" s="24"/>
    </row>
    <row r="1434" spans="1:125" s="8" customFormat="1" ht="120" x14ac:dyDescent="0.2">
      <c r="A1434" s="77">
        <v>41374</v>
      </c>
      <c r="B1434" s="78" t="s">
        <v>2772</v>
      </c>
      <c r="C1434" s="75" t="s">
        <v>1034</v>
      </c>
      <c r="D1434" s="81" t="s">
        <v>2846</v>
      </c>
      <c r="E1434" s="75" t="str">
        <f>VLOOKUP(B1434&amp;C1434,Divipola!$C$2:$F$1138,4,FALSE)</f>
        <v>25178</v>
      </c>
      <c r="F1434" s="87"/>
      <c r="G1434" s="87"/>
      <c r="H1434" s="87"/>
      <c r="I1434" s="87"/>
      <c r="J1434" s="87"/>
      <c r="K1434" s="87"/>
      <c r="L1434" s="87"/>
      <c r="M1434" s="87"/>
      <c r="N1434" s="87"/>
      <c r="O1434" s="87"/>
      <c r="P1434" s="87"/>
      <c r="Q1434" s="87"/>
      <c r="R1434" s="87"/>
      <c r="S1434" s="191"/>
      <c r="T1434" s="87"/>
      <c r="U1434" s="88">
        <v>5</v>
      </c>
      <c r="V1434" s="89"/>
      <c r="W1434" s="96">
        <v>0</v>
      </c>
      <c r="X1434" s="71">
        <f>CU1434</f>
        <v>0</v>
      </c>
      <c r="Y1434" s="71">
        <f>CY1434</f>
        <v>0</v>
      </c>
      <c r="Z1434" s="71">
        <f>DA1434+DC1434+DE1434</f>
        <v>0</v>
      </c>
      <c r="AA1434" s="71">
        <f>CW1434</f>
        <v>0</v>
      </c>
      <c r="AB1434" s="71"/>
      <c r="AC1434" s="71">
        <v>0</v>
      </c>
      <c r="AD1434" s="71">
        <f>W1434+X1434+Y1434+Z1434+AA1434+AB1434+AC1434</f>
        <v>0</v>
      </c>
      <c r="AE1434" s="72">
        <v>0</v>
      </c>
      <c r="AF1434" s="5"/>
      <c r="AG1434" s="6"/>
      <c r="AH1434" s="27" t="s">
        <v>3392</v>
      </c>
      <c r="AI1434" s="44" t="s">
        <v>3393</v>
      </c>
      <c r="AJ1434" s="26"/>
      <c r="AK1434" s="5"/>
      <c r="AL1434" s="82" t="s">
        <v>4252</v>
      </c>
      <c r="AM1434" s="76"/>
      <c r="AN1434" s="76"/>
      <c r="AO1434" s="76"/>
      <c r="AP1434" s="76"/>
      <c r="AQ1434" s="76"/>
      <c r="AR1434" s="76"/>
      <c r="AS1434" s="76"/>
      <c r="AT1434" s="76"/>
      <c r="AU1434" s="76"/>
      <c r="AV1434" s="76"/>
      <c r="AW1434" s="76"/>
      <c r="AX1434" s="76">
        <f>+AW1434*600000</f>
        <v>0</v>
      </c>
      <c r="AY1434" s="76"/>
      <c r="AZ1434" s="76">
        <f>+AY1434*70000</f>
        <v>0</v>
      </c>
      <c r="BA1434" s="76"/>
      <c r="BB1434" s="76"/>
      <c r="BC1434" s="76"/>
      <c r="BD1434" s="76">
        <f>+BC1434*30000</f>
        <v>0</v>
      </c>
      <c r="BE1434" s="76"/>
      <c r="BF1434" s="76"/>
      <c r="BG1434" s="76"/>
      <c r="BH1434" s="76"/>
      <c r="BI1434" s="76"/>
      <c r="BJ1434" s="76"/>
      <c r="BK1434" s="76"/>
      <c r="BL1434" s="76">
        <f>+BK1434*31500</f>
        <v>0</v>
      </c>
      <c r="BM1434" s="76"/>
      <c r="BN1434" s="76"/>
      <c r="BO1434" s="76"/>
      <c r="BP1434" s="76"/>
      <c r="BQ1434" s="76"/>
      <c r="BR1434" s="76"/>
      <c r="BS1434" s="76"/>
      <c r="BT1434" s="76"/>
      <c r="BU1434" s="76"/>
      <c r="BV1434" s="76"/>
      <c r="BW1434" s="76"/>
      <c r="BX1434" s="76"/>
      <c r="BY1434" s="76"/>
      <c r="BZ1434" s="76"/>
      <c r="CA1434" s="76"/>
      <c r="CB1434" s="76"/>
      <c r="CC1434" s="76"/>
      <c r="CD1434" s="76"/>
      <c r="CE1434" s="76"/>
      <c r="CF1434" s="76">
        <f>+CE1434*28000</f>
        <v>0</v>
      </c>
      <c r="CG1434" s="76"/>
      <c r="CH1434" s="76">
        <f>+CG1434*22500</f>
        <v>0</v>
      </c>
      <c r="CI1434" s="76"/>
      <c r="CJ1434" s="76">
        <f>+CI1434*26000</f>
        <v>0</v>
      </c>
      <c r="CK1434" s="76"/>
      <c r="CL1434" s="76"/>
      <c r="CM1434" s="76"/>
      <c r="CN1434" s="76">
        <f>+CM1434*22000</f>
        <v>0</v>
      </c>
      <c r="CO1434" s="76"/>
      <c r="CP1434" s="76">
        <f>+CO1434*46000</f>
        <v>0</v>
      </c>
      <c r="CQ1434" s="76"/>
      <c r="CR1434" s="76">
        <f>+CQ1434*49000</f>
        <v>0</v>
      </c>
      <c r="CS1434" s="76"/>
      <c r="CT1434" s="76"/>
      <c r="CU1434" s="56">
        <f>AN1434+AP1434+AR1434+AT1434+AV1434+AX1434+AZ1434+BB1434+BD1434+BF1434+BH1434+BJ1434+BL1434+BN1434+BP1434+BR1434+BT1434+BV1434+BX1434+BZ1434+CB1434+CD1434+CF1434+CH1434+CJ1434+CL1434+CN1434+CP1434+CR1434+CT1434</f>
        <v>0</v>
      </c>
      <c r="CV1434" s="76"/>
      <c r="CW1434" s="76">
        <f>+CV1434*1100</f>
        <v>0</v>
      </c>
      <c r="CX1434" s="76"/>
      <c r="CY1434" s="76">
        <f>+CX1434*106250</f>
        <v>0</v>
      </c>
      <c r="CZ1434" s="76"/>
      <c r="DA1434" s="76">
        <f>+CZ1434*34500</f>
        <v>0</v>
      </c>
      <c r="DB1434" s="76"/>
      <c r="DC1434" s="76">
        <f>+DB1434*25000</f>
        <v>0</v>
      </c>
      <c r="DD1434" s="219"/>
      <c r="DE1434" s="219"/>
      <c r="DF1434" s="166"/>
      <c r="DG1434" s="116"/>
      <c r="DH1434" s="117"/>
      <c r="DI1434" s="24"/>
      <c r="DJ1434" s="24"/>
      <c r="DK1434" s="24"/>
      <c r="DL1434" s="24"/>
      <c r="DM1434" s="24"/>
      <c r="DN1434" s="24"/>
      <c r="DO1434" s="24"/>
      <c r="DP1434" s="24"/>
      <c r="DQ1434" s="24"/>
      <c r="DR1434" s="24"/>
      <c r="DS1434" s="24"/>
      <c r="DT1434" s="24"/>
      <c r="DU1434" s="24"/>
    </row>
    <row r="1435" spans="1:125" s="8" customFormat="1" ht="96.75" x14ac:dyDescent="0.2">
      <c r="A1435" s="353">
        <v>41374</v>
      </c>
      <c r="B1435" s="208" t="s">
        <v>2772</v>
      </c>
      <c r="C1435" s="227" t="s">
        <v>1110</v>
      </c>
      <c r="D1435" s="81" t="s">
        <v>2846</v>
      </c>
      <c r="E1435" s="75" t="str">
        <f>VLOOKUP(B1435&amp;C1435,Divipola!$C$2:$F$1138,4,FALSE)</f>
        <v>25436</v>
      </c>
      <c r="F1435" s="100"/>
      <c r="G1435" s="100"/>
      <c r="H1435" s="100"/>
      <c r="I1435" s="100"/>
      <c r="J1435" s="100"/>
      <c r="K1435" s="100"/>
      <c r="L1435" s="100"/>
      <c r="M1435" s="100"/>
      <c r="N1435" s="100"/>
      <c r="O1435" s="100"/>
      <c r="P1435" s="100"/>
      <c r="Q1435" s="100"/>
      <c r="R1435" s="100"/>
      <c r="S1435" s="100"/>
      <c r="T1435" s="100"/>
      <c r="U1435" s="136">
        <v>3</v>
      </c>
      <c r="V1435" s="89"/>
      <c r="W1435" s="96">
        <v>0</v>
      </c>
      <c r="X1435" s="71">
        <f>CU1435</f>
        <v>0</v>
      </c>
      <c r="Y1435" s="71">
        <f>CY1435</f>
        <v>0</v>
      </c>
      <c r="Z1435" s="71">
        <f>DA1435+DC1435+DE1435</f>
        <v>0</v>
      </c>
      <c r="AA1435" s="71">
        <f>CW1435</f>
        <v>0</v>
      </c>
      <c r="AB1435" s="71"/>
      <c r="AC1435" s="71">
        <v>0</v>
      </c>
      <c r="AD1435" s="71">
        <f>W1435+X1435+Y1435+Z1435+AA1435+AB1435+AC1435</f>
        <v>0</v>
      </c>
      <c r="AE1435" s="72">
        <v>0</v>
      </c>
      <c r="AF1435" s="5"/>
      <c r="AG1435" s="6"/>
      <c r="AH1435" s="27" t="s">
        <v>3392</v>
      </c>
      <c r="AI1435" s="44" t="s">
        <v>3393</v>
      </c>
      <c r="AJ1435" s="26"/>
      <c r="AK1435" s="5"/>
      <c r="AL1435" s="82" t="s">
        <v>4251</v>
      </c>
      <c r="AM1435" s="76"/>
      <c r="AN1435" s="76"/>
      <c r="AO1435" s="76"/>
      <c r="AP1435" s="76"/>
      <c r="AQ1435" s="76"/>
      <c r="AR1435" s="76"/>
      <c r="AS1435" s="76"/>
      <c r="AT1435" s="76"/>
      <c r="AU1435" s="76"/>
      <c r="AV1435" s="76"/>
      <c r="AW1435" s="76"/>
      <c r="AX1435" s="76">
        <f>+AW1435*600000</f>
        <v>0</v>
      </c>
      <c r="AY1435" s="76"/>
      <c r="AZ1435" s="76">
        <f>+AY1435*70000</f>
        <v>0</v>
      </c>
      <c r="BA1435" s="76"/>
      <c r="BB1435" s="76"/>
      <c r="BC1435" s="76"/>
      <c r="BD1435" s="76">
        <f>+BC1435*30000</f>
        <v>0</v>
      </c>
      <c r="BE1435" s="76"/>
      <c r="BF1435" s="76"/>
      <c r="BG1435" s="76"/>
      <c r="BH1435" s="76"/>
      <c r="BI1435" s="76"/>
      <c r="BJ1435" s="76"/>
      <c r="BK1435" s="76"/>
      <c r="BL1435" s="76">
        <f>+BK1435*31500</f>
        <v>0</v>
      </c>
      <c r="BM1435" s="76"/>
      <c r="BN1435" s="76"/>
      <c r="BO1435" s="76"/>
      <c r="BP1435" s="76"/>
      <c r="BQ1435" s="76"/>
      <c r="BR1435" s="76"/>
      <c r="BS1435" s="76"/>
      <c r="BT1435" s="76"/>
      <c r="BU1435" s="76"/>
      <c r="BV1435" s="76"/>
      <c r="BW1435" s="76"/>
      <c r="BX1435" s="76"/>
      <c r="BY1435" s="76"/>
      <c r="BZ1435" s="76"/>
      <c r="CA1435" s="76"/>
      <c r="CB1435" s="76"/>
      <c r="CC1435" s="76"/>
      <c r="CD1435" s="76"/>
      <c r="CE1435" s="76"/>
      <c r="CF1435" s="76">
        <f>+CE1435*28000</f>
        <v>0</v>
      </c>
      <c r="CG1435" s="76"/>
      <c r="CH1435" s="76">
        <f>+CG1435*22500</f>
        <v>0</v>
      </c>
      <c r="CI1435" s="76"/>
      <c r="CJ1435" s="76">
        <f>+CI1435*26000</f>
        <v>0</v>
      </c>
      <c r="CK1435" s="76"/>
      <c r="CL1435" s="76"/>
      <c r="CM1435" s="76"/>
      <c r="CN1435" s="76">
        <f>+CM1435*22000</f>
        <v>0</v>
      </c>
      <c r="CO1435" s="76"/>
      <c r="CP1435" s="76">
        <f>+CO1435*46000</f>
        <v>0</v>
      </c>
      <c r="CQ1435" s="76"/>
      <c r="CR1435" s="76">
        <f>+CQ1435*49000</f>
        <v>0</v>
      </c>
      <c r="CS1435" s="76"/>
      <c r="CT1435" s="76"/>
      <c r="CU1435" s="56">
        <f>AN1435+AP1435+AR1435+AT1435+AV1435+AX1435+AZ1435+BB1435+BD1435+BF1435+BH1435+BJ1435+BL1435+BN1435+BP1435+BR1435+BT1435+BV1435+BX1435+BZ1435+CB1435+CD1435+CF1435+CH1435+CJ1435+CL1435+CN1435+CP1435+CR1435+CT1435</f>
        <v>0</v>
      </c>
      <c r="CV1435" s="76"/>
      <c r="CW1435" s="76">
        <f>+CV1435*1100</f>
        <v>0</v>
      </c>
      <c r="CX1435" s="76"/>
      <c r="CY1435" s="76">
        <f>+CX1435*106250</f>
        <v>0</v>
      </c>
      <c r="CZ1435" s="76"/>
      <c r="DA1435" s="76">
        <f>+CZ1435*34500</f>
        <v>0</v>
      </c>
      <c r="DB1435" s="76"/>
      <c r="DC1435" s="76">
        <f>+DB1435*25000</f>
        <v>0</v>
      </c>
      <c r="DD1435" s="219"/>
      <c r="DE1435" s="219"/>
      <c r="DF1435" s="166"/>
      <c r="DG1435" s="116"/>
      <c r="DH1435" s="117"/>
      <c r="DI1435" s="24"/>
      <c r="DJ1435" s="24"/>
      <c r="DK1435" s="24"/>
      <c r="DL1435" s="24"/>
      <c r="DM1435" s="24"/>
      <c r="DN1435" s="24"/>
      <c r="DO1435" s="24"/>
      <c r="DP1435" s="24"/>
      <c r="DQ1435" s="24"/>
      <c r="DR1435" s="24"/>
      <c r="DS1435" s="24"/>
      <c r="DT1435" s="24"/>
      <c r="DU1435" s="24"/>
    </row>
    <row r="1436" spans="1:125" s="8" customFormat="1" ht="48" x14ac:dyDescent="0.2">
      <c r="A1436" s="77">
        <v>41374</v>
      </c>
      <c r="B1436" s="78" t="s">
        <v>2906</v>
      </c>
      <c r="C1436" s="75" t="s">
        <v>2427</v>
      </c>
      <c r="D1436" s="75" t="s">
        <v>2882</v>
      </c>
      <c r="E1436" s="75" t="str">
        <f>VLOOKUP(B1436&amp;C1436,Divipola!$C$2:$F$1138,4,FALSE)</f>
        <v>47205</v>
      </c>
      <c r="F1436" s="163"/>
      <c r="G1436" s="163">
        <v>1</v>
      </c>
      <c r="H1436" s="163"/>
      <c r="I1436" s="163">
        <v>145</v>
      </c>
      <c r="J1436" s="163">
        <v>29</v>
      </c>
      <c r="K1436" s="163"/>
      <c r="L1436" s="163">
        <v>29</v>
      </c>
      <c r="M1436" s="163"/>
      <c r="N1436" s="163"/>
      <c r="O1436" s="163"/>
      <c r="P1436" s="163"/>
      <c r="Q1436" s="163"/>
      <c r="R1436" s="163"/>
      <c r="S1436" s="163">
        <v>3</v>
      </c>
      <c r="T1436" s="163"/>
      <c r="U1436" s="163"/>
      <c r="V1436" s="134"/>
      <c r="W1436" s="96">
        <v>0</v>
      </c>
      <c r="X1436" s="71">
        <f>CU1436</f>
        <v>0</v>
      </c>
      <c r="Y1436" s="71">
        <f>CY1436</f>
        <v>0</v>
      </c>
      <c r="Z1436" s="71">
        <f>DA1436+DC1436+DE1436</f>
        <v>0</v>
      </c>
      <c r="AA1436" s="71">
        <f>CW1436</f>
        <v>0</v>
      </c>
      <c r="AB1436" s="71"/>
      <c r="AC1436" s="71">
        <v>0</v>
      </c>
      <c r="AD1436" s="71">
        <f>W1436+X1436+Y1436+Z1436+AA1436+AB1436+AC1436</f>
        <v>0</v>
      </c>
      <c r="AE1436" s="72">
        <v>0</v>
      </c>
      <c r="AF1436" s="5"/>
      <c r="AG1436" s="6"/>
      <c r="AH1436" s="27" t="s">
        <v>3390</v>
      </c>
      <c r="AI1436" s="44" t="s">
        <v>3393</v>
      </c>
      <c r="AJ1436" s="26"/>
      <c r="AK1436" s="5" t="s">
        <v>4242</v>
      </c>
      <c r="AL1436" s="82" t="s">
        <v>4468</v>
      </c>
      <c r="AM1436" s="76"/>
      <c r="AN1436" s="76"/>
      <c r="AO1436" s="76"/>
      <c r="AP1436" s="76"/>
      <c r="AQ1436" s="76"/>
      <c r="AR1436" s="76"/>
      <c r="AS1436" s="76"/>
      <c r="AT1436" s="76"/>
      <c r="AU1436" s="76"/>
      <c r="AV1436" s="76"/>
      <c r="AW1436" s="76"/>
      <c r="AX1436" s="76">
        <f>+AW1436*600000</f>
        <v>0</v>
      </c>
      <c r="AY1436" s="76"/>
      <c r="AZ1436" s="76">
        <f>+AY1436*70000</f>
        <v>0</v>
      </c>
      <c r="BA1436" s="76"/>
      <c r="BB1436" s="76"/>
      <c r="BC1436" s="76"/>
      <c r="BD1436" s="76">
        <f>+BC1436*30000</f>
        <v>0</v>
      </c>
      <c r="BE1436" s="76"/>
      <c r="BF1436" s="76"/>
      <c r="BG1436" s="76"/>
      <c r="BH1436" s="76"/>
      <c r="BI1436" s="76"/>
      <c r="BJ1436" s="76"/>
      <c r="BK1436" s="76"/>
      <c r="BL1436" s="76">
        <f>+BK1436*31500</f>
        <v>0</v>
      </c>
      <c r="BM1436" s="76"/>
      <c r="BN1436" s="76"/>
      <c r="BO1436" s="76"/>
      <c r="BP1436" s="76"/>
      <c r="BQ1436" s="76"/>
      <c r="BR1436" s="76"/>
      <c r="BS1436" s="76"/>
      <c r="BT1436" s="76"/>
      <c r="BU1436" s="76"/>
      <c r="BV1436" s="76"/>
      <c r="BW1436" s="76"/>
      <c r="BX1436" s="76"/>
      <c r="BY1436" s="76"/>
      <c r="BZ1436" s="76"/>
      <c r="CA1436" s="76"/>
      <c r="CB1436" s="76"/>
      <c r="CC1436" s="76"/>
      <c r="CD1436" s="76"/>
      <c r="CE1436" s="76"/>
      <c r="CF1436" s="76">
        <f>+CE1436*28000</f>
        <v>0</v>
      </c>
      <c r="CG1436" s="76"/>
      <c r="CH1436" s="76">
        <f>+CG1436*22500</f>
        <v>0</v>
      </c>
      <c r="CI1436" s="76"/>
      <c r="CJ1436" s="76">
        <f>+CI1436*26000</f>
        <v>0</v>
      </c>
      <c r="CK1436" s="76"/>
      <c r="CL1436" s="76"/>
      <c r="CM1436" s="76"/>
      <c r="CN1436" s="76">
        <f>+CM1436*22000</f>
        <v>0</v>
      </c>
      <c r="CO1436" s="76"/>
      <c r="CP1436" s="76">
        <f>+CO1436*46000</f>
        <v>0</v>
      </c>
      <c r="CQ1436" s="76"/>
      <c r="CR1436" s="76">
        <f>+CQ1436*49000</f>
        <v>0</v>
      </c>
      <c r="CS1436" s="76"/>
      <c r="CT1436" s="76"/>
      <c r="CU1436" s="56">
        <f>AN1436+AP1436+AR1436+AT1436+AV1436+AX1436+AZ1436+BB1436+BD1436+BF1436+BH1436+BJ1436+BL1436+BN1436+BP1436+BR1436+BT1436+BV1436+BX1436+BZ1436+CB1436+CD1436+CF1436+CH1436+CJ1436+CL1436+CN1436+CP1436+CR1436+CT1436</f>
        <v>0</v>
      </c>
      <c r="CV1436" s="76"/>
      <c r="CW1436" s="76">
        <f>+CV1436*1100</f>
        <v>0</v>
      </c>
      <c r="CX1436" s="76"/>
      <c r="CY1436" s="76">
        <f>+CX1436*106250</f>
        <v>0</v>
      </c>
      <c r="CZ1436" s="76"/>
      <c r="DA1436" s="76">
        <f>+CZ1436*34500</f>
        <v>0</v>
      </c>
      <c r="DB1436" s="76"/>
      <c r="DC1436" s="76">
        <f>+DB1436*25000</f>
        <v>0</v>
      </c>
      <c r="DD1436" s="219"/>
      <c r="DE1436" s="219"/>
      <c r="DF1436" s="166"/>
      <c r="DG1436" s="116"/>
      <c r="DH1436" s="117"/>
      <c r="DI1436" s="24"/>
      <c r="DJ1436" s="24"/>
      <c r="DK1436" s="24"/>
      <c r="DL1436" s="24"/>
      <c r="DM1436" s="24"/>
      <c r="DN1436" s="24"/>
      <c r="DO1436" s="24"/>
      <c r="DP1436" s="24"/>
      <c r="DQ1436" s="24"/>
      <c r="DR1436" s="24"/>
      <c r="DS1436" s="24"/>
      <c r="DT1436" s="24"/>
      <c r="DU1436" s="24"/>
    </row>
    <row r="1437" spans="1:125" s="8" customFormat="1" ht="60" x14ac:dyDescent="0.2">
      <c r="A1437" s="77">
        <v>41374</v>
      </c>
      <c r="B1437" s="78" t="s">
        <v>2906</v>
      </c>
      <c r="C1437" s="83" t="s">
        <v>470</v>
      </c>
      <c r="D1437" s="81" t="s">
        <v>2846</v>
      </c>
      <c r="E1437" s="75" t="str">
        <f>VLOOKUP(B1437&amp;C1437,Divipola!$C$2:$F$1138,4,FALSE)</f>
        <v>47745</v>
      </c>
      <c r="F1437" s="93"/>
      <c r="G1437" s="93"/>
      <c r="H1437" s="93"/>
      <c r="I1437" s="93"/>
      <c r="J1437" s="93"/>
      <c r="K1437" s="93"/>
      <c r="L1437" s="93"/>
      <c r="M1437" s="93"/>
      <c r="N1437" s="93"/>
      <c r="O1437" s="93"/>
      <c r="P1437" s="93"/>
      <c r="Q1437" s="93"/>
      <c r="R1437" s="93"/>
      <c r="S1437" s="93"/>
      <c r="T1437" s="93"/>
      <c r="U1437" s="93">
        <v>4</v>
      </c>
      <c r="V1437" s="89"/>
      <c r="W1437" s="96">
        <v>0</v>
      </c>
      <c r="X1437" s="71">
        <f>CU1437</f>
        <v>0</v>
      </c>
      <c r="Y1437" s="71">
        <f>CY1437</f>
        <v>0</v>
      </c>
      <c r="Z1437" s="71">
        <f>DA1437+DC1437+DE1437</f>
        <v>0</v>
      </c>
      <c r="AA1437" s="71">
        <f>CW1437</f>
        <v>0</v>
      </c>
      <c r="AB1437" s="71"/>
      <c r="AC1437" s="71">
        <v>0</v>
      </c>
      <c r="AD1437" s="71">
        <f>W1437+X1437+Y1437+Z1437+AA1437+AB1437+AC1437</f>
        <v>0</v>
      </c>
      <c r="AE1437" s="72">
        <v>0</v>
      </c>
      <c r="AF1437" s="5"/>
      <c r="AG1437" s="6"/>
      <c r="AH1437" s="27" t="s">
        <v>3392</v>
      </c>
      <c r="AI1437" s="44" t="s">
        <v>3393</v>
      </c>
      <c r="AJ1437" s="26"/>
      <c r="AK1437" s="5"/>
      <c r="AL1437" s="82" t="s">
        <v>4257</v>
      </c>
      <c r="AM1437" s="76"/>
      <c r="AN1437" s="76"/>
      <c r="AO1437" s="76"/>
      <c r="AP1437" s="76"/>
      <c r="AQ1437" s="76"/>
      <c r="AR1437" s="76"/>
      <c r="AS1437" s="76"/>
      <c r="AT1437" s="76"/>
      <c r="AU1437" s="76"/>
      <c r="AV1437" s="76"/>
      <c r="AW1437" s="76"/>
      <c r="AX1437" s="76">
        <f>+AW1437*600000</f>
        <v>0</v>
      </c>
      <c r="AY1437" s="76"/>
      <c r="AZ1437" s="76">
        <f>+AY1437*70000</f>
        <v>0</v>
      </c>
      <c r="BA1437" s="76"/>
      <c r="BB1437" s="76"/>
      <c r="BC1437" s="76"/>
      <c r="BD1437" s="76">
        <f>+BC1437*30000</f>
        <v>0</v>
      </c>
      <c r="BE1437" s="76"/>
      <c r="BF1437" s="76"/>
      <c r="BG1437" s="76"/>
      <c r="BH1437" s="76"/>
      <c r="BI1437" s="76"/>
      <c r="BJ1437" s="76"/>
      <c r="BK1437" s="76"/>
      <c r="BL1437" s="76">
        <f>+BK1437*31500</f>
        <v>0</v>
      </c>
      <c r="BM1437" s="76"/>
      <c r="BN1437" s="76"/>
      <c r="BO1437" s="76"/>
      <c r="BP1437" s="76"/>
      <c r="BQ1437" s="76"/>
      <c r="BR1437" s="76"/>
      <c r="BS1437" s="76"/>
      <c r="BT1437" s="76"/>
      <c r="BU1437" s="76"/>
      <c r="BV1437" s="76"/>
      <c r="BW1437" s="76"/>
      <c r="BX1437" s="76"/>
      <c r="BY1437" s="76"/>
      <c r="BZ1437" s="76"/>
      <c r="CA1437" s="76"/>
      <c r="CB1437" s="76"/>
      <c r="CC1437" s="76"/>
      <c r="CD1437" s="76"/>
      <c r="CE1437" s="76"/>
      <c r="CF1437" s="76">
        <f>+CE1437*28000</f>
        <v>0</v>
      </c>
      <c r="CG1437" s="76"/>
      <c r="CH1437" s="76">
        <f>+CG1437*22500</f>
        <v>0</v>
      </c>
      <c r="CI1437" s="76"/>
      <c r="CJ1437" s="76">
        <f>+CI1437*26000</f>
        <v>0</v>
      </c>
      <c r="CK1437" s="76"/>
      <c r="CL1437" s="76"/>
      <c r="CM1437" s="76"/>
      <c r="CN1437" s="76">
        <f>+CM1437*22000</f>
        <v>0</v>
      </c>
      <c r="CO1437" s="76"/>
      <c r="CP1437" s="76">
        <f>+CO1437*46000</f>
        <v>0</v>
      </c>
      <c r="CQ1437" s="76"/>
      <c r="CR1437" s="76">
        <f>+CQ1437*49000</f>
        <v>0</v>
      </c>
      <c r="CS1437" s="76"/>
      <c r="CT1437" s="76"/>
      <c r="CU1437" s="56">
        <f>AN1437+AP1437+AR1437+AT1437+AV1437+AX1437+AZ1437+BB1437+BD1437+BF1437+BH1437+BJ1437+BL1437+BN1437+BP1437+BR1437+BT1437+BV1437+BX1437+BZ1437+CB1437+CD1437+CF1437+CH1437+CJ1437+CL1437+CN1437+CP1437+CR1437+CT1437</f>
        <v>0</v>
      </c>
      <c r="CV1437" s="76"/>
      <c r="CW1437" s="76">
        <f>+CV1437*1100</f>
        <v>0</v>
      </c>
      <c r="CX1437" s="76"/>
      <c r="CY1437" s="76">
        <f>+CX1437*106250</f>
        <v>0</v>
      </c>
      <c r="CZ1437" s="76"/>
      <c r="DA1437" s="76">
        <f>+CZ1437*34500</f>
        <v>0</v>
      </c>
      <c r="DB1437" s="76"/>
      <c r="DC1437" s="76">
        <f>+DB1437*25000</f>
        <v>0</v>
      </c>
      <c r="DD1437" s="219"/>
      <c r="DE1437" s="219"/>
      <c r="DF1437" s="166"/>
      <c r="DG1437" s="116"/>
      <c r="DH1437" s="117"/>
      <c r="DI1437" s="24"/>
      <c r="DJ1437" s="24"/>
      <c r="DK1437" s="24"/>
      <c r="DL1437" s="24"/>
      <c r="DM1437" s="24"/>
      <c r="DN1437" s="24"/>
      <c r="DO1437" s="24"/>
      <c r="DP1437" s="24"/>
      <c r="DQ1437" s="24"/>
      <c r="DR1437" s="24"/>
      <c r="DS1437" s="24"/>
      <c r="DT1437" s="24"/>
      <c r="DU1437" s="24"/>
    </row>
    <row r="1438" spans="1:125" s="8" customFormat="1" ht="60" x14ac:dyDescent="0.2">
      <c r="A1438" s="353">
        <v>41374</v>
      </c>
      <c r="B1438" s="225" t="s">
        <v>2906</v>
      </c>
      <c r="C1438" s="227" t="s">
        <v>470</v>
      </c>
      <c r="D1438" s="81" t="s">
        <v>2846</v>
      </c>
      <c r="E1438" s="75" t="str">
        <f>VLOOKUP(B1438&amp;C1438,Divipola!$C$2:$F$1138,4,FALSE)</f>
        <v>47745</v>
      </c>
      <c r="F1438" s="87"/>
      <c r="G1438" s="87"/>
      <c r="H1438" s="87"/>
      <c r="I1438" s="87"/>
      <c r="J1438" s="87"/>
      <c r="K1438" s="87"/>
      <c r="L1438" s="87"/>
      <c r="M1438" s="87"/>
      <c r="N1438" s="87"/>
      <c r="O1438" s="87"/>
      <c r="P1438" s="87"/>
      <c r="Q1438" s="87"/>
      <c r="R1438" s="87"/>
      <c r="S1438" s="87"/>
      <c r="T1438" s="87"/>
      <c r="U1438" s="88">
        <v>100</v>
      </c>
      <c r="V1438" s="89"/>
      <c r="W1438" s="96">
        <v>0</v>
      </c>
      <c r="X1438" s="71">
        <f>CU1438</f>
        <v>0</v>
      </c>
      <c r="Y1438" s="71">
        <f>CY1438</f>
        <v>0</v>
      </c>
      <c r="Z1438" s="71">
        <f>DA1438+DC1438+DE1438</f>
        <v>0</v>
      </c>
      <c r="AA1438" s="71">
        <f>CW1438</f>
        <v>0</v>
      </c>
      <c r="AB1438" s="71"/>
      <c r="AC1438" s="71">
        <v>0</v>
      </c>
      <c r="AD1438" s="71">
        <f>W1438+X1438+Y1438+Z1438+AA1438+AB1438+AC1438</f>
        <v>0</v>
      </c>
      <c r="AE1438" s="72">
        <v>0</v>
      </c>
      <c r="AF1438" s="5"/>
      <c r="AG1438" s="6"/>
      <c r="AH1438" s="27" t="s">
        <v>3392</v>
      </c>
      <c r="AI1438" s="44" t="s">
        <v>3393</v>
      </c>
      <c r="AJ1438" s="26"/>
      <c r="AK1438" s="5"/>
      <c r="AL1438" s="82" t="s">
        <v>4281</v>
      </c>
      <c r="AM1438" s="76"/>
      <c r="AN1438" s="76"/>
      <c r="AO1438" s="76"/>
      <c r="AP1438" s="76"/>
      <c r="AQ1438" s="76"/>
      <c r="AR1438" s="76"/>
      <c r="AS1438" s="76"/>
      <c r="AT1438" s="76"/>
      <c r="AU1438" s="76"/>
      <c r="AV1438" s="76"/>
      <c r="AW1438" s="76"/>
      <c r="AX1438" s="76">
        <f>+AW1438*600000</f>
        <v>0</v>
      </c>
      <c r="AY1438" s="76"/>
      <c r="AZ1438" s="76">
        <f>+AY1438*70000</f>
        <v>0</v>
      </c>
      <c r="BA1438" s="76"/>
      <c r="BB1438" s="76"/>
      <c r="BC1438" s="76"/>
      <c r="BD1438" s="76">
        <f>+BC1438*30000</f>
        <v>0</v>
      </c>
      <c r="BE1438" s="76"/>
      <c r="BF1438" s="76"/>
      <c r="BG1438" s="76"/>
      <c r="BH1438" s="76"/>
      <c r="BI1438" s="76"/>
      <c r="BJ1438" s="76"/>
      <c r="BK1438" s="76"/>
      <c r="BL1438" s="76">
        <f>+BK1438*31500</f>
        <v>0</v>
      </c>
      <c r="BM1438" s="76"/>
      <c r="BN1438" s="76"/>
      <c r="BO1438" s="76"/>
      <c r="BP1438" s="76"/>
      <c r="BQ1438" s="76"/>
      <c r="BR1438" s="76"/>
      <c r="BS1438" s="76"/>
      <c r="BT1438" s="76"/>
      <c r="BU1438" s="76"/>
      <c r="BV1438" s="76"/>
      <c r="BW1438" s="76"/>
      <c r="BX1438" s="76"/>
      <c r="BY1438" s="76"/>
      <c r="BZ1438" s="76"/>
      <c r="CA1438" s="76"/>
      <c r="CB1438" s="76"/>
      <c r="CC1438" s="76"/>
      <c r="CD1438" s="76"/>
      <c r="CE1438" s="76"/>
      <c r="CF1438" s="76">
        <f>+CE1438*28000</f>
        <v>0</v>
      </c>
      <c r="CG1438" s="76"/>
      <c r="CH1438" s="76">
        <f>+CG1438*22500</f>
        <v>0</v>
      </c>
      <c r="CI1438" s="76"/>
      <c r="CJ1438" s="76">
        <f>+CI1438*26000</f>
        <v>0</v>
      </c>
      <c r="CK1438" s="76"/>
      <c r="CL1438" s="76"/>
      <c r="CM1438" s="76"/>
      <c r="CN1438" s="76">
        <f>+CM1438*22000</f>
        <v>0</v>
      </c>
      <c r="CO1438" s="76"/>
      <c r="CP1438" s="76">
        <f>+CO1438*46000</f>
        <v>0</v>
      </c>
      <c r="CQ1438" s="76"/>
      <c r="CR1438" s="76">
        <f>+CQ1438*49000</f>
        <v>0</v>
      </c>
      <c r="CS1438" s="76"/>
      <c r="CT1438" s="76"/>
      <c r="CU1438" s="56">
        <f>AN1438+AP1438+AR1438+AT1438+AV1438+AX1438+AZ1438+BB1438+BD1438+BF1438+BH1438+BJ1438+BL1438+BN1438+BP1438+BR1438+BT1438+BV1438+BX1438+BZ1438+CB1438+CD1438+CF1438+CH1438+CJ1438+CL1438+CN1438+CP1438+CR1438+CT1438</f>
        <v>0</v>
      </c>
      <c r="CV1438" s="76"/>
      <c r="CW1438" s="76">
        <f>+CV1438*1100</f>
        <v>0</v>
      </c>
      <c r="CX1438" s="76"/>
      <c r="CY1438" s="76">
        <f>+CX1438*106250</f>
        <v>0</v>
      </c>
      <c r="CZ1438" s="76"/>
      <c r="DA1438" s="76">
        <f>+CZ1438*34500</f>
        <v>0</v>
      </c>
      <c r="DB1438" s="76"/>
      <c r="DC1438" s="76">
        <f>+DB1438*25000</f>
        <v>0</v>
      </c>
      <c r="DD1438" s="219"/>
      <c r="DE1438" s="219"/>
      <c r="DF1438" s="166"/>
      <c r="DG1438" s="116"/>
      <c r="DH1438" s="117"/>
      <c r="DI1438" s="24"/>
      <c r="DJ1438" s="24"/>
      <c r="DK1438" s="24"/>
      <c r="DL1438" s="24"/>
      <c r="DM1438" s="24"/>
      <c r="DN1438" s="24"/>
      <c r="DO1438" s="24"/>
      <c r="DP1438" s="24"/>
      <c r="DQ1438" s="24"/>
      <c r="DR1438" s="24"/>
      <c r="DS1438" s="24"/>
      <c r="DT1438" s="24"/>
      <c r="DU1438" s="24"/>
    </row>
    <row r="1439" spans="1:125" s="8" customFormat="1" ht="48" x14ac:dyDescent="0.2">
      <c r="A1439" s="77">
        <v>41374</v>
      </c>
      <c r="B1439" s="78" t="s">
        <v>2848</v>
      </c>
      <c r="C1439" s="75" t="s">
        <v>1907</v>
      </c>
      <c r="D1439" s="81" t="s">
        <v>2846</v>
      </c>
      <c r="E1439" s="75" t="str">
        <f>VLOOKUP(B1439&amp;C1439,Divipola!$C$2:$F$1138,4,FALSE)</f>
        <v>73624</v>
      </c>
      <c r="F1439" s="87"/>
      <c r="G1439" s="87"/>
      <c r="H1439" s="87"/>
      <c r="I1439" s="87"/>
      <c r="J1439" s="87"/>
      <c r="K1439" s="87"/>
      <c r="L1439" s="87"/>
      <c r="M1439" s="87"/>
      <c r="N1439" s="87"/>
      <c r="O1439" s="87"/>
      <c r="P1439" s="87"/>
      <c r="Q1439" s="87"/>
      <c r="R1439" s="87"/>
      <c r="S1439" s="87"/>
      <c r="T1439" s="87"/>
      <c r="U1439" s="87">
        <v>1</v>
      </c>
      <c r="V1439" s="89"/>
      <c r="W1439" s="96">
        <v>0</v>
      </c>
      <c r="X1439" s="71">
        <f>CU1439</f>
        <v>0</v>
      </c>
      <c r="Y1439" s="71">
        <f>CY1439</f>
        <v>0</v>
      </c>
      <c r="Z1439" s="71">
        <f>DA1439+DC1439+DE1439</f>
        <v>0</v>
      </c>
      <c r="AA1439" s="71">
        <f>CW1439</f>
        <v>0</v>
      </c>
      <c r="AB1439" s="71"/>
      <c r="AC1439" s="71">
        <v>0</v>
      </c>
      <c r="AD1439" s="71">
        <f>W1439+X1439+Y1439+Z1439+AA1439+AB1439+AC1439</f>
        <v>0</v>
      </c>
      <c r="AE1439" s="72">
        <v>0</v>
      </c>
      <c r="AF1439" s="5"/>
      <c r="AG1439" s="6"/>
      <c r="AH1439" s="27" t="s">
        <v>3392</v>
      </c>
      <c r="AI1439" s="44" t="s">
        <v>3393</v>
      </c>
      <c r="AJ1439" s="26"/>
      <c r="AK1439" s="5"/>
      <c r="AL1439" s="82" t="s">
        <v>4259</v>
      </c>
      <c r="AM1439" s="76"/>
      <c r="AN1439" s="76"/>
      <c r="AO1439" s="76"/>
      <c r="AP1439" s="76"/>
      <c r="AQ1439" s="76"/>
      <c r="AR1439" s="76"/>
      <c r="AS1439" s="76"/>
      <c r="AT1439" s="76"/>
      <c r="AU1439" s="76"/>
      <c r="AV1439" s="76"/>
      <c r="AW1439" s="76"/>
      <c r="AX1439" s="76">
        <f>+AW1439*600000</f>
        <v>0</v>
      </c>
      <c r="AY1439" s="76"/>
      <c r="AZ1439" s="76">
        <f>+AY1439*70000</f>
        <v>0</v>
      </c>
      <c r="BA1439" s="76"/>
      <c r="BB1439" s="76"/>
      <c r="BC1439" s="76"/>
      <c r="BD1439" s="76">
        <f>+BC1439*30000</f>
        <v>0</v>
      </c>
      <c r="BE1439" s="76"/>
      <c r="BF1439" s="76"/>
      <c r="BG1439" s="76"/>
      <c r="BH1439" s="76"/>
      <c r="BI1439" s="76"/>
      <c r="BJ1439" s="76"/>
      <c r="BK1439" s="76"/>
      <c r="BL1439" s="76">
        <f>+BK1439*31500</f>
        <v>0</v>
      </c>
      <c r="BM1439" s="76"/>
      <c r="BN1439" s="76"/>
      <c r="BO1439" s="76"/>
      <c r="BP1439" s="76"/>
      <c r="BQ1439" s="76"/>
      <c r="BR1439" s="76"/>
      <c r="BS1439" s="76"/>
      <c r="BT1439" s="76"/>
      <c r="BU1439" s="76"/>
      <c r="BV1439" s="76"/>
      <c r="BW1439" s="76"/>
      <c r="BX1439" s="76"/>
      <c r="BY1439" s="76"/>
      <c r="BZ1439" s="76"/>
      <c r="CA1439" s="76"/>
      <c r="CB1439" s="76"/>
      <c r="CC1439" s="76"/>
      <c r="CD1439" s="76"/>
      <c r="CE1439" s="76"/>
      <c r="CF1439" s="76">
        <f>+CE1439*28000</f>
        <v>0</v>
      </c>
      <c r="CG1439" s="76"/>
      <c r="CH1439" s="76">
        <f>+CG1439*22500</f>
        <v>0</v>
      </c>
      <c r="CI1439" s="76"/>
      <c r="CJ1439" s="76">
        <f>+CI1439*26000</f>
        <v>0</v>
      </c>
      <c r="CK1439" s="76"/>
      <c r="CL1439" s="76"/>
      <c r="CM1439" s="76"/>
      <c r="CN1439" s="76">
        <f>+CM1439*22000</f>
        <v>0</v>
      </c>
      <c r="CO1439" s="76"/>
      <c r="CP1439" s="76">
        <f>+CO1439*46000</f>
        <v>0</v>
      </c>
      <c r="CQ1439" s="76"/>
      <c r="CR1439" s="76">
        <f>+CQ1439*49000</f>
        <v>0</v>
      </c>
      <c r="CS1439" s="76"/>
      <c r="CT1439" s="76"/>
      <c r="CU1439" s="56">
        <f>AN1439+AP1439+AR1439+AT1439+AV1439+AX1439+AZ1439+BB1439+BD1439+BF1439+BH1439+BJ1439+BL1439+BN1439+BP1439+BR1439+BT1439+BV1439+BX1439+BZ1439+CB1439+CD1439+CF1439+CH1439+CJ1439+CL1439+CN1439+CP1439+CR1439+CT1439</f>
        <v>0</v>
      </c>
      <c r="CV1439" s="76"/>
      <c r="CW1439" s="76">
        <f>+CV1439*1100</f>
        <v>0</v>
      </c>
      <c r="CX1439" s="76"/>
      <c r="CY1439" s="76">
        <f>+CX1439*106250</f>
        <v>0</v>
      </c>
      <c r="CZ1439" s="76"/>
      <c r="DA1439" s="76">
        <f>+CZ1439*34500</f>
        <v>0</v>
      </c>
      <c r="DB1439" s="76"/>
      <c r="DC1439" s="76">
        <f>+DB1439*25000</f>
        <v>0</v>
      </c>
      <c r="DD1439" s="219"/>
      <c r="DE1439" s="219"/>
      <c r="DF1439" s="166"/>
      <c r="DG1439" s="116"/>
      <c r="DH1439" s="117"/>
      <c r="DI1439" s="24"/>
      <c r="DJ1439" s="24"/>
      <c r="DK1439" s="24"/>
      <c r="DL1439" s="24"/>
      <c r="DM1439" s="24"/>
      <c r="DN1439" s="24"/>
      <c r="DO1439" s="24"/>
      <c r="DP1439" s="24"/>
      <c r="DQ1439" s="24"/>
      <c r="DR1439" s="24"/>
      <c r="DS1439" s="24"/>
      <c r="DT1439" s="24"/>
      <c r="DU1439" s="24"/>
    </row>
    <row r="1440" spans="1:125" s="8" customFormat="1" ht="156" x14ac:dyDescent="0.2">
      <c r="A1440" s="77">
        <v>41375</v>
      </c>
      <c r="B1440" s="78" t="s">
        <v>529</v>
      </c>
      <c r="C1440" s="75" t="s">
        <v>529</v>
      </c>
      <c r="D1440" s="75" t="s">
        <v>3051</v>
      </c>
      <c r="E1440" s="75" t="str">
        <f>VLOOKUP(B1440&amp;C1440,Divipola!$C$2:$F$1138,4,FALSE)</f>
        <v>11001</v>
      </c>
      <c r="F1440" s="87"/>
      <c r="G1440" s="87"/>
      <c r="H1440" s="87"/>
      <c r="I1440" s="87"/>
      <c r="J1440" s="87"/>
      <c r="K1440" s="87"/>
      <c r="L1440" s="87"/>
      <c r="M1440" s="87"/>
      <c r="N1440" s="87"/>
      <c r="O1440" s="87"/>
      <c r="P1440" s="87"/>
      <c r="Q1440" s="87"/>
      <c r="R1440" s="87"/>
      <c r="S1440" s="87"/>
      <c r="T1440" s="87"/>
      <c r="U1440" s="88"/>
      <c r="V1440" s="89"/>
      <c r="W1440" s="96">
        <v>0</v>
      </c>
      <c r="X1440" s="71">
        <f>CU1440</f>
        <v>0</v>
      </c>
      <c r="Y1440" s="71">
        <f>CY1440</f>
        <v>0</v>
      </c>
      <c r="Z1440" s="71">
        <f>DA1440+DC1440+DE1440</f>
        <v>0</v>
      </c>
      <c r="AA1440" s="71">
        <f>CW1440</f>
        <v>0</v>
      </c>
      <c r="AB1440" s="71"/>
      <c r="AC1440" s="71">
        <v>0</v>
      </c>
      <c r="AD1440" s="71">
        <f>W1440+X1440+Y1440+Z1440+AA1440+AB1440+AC1440</f>
        <v>0</v>
      </c>
      <c r="AE1440" s="72">
        <v>0</v>
      </c>
      <c r="AF1440" s="5"/>
      <c r="AG1440" s="6"/>
      <c r="AH1440" s="27" t="s">
        <v>3392</v>
      </c>
      <c r="AI1440" s="44" t="s">
        <v>3393</v>
      </c>
      <c r="AJ1440" s="26"/>
      <c r="AK1440" s="5"/>
      <c r="AL1440" s="82" t="s">
        <v>4260</v>
      </c>
      <c r="AM1440" s="76"/>
      <c r="AN1440" s="76"/>
      <c r="AO1440" s="76"/>
      <c r="AP1440" s="76"/>
      <c r="AQ1440" s="76"/>
      <c r="AR1440" s="76"/>
      <c r="AS1440" s="76"/>
      <c r="AT1440" s="76"/>
      <c r="AU1440" s="76"/>
      <c r="AV1440" s="76"/>
      <c r="AW1440" s="76"/>
      <c r="AX1440" s="76">
        <f>+AW1440*600000</f>
        <v>0</v>
      </c>
      <c r="AY1440" s="76"/>
      <c r="AZ1440" s="76">
        <f>+AY1440*70000</f>
        <v>0</v>
      </c>
      <c r="BA1440" s="76"/>
      <c r="BB1440" s="76"/>
      <c r="BC1440" s="76"/>
      <c r="BD1440" s="76">
        <f>+BC1440*30000</f>
        <v>0</v>
      </c>
      <c r="BE1440" s="76"/>
      <c r="BF1440" s="76"/>
      <c r="BG1440" s="76"/>
      <c r="BH1440" s="76"/>
      <c r="BI1440" s="76"/>
      <c r="BJ1440" s="76"/>
      <c r="BK1440" s="76"/>
      <c r="BL1440" s="76">
        <f>+BK1440*31500</f>
        <v>0</v>
      </c>
      <c r="BM1440" s="76"/>
      <c r="BN1440" s="76"/>
      <c r="BO1440" s="76"/>
      <c r="BP1440" s="76"/>
      <c r="BQ1440" s="76"/>
      <c r="BR1440" s="76"/>
      <c r="BS1440" s="76"/>
      <c r="BT1440" s="76"/>
      <c r="BU1440" s="76"/>
      <c r="BV1440" s="76"/>
      <c r="BW1440" s="76"/>
      <c r="BX1440" s="76"/>
      <c r="BY1440" s="76"/>
      <c r="BZ1440" s="76"/>
      <c r="CA1440" s="76"/>
      <c r="CB1440" s="76"/>
      <c r="CC1440" s="76"/>
      <c r="CD1440" s="76"/>
      <c r="CE1440" s="76"/>
      <c r="CF1440" s="76">
        <f>+CE1440*28000</f>
        <v>0</v>
      </c>
      <c r="CG1440" s="76"/>
      <c r="CH1440" s="76">
        <f>+CG1440*22500</f>
        <v>0</v>
      </c>
      <c r="CI1440" s="76"/>
      <c r="CJ1440" s="76">
        <f>+CI1440*26000</f>
        <v>0</v>
      </c>
      <c r="CK1440" s="76"/>
      <c r="CL1440" s="76"/>
      <c r="CM1440" s="76"/>
      <c r="CN1440" s="76">
        <f>+CM1440*22000</f>
        <v>0</v>
      </c>
      <c r="CO1440" s="76"/>
      <c r="CP1440" s="76">
        <f>+CO1440*46000</f>
        <v>0</v>
      </c>
      <c r="CQ1440" s="76"/>
      <c r="CR1440" s="76">
        <f>+CQ1440*49000</f>
        <v>0</v>
      </c>
      <c r="CS1440" s="76"/>
      <c r="CT1440" s="76"/>
      <c r="CU1440" s="56">
        <f>AN1440+AP1440+AR1440+AT1440+AV1440+AX1440+AZ1440+BB1440+BD1440+BF1440+BH1440+BJ1440+BL1440+BN1440+BP1440+BR1440+BT1440+BV1440+BX1440+BZ1440+CB1440+CD1440+CF1440+CH1440+CJ1440+CL1440+CN1440+CP1440+CR1440+CT1440</f>
        <v>0</v>
      </c>
      <c r="CV1440" s="76"/>
      <c r="CW1440" s="76">
        <f>+CV1440*1100</f>
        <v>0</v>
      </c>
      <c r="CX1440" s="76"/>
      <c r="CY1440" s="76">
        <f>+CX1440*106250</f>
        <v>0</v>
      </c>
      <c r="CZ1440" s="76"/>
      <c r="DA1440" s="76">
        <f>+CZ1440*34500</f>
        <v>0</v>
      </c>
      <c r="DB1440" s="76"/>
      <c r="DC1440" s="76">
        <f>+DB1440*25000</f>
        <v>0</v>
      </c>
      <c r="DD1440" s="219"/>
      <c r="DE1440" s="219"/>
      <c r="DF1440" s="166"/>
      <c r="DG1440" s="116"/>
      <c r="DH1440" s="117"/>
      <c r="DI1440" s="24"/>
      <c r="DJ1440" s="24"/>
      <c r="DK1440" s="24"/>
      <c r="DL1440" s="24"/>
      <c r="DM1440" s="24"/>
      <c r="DN1440" s="24"/>
      <c r="DO1440" s="24"/>
      <c r="DP1440" s="24"/>
      <c r="DQ1440" s="24"/>
      <c r="DR1440" s="24"/>
      <c r="DS1440" s="24"/>
      <c r="DT1440" s="24"/>
      <c r="DU1440" s="24"/>
    </row>
    <row r="1441" spans="1:125" s="8" customFormat="1" ht="60" x14ac:dyDescent="0.2">
      <c r="A1441" s="77">
        <v>41375</v>
      </c>
      <c r="B1441" s="78" t="s">
        <v>2855</v>
      </c>
      <c r="C1441" s="75" t="s">
        <v>2070</v>
      </c>
      <c r="D1441" s="75" t="s">
        <v>3051</v>
      </c>
      <c r="E1441" s="75" t="str">
        <f>VLOOKUP(B1441&amp;C1441,Divipola!$C$2:$F$1138,4,FALSE)</f>
        <v>20770</v>
      </c>
      <c r="F1441" s="87"/>
      <c r="G1441" s="87"/>
      <c r="H1441" s="87"/>
      <c r="I1441" s="87">
        <v>104</v>
      </c>
      <c r="J1441" s="87">
        <v>27</v>
      </c>
      <c r="K1441" s="87"/>
      <c r="L1441" s="87">
        <v>27</v>
      </c>
      <c r="M1441" s="87"/>
      <c r="N1441" s="87"/>
      <c r="O1441" s="87"/>
      <c r="P1441" s="87"/>
      <c r="Q1441" s="87"/>
      <c r="R1441" s="87"/>
      <c r="S1441" s="87"/>
      <c r="T1441" s="87"/>
      <c r="U1441" s="88"/>
      <c r="V1441" s="89"/>
      <c r="W1441" s="96">
        <v>0</v>
      </c>
      <c r="X1441" s="71">
        <f>CU1441</f>
        <v>0</v>
      </c>
      <c r="Y1441" s="71">
        <f>CY1441</f>
        <v>0</v>
      </c>
      <c r="Z1441" s="71">
        <f>DA1441+DC1441+DE1441</f>
        <v>0</v>
      </c>
      <c r="AA1441" s="71">
        <f>CW1441</f>
        <v>0</v>
      </c>
      <c r="AB1441" s="71"/>
      <c r="AC1441" s="71">
        <v>0</v>
      </c>
      <c r="AD1441" s="71">
        <f>W1441+X1441+Y1441+Z1441+AA1441+AB1441+AC1441</f>
        <v>0</v>
      </c>
      <c r="AE1441" s="72">
        <v>0</v>
      </c>
      <c r="AF1441" s="5"/>
      <c r="AG1441" s="6"/>
      <c r="AH1441" s="27" t="s">
        <v>3392</v>
      </c>
      <c r="AI1441" s="44" t="s">
        <v>3393</v>
      </c>
      <c r="AJ1441" s="26"/>
      <c r="AK1441" s="5"/>
      <c r="AL1441" s="82" t="s">
        <v>4261</v>
      </c>
      <c r="AM1441" s="76"/>
      <c r="AN1441" s="76"/>
      <c r="AO1441" s="76"/>
      <c r="AP1441" s="76"/>
      <c r="AQ1441" s="76"/>
      <c r="AR1441" s="76"/>
      <c r="AS1441" s="76"/>
      <c r="AT1441" s="76"/>
      <c r="AU1441" s="76"/>
      <c r="AV1441" s="76"/>
      <c r="AW1441" s="76"/>
      <c r="AX1441" s="76">
        <f>+AW1441*600000</f>
        <v>0</v>
      </c>
      <c r="AY1441" s="76"/>
      <c r="AZ1441" s="76">
        <f>+AY1441*70000</f>
        <v>0</v>
      </c>
      <c r="BA1441" s="76"/>
      <c r="BB1441" s="76"/>
      <c r="BC1441" s="76"/>
      <c r="BD1441" s="76">
        <f>+BC1441*30000</f>
        <v>0</v>
      </c>
      <c r="BE1441" s="76"/>
      <c r="BF1441" s="76"/>
      <c r="BG1441" s="76"/>
      <c r="BH1441" s="76"/>
      <c r="BI1441" s="76"/>
      <c r="BJ1441" s="76"/>
      <c r="BK1441" s="76"/>
      <c r="BL1441" s="76">
        <f>+BK1441*31500</f>
        <v>0</v>
      </c>
      <c r="BM1441" s="76"/>
      <c r="BN1441" s="76"/>
      <c r="BO1441" s="76"/>
      <c r="BP1441" s="76"/>
      <c r="BQ1441" s="76"/>
      <c r="BR1441" s="76"/>
      <c r="BS1441" s="76"/>
      <c r="BT1441" s="76"/>
      <c r="BU1441" s="76"/>
      <c r="BV1441" s="76"/>
      <c r="BW1441" s="76"/>
      <c r="BX1441" s="76"/>
      <c r="BY1441" s="76"/>
      <c r="BZ1441" s="76"/>
      <c r="CA1441" s="76"/>
      <c r="CB1441" s="76"/>
      <c r="CC1441" s="76"/>
      <c r="CD1441" s="76"/>
      <c r="CE1441" s="76"/>
      <c r="CF1441" s="76">
        <f>+CE1441*28000</f>
        <v>0</v>
      </c>
      <c r="CG1441" s="76"/>
      <c r="CH1441" s="76">
        <f>+CG1441*22500</f>
        <v>0</v>
      </c>
      <c r="CI1441" s="76"/>
      <c r="CJ1441" s="76">
        <f>+CI1441*26000</f>
        <v>0</v>
      </c>
      <c r="CK1441" s="76"/>
      <c r="CL1441" s="76"/>
      <c r="CM1441" s="76"/>
      <c r="CN1441" s="76">
        <f>+CM1441*22000</f>
        <v>0</v>
      </c>
      <c r="CO1441" s="76"/>
      <c r="CP1441" s="76">
        <f>+CO1441*46000</f>
        <v>0</v>
      </c>
      <c r="CQ1441" s="76"/>
      <c r="CR1441" s="76">
        <f>+CQ1441*49000</f>
        <v>0</v>
      </c>
      <c r="CS1441" s="76"/>
      <c r="CT1441" s="76"/>
      <c r="CU1441" s="56">
        <f>AN1441+AP1441+AR1441+AT1441+AV1441+AX1441+AZ1441+BB1441+BD1441+BF1441+BH1441+BJ1441+BL1441+BN1441+BP1441+BR1441+BT1441+BV1441+BX1441+BZ1441+CB1441+CD1441+CF1441+CH1441+CJ1441+CL1441+CN1441+CP1441+CR1441+CT1441</f>
        <v>0</v>
      </c>
      <c r="CV1441" s="76"/>
      <c r="CW1441" s="76">
        <f>+CV1441*1100</f>
        <v>0</v>
      </c>
      <c r="CX1441" s="76"/>
      <c r="CY1441" s="76">
        <f>+CX1441*106250</f>
        <v>0</v>
      </c>
      <c r="CZ1441" s="76"/>
      <c r="DA1441" s="76">
        <f>+CZ1441*34500</f>
        <v>0</v>
      </c>
      <c r="DB1441" s="76"/>
      <c r="DC1441" s="76">
        <f>+DB1441*25000</f>
        <v>0</v>
      </c>
      <c r="DD1441" s="219"/>
      <c r="DE1441" s="219"/>
      <c r="DF1441" s="166"/>
      <c r="DG1441" s="116"/>
      <c r="DH1441" s="117"/>
      <c r="DI1441" s="24"/>
      <c r="DJ1441" s="24"/>
      <c r="DK1441" s="24"/>
      <c r="DL1441" s="24"/>
      <c r="DM1441" s="24"/>
      <c r="DN1441" s="24"/>
      <c r="DO1441" s="24"/>
      <c r="DP1441" s="24"/>
      <c r="DQ1441" s="24"/>
      <c r="DR1441" s="24"/>
      <c r="DS1441" s="24"/>
      <c r="DT1441" s="24"/>
      <c r="DU1441" s="24"/>
    </row>
    <row r="1442" spans="1:125" s="8" customFormat="1" ht="84" x14ac:dyDescent="0.2">
      <c r="A1442" s="77">
        <v>41375</v>
      </c>
      <c r="B1442" s="208" t="s">
        <v>2772</v>
      </c>
      <c r="C1442" s="354" t="s">
        <v>2120</v>
      </c>
      <c r="D1442" s="75" t="s">
        <v>3051</v>
      </c>
      <c r="E1442" s="75" t="str">
        <f>VLOOKUP(B1442&amp;C1442,Divipola!$C$2:$F$1138,4,FALSE)</f>
        <v>25785</v>
      </c>
      <c r="F1442" s="87"/>
      <c r="G1442" s="87"/>
      <c r="H1442" s="87"/>
      <c r="I1442" s="87">
        <v>10</v>
      </c>
      <c r="J1442" s="87">
        <v>2</v>
      </c>
      <c r="K1442" s="87"/>
      <c r="L1442" s="87">
        <v>2</v>
      </c>
      <c r="M1442" s="87"/>
      <c r="N1442" s="87"/>
      <c r="O1442" s="87"/>
      <c r="P1442" s="87"/>
      <c r="Q1442" s="87"/>
      <c r="R1442" s="87"/>
      <c r="S1442" s="87"/>
      <c r="T1442" s="87"/>
      <c r="U1442" s="88"/>
      <c r="V1442" s="89"/>
      <c r="W1442" s="96">
        <v>0</v>
      </c>
      <c r="X1442" s="71">
        <f>CU1442</f>
        <v>0</v>
      </c>
      <c r="Y1442" s="71">
        <f>CY1442</f>
        <v>0</v>
      </c>
      <c r="Z1442" s="71">
        <f>DA1442+DC1442+DE1442</f>
        <v>0</v>
      </c>
      <c r="AA1442" s="71">
        <f>CW1442</f>
        <v>0</v>
      </c>
      <c r="AB1442" s="71"/>
      <c r="AC1442" s="71">
        <v>0</v>
      </c>
      <c r="AD1442" s="71">
        <f>W1442+X1442+Y1442+Z1442+AA1442+AB1442+AC1442</f>
        <v>0</v>
      </c>
      <c r="AE1442" s="72">
        <v>0</v>
      </c>
      <c r="AF1442" s="5"/>
      <c r="AG1442" s="6"/>
      <c r="AH1442" s="27" t="s">
        <v>3392</v>
      </c>
      <c r="AI1442" s="44" t="s">
        <v>3393</v>
      </c>
      <c r="AJ1442" s="26"/>
      <c r="AK1442" s="5"/>
      <c r="AL1442" s="82" t="s">
        <v>4267</v>
      </c>
      <c r="AM1442" s="76"/>
      <c r="AN1442" s="76"/>
      <c r="AO1442" s="76"/>
      <c r="AP1442" s="76"/>
      <c r="AQ1442" s="76"/>
      <c r="AR1442" s="76"/>
      <c r="AS1442" s="76"/>
      <c r="AT1442" s="76"/>
      <c r="AU1442" s="76"/>
      <c r="AV1442" s="76"/>
      <c r="AW1442" s="76"/>
      <c r="AX1442" s="76">
        <f>+AW1442*600000</f>
        <v>0</v>
      </c>
      <c r="AY1442" s="76"/>
      <c r="AZ1442" s="76">
        <f>+AY1442*70000</f>
        <v>0</v>
      </c>
      <c r="BA1442" s="76"/>
      <c r="BB1442" s="76"/>
      <c r="BC1442" s="76"/>
      <c r="BD1442" s="76">
        <f>+BC1442*30000</f>
        <v>0</v>
      </c>
      <c r="BE1442" s="76"/>
      <c r="BF1442" s="76"/>
      <c r="BG1442" s="76"/>
      <c r="BH1442" s="76"/>
      <c r="BI1442" s="76"/>
      <c r="BJ1442" s="76"/>
      <c r="BK1442" s="76"/>
      <c r="BL1442" s="76">
        <f>+BK1442*31500</f>
        <v>0</v>
      </c>
      <c r="BM1442" s="76"/>
      <c r="BN1442" s="76"/>
      <c r="BO1442" s="76"/>
      <c r="BP1442" s="76"/>
      <c r="BQ1442" s="76"/>
      <c r="BR1442" s="76"/>
      <c r="BS1442" s="76"/>
      <c r="BT1442" s="76"/>
      <c r="BU1442" s="76"/>
      <c r="BV1442" s="76"/>
      <c r="BW1442" s="76"/>
      <c r="BX1442" s="76"/>
      <c r="BY1442" s="76"/>
      <c r="BZ1442" s="76"/>
      <c r="CA1442" s="76"/>
      <c r="CB1442" s="76"/>
      <c r="CC1442" s="76"/>
      <c r="CD1442" s="76"/>
      <c r="CE1442" s="76"/>
      <c r="CF1442" s="76">
        <f>+CE1442*28000</f>
        <v>0</v>
      </c>
      <c r="CG1442" s="76"/>
      <c r="CH1442" s="76">
        <f>+CG1442*22500</f>
        <v>0</v>
      </c>
      <c r="CI1442" s="76"/>
      <c r="CJ1442" s="76">
        <f>+CI1442*26000</f>
        <v>0</v>
      </c>
      <c r="CK1442" s="76"/>
      <c r="CL1442" s="76"/>
      <c r="CM1442" s="76"/>
      <c r="CN1442" s="76">
        <f>+CM1442*22000</f>
        <v>0</v>
      </c>
      <c r="CO1442" s="76"/>
      <c r="CP1442" s="76">
        <f>+CO1442*46000</f>
        <v>0</v>
      </c>
      <c r="CQ1442" s="76"/>
      <c r="CR1442" s="76">
        <f>+CQ1442*49000</f>
        <v>0</v>
      </c>
      <c r="CS1442" s="76"/>
      <c r="CT1442" s="76"/>
      <c r="CU1442" s="56">
        <f>AN1442+AP1442+AR1442+AT1442+AV1442+AX1442+AZ1442+BB1442+BD1442+BF1442+BH1442+BJ1442+BL1442+BN1442+BP1442+BR1442+BT1442+BV1442+BX1442+BZ1442+CB1442+CD1442+CF1442+CH1442+CJ1442+CL1442+CN1442+CP1442+CR1442+CT1442</f>
        <v>0</v>
      </c>
      <c r="CV1442" s="76"/>
      <c r="CW1442" s="76">
        <f>+CV1442*1100</f>
        <v>0</v>
      </c>
      <c r="CX1442" s="76"/>
      <c r="CY1442" s="76">
        <f>+CX1442*106250</f>
        <v>0</v>
      </c>
      <c r="CZ1442" s="76"/>
      <c r="DA1442" s="76">
        <f>+CZ1442*34500</f>
        <v>0</v>
      </c>
      <c r="DB1442" s="76"/>
      <c r="DC1442" s="76">
        <f>+DB1442*25000</f>
        <v>0</v>
      </c>
      <c r="DD1442" s="219"/>
      <c r="DE1442" s="219"/>
      <c r="DF1442" s="166"/>
      <c r="DG1442" s="116"/>
      <c r="DH1442" s="117"/>
      <c r="DI1442" s="24"/>
      <c r="DJ1442" s="24"/>
      <c r="DK1442" s="24"/>
      <c r="DL1442" s="24"/>
      <c r="DM1442" s="24"/>
      <c r="DN1442" s="24"/>
      <c r="DO1442" s="24"/>
      <c r="DP1442" s="24"/>
      <c r="DQ1442" s="24"/>
      <c r="DR1442" s="24"/>
      <c r="DS1442" s="24"/>
      <c r="DT1442" s="24"/>
      <c r="DU1442" s="24"/>
    </row>
    <row r="1443" spans="1:125" s="8" customFormat="1" ht="48" x14ac:dyDescent="0.2">
      <c r="A1443" s="226">
        <v>41375</v>
      </c>
      <c r="B1443" s="208" t="s">
        <v>2860</v>
      </c>
      <c r="C1443" s="227" t="s">
        <v>2718</v>
      </c>
      <c r="D1443" s="75" t="s">
        <v>3051</v>
      </c>
      <c r="E1443" s="75" t="str">
        <f>VLOOKUP(B1443&amp;C1443,Divipola!$C$2:$F$1138,4,FALSE)</f>
        <v>63212</v>
      </c>
      <c r="F1443" s="87"/>
      <c r="G1443" s="87"/>
      <c r="H1443" s="87"/>
      <c r="I1443" s="87">
        <v>20</v>
      </c>
      <c r="J1443" s="87">
        <v>5</v>
      </c>
      <c r="K1443" s="87"/>
      <c r="L1443" s="87">
        <v>5</v>
      </c>
      <c r="M1443" s="87"/>
      <c r="N1443" s="87"/>
      <c r="O1443" s="87"/>
      <c r="P1443" s="87"/>
      <c r="Q1443" s="87"/>
      <c r="R1443" s="87"/>
      <c r="S1443" s="87"/>
      <c r="T1443" s="87"/>
      <c r="U1443" s="88"/>
      <c r="V1443" s="89"/>
      <c r="W1443" s="96">
        <v>0</v>
      </c>
      <c r="X1443" s="71">
        <f>CU1443</f>
        <v>0</v>
      </c>
      <c r="Y1443" s="71">
        <f>CY1443</f>
        <v>0</v>
      </c>
      <c r="Z1443" s="71">
        <f>DA1443+DC1443+DE1443</f>
        <v>0</v>
      </c>
      <c r="AA1443" s="71">
        <f>CW1443</f>
        <v>0</v>
      </c>
      <c r="AB1443" s="71"/>
      <c r="AC1443" s="71">
        <v>0</v>
      </c>
      <c r="AD1443" s="71">
        <f>W1443+X1443+Y1443+Z1443+AA1443+AB1443+AC1443</f>
        <v>0</v>
      </c>
      <c r="AE1443" s="72">
        <v>0</v>
      </c>
      <c r="AF1443" s="5"/>
      <c r="AG1443" s="6"/>
      <c r="AH1443" s="27" t="s">
        <v>3392</v>
      </c>
      <c r="AI1443" s="44" t="s">
        <v>3393</v>
      </c>
      <c r="AJ1443" s="26"/>
      <c r="AK1443" s="5"/>
      <c r="AL1443" s="82" t="s">
        <v>4249</v>
      </c>
      <c r="AM1443" s="76"/>
      <c r="AN1443" s="76"/>
      <c r="AO1443" s="76"/>
      <c r="AP1443" s="76"/>
      <c r="AQ1443" s="76"/>
      <c r="AR1443" s="76"/>
      <c r="AS1443" s="76"/>
      <c r="AT1443" s="76"/>
      <c r="AU1443" s="76"/>
      <c r="AV1443" s="76"/>
      <c r="AW1443" s="76"/>
      <c r="AX1443" s="76">
        <f>+AW1443*600000</f>
        <v>0</v>
      </c>
      <c r="AY1443" s="76"/>
      <c r="AZ1443" s="76">
        <f>+AY1443*70000</f>
        <v>0</v>
      </c>
      <c r="BA1443" s="76"/>
      <c r="BB1443" s="76"/>
      <c r="BC1443" s="76"/>
      <c r="BD1443" s="76">
        <f>+BC1443*30000</f>
        <v>0</v>
      </c>
      <c r="BE1443" s="76"/>
      <c r="BF1443" s="76"/>
      <c r="BG1443" s="76"/>
      <c r="BH1443" s="76"/>
      <c r="BI1443" s="76"/>
      <c r="BJ1443" s="76"/>
      <c r="BK1443" s="76"/>
      <c r="BL1443" s="76">
        <f>+BK1443*31500</f>
        <v>0</v>
      </c>
      <c r="BM1443" s="76"/>
      <c r="BN1443" s="76"/>
      <c r="BO1443" s="76"/>
      <c r="BP1443" s="76"/>
      <c r="BQ1443" s="76"/>
      <c r="BR1443" s="76"/>
      <c r="BS1443" s="76"/>
      <c r="BT1443" s="76"/>
      <c r="BU1443" s="76"/>
      <c r="BV1443" s="76"/>
      <c r="BW1443" s="76"/>
      <c r="BX1443" s="76"/>
      <c r="BY1443" s="76"/>
      <c r="BZ1443" s="76"/>
      <c r="CA1443" s="76"/>
      <c r="CB1443" s="76"/>
      <c r="CC1443" s="76"/>
      <c r="CD1443" s="76"/>
      <c r="CE1443" s="76"/>
      <c r="CF1443" s="76">
        <f>+CE1443*28000</f>
        <v>0</v>
      </c>
      <c r="CG1443" s="76"/>
      <c r="CH1443" s="76">
        <f>+CG1443*22500</f>
        <v>0</v>
      </c>
      <c r="CI1443" s="76"/>
      <c r="CJ1443" s="76">
        <f>+CI1443*26000</f>
        <v>0</v>
      </c>
      <c r="CK1443" s="76"/>
      <c r="CL1443" s="76"/>
      <c r="CM1443" s="76"/>
      <c r="CN1443" s="76">
        <f>+CM1443*22000</f>
        <v>0</v>
      </c>
      <c r="CO1443" s="76"/>
      <c r="CP1443" s="76">
        <f>+CO1443*46000</f>
        <v>0</v>
      </c>
      <c r="CQ1443" s="76"/>
      <c r="CR1443" s="76">
        <f>+CQ1443*49000</f>
        <v>0</v>
      </c>
      <c r="CS1443" s="76"/>
      <c r="CT1443" s="76"/>
      <c r="CU1443" s="56">
        <f>AN1443+AP1443+AR1443+AT1443+AV1443+AX1443+AZ1443+BB1443+BD1443+BF1443+BH1443+BJ1443+BL1443+BN1443+BP1443+BR1443+BT1443+BV1443+BX1443+BZ1443+CB1443+CD1443+CF1443+CH1443+CJ1443+CL1443+CN1443+CP1443+CR1443+CT1443</f>
        <v>0</v>
      </c>
      <c r="CV1443" s="76"/>
      <c r="CW1443" s="76">
        <f>+CV1443*1100</f>
        <v>0</v>
      </c>
      <c r="CX1443" s="76"/>
      <c r="CY1443" s="76">
        <f>+CX1443*106250</f>
        <v>0</v>
      </c>
      <c r="CZ1443" s="76"/>
      <c r="DA1443" s="76">
        <f>+CZ1443*34500</f>
        <v>0</v>
      </c>
      <c r="DB1443" s="76"/>
      <c r="DC1443" s="76">
        <f>+DB1443*25000</f>
        <v>0</v>
      </c>
      <c r="DD1443" s="219"/>
      <c r="DE1443" s="219"/>
      <c r="DF1443" s="166"/>
      <c r="DG1443" s="116"/>
      <c r="DH1443" s="117"/>
      <c r="DI1443" s="24"/>
      <c r="DJ1443" s="24"/>
      <c r="DK1443" s="24"/>
      <c r="DL1443" s="24"/>
      <c r="DM1443" s="24"/>
      <c r="DN1443" s="24"/>
      <c r="DO1443" s="24"/>
      <c r="DP1443" s="24"/>
      <c r="DQ1443" s="24"/>
      <c r="DR1443" s="24"/>
      <c r="DS1443" s="24"/>
      <c r="DT1443" s="24"/>
      <c r="DU1443" s="24"/>
    </row>
    <row r="1444" spans="1:125" s="8" customFormat="1" ht="72" x14ac:dyDescent="0.2">
      <c r="A1444" s="226">
        <v>41375</v>
      </c>
      <c r="B1444" s="208" t="s">
        <v>2860</v>
      </c>
      <c r="C1444" s="227" t="s">
        <v>2173</v>
      </c>
      <c r="D1444" s="75" t="s">
        <v>3051</v>
      </c>
      <c r="E1444" s="75" t="str">
        <f>VLOOKUP(B1444&amp;C1444,Divipola!$C$2:$F$1138,4,FALSE)</f>
        <v>63470</v>
      </c>
      <c r="F1444" s="87"/>
      <c r="G1444" s="87"/>
      <c r="H1444" s="87"/>
      <c r="I1444" s="87"/>
      <c r="J1444" s="87"/>
      <c r="K1444" s="87"/>
      <c r="L1444" s="87"/>
      <c r="M1444" s="87"/>
      <c r="N1444" s="87"/>
      <c r="O1444" s="87"/>
      <c r="P1444" s="87"/>
      <c r="Q1444" s="87"/>
      <c r="R1444" s="87"/>
      <c r="S1444" s="87"/>
      <c r="T1444" s="87"/>
      <c r="U1444" s="88"/>
      <c r="V1444" s="89"/>
      <c r="W1444" s="96">
        <v>0</v>
      </c>
      <c r="X1444" s="71">
        <f>CU1444</f>
        <v>0</v>
      </c>
      <c r="Y1444" s="71">
        <f>CY1444</f>
        <v>0</v>
      </c>
      <c r="Z1444" s="71">
        <f>DA1444+DC1444+DE1444</f>
        <v>0</v>
      </c>
      <c r="AA1444" s="71">
        <f>CW1444</f>
        <v>0</v>
      </c>
      <c r="AB1444" s="71"/>
      <c r="AC1444" s="71">
        <v>0</v>
      </c>
      <c r="AD1444" s="71">
        <f>W1444+X1444+Y1444+Z1444+AA1444+AB1444+AC1444</f>
        <v>0</v>
      </c>
      <c r="AE1444" s="72">
        <v>0</v>
      </c>
      <c r="AF1444" s="5"/>
      <c r="AG1444" s="6"/>
      <c r="AH1444" s="27" t="s">
        <v>3392</v>
      </c>
      <c r="AI1444" s="44" t="s">
        <v>3393</v>
      </c>
      <c r="AJ1444" s="26"/>
      <c r="AK1444" s="5"/>
      <c r="AL1444" s="82" t="s">
        <v>4248</v>
      </c>
      <c r="AM1444" s="76"/>
      <c r="AN1444" s="76"/>
      <c r="AO1444" s="76"/>
      <c r="AP1444" s="76"/>
      <c r="AQ1444" s="76"/>
      <c r="AR1444" s="76"/>
      <c r="AS1444" s="76"/>
      <c r="AT1444" s="76"/>
      <c r="AU1444" s="76"/>
      <c r="AV1444" s="76"/>
      <c r="AW1444" s="76"/>
      <c r="AX1444" s="76">
        <f>+AW1444*600000</f>
        <v>0</v>
      </c>
      <c r="AY1444" s="76"/>
      <c r="AZ1444" s="76">
        <f>+AY1444*70000</f>
        <v>0</v>
      </c>
      <c r="BA1444" s="76"/>
      <c r="BB1444" s="76"/>
      <c r="BC1444" s="76"/>
      <c r="BD1444" s="76">
        <f>+BC1444*30000</f>
        <v>0</v>
      </c>
      <c r="BE1444" s="76"/>
      <c r="BF1444" s="76"/>
      <c r="BG1444" s="76"/>
      <c r="BH1444" s="76"/>
      <c r="BI1444" s="76"/>
      <c r="BJ1444" s="76"/>
      <c r="BK1444" s="76"/>
      <c r="BL1444" s="76">
        <f>+BK1444*31500</f>
        <v>0</v>
      </c>
      <c r="BM1444" s="76"/>
      <c r="BN1444" s="76"/>
      <c r="BO1444" s="76"/>
      <c r="BP1444" s="76"/>
      <c r="BQ1444" s="76"/>
      <c r="BR1444" s="76"/>
      <c r="BS1444" s="76"/>
      <c r="BT1444" s="76"/>
      <c r="BU1444" s="76"/>
      <c r="BV1444" s="76"/>
      <c r="BW1444" s="76"/>
      <c r="BX1444" s="76"/>
      <c r="BY1444" s="76"/>
      <c r="BZ1444" s="76"/>
      <c r="CA1444" s="76"/>
      <c r="CB1444" s="76"/>
      <c r="CC1444" s="76"/>
      <c r="CD1444" s="76"/>
      <c r="CE1444" s="76"/>
      <c r="CF1444" s="76">
        <f>+CE1444*28000</f>
        <v>0</v>
      </c>
      <c r="CG1444" s="76"/>
      <c r="CH1444" s="76">
        <f>+CG1444*22500</f>
        <v>0</v>
      </c>
      <c r="CI1444" s="76"/>
      <c r="CJ1444" s="76">
        <f>+CI1444*26000</f>
        <v>0</v>
      </c>
      <c r="CK1444" s="76"/>
      <c r="CL1444" s="76"/>
      <c r="CM1444" s="76"/>
      <c r="CN1444" s="76">
        <f>+CM1444*22000</f>
        <v>0</v>
      </c>
      <c r="CO1444" s="76"/>
      <c r="CP1444" s="76">
        <f>+CO1444*46000</f>
        <v>0</v>
      </c>
      <c r="CQ1444" s="76"/>
      <c r="CR1444" s="76">
        <f>+CQ1444*49000</f>
        <v>0</v>
      </c>
      <c r="CS1444" s="76"/>
      <c r="CT1444" s="76"/>
      <c r="CU1444" s="56">
        <f>AN1444+AP1444+AR1444+AT1444+AV1444+AX1444+AZ1444+BB1444+BD1444+BF1444+BH1444+BJ1444+BL1444+BN1444+BP1444+BR1444+BT1444+BV1444+BX1444+BZ1444+CB1444+CD1444+CF1444+CH1444+CJ1444+CL1444+CN1444+CP1444+CR1444+CT1444</f>
        <v>0</v>
      </c>
      <c r="CV1444" s="76"/>
      <c r="CW1444" s="76">
        <f>+CV1444*1100</f>
        <v>0</v>
      </c>
      <c r="CX1444" s="76"/>
      <c r="CY1444" s="76">
        <f>+CX1444*106250</f>
        <v>0</v>
      </c>
      <c r="CZ1444" s="76"/>
      <c r="DA1444" s="76">
        <f>+CZ1444*34500</f>
        <v>0</v>
      </c>
      <c r="DB1444" s="76"/>
      <c r="DC1444" s="76">
        <f>+DB1444*25000</f>
        <v>0</v>
      </c>
      <c r="DD1444" s="219"/>
      <c r="DE1444" s="219"/>
      <c r="DF1444" s="166"/>
      <c r="DG1444" s="116"/>
      <c r="DH1444" s="117"/>
      <c r="DI1444" s="24"/>
      <c r="DJ1444" s="24"/>
      <c r="DK1444" s="24"/>
      <c r="DL1444" s="24"/>
      <c r="DM1444" s="24"/>
      <c r="DN1444" s="24"/>
      <c r="DO1444" s="24"/>
      <c r="DP1444" s="24"/>
      <c r="DQ1444" s="24"/>
      <c r="DR1444" s="24"/>
      <c r="DS1444" s="24"/>
      <c r="DT1444" s="24"/>
      <c r="DU1444" s="24"/>
    </row>
    <row r="1445" spans="1:125" s="8" customFormat="1" ht="36" x14ac:dyDescent="0.2">
      <c r="A1445" s="142">
        <v>41375</v>
      </c>
      <c r="B1445" s="203" t="s">
        <v>2851</v>
      </c>
      <c r="C1445" s="203" t="s">
        <v>1947</v>
      </c>
      <c r="D1445" s="75" t="s">
        <v>3051</v>
      </c>
      <c r="E1445" s="75" t="str">
        <f>VLOOKUP(B1445&amp;C1445,Divipola!$C$2:$F$1138,4,FALSE)</f>
        <v>76275</v>
      </c>
      <c r="F1445" s="89"/>
      <c r="G1445" s="89"/>
      <c r="H1445" s="89"/>
      <c r="I1445" s="89">
        <v>125</v>
      </c>
      <c r="J1445" s="89">
        <v>25</v>
      </c>
      <c r="K1445" s="89"/>
      <c r="L1445" s="89">
        <v>25</v>
      </c>
      <c r="M1445" s="89"/>
      <c r="N1445" s="89"/>
      <c r="O1445" s="89"/>
      <c r="P1445" s="89"/>
      <c r="Q1445" s="89"/>
      <c r="R1445" s="89"/>
      <c r="S1445" s="89"/>
      <c r="T1445" s="89"/>
      <c r="U1445" s="89"/>
      <c r="V1445" s="89"/>
      <c r="W1445" s="96">
        <v>0</v>
      </c>
      <c r="X1445" s="71">
        <f>CU1445</f>
        <v>0</v>
      </c>
      <c r="Y1445" s="71">
        <f>CY1445</f>
        <v>0</v>
      </c>
      <c r="Z1445" s="71">
        <f>DA1445+DC1445+DE1445</f>
        <v>0</v>
      </c>
      <c r="AA1445" s="71">
        <f>CW1445</f>
        <v>0</v>
      </c>
      <c r="AB1445" s="71"/>
      <c r="AC1445" s="71">
        <v>0</v>
      </c>
      <c r="AD1445" s="71">
        <f>W1445+X1445+Y1445+Z1445+AA1445+AB1445+AC1445</f>
        <v>0</v>
      </c>
      <c r="AE1445" s="72">
        <v>0</v>
      </c>
      <c r="AF1445" s="5"/>
      <c r="AG1445" s="6"/>
      <c r="AH1445" s="27" t="s">
        <v>3392</v>
      </c>
      <c r="AI1445" s="44" t="s">
        <v>3393</v>
      </c>
      <c r="AJ1445" s="26"/>
      <c r="AK1445" s="5"/>
      <c r="AL1445" s="82" t="s">
        <v>4254</v>
      </c>
      <c r="AM1445" s="76"/>
      <c r="AN1445" s="76"/>
      <c r="AO1445" s="76"/>
      <c r="AP1445" s="76"/>
      <c r="AQ1445" s="76"/>
      <c r="AR1445" s="76"/>
      <c r="AS1445" s="76"/>
      <c r="AT1445" s="76"/>
      <c r="AU1445" s="76"/>
      <c r="AV1445" s="76"/>
      <c r="AW1445" s="76"/>
      <c r="AX1445" s="76">
        <f>+AW1445*600000</f>
        <v>0</v>
      </c>
      <c r="AY1445" s="76"/>
      <c r="AZ1445" s="76">
        <f>+AY1445*70000</f>
        <v>0</v>
      </c>
      <c r="BA1445" s="76"/>
      <c r="BB1445" s="76"/>
      <c r="BC1445" s="76"/>
      <c r="BD1445" s="76">
        <f>+BC1445*30000</f>
        <v>0</v>
      </c>
      <c r="BE1445" s="76"/>
      <c r="BF1445" s="76"/>
      <c r="BG1445" s="76"/>
      <c r="BH1445" s="76"/>
      <c r="BI1445" s="76"/>
      <c r="BJ1445" s="76"/>
      <c r="BK1445" s="76"/>
      <c r="BL1445" s="76">
        <f>+BK1445*31500</f>
        <v>0</v>
      </c>
      <c r="BM1445" s="76"/>
      <c r="BN1445" s="76"/>
      <c r="BO1445" s="76"/>
      <c r="BP1445" s="76"/>
      <c r="BQ1445" s="76"/>
      <c r="BR1445" s="76"/>
      <c r="BS1445" s="76"/>
      <c r="BT1445" s="76"/>
      <c r="BU1445" s="76"/>
      <c r="BV1445" s="76"/>
      <c r="BW1445" s="76"/>
      <c r="BX1445" s="76"/>
      <c r="BY1445" s="76"/>
      <c r="BZ1445" s="76"/>
      <c r="CA1445" s="76"/>
      <c r="CB1445" s="76"/>
      <c r="CC1445" s="76"/>
      <c r="CD1445" s="76"/>
      <c r="CE1445" s="76"/>
      <c r="CF1445" s="76">
        <f>+CE1445*28000</f>
        <v>0</v>
      </c>
      <c r="CG1445" s="76"/>
      <c r="CH1445" s="76">
        <f>+CG1445*22500</f>
        <v>0</v>
      </c>
      <c r="CI1445" s="76"/>
      <c r="CJ1445" s="76">
        <f>+CI1445*26000</f>
        <v>0</v>
      </c>
      <c r="CK1445" s="76"/>
      <c r="CL1445" s="76"/>
      <c r="CM1445" s="76"/>
      <c r="CN1445" s="76">
        <f>+CM1445*22000</f>
        <v>0</v>
      </c>
      <c r="CO1445" s="76"/>
      <c r="CP1445" s="76">
        <f>+CO1445*46000</f>
        <v>0</v>
      </c>
      <c r="CQ1445" s="76"/>
      <c r="CR1445" s="76">
        <f>+CQ1445*49000</f>
        <v>0</v>
      </c>
      <c r="CS1445" s="76"/>
      <c r="CT1445" s="76"/>
      <c r="CU1445" s="56">
        <f>AN1445+AP1445+AR1445+AT1445+AV1445+AX1445+AZ1445+BB1445+BD1445+BF1445+BH1445+BJ1445+BL1445+BN1445+BP1445+BR1445+BT1445+BV1445+BX1445+BZ1445+CB1445+CD1445+CF1445+CH1445+CJ1445+CL1445+CN1445+CP1445+CR1445+CT1445</f>
        <v>0</v>
      </c>
      <c r="CV1445" s="76"/>
      <c r="CW1445" s="76">
        <f>+CV1445*1100</f>
        <v>0</v>
      </c>
      <c r="CX1445" s="76"/>
      <c r="CY1445" s="76">
        <f>+CX1445*106250</f>
        <v>0</v>
      </c>
      <c r="CZ1445" s="76"/>
      <c r="DA1445" s="76">
        <f>+CZ1445*34500</f>
        <v>0</v>
      </c>
      <c r="DB1445" s="76"/>
      <c r="DC1445" s="76">
        <f>+DB1445*25000</f>
        <v>0</v>
      </c>
      <c r="DD1445" s="219"/>
      <c r="DE1445" s="219"/>
      <c r="DF1445" s="166"/>
      <c r="DG1445" s="116"/>
      <c r="DH1445" s="117"/>
      <c r="DI1445" s="24"/>
      <c r="DJ1445" s="24"/>
      <c r="DK1445" s="24"/>
      <c r="DL1445" s="24"/>
      <c r="DM1445" s="24"/>
      <c r="DN1445" s="24"/>
      <c r="DO1445" s="24"/>
      <c r="DP1445" s="24"/>
      <c r="DQ1445" s="24"/>
      <c r="DR1445" s="24"/>
      <c r="DS1445" s="24"/>
      <c r="DT1445" s="24"/>
      <c r="DU1445" s="24"/>
    </row>
    <row r="1446" spans="1:125" s="8" customFormat="1" ht="24" x14ac:dyDescent="0.2">
      <c r="A1446" s="77">
        <v>41375</v>
      </c>
      <c r="B1446" s="78" t="s">
        <v>2851</v>
      </c>
      <c r="C1446" s="75" t="s">
        <v>2688</v>
      </c>
      <c r="D1446" s="75" t="s">
        <v>2882</v>
      </c>
      <c r="E1446" s="75" t="str">
        <f>VLOOKUP(B1446&amp;C1446,Divipola!$C$2:$F$1138,4,FALSE)</f>
        <v>76736</v>
      </c>
      <c r="F1446" s="87"/>
      <c r="G1446" s="87"/>
      <c r="H1446" s="87"/>
      <c r="I1446" s="87">
        <v>125</v>
      </c>
      <c r="J1446" s="87">
        <v>25</v>
      </c>
      <c r="K1446" s="87"/>
      <c r="L1446" s="87">
        <v>25</v>
      </c>
      <c r="M1446" s="87"/>
      <c r="N1446" s="87"/>
      <c r="O1446" s="87"/>
      <c r="P1446" s="87"/>
      <c r="Q1446" s="87"/>
      <c r="R1446" s="87"/>
      <c r="S1446" s="87"/>
      <c r="T1446" s="87"/>
      <c r="U1446" s="88"/>
      <c r="V1446" s="89"/>
      <c r="W1446" s="96">
        <v>0</v>
      </c>
      <c r="X1446" s="71">
        <f>CU1446</f>
        <v>0</v>
      </c>
      <c r="Y1446" s="71">
        <f>CY1446</f>
        <v>0</v>
      </c>
      <c r="Z1446" s="71">
        <f>DA1446+DC1446+DE1446</f>
        <v>0</v>
      </c>
      <c r="AA1446" s="71">
        <f>CW1446</f>
        <v>0</v>
      </c>
      <c r="AB1446" s="71"/>
      <c r="AC1446" s="71">
        <v>0</v>
      </c>
      <c r="AD1446" s="71">
        <f>W1446+X1446+Y1446+Z1446+AA1446+AB1446+AC1446</f>
        <v>0</v>
      </c>
      <c r="AE1446" s="72">
        <v>0</v>
      </c>
      <c r="AF1446" s="5"/>
      <c r="AG1446" s="6"/>
      <c r="AH1446" s="27" t="s">
        <v>3392</v>
      </c>
      <c r="AI1446" s="44" t="s">
        <v>3393</v>
      </c>
      <c r="AJ1446" s="26"/>
      <c r="AK1446" s="5"/>
      <c r="AL1446" s="82" t="s">
        <v>4253</v>
      </c>
      <c r="AM1446" s="76"/>
      <c r="AN1446" s="76"/>
      <c r="AO1446" s="76"/>
      <c r="AP1446" s="76"/>
      <c r="AQ1446" s="76"/>
      <c r="AR1446" s="76"/>
      <c r="AS1446" s="76"/>
      <c r="AT1446" s="76"/>
      <c r="AU1446" s="76"/>
      <c r="AV1446" s="76"/>
      <c r="AW1446" s="76"/>
      <c r="AX1446" s="76">
        <f>+AW1446*600000</f>
        <v>0</v>
      </c>
      <c r="AY1446" s="76"/>
      <c r="AZ1446" s="76">
        <f>+AY1446*70000</f>
        <v>0</v>
      </c>
      <c r="BA1446" s="76"/>
      <c r="BB1446" s="76"/>
      <c r="BC1446" s="76"/>
      <c r="BD1446" s="76">
        <f>+BC1446*30000</f>
        <v>0</v>
      </c>
      <c r="BE1446" s="76"/>
      <c r="BF1446" s="76"/>
      <c r="BG1446" s="76"/>
      <c r="BH1446" s="76"/>
      <c r="BI1446" s="76"/>
      <c r="BJ1446" s="76"/>
      <c r="BK1446" s="76"/>
      <c r="BL1446" s="76">
        <f>+BK1446*31500</f>
        <v>0</v>
      </c>
      <c r="BM1446" s="76"/>
      <c r="BN1446" s="76"/>
      <c r="BO1446" s="76"/>
      <c r="BP1446" s="76"/>
      <c r="BQ1446" s="76"/>
      <c r="BR1446" s="76"/>
      <c r="BS1446" s="76"/>
      <c r="BT1446" s="76"/>
      <c r="BU1446" s="76"/>
      <c r="BV1446" s="76"/>
      <c r="BW1446" s="76"/>
      <c r="BX1446" s="76"/>
      <c r="BY1446" s="76"/>
      <c r="BZ1446" s="76"/>
      <c r="CA1446" s="76"/>
      <c r="CB1446" s="76"/>
      <c r="CC1446" s="76"/>
      <c r="CD1446" s="76"/>
      <c r="CE1446" s="76"/>
      <c r="CF1446" s="76">
        <f>+CE1446*28000</f>
        <v>0</v>
      </c>
      <c r="CG1446" s="76"/>
      <c r="CH1446" s="76">
        <f>+CG1446*22500</f>
        <v>0</v>
      </c>
      <c r="CI1446" s="76"/>
      <c r="CJ1446" s="76">
        <f>+CI1446*26000</f>
        <v>0</v>
      </c>
      <c r="CK1446" s="76"/>
      <c r="CL1446" s="76"/>
      <c r="CM1446" s="76"/>
      <c r="CN1446" s="76">
        <f>+CM1446*22000</f>
        <v>0</v>
      </c>
      <c r="CO1446" s="76"/>
      <c r="CP1446" s="76">
        <f>+CO1446*46000</f>
        <v>0</v>
      </c>
      <c r="CQ1446" s="76"/>
      <c r="CR1446" s="76">
        <f>+CQ1446*49000</f>
        <v>0</v>
      </c>
      <c r="CS1446" s="76"/>
      <c r="CT1446" s="76"/>
      <c r="CU1446" s="56">
        <f>AN1446+AP1446+AR1446+AT1446+AV1446+AX1446+AZ1446+BB1446+BD1446+BF1446+BH1446+BJ1446+BL1446+BN1446+BP1446+BR1446+BT1446+BV1446+BX1446+BZ1446+CB1446+CD1446+CF1446+CH1446+CJ1446+CL1446+CN1446+CP1446+CR1446+CT1446</f>
        <v>0</v>
      </c>
      <c r="CV1446" s="76"/>
      <c r="CW1446" s="76">
        <f>+CV1446*1100</f>
        <v>0</v>
      </c>
      <c r="CX1446" s="76"/>
      <c r="CY1446" s="76">
        <f>+CX1446*106250</f>
        <v>0</v>
      </c>
      <c r="CZ1446" s="76"/>
      <c r="DA1446" s="76">
        <f>+CZ1446*34500</f>
        <v>0</v>
      </c>
      <c r="DB1446" s="76"/>
      <c r="DC1446" s="76">
        <f>+DB1446*25000</f>
        <v>0</v>
      </c>
      <c r="DD1446" s="219"/>
      <c r="DE1446" s="219"/>
      <c r="DF1446" s="166"/>
      <c r="DG1446" s="116"/>
      <c r="DH1446" s="117"/>
      <c r="DI1446" s="24"/>
      <c r="DJ1446" s="24"/>
      <c r="DK1446" s="24"/>
      <c r="DL1446" s="24"/>
      <c r="DM1446" s="24"/>
      <c r="DN1446" s="24"/>
      <c r="DO1446" s="24"/>
      <c r="DP1446" s="24"/>
      <c r="DQ1446" s="24"/>
      <c r="DR1446" s="24"/>
      <c r="DS1446" s="24"/>
      <c r="DT1446" s="24"/>
      <c r="DU1446" s="24"/>
    </row>
    <row r="1447" spans="1:125" s="8" customFormat="1" ht="60" x14ac:dyDescent="0.2">
      <c r="A1447" s="77">
        <v>41376</v>
      </c>
      <c r="B1447" s="208" t="s">
        <v>2881</v>
      </c>
      <c r="C1447" s="227" t="s">
        <v>1416</v>
      </c>
      <c r="D1447" s="227" t="s">
        <v>2882</v>
      </c>
      <c r="E1447" s="75" t="str">
        <f>VLOOKUP(B1447&amp;C1447,Divipola!$C$2:$F$1138,4,FALSE)</f>
        <v>08436</v>
      </c>
      <c r="F1447" s="87"/>
      <c r="G1447" s="87"/>
      <c r="H1447" s="87"/>
      <c r="I1447" s="87">
        <v>100</v>
      </c>
      <c r="J1447" s="87">
        <v>20</v>
      </c>
      <c r="K1447" s="87"/>
      <c r="L1447" s="87">
        <v>20</v>
      </c>
      <c r="M1447" s="87"/>
      <c r="N1447" s="87"/>
      <c r="O1447" s="87"/>
      <c r="P1447" s="87"/>
      <c r="Q1447" s="87"/>
      <c r="R1447" s="87"/>
      <c r="S1447" s="87"/>
      <c r="T1447" s="87"/>
      <c r="U1447" s="88"/>
      <c r="V1447" s="89">
        <v>5</v>
      </c>
      <c r="W1447" s="96">
        <v>0</v>
      </c>
      <c r="X1447" s="71">
        <f>CU1447</f>
        <v>0</v>
      </c>
      <c r="Y1447" s="71">
        <f>CY1447</f>
        <v>0</v>
      </c>
      <c r="Z1447" s="71">
        <f>DA1447+DC1447+DE1447</f>
        <v>0</v>
      </c>
      <c r="AA1447" s="71">
        <f>CW1447</f>
        <v>0</v>
      </c>
      <c r="AB1447" s="71"/>
      <c r="AC1447" s="71">
        <v>0</v>
      </c>
      <c r="AD1447" s="71">
        <f>W1447+X1447+Y1447+Z1447+AA1447+AB1447+AC1447</f>
        <v>0</v>
      </c>
      <c r="AE1447" s="72">
        <v>0</v>
      </c>
      <c r="AF1447" s="5"/>
      <c r="AG1447" s="6"/>
      <c r="AH1447" s="27" t="s">
        <v>3392</v>
      </c>
      <c r="AI1447" s="44" t="s">
        <v>3393</v>
      </c>
      <c r="AJ1447" s="26"/>
      <c r="AK1447" s="5"/>
      <c r="AL1447" s="82" t="s">
        <v>4269</v>
      </c>
      <c r="AM1447" s="76"/>
      <c r="AN1447" s="76"/>
      <c r="AO1447" s="76"/>
      <c r="AP1447" s="76"/>
      <c r="AQ1447" s="76"/>
      <c r="AR1447" s="76"/>
      <c r="AS1447" s="76"/>
      <c r="AT1447" s="76"/>
      <c r="AU1447" s="76"/>
      <c r="AV1447" s="76"/>
      <c r="AW1447" s="76"/>
      <c r="AX1447" s="76">
        <f>+AW1447*600000</f>
        <v>0</v>
      </c>
      <c r="AY1447" s="76"/>
      <c r="AZ1447" s="76">
        <f>+AY1447*70000</f>
        <v>0</v>
      </c>
      <c r="BA1447" s="76"/>
      <c r="BB1447" s="76"/>
      <c r="BC1447" s="76"/>
      <c r="BD1447" s="76">
        <f>+BC1447*30000</f>
        <v>0</v>
      </c>
      <c r="BE1447" s="76"/>
      <c r="BF1447" s="76"/>
      <c r="BG1447" s="76"/>
      <c r="BH1447" s="76"/>
      <c r="BI1447" s="76"/>
      <c r="BJ1447" s="76"/>
      <c r="BK1447" s="76"/>
      <c r="BL1447" s="76">
        <f>+BK1447*31500</f>
        <v>0</v>
      </c>
      <c r="BM1447" s="76"/>
      <c r="BN1447" s="76"/>
      <c r="BO1447" s="76"/>
      <c r="BP1447" s="76"/>
      <c r="BQ1447" s="76"/>
      <c r="BR1447" s="76"/>
      <c r="BS1447" s="76"/>
      <c r="BT1447" s="76"/>
      <c r="BU1447" s="76"/>
      <c r="BV1447" s="76"/>
      <c r="BW1447" s="76"/>
      <c r="BX1447" s="76"/>
      <c r="BY1447" s="76"/>
      <c r="BZ1447" s="76"/>
      <c r="CA1447" s="76"/>
      <c r="CB1447" s="76"/>
      <c r="CC1447" s="76"/>
      <c r="CD1447" s="76"/>
      <c r="CE1447" s="76"/>
      <c r="CF1447" s="76">
        <f>+CE1447*28000</f>
        <v>0</v>
      </c>
      <c r="CG1447" s="76"/>
      <c r="CH1447" s="76">
        <f>+CG1447*22500</f>
        <v>0</v>
      </c>
      <c r="CI1447" s="76"/>
      <c r="CJ1447" s="76">
        <f>+CI1447*26000</f>
        <v>0</v>
      </c>
      <c r="CK1447" s="76"/>
      <c r="CL1447" s="76"/>
      <c r="CM1447" s="76"/>
      <c r="CN1447" s="76">
        <f>+CM1447*22000</f>
        <v>0</v>
      </c>
      <c r="CO1447" s="76"/>
      <c r="CP1447" s="76">
        <f>+CO1447*46000</f>
        <v>0</v>
      </c>
      <c r="CQ1447" s="76"/>
      <c r="CR1447" s="76">
        <f>+CQ1447*49000</f>
        <v>0</v>
      </c>
      <c r="CS1447" s="76"/>
      <c r="CT1447" s="76"/>
      <c r="CU1447" s="56">
        <f>AN1447+AP1447+AR1447+AT1447+AV1447+AX1447+AZ1447+BB1447+BD1447+BF1447+BH1447+BJ1447+BL1447+BN1447+BP1447+BR1447+BT1447+BV1447+BX1447+BZ1447+CB1447+CD1447+CF1447+CH1447+CJ1447+CL1447+CN1447+CP1447+CR1447+CT1447</f>
        <v>0</v>
      </c>
      <c r="CV1447" s="76"/>
      <c r="CW1447" s="76">
        <f>+CV1447*1100</f>
        <v>0</v>
      </c>
      <c r="CX1447" s="76"/>
      <c r="CY1447" s="76">
        <f>+CX1447*106250</f>
        <v>0</v>
      </c>
      <c r="CZ1447" s="76"/>
      <c r="DA1447" s="76">
        <f>+CZ1447*34500</f>
        <v>0</v>
      </c>
      <c r="DB1447" s="76"/>
      <c r="DC1447" s="76">
        <f>+DB1447*25000</f>
        <v>0</v>
      </c>
      <c r="DD1447" s="219"/>
      <c r="DE1447" s="219"/>
      <c r="DF1447" s="166"/>
      <c r="DG1447" s="116"/>
      <c r="DH1447" s="117"/>
      <c r="DI1447" s="24"/>
      <c r="DJ1447" s="24"/>
      <c r="DK1447" s="24"/>
      <c r="DL1447" s="24"/>
      <c r="DM1447" s="24"/>
      <c r="DN1447" s="24"/>
      <c r="DO1447" s="24"/>
      <c r="DP1447" s="24"/>
      <c r="DQ1447" s="24"/>
      <c r="DR1447" s="24"/>
      <c r="DS1447" s="24"/>
      <c r="DT1447" s="24"/>
      <c r="DU1447" s="24"/>
    </row>
    <row r="1448" spans="1:125" s="8" customFormat="1" ht="48" x14ac:dyDescent="0.2">
      <c r="A1448" s="77">
        <v>41376</v>
      </c>
      <c r="B1448" s="78" t="s">
        <v>2700</v>
      </c>
      <c r="C1448" s="75" t="s">
        <v>1619</v>
      </c>
      <c r="D1448" s="81" t="s">
        <v>2846</v>
      </c>
      <c r="E1448" s="75" t="str">
        <f>VLOOKUP(B1448&amp;C1448,Divipola!$C$2:$F$1138,4,FALSE)</f>
        <v>15215</v>
      </c>
      <c r="F1448" s="87"/>
      <c r="G1448" s="87"/>
      <c r="H1448" s="87"/>
      <c r="I1448" s="87"/>
      <c r="J1448" s="87"/>
      <c r="K1448" s="87"/>
      <c r="L1448" s="87"/>
      <c r="M1448" s="87"/>
      <c r="N1448" s="87"/>
      <c r="O1448" s="87"/>
      <c r="P1448" s="87"/>
      <c r="Q1448" s="87"/>
      <c r="R1448" s="87"/>
      <c r="S1448" s="87"/>
      <c r="T1448" s="87"/>
      <c r="U1448" s="88"/>
      <c r="V1448" s="89"/>
      <c r="W1448" s="96">
        <v>0</v>
      </c>
      <c r="X1448" s="71">
        <f>CU1448</f>
        <v>0</v>
      </c>
      <c r="Y1448" s="71">
        <f>CY1448</f>
        <v>0</v>
      </c>
      <c r="Z1448" s="71">
        <f>DA1448+DC1448+DE1448</f>
        <v>0</v>
      </c>
      <c r="AA1448" s="71">
        <f>CW1448</f>
        <v>0</v>
      </c>
      <c r="AB1448" s="71"/>
      <c r="AC1448" s="71">
        <v>0</v>
      </c>
      <c r="AD1448" s="71">
        <f>W1448+X1448+Y1448+Z1448+AA1448+AB1448+AC1448</f>
        <v>0</v>
      </c>
      <c r="AE1448" s="72">
        <v>0</v>
      </c>
      <c r="AF1448" s="5"/>
      <c r="AG1448" s="6"/>
      <c r="AH1448" s="27" t="s">
        <v>3392</v>
      </c>
      <c r="AI1448" s="44" t="s">
        <v>3393</v>
      </c>
      <c r="AJ1448" s="26"/>
      <c r="AK1448" s="5"/>
      <c r="AL1448" s="82" t="s">
        <v>4268</v>
      </c>
      <c r="AM1448" s="76"/>
      <c r="AN1448" s="76"/>
      <c r="AO1448" s="76"/>
      <c r="AP1448" s="76"/>
      <c r="AQ1448" s="76"/>
      <c r="AR1448" s="76"/>
      <c r="AS1448" s="76"/>
      <c r="AT1448" s="76"/>
      <c r="AU1448" s="76"/>
      <c r="AV1448" s="76"/>
      <c r="AW1448" s="76"/>
      <c r="AX1448" s="76">
        <f>+AW1448*600000</f>
        <v>0</v>
      </c>
      <c r="AY1448" s="76"/>
      <c r="AZ1448" s="76">
        <f>+AY1448*70000</f>
        <v>0</v>
      </c>
      <c r="BA1448" s="76"/>
      <c r="BB1448" s="76"/>
      <c r="BC1448" s="76"/>
      <c r="BD1448" s="76">
        <f>+BC1448*30000</f>
        <v>0</v>
      </c>
      <c r="BE1448" s="76"/>
      <c r="BF1448" s="76"/>
      <c r="BG1448" s="76"/>
      <c r="BH1448" s="76"/>
      <c r="BI1448" s="76"/>
      <c r="BJ1448" s="76"/>
      <c r="BK1448" s="76"/>
      <c r="BL1448" s="76">
        <f>+BK1448*31500</f>
        <v>0</v>
      </c>
      <c r="BM1448" s="76"/>
      <c r="BN1448" s="76"/>
      <c r="BO1448" s="76"/>
      <c r="BP1448" s="76"/>
      <c r="BQ1448" s="76"/>
      <c r="BR1448" s="76"/>
      <c r="BS1448" s="76"/>
      <c r="BT1448" s="76"/>
      <c r="BU1448" s="76"/>
      <c r="BV1448" s="76"/>
      <c r="BW1448" s="76"/>
      <c r="BX1448" s="76"/>
      <c r="BY1448" s="76"/>
      <c r="BZ1448" s="76"/>
      <c r="CA1448" s="76"/>
      <c r="CB1448" s="76"/>
      <c r="CC1448" s="76"/>
      <c r="CD1448" s="76"/>
      <c r="CE1448" s="76"/>
      <c r="CF1448" s="76">
        <f>+CE1448*28000</f>
        <v>0</v>
      </c>
      <c r="CG1448" s="76"/>
      <c r="CH1448" s="76">
        <f>+CG1448*22500</f>
        <v>0</v>
      </c>
      <c r="CI1448" s="76"/>
      <c r="CJ1448" s="76">
        <f>+CI1448*26000</f>
        <v>0</v>
      </c>
      <c r="CK1448" s="76"/>
      <c r="CL1448" s="76"/>
      <c r="CM1448" s="76"/>
      <c r="CN1448" s="76">
        <f>+CM1448*22000</f>
        <v>0</v>
      </c>
      <c r="CO1448" s="76"/>
      <c r="CP1448" s="76">
        <f>+CO1448*46000</f>
        <v>0</v>
      </c>
      <c r="CQ1448" s="76"/>
      <c r="CR1448" s="76">
        <f>+CQ1448*49000</f>
        <v>0</v>
      </c>
      <c r="CS1448" s="76"/>
      <c r="CT1448" s="76"/>
      <c r="CU1448" s="56">
        <f>AN1448+AP1448+AR1448+AT1448+AV1448+AX1448+AZ1448+BB1448+BD1448+BF1448+BH1448+BJ1448+BL1448+BN1448+BP1448+BR1448+BT1448+BV1448+BX1448+BZ1448+CB1448+CD1448+CF1448+CH1448+CJ1448+CL1448+CN1448+CP1448+CR1448+CT1448</f>
        <v>0</v>
      </c>
      <c r="CV1448" s="76"/>
      <c r="CW1448" s="76">
        <f>+CV1448*1100</f>
        <v>0</v>
      </c>
      <c r="CX1448" s="76"/>
      <c r="CY1448" s="76">
        <f>+CX1448*106250</f>
        <v>0</v>
      </c>
      <c r="CZ1448" s="76"/>
      <c r="DA1448" s="76">
        <f>+CZ1448*34500</f>
        <v>0</v>
      </c>
      <c r="DB1448" s="76"/>
      <c r="DC1448" s="76">
        <f>+DB1448*25000</f>
        <v>0</v>
      </c>
      <c r="DD1448" s="219"/>
      <c r="DE1448" s="219"/>
      <c r="DF1448" s="166"/>
      <c r="DG1448" s="116"/>
      <c r="DH1448" s="117"/>
      <c r="DI1448" s="24"/>
      <c r="DJ1448" s="24"/>
      <c r="DK1448" s="24"/>
      <c r="DL1448" s="24"/>
      <c r="DM1448" s="24"/>
      <c r="DN1448" s="24"/>
      <c r="DO1448" s="24"/>
      <c r="DP1448" s="24"/>
      <c r="DQ1448" s="24"/>
      <c r="DR1448" s="24"/>
      <c r="DS1448" s="24"/>
      <c r="DT1448" s="24"/>
      <c r="DU1448" s="24"/>
    </row>
    <row r="1449" spans="1:125" s="8" customFormat="1" ht="72" x14ac:dyDescent="0.2">
      <c r="A1449" s="353">
        <v>41376</v>
      </c>
      <c r="B1449" s="352" t="s">
        <v>2700</v>
      </c>
      <c r="C1449" s="354" t="s">
        <v>536</v>
      </c>
      <c r="D1449" s="81" t="s">
        <v>2846</v>
      </c>
      <c r="E1449" s="75" t="str">
        <f>VLOOKUP(B1449&amp;C1449,Divipola!$C$2:$F$1138,4,FALSE)</f>
        <v>15322</v>
      </c>
      <c r="F1449" s="87"/>
      <c r="G1449" s="87"/>
      <c r="H1449" s="87"/>
      <c r="I1449" s="87"/>
      <c r="J1449" s="87"/>
      <c r="K1449" s="87"/>
      <c r="L1449" s="87"/>
      <c r="M1449" s="87"/>
      <c r="N1449" s="87"/>
      <c r="O1449" s="87"/>
      <c r="P1449" s="87"/>
      <c r="Q1449" s="87"/>
      <c r="R1449" s="87"/>
      <c r="S1449" s="87"/>
      <c r="T1449" s="87"/>
      <c r="U1449" s="88">
        <v>1</v>
      </c>
      <c r="V1449" s="89"/>
      <c r="W1449" s="96">
        <v>0</v>
      </c>
      <c r="X1449" s="71">
        <f>CU1449</f>
        <v>0</v>
      </c>
      <c r="Y1449" s="71">
        <f>CY1449</f>
        <v>0</v>
      </c>
      <c r="Z1449" s="71">
        <f>DA1449+DC1449+DE1449</f>
        <v>0</v>
      </c>
      <c r="AA1449" s="71">
        <f>CW1449</f>
        <v>0</v>
      </c>
      <c r="AB1449" s="71"/>
      <c r="AC1449" s="71">
        <v>0</v>
      </c>
      <c r="AD1449" s="71">
        <f>W1449+X1449+Y1449+Z1449+AA1449+AB1449+AC1449</f>
        <v>0</v>
      </c>
      <c r="AE1449" s="72">
        <v>0</v>
      </c>
      <c r="AF1449" s="5"/>
      <c r="AG1449" s="6"/>
      <c r="AH1449" s="27" t="s">
        <v>3392</v>
      </c>
      <c r="AI1449" s="44" t="s">
        <v>3393</v>
      </c>
      <c r="AJ1449" s="26"/>
      <c r="AK1449" s="5"/>
      <c r="AL1449" s="82" t="s">
        <v>4315</v>
      </c>
      <c r="AM1449" s="76"/>
      <c r="AN1449" s="76"/>
      <c r="AO1449" s="76"/>
      <c r="AP1449" s="76"/>
      <c r="AQ1449" s="76"/>
      <c r="AR1449" s="76"/>
      <c r="AS1449" s="76"/>
      <c r="AT1449" s="76"/>
      <c r="AU1449" s="76"/>
      <c r="AV1449" s="76"/>
      <c r="AW1449" s="76"/>
      <c r="AX1449" s="76">
        <f>+AW1449*600000</f>
        <v>0</v>
      </c>
      <c r="AY1449" s="76"/>
      <c r="AZ1449" s="76">
        <f>+AY1449*70000</f>
        <v>0</v>
      </c>
      <c r="BA1449" s="76"/>
      <c r="BB1449" s="76"/>
      <c r="BC1449" s="76"/>
      <c r="BD1449" s="76">
        <f>+BC1449*30000</f>
        <v>0</v>
      </c>
      <c r="BE1449" s="76"/>
      <c r="BF1449" s="76"/>
      <c r="BG1449" s="76"/>
      <c r="BH1449" s="76"/>
      <c r="BI1449" s="76"/>
      <c r="BJ1449" s="76"/>
      <c r="BK1449" s="76"/>
      <c r="BL1449" s="76">
        <f>+BK1449*31500</f>
        <v>0</v>
      </c>
      <c r="BM1449" s="76"/>
      <c r="BN1449" s="76"/>
      <c r="BO1449" s="76"/>
      <c r="BP1449" s="76"/>
      <c r="BQ1449" s="76"/>
      <c r="BR1449" s="76"/>
      <c r="BS1449" s="76"/>
      <c r="BT1449" s="76"/>
      <c r="BU1449" s="76"/>
      <c r="BV1449" s="76"/>
      <c r="BW1449" s="76"/>
      <c r="BX1449" s="76"/>
      <c r="BY1449" s="76"/>
      <c r="BZ1449" s="76"/>
      <c r="CA1449" s="76"/>
      <c r="CB1449" s="76"/>
      <c r="CC1449" s="76"/>
      <c r="CD1449" s="76"/>
      <c r="CE1449" s="76"/>
      <c r="CF1449" s="76">
        <f>+CE1449*28000</f>
        <v>0</v>
      </c>
      <c r="CG1449" s="76"/>
      <c r="CH1449" s="76">
        <f>+CG1449*22500</f>
        <v>0</v>
      </c>
      <c r="CI1449" s="76"/>
      <c r="CJ1449" s="76">
        <f>+CI1449*26000</f>
        <v>0</v>
      </c>
      <c r="CK1449" s="76"/>
      <c r="CL1449" s="76"/>
      <c r="CM1449" s="76"/>
      <c r="CN1449" s="76">
        <f>+CM1449*22000</f>
        <v>0</v>
      </c>
      <c r="CO1449" s="76"/>
      <c r="CP1449" s="76">
        <f>+CO1449*46000</f>
        <v>0</v>
      </c>
      <c r="CQ1449" s="76"/>
      <c r="CR1449" s="76">
        <f>+CQ1449*49000</f>
        <v>0</v>
      </c>
      <c r="CS1449" s="76"/>
      <c r="CT1449" s="76"/>
      <c r="CU1449" s="56">
        <f>AN1449+AP1449+AR1449+AT1449+AV1449+AX1449+AZ1449+BB1449+BD1449+BF1449+BH1449+BJ1449+BL1449+BN1449+BP1449+BR1449+BT1449+BV1449+BX1449+BZ1449+CB1449+CD1449+CF1449+CH1449+CJ1449+CL1449+CN1449+CP1449+CR1449+CT1449</f>
        <v>0</v>
      </c>
      <c r="CV1449" s="76"/>
      <c r="CW1449" s="76">
        <f>+CV1449*1100</f>
        <v>0</v>
      </c>
      <c r="CX1449" s="76"/>
      <c r="CY1449" s="76">
        <f>+CX1449*106250</f>
        <v>0</v>
      </c>
      <c r="CZ1449" s="76"/>
      <c r="DA1449" s="76">
        <f>+CZ1449*34500</f>
        <v>0</v>
      </c>
      <c r="DB1449" s="76"/>
      <c r="DC1449" s="76">
        <f>+DB1449*25000</f>
        <v>0</v>
      </c>
      <c r="DD1449" s="219"/>
      <c r="DE1449" s="219"/>
      <c r="DF1449" s="166"/>
      <c r="DG1449" s="116"/>
      <c r="DH1449" s="117"/>
      <c r="DI1449" s="24"/>
      <c r="DJ1449" s="24"/>
      <c r="DK1449" s="24"/>
      <c r="DL1449" s="24"/>
      <c r="DM1449" s="24"/>
      <c r="DN1449" s="24"/>
      <c r="DO1449" s="24"/>
      <c r="DP1449" s="24"/>
      <c r="DQ1449" s="24"/>
      <c r="DR1449" s="24"/>
      <c r="DS1449" s="24"/>
      <c r="DT1449" s="24"/>
      <c r="DU1449" s="24"/>
    </row>
    <row r="1450" spans="1:125" s="8" customFormat="1" ht="84" x14ac:dyDescent="0.2">
      <c r="A1450" s="353">
        <v>41376</v>
      </c>
      <c r="B1450" s="352" t="s">
        <v>2700</v>
      </c>
      <c r="C1450" s="227" t="s">
        <v>673</v>
      </c>
      <c r="D1450" s="81" t="s">
        <v>2846</v>
      </c>
      <c r="E1450" s="75" t="str">
        <f>VLOOKUP(B1450&amp;C1450,Divipola!$C$2:$F$1138,4,FALSE)</f>
        <v>15761</v>
      </c>
      <c r="F1450" s="87"/>
      <c r="G1450" s="87"/>
      <c r="H1450" s="87"/>
      <c r="I1450" s="87"/>
      <c r="J1450" s="87"/>
      <c r="K1450" s="87"/>
      <c r="L1450" s="87"/>
      <c r="M1450" s="87"/>
      <c r="N1450" s="87"/>
      <c r="O1450" s="87"/>
      <c r="P1450" s="87"/>
      <c r="Q1450" s="87"/>
      <c r="R1450" s="87"/>
      <c r="S1450" s="87"/>
      <c r="T1450" s="87"/>
      <c r="U1450" s="88">
        <v>100</v>
      </c>
      <c r="V1450" s="89"/>
      <c r="W1450" s="96">
        <v>0</v>
      </c>
      <c r="X1450" s="71">
        <f>CU1450</f>
        <v>0</v>
      </c>
      <c r="Y1450" s="71">
        <f>CY1450</f>
        <v>0</v>
      </c>
      <c r="Z1450" s="71">
        <f>DA1450+DC1450+DE1450</f>
        <v>0</v>
      </c>
      <c r="AA1450" s="71">
        <f>CW1450</f>
        <v>0</v>
      </c>
      <c r="AB1450" s="71"/>
      <c r="AC1450" s="71">
        <v>0</v>
      </c>
      <c r="AD1450" s="71">
        <f>W1450+X1450+Y1450+Z1450+AA1450+AB1450+AC1450</f>
        <v>0</v>
      </c>
      <c r="AE1450" s="72">
        <v>0</v>
      </c>
      <c r="AF1450" s="5"/>
      <c r="AG1450" s="6"/>
      <c r="AH1450" s="27" t="s">
        <v>3392</v>
      </c>
      <c r="AI1450" s="44" t="s">
        <v>3393</v>
      </c>
      <c r="AJ1450" s="26"/>
      <c r="AK1450" s="5"/>
      <c r="AL1450" s="82" t="s">
        <v>4314</v>
      </c>
      <c r="AM1450" s="76"/>
      <c r="AN1450" s="76"/>
      <c r="AO1450" s="76"/>
      <c r="AP1450" s="76"/>
      <c r="AQ1450" s="76"/>
      <c r="AR1450" s="76"/>
      <c r="AS1450" s="76"/>
      <c r="AT1450" s="76"/>
      <c r="AU1450" s="76"/>
      <c r="AV1450" s="76"/>
      <c r="AW1450" s="76"/>
      <c r="AX1450" s="76">
        <f>+AW1450*600000</f>
        <v>0</v>
      </c>
      <c r="AY1450" s="76"/>
      <c r="AZ1450" s="76">
        <f>+AY1450*70000</f>
        <v>0</v>
      </c>
      <c r="BA1450" s="76"/>
      <c r="BB1450" s="76"/>
      <c r="BC1450" s="76"/>
      <c r="BD1450" s="76">
        <f>+BC1450*30000</f>
        <v>0</v>
      </c>
      <c r="BE1450" s="76"/>
      <c r="BF1450" s="76"/>
      <c r="BG1450" s="76"/>
      <c r="BH1450" s="76"/>
      <c r="BI1450" s="76"/>
      <c r="BJ1450" s="76"/>
      <c r="BK1450" s="76"/>
      <c r="BL1450" s="76">
        <f>+BK1450*31500</f>
        <v>0</v>
      </c>
      <c r="BM1450" s="76"/>
      <c r="BN1450" s="76"/>
      <c r="BO1450" s="76"/>
      <c r="BP1450" s="76"/>
      <c r="BQ1450" s="76"/>
      <c r="BR1450" s="76"/>
      <c r="BS1450" s="76"/>
      <c r="BT1450" s="76"/>
      <c r="BU1450" s="76"/>
      <c r="BV1450" s="76"/>
      <c r="BW1450" s="76"/>
      <c r="BX1450" s="76"/>
      <c r="BY1450" s="76"/>
      <c r="BZ1450" s="76"/>
      <c r="CA1450" s="76"/>
      <c r="CB1450" s="76"/>
      <c r="CC1450" s="76"/>
      <c r="CD1450" s="76"/>
      <c r="CE1450" s="76"/>
      <c r="CF1450" s="76">
        <f>+CE1450*28000</f>
        <v>0</v>
      </c>
      <c r="CG1450" s="76"/>
      <c r="CH1450" s="76">
        <f>+CG1450*22500</f>
        <v>0</v>
      </c>
      <c r="CI1450" s="76"/>
      <c r="CJ1450" s="76">
        <f>+CI1450*26000</f>
        <v>0</v>
      </c>
      <c r="CK1450" s="76"/>
      <c r="CL1450" s="76"/>
      <c r="CM1450" s="76"/>
      <c r="CN1450" s="76">
        <f>+CM1450*22000</f>
        <v>0</v>
      </c>
      <c r="CO1450" s="76"/>
      <c r="CP1450" s="76">
        <f>+CO1450*46000</f>
        <v>0</v>
      </c>
      <c r="CQ1450" s="76"/>
      <c r="CR1450" s="76">
        <f>+CQ1450*49000</f>
        <v>0</v>
      </c>
      <c r="CS1450" s="76"/>
      <c r="CT1450" s="76"/>
      <c r="CU1450" s="56">
        <f>AN1450+AP1450+AR1450+AT1450+AV1450+AX1450+AZ1450+BB1450+BD1450+BF1450+BH1450+BJ1450+BL1450+BN1450+BP1450+BR1450+BT1450+BV1450+BX1450+BZ1450+CB1450+CD1450+CF1450+CH1450+CJ1450+CL1450+CN1450+CP1450+CR1450+CT1450</f>
        <v>0</v>
      </c>
      <c r="CV1450" s="76"/>
      <c r="CW1450" s="76">
        <f>+CV1450*1100</f>
        <v>0</v>
      </c>
      <c r="CX1450" s="76"/>
      <c r="CY1450" s="76">
        <f>+CX1450*106250</f>
        <v>0</v>
      </c>
      <c r="CZ1450" s="76"/>
      <c r="DA1450" s="76">
        <f>+CZ1450*34500</f>
        <v>0</v>
      </c>
      <c r="DB1450" s="76"/>
      <c r="DC1450" s="76">
        <f>+DB1450*25000</f>
        <v>0</v>
      </c>
      <c r="DD1450" s="219"/>
      <c r="DE1450" s="219"/>
      <c r="DF1450" s="166"/>
      <c r="DG1450" s="116"/>
      <c r="DH1450" s="117"/>
      <c r="DI1450" s="24"/>
      <c r="DJ1450" s="24"/>
      <c r="DK1450" s="24"/>
      <c r="DL1450" s="24"/>
      <c r="DM1450" s="24"/>
      <c r="DN1450" s="24"/>
      <c r="DO1450" s="24"/>
      <c r="DP1450" s="24"/>
      <c r="DQ1450" s="24"/>
      <c r="DR1450" s="24"/>
      <c r="DS1450" s="24"/>
      <c r="DT1450" s="24"/>
      <c r="DU1450" s="24"/>
    </row>
    <row r="1451" spans="1:125" s="8" customFormat="1" ht="72" x14ac:dyDescent="0.2">
      <c r="A1451" s="353">
        <v>41376</v>
      </c>
      <c r="B1451" s="352" t="s">
        <v>2854</v>
      </c>
      <c r="C1451" s="354" t="s">
        <v>483</v>
      </c>
      <c r="D1451" s="354" t="s">
        <v>3205</v>
      </c>
      <c r="E1451" s="75" t="str">
        <f>VLOOKUP(B1451&amp;C1451,Divipola!$C$2:$F$1138,4,FALSE)</f>
        <v>19110</v>
      </c>
      <c r="F1451" s="87"/>
      <c r="G1451" s="87"/>
      <c r="H1451" s="87"/>
      <c r="I1451" s="87"/>
      <c r="J1451" s="87"/>
      <c r="K1451" s="87"/>
      <c r="L1451" s="87"/>
      <c r="M1451" s="87"/>
      <c r="N1451" s="87"/>
      <c r="O1451" s="87"/>
      <c r="P1451" s="87"/>
      <c r="Q1451" s="87"/>
      <c r="R1451" s="87"/>
      <c r="S1451" s="87"/>
      <c r="T1451" s="87"/>
      <c r="U1451" s="88"/>
      <c r="V1451" s="89"/>
      <c r="W1451" s="96">
        <v>0</v>
      </c>
      <c r="X1451" s="71">
        <f>CU1451</f>
        <v>0</v>
      </c>
      <c r="Y1451" s="71">
        <f>CY1451</f>
        <v>0</v>
      </c>
      <c r="Z1451" s="71">
        <f>DA1451+DC1451+DE1451</f>
        <v>0</v>
      </c>
      <c r="AA1451" s="71">
        <f>CW1451</f>
        <v>0</v>
      </c>
      <c r="AB1451" s="71"/>
      <c r="AC1451" s="71">
        <v>0</v>
      </c>
      <c r="AD1451" s="71">
        <f>W1451+X1451+Y1451+Z1451+AA1451+AB1451+AC1451</f>
        <v>0</v>
      </c>
      <c r="AE1451" s="72">
        <v>0</v>
      </c>
      <c r="AF1451" s="5"/>
      <c r="AG1451" s="6"/>
      <c r="AH1451" s="27" t="s">
        <v>3392</v>
      </c>
      <c r="AI1451" s="44" t="s">
        <v>3393</v>
      </c>
      <c r="AJ1451" s="26"/>
      <c r="AK1451" s="5"/>
      <c r="AL1451" s="82" t="s">
        <v>4405</v>
      </c>
      <c r="AM1451" s="76"/>
      <c r="AN1451" s="76"/>
      <c r="AO1451" s="76"/>
      <c r="AP1451" s="76"/>
      <c r="AQ1451" s="76"/>
      <c r="AR1451" s="76"/>
      <c r="AS1451" s="76"/>
      <c r="AT1451" s="76"/>
      <c r="AU1451" s="76"/>
      <c r="AV1451" s="76"/>
      <c r="AW1451" s="76"/>
      <c r="AX1451" s="76">
        <f>+AW1451*600000</f>
        <v>0</v>
      </c>
      <c r="AY1451" s="76"/>
      <c r="AZ1451" s="76">
        <f>+AY1451*70000</f>
        <v>0</v>
      </c>
      <c r="BA1451" s="76"/>
      <c r="BB1451" s="76"/>
      <c r="BC1451" s="76"/>
      <c r="BD1451" s="76">
        <f>+BC1451*30000</f>
        <v>0</v>
      </c>
      <c r="BE1451" s="76"/>
      <c r="BF1451" s="76"/>
      <c r="BG1451" s="76"/>
      <c r="BH1451" s="76"/>
      <c r="BI1451" s="76"/>
      <c r="BJ1451" s="76"/>
      <c r="BK1451" s="76"/>
      <c r="BL1451" s="76">
        <f>+BK1451*31500</f>
        <v>0</v>
      </c>
      <c r="BM1451" s="76"/>
      <c r="BN1451" s="76"/>
      <c r="BO1451" s="76"/>
      <c r="BP1451" s="76"/>
      <c r="BQ1451" s="76"/>
      <c r="BR1451" s="76"/>
      <c r="BS1451" s="76"/>
      <c r="BT1451" s="76"/>
      <c r="BU1451" s="76"/>
      <c r="BV1451" s="76"/>
      <c r="BW1451" s="76"/>
      <c r="BX1451" s="76"/>
      <c r="BY1451" s="76"/>
      <c r="BZ1451" s="76"/>
      <c r="CA1451" s="76"/>
      <c r="CB1451" s="76"/>
      <c r="CC1451" s="76"/>
      <c r="CD1451" s="76"/>
      <c r="CE1451" s="76"/>
      <c r="CF1451" s="76">
        <f>+CE1451*28000</f>
        <v>0</v>
      </c>
      <c r="CG1451" s="76"/>
      <c r="CH1451" s="76">
        <f>+CG1451*22500</f>
        <v>0</v>
      </c>
      <c r="CI1451" s="76"/>
      <c r="CJ1451" s="76">
        <f>+CI1451*26000</f>
        <v>0</v>
      </c>
      <c r="CK1451" s="76"/>
      <c r="CL1451" s="76"/>
      <c r="CM1451" s="76"/>
      <c r="CN1451" s="76">
        <f>+CM1451*22000</f>
        <v>0</v>
      </c>
      <c r="CO1451" s="76"/>
      <c r="CP1451" s="76">
        <f>+CO1451*46000</f>
        <v>0</v>
      </c>
      <c r="CQ1451" s="76"/>
      <c r="CR1451" s="76">
        <f>+CQ1451*49000</f>
        <v>0</v>
      </c>
      <c r="CS1451" s="76"/>
      <c r="CT1451" s="76"/>
      <c r="CU1451" s="56">
        <f>AN1451+AP1451+AR1451+AT1451+AV1451+AX1451+AZ1451+BB1451+BD1451+BF1451+BH1451+BJ1451+BL1451+BN1451+BP1451+BR1451+BT1451+BV1451+BX1451+BZ1451+CB1451+CD1451+CF1451+CH1451+CJ1451+CL1451+CN1451+CP1451+CR1451+CT1451</f>
        <v>0</v>
      </c>
      <c r="CV1451" s="76"/>
      <c r="CW1451" s="76">
        <f>+CV1451*1100</f>
        <v>0</v>
      </c>
      <c r="CX1451" s="76"/>
      <c r="CY1451" s="76">
        <f>+CX1451*106250</f>
        <v>0</v>
      </c>
      <c r="CZ1451" s="76"/>
      <c r="DA1451" s="76">
        <f>+CZ1451*34500</f>
        <v>0</v>
      </c>
      <c r="DB1451" s="76"/>
      <c r="DC1451" s="76">
        <f>+DB1451*25000</f>
        <v>0</v>
      </c>
      <c r="DD1451" s="219"/>
      <c r="DE1451" s="219"/>
      <c r="DF1451" s="166"/>
      <c r="DG1451" s="116"/>
      <c r="DH1451" s="117"/>
      <c r="DI1451" s="24"/>
      <c r="DJ1451" s="24"/>
      <c r="DK1451" s="24"/>
      <c r="DL1451" s="24"/>
      <c r="DM1451" s="24"/>
      <c r="DN1451" s="24"/>
      <c r="DO1451" s="24"/>
      <c r="DP1451" s="24"/>
      <c r="DQ1451" s="24"/>
      <c r="DR1451" s="24"/>
      <c r="DS1451" s="24"/>
      <c r="DT1451" s="24"/>
      <c r="DU1451" s="24"/>
    </row>
    <row r="1452" spans="1:125" s="8" customFormat="1" ht="48" x14ac:dyDescent="0.2">
      <c r="A1452" s="77">
        <v>41376</v>
      </c>
      <c r="B1452" s="208" t="s">
        <v>2852</v>
      </c>
      <c r="C1452" s="227" t="s">
        <v>1327</v>
      </c>
      <c r="D1452" s="227" t="s">
        <v>2859</v>
      </c>
      <c r="E1452" s="75" t="str">
        <f>VLOOKUP(B1452&amp;C1452,Divipola!$C$2:$F$1138,4,FALSE)</f>
        <v>27001</v>
      </c>
      <c r="F1452" s="87"/>
      <c r="G1452" s="87"/>
      <c r="H1452" s="87"/>
      <c r="I1452" s="87">
        <v>7</v>
      </c>
      <c r="J1452" s="87">
        <v>1</v>
      </c>
      <c r="K1452" s="87"/>
      <c r="L1452" s="87">
        <v>1</v>
      </c>
      <c r="M1452" s="87"/>
      <c r="N1452" s="87"/>
      <c r="O1452" s="87"/>
      <c r="P1452" s="87"/>
      <c r="Q1452" s="87"/>
      <c r="R1452" s="87"/>
      <c r="S1452" s="87"/>
      <c r="T1452" s="87"/>
      <c r="U1452" s="88"/>
      <c r="V1452" s="89"/>
      <c r="W1452" s="96">
        <v>0</v>
      </c>
      <c r="X1452" s="71">
        <f>CU1452</f>
        <v>0</v>
      </c>
      <c r="Y1452" s="71">
        <f>CY1452</f>
        <v>0</v>
      </c>
      <c r="Z1452" s="71">
        <f>DA1452+DC1452+DE1452</f>
        <v>0</v>
      </c>
      <c r="AA1452" s="71">
        <f>CW1452</f>
        <v>0</v>
      </c>
      <c r="AB1452" s="71"/>
      <c r="AC1452" s="71">
        <v>0</v>
      </c>
      <c r="AD1452" s="71">
        <f>W1452+X1452+Y1452+Z1452+AA1452+AB1452+AC1452</f>
        <v>0</v>
      </c>
      <c r="AE1452" s="72">
        <v>0</v>
      </c>
      <c r="AF1452" s="5"/>
      <c r="AG1452" s="6"/>
      <c r="AH1452" s="27" t="s">
        <v>3392</v>
      </c>
      <c r="AI1452" s="44" t="s">
        <v>3393</v>
      </c>
      <c r="AJ1452" s="26"/>
      <c r="AK1452" s="5"/>
      <c r="AL1452" s="82" t="s">
        <v>4265</v>
      </c>
      <c r="AM1452" s="76"/>
      <c r="AN1452" s="76"/>
      <c r="AO1452" s="76"/>
      <c r="AP1452" s="76"/>
      <c r="AQ1452" s="76"/>
      <c r="AR1452" s="76"/>
      <c r="AS1452" s="76"/>
      <c r="AT1452" s="76"/>
      <c r="AU1452" s="76"/>
      <c r="AV1452" s="76"/>
      <c r="AW1452" s="76"/>
      <c r="AX1452" s="76">
        <f>+AW1452*600000</f>
        <v>0</v>
      </c>
      <c r="AY1452" s="76"/>
      <c r="AZ1452" s="76">
        <f>+AY1452*70000</f>
        <v>0</v>
      </c>
      <c r="BA1452" s="76"/>
      <c r="BB1452" s="76"/>
      <c r="BC1452" s="76"/>
      <c r="BD1452" s="76">
        <f>+BC1452*30000</f>
        <v>0</v>
      </c>
      <c r="BE1452" s="76"/>
      <c r="BF1452" s="76"/>
      <c r="BG1452" s="76"/>
      <c r="BH1452" s="76"/>
      <c r="BI1452" s="76"/>
      <c r="BJ1452" s="76"/>
      <c r="BK1452" s="76"/>
      <c r="BL1452" s="76">
        <f>+BK1452*31500</f>
        <v>0</v>
      </c>
      <c r="BM1452" s="76"/>
      <c r="BN1452" s="76"/>
      <c r="BO1452" s="76"/>
      <c r="BP1452" s="76"/>
      <c r="BQ1452" s="76"/>
      <c r="BR1452" s="76"/>
      <c r="BS1452" s="76"/>
      <c r="BT1452" s="76"/>
      <c r="BU1452" s="76"/>
      <c r="BV1452" s="76"/>
      <c r="BW1452" s="76"/>
      <c r="BX1452" s="76"/>
      <c r="BY1452" s="76"/>
      <c r="BZ1452" s="76"/>
      <c r="CA1452" s="76"/>
      <c r="CB1452" s="76"/>
      <c r="CC1452" s="76"/>
      <c r="CD1452" s="76"/>
      <c r="CE1452" s="76"/>
      <c r="CF1452" s="76">
        <f>+CE1452*28000</f>
        <v>0</v>
      </c>
      <c r="CG1452" s="76"/>
      <c r="CH1452" s="76">
        <f>+CG1452*22500</f>
        <v>0</v>
      </c>
      <c r="CI1452" s="76"/>
      <c r="CJ1452" s="76">
        <f>+CI1452*26000</f>
        <v>0</v>
      </c>
      <c r="CK1452" s="76"/>
      <c r="CL1452" s="76"/>
      <c r="CM1452" s="76"/>
      <c r="CN1452" s="76">
        <f>+CM1452*22000</f>
        <v>0</v>
      </c>
      <c r="CO1452" s="76"/>
      <c r="CP1452" s="76">
        <f>+CO1452*46000</f>
        <v>0</v>
      </c>
      <c r="CQ1452" s="76"/>
      <c r="CR1452" s="76">
        <f>+CQ1452*49000</f>
        <v>0</v>
      </c>
      <c r="CS1452" s="76"/>
      <c r="CT1452" s="76"/>
      <c r="CU1452" s="56">
        <f>AN1452+AP1452+AR1452+AT1452+AV1452+AX1452+AZ1452+BB1452+BD1452+BF1452+BH1452+BJ1452+BL1452+BN1452+BP1452+BR1452+BT1452+BV1452+BX1452+BZ1452+CB1452+CD1452+CF1452+CH1452+CJ1452+CL1452+CN1452+CP1452+CR1452+CT1452</f>
        <v>0</v>
      </c>
      <c r="CV1452" s="76"/>
      <c r="CW1452" s="76">
        <f>+CV1452*1100</f>
        <v>0</v>
      </c>
      <c r="CX1452" s="76"/>
      <c r="CY1452" s="76">
        <f>+CX1452*106250</f>
        <v>0</v>
      </c>
      <c r="CZ1452" s="76"/>
      <c r="DA1452" s="76">
        <f>+CZ1452*34500</f>
        <v>0</v>
      </c>
      <c r="DB1452" s="76"/>
      <c r="DC1452" s="76">
        <f>+DB1452*25000</f>
        <v>0</v>
      </c>
      <c r="DD1452" s="219"/>
      <c r="DE1452" s="219"/>
      <c r="DF1452" s="166"/>
      <c r="DG1452" s="116"/>
      <c r="DH1452" s="117"/>
      <c r="DI1452" s="24"/>
      <c r="DJ1452" s="24"/>
      <c r="DK1452" s="24"/>
      <c r="DL1452" s="24"/>
      <c r="DM1452" s="24"/>
      <c r="DN1452" s="24"/>
      <c r="DO1452" s="24"/>
      <c r="DP1452" s="24"/>
      <c r="DQ1452" s="24"/>
      <c r="DR1452" s="24"/>
      <c r="DS1452" s="24"/>
      <c r="DT1452" s="24"/>
      <c r="DU1452" s="24"/>
    </row>
    <row r="1453" spans="1:125" s="8" customFormat="1" ht="48" x14ac:dyDescent="0.2">
      <c r="A1453" s="77">
        <v>41376</v>
      </c>
      <c r="B1453" s="78" t="s">
        <v>2661</v>
      </c>
      <c r="C1453" s="75" t="s">
        <v>517</v>
      </c>
      <c r="D1453" s="75" t="s">
        <v>2882</v>
      </c>
      <c r="E1453" s="75" t="str">
        <f>VLOOKUP(B1453&amp;C1453,Divipola!$C$2:$F$1138,4,FALSE)</f>
        <v>41298</v>
      </c>
      <c r="F1453" s="87"/>
      <c r="G1453" s="87"/>
      <c r="H1453" s="87"/>
      <c r="I1453" s="87">
        <v>50</v>
      </c>
      <c r="J1453" s="87">
        <v>10</v>
      </c>
      <c r="K1453" s="87"/>
      <c r="L1453" s="87">
        <v>10</v>
      </c>
      <c r="M1453" s="87"/>
      <c r="N1453" s="87"/>
      <c r="O1453" s="87"/>
      <c r="P1453" s="87"/>
      <c r="Q1453" s="87"/>
      <c r="R1453" s="87"/>
      <c r="S1453" s="87"/>
      <c r="T1453" s="87"/>
      <c r="U1453" s="88"/>
      <c r="V1453" s="89"/>
      <c r="W1453" s="96">
        <v>0</v>
      </c>
      <c r="X1453" s="71">
        <f>CU1453</f>
        <v>0</v>
      </c>
      <c r="Y1453" s="71">
        <f>CY1453</f>
        <v>0</v>
      </c>
      <c r="Z1453" s="71">
        <f>DA1453+DC1453+DE1453</f>
        <v>0</v>
      </c>
      <c r="AA1453" s="71">
        <f>CW1453</f>
        <v>0</v>
      </c>
      <c r="AB1453" s="71"/>
      <c r="AC1453" s="71">
        <v>0</v>
      </c>
      <c r="AD1453" s="71">
        <f>W1453+X1453+Y1453+Z1453+AA1453+AB1453+AC1453</f>
        <v>0</v>
      </c>
      <c r="AE1453" s="72">
        <v>0</v>
      </c>
      <c r="AF1453" s="5"/>
      <c r="AG1453" s="6"/>
      <c r="AH1453" s="27" t="s">
        <v>3392</v>
      </c>
      <c r="AI1453" s="44" t="s">
        <v>3393</v>
      </c>
      <c r="AJ1453" s="26"/>
      <c r="AK1453" s="5"/>
      <c r="AL1453" s="82" t="s">
        <v>4270</v>
      </c>
      <c r="AM1453" s="76"/>
      <c r="AN1453" s="76"/>
      <c r="AO1453" s="76"/>
      <c r="AP1453" s="76"/>
      <c r="AQ1453" s="76"/>
      <c r="AR1453" s="76"/>
      <c r="AS1453" s="76"/>
      <c r="AT1453" s="76"/>
      <c r="AU1453" s="76"/>
      <c r="AV1453" s="76"/>
      <c r="AW1453" s="76"/>
      <c r="AX1453" s="76">
        <f>+AW1453*600000</f>
        <v>0</v>
      </c>
      <c r="AY1453" s="76"/>
      <c r="AZ1453" s="76">
        <f>+AY1453*70000</f>
        <v>0</v>
      </c>
      <c r="BA1453" s="76"/>
      <c r="BB1453" s="76"/>
      <c r="BC1453" s="76"/>
      <c r="BD1453" s="76">
        <f>+BC1453*30000</f>
        <v>0</v>
      </c>
      <c r="BE1453" s="76"/>
      <c r="BF1453" s="76"/>
      <c r="BG1453" s="76"/>
      <c r="BH1453" s="76"/>
      <c r="BI1453" s="76"/>
      <c r="BJ1453" s="76"/>
      <c r="BK1453" s="76"/>
      <c r="BL1453" s="76">
        <f>+BK1453*31500</f>
        <v>0</v>
      </c>
      <c r="BM1453" s="76"/>
      <c r="BN1453" s="76"/>
      <c r="BO1453" s="76"/>
      <c r="BP1453" s="76"/>
      <c r="BQ1453" s="76"/>
      <c r="BR1453" s="76"/>
      <c r="BS1453" s="76"/>
      <c r="BT1453" s="76"/>
      <c r="BU1453" s="76"/>
      <c r="BV1453" s="76"/>
      <c r="BW1453" s="76"/>
      <c r="BX1453" s="76"/>
      <c r="BY1453" s="76"/>
      <c r="BZ1453" s="76"/>
      <c r="CA1453" s="76"/>
      <c r="CB1453" s="76"/>
      <c r="CC1453" s="76"/>
      <c r="CD1453" s="76"/>
      <c r="CE1453" s="76"/>
      <c r="CF1453" s="76">
        <f>+CE1453*28000</f>
        <v>0</v>
      </c>
      <c r="CG1453" s="76"/>
      <c r="CH1453" s="76">
        <f>+CG1453*22500</f>
        <v>0</v>
      </c>
      <c r="CI1453" s="76"/>
      <c r="CJ1453" s="76">
        <f>+CI1453*26000</f>
        <v>0</v>
      </c>
      <c r="CK1453" s="76"/>
      <c r="CL1453" s="76"/>
      <c r="CM1453" s="76"/>
      <c r="CN1453" s="76">
        <f>+CM1453*22000</f>
        <v>0</v>
      </c>
      <c r="CO1453" s="76"/>
      <c r="CP1453" s="76">
        <f>+CO1453*46000</f>
        <v>0</v>
      </c>
      <c r="CQ1453" s="76"/>
      <c r="CR1453" s="76">
        <f>+CQ1453*49000</f>
        <v>0</v>
      </c>
      <c r="CS1453" s="76"/>
      <c r="CT1453" s="76"/>
      <c r="CU1453" s="56">
        <f>AN1453+AP1453+AR1453+AT1453+AV1453+AX1453+AZ1453+BB1453+BD1453+BF1453+BH1453+BJ1453+BL1453+BN1453+BP1453+BR1453+BT1453+BV1453+BX1453+BZ1453+CB1453+CD1453+CF1453+CH1453+CJ1453+CL1453+CN1453+CP1453+CR1453+CT1453</f>
        <v>0</v>
      </c>
      <c r="CV1453" s="76"/>
      <c r="CW1453" s="76">
        <f>+CV1453*1100</f>
        <v>0</v>
      </c>
      <c r="CX1453" s="76"/>
      <c r="CY1453" s="76">
        <f>+CX1453*106250</f>
        <v>0</v>
      </c>
      <c r="CZ1453" s="76"/>
      <c r="DA1453" s="76">
        <f>+CZ1453*34500</f>
        <v>0</v>
      </c>
      <c r="DB1453" s="76"/>
      <c r="DC1453" s="76">
        <f>+DB1453*25000</f>
        <v>0</v>
      </c>
      <c r="DD1453" s="219"/>
      <c r="DE1453" s="219"/>
      <c r="DF1453" s="166"/>
      <c r="DG1453" s="116"/>
      <c r="DH1453" s="117"/>
      <c r="DI1453" s="24"/>
      <c r="DJ1453" s="24"/>
      <c r="DK1453" s="24"/>
      <c r="DL1453" s="24"/>
      <c r="DM1453" s="24"/>
      <c r="DN1453" s="24"/>
      <c r="DO1453" s="24"/>
      <c r="DP1453" s="24"/>
      <c r="DQ1453" s="24"/>
      <c r="DR1453" s="24"/>
      <c r="DS1453" s="24"/>
      <c r="DT1453" s="24"/>
      <c r="DU1453" s="24"/>
    </row>
    <row r="1454" spans="1:125" s="8" customFormat="1" ht="36" x14ac:dyDescent="0.2">
      <c r="A1454" s="77">
        <v>41376</v>
      </c>
      <c r="B1454" s="78" t="s">
        <v>2661</v>
      </c>
      <c r="C1454" s="227" t="s">
        <v>2</v>
      </c>
      <c r="D1454" s="81" t="s">
        <v>2846</v>
      </c>
      <c r="E1454" s="75" t="str">
        <f>VLOOKUP(B1454&amp;C1454,Divipola!$C$2:$F$1138,4,FALSE)</f>
        <v>41524</v>
      </c>
      <c r="F1454" s="87"/>
      <c r="G1454" s="87"/>
      <c r="H1454" s="87"/>
      <c r="I1454" s="87"/>
      <c r="J1454" s="87"/>
      <c r="K1454" s="87"/>
      <c r="L1454" s="87"/>
      <c r="M1454" s="87"/>
      <c r="N1454" s="87"/>
      <c r="O1454" s="87"/>
      <c r="P1454" s="87"/>
      <c r="Q1454" s="87"/>
      <c r="R1454" s="87"/>
      <c r="S1454" s="87"/>
      <c r="T1454" s="87"/>
      <c r="U1454" s="88"/>
      <c r="V1454" s="89"/>
      <c r="W1454" s="96">
        <v>0</v>
      </c>
      <c r="X1454" s="71">
        <f>CU1454</f>
        <v>0</v>
      </c>
      <c r="Y1454" s="71">
        <f>CY1454</f>
        <v>0</v>
      </c>
      <c r="Z1454" s="71">
        <f>DA1454+DC1454+DE1454</f>
        <v>0</v>
      </c>
      <c r="AA1454" s="71">
        <f>CW1454</f>
        <v>0</v>
      </c>
      <c r="AB1454" s="71"/>
      <c r="AC1454" s="71">
        <v>0</v>
      </c>
      <c r="AD1454" s="71">
        <f>W1454+X1454+Y1454+Z1454+AA1454+AB1454+AC1454</f>
        <v>0</v>
      </c>
      <c r="AE1454" s="72">
        <v>0</v>
      </c>
      <c r="AF1454" s="5"/>
      <c r="AG1454" s="6"/>
      <c r="AH1454" s="27" t="s">
        <v>3392</v>
      </c>
      <c r="AI1454" s="44" t="s">
        <v>3393</v>
      </c>
      <c r="AJ1454" s="26"/>
      <c r="AK1454" s="5"/>
      <c r="AL1454" s="82" t="s">
        <v>4271</v>
      </c>
      <c r="AM1454" s="76"/>
      <c r="AN1454" s="76"/>
      <c r="AO1454" s="76"/>
      <c r="AP1454" s="76"/>
      <c r="AQ1454" s="76"/>
      <c r="AR1454" s="76"/>
      <c r="AS1454" s="76"/>
      <c r="AT1454" s="76"/>
      <c r="AU1454" s="76"/>
      <c r="AV1454" s="76"/>
      <c r="AW1454" s="76"/>
      <c r="AX1454" s="76">
        <f>+AW1454*600000</f>
        <v>0</v>
      </c>
      <c r="AY1454" s="76"/>
      <c r="AZ1454" s="76">
        <f>+AY1454*70000</f>
        <v>0</v>
      </c>
      <c r="BA1454" s="76"/>
      <c r="BB1454" s="76"/>
      <c r="BC1454" s="76"/>
      <c r="BD1454" s="76">
        <f>+BC1454*30000</f>
        <v>0</v>
      </c>
      <c r="BE1454" s="76"/>
      <c r="BF1454" s="76"/>
      <c r="BG1454" s="76"/>
      <c r="BH1454" s="76"/>
      <c r="BI1454" s="76"/>
      <c r="BJ1454" s="76"/>
      <c r="BK1454" s="76"/>
      <c r="BL1454" s="76">
        <f>+BK1454*31500</f>
        <v>0</v>
      </c>
      <c r="BM1454" s="76"/>
      <c r="BN1454" s="76"/>
      <c r="BO1454" s="76"/>
      <c r="BP1454" s="76"/>
      <c r="BQ1454" s="76"/>
      <c r="BR1454" s="76"/>
      <c r="BS1454" s="76"/>
      <c r="BT1454" s="76"/>
      <c r="BU1454" s="76"/>
      <c r="BV1454" s="76"/>
      <c r="BW1454" s="76"/>
      <c r="BX1454" s="76"/>
      <c r="BY1454" s="76"/>
      <c r="BZ1454" s="76"/>
      <c r="CA1454" s="76"/>
      <c r="CB1454" s="76"/>
      <c r="CC1454" s="76"/>
      <c r="CD1454" s="76"/>
      <c r="CE1454" s="76"/>
      <c r="CF1454" s="76">
        <f>+CE1454*28000</f>
        <v>0</v>
      </c>
      <c r="CG1454" s="76"/>
      <c r="CH1454" s="76">
        <f>+CG1454*22500</f>
        <v>0</v>
      </c>
      <c r="CI1454" s="76"/>
      <c r="CJ1454" s="76">
        <f>+CI1454*26000</f>
        <v>0</v>
      </c>
      <c r="CK1454" s="76"/>
      <c r="CL1454" s="76"/>
      <c r="CM1454" s="76"/>
      <c r="CN1454" s="76">
        <f>+CM1454*22000</f>
        <v>0</v>
      </c>
      <c r="CO1454" s="76"/>
      <c r="CP1454" s="76">
        <f>+CO1454*46000</f>
        <v>0</v>
      </c>
      <c r="CQ1454" s="76"/>
      <c r="CR1454" s="76">
        <f>+CQ1454*49000</f>
        <v>0</v>
      </c>
      <c r="CS1454" s="76"/>
      <c r="CT1454" s="76"/>
      <c r="CU1454" s="56">
        <f>AN1454+AP1454+AR1454+AT1454+AV1454+AX1454+AZ1454+BB1454+BD1454+BF1454+BH1454+BJ1454+BL1454+BN1454+BP1454+BR1454+BT1454+BV1454+BX1454+BZ1454+CB1454+CD1454+CF1454+CH1454+CJ1454+CL1454+CN1454+CP1454+CR1454+CT1454</f>
        <v>0</v>
      </c>
      <c r="CV1454" s="76"/>
      <c r="CW1454" s="76">
        <f>+CV1454*1100</f>
        <v>0</v>
      </c>
      <c r="CX1454" s="76"/>
      <c r="CY1454" s="76">
        <f>+CX1454*106250</f>
        <v>0</v>
      </c>
      <c r="CZ1454" s="76"/>
      <c r="DA1454" s="76">
        <f>+CZ1454*34500</f>
        <v>0</v>
      </c>
      <c r="DB1454" s="76"/>
      <c r="DC1454" s="76">
        <f>+DB1454*25000</f>
        <v>0</v>
      </c>
      <c r="DD1454" s="219"/>
      <c r="DE1454" s="219"/>
      <c r="DF1454" s="166"/>
      <c r="DG1454" s="116"/>
      <c r="DH1454" s="117"/>
      <c r="DI1454" s="24"/>
      <c r="DJ1454" s="24"/>
      <c r="DK1454" s="24"/>
      <c r="DL1454" s="24"/>
      <c r="DM1454" s="24"/>
      <c r="DN1454" s="24"/>
      <c r="DO1454" s="24"/>
      <c r="DP1454" s="24"/>
      <c r="DQ1454" s="24"/>
      <c r="DR1454" s="24"/>
      <c r="DS1454" s="24"/>
      <c r="DT1454" s="24"/>
      <c r="DU1454" s="24"/>
    </row>
    <row r="1455" spans="1:125" s="8" customFormat="1" ht="36" x14ac:dyDescent="0.2">
      <c r="A1455" s="77">
        <v>41376</v>
      </c>
      <c r="B1455" s="78" t="s">
        <v>2661</v>
      </c>
      <c r="C1455" s="227" t="s">
        <v>1369</v>
      </c>
      <c r="D1455" s="81" t="s">
        <v>2846</v>
      </c>
      <c r="E1455" s="75" t="str">
        <f>VLOOKUP(B1455&amp;C1455,Divipola!$C$2:$F$1138,4,FALSE)</f>
        <v>41797</v>
      </c>
      <c r="F1455" s="87"/>
      <c r="G1455" s="87"/>
      <c r="H1455" s="87"/>
      <c r="I1455" s="87"/>
      <c r="J1455" s="87"/>
      <c r="K1455" s="87"/>
      <c r="L1455" s="87"/>
      <c r="M1455" s="87"/>
      <c r="N1455" s="87"/>
      <c r="O1455" s="87"/>
      <c r="P1455" s="87"/>
      <c r="Q1455" s="87"/>
      <c r="R1455" s="87"/>
      <c r="S1455" s="87"/>
      <c r="T1455" s="87"/>
      <c r="U1455" s="88"/>
      <c r="V1455" s="89"/>
      <c r="W1455" s="96">
        <v>0</v>
      </c>
      <c r="X1455" s="71">
        <f>CU1455</f>
        <v>0</v>
      </c>
      <c r="Y1455" s="71">
        <f>CY1455</f>
        <v>0</v>
      </c>
      <c r="Z1455" s="71">
        <f>DA1455+DC1455+DE1455</f>
        <v>0</v>
      </c>
      <c r="AA1455" s="71">
        <f>CW1455</f>
        <v>0</v>
      </c>
      <c r="AB1455" s="71"/>
      <c r="AC1455" s="71">
        <v>0</v>
      </c>
      <c r="AD1455" s="71">
        <f>W1455+X1455+Y1455+Z1455+AA1455+AB1455+AC1455</f>
        <v>0</v>
      </c>
      <c r="AE1455" s="72">
        <v>0</v>
      </c>
      <c r="AF1455" s="5"/>
      <c r="AG1455" s="6"/>
      <c r="AH1455" s="27" t="s">
        <v>3392</v>
      </c>
      <c r="AI1455" s="44" t="s">
        <v>3393</v>
      </c>
      <c r="AJ1455" s="26"/>
      <c r="AK1455" s="5"/>
      <c r="AL1455" s="82" t="s">
        <v>4272</v>
      </c>
      <c r="AM1455" s="76"/>
      <c r="AN1455" s="76"/>
      <c r="AO1455" s="76"/>
      <c r="AP1455" s="76"/>
      <c r="AQ1455" s="76"/>
      <c r="AR1455" s="76"/>
      <c r="AS1455" s="76"/>
      <c r="AT1455" s="76"/>
      <c r="AU1455" s="76"/>
      <c r="AV1455" s="76"/>
      <c r="AW1455" s="76"/>
      <c r="AX1455" s="76">
        <f>+AW1455*600000</f>
        <v>0</v>
      </c>
      <c r="AY1455" s="76"/>
      <c r="AZ1455" s="76">
        <f>+AY1455*70000</f>
        <v>0</v>
      </c>
      <c r="BA1455" s="76"/>
      <c r="BB1455" s="76"/>
      <c r="BC1455" s="76"/>
      <c r="BD1455" s="76">
        <f>+BC1455*30000</f>
        <v>0</v>
      </c>
      <c r="BE1455" s="76"/>
      <c r="BF1455" s="76"/>
      <c r="BG1455" s="76"/>
      <c r="BH1455" s="76"/>
      <c r="BI1455" s="76"/>
      <c r="BJ1455" s="76"/>
      <c r="BK1455" s="76"/>
      <c r="BL1455" s="76">
        <f>+BK1455*31500</f>
        <v>0</v>
      </c>
      <c r="BM1455" s="76"/>
      <c r="BN1455" s="76"/>
      <c r="BO1455" s="76"/>
      <c r="BP1455" s="76"/>
      <c r="BQ1455" s="76"/>
      <c r="BR1455" s="76"/>
      <c r="BS1455" s="76"/>
      <c r="BT1455" s="76"/>
      <c r="BU1455" s="76"/>
      <c r="BV1455" s="76"/>
      <c r="BW1455" s="76"/>
      <c r="BX1455" s="76"/>
      <c r="BY1455" s="76"/>
      <c r="BZ1455" s="76"/>
      <c r="CA1455" s="76"/>
      <c r="CB1455" s="76"/>
      <c r="CC1455" s="76"/>
      <c r="CD1455" s="76"/>
      <c r="CE1455" s="76"/>
      <c r="CF1455" s="76">
        <f>+CE1455*28000</f>
        <v>0</v>
      </c>
      <c r="CG1455" s="76"/>
      <c r="CH1455" s="76">
        <f>+CG1455*22500</f>
        <v>0</v>
      </c>
      <c r="CI1455" s="76"/>
      <c r="CJ1455" s="76">
        <f>+CI1455*26000</f>
        <v>0</v>
      </c>
      <c r="CK1455" s="76"/>
      <c r="CL1455" s="76"/>
      <c r="CM1455" s="76"/>
      <c r="CN1455" s="76">
        <f>+CM1455*22000</f>
        <v>0</v>
      </c>
      <c r="CO1455" s="76"/>
      <c r="CP1455" s="76">
        <f>+CO1455*46000</f>
        <v>0</v>
      </c>
      <c r="CQ1455" s="76"/>
      <c r="CR1455" s="76">
        <f>+CQ1455*49000</f>
        <v>0</v>
      </c>
      <c r="CS1455" s="76"/>
      <c r="CT1455" s="76"/>
      <c r="CU1455" s="56">
        <f>AN1455+AP1455+AR1455+AT1455+AV1455+AX1455+AZ1455+BB1455+BD1455+BF1455+BH1455+BJ1455+BL1455+BN1455+BP1455+BR1455+BT1455+BV1455+BX1455+BZ1455+CB1455+CD1455+CF1455+CH1455+CJ1455+CL1455+CN1455+CP1455+CR1455+CT1455</f>
        <v>0</v>
      </c>
      <c r="CV1455" s="76"/>
      <c r="CW1455" s="76">
        <f>+CV1455*1100</f>
        <v>0</v>
      </c>
      <c r="CX1455" s="76"/>
      <c r="CY1455" s="76">
        <f>+CX1455*106250</f>
        <v>0</v>
      </c>
      <c r="CZ1455" s="76"/>
      <c r="DA1455" s="76">
        <f>+CZ1455*34500</f>
        <v>0</v>
      </c>
      <c r="DB1455" s="76"/>
      <c r="DC1455" s="76">
        <f>+DB1455*25000</f>
        <v>0</v>
      </c>
      <c r="DD1455" s="219"/>
      <c r="DE1455" s="219"/>
      <c r="DF1455" s="166"/>
      <c r="DG1455" s="116"/>
      <c r="DH1455" s="117"/>
      <c r="DI1455" s="24"/>
      <c r="DJ1455" s="24"/>
      <c r="DK1455" s="24"/>
      <c r="DL1455" s="24"/>
      <c r="DM1455" s="24"/>
      <c r="DN1455" s="24"/>
      <c r="DO1455" s="24"/>
      <c r="DP1455" s="24"/>
      <c r="DQ1455" s="24"/>
      <c r="DR1455" s="24"/>
      <c r="DS1455" s="24"/>
      <c r="DT1455" s="24"/>
      <c r="DU1455" s="24"/>
    </row>
    <row r="1456" spans="1:125" s="8" customFormat="1" ht="48" x14ac:dyDescent="0.2">
      <c r="A1456" s="77">
        <v>41376</v>
      </c>
      <c r="B1456" s="352" t="s">
        <v>2860</v>
      </c>
      <c r="C1456" s="354" t="s">
        <v>2776</v>
      </c>
      <c r="D1456" s="354" t="s">
        <v>3017</v>
      </c>
      <c r="E1456" s="75" t="str">
        <f>VLOOKUP(B1456&amp;C1456,Divipola!$C$2:$F$1138,4,FALSE)</f>
        <v>63001</v>
      </c>
      <c r="F1456" s="87"/>
      <c r="G1456" s="87"/>
      <c r="H1456" s="87"/>
      <c r="I1456" s="87">
        <v>5</v>
      </c>
      <c r="J1456" s="87">
        <v>1</v>
      </c>
      <c r="K1456" s="87"/>
      <c r="L1456" s="87">
        <v>1</v>
      </c>
      <c r="M1456" s="87"/>
      <c r="N1456" s="87"/>
      <c r="O1456" s="87"/>
      <c r="P1456" s="87"/>
      <c r="Q1456" s="87"/>
      <c r="R1456" s="87"/>
      <c r="S1456" s="87"/>
      <c r="T1456" s="87"/>
      <c r="U1456" s="88"/>
      <c r="V1456" s="89"/>
      <c r="W1456" s="96">
        <v>0</v>
      </c>
      <c r="X1456" s="71">
        <f>CU1456</f>
        <v>0</v>
      </c>
      <c r="Y1456" s="71">
        <f>CY1456</f>
        <v>0</v>
      </c>
      <c r="Z1456" s="71">
        <f>DA1456+DC1456+DE1456</f>
        <v>0</v>
      </c>
      <c r="AA1456" s="71">
        <f>CW1456</f>
        <v>0</v>
      </c>
      <c r="AB1456" s="71"/>
      <c r="AC1456" s="71">
        <v>0</v>
      </c>
      <c r="AD1456" s="71">
        <f>W1456+X1456+Y1456+Z1456+AA1456+AB1456+AC1456</f>
        <v>0</v>
      </c>
      <c r="AE1456" s="72">
        <v>0</v>
      </c>
      <c r="AF1456" s="5"/>
      <c r="AG1456" s="6"/>
      <c r="AH1456" s="27" t="s">
        <v>3392</v>
      </c>
      <c r="AI1456" s="44" t="s">
        <v>3393</v>
      </c>
      <c r="AJ1456" s="26"/>
      <c r="AK1456" s="5"/>
      <c r="AL1456" s="82" t="s">
        <v>4273</v>
      </c>
      <c r="AM1456" s="76"/>
      <c r="AN1456" s="76"/>
      <c r="AO1456" s="76"/>
      <c r="AP1456" s="76"/>
      <c r="AQ1456" s="76"/>
      <c r="AR1456" s="76"/>
      <c r="AS1456" s="76"/>
      <c r="AT1456" s="76"/>
      <c r="AU1456" s="76"/>
      <c r="AV1456" s="76"/>
      <c r="AW1456" s="76"/>
      <c r="AX1456" s="76">
        <f>+AW1456*600000</f>
        <v>0</v>
      </c>
      <c r="AY1456" s="76"/>
      <c r="AZ1456" s="76">
        <f>+AY1456*70000</f>
        <v>0</v>
      </c>
      <c r="BA1456" s="76"/>
      <c r="BB1456" s="76"/>
      <c r="BC1456" s="76"/>
      <c r="BD1456" s="76">
        <f>+BC1456*30000</f>
        <v>0</v>
      </c>
      <c r="BE1456" s="76"/>
      <c r="BF1456" s="76"/>
      <c r="BG1456" s="76"/>
      <c r="BH1456" s="76"/>
      <c r="BI1456" s="76"/>
      <c r="BJ1456" s="76"/>
      <c r="BK1456" s="76"/>
      <c r="BL1456" s="76">
        <f>+BK1456*31500</f>
        <v>0</v>
      </c>
      <c r="BM1456" s="76"/>
      <c r="BN1456" s="76"/>
      <c r="BO1456" s="76"/>
      <c r="BP1456" s="76"/>
      <c r="BQ1456" s="76"/>
      <c r="BR1456" s="76"/>
      <c r="BS1456" s="76"/>
      <c r="BT1456" s="76"/>
      <c r="BU1456" s="76"/>
      <c r="BV1456" s="76"/>
      <c r="BW1456" s="76"/>
      <c r="BX1456" s="76"/>
      <c r="BY1456" s="76"/>
      <c r="BZ1456" s="76"/>
      <c r="CA1456" s="76"/>
      <c r="CB1456" s="76"/>
      <c r="CC1456" s="76"/>
      <c r="CD1456" s="76"/>
      <c r="CE1456" s="76"/>
      <c r="CF1456" s="76">
        <f>+CE1456*28000</f>
        <v>0</v>
      </c>
      <c r="CG1456" s="76"/>
      <c r="CH1456" s="76">
        <f>+CG1456*22500</f>
        <v>0</v>
      </c>
      <c r="CI1456" s="76"/>
      <c r="CJ1456" s="76">
        <f>+CI1456*26000</f>
        <v>0</v>
      </c>
      <c r="CK1456" s="76"/>
      <c r="CL1456" s="76"/>
      <c r="CM1456" s="76"/>
      <c r="CN1456" s="76">
        <f>+CM1456*22000</f>
        <v>0</v>
      </c>
      <c r="CO1456" s="76"/>
      <c r="CP1456" s="76">
        <f>+CO1456*46000</f>
        <v>0</v>
      </c>
      <c r="CQ1456" s="76"/>
      <c r="CR1456" s="76">
        <f>+CQ1456*49000</f>
        <v>0</v>
      </c>
      <c r="CS1456" s="76"/>
      <c r="CT1456" s="76"/>
      <c r="CU1456" s="56">
        <f>AN1456+AP1456+AR1456+AT1456+AV1456+AX1456+AZ1456+BB1456+BD1456+BF1456+BH1456+BJ1456+BL1456+BN1456+BP1456+BR1456+BT1456+BV1456+BX1456+BZ1456+CB1456+CD1456+CF1456+CH1456+CJ1456+CL1456+CN1456+CP1456+CR1456+CT1456</f>
        <v>0</v>
      </c>
      <c r="CV1456" s="76"/>
      <c r="CW1456" s="76">
        <f>+CV1456*1100</f>
        <v>0</v>
      </c>
      <c r="CX1456" s="76"/>
      <c r="CY1456" s="76">
        <f>+CX1456*106250</f>
        <v>0</v>
      </c>
      <c r="CZ1456" s="76"/>
      <c r="DA1456" s="76">
        <f>+CZ1456*34500</f>
        <v>0</v>
      </c>
      <c r="DB1456" s="76"/>
      <c r="DC1456" s="76">
        <f>+DB1456*25000</f>
        <v>0</v>
      </c>
      <c r="DD1456" s="219"/>
      <c r="DE1456" s="219"/>
      <c r="DF1456" s="166"/>
      <c r="DG1456" s="116"/>
      <c r="DH1456" s="117"/>
      <c r="DI1456" s="24"/>
      <c r="DJ1456" s="24"/>
      <c r="DK1456" s="24"/>
      <c r="DL1456" s="24"/>
      <c r="DM1456" s="24"/>
      <c r="DN1456" s="24"/>
      <c r="DO1456" s="24"/>
      <c r="DP1456" s="24"/>
      <c r="DQ1456" s="24"/>
      <c r="DR1456" s="24"/>
      <c r="DS1456" s="24"/>
      <c r="DT1456" s="24"/>
      <c r="DU1456" s="24"/>
    </row>
    <row r="1457" spans="1:125" s="8" customFormat="1" ht="144" x14ac:dyDescent="0.2">
      <c r="A1457" s="226">
        <v>41376</v>
      </c>
      <c r="B1457" s="225" t="s">
        <v>2860</v>
      </c>
      <c r="C1457" s="227" t="s">
        <v>2078</v>
      </c>
      <c r="D1457" s="227" t="s">
        <v>2882</v>
      </c>
      <c r="E1457" s="75" t="str">
        <f>VLOOKUP(B1457&amp;C1457,Divipola!$C$2:$F$1138,4,FALSE)</f>
        <v>63190</v>
      </c>
      <c r="F1457" s="87"/>
      <c r="G1457" s="87"/>
      <c r="H1457" s="87"/>
      <c r="I1457" s="87">
        <v>153</v>
      </c>
      <c r="J1457" s="87">
        <v>41</v>
      </c>
      <c r="K1457" s="87"/>
      <c r="L1457" s="87">
        <v>41</v>
      </c>
      <c r="M1457" s="87"/>
      <c r="N1457" s="87"/>
      <c r="O1457" s="87"/>
      <c r="P1457" s="87"/>
      <c r="Q1457" s="87"/>
      <c r="R1457" s="87">
        <v>2</v>
      </c>
      <c r="S1457" s="87"/>
      <c r="T1457" s="87"/>
      <c r="U1457" s="88"/>
      <c r="V1457" s="89"/>
      <c r="W1457" s="96">
        <v>0</v>
      </c>
      <c r="X1457" s="71">
        <f>CU1457</f>
        <v>0</v>
      </c>
      <c r="Y1457" s="71">
        <f>CY1457</f>
        <v>0</v>
      </c>
      <c r="Z1457" s="71">
        <f>DA1457+DC1457+DE1457</f>
        <v>0</v>
      </c>
      <c r="AA1457" s="71">
        <f>CW1457</f>
        <v>0</v>
      </c>
      <c r="AB1457" s="71"/>
      <c r="AC1457" s="71">
        <v>0</v>
      </c>
      <c r="AD1457" s="71">
        <f>W1457+X1457+Y1457+Z1457+AA1457+AB1457+AC1457</f>
        <v>0</v>
      </c>
      <c r="AE1457" s="72">
        <v>0</v>
      </c>
      <c r="AF1457" s="5"/>
      <c r="AG1457" s="6"/>
      <c r="AH1457" s="27" t="s">
        <v>3392</v>
      </c>
      <c r="AI1457" s="44" t="s">
        <v>3393</v>
      </c>
      <c r="AJ1457" s="26"/>
      <c r="AK1457" s="5"/>
      <c r="AL1457" s="82" t="s">
        <v>4539</v>
      </c>
      <c r="AM1457" s="76"/>
      <c r="AN1457" s="76"/>
      <c r="AO1457" s="76"/>
      <c r="AP1457" s="76"/>
      <c r="AQ1457" s="76"/>
      <c r="AR1457" s="76"/>
      <c r="AS1457" s="76"/>
      <c r="AT1457" s="76"/>
      <c r="AU1457" s="76"/>
      <c r="AV1457" s="76"/>
      <c r="AW1457" s="76"/>
      <c r="AX1457" s="76">
        <f>+AW1457*600000</f>
        <v>0</v>
      </c>
      <c r="AY1457" s="76"/>
      <c r="AZ1457" s="76">
        <f>+AY1457*70000</f>
        <v>0</v>
      </c>
      <c r="BA1457" s="76"/>
      <c r="BB1457" s="76"/>
      <c r="BC1457" s="76"/>
      <c r="BD1457" s="76">
        <f>+BC1457*30000</f>
        <v>0</v>
      </c>
      <c r="BE1457" s="76"/>
      <c r="BF1457" s="76"/>
      <c r="BG1457" s="76"/>
      <c r="BH1457" s="76"/>
      <c r="BI1457" s="76"/>
      <c r="BJ1457" s="76"/>
      <c r="BK1457" s="76"/>
      <c r="BL1457" s="76">
        <f>+BK1457*31500</f>
        <v>0</v>
      </c>
      <c r="BM1457" s="76"/>
      <c r="BN1457" s="76"/>
      <c r="BO1457" s="76"/>
      <c r="BP1457" s="76"/>
      <c r="BQ1457" s="76"/>
      <c r="BR1457" s="76"/>
      <c r="BS1457" s="76"/>
      <c r="BT1457" s="76"/>
      <c r="BU1457" s="76"/>
      <c r="BV1457" s="76"/>
      <c r="BW1457" s="76"/>
      <c r="BX1457" s="76"/>
      <c r="BY1457" s="76"/>
      <c r="BZ1457" s="76"/>
      <c r="CA1457" s="76"/>
      <c r="CB1457" s="76"/>
      <c r="CC1457" s="76"/>
      <c r="CD1457" s="76"/>
      <c r="CE1457" s="76"/>
      <c r="CF1457" s="76">
        <f>+CE1457*28000</f>
        <v>0</v>
      </c>
      <c r="CG1457" s="76"/>
      <c r="CH1457" s="76">
        <f>+CG1457*22500</f>
        <v>0</v>
      </c>
      <c r="CI1457" s="76"/>
      <c r="CJ1457" s="76">
        <f>+CI1457*26000</f>
        <v>0</v>
      </c>
      <c r="CK1457" s="76"/>
      <c r="CL1457" s="76"/>
      <c r="CM1457" s="76"/>
      <c r="CN1457" s="76">
        <f>+CM1457*22000</f>
        <v>0</v>
      </c>
      <c r="CO1457" s="76"/>
      <c r="CP1457" s="76">
        <f>+CO1457*46000</f>
        <v>0</v>
      </c>
      <c r="CQ1457" s="76"/>
      <c r="CR1457" s="76">
        <f>+CQ1457*49000</f>
        <v>0</v>
      </c>
      <c r="CS1457" s="76"/>
      <c r="CT1457" s="76"/>
      <c r="CU1457" s="56">
        <f>AN1457+AP1457+AR1457+AT1457+AV1457+AX1457+AZ1457+BB1457+BD1457+BF1457+BH1457+BJ1457+BL1457+BN1457+BP1457+BR1457+BT1457+BV1457+BX1457+BZ1457+CB1457+CD1457+CF1457+CH1457+CJ1457+CL1457+CN1457+CP1457+CR1457+CT1457</f>
        <v>0</v>
      </c>
      <c r="CV1457" s="76"/>
      <c r="CW1457" s="76">
        <f>+CV1457*1100</f>
        <v>0</v>
      </c>
      <c r="CX1457" s="76"/>
      <c r="CY1457" s="76">
        <f>+CX1457*106250</f>
        <v>0</v>
      </c>
      <c r="CZ1457" s="76"/>
      <c r="DA1457" s="76">
        <f>+CZ1457*34500</f>
        <v>0</v>
      </c>
      <c r="DB1457" s="76"/>
      <c r="DC1457" s="76">
        <f>+DB1457*25000</f>
        <v>0</v>
      </c>
      <c r="DD1457" s="219"/>
      <c r="DE1457" s="219"/>
      <c r="DF1457" s="166"/>
      <c r="DG1457" s="116"/>
      <c r="DH1457" s="117"/>
      <c r="DI1457" s="24"/>
      <c r="DJ1457" s="24"/>
      <c r="DK1457" s="24"/>
      <c r="DL1457" s="24"/>
      <c r="DM1457" s="24"/>
      <c r="DN1457" s="24"/>
      <c r="DO1457" s="24"/>
      <c r="DP1457" s="24"/>
      <c r="DQ1457" s="24"/>
      <c r="DR1457" s="24"/>
      <c r="DS1457" s="24"/>
      <c r="DT1457" s="24"/>
      <c r="DU1457" s="24"/>
    </row>
    <row r="1458" spans="1:125" s="8" customFormat="1" ht="48" x14ac:dyDescent="0.2">
      <c r="A1458" s="226">
        <v>41376</v>
      </c>
      <c r="B1458" s="225" t="s">
        <v>2774</v>
      </c>
      <c r="C1458" s="227" t="s">
        <v>2106</v>
      </c>
      <c r="D1458" s="227" t="s">
        <v>2882</v>
      </c>
      <c r="E1458" s="75" t="str">
        <f>VLOOKUP(B1458&amp;C1458,Divipola!$C$2:$F$1138,4,FALSE)</f>
        <v>66400</v>
      </c>
      <c r="F1458" s="87"/>
      <c r="G1458" s="87"/>
      <c r="H1458" s="87"/>
      <c r="I1458" s="87">
        <v>1000</v>
      </c>
      <c r="J1458" s="87">
        <v>200</v>
      </c>
      <c r="K1458" s="87"/>
      <c r="L1458" s="87">
        <v>200</v>
      </c>
      <c r="M1458" s="87"/>
      <c r="N1458" s="87"/>
      <c r="O1458" s="87"/>
      <c r="P1458" s="87"/>
      <c r="Q1458" s="87"/>
      <c r="R1458" s="87"/>
      <c r="S1458" s="87"/>
      <c r="T1458" s="87"/>
      <c r="U1458" s="88"/>
      <c r="V1458" s="89"/>
      <c r="W1458" s="96">
        <v>0</v>
      </c>
      <c r="X1458" s="71">
        <f>CU1458</f>
        <v>17640050.399999999</v>
      </c>
      <c r="Y1458" s="71">
        <f>CY1458</f>
        <v>0</v>
      </c>
      <c r="Z1458" s="71">
        <f>DA1458+DC1458+DE1458</f>
        <v>94677804.920000002</v>
      </c>
      <c r="AA1458" s="71">
        <f>CW1458</f>
        <v>0</v>
      </c>
      <c r="AB1458" s="71"/>
      <c r="AC1458" s="71">
        <v>0</v>
      </c>
      <c r="AD1458" s="71">
        <f>W1458+X1458+Y1458+Z1458+AA1458+AB1458+AC1458</f>
        <v>112317855.31999999</v>
      </c>
      <c r="AE1458" s="72">
        <v>0</v>
      </c>
      <c r="AF1458" s="5"/>
      <c r="AG1458" s="6"/>
      <c r="AH1458" s="27" t="s">
        <v>3390</v>
      </c>
      <c r="AI1458" s="44" t="s">
        <v>3391</v>
      </c>
      <c r="AJ1458" s="26"/>
      <c r="AK1458" s="5"/>
      <c r="AL1458" s="82" t="s">
        <v>4285</v>
      </c>
      <c r="AM1458" s="76"/>
      <c r="AN1458" s="76"/>
      <c r="AO1458" s="76"/>
      <c r="AP1458" s="76"/>
      <c r="AQ1458" s="76"/>
      <c r="AR1458" s="76"/>
      <c r="AS1458" s="76"/>
      <c r="AT1458" s="76"/>
      <c r="AU1458" s="76"/>
      <c r="AV1458" s="76"/>
      <c r="AW1458" s="76"/>
      <c r="AX1458" s="76">
        <f>+AW1458*600000</f>
        <v>0</v>
      </c>
      <c r="AY1458" s="86">
        <v>252</v>
      </c>
      <c r="AZ1458" s="86">
        <f>+AY1458*70000.2</f>
        <v>17640050.399999999</v>
      </c>
      <c r="BA1458" s="76"/>
      <c r="BB1458" s="76"/>
      <c r="BC1458" s="76"/>
      <c r="BD1458" s="76">
        <f>+BC1458*30000</f>
        <v>0</v>
      </c>
      <c r="BE1458" s="76"/>
      <c r="BF1458" s="76"/>
      <c r="BG1458" s="76"/>
      <c r="BH1458" s="76"/>
      <c r="BI1458" s="76"/>
      <c r="BJ1458" s="76"/>
      <c r="BK1458" s="76"/>
      <c r="BL1458" s="76">
        <f>+BK1458*31500</f>
        <v>0</v>
      </c>
      <c r="BM1458" s="76"/>
      <c r="BN1458" s="76"/>
      <c r="BO1458" s="76"/>
      <c r="BP1458" s="76"/>
      <c r="BQ1458" s="76"/>
      <c r="BR1458" s="76"/>
      <c r="BS1458" s="76"/>
      <c r="BT1458" s="76"/>
      <c r="BU1458" s="76"/>
      <c r="BV1458" s="76"/>
      <c r="BW1458" s="76"/>
      <c r="BX1458" s="76"/>
      <c r="BY1458" s="76"/>
      <c r="BZ1458" s="76"/>
      <c r="CA1458" s="76"/>
      <c r="CB1458" s="76"/>
      <c r="CC1458" s="76"/>
      <c r="CD1458" s="76"/>
      <c r="CE1458" s="76"/>
      <c r="CF1458" s="76">
        <f>+CE1458*28000</f>
        <v>0</v>
      </c>
      <c r="CG1458" s="76"/>
      <c r="CH1458" s="76">
        <f>+CG1458*22500</f>
        <v>0</v>
      </c>
      <c r="CI1458" s="76"/>
      <c r="CJ1458" s="76">
        <f>+CI1458*26000</f>
        <v>0</v>
      </c>
      <c r="CK1458" s="76"/>
      <c r="CL1458" s="76"/>
      <c r="CM1458" s="76"/>
      <c r="CN1458" s="76">
        <f>+CM1458*22000</f>
        <v>0</v>
      </c>
      <c r="CO1458" s="76"/>
      <c r="CP1458" s="76">
        <f>+CO1458*46000</f>
        <v>0</v>
      </c>
      <c r="CQ1458" s="76"/>
      <c r="CR1458" s="76">
        <f>+CQ1458*49000</f>
        <v>0</v>
      </c>
      <c r="CS1458" s="76"/>
      <c r="CT1458" s="76"/>
      <c r="CU1458" s="56">
        <f>AN1458+AP1458+AR1458+AT1458+AV1458+AX1458+AZ1458+BB1458+BD1458+BF1458+BH1458+BJ1458+BL1458+BN1458+BP1458+BR1458+BT1458+BV1458+BX1458+BZ1458+CB1458+CD1458+CF1458+CH1458+CJ1458+CL1458+CN1458+CP1458+CR1458+CT1458</f>
        <v>17640050.399999999</v>
      </c>
      <c r="CV1458" s="76"/>
      <c r="CW1458" s="76">
        <f>+CV1458*1100</f>
        <v>0</v>
      </c>
      <c r="CX1458" s="76"/>
      <c r="CY1458" s="76">
        <f>+CX1458*106250</f>
        <v>0</v>
      </c>
      <c r="CZ1458" s="76"/>
      <c r="DA1458" s="76">
        <f>+CZ1458*34500</f>
        <v>0</v>
      </c>
      <c r="DB1458" s="211">
        <f>924+1450+1919+201+184</f>
        <v>4678</v>
      </c>
      <c r="DC1458" s="86">
        <f>924*31999.76+1450*30999.84+1919*2499.8+201*40000.08+184*39799.6</f>
        <v>94677804.920000002</v>
      </c>
      <c r="DD1458" s="219"/>
      <c r="DE1458" s="219"/>
      <c r="DF1458" s="166"/>
      <c r="DG1458" s="134" t="s">
        <v>5482</v>
      </c>
      <c r="DH1458" s="117"/>
      <c r="DI1458" s="24"/>
      <c r="DJ1458" s="24"/>
      <c r="DK1458" s="24"/>
      <c r="DL1458" s="24"/>
      <c r="DM1458" s="24"/>
      <c r="DN1458" s="24"/>
      <c r="DO1458" s="24"/>
      <c r="DP1458" s="24"/>
      <c r="DQ1458" s="24"/>
      <c r="DR1458" s="24"/>
      <c r="DS1458" s="24"/>
      <c r="DT1458" s="24"/>
      <c r="DU1458" s="24"/>
    </row>
    <row r="1459" spans="1:125" s="8" customFormat="1" ht="108" x14ac:dyDescent="0.2">
      <c r="A1459" s="77">
        <v>41376</v>
      </c>
      <c r="B1459" s="78" t="s">
        <v>2847</v>
      </c>
      <c r="C1459" s="75" t="s">
        <v>1794</v>
      </c>
      <c r="D1459" s="81" t="s">
        <v>2846</v>
      </c>
      <c r="E1459" s="75" t="str">
        <f>VLOOKUP(B1459&amp;C1459,Divipola!$C$2:$F$1138,4,FALSE)</f>
        <v>68895</v>
      </c>
      <c r="F1459" s="87"/>
      <c r="G1459" s="87"/>
      <c r="H1459" s="87"/>
      <c r="I1459" s="87"/>
      <c r="J1459" s="87"/>
      <c r="K1459" s="87"/>
      <c r="L1459" s="87"/>
      <c r="M1459" s="87"/>
      <c r="N1459" s="87"/>
      <c r="O1459" s="87"/>
      <c r="P1459" s="87"/>
      <c r="Q1459" s="87"/>
      <c r="R1459" s="87"/>
      <c r="S1459" s="87"/>
      <c r="T1459" s="87"/>
      <c r="U1459" s="88">
        <v>73</v>
      </c>
      <c r="V1459" s="89"/>
      <c r="W1459" s="96">
        <v>0</v>
      </c>
      <c r="X1459" s="71">
        <f>CU1459</f>
        <v>0</v>
      </c>
      <c r="Y1459" s="71">
        <f>CY1459</f>
        <v>0</v>
      </c>
      <c r="Z1459" s="71">
        <f>DA1459+DC1459+DE1459</f>
        <v>0</v>
      </c>
      <c r="AA1459" s="71">
        <f>CW1459</f>
        <v>0</v>
      </c>
      <c r="AB1459" s="71"/>
      <c r="AC1459" s="71">
        <v>0</v>
      </c>
      <c r="AD1459" s="71">
        <f>W1459+X1459+Y1459+Z1459+AA1459+AB1459+AC1459</f>
        <v>0</v>
      </c>
      <c r="AE1459" s="72">
        <v>0</v>
      </c>
      <c r="AF1459" s="5"/>
      <c r="AG1459" s="6"/>
      <c r="AH1459" s="27" t="s">
        <v>3392</v>
      </c>
      <c r="AI1459" s="44" t="s">
        <v>3393</v>
      </c>
      <c r="AJ1459" s="26"/>
      <c r="AK1459" s="5"/>
      <c r="AL1459" s="82" t="s">
        <v>4263</v>
      </c>
      <c r="AM1459" s="76"/>
      <c r="AN1459" s="76"/>
      <c r="AO1459" s="76"/>
      <c r="AP1459" s="76"/>
      <c r="AQ1459" s="76"/>
      <c r="AR1459" s="76"/>
      <c r="AS1459" s="76"/>
      <c r="AT1459" s="76"/>
      <c r="AU1459" s="76"/>
      <c r="AV1459" s="76"/>
      <c r="AW1459" s="76"/>
      <c r="AX1459" s="76">
        <f>+AW1459*600000</f>
        <v>0</v>
      </c>
      <c r="AY1459" s="76"/>
      <c r="AZ1459" s="76">
        <f>+AY1459*70000</f>
        <v>0</v>
      </c>
      <c r="BA1459" s="76"/>
      <c r="BB1459" s="76"/>
      <c r="BC1459" s="76"/>
      <c r="BD1459" s="76">
        <f>+BC1459*30000</f>
        <v>0</v>
      </c>
      <c r="BE1459" s="76"/>
      <c r="BF1459" s="76"/>
      <c r="BG1459" s="76"/>
      <c r="BH1459" s="76"/>
      <c r="BI1459" s="76"/>
      <c r="BJ1459" s="76"/>
      <c r="BK1459" s="76"/>
      <c r="BL1459" s="76">
        <f>+BK1459*31500</f>
        <v>0</v>
      </c>
      <c r="BM1459" s="76"/>
      <c r="BN1459" s="76"/>
      <c r="BO1459" s="76"/>
      <c r="BP1459" s="76"/>
      <c r="BQ1459" s="76"/>
      <c r="BR1459" s="76"/>
      <c r="BS1459" s="76"/>
      <c r="BT1459" s="76"/>
      <c r="BU1459" s="76"/>
      <c r="BV1459" s="76"/>
      <c r="BW1459" s="76"/>
      <c r="BX1459" s="76"/>
      <c r="BY1459" s="76"/>
      <c r="BZ1459" s="76"/>
      <c r="CA1459" s="76"/>
      <c r="CB1459" s="76"/>
      <c r="CC1459" s="76"/>
      <c r="CD1459" s="76"/>
      <c r="CE1459" s="76"/>
      <c r="CF1459" s="76">
        <f>+CE1459*28000</f>
        <v>0</v>
      </c>
      <c r="CG1459" s="76"/>
      <c r="CH1459" s="76">
        <f>+CG1459*22500</f>
        <v>0</v>
      </c>
      <c r="CI1459" s="76"/>
      <c r="CJ1459" s="76">
        <f>+CI1459*26000</f>
        <v>0</v>
      </c>
      <c r="CK1459" s="76"/>
      <c r="CL1459" s="76"/>
      <c r="CM1459" s="76"/>
      <c r="CN1459" s="76">
        <f>+CM1459*22000</f>
        <v>0</v>
      </c>
      <c r="CO1459" s="76"/>
      <c r="CP1459" s="76">
        <f>+CO1459*46000</f>
        <v>0</v>
      </c>
      <c r="CQ1459" s="76"/>
      <c r="CR1459" s="76">
        <f>+CQ1459*49000</f>
        <v>0</v>
      </c>
      <c r="CS1459" s="76"/>
      <c r="CT1459" s="76"/>
      <c r="CU1459" s="56">
        <f>AN1459+AP1459+AR1459+AT1459+AV1459+AX1459+AZ1459+BB1459+BD1459+BF1459+BH1459+BJ1459+BL1459+BN1459+BP1459+BR1459+BT1459+BV1459+BX1459+BZ1459+CB1459+CD1459+CF1459+CH1459+CJ1459+CL1459+CN1459+CP1459+CR1459+CT1459</f>
        <v>0</v>
      </c>
      <c r="CV1459" s="76"/>
      <c r="CW1459" s="76">
        <f>+CV1459*1100</f>
        <v>0</v>
      </c>
      <c r="CX1459" s="76"/>
      <c r="CY1459" s="76">
        <f>+CX1459*106250</f>
        <v>0</v>
      </c>
      <c r="CZ1459" s="76"/>
      <c r="DA1459" s="76">
        <f>+CZ1459*34500</f>
        <v>0</v>
      </c>
      <c r="DB1459" s="76"/>
      <c r="DC1459" s="76">
        <f>+DB1459*25000</f>
        <v>0</v>
      </c>
      <c r="DD1459" s="219"/>
      <c r="DE1459" s="219"/>
      <c r="DF1459" s="166"/>
      <c r="DG1459" s="116"/>
      <c r="DH1459" s="117"/>
      <c r="DI1459" s="24"/>
      <c r="DJ1459" s="24"/>
      <c r="DK1459" s="24"/>
      <c r="DL1459" s="24"/>
      <c r="DM1459" s="24"/>
      <c r="DN1459" s="24"/>
      <c r="DO1459" s="24"/>
      <c r="DP1459" s="24"/>
      <c r="DQ1459" s="24"/>
      <c r="DR1459" s="24"/>
      <c r="DS1459" s="24"/>
      <c r="DT1459" s="24"/>
      <c r="DU1459" s="24"/>
    </row>
    <row r="1460" spans="1:125" s="8" customFormat="1" ht="48" x14ac:dyDescent="0.2">
      <c r="A1460" s="77">
        <v>41376</v>
      </c>
      <c r="B1460" s="208" t="s">
        <v>2848</v>
      </c>
      <c r="C1460" s="227" t="s">
        <v>1891</v>
      </c>
      <c r="D1460" s="81" t="s">
        <v>2846</v>
      </c>
      <c r="E1460" s="75" t="str">
        <f>VLOOKUP(B1460&amp;C1460,Divipola!$C$2:$F$1138,4,FALSE)</f>
        <v>73461</v>
      </c>
      <c r="F1460" s="87"/>
      <c r="G1460" s="87"/>
      <c r="H1460" s="87"/>
      <c r="I1460" s="87"/>
      <c r="J1460" s="87"/>
      <c r="K1460" s="87"/>
      <c r="L1460" s="87"/>
      <c r="M1460" s="87"/>
      <c r="N1460" s="87"/>
      <c r="O1460" s="87"/>
      <c r="P1460" s="87"/>
      <c r="Q1460" s="87"/>
      <c r="R1460" s="87"/>
      <c r="S1460" s="87"/>
      <c r="T1460" s="87"/>
      <c r="U1460" s="88"/>
      <c r="V1460" s="89"/>
      <c r="W1460" s="96">
        <v>0</v>
      </c>
      <c r="X1460" s="71">
        <f>CU1460</f>
        <v>0</v>
      </c>
      <c r="Y1460" s="71">
        <f>CY1460</f>
        <v>0</v>
      </c>
      <c r="Z1460" s="71">
        <f>DA1460+DC1460+DE1460</f>
        <v>0</v>
      </c>
      <c r="AA1460" s="71">
        <f>CW1460</f>
        <v>0</v>
      </c>
      <c r="AB1460" s="71"/>
      <c r="AC1460" s="71">
        <v>0</v>
      </c>
      <c r="AD1460" s="71">
        <f>W1460+X1460+Y1460+Z1460+AA1460+AB1460+AC1460</f>
        <v>0</v>
      </c>
      <c r="AE1460" s="72">
        <v>0</v>
      </c>
      <c r="AF1460" s="5"/>
      <c r="AG1460" s="6"/>
      <c r="AH1460" s="27" t="s">
        <v>3392</v>
      </c>
      <c r="AI1460" s="44" t="s">
        <v>3393</v>
      </c>
      <c r="AJ1460" s="26"/>
      <c r="AK1460" s="5"/>
      <c r="AL1460" s="82" t="s">
        <v>4266</v>
      </c>
      <c r="AM1460" s="76"/>
      <c r="AN1460" s="76"/>
      <c r="AO1460" s="76"/>
      <c r="AP1460" s="76"/>
      <c r="AQ1460" s="76"/>
      <c r="AR1460" s="76"/>
      <c r="AS1460" s="76"/>
      <c r="AT1460" s="76"/>
      <c r="AU1460" s="76"/>
      <c r="AV1460" s="76"/>
      <c r="AW1460" s="76"/>
      <c r="AX1460" s="76">
        <f>+AW1460*600000</f>
        <v>0</v>
      </c>
      <c r="AY1460" s="76"/>
      <c r="AZ1460" s="76">
        <f>+AY1460*70000</f>
        <v>0</v>
      </c>
      <c r="BA1460" s="76"/>
      <c r="BB1460" s="76"/>
      <c r="BC1460" s="76"/>
      <c r="BD1460" s="76">
        <f>+BC1460*30000</f>
        <v>0</v>
      </c>
      <c r="BE1460" s="76"/>
      <c r="BF1460" s="76"/>
      <c r="BG1460" s="76"/>
      <c r="BH1460" s="76"/>
      <c r="BI1460" s="76"/>
      <c r="BJ1460" s="76"/>
      <c r="BK1460" s="76"/>
      <c r="BL1460" s="76">
        <f>+BK1460*31500</f>
        <v>0</v>
      </c>
      <c r="BM1460" s="76"/>
      <c r="BN1460" s="76"/>
      <c r="BO1460" s="76"/>
      <c r="BP1460" s="76"/>
      <c r="BQ1460" s="76"/>
      <c r="BR1460" s="76"/>
      <c r="BS1460" s="76"/>
      <c r="BT1460" s="76"/>
      <c r="BU1460" s="76"/>
      <c r="BV1460" s="76"/>
      <c r="BW1460" s="76"/>
      <c r="BX1460" s="76"/>
      <c r="BY1460" s="76"/>
      <c r="BZ1460" s="76"/>
      <c r="CA1460" s="76"/>
      <c r="CB1460" s="76"/>
      <c r="CC1460" s="76"/>
      <c r="CD1460" s="76"/>
      <c r="CE1460" s="76"/>
      <c r="CF1460" s="76">
        <f>+CE1460*28000</f>
        <v>0</v>
      </c>
      <c r="CG1460" s="76"/>
      <c r="CH1460" s="76">
        <f>+CG1460*22500</f>
        <v>0</v>
      </c>
      <c r="CI1460" s="76"/>
      <c r="CJ1460" s="76">
        <f>+CI1460*26000</f>
        <v>0</v>
      </c>
      <c r="CK1460" s="76"/>
      <c r="CL1460" s="76"/>
      <c r="CM1460" s="76"/>
      <c r="CN1460" s="76">
        <f>+CM1460*22000</f>
        <v>0</v>
      </c>
      <c r="CO1460" s="76"/>
      <c r="CP1460" s="76">
        <f>+CO1460*46000</f>
        <v>0</v>
      </c>
      <c r="CQ1460" s="76"/>
      <c r="CR1460" s="76">
        <f>+CQ1460*49000</f>
        <v>0</v>
      </c>
      <c r="CS1460" s="76"/>
      <c r="CT1460" s="76"/>
      <c r="CU1460" s="56">
        <f>AN1460+AP1460+AR1460+AT1460+AV1460+AX1460+AZ1460+BB1460+BD1460+BF1460+BH1460+BJ1460+BL1460+BN1460+BP1460+BR1460+BT1460+BV1460+BX1460+BZ1460+CB1460+CD1460+CF1460+CH1460+CJ1460+CL1460+CN1460+CP1460+CR1460+CT1460</f>
        <v>0</v>
      </c>
      <c r="CV1460" s="76"/>
      <c r="CW1460" s="76">
        <f>+CV1460*1100</f>
        <v>0</v>
      </c>
      <c r="CX1460" s="76"/>
      <c r="CY1460" s="76">
        <f>+CX1460*106250</f>
        <v>0</v>
      </c>
      <c r="CZ1460" s="76"/>
      <c r="DA1460" s="76">
        <f>+CZ1460*34500</f>
        <v>0</v>
      </c>
      <c r="DB1460" s="76"/>
      <c r="DC1460" s="76">
        <f>+DB1460*25000</f>
        <v>0</v>
      </c>
      <c r="DD1460" s="219"/>
      <c r="DE1460" s="219"/>
      <c r="DF1460" s="166"/>
      <c r="DG1460" s="116"/>
      <c r="DH1460" s="117"/>
      <c r="DI1460" s="24"/>
      <c r="DJ1460" s="24"/>
      <c r="DK1460" s="24"/>
      <c r="DL1460" s="24"/>
      <c r="DM1460" s="24"/>
      <c r="DN1460" s="24"/>
      <c r="DO1460" s="24"/>
      <c r="DP1460" s="24"/>
      <c r="DQ1460" s="24"/>
      <c r="DR1460" s="24"/>
      <c r="DS1460" s="24"/>
      <c r="DT1460" s="24"/>
      <c r="DU1460" s="24"/>
    </row>
    <row r="1461" spans="1:125" s="8" customFormat="1" ht="48" x14ac:dyDescent="0.2">
      <c r="A1461" s="353">
        <v>41377</v>
      </c>
      <c r="B1461" s="352" t="s">
        <v>2894</v>
      </c>
      <c r="C1461" s="354" t="s">
        <v>2702</v>
      </c>
      <c r="D1461" s="81" t="s">
        <v>2846</v>
      </c>
      <c r="E1461" s="75" t="str">
        <f>VLOOKUP(B1461&amp;C1461,Divipola!$C$2:$F$1138,4,FALSE)</f>
        <v>05088</v>
      </c>
      <c r="F1461" s="87"/>
      <c r="G1461" s="87"/>
      <c r="H1461" s="87"/>
      <c r="I1461" s="87"/>
      <c r="J1461" s="87"/>
      <c r="K1461" s="87"/>
      <c r="L1461" s="87"/>
      <c r="M1461" s="87"/>
      <c r="N1461" s="87"/>
      <c r="O1461" s="87"/>
      <c r="P1461" s="87"/>
      <c r="Q1461" s="87"/>
      <c r="R1461" s="87"/>
      <c r="S1461" s="87"/>
      <c r="T1461" s="87"/>
      <c r="U1461" s="88">
        <v>8</v>
      </c>
      <c r="V1461" s="89"/>
      <c r="W1461" s="96">
        <v>0</v>
      </c>
      <c r="X1461" s="71">
        <f>CU1461</f>
        <v>0</v>
      </c>
      <c r="Y1461" s="71">
        <f>CY1461</f>
        <v>0</v>
      </c>
      <c r="Z1461" s="71">
        <f>DA1461+DC1461+DE1461</f>
        <v>0</v>
      </c>
      <c r="AA1461" s="71">
        <f>CW1461</f>
        <v>0</v>
      </c>
      <c r="AB1461" s="71"/>
      <c r="AC1461" s="71">
        <v>0</v>
      </c>
      <c r="AD1461" s="71">
        <f>W1461+X1461+Y1461+Z1461+AA1461+AB1461+AC1461</f>
        <v>0</v>
      </c>
      <c r="AE1461" s="72">
        <v>0</v>
      </c>
      <c r="AF1461" s="5"/>
      <c r="AG1461" s="6"/>
      <c r="AH1461" s="27" t="s">
        <v>3392</v>
      </c>
      <c r="AI1461" s="44" t="s">
        <v>3393</v>
      </c>
      <c r="AJ1461" s="26"/>
      <c r="AK1461" s="5"/>
      <c r="AL1461" s="82" t="s">
        <v>4282</v>
      </c>
      <c r="AM1461" s="76"/>
      <c r="AN1461" s="76"/>
      <c r="AO1461" s="76"/>
      <c r="AP1461" s="76"/>
      <c r="AQ1461" s="76"/>
      <c r="AR1461" s="76"/>
      <c r="AS1461" s="76"/>
      <c r="AT1461" s="76"/>
      <c r="AU1461" s="76"/>
      <c r="AV1461" s="76"/>
      <c r="AW1461" s="76"/>
      <c r="AX1461" s="76">
        <f>+AW1461*600000</f>
        <v>0</v>
      </c>
      <c r="AY1461" s="76"/>
      <c r="AZ1461" s="76">
        <f>+AY1461*70000</f>
        <v>0</v>
      </c>
      <c r="BA1461" s="76"/>
      <c r="BB1461" s="76"/>
      <c r="BC1461" s="76"/>
      <c r="BD1461" s="76">
        <f>+BC1461*30000</f>
        <v>0</v>
      </c>
      <c r="BE1461" s="76"/>
      <c r="BF1461" s="76"/>
      <c r="BG1461" s="76"/>
      <c r="BH1461" s="76"/>
      <c r="BI1461" s="76"/>
      <c r="BJ1461" s="76"/>
      <c r="BK1461" s="76"/>
      <c r="BL1461" s="76">
        <f>+BK1461*31500</f>
        <v>0</v>
      </c>
      <c r="BM1461" s="76"/>
      <c r="BN1461" s="76"/>
      <c r="BO1461" s="76"/>
      <c r="BP1461" s="76"/>
      <c r="BQ1461" s="76"/>
      <c r="BR1461" s="76"/>
      <c r="BS1461" s="76"/>
      <c r="BT1461" s="76"/>
      <c r="BU1461" s="76"/>
      <c r="BV1461" s="76"/>
      <c r="BW1461" s="76"/>
      <c r="BX1461" s="76"/>
      <c r="BY1461" s="76"/>
      <c r="BZ1461" s="76"/>
      <c r="CA1461" s="76"/>
      <c r="CB1461" s="76"/>
      <c r="CC1461" s="76"/>
      <c r="CD1461" s="76"/>
      <c r="CE1461" s="76"/>
      <c r="CF1461" s="76">
        <f>+CE1461*28000</f>
        <v>0</v>
      </c>
      <c r="CG1461" s="76"/>
      <c r="CH1461" s="76">
        <f>+CG1461*22500</f>
        <v>0</v>
      </c>
      <c r="CI1461" s="76"/>
      <c r="CJ1461" s="76">
        <f>+CI1461*26000</f>
        <v>0</v>
      </c>
      <c r="CK1461" s="76"/>
      <c r="CL1461" s="76"/>
      <c r="CM1461" s="76"/>
      <c r="CN1461" s="76">
        <f>+CM1461*22000</f>
        <v>0</v>
      </c>
      <c r="CO1461" s="76"/>
      <c r="CP1461" s="76">
        <f>+CO1461*46000</f>
        <v>0</v>
      </c>
      <c r="CQ1461" s="76"/>
      <c r="CR1461" s="76">
        <f>+CQ1461*49000</f>
        <v>0</v>
      </c>
      <c r="CS1461" s="76"/>
      <c r="CT1461" s="76"/>
      <c r="CU1461" s="56">
        <f>AN1461+AP1461+AR1461+AT1461+AV1461+AX1461+AZ1461+BB1461+BD1461+BF1461+BH1461+BJ1461+BL1461+BN1461+BP1461+BR1461+BT1461+BV1461+BX1461+BZ1461+CB1461+CD1461+CF1461+CH1461+CJ1461+CL1461+CN1461+CP1461+CR1461+CT1461</f>
        <v>0</v>
      </c>
      <c r="CV1461" s="76"/>
      <c r="CW1461" s="76">
        <f>+CV1461*1100</f>
        <v>0</v>
      </c>
      <c r="CX1461" s="76"/>
      <c r="CY1461" s="76">
        <f>+CX1461*106250</f>
        <v>0</v>
      </c>
      <c r="CZ1461" s="76"/>
      <c r="DA1461" s="76">
        <f>+CZ1461*34500</f>
        <v>0</v>
      </c>
      <c r="DB1461" s="76"/>
      <c r="DC1461" s="76">
        <f>+DB1461*25000</f>
        <v>0</v>
      </c>
      <c r="DD1461" s="219"/>
      <c r="DE1461" s="219"/>
      <c r="DF1461" s="166"/>
      <c r="DG1461" s="116"/>
      <c r="DH1461" s="117"/>
      <c r="DI1461" s="24"/>
      <c r="DJ1461" s="24"/>
      <c r="DK1461" s="24"/>
      <c r="DL1461" s="24"/>
      <c r="DM1461" s="24"/>
      <c r="DN1461" s="24"/>
      <c r="DO1461" s="24"/>
      <c r="DP1461" s="24"/>
      <c r="DQ1461" s="24"/>
      <c r="DR1461" s="24"/>
      <c r="DS1461" s="24"/>
      <c r="DT1461" s="24"/>
      <c r="DU1461" s="24"/>
    </row>
    <row r="1462" spans="1:125" s="8" customFormat="1" ht="84" x14ac:dyDescent="0.2">
      <c r="A1462" s="226">
        <v>41377</v>
      </c>
      <c r="B1462" s="225" t="s">
        <v>2087</v>
      </c>
      <c r="C1462" s="227" t="s">
        <v>2052</v>
      </c>
      <c r="D1462" s="227" t="s">
        <v>2882</v>
      </c>
      <c r="E1462" s="75" t="str">
        <f>VLOOKUP(B1462&amp;C1462,Divipola!$C$2:$F$1138,4,FALSE)</f>
        <v>18592</v>
      </c>
      <c r="F1462" s="87"/>
      <c r="G1462" s="87"/>
      <c r="H1462" s="87"/>
      <c r="I1462" s="87">
        <v>321</v>
      </c>
      <c r="J1462" s="87">
        <v>90</v>
      </c>
      <c r="K1462" s="87"/>
      <c r="L1462" s="87">
        <v>106</v>
      </c>
      <c r="M1462" s="87"/>
      <c r="N1462" s="87"/>
      <c r="O1462" s="87"/>
      <c r="P1462" s="87"/>
      <c r="Q1462" s="87"/>
      <c r="R1462" s="87"/>
      <c r="S1462" s="87"/>
      <c r="T1462" s="87"/>
      <c r="U1462" s="88"/>
      <c r="V1462" s="89"/>
      <c r="W1462" s="96">
        <v>0</v>
      </c>
      <c r="X1462" s="71">
        <f>CU1462</f>
        <v>8550000</v>
      </c>
      <c r="Y1462" s="71">
        <f>CY1462</f>
        <v>9450000</v>
      </c>
      <c r="Z1462" s="71">
        <f>DA1462+DC1462+DE1462</f>
        <v>48470000</v>
      </c>
      <c r="AA1462" s="71">
        <f>CW1462</f>
        <v>0</v>
      </c>
      <c r="AB1462" s="71"/>
      <c r="AC1462" s="71">
        <v>0</v>
      </c>
      <c r="AD1462" s="71">
        <f>W1462+X1462+Y1462+Z1462+AA1462+AB1462+AC1462</f>
        <v>66470000</v>
      </c>
      <c r="AE1462" s="72">
        <v>0</v>
      </c>
      <c r="AF1462" s="5"/>
      <c r="AG1462" s="6"/>
      <c r="AH1462" s="27" t="s">
        <v>3390</v>
      </c>
      <c r="AI1462" s="44" t="s">
        <v>3391</v>
      </c>
      <c r="AJ1462" s="26"/>
      <c r="AK1462" s="5"/>
      <c r="AL1462" s="82" t="s">
        <v>4284</v>
      </c>
      <c r="AM1462" s="76"/>
      <c r="AN1462" s="76"/>
      <c r="AO1462" s="76"/>
      <c r="AP1462" s="76"/>
      <c r="AQ1462" s="76"/>
      <c r="AR1462" s="76"/>
      <c r="AS1462" s="76"/>
      <c r="AT1462" s="76"/>
      <c r="AU1462" s="76"/>
      <c r="AV1462" s="76"/>
      <c r="AW1462" s="76"/>
      <c r="AX1462" s="76">
        <f>+AW1462*600000</f>
        <v>0</v>
      </c>
      <c r="AY1462" s="76"/>
      <c r="AZ1462" s="76">
        <f>+AY1462*70000</f>
        <v>0</v>
      </c>
      <c r="BA1462" s="76"/>
      <c r="BB1462" s="76"/>
      <c r="BC1462" s="76"/>
      <c r="BD1462" s="76">
        <f>+BC1462*30000</f>
        <v>0</v>
      </c>
      <c r="BE1462" s="76"/>
      <c r="BF1462" s="76"/>
      <c r="BG1462" s="76"/>
      <c r="BH1462" s="76"/>
      <c r="BI1462" s="76"/>
      <c r="BJ1462" s="76"/>
      <c r="BK1462" s="76"/>
      <c r="BL1462" s="76">
        <f>+BK1462*31500</f>
        <v>0</v>
      </c>
      <c r="BM1462" s="76"/>
      <c r="BN1462" s="76"/>
      <c r="BO1462" s="76"/>
      <c r="BP1462" s="76"/>
      <c r="BQ1462" s="76"/>
      <c r="BR1462" s="76"/>
      <c r="BS1462" s="76"/>
      <c r="BT1462" s="76"/>
      <c r="BU1462" s="76"/>
      <c r="BV1462" s="76"/>
      <c r="BW1462" s="76"/>
      <c r="BX1462" s="76"/>
      <c r="BY1462" s="76"/>
      <c r="BZ1462" s="76"/>
      <c r="CA1462" s="76"/>
      <c r="CB1462" s="76"/>
      <c r="CC1462" s="76"/>
      <c r="CD1462" s="76"/>
      <c r="CE1462" s="76"/>
      <c r="CF1462" s="76">
        <f>+CE1462*28000</f>
        <v>0</v>
      </c>
      <c r="CG1462" s="76"/>
      <c r="CH1462" s="76">
        <f>+CG1462*22500</f>
        <v>0</v>
      </c>
      <c r="CI1462" s="76"/>
      <c r="CJ1462" s="76">
        <f>+CI1462*26000</f>
        <v>0</v>
      </c>
      <c r="CK1462" s="76"/>
      <c r="CL1462" s="76"/>
      <c r="CM1462" s="76"/>
      <c r="CN1462" s="76">
        <f>+CM1462*22000</f>
        <v>0</v>
      </c>
      <c r="CO1462" s="86">
        <v>90</v>
      </c>
      <c r="CP1462" s="86">
        <f>+CO1462*46000</f>
        <v>4140000</v>
      </c>
      <c r="CQ1462" s="86">
        <v>90</v>
      </c>
      <c r="CR1462" s="86">
        <f>+CQ1462*49000</f>
        <v>4410000</v>
      </c>
      <c r="CS1462" s="76"/>
      <c r="CT1462" s="76"/>
      <c r="CU1462" s="56">
        <f>AN1462+AP1462+AR1462+AT1462+AV1462+AX1462+AZ1462+BB1462+BD1462+BF1462+BH1462+BJ1462+BL1462+BN1462+BP1462+BR1462+BT1462+BV1462+BX1462+BZ1462+CB1462+CD1462+CF1462+CH1462+CJ1462+CL1462+CN1462+CP1462+CR1462+CT1462</f>
        <v>8550000</v>
      </c>
      <c r="CV1462" s="76"/>
      <c r="CW1462" s="76">
        <f>+CV1462*1100</f>
        <v>0</v>
      </c>
      <c r="CX1462" s="86">
        <v>90</v>
      </c>
      <c r="CY1462" s="86">
        <f>+CX1462*105000</f>
        <v>9450000</v>
      </c>
      <c r="CZ1462" s="76"/>
      <c r="DA1462" s="76">
        <f>+CZ1462*34500</f>
        <v>0</v>
      </c>
      <c r="DB1462" s="86">
        <v>1850</v>
      </c>
      <c r="DC1462" s="86">
        <f>+DB1462*25000+11100*200</f>
        <v>48470000</v>
      </c>
      <c r="DD1462" s="219"/>
      <c r="DE1462" s="219"/>
      <c r="DF1462" s="166"/>
      <c r="DG1462" s="134" t="s">
        <v>5912</v>
      </c>
      <c r="DH1462" s="117"/>
      <c r="DI1462" s="24"/>
      <c r="DJ1462" s="24"/>
      <c r="DK1462" s="24"/>
      <c r="DL1462" s="24"/>
      <c r="DM1462" s="24"/>
      <c r="DN1462" s="24"/>
      <c r="DO1462" s="24"/>
      <c r="DP1462" s="24"/>
      <c r="DQ1462" s="24"/>
      <c r="DR1462" s="24"/>
      <c r="DS1462" s="24"/>
      <c r="DT1462" s="24"/>
      <c r="DU1462" s="24"/>
    </row>
    <row r="1463" spans="1:125" s="8" customFormat="1" ht="60" x14ac:dyDescent="0.2">
      <c r="A1463" s="172">
        <v>41377</v>
      </c>
      <c r="B1463" s="173" t="s">
        <v>2847</v>
      </c>
      <c r="C1463" s="174" t="s">
        <v>2673</v>
      </c>
      <c r="D1463" s="81" t="s">
        <v>2846</v>
      </c>
      <c r="E1463" s="75" t="str">
        <f>VLOOKUP(B1463&amp;C1463,Divipola!$C$2:$F$1138,4,FALSE)</f>
        <v>68001</v>
      </c>
      <c r="F1463" s="87"/>
      <c r="G1463" s="87"/>
      <c r="H1463" s="87"/>
      <c r="I1463" s="87"/>
      <c r="J1463" s="87"/>
      <c r="K1463" s="87"/>
      <c r="L1463" s="87"/>
      <c r="M1463" s="87"/>
      <c r="N1463" s="87"/>
      <c r="O1463" s="87"/>
      <c r="P1463" s="87"/>
      <c r="Q1463" s="87"/>
      <c r="R1463" s="87"/>
      <c r="S1463" s="87"/>
      <c r="T1463" s="87"/>
      <c r="U1463" s="88">
        <v>3</v>
      </c>
      <c r="V1463" s="89"/>
      <c r="W1463" s="96">
        <v>0</v>
      </c>
      <c r="X1463" s="71">
        <f>CU1463</f>
        <v>0</v>
      </c>
      <c r="Y1463" s="71">
        <f>CY1463</f>
        <v>0</v>
      </c>
      <c r="Z1463" s="71">
        <f>DA1463+DC1463+DE1463</f>
        <v>0</v>
      </c>
      <c r="AA1463" s="71">
        <f>CW1463</f>
        <v>0</v>
      </c>
      <c r="AB1463" s="71"/>
      <c r="AC1463" s="71">
        <v>0</v>
      </c>
      <c r="AD1463" s="71">
        <f>W1463+X1463+Y1463+Z1463+AA1463+AB1463+AC1463</f>
        <v>0</v>
      </c>
      <c r="AE1463" s="72">
        <v>0</v>
      </c>
      <c r="AF1463" s="5"/>
      <c r="AG1463" s="6"/>
      <c r="AH1463" s="27" t="s">
        <v>3392</v>
      </c>
      <c r="AI1463" s="44" t="s">
        <v>3393</v>
      </c>
      <c r="AJ1463" s="26"/>
      <c r="AK1463" s="5"/>
      <c r="AL1463" s="82" t="s">
        <v>4280</v>
      </c>
      <c r="AM1463" s="76"/>
      <c r="AN1463" s="76"/>
      <c r="AO1463" s="76"/>
      <c r="AP1463" s="76"/>
      <c r="AQ1463" s="76"/>
      <c r="AR1463" s="76"/>
      <c r="AS1463" s="76"/>
      <c r="AT1463" s="76"/>
      <c r="AU1463" s="76"/>
      <c r="AV1463" s="76"/>
      <c r="AW1463" s="76"/>
      <c r="AX1463" s="76">
        <f>+AW1463*600000</f>
        <v>0</v>
      </c>
      <c r="AY1463" s="76"/>
      <c r="AZ1463" s="76">
        <f>+AY1463*70000</f>
        <v>0</v>
      </c>
      <c r="BA1463" s="76"/>
      <c r="BB1463" s="76"/>
      <c r="BC1463" s="76"/>
      <c r="BD1463" s="76">
        <f>+BC1463*30000</f>
        <v>0</v>
      </c>
      <c r="BE1463" s="76"/>
      <c r="BF1463" s="76"/>
      <c r="BG1463" s="76"/>
      <c r="BH1463" s="76"/>
      <c r="BI1463" s="76"/>
      <c r="BJ1463" s="76"/>
      <c r="BK1463" s="76"/>
      <c r="BL1463" s="76">
        <f>+BK1463*31500</f>
        <v>0</v>
      </c>
      <c r="BM1463" s="76"/>
      <c r="BN1463" s="76"/>
      <c r="BO1463" s="76"/>
      <c r="BP1463" s="76"/>
      <c r="BQ1463" s="76"/>
      <c r="BR1463" s="76"/>
      <c r="BS1463" s="76"/>
      <c r="BT1463" s="76"/>
      <c r="BU1463" s="76"/>
      <c r="BV1463" s="76"/>
      <c r="BW1463" s="76"/>
      <c r="BX1463" s="76"/>
      <c r="BY1463" s="76"/>
      <c r="BZ1463" s="76"/>
      <c r="CA1463" s="76"/>
      <c r="CB1463" s="76"/>
      <c r="CC1463" s="76"/>
      <c r="CD1463" s="76"/>
      <c r="CE1463" s="76"/>
      <c r="CF1463" s="76">
        <f>+CE1463*28000</f>
        <v>0</v>
      </c>
      <c r="CG1463" s="76"/>
      <c r="CH1463" s="76">
        <f>+CG1463*22500</f>
        <v>0</v>
      </c>
      <c r="CI1463" s="76"/>
      <c r="CJ1463" s="76">
        <f>+CI1463*26000</f>
        <v>0</v>
      </c>
      <c r="CK1463" s="76"/>
      <c r="CL1463" s="76"/>
      <c r="CM1463" s="76"/>
      <c r="CN1463" s="76">
        <f>+CM1463*22000</f>
        <v>0</v>
      </c>
      <c r="CO1463" s="76"/>
      <c r="CP1463" s="76">
        <f>+CO1463*46000</f>
        <v>0</v>
      </c>
      <c r="CQ1463" s="76"/>
      <c r="CR1463" s="76">
        <f>+CQ1463*49000</f>
        <v>0</v>
      </c>
      <c r="CS1463" s="76"/>
      <c r="CT1463" s="76"/>
      <c r="CU1463" s="56">
        <f>AN1463+AP1463+AR1463+AT1463+AV1463+AX1463+AZ1463+BB1463+BD1463+BF1463+BH1463+BJ1463+BL1463+BN1463+BP1463+BR1463+BT1463+BV1463+BX1463+BZ1463+CB1463+CD1463+CF1463+CH1463+CJ1463+CL1463+CN1463+CP1463+CR1463+CT1463</f>
        <v>0</v>
      </c>
      <c r="CV1463" s="76"/>
      <c r="CW1463" s="76">
        <f>+CV1463*1100</f>
        <v>0</v>
      </c>
      <c r="CX1463" s="76"/>
      <c r="CY1463" s="76">
        <f>+CX1463*106250</f>
        <v>0</v>
      </c>
      <c r="CZ1463" s="76"/>
      <c r="DA1463" s="76">
        <f>+CZ1463*34500</f>
        <v>0</v>
      </c>
      <c r="DB1463" s="76"/>
      <c r="DC1463" s="76">
        <f>+DB1463*25000</f>
        <v>0</v>
      </c>
      <c r="DD1463" s="219"/>
      <c r="DE1463" s="219"/>
      <c r="DF1463" s="166"/>
      <c r="DG1463" s="116"/>
      <c r="DH1463" s="117"/>
      <c r="DI1463" s="24"/>
      <c r="DJ1463" s="24"/>
      <c r="DK1463" s="24"/>
      <c r="DL1463" s="24"/>
      <c r="DM1463" s="24"/>
      <c r="DN1463" s="24"/>
      <c r="DO1463" s="24"/>
      <c r="DP1463" s="24"/>
      <c r="DQ1463" s="24"/>
      <c r="DR1463" s="24"/>
      <c r="DS1463" s="24"/>
      <c r="DT1463" s="24"/>
      <c r="DU1463" s="24"/>
    </row>
    <row r="1464" spans="1:125" s="8" customFormat="1" ht="60" x14ac:dyDescent="0.2">
      <c r="A1464" s="353">
        <v>41377</v>
      </c>
      <c r="B1464" s="352" t="s">
        <v>2847</v>
      </c>
      <c r="C1464" s="354" t="s">
        <v>2814</v>
      </c>
      <c r="D1464" s="354" t="s">
        <v>2859</v>
      </c>
      <c r="E1464" s="75" t="str">
        <f>VLOOKUP(B1464&amp;C1464,Divipola!$C$2:$F$1138,4,FALSE)</f>
        <v>68307</v>
      </c>
      <c r="F1464" s="87"/>
      <c r="G1464" s="87"/>
      <c r="H1464" s="87"/>
      <c r="I1464" s="87"/>
      <c r="J1464" s="87"/>
      <c r="K1464" s="87"/>
      <c r="L1464" s="87"/>
      <c r="M1464" s="87"/>
      <c r="N1464" s="87"/>
      <c r="O1464" s="87"/>
      <c r="P1464" s="87"/>
      <c r="Q1464" s="87"/>
      <c r="R1464" s="87"/>
      <c r="S1464" s="87"/>
      <c r="T1464" s="87"/>
      <c r="U1464" s="88"/>
      <c r="V1464" s="89"/>
      <c r="W1464" s="96">
        <v>0</v>
      </c>
      <c r="X1464" s="71">
        <f>CU1464</f>
        <v>0</v>
      </c>
      <c r="Y1464" s="71">
        <f>CY1464</f>
        <v>0</v>
      </c>
      <c r="Z1464" s="71">
        <f>DA1464+DC1464+DE1464</f>
        <v>0</v>
      </c>
      <c r="AA1464" s="71">
        <f>CW1464</f>
        <v>0</v>
      </c>
      <c r="AB1464" s="71"/>
      <c r="AC1464" s="71">
        <v>0</v>
      </c>
      <c r="AD1464" s="71">
        <f>W1464+X1464+Y1464+Z1464+AA1464+AB1464+AC1464</f>
        <v>0</v>
      </c>
      <c r="AE1464" s="72">
        <v>0</v>
      </c>
      <c r="AF1464" s="5"/>
      <c r="AG1464" s="6"/>
      <c r="AH1464" s="27" t="s">
        <v>3392</v>
      </c>
      <c r="AI1464" s="44" t="s">
        <v>3393</v>
      </c>
      <c r="AJ1464" s="26"/>
      <c r="AK1464" s="5"/>
      <c r="AL1464" s="82" t="s">
        <v>4276</v>
      </c>
      <c r="AM1464" s="76"/>
      <c r="AN1464" s="76"/>
      <c r="AO1464" s="76"/>
      <c r="AP1464" s="76"/>
      <c r="AQ1464" s="76"/>
      <c r="AR1464" s="76"/>
      <c r="AS1464" s="76"/>
      <c r="AT1464" s="76"/>
      <c r="AU1464" s="76"/>
      <c r="AV1464" s="76"/>
      <c r="AW1464" s="76"/>
      <c r="AX1464" s="76">
        <f>+AW1464*600000</f>
        <v>0</v>
      </c>
      <c r="AY1464" s="76"/>
      <c r="AZ1464" s="76">
        <f>+AY1464*70000</f>
        <v>0</v>
      </c>
      <c r="BA1464" s="76"/>
      <c r="BB1464" s="76"/>
      <c r="BC1464" s="76"/>
      <c r="BD1464" s="76">
        <f>+BC1464*30000</f>
        <v>0</v>
      </c>
      <c r="BE1464" s="76"/>
      <c r="BF1464" s="76"/>
      <c r="BG1464" s="76"/>
      <c r="BH1464" s="76"/>
      <c r="BI1464" s="76"/>
      <c r="BJ1464" s="76"/>
      <c r="BK1464" s="76"/>
      <c r="BL1464" s="76">
        <f>+BK1464*31500</f>
        <v>0</v>
      </c>
      <c r="BM1464" s="76"/>
      <c r="BN1464" s="76"/>
      <c r="BO1464" s="76"/>
      <c r="BP1464" s="76"/>
      <c r="BQ1464" s="76"/>
      <c r="BR1464" s="76"/>
      <c r="BS1464" s="76"/>
      <c r="BT1464" s="76"/>
      <c r="BU1464" s="76"/>
      <c r="BV1464" s="76"/>
      <c r="BW1464" s="76"/>
      <c r="BX1464" s="76"/>
      <c r="BY1464" s="76"/>
      <c r="BZ1464" s="76"/>
      <c r="CA1464" s="76"/>
      <c r="CB1464" s="76"/>
      <c r="CC1464" s="76"/>
      <c r="CD1464" s="76"/>
      <c r="CE1464" s="76"/>
      <c r="CF1464" s="76">
        <f>+CE1464*28000</f>
        <v>0</v>
      </c>
      <c r="CG1464" s="76"/>
      <c r="CH1464" s="76">
        <f>+CG1464*22500</f>
        <v>0</v>
      </c>
      <c r="CI1464" s="76"/>
      <c r="CJ1464" s="76">
        <f>+CI1464*26000</f>
        <v>0</v>
      </c>
      <c r="CK1464" s="76"/>
      <c r="CL1464" s="76"/>
      <c r="CM1464" s="76"/>
      <c r="CN1464" s="76">
        <f>+CM1464*22000</f>
        <v>0</v>
      </c>
      <c r="CO1464" s="76"/>
      <c r="CP1464" s="76">
        <f>+CO1464*46000</f>
        <v>0</v>
      </c>
      <c r="CQ1464" s="76"/>
      <c r="CR1464" s="76">
        <f>+CQ1464*49000</f>
        <v>0</v>
      </c>
      <c r="CS1464" s="76"/>
      <c r="CT1464" s="76"/>
      <c r="CU1464" s="56">
        <f>AN1464+AP1464+AR1464+AT1464+AV1464+AX1464+AZ1464+BB1464+BD1464+BF1464+BH1464+BJ1464+BL1464+BN1464+BP1464+BR1464+BT1464+BV1464+BX1464+BZ1464+CB1464+CD1464+CF1464+CH1464+CJ1464+CL1464+CN1464+CP1464+CR1464+CT1464</f>
        <v>0</v>
      </c>
      <c r="CV1464" s="76"/>
      <c r="CW1464" s="76">
        <f>+CV1464*1100</f>
        <v>0</v>
      </c>
      <c r="CX1464" s="76"/>
      <c r="CY1464" s="76">
        <f>+CX1464*106250</f>
        <v>0</v>
      </c>
      <c r="CZ1464" s="76"/>
      <c r="DA1464" s="76">
        <f>+CZ1464*34500</f>
        <v>0</v>
      </c>
      <c r="DB1464" s="76"/>
      <c r="DC1464" s="76">
        <f>+DB1464*25000</f>
        <v>0</v>
      </c>
      <c r="DD1464" s="219"/>
      <c r="DE1464" s="219"/>
      <c r="DF1464" s="166"/>
      <c r="DG1464" s="116"/>
      <c r="DH1464" s="117"/>
      <c r="DI1464" s="24"/>
      <c r="DJ1464" s="24"/>
      <c r="DK1464" s="24"/>
      <c r="DL1464" s="24"/>
      <c r="DM1464" s="24"/>
      <c r="DN1464" s="24"/>
      <c r="DO1464" s="24"/>
      <c r="DP1464" s="24"/>
      <c r="DQ1464" s="24"/>
      <c r="DR1464" s="24"/>
      <c r="DS1464" s="24"/>
      <c r="DT1464" s="24"/>
      <c r="DU1464" s="24"/>
    </row>
    <row r="1465" spans="1:125" s="8" customFormat="1" ht="60" x14ac:dyDescent="0.2">
      <c r="A1465" s="77">
        <v>41377</v>
      </c>
      <c r="B1465" s="78" t="s">
        <v>2847</v>
      </c>
      <c r="C1465" s="75" t="s">
        <v>1734</v>
      </c>
      <c r="D1465" s="81" t="s">
        <v>2846</v>
      </c>
      <c r="E1465" s="75" t="str">
        <f>VLOOKUP(B1465&amp;C1465,Divipola!$C$2:$F$1138,4,FALSE)</f>
        <v>68432</v>
      </c>
      <c r="F1465" s="87"/>
      <c r="G1465" s="87"/>
      <c r="H1465" s="87"/>
      <c r="I1465" s="87"/>
      <c r="J1465" s="87"/>
      <c r="K1465" s="87"/>
      <c r="L1465" s="87"/>
      <c r="M1465" s="87"/>
      <c r="N1465" s="87"/>
      <c r="O1465" s="87"/>
      <c r="P1465" s="87"/>
      <c r="Q1465" s="87"/>
      <c r="R1465" s="87"/>
      <c r="S1465" s="87"/>
      <c r="T1465" s="87"/>
      <c r="U1465" s="88"/>
      <c r="V1465" s="89"/>
      <c r="W1465" s="96">
        <v>0</v>
      </c>
      <c r="X1465" s="71">
        <f>CU1465</f>
        <v>0</v>
      </c>
      <c r="Y1465" s="71">
        <f>CY1465</f>
        <v>0</v>
      </c>
      <c r="Z1465" s="71">
        <f>DA1465+DC1465+DE1465</f>
        <v>0</v>
      </c>
      <c r="AA1465" s="71">
        <f>CW1465</f>
        <v>0</v>
      </c>
      <c r="AB1465" s="71"/>
      <c r="AC1465" s="71">
        <v>0</v>
      </c>
      <c r="AD1465" s="71">
        <f>W1465+X1465+Y1465+Z1465+AA1465+AB1465+AC1465</f>
        <v>0</v>
      </c>
      <c r="AE1465" s="72">
        <v>0</v>
      </c>
      <c r="AF1465" s="5"/>
      <c r="AG1465" s="6"/>
      <c r="AH1465" s="27" t="s">
        <v>3392</v>
      </c>
      <c r="AI1465" s="44" t="s">
        <v>3393</v>
      </c>
      <c r="AJ1465" s="26"/>
      <c r="AK1465" s="5"/>
      <c r="AL1465" s="82" t="s">
        <v>4274</v>
      </c>
      <c r="AM1465" s="76"/>
      <c r="AN1465" s="76"/>
      <c r="AO1465" s="76"/>
      <c r="AP1465" s="76"/>
      <c r="AQ1465" s="76"/>
      <c r="AR1465" s="76"/>
      <c r="AS1465" s="76"/>
      <c r="AT1465" s="76"/>
      <c r="AU1465" s="76"/>
      <c r="AV1465" s="76"/>
      <c r="AW1465" s="76"/>
      <c r="AX1465" s="76">
        <f>+AW1465*600000</f>
        <v>0</v>
      </c>
      <c r="AY1465" s="76"/>
      <c r="AZ1465" s="76">
        <f>+AY1465*70000</f>
        <v>0</v>
      </c>
      <c r="BA1465" s="76"/>
      <c r="BB1465" s="76"/>
      <c r="BC1465" s="76"/>
      <c r="BD1465" s="76">
        <f>+BC1465*30000</f>
        <v>0</v>
      </c>
      <c r="BE1465" s="76"/>
      <c r="BF1465" s="76"/>
      <c r="BG1465" s="76"/>
      <c r="BH1465" s="76"/>
      <c r="BI1465" s="76"/>
      <c r="BJ1465" s="76"/>
      <c r="BK1465" s="76"/>
      <c r="BL1465" s="76">
        <f>+BK1465*31500</f>
        <v>0</v>
      </c>
      <c r="BM1465" s="76"/>
      <c r="BN1465" s="76"/>
      <c r="BO1465" s="76"/>
      <c r="BP1465" s="76"/>
      <c r="BQ1465" s="76"/>
      <c r="BR1465" s="76"/>
      <c r="BS1465" s="76"/>
      <c r="BT1465" s="76"/>
      <c r="BU1465" s="76"/>
      <c r="BV1465" s="76"/>
      <c r="BW1465" s="76"/>
      <c r="BX1465" s="76"/>
      <c r="BY1465" s="76"/>
      <c r="BZ1465" s="76"/>
      <c r="CA1465" s="76"/>
      <c r="CB1465" s="76"/>
      <c r="CC1465" s="76"/>
      <c r="CD1465" s="76"/>
      <c r="CE1465" s="76"/>
      <c r="CF1465" s="76">
        <f>+CE1465*28000</f>
        <v>0</v>
      </c>
      <c r="CG1465" s="76"/>
      <c r="CH1465" s="76">
        <f>+CG1465*22500</f>
        <v>0</v>
      </c>
      <c r="CI1465" s="76"/>
      <c r="CJ1465" s="76">
        <f>+CI1465*26000</f>
        <v>0</v>
      </c>
      <c r="CK1465" s="76"/>
      <c r="CL1465" s="76"/>
      <c r="CM1465" s="76"/>
      <c r="CN1465" s="76">
        <f>+CM1465*22000</f>
        <v>0</v>
      </c>
      <c r="CO1465" s="76"/>
      <c r="CP1465" s="76">
        <f>+CO1465*46000</f>
        <v>0</v>
      </c>
      <c r="CQ1465" s="76"/>
      <c r="CR1465" s="76">
        <f>+CQ1465*49000</f>
        <v>0</v>
      </c>
      <c r="CS1465" s="76"/>
      <c r="CT1465" s="76"/>
      <c r="CU1465" s="56">
        <f>AN1465+AP1465+AR1465+AT1465+AV1465+AX1465+AZ1465+BB1465+BD1465+BF1465+BH1465+BJ1465+BL1465+BN1465+BP1465+BR1465+BT1465+BV1465+BX1465+BZ1465+CB1465+CD1465+CF1465+CH1465+CJ1465+CL1465+CN1465+CP1465+CR1465+CT1465</f>
        <v>0</v>
      </c>
      <c r="CV1465" s="76"/>
      <c r="CW1465" s="76">
        <f>+CV1465*1100</f>
        <v>0</v>
      </c>
      <c r="CX1465" s="76"/>
      <c r="CY1465" s="76">
        <f>+CX1465*106250</f>
        <v>0</v>
      </c>
      <c r="CZ1465" s="76"/>
      <c r="DA1465" s="76">
        <f>+CZ1465*34500</f>
        <v>0</v>
      </c>
      <c r="DB1465" s="76"/>
      <c r="DC1465" s="76">
        <f>+DB1465*25000</f>
        <v>0</v>
      </c>
      <c r="DD1465" s="219"/>
      <c r="DE1465" s="219"/>
      <c r="DF1465" s="166"/>
      <c r="DG1465" s="116"/>
      <c r="DH1465" s="117"/>
      <c r="DI1465" s="24"/>
      <c r="DJ1465" s="24"/>
      <c r="DK1465" s="24"/>
      <c r="DL1465" s="24"/>
      <c r="DM1465" s="24"/>
      <c r="DN1465" s="24"/>
      <c r="DO1465" s="24"/>
      <c r="DP1465" s="24"/>
      <c r="DQ1465" s="24"/>
      <c r="DR1465" s="24"/>
      <c r="DS1465" s="24"/>
      <c r="DT1465" s="24"/>
      <c r="DU1465" s="24"/>
    </row>
    <row r="1466" spans="1:125" s="8" customFormat="1" ht="108" x14ac:dyDescent="0.2">
      <c r="A1466" s="172">
        <v>41377</v>
      </c>
      <c r="B1466" s="205" t="s">
        <v>2847</v>
      </c>
      <c r="C1466" s="206" t="s">
        <v>2071</v>
      </c>
      <c r="D1466" s="206" t="s">
        <v>2882</v>
      </c>
      <c r="E1466" s="75" t="str">
        <f>VLOOKUP(B1466&amp;C1466,Divipola!$C$2:$F$1138,4,FALSE)</f>
        <v>68498</v>
      </c>
      <c r="F1466" s="87"/>
      <c r="G1466" s="87">
        <v>1</v>
      </c>
      <c r="H1466" s="87"/>
      <c r="I1466" s="87">
        <v>5</v>
      </c>
      <c r="J1466" s="87">
        <v>1</v>
      </c>
      <c r="K1466" s="87">
        <v>1</v>
      </c>
      <c r="L1466" s="87"/>
      <c r="M1466" s="87"/>
      <c r="N1466" s="87"/>
      <c r="O1466" s="87"/>
      <c r="P1466" s="87"/>
      <c r="Q1466" s="87"/>
      <c r="R1466" s="87"/>
      <c r="S1466" s="87"/>
      <c r="T1466" s="87"/>
      <c r="U1466" s="88"/>
      <c r="V1466" s="89"/>
      <c r="W1466" s="96">
        <v>0</v>
      </c>
      <c r="X1466" s="71">
        <f>CU1466</f>
        <v>0</v>
      </c>
      <c r="Y1466" s="71">
        <f>CY1466</f>
        <v>0</v>
      </c>
      <c r="Z1466" s="71">
        <f>DA1466+DC1466+DE1466</f>
        <v>0</v>
      </c>
      <c r="AA1466" s="71">
        <f>CW1466</f>
        <v>0</v>
      </c>
      <c r="AB1466" s="71"/>
      <c r="AC1466" s="71">
        <v>0</v>
      </c>
      <c r="AD1466" s="71">
        <f>W1466+X1466+Y1466+Z1466+AA1466+AB1466+AC1466</f>
        <v>0</v>
      </c>
      <c r="AE1466" s="72">
        <v>0</v>
      </c>
      <c r="AF1466" s="5"/>
      <c r="AG1466" s="6"/>
      <c r="AH1466" s="27" t="s">
        <v>3392</v>
      </c>
      <c r="AI1466" s="44" t="s">
        <v>3393</v>
      </c>
      <c r="AJ1466" s="26"/>
      <c r="AK1466" s="5"/>
      <c r="AL1466" s="82" t="s">
        <v>4278</v>
      </c>
      <c r="AM1466" s="76"/>
      <c r="AN1466" s="76"/>
      <c r="AO1466" s="76"/>
      <c r="AP1466" s="76"/>
      <c r="AQ1466" s="76"/>
      <c r="AR1466" s="76"/>
      <c r="AS1466" s="76"/>
      <c r="AT1466" s="76"/>
      <c r="AU1466" s="76"/>
      <c r="AV1466" s="76"/>
      <c r="AW1466" s="76"/>
      <c r="AX1466" s="76">
        <f>+AW1466*600000</f>
        <v>0</v>
      </c>
      <c r="AY1466" s="76"/>
      <c r="AZ1466" s="76">
        <f>+AY1466*70000</f>
        <v>0</v>
      </c>
      <c r="BA1466" s="76"/>
      <c r="BB1466" s="76"/>
      <c r="BC1466" s="76"/>
      <c r="BD1466" s="76">
        <f>+BC1466*30000</f>
        <v>0</v>
      </c>
      <c r="BE1466" s="76"/>
      <c r="BF1466" s="76"/>
      <c r="BG1466" s="76"/>
      <c r="BH1466" s="76"/>
      <c r="BI1466" s="76"/>
      <c r="BJ1466" s="76"/>
      <c r="BK1466" s="76"/>
      <c r="BL1466" s="76">
        <f>+BK1466*31500</f>
        <v>0</v>
      </c>
      <c r="BM1466" s="76"/>
      <c r="BN1466" s="76"/>
      <c r="BO1466" s="76"/>
      <c r="BP1466" s="76"/>
      <c r="BQ1466" s="76"/>
      <c r="BR1466" s="76"/>
      <c r="BS1466" s="76"/>
      <c r="BT1466" s="76"/>
      <c r="BU1466" s="76"/>
      <c r="BV1466" s="76"/>
      <c r="BW1466" s="76"/>
      <c r="BX1466" s="76"/>
      <c r="BY1466" s="76"/>
      <c r="BZ1466" s="76"/>
      <c r="CA1466" s="76"/>
      <c r="CB1466" s="76"/>
      <c r="CC1466" s="76"/>
      <c r="CD1466" s="76"/>
      <c r="CE1466" s="76"/>
      <c r="CF1466" s="76">
        <f>+CE1466*28000</f>
        <v>0</v>
      </c>
      <c r="CG1466" s="76"/>
      <c r="CH1466" s="76">
        <f>+CG1466*22500</f>
        <v>0</v>
      </c>
      <c r="CI1466" s="76"/>
      <c r="CJ1466" s="76">
        <f>+CI1466*26000</f>
        <v>0</v>
      </c>
      <c r="CK1466" s="76"/>
      <c r="CL1466" s="76"/>
      <c r="CM1466" s="76"/>
      <c r="CN1466" s="76">
        <f>+CM1466*22000</f>
        <v>0</v>
      </c>
      <c r="CO1466" s="76"/>
      <c r="CP1466" s="76">
        <f>+CO1466*46000</f>
        <v>0</v>
      </c>
      <c r="CQ1466" s="76"/>
      <c r="CR1466" s="76">
        <f>+CQ1466*49000</f>
        <v>0</v>
      </c>
      <c r="CS1466" s="76"/>
      <c r="CT1466" s="76"/>
      <c r="CU1466" s="56">
        <f>AN1466+AP1466+AR1466+AT1466+AV1466+AX1466+AZ1466+BB1466+BD1466+BF1466+BH1466+BJ1466+BL1466+BN1466+BP1466+BR1466+BT1466+BV1466+BX1466+BZ1466+CB1466+CD1466+CF1466+CH1466+CJ1466+CL1466+CN1466+CP1466+CR1466+CT1466</f>
        <v>0</v>
      </c>
      <c r="CV1466" s="76"/>
      <c r="CW1466" s="76">
        <f>+CV1466*1100</f>
        <v>0</v>
      </c>
      <c r="CX1466" s="76"/>
      <c r="CY1466" s="76">
        <f>+CX1466*106250</f>
        <v>0</v>
      </c>
      <c r="CZ1466" s="76"/>
      <c r="DA1466" s="76">
        <f>+CZ1466*34500</f>
        <v>0</v>
      </c>
      <c r="DB1466" s="76"/>
      <c r="DC1466" s="76">
        <f>+DB1466*25000</f>
        <v>0</v>
      </c>
      <c r="DD1466" s="219"/>
      <c r="DE1466" s="219"/>
      <c r="DF1466" s="166"/>
      <c r="DG1466" s="116"/>
      <c r="DH1466" s="117"/>
      <c r="DI1466" s="24"/>
      <c r="DJ1466" s="24"/>
      <c r="DK1466" s="24"/>
      <c r="DL1466" s="24"/>
      <c r="DM1466" s="24"/>
      <c r="DN1466" s="24"/>
      <c r="DO1466" s="24"/>
      <c r="DP1466" s="24"/>
      <c r="DQ1466" s="24"/>
      <c r="DR1466" s="24"/>
      <c r="DS1466" s="24"/>
      <c r="DT1466" s="24"/>
      <c r="DU1466" s="24"/>
    </row>
    <row r="1467" spans="1:125" s="8" customFormat="1" ht="48" x14ac:dyDescent="0.2">
      <c r="A1467" s="226">
        <v>41377</v>
      </c>
      <c r="B1467" s="225" t="s">
        <v>2847</v>
      </c>
      <c r="C1467" s="227" t="s">
        <v>479</v>
      </c>
      <c r="D1467" s="81" t="s">
        <v>2846</v>
      </c>
      <c r="E1467" s="75" t="str">
        <f>VLOOKUP(B1467&amp;C1467,Divipola!$C$2:$F$1138,4,FALSE)</f>
        <v>68547</v>
      </c>
      <c r="F1467" s="87"/>
      <c r="G1467" s="87"/>
      <c r="H1467" s="87"/>
      <c r="I1467" s="87"/>
      <c r="J1467" s="87"/>
      <c r="K1467" s="87"/>
      <c r="L1467" s="87"/>
      <c r="M1467" s="87"/>
      <c r="N1467" s="87"/>
      <c r="O1467" s="87"/>
      <c r="P1467" s="87"/>
      <c r="Q1467" s="87"/>
      <c r="R1467" s="87"/>
      <c r="S1467" s="87"/>
      <c r="T1467" s="87"/>
      <c r="U1467" s="88"/>
      <c r="V1467" s="89"/>
      <c r="W1467" s="96">
        <v>0</v>
      </c>
      <c r="X1467" s="71">
        <f>CU1467</f>
        <v>0</v>
      </c>
      <c r="Y1467" s="71">
        <f>CY1467</f>
        <v>0</v>
      </c>
      <c r="Z1467" s="71">
        <f>DA1467+DC1467+DE1467</f>
        <v>0</v>
      </c>
      <c r="AA1467" s="71">
        <f>CW1467</f>
        <v>0</v>
      </c>
      <c r="AB1467" s="71"/>
      <c r="AC1467" s="71">
        <v>0</v>
      </c>
      <c r="AD1467" s="71">
        <f>W1467+X1467+Y1467+Z1467+AA1467+AB1467+AC1467</f>
        <v>0</v>
      </c>
      <c r="AE1467" s="72">
        <v>0</v>
      </c>
      <c r="AF1467" s="5"/>
      <c r="AG1467" s="6"/>
      <c r="AH1467" s="27" t="s">
        <v>3392</v>
      </c>
      <c r="AI1467" s="44" t="s">
        <v>3393</v>
      </c>
      <c r="AJ1467" s="26"/>
      <c r="AK1467" s="5"/>
      <c r="AL1467" s="82" t="s">
        <v>4275</v>
      </c>
      <c r="AM1467" s="76"/>
      <c r="AN1467" s="76"/>
      <c r="AO1467" s="76"/>
      <c r="AP1467" s="76"/>
      <c r="AQ1467" s="76"/>
      <c r="AR1467" s="76"/>
      <c r="AS1467" s="76"/>
      <c r="AT1467" s="76"/>
      <c r="AU1467" s="76"/>
      <c r="AV1467" s="76"/>
      <c r="AW1467" s="76"/>
      <c r="AX1467" s="76">
        <f>+AW1467*600000</f>
        <v>0</v>
      </c>
      <c r="AY1467" s="76"/>
      <c r="AZ1467" s="76">
        <f>+AY1467*70000</f>
        <v>0</v>
      </c>
      <c r="BA1467" s="76"/>
      <c r="BB1467" s="76"/>
      <c r="BC1467" s="76"/>
      <c r="BD1467" s="76">
        <f>+BC1467*30000</f>
        <v>0</v>
      </c>
      <c r="BE1467" s="76"/>
      <c r="BF1467" s="76"/>
      <c r="BG1467" s="76"/>
      <c r="BH1467" s="76"/>
      <c r="BI1467" s="76"/>
      <c r="BJ1467" s="76"/>
      <c r="BK1467" s="76"/>
      <c r="BL1467" s="76">
        <f>+BK1467*31500</f>
        <v>0</v>
      </c>
      <c r="BM1467" s="76"/>
      <c r="BN1467" s="76"/>
      <c r="BO1467" s="76"/>
      <c r="BP1467" s="76"/>
      <c r="BQ1467" s="76"/>
      <c r="BR1467" s="76"/>
      <c r="BS1467" s="76"/>
      <c r="BT1467" s="76"/>
      <c r="BU1467" s="76"/>
      <c r="BV1467" s="76"/>
      <c r="BW1467" s="76"/>
      <c r="BX1467" s="76"/>
      <c r="BY1467" s="76"/>
      <c r="BZ1467" s="76"/>
      <c r="CA1467" s="76"/>
      <c r="CB1467" s="76"/>
      <c r="CC1467" s="76"/>
      <c r="CD1467" s="76"/>
      <c r="CE1467" s="76"/>
      <c r="CF1467" s="76">
        <f>+CE1467*28000</f>
        <v>0</v>
      </c>
      <c r="CG1467" s="76"/>
      <c r="CH1467" s="76">
        <f>+CG1467*22500</f>
        <v>0</v>
      </c>
      <c r="CI1467" s="76"/>
      <c r="CJ1467" s="76">
        <f>+CI1467*26000</f>
        <v>0</v>
      </c>
      <c r="CK1467" s="76"/>
      <c r="CL1467" s="76"/>
      <c r="CM1467" s="76"/>
      <c r="CN1467" s="76">
        <f>+CM1467*22000</f>
        <v>0</v>
      </c>
      <c r="CO1467" s="76"/>
      <c r="CP1467" s="76">
        <f>+CO1467*46000</f>
        <v>0</v>
      </c>
      <c r="CQ1467" s="76"/>
      <c r="CR1467" s="76">
        <f>+CQ1467*49000</f>
        <v>0</v>
      </c>
      <c r="CS1467" s="76"/>
      <c r="CT1467" s="76"/>
      <c r="CU1467" s="56">
        <f>AN1467+AP1467+AR1467+AT1467+AV1467+AX1467+AZ1467+BB1467+BD1467+BF1467+BH1467+BJ1467+BL1467+BN1467+BP1467+BR1467+BT1467+BV1467+BX1467+BZ1467+CB1467+CD1467+CF1467+CH1467+CJ1467+CL1467+CN1467+CP1467+CR1467+CT1467</f>
        <v>0</v>
      </c>
      <c r="CV1467" s="76"/>
      <c r="CW1467" s="76">
        <f>+CV1467*1100</f>
        <v>0</v>
      </c>
      <c r="CX1467" s="76"/>
      <c r="CY1467" s="76">
        <f>+CX1467*106250</f>
        <v>0</v>
      </c>
      <c r="CZ1467" s="76"/>
      <c r="DA1467" s="76">
        <f>+CZ1467*34500</f>
        <v>0</v>
      </c>
      <c r="DB1467" s="76"/>
      <c r="DC1467" s="76">
        <f>+DB1467*25000</f>
        <v>0</v>
      </c>
      <c r="DD1467" s="219"/>
      <c r="DE1467" s="219"/>
      <c r="DF1467" s="166"/>
      <c r="DG1467" s="116"/>
      <c r="DH1467" s="117"/>
      <c r="DI1467" s="24"/>
      <c r="DJ1467" s="24"/>
      <c r="DK1467" s="24"/>
      <c r="DL1467" s="24"/>
      <c r="DM1467" s="24"/>
      <c r="DN1467" s="24"/>
      <c r="DO1467" s="24"/>
      <c r="DP1467" s="24"/>
      <c r="DQ1467" s="24"/>
      <c r="DR1467" s="24"/>
      <c r="DS1467" s="24"/>
      <c r="DT1467" s="24"/>
      <c r="DU1467" s="24"/>
    </row>
    <row r="1468" spans="1:125" s="8" customFormat="1" ht="60" x14ac:dyDescent="0.2">
      <c r="A1468" s="172">
        <v>41377</v>
      </c>
      <c r="B1468" s="173" t="s">
        <v>2847</v>
      </c>
      <c r="C1468" s="174" t="s">
        <v>479</v>
      </c>
      <c r="D1468" s="81" t="s">
        <v>2846</v>
      </c>
      <c r="E1468" s="75" t="str">
        <f>VLOOKUP(B1468&amp;C1468,Divipola!$C$2:$F$1138,4,FALSE)</f>
        <v>68547</v>
      </c>
      <c r="F1468" s="87"/>
      <c r="G1468" s="87"/>
      <c r="H1468" s="87"/>
      <c r="I1468" s="87"/>
      <c r="J1468" s="87"/>
      <c r="K1468" s="87"/>
      <c r="L1468" s="87"/>
      <c r="M1468" s="87"/>
      <c r="N1468" s="87"/>
      <c r="O1468" s="87"/>
      <c r="P1468" s="87"/>
      <c r="Q1468" s="87"/>
      <c r="R1468" s="87"/>
      <c r="S1468" s="87"/>
      <c r="T1468" s="87"/>
      <c r="U1468" s="88">
        <v>3</v>
      </c>
      <c r="V1468" s="89"/>
      <c r="W1468" s="96">
        <v>0</v>
      </c>
      <c r="X1468" s="71">
        <f>CU1468</f>
        <v>0</v>
      </c>
      <c r="Y1468" s="71">
        <f>CY1468</f>
        <v>0</v>
      </c>
      <c r="Z1468" s="71">
        <f>DA1468+DC1468+DE1468</f>
        <v>0</v>
      </c>
      <c r="AA1468" s="71">
        <f>CW1468</f>
        <v>0</v>
      </c>
      <c r="AB1468" s="71"/>
      <c r="AC1468" s="71">
        <v>0</v>
      </c>
      <c r="AD1468" s="71">
        <f>W1468+X1468+Y1468+Z1468+AA1468+AB1468+AC1468</f>
        <v>0</v>
      </c>
      <c r="AE1468" s="72">
        <v>0</v>
      </c>
      <c r="AF1468" s="5"/>
      <c r="AG1468" s="6"/>
      <c r="AH1468" s="27" t="s">
        <v>3392</v>
      </c>
      <c r="AI1468" s="44" t="s">
        <v>3393</v>
      </c>
      <c r="AJ1468" s="26"/>
      <c r="AK1468" s="5"/>
      <c r="AL1468" s="82" t="s">
        <v>4279</v>
      </c>
      <c r="AM1468" s="76"/>
      <c r="AN1468" s="76"/>
      <c r="AO1468" s="76"/>
      <c r="AP1468" s="76"/>
      <c r="AQ1468" s="76"/>
      <c r="AR1468" s="76"/>
      <c r="AS1468" s="76"/>
      <c r="AT1468" s="76"/>
      <c r="AU1468" s="76"/>
      <c r="AV1468" s="76"/>
      <c r="AW1468" s="76"/>
      <c r="AX1468" s="76">
        <f>+AW1468*600000</f>
        <v>0</v>
      </c>
      <c r="AY1468" s="76"/>
      <c r="AZ1468" s="76">
        <f>+AY1468*70000</f>
        <v>0</v>
      </c>
      <c r="BA1468" s="76"/>
      <c r="BB1468" s="76"/>
      <c r="BC1468" s="76"/>
      <c r="BD1468" s="76">
        <f>+BC1468*30000</f>
        <v>0</v>
      </c>
      <c r="BE1468" s="76"/>
      <c r="BF1468" s="76"/>
      <c r="BG1468" s="76"/>
      <c r="BH1468" s="76"/>
      <c r="BI1468" s="76"/>
      <c r="BJ1468" s="76"/>
      <c r="BK1468" s="76"/>
      <c r="BL1468" s="76">
        <f>+BK1468*31500</f>
        <v>0</v>
      </c>
      <c r="BM1468" s="76"/>
      <c r="BN1468" s="76"/>
      <c r="BO1468" s="76"/>
      <c r="BP1468" s="76"/>
      <c r="BQ1468" s="76"/>
      <c r="BR1468" s="76"/>
      <c r="BS1468" s="76"/>
      <c r="BT1468" s="76"/>
      <c r="BU1468" s="76"/>
      <c r="BV1468" s="76"/>
      <c r="BW1468" s="76"/>
      <c r="BX1468" s="76"/>
      <c r="BY1468" s="76"/>
      <c r="BZ1468" s="76"/>
      <c r="CA1468" s="76"/>
      <c r="CB1468" s="76"/>
      <c r="CC1468" s="76"/>
      <c r="CD1468" s="76"/>
      <c r="CE1468" s="76"/>
      <c r="CF1468" s="76">
        <f>+CE1468*28000</f>
        <v>0</v>
      </c>
      <c r="CG1468" s="76"/>
      <c r="CH1468" s="76">
        <f>+CG1468*22500</f>
        <v>0</v>
      </c>
      <c r="CI1468" s="76"/>
      <c r="CJ1468" s="76">
        <f>+CI1468*26000</f>
        <v>0</v>
      </c>
      <c r="CK1468" s="76"/>
      <c r="CL1468" s="76"/>
      <c r="CM1468" s="76"/>
      <c r="CN1468" s="76">
        <f>+CM1468*22000</f>
        <v>0</v>
      </c>
      <c r="CO1468" s="76"/>
      <c r="CP1468" s="76">
        <f>+CO1468*46000</f>
        <v>0</v>
      </c>
      <c r="CQ1468" s="76"/>
      <c r="CR1468" s="76">
        <f>+CQ1468*49000</f>
        <v>0</v>
      </c>
      <c r="CS1468" s="76"/>
      <c r="CT1468" s="76"/>
      <c r="CU1468" s="56">
        <f>AN1468+AP1468+AR1468+AT1468+AV1468+AX1468+AZ1468+BB1468+BD1468+BF1468+BH1468+BJ1468+BL1468+BN1468+BP1468+BR1468+BT1468+BV1468+BX1468+BZ1468+CB1468+CD1468+CF1468+CH1468+CJ1468+CL1468+CN1468+CP1468+CR1468+CT1468</f>
        <v>0</v>
      </c>
      <c r="CV1468" s="76"/>
      <c r="CW1468" s="76">
        <f>+CV1468*1100</f>
        <v>0</v>
      </c>
      <c r="CX1468" s="76"/>
      <c r="CY1468" s="76">
        <f>+CX1468*106250</f>
        <v>0</v>
      </c>
      <c r="CZ1468" s="76"/>
      <c r="DA1468" s="76">
        <f>+CZ1468*34500</f>
        <v>0</v>
      </c>
      <c r="DB1468" s="76"/>
      <c r="DC1468" s="76">
        <f>+DB1468*25000</f>
        <v>0</v>
      </c>
      <c r="DD1468" s="219"/>
      <c r="DE1468" s="219"/>
      <c r="DF1468" s="166"/>
      <c r="DG1468" s="116"/>
      <c r="DH1468" s="117"/>
      <c r="DI1468" s="24"/>
      <c r="DJ1468" s="24"/>
      <c r="DK1468" s="24"/>
      <c r="DL1468" s="24"/>
      <c r="DM1468" s="24"/>
      <c r="DN1468" s="24"/>
      <c r="DO1468" s="24"/>
      <c r="DP1468" s="24"/>
      <c r="DQ1468" s="24"/>
      <c r="DR1468" s="24"/>
      <c r="DS1468" s="24"/>
      <c r="DT1468" s="24"/>
      <c r="DU1468" s="24"/>
    </row>
    <row r="1469" spans="1:125" s="8" customFormat="1" ht="48" x14ac:dyDescent="0.2">
      <c r="A1469" s="353">
        <v>41377</v>
      </c>
      <c r="B1469" s="225" t="s">
        <v>2848</v>
      </c>
      <c r="C1469" s="227" t="s">
        <v>1891</v>
      </c>
      <c r="D1469" s="81" t="s">
        <v>2846</v>
      </c>
      <c r="E1469" s="75" t="str">
        <f>VLOOKUP(B1469&amp;C1469,Divipola!$C$2:$F$1138,4,FALSE)</f>
        <v>73461</v>
      </c>
      <c r="F1469" s="87"/>
      <c r="G1469" s="87"/>
      <c r="H1469" s="87"/>
      <c r="I1469" s="87"/>
      <c r="J1469" s="87"/>
      <c r="K1469" s="87"/>
      <c r="L1469" s="87"/>
      <c r="M1469" s="87"/>
      <c r="N1469" s="87"/>
      <c r="O1469" s="87"/>
      <c r="P1469" s="87"/>
      <c r="Q1469" s="87"/>
      <c r="R1469" s="87"/>
      <c r="S1469" s="87"/>
      <c r="T1469" s="87"/>
      <c r="U1469" s="88"/>
      <c r="V1469" s="89"/>
      <c r="W1469" s="96">
        <v>0</v>
      </c>
      <c r="X1469" s="71">
        <f>CU1469</f>
        <v>0</v>
      </c>
      <c r="Y1469" s="71">
        <f>CY1469</f>
        <v>0</v>
      </c>
      <c r="Z1469" s="71">
        <f>DA1469+DC1469+DE1469</f>
        <v>0</v>
      </c>
      <c r="AA1469" s="71">
        <f>CW1469</f>
        <v>0</v>
      </c>
      <c r="AB1469" s="71"/>
      <c r="AC1469" s="71">
        <v>0</v>
      </c>
      <c r="AD1469" s="71">
        <f>W1469+X1469+Y1469+Z1469+AA1469+AB1469+AC1469</f>
        <v>0</v>
      </c>
      <c r="AE1469" s="72">
        <v>0</v>
      </c>
      <c r="AF1469" s="5"/>
      <c r="AG1469" s="6"/>
      <c r="AH1469" s="27" t="s">
        <v>3392</v>
      </c>
      <c r="AI1469" s="44" t="s">
        <v>3393</v>
      </c>
      <c r="AJ1469" s="26"/>
      <c r="AK1469" s="5"/>
      <c r="AL1469" s="82" t="s">
        <v>4277</v>
      </c>
      <c r="AM1469" s="76"/>
      <c r="AN1469" s="76"/>
      <c r="AO1469" s="76"/>
      <c r="AP1469" s="76"/>
      <c r="AQ1469" s="76"/>
      <c r="AR1469" s="76"/>
      <c r="AS1469" s="76"/>
      <c r="AT1469" s="76"/>
      <c r="AU1469" s="76"/>
      <c r="AV1469" s="76"/>
      <c r="AW1469" s="76"/>
      <c r="AX1469" s="76">
        <f>+AW1469*600000</f>
        <v>0</v>
      </c>
      <c r="AY1469" s="76"/>
      <c r="AZ1469" s="76">
        <f>+AY1469*70000</f>
        <v>0</v>
      </c>
      <c r="BA1469" s="76"/>
      <c r="BB1469" s="76"/>
      <c r="BC1469" s="76"/>
      <c r="BD1469" s="76">
        <f>+BC1469*30000</f>
        <v>0</v>
      </c>
      <c r="BE1469" s="76"/>
      <c r="BF1469" s="76"/>
      <c r="BG1469" s="76"/>
      <c r="BH1469" s="76"/>
      <c r="BI1469" s="76"/>
      <c r="BJ1469" s="76"/>
      <c r="BK1469" s="76"/>
      <c r="BL1469" s="76">
        <f>+BK1469*31500</f>
        <v>0</v>
      </c>
      <c r="BM1469" s="76"/>
      <c r="BN1469" s="76"/>
      <c r="BO1469" s="76"/>
      <c r="BP1469" s="76"/>
      <c r="BQ1469" s="76"/>
      <c r="BR1469" s="76"/>
      <c r="BS1469" s="76"/>
      <c r="BT1469" s="76"/>
      <c r="BU1469" s="76"/>
      <c r="BV1469" s="76"/>
      <c r="BW1469" s="76"/>
      <c r="BX1469" s="76"/>
      <c r="BY1469" s="76"/>
      <c r="BZ1469" s="76"/>
      <c r="CA1469" s="76"/>
      <c r="CB1469" s="76"/>
      <c r="CC1469" s="76"/>
      <c r="CD1469" s="76"/>
      <c r="CE1469" s="76"/>
      <c r="CF1469" s="76">
        <f>+CE1469*28000</f>
        <v>0</v>
      </c>
      <c r="CG1469" s="76"/>
      <c r="CH1469" s="76">
        <f>+CG1469*22500</f>
        <v>0</v>
      </c>
      <c r="CI1469" s="76"/>
      <c r="CJ1469" s="76">
        <f>+CI1469*26000</f>
        <v>0</v>
      </c>
      <c r="CK1469" s="76"/>
      <c r="CL1469" s="76"/>
      <c r="CM1469" s="76"/>
      <c r="CN1469" s="76">
        <f>+CM1469*22000</f>
        <v>0</v>
      </c>
      <c r="CO1469" s="76"/>
      <c r="CP1469" s="76">
        <f>+CO1469*46000</f>
        <v>0</v>
      </c>
      <c r="CQ1469" s="76"/>
      <c r="CR1469" s="76">
        <f>+CQ1469*49000</f>
        <v>0</v>
      </c>
      <c r="CS1469" s="76"/>
      <c r="CT1469" s="76"/>
      <c r="CU1469" s="56">
        <f>AN1469+AP1469+AR1469+AT1469+AV1469+AX1469+AZ1469+BB1469+BD1469+BF1469+BH1469+BJ1469+BL1469+BN1469+BP1469+BR1469+BT1469+BV1469+BX1469+BZ1469+CB1469+CD1469+CF1469+CH1469+CJ1469+CL1469+CN1469+CP1469+CR1469+CT1469</f>
        <v>0</v>
      </c>
      <c r="CV1469" s="76"/>
      <c r="CW1469" s="76">
        <f>+CV1469*1100</f>
        <v>0</v>
      </c>
      <c r="CX1469" s="76"/>
      <c r="CY1469" s="76">
        <f>+CX1469*106250</f>
        <v>0</v>
      </c>
      <c r="CZ1469" s="76"/>
      <c r="DA1469" s="76">
        <f>+CZ1469*34500</f>
        <v>0</v>
      </c>
      <c r="DB1469" s="76"/>
      <c r="DC1469" s="76">
        <f>+DB1469*25000</f>
        <v>0</v>
      </c>
      <c r="DD1469" s="219"/>
      <c r="DE1469" s="219"/>
      <c r="DF1469" s="166"/>
      <c r="DG1469" s="116"/>
      <c r="DH1469" s="117"/>
      <c r="DI1469" s="24"/>
      <c r="DJ1469" s="24"/>
      <c r="DK1469" s="24"/>
      <c r="DL1469" s="24"/>
      <c r="DM1469" s="24"/>
      <c r="DN1469" s="24"/>
      <c r="DO1469" s="24"/>
      <c r="DP1469" s="24"/>
      <c r="DQ1469" s="24"/>
      <c r="DR1469" s="24"/>
      <c r="DS1469" s="24"/>
      <c r="DT1469" s="24"/>
      <c r="DU1469" s="24"/>
    </row>
    <row r="1470" spans="1:125" s="8" customFormat="1" ht="48" x14ac:dyDescent="0.2">
      <c r="A1470" s="353">
        <v>41378</v>
      </c>
      <c r="B1470" s="352" t="s">
        <v>2700</v>
      </c>
      <c r="C1470" s="354" t="s">
        <v>1645</v>
      </c>
      <c r="D1470" s="81" t="s">
        <v>2846</v>
      </c>
      <c r="E1470" s="75" t="str">
        <f>VLOOKUP(B1470&amp;C1470,Divipola!$C$2:$F$1138,4,FALSE)</f>
        <v>15272</v>
      </c>
      <c r="F1470" s="87"/>
      <c r="G1470" s="87"/>
      <c r="H1470" s="87"/>
      <c r="I1470" s="87"/>
      <c r="J1470" s="87"/>
      <c r="K1470" s="87"/>
      <c r="L1470" s="87"/>
      <c r="M1470" s="87"/>
      <c r="N1470" s="87"/>
      <c r="O1470" s="87"/>
      <c r="P1470" s="87"/>
      <c r="Q1470" s="87"/>
      <c r="R1470" s="87"/>
      <c r="S1470" s="87"/>
      <c r="T1470" s="87"/>
      <c r="U1470" s="88"/>
      <c r="V1470" s="89"/>
      <c r="W1470" s="96">
        <v>0</v>
      </c>
      <c r="X1470" s="71">
        <f>CU1470</f>
        <v>0</v>
      </c>
      <c r="Y1470" s="71">
        <f>CY1470</f>
        <v>0</v>
      </c>
      <c r="Z1470" s="71">
        <f>DA1470+DC1470+DE1470</f>
        <v>0</v>
      </c>
      <c r="AA1470" s="71">
        <f>CW1470</f>
        <v>0</v>
      </c>
      <c r="AB1470" s="71"/>
      <c r="AC1470" s="71">
        <v>0</v>
      </c>
      <c r="AD1470" s="71">
        <f>W1470+X1470+Y1470+Z1470+AA1470+AB1470+AC1470</f>
        <v>0</v>
      </c>
      <c r="AE1470" s="72">
        <v>0</v>
      </c>
      <c r="AF1470" s="5"/>
      <c r="AG1470" s="6"/>
      <c r="AH1470" s="27" t="s">
        <v>3392</v>
      </c>
      <c r="AI1470" s="44" t="s">
        <v>3393</v>
      </c>
      <c r="AJ1470" s="26"/>
      <c r="AK1470" s="5"/>
      <c r="AL1470" s="82" t="s">
        <v>4283</v>
      </c>
      <c r="AM1470" s="76"/>
      <c r="AN1470" s="76"/>
      <c r="AO1470" s="76"/>
      <c r="AP1470" s="76"/>
      <c r="AQ1470" s="76"/>
      <c r="AR1470" s="76"/>
      <c r="AS1470" s="76"/>
      <c r="AT1470" s="76"/>
      <c r="AU1470" s="76"/>
      <c r="AV1470" s="76"/>
      <c r="AW1470" s="76"/>
      <c r="AX1470" s="76">
        <f>+AW1470*600000</f>
        <v>0</v>
      </c>
      <c r="AY1470" s="76"/>
      <c r="AZ1470" s="76">
        <f>+AY1470*70000</f>
        <v>0</v>
      </c>
      <c r="BA1470" s="76"/>
      <c r="BB1470" s="76"/>
      <c r="BC1470" s="76"/>
      <c r="BD1470" s="76">
        <f>+BC1470*30000</f>
        <v>0</v>
      </c>
      <c r="BE1470" s="76"/>
      <c r="BF1470" s="76"/>
      <c r="BG1470" s="76"/>
      <c r="BH1470" s="76"/>
      <c r="BI1470" s="76"/>
      <c r="BJ1470" s="76"/>
      <c r="BK1470" s="76"/>
      <c r="BL1470" s="76">
        <f>+BK1470*31500</f>
        <v>0</v>
      </c>
      <c r="BM1470" s="76"/>
      <c r="BN1470" s="76"/>
      <c r="BO1470" s="76"/>
      <c r="BP1470" s="76"/>
      <c r="BQ1470" s="76"/>
      <c r="BR1470" s="76"/>
      <c r="BS1470" s="76"/>
      <c r="BT1470" s="76"/>
      <c r="BU1470" s="76"/>
      <c r="BV1470" s="76"/>
      <c r="BW1470" s="76"/>
      <c r="BX1470" s="76"/>
      <c r="BY1470" s="76"/>
      <c r="BZ1470" s="76"/>
      <c r="CA1470" s="76"/>
      <c r="CB1470" s="76"/>
      <c r="CC1470" s="76"/>
      <c r="CD1470" s="76"/>
      <c r="CE1470" s="76"/>
      <c r="CF1470" s="76">
        <f>+CE1470*28000</f>
        <v>0</v>
      </c>
      <c r="CG1470" s="76"/>
      <c r="CH1470" s="76">
        <f>+CG1470*22500</f>
        <v>0</v>
      </c>
      <c r="CI1470" s="76"/>
      <c r="CJ1470" s="76">
        <f>+CI1470*26000</f>
        <v>0</v>
      </c>
      <c r="CK1470" s="76"/>
      <c r="CL1470" s="76"/>
      <c r="CM1470" s="76"/>
      <c r="CN1470" s="76">
        <f>+CM1470*22000</f>
        <v>0</v>
      </c>
      <c r="CO1470" s="76"/>
      <c r="CP1470" s="76">
        <f>+CO1470*46000</f>
        <v>0</v>
      </c>
      <c r="CQ1470" s="76"/>
      <c r="CR1470" s="76">
        <f>+CQ1470*49000</f>
        <v>0</v>
      </c>
      <c r="CS1470" s="76"/>
      <c r="CT1470" s="76"/>
      <c r="CU1470" s="56">
        <f>AN1470+AP1470+AR1470+AT1470+AV1470+AX1470+AZ1470+BB1470+BD1470+BF1470+BH1470+BJ1470+BL1470+BN1470+BP1470+BR1470+BT1470+BV1470+BX1470+BZ1470+CB1470+CD1470+CF1470+CH1470+CJ1470+CL1470+CN1470+CP1470+CR1470+CT1470</f>
        <v>0</v>
      </c>
      <c r="CV1470" s="76"/>
      <c r="CW1470" s="76">
        <f>+CV1470*1100</f>
        <v>0</v>
      </c>
      <c r="CX1470" s="76"/>
      <c r="CY1470" s="76">
        <f>+CX1470*106250</f>
        <v>0</v>
      </c>
      <c r="CZ1470" s="76"/>
      <c r="DA1470" s="76">
        <f>+CZ1470*34500</f>
        <v>0</v>
      </c>
      <c r="DB1470" s="76"/>
      <c r="DC1470" s="76">
        <f>+DB1470*25000</f>
        <v>0</v>
      </c>
      <c r="DD1470" s="219"/>
      <c r="DE1470" s="219"/>
      <c r="DF1470" s="166"/>
      <c r="DG1470" s="116"/>
      <c r="DH1470" s="117"/>
      <c r="DI1470" s="24"/>
      <c r="DJ1470" s="24"/>
      <c r="DK1470" s="24"/>
      <c r="DL1470" s="24"/>
      <c r="DM1470" s="24"/>
      <c r="DN1470" s="24"/>
      <c r="DO1470" s="24"/>
      <c r="DP1470" s="24"/>
      <c r="DQ1470" s="24"/>
      <c r="DR1470" s="24"/>
      <c r="DS1470" s="24"/>
      <c r="DT1470" s="24"/>
      <c r="DU1470" s="24"/>
    </row>
    <row r="1471" spans="1:125" s="8" customFormat="1" ht="24" x14ac:dyDescent="0.2">
      <c r="A1471" s="77">
        <v>41378</v>
      </c>
      <c r="B1471" s="78" t="s">
        <v>2718</v>
      </c>
      <c r="C1471" s="75" t="s">
        <v>1325</v>
      </c>
      <c r="D1471" s="75" t="s">
        <v>2882</v>
      </c>
      <c r="E1471" s="75" t="str">
        <f>VLOOKUP(B1471&amp;C1471,Divipola!$C$2:$F$1138,4,FALSE)</f>
        <v>23079</v>
      </c>
      <c r="F1471" s="163"/>
      <c r="G1471" s="163"/>
      <c r="H1471" s="163"/>
      <c r="I1471" s="163">
        <v>340</v>
      </c>
      <c r="J1471" s="163">
        <v>68</v>
      </c>
      <c r="K1471" s="163"/>
      <c r="L1471" s="163">
        <v>68</v>
      </c>
      <c r="M1471" s="163"/>
      <c r="N1471" s="163"/>
      <c r="O1471" s="163"/>
      <c r="P1471" s="163"/>
      <c r="Q1471" s="163"/>
      <c r="R1471" s="163"/>
      <c r="S1471" s="163"/>
      <c r="T1471" s="163"/>
      <c r="U1471" s="163"/>
      <c r="V1471" s="134"/>
      <c r="W1471" s="96">
        <v>0</v>
      </c>
      <c r="X1471" s="71">
        <f>CU1471</f>
        <v>2240000</v>
      </c>
      <c r="Y1471" s="71">
        <f>CY1471</f>
        <v>7177400</v>
      </c>
      <c r="Z1471" s="71">
        <f>DA1471+DC1471+DE1471</f>
        <v>5160000</v>
      </c>
      <c r="AA1471" s="71">
        <f>CW1471</f>
        <v>44000000</v>
      </c>
      <c r="AB1471" s="71"/>
      <c r="AC1471" s="71">
        <v>0</v>
      </c>
      <c r="AD1471" s="71">
        <f>W1471+X1471+Y1471+Z1471+AA1471+AB1471+AC1471</f>
        <v>58577400</v>
      </c>
      <c r="AE1471" s="72">
        <v>0</v>
      </c>
      <c r="AF1471" s="5"/>
      <c r="AG1471" s="6"/>
      <c r="AH1471" s="27" t="s">
        <v>3390</v>
      </c>
      <c r="AI1471" s="44" t="s">
        <v>3391</v>
      </c>
      <c r="AJ1471" s="26"/>
      <c r="AK1471" s="5"/>
      <c r="AL1471" s="82" t="s">
        <v>4770</v>
      </c>
      <c r="AM1471" s="76"/>
      <c r="AN1471" s="76"/>
      <c r="AO1471" s="76"/>
      <c r="AP1471" s="76"/>
      <c r="AQ1471" s="76"/>
      <c r="AR1471" s="76"/>
      <c r="AS1471" s="76"/>
      <c r="AT1471" s="76"/>
      <c r="AU1471" s="76"/>
      <c r="AV1471" s="76"/>
      <c r="AW1471" s="76"/>
      <c r="AX1471" s="76">
        <f>+AW1471*600000</f>
        <v>0</v>
      </c>
      <c r="AY1471" s="76"/>
      <c r="AZ1471" s="76">
        <f>+AY1471*70000</f>
        <v>0</v>
      </c>
      <c r="BA1471" s="76"/>
      <c r="BB1471" s="76"/>
      <c r="BC1471" s="76"/>
      <c r="BD1471" s="76">
        <f>+BC1471*30000</f>
        <v>0</v>
      </c>
      <c r="BE1471" s="76"/>
      <c r="BF1471" s="76"/>
      <c r="BG1471" s="76"/>
      <c r="BH1471" s="76"/>
      <c r="BI1471" s="76"/>
      <c r="BJ1471" s="76"/>
      <c r="BK1471" s="76"/>
      <c r="BL1471" s="76">
        <f>+BK1471*31500</f>
        <v>0</v>
      </c>
      <c r="BM1471" s="76"/>
      <c r="BN1471" s="76"/>
      <c r="BO1471" s="76"/>
      <c r="BP1471" s="76"/>
      <c r="BQ1471" s="76"/>
      <c r="BR1471" s="76"/>
      <c r="BS1471" s="76"/>
      <c r="BT1471" s="76"/>
      <c r="BU1471" s="76"/>
      <c r="BV1471" s="76"/>
      <c r="BW1471" s="76"/>
      <c r="BX1471" s="76"/>
      <c r="BY1471" s="86">
        <v>4</v>
      </c>
      <c r="BZ1471" s="86">
        <f>+BY1471*560000</f>
        <v>2240000</v>
      </c>
      <c r="CA1471" s="76"/>
      <c r="CB1471" s="76"/>
      <c r="CC1471" s="76"/>
      <c r="CD1471" s="76"/>
      <c r="CE1471" s="76"/>
      <c r="CF1471" s="76">
        <f>+CE1471*28000</f>
        <v>0</v>
      </c>
      <c r="CG1471" s="76"/>
      <c r="CH1471" s="76">
        <f>+CG1471*22500</f>
        <v>0</v>
      </c>
      <c r="CI1471" s="76"/>
      <c r="CJ1471" s="76">
        <f>+CI1471*26000</f>
        <v>0</v>
      </c>
      <c r="CK1471" s="76"/>
      <c r="CL1471" s="76"/>
      <c r="CM1471" s="76"/>
      <c r="CN1471" s="76">
        <f>+CM1471*22000</f>
        <v>0</v>
      </c>
      <c r="CO1471" s="76"/>
      <c r="CP1471" s="76">
        <f>+CO1471*46000</f>
        <v>0</v>
      </c>
      <c r="CQ1471" s="76"/>
      <c r="CR1471" s="76">
        <f>+CQ1471*49000</f>
        <v>0</v>
      </c>
      <c r="CS1471" s="76"/>
      <c r="CT1471" s="76"/>
      <c r="CU1471" s="56">
        <f>AN1471+AP1471+AR1471+AT1471+AV1471+AX1471+AZ1471+BB1471+BD1471+BF1471+BH1471+BJ1471+BL1471+BN1471+BP1471+BR1471+BT1471+BV1471+BX1471+BZ1471+CB1471+CD1471+CF1471+CH1471+CJ1471+CL1471+CN1471+CP1471+CR1471+CT1471</f>
        <v>2240000</v>
      </c>
      <c r="CV1471" s="86">
        <v>40000</v>
      </c>
      <c r="CW1471" s="86">
        <f>+CV1471*1100</f>
        <v>44000000</v>
      </c>
      <c r="CX1471" s="86">
        <v>68</v>
      </c>
      <c r="CY1471" s="86">
        <f>+CX1471*105550</f>
        <v>7177400</v>
      </c>
      <c r="CZ1471" s="76"/>
      <c r="DA1471" s="76">
        <f>+CZ1471*34500</f>
        <v>0</v>
      </c>
      <c r="DB1471" s="86">
        <v>200</v>
      </c>
      <c r="DC1471" s="86">
        <f>+DB1471*25000+800*200</f>
        <v>5160000</v>
      </c>
      <c r="DD1471" s="219"/>
      <c r="DE1471" s="219"/>
      <c r="DF1471" s="166"/>
      <c r="DG1471" s="134" t="s">
        <v>5152</v>
      </c>
      <c r="DH1471" s="117"/>
      <c r="DI1471" s="24"/>
      <c r="DJ1471" s="24"/>
      <c r="DK1471" s="24"/>
      <c r="DL1471" s="24"/>
      <c r="DM1471" s="24"/>
      <c r="DN1471" s="24"/>
      <c r="DO1471" s="24"/>
      <c r="DP1471" s="24"/>
      <c r="DQ1471" s="24"/>
      <c r="DR1471" s="24"/>
      <c r="DS1471" s="24"/>
      <c r="DT1471" s="24"/>
      <c r="DU1471" s="24"/>
    </row>
    <row r="1472" spans="1:125" s="8" customFormat="1" ht="36" x14ac:dyDescent="0.2">
      <c r="A1472" s="77">
        <v>41379</v>
      </c>
      <c r="B1472" s="78" t="s">
        <v>2196</v>
      </c>
      <c r="C1472" s="75" t="s">
        <v>2676</v>
      </c>
      <c r="D1472" s="75" t="s">
        <v>3051</v>
      </c>
      <c r="E1472" s="75" t="str">
        <f>VLOOKUP(B1472&amp;C1472,Divipola!$C$2:$F$1138,4,FALSE)</f>
        <v>17380</v>
      </c>
      <c r="F1472" s="163"/>
      <c r="G1472" s="163"/>
      <c r="H1472" s="163"/>
      <c r="I1472" s="163"/>
      <c r="J1472" s="163"/>
      <c r="K1472" s="163"/>
      <c r="L1472" s="163"/>
      <c r="M1472" s="163"/>
      <c r="N1472" s="163"/>
      <c r="O1472" s="163"/>
      <c r="P1472" s="163"/>
      <c r="Q1472" s="163"/>
      <c r="R1472" s="163"/>
      <c r="S1472" s="163"/>
      <c r="T1472" s="163"/>
      <c r="U1472" s="163"/>
      <c r="V1472" s="134"/>
      <c r="W1472" s="96">
        <v>10200000</v>
      </c>
      <c r="X1472" s="71">
        <f>CU1472</f>
        <v>0</v>
      </c>
      <c r="Y1472" s="71">
        <f>CY1472</f>
        <v>0</v>
      </c>
      <c r="Z1472" s="71">
        <f>DA1472+DC1472+DE1472</f>
        <v>0</v>
      </c>
      <c r="AA1472" s="71">
        <f>CW1472</f>
        <v>0</v>
      </c>
      <c r="AB1472" s="71"/>
      <c r="AC1472" s="71">
        <v>0</v>
      </c>
      <c r="AD1472" s="71">
        <f>W1472+X1472+Y1472+Z1472+AA1472+AB1472+AC1472</f>
        <v>10200000</v>
      </c>
      <c r="AE1472" s="72">
        <v>0</v>
      </c>
      <c r="AF1472" s="5"/>
      <c r="AG1472" s="6"/>
      <c r="AH1472" s="27" t="s">
        <v>3390</v>
      </c>
      <c r="AI1472" s="44" t="s">
        <v>3391</v>
      </c>
      <c r="AJ1472" s="26"/>
      <c r="AK1472" s="5"/>
      <c r="AL1472" s="82" t="s">
        <v>4262</v>
      </c>
      <c r="AM1472" s="76"/>
      <c r="AN1472" s="76"/>
      <c r="AO1472" s="76"/>
      <c r="AP1472" s="76"/>
      <c r="AQ1472" s="76"/>
      <c r="AR1472" s="76"/>
      <c r="AS1472" s="76"/>
      <c r="AT1472" s="76"/>
      <c r="AU1472" s="76"/>
      <c r="AV1472" s="76"/>
      <c r="AW1472" s="76"/>
      <c r="AX1472" s="76">
        <f>+AW1472*600000</f>
        <v>0</v>
      </c>
      <c r="AY1472" s="76"/>
      <c r="AZ1472" s="76">
        <f>+AY1472*70000</f>
        <v>0</v>
      </c>
      <c r="BA1472" s="76"/>
      <c r="BB1472" s="76"/>
      <c r="BC1472" s="76"/>
      <c r="BD1472" s="76">
        <f>+BC1472*30000</f>
        <v>0</v>
      </c>
      <c r="BE1472" s="76"/>
      <c r="BF1472" s="76"/>
      <c r="BG1472" s="76"/>
      <c r="BH1472" s="76"/>
      <c r="BI1472" s="76"/>
      <c r="BJ1472" s="76"/>
      <c r="BK1472" s="76"/>
      <c r="BL1472" s="76">
        <f>+BK1472*31500</f>
        <v>0</v>
      </c>
      <c r="BM1472" s="76"/>
      <c r="BN1472" s="76"/>
      <c r="BO1472" s="76"/>
      <c r="BP1472" s="76"/>
      <c r="BQ1472" s="76"/>
      <c r="BR1472" s="76"/>
      <c r="BS1472" s="76"/>
      <c r="BT1472" s="76"/>
      <c r="BU1472" s="76"/>
      <c r="BV1472" s="76"/>
      <c r="BW1472" s="76"/>
      <c r="BX1472" s="76"/>
      <c r="BY1472" s="76"/>
      <c r="BZ1472" s="76"/>
      <c r="CA1472" s="76"/>
      <c r="CB1472" s="76"/>
      <c r="CC1472" s="76"/>
      <c r="CD1472" s="76"/>
      <c r="CE1472" s="76"/>
      <c r="CF1472" s="76">
        <f>+CE1472*28000</f>
        <v>0</v>
      </c>
      <c r="CG1472" s="76"/>
      <c r="CH1472" s="76">
        <f>+CG1472*22500</f>
        <v>0</v>
      </c>
      <c r="CI1472" s="76"/>
      <c r="CJ1472" s="76">
        <f>+CI1472*26000</f>
        <v>0</v>
      </c>
      <c r="CK1472" s="76"/>
      <c r="CL1472" s="76"/>
      <c r="CM1472" s="76"/>
      <c r="CN1472" s="76">
        <f>+CM1472*22000</f>
        <v>0</v>
      </c>
      <c r="CO1472" s="76"/>
      <c r="CP1472" s="76">
        <f>+CO1472*46000</f>
        <v>0</v>
      </c>
      <c r="CQ1472" s="76"/>
      <c r="CR1472" s="76">
        <f>+CQ1472*49000</f>
        <v>0</v>
      </c>
      <c r="CS1472" s="76"/>
      <c r="CT1472" s="76"/>
      <c r="CU1472" s="56">
        <f>AN1472+AP1472+AR1472+AT1472+AV1472+AX1472+AZ1472+BB1472+BD1472+BF1472+BH1472+BJ1472+BL1472+BN1472+BP1472+BR1472+BT1472+BV1472+BX1472+BZ1472+CB1472+CD1472+CF1472+CH1472+CJ1472+CL1472+CN1472+CP1472+CR1472+CT1472</f>
        <v>0</v>
      </c>
      <c r="CV1472" s="76"/>
      <c r="CW1472" s="76">
        <f>+CV1472*1100</f>
        <v>0</v>
      </c>
      <c r="CX1472" s="76"/>
      <c r="CY1472" s="76">
        <f>+CX1472*106250</f>
        <v>0</v>
      </c>
      <c r="CZ1472" s="76"/>
      <c r="DA1472" s="76">
        <f>+CZ1472*34500</f>
        <v>0</v>
      </c>
      <c r="DB1472" s="76"/>
      <c r="DC1472" s="76">
        <f>+DB1472*25000</f>
        <v>0</v>
      </c>
      <c r="DD1472" s="219"/>
      <c r="DE1472" s="219"/>
      <c r="DF1472" s="166"/>
      <c r="DG1472" s="116"/>
      <c r="DH1472" s="117"/>
      <c r="DI1472" s="24"/>
      <c r="DJ1472" s="24"/>
      <c r="DK1472" s="24"/>
      <c r="DL1472" s="24"/>
      <c r="DM1472" s="24"/>
      <c r="DN1472" s="24"/>
      <c r="DO1472" s="24"/>
      <c r="DP1472" s="24"/>
      <c r="DQ1472" s="24"/>
      <c r="DR1472" s="24"/>
      <c r="DS1472" s="24"/>
      <c r="DT1472" s="24"/>
      <c r="DU1472" s="24"/>
    </row>
    <row r="1473" spans="1:125" s="8" customFormat="1" ht="96" x14ac:dyDescent="0.2">
      <c r="A1473" s="353">
        <v>41379</v>
      </c>
      <c r="B1473" s="352" t="s">
        <v>2854</v>
      </c>
      <c r="C1473" s="354" t="s">
        <v>2738</v>
      </c>
      <c r="D1473" s="354" t="s">
        <v>2882</v>
      </c>
      <c r="E1473" s="75" t="str">
        <f>VLOOKUP(B1473&amp;C1473,Divipola!$C$2:$F$1138,4,FALSE)</f>
        <v>19473</v>
      </c>
      <c r="F1473" s="87"/>
      <c r="G1473" s="87"/>
      <c r="H1473" s="87"/>
      <c r="I1473" s="87">
        <f>452*5</f>
        <v>2260</v>
      </c>
      <c r="J1473" s="87">
        <v>452</v>
      </c>
      <c r="K1473" s="87"/>
      <c r="L1473" s="87">
        <v>452</v>
      </c>
      <c r="M1473" s="87"/>
      <c r="N1473" s="87"/>
      <c r="O1473" s="87"/>
      <c r="P1473" s="87"/>
      <c r="Q1473" s="87"/>
      <c r="R1473" s="87"/>
      <c r="S1473" s="87"/>
      <c r="T1473" s="87"/>
      <c r="U1473" s="88">
        <v>561</v>
      </c>
      <c r="V1473" s="89"/>
      <c r="W1473" s="96">
        <v>0</v>
      </c>
      <c r="X1473" s="71">
        <f>CU1473</f>
        <v>0</v>
      </c>
      <c r="Y1473" s="71">
        <f>CY1473</f>
        <v>0</v>
      </c>
      <c r="Z1473" s="71">
        <f>DA1473+DC1473+DE1473</f>
        <v>0</v>
      </c>
      <c r="AA1473" s="71">
        <f>CW1473</f>
        <v>0</v>
      </c>
      <c r="AB1473" s="71"/>
      <c r="AC1473" s="71">
        <v>0</v>
      </c>
      <c r="AD1473" s="71">
        <f>W1473+X1473+Y1473+Z1473+AA1473+AB1473+AC1473</f>
        <v>0</v>
      </c>
      <c r="AE1473" s="72">
        <v>0</v>
      </c>
      <c r="AF1473" s="5"/>
      <c r="AG1473" s="6"/>
      <c r="AH1473" s="27" t="s">
        <v>3390</v>
      </c>
      <c r="AI1473" s="44" t="s">
        <v>3393</v>
      </c>
      <c r="AJ1473" s="26"/>
      <c r="AK1473" s="5"/>
      <c r="AL1473" s="82" t="s">
        <v>4321</v>
      </c>
      <c r="AM1473" s="76"/>
      <c r="AN1473" s="76"/>
      <c r="AO1473" s="76"/>
      <c r="AP1473" s="76"/>
      <c r="AQ1473" s="76"/>
      <c r="AR1473" s="76"/>
      <c r="AS1473" s="76"/>
      <c r="AT1473" s="76"/>
      <c r="AU1473" s="76"/>
      <c r="AV1473" s="76"/>
      <c r="AW1473" s="76"/>
      <c r="AX1473" s="76">
        <f>+AW1473*600000</f>
        <v>0</v>
      </c>
      <c r="AY1473" s="76"/>
      <c r="AZ1473" s="76">
        <f>+AY1473*70000</f>
        <v>0</v>
      </c>
      <c r="BA1473" s="76"/>
      <c r="BB1473" s="76"/>
      <c r="BC1473" s="76"/>
      <c r="BD1473" s="76">
        <f>+BC1473*30000</f>
        <v>0</v>
      </c>
      <c r="BE1473" s="76"/>
      <c r="BF1473" s="76"/>
      <c r="BG1473" s="76"/>
      <c r="BH1473" s="76"/>
      <c r="BI1473" s="76"/>
      <c r="BJ1473" s="76"/>
      <c r="BK1473" s="76"/>
      <c r="BL1473" s="76">
        <f>+BK1473*31500</f>
        <v>0</v>
      </c>
      <c r="BM1473" s="76"/>
      <c r="BN1473" s="76"/>
      <c r="BO1473" s="76"/>
      <c r="BP1473" s="76"/>
      <c r="BQ1473" s="76"/>
      <c r="BR1473" s="76"/>
      <c r="BS1473" s="76"/>
      <c r="BT1473" s="76"/>
      <c r="BU1473" s="76"/>
      <c r="BV1473" s="76"/>
      <c r="BW1473" s="76"/>
      <c r="BX1473" s="76"/>
      <c r="BY1473" s="76"/>
      <c r="BZ1473" s="76"/>
      <c r="CA1473" s="76"/>
      <c r="CB1473" s="76"/>
      <c r="CC1473" s="76"/>
      <c r="CD1473" s="76"/>
      <c r="CE1473" s="76"/>
      <c r="CF1473" s="76">
        <f>+CE1473*28000</f>
        <v>0</v>
      </c>
      <c r="CG1473" s="76"/>
      <c r="CH1473" s="76">
        <f>+CG1473*22500</f>
        <v>0</v>
      </c>
      <c r="CI1473" s="76"/>
      <c r="CJ1473" s="76">
        <f>+CI1473*26000</f>
        <v>0</v>
      </c>
      <c r="CK1473" s="76"/>
      <c r="CL1473" s="76"/>
      <c r="CM1473" s="76"/>
      <c r="CN1473" s="76">
        <f>+CM1473*22000</f>
        <v>0</v>
      </c>
      <c r="CO1473" s="76"/>
      <c r="CP1473" s="76">
        <f>+CO1473*46000</f>
        <v>0</v>
      </c>
      <c r="CQ1473" s="76"/>
      <c r="CR1473" s="76">
        <f>+CQ1473*49000</f>
        <v>0</v>
      </c>
      <c r="CS1473" s="76"/>
      <c r="CT1473" s="76"/>
      <c r="CU1473" s="56">
        <f>AN1473+AP1473+AR1473+AT1473+AV1473+AX1473+AZ1473+BB1473+BD1473+BF1473+BH1473+BJ1473+BL1473+BN1473+BP1473+BR1473+BT1473+BV1473+BX1473+BZ1473+CB1473+CD1473+CF1473+CH1473+CJ1473+CL1473+CN1473+CP1473+CR1473+CT1473</f>
        <v>0</v>
      </c>
      <c r="CV1473" s="76"/>
      <c r="CW1473" s="76">
        <f>+CV1473*1100</f>
        <v>0</v>
      </c>
      <c r="CX1473" s="76"/>
      <c r="CY1473" s="76">
        <f>+CX1473*106250</f>
        <v>0</v>
      </c>
      <c r="CZ1473" s="76"/>
      <c r="DA1473" s="76">
        <f>+CZ1473*34500</f>
        <v>0</v>
      </c>
      <c r="DB1473" s="76"/>
      <c r="DC1473" s="76">
        <f>+DB1473*25000</f>
        <v>0</v>
      </c>
      <c r="DD1473" s="219"/>
      <c r="DE1473" s="219"/>
      <c r="DF1473" s="166"/>
      <c r="DG1473" s="116"/>
      <c r="DH1473" s="117"/>
      <c r="DI1473" s="24"/>
      <c r="DJ1473" s="24"/>
      <c r="DK1473" s="24"/>
      <c r="DL1473" s="24"/>
      <c r="DM1473" s="24"/>
      <c r="DN1473" s="24"/>
      <c r="DO1473" s="24"/>
      <c r="DP1473" s="24"/>
      <c r="DQ1473" s="24"/>
      <c r="DR1473" s="24"/>
      <c r="DS1473" s="24"/>
      <c r="DT1473" s="24"/>
      <c r="DU1473" s="24"/>
    </row>
    <row r="1474" spans="1:125" s="8" customFormat="1" ht="273" customHeight="1" x14ac:dyDescent="0.2">
      <c r="A1474" s="97">
        <v>41379</v>
      </c>
      <c r="B1474" s="60" t="s">
        <v>2772</v>
      </c>
      <c r="C1474" s="55" t="s">
        <v>1336</v>
      </c>
      <c r="D1474" s="55" t="s">
        <v>2882</v>
      </c>
      <c r="E1474" s="75" t="str">
        <f>VLOOKUP(B1474&amp;C1474,Divipola!$C$2:$F$1138,4,FALSE)</f>
        <v>25394</v>
      </c>
      <c r="F1474" s="87"/>
      <c r="G1474" s="87"/>
      <c r="H1474" s="87"/>
      <c r="I1474" s="87">
        <v>75</v>
      </c>
      <c r="J1474" s="87">
        <v>15</v>
      </c>
      <c r="K1474" s="87"/>
      <c r="L1474" s="87">
        <v>15</v>
      </c>
      <c r="M1474" s="87"/>
      <c r="N1474" s="87"/>
      <c r="O1474" s="87"/>
      <c r="P1474" s="87"/>
      <c r="Q1474" s="87"/>
      <c r="R1474" s="87"/>
      <c r="S1474" s="87"/>
      <c r="T1474" s="87"/>
      <c r="U1474" s="88"/>
      <c r="V1474" s="89"/>
      <c r="W1474" s="96">
        <v>0</v>
      </c>
      <c r="X1474" s="71">
        <f>CU1474</f>
        <v>0</v>
      </c>
      <c r="Y1474" s="71">
        <f>CY1474</f>
        <v>0</v>
      </c>
      <c r="Z1474" s="71">
        <f>DA1474+DC1474+DE1474</f>
        <v>0</v>
      </c>
      <c r="AA1474" s="71">
        <f>CW1474</f>
        <v>0</v>
      </c>
      <c r="AB1474" s="71"/>
      <c r="AC1474" s="71">
        <v>0</v>
      </c>
      <c r="AD1474" s="71">
        <f>W1474+X1474+Y1474+Z1474+AA1474+AB1474+AC1474</f>
        <v>0</v>
      </c>
      <c r="AE1474" s="72">
        <v>0</v>
      </c>
      <c r="AF1474" s="5"/>
      <c r="AG1474" s="6"/>
      <c r="AH1474" s="27" t="s">
        <v>3390</v>
      </c>
      <c r="AI1474" s="44" t="s">
        <v>3393</v>
      </c>
      <c r="AJ1474" s="26"/>
      <c r="AK1474" s="5" t="s">
        <v>4242</v>
      </c>
      <c r="AL1474" s="82" t="s">
        <v>4467</v>
      </c>
      <c r="AM1474" s="76"/>
      <c r="AN1474" s="76"/>
      <c r="AO1474" s="76"/>
      <c r="AP1474" s="76"/>
      <c r="AQ1474" s="76"/>
      <c r="AR1474" s="76"/>
      <c r="AS1474" s="76"/>
      <c r="AT1474" s="76"/>
      <c r="AU1474" s="76"/>
      <c r="AV1474" s="76"/>
      <c r="AW1474" s="76"/>
      <c r="AX1474" s="76">
        <f>+AW1474*600000</f>
        <v>0</v>
      </c>
      <c r="AY1474" s="76"/>
      <c r="AZ1474" s="76">
        <f>+AY1474*70000</f>
        <v>0</v>
      </c>
      <c r="BA1474" s="76"/>
      <c r="BB1474" s="76"/>
      <c r="BC1474" s="76"/>
      <c r="BD1474" s="76">
        <f>+BC1474*30000</f>
        <v>0</v>
      </c>
      <c r="BE1474" s="76"/>
      <c r="BF1474" s="76"/>
      <c r="BG1474" s="76"/>
      <c r="BH1474" s="76"/>
      <c r="BI1474" s="76"/>
      <c r="BJ1474" s="76"/>
      <c r="BK1474" s="76"/>
      <c r="BL1474" s="76">
        <f>+BK1474*31500</f>
        <v>0</v>
      </c>
      <c r="BM1474" s="76"/>
      <c r="BN1474" s="76"/>
      <c r="BO1474" s="76"/>
      <c r="BP1474" s="76"/>
      <c r="BQ1474" s="76"/>
      <c r="BR1474" s="76"/>
      <c r="BS1474" s="76"/>
      <c r="BT1474" s="76"/>
      <c r="BU1474" s="76"/>
      <c r="BV1474" s="76"/>
      <c r="BW1474" s="76"/>
      <c r="BX1474" s="76"/>
      <c r="BY1474" s="76"/>
      <c r="BZ1474" s="76"/>
      <c r="CA1474" s="76"/>
      <c r="CB1474" s="76"/>
      <c r="CC1474" s="76"/>
      <c r="CD1474" s="76"/>
      <c r="CE1474" s="76"/>
      <c r="CF1474" s="76">
        <f>+CE1474*28000</f>
        <v>0</v>
      </c>
      <c r="CG1474" s="76"/>
      <c r="CH1474" s="76">
        <f>+CG1474*22500</f>
        <v>0</v>
      </c>
      <c r="CI1474" s="76"/>
      <c r="CJ1474" s="76">
        <f>+CI1474*26000</f>
        <v>0</v>
      </c>
      <c r="CK1474" s="76"/>
      <c r="CL1474" s="76"/>
      <c r="CM1474" s="76"/>
      <c r="CN1474" s="76">
        <f>+CM1474*22000</f>
        <v>0</v>
      </c>
      <c r="CO1474" s="76"/>
      <c r="CP1474" s="76">
        <f>+CO1474*46000</f>
        <v>0</v>
      </c>
      <c r="CQ1474" s="76"/>
      <c r="CR1474" s="76">
        <f>+CQ1474*49000</f>
        <v>0</v>
      </c>
      <c r="CS1474" s="76"/>
      <c r="CT1474" s="76"/>
      <c r="CU1474" s="56">
        <f>AN1474+AP1474+AR1474+AT1474+AV1474+AX1474+AZ1474+BB1474+BD1474+BF1474+BH1474+BJ1474+BL1474+BN1474+BP1474+BR1474+BT1474+BV1474+BX1474+BZ1474+CB1474+CD1474+CF1474+CH1474+CJ1474+CL1474+CN1474+CP1474+CR1474+CT1474</f>
        <v>0</v>
      </c>
      <c r="CV1474" s="76"/>
      <c r="CW1474" s="76">
        <f>+CV1474*1100</f>
        <v>0</v>
      </c>
      <c r="CX1474" s="76"/>
      <c r="CY1474" s="76">
        <f>+CX1474*106250</f>
        <v>0</v>
      </c>
      <c r="CZ1474" s="76"/>
      <c r="DA1474" s="76">
        <f>+CZ1474*34500</f>
        <v>0</v>
      </c>
      <c r="DB1474" s="76"/>
      <c r="DC1474" s="76">
        <f>+DB1474*25000</f>
        <v>0</v>
      </c>
      <c r="DD1474" s="219"/>
      <c r="DE1474" s="219"/>
      <c r="DF1474" s="166"/>
      <c r="DG1474" s="116"/>
      <c r="DH1474" s="117"/>
      <c r="DI1474" s="24"/>
      <c r="DJ1474" s="24"/>
      <c r="DK1474" s="24"/>
      <c r="DL1474" s="24"/>
      <c r="DM1474" s="24"/>
      <c r="DN1474" s="24"/>
      <c r="DO1474" s="24"/>
      <c r="DP1474" s="24"/>
      <c r="DQ1474" s="24"/>
      <c r="DR1474" s="24"/>
      <c r="DS1474" s="24"/>
      <c r="DT1474" s="24"/>
      <c r="DU1474" s="24"/>
    </row>
    <row r="1475" spans="1:125" s="8" customFormat="1" ht="300" x14ac:dyDescent="0.2">
      <c r="A1475" s="226">
        <v>41379</v>
      </c>
      <c r="B1475" s="225" t="s">
        <v>3136</v>
      </c>
      <c r="C1475" s="227" t="s">
        <v>403</v>
      </c>
      <c r="D1475" s="227" t="s">
        <v>2859</v>
      </c>
      <c r="E1475" s="75" t="str">
        <f>VLOOKUP(B1475&amp;C1475,Divipola!$C$2:$F$1138,4,FALSE)</f>
        <v>44430</v>
      </c>
      <c r="F1475" s="87"/>
      <c r="G1475" s="87"/>
      <c r="H1475" s="87"/>
      <c r="I1475" s="87">
        <v>15</v>
      </c>
      <c r="J1475" s="87">
        <v>3</v>
      </c>
      <c r="K1475" s="87">
        <v>3</v>
      </c>
      <c r="L1475" s="87"/>
      <c r="M1475" s="87"/>
      <c r="N1475" s="87"/>
      <c r="O1475" s="87"/>
      <c r="P1475" s="87"/>
      <c r="Q1475" s="87"/>
      <c r="R1475" s="87"/>
      <c r="S1475" s="87"/>
      <c r="T1475" s="87"/>
      <c r="U1475" s="88"/>
      <c r="V1475" s="89"/>
      <c r="W1475" s="96">
        <v>0</v>
      </c>
      <c r="X1475" s="71">
        <f>CU1475</f>
        <v>0</v>
      </c>
      <c r="Y1475" s="71">
        <f>CY1475</f>
        <v>0</v>
      </c>
      <c r="Z1475" s="71">
        <f>DA1475+DC1475+DE1475</f>
        <v>0</v>
      </c>
      <c r="AA1475" s="71">
        <f>CW1475</f>
        <v>0</v>
      </c>
      <c r="AB1475" s="71"/>
      <c r="AC1475" s="71">
        <v>0</v>
      </c>
      <c r="AD1475" s="71">
        <f>W1475+X1475+Y1475+Z1475+AA1475+AB1475+AC1475</f>
        <v>0</v>
      </c>
      <c r="AE1475" s="72">
        <v>0</v>
      </c>
      <c r="AF1475" s="5"/>
      <c r="AG1475" s="6"/>
      <c r="AH1475" s="27" t="s">
        <v>3392</v>
      </c>
      <c r="AI1475" s="44" t="s">
        <v>3393</v>
      </c>
      <c r="AJ1475" s="26"/>
      <c r="AK1475" s="5"/>
      <c r="AL1475" s="82" t="s">
        <v>4299</v>
      </c>
      <c r="AM1475" s="76"/>
      <c r="AN1475" s="76"/>
      <c r="AO1475" s="76"/>
      <c r="AP1475" s="76"/>
      <c r="AQ1475" s="76"/>
      <c r="AR1475" s="76"/>
      <c r="AS1475" s="76"/>
      <c r="AT1475" s="76"/>
      <c r="AU1475" s="76"/>
      <c r="AV1475" s="76"/>
      <c r="AW1475" s="76"/>
      <c r="AX1475" s="76">
        <f>+AW1475*600000</f>
        <v>0</v>
      </c>
      <c r="AY1475" s="76"/>
      <c r="AZ1475" s="76">
        <f>+AY1475*70000</f>
        <v>0</v>
      </c>
      <c r="BA1475" s="76"/>
      <c r="BB1475" s="76"/>
      <c r="BC1475" s="76"/>
      <c r="BD1475" s="76">
        <f>+BC1475*30000</f>
        <v>0</v>
      </c>
      <c r="BE1475" s="76"/>
      <c r="BF1475" s="76"/>
      <c r="BG1475" s="76"/>
      <c r="BH1475" s="76"/>
      <c r="BI1475" s="76"/>
      <c r="BJ1475" s="76"/>
      <c r="BK1475" s="76"/>
      <c r="BL1475" s="76">
        <f>+BK1475*31500</f>
        <v>0</v>
      </c>
      <c r="BM1475" s="76"/>
      <c r="BN1475" s="76"/>
      <c r="BO1475" s="76"/>
      <c r="BP1475" s="76"/>
      <c r="BQ1475" s="76"/>
      <c r="BR1475" s="76"/>
      <c r="BS1475" s="76"/>
      <c r="BT1475" s="76"/>
      <c r="BU1475" s="76"/>
      <c r="BV1475" s="76"/>
      <c r="BW1475" s="76"/>
      <c r="BX1475" s="76"/>
      <c r="BY1475" s="76"/>
      <c r="BZ1475" s="76"/>
      <c r="CA1475" s="76"/>
      <c r="CB1475" s="76"/>
      <c r="CC1475" s="76"/>
      <c r="CD1475" s="76"/>
      <c r="CE1475" s="76"/>
      <c r="CF1475" s="76">
        <f>+CE1475*28000</f>
        <v>0</v>
      </c>
      <c r="CG1475" s="76"/>
      <c r="CH1475" s="76">
        <f>+CG1475*22500</f>
        <v>0</v>
      </c>
      <c r="CI1475" s="76"/>
      <c r="CJ1475" s="76">
        <f>+CI1475*26000</f>
        <v>0</v>
      </c>
      <c r="CK1475" s="76"/>
      <c r="CL1475" s="76"/>
      <c r="CM1475" s="76"/>
      <c r="CN1475" s="76">
        <f>+CM1475*22000</f>
        <v>0</v>
      </c>
      <c r="CO1475" s="76"/>
      <c r="CP1475" s="76">
        <f>+CO1475*46000</f>
        <v>0</v>
      </c>
      <c r="CQ1475" s="76"/>
      <c r="CR1475" s="76">
        <f>+CQ1475*49000</f>
        <v>0</v>
      </c>
      <c r="CS1475" s="76"/>
      <c r="CT1475" s="76"/>
      <c r="CU1475" s="56">
        <f>AN1475+AP1475+AR1475+AT1475+AV1475+AX1475+AZ1475+BB1475+BD1475+BF1475+BH1475+BJ1475+BL1475+BN1475+BP1475+BR1475+BT1475+BV1475+BX1475+BZ1475+CB1475+CD1475+CF1475+CH1475+CJ1475+CL1475+CN1475+CP1475+CR1475+CT1475</f>
        <v>0</v>
      </c>
      <c r="CV1475" s="76"/>
      <c r="CW1475" s="76">
        <f>+CV1475*1100</f>
        <v>0</v>
      </c>
      <c r="CX1475" s="76"/>
      <c r="CY1475" s="76">
        <f>+CX1475*106250</f>
        <v>0</v>
      </c>
      <c r="CZ1475" s="76"/>
      <c r="DA1475" s="76">
        <f>+CZ1475*34500</f>
        <v>0</v>
      </c>
      <c r="DB1475" s="76"/>
      <c r="DC1475" s="76">
        <f>+DB1475*25000</f>
        <v>0</v>
      </c>
      <c r="DD1475" s="219"/>
      <c r="DE1475" s="219"/>
      <c r="DF1475" s="166"/>
      <c r="DG1475" s="116"/>
      <c r="DH1475" s="117"/>
      <c r="DI1475" s="24"/>
      <c r="DJ1475" s="24"/>
      <c r="DK1475" s="24"/>
      <c r="DL1475" s="24"/>
      <c r="DM1475" s="24"/>
      <c r="DN1475" s="24"/>
      <c r="DO1475" s="24"/>
      <c r="DP1475" s="24"/>
      <c r="DQ1475" s="24"/>
      <c r="DR1475" s="24"/>
      <c r="DS1475" s="24"/>
      <c r="DT1475" s="24"/>
      <c r="DU1475" s="24"/>
    </row>
    <row r="1476" spans="1:125" s="8" customFormat="1" ht="48" x14ac:dyDescent="0.2">
      <c r="A1476" s="77">
        <v>41379</v>
      </c>
      <c r="B1476" s="225" t="s">
        <v>2847</v>
      </c>
      <c r="C1476" s="227" t="s">
        <v>2841</v>
      </c>
      <c r="D1476" s="81" t="s">
        <v>2846</v>
      </c>
      <c r="E1476" s="75" t="str">
        <f>VLOOKUP(B1476&amp;C1476,Divipola!$C$2:$F$1138,4,FALSE)</f>
        <v>68162</v>
      </c>
      <c r="F1476" s="87"/>
      <c r="G1476" s="87"/>
      <c r="H1476" s="87"/>
      <c r="I1476" s="87"/>
      <c r="J1476" s="87"/>
      <c r="K1476" s="87"/>
      <c r="L1476" s="87"/>
      <c r="M1476" s="87"/>
      <c r="N1476" s="87"/>
      <c r="O1476" s="87"/>
      <c r="P1476" s="87"/>
      <c r="Q1476" s="87"/>
      <c r="R1476" s="87"/>
      <c r="S1476" s="87"/>
      <c r="T1476" s="87"/>
      <c r="U1476" s="88">
        <v>1</v>
      </c>
      <c r="V1476" s="89"/>
      <c r="W1476" s="96">
        <v>0</v>
      </c>
      <c r="X1476" s="71">
        <f>CU1476</f>
        <v>0</v>
      </c>
      <c r="Y1476" s="71">
        <f>CY1476</f>
        <v>0</v>
      </c>
      <c r="Z1476" s="71">
        <f>DA1476+DC1476+DE1476</f>
        <v>0</v>
      </c>
      <c r="AA1476" s="71">
        <f>CW1476</f>
        <v>0</v>
      </c>
      <c r="AB1476" s="71"/>
      <c r="AC1476" s="71">
        <v>0</v>
      </c>
      <c r="AD1476" s="71">
        <f>W1476+X1476+Y1476+Z1476+AA1476+AB1476+AC1476</f>
        <v>0</v>
      </c>
      <c r="AE1476" s="72">
        <v>0</v>
      </c>
      <c r="AF1476" s="5"/>
      <c r="AG1476" s="6"/>
      <c r="AH1476" s="27" t="s">
        <v>3392</v>
      </c>
      <c r="AI1476" s="44" t="s">
        <v>3393</v>
      </c>
      <c r="AJ1476" s="26"/>
      <c r="AK1476" s="5"/>
      <c r="AL1476" s="82" t="s">
        <v>4286</v>
      </c>
      <c r="AM1476" s="76"/>
      <c r="AN1476" s="76"/>
      <c r="AO1476" s="76"/>
      <c r="AP1476" s="76"/>
      <c r="AQ1476" s="76"/>
      <c r="AR1476" s="76"/>
      <c r="AS1476" s="76"/>
      <c r="AT1476" s="76"/>
      <c r="AU1476" s="76"/>
      <c r="AV1476" s="76"/>
      <c r="AW1476" s="76"/>
      <c r="AX1476" s="76">
        <f>+AW1476*600000</f>
        <v>0</v>
      </c>
      <c r="AY1476" s="76"/>
      <c r="AZ1476" s="76">
        <f>+AY1476*70000</f>
        <v>0</v>
      </c>
      <c r="BA1476" s="76"/>
      <c r="BB1476" s="76"/>
      <c r="BC1476" s="76"/>
      <c r="BD1476" s="76">
        <f>+BC1476*30000</f>
        <v>0</v>
      </c>
      <c r="BE1476" s="76"/>
      <c r="BF1476" s="76"/>
      <c r="BG1476" s="76"/>
      <c r="BH1476" s="76"/>
      <c r="BI1476" s="76"/>
      <c r="BJ1476" s="76"/>
      <c r="BK1476" s="76"/>
      <c r="BL1476" s="76">
        <f>+BK1476*31500</f>
        <v>0</v>
      </c>
      <c r="BM1476" s="76"/>
      <c r="BN1476" s="76"/>
      <c r="BO1476" s="76"/>
      <c r="BP1476" s="76"/>
      <c r="BQ1476" s="76"/>
      <c r="BR1476" s="76"/>
      <c r="BS1476" s="76"/>
      <c r="BT1476" s="76"/>
      <c r="BU1476" s="76"/>
      <c r="BV1476" s="76"/>
      <c r="BW1476" s="76"/>
      <c r="BX1476" s="76"/>
      <c r="BY1476" s="76"/>
      <c r="BZ1476" s="76"/>
      <c r="CA1476" s="76"/>
      <c r="CB1476" s="76"/>
      <c r="CC1476" s="76"/>
      <c r="CD1476" s="76"/>
      <c r="CE1476" s="76"/>
      <c r="CF1476" s="76">
        <f>+CE1476*28000</f>
        <v>0</v>
      </c>
      <c r="CG1476" s="76"/>
      <c r="CH1476" s="76">
        <f>+CG1476*22500</f>
        <v>0</v>
      </c>
      <c r="CI1476" s="76"/>
      <c r="CJ1476" s="76">
        <f>+CI1476*26000</f>
        <v>0</v>
      </c>
      <c r="CK1476" s="76"/>
      <c r="CL1476" s="76"/>
      <c r="CM1476" s="76"/>
      <c r="CN1476" s="76">
        <f>+CM1476*22000</f>
        <v>0</v>
      </c>
      <c r="CO1476" s="76"/>
      <c r="CP1476" s="76">
        <f>+CO1476*46000</f>
        <v>0</v>
      </c>
      <c r="CQ1476" s="76"/>
      <c r="CR1476" s="76">
        <f>+CQ1476*49000</f>
        <v>0</v>
      </c>
      <c r="CS1476" s="76"/>
      <c r="CT1476" s="76"/>
      <c r="CU1476" s="56">
        <f>AN1476+AP1476+AR1476+AT1476+AV1476+AX1476+AZ1476+BB1476+BD1476+BF1476+BH1476+BJ1476+BL1476+BN1476+BP1476+BR1476+BT1476+BV1476+BX1476+BZ1476+CB1476+CD1476+CF1476+CH1476+CJ1476+CL1476+CN1476+CP1476+CR1476+CT1476</f>
        <v>0</v>
      </c>
      <c r="CV1476" s="76"/>
      <c r="CW1476" s="76">
        <f>+CV1476*1100</f>
        <v>0</v>
      </c>
      <c r="CX1476" s="76"/>
      <c r="CY1476" s="76">
        <f>+CX1476*106250</f>
        <v>0</v>
      </c>
      <c r="CZ1476" s="76"/>
      <c r="DA1476" s="76">
        <f>+CZ1476*34500</f>
        <v>0</v>
      </c>
      <c r="DB1476" s="76"/>
      <c r="DC1476" s="76">
        <f>+DB1476*25000</f>
        <v>0</v>
      </c>
      <c r="DD1476" s="219"/>
      <c r="DE1476" s="219"/>
      <c r="DF1476" s="166"/>
      <c r="DG1476" s="116"/>
      <c r="DH1476" s="117"/>
      <c r="DI1476" s="24"/>
      <c r="DJ1476" s="24"/>
      <c r="DK1476" s="24"/>
      <c r="DL1476" s="24"/>
      <c r="DM1476" s="24"/>
      <c r="DN1476" s="24"/>
      <c r="DO1476" s="24"/>
      <c r="DP1476" s="24"/>
      <c r="DQ1476" s="24"/>
      <c r="DR1476" s="24"/>
      <c r="DS1476" s="24"/>
      <c r="DT1476" s="24"/>
      <c r="DU1476" s="24"/>
    </row>
    <row r="1477" spans="1:125" s="8" customFormat="1" ht="36" x14ac:dyDescent="0.2">
      <c r="A1477" s="77">
        <v>41380</v>
      </c>
      <c r="B1477" s="78" t="s">
        <v>2036</v>
      </c>
      <c r="C1477" s="75" t="s">
        <v>1374</v>
      </c>
      <c r="D1477" s="75" t="s">
        <v>3051</v>
      </c>
      <c r="E1477" s="75" t="str">
        <f>VLOOKUP(B1477&amp;C1477,Divipola!$C$2:$F$1138,4,FALSE)</f>
        <v>81065</v>
      </c>
      <c r="F1477" s="163"/>
      <c r="G1477" s="163"/>
      <c r="H1477" s="163"/>
      <c r="I1477" s="163">
        <v>484</v>
      </c>
      <c r="J1477" s="163">
        <v>130</v>
      </c>
      <c r="K1477" s="163">
        <v>1</v>
      </c>
      <c r="L1477" s="163">
        <v>61</v>
      </c>
      <c r="M1477" s="163">
        <v>5</v>
      </c>
      <c r="N1477" s="163"/>
      <c r="O1477" s="163"/>
      <c r="P1477" s="163"/>
      <c r="Q1477" s="163"/>
      <c r="R1477" s="163"/>
      <c r="S1477" s="163"/>
      <c r="T1477" s="163"/>
      <c r="U1477" s="163"/>
      <c r="V1477" s="134"/>
      <c r="W1477" s="96">
        <v>0</v>
      </c>
      <c r="X1477" s="71">
        <f>CU1477</f>
        <v>0</v>
      </c>
      <c r="Y1477" s="71">
        <f>CY1477</f>
        <v>0</v>
      </c>
      <c r="Z1477" s="71">
        <f>DA1477+DC1477+DE1477</f>
        <v>0</v>
      </c>
      <c r="AA1477" s="71">
        <f>CW1477</f>
        <v>0</v>
      </c>
      <c r="AB1477" s="71"/>
      <c r="AC1477" s="71">
        <v>0</v>
      </c>
      <c r="AD1477" s="71">
        <f>W1477+X1477+Y1477+Z1477+AA1477+AB1477+AC1477</f>
        <v>0</v>
      </c>
      <c r="AE1477" s="72">
        <v>0</v>
      </c>
      <c r="AF1477" s="5"/>
      <c r="AG1477" s="6"/>
      <c r="AH1477" s="27" t="s">
        <v>3390</v>
      </c>
      <c r="AI1477" s="44" t="s">
        <v>3393</v>
      </c>
      <c r="AJ1477" s="26"/>
      <c r="AK1477" s="5" t="s">
        <v>4242</v>
      </c>
      <c r="AL1477" s="82" t="s">
        <v>4890</v>
      </c>
      <c r="AM1477" s="76"/>
      <c r="AN1477" s="76"/>
      <c r="AO1477" s="76"/>
      <c r="AP1477" s="76"/>
      <c r="AQ1477" s="76"/>
      <c r="AR1477" s="76"/>
      <c r="AS1477" s="76"/>
      <c r="AT1477" s="76"/>
      <c r="AU1477" s="76"/>
      <c r="AV1477" s="76"/>
      <c r="AW1477" s="76"/>
      <c r="AX1477" s="76">
        <f>+AW1477*600000</f>
        <v>0</v>
      </c>
      <c r="AY1477" s="76"/>
      <c r="AZ1477" s="76">
        <f>+AY1477*70000</f>
        <v>0</v>
      </c>
      <c r="BA1477" s="76"/>
      <c r="BB1477" s="76"/>
      <c r="BC1477" s="76"/>
      <c r="BD1477" s="76">
        <f>+BC1477*30000</f>
        <v>0</v>
      </c>
      <c r="BE1477" s="76"/>
      <c r="BF1477" s="76"/>
      <c r="BG1477" s="76"/>
      <c r="BH1477" s="76"/>
      <c r="BI1477" s="76"/>
      <c r="BJ1477" s="76"/>
      <c r="BK1477" s="76"/>
      <c r="BL1477" s="76">
        <f>+BK1477*31500</f>
        <v>0</v>
      </c>
      <c r="BM1477" s="76"/>
      <c r="BN1477" s="76"/>
      <c r="BO1477" s="76"/>
      <c r="BP1477" s="76"/>
      <c r="BQ1477" s="76"/>
      <c r="BR1477" s="76"/>
      <c r="BS1477" s="76"/>
      <c r="BT1477" s="76"/>
      <c r="BU1477" s="76"/>
      <c r="BV1477" s="76"/>
      <c r="BW1477" s="76"/>
      <c r="BX1477" s="76"/>
      <c r="BY1477" s="76"/>
      <c r="BZ1477" s="76"/>
      <c r="CA1477" s="76"/>
      <c r="CB1477" s="76"/>
      <c r="CC1477" s="76"/>
      <c r="CD1477" s="76"/>
      <c r="CE1477" s="76"/>
      <c r="CF1477" s="76">
        <f>+CE1477*28000</f>
        <v>0</v>
      </c>
      <c r="CG1477" s="76"/>
      <c r="CH1477" s="76">
        <f>+CG1477*22500</f>
        <v>0</v>
      </c>
      <c r="CI1477" s="76"/>
      <c r="CJ1477" s="76">
        <f>+CI1477*26000</f>
        <v>0</v>
      </c>
      <c r="CK1477" s="76"/>
      <c r="CL1477" s="76"/>
      <c r="CM1477" s="76"/>
      <c r="CN1477" s="76">
        <f>+CM1477*22000</f>
        <v>0</v>
      </c>
      <c r="CO1477" s="76"/>
      <c r="CP1477" s="76">
        <f>+CO1477*46000</f>
        <v>0</v>
      </c>
      <c r="CQ1477" s="76"/>
      <c r="CR1477" s="76">
        <f>+CQ1477*49000</f>
        <v>0</v>
      </c>
      <c r="CS1477" s="76"/>
      <c r="CT1477" s="76"/>
      <c r="CU1477" s="56">
        <f>AN1477+AP1477+AR1477+AT1477+AV1477+AX1477+AZ1477+BB1477+BD1477+BF1477+BH1477+BJ1477+BL1477+BN1477+BP1477+BR1477+BT1477+BV1477+BX1477+BZ1477+CB1477+CD1477+CF1477+CH1477+CJ1477+CL1477+CN1477+CP1477+CR1477+CT1477</f>
        <v>0</v>
      </c>
      <c r="CV1477" s="76"/>
      <c r="CW1477" s="76">
        <f>+CV1477*1100</f>
        <v>0</v>
      </c>
      <c r="CX1477" s="76"/>
      <c r="CY1477" s="76">
        <f>+CX1477*106250</f>
        <v>0</v>
      </c>
      <c r="CZ1477" s="76"/>
      <c r="DA1477" s="76">
        <f>+CZ1477*34500</f>
        <v>0</v>
      </c>
      <c r="DB1477" s="76"/>
      <c r="DC1477" s="76">
        <f>+DB1477*25000</f>
        <v>0</v>
      </c>
      <c r="DD1477" s="219"/>
      <c r="DE1477" s="219"/>
      <c r="DF1477" s="166"/>
      <c r="DG1477" s="116"/>
      <c r="DH1477" s="117"/>
      <c r="DI1477" s="24"/>
      <c r="DJ1477" s="24"/>
      <c r="DK1477" s="24"/>
      <c r="DL1477" s="24"/>
      <c r="DM1477" s="24"/>
      <c r="DN1477" s="24"/>
      <c r="DO1477" s="24"/>
      <c r="DP1477" s="24"/>
      <c r="DQ1477" s="24"/>
      <c r="DR1477" s="24"/>
      <c r="DS1477" s="24"/>
      <c r="DT1477" s="24"/>
      <c r="DU1477" s="24"/>
    </row>
    <row r="1478" spans="1:125" s="8" customFormat="1" ht="96" x14ac:dyDescent="0.2">
      <c r="A1478" s="226">
        <v>41380</v>
      </c>
      <c r="B1478" s="60" t="s">
        <v>2700</v>
      </c>
      <c r="C1478" s="55" t="s">
        <v>1564</v>
      </c>
      <c r="D1478" s="81" t="s">
        <v>2846</v>
      </c>
      <c r="E1478" s="75" t="str">
        <f>VLOOKUP(B1478&amp;C1478,Divipola!$C$2:$F$1138,4,FALSE)</f>
        <v>15047</v>
      </c>
      <c r="F1478" s="163"/>
      <c r="G1478" s="163"/>
      <c r="H1478" s="163"/>
      <c r="I1478" s="163"/>
      <c r="J1478" s="163"/>
      <c r="K1478" s="163"/>
      <c r="L1478" s="163"/>
      <c r="M1478" s="163"/>
      <c r="N1478" s="163"/>
      <c r="O1478" s="163"/>
      <c r="P1478" s="163"/>
      <c r="Q1478" s="163"/>
      <c r="R1478" s="163"/>
      <c r="S1478" s="163"/>
      <c r="T1478" s="163"/>
      <c r="U1478" s="163"/>
      <c r="V1478" s="134"/>
      <c r="W1478" s="96">
        <v>0</v>
      </c>
      <c r="X1478" s="71">
        <f>CU1478</f>
        <v>0</v>
      </c>
      <c r="Y1478" s="71">
        <f>CY1478</f>
        <v>0</v>
      </c>
      <c r="Z1478" s="71">
        <f>DA1478+DC1478+DE1478</f>
        <v>0</v>
      </c>
      <c r="AA1478" s="71">
        <f>CW1478</f>
        <v>0</v>
      </c>
      <c r="AB1478" s="71"/>
      <c r="AC1478" s="71">
        <v>0</v>
      </c>
      <c r="AD1478" s="71">
        <f>W1478+X1478+Y1478+Z1478+AA1478+AB1478+AC1478</f>
        <v>0</v>
      </c>
      <c r="AE1478" s="72">
        <v>0</v>
      </c>
      <c r="AF1478" s="5"/>
      <c r="AG1478" s="6"/>
      <c r="AH1478" s="27" t="s">
        <v>3392</v>
      </c>
      <c r="AI1478" s="44" t="s">
        <v>3393</v>
      </c>
      <c r="AJ1478" s="26"/>
      <c r="AK1478" s="5"/>
      <c r="AL1478" s="82" t="s">
        <v>4289</v>
      </c>
      <c r="AM1478" s="76"/>
      <c r="AN1478" s="76"/>
      <c r="AO1478" s="76"/>
      <c r="AP1478" s="76"/>
      <c r="AQ1478" s="76"/>
      <c r="AR1478" s="76"/>
      <c r="AS1478" s="76"/>
      <c r="AT1478" s="76"/>
      <c r="AU1478" s="76"/>
      <c r="AV1478" s="76"/>
      <c r="AW1478" s="76"/>
      <c r="AX1478" s="76">
        <f>+AW1478*600000</f>
        <v>0</v>
      </c>
      <c r="AY1478" s="76"/>
      <c r="AZ1478" s="76">
        <f>+AY1478*70000</f>
        <v>0</v>
      </c>
      <c r="BA1478" s="76"/>
      <c r="BB1478" s="76"/>
      <c r="BC1478" s="76"/>
      <c r="BD1478" s="76">
        <f>+BC1478*30000</f>
        <v>0</v>
      </c>
      <c r="BE1478" s="76"/>
      <c r="BF1478" s="76"/>
      <c r="BG1478" s="76"/>
      <c r="BH1478" s="76"/>
      <c r="BI1478" s="76"/>
      <c r="BJ1478" s="76"/>
      <c r="BK1478" s="76"/>
      <c r="BL1478" s="76">
        <f>+BK1478*31500</f>
        <v>0</v>
      </c>
      <c r="BM1478" s="76"/>
      <c r="BN1478" s="76"/>
      <c r="BO1478" s="76"/>
      <c r="BP1478" s="76"/>
      <c r="BQ1478" s="76"/>
      <c r="BR1478" s="76"/>
      <c r="BS1478" s="76"/>
      <c r="BT1478" s="76"/>
      <c r="BU1478" s="76"/>
      <c r="BV1478" s="76"/>
      <c r="BW1478" s="76"/>
      <c r="BX1478" s="76"/>
      <c r="BY1478" s="76"/>
      <c r="BZ1478" s="76"/>
      <c r="CA1478" s="76"/>
      <c r="CB1478" s="76"/>
      <c r="CC1478" s="76"/>
      <c r="CD1478" s="76"/>
      <c r="CE1478" s="76"/>
      <c r="CF1478" s="76">
        <f>+CE1478*28000</f>
        <v>0</v>
      </c>
      <c r="CG1478" s="76"/>
      <c r="CH1478" s="76">
        <f>+CG1478*22500</f>
        <v>0</v>
      </c>
      <c r="CI1478" s="76"/>
      <c r="CJ1478" s="76">
        <f>+CI1478*26000</f>
        <v>0</v>
      </c>
      <c r="CK1478" s="76"/>
      <c r="CL1478" s="76"/>
      <c r="CM1478" s="76"/>
      <c r="CN1478" s="76">
        <f>+CM1478*22000</f>
        <v>0</v>
      </c>
      <c r="CO1478" s="76"/>
      <c r="CP1478" s="76">
        <f>+CO1478*46000</f>
        <v>0</v>
      </c>
      <c r="CQ1478" s="76"/>
      <c r="CR1478" s="76">
        <f>+CQ1478*49000</f>
        <v>0</v>
      </c>
      <c r="CS1478" s="76"/>
      <c r="CT1478" s="76"/>
      <c r="CU1478" s="56">
        <f>AN1478+AP1478+AR1478+AT1478+AV1478+AX1478+AZ1478+BB1478+BD1478+BF1478+BH1478+BJ1478+BL1478+BN1478+BP1478+BR1478+BT1478+BV1478+BX1478+BZ1478+CB1478+CD1478+CF1478+CH1478+CJ1478+CL1478+CN1478+CP1478+CR1478+CT1478</f>
        <v>0</v>
      </c>
      <c r="CV1478" s="76"/>
      <c r="CW1478" s="76">
        <f>+CV1478*1100</f>
        <v>0</v>
      </c>
      <c r="CX1478" s="76"/>
      <c r="CY1478" s="76">
        <f>+CX1478*106250</f>
        <v>0</v>
      </c>
      <c r="CZ1478" s="76"/>
      <c r="DA1478" s="76">
        <f>+CZ1478*34500</f>
        <v>0</v>
      </c>
      <c r="DB1478" s="76"/>
      <c r="DC1478" s="76">
        <f>+DB1478*25000</f>
        <v>0</v>
      </c>
      <c r="DD1478" s="219"/>
      <c r="DE1478" s="219"/>
      <c r="DF1478" s="166"/>
      <c r="DG1478" s="116"/>
      <c r="DH1478" s="117"/>
      <c r="DI1478" s="24"/>
      <c r="DJ1478" s="24"/>
      <c r="DK1478" s="24"/>
      <c r="DL1478" s="24"/>
      <c r="DM1478" s="24"/>
      <c r="DN1478" s="24"/>
      <c r="DO1478" s="24"/>
      <c r="DP1478" s="24"/>
      <c r="DQ1478" s="24"/>
      <c r="DR1478" s="24"/>
      <c r="DS1478" s="24"/>
      <c r="DT1478" s="24"/>
      <c r="DU1478" s="24"/>
    </row>
    <row r="1479" spans="1:125" s="8" customFormat="1" ht="72" x14ac:dyDescent="0.2">
      <c r="A1479" s="226">
        <v>41380</v>
      </c>
      <c r="B1479" s="225" t="s">
        <v>2700</v>
      </c>
      <c r="C1479" s="227" t="s">
        <v>1700</v>
      </c>
      <c r="D1479" s="81" t="s">
        <v>2846</v>
      </c>
      <c r="E1479" s="75" t="str">
        <f>VLOOKUP(B1479&amp;C1479,Divipola!$C$2:$F$1138,4,FALSE)</f>
        <v>15238</v>
      </c>
      <c r="F1479" s="87"/>
      <c r="G1479" s="87"/>
      <c r="H1479" s="87"/>
      <c r="I1479" s="87"/>
      <c r="J1479" s="87"/>
      <c r="K1479" s="87"/>
      <c r="L1479" s="87"/>
      <c r="M1479" s="87"/>
      <c r="N1479" s="87"/>
      <c r="O1479" s="87"/>
      <c r="P1479" s="87"/>
      <c r="Q1479" s="87"/>
      <c r="R1479" s="87"/>
      <c r="S1479" s="87"/>
      <c r="T1479" s="87"/>
      <c r="U1479" s="88">
        <v>3</v>
      </c>
      <c r="V1479" s="89"/>
      <c r="W1479" s="96">
        <v>0</v>
      </c>
      <c r="X1479" s="71">
        <f>CU1479</f>
        <v>0</v>
      </c>
      <c r="Y1479" s="71">
        <f>CY1479</f>
        <v>0</v>
      </c>
      <c r="Z1479" s="71">
        <f>DA1479+DC1479+DE1479</f>
        <v>0</v>
      </c>
      <c r="AA1479" s="71">
        <f>CW1479</f>
        <v>0</v>
      </c>
      <c r="AB1479" s="71"/>
      <c r="AC1479" s="71">
        <v>0</v>
      </c>
      <c r="AD1479" s="71">
        <f>W1479+X1479+Y1479+Z1479+AA1479+AB1479+AC1479</f>
        <v>0</v>
      </c>
      <c r="AE1479" s="72">
        <v>0</v>
      </c>
      <c r="AF1479" s="5"/>
      <c r="AG1479" s="6"/>
      <c r="AH1479" s="27" t="s">
        <v>3392</v>
      </c>
      <c r="AI1479" s="44" t="s">
        <v>3393</v>
      </c>
      <c r="AJ1479" s="26"/>
      <c r="AK1479" s="5"/>
      <c r="AL1479" s="82" t="s">
        <v>4313</v>
      </c>
      <c r="AM1479" s="76"/>
      <c r="AN1479" s="76"/>
      <c r="AO1479" s="76"/>
      <c r="AP1479" s="76"/>
      <c r="AQ1479" s="76"/>
      <c r="AR1479" s="76"/>
      <c r="AS1479" s="76"/>
      <c r="AT1479" s="76"/>
      <c r="AU1479" s="76"/>
      <c r="AV1479" s="76"/>
      <c r="AW1479" s="76"/>
      <c r="AX1479" s="76">
        <f>+AW1479*600000</f>
        <v>0</v>
      </c>
      <c r="AY1479" s="76"/>
      <c r="AZ1479" s="76">
        <f>+AY1479*70000</f>
        <v>0</v>
      </c>
      <c r="BA1479" s="76"/>
      <c r="BB1479" s="76"/>
      <c r="BC1479" s="76"/>
      <c r="BD1479" s="76">
        <f>+BC1479*30000</f>
        <v>0</v>
      </c>
      <c r="BE1479" s="76"/>
      <c r="BF1479" s="76"/>
      <c r="BG1479" s="76"/>
      <c r="BH1479" s="76"/>
      <c r="BI1479" s="76"/>
      <c r="BJ1479" s="76"/>
      <c r="BK1479" s="76"/>
      <c r="BL1479" s="76">
        <f>+BK1479*31500</f>
        <v>0</v>
      </c>
      <c r="BM1479" s="76"/>
      <c r="BN1479" s="76"/>
      <c r="BO1479" s="76"/>
      <c r="BP1479" s="76"/>
      <c r="BQ1479" s="76"/>
      <c r="BR1479" s="76"/>
      <c r="BS1479" s="76"/>
      <c r="BT1479" s="76"/>
      <c r="BU1479" s="76"/>
      <c r="BV1479" s="76"/>
      <c r="BW1479" s="76"/>
      <c r="BX1479" s="76"/>
      <c r="BY1479" s="76"/>
      <c r="BZ1479" s="76"/>
      <c r="CA1479" s="76"/>
      <c r="CB1479" s="76"/>
      <c r="CC1479" s="76"/>
      <c r="CD1479" s="76"/>
      <c r="CE1479" s="76"/>
      <c r="CF1479" s="76">
        <f>+CE1479*28000</f>
        <v>0</v>
      </c>
      <c r="CG1479" s="76"/>
      <c r="CH1479" s="76">
        <f>+CG1479*22500</f>
        <v>0</v>
      </c>
      <c r="CI1479" s="76"/>
      <c r="CJ1479" s="76">
        <f>+CI1479*26000</f>
        <v>0</v>
      </c>
      <c r="CK1479" s="76"/>
      <c r="CL1479" s="76"/>
      <c r="CM1479" s="76"/>
      <c r="CN1479" s="76">
        <f>+CM1479*22000</f>
        <v>0</v>
      </c>
      <c r="CO1479" s="76"/>
      <c r="CP1479" s="76">
        <f>+CO1479*46000</f>
        <v>0</v>
      </c>
      <c r="CQ1479" s="76"/>
      <c r="CR1479" s="76">
        <f>+CQ1479*49000</f>
        <v>0</v>
      </c>
      <c r="CS1479" s="76"/>
      <c r="CT1479" s="76"/>
      <c r="CU1479" s="56">
        <f>AN1479+AP1479+AR1479+AT1479+AV1479+AX1479+AZ1479+BB1479+BD1479+BF1479+BH1479+BJ1479+BL1479+BN1479+BP1479+BR1479+BT1479+BV1479+BX1479+BZ1479+CB1479+CD1479+CF1479+CH1479+CJ1479+CL1479+CN1479+CP1479+CR1479+CT1479</f>
        <v>0</v>
      </c>
      <c r="CV1479" s="76"/>
      <c r="CW1479" s="76">
        <f>+CV1479*1100</f>
        <v>0</v>
      </c>
      <c r="CX1479" s="76"/>
      <c r="CY1479" s="76">
        <f>+CX1479*106250</f>
        <v>0</v>
      </c>
      <c r="CZ1479" s="76"/>
      <c r="DA1479" s="76">
        <f>+CZ1479*34500</f>
        <v>0</v>
      </c>
      <c r="DB1479" s="76"/>
      <c r="DC1479" s="76">
        <f>+DB1479*25000</f>
        <v>0</v>
      </c>
      <c r="DD1479" s="219"/>
      <c r="DE1479" s="219"/>
      <c r="DF1479" s="166"/>
      <c r="DG1479" s="116"/>
      <c r="DH1479" s="117"/>
      <c r="DI1479" s="24"/>
      <c r="DJ1479" s="24"/>
      <c r="DK1479" s="24"/>
      <c r="DL1479" s="24"/>
      <c r="DM1479" s="24"/>
      <c r="DN1479" s="24"/>
      <c r="DO1479" s="24"/>
      <c r="DP1479" s="24"/>
      <c r="DQ1479" s="24"/>
      <c r="DR1479" s="24"/>
      <c r="DS1479" s="24"/>
      <c r="DT1479" s="24"/>
      <c r="DU1479" s="24"/>
    </row>
    <row r="1480" spans="1:125" s="8" customFormat="1" ht="84" x14ac:dyDescent="0.2">
      <c r="A1480" s="353">
        <v>41380</v>
      </c>
      <c r="B1480" s="60" t="s">
        <v>2700</v>
      </c>
      <c r="C1480" s="354" t="s">
        <v>1375</v>
      </c>
      <c r="D1480" s="81" t="s">
        <v>2846</v>
      </c>
      <c r="E1480" s="75" t="str">
        <f>VLOOKUP(B1480&amp;C1480,Divipola!$C$2:$F$1138,4,FALSE)</f>
        <v>15759</v>
      </c>
      <c r="F1480" s="163"/>
      <c r="G1480" s="163"/>
      <c r="H1480" s="163"/>
      <c r="I1480" s="163"/>
      <c r="J1480" s="163"/>
      <c r="K1480" s="163"/>
      <c r="L1480" s="163"/>
      <c r="M1480" s="163"/>
      <c r="N1480" s="163"/>
      <c r="O1480" s="163"/>
      <c r="P1480" s="163"/>
      <c r="Q1480" s="163"/>
      <c r="R1480" s="163"/>
      <c r="S1480" s="163"/>
      <c r="T1480" s="163"/>
      <c r="U1480" s="163"/>
      <c r="V1480" s="134"/>
      <c r="W1480" s="96">
        <v>0</v>
      </c>
      <c r="X1480" s="71">
        <f>CU1480</f>
        <v>0</v>
      </c>
      <c r="Y1480" s="71">
        <f>CY1480</f>
        <v>0</v>
      </c>
      <c r="Z1480" s="71">
        <f>DA1480+DC1480+DE1480</f>
        <v>0</v>
      </c>
      <c r="AA1480" s="71">
        <f>CW1480</f>
        <v>0</v>
      </c>
      <c r="AB1480" s="71"/>
      <c r="AC1480" s="71">
        <v>0</v>
      </c>
      <c r="AD1480" s="71">
        <f>W1480+X1480+Y1480+Z1480+AA1480+AB1480+AC1480</f>
        <v>0</v>
      </c>
      <c r="AE1480" s="72">
        <v>0</v>
      </c>
      <c r="AF1480" s="5"/>
      <c r="AG1480" s="6"/>
      <c r="AH1480" s="27" t="s">
        <v>3392</v>
      </c>
      <c r="AI1480" s="44" t="s">
        <v>3393</v>
      </c>
      <c r="AJ1480" s="26"/>
      <c r="AK1480" s="5"/>
      <c r="AL1480" s="82" t="s">
        <v>4290</v>
      </c>
      <c r="AM1480" s="76"/>
      <c r="AN1480" s="76"/>
      <c r="AO1480" s="76"/>
      <c r="AP1480" s="76"/>
      <c r="AQ1480" s="76"/>
      <c r="AR1480" s="76"/>
      <c r="AS1480" s="76"/>
      <c r="AT1480" s="76"/>
      <c r="AU1480" s="76"/>
      <c r="AV1480" s="76"/>
      <c r="AW1480" s="76"/>
      <c r="AX1480" s="76">
        <f>+AW1480*600000</f>
        <v>0</v>
      </c>
      <c r="AY1480" s="76"/>
      <c r="AZ1480" s="76">
        <f>+AY1480*70000</f>
        <v>0</v>
      </c>
      <c r="BA1480" s="76"/>
      <c r="BB1480" s="76"/>
      <c r="BC1480" s="76"/>
      <c r="BD1480" s="76">
        <f>+BC1480*30000</f>
        <v>0</v>
      </c>
      <c r="BE1480" s="76"/>
      <c r="BF1480" s="76"/>
      <c r="BG1480" s="76"/>
      <c r="BH1480" s="76"/>
      <c r="BI1480" s="76"/>
      <c r="BJ1480" s="76"/>
      <c r="BK1480" s="76"/>
      <c r="BL1480" s="76">
        <f>+BK1480*31500</f>
        <v>0</v>
      </c>
      <c r="BM1480" s="76"/>
      <c r="BN1480" s="76"/>
      <c r="BO1480" s="76"/>
      <c r="BP1480" s="76"/>
      <c r="BQ1480" s="76"/>
      <c r="BR1480" s="76"/>
      <c r="BS1480" s="76"/>
      <c r="BT1480" s="76"/>
      <c r="BU1480" s="76"/>
      <c r="BV1480" s="76"/>
      <c r="BW1480" s="76"/>
      <c r="BX1480" s="76"/>
      <c r="BY1480" s="76"/>
      <c r="BZ1480" s="76"/>
      <c r="CA1480" s="76"/>
      <c r="CB1480" s="76"/>
      <c r="CC1480" s="76"/>
      <c r="CD1480" s="76"/>
      <c r="CE1480" s="76"/>
      <c r="CF1480" s="76">
        <f>+CE1480*28000</f>
        <v>0</v>
      </c>
      <c r="CG1480" s="76"/>
      <c r="CH1480" s="76">
        <f>+CG1480*22500</f>
        <v>0</v>
      </c>
      <c r="CI1480" s="76"/>
      <c r="CJ1480" s="76">
        <f>+CI1480*26000</f>
        <v>0</v>
      </c>
      <c r="CK1480" s="76"/>
      <c r="CL1480" s="76"/>
      <c r="CM1480" s="76"/>
      <c r="CN1480" s="76">
        <f>+CM1480*22000</f>
        <v>0</v>
      </c>
      <c r="CO1480" s="76"/>
      <c r="CP1480" s="76">
        <f>+CO1480*46000</f>
        <v>0</v>
      </c>
      <c r="CQ1480" s="76"/>
      <c r="CR1480" s="76">
        <f>+CQ1480*49000</f>
        <v>0</v>
      </c>
      <c r="CS1480" s="76"/>
      <c r="CT1480" s="76"/>
      <c r="CU1480" s="56">
        <f>AN1480+AP1480+AR1480+AT1480+AV1480+AX1480+AZ1480+BB1480+BD1480+BF1480+BH1480+BJ1480+BL1480+BN1480+BP1480+BR1480+BT1480+BV1480+BX1480+BZ1480+CB1480+CD1480+CF1480+CH1480+CJ1480+CL1480+CN1480+CP1480+CR1480+CT1480</f>
        <v>0</v>
      </c>
      <c r="CV1480" s="76"/>
      <c r="CW1480" s="76">
        <f>+CV1480*1100</f>
        <v>0</v>
      </c>
      <c r="CX1480" s="76"/>
      <c r="CY1480" s="76">
        <f>+CX1480*106250</f>
        <v>0</v>
      </c>
      <c r="CZ1480" s="76"/>
      <c r="DA1480" s="76">
        <f>+CZ1480*34500</f>
        <v>0</v>
      </c>
      <c r="DB1480" s="76"/>
      <c r="DC1480" s="76">
        <f>+DB1480*25000</f>
        <v>0</v>
      </c>
      <c r="DD1480" s="219"/>
      <c r="DE1480" s="219"/>
      <c r="DF1480" s="166"/>
      <c r="DG1480" s="116"/>
      <c r="DH1480" s="117"/>
      <c r="DI1480" s="24"/>
      <c r="DJ1480" s="24"/>
      <c r="DK1480" s="24"/>
      <c r="DL1480" s="24"/>
      <c r="DM1480" s="24"/>
      <c r="DN1480" s="24"/>
      <c r="DO1480" s="24"/>
      <c r="DP1480" s="24"/>
      <c r="DQ1480" s="24"/>
      <c r="DR1480" s="24"/>
      <c r="DS1480" s="24"/>
      <c r="DT1480" s="24"/>
      <c r="DU1480" s="24"/>
    </row>
    <row r="1481" spans="1:125" s="8" customFormat="1" ht="84" x14ac:dyDescent="0.2">
      <c r="A1481" s="353">
        <v>41380</v>
      </c>
      <c r="B1481" s="352" t="s">
        <v>2196</v>
      </c>
      <c r="C1481" s="354" t="s">
        <v>749</v>
      </c>
      <c r="D1481" s="354" t="s">
        <v>2859</v>
      </c>
      <c r="E1481" s="75" t="str">
        <f>VLOOKUP(B1481&amp;C1481,Divipola!$C$2:$F$1138,4,FALSE)</f>
        <v>17442</v>
      </c>
      <c r="F1481" s="87"/>
      <c r="G1481" s="87"/>
      <c r="H1481" s="87"/>
      <c r="I1481" s="87">
        <v>7</v>
      </c>
      <c r="J1481" s="87">
        <v>2</v>
      </c>
      <c r="K1481" s="87">
        <v>1</v>
      </c>
      <c r="L1481" s="87"/>
      <c r="M1481" s="87"/>
      <c r="N1481" s="87"/>
      <c r="O1481" s="87"/>
      <c r="P1481" s="87"/>
      <c r="Q1481" s="87"/>
      <c r="R1481" s="87"/>
      <c r="S1481" s="87"/>
      <c r="T1481" s="87"/>
      <c r="U1481" s="88"/>
      <c r="V1481" s="89"/>
      <c r="W1481" s="96">
        <v>0</v>
      </c>
      <c r="X1481" s="71">
        <f>CU1481</f>
        <v>0</v>
      </c>
      <c r="Y1481" s="71">
        <f>CY1481</f>
        <v>0</v>
      </c>
      <c r="Z1481" s="71">
        <f>DA1481+DC1481+DE1481</f>
        <v>0</v>
      </c>
      <c r="AA1481" s="71">
        <f>CW1481</f>
        <v>0</v>
      </c>
      <c r="AB1481" s="71"/>
      <c r="AC1481" s="71">
        <v>0</v>
      </c>
      <c r="AD1481" s="71">
        <f>W1481+X1481+Y1481+Z1481+AA1481+AB1481+AC1481</f>
        <v>0</v>
      </c>
      <c r="AE1481" s="72">
        <v>0</v>
      </c>
      <c r="AF1481" s="5"/>
      <c r="AG1481" s="6"/>
      <c r="AH1481" s="27" t="s">
        <v>3392</v>
      </c>
      <c r="AI1481" s="44" t="s">
        <v>3393</v>
      </c>
      <c r="AJ1481" s="26"/>
      <c r="AK1481" s="5"/>
      <c r="AL1481" s="82" t="s">
        <v>4320</v>
      </c>
      <c r="AM1481" s="76"/>
      <c r="AN1481" s="76"/>
      <c r="AO1481" s="76"/>
      <c r="AP1481" s="76"/>
      <c r="AQ1481" s="76"/>
      <c r="AR1481" s="76"/>
      <c r="AS1481" s="76"/>
      <c r="AT1481" s="76"/>
      <c r="AU1481" s="76"/>
      <c r="AV1481" s="76"/>
      <c r="AW1481" s="76"/>
      <c r="AX1481" s="76">
        <f>+AW1481*600000</f>
        <v>0</v>
      </c>
      <c r="AY1481" s="76"/>
      <c r="AZ1481" s="76">
        <f>+AY1481*70000</f>
        <v>0</v>
      </c>
      <c r="BA1481" s="76"/>
      <c r="BB1481" s="76"/>
      <c r="BC1481" s="76"/>
      <c r="BD1481" s="76">
        <f>+BC1481*30000</f>
        <v>0</v>
      </c>
      <c r="BE1481" s="76"/>
      <c r="BF1481" s="76"/>
      <c r="BG1481" s="76"/>
      <c r="BH1481" s="76"/>
      <c r="BI1481" s="76"/>
      <c r="BJ1481" s="76"/>
      <c r="BK1481" s="76"/>
      <c r="BL1481" s="76">
        <f>+BK1481*31500</f>
        <v>0</v>
      </c>
      <c r="BM1481" s="76"/>
      <c r="BN1481" s="76"/>
      <c r="BO1481" s="76"/>
      <c r="BP1481" s="76"/>
      <c r="BQ1481" s="76"/>
      <c r="BR1481" s="76"/>
      <c r="BS1481" s="76"/>
      <c r="BT1481" s="76"/>
      <c r="BU1481" s="76"/>
      <c r="BV1481" s="76"/>
      <c r="BW1481" s="76"/>
      <c r="BX1481" s="76"/>
      <c r="BY1481" s="76"/>
      <c r="BZ1481" s="76"/>
      <c r="CA1481" s="76"/>
      <c r="CB1481" s="76"/>
      <c r="CC1481" s="76"/>
      <c r="CD1481" s="76"/>
      <c r="CE1481" s="76"/>
      <c r="CF1481" s="76">
        <f>+CE1481*28000</f>
        <v>0</v>
      </c>
      <c r="CG1481" s="76"/>
      <c r="CH1481" s="76">
        <f>+CG1481*22500</f>
        <v>0</v>
      </c>
      <c r="CI1481" s="76"/>
      <c r="CJ1481" s="76">
        <f>+CI1481*26000</f>
        <v>0</v>
      </c>
      <c r="CK1481" s="76"/>
      <c r="CL1481" s="76"/>
      <c r="CM1481" s="76"/>
      <c r="CN1481" s="76">
        <f>+CM1481*22000</f>
        <v>0</v>
      </c>
      <c r="CO1481" s="76"/>
      <c r="CP1481" s="76">
        <f>+CO1481*46000</f>
        <v>0</v>
      </c>
      <c r="CQ1481" s="76"/>
      <c r="CR1481" s="76">
        <f>+CQ1481*49000</f>
        <v>0</v>
      </c>
      <c r="CS1481" s="76"/>
      <c r="CT1481" s="76"/>
      <c r="CU1481" s="56">
        <f>AN1481+AP1481+AR1481+AT1481+AV1481+AX1481+AZ1481+BB1481+BD1481+BF1481+BH1481+BJ1481+BL1481+BN1481+BP1481+BR1481+BT1481+BV1481+BX1481+BZ1481+CB1481+CD1481+CF1481+CH1481+CJ1481+CL1481+CN1481+CP1481+CR1481+CT1481</f>
        <v>0</v>
      </c>
      <c r="CV1481" s="76"/>
      <c r="CW1481" s="76">
        <f>+CV1481*1100</f>
        <v>0</v>
      </c>
      <c r="CX1481" s="76"/>
      <c r="CY1481" s="76">
        <f>+CX1481*106250</f>
        <v>0</v>
      </c>
      <c r="CZ1481" s="76"/>
      <c r="DA1481" s="76">
        <f>+CZ1481*34500</f>
        <v>0</v>
      </c>
      <c r="DB1481" s="76"/>
      <c r="DC1481" s="76">
        <f>+DB1481*25000</f>
        <v>0</v>
      </c>
      <c r="DD1481" s="219"/>
      <c r="DE1481" s="219"/>
      <c r="DF1481" s="166"/>
      <c r="DG1481" s="116"/>
      <c r="DH1481" s="117"/>
      <c r="DI1481" s="24"/>
      <c r="DJ1481" s="24"/>
      <c r="DK1481" s="24"/>
      <c r="DL1481" s="24"/>
      <c r="DM1481" s="24"/>
      <c r="DN1481" s="24"/>
      <c r="DO1481" s="24"/>
      <c r="DP1481" s="24"/>
      <c r="DQ1481" s="24"/>
      <c r="DR1481" s="24"/>
      <c r="DS1481" s="24"/>
      <c r="DT1481" s="24"/>
      <c r="DU1481" s="24"/>
    </row>
    <row r="1482" spans="1:125" s="8" customFormat="1" ht="48" x14ac:dyDescent="0.2">
      <c r="A1482" s="77">
        <v>41380</v>
      </c>
      <c r="B1482" s="225" t="s">
        <v>2854</v>
      </c>
      <c r="C1482" s="227" t="s">
        <v>1346</v>
      </c>
      <c r="D1482" s="227" t="s">
        <v>3205</v>
      </c>
      <c r="E1482" s="75" t="str">
        <f>VLOOKUP(B1482&amp;C1482,Divipola!$C$2:$F$1138,4,FALSE)</f>
        <v>19050</v>
      </c>
      <c r="F1482" s="87"/>
      <c r="G1482" s="87"/>
      <c r="H1482" s="87"/>
      <c r="I1482" s="87"/>
      <c r="J1482" s="87"/>
      <c r="K1482" s="87"/>
      <c r="L1482" s="87"/>
      <c r="M1482" s="87"/>
      <c r="N1482" s="87"/>
      <c r="O1482" s="87"/>
      <c r="P1482" s="87">
        <v>1</v>
      </c>
      <c r="Q1482" s="87"/>
      <c r="R1482" s="87"/>
      <c r="S1482" s="87"/>
      <c r="T1482" s="87"/>
      <c r="U1482" s="88"/>
      <c r="V1482" s="89"/>
      <c r="W1482" s="96">
        <v>0</v>
      </c>
      <c r="X1482" s="71">
        <f>CU1482</f>
        <v>0</v>
      </c>
      <c r="Y1482" s="71">
        <f>CY1482</f>
        <v>0</v>
      </c>
      <c r="Z1482" s="71">
        <f>DA1482+DC1482+DE1482</f>
        <v>0</v>
      </c>
      <c r="AA1482" s="71">
        <f>CW1482</f>
        <v>0</v>
      </c>
      <c r="AB1482" s="71"/>
      <c r="AC1482" s="71">
        <v>0</v>
      </c>
      <c r="AD1482" s="71">
        <f>W1482+X1482+Y1482+Z1482+AA1482+AB1482+AC1482</f>
        <v>0</v>
      </c>
      <c r="AE1482" s="72">
        <v>0</v>
      </c>
      <c r="AF1482" s="5"/>
      <c r="AG1482" s="6"/>
      <c r="AH1482" s="27" t="s">
        <v>3392</v>
      </c>
      <c r="AI1482" s="44" t="s">
        <v>3393</v>
      </c>
      <c r="AJ1482" s="26"/>
      <c r="AK1482" s="5"/>
      <c r="AL1482" s="82" t="s">
        <v>4292</v>
      </c>
      <c r="AM1482" s="76"/>
      <c r="AN1482" s="76"/>
      <c r="AO1482" s="76"/>
      <c r="AP1482" s="76"/>
      <c r="AQ1482" s="76"/>
      <c r="AR1482" s="76"/>
      <c r="AS1482" s="76"/>
      <c r="AT1482" s="76"/>
      <c r="AU1482" s="76"/>
      <c r="AV1482" s="76"/>
      <c r="AW1482" s="76"/>
      <c r="AX1482" s="76">
        <f>+AW1482*600000</f>
        <v>0</v>
      </c>
      <c r="AY1482" s="76"/>
      <c r="AZ1482" s="76">
        <f>+AY1482*70000</f>
        <v>0</v>
      </c>
      <c r="BA1482" s="76"/>
      <c r="BB1482" s="76"/>
      <c r="BC1482" s="76"/>
      <c r="BD1482" s="76">
        <f>+BC1482*30000</f>
        <v>0</v>
      </c>
      <c r="BE1482" s="76"/>
      <c r="BF1482" s="76"/>
      <c r="BG1482" s="76"/>
      <c r="BH1482" s="76"/>
      <c r="BI1482" s="76"/>
      <c r="BJ1482" s="76"/>
      <c r="BK1482" s="76"/>
      <c r="BL1482" s="76">
        <f>+BK1482*31500</f>
        <v>0</v>
      </c>
      <c r="BM1482" s="76"/>
      <c r="BN1482" s="76"/>
      <c r="BO1482" s="76"/>
      <c r="BP1482" s="76"/>
      <c r="BQ1482" s="76"/>
      <c r="BR1482" s="76"/>
      <c r="BS1482" s="76"/>
      <c r="BT1482" s="76"/>
      <c r="BU1482" s="76"/>
      <c r="BV1482" s="76"/>
      <c r="BW1482" s="76"/>
      <c r="BX1482" s="76"/>
      <c r="BY1482" s="76"/>
      <c r="BZ1482" s="76"/>
      <c r="CA1482" s="76"/>
      <c r="CB1482" s="76"/>
      <c r="CC1482" s="76"/>
      <c r="CD1482" s="76"/>
      <c r="CE1482" s="76"/>
      <c r="CF1482" s="76">
        <f>+CE1482*28000</f>
        <v>0</v>
      </c>
      <c r="CG1482" s="76"/>
      <c r="CH1482" s="76">
        <f>+CG1482*22500</f>
        <v>0</v>
      </c>
      <c r="CI1482" s="76"/>
      <c r="CJ1482" s="76">
        <f>+CI1482*26000</f>
        <v>0</v>
      </c>
      <c r="CK1482" s="76"/>
      <c r="CL1482" s="76"/>
      <c r="CM1482" s="76"/>
      <c r="CN1482" s="76">
        <f>+CM1482*22000</f>
        <v>0</v>
      </c>
      <c r="CO1482" s="76"/>
      <c r="CP1482" s="76">
        <f>+CO1482*46000</f>
        <v>0</v>
      </c>
      <c r="CQ1482" s="76"/>
      <c r="CR1482" s="76">
        <f>+CQ1482*49000</f>
        <v>0</v>
      </c>
      <c r="CS1482" s="76"/>
      <c r="CT1482" s="76"/>
      <c r="CU1482" s="56">
        <f>AN1482+AP1482+AR1482+AT1482+AV1482+AX1482+AZ1482+BB1482+BD1482+BF1482+BH1482+BJ1482+BL1482+BN1482+BP1482+BR1482+BT1482+BV1482+BX1482+BZ1482+CB1482+CD1482+CF1482+CH1482+CJ1482+CL1482+CN1482+CP1482+CR1482+CT1482</f>
        <v>0</v>
      </c>
      <c r="CV1482" s="76"/>
      <c r="CW1482" s="76">
        <f>+CV1482*1100</f>
        <v>0</v>
      </c>
      <c r="CX1482" s="76"/>
      <c r="CY1482" s="76">
        <f>+CX1482*106250</f>
        <v>0</v>
      </c>
      <c r="CZ1482" s="76"/>
      <c r="DA1482" s="76">
        <f>+CZ1482*34500</f>
        <v>0</v>
      </c>
      <c r="DB1482" s="76"/>
      <c r="DC1482" s="76">
        <f>+DB1482*25000</f>
        <v>0</v>
      </c>
      <c r="DD1482" s="219"/>
      <c r="DE1482" s="219"/>
      <c r="DF1482" s="166"/>
      <c r="DG1482" s="116"/>
      <c r="DH1482" s="117"/>
      <c r="DI1482" s="24"/>
      <c r="DJ1482" s="24"/>
      <c r="DK1482" s="24"/>
      <c r="DL1482" s="24"/>
      <c r="DM1482" s="24"/>
      <c r="DN1482" s="24"/>
      <c r="DO1482" s="24"/>
      <c r="DP1482" s="24"/>
      <c r="DQ1482" s="24"/>
      <c r="DR1482" s="24"/>
      <c r="DS1482" s="24"/>
      <c r="DT1482" s="24"/>
      <c r="DU1482" s="24"/>
    </row>
    <row r="1483" spans="1:125" s="8" customFormat="1" ht="384" x14ac:dyDescent="0.2">
      <c r="A1483" s="226">
        <v>41380</v>
      </c>
      <c r="B1483" s="225" t="s">
        <v>2772</v>
      </c>
      <c r="C1483" s="227" t="s">
        <v>485</v>
      </c>
      <c r="D1483" s="75" t="s">
        <v>3051</v>
      </c>
      <c r="E1483" s="75" t="str">
        <f>VLOOKUP(B1483&amp;C1483,Divipola!$C$2:$F$1138,4,FALSE)</f>
        <v>25040</v>
      </c>
      <c r="F1483" s="87"/>
      <c r="G1483" s="87"/>
      <c r="H1483" s="87"/>
      <c r="I1483" s="87">
        <v>110</v>
      </c>
      <c r="J1483" s="87">
        <v>220</v>
      </c>
      <c r="K1483" s="87"/>
      <c r="L1483" s="87">
        <v>220</v>
      </c>
      <c r="M1483" s="87">
        <v>1</v>
      </c>
      <c r="N1483" s="87"/>
      <c r="O1483" s="87"/>
      <c r="P1483" s="87"/>
      <c r="Q1483" s="87">
        <v>1</v>
      </c>
      <c r="R1483" s="87"/>
      <c r="S1483" s="87">
        <v>1</v>
      </c>
      <c r="T1483" s="87">
        <v>2</v>
      </c>
      <c r="U1483" s="88"/>
      <c r="V1483" s="89"/>
      <c r="W1483" s="96">
        <v>0</v>
      </c>
      <c r="X1483" s="71">
        <f>CU1483</f>
        <v>0</v>
      </c>
      <c r="Y1483" s="71">
        <f>CY1483</f>
        <v>0</v>
      </c>
      <c r="Z1483" s="71">
        <f>DA1483+DC1483+DE1483</f>
        <v>0</v>
      </c>
      <c r="AA1483" s="71">
        <f>CW1483</f>
        <v>0</v>
      </c>
      <c r="AB1483" s="71"/>
      <c r="AC1483" s="71">
        <v>0</v>
      </c>
      <c r="AD1483" s="71">
        <f>W1483+X1483+Y1483+Z1483+AA1483+AB1483+AC1483</f>
        <v>0</v>
      </c>
      <c r="AE1483" s="72">
        <v>0</v>
      </c>
      <c r="AF1483" s="5"/>
      <c r="AG1483" s="6"/>
      <c r="AH1483" s="27" t="s">
        <v>3392</v>
      </c>
      <c r="AI1483" s="44" t="s">
        <v>3393</v>
      </c>
      <c r="AJ1483" s="26"/>
      <c r="AK1483" s="5"/>
      <c r="AL1483" s="82" t="s">
        <v>4296</v>
      </c>
      <c r="AM1483" s="76"/>
      <c r="AN1483" s="76"/>
      <c r="AO1483" s="76"/>
      <c r="AP1483" s="76"/>
      <c r="AQ1483" s="76"/>
      <c r="AR1483" s="76"/>
      <c r="AS1483" s="76"/>
      <c r="AT1483" s="76"/>
      <c r="AU1483" s="76"/>
      <c r="AV1483" s="76"/>
      <c r="AW1483" s="76"/>
      <c r="AX1483" s="76">
        <f>+AW1483*600000</f>
        <v>0</v>
      </c>
      <c r="AY1483" s="76"/>
      <c r="AZ1483" s="76">
        <f>+AY1483*70000</f>
        <v>0</v>
      </c>
      <c r="BA1483" s="76"/>
      <c r="BB1483" s="76"/>
      <c r="BC1483" s="76"/>
      <c r="BD1483" s="76">
        <f>+BC1483*30000</f>
        <v>0</v>
      </c>
      <c r="BE1483" s="76"/>
      <c r="BF1483" s="76"/>
      <c r="BG1483" s="76"/>
      <c r="BH1483" s="76"/>
      <c r="BI1483" s="76"/>
      <c r="BJ1483" s="76"/>
      <c r="BK1483" s="76"/>
      <c r="BL1483" s="76">
        <f>+BK1483*31500</f>
        <v>0</v>
      </c>
      <c r="BM1483" s="76"/>
      <c r="BN1483" s="76"/>
      <c r="BO1483" s="76"/>
      <c r="BP1483" s="76"/>
      <c r="BQ1483" s="76"/>
      <c r="BR1483" s="76"/>
      <c r="BS1483" s="76"/>
      <c r="BT1483" s="76"/>
      <c r="BU1483" s="76"/>
      <c r="BV1483" s="76"/>
      <c r="BW1483" s="76"/>
      <c r="BX1483" s="76"/>
      <c r="BY1483" s="76"/>
      <c r="BZ1483" s="76"/>
      <c r="CA1483" s="76"/>
      <c r="CB1483" s="76"/>
      <c r="CC1483" s="76"/>
      <c r="CD1483" s="76"/>
      <c r="CE1483" s="76"/>
      <c r="CF1483" s="76">
        <f>+CE1483*28000</f>
        <v>0</v>
      </c>
      <c r="CG1483" s="76"/>
      <c r="CH1483" s="76">
        <f>+CG1483*22500</f>
        <v>0</v>
      </c>
      <c r="CI1483" s="76"/>
      <c r="CJ1483" s="76">
        <f>+CI1483*26000</f>
        <v>0</v>
      </c>
      <c r="CK1483" s="76"/>
      <c r="CL1483" s="76"/>
      <c r="CM1483" s="76"/>
      <c r="CN1483" s="76">
        <f>+CM1483*22000</f>
        <v>0</v>
      </c>
      <c r="CO1483" s="76"/>
      <c r="CP1483" s="76">
        <f>+CO1483*46000</f>
        <v>0</v>
      </c>
      <c r="CQ1483" s="76"/>
      <c r="CR1483" s="76">
        <f>+CQ1483*49000</f>
        <v>0</v>
      </c>
      <c r="CS1483" s="76"/>
      <c r="CT1483" s="76"/>
      <c r="CU1483" s="56">
        <f>AN1483+AP1483+AR1483+AT1483+AV1483+AX1483+AZ1483+BB1483+BD1483+BF1483+BH1483+BJ1483+BL1483+BN1483+BP1483+BR1483+BT1483+BV1483+BX1483+BZ1483+CB1483+CD1483+CF1483+CH1483+CJ1483+CL1483+CN1483+CP1483+CR1483+CT1483</f>
        <v>0</v>
      </c>
      <c r="CV1483" s="76"/>
      <c r="CW1483" s="76">
        <f>+CV1483*1100</f>
        <v>0</v>
      </c>
      <c r="CX1483" s="76"/>
      <c r="CY1483" s="76">
        <f>+CX1483*106250</f>
        <v>0</v>
      </c>
      <c r="CZ1483" s="76"/>
      <c r="DA1483" s="76">
        <f>+CZ1483*34500</f>
        <v>0</v>
      </c>
      <c r="DB1483" s="76"/>
      <c r="DC1483" s="76">
        <f>+DB1483*25000</f>
        <v>0</v>
      </c>
      <c r="DD1483" s="219"/>
      <c r="DE1483" s="219"/>
      <c r="DF1483" s="166"/>
      <c r="DG1483" s="116"/>
      <c r="DH1483" s="117"/>
      <c r="DI1483" s="24"/>
      <c r="DJ1483" s="24"/>
      <c r="DK1483" s="24"/>
      <c r="DL1483" s="24"/>
      <c r="DM1483" s="24"/>
      <c r="DN1483" s="24"/>
      <c r="DO1483" s="24"/>
      <c r="DP1483" s="24"/>
      <c r="DQ1483" s="24"/>
      <c r="DR1483" s="24"/>
      <c r="DS1483" s="24"/>
      <c r="DT1483" s="24"/>
      <c r="DU1483" s="24"/>
    </row>
    <row r="1484" spans="1:125" s="8" customFormat="1" ht="132" x14ac:dyDescent="0.2">
      <c r="A1484" s="97">
        <v>41380</v>
      </c>
      <c r="B1484" s="60" t="s">
        <v>2772</v>
      </c>
      <c r="C1484" s="55" t="s">
        <v>1022</v>
      </c>
      <c r="D1484" s="84" t="s">
        <v>3088</v>
      </c>
      <c r="E1484" s="75" t="str">
        <f>VLOOKUP(B1484&amp;C1484,Divipola!$C$2:$F$1138,4,FALSE)</f>
        <v>25123</v>
      </c>
      <c r="F1484" s="87"/>
      <c r="G1484" s="87"/>
      <c r="H1484" s="87"/>
      <c r="I1484" s="87">
        <v>35</v>
      </c>
      <c r="J1484" s="87">
        <v>7</v>
      </c>
      <c r="K1484" s="87"/>
      <c r="L1484" s="87">
        <v>7</v>
      </c>
      <c r="M1484" s="87"/>
      <c r="N1484" s="87"/>
      <c r="O1484" s="87"/>
      <c r="P1484" s="87"/>
      <c r="Q1484" s="87"/>
      <c r="R1484" s="87"/>
      <c r="S1484" s="87"/>
      <c r="T1484" s="87"/>
      <c r="U1484" s="88"/>
      <c r="V1484" s="89"/>
      <c r="W1484" s="96">
        <v>0</v>
      </c>
      <c r="X1484" s="71">
        <f>CU1484</f>
        <v>0</v>
      </c>
      <c r="Y1484" s="71">
        <f>CY1484</f>
        <v>0</v>
      </c>
      <c r="Z1484" s="71">
        <f>DA1484+DC1484+DE1484</f>
        <v>0</v>
      </c>
      <c r="AA1484" s="71">
        <f>CW1484</f>
        <v>0</v>
      </c>
      <c r="AB1484" s="71"/>
      <c r="AC1484" s="71">
        <v>0</v>
      </c>
      <c r="AD1484" s="71">
        <f>W1484+X1484+Y1484+Z1484+AA1484+AB1484+AC1484</f>
        <v>0</v>
      </c>
      <c r="AE1484" s="72">
        <v>0</v>
      </c>
      <c r="AF1484" s="5"/>
      <c r="AG1484" s="6"/>
      <c r="AH1484" s="27" t="s">
        <v>3392</v>
      </c>
      <c r="AI1484" s="44" t="s">
        <v>3393</v>
      </c>
      <c r="AJ1484" s="26"/>
      <c r="AK1484" s="5"/>
      <c r="AL1484" s="82" t="s">
        <v>4326</v>
      </c>
      <c r="AM1484" s="76"/>
      <c r="AN1484" s="76"/>
      <c r="AO1484" s="76"/>
      <c r="AP1484" s="76"/>
      <c r="AQ1484" s="76"/>
      <c r="AR1484" s="76"/>
      <c r="AS1484" s="76"/>
      <c r="AT1484" s="76"/>
      <c r="AU1484" s="76"/>
      <c r="AV1484" s="76"/>
      <c r="AW1484" s="76"/>
      <c r="AX1484" s="76">
        <f>+AW1484*600000</f>
        <v>0</v>
      </c>
      <c r="AY1484" s="76"/>
      <c r="AZ1484" s="76">
        <f>+AY1484*70000</f>
        <v>0</v>
      </c>
      <c r="BA1484" s="76"/>
      <c r="BB1484" s="76"/>
      <c r="BC1484" s="76"/>
      <c r="BD1484" s="76">
        <f>+BC1484*30000</f>
        <v>0</v>
      </c>
      <c r="BE1484" s="76"/>
      <c r="BF1484" s="76"/>
      <c r="BG1484" s="76"/>
      <c r="BH1484" s="76"/>
      <c r="BI1484" s="76"/>
      <c r="BJ1484" s="76"/>
      <c r="BK1484" s="76"/>
      <c r="BL1484" s="76">
        <f>+BK1484*31500</f>
        <v>0</v>
      </c>
      <c r="BM1484" s="76"/>
      <c r="BN1484" s="76"/>
      <c r="BO1484" s="76"/>
      <c r="BP1484" s="76"/>
      <c r="BQ1484" s="76"/>
      <c r="BR1484" s="76"/>
      <c r="BS1484" s="76"/>
      <c r="BT1484" s="76"/>
      <c r="BU1484" s="76"/>
      <c r="BV1484" s="76"/>
      <c r="BW1484" s="76"/>
      <c r="BX1484" s="76"/>
      <c r="BY1484" s="76"/>
      <c r="BZ1484" s="76"/>
      <c r="CA1484" s="76"/>
      <c r="CB1484" s="76"/>
      <c r="CC1484" s="76"/>
      <c r="CD1484" s="76"/>
      <c r="CE1484" s="76"/>
      <c r="CF1484" s="76">
        <f>+CE1484*28000</f>
        <v>0</v>
      </c>
      <c r="CG1484" s="76"/>
      <c r="CH1484" s="76">
        <f>+CG1484*22500</f>
        <v>0</v>
      </c>
      <c r="CI1484" s="76"/>
      <c r="CJ1484" s="76">
        <f>+CI1484*26000</f>
        <v>0</v>
      </c>
      <c r="CK1484" s="76"/>
      <c r="CL1484" s="76"/>
      <c r="CM1484" s="76"/>
      <c r="CN1484" s="76">
        <f>+CM1484*22000</f>
        <v>0</v>
      </c>
      <c r="CO1484" s="76"/>
      <c r="CP1484" s="76">
        <f>+CO1484*46000</f>
        <v>0</v>
      </c>
      <c r="CQ1484" s="76"/>
      <c r="CR1484" s="76">
        <f>+CQ1484*49000</f>
        <v>0</v>
      </c>
      <c r="CS1484" s="76"/>
      <c r="CT1484" s="76"/>
      <c r="CU1484" s="56">
        <f>AN1484+AP1484+AR1484+AT1484+AV1484+AX1484+AZ1484+BB1484+BD1484+BF1484+BH1484+BJ1484+BL1484+BN1484+BP1484+BR1484+BT1484+BV1484+BX1484+BZ1484+CB1484+CD1484+CF1484+CH1484+CJ1484+CL1484+CN1484+CP1484+CR1484+CT1484</f>
        <v>0</v>
      </c>
      <c r="CV1484" s="76"/>
      <c r="CW1484" s="76">
        <f>+CV1484*1100</f>
        <v>0</v>
      </c>
      <c r="CX1484" s="76"/>
      <c r="CY1484" s="76">
        <f>+CX1484*106250</f>
        <v>0</v>
      </c>
      <c r="CZ1484" s="76"/>
      <c r="DA1484" s="76">
        <f>+CZ1484*34500</f>
        <v>0</v>
      </c>
      <c r="DB1484" s="76"/>
      <c r="DC1484" s="76">
        <f>+DB1484*25000</f>
        <v>0</v>
      </c>
      <c r="DD1484" s="219"/>
      <c r="DE1484" s="219"/>
      <c r="DF1484" s="166"/>
      <c r="DG1484" s="116"/>
      <c r="DH1484" s="117"/>
      <c r="DI1484" s="24"/>
      <c r="DJ1484" s="24"/>
      <c r="DK1484" s="24"/>
      <c r="DL1484" s="24"/>
      <c r="DM1484" s="24"/>
      <c r="DN1484" s="24"/>
      <c r="DO1484" s="24"/>
      <c r="DP1484" s="24"/>
      <c r="DQ1484" s="24"/>
      <c r="DR1484" s="24"/>
      <c r="DS1484" s="24"/>
      <c r="DT1484" s="24"/>
      <c r="DU1484" s="24"/>
    </row>
    <row r="1485" spans="1:125" s="8" customFormat="1" ht="48" x14ac:dyDescent="0.2">
      <c r="A1485" s="77">
        <v>41380</v>
      </c>
      <c r="B1485" s="352" t="s">
        <v>2661</v>
      </c>
      <c r="C1485" s="354" t="s">
        <v>2161</v>
      </c>
      <c r="D1485" s="81" t="s">
        <v>2846</v>
      </c>
      <c r="E1485" s="75" t="str">
        <f>VLOOKUP(B1485&amp;C1485,Divipola!$C$2:$F$1138,4,FALSE)</f>
        <v>41078</v>
      </c>
      <c r="F1485" s="87"/>
      <c r="G1485" s="87"/>
      <c r="H1485" s="87"/>
      <c r="I1485" s="87"/>
      <c r="J1485" s="87"/>
      <c r="K1485" s="87"/>
      <c r="L1485" s="87"/>
      <c r="M1485" s="87"/>
      <c r="N1485" s="87"/>
      <c r="O1485" s="87"/>
      <c r="P1485" s="87"/>
      <c r="Q1485" s="87"/>
      <c r="R1485" s="87"/>
      <c r="S1485" s="87"/>
      <c r="T1485" s="87"/>
      <c r="U1485" s="88">
        <v>4</v>
      </c>
      <c r="V1485" s="89"/>
      <c r="W1485" s="96">
        <v>0</v>
      </c>
      <c r="X1485" s="71">
        <f>CU1485</f>
        <v>0</v>
      </c>
      <c r="Y1485" s="71">
        <f>CY1485</f>
        <v>0</v>
      </c>
      <c r="Z1485" s="71">
        <f>DA1485+DC1485+DE1485</f>
        <v>0</v>
      </c>
      <c r="AA1485" s="71">
        <f>CW1485</f>
        <v>0</v>
      </c>
      <c r="AB1485" s="71"/>
      <c r="AC1485" s="71">
        <v>0</v>
      </c>
      <c r="AD1485" s="71">
        <f>W1485+X1485+Y1485+Z1485+AA1485+AB1485+AC1485</f>
        <v>0</v>
      </c>
      <c r="AE1485" s="72">
        <v>0</v>
      </c>
      <c r="AF1485" s="5"/>
      <c r="AG1485" s="6"/>
      <c r="AH1485" s="27" t="s">
        <v>3392</v>
      </c>
      <c r="AI1485" s="44" t="s">
        <v>3393</v>
      </c>
      <c r="AJ1485" s="26"/>
      <c r="AK1485" s="5"/>
      <c r="AL1485" s="82" t="s">
        <v>4293</v>
      </c>
      <c r="AM1485" s="76"/>
      <c r="AN1485" s="76"/>
      <c r="AO1485" s="76"/>
      <c r="AP1485" s="76"/>
      <c r="AQ1485" s="76"/>
      <c r="AR1485" s="76"/>
      <c r="AS1485" s="76"/>
      <c r="AT1485" s="76"/>
      <c r="AU1485" s="76"/>
      <c r="AV1485" s="76"/>
      <c r="AW1485" s="76"/>
      <c r="AX1485" s="76">
        <f>+AW1485*600000</f>
        <v>0</v>
      </c>
      <c r="AY1485" s="76"/>
      <c r="AZ1485" s="76">
        <f>+AY1485*70000</f>
        <v>0</v>
      </c>
      <c r="BA1485" s="76"/>
      <c r="BB1485" s="76"/>
      <c r="BC1485" s="76"/>
      <c r="BD1485" s="76">
        <f>+BC1485*30000</f>
        <v>0</v>
      </c>
      <c r="BE1485" s="76"/>
      <c r="BF1485" s="76"/>
      <c r="BG1485" s="76"/>
      <c r="BH1485" s="76"/>
      <c r="BI1485" s="76"/>
      <c r="BJ1485" s="76"/>
      <c r="BK1485" s="76"/>
      <c r="BL1485" s="76">
        <f>+BK1485*31500</f>
        <v>0</v>
      </c>
      <c r="BM1485" s="76"/>
      <c r="BN1485" s="76"/>
      <c r="BO1485" s="76"/>
      <c r="BP1485" s="76"/>
      <c r="BQ1485" s="76"/>
      <c r="BR1485" s="76"/>
      <c r="BS1485" s="76"/>
      <c r="BT1485" s="76"/>
      <c r="BU1485" s="76"/>
      <c r="BV1485" s="76"/>
      <c r="BW1485" s="76"/>
      <c r="BX1485" s="76"/>
      <c r="BY1485" s="76"/>
      <c r="BZ1485" s="76"/>
      <c r="CA1485" s="76"/>
      <c r="CB1485" s="76"/>
      <c r="CC1485" s="76"/>
      <c r="CD1485" s="76"/>
      <c r="CE1485" s="76"/>
      <c r="CF1485" s="76">
        <f>+CE1485*28000</f>
        <v>0</v>
      </c>
      <c r="CG1485" s="76"/>
      <c r="CH1485" s="76">
        <f>+CG1485*22500</f>
        <v>0</v>
      </c>
      <c r="CI1485" s="76"/>
      <c r="CJ1485" s="76">
        <f>+CI1485*26000</f>
        <v>0</v>
      </c>
      <c r="CK1485" s="76"/>
      <c r="CL1485" s="76"/>
      <c r="CM1485" s="76"/>
      <c r="CN1485" s="76">
        <f>+CM1485*22000</f>
        <v>0</v>
      </c>
      <c r="CO1485" s="76"/>
      <c r="CP1485" s="76">
        <f>+CO1485*46000</f>
        <v>0</v>
      </c>
      <c r="CQ1485" s="76"/>
      <c r="CR1485" s="76">
        <f>+CQ1485*49000</f>
        <v>0</v>
      </c>
      <c r="CS1485" s="76"/>
      <c r="CT1485" s="76"/>
      <c r="CU1485" s="56">
        <f>AN1485+AP1485+AR1485+AT1485+AV1485+AX1485+AZ1485+BB1485+BD1485+BF1485+BH1485+BJ1485+BL1485+BN1485+BP1485+BR1485+BT1485+BV1485+BX1485+BZ1485+CB1485+CD1485+CF1485+CH1485+CJ1485+CL1485+CN1485+CP1485+CR1485+CT1485</f>
        <v>0</v>
      </c>
      <c r="CV1485" s="76"/>
      <c r="CW1485" s="76">
        <f>+CV1485*1100</f>
        <v>0</v>
      </c>
      <c r="CX1485" s="76"/>
      <c r="CY1485" s="76">
        <f>+CX1485*106250</f>
        <v>0</v>
      </c>
      <c r="CZ1485" s="76"/>
      <c r="DA1485" s="76">
        <f>+CZ1485*34500</f>
        <v>0</v>
      </c>
      <c r="DB1485" s="76"/>
      <c r="DC1485" s="76">
        <f>+DB1485*25000</f>
        <v>0</v>
      </c>
      <c r="DD1485" s="219"/>
      <c r="DE1485" s="219"/>
      <c r="DF1485" s="166"/>
      <c r="DG1485" s="116"/>
      <c r="DH1485" s="117"/>
      <c r="DI1485" s="24"/>
      <c r="DJ1485" s="24"/>
      <c r="DK1485" s="24"/>
      <c r="DL1485" s="24"/>
      <c r="DM1485" s="24"/>
      <c r="DN1485" s="24"/>
      <c r="DO1485" s="24"/>
      <c r="DP1485" s="24"/>
      <c r="DQ1485" s="24"/>
      <c r="DR1485" s="24"/>
      <c r="DS1485" s="24"/>
      <c r="DT1485" s="24"/>
      <c r="DU1485" s="24"/>
    </row>
    <row r="1486" spans="1:125" s="8" customFormat="1" ht="84" x14ac:dyDescent="0.2">
      <c r="A1486" s="77">
        <v>41380</v>
      </c>
      <c r="B1486" s="78" t="s">
        <v>2847</v>
      </c>
      <c r="C1486" s="75" t="s">
        <v>2071</v>
      </c>
      <c r="D1486" s="75" t="s">
        <v>2882</v>
      </c>
      <c r="E1486" s="75" t="str">
        <f>VLOOKUP(B1486&amp;C1486,Divipola!$C$2:$F$1138,4,FALSE)</f>
        <v>68498</v>
      </c>
      <c r="F1486" s="87"/>
      <c r="G1486" s="87"/>
      <c r="H1486" s="87"/>
      <c r="I1486" s="87"/>
      <c r="J1486" s="87"/>
      <c r="K1486" s="87"/>
      <c r="L1486" s="87"/>
      <c r="M1486" s="87"/>
      <c r="N1486" s="87"/>
      <c r="O1486" s="87"/>
      <c r="P1486" s="87"/>
      <c r="Q1486" s="87"/>
      <c r="R1486" s="87"/>
      <c r="S1486" s="87">
        <v>1</v>
      </c>
      <c r="T1486" s="87"/>
      <c r="U1486" s="88"/>
      <c r="V1486" s="89"/>
      <c r="W1486" s="96">
        <v>0</v>
      </c>
      <c r="X1486" s="71">
        <f>CU1486</f>
        <v>0</v>
      </c>
      <c r="Y1486" s="71">
        <f>CY1486</f>
        <v>0</v>
      </c>
      <c r="Z1486" s="71">
        <f>DA1486+DC1486+DE1486</f>
        <v>0</v>
      </c>
      <c r="AA1486" s="71">
        <f>CW1486</f>
        <v>0</v>
      </c>
      <c r="AB1486" s="71"/>
      <c r="AC1486" s="71">
        <v>0</v>
      </c>
      <c r="AD1486" s="71">
        <f>W1486+X1486+Y1486+Z1486+AA1486+AB1486+AC1486</f>
        <v>0</v>
      </c>
      <c r="AE1486" s="72">
        <v>0</v>
      </c>
      <c r="AF1486" s="5"/>
      <c r="AG1486" s="6"/>
      <c r="AH1486" s="27" t="s">
        <v>3392</v>
      </c>
      <c r="AI1486" s="44" t="s">
        <v>3393</v>
      </c>
      <c r="AJ1486" s="26"/>
      <c r="AK1486" s="5"/>
      <c r="AL1486" s="82" t="s">
        <v>4291</v>
      </c>
      <c r="AM1486" s="76"/>
      <c r="AN1486" s="76"/>
      <c r="AO1486" s="76"/>
      <c r="AP1486" s="76"/>
      <c r="AQ1486" s="76"/>
      <c r="AR1486" s="76"/>
      <c r="AS1486" s="76"/>
      <c r="AT1486" s="76"/>
      <c r="AU1486" s="76"/>
      <c r="AV1486" s="76"/>
      <c r="AW1486" s="76"/>
      <c r="AX1486" s="76">
        <f>+AW1486*600000</f>
        <v>0</v>
      </c>
      <c r="AY1486" s="76"/>
      <c r="AZ1486" s="76">
        <f>+AY1486*70000</f>
        <v>0</v>
      </c>
      <c r="BA1486" s="76"/>
      <c r="BB1486" s="76"/>
      <c r="BC1486" s="76"/>
      <c r="BD1486" s="76">
        <f>+BC1486*30000</f>
        <v>0</v>
      </c>
      <c r="BE1486" s="76"/>
      <c r="BF1486" s="76"/>
      <c r="BG1486" s="76"/>
      <c r="BH1486" s="76"/>
      <c r="BI1486" s="76"/>
      <c r="BJ1486" s="76"/>
      <c r="BK1486" s="76"/>
      <c r="BL1486" s="76">
        <f>+BK1486*31500</f>
        <v>0</v>
      </c>
      <c r="BM1486" s="76"/>
      <c r="BN1486" s="76"/>
      <c r="BO1486" s="76"/>
      <c r="BP1486" s="76"/>
      <c r="BQ1486" s="76"/>
      <c r="BR1486" s="76"/>
      <c r="BS1486" s="76"/>
      <c r="BT1486" s="76"/>
      <c r="BU1486" s="76"/>
      <c r="BV1486" s="76"/>
      <c r="BW1486" s="76"/>
      <c r="BX1486" s="76"/>
      <c r="BY1486" s="76"/>
      <c r="BZ1486" s="76"/>
      <c r="CA1486" s="76"/>
      <c r="CB1486" s="76"/>
      <c r="CC1486" s="76"/>
      <c r="CD1486" s="76"/>
      <c r="CE1486" s="76"/>
      <c r="CF1486" s="76">
        <f>+CE1486*28000</f>
        <v>0</v>
      </c>
      <c r="CG1486" s="76"/>
      <c r="CH1486" s="76">
        <f>+CG1486*22500</f>
        <v>0</v>
      </c>
      <c r="CI1486" s="76"/>
      <c r="CJ1486" s="76">
        <f>+CI1486*26000</f>
        <v>0</v>
      </c>
      <c r="CK1486" s="76"/>
      <c r="CL1486" s="76"/>
      <c r="CM1486" s="76"/>
      <c r="CN1486" s="76">
        <f>+CM1486*22000</f>
        <v>0</v>
      </c>
      <c r="CO1486" s="76"/>
      <c r="CP1486" s="76">
        <f>+CO1486*46000</f>
        <v>0</v>
      </c>
      <c r="CQ1486" s="76"/>
      <c r="CR1486" s="76">
        <f>+CQ1486*49000</f>
        <v>0</v>
      </c>
      <c r="CS1486" s="76"/>
      <c r="CT1486" s="76"/>
      <c r="CU1486" s="56">
        <f>AN1486+AP1486+AR1486+AT1486+AV1486+AX1486+AZ1486+BB1486+BD1486+BF1486+BH1486+BJ1486+BL1486+BN1486+BP1486+BR1486+BT1486+BV1486+BX1486+BZ1486+CB1486+CD1486+CF1486+CH1486+CJ1486+CL1486+CN1486+CP1486+CR1486+CT1486</f>
        <v>0</v>
      </c>
      <c r="CV1486" s="76"/>
      <c r="CW1486" s="76">
        <f>+CV1486*1100</f>
        <v>0</v>
      </c>
      <c r="CX1486" s="76"/>
      <c r="CY1486" s="76">
        <f>+CX1486*106250</f>
        <v>0</v>
      </c>
      <c r="CZ1486" s="76"/>
      <c r="DA1486" s="76">
        <f>+CZ1486*34500</f>
        <v>0</v>
      </c>
      <c r="DB1486" s="76"/>
      <c r="DC1486" s="76">
        <f>+DB1486*25000</f>
        <v>0</v>
      </c>
      <c r="DD1486" s="219"/>
      <c r="DE1486" s="219"/>
      <c r="DF1486" s="166"/>
      <c r="DG1486" s="116"/>
      <c r="DH1486" s="117"/>
      <c r="DI1486" s="24"/>
      <c r="DJ1486" s="24"/>
      <c r="DK1486" s="24"/>
      <c r="DL1486" s="24"/>
      <c r="DM1486" s="24"/>
      <c r="DN1486" s="24"/>
      <c r="DO1486" s="24"/>
      <c r="DP1486" s="24"/>
      <c r="DQ1486" s="24"/>
      <c r="DR1486" s="24"/>
      <c r="DS1486" s="24"/>
      <c r="DT1486" s="24"/>
      <c r="DU1486" s="24"/>
    </row>
    <row r="1487" spans="1:125" s="8" customFormat="1" ht="84" x14ac:dyDescent="0.2">
      <c r="A1487" s="353">
        <v>41381</v>
      </c>
      <c r="B1487" s="352" t="s">
        <v>2881</v>
      </c>
      <c r="C1487" s="354" t="s">
        <v>2547</v>
      </c>
      <c r="D1487" s="354" t="s">
        <v>2882</v>
      </c>
      <c r="E1487" s="75" t="str">
        <f>VLOOKUP(B1487&amp;C1487,Divipola!$C$2:$F$1138,4,FALSE)</f>
        <v>08638</v>
      </c>
      <c r="F1487" s="87"/>
      <c r="G1487" s="87"/>
      <c r="H1487" s="87"/>
      <c r="I1487" s="87">
        <f>151*5</f>
        <v>755</v>
      </c>
      <c r="J1487" s="87">
        <v>151</v>
      </c>
      <c r="K1487" s="87">
        <v>1</v>
      </c>
      <c r="L1487" s="87">
        <v>150</v>
      </c>
      <c r="M1487" s="87"/>
      <c r="N1487" s="87"/>
      <c r="O1487" s="87"/>
      <c r="P1487" s="87"/>
      <c r="Q1487" s="87"/>
      <c r="R1487" s="87"/>
      <c r="S1487" s="87">
        <v>8</v>
      </c>
      <c r="T1487" s="87">
        <v>1</v>
      </c>
      <c r="U1487" s="88"/>
      <c r="V1487" s="89"/>
      <c r="W1487" s="96">
        <v>0</v>
      </c>
      <c r="X1487" s="71">
        <f>CU1487</f>
        <v>30484000</v>
      </c>
      <c r="Y1487" s="71">
        <f>CY1487</f>
        <v>21000000</v>
      </c>
      <c r="Z1487" s="71">
        <f>DA1487+DC1487+DE1487</f>
        <v>111416829.56</v>
      </c>
      <c r="AA1487" s="71">
        <f>CW1487</f>
        <v>19720000</v>
      </c>
      <c r="AB1487" s="71"/>
      <c r="AC1487" s="71">
        <v>0</v>
      </c>
      <c r="AD1487" s="71">
        <f>W1487+X1487+Y1487+Z1487+AA1487+AB1487+AC1487</f>
        <v>182620829.56</v>
      </c>
      <c r="AE1487" s="72">
        <v>0</v>
      </c>
      <c r="AF1487" s="5"/>
      <c r="AG1487" s="6"/>
      <c r="AH1487" s="27" t="s">
        <v>3390</v>
      </c>
      <c r="AI1487" s="44" t="s">
        <v>3391</v>
      </c>
      <c r="AJ1487" s="26"/>
      <c r="AK1487" s="5"/>
      <c r="AL1487" s="82" t="s">
        <v>4295</v>
      </c>
      <c r="AM1487" s="76"/>
      <c r="AN1487" s="76"/>
      <c r="AO1487" s="76"/>
      <c r="AP1487" s="76"/>
      <c r="AQ1487" s="76"/>
      <c r="AR1487" s="76"/>
      <c r="AS1487" s="76"/>
      <c r="AT1487" s="76"/>
      <c r="AU1487" s="76"/>
      <c r="AV1487" s="76"/>
      <c r="AW1487" s="76"/>
      <c r="AX1487" s="76">
        <f>+AW1487*600000</f>
        <v>0</v>
      </c>
      <c r="AY1487" s="76"/>
      <c r="AZ1487" s="76">
        <f>+AY1487*70000</f>
        <v>0</v>
      </c>
      <c r="BA1487" s="76"/>
      <c r="BB1487" s="76"/>
      <c r="BC1487" s="76"/>
      <c r="BD1487" s="76">
        <f>+BC1487*30000</f>
        <v>0</v>
      </c>
      <c r="BE1487" s="76"/>
      <c r="BF1487" s="76"/>
      <c r="BG1487" s="76"/>
      <c r="BH1487" s="76"/>
      <c r="BI1487" s="76"/>
      <c r="BJ1487" s="76"/>
      <c r="BK1487" s="76"/>
      <c r="BL1487" s="76">
        <f>+BK1487*31500</f>
        <v>0</v>
      </c>
      <c r="BM1487" s="76"/>
      <c r="BN1487" s="76"/>
      <c r="BO1487" s="76"/>
      <c r="BP1487" s="76"/>
      <c r="BQ1487" s="76"/>
      <c r="BR1487" s="76"/>
      <c r="BS1487" s="76"/>
      <c r="BT1487" s="76"/>
      <c r="BU1487" s="76"/>
      <c r="BV1487" s="76"/>
      <c r="BW1487" s="76"/>
      <c r="BX1487" s="76"/>
      <c r="BY1487" s="86">
        <v>50</v>
      </c>
      <c r="BZ1487" s="86">
        <f>50*229680</f>
        <v>11484000</v>
      </c>
      <c r="CA1487" s="76"/>
      <c r="CB1487" s="76"/>
      <c r="CC1487" s="76"/>
      <c r="CD1487" s="76"/>
      <c r="CE1487" s="76"/>
      <c r="CF1487" s="76">
        <f>+CE1487*28000</f>
        <v>0</v>
      </c>
      <c r="CG1487" s="76"/>
      <c r="CH1487" s="76">
        <f>+CG1487*22500</f>
        <v>0</v>
      </c>
      <c r="CI1487" s="76"/>
      <c r="CJ1487" s="76">
        <f>+CI1487*26000</f>
        <v>0</v>
      </c>
      <c r="CK1487" s="76"/>
      <c r="CL1487" s="76"/>
      <c r="CM1487" s="76"/>
      <c r="CN1487" s="76">
        <f>+CM1487*22000</f>
        <v>0</v>
      </c>
      <c r="CO1487" s="86">
        <v>200</v>
      </c>
      <c r="CP1487" s="86">
        <f>+CO1487*46000</f>
        <v>9200000</v>
      </c>
      <c r="CQ1487" s="86">
        <v>200</v>
      </c>
      <c r="CR1487" s="86">
        <f>+CQ1487*49000</f>
        <v>9800000</v>
      </c>
      <c r="CS1487" s="76"/>
      <c r="CT1487" s="76"/>
      <c r="CU1487" s="56">
        <f>AN1487+AP1487+AR1487+AT1487+AV1487+AX1487+AZ1487+BB1487+BD1487+BF1487+BH1487+BJ1487+BL1487+BN1487+BP1487+BR1487+BT1487+BV1487+BX1487+BZ1487+CB1487+CD1487+CF1487+CH1487+CJ1487+CL1487+CN1487+CP1487+CR1487+CT1487</f>
        <v>30484000</v>
      </c>
      <c r="CV1487" s="86">
        <v>20000</v>
      </c>
      <c r="CW1487" s="86">
        <f>+CV1487*986</f>
        <v>19720000</v>
      </c>
      <c r="CX1487" s="86">
        <v>200</v>
      </c>
      <c r="CY1487" s="86">
        <f>+CX1487*105000</f>
        <v>21000000</v>
      </c>
      <c r="CZ1487" s="86">
        <v>15</v>
      </c>
      <c r="DA1487" s="86">
        <f>+CZ1487*32480</f>
        <v>487200</v>
      </c>
      <c r="DB1487" s="86">
        <f>1300+300+150+200+150+1649</f>
        <v>3749</v>
      </c>
      <c r="DC1487" s="86">
        <f>1300*33645.8+300*25282.2+150*16852.48+200*16124+150*22628.12+4300*348+3900*638+600*33645.8+300*25282.2+138*16852.48+200*16124+411*22628.12+1900*348+2900*638</f>
        <v>109589829.56</v>
      </c>
      <c r="DD1487" s="222" t="s">
        <v>5004</v>
      </c>
      <c r="DE1487" s="309">
        <f>700*1914</f>
        <v>1339800</v>
      </c>
      <c r="DF1487" s="166"/>
      <c r="DG1487" s="192" t="s">
        <v>6473</v>
      </c>
      <c r="DH1487" s="117"/>
      <c r="DI1487" s="24"/>
      <c r="DJ1487" s="24"/>
      <c r="DK1487" s="24"/>
      <c r="DL1487" s="24"/>
      <c r="DM1487" s="24"/>
      <c r="DN1487" s="24"/>
      <c r="DO1487" s="24"/>
      <c r="DP1487" s="24"/>
      <c r="DQ1487" s="24"/>
      <c r="DR1487" s="24"/>
      <c r="DS1487" s="24"/>
      <c r="DT1487" s="24"/>
      <c r="DU1487" s="24"/>
    </row>
    <row r="1488" spans="1:125" s="8" customFormat="1" ht="48" x14ac:dyDescent="0.2">
      <c r="A1488" s="226">
        <v>41381</v>
      </c>
      <c r="B1488" s="225" t="s">
        <v>2777</v>
      </c>
      <c r="C1488" s="227" t="s">
        <v>2678</v>
      </c>
      <c r="D1488" s="227" t="s">
        <v>2859</v>
      </c>
      <c r="E1488" s="75" t="str">
        <f>VLOOKUP(B1488&amp;C1488,Divipola!$C$2:$F$1138,4,FALSE)</f>
        <v>13683</v>
      </c>
      <c r="F1488" s="87"/>
      <c r="G1488" s="87"/>
      <c r="H1488" s="87"/>
      <c r="I1488" s="87">
        <v>5</v>
      </c>
      <c r="J1488" s="87">
        <v>1</v>
      </c>
      <c r="K1488" s="87">
        <v>1</v>
      </c>
      <c r="L1488" s="87"/>
      <c r="M1488" s="87"/>
      <c r="N1488" s="87"/>
      <c r="O1488" s="87"/>
      <c r="P1488" s="87"/>
      <c r="Q1488" s="87"/>
      <c r="R1488" s="87"/>
      <c r="S1488" s="87"/>
      <c r="T1488" s="87"/>
      <c r="U1488" s="88"/>
      <c r="V1488" s="89"/>
      <c r="W1488" s="96">
        <v>0</v>
      </c>
      <c r="X1488" s="71">
        <f>CU1488</f>
        <v>0</v>
      </c>
      <c r="Y1488" s="71">
        <f>CY1488</f>
        <v>0</v>
      </c>
      <c r="Z1488" s="71">
        <f>DA1488+DC1488+DE1488</f>
        <v>0</v>
      </c>
      <c r="AA1488" s="71">
        <f>CW1488</f>
        <v>0</v>
      </c>
      <c r="AB1488" s="71"/>
      <c r="AC1488" s="71">
        <v>0</v>
      </c>
      <c r="AD1488" s="71">
        <f>W1488+X1488+Y1488+Z1488+AA1488+AB1488+AC1488</f>
        <v>0</v>
      </c>
      <c r="AE1488" s="72">
        <v>0</v>
      </c>
      <c r="AF1488" s="5"/>
      <c r="AG1488" s="6"/>
      <c r="AH1488" s="27" t="s">
        <v>3392</v>
      </c>
      <c r="AI1488" s="44" t="s">
        <v>3393</v>
      </c>
      <c r="AJ1488" s="26"/>
      <c r="AK1488" s="5"/>
      <c r="AL1488" s="82" t="s">
        <v>4319</v>
      </c>
      <c r="AM1488" s="76"/>
      <c r="AN1488" s="76"/>
      <c r="AO1488" s="76"/>
      <c r="AP1488" s="76"/>
      <c r="AQ1488" s="76"/>
      <c r="AR1488" s="76"/>
      <c r="AS1488" s="76"/>
      <c r="AT1488" s="76"/>
      <c r="AU1488" s="76"/>
      <c r="AV1488" s="76"/>
      <c r="AW1488" s="76"/>
      <c r="AX1488" s="76">
        <f>+AW1488*600000</f>
        <v>0</v>
      </c>
      <c r="AY1488" s="76"/>
      <c r="AZ1488" s="76">
        <f>+AY1488*70000</f>
        <v>0</v>
      </c>
      <c r="BA1488" s="76"/>
      <c r="BB1488" s="76"/>
      <c r="BC1488" s="76"/>
      <c r="BD1488" s="76">
        <f>+BC1488*30000</f>
        <v>0</v>
      </c>
      <c r="BE1488" s="76"/>
      <c r="BF1488" s="76"/>
      <c r="BG1488" s="76"/>
      <c r="BH1488" s="76"/>
      <c r="BI1488" s="76"/>
      <c r="BJ1488" s="76"/>
      <c r="BK1488" s="76"/>
      <c r="BL1488" s="76">
        <f>+BK1488*31500</f>
        <v>0</v>
      </c>
      <c r="BM1488" s="76"/>
      <c r="BN1488" s="76"/>
      <c r="BO1488" s="76"/>
      <c r="BP1488" s="76"/>
      <c r="BQ1488" s="76"/>
      <c r="BR1488" s="76"/>
      <c r="BS1488" s="76"/>
      <c r="BT1488" s="76"/>
      <c r="BU1488" s="76"/>
      <c r="BV1488" s="76"/>
      <c r="BW1488" s="76"/>
      <c r="BX1488" s="76"/>
      <c r="BY1488" s="76"/>
      <c r="BZ1488" s="76"/>
      <c r="CA1488" s="76"/>
      <c r="CB1488" s="76"/>
      <c r="CC1488" s="76"/>
      <c r="CD1488" s="76"/>
      <c r="CE1488" s="76"/>
      <c r="CF1488" s="76">
        <f>+CE1488*28000</f>
        <v>0</v>
      </c>
      <c r="CG1488" s="76"/>
      <c r="CH1488" s="76">
        <f>+CG1488*22500</f>
        <v>0</v>
      </c>
      <c r="CI1488" s="76"/>
      <c r="CJ1488" s="76">
        <f>+CI1488*26000</f>
        <v>0</v>
      </c>
      <c r="CK1488" s="76"/>
      <c r="CL1488" s="76"/>
      <c r="CM1488" s="76"/>
      <c r="CN1488" s="76">
        <f>+CM1488*22000</f>
        <v>0</v>
      </c>
      <c r="CO1488" s="76"/>
      <c r="CP1488" s="76">
        <f>+CO1488*46000</f>
        <v>0</v>
      </c>
      <c r="CQ1488" s="76"/>
      <c r="CR1488" s="76">
        <f>+CQ1488*49000</f>
        <v>0</v>
      </c>
      <c r="CS1488" s="76"/>
      <c r="CT1488" s="76"/>
      <c r="CU1488" s="56">
        <f>AN1488+AP1488+AR1488+AT1488+AV1488+AX1488+AZ1488+BB1488+BD1488+BF1488+BH1488+BJ1488+BL1488+BN1488+BP1488+BR1488+BT1488+BV1488+BX1488+BZ1488+CB1488+CD1488+CF1488+CH1488+CJ1488+CL1488+CN1488+CP1488+CR1488+CT1488</f>
        <v>0</v>
      </c>
      <c r="CV1488" s="76"/>
      <c r="CW1488" s="76">
        <f>+CV1488*1100</f>
        <v>0</v>
      </c>
      <c r="CX1488" s="76"/>
      <c r="CY1488" s="76">
        <f>+CX1488*106250</f>
        <v>0</v>
      </c>
      <c r="CZ1488" s="76"/>
      <c r="DA1488" s="76">
        <f>+CZ1488*34500</f>
        <v>0</v>
      </c>
      <c r="DB1488" s="76"/>
      <c r="DC1488" s="76">
        <f>+DB1488*25000</f>
        <v>0</v>
      </c>
      <c r="DD1488" s="219"/>
      <c r="DE1488" s="219"/>
      <c r="DF1488" s="166"/>
      <c r="DG1488" s="116"/>
      <c r="DH1488" s="117"/>
      <c r="DI1488" s="24"/>
      <c r="DJ1488" s="24"/>
      <c r="DK1488" s="24"/>
      <c r="DL1488" s="24"/>
      <c r="DM1488" s="24"/>
      <c r="DN1488" s="24"/>
      <c r="DO1488" s="24"/>
      <c r="DP1488" s="24"/>
      <c r="DQ1488" s="24"/>
      <c r="DR1488" s="24"/>
      <c r="DS1488" s="24"/>
      <c r="DT1488" s="24"/>
      <c r="DU1488" s="24"/>
    </row>
    <row r="1489" spans="1:125" s="8" customFormat="1" ht="144" x14ac:dyDescent="0.2">
      <c r="A1489" s="97">
        <v>41381</v>
      </c>
      <c r="B1489" s="60" t="s">
        <v>2700</v>
      </c>
      <c r="C1489" s="55" t="s">
        <v>1600</v>
      </c>
      <c r="D1489" s="84" t="s">
        <v>3088</v>
      </c>
      <c r="E1489" s="75" t="str">
        <f>VLOOKUP(B1489&amp;C1489,Divipola!$C$2:$F$1138,4,FALSE)</f>
        <v>15180</v>
      </c>
      <c r="F1489" s="87"/>
      <c r="G1489" s="87"/>
      <c r="H1489" s="87"/>
      <c r="I1489" s="87"/>
      <c r="J1489" s="87"/>
      <c r="K1489" s="87"/>
      <c r="L1489" s="87"/>
      <c r="M1489" s="87"/>
      <c r="N1489" s="87"/>
      <c r="O1489" s="87"/>
      <c r="P1489" s="87"/>
      <c r="Q1489" s="87"/>
      <c r="R1489" s="87"/>
      <c r="S1489" s="87"/>
      <c r="T1489" s="87"/>
      <c r="U1489" s="88"/>
      <c r="V1489" s="89"/>
      <c r="W1489" s="96">
        <v>0</v>
      </c>
      <c r="X1489" s="71">
        <f>CU1489</f>
        <v>0</v>
      </c>
      <c r="Y1489" s="71">
        <f>CY1489</f>
        <v>0</v>
      </c>
      <c r="Z1489" s="71">
        <f>DA1489+DC1489+DE1489</f>
        <v>0</v>
      </c>
      <c r="AA1489" s="71">
        <f>CW1489</f>
        <v>0</v>
      </c>
      <c r="AB1489" s="71"/>
      <c r="AC1489" s="71">
        <v>0</v>
      </c>
      <c r="AD1489" s="71">
        <f>W1489+X1489+Y1489+Z1489+AA1489+AB1489+AC1489</f>
        <v>0</v>
      </c>
      <c r="AE1489" s="72">
        <v>0</v>
      </c>
      <c r="AF1489" s="5"/>
      <c r="AG1489" s="6"/>
      <c r="AH1489" s="27" t="s">
        <v>3392</v>
      </c>
      <c r="AI1489" s="44" t="s">
        <v>3393</v>
      </c>
      <c r="AJ1489" s="26"/>
      <c r="AK1489" s="5"/>
      <c r="AL1489" s="82" t="s">
        <v>4356</v>
      </c>
      <c r="AM1489" s="76"/>
      <c r="AN1489" s="76"/>
      <c r="AO1489" s="76"/>
      <c r="AP1489" s="76"/>
      <c r="AQ1489" s="76"/>
      <c r="AR1489" s="76"/>
      <c r="AS1489" s="76"/>
      <c r="AT1489" s="76"/>
      <c r="AU1489" s="76"/>
      <c r="AV1489" s="76"/>
      <c r="AW1489" s="76"/>
      <c r="AX1489" s="76">
        <f>+AW1489*600000</f>
        <v>0</v>
      </c>
      <c r="AY1489" s="76"/>
      <c r="AZ1489" s="76">
        <f>+AY1489*70000</f>
        <v>0</v>
      </c>
      <c r="BA1489" s="76"/>
      <c r="BB1489" s="76"/>
      <c r="BC1489" s="76"/>
      <c r="BD1489" s="76">
        <f>+BC1489*30000</f>
        <v>0</v>
      </c>
      <c r="BE1489" s="76"/>
      <c r="BF1489" s="76"/>
      <c r="BG1489" s="76"/>
      <c r="BH1489" s="76"/>
      <c r="BI1489" s="76"/>
      <c r="BJ1489" s="76"/>
      <c r="BK1489" s="76"/>
      <c r="BL1489" s="76">
        <f>+BK1489*31500</f>
        <v>0</v>
      </c>
      <c r="BM1489" s="76"/>
      <c r="BN1489" s="76"/>
      <c r="BO1489" s="76"/>
      <c r="BP1489" s="76"/>
      <c r="BQ1489" s="76"/>
      <c r="BR1489" s="76"/>
      <c r="BS1489" s="76"/>
      <c r="BT1489" s="76"/>
      <c r="BU1489" s="76"/>
      <c r="BV1489" s="76"/>
      <c r="BW1489" s="76"/>
      <c r="BX1489" s="76"/>
      <c r="BY1489" s="76"/>
      <c r="BZ1489" s="76"/>
      <c r="CA1489" s="76"/>
      <c r="CB1489" s="76"/>
      <c r="CC1489" s="76"/>
      <c r="CD1489" s="76"/>
      <c r="CE1489" s="76"/>
      <c r="CF1489" s="76">
        <f>+CE1489*28000</f>
        <v>0</v>
      </c>
      <c r="CG1489" s="76"/>
      <c r="CH1489" s="76">
        <f>+CG1489*22500</f>
        <v>0</v>
      </c>
      <c r="CI1489" s="76"/>
      <c r="CJ1489" s="76">
        <f>+CI1489*26000</f>
        <v>0</v>
      </c>
      <c r="CK1489" s="76"/>
      <c r="CL1489" s="76"/>
      <c r="CM1489" s="76"/>
      <c r="CN1489" s="76">
        <f>+CM1489*22000</f>
        <v>0</v>
      </c>
      <c r="CO1489" s="76"/>
      <c r="CP1489" s="76">
        <f>+CO1489*46000</f>
        <v>0</v>
      </c>
      <c r="CQ1489" s="76"/>
      <c r="CR1489" s="76">
        <f>+CQ1489*49000</f>
        <v>0</v>
      </c>
      <c r="CS1489" s="76"/>
      <c r="CT1489" s="76"/>
      <c r="CU1489" s="56">
        <f>AN1489+AP1489+AR1489+AT1489+AV1489+AX1489+AZ1489+BB1489+BD1489+BF1489+BH1489+BJ1489+BL1489+BN1489+BP1489+BR1489+BT1489+BV1489+BX1489+BZ1489+CB1489+CD1489+CF1489+CH1489+CJ1489+CL1489+CN1489+CP1489+CR1489+CT1489</f>
        <v>0</v>
      </c>
      <c r="CV1489" s="76"/>
      <c r="CW1489" s="76">
        <f>+CV1489*1100</f>
        <v>0</v>
      </c>
      <c r="CX1489" s="76"/>
      <c r="CY1489" s="76">
        <f>+CX1489*106250</f>
        <v>0</v>
      </c>
      <c r="CZ1489" s="76"/>
      <c r="DA1489" s="76">
        <f>+CZ1489*34500</f>
        <v>0</v>
      </c>
      <c r="DB1489" s="76"/>
      <c r="DC1489" s="76">
        <f>+DB1489*25000</f>
        <v>0</v>
      </c>
      <c r="DD1489" s="219"/>
      <c r="DE1489" s="219"/>
      <c r="DF1489" s="166"/>
      <c r="DG1489" s="116"/>
      <c r="DH1489" s="117"/>
      <c r="DI1489" s="24"/>
      <c r="DJ1489" s="24"/>
      <c r="DK1489" s="24"/>
      <c r="DL1489" s="24"/>
      <c r="DM1489" s="24"/>
      <c r="DN1489" s="24"/>
      <c r="DO1489" s="24"/>
      <c r="DP1489" s="24"/>
      <c r="DQ1489" s="24"/>
      <c r="DR1489" s="24"/>
      <c r="DS1489" s="24"/>
      <c r="DT1489" s="24"/>
      <c r="DU1489" s="24"/>
    </row>
    <row r="1490" spans="1:125" s="8" customFormat="1" ht="84" x14ac:dyDescent="0.2">
      <c r="A1490" s="226">
        <v>41381</v>
      </c>
      <c r="B1490" s="225" t="s">
        <v>2778</v>
      </c>
      <c r="C1490" s="227" t="s">
        <v>2129</v>
      </c>
      <c r="D1490" s="227" t="s">
        <v>3425</v>
      </c>
      <c r="E1490" s="75" t="str">
        <f>VLOOKUP(B1490&amp;C1490,Divipola!$C$2:$F$1138,4,FALSE)</f>
        <v>85225</v>
      </c>
      <c r="F1490" s="87">
        <v>1</v>
      </c>
      <c r="G1490" s="87"/>
      <c r="H1490" s="87"/>
      <c r="I1490" s="87"/>
      <c r="J1490" s="87"/>
      <c r="K1490" s="87"/>
      <c r="L1490" s="87"/>
      <c r="M1490" s="87"/>
      <c r="N1490" s="87"/>
      <c r="O1490" s="87"/>
      <c r="P1490" s="87"/>
      <c r="Q1490" s="87"/>
      <c r="R1490" s="87"/>
      <c r="S1490" s="87"/>
      <c r="T1490" s="87"/>
      <c r="U1490" s="88"/>
      <c r="V1490" s="89"/>
      <c r="W1490" s="96">
        <v>0</v>
      </c>
      <c r="X1490" s="71">
        <f>CU1490</f>
        <v>0</v>
      </c>
      <c r="Y1490" s="71">
        <f>CY1490</f>
        <v>0</v>
      </c>
      <c r="Z1490" s="71">
        <f>DA1490+DC1490+DE1490</f>
        <v>0</v>
      </c>
      <c r="AA1490" s="71">
        <f>CW1490</f>
        <v>0</v>
      </c>
      <c r="AB1490" s="71"/>
      <c r="AC1490" s="71">
        <v>0</v>
      </c>
      <c r="AD1490" s="71">
        <f>W1490+X1490+Y1490+Z1490+AA1490+AB1490+AC1490</f>
        <v>0</v>
      </c>
      <c r="AE1490" s="72">
        <v>0</v>
      </c>
      <c r="AF1490" s="5"/>
      <c r="AG1490" s="6"/>
      <c r="AH1490" s="27" t="s">
        <v>3392</v>
      </c>
      <c r="AI1490" s="44" t="s">
        <v>3393</v>
      </c>
      <c r="AJ1490" s="26"/>
      <c r="AK1490" s="5"/>
      <c r="AL1490" s="82" t="s">
        <v>4316</v>
      </c>
      <c r="AM1490" s="76"/>
      <c r="AN1490" s="76"/>
      <c r="AO1490" s="76"/>
      <c r="AP1490" s="76"/>
      <c r="AQ1490" s="76"/>
      <c r="AR1490" s="76"/>
      <c r="AS1490" s="76"/>
      <c r="AT1490" s="76"/>
      <c r="AU1490" s="76"/>
      <c r="AV1490" s="76"/>
      <c r="AW1490" s="76"/>
      <c r="AX1490" s="76">
        <f>+AW1490*600000</f>
        <v>0</v>
      </c>
      <c r="AY1490" s="76"/>
      <c r="AZ1490" s="76">
        <f>+AY1490*70000</f>
        <v>0</v>
      </c>
      <c r="BA1490" s="76"/>
      <c r="BB1490" s="76"/>
      <c r="BC1490" s="76"/>
      <c r="BD1490" s="76">
        <f>+BC1490*30000</f>
        <v>0</v>
      </c>
      <c r="BE1490" s="76"/>
      <c r="BF1490" s="76"/>
      <c r="BG1490" s="76"/>
      <c r="BH1490" s="76"/>
      <c r="BI1490" s="76"/>
      <c r="BJ1490" s="76"/>
      <c r="BK1490" s="76"/>
      <c r="BL1490" s="76">
        <f>+BK1490*31500</f>
        <v>0</v>
      </c>
      <c r="BM1490" s="76"/>
      <c r="BN1490" s="76"/>
      <c r="BO1490" s="76"/>
      <c r="BP1490" s="76"/>
      <c r="BQ1490" s="76"/>
      <c r="BR1490" s="76"/>
      <c r="BS1490" s="76"/>
      <c r="BT1490" s="76"/>
      <c r="BU1490" s="76"/>
      <c r="BV1490" s="76"/>
      <c r="BW1490" s="76"/>
      <c r="BX1490" s="76"/>
      <c r="BY1490" s="76"/>
      <c r="BZ1490" s="76"/>
      <c r="CA1490" s="76"/>
      <c r="CB1490" s="76"/>
      <c r="CC1490" s="76"/>
      <c r="CD1490" s="76"/>
      <c r="CE1490" s="76"/>
      <c r="CF1490" s="76">
        <f>+CE1490*28000</f>
        <v>0</v>
      </c>
      <c r="CG1490" s="76"/>
      <c r="CH1490" s="76">
        <f>+CG1490*22500</f>
        <v>0</v>
      </c>
      <c r="CI1490" s="76"/>
      <c r="CJ1490" s="76">
        <f>+CI1490*26000</f>
        <v>0</v>
      </c>
      <c r="CK1490" s="76"/>
      <c r="CL1490" s="76"/>
      <c r="CM1490" s="76"/>
      <c r="CN1490" s="76">
        <f>+CM1490*22000</f>
        <v>0</v>
      </c>
      <c r="CO1490" s="76"/>
      <c r="CP1490" s="76">
        <f>+CO1490*46000</f>
        <v>0</v>
      </c>
      <c r="CQ1490" s="76"/>
      <c r="CR1490" s="76">
        <f>+CQ1490*49000</f>
        <v>0</v>
      </c>
      <c r="CS1490" s="76"/>
      <c r="CT1490" s="76"/>
      <c r="CU1490" s="56">
        <f>AN1490+AP1490+AR1490+AT1490+AV1490+AX1490+AZ1490+BB1490+BD1490+BF1490+BH1490+BJ1490+BL1490+BN1490+BP1490+BR1490+BT1490+BV1490+BX1490+BZ1490+CB1490+CD1490+CF1490+CH1490+CJ1490+CL1490+CN1490+CP1490+CR1490+CT1490</f>
        <v>0</v>
      </c>
      <c r="CV1490" s="76"/>
      <c r="CW1490" s="76">
        <f>+CV1490*1100</f>
        <v>0</v>
      </c>
      <c r="CX1490" s="76"/>
      <c r="CY1490" s="76">
        <f>+CX1490*106250</f>
        <v>0</v>
      </c>
      <c r="CZ1490" s="76"/>
      <c r="DA1490" s="76">
        <f>+CZ1490*34500</f>
        <v>0</v>
      </c>
      <c r="DB1490" s="76"/>
      <c r="DC1490" s="76">
        <f>+DB1490*25000</f>
        <v>0</v>
      </c>
      <c r="DD1490" s="219"/>
      <c r="DE1490" s="219"/>
      <c r="DF1490" s="166"/>
      <c r="DG1490" s="116"/>
      <c r="DH1490" s="117"/>
      <c r="DI1490" s="24"/>
      <c r="DJ1490" s="24"/>
      <c r="DK1490" s="24"/>
      <c r="DL1490" s="24"/>
      <c r="DM1490" s="24"/>
      <c r="DN1490" s="24"/>
      <c r="DO1490" s="24"/>
      <c r="DP1490" s="24"/>
      <c r="DQ1490" s="24"/>
      <c r="DR1490" s="24"/>
      <c r="DS1490" s="24"/>
      <c r="DT1490" s="24"/>
      <c r="DU1490" s="24"/>
    </row>
    <row r="1491" spans="1:125" s="8" customFormat="1" ht="72" x14ac:dyDescent="0.2">
      <c r="A1491" s="226">
        <v>41381</v>
      </c>
      <c r="B1491" s="225" t="s">
        <v>2854</v>
      </c>
      <c r="C1491" s="227" t="s">
        <v>510</v>
      </c>
      <c r="D1491" s="227" t="s">
        <v>2882</v>
      </c>
      <c r="E1491" s="75" t="str">
        <f>VLOOKUP(B1491&amp;C1491,Divipola!$C$2:$F$1138,4,FALSE)</f>
        <v>19142</v>
      </c>
      <c r="F1491" s="87"/>
      <c r="G1491" s="87"/>
      <c r="H1491" s="87"/>
      <c r="I1491" s="87">
        <v>50</v>
      </c>
      <c r="J1491" s="87">
        <v>10</v>
      </c>
      <c r="K1491" s="87"/>
      <c r="L1491" s="87">
        <v>10</v>
      </c>
      <c r="M1491" s="87"/>
      <c r="N1491" s="87"/>
      <c r="O1491" s="87"/>
      <c r="P1491" s="87"/>
      <c r="Q1491" s="87"/>
      <c r="R1491" s="87"/>
      <c r="S1491" s="87"/>
      <c r="T1491" s="87"/>
      <c r="U1491" s="88"/>
      <c r="V1491" s="89"/>
      <c r="W1491" s="96">
        <v>0</v>
      </c>
      <c r="X1491" s="71">
        <f>CU1491</f>
        <v>0</v>
      </c>
      <c r="Y1491" s="71">
        <f>CY1491</f>
        <v>0</v>
      </c>
      <c r="Z1491" s="71">
        <f>DA1491+DC1491+DE1491</f>
        <v>0</v>
      </c>
      <c r="AA1491" s="71">
        <f>CW1491</f>
        <v>0</v>
      </c>
      <c r="AB1491" s="71"/>
      <c r="AC1491" s="71">
        <v>0</v>
      </c>
      <c r="AD1491" s="71">
        <f>W1491+X1491+Y1491+Z1491+AA1491+AB1491+AC1491</f>
        <v>0</v>
      </c>
      <c r="AE1491" s="72">
        <v>0</v>
      </c>
      <c r="AF1491" s="5"/>
      <c r="AG1491" s="6"/>
      <c r="AH1491" s="27" t="s">
        <v>3392</v>
      </c>
      <c r="AI1491" s="44" t="s">
        <v>3393</v>
      </c>
      <c r="AJ1491" s="26"/>
      <c r="AK1491" s="5"/>
      <c r="AL1491" s="82" t="s">
        <v>4352</v>
      </c>
      <c r="AM1491" s="76"/>
      <c r="AN1491" s="76"/>
      <c r="AO1491" s="76"/>
      <c r="AP1491" s="76"/>
      <c r="AQ1491" s="76"/>
      <c r="AR1491" s="76"/>
      <c r="AS1491" s="76"/>
      <c r="AT1491" s="76"/>
      <c r="AU1491" s="76"/>
      <c r="AV1491" s="76"/>
      <c r="AW1491" s="76"/>
      <c r="AX1491" s="76">
        <f>+AW1491*600000</f>
        <v>0</v>
      </c>
      <c r="AY1491" s="76"/>
      <c r="AZ1491" s="76">
        <f>+AY1491*70000</f>
        <v>0</v>
      </c>
      <c r="BA1491" s="76"/>
      <c r="BB1491" s="76"/>
      <c r="BC1491" s="76"/>
      <c r="BD1491" s="76">
        <f>+BC1491*30000</f>
        <v>0</v>
      </c>
      <c r="BE1491" s="76"/>
      <c r="BF1491" s="76"/>
      <c r="BG1491" s="76"/>
      <c r="BH1491" s="76"/>
      <c r="BI1491" s="76"/>
      <c r="BJ1491" s="76"/>
      <c r="BK1491" s="76"/>
      <c r="BL1491" s="76">
        <f>+BK1491*31500</f>
        <v>0</v>
      </c>
      <c r="BM1491" s="76"/>
      <c r="BN1491" s="76"/>
      <c r="BO1491" s="76"/>
      <c r="BP1491" s="76"/>
      <c r="BQ1491" s="76"/>
      <c r="BR1491" s="76"/>
      <c r="BS1491" s="76"/>
      <c r="BT1491" s="76"/>
      <c r="BU1491" s="76"/>
      <c r="BV1491" s="76"/>
      <c r="BW1491" s="76"/>
      <c r="BX1491" s="76"/>
      <c r="BY1491" s="76"/>
      <c r="BZ1491" s="76"/>
      <c r="CA1491" s="76"/>
      <c r="CB1491" s="76"/>
      <c r="CC1491" s="76"/>
      <c r="CD1491" s="76"/>
      <c r="CE1491" s="76"/>
      <c r="CF1491" s="76">
        <f>+CE1491*28000</f>
        <v>0</v>
      </c>
      <c r="CG1491" s="76"/>
      <c r="CH1491" s="76">
        <f>+CG1491*22500</f>
        <v>0</v>
      </c>
      <c r="CI1491" s="76"/>
      <c r="CJ1491" s="76">
        <f>+CI1491*26000</f>
        <v>0</v>
      </c>
      <c r="CK1491" s="76"/>
      <c r="CL1491" s="76"/>
      <c r="CM1491" s="76"/>
      <c r="CN1491" s="76">
        <f>+CM1491*22000</f>
        <v>0</v>
      </c>
      <c r="CO1491" s="76"/>
      <c r="CP1491" s="76">
        <f>+CO1491*46000</f>
        <v>0</v>
      </c>
      <c r="CQ1491" s="76"/>
      <c r="CR1491" s="76">
        <f>+CQ1491*49000</f>
        <v>0</v>
      </c>
      <c r="CS1491" s="76"/>
      <c r="CT1491" s="76"/>
      <c r="CU1491" s="56">
        <f>AN1491+AP1491+AR1491+AT1491+AV1491+AX1491+AZ1491+BB1491+BD1491+BF1491+BH1491+BJ1491+BL1491+BN1491+BP1491+BR1491+BT1491+BV1491+BX1491+BZ1491+CB1491+CD1491+CF1491+CH1491+CJ1491+CL1491+CN1491+CP1491+CR1491+CT1491</f>
        <v>0</v>
      </c>
      <c r="CV1491" s="76"/>
      <c r="CW1491" s="76">
        <f>+CV1491*1100</f>
        <v>0</v>
      </c>
      <c r="CX1491" s="76"/>
      <c r="CY1491" s="76">
        <f>+CX1491*106250</f>
        <v>0</v>
      </c>
      <c r="CZ1491" s="76"/>
      <c r="DA1491" s="76">
        <f>+CZ1491*34500</f>
        <v>0</v>
      </c>
      <c r="DB1491" s="76"/>
      <c r="DC1491" s="76">
        <f>+DB1491*25000</f>
        <v>0</v>
      </c>
      <c r="DD1491" s="219"/>
      <c r="DE1491" s="219"/>
      <c r="DF1491" s="166"/>
      <c r="DG1491" s="116"/>
      <c r="DH1491" s="117"/>
      <c r="DI1491" s="24"/>
      <c r="DJ1491" s="24"/>
      <c r="DK1491" s="24"/>
      <c r="DL1491" s="24"/>
      <c r="DM1491" s="24"/>
      <c r="DN1491" s="24"/>
      <c r="DO1491" s="24"/>
      <c r="DP1491" s="24"/>
      <c r="DQ1491" s="24"/>
      <c r="DR1491" s="24"/>
      <c r="DS1491" s="24"/>
      <c r="DT1491" s="24"/>
      <c r="DU1491" s="24"/>
    </row>
    <row r="1492" spans="1:125" s="8" customFormat="1" ht="228" x14ac:dyDescent="0.2">
      <c r="A1492" s="77">
        <v>41381</v>
      </c>
      <c r="B1492" s="78" t="s">
        <v>2854</v>
      </c>
      <c r="C1492" s="75" t="s">
        <v>512</v>
      </c>
      <c r="D1492" s="75" t="s">
        <v>2882</v>
      </c>
      <c r="E1492" s="75" t="str">
        <f>VLOOKUP(B1492&amp;C1492,Divipola!$C$2:$F$1138,4,FALSE)</f>
        <v>19300</v>
      </c>
      <c r="F1492" s="87"/>
      <c r="G1492" s="87">
        <v>1</v>
      </c>
      <c r="H1492" s="87"/>
      <c r="I1492" s="87">
        <v>250</v>
      </c>
      <c r="J1492" s="87">
        <v>50</v>
      </c>
      <c r="K1492" s="87"/>
      <c r="L1492" s="87">
        <v>50</v>
      </c>
      <c r="M1492" s="87"/>
      <c r="N1492" s="87"/>
      <c r="O1492" s="87"/>
      <c r="P1492" s="87"/>
      <c r="Q1492" s="87"/>
      <c r="R1492" s="87"/>
      <c r="S1492" s="87">
        <v>3</v>
      </c>
      <c r="T1492" s="87"/>
      <c r="U1492" s="88"/>
      <c r="V1492" s="89">
        <v>32</v>
      </c>
      <c r="W1492" s="96">
        <v>0</v>
      </c>
      <c r="X1492" s="71">
        <f>CU1492</f>
        <v>0</v>
      </c>
      <c r="Y1492" s="71">
        <f>CY1492</f>
        <v>0</v>
      </c>
      <c r="Z1492" s="71">
        <f>DA1492+DC1492+DE1492</f>
        <v>0</v>
      </c>
      <c r="AA1492" s="71">
        <f>CW1492</f>
        <v>0</v>
      </c>
      <c r="AB1492" s="71"/>
      <c r="AC1492" s="71">
        <v>0</v>
      </c>
      <c r="AD1492" s="71">
        <f>W1492+X1492+Y1492+Z1492+AA1492+AB1492+AC1492</f>
        <v>0</v>
      </c>
      <c r="AE1492" s="72">
        <v>0</v>
      </c>
      <c r="AF1492" s="5"/>
      <c r="AG1492" s="6"/>
      <c r="AH1492" s="27" t="s">
        <v>3392</v>
      </c>
      <c r="AI1492" s="44" t="s">
        <v>3393</v>
      </c>
      <c r="AJ1492" s="26"/>
      <c r="AK1492" s="5"/>
      <c r="AL1492" s="82" t="s">
        <v>4337</v>
      </c>
      <c r="AM1492" s="76"/>
      <c r="AN1492" s="76"/>
      <c r="AO1492" s="76"/>
      <c r="AP1492" s="76"/>
      <c r="AQ1492" s="76"/>
      <c r="AR1492" s="76"/>
      <c r="AS1492" s="76"/>
      <c r="AT1492" s="76"/>
      <c r="AU1492" s="76"/>
      <c r="AV1492" s="76"/>
      <c r="AW1492" s="76"/>
      <c r="AX1492" s="76">
        <f>+AW1492*600000</f>
        <v>0</v>
      </c>
      <c r="AY1492" s="76"/>
      <c r="AZ1492" s="76">
        <f>+AY1492*70000</f>
        <v>0</v>
      </c>
      <c r="BA1492" s="76"/>
      <c r="BB1492" s="76"/>
      <c r="BC1492" s="76"/>
      <c r="BD1492" s="76">
        <f>+BC1492*30000</f>
        <v>0</v>
      </c>
      <c r="BE1492" s="76"/>
      <c r="BF1492" s="76"/>
      <c r="BG1492" s="76"/>
      <c r="BH1492" s="76"/>
      <c r="BI1492" s="76"/>
      <c r="BJ1492" s="76"/>
      <c r="BK1492" s="76"/>
      <c r="BL1492" s="76">
        <f>+BK1492*31500</f>
        <v>0</v>
      </c>
      <c r="BM1492" s="76"/>
      <c r="BN1492" s="76"/>
      <c r="BO1492" s="76"/>
      <c r="BP1492" s="76"/>
      <c r="BQ1492" s="76"/>
      <c r="BR1492" s="76"/>
      <c r="BS1492" s="76"/>
      <c r="BT1492" s="76"/>
      <c r="BU1492" s="76"/>
      <c r="BV1492" s="76"/>
      <c r="BW1492" s="76"/>
      <c r="BX1492" s="76"/>
      <c r="BY1492" s="76"/>
      <c r="BZ1492" s="76"/>
      <c r="CA1492" s="76"/>
      <c r="CB1492" s="76"/>
      <c r="CC1492" s="76"/>
      <c r="CD1492" s="76"/>
      <c r="CE1492" s="76"/>
      <c r="CF1492" s="76">
        <f>+CE1492*28000</f>
        <v>0</v>
      </c>
      <c r="CG1492" s="76"/>
      <c r="CH1492" s="76">
        <f>+CG1492*22500</f>
        <v>0</v>
      </c>
      <c r="CI1492" s="76"/>
      <c r="CJ1492" s="76">
        <f>+CI1492*26000</f>
        <v>0</v>
      </c>
      <c r="CK1492" s="76"/>
      <c r="CL1492" s="76"/>
      <c r="CM1492" s="76"/>
      <c r="CN1492" s="76">
        <f>+CM1492*22000</f>
        <v>0</v>
      </c>
      <c r="CO1492" s="76"/>
      <c r="CP1492" s="76">
        <f>+CO1492*46000</f>
        <v>0</v>
      </c>
      <c r="CQ1492" s="76"/>
      <c r="CR1492" s="76">
        <f>+CQ1492*49000</f>
        <v>0</v>
      </c>
      <c r="CS1492" s="76"/>
      <c r="CT1492" s="76"/>
      <c r="CU1492" s="56">
        <f>AN1492+AP1492+AR1492+AT1492+AV1492+AX1492+AZ1492+BB1492+BD1492+BF1492+BH1492+BJ1492+BL1492+BN1492+BP1492+BR1492+BT1492+BV1492+BX1492+BZ1492+CB1492+CD1492+CF1492+CH1492+CJ1492+CL1492+CN1492+CP1492+CR1492+CT1492</f>
        <v>0</v>
      </c>
      <c r="CV1492" s="76"/>
      <c r="CW1492" s="76">
        <f>+CV1492*1100</f>
        <v>0</v>
      </c>
      <c r="CX1492" s="76"/>
      <c r="CY1492" s="76">
        <f>+CX1492*106250</f>
        <v>0</v>
      </c>
      <c r="CZ1492" s="76"/>
      <c r="DA1492" s="76">
        <f>+CZ1492*34500</f>
        <v>0</v>
      </c>
      <c r="DB1492" s="76"/>
      <c r="DC1492" s="76">
        <f>+DB1492*25000</f>
        <v>0</v>
      </c>
      <c r="DD1492" s="219"/>
      <c r="DE1492" s="219"/>
      <c r="DF1492" s="166"/>
      <c r="DG1492" s="116"/>
      <c r="DH1492" s="117"/>
      <c r="DI1492" s="24"/>
      <c r="DJ1492" s="24"/>
      <c r="DK1492" s="24"/>
      <c r="DL1492" s="24"/>
      <c r="DM1492" s="24"/>
      <c r="DN1492" s="24"/>
      <c r="DO1492" s="24"/>
      <c r="DP1492" s="24"/>
      <c r="DQ1492" s="24"/>
      <c r="DR1492" s="24"/>
      <c r="DS1492" s="24"/>
      <c r="DT1492" s="24"/>
      <c r="DU1492" s="24"/>
    </row>
    <row r="1493" spans="1:125" s="8" customFormat="1" ht="84" x14ac:dyDescent="0.2">
      <c r="A1493" s="77">
        <v>41381</v>
      </c>
      <c r="B1493" s="78" t="s">
        <v>2854</v>
      </c>
      <c r="C1493" s="75" t="s">
        <v>2124</v>
      </c>
      <c r="D1493" s="75" t="s">
        <v>2882</v>
      </c>
      <c r="E1493" s="75" t="str">
        <f>VLOOKUP(B1493&amp;C1493,Divipola!$C$2:$F$1138,4,FALSE)</f>
        <v>19548</v>
      </c>
      <c r="F1493" s="163"/>
      <c r="G1493" s="163"/>
      <c r="H1493" s="163"/>
      <c r="I1493" s="163">
        <v>279</v>
      </c>
      <c r="J1493" s="163">
        <v>68</v>
      </c>
      <c r="K1493" s="163"/>
      <c r="L1493" s="163">
        <v>68</v>
      </c>
      <c r="M1493" s="163"/>
      <c r="N1493" s="163"/>
      <c r="O1493" s="163"/>
      <c r="P1493" s="163"/>
      <c r="Q1493" s="163"/>
      <c r="R1493" s="163"/>
      <c r="S1493" s="163"/>
      <c r="T1493" s="163"/>
      <c r="U1493" s="163">
        <v>2030</v>
      </c>
      <c r="V1493" s="134"/>
      <c r="W1493" s="96">
        <v>0</v>
      </c>
      <c r="X1493" s="71">
        <f>CU1493</f>
        <v>0</v>
      </c>
      <c r="Y1493" s="71">
        <f>CY1493</f>
        <v>0</v>
      </c>
      <c r="Z1493" s="71">
        <f>DA1493+DC1493+DE1493</f>
        <v>70755814.719999999</v>
      </c>
      <c r="AA1493" s="71">
        <f>CW1493</f>
        <v>0</v>
      </c>
      <c r="AB1493" s="71"/>
      <c r="AC1493" s="71">
        <v>0</v>
      </c>
      <c r="AD1493" s="71">
        <f>W1493+X1493+Y1493+Z1493+AA1493+AB1493+AC1493</f>
        <v>70755814.719999999</v>
      </c>
      <c r="AE1493" s="72">
        <v>0</v>
      </c>
      <c r="AF1493" s="5"/>
      <c r="AG1493" s="6"/>
      <c r="AH1493" s="27" t="s">
        <v>3390</v>
      </c>
      <c r="AI1493" s="44" t="s">
        <v>3391</v>
      </c>
      <c r="AJ1493" s="26"/>
      <c r="AK1493" s="5"/>
      <c r="AL1493" s="82" t="s">
        <v>4918</v>
      </c>
      <c r="AM1493" s="76"/>
      <c r="AN1493" s="76"/>
      <c r="AO1493" s="76"/>
      <c r="AP1493" s="76"/>
      <c r="AQ1493" s="76"/>
      <c r="AR1493" s="76"/>
      <c r="AS1493" s="76"/>
      <c r="AT1493" s="76"/>
      <c r="AU1493" s="76"/>
      <c r="AV1493" s="76"/>
      <c r="AW1493" s="76"/>
      <c r="AX1493" s="76">
        <f>+AW1493*600000</f>
        <v>0</v>
      </c>
      <c r="AY1493" s="76"/>
      <c r="AZ1493" s="76">
        <f>+AY1493*70000</f>
        <v>0</v>
      </c>
      <c r="BA1493" s="76"/>
      <c r="BB1493" s="76"/>
      <c r="BC1493" s="76"/>
      <c r="BD1493" s="76">
        <f>+BC1493*30000</f>
        <v>0</v>
      </c>
      <c r="BE1493" s="76"/>
      <c r="BF1493" s="76"/>
      <c r="BG1493" s="76"/>
      <c r="BH1493" s="76"/>
      <c r="BI1493" s="76"/>
      <c r="BJ1493" s="76"/>
      <c r="BK1493" s="76"/>
      <c r="BL1493" s="76">
        <f>+BK1493*31500</f>
        <v>0</v>
      </c>
      <c r="BM1493" s="76"/>
      <c r="BN1493" s="76"/>
      <c r="BO1493" s="76"/>
      <c r="BP1493" s="76"/>
      <c r="BQ1493" s="76"/>
      <c r="BR1493" s="76"/>
      <c r="BS1493" s="76"/>
      <c r="BT1493" s="76"/>
      <c r="BU1493" s="76"/>
      <c r="BV1493" s="76"/>
      <c r="BW1493" s="76"/>
      <c r="BX1493" s="76"/>
      <c r="BY1493" s="76"/>
      <c r="BZ1493" s="76"/>
      <c r="CA1493" s="76"/>
      <c r="CB1493" s="76"/>
      <c r="CC1493" s="76"/>
      <c r="CD1493" s="76"/>
      <c r="CE1493" s="76"/>
      <c r="CF1493" s="76">
        <f>+CE1493*28000</f>
        <v>0</v>
      </c>
      <c r="CG1493" s="76"/>
      <c r="CH1493" s="76">
        <f>+CG1493*22500</f>
        <v>0</v>
      </c>
      <c r="CI1493" s="76"/>
      <c r="CJ1493" s="76">
        <f>+CI1493*26000</f>
        <v>0</v>
      </c>
      <c r="CK1493" s="76"/>
      <c r="CL1493" s="76"/>
      <c r="CM1493" s="76"/>
      <c r="CN1493" s="76">
        <f>+CM1493*22000</f>
        <v>0</v>
      </c>
      <c r="CO1493" s="76"/>
      <c r="CP1493" s="76">
        <f>+CO1493*46000</f>
        <v>0</v>
      </c>
      <c r="CQ1493" s="76"/>
      <c r="CR1493" s="76">
        <f>+CQ1493*49000</f>
        <v>0</v>
      </c>
      <c r="CS1493" s="76"/>
      <c r="CT1493" s="76"/>
      <c r="CU1493" s="56">
        <f>AN1493+AP1493+AR1493+AT1493+AV1493+AX1493+AZ1493+BB1493+BD1493+BF1493+BH1493+BJ1493+BL1493+BN1493+BP1493+BR1493+BT1493+BV1493+BX1493+BZ1493+CB1493+CD1493+CF1493+CH1493+CJ1493+CL1493+CN1493+CP1493+CR1493+CT1493</f>
        <v>0</v>
      </c>
      <c r="CV1493" s="76"/>
      <c r="CW1493" s="76">
        <f>+CV1493*1100</f>
        <v>0</v>
      </c>
      <c r="CX1493" s="76"/>
      <c r="CY1493" s="76">
        <f>+CX1493*106250</f>
        <v>0</v>
      </c>
      <c r="CZ1493" s="86">
        <v>884</v>
      </c>
      <c r="DA1493" s="86">
        <f>+CZ1493*29499.96</f>
        <v>26077964.640000001</v>
      </c>
      <c r="DB1493" s="86">
        <f>352+504+308</f>
        <v>1164</v>
      </c>
      <c r="DC1493" s="86">
        <f>352*31999.76+1408*199.52+504*30999.84+308*52639.64+3248*399.04</f>
        <v>44677850.079999998</v>
      </c>
      <c r="DD1493" s="219"/>
      <c r="DE1493" s="219"/>
      <c r="DF1493" s="166"/>
      <c r="DG1493" s="134" t="s">
        <v>6535</v>
      </c>
      <c r="DH1493" s="117"/>
      <c r="DI1493" s="24"/>
      <c r="DJ1493" s="24"/>
      <c r="DK1493" s="24"/>
      <c r="DL1493" s="24"/>
      <c r="DM1493" s="24"/>
      <c r="DN1493" s="24"/>
      <c r="DO1493" s="24"/>
      <c r="DP1493" s="24"/>
      <c r="DQ1493" s="24"/>
      <c r="DR1493" s="24"/>
      <c r="DS1493" s="24"/>
      <c r="DT1493" s="24"/>
      <c r="DU1493" s="24"/>
    </row>
    <row r="1494" spans="1:125" s="8" customFormat="1" ht="36" x14ac:dyDescent="0.2">
      <c r="A1494" s="226">
        <v>41381</v>
      </c>
      <c r="B1494" s="352" t="s">
        <v>2661</v>
      </c>
      <c r="C1494" s="354" t="s">
        <v>2169</v>
      </c>
      <c r="D1494" s="81" t="s">
        <v>2846</v>
      </c>
      <c r="E1494" s="75" t="str">
        <f>VLOOKUP(B1494&amp;C1494,Divipola!$C$2:$F$1138,4,FALSE)</f>
        <v>41001</v>
      </c>
      <c r="F1494" s="87"/>
      <c r="G1494" s="87"/>
      <c r="H1494" s="87"/>
      <c r="I1494" s="87"/>
      <c r="J1494" s="87"/>
      <c r="K1494" s="87"/>
      <c r="L1494" s="87"/>
      <c r="M1494" s="87"/>
      <c r="N1494" s="87"/>
      <c r="O1494" s="87"/>
      <c r="P1494" s="87"/>
      <c r="Q1494" s="87"/>
      <c r="R1494" s="87"/>
      <c r="S1494" s="87"/>
      <c r="T1494" s="87"/>
      <c r="U1494" s="88">
        <v>6</v>
      </c>
      <c r="V1494" s="89"/>
      <c r="W1494" s="96">
        <v>0</v>
      </c>
      <c r="X1494" s="71">
        <f>CU1494</f>
        <v>0</v>
      </c>
      <c r="Y1494" s="71">
        <f>CY1494</f>
        <v>0</v>
      </c>
      <c r="Z1494" s="71">
        <f>DA1494+DC1494+DE1494</f>
        <v>0</v>
      </c>
      <c r="AA1494" s="71">
        <f>CW1494</f>
        <v>0</v>
      </c>
      <c r="AB1494" s="71"/>
      <c r="AC1494" s="71">
        <v>0</v>
      </c>
      <c r="AD1494" s="71">
        <f>W1494+X1494+Y1494+Z1494+AA1494+AB1494+AC1494</f>
        <v>0</v>
      </c>
      <c r="AE1494" s="72">
        <v>0</v>
      </c>
      <c r="AF1494" s="5"/>
      <c r="AG1494" s="6"/>
      <c r="AH1494" s="27" t="s">
        <v>3392</v>
      </c>
      <c r="AI1494" s="44" t="s">
        <v>3393</v>
      </c>
      <c r="AJ1494" s="26"/>
      <c r="AK1494" s="5"/>
      <c r="AL1494" s="82" t="s">
        <v>4302</v>
      </c>
      <c r="AM1494" s="76"/>
      <c r="AN1494" s="76"/>
      <c r="AO1494" s="76"/>
      <c r="AP1494" s="76"/>
      <c r="AQ1494" s="76"/>
      <c r="AR1494" s="76"/>
      <c r="AS1494" s="76"/>
      <c r="AT1494" s="76"/>
      <c r="AU1494" s="76"/>
      <c r="AV1494" s="76"/>
      <c r="AW1494" s="76"/>
      <c r="AX1494" s="76">
        <f>+AW1494*600000</f>
        <v>0</v>
      </c>
      <c r="AY1494" s="76"/>
      <c r="AZ1494" s="76">
        <f>+AY1494*70000</f>
        <v>0</v>
      </c>
      <c r="BA1494" s="76"/>
      <c r="BB1494" s="76"/>
      <c r="BC1494" s="76"/>
      <c r="BD1494" s="76">
        <f>+BC1494*30000</f>
        <v>0</v>
      </c>
      <c r="BE1494" s="76"/>
      <c r="BF1494" s="76"/>
      <c r="BG1494" s="76"/>
      <c r="BH1494" s="76"/>
      <c r="BI1494" s="76"/>
      <c r="BJ1494" s="76"/>
      <c r="BK1494" s="76"/>
      <c r="BL1494" s="76">
        <f>+BK1494*31500</f>
        <v>0</v>
      </c>
      <c r="BM1494" s="76"/>
      <c r="BN1494" s="76"/>
      <c r="BO1494" s="76"/>
      <c r="BP1494" s="76"/>
      <c r="BQ1494" s="76"/>
      <c r="BR1494" s="76"/>
      <c r="BS1494" s="76"/>
      <c r="BT1494" s="76"/>
      <c r="BU1494" s="76"/>
      <c r="BV1494" s="76"/>
      <c r="BW1494" s="76"/>
      <c r="BX1494" s="76"/>
      <c r="BY1494" s="76"/>
      <c r="BZ1494" s="76"/>
      <c r="CA1494" s="76"/>
      <c r="CB1494" s="76"/>
      <c r="CC1494" s="76"/>
      <c r="CD1494" s="76"/>
      <c r="CE1494" s="76"/>
      <c r="CF1494" s="76">
        <f>+CE1494*28000</f>
        <v>0</v>
      </c>
      <c r="CG1494" s="76"/>
      <c r="CH1494" s="76">
        <f>+CG1494*22500</f>
        <v>0</v>
      </c>
      <c r="CI1494" s="76"/>
      <c r="CJ1494" s="76">
        <f>+CI1494*26000</f>
        <v>0</v>
      </c>
      <c r="CK1494" s="76"/>
      <c r="CL1494" s="76"/>
      <c r="CM1494" s="76"/>
      <c r="CN1494" s="76">
        <f>+CM1494*22000</f>
        <v>0</v>
      </c>
      <c r="CO1494" s="76"/>
      <c r="CP1494" s="76">
        <f>+CO1494*46000</f>
        <v>0</v>
      </c>
      <c r="CQ1494" s="76"/>
      <c r="CR1494" s="76">
        <f>+CQ1494*49000</f>
        <v>0</v>
      </c>
      <c r="CS1494" s="76"/>
      <c r="CT1494" s="76"/>
      <c r="CU1494" s="56">
        <f>AN1494+AP1494+AR1494+AT1494+AV1494+AX1494+AZ1494+BB1494+BD1494+BF1494+BH1494+BJ1494+BL1494+BN1494+BP1494+BR1494+BT1494+BV1494+BX1494+BZ1494+CB1494+CD1494+CF1494+CH1494+CJ1494+CL1494+CN1494+CP1494+CR1494+CT1494</f>
        <v>0</v>
      </c>
      <c r="CV1494" s="76"/>
      <c r="CW1494" s="76">
        <f>+CV1494*1100</f>
        <v>0</v>
      </c>
      <c r="CX1494" s="76"/>
      <c r="CY1494" s="76">
        <f>+CX1494*106250</f>
        <v>0</v>
      </c>
      <c r="CZ1494" s="76"/>
      <c r="DA1494" s="76">
        <f>+CZ1494*34500</f>
        <v>0</v>
      </c>
      <c r="DB1494" s="76"/>
      <c r="DC1494" s="76">
        <f>+DB1494*25000</f>
        <v>0</v>
      </c>
      <c r="DD1494" s="219"/>
      <c r="DE1494" s="219"/>
      <c r="DF1494" s="166"/>
      <c r="DG1494" s="116"/>
      <c r="DH1494" s="117"/>
      <c r="DI1494" s="24"/>
      <c r="DJ1494" s="24"/>
      <c r="DK1494" s="24"/>
      <c r="DL1494" s="24"/>
      <c r="DM1494" s="24"/>
      <c r="DN1494" s="24"/>
      <c r="DO1494" s="24"/>
      <c r="DP1494" s="24"/>
      <c r="DQ1494" s="24"/>
      <c r="DR1494" s="24"/>
      <c r="DS1494" s="24"/>
      <c r="DT1494" s="24"/>
      <c r="DU1494" s="24"/>
    </row>
    <row r="1495" spans="1:125" s="8" customFormat="1" ht="48" x14ac:dyDescent="0.2">
      <c r="A1495" s="226">
        <v>41381</v>
      </c>
      <c r="B1495" s="225" t="s">
        <v>2661</v>
      </c>
      <c r="C1495" s="227" t="s">
        <v>2169</v>
      </c>
      <c r="D1495" s="81" t="s">
        <v>2846</v>
      </c>
      <c r="E1495" s="75" t="str">
        <f>VLOOKUP(B1495&amp;C1495,Divipola!$C$2:$F$1138,4,FALSE)</f>
        <v>41001</v>
      </c>
      <c r="F1495" s="87"/>
      <c r="G1495" s="87"/>
      <c r="H1495" s="87"/>
      <c r="I1495" s="87"/>
      <c r="J1495" s="87"/>
      <c r="K1495" s="87"/>
      <c r="L1495" s="87"/>
      <c r="M1495" s="87"/>
      <c r="N1495" s="87"/>
      <c r="O1495" s="87"/>
      <c r="P1495" s="87"/>
      <c r="Q1495" s="87"/>
      <c r="R1495" s="87"/>
      <c r="S1495" s="87"/>
      <c r="T1495" s="87"/>
      <c r="U1495" s="88">
        <v>2</v>
      </c>
      <c r="V1495" s="89"/>
      <c r="W1495" s="96">
        <v>0</v>
      </c>
      <c r="X1495" s="71">
        <f>CU1495</f>
        <v>0</v>
      </c>
      <c r="Y1495" s="71">
        <f>CY1495</f>
        <v>0</v>
      </c>
      <c r="Z1495" s="71">
        <f>DA1495+DC1495+DE1495</f>
        <v>0</v>
      </c>
      <c r="AA1495" s="71">
        <f>CW1495</f>
        <v>0</v>
      </c>
      <c r="AB1495" s="71"/>
      <c r="AC1495" s="71">
        <v>0</v>
      </c>
      <c r="AD1495" s="71">
        <f>W1495+X1495+Y1495+Z1495+AA1495+AB1495+AC1495</f>
        <v>0</v>
      </c>
      <c r="AE1495" s="72">
        <v>0</v>
      </c>
      <c r="AF1495" s="5"/>
      <c r="AG1495" s="6"/>
      <c r="AH1495" s="27" t="s">
        <v>3392</v>
      </c>
      <c r="AI1495" s="44" t="s">
        <v>3393</v>
      </c>
      <c r="AJ1495" s="26"/>
      <c r="AK1495" s="5"/>
      <c r="AL1495" s="82" t="s">
        <v>4303</v>
      </c>
      <c r="AM1495" s="76"/>
      <c r="AN1495" s="76"/>
      <c r="AO1495" s="76"/>
      <c r="AP1495" s="76"/>
      <c r="AQ1495" s="76"/>
      <c r="AR1495" s="76"/>
      <c r="AS1495" s="76"/>
      <c r="AT1495" s="76"/>
      <c r="AU1495" s="76"/>
      <c r="AV1495" s="76"/>
      <c r="AW1495" s="76"/>
      <c r="AX1495" s="76">
        <f>+AW1495*600000</f>
        <v>0</v>
      </c>
      <c r="AY1495" s="76"/>
      <c r="AZ1495" s="76">
        <f>+AY1495*70000</f>
        <v>0</v>
      </c>
      <c r="BA1495" s="76"/>
      <c r="BB1495" s="76"/>
      <c r="BC1495" s="76"/>
      <c r="BD1495" s="76">
        <f>+BC1495*30000</f>
        <v>0</v>
      </c>
      <c r="BE1495" s="76"/>
      <c r="BF1495" s="76"/>
      <c r="BG1495" s="76"/>
      <c r="BH1495" s="76"/>
      <c r="BI1495" s="76"/>
      <c r="BJ1495" s="76"/>
      <c r="BK1495" s="76"/>
      <c r="BL1495" s="76">
        <f>+BK1495*31500</f>
        <v>0</v>
      </c>
      <c r="BM1495" s="76"/>
      <c r="BN1495" s="76"/>
      <c r="BO1495" s="76"/>
      <c r="BP1495" s="76"/>
      <c r="BQ1495" s="76"/>
      <c r="BR1495" s="76"/>
      <c r="BS1495" s="76"/>
      <c r="BT1495" s="76"/>
      <c r="BU1495" s="76"/>
      <c r="BV1495" s="76"/>
      <c r="BW1495" s="76"/>
      <c r="BX1495" s="76"/>
      <c r="BY1495" s="76"/>
      <c r="BZ1495" s="76"/>
      <c r="CA1495" s="76"/>
      <c r="CB1495" s="76"/>
      <c r="CC1495" s="76"/>
      <c r="CD1495" s="76"/>
      <c r="CE1495" s="76"/>
      <c r="CF1495" s="76">
        <f>+CE1495*28000</f>
        <v>0</v>
      </c>
      <c r="CG1495" s="76"/>
      <c r="CH1495" s="76">
        <f>+CG1495*22500</f>
        <v>0</v>
      </c>
      <c r="CI1495" s="76"/>
      <c r="CJ1495" s="76">
        <f>+CI1495*26000</f>
        <v>0</v>
      </c>
      <c r="CK1495" s="76"/>
      <c r="CL1495" s="76"/>
      <c r="CM1495" s="76"/>
      <c r="CN1495" s="76">
        <f>+CM1495*22000</f>
        <v>0</v>
      </c>
      <c r="CO1495" s="76"/>
      <c r="CP1495" s="76">
        <f>+CO1495*46000</f>
        <v>0</v>
      </c>
      <c r="CQ1495" s="76"/>
      <c r="CR1495" s="76">
        <f>+CQ1495*49000</f>
        <v>0</v>
      </c>
      <c r="CS1495" s="76"/>
      <c r="CT1495" s="76"/>
      <c r="CU1495" s="56">
        <f>AN1495+AP1495+AR1495+AT1495+AV1495+AX1495+AZ1495+BB1495+BD1495+BF1495+BH1495+BJ1495+BL1495+BN1495+BP1495+BR1495+BT1495+BV1495+BX1495+BZ1495+CB1495+CD1495+CF1495+CH1495+CJ1495+CL1495+CN1495+CP1495+CR1495+CT1495</f>
        <v>0</v>
      </c>
      <c r="CV1495" s="76"/>
      <c r="CW1495" s="76">
        <f>+CV1495*1100</f>
        <v>0</v>
      </c>
      <c r="CX1495" s="76"/>
      <c r="CY1495" s="76">
        <f>+CX1495*106250</f>
        <v>0</v>
      </c>
      <c r="CZ1495" s="76"/>
      <c r="DA1495" s="76">
        <f>+CZ1495*34500</f>
        <v>0</v>
      </c>
      <c r="DB1495" s="76"/>
      <c r="DC1495" s="76">
        <f>+DB1495*25000</f>
        <v>0</v>
      </c>
      <c r="DD1495" s="219"/>
      <c r="DE1495" s="219"/>
      <c r="DF1495" s="166"/>
      <c r="DG1495" s="116"/>
      <c r="DH1495" s="117"/>
      <c r="DI1495" s="24"/>
      <c r="DJ1495" s="24"/>
      <c r="DK1495" s="24"/>
      <c r="DL1495" s="24"/>
      <c r="DM1495" s="24"/>
      <c r="DN1495" s="24"/>
      <c r="DO1495" s="24"/>
      <c r="DP1495" s="24"/>
      <c r="DQ1495" s="24"/>
      <c r="DR1495" s="24"/>
      <c r="DS1495" s="24"/>
      <c r="DT1495" s="24"/>
      <c r="DU1495" s="24"/>
    </row>
    <row r="1496" spans="1:125" s="8" customFormat="1" ht="48" x14ac:dyDescent="0.2">
      <c r="A1496" s="226">
        <v>41381</v>
      </c>
      <c r="B1496" s="225" t="s">
        <v>2661</v>
      </c>
      <c r="C1496" s="227" t="s">
        <v>2169</v>
      </c>
      <c r="D1496" s="81" t="s">
        <v>2846</v>
      </c>
      <c r="E1496" s="75" t="str">
        <f>VLOOKUP(B1496&amp;C1496,Divipola!$C$2:$F$1138,4,FALSE)</f>
        <v>41001</v>
      </c>
      <c r="F1496" s="87"/>
      <c r="G1496" s="87"/>
      <c r="H1496" s="87"/>
      <c r="I1496" s="87"/>
      <c r="J1496" s="87"/>
      <c r="K1496" s="87"/>
      <c r="L1496" s="87"/>
      <c r="M1496" s="87"/>
      <c r="N1496" s="87"/>
      <c r="O1496" s="87"/>
      <c r="P1496" s="87"/>
      <c r="Q1496" s="87"/>
      <c r="R1496" s="87"/>
      <c r="S1496" s="87"/>
      <c r="T1496" s="87"/>
      <c r="U1496" s="88">
        <v>34</v>
      </c>
      <c r="V1496" s="89"/>
      <c r="W1496" s="96">
        <v>0</v>
      </c>
      <c r="X1496" s="71">
        <f>CU1496</f>
        <v>0</v>
      </c>
      <c r="Y1496" s="71">
        <f>CY1496</f>
        <v>0</v>
      </c>
      <c r="Z1496" s="71">
        <f>DA1496+DC1496+DE1496</f>
        <v>0</v>
      </c>
      <c r="AA1496" s="71">
        <f>CW1496</f>
        <v>0</v>
      </c>
      <c r="AB1496" s="71"/>
      <c r="AC1496" s="71">
        <v>0</v>
      </c>
      <c r="AD1496" s="71">
        <f>W1496+X1496+Y1496+Z1496+AA1496+AB1496+AC1496</f>
        <v>0</v>
      </c>
      <c r="AE1496" s="72">
        <v>0</v>
      </c>
      <c r="AF1496" s="5"/>
      <c r="AG1496" s="6"/>
      <c r="AH1496" s="27" t="s">
        <v>3392</v>
      </c>
      <c r="AI1496" s="44" t="s">
        <v>3393</v>
      </c>
      <c r="AJ1496" s="26"/>
      <c r="AK1496" s="5"/>
      <c r="AL1496" s="82" t="s">
        <v>4304</v>
      </c>
      <c r="AM1496" s="76"/>
      <c r="AN1496" s="76"/>
      <c r="AO1496" s="76"/>
      <c r="AP1496" s="76"/>
      <c r="AQ1496" s="76"/>
      <c r="AR1496" s="76"/>
      <c r="AS1496" s="76"/>
      <c r="AT1496" s="76"/>
      <c r="AU1496" s="76"/>
      <c r="AV1496" s="76"/>
      <c r="AW1496" s="76"/>
      <c r="AX1496" s="76">
        <f>+AW1496*600000</f>
        <v>0</v>
      </c>
      <c r="AY1496" s="76"/>
      <c r="AZ1496" s="76">
        <f>+AY1496*70000</f>
        <v>0</v>
      </c>
      <c r="BA1496" s="76"/>
      <c r="BB1496" s="76"/>
      <c r="BC1496" s="76"/>
      <c r="BD1496" s="76">
        <f>+BC1496*30000</f>
        <v>0</v>
      </c>
      <c r="BE1496" s="76"/>
      <c r="BF1496" s="76"/>
      <c r="BG1496" s="76"/>
      <c r="BH1496" s="76"/>
      <c r="BI1496" s="76"/>
      <c r="BJ1496" s="76"/>
      <c r="BK1496" s="76"/>
      <c r="BL1496" s="76">
        <f>+BK1496*31500</f>
        <v>0</v>
      </c>
      <c r="BM1496" s="76"/>
      <c r="BN1496" s="76"/>
      <c r="BO1496" s="76"/>
      <c r="BP1496" s="76"/>
      <c r="BQ1496" s="76"/>
      <c r="BR1496" s="76"/>
      <c r="BS1496" s="76"/>
      <c r="BT1496" s="76"/>
      <c r="BU1496" s="76"/>
      <c r="BV1496" s="76"/>
      <c r="BW1496" s="76"/>
      <c r="BX1496" s="76"/>
      <c r="BY1496" s="76"/>
      <c r="BZ1496" s="76"/>
      <c r="CA1496" s="76"/>
      <c r="CB1496" s="76"/>
      <c r="CC1496" s="76"/>
      <c r="CD1496" s="76"/>
      <c r="CE1496" s="76"/>
      <c r="CF1496" s="76">
        <f>+CE1496*28000</f>
        <v>0</v>
      </c>
      <c r="CG1496" s="76"/>
      <c r="CH1496" s="76">
        <f>+CG1496*22500</f>
        <v>0</v>
      </c>
      <c r="CI1496" s="76"/>
      <c r="CJ1496" s="76">
        <f>+CI1496*26000</f>
        <v>0</v>
      </c>
      <c r="CK1496" s="76"/>
      <c r="CL1496" s="76"/>
      <c r="CM1496" s="76"/>
      <c r="CN1496" s="76">
        <f>+CM1496*22000</f>
        <v>0</v>
      </c>
      <c r="CO1496" s="76"/>
      <c r="CP1496" s="76">
        <f>+CO1496*46000</f>
        <v>0</v>
      </c>
      <c r="CQ1496" s="76"/>
      <c r="CR1496" s="76">
        <f>+CQ1496*49000</f>
        <v>0</v>
      </c>
      <c r="CS1496" s="76"/>
      <c r="CT1496" s="76"/>
      <c r="CU1496" s="56">
        <f>AN1496+AP1496+AR1496+AT1496+AV1496+AX1496+AZ1496+BB1496+BD1496+BF1496+BH1496+BJ1496+BL1496+BN1496+BP1496+BR1496+BT1496+BV1496+BX1496+BZ1496+CB1496+CD1496+CF1496+CH1496+CJ1496+CL1496+CN1496+CP1496+CR1496+CT1496</f>
        <v>0</v>
      </c>
      <c r="CV1496" s="76"/>
      <c r="CW1496" s="76">
        <f>+CV1496*1100</f>
        <v>0</v>
      </c>
      <c r="CX1496" s="76"/>
      <c r="CY1496" s="76">
        <f>+CX1496*106250</f>
        <v>0</v>
      </c>
      <c r="CZ1496" s="76"/>
      <c r="DA1496" s="76">
        <f>+CZ1496*34500</f>
        <v>0</v>
      </c>
      <c r="DB1496" s="76"/>
      <c r="DC1496" s="76">
        <f>+DB1496*25000</f>
        <v>0</v>
      </c>
      <c r="DD1496" s="219"/>
      <c r="DE1496" s="219"/>
      <c r="DF1496" s="166"/>
      <c r="DG1496" s="116"/>
      <c r="DH1496" s="117"/>
      <c r="DI1496" s="24"/>
      <c r="DJ1496" s="24"/>
      <c r="DK1496" s="24"/>
      <c r="DL1496" s="24"/>
      <c r="DM1496" s="24"/>
      <c r="DN1496" s="24"/>
      <c r="DO1496" s="24"/>
      <c r="DP1496" s="24"/>
      <c r="DQ1496" s="24"/>
      <c r="DR1496" s="24"/>
      <c r="DS1496" s="24"/>
      <c r="DT1496" s="24"/>
      <c r="DU1496" s="24"/>
    </row>
    <row r="1497" spans="1:125" s="8" customFormat="1" ht="48" x14ac:dyDescent="0.2">
      <c r="A1497" s="226">
        <v>41381</v>
      </c>
      <c r="B1497" s="225" t="s">
        <v>2661</v>
      </c>
      <c r="C1497" s="227" t="s">
        <v>2169</v>
      </c>
      <c r="D1497" s="81" t="s">
        <v>2846</v>
      </c>
      <c r="E1497" s="75" t="str">
        <f>VLOOKUP(B1497&amp;C1497,Divipola!$C$2:$F$1138,4,FALSE)</f>
        <v>41001</v>
      </c>
      <c r="F1497" s="87"/>
      <c r="G1497" s="87"/>
      <c r="H1497" s="87"/>
      <c r="I1497" s="87"/>
      <c r="J1497" s="87"/>
      <c r="K1497" s="87"/>
      <c r="L1497" s="87"/>
      <c r="M1497" s="87"/>
      <c r="N1497" s="87"/>
      <c r="O1497" s="87"/>
      <c r="P1497" s="87"/>
      <c r="Q1497" s="87"/>
      <c r="R1497" s="87"/>
      <c r="S1497" s="87"/>
      <c r="T1497" s="87"/>
      <c r="U1497" s="88">
        <v>40</v>
      </c>
      <c r="V1497" s="89"/>
      <c r="W1497" s="96">
        <v>0</v>
      </c>
      <c r="X1497" s="71">
        <f>CU1497</f>
        <v>0</v>
      </c>
      <c r="Y1497" s="71">
        <f>CY1497</f>
        <v>0</v>
      </c>
      <c r="Z1497" s="71">
        <f>DA1497+DC1497+DE1497</f>
        <v>0</v>
      </c>
      <c r="AA1497" s="71">
        <f>CW1497</f>
        <v>0</v>
      </c>
      <c r="AB1497" s="71"/>
      <c r="AC1497" s="71">
        <v>0</v>
      </c>
      <c r="AD1497" s="71">
        <f>W1497+X1497+Y1497+Z1497+AA1497+AB1497+AC1497</f>
        <v>0</v>
      </c>
      <c r="AE1497" s="72">
        <v>0</v>
      </c>
      <c r="AF1497" s="5"/>
      <c r="AG1497" s="6"/>
      <c r="AH1497" s="27" t="s">
        <v>3392</v>
      </c>
      <c r="AI1497" s="44" t="s">
        <v>3393</v>
      </c>
      <c r="AJ1497" s="26"/>
      <c r="AK1497" s="5"/>
      <c r="AL1497" s="82" t="s">
        <v>4305</v>
      </c>
      <c r="AM1497" s="76"/>
      <c r="AN1497" s="76"/>
      <c r="AO1497" s="76"/>
      <c r="AP1497" s="76"/>
      <c r="AQ1497" s="76"/>
      <c r="AR1497" s="76"/>
      <c r="AS1497" s="76"/>
      <c r="AT1497" s="76"/>
      <c r="AU1497" s="76"/>
      <c r="AV1497" s="76"/>
      <c r="AW1497" s="76"/>
      <c r="AX1497" s="76">
        <f>+AW1497*600000</f>
        <v>0</v>
      </c>
      <c r="AY1497" s="76"/>
      <c r="AZ1497" s="76">
        <f>+AY1497*70000</f>
        <v>0</v>
      </c>
      <c r="BA1497" s="76"/>
      <c r="BB1497" s="76"/>
      <c r="BC1497" s="76"/>
      <c r="BD1497" s="76">
        <f>+BC1497*30000</f>
        <v>0</v>
      </c>
      <c r="BE1497" s="76"/>
      <c r="BF1497" s="76"/>
      <c r="BG1497" s="76"/>
      <c r="BH1497" s="76"/>
      <c r="BI1497" s="76"/>
      <c r="BJ1497" s="76"/>
      <c r="BK1497" s="76"/>
      <c r="BL1497" s="76">
        <f>+BK1497*31500</f>
        <v>0</v>
      </c>
      <c r="BM1497" s="76"/>
      <c r="BN1497" s="76"/>
      <c r="BO1497" s="76"/>
      <c r="BP1497" s="76"/>
      <c r="BQ1497" s="76"/>
      <c r="BR1497" s="76"/>
      <c r="BS1497" s="76"/>
      <c r="BT1497" s="76"/>
      <c r="BU1497" s="76"/>
      <c r="BV1497" s="76"/>
      <c r="BW1497" s="76"/>
      <c r="BX1497" s="76"/>
      <c r="BY1497" s="76"/>
      <c r="BZ1497" s="76"/>
      <c r="CA1497" s="76"/>
      <c r="CB1497" s="76"/>
      <c r="CC1497" s="76"/>
      <c r="CD1497" s="76"/>
      <c r="CE1497" s="76"/>
      <c r="CF1497" s="76">
        <f>+CE1497*28000</f>
        <v>0</v>
      </c>
      <c r="CG1497" s="76"/>
      <c r="CH1497" s="76">
        <f>+CG1497*22500</f>
        <v>0</v>
      </c>
      <c r="CI1497" s="76"/>
      <c r="CJ1497" s="76">
        <f>+CI1497*26000</f>
        <v>0</v>
      </c>
      <c r="CK1497" s="76"/>
      <c r="CL1497" s="76"/>
      <c r="CM1497" s="76"/>
      <c r="CN1497" s="76">
        <f>+CM1497*22000</f>
        <v>0</v>
      </c>
      <c r="CO1497" s="76"/>
      <c r="CP1497" s="76">
        <f>+CO1497*46000</f>
        <v>0</v>
      </c>
      <c r="CQ1497" s="76"/>
      <c r="CR1497" s="76">
        <f>+CQ1497*49000</f>
        <v>0</v>
      </c>
      <c r="CS1497" s="76"/>
      <c r="CT1497" s="76"/>
      <c r="CU1497" s="56">
        <f>AN1497+AP1497+AR1497+AT1497+AV1497+AX1497+AZ1497+BB1497+BD1497+BF1497+BH1497+BJ1497+BL1497+BN1497+BP1497+BR1497+BT1497+BV1497+BX1497+BZ1497+CB1497+CD1497+CF1497+CH1497+CJ1497+CL1497+CN1497+CP1497+CR1497+CT1497</f>
        <v>0</v>
      </c>
      <c r="CV1497" s="76"/>
      <c r="CW1497" s="76">
        <f>+CV1497*1100</f>
        <v>0</v>
      </c>
      <c r="CX1497" s="76"/>
      <c r="CY1497" s="76">
        <f>+CX1497*106250</f>
        <v>0</v>
      </c>
      <c r="CZ1497" s="76"/>
      <c r="DA1497" s="76">
        <f>+CZ1497*34500</f>
        <v>0</v>
      </c>
      <c r="DB1497" s="76"/>
      <c r="DC1497" s="76">
        <f>+DB1497*25000</f>
        <v>0</v>
      </c>
      <c r="DD1497" s="219"/>
      <c r="DE1497" s="219"/>
      <c r="DF1497" s="166"/>
      <c r="DG1497" s="116"/>
      <c r="DH1497" s="117"/>
      <c r="DI1497" s="24"/>
      <c r="DJ1497" s="24"/>
      <c r="DK1497" s="24"/>
      <c r="DL1497" s="24"/>
      <c r="DM1497" s="24"/>
      <c r="DN1497" s="24"/>
      <c r="DO1497" s="24"/>
      <c r="DP1497" s="24"/>
      <c r="DQ1497" s="24"/>
      <c r="DR1497" s="24"/>
      <c r="DS1497" s="24"/>
      <c r="DT1497" s="24"/>
      <c r="DU1497" s="24"/>
    </row>
    <row r="1498" spans="1:125" s="8" customFormat="1" ht="60" x14ac:dyDescent="0.2">
      <c r="A1498" s="77">
        <v>41381</v>
      </c>
      <c r="B1498" s="78" t="s">
        <v>506</v>
      </c>
      <c r="C1498" s="75" t="s">
        <v>1303</v>
      </c>
      <c r="D1498" s="75" t="s">
        <v>3051</v>
      </c>
      <c r="E1498" s="75" t="str">
        <f>VLOOKUP(B1498&amp;C1498,Divipola!$C$2:$F$1138,4,FALSE)</f>
        <v>50270</v>
      </c>
      <c r="F1498" s="87"/>
      <c r="G1498" s="87"/>
      <c r="H1498" s="87"/>
      <c r="I1498" s="87">
        <v>10</v>
      </c>
      <c r="J1498" s="87">
        <v>2</v>
      </c>
      <c r="K1498" s="87"/>
      <c r="L1498" s="87">
        <v>2</v>
      </c>
      <c r="M1498" s="87"/>
      <c r="N1498" s="87"/>
      <c r="O1498" s="87"/>
      <c r="P1498" s="87"/>
      <c r="Q1498" s="87"/>
      <c r="R1498" s="87"/>
      <c r="S1498" s="87"/>
      <c r="T1498" s="87"/>
      <c r="U1498" s="88"/>
      <c r="V1498" s="89"/>
      <c r="W1498" s="96">
        <v>0</v>
      </c>
      <c r="X1498" s="71">
        <f>CU1498</f>
        <v>0</v>
      </c>
      <c r="Y1498" s="71">
        <f>CY1498</f>
        <v>0</v>
      </c>
      <c r="Z1498" s="71">
        <f>DA1498+DC1498+DE1498</f>
        <v>0</v>
      </c>
      <c r="AA1498" s="71">
        <f>CW1498</f>
        <v>0</v>
      </c>
      <c r="AB1498" s="71"/>
      <c r="AC1498" s="71">
        <v>0</v>
      </c>
      <c r="AD1498" s="71">
        <f>W1498+X1498+Y1498+Z1498+AA1498+AB1498+AC1498</f>
        <v>0</v>
      </c>
      <c r="AE1498" s="72">
        <v>0</v>
      </c>
      <c r="AF1498" s="5"/>
      <c r="AG1498" s="6"/>
      <c r="AH1498" s="27" t="s">
        <v>3392</v>
      </c>
      <c r="AI1498" s="44" t="s">
        <v>3393</v>
      </c>
      <c r="AJ1498" s="26"/>
      <c r="AK1498" s="5"/>
      <c r="AL1498" s="82" t="s">
        <v>4312</v>
      </c>
      <c r="AM1498" s="76"/>
      <c r="AN1498" s="76"/>
      <c r="AO1498" s="76"/>
      <c r="AP1498" s="76"/>
      <c r="AQ1498" s="76"/>
      <c r="AR1498" s="76"/>
      <c r="AS1498" s="76"/>
      <c r="AT1498" s="76"/>
      <c r="AU1498" s="76"/>
      <c r="AV1498" s="76"/>
      <c r="AW1498" s="76"/>
      <c r="AX1498" s="76">
        <f>+AW1498*600000</f>
        <v>0</v>
      </c>
      <c r="AY1498" s="76"/>
      <c r="AZ1498" s="76">
        <f>+AY1498*70000</f>
        <v>0</v>
      </c>
      <c r="BA1498" s="76"/>
      <c r="BB1498" s="76"/>
      <c r="BC1498" s="76"/>
      <c r="BD1498" s="76">
        <f>+BC1498*30000</f>
        <v>0</v>
      </c>
      <c r="BE1498" s="76"/>
      <c r="BF1498" s="76"/>
      <c r="BG1498" s="76"/>
      <c r="BH1498" s="76"/>
      <c r="BI1498" s="76"/>
      <c r="BJ1498" s="76"/>
      <c r="BK1498" s="76"/>
      <c r="BL1498" s="76">
        <f>+BK1498*31500</f>
        <v>0</v>
      </c>
      <c r="BM1498" s="76"/>
      <c r="BN1498" s="76"/>
      <c r="BO1498" s="76"/>
      <c r="BP1498" s="76"/>
      <c r="BQ1498" s="76"/>
      <c r="BR1498" s="76"/>
      <c r="BS1498" s="76"/>
      <c r="BT1498" s="76"/>
      <c r="BU1498" s="76"/>
      <c r="BV1498" s="76"/>
      <c r="BW1498" s="76"/>
      <c r="BX1498" s="76"/>
      <c r="BY1498" s="76"/>
      <c r="BZ1498" s="76"/>
      <c r="CA1498" s="76"/>
      <c r="CB1498" s="76"/>
      <c r="CC1498" s="76"/>
      <c r="CD1498" s="76"/>
      <c r="CE1498" s="76"/>
      <c r="CF1498" s="76">
        <f>+CE1498*28000</f>
        <v>0</v>
      </c>
      <c r="CG1498" s="76"/>
      <c r="CH1498" s="76">
        <f>+CG1498*22500</f>
        <v>0</v>
      </c>
      <c r="CI1498" s="76"/>
      <c r="CJ1498" s="76">
        <f>+CI1498*26000</f>
        <v>0</v>
      </c>
      <c r="CK1498" s="76"/>
      <c r="CL1498" s="76"/>
      <c r="CM1498" s="76"/>
      <c r="CN1498" s="76">
        <f>+CM1498*22000</f>
        <v>0</v>
      </c>
      <c r="CO1498" s="76"/>
      <c r="CP1498" s="76">
        <f>+CO1498*46000</f>
        <v>0</v>
      </c>
      <c r="CQ1498" s="76"/>
      <c r="CR1498" s="76">
        <f>+CQ1498*49000</f>
        <v>0</v>
      </c>
      <c r="CS1498" s="76"/>
      <c r="CT1498" s="76"/>
      <c r="CU1498" s="56">
        <f>AN1498+AP1498+AR1498+AT1498+AV1498+AX1498+AZ1498+BB1498+BD1498+BF1498+BH1498+BJ1498+BL1498+BN1498+BP1498+BR1498+BT1498+BV1498+BX1498+BZ1498+CB1498+CD1498+CF1498+CH1498+CJ1498+CL1498+CN1498+CP1498+CR1498+CT1498</f>
        <v>0</v>
      </c>
      <c r="CV1498" s="76"/>
      <c r="CW1498" s="76">
        <f>+CV1498*1100</f>
        <v>0</v>
      </c>
      <c r="CX1498" s="76"/>
      <c r="CY1498" s="76">
        <f>+CX1498*106250</f>
        <v>0</v>
      </c>
      <c r="CZ1498" s="76"/>
      <c r="DA1498" s="76">
        <f>+CZ1498*34500</f>
        <v>0</v>
      </c>
      <c r="DB1498" s="76"/>
      <c r="DC1498" s="76">
        <f>+DB1498*25000</f>
        <v>0</v>
      </c>
      <c r="DD1498" s="219"/>
      <c r="DE1498" s="219"/>
      <c r="DF1498" s="166"/>
      <c r="DG1498" s="116"/>
      <c r="DH1498" s="117"/>
      <c r="DI1498" s="24"/>
      <c r="DJ1498" s="24"/>
      <c r="DK1498" s="24"/>
      <c r="DL1498" s="24"/>
      <c r="DM1498" s="24"/>
      <c r="DN1498" s="24"/>
      <c r="DO1498" s="24"/>
      <c r="DP1498" s="24"/>
      <c r="DQ1498" s="24"/>
      <c r="DR1498" s="24"/>
      <c r="DS1498" s="24"/>
      <c r="DT1498" s="24"/>
      <c r="DU1498" s="24"/>
    </row>
    <row r="1499" spans="1:125" s="8" customFormat="1" ht="144" x14ac:dyDescent="0.2">
      <c r="A1499" s="226">
        <v>41381</v>
      </c>
      <c r="B1499" s="225" t="s">
        <v>2811</v>
      </c>
      <c r="C1499" s="227" t="s">
        <v>2839</v>
      </c>
      <c r="D1499" s="75" t="s">
        <v>3051</v>
      </c>
      <c r="E1499" s="75" t="str">
        <f>VLOOKUP(B1499&amp;C1499,Divipola!$C$2:$F$1138,4,FALSE)</f>
        <v>52835</v>
      </c>
      <c r="F1499" s="87"/>
      <c r="G1499" s="87"/>
      <c r="H1499" s="87"/>
      <c r="I1499" s="87">
        <v>4836</v>
      </c>
      <c r="J1499" s="87">
        <v>1209</v>
      </c>
      <c r="K1499" s="87"/>
      <c r="L1499" s="87">
        <v>450</v>
      </c>
      <c r="M1499" s="87"/>
      <c r="N1499" s="87"/>
      <c r="O1499" s="87"/>
      <c r="P1499" s="87"/>
      <c r="Q1499" s="87"/>
      <c r="R1499" s="87"/>
      <c r="S1499" s="87"/>
      <c r="T1499" s="87"/>
      <c r="U1499" s="88"/>
      <c r="V1499" s="89"/>
      <c r="W1499" s="96">
        <v>0</v>
      </c>
      <c r="X1499" s="71">
        <f>CU1499</f>
        <v>0</v>
      </c>
      <c r="Y1499" s="71">
        <f>CY1499</f>
        <v>0</v>
      </c>
      <c r="Z1499" s="71">
        <f>DA1499+DC1499+DE1499</f>
        <v>0</v>
      </c>
      <c r="AA1499" s="71">
        <f>CW1499</f>
        <v>0</v>
      </c>
      <c r="AB1499" s="71"/>
      <c r="AC1499" s="71">
        <v>0</v>
      </c>
      <c r="AD1499" s="71">
        <f>W1499+X1499+Y1499+Z1499+AA1499+AB1499+AC1499</f>
        <v>0</v>
      </c>
      <c r="AE1499" s="72">
        <v>0</v>
      </c>
      <c r="AF1499" s="5"/>
      <c r="AG1499" s="6"/>
      <c r="AH1499" s="27" t="s">
        <v>3390</v>
      </c>
      <c r="AI1499" s="44" t="s">
        <v>3393</v>
      </c>
      <c r="AJ1499" s="26"/>
      <c r="AK1499" s="5" t="s">
        <v>4590</v>
      </c>
      <c r="AL1499" s="82" t="s">
        <v>4427</v>
      </c>
      <c r="AM1499" s="76"/>
      <c r="AN1499" s="76"/>
      <c r="AO1499" s="76"/>
      <c r="AP1499" s="76"/>
      <c r="AQ1499" s="76"/>
      <c r="AR1499" s="76"/>
      <c r="AS1499" s="76"/>
      <c r="AT1499" s="76"/>
      <c r="AU1499" s="76"/>
      <c r="AV1499" s="76"/>
      <c r="AW1499" s="76"/>
      <c r="AX1499" s="76">
        <f>+AW1499*600000</f>
        <v>0</v>
      </c>
      <c r="AY1499" s="76"/>
      <c r="AZ1499" s="76">
        <f>+AY1499*70000</f>
        <v>0</v>
      </c>
      <c r="BA1499" s="76"/>
      <c r="BB1499" s="76"/>
      <c r="BC1499" s="76"/>
      <c r="BD1499" s="76">
        <f>+BC1499*30000</f>
        <v>0</v>
      </c>
      <c r="BE1499" s="76"/>
      <c r="BF1499" s="76"/>
      <c r="BG1499" s="76"/>
      <c r="BH1499" s="76"/>
      <c r="BI1499" s="76"/>
      <c r="BJ1499" s="76"/>
      <c r="BK1499" s="76"/>
      <c r="BL1499" s="76">
        <f>+BK1499*31500</f>
        <v>0</v>
      </c>
      <c r="BM1499" s="76"/>
      <c r="BN1499" s="76"/>
      <c r="BO1499" s="76"/>
      <c r="BP1499" s="76"/>
      <c r="BQ1499" s="76"/>
      <c r="BR1499" s="76"/>
      <c r="BS1499" s="76"/>
      <c r="BT1499" s="76"/>
      <c r="BU1499" s="76"/>
      <c r="BV1499" s="76"/>
      <c r="BW1499" s="76"/>
      <c r="BX1499" s="76"/>
      <c r="BY1499" s="76"/>
      <c r="BZ1499" s="76"/>
      <c r="CA1499" s="76"/>
      <c r="CB1499" s="76"/>
      <c r="CC1499" s="76"/>
      <c r="CD1499" s="76"/>
      <c r="CE1499" s="76"/>
      <c r="CF1499" s="76">
        <f>+CE1499*28000</f>
        <v>0</v>
      </c>
      <c r="CG1499" s="76"/>
      <c r="CH1499" s="76">
        <f>+CG1499*22500</f>
        <v>0</v>
      </c>
      <c r="CI1499" s="76"/>
      <c r="CJ1499" s="76">
        <f>+CI1499*26000</f>
        <v>0</v>
      </c>
      <c r="CK1499" s="76"/>
      <c r="CL1499" s="76"/>
      <c r="CM1499" s="76"/>
      <c r="CN1499" s="76">
        <f>+CM1499*22000</f>
        <v>0</v>
      </c>
      <c r="CO1499" s="76"/>
      <c r="CP1499" s="76">
        <f>+CO1499*46000</f>
        <v>0</v>
      </c>
      <c r="CQ1499" s="76"/>
      <c r="CR1499" s="76">
        <f>+CQ1499*49000</f>
        <v>0</v>
      </c>
      <c r="CS1499" s="76"/>
      <c r="CT1499" s="76"/>
      <c r="CU1499" s="56">
        <f>AN1499+AP1499+AR1499+AT1499+AV1499+AX1499+AZ1499+BB1499+BD1499+BF1499+BH1499+BJ1499+BL1499+BN1499+BP1499+BR1499+BT1499+BV1499+BX1499+BZ1499+CB1499+CD1499+CF1499+CH1499+CJ1499+CL1499+CN1499+CP1499+CR1499+CT1499</f>
        <v>0</v>
      </c>
      <c r="CV1499" s="76"/>
      <c r="CW1499" s="76">
        <f>+CV1499*1100</f>
        <v>0</v>
      </c>
      <c r="CX1499" s="76"/>
      <c r="CY1499" s="76">
        <f>+CX1499*106250</f>
        <v>0</v>
      </c>
      <c r="CZ1499" s="76"/>
      <c r="DA1499" s="76">
        <f>+CZ1499*34500</f>
        <v>0</v>
      </c>
      <c r="DB1499" s="76"/>
      <c r="DC1499" s="76">
        <f>+DB1499*25000</f>
        <v>0</v>
      </c>
      <c r="DD1499" s="219"/>
      <c r="DE1499" s="219"/>
      <c r="DF1499" s="166"/>
      <c r="DG1499" s="116"/>
      <c r="DH1499" s="117"/>
      <c r="DI1499" s="24"/>
      <c r="DJ1499" s="24"/>
      <c r="DK1499" s="24"/>
      <c r="DL1499" s="24"/>
      <c r="DM1499" s="24"/>
      <c r="DN1499" s="24"/>
      <c r="DO1499" s="24"/>
      <c r="DP1499" s="24"/>
      <c r="DQ1499" s="24"/>
      <c r="DR1499" s="24"/>
      <c r="DS1499" s="24"/>
      <c r="DT1499" s="24"/>
      <c r="DU1499" s="24"/>
    </row>
    <row r="1500" spans="1:125" s="8" customFormat="1" ht="24" x14ac:dyDescent="0.2">
      <c r="A1500" s="226">
        <v>41381</v>
      </c>
      <c r="B1500" s="225" t="s">
        <v>2880</v>
      </c>
      <c r="C1500" s="227" t="s">
        <v>241</v>
      </c>
      <c r="D1500" s="84" t="s">
        <v>3088</v>
      </c>
      <c r="E1500" s="75" t="str">
        <f>VLOOKUP(B1500&amp;C1500,Divipola!$C$2:$F$1138,4,FALSE)</f>
        <v>54313</v>
      </c>
      <c r="F1500" s="163"/>
      <c r="G1500" s="163"/>
      <c r="H1500" s="163"/>
      <c r="I1500" s="163"/>
      <c r="J1500" s="163"/>
      <c r="K1500" s="163"/>
      <c r="L1500" s="163"/>
      <c r="M1500" s="163"/>
      <c r="N1500" s="163"/>
      <c r="O1500" s="163"/>
      <c r="P1500" s="163"/>
      <c r="Q1500" s="163"/>
      <c r="R1500" s="163"/>
      <c r="S1500" s="163"/>
      <c r="T1500" s="163"/>
      <c r="U1500" s="163"/>
      <c r="V1500" s="134"/>
      <c r="W1500" s="96">
        <v>0</v>
      </c>
      <c r="X1500" s="71">
        <f>CU1500</f>
        <v>0</v>
      </c>
      <c r="Y1500" s="71">
        <f>CY1500</f>
        <v>163485000</v>
      </c>
      <c r="Z1500" s="71">
        <f>DA1500+DC1500+DE1500</f>
        <v>0</v>
      </c>
      <c r="AA1500" s="71">
        <f>CW1500</f>
        <v>0</v>
      </c>
      <c r="AB1500" s="71"/>
      <c r="AC1500" s="71">
        <v>0</v>
      </c>
      <c r="AD1500" s="71">
        <f>W1500+X1500+Y1500+Z1500+AA1500+AB1500+AC1500</f>
        <v>163485000</v>
      </c>
      <c r="AE1500" s="72">
        <v>0</v>
      </c>
      <c r="AF1500" s="5"/>
      <c r="AG1500" s="6"/>
      <c r="AH1500" s="27" t="s">
        <v>3390</v>
      </c>
      <c r="AI1500" s="44" t="s">
        <v>3391</v>
      </c>
      <c r="AJ1500" s="26"/>
      <c r="AK1500" s="5"/>
      <c r="AL1500" s="82" t="s">
        <v>3089</v>
      </c>
      <c r="AM1500" s="76"/>
      <c r="AN1500" s="76"/>
      <c r="AO1500" s="76"/>
      <c r="AP1500" s="76"/>
      <c r="AQ1500" s="76"/>
      <c r="AR1500" s="76"/>
      <c r="AS1500" s="76"/>
      <c r="AT1500" s="76"/>
      <c r="AU1500" s="76"/>
      <c r="AV1500" s="76"/>
      <c r="AW1500" s="76"/>
      <c r="AX1500" s="76">
        <f>+AW1500*600000</f>
        <v>0</v>
      </c>
      <c r="AY1500" s="76"/>
      <c r="AZ1500" s="76">
        <f>+AY1500*70000</f>
        <v>0</v>
      </c>
      <c r="BA1500" s="76"/>
      <c r="BB1500" s="76"/>
      <c r="BC1500" s="76"/>
      <c r="BD1500" s="76">
        <f>+BC1500*30000</f>
        <v>0</v>
      </c>
      <c r="BE1500" s="76"/>
      <c r="BF1500" s="76"/>
      <c r="BG1500" s="76"/>
      <c r="BH1500" s="76"/>
      <c r="BI1500" s="76"/>
      <c r="BJ1500" s="76"/>
      <c r="BK1500" s="76"/>
      <c r="BL1500" s="76">
        <f>+BK1500*31500</f>
        <v>0</v>
      </c>
      <c r="BM1500" s="76"/>
      <c r="BN1500" s="76"/>
      <c r="BO1500" s="76"/>
      <c r="BP1500" s="76"/>
      <c r="BQ1500" s="76"/>
      <c r="BR1500" s="76"/>
      <c r="BS1500" s="76"/>
      <c r="BT1500" s="76"/>
      <c r="BU1500" s="76"/>
      <c r="BV1500" s="76"/>
      <c r="BW1500" s="76"/>
      <c r="BX1500" s="76"/>
      <c r="BY1500" s="76"/>
      <c r="BZ1500" s="76"/>
      <c r="CA1500" s="76"/>
      <c r="CB1500" s="76"/>
      <c r="CC1500" s="76"/>
      <c r="CD1500" s="76"/>
      <c r="CE1500" s="76"/>
      <c r="CF1500" s="76">
        <f>+CE1500*28000</f>
        <v>0</v>
      </c>
      <c r="CG1500" s="76"/>
      <c r="CH1500" s="76">
        <f>+CG1500*22500</f>
        <v>0</v>
      </c>
      <c r="CI1500" s="76"/>
      <c r="CJ1500" s="76">
        <f>+CI1500*26000</f>
        <v>0</v>
      </c>
      <c r="CK1500" s="76"/>
      <c r="CL1500" s="76"/>
      <c r="CM1500" s="76"/>
      <c r="CN1500" s="76">
        <f>+CM1500*22000</f>
        <v>0</v>
      </c>
      <c r="CO1500" s="76"/>
      <c r="CP1500" s="76">
        <f>+CO1500*46000</f>
        <v>0</v>
      </c>
      <c r="CQ1500" s="76"/>
      <c r="CR1500" s="76">
        <f>+CQ1500*49000</f>
        <v>0</v>
      </c>
      <c r="CS1500" s="76"/>
      <c r="CT1500" s="76"/>
      <c r="CU1500" s="56">
        <f>AN1500+AP1500+AR1500+AT1500+AV1500+AX1500+AZ1500+BB1500+BD1500+BF1500+BH1500+BJ1500+BL1500+BN1500+BP1500+BR1500+BT1500+BV1500+BX1500+BZ1500+CB1500+CD1500+CF1500+CH1500+CJ1500+CL1500+CN1500+CP1500+CR1500+CT1500</f>
        <v>0</v>
      </c>
      <c r="CV1500" s="76"/>
      <c r="CW1500" s="76">
        <f>+CV1500*1100</f>
        <v>0</v>
      </c>
      <c r="CX1500" s="86">
        <v>1557</v>
      </c>
      <c r="CY1500" s="86">
        <f>+CX1500*105000</f>
        <v>163485000</v>
      </c>
      <c r="CZ1500" s="76"/>
      <c r="DA1500" s="76">
        <f>+CZ1500*34500</f>
        <v>0</v>
      </c>
      <c r="DB1500" s="76"/>
      <c r="DC1500" s="76">
        <f>+DB1500*25000</f>
        <v>0</v>
      </c>
      <c r="DD1500" s="219"/>
      <c r="DE1500" s="219"/>
      <c r="DF1500" s="166"/>
      <c r="DG1500" s="134" t="s">
        <v>5108</v>
      </c>
      <c r="DH1500" s="117"/>
      <c r="DI1500" s="24"/>
      <c r="DJ1500" s="24"/>
      <c r="DK1500" s="24"/>
      <c r="DL1500" s="24"/>
      <c r="DM1500" s="24"/>
      <c r="DN1500" s="24"/>
      <c r="DO1500" s="24"/>
      <c r="DP1500" s="24"/>
      <c r="DQ1500" s="24"/>
      <c r="DR1500" s="24"/>
      <c r="DS1500" s="24"/>
      <c r="DT1500" s="24"/>
      <c r="DU1500" s="24"/>
    </row>
    <row r="1501" spans="1:125" s="8" customFormat="1" ht="276" x14ac:dyDescent="0.2">
      <c r="A1501" s="353">
        <v>41381</v>
      </c>
      <c r="B1501" s="352" t="s">
        <v>2880</v>
      </c>
      <c r="C1501" s="354" t="s">
        <v>2219</v>
      </c>
      <c r="D1501" s="354" t="s">
        <v>3027</v>
      </c>
      <c r="E1501" s="75" t="str">
        <f>VLOOKUP(B1501&amp;C1501,Divipola!$C$2:$F$1138,4,FALSE)</f>
        <v>54520</v>
      </c>
      <c r="F1501" s="87"/>
      <c r="G1501" s="87"/>
      <c r="H1501" s="87"/>
      <c r="I1501" s="87"/>
      <c r="J1501" s="87"/>
      <c r="K1501" s="87"/>
      <c r="L1501" s="87"/>
      <c r="M1501" s="87"/>
      <c r="N1501" s="87"/>
      <c r="O1501" s="87"/>
      <c r="P1501" s="87"/>
      <c r="Q1501" s="87"/>
      <c r="R1501" s="87"/>
      <c r="S1501" s="87"/>
      <c r="T1501" s="87"/>
      <c r="U1501" s="88"/>
      <c r="V1501" s="89"/>
      <c r="W1501" s="96">
        <v>0</v>
      </c>
      <c r="X1501" s="71">
        <f>CU1501</f>
        <v>0</v>
      </c>
      <c r="Y1501" s="71">
        <f>CY1501</f>
        <v>0</v>
      </c>
      <c r="Z1501" s="71">
        <f>DA1501+DC1501+DE1501</f>
        <v>0</v>
      </c>
      <c r="AA1501" s="71">
        <f>CW1501</f>
        <v>0</v>
      </c>
      <c r="AB1501" s="71"/>
      <c r="AC1501" s="71">
        <v>0</v>
      </c>
      <c r="AD1501" s="71">
        <f>W1501+X1501+Y1501+Z1501+AA1501+AB1501+AC1501</f>
        <v>0</v>
      </c>
      <c r="AE1501" s="72">
        <v>0</v>
      </c>
      <c r="AF1501" s="5"/>
      <c r="AG1501" s="6"/>
      <c r="AH1501" s="27" t="s">
        <v>3392</v>
      </c>
      <c r="AI1501" s="44" t="s">
        <v>3393</v>
      </c>
      <c r="AJ1501" s="26"/>
      <c r="AK1501" s="5"/>
      <c r="AL1501" s="82" t="s">
        <v>4331</v>
      </c>
      <c r="AM1501" s="76"/>
      <c r="AN1501" s="76"/>
      <c r="AO1501" s="76"/>
      <c r="AP1501" s="76"/>
      <c r="AQ1501" s="76"/>
      <c r="AR1501" s="76"/>
      <c r="AS1501" s="76"/>
      <c r="AT1501" s="76"/>
      <c r="AU1501" s="76"/>
      <c r="AV1501" s="76"/>
      <c r="AW1501" s="76"/>
      <c r="AX1501" s="76">
        <f>+AW1501*600000</f>
        <v>0</v>
      </c>
      <c r="AY1501" s="76"/>
      <c r="AZ1501" s="76">
        <f>+AY1501*70000</f>
        <v>0</v>
      </c>
      <c r="BA1501" s="76"/>
      <c r="BB1501" s="76"/>
      <c r="BC1501" s="76"/>
      <c r="BD1501" s="76">
        <f>+BC1501*30000</f>
        <v>0</v>
      </c>
      <c r="BE1501" s="76"/>
      <c r="BF1501" s="76"/>
      <c r="BG1501" s="76"/>
      <c r="BH1501" s="76"/>
      <c r="BI1501" s="76"/>
      <c r="BJ1501" s="76"/>
      <c r="BK1501" s="76"/>
      <c r="BL1501" s="76">
        <f>+BK1501*31500</f>
        <v>0</v>
      </c>
      <c r="BM1501" s="76"/>
      <c r="BN1501" s="76"/>
      <c r="BO1501" s="76"/>
      <c r="BP1501" s="76"/>
      <c r="BQ1501" s="76"/>
      <c r="BR1501" s="76"/>
      <c r="BS1501" s="76"/>
      <c r="BT1501" s="76"/>
      <c r="BU1501" s="76"/>
      <c r="BV1501" s="76"/>
      <c r="BW1501" s="76"/>
      <c r="BX1501" s="76"/>
      <c r="BY1501" s="76"/>
      <c r="BZ1501" s="76"/>
      <c r="CA1501" s="76"/>
      <c r="CB1501" s="76"/>
      <c r="CC1501" s="76"/>
      <c r="CD1501" s="76"/>
      <c r="CE1501" s="76"/>
      <c r="CF1501" s="76">
        <f>+CE1501*28000</f>
        <v>0</v>
      </c>
      <c r="CG1501" s="76"/>
      <c r="CH1501" s="76">
        <f>+CG1501*22500</f>
        <v>0</v>
      </c>
      <c r="CI1501" s="76"/>
      <c r="CJ1501" s="76">
        <f>+CI1501*26000</f>
        <v>0</v>
      </c>
      <c r="CK1501" s="76"/>
      <c r="CL1501" s="76"/>
      <c r="CM1501" s="76"/>
      <c r="CN1501" s="76">
        <f>+CM1501*22000</f>
        <v>0</v>
      </c>
      <c r="CO1501" s="76"/>
      <c r="CP1501" s="76">
        <f>+CO1501*46000</f>
        <v>0</v>
      </c>
      <c r="CQ1501" s="76"/>
      <c r="CR1501" s="76">
        <f>+CQ1501*49000</f>
        <v>0</v>
      </c>
      <c r="CS1501" s="76"/>
      <c r="CT1501" s="76"/>
      <c r="CU1501" s="56">
        <f>AN1501+AP1501+AR1501+AT1501+AV1501+AX1501+AZ1501+BB1501+BD1501+BF1501+BH1501+BJ1501+BL1501+BN1501+BP1501+BR1501+BT1501+BV1501+BX1501+BZ1501+CB1501+CD1501+CF1501+CH1501+CJ1501+CL1501+CN1501+CP1501+CR1501+CT1501</f>
        <v>0</v>
      </c>
      <c r="CV1501" s="76"/>
      <c r="CW1501" s="76">
        <f>+CV1501*1100</f>
        <v>0</v>
      </c>
      <c r="CX1501" s="76"/>
      <c r="CY1501" s="76">
        <f>+CX1501*106250</f>
        <v>0</v>
      </c>
      <c r="CZ1501" s="76"/>
      <c r="DA1501" s="76">
        <f>+CZ1501*34500</f>
        <v>0</v>
      </c>
      <c r="DB1501" s="76"/>
      <c r="DC1501" s="76">
        <f>+DB1501*25000</f>
        <v>0</v>
      </c>
      <c r="DD1501" s="219"/>
      <c r="DE1501" s="219"/>
      <c r="DF1501" s="166"/>
      <c r="DG1501" s="116"/>
      <c r="DH1501" s="117"/>
      <c r="DI1501" s="24"/>
      <c r="DJ1501" s="24"/>
      <c r="DK1501" s="24"/>
      <c r="DL1501" s="24"/>
      <c r="DM1501" s="24"/>
      <c r="DN1501" s="24"/>
      <c r="DO1501" s="24"/>
      <c r="DP1501" s="24"/>
      <c r="DQ1501" s="24"/>
      <c r="DR1501" s="24"/>
      <c r="DS1501" s="24"/>
      <c r="DT1501" s="24"/>
      <c r="DU1501" s="24"/>
    </row>
    <row r="1502" spans="1:125" s="8" customFormat="1" ht="24" x14ac:dyDescent="0.2">
      <c r="A1502" s="353">
        <v>41381</v>
      </c>
      <c r="B1502" s="352" t="s">
        <v>2860</v>
      </c>
      <c r="C1502" s="354" t="s">
        <v>2776</v>
      </c>
      <c r="D1502" s="354" t="s">
        <v>2882</v>
      </c>
      <c r="E1502" s="75" t="str">
        <f>VLOOKUP(B1502&amp;C1502,Divipola!$C$2:$F$1138,4,FALSE)</f>
        <v>63001</v>
      </c>
      <c r="F1502" s="87"/>
      <c r="G1502" s="87"/>
      <c r="H1502" s="87"/>
      <c r="I1502" s="87">
        <v>25</v>
      </c>
      <c r="J1502" s="87">
        <v>5</v>
      </c>
      <c r="K1502" s="87"/>
      <c r="L1502" s="87">
        <v>5</v>
      </c>
      <c r="M1502" s="87"/>
      <c r="N1502" s="87"/>
      <c r="O1502" s="87"/>
      <c r="P1502" s="87"/>
      <c r="Q1502" s="87"/>
      <c r="R1502" s="87"/>
      <c r="S1502" s="87"/>
      <c r="T1502" s="87"/>
      <c r="U1502" s="88"/>
      <c r="V1502" s="89"/>
      <c r="W1502" s="96">
        <v>0</v>
      </c>
      <c r="X1502" s="71">
        <f>CU1502</f>
        <v>0</v>
      </c>
      <c r="Y1502" s="71">
        <f>CY1502</f>
        <v>0</v>
      </c>
      <c r="Z1502" s="71">
        <f>DA1502+DC1502+DE1502</f>
        <v>0</v>
      </c>
      <c r="AA1502" s="71">
        <f>CW1502</f>
        <v>0</v>
      </c>
      <c r="AB1502" s="71"/>
      <c r="AC1502" s="71">
        <v>0</v>
      </c>
      <c r="AD1502" s="71">
        <f>W1502+X1502+Y1502+Z1502+AA1502+AB1502+AC1502</f>
        <v>0</v>
      </c>
      <c r="AE1502" s="72">
        <v>0</v>
      </c>
      <c r="AF1502" s="5"/>
      <c r="AG1502" s="6"/>
      <c r="AH1502" s="27" t="s">
        <v>3390</v>
      </c>
      <c r="AI1502" s="44" t="s">
        <v>3393</v>
      </c>
      <c r="AJ1502" s="26"/>
      <c r="AK1502" s="5" t="s">
        <v>4242</v>
      </c>
      <c r="AL1502" s="82" t="s">
        <v>4294</v>
      </c>
      <c r="AM1502" s="76"/>
      <c r="AN1502" s="76"/>
      <c r="AO1502" s="76"/>
      <c r="AP1502" s="76"/>
      <c r="AQ1502" s="76"/>
      <c r="AR1502" s="76"/>
      <c r="AS1502" s="76"/>
      <c r="AT1502" s="76"/>
      <c r="AU1502" s="76"/>
      <c r="AV1502" s="76"/>
      <c r="AW1502" s="76"/>
      <c r="AX1502" s="76">
        <f>+AW1502*600000</f>
        <v>0</v>
      </c>
      <c r="AY1502" s="76"/>
      <c r="AZ1502" s="76">
        <f>+AY1502*70000</f>
        <v>0</v>
      </c>
      <c r="BA1502" s="76"/>
      <c r="BB1502" s="76"/>
      <c r="BC1502" s="76"/>
      <c r="BD1502" s="76">
        <f>+BC1502*30000</f>
        <v>0</v>
      </c>
      <c r="BE1502" s="76"/>
      <c r="BF1502" s="76"/>
      <c r="BG1502" s="76"/>
      <c r="BH1502" s="76"/>
      <c r="BI1502" s="76"/>
      <c r="BJ1502" s="76"/>
      <c r="BK1502" s="76"/>
      <c r="BL1502" s="76">
        <f>+BK1502*31500</f>
        <v>0</v>
      </c>
      <c r="BM1502" s="76"/>
      <c r="BN1502" s="76"/>
      <c r="BO1502" s="76"/>
      <c r="BP1502" s="76"/>
      <c r="BQ1502" s="76"/>
      <c r="BR1502" s="76"/>
      <c r="BS1502" s="76"/>
      <c r="BT1502" s="76"/>
      <c r="BU1502" s="76"/>
      <c r="BV1502" s="76"/>
      <c r="BW1502" s="76"/>
      <c r="BX1502" s="76"/>
      <c r="BY1502" s="76"/>
      <c r="BZ1502" s="76"/>
      <c r="CA1502" s="76"/>
      <c r="CB1502" s="76"/>
      <c r="CC1502" s="76"/>
      <c r="CD1502" s="76"/>
      <c r="CE1502" s="76"/>
      <c r="CF1502" s="76">
        <f>+CE1502*28000</f>
        <v>0</v>
      </c>
      <c r="CG1502" s="76"/>
      <c r="CH1502" s="76">
        <f>+CG1502*22500</f>
        <v>0</v>
      </c>
      <c r="CI1502" s="76"/>
      <c r="CJ1502" s="76">
        <f>+CI1502*26000</f>
        <v>0</v>
      </c>
      <c r="CK1502" s="76"/>
      <c r="CL1502" s="76"/>
      <c r="CM1502" s="76"/>
      <c r="CN1502" s="76">
        <f>+CM1502*22000</f>
        <v>0</v>
      </c>
      <c r="CO1502" s="76"/>
      <c r="CP1502" s="76">
        <f>+CO1502*46000</f>
        <v>0</v>
      </c>
      <c r="CQ1502" s="76"/>
      <c r="CR1502" s="76">
        <f>+CQ1502*49000</f>
        <v>0</v>
      </c>
      <c r="CS1502" s="76"/>
      <c r="CT1502" s="76"/>
      <c r="CU1502" s="56">
        <f>AN1502+AP1502+AR1502+AT1502+AV1502+AX1502+AZ1502+BB1502+BD1502+BF1502+BH1502+BJ1502+BL1502+BN1502+BP1502+BR1502+BT1502+BV1502+BX1502+BZ1502+CB1502+CD1502+CF1502+CH1502+CJ1502+CL1502+CN1502+CP1502+CR1502+CT1502</f>
        <v>0</v>
      </c>
      <c r="CV1502" s="76"/>
      <c r="CW1502" s="76">
        <f>+CV1502*1100</f>
        <v>0</v>
      </c>
      <c r="CX1502" s="76"/>
      <c r="CY1502" s="76">
        <f>+CX1502*106250</f>
        <v>0</v>
      </c>
      <c r="CZ1502" s="76"/>
      <c r="DA1502" s="76">
        <f>+CZ1502*34500</f>
        <v>0</v>
      </c>
      <c r="DB1502" s="76"/>
      <c r="DC1502" s="76">
        <f>+DB1502*25000</f>
        <v>0</v>
      </c>
      <c r="DD1502" s="219"/>
      <c r="DE1502" s="219"/>
      <c r="DF1502" s="166"/>
      <c r="DG1502" s="116"/>
      <c r="DH1502" s="117"/>
      <c r="DI1502" s="24"/>
      <c r="DJ1502" s="24"/>
      <c r="DK1502" s="24"/>
      <c r="DL1502" s="24"/>
      <c r="DM1502" s="24"/>
      <c r="DN1502" s="24"/>
      <c r="DO1502" s="24"/>
      <c r="DP1502" s="24"/>
      <c r="DQ1502" s="24"/>
      <c r="DR1502" s="24"/>
      <c r="DS1502" s="24"/>
      <c r="DT1502" s="24"/>
      <c r="DU1502" s="24"/>
    </row>
    <row r="1503" spans="1:125" s="8" customFormat="1" ht="48" x14ac:dyDescent="0.2">
      <c r="A1503" s="226">
        <v>41381</v>
      </c>
      <c r="B1503" s="225" t="s">
        <v>2860</v>
      </c>
      <c r="C1503" s="227" t="s">
        <v>476</v>
      </c>
      <c r="D1503" s="227" t="s">
        <v>2882</v>
      </c>
      <c r="E1503" s="75" t="str">
        <f>VLOOKUP(B1503&amp;C1503,Divipola!$C$2:$F$1138,4,FALSE)</f>
        <v>63272</v>
      </c>
      <c r="F1503" s="87"/>
      <c r="G1503" s="87"/>
      <c r="H1503" s="87"/>
      <c r="I1503" s="87">
        <v>5</v>
      </c>
      <c r="J1503" s="87">
        <v>1</v>
      </c>
      <c r="K1503" s="87"/>
      <c r="L1503" s="87">
        <v>1</v>
      </c>
      <c r="M1503" s="87"/>
      <c r="N1503" s="87"/>
      <c r="O1503" s="87"/>
      <c r="P1503" s="87"/>
      <c r="Q1503" s="87"/>
      <c r="R1503" s="87"/>
      <c r="S1503" s="87"/>
      <c r="T1503" s="87"/>
      <c r="U1503" s="88"/>
      <c r="V1503" s="89"/>
      <c r="W1503" s="96">
        <v>0</v>
      </c>
      <c r="X1503" s="71">
        <f>CU1503</f>
        <v>0</v>
      </c>
      <c r="Y1503" s="71">
        <f>CY1503</f>
        <v>0</v>
      </c>
      <c r="Z1503" s="71">
        <f>DA1503+DC1503+DE1503</f>
        <v>0</v>
      </c>
      <c r="AA1503" s="71">
        <f>CW1503</f>
        <v>0</v>
      </c>
      <c r="AB1503" s="71"/>
      <c r="AC1503" s="71">
        <v>0</v>
      </c>
      <c r="AD1503" s="71">
        <f>W1503+X1503+Y1503+Z1503+AA1503+AB1503+AC1503</f>
        <v>0</v>
      </c>
      <c r="AE1503" s="72">
        <v>0</v>
      </c>
      <c r="AF1503" s="5"/>
      <c r="AG1503" s="6"/>
      <c r="AH1503" s="27" t="s">
        <v>3392</v>
      </c>
      <c r="AI1503" s="44" t="s">
        <v>3393</v>
      </c>
      <c r="AJ1503" s="26"/>
      <c r="AK1503" s="5"/>
      <c r="AL1503" s="82" t="s">
        <v>4301</v>
      </c>
      <c r="AM1503" s="76"/>
      <c r="AN1503" s="76"/>
      <c r="AO1503" s="76"/>
      <c r="AP1503" s="76"/>
      <c r="AQ1503" s="76"/>
      <c r="AR1503" s="76"/>
      <c r="AS1503" s="76"/>
      <c r="AT1503" s="76"/>
      <c r="AU1503" s="76"/>
      <c r="AV1503" s="76"/>
      <c r="AW1503" s="76"/>
      <c r="AX1503" s="76">
        <f>+AW1503*600000</f>
        <v>0</v>
      </c>
      <c r="AY1503" s="76"/>
      <c r="AZ1503" s="76">
        <f>+AY1503*70000</f>
        <v>0</v>
      </c>
      <c r="BA1503" s="76"/>
      <c r="BB1503" s="76"/>
      <c r="BC1503" s="76"/>
      <c r="BD1503" s="76">
        <f>+BC1503*30000</f>
        <v>0</v>
      </c>
      <c r="BE1503" s="76"/>
      <c r="BF1503" s="76"/>
      <c r="BG1503" s="76"/>
      <c r="BH1503" s="76"/>
      <c r="BI1503" s="76"/>
      <c r="BJ1503" s="76"/>
      <c r="BK1503" s="76"/>
      <c r="BL1503" s="76">
        <f>+BK1503*31500</f>
        <v>0</v>
      </c>
      <c r="BM1503" s="76"/>
      <c r="BN1503" s="76"/>
      <c r="BO1503" s="76"/>
      <c r="BP1503" s="76"/>
      <c r="BQ1503" s="76"/>
      <c r="BR1503" s="76"/>
      <c r="BS1503" s="76"/>
      <c r="BT1503" s="76"/>
      <c r="BU1503" s="76"/>
      <c r="BV1503" s="76"/>
      <c r="BW1503" s="76"/>
      <c r="BX1503" s="76"/>
      <c r="BY1503" s="76"/>
      <c r="BZ1503" s="76"/>
      <c r="CA1503" s="76"/>
      <c r="CB1503" s="76"/>
      <c r="CC1503" s="76"/>
      <c r="CD1503" s="76"/>
      <c r="CE1503" s="76"/>
      <c r="CF1503" s="76">
        <f>+CE1503*28000</f>
        <v>0</v>
      </c>
      <c r="CG1503" s="76"/>
      <c r="CH1503" s="76">
        <f>+CG1503*22500</f>
        <v>0</v>
      </c>
      <c r="CI1503" s="76"/>
      <c r="CJ1503" s="76">
        <f>+CI1503*26000</f>
        <v>0</v>
      </c>
      <c r="CK1503" s="76"/>
      <c r="CL1503" s="76"/>
      <c r="CM1503" s="76"/>
      <c r="CN1503" s="76">
        <f>+CM1503*22000</f>
        <v>0</v>
      </c>
      <c r="CO1503" s="76"/>
      <c r="CP1503" s="76">
        <f>+CO1503*46000</f>
        <v>0</v>
      </c>
      <c r="CQ1503" s="76"/>
      <c r="CR1503" s="76">
        <f>+CQ1503*49000</f>
        <v>0</v>
      </c>
      <c r="CS1503" s="76"/>
      <c r="CT1503" s="76"/>
      <c r="CU1503" s="56">
        <f>AN1503+AP1503+AR1503+AT1503+AV1503+AX1503+AZ1503+BB1503+BD1503+BF1503+BH1503+BJ1503+BL1503+BN1503+BP1503+BR1503+BT1503+BV1503+BX1503+BZ1503+CB1503+CD1503+CF1503+CH1503+CJ1503+CL1503+CN1503+CP1503+CR1503+CT1503</f>
        <v>0</v>
      </c>
      <c r="CV1503" s="76"/>
      <c r="CW1503" s="76">
        <f>+CV1503*1100</f>
        <v>0</v>
      </c>
      <c r="CX1503" s="76"/>
      <c r="CY1503" s="76">
        <f>+CX1503*106250</f>
        <v>0</v>
      </c>
      <c r="CZ1503" s="76"/>
      <c r="DA1503" s="76">
        <f>+CZ1503*34500</f>
        <v>0</v>
      </c>
      <c r="DB1503" s="76"/>
      <c r="DC1503" s="76">
        <f>+DB1503*25000</f>
        <v>0</v>
      </c>
      <c r="DD1503" s="219"/>
      <c r="DE1503" s="219"/>
      <c r="DF1503" s="166"/>
      <c r="DG1503" s="116"/>
      <c r="DH1503" s="117"/>
      <c r="DI1503" s="24"/>
      <c r="DJ1503" s="24"/>
      <c r="DK1503" s="24"/>
      <c r="DL1503" s="24"/>
      <c r="DM1503" s="24"/>
      <c r="DN1503" s="24"/>
      <c r="DO1503" s="24"/>
      <c r="DP1503" s="24"/>
      <c r="DQ1503" s="24"/>
      <c r="DR1503" s="24"/>
      <c r="DS1503" s="24"/>
      <c r="DT1503" s="24"/>
      <c r="DU1503" s="24"/>
    </row>
    <row r="1504" spans="1:125" s="8" customFormat="1" ht="48" x14ac:dyDescent="0.2">
      <c r="A1504" s="353">
        <v>41381</v>
      </c>
      <c r="B1504" s="225" t="s">
        <v>2774</v>
      </c>
      <c r="C1504" s="227" t="s">
        <v>2106</v>
      </c>
      <c r="D1504" s="227" t="s">
        <v>4391</v>
      </c>
      <c r="E1504" s="75" t="str">
        <f>VLOOKUP(B1504&amp;C1504,Divipola!$C$2:$F$1138,4,FALSE)</f>
        <v>66400</v>
      </c>
      <c r="F1504" s="163">
        <v>1</v>
      </c>
      <c r="G1504" s="163"/>
      <c r="H1504" s="163"/>
      <c r="I1504" s="163"/>
      <c r="J1504" s="163"/>
      <c r="K1504" s="163"/>
      <c r="L1504" s="163"/>
      <c r="M1504" s="163"/>
      <c r="N1504" s="163"/>
      <c r="O1504" s="163"/>
      <c r="P1504" s="163"/>
      <c r="Q1504" s="163"/>
      <c r="R1504" s="163"/>
      <c r="S1504" s="163"/>
      <c r="T1504" s="163"/>
      <c r="U1504" s="163"/>
      <c r="V1504" s="134"/>
      <c r="W1504" s="96">
        <v>0</v>
      </c>
      <c r="X1504" s="71">
        <f>CU1504</f>
        <v>0</v>
      </c>
      <c r="Y1504" s="71">
        <f>CY1504</f>
        <v>0</v>
      </c>
      <c r="Z1504" s="71">
        <f>DA1504+DC1504+DE1504</f>
        <v>0</v>
      </c>
      <c r="AA1504" s="71">
        <f>CW1504</f>
        <v>0</v>
      </c>
      <c r="AB1504" s="71"/>
      <c r="AC1504" s="71">
        <v>0</v>
      </c>
      <c r="AD1504" s="71">
        <f>W1504+X1504+Y1504+Z1504+AA1504+AB1504+AC1504</f>
        <v>0</v>
      </c>
      <c r="AE1504" s="72">
        <v>0</v>
      </c>
      <c r="AF1504" s="5"/>
      <c r="AG1504" s="6"/>
      <c r="AH1504" s="27" t="s">
        <v>3392</v>
      </c>
      <c r="AI1504" s="44" t="s">
        <v>3393</v>
      </c>
      <c r="AJ1504" s="26"/>
      <c r="AK1504" s="5"/>
      <c r="AL1504" s="82" t="s">
        <v>4298</v>
      </c>
      <c r="AM1504" s="76"/>
      <c r="AN1504" s="76"/>
      <c r="AO1504" s="76"/>
      <c r="AP1504" s="76"/>
      <c r="AQ1504" s="76"/>
      <c r="AR1504" s="76"/>
      <c r="AS1504" s="76"/>
      <c r="AT1504" s="76"/>
      <c r="AU1504" s="76"/>
      <c r="AV1504" s="76"/>
      <c r="AW1504" s="76"/>
      <c r="AX1504" s="76">
        <f>+AW1504*600000</f>
        <v>0</v>
      </c>
      <c r="AY1504" s="76"/>
      <c r="AZ1504" s="76">
        <f>+AY1504*70000</f>
        <v>0</v>
      </c>
      <c r="BA1504" s="76"/>
      <c r="BB1504" s="76"/>
      <c r="BC1504" s="76"/>
      <c r="BD1504" s="76">
        <f>+BC1504*30000</f>
        <v>0</v>
      </c>
      <c r="BE1504" s="76"/>
      <c r="BF1504" s="76"/>
      <c r="BG1504" s="76"/>
      <c r="BH1504" s="76"/>
      <c r="BI1504" s="76"/>
      <c r="BJ1504" s="76"/>
      <c r="BK1504" s="76"/>
      <c r="BL1504" s="76">
        <f>+BK1504*31500</f>
        <v>0</v>
      </c>
      <c r="BM1504" s="76"/>
      <c r="BN1504" s="76"/>
      <c r="BO1504" s="76"/>
      <c r="BP1504" s="76"/>
      <c r="BQ1504" s="76"/>
      <c r="BR1504" s="76"/>
      <c r="BS1504" s="76"/>
      <c r="BT1504" s="76"/>
      <c r="BU1504" s="76"/>
      <c r="BV1504" s="76"/>
      <c r="BW1504" s="76"/>
      <c r="BX1504" s="76"/>
      <c r="BY1504" s="76"/>
      <c r="BZ1504" s="76"/>
      <c r="CA1504" s="76"/>
      <c r="CB1504" s="76"/>
      <c r="CC1504" s="76"/>
      <c r="CD1504" s="76"/>
      <c r="CE1504" s="76"/>
      <c r="CF1504" s="76">
        <f>+CE1504*28000</f>
        <v>0</v>
      </c>
      <c r="CG1504" s="76"/>
      <c r="CH1504" s="76">
        <f>+CG1504*22500</f>
        <v>0</v>
      </c>
      <c r="CI1504" s="76"/>
      <c r="CJ1504" s="76">
        <f>+CI1504*26000</f>
        <v>0</v>
      </c>
      <c r="CK1504" s="76"/>
      <c r="CL1504" s="76"/>
      <c r="CM1504" s="76"/>
      <c r="CN1504" s="76">
        <f>+CM1504*22000</f>
        <v>0</v>
      </c>
      <c r="CO1504" s="76"/>
      <c r="CP1504" s="76">
        <f>+CO1504*46000</f>
        <v>0</v>
      </c>
      <c r="CQ1504" s="76"/>
      <c r="CR1504" s="76">
        <f>+CQ1504*49000</f>
        <v>0</v>
      </c>
      <c r="CS1504" s="76"/>
      <c r="CT1504" s="76"/>
      <c r="CU1504" s="56">
        <f>AN1504+AP1504+AR1504+AT1504+AV1504+AX1504+AZ1504+BB1504+BD1504+BF1504+BH1504+BJ1504+BL1504+BN1504+BP1504+BR1504+BT1504+BV1504+BX1504+BZ1504+CB1504+CD1504+CF1504+CH1504+CJ1504+CL1504+CN1504+CP1504+CR1504+CT1504</f>
        <v>0</v>
      </c>
      <c r="CV1504" s="76"/>
      <c r="CW1504" s="76">
        <f>+CV1504*1100</f>
        <v>0</v>
      </c>
      <c r="CX1504" s="76"/>
      <c r="CY1504" s="76">
        <f>+CX1504*106250</f>
        <v>0</v>
      </c>
      <c r="CZ1504" s="76"/>
      <c r="DA1504" s="76">
        <f>+CZ1504*34500</f>
        <v>0</v>
      </c>
      <c r="DB1504" s="76"/>
      <c r="DC1504" s="76">
        <f>+DB1504*25000</f>
        <v>0</v>
      </c>
      <c r="DD1504" s="219"/>
      <c r="DE1504" s="219"/>
      <c r="DF1504" s="166"/>
      <c r="DG1504" s="116"/>
      <c r="DH1504" s="117"/>
      <c r="DI1504" s="24"/>
      <c r="DJ1504" s="24"/>
      <c r="DK1504" s="24"/>
      <c r="DL1504" s="24"/>
      <c r="DM1504" s="24"/>
      <c r="DN1504" s="24"/>
      <c r="DO1504" s="24"/>
      <c r="DP1504" s="24"/>
      <c r="DQ1504" s="24"/>
      <c r="DR1504" s="24"/>
      <c r="DS1504" s="24"/>
      <c r="DT1504" s="24"/>
      <c r="DU1504" s="24"/>
    </row>
    <row r="1505" spans="1:128" s="8" customFormat="1" ht="72" x14ac:dyDescent="0.2">
      <c r="A1505" s="353">
        <v>41381</v>
      </c>
      <c r="B1505" s="352" t="s">
        <v>2774</v>
      </c>
      <c r="C1505" s="354" t="s">
        <v>1347</v>
      </c>
      <c r="D1505" s="354" t="s">
        <v>3017</v>
      </c>
      <c r="E1505" s="75" t="str">
        <f>VLOOKUP(B1505&amp;C1505,Divipola!$C$2:$F$1138,4,FALSE)</f>
        <v>66001</v>
      </c>
      <c r="F1505" s="87"/>
      <c r="G1505" s="87">
        <v>3</v>
      </c>
      <c r="H1505" s="87"/>
      <c r="I1505" s="87">
        <v>5</v>
      </c>
      <c r="J1505" s="87">
        <v>1</v>
      </c>
      <c r="K1505" s="87">
        <v>1</v>
      </c>
      <c r="L1505" s="87"/>
      <c r="M1505" s="87"/>
      <c r="N1505" s="87"/>
      <c r="O1505" s="87"/>
      <c r="P1505" s="87"/>
      <c r="Q1505" s="87"/>
      <c r="R1505" s="87"/>
      <c r="S1505" s="87"/>
      <c r="T1505" s="87"/>
      <c r="U1505" s="88"/>
      <c r="V1505" s="89"/>
      <c r="W1505" s="96">
        <v>0</v>
      </c>
      <c r="X1505" s="71">
        <f>CU1505</f>
        <v>0</v>
      </c>
      <c r="Y1505" s="71">
        <f>CY1505</f>
        <v>0</v>
      </c>
      <c r="Z1505" s="71">
        <f>DA1505+DC1505+DE1505</f>
        <v>0</v>
      </c>
      <c r="AA1505" s="71">
        <f>CW1505</f>
        <v>0</v>
      </c>
      <c r="AB1505" s="71"/>
      <c r="AC1505" s="71">
        <v>0</v>
      </c>
      <c r="AD1505" s="71">
        <f>W1505+X1505+Y1505+Z1505+AA1505+AB1505+AC1505</f>
        <v>0</v>
      </c>
      <c r="AE1505" s="72">
        <v>0</v>
      </c>
      <c r="AF1505" s="5"/>
      <c r="AG1505" s="6"/>
      <c r="AH1505" s="27" t="s">
        <v>3392</v>
      </c>
      <c r="AI1505" s="44" t="s">
        <v>3393</v>
      </c>
      <c r="AJ1505" s="26"/>
      <c r="AK1505" s="5"/>
      <c r="AL1505" s="82" t="s">
        <v>4297</v>
      </c>
      <c r="AM1505" s="76"/>
      <c r="AN1505" s="76"/>
      <c r="AO1505" s="76"/>
      <c r="AP1505" s="76"/>
      <c r="AQ1505" s="76"/>
      <c r="AR1505" s="76"/>
      <c r="AS1505" s="76"/>
      <c r="AT1505" s="76"/>
      <c r="AU1505" s="76"/>
      <c r="AV1505" s="76"/>
      <c r="AW1505" s="76"/>
      <c r="AX1505" s="76">
        <f>+AW1505*600000</f>
        <v>0</v>
      </c>
      <c r="AY1505" s="76"/>
      <c r="AZ1505" s="76">
        <f>+AY1505*70000</f>
        <v>0</v>
      </c>
      <c r="BA1505" s="76"/>
      <c r="BB1505" s="76"/>
      <c r="BC1505" s="76"/>
      <c r="BD1505" s="76">
        <f>+BC1505*30000</f>
        <v>0</v>
      </c>
      <c r="BE1505" s="76"/>
      <c r="BF1505" s="76"/>
      <c r="BG1505" s="76"/>
      <c r="BH1505" s="76"/>
      <c r="BI1505" s="76"/>
      <c r="BJ1505" s="76"/>
      <c r="BK1505" s="76"/>
      <c r="BL1505" s="76">
        <f>+BK1505*31500</f>
        <v>0</v>
      </c>
      <c r="BM1505" s="76"/>
      <c r="BN1505" s="76"/>
      <c r="BO1505" s="76"/>
      <c r="BP1505" s="76"/>
      <c r="BQ1505" s="76"/>
      <c r="BR1505" s="76"/>
      <c r="BS1505" s="76"/>
      <c r="BT1505" s="76"/>
      <c r="BU1505" s="76"/>
      <c r="BV1505" s="76"/>
      <c r="BW1505" s="76"/>
      <c r="BX1505" s="76"/>
      <c r="BY1505" s="76"/>
      <c r="BZ1505" s="76"/>
      <c r="CA1505" s="76"/>
      <c r="CB1505" s="76"/>
      <c r="CC1505" s="76"/>
      <c r="CD1505" s="76"/>
      <c r="CE1505" s="76"/>
      <c r="CF1505" s="76">
        <f>+CE1505*28000</f>
        <v>0</v>
      </c>
      <c r="CG1505" s="76"/>
      <c r="CH1505" s="76">
        <f>+CG1505*22500</f>
        <v>0</v>
      </c>
      <c r="CI1505" s="76"/>
      <c r="CJ1505" s="76">
        <f>+CI1505*26000</f>
        <v>0</v>
      </c>
      <c r="CK1505" s="76"/>
      <c r="CL1505" s="76"/>
      <c r="CM1505" s="76"/>
      <c r="CN1505" s="76">
        <f>+CM1505*22000</f>
        <v>0</v>
      </c>
      <c r="CO1505" s="76"/>
      <c r="CP1505" s="76">
        <f>+CO1505*46000</f>
        <v>0</v>
      </c>
      <c r="CQ1505" s="76"/>
      <c r="CR1505" s="76">
        <f>+CQ1505*49000</f>
        <v>0</v>
      </c>
      <c r="CS1505" s="76"/>
      <c r="CT1505" s="76"/>
      <c r="CU1505" s="56">
        <f>AN1505+AP1505+AR1505+AT1505+AV1505+AX1505+AZ1505+BB1505+BD1505+BF1505+BH1505+BJ1505+BL1505+BN1505+BP1505+BR1505+BT1505+BV1505+BX1505+BZ1505+CB1505+CD1505+CF1505+CH1505+CJ1505+CL1505+CN1505+CP1505+CR1505+CT1505</f>
        <v>0</v>
      </c>
      <c r="CV1505" s="76"/>
      <c r="CW1505" s="76">
        <f>+CV1505*1100</f>
        <v>0</v>
      </c>
      <c r="CX1505" s="76"/>
      <c r="CY1505" s="76">
        <f>+CX1505*106250</f>
        <v>0</v>
      </c>
      <c r="CZ1505" s="76"/>
      <c r="DA1505" s="76">
        <f>+CZ1505*34500</f>
        <v>0</v>
      </c>
      <c r="DB1505" s="76"/>
      <c r="DC1505" s="76">
        <f>+DB1505*25000</f>
        <v>0</v>
      </c>
      <c r="DD1505" s="219"/>
      <c r="DE1505" s="219"/>
      <c r="DF1505" s="166"/>
      <c r="DG1505" s="116"/>
      <c r="DH1505" s="117"/>
      <c r="DI1505" s="24"/>
      <c r="DJ1505" s="24"/>
      <c r="DK1505" s="24"/>
      <c r="DL1505" s="24"/>
      <c r="DM1505" s="24"/>
      <c r="DN1505" s="24"/>
      <c r="DO1505" s="24"/>
      <c r="DP1505" s="24"/>
      <c r="DQ1505" s="24"/>
      <c r="DR1505" s="24"/>
      <c r="DS1505" s="24"/>
      <c r="DT1505" s="24"/>
      <c r="DU1505" s="24"/>
    </row>
    <row r="1506" spans="1:128" s="8" customFormat="1" ht="60" x14ac:dyDescent="0.2">
      <c r="A1506" s="97">
        <v>41381</v>
      </c>
      <c r="B1506" s="60" t="s">
        <v>2774</v>
      </c>
      <c r="C1506" s="55" t="s">
        <v>1347</v>
      </c>
      <c r="D1506" s="55" t="s">
        <v>2882</v>
      </c>
      <c r="E1506" s="75" t="str">
        <f>VLOOKUP(B1506&amp;C1506,Divipola!$C$2:$F$1138,4,FALSE)</f>
        <v>66001</v>
      </c>
      <c r="F1506" s="87"/>
      <c r="G1506" s="87"/>
      <c r="H1506" s="87"/>
      <c r="I1506" s="87">
        <v>1852</v>
      </c>
      <c r="J1506" s="87">
        <v>417</v>
      </c>
      <c r="K1506" s="87"/>
      <c r="L1506" s="87">
        <v>417</v>
      </c>
      <c r="M1506" s="87"/>
      <c r="N1506" s="87"/>
      <c r="O1506" s="87"/>
      <c r="P1506" s="87"/>
      <c r="Q1506" s="87"/>
      <c r="R1506" s="87"/>
      <c r="S1506" s="87"/>
      <c r="T1506" s="87"/>
      <c r="U1506" s="88"/>
      <c r="V1506" s="89"/>
      <c r="W1506" s="96">
        <v>0</v>
      </c>
      <c r="X1506" s="71">
        <f>CU1506</f>
        <v>29623373.559999999</v>
      </c>
      <c r="Y1506" s="71">
        <f>CY1506</f>
        <v>1275000</v>
      </c>
      <c r="Z1506" s="71">
        <f>DA1506+DC1506+DE1506</f>
        <v>48811952.039999992</v>
      </c>
      <c r="AA1506" s="71">
        <f>CW1506</f>
        <v>0</v>
      </c>
      <c r="AB1506" s="71"/>
      <c r="AC1506" s="71">
        <v>0</v>
      </c>
      <c r="AD1506" s="71">
        <f>W1506+X1506+Y1506+Z1506+AA1506+AB1506+AC1506</f>
        <v>79710325.599999994</v>
      </c>
      <c r="AE1506" s="72">
        <v>0</v>
      </c>
      <c r="AF1506" s="5"/>
      <c r="AG1506" s="6"/>
      <c r="AH1506" s="27" t="s">
        <v>3390</v>
      </c>
      <c r="AI1506" s="44" t="s">
        <v>3391</v>
      </c>
      <c r="AJ1506" s="26"/>
      <c r="AK1506" s="5"/>
      <c r="AL1506" s="82" t="s">
        <v>4318</v>
      </c>
      <c r="AM1506" s="76"/>
      <c r="AN1506" s="76"/>
      <c r="AO1506" s="76"/>
      <c r="AP1506" s="76"/>
      <c r="AQ1506" s="76"/>
      <c r="AR1506" s="76"/>
      <c r="AS1506" s="76"/>
      <c r="AT1506" s="76"/>
      <c r="AU1506" s="76"/>
      <c r="AV1506" s="76"/>
      <c r="AW1506" s="76"/>
      <c r="AX1506" s="76">
        <f>+AW1506*600000</f>
        <v>0</v>
      </c>
      <c r="AY1506" s="86">
        <f>248</f>
        <v>248</v>
      </c>
      <c r="AZ1506" s="86">
        <f>+AY1506*69999.04</f>
        <v>17359761.919999998</v>
      </c>
      <c r="BA1506" s="76"/>
      <c r="BB1506" s="76"/>
      <c r="BC1506" s="76"/>
      <c r="BD1506" s="76">
        <f>+BC1506*30000</f>
        <v>0</v>
      </c>
      <c r="BE1506" s="76"/>
      <c r="BF1506" s="76"/>
      <c r="BG1506" s="76"/>
      <c r="BH1506" s="76"/>
      <c r="BI1506" s="76"/>
      <c r="BJ1506" s="76"/>
      <c r="BK1506" s="76"/>
      <c r="BL1506" s="76">
        <f>+BK1506*31500</f>
        <v>0</v>
      </c>
      <c r="BM1506" s="76"/>
      <c r="BN1506" s="76"/>
      <c r="BO1506" s="76"/>
      <c r="BP1506" s="76"/>
      <c r="BQ1506" s="76"/>
      <c r="BR1506" s="76"/>
      <c r="BS1506" s="76"/>
      <c r="BT1506" s="76"/>
      <c r="BU1506" s="76"/>
      <c r="BV1506" s="76"/>
      <c r="BW1506" s="76"/>
      <c r="BX1506" s="76"/>
      <c r="BY1506" s="76"/>
      <c r="BZ1506" s="76"/>
      <c r="CA1506" s="76"/>
      <c r="CB1506" s="76"/>
      <c r="CC1506" s="76"/>
      <c r="CD1506" s="76"/>
      <c r="CE1506" s="76"/>
      <c r="CF1506" s="76">
        <f>+CE1506*28000</f>
        <v>0</v>
      </c>
      <c r="CG1506" s="86">
        <f>248</f>
        <v>248</v>
      </c>
      <c r="CH1506" s="86">
        <f>+CG1506*22499.36</f>
        <v>5579841.2800000003</v>
      </c>
      <c r="CI1506" s="86">
        <f>248</f>
        <v>248</v>
      </c>
      <c r="CJ1506" s="86">
        <f>+CI1506*25999.08</f>
        <v>6447771.8400000008</v>
      </c>
      <c r="CK1506" s="76"/>
      <c r="CL1506" s="76"/>
      <c r="CM1506" s="76"/>
      <c r="CN1506" s="76">
        <f>+CM1506*22000</f>
        <v>0</v>
      </c>
      <c r="CO1506" s="86">
        <f>3</f>
        <v>3</v>
      </c>
      <c r="CP1506" s="86">
        <f>+CO1506*45999.8</f>
        <v>137999.40000000002</v>
      </c>
      <c r="CQ1506" s="86">
        <f>2</f>
        <v>2</v>
      </c>
      <c r="CR1506" s="86">
        <f>+CQ1506*48999.56</f>
        <v>97999.12</v>
      </c>
      <c r="CS1506" s="76"/>
      <c r="CT1506" s="76"/>
      <c r="CU1506" s="56">
        <f>AN1506+AP1506+AR1506+AT1506+AV1506+AX1506+AZ1506+BB1506+BD1506+BF1506+BH1506+BJ1506+BL1506+BN1506+BP1506+BR1506+BT1506+BV1506+BX1506+BZ1506+CB1506+CD1506+CF1506+CH1506+CJ1506+CL1506+CN1506+CP1506+CR1506+CT1506</f>
        <v>29623373.559999999</v>
      </c>
      <c r="CV1506" s="76"/>
      <c r="CW1506" s="76">
        <f>+CV1506*1100</f>
        <v>0</v>
      </c>
      <c r="CX1506" s="86">
        <f>12</f>
        <v>12</v>
      </c>
      <c r="CY1506" s="86">
        <f>+CX1506*106250</f>
        <v>1275000</v>
      </c>
      <c r="CZ1506" s="76"/>
      <c r="DA1506" s="76">
        <f>+CZ1506*34500</f>
        <v>0</v>
      </c>
      <c r="DB1506" s="86">
        <f>1319+432</f>
        <v>1751</v>
      </c>
      <c r="DC1506" s="86">
        <f>1319*24999.16+397*30999.84+35*40999.04+10506*199.52</f>
        <v>48811952.039999992</v>
      </c>
      <c r="DD1506" s="219"/>
      <c r="DE1506" s="219"/>
      <c r="DF1506" s="166"/>
      <c r="DG1506" s="192" t="s">
        <v>5172</v>
      </c>
      <c r="DH1506" s="117"/>
      <c r="DI1506" s="24"/>
      <c r="DJ1506" s="24"/>
      <c r="DK1506" s="24"/>
      <c r="DL1506" s="24"/>
      <c r="DM1506" s="24"/>
      <c r="DN1506" s="24"/>
      <c r="DO1506" s="24"/>
      <c r="DP1506" s="24"/>
      <c r="DQ1506" s="24"/>
      <c r="DR1506" s="24"/>
      <c r="DS1506" s="24"/>
      <c r="DT1506" s="24"/>
      <c r="DU1506" s="24"/>
    </row>
    <row r="1507" spans="1:128" s="8" customFormat="1" ht="48" x14ac:dyDescent="0.2">
      <c r="A1507" s="77">
        <v>41381</v>
      </c>
      <c r="B1507" s="78" t="s">
        <v>2848</v>
      </c>
      <c r="C1507" s="75" t="s">
        <v>2191</v>
      </c>
      <c r="D1507" s="81" t="s">
        <v>2846</v>
      </c>
      <c r="E1507" s="75" t="str">
        <f>VLOOKUP(B1507&amp;C1507,Divipola!$C$2:$F$1138,4,FALSE)</f>
        <v>73319</v>
      </c>
      <c r="F1507" s="87"/>
      <c r="G1507" s="87"/>
      <c r="H1507" s="87"/>
      <c r="I1507" s="87"/>
      <c r="J1507" s="87"/>
      <c r="K1507" s="87"/>
      <c r="L1507" s="87"/>
      <c r="M1507" s="87"/>
      <c r="N1507" s="87"/>
      <c r="O1507" s="87"/>
      <c r="P1507" s="87"/>
      <c r="Q1507" s="87"/>
      <c r="R1507" s="87"/>
      <c r="S1507" s="87"/>
      <c r="T1507" s="87"/>
      <c r="U1507" s="88">
        <v>4</v>
      </c>
      <c r="V1507" s="89"/>
      <c r="W1507" s="96">
        <v>0</v>
      </c>
      <c r="X1507" s="71">
        <f>CU1507</f>
        <v>0</v>
      </c>
      <c r="Y1507" s="71">
        <f>CY1507</f>
        <v>0</v>
      </c>
      <c r="Z1507" s="71">
        <f>DA1507+DC1507+DE1507</f>
        <v>0</v>
      </c>
      <c r="AA1507" s="71">
        <f>CW1507</f>
        <v>0</v>
      </c>
      <c r="AB1507" s="71"/>
      <c r="AC1507" s="71">
        <v>0</v>
      </c>
      <c r="AD1507" s="71">
        <f>W1507+X1507+Y1507+Z1507+AA1507+AB1507+AC1507</f>
        <v>0</v>
      </c>
      <c r="AE1507" s="72">
        <v>0</v>
      </c>
      <c r="AF1507" s="5"/>
      <c r="AG1507" s="6"/>
      <c r="AH1507" s="27" t="s">
        <v>3392</v>
      </c>
      <c r="AI1507" s="44" t="s">
        <v>3393</v>
      </c>
      <c r="AJ1507" s="26"/>
      <c r="AK1507" s="5"/>
      <c r="AL1507" s="82" t="s">
        <v>4300</v>
      </c>
      <c r="AM1507" s="76"/>
      <c r="AN1507" s="76"/>
      <c r="AO1507" s="76"/>
      <c r="AP1507" s="76"/>
      <c r="AQ1507" s="76"/>
      <c r="AR1507" s="76"/>
      <c r="AS1507" s="76"/>
      <c r="AT1507" s="76"/>
      <c r="AU1507" s="76"/>
      <c r="AV1507" s="76"/>
      <c r="AW1507" s="76"/>
      <c r="AX1507" s="76">
        <f>+AW1507*600000</f>
        <v>0</v>
      </c>
      <c r="AY1507" s="76"/>
      <c r="AZ1507" s="76">
        <f>+AY1507*70000</f>
        <v>0</v>
      </c>
      <c r="BA1507" s="76"/>
      <c r="BB1507" s="76"/>
      <c r="BC1507" s="76"/>
      <c r="BD1507" s="76">
        <f>+BC1507*30000</f>
        <v>0</v>
      </c>
      <c r="BE1507" s="76"/>
      <c r="BF1507" s="76"/>
      <c r="BG1507" s="76"/>
      <c r="BH1507" s="76"/>
      <c r="BI1507" s="76"/>
      <c r="BJ1507" s="76"/>
      <c r="BK1507" s="76"/>
      <c r="BL1507" s="76">
        <f>+BK1507*31500</f>
        <v>0</v>
      </c>
      <c r="BM1507" s="76"/>
      <c r="BN1507" s="76"/>
      <c r="BO1507" s="76"/>
      <c r="BP1507" s="76"/>
      <c r="BQ1507" s="76"/>
      <c r="BR1507" s="76"/>
      <c r="BS1507" s="76"/>
      <c r="BT1507" s="76"/>
      <c r="BU1507" s="76"/>
      <c r="BV1507" s="76"/>
      <c r="BW1507" s="76"/>
      <c r="BX1507" s="76"/>
      <c r="BY1507" s="76"/>
      <c r="BZ1507" s="76"/>
      <c r="CA1507" s="76"/>
      <c r="CB1507" s="76"/>
      <c r="CC1507" s="76"/>
      <c r="CD1507" s="76"/>
      <c r="CE1507" s="76"/>
      <c r="CF1507" s="76">
        <f>+CE1507*28000</f>
        <v>0</v>
      </c>
      <c r="CG1507" s="76"/>
      <c r="CH1507" s="76">
        <f>+CG1507*22500</f>
        <v>0</v>
      </c>
      <c r="CI1507" s="76"/>
      <c r="CJ1507" s="76">
        <f>+CI1507*26000</f>
        <v>0</v>
      </c>
      <c r="CK1507" s="76"/>
      <c r="CL1507" s="76"/>
      <c r="CM1507" s="76"/>
      <c r="CN1507" s="76">
        <f>+CM1507*22000</f>
        <v>0</v>
      </c>
      <c r="CO1507" s="76"/>
      <c r="CP1507" s="76">
        <f>+CO1507*46000</f>
        <v>0</v>
      </c>
      <c r="CQ1507" s="76"/>
      <c r="CR1507" s="76">
        <f>+CQ1507*49000</f>
        <v>0</v>
      </c>
      <c r="CS1507" s="76"/>
      <c r="CT1507" s="76"/>
      <c r="CU1507" s="56">
        <f>AN1507+AP1507+AR1507+AT1507+AV1507+AX1507+AZ1507+BB1507+BD1507+BF1507+BH1507+BJ1507+BL1507+BN1507+BP1507+BR1507+BT1507+BV1507+BX1507+BZ1507+CB1507+CD1507+CF1507+CH1507+CJ1507+CL1507+CN1507+CP1507+CR1507+CT1507</f>
        <v>0</v>
      </c>
      <c r="CV1507" s="76"/>
      <c r="CW1507" s="76">
        <f>+CV1507*1100</f>
        <v>0</v>
      </c>
      <c r="CX1507" s="76"/>
      <c r="CY1507" s="76">
        <f>+CX1507*106250</f>
        <v>0</v>
      </c>
      <c r="CZ1507" s="76"/>
      <c r="DA1507" s="76">
        <f>+CZ1507*34500</f>
        <v>0</v>
      </c>
      <c r="DB1507" s="76"/>
      <c r="DC1507" s="76">
        <f>+DB1507*25000</f>
        <v>0</v>
      </c>
      <c r="DD1507" s="219"/>
      <c r="DE1507" s="219"/>
      <c r="DF1507" s="166"/>
      <c r="DG1507" s="116"/>
      <c r="DH1507" s="117"/>
      <c r="DI1507" s="24"/>
      <c r="DJ1507" s="24"/>
      <c r="DK1507" s="24"/>
      <c r="DL1507" s="24"/>
      <c r="DM1507" s="24"/>
      <c r="DN1507" s="24"/>
      <c r="DO1507" s="24"/>
      <c r="DP1507" s="24"/>
      <c r="DQ1507" s="24"/>
      <c r="DR1507" s="24"/>
      <c r="DS1507" s="24"/>
      <c r="DT1507" s="24"/>
      <c r="DU1507" s="24"/>
    </row>
    <row r="1508" spans="1:128" s="8" customFormat="1" ht="72" x14ac:dyDescent="0.2">
      <c r="A1508" s="226">
        <v>41381</v>
      </c>
      <c r="B1508" s="225" t="s">
        <v>2848</v>
      </c>
      <c r="C1508" s="227" t="s">
        <v>2755</v>
      </c>
      <c r="D1508" s="75" t="s">
        <v>3051</v>
      </c>
      <c r="E1508" s="75" t="str">
        <f>VLOOKUP(B1508&amp;C1508,Divipola!$C$2:$F$1138,4,FALSE)</f>
        <v>73001</v>
      </c>
      <c r="F1508" s="87"/>
      <c r="G1508" s="87"/>
      <c r="H1508" s="87"/>
      <c r="I1508" s="87">
        <v>35</v>
      </c>
      <c r="J1508" s="87">
        <v>6</v>
      </c>
      <c r="K1508" s="87"/>
      <c r="L1508" s="87">
        <v>6</v>
      </c>
      <c r="M1508" s="87"/>
      <c r="N1508" s="87"/>
      <c r="O1508" s="87"/>
      <c r="P1508" s="87"/>
      <c r="Q1508" s="87"/>
      <c r="R1508" s="87"/>
      <c r="S1508" s="87"/>
      <c r="T1508" s="87"/>
      <c r="U1508" s="88"/>
      <c r="V1508" s="89"/>
      <c r="W1508" s="96">
        <v>0</v>
      </c>
      <c r="X1508" s="71">
        <f>CU1508</f>
        <v>0</v>
      </c>
      <c r="Y1508" s="71">
        <f>CY1508</f>
        <v>0</v>
      </c>
      <c r="Z1508" s="71">
        <f>DA1508+DC1508+DE1508</f>
        <v>0</v>
      </c>
      <c r="AA1508" s="71">
        <f>CW1508</f>
        <v>0</v>
      </c>
      <c r="AB1508" s="71"/>
      <c r="AC1508" s="71">
        <v>0</v>
      </c>
      <c r="AD1508" s="71">
        <f>W1508+X1508+Y1508+Z1508+AA1508+AB1508+AC1508</f>
        <v>0</v>
      </c>
      <c r="AE1508" s="72">
        <v>0</v>
      </c>
      <c r="AF1508" s="5"/>
      <c r="AG1508" s="6"/>
      <c r="AH1508" s="27" t="s">
        <v>3392</v>
      </c>
      <c r="AI1508" s="44" t="s">
        <v>3393</v>
      </c>
      <c r="AJ1508" s="26"/>
      <c r="AK1508" s="5"/>
      <c r="AL1508" s="82" t="s">
        <v>4308</v>
      </c>
      <c r="AM1508" s="76"/>
      <c r="AN1508" s="76"/>
      <c r="AO1508" s="76"/>
      <c r="AP1508" s="76"/>
      <c r="AQ1508" s="76"/>
      <c r="AR1508" s="76"/>
      <c r="AS1508" s="76"/>
      <c r="AT1508" s="76"/>
      <c r="AU1508" s="76"/>
      <c r="AV1508" s="76"/>
      <c r="AW1508" s="76"/>
      <c r="AX1508" s="76">
        <f>+AW1508*600000</f>
        <v>0</v>
      </c>
      <c r="AY1508" s="76"/>
      <c r="AZ1508" s="76">
        <f>+AY1508*70000</f>
        <v>0</v>
      </c>
      <c r="BA1508" s="76"/>
      <c r="BB1508" s="76"/>
      <c r="BC1508" s="76"/>
      <c r="BD1508" s="76">
        <f>+BC1508*30000</f>
        <v>0</v>
      </c>
      <c r="BE1508" s="76"/>
      <c r="BF1508" s="76"/>
      <c r="BG1508" s="76"/>
      <c r="BH1508" s="76"/>
      <c r="BI1508" s="76"/>
      <c r="BJ1508" s="76"/>
      <c r="BK1508" s="76"/>
      <c r="BL1508" s="76">
        <f>+BK1508*31500</f>
        <v>0</v>
      </c>
      <c r="BM1508" s="76"/>
      <c r="BN1508" s="76"/>
      <c r="BO1508" s="76"/>
      <c r="BP1508" s="76"/>
      <c r="BQ1508" s="76"/>
      <c r="BR1508" s="76"/>
      <c r="BS1508" s="76"/>
      <c r="BT1508" s="76"/>
      <c r="BU1508" s="76"/>
      <c r="BV1508" s="76"/>
      <c r="BW1508" s="76"/>
      <c r="BX1508" s="76"/>
      <c r="BY1508" s="76"/>
      <c r="BZ1508" s="76"/>
      <c r="CA1508" s="76"/>
      <c r="CB1508" s="76"/>
      <c r="CC1508" s="76"/>
      <c r="CD1508" s="76"/>
      <c r="CE1508" s="76"/>
      <c r="CF1508" s="76">
        <f>+CE1508*28000</f>
        <v>0</v>
      </c>
      <c r="CG1508" s="76"/>
      <c r="CH1508" s="76">
        <f>+CG1508*22500</f>
        <v>0</v>
      </c>
      <c r="CI1508" s="76"/>
      <c r="CJ1508" s="76">
        <f>+CI1508*26000</f>
        <v>0</v>
      </c>
      <c r="CK1508" s="76"/>
      <c r="CL1508" s="76"/>
      <c r="CM1508" s="76"/>
      <c r="CN1508" s="76">
        <f>+CM1508*22000</f>
        <v>0</v>
      </c>
      <c r="CO1508" s="76"/>
      <c r="CP1508" s="76">
        <f>+CO1508*46000</f>
        <v>0</v>
      </c>
      <c r="CQ1508" s="76"/>
      <c r="CR1508" s="76">
        <f>+CQ1508*49000</f>
        <v>0</v>
      </c>
      <c r="CS1508" s="76"/>
      <c r="CT1508" s="76"/>
      <c r="CU1508" s="56">
        <f>AN1508+AP1508+AR1508+AT1508+AV1508+AX1508+AZ1508+BB1508+BD1508+BF1508+BH1508+BJ1508+BL1508+BN1508+BP1508+BR1508+BT1508+BV1508+BX1508+BZ1508+CB1508+CD1508+CF1508+CH1508+CJ1508+CL1508+CN1508+CP1508+CR1508+CT1508</f>
        <v>0</v>
      </c>
      <c r="CV1508" s="76"/>
      <c r="CW1508" s="76">
        <f>+CV1508*1100</f>
        <v>0</v>
      </c>
      <c r="CX1508" s="76"/>
      <c r="CY1508" s="76">
        <f>+CX1508*106250</f>
        <v>0</v>
      </c>
      <c r="CZ1508" s="76"/>
      <c r="DA1508" s="76">
        <f>+CZ1508*34500</f>
        <v>0</v>
      </c>
      <c r="DB1508" s="76"/>
      <c r="DC1508" s="76">
        <f>+DB1508*25000</f>
        <v>0</v>
      </c>
      <c r="DD1508" s="219"/>
      <c r="DE1508" s="219"/>
      <c r="DF1508" s="166"/>
      <c r="DG1508" s="116"/>
      <c r="DH1508" s="117"/>
      <c r="DI1508" s="24"/>
      <c r="DJ1508" s="24"/>
      <c r="DK1508" s="24"/>
      <c r="DL1508" s="24"/>
      <c r="DM1508" s="24"/>
      <c r="DN1508" s="24"/>
      <c r="DO1508" s="24"/>
      <c r="DP1508" s="24"/>
      <c r="DQ1508" s="24"/>
      <c r="DR1508" s="24"/>
      <c r="DS1508" s="24"/>
      <c r="DT1508" s="24"/>
      <c r="DU1508" s="24"/>
    </row>
    <row r="1509" spans="1:128" s="8" customFormat="1" ht="72" x14ac:dyDescent="0.2">
      <c r="A1509" s="353">
        <v>41381</v>
      </c>
      <c r="B1509" s="352" t="s">
        <v>2848</v>
      </c>
      <c r="C1509" s="354" t="s">
        <v>1258</v>
      </c>
      <c r="D1509" s="84" t="s">
        <v>3088</v>
      </c>
      <c r="E1509" s="75" t="str">
        <f>VLOOKUP(B1509&amp;C1509,Divipola!$C$2:$F$1138,4,FALSE)</f>
        <v>73870</v>
      </c>
      <c r="F1509" s="87"/>
      <c r="G1509" s="87"/>
      <c r="H1509" s="87"/>
      <c r="I1509" s="87"/>
      <c r="J1509" s="87"/>
      <c r="K1509" s="87"/>
      <c r="L1509" s="87"/>
      <c r="M1509" s="87"/>
      <c r="N1509" s="87"/>
      <c r="O1509" s="87"/>
      <c r="P1509" s="87"/>
      <c r="Q1509" s="87"/>
      <c r="R1509" s="87"/>
      <c r="S1509" s="87"/>
      <c r="T1509" s="87"/>
      <c r="U1509" s="88"/>
      <c r="V1509" s="89"/>
      <c r="W1509" s="96">
        <v>0</v>
      </c>
      <c r="X1509" s="71">
        <f>CU1509</f>
        <v>0</v>
      </c>
      <c r="Y1509" s="71">
        <f>CY1509</f>
        <v>0</v>
      </c>
      <c r="Z1509" s="71">
        <f>DA1509+DC1509+DE1509</f>
        <v>0</v>
      </c>
      <c r="AA1509" s="71">
        <f>CW1509</f>
        <v>0</v>
      </c>
      <c r="AB1509" s="71"/>
      <c r="AC1509" s="71">
        <v>0</v>
      </c>
      <c r="AD1509" s="71">
        <f>W1509+X1509+Y1509+Z1509+AA1509+AB1509+AC1509</f>
        <v>0</v>
      </c>
      <c r="AE1509" s="72">
        <v>0</v>
      </c>
      <c r="AF1509" s="5"/>
      <c r="AG1509" s="6"/>
      <c r="AH1509" s="27" t="s">
        <v>3392</v>
      </c>
      <c r="AI1509" s="44" t="s">
        <v>3393</v>
      </c>
      <c r="AJ1509" s="26"/>
      <c r="AK1509" s="5"/>
      <c r="AL1509" s="82" t="s">
        <v>4306</v>
      </c>
      <c r="AM1509" s="76"/>
      <c r="AN1509" s="76"/>
      <c r="AO1509" s="76"/>
      <c r="AP1509" s="76"/>
      <c r="AQ1509" s="76"/>
      <c r="AR1509" s="76"/>
      <c r="AS1509" s="76"/>
      <c r="AT1509" s="76"/>
      <c r="AU1509" s="76"/>
      <c r="AV1509" s="76"/>
      <c r="AW1509" s="76"/>
      <c r="AX1509" s="76">
        <f>+AW1509*600000</f>
        <v>0</v>
      </c>
      <c r="AY1509" s="76"/>
      <c r="AZ1509" s="76">
        <f>+AY1509*70000</f>
        <v>0</v>
      </c>
      <c r="BA1509" s="76"/>
      <c r="BB1509" s="76"/>
      <c r="BC1509" s="76"/>
      <c r="BD1509" s="76">
        <f>+BC1509*30000</f>
        <v>0</v>
      </c>
      <c r="BE1509" s="76"/>
      <c r="BF1509" s="76"/>
      <c r="BG1509" s="76"/>
      <c r="BH1509" s="76"/>
      <c r="BI1509" s="76"/>
      <c r="BJ1509" s="76"/>
      <c r="BK1509" s="76"/>
      <c r="BL1509" s="76">
        <f>+BK1509*31500</f>
        <v>0</v>
      </c>
      <c r="BM1509" s="76"/>
      <c r="BN1509" s="76"/>
      <c r="BO1509" s="76"/>
      <c r="BP1509" s="76"/>
      <c r="BQ1509" s="76"/>
      <c r="BR1509" s="76"/>
      <c r="BS1509" s="76"/>
      <c r="BT1509" s="76"/>
      <c r="BU1509" s="76"/>
      <c r="BV1509" s="76"/>
      <c r="BW1509" s="76"/>
      <c r="BX1509" s="76"/>
      <c r="BY1509" s="76"/>
      <c r="BZ1509" s="76"/>
      <c r="CA1509" s="76"/>
      <c r="CB1509" s="76"/>
      <c r="CC1509" s="76"/>
      <c r="CD1509" s="76"/>
      <c r="CE1509" s="76"/>
      <c r="CF1509" s="76">
        <f>+CE1509*28000</f>
        <v>0</v>
      </c>
      <c r="CG1509" s="76"/>
      <c r="CH1509" s="76">
        <f>+CG1509*22500</f>
        <v>0</v>
      </c>
      <c r="CI1509" s="76"/>
      <c r="CJ1509" s="76">
        <f>+CI1509*26000</f>
        <v>0</v>
      </c>
      <c r="CK1509" s="76"/>
      <c r="CL1509" s="76"/>
      <c r="CM1509" s="76"/>
      <c r="CN1509" s="76">
        <f>+CM1509*22000</f>
        <v>0</v>
      </c>
      <c r="CO1509" s="76"/>
      <c r="CP1509" s="76">
        <f>+CO1509*46000</f>
        <v>0</v>
      </c>
      <c r="CQ1509" s="76"/>
      <c r="CR1509" s="76">
        <f>+CQ1509*49000</f>
        <v>0</v>
      </c>
      <c r="CS1509" s="76"/>
      <c r="CT1509" s="76"/>
      <c r="CU1509" s="56">
        <f>AN1509+AP1509+AR1509+AT1509+AV1509+AX1509+AZ1509+BB1509+BD1509+BF1509+BH1509+BJ1509+BL1509+BN1509+BP1509+BR1509+BT1509+BV1509+BX1509+BZ1509+CB1509+CD1509+CF1509+CH1509+CJ1509+CL1509+CN1509+CP1509+CR1509+CT1509</f>
        <v>0</v>
      </c>
      <c r="CV1509" s="76"/>
      <c r="CW1509" s="76">
        <f>+CV1509*1100</f>
        <v>0</v>
      </c>
      <c r="CX1509" s="76"/>
      <c r="CY1509" s="76">
        <f>+CX1509*106250</f>
        <v>0</v>
      </c>
      <c r="CZ1509" s="76"/>
      <c r="DA1509" s="76">
        <f>+CZ1509*34500</f>
        <v>0</v>
      </c>
      <c r="DB1509" s="76"/>
      <c r="DC1509" s="76">
        <f>+DB1509*25000</f>
        <v>0</v>
      </c>
      <c r="DD1509" s="219"/>
      <c r="DE1509" s="219"/>
      <c r="DF1509" s="166"/>
      <c r="DG1509" s="116"/>
      <c r="DH1509" s="117"/>
      <c r="DI1509" s="24"/>
      <c r="DJ1509" s="24"/>
      <c r="DK1509" s="24"/>
      <c r="DL1509" s="24"/>
      <c r="DM1509" s="24"/>
      <c r="DN1509" s="24"/>
      <c r="DO1509" s="24"/>
      <c r="DP1509" s="24"/>
      <c r="DQ1509" s="24"/>
      <c r="DR1509" s="24"/>
      <c r="DS1509" s="24"/>
      <c r="DT1509" s="24"/>
      <c r="DU1509" s="24"/>
    </row>
    <row r="1510" spans="1:128" s="8" customFormat="1" ht="60" x14ac:dyDescent="0.2">
      <c r="A1510" s="226">
        <v>41381</v>
      </c>
      <c r="B1510" s="225" t="s">
        <v>2848</v>
      </c>
      <c r="C1510" s="227" t="s">
        <v>1258</v>
      </c>
      <c r="D1510" s="227" t="s">
        <v>2882</v>
      </c>
      <c r="E1510" s="75" t="str">
        <f>VLOOKUP(B1510&amp;C1510,Divipola!$C$2:$F$1138,4,FALSE)</f>
        <v>73870</v>
      </c>
      <c r="F1510" s="87"/>
      <c r="G1510" s="87"/>
      <c r="H1510" s="87"/>
      <c r="I1510" s="87">
        <v>40</v>
      </c>
      <c r="J1510" s="87">
        <v>19</v>
      </c>
      <c r="K1510" s="87"/>
      <c r="L1510" s="87">
        <v>19</v>
      </c>
      <c r="M1510" s="87"/>
      <c r="N1510" s="87"/>
      <c r="O1510" s="87"/>
      <c r="P1510" s="87"/>
      <c r="Q1510" s="87"/>
      <c r="R1510" s="87"/>
      <c r="S1510" s="87"/>
      <c r="T1510" s="87"/>
      <c r="U1510" s="88"/>
      <c r="V1510" s="89"/>
      <c r="W1510" s="96">
        <v>0</v>
      </c>
      <c r="X1510" s="71">
        <f>CU1510</f>
        <v>0</v>
      </c>
      <c r="Y1510" s="71">
        <f>CY1510</f>
        <v>0</v>
      </c>
      <c r="Z1510" s="71">
        <f>DA1510+DC1510+DE1510</f>
        <v>0</v>
      </c>
      <c r="AA1510" s="71">
        <f>CW1510</f>
        <v>0</v>
      </c>
      <c r="AB1510" s="71"/>
      <c r="AC1510" s="71">
        <v>0</v>
      </c>
      <c r="AD1510" s="71">
        <f>W1510+X1510+Y1510+Z1510+AA1510+AB1510+AC1510</f>
        <v>0</v>
      </c>
      <c r="AE1510" s="72">
        <v>0</v>
      </c>
      <c r="AF1510" s="5"/>
      <c r="AG1510" s="6"/>
      <c r="AH1510" s="27" t="s">
        <v>3392</v>
      </c>
      <c r="AI1510" s="44" t="s">
        <v>3393</v>
      </c>
      <c r="AJ1510" s="26"/>
      <c r="AK1510" s="5"/>
      <c r="AL1510" s="82" t="s">
        <v>4317</v>
      </c>
      <c r="AM1510" s="76"/>
      <c r="AN1510" s="76"/>
      <c r="AO1510" s="76"/>
      <c r="AP1510" s="76"/>
      <c r="AQ1510" s="76"/>
      <c r="AR1510" s="76"/>
      <c r="AS1510" s="76"/>
      <c r="AT1510" s="76"/>
      <c r="AU1510" s="76"/>
      <c r="AV1510" s="76"/>
      <c r="AW1510" s="76"/>
      <c r="AX1510" s="76">
        <f>+AW1510*600000</f>
        <v>0</v>
      </c>
      <c r="AY1510" s="76"/>
      <c r="AZ1510" s="76">
        <f>+AY1510*70000</f>
        <v>0</v>
      </c>
      <c r="BA1510" s="76"/>
      <c r="BB1510" s="76"/>
      <c r="BC1510" s="76"/>
      <c r="BD1510" s="76">
        <f>+BC1510*30000</f>
        <v>0</v>
      </c>
      <c r="BE1510" s="76"/>
      <c r="BF1510" s="76"/>
      <c r="BG1510" s="76"/>
      <c r="BH1510" s="76"/>
      <c r="BI1510" s="76"/>
      <c r="BJ1510" s="76"/>
      <c r="BK1510" s="76"/>
      <c r="BL1510" s="76">
        <f>+BK1510*31500</f>
        <v>0</v>
      </c>
      <c r="BM1510" s="76"/>
      <c r="BN1510" s="76"/>
      <c r="BO1510" s="76"/>
      <c r="BP1510" s="76"/>
      <c r="BQ1510" s="76"/>
      <c r="BR1510" s="76"/>
      <c r="BS1510" s="76"/>
      <c r="BT1510" s="76"/>
      <c r="BU1510" s="76"/>
      <c r="BV1510" s="76"/>
      <c r="BW1510" s="76"/>
      <c r="BX1510" s="76"/>
      <c r="BY1510" s="76"/>
      <c r="BZ1510" s="76"/>
      <c r="CA1510" s="76"/>
      <c r="CB1510" s="76"/>
      <c r="CC1510" s="76"/>
      <c r="CD1510" s="76"/>
      <c r="CE1510" s="76"/>
      <c r="CF1510" s="76">
        <f>+CE1510*28000</f>
        <v>0</v>
      </c>
      <c r="CG1510" s="76"/>
      <c r="CH1510" s="76">
        <f>+CG1510*22500</f>
        <v>0</v>
      </c>
      <c r="CI1510" s="76"/>
      <c r="CJ1510" s="76">
        <f>+CI1510*26000</f>
        <v>0</v>
      </c>
      <c r="CK1510" s="76"/>
      <c r="CL1510" s="76"/>
      <c r="CM1510" s="76"/>
      <c r="CN1510" s="76">
        <f>+CM1510*22000</f>
        <v>0</v>
      </c>
      <c r="CO1510" s="76"/>
      <c r="CP1510" s="76">
        <f>+CO1510*46000</f>
        <v>0</v>
      </c>
      <c r="CQ1510" s="76"/>
      <c r="CR1510" s="76">
        <f>+CQ1510*49000</f>
        <v>0</v>
      </c>
      <c r="CS1510" s="76"/>
      <c r="CT1510" s="76"/>
      <c r="CU1510" s="56">
        <f>AN1510+AP1510+AR1510+AT1510+AV1510+AX1510+AZ1510+BB1510+BD1510+BF1510+BH1510+BJ1510+BL1510+BN1510+BP1510+BR1510+BT1510+BV1510+BX1510+BZ1510+CB1510+CD1510+CF1510+CH1510+CJ1510+CL1510+CN1510+CP1510+CR1510+CT1510</f>
        <v>0</v>
      </c>
      <c r="CV1510" s="76"/>
      <c r="CW1510" s="76">
        <f>+CV1510*1100</f>
        <v>0</v>
      </c>
      <c r="CX1510" s="76"/>
      <c r="CY1510" s="76">
        <f>+CX1510*106250</f>
        <v>0</v>
      </c>
      <c r="CZ1510" s="76"/>
      <c r="DA1510" s="76">
        <f>+CZ1510*34500</f>
        <v>0</v>
      </c>
      <c r="DB1510" s="76"/>
      <c r="DC1510" s="76">
        <f>+DB1510*25000</f>
        <v>0</v>
      </c>
      <c r="DD1510" s="219"/>
      <c r="DE1510" s="219"/>
      <c r="DF1510" s="166"/>
      <c r="DG1510" s="116"/>
      <c r="DH1510" s="117"/>
      <c r="DI1510" s="24"/>
      <c r="DJ1510" s="24"/>
      <c r="DK1510" s="24"/>
      <c r="DL1510" s="24"/>
      <c r="DM1510" s="24"/>
      <c r="DN1510" s="24"/>
      <c r="DO1510" s="24"/>
      <c r="DP1510" s="24"/>
      <c r="DQ1510" s="24"/>
      <c r="DR1510" s="24"/>
      <c r="DS1510" s="24"/>
      <c r="DT1510" s="24"/>
      <c r="DU1510" s="24"/>
    </row>
    <row r="1511" spans="1:128" s="8" customFormat="1" ht="48" x14ac:dyDescent="0.2">
      <c r="A1511" s="353">
        <v>41382</v>
      </c>
      <c r="B1511" s="225" t="s">
        <v>2894</v>
      </c>
      <c r="C1511" s="227" t="s">
        <v>2074</v>
      </c>
      <c r="D1511" s="75" t="s">
        <v>3051</v>
      </c>
      <c r="E1511" s="75" t="str">
        <f>VLOOKUP(B1511&amp;C1511,Divipola!$C$2:$F$1138,4,FALSE)</f>
        <v>05318</v>
      </c>
      <c r="F1511" s="87"/>
      <c r="G1511" s="87"/>
      <c r="H1511" s="87"/>
      <c r="I1511" s="87">
        <v>10</v>
      </c>
      <c r="J1511" s="87">
        <v>2</v>
      </c>
      <c r="K1511" s="87"/>
      <c r="L1511" s="87">
        <v>2</v>
      </c>
      <c r="M1511" s="87"/>
      <c r="N1511" s="87"/>
      <c r="O1511" s="87"/>
      <c r="P1511" s="87"/>
      <c r="Q1511" s="87"/>
      <c r="R1511" s="87"/>
      <c r="S1511" s="87"/>
      <c r="T1511" s="87"/>
      <c r="U1511" s="88"/>
      <c r="V1511" s="89"/>
      <c r="W1511" s="96">
        <v>0</v>
      </c>
      <c r="X1511" s="71">
        <f>CU1511</f>
        <v>0</v>
      </c>
      <c r="Y1511" s="71">
        <f>CY1511</f>
        <v>0</v>
      </c>
      <c r="Z1511" s="71">
        <f>DA1511+DC1511+DE1511</f>
        <v>0</v>
      </c>
      <c r="AA1511" s="71">
        <f>CW1511</f>
        <v>0</v>
      </c>
      <c r="AB1511" s="71"/>
      <c r="AC1511" s="71">
        <v>0</v>
      </c>
      <c r="AD1511" s="71">
        <f>W1511+X1511+Y1511+Z1511+AA1511+AB1511+AC1511</f>
        <v>0</v>
      </c>
      <c r="AE1511" s="72">
        <v>0</v>
      </c>
      <c r="AF1511" s="5"/>
      <c r="AG1511" s="6"/>
      <c r="AH1511" s="27" t="s">
        <v>3392</v>
      </c>
      <c r="AI1511" s="44" t="s">
        <v>3393</v>
      </c>
      <c r="AJ1511" s="26"/>
      <c r="AK1511" s="5"/>
      <c r="AL1511" s="82" t="s">
        <v>4328</v>
      </c>
      <c r="AM1511" s="76"/>
      <c r="AN1511" s="76"/>
      <c r="AO1511" s="76"/>
      <c r="AP1511" s="76"/>
      <c r="AQ1511" s="76"/>
      <c r="AR1511" s="76"/>
      <c r="AS1511" s="76"/>
      <c r="AT1511" s="76"/>
      <c r="AU1511" s="76"/>
      <c r="AV1511" s="76"/>
      <c r="AW1511" s="76"/>
      <c r="AX1511" s="76">
        <f>+AW1511*600000</f>
        <v>0</v>
      </c>
      <c r="AY1511" s="76"/>
      <c r="AZ1511" s="76">
        <f>+AY1511*70000</f>
        <v>0</v>
      </c>
      <c r="BA1511" s="76"/>
      <c r="BB1511" s="76"/>
      <c r="BC1511" s="76"/>
      <c r="BD1511" s="76">
        <f>+BC1511*30000</f>
        <v>0</v>
      </c>
      <c r="BE1511" s="76"/>
      <c r="BF1511" s="76"/>
      <c r="BG1511" s="76"/>
      <c r="BH1511" s="76"/>
      <c r="BI1511" s="76"/>
      <c r="BJ1511" s="76"/>
      <c r="BK1511" s="76"/>
      <c r="BL1511" s="76">
        <f>+BK1511*31500</f>
        <v>0</v>
      </c>
      <c r="BM1511" s="76"/>
      <c r="BN1511" s="76"/>
      <c r="BO1511" s="76"/>
      <c r="BP1511" s="76"/>
      <c r="BQ1511" s="76"/>
      <c r="BR1511" s="76"/>
      <c r="BS1511" s="76"/>
      <c r="BT1511" s="76"/>
      <c r="BU1511" s="76"/>
      <c r="BV1511" s="76"/>
      <c r="BW1511" s="76"/>
      <c r="BX1511" s="76"/>
      <c r="BY1511" s="76"/>
      <c r="BZ1511" s="76"/>
      <c r="CA1511" s="76"/>
      <c r="CB1511" s="76"/>
      <c r="CC1511" s="76"/>
      <c r="CD1511" s="76"/>
      <c r="CE1511" s="76"/>
      <c r="CF1511" s="76">
        <f>+CE1511*28000</f>
        <v>0</v>
      </c>
      <c r="CG1511" s="76"/>
      <c r="CH1511" s="76">
        <f>+CG1511*22500</f>
        <v>0</v>
      </c>
      <c r="CI1511" s="76"/>
      <c r="CJ1511" s="76">
        <f>+CI1511*26000</f>
        <v>0</v>
      </c>
      <c r="CK1511" s="76"/>
      <c r="CL1511" s="76"/>
      <c r="CM1511" s="76"/>
      <c r="CN1511" s="76">
        <f>+CM1511*22000</f>
        <v>0</v>
      </c>
      <c r="CO1511" s="76"/>
      <c r="CP1511" s="76">
        <f>+CO1511*46000</f>
        <v>0</v>
      </c>
      <c r="CQ1511" s="76"/>
      <c r="CR1511" s="76">
        <f>+CQ1511*49000</f>
        <v>0</v>
      </c>
      <c r="CS1511" s="76"/>
      <c r="CT1511" s="76"/>
      <c r="CU1511" s="56">
        <f>AN1511+AP1511+AR1511+AT1511+AV1511+AX1511+AZ1511+BB1511+BD1511+BF1511+BH1511+BJ1511+BL1511+BN1511+BP1511+BR1511+BT1511+BV1511+BX1511+BZ1511+CB1511+CD1511+CF1511+CH1511+CJ1511+CL1511+CN1511+CP1511+CR1511+CT1511</f>
        <v>0</v>
      </c>
      <c r="CV1511" s="76"/>
      <c r="CW1511" s="76">
        <f>+CV1511*1100</f>
        <v>0</v>
      </c>
      <c r="CX1511" s="76"/>
      <c r="CY1511" s="76">
        <f>+CX1511*106250</f>
        <v>0</v>
      </c>
      <c r="CZ1511" s="76"/>
      <c r="DA1511" s="76">
        <f>+CZ1511*34500</f>
        <v>0</v>
      </c>
      <c r="DB1511" s="76"/>
      <c r="DC1511" s="76">
        <f>+DB1511*25000</f>
        <v>0</v>
      </c>
      <c r="DD1511" s="219"/>
      <c r="DE1511" s="219"/>
      <c r="DF1511" s="166"/>
      <c r="DG1511" s="116"/>
      <c r="DH1511" s="117"/>
      <c r="DI1511" s="24"/>
      <c r="DJ1511" s="24"/>
      <c r="DK1511" s="24"/>
      <c r="DL1511" s="24"/>
      <c r="DM1511" s="24"/>
      <c r="DN1511" s="24"/>
      <c r="DO1511" s="24"/>
      <c r="DP1511" s="24"/>
      <c r="DQ1511" s="24"/>
      <c r="DR1511" s="24"/>
      <c r="DS1511" s="24"/>
      <c r="DT1511" s="24"/>
      <c r="DU1511" s="24"/>
    </row>
    <row r="1512" spans="1:128" s="8" customFormat="1" ht="24" x14ac:dyDescent="0.2">
      <c r="A1512" s="226">
        <v>41382</v>
      </c>
      <c r="B1512" s="225" t="s">
        <v>2700</v>
      </c>
      <c r="C1512" s="227" t="s">
        <v>2217</v>
      </c>
      <c r="D1512" s="75" t="s">
        <v>3051</v>
      </c>
      <c r="E1512" s="75" t="str">
        <f>VLOOKUP(B1512&amp;C1512,Divipola!$C$2:$F$1138,4,FALSE)</f>
        <v>15469</v>
      </c>
      <c r="F1512" s="87"/>
      <c r="G1512" s="87"/>
      <c r="H1512" s="87"/>
      <c r="I1512" s="87"/>
      <c r="J1512" s="87"/>
      <c r="K1512" s="87"/>
      <c r="L1512" s="87"/>
      <c r="M1512" s="87"/>
      <c r="N1512" s="87"/>
      <c r="O1512" s="87"/>
      <c r="P1512" s="87"/>
      <c r="Q1512" s="87"/>
      <c r="R1512" s="87"/>
      <c r="S1512" s="87"/>
      <c r="T1512" s="87"/>
      <c r="U1512" s="88"/>
      <c r="V1512" s="89"/>
      <c r="W1512" s="96">
        <v>0</v>
      </c>
      <c r="X1512" s="71">
        <f>CU1512</f>
        <v>0</v>
      </c>
      <c r="Y1512" s="71">
        <f>CY1512</f>
        <v>0</v>
      </c>
      <c r="Z1512" s="71">
        <f>DA1512+DC1512+DE1512</f>
        <v>0</v>
      </c>
      <c r="AA1512" s="71">
        <f>CW1512</f>
        <v>0</v>
      </c>
      <c r="AB1512" s="71"/>
      <c r="AC1512" s="71">
        <v>0</v>
      </c>
      <c r="AD1512" s="71">
        <f>W1512+X1512+Y1512+Z1512+AA1512+AB1512+AC1512</f>
        <v>0</v>
      </c>
      <c r="AE1512" s="72">
        <v>0</v>
      </c>
      <c r="AF1512" s="5"/>
      <c r="AG1512" s="6"/>
      <c r="AH1512" s="27" t="s">
        <v>3392</v>
      </c>
      <c r="AI1512" s="44" t="s">
        <v>3393</v>
      </c>
      <c r="AJ1512" s="26"/>
      <c r="AK1512" s="5"/>
      <c r="AL1512" s="82" t="s">
        <v>4339</v>
      </c>
      <c r="AM1512" s="76"/>
      <c r="AN1512" s="76"/>
      <c r="AO1512" s="76"/>
      <c r="AP1512" s="76"/>
      <c r="AQ1512" s="76"/>
      <c r="AR1512" s="76"/>
      <c r="AS1512" s="76"/>
      <c r="AT1512" s="76"/>
      <c r="AU1512" s="76"/>
      <c r="AV1512" s="76"/>
      <c r="AW1512" s="76"/>
      <c r="AX1512" s="76">
        <f>+AW1512*600000</f>
        <v>0</v>
      </c>
      <c r="AY1512" s="76"/>
      <c r="AZ1512" s="76">
        <f>+AY1512*70000</f>
        <v>0</v>
      </c>
      <c r="BA1512" s="76"/>
      <c r="BB1512" s="76"/>
      <c r="BC1512" s="76"/>
      <c r="BD1512" s="76">
        <f>+BC1512*30000</f>
        <v>0</v>
      </c>
      <c r="BE1512" s="76"/>
      <c r="BF1512" s="76"/>
      <c r="BG1512" s="76"/>
      <c r="BH1512" s="76"/>
      <c r="BI1512" s="76"/>
      <c r="BJ1512" s="76"/>
      <c r="BK1512" s="76"/>
      <c r="BL1512" s="76">
        <f>+BK1512*31500</f>
        <v>0</v>
      </c>
      <c r="BM1512" s="76"/>
      <c r="BN1512" s="76"/>
      <c r="BO1512" s="76"/>
      <c r="BP1512" s="76"/>
      <c r="BQ1512" s="76"/>
      <c r="BR1512" s="76"/>
      <c r="BS1512" s="76"/>
      <c r="BT1512" s="76"/>
      <c r="BU1512" s="76"/>
      <c r="BV1512" s="76"/>
      <c r="BW1512" s="76"/>
      <c r="BX1512" s="76"/>
      <c r="BY1512" s="76"/>
      <c r="BZ1512" s="76"/>
      <c r="CA1512" s="76"/>
      <c r="CB1512" s="76"/>
      <c r="CC1512" s="76"/>
      <c r="CD1512" s="76"/>
      <c r="CE1512" s="76"/>
      <c r="CF1512" s="76">
        <f>+CE1512*28000</f>
        <v>0</v>
      </c>
      <c r="CG1512" s="76"/>
      <c r="CH1512" s="76">
        <f>+CG1512*22500</f>
        <v>0</v>
      </c>
      <c r="CI1512" s="76"/>
      <c r="CJ1512" s="76">
        <f>+CI1512*26000</f>
        <v>0</v>
      </c>
      <c r="CK1512" s="76"/>
      <c r="CL1512" s="76"/>
      <c r="CM1512" s="76"/>
      <c r="CN1512" s="76">
        <f>+CM1512*22000</f>
        <v>0</v>
      </c>
      <c r="CO1512" s="76"/>
      <c r="CP1512" s="76">
        <f>+CO1512*46000</f>
        <v>0</v>
      </c>
      <c r="CQ1512" s="76"/>
      <c r="CR1512" s="76">
        <f>+CQ1512*49000</f>
        <v>0</v>
      </c>
      <c r="CS1512" s="76"/>
      <c r="CT1512" s="76"/>
      <c r="CU1512" s="56">
        <f>AN1512+AP1512+AR1512+AT1512+AV1512+AX1512+AZ1512+BB1512+BD1512+BF1512+BH1512+BJ1512+BL1512+BN1512+BP1512+BR1512+BT1512+BV1512+BX1512+BZ1512+CB1512+CD1512+CF1512+CH1512+CJ1512+CL1512+CN1512+CP1512+CR1512+CT1512</f>
        <v>0</v>
      </c>
      <c r="CV1512" s="76"/>
      <c r="CW1512" s="76">
        <f>+CV1512*1100</f>
        <v>0</v>
      </c>
      <c r="CX1512" s="76"/>
      <c r="CY1512" s="76">
        <f>+CX1512*106250</f>
        <v>0</v>
      </c>
      <c r="CZ1512" s="76"/>
      <c r="DA1512" s="76">
        <f>+CZ1512*34500</f>
        <v>0</v>
      </c>
      <c r="DB1512" s="76"/>
      <c r="DC1512" s="76">
        <f>+DB1512*25000</f>
        <v>0</v>
      </c>
      <c r="DD1512" s="219"/>
      <c r="DE1512" s="219"/>
      <c r="DF1512" s="166"/>
      <c r="DG1512" s="116"/>
      <c r="DH1512" s="117"/>
      <c r="DI1512" s="24"/>
      <c r="DJ1512" s="24"/>
      <c r="DK1512" s="24"/>
      <c r="DL1512" s="24"/>
      <c r="DM1512" s="24"/>
      <c r="DN1512" s="24"/>
      <c r="DO1512" s="24"/>
      <c r="DP1512" s="24"/>
      <c r="DQ1512" s="24"/>
      <c r="DR1512" s="24"/>
      <c r="DS1512" s="24"/>
      <c r="DT1512" s="24"/>
      <c r="DU1512" s="24"/>
    </row>
    <row r="1513" spans="1:128" s="8" customFormat="1" ht="60" x14ac:dyDescent="0.2">
      <c r="A1513" s="77">
        <v>41382</v>
      </c>
      <c r="B1513" s="208" t="s">
        <v>2854</v>
      </c>
      <c r="C1513" s="227" t="s">
        <v>513</v>
      </c>
      <c r="D1513" s="227" t="s">
        <v>2882</v>
      </c>
      <c r="E1513" s="75" t="str">
        <f>VLOOKUP(B1513&amp;C1513,Divipola!$C$2:$F$1138,4,FALSE)</f>
        <v>19698</v>
      </c>
      <c r="F1513" s="87"/>
      <c r="G1513" s="87"/>
      <c r="H1513" s="87"/>
      <c r="I1513" s="87">
        <v>750</v>
      </c>
      <c r="J1513" s="87">
        <v>150</v>
      </c>
      <c r="K1513" s="87"/>
      <c r="L1513" s="87">
        <v>150</v>
      </c>
      <c r="M1513" s="87"/>
      <c r="N1513" s="87"/>
      <c r="O1513" s="87"/>
      <c r="P1513" s="87"/>
      <c r="Q1513" s="87"/>
      <c r="R1513" s="87"/>
      <c r="S1513" s="87"/>
      <c r="T1513" s="87"/>
      <c r="U1513" s="88"/>
      <c r="V1513" s="89"/>
      <c r="W1513" s="96">
        <v>0</v>
      </c>
      <c r="X1513" s="71">
        <f>CU1513</f>
        <v>0</v>
      </c>
      <c r="Y1513" s="71">
        <f>CY1513</f>
        <v>0</v>
      </c>
      <c r="Z1513" s="71">
        <f>DA1513+DC1513+DE1513</f>
        <v>0</v>
      </c>
      <c r="AA1513" s="71">
        <f>CW1513</f>
        <v>0</v>
      </c>
      <c r="AB1513" s="71"/>
      <c r="AC1513" s="71">
        <v>0</v>
      </c>
      <c r="AD1513" s="71">
        <f>W1513+X1513+Y1513+Z1513+AA1513+AB1513+AC1513</f>
        <v>0</v>
      </c>
      <c r="AE1513" s="72">
        <v>0</v>
      </c>
      <c r="AF1513" s="5"/>
      <c r="AG1513" s="6"/>
      <c r="AH1513" s="27" t="s">
        <v>3392</v>
      </c>
      <c r="AI1513" s="44" t="s">
        <v>3393</v>
      </c>
      <c r="AJ1513" s="26"/>
      <c r="AK1513" s="5"/>
      <c r="AL1513" s="82" t="s">
        <v>4310</v>
      </c>
      <c r="AM1513" s="76"/>
      <c r="AN1513" s="76"/>
      <c r="AO1513" s="76"/>
      <c r="AP1513" s="76"/>
      <c r="AQ1513" s="76"/>
      <c r="AR1513" s="76"/>
      <c r="AS1513" s="76"/>
      <c r="AT1513" s="76"/>
      <c r="AU1513" s="76"/>
      <c r="AV1513" s="76"/>
      <c r="AW1513" s="76"/>
      <c r="AX1513" s="76">
        <f>+AW1513*600000</f>
        <v>0</v>
      </c>
      <c r="AY1513" s="76"/>
      <c r="AZ1513" s="76">
        <f>+AY1513*70000</f>
        <v>0</v>
      </c>
      <c r="BA1513" s="76"/>
      <c r="BB1513" s="76"/>
      <c r="BC1513" s="76"/>
      <c r="BD1513" s="76">
        <f>+BC1513*30000</f>
        <v>0</v>
      </c>
      <c r="BE1513" s="76"/>
      <c r="BF1513" s="76"/>
      <c r="BG1513" s="76"/>
      <c r="BH1513" s="76"/>
      <c r="BI1513" s="76"/>
      <c r="BJ1513" s="76"/>
      <c r="BK1513" s="76"/>
      <c r="BL1513" s="76">
        <f>+BK1513*31500</f>
        <v>0</v>
      </c>
      <c r="BM1513" s="76"/>
      <c r="BN1513" s="76"/>
      <c r="BO1513" s="76"/>
      <c r="BP1513" s="76"/>
      <c r="BQ1513" s="76"/>
      <c r="BR1513" s="76"/>
      <c r="BS1513" s="76"/>
      <c r="BT1513" s="76"/>
      <c r="BU1513" s="76"/>
      <c r="BV1513" s="76"/>
      <c r="BW1513" s="76"/>
      <c r="BX1513" s="76"/>
      <c r="BY1513" s="76"/>
      <c r="BZ1513" s="76"/>
      <c r="CA1513" s="76"/>
      <c r="CB1513" s="76"/>
      <c r="CC1513" s="76"/>
      <c r="CD1513" s="76"/>
      <c r="CE1513" s="76"/>
      <c r="CF1513" s="76">
        <f>+CE1513*28000</f>
        <v>0</v>
      </c>
      <c r="CG1513" s="76"/>
      <c r="CH1513" s="76">
        <f>+CG1513*22500</f>
        <v>0</v>
      </c>
      <c r="CI1513" s="76"/>
      <c r="CJ1513" s="76">
        <f>+CI1513*26000</f>
        <v>0</v>
      </c>
      <c r="CK1513" s="76"/>
      <c r="CL1513" s="76"/>
      <c r="CM1513" s="76"/>
      <c r="CN1513" s="76">
        <f>+CM1513*22000</f>
        <v>0</v>
      </c>
      <c r="CO1513" s="76"/>
      <c r="CP1513" s="76">
        <f>+CO1513*46000</f>
        <v>0</v>
      </c>
      <c r="CQ1513" s="76"/>
      <c r="CR1513" s="76">
        <f>+CQ1513*49000</f>
        <v>0</v>
      </c>
      <c r="CS1513" s="76"/>
      <c r="CT1513" s="76"/>
      <c r="CU1513" s="56">
        <f>AN1513+AP1513+AR1513+AT1513+AV1513+AX1513+AZ1513+BB1513+BD1513+BF1513+BH1513+BJ1513+BL1513+BN1513+BP1513+BR1513+BT1513+BV1513+BX1513+BZ1513+CB1513+CD1513+CF1513+CH1513+CJ1513+CL1513+CN1513+CP1513+CR1513+CT1513</f>
        <v>0</v>
      </c>
      <c r="CV1513" s="76"/>
      <c r="CW1513" s="76">
        <f>+CV1513*1100</f>
        <v>0</v>
      </c>
      <c r="CX1513" s="76"/>
      <c r="CY1513" s="76">
        <f>+CX1513*106250</f>
        <v>0</v>
      </c>
      <c r="CZ1513" s="76"/>
      <c r="DA1513" s="76">
        <f>+CZ1513*34500</f>
        <v>0</v>
      </c>
      <c r="DB1513" s="76"/>
      <c r="DC1513" s="76">
        <f>+DB1513*25000</f>
        <v>0</v>
      </c>
      <c r="DD1513" s="219"/>
      <c r="DE1513" s="219"/>
      <c r="DF1513" s="166"/>
      <c r="DG1513" s="116"/>
      <c r="DH1513" s="117"/>
      <c r="DI1513" s="24"/>
      <c r="DJ1513" s="24"/>
      <c r="DK1513" s="24"/>
      <c r="DL1513" s="24"/>
      <c r="DM1513" s="24"/>
      <c r="DN1513" s="24"/>
      <c r="DO1513" s="24"/>
      <c r="DP1513" s="24"/>
      <c r="DQ1513" s="24"/>
      <c r="DR1513" s="24"/>
      <c r="DS1513" s="24"/>
      <c r="DT1513" s="24"/>
      <c r="DU1513" s="24"/>
    </row>
    <row r="1514" spans="1:128" s="8" customFormat="1" ht="72" x14ac:dyDescent="0.2">
      <c r="A1514" s="97">
        <v>41382</v>
      </c>
      <c r="B1514" s="60" t="s">
        <v>2772</v>
      </c>
      <c r="C1514" s="55" t="s">
        <v>1331</v>
      </c>
      <c r="D1514" s="75" t="s">
        <v>3051</v>
      </c>
      <c r="E1514" s="75" t="str">
        <f>VLOOKUP(B1514&amp;C1514,Divipola!$C$2:$F$1138,4,FALSE)</f>
        <v>25214</v>
      </c>
      <c r="F1514" s="87"/>
      <c r="G1514" s="87"/>
      <c r="H1514" s="87"/>
      <c r="I1514" s="87">
        <v>500</v>
      </c>
      <c r="J1514" s="87">
        <v>100</v>
      </c>
      <c r="K1514" s="87"/>
      <c r="L1514" s="87">
        <v>100</v>
      </c>
      <c r="M1514" s="87"/>
      <c r="N1514" s="87"/>
      <c r="O1514" s="87"/>
      <c r="P1514" s="87"/>
      <c r="Q1514" s="87"/>
      <c r="R1514" s="87">
        <v>1</v>
      </c>
      <c r="S1514" s="87">
        <v>5</v>
      </c>
      <c r="T1514" s="87"/>
      <c r="U1514" s="88"/>
      <c r="V1514" s="89"/>
      <c r="W1514" s="96">
        <v>0</v>
      </c>
      <c r="X1514" s="71">
        <f>CU1514</f>
        <v>0</v>
      </c>
      <c r="Y1514" s="71">
        <f>CY1514</f>
        <v>0</v>
      </c>
      <c r="Z1514" s="71">
        <f>DA1514+DC1514+DE1514</f>
        <v>0</v>
      </c>
      <c r="AA1514" s="71">
        <f>CW1514</f>
        <v>0</v>
      </c>
      <c r="AB1514" s="71"/>
      <c r="AC1514" s="71">
        <v>0</v>
      </c>
      <c r="AD1514" s="71">
        <f>W1514+X1514+Y1514+Z1514+AA1514+AB1514+AC1514</f>
        <v>0</v>
      </c>
      <c r="AE1514" s="72">
        <v>0</v>
      </c>
      <c r="AF1514" s="5"/>
      <c r="AG1514" s="6"/>
      <c r="AH1514" s="27" t="s">
        <v>3392</v>
      </c>
      <c r="AI1514" s="44" t="s">
        <v>3393</v>
      </c>
      <c r="AJ1514" s="26"/>
      <c r="AK1514" s="5"/>
      <c r="AL1514" s="82" t="s">
        <v>4360</v>
      </c>
      <c r="AM1514" s="76"/>
      <c r="AN1514" s="76"/>
      <c r="AO1514" s="76"/>
      <c r="AP1514" s="76"/>
      <c r="AQ1514" s="76"/>
      <c r="AR1514" s="76"/>
      <c r="AS1514" s="76"/>
      <c r="AT1514" s="76"/>
      <c r="AU1514" s="76"/>
      <c r="AV1514" s="76"/>
      <c r="AW1514" s="76"/>
      <c r="AX1514" s="76">
        <f>+AW1514*600000</f>
        <v>0</v>
      </c>
      <c r="AY1514" s="76"/>
      <c r="AZ1514" s="76">
        <f>+AY1514*70000</f>
        <v>0</v>
      </c>
      <c r="BA1514" s="76"/>
      <c r="BB1514" s="76"/>
      <c r="BC1514" s="76"/>
      <c r="BD1514" s="76">
        <f>+BC1514*30000</f>
        <v>0</v>
      </c>
      <c r="BE1514" s="76"/>
      <c r="BF1514" s="76"/>
      <c r="BG1514" s="76"/>
      <c r="BH1514" s="76"/>
      <c r="BI1514" s="76"/>
      <c r="BJ1514" s="76"/>
      <c r="BK1514" s="76"/>
      <c r="BL1514" s="76">
        <f>+BK1514*31500</f>
        <v>0</v>
      </c>
      <c r="BM1514" s="76"/>
      <c r="BN1514" s="76"/>
      <c r="BO1514" s="76"/>
      <c r="BP1514" s="76"/>
      <c r="BQ1514" s="76"/>
      <c r="BR1514" s="76"/>
      <c r="BS1514" s="76"/>
      <c r="BT1514" s="76"/>
      <c r="BU1514" s="76"/>
      <c r="BV1514" s="76"/>
      <c r="BW1514" s="76"/>
      <c r="BX1514" s="76"/>
      <c r="BY1514" s="76"/>
      <c r="BZ1514" s="76"/>
      <c r="CA1514" s="76"/>
      <c r="CB1514" s="76"/>
      <c r="CC1514" s="76"/>
      <c r="CD1514" s="76"/>
      <c r="CE1514" s="76"/>
      <c r="CF1514" s="76">
        <f>+CE1514*28000</f>
        <v>0</v>
      </c>
      <c r="CG1514" s="76"/>
      <c r="CH1514" s="76">
        <f>+CG1514*22500</f>
        <v>0</v>
      </c>
      <c r="CI1514" s="76"/>
      <c r="CJ1514" s="76">
        <f>+CI1514*26000</f>
        <v>0</v>
      </c>
      <c r="CK1514" s="76"/>
      <c r="CL1514" s="76"/>
      <c r="CM1514" s="76"/>
      <c r="CN1514" s="76">
        <f>+CM1514*22000</f>
        <v>0</v>
      </c>
      <c r="CO1514" s="76"/>
      <c r="CP1514" s="76">
        <f>+CO1514*46000</f>
        <v>0</v>
      </c>
      <c r="CQ1514" s="76"/>
      <c r="CR1514" s="76">
        <f>+CQ1514*49000</f>
        <v>0</v>
      </c>
      <c r="CS1514" s="76"/>
      <c r="CT1514" s="76"/>
      <c r="CU1514" s="56">
        <f>AN1514+AP1514+AR1514+AT1514+AV1514+AX1514+AZ1514+BB1514+BD1514+BF1514+BH1514+BJ1514+BL1514+BN1514+BP1514+BR1514+BT1514+BV1514+BX1514+BZ1514+CB1514+CD1514+CF1514+CH1514+CJ1514+CL1514+CN1514+CP1514+CR1514+CT1514</f>
        <v>0</v>
      </c>
      <c r="CV1514" s="76"/>
      <c r="CW1514" s="76">
        <f>+CV1514*1100</f>
        <v>0</v>
      </c>
      <c r="CX1514" s="76"/>
      <c r="CY1514" s="76">
        <f>+CX1514*106250</f>
        <v>0</v>
      </c>
      <c r="CZ1514" s="76"/>
      <c r="DA1514" s="76">
        <f>+CZ1514*34500</f>
        <v>0</v>
      </c>
      <c r="DB1514" s="76"/>
      <c r="DC1514" s="76">
        <f>+DB1514*25000</f>
        <v>0</v>
      </c>
      <c r="DD1514" s="219"/>
      <c r="DE1514" s="219"/>
      <c r="DF1514" s="166"/>
      <c r="DG1514" s="116"/>
      <c r="DH1514" s="117"/>
      <c r="DI1514" s="24"/>
      <c r="DJ1514" s="24"/>
      <c r="DK1514" s="24"/>
      <c r="DL1514" s="24"/>
      <c r="DM1514" s="24"/>
      <c r="DN1514" s="24"/>
      <c r="DO1514" s="24"/>
      <c r="DP1514" s="24"/>
      <c r="DQ1514" s="24"/>
      <c r="DR1514" s="24"/>
      <c r="DS1514" s="24"/>
      <c r="DT1514" s="24"/>
      <c r="DU1514" s="24"/>
    </row>
    <row r="1515" spans="1:128" s="8" customFormat="1" ht="72" x14ac:dyDescent="0.2">
      <c r="A1515" s="353">
        <v>41382</v>
      </c>
      <c r="B1515" s="352" t="s">
        <v>2772</v>
      </c>
      <c r="C1515" s="354" t="s">
        <v>1335</v>
      </c>
      <c r="D1515" s="81" t="s">
        <v>2846</v>
      </c>
      <c r="E1515" s="75" t="str">
        <f>VLOOKUP(B1515&amp;C1515,Divipola!$C$2:$F$1138,4,FALSE)</f>
        <v>25322</v>
      </c>
      <c r="F1515" s="87"/>
      <c r="G1515" s="87"/>
      <c r="H1515" s="87"/>
      <c r="I1515" s="87"/>
      <c r="J1515" s="87"/>
      <c r="K1515" s="87"/>
      <c r="L1515" s="87"/>
      <c r="M1515" s="87"/>
      <c r="N1515" s="87"/>
      <c r="O1515" s="87"/>
      <c r="P1515" s="87"/>
      <c r="Q1515" s="87"/>
      <c r="R1515" s="87"/>
      <c r="S1515" s="87"/>
      <c r="T1515" s="87"/>
      <c r="U1515" s="88">
        <v>6</v>
      </c>
      <c r="V1515" s="89"/>
      <c r="W1515" s="96">
        <v>0</v>
      </c>
      <c r="X1515" s="71">
        <f>CU1515</f>
        <v>0</v>
      </c>
      <c r="Y1515" s="71">
        <f>CY1515</f>
        <v>0</v>
      </c>
      <c r="Z1515" s="71">
        <f>DA1515+DC1515+DE1515</f>
        <v>0</v>
      </c>
      <c r="AA1515" s="71">
        <f>CW1515</f>
        <v>0</v>
      </c>
      <c r="AB1515" s="71"/>
      <c r="AC1515" s="71">
        <v>0</v>
      </c>
      <c r="AD1515" s="71">
        <f>W1515+X1515+Y1515+Z1515+AA1515+AB1515+AC1515</f>
        <v>0</v>
      </c>
      <c r="AE1515" s="72">
        <v>0</v>
      </c>
      <c r="AF1515" s="5"/>
      <c r="AG1515" s="6"/>
      <c r="AH1515" s="27" t="s">
        <v>3392</v>
      </c>
      <c r="AI1515" s="44" t="s">
        <v>3393</v>
      </c>
      <c r="AJ1515" s="26"/>
      <c r="AK1515" s="5"/>
      <c r="AL1515" s="82" t="s">
        <v>4325</v>
      </c>
      <c r="AM1515" s="76"/>
      <c r="AN1515" s="76"/>
      <c r="AO1515" s="76"/>
      <c r="AP1515" s="76"/>
      <c r="AQ1515" s="76"/>
      <c r="AR1515" s="76"/>
      <c r="AS1515" s="76"/>
      <c r="AT1515" s="76"/>
      <c r="AU1515" s="76"/>
      <c r="AV1515" s="76"/>
      <c r="AW1515" s="76"/>
      <c r="AX1515" s="76">
        <f>+AW1515*600000</f>
        <v>0</v>
      </c>
      <c r="AY1515" s="76"/>
      <c r="AZ1515" s="76">
        <f>+AY1515*70000</f>
        <v>0</v>
      </c>
      <c r="BA1515" s="76"/>
      <c r="BB1515" s="76"/>
      <c r="BC1515" s="76"/>
      <c r="BD1515" s="76">
        <f>+BC1515*30000</f>
        <v>0</v>
      </c>
      <c r="BE1515" s="76"/>
      <c r="BF1515" s="76"/>
      <c r="BG1515" s="76"/>
      <c r="BH1515" s="76"/>
      <c r="BI1515" s="76"/>
      <c r="BJ1515" s="76"/>
      <c r="BK1515" s="76"/>
      <c r="BL1515" s="76">
        <f>+BK1515*31500</f>
        <v>0</v>
      </c>
      <c r="BM1515" s="76"/>
      <c r="BN1515" s="76"/>
      <c r="BO1515" s="76"/>
      <c r="BP1515" s="76"/>
      <c r="BQ1515" s="76"/>
      <c r="BR1515" s="76"/>
      <c r="BS1515" s="76"/>
      <c r="BT1515" s="76"/>
      <c r="BU1515" s="76"/>
      <c r="BV1515" s="76"/>
      <c r="BW1515" s="76"/>
      <c r="BX1515" s="76"/>
      <c r="BY1515" s="76"/>
      <c r="BZ1515" s="76"/>
      <c r="CA1515" s="76"/>
      <c r="CB1515" s="76"/>
      <c r="CC1515" s="76"/>
      <c r="CD1515" s="76"/>
      <c r="CE1515" s="76"/>
      <c r="CF1515" s="76">
        <f>+CE1515*28000</f>
        <v>0</v>
      </c>
      <c r="CG1515" s="76"/>
      <c r="CH1515" s="76">
        <f>+CG1515*22500</f>
        <v>0</v>
      </c>
      <c r="CI1515" s="76"/>
      <c r="CJ1515" s="76">
        <f>+CI1515*26000</f>
        <v>0</v>
      </c>
      <c r="CK1515" s="76"/>
      <c r="CL1515" s="76"/>
      <c r="CM1515" s="76"/>
      <c r="CN1515" s="76">
        <f>+CM1515*22000</f>
        <v>0</v>
      </c>
      <c r="CO1515" s="76"/>
      <c r="CP1515" s="76">
        <f>+CO1515*46000</f>
        <v>0</v>
      </c>
      <c r="CQ1515" s="76"/>
      <c r="CR1515" s="76">
        <f>+CQ1515*49000</f>
        <v>0</v>
      </c>
      <c r="CS1515" s="76"/>
      <c r="CT1515" s="76"/>
      <c r="CU1515" s="56">
        <f>AN1515+AP1515+AR1515+AT1515+AV1515+AX1515+AZ1515+BB1515+BD1515+BF1515+BH1515+BJ1515+BL1515+BN1515+BP1515+BR1515+BT1515+BV1515+BX1515+BZ1515+CB1515+CD1515+CF1515+CH1515+CJ1515+CL1515+CN1515+CP1515+CR1515+CT1515</f>
        <v>0</v>
      </c>
      <c r="CV1515" s="76"/>
      <c r="CW1515" s="76">
        <f>+CV1515*1100</f>
        <v>0</v>
      </c>
      <c r="CX1515" s="76"/>
      <c r="CY1515" s="76">
        <f>+CX1515*106250</f>
        <v>0</v>
      </c>
      <c r="CZ1515" s="76"/>
      <c r="DA1515" s="76">
        <f>+CZ1515*34500</f>
        <v>0</v>
      </c>
      <c r="DB1515" s="76"/>
      <c r="DC1515" s="76">
        <f>+DB1515*25000</f>
        <v>0</v>
      </c>
      <c r="DD1515" s="219"/>
      <c r="DE1515" s="219"/>
      <c r="DF1515" s="166"/>
      <c r="DG1515" s="116"/>
      <c r="DH1515" s="117"/>
      <c r="DI1515" s="24"/>
      <c r="DJ1515" s="24"/>
      <c r="DK1515" s="24"/>
      <c r="DL1515" s="24"/>
      <c r="DM1515" s="24"/>
      <c r="DN1515" s="24"/>
      <c r="DO1515" s="24"/>
      <c r="DP1515" s="24"/>
      <c r="DQ1515" s="24"/>
      <c r="DR1515" s="24"/>
      <c r="DS1515" s="24"/>
      <c r="DT1515" s="24"/>
      <c r="DU1515" s="24"/>
    </row>
    <row r="1516" spans="1:128" s="8" customFormat="1" ht="72" x14ac:dyDescent="0.2">
      <c r="A1516" s="226">
        <v>41382</v>
      </c>
      <c r="B1516" s="225" t="s">
        <v>2772</v>
      </c>
      <c r="C1516" s="227" t="s">
        <v>1133</v>
      </c>
      <c r="D1516" s="227" t="s">
        <v>2882</v>
      </c>
      <c r="E1516" s="75" t="str">
        <f>VLOOKUP(B1516&amp;C1516,Divipola!$C$2:$F$1138,4,FALSE)</f>
        <v>25535</v>
      </c>
      <c r="F1516" s="87"/>
      <c r="G1516" s="87"/>
      <c r="H1516" s="87"/>
      <c r="I1516" s="87">
        <v>10</v>
      </c>
      <c r="J1516" s="87">
        <v>2</v>
      </c>
      <c r="K1516" s="87"/>
      <c r="L1516" s="87">
        <v>2</v>
      </c>
      <c r="M1516" s="87"/>
      <c r="N1516" s="87"/>
      <c r="O1516" s="87"/>
      <c r="P1516" s="87"/>
      <c r="Q1516" s="87"/>
      <c r="R1516" s="87"/>
      <c r="S1516" s="87"/>
      <c r="T1516" s="87"/>
      <c r="U1516" s="88"/>
      <c r="V1516" s="89"/>
      <c r="W1516" s="96">
        <v>0</v>
      </c>
      <c r="X1516" s="71">
        <f>CU1516</f>
        <v>0</v>
      </c>
      <c r="Y1516" s="71">
        <f>CY1516</f>
        <v>0</v>
      </c>
      <c r="Z1516" s="71">
        <f>DA1516+DC1516+DE1516</f>
        <v>0</v>
      </c>
      <c r="AA1516" s="71">
        <f>CW1516</f>
        <v>0</v>
      </c>
      <c r="AB1516" s="71"/>
      <c r="AC1516" s="71">
        <v>0</v>
      </c>
      <c r="AD1516" s="71">
        <f>W1516+X1516+Y1516+Z1516+AA1516+AB1516+AC1516</f>
        <v>0</v>
      </c>
      <c r="AE1516" s="72">
        <v>0</v>
      </c>
      <c r="AF1516" s="5"/>
      <c r="AG1516" s="6"/>
      <c r="AH1516" s="27" t="s">
        <v>3392</v>
      </c>
      <c r="AI1516" s="44" t="s">
        <v>3393</v>
      </c>
      <c r="AJ1516" s="26"/>
      <c r="AK1516" s="5"/>
      <c r="AL1516" s="82" t="s">
        <v>4400</v>
      </c>
      <c r="AM1516" s="76"/>
      <c r="AN1516" s="76"/>
      <c r="AO1516" s="76"/>
      <c r="AP1516" s="76"/>
      <c r="AQ1516" s="76"/>
      <c r="AR1516" s="76"/>
      <c r="AS1516" s="76"/>
      <c r="AT1516" s="76"/>
      <c r="AU1516" s="76"/>
      <c r="AV1516" s="76"/>
      <c r="AW1516" s="76"/>
      <c r="AX1516" s="76">
        <f>+AW1516*600000</f>
        <v>0</v>
      </c>
      <c r="AY1516" s="76"/>
      <c r="AZ1516" s="76">
        <f>+AY1516*70000</f>
        <v>0</v>
      </c>
      <c r="BA1516" s="76"/>
      <c r="BB1516" s="76"/>
      <c r="BC1516" s="76"/>
      <c r="BD1516" s="76">
        <f>+BC1516*30000</f>
        <v>0</v>
      </c>
      <c r="BE1516" s="76"/>
      <c r="BF1516" s="76"/>
      <c r="BG1516" s="76"/>
      <c r="BH1516" s="76"/>
      <c r="BI1516" s="76"/>
      <c r="BJ1516" s="76"/>
      <c r="BK1516" s="76"/>
      <c r="BL1516" s="76">
        <f>+BK1516*31500</f>
        <v>0</v>
      </c>
      <c r="BM1516" s="76"/>
      <c r="BN1516" s="76"/>
      <c r="BO1516" s="76"/>
      <c r="BP1516" s="76"/>
      <c r="BQ1516" s="76"/>
      <c r="BR1516" s="76"/>
      <c r="BS1516" s="76"/>
      <c r="BT1516" s="76"/>
      <c r="BU1516" s="76"/>
      <c r="BV1516" s="76"/>
      <c r="BW1516" s="76"/>
      <c r="BX1516" s="76"/>
      <c r="BY1516" s="76"/>
      <c r="BZ1516" s="76"/>
      <c r="CA1516" s="76"/>
      <c r="CB1516" s="76"/>
      <c r="CC1516" s="76"/>
      <c r="CD1516" s="76"/>
      <c r="CE1516" s="76"/>
      <c r="CF1516" s="76">
        <f>+CE1516*28000</f>
        <v>0</v>
      </c>
      <c r="CG1516" s="76"/>
      <c r="CH1516" s="76">
        <f>+CG1516*22500</f>
        <v>0</v>
      </c>
      <c r="CI1516" s="76"/>
      <c r="CJ1516" s="76">
        <f>+CI1516*26000</f>
        <v>0</v>
      </c>
      <c r="CK1516" s="76"/>
      <c r="CL1516" s="76"/>
      <c r="CM1516" s="76"/>
      <c r="CN1516" s="76">
        <f>+CM1516*22000</f>
        <v>0</v>
      </c>
      <c r="CO1516" s="76"/>
      <c r="CP1516" s="76">
        <f>+CO1516*46000</f>
        <v>0</v>
      </c>
      <c r="CQ1516" s="76"/>
      <c r="CR1516" s="76">
        <f>+CQ1516*49000</f>
        <v>0</v>
      </c>
      <c r="CS1516" s="76"/>
      <c r="CT1516" s="76"/>
      <c r="CU1516" s="56">
        <f>AN1516+AP1516+AR1516+AT1516+AV1516+AX1516+AZ1516+BB1516+BD1516+BF1516+BH1516+BJ1516+BL1516+BN1516+BP1516+BR1516+BT1516+BV1516+BX1516+BZ1516+CB1516+CD1516+CF1516+CH1516+CJ1516+CL1516+CN1516+CP1516+CR1516+CT1516</f>
        <v>0</v>
      </c>
      <c r="CV1516" s="76"/>
      <c r="CW1516" s="76">
        <f>+CV1516*1100</f>
        <v>0</v>
      </c>
      <c r="CX1516" s="76"/>
      <c r="CY1516" s="76">
        <f>+CX1516*106250</f>
        <v>0</v>
      </c>
      <c r="CZ1516" s="76"/>
      <c r="DA1516" s="76">
        <f>+CZ1516*34500</f>
        <v>0</v>
      </c>
      <c r="DB1516" s="76"/>
      <c r="DC1516" s="76">
        <f>+DB1516*25000</f>
        <v>0</v>
      </c>
      <c r="DD1516" s="219"/>
      <c r="DE1516" s="219"/>
      <c r="DF1516" s="166"/>
      <c r="DG1516" s="116"/>
      <c r="DH1516" s="117"/>
      <c r="DI1516" s="24"/>
      <c r="DJ1516" s="24"/>
      <c r="DK1516" s="24"/>
      <c r="DL1516" s="24"/>
      <c r="DM1516" s="24"/>
      <c r="DN1516" s="24"/>
      <c r="DO1516" s="24"/>
      <c r="DP1516" s="24"/>
      <c r="DQ1516" s="24"/>
      <c r="DR1516" s="24"/>
      <c r="DS1516" s="24"/>
      <c r="DT1516" s="24"/>
      <c r="DU1516" s="24"/>
    </row>
    <row r="1517" spans="1:128" s="175" customFormat="1" ht="168" x14ac:dyDescent="0.2">
      <c r="A1517" s="353">
        <v>41382</v>
      </c>
      <c r="B1517" s="225" t="s">
        <v>2811</v>
      </c>
      <c r="C1517" s="227" t="s">
        <v>177</v>
      </c>
      <c r="D1517" s="227" t="s">
        <v>2882</v>
      </c>
      <c r="E1517" s="75" t="str">
        <f>VLOOKUP(B1517&amp;C1517,Divipola!$C$2:$F$1138,4,FALSE)</f>
        <v>52390</v>
      </c>
      <c r="F1517" s="87"/>
      <c r="G1517" s="87"/>
      <c r="H1517" s="87"/>
      <c r="I1517" s="87">
        <f>49+33+7+11+67+61+11+18</f>
        <v>257</v>
      </c>
      <c r="J1517" s="87">
        <v>68</v>
      </c>
      <c r="K1517" s="87"/>
      <c r="L1517" s="87">
        <v>68</v>
      </c>
      <c r="M1517" s="87"/>
      <c r="N1517" s="87"/>
      <c r="O1517" s="87"/>
      <c r="P1517" s="87"/>
      <c r="Q1517" s="87"/>
      <c r="R1517" s="87">
        <v>1</v>
      </c>
      <c r="S1517" s="87">
        <v>1</v>
      </c>
      <c r="T1517" s="87"/>
      <c r="U1517" s="88"/>
      <c r="V1517" s="89"/>
      <c r="W1517" s="96">
        <v>0</v>
      </c>
      <c r="X1517" s="71">
        <f>CU1517</f>
        <v>0</v>
      </c>
      <c r="Y1517" s="71">
        <f>CY1517</f>
        <v>0</v>
      </c>
      <c r="Z1517" s="71">
        <f>DA1517+DC1517+DE1517</f>
        <v>38090326.080000006</v>
      </c>
      <c r="AA1517" s="71">
        <f>CW1517</f>
        <v>0</v>
      </c>
      <c r="AB1517" s="71"/>
      <c r="AC1517" s="71">
        <v>0</v>
      </c>
      <c r="AD1517" s="71">
        <f>W1517+X1517+Y1517+Z1517+AA1517+AB1517+AC1517</f>
        <v>38090326.080000006</v>
      </c>
      <c r="AE1517" s="72">
        <v>0</v>
      </c>
      <c r="AF1517" s="5"/>
      <c r="AG1517" s="6"/>
      <c r="AH1517" s="27" t="s">
        <v>3390</v>
      </c>
      <c r="AI1517" s="44" t="s">
        <v>3391</v>
      </c>
      <c r="AJ1517" s="26"/>
      <c r="AK1517" s="5"/>
      <c r="AL1517" s="82" t="s">
        <v>4332</v>
      </c>
      <c r="AM1517" s="76"/>
      <c r="AN1517" s="76"/>
      <c r="AO1517" s="76"/>
      <c r="AP1517" s="76"/>
      <c r="AQ1517" s="76"/>
      <c r="AR1517" s="76"/>
      <c r="AS1517" s="76"/>
      <c r="AT1517" s="76"/>
      <c r="AU1517" s="76"/>
      <c r="AV1517" s="76"/>
      <c r="AW1517" s="76"/>
      <c r="AX1517" s="76">
        <f>+AW1517*600000</f>
        <v>0</v>
      </c>
      <c r="AY1517" s="76"/>
      <c r="AZ1517" s="76">
        <f>+AY1517*70000</f>
        <v>0</v>
      </c>
      <c r="BA1517" s="76"/>
      <c r="BB1517" s="76"/>
      <c r="BC1517" s="76"/>
      <c r="BD1517" s="76">
        <f>+BC1517*30000</f>
        <v>0</v>
      </c>
      <c r="BE1517" s="76"/>
      <c r="BF1517" s="76"/>
      <c r="BG1517" s="76"/>
      <c r="BH1517" s="76"/>
      <c r="BI1517" s="76"/>
      <c r="BJ1517" s="76"/>
      <c r="BK1517" s="76"/>
      <c r="BL1517" s="76">
        <f>+BK1517*31500</f>
        <v>0</v>
      </c>
      <c r="BM1517" s="76"/>
      <c r="BN1517" s="76"/>
      <c r="BO1517" s="76"/>
      <c r="BP1517" s="76"/>
      <c r="BQ1517" s="76"/>
      <c r="BR1517" s="76"/>
      <c r="BS1517" s="76"/>
      <c r="BT1517" s="76"/>
      <c r="BU1517" s="76"/>
      <c r="BV1517" s="76"/>
      <c r="BW1517" s="76"/>
      <c r="BX1517" s="76"/>
      <c r="BY1517" s="76"/>
      <c r="BZ1517" s="76"/>
      <c r="CA1517" s="76"/>
      <c r="CB1517" s="76"/>
      <c r="CC1517" s="76"/>
      <c r="CD1517" s="76"/>
      <c r="CE1517" s="76"/>
      <c r="CF1517" s="76">
        <f>+CE1517*28000</f>
        <v>0</v>
      </c>
      <c r="CG1517" s="76"/>
      <c r="CH1517" s="76">
        <f>+CG1517*22500</f>
        <v>0</v>
      </c>
      <c r="CI1517" s="76"/>
      <c r="CJ1517" s="76">
        <f>+CI1517*26000</f>
        <v>0</v>
      </c>
      <c r="CK1517" s="76"/>
      <c r="CL1517" s="76"/>
      <c r="CM1517" s="76"/>
      <c r="CN1517" s="76">
        <f>+CM1517*22000</f>
        <v>0</v>
      </c>
      <c r="CO1517" s="76"/>
      <c r="CP1517" s="76">
        <f>+CO1517*46000</f>
        <v>0</v>
      </c>
      <c r="CQ1517" s="76"/>
      <c r="CR1517" s="76">
        <f>+CQ1517*49000</f>
        <v>0</v>
      </c>
      <c r="CS1517" s="76"/>
      <c r="CT1517" s="76"/>
      <c r="CU1517" s="56">
        <f>AN1517+AP1517+AR1517+AT1517+AV1517+AX1517+AZ1517+BB1517+BD1517+BF1517+BH1517+BJ1517+BL1517+BN1517+BP1517+BR1517+BT1517+BV1517+BX1517+BZ1517+CB1517+CD1517+CF1517+CH1517+CJ1517+CL1517+CN1517+CP1517+CR1517+CT1517</f>
        <v>0</v>
      </c>
      <c r="CV1517" s="76"/>
      <c r="CW1517" s="76">
        <f>+CV1517*1100</f>
        <v>0</v>
      </c>
      <c r="CX1517" s="76"/>
      <c r="CY1517" s="76">
        <f>+CX1517*106250</f>
        <v>0</v>
      </c>
      <c r="CZ1517" s="76"/>
      <c r="DA1517" s="76">
        <f>+CZ1517*34500</f>
        <v>0</v>
      </c>
      <c r="DB1517" s="86">
        <v>1236</v>
      </c>
      <c r="DC1517" s="86">
        <f>816*29000+420*31999.76+4944*199.52</f>
        <v>38090326.080000006</v>
      </c>
      <c r="DD1517" s="219"/>
      <c r="DE1517" s="219"/>
      <c r="DF1517" s="166"/>
      <c r="DG1517" s="134" t="s">
        <v>5164</v>
      </c>
      <c r="DH1517" s="117"/>
      <c r="DI1517" s="24"/>
      <c r="DJ1517" s="24"/>
      <c r="DK1517" s="24"/>
      <c r="DL1517" s="24"/>
      <c r="DM1517" s="24"/>
      <c r="DN1517" s="24"/>
      <c r="DO1517" s="24"/>
      <c r="DP1517" s="24"/>
      <c r="DQ1517" s="24"/>
      <c r="DR1517" s="24"/>
      <c r="DS1517" s="24"/>
      <c r="DT1517" s="24"/>
      <c r="DU1517" s="24"/>
      <c r="DV1517" s="8"/>
      <c r="DW1517" s="8"/>
      <c r="DX1517" s="8"/>
    </row>
    <row r="1518" spans="1:128" s="8" customFormat="1" ht="48" x14ac:dyDescent="0.2">
      <c r="A1518" s="77">
        <v>41382</v>
      </c>
      <c r="B1518" s="208" t="s">
        <v>2811</v>
      </c>
      <c r="C1518" s="227" t="s">
        <v>2160</v>
      </c>
      <c r="D1518" s="227" t="s">
        <v>2882</v>
      </c>
      <c r="E1518" s="75" t="str">
        <f>VLOOKUP(B1518&amp;C1518,Divipola!$C$2:$F$1138,4,FALSE)</f>
        <v>52399</v>
      </c>
      <c r="F1518" s="87"/>
      <c r="G1518" s="87"/>
      <c r="H1518" s="87"/>
      <c r="I1518" s="87"/>
      <c r="J1518" s="87"/>
      <c r="K1518" s="87"/>
      <c r="L1518" s="87"/>
      <c r="M1518" s="87"/>
      <c r="N1518" s="87"/>
      <c r="O1518" s="87"/>
      <c r="P1518" s="87"/>
      <c r="Q1518" s="87"/>
      <c r="R1518" s="87"/>
      <c r="S1518" s="87"/>
      <c r="T1518" s="87"/>
      <c r="U1518" s="88"/>
      <c r="V1518" s="89"/>
      <c r="W1518" s="96">
        <v>0</v>
      </c>
      <c r="X1518" s="71">
        <f>CU1518</f>
        <v>0</v>
      </c>
      <c r="Y1518" s="71">
        <f>CY1518</f>
        <v>0</v>
      </c>
      <c r="Z1518" s="71">
        <f>DA1518+DC1518+DE1518</f>
        <v>0</v>
      </c>
      <c r="AA1518" s="71">
        <f>CW1518</f>
        <v>0</v>
      </c>
      <c r="AB1518" s="71"/>
      <c r="AC1518" s="71">
        <v>0</v>
      </c>
      <c r="AD1518" s="71">
        <f>W1518+X1518+Y1518+Z1518+AA1518+AB1518+AC1518</f>
        <v>0</v>
      </c>
      <c r="AE1518" s="72">
        <v>0</v>
      </c>
      <c r="AF1518" s="5"/>
      <c r="AG1518" s="6"/>
      <c r="AH1518" s="27" t="s">
        <v>3392</v>
      </c>
      <c r="AI1518" s="44" t="s">
        <v>3393</v>
      </c>
      <c r="AJ1518" s="26"/>
      <c r="AK1518" s="5"/>
      <c r="AL1518" s="82" t="s">
        <v>4311</v>
      </c>
      <c r="AM1518" s="76"/>
      <c r="AN1518" s="76"/>
      <c r="AO1518" s="76"/>
      <c r="AP1518" s="76"/>
      <c r="AQ1518" s="76"/>
      <c r="AR1518" s="76"/>
      <c r="AS1518" s="76"/>
      <c r="AT1518" s="76"/>
      <c r="AU1518" s="76"/>
      <c r="AV1518" s="76"/>
      <c r="AW1518" s="76"/>
      <c r="AX1518" s="76">
        <f>+AW1518*600000</f>
        <v>0</v>
      </c>
      <c r="AY1518" s="76"/>
      <c r="AZ1518" s="76">
        <f>+AY1518*70000</f>
        <v>0</v>
      </c>
      <c r="BA1518" s="76"/>
      <c r="BB1518" s="76"/>
      <c r="BC1518" s="76"/>
      <c r="BD1518" s="76">
        <f>+BC1518*30000</f>
        <v>0</v>
      </c>
      <c r="BE1518" s="76"/>
      <c r="BF1518" s="76"/>
      <c r="BG1518" s="76"/>
      <c r="BH1518" s="76"/>
      <c r="BI1518" s="76"/>
      <c r="BJ1518" s="76"/>
      <c r="BK1518" s="76"/>
      <c r="BL1518" s="76">
        <f>+BK1518*31500</f>
        <v>0</v>
      </c>
      <c r="BM1518" s="76"/>
      <c r="BN1518" s="76"/>
      <c r="BO1518" s="76"/>
      <c r="BP1518" s="76"/>
      <c r="BQ1518" s="76"/>
      <c r="BR1518" s="76"/>
      <c r="BS1518" s="76"/>
      <c r="BT1518" s="76"/>
      <c r="BU1518" s="76"/>
      <c r="BV1518" s="76"/>
      <c r="BW1518" s="76"/>
      <c r="BX1518" s="76"/>
      <c r="BY1518" s="76"/>
      <c r="BZ1518" s="76"/>
      <c r="CA1518" s="76"/>
      <c r="CB1518" s="76"/>
      <c r="CC1518" s="76"/>
      <c r="CD1518" s="76"/>
      <c r="CE1518" s="76"/>
      <c r="CF1518" s="76">
        <f>+CE1518*28000</f>
        <v>0</v>
      </c>
      <c r="CG1518" s="76"/>
      <c r="CH1518" s="76">
        <f>+CG1518*22500</f>
        <v>0</v>
      </c>
      <c r="CI1518" s="76"/>
      <c r="CJ1518" s="76">
        <f>+CI1518*26000</f>
        <v>0</v>
      </c>
      <c r="CK1518" s="76"/>
      <c r="CL1518" s="76"/>
      <c r="CM1518" s="76"/>
      <c r="CN1518" s="76">
        <f>+CM1518*22000</f>
        <v>0</v>
      </c>
      <c r="CO1518" s="76"/>
      <c r="CP1518" s="76">
        <f>+CO1518*46000</f>
        <v>0</v>
      </c>
      <c r="CQ1518" s="76"/>
      <c r="CR1518" s="76">
        <f>+CQ1518*49000</f>
        <v>0</v>
      </c>
      <c r="CS1518" s="76"/>
      <c r="CT1518" s="76"/>
      <c r="CU1518" s="56">
        <f>AN1518+AP1518+AR1518+AT1518+AV1518+AX1518+AZ1518+BB1518+BD1518+BF1518+BH1518+BJ1518+BL1518+BN1518+BP1518+BR1518+BT1518+BV1518+BX1518+BZ1518+CB1518+CD1518+CF1518+CH1518+CJ1518+CL1518+CN1518+CP1518+CR1518+CT1518</f>
        <v>0</v>
      </c>
      <c r="CV1518" s="76"/>
      <c r="CW1518" s="76">
        <f>+CV1518*1100</f>
        <v>0</v>
      </c>
      <c r="CX1518" s="76"/>
      <c r="CY1518" s="76">
        <f>+CX1518*106250</f>
        <v>0</v>
      </c>
      <c r="CZ1518" s="76"/>
      <c r="DA1518" s="76">
        <f>+CZ1518*34500</f>
        <v>0</v>
      </c>
      <c r="DB1518" s="76"/>
      <c r="DC1518" s="76">
        <f>+DB1518*25000</f>
        <v>0</v>
      </c>
      <c r="DD1518" s="219"/>
      <c r="DE1518" s="219"/>
      <c r="DF1518" s="166"/>
      <c r="DG1518" s="116"/>
      <c r="DH1518" s="117"/>
      <c r="DI1518" s="24"/>
      <c r="DJ1518" s="24"/>
      <c r="DK1518" s="24"/>
      <c r="DL1518" s="24"/>
      <c r="DM1518" s="24"/>
      <c r="DN1518" s="24"/>
      <c r="DO1518" s="24"/>
      <c r="DP1518" s="24"/>
      <c r="DQ1518" s="24"/>
      <c r="DR1518" s="24"/>
      <c r="DS1518" s="24"/>
      <c r="DT1518" s="24"/>
      <c r="DU1518" s="24"/>
    </row>
    <row r="1519" spans="1:128" s="8" customFormat="1" ht="48" x14ac:dyDescent="0.2">
      <c r="A1519" s="226">
        <v>41382</v>
      </c>
      <c r="B1519" s="225" t="s">
        <v>2848</v>
      </c>
      <c r="C1519" s="227" t="s">
        <v>2035</v>
      </c>
      <c r="D1519" s="227" t="s">
        <v>2882</v>
      </c>
      <c r="E1519" s="75" t="str">
        <f>VLOOKUP(B1519&amp;C1519,Divipola!$C$2:$F$1138,4,FALSE)</f>
        <v>73148</v>
      </c>
      <c r="F1519" s="87"/>
      <c r="G1519" s="87"/>
      <c r="H1519" s="87"/>
      <c r="I1519" s="87">
        <v>25</v>
      </c>
      <c r="J1519" s="87">
        <v>5</v>
      </c>
      <c r="K1519" s="87">
        <v>2</v>
      </c>
      <c r="L1519" s="87">
        <v>3</v>
      </c>
      <c r="M1519" s="87"/>
      <c r="N1519" s="87"/>
      <c r="O1519" s="87"/>
      <c r="P1519" s="87"/>
      <c r="Q1519" s="87"/>
      <c r="R1519" s="87"/>
      <c r="S1519" s="87"/>
      <c r="T1519" s="87"/>
      <c r="U1519" s="88"/>
      <c r="V1519" s="89"/>
      <c r="W1519" s="96">
        <v>0</v>
      </c>
      <c r="X1519" s="71">
        <f>CU1519</f>
        <v>0</v>
      </c>
      <c r="Y1519" s="71">
        <f>CY1519</f>
        <v>0</v>
      </c>
      <c r="Z1519" s="71">
        <f>DA1519+DC1519+DE1519</f>
        <v>0</v>
      </c>
      <c r="AA1519" s="71">
        <f>CW1519</f>
        <v>0</v>
      </c>
      <c r="AB1519" s="71"/>
      <c r="AC1519" s="71">
        <v>0</v>
      </c>
      <c r="AD1519" s="71">
        <f>W1519+X1519+Y1519+Z1519+AA1519+AB1519+AC1519</f>
        <v>0</v>
      </c>
      <c r="AE1519" s="72">
        <v>0</v>
      </c>
      <c r="AF1519" s="5"/>
      <c r="AG1519" s="6"/>
      <c r="AH1519" s="27" t="s">
        <v>3392</v>
      </c>
      <c r="AI1519" s="44" t="s">
        <v>3393</v>
      </c>
      <c r="AJ1519" s="26"/>
      <c r="AK1519" s="5"/>
      <c r="AL1519" s="82" t="s">
        <v>4335</v>
      </c>
      <c r="AM1519" s="76"/>
      <c r="AN1519" s="76"/>
      <c r="AO1519" s="76"/>
      <c r="AP1519" s="76"/>
      <c r="AQ1519" s="76"/>
      <c r="AR1519" s="76"/>
      <c r="AS1519" s="76"/>
      <c r="AT1519" s="76"/>
      <c r="AU1519" s="76"/>
      <c r="AV1519" s="76"/>
      <c r="AW1519" s="76"/>
      <c r="AX1519" s="76">
        <f>+AW1519*600000</f>
        <v>0</v>
      </c>
      <c r="AY1519" s="76"/>
      <c r="AZ1519" s="76">
        <f>+AY1519*70000</f>
        <v>0</v>
      </c>
      <c r="BA1519" s="76"/>
      <c r="BB1519" s="76"/>
      <c r="BC1519" s="76"/>
      <c r="BD1519" s="76">
        <f>+BC1519*30000</f>
        <v>0</v>
      </c>
      <c r="BE1519" s="76"/>
      <c r="BF1519" s="76"/>
      <c r="BG1519" s="76"/>
      <c r="BH1519" s="76"/>
      <c r="BI1519" s="76"/>
      <c r="BJ1519" s="76"/>
      <c r="BK1519" s="76"/>
      <c r="BL1519" s="76">
        <f>+BK1519*31500</f>
        <v>0</v>
      </c>
      <c r="BM1519" s="76"/>
      <c r="BN1519" s="76"/>
      <c r="BO1519" s="76"/>
      <c r="BP1519" s="76"/>
      <c r="BQ1519" s="76"/>
      <c r="BR1519" s="76"/>
      <c r="BS1519" s="76"/>
      <c r="BT1519" s="76"/>
      <c r="BU1519" s="76"/>
      <c r="BV1519" s="76"/>
      <c r="BW1519" s="76"/>
      <c r="BX1519" s="76"/>
      <c r="BY1519" s="76"/>
      <c r="BZ1519" s="76"/>
      <c r="CA1519" s="76"/>
      <c r="CB1519" s="76"/>
      <c r="CC1519" s="76"/>
      <c r="CD1519" s="76"/>
      <c r="CE1519" s="76"/>
      <c r="CF1519" s="76">
        <f>+CE1519*28000</f>
        <v>0</v>
      </c>
      <c r="CG1519" s="76"/>
      <c r="CH1519" s="76">
        <f>+CG1519*22500</f>
        <v>0</v>
      </c>
      <c r="CI1519" s="76"/>
      <c r="CJ1519" s="76">
        <f>+CI1519*26000</f>
        <v>0</v>
      </c>
      <c r="CK1519" s="76"/>
      <c r="CL1519" s="76"/>
      <c r="CM1519" s="76"/>
      <c r="CN1519" s="76">
        <f>+CM1519*22000</f>
        <v>0</v>
      </c>
      <c r="CO1519" s="76"/>
      <c r="CP1519" s="76">
        <f>+CO1519*46000</f>
        <v>0</v>
      </c>
      <c r="CQ1519" s="76"/>
      <c r="CR1519" s="76">
        <f>+CQ1519*49000</f>
        <v>0</v>
      </c>
      <c r="CS1519" s="76"/>
      <c r="CT1519" s="76"/>
      <c r="CU1519" s="56">
        <f>AN1519+AP1519+AR1519+AT1519+AV1519+AX1519+AZ1519+BB1519+BD1519+BF1519+BH1519+BJ1519+BL1519+BN1519+BP1519+BR1519+BT1519+BV1519+BX1519+BZ1519+CB1519+CD1519+CF1519+CH1519+CJ1519+CL1519+CN1519+CP1519+CR1519+CT1519</f>
        <v>0</v>
      </c>
      <c r="CV1519" s="76"/>
      <c r="CW1519" s="76">
        <f>+CV1519*1100</f>
        <v>0</v>
      </c>
      <c r="CX1519" s="76"/>
      <c r="CY1519" s="76">
        <f>+CX1519*106250</f>
        <v>0</v>
      </c>
      <c r="CZ1519" s="76"/>
      <c r="DA1519" s="76">
        <f>+CZ1519*34500</f>
        <v>0</v>
      </c>
      <c r="DB1519" s="76"/>
      <c r="DC1519" s="76">
        <f>+DB1519*25000</f>
        <v>0</v>
      </c>
      <c r="DD1519" s="219"/>
      <c r="DE1519" s="219"/>
      <c r="DF1519" s="166"/>
      <c r="DG1519" s="116"/>
      <c r="DH1519" s="117"/>
      <c r="DI1519" s="24"/>
      <c r="DJ1519" s="24"/>
      <c r="DK1519" s="24"/>
      <c r="DL1519" s="24"/>
      <c r="DM1519" s="24"/>
      <c r="DN1519" s="24"/>
      <c r="DO1519" s="24"/>
      <c r="DP1519" s="24"/>
      <c r="DQ1519" s="24"/>
      <c r="DR1519" s="24"/>
      <c r="DS1519" s="24"/>
      <c r="DT1519" s="24"/>
      <c r="DU1519" s="24"/>
    </row>
    <row r="1520" spans="1:128" s="8" customFormat="1" ht="60" x14ac:dyDescent="0.2">
      <c r="A1520" s="353">
        <v>41382</v>
      </c>
      <c r="B1520" s="352" t="s">
        <v>2848</v>
      </c>
      <c r="C1520" s="354" t="s">
        <v>1391</v>
      </c>
      <c r="D1520" s="354" t="s">
        <v>2882</v>
      </c>
      <c r="E1520" s="75" t="str">
        <f>VLOOKUP(B1520&amp;C1520,Divipola!$C$2:$F$1138,4,FALSE)</f>
        <v>73270</v>
      </c>
      <c r="F1520" s="87"/>
      <c r="G1520" s="87"/>
      <c r="H1520" s="87"/>
      <c r="I1520" s="87">
        <v>10</v>
      </c>
      <c r="J1520" s="87">
        <v>2</v>
      </c>
      <c r="K1520" s="87"/>
      <c r="L1520" s="87">
        <v>2</v>
      </c>
      <c r="M1520" s="87"/>
      <c r="N1520" s="87"/>
      <c r="O1520" s="87"/>
      <c r="P1520" s="87"/>
      <c r="Q1520" s="87"/>
      <c r="R1520" s="87"/>
      <c r="S1520" s="87"/>
      <c r="T1520" s="87"/>
      <c r="U1520" s="88"/>
      <c r="V1520" s="89"/>
      <c r="W1520" s="96">
        <v>0</v>
      </c>
      <c r="X1520" s="71">
        <f>CU1520</f>
        <v>0</v>
      </c>
      <c r="Y1520" s="71">
        <f>CY1520</f>
        <v>0</v>
      </c>
      <c r="Z1520" s="71">
        <f>DA1520+DC1520+DE1520</f>
        <v>0</v>
      </c>
      <c r="AA1520" s="71">
        <f>CW1520</f>
        <v>0</v>
      </c>
      <c r="AB1520" s="71"/>
      <c r="AC1520" s="71">
        <v>0</v>
      </c>
      <c r="AD1520" s="71">
        <f>W1520+X1520+Y1520+Z1520+AA1520+AB1520+AC1520</f>
        <v>0</v>
      </c>
      <c r="AE1520" s="72">
        <v>0</v>
      </c>
      <c r="AF1520" s="5"/>
      <c r="AG1520" s="6"/>
      <c r="AH1520" s="27" t="s">
        <v>3392</v>
      </c>
      <c r="AI1520" s="44" t="s">
        <v>3393</v>
      </c>
      <c r="AJ1520" s="26"/>
      <c r="AK1520" s="5"/>
      <c r="AL1520" s="82" t="s">
        <v>4334</v>
      </c>
      <c r="AM1520" s="76"/>
      <c r="AN1520" s="76"/>
      <c r="AO1520" s="76"/>
      <c r="AP1520" s="76"/>
      <c r="AQ1520" s="76"/>
      <c r="AR1520" s="76"/>
      <c r="AS1520" s="76"/>
      <c r="AT1520" s="76"/>
      <c r="AU1520" s="76"/>
      <c r="AV1520" s="76"/>
      <c r="AW1520" s="76"/>
      <c r="AX1520" s="76">
        <f>+AW1520*600000</f>
        <v>0</v>
      </c>
      <c r="AY1520" s="76"/>
      <c r="AZ1520" s="76">
        <f>+AY1520*70000</f>
        <v>0</v>
      </c>
      <c r="BA1520" s="76"/>
      <c r="BB1520" s="76"/>
      <c r="BC1520" s="76"/>
      <c r="BD1520" s="76">
        <f>+BC1520*30000</f>
        <v>0</v>
      </c>
      <c r="BE1520" s="76"/>
      <c r="BF1520" s="76"/>
      <c r="BG1520" s="76"/>
      <c r="BH1520" s="76"/>
      <c r="BI1520" s="76"/>
      <c r="BJ1520" s="76"/>
      <c r="BK1520" s="76"/>
      <c r="BL1520" s="76">
        <f>+BK1520*31500</f>
        <v>0</v>
      </c>
      <c r="BM1520" s="76"/>
      <c r="BN1520" s="76"/>
      <c r="BO1520" s="76"/>
      <c r="BP1520" s="76"/>
      <c r="BQ1520" s="76"/>
      <c r="BR1520" s="76"/>
      <c r="BS1520" s="76"/>
      <c r="BT1520" s="76"/>
      <c r="BU1520" s="76"/>
      <c r="BV1520" s="76"/>
      <c r="BW1520" s="76"/>
      <c r="BX1520" s="76"/>
      <c r="BY1520" s="76"/>
      <c r="BZ1520" s="76"/>
      <c r="CA1520" s="76"/>
      <c r="CB1520" s="76"/>
      <c r="CC1520" s="76"/>
      <c r="CD1520" s="76"/>
      <c r="CE1520" s="76"/>
      <c r="CF1520" s="76">
        <f>+CE1520*28000</f>
        <v>0</v>
      </c>
      <c r="CG1520" s="76"/>
      <c r="CH1520" s="76">
        <f>+CG1520*22500</f>
        <v>0</v>
      </c>
      <c r="CI1520" s="76"/>
      <c r="CJ1520" s="76">
        <f>+CI1520*26000</f>
        <v>0</v>
      </c>
      <c r="CK1520" s="76"/>
      <c r="CL1520" s="76"/>
      <c r="CM1520" s="76"/>
      <c r="CN1520" s="76">
        <f>+CM1520*22000</f>
        <v>0</v>
      </c>
      <c r="CO1520" s="76"/>
      <c r="CP1520" s="76">
        <f>+CO1520*46000</f>
        <v>0</v>
      </c>
      <c r="CQ1520" s="76"/>
      <c r="CR1520" s="76">
        <f>+CQ1520*49000</f>
        <v>0</v>
      </c>
      <c r="CS1520" s="76"/>
      <c r="CT1520" s="76"/>
      <c r="CU1520" s="56">
        <f>AN1520+AP1520+AR1520+AT1520+AV1520+AX1520+AZ1520+BB1520+BD1520+BF1520+BH1520+BJ1520+BL1520+BN1520+BP1520+BR1520+BT1520+BV1520+BX1520+BZ1520+CB1520+CD1520+CF1520+CH1520+CJ1520+CL1520+CN1520+CP1520+CR1520+CT1520</f>
        <v>0</v>
      </c>
      <c r="CV1520" s="76"/>
      <c r="CW1520" s="76">
        <f>+CV1520*1100</f>
        <v>0</v>
      </c>
      <c r="CX1520" s="76"/>
      <c r="CY1520" s="76">
        <f>+CX1520*106250</f>
        <v>0</v>
      </c>
      <c r="CZ1520" s="76"/>
      <c r="DA1520" s="76">
        <f>+CZ1520*34500</f>
        <v>0</v>
      </c>
      <c r="DB1520" s="76"/>
      <c r="DC1520" s="76">
        <f>+DB1520*25000</f>
        <v>0</v>
      </c>
      <c r="DD1520" s="219"/>
      <c r="DE1520" s="219"/>
      <c r="DF1520" s="166"/>
      <c r="DG1520" s="116"/>
      <c r="DH1520" s="117"/>
      <c r="DI1520" s="24"/>
      <c r="DJ1520" s="24"/>
      <c r="DK1520" s="24"/>
      <c r="DL1520" s="24"/>
      <c r="DM1520" s="24"/>
      <c r="DN1520" s="24"/>
      <c r="DO1520" s="24"/>
      <c r="DP1520" s="24"/>
      <c r="DQ1520" s="24"/>
      <c r="DR1520" s="24"/>
      <c r="DS1520" s="24"/>
      <c r="DT1520" s="24"/>
      <c r="DU1520" s="24"/>
    </row>
    <row r="1521" spans="1:125" s="8" customFormat="1" ht="60" x14ac:dyDescent="0.2">
      <c r="A1521" s="97">
        <v>41382</v>
      </c>
      <c r="B1521" s="60" t="s">
        <v>2848</v>
      </c>
      <c r="C1521" s="55" t="s">
        <v>2675</v>
      </c>
      <c r="D1521" s="55" t="s">
        <v>2859</v>
      </c>
      <c r="E1521" s="75" t="str">
        <f>VLOOKUP(B1521&amp;C1521,Divipola!$C$2:$F$1138,4,FALSE)</f>
        <v>73349</v>
      </c>
      <c r="F1521" s="87"/>
      <c r="G1521" s="87"/>
      <c r="H1521" s="87"/>
      <c r="I1521" s="87">
        <v>5</v>
      </c>
      <c r="J1521" s="87">
        <v>1</v>
      </c>
      <c r="K1521" s="87"/>
      <c r="L1521" s="87">
        <v>1</v>
      </c>
      <c r="M1521" s="87"/>
      <c r="N1521" s="87"/>
      <c r="O1521" s="87"/>
      <c r="P1521" s="87"/>
      <c r="Q1521" s="87"/>
      <c r="R1521" s="87"/>
      <c r="S1521" s="87"/>
      <c r="T1521" s="87"/>
      <c r="U1521" s="88"/>
      <c r="V1521" s="89"/>
      <c r="W1521" s="96">
        <v>0</v>
      </c>
      <c r="X1521" s="71">
        <f>CU1521</f>
        <v>0</v>
      </c>
      <c r="Y1521" s="71">
        <f>CY1521</f>
        <v>0</v>
      </c>
      <c r="Z1521" s="71">
        <f>DA1521+DC1521+DE1521</f>
        <v>0</v>
      </c>
      <c r="AA1521" s="71">
        <f>CW1521</f>
        <v>0</v>
      </c>
      <c r="AB1521" s="71"/>
      <c r="AC1521" s="71">
        <v>0</v>
      </c>
      <c r="AD1521" s="71">
        <f>W1521+X1521+Y1521+Z1521+AA1521+AB1521+AC1521</f>
        <v>0</v>
      </c>
      <c r="AE1521" s="72">
        <v>0</v>
      </c>
      <c r="AF1521" s="5"/>
      <c r="AG1521" s="6"/>
      <c r="AH1521" s="27" t="s">
        <v>3392</v>
      </c>
      <c r="AI1521" s="44" t="s">
        <v>3393</v>
      </c>
      <c r="AJ1521" s="26"/>
      <c r="AK1521" s="5"/>
      <c r="AL1521" s="82" t="s">
        <v>4307</v>
      </c>
      <c r="AM1521" s="76"/>
      <c r="AN1521" s="76"/>
      <c r="AO1521" s="76"/>
      <c r="AP1521" s="76"/>
      <c r="AQ1521" s="76"/>
      <c r="AR1521" s="76"/>
      <c r="AS1521" s="76"/>
      <c r="AT1521" s="76"/>
      <c r="AU1521" s="76"/>
      <c r="AV1521" s="76"/>
      <c r="AW1521" s="76"/>
      <c r="AX1521" s="76">
        <f>+AW1521*600000</f>
        <v>0</v>
      </c>
      <c r="AY1521" s="76"/>
      <c r="AZ1521" s="76">
        <f>+AY1521*70000</f>
        <v>0</v>
      </c>
      <c r="BA1521" s="76"/>
      <c r="BB1521" s="76"/>
      <c r="BC1521" s="76"/>
      <c r="BD1521" s="76">
        <f>+BC1521*30000</f>
        <v>0</v>
      </c>
      <c r="BE1521" s="76"/>
      <c r="BF1521" s="76"/>
      <c r="BG1521" s="76"/>
      <c r="BH1521" s="76"/>
      <c r="BI1521" s="76"/>
      <c r="BJ1521" s="76"/>
      <c r="BK1521" s="76"/>
      <c r="BL1521" s="76">
        <f>+BK1521*31500</f>
        <v>0</v>
      </c>
      <c r="BM1521" s="76"/>
      <c r="BN1521" s="76"/>
      <c r="BO1521" s="76"/>
      <c r="BP1521" s="76"/>
      <c r="BQ1521" s="76"/>
      <c r="BR1521" s="76"/>
      <c r="BS1521" s="76"/>
      <c r="BT1521" s="76"/>
      <c r="BU1521" s="76"/>
      <c r="BV1521" s="76"/>
      <c r="BW1521" s="76"/>
      <c r="BX1521" s="76"/>
      <c r="BY1521" s="76"/>
      <c r="BZ1521" s="76"/>
      <c r="CA1521" s="76"/>
      <c r="CB1521" s="76"/>
      <c r="CC1521" s="76"/>
      <c r="CD1521" s="76"/>
      <c r="CE1521" s="76"/>
      <c r="CF1521" s="76">
        <f>+CE1521*28000</f>
        <v>0</v>
      </c>
      <c r="CG1521" s="76"/>
      <c r="CH1521" s="76">
        <f>+CG1521*22500</f>
        <v>0</v>
      </c>
      <c r="CI1521" s="76"/>
      <c r="CJ1521" s="76">
        <f>+CI1521*26000</f>
        <v>0</v>
      </c>
      <c r="CK1521" s="76"/>
      <c r="CL1521" s="76"/>
      <c r="CM1521" s="76"/>
      <c r="CN1521" s="76">
        <f>+CM1521*22000</f>
        <v>0</v>
      </c>
      <c r="CO1521" s="76"/>
      <c r="CP1521" s="76">
        <f>+CO1521*46000</f>
        <v>0</v>
      </c>
      <c r="CQ1521" s="76"/>
      <c r="CR1521" s="76">
        <f>+CQ1521*49000</f>
        <v>0</v>
      </c>
      <c r="CS1521" s="76"/>
      <c r="CT1521" s="76"/>
      <c r="CU1521" s="56">
        <f>AN1521+AP1521+AR1521+AT1521+AV1521+AX1521+AZ1521+BB1521+BD1521+BF1521+BH1521+BJ1521+BL1521+BN1521+BP1521+BR1521+BT1521+BV1521+BX1521+BZ1521+CB1521+CD1521+CF1521+CH1521+CJ1521+CL1521+CN1521+CP1521+CR1521+CT1521</f>
        <v>0</v>
      </c>
      <c r="CV1521" s="76"/>
      <c r="CW1521" s="76">
        <f>+CV1521*1100</f>
        <v>0</v>
      </c>
      <c r="CX1521" s="76"/>
      <c r="CY1521" s="76">
        <f>+CX1521*106250</f>
        <v>0</v>
      </c>
      <c r="CZ1521" s="76"/>
      <c r="DA1521" s="76">
        <f>+CZ1521*34500</f>
        <v>0</v>
      </c>
      <c r="DB1521" s="76"/>
      <c r="DC1521" s="76">
        <f>+DB1521*25000</f>
        <v>0</v>
      </c>
      <c r="DD1521" s="219"/>
      <c r="DE1521" s="219"/>
      <c r="DF1521" s="166"/>
      <c r="DG1521" s="116"/>
      <c r="DH1521" s="117"/>
      <c r="DI1521" s="24"/>
      <c r="DJ1521" s="24"/>
      <c r="DK1521" s="24"/>
      <c r="DL1521" s="24"/>
      <c r="DM1521" s="24"/>
      <c r="DN1521" s="24"/>
      <c r="DO1521" s="24"/>
      <c r="DP1521" s="24"/>
      <c r="DQ1521" s="24"/>
      <c r="DR1521" s="24"/>
      <c r="DS1521" s="24"/>
      <c r="DT1521" s="24"/>
      <c r="DU1521" s="24"/>
    </row>
    <row r="1522" spans="1:125" s="8" customFormat="1" ht="24" x14ac:dyDescent="0.2">
      <c r="A1522" s="77">
        <v>41382</v>
      </c>
      <c r="B1522" s="78" t="s">
        <v>2851</v>
      </c>
      <c r="C1522" s="75" t="s">
        <v>2057</v>
      </c>
      <c r="D1522" s="75" t="s">
        <v>3194</v>
      </c>
      <c r="E1522" s="75" t="str">
        <f>VLOOKUP(B1522&amp;C1522,Divipola!$C$2:$F$1138,4,FALSE)</f>
        <v>76250</v>
      </c>
      <c r="F1522" s="163"/>
      <c r="G1522" s="163"/>
      <c r="H1522" s="163"/>
      <c r="I1522" s="163">
        <f>31*5</f>
        <v>155</v>
      </c>
      <c r="J1522" s="163">
        <v>31</v>
      </c>
      <c r="K1522" s="163"/>
      <c r="L1522" s="163">
        <v>27</v>
      </c>
      <c r="M1522" s="163"/>
      <c r="N1522" s="163"/>
      <c r="O1522" s="163"/>
      <c r="P1522" s="163"/>
      <c r="Q1522" s="163"/>
      <c r="R1522" s="163"/>
      <c r="S1522" s="163">
        <v>4</v>
      </c>
      <c r="T1522" s="163"/>
      <c r="U1522" s="163"/>
      <c r="V1522" s="134"/>
      <c r="W1522" s="96">
        <v>0</v>
      </c>
      <c r="X1522" s="71">
        <f>CU1522</f>
        <v>0</v>
      </c>
      <c r="Y1522" s="71">
        <f>CY1522</f>
        <v>0</v>
      </c>
      <c r="Z1522" s="71">
        <f>DA1522+DC1522+DE1522</f>
        <v>102107407.12</v>
      </c>
      <c r="AA1522" s="71">
        <f>CW1522</f>
        <v>0</v>
      </c>
      <c r="AB1522" s="71"/>
      <c r="AC1522" s="71">
        <v>0</v>
      </c>
      <c r="AD1522" s="71">
        <f>W1522+X1522+Y1522+Z1522+AA1522+AB1522+AC1522</f>
        <v>102107407.12</v>
      </c>
      <c r="AE1522" s="72">
        <v>0</v>
      </c>
      <c r="AF1522" s="5"/>
      <c r="AG1522" s="6"/>
      <c r="AH1522" s="27" t="s">
        <v>3390</v>
      </c>
      <c r="AI1522" s="44" t="s">
        <v>3391</v>
      </c>
      <c r="AJ1522" s="26"/>
      <c r="AK1522" s="5"/>
      <c r="AL1522" s="82"/>
      <c r="AM1522" s="76"/>
      <c r="AN1522" s="76"/>
      <c r="AO1522" s="76"/>
      <c r="AP1522" s="76"/>
      <c r="AQ1522" s="76"/>
      <c r="AR1522" s="76"/>
      <c r="AS1522" s="76"/>
      <c r="AT1522" s="76"/>
      <c r="AU1522" s="76"/>
      <c r="AV1522" s="76"/>
      <c r="AW1522" s="76"/>
      <c r="AX1522" s="76">
        <f>+AW1522*600000</f>
        <v>0</v>
      </c>
      <c r="AY1522" s="76"/>
      <c r="AZ1522" s="76">
        <f>+AY1522*70000</f>
        <v>0</v>
      </c>
      <c r="BA1522" s="76"/>
      <c r="BB1522" s="76"/>
      <c r="BC1522" s="76"/>
      <c r="BD1522" s="76">
        <f>+BC1522*30000</f>
        <v>0</v>
      </c>
      <c r="BE1522" s="76"/>
      <c r="BF1522" s="76"/>
      <c r="BG1522" s="76"/>
      <c r="BH1522" s="76"/>
      <c r="BI1522" s="76"/>
      <c r="BJ1522" s="76"/>
      <c r="BK1522" s="76"/>
      <c r="BL1522" s="76">
        <f>+BK1522*31500</f>
        <v>0</v>
      </c>
      <c r="BM1522" s="76"/>
      <c r="BN1522" s="76"/>
      <c r="BO1522" s="76"/>
      <c r="BP1522" s="76"/>
      <c r="BQ1522" s="76"/>
      <c r="BR1522" s="76"/>
      <c r="BS1522" s="76"/>
      <c r="BT1522" s="76"/>
      <c r="BU1522" s="76"/>
      <c r="BV1522" s="76"/>
      <c r="BW1522" s="76"/>
      <c r="BX1522" s="76"/>
      <c r="BY1522" s="76"/>
      <c r="BZ1522" s="76"/>
      <c r="CA1522" s="76"/>
      <c r="CB1522" s="76"/>
      <c r="CC1522" s="76"/>
      <c r="CD1522" s="76"/>
      <c r="CE1522" s="76"/>
      <c r="CF1522" s="76">
        <f>+CE1522*28000</f>
        <v>0</v>
      </c>
      <c r="CG1522" s="76"/>
      <c r="CH1522" s="76">
        <f>+CG1522*22500</f>
        <v>0</v>
      </c>
      <c r="CI1522" s="76"/>
      <c r="CJ1522" s="76">
        <f>+CI1522*26000</f>
        <v>0</v>
      </c>
      <c r="CK1522" s="76"/>
      <c r="CL1522" s="76"/>
      <c r="CM1522" s="76"/>
      <c r="CN1522" s="76">
        <f>+CM1522*22000</f>
        <v>0</v>
      </c>
      <c r="CO1522" s="76"/>
      <c r="CP1522" s="76">
        <f>+CO1522*46000</f>
        <v>0</v>
      </c>
      <c r="CQ1522" s="76"/>
      <c r="CR1522" s="76">
        <f>+CQ1522*49000</f>
        <v>0</v>
      </c>
      <c r="CS1522" s="76"/>
      <c r="CT1522" s="76"/>
      <c r="CU1522" s="56">
        <f>AN1522+AP1522+AR1522+AT1522+AV1522+AX1522+AZ1522+BB1522+BD1522+BF1522+BH1522+BJ1522+BL1522+BN1522+BP1522+BR1522+BT1522+BV1522+BX1522+BZ1522+CB1522+CD1522+CF1522+CH1522+CJ1522+CL1522+CN1522+CP1522+CR1522+CT1522</f>
        <v>0</v>
      </c>
      <c r="CV1522" s="76"/>
      <c r="CW1522" s="76">
        <f>+CV1522*1100</f>
        <v>0</v>
      </c>
      <c r="CX1522" s="76"/>
      <c r="CY1522" s="76">
        <f>+CX1522*106250</f>
        <v>0</v>
      </c>
      <c r="CZ1522" s="86">
        <v>537</v>
      </c>
      <c r="DA1522" s="86">
        <f>+CZ1522*34449.68</f>
        <v>18499478.16</v>
      </c>
      <c r="DB1522" s="86">
        <v>115</v>
      </c>
      <c r="DC1522" s="86">
        <f>+DB1522*31999.76</f>
        <v>3679972.4</v>
      </c>
      <c r="DD1522" s="222" t="s">
        <v>5192</v>
      </c>
      <c r="DE1522" s="309">
        <f>35000*1800+766*22099.16</f>
        <v>79927956.560000002</v>
      </c>
      <c r="DF1522" s="166"/>
      <c r="DG1522" s="134" t="s">
        <v>6472</v>
      </c>
      <c r="DH1522" s="117"/>
      <c r="DI1522" s="24"/>
      <c r="DJ1522" s="24"/>
      <c r="DK1522" s="24"/>
      <c r="DL1522" s="24"/>
      <c r="DM1522" s="24"/>
      <c r="DN1522" s="24"/>
      <c r="DO1522" s="24"/>
      <c r="DP1522" s="24"/>
      <c r="DQ1522" s="24"/>
      <c r="DR1522" s="24"/>
      <c r="DS1522" s="24"/>
      <c r="DT1522" s="24"/>
      <c r="DU1522" s="24"/>
    </row>
    <row r="1523" spans="1:125" s="8" customFormat="1" ht="84" x14ac:dyDescent="0.2">
      <c r="A1523" s="77">
        <v>41382</v>
      </c>
      <c r="B1523" s="78" t="s">
        <v>2851</v>
      </c>
      <c r="C1523" s="75" t="s">
        <v>2667</v>
      </c>
      <c r="D1523" s="75" t="s">
        <v>2875</v>
      </c>
      <c r="E1523" s="75" t="str">
        <f>VLOOKUP(B1523&amp;C1523,Divipola!$C$2:$F$1138,4,FALSE)</f>
        <v>76364</v>
      </c>
      <c r="F1523" s="87"/>
      <c r="G1523" s="87"/>
      <c r="H1523" s="87"/>
      <c r="I1523" s="87"/>
      <c r="J1523" s="87"/>
      <c r="K1523" s="87"/>
      <c r="L1523" s="87"/>
      <c r="M1523" s="87"/>
      <c r="N1523" s="87"/>
      <c r="O1523" s="87"/>
      <c r="P1523" s="87"/>
      <c r="Q1523" s="87"/>
      <c r="R1523" s="87"/>
      <c r="S1523" s="87"/>
      <c r="T1523" s="87"/>
      <c r="U1523" s="88"/>
      <c r="V1523" s="89"/>
      <c r="W1523" s="96">
        <v>0</v>
      </c>
      <c r="X1523" s="71">
        <f>CU1523</f>
        <v>0</v>
      </c>
      <c r="Y1523" s="71">
        <f>CY1523</f>
        <v>0</v>
      </c>
      <c r="Z1523" s="71">
        <f>DA1523+DC1523+DE1523</f>
        <v>0</v>
      </c>
      <c r="AA1523" s="71">
        <f>CW1523</f>
        <v>0</v>
      </c>
      <c r="AB1523" s="71"/>
      <c r="AC1523" s="71">
        <v>0</v>
      </c>
      <c r="AD1523" s="71">
        <f>W1523+X1523+Y1523+Z1523+AA1523+AB1523+AC1523</f>
        <v>0</v>
      </c>
      <c r="AE1523" s="72">
        <v>0</v>
      </c>
      <c r="AF1523" s="5"/>
      <c r="AG1523" s="6"/>
      <c r="AH1523" s="27" t="s">
        <v>3392</v>
      </c>
      <c r="AI1523" s="44" t="s">
        <v>3393</v>
      </c>
      <c r="AJ1523" s="26"/>
      <c r="AK1523" s="5"/>
      <c r="AL1523" s="82" t="s">
        <v>4309</v>
      </c>
      <c r="AM1523" s="76"/>
      <c r="AN1523" s="76"/>
      <c r="AO1523" s="76"/>
      <c r="AP1523" s="76"/>
      <c r="AQ1523" s="76"/>
      <c r="AR1523" s="76"/>
      <c r="AS1523" s="76"/>
      <c r="AT1523" s="76"/>
      <c r="AU1523" s="76"/>
      <c r="AV1523" s="76"/>
      <c r="AW1523" s="76"/>
      <c r="AX1523" s="76">
        <f>+AW1523*600000</f>
        <v>0</v>
      </c>
      <c r="AY1523" s="76"/>
      <c r="AZ1523" s="76">
        <f>+AY1523*70000</f>
        <v>0</v>
      </c>
      <c r="BA1523" s="76"/>
      <c r="BB1523" s="76"/>
      <c r="BC1523" s="76"/>
      <c r="BD1523" s="76">
        <f>+BC1523*30000</f>
        <v>0</v>
      </c>
      <c r="BE1523" s="76"/>
      <c r="BF1523" s="76"/>
      <c r="BG1523" s="76"/>
      <c r="BH1523" s="76"/>
      <c r="BI1523" s="76"/>
      <c r="BJ1523" s="76"/>
      <c r="BK1523" s="76"/>
      <c r="BL1523" s="76">
        <f>+BK1523*31500</f>
        <v>0</v>
      </c>
      <c r="BM1523" s="76"/>
      <c r="BN1523" s="76"/>
      <c r="BO1523" s="76"/>
      <c r="BP1523" s="76"/>
      <c r="BQ1523" s="76"/>
      <c r="BR1523" s="76"/>
      <c r="BS1523" s="76"/>
      <c r="BT1523" s="76"/>
      <c r="BU1523" s="76"/>
      <c r="BV1523" s="76"/>
      <c r="BW1523" s="76"/>
      <c r="BX1523" s="76"/>
      <c r="BY1523" s="76"/>
      <c r="BZ1523" s="76"/>
      <c r="CA1523" s="76"/>
      <c r="CB1523" s="76"/>
      <c r="CC1523" s="76"/>
      <c r="CD1523" s="76"/>
      <c r="CE1523" s="76"/>
      <c r="CF1523" s="76">
        <f>+CE1523*28000</f>
        <v>0</v>
      </c>
      <c r="CG1523" s="76"/>
      <c r="CH1523" s="76">
        <f>+CG1523*22500</f>
        <v>0</v>
      </c>
      <c r="CI1523" s="76"/>
      <c r="CJ1523" s="76">
        <f>+CI1523*26000</f>
        <v>0</v>
      </c>
      <c r="CK1523" s="76"/>
      <c r="CL1523" s="76"/>
      <c r="CM1523" s="76"/>
      <c r="CN1523" s="76">
        <f>+CM1523*22000</f>
        <v>0</v>
      </c>
      <c r="CO1523" s="76"/>
      <c r="CP1523" s="76">
        <f>+CO1523*46000</f>
        <v>0</v>
      </c>
      <c r="CQ1523" s="76"/>
      <c r="CR1523" s="76">
        <f>+CQ1523*49000</f>
        <v>0</v>
      </c>
      <c r="CS1523" s="76"/>
      <c r="CT1523" s="76"/>
      <c r="CU1523" s="56">
        <f>AN1523+AP1523+AR1523+AT1523+AV1523+AX1523+AZ1523+BB1523+BD1523+BF1523+BH1523+BJ1523+BL1523+BN1523+BP1523+BR1523+BT1523+BV1523+BX1523+BZ1523+CB1523+CD1523+CF1523+CH1523+CJ1523+CL1523+CN1523+CP1523+CR1523+CT1523</f>
        <v>0</v>
      </c>
      <c r="CV1523" s="76"/>
      <c r="CW1523" s="76">
        <f>+CV1523*1100</f>
        <v>0</v>
      </c>
      <c r="CX1523" s="76"/>
      <c r="CY1523" s="76">
        <f>+CX1523*106250</f>
        <v>0</v>
      </c>
      <c r="CZ1523" s="76"/>
      <c r="DA1523" s="76">
        <f>+CZ1523*34500</f>
        <v>0</v>
      </c>
      <c r="DB1523" s="76"/>
      <c r="DC1523" s="76">
        <f>+DB1523*25000</f>
        <v>0</v>
      </c>
      <c r="DD1523" s="219"/>
      <c r="DE1523" s="219"/>
      <c r="DF1523" s="166"/>
      <c r="DG1523" s="116"/>
      <c r="DH1523" s="117"/>
      <c r="DI1523" s="24"/>
      <c r="DJ1523" s="24"/>
      <c r="DK1523" s="24"/>
      <c r="DL1523" s="24"/>
      <c r="DM1523" s="24"/>
      <c r="DN1523" s="24"/>
      <c r="DO1523" s="24"/>
      <c r="DP1523" s="24"/>
      <c r="DQ1523" s="24"/>
      <c r="DR1523" s="24"/>
      <c r="DS1523" s="24"/>
      <c r="DT1523" s="24"/>
      <c r="DU1523" s="24"/>
    </row>
    <row r="1524" spans="1:125" s="8" customFormat="1" ht="36" x14ac:dyDescent="0.2">
      <c r="A1524" s="353">
        <v>41383</v>
      </c>
      <c r="B1524" s="225" t="s">
        <v>2881</v>
      </c>
      <c r="C1524" s="227" t="s">
        <v>2680</v>
      </c>
      <c r="D1524" s="75" t="s">
        <v>3051</v>
      </c>
      <c r="E1524" s="75" t="str">
        <f>VLOOKUP(B1524&amp;C1524,Divipola!$C$2:$F$1138,4,FALSE)</f>
        <v>08758</v>
      </c>
      <c r="F1524" s="87"/>
      <c r="G1524" s="87"/>
      <c r="H1524" s="87"/>
      <c r="I1524" s="87"/>
      <c r="J1524" s="87"/>
      <c r="K1524" s="87"/>
      <c r="L1524" s="87"/>
      <c r="M1524" s="87"/>
      <c r="N1524" s="87"/>
      <c r="O1524" s="87"/>
      <c r="P1524" s="87"/>
      <c r="Q1524" s="87"/>
      <c r="R1524" s="87"/>
      <c r="S1524" s="87">
        <v>1</v>
      </c>
      <c r="T1524" s="87"/>
      <c r="U1524" s="88"/>
      <c r="V1524" s="89"/>
      <c r="W1524" s="96">
        <v>0</v>
      </c>
      <c r="X1524" s="71">
        <f>CU1524</f>
        <v>0</v>
      </c>
      <c r="Y1524" s="71">
        <f>CY1524</f>
        <v>0</v>
      </c>
      <c r="Z1524" s="71">
        <f>DA1524+DC1524+DE1524</f>
        <v>0</v>
      </c>
      <c r="AA1524" s="71">
        <f>CW1524</f>
        <v>0</v>
      </c>
      <c r="AB1524" s="71"/>
      <c r="AC1524" s="71">
        <v>0</v>
      </c>
      <c r="AD1524" s="71">
        <f>W1524+X1524+Y1524+Z1524+AA1524+AB1524+AC1524</f>
        <v>0</v>
      </c>
      <c r="AE1524" s="72">
        <v>0</v>
      </c>
      <c r="AF1524" s="5"/>
      <c r="AG1524" s="6"/>
      <c r="AH1524" s="27" t="s">
        <v>3392</v>
      </c>
      <c r="AI1524" s="44" t="s">
        <v>3393</v>
      </c>
      <c r="AJ1524" s="26"/>
      <c r="AK1524" s="5"/>
      <c r="AL1524" s="82" t="s">
        <v>4327</v>
      </c>
      <c r="AM1524" s="76"/>
      <c r="AN1524" s="76"/>
      <c r="AO1524" s="76"/>
      <c r="AP1524" s="76"/>
      <c r="AQ1524" s="76"/>
      <c r="AR1524" s="76"/>
      <c r="AS1524" s="76"/>
      <c r="AT1524" s="76"/>
      <c r="AU1524" s="76"/>
      <c r="AV1524" s="76"/>
      <c r="AW1524" s="76"/>
      <c r="AX1524" s="76">
        <f>+AW1524*600000</f>
        <v>0</v>
      </c>
      <c r="AY1524" s="76"/>
      <c r="AZ1524" s="76">
        <f>+AY1524*70000</f>
        <v>0</v>
      </c>
      <c r="BA1524" s="76"/>
      <c r="BB1524" s="76"/>
      <c r="BC1524" s="76"/>
      <c r="BD1524" s="76">
        <f>+BC1524*30000</f>
        <v>0</v>
      </c>
      <c r="BE1524" s="76"/>
      <c r="BF1524" s="76"/>
      <c r="BG1524" s="76"/>
      <c r="BH1524" s="76"/>
      <c r="BI1524" s="76"/>
      <c r="BJ1524" s="76"/>
      <c r="BK1524" s="76"/>
      <c r="BL1524" s="76">
        <f>+BK1524*31500</f>
        <v>0</v>
      </c>
      <c r="BM1524" s="76"/>
      <c r="BN1524" s="76"/>
      <c r="BO1524" s="76"/>
      <c r="BP1524" s="76"/>
      <c r="BQ1524" s="76"/>
      <c r="BR1524" s="76"/>
      <c r="BS1524" s="76"/>
      <c r="BT1524" s="76"/>
      <c r="BU1524" s="76"/>
      <c r="BV1524" s="76"/>
      <c r="BW1524" s="76"/>
      <c r="BX1524" s="76"/>
      <c r="BY1524" s="76"/>
      <c r="BZ1524" s="76"/>
      <c r="CA1524" s="76"/>
      <c r="CB1524" s="76"/>
      <c r="CC1524" s="76"/>
      <c r="CD1524" s="76"/>
      <c r="CE1524" s="76"/>
      <c r="CF1524" s="76">
        <f>+CE1524*28000</f>
        <v>0</v>
      </c>
      <c r="CG1524" s="76"/>
      <c r="CH1524" s="76">
        <f>+CG1524*22500</f>
        <v>0</v>
      </c>
      <c r="CI1524" s="76"/>
      <c r="CJ1524" s="76">
        <f>+CI1524*26000</f>
        <v>0</v>
      </c>
      <c r="CK1524" s="76"/>
      <c r="CL1524" s="76"/>
      <c r="CM1524" s="76"/>
      <c r="CN1524" s="76">
        <f>+CM1524*22000</f>
        <v>0</v>
      </c>
      <c r="CO1524" s="76"/>
      <c r="CP1524" s="76">
        <f>+CO1524*46000</f>
        <v>0</v>
      </c>
      <c r="CQ1524" s="76"/>
      <c r="CR1524" s="76">
        <f>+CQ1524*49000</f>
        <v>0</v>
      </c>
      <c r="CS1524" s="76"/>
      <c r="CT1524" s="76"/>
      <c r="CU1524" s="56">
        <f>AN1524+AP1524+AR1524+AT1524+AV1524+AX1524+AZ1524+BB1524+BD1524+BF1524+BH1524+BJ1524+BL1524+BN1524+BP1524+BR1524+BT1524+BV1524+BX1524+BZ1524+CB1524+CD1524+CF1524+CH1524+CJ1524+CL1524+CN1524+CP1524+CR1524+CT1524</f>
        <v>0</v>
      </c>
      <c r="CV1524" s="76"/>
      <c r="CW1524" s="76">
        <f>+CV1524*1100</f>
        <v>0</v>
      </c>
      <c r="CX1524" s="76"/>
      <c r="CY1524" s="76">
        <f>+CX1524*106250</f>
        <v>0</v>
      </c>
      <c r="CZ1524" s="76"/>
      <c r="DA1524" s="76">
        <f>+CZ1524*34500</f>
        <v>0</v>
      </c>
      <c r="DB1524" s="76"/>
      <c r="DC1524" s="76">
        <f>+DB1524*25000</f>
        <v>0</v>
      </c>
      <c r="DD1524" s="219"/>
      <c r="DE1524" s="219"/>
      <c r="DF1524" s="166"/>
      <c r="DG1524" s="116"/>
      <c r="DH1524" s="117"/>
      <c r="DI1524" s="24"/>
      <c r="DJ1524" s="24"/>
      <c r="DK1524" s="24"/>
      <c r="DL1524" s="24"/>
      <c r="DM1524" s="24"/>
      <c r="DN1524" s="24"/>
      <c r="DO1524" s="24"/>
      <c r="DP1524" s="24"/>
      <c r="DQ1524" s="24"/>
      <c r="DR1524" s="24"/>
      <c r="DS1524" s="24"/>
      <c r="DT1524" s="24"/>
      <c r="DU1524" s="24"/>
    </row>
    <row r="1525" spans="1:125" s="8" customFormat="1" ht="120" x14ac:dyDescent="0.2">
      <c r="A1525" s="226">
        <v>41383</v>
      </c>
      <c r="B1525" s="225" t="s">
        <v>2196</v>
      </c>
      <c r="C1525" s="227" t="s">
        <v>1363</v>
      </c>
      <c r="D1525" s="227" t="s">
        <v>2882</v>
      </c>
      <c r="E1525" s="75" t="str">
        <f>VLOOKUP(B1525&amp;C1525,Divipola!$C$2:$F$1138,4,FALSE)</f>
        <v>17042</v>
      </c>
      <c r="F1525" s="87"/>
      <c r="G1525" s="87"/>
      <c r="H1525" s="87"/>
      <c r="I1525" s="87">
        <f>140*5</f>
        <v>700</v>
      </c>
      <c r="J1525" s="87">
        <v>140</v>
      </c>
      <c r="K1525" s="87"/>
      <c r="L1525" s="87">
        <v>140</v>
      </c>
      <c r="M1525" s="87"/>
      <c r="N1525" s="87"/>
      <c r="O1525" s="87"/>
      <c r="P1525" s="87"/>
      <c r="Q1525" s="87"/>
      <c r="R1525" s="87"/>
      <c r="S1525" s="87"/>
      <c r="T1525" s="87"/>
      <c r="U1525" s="88"/>
      <c r="V1525" s="89"/>
      <c r="W1525" s="96">
        <v>3195000</v>
      </c>
      <c r="X1525" s="71">
        <f>CU1525</f>
        <v>13670000</v>
      </c>
      <c r="Y1525" s="71">
        <f>CY1525</f>
        <v>14385000</v>
      </c>
      <c r="Z1525" s="71">
        <f>DA1525+DC1525+DE1525</f>
        <v>120320000</v>
      </c>
      <c r="AA1525" s="71">
        <f>CW1525</f>
        <v>0</v>
      </c>
      <c r="AB1525" s="71"/>
      <c r="AC1525" s="71">
        <v>0</v>
      </c>
      <c r="AD1525" s="71">
        <f>W1525+X1525+Y1525+Z1525+AA1525+AB1525+AC1525</f>
        <v>151570000</v>
      </c>
      <c r="AE1525" s="72">
        <v>0</v>
      </c>
      <c r="AF1525" s="5"/>
      <c r="AG1525" s="6"/>
      <c r="AH1525" s="27" t="s">
        <v>3390</v>
      </c>
      <c r="AI1525" s="44" t="s">
        <v>3391</v>
      </c>
      <c r="AJ1525" s="26"/>
      <c r="AK1525" s="5"/>
      <c r="AL1525" s="82" t="s">
        <v>5177</v>
      </c>
      <c r="AM1525" s="76"/>
      <c r="AN1525" s="76"/>
      <c r="AO1525" s="76"/>
      <c r="AP1525" s="76"/>
      <c r="AQ1525" s="76"/>
      <c r="AR1525" s="76"/>
      <c r="AS1525" s="76"/>
      <c r="AT1525" s="76"/>
      <c r="AU1525" s="76"/>
      <c r="AV1525" s="76"/>
      <c r="AW1525" s="76"/>
      <c r="AX1525" s="76">
        <f>+AW1525*600000</f>
        <v>0</v>
      </c>
      <c r="AY1525" s="86">
        <v>100</v>
      </c>
      <c r="AZ1525" s="86">
        <f>+AY1525*70000</f>
        <v>7000000</v>
      </c>
      <c r="BA1525" s="76"/>
      <c r="BB1525" s="76"/>
      <c r="BC1525" s="76"/>
      <c r="BD1525" s="76">
        <f>+BC1525*30000</f>
        <v>0</v>
      </c>
      <c r="BE1525" s="76"/>
      <c r="BF1525" s="76"/>
      <c r="BG1525" s="76"/>
      <c r="BH1525" s="76"/>
      <c r="BI1525" s="76"/>
      <c r="BJ1525" s="76"/>
      <c r="BK1525" s="76"/>
      <c r="BL1525" s="76">
        <f>+BK1525*31500</f>
        <v>0</v>
      </c>
      <c r="BM1525" s="76"/>
      <c r="BN1525" s="76"/>
      <c r="BO1525" s="76"/>
      <c r="BP1525" s="76"/>
      <c r="BQ1525" s="76"/>
      <c r="BR1525" s="76"/>
      <c r="BS1525" s="76"/>
      <c r="BT1525" s="76"/>
      <c r="BU1525" s="76"/>
      <c r="BV1525" s="76"/>
      <c r="BW1525" s="76"/>
      <c r="BX1525" s="76"/>
      <c r="BY1525" s="76"/>
      <c r="BZ1525" s="76"/>
      <c r="CA1525" s="76"/>
      <c r="CB1525" s="76"/>
      <c r="CC1525" s="76"/>
      <c r="CD1525" s="76"/>
      <c r="CE1525" s="76"/>
      <c r="CF1525" s="76">
        <f>+CE1525*28000</f>
        <v>0</v>
      </c>
      <c r="CG1525" s="76"/>
      <c r="CH1525" s="76">
        <f>+CG1525*22500</f>
        <v>0</v>
      </c>
      <c r="CI1525" s="86">
        <v>200</v>
      </c>
      <c r="CJ1525" s="86">
        <f>+CI1525*26000</f>
        <v>5200000</v>
      </c>
      <c r="CK1525" s="76"/>
      <c r="CL1525" s="76"/>
      <c r="CM1525" s="76"/>
      <c r="CN1525" s="76">
        <f>+CM1525*22000</f>
        <v>0</v>
      </c>
      <c r="CO1525" s="76"/>
      <c r="CP1525" s="76">
        <f>+CO1525*46000</f>
        <v>0</v>
      </c>
      <c r="CQ1525" s="86">
        <v>30</v>
      </c>
      <c r="CR1525" s="86">
        <f>+CQ1525*49000</f>
        <v>1470000</v>
      </c>
      <c r="CS1525" s="76"/>
      <c r="CT1525" s="76"/>
      <c r="CU1525" s="56">
        <f>AN1525+AP1525+AR1525+AT1525+AV1525+AX1525+AZ1525+BB1525+BD1525+BF1525+BH1525+BJ1525+BL1525+BN1525+BP1525+BR1525+BT1525+BV1525+BX1525+BZ1525+CB1525+CD1525+CF1525+CH1525+CJ1525+CL1525+CN1525+CP1525+CR1525+CT1525</f>
        <v>13670000</v>
      </c>
      <c r="CV1525" s="76"/>
      <c r="CW1525" s="76">
        <f>+CV1525*1100</f>
        <v>0</v>
      </c>
      <c r="CX1525" s="86">
        <v>137</v>
      </c>
      <c r="CY1525" s="86">
        <f>+CX1525*105000</f>
        <v>14385000</v>
      </c>
      <c r="CZ1525" s="86">
        <v>1000</v>
      </c>
      <c r="DA1525" s="86">
        <f>+CZ1525*32000</f>
        <v>32000000</v>
      </c>
      <c r="DB1525" s="86">
        <f>1600+1000</f>
        <v>2600</v>
      </c>
      <c r="DC1525" s="86">
        <f>1600*32000+9600*200+1000*31000+4000*400</f>
        <v>85720000</v>
      </c>
      <c r="DD1525" s="223" t="s">
        <v>4482</v>
      </c>
      <c r="DE1525" s="223">
        <f>2000*1300</f>
        <v>2600000</v>
      </c>
      <c r="DF1525" s="166"/>
      <c r="DG1525" s="134" t="s">
        <v>5171</v>
      </c>
      <c r="DH1525" s="117"/>
      <c r="DI1525" s="24"/>
      <c r="DJ1525" s="24"/>
      <c r="DK1525" s="24"/>
      <c r="DL1525" s="24"/>
      <c r="DM1525" s="24"/>
      <c r="DN1525" s="24"/>
      <c r="DO1525" s="24"/>
      <c r="DP1525" s="24"/>
      <c r="DQ1525" s="24"/>
      <c r="DR1525" s="24"/>
      <c r="DS1525" s="24"/>
      <c r="DT1525" s="24"/>
      <c r="DU1525" s="24"/>
    </row>
    <row r="1526" spans="1:125" s="8" customFormat="1" x14ac:dyDescent="0.2">
      <c r="A1526" s="77">
        <v>41383</v>
      </c>
      <c r="B1526" s="78" t="s">
        <v>2196</v>
      </c>
      <c r="C1526" s="75" t="s">
        <v>2774</v>
      </c>
      <c r="D1526" s="75" t="s">
        <v>2882</v>
      </c>
      <c r="E1526" s="75" t="str">
        <f>VLOOKUP(B1526&amp;C1526,Divipola!$C$2:$F$1138,4,FALSE)</f>
        <v>17616</v>
      </c>
      <c r="F1526" s="163"/>
      <c r="G1526" s="163"/>
      <c r="H1526" s="163"/>
      <c r="I1526" s="163">
        <v>93</v>
      </c>
      <c r="J1526" s="163">
        <v>15</v>
      </c>
      <c r="K1526" s="163"/>
      <c r="L1526" s="163">
        <v>15</v>
      </c>
      <c r="M1526" s="163"/>
      <c r="N1526" s="163"/>
      <c r="O1526" s="163"/>
      <c r="P1526" s="163"/>
      <c r="Q1526" s="163"/>
      <c r="R1526" s="163"/>
      <c r="S1526" s="163"/>
      <c r="T1526" s="163"/>
      <c r="U1526" s="163"/>
      <c r="V1526" s="134"/>
      <c r="W1526" s="96">
        <v>0</v>
      </c>
      <c r="X1526" s="71">
        <f>CU1526</f>
        <v>3270000</v>
      </c>
      <c r="Y1526" s="71">
        <f>CY1526</f>
        <v>1575000</v>
      </c>
      <c r="Z1526" s="71">
        <f>DA1526+DC1526+DE1526</f>
        <v>1639000</v>
      </c>
      <c r="AA1526" s="71">
        <f>CW1526</f>
        <v>0</v>
      </c>
      <c r="AB1526" s="71"/>
      <c r="AC1526" s="71">
        <v>0</v>
      </c>
      <c r="AD1526" s="71">
        <f>W1526+X1526+Y1526+Z1526+AA1526+AB1526+AC1526</f>
        <v>6484000</v>
      </c>
      <c r="AE1526" s="72">
        <v>0</v>
      </c>
      <c r="AF1526" s="5"/>
      <c r="AG1526" s="6"/>
      <c r="AH1526" s="27" t="s">
        <v>3390</v>
      </c>
      <c r="AI1526" s="44" t="s">
        <v>3391</v>
      </c>
      <c r="AJ1526" s="26"/>
      <c r="AK1526" s="5"/>
      <c r="AL1526" s="82" t="s">
        <v>4449</v>
      </c>
      <c r="AM1526" s="76"/>
      <c r="AN1526" s="76"/>
      <c r="AO1526" s="76"/>
      <c r="AP1526" s="76"/>
      <c r="AQ1526" s="76"/>
      <c r="AR1526" s="76"/>
      <c r="AS1526" s="76"/>
      <c r="AT1526" s="76"/>
      <c r="AU1526" s="76"/>
      <c r="AV1526" s="76"/>
      <c r="AW1526" s="76"/>
      <c r="AX1526" s="76">
        <f>+AW1526*600000</f>
        <v>0</v>
      </c>
      <c r="AY1526" s="86">
        <v>30</v>
      </c>
      <c r="AZ1526" s="86">
        <f>+AY1526*70000</f>
        <v>2100000</v>
      </c>
      <c r="BA1526" s="76"/>
      <c r="BB1526" s="76"/>
      <c r="BC1526" s="76"/>
      <c r="BD1526" s="76">
        <f>+BC1526*30000</f>
        <v>0</v>
      </c>
      <c r="BE1526" s="76"/>
      <c r="BF1526" s="76"/>
      <c r="BG1526" s="76"/>
      <c r="BH1526" s="76"/>
      <c r="BI1526" s="76"/>
      <c r="BJ1526" s="76"/>
      <c r="BK1526" s="76"/>
      <c r="BL1526" s="76">
        <f>+BK1526*31500</f>
        <v>0</v>
      </c>
      <c r="BM1526" s="76"/>
      <c r="BN1526" s="76"/>
      <c r="BO1526" s="76"/>
      <c r="BP1526" s="76"/>
      <c r="BQ1526" s="76"/>
      <c r="BR1526" s="76"/>
      <c r="BS1526" s="76"/>
      <c r="BT1526" s="76"/>
      <c r="BU1526" s="76"/>
      <c r="BV1526" s="76"/>
      <c r="BW1526" s="76"/>
      <c r="BX1526" s="76"/>
      <c r="BY1526" s="76"/>
      <c r="BZ1526" s="76"/>
      <c r="CA1526" s="76"/>
      <c r="CB1526" s="76"/>
      <c r="CC1526" s="76"/>
      <c r="CD1526" s="76"/>
      <c r="CE1526" s="76"/>
      <c r="CF1526" s="76">
        <f>+CE1526*28000</f>
        <v>0</v>
      </c>
      <c r="CG1526" s="76"/>
      <c r="CH1526" s="76">
        <f>+CG1526*22500</f>
        <v>0</v>
      </c>
      <c r="CI1526" s="86">
        <v>45</v>
      </c>
      <c r="CJ1526" s="86">
        <f>+CI1526*26000</f>
        <v>1170000</v>
      </c>
      <c r="CK1526" s="76"/>
      <c r="CL1526" s="76"/>
      <c r="CM1526" s="76"/>
      <c r="CN1526" s="76">
        <f>+CM1526*22000</f>
        <v>0</v>
      </c>
      <c r="CO1526" s="76"/>
      <c r="CP1526" s="76">
        <f>+CO1526*46000</f>
        <v>0</v>
      </c>
      <c r="CQ1526" s="76"/>
      <c r="CR1526" s="76">
        <f>+CQ1526*49000</f>
        <v>0</v>
      </c>
      <c r="CS1526" s="76"/>
      <c r="CT1526" s="76"/>
      <c r="CU1526" s="56">
        <f>AN1526+AP1526+AR1526+AT1526+AV1526+AX1526+AZ1526+BB1526+BD1526+BF1526+BH1526+BJ1526+BL1526+BN1526+BP1526+BR1526+BT1526+BV1526+BX1526+BZ1526+CB1526+CD1526+CF1526+CH1526+CJ1526+CL1526+CN1526+CP1526+CR1526+CT1526</f>
        <v>3270000</v>
      </c>
      <c r="CV1526" s="76"/>
      <c r="CW1526" s="76">
        <f>+CV1526*1100</f>
        <v>0</v>
      </c>
      <c r="CX1526" s="86">
        <v>15</v>
      </c>
      <c r="CY1526" s="86">
        <f>+CX1526*105000</f>
        <v>1575000</v>
      </c>
      <c r="CZ1526" s="76"/>
      <c r="DA1526" s="76">
        <f>+CZ1526*34500</f>
        <v>0</v>
      </c>
      <c r="DB1526" s="86">
        <f>15+35</f>
        <v>50</v>
      </c>
      <c r="DC1526" s="86">
        <f>15*32000+90*200+35*31000+140*400</f>
        <v>1639000</v>
      </c>
      <c r="DD1526" s="219"/>
      <c r="DE1526" s="219"/>
      <c r="DF1526" s="166"/>
      <c r="DG1526" s="134" t="s">
        <v>5171</v>
      </c>
      <c r="DH1526" s="117"/>
      <c r="DI1526" s="24"/>
      <c r="DJ1526" s="24"/>
      <c r="DK1526" s="24"/>
      <c r="DL1526" s="24"/>
      <c r="DM1526" s="24"/>
      <c r="DN1526" s="24"/>
      <c r="DO1526" s="24"/>
      <c r="DP1526" s="24"/>
      <c r="DQ1526" s="24"/>
      <c r="DR1526" s="24"/>
      <c r="DS1526" s="24"/>
      <c r="DT1526" s="24"/>
      <c r="DU1526" s="24"/>
    </row>
    <row r="1527" spans="1:125" s="8" customFormat="1" x14ac:dyDescent="0.2">
      <c r="A1527" s="77">
        <v>41383</v>
      </c>
      <c r="B1527" s="78" t="s">
        <v>2196</v>
      </c>
      <c r="C1527" s="75" t="s">
        <v>774</v>
      </c>
      <c r="D1527" s="75" t="s">
        <v>2882</v>
      </c>
      <c r="E1527" s="75" t="str">
        <f>VLOOKUP(B1527&amp;C1527,Divipola!$C$2:$F$1138,4,FALSE)</f>
        <v>17665</v>
      </c>
      <c r="F1527" s="163"/>
      <c r="G1527" s="163"/>
      <c r="H1527" s="163"/>
      <c r="I1527" s="163">
        <f>18*5</f>
        <v>90</v>
      </c>
      <c r="J1527" s="163">
        <v>18</v>
      </c>
      <c r="K1527" s="163"/>
      <c r="L1527" s="163">
        <v>18</v>
      </c>
      <c r="M1527" s="163"/>
      <c r="N1527" s="163"/>
      <c r="O1527" s="163"/>
      <c r="P1527" s="163"/>
      <c r="Q1527" s="163"/>
      <c r="R1527" s="163"/>
      <c r="S1527" s="163"/>
      <c r="T1527" s="163"/>
      <c r="U1527" s="163"/>
      <c r="V1527" s="134"/>
      <c r="W1527" s="96">
        <v>0</v>
      </c>
      <c r="X1527" s="71">
        <f>CU1527</f>
        <v>4806000</v>
      </c>
      <c r="Y1527" s="71">
        <f>CY1527</f>
        <v>1890000</v>
      </c>
      <c r="Z1527" s="71">
        <f>DA1527+DC1527+DE1527</f>
        <v>12140400</v>
      </c>
      <c r="AA1527" s="71">
        <f>CW1527</f>
        <v>0</v>
      </c>
      <c r="AB1527" s="71"/>
      <c r="AC1527" s="71">
        <v>0</v>
      </c>
      <c r="AD1527" s="71">
        <f>W1527+X1527+Y1527+Z1527+AA1527+AB1527+AC1527</f>
        <v>18836400</v>
      </c>
      <c r="AE1527" s="72">
        <v>0</v>
      </c>
      <c r="AF1527" s="5"/>
      <c r="AG1527" s="6"/>
      <c r="AH1527" s="27" t="s">
        <v>3390</v>
      </c>
      <c r="AI1527" s="44" t="s">
        <v>3391</v>
      </c>
      <c r="AJ1527" s="26"/>
      <c r="AK1527" s="5"/>
      <c r="AL1527" s="82"/>
      <c r="AM1527" s="76"/>
      <c r="AN1527" s="76"/>
      <c r="AO1527" s="76"/>
      <c r="AP1527" s="76"/>
      <c r="AQ1527" s="76"/>
      <c r="AR1527" s="76"/>
      <c r="AS1527" s="76"/>
      <c r="AT1527" s="76"/>
      <c r="AU1527" s="76"/>
      <c r="AV1527" s="76"/>
      <c r="AW1527" s="76"/>
      <c r="AX1527" s="76">
        <f>+AW1527*600000</f>
        <v>0</v>
      </c>
      <c r="AY1527" s="86">
        <v>36</v>
      </c>
      <c r="AZ1527" s="86">
        <f>+AY1527*70000</f>
        <v>2520000</v>
      </c>
      <c r="BA1527" s="76"/>
      <c r="BB1527" s="76"/>
      <c r="BC1527" s="76"/>
      <c r="BD1527" s="76">
        <f>+BC1527*30000</f>
        <v>0</v>
      </c>
      <c r="BE1527" s="76"/>
      <c r="BF1527" s="76"/>
      <c r="BG1527" s="76"/>
      <c r="BH1527" s="76"/>
      <c r="BI1527" s="76"/>
      <c r="BJ1527" s="76"/>
      <c r="BK1527" s="76"/>
      <c r="BL1527" s="76">
        <f>+BK1527*31500</f>
        <v>0</v>
      </c>
      <c r="BM1527" s="76"/>
      <c r="BN1527" s="76"/>
      <c r="BO1527" s="76"/>
      <c r="BP1527" s="76"/>
      <c r="BQ1527" s="76"/>
      <c r="BR1527" s="76"/>
      <c r="BS1527" s="76"/>
      <c r="BT1527" s="76"/>
      <c r="BU1527" s="76"/>
      <c r="BV1527" s="76"/>
      <c r="BW1527" s="76"/>
      <c r="BX1527" s="76"/>
      <c r="BY1527" s="76"/>
      <c r="BZ1527" s="76"/>
      <c r="CA1527" s="76"/>
      <c r="CB1527" s="76"/>
      <c r="CC1527" s="76"/>
      <c r="CD1527" s="76"/>
      <c r="CE1527" s="76"/>
      <c r="CF1527" s="76">
        <f>+CE1527*28000</f>
        <v>0</v>
      </c>
      <c r="CG1527" s="76"/>
      <c r="CH1527" s="76">
        <f>+CG1527*22500</f>
        <v>0</v>
      </c>
      <c r="CI1527" s="86">
        <v>54</v>
      </c>
      <c r="CJ1527" s="86">
        <f>+CI1527*26000</f>
        <v>1404000</v>
      </c>
      <c r="CK1527" s="76"/>
      <c r="CL1527" s="76"/>
      <c r="CM1527" s="76"/>
      <c r="CN1527" s="76">
        <f>+CM1527*22000</f>
        <v>0</v>
      </c>
      <c r="CO1527" s="76"/>
      <c r="CP1527" s="76">
        <f>+CO1527*46000</f>
        <v>0</v>
      </c>
      <c r="CQ1527" s="86">
        <v>18</v>
      </c>
      <c r="CR1527" s="86">
        <f>+CQ1527*49000</f>
        <v>882000</v>
      </c>
      <c r="CS1527" s="76"/>
      <c r="CT1527" s="76"/>
      <c r="CU1527" s="56">
        <f>AN1527+AP1527+AR1527+AT1527+AV1527+AX1527+AZ1527+BB1527+BD1527+BF1527+BH1527+BJ1527+BL1527+BN1527+BP1527+BR1527+BT1527+BV1527+BX1527+BZ1527+CB1527+CD1527+CF1527+CH1527+CJ1527+CL1527+CN1527+CP1527+CR1527+CT1527</f>
        <v>4806000</v>
      </c>
      <c r="CV1527" s="76"/>
      <c r="CW1527" s="76">
        <f>+CV1527*1100</f>
        <v>0</v>
      </c>
      <c r="CX1527" s="86">
        <v>18</v>
      </c>
      <c r="CY1527" s="86">
        <f>+CX1527*105000</f>
        <v>1890000</v>
      </c>
      <c r="CZ1527" s="76"/>
      <c r="DA1527" s="76">
        <f>+CZ1527*34500</f>
        <v>0</v>
      </c>
      <c r="DB1527" s="86">
        <f>348+18</f>
        <v>366</v>
      </c>
      <c r="DC1527" s="86">
        <f>348*32000+2088*200+18*31000+72*400</f>
        <v>12140400</v>
      </c>
      <c r="DD1527" s="219"/>
      <c r="DE1527" s="219"/>
      <c r="DF1527" s="166"/>
      <c r="DG1527" s="134" t="s">
        <v>5171</v>
      </c>
      <c r="DH1527" s="117"/>
      <c r="DI1527" s="24"/>
      <c r="DJ1527" s="24"/>
      <c r="DK1527" s="24"/>
      <c r="DL1527" s="24"/>
      <c r="DM1527" s="24"/>
      <c r="DN1527" s="24"/>
      <c r="DO1527" s="24"/>
      <c r="DP1527" s="24"/>
      <c r="DQ1527" s="24"/>
      <c r="DR1527" s="24"/>
      <c r="DS1527" s="24"/>
      <c r="DT1527" s="24"/>
      <c r="DU1527" s="24"/>
    </row>
    <row r="1528" spans="1:125" s="8" customFormat="1" ht="48" x14ac:dyDescent="0.2">
      <c r="A1528" s="353">
        <v>41383</v>
      </c>
      <c r="B1528" s="352" t="s">
        <v>2854</v>
      </c>
      <c r="C1528" s="354" t="s">
        <v>2703</v>
      </c>
      <c r="D1528" s="354" t="s">
        <v>2882</v>
      </c>
      <c r="E1528" s="75" t="str">
        <f>VLOOKUP(B1528&amp;C1528,Divipola!$C$2:$F$1138,4,FALSE)</f>
        <v>19743</v>
      </c>
      <c r="F1528" s="87"/>
      <c r="G1528" s="87"/>
      <c r="H1528" s="87"/>
      <c r="I1528" s="87">
        <v>25</v>
      </c>
      <c r="J1528" s="87">
        <v>5</v>
      </c>
      <c r="K1528" s="87"/>
      <c r="L1528" s="87">
        <v>5</v>
      </c>
      <c r="M1528" s="87"/>
      <c r="N1528" s="87"/>
      <c r="O1528" s="87"/>
      <c r="P1528" s="87"/>
      <c r="Q1528" s="87"/>
      <c r="R1528" s="87"/>
      <c r="S1528" s="87"/>
      <c r="T1528" s="87"/>
      <c r="U1528" s="88"/>
      <c r="V1528" s="89"/>
      <c r="W1528" s="96">
        <v>0</v>
      </c>
      <c r="X1528" s="71">
        <f>CU1528</f>
        <v>0</v>
      </c>
      <c r="Y1528" s="71">
        <f>CY1528</f>
        <v>0</v>
      </c>
      <c r="Z1528" s="71">
        <f>DA1528+DC1528+DE1528</f>
        <v>0</v>
      </c>
      <c r="AA1528" s="71">
        <f>CW1528</f>
        <v>0</v>
      </c>
      <c r="AB1528" s="71"/>
      <c r="AC1528" s="71">
        <v>0</v>
      </c>
      <c r="AD1528" s="71">
        <f>W1528+X1528+Y1528+Z1528+AA1528+AB1528+AC1528</f>
        <v>0</v>
      </c>
      <c r="AE1528" s="72">
        <v>0</v>
      </c>
      <c r="AF1528" s="5"/>
      <c r="AG1528" s="6"/>
      <c r="AH1528" s="27" t="s">
        <v>3392</v>
      </c>
      <c r="AI1528" s="44" t="s">
        <v>3393</v>
      </c>
      <c r="AJ1528" s="26"/>
      <c r="AK1528" s="5"/>
      <c r="AL1528" s="82" t="s">
        <v>4329</v>
      </c>
      <c r="AM1528" s="76"/>
      <c r="AN1528" s="76"/>
      <c r="AO1528" s="76"/>
      <c r="AP1528" s="76"/>
      <c r="AQ1528" s="76"/>
      <c r="AR1528" s="76"/>
      <c r="AS1528" s="76"/>
      <c r="AT1528" s="76"/>
      <c r="AU1528" s="76"/>
      <c r="AV1528" s="76"/>
      <c r="AW1528" s="76"/>
      <c r="AX1528" s="76">
        <f>+AW1528*600000</f>
        <v>0</v>
      </c>
      <c r="AY1528" s="76"/>
      <c r="AZ1528" s="76">
        <f>+AY1528*70000</f>
        <v>0</v>
      </c>
      <c r="BA1528" s="76"/>
      <c r="BB1528" s="76"/>
      <c r="BC1528" s="76"/>
      <c r="BD1528" s="76">
        <f>+BC1528*30000</f>
        <v>0</v>
      </c>
      <c r="BE1528" s="76"/>
      <c r="BF1528" s="76"/>
      <c r="BG1528" s="76"/>
      <c r="BH1528" s="76"/>
      <c r="BI1528" s="76"/>
      <c r="BJ1528" s="76"/>
      <c r="BK1528" s="76"/>
      <c r="BL1528" s="76">
        <f>+BK1528*31500</f>
        <v>0</v>
      </c>
      <c r="BM1528" s="76"/>
      <c r="BN1528" s="76"/>
      <c r="BO1528" s="76"/>
      <c r="BP1528" s="76"/>
      <c r="BQ1528" s="76"/>
      <c r="BR1528" s="76"/>
      <c r="BS1528" s="76"/>
      <c r="BT1528" s="76"/>
      <c r="BU1528" s="76"/>
      <c r="BV1528" s="76"/>
      <c r="BW1528" s="76"/>
      <c r="BX1528" s="76"/>
      <c r="BY1528" s="76"/>
      <c r="BZ1528" s="76"/>
      <c r="CA1528" s="76"/>
      <c r="CB1528" s="76"/>
      <c r="CC1528" s="76"/>
      <c r="CD1528" s="76"/>
      <c r="CE1528" s="76"/>
      <c r="CF1528" s="76">
        <f>+CE1528*28000</f>
        <v>0</v>
      </c>
      <c r="CG1528" s="76"/>
      <c r="CH1528" s="76">
        <f>+CG1528*22500</f>
        <v>0</v>
      </c>
      <c r="CI1528" s="76"/>
      <c r="CJ1528" s="76">
        <f>+CI1528*26000</f>
        <v>0</v>
      </c>
      <c r="CK1528" s="76"/>
      <c r="CL1528" s="76"/>
      <c r="CM1528" s="76"/>
      <c r="CN1528" s="76">
        <f>+CM1528*22000</f>
        <v>0</v>
      </c>
      <c r="CO1528" s="76"/>
      <c r="CP1528" s="76">
        <f>+CO1528*46000</f>
        <v>0</v>
      </c>
      <c r="CQ1528" s="76"/>
      <c r="CR1528" s="76">
        <f>+CQ1528*49000</f>
        <v>0</v>
      </c>
      <c r="CS1528" s="76"/>
      <c r="CT1528" s="76"/>
      <c r="CU1528" s="56">
        <f>AN1528+AP1528+AR1528+AT1528+AV1528+AX1528+AZ1528+BB1528+BD1528+BF1528+BH1528+BJ1528+BL1528+BN1528+BP1528+BR1528+BT1528+BV1528+BX1528+BZ1528+CB1528+CD1528+CF1528+CH1528+CJ1528+CL1528+CN1528+CP1528+CR1528+CT1528</f>
        <v>0</v>
      </c>
      <c r="CV1528" s="76"/>
      <c r="CW1528" s="76">
        <f>+CV1528*1100</f>
        <v>0</v>
      </c>
      <c r="CX1528" s="76"/>
      <c r="CY1528" s="76">
        <f>+CX1528*106250</f>
        <v>0</v>
      </c>
      <c r="CZ1528" s="76"/>
      <c r="DA1528" s="76">
        <f>+CZ1528*34500</f>
        <v>0</v>
      </c>
      <c r="DB1528" s="76"/>
      <c r="DC1528" s="76">
        <f>+DB1528*25000</f>
        <v>0</v>
      </c>
      <c r="DD1528" s="219"/>
      <c r="DE1528" s="219"/>
      <c r="DF1528" s="166"/>
      <c r="DG1528" s="116"/>
      <c r="DH1528" s="117"/>
      <c r="DI1528" s="24"/>
      <c r="DJ1528" s="24"/>
      <c r="DK1528" s="24"/>
      <c r="DL1528" s="24"/>
      <c r="DM1528" s="24"/>
      <c r="DN1528" s="24"/>
      <c r="DO1528" s="24"/>
      <c r="DP1528" s="24"/>
      <c r="DQ1528" s="24"/>
      <c r="DR1528" s="24"/>
      <c r="DS1528" s="24"/>
      <c r="DT1528" s="24"/>
      <c r="DU1528" s="24"/>
    </row>
    <row r="1529" spans="1:125" s="8" customFormat="1" ht="72" x14ac:dyDescent="0.2">
      <c r="A1529" s="226">
        <v>41383</v>
      </c>
      <c r="B1529" s="225" t="s">
        <v>2854</v>
      </c>
      <c r="C1529" s="227" t="s">
        <v>2769</v>
      </c>
      <c r="D1529" s="227" t="s">
        <v>2882</v>
      </c>
      <c r="E1529" s="75" t="str">
        <f>VLOOKUP(B1529&amp;C1529,Divipola!$C$2:$F$1138,4,FALSE)</f>
        <v>19824</v>
      </c>
      <c r="F1529" s="87"/>
      <c r="G1529" s="87"/>
      <c r="H1529" s="87"/>
      <c r="I1529" s="87">
        <v>630</v>
      </c>
      <c r="J1529" s="87">
        <v>126</v>
      </c>
      <c r="K1529" s="87"/>
      <c r="L1529" s="87"/>
      <c r="M1529" s="87"/>
      <c r="N1529" s="87"/>
      <c r="O1529" s="87"/>
      <c r="P1529" s="87"/>
      <c r="Q1529" s="87"/>
      <c r="R1529" s="87"/>
      <c r="S1529" s="87"/>
      <c r="T1529" s="87"/>
      <c r="U1529" s="88">
        <v>523</v>
      </c>
      <c r="V1529" s="89"/>
      <c r="W1529" s="96">
        <v>0</v>
      </c>
      <c r="X1529" s="71">
        <f>CU1529</f>
        <v>0</v>
      </c>
      <c r="Y1529" s="71">
        <f>CY1529</f>
        <v>0</v>
      </c>
      <c r="Z1529" s="71">
        <f>DA1529+DC1529+DE1529</f>
        <v>0</v>
      </c>
      <c r="AA1529" s="71">
        <f>CW1529</f>
        <v>0</v>
      </c>
      <c r="AB1529" s="71"/>
      <c r="AC1529" s="71">
        <v>0</v>
      </c>
      <c r="AD1529" s="71">
        <f>W1529+X1529+Y1529+Z1529+AA1529+AB1529+AC1529</f>
        <v>0</v>
      </c>
      <c r="AE1529" s="72">
        <v>0</v>
      </c>
      <c r="AF1529" s="5"/>
      <c r="AG1529" s="6"/>
      <c r="AH1529" s="27" t="s">
        <v>3390</v>
      </c>
      <c r="AI1529" s="44" t="s">
        <v>3393</v>
      </c>
      <c r="AJ1529" s="26"/>
      <c r="AK1529" s="5" t="s">
        <v>4242</v>
      </c>
      <c r="AL1529" s="82" t="s">
        <v>4330</v>
      </c>
      <c r="AM1529" s="76"/>
      <c r="AN1529" s="76"/>
      <c r="AO1529" s="76"/>
      <c r="AP1529" s="76"/>
      <c r="AQ1529" s="76"/>
      <c r="AR1529" s="76"/>
      <c r="AS1529" s="76"/>
      <c r="AT1529" s="76"/>
      <c r="AU1529" s="76"/>
      <c r="AV1529" s="76"/>
      <c r="AW1529" s="76"/>
      <c r="AX1529" s="76">
        <f>+AW1529*600000</f>
        <v>0</v>
      </c>
      <c r="AY1529" s="76"/>
      <c r="AZ1529" s="76">
        <f>+AY1529*70000</f>
        <v>0</v>
      </c>
      <c r="BA1529" s="76"/>
      <c r="BB1529" s="76"/>
      <c r="BC1529" s="76"/>
      <c r="BD1529" s="76">
        <f>+BC1529*30000</f>
        <v>0</v>
      </c>
      <c r="BE1529" s="76"/>
      <c r="BF1529" s="76"/>
      <c r="BG1529" s="76"/>
      <c r="BH1529" s="76"/>
      <c r="BI1529" s="76"/>
      <c r="BJ1529" s="76"/>
      <c r="BK1529" s="76"/>
      <c r="BL1529" s="76">
        <f>+BK1529*31500</f>
        <v>0</v>
      </c>
      <c r="BM1529" s="76"/>
      <c r="BN1529" s="76"/>
      <c r="BO1529" s="76"/>
      <c r="BP1529" s="76"/>
      <c r="BQ1529" s="76"/>
      <c r="BR1529" s="76"/>
      <c r="BS1529" s="76"/>
      <c r="BT1529" s="76"/>
      <c r="BU1529" s="76"/>
      <c r="BV1529" s="76"/>
      <c r="BW1529" s="76"/>
      <c r="BX1529" s="76"/>
      <c r="BY1529" s="76"/>
      <c r="BZ1529" s="76"/>
      <c r="CA1529" s="76"/>
      <c r="CB1529" s="76"/>
      <c r="CC1529" s="76"/>
      <c r="CD1529" s="76"/>
      <c r="CE1529" s="76"/>
      <c r="CF1529" s="76">
        <f>+CE1529*28000</f>
        <v>0</v>
      </c>
      <c r="CG1529" s="76"/>
      <c r="CH1529" s="76">
        <f>+CG1529*22500</f>
        <v>0</v>
      </c>
      <c r="CI1529" s="76"/>
      <c r="CJ1529" s="76">
        <f>+CI1529*26000</f>
        <v>0</v>
      </c>
      <c r="CK1529" s="76"/>
      <c r="CL1529" s="76"/>
      <c r="CM1529" s="76"/>
      <c r="CN1529" s="76">
        <f>+CM1529*22000</f>
        <v>0</v>
      </c>
      <c r="CO1529" s="76"/>
      <c r="CP1529" s="76">
        <f>+CO1529*46000</f>
        <v>0</v>
      </c>
      <c r="CQ1529" s="76"/>
      <c r="CR1529" s="76">
        <f>+CQ1529*49000</f>
        <v>0</v>
      </c>
      <c r="CS1529" s="76"/>
      <c r="CT1529" s="76"/>
      <c r="CU1529" s="56">
        <f>AN1529+AP1529+AR1529+AT1529+AV1529+AX1529+AZ1529+BB1529+BD1529+BF1529+BH1529+BJ1529+BL1529+BN1529+BP1529+BR1529+BT1529+BV1529+BX1529+BZ1529+CB1529+CD1529+CF1529+CH1529+CJ1529+CL1529+CN1529+CP1529+CR1529+CT1529</f>
        <v>0</v>
      </c>
      <c r="CV1529" s="76"/>
      <c r="CW1529" s="76">
        <f>+CV1529*1100</f>
        <v>0</v>
      </c>
      <c r="CX1529" s="76"/>
      <c r="CY1529" s="76">
        <f>+CX1529*106250</f>
        <v>0</v>
      </c>
      <c r="CZ1529" s="76"/>
      <c r="DA1529" s="76">
        <f>+CZ1529*34500</f>
        <v>0</v>
      </c>
      <c r="DB1529" s="76"/>
      <c r="DC1529" s="76">
        <f>+DB1529*25000</f>
        <v>0</v>
      </c>
      <c r="DD1529" s="219"/>
      <c r="DE1529" s="219"/>
      <c r="DF1529" s="166"/>
      <c r="DG1529" s="116"/>
      <c r="DH1529" s="117"/>
      <c r="DI1529" s="24"/>
      <c r="DJ1529" s="24"/>
      <c r="DK1529" s="24"/>
      <c r="DL1529" s="24"/>
      <c r="DM1529" s="24"/>
      <c r="DN1529" s="24"/>
      <c r="DO1529" s="24"/>
      <c r="DP1529" s="24"/>
      <c r="DQ1529" s="24"/>
      <c r="DR1529" s="24"/>
      <c r="DS1529" s="24"/>
      <c r="DT1529" s="24"/>
      <c r="DU1529" s="24"/>
    </row>
    <row r="1530" spans="1:125" s="8" customFormat="1" ht="96" x14ac:dyDescent="0.2">
      <c r="A1530" s="77">
        <v>41383</v>
      </c>
      <c r="B1530" s="78" t="s">
        <v>2718</v>
      </c>
      <c r="C1530" s="75" t="s">
        <v>2200</v>
      </c>
      <c r="D1530" s="75" t="s">
        <v>2882</v>
      </c>
      <c r="E1530" s="75" t="str">
        <f>VLOOKUP(B1530&amp;C1530,Divipola!$C$2:$F$1138,4,FALSE)</f>
        <v>23162</v>
      </c>
      <c r="F1530" s="87"/>
      <c r="G1530" s="87"/>
      <c r="H1530" s="87"/>
      <c r="I1530" s="87">
        <v>175</v>
      </c>
      <c r="J1530" s="87">
        <v>35</v>
      </c>
      <c r="K1530" s="87"/>
      <c r="L1530" s="87">
        <v>35</v>
      </c>
      <c r="M1530" s="87"/>
      <c r="N1530" s="87"/>
      <c r="O1530" s="87"/>
      <c r="P1530" s="87"/>
      <c r="Q1530" s="87"/>
      <c r="R1530" s="87"/>
      <c r="S1530" s="87"/>
      <c r="T1530" s="87"/>
      <c r="U1530" s="88"/>
      <c r="V1530" s="89"/>
      <c r="W1530" s="96">
        <v>0</v>
      </c>
      <c r="X1530" s="71">
        <f>CU1530</f>
        <v>0</v>
      </c>
      <c r="Y1530" s="71">
        <f>CY1530</f>
        <v>0</v>
      </c>
      <c r="Z1530" s="71">
        <f>DA1530+DC1530+DE1530</f>
        <v>0</v>
      </c>
      <c r="AA1530" s="71">
        <f>CW1530</f>
        <v>0</v>
      </c>
      <c r="AB1530" s="71"/>
      <c r="AC1530" s="71">
        <v>0</v>
      </c>
      <c r="AD1530" s="71">
        <f>W1530+X1530+Y1530+Z1530+AA1530+AB1530+AC1530</f>
        <v>0</v>
      </c>
      <c r="AE1530" s="72">
        <v>0</v>
      </c>
      <c r="AF1530" s="5"/>
      <c r="AG1530" s="6"/>
      <c r="AH1530" s="27" t="s">
        <v>3392</v>
      </c>
      <c r="AI1530" s="44" t="s">
        <v>3393</v>
      </c>
      <c r="AJ1530" s="26"/>
      <c r="AK1530" s="5"/>
      <c r="AL1530" s="82" t="s">
        <v>4322</v>
      </c>
      <c r="AM1530" s="76"/>
      <c r="AN1530" s="76"/>
      <c r="AO1530" s="76"/>
      <c r="AP1530" s="76"/>
      <c r="AQ1530" s="76"/>
      <c r="AR1530" s="76"/>
      <c r="AS1530" s="76"/>
      <c r="AT1530" s="76"/>
      <c r="AU1530" s="76"/>
      <c r="AV1530" s="76"/>
      <c r="AW1530" s="76"/>
      <c r="AX1530" s="76">
        <f>+AW1530*600000</f>
        <v>0</v>
      </c>
      <c r="AY1530" s="76"/>
      <c r="AZ1530" s="76">
        <f>+AY1530*70000</f>
        <v>0</v>
      </c>
      <c r="BA1530" s="76"/>
      <c r="BB1530" s="76"/>
      <c r="BC1530" s="76"/>
      <c r="BD1530" s="76">
        <f>+BC1530*30000</f>
        <v>0</v>
      </c>
      <c r="BE1530" s="76"/>
      <c r="BF1530" s="76"/>
      <c r="BG1530" s="76"/>
      <c r="BH1530" s="76"/>
      <c r="BI1530" s="76"/>
      <c r="BJ1530" s="76"/>
      <c r="BK1530" s="76"/>
      <c r="BL1530" s="76">
        <f>+BK1530*31500</f>
        <v>0</v>
      </c>
      <c r="BM1530" s="76"/>
      <c r="BN1530" s="76"/>
      <c r="BO1530" s="76"/>
      <c r="BP1530" s="76"/>
      <c r="BQ1530" s="76"/>
      <c r="BR1530" s="76"/>
      <c r="BS1530" s="76"/>
      <c r="BT1530" s="76"/>
      <c r="BU1530" s="76"/>
      <c r="BV1530" s="76"/>
      <c r="BW1530" s="76"/>
      <c r="BX1530" s="76"/>
      <c r="BY1530" s="76"/>
      <c r="BZ1530" s="76"/>
      <c r="CA1530" s="76"/>
      <c r="CB1530" s="76"/>
      <c r="CC1530" s="76"/>
      <c r="CD1530" s="76"/>
      <c r="CE1530" s="76"/>
      <c r="CF1530" s="76">
        <f>+CE1530*28000</f>
        <v>0</v>
      </c>
      <c r="CG1530" s="76"/>
      <c r="CH1530" s="76">
        <f>+CG1530*22500</f>
        <v>0</v>
      </c>
      <c r="CI1530" s="76"/>
      <c r="CJ1530" s="76">
        <f>+CI1530*26000</f>
        <v>0</v>
      </c>
      <c r="CK1530" s="76"/>
      <c r="CL1530" s="76"/>
      <c r="CM1530" s="76"/>
      <c r="CN1530" s="76">
        <f>+CM1530*22000</f>
        <v>0</v>
      </c>
      <c r="CO1530" s="76"/>
      <c r="CP1530" s="76">
        <f>+CO1530*46000</f>
        <v>0</v>
      </c>
      <c r="CQ1530" s="76"/>
      <c r="CR1530" s="76">
        <f>+CQ1530*49000</f>
        <v>0</v>
      </c>
      <c r="CS1530" s="76"/>
      <c r="CT1530" s="76"/>
      <c r="CU1530" s="56">
        <f>AN1530+AP1530+AR1530+AT1530+AV1530+AX1530+AZ1530+BB1530+BD1530+BF1530+BH1530+BJ1530+BL1530+BN1530+BP1530+BR1530+BT1530+BV1530+BX1530+BZ1530+CB1530+CD1530+CF1530+CH1530+CJ1530+CL1530+CN1530+CP1530+CR1530+CT1530</f>
        <v>0</v>
      </c>
      <c r="CV1530" s="76"/>
      <c r="CW1530" s="76">
        <f>+CV1530*1100</f>
        <v>0</v>
      </c>
      <c r="CX1530" s="76"/>
      <c r="CY1530" s="76">
        <f>+CX1530*106250</f>
        <v>0</v>
      </c>
      <c r="CZ1530" s="76"/>
      <c r="DA1530" s="76">
        <f>+CZ1530*34500</f>
        <v>0</v>
      </c>
      <c r="DB1530" s="76"/>
      <c r="DC1530" s="76">
        <f>+DB1530*25000</f>
        <v>0</v>
      </c>
      <c r="DD1530" s="219"/>
      <c r="DE1530" s="219"/>
      <c r="DF1530" s="166"/>
      <c r="DG1530" s="116"/>
      <c r="DH1530" s="117"/>
      <c r="DI1530" s="24"/>
      <c r="DJ1530" s="24"/>
      <c r="DK1530" s="24"/>
      <c r="DL1530" s="24"/>
      <c r="DM1530" s="24"/>
      <c r="DN1530" s="24"/>
      <c r="DO1530" s="24"/>
      <c r="DP1530" s="24"/>
      <c r="DQ1530" s="24"/>
      <c r="DR1530" s="24"/>
      <c r="DS1530" s="24"/>
      <c r="DT1530" s="24"/>
      <c r="DU1530" s="24"/>
    </row>
    <row r="1531" spans="1:125" s="8" customFormat="1" ht="48" x14ac:dyDescent="0.2">
      <c r="A1531" s="353">
        <v>41383</v>
      </c>
      <c r="B1531" s="352" t="s">
        <v>3136</v>
      </c>
      <c r="C1531" s="354" t="s">
        <v>396</v>
      </c>
      <c r="D1531" s="354" t="s">
        <v>2882</v>
      </c>
      <c r="E1531" s="75" t="str">
        <f>VLOOKUP(B1531&amp;C1531,Divipola!$C$2:$F$1138,4,FALSE)</f>
        <v>44279</v>
      </c>
      <c r="F1531" s="87"/>
      <c r="G1531" s="87"/>
      <c r="H1531" s="87"/>
      <c r="I1531" s="87">
        <v>195</v>
      </c>
      <c r="J1531" s="87">
        <v>39</v>
      </c>
      <c r="K1531" s="87"/>
      <c r="L1531" s="87">
        <v>39</v>
      </c>
      <c r="M1531" s="87"/>
      <c r="N1531" s="87"/>
      <c r="O1531" s="87"/>
      <c r="P1531" s="87"/>
      <c r="Q1531" s="87"/>
      <c r="R1531" s="87"/>
      <c r="S1531" s="87"/>
      <c r="T1531" s="87"/>
      <c r="U1531" s="88"/>
      <c r="V1531" s="89"/>
      <c r="W1531" s="96">
        <v>0</v>
      </c>
      <c r="X1531" s="71">
        <f>CU1531</f>
        <v>0</v>
      </c>
      <c r="Y1531" s="71">
        <f>CY1531</f>
        <v>0</v>
      </c>
      <c r="Z1531" s="71">
        <f>DA1531+DC1531+DE1531</f>
        <v>0</v>
      </c>
      <c r="AA1531" s="71">
        <f>CW1531</f>
        <v>0</v>
      </c>
      <c r="AB1531" s="71"/>
      <c r="AC1531" s="71">
        <v>0</v>
      </c>
      <c r="AD1531" s="71">
        <f>W1531+X1531+Y1531+Z1531+AA1531+AB1531+AC1531</f>
        <v>0</v>
      </c>
      <c r="AE1531" s="72">
        <v>0</v>
      </c>
      <c r="AF1531" s="5"/>
      <c r="AG1531" s="6"/>
      <c r="AH1531" s="27" t="s">
        <v>3392</v>
      </c>
      <c r="AI1531" s="44" t="s">
        <v>3393</v>
      </c>
      <c r="AJ1531" s="26"/>
      <c r="AK1531" s="5"/>
      <c r="AL1531" s="82" t="s">
        <v>4338</v>
      </c>
      <c r="AM1531" s="76"/>
      <c r="AN1531" s="76"/>
      <c r="AO1531" s="76"/>
      <c r="AP1531" s="76"/>
      <c r="AQ1531" s="76"/>
      <c r="AR1531" s="76"/>
      <c r="AS1531" s="76"/>
      <c r="AT1531" s="76"/>
      <c r="AU1531" s="76"/>
      <c r="AV1531" s="76"/>
      <c r="AW1531" s="76"/>
      <c r="AX1531" s="76">
        <f>+AW1531*600000</f>
        <v>0</v>
      </c>
      <c r="AY1531" s="76"/>
      <c r="AZ1531" s="76">
        <f>+AY1531*70000</f>
        <v>0</v>
      </c>
      <c r="BA1531" s="76"/>
      <c r="BB1531" s="76"/>
      <c r="BC1531" s="76"/>
      <c r="BD1531" s="76">
        <f>+BC1531*30000</f>
        <v>0</v>
      </c>
      <c r="BE1531" s="76"/>
      <c r="BF1531" s="76"/>
      <c r="BG1531" s="76"/>
      <c r="BH1531" s="76"/>
      <c r="BI1531" s="76"/>
      <c r="BJ1531" s="76"/>
      <c r="BK1531" s="76"/>
      <c r="BL1531" s="76">
        <f>+BK1531*31500</f>
        <v>0</v>
      </c>
      <c r="BM1531" s="76"/>
      <c r="BN1531" s="76"/>
      <c r="BO1531" s="76"/>
      <c r="BP1531" s="76"/>
      <c r="BQ1531" s="76"/>
      <c r="BR1531" s="76"/>
      <c r="BS1531" s="76"/>
      <c r="BT1531" s="76"/>
      <c r="BU1531" s="76"/>
      <c r="BV1531" s="76"/>
      <c r="BW1531" s="76"/>
      <c r="BX1531" s="76"/>
      <c r="BY1531" s="76"/>
      <c r="BZ1531" s="76"/>
      <c r="CA1531" s="76"/>
      <c r="CB1531" s="76"/>
      <c r="CC1531" s="76"/>
      <c r="CD1531" s="76"/>
      <c r="CE1531" s="76"/>
      <c r="CF1531" s="76">
        <f>+CE1531*28000</f>
        <v>0</v>
      </c>
      <c r="CG1531" s="76"/>
      <c r="CH1531" s="76">
        <f>+CG1531*22500</f>
        <v>0</v>
      </c>
      <c r="CI1531" s="76"/>
      <c r="CJ1531" s="76">
        <f>+CI1531*26000</f>
        <v>0</v>
      </c>
      <c r="CK1531" s="76"/>
      <c r="CL1531" s="76"/>
      <c r="CM1531" s="76"/>
      <c r="CN1531" s="76">
        <f>+CM1531*22000</f>
        <v>0</v>
      </c>
      <c r="CO1531" s="76"/>
      <c r="CP1531" s="76">
        <f>+CO1531*46000</f>
        <v>0</v>
      </c>
      <c r="CQ1531" s="76"/>
      <c r="CR1531" s="76">
        <f>+CQ1531*49000</f>
        <v>0</v>
      </c>
      <c r="CS1531" s="76"/>
      <c r="CT1531" s="76"/>
      <c r="CU1531" s="56">
        <f>AN1531+AP1531+AR1531+AT1531+AV1531+AX1531+AZ1531+BB1531+BD1531+BF1531+BH1531+BJ1531+BL1531+BN1531+BP1531+BR1531+BT1531+BV1531+BX1531+BZ1531+CB1531+CD1531+CF1531+CH1531+CJ1531+CL1531+CN1531+CP1531+CR1531+CT1531</f>
        <v>0</v>
      </c>
      <c r="CV1531" s="76"/>
      <c r="CW1531" s="76">
        <f>+CV1531*1100</f>
        <v>0</v>
      </c>
      <c r="CX1531" s="76"/>
      <c r="CY1531" s="76">
        <f>+CX1531*106250</f>
        <v>0</v>
      </c>
      <c r="CZ1531" s="76"/>
      <c r="DA1531" s="76">
        <f>+CZ1531*34500</f>
        <v>0</v>
      </c>
      <c r="DB1531" s="76"/>
      <c r="DC1531" s="76">
        <f>+DB1531*25000</f>
        <v>0</v>
      </c>
      <c r="DD1531" s="219"/>
      <c r="DE1531" s="219"/>
      <c r="DF1531" s="166"/>
      <c r="DG1531" s="116"/>
      <c r="DH1531" s="117"/>
      <c r="DI1531" s="24"/>
      <c r="DJ1531" s="24"/>
      <c r="DK1531" s="24"/>
      <c r="DL1531" s="24"/>
      <c r="DM1531" s="24"/>
      <c r="DN1531" s="24"/>
      <c r="DO1531" s="24"/>
      <c r="DP1531" s="24"/>
      <c r="DQ1531" s="24"/>
      <c r="DR1531" s="24"/>
      <c r="DS1531" s="24"/>
      <c r="DT1531" s="24"/>
      <c r="DU1531" s="24"/>
    </row>
    <row r="1532" spans="1:125" s="8" customFormat="1" ht="84" x14ac:dyDescent="0.2">
      <c r="A1532" s="353">
        <v>41383</v>
      </c>
      <c r="B1532" s="352" t="s">
        <v>2848</v>
      </c>
      <c r="C1532" s="354" t="s">
        <v>515</v>
      </c>
      <c r="D1532" s="75" t="s">
        <v>3051</v>
      </c>
      <c r="E1532" s="75" t="str">
        <f>VLOOKUP(B1532&amp;C1532,Divipola!$C$2:$F$1138,4,FALSE)</f>
        <v>73030</v>
      </c>
      <c r="F1532" s="87"/>
      <c r="G1532" s="87"/>
      <c r="H1532" s="87"/>
      <c r="I1532" s="87">
        <v>325</v>
      </c>
      <c r="J1532" s="87">
        <v>65</v>
      </c>
      <c r="K1532" s="87"/>
      <c r="L1532" s="87">
        <v>65</v>
      </c>
      <c r="M1532" s="87"/>
      <c r="N1532" s="87"/>
      <c r="O1532" s="87"/>
      <c r="P1532" s="87"/>
      <c r="Q1532" s="87"/>
      <c r="R1532" s="87"/>
      <c r="S1532" s="87"/>
      <c r="T1532" s="87"/>
      <c r="U1532" s="88"/>
      <c r="V1532" s="89"/>
      <c r="W1532" s="96">
        <v>0</v>
      </c>
      <c r="X1532" s="71">
        <f>CU1532</f>
        <v>0</v>
      </c>
      <c r="Y1532" s="71">
        <f>CY1532</f>
        <v>0</v>
      </c>
      <c r="Z1532" s="71">
        <f>DA1532+DC1532+DE1532</f>
        <v>0</v>
      </c>
      <c r="AA1532" s="71">
        <f>CW1532</f>
        <v>0</v>
      </c>
      <c r="AB1532" s="71"/>
      <c r="AC1532" s="71">
        <v>0</v>
      </c>
      <c r="AD1532" s="71">
        <f>W1532+X1532+Y1532+Z1532+AA1532+AB1532+AC1532</f>
        <v>0</v>
      </c>
      <c r="AE1532" s="72">
        <v>0</v>
      </c>
      <c r="AF1532" s="5"/>
      <c r="AG1532" s="6"/>
      <c r="AH1532" s="27" t="s">
        <v>3392</v>
      </c>
      <c r="AI1532" s="44" t="s">
        <v>3393</v>
      </c>
      <c r="AJ1532" s="26"/>
      <c r="AK1532" s="5"/>
      <c r="AL1532" s="82" t="s">
        <v>4333</v>
      </c>
      <c r="AM1532" s="76"/>
      <c r="AN1532" s="76"/>
      <c r="AO1532" s="76"/>
      <c r="AP1532" s="76"/>
      <c r="AQ1532" s="76"/>
      <c r="AR1532" s="76"/>
      <c r="AS1532" s="76"/>
      <c r="AT1532" s="76"/>
      <c r="AU1532" s="76"/>
      <c r="AV1532" s="76"/>
      <c r="AW1532" s="76"/>
      <c r="AX1532" s="76">
        <f>+AW1532*600000</f>
        <v>0</v>
      </c>
      <c r="AY1532" s="76"/>
      <c r="AZ1532" s="76">
        <f>+AY1532*70000</f>
        <v>0</v>
      </c>
      <c r="BA1532" s="76"/>
      <c r="BB1532" s="76"/>
      <c r="BC1532" s="76"/>
      <c r="BD1532" s="76">
        <f>+BC1532*30000</f>
        <v>0</v>
      </c>
      <c r="BE1532" s="76"/>
      <c r="BF1532" s="76"/>
      <c r="BG1532" s="76"/>
      <c r="BH1532" s="76"/>
      <c r="BI1532" s="76"/>
      <c r="BJ1532" s="76"/>
      <c r="BK1532" s="76"/>
      <c r="BL1532" s="76">
        <f>+BK1532*31500</f>
        <v>0</v>
      </c>
      <c r="BM1532" s="76"/>
      <c r="BN1532" s="76"/>
      <c r="BO1532" s="76"/>
      <c r="BP1532" s="76"/>
      <c r="BQ1532" s="76"/>
      <c r="BR1532" s="76"/>
      <c r="BS1532" s="76"/>
      <c r="BT1532" s="76"/>
      <c r="BU1532" s="76"/>
      <c r="BV1532" s="76"/>
      <c r="BW1532" s="76"/>
      <c r="BX1532" s="76"/>
      <c r="BY1532" s="76"/>
      <c r="BZ1532" s="76"/>
      <c r="CA1532" s="76"/>
      <c r="CB1532" s="76"/>
      <c r="CC1532" s="76"/>
      <c r="CD1532" s="76"/>
      <c r="CE1532" s="76"/>
      <c r="CF1532" s="76">
        <f>+CE1532*28000</f>
        <v>0</v>
      </c>
      <c r="CG1532" s="76"/>
      <c r="CH1532" s="76">
        <f>+CG1532*22500</f>
        <v>0</v>
      </c>
      <c r="CI1532" s="76"/>
      <c r="CJ1532" s="76">
        <f>+CI1532*26000</f>
        <v>0</v>
      </c>
      <c r="CK1532" s="76"/>
      <c r="CL1532" s="76"/>
      <c r="CM1532" s="76"/>
      <c r="CN1532" s="76">
        <f>+CM1532*22000</f>
        <v>0</v>
      </c>
      <c r="CO1532" s="76"/>
      <c r="CP1532" s="76">
        <f>+CO1532*46000</f>
        <v>0</v>
      </c>
      <c r="CQ1532" s="76"/>
      <c r="CR1532" s="76">
        <f>+CQ1532*49000</f>
        <v>0</v>
      </c>
      <c r="CS1532" s="76"/>
      <c r="CT1532" s="76"/>
      <c r="CU1532" s="56">
        <f>AN1532+AP1532+AR1532+AT1532+AV1532+AX1532+AZ1532+BB1532+BD1532+BF1532+BH1532+BJ1532+BL1532+BN1532+BP1532+BR1532+BT1532+BV1532+BX1532+BZ1532+CB1532+CD1532+CF1532+CH1532+CJ1532+CL1532+CN1532+CP1532+CR1532+CT1532</f>
        <v>0</v>
      </c>
      <c r="CV1532" s="76"/>
      <c r="CW1532" s="76">
        <f>+CV1532*1100</f>
        <v>0</v>
      </c>
      <c r="CX1532" s="76"/>
      <c r="CY1532" s="76">
        <f>+CX1532*106250</f>
        <v>0</v>
      </c>
      <c r="CZ1532" s="76"/>
      <c r="DA1532" s="76">
        <f>+CZ1532*34500</f>
        <v>0</v>
      </c>
      <c r="DB1532" s="76"/>
      <c r="DC1532" s="76">
        <f>+DB1532*25000</f>
        <v>0</v>
      </c>
      <c r="DD1532" s="219"/>
      <c r="DE1532" s="219"/>
      <c r="DF1532" s="166"/>
      <c r="DG1532" s="116"/>
      <c r="DH1532" s="117"/>
      <c r="DI1532" s="24"/>
      <c r="DJ1532" s="24"/>
      <c r="DK1532" s="24"/>
      <c r="DL1532" s="24"/>
      <c r="DM1532" s="24"/>
      <c r="DN1532" s="24"/>
      <c r="DO1532" s="24"/>
      <c r="DP1532" s="24"/>
      <c r="DQ1532" s="24"/>
      <c r="DR1532" s="24"/>
      <c r="DS1532" s="24"/>
      <c r="DT1532" s="24"/>
      <c r="DU1532" s="24"/>
    </row>
    <row r="1533" spans="1:125" s="8" customFormat="1" ht="60" x14ac:dyDescent="0.2">
      <c r="A1533" s="353">
        <v>41383</v>
      </c>
      <c r="B1533" s="352" t="s">
        <v>2848</v>
      </c>
      <c r="C1533" s="354" t="s">
        <v>2755</v>
      </c>
      <c r="D1533" s="75" t="s">
        <v>3051</v>
      </c>
      <c r="E1533" s="75" t="str">
        <f>VLOOKUP(B1533&amp;C1533,Divipola!$C$2:$F$1138,4,FALSE)</f>
        <v>73001</v>
      </c>
      <c r="F1533" s="87"/>
      <c r="G1533" s="87"/>
      <c r="H1533" s="87"/>
      <c r="I1533" s="87">
        <v>5</v>
      </c>
      <c r="J1533" s="87">
        <v>1</v>
      </c>
      <c r="K1533" s="87"/>
      <c r="L1533" s="87">
        <v>1</v>
      </c>
      <c r="M1533" s="87"/>
      <c r="N1533" s="87"/>
      <c r="O1533" s="87"/>
      <c r="P1533" s="87"/>
      <c r="Q1533" s="87"/>
      <c r="R1533" s="87"/>
      <c r="S1533" s="87"/>
      <c r="T1533" s="87"/>
      <c r="U1533" s="88"/>
      <c r="V1533" s="89"/>
      <c r="W1533" s="96">
        <v>0</v>
      </c>
      <c r="X1533" s="71">
        <f>CU1533</f>
        <v>0</v>
      </c>
      <c r="Y1533" s="71">
        <f>CY1533</f>
        <v>0</v>
      </c>
      <c r="Z1533" s="71">
        <f>DA1533+DC1533+DE1533</f>
        <v>0</v>
      </c>
      <c r="AA1533" s="71">
        <f>CW1533</f>
        <v>0</v>
      </c>
      <c r="AB1533" s="71"/>
      <c r="AC1533" s="71">
        <v>0</v>
      </c>
      <c r="AD1533" s="71">
        <f>W1533+X1533+Y1533+Z1533+AA1533+AB1533+AC1533</f>
        <v>0</v>
      </c>
      <c r="AE1533" s="72">
        <v>0</v>
      </c>
      <c r="AF1533" s="5"/>
      <c r="AG1533" s="6"/>
      <c r="AH1533" s="27" t="s">
        <v>3392</v>
      </c>
      <c r="AI1533" s="44" t="s">
        <v>3393</v>
      </c>
      <c r="AJ1533" s="26"/>
      <c r="AK1533" s="5"/>
      <c r="AL1533" s="82" t="s">
        <v>4324</v>
      </c>
      <c r="AM1533" s="76"/>
      <c r="AN1533" s="76"/>
      <c r="AO1533" s="76"/>
      <c r="AP1533" s="76"/>
      <c r="AQ1533" s="76"/>
      <c r="AR1533" s="76"/>
      <c r="AS1533" s="76"/>
      <c r="AT1533" s="76"/>
      <c r="AU1533" s="76"/>
      <c r="AV1533" s="76"/>
      <c r="AW1533" s="76"/>
      <c r="AX1533" s="76">
        <f>+AW1533*600000</f>
        <v>0</v>
      </c>
      <c r="AY1533" s="76"/>
      <c r="AZ1533" s="76">
        <f>+AY1533*70000</f>
        <v>0</v>
      </c>
      <c r="BA1533" s="76"/>
      <c r="BB1533" s="76"/>
      <c r="BC1533" s="76"/>
      <c r="BD1533" s="76">
        <f>+BC1533*30000</f>
        <v>0</v>
      </c>
      <c r="BE1533" s="76"/>
      <c r="BF1533" s="76"/>
      <c r="BG1533" s="76"/>
      <c r="BH1533" s="76"/>
      <c r="BI1533" s="76"/>
      <c r="BJ1533" s="76"/>
      <c r="BK1533" s="76"/>
      <c r="BL1533" s="76">
        <f>+BK1533*31500</f>
        <v>0</v>
      </c>
      <c r="BM1533" s="76"/>
      <c r="BN1533" s="76"/>
      <c r="BO1533" s="76"/>
      <c r="BP1533" s="76"/>
      <c r="BQ1533" s="76"/>
      <c r="BR1533" s="76"/>
      <c r="BS1533" s="76"/>
      <c r="BT1533" s="76"/>
      <c r="BU1533" s="76"/>
      <c r="BV1533" s="76"/>
      <c r="BW1533" s="76"/>
      <c r="BX1533" s="76"/>
      <c r="BY1533" s="76"/>
      <c r="BZ1533" s="76"/>
      <c r="CA1533" s="76"/>
      <c r="CB1533" s="76"/>
      <c r="CC1533" s="76"/>
      <c r="CD1533" s="76"/>
      <c r="CE1533" s="76"/>
      <c r="CF1533" s="76">
        <f>+CE1533*28000</f>
        <v>0</v>
      </c>
      <c r="CG1533" s="76"/>
      <c r="CH1533" s="76">
        <f>+CG1533*22500</f>
        <v>0</v>
      </c>
      <c r="CI1533" s="76"/>
      <c r="CJ1533" s="76">
        <f>+CI1533*26000</f>
        <v>0</v>
      </c>
      <c r="CK1533" s="76"/>
      <c r="CL1533" s="76"/>
      <c r="CM1533" s="76"/>
      <c r="CN1533" s="76">
        <f>+CM1533*22000</f>
        <v>0</v>
      </c>
      <c r="CO1533" s="76"/>
      <c r="CP1533" s="76">
        <f>+CO1533*46000</f>
        <v>0</v>
      </c>
      <c r="CQ1533" s="76"/>
      <c r="CR1533" s="76">
        <f>+CQ1533*49000</f>
        <v>0</v>
      </c>
      <c r="CS1533" s="76"/>
      <c r="CT1533" s="76"/>
      <c r="CU1533" s="56">
        <f>AN1533+AP1533+AR1533+AT1533+AV1533+AX1533+AZ1533+BB1533+BD1533+BF1533+BH1533+BJ1533+BL1533+BN1533+BP1533+BR1533+BT1533+BV1533+BX1533+BZ1533+CB1533+CD1533+CF1533+CH1533+CJ1533+CL1533+CN1533+CP1533+CR1533+CT1533</f>
        <v>0</v>
      </c>
      <c r="CV1533" s="76"/>
      <c r="CW1533" s="76">
        <f>+CV1533*1100</f>
        <v>0</v>
      </c>
      <c r="CX1533" s="76"/>
      <c r="CY1533" s="76">
        <f>+CX1533*106250</f>
        <v>0</v>
      </c>
      <c r="CZ1533" s="76"/>
      <c r="DA1533" s="76">
        <f>+CZ1533*34500</f>
        <v>0</v>
      </c>
      <c r="DB1533" s="76"/>
      <c r="DC1533" s="76">
        <f>+DB1533*25000</f>
        <v>0</v>
      </c>
      <c r="DD1533" s="219"/>
      <c r="DE1533" s="219"/>
      <c r="DF1533" s="166"/>
      <c r="DG1533" s="116"/>
      <c r="DH1533" s="117"/>
      <c r="DI1533" s="24"/>
      <c r="DJ1533" s="24"/>
      <c r="DK1533" s="24"/>
      <c r="DL1533" s="24"/>
      <c r="DM1533" s="24"/>
      <c r="DN1533" s="24"/>
      <c r="DO1533" s="24"/>
      <c r="DP1533" s="24"/>
      <c r="DQ1533" s="24"/>
      <c r="DR1533" s="24"/>
      <c r="DS1533" s="24"/>
      <c r="DT1533" s="24"/>
      <c r="DU1533" s="24"/>
    </row>
    <row r="1534" spans="1:125" s="8" customFormat="1" ht="84" x14ac:dyDescent="0.2">
      <c r="A1534" s="226">
        <v>41383</v>
      </c>
      <c r="B1534" s="225" t="s">
        <v>2848</v>
      </c>
      <c r="C1534" s="227" t="s">
        <v>1904</v>
      </c>
      <c r="D1534" s="227" t="s">
        <v>2859</v>
      </c>
      <c r="E1534" s="75" t="str">
        <f>VLOOKUP(B1534&amp;C1534,Divipola!$C$2:$F$1138,4,FALSE)</f>
        <v>73622</v>
      </c>
      <c r="F1534" s="87"/>
      <c r="G1534" s="87"/>
      <c r="H1534" s="87"/>
      <c r="I1534" s="87">
        <v>5</v>
      </c>
      <c r="J1534" s="87">
        <v>1</v>
      </c>
      <c r="K1534" s="87">
        <v>1</v>
      </c>
      <c r="L1534" s="87"/>
      <c r="M1534" s="87"/>
      <c r="N1534" s="87"/>
      <c r="O1534" s="87"/>
      <c r="P1534" s="87"/>
      <c r="Q1534" s="87"/>
      <c r="R1534" s="87"/>
      <c r="S1534" s="87"/>
      <c r="T1534" s="87"/>
      <c r="U1534" s="88"/>
      <c r="V1534" s="89"/>
      <c r="W1534" s="96">
        <v>0</v>
      </c>
      <c r="X1534" s="71">
        <f>CU1534</f>
        <v>0</v>
      </c>
      <c r="Y1534" s="71">
        <f>CY1534</f>
        <v>0</v>
      </c>
      <c r="Z1534" s="71">
        <f>DA1534+DC1534+DE1534</f>
        <v>0</v>
      </c>
      <c r="AA1534" s="71">
        <f>CW1534</f>
        <v>0</v>
      </c>
      <c r="AB1534" s="71"/>
      <c r="AC1534" s="71">
        <v>0</v>
      </c>
      <c r="AD1534" s="71">
        <f>W1534+X1534+Y1534+Z1534+AA1534+AB1534+AC1534</f>
        <v>0</v>
      </c>
      <c r="AE1534" s="72">
        <v>0</v>
      </c>
      <c r="AF1534" s="5"/>
      <c r="AG1534" s="6"/>
      <c r="AH1534" s="27" t="s">
        <v>3392</v>
      </c>
      <c r="AI1534" s="44" t="s">
        <v>3393</v>
      </c>
      <c r="AJ1534" s="26"/>
      <c r="AK1534" s="5"/>
      <c r="AL1534" s="82" t="s">
        <v>4336</v>
      </c>
      <c r="AM1534" s="76"/>
      <c r="AN1534" s="76"/>
      <c r="AO1534" s="76"/>
      <c r="AP1534" s="76"/>
      <c r="AQ1534" s="76"/>
      <c r="AR1534" s="76"/>
      <c r="AS1534" s="76"/>
      <c r="AT1534" s="76"/>
      <c r="AU1534" s="76"/>
      <c r="AV1534" s="76"/>
      <c r="AW1534" s="76"/>
      <c r="AX1534" s="76">
        <f>+AW1534*600000</f>
        <v>0</v>
      </c>
      <c r="AY1534" s="76"/>
      <c r="AZ1534" s="76">
        <f>+AY1534*70000</f>
        <v>0</v>
      </c>
      <c r="BA1534" s="76"/>
      <c r="BB1534" s="76"/>
      <c r="BC1534" s="76"/>
      <c r="BD1534" s="76">
        <f>+BC1534*30000</f>
        <v>0</v>
      </c>
      <c r="BE1534" s="76"/>
      <c r="BF1534" s="76"/>
      <c r="BG1534" s="76"/>
      <c r="BH1534" s="76"/>
      <c r="BI1534" s="76"/>
      <c r="BJ1534" s="76"/>
      <c r="BK1534" s="76"/>
      <c r="BL1534" s="76">
        <f>+BK1534*31500</f>
        <v>0</v>
      </c>
      <c r="BM1534" s="76"/>
      <c r="BN1534" s="76"/>
      <c r="BO1534" s="76"/>
      <c r="BP1534" s="76"/>
      <c r="BQ1534" s="76"/>
      <c r="BR1534" s="76"/>
      <c r="BS1534" s="76"/>
      <c r="BT1534" s="76"/>
      <c r="BU1534" s="76"/>
      <c r="BV1534" s="76"/>
      <c r="BW1534" s="76"/>
      <c r="BX1534" s="76"/>
      <c r="BY1534" s="76"/>
      <c r="BZ1534" s="76"/>
      <c r="CA1534" s="76"/>
      <c r="CB1534" s="76"/>
      <c r="CC1534" s="76"/>
      <c r="CD1534" s="76"/>
      <c r="CE1534" s="76"/>
      <c r="CF1534" s="76">
        <f>+CE1534*28000</f>
        <v>0</v>
      </c>
      <c r="CG1534" s="76"/>
      <c r="CH1534" s="76">
        <f>+CG1534*22500</f>
        <v>0</v>
      </c>
      <c r="CI1534" s="76"/>
      <c r="CJ1534" s="76">
        <f>+CI1534*26000</f>
        <v>0</v>
      </c>
      <c r="CK1534" s="76"/>
      <c r="CL1534" s="76"/>
      <c r="CM1534" s="76"/>
      <c r="CN1534" s="76">
        <f>+CM1534*22000</f>
        <v>0</v>
      </c>
      <c r="CO1534" s="76"/>
      <c r="CP1534" s="76">
        <f>+CO1534*46000</f>
        <v>0</v>
      </c>
      <c r="CQ1534" s="76"/>
      <c r="CR1534" s="76">
        <f>+CQ1534*49000</f>
        <v>0</v>
      </c>
      <c r="CS1534" s="76"/>
      <c r="CT1534" s="76"/>
      <c r="CU1534" s="56">
        <f>AN1534+AP1534+AR1534+AT1534+AV1534+AX1534+AZ1534+BB1534+BD1534+BF1534+BH1534+BJ1534+BL1534+BN1534+BP1534+BR1534+BT1534+BV1534+BX1534+BZ1534+CB1534+CD1534+CF1534+CH1534+CJ1534+CL1534+CN1534+CP1534+CR1534+CT1534</f>
        <v>0</v>
      </c>
      <c r="CV1534" s="76"/>
      <c r="CW1534" s="76">
        <f>+CV1534*1100</f>
        <v>0</v>
      </c>
      <c r="CX1534" s="76"/>
      <c r="CY1534" s="76">
        <f>+CX1534*106250</f>
        <v>0</v>
      </c>
      <c r="CZ1534" s="76"/>
      <c r="DA1534" s="76">
        <f>+CZ1534*34500</f>
        <v>0</v>
      </c>
      <c r="DB1534" s="76"/>
      <c r="DC1534" s="76">
        <f>+DB1534*25000</f>
        <v>0</v>
      </c>
      <c r="DD1534" s="219"/>
      <c r="DE1534" s="219"/>
      <c r="DF1534" s="166"/>
      <c r="DG1534" s="116"/>
      <c r="DH1534" s="117"/>
      <c r="DI1534" s="24"/>
      <c r="DJ1534" s="24"/>
      <c r="DK1534" s="24"/>
      <c r="DL1534" s="24"/>
      <c r="DM1534" s="24"/>
      <c r="DN1534" s="24"/>
      <c r="DO1534" s="24"/>
      <c r="DP1534" s="24"/>
      <c r="DQ1534" s="24"/>
      <c r="DR1534" s="24"/>
      <c r="DS1534" s="24"/>
      <c r="DT1534" s="24"/>
      <c r="DU1534" s="24"/>
    </row>
    <row r="1535" spans="1:125" s="8" customFormat="1" ht="108" x14ac:dyDescent="0.2">
      <c r="A1535" s="226">
        <v>41383</v>
      </c>
      <c r="B1535" s="225" t="s">
        <v>2848</v>
      </c>
      <c r="C1535" s="227" t="s">
        <v>2211</v>
      </c>
      <c r="D1535" s="227" t="s">
        <v>2882</v>
      </c>
      <c r="E1535" s="75" t="str">
        <f>VLOOKUP(B1535&amp;C1535,Divipola!$C$2:$F$1138,4,FALSE)</f>
        <v>73861</v>
      </c>
      <c r="F1535" s="87"/>
      <c r="G1535" s="87"/>
      <c r="H1535" s="87"/>
      <c r="I1535" s="87"/>
      <c r="J1535" s="87"/>
      <c r="K1535" s="87"/>
      <c r="L1535" s="87"/>
      <c r="M1535" s="87">
        <v>1</v>
      </c>
      <c r="N1535" s="87"/>
      <c r="O1535" s="87"/>
      <c r="P1535" s="87"/>
      <c r="Q1535" s="87"/>
      <c r="R1535" s="87"/>
      <c r="S1535" s="87"/>
      <c r="T1535" s="87"/>
      <c r="U1535" s="88"/>
      <c r="V1535" s="89"/>
      <c r="W1535" s="96">
        <v>0</v>
      </c>
      <c r="X1535" s="71">
        <f>CU1535</f>
        <v>0</v>
      </c>
      <c r="Y1535" s="71">
        <f>CY1535</f>
        <v>0</v>
      </c>
      <c r="Z1535" s="71">
        <f>DA1535+DC1535+DE1535</f>
        <v>0</v>
      </c>
      <c r="AA1535" s="71">
        <f>CW1535</f>
        <v>0</v>
      </c>
      <c r="AB1535" s="71"/>
      <c r="AC1535" s="71">
        <v>0</v>
      </c>
      <c r="AD1535" s="71">
        <f>W1535+X1535+Y1535+Z1535+AA1535+AB1535+AC1535</f>
        <v>0</v>
      </c>
      <c r="AE1535" s="72">
        <v>0</v>
      </c>
      <c r="AF1535" s="5"/>
      <c r="AG1535" s="6"/>
      <c r="AH1535" s="27" t="s">
        <v>3392</v>
      </c>
      <c r="AI1535" s="44" t="s">
        <v>3393</v>
      </c>
      <c r="AJ1535" s="26"/>
      <c r="AK1535" s="5"/>
      <c r="AL1535" s="82" t="s">
        <v>4323</v>
      </c>
      <c r="AM1535" s="76"/>
      <c r="AN1535" s="76"/>
      <c r="AO1535" s="76"/>
      <c r="AP1535" s="76"/>
      <c r="AQ1535" s="76"/>
      <c r="AR1535" s="76"/>
      <c r="AS1535" s="76"/>
      <c r="AT1535" s="76"/>
      <c r="AU1535" s="76"/>
      <c r="AV1535" s="76"/>
      <c r="AW1535" s="76"/>
      <c r="AX1535" s="76">
        <f>+AW1535*600000</f>
        <v>0</v>
      </c>
      <c r="AY1535" s="76"/>
      <c r="AZ1535" s="76">
        <f>+AY1535*70000</f>
        <v>0</v>
      </c>
      <c r="BA1535" s="76"/>
      <c r="BB1535" s="76"/>
      <c r="BC1535" s="76"/>
      <c r="BD1535" s="76">
        <f>+BC1535*30000</f>
        <v>0</v>
      </c>
      <c r="BE1535" s="76"/>
      <c r="BF1535" s="76"/>
      <c r="BG1535" s="76"/>
      <c r="BH1535" s="76"/>
      <c r="BI1535" s="76"/>
      <c r="BJ1535" s="76"/>
      <c r="BK1535" s="76"/>
      <c r="BL1535" s="76">
        <f>+BK1535*31500</f>
        <v>0</v>
      </c>
      <c r="BM1535" s="76"/>
      <c r="BN1535" s="76"/>
      <c r="BO1535" s="76"/>
      <c r="BP1535" s="76"/>
      <c r="BQ1535" s="76"/>
      <c r="BR1535" s="76"/>
      <c r="BS1535" s="76"/>
      <c r="BT1535" s="76"/>
      <c r="BU1535" s="76"/>
      <c r="BV1535" s="76"/>
      <c r="BW1535" s="76"/>
      <c r="BX1535" s="76"/>
      <c r="BY1535" s="76"/>
      <c r="BZ1535" s="76"/>
      <c r="CA1535" s="76"/>
      <c r="CB1535" s="76"/>
      <c r="CC1535" s="76"/>
      <c r="CD1535" s="76"/>
      <c r="CE1535" s="76"/>
      <c r="CF1535" s="76">
        <f>+CE1535*28000</f>
        <v>0</v>
      </c>
      <c r="CG1535" s="76"/>
      <c r="CH1535" s="76">
        <f>+CG1535*22500</f>
        <v>0</v>
      </c>
      <c r="CI1535" s="76"/>
      <c r="CJ1535" s="76">
        <f>+CI1535*26000</f>
        <v>0</v>
      </c>
      <c r="CK1535" s="76"/>
      <c r="CL1535" s="76"/>
      <c r="CM1535" s="76"/>
      <c r="CN1535" s="76">
        <f>+CM1535*22000</f>
        <v>0</v>
      </c>
      <c r="CO1535" s="76"/>
      <c r="CP1535" s="76">
        <f>+CO1535*46000</f>
        <v>0</v>
      </c>
      <c r="CQ1535" s="76"/>
      <c r="CR1535" s="76">
        <f>+CQ1535*49000</f>
        <v>0</v>
      </c>
      <c r="CS1535" s="76"/>
      <c r="CT1535" s="76"/>
      <c r="CU1535" s="56">
        <f>AN1535+AP1535+AR1535+AT1535+AV1535+AX1535+AZ1535+BB1535+BD1535+BF1535+BH1535+BJ1535+BL1535+BN1535+BP1535+BR1535+BT1535+BV1535+BX1535+BZ1535+CB1535+CD1535+CF1535+CH1535+CJ1535+CL1535+CN1535+CP1535+CR1535+CT1535</f>
        <v>0</v>
      </c>
      <c r="CV1535" s="76"/>
      <c r="CW1535" s="76">
        <f>+CV1535*1100</f>
        <v>0</v>
      </c>
      <c r="CX1535" s="76"/>
      <c r="CY1535" s="76">
        <f>+CX1535*106250</f>
        <v>0</v>
      </c>
      <c r="CZ1535" s="76"/>
      <c r="DA1535" s="76">
        <f>+CZ1535*34500</f>
        <v>0</v>
      </c>
      <c r="DB1535" s="76"/>
      <c r="DC1535" s="76">
        <f>+DB1535*25000</f>
        <v>0</v>
      </c>
      <c r="DD1535" s="219"/>
      <c r="DE1535" s="219"/>
      <c r="DF1535" s="166"/>
      <c r="DG1535" s="116"/>
      <c r="DH1535" s="117"/>
      <c r="DI1535" s="24"/>
      <c r="DJ1535" s="24"/>
      <c r="DK1535" s="24"/>
      <c r="DL1535" s="24"/>
      <c r="DM1535" s="24"/>
      <c r="DN1535" s="24"/>
      <c r="DO1535" s="24"/>
      <c r="DP1535" s="24"/>
      <c r="DQ1535" s="24"/>
      <c r="DR1535" s="24"/>
      <c r="DS1535" s="24"/>
      <c r="DT1535" s="24"/>
      <c r="DU1535" s="24"/>
    </row>
    <row r="1536" spans="1:125" s="8" customFormat="1" ht="84" x14ac:dyDescent="0.2">
      <c r="A1536" s="226">
        <v>41383</v>
      </c>
      <c r="B1536" s="225" t="s">
        <v>2851</v>
      </c>
      <c r="C1536" s="227" t="s">
        <v>2089</v>
      </c>
      <c r="D1536" s="227" t="s">
        <v>3194</v>
      </c>
      <c r="E1536" s="75" t="str">
        <f>VLOOKUP(B1536&amp;C1536,Divipola!$C$2:$F$1138,4,FALSE)</f>
        <v>76823</v>
      </c>
      <c r="F1536" s="87"/>
      <c r="G1536" s="87"/>
      <c r="H1536" s="87"/>
      <c r="I1536" s="87">
        <v>35</v>
      </c>
      <c r="J1536" s="87">
        <v>7</v>
      </c>
      <c r="K1536" s="87"/>
      <c r="L1536" s="87">
        <v>7</v>
      </c>
      <c r="M1536" s="87"/>
      <c r="N1536" s="87"/>
      <c r="O1536" s="87"/>
      <c r="P1536" s="87"/>
      <c r="Q1536" s="87"/>
      <c r="R1536" s="87"/>
      <c r="S1536" s="87">
        <v>1</v>
      </c>
      <c r="T1536" s="87"/>
      <c r="U1536" s="88"/>
      <c r="V1536" s="89"/>
      <c r="W1536" s="96">
        <v>0</v>
      </c>
      <c r="X1536" s="71">
        <f>CU1536</f>
        <v>0</v>
      </c>
      <c r="Y1536" s="71">
        <f>CY1536</f>
        <v>0</v>
      </c>
      <c r="Z1536" s="71">
        <f>DA1536+DC1536+DE1536</f>
        <v>0</v>
      </c>
      <c r="AA1536" s="71">
        <f>CW1536</f>
        <v>0</v>
      </c>
      <c r="AB1536" s="71"/>
      <c r="AC1536" s="71">
        <v>0</v>
      </c>
      <c r="AD1536" s="71">
        <f>W1536+X1536+Y1536+Z1536+AA1536+AB1536+AC1536</f>
        <v>0</v>
      </c>
      <c r="AE1536" s="72">
        <v>0</v>
      </c>
      <c r="AF1536" s="5"/>
      <c r="AG1536" s="6"/>
      <c r="AH1536" s="27" t="s">
        <v>3392</v>
      </c>
      <c r="AI1536" s="44" t="s">
        <v>3393</v>
      </c>
      <c r="AJ1536" s="26"/>
      <c r="AK1536" s="5"/>
      <c r="AL1536" s="82" t="s">
        <v>4342</v>
      </c>
      <c r="AM1536" s="76"/>
      <c r="AN1536" s="76"/>
      <c r="AO1536" s="76"/>
      <c r="AP1536" s="76"/>
      <c r="AQ1536" s="76"/>
      <c r="AR1536" s="76"/>
      <c r="AS1536" s="76"/>
      <c r="AT1536" s="76"/>
      <c r="AU1536" s="76"/>
      <c r="AV1536" s="76"/>
      <c r="AW1536" s="76"/>
      <c r="AX1536" s="76">
        <f>+AW1536*600000</f>
        <v>0</v>
      </c>
      <c r="AY1536" s="76"/>
      <c r="AZ1536" s="76">
        <f>+AY1536*70000</f>
        <v>0</v>
      </c>
      <c r="BA1536" s="76"/>
      <c r="BB1536" s="76"/>
      <c r="BC1536" s="76"/>
      <c r="BD1536" s="76">
        <f>+BC1536*30000</f>
        <v>0</v>
      </c>
      <c r="BE1536" s="76"/>
      <c r="BF1536" s="76"/>
      <c r="BG1536" s="76"/>
      <c r="BH1536" s="76"/>
      <c r="BI1536" s="76"/>
      <c r="BJ1536" s="76"/>
      <c r="BK1536" s="76"/>
      <c r="BL1536" s="76">
        <f>+BK1536*31500</f>
        <v>0</v>
      </c>
      <c r="BM1536" s="76"/>
      <c r="BN1536" s="76"/>
      <c r="BO1536" s="76"/>
      <c r="BP1536" s="76"/>
      <c r="BQ1536" s="76"/>
      <c r="BR1536" s="76"/>
      <c r="BS1536" s="76"/>
      <c r="BT1536" s="76"/>
      <c r="BU1536" s="76"/>
      <c r="BV1536" s="76"/>
      <c r="BW1536" s="76"/>
      <c r="BX1536" s="76"/>
      <c r="BY1536" s="76"/>
      <c r="BZ1536" s="76"/>
      <c r="CA1536" s="76"/>
      <c r="CB1536" s="76"/>
      <c r="CC1536" s="76"/>
      <c r="CD1536" s="76"/>
      <c r="CE1536" s="76"/>
      <c r="CF1536" s="76">
        <f>+CE1536*28000</f>
        <v>0</v>
      </c>
      <c r="CG1536" s="76"/>
      <c r="CH1536" s="76">
        <f>+CG1536*22500</f>
        <v>0</v>
      </c>
      <c r="CI1536" s="76"/>
      <c r="CJ1536" s="76">
        <f>+CI1536*26000</f>
        <v>0</v>
      </c>
      <c r="CK1536" s="76"/>
      <c r="CL1536" s="76"/>
      <c r="CM1536" s="76"/>
      <c r="CN1536" s="76">
        <f>+CM1536*22000</f>
        <v>0</v>
      </c>
      <c r="CO1536" s="76"/>
      <c r="CP1536" s="76">
        <f>+CO1536*46000</f>
        <v>0</v>
      </c>
      <c r="CQ1536" s="76"/>
      <c r="CR1536" s="76">
        <f>+CQ1536*49000</f>
        <v>0</v>
      </c>
      <c r="CS1536" s="76"/>
      <c r="CT1536" s="76"/>
      <c r="CU1536" s="56">
        <f>AN1536+AP1536+AR1536+AT1536+AV1536+AX1536+AZ1536+BB1536+BD1536+BF1536+BH1536+BJ1536+BL1536+BN1536+BP1536+BR1536+BT1536+BV1536+BX1536+BZ1536+CB1536+CD1536+CF1536+CH1536+CJ1536+CL1536+CN1536+CP1536+CR1536+CT1536</f>
        <v>0</v>
      </c>
      <c r="CV1536" s="76"/>
      <c r="CW1536" s="76">
        <f>+CV1536*1100</f>
        <v>0</v>
      </c>
      <c r="CX1536" s="76"/>
      <c r="CY1536" s="76">
        <f>+CX1536*106250</f>
        <v>0</v>
      </c>
      <c r="CZ1536" s="76"/>
      <c r="DA1536" s="76">
        <f>+CZ1536*34500</f>
        <v>0</v>
      </c>
      <c r="DB1536" s="76"/>
      <c r="DC1536" s="76">
        <f>+DB1536*25000</f>
        <v>0</v>
      </c>
      <c r="DD1536" s="219"/>
      <c r="DE1536" s="219"/>
      <c r="DF1536" s="166"/>
      <c r="DG1536" s="116"/>
      <c r="DH1536" s="117"/>
      <c r="DI1536" s="24"/>
      <c r="DJ1536" s="24"/>
      <c r="DK1536" s="24"/>
      <c r="DL1536" s="24"/>
      <c r="DM1536" s="24"/>
      <c r="DN1536" s="24"/>
      <c r="DO1536" s="24"/>
      <c r="DP1536" s="24"/>
      <c r="DQ1536" s="24"/>
      <c r="DR1536" s="24"/>
      <c r="DS1536" s="24"/>
      <c r="DT1536" s="24"/>
      <c r="DU1536" s="24"/>
    </row>
    <row r="1537" spans="1:125" s="8" customFormat="1" ht="180" x14ac:dyDescent="0.2">
      <c r="A1537" s="226">
        <v>41384</v>
      </c>
      <c r="B1537" s="225" t="s">
        <v>529</v>
      </c>
      <c r="C1537" s="227" t="s">
        <v>529</v>
      </c>
      <c r="D1537" s="84" t="s">
        <v>3088</v>
      </c>
      <c r="E1537" s="75" t="str">
        <f>VLOOKUP(B1537&amp;C1537,Divipola!$C$2:$F$1138,4,FALSE)</f>
        <v>11001</v>
      </c>
      <c r="F1537" s="87"/>
      <c r="G1537" s="87"/>
      <c r="H1537" s="87"/>
      <c r="I1537" s="87"/>
      <c r="J1537" s="87"/>
      <c r="K1537" s="87"/>
      <c r="L1537" s="87"/>
      <c r="M1537" s="87"/>
      <c r="N1537" s="87"/>
      <c r="O1537" s="87"/>
      <c r="P1537" s="87"/>
      <c r="Q1537" s="87"/>
      <c r="R1537" s="87"/>
      <c r="S1537" s="87"/>
      <c r="T1537" s="87"/>
      <c r="U1537" s="88"/>
      <c r="V1537" s="89"/>
      <c r="W1537" s="96">
        <v>0</v>
      </c>
      <c r="X1537" s="71">
        <f>CU1537</f>
        <v>0</v>
      </c>
      <c r="Y1537" s="71">
        <f>CY1537</f>
        <v>0</v>
      </c>
      <c r="Z1537" s="71">
        <f>DA1537+DC1537+DE1537</f>
        <v>0</v>
      </c>
      <c r="AA1537" s="71">
        <f>CW1537</f>
        <v>0</v>
      </c>
      <c r="AB1537" s="71"/>
      <c r="AC1537" s="71">
        <v>0</v>
      </c>
      <c r="AD1537" s="71">
        <f>W1537+X1537+Y1537+Z1537+AA1537+AB1537+AC1537</f>
        <v>0</v>
      </c>
      <c r="AE1537" s="72">
        <v>0</v>
      </c>
      <c r="AF1537" s="5"/>
      <c r="AG1537" s="6"/>
      <c r="AH1537" s="27" t="s">
        <v>3392</v>
      </c>
      <c r="AI1537" s="44" t="s">
        <v>3393</v>
      </c>
      <c r="AJ1537" s="26"/>
      <c r="AK1537" s="5"/>
      <c r="AL1537" s="82" t="s">
        <v>4347</v>
      </c>
      <c r="AM1537" s="76"/>
      <c r="AN1537" s="76"/>
      <c r="AO1537" s="76"/>
      <c r="AP1537" s="76"/>
      <c r="AQ1537" s="76"/>
      <c r="AR1537" s="76"/>
      <c r="AS1537" s="76"/>
      <c r="AT1537" s="76"/>
      <c r="AU1537" s="76"/>
      <c r="AV1537" s="76"/>
      <c r="AW1537" s="76"/>
      <c r="AX1537" s="76">
        <f>+AW1537*600000</f>
        <v>0</v>
      </c>
      <c r="AY1537" s="76"/>
      <c r="AZ1537" s="76">
        <f>+AY1537*70000</f>
        <v>0</v>
      </c>
      <c r="BA1537" s="76"/>
      <c r="BB1537" s="76"/>
      <c r="BC1537" s="76"/>
      <c r="BD1537" s="76">
        <f>+BC1537*30000</f>
        <v>0</v>
      </c>
      <c r="BE1537" s="76"/>
      <c r="BF1537" s="76"/>
      <c r="BG1537" s="76"/>
      <c r="BH1537" s="76"/>
      <c r="BI1537" s="76"/>
      <c r="BJ1537" s="76"/>
      <c r="BK1537" s="76"/>
      <c r="BL1537" s="76">
        <f>+BK1537*31500</f>
        <v>0</v>
      </c>
      <c r="BM1537" s="76"/>
      <c r="BN1537" s="76"/>
      <c r="BO1537" s="76"/>
      <c r="BP1537" s="76"/>
      <c r="BQ1537" s="76"/>
      <c r="BR1537" s="76"/>
      <c r="BS1537" s="76"/>
      <c r="BT1537" s="76"/>
      <c r="BU1537" s="76"/>
      <c r="BV1537" s="76"/>
      <c r="BW1537" s="76"/>
      <c r="BX1537" s="76"/>
      <c r="BY1537" s="76"/>
      <c r="BZ1537" s="76"/>
      <c r="CA1537" s="76"/>
      <c r="CB1537" s="76"/>
      <c r="CC1537" s="76"/>
      <c r="CD1537" s="76"/>
      <c r="CE1537" s="76"/>
      <c r="CF1537" s="76">
        <f>+CE1537*28000</f>
        <v>0</v>
      </c>
      <c r="CG1537" s="76"/>
      <c r="CH1537" s="76">
        <f>+CG1537*22500</f>
        <v>0</v>
      </c>
      <c r="CI1537" s="76"/>
      <c r="CJ1537" s="76">
        <f>+CI1537*26000</f>
        <v>0</v>
      </c>
      <c r="CK1537" s="76"/>
      <c r="CL1537" s="76"/>
      <c r="CM1537" s="76"/>
      <c r="CN1537" s="76">
        <f>+CM1537*22000</f>
        <v>0</v>
      </c>
      <c r="CO1537" s="76"/>
      <c r="CP1537" s="76">
        <f>+CO1537*46000</f>
        <v>0</v>
      </c>
      <c r="CQ1537" s="76"/>
      <c r="CR1537" s="76">
        <f>+CQ1537*49000</f>
        <v>0</v>
      </c>
      <c r="CS1537" s="76"/>
      <c r="CT1537" s="76"/>
      <c r="CU1537" s="56">
        <f>AN1537+AP1537+AR1537+AT1537+AV1537+AX1537+AZ1537+BB1537+BD1537+BF1537+BH1537+BJ1537+BL1537+BN1537+BP1537+BR1537+BT1537+BV1537+BX1537+BZ1537+CB1537+CD1537+CF1537+CH1537+CJ1537+CL1537+CN1537+CP1537+CR1537+CT1537</f>
        <v>0</v>
      </c>
      <c r="CV1537" s="76"/>
      <c r="CW1537" s="76">
        <f>+CV1537*1100</f>
        <v>0</v>
      </c>
      <c r="CX1537" s="76"/>
      <c r="CY1537" s="76">
        <f>+CX1537*106250</f>
        <v>0</v>
      </c>
      <c r="CZ1537" s="76"/>
      <c r="DA1537" s="76">
        <f>+CZ1537*34500</f>
        <v>0</v>
      </c>
      <c r="DB1537" s="76"/>
      <c r="DC1537" s="76">
        <f>+DB1537*25000</f>
        <v>0</v>
      </c>
      <c r="DD1537" s="219"/>
      <c r="DE1537" s="219"/>
      <c r="DF1537" s="166"/>
      <c r="DG1537" s="116"/>
      <c r="DH1537" s="117"/>
      <c r="DI1537" s="24"/>
      <c r="DJ1537" s="24"/>
      <c r="DK1537" s="24"/>
      <c r="DL1537" s="24"/>
      <c r="DM1537" s="24"/>
      <c r="DN1537" s="24"/>
      <c r="DO1537" s="24"/>
      <c r="DP1537" s="24"/>
      <c r="DQ1537" s="24"/>
      <c r="DR1537" s="24"/>
      <c r="DS1537" s="24"/>
      <c r="DT1537" s="24"/>
      <c r="DU1537" s="24"/>
    </row>
    <row r="1538" spans="1:125" s="8" customFormat="1" ht="168" x14ac:dyDescent="0.2">
      <c r="A1538" s="353">
        <v>41384</v>
      </c>
      <c r="B1538" s="352" t="s">
        <v>529</v>
      </c>
      <c r="C1538" s="354" t="s">
        <v>529</v>
      </c>
      <c r="D1538" s="75" t="s">
        <v>3051</v>
      </c>
      <c r="E1538" s="75" t="str">
        <f>VLOOKUP(B1538&amp;C1538,Divipola!$C$2:$F$1138,4,FALSE)</f>
        <v>11001</v>
      </c>
      <c r="F1538" s="87"/>
      <c r="G1538" s="87"/>
      <c r="H1538" s="87"/>
      <c r="I1538" s="87"/>
      <c r="J1538" s="87"/>
      <c r="K1538" s="87"/>
      <c r="L1538" s="87"/>
      <c r="M1538" s="87"/>
      <c r="N1538" s="87"/>
      <c r="O1538" s="87"/>
      <c r="P1538" s="87"/>
      <c r="Q1538" s="87"/>
      <c r="R1538" s="87"/>
      <c r="S1538" s="87"/>
      <c r="T1538" s="87"/>
      <c r="U1538" s="88"/>
      <c r="V1538" s="89"/>
      <c r="W1538" s="96">
        <v>0</v>
      </c>
      <c r="X1538" s="71">
        <f>CU1538</f>
        <v>0</v>
      </c>
      <c r="Y1538" s="71">
        <f>CY1538</f>
        <v>0</v>
      </c>
      <c r="Z1538" s="71">
        <f>DA1538+DC1538+DE1538</f>
        <v>0</v>
      </c>
      <c r="AA1538" s="71">
        <f>CW1538</f>
        <v>0</v>
      </c>
      <c r="AB1538" s="71"/>
      <c r="AC1538" s="71">
        <v>0</v>
      </c>
      <c r="AD1538" s="71">
        <f>W1538+X1538+Y1538+Z1538+AA1538+AB1538+AC1538</f>
        <v>0</v>
      </c>
      <c r="AE1538" s="72">
        <v>0</v>
      </c>
      <c r="AF1538" s="5"/>
      <c r="AG1538" s="6"/>
      <c r="AH1538" s="27" t="s">
        <v>3392</v>
      </c>
      <c r="AI1538" s="44" t="s">
        <v>3393</v>
      </c>
      <c r="AJ1538" s="26"/>
      <c r="AK1538" s="5"/>
      <c r="AL1538" s="82" t="s">
        <v>4348</v>
      </c>
      <c r="AM1538" s="76"/>
      <c r="AN1538" s="76"/>
      <c r="AO1538" s="76"/>
      <c r="AP1538" s="76"/>
      <c r="AQ1538" s="76"/>
      <c r="AR1538" s="76"/>
      <c r="AS1538" s="76"/>
      <c r="AT1538" s="76"/>
      <c r="AU1538" s="76"/>
      <c r="AV1538" s="76"/>
      <c r="AW1538" s="76"/>
      <c r="AX1538" s="76">
        <f>+AW1538*600000</f>
        <v>0</v>
      </c>
      <c r="AY1538" s="76"/>
      <c r="AZ1538" s="76">
        <f>+AY1538*70000</f>
        <v>0</v>
      </c>
      <c r="BA1538" s="76"/>
      <c r="BB1538" s="76"/>
      <c r="BC1538" s="76"/>
      <c r="BD1538" s="76">
        <f>+BC1538*30000</f>
        <v>0</v>
      </c>
      <c r="BE1538" s="76"/>
      <c r="BF1538" s="76"/>
      <c r="BG1538" s="76"/>
      <c r="BH1538" s="76"/>
      <c r="BI1538" s="76"/>
      <c r="BJ1538" s="76"/>
      <c r="BK1538" s="76"/>
      <c r="BL1538" s="76">
        <f>+BK1538*31500</f>
        <v>0</v>
      </c>
      <c r="BM1538" s="76"/>
      <c r="BN1538" s="76"/>
      <c r="BO1538" s="76"/>
      <c r="BP1538" s="76"/>
      <c r="BQ1538" s="76"/>
      <c r="BR1538" s="76"/>
      <c r="BS1538" s="76"/>
      <c r="BT1538" s="76"/>
      <c r="BU1538" s="76"/>
      <c r="BV1538" s="76"/>
      <c r="BW1538" s="76"/>
      <c r="BX1538" s="76"/>
      <c r="BY1538" s="76"/>
      <c r="BZ1538" s="76"/>
      <c r="CA1538" s="76"/>
      <c r="CB1538" s="76"/>
      <c r="CC1538" s="76"/>
      <c r="CD1538" s="76"/>
      <c r="CE1538" s="76"/>
      <c r="CF1538" s="76">
        <f>+CE1538*28000</f>
        <v>0</v>
      </c>
      <c r="CG1538" s="76"/>
      <c r="CH1538" s="76">
        <f>+CG1538*22500</f>
        <v>0</v>
      </c>
      <c r="CI1538" s="76"/>
      <c r="CJ1538" s="76">
        <f>+CI1538*26000</f>
        <v>0</v>
      </c>
      <c r="CK1538" s="76"/>
      <c r="CL1538" s="76"/>
      <c r="CM1538" s="76"/>
      <c r="CN1538" s="76">
        <f>+CM1538*22000</f>
        <v>0</v>
      </c>
      <c r="CO1538" s="76"/>
      <c r="CP1538" s="76">
        <f>+CO1538*46000</f>
        <v>0</v>
      </c>
      <c r="CQ1538" s="76"/>
      <c r="CR1538" s="76">
        <f>+CQ1538*49000</f>
        <v>0</v>
      </c>
      <c r="CS1538" s="76"/>
      <c r="CT1538" s="76"/>
      <c r="CU1538" s="56">
        <f>AN1538+AP1538+AR1538+AT1538+AV1538+AX1538+AZ1538+BB1538+BD1538+BF1538+BH1538+BJ1538+BL1538+BN1538+BP1538+BR1538+BT1538+BV1538+BX1538+BZ1538+CB1538+CD1538+CF1538+CH1538+CJ1538+CL1538+CN1538+CP1538+CR1538+CT1538</f>
        <v>0</v>
      </c>
      <c r="CV1538" s="76"/>
      <c r="CW1538" s="76">
        <f>+CV1538*1100</f>
        <v>0</v>
      </c>
      <c r="CX1538" s="76"/>
      <c r="CY1538" s="76">
        <f>+CX1538*106250</f>
        <v>0</v>
      </c>
      <c r="CZ1538" s="76"/>
      <c r="DA1538" s="76">
        <f>+CZ1538*34500</f>
        <v>0</v>
      </c>
      <c r="DB1538" s="76"/>
      <c r="DC1538" s="76">
        <f>+DB1538*25000</f>
        <v>0</v>
      </c>
      <c r="DD1538" s="219"/>
      <c r="DE1538" s="219"/>
      <c r="DF1538" s="166"/>
      <c r="DG1538" s="116"/>
      <c r="DH1538" s="117"/>
      <c r="DI1538" s="24"/>
      <c r="DJ1538" s="24"/>
      <c r="DK1538" s="24"/>
      <c r="DL1538" s="24"/>
      <c r="DM1538" s="24"/>
      <c r="DN1538" s="24"/>
      <c r="DO1538" s="24"/>
      <c r="DP1538" s="24"/>
      <c r="DQ1538" s="24"/>
      <c r="DR1538" s="24"/>
      <c r="DS1538" s="24"/>
      <c r="DT1538" s="24"/>
      <c r="DU1538" s="24"/>
    </row>
    <row r="1539" spans="1:125" s="8" customFormat="1" ht="72" x14ac:dyDescent="0.2">
      <c r="A1539" s="226">
        <v>41384</v>
      </c>
      <c r="B1539" s="225" t="s">
        <v>2700</v>
      </c>
      <c r="C1539" s="227" t="s">
        <v>1698</v>
      </c>
      <c r="D1539" s="75" t="s">
        <v>3051</v>
      </c>
      <c r="E1539" s="75" t="str">
        <f>VLOOKUP(B1539&amp;C1539,Divipola!$C$2:$F$1138,4,FALSE)</f>
        <v>15176</v>
      </c>
      <c r="F1539" s="87"/>
      <c r="G1539" s="87"/>
      <c r="H1539" s="87"/>
      <c r="I1539" s="87"/>
      <c r="J1539" s="87"/>
      <c r="K1539" s="87"/>
      <c r="L1539" s="87"/>
      <c r="M1539" s="87"/>
      <c r="N1539" s="87"/>
      <c r="O1539" s="87"/>
      <c r="P1539" s="87"/>
      <c r="Q1539" s="87"/>
      <c r="R1539" s="87"/>
      <c r="S1539" s="87"/>
      <c r="T1539" s="87"/>
      <c r="U1539" s="88"/>
      <c r="V1539" s="89"/>
      <c r="W1539" s="96">
        <v>0</v>
      </c>
      <c r="X1539" s="71">
        <f>CU1539</f>
        <v>0</v>
      </c>
      <c r="Y1539" s="71">
        <f>CY1539</f>
        <v>0</v>
      </c>
      <c r="Z1539" s="71">
        <f>DA1539+DC1539+DE1539</f>
        <v>0</v>
      </c>
      <c r="AA1539" s="71">
        <f>CW1539</f>
        <v>0</v>
      </c>
      <c r="AB1539" s="71"/>
      <c r="AC1539" s="71">
        <v>0</v>
      </c>
      <c r="AD1539" s="71">
        <f>W1539+X1539+Y1539+Z1539+AA1539+AB1539+AC1539</f>
        <v>0</v>
      </c>
      <c r="AE1539" s="72">
        <v>0</v>
      </c>
      <c r="AF1539" s="5"/>
      <c r="AG1539" s="6"/>
      <c r="AH1539" s="27" t="s">
        <v>3392</v>
      </c>
      <c r="AI1539" s="44" t="s">
        <v>3393</v>
      </c>
      <c r="AJ1539" s="26"/>
      <c r="AK1539" s="5"/>
      <c r="AL1539" s="82" t="s">
        <v>4355</v>
      </c>
      <c r="AM1539" s="76"/>
      <c r="AN1539" s="76"/>
      <c r="AO1539" s="76"/>
      <c r="AP1539" s="76"/>
      <c r="AQ1539" s="76"/>
      <c r="AR1539" s="76"/>
      <c r="AS1539" s="76"/>
      <c r="AT1539" s="76"/>
      <c r="AU1539" s="76"/>
      <c r="AV1539" s="76"/>
      <c r="AW1539" s="76"/>
      <c r="AX1539" s="76">
        <f>+AW1539*600000</f>
        <v>0</v>
      </c>
      <c r="AY1539" s="76"/>
      <c r="AZ1539" s="76">
        <f>+AY1539*70000</f>
        <v>0</v>
      </c>
      <c r="BA1539" s="76"/>
      <c r="BB1539" s="76"/>
      <c r="BC1539" s="76"/>
      <c r="BD1539" s="76">
        <f>+BC1539*30000</f>
        <v>0</v>
      </c>
      <c r="BE1539" s="76"/>
      <c r="BF1539" s="76"/>
      <c r="BG1539" s="76"/>
      <c r="BH1539" s="76"/>
      <c r="BI1539" s="76"/>
      <c r="BJ1539" s="76"/>
      <c r="BK1539" s="76"/>
      <c r="BL1539" s="76">
        <f>+BK1539*31500</f>
        <v>0</v>
      </c>
      <c r="BM1539" s="76"/>
      <c r="BN1539" s="76"/>
      <c r="BO1539" s="76"/>
      <c r="BP1539" s="76"/>
      <c r="BQ1539" s="76"/>
      <c r="BR1539" s="76"/>
      <c r="BS1539" s="76"/>
      <c r="BT1539" s="76"/>
      <c r="BU1539" s="76"/>
      <c r="BV1539" s="76"/>
      <c r="BW1539" s="76"/>
      <c r="BX1539" s="76"/>
      <c r="BY1539" s="76"/>
      <c r="BZ1539" s="76"/>
      <c r="CA1539" s="76"/>
      <c r="CB1539" s="76"/>
      <c r="CC1539" s="76"/>
      <c r="CD1539" s="76"/>
      <c r="CE1539" s="76"/>
      <c r="CF1539" s="76">
        <f>+CE1539*28000</f>
        <v>0</v>
      </c>
      <c r="CG1539" s="76"/>
      <c r="CH1539" s="76">
        <f>+CG1539*22500</f>
        <v>0</v>
      </c>
      <c r="CI1539" s="76"/>
      <c r="CJ1539" s="76">
        <f>+CI1539*26000</f>
        <v>0</v>
      </c>
      <c r="CK1539" s="76"/>
      <c r="CL1539" s="76"/>
      <c r="CM1539" s="76"/>
      <c r="CN1539" s="76">
        <f>+CM1539*22000</f>
        <v>0</v>
      </c>
      <c r="CO1539" s="76"/>
      <c r="CP1539" s="76">
        <f>+CO1539*46000</f>
        <v>0</v>
      </c>
      <c r="CQ1539" s="76"/>
      <c r="CR1539" s="76">
        <f>+CQ1539*49000</f>
        <v>0</v>
      </c>
      <c r="CS1539" s="76"/>
      <c r="CT1539" s="76"/>
      <c r="CU1539" s="56">
        <f>AN1539+AP1539+AR1539+AT1539+AV1539+AX1539+AZ1539+BB1539+BD1539+BF1539+BH1539+BJ1539+BL1539+BN1539+BP1539+BR1539+BT1539+BV1539+BX1539+BZ1539+CB1539+CD1539+CF1539+CH1539+CJ1539+CL1539+CN1539+CP1539+CR1539+CT1539</f>
        <v>0</v>
      </c>
      <c r="CV1539" s="76"/>
      <c r="CW1539" s="76">
        <f>+CV1539*1100</f>
        <v>0</v>
      </c>
      <c r="CX1539" s="76"/>
      <c r="CY1539" s="76">
        <f>+CX1539*106250</f>
        <v>0</v>
      </c>
      <c r="CZ1539" s="76"/>
      <c r="DA1539" s="76">
        <f>+CZ1539*34500</f>
        <v>0</v>
      </c>
      <c r="DB1539" s="76"/>
      <c r="DC1539" s="76">
        <f>+DB1539*25000</f>
        <v>0</v>
      </c>
      <c r="DD1539" s="219"/>
      <c r="DE1539" s="219"/>
      <c r="DF1539" s="166"/>
      <c r="DG1539" s="116"/>
      <c r="DH1539" s="117"/>
      <c r="DI1539" s="24"/>
      <c r="DJ1539" s="24"/>
      <c r="DK1539" s="24"/>
      <c r="DL1539" s="24"/>
      <c r="DM1539" s="24"/>
      <c r="DN1539" s="24"/>
      <c r="DO1539" s="24"/>
      <c r="DP1539" s="24"/>
      <c r="DQ1539" s="24"/>
      <c r="DR1539" s="24"/>
      <c r="DS1539" s="24"/>
      <c r="DT1539" s="24"/>
      <c r="DU1539" s="24"/>
    </row>
    <row r="1540" spans="1:125" s="8" customFormat="1" ht="36" x14ac:dyDescent="0.2">
      <c r="A1540" s="77">
        <v>41384</v>
      </c>
      <c r="B1540" s="78" t="s">
        <v>2196</v>
      </c>
      <c r="C1540" s="75" t="s">
        <v>2659</v>
      </c>
      <c r="D1540" s="75" t="s">
        <v>2882</v>
      </c>
      <c r="E1540" s="75" t="str">
        <f>VLOOKUP(B1540&amp;C1540,Divipola!$C$2:$F$1138,4,FALSE)</f>
        <v>17088</v>
      </c>
      <c r="F1540" s="163"/>
      <c r="G1540" s="163"/>
      <c r="H1540" s="163"/>
      <c r="I1540" s="163">
        <f>42*5</f>
        <v>210</v>
      </c>
      <c r="J1540" s="163">
        <v>42</v>
      </c>
      <c r="K1540" s="163"/>
      <c r="L1540" s="163">
        <v>42</v>
      </c>
      <c r="M1540" s="163"/>
      <c r="N1540" s="163"/>
      <c r="O1540" s="163"/>
      <c r="P1540" s="163"/>
      <c r="Q1540" s="163"/>
      <c r="R1540" s="163"/>
      <c r="S1540" s="163"/>
      <c r="T1540" s="163"/>
      <c r="U1540" s="163"/>
      <c r="V1540" s="134"/>
      <c r="W1540" s="96">
        <v>0</v>
      </c>
      <c r="X1540" s="71">
        <f>CU1540</f>
        <v>11214000</v>
      </c>
      <c r="Y1540" s="71">
        <f>CY1540</f>
        <v>4410000</v>
      </c>
      <c r="Z1540" s="71">
        <f>DA1540+DC1540+DE1540</f>
        <v>13606000</v>
      </c>
      <c r="AA1540" s="71">
        <f>CW1540</f>
        <v>0</v>
      </c>
      <c r="AB1540" s="71"/>
      <c r="AC1540" s="71">
        <v>0</v>
      </c>
      <c r="AD1540" s="71">
        <f>W1540+X1540+Y1540+Z1540+AA1540+AB1540+AC1540</f>
        <v>29230000</v>
      </c>
      <c r="AE1540" s="72">
        <v>0</v>
      </c>
      <c r="AF1540" s="5"/>
      <c r="AG1540" s="6"/>
      <c r="AH1540" s="27" t="s">
        <v>3390</v>
      </c>
      <c r="AI1540" s="44" t="s">
        <v>3391</v>
      </c>
      <c r="AJ1540" s="26"/>
      <c r="AK1540" s="5"/>
      <c r="AL1540" s="82" t="s">
        <v>4448</v>
      </c>
      <c r="AM1540" s="76"/>
      <c r="AN1540" s="76"/>
      <c r="AO1540" s="76"/>
      <c r="AP1540" s="76"/>
      <c r="AQ1540" s="76"/>
      <c r="AR1540" s="76"/>
      <c r="AS1540" s="76"/>
      <c r="AT1540" s="76"/>
      <c r="AU1540" s="76"/>
      <c r="AV1540" s="76"/>
      <c r="AW1540" s="76"/>
      <c r="AX1540" s="76">
        <f>+AW1540*600000</f>
        <v>0</v>
      </c>
      <c r="AY1540" s="86">
        <v>84</v>
      </c>
      <c r="AZ1540" s="86">
        <f>+AY1540*70000</f>
        <v>5880000</v>
      </c>
      <c r="BA1540" s="76"/>
      <c r="BB1540" s="76"/>
      <c r="BC1540" s="76"/>
      <c r="BD1540" s="76">
        <f>+BC1540*30000</f>
        <v>0</v>
      </c>
      <c r="BE1540" s="76"/>
      <c r="BF1540" s="76"/>
      <c r="BG1540" s="76"/>
      <c r="BH1540" s="76"/>
      <c r="BI1540" s="76"/>
      <c r="BJ1540" s="76"/>
      <c r="BK1540" s="76"/>
      <c r="BL1540" s="76">
        <f>+BK1540*31500</f>
        <v>0</v>
      </c>
      <c r="BM1540" s="76"/>
      <c r="BN1540" s="76"/>
      <c r="BO1540" s="76"/>
      <c r="BP1540" s="76"/>
      <c r="BQ1540" s="76"/>
      <c r="BR1540" s="76"/>
      <c r="BS1540" s="76"/>
      <c r="BT1540" s="76"/>
      <c r="BU1540" s="76"/>
      <c r="BV1540" s="76"/>
      <c r="BW1540" s="76"/>
      <c r="BX1540" s="76"/>
      <c r="BY1540" s="76"/>
      <c r="BZ1540" s="76"/>
      <c r="CA1540" s="76"/>
      <c r="CB1540" s="76"/>
      <c r="CC1540" s="76"/>
      <c r="CD1540" s="76"/>
      <c r="CE1540" s="76"/>
      <c r="CF1540" s="76">
        <f>+CE1540*28000</f>
        <v>0</v>
      </c>
      <c r="CG1540" s="76"/>
      <c r="CH1540" s="76">
        <f>+CG1540*22500</f>
        <v>0</v>
      </c>
      <c r="CI1540" s="86">
        <v>126</v>
      </c>
      <c r="CJ1540" s="86">
        <f>+CI1540*26000</f>
        <v>3276000</v>
      </c>
      <c r="CK1540" s="76"/>
      <c r="CL1540" s="76"/>
      <c r="CM1540" s="76"/>
      <c r="CN1540" s="76">
        <f>+CM1540*22000</f>
        <v>0</v>
      </c>
      <c r="CO1540" s="76"/>
      <c r="CP1540" s="76">
        <f>+CO1540*46000</f>
        <v>0</v>
      </c>
      <c r="CQ1540" s="86">
        <v>42</v>
      </c>
      <c r="CR1540" s="86">
        <f>+CQ1540*49000</f>
        <v>2058000</v>
      </c>
      <c r="CS1540" s="76"/>
      <c r="CT1540" s="76"/>
      <c r="CU1540" s="56">
        <f>AN1540+AP1540+AR1540+AT1540+AV1540+AX1540+AZ1540+BB1540+BD1540+BF1540+BH1540+BJ1540+BL1540+BN1540+BP1540+BR1540+BT1540+BV1540+BX1540+BZ1540+CB1540+CD1540+CF1540+CH1540+CJ1540+CL1540+CN1540+CP1540+CR1540+CT1540</f>
        <v>11214000</v>
      </c>
      <c r="CV1540" s="76"/>
      <c r="CW1540" s="76">
        <f>+CV1540*1100</f>
        <v>0</v>
      </c>
      <c r="CX1540" s="86">
        <v>42</v>
      </c>
      <c r="CY1540" s="86">
        <f>+CX1540*105000</f>
        <v>4410000</v>
      </c>
      <c r="CZ1540" s="76"/>
      <c r="DA1540" s="76">
        <f>+CZ1540*34500</f>
        <v>0</v>
      </c>
      <c r="DB1540" s="86">
        <f>400+10</f>
        <v>410</v>
      </c>
      <c r="DC1540" s="86">
        <f>400*32000+2400*200+10*31000+40*400</f>
        <v>13606000</v>
      </c>
      <c r="DD1540" s="219"/>
      <c r="DE1540" s="219"/>
      <c r="DF1540" s="166"/>
      <c r="DG1540" s="134" t="s">
        <v>5171</v>
      </c>
      <c r="DH1540" s="117"/>
      <c r="DI1540" s="24"/>
      <c r="DJ1540" s="24"/>
      <c r="DK1540" s="24"/>
      <c r="DL1540" s="24"/>
      <c r="DM1540" s="24"/>
      <c r="DN1540" s="24"/>
      <c r="DO1540" s="24"/>
      <c r="DP1540" s="24"/>
      <c r="DQ1540" s="24"/>
      <c r="DR1540" s="24"/>
      <c r="DS1540" s="24"/>
      <c r="DT1540" s="24"/>
      <c r="DU1540" s="24"/>
    </row>
    <row r="1541" spans="1:125" s="8" customFormat="1" ht="60" x14ac:dyDescent="0.2">
      <c r="A1541" s="226">
        <v>41384</v>
      </c>
      <c r="B1541" s="225" t="s">
        <v>2196</v>
      </c>
      <c r="C1541" s="227" t="s">
        <v>508</v>
      </c>
      <c r="D1541" s="227" t="s">
        <v>2859</v>
      </c>
      <c r="E1541" s="75" t="str">
        <f>VLOOKUP(B1541&amp;C1541,Divipola!$C$2:$F$1138,4,FALSE)</f>
        <v>17001</v>
      </c>
      <c r="F1541" s="87"/>
      <c r="G1541" s="87"/>
      <c r="H1541" s="87"/>
      <c r="I1541" s="87">
        <v>25</v>
      </c>
      <c r="J1541" s="87">
        <v>5</v>
      </c>
      <c r="K1541" s="87">
        <v>3</v>
      </c>
      <c r="L1541" s="87">
        <v>2</v>
      </c>
      <c r="M1541" s="87"/>
      <c r="N1541" s="87"/>
      <c r="O1541" s="87"/>
      <c r="P1541" s="87"/>
      <c r="Q1541" s="87"/>
      <c r="R1541" s="87"/>
      <c r="S1541" s="87"/>
      <c r="T1541" s="87"/>
      <c r="U1541" s="88"/>
      <c r="V1541" s="89"/>
      <c r="W1541" s="96">
        <v>0</v>
      </c>
      <c r="X1541" s="71">
        <f>CU1541</f>
        <v>0</v>
      </c>
      <c r="Y1541" s="71">
        <f>CY1541</f>
        <v>0</v>
      </c>
      <c r="Z1541" s="71">
        <f>DA1541+DC1541+DE1541</f>
        <v>0</v>
      </c>
      <c r="AA1541" s="71">
        <f>CW1541</f>
        <v>0</v>
      </c>
      <c r="AB1541" s="71"/>
      <c r="AC1541" s="71">
        <v>0</v>
      </c>
      <c r="AD1541" s="71">
        <f>W1541+X1541+Y1541+Z1541+AA1541+AB1541+AC1541</f>
        <v>0</v>
      </c>
      <c r="AE1541" s="72">
        <v>0</v>
      </c>
      <c r="AF1541" s="5"/>
      <c r="AG1541" s="6"/>
      <c r="AH1541" s="27" t="s">
        <v>3392</v>
      </c>
      <c r="AI1541" s="44" t="s">
        <v>3393</v>
      </c>
      <c r="AJ1541" s="26"/>
      <c r="AK1541" s="5"/>
      <c r="AL1541" s="82" t="s">
        <v>4349</v>
      </c>
      <c r="AM1541" s="76"/>
      <c r="AN1541" s="76"/>
      <c r="AO1541" s="76"/>
      <c r="AP1541" s="76"/>
      <c r="AQ1541" s="76"/>
      <c r="AR1541" s="76"/>
      <c r="AS1541" s="76"/>
      <c r="AT1541" s="76"/>
      <c r="AU1541" s="76"/>
      <c r="AV1541" s="76"/>
      <c r="AW1541" s="76"/>
      <c r="AX1541" s="76">
        <f>+AW1541*600000</f>
        <v>0</v>
      </c>
      <c r="AY1541" s="76"/>
      <c r="AZ1541" s="76">
        <f>+AY1541*70000</f>
        <v>0</v>
      </c>
      <c r="BA1541" s="76"/>
      <c r="BB1541" s="76"/>
      <c r="BC1541" s="76"/>
      <c r="BD1541" s="76">
        <f>+BC1541*30000</f>
        <v>0</v>
      </c>
      <c r="BE1541" s="76"/>
      <c r="BF1541" s="76"/>
      <c r="BG1541" s="76"/>
      <c r="BH1541" s="76"/>
      <c r="BI1541" s="76"/>
      <c r="BJ1541" s="76"/>
      <c r="BK1541" s="76"/>
      <c r="BL1541" s="76">
        <f>+BK1541*31500</f>
        <v>0</v>
      </c>
      <c r="BM1541" s="76"/>
      <c r="BN1541" s="76"/>
      <c r="BO1541" s="76"/>
      <c r="BP1541" s="76"/>
      <c r="BQ1541" s="76"/>
      <c r="BR1541" s="76"/>
      <c r="BS1541" s="76"/>
      <c r="BT1541" s="76"/>
      <c r="BU1541" s="76"/>
      <c r="BV1541" s="76"/>
      <c r="BW1541" s="76"/>
      <c r="BX1541" s="76"/>
      <c r="BY1541" s="76"/>
      <c r="BZ1541" s="76"/>
      <c r="CA1541" s="76"/>
      <c r="CB1541" s="76"/>
      <c r="CC1541" s="76"/>
      <c r="CD1541" s="76"/>
      <c r="CE1541" s="76"/>
      <c r="CF1541" s="76">
        <f>+CE1541*28000</f>
        <v>0</v>
      </c>
      <c r="CG1541" s="76"/>
      <c r="CH1541" s="76">
        <f>+CG1541*22500</f>
        <v>0</v>
      </c>
      <c r="CI1541" s="76"/>
      <c r="CJ1541" s="76">
        <f>+CI1541*26000</f>
        <v>0</v>
      </c>
      <c r="CK1541" s="76"/>
      <c r="CL1541" s="76"/>
      <c r="CM1541" s="76"/>
      <c r="CN1541" s="76">
        <f>+CM1541*22000</f>
        <v>0</v>
      </c>
      <c r="CO1541" s="76"/>
      <c r="CP1541" s="76">
        <f>+CO1541*46000</f>
        <v>0</v>
      </c>
      <c r="CQ1541" s="76"/>
      <c r="CR1541" s="76">
        <f>+CQ1541*49000</f>
        <v>0</v>
      </c>
      <c r="CS1541" s="76"/>
      <c r="CT1541" s="76"/>
      <c r="CU1541" s="56">
        <f>AN1541+AP1541+AR1541+AT1541+AV1541+AX1541+AZ1541+BB1541+BD1541+BF1541+BH1541+BJ1541+BL1541+BN1541+BP1541+BR1541+BT1541+BV1541+BX1541+BZ1541+CB1541+CD1541+CF1541+CH1541+CJ1541+CL1541+CN1541+CP1541+CR1541+CT1541</f>
        <v>0</v>
      </c>
      <c r="CV1541" s="76"/>
      <c r="CW1541" s="76">
        <f>+CV1541*1100</f>
        <v>0</v>
      </c>
      <c r="CX1541" s="76"/>
      <c r="CY1541" s="76">
        <f>+CX1541*106250</f>
        <v>0</v>
      </c>
      <c r="CZ1541" s="76"/>
      <c r="DA1541" s="76">
        <f>+CZ1541*34500</f>
        <v>0</v>
      </c>
      <c r="DB1541" s="76"/>
      <c r="DC1541" s="76">
        <f>+DB1541*25000</f>
        <v>0</v>
      </c>
      <c r="DD1541" s="219"/>
      <c r="DE1541" s="219"/>
      <c r="DF1541" s="166"/>
      <c r="DG1541" s="116"/>
      <c r="DH1541" s="117"/>
      <c r="DI1541" s="24"/>
      <c r="DJ1541" s="24"/>
      <c r="DK1541" s="24"/>
      <c r="DL1541" s="24"/>
      <c r="DM1541" s="24"/>
      <c r="DN1541" s="24"/>
      <c r="DO1541" s="24"/>
      <c r="DP1541" s="24"/>
      <c r="DQ1541" s="24"/>
      <c r="DR1541" s="24"/>
      <c r="DS1541" s="24"/>
      <c r="DT1541" s="24"/>
      <c r="DU1541" s="24"/>
    </row>
    <row r="1542" spans="1:125" s="8" customFormat="1" ht="96" x14ac:dyDescent="0.2">
      <c r="A1542" s="353">
        <v>41384</v>
      </c>
      <c r="B1542" s="352" t="s">
        <v>2772</v>
      </c>
      <c r="C1542" s="354" t="s">
        <v>1115</v>
      </c>
      <c r="D1542" s="75" t="s">
        <v>3051</v>
      </c>
      <c r="E1542" s="75" t="str">
        <f>VLOOKUP(B1542&amp;C1542,Divipola!$C$2:$F$1138,4,FALSE)</f>
        <v>25473</v>
      </c>
      <c r="F1542" s="87"/>
      <c r="G1542" s="87"/>
      <c r="H1542" s="87"/>
      <c r="I1542" s="87">
        <v>30</v>
      </c>
      <c r="J1542" s="87">
        <v>6</v>
      </c>
      <c r="K1542" s="87"/>
      <c r="L1542" s="87">
        <v>6</v>
      </c>
      <c r="M1542" s="87"/>
      <c r="N1542" s="87"/>
      <c r="O1542" s="87"/>
      <c r="P1542" s="87"/>
      <c r="Q1542" s="87"/>
      <c r="R1542" s="87"/>
      <c r="S1542" s="87"/>
      <c r="T1542" s="87"/>
      <c r="U1542" s="88"/>
      <c r="V1542" s="89"/>
      <c r="W1542" s="96">
        <v>0</v>
      </c>
      <c r="X1542" s="71">
        <f>CU1542</f>
        <v>0</v>
      </c>
      <c r="Y1542" s="71">
        <f>CY1542</f>
        <v>0</v>
      </c>
      <c r="Z1542" s="71">
        <f>DA1542+DC1542+DE1542</f>
        <v>0</v>
      </c>
      <c r="AA1542" s="71">
        <f>CW1542</f>
        <v>0</v>
      </c>
      <c r="AB1542" s="71"/>
      <c r="AC1542" s="71">
        <v>0</v>
      </c>
      <c r="AD1542" s="71">
        <f>W1542+X1542+Y1542+Z1542+AA1542+AB1542+AC1542</f>
        <v>0</v>
      </c>
      <c r="AE1542" s="72">
        <v>0</v>
      </c>
      <c r="AF1542" s="5"/>
      <c r="AG1542" s="6"/>
      <c r="AH1542" s="27" t="s">
        <v>3392</v>
      </c>
      <c r="AI1542" s="44" t="s">
        <v>3393</v>
      </c>
      <c r="AJ1542" s="26"/>
      <c r="AK1542" s="5"/>
      <c r="AL1542" s="82" t="s">
        <v>4399</v>
      </c>
      <c r="AM1542" s="76"/>
      <c r="AN1542" s="76"/>
      <c r="AO1542" s="76"/>
      <c r="AP1542" s="76"/>
      <c r="AQ1542" s="76"/>
      <c r="AR1542" s="76"/>
      <c r="AS1542" s="76"/>
      <c r="AT1542" s="76"/>
      <c r="AU1542" s="76"/>
      <c r="AV1542" s="76"/>
      <c r="AW1542" s="76"/>
      <c r="AX1542" s="76">
        <f>+AW1542*600000</f>
        <v>0</v>
      </c>
      <c r="AY1542" s="76"/>
      <c r="AZ1542" s="76">
        <f>+AY1542*70000</f>
        <v>0</v>
      </c>
      <c r="BA1542" s="76"/>
      <c r="BB1542" s="76"/>
      <c r="BC1542" s="76"/>
      <c r="BD1542" s="76">
        <f>+BC1542*30000</f>
        <v>0</v>
      </c>
      <c r="BE1542" s="76"/>
      <c r="BF1542" s="76"/>
      <c r="BG1542" s="76"/>
      <c r="BH1542" s="76"/>
      <c r="BI1542" s="76"/>
      <c r="BJ1542" s="76"/>
      <c r="BK1542" s="76"/>
      <c r="BL1542" s="76">
        <f>+BK1542*31500</f>
        <v>0</v>
      </c>
      <c r="BM1542" s="76"/>
      <c r="BN1542" s="76"/>
      <c r="BO1542" s="76"/>
      <c r="BP1542" s="76"/>
      <c r="BQ1542" s="76"/>
      <c r="BR1542" s="76"/>
      <c r="BS1542" s="76"/>
      <c r="BT1542" s="76"/>
      <c r="BU1542" s="76"/>
      <c r="BV1542" s="76"/>
      <c r="BW1542" s="76"/>
      <c r="BX1542" s="76"/>
      <c r="BY1542" s="76"/>
      <c r="BZ1542" s="76"/>
      <c r="CA1542" s="76"/>
      <c r="CB1542" s="76"/>
      <c r="CC1542" s="76"/>
      <c r="CD1542" s="76"/>
      <c r="CE1542" s="76"/>
      <c r="CF1542" s="76">
        <f>+CE1542*28000</f>
        <v>0</v>
      </c>
      <c r="CG1542" s="76"/>
      <c r="CH1542" s="76">
        <f>+CG1542*22500</f>
        <v>0</v>
      </c>
      <c r="CI1542" s="76"/>
      <c r="CJ1542" s="76">
        <f>+CI1542*26000</f>
        <v>0</v>
      </c>
      <c r="CK1542" s="76"/>
      <c r="CL1542" s="76"/>
      <c r="CM1542" s="76"/>
      <c r="CN1542" s="76">
        <f>+CM1542*22000</f>
        <v>0</v>
      </c>
      <c r="CO1542" s="76"/>
      <c r="CP1542" s="76">
        <f>+CO1542*46000</f>
        <v>0</v>
      </c>
      <c r="CQ1542" s="76"/>
      <c r="CR1542" s="76">
        <f>+CQ1542*49000</f>
        <v>0</v>
      </c>
      <c r="CS1542" s="76"/>
      <c r="CT1542" s="76"/>
      <c r="CU1542" s="56">
        <f>AN1542+AP1542+AR1542+AT1542+AV1542+AX1542+AZ1542+BB1542+BD1542+BF1542+BH1542+BJ1542+BL1542+BN1542+BP1542+BR1542+BT1542+BV1542+BX1542+BZ1542+CB1542+CD1542+CF1542+CH1542+CJ1542+CL1542+CN1542+CP1542+CR1542+CT1542</f>
        <v>0</v>
      </c>
      <c r="CV1542" s="76"/>
      <c r="CW1542" s="76">
        <f>+CV1542*1100</f>
        <v>0</v>
      </c>
      <c r="CX1542" s="76"/>
      <c r="CY1542" s="76">
        <f>+CX1542*106250</f>
        <v>0</v>
      </c>
      <c r="CZ1542" s="76"/>
      <c r="DA1542" s="76">
        <f>+CZ1542*34500</f>
        <v>0</v>
      </c>
      <c r="DB1542" s="76"/>
      <c r="DC1542" s="76">
        <f>+DB1542*25000</f>
        <v>0</v>
      </c>
      <c r="DD1542" s="219"/>
      <c r="DE1542" s="219"/>
      <c r="DF1542" s="166"/>
      <c r="DG1542" s="116"/>
      <c r="DH1542" s="117"/>
      <c r="DI1542" s="24"/>
      <c r="DJ1542" s="24"/>
      <c r="DK1542" s="24"/>
      <c r="DL1542" s="24"/>
      <c r="DM1542" s="24"/>
      <c r="DN1542" s="24"/>
      <c r="DO1542" s="24"/>
      <c r="DP1542" s="24"/>
      <c r="DQ1542" s="24"/>
      <c r="DR1542" s="24"/>
      <c r="DS1542" s="24"/>
      <c r="DT1542" s="24"/>
      <c r="DU1542" s="24"/>
    </row>
    <row r="1543" spans="1:125" s="8" customFormat="1" ht="24" x14ac:dyDescent="0.2">
      <c r="A1543" s="97">
        <v>41384</v>
      </c>
      <c r="B1543" s="60" t="s">
        <v>2661</v>
      </c>
      <c r="C1543" s="55" t="s">
        <v>1386</v>
      </c>
      <c r="D1543" s="84" t="s">
        <v>3088</v>
      </c>
      <c r="E1543" s="75" t="str">
        <f>VLOOKUP(B1543&amp;C1543,Divipola!$C$2:$F$1138,4,FALSE)</f>
        <v>41306</v>
      </c>
      <c r="F1543" s="87"/>
      <c r="G1543" s="87"/>
      <c r="H1543" s="87"/>
      <c r="I1543" s="87">
        <v>25</v>
      </c>
      <c r="J1543" s="87">
        <v>5</v>
      </c>
      <c r="K1543" s="87"/>
      <c r="L1543" s="87">
        <v>5</v>
      </c>
      <c r="M1543" s="87"/>
      <c r="N1543" s="87"/>
      <c r="O1543" s="87"/>
      <c r="P1543" s="87"/>
      <c r="Q1543" s="87"/>
      <c r="R1543" s="87"/>
      <c r="S1543" s="87"/>
      <c r="T1543" s="87"/>
      <c r="U1543" s="88"/>
      <c r="V1543" s="89"/>
      <c r="W1543" s="96">
        <v>0</v>
      </c>
      <c r="X1543" s="71">
        <f>CU1543</f>
        <v>0</v>
      </c>
      <c r="Y1543" s="71">
        <f>CY1543</f>
        <v>0</v>
      </c>
      <c r="Z1543" s="71">
        <f>DA1543+DC1543+DE1543</f>
        <v>0</v>
      </c>
      <c r="AA1543" s="71">
        <f>CW1543</f>
        <v>0</v>
      </c>
      <c r="AB1543" s="71"/>
      <c r="AC1543" s="71">
        <v>0</v>
      </c>
      <c r="AD1543" s="71">
        <f>W1543+X1543+Y1543+Z1543+AA1543+AB1543+AC1543</f>
        <v>0</v>
      </c>
      <c r="AE1543" s="72">
        <v>0</v>
      </c>
      <c r="AF1543" s="5"/>
      <c r="AG1543" s="6"/>
      <c r="AH1543" s="27" t="s">
        <v>3392</v>
      </c>
      <c r="AI1543" s="44" t="s">
        <v>3393</v>
      </c>
      <c r="AJ1543" s="26"/>
      <c r="AK1543" s="5"/>
      <c r="AL1543" s="82" t="s">
        <v>4341</v>
      </c>
      <c r="AM1543" s="76"/>
      <c r="AN1543" s="76"/>
      <c r="AO1543" s="76"/>
      <c r="AP1543" s="76"/>
      <c r="AQ1543" s="76"/>
      <c r="AR1543" s="76"/>
      <c r="AS1543" s="76"/>
      <c r="AT1543" s="76"/>
      <c r="AU1543" s="76"/>
      <c r="AV1543" s="76"/>
      <c r="AW1543" s="76"/>
      <c r="AX1543" s="76">
        <f>+AW1543*600000</f>
        <v>0</v>
      </c>
      <c r="AY1543" s="76"/>
      <c r="AZ1543" s="76">
        <f>+AY1543*70000</f>
        <v>0</v>
      </c>
      <c r="BA1543" s="76"/>
      <c r="BB1543" s="76"/>
      <c r="BC1543" s="76"/>
      <c r="BD1543" s="76">
        <f>+BC1543*30000</f>
        <v>0</v>
      </c>
      <c r="BE1543" s="76"/>
      <c r="BF1543" s="76"/>
      <c r="BG1543" s="76"/>
      <c r="BH1543" s="76"/>
      <c r="BI1543" s="76"/>
      <c r="BJ1543" s="76"/>
      <c r="BK1543" s="76"/>
      <c r="BL1543" s="76">
        <f>+BK1543*31500</f>
        <v>0</v>
      </c>
      <c r="BM1543" s="76"/>
      <c r="BN1543" s="76"/>
      <c r="BO1543" s="76"/>
      <c r="BP1543" s="76"/>
      <c r="BQ1543" s="76"/>
      <c r="BR1543" s="76"/>
      <c r="BS1543" s="76"/>
      <c r="BT1543" s="76"/>
      <c r="BU1543" s="76"/>
      <c r="BV1543" s="76"/>
      <c r="BW1543" s="76"/>
      <c r="BX1543" s="76"/>
      <c r="BY1543" s="76"/>
      <c r="BZ1543" s="76"/>
      <c r="CA1543" s="76"/>
      <c r="CB1543" s="76"/>
      <c r="CC1543" s="76"/>
      <c r="CD1543" s="76"/>
      <c r="CE1543" s="76"/>
      <c r="CF1543" s="76">
        <f>+CE1543*28000</f>
        <v>0</v>
      </c>
      <c r="CG1543" s="76"/>
      <c r="CH1543" s="76">
        <f>+CG1543*22500</f>
        <v>0</v>
      </c>
      <c r="CI1543" s="76"/>
      <c r="CJ1543" s="76">
        <f>+CI1543*26000</f>
        <v>0</v>
      </c>
      <c r="CK1543" s="76"/>
      <c r="CL1543" s="76"/>
      <c r="CM1543" s="76"/>
      <c r="CN1543" s="76">
        <f>+CM1543*22000</f>
        <v>0</v>
      </c>
      <c r="CO1543" s="76"/>
      <c r="CP1543" s="76">
        <f>+CO1543*46000</f>
        <v>0</v>
      </c>
      <c r="CQ1543" s="76"/>
      <c r="CR1543" s="76">
        <f>+CQ1543*49000</f>
        <v>0</v>
      </c>
      <c r="CS1543" s="76"/>
      <c r="CT1543" s="76"/>
      <c r="CU1543" s="56">
        <f>AN1543+AP1543+AR1543+AT1543+AV1543+AX1543+AZ1543+BB1543+BD1543+BF1543+BH1543+BJ1543+BL1543+BN1543+BP1543+BR1543+BT1543+BV1543+BX1543+BZ1543+CB1543+CD1543+CF1543+CH1543+CJ1543+CL1543+CN1543+CP1543+CR1543+CT1543</f>
        <v>0</v>
      </c>
      <c r="CV1543" s="76"/>
      <c r="CW1543" s="76">
        <f>+CV1543*1100</f>
        <v>0</v>
      </c>
      <c r="CX1543" s="76"/>
      <c r="CY1543" s="76">
        <f>+CX1543*106250</f>
        <v>0</v>
      </c>
      <c r="CZ1543" s="76"/>
      <c r="DA1543" s="76">
        <f>+CZ1543*34500</f>
        <v>0</v>
      </c>
      <c r="DB1543" s="76"/>
      <c r="DC1543" s="76">
        <f>+DB1543*25000</f>
        <v>0</v>
      </c>
      <c r="DD1543" s="219"/>
      <c r="DE1543" s="219"/>
      <c r="DF1543" s="166"/>
      <c r="DG1543" s="116"/>
      <c r="DH1543" s="117"/>
      <c r="DI1543" s="24"/>
      <c r="DJ1543" s="24"/>
      <c r="DK1543" s="24"/>
      <c r="DL1543" s="24"/>
      <c r="DM1543" s="24"/>
      <c r="DN1543" s="24"/>
      <c r="DO1543" s="24"/>
      <c r="DP1543" s="24"/>
      <c r="DQ1543" s="24"/>
      <c r="DR1543" s="24"/>
      <c r="DS1543" s="24"/>
      <c r="DT1543" s="24"/>
      <c r="DU1543" s="24"/>
    </row>
    <row r="1544" spans="1:125" s="8" customFormat="1" ht="24" x14ac:dyDescent="0.2">
      <c r="A1544" s="353">
        <v>41384</v>
      </c>
      <c r="B1544" s="352" t="s">
        <v>2661</v>
      </c>
      <c r="C1544" s="354" t="s">
        <v>1386</v>
      </c>
      <c r="D1544" s="75" t="s">
        <v>3051</v>
      </c>
      <c r="E1544" s="75" t="str">
        <f>VLOOKUP(B1544&amp;C1544,Divipola!$C$2:$F$1138,4,FALSE)</f>
        <v>41306</v>
      </c>
      <c r="F1544" s="87"/>
      <c r="G1544" s="87"/>
      <c r="H1544" s="87"/>
      <c r="I1544" s="87">
        <v>15</v>
      </c>
      <c r="J1544" s="87">
        <v>3</v>
      </c>
      <c r="K1544" s="87"/>
      <c r="L1544" s="87">
        <v>3</v>
      </c>
      <c r="M1544" s="87"/>
      <c r="N1544" s="87"/>
      <c r="O1544" s="87"/>
      <c r="P1544" s="87"/>
      <c r="Q1544" s="87"/>
      <c r="R1544" s="87"/>
      <c r="S1544" s="87"/>
      <c r="T1544" s="87"/>
      <c r="U1544" s="88"/>
      <c r="V1544" s="89"/>
      <c r="W1544" s="96">
        <v>0</v>
      </c>
      <c r="X1544" s="71">
        <f>CU1544</f>
        <v>0</v>
      </c>
      <c r="Y1544" s="71">
        <f>CY1544</f>
        <v>0</v>
      </c>
      <c r="Z1544" s="71">
        <f>DA1544+DC1544+DE1544</f>
        <v>0</v>
      </c>
      <c r="AA1544" s="71">
        <f>CW1544</f>
        <v>0</v>
      </c>
      <c r="AB1544" s="71"/>
      <c r="AC1544" s="71">
        <v>0</v>
      </c>
      <c r="AD1544" s="71">
        <f>W1544+X1544+Y1544+Z1544+AA1544+AB1544+AC1544</f>
        <v>0</v>
      </c>
      <c r="AE1544" s="72">
        <v>0</v>
      </c>
      <c r="AF1544" s="5"/>
      <c r="AG1544" s="6"/>
      <c r="AH1544" s="27" t="s">
        <v>3392</v>
      </c>
      <c r="AI1544" s="44" t="s">
        <v>3393</v>
      </c>
      <c r="AJ1544" s="26"/>
      <c r="AK1544" s="5"/>
      <c r="AL1544" s="82" t="s">
        <v>4340</v>
      </c>
      <c r="AM1544" s="76"/>
      <c r="AN1544" s="76"/>
      <c r="AO1544" s="76"/>
      <c r="AP1544" s="76"/>
      <c r="AQ1544" s="76"/>
      <c r="AR1544" s="76"/>
      <c r="AS1544" s="76"/>
      <c r="AT1544" s="76"/>
      <c r="AU1544" s="76"/>
      <c r="AV1544" s="76"/>
      <c r="AW1544" s="76"/>
      <c r="AX1544" s="76">
        <f>+AW1544*600000</f>
        <v>0</v>
      </c>
      <c r="AY1544" s="76"/>
      <c r="AZ1544" s="76">
        <f>+AY1544*70000</f>
        <v>0</v>
      </c>
      <c r="BA1544" s="76"/>
      <c r="BB1544" s="76"/>
      <c r="BC1544" s="76"/>
      <c r="BD1544" s="76">
        <f>+BC1544*30000</f>
        <v>0</v>
      </c>
      <c r="BE1544" s="76"/>
      <c r="BF1544" s="76"/>
      <c r="BG1544" s="76"/>
      <c r="BH1544" s="76"/>
      <c r="BI1544" s="76"/>
      <c r="BJ1544" s="76"/>
      <c r="BK1544" s="76"/>
      <c r="BL1544" s="76">
        <f>+BK1544*31500</f>
        <v>0</v>
      </c>
      <c r="BM1544" s="76"/>
      <c r="BN1544" s="76"/>
      <c r="BO1544" s="76"/>
      <c r="BP1544" s="76"/>
      <c r="BQ1544" s="76"/>
      <c r="BR1544" s="76"/>
      <c r="BS1544" s="76"/>
      <c r="BT1544" s="76"/>
      <c r="BU1544" s="76"/>
      <c r="BV1544" s="76"/>
      <c r="BW1544" s="76"/>
      <c r="BX1544" s="76"/>
      <c r="BY1544" s="76"/>
      <c r="BZ1544" s="76"/>
      <c r="CA1544" s="76"/>
      <c r="CB1544" s="76"/>
      <c r="CC1544" s="76"/>
      <c r="CD1544" s="76"/>
      <c r="CE1544" s="76"/>
      <c r="CF1544" s="76">
        <f>+CE1544*28000</f>
        <v>0</v>
      </c>
      <c r="CG1544" s="76"/>
      <c r="CH1544" s="76">
        <f>+CG1544*22500</f>
        <v>0</v>
      </c>
      <c r="CI1544" s="76"/>
      <c r="CJ1544" s="76">
        <f>+CI1544*26000</f>
        <v>0</v>
      </c>
      <c r="CK1544" s="76"/>
      <c r="CL1544" s="76"/>
      <c r="CM1544" s="76"/>
      <c r="CN1544" s="76">
        <f>+CM1544*22000</f>
        <v>0</v>
      </c>
      <c r="CO1544" s="76"/>
      <c r="CP1544" s="76">
        <f>+CO1544*46000</f>
        <v>0</v>
      </c>
      <c r="CQ1544" s="76"/>
      <c r="CR1544" s="76">
        <f>+CQ1544*49000</f>
        <v>0</v>
      </c>
      <c r="CS1544" s="76"/>
      <c r="CT1544" s="76"/>
      <c r="CU1544" s="56">
        <f>AN1544+AP1544+AR1544+AT1544+AV1544+AX1544+AZ1544+BB1544+BD1544+BF1544+BH1544+BJ1544+BL1544+BN1544+BP1544+BR1544+BT1544+BV1544+BX1544+BZ1544+CB1544+CD1544+CF1544+CH1544+CJ1544+CL1544+CN1544+CP1544+CR1544+CT1544</f>
        <v>0</v>
      </c>
      <c r="CV1544" s="76"/>
      <c r="CW1544" s="76">
        <f>+CV1544*1100</f>
        <v>0</v>
      </c>
      <c r="CX1544" s="76"/>
      <c r="CY1544" s="76">
        <f>+CX1544*106250</f>
        <v>0</v>
      </c>
      <c r="CZ1544" s="76"/>
      <c r="DA1544" s="76">
        <f>+CZ1544*34500</f>
        <v>0</v>
      </c>
      <c r="DB1544" s="76"/>
      <c r="DC1544" s="76">
        <f>+DB1544*25000</f>
        <v>0</v>
      </c>
      <c r="DD1544" s="219"/>
      <c r="DE1544" s="219"/>
      <c r="DF1544" s="166"/>
      <c r="DG1544" s="116"/>
      <c r="DH1544" s="117"/>
      <c r="DI1544" s="24"/>
      <c r="DJ1544" s="24"/>
      <c r="DK1544" s="24"/>
      <c r="DL1544" s="24"/>
      <c r="DM1544" s="24"/>
      <c r="DN1544" s="24"/>
      <c r="DO1544" s="24"/>
      <c r="DP1544" s="24"/>
      <c r="DQ1544" s="24"/>
      <c r="DR1544" s="24"/>
      <c r="DS1544" s="24"/>
      <c r="DT1544" s="24"/>
      <c r="DU1544" s="24"/>
    </row>
    <row r="1545" spans="1:125" s="8" customFormat="1" ht="36" x14ac:dyDescent="0.2">
      <c r="A1545" s="353">
        <v>41384</v>
      </c>
      <c r="B1545" s="352" t="s">
        <v>2811</v>
      </c>
      <c r="C1545" s="354" t="s">
        <v>175</v>
      </c>
      <c r="D1545" s="354" t="s">
        <v>2882</v>
      </c>
      <c r="E1545" s="75" t="str">
        <f>VLOOKUP(B1545&amp;C1545,Divipola!$C$2:$F$1138,4,FALSE)</f>
        <v>52385</v>
      </c>
      <c r="F1545" s="87"/>
      <c r="G1545" s="87"/>
      <c r="H1545" s="87"/>
      <c r="I1545" s="87">
        <v>5</v>
      </c>
      <c r="J1545" s="87">
        <v>1</v>
      </c>
      <c r="K1545" s="87"/>
      <c r="L1545" s="87">
        <v>1</v>
      </c>
      <c r="M1545" s="87"/>
      <c r="N1545" s="87"/>
      <c r="O1545" s="87"/>
      <c r="P1545" s="87"/>
      <c r="Q1545" s="87"/>
      <c r="R1545" s="87"/>
      <c r="S1545" s="87"/>
      <c r="T1545" s="87"/>
      <c r="U1545" s="88"/>
      <c r="V1545" s="89"/>
      <c r="W1545" s="96">
        <v>0</v>
      </c>
      <c r="X1545" s="71">
        <f>CU1545</f>
        <v>0</v>
      </c>
      <c r="Y1545" s="71">
        <f>CY1545</f>
        <v>0</v>
      </c>
      <c r="Z1545" s="71">
        <f>DA1545+DC1545+DE1545</f>
        <v>0</v>
      </c>
      <c r="AA1545" s="71">
        <f>CW1545</f>
        <v>0</v>
      </c>
      <c r="AB1545" s="71"/>
      <c r="AC1545" s="71">
        <v>0</v>
      </c>
      <c r="AD1545" s="71">
        <f>W1545+X1545+Y1545+Z1545+AA1545+AB1545+AC1545</f>
        <v>0</v>
      </c>
      <c r="AE1545" s="72">
        <v>0</v>
      </c>
      <c r="AF1545" s="5"/>
      <c r="AG1545" s="6"/>
      <c r="AH1545" s="27" t="s">
        <v>3392</v>
      </c>
      <c r="AI1545" s="44" t="s">
        <v>3393</v>
      </c>
      <c r="AJ1545" s="26"/>
      <c r="AK1545" s="5"/>
      <c r="AL1545" s="82" t="s">
        <v>4345</v>
      </c>
      <c r="AM1545" s="76"/>
      <c r="AN1545" s="76"/>
      <c r="AO1545" s="76"/>
      <c r="AP1545" s="76"/>
      <c r="AQ1545" s="76"/>
      <c r="AR1545" s="76"/>
      <c r="AS1545" s="76"/>
      <c r="AT1545" s="76"/>
      <c r="AU1545" s="76"/>
      <c r="AV1545" s="76"/>
      <c r="AW1545" s="76"/>
      <c r="AX1545" s="76">
        <f>+AW1545*600000</f>
        <v>0</v>
      </c>
      <c r="AY1545" s="76"/>
      <c r="AZ1545" s="76">
        <f>+AY1545*70000</f>
        <v>0</v>
      </c>
      <c r="BA1545" s="76"/>
      <c r="BB1545" s="76"/>
      <c r="BC1545" s="76"/>
      <c r="BD1545" s="76">
        <f>+BC1545*30000</f>
        <v>0</v>
      </c>
      <c r="BE1545" s="76"/>
      <c r="BF1545" s="76"/>
      <c r="BG1545" s="76"/>
      <c r="BH1545" s="76"/>
      <c r="BI1545" s="76"/>
      <c r="BJ1545" s="76"/>
      <c r="BK1545" s="76"/>
      <c r="BL1545" s="76">
        <f>+BK1545*31500</f>
        <v>0</v>
      </c>
      <c r="BM1545" s="76"/>
      <c r="BN1545" s="76"/>
      <c r="BO1545" s="76"/>
      <c r="BP1545" s="76"/>
      <c r="BQ1545" s="76"/>
      <c r="BR1545" s="76"/>
      <c r="BS1545" s="76"/>
      <c r="BT1545" s="76"/>
      <c r="BU1545" s="76"/>
      <c r="BV1545" s="76"/>
      <c r="BW1545" s="76"/>
      <c r="BX1545" s="76"/>
      <c r="BY1545" s="76"/>
      <c r="BZ1545" s="76"/>
      <c r="CA1545" s="76"/>
      <c r="CB1545" s="76"/>
      <c r="CC1545" s="76"/>
      <c r="CD1545" s="76"/>
      <c r="CE1545" s="76"/>
      <c r="CF1545" s="76">
        <f>+CE1545*28000</f>
        <v>0</v>
      </c>
      <c r="CG1545" s="76"/>
      <c r="CH1545" s="76">
        <f>+CG1545*22500</f>
        <v>0</v>
      </c>
      <c r="CI1545" s="76"/>
      <c r="CJ1545" s="76">
        <f>+CI1545*26000</f>
        <v>0</v>
      </c>
      <c r="CK1545" s="76"/>
      <c r="CL1545" s="76"/>
      <c r="CM1545" s="76"/>
      <c r="CN1545" s="76">
        <f>+CM1545*22000</f>
        <v>0</v>
      </c>
      <c r="CO1545" s="76"/>
      <c r="CP1545" s="76">
        <f>+CO1545*46000</f>
        <v>0</v>
      </c>
      <c r="CQ1545" s="76"/>
      <c r="CR1545" s="76">
        <f>+CQ1545*49000</f>
        <v>0</v>
      </c>
      <c r="CS1545" s="76"/>
      <c r="CT1545" s="76"/>
      <c r="CU1545" s="56">
        <f>AN1545+AP1545+AR1545+AT1545+AV1545+AX1545+AZ1545+BB1545+BD1545+BF1545+BH1545+BJ1545+BL1545+BN1545+BP1545+BR1545+BT1545+BV1545+BX1545+BZ1545+CB1545+CD1545+CF1545+CH1545+CJ1545+CL1545+CN1545+CP1545+CR1545+CT1545</f>
        <v>0</v>
      </c>
      <c r="CV1545" s="76"/>
      <c r="CW1545" s="76">
        <f>+CV1545*1100</f>
        <v>0</v>
      </c>
      <c r="CX1545" s="76"/>
      <c r="CY1545" s="76">
        <f>+CX1545*106250</f>
        <v>0</v>
      </c>
      <c r="CZ1545" s="76"/>
      <c r="DA1545" s="76">
        <f>+CZ1545*34500</f>
        <v>0</v>
      </c>
      <c r="DB1545" s="76"/>
      <c r="DC1545" s="76">
        <f>+DB1545*25000</f>
        <v>0</v>
      </c>
      <c r="DD1545" s="219"/>
      <c r="DE1545" s="219"/>
      <c r="DF1545" s="166"/>
      <c r="DG1545" s="116"/>
      <c r="DH1545" s="117"/>
      <c r="DI1545" s="24"/>
      <c r="DJ1545" s="24"/>
      <c r="DK1545" s="24"/>
      <c r="DL1545" s="24"/>
      <c r="DM1545" s="24"/>
      <c r="DN1545" s="24"/>
      <c r="DO1545" s="24"/>
      <c r="DP1545" s="24"/>
      <c r="DQ1545" s="24"/>
      <c r="DR1545" s="24"/>
      <c r="DS1545" s="24"/>
      <c r="DT1545" s="24"/>
      <c r="DU1545" s="24"/>
    </row>
    <row r="1546" spans="1:125" s="8" customFormat="1" ht="48" x14ac:dyDescent="0.2">
      <c r="A1546" s="226">
        <v>41384</v>
      </c>
      <c r="B1546" s="225" t="s">
        <v>2811</v>
      </c>
      <c r="C1546" s="227" t="s">
        <v>184</v>
      </c>
      <c r="D1546" s="84" t="s">
        <v>3088</v>
      </c>
      <c r="E1546" s="75" t="str">
        <f>VLOOKUP(B1546&amp;C1546,Divipola!$C$2:$F$1138,4,FALSE)</f>
        <v>52411</v>
      </c>
      <c r="F1546" s="87"/>
      <c r="G1546" s="87"/>
      <c r="H1546" s="87"/>
      <c r="I1546" s="87">
        <v>20</v>
      </c>
      <c r="J1546" s="87">
        <v>4</v>
      </c>
      <c r="K1546" s="87"/>
      <c r="L1546" s="87">
        <v>4</v>
      </c>
      <c r="M1546" s="87">
        <v>1</v>
      </c>
      <c r="N1546" s="87"/>
      <c r="O1546" s="87"/>
      <c r="P1546" s="87"/>
      <c r="Q1546" s="87"/>
      <c r="R1546" s="87"/>
      <c r="S1546" s="87">
        <v>1</v>
      </c>
      <c r="T1546" s="87">
        <v>1</v>
      </c>
      <c r="U1546" s="88"/>
      <c r="V1546" s="89"/>
      <c r="W1546" s="96">
        <v>0</v>
      </c>
      <c r="X1546" s="71">
        <f>CU1546</f>
        <v>0</v>
      </c>
      <c r="Y1546" s="71">
        <f>CY1546</f>
        <v>0</v>
      </c>
      <c r="Z1546" s="71">
        <f>DA1546+DC1546+DE1546</f>
        <v>0</v>
      </c>
      <c r="AA1546" s="71">
        <f>CW1546</f>
        <v>0</v>
      </c>
      <c r="AB1546" s="71"/>
      <c r="AC1546" s="71">
        <v>0</v>
      </c>
      <c r="AD1546" s="71">
        <f>W1546+X1546+Y1546+Z1546+AA1546+AB1546+AC1546</f>
        <v>0</v>
      </c>
      <c r="AE1546" s="72">
        <v>0</v>
      </c>
      <c r="AF1546" s="5"/>
      <c r="AG1546" s="6"/>
      <c r="AH1546" s="27" t="s">
        <v>3392</v>
      </c>
      <c r="AI1546" s="44" t="s">
        <v>3393</v>
      </c>
      <c r="AJ1546" s="26"/>
      <c r="AK1546" s="5"/>
      <c r="AL1546" s="82" t="s">
        <v>4344</v>
      </c>
      <c r="AM1546" s="76"/>
      <c r="AN1546" s="76"/>
      <c r="AO1546" s="76"/>
      <c r="AP1546" s="76"/>
      <c r="AQ1546" s="76"/>
      <c r="AR1546" s="76"/>
      <c r="AS1546" s="76"/>
      <c r="AT1546" s="76"/>
      <c r="AU1546" s="76"/>
      <c r="AV1546" s="76"/>
      <c r="AW1546" s="76"/>
      <c r="AX1546" s="76">
        <f>+AW1546*600000</f>
        <v>0</v>
      </c>
      <c r="AY1546" s="76"/>
      <c r="AZ1546" s="76">
        <f>+AY1546*70000</f>
        <v>0</v>
      </c>
      <c r="BA1546" s="76"/>
      <c r="BB1546" s="76"/>
      <c r="BC1546" s="76"/>
      <c r="BD1546" s="76">
        <f>+BC1546*30000</f>
        <v>0</v>
      </c>
      <c r="BE1546" s="76"/>
      <c r="BF1546" s="76"/>
      <c r="BG1546" s="76"/>
      <c r="BH1546" s="76"/>
      <c r="BI1546" s="76"/>
      <c r="BJ1546" s="76"/>
      <c r="BK1546" s="76"/>
      <c r="BL1546" s="76">
        <f>+BK1546*31500</f>
        <v>0</v>
      </c>
      <c r="BM1546" s="76"/>
      <c r="BN1546" s="76"/>
      <c r="BO1546" s="76"/>
      <c r="BP1546" s="76"/>
      <c r="BQ1546" s="76"/>
      <c r="BR1546" s="76"/>
      <c r="BS1546" s="76"/>
      <c r="BT1546" s="76"/>
      <c r="BU1546" s="76"/>
      <c r="BV1546" s="76"/>
      <c r="BW1546" s="76"/>
      <c r="BX1546" s="76"/>
      <c r="BY1546" s="76"/>
      <c r="BZ1546" s="76"/>
      <c r="CA1546" s="76"/>
      <c r="CB1546" s="76"/>
      <c r="CC1546" s="76"/>
      <c r="CD1546" s="76"/>
      <c r="CE1546" s="76"/>
      <c r="CF1546" s="76">
        <f>+CE1546*28000</f>
        <v>0</v>
      </c>
      <c r="CG1546" s="76"/>
      <c r="CH1546" s="76">
        <f>+CG1546*22500</f>
        <v>0</v>
      </c>
      <c r="CI1546" s="76"/>
      <c r="CJ1546" s="76">
        <f>+CI1546*26000</f>
        <v>0</v>
      </c>
      <c r="CK1546" s="76"/>
      <c r="CL1546" s="76"/>
      <c r="CM1546" s="76"/>
      <c r="CN1546" s="76">
        <f>+CM1546*22000</f>
        <v>0</v>
      </c>
      <c r="CO1546" s="76"/>
      <c r="CP1546" s="76">
        <f>+CO1546*46000</f>
        <v>0</v>
      </c>
      <c r="CQ1546" s="76"/>
      <c r="CR1546" s="76">
        <f>+CQ1546*49000</f>
        <v>0</v>
      </c>
      <c r="CS1546" s="76"/>
      <c r="CT1546" s="76"/>
      <c r="CU1546" s="56">
        <f>AN1546+AP1546+AR1546+AT1546+AV1546+AX1546+AZ1546+BB1546+BD1546+BF1546+BH1546+BJ1546+BL1546+BN1546+BP1546+BR1546+BT1546+BV1546+BX1546+BZ1546+CB1546+CD1546+CF1546+CH1546+CJ1546+CL1546+CN1546+CP1546+CR1546+CT1546</f>
        <v>0</v>
      </c>
      <c r="CV1546" s="76"/>
      <c r="CW1546" s="76">
        <f>+CV1546*1100</f>
        <v>0</v>
      </c>
      <c r="CX1546" s="76"/>
      <c r="CY1546" s="76">
        <f>+CX1546*106250</f>
        <v>0</v>
      </c>
      <c r="CZ1546" s="76"/>
      <c r="DA1546" s="76">
        <f>+CZ1546*34500</f>
        <v>0</v>
      </c>
      <c r="DB1546" s="76"/>
      <c r="DC1546" s="76">
        <f>+DB1546*25000</f>
        <v>0</v>
      </c>
      <c r="DD1546" s="219"/>
      <c r="DE1546" s="219"/>
      <c r="DF1546" s="166"/>
      <c r="DG1546" s="116"/>
      <c r="DH1546" s="117"/>
      <c r="DI1546" s="24"/>
      <c r="DJ1546" s="24"/>
      <c r="DK1546" s="24"/>
      <c r="DL1546" s="24"/>
      <c r="DM1546" s="24"/>
      <c r="DN1546" s="24"/>
      <c r="DO1546" s="24"/>
      <c r="DP1546" s="24"/>
      <c r="DQ1546" s="24"/>
      <c r="DR1546" s="24"/>
      <c r="DS1546" s="24"/>
      <c r="DT1546" s="24"/>
      <c r="DU1546" s="24"/>
    </row>
    <row r="1547" spans="1:125" s="8" customFormat="1" ht="48" x14ac:dyDescent="0.2">
      <c r="A1547" s="353">
        <v>41384</v>
      </c>
      <c r="B1547" s="352" t="s">
        <v>2811</v>
      </c>
      <c r="C1547" s="354" t="s">
        <v>184</v>
      </c>
      <c r="D1547" s="84" t="s">
        <v>3088</v>
      </c>
      <c r="E1547" s="75" t="str">
        <f>VLOOKUP(B1547&amp;C1547,Divipola!$C$2:$F$1138,4,FALSE)</f>
        <v>52411</v>
      </c>
      <c r="F1547" s="87"/>
      <c r="G1547" s="87"/>
      <c r="H1547" s="87"/>
      <c r="I1547" s="87">
        <v>20</v>
      </c>
      <c r="J1547" s="87">
        <v>4</v>
      </c>
      <c r="K1547" s="87"/>
      <c r="L1547" s="87">
        <v>4</v>
      </c>
      <c r="M1547" s="87">
        <v>1</v>
      </c>
      <c r="N1547" s="87"/>
      <c r="O1547" s="87"/>
      <c r="P1547" s="87"/>
      <c r="Q1547" s="87"/>
      <c r="R1547" s="87"/>
      <c r="S1547" s="87">
        <v>1</v>
      </c>
      <c r="T1547" s="87"/>
      <c r="U1547" s="88"/>
      <c r="V1547" s="89">
        <v>1</v>
      </c>
      <c r="W1547" s="96">
        <v>0</v>
      </c>
      <c r="X1547" s="71">
        <f>CU1547</f>
        <v>0</v>
      </c>
      <c r="Y1547" s="71">
        <f>CY1547</f>
        <v>0</v>
      </c>
      <c r="Z1547" s="71">
        <f>DA1547+DC1547+DE1547</f>
        <v>0</v>
      </c>
      <c r="AA1547" s="71">
        <f>CW1547</f>
        <v>0</v>
      </c>
      <c r="AB1547" s="71"/>
      <c r="AC1547" s="71">
        <v>0</v>
      </c>
      <c r="AD1547" s="71">
        <f>W1547+X1547+Y1547+Z1547+AA1547+AB1547+AC1547</f>
        <v>0</v>
      </c>
      <c r="AE1547" s="72">
        <v>0</v>
      </c>
      <c r="AF1547" s="5"/>
      <c r="AG1547" s="6"/>
      <c r="AH1547" s="27" t="s">
        <v>3392</v>
      </c>
      <c r="AI1547" s="44" t="s">
        <v>3393</v>
      </c>
      <c r="AJ1547" s="26"/>
      <c r="AK1547" s="5"/>
      <c r="AL1547" s="82" t="s">
        <v>4353</v>
      </c>
      <c r="AM1547" s="86"/>
      <c r="AN1547" s="86"/>
      <c r="AO1547" s="86"/>
      <c r="AP1547" s="86"/>
      <c r="AQ1547" s="86"/>
      <c r="AR1547" s="86"/>
      <c r="AS1547" s="86"/>
      <c r="AT1547" s="86"/>
      <c r="AU1547" s="86"/>
      <c r="AV1547" s="86"/>
      <c r="AW1547" s="86"/>
      <c r="AX1547" s="86">
        <f>+AW1547*600000</f>
        <v>0</v>
      </c>
      <c r="AY1547" s="86"/>
      <c r="AZ1547" s="86">
        <f>+AY1547*70000</f>
        <v>0</v>
      </c>
      <c r="BA1547" s="86"/>
      <c r="BB1547" s="86"/>
      <c r="BC1547" s="86"/>
      <c r="BD1547" s="86">
        <f>+BC1547*30000</f>
        <v>0</v>
      </c>
      <c r="BE1547" s="86"/>
      <c r="BF1547" s="86"/>
      <c r="BG1547" s="86"/>
      <c r="BH1547" s="86"/>
      <c r="BI1547" s="86"/>
      <c r="BJ1547" s="86"/>
      <c r="BK1547" s="86"/>
      <c r="BL1547" s="86">
        <f>+BK1547*31500</f>
        <v>0</v>
      </c>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f>+CE1547*28000</f>
        <v>0</v>
      </c>
      <c r="CG1547" s="86"/>
      <c r="CH1547" s="86">
        <f>+CG1547*22500</f>
        <v>0</v>
      </c>
      <c r="CI1547" s="86"/>
      <c r="CJ1547" s="86">
        <f>+CI1547*26000</f>
        <v>0</v>
      </c>
      <c r="CK1547" s="86"/>
      <c r="CL1547" s="86"/>
      <c r="CM1547" s="86"/>
      <c r="CN1547" s="86">
        <f>+CM1547*22000</f>
        <v>0</v>
      </c>
      <c r="CO1547" s="86"/>
      <c r="CP1547" s="86">
        <f>+CO1547*46000</f>
        <v>0</v>
      </c>
      <c r="CQ1547" s="86"/>
      <c r="CR1547" s="86">
        <f>+CQ1547*49000</f>
        <v>0</v>
      </c>
      <c r="CS1547" s="86"/>
      <c r="CT1547" s="86"/>
      <c r="CU1547" s="56">
        <f>AN1547+AP1547+AR1547+AT1547+AV1547+AX1547+AZ1547+BB1547+BD1547+BF1547+BH1547+BJ1547+BL1547+BN1547+BP1547+BR1547+BT1547+BV1547+BX1547+BZ1547+CB1547+CD1547+CF1547+CH1547+CJ1547+CL1547+CN1547+CP1547+CR1547+CT1547</f>
        <v>0</v>
      </c>
      <c r="CV1547" s="86"/>
      <c r="CW1547" s="86">
        <f>+CV1547*1100</f>
        <v>0</v>
      </c>
      <c r="CX1547" s="86"/>
      <c r="CY1547" s="86">
        <f>+CX1547*106250</f>
        <v>0</v>
      </c>
      <c r="CZ1547" s="86"/>
      <c r="DA1547" s="86">
        <f>+CZ1547*34500</f>
        <v>0</v>
      </c>
      <c r="DB1547" s="86"/>
      <c r="DC1547" s="86">
        <f>+DB1547*25000</f>
        <v>0</v>
      </c>
      <c r="DD1547" s="223"/>
      <c r="DE1547" s="223"/>
      <c r="DF1547" s="166"/>
      <c r="DG1547" s="134"/>
      <c r="DH1547" s="155"/>
      <c r="DI1547" s="24"/>
      <c r="DJ1547" s="24"/>
      <c r="DK1547" s="24"/>
      <c r="DL1547" s="24"/>
      <c r="DM1547" s="24"/>
      <c r="DN1547" s="24"/>
      <c r="DO1547" s="24"/>
      <c r="DP1547" s="24"/>
      <c r="DQ1547" s="24"/>
      <c r="DR1547" s="24"/>
      <c r="DS1547" s="24"/>
      <c r="DT1547" s="24"/>
      <c r="DU1547" s="24"/>
    </row>
    <row r="1548" spans="1:125" s="8" customFormat="1" ht="72" x14ac:dyDescent="0.2">
      <c r="A1548" s="226">
        <v>41384</v>
      </c>
      <c r="B1548" s="225" t="s">
        <v>2811</v>
      </c>
      <c r="C1548" s="227" t="s">
        <v>2131</v>
      </c>
      <c r="D1548" s="75" t="s">
        <v>3051</v>
      </c>
      <c r="E1548" s="75" t="str">
        <f>VLOOKUP(B1548&amp;C1548,Divipola!$C$2:$F$1138,4,FALSE)</f>
        <v>52001</v>
      </c>
      <c r="F1548" s="87"/>
      <c r="G1548" s="87"/>
      <c r="H1548" s="87"/>
      <c r="I1548" s="87">
        <v>547</v>
      </c>
      <c r="J1548" s="87">
        <v>142</v>
      </c>
      <c r="K1548" s="87"/>
      <c r="L1548" s="87"/>
      <c r="M1548" s="87"/>
      <c r="N1548" s="87"/>
      <c r="O1548" s="87"/>
      <c r="P1548" s="87"/>
      <c r="Q1548" s="87"/>
      <c r="R1548" s="87"/>
      <c r="S1548" s="87"/>
      <c r="T1548" s="87"/>
      <c r="U1548" s="88"/>
      <c r="V1548" s="89"/>
      <c r="W1548" s="96">
        <v>0</v>
      </c>
      <c r="X1548" s="71">
        <f>CU1548</f>
        <v>0</v>
      </c>
      <c r="Y1548" s="71">
        <f>CY1548</f>
        <v>0</v>
      </c>
      <c r="Z1548" s="71">
        <f>DA1548+DC1548+DE1548</f>
        <v>0</v>
      </c>
      <c r="AA1548" s="71">
        <f>CW1548</f>
        <v>0</v>
      </c>
      <c r="AB1548" s="71"/>
      <c r="AC1548" s="71">
        <v>0</v>
      </c>
      <c r="AD1548" s="71">
        <f>W1548+X1548+Y1548+Z1548+AA1548+AB1548+AC1548</f>
        <v>0</v>
      </c>
      <c r="AE1548" s="72">
        <v>0</v>
      </c>
      <c r="AF1548" s="5"/>
      <c r="AG1548" s="6"/>
      <c r="AH1548" s="27" t="s">
        <v>3392</v>
      </c>
      <c r="AI1548" s="44" t="s">
        <v>3393</v>
      </c>
      <c r="AJ1548" s="26"/>
      <c r="AK1548" s="5"/>
      <c r="AL1548" s="82" t="s">
        <v>4351</v>
      </c>
      <c r="AM1548" s="76"/>
      <c r="AN1548" s="76"/>
      <c r="AO1548" s="76"/>
      <c r="AP1548" s="76"/>
      <c r="AQ1548" s="76"/>
      <c r="AR1548" s="76"/>
      <c r="AS1548" s="76"/>
      <c r="AT1548" s="76"/>
      <c r="AU1548" s="76"/>
      <c r="AV1548" s="76"/>
      <c r="AW1548" s="76"/>
      <c r="AX1548" s="76">
        <f>+AW1548*600000</f>
        <v>0</v>
      </c>
      <c r="AY1548" s="76"/>
      <c r="AZ1548" s="76">
        <f>+AY1548*70000</f>
        <v>0</v>
      </c>
      <c r="BA1548" s="76"/>
      <c r="BB1548" s="76"/>
      <c r="BC1548" s="76"/>
      <c r="BD1548" s="76">
        <f>+BC1548*30000</f>
        <v>0</v>
      </c>
      <c r="BE1548" s="76"/>
      <c r="BF1548" s="76"/>
      <c r="BG1548" s="76"/>
      <c r="BH1548" s="76"/>
      <c r="BI1548" s="76"/>
      <c r="BJ1548" s="76"/>
      <c r="BK1548" s="76"/>
      <c r="BL1548" s="76">
        <f>+BK1548*31500</f>
        <v>0</v>
      </c>
      <c r="BM1548" s="76"/>
      <c r="BN1548" s="76"/>
      <c r="BO1548" s="76"/>
      <c r="BP1548" s="76"/>
      <c r="BQ1548" s="76"/>
      <c r="BR1548" s="76"/>
      <c r="BS1548" s="76"/>
      <c r="BT1548" s="76"/>
      <c r="BU1548" s="76"/>
      <c r="BV1548" s="76"/>
      <c r="BW1548" s="76"/>
      <c r="BX1548" s="76"/>
      <c r="BY1548" s="76"/>
      <c r="BZ1548" s="76"/>
      <c r="CA1548" s="76"/>
      <c r="CB1548" s="76"/>
      <c r="CC1548" s="76"/>
      <c r="CD1548" s="76"/>
      <c r="CE1548" s="76"/>
      <c r="CF1548" s="76">
        <f>+CE1548*28000</f>
        <v>0</v>
      </c>
      <c r="CG1548" s="76"/>
      <c r="CH1548" s="76">
        <f>+CG1548*22500</f>
        <v>0</v>
      </c>
      <c r="CI1548" s="76"/>
      <c r="CJ1548" s="76">
        <f>+CI1548*26000</f>
        <v>0</v>
      </c>
      <c r="CK1548" s="76"/>
      <c r="CL1548" s="76"/>
      <c r="CM1548" s="76"/>
      <c r="CN1548" s="76">
        <f>+CM1548*22000</f>
        <v>0</v>
      </c>
      <c r="CO1548" s="76"/>
      <c r="CP1548" s="76">
        <f>+CO1548*46000</f>
        <v>0</v>
      </c>
      <c r="CQ1548" s="76"/>
      <c r="CR1548" s="76">
        <f>+CQ1548*49000</f>
        <v>0</v>
      </c>
      <c r="CS1548" s="76"/>
      <c r="CT1548" s="76"/>
      <c r="CU1548" s="56">
        <f>AN1548+AP1548+AR1548+AT1548+AV1548+AX1548+AZ1548+BB1548+BD1548+BF1548+BH1548+BJ1548+BL1548+BN1548+BP1548+BR1548+BT1548+BV1548+BX1548+BZ1548+CB1548+CD1548+CF1548+CH1548+CJ1548+CL1548+CN1548+CP1548+CR1548+CT1548</f>
        <v>0</v>
      </c>
      <c r="CV1548" s="76"/>
      <c r="CW1548" s="76">
        <f>+CV1548*1100</f>
        <v>0</v>
      </c>
      <c r="CX1548" s="76"/>
      <c r="CY1548" s="76">
        <f>+CX1548*106250</f>
        <v>0</v>
      </c>
      <c r="CZ1548" s="76"/>
      <c r="DA1548" s="76">
        <f>+CZ1548*34500</f>
        <v>0</v>
      </c>
      <c r="DB1548" s="76"/>
      <c r="DC1548" s="76">
        <f>+DB1548*25000</f>
        <v>0</v>
      </c>
      <c r="DD1548" s="219"/>
      <c r="DE1548" s="219"/>
      <c r="DF1548" s="166"/>
      <c r="DG1548" s="116"/>
      <c r="DH1548" s="117"/>
      <c r="DI1548" s="24"/>
      <c r="DJ1548" s="24"/>
      <c r="DK1548" s="24"/>
      <c r="DL1548" s="24"/>
      <c r="DM1548" s="24"/>
      <c r="DN1548" s="24"/>
      <c r="DO1548" s="24"/>
      <c r="DP1548" s="24"/>
      <c r="DQ1548" s="24"/>
      <c r="DR1548" s="24"/>
      <c r="DS1548" s="24"/>
      <c r="DT1548" s="24"/>
      <c r="DU1548" s="24"/>
    </row>
    <row r="1549" spans="1:125" s="8" customFormat="1" ht="60" x14ac:dyDescent="0.2">
      <c r="A1549" s="226">
        <v>41384</v>
      </c>
      <c r="B1549" s="225" t="s">
        <v>2811</v>
      </c>
      <c r="C1549" s="227" t="s">
        <v>2130</v>
      </c>
      <c r="D1549" s="84" t="s">
        <v>3088</v>
      </c>
      <c r="E1549" s="75" t="str">
        <f>VLOOKUP(B1549&amp;C1549,Divipola!$C$2:$F$1138,4,FALSE)</f>
        <v>52612</v>
      </c>
      <c r="F1549" s="87"/>
      <c r="G1549" s="87"/>
      <c r="H1549" s="87"/>
      <c r="I1549" s="87"/>
      <c r="J1549" s="87"/>
      <c r="K1549" s="87"/>
      <c r="L1549" s="87"/>
      <c r="M1549" s="87">
        <v>1</v>
      </c>
      <c r="N1549" s="87"/>
      <c r="O1549" s="87"/>
      <c r="P1549" s="87"/>
      <c r="Q1549" s="87"/>
      <c r="R1549" s="87"/>
      <c r="S1549" s="87"/>
      <c r="T1549" s="87"/>
      <c r="U1549" s="88"/>
      <c r="V1549" s="89"/>
      <c r="W1549" s="96">
        <v>0</v>
      </c>
      <c r="X1549" s="71">
        <f>CU1549</f>
        <v>0</v>
      </c>
      <c r="Y1549" s="71">
        <f>CY1549</f>
        <v>0</v>
      </c>
      <c r="Z1549" s="71">
        <f>DA1549+DC1549+DE1549</f>
        <v>0</v>
      </c>
      <c r="AA1549" s="71">
        <f>CW1549</f>
        <v>0</v>
      </c>
      <c r="AB1549" s="71"/>
      <c r="AC1549" s="71">
        <v>0</v>
      </c>
      <c r="AD1549" s="71">
        <f>W1549+X1549+Y1549+Z1549+AA1549+AB1549+AC1549</f>
        <v>0</v>
      </c>
      <c r="AE1549" s="72">
        <v>0</v>
      </c>
      <c r="AF1549" s="5"/>
      <c r="AG1549" s="6"/>
      <c r="AH1549" s="27" t="s">
        <v>3392</v>
      </c>
      <c r="AI1549" s="44" t="s">
        <v>3393</v>
      </c>
      <c r="AJ1549" s="26"/>
      <c r="AK1549" s="5"/>
      <c r="AL1549" s="82" t="s">
        <v>4354</v>
      </c>
      <c r="AM1549" s="76"/>
      <c r="AN1549" s="76"/>
      <c r="AO1549" s="76"/>
      <c r="AP1549" s="76"/>
      <c r="AQ1549" s="76"/>
      <c r="AR1549" s="76"/>
      <c r="AS1549" s="76"/>
      <c r="AT1549" s="76"/>
      <c r="AU1549" s="76"/>
      <c r="AV1549" s="76"/>
      <c r="AW1549" s="76"/>
      <c r="AX1549" s="76">
        <f>+AW1549*600000</f>
        <v>0</v>
      </c>
      <c r="AY1549" s="76"/>
      <c r="AZ1549" s="76">
        <f>+AY1549*70000</f>
        <v>0</v>
      </c>
      <c r="BA1549" s="76"/>
      <c r="BB1549" s="76"/>
      <c r="BC1549" s="76"/>
      <c r="BD1549" s="76">
        <f>+BC1549*30000</f>
        <v>0</v>
      </c>
      <c r="BE1549" s="76"/>
      <c r="BF1549" s="76"/>
      <c r="BG1549" s="76"/>
      <c r="BH1549" s="76"/>
      <c r="BI1549" s="76"/>
      <c r="BJ1549" s="76"/>
      <c r="BK1549" s="76"/>
      <c r="BL1549" s="76">
        <f>+BK1549*31500</f>
        <v>0</v>
      </c>
      <c r="BM1549" s="76"/>
      <c r="BN1549" s="76"/>
      <c r="BO1549" s="76"/>
      <c r="BP1549" s="76"/>
      <c r="BQ1549" s="76"/>
      <c r="BR1549" s="76"/>
      <c r="BS1549" s="76"/>
      <c r="BT1549" s="76"/>
      <c r="BU1549" s="76"/>
      <c r="BV1549" s="76"/>
      <c r="BW1549" s="76"/>
      <c r="BX1549" s="76"/>
      <c r="BY1549" s="76"/>
      <c r="BZ1549" s="76"/>
      <c r="CA1549" s="76"/>
      <c r="CB1549" s="76"/>
      <c r="CC1549" s="76"/>
      <c r="CD1549" s="76"/>
      <c r="CE1549" s="76"/>
      <c r="CF1549" s="76">
        <f>+CE1549*28000</f>
        <v>0</v>
      </c>
      <c r="CG1549" s="76"/>
      <c r="CH1549" s="76">
        <f>+CG1549*22500</f>
        <v>0</v>
      </c>
      <c r="CI1549" s="76"/>
      <c r="CJ1549" s="76">
        <f>+CI1549*26000</f>
        <v>0</v>
      </c>
      <c r="CK1549" s="76"/>
      <c r="CL1549" s="76"/>
      <c r="CM1549" s="76"/>
      <c r="CN1549" s="76">
        <f>+CM1549*22000</f>
        <v>0</v>
      </c>
      <c r="CO1549" s="76"/>
      <c r="CP1549" s="76">
        <f>+CO1549*46000</f>
        <v>0</v>
      </c>
      <c r="CQ1549" s="76"/>
      <c r="CR1549" s="76">
        <f>+CQ1549*49000</f>
        <v>0</v>
      </c>
      <c r="CS1549" s="76"/>
      <c r="CT1549" s="76"/>
      <c r="CU1549" s="56">
        <f>AN1549+AP1549+AR1549+AT1549+AV1549+AX1549+AZ1549+BB1549+BD1549+BF1549+BH1549+BJ1549+BL1549+BN1549+BP1549+BR1549+BT1549+BV1549+BX1549+BZ1549+CB1549+CD1549+CF1549+CH1549+CJ1549+CL1549+CN1549+CP1549+CR1549+CT1549</f>
        <v>0</v>
      </c>
      <c r="CV1549" s="76"/>
      <c r="CW1549" s="76">
        <f>+CV1549*1100</f>
        <v>0</v>
      </c>
      <c r="CX1549" s="76"/>
      <c r="CY1549" s="76">
        <f>+CX1549*106250</f>
        <v>0</v>
      </c>
      <c r="CZ1549" s="76"/>
      <c r="DA1549" s="76">
        <f>+CZ1549*34500</f>
        <v>0</v>
      </c>
      <c r="DB1549" s="76"/>
      <c r="DC1549" s="76">
        <f>+DB1549*25000</f>
        <v>0</v>
      </c>
      <c r="DD1549" s="219"/>
      <c r="DE1549" s="219"/>
      <c r="DF1549" s="166"/>
      <c r="DG1549" s="116"/>
      <c r="DH1549" s="117"/>
      <c r="DI1549" s="24"/>
      <c r="DJ1549" s="24"/>
      <c r="DK1549" s="24"/>
      <c r="DL1549" s="24"/>
      <c r="DM1549" s="24"/>
      <c r="DN1549" s="24"/>
      <c r="DO1549" s="24"/>
      <c r="DP1549" s="24"/>
      <c r="DQ1549" s="24"/>
      <c r="DR1549" s="24"/>
      <c r="DS1549" s="24"/>
      <c r="DT1549" s="24"/>
      <c r="DU1549" s="24"/>
    </row>
    <row r="1550" spans="1:125" s="8" customFormat="1" ht="84" x14ac:dyDescent="0.2">
      <c r="A1550" s="226">
        <v>41384</v>
      </c>
      <c r="B1550" s="225" t="s">
        <v>2880</v>
      </c>
      <c r="C1550" s="227" t="s">
        <v>1356</v>
      </c>
      <c r="D1550" s="227" t="s">
        <v>3635</v>
      </c>
      <c r="E1550" s="75" t="str">
        <f>VLOOKUP(B1550&amp;C1550,Divipola!$C$2:$F$1138,4,FALSE)</f>
        <v>54261</v>
      </c>
      <c r="F1550" s="87">
        <v>2</v>
      </c>
      <c r="G1550" s="87"/>
      <c r="H1550" s="87"/>
      <c r="I1550" s="87"/>
      <c r="J1550" s="87"/>
      <c r="K1550" s="87"/>
      <c r="L1550" s="87"/>
      <c r="M1550" s="87"/>
      <c r="N1550" s="87"/>
      <c r="O1550" s="87"/>
      <c r="P1550" s="87"/>
      <c r="Q1550" s="87"/>
      <c r="R1550" s="87"/>
      <c r="S1550" s="87"/>
      <c r="T1550" s="87"/>
      <c r="U1550" s="88"/>
      <c r="V1550" s="89"/>
      <c r="W1550" s="96">
        <v>0</v>
      </c>
      <c r="X1550" s="71">
        <f>CU1550</f>
        <v>0</v>
      </c>
      <c r="Y1550" s="71">
        <f>CY1550</f>
        <v>0</v>
      </c>
      <c r="Z1550" s="71">
        <f>DA1550+DC1550+DE1550</f>
        <v>0</v>
      </c>
      <c r="AA1550" s="71">
        <f>CW1550</f>
        <v>0</v>
      </c>
      <c r="AB1550" s="71"/>
      <c r="AC1550" s="71">
        <v>0</v>
      </c>
      <c r="AD1550" s="71">
        <f>W1550+X1550+Y1550+Z1550+AA1550+AB1550+AC1550</f>
        <v>0</v>
      </c>
      <c r="AE1550" s="72">
        <v>0</v>
      </c>
      <c r="AF1550" s="5"/>
      <c r="AG1550" s="6"/>
      <c r="AH1550" s="27" t="s">
        <v>3392</v>
      </c>
      <c r="AI1550" s="44" t="s">
        <v>3393</v>
      </c>
      <c r="AJ1550" s="26"/>
      <c r="AK1550" s="5"/>
      <c r="AL1550" s="82" t="s">
        <v>4358</v>
      </c>
      <c r="AM1550" s="76"/>
      <c r="AN1550" s="76"/>
      <c r="AO1550" s="76"/>
      <c r="AP1550" s="76"/>
      <c r="AQ1550" s="76"/>
      <c r="AR1550" s="76"/>
      <c r="AS1550" s="76"/>
      <c r="AT1550" s="76"/>
      <c r="AU1550" s="76"/>
      <c r="AV1550" s="76"/>
      <c r="AW1550" s="76"/>
      <c r="AX1550" s="76">
        <f>+AW1550*600000</f>
        <v>0</v>
      </c>
      <c r="AY1550" s="76"/>
      <c r="AZ1550" s="76">
        <f>+AY1550*70000</f>
        <v>0</v>
      </c>
      <c r="BA1550" s="76"/>
      <c r="BB1550" s="76"/>
      <c r="BC1550" s="76"/>
      <c r="BD1550" s="76">
        <f>+BC1550*30000</f>
        <v>0</v>
      </c>
      <c r="BE1550" s="76"/>
      <c r="BF1550" s="76"/>
      <c r="BG1550" s="76"/>
      <c r="BH1550" s="76"/>
      <c r="BI1550" s="76"/>
      <c r="BJ1550" s="76"/>
      <c r="BK1550" s="76"/>
      <c r="BL1550" s="76">
        <f>+BK1550*31500</f>
        <v>0</v>
      </c>
      <c r="BM1550" s="76"/>
      <c r="BN1550" s="76"/>
      <c r="BO1550" s="76"/>
      <c r="BP1550" s="76"/>
      <c r="BQ1550" s="76"/>
      <c r="BR1550" s="76"/>
      <c r="BS1550" s="76"/>
      <c r="BT1550" s="76"/>
      <c r="BU1550" s="76"/>
      <c r="BV1550" s="76"/>
      <c r="BW1550" s="76"/>
      <c r="BX1550" s="76"/>
      <c r="BY1550" s="76"/>
      <c r="BZ1550" s="76"/>
      <c r="CA1550" s="76"/>
      <c r="CB1550" s="76"/>
      <c r="CC1550" s="76"/>
      <c r="CD1550" s="76"/>
      <c r="CE1550" s="76"/>
      <c r="CF1550" s="76">
        <f>+CE1550*28000</f>
        <v>0</v>
      </c>
      <c r="CG1550" s="76"/>
      <c r="CH1550" s="76">
        <f>+CG1550*22500</f>
        <v>0</v>
      </c>
      <c r="CI1550" s="76"/>
      <c r="CJ1550" s="76">
        <f>+CI1550*26000</f>
        <v>0</v>
      </c>
      <c r="CK1550" s="76"/>
      <c r="CL1550" s="76"/>
      <c r="CM1550" s="76"/>
      <c r="CN1550" s="76">
        <f>+CM1550*22000</f>
        <v>0</v>
      </c>
      <c r="CO1550" s="76"/>
      <c r="CP1550" s="76">
        <f>+CO1550*46000</f>
        <v>0</v>
      </c>
      <c r="CQ1550" s="76"/>
      <c r="CR1550" s="76">
        <f>+CQ1550*49000</f>
        <v>0</v>
      </c>
      <c r="CS1550" s="76"/>
      <c r="CT1550" s="76"/>
      <c r="CU1550" s="56">
        <f>AN1550+AP1550+AR1550+AT1550+AV1550+AX1550+AZ1550+BB1550+BD1550+BF1550+BH1550+BJ1550+BL1550+BN1550+BP1550+BR1550+BT1550+BV1550+BX1550+BZ1550+CB1550+CD1550+CF1550+CH1550+CJ1550+CL1550+CN1550+CP1550+CR1550+CT1550</f>
        <v>0</v>
      </c>
      <c r="CV1550" s="76"/>
      <c r="CW1550" s="76">
        <f>+CV1550*1100</f>
        <v>0</v>
      </c>
      <c r="CX1550" s="76"/>
      <c r="CY1550" s="76">
        <f>+CX1550*106250</f>
        <v>0</v>
      </c>
      <c r="CZ1550" s="76"/>
      <c r="DA1550" s="76">
        <f>+CZ1550*34500</f>
        <v>0</v>
      </c>
      <c r="DB1550" s="76"/>
      <c r="DC1550" s="76">
        <f>+DB1550*25000</f>
        <v>0</v>
      </c>
      <c r="DD1550" s="219"/>
      <c r="DE1550" s="219"/>
      <c r="DF1550" s="166"/>
      <c r="DG1550" s="116"/>
      <c r="DH1550" s="117"/>
      <c r="DI1550" s="24"/>
      <c r="DJ1550" s="24"/>
      <c r="DK1550" s="24"/>
      <c r="DL1550" s="24"/>
      <c r="DM1550" s="24"/>
      <c r="DN1550" s="24"/>
      <c r="DO1550" s="24"/>
      <c r="DP1550" s="24"/>
      <c r="DQ1550" s="24"/>
      <c r="DR1550" s="24"/>
      <c r="DS1550" s="24"/>
      <c r="DT1550" s="24"/>
      <c r="DU1550" s="24"/>
    </row>
    <row r="1551" spans="1:125" s="8" customFormat="1" ht="60" x14ac:dyDescent="0.2">
      <c r="A1551" s="226">
        <v>41384</v>
      </c>
      <c r="B1551" s="225" t="s">
        <v>3131</v>
      </c>
      <c r="C1551" s="227" t="s">
        <v>2264</v>
      </c>
      <c r="D1551" s="75" t="s">
        <v>3051</v>
      </c>
      <c r="E1551" s="75" t="str">
        <f>VLOOKUP(B1551&amp;C1551,Divipola!$C$2:$F$1138,4,FALSE)</f>
        <v>86568</v>
      </c>
      <c r="F1551" s="87"/>
      <c r="G1551" s="87"/>
      <c r="H1551" s="87"/>
      <c r="I1551" s="87">
        <v>95</v>
      </c>
      <c r="J1551" s="87">
        <v>19</v>
      </c>
      <c r="K1551" s="87"/>
      <c r="L1551" s="87">
        <v>19</v>
      </c>
      <c r="M1551" s="87"/>
      <c r="N1551" s="87"/>
      <c r="O1551" s="87"/>
      <c r="P1551" s="87"/>
      <c r="Q1551" s="87"/>
      <c r="R1551" s="87"/>
      <c r="S1551" s="87"/>
      <c r="T1551" s="87"/>
      <c r="U1551" s="88"/>
      <c r="V1551" s="89"/>
      <c r="W1551" s="96">
        <v>0</v>
      </c>
      <c r="X1551" s="71">
        <f>CU1551</f>
        <v>0</v>
      </c>
      <c r="Y1551" s="71">
        <f>CY1551</f>
        <v>0</v>
      </c>
      <c r="Z1551" s="71">
        <f>DA1551+DC1551+DE1551</f>
        <v>0</v>
      </c>
      <c r="AA1551" s="71">
        <f>CW1551</f>
        <v>0</v>
      </c>
      <c r="AB1551" s="71"/>
      <c r="AC1551" s="71">
        <v>0</v>
      </c>
      <c r="AD1551" s="71">
        <f>W1551+X1551+Y1551+Z1551+AA1551+AB1551+AC1551</f>
        <v>0</v>
      </c>
      <c r="AE1551" s="72">
        <v>0</v>
      </c>
      <c r="AF1551" s="5"/>
      <c r="AG1551" s="6"/>
      <c r="AH1551" s="27" t="s">
        <v>3392</v>
      </c>
      <c r="AI1551" s="44" t="s">
        <v>3393</v>
      </c>
      <c r="AJ1551" s="26"/>
      <c r="AK1551" s="5"/>
      <c r="AL1551" s="82" t="s">
        <v>4343</v>
      </c>
      <c r="AM1551" s="76"/>
      <c r="AN1551" s="76"/>
      <c r="AO1551" s="76"/>
      <c r="AP1551" s="76"/>
      <c r="AQ1551" s="76"/>
      <c r="AR1551" s="76"/>
      <c r="AS1551" s="76"/>
      <c r="AT1551" s="76"/>
      <c r="AU1551" s="76"/>
      <c r="AV1551" s="76"/>
      <c r="AW1551" s="76"/>
      <c r="AX1551" s="76">
        <f>+AW1551*600000</f>
        <v>0</v>
      </c>
      <c r="AY1551" s="76"/>
      <c r="AZ1551" s="76">
        <f>+AY1551*70000</f>
        <v>0</v>
      </c>
      <c r="BA1551" s="76"/>
      <c r="BB1551" s="76"/>
      <c r="BC1551" s="76"/>
      <c r="BD1551" s="76">
        <f>+BC1551*30000</f>
        <v>0</v>
      </c>
      <c r="BE1551" s="76"/>
      <c r="BF1551" s="76"/>
      <c r="BG1551" s="76"/>
      <c r="BH1551" s="76"/>
      <c r="BI1551" s="76"/>
      <c r="BJ1551" s="76"/>
      <c r="BK1551" s="76"/>
      <c r="BL1551" s="76">
        <f>+BK1551*31500</f>
        <v>0</v>
      </c>
      <c r="BM1551" s="76"/>
      <c r="BN1551" s="76"/>
      <c r="BO1551" s="76"/>
      <c r="BP1551" s="76"/>
      <c r="BQ1551" s="76"/>
      <c r="BR1551" s="76"/>
      <c r="BS1551" s="76"/>
      <c r="BT1551" s="76"/>
      <c r="BU1551" s="76"/>
      <c r="BV1551" s="76"/>
      <c r="BW1551" s="76"/>
      <c r="BX1551" s="76"/>
      <c r="BY1551" s="76"/>
      <c r="BZ1551" s="76"/>
      <c r="CA1551" s="76"/>
      <c r="CB1551" s="76"/>
      <c r="CC1551" s="76"/>
      <c r="CD1551" s="76"/>
      <c r="CE1551" s="76"/>
      <c r="CF1551" s="76">
        <f>+CE1551*28000</f>
        <v>0</v>
      </c>
      <c r="CG1551" s="76"/>
      <c r="CH1551" s="76">
        <f>+CG1551*22500</f>
        <v>0</v>
      </c>
      <c r="CI1551" s="76"/>
      <c r="CJ1551" s="76">
        <f>+CI1551*26000</f>
        <v>0</v>
      </c>
      <c r="CK1551" s="76"/>
      <c r="CL1551" s="76"/>
      <c r="CM1551" s="76"/>
      <c r="CN1551" s="76">
        <f>+CM1551*22000</f>
        <v>0</v>
      </c>
      <c r="CO1551" s="76"/>
      <c r="CP1551" s="76">
        <f>+CO1551*46000</f>
        <v>0</v>
      </c>
      <c r="CQ1551" s="76"/>
      <c r="CR1551" s="76">
        <f>+CQ1551*49000</f>
        <v>0</v>
      </c>
      <c r="CS1551" s="76"/>
      <c r="CT1551" s="76"/>
      <c r="CU1551" s="56">
        <f>AN1551+AP1551+AR1551+AT1551+AV1551+AX1551+AZ1551+BB1551+BD1551+BF1551+BH1551+BJ1551+BL1551+BN1551+BP1551+BR1551+BT1551+BV1551+BX1551+BZ1551+CB1551+CD1551+CF1551+CH1551+CJ1551+CL1551+CN1551+CP1551+CR1551+CT1551</f>
        <v>0</v>
      </c>
      <c r="CV1551" s="76"/>
      <c r="CW1551" s="76">
        <f>+CV1551*1100</f>
        <v>0</v>
      </c>
      <c r="CX1551" s="76"/>
      <c r="CY1551" s="76">
        <f>+CX1551*106250</f>
        <v>0</v>
      </c>
      <c r="CZ1551" s="76"/>
      <c r="DA1551" s="76">
        <f>+CZ1551*34500</f>
        <v>0</v>
      </c>
      <c r="DB1551" s="76"/>
      <c r="DC1551" s="76">
        <f>+DB1551*25000</f>
        <v>0</v>
      </c>
      <c r="DD1551" s="219"/>
      <c r="DE1551" s="219"/>
      <c r="DF1551" s="166"/>
      <c r="DG1551" s="116"/>
      <c r="DH1551" s="117"/>
      <c r="DI1551" s="24"/>
      <c r="DJ1551" s="24"/>
      <c r="DK1551" s="24"/>
      <c r="DL1551" s="24"/>
      <c r="DM1551" s="24"/>
      <c r="DN1551" s="24"/>
      <c r="DO1551" s="24"/>
      <c r="DP1551" s="24"/>
      <c r="DQ1551" s="24"/>
      <c r="DR1551" s="24"/>
      <c r="DS1551" s="24"/>
      <c r="DT1551" s="24"/>
      <c r="DU1551" s="24"/>
    </row>
    <row r="1552" spans="1:125" s="8" customFormat="1" ht="156" x14ac:dyDescent="0.2">
      <c r="A1552" s="77">
        <v>41384</v>
      </c>
      <c r="B1552" s="78" t="s">
        <v>3131</v>
      </c>
      <c r="C1552" s="75" t="s">
        <v>2267</v>
      </c>
      <c r="D1552" s="75" t="s">
        <v>3051</v>
      </c>
      <c r="E1552" s="75" t="str">
        <f>VLOOKUP(B1552&amp;C1552,Divipola!$C$2:$F$1138,4,FALSE)</f>
        <v>86569</v>
      </c>
      <c r="F1552" s="87">
        <v>2</v>
      </c>
      <c r="G1552" s="87"/>
      <c r="H1552" s="87"/>
      <c r="I1552" s="87">
        <v>4</v>
      </c>
      <c r="J1552" s="87">
        <v>1</v>
      </c>
      <c r="K1552" s="87"/>
      <c r="L1552" s="87"/>
      <c r="M1552" s="87"/>
      <c r="N1552" s="87"/>
      <c r="O1552" s="87"/>
      <c r="P1552" s="87"/>
      <c r="Q1552" s="87"/>
      <c r="R1552" s="87"/>
      <c r="S1552" s="87"/>
      <c r="T1552" s="87"/>
      <c r="U1552" s="88"/>
      <c r="V1552" s="89"/>
      <c r="W1552" s="96">
        <v>0</v>
      </c>
      <c r="X1552" s="71">
        <f>CU1552</f>
        <v>0</v>
      </c>
      <c r="Y1552" s="71">
        <f>CY1552</f>
        <v>0</v>
      </c>
      <c r="Z1552" s="71">
        <f>DA1552+DC1552+DE1552</f>
        <v>0</v>
      </c>
      <c r="AA1552" s="71">
        <f>CW1552</f>
        <v>0</v>
      </c>
      <c r="AB1552" s="71"/>
      <c r="AC1552" s="71">
        <v>0</v>
      </c>
      <c r="AD1552" s="71">
        <f>W1552+X1552+Y1552+Z1552+AA1552+AB1552+AC1552</f>
        <v>0</v>
      </c>
      <c r="AE1552" s="72">
        <v>0</v>
      </c>
      <c r="AF1552" s="5"/>
      <c r="AG1552" s="6"/>
      <c r="AH1552" s="27" t="s">
        <v>3392</v>
      </c>
      <c r="AI1552" s="44" t="s">
        <v>3393</v>
      </c>
      <c r="AJ1552" s="26"/>
      <c r="AK1552" s="5"/>
      <c r="AL1552" s="82" t="s">
        <v>4346</v>
      </c>
      <c r="AM1552" s="76"/>
      <c r="AN1552" s="76"/>
      <c r="AO1552" s="76"/>
      <c r="AP1552" s="76"/>
      <c r="AQ1552" s="76"/>
      <c r="AR1552" s="76"/>
      <c r="AS1552" s="76"/>
      <c r="AT1552" s="76"/>
      <c r="AU1552" s="76"/>
      <c r="AV1552" s="76"/>
      <c r="AW1552" s="76"/>
      <c r="AX1552" s="76">
        <f>+AW1552*600000</f>
        <v>0</v>
      </c>
      <c r="AY1552" s="76"/>
      <c r="AZ1552" s="76">
        <f>+AY1552*70000</f>
        <v>0</v>
      </c>
      <c r="BA1552" s="76"/>
      <c r="BB1552" s="76"/>
      <c r="BC1552" s="76"/>
      <c r="BD1552" s="76">
        <f>+BC1552*30000</f>
        <v>0</v>
      </c>
      <c r="BE1552" s="76"/>
      <c r="BF1552" s="76"/>
      <c r="BG1552" s="76"/>
      <c r="BH1552" s="76"/>
      <c r="BI1552" s="76"/>
      <c r="BJ1552" s="76"/>
      <c r="BK1552" s="76"/>
      <c r="BL1552" s="76">
        <f>+BK1552*31500</f>
        <v>0</v>
      </c>
      <c r="BM1552" s="76"/>
      <c r="BN1552" s="76"/>
      <c r="BO1552" s="76"/>
      <c r="BP1552" s="76"/>
      <c r="BQ1552" s="76"/>
      <c r="BR1552" s="76"/>
      <c r="BS1552" s="76"/>
      <c r="BT1552" s="76"/>
      <c r="BU1552" s="76"/>
      <c r="BV1552" s="76"/>
      <c r="BW1552" s="76"/>
      <c r="BX1552" s="76"/>
      <c r="BY1552" s="76"/>
      <c r="BZ1552" s="76"/>
      <c r="CA1552" s="76"/>
      <c r="CB1552" s="76"/>
      <c r="CC1552" s="76"/>
      <c r="CD1552" s="76"/>
      <c r="CE1552" s="76"/>
      <c r="CF1552" s="76">
        <f>+CE1552*28000</f>
        <v>0</v>
      </c>
      <c r="CG1552" s="76"/>
      <c r="CH1552" s="76">
        <f>+CG1552*22500</f>
        <v>0</v>
      </c>
      <c r="CI1552" s="76"/>
      <c r="CJ1552" s="76">
        <f>+CI1552*26000</f>
        <v>0</v>
      </c>
      <c r="CK1552" s="76"/>
      <c r="CL1552" s="76"/>
      <c r="CM1552" s="76"/>
      <c r="CN1552" s="76">
        <f>+CM1552*22000</f>
        <v>0</v>
      </c>
      <c r="CO1552" s="76"/>
      <c r="CP1552" s="76">
        <f>+CO1552*46000</f>
        <v>0</v>
      </c>
      <c r="CQ1552" s="76"/>
      <c r="CR1552" s="76">
        <f>+CQ1552*49000</f>
        <v>0</v>
      </c>
      <c r="CS1552" s="76"/>
      <c r="CT1552" s="76"/>
      <c r="CU1552" s="56">
        <f>AN1552+AP1552+AR1552+AT1552+AV1552+AX1552+AZ1552+BB1552+BD1552+BF1552+BH1552+BJ1552+BL1552+BN1552+BP1552+BR1552+BT1552+BV1552+BX1552+BZ1552+CB1552+CD1552+CF1552+CH1552+CJ1552+CL1552+CN1552+CP1552+CR1552+CT1552</f>
        <v>0</v>
      </c>
      <c r="CV1552" s="76"/>
      <c r="CW1552" s="76">
        <f>+CV1552*1100</f>
        <v>0</v>
      </c>
      <c r="CX1552" s="76"/>
      <c r="CY1552" s="76">
        <f>+CX1552*106250</f>
        <v>0</v>
      </c>
      <c r="CZ1552" s="76"/>
      <c r="DA1552" s="76">
        <f>+CZ1552*34500</f>
        <v>0</v>
      </c>
      <c r="DB1552" s="76"/>
      <c r="DC1552" s="76">
        <f>+DB1552*25000</f>
        <v>0</v>
      </c>
      <c r="DD1552" s="219"/>
      <c r="DE1552" s="219"/>
      <c r="DF1552" s="166"/>
      <c r="DG1552" s="116"/>
      <c r="DH1552" s="117"/>
      <c r="DI1552" s="24"/>
      <c r="DJ1552" s="24"/>
      <c r="DK1552" s="24"/>
      <c r="DL1552" s="24"/>
      <c r="DM1552" s="24"/>
      <c r="DN1552" s="24"/>
      <c r="DO1552" s="24"/>
      <c r="DP1552" s="24"/>
      <c r="DQ1552" s="24"/>
      <c r="DR1552" s="24"/>
      <c r="DS1552" s="24"/>
      <c r="DT1552" s="24"/>
      <c r="DU1552" s="24"/>
    </row>
    <row r="1553" spans="1:125" s="8" customFormat="1" ht="96" x14ac:dyDescent="0.2">
      <c r="A1553" s="353">
        <v>41384</v>
      </c>
      <c r="B1553" s="352" t="s">
        <v>2848</v>
      </c>
      <c r="C1553" s="354" t="s">
        <v>2035</v>
      </c>
      <c r="D1553" s="354" t="s">
        <v>2882</v>
      </c>
      <c r="E1553" s="75" t="str">
        <f>VLOOKUP(B1553&amp;C1553,Divipola!$C$2:$F$1138,4,FALSE)</f>
        <v>73148</v>
      </c>
      <c r="F1553" s="87"/>
      <c r="G1553" s="87"/>
      <c r="H1553" s="87"/>
      <c r="I1553" s="87">
        <v>135</v>
      </c>
      <c r="J1553" s="87">
        <v>27</v>
      </c>
      <c r="K1553" s="87">
        <v>4</v>
      </c>
      <c r="L1553" s="87">
        <v>23</v>
      </c>
      <c r="M1553" s="87"/>
      <c r="N1553" s="87"/>
      <c r="O1553" s="87"/>
      <c r="P1553" s="87"/>
      <c r="Q1553" s="87"/>
      <c r="R1553" s="87"/>
      <c r="S1553" s="87"/>
      <c r="T1553" s="87">
        <v>1</v>
      </c>
      <c r="U1553" s="88">
        <v>80</v>
      </c>
      <c r="V1553" s="89">
        <v>100</v>
      </c>
      <c r="W1553" s="96">
        <v>0</v>
      </c>
      <c r="X1553" s="71">
        <f>CU1553</f>
        <v>4290000</v>
      </c>
      <c r="Y1553" s="71">
        <f>CY1553</f>
        <v>2744300</v>
      </c>
      <c r="Z1553" s="71">
        <f>DA1553+DC1553+DE1553</f>
        <v>6635000</v>
      </c>
      <c r="AA1553" s="71">
        <f>CW1553</f>
        <v>0</v>
      </c>
      <c r="AB1553" s="71"/>
      <c r="AC1553" s="71">
        <v>0</v>
      </c>
      <c r="AD1553" s="71">
        <f>W1553+X1553+Y1553+Z1553+AA1553+AB1553+AC1553</f>
        <v>13669300</v>
      </c>
      <c r="AE1553" s="72">
        <v>0</v>
      </c>
      <c r="AF1553" s="5"/>
      <c r="AG1553" s="6"/>
      <c r="AH1553" s="27" t="s">
        <v>3390</v>
      </c>
      <c r="AI1553" s="44" t="s">
        <v>3391</v>
      </c>
      <c r="AJ1553" s="26"/>
      <c r="AK1553" s="5"/>
      <c r="AL1553" s="82" t="s">
        <v>4373</v>
      </c>
      <c r="AM1553" s="76"/>
      <c r="AN1553" s="76"/>
      <c r="AO1553" s="76"/>
      <c r="AP1553" s="76"/>
      <c r="AQ1553" s="76"/>
      <c r="AR1553" s="76"/>
      <c r="AS1553" s="76"/>
      <c r="AT1553" s="76"/>
      <c r="AU1553" s="76"/>
      <c r="AV1553" s="76"/>
      <c r="AW1553" s="76"/>
      <c r="AX1553" s="76">
        <f>+AW1553*600000</f>
        <v>0</v>
      </c>
      <c r="AY1553" s="86">
        <v>26</v>
      </c>
      <c r="AZ1553" s="86">
        <f>+AY1553*70000</f>
        <v>1820000</v>
      </c>
      <c r="BA1553" s="76"/>
      <c r="BB1553" s="76"/>
      <c r="BC1553" s="76"/>
      <c r="BD1553" s="76">
        <f>+BC1553*30000</f>
        <v>0</v>
      </c>
      <c r="BE1553" s="76"/>
      <c r="BF1553" s="76"/>
      <c r="BG1553" s="76"/>
      <c r="BH1553" s="76"/>
      <c r="BI1553" s="76"/>
      <c r="BJ1553" s="76"/>
      <c r="BK1553" s="76"/>
      <c r="BL1553" s="76">
        <f>+BK1553*31500</f>
        <v>0</v>
      </c>
      <c r="BM1553" s="76"/>
      <c r="BN1553" s="76"/>
      <c r="BO1553" s="76"/>
      <c r="BP1553" s="76"/>
      <c r="BQ1553" s="76"/>
      <c r="BR1553" s="76"/>
      <c r="BS1553" s="76"/>
      <c r="BT1553" s="76"/>
      <c r="BU1553" s="76"/>
      <c r="BV1553" s="76"/>
      <c r="BW1553" s="76"/>
      <c r="BX1553" s="76"/>
      <c r="BY1553" s="76"/>
      <c r="BZ1553" s="76"/>
      <c r="CA1553" s="76"/>
      <c r="CB1553" s="76"/>
      <c r="CC1553" s="76"/>
      <c r="CD1553" s="76"/>
      <c r="CE1553" s="76"/>
      <c r="CF1553" s="76">
        <f>+CE1553*28000</f>
        <v>0</v>
      </c>
      <c r="CG1553" s="76"/>
      <c r="CH1553" s="76">
        <f>+CG1553*22500</f>
        <v>0</v>
      </c>
      <c r="CI1553" s="76"/>
      <c r="CJ1553" s="76">
        <f>+CI1553*26000</f>
        <v>0</v>
      </c>
      <c r="CK1553" s="76"/>
      <c r="CL1553" s="76"/>
      <c r="CM1553" s="76"/>
      <c r="CN1553" s="76">
        <f>+CM1553*22000</f>
        <v>0</v>
      </c>
      <c r="CO1553" s="86">
        <v>26</v>
      </c>
      <c r="CP1553" s="86">
        <f>+CO1553*46000</f>
        <v>1196000</v>
      </c>
      <c r="CQ1553" s="86">
        <v>26</v>
      </c>
      <c r="CR1553" s="86">
        <f>+CQ1553*49000</f>
        <v>1274000</v>
      </c>
      <c r="CS1553" s="76"/>
      <c r="CT1553" s="76"/>
      <c r="CU1553" s="56">
        <f>AN1553+AP1553+AR1553+AT1553+AV1553+AX1553+AZ1553+BB1553+BD1553+BF1553+BH1553+BJ1553+BL1553+BN1553+BP1553+BR1553+BT1553+BV1553+BX1553+BZ1553+CB1553+CD1553+CF1553+CH1553+CJ1553+CL1553+CN1553+CP1553+CR1553+CT1553</f>
        <v>4290000</v>
      </c>
      <c r="CV1553" s="76"/>
      <c r="CW1553" s="76">
        <f>+CV1553*1100</f>
        <v>0</v>
      </c>
      <c r="CX1553" s="86">
        <v>26</v>
      </c>
      <c r="CY1553" s="86">
        <f>+CX1553*105550</f>
        <v>2744300</v>
      </c>
      <c r="CZ1553" s="86">
        <v>50</v>
      </c>
      <c r="DA1553" s="86">
        <f>+CZ1553*29500</f>
        <v>1475000</v>
      </c>
      <c r="DB1553" s="86">
        <v>200</v>
      </c>
      <c r="DC1553" s="86">
        <f>+DB1553*25000+800*200</f>
        <v>5160000</v>
      </c>
      <c r="DD1553" s="219"/>
      <c r="DE1553" s="219"/>
      <c r="DF1553" s="166"/>
      <c r="DG1553" s="134" t="s">
        <v>5150</v>
      </c>
      <c r="DH1553" s="117"/>
      <c r="DI1553" s="24"/>
      <c r="DJ1553" s="24"/>
      <c r="DK1553" s="24"/>
      <c r="DL1553" s="24"/>
      <c r="DM1553" s="24"/>
      <c r="DN1553" s="24"/>
      <c r="DO1553" s="24"/>
      <c r="DP1553" s="24"/>
      <c r="DQ1553" s="24"/>
      <c r="DR1553" s="24"/>
      <c r="DS1553" s="24"/>
      <c r="DT1553" s="24"/>
      <c r="DU1553" s="24"/>
    </row>
    <row r="1554" spans="1:125" s="8" customFormat="1" ht="48" x14ac:dyDescent="0.2">
      <c r="A1554" s="353">
        <v>41384</v>
      </c>
      <c r="B1554" s="352" t="s">
        <v>2851</v>
      </c>
      <c r="C1554" s="354" t="s">
        <v>1686</v>
      </c>
      <c r="D1554" s="354" t="s">
        <v>2859</v>
      </c>
      <c r="E1554" s="75" t="str">
        <f>VLOOKUP(B1554&amp;C1554,Divipola!$C$2:$F$1138,4,FALSE)</f>
        <v>76001</v>
      </c>
      <c r="F1554" s="87"/>
      <c r="G1554" s="87"/>
      <c r="H1554" s="87"/>
      <c r="I1554" s="87">
        <v>30</v>
      </c>
      <c r="J1554" s="87">
        <v>5</v>
      </c>
      <c r="K1554" s="87">
        <v>5</v>
      </c>
      <c r="L1554" s="87"/>
      <c r="M1554" s="87"/>
      <c r="N1554" s="87"/>
      <c r="O1554" s="87"/>
      <c r="P1554" s="87"/>
      <c r="Q1554" s="87"/>
      <c r="R1554" s="87"/>
      <c r="S1554" s="87"/>
      <c r="T1554" s="87"/>
      <c r="U1554" s="88"/>
      <c r="V1554" s="89"/>
      <c r="W1554" s="96">
        <v>0</v>
      </c>
      <c r="X1554" s="71">
        <f>CU1554</f>
        <v>0</v>
      </c>
      <c r="Y1554" s="71">
        <f>CY1554</f>
        <v>0</v>
      </c>
      <c r="Z1554" s="71">
        <f>DA1554+DC1554+DE1554</f>
        <v>0</v>
      </c>
      <c r="AA1554" s="71">
        <f>CW1554</f>
        <v>0</v>
      </c>
      <c r="AB1554" s="71"/>
      <c r="AC1554" s="71">
        <v>0</v>
      </c>
      <c r="AD1554" s="71">
        <f>W1554+X1554+Y1554+Z1554+AA1554+AB1554+AC1554</f>
        <v>0</v>
      </c>
      <c r="AE1554" s="72">
        <v>0</v>
      </c>
      <c r="AF1554" s="5"/>
      <c r="AG1554" s="6"/>
      <c r="AH1554" s="27" t="s">
        <v>3392</v>
      </c>
      <c r="AI1554" s="44" t="s">
        <v>3393</v>
      </c>
      <c r="AJ1554" s="26"/>
      <c r="AK1554" s="5"/>
      <c r="AL1554" s="82" t="s">
        <v>4357</v>
      </c>
      <c r="AM1554" s="76"/>
      <c r="AN1554" s="76"/>
      <c r="AO1554" s="76"/>
      <c r="AP1554" s="76"/>
      <c r="AQ1554" s="76"/>
      <c r="AR1554" s="76"/>
      <c r="AS1554" s="76"/>
      <c r="AT1554" s="76"/>
      <c r="AU1554" s="76"/>
      <c r="AV1554" s="76"/>
      <c r="AW1554" s="76"/>
      <c r="AX1554" s="76">
        <f>+AW1554*600000</f>
        <v>0</v>
      </c>
      <c r="AY1554" s="76"/>
      <c r="AZ1554" s="76">
        <f>+AY1554*70000</f>
        <v>0</v>
      </c>
      <c r="BA1554" s="76"/>
      <c r="BB1554" s="76"/>
      <c r="BC1554" s="76"/>
      <c r="BD1554" s="76">
        <f>+BC1554*30000</f>
        <v>0</v>
      </c>
      <c r="BE1554" s="76"/>
      <c r="BF1554" s="76"/>
      <c r="BG1554" s="76"/>
      <c r="BH1554" s="76"/>
      <c r="BI1554" s="76"/>
      <c r="BJ1554" s="76"/>
      <c r="BK1554" s="76"/>
      <c r="BL1554" s="76">
        <f>+BK1554*31500</f>
        <v>0</v>
      </c>
      <c r="BM1554" s="76"/>
      <c r="BN1554" s="76"/>
      <c r="BO1554" s="76"/>
      <c r="BP1554" s="76"/>
      <c r="BQ1554" s="76"/>
      <c r="BR1554" s="76"/>
      <c r="BS1554" s="76"/>
      <c r="BT1554" s="76"/>
      <c r="BU1554" s="76"/>
      <c r="BV1554" s="76"/>
      <c r="BW1554" s="76"/>
      <c r="BX1554" s="76"/>
      <c r="BY1554" s="76"/>
      <c r="BZ1554" s="76"/>
      <c r="CA1554" s="76"/>
      <c r="CB1554" s="76"/>
      <c r="CC1554" s="76"/>
      <c r="CD1554" s="76"/>
      <c r="CE1554" s="76"/>
      <c r="CF1554" s="76">
        <f>+CE1554*28000</f>
        <v>0</v>
      </c>
      <c r="CG1554" s="76"/>
      <c r="CH1554" s="76">
        <f>+CG1554*22500</f>
        <v>0</v>
      </c>
      <c r="CI1554" s="76"/>
      <c r="CJ1554" s="76">
        <f>+CI1554*26000</f>
        <v>0</v>
      </c>
      <c r="CK1554" s="76"/>
      <c r="CL1554" s="76"/>
      <c r="CM1554" s="76"/>
      <c r="CN1554" s="76">
        <f>+CM1554*22000</f>
        <v>0</v>
      </c>
      <c r="CO1554" s="76"/>
      <c r="CP1554" s="76">
        <f>+CO1554*46000</f>
        <v>0</v>
      </c>
      <c r="CQ1554" s="76"/>
      <c r="CR1554" s="76">
        <f>+CQ1554*49000</f>
        <v>0</v>
      </c>
      <c r="CS1554" s="76"/>
      <c r="CT1554" s="76"/>
      <c r="CU1554" s="56">
        <f>AN1554+AP1554+AR1554+AT1554+AV1554+AX1554+AZ1554+BB1554+BD1554+BF1554+BH1554+BJ1554+BL1554+BN1554+BP1554+BR1554+BT1554+BV1554+BX1554+BZ1554+CB1554+CD1554+CF1554+CH1554+CJ1554+CL1554+CN1554+CP1554+CR1554+CT1554</f>
        <v>0</v>
      </c>
      <c r="CV1554" s="76"/>
      <c r="CW1554" s="76">
        <f>+CV1554*1100</f>
        <v>0</v>
      </c>
      <c r="CX1554" s="76"/>
      <c r="CY1554" s="76">
        <f>+CX1554*106250</f>
        <v>0</v>
      </c>
      <c r="CZ1554" s="76"/>
      <c r="DA1554" s="76">
        <f>+CZ1554*34500</f>
        <v>0</v>
      </c>
      <c r="DB1554" s="76"/>
      <c r="DC1554" s="76">
        <f>+DB1554*25000</f>
        <v>0</v>
      </c>
      <c r="DD1554" s="219"/>
      <c r="DE1554" s="219"/>
      <c r="DF1554" s="166"/>
      <c r="DG1554" s="116"/>
      <c r="DH1554" s="117"/>
      <c r="DI1554" s="24"/>
      <c r="DJ1554" s="24"/>
      <c r="DK1554" s="24"/>
      <c r="DL1554" s="24"/>
      <c r="DM1554" s="24"/>
      <c r="DN1554" s="24"/>
      <c r="DO1554" s="24"/>
      <c r="DP1554" s="24"/>
      <c r="DQ1554" s="24"/>
      <c r="DR1554" s="24"/>
      <c r="DS1554" s="24"/>
      <c r="DT1554" s="24"/>
      <c r="DU1554" s="24"/>
    </row>
    <row r="1555" spans="1:125" s="8" customFormat="1" ht="96" x14ac:dyDescent="0.2">
      <c r="A1555" s="226">
        <v>41384</v>
      </c>
      <c r="B1555" s="225" t="s">
        <v>2851</v>
      </c>
      <c r="C1555" s="227" t="s">
        <v>2667</v>
      </c>
      <c r="D1555" s="227" t="s">
        <v>2859</v>
      </c>
      <c r="E1555" s="75" t="str">
        <f>VLOOKUP(B1555&amp;C1555,Divipola!$C$2:$F$1138,4,FALSE)</f>
        <v>76364</v>
      </c>
      <c r="F1555" s="87"/>
      <c r="G1555" s="87"/>
      <c r="H1555" s="87"/>
      <c r="I1555" s="87">
        <v>5</v>
      </c>
      <c r="J1555" s="87">
        <v>1</v>
      </c>
      <c r="K1555" s="87"/>
      <c r="L1555" s="87">
        <v>1</v>
      </c>
      <c r="M1555" s="87"/>
      <c r="N1555" s="87"/>
      <c r="O1555" s="87"/>
      <c r="P1555" s="87"/>
      <c r="Q1555" s="87"/>
      <c r="R1555" s="87"/>
      <c r="S1555" s="87"/>
      <c r="T1555" s="87"/>
      <c r="U1555" s="88"/>
      <c r="V1555" s="89"/>
      <c r="W1555" s="96">
        <v>0</v>
      </c>
      <c r="X1555" s="71">
        <f>CU1555</f>
        <v>0</v>
      </c>
      <c r="Y1555" s="71">
        <f>CY1555</f>
        <v>0</v>
      </c>
      <c r="Z1555" s="71">
        <f>DA1555+DC1555+DE1555</f>
        <v>0</v>
      </c>
      <c r="AA1555" s="71">
        <f>CW1555</f>
        <v>0</v>
      </c>
      <c r="AB1555" s="71"/>
      <c r="AC1555" s="71">
        <v>0</v>
      </c>
      <c r="AD1555" s="71">
        <f>W1555+X1555+Y1555+Z1555+AA1555+AB1555+AC1555</f>
        <v>0</v>
      </c>
      <c r="AE1555" s="72">
        <v>0</v>
      </c>
      <c r="AF1555" s="5"/>
      <c r="AG1555" s="6"/>
      <c r="AH1555" s="27" t="s">
        <v>3392</v>
      </c>
      <c r="AI1555" s="44" t="s">
        <v>3393</v>
      </c>
      <c r="AJ1555" s="26"/>
      <c r="AK1555" s="5"/>
      <c r="AL1555" s="82" t="s">
        <v>4350</v>
      </c>
      <c r="AM1555" s="76"/>
      <c r="AN1555" s="76"/>
      <c r="AO1555" s="76"/>
      <c r="AP1555" s="76"/>
      <c r="AQ1555" s="76"/>
      <c r="AR1555" s="76"/>
      <c r="AS1555" s="76"/>
      <c r="AT1555" s="76"/>
      <c r="AU1555" s="76"/>
      <c r="AV1555" s="76"/>
      <c r="AW1555" s="76"/>
      <c r="AX1555" s="76">
        <f>+AW1555*600000</f>
        <v>0</v>
      </c>
      <c r="AY1555" s="76"/>
      <c r="AZ1555" s="76">
        <f>+AY1555*70000</f>
        <v>0</v>
      </c>
      <c r="BA1555" s="76"/>
      <c r="BB1555" s="76"/>
      <c r="BC1555" s="76"/>
      <c r="BD1555" s="76">
        <f>+BC1555*30000</f>
        <v>0</v>
      </c>
      <c r="BE1555" s="76"/>
      <c r="BF1555" s="76"/>
      <c r="BG1555" s="76"/>
      <c r="BH1555" s="76"/>
      <c r="BI1555" s="76"/>
      <c r="BJ1555" s="76"/>
      <c r="BK1555" s="76"/>
      <c r="BL1555" s="76">
        <f>+BK1555*31500</f>
        <v>0</v>
      </c>
      <c r="BM1555" s="76"/>
      <c r="BN1555" s="76"/>
      <c r="BO1555" s="76"/>
      <c r="BP1555" s="76"/>
      <c r="BQ1555" s="76"/>
      <c r="BR1555" s="76"/>
      <c r="BS1555" s="76"/>
      <c r="BT1555" s="76"/>
      <c r="BU1555" s="76"/>
      <c r="BV1555" s="76"/>
      <c r="BW1555" s="76"/>
      <c r="BX1555" s="76"/>
      <c r="BY1555" s="76"/>
      <c r="BZ1555" s="76"/>
      <c r="CA1555" s="76"/>
      <c r="CB1555" s="76"/>
      <c r="CC1555" s="76"/>
      <c r="CD1555" s="76"/>
      <c r="CE1555" s="76"/>
      <c r="CF1555" s="76">
        <f>+CE1555*28000</f>
        <v>0</v>
      </c>
      <c r="CG1555" s="76"/>
      <c r="CH1555" s="76">
        <f>+CG1555*22500</f>
        <v>0</v>
      </c>
      <c r="CI1555" s="76"/>
      <c r="CJ1555" s="76">
        <f>+CI1555*26000</f>
        <v>0</v>
      </c>
      <c r="CK1555" s="76"/>
      <c r="CL1555" s="76"/>
      <c r="CM1555" s="76"/>
      <c r="CN1555" s="76">
        <f>+CM1555*22000</f>
        <v>0</v>
      </c>
      <c r="CO1555" s="76"/>
      <c r="CP1555" s="76">
        <f>+CO1555*46000</f>
        <v>0</v>
      </c>
      <c r="CQ1555" s="76"/>
      <c r="CR1555" s="76">
        <f>+CQ1555*49000</f>
        <v>0</v>
      </c>
      <c r="CS1555" s="76"/>
      <c r="CT1555" s="76"/>
      <c r="CU1555" s="56">
        <f>AN1555+AP1555+AR1555+AT1555+AV1555+AX1555+AZ1555+BB1555+BD1555+BF1555+BH1555+BJ1555+BL1555+BN1555+BP1555+BR1555+BT1555+BV1555+BX1555+BZ1555+CB1555+CD1555+CF1555+CH1555+CJ1555+CL1555+CN1555+CP1555+CR1555+CT1555</f>
        <v>0</v>
      </c>
      <c r="CV1555" s="76"/>
      <c r="CW1555" s="76">
        <f>+CV1555*1100</f>
        <v>0</v>
      </c>
      <c r="CX1555" s="76"/>
      <c r="CY1555" s="76">
        <f>+CX1555*106250</f>
        <v>0</v>
      </c>
      <c r="CZ1555" s="76"/>
      <c r="DA1555" s="76">
        <f>+CZ1555*34500</f>
        <v>0</v>
      </c>
      <c r="DB1555" s="76"/>
      <c r="DC1555" s="76">
        <f>+DB1555*25000</f>
        <v>0</v>
      </c>
      <c r="DD1555" s="219"/>
      <c r="DE1555" s="219"/>
      <c r="DF1555" s="166"/>
      <c r="DG1555" s="116"/>
      <c r="DH1555" s="117"/>
      <c r="DI1555" s="24"/>
      <c r="DJ1555" s="24"/>
      <c r="DK1555" s="24"/>
      <c r="DL1555" s="24"/>
      <c r="DM1555" s="24"/>
      <c r="DN1555" s="24"/>
      <c r="DO1555" s="24"/>
      <c r="DP1555" s="24"/>
      <c r="DQ1555" s="24"/>
      <c r="DR1555" s="24"/>
      <c r="DS1555" s="24"/>
      <c r="DT1555" s="24"/>
      <c r="DU1555" s="24"/>
    </row>
    <row r="1556" spans="1:125" s="8" customFormat="1" ht="48" x14ac:dyDescent="0.2">
      <c r="A1556" s="226">
        <v>41385</v>
      </c>
      <c r="B1556" s="225" t="s">
        <v>2855</v>
      </c>
      <c r="C1556" s="227" t="s">
        <v>2168</v>
      </c>
      <c r="D1556" s="227" t="s">
        <v>2882</v>
      </c>
      <c r="E1556" s="75" t="str">
        <f>VLOOKUP(B1556&amp;C1556,Divipola!$C$2:$F$1138,4,FALSE)</f>
        <v>20001</v>
      </c>
      <c r="F1556" s="87"/>
      <c r="G1556" s="87"/>
      <c r="H1556" s="87"/>
      <c r="I1556" s="87"/>
      <c r="J1556" s="87"/>
      <c r="K1556" s="87"/>
      <c r="L1556" s="87"/>
      <c r="M1556" s="87"/>
      <c r="N1556" s="87"/>
      <c r="O1556" s="87"/>
      <c r="P1556" s="87"/>
      <c r="Q1556" s="87"/>
      <c r="R1556" s="87"/>
      <c r="S1556" s="87"/>
      <c r="T1556" s="87"/>
      <c r="U1556" s="88"/>
      <c r="V1556" s="89"/>
      <c r="W1556" s="96">
        <v>0</v>
      </c>
      <c r="X1556" s="71">
        <f>CU1556</f>
        <v>0</v>
      </c>
      <c r="Y1556" s="71">
        <f>CY1556</f>
        <v>0</v>
      </c>
      <c r="Z1556" s="71">
        <f>DA1556+DC1556+DE1556</f>
        <v>0</v>
      </c>
      <c r="AA1556" s="71">
        <f>CW1556</f>
        <v>0</v>
      </c>
      <c r="AB1556" s="71"/>
      <c r="AC1556" s="71">
        <v>0</v>
      </c>
      <c r="AD1556" s="71">
        <f>W1556+X1556+Y1556+Z1556+AA1556+AB1556+AC1556</f>
        <v>0</v>
      </c>
      <c r="AE1556" s="72">
        <v>0</v>
      </c>
      <c r="AF1556" s="5"/>
      <c r="AG1556" s="6"/>
      <c r="AH1556" s="27" t="s">
        <v>3392</v>
      </c>
      <c r="AI1556" s="44" t="s">
        <v>3393</v>
      </c>
      <c r="AJ1556" s="26"/>
      <c r="AK1556" s="5"/>
      <c r="AL1556" s="82" t="s">
        <v>4361</v>
      </c>
      <c r="AM1556" s="76"/>
      <c r="AN1556" s="76"/>
      <c r="AO1556" s="76"/>
      <c r="AP1556" s="76"/>
      <c r="AQ1556" s="76"/>
      <c r="AR1556" s="76"/>
      <c r="AS1556" s="76"/>
      <c r="AT1556" s="76"/>
      <c r="AU1556" s="76"/>
      <c r="AV1556" s="76"/>
      <c r="AW1556" s="76"/>
      <c r="AX1556" s="76">
        <f>+AW1556*600000</f>
        <v>0</v>
      </c>
      <c r="AY1556" s="76"/>
      <c r="AZ1556" s="76">
        <f>+AY1556*70000</f>
        <v>0</v>
      </c>
      <c r="BA1556" s="76"/>
      <c r="BB1556" s="76"/>
      <c r="BC1556" s="76"/>
      <c r="BD1556" s="76">
        <f>+BC1556*30000</f>
        <v>0</v>
      </c>
      <c r="BE1556" s="76"/>
      <c r="BF1556" s="76"/>
      <c r="BG1556" s="76"/>
      <c r="BH1556" s="76"/>
      <c r="BI1556" s="76"/>
      <c r="BJ1556" s="76"/>
      <c r="BK1556" s="76"/>
      <c r="BL1556" s="76">
        <f>+BK1556*31500</f>
        <v>0</v>
      </c>
      <c r="BM1556" s="76"/>
      <c r="BN1556" s="76"/>
      <c r="BO1556" s="76"/>
      <c r="BP1556" s="76"/>
      <c r="BQ1556" s="76"/>
      <c r="BR1556" s="76"/>
      <c r="BS1556" s="76"/>
      <c r="BT1556" s="76"/>
      <c r="BU1556" s="76"/>
      <c r="BV1556" s="76"/>
      <c r="BW1556" s="76"/>
      <c r="BX1556" s="76"/>
      <c r="BY1556" s="76"/>
      <c r="BZ1556" s="76"/>
      <c r="CA1556" s="76"/>
      <c r="CB1556" s="76"/>
      <c r="CC1556" s="76"/>
      <c r="CD1556" s="76"/>
      <c r="CE1556" s="76"/>
      <c r="CF1556" s="76">
        <f>+CE1556*28000</f>
        <v>0</v>
      </c>
      <c r="CG1556" s="76"/>
      <c r="CH1556" s="76">
        <f>+CG1556*22500</f>
        <v>0</v>
      </c>
      <c r="CI1556" s="76"/>
      <c r="CJ1556" s="76">
        <f>+CI1556*26000</f>
        <v>0</v>
      </c>
      <c r="CK1556" s="76"/>
      <c r="CL1556" s="76"/>
      <c r="CM1556" s="76"/>
      <c r="CN1556" s="76">
        <f>+CM1556*22000</f>
        <v>0</v>
      </c>
      <c r="CO1556" s="76"/>
      <c r="CP1556" s="76">
        <f>+CO1556*46000</f>
        <v>0</v>
      </c>
      <c r="CQ1556" s="76"/>
      <c r="CR1556" s="76">
        <f>+CQ1556*49000</f>
        <v>0</v>
      </c>
      <c r="CS1556" s="76"/>
      <c r="CT1556" s="76"/>
      <c r="CU1556" s="56">
        <f>AN1556+AP1556+AR1556+AT1556+AV1556+AX1556+AZ1556+BB1556+BD1556+BF1556+BH1556+BJ1556+BL1556+BN1556+BP1556+BR1556+BT1556+BV1556+BX1556+BZ1556+CB1556+CD1556+CF1556+CH1556+CJ1556+CL1556+CN1556+CP1556+CR1556+CT1556</f>
        <v>0</v>
      </c>
      <c r="CV1556" s="76"/>
      <c r="CW1556" s="76">
        <f>+CV1556*1100</f>
        <v>0</v>
      </c>
      <c r="CX1556" s="76"/>
      <c r="CY1556" s="76">
        <f>+CX1556*106250</f>
        <v>0</v>
      </c>
      <c r="CZ1556" s="76"/>
      <c r="DA1556" s="76">
        <f>+CZ1556*34500</f>
        <v>0</v>
      </c>
      <c r="DB1556" s="76"/>
      <c r="DC1556" s="76">
        <f>+DB1556*25000</f>
        <v>0</v>
      </c>
      <c r="DD1556" s="219"/>
      <c r="DE1556" s="219"/>
      <c r="DF1556" s="166"/>
      <c r="DG1556" s="116"/>
      <c r="DH1556" s="117"/>
      <c r="DI1556" s="24"/>
      <c r="DJ1556" s="24"/>
      <c r="DK1556" s="24"/>
      <c r="DL1556" s="24"/>
      <c r="DM1556" s="24"/>
      <c r="DN1556" s="24"/>
      <c r="DO1556" s="24"/>
      <c r="DP1556" s="24"/>
      <c r="DQ1556" s="24"/>
      <c r="DR1556" s="24"/>
      <c r="DS1556" s="24"/>
      <c r="DT1556" s="24"/>
      <c r="DU1556" s="24"/>
    </row>
    <row r="1557" spans="1:125" s="8" customFormat="1" ht="120" x14ac:dyDescent="0.2">
      <c r="A1557" s="226">
        <v>41385</v>
      </c>
      <c r="B1557" s="225" t="s">
        <v>506</v>
      </c>
      <c r="C1557" s="227" t="s">
        <v>2118</v>
      </c>
      <c r="D1557" s="75" t="s">
        <v>3051</v>
      </c>
      <c r="E1557" s="75" t="str">
        <f>VLOOKUP(B1557&amp;C1557,Divipola!$C$2:$F$1138,4,FALSE)</f>
        <v>50711</v>
      </c>
      <c r="F1557" s="87"/>
      <c r="G1557" s="87"/>
      <c r="H1557" s="87"/>
      <c r="I1557" s="87">
        <v>405</v>
      </c>
      <c r="J1557" s="87">
        <v>81</v>
      </c>
      <c r="K1557" s="87"/>
      <c r="L1557" s="87">
        <v>81</v>
      </c>
      <c r="M1557" s="87"/>
      <c r="N1557" s="87"/>
      <c r="O1557" s="87"/>
      <c r="P1557" s="87"/>
      <c r="Q1557" s="87"/>
      <c r="R1557" s="87"/>
      <c r="S1557" s="87"/>
      <c r="T1557" s="87"/>
      <c r="U1557" s="88"/>
      <c r="V1557" s="89"/>
      <c r="W1557" s="96">
        <v>0</v>
      </c>
      <c r="X1557" s="71">
        <f>CU1557</f>
        <v>0</v>
      </c>
      <c r="Y1557" s="71">
        <f>CY1557</f>
        <v>0</v>
      </c>
      <c r="Z1557" s="71">
        <f>DA1557+DC1557+DE1557</f>
        <v>0</v>
      </c>
      <c r="AA1557" s="71">
        <f>CW1557</f>
        <v>0</v>
      </c>
      <c r="AB1557" s="71"/>
      <c r="AC1557" s="71">
        <v>0</v>
      </c>
      <c r="AD1557" s="71">
        <f>W1557+X1557+Y1557+Z1557+AA1557+AB1557+AC1557</f>
        <v>0</v>
      </c>
      <c r="AE1557" s="72">
        <v>0</v>
      </c>
      <c r="AF1557" s="5"/>
      <c r="AG1557" s="6"/>
      <c r="AH1557" s="27" t="s">
        <v>3392</v>
      </c>
      <c r="AI1557" s="44" t="s">
        <v>3393</v>
      </c>
      <c r="AJ1557" s="26"/>
      <c r="AK1557" s="5"/>
      <c r="AL1557" s="82" t="s">
        <v>4403</v>
      </c>
      <c r="AM1557" s="76"/>
      <c r="AN1557" s="76"/>
      <c r="AO1557" s="76"/>
      <c r="AP1557" s="76"/>
      <c r="AQ1557" s="76"/>
      <c r="AR1557" s="76"/>
      <c r="AS1557" s="76"/>
      <c r="AT1557" s="76"/>
      <c r="AU1557" s="76"/>
      <c r="AV1557" s="76"/>
      <c r="AW1557" s="76"/>
      <c r="AX1557" s="76">
        <f>+AW1557*600000</f>
        <v>0</v>
      </c>
      <c r="AY1557" s="76"/>
      <c r="AZ1557" s="76">
        <f>+AY1557*70000</f>
        <v>0</v>
      </c>
      <c r="BA1557" s="76"/>
      <c r="BB1557" s="76"/>
      <c r="BC1557" s="76"/>
      <c r="BD1557" s="76">
        <f>+BC1557*30000</f>
        <v>0</v>
      </c>
      <c r="BE1557" s="76"/>
      <c r="BF1557" s="76"/>
      <c r="BG1557" s="76"/>
      <c r="BH1557" s="76"/>
      <c r="BI1557" s="76"/>
      <c r="BJ1557" s="76"/>
      <c r="BK1557" s="76"/>
      <c r="BL1557" s="76">
        <f>+BK1557*31500</f>
        <v>0</v>
      </c>
      <c r="BM1557" s="76"/>
      <c r="BN1557" s="76"/>
      <c r="BO1557" s="76"/>
      <c r="BP1557" s="76"/>
      <c r="BQ1557" s="76"/>
      <c r="BR1557" s="76"/>
      <c r="BS1557" s="76"/>
      <c r="BT1557" s="76"/>
      <c r="BU1557" s="76"/>
      <c r="BV1557" s="76"/>
      <c r="BW1557" s="76"/>
      <c r="BX1557" s="76"/>
      <c r="BY1557" s="76"/>
      <c r="BZ1557" s="76"/>
      <c r="CA1557" s="76"/>
      <c r="CB1557" s="76"/>
      <c r="CC1557" s="76"/>
      <c r="CD1557" s="76"/>
      <c r="CE1557" s="76"/>
      <c r="CF1557" s="76">
        <f>+CE1557*28000</f>
        <v>0</v>
      </c>
      <c r="CG1557" s="76"/>
      <c r="CH1557" s="76">
        <f>+CG1557*22500</f>
        <v>0</v>
      </c>
      <c r="CI1557" s="76"/>
      <c r="CJ1557" s="76">
        <f>+CI1557*26000</f>
        <v>0</v>
      </c>
      <c r="CK1557" s="76"/>
      <c r="CL1557" s="76"/>
      <c r="CM1557" s="76"/>
      <c r="CN1557" s="76">
        <f>+CM1557*22000</f>
        <v>0</v>
      </c>
      <c r="CO1557" s="76"/>
      <c r="CP1557" s="76">
        <f>+CO1557*46000</f>
        <v>0</v>
      </c>
      <c r="CQ1557" s="76"/>
      <c r="CR1557" s="76">
        <f>+CQ1557*49000</f>
        <v>0</v>
      </c>
      <c r="CS1557" s="76"/>
      <c r="CT1557" s="76"/>
      <c r="CU1557" s="56">
        <f>AN1557+AP1557+AR1557+AT1557+AV1557+AX1557+AZ1557+BB1557+BD1557+BF1557+BH1557+BJ1557+BL1557+BN1557+BP1557+BR1557+BT1557+BV1557+BX1557+BZ1557+CB1557+CD1557+CF1557+CH1557+CJ1557+CL1557+CN1557+CP1557+CR1557+CT1557</f>
        <v>0</v>
      </c>
      <c r="CV1557" s="76"/>
      <c r="CW1557" s="76">
        <f>+CV1557*1100</f>
        <v>0</v>
      </c>
      <c r="CX1557" s="76"/>
      <c r="CY1557" s="76">
        <f>+CX1557*106250</f>
        <v>0</v>
      </c>
      <c r="CZ1557" s="76"/>
      <c r="DA1557" s="76">
        <f>+CZ1557*34500</f>
        <v>0</v>
      </c>
      <c r="DB1557" s="76"/>
      <c r="DC1557" s="76">
        <f>+DB1557*25000</f>
        <v>0</v>
      </c>
      <c r="DD1557" s="219"/>
      <c r="DE1557" s="219"/>
      <c r="DF1557" s="166"/>
      <c r="DG1557" s="116"/>
      <c r="DH1557" s="117"/>
      <c r="DI1557" s="24"/>
      <c r="DJ1557" s="24"/>
      <c r="DK1557" s="24"/>
      <c r="DL1557" s="24"/>
      <c r="DM1557" s="24"/>
      <c r="DN1557" s="24"/>
      <c r="DO1557" s="24"/>
      <c r="DP1557" s="24"/>
      <c r="DQ1557" s="24"/>
      <c r="DR1557" s="24"/>
      <c r="DS1557" s="24"/>
      <c r="DT1557" s="24"/>
      <c r="DU1557" s="24"/>
    </row>
    <row r="1558" spans="1:125" s="8" customFormat="1" ht="60" x14ac:dyDescent="0.2">
      <c r="A1558" s="353">
        <v>41385</v>
      </c>
      <c r="B1558" s="352" t="s">
        <v>2860</v>
      </c>
      <c r="C1558" s="354" t="s">
        <v>476</v>
      </c>
      <c r="D1558" s="354" t="s">
        <v>2882</v>
      </c>
      <c r="E1558" s="75" t="str">
        <f>VLOOKUP(B1558&amp;C1558,Divipola!$C$2:$F$1138,4,FALSE)</f>
        <v>63272</v>
      </c>
      <c r="F1558" s="87"/>
      <c r="G1558" s="87"/>
      <c r="H1558" s="87"/>
      <c r="I1558" s="87"/>
      <c r="J1558" s="87"/>
      <c r="K1558" s="87"/>
      <c r="L1558" s="87"/>
      <c r="M1558" s="87"/>
      <c r="N1558" s="87"/>
      <c r="O1558" s="87"/>
      <c r="P1558" s="87"/>
      <c r="Q1558" s="87"/>
      <c r="R1558" s="87"/>
      <c r="S1558" s="87"/>
      <c r="T1558" s="87"/>
      <c r="U1558" s="88"/>
      <c r="V1558" s="89"/>
      <c r="W1558" s="96">
        <v>0</v>
      </c>
      <c r="X1558" s="71">
        <f>CU1558</f>
        <v>0</v>
      </c>
      <c r="Y1558" s="71">
        <f>CY1558</f>
        <v>0</v>
      </c>
      <c r="Z1558" s="71">
        <f>DA1558+DC1558+DE1558</f>
        <v>0</v>
      </c>
      <c r="AA1558" s="71">
        <f>CW1558</f>
        <v>0</v>
      </c>
      <c r="AB1558" s="71"/>
      <c r="AC1558" s="71">
        <v>0</v>
      </c>
      <c r="AD1558" s="71">
        <f>W1558+X1558+Y1558+Z1558+AA1558+AB1558+AC1558</f>
        <v>0</v>
      </c>
      <c r="AE1558" s="72">
        <v>0</v>
      </c>
      <c r="AF1558" s="5"/>
      <c r="AG1558" s="6"/>
      <c r="AH1558" s="27" t="s">
        <v>3392</v>
      </c>
      <c r="AI1558" s="44" t="s">
        <v>3393</v>
      </c>
      <c r="AJ1558" s="26"/>
      <c r="AK1558" s="5"/>
      <c r="AL1558" s="82" t="s">
        <v>4359</v>
      </c>
      <c r="AM1558" s="76"/>
      <c r="AN1558" s="76"/>
      <c r="AO1558" s="76"/>
      <c r="AP1558" s="76"/>
      <c r="AQ1558" s="76"/>
      <c r="AR1558" s="76"/>
      <c r="AS1558" s="76"/>
      <c r="AT1558" s="76"/>
      <c r="AU1558" s="76"/>
      <c r="AV1558" s="76"/>
      <c r="AW1558" s="76"/>
      <c r="AX1558" s="76">
        <f>+AW1558*600000</f>
        <v>0</v>
      </c>
      <c r="AY1558" s="76"/>
      <c r="AZ1558" s="76">
        <f>+AY1558*70000</f>
        <v>0</v>
      </c>
      <c r="BA1558" s="76"/>
      <c r="BB1558" s="76"/>
      <c r="BC1558" s="76"/>
      <c r="BD1558" s="76">
        <f>+BC1558*30000</f>
        <v>0</v>
      </c>
      <c r="BE1558" s="76"/>
      <c r="BF1558" s="76"/>
      <c r="BG1558" s="76"/>
      <c r="BH1558" s="76"/>
      <c r="BI1558" s="76"/>
      <c r="BJ1558" s="76"/>
      <c r="BK1558" s="76"/>
      <c r="BL1558" s="76">
        <f>+BK1558*31500</f>
        <v>0</v>
      </c>
      <c r="BM1558" s="76"/>
      <c r="BN1558" s="76"/>
      <c r="BO1558" s="76"/>
      <c r="BP1558" s="76"/>
      <c r="BQ1558" s="76"/>
      <c r="BR1558" s="76"/>
      <c r="BS1558" s="76"/>
      <c r="BT1558" s="76"/>
      <c r="BU1558" s="76"/>
      <c r="BV1558" s="76"/>
      <c r="BW1558" s="76"/>
      <c r="BX1558" s="76"/>
      <c r="BY1558" s="76"/>
      <c r="BZ1558" s="76"/>
      <c r="CA1558" s="76"/>
      <c r="CB1558" s="76"/>
      <c r="CC1558" s="76"/>
      <c r="CD1558" s="76"/>
      <c r="CE1558" s="76"/>
      <c r="CF1558" s="76">
        <f>+CE1558*28000</f>
        <v>0</v>
      </c>
      <c r="CG1558" s="76"/>
      <c r="CH1558" s="76">
        <f>+CG1558*22500</f>
        <v>0</v>
      </c>
      <c r="CI1558" s="76"/>
      <c r="CJ1558" s="76">
        <f>+CI1558*26000</f>
        <v>0</v>
      </c>
      <c r="CK1558" s="76"/>
      <c r="CL1558" s="76"/>
      <c r="CM1558" s="76"/>
      <c r="CN1558" s="76">
        <f>+CM1558*22000</f>
        <v>0</v>
      </c>
      <c r="CO1558" s="76"/>
      <c r="CP1558" s="76">
        <f>+CO1558*46000</f>
        <v>0</v>
      </c>
      <c r="CQ1558" s="76"/>
      <c r="CR1558" s="76">
        <f>+CQ1558*49000</f>
        <v>0</v>
      </c>
      <c r="CS1558" s="76"/>
      <c r="CT1558" s="76"/>
      <c r="CU1558" s="56">
        <f>AN1558+AP1558+AR1558+AT1558+AV1558+AX1558+AZ1558+BB1558+BD1558+BF1558+BH1558+BJ1558+BL1558+BN1558+BP1558+BR1558+BT1558+BV1558+BX1558+BZ1558+CB1558+CD1558+CF1558+CH1558+CJ1558+CL1558+CN1558+CP1558+CR1558+CT1558</f>
        <v>0</v>
      </c>
      <c r="CV1558" s="76"/>
      <c r="CW1558" s="76">
        <f>+CV1558*1100</f>
        <v>0</v>
      </c>
      <c r="CX1558" s="76"/>
      <c r="CY1558" s="76">
        <f>+CX1558*106250</f>
        <v>0</v>
      </c>
      <c r="CZ1558" s="76"/>
      <c r="DA1558" s="76">
        <f>+CZ1558*34500</f>
        <v>0</v>
      </c>
      <c r="DB1558" s="76"/>
      <c r="DC1558" s="76">
        <f>+DB1558*25000</f>
        <v>0</v>
      </c>
      <c r="DD1558" s="219"/>
      <c r="DE1558" s="219"/>
      <c r="DF1558" s="166"/>
      <c r="DG1558" s="116"/>
      <c r="DH1558" s="117"/>
      <c r="DI1558" s="24"/>
      <c r="DJ1558" s="24"/>
      <c r="DK1558" s="24"/>
      <c r="DL1558" s="24"/>
      <c r="DM1558" s="24"/>
      <c r="DN1558" s="24"/>
      <c r="DO1558" s="24"/>
      <c r="DP1558" s="24"/>
      <c r="DQ1558" s="24"/>
      <c r="DR1558" s="24"/>
      <c r="DS1558" s="24"/>
      <c r="DT1558" s="24"/>
      <c r="DU1558" s="24"/>
    </row>
    <row r="1559" spans="1:125" s="8" customFormat="1" ht="48" x14ac:dyDescent="0.2">
      <c r="A1559" s="226">
        <v>41385</v>
      </c>
      <c r="B1559" s="225" t="s">
        <v>2848</v>
      </c>
      <c r="C1559" s="227" t="s">
        <v>1393</v>
      </c>
      <c r="D1559" s="227" t="s">
        <v>2859</v>
      </c>
      <c r="E1559" s="75" t="str">
        <f>VLOOKUP(B1559&amp;C1559,Divipola!$C$2:$F$1138,4,FALSE)</f>
        <v>73168</v>
      </c>
      <c r="F1559" s="87"/>
      <c r="G1559" s="87"/>
      <c r="H1559" s="87"/>
      <c r="I1559" s="87">
        <v>5</v>
      </c>
      <c r="J1559" s="87">
        <v>1</v>
      </c>
      <c r="K1559" s="87"/>
      <c r="L1559" s="87">
        <v>1</v>
      </c>
      <c r="M1559" s="87"/>
      <c r="N1559" s="87"/>
      <c r="O1559" s="87"/>
      <c r="P1559" s="87"/>
      <c r="Q1559" s="87"/>
      <c r="R1559" s="87"/>
      <c r="S1559" s="87"/>
      <c r="T1559" s="87"/>
      <c r="U1559" s="88"/>
      <c r="V1559" s="89"/>
      <c r="W1559" s="96">
        <v>0</v>
      </c>
      <c r="X1559" s="71">
        <f>CU1559</f>
        <v>0</v>
      </c>
      <c r="Y1559" s="71">
        <f>CY1559</f>
        <v>0</v>
      </c>
      <c r="Z1559" s="71">
        <f>DA1559+DC1559+DE1559</f>
        <v>0</v>
      </c>
      <c r="AA1559" s="71">
        <f>CW1559</f>
        <v>0</v>
      </c>
      <c r="AB1559" s="71"/>
      <c r="AC1559" s="71">
        <v>0</v>
      </c>
      <c r="AD1559" s="71">
        <f>W1559+X1559+Y1559+Z1559+AA1559+AB1559+AC1559</f>
        <v>0</v>
      </c>
      <c r="AE1559" s="72">
        <v>0</v>
      </c>
      <c r="AF1559" s="5"/>
      <c r="AG1559" s="6"/>
      <c r="AH1559" s="27" t="s">
        <v>3392</v>
      </c>
      <c r="AI1559" s="44" t="s">
        <v>3393</v>
      </c>
      <c r="AJ1559" s="26"/>
      <c r="AK1559" s="5"/>
      <c r="AL1559" s="82" t="s">
        <v>4362</v>
      </c>
      <c r="AM1559" s="76"/>
      <c r="AN1559" s="76"/>
      <c r="AO1559" s="76"/>
      <c r="AP1559" s="76"/>
      <c r="AQ1559" s="76"/>
      <c r="AR1559" s="76"/>
      <c r="AS1559" s="76"/>
      <c r="AT1559" s="76"/>
      <c r="AU1559" s="76"/>
      <c r="AV1559" s="76"/>
      <c r="AW1559" s="76"/>
      <c r="AX1559" s="76">
        <f>+AW1559*600000</f>
        <v>0</v>
      </c>
      <c r="AY1559" s="76"/>
      <c r="AZ1559" s="76">
        <f>+AY1559*70000</f>
        <v>0</v>
      </c>
      <c r="BA1559" s="76"/>
      <c r="BB1559" s="76"/>
      <c r="BC1559" s="76"/>
      <c r="BD1559" s="76">
        <f>+BC1559*30000</f>
        <v>0</v>
      </c>
      <c r="BE1559" s="76"/>
      <c r="BF1559" s="76"/>
      <c r="BG1559" s="76"/>
      <c r="BH1559" s="76"/>
      <c r="BI1559" s="76"/>
      <c r="BJ1559" s="76"/>
      <c r="BK1559" s="76"/>
      <c r="BL1559" s="76">
        <f>+BK1559*31500</f>
        <v>0</v>
      </c>
      <c r="BM1559" s="76"/>
      <c r="BN1559" s="76"/>
      <c r="BO1559" s="76"/>
      <c r="BP1559" s="76"/>
      <c r="BQ1559" s="76"/>
      <c r="BR1559" s="76"/>
      <c r="BS1559" s="76"/>
      <c r="BT1559" s="76"/>
      <c r="BU1559" s="76"/>
      <c r="BV1559" s="76"/>
      <c r="BW1559" s="76"/>
      <c r="BX1559" s="76"/>
      <c r="BY1559" s="76"/>
      <c r="BZ1559" s="76"/>
      <c r="CA1559" s="76"/>
      <c r="CB1559" s="76"/>
      <c r="CC1559" s="76"/>
      <c r="CD1559" s="76"/>
      <c r="CE1559" s="76"/>
      <c r="CF1559" s="76">
        <f>+CE1559*28000</f>
        <v>0</v>
      </c>
      <c r="CG1559" s="76"/>
      <c r="CH1559" s="76">
        <f>+CG1559*22500</f>
        <v>0</v>
      </c>
      <c r="CI1559" s="76"/>
      <c r="CJ1559" s="76">
        <f>+CI1559*26000</f>
        <v>0</v>
      </c>
      <c r="CK1559" s="76"/>
      <c r="CL1559" s="76"/>
      <c r="CM1559" s="76"/>
      <c r="CN1559" s="76">
        <f>+CM1559*22000</f>
        <v>0</v>
      </c>
      <c r="CO1559" s="76"/>
      <c r="CP1559" s="76">
        <f>+CO1559*46000</f>
        <v>0</v>
      </c>
      <c r="CQ1559" s="76"/>
      <c r="CR1559" s="76">
        <f>+CQ1559*49000</f>
        <v>0</v>
      </c>
      <c r="CS1559" s="76"/>
      <c r="CT1559" s="76"/>
      <c r="CU1559" s="56">
        <f>AN1559+AP1559+AR1559+AT1559+AV1559+AX1559+AZ1559+BB1559+BD1559+BF1559+BH1559+BJ1559+BL1559+BN1559+BP1559+BR1559+BT1559+BV1559+BX1559+BZ1559+CB1559+CD1559+CF1559+CH1559+CJ1559+CL1559+CN1559+CP1559+CR1559+CT1559</f>
        <v>0</v>
      </c>
      <c r="CV1559" s="76"/>
      <c r="CW1559" s="76">
        <f>+CV1559*1100</f>
        <v>0</v>
      </c>
      <c r="CX1559" s="76"/>
      <c r="CY1559" s="76">
        <f>+CX1559*106250</f>
        <v>0</v>
      </c>
      <c r="CZ1559" s="76"/>
      <c r="DA1559" s="76">
        <f>+CZ1559*34500</f>
        <v>0</v>
      </c>
      <c r="DB1559" s="76"/>
      <c r="DC1559" s="76">
        <f>+DB1559*25000</f>
        <v>0</v>
      </c>
      <c r="DD1559" s="219"/>
      <c r="DE1559" s="219"/>
      <c r="DF1559" s="166"/>
      <c r="DG1559" s="116"/>
      <c r="DH1559" s="117"/>
      <c r="DI1559" s="24"/>
      <c r="DJ1559" s="24"/>
      <c r="DK1559" s="24"/>
      <c r="DL1559" s="24"/>
      <c r="DM1559" s="24"/>
      <c r="DN1559" s="24"/>
      <c r="DO1559" s="24"/>
      <c r="DP1559" s="24"/>
      <c r="DQ1559" s="24"/>
      <c r="DR1559" s="24"/>
      <c r="DS1559" s="24"/>
      <c r="DT1559" s="24"/>
      <c r="DU1559" s="24"/>
    </row>
    <row r="1560" spans="1:125" s="8" customFormat="1" ht="156" x14ac:dyDescent="0.2">
      <c r="A1560" s="77">
        <v>41386</v>
      </c>
      <c r="B1560" s="78" t="s">
        <v>2881</v>
      </c>
      <c r="C1560" s="75" t="s">
        <v>2547</v>
      </c>
      <c r="D1560" s="75" t="s">
        <v>2882</v>
      </c>
      <c r="E1560" s="75" t="str">
        <f>VLOOKUP(B1560&amp;C1560,Divipola!$C$2:$F$1138,4,FALSE)</f>
        <v>08638</v>
      </c>
      <c r="F1560" s="163"/>
      <c r="G1560" s="163"/>
      <c r="H1560" s="163"/>
      <c r="I1560" s="163"/>
      <c r="J1560" s="163"/>
      <c r="K1560" s="163"/>
      <c r="L1560" s="163"/>
      <c r="M1560" s="163"/>
      <c r="N1560" s="163"/>
      <c r="O1560" s="163"/>
      <c r="P1560" s="163"/>
      <c r="Q1560" s="163"/>
      <c r="R1560" s="163"/>
      <c r="S1560" s="163"/>
      <c r="T1560" s="163"/>
      <c r="U1560" s="163"/>
      <c r="V1560" s="134"/>
      <c r="W1560" s="96">
        <f>18000000+30000000+14400000+4800000</f>
        <v>67200000</v>
      </c>
      <c r="X1560" s="71">
        <f>CU1560</f>
        <v>0</v>
      </c>
      <c r="Y1560" s="71">
        <f>CY1560</f>
        <v>0</v>
      </c>
      <c r="Z1560" s="71">
        <f>DA1560+DC1560+DE1560</f>
        <v>0</v>
      </c>
      <c r="AA1560" s="71">
        <f>CW1560</f>
        <v>0</v>
      </c>
      <c r="AB1560" s="71"/>
      <c r="AC1560" s="71">
        <v>0</v>
      </c>
      <c r="AD1560" s="71">
        <f>W1560+X1560+Y1560+Z1560+AA1560+AB1560+AC1560</f>
        <v>67200000</v>
      </c>
      <c r="AE1560" s="72">
        <v>0</v>
      </c>
      <c r="AF1560" s="5"/>
      <c r="AG1560" s="6"/>
      <c r="AH1560" s="27" t="s">
        <v>3390</v>
      </c>
      <c r="AI1560" s="44" t="s">
        <v>3391</v>
      </c>
      <c r="AJ1560" s="26"/>
      <c r="AK1560" s="5"/>
      <c r="AL1560" s="82" t="s">
        <v>5817</v>
      </c>
      <c r="AM1560" s="76"/>
      <c r="AN1560" s="76"/>
      <c r="AO1560" s="76"/>
      <c r="AP1560" s="76"/>
      <c r="AQ1560" s="76"/>
      <c r="AR1560" s="76"/>
      <c r="AS1560" s="76"/>
      <c r="AT1560" s="76"/>
      <c r="AU1560" s="76"/>
      <c r="AV1560" s="76"/>
      <c r="AW1560" s="76"/>
      <c r="AX1560" s="76">
        <f>+AW1560*600000</f>
        <v>0</v>
      </c>
      <c r="AY1560" s="76"/>
      <c r="AZ1560" s="76">
        <f>+AY1560*70000</f>
        <v>0</v>
      </c>
      <c r="BA1560" s="76"/>
      <c r="BB1560" s="76"/>
      <c r="BC1560" s="76"/>
      <c r="BD1560" s="76">
        <f>+BC1560*30000</f>
        <v>0</v>
      </c>
      <c r="BE1560" s="76"/>
      <c r="BF1560" s="76"/>
      <c r="BG1560" s="76"/>
      <c r="BH1560" s="76"/>
      <c r="BI1560" s="76"/>
      <c r="BJ1560" s="76"/>
      <c r="BK1560" s="76"/>
      <c r="BL1560" s="76">
        <f>+BK1560*31500</f>
        <v>0</v>
      </c>
      <c r="BM1560" s="76"/>
      <c r="BN1560" s="76"/>
      <c r="BO1560" s="76"/>
      <c r="BP1560" s="76"/>
      <c r="BQ1560" s="76"/>
      <c r="BR1560" s="76"/>
      <c r="BS1560" s="76"/>
      <c r="BT1560" s="76"/>
      <c r="BU1560" s="76"/>
      <c r="BV1560" s="76"/>
      <c r="BW1560" s="76"/>
      <c r="BX1560" s="76"/>
      <c r="BY1560" s="76"/>
      <c r="BZ1560" s="76"/>
      <c r="CA1560" s="76"/>
      <c r="CB1560" s="76"/>
      <c r="CC1560" s="76"/>
      <c r="CD1560" s="76"/>
      <c r="CE1560" s="76"/>
      <c r="CF1560" s="76">
        <f>+CE1560*28000</f>
        <v>0</v>
      </c>
      <c r="CG1560" s="76"/>
      <c r="CH1560" s="76">
        <f>+CG1560*22500</f>
        <v>0</v>
      </c>
      <c r="CI1560" s="76"/>
      <c r="CJ1560" s="76">
        <f>+CI1560*26000</f>
        <v>0</v>
      </c>
      <c r="CK1560" s="76"/>
      <c r="CL1560" s="76"/>
      <c r="CM1560" s="76"/>
      <c r="CN1560" s="76">
        <f>+CM1560*22000</f>
        <v>0</v>
      </c>
      <c r="CO1560" s="76"/>
      <c r="CP1560" s="76">
        <f>+CO1560*46000</f>
        <v>0</v>
      </c>
      <c r="CQ1560" s="76"/>
      <c r="CR1560" s="76">
        <f>+CQ1560*49000</f>
        <v>0</v>
      </c>
      <c r="CS1560" s="76"/>
      <c r="CT1560" s="76"/>
      <c r="CU1560" s="56">
        <f>AN1560+AP1560+AR1560+AT1560+AV1560+AX1560+AZ1560+BB1560+BD1560+BF1560+BH1560+BJ1560+BL1560+BN1560+BP1560+BR1560+BT1560+BV1560+BX1560+BZ1560+CB1560+CD1560+CF1560+CH1560+CJ1560+CL1560+CN1560+CP1560+CR1560+CT1560</f>
        <v>0</v>
      </c>
      <c r="CV1560" s="76"/>
      <c r="CW1560" s="76">
        <f>+CV1560*1100</f>
        <v>0</v>
      </c>
      <c r="CX1560" s="76"/>
      <c r="CY1560" s="76">
        <f>+CX1560*106250</f>
        <v>0</v>
      </c>
      <c r="CZ1560" s="76"/>
      <c r="DA1560" s="76">
        <f>+CZ1560*34500</f>
        <v>0</v>
      </c>
      <c r="DB1560" s="76"/>
      <c r="DC1560" s="76">
        <f>+DB1560*25000</f>
        <v>0</v>
      </c>
      <c r="DD1560" s="219"/>
      <c r="DE1560" s="219"/>
      <c r="DF1560" s="164"/>
      <c r="DG1560" s="116"/>
      <c r="DH1560" s="117"/>
      <c r="DI1560" s="24"/>
      <c r="DJ1560" s="24"/>
      <c r="DK1560" s="24"/>
      <c r="DL1560" s="24"/>
      <c r="DM1560" s="24"/>
      <c r="DN1560" s="24"/>
      <c r="DO1560" s="24"/>
      <c r="DP1560" s="24"/>
      <c r="DQ1560" s="24"/>
      <c r="DR1560" s="24"/>
      <c r="DS1560" s="24"/>
      <c r="DT1560" s="24"/>
      <c r="DU1560" s="24"/>
    </row>
    <row r="1561" spans="1:125" s="8" customFormat="1" ht="132" x14ac:dyDescent="0.2">
      <c r="A1561" s="226">
        <v>41386</v>
      </c>
      <c r="B1561" s="225" t="s">
        <v>2854</v>
      </c>
      <c r="C1561" s="227" t="s">
        <v>2686</v>
      </c>
      <c r="D1561" s="227" t="s">
        <v>2882</v>
      </c>
      <c r="E1561" s="75" t="str">
        <f>VLOOKUP(B1561&amp;C1561,Divipola!$C$2:$F$1138,4,FALSE)</f>
        <v>19212</v>
      </c>
      <c r="F1561" s="87"/>
      <c r="G1561" s="87"/>
      <c r="H1561" s="87"/>
      <c r="I1561" s="87">
        <v>475</v>
      </c>
      <c r="J1561" s="87">
        <v>95</v>
      </c>
      <c r="K1561" s="87"/>
      <c r="L1561" s="87">
        <v>95</v>
      </c>
      <c r="M1561" s="87"/>
      <c r="N1561" s="87"/>
      <c r="O1561" s="87"/>
      <c r="P1561" s="87"/>
      <c r="Q1561" s="87"/>
      <c r="R1561" s="87"/>
      <c r="S1561" s="87"/>
      <c r="T1561" s="87"/>
      <c r="U1561" s="88"/>
      <c r="V1561" s="89"/>
      <c r="W1561" s="96">
        <v>0</v>
      </c>
      <c r="X1561" s="71">
        <f>CU1561</f>
        <v>0</v>
      </c>
      <c r="Y1561" s="71">
        <f>CY1561</f>
        <v>0</v>
      </c>
      <c r="Z1561" s="71">
        <f>DA1561+DC1561+DE1561</f>
        <v>0</v>
      </c>
      <c r="AA1561" s="71">
        <f>CW1561</f>
        <v>0</v>
      </c>
      <c r="AB1561" s="71"/>
      <c r="AC1561" s="71">
        <v>0</v>
      </c>
      <c r="AD1561" s="71">
        <f>W1561+X1561+Y1561+Z1561+AA1561+AB1561+AC1561</f>
        <v>0</v>
      </c>
      <c r="AE1561" s="72">
        <v>0</v>
      </c>
      <c r="AF1561" s="5"/>
      <c r="AG1561" s="6"/>
      <c r="AH1561" s="27" t="s">
        <v>3392</v>
      </c>
      <c r="AI1561" s="44" t="s">
        <v>3393</v>
      </c>
      <c r="AJ1561" s="26"/>
      <c r="AK1561" s="5"/>
      <c r="AL1561" s="82" t="s">
        <v>4377</v>
      </c>
      <c r="AM1561" s="76"/>
      <c r="AN1561" s="76"/>
      <c r="AO1561" s="76"/>
      <c r="AP1561" s="76"/>
      <c r="AQ1561" s="76"/>
      <c r="AR1561" s="76"/>
      <c r="AS1561" s="76"/>
      <c r="AT1561" s="76"/>
      <c r="AU1561" s="76"/>
      <c r="AV1561" s="76"/>
      <c r="AW1561" s="76"/>
      <c r="AX1561" s="76">
        <f>+AW1561*600000</f>
        <v>0</v>
      </c>
      <c r="AY1561" s="76"/>
      <c r="AZ1561" s="76">
        <f>+AY1561*70000</f>
        <v>0</v>
      </c>
      <c r="BA1561" s="76"/>
      <c r="BB1561" s="76"/>
      <c r="BC1561" s="76"/>
      <c r="BD1561" s="76">
        <f>+BC1561*30000</f>
        <v>0</v>
      </c>
      <c r="BE1561" s="76"/>
      <c r="BF1561" s="76"/>
      <c r="BG1561" s="76"/>
      <c r="BH1561" s="76"/>
      <c r="BI1561" s="76"/>
      <c r="BJ1561" s="76"/>
      <c r="BK1561" s="76"/>
      <c r="BL1561" s="76">
        <f>+BK1561*31500</f>
        <v>0</v>
      </c>
      <c r="BM1561" s="76"/>
      <c r="BN1561" s="76"/>
      <c r="BO1561" s="76"/>
      <c r="BP1561" s="76"/>
      <c r="BQ1561" s="76"/>
      <c r="BR1561" s="76"/>
      <c r="BS1561" s="76"/>
      <c r="BT1561" s="76"/>
      <c r="BU1561" s="76"/>
      <c r="BV1561" s="76"/>
      <c r="BW1561" s="76"/>
      <c r="BX1561" s="76"/>
      <c r="BY1561" s="76"/>
      <c r="BZ1561" s="76"/>
      <c r="CA1561" s="76"/>
      <c r="CB1561" s="76"/>
      <c r="CC1561" s="76"/>
      <c r="CD1561" s="76"/>
      <c r="CE1561" s="76"/>
      <c r="CF1561" s="76">
        <f>+CE1561*28000</f>
        <v>0</v>
      </c>
      <c r="CG1561" s="76"/>
      <c r="CH1561" s="76">
        <f>+CG1561*22500</f>
        <v>0</v>
      </c>
      <c r="CI1561" s="76"/>
      <c r="CJ1561" s="76">
        <f>+CI1561*26000</f>
        <v>0</v>
      </c>
      <c r="CK1561" s="76"/>
      <c r="CL1561" s="76"/>
      <c r="CM1561" s="76"/>
      <c r="CN1561" s="76">
        <f>+CM1561*22000</f>
        <v>0</v>
      </c>
      <c r="CO1561" s="76"/>
      <c r="CP1561" s="76">
        <f>+CO1561*46000</f>
        <v>0</v>
      </c>
      <c r="CQ1561" s="76"/>
      <c r="CR1561" s="76">
        <f>+CQ1561*49000</f>
        <v>0</v>
      </c>
      <c r="CS1561" s="76"/>
      <c r="CT1561" s="76"/>
      <c r="CU1561" s="56">
        <f>AN1561+AP1561+AR1561+AT1561+AV1561+AX1561+AZ1561+BB1561+BD1561+BF1561+BH1561+BJ1561+BL1561+BN1561+BP1561+BR1561+BT1561+BV1561+BX1561+BZ1561+CB1561+CD1561+CF1561+CH1561+CJ1561+CL1561+CN1561+CP1561+CR1561+CT1561</f>
        <v>0</v>
      </c>
      <c r="CV1561" s="76"/>
      <c r="CW1561" s="76">
        <f>+CV1561*1100</f>
        <v>0</v>
      </c>
      <c r="CX1561" s="76"/>
      <c r="CY1561" s="76">
        <f>+CX1561*106250</f>
        <v>0</v>
      </c>
      <c r="CZ1561" s="76"/>
      <c r="DA1561" s="76">
        <f>+CZ1561*34500</f>
        <v>0</v>
      </c>
      <c r="DB1561" s="76"/>
      <c r="DC1561" s="76">
        <f>+DB1561*25000</f>
        <v>0</v>
      </c>
      <c r="DD1561" s="219"/>
      <c r="DE1561" s="219"/>
      <c r="DF1561" s="166"/>
      <c r="DG1561" s="116"/>
      <c r="DH1561" s="117"/>
      <c r="DI1561" s="24"/>
      <c r="DJ1561" s="24"/>
      <c r="DK1561" s="24"/>
      <c r="DL1561" s="24"/>
      <c r="DM1561" s="24"/>
      <c r="DN1561" s="24"/>
      <c r="DO1561" s="24"/>
      <c r="DP1561" s="24"/>
      <c r="DQ1561" s="24"/>
      <c r="DR1561" s="24"/>
      <c r="DS1561" s="24"/>
      <c r="DT1561" s="24"/>
      <c r="DU1561" s="24"/>
    </row>
    <row r="1562" spans="1:125" s="8" customFormat="1" ht="336" x14ac:dyDescent="0.2">
      <c r="A1562" s="226">
        <v>41386</v>
      </c>
      <c r="B1562" s="225" t="s">
        <v>2854</v>
      </c>
      <c r="C1562" s="227" t="s">
        <v>2093</v>
      </c>
      <c r="D1562" s="227" t="s">
        <v>2882</v>
      </c>
      <c r="E1562" s="75" t="str">
        <f>VLOOKUP(B1562&amp;C1562,Divipola!$C$2:$F$1138,4,FALSE)</f>
        <v>19455</v>
      </c>
      <c r="F1562" s="87"/>
      <c r="G1562" s="87"/>
      <c r="H1562" s="87"/>
      <c r="I1562" s="87">
        <v>664</v>
      </c>
      <c r="J1562" s="87">
        <v>166</v>
      </c>
      <c r="K1562" s="87"/>
      <c r="L1562" s="87">
        <v>166</v>
      </c>
      <c r="M1562" s="87">
        <v>2</v>
      </c>
      <c r="N1562" s="87"/>
      <c r="O1562" s="87"/>
      <c r="P1562" s="87">
        <v>1</v>
      </c>
      <c r="Q1562" s="87"/>
      <c r="R1562" s="87"/>
      <c r="S1562" s="87">
        <v>1</v>
      </c>
      <c r="T1562" s="87"/>
      <c r="U1562" s="88"/>
      <c r="V1562" s="89">
        <v>2</v>
      </c>
      <c r="W1562" s="96">
        <v>0</v>
      </c>
      <c r="X1562" s="71">
        <f>CU1562</f>
        <v>9935956.8000000007</v>
      </c>
      <c r="Y1562" s="71">
        <f>CY1562</f>
        <v>22652060.399999999</v>
      </c>
      <c r="Z1562" s="71">
        <f>DA1562+DC1562+DE1562</f>
        <v>141057919.80000001</v>
      </c>
      <c r="AA1562" s="71">
        <f>CW1562</f>
        <v>0</v>
      </c>
      <c r="AB1562" s="71"/>
      <c r="AC1562" s="71">
        <v>0</v>
      </c>
      <c r="AD1562" s="71">
        <f>W1562+X1562+Y1562+Z1562+AA1562+AB1562+AC1562</f>
        <v>173645937</v>
      </c>
      <c r="AE1562" s="72">
        <v>0</v>
      </c>
      <c r="AF1562" s="5"/>
      <c r="AG1562" s="6"/>
      <c r="AH1562" s="27" t="s">
        <v>3390</v>
      </c>
      <c r="AI1562" s="44" t="s">
        <v>3393</v>
      </c>
      <c r="AJ1562" s="26"/>
      <c r="AK1562" s="5" t="s">
        <v>4242</v>
      </c>
      <c r="AL1562" s="82" t="s">
        <v>4383</v>
      </c>
      <c r="AM1562" s="240"/>
      <c r="AN1562" s="240"/>
      <c r="AO1562" s="240"/>
      <c r="AP1562" s="240"/>
      <c r="AQ1562" s="240"/>
      <c r="AR1562" s="240"/>
      <c r="AS1562" s="240"/>
      <c r="AT1562" s="240"/>
      <c r="AU1562" s="240"/>
      <c r="AV1562" s="240"/>
      <c r="AW1562" s="240"/>
      <c r="AX1562" s="240">
        <f>+AW1562*600000</f>
        <v>0</v>
      </c>
      <c r="AY1562" s="240"/>
      <c r="AZ1562" s="240">
        <f>+AY1562*70000</f>
        <v>0</v>
      </c>
      <c r="BA1562" s="240"/>
      <c r="BB1562" s="240"/>
      <c r="BC1562" s="240"/>
      <c r="BD1562" s="240">
        <f>+BC1562*30000</f>
        <v>0</v>
      </c>
      <c r="BE1562" s="240"/>
      <c r="BF1562" s="240"/>
      <c r="BG1562" s="240"/>
      <c r="BH1562" s="240"/>
      <c r="BI1562" s="240"/>
      <c r="BJ1562" s="240"/>
      <c r="BK1562" s="240"/>
      <c r="BL1562" s="240">
        <f>+BK1562*31500</f>
        <v>0</v>
      </c>
      <c r="BM1562" s="240"/>
      <c r="BN1562" s="240"/>
      <c r="BO1562" s="240"/>
      <c r="BP1562" s="240"/>
      <c r="BQ1562" s="240"/>
      <c r="BR1562" s="240"/>
      <c r="BS1562" s="240"/>
      <c r="BT1562" s="240"/>
      <c r="BU1562" s="240"/>
      <c r="BV1562" s="240"/>
      <c r="BW1562" s="240"/>
      <c r="BX1562" s="240"/>
      <c r="BY1562" s="240"/>
      <c r="BZ1562" s="240"/>
      <c r="CA1562" s="240"/>
      <c r="CB1562" s="240"/>
      <c r="CC1562" s="240"/>
      <c r="CD1562" s="240"/>
      <c r="CE1562" s="240"/>
      <c r="CF1562" s="240">
        <f>+CE1562*28000</f>
        <v>0</v>
      </c>
      <c r="CG1562" s="240"/>
      <c r="CH1562" s="240">
        <f>+CG1562*22500</f>
        <v>0</v>
      </c>
      <c r="CI1562" s="240"/>
      <c r="CJ1562" s="240">
        <f>+CI1562*26000</f>
        <v>0</v>
      </c>
      <c r="CK1562" s="240"/>
      <c r="CL1562" s="240"/>
      <c r="CM1562" s="240"/>
      <c r="CN1562" s="240">
        <f>+CM1562*22000</f>
        <v>0</v>
      </c>
      <c r="CO1562" s="312">
        <v>216</v>
      </c>
      <c r="CP1562" s="312">
        <f>+CO1562*45999.8</f>
        <v>9935956.8000000007</v>
      </c>
      <c r="CQ1562" s="240"/>
      <c r="CR1562" s="240">
        <f>+CQ1562*49000</f>
        <v>0</v>
      </c>
      <c r="CS1562" s="240"/>
      <c r="CT1562" s="240"/>
      <c r="CU1562" s="241">
        <f>AN1562+AP1562+AR1562+AT1562+AV1562+AX1562+AZ1562+BB1562+BD1562+BF1562+BH1562+BJ1562+BL1562+BN1562+BP1562+BR1562+BT1562+BV1562+BX1562+BZ1562+CB1562+CD1562+CF1562+CH1562+CJ1562+CL1562+CN1562+CP1562+CR1562+CT1562</f>
        <v>9935956.8000000007</v>
      </c>
      <c r="CV1562" s="240"/>
      <c r="CW1562" s="240">
        <f>+CV1562*1100</f>
        <v>0</v>
      </c>
      <c r="CX1562" s="312">
        <v>216</v>
      </c>
      <c r="CY1562" s="312">
        <f>+CX1562*104870.65</f>
        <v>22652060.399999999</v>
      </c>
      <c r="CZ1562" s="312">
        <v>450</v>
      </c>
      <c r="DA1562" s="312">
        <f>+CZ1562*29499.96</f>
        <v>13274982</v>
      </c>
      <c r="DB1562" s="312">
        <f>2295+1610</f>
        <v>3905</v>
      </c>
      <c r="DC1562" s="312">
        <f>2295*24999.16+9180*199.52+1610*40999.04+6440*399.04</f>
        <v>127782937.8</v>
      </c>
      <c r="DD1562" s="242"/>
      <c r="DE1562" s="242"/>
      <c r="DF1562" s="243"/>
      <c r="DG1562" s="253" t="s">
        <v>6535</v>
      </c>
      <c r="DH1562" s="254"/>
      <c r="DI1562" s="24"/>
      <c r="DJ1562" s="24"/>
      <c r="DK1562" s="24"/>
      <c r="DL1562" s="24"/>
      <c r="DM1562" s="24"/>
      <c r="DN1562" s="24"/>
      <c r="DO1562" s="24"/>
      <c r="DP1562" s="24"/>
      <c r="DQ1562" s="24"/>
      <c r="DR1562" s="24"/>
      <c r="DS1562" s="24"/>
      <c r="DT1562" s="24"/>
      <c r="DU1562" s="24"/>
    </row>
    <row r="1563" spans="1:125" s="8" customFormat="1" ht="84" x14ac:dyDescent="0.2">
      <c r="A1563" s="226">
        <v>41386</v>
      </c>
      <c r="B1563" s="225" t="s">
        <v>2852</v>
      </c>
      <c r="C1563" s="227" t="s">
        <v>1245</v>
      </c>
      <c r="D1563" s="227" t="s">
        <v>3635</v>
      </c>
      <c r="E1563" s="75" t="str">
        <f>VLOOKUP(B1563&amp;C1563,Divipola!$C$2:$F$1138,4,FALSE)</f>
        <v>27450</v>
      </c>
      <c r="F1563" s="87">
        <v>1</v>
      </c>
      <c r="G1563" s="87">
        <v>14</v>
      </c>
      <c r="H1563" s="87"/>
      <c r="I1563" s="87">
        <v>15</v>
      </c>
      <c r="J1563" s="87"/>
      <c r="K1563" s="87"/>
      <c r="L1563" s="87"/>
      <c r="M1563" s="87"/>
      <c r="N1563" s="87"/>
      <c r="O1563" s="87"/>
      <c r="P1563" s="87"/>
      <c r="Q1563" s="87"/>
      <c r="R1563" s="87"/>
      <c r="S1563" s="87"/>
      <c r="T1563" s="87"/>
      <c r="U1563" s="88"/>
      <c r="V1563" s="89"/>
      <c r="W1563" s="96">
        <v>0</v>
      </c>
      <c r="X1563" s="71">
        <f>CU1563</f>
        <v>0</v>
      </c>
      <c r="Y1563" s="71">
        <f>CY1563</f>
        <v>0</v>
      </c>
      <c r="Z1563" s="71">
        <f>DA1563+DC1563+DE1563</f>
        <v>0</v>
      </c>
      <c r="AA1563" s="71">
        <f>CW1563</f>
        <v>0</v>
      </c>
      <c r="AB1563" s="71"/>
      <c r="AC1563" s="71">
        <v>0</v>
      </c>
      <c r="AD1563" s="71">
        <f>W1563+X1563+Y1563+Z1563+AA1563+AB1563+AC1563</f>
        <v>0</v>
      </c>
      <c r="AE1563" s="72">
        <v>0</v>
      </c>
      <c r="AF1563" s="5"/>
      <c r="AG1563" s="6"/>
      <c r="AH1563" s="27" t="s">
        <v>3392</v>
      </c>
      <c r="AI1563" s="44" t="s">
        <v>3393</v>
      </c>
      <c r="AJ1563" s="26"/>
      <c r="AK1563" s="5"/>
      <c r="AL1563" s="82" t="s">
        <v>4365</v>
      </c>
      <c r="AM1563" s="76"/>
      <c r="AN1563" s="76"/>
      <c r="AO1563" s="76"/>
      <c r="AP1563" s="76"/>
      <c r="AQ1563" s="76"/>
      <c r="AR1563" s="76"/>
      <c r="AS1563" s="76"/>
      <c r="AT1563" s="76"/>
      <c r="AU1563" s="76"/>
      <c r="AV1563" s="76"/>
      <c r="AW1563" s="76"/>
      <c r="AX1563" s="76">
        <f>+AW1563*600000</f>
        <v>0</v>
      </c>
      <c r="AY1563" s="76"/>
      <c r="AZ1563" s="76">
        <f>+AY1563*70000</f>
        <v>0</v>
      </c>
      <c r="BA1563" s="76"/>
      <c r="BB1563" s="76"/>
      <c r="BC1563" s="76"/>
      <c r="BD1563" s="76">
        <f>+BC1563*30000</f>
        <v>0</v>
      </c>
      <c r="BE1563" s="76"/>
      <c r="BF1563" s="76"/>
      <c r="BG1563" s="76"/>
      <c r="BH1563" s="76"/>
      <c r="BI1563" s="76"/>
      <c r="BJ1563" s="76"/>
      <c r="BK1563" s="76"/>
      <c r="BL1563" s="76">
        <f>+BK1563*31500</f>
        <v>0</v>
      </c>
      <c r="BM1563" s="76"/>
      <c r="BN1563" s="76"/>
      <c r="BO1563" s="76"/>
      <c r="BP1563" s="76"/>
      <c r="BQ1563" s="76"/>
      <c r="BR1563" s="76"/>
      <c r="BS1563" s="76"/>
      <c r="BT1563" s="76"/>
      <c r="BU1563" s="76"/>
      <c r="BV1563" s="76"/>
      <c r="BW1563" s="76"/>
      <c r="BX1563" s="76"/>
      <c r="BY1563" s="76"/>
      <c r="BZ1563" s="76"/>
      <c r="CA1563" s="76"/>
      <c r="CB1563" s="76"/>
      <c r="CC1563" s="76"/>
      <c r="CD1563" s="76"/>
      <c r="CE1563" s="76"/>
      <c r="CF1563" s="76">
        <f>+CE1563*28000</f>
        <v>0</v>
      </c>
      <c r="CG1563" s="76"/>
      <c r="CH1563" s="76">
        <f>+CG1563*22500</f>
        <v>0</v>
      </c>
      <c r="CI1563" s="76"/>
      <c r="CJ1563" s="76">
        <f>+CI1563*26000</f>
        <v>0</v>
      </c>
      <c r="CK1563" s="76"/>
      <c r="CL1563" s="76"/>
      <c r="CM1563" s="76"/>
      <c r="CN1563" s="76">
        <f>+CM1563*22000</f>
        <v>0</v>
      </c>
      <c r="CO1563" s="76"/>
      <c r="CP1563" s="76">
        <f>+CO1563*46000</f>
        <v>0</v>
      </c>
      <c r="CQ1563" s="76"/>
      <c r="CR1563" s="76">
        <f>+CQ1563*49000</f>
        <v>0</v>
      </c>
      <c r="CS1563" s="76"/>
      <c r="CT1563" s="76"/>
      <c r="CU1563" s="56">
        <f>AN1563+AP1563+AR1563+AT1563+AV1563+AX1563+AZ1563+BB1563+BD1563+BF1563+BH1563+BJ1563+BL1563+BN1563+BP1563+BR1563+BT1563+BV1563+BX1563+BZ1563+CB1563+CD1563+CF1563+CH1563+CJ1563+CL1563+CN1563+CP1563+CR1563+CT1563</f>
        <v>0</v>
      </c>
      <c r="CV1563" s="76"/>
      <c r="CW1563" s="76">
        <f>+CV1563*1100</f>
        <v>0</v>
      </c>
      <c r="CX1563" s="76"/>
      <c r="CY1563" s="76">
        <f>+CX1563*106250</f>
        <v>0</v>
      </c>
      <c r="CZ1563" s="76"/>
      <c r="DA1563" s="76">
        <f>+CZ1563*34500</f>
        <v>0</v>
      </c>
      <c r="DB1563" s="76"/>
      <c r="DC1563" s="76">
        <f>+DB1563*25000</f>
        <v>0</v>
      </c>
      <c r="DD1563" s="219"/>
      <c r="DE1563" s="219"/>
      <c r="DF1563" s="166"/>
      <c r="DG1563" s="116"/>
      <c r="DH1563" s="117"/>
      <c r="DI1563" s="24"/>
      <c r="DJ1563" s="24"/>
      <c r="DK1563" s="24"/>
      <c r="DL1563" s="24"/>
      <c r="DM1563" s="24"/>
      <c r="DN1563" s="24"/>
      <c r="DO1563" s="24"/>
      <c r="DP1563" s="24"/>
      <c r="DQ1563" s="24"/>
      <c r="DR1563" s="24"/>
      <c r="DS1563" s="24"/>
      <c r="DT1563" s="24"/>
      <c r="DU1563" s="24"/>
    </row>
    <row r="1564" spans="1:125" s="8" customFormat="1" ht="120" x14ac:dyDescent="0.2">
      <c r="A1564" s="353">
        <v>41386</v>
      </c>
      <c r="B1564" s="352" t="s">
        <v>2772</v>
      </c>
      <c r="C1564" s="354" t="s">
        <v>2190</v>
      </c>
      <c r="D1564" s="75" t="s">
        <v>3051</v>
      </c>
      <c r="E1564" s="75" t="str">
        <f>VLOOKUP(B1564&amp;C1564,Divipola!$C$2:$F$1138,4,FALSE)</f>
        <v>25148</v>
      </c>
      <c r="F1564" s="87"/>
      <c r="G1564" s="87"/>
      <c r="H1564" s="87"/>
      <c r="I1564" s="87">
        <v>50</v>
      </c>
      <c r="J1564" s="87">
        <v>10</v>
      </c>
      <c r="K1564" s="87"/>
      <c r="L1564" s="87">
        <v>4</v>
      </c>
      <c r="M1564" s="87"/>
      <c r="N1564" s="87"/>
      <c r="O1564" s="87"/>
      <c r="P1564" s="87"/>
      <c r="Q1564" s="87"/>
      <c r="R1564" s="87"/>
      <c r="S1564" s="87"/>
      <c r="T1564" s="87"/>
      <c r="U1564" s="88"/>
      <c r="V1564" s="126">
        <v>0.2</v>
      </c>
      <c r="W1564" s="96">
        <v>0</v>
      </c>
      <c r="X1564" s="71">
        <f>CU1564</f>
        <v>0</v>
      </c>
      <c r="Y1564" s="71">
        <f>CY1564</f>
        <v>0</v>
      </c>
      <c r="Z1564" s="71">
        <f>DA1564+DC1564+DE1564</f>
        <v>0</v>
      </c>
      <c r="AA1564" s="71">
        <f>CW1564</f>
        <v>0</v>
      </c>
      <c r="AB1564" s="71"/>
      <c r="AC1564" s="71">
        <v>0</v>
      </c>
      <c r="AD1564" s="71">
        <f>W1564+X1564+Y1564+Z1564+AA1564+AB1564+AC1564</f>
        <v>0</v>
      </c>
      <c r="AE1564" s="72">
        <v>0</v>
      </c>
      <c r="AF1564" s="5"/>
      <c r="AG1564" s="6"/>
      <c r="AH1564" s="27" t="s">
        <v>3392</v>
      </c>
      <c r="AI1564" s="44" t="s">
        <v>3393</v>
      </c>
      <c r="AJ1564" s="26"/>
      <c r="AK1564" s="5"/>
      <c r="AL1564" s="82" t="s">
        <v>4398</v>
      </c>
      <c r="AM1564" s="76"/>
      <c r="AN1564" s="76"/>
      <c r="AO1564" s="76"/>
      <c r="AP1564" s="76"/>
      <c r="AQ1564" s="76"/>
      <c r="AR1564" s="76"/>
      <c r="AS1564" s="76"/>
      <c r="AT1564" s="76"/>
      <c r="AU1564" s="76"/>
      <c r="AV1564" s="76"/>
      <c r="AW1564" s="76"/>
      <c r="AX1564" s="76">
        <f>+AW1564*600000</f>
        <v>0</v>
      </c>
      <c r="AY1564" s="76"/>
      <c r="AZ1564" s="76">
        <f>+AY1564*70000</f>
        <v>0</v>
      </c>
      <c r="BA1564" s="76"/>
      <c r="BB1564" s="76"/>
      <c r="BC1564" s="76"/>
      <c r="BD1564" s="76">
        <f>+BC1564*30000</f>
        <v>0</v>
      </c>
      <c r="BE1564" s="76"/>
      <c r="BF1564" s="76"/>
      <c r="BG1564" s="76"/>
      <c r="BH1564" s="76"/>
      <c r="BI1564" s="76"/>
      <c r="BJ1564" s="76"/>
      <c r="BK1564" s="76"/>
      <c r="BL1564" s="76">
        <f>+BK1564*31500</f>
        <v>0</v>
      </c>
      <c r="BM1564" s="76"/>
      <c r="BN1564" s="76"/>
      <c r="BO1564" s="76"/>
      <c r="BP1564" s="76"/>
      <c r="BQ1564" s="76"/>
      <c r="BR1564" s="76"/>
      <c r="BS1564" s="76"/>
      <c r="BT1564" s="76"/>
      <c r="BU1564" s="76"/>
      <c r="BV1564" s="76"/>
      <c r="BW1564" s="76"/>
      <c r="BX1564" s="76"/>
      <c r="BY1564" s="76"/>
      <c r="BZ1564" s="76"/>
      <c r="CA1564" s="76"/>
      <c r="CB1564" s="76"/>
      <c r="CC1564" s="76"/>
      <c r="CD1564" s="76"/>
      <c r="CE1564" s="76"/>
      <c r="CF1564" s="76">
        <f>+CE1564*28000</f>
        <v>0</v>
      </c>
      <c r="CG1564" s="76"/>
      <c r="CH1564" s="76">
        <f>+CG1564*22500</f>
        <v>0</v>
      </c>
      <c r="CI1564" s="76"/>
      <c r="CJ1564" s="76">
        <f>+CI1564*26000</f>
        <v>0</v>
      </c>
      <c r="CK1564" s="76"/>
      <c r="CL1564" s="76"/>
      <c r="CM1564" s="76"/>
      <c r="CN1564" s="76">
        <f>+CM1564*22000</f>
        <v>0</v>
      </c>
      <c r="CO1564" s="76"/>
      <c r="CP1564" s="76">
        <f>+CO1564*46000</f>
        <v>0</v>
      </c>
      <c r="CQ1564" s="76"/>
      <c r="CR1564" s="76">
        <f>+CQ1564*49000</f>
        <v>0</v>
      </c>
      <c r="CS1564" s="76"/>
      <c r="CT1564" s="76"/>
      <c r="CU1564" s="56">
        <f>AN1564+AP1564+AR1564+AT1564+AV1564+AX1564+AZ1564+BB1564+BD1564+BF1564+BH1564+BJ1564+BL1564+BN1564+BP1564+BR1564+BT1564+BV1564+BX1564+BZ1564+CB1564+CD1564+CF1564+CH1564+CJ1564+CL1564+CN1564+CP1564+CR1564+CT1564</f>
        <v>0</v>
      </c>
      <c r="CV1564" s="76"/>
      <c r="CW1564" s="76">
        <f>+CV1564*1100</f>
        <v>0</v>
      </c>
      <c r="CX1564" s="76"/>
      <c r="CY1564" s="76">
        <f>+CX1564*106250</f>
        <v>0</v>
      </c>
      <c r="CZ1564" s="76"/>
      <c r="DA1564" s="76">
        <f>+CZ1564*34500</f>
        <v>0</v>
      </c>
      <c r="DB1564" s="76"/>
      <c r="DC1564" s="76">
        <f>+DB1564*25000</f>
        <v>0</v>
      </c>
      <c r="DD1564" s="219"/>
      <c r="DE1564" s="219"/>
      <c r="DF1564" s="166"/>
      <c r="DG1564" s="116"/>
      <c r="DH1564" s="117"/>
      <c r="DI1564" s="24"/>
      <c r="DJ1564" s="24"/>
      <c r="DK1564" s="24"/>
      <c r="DL1564" s="24"/>
      <c r="DM1564" s="24"/>
      <c r="DN1564" s="24"/>
      <c r="DO1564" s="24"/>
      <c r="DP1564" s="24"/>
      <c r="DQ1564" s="24"/>
      <c r="DR1564" s="24"/>
      <c r="DS1564" s="24"/>
      <c r="DT1564" s="24"/>
      <c r="DU1564" s="24"/>
    </row>
    <row r="1565" spans="1:125" s="8" customFormat="1" ht="48" x14ac:dyDescent="0.2">
      <c r="A1565" s="353">
        <v>41386</v>
      </c>
      <c r="B1565" s="352" t="s">
        <v>2772</v>
      </c>
      <c r="C1565" s="354" t="s">
        <v>1028</v>
      </c>
      <c r="D1565" s="81" t="s">
        <v>2846</v>
      </c>
      <c r="E1565" s="75" t="str">
        <f>VLOOKUP(B1565&amp;C1565,Divipola!$C$2:$F$1138,4,FALSE)</f>
        <v>25151</v>
      </c>
      <c r="F1565" s="87"/>
      <c r="G1565" s="87"/>
      <c r="H1565" s="87"/>
      <c r="I1565" s="87"/>
      <c r="J1565" s="87"/>
      <c r="K1565" s="87"/>
      <c r="L1565" s="87"/>
      <c r="M1565" s="87"/>
      <c r="N1565" s="87"/>
      <c r="O1565" s="87"/>
      <c r="P1565" s="87"/>
      <c r="Q1565" s="87"/>
      <c r="R1565" s="87"/>
      <c r="S1565" s="87"/>
      <c r="T1565" s="87"/>
      <c r="U1565" s="88">
        <v>2</v>
      </c>
      <c r="V1565" s="89"/>
      <c r="W1565" s="96">
        <v>0</v>
      </c>
      <c r="X1565" s="71">
        <f>CU1565</f>
        <v>0</v>
      </c>
      <c r="Y1565" s="71">
        <f>CY1565</f>
        <v>0</v>
      </c>
      <c r="Z1565" s="71">
        <f>DA1565+DC1565+DE1565</f>
        <v>0</v>
      </c>
      <c r="AA1565" s="71">
        <f>CW1565</f>
        <v>0</v>
      </c>
      <c r="AB1565" s="71"/>
      <c r="AC1565" s="71">
        <v>0</v>
      </c>
      <c r="AD1565" s="71">
        <f>W1565+X1565+Y1565+Z1565+AA1565+AB1565+AC1565</f>
        <v>0</v>
      </c>
      <c r="AE1565" s="72">
        <v>0</v>
      </c>
      <c r="AF1565" s="5"/>
      <c r="AG1565" s="6"/>
      <c r="AH1565" s="27" t="s">
        <v>3392</v>
      </c>
      <c r="AI1565" s="44" t="s">
        <v>3393</v>
      </c>
      <c r="AJ1565" s="26"/>
      <c r="AK1565" s="5"/>
      <c r="AL1565" s="82" t="s">
        <v>4366</v>
      </c>
      <c r="AM1565" s="76"/>
      <c r="AN1565" s="76"/>
      <c r="AO1565" s="76"/>
      <c r="AP1565" s="76"/>
      <c r="AQ1565" s="76"/>
      <c r="AR1565" s="76"/>
      <c r="AS1565" s="76"/>
      <c r="AT1565" s="76"/>
      <c r="AU1565" s="76"/>
      <c r="AV1565" s="76"/>
      <c r="AW1565" s="76"/>
      <c r="AX1565" s="76">
        <f>+AW1565*600000</f>
        <v>0</v>
      </c>
      <c r="AY1565" s="76"/>
      <c r="AZ1565" s="76">
        <f>+AY1565*70000</f>
        <v>0</v>
      </c>
      <c r="BA1565" s="76"/>
      <c r="BB1565" s="76"/>
      <c r="BC1565" s="76"/>
      <c r="BD1565" s="76">
        <f>+BC1565*30000</f>
        <v>0</v>
      </c>
      <c r="BE1565" s="76"/>
      <c r="BF1565" s="76"/>
      <c r="BG1565" s="76"/>
      <c r="BH1565" s="76"/>
      <c r="BI1565" s="76"/>
      <c r="BJ1565" s="76"/>
      <c r="BK1565" s="76"/>
      <c r="BL1565" s="76">
        <f>+BK1565*31500</f>
        <v>0</v>
      </c>
      <c r="BM1565" s="76"/>
      <c r="BN1565" s="76"/>
      <c r="BO1565" s="76"/>
      <c r="BP1565" s="76"/>
      <c r="BQ1565" s="76"/>
      <c r="BR1565" s="76"/>
      <c r="BS1565" s="76"/>
      <c r="BT1565" s="76"/>
      <c r="BU1565" s="76"/>
      <c r="BV1565" s="76"/>
      <c r="BW1565" s="76"/>
      <c r="BX1565" s="76"/>
      <c r="BY1565" s="76"/>
      <c r="BZ1565" s="76"/>
      <c r="CA1565" s="76"/>
      <c r="CB1565" s="76"/>
      <c r="CC1565" s="76"/>
      <c r="CD1565" s="76"/>
      <c r="CE1565" s="76"/>
      <c r="CF1565" s="76">
        <f>+CE1565*28000</f>
        <v>0</v>
      </c>
      <c r="CG1565" s="76"/>
      <c r="CH1565" s="76">
        <f>+CG1565*22500</f>
        <v>0</v>
      </c>
      <c r="CI1565" s="76"/>
      <c r="CJ1565" s="76">
        <f>+CI1565*26000</f>
        <v>0</v>
      </c>
      <c r="CK1565" s="76"/>
      <c r="CL1565" s="76"/>
      <c r="CM1565" s="76"/>
      <c r="CN1565" s="76">
        <f>+CM1565*22000</f>
        <v>0</v>
      </c>
      <c r="CO1565" s="76"/>
      <c r="CP1565" s="76">
        <f>+CO1565*46000</f>
        <v>0</v>
      </c>
      <c r="CQ1565" s="76"/>
      <c r="CR1565" s="76">
        <f>+CQ1565*49000</f>
        <v>0</v>
      </c>
      <c r="CS1565" s="76"/>
      <c r="CT1565" s="76"/>
      <c r="CU1565" s="56">
        <f>AN1565+AP1565+AR1565+AT1565+AV1565+AX1565+AZ1565+BB1565+BD1565+BF1565+BH1565+BJ1565+BL1565+BN1565+BP1565+BR1565+BT1565+BV1565+BX1565+BZ1565+CB1565+CD1565+CF1565+CH1565+CJ1565+CL1565+CN1565+CP1565+CR1565+CT1565</f>
        <v>0</v>
      </c>
      <c r="CV1565" s="76"/>
      <c r="CW1565" s="76">
        <f>+CV1565*1100</f>
        <v>0</v>
      </c>
      <c r="CX1565" s="76"/>
      <c r="CY1565" s="76">
        <f>+CX1565*106250</f>
        <v>0</v>
      </c>
      <c r="CZ1565" s="76"/>
      <c r="DA1565" s="76">
        <f>+CZ1565*34500</f>
        <v>0</v>
      </c>
      <c r="DB1565" s="76"/>
      <c r="DC1565" s="76">
        <f>+DB1565*25000</f>
        <v>0</v>
      </c>
      <c r="DD1565" s="219"/>
      <c r="DE1565" s="219"/>
      <c r="DF1565" s="166"/>
      <c r="DG1565" s="116"/>
      <c r="DH1565" s="117"/>
      <c r="DI1565" s="24"/>
      <c r="DJ1565" s="24"/>
      <c r="DK1565" s="24"/>
      <c r="DL1565" s="24"/>
      <c r="DM1565" s="24"/>
      <c r="DN1565" s="24"/>
      <c r="DO1565" s="24"/>
      <c r="DP1565" s="24"/>
      <c r="DQ1565" s="24"/>
      <c r="DR1565" s="24"/>
      <c r="DS1565" s="24"/>
      <c r="DT1565" s="24"/>
      <c r="DU1565" s="24"/>
    </row>
    <row r="1566" spans="1:125" s="8" customFormat="1" ht="96" x14ac:dyDescent="0.2">
      <c r="A1566" s="353">
        <v>41386</v>
      </c>
      <c r="B1566" s="352" t="s">
        <v>2772</v>
      </c>
      <c r="C1566" s="354" t="s">
        <v>1199</v>
      </c>
      <c r="D1566" s="84" t="s">
        <v>3088</v>
      </c>
      <c r="E1566" s="75" t="str">
        <f>VLOOKUP(B1566&amp;C1566,Divipola!$C$2:$F$1138,4,FALSE)</f>
        <v>25871</v>
      </c>
      <c r="F1566" s="87"/>
      <c r="G1566" s="87"/>
      <c r="H1566" s="87"/>
      <c r="I1566" s="87"/>
      <c r="J1566" s="87"/>
      <c r="K1566" s="87"/>
      <c r="L1566" s="87"/>
      <c r="M1566" s="87">
        <v>1</v>
      </c>
      <c r="N1566" s="87">
        <v>1</v>
      </c>
      <c r="O1566" s="87"/>
      <c r="P1566" s="87"/>
      <c r="Q1566" s="87"/>
      <c r="R1566" s="87"/>
      <c r="S1566" s="87"/>
      <c r="T1566" s="87"/>
      <c r="U1566" s="88"/>
      <c r="V1566" s="89"/>
      <c r="W1566" s="96">
        <v>0</v>
      </c>
      <c r="X1566" s="71">
        <f>CU1566</f>
        <v>0</v>
      </c>
      <c r="Y1566" s="71">
        <f>CY1566</f>
        <v>0</v>
      </c>
      <c r="Z1566" s="71">
        <f>DA1566+DC1566+DE1566</f>
        <v>0</v>
      </c>
      <c r="AA1566" s="71">
        <f>CW1566</f>
        <v>0</v>
      </c>
      <c r="AB1566" s="71"/>
      <c r="AC1566" s="71">
        <v>0</v>
      </c>
      <c r="AD1566" s="71">
        <f>W1566+X1566+Y1566+Z1566+AA1566+AB1566+AC1566</f>
        <v>0</v>
      </c>
      <c r="AE1566" s="72">
        <v>0</v>
      </c>
      <c r="AF1566" s="5"/>
      <c r="AG1566" s="6"/>
      <c r="AH1566" s="27" t="s">
        <v>3392</v>
      </c>
      <c r="AI1566" s="44" t="s">
        <v>3393</v>
      </c>
      <c r="AJ1566" s="26"/>
      <c r="AK1566" s="5"/>
      <c r="AL1566" s="82" t="s">
        <v>4375</v>
      </c>
      <c r="AM1566" s="76"/>
      <c r="AN1566" s="76"/>
      <c r="AO1566" s="76"/>
      <c r="AP1566" s="76"/>
      <c r="AQ1566" s="76"/>
      <c r="AR1566" s="76"/>
      <c r="AS1566" s="76"/>
      <c r="AT1566" s="76"/>
      <c r="AU1566" s="76"/>
      <c r="AV1566" s="76"/>
      <c r="AW1566" s="76"/>
      <c r="AX1566" s="76">
        <f>+AW1566*600000</f>
        <v>0</v>
      </c>
      <c r="AY1566" s="76"/>
      <c r="AZ1566" s="76">
        <f>+AY1566*70000</f>
        <v>0</v>
      </c>
      <c r="BA1566" s="76"/>
      <c r="BB1566" s="76"/>
      <c r="BC1566" s="76"/>
      <c r="BD1566" s="76">
        <f>+BC1566*30000</f>
        <v>0</v>
      </c>
      <c r="BE1566" s="76"/>
      <c r="BF1566" s="76"/>
      <c r="BG1566" s="76"/>
      <c r="BH1566" s="76"/>
      <c r="BI1566" s="76"/>
      <c r="BJ1566" s="76"/>
      <c r="BK1566" s="76"/>
      <c r="BL1566" s="76">
        <f>+BK1566*31500</f>
        <v>0</v>
      </c>
      <c r="BM1566" s="76"/>
      <c r="BN1566" s="76"/>
      <c r="BO1566" s="76"/>
      <c r="BP1566" s="76"/>
      <c r="BQ1566" s="76"/>
      <c r="BR1566" s="76"/>
      <c r="BS1566" s="76"/>
      <c r="BT1566" s="76"/>
      <c r="BU1566" s="76"/>
      <c r="BV1566" s="76"/>
      <c r="BW1566" s="76"/>
      <c r="BX1566" s="76"/>
      <c r="BY1566" s="76"/>
      <c r="BZ1566" s="76"/>
      <c r="CA1566" s="76"/>
      <c r="CB1566" s="76"/>
      <c r="CC1566" s="76"/>
      <c r="CD1566" s="76"/>
      <c r="CE1566" s="76"/>
      <c r="CF1566" s="76">
        <f>+CE1566*28000</f>
        <v>0</v>
      </c>
      <c r="CG1566" s="76"/>
      <c r="CH1566" s="76">
        <f>+CG1566*22500</f>
        <v>0</v>
      </c>
      <c r="CI1566" s="76"/>
      <c r="CJ1566" s="76">
        <f>+CI1566*26000</f>
        <v>0</v>
      </c>
      <c r="CK1566" s="76"/>
      <c r="CL1566" s="76"/>
      <c r="CM1566" s="76"/>
      <c r="CN1566" s="76">
        <f>+CM1566*22000</f>
        <v>0</v>
      </c>
      <c r="CO1566" s="76"/>
      <c r="CP1566" s="76">
        <f>+CO1566*46000</f>
        <v>0</v>
      </c>
      <c r="CQ1566" s="76"/>
      <c r="CR1566" s="76">
        <f>+CQ1566*49000</f>
        <v>0</v>
      </c>
      <c r="CS1566" s="76"/>
      <c r="CT1566" s="76"/>
      <c r="CU1566" s="56">
        <f>AN1566+AP1566+AR1566+AT1566+AV1566+AX1566+AZ1566+BB1566+BD1566+BF1566+BH1566+BJ1566+BL1566+BN1566+BP1566+BR1566+BT1566+BV1566+BX1566+BZ1566+CB1566+CD1566+CF1566+CH1566+CJ1566+CL1566+CN1566+CP1566+CR1566+CT1566</f>
        <v>0</v>
      </c>
      <c r="CV1566" s="76"/>
      <c r="CW1566" s="76">
        <f>+CV1566*1100</f>
        <v>0</v>
      </c>
      <c r="CX1566" s="76"/>
      <c r="CY1566" s="76">
        <f>+CX1566*106250</f>
        <v>0</v>
      </c>
      <c r="CZ1566" s="76"/>
      <c r="DA1566" s="76">
        <f>+CZ1566*34500</f>
        <v>0</v>
      </c>
      <c r="DB1566" s="76"/>
      <c r="DC1566" s="76">
        <f>+DB1566*25000</f>
        <v>0</v>
      </c>
      <c r="DD1566" s="219"/>
      <c r="DE1566" s="219"/>
      <c r="DF1566" s="166"/>
      <c r="DG1566" s="116"/>
      <c r="DH1566" s="117"/>
      <c r="DI1566" s="24"/>
      <c r="DJ1566" s="24"/>
      <c r="DK1566" s="24"/>
      <c r="DL1566" s="24"/>
      <c r="DM1566" s="24"/>
      <c r="DN1566" s="24"/>
      <c r="DO1566" s="24"/>
      <c r="DP1566" s="24"/>
      <c r="DQ1566" s="24"/>
      <c r="DR1566" s="24"/>
      <c r="DS1566" s="24"/>
      <c r="DT1566" s="24"/>
      <c r="DU1566" s="24"/>
    </row>
    <row r="1567" spans="1:125" s="8" customFormat="1" ht="72" x14ac:dyDescent="0.2">
      <c r="A1567" s="197">
        <v>41386</v>
      </c>
      <c r="B1567" s="198" t="s">
        <v>2811</v>
      </c>
      <c r="C1567" s="199" t="s">
        <v>2131</v>
      </c>
      <c r="D1567" s="199" t="s">
        <v>2859</v>
      </c>
      <c r="E1567" s="75" t="str">
        <f>VLOOKUP(B1567&amp;C1567,Divipola!$C$2:$F$1138,4,FALSE)</f>
        <v>52001</v>
      </c>
      <c r="F1567" s="200"/>
      <c r="G1567" s="200"/>
      <c r="H1567" s="200"/>
      <c r="I1567" s="200"/>
      <c r="J1567" s="200"/>
      <c r="K1567" s="200"/>
      <c r="L1567" s="200"/>
      <c r="M1567" s="200"/>
      <c r="N1567" s="200"/>
      <c r="O1567" s="200"/>
      <c r="P1567" s="200"/>
      <c r="Q1567" s="200"/>
      <c r="R1567" s="200"/>
      <c r="S1567" s="200"/>
      <c r="T1567" s="200"/>
      <c r="U1567" s="201"/>
      <c r="V1567" s="89"/>
      <c r="W1567" s="96">
        <v>0</v>
      </c>
      <c r="X1567" s="71">
        <f>CU1567</f>
        <v>0</v>
      </c>
      <c r="Y1567" s="71">
        <f>CY1567</f>
        <v>0</v>
      </c>
      <c r="Z1567" s="71">
        <f>DA1567+DC1567+DE1567</f>
        <v>0</v>
      </c>
      <c r="AA1567" s="71">
        <f>CW1567</f>
        <v>0</v>
      </c>
      <c r="AB1567" s="71"/>
      <c r="AC1567" s="71">
        <v>0</v>
      </c>
      <c r="AD1567" s="71">
        <f>W1567+X1567+Y1567+Z1567+AA1567+AB1567+AC1567</f>
        <v>0</v>
      </c>
      <c r="AE1567" s="72">
        <v>0</v>
      </c>
      <c r="AF1567" s="5"/>
      <c r="AG1567" s="6"/>
      <c r="AH1567" s="27" t="s">
        <v>3392</v>
      </c>
      <c r="AI1567" s="44" t="s">
        <v>3393</v>
      </c>
      <c r="AJ1567" s="26"/>
      <c r="AK1567" s="5"/>
      <c r="AL1567" s="82" t="s">
        <v>4364</v>
      </c>
      <c r="AM1567" s="76"/>
      <c r="AN1567" s="76"/>
      <c r="AO1567" s="76"/>
      <c r="AP1567" s="76"/>
      <c r="AQ1567" s="76"/>
      <c r="AR1567" s="76"/>
      <c r="AS1567" s="76"/>
      <c r="AT1567" s="76"/>
      <c r="AU1567" s="76"/>
      <c r="AV1567" s="76"/>
      <c r="AW1567" s="76"/>
      <c r="AX1567" s="76">
        <f>+AW1567*600000</f>
        <v>0</v>
      </c>
      <c r="AY1567" s="76"/>
      <c r="AZ1567" s="76">
        <f>+AY1567*70000</f>
        <v>0</v>
      </c>
      <c r="BA1567" s="76"/>
      <c r="BB1567" s="76"/>
      <c r="BC1567" s="76"/>
      <c r="BD1567" s="76">
        <f>+BC1567*30000</f>
        <v>0</v>
      </c>
      <c r="BE1567" s="76"/>
      <c r="BF1567" s="76"/>
      <c r="BG1567" s="76"/>
      <c r="BH1567" s="76"/>
      <c r="BI1567" s="76"/>
      <c r="BJ1567" s="76"/>
      <c r="BK1567" s="76"/>
      <c r="BL1567" s="76">
        <f>+BK1567*31500</f>
        <v>0</v>
      </c>
      <c r="BM1567" s="76"/>
      <c r="BN1567" s="76"/>
      <c r="BO1567" s="76"/>
      <c r="BP1567" s="76"/>
      <c r="BQ1567" s="76"/>
      <c r="BR1567" s="76"/>
      <c r="BS1567" s="76"/>
      <c r="BT1567" s="76"/>
      <c r="BU1567" s="76"/>
      <c r="BV1567" s="76"/>
      <c r="BW1567" s="76"/>
      <c r="BX1567" s="76"/>
      <c r="BY1567" s="76"/>
      <c r="BZ1567" s="76"/>
      <c r="CA1567" s="76"/>
      <c r="CB1567" s="76"/>
      <c r="CC1567" s="76"/>
      <c r="CD1567" s="76"/>
      <c r="CE1567" s="76"/>
      <c r="CF1567" s="76">
        <f>+CE1567*28000</f>
        <v>0</v>
      </c>
      <c r="CG1567" s="76"/>
      <c r="CH1567" s="76">
        <f>+CG1567*22500</f>
        <v>0</v>
      </c>
      <c r="CI1567" s="76"/>
      <c r="CJ1567" s="76">
        <f>+CI1567*26000</f>
        <v>0</v>
      </c>
      <c r="CK1567" s="76"/>
      <c r="CL1567" s="76"/>
      <c r="CM1567" s="76"/>
      <c r="CN1567" s="76">
        <f>+CM1567*22000</f>
        <v>0</v>
      </c>
      <c r="CO1567" s="76"/>
      <c r="CP1567" s="76">
        <f>+CO1567*46000</f>
        <v>0</v>
      </c>
      <c r="CQ1567" s="76"/>
      <c r="CR1567" s="76">
        <f>+CQ1567*49000</f>
        <v>0</v>
      </c>
      <c r="CS1567" s="76"/>
      <c r="CT1567" s="76"/>
      <c r="CU1567" s="56">
        <f>AN1567+AP1567+AR1567+AT1567+AV1567+AX1567+AZ1567+BB1567+BD1567+BF1567+BH1567+BJ1567+BL1567+BN1567+BP1567+BR1567+BT1567+BV1567+BX1567+BZ1567+CB1567+CD1567+CF1567+CH1567+CJ1567+CL1567+CN1567+CP1567+CR1567+CT1567</f>
        <v>0</v>
      </c>
      <c r="CV1567" s="76"/>
      <c r="CW1567" s="76">
        <f>+CV1567*1100</f>
        <v>0</v>
      </c>
      <c r="CX1567" s="76"/>
      <c r="CY1567" s="76">
        <f>+CX1567*106250</f>
        <v>0</v>
      </c>
      <c r="CZ1567" s="76"/>
      <c r="DA1567" s="76">
        <f>+CZ1567*34500</f>
        <v>0</v>
      </c>
      <c r="DB1567" s="76"/>
      <c r="DC1567" s="76">
        <f>+DB1567*25000</f>
        <v>0</v>
      </c>
      <c r="DD1567" s="219"/>
      <c r="DE1567" s="219"/>
      <c r="DF1567" s="166"/>
      <c r="DG1567" s="116"/>
      <c r="DH1567" s="117"/>
      <c r="DI1567" s="24"/>
      <c r="DJ1567" s="24"/>
      <c r="DK1567" s="24"/>
      <c r="DL1567" s="24"/>
      <c r="DM1567" s="24"/>
      <c r="DN1567" s="24"/>
      <c r="DO1567" s="24"/>
      <c r="DP1567" s="24"/>
      <c r="DQ1567" s="24"/>
      <c r="DR1567" s="24"/>
      <c r="DS1567" s="24"/>
      <c r="DT1567" s="24"/>
      <c r="DU1567" s="24"/>
    </row>
    <row r="1568" spans="1:125" s="8" customFormat="1" ht="72" x14ac:dyDescent="0.2">
      <c r="A1568" s="77">
        <v>41386</v>
      </c>
      <c r="B1568" s="78" t="s">
        <v>2811</v>
      </c>
      <c r="C1568" s="75" t="s">
        <v>2131</v>
      </c>
      <c r="D1568" s="75" t="s">
        <v>3051</v>
      </c>
      <c r="E1568" s="75" t="str">
        <f>VLOOKUP(B1568&amp;C1568,Divipola!$C$2:$F$1138,4,FALSE)</f>
        <v>52001</v>
      </c>
      <c r="F1568" s="87"/>
      <c r="G1568" s="87"/>
      <c r="H1568" s="87"/>
      <c r="I1568" s="87"/>
      <c r="J1568" s="87"/>
      <c r="K1568" s="87"/>
      <c r="L1568" s="87"/>
      <c r="M1568" s="87"/>
      <c r="N1568" s="87"/>
      <c r="O1568" s="87"/>
      <c r="P1568" s="87"/>
      <c r="Q1568" s="87"/>
      <c r="R1568" s="87"/>
      <c r="S1568" s="191"/>
      <c r="T1568" s="87"/>
      <c r="U1568" s="88"/>
      <c r="V1568" s="89"/>
      <c r="W1568" s="96">
        <v>0</v>
      </c>
      <c r="X1568" s="71">
        <f>CU1568</f>
        <v>0</v>
      </c>
      <c r="Y1568" s="71">
        <f>CY1568</f>
        <v>0</v>
      </c>
      <c r="Z1568" s="71">
        <f>DA1568+DC1568+DE1568</f>
        <v>0</v>
      </c>
      <c r="AA1568" s="71">
        <f>CW1568</f>
        <v>0</v>
      </c>
      <c r="AB1568" s="71"/>
      <c r="AC1568" s="71">
        <v>0</v>
      </c>
      <c r="AD1568" s="71">
        <f>W1568+X1568+Y1568+Z1568+AA1568+AB1568+AC1568</f>
        <v>0</v>
      </c>
      <c r="AE1568" s="72">
        <v>0</v>
      </c>
      <c r="AF1568" s="5"/>
      <c r="AG1568" s="6"/>
      <c r="AH1568" s="27" t="s">
        <v>3392</v>
      </c>
      <c r="AI1568" s="44" t="s">
        <v>3393</v>
      </c>
      <c r="AJ1568" s="26"/>
      <c r="AK1568" s="5"/>
      <c r="AL1568" s="82" t="s">
        <v>4363</v>
      </c>
      <c r="AM1568" s="76"/>
      <c r="AN1568" s="76"/>
      <c r="AO1568" s="76"/>
      <c r="AP1568" s="76"/>
      <c r="AQ1568" s="76"/>
      <c r="AR1568" s="76"/>
      <c r="AS1568" s="76"/>
      <c r="AT1568" s="76"/>
      <c r="AU1568" s="76"/>
      <c r="AV1568" s="76"/>
      <c r="AW1568" s="76"/>
      <c r="AX1568" s="76">
        <f>+AW1568*600000</f>
        <v>0</v>
      </c>
      <c r="AY1568" s="76"/>
      <c r="AZ1568" s="76">
        <f>+AY1568*70000</f>
        <v>0</v>
      </c>
      <c r="BA1568" s="76"/>
      <c r="BB1568" s="76"/>
      <c r="BC1568" s="76"/>
      <c r="BD1568" s="76">
        <f>+BC1568*30000</f>
        <v>0</v>
      </c>
      <c r="BE1568" s="76"/>
      <c r="BF1568" s="76"/>
      <c r="BG1568" s="76"/>
      <c r="BH1568" s="76"/>
      <c r="BI1568" s="76"/>
      <c r="BJ1568" s="76"/>
      <c r="BK1568" s="76"/>
      <c r="BL1568" s="76">
        <f>+BK1568*31500</f>
        <v>0</v>
      </c>
      <c r="BM1568" s="76"/>
      <c r="BN1568" s="76"/>
      <c r="BO1568" s="76"/>
      <c r="BP1568" s="76"/>
      <c r="BQ1568" s="76"/>
      <c r="BR1568" s="76"/>
      <c r="BS1568" s="76"/>
      <c r="BT1568" s="76"/>
      <c r="BU1568" s="76"/>
      <c r="BV1568" s="76"/>
      <c r="BW1568" s="76"/>
      <c r="BX1568" s="76"/>
      <c r="BY1568" s="76"/>
      <c r="BZ1568" s="76"/>
      <c r="CA1568" s="76"/>
      <c r="CB1568" s="76"/>
      <c r="CC1568" s="76"/>
      <c r="CD1568" s="76"/>
      <c r="CE1568" s="76"/>
      <c r="CF1568" s="76">
        <f>+CE1568*28000</f>
        <v>0</v>
      </c>
      <c r="CG1568" s="76"/>
      <c r="CH1568" s="76">
        <f>+CG1568*22500</f>
        <v>0</v>
      </c>
      <c r="CI1568" s="76"/>
      <c r="CJ1568" s="76">
        <f>+CI1568*26000</f>
        <v>0</v>
      </c>
      <c r="CK1568" s="76"/>
      <c r="CL1568" s="76"/>
      <c r="CM1568" s="76"/>
      <c r="CN1568" s="76">
        <f>+CM1568*22000</f>
        <v>0</v>
      </c>
      <c r="CO1568" s="76"/>
      <c r="CP1568" s="76">
        <f>+CO1568*46000</f>
        <v>0</v>
      </c>
      <c r="CQ1568" s="76"/>
      <c r="CR1568" s="76">
        <f>+CQ1568*49000</f>
        <v>0</v>
      </c>
      <c r="CS1568" s="76"/>
      <c r="CT1568" s="76"/>
      <c r="CU1568" s="56">
        <f>AN1568+AP1568+AR1568+AT1568+AV1568+AX1568+AZ1568+BB1568+BD1568+BF1568+BH1568+BJ1568+BL1568+BN1568+BP1568+BR1568+BT1568+BV1568+BX1568+BZ1568+CB1568+CD1568+CF1568+CH1568+CJ1568+CL1568+CN1568+CP1568+CR1568+CT1568</f>
        <v>0</v>
      </c>
      <c r="CV1568" s="76"/>
      <c r="CW1568" s="76">
        <f>+CV1568*1100</f>
        <v>0</v>
      </c>
      <c r="CX1568" s="76"/>
      <c r="CY1568" s="76">
        <f>+CX1568*106250</f>
        <v>0</v>
      </c>
      <c r="CZ1568" s="76"/>
      <c r="DA1568" s="76">
        <f>+CZ1568*34500</f>
        <v>0</v>
      </c>
      <c r="DB1568" s="76"/>
      <c r="DC1568" s="76">
        <f>+DB1568*25000</f>
        <v>0</v>
      </c>
      <c r="DD1568" s="219"/>
      <c r="DE1568" s="219"/>
      <c r="DF1568" s="166"/>
      <c r="DG1568" s="116"/>
      <c r="DH1568" s="117"/>
      <c r="DI1568" s="24"/>
      <c r="DJ1568" s="24"/>
      <c r="DK1568" s="24"/>
      <c r="DL1568" s="24"/>
      <c r="DM1568" s="24"/>
      <c r="DN1568" s="24"/>
      <c r="DO1568" s="24"/>
      <c r="DP1568" s="24"/>
      <c r="DQ1568" s="24"/>
      <c r="DR1568" s="24"/>
      <c r="DS1568" s="24"/>
      <c r="DT1568" s="24"/>
      <c r="DU1568" s="24"/>
    </row>
    <row r="1569" spans="1:125" s="8" customFormat="1" ht="144" x14ac:dyDescent="0.2">
      <c r="A1569" s="353">
        <v>41386</v>
      </c>
      <c r="B1569" s="352" t="s">
        <v>2860</v>
      </c>
      <c r="C1569" s="354" t="s">
        <v>2776</v>
      </c>
      <c r="D1569" s="354" t="s">
        <v>2882</v>
      </c>
      <c r="E1569" s="75" t="str">
        <f>VLOOKUP(B1569&amp;C1569,Divipola!$C$2:$F$1138,4,FALSE)</f>
        <v>63001</v>
      </c>
      <c r="F1569" s="87"/>
      <c r="G1569" s="87"/>
      <c r="H1569" s="87"/>
      <c r="I1569" s="87">
        <v>395</v>
      </c>
      <c r="J1569" s="87">
        <v>79</v>
      </c>
      <c r="K1569" s="87"/>
      <c r="L1569" s="87">
        <v>79</v>
      </c>
      <c r="M1569" s="87"/>
      <c r="N1569" s="87"/>
      <c r="O1569" s="87"/>
      <c r="P1569" s="87"/>
      <c r="Q1569" s="87"/>
      <c r="R1569" s="87">
        <v>1</v>
      </c>
      <c r="S1569" s="87"/>
      <c r="T1569" s="87"/>
      <c r="U1569" s="88"/>
      <c r="V1569" s="89">
        <v>1</v>
      </c>
      <c r="W1569" s="96">
        <v>0</v>
      </c>
      <c r="X1569" s="71">
        <f>CU1569</f>
        <v>0</v>
      </c>
      <c r="Y1569" s="71">
        <f>CY1569</f>
        <v>0</v>
      </c>
      <c r="Z1569" s="71">
        <f>DA1569+DC1569+DE1569</f>
        <v>0</v>
      </c>
      <c r="AA1569" s="71">
        <f>CW1569</f>
        <v>0</v>
      </c>
      <c r="AB1569" s="71"/>
      <c r="AC1569" s="71">
        <v>0</v>
      </c>
      <c r="AD1569" s="71">
        <f>W1569+X1569+Y1569+Z1569+AA1569+AB1569+AC1569</f>
        <v>0</v>
      </c>
      <c r="AE1569" s="72">
        <v>0</v>
      </c>
      <c r="AF1569" s="5"/>
      <c r="AG1569" s="6"/>
      <c r="AH1569" s="27" t="s">
        <v>3390</v>
      </c>
      <c r="AI1569" s="44" t="s">
        <v>3393</v>
      </c>
      <c r="AJ1569" s="26"/>
      <c r="AK1569" s="5" t="s">
        <v>4242</v>
      </c>
      <c r="AL1569" s="82" t="s">
        <v>4367</v>
      </c>
      <c r="AM1569" s="76"/>
      <c r="AN1569" s="76"/>
      <c r="AO1569" s="76"/>
      <c r="AP1569" s="76"/>
      <c r="AQ1569" s="76"/>
      <c r="AR1569" s="76"/>
      <c r="AS1569" s="76"/>
      <c r="AT1569" s="76"/>
      <c r="AU1569" s="76"/>
      <c r="AV1569" s="76"/>
      <c r="AW1569" s="76"/>
      <c r="AX1569" s="76">
        <f>+AW1569*600000</f>
        <v>0</v>
      </c>
      <c r="AY1569" s="76"/>
      <c r="AZ1569" s="76">
        <f>+AY1569*70000</f>
        <v>0</v>
      </c>
      <c r="BA1569" s="76"/>
      <c r="BB1569" s="76"/>
      <c r="BC1569" s="76"/>
      <c r="BD1569" s="76">
        <f>+BC1569*30000</f>
        <v>0</v>
      </c>
      <c r="BE1569" s="76"/>
      <c r="BF1569" s="76"/>
      <c r="BG1569" s="76"/>
      <c r="BH1569" s="76"/>
      <c r="BI1569" s="76"/>
      <c r="BJ1569" s="76"/>
      <c r="BK1569" s="76"/>
      <c r="BL1569" s="76">
        <f>+BK1569*31500</f>
        <v>0</v>
      </c>
      <c r="BM1569" s="76"/>
      <c r="BN1569" s="76"/>
      <c r="BO1569" s="76"/>
      <c r="BP1569" s="76"/>
      <c r="BQ1569" s="76"/>
      <c r="BR1569" s="76"/>
      <c r="BS1569" s="76"/>
      <c r="BT1569" s="76"/>
      <c r="BU1569" s="76"/>
      <c r="BV1569" s="76"/>
      <c r="BW1569" s="76"/>
      <c r="BX1569" s="76"/>
      <c r="BY1569" s="76"/>
      <c r="BZ1569" s="76"/>
      <c r="CA1569" s="76"/>
      <c r="CB1569" s="76"/>
      <c r="CC1569" s="76"/>
      <c r="CD1569" s="76"/>
      <c r="CE1569" s="76"/>
      <c r="CF1569" s="76">
        <f>+CE1569*28000</f>
        <v>0</v>
      </c>
      <c r="CG1569" s="76"/>
      <c r="CH1569" s="76">
        <f>+CG1569*22500</f>
        <v>0</v>
      </c>
      <c r="CI1569" s="76"/>
      <c r="CJ1569" s="76">
        <f>+CI1569*26000</f>
        <v>0</v>
      </c>
      <c r="CK1569" s="76"/>
      <c r="CL1569" s="76"/>
      <c r="CM1569" s="76"/>
      <c r="CN1569" s="76">
        <f>+CM1569*22000</f>
        <v>0</v>
      </c>
      <c r="CO1569" s="76"/>
      <c r="CP1569" s="76">
        <f>+CO1569*46000</f>
        <v>0</v>
      </c>
      <c r="CQ1569" s="76"/>
      <c r="CR1569" s="76">
        <f>+CQ1569*49000</f>
        <v>0</v>
      </c>
      <c r="CS1569" s="76"/>
      <c r="CT1569" s="76"/>
      <c r="CU1569" s="56">
        <f>AN1569+AP1569+AR1569+AT1569+AV1569+AX1569+AZ1569+BB1569+BD1569+BF1569+BH1569+BJ1569+BL1569+BN1569+BP1569+BR1569+BT1569+BV1569+BX1569+BZ1569+CB1569+CD1569+CF1569+CH1569+CJ1569+CL1569+CN1569+CP1569+CR1569+CT1569</f>
        <v>0</v>
      </c>
      <c r="CV1569" s="76"/>
      <c r="CW1569" s="76">
        <f>+CV1569*1100</f>
        <v>0</v>
      </c>
      <c r="CX1569" s="76"/>
      <c r="CY1569" s="76">
        <f>+CX1569*106250</f>
        <v>0</v>
      </c>
      <c r="CZ1569" s="76"/>
      <c r="DA1569" s="76">
        <f>+CZ1569*34500</f>
        <v>0</v>
      </c>
      <c r="DB1569" s="76"/>
      <c r="DC1569" s="76">
        <f>+DB1569*25000</f>
        <v>0</v>
      </c>
      <c r="DD1569" s="219"/>
      <c r="DE1569" s="219"/>
      <c r="DF1569" s="166"/>
      <c r="DG1569" s="116"/>
      <c r="DH1569" s="117"/>
      <c r="DI1569" s="24"/>
      <c r="DJ1569" s="24"/>
      <c r="DK1569" s="24"/>
      <c r="DL1569" s="24"/>
      <c r="DM1569" s="24"/>
      <c r="DN1569" s="24"/>
      <c r="DO1569" s="24"/>
      <c r="DP1569" s="24"/>
      <c r="DQ1569" s="24"/>
      <c r="DR1569" s="24"/>
      <c r="DS1569" s="24"/>
      <c r="DT1569" s="24"/>
      <c r="DU1569" s="24"/>
    </row>
    <row r="1570" spans="1:125" s="8" customFormat="1" x14ac:dyDescent="0.2">
      <c r="A1570" s="77">
        <v>41386</v>
      </c>
      <c r="B1570" s="78" t="s">
        <v>2851</v>
      </c>
      <c r="C1570" s="75" t="s">
        <v>1956</v>
      </c>
      <c r="D1570" s="75" t="s">
        <v>3051</v>
      </c>
      <c r="E1570" s="75" t="str">
        <f>VLOOKUP(B1570&amp;C1570,Divipola!$C$2:$F$1138,4,FALSE)</f>
        <v>76563</v>
      </c>
      <c r="F1570" s="163"/>
      <c r="G1570" s="163"/>
      <c r="H1570" s="163"/>
      <c r="I1570" s="163">
        <f>44*5</f>
        <v>220</v>
      </c>
      <c r="J1570" s="163">
        <v>44</v>
      </c>
      <c r="K1570" s="163"/>
      <c r="L1570" s="163">
        <v>44</v>
      </c>
      <c r="M1570" s="163"/>
      <c r="N1570" s="163"/>
      <c r="O1570" s="163"/>
      <c r="P1570" s="163"/>
      <c r="Q1570" s="163"/>
      <c r="R1570" s="163"/>
      <c r="S1570" s="163"/>
      <c r="T1570" s="163"/>
      <c r="U1570" s="163"/>
      <c r="V1570" s="134"/>
      <c r="W1570" s="96">
        <v>0</v>
      </c>
      <c r="X1570" s="71">
        <f>CU1570</f>
        <v>13303821.920000002</v>
      </c>
      <c r="Y1570" s="71">
        <f>CY1570</f>
        <v>4620110</v>
      </c>
      <c r="Z1570" s="71">
        <f>DA1570+DC1570+DE1570</f>
        <v>50564956.800000004</v>
      </c>
      <c r="AA1570" s="71">
        <f>CW1570</f>
        <v>0</v>
      </c>
      <c r="AB1570" s="71"/>
      <c r="AC1570" s="71">
        <v>0</v>
      </c>
      <c r="AD1570" s="71">
        <f>W1570+X1570+Y1570+Z1570+AA1570+AB1570+AC1570</f>
        <v>68488888.719999999</v>
      </c>
      <c r="AE1570" s="72">
        <v>0</v>
      </c>
      <c r="AF1570" s="5"/>
      <c r="AG1570" s="6"/>
      <c r="AH1570" s="27" t="s">
        <v>3390</v>
      </c>
      <c r="AI1570" s="44" t="s">
        <v>3391</v>
      </c>
      <c r="AJ1570" s="26"/>
      <c r="AK1570" s="5"/>
      <c r="AL1570" s="82"/>
      <c r="AM1570" s="76"/>
      <c r="AN1570" s="76"/>
      <c r="AO1570" s="76"/>
      <c r="AP1570" s="76"/>
      <c r="AQ1570" s="76"/>
      <c r="AR1570" s="76"/>
      <c r="AS1570" s="76"/>
      <c r="AT1570" s="76"/>
      <c r="AU1570" s="76"/>
      <c r="AV1570" s="76"/>
      <c r="AW1570" s="76"/>
      <c r="AX1570" s="76">
        <f>+AW1570*600000</f>
        <v>0</v>
      </c>
      <c r="AY1570" s="86">
        <v>114</v>
      </c>
      <c r="AZ1570" s="86">
        <f>+AY1570*69999.04</f>
        <v>7979890.5599999996</v>
      </c>
      <c r="BA1570" s="76"/>
      <c r="BB1570" s="76"/>
      <c r="BC1570" s="76"/>
      <c r="BD1570" s="76">
        <f>+BC1570*30000</f>
        <v>0</v>
      </c>
      <c r="BE1570" s="76"/>
      <c r="BF1570" s="76"/>
      <c r="BG1570" s="76"/>
      <c r="BH1570" s="76"/>
      <c r="BI1570" s="76"/>
      <c r="BJ1570" s="76"/>
      <c r="BK1570" s="76"/>
      <c r="BL1570" s="76">
        <f>+BK1570*31500</f>
        <v>0</v>
      </c>
      <c r="BM1570" s="76"/>
      <c r="BN1570" s="76"/>
      <c r="BO1570" s="76"/>
      <c r="BP1570" s="76"/>
      <c r="BQ1570" s="76"/>
      <c r="BR1570" s="76"/>
      <c r="BS1570" s="76"/>
      <c r="BT1570" s="76"/>
      <c r="BU1570" s="76"/>
      <c r="BV1570" s="76"/>
      <c r="BW1570" s="76"/>
      <c r="BX1570" s="76"/>
      <c r="BY1570" s="76"/>
      <c r="BZ1570" s="76"/>
      <c r="CA1570" s="76"/>
      <c r="CB1570" s="76"/>
      <c r="CC1570" s="76"/>
      <c r="CD1570" s="76"/>
      <c r="CE1570" s="76"/>
      <c r="CF1570" s="76">
        <f>+CE1570*28000</f>
        <v>0</v>
      </c>
      <c r="CG1570" s="76"/>
      <c r="CH1570" s="76">
        <f>+CG1570*22500</f>
        <v>0</v>
      </c>
      <c r="CI1570" s="86">
        <v>44</v>
      </c>
      <c r="CJ1570" s="86">
        <f>+CI1570*25999.08</f>
        <v>1143959.52</v>
      </c>
      <c r="CK1570" s="76"/>
      <c r="CL1570" s="76"/>
      <c r="CM1570" s="76"/>
      <c r="CN1570" s="76">
        <f>+CM1570*22000</f>
        <v>0</v>
      </c>
      <c r="CO1570" s="86">
        <v>44</v>
      </c>
      <c r="CP1570" s="86">
        <f>+CO1570*45999.8</f>
        <v>2023991.2000000002</v>
      </c>
      <c r="CQ1570" s="86">
        <v>44</v>
      </c>
      <c r="CR1570" s="86">
        <f>+CQ1570*48999.56</f>
        <v>2155980.6399999997</v>
      </c>
      <c r="CS1570" s="76"/>
      <c r="CT1570" s="76"/>
      <c r="CU1570" s="56">
        <f>AN1570+AP1570+AR1570+AT1570+AV1570+AX1570+AZ1570+BB1570+BD1570+BF1570+BH1570+BJ1570+BL1570+BN1570+BP1570+BR1570+BT1570+BV1570+BX1570+BZ1570+CB1570+CD1570+CF1570+CH1570+CJ1570+CL1570+CN1570+CP1570+CR1570+CT1570</f>
        <v>13303821.920000002</v>
      </c>
      <c r="CV1570" s="76"/>
      <c r="CW1570" s="76">
        <f>+CV1570*1100</f>
        <v>0</v>
      </c>
      <c r="CX1570" s="86">
        <v>44</v>
      </c>
      <c r="CY1570" s="86">
        <f>+CX1570*105002.5</f>
        <v>4620110</v>
      </c>
      <c r="CZ1570" s="76"/>
      <c r="DA1570" s="76">
        <f>+CZ1570*34500</f>
        <v>0</v>
      </c>
      <c r="DB1570" s="211">
        <f>1440+120</f>
        <v>1560</v>
      </c>
      <c r="DC1570" s="86">
        <f>1440*30999.84+5760*199.52+120*39799.6</f>
        <v>50564956.800000004</v>
      </c>
      <c r="DD1570" s="219"/>
      <c r="DE1570" s="219"/>
      <c r="DF1570" s="166"/>
      <c r="DG1570" s="134" t="s">
        <v>5879</v>
      </c>
      <c r="DH1570" s="117"/>
      <c r="DI1570" s="24"/>
      <c r="DJ1570" s="24"/>
      <c r="DK1570" s="24"/>
      <c r="DL1570" s="24"/>
      <c r="DM1570" s="24"/>
      <c r="DN1570" s="24"/>
      <c r="DO1570" s="24"/>
      <c r="DP1570" s="24"/>
      <c r="DQ1570" s="24"/>
      <c r="DR1570" s="24"/>
      <c r="DS1570" s="24"/>
      <c r="DT1570" s="24"/>
      <c r="DU1570" s="24"/>
    </row>
    <row r="1571" spans="1:125" s="8" customFormat="1" ht="60" x14ac:dyDescent="0.2">
      <c r="A1571" s="353">
        <v>41387</v>
      </c>
      <c r="B1571" s="225" t="s">
        <v>2894</v>
      </c>
      <c r="C1571" s="227" t="s">
        <v>2355</v>
      </c>
      <c r="D1571" s="75" t="s">
        <v>3051</v>
      </c>
      <c r="E1571" s="75" t="str">
        <f>VLOOKUP(B1571&amp;C1571,Divipola!$C$2:$F$1138,4,FALSE)</f>
        <v>05045</v>
      </c>
      <c r="F1571" s="87"/>
      <c r="G1571" s="87"/>
      <c r="H1571" s="87"/>
      <c r="I1571" s="87">
        <v>258</v>
      </c>
      <c r="J1571" s="87">
        <v>51</v>
      </c>
      <c r="K1571" s="87"/>
      <c r="L1571" s="87">
        <v>51</v>
      </c>
      <c r="M1571" s="87"/>
      <c r="N1571" s="87"/>
      <c r="O1571" s="87"/>
      <c r="P1571" s="87"/>
      <c r="Q1571" s="87"/>
      <c r="R1571" s="87"/>
      <c r="S1571" s="87"/>
      <c r="T1571" s="87"/>
      <c r="U1571" s="88"/>
      <c r="V1571" s="89"/>
      <c r="W1571" s="96">
        <v>0</v>
      </c>
      <c r="X1571" s="71">
        <f>CU1571</f>
        <v>0</v>
      </c>
      <c r="Y1571" s="71">
        <f>CY1571</f>
        <v>0</v>
      </c>
      <c r="Z1571" s="71">
        <f>DA1571+DC1571+DE1571</f>
        <v>0</v>
      </c>
      <c r="AA1571" s="71">
        <f>CW1571</f>
        <v>0</v>
      </c>
      <c r="AB1571" s="71"/>
      <c r="AC1571" s="71">
        <v>0</v>
      </c>
      <c r="AD1571" s="71">
        <f>W1571+X1571+Y1571+Z1571+AA1571+AB1571+AC1571</f>
        <v>0</v>
      </c>
      <c r="AE1571" s="72">
        <v>0</v>
      </c>
      <c r="AF1571" s="5"/>
      <c r="AG1571" s="6"/>
      <c r="AH1571" s="27" t="s">
        <v>3392</v>
      </c>
      <c r="AI1571" s="44" t="s">
        <v>3393</v>
      </c>
      <c r="AJ1571" s="26"/>
      <c r="AK1571" s="5"/>
      <c r="AL1571" s="82" t="s">
        <v>4379</v>
      </c>
      <c r="AM1571" s="76"/>
      <c r="AN1571" s="76"/>
      <c r="AO1571" s="76"/>
      <c r="AP1571" s="76"/>
      <c r="AQ1571" s="76"/>
      <c r="AR1571" s="76"/>
      <c r="AS1571" s="76"/>
      <c r="AT1571" s="76"/>
      <c r="AU1571" s="76"/>
      <c r="AV1571" s="76"/>
      <c r="AW1571" s="76"/>
      <c r="AX1571" s="76">
        <f>+AW1571*600000</f>
        <v>0</v>
      </c>
      <c r="AY1571" s="76"/>
      <c r="AZ1571" s="76">
        <f>+AY1571*70000</f>
        <v>0</v>
      </c>
      <c r="BA1571" s="76"/>
      <c r="BB1571" s="76"/>
      <c r="BC1571" s="76"/>
      <c r="BD1571" s="76">
        <f>+BC1571*30000</f>
        <v>0</v>
      </c>
      <c r="BE1571" s="76"/>
      <c r="BF1571" s="76"/>
      <c r="BG1571" s="76"/>
      <c r="BH1571" s="76"/>
      <c r="BI1571" s="76"/>
      <c r="BJ1571" s="76"/>
      <c r="BK1571" s="76"/>
      <c r="BL1571" s="76">
        <f>+BK1571*31500</f>
        <v>0</v>
      </c>
      <c r="BM1571" s="76"/>
      <c r="BN1571" s="76"/>
      <c r="BO1571" s="76"/>
      <c r="BP1571" s="76"/>
      <c r="BQ1571" s="76"/>
      <c r="BR1571" s="76"/>
      <c r="BS1571" s="76"/>
      <c r="BT1571" s="76"/>
      <c r="BU1571" s="76"/>
      <c r="BV1571" s="76"/>
      <c r="BW1571" s="76"/>
      <c r="BX1571" s="76"/>
      <c r="BY1571" s="76"/>
      <c r="BZ1571" s="76"/>
      <c r="CA1571" s="76"/>
      <c r="CB1571" s="76"/>
      <c r="CC1571" s="76"/>
      <c r="CD1571" s="76"/>
      <c r="CE1571" s="76"/>
      <c r="CF1571" s="76">
        <f>+CE1571*28000</f>
        <v>0</v>
      </c>
      <c r="CG1571" s="76"/>
      <c r="CH1571" s="76">
        <f>+CG1571*22500</f>
        <v>0</v>
      </c>
      <c r="CI1571" s="76"/>
      <c r="CJ1571" s="76">
        <f>+CI1571*26000</f>
        <v>0</v>
      </c>
      <c r="CK1571" s="76"/>
      <c r="CL1571" s="76"/>
      <c r="CM1571" s="76"/>
      <c r="CN1571" s="76">
        <f>+CM1571*22000</f>
        <v>0</v>
      </c>
      <c r="CO1571" s="76"/>
      <c r="CP1571" s="76">
        <f>+CO1571*46000</f>
        <v>0</v>
      </c>
      <c r="CQ1571" s="76"/>
      <c r="CR1571" s="76">
        <f>+CQ1571*49000</f>
        <v>0</v>
      </c>
      <c r="CS1571" s="76"/>
      <c r="CT1571" s="76"/>
      <c r="CU1571" s="56">
        <f>AN1571+AP1571+AR1571+AT1571+AV1571+AX1571+AZ1571+BB1571+BD1571+BF1571+BH1571+BJ1571+BL1571+BN1571+BP1571+BR1571+BT1571+BV1571+BX1571+BZ1571+CB1571+CD1571+CF1571+CH1571+CJ1571+CL1571+CN1571+CP1571+CR1571+CT1571</f>
        <v>0</v>
      </c>
      <c r="CV1571" s="76"/>
      <c r="CW1571" s="76">
        <f>+CV1571*1100</f>
        <v>0</v>
      </c>
      <c r="CX1571" s="76"/>
      <c r="CY1571" s="76">
        <f>+CX1571*106250</f>
        <v>0</v>
      </c>
      <c r="CZ1571" s="76"/>
      <c r="DA1571" s="76">
        <f>+CZ1571*34500</f>
        <v>0</v>
      </c>
      <c r="DB1571" s="76"/>
      <c r="DC1571" s="76">
        <f>+DB1571*25000</f>
        <v>0</v>
      </c>
      <c r="DD1571" s="219"/>
      <c r="DE1571" s="219"/>
      <c r="DF1571" s="166"/>
      <c r="DG1571" s="116"/>
      <c r="DH1571" s="117"/>
      <c r="DI1571" s="24"/>
      <c r="DJ1571" s="24"/>
      <c r="DK1571" s="24"/>
      <c r="DL1571" s="24"/>
      <c r="DM1571" s="24"/>
      <c r="DN1571" s="24"/>
      <c r="DO1571" s="24"/>
      <c r="DP1571" s="24"/>
      <c r="DQ1571" s="24"/>
      <c r="DR1571" s="24"/>
      <c r="DS1571" s="24"/>
      <c r="DT1571" s="24"/>
      <c r="DU1571" s="24"/>
    </row>
    <row r="1572" spans="1:125" s="8" customFormat="1" ht="48" x14ac:dyDescent="0.2">
      <c r="A1572" s="353">
        <v>41387</v>
      </c>
      <c r="B1572" s="208" t="s">
        <v>2894</v>
      </c>
      <c r="C1572" s="227" t="s">
        <v>2415</v>
      </c>
      <c r="D1572" s="75" t="s">
        <v>3051</v>
      </c>
      <c r="E1572" s="75" t="str">
        <f>VLOOKUP(B1572&amp;C1572,Divipola!$C$2:$F$1138,4,FALSE)</f>
        <v>05172</v>
      </c>
      <c r="F1572" s="87"/>
      <c r="G1572" s="87"/>
      <c r="H1572" s="87"/>
      <c r="I1572" s="87">
        <v>625</v>
      </c>
      <c r="J1572" s="87">
        <v>125</v>
      </c>
      <c r="K1572" s="87"/>
      <c r="L1572" s="87">
        <v>125</v>
      </c>
      <c r="M1572" s="87"/>
      <c r="N1572" s="87"/>
      <c r="O1572" s="87"/>
      <c r="P1572" s="87"/>
      <c r="Q1572" s="87"/>
      <c r="R1572" s="87"/>
      <c r="S1572" s="87"/>
      <c r="T1572" s="87"/>
      <c r="U1572" s="88"/>
      <c r="V1572" s="89"/>
      <c r="W1572" s="96">
        <v>0</v>
      </c>
      <c r="X1572" s="71">
        <f>CU1572</f>
        <v>0</v>
      </c>
      <c r="Y1572" s="71">
        <f>CY1572</f>
        <v>0</v>
      </c>
      <c r="Z1572" s="71">
        <f>DA1572+DC1572+DE1572</f>
        <v>0</v>
      </c>
      <c r="AA1572" s="71">
        <f>CW1572</f>
        <v>0</v>
      </c>
      <c r="AB1572" s="71"/>
      <c r="AC1572" s="71">
        <v>0</v>
      </c>
      <c r="AD1572" s="71">
        <f>W1572+X1572+Y1572+Z1572+AA1572+AB1572+AC1572</f>
        <v>0</v>
      </c>
      <c r="AE1572" s="72">
        <v>0</v>
      </c>
      <c r="AF1572" s="5"/>
      <c r="AG1572" s="6"/>
      <c r="AH1572" s="27" t="s">
        <v>3392</v>
      </c>
      <c r="AI1572" s="44" t="s">
        <v>3393</v>
      </c>
      <c r="AJ1572" s="26"/>
      <c r="AK1572" s="5"/>
      <c r="AL1572" s="82" t="s">
        <v>4409</v>
      </c>
      <c r="AM1572" s="76"/>
      <c r="AN1572" s="76"/>
      <c r="AO1572" s="76"/>
      <c r="AP1572" s="76"/>
      <c r="AQ1572" s="76"/>
      <c r="AR1572" s="76"/>
      <c r="AS1572" s="76"/>
      <c r="AT1572" s="76"/>
      <c r="AU1572" s="76"/>
      <c r="AV1572" s="76"/>
      <c r="AW1572" s="76"/>
      <c r="AX1572" s="76">
        <f>+AW1572*600000</f>
        <v>0</v>
      </c>
      <c r="AY1572" s="76"/>
      <c r="AZ1572" s="76">
        <f>+AY1572*70000</f>
        <v>0</v>
      </c>
      <c r="BA1572" s="76"/>
      <c r="BB1572" s="76"/>
      <c r="BC1572" s="76"/>
      <c r="BD1572" s="76">
        <f>+BC1572*30000</f>
        <v>0</v>
      </c>
      <c r="BE1572" s="76"/>
      <c r="BF1572" s="76"/>
      <c r="BG1572" s="76"/>
      <c r="BH1572" s="76"/>
      <c r="BI1572" s="76"/>
      <c r="BJ1572" s="76"/>
      <c r="BK1572" s="76"/>
      <c r="BL1572" s="76">
        <f>+BK1572*31500</f>
        <v>0</v>
      </c>
      <c r="BM1572" s="76"/>
      <c r="BN1572" s="76"/>
      <c r="BO1572" s="76"/>
      <c r="BP1572" s="76"/>
      <c r="BQ1572" s="76"/>
      <c r="BR1572" s="76"/>
      <c r="BS1572" s="76"/>
      <c r="BT1572" s="76"/>
      <c r="BU1572" s="76"/>
      <c r="BV1572" s="76"/>
      <c r="BW1572" s="76"/>
      <c r="BX1572" s="76"/>
      <c r="BY1572" s="76"/>
      <c r="BZ1572" s="76"/>
      <c r="CA1572" s="76"/>
      <c r="CB1572" s="76"/>
      <c r="CC1572" s="76"/>
      <c r="CD1572" s="76"/>
      <c r="CE1572" s="76"/>
      <c r="CF1572" s="76">
        <f>+CE1572*28000</f>
        <v>0</v>
      </c>
      <c r="CG1572" s="76"/>
      <c r="CH1572" s="76">
        <f>+CG1572*22500</f>
        <v>0</v>
      </c>
      <c r="CI1572" s="76"/>
      <c r="CJ1572" s="76">
        <f>+CI1572*26000</f>
        <v>0</v>
      </c>
      <c r="CK1572" s="76"/>
      <c r="CL1572" s="76"/>
      <c r="CM1572" s="76"/>
      <c r="CN1572" s="76">
        <f>+CM1572*22000</f>
        <v>0</v>
      </c>
      <c r="CO1572" s="76"/>
      <c r="CP1572" s="76">
        <f>+CO1572*46000</f>
        <v>0</v>
      </c>
      <c r="CQ1572" s="76"/>
      <c r="CR1572" s="76">
        <f>+CQ1572*49000</f>
        <v>0</v>
      </c>
      <c r="CS1572" s="76"/>
      <c r="CT1572" s="76"/>
      <c r="CU1572" s="56">
        <f>AN1572+AP1572+AR1572+AT1572+AV1572+AX1572+AZ1572+BB1572+BD1572+BF1572+BH1572+BJ1572+BL1572+BN1572+BP1572+BR1572+BT1572+BV1572+BX1572+BZ1572+CB1572+CD1572+CF1572+CH1572+CJ1572+CL1572+CN1572+CP1572+CR1572+CT1572</f>
        <v>0</v>
      </c>
      <c r="CV1572" s="76"/>
      <c r="CW1572" s="76">
        <f>+CV1572*1100</f>
        <v>0</v>
      </c>
      <c r="CX1572" s="76"/>
      <c r="CY1572" s="76">
        <f>+CX1572*106250</f>
        <v>0</v>
      </c>
      <c r="CZ1572" s="76"/>
      <c r="DA1572" s="76">
        <f>+CZ1572*34500</f>
        <v>0</v>
      </c>
      <c r="DB1572" s="76"/>
      <c r="DC1572" s="76">
        <f>+DB1572*25000</f>
        <v>0</v>
      </c>
      <c r="DD1572" s="219"/>
      <c r="DE1572" s="219"/>
      <c r="DF1572" s="166"/>
      <c r="DG1572" s="116"/>
      <c r="DH1572" s="117"/>
      <c r="DI1572" s="24"/>
      <c r="DJ1572" s="24"/>
      <c r="DK1572" s="24"/>
      <c r="DL1572" s="24"/>
      <c r="DM1572" s="24"/>
      <c r="DN1572" s="24"/>
      <c r="DO1572" s="24"/>
      <c r="DP1572" s="24"/>
      <c r="DQ1572" s="24"/>
      <c r="DR1572" s="24"/>
      <c r="DS1572" s="24"/>
      <c r="DT1572" s="24"/>
      <c r="DU1572" s="24"/>
    </row>
    <row r="1573" spans="1:125" s="8" customFormat="1" ht="84" x14ac:dyDescent="0.2">
      <c r="A1573" s="353">
        <v>41387</v>
      </c>
      <c r="B1573" s="352" t="s">
        <v>2894</v>
      </c>
      <c r="C1573" s="354" t="s">
        <v>2615</v>
      </c>
      <c r="D1573" s="75" t="s">
        <v>3051</v>
      </c>
      <c r="E1573" s="75" t="str">
        <f>VLOOKUP(B1573&amp;C1573,Divipola!$C$2:$F$1138,4,FALSE)</f>
        <v>05837</v>
      </c>
      <c r="F1573" s="87"/>
      <c r="G1573" s="87"/>
      <c r="H1573" s="87"/>
      <c r="I1573" s="87"/>
      <c r="J1573" s="87"/>
      <c r="K1573" s="87"/>
      <c r="L1573" s="87"/>
      <c r="M1573" s="87"/>
      <c r="N1573" s="87"/>
      <c r="O1573" s="87"/>
      <c r="P1573" s="87"/>
      <c r="Q1573" s="87"/>
      <c r="R1573" s="87"/>
      <c r="S1573" s="87"/>
      <c r="T1573" s="87"/>
      <c r="U1573" s="88"/>
      <c r="V1573" s="89"/>
      <c r="W1573" s="96">
        <v>0</v>
      </c>
      <c r="X1573" s="71">
        <f>CU1573</f>
        <v>0</v>
      </c>
      <c r="Y1573" s="71">
        <f>CY1573</f>
        <v>0</v>
      </c>
      <c r="Z1573" s="71">
        <f>DA1573+DC1573+DE1573</f>
        <v>0</v>
      </c>
      <c r="AA1573" s="71">
        <f>CW1573</f>
        <v>0</v>
      </c>
      <c r="AB1573" s="71"/>
      <c r="AC1573" s="71">
        <v>0</v>
      </c>
      <c r="AD1573" s="71">
        <f>W1573+X1573+Y1573+Z1573+AA1573+AB1573+AC1573</f>
        <v>0</v>
      </c>
      <c r="AE1573" s="72">
        <v>0</v>
      </c>
      <c r="AF1573" s="5"/>
      <c r="AG1573" s="6"/>
      <c r="AH1573" s="27" t="s">
        <v>3392</v>
      </c>
      <c r="AI1573" s="44" t="s">
        <v>3393</v>
      </c>
      <c r="AJ1573" s="26"/>
      <c r="AK1573" s="5"/>
      <c r="AL1573" s="82" t="s">
        <v>4380</v>
      </c>
      <c r="AM1573" s="76"/>
      <c r="AN1573" s="76"/>
      <c r="AO1573" s="76"/>
      <c r="AP1573" s="76"/>
      <c r="AQ1573" s="76"/>
      <c r="AR1573" s="76"/>
      <c r="AS1573" s="76"/>
      <c r="AT1573" s="76"/>
      <c r="AU1573" s="76"/>
      <c r="AV1573" s="76"/>
      <c r="AW1573" s="76"/>
      <c r="AX1573" s="76">
        <f>+AW1573*600000</f>
        <v>0</v>
      </c>
      <c r="AY1573" s="76"/>
      <c r="AZ1573" s="76">
        <f>+AY1573*70000</f>
        <v>0</v>
      </c>
      <c r="BA1573" s="76"/>
      <c r="BB1573" s="76"/>
      <c r="BC1573" s="76"/>
      <c r="BD1573" s="76">
        <f>+BC1573*30000</f>
        <v>0</v>
      </c>
      <c r="BE1573" s="76"/>
      <c r="BF1573" s="76"/>
      <c r="BG1573" s="76"/>
      <c r="BH1573" s="76"/>
      <c r="BI1573" s="76"/>
      <c r="BJ1573" s="76"/>
      <c r="BK1573" s="76"/>
      <c r="BL1573" s="76">
        <f>+BK1573*31500</f>
        <v>0</v>
      </c>
      <c r="BM1573" s="76"/>
      <c r="BN1573" s="76"/>
      <c r="BO1573" s="76"/>
      <c r="BP1573" s="76"/>
      <c r="BQ1573" s="76"/>
      <c r="BR1573" s="76"/>
      <c r="BS1573" s="76"/>
      <c r="BT1573" s="76"/>
      <c r="BU1573" s="76"/>
      <c r="BV1573" s="76"/>
      <c r="BW1573" s="76"/>
      <c r="BX1573" s="76"/>
      <c r="BY1573" s="76"/>
      <c r="BZ1573" s="76"/>
      <c r="CA1573" s="76"/>
      <c r="CB1573" s="76"/>
      <c r="CC1573" s="76"/>
      <c r="CD1573" s="76"/>
      <c r="CE1573" s="76"/>
      <c r="CF1573" s="76">
        <f>+CE1573*28000</f>
        <v>0</v>
      </c>
      <c r="CG1573" s="76"/>
      <c r="CH1573" s="76">
        <f>+CG1573*22500</f>
        <v>0</v>
      </c>
      <c r="CI1573" s="76"/>
      <c r="CJ1573" s="76">
        <f>+CI1573*26000</f>
        <v>0</v>
      </c>
      <c r="CK1573" s="76"/>
      <c r="CL1573" s="76"/>
      <c r="CM1573" s="76"/>
      <c r="CN1573" s="76">
        <f>+CM1573*22000</f>
        <v>0</v>
      </c>
      <c r="CO1573" s="76"/>
      <c r="CP1573" s="76">
        <f>+CO1573*46000</f>
        <v>0</v>
      </c>
      <c r="CQ1573" s="76"/>
      <c r="CR1573" s="76">
        <f>+CQ1573*49000</f>
        <v>0</v>
      </c>
      <c r="CS1573" s="76"/>
      <c r="CT1573" s="76"/>
      <c r="CU1573" s="56">
        <f>AN1573+AP1573+AR1573+AT1573+AV1573+AX1573+AZ1573+BB1573+BD1573+BF1573+BH1573+BJ1573+BL1573+BN1573+BP1573+BR1573+BT1573+BV1573+BX1573+BZ1573+CB1573+CD1573+CF1573+CH1573+CJ1573+CL1573+CN1573+CP1573+CR1573+CT1573</f>
        <v>0</v>
      </c>
      <c r="CV1573" s="76"/>
      <c r="CW1573" s="76">
        <f>+CV1573*1100</f>
        <v>0</v>
      </c>
      <c r="CX1573" s="76"/>
      <c r="CY1573" s="76">
        <f>+CX1573*106250</f>
        <v>0</v>
      </c>
      <c r="CZ1573" s="76"/>
      <c r="DA1573" s="76">
        <f>+CZ1573*34500</f>
        <v>0</v>
      </c>
      <c r="DB1573" s="76"/>
      <c r="DC1573" s="76">
        <f>+DB1573*25000</f>
        <v>0</v>
      </c>
      <c r="DD1573" s="219"/>
      <c r="DE1573" s="219"/>
      <c r="DF1573" s="166"/>
      <c r="DG1573" s="116"/>
      <c r="DH1573" s="117"/>
      <c r="DI1573" s="24"/>
      <c r="DJ1573" s="24"/>
      <c r="DK1573" s="24"/>
      <c r="DL1573" s="24"/>
      <c r="DM1573" s="24"/>
      <c r="DN1573" s="24"/>
      <c r="DO1573" s="24"/>
      <c r="DP1573" s="24"/>
      <c r="DQ1573" s="24"/>
      <c r="DR1573" s="24"/>
      <c r="DS1573" s="24"/>
      <c r="DT1573" s="24"/>
      <c r="DU1573" s="24"/>
    </row>
    <row r="1574" spans="1:125" s="8" customFormat="1" ht="60" x14ac:dyDescent="0.2">
      <c r="A1574" s="77">
        <v>41387</v>
      </c>
      <c r="B1574" s="78" t="s">
        <v>2854</v>
      </c>
      <c r="C1574" s="75" t="s">
        <v>1326</v>
      </c>
      <c r="D1574" s="84" t="s">
        <v>3051</v>
      </c>
      <c r="E1574" s="75" t="str">
        <f>VLOOKUP(B1574&amp;C1574,Divipola!$C$2:$F$1138,4,FALSE)</f>
        <v>19785</v>
      </c>
      <c r="F1574" s="163"/>
      <c r="G1574" s="163"/>
      <c r="H1574" s="163"/>
      <c r="I1574" s="163">
        <v>350</v>
      </c>
      <c r="J1574" s="163">
        <v>70</v>
      </c>
      <c r="K1574" s="163"/>
      <c r="L1574" s="163">
        <v>70</v>
      </c>
      <c r="M1574" s="163"/>
      <c r="N1574" s="163"/>
      <c r="O1574" s="163"/>
      <c r="P1574" s="163"/>
      <c r="Q1574" s="163"/>
      <c r="R1574" s="163"/>
      <c r="S1574" s="163"/>
      <c r="T1574" s="163"/>
      <c r="U1574" s="163"/>
      <c r="V1574" s="134"/>
      <c r="W1574" s="96">
        <v>0</v>
      </c>
      <c r="X1574" s="71">
        <f>CU1574</f>
        <v>0</v>
      </c>
      <c r="Y1574" s="71">
        <f>CY1574</f>
        <v>0</v>
      </c>
      <c r="Z1574" s="71">
        <f>DA1574+DC1574+DE1574</f>
        <v>0</v>
      </c>
      <c r="AA1574" s="71">
        <f>CW1574</f>
        <v>0</v>
      </c>
      <c r="AB1574" s="71"/>
      <c r="AC1574" s="71">
        <v>0</v>
      </c>
      <c r="AD1574" s="71">
        <f>W1574+X1574+Y1574+Z1574+AA1574+AB1574+AC1574</f>
        <v>0</v>
      </c>
      <c r="AE1574" s="72">
        <v>0</v>
      </c>
      <c r="AF1574" s="5"/>
      <c r="AG1574" s="6"/>
      <c r="AH1574" s="27" t="s">
        <v>3390</v>
      </c>
      <c r="AI1574" s="44" t="s">
        <v>3393</v>
      </c>
      <c r="AJ1574" s="26"/>
      <c r="AK1574" s="5" t="s">
        <v>4242</v>
      </c>
      <c r="AL1574" s="82" t="s">
        <v>4675</v>
      </c>
      <c r="AM1574" s="76"/>
      <c r="AN1574" s="76"/>
      <c r="AO1574" s="76"/>
      <c r="AP1574" s="76"/>
      <c r="AQ1574" s="76"/>
      <c r="AR1574" s="76"/>
      <c r="AS1574" s="76"/>
      <c r="AT1574" s="76"/>
      <c r="AU1574" s="76"/>
      <c r="AV1574" s="76"/>
      <c r="AW1574" s="76"/>
      <c r="AX1574" s="76">
        <f>+AW1574*600000</f>
        <v>0</v>
      </c>
      <c r="AY1574" s="76"/>
      <c r="AZ1574" s="76">
        <f>+AY1574*70000</f>
        <v>0</v>
      </c>
      <c r="BA1574" s="76"/>
      <c r="BB1574" s="76"/>
      <c r="BC1574" s="76"/>
      <c r="BD1574" s="76">
        <f>+BC1574*30000</f>
        <v>0</v>
      </c>
      <c r="BE1574" s="76"/>
      <c r="BF1574" s="76"/>
      <c r="BG1574" s="76"/>
      <c r="BH1574" s="76"/>
      <c r="BI1574" s="76"/>
      <c r="BJ1574" s="76"/>
      <c r="BK1574" s="76"/>
      <c r="BL1574" s="76">
        <f>+BK1574*31500</f>
        <v>0</v>
      </c>
      <c r="BM1574" s="76"/>
      <c r="BN1574" s="76"/>
      <c r="BO1574" s="76"/>
      <c r="BP1574" s="76"/>
      <c r="BQ1574" s="76"/>
      <c r="BR1574" s="76"/>
      <c r="BS1574" s="76"/>
      <c r="BT1574" s="76"/>
      <c r="BU1574" s="76"/>
      <c r="BV1574" s="76"/>
      <c r="BW1574" s="76"/>
      <c r="BX1574" s="76"/>
      <c r="BY1574" s="76"/>
      <c r="BZ1574" s="76"/>
      <c r="CA1574" s="76"/>
      <c r="CB1574" s="76"/>
      <c r="CC1574" s="76"/>
      <c r="CD1574" s="76"/>
      <c r="CE1574" s="76"/>
      <c r="CF1574" s="76">
        <f>+CE1574*28000</f>
        <v>0</v>
      </c>
      <c r="CG1574" s="76"/>
      <c r="CH1574" s="76">
        <f>+CG1574*22500</f>
        <v>0</v>
      </c>
      <c r="CI1574" s="76"/>
      <c r="CJ1574" s="76">
        <f>+CI1574*26000</f>
        <v>0</v>
      </c>
      <c r="CK1574" s="76"/>
      <c r="CL1574" s="76"/>
      <c r="CM1574" s="76"/>
      <c r="CN1574" s="76">
        <f>+CM1574*22000</f>
        <v>0</v>
      </c>
      <c r="CO1574" s="76"/>
      <c r="CP1574" s="76">
        <f>+CO1574*46000</f>
        <v>0</v>
      </c>
      <c r="CQ1574" s="76"/>
      <c r="CR1574" s="76">
        <f>+CQ1574*49000</f>
        <v>0</v>
      </c>
      <c r="CS1574" s="76"/>
      <c r="CT1574" s="76"/>
      <c r="CU1574" s="56">
        <f>AN1574+AP1574+AR1574+AT1574+AV1574+AX1574+AZ1574+BB1574+BD1574+BF1574+BH1574+BJ1574+BL1574+BN1574+BP1574+BR1574+BT1574+BV1574+BX1574+BZ1574+CB1574+CD1574+CF1574+CH1574+CJ1574+CL1574+CN1574+CP1574+CR1574+CT1574</f>
        <v>0</v>
      </c>
      <c r="CV1574" s="76"/>
      <c r="CW1574" s="76">
        <f>+CV1574*1100</f>
        <v>0</v>
      </c>
      <c r="CX1574" s="76"/>
      <c r="CY1574" s="76">
        <f>+CX1574*106250</f>
        <v>0</v>
      </c>
      <c r="CZ1574" s="76"/>
      <c r="DA1574" s="76">
        <f>+CZ1574*34500</f>
        <v>0</v>
      </c>
      <c r="DB1574" s="76"/>
      <c r="DC1574" s="76">
        <f>+DB1574*25000</f>
        <v>0</v>
      </c>
      <c r="DD1574" s="219"/>
      <c r="DE1574" s="219"/>
      <c r="DF1574" s="166"/>
      <c r="DG1574" s="116"/>
      <c r="DH1574" s="117"/>
      <c r="DI1574" s="24"/>
      <c r="DJ1574" s="24"/>
      <c r="DK1574" s="24"/>
      <c r="DL1574" s="24"/>
      <c r="DM1574" s="24"/>
      <c r="DN1574" s="24"/>
      <c r="DO1574" s="24"/>
      <c r="DP1574" s="24"/>
      <c r="DQ1574" s="24"/>
      <c r="DR1574" s="24"/>
      <c r="DS1574" s="24"/>
      <c r="DT1574" s="24"/>
      <c r="DU1574" s="24"/>
    </row>
    <row r="1575" spans="1:125" s="8" customFormat="1" ht="120" x14ac:dyDescent="0.2">
      <c r="A1575" s="353">
        <v>41387</v>
      </c>
      <c r="B1575" s="352" t="s">
        <v>2772</v>
      </c>
      <c r="C1575" s="354" t="s">
        <v>1010</v>
      </c>
      <c r="D1575" s="84" t="s">
        <v>3088</v>
      </c>
      <c r="E1575" s="75" t="str">
        <f>VLOOKUP(B1575&amp;C1575,Divipola!$C$2:$F$1138,4,FALSE)</f>
        <v>25001</v>
      </c>
      <c r="F1575" s="87"/>
      <c r="G1575" s="87"/>
      <c r="H1575" s="87"/>
      <c r="I1575" s="87"/>
      <c r="J1575" s="87"/>
      <c r="K1575" s="87"/>
      <c r="L1575" s="87"/>
      <c r="M1575" s="87">
        <v>3</v>
      </c>
      <c r="N1575" s="87"/>
      <c r="O1575" s="87"/>
      <c r="P1575" s="87"/>
      <c r="Q1575" s="87"/>
      <c r="R1575" s="87"/>
      <c r="S1575" s="87"/>
      <c r="T1575" s="87"/>
      <c r="U1575" s="88"/>
      <c r="V1575" s="89"/>
      <c r="W1575" s="96">
        <v>0</v>
      </c>
      <c r="X1575" s="71">
        <f>CU1575</f>
        <v>0</v>
      </c>
      <c r="Y1575" s="71">
        <f>CY1575</f>
        <v>0</v>
      </c>
      <c r="Z1575" s="71">
        <f>DA1575+DC1575+DE1575</f>
        <v>0</v>
      </c>
      <c r="AA1575" s="71">
        <f>CW1575</f>
        <v>0</v>
      </c>
      <c r="AB1575" s="71"/>
      <c r="AC1575" s="71">
        <v>0</v>
      </c>
      <c r="AD1575" s="71">
        <f>W1575+X1575+Y1575+Z1575+AA1575+AB1575+AC1575</f>
        <v>0</v>
      </c>
      <c r="AE1575" s="72">
        <v>0</v>
      </c>
      <c r="AF1575" s="5"/>
      <c r="AG1575" s="6"/>
      <c r="AH1575" s="27" t="s">
        <v>3392</v>
      </c>
      <c r="AI1575" s="44" t="s">
        <v>3393</v>
      </c>
      <c r="AJ1575" s="26"/>
      <c r="AK1575" s="5"/>
      <c r="AL1575" s="82" t="s">
        <v>4374</v>
      </c>
      <c r="AM1575" s="76"/>
      <c r="AN1575" s="76"/>
      <c r="AO1575" s="76"/>
      <c r="AP1575" s="76"/>
      <c r="AQ1575" s="76"/>
      <c r="AR1575" s="76"/>
      <c r="AS1575" s="76"/>
      <c r="AT1575" s="76"/>
      <c r="AU1575" s="76"/>
      <c r="AV1575" s="76"/>
      <c r="AW1575" s="76"/>
      <c r="AX1575" s="76">
        <f>+AW1575*600000</f>
        <v>0</v>
      </c>
      <c r="AY1575" s="76"/>
      <c r="AZ1575" s="76">
        <f>+AY1575*70000</f>
        <v>0</v>
      </c>
      <c r="BA1575" s="76"/>
      <c r="BB1575" s="76"/>
      <c r="BC1575" s="76"/>
      <c r="BD1575" s="76">
        <f>+BC1575*30000</f>
        <v>0</v>
      </c>
      <c r="BE1575" s="76"/>
      <c r="BF1575" s="76"/>
      <c r="BG1575" s="76"/>
      <c r="BH1575" s="76"/>
      <c r="BI1575" s="76"/>
      <c r="BJ1575" s="76"/>
      <c r="BK1575" s="76"/>
      <c r="BL1575" s="76">
        <f>+BK1575*31500</f>
        <v>0</v>
      </c>
      <c r="BM1575" s="76"/>
      <c r="BN1575" s="76"/>
      <c r="BO1575" s="76"/>
      <c r="BP1575" s="76"/>
      <c r="BQ1575" s="76"/>
      <c r="BR1575" s="76"/>
      <c r="BS1575" s="76"/>
      <c r="BT1575" s="76"/>
      <c r="BU1575" s="76"/>
      <c r="BV1575" s="76"/>
      <c r="BW1575" s="76"/>
      <c r="BX1575" s="76"/>
      <c r="BY1575" s="76"/>
      <c r="BZ1575" s="76"/>
      <c r="CA1575" s="76"/>
      <c r="CB1575" s="76"/>
      <c r="CC1575" s="76"/>
      <c r="CD1575" s="76"/>
      <c r="CE1575" s="76"/>
      <c r="CF1575" s="76">
        <f>+CE1575*28000</f>
        <v>0</v>
      </c>
      <c r="CG1575" s="76"/>
      <c r="CH1575" s="76">
        <f>+CG1575*22500</f>
        <v>0</v>
      </c>
      <c r="CI1575" s="76"/>
      <c r="CJ1575" s="76">
        <f>+CI1575*26000</f>
        <v>0</v>
      </c>
      <c r="CK1575" s="76"/>
      <c r="CL1575" s="76"/>
      <c r="CM1575" s="76"/>
      <c r="CN1575" s="76">
        <f>+CM1575*22000</f>
        <v>0</v>
      </c>
      <c r="CO1575" s="76"/>
      <c r="CP1575" s="76">
        <f>+CO1575*46000</f>
        <v>0</v>
      </c>
      <c r="CQ1575" s="76"/>
      <c r="CR1575" s="76">
        <f>+CQ1575*49000</f>
        <v>0</v>
      </c>
      <c r="CS1575" s="76"/>
      <c r="CT1575" s="76"/>
      <c r="CU1575" s="56">
        <f>AN1575+AP1575+AR1575+AT1575+AV1575+AX1575+AZ1575+BB1575+BD1575+BF1575+BH1575+BJ1575+BL1575+BN1575+BP1575+BR1575+BT1575+BV1575+BX1575+BZ1575+CB1575+CD1575+CF1575+CH1575+CJ1575+CL1575+CN1575+CP1575+CR1575+CT1575</f>
        <v>0</v>
      </c>
      <c r="CV1575" s="76"/>
      <c r="CW1575" s="76">
        <f>+CV1575*1100</f>
        <v>0</v>
      </c>
      <c r="CX1575" s="76"/>
      <c r="CY1575" s="76">
        <f>+CX1575*106250</f>
        <v>0</v>
      </c>
      <c r="CZ1575" s="76"/>
      <c r="DA1575" s="76">
        <f>+CZ1575*34500</f>
        <v>0</v>
      </c>
      <c r="DB1575" s="76"/>
      <c r="DC1575" s="76">
        <f>+DB1575*25000</f>
        <v>0</v>
      </c>
      <c r="DD1575" s="219"/>
      <c r="DE1575" s="219"/>
      <c r="DF1575" s="166"/>
      <c r="DG1575" s="116"/>
      <c r="DH1575" s="117"/>
      <c r="DI1575" s="24"/>
      <c r="DJ1575" s="24"/>
      <c r="DK1575" s="24"/>
      <c r="DL1575" s="24"/>
      <c r="DM1575" s="24"/>
      <c r="DN1575" s="24"/>
      <c r="DO1575" s="24"/>
      <c r="DP1575" s="24"/>
      <c r="DQ1575" s="24"/>
      <c r="DR1575" s="24"/>
      <c r="DS1575" s="24"/>
      <c r="DT1575" s="24"/>
      <c r="DU1575" s="24"/>
    </row>
    <row r="1576" spans="1:125" s="8" customFormat="1" ht="72" x14ac:dyDescent="0.2">
      <c r="A1576" s="77">
        <v>41387</v>
      </c>
      <c r="B1576" s="78" t="s">
        <v>2661</v>
      </c>
      <c r="C1576" s="75" t="s">
        <v>2169</v>
      </c>
      <c r="D1576" s="75" t="s">
        <v>3051</v>
      </c>
      <c r="E1576" s="75" t="str">
        <f>VLOOKUP(B1576&amp;C1576,Divipola!$C$2:$F$1138,4,FALSE)</f>
        <v>41001</v>
      </c>
      <c r="F1576" s="87"/>
      <c r="G1576" s="87"/>
      <c r="H1576" s="87"/>
      <c r="I1576" s="87">
        <v>15</v>
      </c>
      <c r="J1576" s="87">
        <v>3</v>
      </c>
      <c r="K1576" s="87"/>
      <c r="L1576" s="87">
        <v>3</v>
      </c>
      <c r="M1576" s="87"/>
      <c r="N1576" s="87"/>
      <c r="O1576" s="87"/>
      <c r="P1576" s="87"/>
      <c r="Q1576" s="87"/>
      <c r="R1576" s="87"/>
      <c r="S1576" s="87"/>
      <c r="T1576" s="87"/>
      <c r="U1576" s="88"/>
      <c r="V1576" s="89"/>
      <c r="W1576" s="96">
        <v>0</v>
      </c>
      <c r="X1576" s="71">
        <f>CU1576</f>
        <v>0</v>
      </c>
      <c r="Y1576" s="71">
        <f>CY1576</f>
        <v>0</v>
      </c>
      <c r="Z1576" s="71">
        <f>DA1576+DC1576+DE1576</f>
        <v>0</v>
      </c>
      <c r="AA1576" s="71">
        <f>CW1576</f>
        <v>0</v>
      </c>
      <c r="AB1576" s="71"/>
      <c r="AC1576" s="71">
        <v>0</v>
      </c>
      <c r="AD1576" s="71">
        <f>W1576+X1576+Y1576+Z1576+AA1576+AB1576+AC1576</f>
        <v>0</v>
      </c>
      <c r="AE1576" s="72">
        <v>0</v>
      </c>
      <c r="AF1576" s="5"/>
      <c r="AG1576" s="6"/>
      <c r="AH1576" s="27" t="s">
        <v>3392</v>
      </c>
      <c r="AI1576" s="44" t="s">
        <v>3393</v>
      </c>
      <c r="AJ1576" s="26"/>
      <c r="AK1576" s="5"/>
      <c r="AL1576" s="82" t="s">
        <v>4387</v>
      </c>
      <c r="AM1576" s="76"/>
      <c r="AN1576" s="76"/>
      <c r="AO1576" s="76"/>
      <c r="AP1576" s="76"/>
      <c r="AQ1576" s="76"/>
      <c r="AR1576" s="76"/>
      <c r="AS1576" s="76"/>
      <c r="AT1576" s="76"/>
      <c r="AU1576" s="76"/>
      <c r="AV1576" s="76"/>
      <c r="AW1576" s="76"/>
      <c r="AX1576" s="76">
        <f>+AW1576*600000</f>
        <v>0</v>
      </c>
      <c r="AY1576" s="76"/>
      <c r="AZ1576" s="76">
        <f>+AY1576*70000</f>
        <v>0</v>
      </c>
      <c r="BA1576" s="76"/>
      <c r="BB1576" s="76"/>
      <c r="BC1576" s="76"/>
      <c r="BD1576" s="76">
        <f>+BC1576*30000</f>
        <v>0</v>
      </c>
      <c r="BE1576" s="76"/>
      <c r="BF1576" s="76"/>
      <c r="BG1576" s="76"/>
      <c r="BH1576" s="76"/>
      <c r="BI1576" s="76"/>
      <c r="BJ1576" s="76"/>
      <c r="BK1576" s="76"/>
      <c r="BL1576" s="76">
        <f>+BK1576*31500</f>
        <v>0</v>
      </c>
      <c r="BM1576" s="76"/>
      <c r="BN1576" s="76"/>
      <c r="BO1576" s="76"/>
      <c r="BP1576" s="76"/>
      <c r="BQ1576" s="76"/>
      <c r="BR1576" s="76"/>
      <c r="BS1576" s="76"/>
      <c r="BT1576" s="76"/>
      <c r="BU1576" s="76"/>
      <c r="BV1576" s="76"/>
      <c r="BW1576" s="76"/>
      <c r="BX1576" s="76"/>
      <c r="BY1576" s="76"/>
      <c r="BZ1576" s="76"/>
      <c r="CA1576" s="76"/>
      <c r="CB1576" s="76"/>
      <c r="CC1576" s="76"/>
      <c r="CD1576" s="76"/>
      <c r="CE1576" s="76"/>
      <c r="CF1576" s="76">
        <f>+CE1576*28000</f>
        <v>0</v>
      </c>
      <c r="CG1576" s="76"/>
      <c r="CH1576" s="76">
        <f>+CG1576*22500</f>
        <v>0</v>
      </c>
      <c r="CI1576" s="76"/>
      <c r="CJ1576" s="76">
        <f>+CI1576*26000</f>
        <v>0</v>
      </c>
      <c r="CK1576" s="76"/>
      <c r="CL1576" s="76"/>
      <c r="CM1576" s="76"/>
      <c r="CN1576" s="76">
        <f>+CM1576*22000</f>
        <v>0</v>
      </c>
      <c r="CO1576" s="76"/>
      <c r="CP1576" s="76">
        <f>+CO1576*46000</f>
        <v>0</v>
      </c>
      <c r="CQ1576" s="76"/>
      <c r="CR1576" s="76">
        <f>+CQ1576*49000</f>
        <v>0</v>
      </c>
      <c r="CS1576" s="76"/>
      <c r="CT1576" s="76"/>
      <c r="CU1576" s="56">
        <f>AN1576+AP1576+AR1576+AT1576+AV1576+AX1576+AZ1576+BB1576+BD1576+BF1576+BH1576+BJ1576+BL1576+BN1576+BP1576+BR1576+BT1576+BV1576+BX1576+BZ1576+CB1576+CD1576+CF1576+CH1576+CJ1576+CL1576+CN1576+CP1576+CR1576+CT1576</f>
        <v>0</v>
      </c>
      <c r="CV1576" s="76"/>
      <c r="CW1576" s="76">
        <f>+CV1576*1100</f>
        <v>0</v>
      </c>
      <c r="CX1576" s="76"/>
      <c r="CY1576" s="76">
        <f>+CX1576*106250</f>
        <v>0</v>
      </c>
      <c r="CZ1576" s="76"/>
      <c r="DA1576" s="76">
        <f>+CZ1576*34500</f>
        <v>0</v>
      </c>
      <c r="DB1576" s="76"/>
      <c r="DC1576" s="76">
        <f>+DB1576*25000</f>
        <v>0</v>
      </c>
      <c r="DD1576" s="219"/>
      <c r="DE1576" s="219"/>
      <c r="DF1576" s="166"/>
      <c r="DG1576" s="116"/>
      <c r="DH1576" s="117"/>
      <c r="DI1576" s="24"/>
      <c r="DJ1576" s="24"/>
      <c r="DK1576" s="24"/>
      <c r="DL1576" s="24"/>
      <c r="DM1576" s="24"/>
      <c r="DN1576" s="24"/>
      <c r="DO1576" s="24"/>
      <c r="DP1576" s="24"/>
      <c r="DQ1576" s="24"/>
      <c r="DR1576" s="24"/>
      <c r="DS1576" s="24"/>
      <c r="DT1576" s="24"/>
      <c r="DU1576" s="24"/>
    </row>
    <row r="1577" spans="1:125" s="8" customFormat="1" ht="24" x14ac:dyDescent="0.2">
      <c r="A1577" s="226">
        <v>41387</v>
      </c>
      <c r="B1577" s="225" t="s">
        <v>2811</v>
      </c>
      <c r="C1577" s="227" t="s">
        <v>498</v>
      </c>
      <c r="D1577" s="84" t="s">
        <v>3088</v>
      </c>
      <c r="E1577" s="75" t="str">
        <f>VLOOKUP(B1577&amp;C1577,Divipola!$C$2:$F$1138,4,FALSE)</f>
        <v>52233</v>
      </c>
      <c r="F1577" s="87"/>
      <c r="G1577" s="87"/>
      <c r="H1577" s="87"/>
      <c r="I1577" s="87"/>
      <c r="J1577" s="87"/>
      <c r="K1577" s="87"/>
      <c r="L1577" s="87"/>
      <c r="M1577" s="87">
        <v>1</v>
      </c>
      <c r="N1577" s="87"/>
      <c r="O1577" s="87"/>
      <c r="P1577" s="87"/>
      <c r="Q1577" s="87"/>
      <c r="R1577" s="87"/>
      <c r="S1577" s="87"/>
      <c r="T1577" s="87"/>
      <c r="U1577" s="88"/>
      <c r="V1577" s="89"/>
      <c r="W1577" s="96">
        <v>0</v>
      </c>
      <c r="X1577" s="71">
        <f>CU1577</f>
        <v>0</v>
      </c>
      <c r="Y1577" s="71">
        <f>CY1577</f>
        <v>0</v>
      </c>
      <c r="Z1577" s="71">
        <f>DA1577+DC1577+DE1577</f>
        <v>0</v>
      </c>
      <c r="AA1577" s="71">
        <f>CW1577</f>
        <v>0</v>
      </c>
      <c r="AB1577" s="71"/>
      <c r="AC1577" s="71">
        <v>0</v>
      </c>
      <c r="AD1577" s="71">
        <f>W1577+X1577+Y1577+Z1577+AA1577+AB1577+AC1577</f>
        <v>0</v>
      </c>
      <c r="AE1577" s="72">
        <v>0</v>
      </c>
      <c r="AF1577" s="5"/>
      <c r="AG1577" s="6"/>
      <c r="AH1577" s="27" t="s">
        <v>3392</v>
      </c>
      <c r="AI1577" s="44" t="s">
        <v>3393</v>
      </c>
      <c r="AJ1577" s="26"/>
      <c r="AK1577" s="5"/>
      <c r="AL1577" s="82" t="s">
        <v>4371</v>
      </c>
      <c r="AM1577" s="76"/>
      <c r="AN1577" s="76"/>
      <c r="AO1577" s="76"/>
      <c r="AP1577" s="76"/>
      <c r="AQ1577" s="76"/>
      <c r="AR1577" s="76"/>
      <c r="AS1577" s="76"/>
      <c r="AT1577" s="76"/>
      <c r="AU1577" s="76"/>
      <c r="AV1577" s="76"/>
      <c r="AW1577" s="76"/>
      <c r="AX1577" s="76">
        <f>+AW1577*600000</f>
        <v>0</v>
      </c>
      <c r="AY1577" s="76"/>
      <c r="AZ1577" s="76">
        <f>+AY1577*70000</f>
        <v>0</v>
      </c>
      <c r="BA1577" s="76"/>
      <c r="BB1577" s="76"/>
      <c r="BC1577" s="76"/>
      <c r="BD1577" s="76">
        <f>+BC1577*30000</f>
        <v>0</v>
      </c>
      <c r="BE1577" s="76"/>
      <c r="BF1577" s="76"/>
      <c r="BG1577" s="76"/>
      <c r="BH1577" s="76"/>
      <c r="BI1577" s="76"/>
      <c r="BJ1577" s="76"/>
      <c r="BK1577" s="76"/>
      <c r="BL1577" s="76">
        <f>+BK1577*31500</f>
        <v>0</v>
      </c>
      <c r="BM1577" s="76"/>
      <c r="BN1577" s="76"/>
      <c r="BO1577" s="76"/>
      <c r="BP1577" s="76"/>
      <c r="BQ1577" s="76"/>
      <c r="BR1577" s="76"/>
      <c r="BS1577" s="76"/>
      <c r="BT1577" s="76"/>
      <c r="BU1577" s="76"/>
      <c r="BV1577" s="76"/>
      <c r="BW1577" s="76"/>
      <c r="BX1577" s="76"/>
      <c r="BY1577" s="76"/>
      <c r="BZ1577" s="76"/>
      <c r="CA1577" s="76"/>
      <c r="CB1577" s="76"/>
      <c r="CC1577" s="76"/>
      <c r="CD1577" s="76"/>
      <c r="CE1577" s="76"/>
      <c r="CF1577" s="76">
        <f>+CE1577*28000</f>
        <v>0</v>
      </c>
      <c r="CG1577" s="76"/>
      <c r="CH1577" s="76">
        <f>+CG1577*22500</f>
        <v>0</v>
      </c>
      <c r="CI1577" s="76"/>
      <c r="CJ1577" s="76">
        <f>+CI1577*26000</f>
        <v>0</v>
      </c>
      <c r="CK1577" s="76"/>
      <c r="CL1577" s="76"/>
      <c r="CM1577" s="76"/>
      <c r="CN1577" s="76">
        <f>+CM1577*22000</f>
        <v>0</v>
      </c>
      <c r="CO1577" s="76"/>
      <c r="CP1577" s="76">
        <f>+CO1577*46000</f>
        <v>0</v>
      </c>
      <c r="CQ1577" s="76"/>
      <c r="CR1577" s="76">
        <f>+CQ1577*49000</f>
        <v>0</v>
      </c>
      <c r="CS1577" s="76"/>
      <c r="CT1577" s="76"/>
      <c r="CU1577" s="56">
        <f>AN1577+AP1577+AR1577+AT1577+AV1577+AX1577+AZ1577+BB1577+BD1577+BF1577+BH1577+BJ1577+BL1577+BN1577+BP1577+BR1577+BT1577+BV1577+BX1577+BZ1577+CB1577+CD1577+CF1577+CH1577+CJ1577+CL1577+CN1577+CP1577+CR1577+CT1577</f>
        <v>0</v>
      </c>
      <c r="CV1577" s="76"/>
      <c r="CW1577" s="76">
        <f>+CV1577*1100</f>
        <v>0</v>
      </c>
      <c r="CX1577" s="76"/>
      <c r="CY1577" s="76">
        <f>+CX1577*106250</f>
        <v>0</v>
      </c>
      <c r="CZ1577" s="76"/>
      <c r="DA1577" s="76">
        <f>+CZ1577*34500</f>
        <v>0</v>
      </c>
      <c r="DB1577" s="76"/>
      <c r="DC1577" s="76">
        <f>+DB1577*25000</f>
        <v>0</v>
      </c>
      <c r="DD1577" s="219"/>
      <c r="DE1577" s="219"/>
      <c r="DF1577" s="166"/>
      <c r="DG1577" s="116"/>
      <c r="DH1577" s="117"/>
      <c r="DI1577" s="24"/>
      <c r="DJ1577" s="24"/>
      <c r="DK1577" s="24"/>
      <c r="DL1577" s="24"/>
      <c r="DM1577" s="24"/>
      <c r="DN1577" s="24"/>
      <c r="DO1577" s="24"/>
      <c r="DP1577" s="24"/>
      <c r="DQ1577" s="24"/>
      <c r="DR1577" s="24"/>
      <c r="DS1577" s="24"/>
      <c r="DT1577" s="24"/>
      <c r="DU1577" s="24"/>
    </row>
    <row r="1578" spans="1:125" s="8" customFormat="1" ht="36" x14ac:dyDescent="0.2">
      <c r="A1578" s="226">
        <v>41387</v>
      </c>
      <c r="B1578" s="225" t="s">
        <v>2811</v>
      </c>
      <c r="C1578" s="227" t="s">
        <v>151</v>
      </c>
      <c r="D1578" s="75" t="s">
        <v>3051</v>
      </c>
      <c r="E1578" s="75" t="str">
        <f>VLOOKUP(B1578&amp;C1578,Divipola!$C$2:$F$1138,4,FALSE)</f>
        <v>52258</v>
      </c>
      <c r="F1578" s="87"/>
      <c r="G1578" s="87"/>
      <c r="H1578" s="87"/>
      <c r="I1578" s="87"/>
      <c r="J1578" s="87"/>
      <c r="K1578" s="87"/>
      <c r="L1578" s="87"/>
      <c r="M1578" s="87">
        <v>1</v>
      </c>
      <c r="N1578" s="87"/>
      <c r="O1578" s="87"/>
      <c r="P1578" s="87"/>
      <c r="Q1578" s="87"/>
      <c r="R1578" s="87"/>
      <c r="S1578" s="87"/>
      <c r="T1578" s="87"/>
      <c r="U1578" s="88"/>
      <c r="V1578" s="89"/>
      <c r="W1578" s="96">
        <v>0</v>
      </c>
      <c r="X1578" s="71">
        <f>CU1578</f>
        <v>0</v>
      </c>
      <c r="Y1578" s="71">
        <f>CY1578</f>
        <v>0</v>
      </c>
      <c r="Z1578" s="71">
        <f>DA1578+DC1578+DE1578</f>
        <v>0</v>
      </c>
      <c r="AA1578" s="71">
        <f>CW1578</f>
        <v>0</v>
      </c>
      <c r="AB1578" s="71"/>
      <c r="AC1578" s="71">
        <v>0</v>
      </c>
      <c r="AD1578" s="71">
        <f>W1578+X1578+Y1578+Z1578+AA1578+AB1578+AC1578</f>
        <v>0</v>
      </c>
      <c r="AE1578" s="72">
        <v>0</v>
      </c>
      <c r="AF1578" s="5"/>
      <c r="AG1578" s="6"/>
      <c r="AH1578" s="27" t="s">
        <v>3392</v>
      </c>
      <c r="AI1578" s="44" t="s">
        <v>3393</v>
      </c>
      <c r="AJ1578" s="26"/>
      <c r="AK1578" s="5"/>
      <c r="AL1578" s="82" t="s">
        <v>4372</v>
      </c>
      <c r="AM1578" s="76"/>
      <c r="AN1578" s="76"/>
      <c r="AO1578" s="76"/>
      <c r="AP1578" s="76"/>
      <c r="AQ1578" s="76"/>
      <c r="AR1578" s="76"/>
      <c r="AS1578" s="76"/>
      <c r="AT1578" s="76"/>
      <c r="AU1578" s="76"/>
      <c r="AV1578" s="76"/>
      <c r="AW1578" s="76"/>
      <c r="AX1578" s="76">
        <f>+AW1578*600000</f>
        <v>0</v>
      </c>
      <c r="AY1578" s="76"/>
      <c r="AZ1578" s="76">
        <f>+AY1578*70000</f>
        <v>0</v>
      </c>
      <c r="BA1578" s="76"/>
      <c r="BB1578" s="76"/>
      <c r="BC1578" s="76"/>
      <c r="BD1578" s="76">
        <f>+BC1578*30000</f>
        <v>0</v>
      </c>
      <c r="BE1578" s="76"/>
      <c r="BF1578" s="76"/>
      <c r="BG1578" s="76"/>
      <c r="BH1578" s="76"/>
      <c r="BI1578" s="76"/>
      <c r="BJ1578" s="76"/>
      <c r="BK1578" s="76"/>
      <c r="BL1578" s="76">
        <f>+BK1578*31500</f>
        <v>0</v>
      </c>
      <c r="BM1578" s="76"/>
      <c r="BN1578" s="76"/>
      <c r="BO1578" s="76"/>
      <c r="BP1578" s="76"/>
      <c r="BQ1578" s="76"/>
      <c r="BR1578" s="76"/>
      <c r="BS1578" s="76"/>
      <c r="BT1578" s="76"/>
      <c r="BU1578" s="76"/>
      <c r="BV1578" s="76"/>
      <c r="BW1578" s="76"/>
      <c r="BX1578" s="76"/>
      <c r="BY1578" s="76"/>
      <c r="BZ1578" s="76"/>
      <c r="CA1578" s="76"/>
      <c r="CB1578" s="76"/>
      <c r="CC1578" s="76"/>
      <c r="CD1578" s="76"/>
      <c r="CE1578" s="76"/>
      <c r="CF1578" s="76">
        <f>+CE1578*28000</f>
        <v>0</v>
      </c>
      <c r="CG1578" s="76"/>
      <c r="CH1578" s="76">
        <f>+CG1578*22500</f>
        <v>0</v>
      </c>
      <c r="CI1578" s="76"/>
      <c r="CJ1578" s="76">
        <f>+CI1578*26000</f>
        <v>0</v>
      </c>
      <c r="CK1578" s="76"/>
      <c r="CL1578" s="76"/>
      <c r="CM1578" s="76"/>
      <c r="CN1578" s="76">
        <f>+CM1578*22000</f>
        <v>0</v>
      </c>
      <c r="CO1578" s="76"/>
      <c r="CP1578" s="76">
        <f>+CO1578*46000</f>
        <v>0</v>
      </c>
      <c r="CQ1578" s="76"/>
      <c r="CR1578" s="76">
        <f>+CQ1578*49000</f>
        <v>0</v>
      </c>
      <c r="CS1578" s="76"/>
      <c r="CT1578" s="76"/>
      <c r="CU1578" s="56">
        <f>AN1578+AP1578+AR1578+AT1578+AV1578+AX1578+AZ1578+BB1578+BD1578+BF1578+BH1578+BJ1578+BL1578+BN1578+BP1578+BR1578+BT1578+BV1578+BX1578+BZ1578+CB1578+CD1578+CF1578+CH1578+CJ1578+CL1578+CN1578+CP1578+CR1578+CT1578</f>
        <v>0</v>
      </c>
      <c r="CV1578" s="76"/>
      <c r="CW1578" s="76">
        <f>+CV1578*1100</f>
        <v>0</v>
      </c>
      <c r="CX1578" s="76"/>
      <c r="CY1578" s="76">
        <f>+CX1578*106250</f>
        <v>0</v>
      </c>
      <c r="CZ1578" s="76"/>
      <c r="DA1578" s="76">
        <f>+CZ1578*34500</f>
        <v>0</v>
      </c>
      <c r="DB1578" s="76"/>
      <c r="DC1578" s="76">
        <f>+DB1578*25000</f>
        <v>0</v>
      </c>
      <c r="DD1578" s="219"/>
      <c r="DE1578" s="219"/>
      <c r="DF1578" s="166"/>
      <c r="DG1578" s="116"/>
      <c r="DH1578" s="117"/>
      <c r="DI1578" s="24"/>
      <c r="DJ1578" s="24"/>
      <c r="DK1578" s="24"/>
      <c r="DL1578" s="24"/>
      <c r="DM1578" s="24"/>
      <c r="DN1578" s="24"/>
      <c r="DO1578" s="24"/>
      <c r="DP1578" s="24"/>
      <c r="DQ1578" s="24"/>
      <c r="DR1578" s="24"/>
      <c r="DS1578" s="24"/>
      <c r="DT1578" s="24"/>
      <c r="DU1578" s="24"/>
    </row>
    <row r="1579" spans="1:125" s="8" customFormat="1" ht="36" x14ac:dyDescent="0.2">
      <c r="A1579" s="77">
        <v>41387</v>
      </c>
      <c r="B1579" s="78" t="s">
        <v>2811</v>
      </c>
      <c r="C1579" s="75" t="s">
        <v>2004</v>
      </c>
      <c r="D1579" s="75" t="s">
        <v>3051</v>
      </c>
      <c r="E1579" s="75" t="str">
        <f>VLOOKUP(B1579&amp;C1579,Divipola!$C$2:$F$1138,4,FALSE)</f>
        <v>52838</v>
      </c>
      <c r="F1579" s="163"/>
      <c r="G1579" s="163"/>
      <c r="H1579" s="163"/>
      <c r="I1579" s="163">
        <v>50</v>
      </c>
      <c r="J1579" s="163">
        <v>10</v>
      </c>
      <c r="K1579" s="163">
        <v>10</v>
      </c>
      <c r="L1579" s="163"/>
      <c r="M1579" s="163"/>
      <c r="N1579" s="163">
        <v>3</v>
      </c>
      <c r="O1579" s="163"/>
      <c r="P1579" s="163"/>
      <c r="Q1579" s="163"/>
      <c r="R1579" s="163"/>
      <c r="S1579" s="163"/>
      <c r="T1579" s="163"/>
      <c r="U1579" s="163"/>
      <c r="V1579" s="134"/>
      <c r="W1579" s="96">
        <v>4500000</v>
      </c>
      <c r="X1579" s="71">
        <f>CU1579</f>
        <v>0</v>
      </c>
      <c r="Y1579" s="71">
        <f>CY1579</f>
        <v>0</v>
      </c>
      <c r="Z1579" s="71">
        <f>DA1579+DC1579+DE1579</f>
        <v>0</v>
      </c>
      <c r="AA1579" s="71">
        <f>CW1579</f>
        <v>0</v>
      </c>
      <c r="AB1579" s="71"/>
      <c r="AC1579" s="71">
        <v>0</v>
      </c>
      <c r="AD1579" s="71">
        <f>W1579+X1579+Y1579+Z1579+AA1579+AB1579+AC1579</f>
        <v>4500000</v>
      </c>
      <c r="AE1579" s="72">
        <v>0</v>
      </c>
      <c r="AF1579" s="5"/>
      <c r="AG1579" s="6"/>
      <c r="AH1579" s="27" t="s">
        <v>3390</v>
      </c>
      <c r="AI1579" s="44" t="s">
        <v>3391</v>
      </c>
      <c r="AJ1579" s="26"/>
      <c r="AK1579" s="5"/>
      <c r="AL1579" s="82" t="s">
        <v>4679</v>
      </c>
      <c r="AM1579" s="76"/>
      <c r="AN1579" s="76"/>
      <c r="AO1579" s="76"/>
      <c r="AP1579" s="76"/>
      <c r="AQ1579" s="76"/>
      <c r="AR1579" s="76"/>
      <c r="AS1579" s="76"/>
      <c r="AT1579" s="76"/>
      <c r="AU1579" s="76"/>
      <c r="AV1579" s="76"/>
      <c r="AW1579" s="76"/>
      <c r="AX1579" s="76">
        <f>+AW1579*600000</f>
        <v>0</v>
      </c>
      <c r="AY1579" s="76"/>
      <c r="AZ1579" s="76">
        <f>+AY1579*70000</f>
        <v>0</v>
      </c>
      <c r="BA1579" s="76"/>
      <c r="BB1579" s="76"/>
      <c r="BC1579" s="76"/>
      <c r="BD1579" s="76">
        <f>+BC1579*30000</f>
        <v>0</v>
      </c>
      <c r="BE1579" s="76"/>
      <c r="BF1579" s="76"/>
      <c r="BG1579" s="76"/>
      <c r="BH1579" s="76"/>
      <c r="BI1579" s="76"/>
      <c r="BJ1579" s="76"/>
      <c r="BK1579" s="76"/>
      <c r="BL1579" s="76">
        <f>+BK1579*31500</f>
        <v>0</v>
      </c>
      <c r="BM1579" s="76"/>
      <c r="BN1579" s="76"/>
      <c r="BO1579" s="76"/>
      <c r="BP1579" s="76"/>
      <c r="BQ1579" s="76"/>
      <c r="BR1579" s="76"/>
      <c r="BS1579" s="76"/>
      <c r="BT1579" s="76"/>
      <c r="BU1579" s="76"/>
      <c r="BV1579" s="76"/>
      <c r="BW1579" s="76"/>
      <c r="BX1579" s="76"/>
      <c r="BY1579" s="76"/>
      <c r="BZ1579" s="76"/>
      <c r="CA1579" s="76"/>
      <c r="CB1579" s="76"/>
      <c r="CC1579" s="76"/>
      <c r="CD1579" s="76"/>
      <c r="CE1579" s="76"/>
      <c r="CF1579" s="76">
        <f>+CE1579*28000</f>
        <v>0</v>
      </c>
      <c r="CG1579" s="76"/>
      <c r="CH1579" s="76">
        <f>+CG1579*22500</f>
        <v>0</v>
      </c>
      <c r="CI1579" s="76"/>
      <c r="CJ1579" s="76">
        <f>+CI1579*26000</f>
        <v>0</v>
      </c>
      <c r="CK1579" s="76"/>
      <c r="CL1579" s="76"/>
      <c r="CM1579" s="76"/>
      <c r="CN1579" s="76">
        <f>+CM1579*22000</f>
        <v>0</v>
      </c>
      <c r="CO1579" s="76"/>
      <c r="CP1579" s="76">
        <f>+CO1579*46000</f>
        <v>0</v>
      </c>
      <c r="CQ1579" s="76"/>
      <c r="CR1579" s="76">
        <f>+CQ1579*49000</f>
        <v>0</v>
      </c>
      <c r="CS1579" s="76"/>
      <c r="CT1579" s="76"/>
      <c r="CU1579" s="56">
        <f>AN1579+AP1579+AR1579+AT1579+AV1579+AX1579+AZ1579+BB1579+BD1579+BF1579+BH1579+BJ1579+BL1579+BN1579+BP1579+BR1579+BT1579+BV1579+BX1579+BZ1579+CB1579+CD1579+CF1579+CH1579+CJ1579+CL1579+CN1579+CP1579+CR1579+CT1579</f>
        <v>0</v>
      </c>
      <c r="CV1579" s="76"/>
      <c r="CW1579" s="76">
        <f>+CV1579*1100</f>
        <v>0</v>
      </c>
      <c r="CX1579" s="76"/>
      <c r="CY1579" s="76">
        <f>+CX1579*106250</f>
        <v>0</v>
      </c>
      <c r="CZ1579" s="76"/>
      <c r="DA1579" s="76">
        <f>+CZ1579*34500</f>
        <v>0</v>
      </c>
      <c r="DB1579" s="76"/>
      <c r="DC1579" s="76">
        <f>+DB1579*25000</f>
        <v>0</v>
      </c>
      <c r="DD1579" s="219"/>
      <c r="DE1579" s="219"/>
      <c r="DF1579" s="166"/>
      <c r="DG1579" s="116"/>
      <c r="DH1579" s="117"/>
      <c r="DI1579" s="24"/>
      <c r="DJ1579" s="24"/>
      <c r="DK1579" s="24"/>
      <c r="DL1579" s="24"/>
      <c r="DM1579" s="24"/>
      <c r="DN1579" s="24"/>
      <c r="DO1579" s="24"/>
      <c r="DP1579" s="24"/>
      <c r="DQ1579" s="24"/>
      <c r="DR1579" s="24"/>
      <c r="DS1579" s="24"/>
      <c r="DT1579" s="24"/>
      <c r="DU1579" s="24"/>
    </row>
    <row r="1580" spans="1:125" s="8" customFormat="1" ht="60" x14ac:dyDescent="0.2">
      <c r="A1580" s="226">
        <v>41387</v>
      </c>
      <c r="B1580" s="225" t="s">
        <v>2811</v>
      </c>
      <c r="C1580" s="227" t="s">
        <v>2658</v>
      </c>
      <c r="D1580" s="84" t="s">
        <v>3088</v>
      </c>
      <c r="E1580" s="75" t="str">
        <f>VLOOKUP(B1580&amp;C1580,Divipola!$C$2:$F$1138,4,FALSE)</f>
        <v>52885</v>
      </c>
      <c r="F1580" s="87"/>
      <c r="G1580" s="87"/>
      <c r="H1580" s="87"/>
      <c r="I1580" s="87">
        <v>17</v>
      </c>
      <c r="J1580" s="87">
        <v>1</v>
      </c>
      <c r="K1580" s="87">
        <v>1</v>
      </c>
      <c r="L1580" s="87"/>
      <c r="M1580" s="87">
        <v>1</v>
      </c>
      <c r="N1580" s="87"/>
      <c r="O1580" s="87"/>
      <c r="P1580" s="87"/>
      <c r="Q1580" s="87"/>
      <c r="R1580" s="87"/>
      <c r="S1580" s="87"/>
      <c r="T1580" s="87"/>
      <c r="U1580" s="88"/>
      <c r="V1580" s="89"/>
      <c r="W1580" s="96">
        <v>0</v>
      </c>
      <c r="X1580" s="71">
        <f>CU1580</f>
        <v>0</v>
      </c>
      <c r="Y1580" s="71">
        <f>CY1580</f>
        <v>0</v>
      </c>
      <c r="Z1580" s="71">
        <f>DA1580+DC1580+DE1580</f>
        <v>0</v>
      </c>
      <c r="AA1580" s="71">
        <f>CW1580</f>
        <v>0</v>
      </c>
      <c r="AB1580" s="71"/>
      <c r="AC1580" s="71">
        <v>0</v>
      </c>
      <c r="AD1580" s="71">
        <f>W1580+X1580+Y1580+Z1580+AA1580+AB1580+AC1580</f>
        <v>0</v>
      </c>
      <c r="AE1580" s="72">
        <v>0</v>
      </c>
      <c r="AF1580" s="5"/>
      <c r="AG1580" s="6"/>
      <c r="AH1580" s="27" t="s">
        <v>3392</v>
      </c>
      <c r="AI1580" s="44" t="s">
        <v>3393</v>
      </c>
      <c r="AJ1580" s="26"/>
      <c r="AK1580" s="5"/>
      <c r="AL1580" s="82" t="s">
        <v>4370</v>
      </c>
      <c r="AM1580" s="76"/>
      <c r="AN1580" s="76"/>
      <c r="AO1580" s="76"/>
      <c r="AP1580" s="76"/>
      <c r="AQ1580" s="76"/>
      <c r="AR1580" s="76"/>
      <c r="AS1580" s="76"/>
      <c r="AT1580" s="76"/>
      <c r="AU1580" s="76"/>
      <c r="AV1580" s="76"/>
      <c r="AW1580" s="76"/>
      <c r="AX1580" s="76">
        <f>+AW1580*600000</f>
        <v>0</v>
      </c>
      <c r="AY1580" s="76"/>
      <c r="AZ1580" s="76">
        <f>+AY1580*70000</f>
        <v>0</v>
      </c>
      <c r="BA1580" s="76"/>
      <c r="BB1580" s="76"/>
      <c r="BC1580" s="76"/>
      <c r="BD1580" s="76">
        <f>+BC1580*30000</f>
        <v>0</v>
      </c>
      <c r="BE1580" s="76"/>
      <c r="BF1580" s="76"/>
      <c r="BG1580" s="76"/>
      <c r="BH1580" s="76"/>
      <c r="BI1580" s="76"/>
      <c r="BJ1580" s="76"/>
      <c r="BK1580" s="76"/>
      <c r="BL1580" s="76">
        <f>+BK1580*31500</f>
        <v>0</v>
      </c>
      <c r="BM1580" s="76"/>
      <c r="BN1580" s="76"/>
      <c r="BO1580" s="76"/>
      <c r="BP1580" s="76"/>
      <c r="BQ1580" s="76"/>
      <c r="BR1580" s="76"/>
      <c r="BS1580" s="76"/>
      <c r="BT1580" s="76"/>
      <c r="BU1580" s="76"/>
      <c r="BV1580" s="76"/>
      <c r="BW1580" s="76"/>
      <c r="BX1580" s="76"/>
      <c r="BY1580" s="76"/>
      <c r="BZ1580" s="76"/>
      <c r="CA1580" s="76"/>
      <c r="CB1580" s="76"/>
      <c r="CC1580" s="76"/>
      <c r="CD1580" s="76"/>
      <c r="CE1580" s="76"/>
      <c r="CF1580" s="76">
        <f>+CE1580*28000</f>
        <v>0</v>
      </c>
      <c r="CG1580" s="76"/>
      <c r="CH1580" s="76">
        <f>+CG1580*22500</f>
        <v>0</v>
      </c>
      <c r="CI1580" s="76"/>
      <c r="CJ1580" s="76">
        <f>+CI1580*26000</f>
        <v>0</v>
      </c>
      <c r="CK1580" s="76"/>
      <c r="CL1580" s="76"/>
      <c r="CM1580" s="76"/>
      <c r="CN1580" s="76">
        <f>+CM1580*22000</f>
        <v>0</v>
      </c>
      <c r="CO1580" s="76"/>
      <c r="CP1580" s="76">
        <f>+CO1580*46000</f>
        <v>0</v>
      </c>
      <c r="CQ1580" s="76"/>
      <c r="CR1580" s="76">
        <f>+CQ1580*49000</f>
        <v>0</v>
      </c>
      <c r="CS1580" s="76"/>
      <c r="CT1580" s="76"/>
      <c r="CU1580" s="56">
        <f>AN1580+AP1580+AR1580+AT1580+AV1580+AX1580+AZ1580+BB1580+BD1580+BF1580+BH1580+BJ1580+BL1580+BN1580+BP1580+BR1580+BT1580+BV1580+BX1580+BZ1580+CB1580+CD1580+CF1580+CH1580+CJ1580+CL1580+CN1580+CP1580+CR1580+CT1580</f>
        <v>0</v>
      </c>
      <c r="CV1580" s="76"/>
      <c r="CW1580" s="76">
        <f>+CV1580*1100</f>
        <v>0</v>
      </c>
      <c r="CX1580" s="76"/>
      <c r="CY1580" s="76">
        <f>+CX1580*106250</f>
        <v>0</v>
      </c>
      <c r="CZ1580" s="76"/>
      <c r="DA1580" s="76">
        <f>+CZ1580*34500</f>
        <v>0</v>
      </c>
      <c r="DB1580" s="76"/>
      <c r="DC1580" s="76">
        <f>+DB1580*25000</f>
        <v>0</v>
      </c>
      <c r="DD1580" s="219"/>
      <c r="DE1580" s="219"/>
      <c r="DF1580" s="166"/>
      <c r="DG1580" s="116"/>
      <c r="DH1580" s="117"/>
      <c r="DI1580" s="24"/>
      <c r="DJ1580" s="24"/>
      <c r="DK1580" s="24"/>
      <c r="DL1580" s="24"/>
      <c r="DM1580" s="24"/>
      <c r="DN1580" s="24"/>
      <c r="DO1580" s="24"/>
      <c r="DP1580" s="24"/>
      <c r="DQ1580" s="24"/>
      <c r="DR1580" s="24"/>
      <c r="DS1580" s="24"/>
      <c r="DT1580" s="24"/>
      <c r="DU1580" s="24"/>
    </row>
    <row r="1581" spans="1:125" s="8" customFormat="1" ht="48" x14ac:dyDescent="0.2">
      <c r="A1581" s="97">
        <v>41387</v>
      </c>
      <c r="B1581" s="60" t="s">
        <v>2860</v>
      </c>
      <c r="C1581" s="55" t="s">
        <v>2776</v>
      </c>
      <c r="D1581" s="55" t="s">
        <v>2882</v>
      </c>
      <c r="E1581" s="75" t="str">
        <f>VLOOKUP(B1581&amp;C1581,Divipola!$C$2:$F$1138,4,FALSE)</f>
        <v>63001</v>
      </c>
      <c r="F1581" s="87"/>
      <c r="G1581" s="87"/>
      <c r="H1581" s="87"/>
      <c r="I1581" s="87"/>
      <c r="J1581" s="87"/>
      <c r="K1581" s="87"/>
      <c r="L1581" s="87"/>
      <c r="M1581" s="87"/>
      <c r="N1581" s="87"/>
      <c r="O1581" s="87"/>
      <c r="P1581" s="87"/>
      <c r="Q1581" s="87"/>
      <c r="R1581" s="87"/>
      <c r="S1581" s="87"/>
      <c r="T1581" s="87"/>
      <c r="U1581" s="88"/>
      <c r="V1581" s="89"/>
      <c r="W1581" s="96">
        <v>0</v>
      </c>
      <c r="X1581" s="71">
        <f>CU1581</f>
        <v>0</v>
      </c>
      <c r="Y1581" s="71">
        <f>CY1581</f>
        <v>0</v>
      </c>
      <c r="Z1581" s="71">
        <f>DA1581+DC1581+DE1581</f>
        <v>0</v>
      </c>
      <c r="AA1581" s="71">
        <f>CW1581</f>
        <v>0</v>
      </c>
      <c r="AB1581" s="71"/>
      <c r="AC1581" s="71">
        <v>0</v>
      </c>
      <c r="AD1581" s="71">
        <f>W1581+X1581+Y1581+Z1581+AA1581+AB1581+AC1581</f>
        <v>0</v>
      </c>
      <c r="AE1581" s="72">
        <v>0</v>
      </c>
      <c r="AF1581" s="5"/>
      <c r="AG1581" s="6"/>
      <c r="AH1581" s="27" t="s">
        <v>3392</v>
      </c>
      <c r="AI1581" s="44" t="s">
        <v>3393</v>
      </c>
      <c r="AJ1581" s="26"/>
      <c r="AK1581" s="5"/>
      <c r="AL1581" s="82" t="s">
        <v>4369</v>
      </c>
      <c r="AM1581" s="76"/>
      <c r="AN1581" s="76"/>
      <c r="AO1581" s="76"/>
      <c r="AP1581" s="76"/>
      <c r="AQ1581" s="76"/>
      <c r="AR1581" s="76"/>
      <c r="AS1581" s="76"/>
      <c r="AT1581" s="76"/>
      <c r="AU1581" s="76"/>
      <c r="AV1581" s="76"/>
      <c r="AW1581" s="76"/>
      <c r="AX1581" s="76">
        <f>+AW1581*600000</f>
        <v>0</v>
      </c>
      <c r="AY1581" s="76"/>
      <c r="AZ1581" s="76">
        <f>+AY1581*70000</f>
        <v>0</v>
      </c>
      <c r="BA1581" s="76"/>
      <c r="BB1581" s="76"/>
      <c r="BC1581" s="76"/>
      <c r="BD1581" s="76">
        <f>+BC1581*30000</f>
        <v>0</v>
      </c>
      <c r="BE1581" s="76"/>
      <c r="BF1581" s="76"/>
      <c r="BG1581" s="76"/>
      <c r="BH1581" s="76"/>
      <c r="BI1581" s="76"/>
      <c r="BJ1581" s="76"/>
      <c r="BK1581" s="76"/>
      <c r="BL1581" s="76">
        <f>+BK1581*31500</f>
        <v>0</v>
      </c>
      <c r="BM1581" s="76"/>
      <c r="BN1581" s="76"/>
      <c r="BO1581" s="76"/>
      <c r="BP1581" s="76"/>
      <c r="BQ1581" s="76"/>
      <c r="BR1581" s="76"/>
      <c r="BS1581" s="76"/>
      <c r="BT1581" s="76"/>
      <c r="BU1581" s="76"/>
      <c r="BV1581" s="76"/>
      <c r="BW1581" s="76"/>
      <c r="BX1581" s="76"/>
      <c r="BY1581" s="76"/>
      <c r="BZ1581" s="76"/>
      <c r="CA1581" s="76"/>
      <c r="CB1581" s="76"/>
      <c r="CC1581" s="76"/>
      <c r="CD1581" s="76"/>
      <c r="CE1581" s="76"/>
      <c r="CF1581" s="76">
        <f>+CE1581*28000</f>
        <v>0</v>
      </c>
      <c r="CG1581" s="76"/>
      <c r="CH1581" s="76">
        <f>+CG1581*22500</f>
        <v>0</v>
      </c>
      <c r="CI1581" s="76"/>
      <c r="CJ1581" s="76">
        <f>+CI1581*26000</f>
        <v>0</v>
      </c>
      <c r="CK1581" s="76"/>
      <c r="CL1581" s="76"/>
      <c r="CM1581" s="76"/>
      <c r="CN1581" s="76">
        <f>+CM1581*22000</f>
        <v>0</v>
      </c>
      <c r="CO1581" s="76"/>
      <c r="CP1581" s="76">
        <f>+CO1581*46000</f>
        <v>0</v>
      </c>
      <c r="CQ1581" s="76"/>
      <c r="CR1581" s="76">
        <f>+CQ1581*49000</f>
        <v>0</v>
      </c>
      <c r="CS1581" s="76"/>
      <c r="CT1581" s="76"/>
      <c r="CU1581" s="56">
        <f>AN1581+AP1581+AR1581+AT1581+AV1581+AX1581+AZ1581+BB1581+BD1581+BF1581+BH1581+BJ1581+BL1581+BN1581+BP1581+BR1581+BT1581+BV1581+BX1581+BZ1581+CB1581+CD1581+CF1581+CH1581+CJ1581+CL1581+CN1581+CP1581+CR1581+CT1581</f>
        <v>0</v>
      </c>
      <c r="CV1581" s="76"/>
      <c r="CW1581" s="76">
        <f>+CV1581*1100</f>
        <v>0</v>
      </c>
      <c r="CX1581" s="76"/>
      <c r="CY1581" s="76">
        <f>+CX1581*106250</f>
        <v>0</v>
      </c>
      <c r="CZ1581" s="76"/>
      <c r="DA1581" s="76">
        <f>+CZ1581*34500</f>
        <v>0</v>
      </c>
      <c r="DB1581" s="76"/>
      <c r="DC1581" s="76">
        <f>+DB1581*25000</f>
        <v>0</v>
      </c>
      <c r="DD1581" s="219"/>
      <c r="DE1581" s="219"/>
      <c r="DF1581" s="166"/>
      <c r="DG1581" s="116"/>
      <c r="DH1581" s="117"/>
      <c r="DI1581" s="24"/>
      <c r="DJ1581" s="24"/>
      <c r="DK1581" s="24"/>
      <c r="DL1581" s="24"/>
      <c r="DM1581" s="24"/>
      <c r="DN1581" s="24"/>
      <c r="DO1581" s="24"/>
      <c r="DP1581" s="24"/>
      <c r="DQ1581" s="24"/>
      <c r="DR1581" s="24"/>
      <c r="DS1581" s="24"/>
      <c r="DT1581" s="24"/>
      <c r="DU1581" s="24"/>
    </row>
    <row r="1582" spans="1:125" s="8" customFormat="1" ht="36" x14ac:dyDescent="0.2">
      <c r="A1582" s="226">
        <v>41387</v>
      </c>
      <c r="B1582" s="225" t="s">
        <v>2860</v>
      </c>
      <c r="C1582" s="227" t="s">
        <v>2173</v>
      </c>
      <c r="D1582" s="227" t="s">
        <v>2882</v>
      </c>
      <c r="E1582" s="75" t="str">
        <f>VLOOKUP(B1582&amp;C1582,Divipola!$C$2:$F$1138,4,FALSE)</f>
        <v>63470</v>
      </c>
      <c r="F1582" s="87"/>
      <c r="G1582" s="87"/>
      <c r="H1582" s="87"/>
      <c r="I1582" s="87">
        <v>5</v>
      </c>
      <c r="J1582" s="87">
        <v>1</v>
      </c>
      <c r="K1582" s="87"/>
      <c r="L1582" s="87">
        <v>1</v>
      </c>
      <c r="M1582" s="87"/>
      <c r="N1582" s="87"/>
      <c r="O1582" s="87"/>
      <c r="P1582" s="87"/>
      <c r="Q1582" s="87"/>
      <c r="R1582" s="87"/>
      <c r="S1582" s="87"/>
      <c r="T1582" s="87"/>
      <c r="U1582" s="88"/>
      <c r="V1582" s="89"/>
      <c r="W1582" s="96">
        <v>0</v>
      </c>
      <c r="X1582" s="71">
        <f>CU1582</f>
        <v>0</v>
      </c>
      <c r="Y1582" s="71">
        <f>CY1582</f>
        <v>0</v>
      </c>
      <c r="Z1582" s="71">
        <f>DA1582+DC1582+DE1582</f>
        <v>0</v>
      </c>
      <c r="AA1582" s="71">
        <f>CW1582</f>
        <v>0</v>
      </c>
      <c r="AB1582" s="71"/>
      <c r="AC1582" s="71">
        <v>0</v>
      </c>
      <c r="AD1582" s="71">
        <f>W1582+X1582+Y1582+Z1582+AA1582+AB1582+AC1582</f>
        <v>0</v>
      </c>
      <c r="AE1582" s="72">
        <v>0</v>
      </c>
      <c r="AF1582" s="5"/>
      <c r="AG1582" s="6"/>
      <c r="AH1582" s="27" t="s">
        <v>3392</v>
      </c>
      <c r="AI1582" s="44" t="s">
        <v>3393</v>
      </c>
      <c r="AJ1582" s="26"/>
      <c r="AK1582" s="5"/>
      <c r="AL1582" s="82" t="s">
        <v>4381</v>
      </c>
      <c r="AM1582" s="76"/>
      <c r="AN1582" s="76"/>
      <c r="AO1582" s="76"/>
      <c r="AP1582" s="76"/>
      <c r="AQ1582" s="76"/>
      <c r="AR1582" s="76"/>
      <c r="AS1582" s="76"/>
      <c r="AT1582" s="76"/>
      <c r="AU1582" s="76"/>
      <c r="AV1582" s="76"/>
      <c r="AW1582" s="76"/>
      <c r="AX1582" s="76">
        <f>+AW1582*600000</f>
        <v>0</v>
      </c>
      <c r="AY1582" s="76"/>
      <c r="AZ1582" s="76">
        <f>+AY1582*70000</f>
        <v>0</v>
      </c>
      <c r="BA1582" s="76"/>
      <c r="BB1582" s="76"/>
      <c r="BC1582" s="76"/>
      <c r="BD1582" s="76">
        <f>+BC1582*30000</f>
        <v>0</v>
      </c>
      <c r="BE1582" s="76"/>
      <c r="BF1582" s="76"/>
      <c r="BG1582" s="76"/>
      <c r="BH1582" s="76"/>
      <c r="BI1582" s="76"/>
      <c r="BJ1582" s="76"/>
      <c r="BK1582" s="76"/>
      <c r="BL1582" s="76">
        <f>+BK1582*31500</f>
        <v>0</v>
      </c>
      <c r="BM1582" s="76"/>
      <c r="BN1582" s="76"/>
      <c r="BO1582" s="76"/>
      <c r="BP1582" s="76"/>
      <c r="BQ1582" s="76"/>
      <c r="BR1582" s="76"/>
      <c r="BS1582" s="76"/>
      <c r="BT1582" s="76"/>
      <c r="BU1582" s="76"/>
      <c r="BV1582" s="76"/>
      <c r="BW1582" s="76"/>
      <c r="BX1582" s="76"/>
      <c r="BY1582" s="76"/>
      <c r="BZ1582" s="76"/>
      <c r="CA1582" s="76"/>
      <c r="CB1582" s="76"/>
      <c r="CC1582" s="76"/>
      <c r="CD1582" s="76"/>
      <c r="CE1582" s="76"/>
      <c r="CF1582" s="76">
        <f>+CE1582*28000</f>
        <v>0</v>
      </c>
      <c r="CG1582" s="76"/>
      <c r="CH1582" s="76">
        <f>+CG1582*22500</f>
        <v>0</v>
      </c>
      <c r="CI1582" s="76"/>
      <c r="CJ1582" s="76">
        <f>+CI1582*26000</f>
        <v>0</v>
      </c>
      <c r="CK1582" s="76"/>
      <c r="CL1582" s="76"/>
      <c r="CM1582" s="76"/>
      <c r="CN1582" s="76">
        <f>+CM1582*22000</f>
        <v>0</v>
      </c>
      <c r="CO1582" s="76"/>
      <c r="CP1582" s="76">
        <f>+CO1582*46000</f>
        <v>0</v>
      </c>
      <c r="CQ1582" s="76"/>
      <c r="CR1582" s="76">
        <f>+CQ1582*49000</f>
        <v>0</v>
      </c>
      <c r="CS1582" s="76"/>
      <c r="CT1582" s="76"/>
      <c r="CU1582" s="56">
        <f>AN1582+AP1582+AR1582+AT1582+AV1582+AX1582+AZ1582+BB1582+BD1582+BF1582+BH1582+BJ1582+BL1582+BN1582+BP1582+BR1582+BT1582+BV1582+BX1582+BZ1582+CB1582+CD1582+CF1582+CH1582+CJ1582+CL1582+CN1582+CP1582+CR1582+CT1582</f>
        <v>0</v>
      </c>
      <c r="CV1582" s="76"/>
      <c r="CW1582" s="76">
        <f>+CV1582*1100</f>
        <v>0</v>
      </c>
      <c r="CX1582" s="76"/>
      <c r="CY1582" s="76">
        <f>+CX1582*106250</f>
        <v>0</v>
      </c>
      <c r="CZ1582" s="76"/>
      <c r="DA1582" s="76">
        <f>+CZ1582*34500</f>
        <v>0</v>
      </c>
      <c r="DB1582" s="76"/>
      <c r="DC1582" s="76">
        <f>+DB1582*25000</f>
        <v>0</v>
      </c>
      <c r="DD1582" s="219"/>
      <c r="DE1582" s="219"/>
      <c r="DF1582" s="166"/>
      <c r="DG1582" s="116"/>
      <c r="DH1582" s="117"/>
      <c r="DI1582" s="24"/>
      <c r="DJ1582" s="24"/>
      <c r="DK1582" s="24"/>
      <c r="DL1582" s="24"/>
      <c r="DM1582" s="24"/>
      <c r="DN1582" s="24"/>
      <c r="DO1582" s="24"/>
      <c r="DP1582" s="24"/>
      <c r="DQ1582" s="24"/>
      <c r="DR1582" s="24"/>
      <c r="DS1582" s="24"/>
      <c r="DT1582" s="24"/>
      <c r="DU1582" s="24"/>
    </row>
    <row r="1583" spans="1:125" s="8" customFormat="1" ht="108" x14ac:dyDescent="0.2">
      <c r="A1583" s="353">
        <v>41387</v>
      </c>
      <c r="B1583" s="225" t="s">
        <v>2847</v>
      </c>
      <c r="C1583" s="227" t="s">
        <v>2136</v>
      </c>
      <c r="D1583" s="81" t="s">
        <v>2846</v>
      </c>
      <c r="E1583" s="75" t="str">
        <f>VLOOKUP(B1583&amp;C1583,Divipola!$C$2:$F$1138,4,FALSE)</f>
        <v>68689</v>
      </c>
      <c r="F1583" s="87"/>
      <c r="G1583" s="87"/>
      <c r="H1583" s="87"/>
      <c r="I1583" s="87"/>
      <c r="J1583" s="87"/>
      <c r="K1583" s="87"/>
      <c r="L1583" s="87"/>
      <c r="M1583" s="87"/>
      <c r="N1583" s="87"/>
      <c r="O1583" s="87"/>
      <c r="P1583" s="87"/>
      <c r="Q1583" s="87"/>
      <c r="R1583" s="87"/>
      <c r="S1583" s="87"/>
      <c r="T1583" s="87"/>
      <c r="U1583" s="88">
        <v>2</v>
      </c>
      <c r="V1583" s="89"/>
      <c r="W1583" s="96">
        <v>0</v>
      </c>
      <c r="X1583" s="71">
        <f>CU1583</f>
        <v>0</v>
      </c>
      <c r="Y1583" s="71">
        <f>CY1583</f>
        <v>0</v>
      </c>
      <c r="Z1583" s="71">
        <f>DA1583+DC1583+DE1583</f>
        <v>0</v>
      </c>
      <c r="AA1583" s="71">
        <f>CW1583</f>
        <v>0</v>
      </c>
      <c r="AB1583" s="71"/>
      <c r="AC1583" s="71">
        <v>0</v>
      </c>
      <c r="AD1583" s="71">
        <f>W1583+X1583+Y1583+Z1583+AA1583+AB1583+AC1583</f>
        <v>0</v>
      </c>
      <c r="AE1583" s="72">
        <v>0</v>
      </c>
      <c r="AF1583" s="5"/>
      <c r="AG1583" s="6"/>
      <c r="AH1583" s="27" t="s">
        <v>3392</v>
      </c>
      <c r="AI1583" s="44" t="s">
        <v>3393</v>
      </c>
      <c r="AJ1583" s="26"/>
      <c r="AK1583" s="5"/>
      <c r="AL1583" s="82" t="s">
        <v>4376</v>
      </c>
      <c r="AM1583" s="76"/>
      <c r="AN1583" s="76"/>
      <c r="AO1583" s="76"/>
      <c r="AP1583" s="76"/>
      <c r="AQ1583" s="76"/>
      <c r="AR1583" s="76"/>
      <c r="AS1583" s="76"/>
      <c r="AT1583" s="76"/>
      <c r="AU1583" s="76"/>
      <c r="AV1583" s="76"/>
      <c r="AW1583" s="76"/>
      <c r="AX1583" s="76">
        <f>+AW1583*600000</f>
        <v>0</v>
      </c>
      <c r="AY1583" s="76"/>
      <c r="AZ1583" s="76">
        <f>+AY1583*70000</f>
        <v>0</v>
      </c>
      <c r="BA1583" s="76"/>
      <c r="BB1583" s="76"/>
      <c r="BC1583" s="76"/>
      <c r="BD1583" s="76">
        <f>+BC1583*30000</f>
        <v>0</v>
      </c>
      <c r="BE1583" s="76"/>
      <c r="BF1583" s="76"/>
      <c r="BG1583" s="76"/>
      <c r="BH1583" s="76"/>
      <c r="BI1583" s="76"/>
      <c r="BJ1583" s="76"/>
      <c r="BK1583" s="76"/>
      <c r="BL1583" s="76">
        <f>+BK1583*31500</f>
        <v>0</v>
      </c>
      <c r="BM1583" s="76"/>
      <c r="BN1583" s="76"/>
      <c r="BO1583" s="76"/>
      <c r="BP1583" s="76"/>
      <c r="BQ1583" s="76"/>
      <c r="BR1583" s="76"/>
      <c r="BS1583" s="76"/>
      <c r="BT1583" s="76"/>
      <c r="BU1583" s="76"/>
      <c r="BV1583" s="76"/>
      <c r="BW1583" s="76"/>
      <c r="BX1583" s="76"/>
      <c r="BY1583" s="76"/>
      <c r="BZ1583" s="76"/>
      <c r="CA1583" s="76"/>
      <c r="CB1583" s="76"/>
      <c r="CC1583" s="76"/>
      <c r="CD1583" s="76"/>
      <c r="CE1583" s="76"/>
      <c r="CF1583" s="76">
        <f>+CE1583*28000</f>
        <v>0</v>
      </c>
      <c r="CG1583" s="76"/>
      <c r="CH1583" s="76">
        <f>+CG1583*22500</f>
        <v>0</v>
      </c>
      <c r="CI1583" s="76"/>
      <c r="CJ1583" s="76">
        <f>+CI1583*26000</f>
        <v>0</v>
      </c>
      <c r="CK1583" s="76"/>
      <c r="CL1583" s="76"/>
      <c r="CM1583" s="76"/>
      <c r="CN1583" s="76">
        <f>+CM1583*22000</f>
        <v>0</v>
      </c>
      <c r="CO1583" s="76"/>
      <c r="CP1583" s="76">
        <f>+CO1583*46000</f>
        <v>0</v>
      </c>
      <c r="CQ1583" s="76"/>
      <c r="CR1583" s="76">
        <f>+CQ1583*49000</f>
        <v>0</v>
      </c>
      <c r="CS1583" s="76"/>
      <c r="CT1583" s="76"/>
      <c r="CU1583" s="56">
        <f>AN1583+AP1583+AR1583+AT1583+AV1583+AX1583+AZ1583+BB1583+BD1583+BF1583+BH1583+BJ1583+BL1583+BN1583+BP1583+BR1583+BT1583+BV1583+BX1583+BZ1583+CB1583+CD1583+CF1583+CH1583+CJ1583+CL1583+CN1583+CP1583+CR1583+CT1583</f>
        <v>0</v>
      </c>
      <c r="CV1583" s="76"/>
      <c r="CW1583" s="76">
        <f>+CV1583*1100</f>
        <v>0</v>
      </c>
      <c r="CX1583" s="76"/>
      <c r="CY1583" s="76">
        <f>+CX1583*106250</f>
        <v>0</v>
      </c>
      <c r="CZ1583" s="76"/>
      <c r="DA1583" s="76">
        <f>+CZ1583*34500</f>
        <v>0</v>
      </c>
      <c r="DB1583" s="76"/>
      <c r="DC1583" s="76">
        <f>+DB1583*25000</f>
        <v>0</v>
      </c>
      <c r="DD1583" s="219"/>
      <c r="DE1583" s="219"/>
      <c r="DF1583" s="166"/>
      <c r="DG1583" s="116"/>
      <c r="DH1583" s="117"/>
      <c r="DI1583" s="24"/>
      <c r="DJ1583" s="24"/>
      <c r="DK1583" s="24"/>
      <c r="DL1583" s="24"/>
      <c r="DM1583" s="24"/>
      <c r="DN1583" s="24"/>
      <c r="DO1583" s="24"/>
      <c r="DP1583" s="24"/>
      <c r="DQ1583" s="24"/>
      <c r="DR1583" s="24"/>
      <c r="DS1583" s="24"/>
      <c r="DT1583" s="24"/>
      <c r="DU1583" s="24"/>
    </row>
    <row r="1584" spans="1:125" s="8" customFormat="1" ht="72" x14ac:dyDescent="0.2">
      <c r="A1584" s="77">
        <v>41387</v>
      </c>
      <c r="B1584" s="78" t="s">
        <v>2848</v>
      </c>
      <c r="C1584" s="75" t="s">
        <v>2755</v>
      </c>
      <c r="D1584" s="75" t="s">
        <v>2849</v>
      </c>
      <c r="E1584" s="75" t="str">
        <f>VLOOKUP(B1584&amp;C1584,Divipola!$C$2:$F$1138,4,FALSE)</f>
        <v>73001</v>
      </c>
      <c r="F1584" s="87">
        <v>2</v>
      </c>
      <c r="G1584" s="87">
        <v>1</v>
      </c>
      <c r="H1584" s="87"/>
      <c r="I1584" s="87">
        <v>3</v>
      </c>
      <c r="J1584" s="87"/>
      <c r="K1584" s="87"/>
      <c r="L1584" s="87"/>
      <c r="M1584" s="87"/>
      <c r="N1584" s="87"/>
      <c r="O1584" s="87"/>
      <c r="P1584" s="87"/>
      <c r="Q1584" s="87"/>
      <c r="R1584" s="87"/>
      <c r="S1584" s="87"/>
      <c r="T1584" s="87"/>
      <c r="U1584" s="88"/>
      <c r="V1584" s="89"/>
      <c r="W1584" s="96">
        <v>0</v>
      </c>
      <c r="X1584" s="71">
        <f>CU1584</f>
        <v>0</v>
      </c>
      <c r="Y1584" s="71">
        <f>CY1584</f>
        <v>0</v>
      </c>
      <c r="Z1584" s="71">
        <f>DA1584+DC1584+DE1584</f>
        <v>0</v>
      </c>
      <c r="AA1584" s="71">
        <f>CW1584</f>
        <v>0</v>
      </c>
      <c r="AB1584" s="71"/>
      <c r="AC1584" s="71">
        <v>0</v>
      </c>
      <c r="AD1584" s="71">
        <f>W1584+X1584+Y1584+Z1584+AA1584+AB1584+AC1584</f>
        <v>0</v>
      </c>
      <c r="AE1584" s="72">
        <v>0</v>
      </c>
      <c r="AF1584" s="5"/>
      <c r="AG1584" s="6"/>
      <c r="AH1584" s="27" t="s">
        <v>3392</v>
      </c>
      <c r="AI1584" s="44" t="s">
        <v>3393</v>
      </c>
      <c r="AJ1584" s="26"/>
      <c r="AK1584" s="5"/>
      <c r="AL1584" s="82" t="s">
        <v>4378</v>
      </c>
      <c r="AM1584" s="76"/>
      <c r="AN1584" s="76"/>
      <c r="AO1584" s="76"/>
      <c r="AP1584" s="76"/>
      <c r="AQ1584" s="76"/>
      <c r="AR1584" s="76"/>
      <c r="AS1584" s="76"/>
      <c r="AT1584" s="76"/>
      <c r="AU1584" s="76"/>
      <c r="AV1584" s="76"/>
      <c r="AW1584" s="76"/>
      <c r="AX1584" s="76">
        <f>+AW1584*600000</f>
        <v>0</v>
      </c>
      <c r="AY1584" s="76"/>
      <c r="AZ1584" s="76">
        <f>+AY1584*70000</f>
        <v>0</v>
      </c>
      <c r="BA1584" s="76"/>
      <c r="BB1584" s="76"/>
      <c r="BC1584" s="76"/>
      <c r="BD1584" s="76">
        <f>+BC1584*30000</f>
        <v>0</v>
      </c>
      <c r="BE1584" s="76"/>
      <c r="BF1584" s="76"/>
      <c r="BG1584" s="76"/>
      <c r="BH1584" s="76"/>
      <c r="BI1584" s="76"/>
      <c r="BJ1584" s="76"/>
      <c r="BK1584" s="76"/>
      <c r="BL1584" s="76">
        <f>+BK1584*31500</f>
        <v>0</v>
      </c>
      <c r="BM1584" s="76"/>
      <c r="BN1584" s="76"/>
      <c r="BO1584" s="76"/>
      <c r="BP1584" s="76"/>
      <c r="BQ1584" s="76"/>
      <c r="BR1584" s="76"/>
      <c r="BS1584" s="76"/>
      <c r="BT1584" s="76"/>
      <c r="BU1584" s="76"/>
      <c r="BV1584" s="76"/>
      <c r="BW1584" s="76"/>
      <c r="BX1584" s="76"/>
      <c r="BY1584" s="76"/>
      <c r="BZ1584" s="76"/>
      <c r="CA1584" s="76"/>
      <c r="CB1584" s="76"/>
      <c r="CC1584" s="76"/>
      <c r="CD1584" s="76"/>
      <c r="CE1584" s="76"/>
      <c r="CF1584" s="76">
        <f>+CE1584*28000</f>
        <v>0</v>
      </c>
      <c r="CG1584" s="76"/>
      <c r="CH1584" s="76">
        <f>+CG1584*22500</f>
        <v>0</v>
      </c>
      <c r="CI1584" s="76"/>
      <c r="CJ1584" s="76">
        <f>+CI1584*26000</f>
        <v>0</v>
      </c>
      <c r="CK1584" s="76"/>
      <c r="CL1584" s="76"/>
      <c r="CM1584" s="76"/>
      <c r="CN1584" s="76">
        <f>+CM1584*22000</f>
        <v>0</v>
      </c>
      <c r="CO1584" s="76"/>
      <c r="CP1584" s="76">
        <f>+CO1584*46000</f>
        <v>0</v>
      </c>
      <c r="CQ1584" s="76"/>
      <c r="CR1584" s="76">
        <f>+CQ1584*49000</f>
        <v>0</v>
      </c>
      <c r="CS1584" s="76"/>
      <c r="CT1584" s="76"/>
      <c r="CU1584" s="56">
        <f>AN1584+AP1584+AR1584+AT1584+AV1584+AX1584+AZ1584+BB1584+BD1584+BF1584+BH1584+BJ1584+BL1584+BN1584+BP1584+BR1584+BT1584+BV1584+BX1584+BZ1584+CB1584+CD1584+CF1584+CH1584+CJ1584+CL1584+CN1584+CP1584+CR1584+CT1584</f>
        <v>0</v>
      </c>
      <c r="CV1584" s="76"/>
      <c r="CW1584" s="76">
        <f>+CV1584*1100</f>
        <v>0</v>
      </c>
      <c r="CX1584" s="76"/>
      <c r="CY1584" s="76">
        <f>+CX1584*106250</f>
        <v>0</v>
      </c>
      <c r="CZ1584" s="76"/>
      <c r="DA1584" s="76">
        <f>+CZ1584*34500</f>
        <v>0</v>
      </c>
      <c r="DB1584" s="76"/>
      <c r="DC1584" s="76">
        <f>+DB1584*25000</f>
        <v>0</v>
      </c>
      <c r="DD1584" s="219"/>
      <c r="DE1584" s="219"/>
      <c r="DF1584" s="166"/>
      <c r="DG1584" s="116"/>
      <c r="DH1584" s="117"/>
      <c r="DI1584" s="24"/>
      <c r="DJ1584" s="24"/>
      <c r="DK1584" s="24"/>
      <c r="DL1584" s="24"/>
      <c r="DM1584" s="24"/>
      <c r="DN1584" s="24"/>
      <c r="DO1584" s="24"/>
      <c r="DP1584" s="24"/>
      <c r="DQ1584" s="24"/>
      <c r="DR1584" s="24"/>
      <c r="DS1584" s="24"/>
      <c r="DT1584" s="24"/>
      <c r="DU1584" s="24"/>
    </row>
    <row r="1585" spans="1:125" s="8" customFormat="1" ht="72" x14ac:dyDescent="0.2">
      <c r="A1585" s="226">
        <v>41387</v>
      </c>
      <c r="B1585" s="225" t="s">
        <v>2851</v>
      </c>
      <c r="C1585" s="227" t="s">
        <v>1686</v>
      </c>
      <c r="D1585" s="227" t="s">
        <v>2882</v>
      </c>
      <c r="E1585" s="75" t="str">
        <f>VLOOKUP(B1585&amp;C1585,Divipola!$C$2:$F$1138,4,FALSE)</f>
        <v>76001</v>
      </c>
      <c r="F1585" s="87"/>
      <c r="G1585" s="87"/>
      <c r="H1585" s="87"/>
      <c r="I1585" s="87">
        <v>10</v>
      </c>
      <c r="J1585" s="87">
        <v>2</v>
      </c>
      <c r="K1585" s="87"/>
      <c r="L1585" s="87">
        <v>2</v>
      </c>
      <c r="M1585" s="87"/>
      <c r="N1585" s="87"/>
      <c r="O1585" s="87"/>
      <c r="P1585" s="87"/>
      <c r="Q1585" s="87"/>
      <c r="R1585" s="87">
        <v>1</v>
      </c>
      <c r="S1585" s="87"/>
      <c r="T1585" s="87"/>
      <c r="U1585" s="88"/>
      <c r="V1585" s="89"/>
      <c r="W1585" s="96">
        <v>0</v>
      </c>
      <c r="X1585" s="71">
        <f>CU1585</f>
        <v>0</v>
      </c>
      <c r="Y1585" s="71">
        <f>CY1585</f>
        <v>0</v>
      </c>
      <c r="Z1585" s="71">
        <f>DA1585+DC1585+DE1585</f>
        <v>0</v>
      </c>
      <c r="AA1585" s="71">
        <f>CW1585</f>
        <v>0</v>
      </c>
      <c r="AB1585" s="71"/>
      <c r="AC1585" s="71">
        <v>0</v>
      </c>
      <c r="AD1585" s="71">
        <f>W1585+X1585+Y1585+Z1585+AA1585+AB1585+AC1585</f>
        <v>0</v>
      </c>
      <c r="AE1585" s="72">
        <v>0</v>
      </c>
      <c r="AF1585" s="5"/>
      <c r="AG1585" s="6"/>
      <c r="AH1585" s="27" t="s">
        <v>3392</v>
      </c>
      <c r="AI1585" s="44" t="s">
        <v>3393</v>
      </c>
      <c r="AJ1585" s="26"/>
      <c r="AK1585" s="5"/>
      <c r="AL1585" s="82" t="s">
        <v>4392</v>
      </c>
      <c r="AM1585" s="76"/>
      <c r="AN1585" s="76"/>
      <c r="AO1585" s="76"/>
      <c r="AP1585" s="76"/>
      <c r="AQ1585" s="76"/>
      <c r="AR1585" s="76"/>
      <c r="AS1585" s="76"/>
      <c r="AT1585" s="76"/>
      <c r="AU1585" s="76"/>
      <c r="AV1585" s="76"/>
      <c r="AW1585" s="76"/>
      <c r="AX1585" s="76">
        <f>+AW1585*600000</f>
        <v>0</v>
      </c>
      <c r="AY1585" s="76"/>
      <c r="AZ1585" s="76">
        <f>+AY1585*70000</f>
        <v>0</v>
      </c>
      <c r="BA1585" s="76"/>
      <c r="BB1585" s="76"/>
      <c r="BC1585" s="76"/>
      <c r="BD1585" s="76">
        <f>+BC1585*30000</f>
        <v>0</v>
      </c>
      <c r="BE1585" s="76"/>
      <c r="BF1585" s="76"/>
      <c r="BG1585" s="76"/>
      <c r="BH1585" s="76"/>
      <c r="BI1585" s="76"/>
      <c r="BJ1585" s="76"/>
      <c r="BK1585" s="76"/>
      <c r="BL1585" s="76">
        <f>+BK1585*31500</f>
        <v>0</v>
      </c>
      <c r="BM1585" s="76"/>
      <c r="BN1585" s="76"/>
      <c r="BO1585" s="76"/>
      <c r="BP1585" s="76"/>
      <c r="BQ1585" s="76"/>
      <c r="BR1585" s="76"/>
      <c r="BS1585" s="76"/>
      <c r="BT1585" s="76"/>
      <c r="BU1585" s="76"/>
      <c r="BV1585" s="76"/>
      <c r="BW1585" s="76"/>
      <c r="BX1585" s="76"/>
      <c r="BY1585" s="76"/>
      <c r="BZ1585" s="76"/>
      <c r="CA1585" s="76"/>
      <c r="CB1585" s="76"/>
      <c r="CC1585" s="76"/>
      <c r="CD1585" s="76"/>
      <c r="CE1585" s="76"/>
      <c r="CF1585" s="76">
        <f>+CE1585*28000</f>
        <v>0</v>
      </c>
      <c r="CG1585" s="76"/>
      <c r="CH1585" s="76">
        <f>+CG1585*22500</f>
        <v>0</v>
      </c>
      <c r="CI1585" s="76"/>
      <c r="CJ1585" s="76">
        <f>+CI1585*26000</f>
        <v>0</v>
      </c>
      <c r="CK1585" s="76"/>
      <c r="CL1585" s="76"/>
      <c r="CM1585" s="76"/>
      <c r="CN1585" s="76">
        <f>+CM1585*22000</f>
        <v>0</v>
      </c>
      <c r="CO1585" s="76"/>
      <c r="CP1585" s="76">
        <f>+CO1585*46000</f>
        <v>0</v>
      </c>
      <c r="CQ1585" s="76"/>
      <c r="CR1585" s="76">
        <f>+CQ1585*49000</f>
        <v>0</v>
      </c>
      <c r="CS1585" s="76"/>
      <c r="CT1585" s="76"/>
      <c r="CU1585" s="56">
        <f>AN1585+AP1585+AR1585+AT1585+AV1585+AX1585+AZ1585+BB1585+BD1585+BF1585+BH1585+BJ1585+BL1585+BN1585+BP1585+BR1585+BT1585+BV1585+BX1585+BZ1585+CB1585+CD1585+CF1585+CH1585+CJ1585+CL1585+CN1585+CP1585+CR1585+CT1585</f>
        <v>0</v>
      </c>
      <c r="CV1585" s="76"/>
      <c r="CW1585" s="76">
        <f>+CV1585*1100</f>
        <v>0</v>
      </c>
      <c r="CX1585" s="76"/>
      <c r="CY1585" s="76">
        <f>+CX1585*106250</f>
        <v>0</v>
      </c>
      <c r="CZ1585" s="76"/>
      <c r="DA1585" s="76">
        <f>+CZ1585*34500</f>
        <v>0</v>
      </c>
      <c r="DB1585" s="76"/>
      <c r="DC1585" s="76">
        <f>+DB1585*25000</f>
        <v>0</v>
      </c>
      <c r="DD1585" s="219"/>
      <c r="DE1585" s="219"/>
      <c r="DF1585" s="166"/>
      <c r="DG1585" s="116"/>
      <c r="DH1585" s="117"/>
      <c r="DI1585" s="24"/>
      <c r="DJ1585" s="24"/>
      <c r="DK1585" s="24"/>
      <c r="DL1585" s="24"/>
      <c r="DM1585" s="24"/>
      <c r="DN1585" s="24"/>
      <c r="DO1585" s="24"/>
      <c r="DP1585" s="24"/>
      <c r="DQ1585" s="24"/>
      <c r="DR1585" s="24"/>
      <c r="DS1585" s="24"/>
      <c r="DT1585" s="24"/>
      <c r="DU1585" s="24"/>
    </row>
    <row r="1586" spans="1:125" s="8" customFormat="1" ht="96" x14ac:dyDescent="0.2">
      <c r="A1586" s="197">
        <v>41387</v>
      </c>
      <c r="B1586" s="198" t="s">
        <v>2851</v>
      </c>
      <c r="C1586" s="199" t="s">
        <v>2667</v>
      </c>
      <c r="D1586" s="199" t="s">
        <v>2859</v>
      </c>
      <c r="E1586" s="75" t="str">
        <f>VLOOKUP(B1586&amp;C1586,Divipola!$C$2:$F$1138,4,FALSE)</f>
        <v>76364</v>
      </c>
      <c r="F1586" s="200"/>
      <c r="G1586" s="200"/>
      <c r="H1586" s="200"/>
      <c r="I1586" s="200">
        <v>5</v>
      </c>
      <c r="J1586" s="200">
        <v>1</v>
      </c>
      <c r="K1586" s="200">
        <v>1</v>
      </c>
      <c r="L1586" s="200"/>
      <c r="M1586" s="200"/>
      <c r="N1586" s="200"/>
      <c r="O1586" s="200"/>
      <c r="P1586" s="200"/>
      <c r="Q1586" s="200"/>
      <c r="R1586" s="200"/>
      <c r="S1586" s="200"/>
      <c r="T1586" s="200"/>
      <c r="U1586" s="201"/>
      <c r="V1586" s="89"/>
      <c r="W1586" s="96">
        <v>0</v>
      </c>
      <c r="X1586" s="71">
        <f>CU1586</f>
        <v>0</v>
      </c>
      <c r="Y1586" s="71">
        <f>CY1586</f>
        <v>0</v>
      </c>
      <c r="Z1586" s="71">
        <f>DA1586+DC1586+DE1586</f>
        <v>0</v>
      </c>
      <c r="AA1586" s="71">
        <f>CW1586</f>
        <v>0</v>
      </c>
      <c r="AB1586" s="71"/>
      <c r="AC1586" s="71">
        <v>0</v>
      </c>
      <c r="AD1586" s="71">
        <f>W1586+X1586+Y1586+Z1586+AA1586+AB1586+AC1586</f>
        <v>0</v>
      </c>
      <c r="AE1586" s="72">
        <v>0</v>
      </c>
      <c r="AF1586" s="5"/>
      <c r="AG1586" s="6"/>
      <c r="AH1586" s="27" t="s">
        <v>3392</v>
      </c>
      <c r="AI1586" s="44" t="s">
        <v>3393</v>
      </c>
      <c r="AJ1586" s="26"/>
      <c r="AK1586" s="5"/>
      <c r="AL1586" s="82" t="s">
        <v>4368</v>
      </c>
      <c r="AM1586" s="76"/>
      <c r="AN1586" s="76"/>
      <c r="AO1586" s="76"/>
      <c r="AP1586" s="76"/>
      <c r="AQ1586" s="76"/>
      <c r="AR1586" s="76"/>
      <c r="AS1586" s="76"/>
      <c r="AT1586" s="76"/>
      <c r="AU1586" s="76"/>
      <c r="AV1586" s="76"/>
      <c r="AW1586" s="76"/>
      <c r="AX1586" s="76">
        <f>+AW1586*600000</f>
        <v>0</v>
      </c>
      <c r="AY1586" s="76"/>
      <c r="AZ1586" s="76">
        <f>+AY1586*70000</f>
        <v>0</v>
      </c>
      <c r="BA1586" s="76"/>
      <c r="BB1586" s="76"/>
      <c r="BC1586" s="76"/>
      <c r="BD1586" s="76">
        <f>+BC1586*30000</f>
        <v>0</v>
      </c>
      <c r="BE1586" s="76"/>
      <c r="BF1586" s="76"/>
      <c r="BG1586" s="76"/>
      <c r="BH1586" s="76"/>
      <c r="BI1586" s="76"/>
      <c r="BJ1586" s="76"/>
      <c r="BK1586" s="76"/>
      <c r="BL1586" s="76">
        <f>+BK1586*31500</f>
        <v>0</v>
      </c>
      <c r="BM1586" s="76"/>
      <c r="BN1586" s="76"/>
      <c r="BO1586" s="76"/>
      <c r="BP1586" s="76"/>
      <c r="BQ1586" s="76"/>
      <c r="BR1586" s="76"/>
      <c r="BS1586" s="76"/>
      <c r="BT1586" s="76"/>
      <c r="BU1586" s="76"/>
      <c r="BV1586" s="76"/>
      <c r="BW1586" s="76"/>
      <c r="BX1586" s="76"/>
      <c r="BY1586" s="76"/>
      <c r="BZ1586" s="76"/>
      <c r="CA1586" s="76"/>
      <c r="CB1586" s="76"/>
      <c r="CC1586" s="76"/>
      <c r="CD1586" s="76"/>
      <c r="CE1586" s="76"/>
      <c r="CF1586" s="76">
        <f>+CE1586*28000</f>
        <v>0</v>
      </c>
      <c r="CG1586" s="76"/>
      <c r="CH1586" s="76">
        <f>+CG1586*22500</f>
        <v>0</v>
      </c>
      <c r="CI1586" s="76"/>
      <c r="CJ1586" s="76">
        <f>+CI1586*26000</f>
        <v>0</v>
      </c>
      <c r="CK1586" s="76"/>
      <c r="CL1586" s="76"/>
      <c r="CM1586" s="76"/>
      <c r="CN1586" s="76">
        <f>+CM1586*22000</f>
        <v>0</v>
      </c>
      <c r="CO1586" s="76"/>
      <c r="CP1586" s="76">
        <f>+CO1586*46000</f>
        <v>0</v>
      </c>
      <c r="CQ1586" s="76"/>
      <c r="CR1586" s="76">
        <f>+CQ1586*49000</f>
        <v>0</v>
      </c>
      <c r="CS1586" s="76"/>
      <c r="CT1586" s="76"/>
      <c r="CU1586" s="56">
        <f>AN1586+AP1586+AR1586+AT1586+AV1586+AX1586+AZ1586+BB1586+BD1586+BF1586+BH1586+BJ1586+BL1586+BN1586+BP1586+BR1586+BT1586+BV1586+BX1586+BZ1586+CB1586+CD1586+CF1586+CH1586+CJ1586+CL1586+CN1586+CP1586+CR1586+CT1586</f>
        <v>0</v>
      </c>
      <c r="CV1586" s="76"/>
      <c r="CW1586" s="76">
        <f>+CV1586*1100</f>
        <v>0</v>
      </c>
      <c r="CX1586" s="76"/>
      <c r="CY1586" s="76">
        <f>+CX1586*106250</f>
        <v>0</v>
      </c>
      <c r="CZ1586" s="76"/>
      <c r="DA1586" s="76">
        <f>+CZ1586*34500</f>
        <v>0</v>
      </c>
      <c r="DB1586" s="76"/>
      <c r="DC1586" s="76">
        <f>+DB1586*25000</f>
        <v>0</v>
      </c>
      <c r="DD1586" s="219"/>
      <c r="DE1586" s="219"/>
      <c r="DF1586" s="166"/>
      <c r="DG1586" s="116"/>
      <c r="DH1586" s="117"/>
      <c r="DI1586" s="24"/>
      <c r="DJ1586" s="24"/>
      <c r="DK1586" s="24"/>
      <c r="DL1586" s="24"/>
      <c r="DM1586" s="24"/>
      <c r="DN1586" s="24"/>
      <c r="DO1586" s="24"/>
      <c r="DP1586" s="24"/>
      <c r="DQ1586" s="24"/>
      <c r="DR1586" s="24"/>
      <c r="DS1586" s="24"/>
      <c r="DT1586" s="24"/>
      <c r="DU1586" s="24"/>
    </row>
    <row r="1587" spans="1:125" s="8" customFormat="1" ht="144" x14ac:dyDescent="0.2">
      <c r="A1587" s="353">
        <v>41387</v>
      </c>
      <c r="B1587" s="225" t="s">
        <v>2851</v>
      </c>
      <c r="C1587" s="227" t="s">
        <v>2667</v>
      </c>
      <c r="D1587" s="227" t="s">
        <v>2882</v>
      </c>
      <c r="E1587" s="75" t="str">
        <f>VLOOKUP(B1587&amp;C1587,Divipola!$C$2:$F$1138,4,FALSE)</f>
        <v>76364</v>
      </c>
      <c r="F1587" s="87"/>
      <c r="G1587" s="87">
        <v>1</v>
      </c>
      <c r="H1587" s="87"/>
      <c r="I1587" s="87">
        <v>10</v>
      </c>
      <c r="J1587" s="87">
        <v>2</v>
      </c>
      <c r="K1587" s="87"/>
      <c r="L1587" s="87">
        <v>2</v>
      </c>
      <c r="M1587" s="87"/>
      <c r="N1587" s="87"/>
      <c r="O1587" s="87"/>
      <c r="P1587" s="87"/>
      <c r="Q1587" s="87"/>
      <c r="R1587" s="87"/>
      <c r="S1587" s="87"/>
      <c r="T1587" s="87"/>
      <c r="U1587" s="88"/>
      <c r="V1587" s="89"/>
      <c r="W1587" s="96">
        <v>0</v>
      </c>
      <c r="X1587" s="71">
        <f>CU1587</f>
        <v>0</v>
      </c>
      <c r="Y1587" s="71">
        <f>CY1587</f>
        <v>0</v>
      </c>
      <c r="Z1587" s="71">
        <f>DA1587+DC1587+DE1587</f>
        <v>0</v>
      </c>
      <c r="AA1587" s="71">
        <f>CW1587</f>
        <v>0</v>
      </c>
      <c r="AB1587" s="71"/>
      <c r="AC1587" s="71">
        <v>0</v>
      </c>
      <c r="AD1587" s="71">
        <f>W1587+X1587+Y1587+Z1587+AA1587+AB1587+AC1587</f>
        <v>0</v>
      </c>
      <c r="AE1587" s="72">
        <v>0</v>
      </c>
      <c r="AF1587" s="5"/>
      <c r="AG1587" s="6"/>
      <c r="AH1587" s="27" t="s">
        <v>3392</v>
      </c>
      <c r="AI1587" s="44" t="s">
        <v>3393</v>
      </c>
      <c r="AJ1587" s="26"/>
      <c r="AK1587" s="5"/>
      <c r="AL1587" s="82" t="s">
        <v>4382</v>
      </c>
      <c r="AM1587" s="76"/>
      <c r="AN1587" s="76"/>
      <c r="AO1587" s="76"/>
      <c r="AP1587" s="76"/>
      <c r="AQ1587" s="76"/>
      <c r="AR1587" s="76"/>
      <c r="AS1587" s="76"/>
      <c r="AT1587" s="76"/>
      <c r="AU1587" s="76"/>
      <c r="AV1587" s="76"/>
      <c r="AW1587" s="76"/>
      <c r="AX1587" s="76">
        <f>+AW1587*600000</f>
        <v>0</v>
      </c>
      <c r="AY1587" s="76"/>
      <c r="AZ1587" s="76">
        <f>+AY1587*70000</f>
        <v>0</v>
      </c>
      <c r="BA1587" s="76"/>
      <c r="BB1587" s="76"/>
      <c r="BC1587" s="76"/>
      <c r="BD1587" s="76">
        <f>+BC1587*30000</f>
        <v>0</v>
      </c>
      <c r="BE1587" s="76"/>
      <c r="BF1587" s="76"/>
      <c r="BG1587" s="76"/>
      <c r="BH1587" s="76"/>
      <c r="BI1587" s="76"/>
      <c r="BJ1587" s="76"/>
      <c r="BK1587" s="76"/>
      <c r="BL1587" s="76">
        <f>+BK1587*31500</f>
        <v>0</v>
      </c>
      <c r="BM1587" s="76"/>
      <c r="BN1587" s="76"/>
      <c r="BO1587" s="76"/>
      <c r="BP1587" s="76"/>
      <c r="BQ1587" s="76"/>
      <c r="BR1587" s="76"/>
      <c r="BS1587" s="76"/>
      <c r="BT1587" s="76"/>
      <c r="BU1587" s="76"/>
      <c r="BV1587" s="76"/>
      <c r="BW1587" s="76"/>
      <c r="BX1587" s="76"/>
      <c r="BY1587" s="76"/>
      <c r="BZ1587" s="76"/>
      <c r="CA1587" s="76"/>
      <c r="CB1587" s="76"/>
      <c r="CC1587" s="76"/>
      <c r="CD1587" s="76"/>
      <c r="CE1587" s="76"/>
      <c r="CF1587" s="76">
        <f>+CE1587*28000</f>
        <v>0</v>
      </c>
      <c r="CG1587" s="76"/>
      <c r="CH1587" s="76">
        <f>+CG1587*22500</f>
        <v>0</v>
      </c>
      <c r="CI1587" s="76"/>
      <c r="CJ1587" s="76">
        <f>+CI1587*26000</f>
        <v>0</v>
      </c>
      <c r="CK1587" s="76"/>
      <c r="CL1587" s="76"/>
      <c r="CM1587" s="76"/>
      <c r="CN1587" s="76">
        <f>+CM1587*22000</f>
        <v>0</v>
      </c>
      <c r="CO1587" s="76"/>
      <c r="CP1587" s="76">
        <f>+CO1587*46000</f>
        <v>0</v>
      </c>
      <c r="CQ1587" s="76"/>
      <c r="CR1587" s="76">
        <f>+CQ1587*49000</f>
        <v>0</v>
      </c>
      <c r="CS1587" s="76"/>
      <c r="CT1587" s="76"/>
      <c r="CU1587" s="56">
        <f>AN1587+AP1587+AR1587+AT1587+AV1587+AX1587+AZ1587+BB1587+BD1587+BF1587+BH1587+BJ1587+BL1587+BN1587+BP1587+BR1587+BT1587+BV1587+BX1587+BZ1587+CB1587+CD1587+CF1587+CH1587+CJ1587+CL1587+CN1587+CP1587+CR1587+CT1587</f>
        <v>0</v>
      </c>
      <c r="CV1587" s="76"/>
      <c r="CW1587" s="76">
        <f>+CV1587*1100</f>
        <v>0</v>
      </c>
      <c r="CX1587" s="76"/>
      <c r="CY1587" s="76">
        <f>+CX1587*106250</f>
        <v>0</v>
      </c>
      <c r="CZ1587" s="76"/>
      <c r="DA1587" s="76">
        <f>+CZ1587*34500</f>
        <v>0</v>
      </c>
      <c r="DB1587" s="76"/>
      <c r="DC1587" s="76">
        <f>+DB1587*25000</f>
        <v>0</v>
      </c>
      <c r="DD1587" s="219"/>
      <c r="DE1587" s="219"/>
      <c r="DF1587" s="166"/>
      <c r="DG1587" s="116"/>
      <c r="DH1587" s="117"/>
      <c r="DI1587" s="24"/>
      <c r="DJ1587" s="24"/>
      <c r="DK1587" s="24"/>
      <c r="DL1587" s="24"/>
      <c r="DM1587" s="24"/>
      <c r="DN1587" s="24"/>
      <c r="DO1587" s="24"/>
      <c r="DP1587" s="24"/>
      <c r="DQ1587" s="24"/>
      <c r="DR1587" s="24"/>
      <c r="DS1587" s="24"/>
      <c r="DT1587" s="24"/>
      <c r="DU1587" s="24"/>
    </row>
    <row r="1588" spans="1:125" s="8" customFormat="1" ht="36" x14ac:dyDescent="0.2">
      <c r="A1588" s="77">
        <v>41388</v>
      </c>
      <c r="B1588" s="78" t="s">
        <v>2777</v>
      </c>
      <c r="C1588" s="75" t="s">
        <v>2009</v>
      </c>
      <c r="D1588" s="75" t="s">
        <v>2882</v>
      </c>
      <c r="E1588" s="75" t="str">
        <f>VLOOKUP(B1588&amp;C1588,Divipola!$C$2:$F$1138,4,FALSE)</f>
        <v>13600</v>
      </c>
      <c r="F1588" s="61"/>
      <c r="G1588" s="61"/>
      <c r="H1588" s="61"/>
      <c r="I1588" s="61"/>
      <c r="J1588" s="61"/>
      <c r="K1588" s="61"/>
      <c r="L1588" s="61"/>
      <c r="M1588" s="61"/>
      <c r="N1588" s="61"/>
      <c r="O1588" s="61"/>
      <c r="P1588" s="61"/>
      <c r="Q1588" s="61"/>
      <c r="R1588" s="61"/>
      <c r="S1588" s="61"/>
      <c r="T1588" s="61"/>
      <c r="U1588" s="61"/>
      <c r="V1588" s="7"/>
      <c r="W1588" s="96">
        <v>0</v>
      </c>
      <c r="X1588" s="71">
        <f>CU1588</f>
        <v>0</v>
      </c>
      <c r="Y1588" s="71">
        <f>CY1588</f>
        <v>0</v>
      </c>
      <c r="Z1588" s="71">
        <f>DA1588+DC1588+DE1588</f>
        <v>0</v>
      </c>
      <c r="AA1588" s="71">
        <f>CW1588</f>
        <v>0</v>
      </c>
      <c r="AB1588" s="71"/>
      <c r="AC1588" s="71">
        <v>0</v>
      </c>
      <c r="AD1588" s="71">
        <f>W1588+X1588+Y1588+Z1588+AA1588+AB1588+AC1588</f>
        <v>0</v>
      </c>
      <c r="AE1588" s="72">
        <v>0</v>
      </c>
      <c r="AF1588" s="5"/>
      <c r="AG1588" s="6"/>
      <c r="AH1588" s="27" t="s">
        <v>3390</v>
      </c>
      <c r="AI1588" s="44" t="s">
        <v>3393</v>
      </c>
      <c r="AJ1588" s="26"/>
      <c r="AK1588" s="5" t="s">
        <v>4242</v>
      </c>
      <c r="AL1588" s="9" t="s">
        <v>6262</v>
      </c>
      <c r="AM1588" s="76"/>
      <c r="AN1588" s="76"/>
      <c r="AO1588" s="76"/>
      <c r="AP1588" s="76"/>
      <c r="AQ1588" s="76"/>
      <c r="AR1588" s="76"/>
      <c r="AS1588" s="76"/>
      <c r="AT1588" s="76"/>
      <c r="AU1588" s="76"/>
      <c r="AV1588" s="76"/>
      <c r="AW1588" s="76"/>
      <c r="AX1588" s="76">
        <f>+AW1588*600000</f>
        <v>0</v>
      </c>
      <c r="AY1588" s="76"/>
      <c r="AZ1588" s="76">
        <f>+AY1588*70000</f>
        <v>0</v>
      </c>
      <c r="BA1588" s="76"/>
      <c r="BB1588" s="76"/>
      <c r="BC1588" s="76"/>
      <c r="BD1588" s="76">
        <f>+BC1588*30000</f>
        <v>0</v>
      </c>
      <c r="BE1588" s="76"/>
      <c r="BF1588" s="76"/>
      <c r="BG1588" s="76"/>
      <c r="BH1588" s="76"/>
      <c r="BI1588" s="76"/>
      <c r="BJ1588" s="76"/>
      <c r="BK1588" s="76"/>
      <c r="BL1588" s="76">
        <f>+BK1588*31500</f>
        <v>0</v>
      </c>
      <c r="BM1588" s="76"/>
      <c r="BN1588" s="76"/>
      <c r="BO1588" s="76"/>
      <c r="BP1588" s="76"/>
      <c r="BQ1588" s="76"/>
      <c r="BR1588" s="76"/>
      <c r="BS1588" s="76"/>
      <c r="BT1588" s="76"/>
      <c r="BU1588" s="76"/>
      <c r="BV1588" s="76"/>
      <c r="BW1588" s="76"/>
      <c r="BX1588" s="76"/>
      <c r="BY1588" s="76"/>
      <c r="BZ1588" s="76"/>
      <c r="CA1588" s="76"/>
      <c r="CB1588" s="76"/>
      <c r="CC1588" s="76"/>
      <c r="CD1588" s="76"/>
      <c r="CE1588" s="76"/>
      <c r="CF1588" s="76">
        <f>+CE1588*28000</f>
        <v>0</v>
      </c>
      <c r="CG1588" s="76"/>
      <c r="CH1588" s="76">
        <f>+CG1588*22500</f>
        <v>0</v>
      </c>
      <c r="CI1588" s="76"/>
      <c r="CJ1588" s="76">
        <f>+CI1588*26000</f>
        <v>0</v>
      </c>
      <c r="CK1588" s="76"/>
      <c r="CL1588" s="76"/>
      <c r="CM1588" s="76"/>
      <c r="CN1588" s="76">
        <f>+CM1588*22000</f>
        <v>0</v>
      </c>
      <c r="CO1588" s="76"/>
      <c r="CP1588" s="76">
        <f>+CO1588*46000</f>
        <v>0</v>
      </c>
      <c r="CQ1588" s="76"/>
      <c r="CR1588" s="76">
        <f>+CQ1588*49000</f>
        <v>0</v>
      </c>
      <c r="CS1588" s="76"/>
      <c r="CT1588" s="76"/>
      <c r="CU1588" s="56">
        <f>AN1588+AP1588+AR1588+AT1588+AV1588+AX1588+AZ1588+BB1588+BD1588+BF1588+BH1588+BJ1588+BL1588+BN1588+BP1588+BR1588+BT1588+BV1588+BX1588+BZ1588+CB1588+CD1588+CF1588+CH1588+CJ1588+CL1588+CN1588+CP1588+CR1588+CT1588</f>
        <v>0</v>
      </c>
      <c r="CV1588" s="76"/>
      <c r="CW1588" s="76">
        <f>+CV1588*1100</f>
        <v>0</v>
      </c>
      <c r="CX1588" s="76"/>
      <c r="CY1588" s="76">
        <f>+CX1588*106250</f>
        <v>0</v>
      </c>
      <c r="CZ1588" s="76"/>
      <c r="DA1588" s="76">
        <f>+CZ1588*34500</f>
        <v>0</v>
      </c>
      <c r="DB1588" s="76"/>
      <c r="DC1588" s="76">
        <f>+DB1588*25000</f>
        <v>0</v>
      </c>
      <c r="DD1588" s="219"/>
      <c r="DE1588" s="219"/>
      <c r="DF1588" s="166"/>
      <c r="DG1588" s="116"/>
      <c r="DH1588" s="117"/>
      <c r="DI1588" s="24"/>
      <c r="DJ1588" s="24"/>
      <c r="DK1588" s="24"/>
      <c r="DL1588" s="24"/>
      <c r="DM1588" s="24"/>
      <c r="DN1588" s="24"/>
      <c r="DO1588" s="24"/>
      <c r="DP1588" s="24"/>
      <c r="DQ1588" s="24"/>
      <c r="DR1588" s="24"/>
      <c r="DS1588" s="24"/>
      <c r="DT1588" s="24"/>
      <c r="DU1588" s="24"/>
    </row>
    <row r="1589" spans="1:125" s="8" customFormat="1" ht="120" x14ac:dyDescent="0.2">
      <c r="A1589" s="226">
        <v>41388</v>
      </c>
      <c r="B1589" s="352" t="s">
        <v>2772</v>
      </c>
      <c r="C1589" s="354" t="s">
        <v>1022</v>
      </c>
      <c r="D1589" s="84" t="s">
        <v>3088</v>
      </c>
      <c r="E1589" s="75" t="str">
        <f>VLOOKUP(B1589&amp;C1589,Divipola!$C$2:$F$1138,4,FALSE)</f>
        <v>25123</v>
      </c>
      <c r="F1589" s="87"/>
      <c r="G1589" s="87"/>
      <c r="H1589" s="87"/>
      <c r="I1589" s="87">
        <v>7</v>
      </c>
      <c r="J1589" s="87">
        <v>1</v>
      </c>
      <c r="K1589" s="87"/>
      <c r="L1589" s="87">
        <v>1</v>
      </c>
      <c r="M1589" s="87"/>
      <c r="N1589" s="87"/>
      <c r="O1589" s="87"/>
      <c r="P1589" s="87">
        <v>1</v>
      </c>
      <c r="Q1589" s="87"/>
      <c r="R1589" s="87"/>
      <c r="S1589" s="87"/>
      <c r="T1589" s="87"/>
      <c r="U1589" s="88"/>
      <c r="V1589" s="89"/>
      <c r="W1589" s="96">
        <v>0</v>
      </c>
      <c r="X1589" s="71">
        <f>CU1589</f>
        <v>0</v>
      </c>
      <c r="Y1589" s="71">
        <f>CY1589</f>
        <v>0</v>
      </c>
      <c r="Z1589" s="71">
        <f>DA1589+DC1589+DE1589</f>
        <v>0</v>
      </c>
      <c r="AA1589" s="71">
        <f>CW1589</f>
        <v>0</v>
      </c>
      <c r="AB1589" s="71"/>
      <c r="AC1589" s="71">
        <v>0</v>
      </c>
      <c r="AD1589" s="71">
        <f>W1589+X1589+Y1589+Z1589+AA1589+AB1589+AC1589</f>
        <v>0</v>
      </c>
      <c r="AE1589" s="72">
        <v>0</v>
      </c>
      <c r="AF1589" s="5"/>
      <c r="AG1589" s="6"/>
      <c r="AH1589" s="27" t="s">
        <v>3392</v>
      </c>
      <c r="AI1589" s="44" t="s">
        <v>3393</v>
      </c>
      <c r="AJ1589" s="26"/>
      <c r="AK1589" s="5"/>
      <c r="AL1589" s="82" t="s">
        <v>4389</v>
      </c>
      <c r="AM1589" s="76"/>
      <c r="AN1589" s="76"/>
      <c r="AO1589" s="76"/>
      <c r="AP1589" s="76"/>
      <c r="AQ1589" s="76"/>
      <c r="AR1589" s="76"/>
      <c r="AS1589" s="76"/>
      <c r="AT1589" s="76"/>
      <c r="AU1589" s="76"/>
      <c r="AV1589" s="76"/>
      <c r="AW1589" s="76"/>
      <c r="AX1589" s="76">
        <f>+AW1589*600000</f>
        <v>0</v>
      </c>
      <c r="AY1589" s="76"/>
      <c r="AZ1589" s="76">
        <f>+AY1589*70000</f>
        <v>0</v>
      </c>
      <c r="BA1589" s="76"/>
      <c r="BB1589" s="76"/>
      <c r="BC1589" s="76"/>
      <c r="BD1589" s="76">
        <f>+BC1589*30000</f>
        <v>0</v>
      </c>
      <c r="BE1589" s="76"/>
      <c r="BF1589" s="76"/>
      <c r="BG1589" s="76"/>
      <c r="BH1589" s="76"/>
      <c r="BI1589" s="76"/>
      <c r="BJ1589" s="76"/>
      <c r="BK1589" s="76"/>
      <c r="BL1589" s="76">
        <f>+BK1589*31500</f>
        <v>0</v>
      </c>
      <c r="BM1589" s="76"/>
      <c r="BN1589" s="76"/>
      <c r="BO1589" s="76"/>
      <c r="BP1589" s="76"/>
      <c r="BQ1589" s="76"/>
      <c r="BR1589" s="76"/>
      <c r="BS1589" s="76"/>
      <c r="BT1589" s="76"/>
      <c r="BU1589" s="76"/>
      <c r="BV1589" s="76"/>
      <c r="BW1589" s="76"/>
      <c r="BX1589" s="76"/>
      <c r="BY1589" s="76"/>
      <c r="BZ1589" s="76"/>
      <c r="CA1589" s="76"/>
      <c r="CB1589" s="76"/>
      <c r="CC1589" s="76"/>
      <c r="CD1589" s="76"/>
      <c r="CE1589" s="76"/>
      <c r="CF1589" s="76">
        <f>+CE1589*28000</f>
        <v>0</v>
      </c>
      <c r="CG1589" s="76"/>
      <c r="CH1589" s="76">
        <f>+CG1589*22500</f>
        <v>0</v>
      </c>
      <c r="CI1589" s="76"/>
      <c r="CJ1589" s="76">
        <f>+CI1589*26000</f>
        <v>0</v>
      </c>
      <c r="CK1589" s="76"/>
      <c r="CL1589" s="76"/>
      <c r="CM1589" s="76"/>
      <c r="CN1589" s="76">
        <f>+CM1589*22000</f>
        <v>0</v>
      </c>
      <c r="CO1589" s="76"/>
      <c r="CP1589" s="76">
        <f>+CO1589*46000</f>
        <v>0</v>
      </c>
      <c r="CQ1589" s="76"/>
      <c r="CR1589" s="76">
        <f>+CQ1589*49000</f>
        <v>0</v>
      </c>
      <c r="CS1589" s="76"/>
      <c r="CT1589" s="76"/>
      <c r="CU1589" s="56">
        <f>AN1589+AP1589+AR1589+AT1589+AV1589+AX1589+AZ1589+BB1589+BD1589+BF1589+BH1589+BJ1589+BL1589+BN1589+BP1589+BR1589+BT1589+BV1589+BX1589+BZ1589+CB1589+CD1589+CF1589+CH1589+CJ1589+CL1589+CN1589+CP1589+CR1589+CT1589</f>
        <v>0</v>
      </c>
      <c r="CV1589" s="76"/>
      <c r="CW1589" s="76">
        <f>+CV1589*1100</f>
        <v>0</v>
      </c>
      <c r="CX1589" s="76"/>
      <c r="CY1589" s="76">
        <f>+CX1589*106250</f>
        <v>0</v>
      </c>
      <c r="CZ1589" s="76"/>
      <c r="DA1589" s="76">
        <f>+CZ1589*34500</f>
        <v>0</v>
      </c>
      <c r="DB1589" s="76"/>
      <c r="DC1589" s="76">
        <f>+DB1589*25000</f>
        <v>0</v>
      </c>
      <c r="DD1589" s="219"/>
      <c r="DE1589" s="219"/>
      <c r="DF1589" s="166"/>
      <c r="DG1589" s="116"/>
      <c r="DH1589" s="117"/>
      <c r="DI1589" s="24"/>
      <c r="DJ1589" s="24"/>
      <c r="DK1589" s="24"/>
      <c r="DL1589" s="24"/>
      <c r="DM1589" s="24"/>
      <c r="DN1589" s="24"/>
      <c r="DO1589" s="24"/>
      <c r="DP1589" s="24"/>
      <c r="DQ1589" s="24"/>
      <c r="DR1589" s="24"/>
      <c r="DS1589" s="24"/>
      <c r="DT1589" s="24"/>
      <c r="DU1589" s="24"/>
    </row>
    <row r="1590" spans="1:125" s="8" customFormat="1" ht="96" x14ac:dyDescent="0.2">
      <c r="A1590" s="226">
        <v>41388</v>
      </c>
      <c r="B1590" s="225" t="s">
        <v>2661</v>
      </c>
      <c r="C1590" s="227" t="s">
        <v>2169</v>
      </c>
      <c r="D1590" s="84" t="s">
        <v>3088</v>
      </c>
      <c r="E1590" s="75" t="str">
        <f>VLOOKUP(B1590&amp;C1590,Divipola!$C$2:$F$1138,4,FALSE)</f>
        <v>41001</v>
      </c>
      <c r="F1590" s="87"/>
      <c r="G1590" s="87"/>
      <c r="H1590" s="87"/>
      <c r="I1590" s="87">
        <v>10</v>
      </c>
      <c r="J1590" s="87">
        <v>2</v>
      </c>
      <c r="K1590" s="87"/>
      <c r="L1590" s="87">
        <v>2</v>
      </c>
      <c r="M1590" s="87"/>
      <c r="N1590" s="87"/>
      <c r="O1590" s="87"/>
      <c r="P1590" s="87"/>
      <c r="Q1590" s="87"/>
      <c r="R1590" s="87"/>
      <c r="S1590" s="87"/>
      <c r="T1590" s="87"/>
      <c r="U1590" s="88"/>
      <c r="V1590" s="89"/>
      <c r="W1590" s="96">
        <v>0</v>
      </c>
      <c r="X1590" s="71">
        <f>CU1590</f>
        <v>0</v>
      </c>
      <c r="Y1590" s="71">
        <f>CY1590</f>
        <v>0</v>
      </c>
      <c r="Z1590" s="71">
        <f>DA1590+DC1590+DE1590</f>
        <v>0</v>
      </c>
      <c r="AA1590" s="71">
        <f>CW1590</f>
        <v>0</v>
      </c>
      <c r="AB1590" s="71"/>
      <c r="AC1590" s="71">
        <v>0</v>
      </c>
      <c r="AD1590" s="71">
        <f>W1590+X1590+Y1590+Z1590+AA1590+AB1590+AC1590</f>
        <v>0</v>
      </c>
      <c r="AE1590" s="72">
        <v>0</v>
      </c>
      <c r="AF1590" s="5"/>
      <c r="AG1590" s="6"/>
      <c r="AH1590" s="27" t="s">
        <v>3392</v>
      </c>
      <c r="AI1590" s="44" t="s">
        <v>3393</v>
      </c>
      <c r="AJ1590" s="26"/>
      <c r="AK1590" s="5"/>
      <c r="AL1590" s="82" t="s">
        <v>4388</v>
      </c>
      <c r="AM1590" s="76"/>
      <c r="AN1590" s="76"/>
      <c r="AO1590" s="76"/>
      <c r="AP1590" s="76"/>
      <c r="AQ1590" s="76"/>
      <c r="AR1590" s="76"/>
      <c r="AS1590" s="76"/>
      <c r="AT1590" s="76"/>
      <c r="AU1590" s="76"/>
      <c r="AV1590" s="76"/>
      <c r="AW1590" s="76"/>
      <c r="AX1590" s="76">
        <f>+AW1590*600000</f>
        <v>0</v>
      </c>
      <c r="AY1590" s="76"/>
      <c r="AZ1590" s="76">
        <f>+AY1590*70000</f>
        <v>0</v>
      </c>
      <c r="BA1590" s="76"/>
      <c r="BB1590" s="76"/>
      <c r="BC1590" s="76"/>
      <c r="BD1590" s="76">
        <f>+BC1590*30000</f>
        <v>0</v>
      </c>
      <c r="BE1590" s="76"/>
      <c r="BF1590" s="76"/>
      <c r="BG1590" s="76"/>
      <c r="BH1590" s="76"/>
      <c r="BI1590" s="76"/>
      <c r="BJ1590" s="76"/>
      <c r="BK1590" s="76"/>
      <c r="BL1590" s="76">
        <f>+BK1590*31500</f>
        <v>0</v>
      </c>
      <c r="BM1590" s="76"/>
      <c r="BN1590" s="76"/>
      <c r="BO1590" s="76"/>
      <c r="BP1590" s="76"/>
      <c r="BQ1590" s="76"/>
      <c r="BR1590" s="76"/>
      <c r="BS1590" s="76"/>
      <c r="BT1590" s="76"/>
      <c r="BU1590" s="76"/>
      <c r="BV1590" s="76"/>
      <c r="BW1590" s="76"/>
      <c r="BX1590" s="76"/>
      <c r="BY1590" s="76"/>
      <c r="BZ1590" s="76"/>
      <c r="CA1590" s="76"/>
      <c r="CB1590" s="76"/>
      <c r="CC1590" s="76"/>
      <c r="CD1590" s="76"/>
      <c r="CE1590" s="76"/>
      <c r="CF1590" s="76">
        <f>+CE1590*28000</f>
        <v>0</v>
      </c>
      <c r="CG1590" s="76"/>
      <c r="CH1590" s="76">
        <f>+CG1590*22500</f>
        <v>0</v>
      </c>
      <c r="CI1590" s="76"/>
      <c r="CJ1590" s="76">
        <f>+CI1590*26000</f>
        <v>0</v>
      </c>
      <c r="CK1590" s="76"/>
      <c r="CL1590" s="76"/>
      <c r="CM1590" s="76"/>
      <c r="CN1590" s="76">
        <f>+CM1590*22000</f>
        <v>0</v>
      </c>
      <c r="CO1590" s="76"/>
      <c r="CP1590" s="76">
        <f>+CO1590*46000</f>
        <v>0</v>
      </c>
      <c r="CQ1590" s="76"/>
      <c r="CR1590" s="76">
        <f>+CQ1590*49000</f>
        <v>0</v>
      </c>
      <c r="CS1590" s="76"/>
      <c r="CT1590" s="76"/>
      <c r="CU1590" s="56">
        <f>AN1590+AP1590+AR1590+AT1590+AV1590+AX1590+AZ1590+BB1590+BD1590+BF1590+BH1590+BJ1590+BL1590+BN1590+BP1590+BR1590+BT1590+BV1590+BX1590+BZ1590+CB1590+CD1590+CF1590+CH1590+CJ1590+CL1590+CN1590+CP1590+CR1590+CT1590</f>
        <v>0</v>
      </c>
      <c r="CV1590" s="76"/>
      <c r="CW1590" s="76">
        <f>+CV1590*1100</f>
        <v>0</v>
      </c>
      <c r="CX1590" s="76"/>
      <c r="CY1590" s="76">
        <f>+CX1590*106250</f>
        <v>0</v>
      </c>
      <c r="CZ1590" s="76"/>
      <c r="DA1590" s="76">
        <f>+CZ1590*34500</f>
        <v>0</v>
      </c>
      <c r="DB1590" s="76"/>
      <c r="DC1590" s="76">
        <f>+DB1590*25000</f>
        <v>0</v>
      </c>
      <c r="DD1590" s="219"/>
      <c r="DE1590" s="219"/>
      <c r="DF1590" s="166"/>
      <c r="DG1590" s="116"/>
      <c r="DH1590" s="117"/>
      <c r="DI1590" s="24"/>
      <c r="DJ1590" s="24"/>
      <c r="DK1590" s="24"/>
      <c r="DL1590" s="24"/>
      <c r="DM1590" s="24"/>
      <c r="DN1590" s="24"/>
      <c r="DO1590" s="24"/>
      <c r="DP1590" s="24"/>
      <c r="DQ1590" s="24"/>
      <c r="DR1590" s="24"/>
      <c r="DS1590" s="24"/>
      <c r="DT1590" s="24"/>
      <c r="DU1590" s="24"/>
    </row>
    <row r="1591" spans="1:125" s="8" customFormat="1" ht="36" x14ac:dyDescent="0.2">
      <c r="A1591" s="353">
        <v>41388</v>
      </c>
      <c r="B1591" s="352" t="s">
        <v>2860</v>
      </c>
      <c r="C1591" s="354" t="s">
        <v>2776</v>
      </c>
      <c r="D1591" s="354" t="s">
        <v>2882</v>
      </c>
      <c r="E1591" s="75" t="str">
        <f>VLOOKUP(B1591&amp;C1591,Divipola!$C$2:$F$1138,4,FALSE)</f>
        <v>63001</v>
      </c>
      <c r="F1591" s="163"/>
      <c r="G1591" s="163"/>
      <c r="H1591" s="163"/>
      <c r="I1591" s="163">
        <v>40</v>
      </c>
      <c r="J1591" s="163">
        <v>8</v>
      </c>
      <c r="K1591" s="163"/>
      <c r="L1591" s="163">
        <v>8</v>
      </c>
      <c r="M1591" s="163"/>
      <c r="N1591" s="163"/>
      <c r="O1591" s="163"/>
      <c r="P1591" s="163"/>
      <c r="Q1591" s="163"/>
      <c r="R1591" s="163"/>
      <c r="S1591" s="163"/>
      <c r="T1591" s="163"/>
      <c r="U1591" s="163"/>
      <c r="V1591" s="134"/>
      <c r="W1591" s="96">
        <v>0</v>
      </c>
      <c r="X1591" s="71">
        <f>CU1591</f>
        <v>0</v>
      </c>
      <c r="Y1591" s="71">
        <f>CY1591</f>
        <v>0</v>
      </c>
      <c r="Z1591" s="71">
        <f>DA1591+DC1591+DE1591</f>
        <v>0</v>
      </c>
      <c r="AA1591" s="71">
        <f>CW1591</f>
        <v>0</v>
      </c>
      <c r="AB1591" s="71"/>
      <c r="AC1591" s="71">
        <v>0</v>
      </c>
      <c r="AD1591" s="71">
        <f>W1591+X1591+Y1591+Z1591+AA1591+AB1591+AC1591</f>
        <v>0</v>
      </c>
      <c r="AE1591" s="72">
        <v>0</v>
      </c>
      <c r="AF1591" s="5"/>
      <c r="AG1591" s="6"/>
      <c r="AH1591" s="27" t="s">
        <v>3390</v>
      </c>
      <c r="AI1591" s="44" t="s">
        <v>3393</v>
      </c>
      <c r="AJ1591" s="26"/>
      <c r="AK1591" s="5" t="s">
        <v>4242</v>
      </c>
      <c r="AL1591" s="82" t="s">
        <v>4540</v>
      </c>
      <c r="AM1591" s="76"/>
      <c r="AN1591" s="76"/>
      <c r="AO1591" s="76"/>
      <c r="AP1591" s="76"/>
      <c r="AQ1591" s="76"/>
      <c r="AR1591" s="76"/>
      <c r="AS1591" s="76"/>
      <c r="AT1591" s="76"/>
      <c r="AU1591" s="76"/>
      <c r="AV1591" s="76"/>
      <c r="AW1591" s="76"/>
      <c r="AX1591" s="76">
        <f>+AW1591*600000</f>
        <v>0</v>
      </c>
      <c r="AY1591" s="76"/>
      <c r="AZ1591" s="76">
        <f>+AY1591*70000</f>
        <v>0</v>
      </c>
      <c r="BA1591" s="76"/>
      <c r="BB1591" s="76"/>
      <c r="BC1591" s="76"/>
      <c r="BD1591" s="76">
        <f>+BC1591*30000</f>
        <v>0</v>
      </c>
      <c r="BE1591" s="76"/>
      <c r="BF1591" s="76"/>
      <c r="BG1591" s="76"/>
      <c r="BH1591" s="76"/>
      <c r="BI1591" s="76"/>
      <c r="BJ1591" s="76"/>
      <c r="BK1591" s="76"/>
      <c r="BL1591" s="76">
        <f>+BK1591*31500</f>
        <v>0</v>
      </c>
      <c r="BM1591" s="76"/>
      <c r="BN1591" s="76"/>
      <c r="BO1591" s="76"/>
      <c r="BP1591" s="76"/>
      <c r="BQ1591" s="76"/>
      <c r="BR1591" s="76"/>
      <c r="BS1591" s="76"/>
      <c r="BT1591" s="76"/>
      <c r="BU1591" s="76"/>
      <c r="BV1591" s="76"/>
      <c r="BW1591" s="76"/>
      <c r="BX1591" s="76"/>
      <c r="BY1591" s="76"/>
      <c r="BZ1591" s="76"/>
      <c r="CA1591" s="76"/>
      <c r="CB1591" s="76"/>
      <c r="CC1591" s="76"/>
      <c r="CD1591" s="76"/>
      <c r="CE1591" s="76"/>
      <c r="CF1591" s="76">
        <f>+CE1591*28000</f>
        <v>0</v>
      </c>
      <c r="CG1591" s="76"/>
      <c r="CH1591" s="76">
        <f>+CG1591*22500</f>
        <v>0</v>
      </c>
      <c r="CI1591" s="76"/>
      <c r="CJ1591" s="76">
        <f>+CI1591*26000</f>
        <v>0</v>
      </c>
      <c r="CK1591" s="76"/>
      <c r="CL1591" s="76"/>
      <c r="CM1591" s="76"/>
      <c r="CN1591" s="76">
        <f>+CM1591*22000</f>
        <v>0</v>
      </c>
      <c r="CO1591" s="76"/>
      <c r="CP1591" s="76">
        <f>+CO1591*46000</f>
        <v>0</v>
      </c>
      <c r="CQ1591" s="76"/>
      <c r="CR1591" s="76">
        <f>+CQ1591*49000</f>
        <v>0</v>
      </c>
      <c r="CS1591" s="76"/>
      <c r="CT1591" s="76"/>
      <c r="CU1591" s="56">
        <f>AN1591+AP1591+AR1591+AT1591+AV1591+AX1591+AZ1591+BB1591+BD1591+BF1591+BH1591+BJ1591+BL1591+BN1591+BP1591+BR1591+BT1591+BV1591+BX1591+BZ1591+CB1591+CD1591+CF1591+CH1591+CJ1591+CL1591+CN1591+CP1591+CR1591+CT1591</f>
        <v>0</v>
      </c>
      <c r="CV1591" s="76"/>
      <c r="CW1591" s="76">
        <f>+CV1591*1100</f>
        <v>0</v>
      </c>
      <c r="CX1591" s="76"/>
      <c r="CY1591" s="76">
        <f>+CX1591*106250</f>
        <v>0</v>
      </c>
      <c r="CZ1591" s="76"/>
      <c r="DA1591" s="76">
        <f>+CZ1591*34500</f>
        <v>0</v>
      </c>
      <c r="DB1591" s="76"/>
      <c r="DC1591" s="76">
        <f>+DB1591*25000</f>
        <v>0</v>
      </c>
      <c r="DD1591" s="219"/>
      <c r="DE1591" s="219"/>
      <c r="DF1591" s="166"/>
      <c r="DG1591" s="116"/>
      <c r="DH1591" s="117"/>
      <c r="DI1591" s="24"/>
      <c r="DJ1591" s="24"/>
      <c r="DK1591" s="24"/>
      <c r="DL1591" s="24"/>
      <c r="DM1591" s="24"/>
      <c r="DN1591" s="24"/>
      <c r="DO1591" s="24"/>
      <c r="DP1591" s="24"/>
      <c r="DQ1591" s="24"/>
      <c r="DR1591" s="24"/>
      <c r="DS1591" s="24"/>
      <c r="DT1591" s="24"/>
      <c r="DU1591" s="24"/>
    </row>
    <row r="1592" spans="1:125" s="8" customFormat="1" ht="168" x14ac:dyDescent="0.2">
      <c r="A1592" s="353">
        <v>41388</v>
      </c>
      <c r="B1592" s="352" t="s">
        <v>2851</v>
      </c>
      <c r="C1592" s="354" t="s">
        <v>1947</v>
      </c>
      <c r="D1592" s="354" t="s">
        <v>2882</v>
      </c>
      <c r="E1592" s="75" t="str">
        <f>VLOOKUP(B1592&amp;C1592,Divipola!$C$2:$F$1138,4,FALSE)</f>
        <v>76275</v>
      </c>
      <c r="F1592" s="87"/>
      <c r="G1592" s="87"/>
      <c r="H1592" s="87"/>
      <c r="I1592" s="87">
        <f>200*5</f>
        <v>1000</v>
      </c>
      <c r="J1592" s="87">
        <v>200</v>
      </c>
      <c r="K1592" s="87"/>
      <c r="L1592" s="87">
        <v>200</v>
      </c>
      <c r="M1592" s="87"/>
      <c r="N1592" s="87"/>
      <c r="O1592" s="87"/>
      <c r="P1592" s="87"/>
      <c r="Q1592" s="87"/>
      <c r="R1592" s="87"/>
      <c r="S1592" s="87"/>
      <c r="T1592" s="87"/>
      <c r="U1592" s="88"/>
      <c r="V1592" s="89"/>
      <c r="W1592" s="96">
        <v>0</v>
      </c>
      <c r="X1592" s="71">
        <f>CU1592</f>
        <v>44999184</v>
      </c>
      <c r="Y1592" s="71">
        <f>CY1592</f>
        <v>31698984</v>
      </c>
      <c r="Z1592" s="71">
        <f>DA1592+DC1592+DE1592</f>
        <v>86399352</v>
      </c>
      <c r="AA1592" s="71">
        <f>CW1592</f>
        <v>0</v>
      </c>
      <c r="AB1592" s="71"/>
      <c r="AC1592" s="71">
        <v>0</v>
      </c>
      <c r="AD1592" s="71">
        <f>W1592+X1592+Y1592+Z1592+AA1592+AB1592+AC1592</f>
        <v>163097520</v>
      </c>
      <c r="AE1592" s="72">
        <v>0</v>
      </c>
      <c r="AF1592" s="5"/>
      <c r="AG1592" s="6"/>
      <c r="AH1592" s="27" t="s">
        <v>3390</v>
      </c>
      <c r="AI1592" s="44" t="s">
        <v>3391</v>
      </c>
      <c r="AJ1592" s="26"/>
      <c r="AK1592" s="5"/>
      <c r="AL1592" s="82" t="s">
        <v>4390</v>
      </c>
      <c r="AM1592" s="76"/>
      <c r="AN1592" s="76"/>
      <c r="AO1592" s="76"/>
      <c r="AP1592" s="76"/>
      <c r="AQ1592" s="76"/>
      <c r="AR1592" s="76"/>
      <c r="AS1592" s="76"/>
      <c r="AT1592" s="76"/>
      <c r="AU1592" s="76"/>
      <c r="AV1592" s="76"/>
      <c r="AW1592" s="76"/>
      <c r="AX1592" s="76">
        <f>+AW1592*600000</f>
        <v>0</v>
      </c>
      <c r="AY1592" s="86">
        <v>300</v>
      </c>
      <c r="AZ1592" s="86">
        <f>+AY1592*70000.2</f>
        <v>21000060</v>
      </c>
      <c r="BA1592" s="76"/>
      <c r="BB1592" s="76"/>
      <c r="BC1592" s="76"/>
      <c r="BD1592" s="76">
        <f>+BC1592*30000</f>
        <v>0</v>
      </c>
      <c r="BE1592" s="76"/>
      <c r="BF1592" s="76"/>
      <c r="BG1592" s="76"/>
      <c r="BH1592" s="76"/>
      <c r="BI1592" s="76"/>
      <c r="BJ1592" s="76"/>
      <c r="BK1592" s="76"/>
      <c r="BL1592" s="76">
        <f>+BK1592*31500</f>
        <v>0</v>
      </c>
      <c r="BM1592" s="76"/>
      <c r="BN1592" s="76"/>
      <c r="BO1592" s="76"/>
      <c r="BP1592" s="76"/>
      <c r="BQ1592" s="76"/>
      <c r="BR1592" s="76"/>
      <c r="BS1592" s="76"/>
      <c r="BT1592" s="76"/>
      <c r="BU1592" s="76"/>
      <c r="BV1592" s="76"/>
      <c r="BW1592" s="76"/>
      <c r="BX1592" s="76"/>
      <c r="BY1592" s="76"/>
      <c r="BZ1592" s="76"/>
      <c r="CA1592" s="76"/>
      <c r="CB1592" s="76"/>
      <c r="CC1592" s="76"/>
      <c r="CD1592" s="76"/>
      <c r="CE1592" s="76"/>
      <c r="CF1592" s="76">
        <f>+CE1592*28000</f>
        <v>0</v>
      </c>
      <c r="CG1592" s="76"/>
      <c r="CH1592" s="76">
        <f>+CG1592*22500</f>
        <v>0</v>
      </c>
      <c r="CI1592" s="86">
        <v>300</v>
      </c>
      <c r="CJ1592" s="86">
        <f>+CI1592*25999.08</f>
        <v>7799724.0000000009</v>
      </c>
      <c r="CK1592" s="76"/>
      <c r="CL1592" s="76"/>
      <c r="CM1592" s="76"/>
      <c r="CN1592" s="76">
        <f>+CM1592*22000</f>
        <v>0</v>
      </c>
      <c r="CO1592" s="76"/>
      <c r="CP1592" s="76">
        <f>+CO1592*46000</f>
        <v>0</v>
      </c>
      <c r="CQ1592" s="86">
        <v>300</v>
      </c>
      <c r="CR1592" s="86">
        <f>+CQ1592*53998</f>
        <v>16199400</v>
      </c>
      <c r="CS1592" s="76"/>
      <c r="CT1592" s="76"/>
      <c r="CU1592" s="56">
        <f>AN1592+AP1592+AR1592+AT1592+AV1592+AX1592+AZ1592+BB1592+BD1592+BF1592+BH1592+BJ1592+BL1592+BN1592+BP1592+BR1592+BT1592+BV1592+BX1592+BZ1592+CB1592+CD1592+CF1592+CH1592+CJ1592+CL1592+CN1592+CP1592+CR1592+CT1592</f>
        <v>44999184</v>
      </c>
      <c r="CV1592" s="76"/>
      <c r="CW1592" s="76">
        <f>+CV1592*1100</f>
        <v>0</v>
      </c>
      <c r="CX1592" s="86">
        <v>300</v>
      </c>
      <c r="CY1592" s="86">
        <f>+CX1592*105663.28</f>
        <v>31698984</v>
      </c>
      <c r="CZ1592" s="86"/>
      <c r="DA1592" s="76">
        <f>+CZ1592*34500</f>
        <v>0</v>
      </c>
      <c r="DB1592" s="86">
        <v>2700</v>
      </c>
      <c r="DC1592" s="86">
        <f>+DB1592*31999.76</f>
        <v>86399352</v>
      </c>
      <c r="DD1592" s="219"/>
      <c r="DE1592" s="219"/>
      <c r="DF1592" s="166"/>
      <c r="DG1592" s="134" t="s">
        <v>5482</v>
      </c>
      <c r="DH1592" s="117"/>
      <c r="DI1592" s="24"/>
      <c r="DJ1592" s="24"/>
      <c r="DK1592" s="24"/>
      <c r="DL1592" s="24"/>
      <c r="DM1592" s="24"/>
      <c r="DN1592" s="24"/>
      <c r="DO1592" s="24"/>
      <c r="DP1592" s="24"/>
      <c r="DQ1592" s="24"/>
      <c r="DR1592" s="24"/>
      <c r="DS1592" s="24"/>
      <c r="DT1592" s="24"/>
      <c r="DU1592" s="24"/>
    </row>
    <row r="1593" spans="1:125" s="8" customFormat="1" ht="108" x14ac:dyDescent="0.2">
      <c r="A1593" s="226">
        <v>41389</v>
      </c>
      <c r="B1593" s="225" t="s">
        <v>2772</v>
      </c>
      <c r="C1593" s="227" t="s">
        <v>1336</v>
      </c>
      <c r="D1593" s="84" t="s">
        <v>3088</v>
      </c>
      <c r="E1593" s="75" t="str">
        <f>VLOOKUP(B1593&amp;C1593,Divipola!$C$2:$F$1138,4,FALSE)</f>
        <v>25394</v>
      </c>
      <c r="F1593" s="87"/>
      <c r="G1593" s="87"/>
      <c r="H1593" s="87"/>
      <c r="I1593" s="87"/>
      <c r="J1593" s="87"/>
      <c r="K1593" s="87"/>
      <c r="L1593" s="87"/>
      <c r="M1593" s="87">
        <v>1</v>
      </c>
      <c r="N1593" s="87"/>
      <c r="O1593" s="87"/>
      <c r="P1593" s="87"/>
      <c r="Q1593" s="87"/>
      <c r="R1593" s="87"/>
      <c r="S1593" s="87"/>
      <c r="T1593" s="87"/>
      <c r="U1593" s="88"/>
      <c r="V1593" s="89"/>
      <c r="W1593" s="96">
        <v>0</v>
      </c>
      <c r="X1593" s="71">
        <f>CU1593</f>
        <v>0</v>
      </c>
      <c r="Y1593" s="71">
        <f>CY1593</f>
        <v>0</v>
      </c>
      <c r="Z1593" s="71">
        <f>DA1593+DC1593+DE1593</f>
        <v>0</v>
      </c>
      <c r="AA1593" s="71">
        <f>CW1593</f>
        <v>0</v>
      </c>
      <c r="AB1593" s="71"/>
      <c r="AC1593" s="71">
        <v>0</v>
      </c>
      <c r="AD1593" s="71">
        <f>W1593+X1593+Y1593+Z1593+AA1593+AB1593+AC1593</f>
        <v>0</v>
      </c>
      <c r="AE1593" s="72">
        <v>0</v>
      </c>
      <c r="AF1593" s="5"/>
      <c r="AG1593" s="6"/>
      <c r="AH1593" s="27" t="s">
        <v>3392</v>
      </c>
      <c r="AI1593" s="44" t="s">
        <v>3393</v>
      </c>
      <c r="AJ1593" s="26"/>
      <c r="AK1593" s="5"/>
      <c r="AL1593" s="82" t="s">
        <v>4396</v>
      </c>
      <c r="AM1593" s="76"/>
      <c r="AN1593" s="76"/>
      <c r="AO1593" s="76"/>
      <c r="AP1593" s="76"/>
      <c r="AQ1593" s="76"/>
      <c r="AR1593" s="76"/>
      <c r="AS1593" s="76"/>
      <c r="AT1593" s="76"/>
      <c r="AU1593" s="76"/>
      <c r="AV1593" s="76"/>
      <c r="AW1593" s="76"/>
      <c r="AX1593" s="76">
        <f>+AW1593*600000</f>
        <v>0</v>
      </c>
      <c r="AY1593" s="76"/>
      <c r="AZ1593" s="76">
        <f>+AY1593*70000</f>
        <v>0</v>
      </c>
      <c r="BA1593" s="76"/>
      <c r="BB1593" s="76"/>
      <c r="BC1593" s="76"/>
      <c r="BD1593" s="76">
        <f>+BC1593*30000</f>
        <v>0</v>
      </c>
      <c r="BE1593" s="76"/>
      <c r="BF1593" s="76"/>
      <c r="BG1593" s="76"/>
      <c r="BH1593" s="76"/>
      <c r="BI1593" s="76"/>
      <c r="BJ1593" s="76"/>
      <c r="BK1593" s="76"/>
      <c r="BL1593" s="76">
        <f>+BK1593*31500</f>
        <v>0</v>
      </c>
      <c r="BM1593" s="76"/>
      <c r="BN1593" s="76"/>
      <c r="BO1593" s="76"/>
      <c r="BP1593" s="76"/>
      <c r="BQ1593" s="76"/>
      <c r="BR1593" s="76"/>
      <c r="BS1593" s="76"/>
      <c r="BT1593" s="76"/>
      <c r="BU1593" s="76"/>
      <c r="BV1593" s="76"/>
      <c r="BW1593" s="76"/>
      <c r="BX1593" s="76"/>
      <c r="BY1593" s="76"/>
      <c r="BZ1593" s="76"/>
      <c r="CA1593" s="76"/>
      <c r="CB1593" s="76"/>
      <c r="CC1593" s="76"/>
      <c r="CD1593" s="76"/>
      <c r="CE1593" s="76"/>
      <c r="CF1593" s="76">
        <f>+CE1593*28000</f>
        <v>0</v>
      </c>
      <c r="CG1593" s="76"/>
      <c r="CH1593" s="76">
        <f>+CG1593*22500</f>
        <v>0</v>
      </c>
      <c r="CI1593" s="76"/>
      <c r="CJ1593" s="76">
        <f>+CI1593*26000</f>
        <v>0</v>
      </c>
      <c r="CK1593" s="76"/>
      <c r="CL1593" s="76"/>
      <c r="CM1593" s="76"/>
      <c r="CN1593" s="76">
        <f>+CM1593*22000</f>
        <v>0</v>
      </c>
      <c r="CO1593" s="76"/>
      <c r="CP1593" s="76">
        <f>+CO1593*46000</f>
        <v>0</v>
      </c>
      <c r="CQ1593" s="76"/>
      <c r="CR1593" s="76">
        <f>+CQ1593*49000</f>
        <v>0</v>
      </c>
      <c r="CS1593" s="76"/>
      <c r="CT1593" s="76"/>
      <c r="CU1593" s="56">
        <f>AN1593+AP1593+AR1593+AT1593+AV1593+AX1593+AZ1593+BB1593+BD1593+BF1593+BH1593+BJ1593+BL1593+BN1593+BP1593+BR1593+BT1593+BV1593+BX1593+BZ1593+CB1593+CD1593+CF1593+CH1593+CJ1593+CL1593+CN1593+CP1593+CR1593+CT1593</f>
        <v>0</v>
      </c>
      <c r="CV1593" s="76"/>
      <c r="CW1593" s="76">
        <f>+CV1593*1100</f>
        <v>0</v>
      </c>
      <c r="CX1593" s="76"/>
      <c r="CY1593" s="76">
        <f>+CX1593*106250</f>
        <v>0</v>
      </c>
      <c r="CZ1593" s="76"/>
      <c r="DA1593" s="76">
        <f>+CZ1593*34500</f>
        <v>0</v>
      </c>
      <c r="DB1593" s="76"/>
      <c r="DC1593" s="76">
        <f>+DB1593*25000</f>
        <v>0</v>
      </c>
      <c r="DD1593" s="219"/>
      <c r="DE1593" s="219"/>
      <c r="DF1593" s="166"/>
      <c r="DG1593" s="116"/>
      <c r="DH1593" s="117"/>
      <c r="DI1593" s="24"/>
      <c r="DJ1593" s="24"/>
      <c r="DK1593" s="24"/>
      <c r="DL1593" s="24"/>
      <c r="DM1593" s="24"/>
      <c r="DN1593" s="24"/>
      <c r="DO1593" s="24"/>
      <c r="DP1593" s="24"/>
      <c r="DQ1593" s="24"/>
      <c r="DR1593" s="24"/>
      <c r="DS1593" s="24"/>
      <c r="DT1593" s="24"/>
      <c r="DU1593" s="24"/>
    </row>
    <row r="1594" spans="1:125" s="8" customFormat="1" ht="48" x14ac:dyDescent="0.2">
      <c r="A1594" s="97">
        <v>41389</v>
      </c>
      <c r="B1594" s="60" t="s">
        <v>2661</v>
      </c>
      <c r="C1594" s="55" t="s">
        <v>1351</v>
      </c>
      <c r="D1594" s="55" t="s">
        <v>2846</v>
      </c>
      <c r="E1594" s="75" t="str">
        <f>VLOOKUP(B1594&amp;C1594,Divipola!$C$2:$F$1138,4,FALSE)</f>
        <v>41551</v>
      </c>
      <c r="F1594" s="87"/>
      <c r="G1594" s="87"/>
      <c r="H1594" s="87"/>
      <c r="I1594" s="87"/>
      <c r="J1594" s="87"/>
      <c r="K1594" s="87"/>
      <c r="L1594" s="87"/>
      <c r="M1594" s="87"/>
      <c r="N1594" s="87"/>
      <c r="O1594" s="87"/>
      <c r="P1594" s="87"/>
      <c r="Q1594" s="87"/>
      <c r="R1594" s="87"/>
      <c r="S1594" s="87"/>
      <c r="T1594" s="87"/>
      <c r="U1594" s="88">
        <v>1</v>
      </c>
      <c r="V1594" s="89"/>
      <c r="W1594" s="96">
        <v>0</v>
      </c>
      <c r="X1594" s="71">
        <f>CU1594</f>
        <v>0</v>
      </c>
      <c r="Y1594" s="71">
        <f>CY1594</f>
        <v>0</v>
      </c>
      <c r="Z1594" s="71">
        <f>DA1594+DC1594+DE1594</f>
        <v>0</v>
      </c>
      <c r="AA1594" s="71">
        <f>CW1594</f>
        <v>0</v>
      </c>
      <c r="AB1594" s="71"/>
      <c r="AC1594" s="71">
        <v>0</v>
      </c>
      <c r="AD1594" s="71">
        <f>W1594+X1594+Y1594+Z1594+AA1594+AB1594+AC1594</f>
        <v>0</v>
      </c>
      <c r="AE1594" s="72">
        <v>0</v>
      </c>
      <c r="AF1594" s="5"/>
      <c r="AG1594" s="6"/>
      <c r="AH1594" s="27" t="s">
        <v>3392</v>
      </c>
      <c r="AI1594" s="44" t="s">
        <v>3393</v>
      </c>
      <c r="AJ1594" s="26"/>
      <c r="AK1594" s="5"/>
      <c r="AL1594" s="82" t="s">
        <v>4419</v>
      </c>
      <c r="AM1594" s="76"/>
      <c r="AN1594" s="76"/>
      <c r="AO1594" s="76"/>
      <c r="AP1594" s="76"/>
      <c r="AQ1594" s="76"/>
      <c r="AR1594" s="76"/>
      <c r="AS1594" s="76"/>
      <c r="AT1594" s="76"/>
      <c r="AU1594" s="76"/>
      <c r="AV1594" s="76"/>
      <c r="AW1594" s="76"/>
      <c r="AX1594" s="76">
        <f>+AW1594*600000</f>
        <v>0</v>
      </c>
      <c r="AY1594" s="76"/>
      <c r="AZ1594" s="76">
        <f>+AY1594*70000</f>
        <v>0</v>
      </c>
      <c r="BA1594" s="76"/>
      <c r="BB1594" s="76"/>
      <c r="BC1594" s="76"/>
      <c r="BD1594" s="76">
        <f>+BC1594*30000</f>
        <v>0</v>
      </c>
      <c r="BE1594" s="76"/>
      <c r="BF1594" s="76"/>
      <c r="BG1594" s="76"/>
      <c r="BH1594" s="76"/>
      <c r="BI1594" s="76"/>
      <c r="BJ1594" s="76"/>
      <c r="BK1594" s="76"/>
      <c r="BL1594" s="76">
        <f>+BK1594*31500</f>
        <v>0</v>
      </c>
      <c r="BM1594" s="76"/>
      <c r="BN1594" s="76"/>
      <c r="BO1594" s="76"/>
      <c r="BP1594" s="76"/>
      <c r="BQ1594" s="76"/>
      <c r="BR1594" s="76"/>
      <c r="BS1594" s="76"/>
      <c r="BT1594" s="76"/>
      <c r="BU1594" s="76"/>
      <c r="BV1594" s="76"/>
      <c r="BW1594" s="76"/>
      <c r="BX1594" s="76"/>
      <c r="BY1594" s="76"/>
      <c r="BZ1594" s="76"/>
      <c r="CA1594" s="76"/>
      <c r="CB1594" s="76"/>
      <c r="CC1594" s="76"/>
      <c r="CD1594" s="76"/>
      <c r="CE1594" s="76"/>
      <c r="CF1594" s="76">
        <f>+CE1594*28000</f>
        <v>0</v>
      </c>
      <c r="CG1594" s="76"/>
      <c r="CH1594" s="76">
        <f>+CG1594*22500</f>
        <v>0</v>
      </c>
      <c r="CI1594" s="76"/>
      <c r="CJ1594" s="76">
        <f>+CI1594*26000</f>
        <v>0</v>
      </c>
      <c r="CK1594" s="76"/>
      <c r="CL1594" s="76"/>
      <c r="CM1594" s="76"/>
      <c r="CN1594" s="76">
        <f>+CM1594*22000</f>
        <v>0</v>
      </c>
      <c r="CO1594" s="76"/>
      <c r="CP1594" s="76">
        <f>+CO1594*46000</f>
        <v>0</v>
      </c>
      <c r="CQ1594" s="76"/>
      <c r="CR1594" s="76">
        <f>+CQ1594*49000</f>
        <v>0</v>
      </c>
      <c r="CS1594" s="76"/>
      <c r="CT1594" s="76"/>
      <c r="CU1594" s="56">
        <f>AN1594+AP1594+AR1594+AT1594+AV1594+AX1594+AZ1594+BB1594+BD1594+BF1594+BH1594+BJ1594+BL1594+BN1594+BP1594+BR1594+BT1594+BV1594+BX1594+BZ1594+CB1594+CD1594+CF1594+CH1594+CJ1594+CL1594+CN1594+CP1594+CR1594+CT1594</f>
        <v>0</v>
      </c>
      <c r="CV1594" s="76"/>
      <c r="CW1594" s="76">
        <f>+CV1594*1100</f>
        <v>0</v>
      </c>
      <c r="CX1594" s="76"/>
      <c r="CY1594" s="76">
        <f>+CX1594*106250</f>
        <v>0</v>
      </c>
      <c r="CZ1594" s="76"/>
      <c r="DA1594" s="76">
        <f>+CZ1594*34500</f>
        <v>0</v>
      </c>
      <c r="DB1594" s="76"/>
      <c r="DC1594" s="76">
        <f>+DB1594*25000</f>
        <v>0</v>
      </c>
      <c r="DD1594" s="219"/>
      <c r="DE1594" s="219"/>
      <c r="DF1594" s="166"/>
      <c r="DG1594" s="116"/>
      <c r="DH1594" s="117"/>
      <c r="DI1594" s="24"/>
      <c r="DJ1594" s="24"/>
      <c r="DK1594" s="24"/>
      <c r="DL1594" s="24"/>
      <c r="DM1594" s="24"/>
      <c r="DN1594" s="24"/>
      <c r="DO1594" s="24"/>
      <c r="DP1594" s="24"/>
      <c r="DQ1594" s="24"/>
      <c r="DR1594" s="24"/>
      <c r="DS1594" s="24"/>
      <c r="DT1594" s="24"/>
      <c r="DU1594" s="24"/>
    </row>
    <row r="1595" spans="1:125" s="8" customFormat="1" ht="60" x14ac:dyDescent="0.2">
      <c r="A1595" s="77">
        <v>41389</v>
      </c>
      <c r="B1595" s="78" t="s">
        <v>2860</v>
      </c>
      <c r="C1595" s="75" t="s">
        <v>2776</v>
      </c>
      <c r="D1595" s="75" t="s">
        <v>2882</v>
      </c>
      <c r="E1595" s="75" t="str">
        <f>VLOOKUP(B1595&amp;C1595,Divipola!$C$2:$F$1138,4,FALSE)</f>
        <v>63001</v>
      </c>
      <c r="F1595" s="87"/>
      <c r="G1595" s="87"/>
      <c r="H1595" s="87"/>
      <c r="I1595" s="87">
        <v>15</v>
      </c>
      <c r="J1595" s="87">
        <v>3</v>
      </c>
      <c r="K1595" s="87"/>
      <c r="L1595" s="87">
        <v>3</v>
      </c>
      <c r="M1595" s="87"/>
      <c r="N1595" s="87"/>
      <c r="O1595" s="87"/>
      <c r="P1595" s="87"/>
      <c r="Q1595" s="87"/>
      <c r="R1595" s="87"/>
      <c r="S1595" s="87"/>
      <c r="T1595" s="87"/>
      <c r="U1595" s="88"/>
      <c r="V1595" s="89"/>
      <c r="W1595" s="96">
        <v>0</v>
      </c>
      <c r="X1595" s="71">
        <f>CU1595</f>
        <v>0</v>
      </c>
      <c r="Y1595" s="71">
        <f>CY1595</f>
        <v>0</v>
      </c>
      <c r="Z1595" s="71">
        <f>DA1595+DC1595+DE1595</f>
        <v>0</v>
      </c>
      <c r="AA1595" s="71">
        <f>CW1595</f>
        <v>0</v>
      </c>
      <c r="AB1595" s="71"/>
      <c r="AC1595" s="71">
        <v>0</v>
      </c>
      <c r="AD1595" s="71">
        <f>W1595+X1595+Y1595+Z1595+AA1595+AB1595+AC1595</f>
        <v>0</v>
      </c>
      <c r="AE1595" s="72">
        <v>0</v>
      </c>
      <c r="AF1595" s="5"/>
      <c r="AG1595" s="6"/>
      <c r="AH1595" s="27" t="s">
        <v>3392</v>
      </c>
      <c r="AI1595" s="44" t="s">
        <v>3393</v>
      </c>
      <c r="AJ1595" s="26"/>
      <c r="AK1595" s="5"/>
      <c r="AL1595" s="82" t="s">
        <v>4395</v>
      </c>
      <c r="AM1595" s="76"/>
      <c r="AN1595" s="76"/>
      <c r="AO1595" s="76"/>
      <c r="AP1595" s="76"/>
      <c r="AQ1595" s="76"/>
      <c r="AR1595" s="76"/>
      <c r="AS1595" s="76"/>
      <c r="AT1595" s="76"/>
      <c r="AU1595" s="76"/>
      <c r="AV1595" s="76"/>
      <c r="AW1595" s="76"/>
      <c r="AX1595" s="76">
        <f>+AW1595*600000</f>
        <v>0</v>
      </c>
      <c r="AY1595" s="76"/>
      <c r="AZ1595" s="76">
        <f>+AY1595*70000</f>
        <v>0</v>
      </c>
      <c r="BA1595" s="76"/>
      <c r="BB1595" s="76"/>
      <c r="BC1595" s="76"/>
      <c r="BD1595" s="76">
        <f>+BC1595*30000</f>
        <v>0</v>
      </c>
      <c r="BE1595" s="76"/>
      <c r="BF1595" s="76"/>
      <c r="BG1595" s="76"/>
      <c r="BH1595" s="76"/>
      <c r="BI1595" s="76"/>
      <c r="BJ1595" s="76"/>
      <c r="BK1595" s="76"/>
      <c r="BL1595" s="76">
        <f>+BK1595*31500</f>
        <v>0</v>
      </c>
      <c r="BM1595" s="76"/>
      <c r="BN1595" s="76"/>
      <c r="BO1595" s="76"/>
      <c r="BP1595" s="76"/>
      <c r="BQ1595" s="76"/>
      <c r="BR1595" s="76"/>
      <c r="BS1595" s="76"/>
      <c r="BT1595" s="76"/>
      <c r="BU1595" s="76"/>
      <c r="BV1595" s="76"/>
      <c r="BW1595" s="76"/>
      <c r="BX1595" s="76"/>
      <c r="BY1595" s="76"/>
      <c r="BZ1595" s="76"/>
      <c r="CA1595" s="76"/>
      <c r="CB1595" s="76"/>
      <c r="CC1595" s="76"/>
      <c r="CD1595" s="76"/>
      <c r="CE1595" s="76"/>
      <c r="CF1595" s="76">
        <f>+CE1595*28000</f>
        <v>0</v>
      </c>
      <c r="CG1595" s="76"/>
      <c r="CH1595" s="76">
        <f>+CG1595*22500</f>
        <v>0</v>
      </c>
      <c r="CI1595" s="76"/>
      <c r="CJ1595" s="76">
        <f>+CI1595*26000</f>
        <v>0</v>
      </c>
      <c r="CK1595" s="76"/>
      <c r="CL1595" s="76"/>
      <c r="CM1595" s="76"/>
      <c r="CN1595" s="76">
        <f>+CM1595*22000</f>
        <v>0</v>
      </c>
      <c r="CO1595" s="76"/>
      <c r="CP1595" s="76">
        <f>+CO1595*46000</f>
        <v>0</v>
      </c>
      <c r="CQ1595" s="76"/>
      <c r="CR1595" s="76">
        <f>+CQ1595*49000</f>
        <v>0</v>
      </c>
      <c r="CS1595" s="76"/>
      <c r="CT1595" s="76"/>
      <c r="CU1595" s="56">
        <f>AN1595+AP1595+AR1595+AT1595+AV1595+AX1595+AZ1595+BB1595+BD1595+BF1595+BH1595+BJ1595+BL1595+BN1595+BP1595+BR1595+BT1595+BV1595+BX1595+BZ1595+CB1595+CD1595+CF1595+CH1595+CJ1595+CL1595+CN1595+CP1595+CR1595+CT1595</f>
        <v>0</v>
      </c>
      <c r="CV1595" s="76"/>
      <c r="CW1595" s="76">
        <f>+CV1595*1100</f>
        <v>0</v>
      </c>
      <c r="CX1595" s="76"/>
      <c r="CY1595" s="76">
        <f>+CX1595*106250</f>
        <v>0</v>
      </c>
      <c r="CZ1595" s="76"/>
      <c r="DA1595" s="76">
        <f>+CZ1595*34500</f>
        <v>0</v>
      </c>
      <c r="DB1595" s="76"/>
      <c r="DC1595" s="76">
        <f>+DB1595*25000</f>
        <v>0</v>
      </c>
      <c r="DD1595" s="219"/>
      <c r="DE1595" s="219"/>
      <c r="DF1595" s="166"/>
      <c r="DG1595" s="116"/>
      <c r="DH1595" s="117"/>
      <c r="DI1595" s="24"/>
      <c r="DJ1595" s="24"/>
      <c r="DK1595" s="24"/>
      <c r="DL1595" s="24"/>
      <c r="DM1595" s="24"/>
      <c r="DN1595" s="24"/>
      <c r="DO1595" s="24"/>
      <c r="DP1595" s="24"/>
      <c r="DQ1595" s="24"/>
      <c r="DR1595" s="24"/>
      <c r="DS1595" s="24"/>
      <c r="DT1595" s="24"/>
      <c r="DU1595" s="24"/>
    </row>
    <row r="1596" spans="1:125" s="8" customFormat="1" ht="96" x14ac:dyDescent="0.2">
      <c r="A1596" s="353">
        <v>41389</v>
      </c>
      <c r="B1596" s="352" t="s">
        <v>2847</v>
      </c>
      <c r="C1596" s="354" t="s">
        <v>2673</v>
      </c>
      <c r="D1596" s="354" t="s">
        <v>2859</v>
      </c>
      <c r="E1596" s="75" t="str">
        <f>VLOOKUP(B1596&amp;C1596,Divipola!$C$2:$F$1138,4,FALSE)</f>
        <v>68001</v>
      </c>
      <c r="F1596" s="87"/>
      <c r="G1596" s="87"/>
      <c r="H1596" s="87"/>
      <c r="I1596" s="87">
        <v>4</v>
      </c>
      <c r="J1596" s="87">
        <v>1</v>
      </c>
      <c r="K1596" s="87"/>
      <c r="L1596" s="87">
        <v>1</v>
      </c>
      <c r="M1596" s="87"/>
      <c r="N1596" s="87"/>
      <c r="O1596" s="87"/>
      <c r="P1596" s="87"/>
      <c r="Q1596" s="87"/>
      <c r="R1596" s="87"/>
      <c r="S1596" s="87"/>
      <c r="T1596" s="87"/>
      <c r="U1596" s="88"/>
      <c r="V1596" s="89"/>
      <c r="W1596" s="96">
        <v>0</v>
      </c>
      <c r="X1596" s="71">
        <f>CU1596</f>
        <v>0</v>
      </c>
      <c r="Y1596" s="71">
        <f>CY1596</f>
        <v>0</v>
      </c>
      <c r="Z1596" s="71">
        <f>DA1596+DC1596+DE1596</f>
        <v>0</v>
      </c>
      <c r="AA1596" s="71">
        <f>CW1596</f>
        <v>0</v>
      </c>
      <c r="AB1596" s="71"/>
      <c r="AC1596" s="71">
        <v>0</v>
      </c>
      <c r="AD1596" s="71">
        <f>W1596+X1596+Y1596+Z1596+AA1596+AB1596+AC1596</f>
        <v>0</v>
      </c>
      <c r="AE1596" s="72">
        <v>0</v>
      </c>
      <c r="AF1596" s="5"/>
      <c r="AG1596" s="6"/>
      <c r="AH1596" s="27" t="s">
        <v>3392</v>
      </c>
      <c r="AI1596" s="44" t="s">
        <v>3393</v>
      </c>
      <c r="AJ1596" s="26"/>
      <c r="AK1596" s="5"/>
      <c r="AL1596" s="82" t="s">
        <v>4397</v>
      </c>
      <c r="AM1596" s="76"/>
      <c r="AN1596" s="76"/>
      <c r="AO1596" s="76"/>
      <c r="AP1596" s="76"/>
      <c r="AQ1596" s="76"/>
      <c r="AR1596" s="76"/>
      <c r="AS1596" s="76"/>
      <c r="AT1596" s="76"/>
      <c r="AU1596" s="76"/>
      <c r="AV1596" s="76"/>
      <c r="AW1596" s="76"/>
      <c r="AX1596" s="76">
        <f>+AW1596*600000</f>
        <v>0</v>
      </c>
      <c r="AY1596" s="76"/>
      <c r="AZ1596" s="76">
        <f>+AY1596*70000</f>
        <v>0</v>
      </c>
      <c r="BA1596" s="76"/>
      <c r="BB1596" s="76"/>
      <c r="BC1596" s="76"/>
      <c r="BD1596" s="76">
        <f>+BC1596*30000</f>
        <v>0</v>
      </c>
      <c r="BE1596" s="76"/>
      <c r="BF1596" s="76"/>
      <c r="BG1596" s="76"/>
      <c r="BH1596" s="76"/>
      <c r="BI1596" s="76"/>
      <c r="BJ1596" s="76"/>
      <c r="BK1596" s="76"/>
      <c r="BL1596" s="76">
        <f>+BK1596*31500</f>
        <v>0</v>
      </c>
      <c r="BM1596" s="76"/>
      <c r="BN1596" s="76"/>
      <c r="BO1596" s="76"/>
      <c r="BP1596" s="76"/>
      <c r="BQ1596" s="76"/>
      <c r="BR1596" s="76"/>
      <c r="BS1596" s="76"/>
      <c r="BT1596" s="76"/>
      <c r="BU1596" s="76"/>
      <c r="BV1596" s="76"/>
      <c r="BW1596" s="76"/>
      <c r="BX1596" s="76"/>
      <c r="BY1596" s="76"/>
      <c r="BZ1596" s="76"/>
      <c r="CA1596" s="76"/>
      <c r="CB1596" s="76"/>
      <c r="CC1596" s="76"/>
      <c r="CD1596" s="76"/>
      <c r="CE1596" s="76"/>
      <c r="CF1596" s="76">
        <f>+CE1596*28000</f>
        <v>0</v>
      </c>
      <c r="CG1596" s="76"/>
      <c r="CH1596" s="76">
        <f>+CG1596*22500</f>
        <v>0</v>
      </c>
      <c r="CI1596" s="76"/>
      <c r="CJ1596" s="76">
        <f>+CI1596*26000</f>
        <v>0</v>
      </c>
      <c r="CK1596" s="76"/>
      <c r="CL1596" s="76"/>
      <c r="CM1596" s="76"/>
      <c r="CN1596" s="76">
        <f>+CM1596*22000</f>
        <v>0</v>
      </c>
      <c r="CO1596" s="76"/>
      <c r="CP1596" s="76">
        <f>+CO1596*46000</f>
        <v>0</v>
      </c>
      <c r="CQ1596" s="76"/>
      <c r="CR1596" s="76">
        <f>+CQ1596*49000</f>
        <v>0</v>
      </c>
      <c r="CS1596" s="76"/>
      <c r="CT1596" s="76"/>
      <c r="CU1596" s="56">
        <f>AN1596+AP1596+AR1596+AT1596+AV1596+AX1596+AZ1596+BB1596+BD1596+BF1596+BH1596+BJ1596+BL1596+BN1596+BP1596+BR1596+BT1596+BV1596+BX1596+BZ1596+CB1596+CD1596+CF1596+CH1596+CJ1596+CL1596+CN1596+CP1596+CR1596+CT1596</f>
        <v>0</v>
      </c>
      <c r="CV1596" s="76"/>
      <c r="CW1596" s="76">
        <f>+CV1596*1100</f>
        <v>0</v>
      </c>
      <c r="CX1596" s="76"/>
      <c r="CY1596" s="76">
        <f>+CX1596*106250</f>
        <v>0</v>
      </c>
      <c r="CZ1596" s="76"/>
      <c r="DA1596" s="76">
        <f>+CZ1596*34500</f>
        <v>0</v>
      </c>
      <c r="DB1596" s="76"/>
      <c r="DC1596" s="76">
        <f>+DB1596*25000</f>
        <v>0</v>
      </c>
      <c r="DD1596" s="219"/>
      <c r="DE1596" s="219"/>
      <c r="DF1596" s="166"/>
      <c r="DG1596" s="116"/>
      <c r="DH1596" s="117"/>
      <c r="DI1596" s="24"/>
      <c r="DJ1596" s="24"/>
      <c r="DK1596" s="24"/>
      <c r="DL1596" s="24"/>
      <c r="DM1596" s="24"/>
      <c r="DN1596" s="24"/>
      <c r="DO1596" s="24"/>
      <c r="DP1596" s="24"/>
      <c r="DQ1596" s="24"/>
      <c r="DR1596" s="24"/>
      <c r="DS1596" s="24"/>
      <c r="DT1596" s="24"/>
      <c r="DU1596" s="24"/>
    </row>
    <row r="1597" spans="1:125" s="8" customFormat="1" ht="72" x14ac:dyDescent="0.2">
      <c r="A1597" s="226">
        <v>41389</v>
      </c>
      <c r="B1597" s="225" t="s">
        <v>2848</v>
      </c>
      <c r="C1597" s="227" t="s">
        <v>1907</v>
      </c>
      <c r="D1597" s="84" t="s">
        <v>3088</v>
      </c>
      <c r="E1597" s="75" t="str">
        <f>VLOOKUP(B1597&amp;C1597,Divipola!$C$2:$F$1138,4,FALSE)</f>
        <v>73624</v>
      </c>
      <c r="F1597" s="87">
        <v>1</v>
      </c>
      <c r="G1597" s="87"/>
      <c r="H1597" s="87"/>
      <c r="I1597" s="87"/>
      <c r="J1597" s="87"/>
      <c r="K1597" s="87"/>
      <c r="L1597" s="87"/>
      <c r="M1597" s="87"/>
      <c r="N1597" s="87"/>
      <c r="O1597" s="87"/>
      <c r="P1597" s="87"/>
      <c r="Q1597" s="87"/>
      <c r="R1597" s="87"/>
      <c r="S1597" s="87"/>
      <c r="T1597" s="87"/>
      <c r="U1597" s="88"/>
      <c r="V1597" s="89"/>
      <c r="W1597" s="96">
        <v>0</v>
      </c>
      <c r="X1597" s="71">
        <f>CU1597</f>
        <v>0</v>
      </c>
      <c r="Y1597" s="71">
        <f>CY1597</f>
        <v>0</v>
      </c>
      <c r="Z1597" s="71">
        <f>DA1597+DC1597+DE1597</f>
        <v>0</v>
      </c>
      <c r="AA1597" s="71">
        <f>CW1597</f>
        <v>0</v>
      </c>
      <c r="AB1597" s="71"/>
      <c r="AC1597" s="71">
        <v>0</v>
      </c>
      <c r="AD1597" s="71">
        <f>W1597+X1597+Y1597+Z1597+AA1597+AB1597+AC1597</f>
        <v>0</v>
      </c>
      <c r="AE1597" s="72">
        <v>0</v>
      </c>
      <c r="AF1597" s="5"/>
      <c r="AG1597" s="6"/>
      <c r="AH1597" s="27" t="s">
        <v>3392</v>
      </c>
      <c r="AI1597" s="44" t="s">
        <v>3393</v>
      </c>
      <c r="AJ1597" s="26"/>
      <c r="AK1597" s="5"/>
      <c r="AL1597" s="82" t="s">
        <v>4402</v>
      </c>
      <c r="AM1597" s="76"/>
      <c r="AN1597" s="76"/>
      <c r="AO1597" s="76"/>
      <c r="AP1597" s="76"/>
      <c r="AQ1597" s="76"/>
      <c r="AR1597" s="76"/>
      <c r="AS1597" s="76"/>
      <c r="AT1597" s="76"/>
      <c r="AU1597" s="76"/>
      <c r="AV1597" s="76"/>
      <c r="AW1597" s="76"/>
      <c r="AX1597" s="76">
        <f>+AW1597*600000</f>
        <v>0</v>
      </c>
      <c r="AY1597" s="76"/>
      <c r="AZ1597" s="76">
        <f>+AY1597*70000</f>
        <v>0</v>
      </c>
      <c r="BA1597" s="76"/>
      <c r="BB1597" s="76"/>
      <c r="BC1597" s="76"/>
      <c r="BD1597" s="76">
        <f>+BC1597*30000</f>
        <v>0</v>
      </c>
      <c r="BE1597" s="76"/>
      <c r="BF1597" s="76"/>
      <c r="BG1597" s="76"/>
      <c r="BH1597" s="76"/>
      <c r="BI1597" s="76"/>
      <c r="BJ1597" s="76"/>
      <c r="BK1597" s="76"/>
      <c r="BL1597" s="76">
        <f>+BK1597*31500</f>
        <v>0</v>
      </c>
      <c r="BM1597" s="76"/>
      <c r="BN1597" s="76"/>
      <c r="BO1597" s="76"/>
      <c r="BP1597" s="76"/>
      <c r="BQ1597" s="76"/>
      <c r="BR1597" s="76"/>
      <c r="BS1597" s="76"/>
      <c r="BT1597" s="76"/>
      <c r="BU1597" s="76"/>
      <c r="BV1597" s="76"/>
      <c r="BW1597" s="76"/>
      <c r="BX1597" s="76"/>
      <c r="BY1597" s="76"/>
      <c r="BZ1597" s="76"/>
      <c r="CA1597" s="76"/>
      <c r="CB1597" s="76"/>
      <c r="CC1597" s="76"/>
      <c r="CD1597" s="76"/>
      <c r="CE1597" s="76"/>
      <c r="CF1597" s="76">
        <f>+CE1597*28000</f>
        <v>0</v>
      </c>
      <c r="CG1597" s="76"/>
      <c r="CH1597" s="76">
        <f>+CG1597*22500</f>
        <v>0</v>
      </c>
      <c r="CI1597" s="76"/>
      <c r="CJ1597" s="76">
        <f>+CI1597*26000</f>
        <v>0</v>
      </c>
      <c r="CK1597" s="76"/>
      <c r="CL1597" s="76"/>
      <c r="CM1597" s="76"/>
      <c r="CN1597" s="76">
        <f>+CM1597*22000</f>
        <v>0</v>
      </c>
      <c r="CO1597" s="76"/>
      <c r="CP1597" s="76">
        <f>+CO1597*46000</f>
        <v>0</v>
      </c>
      <c r="CQ1597" s="76"/>
      <c r="CR1597" s="76">
        <f>+CQ1597*49000</f>
        <v>0</v>
      </c>
      <c r="CS1597" s="76"/>
      <c r="CT1597" s="76"/>
      <c r="CU1597" s="56">
        <f>AN1597+AP1597+AR1597+AT1597+AV1597+AX1597+AZ1597+BB1597+BD1597+BF1597+BH1597+BJ1597+BL1597+BN1597+BP1597+BR1597+BT1597+BV1597+BX1597+BZ1597+CB1597+CD1597+CF1597+CH1597+CJ1597+CL1597+CN1597+CP1597+CR1597+CT1597</f>
        <v>0</v>
      </c>
      <c r="CV1597" s="76"/>
      <c r="CW1597" s="76">
        <f>+CV1597*1100</f>
        <v>0</v>
      </c>
      <c r="CX1597" s="76"/>
      <c r="CY1597" s="76">
        <f>+CX1597*106250</f>
        <v>0</v>
      </c>
      <c r="CZ1597" s="76"/>
      <c r="DA1597" s="76">
        <f>+CZ1597*34500</f>
        <v>0</v>
      </c>
      <c r="DB1597" s="76"/>
      <c r="DC1597" s="76">
        <f>+DB1597*25000</f>
        <v>0</v>
      </c>
      <c r="DD1597" s="219"/>
      <c r="DE1597" s="219"/>
      <c r="DF1597" s="166"/>
      <c r="DG1597" s="116"/>
      <c r="DH1597" s="117"/>
      <c r="DI1597" s="24"/>
      <c r="DJ1597" s="24"/>
      <c r="DK1597" s="24"/>
      <c r="DL1597" s="24"/>
      <c r="DM1597" s="24"/>
      <c r="DN1597" s="24"/>
      <c r="DO1597" s="24"/>
      <c r="DP1597" s="24"/>
      <c r="DQ1597" s="24"/>
      <c r="DR1597" s="24"/>
      <c r="DS1597" s="24"/>
      <c r="DT1597" s="24"/>
      <c r="DU1597" s="24"/>
    </row>
    <row r="1598" spans="1:125" s="8" customFormat="1" ht="72" x14ac:dyDescent="0.2">
      <c r="A1598" s="226">
        <v>41389</v>
      </c>
      <c r="B1598" s="225" t="s">
        <v>2851</v>
      </c>
      <c r="C1598" s="227" t="s">
        <v>2712</v>
      </c>
      <c r="D1598" s="227" t="s">
        <v>2882</v>
      </c>
      <c r="E1598" s="75" t="str">
        <f>VLOOKUP(B1598&amp;C1598,Divipola!$C$2:$F$1138,4,FALSE)</f>
        <v>76113</v>
      </c>
      <c r="F1598" s="87"/>
      <c r="G1598" s="87">
        <v>1</v>
      </c>
      <c r="H1598" s="87"/>
      <c r="I1598" s="87">
        <v>575</v>
      </c>
      <c r="J1598" s="87">
        <v>115</v>
      </c>
      <c r="K1598" s="87"/>
      <c r="L1598" s="87">
        <v>115</v>
      </c>
      <c r="M1598" s="87"/>
      <c r="N1598" s="87"/>
      <c r="O1598" s="87"/>
      <c r="P1598" s="87"/>
      <c r="Q1598" s="87"/>
      <c r="R1598" s="87"/>
      <c r="S1598" s="87">
        <v>1</v>
      </c>
      <c r="T1598" s="87"/>
      <c r="U1598" s="88"/>
      <c r="V1598" s="89">
        <v>10</v>
      </c>
      <c r="W1598" s="96">
        <v>0</v>
      </c>
      <c r="X1598" s="71">
        <f>CU1598</f>
        <v>0</v>
      </c>
      <c r="Y1598" s="71">
        <f>CY1598</f>
        <v>0</v>
      </c>
      <c r="Z1598" s="71">
        <f>DA1598+DC1598+DE1598</f>
        <v>0</v>
      </c>
      <c r="AA1598" s="71">
        <f>CW1598</f>
        <v>0</v>
      </c>
      <c r="AB1598" s="71"/>
      <c r="AC1598" s="71">
        <v>0</v>
      </c>
      <c r="AD1598" s="71">
        <f>W1598+X1598+Y1598+Z1598+AA1598+AB1598+AC1598</f>
        <v>0</v>
      </c>
      <c r="AE1598" s="72">
        <v>0</v>
      </c>
      <c r="AF1598" s="5"/>
      <c r="AG1598" s="6"/>
      <c r="AH1598" s="27" t="s">
        <v>3392</v>
      </c>
      <c r="AI1598" s="44" t="s">
        <v>3393</v>
      </c>
      <c r="AJ1598" s="26"/>
      <c r="AK1598" s="5"/>
      <c r="AL1598" s="82" t="s">
        <v>4401</v>
      </c>
      <c r="AM1598" s="76"/>
      <c r="AN1598" s="76"/>
      <c r="AO1598" s="76"/>
      <c r="AP1598" s="76"/>
      <c r="AQ1598" s="76"/>
      <c r="AR1598" s="76"/>
      <c r="AS1598" s="76"/>
      <c r="AT1598" s="76"/>
      <c r="AU1598" s="76"/>
      <c r="AV1598" s="76"/>
      <c r="AW1598" s="76"/>
      <c r="AX1598" s="76">
        <f>+AW1598*600000</f>
        <v>0</v>
      </c>
      <c r="AY1598" s="76"/>
      <c r="AZ1598" s="76">
        <f>+AY1598*70000</f>
        <v>0</v>
      </c>
      <c r="BA1598" s="76"/>
      <c r="BB1598" s="76"/>
      <c r="BC1598" s="76"/>
      <c r="BD1598" s="76">
        <f>+BC1598*30000</f>
        <v>0</v>
      </c>
      <c r="BE1598" s="76"/>
      <c r="BF1598" s="76"/>
      <c r="BG1598" s="76"/>
      <c r="BH1598" s="76"/>
      <c r="BI1598" s="76"/>
      <c r="BJ1598" s="76"/>
      <c r="BK1598" s="76"/>
      <c r="BL1598" s="76">
        <f>+BK1598*31500</f>
        <v>0</v>
      </c>
      <c r="BM1598" s="76"/>
      <c r="BN1598" s="76"/>
      <c r="BO1598" s="76"/>
      <c r="BP1598" s="76"/>
      <c r="BQ1598" s="76"/>
      <c r="BR1598" s="76"/>
      <c r="BS1598" s="76"/>
      <c r="BT1598" s="76"/>
      <c r="BU1598" s="76"/>
      <c r="BV1598" s="76"/>
      <c r="BW1598" s="76"/>
      <c r="BX1598" s="76"/>
      <c r="BY1598" s="76"/>
      <c r="BZ1598" s="76"/>
      <c r="CA1598" s="76"/>
      <c r="CB1598" s="76"/>
      <c r="CC1598" s="76"/>
      <c r="CD1598" s="76"/>
      <c r="CE1598" s="76"/>
      <c r="CF1598" s="76">
        <f>+CE1598*28000</f>
        <v>0</v>
      </c>
      <c r="CG1598" s="76"/>
      <c r="CH1598" s="76">
        <f>+CG1598*22500</f>
        <v>0</v>
      </c>
      <c r="CI1598" s="76"/>
      <c r="CJ1598" s="76">
        <f>+CI1598*26000</f>
        <v>0</v>
      </c>
      <c r="CK1598" s="76"/>
      <c r="CL1598" s="76"/>
      <c r="CM1598" s="76"/>
      <c r="CN1598" s="76">
        <f>+CM1598*22000</f>
        <v>0</v>
      </c>
      <c r="CO1598" s="76"/>
      <c r="CP1598" s="76">
        <f>+CO1598*46000</f>
        <v>0</v>
      </c>
      <c r="CQ1598" s="76"/>
      <c r="CR1598" s="76">
        <f>+CQ1598*49000</f>
        <v>0</v>
      </c>
      <c r="CS1598" s="76"/>
      <c r="CT1598" s="76"/>
      <c r="CU1598" s="56">
        <f>AN1598+AP1598+AR1598+AT1598+AV1598+AX1598+AZ1598+BB1598+BD1598+BF1598+BH1598+BJ1598+BL1598+BN1598+BP1598+BR1598+BT1598+BV1598+BX1598+BZ1598+CB1598+CD1598+CF1598+CH1598+CJ1598+CL1598+CN1598+CP1598+CR1598+CT1598</f>
        <v>0</v>
      </c>
      <c r="CV1598" s="76"/>
      <c r="CW1598" s="76">
        <f>+CV1598*1100</f>
        <v>0</v>
      </c>
      <c r="CX1598" s="76"/>
      <c r="CY1598" s="76">
        <f>+CX1598*106250</f>
        <v>0</v>
      </c>
      <c r="CZ1598" s="76"/>
      <c r="DA1598" s="76">
        <f>+CZ1598*34500</f>
        <v>0</v>
      </c>
      <c r="DB1598" s="76"/>
      <c r="DC1598" s="76">
        <f>+DB1598*25000</f>
        <v>0</v>
      </c>
      <c r="DD1598" s="219"/>
      <c r="DE1598" s="219"/>
      <c r="DF1598" s="166"/>
      <c r="DG1598" s="116"/>
      <c r="DH1598" s="117"/>
      <c r="DI1598" s="24"/>
      <c r="DJ1598" s="24"/>
      <c r="DK1598" s="24"/>
      <c r="DL1598" s="24"/>
      <c r="DM1598" s="24"/>
      <c r="DN1598" s="24"/>
      <c r="DO1598" s="24"/>
      <c r="DP1598" s="24"/>
      <c r="DQ1598" s="24"/>
      <c r="DR1598" s="24"/>
      <c r="DS1598" s="24"/>
      <c r="DT1598" s="24"/>
      <c r="DU1598" s="24"/>
    </row>
    <row r="1599" spans="1:125" s="8" customFormat="1" ht="48" x14ac:dyDescent="0.2">
      <c r="A1599" s="97">
        <v>41389</v>
      </c>
      <c r="B1599" s="60" t="s">
        <v>2851</v>
      </c>
      <c r="C1599" s="55" t="s">
        <v>2668</v>
      </c>
      <c r="D1599" s="55" t="s">
        <v>2882</v>
      </c>
      <c r="E1599" s="75" t="str">
        <f>VLOOKUP(B1599&amp;C1599,Divipola!$C$2:$F$1138,4,FALSE)</f>
        <v>76520</v>
      </c>
      <c r="F1599" s="87"/>
      <c r="G1599" s="87"/>
      <c r="H1599" s="87"/>
      <c r="I1599" s="87">
        <v>165</v>
      </c>
      <c r="J1599" s="87">
        <v>33</v>
      </c>
      <c r="K1599" s="87"/>
      <c r="L1599" s="87">
        <v>33</v>
      </c>
      <c r="M1599" s="87"/>
      <c r="N1599" s="87"/>
      <c r="O1599" s="87"/>
      <c r="P1599" s="87"/>
      <c r="Q1599" s="87"/>
      <c r="R1599" s="87"/>
      <c r="S1599" s="87"/>
      <c r="T1599" s="87"/>
      <c r="U1599" s="88"/>
      <c r="V1599" s="89"/>
      <c r="W1599" s="96">
        <v>0</v>
      </c>
      <c r="X1599" s="71">
        <f>CU1599</f>
        <v>0</v>
      </c>
      <c r="Y1599" s="71">
        <f>CY1599</f>
        <v>0</v>
      </c>
      <c r="Z1599" s="71">
        <f>DA1599+DC1599+DE1599</f>
        <v>0</v>
      </c>
      <c r="AA1599" s="71">
        <f>CW1599</f>
        <v>0</v>
      </c>
      <c r="AB1599" s="71"/>
      <c r="AC1599" s="71">
        <v>0</v>
      </c>
      <c r="AD1599" s="71">
        <f>W1599+X1599+Y1599+Z1599+AA1599+AB1599+AC1599</f>
        <v>0</v>
      </c>
      <c r="AE1599" s="72">
        <v>0</v>
      </c>
      <c r="AF1599" s="5"/>
      <c r="AG1599" s="6"/>
      <c r="AH1599" s="27" t="s">
        <v>3392</v>
      </c>
      <c r="AI1599" s="44" t="s">
        <v>3393</v>
      </c>
      <c r="AJ1599" s="26"/>
      <c r="AK1599" s="5"/>
      <c r="AL1599" s="82" t="s">
        <v>4406</v>
      </c>
      <c r="AM1599" s="76"/>
      <c r="AN1599" s="76"/>
      <c r="AO1599" s="76"/>
      <c r="AP1599" s="76"/>
      <c r="AQ1599" s="76"/>
      <c r="AR1599" s="76"/>
      <c r="AS1599" s="76"/>
      <c r="AT1599" s="76"/>
      <c r="AU1599" s="76"/>
      <c r="AV1599" s="76"/>
      <c r="AW1599" s="76"/>
      <c r="AX1599" s="76">
        <f>+AW1599*600000</f>
        <v>0</v>
      </c>
      <c r="AY1599" s="76"/>
      <c r="AZ1599" s="76">
        <f>+AY1599*70000</f>
        <v>0</v>
      </c>
      <c r="BA1599" s="76"/>
      <c r="BB1599" s="76"/>
      <c r="BC1599" s="76"/>
      <c r="BD1599" s="76">
        <f>+BC1599*30000</f>
        <v>0</v>
      </c>
      <c r="BE1599" s="76"/>
      <c r="BF1599" s="76"/>
      <c r="BG1599" s="76"/>
      <c r="BH1599" s="76"/>
      <c r="BI1599" s="76"/>
      <c r="BJ1599" s="76"/>
      <c r="BK1599" s="76"/>
      <c r="BL1599" s="76">
        <f>+BK1599*31500</f>
        <v>0</v>
      </c>
      <c r="BM1599" s="76"/>
      <c r="BN1599" s="76"/>
      <c r="BO1599" s="76"/>
      <c r="BP1599" s="76"/>
      <c r="BQ1599" s="76"/>
      <c r="BR1599" s="76"/>
      <c r="BS1599" s="76"/>
      <c r="BT1599" s="76"/>
      <c r="BU1599" s="76"/>
      <c r="BV1599" s="76"/>
      <c r="BW1599" s="76"/>
      <c r="BX1599" s="76"/>
      <c r="BY1599" s="76"/>
      <c r="BZ1599" s="76"/>
      <c r="CA1599" s="76"/>
      <c r="CB1599" s="76"/>
      <c r="CC1599" s="76"/>
      <c r="CD1599" s="76"/>
      <c r="CE1599" s="76"/>
      <c r="CF1599" s="76">
        <f>+CE1599*28000</f>
        <v>0</v>
      </c>
      <c r="CG1599" s="76"/>
      <c r="CH1599" s="76">
        <f>+CG1599*22500</f>
        <v>0</v>
      </c>
      <c r="CI1599" s="76"/>
      <c r="CJ1599" s="76">
        <f>+CI1599*26000</f>
        <v>0</v>
      </c>
      <c r="CK1599" s="76"/>
      <c r="CL1599" s="76"/>
      <c r="CM1599" s="76"/>
      <c r="CN1599" s="76">
        <f>+CM1599*22000</f>
        <v>0</v>
      </c>
      <c r="CO1599" s="76"/>
      <c r="CP1599" s="76">
        <f>+CO1599*46000</f>
        <v>0</v>
      </c>
      <c r="CQ1599" s="76"/>
      <c r="CR1599" s="76">
        <f>+CQ1599*49000</f>
        <v>0</v>
      </c>
      <c r="CS1599" s="76"/>
      <c r="CT1599" s="76"/>
      <c r="CU1599" s="56">
        <f>AN1599+AP1599+AR1599+AT1599+AV1599+AX1599+AZ1599+BB1599+BD1599+BF1599+BH1599+BJ1599+BL1599+BN1599+BP1599+BR1599+BT1599+BV1599+BX1599+BZ1599+CB1599+CD1599+CF1599+CH1599+CJ1599+CL1599+CN1599+CP1599+CR1599+CT1599</f>
        <v>0</v>
      </c>
      <c r="CV1599" s="76"/>
      <c r="CW1599" s="76">
        <f>+CV1599*1100</f>
        <v>0</v>
      </c>
      <c r="CX1599" s="76"/>
      <c r="CY1599" s="76">
        <f>+CX1599*106250</f>
        <v>0</v>
      </c>
      <c r="CZ1599" s="76"/>
      <c r="DA1599" s="76">
        <f>+CZ1599*34500</f>
        <v>0</v>
      </c>
      <c r="DB1599" s="76"/>
      <c r="DC1599" s="76">
        <f>+DB1599*25000</f>
        <v>0</v>
      </c>
      <c r="DD1599" s="219"/>
      <c r="DE1599" s="219"/>
      <c r="DF1599" s="166"/>
      <c r="DG1599" s="116"/>
      <c r="DH1599" s="117"/>
      <c r="DI1599" s="24"/>
      <c r="DJ1599" s="24"/>
      <c r="DK1599" s="24"/>
      <c r="DL1599" s="24"/>
      <c r="DM1599" s="24"/>
      <c r="DN1599" s="24"/>
      <c r="DO1599" s="24"/>
      <c r="DP1599" s="24"/>
      <c r="DQ1599" s="24"/>
      <c r="DR1599" s="24"/>
      <c r="DS1599" s="24"/>
      <c r="DT1599" s="24"/>
      <c r="DU1599" s="24"/>
    </row>
    <row r="1600" spans="1:125" s="8" customFormat="1" ht="72" x14ac:dyDescent="0.2">
      <c r="A1600" s="353">
        <v>41390</v>
      </c>
      <c r="B1600" s="225" t="s">
        <v>2894</v>
      </c>
      <c r="C1600" s="227" t="s">
        <v>2355</v>
      </c>
      <c r="D1600" s="75" t="s">
        <v>3051</v>
      </c>
      <c r="E1600" s="75" t="str">
        <f>VLOOKUP(B1600&amp;C1600,Divipola!$C$2:$F$1138,4,FALSE)</f>
        <v>05045</v>
      </c>
      <c r="F1600" s="87"/>
      <c r="G1600" s="87"/>
      <c r="H1600" s="87"/>
      <c r="I1600" s="87">
        <v>405</v>
      </c>
      <c r="J1600" s="87">
        <v>81</v>
      </c>
      <c r="K1600" s="87">
        <v>2</v>
      </c>
      <c r="L1600" s="87">
        <v>79</v>
      </c>
      <c r="M1600" s="87"/>
      <c r="N1600" s="87"/>
      <c r="O1600" s="87"/>
      <c r="P1600" s="87"/>
      <c r="Q1600" s="87"/>
      <c r="R1600" s="87"/>
      <c r="S1600" s="87"/>
      <c r="T1600" s="87"/>
      <c r="U1600" s="88"/>
      <c r="V1600" s="89"/>
      <c r="W1600" s="96">
        <v>0</v>
      </c>
      <c r="X1600" s="71">
        <f>CU1600</f>
        <v>0</v>
      </c>
      <c r="Y1600" s="71">
        <f>CY1600</f>
        <v>0</v>
      </c>
      <c r="Z1600" s="71">
        <f>DA1600+DC1600+DE1600</f>
        <v>0</v>
      </c>
      <c r="AA1600" s="71">
        <f>CW1600</f>
        <v>0</v>
      </c>
      <c r="AB1600" s="71"/>
      <c r="AC1600" s="71">
        <v>0</v>
      </c>
      <c r="AD1600" s="71">
        <f>W1600+X1600+Y1600+Z1600+AA1600+AB1600+AC1600</f>
        <v>0</v>
      </c>
      <c r="AE1600" s="72">
        <v>0</v>
      </c>
      <c r="AF1600" s="5"/>
      <c r="AG1600" s="6"/>
      <c r="AH1600" s="27" t="s">
        <v>3392</v>
      </c>
      <c r="AI1600" s="44" t="s">
        <v>3393</v>
      </c>
      <c r="AJ1600" s="26"/>
      <c r="AK1600" s="5"/>
      <c r="AL1600" s="82" t="s">
        <v>4433</v>
      </c>
      <c r="AM1600" s="76"/>
      <c r="AN1600" s="76"/>
      <c r="AO1600" s="76"/>
      <c r="AP1600" s="76"/>
      <c r="AQ1600" s="76"/>
      <c r="AR1600" s="76"/>
      <c r="AS1600" s="76"/>
      <c r="AT1600" s="76"/>
      <c r="AU1600" s="76"/>
      <c r="AV1600" s="76"/>
      <c r="AW1600" s="76"/>
      <c r="AX1600" s="76">
        <f>+AW1600*600000</f>
        <v>0</v>
      </c>
      <c r="AY1600" s="76"/>
      <c r="AZ1600" s="76">
        <f>+AY1600*70000</f>
        <v>0</v>
      </c>
      <c r="BA1600" s="76"/>
      <c r="BB1600" s="76"/>
      <c r="BC1600" s="76"/>
      <c r="BD1600" s="76">
        <f>+BC1600*30000</f>
        <v>0</v>
      </c>
      <c r="BE1600" s="76"/>
      <c r="BF1600" s="76"/>
      <c r="BG1600" s="76"/>
      <c r="BH1600" s="76"/>
      <c r="BI1600" s="76"/>
      <c r="BJ1600" s="76"/>
      <c r="BK1600" s="76"/>
      <c r="BL1600" s="76">
        <f>+BK1600*31500</f>
        <v>0</v>
      </c>
      <c r="BM1600" s="76"/>
      <c r="BN1600" s="76"/>
      <c r="BO1600" s="76"/>
      <c r="BP1600" s="76"/>
      <c r="BQ1600" s="76"/>
      <c r="BR1600" s="76"/>
      <c r="BS1600" s="76"/>
      <c r="BT1600" s="76"/>
      <c r="BU1600" s="76"/>
      <c r="BV1600" s="76"/>
      <c r="BW1600" s="76"/>
      <c r="BX1600" s="76"/>
      <c r="BY1600" s="76"/>
      <c r="BZ1600" s="76"/>
      <c r="CA1600" s="76"/>
      <c r="CB1600" s="76"/>
      <c r="CC1600" s="76"/>
      <c r="CD1600" s="76"/>
      <c r="CE1600" s="76"/>
      <c r="CF1600" s="76">
        <f>+CE1600*28000</f>
        <v>0</v>
      </c>
      <c r="CG1600" s="76"/>
      <c r="CH1600" s="76">
        <f>+CG1600*22500</f>
        <v>0</v>
      </c>
      <c r="CI1600" s="76"/>
      <c r="CJ1600" s="76">
        <f>+CI1600*26000</f>
        <v>0</v>
      </c>
      <c r="CK1600" s="76"/>
      <c r="CL1600" s="76"/>
      <c r="CM1600" s="76"/>
      <c r="CN1600" s="76">
        <f>+CM1600*22000</f>
        <v>0</v>
      </c>
      <c r="CO1600" s="76"/>
      <c r="CP1600" s="76">
        <f>+CO1600*46000</f>
        <v>0</v>
      </c>
      <c r="CQ1600" s="76"/>
      <c r="CR1600" s="76">
        <f>+CQ1600*49000</f>
        <v>0</v>
      </c>
      <c r="CS1600" s="76"/>
      <c r="CT1600" s="76"/>
      <c r="CU1600" s="56">
        <f>AN1600+AP1600+AR1600+AT1600+AV1600+AX1600+AZ1600+BB1600+BD1600+BF1600+BH1600+BJ1600+BL1600+BN1600+BP1600+BR1600+BT1600+BV1600+BX1600+BZ1600+CB1600+CD1600+CF1600+CH1600+CJ1600+CL1600+CN1600+CP1600+CR1600+CT1600</f>
        <v>0</v>
      </c>
      <c r="CV1600" s="76"/>
      <c r="CW1600" s="76">
        <f>+CV1600*1100</f>
        <v>0</v>
      </c>
      <c r="CX1600" s="76"/>
      <c r="CY1600" s="76">
        <f>+CX1600*106250</f>
        <v>0</v>
      </c>
      <c r="CZ1600" s="76"/>
      <c r="DA1600" s="76">
        <f>+CZ1600*34500</f>
        <v>0</v>
      </c>
      <c r="DB1600" s="76"/>
      <c r="DC1600" s="76">
        <f>+DB1600*25000</f>
        <v>0</v>
      </c>
      <c r="DD1600" s="219"/>
      <c r="DE1600" s="219"/>
      <c r="DF1600" s="166"/>
      <c r="DG1600" s="116"/>
      <c r="DH1600" s="117"/>
      <c r="DI1600" s="24"/>
      <c r="DJ1600" s="24"/>
      <c r="DK1600" s="24"/>
      <c r="DL1600" s="24"/>
      <c r="DM1600" s="24"/>
      <c r="DN1600" s="24"/>
      <c r="DO1600" s="24"/>
      <c r="DP1600" s="24"/>
      <c r="DQ1600" s="24"/>
      <c r="DR1600" s="24"/>
      <c r="DS1600" s="24"/>
      <c r="DT1600" s="24"/>
      <c r="DU1600" s="24"/>
    </row>
    <row r="1601" spans="1:125" s="8" customFormat="1" ht="60" x14ac:dyDescent="0.2">
      <c r="A1601" s="77">
        <v>41390</v>
      </c>
      <c r="B1601" s="208" t="s">
        <v>2894</v>
      </c>
      <c r="C1601" s="227" t="s">
        <v>2615</v>
      </c>
      <c r="D1601" s="227" t="s">
        <v>3205</v>
      </c>
      <c r="E1601" s="75" t="str">
        <f>VLOOKUP(B1601&amp;C1601,Divipola!$C$2:$F$1138,4,FALSE)</f>
        <v>05837</v>
      </c>
      <c r="F1601" s="87"/>
      <c r="G1601" s="87"/>
      <c r="H1601" s="87"/>
      <c r="I1601" s="87"/>
      <c r="J1601" s="87"/>
      <c r="K1601" s="87"/>
      <c r="L1601" s="87"/>
      <c r="M1601" s="87"/>
      <c r="N1601" s="87">
        <v>2</v>
      </c>
      <c r="O1601" s="87"/>
      <c r="P1601" s="87"/>
      <c r="Q1601" s="87"/>
      <c r="R1601" s="87"/>
      <c r="S1601" s="87"/>
      <c r="T1601" s="87"/>
      <c r="U1601" s="88"/>
      <c r="V1601" s="89"/>
      <c r="W1601" s="96">
        <v>0</v>
      </c>
      <c r="X1601" s="71">
        <f>CU1601</f>
        <v>0</v>
      </c>
      <c r="Y1601" s="71">
        <f>CY1601</f>
        <v>0</v>
      </c>
      <c r="Z1601" s="71">
        <f>DA1601+DC1601+DE1601</f>
        <v>0</v>
      </c>
      <c r="AA1601" s="71">
        <f>CW1601</f>
        <v>0</v>
      </c>
      <c r="AB1601" s="71"/>
      <c r="AC1601" s="71">
        <v>0</v>
      </c>
      <c r="AD1601" s="71">
        <f>W1601+X1601+Y1601+Z1601+AA1601+AB1601+AC1601</f>
        <v>0</v>
      </c>
      <c r="AE1601" s="72">
        <v>0</v>
      </c>
      <c r="AF1601" s="5"/>
      <c r="AG1601" s="6"/>
      <c r="AH1601" s="27" t="s">
        <v>3392</v>
      </c>
      <c r="AI1601" s="44" t="s">
        <v>3393</v>
      </c>
      <c r="AJ1601" s="26"/>
      <c r="AK1601" s="5"/>
      <c r="AL1601" s="82" t="s">
        <v>4410</v>
      </c>
      <c r="AM1601" s="76"/>
      <c r="AN1601" s="76"/>
      <c r="AO1601" s="76"/>
      <c r="AP1601" s="76"/>
      <c r="AQ1601" s="76"/>
      <c r="AR1601" s="76"/>
      <c r="AS1601" s="76"/>
      <c r="AT1601" s="76"/>
      <c r="AU1601" s="76"/>
      <c r="AV1601" s="76"/>
      <c r="AW1601" s="76"/>
      <c r="AX1601" s="76">
        <f>+AW1601*600000</f>
        <v>0</v>
      </c>
      <c r="AY1601" s="76"/>
      <c r="AZ1601" s="76">
        <f>+AY1601*70000</f>
        <v>0</v>
      </c>
      <c r="BA1601" s="76"/>
      <c r="BB1601" s="76"/>
      <c r="BC1601" s="76"/>
      <c r="BD1601" s="76">
        <f>+BC1601*30000</f>
        <v>0</v>
      </c>
      <c r="BE1601" s="76"/>
      <c r="BF1601" s="76"/>
      <c r="BG1601" s="76"/>
      <c r="BH1601" s="76"/>
      <c r="BI1601" s="76"/>
      <c r="BJ1601" s="76"/>
      <c r="BK1601" s="76"/>
      <c r="BL1601" s="76">
        <f>+BK1601*31500</f>
        <v>0</v>
      </c>
      <c r="BM1601" s="76"/>
      <c r="BN1601" s="76"/>
      <c r="BO1601" s="76"/>
      <c r="BP1601" s="76"/>
      <c r="BQ1601" s="76"/>
      <c r="BR1601" s="76"/>
      <c r="BS1601" s="76"/>
      <c r="BT1601" s="76"/>
      <c r="BU1601" s="76"/>
      <c r="BV1601" s="76"/>
      <c r="BW1601" s="76"/>
      <c r="BX1601" s="76"/>
      <c r="BY1601" s="76"/>
      <c r="BZ1601" s="76"/>
      <c r="CA1601" s="76"/>
      <c r="CB1601" s="76"/>
      <c r="CC1601" s="76"/>
      <c r="CD1601" s="76"/>
      <c r="CE1601" s="76"/>
      <c r="CF1601" s="76">
        <f>+CE1601*28000</f>
        <v>0</v>
      </c>
      <c r="CG1601" s="76"/>
      <c r="CH1601" s="76">
        <f>+CG1601*22500</f>
        <v>0</v>
      </c>
      <c r="CI1601" s="76"/>
      <c r="CJ1601" s="76">
        <f>+CI1601*26000</f>
        <v>0</v>
      </c>
      <c r="CK1601" s="76"/>
      <c r="CL1601" s="76"/>
      <c r="CM1601" s="76"/>
      <c r="CN1601" s="76">
        <f>+CM1601*22000</f>
        <v>0</v>
      </c>
      <c r="CO1601" s="76"/>
      <c r="CP1601" s="76">
        <f>+CO1601*46000</f>
        <v>0</v>
      </c>
      <c r="CQ1601" s="76"/>
      <c r="CR1601" s="76">
        <f>+CQ1601*49000</f>
        <v>0</v>
      </c>
      <c r="CS1601" s="76"/>
      <c r="CT1601" s="76"/>
      <c r="CU1601" s="56">
        <f>AN1601+AP1601+AR1601+AT1601+AV1601+AX1601+AZ1601+BB1601+BD1601+BF1601+BH1601+BJ1601+BL1601+BN1601+BP1601+BR1601+BT1601+BV1601+BX1601+BZ1601+CB1601+CD1601+CF1601+CH1601+CJ1601+CL1601+CN1601+CP1601+CR1601+CT1601</f>
        <v>0</v>
      </c>
      <c r="CV1601" s="76"/>
      <c r="CW1601" s="76">
        <f>+CV1601*1100</f>
        <v>0</v>
      </c>
      <c r="CX1601" s="76"/>
      <c r="CY1601" s="76">
        <f>+CX1601*106250</f>
        <v>0</v>
      </c>
      <c r="CZ1601" s="76"/>
      <c r="DA1601" s="76">
        <f>+CZ1601*34500</f>
        <v>0</v>
      </c>
      <c r="DB1601" s="76"/>
      <c r="DC1601" s="76">
        <f>+DB1601*25000</f>
        <v>0</v>
      </c>
      <c r="DD1601" s="219"/>
      <c r="DE1601" s="219"/>
      <c r="DF1601" s="166"/>
      <c r="DG1601" s="116"/>
      <c r="DH1601" s="117"/>
      <c r="DI1601" s="24"/>
      <c r="DJ1601" s="24"/>
      <c r="DK1601" s="24"/>
      <c r="DL1601" s="24"/>
      <c r="DM1601" s="24"/>
      <c r="DN1601" s="24"/>
      <c r="DO1601" s="24"/>
      <c r="DP1601" s="24"/>
      <c r="DQ1601" s="24"/>
      <c r="DR1601" s="24"/>
      <c r="DS1601" s="24"/>
      <c r="DT1601" s="24"/>
      <c r="DU1601" s="24"/>
    </row>
    <row r="1602" spans="1:125" s="8" customFormat="1" ht="48" x14ac:dyDescent="0.2">
      <c r="A1602" s="77">
        <v>41390</v>
      </c>
      <c r="B1602" s="78" t="s">
        <v>2852</v>
      </c>
      <c r="C1602" s="75" t="s">
        <v>2094</v>
      </c>
      <c r="D1602" s="75" t="s">
        <v>2882</v>
      </c>
      <c r="E1602" s="75" t="str">
        <f>VLOOKUP(B1602&amp;C1602,Divipola!$C$2:$F$1138,4,FALSE)</f>
        <v>27413</v>
      </c>
      <c r="F1602" s="87"/>
      <c r="G1602" s="87"/>
      <c r="H1602" s="87"/>
      <c r="I1602" s="87">
        <v>725</v>
      </c>
      <c r="J1602" s="87">
        <v>145</v>
      </c>
      <c r="K1602" s="87">
        <v>1</v>
      </c>
      <c r="L1602" s="87">
        <v>144</v>
      </c>
      <c r="M1602" s="87"/>
      <c r="N1602" s="87"/>
      <c r="O1602" s="87"/>
      <c r="P1602" s="87"/>
      <c r="Q1602" s="87"/>
      <c r="R1602" s="87"/>
      <c r="S1602" s="87"/>
      <c r="T1602" s="87"/>
      <c r="U1602" s="88"/>
      <c r="V1602" s="89"/>
      <c r="W1602" s="96">
        <v>0</v>
      </c>
      <c r="X1602" s="71">
        <f>CU1602</f>
        <v>0</v>
      </c>
      <c r="Y1602" s="71">
        <f>CY1602</f>
        <v>0</v>
      </c>
      <c r="Z1602" s="71">
        <f>DA1602+DC1602+DE1602</f>
        <v>0</v>
      </c>
      <c r="AA1602" s="71">
        <f>CW1602</f>
        <v>0</v>
      </c>
      <c r="AB1602" s="71"/>
      <c r="AC1602" s="71">
        <v>0</v>
      </c>
      <c r="AD1602" s="71">
        <f>W1602+X1602+Y1602+Z1602+AA1602+AB1602+AC1602</f>
        <v>0</v>
      </c>
      <c r="AE1602" s="72">
        <v>0</v>
      </c>
      <c r="AF1602" s="5"/>
      <c r="AG1602" s="6"/>
      <c r="AH1602" s="27" t="s">
        <v>3392</v>
      </c>
      <c r="AI1602" s="44" t="s">
        <v>3393</v>
      </c>
      <c r="AJ1602" s="26"/>
      <c r="AK1602" s="5"/>
      <c r="AL1602" s="82" t="s">
        <v>4413</v>
      </c>
      <c r="AM1602" s="76"/>
      <c r="AN1602" s="76"/>
      <c r="AO1602" s="76"/>
      <c r="AP1602" s="76"/>
      <c r="AQ1602" s="76"/>
      <c r="AR1602" s="76"/>
      <c r="AS1602" s="76"/>
      <c r="AT1602" s="76"/>
      <c r="AU1602" s="76"/>
      <c r="AV1602" s="76"/>
      <c r="AW1602" s="76"/>
      <c r="AX1602" s="76">
        <f>+AW1602*600000</f>
        <v>0</v>
      </c>
      <c r="AY1602" s="76"/>
      <c r="AZ1602" s="76">
        <f>+AY1602*70000</f>
        <v>0</v>
      </c>
      <c r="BA1602" s="76"/>
      <c r="BB1602" s="76"/>
      <c r="BC1602" s="76"/>
      <c r="BD1602" s="76">
        <f>+BC1602*30000</f>
        <v>0</v>
      </c>
      <c r="BE1602" s="76"/>
      <c r="BF1602" s="76"/>
      <c r="BG1602" s="76"/>
      <c r="BH1602" s="76"/>
      <c r="BI1602" s="76"/>
      <c r="BJ1602" s="76"/>
      <c r="BK1602" s="76"/>
      <c r="BL1602" s="76">
        <f>+BK1602*31500</f>
        <v>0</v>
      </c>
      <c r="BM1602" s="76"/>
      <c r="BN1602" s="76"/>
      <c r="BO1602" s="76"/>
      <c r="BP1602" s="76"/>
      <c r="BQ1602" s="76"/>
      <c r="BR1602" s="76"/>
      <c r="BS1602" s="76"/>
      <c r="BT1602" s="76"/>
      <c r="BU1602" s="76"/>
      <c r="BV1602" s="76"/>
      <c r="BW1602" s="76"/>
      <c r="BX1602" s="76"/>
      <c r="BY1602" s="76"/>
      <c r="BZ1602" s="76"/>
      <c r="CA1602" s="76"/>
      <c r="CB1602" s="76"/>
      <c r="CC1602" s="76"/>
      <c r="CD1602" s="76"/>
      <c r="CE1602" s="76"/>
      <c r="CF1602" s="76">
        <f>+CE1602*28000</f>
        <v>0</v>
      </c>
      <c r="CG1602" s="76"/>
      <c r="CH1602" s="76">
        <f>+CG1602*22500</f>
        <v>0</v>
      </c>
      <c r="CI1602" s="76"/>
      <c r="CJ1602" s="76">
        <f>+CI1602*26000</f>
        <v>0</v>
      </c>
      <c r="CK1602" s="76"/>
      <c r="CL1602" s="76"/>
      <c r="CM1602" s="76"/>
      <c r="CN1602" s="76">
        <f>+CM1602*22000</f>
        <v>0</v>
      </c>
      <c r="CO1602" s="76"/>
      <c r="CP1602" s="76">
        <f>+CO1602*46000</f>
        <v>0</v>
      </c>
      <c r="CQ1602" s="76"/>
      <c r="CR1602" s="76">
        <f>+CQ1602*49000</f>
        <v>0</v>
      </c>
      <c r="CS1602" s="76"/>
      <c r="CT1602" s="76"/>
      <c r="CU1602" s="56">
        <f>AN1602+AP1602+AR1602+AT1602+AV1602+AX1602+AZ1602+BB1602+BD1602+BF1602+BH1602+BJ1602+BL1602+BN1602+BP1602+BR1602+BT1602+BV1602+BX1602+BZ1602+CB1602+CD1602+CF1602+CH1602+CJ1602+CL1602+CN1602+CP1602+CR1602+CT1602</f>
        <v>0</v>
      </c>
      <c r="CV1602" s="76"/>
      <c r="CW1602" s="76">
        <f>+CV1602*1100</f>
        <v>0</v>
      </c>
      <c r="CX1602" s="76"/>
      <c r="CY1602" s="76">
        <f>+CX1602*106250</f>
        <v>0</v>
      </c>
      <c r="CZ1602" s="76"/>
      <c r="DA1602" s="76">
        <f>+CZ1602*34500</f>
        <v>0</v>
      </c>
      <c r="DB1602" s="76"/>
      <c r="DC1602" s="76">
        <f>+DB1602*25000</f>
        <v>0</v>
      </c>
      <c r="DD1602" s="219"/>
      <c r="DE1602" s="219"/>
      <c r="DF1602" s="166"/>
      <c r="DG1602" s="116"/>
      <c r="DH1602" s="117"/>
      <c r="DI1602" s="24"/>
      <c r="DJ1602" s="24"/>
      <c r="DK1602" s="24"/>
      <c r="DL1602" s="24"/>
      <c r="DM1602" s="24"/>
      <c r="DN1602" s="24"/>
      <c r="DO1602" s="24"/>
      <c r="DP1602" s="24"/>
      <c r="DQ1602" s="24"/>
      <c r="DR1602" s="24"/>
      <c r="DS1602" s="24"/>
      <c r="DT1602" s="24"/>
      <c r="DU1602" s="24"/>
    </row>
    <row r="1603" spans="1:125" s="8" customFormat="1" ht="60" x14ac:dyDescent="0.2">
      <c r="A1603" s="353">
        <v>41390</v>
      </c>
      <c r="B1603" s="352" t="s">
        <v>2906</v>
      </c>
      <c r="C1603" s="354" t="s">
        <v>2739</v>
      </c>
      <c r="D1603" s="354" t="s">
        <v>2846</v>
      </c>
      <c r="E1603" s="75" t="str">
        <f>VLOOKUP(B1603&amp;C1603,Divipola!$C$2:$F$1138,4,FALSE)</f>
        <v>47001</v>
      </c>
      <c r="F1603" s="87"/>
      <c r="G1603" s="87"/>
      <c r="H1603" s="87"/>
      <c r="I1603" s="87"/>
      <c r="J1603" s="87"/>
      <c r="K1603" s="87"/>
      <c r="L1603" s="87"/>
      <c r="M1603" s="87"/>
      <c r="N1603" s="87"/>
      <c r="O1603" s="87"/>
      <c r="P1603" s="87"/>
      <c r="Q1603" s="87"/>
      <c r="R1603" s="87"/>
      <c r="S1603" s="87"/>
      <c r="T1603" s="87"/>
      <c r="U1603" s="88">
        <v>1</v>
      </c>
      <c r="V1603" s="89"/>
      <c r="W1603" s="96">
        <v>0</v>
      </c>
      <c r="X1603" s="71">
        <f>CU1603</f>
        <v>0</v>
      </c>
      <c r="Y1603" s="71">
        <f>CY1603</f>
        <v>0</v>
      </c>
      <c r="Z1603" s="71">
        <f>DA1603+DC1603+DE1603</f>
        <v>0</v>
      </c>
      <c r="AA1603" s="71">
        <f>CW1603</f>
        <v>0</v>
      </c>
      <c r="AB1603" s="71"/>
      <c r="AC1603" s="71">
        <v>0</v>
      </c>
      <c r="AD1603" s="71">
        <f>W1603+X1603+Y1603+Z1603+AA1603+AB1603+AC1603</f>
        <v>0</v>
      </c>
      <c r="AE1603" s="72">
        <v>0</v>
      </c>
      <c r="AF1603" s="5"/>
      <c r="AG1603" s="6"/>
      <c r="AH1603" s="27" t="s">
        <v>3392</v>
      </c>
      <c r="AI1603" s="44" t="s">
        <v>3393</v>
      </c>
      <c r="AJ1603" s="26"/>
      <c r="AK1603" s="5"/>
      <c r="AL1603" s="82" t="s">
        <v>4418</v>
      </c>
      <c r="AM1603" s="76"/>
      <c r="AN1603" s="76"/>
      <c r="AO1603" s="76"/>
      <c r="AP1603" s="76"/>
      <c r="AQ1603" s="76"/>
      <c r="AR1603" s="76"/>
      <c r="AS1603" s="76"/>
      <c r="AT1603" s="76"/>
      <c r="AU1603" s="76"/>
      <c r="AV1603" s="76"/>
      <c r="AW1603" s="76"/>
      <c r="AX1603" s="76">
        <f>+AW1603*600000</f>
        <v>0</v>
      </c>
      <c r="AY1603" s="76"/>
      <c r="AZ1603" s="76">
        <f>+AY1603*70000</f>
        <v>0</v>
      </c>
      <c r="BA1603" s="76"/>
      <c r="BB1603" s="76"/>
      <c r="BC1603" s="76"/>
      <c r="BD1603" s="76">
        <f>+BC1603*30000</f>
        <v>0</v>
      </c>
      <c r="BE1603" s="76"/>
      <c r="BF1603" s="76"/>
      <c r="BG1603" s="76"/>
      <c r="BH1603" s="76"/>
      <c r="BI1603" s="76"/>
      <c r="BJ1603" s="76"/>
      <c r="BK1603" s="76"/>
      <c r="BL1603" s="76">
        <f>+BK1603*31500</f>
        <v>0</v>
      </c>
      <c r="BM1603" s="76"/>
      <c r="BN1603" s="76"/>
      <c r="BO1603" s="76"/>
      <c r="BP1603" s="76"/>
      <c r="BQ1603" s="76"/>
      <c r="BR1603" s="76"/>
      <c r="BS1603" s="76"/>
      <c r="BT1603" s="76"/>
      <c r="BU1603" s="76"/>
      <c r="BV1603" s="76"/>
      <c r="BW1603" s="76"/>
      <c r="BX1603" s="76"/>
      <c r="BY1603" s="76"/>
      <c r="BZ1603" s="76"/>
      <c r="CA1603" s="76"/>
      <c r="CB1603" s="76"/>
      <c r="CC1603" s="76"/>
      <c r="CD1603" s="76"/>
      <c r="CE1603" s="76"/>
      <c r="CF1603" s="76">
        <f>+CE1603*28000</f>
        <v>0</v>
      </c>
      <c r="CG1603" s="76"/>
      <c r="CH1603" s="76">
        <f>+CG1603*22500</f>
        <v>0</v>
      </c>
      <c r="CI1603" s="76"/>
      <c r="CJ1603" s="76">
        <f>+CI1603*26000</f>
        <v>0</v>
      </c>
      <c r="CK1603" s="76"/>
      <c r="CL1603" s="76"/>
      <c r="CM1603" s="76"/>
      <c r="CN1603" s="76">
        <f>+CM1603*22000</f>
        <v>0</v>
      </c>
      <c r="CO1603" s="76"/>
      <c r="CP1603" s="76">
        <f>+CO1603*46000</f>
        <v>0</v>
      </c>
      <c r="CQ1603" s="76"/>
      <c r="CR1603" s="76">
        <f>+CQ1603*49000</f>
        <v>0</v>
      </c>
      <c r="CS1603" s="76"/>
      <c r="CT1603" s="76"/>
      <c r="CU1603" s="56">
        <f>AN1603+AP1603+AR1603+AT1603+AV1603+AX1603+AZ1603+BB1603+BD1603+BF1603+BH1603+BJ1603+BL1603+BN1603+BP1603+BR1603+BT1603+BV1603+BX1603+BZ1603+CB1603+CD1603+CF1603+CH1603+CJ1603+CL1603+CN1603+CP1603+CR1603+CT1603</f>
        <v>0</v>
      </c>
      <c r="CV1603" s="76"/>
      <c r="CW1603" s="76">
        <f>+CV1603*1100</f>
        <v>0</v>
      </c>
      <c r="CX1603" s="76"/>
      <c r="CY1603" s="76">
        <f>+CX1603*106250</f>
        <v>0</v>
      </c>
      <c r="CZ1603" s="76"/>
      <c r="DA1603" s="76">
        <f>+CZ1603*34500</f>
        <v>0</v>
      </c>
      <c r="DB1603" s="76"/>
      <c r="DC1603" s="76">
        <f>+DB1603*25000</f>
        <v>0</v>
      </c>
      <c r="DD1603" s="219"/>
      <c r="DE1603" s="219"/>
      <c r="DF1603" s="166"/>
      <c r="DG1603" s="116"/>
      <c r="DH1603" s="117"/>
      <c r="DI1603" s="24"/>
      <c r="DJ1603" s="24"/>
      <c r="DK1603" s="24"/>
      <c r="DL1603" s="24"/>
      <c r="DM1603" s="24"/>
      <c r="DN1603" s="24"/>
      <c r="DO1603" s="24"/>
      <c r="DP1603" s="24"/>
      <c r="DQ1603" s="24"/>
      <c r="DR1603" s="24"/>
      <c r="DS1603" s="24"/>
      <c r="DT1603" s="24"/>
      <c r="DU1603" s="24"/>
    </row>
    <row r="1604" spans="1:125" s="8" customFormat="1" ht="48" x14ac:dyDescent="0.2">
      <c r="A1604" s="353">
        <v>41390</v>
      </c>
      <c r="B1604" s="225" t="s">
        <v>2860</v>
      </c>
      <c r="C1604" s="227" t="s">
        <v>2198</v>
      </c>
      <c r="D1604" s="227" t="s">
        <v>2882</v>
      </c>
      <c r="E1604" s="75" t="str">
        <f>VLOOKUP(B1604&amp;C1604,Divipola!$C$2:$F$1138,4,FALSE)</f>
        <v>63130</v>
      </c>
      <c r="F1604" s="87"/>
      <c r="G1604" s="87"/>
      <c r="H1604" s="87"/>
      <c r="I1604" s="87"/>
      <c r="J1604" s="87"/>
      <c r="K1604" s="87"/>
      <c r="L1604" s="87"/>
      <c r="M1604" s="87">
        <v>1</v>
      </c>
      <c r="N1604" s="87"/>
      <c r="O1604" s="87"/>
      <c r="P1604" s="87"/>
      <c r="Q1604" s="87"/>
      <c r="R1604" s="87"/>
      <c r="S1604" s="87"/>
      <c r="T1604" s="87"/>
      <c r="U1604" s="88"/>
      <c r="V1604" s="89"/>
      <c r="W1604" s="96">
        <v>0</v>
      </c>
      <c r="X1604" s="71">
        <f>CU1604</f>
        <v>0</v>
      </c>
      <c r="Y1604" s="71">
        <f>CY1604</f>
        <v>0</v>
      </c>
      <c r="Z1604" s="71">
        <f>DA1604+DC1604+DE1604</f>
        <v>0</v>
      </c>
      <c r="AA1604" s="71">
        <f>CW1604</f>
        <v>0</v>
      </c>
      <c r="AB1604" s="71"/>
      <c r="AC1604" s="71">
        <v>0</v>
      </c>
      <c r="AD1604" s="71">
        <f>W1604+X1604+Y1604+Z1604+AA1604+AB1604+AC1604</f>
        <v>0</v>
      </c>
      <c r="AE1604" s="72">
        <v>0</v>
      </c>
      <c r="AF1604" s="5"/>
      <c r="AG1604" s="6"/>
      <c r="AH1604" s="27" t="s">
        <v>3392</v>
      </c>
      <c r="AI1604" s="44" t="s">
        <v>3393</v>
      </c>
      <c r="AJ1604" s="26"/>
      <c r="AK1604" s="5"/>
      <c r="AL1604" s="82" t="s">
        <v>4404</v>
      </c>
      <c r="AM1604" s="76"/>
      <c r="AN1604" s="76"/>
      <c r="AO1604" s="76"/>
      <c r="AP1604" s="76"/>
      <c r="AQ1604" s="76"/>
      <c r="AR1604" s="76"/>
      <c r="AS1604" s="76"/>
      <c r="AT1604" s="76"/>
      <c r="AU1604" s="76"/>
      <c r="AV1604" s="76"/>
      <c r="AW1604" s="76"/>
      <c r="AX1604" s="76">
        <f>+AW1604*600000</f>
        <v>0</v>
      </c>
      <c r="AY1604" s="76"/>
      <c r="AZ1604" s="76">
        <f>+AY1604*70000</f>
        <v>0</v>
      </c>
      <c r="BA1604" s="76"/>
      <c r="BB1604" s="76"/>
      <c r="BC1604" s="76"/>
      <c r="BD1604" s="76">
        <f>+BC1604*30000</f>
        <v>0</v>
      </c>
      <c r="BE1604" s="76"/>
      <c r="BF1604" s="76"/>
      <c r="BG1604" s="76"/>
      <c r="BH1604" s="76"/>
      <c r="BI1604" s="76"/>
      <c r="BJ1604" s="76"/>
      <c r="BK1604" s="76"/>
      <c r="BL1604" s="76">
        <f>+BK1604*31500</f>
        <v>0</v>
      </c>
      <c r="BM1604" s="76"/>
      <c r="BN1604" s="76"/>
      <c r="BO1604" s="76"/>
      <c r="BP1604" s="76"/>
      <c r="BQ1604" s="76"/>
      <c r="BR1604" s="76"/>
      <c r="BS1604" s="76"/>
      <c r="BT1604" s="76"/>
      <c r="BU1604" s="76"/>
      <c r="BV1604" s="76"/>
      <c r="BW1604" s="76"/>
      <c r="BX1604" s="76"/>
      <c r="BY1604" s="76"/>
      <c r="BZ1604" s="76"/>
      <c r="CA1604" s="76"/>
      <c r="CB1604" s="76"/>
      <c r="CC1604" s="76"/>
      <c r="CD1604" s="76"/>
      <c r="CE1604" s="76"/>
      <c r="CF1604" s="76">
        <f>+CE1604*28000</f>
        <v>0</v>
      </c>
      <c r="CG1604" s="76"/>
      <c r="CH1604" s="76">
        <f>+CG1604*22500</f>
        <v>0</v>
      </c>
      <c r="CI1604" s="76"/>
      <c r="CJ1604" s="76">
        <f>+CI1604*26000</f>
        <v>0</v>
      </c>
      <c r="CK1604" s="76"/>
      <c r="CL1604" s="76"/>
      <c r="CM1604" s="76"/>
      <c r="CN1604" s="76">
        <f>+CM1604*22000</f>
        <v>0</v>
      </c>
      <c r="CO1604" s="76"/>
      <c r="CP1604" s="76">
        <f>+CO1604*46000</f>
        <v>0</v>
      </c>
      <c r="CQ1604" s="76"/>
      <c r="CR1604" s="76">
        <f>+CQ1604*49000</f>
        <v>0</v>
      </c>
      <c r="CS1604" s="76"/>
      <c r="CT1604" s="76"/>
      <c r="CU1604" s="56">
        <f>AN1604+AP1604+AR1604+AT1604+AV1604+AX1604+AZ1604+BB1604+BD1604+BF1604+BH1604+BJ1604+BL1604+BN1604+BP1604+BR1604+BT1604+BV1604+BX1604+BZ1604+CB1604+CD1604+CF1604+CH1604+CJ1604+CL1604+CN1604+CP1604+CR1604+CT1604</f>
        <v>0</v>
      </c>
      <c r="CV1604" s="76"/>
      <c r="CW1604" s="76">
        <f>+CV1604*1100</f>
        <v>0</v>
      </c>
      <c r="CX1604" s="76"/>
      <c r="CY1604" s="76">
        <f>+CX1604*106250</f>
        <v>0</v>
      </c>
      <c r="CZ1604" s="76"/>
      <c r="DA1604" s="76">
        <f>+CZ1604*34500</f>
        <v>0</v>
      </c>
      <c r="DB1604" s="76"/>
      <c r="DC1604" s="76">
        <f>+DB1604*25000</f>
        <v>0</v>
      </c>
      <c r="DD1604" s="219"/>
      <c r="DE1604" s="219"/>
      <c r="DF1604" s="166"/>
      <c r="DG1604" s="116"/>
      <c r="DH1604" s="117"/>
      <c r="DI1604" s="24"/>
      <c r="DJ1604" s="24"/>
      <c r="DK1604" s="24"/>
      <c r="DL1604" s="24"/>
      <c r="DM1604" s="24"/>
      <c r="DN1604" s="24"/>
      <c r="DO1604" s="24"/>
      <c r="DP1604" s="24"/>
      <c r="DQ1604" s="24"/>
      <c r="DR1604" s="24"/>
      <c r="DS1604" s="24"/>
      <c r="DT1604" s="24"/>
      <c r="DU1604" s="24"/>
    </row>
    <row r="1605" spans="1:125" s="8" customFormat="1" ht="84" x14ac:dyDescent="0.2">
      <c r="A1605" s="226">
        <v>41390</v>
      </c>
      <c r="B1605" s="225" t="s">
        <v>2851</v>
      </c>
      <c r="C1605" s="227" t="s">
        <v>1959</v>
      </c>
      <c r="D1605" s="75" t="s">
        <v>3051</v>
      </c>
      <c r="E1605" s="75" t="str">
        <f>VLOOKUP(B1605&amp;C1605,Divipola!$C$2:$F$1138,4,FALSE)</f>
        <v>76616</v>
      </c>
      <c r="F1605" s="87"/>
      <c r="G1605" s="87"/>
      <c r="H1605" s="87"/>
      <c r="I1605" s="87">
        <v>35</v>
      </c>
      <c r="J1605" s="87">
        <v>7</v>
      </c>
      <c r="K1605" s="87"/>
      <c r="L1605" s="87">
        <v>7</v>
      </c>
      <c r="M1605" s="87"/>
      <c r="N1605" s="87"/>
      <c r="O1605" s="87"/>
      <c r="P1605" s="87"/>
      <c r="Q1605" s="87">
        <v>1</v>
      </c>
      <c r="R1605" s="87"/>
      <c r="S1605" s="87"/>
      <c r="T1605" s="87"/>
      <c r="U1605" s="88"/>
      <c r="V1605" s="89"/>
      <c r="W1605" s="96">
        <v>0</v>
      </c>
      <c r="X1605" s="71">
        <f>CU1605</f>
        <v>0</v>
      </c>
      <c r="Y1605" s="71">
        <f>CY1605</f>
        <v>0</v>
      </c>
      <c r="Z1605" s="71">
        <f>DA1605+DC1605+DE1605</f>
        <v>0</v>
      </c>
      <c r="AA1605" s="71">
        <f>CW1605</f>
        <v>0</v>
      </c>
      <c r="AB1605" s="71"/>
      <c r="AC1605" s="71">
        <v>0</v>
      </c>
      <c r="AD1605" s="71">
        <f>W1605+X1605+Y1605+Z1605+AA1605+AB1605+AC1605</f>
        <v>0</v>
      </c>
      <c r="AE1605" s="72">
        <v>0</v>
      </c>
      <c r="AF1605" s="5"/>
      <c r="AG1605" s="6"/>
      <c r="AH1605" s="27" t="s">
        <v>3392</v>
      </c>
      <c r="AI1605" s="44" t="s">
        <v>3393</v>
      </c>
      <c r="AJ1605" s="26"/>
      <c r="AK1605" s="5"/>
      <c r="AL1605" s="82" t="s">
        <v>4420</v>
      </c>
      <c r="AM1605" s="76"/>
      <c r="AN1605" s="76"/>
      <c r="AO1605" s="76"/>
      <c r="AP1605" s="76"/>
      <c r="AQ1605" s="76"/>
      <c r="AR1605" s="76"/>
      <c r="AS1605" s="76"/>
      <c r="AT1605" s="76"/>
      <c r="AU1605" s="76"/>
      <c r="AV1605" s="76"/>
      <c r="AW1605" s="76"/>
      <c r="AX1605" s="76">
        <f>+AW1605*600000</f>
        <v>0</v>
      </c>
      <c r="AY1605" s="76"/>
      <c r="AZ1605" s="76">
        <f>+AY1605*70000</f>
        <v>0</v>
      </c>
      <c r="BA1605" s="76"/>
      <c r="BB1605" s="76"/>
      <c r="BC1605" s="76"/>
      <c r="BD1605" s="76">
        <f>+BC1605*30000</f>
        <v>0</v>
      </c>
      <c r="BE1605" s="76"/>
      <c r="BF1605" s="76"/>
      <c r="BG1605" s="76"/>
      <c r="BH1605" s="76"/>
      <c r="BI1605" s="76"/>
      <c r="BJ1605" s="76"/>
      <c r="BK1605" s="76"/>
      <c r="BL1605" s="76">
        <f>+BK1605*31500</f>
        <v>0</v>
      </c>
      <c r="BM1605" s="76"/>
      <c r="BN1605" s="76"/>
      <c r="BO1605" s="76"/>
      <c r="BP1605" s="76"/>
      <c r="BQ1605" s="76"/>
      <c r="BR1605" s="76"/>
      <c r="BS1605" s="76"/>
      <c r="BT1605" s="76"/>
      <c r="BU1605" s="76"/>
      <c r="BV1605" s="76"/>
      <c r="BW1605" s="76"/>
      <c r="BX1605" s="76"/>
      <c r="BY1605" s="76"/>
      <c r="BZ1605" s="76"/>
      <c r="CA1605" s="76"/>
      <c r="CB1605" s="76"/>
      <c r="CC1605" s="76"/>
      <c r="CD1605" s="76"/>
      <c r="CE1605" s="76"/>
      <c r="CF1605" s="76">
        <f>+CE1605*28000</f>
        <v>0</v>
      </c>
      <c r="CG1605" s="76"/>
      <c r="CH1605" s="76">
        <f>+CG1605*22500</f>
        <v>0</v>
      </c>
      <c r="CI1605" s="76"/>
      <c r="CJ1605" s="76">
        <f>+CI1605*26000</f>
        <v>0</v>
      </c>
      <c r="CK1605" s="76"/>
      <c r="CL1605" s="76"/>
      <c r="CM1605" s="76"/>
      <c r="CN1605" s="76">
        <f>+CM1605*22000</f>
        <v>0</v>
      </c>
      <c r="CO1605" s="76"/>
      <c r="CP1605" s="76">
        <f>+CO1605*46000</f>
        <v>0</v>
      </c>
      <c r="CQ1605" s="76"/>
      <c r="CR1605" s="76">
        <f>+CQ1605*49000</f>
        <v>0</v>
      </c>
      <c r="CS1605" s="76"/>
      <c r="CT1605" s="76"/>
      <c r="CU1605" s="56">
        <f>AN1605+AP1605+AR1605+AT1605+AV1605+AX1605+AZ1605+BB1605+BD1605+BF1605+BH1605+BJ1605+BL1605+BN1605+BP1605+BR1605+BT1605+BV1605+BX1605+BZ1605+CB1605+CD1605+CF1605+CH1605+CJ1605+CL1605+CN1605+CP1605+CR1605+CT1605</f>
        <v>0</v>
      </c>
      <c r="CV1605" s="76"/>
      <c r="CW1605" s="76">
        <f>+CV1605*1100</f>
        <v>0</v>
      </c>
      <c r="CX1605" s="76"/>
      <c r="CY1605" s="76">
        <f>+CX1605*106250</f>
        <v>0</v>
      </c>
      <c r="CZ1605" s="76"/>
      <c r="DA1605" s="76">
        <f>+CZ1605*34500</f>
        <v>0</v>
      </c>
      <c r="DB1605" s="76"/>
      <c r="DC1605" s="76">
        <f>+DB1605*25000</f>
        <v>0</v>
      </c>
      <c r="DD1605" s="219"/>
      <c r="DE1605" s="219"/>
      <c r="DF1605" s="166"/>
      <c r="DG1605" s="116"/>
      <c r="DH1605" s="117"/>
      <c r="DI1605" s="24"/>
      <c r="DJ1605" s="24"/>
      <c r="DK1605" s="24"/>
      <c r="DL1605" s="24"/>
      <c r="DM1605" s="24"/>
      <c r="DN1605" s="24"/>
      <c r="DO1605" s="24"/>
      <c r="DP1605" s="24"/>
      <c r="DQ1605" s="24"/>
      <c r="DR1605" s="24"/>
      <c r="DS1605" s="24"/>
      <c r="DT1605" s="24"/>
      <c r="DU1605" s="24"/>
    </row>
    <row r="1606" spans="1:125" s="8" customFormat="1" ht="132" x14ac:dyDescent="0.2">
      <c r="A1606" s="77">
        <v>41391</v>
      </c>
      <c r="B1606" s="208" t="s">
        <v>529</v>
      </c>
      <c r="C1606" s="227" t="s">
        <v>529</v>
      </c>
      <c r="D1606" s="227" t="s">
        <v>3027</v>
      </c>
      <c r="E1606" s="75" t="str">
        <f>VLOOKUP(B1606&amp;C1606,Divipola!$C$2:$F$1138,4,FALSE)</f>
        <v>11001</v>
      </c>
      <c r="F1606" s="87"/>
      <c r="G1606" s="87">
        <v>5</v>
      </c>
      <c r="H1606" s="87"/>
      <c r="I1606" s="87"/>
      <c r="J1606" s="87"/>
      <c r="K1606" s="87"/>
      <c r="L1606" s="87"/>
      <c r="M1606" s="87"/>
      <c r="N1606" s="87"/>
      <c r="O1606" s="87"/>
      <c r="P1606" s="87"/>
      <c r="Q1606" s="87"/>
      <c r="R1606" s="87"/>
      <c r="S1606" s="87"/>
      <c r="T1606" s="87"/>
      <c r="U1606" s="88"/>
      <c r="V1606" s="89"/>
      <c r="W1606" s="96">
        <v>0</v>
      </c>
      <c r="X1606" s="71">
        <f>CU1606</f>
        <v>0</v>
      </c>
      <c r="Y1606" s="71">
        <f>CY1606</f>
        <v>0</v>
      </c>
      <c r="Z1606" s="71">
        <f>DA1606+DC1606+DE1606</f>
        <v>0</v>
      </c>
      <c r="AA1606" s="71">
        <f>CW1606</f>
        <v>0</v>
      </c>
      <c r="AB1606" s="71"/>
      <c r="AC1606" s="71">
        <v>0</v>
      </c>
      <c r="AD1606" s="71">
        <f>W1606+X1606+Y1606+Z1606+AA1606+AB1606+AC1606</f>
        <v>0</v>
      </c>
      <c r="AE1606" s="72">
        <v>0</v>
      </c>
      <c r="AF1606" s="5"/>
      <c r="AG1606" s="6"/>
      <c r="AH1606" s="27" t="s">
        <v>3392</v>
      </c>
      <c r="AI1606" s="44" t="s">
        <v>3393</v>
      </c>
      <c r="AJ1606" s="26"/>
      <c r="AK1606" s="5"/>
      <c r="AL1606" s="82" t="s">
        <v>4411</v>
      </c>
      <c r="AM1606" s="76"/>
      <c r="AN1606" s="76"/>
      <c r="AO1606" s="76"/>
      <c r="AP1606" s="76"/>
      <c r="AQ1606" s="76"/>
      <c r="AR1606" s="76"/>
      <c r="AS1606" s="76"/>
      <c r="AT1606" s="76"/>
      <c r="AU1606" s="76"/>
      <c r="AV1606" s="76"/>
      <c r="AW1606" s="76"/>
      <c r="AX1606" s="76">
        <f>+AW1606*600000</f>
        <v>0</v>
      </c>
      <c r="AY1606" s="76"/>
      <c r="AZ1606" s="76">
        <f>+AY1606*70000</f>
        <v>0</v>
      </c>
      <c r="BA1606" s="76"/>
      <c r="BB1606" s="76"/>
      <c r="BC1606" s="76"/>
      <c r="BD1606" s="76">
        <f>+BC1606*30000</f>
        <v>0</v>
      </c>
      <c r="BE1606" s="76"/>
      <c r="BF1606" s="76"/>
      <c r="BG1606" s="76"/>
      <c r="BH1606" s="76"/>
      <c r="BI1606" s="76"/>
      <c r="BJ1606" s="76"/>
      <c r="BK1606" s="76"/>
      <c r="BL1606" s="76">
        <f>+BK1606*31500</f>
        <v>0</v>
      </c>
      <c r="BM1606" s="76"/>
      <c r="BN1606" s="76"/>
      <c r="BO1606" s="76"/>
      <c r="BP1606" s="76"/>
      <c r="BQ1606" s="76"/>
      <c r="BR1606" s="76"/>
      <c r="BS1606" s="76"/>
      <c r="BT1606" s="76"/>
      <c r="BU1606" s="76"/>
      <c r="BV1606" s="76"/>
      <c r="BW1606" s="76"/>
      <c r="BX1606" s="76"/>
      <c r="BY1606" s="76"/>
      <c r="BZ1606" s="76"/>
      <c r="CA1606" s="76"/>
      <c r="CB1606" s="76"/>
      <c r="CC1606" s="76"/>
      <c r="CD1606" s="76"/>
      <c r="CE1606" s="76"/>
      <c r="CF1606" s="76">
        <f>+CE1606*28000</f>
        <v>0</v>
      </c>
      <c r="CG1606" s="76"/>
      <c r="CH1606" s="76">
        <f>+CG1606*22500</f>
        <v>0</v>
      </c>
      <c r="CI1606" s="76"/>
      <c r="CJ1606" s="76">
        <f>+CI1606*26000</f>
        <v>0</v>
      </c>
      <c r="CK1606" s="76"/>
      <c r="CL1606" s="76"/>
      <c r="CM1606" s="76"/>
      <c r="CN1606" s="76">
        <f>+CM1606*22000</f>
        <v>0</v>
      </c>
      <c r="CO1606" s="76"/>
      <c r="CP1606" s="76">
        <f>+CO1606*46000</f>
        <v>0</v>
      </c>
      <c r="CQ1606" s="76"/>
      <c r="CR1606" s="76">
        <f>+CQ1606*49000</f>
        <v>0</v>
      </c>
      <c r="CS1606" s="76"/>
      <c r="CT1606" s="76"/>
      <c r="CU1606" s="56">
        <f>AN1606+AP1606+AR1606+AT1606+AV1606+AX1606+AZ1606+BB1606+BD1606+BF1606+BH1606+BJ1606+BL1606+BN1606+BP1606+BR1606+BT1606+BV1606+BX1606+BZ1606+CB1606+CD1606+CF1606+CH1606+CJ1606+CL1606+CN1606+CP1606+CR1606+CT1606</f>
        <v>0</v>
      </c>
      <c r="CV1606" s="76"/>
      <c r="CW1606" s="76">
        <f>+CV1606*1100</f>
        <v>0</v>
      </c>
      <c r="CX1606" s="76"/>
      <c r="CY1606" s="76">
        <f>+CX1606*106250</f>
        <v>0</v>
      </c>
      <c r="CZ1606" s="76"/>
      <c r="DA1606" s="76">
        <f>+CZ1606*34500</f>
        <v>0</v>
      </c>
      <c r="DB1606" s="76"/>
      <c r="DC1606" s="76">
        <f>+DB1606*25000</f>
        <v>0</v>
      </c>
      <c r="DD1606" s="219"/>
      <c r="DE1606" s="219"/>
      <c r="DF1606" s="166"/>
      <c r="DG1606" s="116"/>
      <c r="DH1606" s="117"/>
      <c r="DI1606" s="24"/>
      <c r="DJ1606" s="24"/>
      <c r="DK1606" s="24"/>
      <c r="DL1606" s="24"/>
      <c r="DM1606" s="24"/>
      <c r="DN1606" s="24"/>
      <c r="DO1606" s="24"/>
      <c r="DP1606" s="24"/>
      <c r="DQ1606" s="24"/>
      <c r="DR1606" s="24"/>
      <c r="DS1606" s="24"/>
      <c r="DT1606" s="24"/>
      <c r="DU1606" s="24"/>
    </row>
    <row r="1607" spans="1:125" s="8" customFormat="1" ht="96" x14ac:dyDescent="0.2">
      <c r="A1607" s="77">
        <v>41391</v>
      </c>
      <c r="B1607" s="208" t="s">
        <v>2854</v>
      </c>
      <c r="C1607" s="227" t="s">
        <v>2769</v>
      </c>
      <c r="D1607" s="227" t="s">
        <v>4407</v>
      </c>
      <c r="E1607" s="75" t="str">
        <f>VLOOKUP(B1607&amp;C1607,Divipola!$C$2:$F$1138,4,FALSE)</f>
        <v>19824</v>
      </c>
      <c r="F1607" s="87"/>
      <c r="G1607" s="87"/>
      <c r="H1607" s="87"/>
      <c r="I1607" s="87"/>
      <c r="J1607" s="87"/>
      <c r="K1607" s="87"/>
      <c r="L1607" s="87"/>
      <c r="M1607" s="87"/>
      <c r="N1607" s="87"/>
      <c r="O1607" s="87"/>
      <c r="P1607" s="87"/>
      <c r="Q1607" s="87"/>
      <c r="R1607" s="87"/>
      <c r="S1607" s="87"/>
      <c r="T1607" s="87"/>
      <c r="U1607" s="88"/>
      <c r="V1607" s="89"/>
      <c r="W1607" s="96">
        <v>0</v>
      </c>
      <c r="X1607" s="71">
        <f>CU1607</f>
        <v>0</v>
      </c>
      <c r="Y1607" s="71">
        <f>CY1607</f>
        <v>0</v>
      </c>
      <c r="Z1607" s="71">
        <f>DA1607+DC1607+DE1607</f>
        <v>0</v>
      </c>
      <c r="AA1607" s="71">
        <f>CW1607</f>
        <v>0</v>
      </c>
      <c r="AB1607" s="71"/>
      <c r="AC1607" s="71">
        <v>0</v>
      </c>
      <c r="AD1607" s="71">
        <f>W1607+X1607+Y1607+Z1607+AA1607+AB1607+AC1607</f>
        <v>0</v>
      </c>
      <c r="AE1607" s="72">
        <v>0</v>
      </c>
      <c r="AF1607" s="5"/>
      <c r="AG1607" s="6"/>
      <c r="AH1607" s="27" t="s">
        <v>3390</v>
      </c>
      <c r="AI1607" s="44" t="s">
        <v>3393</v>
      </c>
      <c r="AJ1607" s="26"/>
      <c r="AK1607" s="5" t="s">
        <v>4242</v>
      </c>
      <c r="AL1607" s="82" t="s">
        <v>4412</v>
      </c>
      <c r="AM1607" s="76"/>
      <c r="AN1607" s="76"/>
      <c r="AO1607" s="76"/>
      <c r="AP1607" s="76"/>
      <c r="AQ1607" s="76"/>
      <c r="AR1607" s="76"/>
      <c r="AS1607" s="76"/>
      <c r="AT1607" s="76"/>
      <c r="AU1607" s="76"/>
      <c r="AV1607" s="76"/>
      <c r="AW1607" s="76"/>
      <c r="AX1607" s="76">
        <f>+AW1607*600000</f>
        <v>0</v>
      </c>
      <c r="AY1607" s="76"/>
      <c r="AZ1607" s="76">
        <f>+AY1607*70000</f>
        <v>0</v>
      </c>
      <c r="BA1607" s="76"/>
      <c r="BB1607" s="76"/>
      <c r="BC1607" s="76"/>
      <c r="BD1607" s="76">
        <f>+BC1607*30000</f>
        <v>0</v>
      </c>
      <c r="BE1607" s="76"/>
      <c r="BF1607" s="76"/>
      <c r="BG1607" s="76"/>
      <c r="BH1607" s="76"/>
      <c r="BI1607" s="76"/>
      <c r="BJ1607" s="76"/>
      <c r="BK1607" s="76"/>
      <c r="BL1607" s="76">
        <f>+BK1607*31500</f>
        <v>0</v>
      </c>
      <c r="BM1607" s="76"/>
      <c r="BN1607" s="76"/>
      <c r="BO1607" s="76"/>
      <c r="BP1607" s="76"/>
      <c r="BQ1607" s="76"/>
      <c r="BR1607" s="76"/>
      <c r="BS1607" s="76"/>
      <c r="BT1607" s="76"/>
      <c r="BU1607" s="76"/>
      <c r="BV1607" s="76"/>
      <c r="BW1607" s="76"/>
      <c r="BX1607" s="76"/>
      <c r="BY1607" s="76"/>
      <c r="BZ1607" s="76"/>
      <c r="CA1607" s="76"/>
      <c r="CB1607" s="76"/>
      <c r="CC1607" s="76"/>
      <c r="CD1607" s="76"/>
      <c r="CE1607" s="76"/>
      <c r="CF1607" s="76">
        <f>+CE1607*28000</f>
        <v>0</v>
      </c>
      <c r="CG1607" s="76"/>
      <c r="CH1607" s="76">
        <f>+CG1607*22500</f>
        <v>0</v>
      </c>
      <c r="CI1607" s="76"/>
      <c r="CJ1607" s="76">
        <f>+CI1607*26000</f>
        <v>0</v>
      </c>
      <c r="CK1607" s="76"/>
      <c r="CL1607" s="76"/>
      <c r="CM1607" s="76"/>
      <c r="CN1607" s="76">
        <f>+CM1607*22000</f>
        <v>0</v>
      </c>
      <c r="CO1607" s="76"/>
      <c r="CP1607" s="76">
        <f>+CO1607*46000</f>
        <v>0</v>
      </c>
      <c r="CQ1607" s="76"/>
      <c r="CR1607" s="76">
        <f>+CQ1607*49000</f>
        <v>0</v>
      </c>
      <c r="CS1607" s="76"/>
      <c r="CT1607" s="76"/>
      <c r="CU1607" s="56">
        <f>AN1607+AP1607+AR1607+AT1607+AV1607+AX1607+AZ1607+BB1607+BD1607+BF1607+BH1607+BJ1607+BL1607+BN1607+BP1607+BR1607+BT1607+BV1607+BX1607+BZ1607+CB1607+CD1607+CF1607+CH1607+CJ1607+CL1607+CN1607+CP1607+CR1607+CT1607</f>
        <v>0</v>
      </c>
      <c r="CV1607" s="76"/>
      <c r="CW1607" s="76">
        <f>+CV1607*1100</f>
        <v>0</v>
      </c>
      <c r="CX1607" s="76"/>
      <c r="CY1607" s="76">
        <f>+CX1607*106250</f>
        <v>0</v>
      </c>
      <c r="CZ1607" s="76"/>
      <c r="DA1607" s="76">
        <f>+CZ1607*34500</f>
        <v>0</v>
      </c>
      <c r="DB1607" s="76"/>
      <c r="DC1607" s="76">
        <f>+DB1607*25000</f>
        <v>0</v>
      </c>
      <c r="DD1607" s="219"/>
      <c r="DE1607" s="219"/>
      <c r="DF1607" s="166"/>
      <c r="DG1607" s="116"/>
      <c r="DH1607" s="117"/>
      <c r="DI1607" s="24"/>
      <c r="DJ1607" s="24"/>
      <c r="DK1607" s="24"/>
      <c r="DL1607" s="24"/>
      <c r="DM1607" s="24"/>
      <c r="DN1607" s="24"/>
      <c r="DO1607" s="24"/>
      <c r="DP1607" s="24"/>
      <c r="DQ1607" s="24"/>
      <c r="DR1607" s="24"/>
      <c r="DS1607" s="24"/>
      <c r="DT1607" s="24"/>
      <c r="DU1607" s="24"/>
    </row>
    <row r="1608" spans="1:125" s="8" customFormat="1" ht="84" x14ac:dyDescent="0.2">
      <c r="A1608" s="172">
        <v>41391</v>
      </c>
      <c r="B1608" s="173" t="s">
        <v>2852</v>
      </c>
      <c r="C1608" s="174" t="s">
        <v>16</v>
      </c>
      <c r="D1608" s="174" t="s">
        <v>3051</v>
      </c>
      <c r="E1608" s="75" t="str">
        <f>VLOOKUP(B1608&amp;C1608,Divipola!$C$2:$F$1138,4,FALSE)</f>
        <v>27800</v>
      </c>
      <c r="F1608" s="87"/>
      <c r="G1608" s="87"/>
      <c r="H1608" s="87"/>
      <c r="I1608" s="87">
        <v>4570</v>
      </c>
      <c r="J1608" s="87">
        <v>914</v>
      </c>
      <c r="K1608" s="87"/>
      <c r="L1608" s="87">
        <v>914</v>
      </c>
      <c r="M1608" s="87"/>
      <c r="N1608" s="87">
        <v>1</v>
      </c>
      <c r="O1608" s="87"/>
      <c r="P1608" s="87"/>
      <c r="Q1608" s="87"/>
      <c r="R1608" s="87"/>
      <c r="S1608" s="87"/>
      <c r="T1608" s="87"/>
      <c r="U1608" s="88">
        <v>397</v>
      </c>
      <c r="V1608" s="89"/>
      <c r="W1608" s="96">
        <v>0</v>
      </c>
      <c r="X1608" s="71">
        <f>CU1608</f>
        <v>75430000</v>
      </c>
      <c r="Y1608" s="71">
        <f>CY1608</f>
        <v>83370000</v>
      </c>
      <c r="Z1608" s="71">
        <f>DA1608+DC1608+DE1608</f>
        <v>0</v>
      </c>
      <c r="AA1608" s="71">
        <f>CW1608</f>
        <v>0</v>
      </c>
      <c r="AB1608" s="71"/>
      <c r="AC1608" s="71">
        <v>0</v>
      </c>
      <c r="AD1608" s="71">
        <f>W1608+X1608+Y1608+Z1608+AA1608+AB1608+AC1608</f>
        <v>158800000</v>
      </c>
      <c r="AE1608" s="72">
        <v>0</v>
      </c>
      <c r="AF1608" s="5"/>
      <c r="AG1608" s="6"/>
      <c r="AH1608" s="27" t="s">
        <v>3390</v>
      </c>
      <c r="AI1608" s="44" t="s">
        <v>3391</v>
      </c>
      <c r="AJ1608" s="26"/>
      <c r="AK1608" s="5"/>
      <c r="AL1608" s="82" t="s">
        <v>4626</v>
      </c>
      <c r="AM1608" s="76"/>
      <c r="AN1608" s="76"/>
      <c r="AO1608" s="76"/>
      <c r="AP1608" s="76"/>
      <c r="AQ1608" s="76"/>
      <c r="AR1608" s="76"/>
      <c r="AS1608" s="76"/>
      <c r="AT1608" s="76"/>
      <c r="AU1608" s="76"/>
      <c r="AV1608" s="76"/>
      <c r="AW1608" s="76"/>
      <c r="AX1608" s="76">
        <f>+AW1608*600000</f>
        <v>0</v>
      </c>
      <c r="AY1608" s="76"/>
      <c r="AZ1608" s="76">
        <f>+AY1608*70000</f>
        <v>0</v>
      </c>
      <c r="BA1608" s="76"/>
      <c r="BB1608" s="76"/>
      <c r="BC1608" s="76"/>
      <c r="BD1608" s="76">
        <f>+BC1608*30000</f>
        <v>0</v>
      </c>
      <c r="BE1608" s="76"/>
      <c r="BF1608" s="76"/>
      <c r="BG1608" s="76"/>
      <c r="BH1608" s="76"/>
      <c r="BI1608" s="76"/>
      <c r="BJ1608" s="76"/>
      <c r="BK1608" s="76"/>
      <c r="BL1608" s="76">
        <f>+BK1608*31500</f>
        <v>0</v>
      </c>
      <c r="BM1608" s="76"/>
      <c r="BN1608" s="76"/>
      <c r="BO1608" s="76"/>
      <c r="BP1608" s="76"/>
      <c r="BQ1608" s="76"/>
      <c r="BR1608" s="76"/>
      <c r="BS1608" s="76"/>
      <c r="BT1608" s="76"/>
      <c r="BU1608" s="76"/>
      <c r="BV1608" s="76"/>
      <c r="BW1608" s="76"/>
      <c r="BX1608" s="76"/>
      <c r="BY1608" s="76"/>
      <c r="BZ1608" s="76"/>
      <c r="CA1608" s="76"/>
      <c r="CB1608" s="76"/>
      <c r="CC1608" s="76"/>
      <c r="CD1608" s="76"/>
      <c r="CE1608" s="76"/>
      <c r="CF1608" s="76">
        <f>+CE1608*28000</f>
        <v>0</v>
      </c>
      <c r="CG1608" s="76"/>
      <c r="CH1608" s="76">
        <f>+CG1608*22500</f>
        <v>0</v>
      </c>
      <c r="CI1608" s="76"/>
      <c r="CJ1608" s="76">
        <f>+CI1608*26000</f>
        <v>0</v>
      </c>
      <c r="CK1608" s="76"/>
      <c r="CL1608" s="76"/>
      <c r="CM1608" s="76"/>
      <c r="CN1608" s="76">
        <f>+CM1608*22000</f>
        <v>0</v>
      </c>
      <c r="CO1608" s="86">
        <v>794</v>
      </c>
      <c r="CP1608" s="86">
        <f>+CO1608*46000</f>
        <v>36524000</v>
      </c>
      <c r="CQ1608" s="86">
        <v>794</v>
      </c>
      <c r="CR1608" s="86">
        <f>+CQ1608*49000</f>
        <v>38906000</v>
      </c>
      <c r="CS1608" s="76"/>
      <c r="CT1608" s="76"/>
      <c r="CU1608" s="56">
        <f>AN1608+AP1608+AR1608+AT1608+AV1608+AX1608+AZ1608+BB1608+BD1608+BF1608+BH1608+BJ1608+BL1608+BN1608+BP1608+BR1608+BT1608+BV1608+BX1608+BZ1608+CB1608+CD1608+CF1608+CH1608+CJ1608+CL1608+CN1608+CP1608+CR1608+CT1608</f>
        <v>75430000</v>
      </c>
      <c r="CV1608" s="76"/>
      <c r="CW1608" s="76">
        <f>+CV1608*1100</f>
        <v>0</v>
      </c>
      <c r="CX1608" s="86">
        <v>794</v>
      </c>
      <c r="CY1608" s="86">
        <f>+CX1608*105000</f>
        <v>83370000</v>
      </c>
      <c r="CZ1608" s="76"/>
      <c r="DA1608" s="76">
        <f>+CZ1608*34500</f>
        <v>0</v>
      </c>
      <c r="DB1608" s="76"/>
      <c r="DC1608" s="76">
        <f>+DB1608*25000</f>
        <v>0</v>
      </c>
      <c r="DD1608" s="219"/>
      <c r="DE1608" s="219"/>
      <c r="DF1608" s="166"/>
      <c r="DG1608" s="134" t="s">
        <v>6464</v>
      </c>
      <c r="DH1608" s="117"/>
      <c r="DI1608" s="24"/>
      <c r="DJ1608" s="24"/>
      <c r="DK1608" s="24"/>
      <c r="DL1608" s="24"/>
      <c r="DM1608" s="24"/>
      <c r="DN1608" s="24"/>
      <c r="DO1608" s="24"/>
      <c r="DP1608" s="24"/>
      <c r="DQ1608" s="24"/>
      <c r="DR1608" s="24"/>
      <c r="DS1608" s="24"/>
      <c r="DT1608" s="24"/>
      <c r="DU1608" s="24"/>
    </row>
    <row r="1609" spans="1:125" s="8" customFormat="1" ht="36" x14ac:dyDescent="0.2">
      <c r="A1609" s="226">
        <v>41391</v>
      </c>
      <c r="B1609" s="225" t="s">
        <v>2718</v>
      </c>
      <c r="C1609" s="227" t="s">
        <v>993</v>
      </c>
      <c r="D1609" s="227" t="s">
        <v>2846</v>
      </c>
      <c r="E1609" s="75" t="str">
        <f>VLOOKUP(B1609&amp;C1609,Divipola!$C$2:$F$1138,4,FALSE)</f>
        <v>23675</v>
      </c>
      <c r="F1609" s="87"/>
      <c r="G1609" s="87"/>
      <c r="H1609" s="87"/>
      <c r="I1609" s="87"/>
      <c r="J1609" s="87"/>
      <c r="K1609" s="87"/>
      <c r="L1609" s="87"/>
      <c r="M1609" s="87"/>
      <c r="N1609" s="87"/>
      <c r="O1609" s="87"/>
      <c r="P1609" s="87"/>
      <c r="Q1609" s="87"/>
      <c r="R1609" s="87"/>
      <c r="S1609" s="87"/>
      <c r="T1609" s="87"/>
      <c r="U1609" s="88">
        <v>15</v>
      </c>
      <c r="V1609" s="89"/>
      <c r="W1609" s="96">
        <v>0</v>
      </c>
      <c r="X1609" s="71">
        <f>CU1609</f>
        <v>0</v>
      </c>
      <c r="Y1609" s="71">
        <f>CY1609</f>
        <v>0</v>
      </c>
      <c r="Z1609" s="71">
        <f>DA1609+DC1609+DE1609</f>
        <v>0</v>
      </c>
      <c r="AA1609" s="71">
        <f>CW1609</f>
        <v>0</v>
      </c>
      <c r="AB1609" s="71"/>
      <c r="AC1609" s="71">
        <v>0</v>
      </c>
      <c r="AD1609" s="71">
        <f>W1609+X1609+Y1609+Z1609+AA1609+AB1609+AC1609</f>
        <v>0</v>
      </c>
      <c r="AE1609" s="72">
        <v>0</v>
      </c>
      <c r="AF1609" s="5"/>
      <c r="AG1609" s="6"/>
      <c r="AH1609" s="27" t="s">
        <v>3392</v>
      </c>
      <c r="AI1609" s="44" t="s">
        <v>3393</v>
      </c>
      <c r="AJ1609" s="26"/>
      <c r="AK1609" s="5"/>
      <c r="AL1609" s="82" t="s">
        <v>4415</v>
      </c>
      <c r="AM1609" s="76"/>
      <c r="AN1609" s="76"/>
      <c r="AO1609" s="76"/>
      <c r="AP1609" s="76"/>
      <c r="AQ1609" s="76"/>
      <c r="AR1609" s="76"/>
      <c r="AS1609" s="76"/>
      <c r="AT1609" s="76"/>
      <c r="AU1609" s="76"/>
      <c r="AV1609" s="76"/>
      <c r="AW1609" s="76"/>
      <c r="AX1609" s="76">
        <f>+AW1609*600000</f>
        <v>0</v>
      </c>
      <c r="AY1609" s="76"/>
      <c r="AZ1609" s="76">
        <f>+AY1609*70000</f>
        <v>0</v>
      </c>
      <c r="BA1609" s="76"/>
      <c r="BB1609" s="76"/>
      <c r="BC1609" s="76"/>
      <c r="BD1609" s="76">
        <f>+BC1609*30000</f>
        <v>0</v>
      </c>
      <c r="BE1609" s="76"/>
      <c r="BF1609" s="76"/>
      <c r="BG1609" s="76"/>
      <c r="BH1609" s="76"/>
      <c r="BI1609" s="76"/>
      <c r="BJ1609" s="76"/>
      <c r="BK1609" s="76"/>
      <c r="BL1609" s="76">
        <f>+BK1609*31500</f>
        <v>0</v>
      </c>
      <c r="BM1609" s="76"/>
      <c r="BN1609" s="76"/>
      <c r="BO1609" s="76"/>
      <c r="BP1609" s="76"/>
      <c r="BQ1609" s="76"/>
      <c r="BR1609" s="76"/>
      <c r="BS1609" s="76"/>
      <c r="BT1609" s="76"/>
      <c r="BU1609" s="76"/>
      <c r="BV1609" s="76"/>
      <c r="BW1609" s="76"/>
      <c r="BX1609" s="76"/>
      <c r="BY1609" s="76"/>
      <c r="BZ1609" s="76"/>
      <c r="CA1609" s="76"/>
      <c r="CB1609" s="76"/>
      <c r="CC1609" s="76"/>
      <c r="CD1609" s="76"/>
      <c r="CE1609" s="76"/>
      <c r="CF1609" s="76">
        <f>+CE1609*28000</f>
        <v>0</v>
      </c>
      <c r="CG1609" s="76"/>
      <c r="CH1609" s="76">
        <f>+CG1609*22500</f>
        <v>0</v>
      </c>
      <c r="CI1609" s="76"/>
      <c r="CJ1609" s="76">
        <f>+CI1609*26000</f>
        <v>0</v>
      </c>
      <c r="CK1609" s="76"/>
      <c r="CL1609" s="76"/>
      <c r="CM1609" s="76"/>
      <c r="CN1609" s="76">
        <f>+CM1609*22000</f>
        <v>0</v>
      </c>
      <c r="CO1609" s="76"/>
      <c r="CP1609" s="76">
        <f>+CO1609*46000</f>
        <v>0</v>
      </c>
      <c r="CQ1609" s="76"/>
      <c r="CR1609" s="76">
        <f>+CQ1609*49000</f>
        <v>0</v>
      </c>
      <c r="CS1609" s="76"/>
      <c r="CT1609" s="76"/>
      <c r="CU1609" s="56">
        <f>AN1609+AP1609+AR1609+AT1609+AV1609+AX1609+AZ1609+BB1609+BD1609+BF1609+BH1609+BJ1609+BL1609+BN1609+BP1609+BR1609+BT1609+BV1609+BX1609+BZ1609+CB1609+CD1609+CF1609+CH1609+CJ1609+CL1609+CN1609+CP1609+CR1609+CT1609</f>
        <v>0</v>
      </c>
      <c r="CV1609" s="76"/>
      <c r="CW1609" s="76">
        <f>+CV1609*1100</f>
        <v>0</v>
      </c>
      <c r="CX1609" s="76"/>
      <c r="CY1609" s="76">
        <f>+CX1609*106250</f>
        <v>0</v>
      </c>
      <c r="CZ1609" s="76"/>
      <c r="DA1609" s="76">
        <f>+CZ1609*34500</f>
        <v>0</v>
      </c>
      <c r="DB1609" s="76"/>
      <c r="DC1609" s="76">
        <f>+DB1609*25000</f>
        <v>0</v>
      </c>
      <c r="DD1609" s="219"/>
      <c r="DE1609" s="219"/>
      <c r="DF1609" s="166"/>
      <c r="DG1609" s="116"/>
      <c r="DH1609" s="117"/>
      <c r="DI1609" s="24"/>
      <c r="DJ1609" s="24"/>
      <c r="DK1609" s="24"/>
      <c r="DL1609" s="24"/>
      <c r="DM1609" s="24"/>
      <c r="DN1609" s="24"/>
      <c r="DO1609" s="24"/>
      <c r="DP1609" s="24"/>
      <c r="DQ1609" s="24"/>
      <c r="DR1609" s="24"/>
      <c r="DS1609" s="24"/>
      <c r="DT1609" s="24"/>
      <c r="DU1609" s="24"/>
    </row>
    <row r="1610" spans="1:125" s="8" customFormat="1" ht="96" x14ac:dyDescent="0.2">
      <c r="A1610" s="226">
        <v>41391</v>
      </c>
      <c r="B1610" s="225" t="s">
        <v>2860</v>
      </c>
      <c r="C1610" s="227" t="s">
        <v>2776</v>
      </c>
      <c r="D1610" s="227" t="s">
        <v>2882</v>
      </c>
      <c r="E1610" s="75" t="str">
        <f>VLOOKUP(B1610&amp;C1610,Divipola!$C$2:$F$1138,4,FALSE)</f>
        <v>63001</v>
      </c>
      <c r="F1610" s="87"/>
      <c r="G1610" s="87"/>
      <c r="H1610" s="87"/>
      <c r="I1610" s="87">
        <v>25</v>
      </c>
      <c r="J1610" s="87">
        <v>5</v>
      </c>
      <c r="K1610" s="87"/>
      <c r="L1610" s="87">
        <v>5</v>
      </c>
      <c r="M1610" s="87"/>
      <c r="N1610" s="87"/>
      <c r="O1610" s="87"/>
      <c r="P1610" s="87"/>
      <c r="Q1610" s="87"/>
      <c r="R1610" s="87"/>
      <c r="S1610" s="87"/>
      <c r="T1610" s="87">
        <v>1</v>
      </c>
      <c r="U1610" s="88"/>
      <c r="V1610" s="89">
        <v>5</v>
      </c>
      <c r="W1610" s="96">
        <v>0</v>
      </c>
      <c r="X1610" s="71">
        <f>CU1610</f>
        <v>0</v>
      </c>
      <c r="Y1610" s="71">
        <f>CY1610</f>
        <v>0</v>
      </c>
      <c r="Z1610" s="71">
        <f>DA1610+DC1610+DE1610</f>
        <v>0</v>
      </c>
      <c r="AA1610" s="71">
        <f>CW1610</f>
        <v>0</v>
      </c>
      <c r="AB1610" s="71"/>
      <c r="AC1610" s="71">
        <v>0</v>
      </c>
      <c r="AD1610" s="71">
        <f>W1610+X1610+Y1610+Z1610+AA1610+AB1610+AC1610</f>
        <v>0</v>
      </c>
      <c r="AE1610" s="72">
        <v>0</v>
      </c>
      <c r="AF1610" s="5"/>
      <c r="AG1610" s="6"/>
      <c r="AH1610" s="27" t="s">
        <v>3390</v>
      </c>
      <c r="AI1610" s="44" t="s">
        <v>3393</v>
      </c>
      <c r="AJ1610" s="26"/>
      <c r="AK1610" s="5" t="s">
        <v>4242</v>
      </c>
      <c r="AL1610" s="82" t="s">
        <v>4414</v>
      </c>
      <c r="AM1610" s="76"/>
      <c r="AN1610" s="76"/>
      <c r="AO1610" s="76"/>
      <c r="AP1610" s="76"/>
      <c r="AQ1610" s="76"/>
      <c r="AR1610" s="76"/>
      <c r="AS1610" s="76"/>
      <c r="AT1610" s="76"/>
      <c r="AU1610" s="76"/>
      <c r="AV1610" s="76"/>
      <c r="AW1610" s="76"/>
      <c r="AX1610" s="76">
        <f>+AW1610*600000</f>
        <v>0</v>
      </c>
      <c r="AY1610" s="76"/>
      <c r="AZ1610" s="76">
        <f>+AY1610*70000</f>
        <v>0</v>
      </c>
      <c r="BA1610" s="76"/>
      <c r="BB1610" s="76"/>
      <c r="BC1610" s="76"/>
      <c r="BD1610" s="76">
        <f>+BC1610*30000</f>
        <v>0</v>
      </c>
      <c r="BE1610" s="76"/>
      <c r="BF1610" s="76"/>
      <c r="BG1610" s="76"/>
      <c r="BH1610" s="76"/>
      <c r="BI1610" s="76"/>
      <c r="BJ1610" s="76"/>
      <c r="BK1610" s="76"/>
      <c r="BL1610" s="76">
        <f>+BK1610*31500</f>
        <v>0</v>
      </c>
      <c r="BM1610" s="76"/>
      <c r="BN1610" s="76"/>
      <c r="BO1610" s="76"/>
      <c r="BP1610" s="76"/>
      <c r="BQ1610" s="76"/>
      <c r="BR1610" s="76"/>
      <c r="BS1610" s="76"/>
      <c r="BT1610" s="76"/>
      <c r="BU1610" s="76"/>
      <c r="BV1610" s="76"/>
      <c r="BW1610" s="76"/>
      <c r="BX1610" s="76"/>
      <c r="BY1610" s="76"/>
      <c r="BZ1610" s="76"/>
      <c r="CA1610" s="76"/>
      <c r="CB1610" s="76"/>
      <c r="CC1610" s="76"/>
      <c r="CD1610" s="76"/>
      <c r="CE1610" s="76"/>
      <c r="CF1610" s="76">
        <f>+CE1610*28000</f>
        <v>0</v>
      </c>
      <c r="CG1610" s="76"/>
      <c r="CH1610" s="76">
        <f>+CG1610*22500</f>
        <v>0</v>
      </c>
      <c r="CI1610" s="76"/>
      <c r="CJ1610" s="76">
        <f>+CI1610*26000</f>
        <v>0</v>
      </c>
      <c r="CK1610" s="76"/>
      <c r="CL1610" s="76"/>
      <c r="CM1610" s="76"/>
      <c r="CN1610" s="76">
        <f>+CM1610*22000</f>
        <v>0</v>
      </c>
      <c r="CO1610" s="76"/>
      <c r="CP1610" s="76">
        <f>+CO1610*46000</f>
        <v>0</v>
      </c>
      <c r="CQ1610" s="76"/>
      <c r="CR1610" s="76">
        <f>+CQ1610*49000</f>
        <v>0</v>
      </c>
      <c r="CS1610" s="76"/>
      <c r="CT1610" s="76"/>
      <c r="CU1610" s="56">
        <f>AN1610+AP1610+AR1610+AT1610+AV1610+AX1610+AZ1610+BB1610+BD1610+BF1610+BH1610+BJ1610+BL1610+BN1610+BP1610+BR1610+BT1610+BV1610+BX1610+BZ1610+CB1610+CD1610+CF1610+CH1610+CJ1610+CL1610+CN1610+CP1610+CR1610+CT1610</f>
        <v>0</v>
      </c>
      <c r="CV1610" s="76"/>
      <c r="CW1610" s="76">
        <f>+CV1610*1100</f>
        <v>0</v>
      </c>
      <c r="CX1610" s="76"/>
      <c r="CY1610" s="76">
        <f>+CX1610*106250</f>
        <v>0</v>
      </c>
      <c r="CZ1610" s="76"/>
      <c r="DA1610" s="76">
        <f>+CZ1610*34500</f>
        <v>0</v>
      </c>
      <c r="DB1610" s="76"/>
      <c r="DC1610" s="76">
        <f>+DB1610*25000</f>
        <v>0</v>
      </c>
      <c r="DD1610" s="219"/>
      <c r="DE1610" s="219"/>
      <c r="DF1610" s="166"/>
      <c r="DG1610" s="116"/>
      <c r="DH1610" s="117"/>
      <c r="DI1610" s="24"/>
      <c r="DJ1610" s="24"/>
      <c r="DK1610" s="24"/>
      <c r="DL1610" s="24"/>
      <c r="DM1610" s="24"/>
      <c r="DN1610" s="24"/>
      <c r="DO1610" s="24"/>
      <c r="DP1610" s="24"/>
      <c r="DQ1610" s="24"/>
      <c r="DR1610" s="24"/>
      <c r="DS1610" s="24"/>
      <c r="DT1610" s="24"/>
      <c r="DU1610" s="24"/>
    </row>
    <row r="1611" spans="1:125" s="8" customFormat="1" ht="132" x14ac:dyDescent="0.2">
      <c r="A1611" s="226">
        <v>41391</v>
      </c>
      <c r="B1611" s="225" t="s">
        <v>2847</v>
      </c>
      <c r="C1611" s="227" t="s">
        <v>2673</v>
      </c>
      <c r="D1611" s="227" t="s">
        <v>2859</v>
      </c>
      <c r="E1611" s="75" t="str">
        <f>VLOOKUP(B1611&amp;C1611,Divipola!$C$2:$F$1138,4,FALSE)</f>
        <v>68001</v>
      </c>
      <c r="F1611" s="87"/>
      <c r="G1611" s="87"/>
      <c r="H1611" s="87"/>
      <c r="I1611" s="87"/>
      <c r="J1611" s="87"/>
      <c r="K1611" s="87"/>
      <c r="L1611" s="87"/>
      <c r="M1611" s="87"/>
      <c r="N1611" s="87"/>
      <c r="O1611" s="87"/>
      <c r="P1611" s="87"/>
      <c r="Q1611" s="87"/>
      <c r="R1611" s="87"/>
      <c r="S1611" s="87"/>
      <c r="T1611" s="87"/>
      <c r="U1611" s="88"/>
      <c r="V1611" s="89">
        <v>1</v>
      </c>
      <c r="W1611" s="96">
        <v>0</v>
      </c>
      <c r="X1611" s="71">
        <f>CU1611</f>
        <v>0</v>
      </c>
      <c r="Y1611" s="71">
        <f>CY1611</f>
        <v>0</v>
      </c>
      <c r="Z1611" s="71">
        <f>DA1611+DC1611+DE1611</f>
        <v>0</v>
      </c>
      <c r="AA1611" s="71">
        <f>CW1611</f>
        <v>0</v>
      </c>
      <c r="AB1611" s="71"/>
      <c r="AC1611" s="71">
        <v>0</v>
      </c>
      <c r="AD1611" s="71">
        <f>W1611+X1611+Y1611+Z1611+AA1611+AB1611+AC1611</f>
        <v>0</v>
      </c>
      <c r="AE1611" s="72">
        <v>0</v>
      </c>
      <c r="AF1611" s="5"/>
      <c r="AG1611" s="6"/>
      <c r="AH1611" s="27" t="s">
        <v>3392</v>
      </c>
      <c r="AI1611" s="44" t="s">
        <v>3393</v>
      </c>
      <c r="AJ1611" s="26"/>
      <c r="AK1611" s="5"/>
      <c r="AL1611" s="82" t="s">
        <v>4416</v>
      </c>
      <c r="AM1611" s="76"/>
      <c r="AN1611" s="76"/>
      <c r="AO1611" s="76"/>
      <c r="AP1611" s="76"/>
      <c r="AQ1611" s="76"/>
      <c r="AR1611" s="76"/>
      <c r="AS1611" s="76"/>
      <c r="AT1611" s="76"/>
      <c r="AU1611" s="76"/>
      <c r="AV1611" s="76"/>
      <c r="AW1611" s="76"/>
      <c r="AX1611" s="76">
        <f>+AW1611*600000</f>
        <v>0</v>
      </c>
      <c r="AY1611" s="76"/>
      <c r="AZ1611" s="76">
        <f>+AY1611*70000</f>
        <v>0</v>
      </c>
      <c r="BA1611" s="76"/>
      <c r="BB1611" s="76"/>
      <c r="BC1611" s="76"/>
      <c r="BD1611" s="76">
        <f>+BC1611*30000</f>
        <v>0</v>
      </c>
      <c r="BE1611" s="76"/>
      <c r="BF1611" s="76"/>
      <c r="BG1611" s="76"/>
      <c r="BH1611" s="76"/>
      <c r="BI1611" s="76"/>
      <c r="BJ1611" s="76"/>
      <c r="BK1611" s="76"/>
      <c r="BL1611" s="76">
        <f>+BK1611*31500</f>
        <v>0</v>
      </c>
      <c r="BM1611" s="76"/>
      <c r="BN1611" s="76"/>
      <c r="BO1611" s="76"/>
      <c r="BP1611" s="76"/>
      <c r="BQ1611" s="76"/>
      <c r="BR1611" s="76"/>
      <c r="BS1611" s="76"/>
      <c r="BT1611" s="76"/>
      <c r="BU1611" s="76"/>
      <c r="BV1611" s="76"/>
      <c r="BW1611" s="76"/>
      <c r="BX1611" s="76"/>
      <c r="BY1611" s="76"/>
      <c r="BZ1611" s="76"/>
      <c r="CA1611" s="76"/>
      <c r="CB1611" s="76"/>
      <c r="CC1611" s="76"/>
      <c r="CD1611" s="76"/>
      <c r="CE1611" s="76"/>
      <c r="CF1611" s="76">
        <f>+CE1611*28000</f>
        <v>0</v>
      </c>
      <c r="CG1611" s="76"/>
      <c r="CH1611" s="76">
        <f>+CG1611*22500</f>
        <v>0</v>
      </c>
      <c r="CI1611" s="76"/>
      <c r="CJ1611" s="76">
        <f>+CI1611*26000</f>
        <v>0</v>
      </c>
      <c r="CK1611" s="76"/>
      <c r="CL1611" s="76"/>
      <c r="CM1611" s="76"/>
      <c r="CN1611" s="76">
        <f>+CM1611*22000</f>
        <v>0</v>
      </c>
      <c r="CO1611" s="76"/>
      <c r="CP1611" s="76">
        <f>+CO1611*46000</f>
        <v>0</v>
      </c>
      <c r="CQ1611" s="76"/>
      <c r="CR1611" s="76">
        <f>+CQ1611*49000</f>
        <v>0</v>
      </c>
      <c r="CS1611" s="76"/>
      <c r="CT1611" s="76"/>
      <c r="CU1611" s="56">
        <f>AN1611+AP1611+AR1611+AT1611+AV1611+AX1611+AZ1611+BB1611+BD1611+BF1611+BH1611+BJ1611+BL1611+BN1611+BP1611+BR1611+BT1611+BV1611+BX1611+BZ1611+CB1611+CD1611+CF1611+CH1611+CJ1611+CL1611+CN1611+CP1611+CR1611+CT1611</f>
        <v>0</v>
      </c>
      <c r="CV1611" s="76"/>
      <c r="CW1611" s="76">
        <f>+CV1611*1100</f>
        <v>0</v>
      </c>
      <c r="CX1611" s="76"/>
      <c r="CY1611" s="76">
        <f>+CX1611*106250</f>
        <v>0</v>
      </c>
      <c r="CZ1611" s="76"/>
      <c r="DA1611" s="76">
        <f>+CZ1611*34500</f>
        <v>0</v>
      </c>
      <c r="DB1611" s="76"/>
      <c r="DC1611" s="76">
        <f>+DB1611*25000</f>
        <v>0</v>
      </c>
      <c r="DD1611" s="219"/>
      <c r="DE1611" s="219"/>
      <c r="DF1611" s="166"/>
      <c r="DG1611" s="116"/>
      <c r="DH1611" s="117"/>
      <c r="DI1611" s="24"/>
      <c r="DJ1611" s="24"/>
      <c r="DK1611" s="24"/>
      <c r="DL1611" s="24"/>
      <c r="DM1611" s="24"/>
      <c r="DN1611" s="24"/>
      <c r="DO1611" s="24"/>
      <c r="DP1611" s="24"/>
      <c r="DQ1611" s="24"/>
      <c r="DR1611" s="24"/>
      <c r="DS1611" s="24"/>
      <c r="DT1611" s="24"/>
      <c r="DU1611" s="24"/>
    </row>
    <row r="1612" spans="1:125" s="8" customFormat="1" ht="108" x14ac:dyDescent="0.2">
      <c r="A1612" s="226">
        <v>41391</v>
      </c>
      <c r="B1612" s="225" t="s">
        <v>2847</v>
      </c>
      <c r="C1612" s="227" t="s">
        <v>318</v>
      </c>
      <c r="D1612" s="75" t="s">
        <v>3051</v>
      </c>
      <c r="E1612" s="75" t="str">
        <f>VLOOKUP(B1612&amp;C1612,Divipola!$C$2:$F$1138,4,FALSE)</f>
        <v>68167</v>
      </c>
      <c r="F1612" s="87"/>
      <c r="G1612" s="87"/>
      <c r="H1612" s="87"/>
      <c r="I1612" s="87">
        <f>138*5</f>
        <v>690</v>
      </c>
      <c r="J1612" s="87">
        <v>138</v>
      </c>
      <c r="K1612" s="87"/>
      <c r="L1612" s="87">
        <v>138</v>
      </c>
      <c r="M1612" s="87"/>
      <c r="N1612" s="87"/>
      <c r="O1612" s="87"/>
      <c r="P1612" s="87"/>
      <c r="Q1612" s="87"/>
      <c r="R1612" s="87"/>
      <c r="S1612" s="87">
        <v>2</v>
      </c>
      <c r="T1612" s="87"/>
      <c r="U1612" s="88"/>
      <c r="V1612" s="89"/>
      <c r="W1612" s="96">
        <v>0</v>
      </c>
      <c r="X1612" s="71">
        <f>CU1612</f>
        <v>0</v>
      </c>
      <c r="Y1612" s="71">
        <f>CY1612</f>
        <v>0</v>
      </c>
      <c r="Z1612" s="71">
        <f>DA1612+DC1612+DE1612</f>
        <v>238536726.80000001</v>
      </c>
      <c r="AA1612" s="71">
        <f>CW1612</f>
        <v>0</v>
      </c>
      <c r="AB1612" s="71"/>
      <c r="AC1612" s="71">
        <v>0</v>
      </c>
      <c r="AD1612" s="71">
        <f>W1612+X1612+Y1612+Z1612+AA1612+AB1612+AC1612</f>
        <v>238536726.80000001</v>
      </c>
      <c r="AE1612" s="72">
        <v>0</v>
      </c>
      <c r="AF1612" s="5"/>
      <c r="AG1612" s="6"/>
      <c r="AH1612" s="27" t="s">
        <v>3390</v>
      </c>
      <c r="AI1612" s="44" t="s">
        <v>3391</v>
      </c>
      <c r="AJ1612" s="26"/>
      <c r="AK1612" s="5"/>
      <c r="AL1612" s="82" t="s">
        <v>4430</v>
      </c>
      <c r="AM1612" s="76"/>
      <c r="AN1612" s="76"/>
      <c r="AO1612" s="76"/>
      <c r="AP1612" s="76"/>
      <c r="AQ1612" s="76"/>
      <c r="AR1612" s="76"/>
      <c r="AS1612" s="76"/>
      <c r="AT1612" s="76"/>
      <c r="AU1612" s="76"/>
      <c r="AV1612" s="76"/>
      <c r="AW1612" s="76"/>
      <c r="AX1612" s="76">
        <f>+AW1612*600000</f>
        <v>0</v>
      </c>
      <c r="AY1612" s="76"/>
      <c r="AZ1612" s="76">
        <f>+AY1612*70000</f>
        <v>0</v>
      </c>
      <c r="BA1612" s="76"/>
      <c r="BB1612" s="76"/>
      <c r="BC1612" s="76"/>
      <c r="BD1612" s="76">
        <f>+BC1612*30000</f>
        <v>0</v>
      </c>
      <c r="BE1612" s="76"/>
      <c r="BF1612" s="76"/>
      <c r="BG1612" s="76"/>
      <c r="BH1612" s="76"/>
      <c r="BI1612" s="76"/>
      <c r="BJ1612" s="76"/>
      <c r="BK1612" s="76"/>
      <c r="BL1612" s="76">
        <f>+BK1612*31500</f>
        <v>0</v>
      </c>
      <c r="BM1612" s="76"/>
      <c r="BN1612" s="76"/>
      <c r="BO1612" s="76"/>
      <c r="BP1612" s="76"/>
      <c r="BQ1612" s="76"/>
      <c r="BR1612" s="76"/>
      <c r="BS1612" s="76"/>
      <c r="BT1612" s="76"/>
      <c r="BU1612" s="76"/>
      <c r="BV1612" s="76"/>
      <c r="BW1612" s="76"/>
      <c r="BX1612" s="76"/>
      <c r="BY1612" s="76"/>
      <c r="BZ1612" s="76"/>
      <c r="CA1612" s="76"/>
      <c r="CB1612" s="76"/>
      <c r="CC1612" s="76"/>
      <c r="CD1612" s="76"/>
      <c r="CE1612" s="76"/>
      <c r="CF1612" s="76">
        <f>+CE1612*28000</f>
        <v>0</v>
      </c>
      <c r="CG1612" s="76"/>
      <c r="CH1612" s="76">
        <f>+CG1612*22500</f>
        <v>0</v>
      </c>
      <c r="CI1612" s="76"/>
      <c r="CJ1612" s="76">
        <f>+CI1612*26000</f>
        <v>0</v>
      </c>
      <c r="CK1612" s="76"/>
      <c r="CL1612" s="76"/>
      <c r="CM1612" s="76"/>
      <c r="CN1612" s="76">
        <f>+CM1612*22000</f>
        <v>0</v>
      </c>
      <c r="CO1612" s="76"/>
      <c r="CP1612" s="76">
        <f>+CO1612*46000</f>
        <v>0</v>
      </c>
      <c r="CQ1612" s="76"/>
      <c r="CR1612" s="76">
        <f>+CQ1612*49000</f>
        <v>0</v>
      </c>
      <c r="CS1612" s="76"/>
      <c r="CT1612" s="76"/>
      <c r="CU1612" s="56">
        <f>AN1612+AP1612+AR1612+AT1612+AV1612+AX1612+AZ1612+BB1612+BD1612+BF1612+BH1612+BJ1612+BL1612+BN1612+BP1612+BR1612+BT1612+BV1612+BX1612+BZ1612+CB1612+CD1612+CF1612+CH1612+CJ1612+CL1612+CN1612+CP1612+CR1612+CT1612</f>
        <v>0</v>
      </c>
      <c r="CV1612" s="76"/>
      <c r="CW1612" s="76">
        <f>+CV1612*1100</f>
        <v>0</v>
      </c>
      <c r="CX1612" s="76"/>
      <c r="CY1612" s="76">
        <f>+CX1612*106250</f>
        <v>0</v>
      </c>
      <c r="CZ1612" s="86">
        <v>2000</v>
      </c>
      <c r="DA1612" s="86">
        <f>+CZ1612*34449.68</f>
        <v>68899360</v>
      </c>
      <c r="DB1612" s="86">
        <v>1200</v>
      </c>
      <c r="DC1612" s="86">
        <f>1200*41599.92</f>
        <v>49919904</v>
      </c>
      <c r="DD1612" s="222" t="s">
        <v>5056</v>
      </c>
      <c r="DE1612" s="309">
        <f>40000*1557.88+400*5585.4+30*304999.96+5000*4159.76+2500*4159.76+600*24699.84</f>
        <v>119717462.80000001</v>
      </c>
      <c r="DF1612" s="166"/>
      <c r="DG1612" s="134" t="s">
        <v>5482</v>
      </c>
      <c r="DH1612" s="117"/>
      <c r="DI1612" s="24"/>
      <c r="DJ1612" s="24"/>
      <c r="DK1612" s="24"/>
      <c r="DL1612" s="24"/>
      <c r="DM1612" s="24"/>
      <c r="DN1612" s="24"/>
      <c r="DO1612" s="24"/>
      <c r="DP1612" s="24"/>
      <c r="DQ1612" s="24"/>
      <c r="DR1612" s="24"/>
      <c r="DS1612" s="24"/>
      <c r="DT1612" s="24"/>
      <c r="DU1612" s="24"/>
    </row>
    <row r="1613" spans="1:125" s="8" customFormat="1" ht="132" x14ac:dyDescent="0.2">
      <c r="A1613" s="353">
        <v>41391</v>
      </c>
      <c r="B1613" s="352" t="s">
        <v>2847</v>
      </c>
      <c r="C1613" s="354" t="s">
        <v>2197</v>
      </c>
      <c r="D1613" s="354" t="s">
        <v>2859</v>
      </c>
      <c r="E1613" s="75" t="str">
        <f>VLOOKUP(B1613&amp;C1613,Divipola!$C$2:$F$1138,4,FALSE)</f>
        <v>68276</v>
      </c>
      <c r="F1613" s="87"/>
      <c r="G1613" s="87"/>
      <c r="H1613" s="87"/>
      <c r="I1613" s="87">
        <v>5</v>
      </c>
      <c r="J1613" s="87">
        <v>1</v>
      </c>
      <c r="K1613" s="87"/>
      <c r="L1613" s="87">
        <v>1</v>
      </c>
      <c r="M1613" s="87"/>
      <c r="N1613" s="87"/>
      <c r="O1613" s="87"/>
      <c r="P1613" s="87"/>
      <c r="Q1613" s="87"/>
      <c r="R1613" s="87"/>
      <c r="S1613" s="87"/>
      <c r="T1613" s="87"/>
      <c r="U1613" s="88"/>
      <c r="V1613" s="89"/>
      <c r="W1613" s="96">
        <v>0</v>
      </c>
      <c r="X1613" s="71">
        <f>CU1613</f>
        <v>0</v>
      </c>
      <c r="Y1613" s="71">
        <f>CY1613</f>
        <v>0</v>
      </c>
      <c r="Z1613" s="71">
        <f>DA1613+DC1613+DE1613</f>
        <v>0</v>
      </c>
      <c r="AA1613" s="71">
        <f>CW1613</f>
        <v>0</v>
      </c>
      <c r="AB1613" s="71"/>
      <c r="AC1613" s="71">
        <v>0</v>
      </c>
      <c r="AD1613" s="71">
        <f>W1613+X1613+Y1613+Z1613+AA1613+AB1613+AC1613</f>
        <v>0</v>
      </c>
      <c r="AE1613" s="72">
        <v>0</v>
      </c>
      <c r="AF1613" s="5"/>
      <c r="AG1613" s="6"/>
      <c r="AH1613" s="27" t="s">
        <v>3392</v>
      </c>
      <c r="AI1613" s="44" t="s">
        <v>3393</v>
      </c>
      <c r="AJ1613" s="26"/>
      <c r="AK1613" s="5"/>
      <c r="AL1613" s="82" t="s">
        <v>4417</v>
      </c>
      <c r="AM1613" s="76"/>
      <c r="AN1613" s="76"/>
      <c r="AO1613" s="76"/>
      <c r="AP1613" s="76"/>
      <c r="AQ1613" s="76"/>
      <c r="AR1613" s="76"/>
      <c r="AS1613" s="76"/>
      <c r="AT1613" s="76"/>
      <c r="AU1613" s="76"/>
      <c r="AV1613" s="76"/>
      <c r="AW1613" s="76"/>
      <c r="AX1613" s="76">
        <f>+AW1613*600000</f>
        <v>0</v>
      </c>
      <c r="AY1613" s="76"/>
      <c r="AZ1613" s="76">
        <f>+AY1613*70000</f>
        <v>0</v>
      </c>
      <c r="BA1613" s="76"/>
      <c r="BB1613" s="76"/>
      <c r="BC1613" s="76"/>
      <c r="BD1613" s="76">
        <f>+BC1613*30000</f>
        <v>0</v>
      </c>
      <c r="BE1613" s="76"/>
      <c r="BF1613" s="76"/>
      <c r="BG1613" s="76"/>
      <c r="BH1613" s="76"/>
      <c r="BI1613" s="76"/>
      <c r="BJ1613" s="76"/>
      <c r="BK1613" s="76"/>
      <c r="BL1613" s="76">
        <f>+BK1613*31500</f>
        <v>0</v>
      </c>
      <c r="BM1613" s="76"/>
      <c r="BN1613" s="76"/>
      <c r="BO1613" s="76"/>
      <c r="BP1613" s="76"/>
      <c r="BQ1613" s="76"/>
      <c r="BR1613" s="76"/>
      <c r="BS1613" s="76"/>
      <c r="BT1613" s="76"/>
      <c r="BU1613" s="76"/>
      <c r="BV1613" s="76"/>
      <c r="BW1613" s="76"/>
      <c r="BX1613" s="76"/>
      <c r="BY1613" s="76"/>
      <c r="BZ1613" s="76"/>
      <c r="CA1613" s="76"/>
      <c r="CB1613" s="76"/>
      <c r="CC1613" s="76"/>
      <c r="CD1613" s="76"/>
      <c r="CE1613" s="76"/>
      <c r="CF1613" s="76">
        <f>+CE1613*28000</f>
        <v>0</v>
      </c>
      <c r="CG1613" s="76"/>
      <c r="CH1613" s="76">
        <f>+CG1613*22500</f>
        <v>0</v>
      </c>
      <c r="CI1613" s="76"/>
      <c r="CJ1613" s="76">
        <f>+CI1613*26000</f>
        <v>0</v>
      </c>
      <c r="CK1613" s="76"/>
      <c r="CL1613" s="76"/>
      <c r="CM1613" s="76"/>
      <c r="CN1613" s="76">
        <f>+CM1613*22000</f>
        <v>0</v>
      </c>
      <c r="CO1613" s="76"/>
      <c r="CP1613" s="76">
        <f>+CO1613*46000</f>
        <v>0</v>
      </c>
      <c r="CQ1613" s="76"/>
      <c r="CR1613" s="76">
        <f>+CQ1613*49000</f>
        <v>0</v>
      </c>
      <c r="CS1613" s="76"/>
      <c r="CT1613" s="76"/>
      <c r="CU1613" s="56">
        <f>AN1613+AP1613+AR1613+AT1613+AV1613+AX1613+AZ1613+BB1613+BD1613+BF1613+BH1613+BJ1613+BL1613+BN1613+BP1613+BR1613+BT1613+BV1613+BX1613+BZ1613+CB1613+CD1613+CF1613+CH1613+CJ1613+CL1613+CN1613+CP1613+CR1613+CT1613</f>
        <v>0</v>
      </c>
      <c r="CV1613" s="76"/>
      <c r="CW1613" s="76">
        <f>+CV1613*1100</f>
        <v>0</v>
      </c>
      <c r="CX1613" s="76"/>
      <c r="CY1613" s="76">
        <f>+CX1613*106250</f>
        <v>0</v>
      </c>
      <c r="CZ1613" s="76"/>
      <c r="DA1613" s="76">
        <f>+CZ1613*34500</f>
        <v>0</v>
      </c>
      <c r="DB1613" s="76"/>
      <c r="DC1613" s="76">
        <f>+DB1613*25000</f>
        <v>0</v>
      </c>
      <c r="DD1613" s="219"/>
      <c r="DE1613" s="219"/>
      <c r="DF1613" s="166"/>
      <c r="DG1613" s="116"/>
      <c r="DH1613" s="117"/>
      <c r="DI1613" s="24"/>
      <c r="DJ1613" s="24"/>
      <c r="DK1613" s="24"/>
      <c r="DL1613" s="24"/>
      <c r="DM1613" s="24"/>
      <c r="DN1613" s="24"/>
      <c r="DO1613" s="24"/>
      <c r="DP1613" s="24"/>
      <c r="DQ1613" s="24"/>
      <c r="DR1613" s="24"/>
      <c r="DS1613" s="24"/>
      <c r="DT1613" s="24"/>
      <c r="DU1613" s="24"/>
    </row>
    <row r="1614" spans="1:125" s="8" customFormat="1" ht="96" x14ac:dyDescent="0.2">
      <c r="A1614" s="77">
        <v>41391</v>
      </c>
      <c r="B1614" s="78" t="s">
        <v>2851</v>
      </c>
      <c r="C1614" s="75" t="s">
        <v>2122</v>
      </c>
      <c r="D1614" s="75" t="s">
        <v>3051</v>
      </c>
      <c r="E1614" s="75" t="str">
        <f>VLOOKUP(B1614&amp;C1614,Divipola!$C$2:$F$1138,4,FALSE)</f>
        <v>76147</v>
      </c>
      <c r="F1614" s="87"/>
      <c r="G1614" s="87"/>
      <c r="H1614" s="87"/>
      <c r="I1614" s="87"/>
      <c r="J1614" s="87"/>
      <c r="K1614" s="87"/>
      <c r="L1614" s="87"/>
      <c r="M1614" s="87"/>
      <c r="N1614" s="87"/>
      <c r="O1614" s="87"/>
      <c r="P1614" s="87"/>
      <c r="Q1614" s="87"/>
      <c r="R1614" s="87"/>
      <c r="S1614" s="87"/>
      <c r="T1614" s="87"/>
      <c r="U1614" s="88"/>
      <c r="V1614" s="89"/>
      <c r="W1614" s="96">
        <v>0</v>
      </c>
      <c r="X1614" s="71">
        <f>CU1614</f>
        <v>0</v>
      </c>
      <c r="Y1614" s="71">
        <f>CY1614</f>
        <v>0</v>
      </c>
      <c r="Z1614" s="71">
        <f>DA1614+DC1614+DE1614</f>
        <v>0</v>
      </c>
      <c r="AA1614" s="71">
        <f>CW1614</f>
        <v>0</v>
      </c>
      <c r="AB1614" s="71"/>
      <c r="AC1614" s="71">
        <v>0</v>
      </c>
      <c r="AD1614" s="71">
        <f>W1614+X1614+Y1614+Z1614+AA1614+AB1614+AC1614</f>
        <v>0</v>
      </c>
      <c r="AE1614" s="72">
        <v>0</v>
      </c>
      <c r="AF1614" s="5"/>
      <c r="AG1614" s="6"/>
      <c r="AH1614" s="27" t="s">
        <v>3392</v>
      </c>
      <c r="AI1614" s="44" t="s">
        <v>3393</v>
      </c>
      <c r="AJ1614" s="26"/>
      <c r="AK1614" s="5"/>
      <c r="AL1614" s="82" t="s">
        <v>4408</v>
      </c>
      <c r="AM1614" s="76"/>
      <c r="AN1614" s="76"/>
      <c r="AO1614" s="76"/>
      <c r="AP1614" s="76"/>
      <c r="AQ1614" s="76"/>
      <c r="AR1614" s="76"/>
      <c r="AS1614" s="76"/>
      <c r="AT1614" s="76"/>
      <c r="AU1614" s="76"/>
      <c r="AV1614" s="76"/>
      <c r="AW1614" s="76"/>
      <c r="AX1614" s="76">
        <f>+AW1614*600000</f>
        <v>0</v>
      </c>
      <c r="AY1614" s="76"/>
      <c r="AZ1614" s="76">
        <f>+AY1614*70000</f>
        <v>0</v>
      </c>
      <c r="BA1614" s="76"/>
      <c r="BB1614" s="76"/>
      <c r="BC1614" s="76"/>
      <c r="BD1614" s="76">
        <f>+BC1614*30000</f>
        <v>0</v>
      </c>
      <c r="BE1614" s="76"/>
      <c r="BF1614" s="76"/>
      <c r="BG1614" s="76"/>
      <c r="BH1614" s="76"/>
      <c r="BI1614" s="76"/>
      <c r="BJ1614" s="76"/>
      <c r="BK1614" s="76"/>
      <c r="BL1614" s="76">
        <f>+BK1614*31500</f>
        <v>0</v>
      </c>
      <c r="BM1614" s="76"/>
      <c r="BN1614" s="76"/>
      <c r="BO1614" s="76"/>
      <c r="BP1614" s="76"/>
      <c r="BQ1614" s="76"/>
      <c r="BR1614" s="76"/>
      <c r="BS1614" s="76"/>
      <c r="BT1614" s="76"/>
      <c r="BU1614" s="76"/>
      <c r="BV1614" s="76"/>
      <c r="BW1614" s="76"/>
      <c r="BX1614" s="76"/>
      <c r="BY1614" s="76"/>
      <c r="BZ1614" s="76"/>
      <c r="CA1614" s="76"/>
      <c r="CB1614" s="76"/>
      <c r="CC1614" s="76"/>
      <c r="CD1614" s="76"/>
      <c r="CE1614" s="76"/>
      <c r="CF1614" s="76">
        <f>+CE1614*28000</f>
        <v>0</v>
      </c>
      <c r="CG1614" s="76"/>
      <c r="CH1614" s="76">
        <f>+CG1614*22500</f>
        <v>0</v>
      </c>
      <c r="CI1614" s="76"/>
      <c r="CJ1614" s="76">
        <f>+CI1614*26000</f>
        <v>0</v>
      </c>
      <c r="CK1614" s="76"/>
      <c r="CL1614" s="76"/>
      <c r="CM1614" s="76"/>
      <c r="CN1614" s="76">
        <f>+CM1614*22000</f>
        <v>0</v>
      </c>
      <c r="CO1614" s="76"/>
      <c r="CP1614" s="76">
        <f>+CO1614*46000</f>
        <v>0</v>
      </c>
      <c r="CQ1614" s="76"/>
      <c r="CR1614" s="76">
        <f>+CQ1614*49000</f>
        <v>0</v>
      </c>
      <c r="CS1614" s="76"/>
      <c r="CT1614" s="76"/>
      <c r="CU1614" s="56">
        <f>AN1614+AP1614+AR1614+AT1614+AV1614+AX1614+AZ1614+BB1614+BD1614+BF1614+BH1614+BJ1614+BL1614+BN1614+BP1614+BR1614+BT1614+BV1614+BX1614+BZ1614+CB1614+CD1614+CF1614+CH1614+CJ1614+CL1614+CN1614+CP1614+CR1614+CT1614</f>
        <v>0</v>
      </c>
      <c r="CV1614" s="76"/>
      <c r="CW1614" s="76">
        <f>+CV1614*1100</f>
        <v>0</v>
      </c>
      <c r="CX1614" s="76"/>
      <c r="CY1614" s="76">
        <f>+CX1614*106250</f>
        <v>0</v>
      </c>
      <c r="CZ1614" s="76"/>
      <c r="DA1614" s="76">
        <f>+CZ1614*34500</f>
        <v>0</v>
      </c>
      <c r="DB1614" s="76"/>
      <c r="DC1614" s="76">
        <f>+DB1614*25000</f>
        <v>0</v>
      </c>
      <c r="DD1614" s="219"/>
      <c r="DE1614" s="219"/>
      <c r="DF1614" s="166"/>
      <c r="DG1614" s="116"/>
      <c r="DH1614" s="117"/>
      <c r="DI1614" s="24"/>
      <c r="DJ1614" s="24"/>
      <c r="DK1614" s="24"/>
      <c r="DL1614" s="24"/>
      <c r="DM1614" s="24"/>
      <c r="DN1614" s="24"/>
      <c r="DO1614" s="24"/>
      <c r="DP1614" s="24"/>
      <c r="DQ1614" s="24"/>
      <c r="DR1614" s="24"/>
      <c r="DS1614" s="24"/>
      <c r="DT1614" s="24"/>
      <c r="DU1614" s="24"/>
    </row>
    <row r="1615" spans="1:125" s="8" customFormat="1" ht="72" x14ac:dyDescent="0.2">
      <c r="A1615" s="226">
        <v>41392</v>
      </c>
      <c r="B1615" s="225" t="s">
        <v>2894</v>
      </c>
      <c r="C1615" s="227" t="s">
        <v>2403</v>
      </c>
      <c r="D1615" s="75" t="s">
        <v>3051</v>
      </c>
      <c r="E1615" s="75" t="str">
        <f>VLOOKUP(B1615&amp;C1615,Divipola!$C$2:$F$1138,4,FALSE)</f>
        <v>05147</v>
      </c>
      <c r="F1615" s="87"/>
      <c r="G1615" s="87"/>
      <c r="H1615" s="87"/>
      <c r="I1615" s="87">
        <v>405</v>
      </c>
      <c r="J1615" s="87">
        <v>97</v>
      </c>
      <c r="K1615" s="87"/>
      <c r="L1615" s="87">
        <v>73</v>
      </c>
      <c r="M1615" s="87"/>
      <c r="N1615" s="87"/>
      <c r="O1615" s="87"/>
      <c r="P1615" s="87"/>
      <c r="Q1615" s="87"/>
      <c r="R1615" s="87"/>
      <c r="S1615" s="87"/>
      <c r="T1615" s="87"/>
      <c r="U1615" s="88">
        <v>110</v>
      </c>
      <c r="V1615" s="89"/>
      <c r="W1615" s="96">
        <v>0</v>
      </c>
      <c r="X1615" s="71">
        <f>CU1615</f>
        <v>0</v>
      </c>
      <c r="Y1615" s="71">
        <f>CY1615</f>
        <v>0</v>
      </c>
      <c r="Z1615" s="71">
        <f>DA1615+DC1615+DE1615</f>
        <v>0</v>
      </c>
      <c r="AA1615" s="71">
        <f>CW1615</f>
        <v>0</v>
      </c>
      <c r="AB1615" s="71"/>
      <c r="AC1615" s="71">
        <v>0</v>
      </c>
      <c r="AD1615" s="71">
        <f>W1615+X1615+Y1615+Z1615+AA1615+AB1615+AC1615</f>
        <v>0</v>
      </c>
      <c r="AE1615" s="72">
        <v>0</v>
      </c>
      <c r="AF1615" s="5"/>
      <c r="AG1615" s="6"/>
      <c r="AH1615" s="27" t="s">
        <v>3392</v>
      </c>
      <c r="AI1615" s="44" t="s">
        <v>3393</v>
      </c>
      <c r="AJ1615" s="26"/>
      <c r="AK1615" s="5"/>
      <c r="AL1615" s="82" t="s">
        <v>4434</v>
      </c>
      <c r="AM1615" s="76"/>
      <c r="AN1615" s="76"/>
      <c r="AO1615" s="76"/>
      <c r="AP1615" s="76"/>
      <c r="AQ1615" s="76"/>
      <c r="AR1615" s="76"/>
      <c r="AS1615" s="76"/>
      <c r="AT1615" s="76"/>
      <c r="AU1615" s="76"/>
      <c r="AV1615" s="76"/>
      <c r="AW1615" s="76"/>
      <c r="AX1615" s="76">
        <f>+AW1615*600000</f>
        <v>0</v>
      </c>
      <c r="AY1615" s="76"/>
      <c r="AZ1615" s="76">
        <f>+AY1615*70000</f>
        <v>0</v>
      </c>
      <c r="BA1615" s="76"/>
      <c r="BB1615" s="76"/>
      <c r="BC1615" s="76"/>
      <c r="BD1615" s="76">
        <f>+BC1615*30000</f>
        <v>0</v>
      </c>
      <c r="BE1615" s="76"/>
      <c r="BF1615" s="76"/>
      <c r="BG1615" s="76"/>
      <c r="BH1615" s="76"/>
      <c r="BI1615" s="76"/>
      <c r="BJ1615" s="76"/>
      <c r="BK1615" s="76"/>
      <c r="BL1615" s="76">
        <f>+BK1615*31500</f>
        <v>0</v>
      </c>
      <c r="BM1615" s="76"/>
      <c r="BN1615" s="76"/>
      <c r="BO1615" s="76"/>
      <c r="BP1615" s="76"/>
      <c r="BQ1615" s="76"/>
      <c r="BR1615" s="76"/>
      <c r="BS1615" s="76"/>
      <c r="BT1615" s="76"/>
      <c r="BU1615" s="76"/>
      <c r="BV1615" s="76"/>
      <c r="BW1615" s="76"/>
      <c r="BX1615" s="76"/>
      <c r="BY1615" s="76"/>
      <c r="BZ1615" s="76"/>
      <c r="CA1615" s="76"/>
      <c r="CB1615" s="76"/>
      <c r="CC1615" s="76"/>
      <c r="CD1615" s="76"/>
      <c r="CE1615" s="76"/>
      <c r="CF1615" s="76">
        <f>+CE1615*28000</f>
        <v>0</v>
      </c>
      <c r="CG1615" s="76"/>
      <c r="CH1615" s="76">
        <f>+CG1615*22500</f>
        <v>0</v>
      </c>
      <c r="CI1615" s="76"/>
      <c r="CJ1615" s="76">
        <f>+CI1615*26000</f>
        <v>0</v>
      </c>
      <c r="CK1615" s="76"/>
      <c r="CL1615" s="76"/>
      <c r="CM1615" s="76"/>
      <c r="CN1615" s="76">
        <f>+CM1615*22000</f>
        <v>0</v>
      </c>
      <c r="CO1615" s="76"/>
      <c r="CP1615" s="76">
        <f>+CO1615*46000</f>
        <v>0</v>
      </c>
      <c r="CQ1615" s="76"/>
      <c r="CR1615" s="76">
        <f>+CQ1615*49000</f>
        <v>0</v>
      </c>
      <c r="CS1615" s="76"/>
      <c r="CT1615" s="76"/>
      <c r="CU1615" s="56">
        <f>AN1615+AP1615+AR1615+AT1615+AV1615+AX1615+AZ1615+BB1615+BD1615+BF1615+BH1615+BJ1615+BL1615+BN1615+BP1615+BR1615+BT1615+BV1615+BX1615+BZ1615+CB1615+CD1615+CF1615+CH1615+CJ1615+CL1615+CN1615+CP1615+CR1615+CT1615</f>
        <v>0</v>
      </c>
      <c r="CV1615" s="76"/>
      <c r="CW1615" s="76">
        <f>+CV1615*1100</f>
        <v>0</v>
      </c>
      <c r="CX1615" s="76"/>
      <c r="CY1615" s="76">
        <f>+CX1615*106250</f>
        <v>0</v>
      </c>
      <c r="CZ1615" s="76"/>
      <c r="DA1615" s="76">
        <f>+CZ1615*34500</f>
        <v>0</v>
      </c>
      <c r="DB1615" s="76"/>
      <c r="DC1615" s="76">
        <f>+DB1615*25000</f>
        <v>0</v>
      </c>
      <c r="DD1615" s="219"/>
      <c r="DE1615" s="219"/>
      <c r="DF1615" s="166"/>
      <c r="DG1615" s="116"/>
      <c r="DH1615" s="117"/>
      <c r="DI1615" s="24"/>
      <c r="DJ1615" s="24"/>
      <c r="DK1615" s="24"/>
      <c r="DL1615" s="24"/>
      <c r="DM1615" s="24"/>
      <c r="DN1615" s="24"/>
      <c r="DO1615" s="24"/>
      <c r="DP1615" s="24"/>
      <c r="DQ1615" s="24"/>
      <c r="DR1615" s="24"/>
      <c r="DS1615" s="24"/>
      <c r="DT1615" s="24"/>
      <c r="DU1615" s="24"/>
    </row>
    <row r="1616" spans="1:125" s="8" customFormat="1" ht="408" x14ac:dyDescent="0.2">
      <c r="A1616" s="353">
        <v>41392</v>
      </c>
      <c r="B1616" s="352" t="s">
        <v>2854</v>
      </c>
      <c r="C1616" s="354" t="s">
        <v>2093</v>
      </c>
      <c r="D1616" s="354" t="s">
        <v>2882</v>
      </c>
      <c r="E1616" s="75" t="str">
        <f>VLOOKUP(B1616&amp;C1616,Divipola!$C$2:$F$1138,4,FALSE)</f>
        <v>19455</v>
      </c>
      <c r="F1616" s="87"/>
      <c r="G1616" s="87"/>
      <c r="H1616" s="87"/>
      <c r="I1616" s="87"/>
      <c r="J1616" s="87"/>
      <c r="K1616" s="87"/>
      <c r="L1616" s="87"/>
      <c r="M1616" s="87"/>
      <c r="N1616" s="87"/>
      <c r="O1616" s="87"/>
      <c r="P1616" s="87"/>
      <c r="Q1616" s="87"/>
      <c r="R1616" s="87"/>
      <c r="S1616" s="87"/>
      <c r="T1616" s="87"/>
      <c r="U1616" s="88"/>
      <c r="V1616" s="89"/>
      <c r="W1616" s="96">
        <v>0</v>
      </c>
      <c r="X1616" s="71">
        <f>CU1616</f>
        <v>0</v>
      </c>
      <c r="Y1616" s="71">
        <f>CY1616</f>
        <v>0</v>
      </c>
      <c r="Z1616" s="71">
        <f>DA1616+DC1616+DE1616</f>
        <v>0</v>
      </c>
      <c r="AA1616" s="71">
        <f>CW1616</f>
        <v>0</v>
      </c>
      <c r="AB1616" s="71"/>
      <c r="AC1616" s="71">
        <v>0</v>
      </c>
      <c r="AD1616" s="71">
        <f>W1616+X1616+Y1616+Z1616+AA1616+AB1616+AC1616</f>
        <v>0</v>
      </c>
      <c r="AE1616" s="72">
        <v>0</v>
      </c>
      <c r="AF1616" s="5"/>
      <c r="AG1616" s="6"/>
      <c r="AH1616" s="27" t="s">
        <v>3392</v>
      </c>
      <c r="AI1616" s="44" t="s">
        <v>3393</v>
      </c>
      <c r="AJ1616" s="26"/>
      <c r="AK1616" s="5"/>
      <c r="AL1616" s="82" t="s">
        <v>4436</v>
      </c>
      <c r="AM1616" s="76"/>
      <c r="AN1616" s="76"/>
      <c r="AO1616" s="76"/>
      <c r="AP1616" s="76"/>
      <c r="AQ1616" s="76"/>
      <c r="AR1616" s="76"/>
      <c r="AS1616" s="76"/>
      <c r="AT1616" s="76"/>
      <c r="AU1616" s="76"/>
      <c r="AV1616" s="76"/>
      <c r="AW1616" s="76"/>
      <c r="AX1616" s="76">
        <f>+AW1616*600000</f>
        <v>0</v>
      </c>
      <c r="AY1616" s="76"/>
      <c r="AZ1616" s="76">
        <f>+AY1616*70000</f>
        <v>0</v>
      </c>
      <c r="BA1616" s="76"/>
      <c r="BB1616" s="76"/>
      <c r="BC1616" s="76"/>
      <c r="BD1616" s="76">
        <f>+BC1616*30000</f>
        <v>0</v>
      </c>
      <c r="BE1616" s="76"/>
      <c r="BF1616" s="76"/>
      <c r="BG1616" s="76"/>
      <c r="BH1616" s="76"/>
      <c r="BI1616" s="76"/>
      <c r="BJ1616" s="76"/>
      <c r="BK1616" s="76"/>
      <c r="BL1616" s="76">
        <f>+BK1616*31500</f>
        <v>0</v>
      </c>
      <c r="BM1616" s="76"/>
      <c r="BN1616" s="76"/>
      <c r="BO1616" s="76"/>
      <c r="BP1616" s="76"/>
      <c r="BQ1616" s="76"/>
      <c r="BR1616" s="76"/>
      <c r="BS1616" s="76"/>
      <c r="BT1616" s="76"/>
      <c r="BU1616" s="76"/>
      <c r="BV1616" s="76"/>
      <c r="BW1616" s="76"/>
      <c r="BX1616" s="76"/>
      <c r="BY1616" s="76"/>
      <c r="BZ1616" s="76"/>
      <c r="CA1616" s="76"/>
      <c r="CB1616" s="76"/>
      <c r="CC1616" s="76"/>
      <c r="CD1616" s="76"/>
      <c r="CE1616" s="76"/>
      <c r="CF1616" s="76">
        <f>+CE1616*28000</f>
        <v>0</v>
      </c>
      <c r="CG1616" s="76"/>
      <c r="CH1616" s="76">
        <f>+CG1616*22500</f>
        <v>0</v>
      </c>
      <c r="CI1616" s="76"/>
      <c r="CJ1616" s="76">
        <f>+CI1616*26000</f>
        <v>0</v>
      </c>
      <c r="CK1616" s="76"/>
      <c r="CL1616" s="76"/>
      <c r="CM1616" s="76"/>
      <c r="CN1616" s="76">
        <f>+CM1616*22000</f>
        <v>0</v>
      </c>
      <c r="CO1616" s="76"/>
      <c r="CP1616" s="76">
        <f>+CO1616*46000</f>
        <v>0</v>
      </c>
      <c r="CQ1616" s="76"/>
      <c r="CR1616" s="76">
        <f>+CQ1616*49000</f>
        <v>0</v>
      </c>
      <c r="CS1616" s="76"/>
      <c r="CT1616" s="76"/>
      <c r="CU1616" s="56">
        <f>AN1616+AP1616+AR1616+AT1616+AV1616+AX1616+AZ1616+BB1616+BD1616+BF1616+BH1616+BJ1616+BL1616+BN1616+BP1616+BR1616+BT1616+BV1616+BX1616+BZ1616+CB1616+CD1616+CF1616+CH1616+CJ1616+CL1616+CN1616+CP1616+CR1616+CT1616</f>
        <v>0</v>
      </c>
      <c r="CV1616" s="76"/>
      <c r="CW1616" s="76">
        <f>+CV1616*1100</f>
        <v>0</v>
      </c>
      <c r="CX1616" s="76"/>
      <c r="CY1616" s="76">
        <f>+CX1616*106250</f>
        <v>0</v>
      </c>
      <c r="CZ1616" s="76"/>
      <c r="DA1616" s="76">
        <f>+CZ1616*34500</f>
        <v>0</v>
      </c>
      <c r="DB1616" s="76"/>
      <c r="DC1616" s="76">
        <f>+DB1616*25000</f>
        <v>0</v>
      </c>
      <c r="DD1616" s="219"/>
      <c r="DE1616" s="219"/>
      <c r="DF1616" s="166"/>
      <c r="DG1616" s="116"/>
      <c r="DH1616" s="117"/>
      <c r="DI1616" s="24"/>
      <c r="DJ1616" s="24"/>
      <c r="DK1616" s="24"/>
      <c r="DL1616" s="24"/>
      <c r="DM1616" s="24"/>
      <c r="DN1616" s="24"/>
      <c r="DO1616" s="24"/>
      <c r="DP1616" s="24"/>
      <c r="DQ1616" s="24"/>
      <c r="DR1616" s="24"/>
      <c r="DS1616" s="24"/>
      <c r="DT1616" s="24"/>
      <c r="DU1616" s="24"/>
    </row>
    <row r="1617" spans="1:125" s="8" customFormat="1" ht="155.25" customHeight="1" x14ac:dyDescent="0.2">
      <c r="A1617" s="77">
        <v>41392</v>
      </c>
      <c r="B1617" s="225" t="s">
        <v>2854</v>
      </c>
      <c r="C1617" s="227" t="s">
        <v>875</v>
      </c>
      <c r="D1617" s="227" t="s">
        <v>4407</v>
      </c>
      <c r="E1617" s="75" t="str">
        <f>VLOOKUP(B1617&amp;C1617,Divipola!$C$2:$F$1138,4,FALSE)</f>
        <v>19760</v>
      </c>
      <c r="F1617" s="87"/>
      <c r="G1617" s="87"/>
      <c r="H1617" s="87"/>
      <c r="I1617" s="87"/>
      <c r="J1617" s="87"/>
      <c r="K1617" s="87"/>
      <c r="L1617" s="87"/>
      <c r="M1617" s="87"/>
      <c r="N1617" s="87"/>
      <c r="O1617" s="87"/>
      <c r="P1617" s="87"/>
      <c r="Q1617" s="87"/>
      <c r="R1617" s="87"/>
      <c r="S1617" s="87"/>
      <c r="T1617" s="87"/>
      <c r="U1617" s="88"/>
      <c r="V1617" s="89"/>
      <c r="W1617" s="96">
        <v>0</v>
      </c>
      <c r="X1617" s="71">
        <f>CU1617</f>
        <v>0</v>
      </c>
      <c r="Y1617" s="71">
        <f>CY1617</f>
        <v>0</v>
      </c>
      <c r="Z1617" s="71">
        <f>DA1617+DC1617+DE1617</f>
        <v>0</v>
      </c>
      <c r="AA1617" s="71">
        <f>CW1617</f>
        <v>0</v>
      </c>
      <c r="AB1617" s="71"/>
      <c r="AC1617" s="71">
        <v>0</v>
      </c>
      <c r="AD1617" s="71">
        <f>W1617+X1617+Y1617+Z1617+AA1617+AB1617+AC1617</f>
        <v>0</v>
      </c>
      <c r="AE1617" s="72">
        <v>0</v>
      </c>
      <c r="AF1617" s="5"/>
      <c r="AG1617" s="6"/>
      <c r="AH1617" s="27" t="s">
        <v>3392</v>
      </c>
      <c r="AI1617" s="44" t="s">
        <v>3393</v>
      </c>
      <c r="AJ1617" s="26"/>
      <c r="AK1617" s="5"/>
      <c r="AL1617" s="82" t="s">
        <v>4423</v>
      </c>
      <c r="AM1617" s="76"/>
      <c r="AN1617" s="76"/>
      <c r="AO1617" s="76"/>
      <c r="AP1617" s="76"/>
      <c r="AQ1617" s="76"/>
      <c r="AR1617" s="76"/>
      <c r="AS1617" s="76"/>
      <c r="AT1617" s="76"/>
      <c r="AU1617" s="76"/>
      <c r="AV1617" s="76"/>
      <c r="AW1617" s="76"/>
      <c r="AX1617" s="76">
        <f>+AW1617*600000</f>
        <v>0</v>
      </c>
      <c r="AY1617" s="76"/>
      <c r="AZ1617" s="76">
        <f>+AY1617*70000</f>
        <v>0</v>
      </c>
      <c r="BA1617" s="76"/>
      <c r="BB1617" s="76"/>
      <c r="BC1617" s="76"/>
      <c r="BD1617" s="76">
        <f>+BC1617*30000</f>
        <v>0</v>
      </c>
      <c r="BE1617" s="76"/>
      <c r="BF1617" s="76"/>
      <c r="BG1617" s="76"/>
      <c r="BH1617" s="76"/>
      <c r="BI1617" s="76"/>
      <c r="BJ1617" s="76"/>
      <c r="BK1617" s="76"/>
      <c r="BL1617" s="76">
        <f>+BK1617*31500</f>
        <v>0</v>
      </c>
      <c r="BM1617" s="76"/>
      <c r="BN1617" s="76"/>
      <c r="BO1617" s="76"/>
      <c r="BP1617" s="76"/>
      <c r="BQ1617" s="76"/>
      <c r="BR1617" s="76"/>
      <c r="BS1617" s="76"/>
      <c r="BT1617" s="76"/>
      <c r="BU1617" s="76"/>
      <c r="BV1617" s="76"/>
      <c r="BW1617" s="76"/>
      <c r="BX1617" s="76"/>
      <c r="BY1617" s="76"/>
      <c r="BZ1617" s="76"/>
      <c r="CA1617" s="76"/>
      <c r="CB1617" s="76"/>
      <c r="CC1617" s="76"/>
      <c r="CD1617" s="76"/>
      <c r="CE1617" s="76"/>
      <c r="CF1617" s="76">
        <f>+CE1617*28000</f>
        <v>0</v>
      </c>
      <c r="CG1617" s="76"/>
      <c r="CH1617" s="76">
        <f>+CG1617*22500</f>
        <v>0</v>
      </c>
      <c r="CI1617" s="76"/>
      <c r="CJ1617" s="76">
        <f>+CI1617*26000</f>
        <v>0</v>
      </c>
      <c r="CK1617" s="76"/>
      <c r="CL1617" s="76"/>
      <c r="CM1617" s="76"/>
      <c r="CN1617" s="76">
        <f>+CM1617*22000</f>
        <v>0</v>
      </c>
      <c r="CO1617" s="76"/>
      <c r="CP1617" s="76">
        <f>+CO1617*46000</f>
        <v>0</v>
      </c>
      <c r="CQ1617" s="76"/>
      <c r="CR1617" s="76">
        <f>+CQ1617*49000</f>
        <v>0</v>
      </c>
      <c r="CS1617" s="76"/>
      <c r="CT1617" s="76"/>
      <c r="CU1617" s="56">
        <f>AN1617+AP1617+AR1617+AT1617+AV1617+AX1617+AZ1617+BB1617+BD1617+BF1617+BH1617+BJ1617+BL1617+BN1617+BP1617+BR1617+BT1617+BV1617+BX1617+BZ1617+CB1617+CD1617+CF1617+CH1617+CJ1617+CL1617+CN1617+CP1617+CR1617+CT1617</f>
        <v>0</v>
      </c>
      <c r="CV1617" s="76"/>
      <c r="CW1617" s="76">
        <f>+CV1617*1100</f>
        <v>0</v>
      </c>
      <c r="CX1617" s="76"/>
      <c r="CY1617" s="76">
        <f>+CX1617*106250</f>
        <v>0</v>
      </c>
      <c r="CZ1617" s="76"/>
      <c r="DA1617" s="76">
        <f>+CZ1617*34500</f>
        <v>0</v>
      </c>
      <c r="DB1617" s="76"/>
      <c r="DC1617" s="76">
        <f>+DB1617*25000</f>
        <v>0</v>
      </c>
      <c r="DD1617" s="219"/>
      <c r="DE1617" s="219"/>
      <c r="DF1617" s="166"/>
      <c r="DG1617" s="116"/>
      <c r="DH1617" s="117"/>
      <c r="DI1617" s="24"/>
      <c r="DJ1617" s="24"/>
      <c r="DK1617" s="24"/>
      <c r="DL1617" s="24"/>
      <c r="DM1617" s="24"/>
      <c r="DN1617" s="24"/>
      <c r="DO1617" s="24"/>
      <c r="DP1617" s="24"/>
      <c r="DQ1617" s="24"/>
      <c r="DR1617" s="24"/>
      <c r="DS1617" s="24"/>
      <c r="DT1617" s="24"/>
      <c r="DU1617" s="24"/>
    </row>
    <row r="1618" spans="1:125" s="8" customFormat="1" ht="84" x14ac:dyDescent="0.2">
      <c r="A1618" s="97">
        <v>41392</v>
      </c>
      <c r="B1618" s="60" t="s">
        <v>2772</v>
      </c>
      <c r="C1618" s="55" t="s">
        <v>1095</v>
      </c>
      <c r="D1618" s="55" t="s">
        <v>2882</v>
      </c>
      <c r="E1618" s="75" t="str">
        <f>VLOOKUP(B1618&amp;C1618,Divipola!$C$2:$F$1138,4,FALSE)</f>
        <v>25386</v>
      </c>
      <c r="F1618" s="87"/>
      <c r="G1618" s="87"/>
      <c r="H1618" s="87"/>
      <c r="I1618" s="87">
        <v>30</v>
      </c>
      <c r="J1618" s="87">
        <v>6</v>
      </c>
      <c r="K1618" s="87"/>
      <c r="L1618" s="87">
        <v>6</v>
      </c>
      <c r="M1618" s="87"/>
      <c r="N1618" s="87"/>
      <c r="O1618" s="87"/>
      <c r="P1618" s="87"/>
      <c r="Q1618" s="87"/>
      <c r="R1618" s="87"/>
      <c r="S1618" s="87"/>
      <c r="T1618" s="87"/>
      <c r="U1618" s="88"/>
      <c r="V1618" s="89"/>
      <c r="W1618" s="96">
        <v>0</v>
      </c>
      <c r="X1618" s="71">
        <f>CU1618</f>
        <v>0</v>
      </c>
      <c r="Y1618" s="71">
        <f>CY1618</f>
        <v>0</v>
      </c>
      <c r="Z1618" s="71">
        <f>DA1618+DC1618+DE1618</f>
        <v>0</v>
      </c>
      <c r="AA1618" s="71">
        <f>CW1618</f>
        <v>0</v>
      </c>
      <c r="AB1618" s="71"/>
      <c r="AC1618" s="71">
        <v>0</v>
      </c>
      <c r="AD1618" s="71">
        <f>W1618+X1618+Y1618+Z1618+AA1618+AB1618+AC1618</f>
        <v>0</v>
      </c>
      <c r="AE1618" s="72">
        <v>0</v>
      </c>
      <c r="AF1618" s="5"/>
      <c r="AG1618" s="6"/>
      <c r="AH1618" s="27" t="s">
        <v>3392</v>
      </c>
      <c r="AI1618" s="44" t="s">
        <v>3393</v>
      </c>
      <c r="AJ1618" s="26"/>
      <c r="AK1618" s="5"/>
      <c r="AL1618" s="82" t="s">
        <v>4431</v>
      </c>
      <c r="AM1618" s="76"/>
      <c r="AN1618" s="76"/>
      <c r="AO1618" s="76"/>
      <c r="AP1618" s="76"/>
      <c r="AQ1618" s="76"/>
      <c r="AR1618" s="76"/>
      <c r="AS1618" s="76"/>
      <c r="AT1618" s="76"/>
      <c r="AU1618" s="76"/>
      <c r="AV1618" s="76"/>
      <c r="AW1618" s="76"/>
      <c r="AX1618" s="76">
        <f>+AW1618*600000</f>
        <v>0</v>
      </c>
      <c r="AY1618" s="76"/>
      <c r="AZ1618" s="76">
        <f>+AY1618*70000</f>
        <v>0</v>
      </c>
      <c r="BA1618" s="76"/>
      <c r="BB1618" s="76"/>
      <c r="BC1618" s="76"/>
      <c r="BD1618" s="76">
        <f>+BC1618*30000</f>
        <v>0</v>
      </c>
      <c r="BE1618" s="76"/>
      <c r="BF1618" s="76"/>
      <c r="BG1618" s="76"/>
      <c r="BH1618" s="76"/>
      <c r="BI1618" s="76"/>
      <c r="BJ1618" s="76"/>
      <c r="BK1618" s="76"/>
      <c r="BL1618" s="76">
        <f>+BK1618*31500</f>
        <v>0</v>
      </c>
      <c r="BM1618" s="76"/>
      <c r="BN1618" s="76"/>
      <c r="BO1618" s="76"/>
      <c r="BP1618" s="76"/>
      <c r="BQ1618" s="76"/>
      <c r="BR1618" s="76"/>
      <c r="BS1618" s="76"/>
      <c r="BT1618" s="76"/>
      <c r="BU1618" s="76"/>
      <c r="BV1618" s="76"/>
      <c r="BW1618" s="76"/>
      <c r="BX1618" s="76"/>
      <c r="BY1618" s="76"/>
      <c r="BZ1618" s="76"/>
      <c r="CA1618" s="76"/>
      <c r="CB1618" s="76"/>
      <c r="CC1618" s="76"/>
      <c r="CD1618" s="76"/>
      <c r="CE1618" s="76"/>
      <c r="CF1618" s="76">
        <f>+CE1618*28000</f>
        <v>0</v>
      </c>
      <c r="CG1618" s="76"/>
      <c r="CH1618" s="76">
        <f>+CG1618*22500</f>
        <v>0</v>
      </c>
      <c r="CI1618" s="76"/>
      <c r="CJ1618" s="76">
        <f>+CI1618*26000</f>
        <v>0</v>
      </c>
      <c r="CK1618" s="76"/>
      <c r="CL1618" s="76"/>
      <c r="CM1618" s="76"/>
      <c r="CN1618" s="76">
        <f>+CM1618*22000</f>
        <v>0</v>
      </c>
      <c r="CO1618" s="76"/>
      <c r="CP1618" s="76">
        <f>+CO1618*46000</f>
        <v>0</v>
      </c>
      <c r="CQ1618" s="76"/>
      <c r="CR1618" s="76">
        <f>+CQ1618*49000</f>
        <v>0</v>
      </c>
      <c r="CS1618" s="76"/>
      <c r="CT1618" s="76"/>
      <c r="CU1618" s="56">
        <f>AN1618+AP1618+AR1618+AT1618+AV1618+AX1618+AZ1618+BB1618+BD1618+BF1618+BH1618+BJ1618+BL1618+BN1618+BP1618+BR1618+BT1618+BV1618+BX1618+BZ1618+CB1618+CD1618+CF1618+CH1618+CJ1618+CL1618+CN1618+CP1618+CR1618+CT1618</f>
        <v>0</v>
      </c>
      <c r="CV1618" s="76"/>
      <c r="CW1618" s="76">
        <f>+CV1618*1100</f>
        <v>0</v>
      </c>
      <c r="CX1618" s="76"/>
      <c r="CY1618" s="76">
        <f>+CX1618*106250</f>
        <v>0</v>
      </c>
      <c r="CZ1618" s="76"/>
      <c r="DA1618" s="76">
        <f>+CZ1618*34500</f>
        <v>0</v>
      </c>
      <c r="DB1618" s="76"/>
      <c r="DC1618" s="76">
        <f>+DB1618*25000</f>
        <v>0</v>
      </c>
      <c r="DD1618" s="219"/>
      <c r="DE1618" s="219"/>
      <c r="DF1618" s="166"/>
      <c r="DG1618" s="116"/>
      <c r="DH1618" s="117"/>
      <c r="DI1618" s="24"/>
      <c r="DJ1618" s="24"/>
      <c r="DK1618" s="24"/>
      <c r="DL1618" s="24"/>
      <c r="DM1618" s="24"/>
      <c r="DN1618" s="24"/>
      <c r="DO1618" s="24"/>
      <c r="DP1618" s="24"/>
      <c r="DQ1618" s="24"/>
      <c r="DR1618" s="24"/>
      <c r="DS1618" s="24"/>
      <c r="DT1618" s="24"/>
      <c r="DU1618" s="24"/>
    </row>
    <row r="1619" spans="1:125" s="8" customFormat="1" ht="48" x14ac:dyDescent="0.2">
      <c r="A1619" s="77">
        <v>41392</v>
      </c>
      <c r="B1619" s="78" t="s">
        <v>2661</v>
      </c>
      <c r="C1619" s="75" t="s">
        <v>517</v>
      </c>
      <c r="D1619" s="75" t="s">
        <v>2882</v>
      </c>
      <c r="E1619" s="75" t="str">
        <f>VLOOKUP(B1619&amp;C1619,Divipola!$C$2:$F$1138,4,FALSE)</f>
        <v>41298</v>
      </c>
      <c r="F1619" s="87"/>
      <c r="G1619" s="87"/>
      <c r="H1619" s="87"/>
      <c r="I1619" s="87">
        <v>40</v>
      </c>
      <c r="J1619" s="87">
        <v>8</v>
      </c>
      <c r="K1619" s="87"/>
      <c r="L1619" s="87">
        <v>8</v>
      </c>
      <c r="M1619" s="87"/>
      <c r="N1619" s="87"/>
      <c r="O1619" s="87"/>
      <c r="P1619" s="87"/>
      <c r="Q1619" s="87"/>
      <c r="R1619" s="87"/>
      <c r="S1619" s="87"/>
      <c r="T1619" s="87"/>
      <c r="U1619" s="88"/>
      <c r="V1619" s="89"/>
      <c r="W1619" s="96">
        <v>0</v>
      </c>
      <c r="X1619" s="71">
        <f>CU1619</f>
        <v>0</v>
      </c>
      <c r="Y1619" s="71">
        <f>CY1619</f>
        <v>0</v>
      </c>
      <c r="Z1619" s="71">
        <f>DA1619+DC1619+DE1619</f>
        <v>0</v>
      </c>
      <c r="AA1619" s="71">
        <f>CW1619</f>
        <v>0</v>
      </c>
      <c r="AB1619" s="71"/>
      <c r="AC1619" s="71">
        <v>0</v>
      </c>
      <c r="AD1619" s="71">
        <f>W1619+X1619+Y1619+Z1619+AA1619+AB1619+AC1619</f>
        <v>0</v>
      </c>
      <c r="AE1619" s="72">
        <v>0</v>
      </c>
      <c r="AF1619" s="5"/>
      <c r="AG1619" s="6"/>
      <c r="AH1619" s="27" t="s">
        <v>3392</v>
      </c>
      <c r="AI1619" s="44" t="s">
        <v>3393</v>
      </c>
      <c r="AJ1619" s="26"/>
      <c r="AK1619" s="5"/>
      <c r="AL1619" s="82" t="s">
        <v>4424</v>
      </c>
      <c r="AM1619" s="76"/>
      <c r="AN1619" s="76"/>
      <c r="AO1619" s="76"/>
      <c r="AP1619" s="76"/>
      <c r="AQ1619" s="76"/>
      <c r="AR1619" s="76"/>
      <c r="AS1619" s="76"/>
      <c r="AT1619" s="76"/>
      <c r="AU1619" s="76"/>
      <c r="AV1619" s="76"/>
      <c r="AW1619" s="76"/>
      <c r="AX1619" s="76">
        <f>+AW1619*600000</f>
        <v>0</v>
      </c>
      <c r="AY1619" s="76"/>
      <c r="AZ1619" s="76">
        <f>+AY1619*70000</f>
        <v>0</v>
      </c>
      <c r="BA1619" s="76"/>
      <c r="BB1619" s="76"/>
      <c r="BC1619" s="76"/>
      <c r="BD1619" s="76">
        <f>+BC1619*30000</f>
        <v>0</v>
      </c>
      <c r="BE1619" s="76"/>
      <c r="BF1619" s="76"/>
      <c r="BG1619" s="76"/>
      <c r="BH1619" s="76"/>
      <c r="BI1619" s="76"/>
      <c r="BJ1619" s="76"/>
      <c r="BK1619" s="76"/>
      <c r="BL1619" s="76">
        <f>+BK1619*31500</f>
        <v>0</v>
      </c>
      <c r="BM1619" s="76"/>
      <c r="BN1619" s="76"/>
      <c r="BO1619" s="76"/>
      <c r="BP1619" s="76"/>
      <c r="BQ1619" s="76"/>
      <c r="BR1619" s="76"/>
      <c r="BS1619" s="76"/>
      <c r="BT1619" s="76"/>
      <c r="BU1619" s="76"/>
      <c r="BV1619" s="76"/>
      <c r="BW1619" s="76"/>
      <c r="BX1619" s="76"/>
      <c r="BY1619" s="76"/>
      <c r="BZ1619" s="76"/>
      <c r="CA1619" s="76"/>
      <c r="CB1619" s="76"/>
      <c r="CC1619" s="76"/>
      <c r="CD1619" s="76"/>
      <c r="CE1619" s="76"/>
      <c r="CF1619" s="76">
        <f>+CE1619*28000</f>
        <v>0</v>
      </c>
      <c r="CG1619" s="76"/>
      <c r="CH1619" s="76">
        <f>+CG1619*22500</f>
        <v>0</v>
      </c>
      <c r="CI1619" s="76"/>
      <c r="CJ1619" s="76">
        <f>+CI1619*26000</f>
        <v>0</v>
      </c>
      <c r="CK1619" s="76"/>
      <c r="CL1619" s="76"/>
      <c r="CM1619" s="76"/>
      <c r="CN1619" s="76">
        <f>+CM1619*22000</f>
        <v>0</v>
      </c>
      <c r="CO1619" s="76"/>
      <c r="CP1619" s="76">
        <f>+CO1619*46000</f>
        <v>0</v>
      </c>
      <c r="CQ1619" s="76"/>
      <c r="CR1619" s="76">
        <f>+CQ1619*49000</f>
        <v>0</v>
      </c>
      <c r="CS1619" s="76"/>
      <c r="CT1619" s="76"/>
      <c r="CU1619" s="56">
        <f>AN1619+AP1619+AR1619+AT1619+AV1619+AX1619+AZ1619+BB1619+BD1619+BF1619+BH1619+BJ1619+BL1619+BN1619+BP1619+BR1619+BT1619+BV1619+BX1619+BZ1619+CB1619+CD1619+CF1619+CH1619+CJ1619+CL1619+CN1619+CP1619+CR1619+CT1619</f>
        <v>0</v>
      </c>
      <c r="CV1619" s="76"/>
      <c r="CW1619" s="76">
        <f>+CV1619*1100</f>
        <v>0</v>
      </c>
      <c r="CX1619" s="76"/>
      <c r="CY1619" s="76">
        <f>+CX1619*106250</f>
        <v>0</v>
      </c>
      <c r="CZ1619" s="76"/>
      <c r="DA1619" s="76">
        <f>+CZ1619*34500</f>
        <v>0</v>
      </c>
      <c r="DB1619" s="76"/>
      <c r="DC1619" s="76">
        <f>+DB1619*25000</f>
        <v>0</v>
      </c>
      <c r="DD1619" s="219"/>
      <c r="DE1619" s="219"/>
      <c r="DF1619" s="166"/>
      <c r="DG1619" s="116"/>
      <c r="DH1619" s="117"/>
      <c r="DI1619" s="24"/>
      <c r="DJ1619" s="24"/>
      <c r="DK1619" s="24"/>
      <c r="DL1619" s="24"/>
      <c r="DM1619" s="24"/>
      <c r="DN1619" s="24"/>
      <c r="DO1619" s="24"/>
      <c r="DP1619" s="24"/>
      <c r="DQ1619" s="24"/>
      <c r="DR1619" s="24"/>
      <c r="DS1619" s="24"/>
      <c r="DT1619" s="24"/>
      <c r="DU1619" s="24"/>
    </row>
    <row r="1620" spans="1:125" s="152" customFormat="1" ht="48" x14ac:dyDescent="0.2">
      <c r="A1620" s="353">
        <v>41392</v>
      </c>
      <c r="B1620" s="225" t="s">
        <v>2661</v>
      </c>
      <c r="C1620" s="227" t="s">
        <v>366</v>
      </c>
      <c r="D1620" s="227" t="s">
        <v>3425</v>
      </c>
      <c r="E1620" s="75" t="str">
        <f>VLOOKUP(B1620&amp;C1620,Divipola!$C$2:$F$1138,4,FALSE)</f>
        <v>41548</v>
      </c>
      <c r="F1620" s="87"/>
      <c r="G1620" s="87">
        <v>1</v>
      </c>
      <c r="H1620" s="87"/>
      <c r="I1620" s="87">
        <v>5</v>
      </c>
      <c r="J1620" s="87">
        <v>1</v>
      </c>
      <c r="K1620" s="87"/>
      <c r="L1620" s="87">
        <v>1</v>
      </c>
      <c r="M1620" s="87"/>
      <c r="N1620" s="87"/>
      <c r="O1620" s="87"/>
      <c r="P1620" s="87"/>
      <c r="Q1620" s="87"/>
      <c r="R1620" s="87"/>
      <c r="S1620" s="87"/>
      <c r="T1620" s="87"/>
      <c r="U1620" s="88"/>
      <c r="V1620" s="89"/>
      <c r="W1620" s="96">
        <v>0</v>
      </c>
      <c r="X1620" s="71">
        <f>CU1620</f>
        <v>0</v>
      </c>
      <c r="Y1620" s="71">
        <f>CY1620</f>
        <v>0</v>
      </c>
      <c r="Z1620" s="71">
        <f>DA1620+DC1620+DE1620</f>
        <v>0</v>
      </c>
      <c r="AA1620" s="71">
        <f>CW1620</f>
        <v>0</v>
      </c>
      <c r="AB1620" s="71"/>
      <c r="AC1620" s="71">
        <v>0</v>
      </c>
      <c r="AD1620" s="71">
        <f>W1620+X1620+Y1620+Z1620+AA1620+AB1620+AC1620</f>
        <v>0</v>
      </c>
      <c r="AE1620" s="72">
        <v>0</v>
      </c>
      <c r="AF1620" s="5"/>
      <c r="AG1620" s="6"/>
      <c r="AH1620" s="27" t="s">
        <v>3392</v>
      </c>
      <c r="AI1620" s="44" t="s">
        <v>3393</v>
      </c>
      <c r="AJ1620" s="26"/>
      <c r="AK1620" s="5"/>
      <c r="AL1620" s="82" t="s">
        <v>4426</v>
      </c>
      <c r="AM1620" s="76"/>
      <c r="AN1620" s="76"/>
      <c r="AO1620" s="76"/>
      <c r="AP1620" s="76"/>
      <c r="AQ1620" s="76"/>
      <c r="AR1620" s="76"/>
      <c r="AS1620" s="76"/>
      <c r="AT1620" s="76"/>
      <c r="AU1620" s="76"/>
      <c r="AV1620" s="76"/>
      <c r="AW1620" s="76"/>
      <c r="AX1620" s="76">
        <f>+AW1620*600000</f>
        <v>0</v>
      </c>
      <c r="AY1620" s="76"/>
      <c r="AZ1620" s="76">
        <f>+AY1620*70000</f>
        <v>0</v>
      </c>
      <c r="BA1620" s="76"/>
      <c r="BB1620" s="76"/>
      <c r="BC1620" s="76"/>
      <c r="BD1620" s="76">
        <f>+BC1620*30000</f>
        <v>0</v>
      </c>
      <c r="BE1620" s="76"/>
      <c r="BF1620" s="76"/>
      <c r="BG1620" s="76"/>
      <c r="BH1620" s="76"/>
      <c r="BI1620" s="76"/>
      <c r="BJ1620" s="76"/>
      <c r="BK1620" s="76"/>
      <c r="BL1620" s="76">
        <f>+BK1620*31500</f>
        <v>0</v>
      </c>
      <c r="BM1620" s="76"/>
      <c r="BN1620" s="76"/>
      <c r="BO1620" s="76"/>
      <c r="BP1620" s="76"/>
      <c r="BQ1620" s="76"/>
      <c r="BR1620" s="76"/>
      <c r="BS1620" s="76"/>
      <c r="BT1620" s="76"/>
      <c r="BU1620" s="76"/>
      <c r="BV1620" s="76"/>
      <c r="BW1620" s="76"/>
      <c r="BX1620" s="76"/>
      <c r="BY1620" s="76"/>
      <c r="BZ1620" s="76"/>
      <c r="CA1620" s="76"/>
      <c r="CB1620" s="76"/>
      <c r="CC1620" s="76"/>
      <c r="CD1620" s="76"/>
      <c r="CE1620" s="76"/>
      <c r="CF1620" s="76">
        <f>+CE1620*28000</f>
        <v>0</v>
      </c>
      <c r="CG1620" s="76"/>
      <c r="CH1620" s="76">
        <f>+CG1620*22500</f>
        <v>0</v>
      </c>
      <c r="CI1620" s="76"/>
      <c r="CJ1620" s="76">
        <f>+CI1620*26000</f>
        <v>0</v>
      </c>
      <c r="CK1620" s="76"/>
      <c r="CL1620" s="76"/>
      <c r="CM1620" s="76"/>
      <c r="CN1620" s="76">
        <f>+CM1620*22000</f>
        <v>0</v>
      </c>
      <c r="CO1620" s="76"/>
      <c r="CP1620" s="76">
        <f>+CO1620*46000</f>
        <v>0</v>
      </c>
      <c r="CQ1620" s="76"/>
      <c r="CR1620" s="76">
        <f>+CQ1620*49000</f>
        <v>0</v>
      </c>
      <c r="CS1620" s="76"/>
      <c r="CT1620" s="76"/>
      <c r="CU1620" s="56">
        <f>AN1620+AP1620+AR1620+AT1620+AV1620+AX1620+AZ1620+BB1620+BD1620+BF1620+BH1620+BJ1620+BL1620+BN1620+BP1620+BR1620+BT1620+BV1620+BX1620+BZ1620+CB1620+CD1620+CF1620+CH1620+CJ1620+CL1620+CN1620+CP1620+CR1620+CT1620</f>
        <v>0</v>
      </c>
      <c r="CV1620" s="76"/>
      <c r="CW1620" s="76">
        <f>+CV1620*1100</f>
        <v>0</v>
      </c>
      <c r="CX1620" s="76"/>
      <c r="CY1620" s="76">
        <f>+CX1620*106250</f>
        <v>0</v>
      </c>
      <c r="CZ1620" s="76"/>
      <c r="DA1620" s="76">
        <f>+CZ1620*34500</f>
        <v>0</v>
      </c>
      <c r="DB1620" s="76"/>
      <c r="DC1620" s="76">
        <f>+DB1620*25000</f>
        <v>0</v>
      </c>
      <c r="DD1620" s="219"/>
      <c r="DE1620" s="219"/>
      <c r="DF1620" s="166"/>
      <c r="DG1620" s="116"/>
      <c r="DH1620" s="117"/>
      <c r="DI1620" s="151"/>
      <c r="DJ1620" s="151"/>
      <c r="DK1620" s="151"/>
      <c r="DL1620" s="151"/>
      <c r="DM1620" s="151"/>
      <c r="DN1620" s="151"/>
      <c r="DO1620" s="151"/>
      <c r="DP1620" s="151"/>
      <c r="DQ1620" s="151"/>
      <c r="DR1620" s="151"/>
      <c r="DS1620" s="151"/>
      <c r="DT1620" s="151"/>
      <c r="DU1620" s="151"/>
    </row>
    <row r="1621" spans="1:125" s="8" customFormat="1" ht="36" x14ac:dyDescent="0.2">
      <c r="A1621" s="353">
        <v>41392</v>
      </c>
      <c r="B1621" s="225" t="s">
        <v>2661</v>
      </c>
      <c r="C1621" s="227" t="s">
        <v>2105</v>
      </c>
      <c r="D1621" s="227" t="s">
        <v>2882</v>
      </c>
      <c r="E1621" s="75" t="str">
        <f>VLOOKUP(B1621&amp;C1621,Divipola!$C$2:$F$1138,4,FALSE)</f>
        <v>41615</v>
      </c>
      <c r="F1621" s="87"/>
      <c r="G1621" s="87"/>
      <c r="H1621" s="87"/>
      <c r="I1621" s="87">
        <v>20</v>
      </c>
      <c r="J1621" s="87">
        <v>4</v>
      </c>
      <c r="K1621" s="87"/>
      <c r="L1621" s="87">
        <v>4</v>
      </c>
      <c r="M1621" s="87"/>
      <c r="N1621" s="87"/>
      <c r="O1621" s="87"/>
      <c r="P1621" s="87"/>
      <c r="Q1621" s="87"/>
      <c r="R1621" s="87"/>
      <c r="S1621" s="87"/>
      <c r="T1621" s="87"/>
      <c r="U1621" s="88"/>
      <c r="V1621" s="89"/>
      <c r="W1621" s="96">
        <v>0</v>
      </c>
      <c r="X1621" s="71">
        <f>CU1621</f>
        <v>0</v>
      </c>
      <c r="Y1621" s="71">
        <f>CY1621</f>
        <v>0</v>
      </c>
      <c r="Z1621" s="71">
        <f>DA1621+DC1621+DE1621</f>
        <v>0</v>
      </c>
      <c r="AA1621" s="71">
        <f>CW1621</f>
        <v>0</v>
      </c>
      <c r="AB1621" s="71"/>
      <c r="AC1621" s="71">
        <v>0</v>
      </c>
      <c r="AD1621" s="71">
        <f>W1621+X1621+Y1621+Z1621+AA1621+AB1621+AC1621</f>
        <v>0</v>
      </c>
      <c r="AE1621" s="72">
        <v>0</v>
      </c>
      <c r="AF1621" s="5"/>
      <c r="AG1621" s="6"/>
      <c r="AH1621" s="27" t="s">
        <v>3392</v>
      </c>
      <c r="AI1621" s="44" t="s">
        <v>3393</v>
      </c>
      <c r="AJ1621" s="26"/>
      <c r="AK1621" s="5"/>
      <c r="AL1621" s="82" t="s">
        <v>4425</v>
      </c>
      <c r="AM1621" s="76"/>
      <c r="AN1621" s="76"/>
      <c r="AO1621" s="76"/>
      <c r="AP1621" s="76"/>
      <c r="AQ1621" s="76"/>
      <c r="AR1621" s="76"/>
      <c r="AS1621" s="76"/>
      <c r="AT1621" s="76"/>
      <c r="AU1621" s="76"/>
      <c r="AV1621" s="76"/>
      <c r="AW1621" s="76"/>
      <c r="AX1621" s="76">
        <f>+AW1621*600000</f>
        <v>0</v>
      </c>
      <c r="AY1621" s="76"/>
      <c r="AZ1621" s="76">
        <f>+AY1621*70000</f>
        <v>0</v>
      </c>
      <c r="BA1621" s="76"/>
      <c r="BB1621" s="76"/>
      <c r="BC1621" s="76"/>
      <c r="BD1621" s="76">
        <f>+BC1621*30000</f>
        <v>0</v>
      </c>
      <c r="BE1621" s="76"/>
      <c r="BF1621" s="76"/>
      <c r="BG1621" s="76"/>
      <c r="BH1621" s="76"/>
      <c r="BI1621" s="76"/>
      <c r="BJ1621" s="76"/>
      <c r="BK1621" s="76"/>
      <c r="BL1621" s="76">
        <f>+BK1621*31500</f>
        <v>0</v>
      </c>
      <c r="BM1621" s="76"/>
      <c r="BN1621" s="76"/>
      <c r="BO1621" s="76"/>
      <c r="BP1621" s="76"/>
      <c r="BQ1621" s="76"/>
      <c r="BR1621" s="76"/>
      <c r="BS1621" s="76"/>
      <c r="BT1621" s="76"/>
      <c r="BU1621" s="76"/>
      <c r="BV1621" s="76"/>
      <c r="BW1621" s="76"/>
      <c r="BX1621" s="76"/>
      <c r="BY1621" s="76"/>
      <c r="BZ1621" s="76"/>
      <c r="CA1621" s="76"/>
      <c r="CB1621" s="76"/>
      <c r="CC1621" s="76"/>
      <c r="CD1621" s="76"/>
      <c r="CE1621" s="76"/>
      <c r="CF1621" s="76">
        <f>+CE1621*28000</f>
        <v>0</v>
      </c>
      <c r="CG1621" s="76"/>
      <c r="CH1621" s="76">
        <f>+CG1621*22500</f>
        <v>0</v>
      </c>
      <c r="CI1621" s="76"/>
      <c r="CJ1621" s="76">
        <f>+CI1621*26000</f>
        <v>0</v>
      </c>
      <c r="CK1621" s="76"/>
      <c r="CL1621" s="76"/>
      <c r="CM1621" s="76"/>
      <c r="CN1621" s="76">
        <f>+CM1621*22000</f>
        <v>0</v>
      </c>
      <c r="CO1621" s="76"/>
      <c r="CP1621" s="76">
        <f>+CO1621*46000</f>
        <v>0</v>
      </c>
      <c r="CQ1621" s="76"/>
      <c r="CR1621" s="76">
        <f>+CQ1621*49000</f>
        <v>0</v>
      </c>
      <c r="CS1621" s="76"/>
      <c r="CT1621" s="76"/>
      <c r="CU1621" s="56">
        <f>AN1621+AP1621+AR1621+AT1621+AV1621+AX1621+AZ1621+BB1621+BD1621+BF1621+BH1621+BJ1621+BL1621+BN1621+BP1621+BR1621+BT1621+BV1621+BX1621+BZ1621+CB1621+CD1621+CF1621+CH1621+CJ1621+CL1621+CN1621+CP1621+CR1621+CT1621</f>
        <v>0</v>
      </c>
      <c r="CV1621" s="76"/>
      <c r="CW1621" s="76">
        <f>+CV1621*1100</f>
        <v>0</v>
      </c>
      <c r="CX1621" s="76"/>
      <c r="CY1621" s="76">
        <f>+CX1621*106250</f>
        <v>0</v>
      </c>
      <c r="CZ1621" s="76"/>
      <c r="DA1621" s="76">
        <f>+CZ1621*34500</f>
        <v>0</v>
      </c>
      <c r="DB1621" s="76"/>
      <c r="DC1621" s="76">
        <f>+DB1621*25000</f>
        <v>0</v>
      </c>
      <c r="DD1621" s="219"/>
      <c r="DE1621" s="219"/>
      <c r="DF1621" s="166"/>
      <c r="DG1621" s="116"/>
      <c r="DH1621" s="117"/>
      <c r="DI1621" s="24"/>
      <c r="DJ1621" s="24"/>
      <c r="DK1621" s="24"/>
      <c r="DL1621" s="24"/>
      <c r="DM1621" s="24"/>
      <c r="DN1621" s="24"/>
      <c r="DO1621" s="24"/>
      <c r="DP1621" s="24"/>
      <c r="DQ1621" s="24"/>
      <c r="DR1621" s="24"/>
      <c r="DS1621" s="24"/>
      <c r="DT1621" s="24"/>
      <c r="DU1621" s="24"/>
    </row>
    <row r="1622" spans="1:125" s="8" customFormat="1" ht="96" x14ac:dyDescent="0.2">
      <c r="A1622" s="353">
        <v>41392</v>
      </c>
      <c r="B1622" s="208" t="s">
        <v>506</v>
      </c>
      <c r="C1622" s="227" t="s">
        <v>1697</v>
      </c>
      <c r="D1622" s="75" t="s">
        <v>3051</v>
      </c>
      <c r="E1622" s="75" t="str">
        <f>VLOOKUP(B1622&amp;C1622,Divipola!$C$2:$F$1138,4,FALSE)</f>
        <v>50001</v>
      </c>
      <c r="F1622" s="87"/>
      <c r="G1622" s="87"/>
      <c r="H1622" s="87"/>
      <c r="I1622" s="87">
        <v>3360</v>
      </c>
      <c r="J1622" s="87">
        <v>747</v>
      </c>
      <c r="K1622" s="87"/>
      <c r="L1622" s="87"/>
      <c r="M1622" s="87"/>
      <c r="N1622" s="87"/>
      <c r="O1622" s="87"/>
      <c r="P1622" s="87"/>
      <c r="Q1622" s="87"/>
      <c r="R1622" s="87"/>
      <c r="S1622" s="87"/>
      <c r="T1622" s="87"/>
      <c r="U1622" s="88"/>
      <c r="V1622" s="135"/>
      <c r="W1622" s="139">
        <v>0</v>
      </c>
      <c r="X1622" s="140">
        <f>CU1622</f>
        <v>262796724</v>
      </c>
      <c r="Y1622" s="140">
        <f>CY1622</f>
        <v>95096952</v>
      </c>
      <c r="Z1622" s="140">
        <f>DA1622+DC1622+DE1622</f>
        <v>25671105.039999999</v>
      </c>
      <c r="AA1622" s="140">
        <f>CW1622</f>
        <v>0</v>
      </c>
      <c r="AB1622" s="140"/>
      <c r="AC1622" s="140">
        <v>0</v>
      </c>
      <c r="AD1622" s="140">
        <f>W1622+X1622+Y1622+Z1622+AA1622+AB1622+AC1622</f>
        <v>383564781.04000002</v>
      </c>
      <c r="AE1622" s="141">
        <v>0</v>
      </c>
      <c r="AF1622" s="142"/>
      <c r="AG1622" s="143"/>
      <c r="AH1622" s="144" t="s">
        <v>3390</v>
      </c>
      <c r="AI1622" s="145" t="s">
        <v>3391</v>
      </c>
      <c r="AJ1622" s="146"/>
      <c r="AK1622" s="142"/>
      <c r="AL1622" s="280" t="s">
        <v>4466</v>
      </c>
      <c r="AM1622" s="147"/>
      <c r="AN1622" s="147"/>
      <c r="AO1622" s="147"/>
      <c r="AP1622" s="147"/>
      <c r="AQ1622" s="147"/>
      <c r="AR1622" s="147"/>
      <c r="AS1622" s="147"/>
      <c r="AT1622" s="147"/>
      <c r="AU1622" s="147"/>
      <c r="AV1622" s="147"/>
      <c r="AW1622" s="147"/>
      <c r="AX1622" s="147">
        <f>+AW1622*600000</f>
        <v>0</v>
      </c>
      <c r="AY1622" s="281">
        <v>1800</v>
      </c>
      <c r="AZ1622" s="281">
        <f>+AY1622*70000.2</f>
        <v>126000360</v>
      </c>
      <c r="BA1622" s="147"/>
      <c r="BB1622" s="147"/>
      <c r="BC1622" s="147"/>
      <c r="BD1622" s="147">
        <f>+BC1622*30000</f>
        <v>0</v>
      </c>
      <c r="BE1622" s="147"/>
      <c r="BF1622" s="147"/>
      <c r="BG1622" s="147"/>
      <c r="BH1622" s="147"/>
      <c r="BI1622" s="147"/>
      <c r="BJ1622" s="147"/>
      <c r="BK1622" s="147"/>
      <c r="BL1622" s="147">
        <f>+BK1622*31500</f>
        <v>0</v>
      </c>
      <c r="BM1622" s="147"/>
      <c r="BN1622" s="147"/>
      <c r="BO1622" s="147"/>
      <c r="BP1622" s="147"/>
      <c r="BQ1622" s="147"/>
      <c r="BR1622" s="147"/>
      <c r="BS1622" s="147"/>
      <c r="BT1622" s="147"/>
      <c r="BU1622" s="147"/>
      <c r="BV1622" s="147"/>
      <c r="BW1622" s="147"/>
      <c r="BX1622" s="147"/>
      <c r="BY1622" s="147"/>
      <c r="BZ1622" s="147"/>
      <c r="CA1622" s="147"/>
      <c r="CB1622" s="147"/>
      <c r="CC1622" s="147"/>
      <c r="CD1622" s="147"/>
      <c r="CE1622" s="147"/>
      <c r="CF1622" s="147">
        <f>+CE1622*28000</f>
        <v>0</v>
      </c>
      <c r="CG1622" s="147"/>
      <c r="CH1622" s="147">
        <f>+CG1622*22500</f>
        <v>0</v>
      </c>
      <c r="CI1622" s="281">
        <v>1800</v>
      </c>
      <c r="CJ1622" s="281">
        <f>+CI1622*25999.08</f>
        <v>46798344</v>
      </c>
      <c r="CK1622" s="147"/>
      <c r="CL1622" s="147"/>
      <c r="CM1622" s="147"/>
      <c r="CN1622" s="147">
        <f>+CM1622*22000</f>
        <v>0</v>
      </c>
      <c r="CO1622" s="281">
        <v>900</v>
      </c>
      <c r="CP1622" s="281">
        <f>+CO1622*45999.8</f>
        <v>41399820</v>
      </c>
      <c r="CQ1622" s="281">
        <v>900</v>
      </c>
      <c r="CR1622" s="281">
        <f>+CQ1622*53998</f>
        <v>48598200</v>
      </c>
      <c r="CS1622" s="147"/>
      <c r="CT1622" s="147"/>
      <c r="CU1622" s="148">
        <f>AN1622+AP1622+AR1622+AT1622+AV1622+AX1622+AZ1622+BB1622+BD1622+BF1622+BH1622+BJ1622+BL1622+BN1622+BP1622+BR1622+BT1622+BV1622+BX1622+BZ1622+CB1622+CD1622+CF1622+CH1622+CJ1622+CL1622+CN1622+CP1622+CR1622+CT1622</f>
        <v>262796724</v>
      </c>
      <c r="CV1622" s="147"/>
      <c r="CW1622" s="147">
        <f>+CV1622*1100</f>
        <v>0</v>
      </c>
      <c r="CX1622" s="281">
        <v>900</v>
      </c>
      <c r="CY1622" s="281">
        <f>+CX1622*105663.28</f>
        <v>95096952</v>
      </c>
      <c r="CZ1622" s="281">
        <v>126</v>
      </c>
      <c r="DA1622" s="281">
        <f>+CZ1622*34449.68</f>
        <v>4340659.68</v>
      </c>
      <c r="DB1622" s="281">
        <v>196</v>
      </c>
      <c r="DC1622" s="281">
        <f>54*31999.76+142*30999.84</f>
        <v>6129964.3200000003</v>
      </c>
      <c r="DD1622" s="322" t="s">
        <v>5514</v>
      </c>
      <c r="DE1622" s="323">
        <f>110*22099.16+320*14999.96+18*148199.28+2*265999.6+2650*1800</f>
        <v>15200481.039999999</v>
      </c>
      <c r="DF1622" s="282"/>
      <c r="DG1622" s="321" t="s">
        <v>6035</v>
      </c>
      <c r="DH1622" s="150"/>
      <c r="DI1622" s="24"/>
      <c r="DJ1622" s="24"/>
      <c r="DK1622" s="24"/>
      <c r="DL1622" s="24"/>
      <c r="DM1622" s="24"/>
      <c r="DN1622" s="24"/>
      <c r="DO1622" s="24"/>
      <c r="DP1622" s="24"/>
      <c r="DQ1622" s="24"/>
      <c r="DR1622" s="24"/>
      <c r="DS1622" s="24"/>
      <c r="DT1622" s="24"/>
      <c r="DU1622" s="24"/>
    </row>
    <row r="1623" spans="1:125" s="8" customFormat="1" ht="48" x14ac:dyDescent="0.2">
      <c r="A1623" s="353">
        <v>41392</v>
      </c>
      <c r="B1623" s="225" t="s">
        <v>2860</v>
      </c>
      <c r="C1623" s="227" t="s">
        <v>2776</v>
      </c>
      <c r="D1623" s="227" t="s">
        <v>2859</v>
      </c>
      <c r="E1623" s="75" t="str">
        <f>VLOOKUP(B1623&amp;C1623,Divipola!$C$2:$F$1138,4,FALSE)</f>
        <v>63001</v>
      </c>
      <c r="F1623" s="87"/>
      <c r="G1623" s="87"/>
      <c r="H1623" s="87"/>
      <c r="I1623" s="87">
        <v>18</v>
      </c>
      <c r="J1623" s="87">
        <v>6</v>
      </c>
      <c r="K1623" s="87">
        <v>2</v>
      </c>
      <c r="L1623" s="87">
        <v>1</v>
      </c>
      <c r="M1623" s="87"/>
      <c r="N1623" s="87"/>
      <c r="O1623" s="87"/>
      <c r="P1623" s="87"/>
      <c r="Q1623" s="87"/>
      <c r="R1623" s="87"/>
      <c r="S1623" s="87"/>
      <c r="T1623" s="87"/>
      <c r="U1623" s="88"/>
      <c r="V1623" s="89"/>
      <c r="W1623" s="96">
        <v>0</v>
      </c>
      <c r="X1623" s="71">
        <f>CU1623</f>
        <v>0</v>
      </c>
      <c r="Y1623" s="71">
        <f>CY1623</f>
        <v>0</v>
      </c>
      <c r="Z1623" s="71">
        <f>DA1623+DC1623+DE1623</f>
        <v>0</v>
      </c>
      <c r="AA1623" s="71">
        <f>CW1623</f>
        <v>0</v>
      </c>
      <c r="AB1623" s="71"/>
      <c r="AC1623" s="71">
        <v>0</v>
      </c>
      <c r="AD1623" s="71">
        <f>W1623+X1623+Y1623+Z1623+AA1623+AB1623+AC1623</f>
        <v>0</v>
      </c>
      <c r="AE1623" s="72">
        <v>0</v>
      </c>
      <c r="AF1623" s="5"/>
      <c r="AG1623" s="6"/>
      <c r="AH1623" s="27" t="s">
        <v>3392</v>
      </c>
      <c r="AI1623" s="44" t="s">
        <v>3393</v>
      </c>
      <c r="AJ1623" s="26"/>
      <c r="AK1623" s="5"/>
      <c r="AL1623" s="82" t="s">
        <v>4422</v>
      </c>
      <c r="AM1623" s="76"/>
      <c r="AN1623" s="76"/>
      <c r="AO1623" s="76"/>
      <c r="AP1623" s="76"/>
      <c r="AQ1623" s="76"/>
      <c r="AR1623" s="76"/>
      <c r="AS1623" s="76"/>
      <c r="AT1623" s="76"/>
      <c r="AU1623" s="76"/>
      <c r="AV1623" s="76"/>
      <c r="AW1623" s="76"/>
      <c r="AX1623" s="76">
        <f>+AW1623*600000</f>
        <v>0</v>
      </c>
      <c r="AY1623" s="76"/>
      <c r="AZ1623" s="76">
        <f>+AY1623*70000</f>
        <v>0</v>
      </c>
      <c r="BA1623" s="76"/>
      <c r="BB1623" s="76"/>
      <c r="BC1623" s="76"/>
      <c r="BD1623" s="76">
        <f>+BC1623*30000</f>
        <v>0</v>
      </c>
      <c r="BE1623" s="76"/>
      <c r="BF1623" s="76"/>
      <c r="BG1623" s="76"/>
      <c r="BH1623" s="76"/>
      <c r="BI1623" s="76"/>
      <c r="BJ1623" s="76"/>
      <c r="BK1623" s="76"/>
      <c r="BL1623" s="76">
        <f>+BK1623*31500</f>
        <v>0</v>
      </c>
      <c r="BM1623" s="76"/>
      <c r="BN1623" s="76"/>
      <c r="BO1623" s="76"/>
      <c r="BP1623" s="76"/>
      <c r="BQ1623" s="76"/>
      <c r="BR1623" s="76"/>
      <c r="BS1623" s="76"/>
      <c r="BT1623" s="76"/>
      <c r="BU1623" s="76"/>
      <c r="BV1623" s="76"/>
      <c r="BW1623" s="76"/>
      <c r="BX1623" s="76"/>
      <c r="BY1623" s="76"/>
      <c r="BZ1623" s="76"/>
      <c r="CA1623" s="76"/>
      <c r="CB1623" s="76"/>
      <c r="CC1623" s="76"/>
      <c r="CD1623" s="76"/>
      <c r="CE1623" s="76"/>
      <c r="CF1623" s="76">
        <f>+CE1623*28000</f>
        <v>0</v>
      </c>
      <c r="CG1623" s="76"/>
      <c r="CH1623" s="76">
        <f>+CG1623*22500</f>
        <v>0</v>
      </c>
      <c r="CI1623" s="76"/>
      <c r="CJ1623" s="76">
        <f>+CI1623*26000</f>
        <v>0</v>
      </c>
      <c r="CK1623" s="76"/>
      <c r="CL1623" s="76"/>
      <c r="CM1623" s="76"/>
      <c r="CN1623" s="76">
        <f>+CM1623*22000</f>
        <v>0</v>
      </c>
      <c r="CO1623" s="76"/>
      <c r="CP1623" s="76">
        <f>+CO1623*46000</f>
        <v>0</v>
      </c>
      <c r="CQ1623" s="76"/>
      <c r="CR1623" s="76">
        <f>+CQ1623*49000</f>
        <v>0</v>
      </c>
      <c r="CS1623" s="76"/>
      <c r="CT1623" s="76"/>
      <c r="CU1623" s="56">
        <f>AN1623+AP1623+AR1623+AT1623+AV1623+AX1623+AZ1623+BB1623+BD1623+BF1623+BH1623+BJ1623+BL1623+BN1623+BP1623+BR1623+BT1623+BV1623+BX1623+BZ1623+CB1623+CD1623+CF1623+CH1623+CJ1623+CL1623+CN1623+CP1623+CR1623+CT1623</f>
        <v>0</v>
      </c>
      <c r="CV1623" s="76"/>
      <c r="CW1623" s="76">
        <f>+CV1623*1100</f>
        <v>0</v>
      </c>
      <c r="CX1623" s="76"/>
      <c r="CY1623" s="76">
        <f>+CX1623*106250</f>
        <v>0</v>
      </c>
      <c r="CZ1623" s="76"/>
      <c r="DA1623" s="76">
        <f>+CZ1623*34500</f>
        <v>0</v>
      </c>
      <c r="DB1623" s="76"/>
      <c r="DC1623" s="76">
        <f>+DB1623*25000</f>
        <v>0</v>
      </c>
      <c r="DD1623" s="219"/>
      <c r="DE1623" s="219"/>
      <c r="DF1623" s="166"/>
      <c r="DG1623" s="116"/>
      <c r="DH1623" s="117"/>
      <c r="DI1623" s="24"/>
      <c r="DJ1623" s="24"/>
      <c r="DK1623" s="24"/>
      <c r="DL1623" s="24"/>
      <c r="DM1623" s="24"/>
      <c r="DN1623" s="24"/>
      <c r="DO1623" s="24"/>
      <c r="DP1623" s="24"/>
      <c r="DQ1623" s="24"/>
      <c r="DR1623" s="24"/>
      <c r="DS1623" s="24"/>
      <c r="DT1623" s="24"/>
      <c r="DU1623" s="24"/>
    </row>
    <row r="1624" spans="1:125" s="8" customFormat="1" ht="108" x14ac:dyDescent="0.2">
      <c r="A1624" s="77">
        <v>41392</v>
      </c>
      <c r="B1624" s="78" t="s">
        <v>2848</v>
      </c>
      <c r="C1624" s="75" t="s">
        <v>1258</v>
      </c>
      <c r="D1624" s="75" t="s">
        <v>2882</v>
      </c>
      <c r="E1624" s="75" t="str">
        <f>VLOOKUP(B1624&amp;C1624,Divipola!$C$2:$F$1138,4,FALSE)</f>
        <v>73870</v>
      </c>
      <c r="F1624" s="87"/>
      <c r="G1624" s="87"/>
      <c r="H1624" s="87"/>
      <c r="I1624" s="87">
        <v>85</v>
      </c>
      <c r="J1624" s="87">
        <v>17</v>
      </c>
      <c r="K1624" s="87">
        <v>2</v>
      </c>
      <c r="L1624" s="87">
        <v>15</v>
      </c>
      <c r="M1624" s="87"/>
      <c r="N1624" s="87"/>
      <c r="O1624" s="87"/>
      <c r="P1624" s="87"/>
      <c r="Q1624" s="87"/>
      <c r="R1624" s="87"/>
      <c r="S1624" s="87"/>
      <c r="T1624" s="87"/>
      <c r="U1624" s="88"/>
      <c r="V1624" s="89"/>
      <c r="W1624" s="96">
        <v>0</v>
      </c>
      <c r="X1624" s="71">
        <f>CU1624</f>
        <v>13945812.319999998</v>
      </c>
      <c r="Y1624" s="71">
        <f>CY1624</f>
        <v>7361060</v>
      </c>
      <c r="Z1624" s="71">
        <f>DA1624+DC1624+DE1624</f>
        <v>28318525.52</v>
      </c>
      <c r="AA1624" s="71">
        <f>CW1624</f>
        <v>0</v>
      </c>
      <c r="AB1624" s="71"/>
      <c r="AC1624" s="71">
        <v>0</v>
      </c>
      <c r="AD1624" s="71">
        <f>W1624+X1624+Y1624+Z1624+AA1624+AB1624+AC1624</f>
        <v>49625397.840000004</v>
      </c>
      <c r="AE1624" s="72">
        <v>0</v>
      </c>
      <c r="AF1624" s="5"/>
      <c r="AG1624" s="6"/>
      <c r="AH1624" s="27" t="s">
        <v>3390</v>
      </c>
      <c r="AI1624" s="44" t="s">
        <v>3391</v>
      </c>
      <c r="AJ1624" s="26"/>
      <c r="AK1624" s="5"/>
      <c r="AL1624" s="82" t="s">
        <v>4421</v>
      </c>
      <c r="AM1624" s="76"/>
      <c r="AN1624" s="76"/>
      <c r="AO1624" s="76"/>
      <c r="AP1624" s="76"/>
      <c r="AQ1624" s="76"/>
      <c r="AR1624" s="76"/>
      <c r="AS1624" s="76"/>
      <c r="AT1624" s="76"/>
      <c r="AU1624" s="76"/>
      <c r="AV1624" s="76"/>
      <c r="AW1624" s="76"/>
      <c r="AX1624" s="76">
        <f>+AW1624*600000</f>
        <v>0</v>
      </c>
      <c r="AY1624" s="86">
        <v>76</v>
      </c>
      <c r="AZ1624" s="86">
        <f>+AY1624*69999.04</f>
        <v>5319927.0399999991</v>
      </c>
      <c r="BA1624" s="76"/>
      <c r="BB1624" s="76"/>
      <c r="BC1624" s="76"/>
      <c r="BD1624" s="76">
        <f>+BC1624*30000</f>
        <v>0</v>
      </c>
      <c r="BE1624" s="76"/>
      <c r="BF1624" s="76"/>
      <c r="BG1624" s="76"/>
      <c r="BH1624" s="76"/>
      <c r="BI1624" s="76"/>
      <c r="BJ1624" s="76"/>
      <c r="BK1624" s="76"/>
      <c r="BL1624" s="76">
        <f>+BK1624*31500</f>
        <v>0</v>
      </c>
      <c r="BM1624" s="76"/>
      <c r="BN1624" s="76"/>
      <c r="BO1624" s="76"/>
      <c r="BP1624" s="76"/>
      <c r="BQ1624" s="76"/>
      <c r="BR1624" s="76"/>
      <c r="BS1624" s="76"/>
      <c r="BT1624" s="76"/>
      <c r="BU1624" s="76"/>
      <c r="BV1624" s="76"/>
      <c r="BW1624" s="76"/>
      <c r="BX1624" s="76"/>
      <c r="BY1624" s="76"/>
      <c r="BZ1624" s="76"/>
      <c r="CA1624" s="76"/>
      <c r="CB1624" s="76"/>
      <c r="CC1624" s="76"/>
      <c r="CD1624" s="76"/>
      <c r="CE1624" s="76"/>
      <c r="CF1624" s="76">
        <f>+CE1624*28000</f>
        <v>0</v>
      </c>
      <c r="CG1624" s="76"/>
      <c r="CH1624" s="76">
        <f>+CG1624*22500</f>
        <v>0</v>
      </c>
      <c r="CI1624" s="86">
        <v>76</v>
      </c>
      <c r="CJ1624" s="86">
        <f>+CI1624*25999.08</f>
        <v>1975930.08</v>
      </c>
      <c r="CK1624" s="76"/>
      <c r="CL1624" s="76"/>
      <c r="CM1624" s="76"/>
      <c r="CN1624" s="76">
        <f>+CM1624*22000</f>
        <v>0</v>
      </c>
      <c r="CO1624" s="86">
        <v>70</v>
      </c>
      <c r="CP1624" s="86">
        <f>+CO1624*45999.8</f>
        <v>3219986</v>
      </c>
      <c r="CQ1624" s="86">
        <v>70</v>
      </c>
      <c r="CR1624" s="86">
        <f>+CQ1624*48999.56</f>
        <v>3429969.1999999997</v>
      </c>
      <c r="CS1624" s="76"/>
      <c r="CT1624" s="76"/>
      <c r="CU1624" s="56">
        <f>AN1624+AP1624+AR1624+AT1624+AV1624+AX1624+AZ1624+BB1624+BD1624+BF1624+BH1624+BJ1624+BL1624+BN1624+BP1624+BR1624+BT1624+BV1624+BX1624+BZ1624+CB1624+CD1624+CF1624+CH1624+CJ1624+CL1624+CN1624+CP1624+CR1624+CT1624</f>
        <v>13945812.319999998</v>
      </c>
      <c r="CV1624" s="76"/>
      <c r="CW1624" s="76">
        <f>+CV1624*1100</f>
        <v>0</v>
      </c>
      <c r="CX1624" s="86">
        <v>70</v>
      </c>
      <c r="CY1624" s="86">
        <f>+CX1624*105158</f>
        <v>7361060</v>
      </c>
      <c r="CZ1624" s="86">
        <v>17</v>
      </c>
      <c r="DA1624" s="86">
        <f>+CZ1624*34499.56</f>
        <v>586492.52</v>
      </c>
      <c r="DB1624" s="86">
        <v>1075</v>
      </c>
      <c r="DC1624" s="86">
        <f>+DB1624*24999.16+4300*199.52</f>
        <v>27732033</v>
      </c>
      <c r="DD1624" s="219"/>
      <c r="DE1624" s="219"/>
      <c r="DF1624" s="166"/>
      <c r="DG1624" s="134" t="s">
        <v>5151</v>
      </c>
      <c r="DH1624" s="117"/>
      <c r="DI1624" s="24"/>
      <c r="DJ1624" s="24"/>
      <c r="DK1624" s="24"/>
      <c r="DL1624" s="24"/>
      <c r="DM1624" s="24"/>
      <c r="DN1624" s="24"/>
      <c r="DO1624" s="24"/>
      <c r="DP1624" s="24"/>
      <c r="DQ1624" s="24"/>
      <c r="DR1624" s="24"/>
      <c r="DS1624" s="24"/>
      <c r="DT1624" s="24"/>
      <c r="DU1624" s="24"/>
    </row>
    <row r="1625" spans="1:125" s="8" customFormat="1" ht="72" x14ac:dyDescent="0.2">
      <c r="A1625" s="77">
        <v>41392</v>
      </c>
      <c r="B1625" s="78" t="s">
        <v>2847</v>
      </c>
      <c r="C1625" s="75" t="s">
        <v>1722</v>
      </c>
      <c r="D1625" s="75" t="s">
        <v>2882</v>
      </c>
      <c r="E1625" s="75" t="str">
        <f>VLOOKUP(B1625&amp;C1625,Divipola!$C$2:$F$1138,4,FALSE)</f>
        <v>68377</v>
      </c>
      <c r="F1625" s="61"/>
      <c r="G1625" s="61"/>
      <c r="H1625" s="61"/>
      <c r="I1625" s="61">
        <v>700</v>
      </c>
      <c r="J1625" s="61">
        <v>140</v>
      </c>
      <c r="K1625" s="61"/>
      <c r="L1625" s="61">
        <v>140</v>
      </c>
      <c r="M1625" s="61"/>
      <c r="N1625" s="61"/>
      <c r="O1625" s="61"/>
      <c r="P1625" s="61"/>
      <c r="Q1625" s="61"/>
      <c r="R1625" s="61"/>
      <c r="S1625" s="61"/>
      <c r="T1625" s="61"/>
      <c r="U1625" s="61"/>
      <c r="V1625" s="7"/>
      <c r="W1625" s="96">
        <v>0</v>
      </c>
      <c r="X1625" s="71">
        <f>CU1625</f>
        <v>0</v>
      </c>
      <c r="Y1625" s="71">
        <f>CY1625</f>
        <v>0</v>
      </c>
      <c r="Z1625" s="71">
        <f>DA1625+DC1625+DE1625</f>
        <v>0</v>
      </c>
      <c r="AA1625" s="71">
        <f>CW1625</f>
        <v>0</v>
      </c>
      <c r="AB1625" s="71"/>
      <c r="AC1625" s="71">
        <v>0</v>
      </c>
      <c r="AD1625" s="71">
        <f>W1625+X1625+Y1625+Z1625+AA1625+AB1625+AC1625</f>
        <v>0</v>
      </c>
      <c r="AE1625" s="72">
        <v>0</v>
      </c>
      <c r="AF1625" s="5"/>
      <c r="AG1625" s="6"/>
      <c r="AH1625" s="27" t="s">
        <v>3390</v>
      </c>
      <c r="AI1625" s="44" t="s">
        <v>3393</v>
      </c>
      <c r="AJ1625" s="26"/>
      <c r="AK1625" s="5" t="s">
        <v>6258</v>
      </c>
      <c r="AL1625" s="9" t="s">
        <v>6625</v>
      </c>
      <c r="AM1625" s="76"/>
      <c r="AN1625" s="76"/>
      <c r="AO1625" s="76"/>
      <c r="AP1625" s="76"/>
      <c r="AQ1625" s="76"/>
      <c r="AR1625" s="76"/>
      <c r="AS1625" s="76"/>
      <c r="AT1625" s="76"/>
      <c r="AU1625" s="76"/>
      <c r="AV1625" s="76"/>
      <c r="AW1625" s="76"/>
      <c r="AX1625" s="76">
        <f>+AW1625*600000</f>
        <v>0</v>
      </c>
      <c r="AY1625" s="76"/>
      <c r="AZ1625" s="76">
        <f>+AY1625*70000</f>
        <v>0</v>
      </c>
      <c r="BA1625" s="76"/>
      <c r="BB1625" s="76"/>
      <c r="BC1625" s="76"/>
      <c r="BD1625" s="76">
        <f>+BC1625*30000</f>
        <v>0</v>
      </c>
      <c r="BE1625" s="76"/>
      <c r="BF1625" s="76"/>
      <c r="BG1625" s="76"/>
      <c r="BH1625" s="76"/>
      <c r="BI1625" s="76"/>
      <c r="BJ1625" s="76"/>
      <c r="BK1625" s="76"/>
      <c r="BL1625" s="76">
        <f>+BK1625*31500</f>
        <v>0</v>
      </c>
      <c r="BM1625" s="76"/>
      <c r="BN1625" s="76"/>
      <c r="BO1625" s="76"/>
      <c r="BP1625" s="76"/>
      <c r="BQ1625" s="76"/>
      <c r="BR1625" s="76"/>
      <c r="BS1625" s="76"/>
      <c r="BT1625" s="76"/>
      <c r="BU1625" s="76"/>
      <c r="BV1625" s="76"/>
      <c r="BW1625" s="76"/>
      <c r="BX1625" s="76"/>
      <c r="BY1625" s="76"/>
      <c r="BZ1625" s="76"/>
      <c r="CA1625" s="76"/>
      <c r="CB1625" s="76"/>
      <c r="CC1625" s="76"/>
      <c r="CD1625" s="76"/>
      <c r="CE1625" s="76"/>
      <c r="CF1625" s="76">
        <f>+CE1625*28000</f>
        <v>0</v>
      </c>
      <c r="CG1625" s="76"/>
      <c r="CH1625" s="76">
        <f>+CG1625*22500</f>
        <v>0</v>
      </c>
      <c r="CI1625" s="76"/>
      <c r="CJ1625" s="76">
        <f>+CI1625*26000</f>
        <v>0</v>
      </c>
      <c r="CK1625" s="76"/>
      <c r="CL1625" s="76"/>
      <c r="CM1625" s="76"/>
      <c r="CN1625" s="76">
        <f>+CM1625*22000</f>
        <v>0</v>
      </c>
      <c r="CO1625" s="76"/>
      <c r="CP1625" s="76">
        <f>+CO1625*46000</f>
        <v>0</v>
      </c>
      <c r="CQ1625" s="76"/>
      <c r="CR1625" s="76">
        <f>+CQ1625*49000</f>
        <v>0</v>
      </c>
      <c r="CS1625" s="76"/>
      <c r="CT1625" s="76"/>
      <c r="CU1625" s="56">
        <f>AN1625+AP1625+AR1625+AT1625+AV1625+AX1625+AZ1625+BB1625+BD1625+BF1625+BH1625+BJ1625+BL1625+BN1625+BP1625+BR1625+BT1625+BV1625+BX1625+BZ1625+CB1625+CD1625+CF1625+CH1625+CJ1625+CL1625+CN1625+CP1625+CR1625+CT1625</f>
        <v>0</v>
      </c>
      <c r="CV1625" s="76"/>
      <c r="CW1625" s="76">
        <f>+CV1625*1100</f>
        <v>0</v>
      </c>
      <c r="CX1625" s="76"/>
      <c r="CY1625" s="76">
        <f>+CX1625*106250</f>
        <v>0</v>
      </c>
      <c r="CZ1625" s="76"/>
      <c r="DA1625" s="76">
        <f>+CZ1625*34500</f>
        <v>0</v>
      </c>
      <c r="DB1625" s="76"/>
      <c r="DC1625" s="76">
        <f>+DB1625*25000</f>
        <v>0</v>
      </c>
      <c r="DD1625" s="219"/>
      <c r="DE1625" s="219"/>
      <c r="DF1625" s="166"/>
      <c r="DG1625" s="116"/>
      <c r="DH1625" s="117"/>
      <c r="DI1625" s="24"/>
      <c r="DJ1625" s="24"/>
      <c r="DK1625" s="24"/>
      <c r="DL1625" s="24"/>
      <c r="DM1625" s="24"/>
      <c r="DN1625" s="24"/>
      <c r="DO1625" s="24"/>
      <c r="DP1625" s="24"/>
      <c r="DQ1625" s="24"/>
      <c r="DR1625" s="24"/>
      <c r="DS1625" s="24"/>
      <c r="DT1625" s="24"/>
      <c r="DU1625" s="24"/>
    </row>
    <row r="1626" spans="1:125" s="8" customFormat="1" ht="204" x14ac:dyDescent="0.2">
      <c r="A1626" s="226">
        <v>41393</v>
      </c>
      <c r="B1626" s="225" t="s">
        <v>529</v>
      </c>
      <c r="C1626" s="352" t="s">
        <v>529</v>
      </c>
      <c r="D1626" s="227" t="s">
        <v>2859</v>
      </c>
      <c r="E1626" s="75" t="str">
        <f>VLOOKUP(B1626&amp;C1626,Divipola!$C$2:$F$1138,4,FALSE)</f>
        <v>11001</v>
      </c>
      <c r="F1626" s="87"/>
      <c r="G1626" s="87">
        <v>1</v>
      </c>
      <c r="H1626" s="87"/>
      <c r="I1626" s="87"/>
      <c r="J1626" s="87"/>
      <c r="K1626" s="87">
        <v>1</v>
      </c>
      <c r="L1626" s="87"/>
      <c r="M1626" s="87"/>
      <c r="N1626" s="87"/>
      <c r="O1626" s="87"/>
      <c r="P1626" s="87"/>
      <c r="Q1626" s="87"/>
      <c r="R1626" s="87"/>
      <c r="S1626" s="87"/>
      <c r="T1626" s="87"/>
      <c r="U1626" s="88"/>
      <c r="V1626" s="89"/>
      <c r="W1626" s="96">
        <v>0</v>
      </c>
      <c r="X1626" s="71">
        <f>CU1626</f>
        <v>0</v>
      </c>
      <c r="Y1626" s="71">
        <f>CY1626</f>
        <v>0</v>
      </c>
      <c r="Z1626" s="71">
        <f>DA1626+DC1626+DE1626</f>
        <v>0</v>
      </c>
      <c r="AA1626" s="71">
        <f>CW1626</f>
        <v>0</v>
      </c>
      <c r="AB1626" s="71"/>
      <c r="AC1626" s="71">
        <v>0</v>
      </c>
      <c r="AD1626" s="71">
        <f>W1626+X1626+Y1626+Z1626+AA1626+AB1626+AC1626</f>
        <v>0</v>
      </c>
      <c r="AE1626" s="72">
        <v>0</v>
      </c>
      <c r="AF1626" s="5"/>
      <c r="AG1626" s="6"/>
      <c r="AH1626" s="27" t="s">
        <v>3392</v>
      </c>
      <c r="AI1626" s="44" t="s">
        <v>3393</v>
      </c>
      <c r="AJ1626" s="26"/>
      <c r="AK1626" s="5"/>
      <c r="AL1626" s="82" t="s">
        <v>4428</v>
      </c>
      <c r="AM1626" s="76"/>
      <c r="AN1626" s="76"/>
      <c r="AO1626" s="76"/>
      <c r="AP1626" s="76"/>
      <c r="AQ1626" s="76"/>
      <c r="AR1626" s="76"/>
      <c r="AS1626" s="76"/>
      <c r="AT1626" s="76"/>
      <c r="AU1626" s="76"/>
      <c r="AV1626" s="76"/>
      <c r="AW1626" s="76"/>
      <c r="AX1626" s="76">
        <f>+AW1626*600000</f>
        <v>0</v>
      </c>
      <c r="AY1626" s="76"/>
      <c r="AZ1626" s="76">
        <f>+AY1626*70000</f>
        <v>0</v>
      </c>
      <c r="BA1626" s="76"/>
      <c r="BB1626" s="76"/>
      <c r="BC1626" s="76"/>
      <c r="BD1626" s="76">
        <f>+BC1626*30000</f>
        <v>0</v>
      </c>
      <c r="BE1626" s="76"/>
      <c r="BF1626" s="76"/>
      <c r="BG1626" s="76"/>
      <c r="BH1626" s="76"/>
      <c r="BI1626" s="76"/>
      <c r="BJ1626" s="76"/>
      <c r="BK1626" s="76"/>
      <c r="BL1626" s="76">
        <f>+BK1626*31500</f>
        <v>0</v>
      </c>
      <c r="BM1626" s="76"/>
      <c r="BN1626" s="76"/>
      <c r="BO1626" s="76"/>
      <c r="BP1626" s="76"/>
      <c r="BQ1626" s="76"/>
      <c r="BR1626" s="76"/>
      <c r="BS1626" s="76"/>
      <c r="BT1626" s="76"/>
      <c r="BU1626" s="76"/>
      <c r="BV1626" s="76"/>
      <c r="BW1626" s="76"/>
      <c r="BX1626" s="76"/>
      <c r="BY1626" s="76"/>
      <c r="BZ1626" s="76"/>
      <c r="CA1626" s="76"/>
      <c r="CB1626" s="76"/>
      <c r="CC1626" s="76"/>
      <c r="CD1626" s="76"/>
      <c r="CE1626" s="76"/>
      <c r="CF1626" s="76">
        <f>+CE1626*28000</f>
        <v>0</v>
      </c>
      <c r="CG1626" s="76"/>
      <c r="CH1626" s="76">
        <f>+CG1626*22500</f>
        <v>0</v>
      </c>
      <c r="CI1626" s="76"/>
      <c r="CJ1626" s="76">
        <f>+CI1626*26000</f>
        <v>0</v>
      </c>
      <c r="CK1626" s="76"/>
      <c r="CL1626" s="76"/>
      <c r="CM1626" s="76"/>
      <c r="CN1626" s="76">
        <f>+CM1626*22000</f>
        <v>0</v>
      </c>
      <c r="CO1626" s="76"/>
      <c r="CP1626" s="76">
        <f>+CO1626*46000</f>
        <v>0</v>
      </c>
      <c r="CQ1626" s="76"/>
      <c r="CR1626" s="76">
        <f>+CQ1626*49000</f>
        <v>0</v>
      </c>
      <c r="CS1626" s="76"/>
      <c r="CT1626" s="76"/>
      <c r="CU1626" s="56">
        <f>AN1626+AP1626+AR1626+AT1626+AV1626+AX1626+AZ1626+BB1626+BD1626+BF1626+BH1626+BJ1626+BL1626+BN1626+BP1626+BR1626+BT1626+BV1626+BX1626+BZ1626+CB1626+CD1626+CF1626+CH1626+CJ1626+CL1626+CN1626+CP1626+CR1626+CT1626</f>
        <v>0</v>
      </c>
      <c r="CV1626" s="76"/>
      <c r="CW1626" s="76">
        <f>+CV1626*1100</f>
        <v>0</v>
      </c>
      <c r="CX1626" s="76"/>
      <c r="CY1626" s="76">
        <f>+CX1626*106250</f>
        <v>0</v>
      </c>
      <c r="CZ1626" s="76"/>
      <c r="DA1626" s="76">
        <f>+CZ1626*34500</f>
        <v>0</v>
      </c>
      <c r="DB1626" s="76"/>
      <c r="DC1626" s="76">
        <f>+DB1626*25000</f>
        <v>0</v>
      </c>
      <c r="DD1626" s="219"/>
      <c r="DE1626" s="219"/>
      <c r="DF1626" s="166"/>
      <c r="DG1626" s="116"/>
      <c r="DH1626" s="117"/>
      <c r="DI1626" s="24"/>
      <c r="DJ1626" s="24"/>
      <c r="DK1626" s="24"/>
      <c r="DL1626" s="24"/>
      <c r="DM1626" s="24"/>
      <c r="DN1626" s="24"/>
      <c r="DO1626" s="24"/>
      <c r="DP1626" s="24"/>
      <c r="DQ1626" s="24"/>
      <c r="DR1626" s="24"/>
      <c r="DS1626" s="24"/>
      <c r="DT1626" s="24"/>
      <c r="DU1626" s="24"/>
    </row>
    <row r="1627" spans="1:125" s="8" customFormat="1" ht="48" x14ac:dyDescent="0.2">
      <c r="A1627" s="353">
        <v>41393</v>
      </c>
      <c r="B1627" s="352" t="s">
        <v>2778</v>
      </c>
      <c r="C1627" s="354" t="s">
        <v>2129</v>
      </c>
      <c r="D1627" s="354" t="s">
        <v>3463</v>
      </c>
      <c r="E1627" s="75" t="str">
        <f>VLOOKUP(B1627&amp;C1627,Divipola!$C$2:$F$1138,4,FALSE)</f>
        <v>85225</v>
      </c>
      <c r="F1627" s="87">
        <v>1</v>
      </c>
      <c r="G1627" s="87"/>
      <c r="H1627" s="87"/>
      <c r="I1627" s="87"/>
      <c r="J1627" s="87"/>
      <c r="K1627" s="87"/>
      <c r="L1627" s="87"/>
      <c r="M1627" s="87"/>
      <c r="N1627" s="87"/>
      <c r="O1627" s="87"/>
      <c r="P1627" s="87"/>
      <c r="Q1627" s="87"/>
      <c r="R1627" s="87"/>
      <c r="S1627" s="87"/>
      <c r="T1627" s="87"/>
      <c r="U1627" s="88"/>
      <c r="V1627" s="89"/>
      <c r="W1627" s="96">
        <v>0</v>
      </c>
      <c r="X1627" s="71">
        <f>CU1627</f>
        <v>0</v>
      </c>
      <c r="Y1627" s="71">
        <f>CY1627</f>
        <v>0</v>
      </c>
      <c r="Z1627" s="71">
        <f>DA1627+DC1627+DE1627</f>
        <v>0</v>
      </c>
      <c r="AA1627" s="71">
        <f>CW1627</f>
        <v>0</v>
      </c>
      <c r="AB1627" s="71"/>
      <c r="AC1627" s="71">
        <v>0</v>
      </c>
      <c r="AD1627" s="71">
        <f>W1627+X1627+Y1627+Z1627+AA1627+AB1627+AC1627</f>
        <v>0</v>
      </c>
      <c r="AE1627" s="72">
        <v>0</v>
      </c>
      <c r="AF1627" s="5"/>
      <c r="AG1627" s="6"/>
      <c r="AH1627" s="27" t="s">
        <v>3392</v>
      </c>
      <c r="AI1627" s="44" t="s">
        <v>3393</v>
      </c>
      <c r="AJ1627" s="26"/>
      <c r="AK1627" s="5"/>
      <c r="AL1627" s="82" t="s">
        <v>4445</v>
      </c>
      <c r="AM1627" s="76"/>
      <c r="AN1627" s="76"/>
      <c r="AO1627" s="76"/>
      <c r="AP1627" s="76"/>
      <c r="AQ1627" s="76"/>
      <c r="AR1627" s="76"/>
      <c r="AS1627" s="76"/>
      <c r="AT1627" s="76"/>
      <c r="AU1627" s="76"/>
      <c r="AV1627" s="76"/>
      <c r="AW1627" s="76"/>
      <c r="AX1627" s="76">
        <f>+AW1627*600000</f>
        <v>0</v>
      </c>
      <c r="AY1627" s="76"/>
      <c r="AZ1627" s="76">
        <f>+AY1627*70000</f>
        <v>0</v>
      </c>
      <c r="BA1627" s="76"/>
      <c r="BB1627" s="76"/>
      <c r="BC1627" s="76"/>
      <c r="BD1627" s="76">
        <f>+BC1627*30000</f>
        <v>0</v>
      </c>
      <c r="BE1627" s="76"/>
      <c r="BF1627" s="76"/>
      <c r="BG1627" s="76"/>
      <c r="BH1627" s="76"/>
      <c r="BI1627" s="76"/>
      <c r="BJ1627" s="76"/>
      <c r="BK1627" s="76"/>
      <c r="BL1627" s="76">
        <f>+BK1627*31500</f>
        <v>0</v>
      </c>
      <c r="BM1627" s="76"/>
      <c r="BN1627" s="76"/>
      <c r="BO1627" s="76"/>
      <c r="BP1627" s="76"/>
      <c r="BQ1627" s="76"/>
      <c r="BR1627" s="76"/>
      <c r="BS1627" s="76"/>
      <c r="BT1627" s="76"/>
      <c r="BU1627" s="76"/>
      <c r="BV1627" s="76"/>
      <c r="BW1627" s="76"/>
      <c r="BX1627" s="76"/>
      <c r="BY1627" s="76"/>
      <c r="BZ1627" s="76"/>
      <c r="CA1627" s="76"/>
      <c r="CB1627" s="76"/>
      <c r="CC1627" s="76"/>
      <c r="CD1627" s="76"/>
      <c r="CE1627" s="76"/>
      <c r="CF1627" s="76">
        <f>+CE1627*28000</f>
        <v>0</v>
      </c>
      <c r="CG1627" s="76"/>
      <c r="CH1627" s="76">
        <f>+CG1627*22500</f>
        <v>0</v>
      </c>
      <c r="CI1627" s="76"/>
      <c r="CJ1627" s="76">
        <f>+CI1627*26000</f>
        <v>0</v>
      </c>
      <c r="CK1627" s="76"/>
      <c r="CL1627" s="76"/>
      <c r="CM1627" s="76"/>
      <c r="CN1627" s="76">
        <f>+CM1627*22000</f>
        <v>0</v>
      </c>
      <c r="CO1627" s="76"/>
      <c r="CP1627" s="76">
        <f>+CO1627*46000</f>
        <v>0</v>
      </c>
      <c r="CQ1627" s="76"/>
      <c r="CR1627" s="76">
        <f>+CQ1627*49000</f>
        <v>0</v>
      </c>
      <c r="CS1627" s="76"/>
      <c r="CT1627" s="76"/>
      <c r="CU1627" s="56">
        <f>AN1627+AP1627+AR1627+AT1627+AV1627+AX1627+AZ1627+BB1627+BD1627+BF1627+BH1627+BJ1627+BL1627+BN1627+BP1627+BR1627+BT1627+BV1627+BX1627+BZ1627+CB1627+CD1627+CF1627+CH1627+CJ1627+CL1627+CN1627+CP1627+CR1627+CT1627</f>
        <v>0</v>
      </c>
      <c r="CV1627" s="76"/>
      <c r="CW1627" s="76">
        <f>+CV1627*1100</f>
        <v>0</v>
      </c>
      <c r="CX1627" s="76"/>
      <c r="CY1627" s="76">
        <f>+CX1627*106250</f>
        <v>0</v>
      </c>
      <c r="CZ1627" s="76"/>
      <c r="DA1627" s="76">
        <f>+CZ1627*34500</f>
        <v>0</v>
      </c>
      <c r="DB1627" s="76"/>
      <c r="DC1627" s="76">
        <f>+DB1627*25000</f>
        <v>0</v>
      </c>
      <c r="DD1627" s="219"/>
      <c r="DE1627" s="219"/>
      <c r="DF1627" s="166"/>
      <c r="DG1627" s="116"/>
      <c r="DH1627" s="117"/>
      <c r="DI1627" s="24"/>
      <c r="DJ1627" s="24"/>
      <c r="DK1627" s="24"/>
      <c r="DL1627" s="24"/>
      <c r="DM1627" s="24"/>
      <c r="DN1627" s="24"/>
      <c r="DO1627" s="24"/>
      <c r="DP1627" s="24"/>
      <c r="DQ1627" s="24"/>
      <c r="DR1627" s="24"/>
      <c r="DS1627" s="24"/>
      <c r="DT1627" s="24"/>
      <c r="DU1627" s="24"/>
    </row>
    <row r="1628" spans="1:125" s="8" customFormat="1" ht="60" x14ac:dyDescent="0.2">
      <c r="A1628" s="77">
        <v>41393</v>
      </c>
      <c r="B1628" s="60" t="s">
        <v>2778</v>
      </c>
      <c r="C1628" s="55" t="s">
        <v>2212</v>
      </c>
      <c r="D1628" s="55" t="s">
        <v>2882</v>
      </c>
      <c r="E1628" s="75" t="str">
        <f>VLOOKUP(B1628&amp;C1628,Divipola!$C$2:$F$1138,4,FALSE)</f>
        <v>85250</v>
      </c>
      <c r="F1628" s="87"/>
      <c r="G1628" s="87">
        <v>3</v>
      </c>
      <c r="H1628" s="87"/>
      <c r="I1628" s="87">
        <v>75</v>
      </c>
      <c r="J1628" s="87">
        <v>15</v>
      </c>
      <c r="K1628" s="87"/>
      <c r="L1628" s="87">
        <v>15</v>
      </c>
      <c r="M1628" s="87"/>
      <c r="N1628" s="87"/>
      <c r="O1628" s="87"/>
      <c r="P1628" s="87"/>
      <c r="Q1628" s="87"/>
      <c r="R1628" s="87"/>
      <c r="S1628" s="87"/>
      <c r="T1628" s="87"/>
      <c r="U1628" s="88"/>
      <c r="V1628" s="89"/>
      <c r="W1628" s="96">
        <v>0</v>
      </c>
      <c r="X1628" s="71">
        <f>CU1628</f>
        <v>0</v>
      </c>
      <c r="Y1628" s="71">
        <f>CY1628</f>
        <v>0</v>
      </c>
      <c r="Z1628" s="71">
        <f>DA1628+DC1628+DE1628</f>
        <v>0</v>
      </c>
      <c r="AA1628" s="71">
        <f>CW1628</f>
        <v>0</v>
      </c>
      <c r="AB1628" s="71"/>
      <c r="AC1628" s="71">
        <v>0</v>
      </c>
      <c r="AD1628" s="71">
        <f>W1628+X1628+Y1628+Z1628+AA1628+AB1628+AC1628</f>
        <v>0</v>
      </c>
      <c r="AE1628" s="72">
        <v>0</v>
      </c>
      <c r="AF1628" s="5"/>
      <c r="AG1628" s="6"/>
      <c r="AH1628" s="27" t="s">
        <v>3390</v>
      </c>
      <c r="AI1628" s="44" t="s">
        <v>3393</v>
      </c>
      <c r="AJ1628" s="26"/>
      <c r="AK1628" s="5" t="s">
        <v>4242</v>
      </c>
      <c r="AL1628" s="82" t="s">
        <v>4443</v>
      </c>
      <c r="AM1628" s="76"/>
      <c r="AN1628" s="76"/>
      <c r="AO1628" s="76"/>
      <c r="AP1628" s="76"/>
      <c r="AQ1628" s="76"/>
      <c r="AR1628" s="76"/>
      <c r="AS1628" s="76"/>
      <c r="AT1628" s="76"/>
      <c r="AU1628" s="76"/>
      <c r="AV1628" s="76"/>
      <c r="AW1628" s="76"/>
      <c r="AX1628" s="76">
        <f>+AW1628*600000</f>
        <v>0</v>
      </c>
      <c r="AY1628" s="76"/>
      <c r="AZ1628" s="76">
        <f>+AY1628*70000</f>
        <v>0</v>
      </c>
      <c r="BA1628" s="76"/>
      <c r="BB1628" s="76"/>
      <c r="BC1628" s="76"/>
      <c r="BD1628" s="76">
        <f>+BC1628*30000</f>
        <v>0</v>
      </c>
      <c r="BE1628" s="76"/>
      <c r="BF1628" s="76"/>
      <c r="BG1628" s="76"/>
      <c r="BH1628" s="76"/>
      <c r="BI1628" s="76"/>
      <c r="BJ1628" s="76"/>
      <c r="BK1628" s="76"/>
      <c r="BL1628" s="76">
        <f>+BK1628*31500</f>
        <v>0</v>
      </c>
      <c r="BM1628" s="76"/>
      <c r="BN1628" s="76"/>
      <c r="BO1628" s="76"/>
      <c r="BP1628" s="76"/>
      <c r="BQ1628" s="76"/>
      <c r="BR1628" s="76"/>
      <c r="BS1628" s="76"/>
      <c r="BT1628" s="76"/>
      <c r="BU1628" s="76"/>
      <c r="BV1628" s="76"/>
      <c r="BW1628" s="76"/>
      <c r="BX1628" s="76"/>
      <c r="BY1628" s="76"/>
      <c r="BZ1628" s="76"/>
      <c r="CA1628" s="76"/>
      <c r="CB1628" s="76"/>
      <c r="CC1628" s="76"/>
      <c r="CD1628" s="76"/>
      <c r="CE1628" s="76"/>
      <c r="CF1628" s="76">
        <f>+CE1628*28000</f>
        <v>0</v>
      </c>
      <c r="CG1628" s="76"/>
      <c r="CH1628" s="76">
        <f>+CG1628*22500</f>
        <v>0</v>
      </c>
      <c r="CI1628" s="76"/>
      <c r="CJ1628" s="76">
        <f>+CI1628*26000</f>
        <v>0</v>
      </c>
      <c r="CK1628" s="76"/>
      <c r="CL1628" s="76"/>
      <c r="CM1628" s="76"/>
      <c r="CN1628" s="76">
        <f>+CM1628*22000</f>
        <v>0</v>
      </c>
      <c r="CO1628" s="76"/>
      <c r="CP1628" s="76">
        <f>+CO1628*46000</f>
        <v>0</v>
      </c>
      <c r="CQ1628" s="76"/>
      <c r="CR1628" s="76">
        <f>+CQ1628*49000</f>
        <v>0</v>
      </c>
      <c r="CS1628" s="76"/>
      <c r="CT1628" s="76"/>
      <c r="CU1628" s="56">
        <f>AN1628+AP1628+AR1628+AT1628+AV1628+AX1628+AZ1628+BB1628+BD1628+BF1628+BH1628+BJ1628+BL1628+BN1628+BP1628+BR1628+BT1628+BV1628+BX1628+BZ1628+CB1628+CD1628+CF1628+CH1628+CJ1628+CL1628+CN1628+CP1628+CR1628+CT1628</f>
        <v>0</v>
      </c>
      <c r="CV1628" s="76"/>
      <c r="CW1628" s="76">
        <f>+CV1628*1100</f>
        <v>0</v>
      </c>
      <c r="CX1628" s="76"/>
      <c r="CY1628" s="76">
        <f>+CX1628*106250</f>
        <v>0</v>
      </c>
      <c r="CZ1628" s="76"/>
      <c r="DA1628" s="76">
        <f>+CZ1628*34500</f>
        <v>0</v>
      </c>
      <c r="DB1628" s="76"/>
      <c r="DC1628" s="76">
        <f>+DB1628*25000</f>
        <v>0</v>
      </c>
      <c r="DD1628" s="219"/>
      <c r="DE1628" s="219"/>
      <c r="DF1628" s="166"/>
      <c r="DG1628" s="116"/>
      <c r="DH1628" s="117"/>
      <c r="DI1628" s="24"/>
      <c r="DJ1628" s="24"/>
      <c r="DK1628" s="24"/>
      <c r="DL1628" s="24"/>
      <c r="DM1628" s="24"/>
      <c r="DN1628" s="24"/>
      <c r="DO1628" s="24"/>
      <c r="DP1628" s="24"/>
      <c r="DQ1628" s="24"/>
      <c r="DR1628" s="24"/>
      <c r="DS1628" s="24"/>
      <c r="DT1628" s="24"/>
      <c r="DU1628" s="24"/>
    </row>
    <row r="1629" spans="1:125" s="8" customFormat="1" ht="72" x14ac:dyDescent="0.2">
      <c r="A1629" s="353">
        <v>41393</v>
      </c>
      <c r="B1629" s="352" t="s">
        <v>2860</v>
      </c>
      <c r="C1629" s="354" t="s">
        <v>2776</v>
      </c>
      <c r="D1629" s="354" t="s">
        <v>2882</v>
      </c>
      <c r="E1629" s="75" t="str">
        <f>VLOOKUP(B1629&amp;C1629,Divipola!$C$2:$F$1138,4,FALSE)</f>
        <v>63001</v>
      </c>
      <c r="F1629" s="87"/>
      <c r="G1629" s="87"/>
      <c r="H1629" s="87"/>
      <c r="I1629" s="87">
        <v>5</v>
      </c>
      <c r="J1629" s="87">
        <v>1</v>
      </c>
      <c r="K1629" s="87"/>
      <c r="L1629" s="87">
        <v>1</v>
      </c>
      <c r="M1629" s="87">
        <v>1</v>
      </c>
      <c r="N1629" s="87"/>
      <c r="O1629" s="87"/>
      <c r="P1629" s="87"/>
      <c r="Q1629" s="87"/>
      <c r="R1629" s="87"/>
      <c r="S1629" s="87">
        <v>1</v>
      </c>
      <c r="T1629" s="87"/>
      <c r="U1629" s="88"/>
      <c r="V1629" s="89"/>
      <c r="W1629" s="96">
        <v>0</v>
      </c>
      <c r="X1629" s="71">
        <f>CU1629</f>
        <v>0</v>
      </c>
      <c r="Y1629" s="71">
        <f>CY1629</f>
        <v>0</v>
      </c>
      <c r="Z1629" s="71">
        <f>DA1629+DC1629+DE1629</f>
        <v>0</v>
      </c>
      <c r="AA1629" s="71">
        <f>CW1629</f>
        <v>0</v>
      </c>
      <c r="AB1629" s="71"/>
      <c r="AC1629" s="71">
        <v>0</v>
      </c>
      <c r="AD1629" s="71">
        <f>W1629+X1629+Y1629+Z1629+AA1629+AB1629+AC1629</f>
        <v>0</v>
      </c>
      <c r="AE1629" s="72">
        <v>0</v>
      </c>
      <c r="AF1629" s="5"/>
      <c r="AG1629" s="6"/>
      <c r="AH1629" s="27" t="s">
        <v>3390</v>
      </c>
      <c r="AI1629" s="44" t="s">
        <v>3393</v>
      </c>
      <c r="AJ1629" s="26"/>
      <c r="AK1629" s="5" t="s">
        <v>4242</v>
      </c>
      <c r="AL1629" s="82" t="s">
        <v>4429</v>
      </c>
      <c r="AM1629" s="76"/>
      <c r="AN1629" s="76"/>
      <c r="AO1629" s="76"/>
      <c r="AP1629" s="76"/>
      <c r="AQ1629" s="76"/>
      <c r="AR1629" s="76"/>
      <c r="AS1629" s="76"/>
      <c r="AT1629" s="76"/>
      <c r="AU1629" s="76"/>
      <c r="AV1629" s="76"/>
      <c r="AW1629" s="76"/>
      <c r="AX1629" s="76">
        <f>+AW1629*600000</f>
        <v>0</v>
      </c>
      <c r="AY1629" s="76"/>
      <c r="AZ1629" s="76">
        <f>+AY1629*70000</f>
        <v>0</v>
      </c>
      <c r="BA1629" s="76"/>
      <c r="BB1629" s="76"/>
      <c r="BC1629" s="76"/>
      <c r="BD1629" s="76">
        <f>+BC1629*30000</f>
        <v>0</v>
      </c>
      <c r="BE1629" s="76"/>
      <c r="BF1629" s="76"/>
      <c r="BG1629" s="76"/>
      <c r="BH1629" s="76"/>
      <c r="BI1629" s="76"/>
      <c r="BJ1629" s="76"/>
      <c r="BK1629" s="76"/>
      <c r="BL1629" s="76">
        <f>+BK1629*31500</f>
        <v>0</v>
      </c>
      <c r="BM1629" s="76"/>
      <c r="BN1629" s="76"/>
      <c r="BO1629" s="76"/>
      <c r="BP1629" s="76"/>
      <c r="BQ1629" s="76"/>
      <c r="BR1629" s="76"/>
      <c r="BS1629" s="76"/>
      <c r="BT1629" s="76"/>
      <c r="BU1629" s="76"/>
      <c r="BV1629" s="76"/>
      <c r="BW1629" s="76"/>
      <c r="BX1629" s="76"/>
      <c r="BY1629" s="76"/>
      <c r="BZ1629" s="76"/>
      <c r="CA1629" s="76"/>
      <c r="CB1629" s="76"/>
      <c r="CC1629" s="76"/>
      <c r="CD1629" s="76"/>
      <c r="CE1629" s="76"/>
      <c r="CF1629" s="76">
        <f>+CE1629*28000</f>
        <v>0</v>
      </c>
      <c r="CG1629" s="76"/>
      <c r="CH1629" s="76">
        <f>+CG1629*22500</f>
        <v>0</v>
      </c>
      <c r="CI1629" s="76"/>
      <c r="CJ1629" s="76">
        <f>+CI1629*26000</f>
        <v>0</v>
      </c>
      <c r="CK1629" s="76"/>
      <c r="CL1629" s="76"/>
      <c r="CM1629" s="76"/>
      <c r="CN1629" s="76">
        <f>+CM1629*22000</f>
        <v>0</v>
      </c>
      <c r="CO1629" s="76"/>
      <c r="CP1629" s="76">
        <f>+CO1629*46000</f>
        <v>0</v>
      </c>
      <c r="CQ1629" s="76"/>
      <c r="CR1629" s="76">
        <f>+CQ1629*49000</f>
        <v>0</v>
      </c>
      <c r="CS1629" s="76"/>
      <c r="CT1629" s="76"/>
      <c r="CU1629" s="56">
        <f>AN1629+AP1629+AR1629+AT1629+AV1629+AX1629+AZ1629+BB1629+BD1629+BF1629+BH1629+BJ1629+BL1629+BN1629+BP1629+BR1629+BT1629+BV1629+BX1629+BZ1629+CB1629+CD1629+CF1629+CH1629+CJ1629+CL1629+CN1629+CP1629+CR1629+CT1629</f>
        <v>0</v>
      </c>
      <c r="CV1629" s="76"/>
      <c r="CW1629" s="76">
        <f>+CV1629*1100</f>
        <v>0</v>
      </c>
      <c r="CX1629" s="76"/>
      <c r="CY1629" s="76">
        <f>+CX1629*106250</f>
        <v>0</v>
      </c>
      <c r="CZ1629" s="76"/>
      <c r="DA1629" s="76">
        <f>+CZ1629*34500</f>
        <v>0</v>
      </c>
      <c r="DB1629" s="76"/>
      <c r="DC1629" s="76">
        <f>+DB1629*25000</f>
        <v>0</v>
      </c>
      <c r="DD1629" s="219"/>
      <c r="DE1629" s="219"/>
      <c r="DF1629" s="166"/>
      <c r="DG1629" s="116"/>
      <c r="DH1629" s="117"/>
      <c r="DI1629" s="24"/>
      <c r="DJ1629" s="24"/>
      <c r="DK1629" s="24"/>
      <c r="DL1629" s="24"/>
      <c r="DM1629" s="24"/>
      <c r="DN1629" s="24"/>
      <c r="DO1629" s="24"/>
      <c r="DP1629" s="24"/>
      <c r="DQ1629" s="24"/>
      <c r="DR1629" s="24"/>
      <c r="DS1629" s="24"/>
      <c r="DT1629" s="24"/>
      <c r="DU1629" s="24"/>
    </row>
    <row r="1630" spans="1:125" s="8" customFormat="1" ht="24" x14ac:dyDescent="0.2">
      <c r="A1630" s="353">
        <v>41393</v>
      </c>
      <c r="B1630" s="352" t="s">
        <v>2860</v>
      </c>
      <c r="C1630" s="354" t="s">
        <v>2173</v>
      </c>
      <c r="D1630" s="354" t="s">
        <v>2882</v>
      </c>
      <c r="E1630" s="75" t="str">
        <f>VLOOKUP(B1630&amp;C1630,Divipola!$C$2:$F$1138,4,FALSE)</f>
        <v>63470</v>
      </c>
      <c r="F1630" s="87"/>
      <c r="G1630" s="87"/>
      <c r="H1630" s="87"/>
      <c r="I1630" s="87">
        <v>5</v>
      </c>
      <c r="J1630" s="87">
        <v>1</v>
      </c>
      <c r="K1630" s="87"/>
      <c r="L1630" s="87">
        <v>1</v>
      </c>
      <c r="M1630" s="87"/>
      <c r="N1630" s="87"/>
      <c r="O1630" s="87"/>
      <c r="P1630" s="87"/>
      <c r="Q1630" s="87"/>
      <c r="R1630" s="87"/>
      <c r="S1630" s="87"/>
      <c r="T1630" s="87"/>
      <c r="U1630" s="88"/>
      <c r="V1630" s="89"/>
      <c r="W1630" s="96">
        <v>0</v>
      </c>
      <c r="X1630" s="71">
        <f>CU1630</f>
        <v>0</v>
      </c>
      <c r="Y1630" s="71">
        <f>CY1630</f>
        <v>0</v>
      </c>
      <c r="Z1630" s="71">
        <f>DA1630+DC1630+DE1630</f>
        <v>0</v>
      </c>
      <c r="AA1630" s="71">
        <f>CW1630</f>
        <v>0</v>
      </c>
      <c r="AB1630" s="71"/>
      <c r="AC1630" s="71">
        <v>0</v>
      </c>
      <c r="AD1630" s="71">
        <f>W1630+X1630+Y1630+Z1630+AA1630+AB1630+AC1630</f>
        <v>0</v>
      </c>
      <c r="AE1630" s="72">
        <v>0</v>
      </c>
      <c r="AF1630" s="5"/>
      <c r="AG1630" s="6"/>
      <c r="AH1630" s="27" t="s">
        <v>3392</v>
      </c>
      <c r="AI1630" s="44" t="s">
        <v>3393</v>
      </c>
      <c r="AJ1630" s="26"/>
      <c r="AK1630" s="5"/>
      <c r="AL1630" s="82" t="s">
        <v>4432</v>
      </c>
      <c r="AM1630" s="76"/>
      <c r="AN1630" s="76"/>
      <c r="AO1630" s="76"/>
      <c r="AP1630" s="76"/>
      <c r="AQ1630" s="76"/>
      <c r="AR1630" s="76"/>
      <c r="AS1630" s="76"/>
      <c r="AT1630" s="76"/>
      <c r="AU1630" s="76"/>
      <c r="AV1630" s="76"/>
      <c r="AW1630" s="76"/>
      <c r="AX1630" s="76">
        <f>+AW1630*600000</f>
        <v>0</v>
      </c>
      <c r="AY1630" s="76"/>
      <c r="AZ1630" s="76">
        <f>+AY1630*70000</f>
        <v>0</v>
      </c>
      <c r="BA1630" s="76"/>
      <c r="BB1630" s="76"/>
      <c r="BC1630" s="76"/>
      <c r="BD1630" s="76">
        <f>+BC1630*30000</f>
        <v>0</v>
      </c>
      <c r="BE1630" s="76"/>
      <c r="BF1630" s="76"/>
      <c r="BG1630" s="76"/>
      <c r="BH1630" s="76"/>
      <c r="BI1630" s="76"/>
      <c r="BJ1630" s="76"/>
      <c r="BK1630" s="76"/>
      <c r="BL1630" s="76">
        <f>+BK1630*31500</f>
        <v>0</v>
      </c>
      <c r="BM1630" s="76"/>
      <c r="BN1630" s="76"/>
      <c r="BO1630" s="76"/>
      <c r="BP1630" s="76"/>
      <c r="BQ1630" s="76"/>
      <c r="BR1630" s="76"/>
      <c r="BS1630" s="76"/>
      <c r="BT1630" s="76"/>
      <c r="BU1630" s="76"/>
      <c r="BV1630" s="76"/>
      <c r="BW1630" s="76"/>
      <c r="BX1630" s="76"/>
      <c r="BY1630" s="76"/>
      <c r="BZ1630" s="76"/>
      <c r="CA1630" s="76"/>
      <c r="CB1630" s="76"/>
      <c r="CC1630" s="76"/>
      <c r="CD1630" s="76"/>
      <c r="CE1630" s="76"/>
      <c r="CF1630" s="76">
        <f>+CE1630*28000</f>
        <v>0</v>
      </c>
      <c r="CG1630" s="76"/>
      <c r="CH1630" s="76">
        <f>+CG1630*22500</f>
        <v>0</v>
      </c>
      <c r="CI1630" s="76"/>
      <c r="CJ1630" s="76">
        <f>+CI1630*26000</f>
        <v>0</v>
      </c>
      <c r="CK1630" s="76"/>
      <c r="CL1630" s="76"/>
      <c r="CM1630" s="76"/>
      <c r="CN1630" s="76">
        <f>+CM1630*22000</f>
        <v>0</v>
      </c>
      <c r="CO1630" s="76"/>
      <c r="CP1630" s="76">
        <f>+CO1630*46000</f>
        <v>0</v>
      </c>
      <c r="CQ1630" s="76"/>
      <c r="CR1630" s="76">
        <f>+CQ1630*49000</f>
        <v>0</v>
      </c>
      <c r="CS1630" s="76"/>
      <c r="CT1630" s="76"/>
      <c r="CU1630" s="56">
        <f>AN1630+AP1630+AR1630+AT1630+AV1630+AX1630+AZ1630+BB1630+BD1630+BF1630+BH1630+BJ1630+BL1630+BN1630+BP1630+BR1630+BT1630+BV1630+BX1630+BZ1630+CB1630+CD1630+CF1630+CH1630+CJ1630+CL1630+CN1630+CP1630+CR1630+CT1630</f>
        <v>0</v>
      </c>
      <c r="CV1630" s="76"/>
      <c r="CW1630" s="76">
        <f>+CV1630*1100</f>
        <v>0</v>
      </c>
      <c r="CX1630" s="76"/>
      <c r="CY1630" s="76">
        <f>+CX1630*106250</f>
        <v>0</v>
      </c>
      <c r="CZ1630" s="76"/>
      <c r="DA1630" s="76">
        <f>+CZ1630*34500</f>
        <v>0</v>
      </c>
      <c r="DB1630" s="76"/>
      <c r="DC1630" s="76">
        <f>+DB1630*25000</f>
        <v>0</v>
      </c>
      <c r="DD1630" s="219"/>
      <c r="DE1630" s="219"/>
      <c r="DF1630" s="166"/>
      <c r="DG1630" s="116"/>
      <c r="DH1630" s="117"/>
      <c r="DI1630" s="24"/>
      <c r="DJ1630" s="24"/>
      <c r="DK1630" s="24"/>
      <c r="DL1630" s="24"/>
      <c r="DM1630" s="24"/>
      <c r="DN1630" s="24"/>
      <c r="DO1630" s="24"/>
      <c r="DP1630" s="24"/>
      <c r="DQ1630" s="24"/>
      <c r="DR1630" s="24"/>
      <c r="DS1630" s="24"/>
      <c r="DT1630" s="24"/>
      <c r="DU1630" s="24"/>
    </row>
    <row r="1631" spans="1:125" s="8" customFormat="1" ht="120" x14ac:dyDescent="0.2">
      <c r="A1631" s="77">
        <v>41393</v>
      </c>
      <c r="B1631" s="78" t="s">
        <v>2847</v>
      </c>
      <c r="C1631" s="75" t="s">
        <v>2684</v>
      </c>
      <c r="D1631" s="75" t="s">
        <v>4439</v>
      </c>
      <c r="E1631" s="75" t="str">
        <f>VLOOKUP(B1631&amp;C1631,Divipola!$C$2:$F$1138,4,FALSE)</f>
        <v>68081</v>
      </c>
      <c r="F1631" s="87"/>
      <c r="G1631" s="87"/>
      <c r="H1631" s="87"/>
      <c r="I1631" s="87"/>
      <c r="J1631" s="87"/>
      <c r="K1631" s="87"/>
      <c r="L1631" s="87"/>
      <c r="M1631" s="87"/>
      <c r="N1631" s="87"/>
      <c r="O1631" s="87"/>
      <c r="P1631" s="87"/>
      <c r="Q1631" s="87"/>
      <c r="R1631" s="87"/>
      <c r="S1631" s="87"/>
      <c r="T1631" s="87"/>
      <c r="U1631" s="88"/>
      <c r="V1631" s="89"/>
      <c r="W1631" s="96">
        <v>0</v>
      </c>
      <c r="X1631" s="71">
        <f>CU1631</f>
        <v>0</v>
      </c>
      <c r="Y1631" s="71">
        <f>CY1631</f>
        <v>0</v>
      </c>
      <c r="Z1631" s="71">
        <f>DA1631+DC1631+DE1631</f>
        <v>0</v>
      </c>
      <c r="AA1631" s="71">
        <f>CW1631</f>
        <v>0</v>
      </c>
      <c r="AB1631" s="71"/>
      <c r="AC1631" s="71">
        <v>0</v>
      </c>
      <c r="AD1631" s="71">
        <f>W1631+X1631+Y1631+Z1631+AA1631+AB1631+AC1631</f>
        <v>0</v>
      </c>
      <c r="AE1631" s="72">
        <v>0</v>
      </c>
      <c r="AF1631" s="5"/>
      <c r="AG1631" s="6"/>
      <c r="AH1631" s="27" t="s">
        <v>3392</v>
      </c>
      <c r="AI1631" s="44" t="s">
        <v>3393</v>
      </c>
      <c r="AJ1631" s="26"/>
      <c r="AK1631" s="5"/>
      <c r="AL1631" s="82" t="s">
        <v>4440</v>
      </c>
      <c r="AM1631" s="76"/>
      <c r="AN1631" s="76"/>
      <c r="AO1631" s="76"/>
      <c r="AP1631" s="76"/>
      <c r="AQ1631" s="76"/>
      <c r="AR1631" s="76"/>
      <c r="AS1631" s="76"/>
      <c r="AT1631" s="76"/>
      <c r="AU1631" s="76"/>
      <c r="AV1631" s="76"/>
      <c r="AW1631" s="76"/>
      <c r="AX1631" s="76">
        <f>+AW1631*600000</f>
        <v>0</v>
      </c>
      <c r="AY1631" s="76"/>
      <c r="AZ1631" s="76">
        <f>+AY1631*70000</f>
        <v>0</v>
      </c>
      <c r="BA1631" s="76"/>
      <c r="BB1631" s="76"/>
      <c r="BC1631" s="76"/>
      <c r="BD1631" s="76">
        <f>+BC1631*30000</f>
        <v>0</v>
      </c>
      <c r="BE1631" s="76"/>
      <c r="BF1631" s="76"/>
      <c r="BG1631" s="76"/>
      <c r="BH1631" s="76"/>
      <c r="BI1631" s="76"/>
      <c r="BJ1631" s="76"/>
      <c r="BK1631" s="76"/>
      <c r="BL1631" s="76">
        <f>+BK1631*31500</f>
        <v>0</v>
      </c>
      <c r="BM1631" s="76"/>
      <c r="BN1631" s="76"/>
      <c r="BO1631" s="76"/>
      <c r="BP1631" s="76"/>
      <c r="BQ1631" s="76"/>
      <c r="BR1631" s="76"/>
      <c r="BS1631" s="76"/>
      <c r="BT1631" s="76"/>
      <c r="BU1631" s="76"/>
      <c r="BV1631" s="76"/>
      <c r="BW1631" s="76"/>
      <c r="BX1631" s="76"/>
      <c r="BY1631" s="76"/>
      <c r="BZ1631" s="76"/>
      <c r="CA1631" s="76"/>
      <c r="CB1631" s="76"/>
      <c r="CC1631" s="76"/>
      <c r="CD1631" s="76"/>
      <c r="CE1631" s="76"/>
      <c r="CF1631" s="76">
        <f>+CE1631*28000</f>
        <v>0</v>
      </c>
      <c r="CG1631" s="76"/>
      <c r="CH1631" s="76">
        <f>+CG1631*22500</f>
        <v>0</v>
      </c>
      <c r="CI1631" s="76"/>
      <c r="CJ1631" s="76">
        <f>+CI1631*26000</f>
        <v>0</v>
      </c>
      <c r="CK1631" s="76"/>
      <c r="CL1631" s="76"/>
      <c r="CM1631" s="76"/>
      <c r="CN1631" s="76">
        <f>+CM1631*22000</f>
        <v>0</v>
      </c>
      <c r="CO1631" s="76"/>
      <c r="CP1631" s="76">
        <f>+CO1631*46000</f>
        <v>0</v>
      </c>
      <c r="CQ1631" s="76"/>
      <c r="CR1631" s="76">
        <f>+CQ1631*49000</f>
        <v>0</v>
      </c>
      <c r="CS1631" s="76"/>
      <c r="CT1631" s="76"/>
      <c r="CU1631" s="56">
        <f>AN1631+AP1631+AR1631+AT1631+AV1631+AX1631+AZ1631+BB1631+BD1631+BF1631+BH1631+BJ1631+BL1631+BN1631+BP1631+BR1631+BT1631+BV1631+BX1631+BZ1631+CB1631+CD1631+CF1631+CH1631+CJ1631+CL1631+CN1631+CP1631+CR1631+CT1631</f>
        <v>0</v>
      </c>
      <c r="CV1631" s="76"/>
      <c r="CW1631" s="76">
        <f>+CV1631*1100</f>
        <v>0</v>
      </c>
      <c r="CX1631" s="76"/>
      <c r="CY1631" s="76">
        <f>+CX1631*106250</f>
        <v>0</v>
      </c>
      <c r="CZ1631" s="76"/>
      <c r="DA1631" s="76">
        <f>+CZ1631*34500</f>
        <v>0</v>
      </c>
      <c r="DB1631" s="76"/>
      <c r="DC1631" s="76">
        <f>+DB1631*25000</f>
        <v>0</v>
      </c>
      <c r="DD1631" s="219"/>
      <c r="DE1631" s="219"/>
      <c r="DF1631" s="166"/>
      <c r="DG1631" s="116"/>
      <c r="DH1631" s="117"/>
      <c r="DI1631" s="24"/>
      <c r="DJ1631" s="24"/>
      <c r="DK1631" s="24"/>
      <c r="DL1631" s="24"/>
      <c r="DM1631" s="24"/>
      <c r="DN1631" s="24"/>
      <c r="DO1631" s="24"/>
      <c r="DP1631" s="24"/>
      <c r="DQ1631" s="24"/>
      <c r="DR1631" s="24"/>
      <c r="DS1631" s="24"/>
      <c r="DT1631" s="24"/>
      <c r="DU1631" s="24"/>
    </row>
    <row r="1632" spans="1:125" s="8" customFormat="1" ht="48" x14ac:dyDescent="0.2">
      <c r="A1632" s="353">
        <v>41393</v>
      </c>
      <c r="B1632" s="352" t="s">
        <v>2848</v>
      </c>
      <c r="C1632" s="354" t="s">
        <v>1258</v>
      </c>
      <c r="D1632" s="354" t="s">
        <v>3017</v>
      </c>
      <c r="E1632" s="75" t="str">
        <f>VLOOKUP(B1632&amp;C1632,Divipola!$C$2:$F$1138,4,FALSE)</f>
        <v>73870</v>
      </c>
      <c r="F1632" s="87"/>
      <c r="G1632" s="87"/>
      <c r="H1632" s="87"/>
      <c r="I1632" s="87">
        <v>6</v>
      </c>
      <c r="J1632" s="87">
        <v>1</v>
      </c>
      <c r="K1632" s="87">
        <v>1</v>
      </c>
      <c r="L1632" s="87"/>
      <c r="M1632" s="87"/>
      <c r="N1632" s="87"/>
      <c r="O1632" s="87"/>
      <c r="P1632" s="87"/>
      <c r="Q1632" s="87"/>
      <c r="R1632" s="87"/>
      <c r="S1632" s="87"/>
      <c r="T1632" s="87"/>
      <c r="U1632" s="88"/>
      <c r="V1632" s="89"/>
      <c r="W1632" s="96">
        <v>0</v>
      </c>
      <c r="X1632" s="71">
        <f>CU1632</f>
        <v>0</v>
      </c>
      <c r="Y1632" s="71">
        <f>CY1632</f>
        <v>0</v>
      </c>
      <c r="Z1632" s="71">
        <f>DA1632+DC1632+DE1632</f>
        <v>0</v>
      </c>
      <c r="AA1632" s="71">
        <f>CW1632</f>
        <v>0</v>
      </c>
      <c r="AB1632" s="71"/>
      <c r="AC1632" s="71">
        <v>0</v>
      </c>
      <c r="AD1632" s="71">
        <f>W1632+X1632+Y1632+Z1632+AA1632+AB1632+AC1632</f>
        <v>0</v>
      </c>
      <c r="AE1632" s="72">
        <v>0</v>
      </c>
      <c r="AF1632" s="5"/>
      <c r="AG1632" s="6"/>
      <c r="AH1632" s="27" t="s">
        <v>3392</v>
      </c>
      <c r="AI1632" s="44" t="s">
        <v>3393</v>
      </c>
      <c r="AJ1632" s="26"/>
      <c r="AK1632" s="5"/>
      <c r="AL1632" s="82" t="s">
        <v>4437</v>
      </c>
      <c r="AM1632" s="76"/>
      <c r="AN1632" s="76"/>
      <c r="AO1632" s="76"/>
      <c r="AP1632" s="76"/>
      <c r="AQ1632" s="76"/>
      <c r="AR1632" s="76"/>
      <c r="AS1632" s="76"/>
      <c r="AT1632" s="76"/>
      <c r="AU1632" s="76"/>
      <c r="AV1632" s="76"/>
      <c r="AW1632" s="76"/>
      <c r="AX1632" s="76">
        <f>+AW1632*600000</f>
        <v>0</v>
      </c>
      <c r="AY1632" s="76"/>
      <c r="AZ1632" s="76">
        <f>+AY1632*70000</f>
        <v>0</v>
      </c>
      <c r="BA1632" s="76"/>
      <c r="BB1632" s="76"/>
      <c r="BC1632" s="76"/>
      <c r="BD1632" s="76">
        <f>+BC1632*30000</f>
        <v>0</v>
      </c>
      <c r="BE1632" s="76"/>
      <c r="BF1632" s="76"/>
      <c r="BG1632" s="76"/>
      <c r="BH1632" s="76"/>
      <c r="BI1632" s="76"/>
      <c r="BJ1632" s="76"/>
      <c r="BK1632" s="76"/>
      <c r="BL1632" s="76">
        <f>+BK1632*31500</f>
        <v>0</v>
      </c>
      <c r="BM1632" s="76"/>
      <c r="BN1632" s="76"/>
      <c r="BO1632" s="76"/>
      <c r="BP1632" s="76"/>
      <c r="BQ1632" s="76"/>
      <c r="BR1632" s="76"/>
      <c r="BS1632" s="76"/>
      <c r="BT1632" s="76"/>
      <c r="BU1632" s="76"/>
      <c r="BV1632" s="76"/>
      <c r="BW1632" s="76"/>
      <c r="BX1632" s="76"/>
      <c r="BY1632" s="76"/>
      <c r="BZ1632" s="76"/>
      <c r="CA1632" s="76"/>
      <c r="CB1632" s="76"/>
      <c r="CC1632" s="76"/>
      <c r="CD1632" s="76"/>
      <c r="CE1632" s="76"/>
      <c r="CF1632" s="76">
        <f>+CE1632*28000</f>
        <v>0</v>
      </c>
      <c r="CG1632" s="76"/>
      <c r="CH1632" s="76">
        <f>+CG1632*22500</f>
        <v>0</v>
      </c>
      <c r="CI1632" s="76"/>
      <c r="CJ1632" s="76">
        <f>+CI1632*26000</f>
        <v>0</v>
      </c>
      <c r="CK1632" s="76"/>
      <c r="CL1632" s="76"/>
      <c r="CM1632" s="76"/>
      <c r="CN1632" s="76">
        <f>+CM1632*22000</f>
        <v>0</v>
      </c>
      <c r="CO1632" s="76"/>
      <c r="CP1632" s="76">
        <f>+CO1632*46000</f>
        <v>0</v>
      </c>
      <c r="CQ1632" s="76"/>
      <c r="CR1632" s="76">
        <f>+CQ1632*49000</f>
        <v>0</v>
      </c>
      <c r="CS1632" s="76"/>
      <c r="CT1632" s="76"/>
      <c r="CU1632" s="56">
        <f>AN1632+AP1632+AR1632+AT1632+AV1632+AX1632+AZ1632+BB1632+BD1632+BF1632+BH1632+BJ1632+BL1632+BN1632+BP1632+BR1632+BT1632+BV1632+BX1632+BZ1632+CB1632+CD1632+CF1632+CH1632+CJ1632+CL1632+CN1632+CP1632+CR1632+CT1632</f>
        <v>0</v>
      </c>
      <c r="CV1632" s="76"/>
      <c r="CW1632" s="76">
        <f>+CV1632*1100</f>
        <v>0</v>
      </c>
      <c r="CX1632" s="76"/>
      <c r="CY1632" s="76">
        <f>+CX1632*106250</f>
        <v>0</v>
      </c>
      <c r="CZ1632" s="76"/>
      <c r="DA1632" s="76">
        <f>+CZ1632*34500</f>
        <v>0</v>
      </c>
      <c r="DB1632" s="76"/>
      <c r="DC1632" s="76">
        <f>+DB1632*25000</f>
        <v>0</v>
      </c>
      <c r="DD1632" s="219"/>
      <c r="DE1632" s="219"/>
      <c r="DF1632" s="166"/>
      <c r="DG1632" s="116"/>
      <c r="DH1632" s="117"/>
      <c r="DI1632" s="24"/>
      <c r="DJ1632" s="24"/>
      <c r="DK1632" s="24"/>
      <c r="DL1632" s="24"/>
      <c r="DM1632" s="24"/>
      <c r="DN1632" s="24"/>
      <c r="DO1632" s="24"/>
      <c r="DP1632" s="24"/>
      <c r="DQ1632" s="24"/>
      <c r="DR1632" s="24"/>
      <c r="DS1632" s="24"/>
      <c r="DT1632" s="24"/>
      <c r="DU1632" s="24"/>
    </row>
    <row r="1633" spans="1:125" s="8" customFormat="1" ht="60" x14ac:dyDescent="0.2">
      <c r="A1633" s="77">
        <v>41393</v>
      </c>
      <c r="B1633" s="78" t="s">
        <v>2848</v>
      </c>
      <c r="C1633" s="75" t="s">
        <v>1685</v>
      </c>
      <c r="D1633" s="75" t="s">
        <v>2142</v>
      </c>
      <c r="E1633" s="75" t="str">
        <f>VLOOKUP(B1633&amp;C1633,Divipola!$C$2:$F$1138,4,FALSE)</f>
        <v>73873</v>
      </c>
      <c r="F1633" s="87">
        <v>1</v>
      </c>
      <c r="G1633" s="87">
        <v>12</v>
      </c>
      <c r="H1633" s="87"/>
      <c r="I1633" s="87"/>
      <c r="J1633" s="87"/>
      <c r="K1633" s="87"/>
      <c r="L1633" s="87"/>
      <c r="M1633" s="87"/>
      <c r="N1633" s="87"/>
      <c r="O1633" s="87"/>
      <c r="P1633" s="87"/>
      <c r="Q1633" s="87"/>
      <c r="R1633" s="87"/>
      <c r="S1633" s="87"/>
      <c r="T1633" s="87"/>
      <c r="U1633" s="88"/>
      <c r="V1633" s="89"/>
      <c r="W1633" s="96">
        <v>0</v>
      </c>
      <c r="X1633" s="71">
        <f>CU1633</f>
        <v>0</v>
      </c>
      <c r="Y1633" s="71">
        <f>CY1633</f>
        <v>0</v>
      </c>
      <c r="Z1633" s="71">
        <f>DA1633+DC1633+DE1633</f>
        <v>0</v>
      </c>
      <c r="AA1633" s="71">
        <f>CW1633</f>
        <v>0</v>
      </c>
      <c r="AB1633" s="71"/>
      <c r="AC1633" s="71">
        <v>0</v>
      </c>
      <c r="AD1633" s="71">
        <f>W1633+X1633+Y1633+Z1633+AA1633+AB1633+AC1633</f>
        <v>0</v>
      </c>
      <c r="AE1633" s="72">
        <v>0</v>
      </c>
      <c r="AF1633" s="5"/>
      <c r="AG1633" s="6"/>
      <c r="AH1633" s="27" t="s">
        <v>3392</v>
      </c>
      <c r="AI1633" s="44" t="s">
        <v>3393</v>
      </c>
      <c r="AJ1633" s="26"/>
      <c r="AK1633" s="5"/>
      <c r="AL1633" s="82" t="s">
        <v>4444</v>
      </c>
      <c r="AM1633" s="76"/>
      <c r="AN1633" s="76"/>
      <c r="AO1633" s="76"/>
      <c r="AP1633" s="76"/>
      <c r="AQ1633" s="76"/>
      <c r="AR1633" s="76"/>
      <c r="AS1633" s="76"/>
      <c r="AT1633" s="76"/>
      <c r="AU1633" s="76"/>
      <c r="AV1633" s="76"/>
      <c r="AW1633" s="76"/>
      <c r="AX1633" s="76">
        <f>+AW1633*600000</f>
        <v>0</v>
      </c>
      <c r="AY1633" s="76"/>
      <c r="AZ1633" s="76">
        <f>+AY1633*70000</f>
        <v>0</v>
      </c>
      <c r="BA1633" s="76"/>
      <c r="BB1633" s="76"/>
      <c r="BC1633" s="76"/>
      <c r="BD1633" s="76">
        <f>+BC1633*30000</f>
        <v>0</v>
      </c>
      <c r="BE1633" s="76"/>
      <c r="BF1633" s="76"/>
      <c r="BG1633" s="76"/>
      <c r="BH1633" s="76"/>
      <c r="BI1633" s="76"/>
      <c r="BJ1633" s="76"/>
      <c r="BK1633" s="76"/>
      <c r="BL1633" s="76">
        <f>+BK1633*31500</f>
        <v>0</v>
      </c>
      <c r="BM1633" s="76"/>
      <c r="BN1633" s="76"/>
      <c r="BO1633" s="76"/>
      <c r="BP1633" s="76"/>
      <c r="BQ1633" s="76"/>
      <c r="BR1633" s="76"/>
      <c r="BS1633" s="76"/>
      <c r="BT1633" s="76"/>
      <c r="BU1633" s="76"/>
      <c r="BV1633" s="76"/>
      <c r="BW1633" s="76"/>
      <c r="BX1633" s="76"/>
      <c r="BY1633" s="76"/>
      <c r="BZ1633" s="76"/>
      <c r="CA1633" s="76"/>
      <c r="CB1633" s="76"/>
      <c r="CC1633" s="76"/>
      <c r="CD1633" s="76"/>
      <c r="CE1633" s="76"/>
      <c r="CF1633" s="76">
        <f>+CE1633*28000</f>
        <v>0</v>
      </c>
      <c r="CG1633" s="76"/>
      <c r="CH1633" s="76">
        <f>+CG1633*22500</f>
        <v>0</v>
      </c>
      <c r="CI1633" s="76"/>
      <c r="CJ1633" s="76">
        <f>+CI1633*26000</f>
        <v>0</v>
      </c>
      <c r="CK1633" s="76"/>
      <c r="CL1633" s="76"/>
      <c r="CM1633" s="76"/>
      <c r="CN1633" s="76">
        <f>+CM1633*22000</f>
        <v>0</v>
      </c>
      <c r="CO1633" s="76"/>
      <c r="CP1633" s="76">
        <f>+CO1633*46000</f>
        <v>0</v>
      </c>
      <c r="CQ1633" s="76"/>
      <c r="CR1633" s="76">
        <f>+CQ1633*49000</f>
        <v>0</v>
      </c>
      <c r="CS1633" s="76"/>
      <c r="CT1633" s="76"/>
      <c r="CU1633" s="56">
        <f>AN1633+AP1633+AR1633+AT1633+AV1633+AX1633+AZ1633+BB1633+BD1633+BF1633+BH1633+BJ1633+BL1633+BN1633+BP1633+BR1633+BT1633+BV1633+BX1633+BZ1633+CB1633+CD1633+CF1633+CH1633+CJ1633+CL1633+CN1633+CP1633+CR1633+CT1633</f>
        <v>0</v>
      </c>
      <c r="CV1633" s="76"/>
      <c r="CW1633" s="76">
        <f>+CV1633*1100</f>
        <v>0</v>
      </c>
      <c r="CX1633" s="76"/>
      <c r="CY1633" s="76">
        <f>+CX1633*106250</f>
        <v>0</v>
      </c>
      <c r="CZ1633" s="76"/>
      <c r="DA1633" s="76">
        <f>+CZ1633*34500</f>
        <v>0</v>
      </c>
      <c r="DB1633" s="76"/>
      <c r="DC1633" s="76">
        <f>+DB1633*25000</f>
        <v>0</v>
      </c>
      <c r="DD1633" s="219"/>
      <c r="DE1633" s="219"/>
      <c r="DF1633" s="166"/>
      <c r="DG1633" s="116"/>
      <c r="DH1633" s="117"/>
      <c r="DI1633" s="24"/>
      <c r="DJ1633" s="24"/>
      <c r="DK1633" s="24"/>
      <c r="DL1633" s="24"/>
      <c r="DM1633" s="24"/>
      <c r="DN1633" s="24"/>
      <c r="DO1633" s="24"/>
      <c r="DP1633" s="24"/>
      <c r="DQ1633" s="24"/>
      <c r="DR1633" s="24"/>
      <c r="DS1633" s="24"/>
      <c r="DT1633" s="24"/>
      <c r="DU1633" s="24"/>
    </row>
    <row r="1634" spans="1:125" s="8" customFormat="1" ht="264" x14ac:dyDescent="0.2">
      <c r="A1634" s="226">
        <v>41393</v>
      </c>
      <c r="B1634" s="225" t="s">
        <v>2851</v>
      </c>
      <c r="C1634" s="227" t="s">
        <v>1686</v>
      </c>
      <c r="D1634" s="75" t="s">
        <v>3051</v>
      </c>
      <c r="E1634" s="75" t="str">
        <f>VLOOKUP(B1634&amp;C1634,Divipola!$C$2:$F$1138,4,FALSE)</f>
        <v>76001</v>
      </c>
      <c r="F1634" s="87"/>
      <c r="G1634" s="87"/>
      <c r="H1634" s="87"/>
      <c r="I1634" s="87"/>
      <c r="J1634" s="87"/>
      <c r="K1634" s="87"/>
      <c r="L1634" s="87"/>
      <c r="M1634" s="87"/>
      <c r="N1634" s="87"/>
      <c r="O1634" s="87"/>
      <c r="P1634" s="87"/>
      <c r="Q1634" s="87"/>
      <c r="R1634" s="87"/>
      <c r="S1634" s="87">
        <v>1</v>
      </c>
      <c r="T1634" s="87"/>
      <c r="U1634" s="88"/>
      <c r="V1634" s="89"/>
      <c r="W1634" s="96">
        <v>0</v>
      </c>
      <c r="X1634" s="71">
        <f>CU1634</f>
        <v>0</v>
      </c>
      <c r="Y1634" s="71">
        <f>CY1634</f>
        <v>0</v>
      </c>
      <c r="Z1634" s="71">
        <f>DA1634+DC1634+DE1634</f>
        <v>0</v>
      </c>
      <c r="AA1634" s="71">
        <f>CW1634</f>
        <v>0</v>
      </c>
      <c r="AB1634" s="71"/>
      <c r="AC1634" s="71">
        <v>0</v>
      </c>
      <c r="AD1634" s="71">
        <f>W1634+X1634+Y1634+Z1634+AA1634+AB1634+AC1634</f>
        <v>0</v>
      </c>
      <c r="AE1634" s="72">
        <v>0</v>
      </c>
      <c r="AF1634" s="5"/>
      <c r="AG1634" s="6"/>
      <c r="AH1634" s="27" t="s">
        <v>3392</v>
      </c>
      <c r="AI1634" s="44" t="s">
        <v>3393</v>
      </c>
      <c r="AJ1634" s="26"/>
      <c r="AK1634" s="5"/>
      <c r="AL1634" s="82" t="s">
        <v>4438</v>
      </c>
      <c r="AM1634" s="76"/>
      <c r="AN1634" s="76"/>
      <c r="AO1634" s="76"/>
      <c r="AP1634" s="76"/>
      <c r="AQ1634" s="76"/>
      <c r="AR1634" s="76"/>
      <c r="AS1634" s="76"/>
      <c r="AT1634" s="76"/>
      <c r="AU1634" s="76"/>
      <c r="AV1634" s="76"/>
      <c r="AW1634" s="76"/>
      <c r="AX1634" s="76">
        <f>+AW1634*600000</f>
        <v>0</v>
      </c>
      <c r="AY1634" s="76"/>
      <c r="AZ1634" s="76">
        <f>+AY1634*70000</f>
        <v>0</v>
      </c>
      <c r="BA1634" s="76"/>
      <c r="BB1634" s="76"/>
      <c r="BC1634" s="76"/>
      <c r="BD1634" s="76">
        <f>+BC1634*30000</f>
        <v>0</v>
      </c>
      <c r="BE1634" s="76"/>
      <c r="BF1634" s="76"/>
      <c r="BG1634" s="76"/>
      <c r="BH1634" s="76"/>
      <c r="BI1634" s="76"/>
      <c r="BJ1634" s="76"/>
      <c r="BK1634" s="76"/>
      <c r="BL1634" s="76">
        <f>+BK1634*31500</f>
        <v>0</v>
      </c>
      <c r="BM1634" s="76"/>
      <c r="BN1634" s="76"/>
      <c r="BO1634" s="76"/>
      <c r="BP1634" s="76"/>
      <c r="BQ1634" s="76"/>
      <c r="BR1634" s="76"/>
      <c r="BS1634" s="76"/>
      <c r="BT1634" s="76"/>
      <c r="BU1634" s="76"/>
      <c r="BV1634" s="76"/>
      <c r="BW1634" s="76"/>
      <c r="BX1634" s="76"/>
      <c r="BY1634" s="76"/>
      <c r="BZ1634" s="76"/>
      <c r="CA1634" s="76"/>
      <c r="CB1634" s="76"/>
      <c r="CC1634" s="76"/>
      <c r="CD1634" s="76"/>
      <c r="CE1634" s="76"/>
      <c r="CF1634" s="76">
        <f>+CE1634*28000</f>
        <v>0</v>
      </c>
      <c r="CG1634" s="76"/>
      <c r="CH1634" s="76">
        <f>+CG1634*22500</f>
        <v>0</v>
      </c>
      <c r="CI1634" s="76"/>
      <c r="CJ1634" s="76">
        <f>+CI1634*26000</f>
        <v>0</v>
      </c>
      <c r="CK1634" s="76"/>
      <c r="CL1634" s="76"/>
      <c r="CM1634" s="76"/>
      <c r="CN1634" s="76">
        <f>+CM1634*22000</f>
        <v>0</v>
      </c>
      <c r="CO1634" s="76"/>
      <c r="CP1634" s="76">
        <f>+CO1634*46000</f>
        <v>0</v>
      </c>
      <c r="CQ1634" s="76"/>
      <c r="CR1634" s="76">
        <f>+CQ1634*49000</f>
        <v>0</v>
      </c>
      <c r="CS1634" s="76"/>
      <c r="CT1634" s="76"/>
      <c r="CU1634" s="56">
        <f>AN1634+AP1634+AR1634+AT1634+AV1634+AX1634+AZ1634+BB1634+BD1634+BF1634+BH1634+BJ1634+BL1634+BN1634+BP1634+BR1634+BT1634+BV1634+BX1634+BZ1634+CB1634+CD1634+CF1634+CH1634+CJ1634+CL1634+CN1634+CP1634+CR1634+CT1634</f>
        <v>0</v>
      </c>
      <c r="CV1634" s="76"/>
      <c r="CW1634" s="76">
        <f>+CV1634*1100</f>
        <v>0</v>
      </c>
      <c r="CX1634" s="76"/>
      <c r="CY1634" s="76">
        <f>+CX1634*106250</f>
        <v>0</v>
      </c>
      <c r="CZ1634" s="76"/>
      <c r="DA1634" s="76">
        <f>+CZ1634*34500</f>
        <v>0</v>
      </c>
      <c r="DB1634" s="76"/>
      <c r="DC1634" s="76">
        <f>+DB1634*25000</f>
        <v>0</v>
      </c>
      <c r="DD1634" s="219"/>
      <c r="DE1634" s="219"/>
      <c r="DF1634" s="166"/>
      <c r="DG1634" s="116"/>
      <c r="DH1634" s="117"/>
      <c r="DI1634" s="24"/>
      <c r="DJ1634" s="24"/>
      <c r="DK1634" s="24"/>
      <c r="DL1634" s="24"/>
      <c r="DM1634" s="24"/>
      <c r="DN1634" s="24"/>
      <c r="DO1634" s="24"/>
      <c r="DP1634" s="24"/>
      <c r="DQ1634" s="24"/>
      <c r="DR1634" s="24"/>
      <c r="DS1634" s="24"/>
      <c r="DT1634" s="24"/>
      <c r="DU1634" s="24"/>
    </row>
    <row r="1635" spans="1:125" s="8" customFormat="1" ht="48" x14ac:dyDescent="0.2">
      <c r="A1635" s="353">
        <v>41393</v>
      </c>
      <c r="B1635" s="225" t="s">
        <v>2851</v>
      </c>
      <c r="C1635" s="227" t="s">
        <v>2763</v>
      </c>
      <c r="D1635" s="227" t="s">
        <v>2882</v>
      </c>
      <c r="E1635" s="75" t="str">
        <f>VLOOKUP(B1635&amp;C1635,Divipola!$C$2:$F$1138,4,FALSE)</f>
        <v>76306</v>
      </c>
      <c r="F1635" s="87"/>
      <c r="G1635" s="87"/>
      <c r="H1635" s="87"/>
      <c r="I1635" s="87">
        <v>175</v>
      </c>
      <c r="J1635" s="87">
        <v>35</v>
      </c>
      <c r="K1635" s="87"/>
      <c r="L1635" s="87">
        <v>35</v>
      </c>
      <c r="M1635" s="87"/>
      <c r="N1635" s="87"/>
      <c r="O1635" s="87"/>
      <c r="P1635" s="87"/>
      <c r="Q1635" s="87"/>
      <c r="R1635" s="87"/>
      <c r="S1635" s="87"/>
      <c r="T1635" s="87"/>
      <c r="U1635" s="88"/>
      <c r="V1635" s="89"/>
      <c r="W1635" s="96">
        <v>0</v>
      </c>
      <c r="X1635" s="71">
        <f>CU1635</f>
        <v>0</v>
      </c>
      <c r="Y1635" s="71">
        <f>CY1635</f>
        <v>0</v>
      </c>
      <c r="Z1635" s="71">
        <f>DA1635+DC1635+DE1635</f>
        <v>0</v>
      </c>
      <c r="AA1635" s="71">
        <f>CW1635</f>
        <v>0</v>
      </c>
      <c r="AB1635" s="71"/>
      <c r="AC1635" s="71">
        <v>0</v>
      </c>
      <c r="AD1635" s="71">
        <f>W1635+X1635+Y1635+Z1635+AA1635+AB1635+AC1635</f>
        <v>0</v>
      </c>
      <c r="AE1635" s="72">
        <v>0</v>
      </c>
      <c r="AF1635" s="5"/>
      <c r="AG1635" s="6"/>
      <c r="AH1635" s="27" t="s">
        <v>3392</v>
      </c>
      <c r="AI1635" s="44" t="s">
        <v>3393</v>
      </c>
      <c r="AJ1635" s="26"/>
      <c r="AK1635" s="5"/>
      <c r="AL1635" s="82" t="s">
        <v>4460</v>
      </c>
      <c r="AM1635" s="76"/>
      <c r="AN1635" s="76"/>
      <c r="AO1635" s="76"/>
      <c r="AP1635" s="76"/>
      <c r="AQ1635" s="76"/>
      <c r="AR1635" s="76"/>
      <c r="AS1635" s="76"/>
      <c r="AT1635" s="76"/>
      <c r="AU1635" s="76"/>
      <c r="AV1635" s="76"/>
      <c r="AW1635" s="76"/>
      <c r="AX1635" s="76">
        <f>+AW1635*600000</f>
        <v>0</v>
      </c>
      <c r="AY1635" s="76"/>
      <c r="AZ1635" s="76">
        <f>+AY1635*70000</f>
        <v>0</v>
      </c>
      <c r="BA1635" s="76"/>
      <c r="BB1635" s="76"/>
      <c r="BC1635" s="76"/>
      <c r="BD1635" s="76">
        <f>+BC1635*30000</f>
        <v>0</v>
      </c>
      <c r="BE1635" s="76"/>
      <c r="BF1635" s="76"/>
      <c r="BG1635" s="76"/>
      <c r="BH1635" s="76"/>
      <c r="BI1635" s="76"/>
      <c r="BJ1635" s="76"/>
      <c r="BK1635" s="76"/>
      <c r="BL1635" s="76">
        <f>+BK1635*31500</f>
        <v>0</v>
      </c>
      <c r="BM1635" s="76"/>
      <c r="BN1635" s="76"/>
      <c r="BO1635" s="76"/>
      <c r="BP1635" s="76"/>
      <c r="BQ1635" s="76"/>
      <c r="BR1635" s="76"/>
      <c r="BS1635" s="76"/>
      <c r="BT1635" s="76"/>
      <c r="BU1635" s="76"/>
      <c r="BV1635" s="76"/>
      <c r="BW1635" s="76"/>
      <c r="BX1635" s="76"/>
      <c r="BY1635" s="76"/>
      <c r="BZ1635" s="76"/>
      <c r="CA1635" s="76"/>
      <c r="CB1635" s="76"/>
      <c r="CC1635" s="76"/>
      <c r="CD1635" s="76"/>
      <c r="CE1635" s="76"/>
      <c r="CF1635" s="76">
        <f>+CE1635*28000</f>
        <v>0</v>
      </c>
      <c r="CG1635" s="76"/>
      <c r="CH1635" s="76">
        <f>+CG1635*22500</f>
        <v>0</v>
      </c>
      <c r="CI1635" s="76"/>
      <c r="CJ1635" s="76">
        <f>+CI1635*26000</f>
        <v>0</v>
      </c>
      <c r="CK1635" s="76"/>
      <c r="CL1635" s="76"/>
      <c r="CM1635" s="76"/>
      <c r="CN1635" s="76">
        <f>+CM1635*22000</f>
        <v>0</v>
      </c>
      <c r="CO1635" s="76"/>
      <c r="CP1635" s="76">
        <f>+CO1635*46000</f>
        <v>0</v>
      </c>
      <c r="CQ1635" s="76"/>
      <c r="CR1635" s="76">
        <f>+CQ1635*49000</f>
        <v>0</v>
      </c>
      <c r="CS1635" s="76"/>
      <c r="CT1635" s="76"/>
      <c r="CU1635" s="56">
        <f>AN1635+AP1635+AR1635+AT1635+AV1635+AX1635+AZ1635+BB1635+BD1635+BF1635+BH1635+BJ1635+BL1635+BN1635+BP1635+BR1635+BT1635+BV1635+BX1635+BZ1635+CB1635+CD1635+CF1635+CH1635+CJ1635+CL1635+CN1635+CP1635+CR1635+CT1635</f>
        <v>0</v>
      </c>
      <c r="CV1635" s="76"/>
      <c r="CW1635" s="76">
        <f>+CV1635*1100</f>
        <v>0</v>
      </c>
      <c r="CX1635" s="76"/>
      <c r="CY1635" s="76">
        <f>+CX1635*106250</f>
        <v>0</v>
      </c>
      <c r="CZ1635" s="76"/>
      <c r="DA1635" s="76">
        <f>+CZ1635*34500</f>
        <v>0</v>
      </c>
      <c r="DB1635" s="76"/>
      <c r="DC1635" s="76">
        <f>+DB1635*25000</f>
        <v>0</v>
      </c>
      <c r="DD1635" s="219"/>
      <c r="DE1635" s="219"/>
      <c r="DF1635" s="166"/>
      <c r="DG1635" s="116"/>
      <c r="DH1635" s="117"/>
      <c r="DI1635" s="24"/>
      <c r="DJ1635" s="24"/>
      <c r="DK1635" s="24"/>
      <c r="DL1635" s="24"/>
      <c r="DM1635" s="24"/>
      <c r="DN1635" s="24"/>
      <c r="DO1635" s="24"/>
      <c r="DP1635" s="24"/>
      <c r="DQ1635" s="24"/>
      <c r="DR1635" s="24"/>
      <c r="DS1635" s="24"/>
      <c r="DT1635" s="24"/>
      <c r="DU1635" s="24"/>
    </row>
    <row r="1636" spans="1:125" s="8" customFormat="1" ht="156" x14ac:dyDescent="0.2">
      <c r="A1636" s="353">
        <v>41393</v>
      </c>
      <c r="B1636" s="225" t="s">
        <v>2851</v>
      </c>
      <c r="C1636" s="227" t="s">
        <v>2668</v>
      </c>
      <c r="D1636" s="227" t="s">
        <v>2882</v>
      </c>
      <c r="E1636" s="75" t="str">
        <f>VLOOKUP(B1636&amp;C1636,Divipola!$C$2:$F$1138,4,FALSE)</f>
        <v>76520</v>
      </c>
      <c r="F1636" s="87"/>
      <c r="G1636" s="87"/>
      <c r="H1636" s="87"/>
      <c r="I1636" s="87">
        <v>80</v>
      </c>
      <c r="J1636" s="87">
        <v>16</v>
      </c>
      <c r="K1636" s="87"/>
      <c r="L1636" s="87">
        <v>16</v>
      </c>
      <c r="M1636" s="87"/>
      <c r="N1636" s="87"/>
      <c r="O1636" s="87"/>
      <c r="P1636" s="87"/>
      <c r="Q1636" s="87"/>
      <c r="R1636" s="87"/>
      <c r="S1636" s="87"/>
      <c r="T1636" s="87"/>
      <c r="U1636" s="88"/>
      <c r="V1636" s="89"/>
      <c r="W1636" s="96">
        <v>0</v>
      </c>
      <c r="X1636" s="71">
        <f>CU1636</f>
        <v>0</v>
      </c>
      <c r="Y1636" s="71">
        <f>CY1636</f>
        <v>0</v>
      </c>
      <c r="Z1636" s="71">
        <f>DA1636+DC1636+DE1636</f>
        <v>0</v>
      </c>
      <c r="AA1636" s="71">
        <f>CW1636</f>
        <v>0</v>
      </c>
      <c r="AB1636" s="71"/>
      <c r="AC1636" s="71">
        <v>0</v>
      </c>
      <c r="AD1636" s="71">
        <f>W1636+X1636+Y1636+Z1636+AA1636+AB1636+AC1636</f>
        <v>0</v>
      </c>
      <c r="AE1636" s="72">
        <v>0</v>
      </c>
      <c r="AF1636" s="5"/>
      <c r="AG1636" s="6"/>
      <c r="AH1636" s="27" t="s">
        <v>3392</v>
      </c>
      <c r="AI1636" s="44" t="s">
        <v>3393</v>
      </c>
      <c r="AJ1636" s="26"/>
      <c r="AK1636" s="5"/>
      <c r="AL1636" s="82" t="s">
        <v>4435</v>
      </c>
      <c r="AM1636" s="76"/>
      <c r="AN1636" s="76"/>
      <c r="AO1636" s="76"/>
      <c r="AP1636" s="76"/>
      <c r="AQ1636" s="76"/>
      <c r="AR1636" s="76"/>
      <c r="AS1636" s="76"/>
      <c r="AT1636" s="76"/>
      <c r="AU1636" s="76"/>
      <c r="AV1636" s="76"/>
      <c r="AW1636" s="76"/>
      <c r="AX1636" s="76">
        <f>+AW1636*600000</f>
        <v>0</v>
      </c>
      <c r="AY1636" s="76"/>
      <c r="AZ1636" s="76">
        <f>+AY1636*70000</f>
        <v>0</v>
      </c>
      <c r="BA1636" s="76"/>
      <c r="BB1636" s="76"/>
      <c r="BC1636" s="76"/>
      <c r="BD1636" s="76">
        <f>+BC1636*30000</f>
        <v>0</v>
      </c>
      <c r="BE1636" s="76"/>
      <c r="BF1636" s="76"/>
      <c r="BG1636" s="76"/>
      <c r="BH1636" s="76"/>
      <c r="BI1636" s="76"/>
      <c r="BJ1636" s="76"/>
      <c r="BK1636" s="76"/>
      <c r="BL1636" s="76">
        <f>+BK1636*31500</f>
        <v>0</v>
      </c>
      <c r="BM1636" s="76"/>
      <c r="BN1636" s="76"/>
      <c r="BO1636" s="76"/>
      <c r="BP1636" s="76"/>
      <c r="BQ1636" s="76"/>
      <c r="BR1636" s="76"/>
      <c r="BS1636" s="76"/>
      <c r="BT1636" s="76"/>
      <c r="BU1636" s="76"/>
      <c r="BV1636" s="76"/>
      <c r="BW1636" s="76"/>
      <c r="BX1636" s="76"/>
      <c r="BY1636" s="76"/>
      <c r="BZ1636" s="76"/>
      <c r="CA1636" s="76"/>
      <c r="CB1636" s="76"/>
      <c r="CC1636" s="76"/>
      <c r="CD1636" s="76"/>
      <c r="CE1636" s="76"/>
      <c r="CF1636" s="76">
        <f>+CE1636*28000</f>
        <v>0</v>
      </c>
      <c r="CG1636" s="76"/>
      <c r="CH1636" s="76">
        <f>+CG1636*22500</f>
        <v>0</v>
      </c>
      <c r="CI1636" s="76"/>
      <c r="CJ1636" s="76">
        <f>+CI1636*26000</f>
        <v>0</v>
      </c>
      <c r="CK1636" s="76"/>
      <c r="CL1636" s="76"/>
      <c r="CM1636" s="76"/>
      <c r="CN1636" s="76">
        <f>+CM1636*22000</f>
        <v>0</v>
      </c>
      <c r="CO1636" s="76"/>
      <c r="CP1636" s="76">
        <f>+CO1636*46000</f>
        <v>0</v>
      </c>
      <c r="CQ1636" s="76"/>
      <c r="CR1636" s="76">
        <f>+CQ1636*49000</f>
        <v>0</v>
      </c>
      <c r="CS1636" s="76"/>
      <c r="CT1636" s="76"/>
      <c r="CU1636" s="56">
        <f>AN1636+AP1636+AR1636+AT1636+AV1636+AX1636+AZ1636+BB1636+BD1636+BF1636+BH1636+BJ1636+BL1636+BN1636+BP1636+BR1636+BT1636+BV1636+BX1636+BZ1636+CB1636+CD1636+CF1636+CH1636+CJ1636+CL1636+CN1636+CP1636+CR1636+CT1636</f>
        <v>0</v>
      </c>
      <c r="CV1636" s="76"/>
      <c r="CW1636" s="76">
        <f>+CV1636*1100</f>
        <v>0</v>
      </c>
      <c r="CX1636" s="76"/>
      <c r="CY1636" s="76">
        <f>+CX1636*106250</f>
        <v>0</v>
      </c>
      <c r="CZ1636" s="76"/>
      <c r="DA1636" s="76">
        <f>+CZ1636*34500</f>
        <v>0</v>
      </c>
      <c r="DB1636" s="76"/>
      <c r="DC1636" s="76">
        <f>+DB1636*25000</f>
        <v>0</v>
      </c>
      <c r="DD1636" s="219"/>
      <c r="DE1636" s="219"/>
      <c r="DF1636" s="166"/>
      <c r="DG1636" s="116"/>
      <c r="DH1636" s="117"/>
      <c r="DI1636" s="24"/>
      <c r="DJ1636" s="24"/>
      <c r="DK1636" s="24"/>
      <c r="DL1636" s="24"/>
      <c r="DM1636" s="24"/>
      <c r="DN1636" s="24"/>
      <c r="DO1636" s="24"/>
      <c r="DP1636" s="24"/>
      <c r="DQ1636" s="24"/>
      <c r="DR1636" s="24"/>
      <c r="DS1636" s="24"/>
      <c r="DT1636" s="24"/>
      <c r="DU1636" s="24"/>
    </row>
    <row r="1637" spans="1:125" s="8" customFormat="1" ht="60" x14ac:dyDescent="0.2">
      <c r="A1637" s="353">
        <v>41393</v>
      </c>
      <c r="B1637" s="225" t="s">
        <v>2851</v>
      </c>
      <c r="C1637" s="227" t="s">
        <v>1366</v>
      </c>
      <c r="D1637" s="354" t="s">
        <v>2882</v>
      </c>
      <c r="E1637" s="75" t="str">
        <f>VLOOKUP(B1637&amp;C1637,Divipola!$C$2:$F$1138,4,FALSE)</f>
        <v>76622</v>
      </c>
      <c r="F1637" s="87"/>
      <c r="G1637" s="87"/>
      <c r="H1637" s="87"/>
      <c r="I1637" s="87">
        <v>60</v>
      </c>
      <c r="J1637" s="87">
        <v>12</v>
      </c>
      <c r="K1637" s="87"/>
      <c r="L1637" s="87">
        <v>12</v>
      </c>
      <c r="M1637" s="87"/>
      <c r="N1637" s="87"/>
      <c r="O1637" s="87"/>
      <c r="P1637" s="87"/>
      <c r="Q1637" s="87"/>
      <c r="R1637" s="87"/>
      <c r="S1637" s="87"/>
      <c r="T1637" s="87"/>
      <c r="U1637" s="88"/>
      <c r="V1637" s="89"/>
      <c r="W1637" s="96">
        <v>0</v>
      </c>
      <c r="X1637" s="71">
        <f>CU1637</f>
        <v>0</v>
      </c>
      <c r="Y1637" s="71">
        <f>CY1637</f>
        <v>0</v>
      </c>
      <c r="Z1637" s="71">
        <f>DA1637+DC1637+DE1637</f>
        <v>0</v>
      </c>
      <c r="AA1637" s="71">
        <f>CW1637</f>
        <v>0</v>
      </c>
      <c r="AB1637" s="71"/>
      <c r="AC1637" s="71">
        <v>0</v>
      </c>
      <c r="AD1637" s="71">
        <f>W1637+X1637+Y1637+Z1637+AA1637+AB1637+AC1637</f>
        <v>0</v>
      </c>
      <c r="AE1637" s="72">
        <v>0</v>
      </c>
      <c r="AF1637" s="5"/>
      <c r="AG1637" s="6"/>
      <c r="AH1637" s="27" t="s">
        <v>3392</v>
      </c>
      <c r="AI1637" s="44" t="s">
        <v>3393</v>
      </c>
      <c r="AJ1637" s="26"/>
      <c r="AK1637" s="5"/>
      <c r="AL1637" s="82" t="s">
        <v>4446</v>
      </c>
      <c r="AM1637" s="76"/>
      <c r="AN1637" s="76"/>
      <c r="AO1637" s="76"/>
      <c r="AP1637" s="76"/>
      <c r="AQ1637" s="76"/>
      <c r="AR1637" s="76"/>
      <c r="AS1637" s="76"/>
      <c r="AT1637" s="76"/>
      <c r="AU1637" s="76"/>
      <c r="AV1637" s="76"/>
      <c r="AW1637" s="76"/>
      <c r="AX1637" s="76">
        <f>+AW1637*600000</f>
        <v>0</v>
      </c>
      <c r="AY1637" s="76"/>
      <c r="AZ1637" s="76">
        <f>+AY1637*70000</f>
        <v>0</v>
      </c>
      <c r="BA1637" s="76"/>
      <c r="BB1637" s="76"/>
      <c r="BC1637" s="76"/>
      <c r="BD1637" s="76">
        <f>+BC1637*30000</f>
        <v>0</v>
      </c>
      <c r="BE1637" s="76"/>
      <c r="BF1637" s="76"/>
      <c r="BG1637" s="76"/>
      <c r="BH1637" s="76"/>
      <c r="BI1637" s="76"/>
      <c r="BJ1637" s="76"/>
      <c r="BK1637" s="76"/>
      <c r="BL1637" s="76">
        <f>+BK1637*31500</f>
        <v>0</v>
      </c>
      <c r="BM1637" s="76"/>
      <c r="BN1637" s="76"/>
      <c r="BO1637" s="76"/>
      <c r="BP1637" s="76"/>
      <c r="BQ1637" s="76"/>
      <c r="BR1637" s="76"/>
      <c r="BS1637" s="76"/>
      <c r="BT1637" s="76"/>
      <c r="BU1637" s="76"/>
      <c r="BV1637" s="76"/>
      <c r="BW1637" s="76"/>
      <c r="BX1637" s="76"/>
      <c r="BY1637" s="76"/>
      <c r="BZ1637" s="76"/>
      <c r="CA1637" s="76"/>
      <c r="CB1637" s="76"/>
      <c r="CC1637" s="76"/>
      <c r="CD1637" s="76"/>
      <c r="CE1637" s="76"/>
      <c r="CF1637" s="76">
        <f>+CE1637*28000</f>
        <v>0</v>
      </c>
      <c r="CG1637" s="76"/>
      <c r="CH1637" s="76">
        <f>+CG1637*22500</f>
        <v>0</v>
      </c>
      <c r="CI1637" s="76"/>
      <c r="CJ1637" s="76">
        <f>+CI1637*26000</f>
        <v>0</v>
      </c>
      <c r="CK1637" s="76"/>
      <c r="CL1637" s="76"/>
      <c r="CM1637" s="76"/>
      <c r="CN1637" s="76">
        <f>+CM1637*22000</f>
        <v>0</v>
      </c>
      <c r="CO1637" s="76"/>
      <c r="CP1637" s="76">
        <f>+CO1637*46000</f>
        <v>0</v>
      </c>
      <c r="CQ1637" s="76"/>
      <c r="CR1637" s="76">
        <f>+CQ1637*49000</f>
        <v>0</v>
      </c>
      <c r="CS1637" s="76"/>
      <c r="CT1637" s="76"/>
      <c r="CU1637" s="56">
        <f>AN1637+AP1637+AR1637+AT1637+AV1637+AX1637+AZ1637+BB1637+BD1637+BF1637+BH1637+BJ1637+BL1637+BN1637+BP1637+BR1637+BT1637+BV1637+BX1637+BZ1637+CB1637+CD1637+CF1637+CH1637+CJ1637+CL1637+CN1637+CP1637+CR1637+CT1637</f>
        <v>0</v>
      </c>
      <c r="CV1637" s="76"/>
      <c r="CW1637" s="76">
        <f>+CV1637*1100</f>
        <v>0</v>
      </c>
      <c r="CX1637" s="76"/>
      <c r="CY1637" s="76">
        <f>+CX1637*106250</f>
        <v>0</v>
      </c>
      <c r="CZ1637" s="76"/>
      <c r="DA1637" s="76">
        <f>+CZ1637*34500</f>
        <v>0</v>
      </c>
      <c r="DB1637" s="76"/>
      <c r="DC1637" s="76">
        <f>+DB1637*25000</f>
        <v>0</v>
      </c>
      <c r="DD1637" s="219"/>
      <c r="DE1637" s="219"/>
      <c r="DF1637" s="166"/>
      <c r="DG1637" s="116"/>
      <c r="DH1637" s="117"/>
      <c r="DI1637" s="24"/>
      <c r="DJ1637" s="24"/>
      <c r="DK1637" s="24"/>
      <c r="DL1637" s="24"/>
      <c r="DM1637" s="24"/>
      <c r="DN1637" s="24"/>
      <c r="DO1637" s="24"/>
      <c r="DP1637" s="24"/>
      <c r="DQ1637" s="24"/>
      <c r="DR1637" s="24"/>
      <c r="DS1637" s="24"/>
      <c r="DT1637" s="24"/>
      <c r="DU1637" s="24"/>
    </row>
    <row r="1638" spans="1:125" s="8" customFormat="1" ht="36" x14ac:dyDescent="0.2">
      <c r="A1638" s="77">
        <v>41394</v>
      </c>
      <c r="B1638" s="225" t="s">
        <v>2894</v>
      </c>
      <c r="C1638" s="227" t="s">
        <v>2702</v>
      </c>
      <c r="D1638" s="75" t="s">
        <v>3051</v>
      </c>
      <c r="E1638" s="75" t="str">
        <f>VLOOKUP(B1638&amp;C1638,Divipola!$C$2:$F$1138,4,FALSE)</f>
        <v>05088</v>
      </c>
      <c r="F1638" s="163"/>
      <c r="G1638" s="163"/>
      <c r="H1638" s="163"/>
      <c r="I1638" s="163">
        <v>15</v>
      </c>
      <c r="J1638" s="163">
        <v>3</v>
      </c>
      <c r="K1638" s="163"/>
      <c r="L1638" s="163">
        <v>3</v>
      </c>
      <c r="M1638" s="163"/>
      <c r="N1638" s="163"/>
      <c r="O1638" s="163"/>
      <c r="P1638" s="163"/>
      <c r="Q1638" s="163"/>
      <c r="R1638" s="163"/>
      <c r="S1638" s="163"/>
      <c r="T1638" s="163"/>
      <c r="U1638" s="163"/>
      <c r="V1638" s="134"/>
      <c r="W1638" s="96">
        <v>0</v>
      </c>
      <c r="X1638" s="71">
        <f>CU1638</f>
        <v>0</v>
      </c>
      <c r="Y1638" s="71">
        <f>CY1638</f>
        <v>0</v>
      </c>
      <c r="Z1638" s="71">
        <f>DA1638+DC1638+DE1638</f>
        <v>0</v>
      </c>
      <c r="AA1638" s="71">
        <f>CW1638</f>
        <v>0</v>
      </c>
      <c r="AB1638" s="71"/>
      <c r="AC1638" s="71">
        <v>0</v>
      </c>
      <c r="AD1638" s="71">
        <f>W1638+X1638+Y1638+Z1638+AA1638+AB1638+AC1638</f>
        <v>0</v>
      </c>
      <c r="AE1638" s="72">
        <v>0</v>
      </c>
      <c r="AF1638" s="5"/>
      <c r="AG1638" s="6"/>
      <c r="AH1638" s="27" t="s">
        <v>3392</v>
      </c>
      <c r="AI1638" s="44" t="s">
        <v>3393</v>
      </c>
      <c r="AJ1638" s="26"/>
      <c r="AK1638" s="5"/>
      <c r="AL1638" s="82" t="s">
        <v>4559</v>
      </c>
      <c r="AM1638" s="76"/>
      <c r="AN1638" s="76"/>
      <c r="AO1638" s="76"/>
      <c r="AP1638" s="76"/>
      <c r="AQ1638" s="76"/>
      <c r="AR1638" s="76"/>
      <c r="AS1638" s="76"/>
      <c r="AT1638" s="76"/>
      <c r="AU1638" s="76"/>
      <c r="AV1638" s="76"/>
      <c r="AW1638" s="76"/>
      <c r="AX1638" s="76">
        <f>+AW1638*600000</f>
        <v>0</v>
      </c>
      <c r="AY1638" s="76"/>
      <c r="AZ1638" s="76">
        <f>+AY1638*70000</f>
        <v>0</v>
      </c>
      <c r="BA1638" s="76"/>
      <c r="BB1638" s="76"/>
      <c r="BC1638" s="76"/>
      <c r="BD1638" s="76">
        <f>+BC1638*30000</f>
        <v>0</v>
      </c>
      <c r="BE1638" s="76"/>
      <c r="BF1638" s="76"/>
      <c r="BG1638" s="76"/>
      <c r="BH1638" s="76"/>
      <c r="BI1638" s="76"/>
      <c r="BJ1638" s="76"/>
      <c r="BK1638" s="76"/>
      <c r="BL1638" s="76">
        <f>+BK1638*31500</f>
        <v>0</v>
      </c>
      <c r="BM1638" s="76"/>
      <c r="BN1638" s="76"/>
      <c r="BO1638" s="76"/>
      <c r="BP1638" s="76"/>
      <c r="BQ1638" s="76"/>
      <c r="BR1638" s="76"/>
      <c r="BS1638" s="76"/>
      <c r="BT1638" s="76"/>
      <c r="BU1638" s="76"/>
      <c r="BV1638" s="76"/>
      <c r="BW1638" s="76"/>
      <c r="BX1638" s="76"/>
      <c r="BY1638" s="76"/>
      <c r="BZ1638" s="76"/>
      <c r="CA1638" s="76"/>
      <c r="CB1638" s="76"/>
      <c r="CC1638" s="76"/>
      <c r="CD1638" s="76"/>
      <c r="CE1638" s="76"/>
      <c r="CF1638" s="76">
        <f>+CE1638*28000</f>
        <v>0</v>
      </c>
      <c r="CG1638" s="76"/>
      <c r="CH1638" s="76">
        <f>+CG1638*22500</f>
        <v>0</v>
      </c>
      <c r="CI1638" s="76"/>
      <c r="CJ1638" s="76">
        <f>+CI1638*26000</f>
        <v>0</v>
      </c>
      <c r="CK1638" s="76"/>
      <c r="CL1638" s="76"/>
      <c r="CM1638" s="76"/>
      <c r="CN1638" s="76">
        <f>+CM1638*22000</f>
        <v>0</v>
      </c>
      <c r="CO1638" s="76"/>
      <c r="CP1638" s="76">
        <f>+CO1638*46000</f>
        <v>0</v>
      </c>
      <c r="CQ1638" s="76"/>
      <c r="CR1638" s="76">
        <f>+CQ1638*49000</f>
        <v>0</v>
      </c>
      <c r="CS1638" s="76"/>
      <c r="CT1638" s="76"/>
      <c r="CU1638" s="56">
        <f>AN1638+AP1638+AR1638+AT1638+AV1638+AX1638+AZ1638+BB1638+BD1638+BF1638+BH1638+BJ1638+BL1638+BN1638+BP1638+BR1638+BT1638+BV1638+BX1638+BZ1638+CB1638+CD1638+CF1638+CH1638+CJ1638+CL1638+CN1638+CP1638+CR1638+CT1638</f>
        <v>0</v>
      </c>
      <c r="CV1638" s="76"/>
      <c r="CW1638" s="76">
        <f>+CV1638*1100</f>
        <v>0</v>
      </c>
      <c r="CX1638" s="76"/>
      <c r="CY1638" s="76">
        <f>+CX1638*106250</f>
        <v>0</v>
      </c>
      <c r="CZ1638" s="76"/>
      <c r="DA1638" s="76">
        <f>+CZ1638*34500</f>
        <v>0</v>
      </c>
      <c r="DB1638" s="76"/>
      <c r="DC1638" s="76">
        <f>+DB1638*25000</f>
        <v>0</v>
      </c>
      <c r="DD1638" s="219"/>
      <c r="DE1638" s="219"/>
      <c r="DF1638" s="166"/>
      <c r="DG1638" s="116"/>
      <c r="DH1638" s="117"/>
      <c r="DI1638" s="24"/>
      <c r="DJ1638" s="24"/>
      <c r="DK1638" s="24"/>
      <c r="DL1638" s="24"/>
      <c r="DM1638" s="24"/>
      <c r="DN1638" s="24"/>
      <c r="DO1638" s="24"/>
      <c r="DP1638" s="24"/>
      <c r="DQ1638" s="24"/>
      <c r="DR1638" s="24"/>
      <c r="DS1638" s="24"/>
      <c r="DT1638" s="24"/>
      <c r="DU1638" s="24"/>
    </row>
    <row r="1639" spans="1:125" s="8" customFormat="1" ht="36" x14ac:dyDescent="0.2">
      <c r="A1639" s="353">
        <v>41394</v>
      </c>
      <c r="B1639" s="352" t="s">
        <v>2700</v>
      </c>
      <c r="C1639" s="227" t="s">
        <v>1379</v>
      </c>
      <c r="D1639" s="84" t="s">
        <v>3088</v>
      </c>
      <c r="E1639" s="75" t="str">
        <f>VLOOKUP(B1639&amp;C1639,Divipola!$C$2:$F$1138,4,FALSE)</f>
        <v>15790</v>
      </c>
      <c r="F1639" s="87"/>
      <c r="G1639" s="87"/>
      <c r="H1639" s="87"/>
      <c r="I1639" s="87"/>
      <c r="J1639" s="87"/>
      <c r="K1639" s="87"/>
      <c r="L1639" s="87"/>
      <c r="M1639" s="87"/>
      <c r="N1639" s="87"/>
      <c r="O1639" s="87"/>
      <c r="P1639" s="87"/>
      <c r="Q1639" s="87"/>
      <c r="R1639" s="87"/>
      <c r="S1639" s="87"/>
      <c r="T1639" s="87"/>
      <c r="U1639" s="88"/>
      <c r="V1639" s="89"/>
      <c r="W1639" s="96">
        <v>0</v>
      </c>
      <c r="X1639" s="71">
        <f>CU1639</f>
        <v>0</v>
      </c>
      <c r="Y1639" s="71">
        <f>CY1639</f>
        <v>0</v>
      </c>
      <c r="Z1639" s="71">
        <f>DA1639+DC1639+DE1639</f>
        <v>0</v>
      </c>
      <c r="AA1639" s="71">
        <f>CW1639</f>
        <v>0</v>
      </c>
      <c r="AB1639" s="71"/>
      <c r="AC1639" s="71">
        <v>0</v>
      </c>
      <c r="AD1639" s="71">
        <f>W1639+X1639+Y1639+Z1639+AA1639+AB1639+AC1639</f>
        <v>0</v>
      </c>
      <c r="AE1639" s="72">
        <v>0</v>
      </c>
      <c r="AF1639" s="5"/>
      <c r="AG1639" s="6"/>
      <c r="AH1639" s="27" t="s">
        <v>3392</v>
      </c>
      <c r="AI1639" s="44" t="s">
        <v>3393</v>
      </c>
      <c r="AJ1639" s="26"/>
      <c r="AK1639" s="5"/>
      <c r="AL1639" s="82" t="s">
        <v>4461</v>
      </c>
      <c r="AM1639" s="76"/>
      <c r="AN1639" s="76"/>
      <c r="AO1639" s="76"/>
      <c r="AP1639" s="76"/>
      <c r="AQ1639" s="76"/>
      <c r="AR1639" s="76"/>
      <c r="AS1639" s="76"/>
      <c r="AT1639" s="76"/>
      <c r="AU1639" s="76"/>
      <c r="AV1639" s="76"/>
      <c r="AW1639" s="76"/>
      <c r="AX1639" s="76">
        <f>+AW1639*600000</f>
        <v>0</v>
      </c>
      <c r="AY1639" s="76"/>
      <c r="AZ1639" s="76">
        <f>+AY1639*70000</f>
        <v>0</v>
      </c>
      <c r="BA1639" s="76"/>
      <c r="BB1639" s="76"/>
      <c r="BC1639" s="76"/>
      <c r="BD1639" s="76">
        <f>+BC1639*30000</f>
        <v>0</v>
      </c>
      <c r="BE1639" s="76"/>
      <c r="BF1639" s="76"/>
      <c r="BG1639" s="76"/>
      <c r="BH1639" s="76"/>
      <c r="BI1639" s="76"/>
      <c r="BJ1639" s="76"/>
      <c r="BK1639" s="76"/>
      <c r="BL1639" s="76">
        <f>+BK1639*31500</f>
        <v>0</v>
      </c>
      <c r="BM1639" s="76"/>
      <c r="BN1639" s="76"/>
      <c r="BO1639" s="76"/>
      <c r="BP1639" s="76"/>
      <c r="BQ1639" s="76"/>
      <c r="BR1639" s="76"/>
      <c r="BS1639" s="76"/>
      <c r="BT1639" s="76"/>
      <c r="BU1639" s="76"/>
      <c r="BV1639" s="76"/>
      <c r="BW1639" s="76"/>
      <c r="BX1639" s="76"/>
      <c r="BY1639" s="76"/>
      <c r="BZ1639" s="76"/>
      <c r="CA1639" s="76"/>
      <c r="CB1639" s="76"/>
      <c r="CC1639" s="76"/>
      <c r="CD1639" s="76"/>
      <c r="CE1639" s="76"/>
      <c r="CF1639" s="76">
        <f>+CE1639*28000</f>
        <v>0</v>
      </c>
      <c r="CG1639" s="76"/>
      <c r="CH1639" s="76">
        <f>+CG1639*22500</f>
        <v>0</v>
      </c>
      <c r="CI1639" s="76"/>
      <c r="CJ1639" s="76">
        <f>+CI1639*26000</f>
        <v>0</v>
      </c>
      <c r="CK1639" s="76"/>
      <c r="CL1639" s="76"/>
      <c r="CM1639" s="76"/>
      <c r="CN1639" s="76">
        <f>+CM1639*22000</f>
        <v>0</v>
      </c>
      <c r="CO1639" s="76"/>
      <c r="CP1639" s="76">
        <f>+CO1639*46000</f>
        <v>0</v>
      </c>
      <c r="CQ1639" s="76"/>
      <c r="CR1639" s="76">
        <f>+CQ1639*49000</f>
        <v>0</v>
      </c>
      <c r="CS1639" s="76"/>
      <c r="CT1639" s="76"/>
      <c r="CU1639" s="56">
        <f>AN1639+AP1639+AR1639+AT1639+AV1639+AX1639+AZ1639+BB1639+BD1639+BF1639+BH1639+BJ1639+BL1639+BN1639+BP1639+BR1639+BT1639+BV1639+BX1639+BZ1639+CB1639+CD1639+CF1639+CH1639+CJ1639+CL1639+CN1639+CP1639+CR1639+CT1639</f>
        <v>0</v>
      </c>
      <c r="CV1639" s="76"/>
      <c r="CW1639" s="76">
        <f>+CV1639*1100</f>
        <v>0</v>
      </c>
      <c r="CX1639" s="76"/>
      <c r="CY1639" s="76">
        <f>+CX1639*106250</f>
        <v>0</v>
      </c>
      <c r="CZ1639" s="76"/>
      <c r="DA1639" s="76">
        <f>+CZ1639*34500</f>
        <v>0</v>
      </c>
      <c r="DB1639" s="76"/>
      <c r="DC1639" s="76">
        <f>+DB1639*25000</f>
        <v>0</v>
      </c>
      <c r="DD1639" s="219"/>
      <c r="DE1639" s="219"/>
      <c r="DF1639" s="166"/>
      <c r="DG1639" s="116"/>
      <c r="DH1639" s="117"/>
      <c r="DI1639" s="24"/>
      <c r="DJ1639" s="24"/>
      <c r="DK1639" s="24"/>
      <c r="DL1639" s="24"/>
      <c r="DM1639" s="24"/>
      <c r="DN1639" s="24"/>
      <c r="DO1639" s="24"/>
      <c r="DP1639" s="24"/>
      <c r="DQ1639" s="24"/>
      <c r="DR1639" s="24"/>
      <c r="DS1639" s="24"/>
      <c r="DT1639" s="24"/>
      <c r="DU1639" s="24"/>
    </row>
    <row r="1640" spans="1:125" s="8" customFormat="1" ht="84" x14ac:dyDescent="0.2">
      <c r="A1640" s="353">
        <v>41394</v>
      </c>
      <c r="B1640" s="208" t="s">
        <v>2855</v>
      </c>
      <c r="C1640" s="354" t="s">
        <v>2802</v>
      </c>
      <c r="D1640" s="354" t="s">
        <v>2882</v>
      </c>
      <c r="E1640" s="75" t="str">
        <f>VLOOKUP(B1640&amp;C1640,Divipola!$C$2:$F$1138,4,FALSE)</f>
        <v>20295</v>
      </c>
      <c r="F1640" s="87"/>
      <c r="G1640" s="87"/>
      <c r="H1640" s="87"/>
      <c r="I1640" s="87">
        <v>500</v>
      </c>
      <c r="J1640" s="87">
        <v>100</v>
      </c>
      <c r="K1640" s="87"/>
      <c r="L1640" s="87">
        <v>100</v>
      </c>
      <c r="M1640" s="87"/>
      <c r="N1640" s="87"/>
      <c r="O1640" s="87"/>
      <c r="P1640" s="87"/>
      <c r="Q1640" s="87"/>
      <c r="R1640" s="87"/>
      <c r="S1640" s="87"/>
      <c r="T1640" s="87"/>
      <c r="U1640" s="88"/>
      <c r="V1640" s="89"/>
      <c r="W1640" s="96">
        <v>0</v>
      </c>
      <c r="X1640" s="71">
        <f>CU1640</f>
        <v>0</v>
      </c>
      <c r="Y1640" s="71">
        <f>CY1640</f>
        <v>0</v>
      </c>
      <c r="Z1640" s="71">
        <f>DA1640+DC1640+DE1640</f>
        <v>0</v>
      </c>
      <c r="AA1640" s="71">
        <f>CW1640</f>
        <v>0</v>
      </c>
      <c r="AB1640" s="71"/>
      <c r="AC1640" s="71">
        <v>0</v>
      </c>
      <c r="AD1640" s="71">
        <f>W1640+X1640+Y1640+Z1640+AA1640+AB1640+AC1640</f>
        <v>0</v>
      </c>
      <c r="AE1640" s="72">
        <v>0</v>
      </c>
      <c r="AF1640" s="5"/>
      <c r="AG1640" s="6"/>
      <c r="AH1640" s="27" t="s">
        <v>3392</v>
      </c>
      <c r="AI1640" s="44" t="s">
        <v>3393</v>
      </c>
      <c r="AJ1640" s="26"/>
      <c r="AK1640" s="5"/>
      <c r="AL1640" s="82" t="s">
        <v>4463</v>
      </c>
      <c r="AM1640" s="76"/>
      <c r="AN1640" s="76"/>
      <c r="AO1640" s="76"/>
      <c r="AP1640" s="76"/>
      <c r="AQ1640" s="76"/>
      <c r="AR1640" s="76"/>
      <c r="AS1640" s="76"/>
      <c r="AT1640" s="76"/>
      <c r="AU1640" s="76"/>
      <c r="AV1640" s="76"/>
      <c r="AW1640" s="76"/>
      <c r="AX1640" s="76">
        <f>+AW1640*600000</f>
        <v>0</v>
      </c>
      <c r="AY1640" s="76"/>
      <c r="AZ1640" s="76">
        <f>+AY1640*70000</f>
        <v>0</v>
      </c>
      <c r="BA1640" s="76"/>
      <c r="BB1640" s="76"/>
      <c r="BC1640" s="76"/>
      <c r="BD1640" s="76">
        <f>+BC1640*30000</f>
        <v>0</v>
      </c>
      <c r="BE1640" s="76"/>
      <c r="BF1640" s="76"/>
      <c r="BG1640" s="76"/>
      <c r="BH1640" s="76"/>
      <c r="BI1640" s="76"/>
      <c r="BJ1640" s="76"/>
      <c r="BK1640" s="76"/>
      <c r="BL1640" s="76">
        <f>+BK1640*31500</f>
        <v>0</v>
      </c>
      <c r="BM1640" s="76"/>
      <c r="BN1640" s="76"/>
      <c r="BO1640" s="76"/>
      <c r="BP1640" s="76"/>
      <c r="BQ1640" s="76"/>
      <c r="BR1640" s="76"/>
      <c r="BS1640" s="76"/>
      <c r="BT1640" s="76"/>
      <c r="BU1640" s="76"/>
      <c r="BV1640" s="76"/>
      <c r="BW1640" s="76"/>
      <c r="BX1640" s="76"/>
      <c r="BY1640" s="76"/>
      <c r="BZ1640" s="76"/>
      <c r="CA1640" s="76"/>
      <c r="CB1640" s="76"/>
      <c r="CC1640" s="76"/>
      <c r="CD1640" s="76"/>
      <c r="CE1640" s="76"/>
      <c r="CF1640" s="76">
        <f>+CE1640*28000</f>
        <v>0</v>
      </c>
      <c r="CG1640" s="76"/>
      <c r="CH1640" s="76">
        <f>+CG1640*22500</f>
        <v>0</v>
      </c>
      <c r="CI1640" s="76"/>
      <c r="CJ1640" s="76">
        <f>+CI1640*26000</f>
        <v>0</v>
      </c>
      <c r="CK1640" s="76"/>
      <c r="CL1640" s="76"/>
      <c r="CM1640" s="76"/>
      <c r="CN1640" s="76">
        <f>+CM1640*22000</f>
        <v>0</v>
      </c>
      <c r="CO1640" s="76"/>
      <c r="CP1640" s="76">
        <f>+CO1640*46000</f>
        <v>0</v>
      </c>
      <c r="CQ1640" s="76"/>
      <c r="CR1640" s="76">
        <f>+CQ1640*49000</f>
        <v>0</v>
      </c>
      <c r="CS1640" s="76"/>
      <c r="CT1640" s="76"/>
      <c r="CU1640" s="56">
        <f>AN1640+AP1640+AR1640+AT1640+AV1640+AX1640+AZ1640+BB1640+BD1640+BF1640+BH1640+BJ1640+BL1640+BN1640+BP1640+BR1640+BT1640+BV1640+BX1640+BZ1640+CB1640+CD1640+CF1640+CH1640+CJ1640+CL1640+CN1640+CP1640+CR1640+CT1640</f>
        <v>0</v>
      </c>
      <c r="CV1640" s="76"/>
      <c r="CW1640" s="76">
        <f>+CV1640*1100</f>
        <v>0</v>
      </c>
      <c r="CX1640" s="76"/>
      <c r="CY1640" s="76">
        <f>+CX1640*106250</f>
        <v>0</v>
      </c>
      <c r="CZ1640" s="76"/>
      <c r="DA1640" s="76">
        <f>+CZ1640*34500</f>
        <v>0</v>
      </c>
      <c r="DB1640" s="76"/>
      <c r="DC1640" s="76">
        <f>+DB1640*25000</f>
        <v>0</v>
      </c>
      <c r="DD1640" s="219"/>
      <c r="DE1640" s="219"/>
      <c r="DF1640" s="166"/>
      <c r="DG1640" s="116"/>
      <c r="DH1640" s="117"/>
      <c r="DI1640" s="24"/>
      <c r="DJ1640" s="24"/>
      <c r="DK1640" s="24"/>
      <c r="DL1640" s="24"/>
      <c r="DM1640" s="24"/>
      <c r="DN1640" s="24"/>
      <c r="DO1640" s="24"/>
      <c r="DP1640" s="24"/>
      <c r="DQ1640" s="24"/>
      <c r="DR1640" s="24"/>
      <c r="DS1640" s="24"/>
      <c r="DT1640" s="24"/>
      <c r="DU1640" s="24"/>
    </row>
    <row r="1641" spans="1:125" s="8" customFormat="1" ht="36" x14ac:dyDescent="0.2">
      <c r="A1641" s="353">
        <v>41394</v>
      </c>
      <c r="B1641" s="225" t="s">
        <v>2860</v>
      </c>
      <c r="C1641" s="227" t="s">
        <v>2776</v>
      </c>
      <c r="D1641" s="227" t="s">
        <v>2882</v>
      </c>
      <c r="E1641" s="75" t="str">
        <f>VLOOKUP(B1641&amp;C1641,Divipola!$C$2:$F$1138,4,FALSE)</f>
        <v>63001</v>
      </c>
      <c r="F1641" s="163"/>
      <c r="G1641" s="163"/>
      <c r="H1641" s="163"/>
      <c r="I1641" s="163">
        <v>25</v>
      </c>
      <c r="J1641" s="163">
        <v>5</v>
      </c>
      <c r="K1641" s="163"/>
      <c r="L1641" s="163">
        <v>5</v>
      </c>
      <c r="M1641" s="163"/>
      <c r="N1641" s="163"/>
      <c r="O1641" s="163"/>
      <c r="P1641" s="163"/>
      <c r="Q1641" s="163"/>
      <c r="R1641" s="163"/>
      <c r="S1641" s="163"/>
      <c r="T1641" s="163"/>
      <c r="U1641" s="163"/>
      <c r="V1641" s="134"/>
      <c r="W1641" s="96">
        <v>0</v>
      </c>
      <c r="X1641" s="71">
        <f>CU1641</f>
        <v>0</v>
      </c>
      <c r="Y1641" s="71">
        <f>CY1641</f>
        <v>0</v>
      </c>
      <c r="Z1641" s="71">
        <f>DA1641+DC1641+DE1641</f>
        <v>0</v>
      </c>
      <c r="AA1641" s="71">
        <f>CW1641</f>
        <v>0</v>
      </c>
      <c r="AB1641" s="71"/>
      <c r="AC1641" s="71">
        <v>0</v>
      </c>
      <c r="AD1641" s="71">
        <f>W1641+X1641+Y1641+Z1641+AA1641+AB1641+AC1641</f>
        <v>0</v>
      </c>
      <c r="AE1641" s="72">
        <v>0</v>
      </c>
      <c r="AF1641" s="5"/>
      <c r="AG1641" s="6"/>
      <c r="AH1641" s="27" t="s">
        <v>3390</v>
      </c>
      <c r="AI1641" s="44" t="s">
        <v>3393</v>
      </c>
      <c r="AJ1641" s="26"/>
      <c r="AK1641" s="5" t="s">
        <v>4242</v>
      </c>
      <c r="AL1641" s="82" t="s">
        <v>4541</v>
      </c>
      <c r="AM1641" s="76"/>
      <c r="AN1641" s="76"/>
      <c r="AO1641" s="76"/>
      <c r="AP1641" s="76"/>
      <c r="AQ1641" s="76"/>
      <c r="AR1641" s="76"/>
      <c r="AS1641" s="76"/>
      <c r="AT1641" s="76"/>
      <c r="AU1641" s="76"/>
      <c r="AV1641" s="76"/>
      <c r="AW1641" s="76"/>
      <c r="AX1641" s="76">
        <f>+AW1641*600000</f>
        <v>0</v>
      </c>
      <c r="AY1641" s="76"/>
      <c r="AZ1641" s="76">
        <f>+AY1641*70000</f>
        <v>0</v>
      </c>
      <c r="BA1641" s="76"/>
      <c r="BB1641" s="76"/>
      <c r="BC1641" s="76"/>
      <c r="BD1641" s="76">
        <f>+BC1641*30000</f>
        <v>0</v>
      </c>
      <c r="BE1641" s="76"/>
      <c r="BF1641" s="76"/>
      <c r="BG1641" s="76"/>
      <c r="BH1641" s="76"/>
      <c r="BI1641" s="76"/>
      <c r="BJ1641" s="76"/>
      <c r="BK1641" s="76"/>
      <c r="BL1641" s="76">
        <f>+BK1641*31500</f>
        <v>0</v>
      </c>
      <c r="BM1641" s="76"/>
      <c r="BN1641" s="76"/>
      <c r="BO1641" s="76"/>
      <c r="BP1641" s="76"/>
      <c r="BQ1641" s="76"/>
      <c r="BR1641" s="76"/>
      <c r="BS1641" s="76"/>
      <c r="BT1641" s="76"/>
      <c r="BU1641" s="76"/>
      <c r="BV1641" s="76"/>
      <c r="BW1641" s="76"/>
      <c r="BX1641" s="76"/>
      <c r="BY1641" s="76"/>
      <c r="BZ1641" s="76"/>
      <c r="CA1641" s="76"/>
      <c r="CB1641" s="76"/>
      <c r="CC1641" s="76"/>
      <c r="CD1641" s="76"/>
      <c r="CE1641" s="76"/>
      <c r="CF1641" s="76">
        <f>+CE1641*28000</f>
        <v>0</v>
      </c>
      <c r="CG1641" s="76"/>
      <c r="CH1641" s="76">
        <f>+CG1641*22500</f>
        <v>0</v>
      </c>
      <c r="CI1641" s="76"/>
      <c r="CJ1641" s="76">
        <f>+CI1641*26000</f>
        <v>0</v>
      </c>
      <c r="CK1641" s="76"/>
      <c r="CL1641" s="76"/>
      <c r="CM1641" s="76"/>
      <c r="CN1641" s="76">
        <f>+CM1641*22000</f>
        <v>0</v>
      </c>
      <c r="CO1641" s="76"/>
      <c r="CP1641" s="76">
        <f>+CO1641*46000</f>
        <v>0</v>
      </c>
      <c r="CQ1641" s="76"/>
      <c r="CR1641" s="76">
        <f>+CQ1641*49000</f>
        <v>0</v>
      </c>
      <c r="CS1641" s="76"/>
      <c r="CT1641" s="76"/>
      <c r="CU1641" s="56">
        <f>AN1641+AP1641+AR1641+AT1641+AV1641+AX1641+AZ1641+BB1641+BD1641+BF1641+BH1641+BJ1641+BL1641+BN1641+BP1641+BR1641+BT1641+BV1641+BX1641+BZ1641+CB1641+CD1641+CF1641+CH1641+CJ1641+CL1641+CN1641+CP1641+CR1641+CT1641</f>
        <v>0</v>
      </c>
      <c r="CV1641" s="76"/>
      <c r="CW1641" s="76">
        <f>+CV1641*1100</f>
        <v>0</v>
      </c>
      <c r="CX1641" s="76"/>
      <c r="CY1641" s="76">
        <f>+CX1641*106250</f>
        <v>0</v>
      </c>
      <c r="CZ1641" s="76"/>
      <c r="DA1641" s="76">
        <f>+CZ1641*34500</f>
        <v>0</v>
      </c>
      <c r="DB1641" s="76"/>
      <c r="DC1641" s="76">
        <f>+DB1641*25000</f>
        <v>0</v>
      </c>
      <c r="DD1641" s="219"/>
      <c r="DE1641" s="219"/>
      <c r="DF1641" s="166"/>
      <c r="DG1641" s="116"/>
      <c r="DH1641" s="117"/>
      <c r="DI1641" s="24"/>
      <c r="DJ1641" s="24"/>
      <c r="DK1641" s="24"/>
      <c r="DL1641" s="24"/>
      <c r="DM1641" s="24"/>
      <c r="DN1641" s="24"/>
      <c r="DO1641" s="24"/>
      <c r="DP1641" s="24"/>
      <c r="DQ1641" s="24"/>
      <c r="DR1641" s="24"/>
      <c r="DS1641" s="24"/>
      <c r="DT1641" s="24"/>
      <c r="DU1641" s="24"/>
    </row>
    <row r="1642" spans="1:125" s="8" customFormat="1" ht="72" x14ac:dyDescent="0.2">
      <c r="A1642" s="353">
        <v>41394</v>
      </c>
      <c r="B1642" s="352" t="s">
        <v>2847</v>
      </c>
      <c r="C1642" s="354" t="s">
        <v>2673</v>
      </c>
      <c r="D1642" s="354" t="s">
        <v>2846</v>
      </c>
      <c r="E1642" s="75" t="str">
        <f>VLOOKUP(B1642&amp;C1642,Divipola!$C$2:$F$1138,4,FALSE)</f>
        <v>68001</v>
      </c>
      <c r="F1642" s="87"/>
      <c r="G1642" s="87"/>
      <c r="H1642" s="87"/>
      <c r="I1642" s="87"/>
      <c r="J1642" s="87"/>
      <c r="K1642" s="87"/>
      <c r="L1642" s="87"/>
      <c r="M1642" s="87"/>
      <c r="N1642" s="87"/>
      <c r="O1642" s="87"/>
      <c r="P1642" s="87"/>
      <c r="Q1642" s="87"/>
      <c r="R1642" s="87"/>
      <c r="S1642" s="87"/>
      <c r="T1642" s="87"/>
      <c r="U1642" s="88"/>
      <c r="V1642" s="89"/>
      <c r="W1642" s="96">
        <v>0</v>
      </c>
      <c r="X1642" s="71">
        <f>CU1642</f>
        <v>0</v>
      </c>
      <c r="Y1642" s="71">
        <f>CY1642</f>
        <v>0</v>
      </c>
      <c r="Z1642" s="71">
        <f>DA1642+DC1642+DE1642</f>
        <v>0</v>
      </c>
      <c r="AA1642" s="71">
        <f>CW1642</f>
        <v>0</v>
      </c>
      <c r="AB1642" s="71"/>
      <c r="AC1642" s="71">
        <v>0</v>
      </c>
      <c r="AD1642" s="71">
        <f>W1642+X1642+Y1642+Z1642+AA1642+AB1642+AC1642</f>
        <v>0</v>
      </c>
      <c r="AE1642" s="72">
        <v>0</v>
      </c>
      <c r="AF1642" s="5"/>
      <c r="AG1642" s="6"/>
      <c r="AH1642" s="27" t="s">
        <v>3392</v>
      </c>
      <c r="AI1642" s="44" t="s">
        <v>3393</v>
      </c>
      <c r="AJ1642" s="26"/>
      <c r="AK1642" s="5"/>
      <c r="AL1642" s="82" t="s">
        <v>4453</v>
      </c>
      <c r="AM1642" s="76"/>
      <c r="AN1642" s="76"/>
      <c r="AO1642" s="76"/>
      <c r="AP1642" s="76"/>
      <c r="AQ1642" s="76"/>
      <c r="AR1642" s="76"/>
      <c r="AS1642" s="76"/>
      <c r="AT1642" s="76"/>
      <c r="AU1642" s="76"/>
      <c r="AV1642" s="76"/>
      <c r="AW1642" s="76"/>
      <c r="AX1642" s="76">
        <f>+AW1642*600000</f>
        <v>0</v>
      </c>
      <c r="AY1642" s="76"/>
      <c r="AZ1642" s="76">
        <f>+AY1642*70000</f>
        <v>0</v>
      </c>
      <c r="BA1642" s="76"/>
      <c r="BB1642" s="76"/>
      <c r="BC1642" s="76"/>
      <c r="BD1642" s="76">
        <f>+BC1642*30000</f>
        <v>0</v>
      </c>
      <c r="BE1642" s="76"/>
      <c r="BF1642" s="76"/>
      <c r="BG1642" s="76"/>
      <c r="BH1642" s="76"/>
      <c r="BI1642" s="76"/>
      <c r="BJ1642" s="76"/>
      <c r="BK1642" s="76"/>
      <c r="BL1642" s="76">
        <f>+BK1642*31500</f>
        <v>0</v>
      </c>
      <c r="BM1642" s="76"/>
      <c r="BN1642" s="76"/>
      <c r="BO1642" s="76"/>
      <c r="BP1642" s="76"/>
      <c r="BQ1642" s="76"/>
      <c r="BR1642" s="76"/>
      <c r="BS1642" s="76"/>
      <c r="BT1642" s="76"/>
      <c r="BU1642" s="76"/>
      <c r="BV1642" s="76"/>
      <c r="BW1642" s="76"/>
      <c r="BX1642" s="76"/>
      <c r="BY1642" s="76"/>
      <c r="BZ1642" s="76"/>
      <c r="CA1642" s="76"/>
      <c r="CB1642" s="76"/>
      <c r="CC1642" s="76"/>
      <c r="CD1642" s="76"/>
      <c r="CE1642" s="76"/>
      <c r="CF1642" s="76">
        <f>+CE1642*28000</f>
        <v>0</v>
      </c>
      <c r="CG1642" s="76"/>
      <c r="CH1642" s="76">
        <f>+CG1642*22500</f>
        <v>0</v>
      </c>
      <c r="CI1642" s="76"/>
      <c r="CJ1642" s="76">
        <f>+CI1642*26000</f>
        <v>0</v>
      </c>
      <c r="CK1642" s="76"/>
      <c r="CL1642" s="76"/>
      <c r="CM1642" s="76"/>
      <c r="CN1642" s="76">
        <f>+CM1642*22000</f>
        <v>0</v>
      </c>
      <c r="CO1642" s="76"/>
      <c r="CP1642" s="76">
        <f>+CO1642*46000</f>
        <v>0</v>
      </c>
      <c r="CQ1642" s="76"/>
      <c r="CR1642" s="76">
        <f>+CQ1642*49000</f>
        <v>0</v>
      </c>
      <c r="CS1642" s="76"/>
      <c r="CT1642" s="76"/>
      <c r="CU1642" s="56">
        <f>AN1642+AP1642+AR1642+AT1642+AV1642+AX1642+AZ1642+BB1642+BD1642+BF1642+BH1642+BJ1642+BL1642+BN1642+BP1642+BR1642+BT1642+BV1642+BX1642+BZ1642+CB1642+CD1642+CF1642+CH1642+CJ1642+CL1642+CN1642+CP1642+CR1642+CT1642</f>
        <v>0</v>
      </c>
      <c r="CV1642" s="76"/>
      <c r="CW1642" s="76">
        <f>+CV1642*1100</f>
        <v>0</v>
      </c>
      <c r="CX1642" s="76"/>
      <c r="CY1642" s="76">
        <f>+CX1642*106250</f>
        <v>0</v>
      </c>
      <c r="CZ1642" s="76"/>
      <c r="DA1642" s="76">
        <f>+CZ1642*34500</f>
        <v>0</v>
      </c>
      <c r="DB1642" s="76"/>
      <c r="DC1642" s="76">
        <f>+DB1642*25000</f>
        <v>0</v>
      </c>
      <c r="DD1642" s="219"/>
      <c r="DE1642" s="219"/>
      <c r="DF1642" s="166"/>
      <c r="DG1642" s="116"/>
      <c r="DH1642" s="117"/>
      <c r="DI1642" s="24"/>
      <c r="DJ1642" s="24"/>
      <c r="DK1642" s="24"/>
      <c r="DL1642" s="24"/>
      <c r="DM1642" s="24"/>
      <c r="DN1642" s="24"/>
      <c r="DO1642" s="24"/>
      <c r="DP1642" s="24"/>
      <c r="DQ1642" s="24"/>
      <c r="DR1642" s="24"/>
      <c r="DS1642" s="24"/>
      <c r="DT1642" s="24"/>
      <c r="DU1642" s="24"/>
    </row>
    <row r="1643" spans="1:125" s="8" customFormat="1" ht="60" x14ac:dyDescent="0.2">
      <c r="A1643" s="97">
        <v>41394</v>
      </c>
      <c r="B1643" s="60" t="s">
        <v>2847</v>
      </c>
      <c r="C1643" s="55" t="s">
        <v>2673</v>
      </c>
      <c r="D1643" s="55" t="s">
        <v>2846</v>
      </c>
      <c r="E1643" s="75" t="str">
        <f>VLOOKUP(B1643&amp;C1643,Divipola!$C$2:$F$1138,4,FALSE)</f>
        <v>68001</v>
      </c>
      <c r="F1643" s="87"/>
      <c r="G1643" s="87"/>
      <c r="H1643" s="87"/>
      <c r="I1643" s="87"/>
      <c r="J1643" s="87"/>
      <c r="K1643" s="87"/>
      <c r="L1643" s="87"/>
      <c r="M1643" s="87"/>
      <c r="N1643" s="87"/>
      <c r="O1643" s="87"/>
      <c r="P1643" s="87"/>
      <c r="Q1643" s="87"/>
      <c r="R1643" s="87"/>
      <c r="S1643" s="87"/>
      <c r="T1643" s="87"/>
      <c r="U1643" s="88"/>
      <c r="V1643" s="89"/>
      <c r="W1643" s="96">
        <v>0</v>
      </c>
      <c r="X1643" s="71">
        <f>CU1643</f>
        <v>0</v>
      </c>
      <c r="Y1643" s="71">
        <f>CY1643</f>
        <v>0</v>
      </c>
      <c r="Z1643" s="71">
        <f>DA1643+DC1643+DE1643</f>
        <v>0</v>
      </c>
      <c r="AA1643" s="71">
        <f>CW1643</f>
        <v>0</v>
      </c>
      <c r="AB1643" s="71"/>
      <c r="AC1643" s="71">
        <v>0</v>
      </c>
      <c r="AD1643" s="71">
        <f>W1643+X1643+Y1643+Z1643+AA1643+AB1643+AC1643</f>
        <v>0</v>
      </c>
      <c r="AE1643" s="72">
        <v>0</v>
      </c>
      <c r="AF1643" s="5"/>
      <c r="AG1643" s="6"/>
      <c r="AH1643" s="27" t="s">
        <v>3392</v>
      </c>
      <c r="AI1643" s="44" t="s">
        <v>3393</v>
      </c>
      <c r="AJ1643" s="26"/>
      <c r="AK1643" s="5"/>
      <c r="AL1643" s="82" t="s">
        <v>4454</v>
      </c>
      <c r="AM1643" s="76"/>
      <c r="AN1643" s="76"/>
      <c r="AO1643" s="76"/>
      <c r="AP1643" s="76"/>
      <c r="AQ1643" s="76"/>
      <c r="AR1643" s="76"/>
      <c r="AS1643" s="76"/>
      <c r="AT1643" s="76"/>
      <c r="AU1643" s="76"/>
      <c r="AV1643" s="76"/>
      <c r="AW1643" s="76"/>
      <c r="AX1643" s="76">
        <f>+AW1643*600000</f>
        <v>0</v>
      </c>
      <c r="AY1643" s="76"/>
      <c r="AZ1643" s="76">
        <f>+AY1643*70000</f>
        <v>0</v>
      </c>
      <c r="BA1643" s="76"/>
      <c r="BB1643" s="76"/>
      <c r="BC1643" s="76"/>
      <c r="BD1643" s="76">
        <f>+BC1643*30000</f>
        <v>0</v>
      </c>
      <c r="BE1643" s="76"/>
      <c r="BF1643" s="76"/>
      <c r="BG1643" s="76"/>
      <c r="BH1643" s="76"/>
      <c r="BI1643" s="76"/>
      <c r="BJ1643" s="76"/>
      <c r="BK1643" s="76"/>
      <c r="BL1643" s="76">
        <f>+BK1643*31500</f>
        <v>0</v>
      </c>
      <c r="BM1643" s="76"/>
      <c r="BN1643" s="76"/>
      <c r="BO1643" s="76"/>
      <c r="BP1643" s="76"/>
      <c r="BQ1643" s="76"/>
      <c r="BR1643" s="76"/>
      <c r="BS1643" s="76"/>
      <c r="BT1643" s="76"/>
      <c r="BU1643" s="76"/>
      <c r="BV1643" s="76"/>
      <c r="BW1643" s="76"/>
      <c r="BX1643" s="76"/>
      <c r="BY1643" s="76"/>
      <c r="BZ1643" s="76"/>
      <c r="CA1643" s="76"/>
      <c r="CB1643" s="76"/>
      <c r="CC1643" s="76"/>
      <c r="CD1643" s="76"/>
      <c r="CE1643" s="76"/>
      <c r="CF1643" s="76">
        <f>+CE1643*28000</f>
        <v>0</v>
      </c>
      <c r="CG1643" s="76"/>
      <c r="CH1643" s="76">
        <f>+CG1643*22500</f>
        <v>0</v>
      </c>
      <c r="CI1643" s="76"/>
      <c r="CJ1643" s="76">
        <f>+CI1643*26000</f>
        <v>0</v>
      </c>
      <c r="CK1643" s="76"/>
      <c r="CL1643" s="76"/>
      <c r="CM1643" s="76"/>
      <c r="CN1643" s="76">
        <f>+CM1643*22000</f>
        <v>0</v>
      </c>
      <c r="CO1643" s="76"/>
      <c r="CP1643" s="76">
        <f>+CO1643*46000</f>
        <v>0</v>
      </c>
      <c r="CQ1643" s="76"/>
      <c r="CR1643" s="76">
        <f>+CQ1643*49000</f>
        <v>0</v>
      </c>
      <c r="CS1643" s="76"/>
      <c r="CT1643" s="76"/>
      <c r="CU1643" s="56">
        <f>AN1643+AP1643+AR1643+AT1643+AV1643+AX1643+AZ1643+BB1643+BD1643+BF1643+BH1643+BJ1643+BL1643+BN1643+BP1643+BR1643+BT1643+BV1643+BX1643+BZ1643+CB1643+CD1643+CF1643+CH1643+CJ1643+CL1643+CN1643+CP1643+CR1643+CT1643</f>
        <v>0</v>
      </c>
      <c r="CV1643" s="76"/>
      <c r="CW1643" s="76">
        <f>+CV1643*1100</f>
        <v>0</v>
      </c>
      <c r="CX1643" s="76"/>
      <c r="CY1643" s="76">
        <f>+CX1643*106250</f>
        <v>0</v>
      </c>
      <c r="CZ1643" s="76"/>
      <c r="DA1643" s="76">
        <f>+CZ1643*34500</f>
        <v>0</v>
      </c>
      <c r="DB1643" s="76"/>
      <c r="DC1643" s="76">
        <f>+DB1643*25000</f>
        <v>0</v>
      </c>
      <c r="DD1643" s="219"/>
      <c r="DE1643" s="219"/>
      <c r="DF1643" s="166"/>
      <c r="DG1643" s="116"/>
      <c r="DH1643" s="117"/>
      <c r="DI1643" s="24"/>
      <c r="DJ1643" s="24"/>
      <c r="DK1643" s="24"/>
      <c r="DL1643" s="24"/>
      <c r="DM1643" s="24"/>
      <c r="DN1643" s="24"/>
      <c r="DO1643" s="24"/>
      <c r="DP1643" s="24"/>
      <c r="DQ1643" s="24"/>
      <c r="DR1643" s="24"/>
      <c r="DS1643" s="24"/>
      <c r="DT1643" s="24"/>
      <c r="DU1643" s="24"/>
    </row>
    <row r="1644" spans="1:125" s="8" customFormat="1" ht="72" x14ac:dyDescent="0.2">
      <c r="A1644" s="353">
        <v>41394</v>
      </c>
      <c r="B1644" s="352" t="s">
        <v>2847</v>
      </c>
      <c r="C1644" s="354" t="s">
        <v>2673</v>
      </c>
      <c r="D1644" s="354" t="s">
        <v>2846</v>
      </c>
      <c r="E1644" s="75" t="str">
        <f>VLOOKUP(B1644&amp;C1644,Divipola!$C$2:$F$1138,4,FALSE)</f>
        <v>68001</v>
      </c>
      <c r="F1644" s="87"/>
      <c r="G1644" s="87"/>
      <c r="H1644" s="87"/>
      <c r="I1644" s="87"/>
      <c r="J1644" s="87"/>
      <c r="K1644" s="87"/>
      <c r="L1644" s="87"/>
      <c r="M1644" s="87"/>
      <c r="N1644" s="87"/>
      <c r="O1644" s="87"/>
      <c r="P1644" s="87"/>
      <c r="Q1644" s="87"/>
      <c r="R1644" s="87"/>
      <c r="S1644" s="87"/>
      <c r="T1644" s="87"/>
      <c r="U1644" s="88"/>
      <c r="V1644" s="89"/>
      <c r="W1644" s="96">
        <v>0</v>
      </c>
      <c r="X1644" s="71">
        <f>CU1644</f>
        <v>0</v>
      </c>
      <c r="Y1644" s="71">
        <f>CY1644</f>
        <v>0</v>
      </c>
      <c r="Z1644" s="71">
        <f>DA1644+DC1644+DE1644</f>
        <v>0</v>
      </c>
      <c r="AA1644" s="71">
        <f>CW1644</f>
        <v>0</v>
      </c>
      <c r="AB1644" s="71"/>
      <c r="AC1644" s="71">
        <v>0</v>
      </c>
      <c r="AD1644" s="71">
        <f>W1644+X1644+Y1644+Z1644+AA1644+AB1644+AC1644</f>
        <v>0</v>
      </c>
      <c r="AE1644" s="72">
        <v>0</v>
      </c>
      <c r="AF1644" s="5"/>
      <c r="AG1644" s="6"/>
      <c r="AH1644" s="27" t="s">
        <v>3392</v>
      </c>
      <c r="AI1644" s="44" t="s">
        <v>3393</v>
      </c>
      <c r="AJ1644" s="26"/>
      <c r="AK1644" s="5"/>
      <c r="AL1644" s="82" t="s">
        <v>4455</v>
      </c>
      <c r="AM1644" s="76"/>
      <c r="AN1644" s="76"/>
      <c r="AO1644" s="76"/>
      <c r="AP1644" s="76"/>
      <c r="AQ1644" s="76"/>
      <c r="AR1644" s="76"/>
      <c r="AS1644" s="76"/>
      <c r="AT1644" s="76"/>
      <c r="AU1644" s="76"/>
      <c r="AV1644" s="76"/>
      <c r="AW1644" s="76"/>
      <c r="AX1644" s="76">
        <f>+AW1644*600000</f>
        <v>0</v>
      </c>
      <c r="AY1644" s="76"/>
      <c r="AZ1644" s="76">
        <f>+AY1644*70000</f>
        <v>0</v>
      </c>
      <c r="BA1644" s="76"/>
      <c r="BB1644" s="76"/>
      <c r="BC1644" s="76"/>
      <c r="BD1644" s="76">
        <f>+BC1644*30000</f>
        <v>0</v>
      </c>
      <c r="BE1644" s="76"/>
      <c r="BF1644" s="76"/>
      <c r="BG1644" s="76"/>
      <c r="BH1644" s="76"/>
      <c r="BI1644" s="76"/>
      <c r="BJ1644" s="76"/>
      <c r="BK1644" s="76"/>
      <c r="BL1644" s="76">
        <f>+BK1644*31500</f>
        <v>0</v>
      </c>
      <c r="BM1644" s="76"/>
      <c r="BN1644" s="76"/>
      <c r="BO1644" s="76"/>
      <c r="BP1644" s="76"/>
      <c r="BQ1644" s="76"/>
      <c r="BR1644" s="76"/>
      <c r="BS1644" s="76"/>
      <c r="BT1644" s="76"/>
      <c r="BU1644" s="76"/>
      <c r="BV1644" s="76"/>
      <c r="BW1644" s="76"/>
      <c r="BX1644" s="76"/>
      <c r="BY1644" s="76"/>
      <c r="BZ1644" s="76"/>
      <c r="CA1644" s="76"/>
      <c r="CB1644" s="76"/>
      <c r="CC1644" s="76"/>
      <c r="CD1644" s="76"/>
      <c r="CE1644" s="76"/>
      <c r="CF1644" s="76">
        <f>+CE1644*28000</f>
        <v>0</v>
      </c>
      <c r="CG1644" s="76"/>
      <c r="CH1644" s="76">
        <f>+CG1644*22500</f>
        <v>0</v>
      </c>
      <c r="CI1644" s="76"/>
      <c r="CJ1644" s="76">
        <f>+CI1644*26000</f>
        <v>0</v>
      </c>
      <c r="CK1644" s="76"/>
      <c r="CL1644" s="76"/>
      <c r="CM1644" s="76"/>
      <c r="CN1644" s="76">
        <f>+CM1644*22000</f>
        <v>0</v>
      </c>
      <c r="CO1644" s="76"/>
      <c r="CP1644" s="76">
        <f>+CO1644*46000</f>
        <v>0</v>
      </c>
      <c r="CQ1644" s="76"/>
      <c r="CR1644" s="76">
        <f>+CQ1644*49000</f>
        <v>0</v>
      </c>
      <c r="CS1644" s="76"/>
      <c r="CT1644" s="76"/>
      <c r="CU1644" s="56">
        <f>AN1644+AP1644+AR1644+AT1644+AV1644+AX1644+AZ1644+BB1644+BD1644+BF1644+BH1644+BJ1644+BL1644+BN1644+BP1644+BR1644+BT1644+BV1644+BX1644+BZ1644+CB1644+CD1644+CF1644+CH1644+CJ1644+CL1644+CN1644+CP1644+CR1644+CT1644</f>
        <v>0</v>
      </c>
      <c r="CV1644" s="76"/>
      <c r="CW1644" s="76">
        <f>+CV1644*1100</f>
        <v>0</v>
      </c>
      <c r="CX1644" s="76"/>
      <c r="CY1644" s="76">
        <f>+CX1644*106250</f>
        <v>0</v>
      </c>
      <c r="CZ1644" s="76"/>
      <c r="DA1644" s="76">
        <f>+CZ1644*34500</f>
        <v>0</v>
      </c>
      <c r="DB1644" s="76"/>
      <c r="DC1644" s="76">
        <f>+DB1644*25000</f>
        <v>0</v>
      </c>
      <c r="DD1644" s="219"/>
      <c r="DE1644" s="219"/>
      <c r="DF1644" s="166"/>
      <c r="DG1644" s="116"/>
      <c r="DH1644" s="117"/>
      <c r="DI1644" s="24"/>
      <c r="DJ1644" s="24"/>
      <c r="DK1644" s="24"/>
      <c r="DL1644" s="24"/>
      <c r="DM1644" s="24"/>
      <c r="DN1644" s="24"/>
      <c r="DO1644" s="24"/>
      <c r="DP1644" s="24"/>
      <c r="DQ1644" s="24"/>
      <c r="DR1644" s="24"/>
      <c r="DS1644" s="24"/>
      <c r="DT1644" s="24"/>
      <c r="DU1644" s="24"/>
    </row>
    <row r="1645" spans="1:125" s="8" customFormat="1" ht="60" x14ac:dyDescent="0.2">
      <c r="A1645" s="353">
        <v>41394</v>
      </c>
      <c r="B1645" s="225" t="s">
        <v>2847</v>
      </c>
      <c r="C1645" s="227" t="s">
        <v>2673</v>
      </c>
      <c r="D1645" s="227" t="s">
        <v>2846</v>
      </c>
      <c r="E1645" s="75" t="str">
        <f>VLOOKUP(B1645&amp;C1645,Divipola!$C$2:$F$1138,4,FALSE)</f>
        <v>68001</v>
      </c>
      <c r="F1645" s="87"/>
      <c r="G1645" s="87"/>
      <c r="H1645" s="87"/>
      <c r="I1645" s="87"/>
      <c r="J1645" s="87"/>
      <c r="K1645" s="87"/>
      <c r="L1645" s="87"/>
      <c r="M1645" s="87"/>
      <c r="N1645" s="87"/>
      <c r="O1645" s="87"/>
      <c r="P1645" s="87"/>
      <c r="Q1645" s="87"/>
      <c r="R1645" s="87"/>
      <c r="S1645" s="87"/>
      <c r="T1645" s="87"/>
      <c r="U1645" s="88"/>
      <c r="V1645" s="89"/>
      <c r="W1645" s="96">
        <v>0</v>
      </c>
      <c r="X1645" s="71">
        <f>CU1645</f>
        <v>0</v>
      </c>
      <c r="Y1645" s="71">
        <f>CY1645</f>
        <v>0</v>
      </c>
      <c r="Z1645" s="71">
        <f>DA1645+DC1645+DE1645</f>
        <v>0</v>
      </c>
      <c r="AA1645" s="71">
        <f>CW1645</f>
        <v>0</v>
      </c>
      <c r="AB1645" s="71"/>
      <c r="AC1645" s="71">
        <v>0</v>
      </c>
      <c r="AD1645" s="71">
        <f>W1645+X1645+Y1645+Z1645+AA1645+AB1645+AC1645</f>
        <v>0</v>
      </c>
      <c r="AE1645" s="72">
        <v>0</v>
      </c>
      <c r="AF1645" s="5"/>
      <c r="AG1645" s="6"/>
      <c r="AH1645" s="27" t="s">
        <v>3392</v>
      </c>
      <c r="AI1645" s="44" t="s">
        <v>3393</v>
      </c>
      <c r="AJ1645" s="26"/>
      <c r="AK1645" s="5"/>
      <c r="AL1645" s="82" t="s">
        <v>4456</v>
      </c>
      <c r="AM1645" s="76"/>
      <c r="AN1645" s="76"/>
      <c r="AO1645" s="76"/>
      <c r="AP1645" s="76"/>
      <c r="AQ1645" s="76"/>
      <c r="AR1645" s="76"/>
      <c r="AS1645" s="76"/>
      <c r="AT1645" s="76"/>
      <c r="AU1645" s="76"/>
      <c r="AV1645" s="76"/>
      <c r="AW1645" s="76"/>
      <c r="AX1645" s="76">
        <f>+AW1645*600000</f>
        <v>0</v>
      </c>
      <c r="AY1645" s="76"/>
      <c r="AZ1645" s="76">
        <f>+AY1645*70000</f>
        <v>0</v>
      </c>
      <c r="BA1645" s="76"/>
      <c r="BB1645" s="76"/>
      <c r="BC1645" s="76"/>
      <c r="BD1645" s="76">
        <f>+BC1645*30000</f>
        <v>0</v>
      </c>
      <c r="BE1645" s="76"/>
      <c r="BF1645" s="76"/>
      <c r="BG1645" s="76"/>
      <c r="BH1645" s="76"/>
      <c r="BI1645" s="76"/>
      <c r="BJ1645" s="76"/>
      <c r="BK1645" s="76"/>
      <c r="BL1645" s="76">
        <f>+BK1645*31500</f>
        <v>0</v>
      </c>
      <c r="BM1645" s="76"/>
      <c r="BN1645" s="76"/>
      <c r="BO1645" s="76"/>
      <c r="BP1645" s="76"/>
      <c r="BQ1645" s="76"/>
      <c r="BR1645" s="76"/>
      <c r="BS1645" s="76"/>
      <c r="BT1645" s="76"/>
      <c r="BU1645" s="76"/>
      <c r="BV1645" s="76"/>
      <c r="BW1645" s="76"/>
      <c r="BX1645" s="76"/>
      <c r="BY1645" s="76"/>
      <c r="BZ1645" s="76"/>
      <c r="CA1645" s="76"/>
      <c r="CB1645" s="76"/>
      <c r="CC1645" s="76"/>
      <c r="CD1645" s="76"/>
      <c r="CE1645" s="76"/>
      <c r="CF1645" s="76">
        <f>+CE1645*28000</f>
        <v>0</v>
      </c>
      <c r="CG1645" s="76"/>
      <c r="CH1645" s="76">
        <f>+CG1645*22500</f>
        <v>0</v>
      </c>
      <c r="CI1645" s="76"/>
      <c r="CJ1645" s="76">
        <f>+CI1645*26000</f>
        <v>0</v>
      </c>
      <c r="CK1645" s="76"/>
      <c r="CL1645" s="76"/>
      <c r="CM1645" s="76"/>
      <c r="CN1645" s="76">
        <f>+CM1645*22000</f>
        <v>0</v>
      </c>
      <c r="CO1645" s="76"/>
      <c r="CP1645" s="76">
        <f>+CO1645*46000</f>
        <v>0</v>
      </c>
      <c r="CQ1645" s="76"/>
      <c r="CR1645" s="76">
        <f>+CQ1645*49000</f>
        <v>0</v>
      </c>
      <c r="CS1645" s="76"/>
      <c r="CT1645" s="76"/>
      <c r="CU1645" s="56">
        <f>AN1645+AP1645+AR1645+AT1645+AV1645+AX1645+AZ1645+BB1645+BD1645+BF1645+BH1645+BJ1645+BL1645+BN1645+BP1645+BR1645+BT1645+BV1645+BX1645+BZ1645+CB1645+CD1645+CF1645+CH1645+CJ1645+CL1645+CN1645+CP1645+CR1645+CT1645</f>
        <v>0</v>
      </c>
      <c r="CV1645" s="76"/>
      <c r="CW1645" s="76">
        <f>+CV1645*1100</f>
        <v>0</v>
      </c>
      <c r="CX1645" s="76"/>
      <c r="CY1645" s="76">
        <f>+CX1645*106250</f>
        <v>0</v>
      </c>
      <c r="CZ1645" s="76"/>
      <c r="DA1645" s="76">
        <f>+CZ1645*34500</f>
        <v>0</v>
      </c>
      <c r="DB1645" s="76"/>
      <c r="DC1645" s="76">
        <f>+DB1645*25000</f>
        <v>0</v>
      </c>
      <c r="DD1645" s="219"/>
      <c r="DE1645" s="219"/>
      <c r="DF1645" s="166"/>
      <c r="DG1645" s="116"/>
      <c r="DH1645" s="117"/>
      <c r="DI1645" s="24"/>
      <c r="DJ1645" s="24"/>
      <c r="DK1645" s="24"/>
      <c r="DL1645" s="24"/>
      <c r="DM1645" s="24"/>
      <c r="DN1645" s="24"/>
      <c r="DO1645" s="24"/>
      <c r="DP1645" s="24"/>
      <c r="DQ1645" s="24"/>
      <c r="DR1645" s="24"/>
      <c r="DS1645" s="24"/>
      <c r="DT1645" s="24"/>
      <c r="DU1645" s="24"/>
    </row>
    <row r="1646" spans="1:125" s="8" customFormat="1" ht="72" x14ac:dyDescent="0.2">
      <c r="A1646" s="353">
        <v>41394</v>
      </c>
      <c r="B1646" s="225" t="s">
        <v>2847</v>
      </c>
      <c r="C1646" s="227" t="s">
        <v>2197</v>
      </c>
      <c r="D1646" s="227" t="s">
        <v>2846</v>
      </c>
      <c r="E1646" s="75" t="str">
        <f>VLOOKUP(B1646&amp;C1646,Divipola!$C$2:$F$1138,4,FALSE)</f>
        <v>68276</v>
      </c>
      <c r="F1646" s="87"/>
      <c r="G1646" s="87"/>
      <c r="H1646" s="87"/>
      <c r="I1646" s="87"/>
      <c r="J1646" s="87"/>
      <c r="K1646" s="87"/>
      <c r="L1646" s="87"/>
      <c r="M1646" s="87"/>
      <c r="N1646" s="87"/>
      <c r="O1646" s="87"/>
      <c r="P1646" s="87"/>
      <c r="Q1646" s="87"/>
      <c r="R1646" s="87"/>
      <c r="S1646" s="87"/>
      <c r="T1646" s="87"/>
      <c r="U1646" s="88"/>
      <c r="V1646" s="89"/>
      <c r="W1646" s="96">
        <v>0</v>
      </c>
      <c r="X1646" s="71">
        <f>CU1646</f>
        <v>0</v>
      </c>
      <c r="Y1646" s="71">
        <f>CY1646</f>
        <v>0</v>
      </c>
      <c r="Z1646" s="71">
        <f>DA1646+DC1646+DE1646</f>
        <v>0</v>
      </c>
      <c r="AA1646" s="71">
        <f>CW1646</f>
        <v>0</v>
      </c>
      <c r="AB1646" s="71"/>
      <c r="AC1646" s="71">
        <v>0</v>
      </c>
      <c r="AD1646" s="71">
        <f>W1646+X1646+Y1646+Z1646+AA1646+AB1646+AC1646</f>
        <v>0</v>
      </c>
      <c r="AE1646" s="72">
        <v>0</v>
      </c>
      <c r="AF1646" s="5"/>
      <c r="AG1646" s="6"/>
      <c r="AH1646" s="27" t="s">
        <v>3392</v>
      </c>
      <c r="AI1646" s="44" t="s">
        <v>3393</v>
      </c>
      <c r="AJ1646" s="26"/>
      <c r="AK1646" s="5"/>
      <c r="AL1646" s="82" t="s">
        <v>4458</v>
      </c>
      <c r="AM1646" s="76"/>
      <c r="AN1646" s="76"/>
      <c r="AO1646" s="76"/>
      <c r="AP1646" s="76"/>
      <c r="AQ1646" s="76"/>
      <c r="AR1646" s="76"/>
      <c r="AS1646" s="76"/>
      <c r="AT1646" s="76"/>
      <c r="AU1646" s="76"/>
      <c r="AV1646" s="76"/>
      <c r="AW1646" s="76"/>
      <c r="AX1646" s="76">
        <f>+AW1646*600000</f>
        <v>0</v>
      </c>
      <c r="AY1646" s="76"/>
      <c r="AZ1646" s="76">
        <f>+AY1646*70000</f>
        <v>0</v>
      </c>
      <c r="BA1646" s="76"/>
      <c r="BB1646" s="76"/>
      <c r="BC1646" s="76"/>
      <c r="BD1646" s="76">
        <f>+BC1646*30000</f>
        <v>0</v>
      </c>
      <c r="BE1646" s="76"/>
      <c r="BF1646" s="76"/>
      <c r="BG1646" s="76"/>
      <c r="BH1646" s="76"/>
      <c r="BI1646" s="76"/>
      <c r="BJ1646" s="76"/>
      <c r="BK1646" s="76"/>
      <c r="BL1646" s="76">
        <f>+BK1646*31500</f>
        <v>0</v>
      </c>
      <c r="BM1646" s="76"/>
      <c r="BN1646" s="76"/>
      <c r="BO1646" s="76"/>
      <c r="BP1646" s="76"/>
      <c r="BQ1646" s="76"/>
      <c r="BR1646" s="76"/>
      <c r="BS1646" s="76"/>
      <c r="BT1646" s="76"/>
      <c r="BU1646" s="76"/>
      <c r="BV1646" s="76"/>
      <c r="BW1646" s="76"/>
      <c r="BX1646" s="76"/>
      <c r="BY1646" s="76"/>
      <c r="BZ1646" s="76"/>
      <c r="CA1646" s="76"/>
      <c r="CB1646" s="76"/>
      <c r="CC1646" s="76"/>
      <c r="CD1646" s="76"/>
      <c r="CE1646" s="76"/>
      <c r="CF1646" s="76">
        <f>+CE1646*28000</f>
        <v>0</v>
      </c>
      <c r="CG1646" s="76"/>
      <c r="CH1646" s="76">
        <f>+CG1646*22500</f>
        <v>0</v>
      </c>
      <c r="CI1646" s="76"/>
      <c r="CJ1646" s="76">
        <f>+CI1646*26000</f>
        <v>0</v>
      </c>
      <c r="CK1646" s="76"/>
      <c r="CL1646" s="76"/>
      <c r="CM1646" s="76"/>
      <c r="CN1646" s="76">
        <f>+CM1646*22000</f>
        <v>0</v>
      </c>
      <c r="CO1646" s="76"/>
      <c r="CP1646" s="76">
        <f>+CO1646*46000</f>
        <v>0</v>
      </c>
      <c r="CQ1646" s="76"/>
      <c r="CR1646" s="76">
        <f>+CQ1646*49000</f>
        <v>0</v>
      </c>
      <c r="CS1646" s="76"/>
      <c r="CT1646" s="76"/>
      <c r="CU1646" s="56">
        <f>AN1646+AP1646+AR1646+AT1646+AV1646+AX1646+AZ1646+BB1646+BD1646+BF1646+BH1646+BJ1646+BL1646+BN1646+BP1646+BR1646+BT1646+BV1646+BX1646+BZ1646+CB1646+CD1646+CF1646+CH1646+CJ1646+CL1646+CN1646+CP1646+CR1646+CT1646</f>
        <v>0</v>
      </c>
      <c r="CV1646" s="76"/>
      <c r="CW1646" s="76">
        <f>+CV1646*1100</f>
        <v>0</v>
      </c>
      <c r="CX1646" s="76"/>
      <c r="CY1646" s="76">
        <f>+CX1646*106250</f>
        <v>0</v>
      </c>
      <c r="CZ1646" s="76"/>
      <c r="DA1646" s="76">
        <f>+CZ1646*34500</f>
        <v>0</v>
      </c>
      <c r="DB1646" s="76"/>
      <c r="DC1646" s="76">
        <f>+DB1646*25000</f>
        <v>0</v>
      </c>
      <c r="DD1646" s="219"/>
      <c r="DE1646" s="219"/>
      <c r="DF1646" s="166"/>
      <c r="DG1646" s="116"/>
      <c r="DH1646" s="117"/>
      <c r="DI1646" s="24"/>
      <c r="DJ1646" s="24"/>
      <c r="DK1646" s="24"/>
      <c r="DL1646" s="24"/>
      <c r="DM1646" s="24"/>
      <c r="DN1646" s="24"/>
      <c r="DO1646" s="24"/>
      <c r="DP1646" s="24"/>
      <c r="DQ1646" s="24"/>
      <c r="DR1646" s="24"/>
      <c r="DS1646" s="24"/>
      <c r="DT1646" s="24"/>
      <c r="DU1646" s="24"/>
    </row>
    <row r="1647" spans="1:125" s="8" customFormat="1" ht="60" x14ac:dyDescent="0.2">
      <c r="A1647" s="353">
        <v>41394</v>
      </c>
      <c r="B1647" s="352" t="s">
        <v>2847</v>
      </c>
      <c r="C1647" s="354" t="s">
        <v>2197</v>
      </c>
      <c r="D1647" s="354" t="s">
        <v>2846</v>
      </c>
      <c r="E1647" s="75" t="str">
        <f>VLOOKUP(B1647&amp;C1647,Divipola!$C$2:$F$1138,4,FALSE)</f>
        <v>68276</v>
      </c>
      <c r="F1647" s="87"/>
      <c r="G1647" s="87"/>
      <c r="H1647" s="87"/>
      <c r="I1647" s="87"/>
      <c r="J1647" s="87"/>
      <c r="K1647" s="87"/>
      <c r="L1647" s="87"/>
      <c r="M1647" s="87"/>
      <c r="N1647" s="87"/>
      <c r="O1647" s="87"/>
      <c r="P1647" s="87"/>
      <c r="Q1647" s="87"/>
      <c r="R1647" s="87"/>
      <c r="S1647" s="87"/>
      <c r="T1647" s="87"/>
      <c r="U1647" s="88"/>
      <c r="V1647" s="89"/>
      <c r="W1647" s="96">
        <v>0</v>
      </c>
      <c r="X1647" s="71">
        <f>CU1647</f>
        <v>0</v>
      </c>
      <c r="Y1647" s="71">
        <f>CY1647</f>
        <v>0</v>
      </c>
      <c r="Z1647" s="71">
        <f>DA1647+DC1647+DE1647</f>
        <v>0</v>
      </c>
      <c r="AA1647" s="71">
        <f>CW1647</f>
        <v>0</v>
      </c>
      <c r="AB1647" s="71"/>
      <c r="AC1647" s="71">
        <v>0</v>
      </c>
      <c r="AD1647" s="71">
        <f>W1647+X1647+Y1647+Z1647+AA1647+AB1647+AC1647</f>
        <v>0</v>
      </c>
      <c r="AE1647" s="72">
        <v>0</v>
      </c>
      <c r="AF1647" s="5"/>
      <c r="AG1647" s="6"/>
      <c r="AH1647" s="27" t="s">
        <v>3392</v>
      </c>
      <c r="AI1647" s="44" t="s">
        <v>3393</v>
      </c>
      <c r="AJ1647" s="26"/>
      <c r="AK1647" s="5"/>
      <c r="AL1647" s="82" t="s">
        <v>4459</v>
      </c>
      <c r="AM1647" s="76"/>
      <c r="AN1647" s="76"/>
      <c r="AO1647" s="76"/>
      <c r="AP1647" s="76"/>
      <c r="AQ1647" s="76"/>
      <c r="AR1647" s="76"/>
      <c r="AS1647" s="76"/>
      <c r="AT1647" s="76"/>
      <c r="AU1647" s="76"/>
      <c r="AV1647" s="76"/>
      <c r="AW1647" s="76"/>
      <c r="AX1647" s="76">
        <f>+AW1647*600000</f>
        <v>0</v>
      </c>
      <c r="AY1647" s="76"/>
      <c r="AZ1647" s="76">
        <f>+AY1647*70000</f>
        <v>0</v>
      </c>
      <c r="BA1647" s="76"/>
      <c r="BB1647" s="76"/>
      <c r="BC1647" s="76"/>
      <c r="BD1647" s="76">
        <f>+BC1647*30000</f>
        <v>0</v>
      </c>
      <c r="BE1647" s="76"/>
      <c r="BF1647" s="76"/>
      <c r="BG1647" s="76"/>
      <c r="BH1647" s="76"/>
      <c r="BI1647" s="76"/>
      <c r="BJ1647" s="76"/>
      <c r="BK1647" s="76"/>
      <c r="BL1647" s="76">
        <f>+BK1647*31500</f>
        <v>0</v>
      </c>
      <c r="BM1647" s="76"/>
      <c r="BN1647" s="76"/>
      <c r="BO1647" s="76"/>
      <c r="BP1647" s="76"/>
      <c r="BQ1647" s="76"/>
      <c r="BR1647" s="76"/>
      <c r="BS1647" s="76"/>
      <c r="BT1647" s="76"/>
      <c r="BU1647" s="76"/>
      <c r="BV1647" s="76"/>
      <c r="BW1647" s="76"/>
      <c r="BX1647" s="76"/>
      <c r="BY1647" s="76"/>
      <c r="BZ1647" s="76"/>
      <c r="CA1647" s="76"/>
      <c r="CB1647" s="76"/>
      <c r="CC1647" s="76"/>
      <c r="CD1647" s="76"/>
      <c r="CE1647" s="76"/>
      <c r="CF1647" s="76">
        <f>+CE1647*28000</f>
        <v>0</v>
      </c>
      <c r="CG1647" s="76"/>
      <c r="CH1647" s="76">
        <f>+CG1647*22500</f>
        <v>0</v>
      </c>
      <c r="CI1647" s="76"/>
      <c r="CJ1647" s="76">
        <f>+CI1647*26000</f>
        <v>0</v>
      </c>
      <c r="CK1647" s="76"/>
      <c r="CL1647" s="76"/>
      <c r="CM1647" s="76"/>
      <c r="CN1647" s="76">
        <f>+CM1647*22000</f>
        <v>0</v>
      </c>
      <c r="CO1647" s="76"/>
      <c r="CP1647" s="76">
        <f>+CO1647*46000</f>
        <v>0</v>
      </c>
      <c r="CQ1647" s="76"/>
      <c r="CR1647" s="76">
        <f>+CQ1647*49000</f>
        <v>0</v>
      </c>
      <c r="CS1647" s="76"/>
      <c r="CT1647" s="76"/>
      <c r="CU1647" s="56">
        <f>AN1647+AP1647+AR1647+AT1647+AV1647+AX1647+AZ1647+BB1647+BD1647+BF1647+BH1647+BJ1647+BL1647+BN1647+BP1647+BR1647+BT1647+BV1647+BX1647+BZ1647+CB1647+CD1647+CF1647+CH1647+CJ1647+CL1647+CN1647+CP1647+CR1647+CT1647</f>
        <v>0</v>
      </c>
      <c r="CV1647" s="76"/>
      <c r="CW1647" s="76">
        <f>+CV1647*1100</f>
        <v>0</v>
      </c>
      <c r="CX1647" s="76"/>
      <c r="CY1647" s="76">
        <f>+CX1647*106250</f>
        <v>0</v>
      </c>
      <c r="CZ1647" s="76"/>
      <c r="DA1647" s="76">
        <f>+CZ1647*34500</f>
        <v>0</v>
      </c>
      <c r="DB1647" s="76"/>
      <c r="DC1647" s="76">
        <f>+DB1647*25000</f>
        <v>0</v>
      </c>
      <c r="DD1647" s="219"/>
      <c r="DE1647" s="219"/>
      <c r="DF1647" s="166"/>
      <c r="DG1647" s="116"/>
      <c r="DH1647" s="117"/>
      <c r="DI1647" s="24"/>
      <c r="DJ1647" s="24"/>
      <c r="DK1647" s="24"/>
      <c r="DL1647" s="24"/>
      <c r="DM1647" s="24"/>
      <c r="DN1647" s="24"/>
      <c r="DO1647" s="24"/>
      <c r="DP1647" s="24"/>
      <c r="DQ1647" s="24"/>
      <c r="DR1647" s="24"/>
      <c r="DS1647" s="24"/>
      <c r="DT1647" s="24"/>
      <c r="DU1647" s="24"/>
    </row>
    <row r="1648" spans="1:125" s="8" customFormat="1" ht="60" x14ac:dyDescent="0.2">
      <c r="A1648" s="353">
        <v>41394</v>
      </c>
      <c r="B1648" s="225" t="s">
        <v>2847</v>
      </c>
      <c r="C1648" s="227" t="s">
        <v>2814</v>
      </c>
      <c r="D1648" s="227" t="s">
        <v>2846</v>
      </c>
      <c r="E1648" s="75" t="str">
        <f>VLOOKUP(B1648&amp;C1648,Divipola!$C$2:$F$1138,4,FALSE)</f>
        <v>68307</v>
      </c>
      <c r="F1648" s="87"/>
      <c r="G1648" s="87"/>
      <c r="H1648" s="87"/>
      <c r="I1648" s="87"/>
      <c r="J1648" s="87"/>
      <c r="K1648" s="87"/>
      <c r="L1648" s="87"/>
      <c r="M1648" s="87"/>
      <c r="N1648" s="87"/>
      <c r="O1648" s="87"/>
      <c r="P1648" s="87"/>
      <c r="Q1648" s="87"/>
      <c r="R1648" s="87"/>
      <c r="S1648" s="87"/>
      <c r="T1648" s="87"/>
      <c r="U1648" s="88">
        <v>2</v>
      </c>
      <c r="V1648" s="89"/>
      <c r="W1648" s="96">
        <v>0</v>
      </c>
      <c r="X1648" s="71">
        <f>CU1648</f>
        <v>0</v>
      </c>
      <c r="Y1648" s="71">
        <f>CY1648</f>
        <v>0</v>
      </c>
      <c r="Z1648" s="71">
        <f>DA1648+DC1648+DE1648</f>
        <v>0</v>
      </c>
      <c r="AA1648" s="71">
        <f>CW1648</f>
        <v>0</v>
      </c>
      <c r="AB1648" s="71"/>
      <c r="AC1648" s="71">
        <v>0</v>
      </c>
      <c r="AD1648" s="71">
        <f>W1648+X1648+Y1648+Z1648+AA1648+AB1648+AC1648</f>
        <v>0</v>
      </c>
      <c r="AE1648" s="72">
        <v>0</v>
      </c>
      <c r="AF1648" s="5"/>
      <c r="AG1648" s="6"/>
      <c r="AH1648" s="27" t="s">
        <v>3392</v>
      </c>
      <c r="AI1648" s="44" t="s">
        <v>3393</v>
      </c>
      <c r="AJ1648" s="26"/>
      <c r="AK1648" s="5"/>
      <c r="AL1648" s="82" t="s">
        <v>4457</v>
      </c>
      <c r="AM1648" s="76"/>
      <c r="AN1648" s="76"/>
      <c r="AO1648" s="76"/>
      <c r="AP1648" s="76"/>
      <c r="AQ1648" s="76"/>
      <c r="AR1648" s="76"/>
      <c r="AS1648" s="76"/>
      <c r="AT1648" s="76"/>
      <c r="AU1648" s="76"/>
      <c r="AV1648" s="76"/>
      <c r="AW1648" s="76"/>
      <c r="AX1648" s="76">
        <f>+AW1648*600000</f>
        <v>0</v>
      </c>
      <c r="AY1648" s="76"/>
      <c r="AZ1648" s="76">
        <f>+AY1648*70000</f>
        <v>0</v>
      </c>
      <c r="BA1648" s="76"/>
      <c r="BB1648" s="76"/>
      <c r="BC1648" s="76"/>
      <c r="BD1648" s="76">
        <f>+BC1648*30000</f>
        <v>0</v>
      </c>
      <c r="BE1648" s="76"/>
      <c r="BF1648" s="76"/>
      <c r="BG1648" s="76"/>
      <c r="BH1648" s="76"/>
      <c r="BI1648" s="76"/>
      <c r="BJ1648" s="76"/>
      <c r="BK1648" s="76"/>
      <c r="BL1648" s="76">
        <f>+BK1648*31500</f>
        <v>0</v>
      </c>
      <c r="BM1648" s="76"/>
      <c r="BN1648" s="76"/>
      <c r="BO1648" s="76"/>
      <c r="BP1648" s="76"/>
      <c r="BQ1648" s="76"/>
      <c r="BR1648" s="76"/>
      <c r="BS1648" s="76"/>
      <c r="BT1648" s="76"/>
      <c r="BU1648" s="76"/>
      <c r="BV1648" s="76"/>
      <c r="BW1648" s="76"/>
      <c r="BX1648" s="76"/>
      <c r="BY1648" s="76"/>
      <c r="BZ1648" s="76"/>
      <c r="CA1648" s="76"/>
      <c r="CB1648" s="76"/>
      <c r="CC1648" s="76"/>
      <c r="CD1648" s="76"/>
      <c r="CE1648" s="76"/>
      <c r="CF1648" s="76">
        <f>+CE1648*28000</f>
        <v>0</v>
      </c>
      <c r="CG1648" s="76"/>
      <c r="CH1648" s="76">
        <f>+CG1648*22500</f>
        <v>0</v>
      </c>
      <c r="CI1648" s="76"/>
      <c r="CJ1648" s="76">
        <f>+CI1648*26000</f>
        <v>0</v>
      </c>
      <c r="CK1648" s="76"/>
      <c r="CL1648" s="76"/>
      <c r="CM1648" s="76"/>
      <c r="CN1648" s="76">
        <f>+CM1648*22000</f>
        <v>0</v>
      </c>
      <c r="CO1648" s="76"/>
      <c r="CP1648" s="76">
        <f>+CO1648*46000</f>
        <v>0</v>
      </c>
      <c r="CQ1648" s="76"/>
      <c r="CR1648" s="76">
        <f>+CQ1648*49000</f>
        <v>0</v>
      </c>
      <c r="CS1648" s="76"/>
      <c r="CT1648" s="76"/>
      <c r="CU1648" s="56">
        <f>AN1648+AP1648+AR1648+AT1648+AV1648+AX1648+AZ1648+BB1648+BD1648+BF1648+BH1648+BJ1648+BL1648+BN1648+BP1648+BR1648+BT1648+BV1648+BX1648+BZ1648+CB1648+CD1648+CF1648+CH1648+CJ1648+CL1648+CN1648+CP1648+CR1648+CT1648</f>
        <v>0</v>
      </c>
      <c r="CV1648" s="76"/>
      <c r="CW1648" s="76">
        <f>+CV1648*1100</f>
        <v>0</v>
      </c>
      <c r="CX1648" s="76"/>
      <c r="CY1648" s="76">
        <f>+CX1648*106250</f>
        <v>0</v>
      </c>
      <c r="CZ1648" s="76"/>
      <c r="DA1648" s="76">
        <f>+CZ1648*34500</f>
        <v>0</v>
      </c>
      <c r="DB1648" s="76"/>
      <c r="DC1648" s="76">
        <f>+DB1648*25000</f>
        <v>0</v>
      </c>
      <c r="DD1648" s="219"/>
      <c r="DE1648" s="219"/>
      <c r="DF1648" s="166"/>
      <c r="DG1648" s="116"/>
      <c r="DH1648" s="117"/>
      <c r="DI1648" s="24"/>
      <c r="DJ1648" s="24"/>
      <c r="DK1648" s="24"/>
      <c r="DL1648" s="24"/>
      <c r="DM1648" s="24"/>
      <c r="DN1648" s="24"/>
      <c r="DO1648" s="24"/>
      <c r="DP1648" s="24"/>
      <c r="DQ1648" s="24"/>
      <c r="DR1648" s="24"/>
      <c r="DS1648" s="24"/>
      <c r="DT1648" s="24"/>
      <c r="DU1648" s="24"/>
    </row>
    <row r="1649" spans="1:125" s="8" customFormat="1" ht="60" x14ac:dyDescent="0.2">
      <c r="A1649" s="353">
        <v>41394</v>
      </c>
      <c r="B1649" s="352" t="s">
        <v>2848</v>
      </c>
      <c r="C1649" s="227" t="s">
        <v>1684</v>
      </c>
      <c r="D1649" s="354" t="s">
        <v>2859</v>
      </c>
      <c r="E1649" s="75" t="str">
        <f>VLOOKUP(B1649&amp;C1649,Divipola!$C$2:$F$1138,4,FALSE)</f>
        <v>73055</v>
      </c>
      <c r="F1649" s="87"/>
      <c r="G1649" s="87"/>
      <c r="H1649" s="87"/>
      <c r="I1649" s="87">
        <v>5</v>
      </c>
      <c r="J1649" s="87">
        <v>1</v>
      </c>
      <c r="K1649" s="87">
        <v>1</v>
      </c>
      <c r="L1649" s="87"/>
      <c r="M1649" s="87"/>
      <c r="N1649" s="87"/>
      <c r="O1649" s="87"/>
      <c r="P1649" s="87"/>
      <c r="Q1649" s="87"/>
      <c r="R1649" s="87"/>
      <c r="S1649" s="87"/>
      <c r="T1649" s="87"/>
      <c r="U1649" s="88"/>
      <c r="V1649" s="89"/>
      <c r="W1649" s="96">
        <v>0</v>
      </c>
      <c r="X1649" s="71">
        <f>CU1649</f>
        <v>0</v>
      </c>
      <c r="Y1649" s="71">
        <f>CY1649</f>
        <v>0</v>
      </c>
      <c r="Z1649" s="71">
        <f>DA1649+DC1649+DE1649</f>
        <v>0</v>
      </c>
      <c r="AA1649" s="71">
        <f>CW1649</f>
        <v>0</v>
      </c>
      <c r="AB1649" s="71"/>
      <c r="AC1649" s="71">
        <v>0</v>
      </c>
      <c r="AD1649" s="71">
        <f>W1649+X1649+Y1649+Z1649+AA1649+AB1649+AC1649</f>
        <v>0</v>
      </c>
      <c r="AE1649" s="72">
        <v>0</v>
      </c>
      <c r="AF1649" s="5"/>
      <c r="AG1649" s="6"/>
      <c r="AH1649" s="27" t="s">
        <v>3392</v>
      </c>
      <c r="AI1649" s="44" t="s">
        <v>3393</v>
      </c>
      <c r="AJ1649" s="26"/>
      <c r="AK1649" s="5"/>
      <c r="AL1649" s="82" t="s">
        <v>4447</v>
      </c>
      <c r="AM1649" s="76"/>
      <c r="AN1649" s="76"/>
      <c r="AO1649" s="76"/>
      <c r="AP1649" s="76"/>
      <c r="AQ1649" s="76"/>
      <c r="AR1649" s="76"/>
      <c r="AS1649" s="76"/>
      <c r="AT1649" s="76"/>
      <c r="AU1649" s="76"/>
      <c r="AV1649" s="76"/>
      <c r="AW1649" s="76"/>
      <c r="AX1649" s="76">
        <f>+AW1649*600000</f>
        <v>0</v>
      </c>
      <c r="AY1649" s="76"/>
      <c r="AZ1649" s="76">
        <f>+AY1649*70000</f>
        <v>0</v>
      </c>
      <c r="BA1649" s="76"/>
      <c r="BB1649" s="76"/>
      <c r="BC1649" s="76"/>
      <c r="BD1649" s="76">
        <f>+BC1649*30000</f>
        <v>0</v>
      </c>
      <c r="BE1649" s="76"/>
      <c r="BF1649" s="76"/>
      <c r="BG1649" s="76"/>
      <c r="BH1649" s="76"/>
      <c r="BI1649" s="76"/>
      <c r="BJ1649" s="76"/>
      <c r="BK1649" s="76"/>
      <c r="BL1649" s="76">
        <f>+BK1649*31500</f>
        <v>0</v>
      </c>
      <c r="BM1649" s="76"/>
      <c r="BN1649" s="76"/>
      <c r="BO1649" s="76"/>
      <c r="BP1649" s="76"/>
      <c r="BQ1649" s="76"/>
      <c r="BR1649" s="76"/>
      <c r="BS1649" s="76"/>
      <c r="BT1649" s="76"/>
      <c r="BU1649" s="76"/>
      <c r="BV1649" s="76"/>
      <c r="BW1649" s="76"/>
      <c r="BX1649" s="76"/>
      <c r="BY1649" s="76"/>
      <c r="BZ1649" s="76"/>
      <c r="CA1649" s="76"/>
      <c r="CB1649" s="76"/>
      <c r="CC1649" s="76"/>
      <c r="CD1649" s="76"/>
      <c r="CE1649" s="76"/>
      <c r="CF1649" s="76">
        <f>+CE1649*28000</f>
        <v>0</v>
      </c>
      <c r="CG1649" s="76"/>
      <c r="CH1649" s="76">
        <f>+CG1649*22500</f>
        <v>0</v>
      </c>
      <c r="CI1649" s="76"/>
      <c r="CJ1649" s="76">
        <f>+CI1649*26000</f>
        <v>0</v>
      </c>
      <c r="CK1649" s="76"/>
      <c r="CL1649" s="76"/>
      <c r="CM1649" s="76"/>
      <c r="CN1649" s="76">
        <f>+CM1649*22000</f>
        <v>0</v>
      </c>
      <c r="CO1649" s="76"/>
      <c r="CP1649" s="76">
        <f>+CO1649*46000</f>
        <v>0</v>
      </c>
      <c r="CQ1649" s="76"/>
      <c r="CR1649" s="76">
        <f>+CQ1649*49000</f>
        <v>0</v>
      </c>
      <c r="CS1649" s="76"/>
      <c r="CT1649" s="76"/>
      <c r="CU1649" s="56">
        <f>AN1649+AP1649+AR1649+AT1649+AV1649+AX1649+AZ1649+BB1649+BD1649+BF1649+BH1649+BJ1649+BL1649+BN1649+BP1649+BR1649+BT1649+BV1649+BX1649+BZ1649+CB1649+CD1649+CF1649+CH1649+CJ1649+CL1649+CN1649+CP1649+CR1649+CT1649</f>
        <v>0</v>
      </c>
      <c r="CV1649" s="76"/>
      <c r="CW1649" s="76">
        <f>+CV1649*1100</f>
        <v>0</v>
      </c>
      <c r="CX1649" s="76"/>
      <c r="CY1649" s="76">
        <f>+CX1649*106250</f>
        <v>0</v>
      </c>
      <c r="CZ1649" s="76"/>
      <c r="DA1649" s="76">
        <f>+CZ1649*34500</f>
        <v>0</v>
      </c>
      <c r="DB1649" s="76"/>
      <c r="DC1649" s="76">
        <f>+DB1649*25000</f>
        <v>0</v>
      </c>
      <c r="DD1649" s="219"/>
      <c r="DE1649" s="219"/>
      <c r="DF1649" s="166"/>
      <c r="DG1649" s="116"/>
      <c r="DH1649" s="117"/>
      <c r="DI1649" s="24"/>
      <c r="DJ1649" s="24"/>
      <c r="DK1649" s="24"/>
      <c r="DL1649" s="24"/>
      <c r="DM1649" s="24"/>
      <c r="DN1649" s="24"/>
      <c r="DO1649" s="24"/>
      <c r="DP1649" s="24"/>
      <c r="DQ1649" s="24"/>
      <c r="DR1649" s="24"/>
      <c r="DS1649" s="24"/>
      <c r="DT1649" s="24"/>
      <c r="DU1649" s="24"/>
    </row>
    <row r="1650" spans="1:125" s="8" customFormat="1" ht="48" x14ac:dyDescent="0.2">
      <c r="A1650" s="226">
        <v>41394</v>
      </c>
      <c r="B1650" s="208" t="s">
        <v>2848</v>
      </c>
      <c r="C1650" s="227" t="s">
        <v>2055</v>
      </c>
      <c r="D1650" s="75" t="s">
        <v>3051</v>
      </c>
      <c r="E1650" s="75" t="str">
        <f>VLOOKUP(B1650&amp;C1650,Divipola!$C$2:$F$1138,4,FALSE)</f>
        <v>73275</v>
      </c>
      <c r="F1650" s="87"/>
      <c r="G1650" s="87"/>
      <c r="H1650" s="87"/>
      <c r="I1650" s="87"/>
      <c r="J1650" s="87"/>
      <c r="K1650" s="87"/>
      <c r="L1650" s="87"/>
      <c r="M1650" s="87"/>
      <c r="N1650" s="87"/>
      <c r="O1650" s="87"/>
      <c r="P1650" s="87"/>
      <c r="Q1650" s="87"/>
      <c r="R1650" s="87"/>
      <c r="S1650" s="87"/>
      <c r="T1650" s="87"/>
      <c r="U1650" s="88"/>
      <c r="V1650" s="89"/>
      <c r="W1650" s="96">
        <v>0</v>
      </c>
      <c r="X1650" s="71">
        <f>CU1650</f>
        <v>40450000</v>
      </c>
      <c r="Y1650" s="71">
        <f>CY1650</f>
        <v>15832500</v>
      </c>
      <c r="Z1650" s="71">
        <f>DA1650+DC1650+DE1650</f>
        <v>2580000</v>
      </c>
      <c r="AA1650" s="71">
        <f>CW1650</f>
        <v>0</v>
      </c>
      <c r="AB1650" s="71"/>
      <c r="AC1650" s="71">
        <v>0</v>
      </c>
      <c r="AD1650" s="71">
        <f>W1650+X1650+Y1650+Z1650+AA1650+AB1650+AC1650</f>
        <v>58862500</v>
      </c>
      <c r="AE1650" s="72">
        <v>0</v>
      </c>
      <c r="AF1650" s="5"/>
      <c r="AG1650" s="6"/>
      <c r="AH1650" s="27" t="s">
        <v>3390</v>
      </c>
      <c r="AI1650" s="44" t="s">
        <v>3391</v>
      </c>
      <c r="AJ1650" s="26"/>
      <c r="AK1650" s="5"/>
      <c r="AL1650" s="82" t="s">
        <v>4489</v>
      </c>
      <c r="AM1650" s="76"/>
      <c r="AN1650" s="76"/>
      <c r="AO1650" s="76"/>
      <c r="AP1650" s="76"/>
      <c r="AQ1650" s="76"/>
      <c r="AR1650" s="76"/>
      <c r="AS1650" s="76"/>
      <c r="AT1650" s="76"/>
      <c r="AU1650" s="76"/>
      <c r="AV1650" s="76"/>
      <c r="AW1650" s="76"/>
      <c r="AX1650" s="76">
        <f>+AW1650*600000</f>
        <v>0</v>
      </c>
      <c r="AY1650" s="86">
        <v>300</v>
      </c>
      <c r="AZ1650" s="86">
        <f>+AY1650*70000</f>
        <v>21000000</v>
      </c>
      <c r="BA1650" s="76"/>
      <c r="BB1650" s="76"/>
      <c r="BC1650" s="76"/>
      <c r="BD1650" s="76">
        <f>+BC1650*30000</f>
        <v>0</v>
      </c>
      <c r="BE1650" s="76"/>
      <c r="BF1650" s="76"/>
      <c r="BG1650" s="76"/>
      <c r="BH1650" s="76"/>
      <c r="BI1650" s="76"/>
      <c r="BJ1650" s="76"/>
      <c r="BK1650" s="76"/>
      <c r="BL1650" s="76">
        <f>+BK1650*31500</f>
        <v>0</v>
      </c>
      <c r="BM1650" s="76"/>
      <c r="BN1650" s="76"/>
      <c r="BO1650" s="76"/>
      <c r="BP1650" s="76"/>
      <c r="BQ1650" s="76"/>
      <c r="BR1650" s="76"/>
      <c r="BS1650" s="76"/>
      <c r="BT1650" s="76"/>
      <c r="BU1650" s="76"/>
      <c r="BV1650" s="76"/>
      <c r="BW1650" s="76"/>
      <c r="BX1650" s="76"/>
      <c r="BY1650" s="76"/>
      <c r="BZ1650" s="76"/>
      <c r="CA1650" s="76"/>
      <c r="CB1650" s="76"/>
      <c r="CC1650" s="76"/>
      <c r="CD1650" s="76"/>
      <c r="CE1650" s="76"/>
      <c r="CF1650" s="76">
        <f>+CE1650*28000</f>
        <v>0</v>
      </c>
      <c r="CG1650" s="76"/>
      <c r="CH1650" s="76">
        <f>+CG1650*22500</f>
        <v>0</v>
      </c>
      <c r="CI1650" s="86">
        <v>200</v>
      </c>
      <c r="CJ1650" s="86">
        <f>+CI1650*26000</f>
        <v>5200000</v>
      </c>
      <c r="CK1650" s="76"/>
      <c r="CL1650" s="76"/>
      <c r="CM1650" s="76"/>
      <c r="CN1650" s="76">
        <f>+CM1650*22000</f>
        <v>0</v>
      </c>
      <c r="CO1650" s="86">
        <v>150</v>
      </c>
      <c r="CP1650" s="86">
        <f>+CO1650*46000</f>
        <v>6900000</v>
      </c>
      <c r="CQ1650" s="86">
        <v>150</v>
      </c>
      <c r="CR1650" s="86">
        <f>+CQ1650*49000</f>
        <v>7350000</v>
      </c>
      <c r="CS1650" s="76"/>
      <c r="CT1650" s="76"/>
      <c r="CU1650" s="56">
        <f>AN1650+AP1650+AR1650+AT1650+AV1650+AX1650+AZ1650+BB1650+BD1650+BF1650+BH1650+BJ1650+BL1650+BN1650+BP1650+BR1650+BT1650+BV1650+BX1650+BZ1650+CB1650+CD1650+CF1650+CH1650+CJ1650+CL1650+CN1650+CP1650+CR1650+CT1650</f>
        <v>40450000</v>
      </c>
      <c r="CV1650" s="76"/>
      <c r="CW1650" s="76">
        <f>+CV1650*1100</f>
        <v>0</v>
      </c>
      <c r="CX1650" s="86">
        <v>150</v>
      </c>
      <c r="CY1650" s="86">
        <f>+CX1650*105550</f>
        <v>15832500</v>
      </c>
      <c r="CZ1650" s="76"/>
      <c r="DA1650" s="76">
        <f>+CZ1650*34500</f>
        <v>0</v>
      </c>
      <c r="DB1650" s="86">
        <v>100</v>
      </c>
      <c r="DC1650" s="86">
        <f>+DB1650*25000+400*200</f>
        <v>2580000</v>
      </c>
      <c r="DD1650" s="219"/>
      <c r="DE1650" s="219"/>
      <c r="DF1650" s="166"/>
      <c r="DG1650" s="134" t="s">
        <v>5150</v>
      </c>
      <c r="DH1650" s="117"/>
      <c r="DI1650" s="24"/>
      <c r="DJ1650" s="24"/>
      <c r="DK1650" s="24"/>
      <c r="DL1650" s="24"/>
      <c r="DM1650" s="24"/>
      <c r="DN1650" s="24"/>
      <c r="DO1650" s="24"/>
      <c r="DP1650" s="24"/>
      <c r="DQ1650" s="24"/>
      <c r="DR1650" s="24"/>
      <c r="DS1650" s="24"/>
      <c r="DT1650" s="24"/>
      <c r="DU1650" s="24"/>
    </row>
    <row r="1651" spans="1:125" s="8" customFormat="1" ht="48" x14ac:dyDescent="0.2">
      <c r="A1651" s="353">
        <v>41394</v>
      </c>
      <c r="B1651" s="225" t="s">
        <v>2851</v>
      </c>
      <c r="C1651" s="227" t="s">
        <v>2668</v>
      </c>
      <c r="D1651" s="227" t="s">
        <v>2882</v>
      </c>
      <c r="E1651" s="75" t="str">
        <f>VLOOKUP(B1651&amp;C1651,Divipola!$C$2:$F$1138,4,FALSE)</f>
        <v>76520</v>
      </c>
      <c r="F1651" s="87"/>
      <c r="G1651" s="87"/>
      <c r="H1651" s="87"/>
      <c r="I1651" s="87">
        <v>15</v>
      </c>
      <c r="J1651" s="87">
        <v>3</v>
      </c>
      <c r="K1651" s="87">
        <v>3</v>
      </c>
      <c r="L1651" s="87"/>
      <c r="M1651" s="87"/>
      <c r="N1651" s="87"/>
      <c r="O1651" s="87"/>
      <c r="P1651" s="87"/>
      <c r="Q1651" s="87"/>
      <c r="R1651" s="87"/>
      <c r="S1651" s="87">
        <v>1</v>
      </c>
      <c r="T1651" s="87"/>
      <c r="U1651" s="88"/>
      <c r="V1651" s="89"/>
      <c r="W1651" s="96">
        <v>0</v>
      </c>
      <c r="X1651" s="71">
        <f>CU1651</f>
        <v>0</v>
      </c>
      <c r="Y1651" s="71">
        <f>CY1651</f>
        <v>0</v>
      </c>
      <c r="Z1651" s="71">
        <f>DA1651+DC1651+DE1651</f>
        <v>0</v>
      </c>
      <c r="AA1651" s="71">
        <f>CW1651</f>
        <v>0</v>
      </c>
      <c r="AB1651" s="71"/>
      <c r="AC1651" s="71">
        <v>0</v>
      </c>
      <c r="AD1651" s="71">
        <f>W1651+X1651+Y1651+Z1651+AA1651+AB1651+AC1651</f>
        <v>0</v>
      </c>
      <c r="AE1651" s="72">
        <v>0</v>
      </c>
      <c r="AF1651" s="5"/>
      <c r="AG1651" s="6"/>
      <c r="AH1651" s="27" t="s">
        <v>3392</v>
      </c>
      <c r="AI1651" s="44" t="s">
        <v>3393</v>
      </c>
      <c r="AJ1651" s="26"/>
      <c r="AK1651" s="5"/>
      <c r="AL1651" s="82" t="s">
        <v>4441</v>
      </c>
      <c r="AM1651" s="76"/>
      <c r="AN1651" s="76"/>
      <c r="AO1651" s="76"/>
      <c r="AP1651" s="76"/>
      <c r="AQ1651" s="76"/>
      <c r="AR1651" s="76"/>
      <c r="AS1651" s="76"/>
      <c r="AT1651" s="76"/>
      <c r="AU1651" s="76"/>
      <c r="AV1651" s="76"/>
      <c r="AW1651" s="76"/>
      <c r="AX1651" s="76">
        <f>+AW1651*600000</f>
        <v>0</v>
      </c>
      <c r="AY1651" s="76"/>
      <c r="AZ1651" s="76">
        <f>+AY1651*70000</f>
        <v>0</v>
      </c>
      <c r="BA1651" s="76"/>
      <c r="BB1651" s="76"/>
      <c r="BC1651" s="76"/>
      <c r="BD1651" s="76">
        <f>+BC1651*30000</f>
        <v>0</v>
      </c>
      <c r="BE1651" s="76"/>
      <c r="BF1651" s="76"/>
      <c r="BG1651" s="76"/>
      <c r="BH1651" s="76"/>
      <c r="BI1651" s="76"/>
      <c r="BJ1651" s="76"/>
      <c r="BK1651" s="76"/>
      <c r="BL1651" s="76">
        <f>+BK1651*31500</f>
        <v>0</v>
      </c>
      <c r="BM1651" s="76"/>
      <c r="BN1651" s="76"/>
      <c r="BO1651" s="76"/>
      <c r="BP1651" s="76"/>
      <c r="BQ1651" s="76"/>
      <c r="BR1651" s="76"/>
      <c r="BS1651" s="76"/>
      <c r="BT1651" s="76"/>
      <c r="BU1651" s="76"/>
      <c r="BV1651" s="76"/>
      <c r="BW1651" s="76"/>
      <c r="BX1651" s="76"/>
      <c r="BY1651" s="76"/>
      <c r="BZ1651" s="76"/>
      <c r="CA1651" s="76"/>
      <c r="CB1651" s="76"/>
      <c r="CC1651" s="76"/>
      <c r="CD1651" s="76"/>
      <c r="CE1651" s="76"/>
      <c r="CF1651" s="76">
        <f>+CE1651*28000</f>
        <v>0</v>
      </c>
      <c r="CG1651" s="76"/>
      <c r="CH1651" s="76">
        <f>+CG1651*22500</f>
        <v>0</v>
      </c>
      <c r="CI1651" s="76"/>
      <c r="CJ1651" s="76">
        <f>+CI1651*26000</f>
        <v>0</v>
      </c>
      <c r="CK1651" s="76"/>
      <c r="CL1651" s="76"/>
      <c r="CM1651" s="76"/>
      <c r="CN1651" s="76">
        <f>+CM1651*22000</f>
        <v>0</v>
      </c>
      <c r="CO1651" s="76"/>
      <c r="CP1651" s="76">
        <f>+CO1651*46000</f>
        <v>0</v>
      </c>
      <c r="CQ1651" s="76"/>
      <c r="CR1651" s="76">
        <f>+CQ1651*49000</f>
        <v>0</v>
      </c>
      <c r="CS1651" s="76"/>
      <c r="CT1651" s="76"/>
      <c r="CU1651" s="56">
        <f>AN1651+AP1651+AR1651+AT1651+AV1651+AX1651+AZ1651+BB1651+BD1651+BF1651+BH1651+BJ1651+BL1651+BN1651+BP1651+BR1651+BT1651+BV1651+BX1651+BZ1651+CB1651+CD1651+CF1651+CH1651+CJ1651+CL1651+CN1651+CP1651+CR1651+CT1651</f>
        <v>0</v>
      </c>
      <c r="CV1651" s="76"/>
      <c r="CW1651" s="76">
        <f>+CV1651*1100</f>
        <v>0</v>
      </c>
      <c r="CX1651" s="76"/>
      <c r="CY1651" s="76">
        <f>+CX1651*106250</f>
        <v>0</v>
      </c>
      <c r="CZ1651" s="76"/>
      <c r="DA1651" s="76">
        <f>+CZ1651*34500</f>
        <v>0</v>
      </c>
      <c r="DB1651" s="76"/>
      <c r="DC1651" s="76">
        <f>+DB1651*25000</f>
        <v>0</v>
      </c>
      <c r="DD1651" s="219"/>
      <c r="DE1651" s="219"/>
      <c r="DF1651" s="166"/>
      <c r="DG1651" s="116"/>
      <c r="DH1651" s="117"/>
      <c r="DI1651" s="24"/>
      <c r="DJ1651" s="24"/>
      <c r="DK1651" s="24"/>
      <c r="DL1651" s="24"/>
      <c r="DM1651" s="24"/>
      <c r="DN1651" s="24"/>
      <c r="DO1651" s="24"/>
      <c r="DP1651" s="24"/>
      <c r="DQ1651" s="24"/>
      <c r="DR1651" s="24"/>
      <c r="DS1651" s="24"/>
      <c r="DT1651" s="24"/>
      <c r="DU1651" s="24"/>
    </row>
    <row r="1652" spans="1:125" s="8" customFormat="1" ht="36" x14ac:dyDescent="0.2">
      <c r="A1652" s="353">
        <v>41394</v>
      </c>
      <c r="B1652" s="352" t="s">
        <v>2851</v>
      </c>
      <c r="C1652" s="354" t="s">
        <v>2751</v>
      </c>
      <c r="D1652" s="354" t="s">
        <v>3088</v>
      </c>
      <c r="E1652" s="75" t="str">
        <f>VLOOKUP(B1652&amp;C1652,Divipola!$C$2:$F$1138,4,FALSE)</f>
        <v>76828</v>
      </c>
      <c r="F1652" s="87"/>
      <c r="G1652" s="87"/>
      <c r="H1652" s="87"/>
      <c r="I1652" s="87"/>
      <c r="J1652" s="87"/>
      <c r="K1652" s="87"/>
      <c r="L1652" s="87"/>
      <c r="M1652" s="87">
        <v>1</v>
      </c>
      <c r="N1652" s="87"/>
      <c r="O1652" s="87"/>
      <c r="P1652" s="87"/>
      <c r="Q1652" s="87"/>
      <c r="R1652" s="87"/>
      <c r="S1652" s="87"/>
      <c r="T1652" s="87"/>
      <c r="U1652" s="88"/>
      <c r="V1652" s="89"/>
      <c r="W1652" s="96">
        <v>0</v>
      </c>
      <c r="X1652" s="71">
        <f>CU1652</f>
        <v>0</v>
      </c>
      <c r="Y1652" s="71">
        <f>CY1652</f>
        <v>0</v>
      </c>
      <c r="Z1652" s="71">
        <f>DA1652+DC1652+DE1652</f>
        <v>0</v>
      </c>
      <c r="AA1652" s="71">
        <f>CW1652</f>
        <v>0</v>
      </c>
      <c r="AB1652" s="71"/>
      <c r="AC1652" s="71">
        <v>0</v>
      </c>
      <c r="AD1652" s="71">
        <f>W1652+X1652+Y1652+Z1652+AA1652+AB1652+AC1652</f>
        <v>0</v>
      </c>
      <c r="AE1652" s="72">
        <v>0</v>
      </c>
      <c r="AF1652" s="5"/>
      <c r="AG1652" s="6"/>
      <c r="AH1652" s="27" t="s">
        <v>3392</v>
      </c>
      <c r="AI1652" s="44" t="s">
        <v>3393</v>
      </c>
      <c r="AJ1652" s="26"/>
      <c r="AK1652" s="5"/>
      <c r="AL1652" s="82" t="s">
        <v>4442</v>
      </c>
      <c r="AM1652" s="76"/>
      <c r="AN1652" s="76"/>
      <c r="AO1652" s="76"/>
      <c r="AP1652" s="76"/>
      <c r="AQ1652" s="76"/>
      <c r="AR1652" s="76"/>
      <c r="AS1652" s="76"/>
      <c r="AT1652" s="76"/>
      <c r="AU1652" s="76"/>
      <c r="AV1652" s="76"/>
      <c r="AW1652" s="76"/>
      <c r="AX1652" s="76">
        <f>+AW1652*600000</f>
        <v>0</v>
      </c>
      <c r="AY1652" s="76"/>
      <c r="AZ1652" s="76">
        <f>+AY1652*70000</f>
        <v>0</v>
      </c>
      <c r="BA1652" s="76"/>
      <c r="BB1652" s="76"/>
      <c r="BC1652" s="76"/>
      <c r="BD1652" s="76">
        <f>+BC1652*30000</f>
        <v>0</v>
      </c>
      <c r="BE1652" s="76"/>
      <c r="BF1652" s="76"/>
      <c r="BG1652" s="76"/>
      <c r="BH1652" s="76"/>
      <c r="BI1652" s="76"/>
      <c r="BJ1652" s="76"/>
      <c r="BK1652" s="76"/>
      <c r="BL1652" s="76">
        <f>+BK1652*31500</f>
        <v>0</v>
      </c>
      <c r="BM1652" s="76"/>
      <c r="BN1652" s="76"/>
      <c r="BO1652" s="76"/>
      <c r="BP1652" s="76"/>
      <c r="BQ1652" s="76"/>
      <c r="BR1652" s="76"/>
      <c r="BS1652" s="76"/>
      <c r="BT1652" s="76"/>
      <c r="BU1652" s="76"/>
      <c r="BV1652" s="76"/>
      <c r="BW1652" s="76"/>
      <c r="BX1652" s="76"/>
      <c r="BY1652" s="76"/>
      <c r="BZ1652" s="76"/>
      <c r="CA1652" s="76"/>
      <c r="CB1652" s="76"/>
      <c r="CC1652" s="76"/>
      <c r="CD1652" s="76"/>
      <c r="CE1652" s="76"/>
      <c r="CF1652" s="76">
        <f>+CE1652*28000</f>
        <v>0</v>
      </c>
      <c r="CG1652" s="76"/>
      <c r="CH1652" s="76">
        <f>+CG1652*22500</f>
        <v>0</v>
      </c>
      <c r="CI1652" s="76"/>
      <c r="CJ1652" s="76">
        <f>+CI1652*26000</f>
        <v>0</v>
      </c>
      <c r="CK1652" s="76"/>
      <c r="CL1652" s="76"/>
      <c r="CM1652" s="76"/>
      <c r="CN1652" s="76">
        <f>+CM1652*22000</f>
        <v>0</v>
      </c>
      <c r="CO1652" s="76"/>
      <c r="CP1652" s="76">
        <f>+CO1652*46000</f>
        <v>0</v>
      </c>
      <c r="CQ1652" s="76"/>
      <c r="CR1652" s="76">
        <f>+CQ1652*49000</f>
        <v>0</v>
      </c>
      <c r="CS1652" s="76"/>
      <c r="CT1652" s="76"/>
      <c r="CU1652" s="56">
        <f>AN1652+AP1652+AR1652+AT1652+AV1652+AX1652+AZ1652+BB1652+BD1652+BF1652+BH1652+BJ1652+BL1652+BN1652+BP1652+BR1652+BT1652+BV1652+BX1652+BZ1652+CB1652+CD1652+CF1652+CH1652+CJ1652+CL1652+CN1652+CP1652+CR1652+CT1652</f>
        <v>0</v>
      </c>
      <c r="CV1652" s="76"/>
      <c r="CW1652" s="76">
        <f>+CV1652*1100</f>
        <v>0</v>
      </c>
      <c r="CX1652" s="76"/>
      <c r="CY1652" s="76">
        <f>+CX1652*106250</f>
        <v>0</v>
      </c>
      <c r="CZ1652" s="76"/>
      <c r="DA1652" s="76">
        <f>+CZ1652*34500</f>
        <v>0</v>
      </c>
      <c r="DB1652" s="76"/>
      <c r="DC1652" s="76">
        <f>+DB1652*25000</f>
        <v>0</v>
      </c>
      <c r="DD1652" s="219"/>
      <c r="DE1652" s="219"/>
      <c r="DF1652" s="166"/>
      <c r="DG1652" s="116"/>
      <c r="DH1652" s="117"/>
      <c r="DI1652" s="24"/>
      <c r="DJ1652" s="24"/>
      <c r="DK1652" s="24"/>
      <c r="DL1652" s="24"/>
      <c r="DM1652" s="24"/>
      <c r="DN1652" s="24"/>
      <c r="DO1652" s="24"/>
      <c r="DP1652" s="24"/>
      <c r="DQ1652" s="24"/>
      <c r="DR1652" s="24"/>
      <c r="DS1652" s="24"/>
      <c r="DT1652" s="24"/>
      <c r="DU1652" s="24"/>
    </row>
    <row r="1653" spans="1:125" s="8" customFormat="1" ht="84" x14ac:dyDescent="0.2">
      <c r="A1653" s="353">
        <v>41395</v>
      </c>
      <c r="B1653" s="208" t="s">
        <v>2894</v>
      </c>
      <c r="C1653" s="354" t="s">
        <v>2394</v>
      </c>
      <c r="D1653" s="84" t="s">
        <v>3088</v>
      </c>
      <c r="E1653" s="75" t="str">
        <f>VLOOKUP(B1653&amp;C1653,Divipola!$C$2:$F$1138,4,FALSE)</f>
        <v>05138</v>
      </c>
      <c r="F1653" s="87"/>
      <c r="G1653" s="87"/>
      <c r="H1653" s="87"/>
      <c r="I1653" s="87"/>
      <c r="J1653" s="87"/>
      <c r="K1653" s="87"/>
      <c r="L1653" s="87"/>
      <c r="M1653" s="87"/>
      <c r="N1653" s="87"/>
      <c r="O1653" s="87"/>
      <c r="P1653" s="87"/>
      <c r="Q1653" s="87"/>
      <c r="R1653" s="87"/>
      <c r="S1653" s="87"/>
      <c r="T1653" s="87"/>
      <c r="U1653" s="88"/>
      <c r="V1653" s="89"/>
      <c r="W1653" s="96">
        <v>0</v>
      </c>
      <c r="X1653" s="71">
        <f>CU1653</f>
        <v>0</v>
      </c>
      <c r="Y1653" s="71">
        <f>CY1653</f>
        <v>0</v>
      </c>
      <c r="Z1653" s="71">
        <f>DA1653+DC1653+DE1653</f>
        <v>0</v>
      </c>
      <c r="AA1653" s="71">
        <f>CW1653</f>
        <v>0</v>
      </c>
      <c r="AB1653" s="71"/>
      <c r="AC1653" s="71">
        <v>0</v>
      </c>
      <c r="AD1653" s="71">
        <f>W1653+X1653+Y1653+Z1653+AA1653+AB1653+AC1653</f>
        <v>0</v>
      </c>
      <c r="AE1653" s="72">
        <v>0</v>
      </c>
      <c r="AF1653" s="5"/>
      <c r="AG1653" s="6"/>
      <c r="AH1653" s="27" t="s">
        <v>3392</v>
      </c>
      <c r="AI1653" s="44" t="s">
        <v>3393</v>
      </c>
      <c r="AJ1653" s="26"/>
      <c r="AK1653" s="5"/>
      <c r="AL1653" s="82" t="s">
        <v>4464</v>
      </c>
      <c r="AM1653" s="76"/>
      <c r="AN1653" s="76"/>
      <c r="AO1653" s="76"/>
      <c r="AP1653" s="76"/>
      <c r="AQ1653" s="76"/>
      <c r="AR1653" s="76"/>
      <c r="AS1653" s="76"/>
      <c r="AT1653" s="76"/>
      <c r="AU1653" s="76"/>
      <c r="AV1653" s="76"/>
      <c r="AW1653" s="76"/>
      <c r="AX1653" s="76">
        <f>+AW1653*600000</f>
        <v>0</v>
      </c>
      <c r="AY1653" s="76"/>
      <c r="AZ1653" s="76">
        <f>+AY1653*70000</f>
        <v>0</v>
      </c>
      <c r="BA1653" s="76"/>
      <c r="BB1653" s="76"/>
      <c r="BC1653" s="76"/>
      <c r="BD1653" s="76">
        <f>+BC1653*30000</f>
        <v>0</v>
      </c>
      <c r="BE1653" s="76"/>
      <c r="BF1653" s="76"/>
      <c r="BG1653" s="76"/>
      <c r="BH1653" s="76"/>
      <c r="BI1653" s="76"/>
      <c r="BJ1653" s="76"/>
      <c r="BK1653" s="76"/>
      <c r="BL1653" s="76">
        <f>+BK1653*31500</f>
        <v>0</v>
      </c>
      <c r="BM1653" s="76"/>
      <c r="BN1653" s="76"/>
      <c r="BO1653" s="76"/>
      <c r="BP1653" s="76"/>
      <c r="BQ1653" s="76"/>
      <c r="BR1653" s="76"/>
      <c r="BS1653" s="76"/>
      <c r="BT1653" s="76"/>
      <c r="BU1653" s="76"/>
      <c r="BV1653" s="76"/>
      <c r="BW1653" s="76"/>
      <c r="BX1653" s="76"/>
      <c r="BY1653" s="76"/>
      <c r="BZ1653" s="76"/>
      <c r="CA1653" s="76"/>
      <c r="CB1653" s="76"/>
      <c r="CC1653" s="76"/>
      <c r="CD1653" s="76"/>
      <c r="CE1653" s="76"/>
      <c r="CF1653" s="76">
        <f>+CE1653*28000</f>
        <v>0</v>
      </c>
      <c r="CG1653" s="76"/>
      <c r="CH1653" s="76">
        <f>+CG1653*22500</f>
        <v>0</v>
      </c>
      <c r="CI1653" s="76"/>
      <c r="CJ1653" s="76">
        <f>+CI1653*26000</f>
        <v>0</v>
      </c>
      <c r="CK1653" s="76"/>
      <c r="CL1653" s="76"/>
      <c r="CM1653" s="76"/>
      <c r="CN1653" s="76">
        <f>+CM1653*22000</f>
        <v>0</v>
      </c>
      <c r="CO1653" s="76"/>
      <c r="CP1653" s="76">
        <f>+CO1653*46000</f>
        <v>0</v>
      </c>
      <c r="CQ1653" s="76"/>
      <c r="CR1653" s="76">
        <f>+CQ1653*49000</f>
        <v>0</v>
      </c>
      <c r="CS1653" s="76"/>
      <c r="CT1653" s="76"/>
      <c r="CU1653" s="56">
        <f>AN1653+AP1653+AR1653+AT1653+AV1653+AX1653+AZ1653+BB1653+BD1653+BF1653+BH1653+BJ1653+BL1653+BN1653+BP1653+BR1653+BT1653+BV1653+BX1653+BZ1653+CB1653+CD1653+CF1653+CH1653+CJ1653+CL1653+CN1653+CP1653+CR1653+CT1653</f>
        <v>0</v>
      </c>
      <c r="CV1653" s="76"/>
      <c r="CW1653" s="76">
        <f>+CV1653*1100</f>
        <v>0</v>
      </c>
      <c r="CX1653" s="76"/>
      <c r="CY1653" s="76">
        <f>+CX1653*106250</f>
        <v>0</v>
      </c>
      <c r="CZ1653" s="76"/>
      <c r="DA1653" s="76">
        <f>+CZ1653*34500</f>
        <v>0</v>
      </c>
      <c r="DB1653" s="76"/>
      <c r="DC1653" s="76">
        <f>+DB1653*25000</f>
        <v>0</v>
      </c>
      <c r="DD1653" s="219"/>
      <c r="DE1653" s="219"/>
      <c r="DF1653" s="166"/>
      <c r="DG1653" s="116"/>
      <c r="DH1653" s="117"/>
      <c r="DI1653" s="24"/>
      <c r="DJ1653" s="24"/>
      <c r="DK1653" s="24"/>
      <c r="DL1653" s="24"/>
      <c r="DM1653" s="24"/>
      <c r="DN1653" s="24"/>
      <c r="DO1653" s="24"/>
      <c r="DP1653" s="24"/>
      <c r="DQ1653" s="24"/>
      <c r="DR1653" s="24"/>
      <c r="DS1653" s="24"/>
      <c r="DT1653" s="24"/>
      <c r="DU1653" s="24"/>
    </row>
    <row r="1654" spans="1:125" s="8" customFormat="1" ht="96" x14ac:dyDescent="0.2">
      <c r="A1654" s="77">
        <v>41395</v>
      </c>
      <c r="B1654" s="78" t="s">
        <v>2894</v>
      </c>
      <c r="C1654" s="75" t="s">
        <v>2487</v>
      </c>
      <c r="D1654" s="75" t="s">
        <v>3051</v>
      </c>
      <c r="E1654" s="75" t="str">
        <f>VLOOKUP(B1654&amp;C1654,Divipola!$C$2:$F$1138,4,FALSE)</f>
        <v>05376</v>
      </c>
      <c r="F1654" s="87"/>
      <c r="G1654" s="87"/>
      <c r="H1654" s="87"/>
      <c r="I1654" s="87">
        <v>223</v>
      </c>
      <c r="J1654" s="87">
        <v>61</v>
      </c>
      <c r="K1654" s="87"/>
      <c r="L1654" s="87">
        <v>61</v>
      </c>
      <c r="M1654" s="87"/>
      <c r="N1654" s="87"/>
      <c r="O1654" s="87"/>
      <c r="P1654" s="87"/>
      <c r="Q1654" s="87"/>
      <c r="R1654" s="87"/>
      <c r="S1654" s="87"/>
      <c r="T1654" s="87"/>
      <c r="U1654" s="88"/>
      <c r="V1654" s="89"/>
      <c r="W1654" s="96">
        <v>0</v>
      </c>
      <c r="X1654" s="71">
        <f>CU1654</f>
        <v>0</v>
      </c>
      <c r="Y1654" s="71">
        <f>CY1654</f>
        <v>0</v>
      </c>
      <c r="Z1654" s="71">
        <f>DA1654+DC1654+DE1654</f>
        <v>0</v>
      </c>
      <c r="AA1654" s="71">
        <f>CW1654</f>
        <v>0</v>
      </c>
      <c r="AB1654" s="71"/>
      <c r="AC1654" s="71">
        <v>0</v>
      </c>
      <c r="AD1654" s="71">
        <f>W1654+X1654+Y1654+Z1654+AA1654+AB1654+AC1654</f>
        <v>0</v>
      </c>
      <c r="AE1654" s="72">
        <v>0</v>
      </c>
      <c r="AF1654" s="5"/>
      <c r="AG1654" s="6"/>
      <c r="AH1654" s="27" t="s">
        <v>3392</v>
      </c>
      <c r="AI1654" s="44" t="s">
        <v>3393</v>
      </c>
      <c r="AJ1654" s="26"/>
      <c r="AK1654" s="5"/>
      <c r="AL1654" s="82" t="s">
        <v>4450</v>
      </c>
      <c r="AM1654" s="76"/>
      <c r="AN1654" s="76"/>
      <c r="AO1654" s="76"/>
      <c r="AP1654" s="76"/>
      <c r="AQ1654" s="76"/>
      <c r="AR1654" s="76"/>
      <c r="AS1654" s="76"/>
      <c r="AT1654" s="76"/>
      <c r="AU1654" s="76"/>
      <c r="AV1654" s="76"/>
      <c r="AW1654" s="76"/>
      <c r="AX1654" s="76">
        <f>+AW1654*600000</f>
        <v>0</v>
      </c>
      <c r="AY1654" s="76"/>
      <c r="AZ1654" s="76">
        <f>+AY1654*70000</f>
        <v>0</v>
      </c>
      <c r="BA1654" s="76"/>
      <c r="BB1654" s="76"/>
      <c r="BC1654" s="76"/>
      <c r="BD1654" s="76">
        <f>+BC1654*30000</f>
        <v>0</v>
      </c>
      <c r="BE1654" s="76"/>
      <c r="BF1654" s="76"/>
      <c r="BG1654" s="76"/>
      <c r="BH1654" s="76"/>
      <c r="BI1654" s="76"/>
      <c r="BJ1654" s="76"/>
      <c r="BK1654" s="76"/>
      <c r="BL1654" s="76">
        <f>+BK1654*31500</f>
        <v>0</v>
      </c>
      <c r="BM1654" s="76"/>
      <c r="BN1654" s="76"/>
      <c r="BO1654" s="76"/>
      <c r="BP1654" s="76"/>
      <c r="BQ1654" s="76"/>
      <c r="BR1654" s="76"/>
      <c r="BS1654" s="76"/>
      <c r="BT1654" s="76"/>
      <c r="BU1654" s="76"/>
      <c r="BV1654" s="76"/>
      <c r="BW1654" s="76"/>
      <c r="BX1654" s="76"/>
      <c r="BY1654" s="76"/>
      <c r="BZ1654" s="76"/>
      <c r="CA1654" s="76"/>
      <c r="CB1654" s="76"/>
      <c r="CC1654" s="76"/>
      <c r="CD1654" s="76"/>
      <c r="CE1654" s="76"/>
      <c r="CF1654" s="76">
        <f>+CE1654*28000</f>
        <v>0</v>
      </c>
      <c r="CG1654" s="76"/>
      <c r="CH1654" s="76">
        <f>+CG1654*22500</f>
        <v>0</v>
      </c>
      <c r="CI1654" s="76"/>
      <c r="CJ1654" s="76">
        <f>+CI1654*26000</f>
        <v>0</v>
      </c>
      <c r="CK1654" s="76"/>
      <c r="CL1654" s="76"/>
      <c r="CM1654" s="76"/>
      <c r="CN1654" s="76">
        <f>+CM1654*22000</f>
        <v>0</v>
      </c>
      <c r="CO1654" s="76"/>
      <c r="CP1654" s="76">
        <f>+CO1654*46000</f>
        <v>0</v>
      </c>
      <c r="CQ1654" s="76"/>
      <c r="CR1654" s="76">
        <f>+CQ1654*49000</f>
        <v>0</v>
      </c>
      <c r="CS1654" s="76"/>
      <c r="CT1654" s="76"/>
      <c r="CU1654" s="56">
        <f>AN1654+AP1654+AR1654+AT1654+AV1654+AX1654+AZ1654+BB1654+BD1654+BF1654+BH1654+BJ1654+BL1654+BN1654+BP1654+BR1654+BT1654+BV1654+BX1654+BZ1654+CB1654+CD1654+CF1654+CH1654+CJ1654+CL1654+CN1654+CP1654+CR1654+CT1654</f>
        <v>0</v>
      </c>
      <c r="CV1654" s="76"/>
      <c r="CW1654" s="76">
        <f>+CV1654*1100</f>
        <v>0</v>
      </c>
      <c r="CX1654" s="76"/>
      <c r="CY1654" s="76">
        <f>+CX1654*106250</f>
        <v>0</v>
      </c>
      <c r="CZ1654" s="76"/>
      <c r="DA1654" s="76">
        <f>+CZ1654*34500</f>
        <v>0</v>
      </c>
      <c r="DB1654" s="76"/>
      <c r="DC1654" s="76">
        <f>+DB1654*25000</f>
        <v>0</v>
      </c>
      <c r="DD1654" s="219"/>
      <c r="DE1654" s="219"/>
      <c r="DF1654" s="166"/>
      <c r="DG1654" s="116"/>
      <c r="DH1654" s="117"/>
      <c r="DI1654" s="24"/>
      <c r="DJ1654" s="24"/>
      <c r="DK1654" s="24"/>
      <c r="DL1654" s="24"/>
      <c r="DM1654" s="24"/>
      <c r="DN1654" s="24"/>
      <c r="DO1654" s="24"/>
      <c r="DP1654" s="24"/>
      <c r="DQ1654" s="24"/>
      <c r="DR1654" s="24"/>
      <c r="DS1654" s="24"/>
      <c r="DT1654" s="24"/>
      <c r="DU1654" s="24"/>
    </row>
    <row r="1655" spans="1:125" s="8" customFormat="1" ht="144" x14ac:dyDescent="0.2">
      <c r="A1655" s="353">
        <v>41395</v>
      </c>
      <c r="B1655" s="208" t="s">
        <v>2196</v>
      </c>
      <c r="C1655" s="227" t="s">
        <v>2676</v>
      </c>
      <c r="D1655" s="227" t="s">
        <v>2936</v>
      </c>
      <c r="E1655" s="75" t="str">
        <f>VLOOKUP(B1655&amp;C1655,Divipola!$C$2:$F$1138,4,FALSE)</f>
        <v>17380</v>
      </c>
      <c r="F1655" s="87"/>
      <c r="G1655" s="87">
        <v>7</v>
      </c>
      <c r="H1655" s="87"/>
      <c r="I1655" s="87">
        <v>7</v>
      </c>
      <c r="J1655" s="87"/>
      <c r="K1655" s="87"/>
      <c r="L1655" s="87"/>
      <c r="M1655" s="87"/>
      <c r="N1655" s="87"/>
      <c r="O1655" s="87"/>
      <c r="P1655" s="87"/>
      <c r="Q1655" s="87"/>
      <c r="R1655" s="87"/>
      <c r="S1655" s="87"/>
      <c r="T1655" s="87"/>
      <c r="U1655" s="88"/>
      <c r="V1655" s="89"/>
      <c r="W1655" s="96">
        <v>0</v>
      </c>
      <c r="X1655" s="71">
        <f>CU1655</f>
        <v>0</v>
      </c>
      <c r="Y1655" s="71">
        <f>CY1655</f>
        <v>0</v>
      </c>
      <c r="Z1655" s="71">
        <f>DA1655+DC1655+DE1655</f>
        <v>0</v>
      </c>
      <c r="AA1655" s="71">
        <f>CW1655</f>
        <v>0</v>
      </c>
      <c r="AB1655" s="71"/>
      <c r="AC1655" s="71">
        <v>0</v>
      </c>
      <c r="AD1655" s="71">
        <f>W1655+X1655+Y1655+Z1655+AA1655+AB1655+AC1655</f>
        <v>0</v>
      </c>
      <c r="AE1655" s="72">
        <v>0</v>
      </c>
      <c r="AF1655" s="5"/>
      <c r="AG1655" s="6"/>
      <c r="AH1655" s="27" t="s">
        <v>3392</v>
      </c>
      <c r="AI1655" s="44" t="s">
        <v>3393</v>
      </c>
      <c r="AJ1655" s="26"/>
      <c r="AK1655" s="5"/>
      <c r="AL1655" s="82" t="s">
        <v>4465</v>
      </c>
      <c r="AM1655" s="76"/>
      <c r="AN1655" s="76"/>
      <c r="AO1655" s="76"/>
      <c r="AP1655" s="76"/>
      <c r="AQ1655" s="76"/>
      <c r="AR1655" s="76"/>
      <c r="AS1655" s="76"/>
      <c r="AT1655" s="76"/>
      <c r="AU1655" s="76"/>
      <c r="AV1655" s="76"/>
      <c r="AW1655" s="76"/>
      <c r="AX1655" s="76">
        <f>+AW1655*600000</f>
        <v>0</v>
      </c>
      <c r="AY1655" s="76"/>
      <c r="AZ1655" s="76">
        <f>+AY1655*70000</f>
        <v>0</v>
      </c>
      <c r="BA1655" s="76"/>
      <c r="BB1655" s="76"/>
      <c r="BC1655" s="76"/>
      <c r="BD1655" s="76">
        <f>+BC1655*30000</f>
        <v>0</v>
      </c>
      <c r="BE1655" s="76"/>
      <c r="BF1655" s="76"/>
      <c r="BG1655" s="76"/>
      <c r="BH1655" s="76"/>
      <c r="BI1655" s="76"/>
      <c r="BJ1655" s="76"/>
      <c r="BK1655" s="76"/>
      <c r="BL1655" s="76">
        <f>+BK1655*31500</f>
        <v>0</v>
      </c>
      <c r="BM1655" s="76"/>
      <c r="BN1655" s="76"/>
      <c r="BO1655" s="76"/>
      <c r="BP1655" s="76"/>
      <c r="BQ1655" s="76"/>
      <c r="BR1655" s="76"/>
      <c r="BS1655" s="76"/>
      <c r="BT1655" s="76"/>
      <c r="BU1655" s="76"/>
      <c r="BV1655" s="76"/>
      <c r="BW1655" s="76"/>
      <c r="BX1655" s="76"/>
      <c r="BY1655" s="76"/>
      <c r="BZ1655" s="76"/>
      <c r="CA1655" s="76"/>
      <c r="CB1655" s="76"/>
      <c r="CC1655" s="76"/>
      <c r="CD1655" s="76"/>
      <c r="CE1655" s="76"/>
      <c r="CF1655" s="76">
        <f>+CE1655*28000</f>
        <v>0</v>
      </c>
      <c r="CG1655" s="76"/>
      <c r="CH1655" s="76">
        <f>+CG1655*22500</f>
        <v>0</v>
      </c>
      <c r="CI1655" s="76"/>
      <c r="CJ1655" s="76">
        <f>+CI1655*26000</f>
        <v>0</v>
      </c>
      <c r="CK1655" s="76"/>
      <c r="CL1655" s="76"/>
      <c r="CM1655" s="76"/>
      <c r="CN1655" s="76">
        <f>+CM1655*22000</f>
        <v>0</v>
      </c>
      <c r="CO1655" s="76"/>
      <c r="CP1655" s="76">
        <f>+CO1655*46000</f>
        <v>0</v>
      </c>
      <c r="CQ1655" s="76"/>
      <c r="CR1655" s="76">
        <f>+CQ1655*49000</f>
        <v>0</v>
      </c>
      <c r="CS1655" s="76"/>
      <c r="CT1655" s="76"/>
      <c r="CU1655" s="56">
        <f>AN1655+AP1655+AR1655+AT1655+AV1655+AX1655+AZ1655+BB1655+BD1655+BF1655+BH1655+BJ1655+BL1655+BN1655+BP1655+BR1655+BT1655+BV1655+BX1655+BZ1655+CB1655+CD1655+CF1655+CH1655+CJ1655+CL1655+CN1655+CP1655+CR1655+CT1655</f>
        <v>0</v>
      </c>
      <c r="CV1655" s="76"/>
      <c r="CW1655" s="76">
        <f>+CV1655*1100</f>
        <v>0</v>
      </c>
      <c r="CX1655" s="76"/>
      <c r="CY1655" s="76">
        <f>+CX1655*106250</f>
        <v>0</v>
      </c>
      <c r="CZ1655" s="76"/>
      <c r="DA1655" s="76">
        <f>+CZ1655*34500</f>
        <v>0</v>
      </c>
      <c r="DB1655" s="76"/>
      <c r="DC1655" s="76">
        <f>+DB1655*25000</f>
        <v>0</v>
      </c>
      <c r="DD1655" s="219"/>
      <c r="DE1655" s="219"/>
      <c r="DF1655" s="166"/>
      <c r="DG1655" s="116"/>
      <c r="DH1655" s="117"/>
      <c r="DI1655" s="24"/>
      <c r="DJ1655" s="24"/>
      <c r="DK1655" s="24"/>
      <c r="DL1655" s="24"/>
      <c r="DM1655" s="24"/>
      <c r="DN1655" s="24"/>
      <c r="DO1655" s="24"/>
      <c r="DP1655" s="24"/>
      <c r="DQ1655" s="24"/>
      <c r="DR1655" s="24"/>
      <c r="DS1655" s="24"/>
      <c r="DT1655" s="24"/>
      <c r="DU1655" s="24"/>
    </row>
    <row r="1656" spans="1:125" s="8" customFormat="1" ht="48" x14ac:dyDescent="0.2">
      <c r="A1656" s="226">
        <v>41395</v>
      </c>
      <c r="B1656" s="225" t="s">
        <v>2855</v>
      </c>
      <c r="C1656" s="227" t="s">
        <v>919</v>
      </c>
      <c r="D1656" s="227" t="s">
        <v>2882</v>
      </c>
      <c r="E1656" s="75" t="str">
        <f>VLOOKUP(B1656&amp;C1656,Divipola!$C$2:$F$1138,4,FALSE)</f>
        <v>20400</v>
      </c>
      <c r="F1656" s="87"/>
      <c r="G1656" s="87"/>
      <c r="H1656" s="87"/>
      <c r="I1656" s="87">
        <v>30</v>
      </c>
      <c r="J1656" s="87">
        <v>6</v>
      </c>
      <c r="K1656" s="87"/>
      <c r="L1656" s="87">
        <v>6</v>
      </c>
      <c r="M1656" s="87"/>
      <c r="N1656" s="87"/>
      <c r="O1656" s="87"/>
      <c r="P1656" s="87"/>
      <c r="Q1656" s="87"/>
      <c r="R1656" s="87"/>
      <c r="S1656" s="87"/>
      <c r="T1656" s="87"/>
      <c r="U1656" s="88"/>
      <c r="V1656" s="89"/>
      <c r="W1656" s="96">
        <v>0</v>
      </c>
      <c r="X1656" s="71">
        <f>CU1656</f>
        <v>0</v>
      </c>
      <c r="Y1656" s="71">
        <f>CY1656</f>
        <v>0</v>
      </c>
      <c r="Z1656" s="71">
        <f>DA1656+DC1656+DE1656</f>
        <v>0</v>
      </c>
      <c r="AA1656" s="71">
        <f>CW1656</f>
        <v>0</v>
      </c>
      <c r="AB1656" s="71"/>
      <c r="AC1656" s="71">
        <v>0</v>
      </c>
      <c r="AD1656" s="71">
        <f>W1656+X1656+Y1656+Z1656+AA1656+AB1656+AC1656</f>
        <v>0</v>
      </c>
      <c r="AE1656" s="72">
        <v>0</v>
      </c>
      <c r="AF1656" s="5"/>
      <c r="AG1656" s="6"/>
      <c r="AH1656" s="27" t="s">
        <v>3392</v>
      </c>
      <c r="AI1656" s="44" t="s">
        <v>3393</v>
      </c>
      <c r="AJ1656" s="26"/>
      <c r="AK1656" s="5"/>
      <c r="AL1656" s="82" t="s">
        <v>4472</v>
      </c>
      <c r="AM1656" s="76"/>
      <c r="AN1656" s="76"/>
      <c r="AO1656" s="76"/>
      <c r="AP1656" s="76"/>
      <c r="AQ1656" s="76"/>
      <c r="AR1656" s="76"/>
      <c r="AS1656" s="76"/>
      <c r="AT1656" s="76"/>
      <c r="AU1656" s="76"/>
      <c r="AV1656" s="76"/>
      <c r="AW1656" s="76"/>
      <c r="AX1656" s="76">
        <f>+AW1656*600000</f>
        <v>0</v>
      </c>
      <c r="AY1656" s="76"/>
      <c r="AZ1656" s="76">
        <f>+AY1656*70000</f>
        <v>0</v>
      </c>
      <c r="BA1656" s="76"/>
      <c r="BB1656" s="76"/>
      <c r="BC1656" s="76"/>
      <c r="BD1656" s="76">
        <f>+BC1656*30000</f>
        <v>0</v>
      </c>
      <c r="BE1656" s="76"/>
      <c r="BF1656" s="76"/>
      <c r="BG1656" s="76"/>
      <c r="BH1656" s="76"/>
      <c r="BI1656" s="76"/>
      <c r="BJ1656" s="76"/>
      <c r="BK1656" s="76"/>
      <c r="BL1656" s="76">
        <f>+BK1656*31500</f>
        <v>0</v>
      </c>
      <c r="BM1656" s="76"/>
      <c r="BN1656" s="76"/>
      <c r="BO1656" s="76"/>
      <c r="BP1656" s="76"/>
      <c r="BQ1656" s="76"/>
      <c r="BR1656" s="76"/>
      <c r="BS1656" s="76"/>
      <c r="BT1656" s="76"/>
      <c r="BU1656" s="76"/>
      <c r="BV1656" s="76"/>
      <c r="BW1656" s="76"/>
      <c r="BX1656" s="76"/>
      <c r="BY1656" s="76"/>
      <c r="BZ1656" s="76"/>
      <c r="CA1656" s="76"/>
      <c r="CB1656" s="76"/>
      <c r="CC1656" s="76"/>
      <c r="CD1656" s="76"/>
      <c r="CE1656" s="76"/>
      <c r="CF1656" s="76">
        <f>+CE1656*28000</f>
        <v>0</v>
      </c>
      <c r="CG1656" s="76"/>
      <c r="CH1656" s="76">
        <f>+CG1656*22500</f>
        <v>0</v>
      </c>
      <c r="CI1656" s="76"/>
      <c r="CJ1656" s="76">
        <f>+CI1656*26000</f>
        <v>0</v>
      </c>
      <c r="CK1656" s="76"/>
      <c r="CL1656" s="76"/>
      <c r="CM1656" s="76"/>
      <c r="CN1656" s="76">
        <f>+CM1656*22000</f>
        <v>0</v>
      </c>
      <c r="CO1656" s="76"/>
      <c r="CP1656" s="76">
        <f>+CO1656*46000</f>
        <v>0</v>
      </c>
      <c r="CQ1656" s="76"/>
      <c r="CR1656" s="76">
        <f>+CQ1656*49000</f>
        <v>0</v>
      </c>
      <c r="CS1656" s="76"/>
      <c r="CT1656" s="76"/>
      <c r="CU1656" s="56">
        <f>AN1656+AP1656+AR1656+AT1656+AV1656+AX1656+AZ1656+BB1656+BD1656+BF1656+BH1656+BJ1656+BL1656+BN1656+BP1656+BR1656+BT1656+BV1656+BX1656+BZ1656+CB1656+CD1656+CF1656+CH1656+CJ1656+CL1656+CN1656+CP1656+CR1656+CT1656</f>
        <v>0</v>
      </c>
      <c r="CV1656" s="76"/>
      <c r="CW1656" s="76">
        <f>+CV1656*1100</f>
        <v>0</v>
      </c>
      <c r="CX1656" s="76"/>
      <c r="CY1656" s="76">
        <f>+CX1656*106250</f>
        <v>0</v>
      </c>
      <c r="CZ1656" s="76"/>
      <c r="DA1656" s="76">
        <f>+CZ1656*34500</f>
        <v>0</v>
      </c>
      <c r="DB1656" s="76"/>
      <c r="DC1656" s="76">
        <f>+DB1656*25000</f>
        <v>0</v>
      </c>
      <c r="DD1656" s="219"/>
      <c r="DE1656" s="219"/>
      <c r="DF1656" s="166"/>
      <c r="DG1656" s="116"/>
      <c r="DH1656" s="117"/>
      <c r="DI1656" s="24"/>
      <c r="DJ1656" s="24"/>
      <c r="DK1656" s="24"/>
      <c r="DL1656" s="24"/>
      <c r="DM1656" s="24"/>
      <c r="DN1656" s="24"/>
      <c r="DO1656" s="24"/>
      <c r="DP1656" s="24"/>
      <c r="DQ1656" s="24"/>
      <c r="DR1656" s="24"/>
      <c r="DS1656" s="24"/>
      <c r="DT1656" s="24"/>
      <c r="DU1656" s="24"/>
    </row>
    <row r="1657" spans="1:125" s="8" customFormat="1" ht="132" x14ac:dyDescent="0.2">
      <c r="A1657" s="353">
        <v>41395</v>
      </c>
      <c r="B1657" s="225" t="s">
        <v>2772</v>
      </c>
      <c r="C1657" s="227" t="s">
        <v>1135</v>
      </c>
      <c r="D1657" s="227" t="s">
        <v>2936</v>
      </c>
      <c r="E1657" s="75" t="str">
        <f>VLOOKUP(B1657&amp;C1657,Divipola!$C$2:$F$1138,4,FALSE)</f>
        <v>25572</v>
      </c>
      <c r="F1657" s="87"/>
      <c r="G1657" s="87">
        <v>7</v>
      </c>
      <c r="H1657" s="87"/>
      <c r="I1657" s="87"/>
      <c r="J1657" s="87"/>
      <c r="K1657" s="87"/>
      <c r="L1657" s="87"/>
      <c r="M1657" s="87"/>
      <c r="N1657" s="87"/>
      <c r="O1657" s="87"/>
      <c r="P1657" s="87"/>
      <c r="Q1657" s="87"/>
      <c r="R1657" s="87"/>
      <c r="S1657" s="87"/>
      <c r="T1657" s="87"/>
      <c r="U1657" s="88"/>
      <c r="V1657" s="89"/>
      <c r="W1657" s="96">
        <v>0</v>
      </c>
      <c r="X1657" s="71">
        <f>CU1657</f>
        <v>0</v>
      </c>
      <c r="Y1657" s="71">
        <f>CY1657</f>
        <v>0</v>
      </c>
      <c r="Z1657" s="71">
        <f>DA1657+DC1657+DE1657</f>
        <v>0</v>
      </c>
      <c r="AA1657" s="71">
        <f>CW1657</f>
        <v>0</v>
      </c>
      <c r="AB1657" s="71"/>
      <c r="AC1657" s="71">
        <v>0</v>
      </c>
      <c r="AD1657" s="71">
        <f>W1657+X1657+Y1657+Z1657+AA1657+AB1657+AC1657</f>
        <v>0</v>
      </c>
      <c r="AE1657" s="72">
        <v>0</v>
      </c>
      <c r="AF1657" s="5"/>
      <c r="AG1657" s="6"/>
      <c r="AH1657" s="27" t="s">
        <v>3392</v>
      </c>
      <c r="AI1657" s="44" t="s">
        <v>3393</v>
      </c>
      <c r="AJ1657" s="26"/>
      <c r="AK1657" s="5"/>
      <c r="AL1657" s="82" t="s">
        <v>4476</v>
      </c>
      <c r="AM1657" s="76"/>
      <c r="AN1657" s="76"/>
      <c r="AO1657" s="76"/>
      <c r="AP1657" s="76"/>
      <c r="AQ1657" s="76"/>
      <c r="AR1657" s="76"/>
      <c r="AS1657" s="76"/>
      <c r="AT1657" s="76"/>
      <c r="AU1657" s="76"/>
      <c r="AV1657" s="76"/>
      <c r="AW1657" s="76"/>
      <c r="AX1657" s="76">
        <f>+AW1657*600000</f>
        <v>0</v>
      </c>
      <c r="AY1657" s="76"/>
      <c r="AZ1657" s="76">
        <f>+AY1657*70000</f>
        <v>0</v>
      </c>
      <c r="BA1657" s="76"/>
      <c r="BB1657" s="76"/>
      <c r="BC1657" s="76"/>
      <c r="BD1657" s="76">
        <f>+BC1657*30000</f>
        <v>0</v>
      </c>
      <c r="BE1657" s="76"/>
      <c r="BF1657" s="76"/>
      <c r="BG1657" s="76"/>
      <c r="BH1657" s="76"/>
      <c r="BI1657" s="76"/>
      <c r="BJ1657" s="76"/>
      <c r="BK1657" s="76"/>
      <c r="BL1657" s="76">
        <f>+BK1657*31500</f>
        <v>0</v>
      </c>
      <c r="BM1657" s="76"/>
      <c r="BN1657" s="76"/>
      <c r="BO1657" s="76"/>
      <c r="BP1657" s="76"/>
      <c r="BQ1657" s="76"/>
      <c r="BR1657" s="76"/>
      <c r="BS1657" s="76"/>
      <c r="BT1657" s="76"/>
      <c r="BU1657" s="76"/>
      <c r="BV1657" s="76"/>
      <c r="BW1657" s="76"/>
      <c r="BX1657" s="76"/>
      <c r="BY1657" s="76"/>
      <c r="BZ1657" s="76"/>
      <c r="CA1657" s="76"/>
      <c r="CB1657" s="76"/>
      <c r="CC1657" s="76"/>
      <c r="CD1657" s="76"/>
      <c r="CE1657" s="76"/>
      <c r="CF1657" s="76">
        <f>+CE1657*28000</f>
        <v>0</v>
      </c>
      <c r="CG1657" s="76"/>
      <c r="CH1657" s="76">
        <f>+CG1657*22500</f>
        <v>0</v>
      </c>
      <c r="CI1657" s="76"/>
      <c r="CJ1657" s="76">
        <f>+CI1657*26000</f>
        <v>0</v>
      </c>
      <c r="CK1657" s="76"/>
      <c r="CL1657" s="76"/>
      <c r="CM1657" s="76"/>
      <c r="CN1657" s="76">
        <f>+CM1657*22000</f>
        <v>0</v>
      </c>
      <c r="CO1657" s="76"/>
      <c r="CP1657" s="76">
        <f>+CO1657*46000</f>
        <v>0</v>
      </c>
      <c r="CQ1657" s="76"/>
      <c r="CR1657" s="76">
        <f>+CQ1657*49000</f>
        <v>0</v>
      </c>
      <c r="CS1657" s="76"/>
      <c r="CT1657" s="76"/>
      <c r="CU1657" s="56">
        <f>AN1657+AP1657+AR1657+AT1657+AV1657+AX1657+AZ1657+BB1657+BD1657+BF1657+BH1657+BJ1657+BL1657+BN1657+BP1657+BR1657+BT1657+BV1657+BX1657+BZ1657+CB1657+CD1657+CF1657+CH1657+CJ1657+CL1657+CN1657+CP1657+CR1657+CT1657</f>
        <v>0</v>
      </c>
      <c r="CV1657" s="76"/>
      <c r="CW1657" s="76">
        <f>+CV1657*1100</f>
        <v>0</v>
      </c>
      <c r="CX1657" s="76"/>
      <c r="CY1657" s="76">
        <f>+CX1657*106250</f>
        <v>0</v>
      </c>
      <c r="CZ1657" s="76"/>
      <c r="DA1657" s="76">
        <f>+CZ1657*34500</f>
        <v>0</v>
      </c>
      <c r="DB1657" s="76"/>
      <c r="DC1657" s="76">
        <f>+DB1657*25000</f>
        <v>0</v>
      </c>
      <c r="DD1657" s="219"/>
      <c r="DE1657" s="219"/>
      <c r="DF1657" s="166"/>
      <c r="DG1657" s="116"/>
      <c r="DH1657" s="117"/>
      <c r="DI1657" s="24"/>
      <c r="DJ1657" s="24"/>
      <c r="DK1657" s="24"/>
      <c r="DL1657" s="24"/>
      <c r="DM1657" s="24"/>
      <c r="DN1657" s="24"/>
      <c r="DO1657" s="24"/>
      <c r="DP1657" s="24"/>
      <c r="DQ1657" s="24"/>
      <c r="DR1657" s="24"/>
      <c r="DS1657" s="24"/>
      <c r="DT1657" s="24"/>
      <c r="DU1657" s="24"/>
    </row>
    <row r="1658" spans="1:125" s="8" customFormat="1" ht="96" x14ac:dyDescent="0.2">
      <c r="A1658" s="226">
        <v>41395</v>
      </c>
      <c r="B1658" s="225" t="s">
        <v>2772</v>
      </c>
      <c r="C1658" s="227" t="s">
        <v>2664</v>
      </c>
      <c r="D1658" s="227" t="s">
        <v>2882</v>
      </c>
      <c r="E1658" s="75" t="str">
        <f>VLOOKUP(B1658&amp;C1658,Divipola!$C$2:$F$1138,4,FALSE)</f>
        <v>25815</v>
      </c>
      <c r="F1658" s="87"/>
      <c r="G1658" s="87"/>
      <c r="H1658" s="87"/>
      <c r="I1658" s="87"/>
      <c r="J1658" s="87"/>
      <c r="K1658" s="87"/>
      <c r="L1658" s="87"/>
      <c r="M1658" s="87"/>
      <c r="N1658" s="87"/>
      <c r="O1658" s="87"/>
      <c r="P1658" s="87"/>
      <c r="Q1658" s="87"/>
      <c r="R1658" s="87"/>
      <c r="S1658" s="87"/>
      <c r="T1658" s="87"/>
      <c r="U1658" s="88"/>
      <c r="V1658" s="89"/>
      <c r="W1658" s="96">
        <v>0</v>
      </c>
      <c r="X1658" s="71">
        <f>CU1658</f>
        <v>0</v>
      </c>
      <c r="Y1658" s="71">
        <f>CY1658</f>
        <v>0</v>
      </c>
      <c r="Z1658" s="71">
        <f>DA1658+DC1658+DE1658</f>
        <v>0</v>
      </c>
      <c r="AA1658" s="71">
        <f>CW1658</f>
        <v>0</v>
      </c>
      <c r="AB1658" s="71"/>
      <c r="AC1658" s="71">
        <v>0</v>
      </c>
      <c r="AD1658" s="71">
        <f>W1658+X1658+Y1658+Z1658+AA1658+AB1658+AC1658</f>
        <v>0</v>
      </c>
      <c r="AE1658" s="72">
        <v>0</v>
      </c>
      <c r="AF1658" s="5"/>
      <c r="AG1658" s="6"/>
      <c r="AH1658" s="27" t="s">
        <v>3392</v>
      </c>
      <c r="AI1658" s="44" t="s">
        <v>3393</v>
      </c>
      <c r="AJ1658" s="26"/>
      <c r="AK1658" s="5"/>
      <c r="AL1658" s="82" t="s">
        <v>4477</v>
      </c>
      <c r="AM1658" s="76"/>
      <c r="AN1658" s="76"/>
      <c r="AO1658" s="76"/>
      <c r="AP1658" s="76"/>
      <c r="AQ1658" s="76"/>
      <c r="AR1658" s="76"/>
      <c r="AS1658" s="76"/>
      <c r="AT1658" s="76"/>
      <c r="AU1658" s="76"/>
      <c r="AV1658" s="76"/>
      <c r="AW1658" s="76"/>
      <c r="AX1658" s="76">
        <f>+AW1658*600000</f>
        <v>0</v>
      </c>
      <c r="AY1658" s="76"/>
      <c r="AZ1658" s="76">
        <f>+AY1658*70000</f>
        <v>0</v>
      </c>
      <c r="BA1658" s="76"/>
      <c r="BB1658" s="76"/>
      <c r="BC1658" s="76"/>
      <c r="BD1658" s="76">
        <f>+BC1658*30000</f>
        <v>0</v>
      </c>
      <c r="BE1658" s="76"/>
      <c r="BF1658" s="76"/>
      <c r="BG1658" s="76"/>
      <c r="BH1658" s="76"/>
      <c r="BI1658" s="76"/>
      <c r="BJ1658" s="76"/>
      <c r="BK1658" s="76"/>
      <c r="BL1658" s="76">
        <f>+BK1658*31500</f>
        <v>0</v>
      </c>
      <c r="BM1658" s="76"/>
      <c r="BN1658" s="76"/>
      <c r="BO1658" s="76"/>
      <c r="BP1658" s="76"/>
      <c r="BQ1658" s="76"/>
      <c r="BR1658" s="76"/>
      <c r="BS1658" s="76"/>
      <c r="BT1658" s="76"/>
      <c r="BU1658" s="76"/>
      <c r="BV1658" s="76"/>
      <c r="BW1658" s="76"/>
      <c r="BX1658" s="76"/>
      <c r="BY1658" s="76"/>
      <c r="BZ1658" s="76"/>
      <c r="CA1658" s="76"/>
      <c r="CB1658" s="76"/>
      <c r="CC1658" s="76"/>
      <c r="CD1658" s="76"/>
      <c r="CE1658" s="76"/>
      <c r="CF1658" s="76">
        <f>+CE1658*28000</f>
        <v>0</v>
      </c>
      <c r="CG1658" s="76"/>
      <c r="CH1658" s="76">
        <f>+CG1658*22500</f>
        <v>0</v>
      </c>
      <c r="CI1658" s="76"/>
      <c r="CJ1658" s="76">
        <f>+CI1658*26000</f>
        <v>0</v>
      </c>
      <c r="CK1658" s="76"/>
      <c r="CL1658" s="76"/>
      <c r="CM1658" s="76"/>
      <c r="CN1658" s="76">
        <f>+CM1658*22000</f>
        <v>0</v>
      </c>
      <c r="CO1658" s="76"/>
      <c r="CP1658" s="76">
        <f>+CO1658*46000</f>
        <v>0</v>
      </c>
      <c r="CQ1658" s="76"/>
      <c r="CR1658" s="76">
        <f>+CQ1658*49000</f>
        <v>0</v>
      </c>
      <c r="CS1658" s="76"/>
      <c r="CT1658" s="76"/>
      <c r="CU1658" s="56">
        <f>AN1658+AP1658+AR1658+AT1658+AV1658+AX1658+AZ1658+BB1658+BD1658+BF1658+BH1658+BJ1658+BL1658+BN1658+BP1658+BR1658+BT1658+BV1658+BX1658+BZ1658+CB1658+CD1658+CF1658+CH1658+CJ1658+CL1658+CN1658+CP1658+CR1658+CT1658</f>
        <v>0</v>
      </c>
      <c r="CV1658" s="76"/>
      <c r="CW1658" s="76">
        <f>+CV1658*1100</f>
        <v>0</v>
      </c>
      <c r="CX1658" s="76"/>
      <c r="CY1658" s="76">
        <f>+CX1658*106250</f>
        <v>0</v>
      </c>
      <c r="CZ1658" s="76"/>
      <c r="DA1658" s="76">
        <f>+CZ1658*34500</f>
        <v>0</v>
      </c>
      <c r="DB1658" s="76"/>
      <c r="DC1658" s="76">
        <f>+DB1658*25000</f>
        <v>0</v>
      </c>
      <c r="DD1658" s="219"/>
      <c r="DE1658" s="219"/>
      <c r="DF1658" s="166"/>
      <c r="DG1658" s="116"/>
      <c r="DH1658" s="117"/>
      <c r="DI1658" s="24"/>
      <c r="DJ1658" s="24"/>
      <c r="DK1658" s="24"/>
      <c r="DL1658" s="24"/>
      <c r="DM1658" s="24"/>
      <c r="DN1658" s="24"/>
      <c r="DO1658" s="24"/>
      <c r="DP1658" s="24"/>
      <c r="DQ1658" s="24"/>
      <c r="DR1658" s="24"/>
      <c r="DS1658" s="24"/>
      <c r="DT1658" s="24"/>
      <c r="DU1658" s="24"/>
    </row>
    <row r="1659" spans="1:125" s="8" customFormat="1" ht="48" x14ac:dyDescent="0.2">
      <c r="A1659" s="226">
        <v>41395</v>
      </c>
      <c r="B1659" s="225" t="s">
        <v>2851</v>
      </c>
      <c r="C1659" s="227" t="s">
        <v>107</v>
      </c>
      <c r="D1659" s="227" t="s">
        <v>2859</v>
      </c>
      <c r="E1659" s="75" t="str">
        <f>VLOOKUP(B1659&amp;C1659,Divipola!$C$2:$F$1138,4,FALSE)</f>
        <v>76606</v>
      </c>
      <c r="F1659" s="87"/>
      <c r="G1659" s="87"/>
      <c r="H1659" s="87"/>
      <c r="I1659" s="87">
        <v>25</v>
      </c>
      <c r="J1659" s="87">
        <v>5</v>
      </c>
      <c r="K1659" s="87"/>
      <c r="L1659" s="87">
        <v>5</v>
      </c>
      <c r="M1659" s="87"/>
      <c r="N1659" s="87"/>
      <c r="O1659" s="87"/>
      <c r="P1659" s="87"/>
      <c r="Q1659" s="87"/>
      <c r="R1659" s="87"/>
      <c r="S1659" s="87"/>
      <c r="T1659" s="87"/>
      <c r="U1659" s="88"/>
      <c r="V1659" s="89"/>
      <c r="W1659" s="96">
        <v>0</v>
      </c>
      <c r="X1659" s="71">
        <f>CU1659</f>
        <v>0</v>
      </c>
      <c r="Y1659" s="71">
        <f>CY1659</f>
        <v>0</v>
      </c>
      <c r="Z1659" s="71">
        <f>DA1659+DC1659+DE1659</f>
        <v>0</v>
      </c>
      <c r="AA1659" s="71">
        <f>CW1659</f>
        <v>0</v>
      </c>
      <c r="AB1659" s="71"/>
      <c r="AC1659" s="71">
        <v>0</v>
      </c>
      <c r="AD1659" s="71">
        <f>W1659+X1659+Y1659+Z1659+AA1659+AB1659+AC1659</f>
        <v>0</v>
      </c>
      <c r="AE1659" s="72">
        <v>0</v>
      </c>
      <c r="AF1659" s="5"/>
      <c r="AG1659" s="6"/>
      <c r="AH1659" s="27" t="s">
        <v>3392</v>
      </c>
      <c r="AI1659" s="44" t="s">
        <v>3393</v>
      </c>
      <c r="AJ1659" s="26"/>
      <c r="AK1659" s="5"/>
      <c r="AL1659" s="82" t="s">
        <v>4452</v>
      </c>
      <c r="AM1659" s="76"/>
      <c r="AN1659" s="76"/>
      <c r="AO1659" s="76"/>
      <c r="AP1659" s="76"/>
      <c r="AQ1659" s="76"/>
      <c r="AR1659" s="76"/>
      <c r="AS1659" s="76"/>
      <c r="AT1659" s="76"/>
      <c r="AU1659" s="76"/>
      <c r="AV1659" s="76"/>
      <c r="AW1659" s="76"/>
      <c r="AX1659" s="76">
        <f>+AW1659*600000</f>
        <v>0</v>
      </c>
      <c r="AY1659" s="76"/>
      <c r="AZ1659" s="76">
        <f>+AY1659*70000</f>
        <v>0</v>
      </c>
      <c r="BA1659" s="76"/>
      <c r="BB1659" s="76"/>
      <c r="BC1659" s="76"/>
      <c r="BD1659" s="76">
        <f>+BC1659*30000</f>
        <v>0</v>
      </c>
      <c r="BE1659" s="76"/>
      <c r="BF1659" s="76"/>
      <c r="BG1659" s="76"/>
      <c r="BH1659" s="76"/>
      <c r="BI1659" s="76"/>
      <c r="BJ1659" s="76"/>
      <c r="BK1659" s="76"/>
      <c r="BL1659" s="76">
        <f>+BK1659*31500</f>
        <v>0</v>
      </c>
      <c r="BM1659" s="76"/>
      <c r="BN1659" s="76"/>
      <c r="BO1659" s="76"/>
      <c r="BP1659" s="76"/>
      <c r="BQ1659" s="76"/>
      <c r="BR1659" s="76"/>
      <c r="BS1659" s="76"/>
      <c r="BT1659" s="76"/>
      <c r="BU1659" s="76"/>
      <c r="BV1659" s="76"/>
      <c r="BW1659" s="76"/>
      <c r="BX1659" s="76"/>
      <c r="BY1659" s="76"/>
      <c r="BZ1659" s="76"/>
      <c r="CA1659" s="76"/>
      <c r="CB1659" s="76"/>
      <c r="CC1659" s="76"/>
      <c r="CD1659" s="76"/>
      <c r="CE1659" s="76"/>
      <c r="CF1659" s="76">
        <f>+CE1659*28000</f>
        <v>0</v>
      </c>
      <c r="CG1659" s="76"/>
      <c r="CH1659" s="76">
        <f>+CG1659*22500</f>
        <v>0</v>
      </c>
      <c r="CI1659" s="76"/>
      <c r="CJ1659" s="76">
        <f>+CI1659*26000</f>
        <v>0</v>
      </c>
      <c r="CK1659" s="76"/>
      <c r="CL1659" s="76"/>
      <c r="CM1659" s="76"/>
      <c r="CN1659" s="76">
        <f>+CM1659*22000</f>
        <v>0</v>
      </c>
      <c r="CO1659" s="76"/>
      <c r="CP1659" s="76">
        <f>+CO1659*46000</f>
        <v>0</v>
      </c>
      <c r="CQ1659" s="76"/>
      <c r="CR1659" s="76">
        <f>+CQ1659*49000</f>
        <v>0</v>
      </c>
      <c r="CS1659" s="76"/>
      <c r="CT1659" s="76"/>
      <c r="CU1659" s="56">
        <f>AN1659+AP1659+AR1659+AT1659+AV1659+AX1659+AZ1659+BB1659+BD1659+BF1659+BH1659+BJ1659+BL1659+BN1659+BP1659+BR1659+BT1659+BV1659+BX1659+BZ1659+CB1659+CD1659+CF1659+CH1659+CJ1659+CL1659+CN1659+CP1659+CR1659+CT1659</f>
        <v>0</v>
      </c>
      <c r="CV1659" s="76"/>
      <c r="CW1659" s="76">
        <f>+CV1659*1100</f>
        <v>0</v>
      </c>
      <c r="CX1659" s="76"/>
      <c r="CY1659" s="76">
        <f>+CX1659*106250</f>
        <v>0</v>
      </c>
      <c r="CZ1659" s="76"/>
      <c r="DA1659" s="76">
        <f>+CZ1659*34500</f>
        <v>0</v>
      </c>
      <c r="DB1659" s="76"/>
      <c r="DC1659" s="76">
        <f>+DB1659*25000</f>
        <v>0</v>
      </c>
      <c r="DD1659" s="219"/>
      <c r="DE1659" s="219"/>
      <c r="DF1659" s="166"/>
      <c r="DG1659" s="116"/>
      <c r="DH1659" s="117"/>
      <c r="DI1659" s="24"/>
      <c r="DJ1659" s="24"/>
      <c r="DK1659" s="24"/>
      <c r="DL1659" s="24"/>
      <c r="DM1659" s="24"/>
      <c r="DN1659" s="24"/>
      <c r="DO1659" s="24"/>
      <c r="DP1659" s="24"/>
      <c r="DQ1659" s="24"/>
      <c r="DR1659" s="24"/>
      <c r="DS1659" s="24"/>
      <c r="DT1659" s="24"/>
      <c r="DU1659" s="24"/>
    </row>
    <row r="1660" spans="1:125" s="8" customFormat="1" ht="96" x14ac:dyDescent="0.2">
      <c r="A1660" s="353">
        <v>41396</v>
      </c>
      <c r="B1660" s="352" t="s">
        <v>2881</v>
      </c>
      <c r="C1660" s="354" t="s">
        <v>2767</v>
      </c>
      <c r="D1660" s="354" t="s">
        <v>2882</v>
      </c>
      <c r="E1660" s="75" t="str">
        <f>VLOOKUP(B1660&amp;C1660,Divipola!$C$2:$F$1138,4,FALSE)</f>
        <v>08001</v>
      </c>
      <c r="F1660" s="87"/>
      <c r="G1660" s="87"/>
      <c r="H1660" s="87"/>
      <c r="I1660" s="87">
        <v>280</v>
      </c>
      <c r="J1660" s="87">
        <v>56</v>
      </c>
      <c r="K1660" s="87"/>
      <c r="L1660" s="87">
        <v>56</v>
      </c>
      <c r="M1660" s="87"/>
      <c r="N1660" s="87"/>
      <c r="O1660" s="87"/>
      <c r="P1660" s="87"/>
      <c r="Q1660" s="87"/>
      <c r="R1660" s="87"/>
      <c r="S1660" s="87"/>
      <c r="T1660" s="87"/>
      <c r="U1660" s="88"/>
      <c r="V1660" s="89"/>
      <c r="W1660" s="96">
        <v>0</v>
      </c>
      <c r="X1660" s="71">
        <f>CU1660</f>
        <v>0</v>
      </c>
      <c r="Y1660" s="71">
        <f>CY1660</f>
        <v>0</v>
      </c>
      <c r="Z1660" s="71">
        <f>DA1660+DC1660+DE1660</f>
        <v>0</v>
      </c>
      <c r="AA1660" s="71">
        <f>CW1660</f>
        <v>0</v>
      </c>
      <c r="AB1660" s="71"/>
      <c r="AC1660" s="71">
        <v>0</v>
      </c>
      <c r="AD1660" s="71">
        <f>W1660+X1660+Y1660+Z1660+AA1660+AB1660+AC1660</f>
        <v>0</v>
      </c>
      <c r="AE1660" s="72">
        <v>0</v>
      </c>
      <c r="AF1660" s="5"/>
      <c r="AG1660" s="6"/>
      <c r="AH1660" s="27" t="s">
        <v>3392</v>
      </c>
      <c r="AI1660" s="44" t="s">
        <v>3393</v>
      </c>
      <c r="AJ1660" s="26"/>
      <c r="AK1660" s="5"/>
      <c r="AL1660" s="82" t="s">
        <v>4508</v>
      </c>
      <c r="AM1660" s="76"/>
      <c r="AN1660" s="76"/>
      <c r="AO1660" s="76"/>
      <c r="AP1660" s="76"/>
      <c r="AQ1660" s="76"/>
      <c r="AR1660" s="76"/>
      <c r="AS1660" s="76"/>
      <c r="AT1660" s="76"/>
      <c r="AU1660" s="76"/>
      <c r="AV1660" s="76"/>
      <c r="AW1660" s="76"/>
      <c r="AX1660" s="76">
        <f>+AW1660*600000</f>
        <v>0</v>
      </c>
      <c r="AY1660" s="76"/>
      <c r="AZ1660" s="76">
        <f>+AY1660*70000</f>
        <v>0</v>
      </c>
      <c r="BA1660" s="76"/>
      <c r="BB1660" s="76"/>
      <c r="BC1660" s="76"/>
      <c r="BD1660" s="76">
        <f>+BC1660*30000</f>
        <v>0</v>
      </c>
      <c r="BE1660" s="76"/>
      <c r="BF1660" s="76"/>
      <c r="BG1660" s="76"/>
      <c r="BH1660" s="76"/>
      <c r="BI1660" s="76"/>
      <c r="BJ1660" s="76"/>
      <c r="BK1660" s="76"/>
      <c r="BL1660" s="76">
        <f>+BK1660*31500</f>
        <v>0</v>
      </c>
      <c r="BM1660" s="76"/>
      <c r="BN1660" s="76"/>
      <c r="BO1660" s="76"/>
      <c r="BP1660" s="76"/>
      <c r="BQ1660" s="76"/>
      <c r="BR1660" s="76"/>
      <c r="BS1660" s="76"/>
      <c r="BT1660" s="76"/>
      <c r="BU1660" s="76"/>
      <c r="BV1660" s="76"/>
      <c r="BW1660" s="76"/>
      <c r="BX1660" s="76"/>
      <c r="BY1660" s="76"/>
      <c r="BZ1660" s="76"/>
      <c r="CA1660" s="76"/>
      <c r="CB1660" s="76"/>
      <c r="CC1660" s="76"/>
      <c r="CD1660" s="76"/>
      <c r="CE1660" s="76"/>
      <c r="CF1660" s="76">
        <f>+CE1660*28000</f>
        <v>0</v>
      </c>
      <c r="CG1660" s="76"/>
      <c r="CH1660" s="76">
        <f>+CG1660*22500</f>
        <v>0</v>
      </c>
      <c r="CI1660" s="76"/>
      <c r="CJ1660" s="76">
        <f>+CI1660*26000</f>
        <v>0</v>
      </c>
      <c r="CK1660" s="76"/>
      <c r="CL1660" s="76"/>
      <c r="CM1660" s="76"/>
      <c r="CN1660" s="76">
        <f>+CM1660*22000</f>
        <v>0</v>
      </c>
      <c r="CO1660" s="76"/>
      <c r="CP1660" s="76">
        <f>+CO1660*46000</f>
        <v>0</v>
      </c>
      <c r="CQ1660" s="76"/>
      <c r="CR1660" s="76">
        <f>+CQ1660*49000</f>
        <v>0</v>
      </c>
      <c r="CS1660" s="76"/>
      <c r="CT1660" s="76"/>
      <c r="CU1660" s="56">
        <f>AN1660+AP1660+AR1660+AT1660+AV1660+AX1660+AZ1660+BB1660+BD1660+BF1660+BH1660+BJ1660+BL1660+BN1660+BP1660+BR1660+BT1660+BV1660+BX1660+BZ1660+CB1660+CD1660+CF1660+CH1660+CJ1660+CL1660+CN1660+CP1660+CR1660+CT1660</f>
        <v>0</v>
      </c>
      <c r="CV1660" s="76"/>
      <c r="CW1660" s="76">
        <f>+CV1660*1100</f>
        <v>0</v>
      </c>
      <c r="CX1660" s="76"/>
      <c r="CY1660" s="76">
        <f>+CX1660*106250</f>
        <v>0</v>
      </c>
      <c r="CZ1660" s="76"/>
      <c r="DA1660" s="76">
        <f>+CZ1660*34500</f>
        <v>0</v>
      </c>
      <c r="DB1660" s="76"/>
      <c r="DC1660" s="76">
        <f>+DB1660*25000</f>
        <v>0</v>
      </c>
      <c r="DD1660" s="219"/>
      <c r="DE1660" s="219"/>
      <c r="DF1660" s="166"/>
      <c r="DG1660" s="116"/>
      <c r="DH1660" s="117"/>
      <c r="DI1660" s="24"/>
      <c r="DJ1660" s="24"/>
      <c r="DK1660" s="24"/>
      <c r="DL1660" s="24"/>
      <c r="DM1660" s="24"/>
      <c r="DN1660" s="24"/>
      <c r="DO1660" s="24"/>
      <c r="DP1660" s="24"/>
      <c r="DQ1660" s="24"/>
      <c r="DR1660" s="24"/>
      <c r="DS1660" s="24"/>
      <c r="DT1660" s="24"/>
      <c r="DU1660" s="24"/>
    </row>
    <row r="1661" spans="1:125" s="8" customFormat="1" ht="84" x14ac:dyDescent="0.2">
      <c r="A1661" s="77">
        <v>41396</v>
      </c>
      <c r="B1661" s="78" t="s">
        <v>2881</v>
      </c>
      <c r="C1661" s="75" t="s">
        <v>490</v>
      </c>
      <c r="D1661" s="75" t="s">
        <v>2882</v>
      </c>
      <c r="E1661" s="75" t="str">
        <f>VLOOKUP(B1661&amp;C1661,Divipola!$C$2:$F$1138,4,FALSE)</f>
        <v>08606</v>
      </c>
      <c r="F1661" s="163"/>
      <c r="G1661" s="163"/>
      <c r="H1661" s="163"/>
      <c r="I1661" s="163"/>
      <c r="J1661" s="163"/>
      <c r="K1661" s="163"/>
      <c r="L1661" s="163"/>
      <c r="M1661" s="163"/>
      <c r="N1661" s="163"/>
      <c r="O1661" s="163"/>
      <c r="P1661" s="163"/>
      <c r="Q1661" s="163"/>
      <c r="R1661" s="163"/>
      <c r="S1661" s="163"/>
      <c r="T1661" s="163"/>
      <c r="U1661" s="163"/>
      <c r="V1661" s="134"/>
      <c r="W1661" s="96">
        <f>10800000+34200000</f>
        <v>45000000</v>
      </c>
      <c r="X1661" s="71">
        <f>CU1661</f>
        <v>0</v>
      </c>
      <c r="Y1661" s="71">
        <f>CY1661</f>
        <v>0</v>
      </c>
      <c r="Z1661" s="71">
        <f>DA1661+DC1661+DE1661</f>
        <v>0</v>
      </c>
      <c r="AA1661" s="71">
        <f>CW1661</f>
        <v>0</v>
      </c>
      <c r="AB1661" s="71"/>
      <c r="AC1661" s="71">
        <v>0</v>
      </c>
      <c r="AD1661" s="71">
        <f>W1661+X1661+Y1661+Z1661+AA1661+AB1661+AC1661</f>
        <v>45000000</v>
      </c>
      <c r="AE1661" s="72">
        <v>0</v>
      </c>
      <c r="AF1661" s="5"/>
      <c r="AG1661" s="6"/>
      <c r="AH1661" s="27" t="s">
        <v>3390</v>
      </c>
      <c r="AI1661" s="44" t="s">
        <v>3391</v>
      </c>
      <c r="AJ1661" s="26"/>
      <c r="AK1661" s="5"/>
      <c r="AL1661" s="82" t="s">
        <v>4963</v>
      </c>
      <c r="AM1661" s="76"/>
      <c r="AN1661" s="76"/>
      <c r="AO1661" s="76"/>
      <c r="AP1661" s="76"/>
      <c r="AQ1661" s="76"/>
      <c r="AR1661" s="76"/>
      <c r="AS1661" s="76"/>
      <c r="AT1661" s="76"/>
      <c r="AU1661" s="76"/>
      <c r="AV1661" s="76"/>
      <c r="AW1661" s="76"/>
      <c r="AX1661" s="76">
        <f>+AW1661*600000</f>
        <v>0</v>
      </c>
      <c r="AY1661" s="76"/>
      <c r="AZ1661" s="76">
        <f>+AY1661*70000</f>
        <v>0</v>
      </c>
      <c r="BA1661" s="76"/>
      <c r="BB1661" s="76"/>
      <c r="BC1661" s="76"/>
      <c r="BD1661" s="76">
        <f>+BC1661*30000</f>
        <v>0</v>
      </c>
      <c r="BE1661" s="76"/>
      <c r="BF1661" s="76"/>
      <c r="BG1661" s="76"/>
      <c r="BH1661" s="76"/>
      <c r="BI1661" s="76"/>
      <c r="BJ1661" s="76"/>
      <c r="BK1661" s="76"/>
      <c r="BL1661" s="76">
        <f>+BK1661*31500</f>
        <v>0</v>
      </c>
      <c r="BM1661" s="76"/>
      <c r="BN1661" s="76"/>
      <c r="BO1661" s="76"/>
      <c r="BP1661" s="76"/>
      <c r="BQ1661" s="76"/>
      <c r="BR1661" s="76"/>
      <c r="BS1661" s="76"/>
      <c r="BT1661" s="76"/>
      <c r="BU1661" s="76"/>
      <c r="BV1661" s="76"/>
      <c r="BW1661" s="76"/>
      <c r="BX1661" s="76"/>
      <c r="BY1661" s="76"/>
      <c r="BZ1661" s="76"/>
      <c r="CA1661" s="76"/>
      <c r="CB1661" s="76"/>
      <c r="CC1661" s="76"/>
      <c r="CD1661" s="76"/>
      <c r="CE1661" s="76"/>
      <c r="CF1661" s="76">
        <f>+CE1661*28000</f>
        <v>0</v>
      </c>
      <c r="CG1661" s="76"/>
      <c r="CH1661" s="76">
        <f>+CG1661*22500</f>
        <v>0</v>
      </c>
      <c r="CI1661" s="76"/>
      <c r="CJ1661" s="76">
        <f>+CI1661*26000</f>
        <v>0</v>
      </c>
      <c r="CK1661" s="76"/>
      <c r="CL1661" s="76"/>
      <c r="CM1661" s="76"/>
      <c r="CN1661" s="76">
        <f>+CM1661*22000</f>
        <v>0</v>
      </c>
      <c r="CO1661" s="76"/>
      <c r="CP1661" s="76">
        <f>+CO1661*46000</f>
        <v>0</v>
      </c>
      <c r="CQ1661" s="76"/>
      <c r="CR1661" s="76">
        <f>+CQ1661*49000</f>
        <v>0</v>
      </c>
      <c r="CS1661" s="76"/>
      <c r="CT1661" s="76"/>
      <c r="CU1661" s="56">
        <f>AN1661+AP1661+AR1661+AT1661+AV1661+AX1661+AZ1661+BB1661+BD1661+BF1661+BH1661+BJ1661+BL1661+BN1661+BP1661+BR1661+BT1661+BV1661+BX1661+BZ1661+CB1661+CD1661+CF1661+CH1661+CJ1661+CL1661+CN1661+CP1661+CR1661+CT1661</f>
        <v>0</v>
      </c>
      <c r="CV1661" s="76"/>
      <c r="CW1661" s="76">
        <f>+CV1661*1100</f>
        <v>0</v>
      </c>
      <c r="CX1661" s="76"/>
      <c r="CY1661" s="76">
        <f>+CX1661*106250</f>
        <v>0</v>
      </c>
      <c r="CZ1661" s="76"/>
      <c r="DA1661" s="76">
        <f>+CZ1661*34500</f>
        <v>0</v>
      </c>
      <c r="DB1661" s="76"/>
      <c r="DC1661" s="76">
        <f>+DB1661*25000</f>
        <v>0</v>
      </c>
      <c r="DD1661" s="219"/>
      <c r="DE1661" s="219"/>
      <c r="DF1661" s="166"/>
      <c r="DG1661" s="116"/>
      <c r="DH1661" s="117"/>
      <c r="DI1661" s="24"/>
      <c r="DJ1661" s="24"/>
      <c r="DK1661" s="24"/>
      <c r="DL1661" s="24"/>
      <c r="DM1661" s="24"/>
      <c r="DN1661" s="24"/>
      <c r="DO1661" s="24"/>
      <c r="DP1661" s="24"/>
      <c r="DQ1661" s="24"/>
      <c r="DR1661" s="24"/>
      <c r="DS1661" s="24"/>
      <c r="DT1661" s="24"/>
      <c r="DU1661" s="24"/>
    </row>
    <row r="1662" spans="1:125" s="8" customFormat="1" ht="48" x14ac:dyDescent="0.2">
      <c r="A1662" s="226">
        <v>41396</v>
      </c>
      <c r="B1662" s="225" t="s">
        <v>2881</v>
      </c>
      <c r="C1662" s="227" t="s">
        <v>1450</v>
      </c>
      <c r="D1662" s="84" t="s">
        <v>3088</v>
      </c>
      <c r="E1662" s="75" t="str">
        <f>VLOOKUP(B1662&amp;C1662,Divipola!$C$2:$F$1138,4,FALSE)</f>
        <v>08832</v>
      </c>
      <c r="F1662" s="87"/>
      <c r="G1662" s="87"/>
      <c r="H1662" s="87"/>
      <c r="I1662" s="87"/>
      <c r="J1662" s="87"/>
      <c r="K1662" s="87"/>
      <c r="L1662" s="87"/>
      <c r="M1662" s="87"/>
      <c r="N1662" s="87"/>
      <c r="O1662" s="87"/>
      <c r="P1662" s="87"/>
      <c r="Q1662" s="87"/>
      <c r="R1662" s="87">
        <v>1</v>
      </c>
      <c r="S1662" s="87"/>
      <c r="T1662" s="87"/>
      <c r="U1662" s="88"/>
      <c r="V1662" s="89"/>
      <c r="W1662" s="96">
        <v>0</v>
      </c>
      <c r="X1662" s="71">
        <f>CU1662</f>
        <v>0</v>
      </c>
      <c r="Y1662" s="71">
        <f>CY1662</f>
        <v>0</v>
      </c>
      <c r="Z1662" s="71">
        <f>DA1662+DC1662+DE1662</f>
        <v>0</v>
      </c>
      <c r="AA1662" s="71">
        <f>CW1662</f>
        <v>0</v>
      </c>
      <c r="AB1662" s="71"/>
      <c r="AC1662" s="71">
        <v>0</v>
      </c>
      <c r="AD1662" s="71">
        <f>W1662+X1662+Y1662+Z1662+AA1662+AB1662+AC1662</f>
        <v>0</v>
      </c>
      <c r="AE1662" s="72">
        <v>0</v>
      </c>
      <c r="AF1662" s="5"/>
      <c r="AG1662" s="6"/>
      <c r="AH1662" s="27" t="s">
        <v>3392</v>
      </c>
      <c r="AI1662" s="44" t="s">
        <v>3393</v>
      </c>
      <c r="AJ1662" s="26"/>
      <c r="AK1662" s="5"/>
      <c r="AL1662" s="82" t="s">
        <v>4469</v>
      </c>
      <c r="AM1662" s="76"/>
      <c r="AN1662" s="76"/>
      <c r="AO1662" s="76"/>
      <c r="AP1662" s="76"/>
      <c r="AQ1662" s="76"/>
      <c r="AR1662" s="76"/>
      <c r="AS1662" s="76"/>
      <c r="AT1662" s="76"/>
      <c r="AU1662" s="76"/>
      <c r="AV1662" s="76"/>
      <c r="AW1662" s="76"/>
      <c r="AX1662" s="76">
        <f>+AW1662*600000</f>
        <v>0</v>
      </c>
      <c r="AY1662" s="76"/>
      <c r="AZ1662" s="76">
        <f>+AY1662*70000</f>
        <v>0</v>
      </c>
      <c r="BA1662" s="76"/>
      <c r="BB1662" s="76"/>
      <c r="BC1662" s="76"/>
      <c r="BD1662" s="76">
        <f>+BC1662*30000</f>
        <v>0</v>
      </c>
      <c r="BE1662" s="76"/>
      <c r="BF1662" s="76"/>
      <c r="BG1662" s="76"/>
      <c r="BH1662" s="76"/>
      <c r="BI1662" s="76"/>
      <c r="BJ1662" s="76"/>
      <c r="BK1662" s="76"/>
      <c r="BL1662" s="76">
        <f>+BK1662*31500</f>
        <v>0</v>
      </c>
      <c r="BM1662" s="76"/>
      <c r="BN1662" s="76"/>
      <c r="BO1662" s="76"/>
      <c r="BP1662" s="76"/>
      <c r="BQ1662" s="76"/>
      <c r="BR1662" s="76"/>
      <c r="BS1662" s="76"/>
      <c r="BT1662" s="76"/>
      <c r="BU1662" s="76"/>
      <c r="BV1662" s="76"/>
      <c r="BW1662" s="76"/>
      <c r="BX1662" s="76"/>
      <c r="BY1662" s="76"/>
      <c r="BZ1662" s="76"/>
      <c r="CA1662" s="76"/>
      <c r="CB1662" s="76"/>
      <c r="CC1662" s="76"/>
      <c r="CD1662" s="76"/>
      <c r="CE1662" s="76"/>
      <c r="CF1662" s="76">
        <f>+CE1662*28000</f>
        <v>0</v>
      </c>
      <c r="CG1662" s="76"/>
      <c r="CH1662" s="76">
        <f>+CG1662*22500</f>
        <v>0</v>
      </c>
      <c r="CI1662" s="76"/>
      <c r="CJ1662" s="76">
        <f>+CI1662*26000</f>
        <v>0</v>
      </c>
      <c r="CK1662" s="76"/>
      <c r="CL1662" s="76"/>
      <c r="CM1662" s="76"/>
      <c r="CN1662" s="76">
        <f>+CM1662*22000</f>
        <v>0</v>
      </c>
      <c r="CO1662" s="76"/>
      <c r="CP1662" s="76">
        <f>+CO1662*46000</f>
        <v>0</v>
      </c>
      <c r="CQ1662" s="76"/>
      <c r="CR1662" s="76">
        <f>+CQ1662*49000</f>
        <v>0</v>
      </c>
      <c r="CS1662" s="76"/>
      <c r="CT1662" s="76"/>
      <c r="CU1662" s="56">
        <f>AN1662+AP1662+AR1662+AT1662+AV1662+AX1662+AZ1662+BB1662+BD1662+BF1662+BH1662+BJ1662+BL1662+BN1662+BP1662+BR1662+BT1662+BV1662+BX1662+BZ1662+CB1662+CD1662+CF1662+CH1662+CJ1662+CL1662+CN1662+CP1662+CR1662+CT1662</f>
        <v>0</v>
      </c>
      <c r="CV1662" s="76"/>
      <c r="CW1662" s="76">
        <f>+CV1662*1100</f>
        <v>0</v>
      </c>
      <c r="CX1662" s="76"/>
      <c r="CY1662" s="76">
        <f>+CX1662*106250</f>
        <v>0</v>
      </c>
      <c r="CZ1662" s="76"/>
      <c r="DA1662" s="76">
        <f>+CZ1662*34500</f>
        <v>0</v>
      </c>
      <c r="DB1662" s="76"/>
      <c r="DC1662" s="76">
        <f>+DB1662*25000</f>
        <v>0</v>
      </c>
      <c r="DD1662" s="219"/>
      <c r="DE1662" s="219"/>
      <c r="DF1662" s="166"/>
      <c r="DG1662" s="116"/>
      <c r="DH1662" s="117"/>
      <c r="DI1662" s="24"/>
      <c r="DJ1662" s="24"/>
      <c r="DK1662" s="24"/>
      <c r="DL1662" s="24"/>
      <c r="DM1662" s="24"/>
      <c r="DN1662" s="24"/>
      <c r="DO1662" s="24"/>
      <c r="DP1662" s="24"/>
      <c r="DQ1662" s="24"/>
      <c r="DR1662" s="24"/>
      <c r="DS1662" s="24"/>
      <c r="DT1662" s="24"/>
      <c r="DU1662" s="24"/>
    </row>
    <row r="1663" spans="1:125" s="8" customFormat="1" ht="36" x14ac:dyDescent="0.2">
      <c r="A1663" s="353">
        <v>41396</v>
      </c>
      <c r="B1663" s="352" t="s">
        <v>2700</v>
      </c>
      <c r="C1663" s="354" t="s">
        <v>1362</v>
      </c>
      <c r="D1663" s="84" t="s">
        <v>3088</v>
      </c>
      <c r="E1663" s="75" t="str">
        <f>VLOOKUP(B1663&amp;C1663,Divipola!$C$2:$F$1138,4,FALSE)</f>
        <v>15087</v>
      </c>
      <c r="F1663" s="87"/>
      <c r="G1663" s="87"/>
      <c r="H1663" s="87"/>
      <c r="I1663" s="87">
        <v>10</v>
      </c>
      <c r="J1663" s="87">
        <v>2</v>
      </c>
      <c r="K1663" s="87">
        <v>2</v>
      </c>
      <c r="L1663" s="87"/>
      <c r="M1663" s="87"/>
      <c r="N1663" s="87"/>
      <c r="O1663" s="87"/>
      <c r="P1663" s="87"/>
      <c r="Q1663" s="87"/>
      <c r="R1663" s="87"/>
      <c r="S1663" s="87"/>
      <c r="T1663" s="87"/>
      <c r="U1663" s="88"/>
      <c r="V1663" s="89"/>
      <c r="W1663" s="96">
        <v>0</v>
      </c>
      <c r="X1663" s="71">
        <f>CU1663</f>
        <v>0</v>
      </c>
      <c r="Y1663" s="71">
        <f>CY1663</f>
        <v>0</v>
      </c>
      <c r="Z1663" s="71">
        <f>DA1663+DC1663+DE1663</f>
        <v>0</v>
      </c>
      <c r="AA1663" s="71">
        <f>CW1663</f>
        <v>0</v>
      </c>
      <c r="AB1663" s="71"/>
      <c r="AC1663" s="71">
        <v>0</v>
      </c>
      <c r="AD1663" s="71">
        <f>W1663+X1663+Y1663+Z1663+AA1663+AB1663+AC1663</f>
        <v>0</v>
      </c>
      <c r="AE1663" s="72">
        <v>0</v>
      </c>
      <c r="AF1663" s="5"/>
      <c r="AG1663" s="6"/>
      <c r="AH1663" s="27" t="s">
        <v>3392</v>
      </c>
      <c r="AI1663" s="44" t="s">
        <v>3393</v>
      </c>
      <c r="AJ1663" s="26"/>
      <c r="AK1663" s="5"/>
      <c r="AL1663" s="82" t="s">
        <v>4471</v>
      </c>
      <c r="AM1663" s="76"/>
      <c r="AN1663" s="76"/>
      <c r="AO1663" s="76"/>
      <c r="AP1663" s="76"/>
      <c r="AQ1663" s="76"/>
      <c r="AR1663" s="76"/>
      <c r="AS1663" s="76"/>
      <c r="AT1663" s="76"/>
      <c r="AU1663" s="76"/>
      <c r="AV1663" s="76"/>
      <c r="AW1663" s="76"/>
      <c r="AX1663" s="76">
        <f>+AW1663*600000</f>
        <v>0</v>
      </c>
      <c r="AY1663" s="76"/>
      <c r="AZ1663" s="76">
        <f>+AY1663*70000</f>
        <v>0</v>
      </c>
      <c r="BA1663" s="76"/>
      <c r="BB1663" s="76"/>
      <c r="BC1663" s="76"/>
      <c r="BD1663" s="76">
        <f>+BC1663*30000</f>
        <v>0</v>
      </c>
      <c r="BE1663" s="76"/>
      <c r="BF1663" s="76"/>
      <c r="BG1663" s="76"/>
      <c r="BH1663" s="76"/>
      <c r="BI1663" s="76"/>
      <c r="BJ1663" s="76"/>
      <c r="BK1663" s="76"/>
      <c r="BL1663" s="76">
        <f>+BK1663*31500</f>
        <v>0</v>
      </c>
      <c r="BM1663" s="76"/>
      <c r="BN1663" s="76"/>
      <c r="BO1663" s="76"/>
      <c r="BP1663" s="76"/>
      <c r="BQ1663" s="76"/>
      <c r="BR1663" s="76"/>
      <c r="BS1663" s="76"/>
      <c r="BT1663" s="76"/>
      <c r="BU1663" s="76"/>
      <c r="BV1663" s="76"/>
      <c r="BW1663" s="76"/>
      <c r="BX1663" s="76"/>
      <c r="BY1663" s="76"/>
      <c r="BZ1663" s="76"/>
      <c r="CA1663" s="76"/>
      <c r="CB1663" s="76"/>
      <c r="CC1663" s="76"/>
      <c r="CD1663" s="76"/>
      <c r="CE1663" s="76"/>
      <c r="CF1663" s="76">
        <f>+CE1663*28000</f>
        <v>0</v>
      </c>
      <c r="CG1663" s="76"/>
      <c r="CH1663" s="76">
        <f>+CG1663*22500</f>
        <v>0</v>
      </c>
      <c r="CI1663" s="76"/>
      <c r="CJ1663" s="76">
        <f>+CI1663*26000</f>
        <v>0</v>
      </c>
      <c r="CK1663" s="76"/>
      <c r="CL1663" s="76"/>
      <c r="CM1663" s="76"/>
      <c r="CN1663" s="76">
        <f>+CM1663*22000</f>
        <v>0</v>
      </c>
      <c r="CO1663" s="76"/>
      <c r="CP1663" s="76">
        <f>+CO1663*46000</f>
        <v>0</v>
      </c>
      <c r="CQ1663" s="76"/>
      <c r="CR1663" s="76">
        <f>+CQ1663*49000</f>
        <v>0</v>
      </c>
      <c r="CS1663" s="76"/>
      <c r="CT1663" s="76"/>
      <c r="CU1663" s="56">
        <f>AN1663+AP1663+AR1663+AT1663+AV1663+AX1663+AZ1663+BB1663+BD1663+BF1663+BH1663+BJ1663+BL1663+BN1663+BP1663+BR1663+BT1663+BV1663+BX1663+BZ1663+CB1663+CD1663+CF1663+CH1663+CJ1663+CL1663+CN1663+CP1663+CR1663+CT1663</f>
        <v>0</v>
      </c>
      <c r="CV1663" s="76"/>
      <c r="CW1663" s="76">
        <f>+CV1663*1100</f>
        <v>0</v>
      </c>
      <c r="CX1663" s="76"/>
      <c r="CY1663" s="76">
        <f>+CX1663*106250</f>
        <v>0</v>
      </c>
      <c r="CZ1663" s="76"/>
      <c r="DA1663" s="76">
        <f>+CZ1663*34500</f>
        <v>0</v>
      </c>
      <c r="DB1663" s="76"/>
      <c r="DC1663" s="76">
        <f>+DB1663*25000</f>
        <v>0</v>
      </c>
      <c r="DD1663" s="219"/>
      <c r="DE1663" s="219"/>
      <c r="DF1663" s="166"/>
      <c r="DG1663" s="116"/>
      <c r="DH1663" s="117"/>
      <c r="DI1663" s="24"/>
      <c r="DJ1663" s="24"/>
      <c r="DK1663" s="24"/>
      <c r="DL1663" s="24"/>
      <c r="DM1663" s="24"/>
      <c r="DN1663" s="24"/>
      <c r="DO1663" s="24"/>
      <c r="DP1663" s="24"/>
      <c r="DQ1663" s="24"/>
      <c r="DR1663" s="24"/>
      <c r="DS1663" s="24"/>
      <c r="DT1663" s="24"/>
      <c r="DU1663" s="24"/>
    </row>
    <row r="1664" spans="1:125" s="8" customFormat="1" ht="36" x14ac:dyDescent="0.2">
      <c r="A1664" s="97">
        <v>41396</v>
      </c>
      <c r="B1664" s="60" t="s">
        <v>2700</v>
      </c>
      <c r="C1664" s="55" t="s">
        <v>1362</v>
      </c>
      <c r="D1664" s="84" t="s">
        <v>3088</v>
      </c>
      <c r="E1664" s="75" t="str">
        <f>VLOOKUP(B1664&amp;C1664,Divipola!$C$2:$F$1138,4,FALSE)</f>
        <v>15087</v>
      </c>
      <c r="F1664" s="87"/>
      <c r="G1664" s="87"/>
      <c r="H1664" s="87"/>
      <c r="I1664" s="87">
        <v>120</v>
      </c>
      <c r="J1664" s="87">
        <v>24</v>
      </c>
      <c r="K1664" s="87">
        <v>4</v>
      </c>
      <c r="L1664" s="87">
        <v>20</v>
      </c>
      <c r="M1664" s="87"/>
      <c r="N1664" s="87"/>
      <c r="O1664" s="87"/>
      <c r="P1664" s="87"/>
      <c r="Q1664" s="87"/>
      <c r="R1664" s="87"/>
      <c r="S1664" s="87"/>
      <c r="T1664" s="87"/>
      <c r="U1664" s="88"/>
      <c r="V1664" s="89"/>
      <c r="W1664" s="96">
        <v>0</v>
      </c>
      <c r="X1664" s="71">
        <f>CU1664</f>
        <v>0</v>
      </c>
      <c r="Y1664" s="71">
        <f>CY1664</f>
        <v>0</v>
      </c>
      <c r="Z1664" s="71">
        <f>DA1664+DC1664+DE1664</f>
        <v>0</v>
      </c>
      <c r="AA1664" s="71">
        <f>CW1664</f>
        <v>0</v>
      </c>
      <c r="AB1664" s="71"/>
      <c r="AC1664" s="71">
        <v>0</v>
      </c>
      <c r="AD1664" s="71">
        <f>W1664+X1664+Y1664+Z1664+AA1664+AB1664+AC1664</f>
        <v>0</v>
      </c>
      <c r="AE1664" s="72">
        <v>0</v>
      </c>
      <c r="AF1664" s="5"/>
      <c r="AG1664" s="6"/>
      <c r="AH1664" s="27" t="s">
        <v>3392</v>
      </c>
      <c r="AI1664" s="44" t="s">
        <v>3393</v>
      </c>
      <c r="AJ1664" s="26"/>
      <c r="AK1664" s="5"/>
      <c r="AL1664" s="82" t="s">
        <v>4504</v>
      </c>
      <c r="AM1664" s="76"/>
      <c r="AN1664" s="76"/>
      <c r="AO1664" s="76"/>
      <c r="AP1664" s="76"/>
      <c r="AQ1664" s="76"/>
      <c r="AR1664" s="76"/>
      <c r="AS1664" s="76"/>
      <c r="AT1664" s="76"/>
      <c r="AU1664" s="76"/>
      <c r="AV1664" s="76"/>
      <c r="AW1664" s="76"/>
      <c r="AX1664" s="76">
        <f>+AW1664*600000</f>
        <v>0</v>
      </c>
      <c r="AY1664" s="76"/>
      <c r="AZ1664" s="76">
        <f>+AY1664*70000</f>
        <v>0</v>
      </c>
      <c r="BA1664" s="76"/>
      <c r="BB1664" s="76"/>
      <c r="BC1664" s="76"/>
      <c r="BD1664" s="76">
        <f>+BC1664*30000</f>
        <v>0</v>
      </c>
      <c r="BE1664" s="76"/>
      <c r="BF1664" s="76"/>
      <c r="BG1664" s="76"/>
      <c r="BH1664" s="76"/>
      <c r="BI1664" s="76"/>
      <c r="BJ1664" s="76"/>
      <c r="BK1664" s="76"/>
      <c r="BL1664" s="76">
        <f>+BK1664*31500</f>
        <v>0</v>
      </c>
      <c r="BM1664" s="76"/>
      <c r="BN1664" s="76"/>
      <c r="BO1664" s="76"/>
      <c r="BP1664" s="76"/>
      <c r="BQ1664" s="76"/>
      <c r="BR1664" s="76"/>
      <c r="BS1664" s="76"/>
      <c r="BT1664" s="76"/>
      <c r="BU1664" s="76"/>
      <c r="BV1664" s="76"/>
      <c r="BW1664" s="76"/>
      <c r="BX1664" s="76"/>
      <c r="BY1664" s="76"/>
      <c r="BZ1664" s="76"/>
      <c r="CA1664" s="76"/>
      <c r="CB1664" s="76"/>
      <c r="CC1664" s="76"/>
      <c r="CD1664" s="76"/>
      <c r="CE1664" s="76"/>
      <c r="CF1664" s="76">
        <f>+CE1664*28000</f>
        <v>0</v>
      </c>
      <c r="CG1664" s="76"/>
      <c r="CH1664" s="76">
        <f>+CG1664*22500</f>
        <v>0</v>
      </c>
      <c r="CI1664" s="76"/>
      <c r="CJ1664" s="76">
        <f>+CI1664*26000</f>
        <v>0</v>
      </c>
      <c r="CK1664" s="76"/>
      <c r="CL1664" s="76"/>
      <c r="CM1664" s="76"/>
      <c r="CN1664" s="76">
        <f>+CM1664*22000</f>
        <v>0</v>
      </c>
      <c r="CO1664" s="76"/>
      <c r="CP1664" s="76">
        <f>+CO1664*46000</f>
        <v>0</v>
      </c>
      <c r="CQ1664" s="76"/>
      <c r="CR1664" s="76">
        <f>+CQ1664*49000</f>
        <v>0</v>
      </c>
      <c r="CS1664" s="76"/>
      <c r="CT1664" s="76"/>
      <c r="CU1664" s="56">
        <f>AN1664+AP1664+AR1664+AT1664+AV1664+AX1664+AZ1664+BB1664+BD1664+BF1664+BH1664+BJ1664+BL1664+BN1664+BP1664+BR1664+BT1664+BV1664+BX1664+BZ1664+CB1664+CD1664+CF1664+CH1664+CJ1664+CL1664+CN1664+CP1664+CR1664+CT1664</f>
        <v>0</v>
      </c>
      <c r="CV1664" s="76"/>
      <c r="CW1664" s="76">
        <f>+CV1664*1100</f>
        <v>0</v>
      </c>
      <c r="CX1664" s="76"/>
      <c r="CY1664" s="76">
        <f>+CX1664*106250</f>
        <v>0</v>
      </c>
      <c r="CZ1664" s="76"/>
      <c r="DA1664" s="76">
        <f>+CZ1664*34500</f>
        <v>0</v>
      </c>
      <c r="DB1664" s="76"/>
      <c r="DC1664" s="76">
        <f>+DB1664*25000</f>
        <v>0</v>
      </c>
      <c r="DD1664" s="219"/>
      <c r="DE1664" s="219"/>
      <c r="DF1664" s="166"/>
      <c r="DG1664" s="116"/>
      <c r="DH1664" s="117"/>
      <c r="DI1664" s="24"/>
      <c r="DJ1664" s="24"/>
      <c r="DK1664" s="24"/>
      <c r="DL1664" s="24"/>
      <c r="DM1664" s="24"/>
      <c r="DN1664" s="24"/>
      <c r="DO1664" s="24"/>
      <c r="DP1664" s="24"/>
      <c r="DQ1664" s="24"/>
      <c r="DR1664" s="24"/>
      <c r="DS1664" s="24"/>
      <c r="DT1664" s="24"/>
      <c r="DU1664" s="24"/>
    </row>
    <row r="1665" spans="1:125" s="8" customFormat="1" ht="36" x14ac:dyDescent="0.2">
      <c r="A1665" s="353">
        <v>41396</v>
      </c>
      <c r="B1665" s="225" t="s">
        <v>2700</v>
      </c>
      <c r="C1665" s="227" t="s">
        <v>611</v>
      </c>
      <c r="D1665" s="84" t="s">
        <v>3088</v>
      </c>
      <c r="E1665" s="75" t="str">
        <f>VLOOKUP(B1665&amp;C1665,Divipola!$C$2:$F$1138,4,FALSE)</f>
        <v>15537</v>
      </c>
      <c r="F1665" s="87"/>
      <c r="G1665" s="87"/>
      <c r="H1665" s="87"/>
      <c r="I1665" s="87"/>
      <c r="J1665" s="87"/>
      <c r="K1665" s="87"/>
      <c r="L1665" s="87"/>
      <c r="M1665" s="87">
        <v>1</v>
      </c>
      <c r="N1665" s="87"/>
      <c r="O1665" s="87"/>
      <c r="P1665" s="87"/>
      <c r="Q1665" s="87"/>
      <c r="R1665" s="87"/>
      <c r="S1665" s="87"/>
      <c r="T1665" s="87"/>
      <c r="U1665" s="88"/>
      <c r="V1665" s="89"/>
      <c r="W1665" s="96">
        <v>0</v>
      </c>
      <c r="X1665" s="71">
        <f>CU1665</f>
        <v>0</v>
      </c>
      <c r="Y1665" s="71">
        <f>CY1665</f>
        <v>0</v>
      </c>
      <c r="Z1665" s="71">
        <f>DA1665+DC1665+DE1665</f>
        <v>0</v>
      </c>
      <c r="AA1665" s="71">
        <f>CW1665</f>
        <v>0</v>
      </c>
      <c r="AB1665" s="71"/>
      <c r="AC1665" s="71">
        <v>0</v>
      </c>
      <c r="AD1665" s="71">
        <f>W1665+X1665+Y1665+Z1665+AA1665+AB1665+AC1665</f>
        <v>0</v>
      </c>
      <c r="AE1665" s="72">
        <v>0</v>
      </c>
      <c r="AF1665" s="5"/>
      <c r="AG1665" s="6"/>
      <c r="AH1665" s="27" t="s">
        <v>3392</v>
      </c>
      <c r="AI1665" s="44" t="s">
        <v>3393</v>
      </c>
      <c r="AJ1665" s="26"/>
      <c r="AK1665" s="5"/>
      <c r="AL1665" s="82" t="s">
        <v>4470</v>
      </c>
      <c r="AM1665" s="76"/>
      <c r="AN1665" s="76"/>
      <c r="AO1665" s="76"/>
      <c r="AP1665" s="76"/>
      <c r="AQ1665" s="76"/>
      <c r="AR1665" s="76"/>
      <c r="AS1665" s="76"/>
      <c r="AT1665" s="76"/>
      <c r="AU1665" s="76"/>
      <c r="AV1665" s="76"/>
      <c r="AW1665" s="76"/>
      <c r="AX1665" s="76">
        <f>+AW1665*600000</f>
        <v>0</v>
      </c>
      <c r="AY1665" s="76"/>
      <c r="AZ1665" s="76">
        <f>+AY1665*70000</f>
        <v>0</v>
      </c>
      <c r="BA1665" s="76"/>
      <c r="BB1665" s="76"/>
      <c r="BC1665" s="76"/>
      <c r="BD1665" s="76">
        <f>+BC1665*30000</f>
        <v>0</v>
      </c>
      <c r="BE1665" s="76"/>
      <c r="BF1665" s="76"/>
      <c r="BG1665" s="76"/>
      <c r="BH1665" s="76"/>
      <c r="BI1665" s="76"/>
      <c r="BJ1665" s="76"/>
      <c r="BK1665" s="76"/>
      <c r="BL1665" s="76">
        <f>+BK1665*31500</f>
        <v>0</v>
      </c>
      <c r="BM1665" s="76"/>
      <c r="BN1665" s="76"/>
      <c r="BO1665" s="76"/>
      <c r="BP1665" s="76"/>
      <c r="BQ1665" s="76"/>
      <c r="BR1665" s="76"/>
      <c r="BS1665" s="76"/>
      <c r="BT1665" s="76"/>
      <c r="BU1665" s="76"/>
      <c r="BV1665" s="76"/>
      <c r="BW1665" s="76"/>
      <c r="BX1665" s="76"/>
      <c r="BY1665" s="76"/>
      <c r="BZ1665" s="76"/>
      <c r="CA1665" s="76"/>
      <c r="CB1665" s="76"/>
      <c r="CC1665" s="76"/>
      <c r="CD1665" s="76"/>
      <c r="CE1665" s="76"/>
      <c r="CF1665" s="76">
        <f>+CE1665*28000</f>
        <v>0</v>
      </c>
      <c r="CG1665" s="76"/>
      <c r="CH1665" s="76">
        <f>+CG1665*22500</f>
        <v>0</v>
      </c>
      <c r="CI1665" s="76"/>
      <c r="CJ1665" s="76">
        <f>+CI1665*26000</f>
        <v>0</v>
      </c>
      <c r="CK1665" s="76"/>
      <c r="CL1665" s="76"/>
      <c r="CM1665" s="76"/>
      <c r="CN1665" s="76">
        <f>+CM1665*22000</f>
        <v>0</v>
      </c>
      <c r="CO1665" s="76"/>
      <c r="CP1665" s="76">
        <f>+CO1665*46000</f>
        <v>0</v>
      </c>
      <c r="CQ1665" s="76"/>
      <c r="CR1665" s="76">
        <f>+CQ1665*49000</f>
        <v>0</v>
      </c>
      <c r="CS1665" s="76"/>
      <c r="CT1665" s="76"/>
      <c r="CU1665" s="56">
        <f>AN1665+AP1665+AR1665+AT1665+AV1665+AX1665+AZ1665+BB1665+BD1665+BF1665+BH1665+BJ1665+BL1665+BN1665+BP1665+BR1665+BT1665+BV1665+BX1665+BZ1665+CB1665+CD1665+CF1665+CH1665+CJ1665+CL1665+CN1665+CP1665+CR1665+CT1665</f>
        <v>0</v>
      </c>
      <c r="CV1665" s="76"/>
      <c r="CW1665" s="76">
        <f>+CV1665*1100</f>
        <v>0</v>
      </c>
      <c r="CX1665" s="76"/>
      <c r="CY1665" s="76">
        <f>+CX1665*106250</f>
        <v>0</v>
      </c>
      <c r="CZ1665" s="76"/>
      <c r="DA1665" s="76">
        <f>+CZ1665*34500</f>
        <v>0</v>
      </c>
      <c r="DB1665" s="76"/>
      <c r="DC1665" s="76">
        <f>+DB1665*25000</f>
        <v>0</v>
      </c>
      <c r="DD1665" s="219"/>
      <c r="DE1665" s="219"/>
      <c r="DF1665" s="166"/>
      <c r="DG1665" s="116"/>
      <c r="DH1665" s="117"/>
      <c r="DI1665" s="24"/>
      <c r="DJ1665" s="24"/>
      <c r="DK1665" s="24"/>
      <c r="DL1665" s="24"/>
      <c r="DM1665" s="24"/>
      <c r="DN1665" s="24"/>
      <c r="DO1665" s="24"/>
      <c r="DP1665" s="24"/>
      <c r="DQ1665" s="24"/>
      <c r="DR1665" s="24"/>
      <c r="DS1665" s="24"/>
      <c r="DT1665" s="24"/>
      <c r="DU1665" s="24"/>
    </row>
    <row r="1666" spans="1:125" s="8" customFormat="1" ht="84" x14ac:dyDescent="0.2">
      <c r="A1666" s="353">
        <v>41396</v>
      </c>
      <c r="B1666" s="225" t="s">
        <v>2700</v>
      </c>
      <c r="C1666" s="227" t="s">
        <v>710</v>
      </c>
      <c r="D1666" s="354" t="s">
        <v>3051</v>
      </c>
      <c r="E1666" s="75" t="str">
        <f>VLOOKUP(B1666&amp;C1666,Divipola!$C$2:$F$1138,4,FALSE)</f>
        <v>15816</v>
      </c>
      <c r="F1666" s="87"/>
      <c r="G1666" s="87"/>
      <c r="H1666" s="87"/>
      <c r="I1666" s="87">
        <v>30</v>
      </c>
      <c r="J1666" s="87">
        <v>5</v>
      </c>
      <c r="K1666" s="87"/>
      <c r="L1666" s="87">
        <v>5</v>
      </c>
      <c r="M1666" s="87"/>
      <c r="N1666" s="87"/>
      <c r="O1666" s="87"/>
      <c r="P1666" s="87"/>
      <c r="Q1666" s="87"/>
      <c r="R1666" s="87"/>
      <c r="S1666" s="87"/>
      <c r="T1666" s="87"/>
      <c r="U1666" s="88"/>
      <c r="V1666" s="89"/>
      <c r="W1666" s="96">
        <v>0</v>
      </c>
      <c r="X1666" s="71">
        <f>CU1666</f>
        <v>0</v>
      </c>
      <c r="Y1666" s="71">
        <f>CY1666</f>
        <v>0</v>
      </c>
      <c r="Z1666" s="71">
        <f>DA1666+DC1666+DE1666</f>
        <v>0</v>
      </c>
      <c r="AA1666" s="71">
        <f>CW1666</f>
        <v>0</v>
      </c>
      <c r="AB1666" s="71"/>
      <c r="AC1666" s="71">
        <v>0</v>
      </c>
      <c r="AD1666" s="71">
        <f>W1666+X1666+Y1666+Z1666+AA1666+AB1666+AC1666</f>
        <v>0</v>
      </c>
      <c r="AE1666" s="72">
        <v>0</v>
      </c>
      <c r="AF1666" s="5"/>
      <c r="AG1666" s="6"/>
      <c r="AH1666" s="27" t="s">
        <v>3392</v>
      </c>
      <c r="AI1666" s="44" t="s">
        <v>3393</v>
      </c>
      <c r="AJ1666" s="26"/>
      <c r="AK1666" s="5"/>
      <c r="AL1666" s="82" t="s">
        <v>4569</v>
      </c>
      <c r="AM1666" s="76"/>
      <c r="AN1666" s="76"/>
      <c r="AO1666" s="76"/>
      <c r="AP1666" s="76"/>
      <c r="AQ1666" s="76"/>
      <c r="AR1666" s="76"/>
      <c r="AS1666" s="76"/>
      <c r="AT1666" s="76"/>
      <c r="AU1666" s="76"/>
      <c r="AV1666" s="76"/>
      <c r="AW1666" s="76"/>
      <c r="AX1666" s="76">
        <f>+AW1666*600000</f>
        <v>0</v>
      </c>
      <c r="AY1666" s="76"/>
      <c r="AZ1666" s="76">
        <f>+AY1666*70000</f>
        <v>0</v>
      </c>
      <c r="BA1666" s="76"/>
      <c r="BB1666" s="76"/>
      <c r="BC1666" s="76"/>
      <c r="BD1666" s="76">
        <f>+BC1666*30000</f>
        <v>0</v>
      </c>
      <c r="BE1666" s="76"/>
      <c r="BF1666" s="76"/>
      <c r="BG1666" s="76"/>
      <c r="BH1666" s="76"/>
      <c r="BI1666" s="76"/>
      <c r="BJ1666" s="76"/>
      <c r="BK1666" s="76"/>
      <c r="BL1666" s="76">
        <f>+BK1666*31500</f>
        <v>0</v>
      </c>
      <c r="BM1666" s="76"/>
      <c r="BN1666" s="76"/>
      <c r="BO1666" s="76"/>
      <c r="BP1666" s="76"/>
      <c r="BQ1666" s="76"/>
      <c r="BR1666" s="76"/>
      <c r="BS1666" s="76"/>
      <c r="BT1666" s="76"/>
      <c r="BU1666" s="76"/>
      <c r="BV1666" s="76"/>
      <c r="BW1666" s="76"/>
      <c r="BX1666" s="76"/>
      <c r="BY1666" s="76"/>
      <c r="BZ1666" s="76"/>
      <c r="CA1666" s="76"/>
      <c r="CB1666" s="76"/>
      <c r="CC1666" s="76"/>
      <c r="CD1666" s="76"/>
      <c r="CE1666" s="76"/>
      <c r="CF1666" s="76">
        <f>+CE1666*28000</f>
        <v>0</v>
      </c>
      <c r="CG1666" s="76"/>
      <c r="CH1666" s="76">
        <f>+CG1666*22500</f>
        <v>0</v>
      </c>
      <c r="CI1666" s="76"/>
      <c r="CJ1666" s="76">
        <f>+CI1666*26000</f>
        <v>0</v>
      </c>
      <c r="CK1666" s="76"/>
      <c r="CL1666" s="76"/>
      <c r="CM1666" s="76"/>
      <c r="CN1666" s="76">
        <f>+CM1666*22000</f>
        <v>0</v>
      </c>
      <c r="CO1666" s="76"/>
      <c r="CP1666" s="76">
        <f>+CO1666*46000</f>
        <v>0</v>
      </c>
      <c r="CQ1666" s="76"/>
      <c r="CR1666" s="76">
        <f>+CQ1666*49000</f>
        <v>0</v>
      </c>
      <c r="CS1666" s="76"/>
      <c r="CT1666" s="76"/>
      <c r="CU1666" s="56">
        <f>AN1666+AP1666+AR1666+AT1666+AV1666+AX1666+AZ1666+BB1666+BD1666+BF1666+BH1666+BJ1666+BL1666+BN1666+BP1666+BR1666+BT1666+BV1666+BX1666+BZ1666+CB1666+CD1666+CF1666+CH1666+CJ1666+CL1666+CN1666+CP1666+CR1666+CT1666</f>
        <v>0</v>
      </c>
      <c r="CV1666" s="76"/>
      <c r="CW1666" s="76">
        <f>+CV1666*1100</f>
        <v>0</v>
      </c>
      <c r="CX1666" s="76"/>
      <c r="CY1666" s="76">
        <f>+CX1666*106250</f>
        <v>0</v>
      </c>
      <c r="CZ1666" s="76"/>
      <c r="DA1666" s="76">
        <f>+CZ1666*34500</f>
        <v>0</v>
      </c>
      <c r="DB1666" s="76"/>
      <c r="DC1666" s="76">
        <f>+DB1666*25000</f>
        <v>0</v>
      </c>
      <c r="DD1666" s="219"/>
      <c r="DE1666" s="219"/>
      <c r="DF1666" s="166"/>
      <c r="DG1666" s="116"/>
      <c r="DH1666" s="117"/>
      <c r="DI1666" s="24"/>
      <c r="DJ1666" s="24"/>
      <c r="DK1666" s="24"/>
      <c r="DL1666" s="24"/>
      <c r="DM1666" s="24"/>
      <c r="DN1666" s="24"/>
      <c r="DO1666" s="24"/>
      <c r="DP1666" s="24"/>
      <c r="DQ1666" s="24"/>
      <c r="DR1666" s="24"/>
      <c r="DS1666" s="24"/>
      <c r="DT1666" s="24"/>
      <c r="DU1666" s="24"/>
    </row>
    <row r="1667" spans="1:125" s="8" customFormat="1" ht="60" x14ac:dyDescent="0.2">
      <c r="A1667" s="77">
        <v>41396</v>
      </c>
      <c r="B1667" s="352" t="s">
        <v>2700</v>
      </c>
      <c r="C1667" s="354" t="s">
        <v>2671</v>
      </c>
      <c r="D1667" s="75" t="s">
        <v>3051</v>
      </c>
      <c r="E1667" s="75" t="str">
        <f>VLOOKUP(B1667&amp;C1667,Divipola!$C$2:$F$1138,4,FALSE)</f>
        <v>15001</v>
      </c>
      <c r="F1667" s="87"/>
      <c r="G1667" s="87"/>
      <c r="H1667" s="87"/>
      <c r="I1667" s="87">
        <v>40</v>
      </c>
      <c r="J1667" s="87">
        <v>8</v>
      </c>
      <c r="K1667" s="87"/>
      <c r="L1667" s="87">
        <v>8</v>
      </c>
      <c r="M1667" s="87"/>
      <c r="N1667" s="87"/>
      <c r="O1667" s="87"/>
      <c r="P1667" s="87"/>
      <c r="Q1667" s="87"/>
      <c r="R1667" s="87"/>
      <c r="S1667" s="87"/>
      <c r="T1667" s="87"/>
      <c r="U1667" s="88"/>
      <c r="V1667" s="89"/>
      <c r="W1667" s="96">
        <v>0</v>
      </c>
      <c r="X1667" s="71">
        <f>CU1667</f>
        <v>0</v>
      </c>
      <c r="Y1667" s="71">
        <f>CY1667</f>
        <v>0</v>
      </c>
      <c r="Z1667" s="71">
        <f>DA1667+DC1667+DE1667</f>
        <v>0</v>
      </c>
      <c r="AA1667" s="71">
        <f>CW1667</f>
        <v>0</v>
      </c>
      <c r="AB1667" s="71"/>
      <c r="AC1667" s="71">
        <v>0</v>
      </c>
      <c r="AD1667" s="71">
        <f>W1667+X1667+Y1667+Z1667+AA1667+AB1667+AC1667</f>
        <v>0</v>
      </c>
      <c r="AE1667" s="72">
        <v>0</v>
      </c>
      <c r="AF1667" s="5"/>
      <c r="AG1667" s="6"/>
      <c r="AH1667" s="27" t="s">
        <v>3392</v>
      </c>
      <c r="AI1667" s="44" t="s">
        <v>3393</v>
      </c>
      <c r="AJ1667" s="26"/>
      <c r="AK1667" s="5"/>
      <c r="AL1667" s="82" t="s">
        <v>4481</v>
      </c>
      <c r="AM1667" s="76"/>
      <c r="AN1667" s="76"/>
      <c r="AO1667" s="76"/>
      <c r="AP1667" s="76"/>
      <c r="AQ1667" s="76"/>
      <c r="AR1667" s="76"/>
      <c r="AS1667" s="76"/>
      <c r="AT1667" s="76"/>
      <c r="AU1667" s="76"/>
      <c r="AV1667" s="76"/>
      <c r="AW1667" s="76"/>
      <c r="AX1667" s="76">
        <f>+AW1667*600000</f>
        <v>0</v>
      </c>
      <c r="AY1667" s="76"/>
      <c r="AZ1667" s="76">
        <f>+AY1667*70000</f>
        <v>0</v>
      </c>
      <c r="BA1667" s="76"/>
      <c r="BB1667" s="76"/>
      <c r="BC1667" s="76"/>
      <c r="BD1667" s="76">
        <f>+BC1667*30000</f>
        <v>0</v>
      </c>
      <c r="BE1667" s="76"/>
      <c r="BF1667" s="76"/>
      <c r="BG1667" s="76"/>
      <c r="BH1667" s="76"/>
      <c r="BI1667" s="76"/>
      <c r="BJ1667" s="76"/>
      <c r="BK1667" s="76"/>
      <c r="BL1667" s="76">
        <f>+BK1667*31500</f>
        <v>0</v>
      </c>
      <c r="BM1667" s="76"/>
      <c r="BN1667" s="76"/>
      <c r="BO1667" s="76"/>
      <c r="BP1667" s="76"/>
      <c r="BQ1667" s="76"/>
      <c r="BR1667" s="76"/>
      <c r="BS1667" s="76"/>
      <c r="BT1667" s="76"/>
      <c r="BU1667" s="76"/>
      <c r="BV1667" s="76"/>
      <c r="BW1667" s="76"/>
      <c r="BX1667" s="76"/>
      <c r="BY1667" s="76"/>
      <c r="BZ1667" s="76"/>
      <c r="CA1667" s="76"/>
      <c r="CB1667" s="76"/>
      <c r="CC1667" s="76"/>
      <c r="CD1667" s="76"/>
      <c r="CE1667" s="76"/>
      <c r="CF1667" s="76">
        <f>+CE1667*28000</f>
        <v>0</v>
      </c>
      <c r="CG1667" s="76"/>
      <c r="CH1667" s="76">
        <f>+CG1667*22500</f>
        <v>0</v>
      </c>
      <c r="CI1667" s="76"/>
      <c r="CJ1667" s="76">
        <f>+CI1667*26000</f>
        <v>0</v>
      </c>
      <c r="CK1667" s="76"/>
      <c r="CL1667" s="76"/>
      <c r="CM1667" s="76"/>
      <c r="CN1667" s="76">
        <f>+CM1667*22000</f>
        <v>0</v>
      </c>
      <c r="CO1667" s="76"/>
      <c r="CP1667" s="76">
        <f>+CO1667*46000</f>
        <v>0</v>
      </c>
      <c r="CQ1667" s="76"/>
      <c r="CR1667" s="76">
        <f>+CQ1667*49000</f>
        <v>0</v>
      </c>
      <c r="CS1667" s="76"/>
      <c r="CT1667" s="76"/>
      <c r="CU1667" s="56">
        <f>AN1667+AP1667+AR1667+AT1667+AV1667+AX1667+AZ1667+BB1667+BD1667+BF1667+BH1667+BJ1667+BL1667+BN1667+BP1667+BR1667+BT1667+BV1667+BX1667+BZ1667+CB1667+CD1667+CF1667+CH1667+CJ1667+CL1667+CN1667+CP1667+CR1667+CT1667</f>
        <v>0</v>
      </c>
      <c r="CV1667" s="76"/>
      <c r="CW1667" s="76">
        <f>+CV1667*1100</f>
        <v>0</v>
      </c>
      <c r="CX1667" s="76"/>
      <c r="CY1667" s="76">
        <f>+CX1667*106250</f>
        <v>0</v>
      </c>
      <c r="CZ1667" s="76"/>
      <c r="DA1667" s="76">
        <f>+CZ1667*34500</f>
        <v>0</v>
      </c>
      <c r="DB1667" s="76"/>
      <c r="DC1667" s="76">
        <f>+DB1667*25000</f>
        <v>0</v>
      </c>
      <c r="DD1667" s="219"/>
      <c r="DE1667" s="219"/>
      <c r="DF1667" s="166"/>
      <c r="DG1667" s="116"/>
      <c r="DH1667" s="117"/>
      <c r="DI1667" s="24"/>
      <c r="DJ1667" s="24"/>
      <c r="DK1667" s="24"/>
      <c r="DL1667" s="24"/>
      <c r="DM1667" s="24"/>
      <c r="DN1667" s="24"/>
      <c r="DO1667" s="24"/>
      <c r="DP1667" s="24"/>
      <c r="DQ1667" s="24"/>
      <c r="DR1667" s="24"/>
      <c r="DS1667" s="24"/>
      <c r="DT1667" s="24"/>
      <c r="DU1667" s="24"/>
    </row>
    <row r="1668" spans="1:125" s="8" customFormat="1" ht="168" x14ac:dyDescent="0.2">
      <c r="A1668" s="77">
        <v>41396</v>
      </c>
      <c r="B1668" s="78" t="s">
        <v>2196</v>
      </c>
      <c r="C1668" s="75" t="s">
        <v>508</v>
      </c>
      <c r="D1668" s="75" t="s">
        <v>3017</v>
      </c>
      <c r="E1668" s="75" t="str">
        <f>VLOOKUP(B1668&amp;C1668,Divipola!$C$2:$F$1138,4,FALSE)</f>
        <v>17001</v>
      </c>
      <c r="F1668" s="87">
        <v>1</v>
      </c>
      <c r="G1668" s="87">
        <v>5</v>
      </c>
      <c r="H1668" s="87"/>
      <c r="I1668" s="87">
        <v>5</v>
      </c>
      <c r="J1668" s="87"/>
      <c r="K1668" s="87"/>
      <c r="L1668" s="87">
        <v>1</v>
      </c>
      <c r="M1668" s="87"/>
      <c r="N1668" s="87"/>
      <c r="O1668" s="87"/>
      <c r="P1668" s="87"/>
      <c r="Q1668" s="87"/>
      <c r="R1668" s="87"/>
      <c r="S1668" s="87"/>
      <c r="T1668" s="87"/>
      <c r="U1668" s="88"/>
      <c r="V1668" s="89"/>
      <c r="W1668" s="96">
        <v>0</v>
      </c>
      <c r="X1668" s="71">
        <f>CU1668</f>
        <v>0</v>
      </c>
      <c r="Y1668" s="71">
        <f>CY1668</f>
        <v>0</v>
      </c>
      <c r="Z1668" s="71">
        <f>DA1668+DC1668+DE1668</f>
        <v>0</v>
      </c>
      <c r="AA1668" s="71">
        <f>CW1668</f>
        <v>0</v>
      </c>
      <c r="AB1668" s="71"/>
      <c r="AC1668" s="71">
        <v>0</v>
      </c>
      <c r="AD1668" s="71">
        <f>W1668+X1668+Y1668+Z1668+AA1668+AB1668+AC1668</f>
        <v>0</v>
      </c>
      <c r="AE1668" s="72">
        <v>0</v>
      </c>
      <c r="AF1668" s="5"/>
      <c r="AG1668" s="6"/>
      <c r="AH1668" s="27" t="s">
        <v>3392</v>
      </c>
      <c r="AI1668" s="44" t="s">
        <v>3393</v>
      </c>
      <c r="AJ1668" s="26"/>
      <c r="AK1668" s="5"/>
      <c r="AL1668" s="82" t="s">
        <v>4492</v>
      </c>
      <c r="AM1668" s="76"/>
      <c r="AN1668" s="76"/>
      <c r="AO1668" s="76"/>
      <c r="AP1668" s="76"/>
      <c r="AQ1668" s="76"/>
      <c r="AR1668" s="76"/>
      <c r="AS1668" s="76"/>
      <c r="AT1668" s="76"/>
      <c r="AU1668" s="76"/>
      <c r="AV1668" s="76"/>
      <c r="AW1668" s="76"/>
      <c r="AX1668" s="76">
        <f>+AW1668*600000</f>
        <v>0</v>
      </c>
      <c r="AY1668" s="76"/>
      <c r="AZ1668" s="76">
        <f>+AY1668*70000</f>
        <v>0</v>
      </c>
      <c r="BA1668" s="76"/>
      <c r="BB1668" s="76"/>
      <c r="BC1668" s="76"/>
      <c r="BD1668" s="76">
        <f>+BC1668*30000</f>
        <v>0</v>
      </c>
      <c r="BE1668" s="76"/>
      <c r="BF1668" s="76"/>
      <c r="BG1668" s="76"/>
      <c r="BH1668" s="76"/>
      <c r="BI1668" s="76"/>
      <c r="BJ1668" s="76"/>
      <c r="BK1668" s="76"/>
      <c r="BL1668" s="76">
        <f>+BK1668*31500</f>
        <v>0</v>
      </c>
      <c r="BM1668" s="76"/>
      <c r="BN1668" s="76"/>
      <c r="BO1668" s="76"/>
      <c r="BP1668" s="76"/>
      <c r="BQ1668" s="76"/>
      <c r="BR1668" s="76"/>
      <c r="BS1668" s="76"/>
      <c r="BT1668" s="76"/>
      <c r="BU1668" s="76"/>
      <c r="BV1668" s="76"/>
      <c r="BW1668" s="76"/>
      <c r="BX1668" s="76"/>
      <c r="BY1668" s="76"/>
      <c r="BZ1668" s="76"/>
      <c r="CA1668" s="76"/>
      <c r="CB1668" s="76"/>
      <c r="CC1668" s="76"/>
      <c r="CD1668" s="76"/>
      <c r="CE1668" s="76"/>
      <c r="CF1668" s="76">
        <f>+CE1668*28000</f>
        <v>0</v>
      </c>
      <c r="CG1668" s="76"/>
      <c r="CH1668" s="76">
        <f>+CG1668*22500</f>
        <v>0</v>
      </c>
      <c r="CI1668" s="76"/>
      <c r="CJ1668" s="76">
        <f>+CI1668*26000</f>
        <v>0</v>
      </c>
      <c r="CK1668" s="76"/>
      <c r="CL1668" s="76"/>
      <c r="CM1668" s="76"/>
      <c r="CN1668" s="76">
        <f>+CM1668*22000</f>
        <v>0</v>
      </c>
      <c r="CO1668" s="76"/>
      <c r="CP1668" s="76">
        <f>+CO1668*46000</f>
        <v>0</v>
      </c>
      <c r="CQ1668" s="76"/>
      <c r="CR1668" s="76">
        <f>+CQ1668*49000</f>
        <v>0</v>
      </c>
      <c r="CS1668" s="76"/>
      <c r="CT1668" s="76"/>
      <c r="CU1668" s="56">
        <f>AN1668+AP1668+AR1668+AT1668+AV1668+AX1668+AZ1668+BB1668+BD1668+BF1668+BH1668+BJ1668+BL1668+BN1668+BP1668+BR1668+BT1668+BV1668+BX1668+BZ1668+CB1668+CD1668+CF1668+CH1668+CJ1668+CL1668+CN1668+CP1668+CR1668+CT1668</f>
        <v>0</v>
      </c>
      <c r="CV1668" s="76"/>
      <c r="CW1668" s="76">
        <f>+CV1668*1100</f>
        <v>0</v>
      </c>
      <c r="CX1668" s="76"/>
      <c r="CY1668" s="76">
        <f>+CX1668*106250</f>
        <v>0</v>
      </c>
      <c r="CZ1668" s="76"/>
      <c r="DA1668" s="76">
        <f>+CZ1668*34500</f>
        <v>0</v>
      </c>
      <c r="DB1668" s="76"/>
      <c r="DC1668" s="76">
        <f>+DB1668*25000</f>
        <v>0</v>
      </c>
      <c r="DD1668" s="219"/>
      <c r="DE1668" s="219"/>
      <c r="DF1668" s="166"/>
      <c r="DG1668" s="116"/>
      <c r="DH1668" s="117"/>
      <c r="DI1668" s="24"/>
      <c r="DJ1668" s="24"/>
      <c r="DK1668" s="24"/>
      <c r="DL1668" s="24"/>
      <c r="DM1668" s="24"/>
      <c r="DN1668" s="24"/>
      <c r="DO1668" s="24"/>
      <c r="DP1668" s="24"/>
      <c r="DQ1668" s="24"/>
      <c r="DR1668" s="24"/>
      <c r="DS1668" s="24"/>
      <c r="DT1668" s="24"/>
      <c r="DU1668" s="24"/>
    </row>
    <row r="1669" spans="1:125" s="8" customFormat="1" ht="96" x14ac:dyDescent="0.2">
      <c r="A1669" s="353">
        <v>41396</v>
      </c>
      <c r="B1669" s="352" t="s">
        <v>2772</v>
      </c>
      <c r="C1669" s="354" t="s">
        <v>2672</v>
      </c>
      <c r="D1669" s="84" t="s">
        <v>3088</v>
      </c>
      <c r="E1669" s="75" t="str">
        <f>VLOOKUP(B1669&amp;C1669,Divipola!$C$2:$F$1138,4,FALSE)</f>
        <v>25290</v>
      </c>
      <c r="F1669" s="87"/>
      <c r="G1669" s="87"/>
      <c r="H1669" s="87"/>
      <c r="I1669" s="87">
        <v>20</v>
      </c>
      <c r="J1669" s="87">
        <v>4</v>
      </c>
      <c r="K1669" s="87"/>
      <c r="L1669" s="87">
        <v>4</v>
      </c>
      <c r="M1669" s="87"/>
      <c r="N1669" s="87"/>
      <c r="O1669" s="87"/>
      <c r="P1669" s="87"/>
      <c r="Q1669" s="87"/>
      <c r="R1669" s="87"/>
      <c r="S1669" s="87"/>
      <c r="T1669" s="87"/>
      <c r="U1669" s="88"/>
      <c r="V1669" s="89"/>
      <c r="W1669" s="96">
        <v>0</v>
      </c>
      <c r="X1669" s="71">
        <f>CU1669</f>
        <v>0</v>
      </c>
      <c r="Y1669" s="71">
        <f>CY1669</f>
        <v>0</v>
      </c>
      <c r="Z1669" s="71">
        <f>DA1669+DC1669+DE1669</f>
        <v>0</v>
      </c>
      <c r="AA1669" s="71">
        <f>CW1669</f>
        <v>0</v>
      </c>
      <c r="AB1669" s="71"/>
      <c r="AC1669" s="71">
        <v>0</v>
      </c>
      <c r="AD1669" s="71">
        <f>W1669+X1669+Y1669+Z1669+AA1669+AB1669+AC1669</f>
        <v>0</v>
      </c>
      <c r="AE1669" s="72">
        <v>0</v>
      </c>
      <c r="AF1669" s="5"/>
      <c r="AG1669" s="6"/>
      <c r="AH1669" s="27" t="s">
        <v>3392</v>
      </c>
      <c r="AI1669" s="44" t="s">
        <v>3393</v>
      </c>
      <c r="AJ1669" s="26"/>
      <c r="AK1669" s="5"/>
      <c r="AL1669" s="82" t="s">
        <v>4475</v>
      </c>
      <c r="AM1669" s="76"/>
      <c r="AN1669" s="76"/>
      <c r="AO1669" s="76"/>
      <c r="AP1669" s="76"/>
      <c r="AQ1669" s="76"/>
      <c r="AR1669" s="76"/>
      <c r="AS1669" s="76"/>
      <c r="AT1669" s="76"/>
      <c r="AU1669" s="76"/>
      <c r="AV1669" s="76"/>
      <c r="AW1669" s="76"/>
      <c r="AX1669" s="76">
        <f>+AW1669*600000</f>
        <v>0</v>
      </c>
      <c r="AY1669" s="76"/>
      <c r="AZ1669" s="76">
        <f>+AY1669*70000</f>
        <v>0</v>
      </c>
      <c r="BA1669" s="76"/>
      <c r="BB1669" s="76"/>
      <c r="BC1669" s="76"/>
      <c r="BD1669" s="76">
        <f>+BC1669*30000</f>
        <v>0</v>
      </c>
      <c r="BE1669" s="76"/>
      <c r="BF1669" s="76"/>
      <c r="BG1669" s="76"/>
      <c r="BH1669" s="76"/>
      <c r="BI1669" s="76"/>
      <c r="BJ1669" s="76"/>
      <c r="BK1669" s="76"/>
      <c r="BL1669" s="76">
        <f>+BK1669*31500</f>
        <v>0</v>
      </c>
      <c r="BM1669" s="76"/>
      <c r="BN1669" s="76"/>
      <c r="BO1669" s="76"/>
      <c r="BP1669" s="76"/>
      <c r="BQ1669" s="76"/>
      <c r="BR1669" s="76"/>
      <c r="BS1669" s="76"/>
      <c r="BT1669" s="76"/>
      <c r="BU1669" s="76"/>
      <c r="BV1669" s="76"/>
      <c r="BW1669" s="76"/>
      <c r="BX1669" s="76"/>
      <c r="BY1669" s="76"/>
      <c r="BZ1669" s="76"/>
      <c r="CA1669" s="76"/>
      <c r="CB1669" s="76"/>
      <c r="CC1669" s="76"/>
      <c r="CD1669" s="76"/>
      <c r="CE1669" s="76"/>
      <c r="CF1669" s="76">
        <f>+CE1669*28000</f>
        <v>0</v>
      </c>
      <c r="CG1669" s="76"/>
      <c r="CH1669" s="76">
        <f>+CG1669*22500</f>
        <v>0</v>
      </c>
      <c r="CI1669" s="76"/>
      <c r="CJ1669" s="76">
        <f>+CI1669*26000</f>
        <v>0</v>
      </c>
      <c r="CK1669" s="76"/>
      <c r="CL1669" s="76"/>
      <c r="CM1669" s="76"/>
      <c r="CN1669" s="76">
        <f>+CM1669*22000</f>
        <v>0</v>
      </c>
      <c r="CO1669" s="76"/>
      <c r="CP1669" s="76">
        <f>+CO1669*46000</f>
        <v>0</v>
      </c>
      <c r="CQ1669" s="76"/>
      <c r="CR1669" s="76">
        <f>+CQ1669*49000</f>
        <v>0</v>
      </c>
      <c r="CS1669" s="76"/>
      <c r="CT1669" s="76"/>
      <c r="CU1669" s="56">
        <f>AN1669+AP1669+AR1669+AT1669+AV1669+AX1669+AZ1669+BB1669+BD1669+BF1669+BH1669+BJ1669+BL1669+BN1669+BP1669+BR1669+BT1669+BV1669+BX1669+BZ1669+CB1669+CD1669+CF1669+CH1669+CJ1669+CL1669+CN1669+CP1669+CR1669+CT1669</f>
        <v>0</v>
      </c>
      <c r="CV1669" s="76"/>
      <c r="CW1669" s="76">
        <f>+CV1669*1100</f>
        <v>0</v>
      </c>
      <c r="CX1669" s="76"/>
      <c r="CY1669" s="76">
        <f>+CX1669*106250</f>
        <v>0</v>
      </c>
      <c r="CZ1669" s="76"/>
      <c r="DA1669" s="76">
        <f>+CZ1669*34500</f>
        <v>0</v>
      </c>
      <c r="DB1669" s="76"/>
      <c r="DC1669" s="76">
        <f>+DB1669*25000</f>
        <v>0</v>
      </c>
      <c r="DD1669" s="219"/>
      <c r="DE1669" s="219"/>
      <c r="DF1669" s="166"/>
      <c r="DG1669" s="116"/>
      <c r="DH1669" s="117"/>
      <c r="DI1669" s="24"/>
      <c r="DJ1669" s="24"/>
      <c r="DK1669" s="24"/>
      <c r="DL1669" s="24"/>
      <c r="DM1669" s="24"/>
      <c r="DN1669" s="24"/>
      <c r="DO1669" s="24"/>
      <c r="DP1669" s="24"/>
      <c r="DQ1669" s="24"/>
      <c r="DR1669" s="24"/>
      <c r="DS1669" s="24"/>
      <c r="DT1669" s="24"/>
      <c r="DU1669" s="24"/>
    </row>
    <row r="1670" spans="1:125" s="8" customFormat="1" ht="72" x14ac:dyDescent="0.2">
      <c r="A1670" s="77">
        <v>41396</v>
      </c>
      <c r="B1670" s="78" t="s">
        <v>506</v>
      </c>
      <c r="C1670" s="75" t="s">
        <v>1697</v>
      </c>
      <c r="D1670" s="75" t="s">
        <v>2849</v>
      </c>
      <c r="E1670" s="75" t="str">
        <f>VLOOKUP(B1670&amp;C1670,Divipola!$C$2:$F$1138,4,FALSE)</f>
        <v>50001</v>
      </c>
      <c r="F1670" s="87">
        <v>7</v>
      </c>
      <c r="G1670" s="87">
        <v>6</v>
      </c>
      <c r="H1670" s="87"/>
      <c r="I1670" s="87"/>
      <c r="J1670" s="87"/>
      <c r="K1670" s="87"/>
      <c r="L1670" s="87"/>
      <c r="M1670" s="87"/>
      <c r="N1670" s="87"/>
      <c r="O1670" s="87"/>
      <c r="P1670" s="87"/>
      <c r="Q1670" s="87"/>
      <c r="R1670" s="87"/>
      <c r="S1670" s="87"/>
      <c r="T1670" s="87"/>
      <c r="U1670" s="88"/>
      <c r="V1670" s="89">
        <v>2</v>
      </c>
      <c r="W1670" s="96">
        <v>0</v>
      </c>
      <c r="X1670" s="71">
        <f>CU1670</f>
        <v>0</v>
      </c>
      <c r="Y1670" s="71">
        <f>CY1670</f>
        <v>0</v>
      </c>
      <c r="Z1670" s="71">
        <f>DA1670+DC1670+DE1670</f>
        <v>0</v>
      </c>
      <c r="AA1670" s="71">
        <f>CW1670</f>
        <v>0</v>
      </c>
      <c r="AB1670" s="71"/>
      <c r="AC1670" s="71">
        <v>0</v>
      </c>
      <c r="AD1670" s="71">
        <f>W1670+X1670+Y1670+Z1670+AA1670+AB1670+AC1670</f>
        <v>0</v>
      </c>
      <c r="AE1670" s="72">
        <v>0</v>
      </c>
      <c r="AF1670" s="5"/>
      <c r="AG1670" s="6"/>
      <c r="AH1670" s="27" t="s">
        <v>3392</v>
      </c>
      <c r="AI1670" s="44" t="s">
        <v>3393</v>
      </c>
      <c r="AJ1670" s="26"/>
      <c r="AK1670" s="5"/>
      <c r="AL1670" s="82" t="s">
        <v>4479</v>
      </c>
      <c r="AM1670" s="76"/>
      <c r="AN1670" s="76"/>
      <c r="AO1670" s="76"/>
      <c r="AP1670" s="76"/>
      <c r="AQ1670" s="76"/>
      <c r="AR1670" s="76"/>
      <c r="AS1670" s="76"/>
      <c r="AT1670" s="76"/>
      <c r="AU1670" s="76"/>
      <c r="AV1670" s="76"/>
      <c r="AW1670" s="76"/>
      <c r="AX1670" s="76">
        <f>+AW1670*600000</f>
        <v>0</v>
      </c>
      <c r="AY1670" s="76"/>
      <c r="AZ1670" s="76">
        <f>+AY1670*70000</f>
        <v>0</v>
      </c>
      <c r="BA1670" s="76"/>
      <c r="BB1670" s="76"/>
      <c r="BC1670" s="76"/>
      <c r="BD1670" s="76">
        <f>+BC1670*30000</f>
        <v>0</v>
      </c>
      <c r="BE1670" s="76"/>
      <c r="BF1670" s="76"/>
      <c r="BG1670" s="76"/>
      <c r="BH1670" s="76"/>
      <c r="BI1670" s="76"/>
      <c r="BJ1670" s="76"/>
      <c r="BK1670" s="76"/>
      <c r="BL1670" s="76">
        <f>+BK1670*31500</f>
        <v>0</v>
      </c>
      <c r="BM1670" s="76"/>
      <c r="BN1670" s="76"/>
      <c r="BO1670" s="76"/>
      <c r="BP1670" s="76"/>
      <c r="BQ1670" s="76"/>
      <c r="BR1670" s="76"/>
      <c r="BS1670" s="76"/>
      <c r="BT1670" s="76"/>
      <c r="BU1670" s="76"/>
      <c r="BV1670" s="76"/>
      <c r="BW1670" s="76"/>
      <c r="BX1670" s="76"/>
      <c r="BY1670" s="76"/>
      <c r="BZ1670" s="76"/>
      <c r="CA1670" s="76"/>
      <c r="CB1670" s="76"/>
      <c r="CC1670" s="76"/>
      <c r="CD1670" s="76"/>
      <c r="CE1670" s="76"/>
      <c r="CF1670" s="76">
        <f>+CE1670*28000</f>
        <v>0</v>
      </c>
      <c r="CG1670" s="76"/>
      <c r="CH1670" s="76">
        <f>+CG1670*22500</f>
        <v>0</v>
      </c>
      <c r="CI1670" s="76"/>
      <c r="CJ1670" s="76">
        <f>+CI1670*26000</f>
        <v>0</v>
      </c>
      <c r="CK1670" s="76"/>
      <c r="CL1670" s="76"/>
      <c r="CM1670" s="76"/>
      <c r="CN1670" s="76">
        <f>+CM1670*22000</f>
        <v>0</v>
      </c>
      <c r="CO1670" s="76"/>
      <c r="CP1670" s="76">
        <f>+CO1670*46000</f>
        <v>0</v>
      </c>
      <c r="CQ1670" s="76"/>
      <c r="CR1670" s="76">
        <f>+CQ1670*49000</f>
        <v>0</v>
      </c>
      <c r="CS1670" s="76"/>
      <c r="CT1670" s="76"/>
      <c r="CU1670" s="56">
        <f>AN1670+AP1670+AR1670+AT1670+AV1670+AX1670+AZ1670+BB1670+BD1670+BF1670+BH1670+BJ1670+BL1670+BN1670+BP1670+BR1670+BT1670+BV1670+BX1670+BZ1670+CB1670+CD1670+CF1670+CH1670+CJ1670+CL1670+CN1670+CP1670+CR1670+CT1670</f>
        <v>0</v>
      </c>
      <c r="CV1670" s="76"/>
      <c r="CW1670" s="76">
        <f>+CV1670*1100</f>
        <v>0</v>
      </c>
      <c r="CX1670" s="76"/>
      <c r="CY1670" s="76">
        <f>+CX1670*106250</f>
        <v>0</v>
      </c>
      <c r="CZ1670" s="76"/>
      <c r="DA1670" s="76">
        <f>+CZ1670*34500</f>
        <v>0</v>
      </c>
      <c r="DB1670" s="76"/>
      <c r="DC1670" s="76">
        <f>+DB1670*25000</f>
        <v>0</v>
      </c>
      <c r="DD1670" s="219"/>
      <c r="DE1670" s="219"/>
      <c r="DF1670" s="166"/>
      <c r="DG1670" s="116"/>
      <c r="DH1670" s="117"/>
      <c r="DI1670" s="24"/>
      <c r="DJ1670" s="24"/>
      <c r="DK1670" s="24"/>
      <c r="DL1670" s="24"/>
      <c r="DM1670" s="24"/>
      <c r="DN1670" s="24"/>
      <c r="DO1670" s="24"/>
      <c r="DP1670" s="24"/>
      <c r="DQ1670" s="24"/>
      <c r="DR1670" s="24"/>
      <c r="DS1670" s="24"/>
      <c r="DT1670" s="24"/>
      <c r="DU1670" s="24"/>
    </row>
    <row r="1671" spans="1:125" s="8" customFormat="1" ht="180" x14ac:dyDescent="0.2">
      <c r="A1671" s="77">
        <v>41396</v>
      </c>
      <c r="B1671" s="225" t="s">
        <v>506</v>
      </c>
      <c r="C1671" s="352" t="s">
        <v>1697</v>
      </c>
      <c r="D1671" s="227" t="s">
        <v>2849</v>
      </c>
      <c r="E1671" s="75" t="str">
        <f>VLOOKUP(B1671&amp;C1671,Divipola!$C$2:$F$1138,4,FALSE)</f>
        <v>50001</v>
      </c>
      <c r="F1671" s="87">
        <v>1</v>
      </c>
      <c r="G1671" s="87">
        <v>1</v>
      </c>
      <c r="H1671" s="87"/>
      <c r="I1671" s="87"/>
      <c r="J1671" s="87"/>
      <c r="K1671" s="87"/>
      <c r="L1671" s="87"/>
      <c r="M1671" s="87"/>
      <c r="N1671" s="87"/>
      <c r="O1671" s="87"/>
      <c r="P1671" s="87"/>
      <c r="Q1671" s="87"/>
      <c r="R1671" s="87"/>
      <c r="S1671" s="87"/>
      <c r="T1671" s="87"/>
      <c r="U1671" s="88"/>
      <c r="V1671" s="89">
        <v>2</v>
      </c>
      <c r="W1671" s="96">
        <v>0</v>
      </c>
      <c r="X1671" s="71">
        <f>CU1671</f>
        <v>0</v>
      </c>
      <c r="Y1671" s="71">
        <f>CY1671</f>
        <v>0</v>
      </c>
      <c r="Z1671" s="71">
        <f>DA1671+DC1671+DE1671</f>
        <v>0</v>
      </c>
      <c r="AA1671" s="71">
        <f>CW1671</f>
        <v>0</v>
      </c>
      <c r="AB1671" s="71"/>
      <c r="AC1671" s="71">
        <v>0</v>
      </c>
      <c r="AD1671" s="71">
        <f>W1671+X1671+Y1671+Z1671+AA1671+AB1671+AC1671</f>
        <v>0</v>
      </c>
      <c r="AE1671" s="72">
        <v>0</v>
      </c>
      <c r="AF1671" s="5"/>
      <c r="AG1671" s="6"/>
      <c r="AH1671" s="27" t="s">
        <v>3392</v>
      </c>
      <c r="AI1671" s="44" t="s">
        <v>3393</v>
      </c>
      <c r="AJ1671" s="26"/>
      <c r="AK1671" s="5"/>
      <c r="AL1671" s="82" t="s">
        <v>4480</v>
      </c>
      <c r="AM1671" s="76"/>
      <c r="AN1671" s="76"/>
      <c r="AO1671" s="76"/>
      <c r="AP1671" s="76"/>
      <c r="AQ1671" s="76"/>
      <c r="AR1671" s="76"/>
      <c r="AS1671" s="76"/>
      <c r="AT1671" s="76"/>
      <c r="AU1671" s="76"/>
      <c r="AV1671" s="76"/>
      <c r="AW1671" s="76"/>
      <c r="AX1671" s="76">
        <f>+AW1671*600000</f>
        <v>0</v>
      </c>
      <c r="AY1671" s="76"/>
      <c r="AZ1671" s="76">
        <f>+AY1671*70000</f>
        <v>0</v>
      </c>
      <c r="BA1671" s="76"/>
      <c r="BB1671" s="76"/>
      <c r="BC1671" s="76"/>
      <c r="BD1671" s="76">
        <f>+BC1671*30000</f>
        <v>0</v>
      </c>
      <c r="BE1671" s="76"/>
      <c r="BF1671" s="76"/>
      <c r="BG1671" s="76"/>
      <c r="BH1671" s="76"/>
      <c r="BI1671" s="76"/>
      <c r="BJ1671" s="76"/>
      <c r="BK1671" s="76"/>
      <c r="BL1671" s="76">
        <f>+BK1671*31500</f>
        <v>0</v>
      </c>
      <c r="BM1671" s="76"/>
      <c r="BN1671" s="76"/>
      <c r="BO1671" s="76"/>
      <c r="BP1671" s="76"/>
      <c r="BQ1671" s="76"/>
      <c r="BR1671" s="76"/>
      <c r="BS1671" s="76"/>
      <c r="BT1671" s="76"/>
      <c r="BU1671" s="76"/>
      <c r="BV1671" s="76"/>
      <c r="BW1671" s="76"/>
      <c r="BX1671" s="76"/>
      <c r="BY1671" s="76"/>
      <c r="BZ1671" s="76"/>
      <c r="CA1671" s="76"/>
      <c r="CB1671" s="76"/>
      <c r="CC1671" s="76"/>
      <c r="CD1671" s="76"/>
      <c r="CE1671" s="76"/>
      <c r="CF1671" s="76">
        <f>+CE1671*28000</f>
        <v>0</v>
      </c>
      <c r="CG1671" s="76"/>
      <c r="CH1671" s="76">
        <f>+CG1671*22500</f>
        <v>0</v>
      </c>
      <c r="CI1671" s="76"/>
      <c r="CJ1671" s="76">
        <f>+CI1671*26000</f>
        <v>0</v>
      </c>
      <c r="CK1671" s="76"/>
      <c r="CL1671" s="76"/>
      <c r="CM1671" s="76"/>
      <c r="CN1671" s="76">
        <f>+CM1671*22000</f>
        <v>0</v>
      </c>
      <c r="CO1671" s="76"/>
      <c r="CP1671" s="76">
        <f>+CO1671*46000</f>
        <v>0</v>
      </c>
      <c r="CQ1671" s="76"/>
      <c r="CR1671" s="76">
        <f>+CQ1671*49000</f>
        <v>0</v>
      </c>
      <c r="CS1671" s="76"/>
      <c r="CT1671" s="76"/>
      <c r="CU1671" s="56">
        <f>AN1671+AP1671+AR1671+AT1671+AV1671+AX1671+AZ1671+BB1671+BD1671+BF1671+BH1671+BJ1671+BL1671+BN1671+BP1671+BR1671+BT1671+BV1671+BX1671+BZ1671+CB1671+CD1671+CF1671+CH1671+CJ1671+CL1671+CN1671+CP1671+CR1671+CT1671</f>
        <v>0</v>
      </c>
      <c r="CV1671" s="76"/>
      <c r="CW1671" s="76">
        <f>+CV1671*1100</f>
        <v>0</v>
      </c>
      <c r="CX1671" s="76"/>
      <c r="CY1671" s="76">
        <f>+CX1671*106250</f>
        <v>0</v>
      </c>
      <c r="CZ1671" s="76"/>
      <c r="DA1671" s="76">
        <f>+CZ1671*34500</f>
        <v>0</v>
      </c>
      <c r="DB1671" s="76"/>
      <c r="DC1671" s="76">
        <f>+DB1671*25000</f>
        <v>0</v>
      </c>
      <c r="DD1671" s="219"/>
      <c r="DE1671" s="219"/>
      <c r="DF1671" s="166"/>
      <c r="DG1671" s="116"/>
      <c r="DH1671" s="117"/>
      <c r="DI1671" s="24"/>
      <c r="DJ1671" s="24"/>
      <c r="DK1671" s="24"/>
      <c r="DL1671" s="24"/>
      <c r="DM1671" s="24"/>
      <c r="DN1671" s="24"/>
      <c r="DO1671" s="24"/>
      <c r="DP1671" s="24"/>
      <c r="DQ1671" s="24"/>
      <c r="DR1671" s="24"/>
      <c r="DS1671" s="24"/>
      <c r="DT1671" s="24"/>
      <c r="DU1671" s="24"/>
    </row>
    <row r="1672" spans="1:125" s="8" customFormat="1" ht="48" x14ac:dyDescent="0.2">
      <c r="A1672" s="226">
        <v>41396</v>
      </c>
      <c r="B1672" s="225" t="s">
        <v>2880</v>
      </c>
      <c r="C1672" s="227" t="s">
        <v>2220</v>
      </c>
      <c r="D1672" s="354" t="s">
        <v>3463</v>
      </c>
      <c r="E1672" s="75" t="str">
        <f>VLOOKUP(B1672&amp;C1672,Divipola!$C$2:$F$1138,4,FALSE)</f>
        <v>54680</v>
      </c>
      <c r="F1672" s="87"/>
      <c r="G1672" s="87"/>
      <c r="H1672" s="87"/>
      <c r="I1672" s="87"/>
      <c r="J1672" s="87"/>
      <c r="K1672" s="87"/>
      <c r="L1672" s="87"/>
      <c r="M1672" s="87"/>
      <c r="N1672" s="87"/>
      <c r="O1672" s="87"/>
      <c r="P1672" s="87"/>
      <c r="Q1672" s="87"/>
      <c r="R1672" s="87"/>
      <c r="S1672" s="87"/>
      <c r="T1672" s="87"/>
      <c r="U1672" s="88"/>
      <c r="V1672" s="89"/>
      <c r="W1672" s="96">
        <v>0</v>
      </c>
      <c r="X1672" s="71">
        <f>CU1672</f>
        <v>0</v>
      </c>
      <c r="Y1672" s="71">
        <f>CY1672</f>
        <v>0</v>
      </c>
      <c r="Z1672" s="71">
        <f>DA1672+DC1672+DE1672</f>
        <v>0</v>
      </c>
      <c r="AA1672" s="71">
        <f>CW1672</f>
        <v>0</v>
      </c>
      <c r="AB1672" s="71"/>
      <c r="AC1672" s="71">
        <v>0</v>
      </c>
      <c r="AD1672" s="71">
        <f>W1672+X1672+Y1672+Z1672+AA1672+AB1672+AC1672</f>
        <v>0</v>
      </c>
      <c r="AE1672" s="72">
        <v>0</v>
      </c>
      <c r="AF1672" s="5"/>
      <c r="AG1672" s="6"/>
      <c r="AH1672" s="27" t="s">
        <v>3392</v>
      </c>
      <c r="AI1672" s="44" t="s">
        <v>3393</v>
      </c>
      <c r="AJ1672" s="26"/>
      <c r="AK1672" s="5"/>
      <c r="AL1672" s="82" t="s">
        <v>4473</v>
      </c>
      <c r="AM1672" s="76"/>
      <c r="AN1672" s="76"/>
      <c r="AO1672" s="76"/>
      <c r="AP1672" s="76"/>
      <c r="AQ1672" s="76"/>
      <c r="AR1672" s="76"/>
      <c r="AS1672" s="76"/>
      <c r="AT1672" s="76"/>
      <c r="AU1672" s="76"/>
      <c r="AV1672" s="76"/>
      <c r="AW1672" s="76"/>
      <c r="AX1672" s="76">
        <f>+AW1672*600000</f>
        <v>0</v>
      </c>
      <c r="AY1672" s="76"/>
      <c r="AZ1672" s="76">
        <f>+AY1672*70000</f>
        <v>0</v>
      </c>
      <c r="BA1672" s="76"/>
      <c r="BB1672" s="76"/>
      <c r="BC1672" s="76"/>
      <c r="BD1672" s="76">
        <f>+BC1672*30000</f>
        <v>0</v>
      </c>
      <c r="BE1672" s="76"/>
      <c r="BF1672" s="76"/>
      <c r="BG1672" s="76"/>
      <c r="BH1672" s="76"/>
      <c r="BI1672" s="76"/>
      <c r="BJ1672" s="76"/>
      <c r="BK1672" s="76"/>
      <c r="BL1672" s="76">
        <f>+BK1672*31500</f>
        <v>0</v>
      </c>
      <c r="BM1672" s="76"/>
      <c r="BN1672" s="76"/>
      <c r="BO1672" s="76"/>
      <c r="BP1672" s="76"/>
      <c r="BQ1672" s="76"/>
      <c r="BR1672" s="76"/>
      <c r="BS1672" s="76"/>
      <c r="BT1672" s="76"/>
      <c r="BU1672" s="76"/>
      <c r="BV1672" s="76"/>
      <c r="BW1672" s="76"/>
      <c r="BX1672" s="76"/>
      <c r="BY1672" s="76"/>
      <c r="BZ1672" s="76"/>
      <c r="CA1672" s="76"/>
      <c r="CB1672" s="76"/>
      <c r="CC1672" s="76"/>
      <c r="CD1672" s="76"/>
      <c r="CE1672" s="76"/>
      <c r="CF1672" s="76">
        <f>+CE1672*28000</f>
        <v>0</v>
      </c>
      <c r="CG1672" s="76"/>
      <c r="CH1672" s="76">
        <f>+CG1672*22500</f>
        <v>0</v>
      </c>
      <c r="CI1672" s="76"/>
      <c r="CJ1672" s="76">
        <f>+CI1672*26000</f>
        <v>0</v>
      </c>
      <c r="CK1672" s="76"/>
      <c r="CL1672" s="76"/>
      <c r="CM1672" s="76"/>
      <c r="CN1672" s="76">
        <f>+CM1672*22000</f>
        <v>0</v>
      </c>
      <c r="CO1672" s="76"/>
      <c r="CP1672" s="76">
        <f>+CO1672*46000</f>
        <v>0</v>
      </c>
      <c r="CQ1672" s="76"/>
      <c r="CR1672" s="76">
        <f>+CQ1672*49000</f>
        <v>0</v>
      </c>
      <c r="CS1672" s="76"/>
      <c r="CT1672" s="76"/>
      <c r="CU1672" s="56">
        <f>AN1672+AP1672+AR1672+AT1672+AV1672+AX1672+AZ1672+BB1672+BD1672+BF1672+BH1672+BJ1672+BL1672+BN1672+BP1672+BR1672+BT1672+BV1672+BX1672+BZ1672+CB1672+CD1672+CF1672+CH1672+CJ1672+CL1672+CN1672+CP1672+CR1672+CT1672</f>
        <v>0</v>
      </c>
      <c r="CV1672" s="76"/>
      <c r="CW1672" s="76">
        <f>+CV1672*1100</f>
        <v>0</v>
      </c>
      <c r="CX1672" s="76"/>
      <c r="CY1672" s="76">
        <f>+CX1672*106250</f>
        <v>0</v>
      </c>
      <c r="CZ1672" s="76"/>
      <c r="DA1672" s="76">
        <f>+CZ1672*34500</f>
        <v>0</v>
      </c>
      <c r="DB1672" s="76"/>
      <c r="DC1672" s="76">
        <f>+DB1672*25000</f>
        <v>0</v>
      </c>
      <c r="DD1672" s="219"/>
      <c r="DE1672" s="219"/>
      <c r="DF1672" s="166"/>
      <c r="DG1672" s="116"/>
      <c r="DH1672" s="117"/>
      <c r="DI1672" s="24"/>
      <c r="DJ1672" s="24"/>
      <c r="DK1672" s="24"/>
      <c r="DL1672" s="24"/>
      <c r="DM1672" s="24"/>
      <c r="DN1672" s="24"/>
      <c r="DO1672" s="24"/>
      <c r="DP1672" s="24"/>
      <c r="DQ1672" s="24"/>
      <c r="DR1672" s="24"/>
      <c r="DS1672" s="24"/>
      <c r="DT1672" s="24"/>
      <c r="DU1672" s="24"/>
    </row>
    <row r="1673" spans="1:125" s="8" customFormat="1" ht="48" x14ac:dyDescent="0.2">
      <c r="A1673" s="353">
        <v>41396</v>
      </c>
      <c r="B1673" s="352" t="s">
        <v>2860</v>
      </c>
      <c r="C1673" s="354" t="s">
        <v>2764</v>
      </c>
      <c r="D1673" s="75" t="s">
        <v>3051</v>
      </c>
      <c r="E1673" s="75" t="str">
        <f>VLOOKUP(B1673&amp;C1673,Divipola!$C$2:$F$1138,4,FALSE)</f>
        <v>63594</v>
      </c>
      <c r="F1673" s="87"/>
      <c r="G1673" s="87"/>
      <c r="H1673" s="87"/>
      <c r="I1673" s="87"/>
      <c r="J1673" s="87"/>
      <c r="K1673" s="87"/>
      <c r="L1673" s="87"/>
      <c r="M1673" s="87"/>
      <c r="N1673" s="87"/>
      <c r="O1673" s="87"/>
      <c r="P1673" s="87"/>
      <c r="Q1673" s="87">
        <v>1</v>
      </c>
      <c r="R1673" s="87"/>
      <c r="S1673" s="87"/>
      <c r="T1673" s="87"/>
      <c r="U1673" s="88"/>
      <c r="V1673" s="89"/>
      <c r="W1673" s="96">
        <v>0</v>
      </c>
      <c r="X1673" s="71">
        <f>CU1673</f>
        <v>0</v>
      </c>
      <c r="Y1673" s="71">
        <f>CY1673</f>
        <v>0</v>
      </c>
      <c r="Z1673" s="71">
        <f>DA1673+DC1673+DE1673</f>
        <v>0</v>
      </c>
      <c r="AA1673" s="71">
        <f>CW1673</f>
        <v>0</v>
      </c>
      <c r="AB1673" s="71"/>
      <c r="AC1673" s="71">
        <v>0</v>
      </c>
      <c r="AD1673" s="71">
        <f>W1673+X1673+Y1673+Z1673+AA1673+AB1673+AC1673</f>
        <v>0</v>
      </c>
      <c r="AE1673" s="72">
        <v>0</v>
      </c>
      <c r="AF1673" s="5"/>
      <c r="AG1673" s="6"/>
      <c r="AH1673" s="27" t="s">
        <v>3392</v>
      </c>
      <c r="AI1673" s="44" t="s">
        <v>3393</v>
      </c>
      <c r="AJ1673" s="26"/>
      <c r="AK1673" s="5"/>
      <c r="AL1673" s="82" t="s">
        <v>4474</v>
      </c>
      <c r="AM1673" s="76"/>
      <c r="AN1673" s="76"/>
      <c r="AO1673" s="76"/>
      <c r="AP1673" s="76"/>
      <c r="AQ1673" s="76"/>
      <c r="AR1673" s="76"/>
      <c r="AS1673" s="76"/>
      <c r="AT1673" s="76"/>
      <c r="AU1673" s="76"/>
      <c r="AV1673" s="76"/>
      <c r="AW1673" s="76"/>
      <c r="AX1673" s="76">
        <f>+AW1673*600000</f>
        <v>0</v>
      </c>
      <c r="AY1673" s="76"/>
      <c r="AZ1673" s="76">
        <f>+AY1673*70000</f>
        <v>0</v>
      </c>
      <c r="BA1673" s="76"/>
      <c r="BB1673" s="76"/>
      <c r="BC1673" s="76"/>
      <c r="BD1673" s="76">
        <f>+BC1673*30000</f>
        <v>0</v>
      </c>
      <c r="BE1673" s="76"/>
      <c r="BF1673" s="76"/>
      <c r="BG1673" s="76"/>
      <c r="BH1673" s="76"/>
      <c r="BI1673" s="76"/>
      <c r="BJ1673" s="76"/>
      <c r="BK1673" s="76"/>
      <c r="BL1673" s="76">
        <f>+BK1673*31500</f>
        <v>0</v>
      </c>
      <c r="BM1673" s="76"/>
      <c r="BN1673" s="76"/>
      <c r="BO1673" s="76"/>
      <c r="BP1673" s="76"/>
      <c r="BQ1673" s="76"/>
      <c r="BR1673" s="76"/>
      <c r="BS1673" s="76"/>
      <c r="BT1673" s="76"/>
      <c r="BU1673" s="76"/>
      <c r="BV1673" s="76"/>
      <c r="BW1673" s="76"/>
      <c r="BX1673" s="76"/>
      <c r="BY1673" s="76"/>
      <c r="BZ1673" s="76"/>
      <c r="CA1673" s="76"/>
      <c r="CB1673" s="76"/>
      <c r="CC1673" s="76"/>
      <c r="CD1673" s="76"/>
      <c r="CE1673" s="76"/>
      <c r="CF1673" s="76">
        <f>+CE1673*28000</f>
        <v>0</v>
      </c>
      <c r="CG1673" s="76"/>
      <c r="CH1673" s="76">
        <f>+CG1673*22500</f>
        <v>0</v>
      </c>
      <c r="CI1673" s="76"/>
      <c r="CJ1673" s="76">
        <f>+CI1673*26000</f>
        <v>0</v>
      </c>
      <c r="CK1673" s="76"/>
      <c r="CL1673" s="76"/>
      <c r="CM1673" s="76"/>
      <c r="CN1673" s="76">
        <f>+CM1673*22000</f>
        <v>0</v>
      </c>
      <c r="CO1673" s="76"/>
      <c r="CP1673" s="76">
        <f>+CO1673*46000</f>
        <v>0</v>
      </c>
      <c r="CQ1673" s="76"/>
      <c r="CR1673" s="76">
        <f>+CQ1673*49000</f>
        <v>0</v>
      </c>
      <c r="CS1673" s="76"/>
      <c r="CT1673" s="76"/>
      <c r="CU1673" s="56">
        <f>AN1673+AP1673+AR1673+AT1673+AV1673+AX1673+AZ1673+BB1673+BD1673+BF1673+BH1673+BJ1673+BL1673+BN1673+BP1673+BR1673+BT1673+BV1673+BX1673+BZ1673+CB1673+CD1673+CF1673+CH1673+CJ1673+CL1673+CN1673+CP1673+CR1673+CT1673</f>
        <v>0</v>
      </c>
      <c r="CV1673" s="76"/>
      <c r="CW1673" s="76">
        <f>+CV1673*1100</f>
        <v>0</v>
      </c>
      <c r="CX1673" s="76"/>
      <c r="CY1673" s="76">
        <f>+CX1673*106250</f>
        <v>0</v>
      </c>
      <c r="CZ1673" s="76"/>
      <c r="DA1673" s="76">
        <f>+CZ1673*34500</f>
        <v>0</v>
      </c>
      <c r="DB1673" s="76"/>
      <c r="DC1673" s="76">
        <f>+DB1673*25000</f>
        <v>0</v>
      </c>
      <c r="DD1673" s="219"/>
      <c r="DE1673" s="219"/>
      <c r="DF1673" s="166"/>
      <c r="DG1673" s="116"/>
      <c r="DH1673" s="117"/>
      <c r="DI1673" s="24"/>
      <c r="DJ1673" s="24"/>
      <c r="DK1673" s="24"/>
      <c r="DL1673" s="24"/>
      <c r="DM1673" s="24"/>
      <c r="DN1673" s="24"/>
      <c r="DO1673" s="24"/>
      <c r="DP1673" s="24"/>
      <c r="DQ1673" s="24"/>
      <c r="DR1673" s="24"/>
      <c r="DS1673" s="24"/>
      <c r="DT1673" s="24"/>
      <c r="DU1673" s="24"/>
    </row>
    <row r="1674" spans="1:125" s="8" customFormat="1" ht="108" x14ac:dyDescent="0.2">
      <c r="A1674" s="226">
        <v>41396</v>
      </c>
      <c r="B1674" s="225" t="s">
        <v>2847</v>
      </c>
      <c r="C1674" s="227" t="s">
        <v>479</v>
      </c>
      <c r="D1674" s="354" t="s">
        <v>2846</v>
      </c>
      <c r="E1674" s="75" t="str">
        <f>VLOOKUP(B1674&amp;C1674,Divipola!$C$2:$F$1138,4,FALSE)</f>
        <v>68547</v>
      </c>
      <c r="F1674" s="87"/>
      <c r="G1674" s="87"/>
      <c r="H1674" s="87"/>
      <c r="I1674" s="87"/>
      <c r="J1674" s="87"/>
      <c r="K1674" s="87"/>
      <c r="L1674" s="87"/>
      <c r="M1674" s="87"/>
      <c r="N1674" s="87"/>
      <c r="O1674" s="87"/>
      <c r="P1674" s="87"/>
      <c r="Q1674" s="87"/>
      <c r="R1674" s="87"/>
      <c r="S1674" s="87"/>
      <c r="T1674" s="87"/>
      <c r="U1674" s="88">
        <v>1</v>
      </c>
      <c r="V1674" s="89"/>
      <c r="W1674" s="96">
        <v>0</v>
      </c>
      <c r="X1674" s="71">
        <f>CU1674</f>
        <v>0</v>
      </c>
      <c r="Y1674" s="71">
        <f>CY1674</f>
        <v>0</v>
      </c>
      <c r="Z1674" s="71">
        <f>DA1674+DC1674+DE1674</f>
        <v>0</v>
      </c>
      <c r="AA1674" s="71">
        <f>CW1674</f>
        <v>0</v>
      </c>
      <c r="AB1674" s="71"/>
      <c r="AC1674" s="71">
        <v>0</v>
      </c>
      <c r="AD1674" s="71">
        <f>W1674+X1674+Y1674+Z1674+AA1674+AB1674+AC1674</f>
        <v>0</v>
      </c>
      <c r="AE1674" s="72">
        <v>0</v>
      </c>
      <c r="AF1674" s="5"/>
      <c r="AG1674" s="6"/>
      <c r="AH1674" s="27" t="s">
        <v>3392</v>
      </c>
      <c r="AI1674" s="44" t="s">
        <v>3393</v>
      </c>
      <c r="AJ1674" s="26"/>
      <c r="AK1674" s="5"/>
      <c r="AL1674" s="82" t="s">
        <v>4478</v>
      </c>
      <c r="AM1674" s="76"/>
      <c r="AN1674" s="76"/>
      <c r="AO1674" s="76"/>
      <c r="AP1674" s="76"/>
      <c r="AQ1674" s="76"/>
      <c r="AR1674" s="76"/>
      <c r="AS1674" s="76"/>
      <c r="AT1674" s="76"/>
      <c r="AU1674" s="76"/>
      <c r="AV1674" s="76"/>
      <c r="AW1674" s="76"/>
      <c r="AX1674" s="76">
        <f>+AW1674*600000</f>
        <v>0</v>
      </c>
      <c r="AY1674" s="76"/>
      <c r="AZ1674" s="76">
        <f>+AY1674*70000</f>
        <v>0</v>
      </c>
      <c r="BA1674" s="76"/>
      <c r="BB1674" s="76"/>
      <c r="BC1674" s="76"/>
      <c r="BD1674" s="76">
        <f>+BC1674*30000</f>
        <v>0</v>
      </c>
      <c r="BE1674" s="76"/>
      <c r="BF1674" s="76"/>
      <c r="BG1674" s="76"/>
      <c r="BH1674" s="76"/>
      <c r="BI1674" s="76"/>
      <c r="BJ1674" s="76"/>
      <c r="BK1674" s="76"/>
      <c r="BL1674" s="76">
        <f>+BK1674*31500</f>
        <v>0</v>
      </c>
      <c r="BM1674" s="76"/>
      <c r="BN1674" s="76"/>
      <c r="BO1674" s="76"/>
      <c r="BP1674" s="76"/>
      <c r="BQ1674" s="76"/>
      <c r="BR1674" s="76"/>
      <c r="BS1674" s="76"/>
      <c r="BT1674" s="76"/>
      <c r="BU1674" s="76"/>
      <c r="BV1674" s="76"/>
      <c r="BW1674" s="76"/>
      <c r="BX1674" s="76"/>
      <c r="BY1674" s="76"/>
      <c r="BZ1674" s="76"/>
      <c r="CA1674" s="76"/>
      <c r="CB1674" s="76"/>
      <c r="CC1674" s="76"/>
      <c r="CD1674" s="76"/>
      <c r="CE1674" s="76"/>
      <c r="CF1674" s="76">
        <f>+CE1674*28000</f>
        <v>0</v>
      </c>
      <c r="CG1674" s="76"/>
      <c r="CH1674" s="76">
        <f>+CG1674*22500</f>
        <v>0</v>
      </c>
      <c r="CI1674" s="76"/>
      <c r="CJ1674" s="76">
        <f>+CI1674*26000</f>
        <v>0</v>
      </c>
      <c r="CK1674" s="76"/>
      <c r="CL1674" s="76"/>
      <c r="CM1674" s="76"/>
      <c r="CN1674" s="76">
        <f>+CM1674*22000</f>
        <v>0</v>
      </c>
      <c r="CO1674" s="76"/>
      <c r="CP1674" s="76">
        <f>+CO1674*46000</f>
        <v>0</v>
      </c>
      <c r="CQ1674" s="76"/>
      <c r="CR1674" s="76">
        <f>+CQ1674*49000</f>
        <v>0</v>
      </c>
      <c r="CS1674" s="76"/>
      <c r="CT1674" s="76"/>
      <c r="CU1674" s="56">
        <f>AN1674+AP1674+AR1674+AT1674+AV1674+AX1674+AZ1674+BB1674+BD1674+BF1674+BH1674+BJ1674+BL1674+BN1674+BP1674+BR1674+BT1674+BV1674+BX1674+BZ1674+CB1674+CD1674+CF1674+CH1674+CJ1674+CL1674+CN1674+CP1674+CR1674+CT1674</f>
        <v>0</v>
      </c>
      <c r="CV1674" s="76"/>
      <c r="CW1674" s="76">
        <f>+CV1674*1100</f>
        <v>0</v>
      </c>
      <c r="CX1674" s="76"/>
      <c r="CY1674" s="76">
        <f>+CX1674*106250</f>
        <v>0</v>
      </c>
      <c r="CZ1674" s="76"/>
      <c r="DA1674" s="76">
        <f>+CZ1674*34500</f>
        <v>0</v>
      </c>
      <c r="DB1674" s="76"/>
      <c r="DC1674" s="76">
        <f>+DB1674*25000</f>
        <v>0</v>
      </c>
      <c r="DD1674" s="219"/>
      <c r="DE1674" s="219"/>
      <c r="DF1674" s="166"/>
      <c r="DG1674" s="116"/>
      <c r="DH1674" s="117"/>
      <c r="DI1674" s="24"/>
      <c r="DJ1674" s="24"/>
      <c r="DK1674" s="24"/>
      <c r="DL1674" s="24"/>
      <c r="DM1674" s="24"/>
      <c r="DN1674" s="24"/>
      <c r="DO1674" s="24"/>
      <c r="DP1674" s="24"/>
      <c r="DQ1674" s="24"/>
      <c r="DR1674" s="24"/>
      <c r="DS1674" s="24"/>
      <c r="DT1674" s="24"/>
      <c r="DU1674" s="24"/>
    </row>
    <row r="1675" spans="1:125" s="8" customFormat="1" ht="84" x14ac:dyDescent="0.2">
      <c r="A1675" s="353">
        <v>41396</v>
      </c>
      <c r="B1675" s="352" t="s">
        <v>2848</v>
      </c>
      <c r="C1675" s="354" t="s">
        <v>2191</v>
      </c>
      <c r="D1675" s="75" t="s">
        <v>3051</v>
      </c>
      <c r="E1675" s="75" t="str">
        <f>VLOOKUP(B1675&amp;C1675,Divipola!$C$2:$F$1138,4,FALSE)</f>
        <v>73319</v>
      </c>
      <c r="F1675" s="87"/>
      <c r="G1675" s="87"/>
      <c r="H1675" s="87"/>
      <c r="I1675" s="87">
        <v>136</v>
      </c>
      <c r="J1675" s="87">
        <v>29</v>
      </c>
      <c r="K1675" s="87">
        <v>23</v>
      </c>
      <c r="L1675" s="87"/>
      <c r="M1675" s="87"/>
      <c r="N1675" s="87"/>
      <c r="O1675" s="87"/>
      <c r="P1675" s="87">
        <v>1</v>
      </c>
      <c r="Q1675" s="87"/>
      <c r="R1675" s="87"/>
      <c r="S1675" s="87"/>
      <c r="T1675" s="87"/>
      <c r="U1675" s="88"/>
      <c r="V1675" s="89"/>
      <c r="W1675" s="96">
        <v>0</v>
      </c>
      <c r="X1675" s="71">
        <f>CU1675</f>
        <v>0</v>
      </c>
      <c r="Y1675" s="71">
        <f>CY1675</f>
        <v>0</v>
      </c>
      <c r="Z1675" s="71">
        <f>DA1675+DC1675+DE1675</f>
        <v>0</v>
      </c>
      <c r="AA1675" s="71">
        <f>CW1675</f>
        <v>0</v>
      </c>
      <c r="AB1675" s="71"/>
      <c r="AC1675" s="71">
        <v>0</v>
      </c>
      <c r="AD1675" s="71">
        <f>W1675+X1675+Y1675+Z1675+AA1675+AB1675+AC1675</f>
        <v>0</v>
      </c>
      <c r="AE1675" s="72">
        <v>0</v>
      </c>
      <c r="AF1675" s="5"/>
      <c r="AG1675" s="6"/>
      <c r="AH1675" s="27" t="s">
        <v>3392</v>
      </c>
      <c r="AI1675" s="44" t="s">
        <v>3393</v>
      </c>
      <c r="AJ1675" s="26"/>
      <c r="AK1675" s="5"/>
      <c r="AL1675" s="82" t="s">
        <v>4502</v>
      </c>
      <c r="AM1675" s="76"/>
      <c r="AN1675" s="76"/>
      <c r="AO1675" s="76"/>
      <c r="AP1675" s="76"/>
      <c r="AQ1675" s="76"/>
      <c r="AR1675" s="76"/>
      <c r="AS1675" s="76"/>
      <c r="AT1675" s="76"/>
      <c r="AU1675" s="76"/>
      <c r="AV1675" s="76"/>
      <c r="AW1675" s="76"/>
      <c r="AX1675" s="76">
        <f>+AW1675*600000</f>
        <v>0</v>
      </c>
      <c r="AY1675" s="76"/>
      <c r="AZ1675" s="76">
        <f>+AY1675*70000</f>
        <v>0</v>
      </c>
      <c r="BA1675" s="76"/>
      <c r="BB1675" s="76"/>
      <c r="BC1675" s="76"/>
      <c r="BD1675" s="76">
        <f>+BC1675*30000</f>
        <v>0</v>
      </c>
      <c r="BE1675" s="76"/>
      <c r="BF1675" s="76"/>
      <c r="BG1675" s="76"/>
      <c r="BH1675" s="76"/>
      <c r="BI1675" s="76"/>
      <c r="BJ1675" s="76"/>
      <c r="BK1675" s="76"/>
      <c r="BL1675" s="76">
        <f>+BK1675*31500</f>
        <v>0</v>
      </c>
      <c r="BM1675" s="76"/>
      <c r="BN1675" s="76"/>
      <c r="BO1675" s="76"/>
      <c r="BP1675" s="76"/>
      <c r="BQ1675" s="76"/>
      <c r="BR1675" s="76"/>
      <c r="BS1675" s="76"/>
      <c r="BT1675" s="76"/>
      <c r="BU1675" s="76"/>
      <c r="BV1675" s="76"/>
      <c r="BW1675" s="76"/>
      <c r="BX1675" s="76"/>
      <c r="BY1675" s="76"/>
      <c r="BZ1675" s="76"/>
      <c r="CA1675" s="76"/>
      <c r="CB1675" s="76"/>
      <c r="CC1675" s="76"/>
      <c r="CD1675" s="76"/>
      <c r="CE1675" s="76"/>
      <c r="CF1675" s="76">
        <f>+CE1675*28000</f>
        <v>0</v>
      </c>
      <c r="CG1675" s="76"/>
      <c r="CH1675" s="76">
        <f>+CG1675*22500</f>
        <v>0</v>
      </c>
      <c r="CI1675" s="76"/>
      <c r="CJ1675" s="76">
        <f>+CI1675*26000</f>
        <v>0</v>
      </c>
      <c r="CK1675" s="76"/>
      <c r="CL1675" s="76"/>
      <c r="CM1675" s="76"/>
      <c r="CN1675" s="76">
        <f>+CM1675*22000</f>
        <v>0</v>
      </c>
      <c r="CO1675" s="76"/>
      <c r="CP1675" s="76">
        <f>+CO1675*46000</f>
        <v>0</v>
      </c>
      <c r="CQ1675" s="76"/>
      <c r="CR1675" s="76">
        <f>+CQ1675*49000</f>
        <v>0</v>
      </c>
      <c r="CS1675" s="76"/>
      <c r="CT1675" s="76"/>
      <c r="CU1675" s="56">
        <f>AN1675+AP1675+AR1675+AT1675+AV1675+AX1675+AZ1675+BB1675+BD1675+BF1675+BH1675+BJ1675+BL1675+BN1675+BP1675+BR1675+BT1675+BV1675+BX1675+BZ1675+CB1675+CD1675+CF1675+CH1675+CJ1675+CL1675+CN1675+CP1675+CR1675+CT1675</f>
        <v>0</v>
      </c>
      <c r="CV1675" s="76"/>
      <c r="CW1675" s="76">
        <f>+CV1675*1100</f>
        <v>0</v>
      </c>
      <c r="CX1675" s="76"/>
      <c r="CY1675" s="76">
        <f>+CX1675*106250</f>
        <v>0</v>
      </c>
      <c r="CZ1675" s="76"/>
      <c r="DA1675" s="76">
        <f>+CZ1675*34500</f>
        <v>0</v>
      </c>
      <c r="DB1675" s="76"/>
      <c r="DC1675" s="76">
        <f>+DB1675*25000</f>
        <v>0</v>
      </c>
      <c r="DD1675" s="219"/>
      <c r="DE1675" s="219"/>
      <c r="DF1675" s="166"/>
      <c r="DG1675" s="116"/>
      <c r="DH1675" s="117"/>
      <c r="DI1675" s="24"/>
      <c r="DJ1675" s="24"/>
      <c r="DK1675" s="24"/>
      <c r="DL1675" s="24"/>
      <c r="DM1675" s="24"/>
      <c r="DN1675" s="24"/>
      <c r="DO1675" s="24"/>
      <c r="DP1675" s="24"/>
      <c r="DQ1675" s="24"/>
      <c r="DR1675" s="24"/>
      <c r="DS1675" s="24"/>
      <c r="DT1675" s="24"/>
      <c r="DU1675" s="24"/>
    </row>
    <row r="1676" spans="1:125" s="8" customFormat="1" ht="36" x14ac:dyDescent="0.2">
      <c r="A1676" s="77">
        <v>41396</v>
      </c>
      <c r="B1676" s="78" t="s">
        <v>2851</v>
      </c>
      <c r="C1676" s="75" t="s">
        <v>1949</v>
      </c>
      <c r="D1676" s="75" t="s">
        <v>3051</v>
      </c>
      <c r="E1676" s="75" t="str">
        <f>VLOOKUP(B1676&amp;C1676,Divipola!$C$2:$F$1138,4,FALSE)</f>
        <v>76318</v>
      </c>
      <c r="F1676" s="163"/>
      <c r="G1676" s="163"/>
      <c r="H1676" s="163"/>
      <c r="I1676" s="163">
        <f>36*5</f>
        <v>180</v>
      </c>
      <c r="J1676" s="163">
        <v>36</v>
      </c>
      <c r="K1676" s="163"/>
      <c r="L1676" s="163">
        <v>36</v>
      </c>
      <c r="M1676" s="163"/>
      <c r="N1676" s="163"/>
      <c r="O1676" s="163"/>
      <c r="P1676" s="163"/>
      <c r="Q1676" s="163"/>
      <c r="R1676" s="163"/>
      <c r="S1676" s="163"/>
      <c r="T1676" s="163"/>
      <c r="U1676" s="163"/>
      <c r="V1676" s="134"/>
      <c r="W1676" s="96">
        <v>0</v>
      </c>
      <c r="X1676" s="71">
        <f>CU1676</f>
        <v>5679916.7999999998</v>
      </c>
      <c r="Y1676" s="71">
        <f>CY1676</f>
        <v>4207620.8</v>
      </c>
      <c r="Z1676" s="71">
        <f>DA1676+DC1676+DE1676</f>
        <v>29818032</v>
      </c>
      <c r="AA1676" s="71">
        <f>CW1676</f>
        <v>0</v>
      </c>
      <c r="AB1676" s="71"/>
      <c r="AC1676" s="71">
        <v>0</v>
      </c>
      <c r="AD1676" s="71">
        <f>W1676+X1676+Y1676+Z1676+AA1676+AB1676+AC1676</f>
        <v>39705569.600000001</v>
      </c>
      <c r="AE1676" s="72">
        <v>0</v>
      </c>
      <c r="AF1676" s="5"/>
      <c r="AG1676" s="6"/>
      <c r="AH1676" s="27" t="s">
        <v>3390</v>
      </c>
      <c r="AI1676" s="44" t="s">
        <v>3391</v>
      </c>
      <c r="AJ1676" s="26"/>
      <c r="AK1676" s="5"/>
      <c r="AL1676" s="82" t="s">
        <v>4738</v>
      </c>
      <c r="AM1676" s="76"/>
      <c r="AN1676" s="76"/>
      <c r="AO1676" s="76"/>
      <c r="AP1676" s="76"/>
      <c r="AQ1676" s="76"/>
      <c r="AR1676" s="76"/>
      <c r="AS1676" s="76"/>
      <c r="AT1676" s="76"/>
      <c r="AU1676" s="76"/>
      <c r="AV1676" s="76"/>
      <c r="AW1676" s="76"/>
      <c r="AX1676" s="76">
        <f>+AW1676*600000</f>
        <v>0</v>
      </c>
      <c r="AY1676" s="86">
        <v>40</v>
      </c>
      <c r="AZ1676" s="86">
        <f>+AY1676*69999.04</f>
        <v>2799961.5999999996</v>
      </c>
      <c r="BA1676" s="76"/>
      <c r="BB1676" s="76"/>
      <c r="BC1676" s="76"/>
      <c r="BD1676" s="76">
        <f>+BC1676*30000</f>
        <v>0</v>
      </c>
      <c r="BE1676" s="76"/>
      <c r="BF1676" s="76"/>
      <c r="BG1676" s="76"/>
      <c r="BH1676" s="76"/>
      <c r="BI1676" s="76"/>
      <c r="BJ1676" s="76"/>
      <c r="BK1676" s="76"/>
      <c r="BL1676" s="76">
        <f>+BK1676*31500</f>
        <v>0</v>
      </c>
      <c r="BM1676" s="76"/>
      <c r="BN1676" s="76"/>
      <c r="BO1676" s="76"/>
      <c r="BP1676" s="76"/>
      <c r="BQ1676" s="76"/>
      <c r="BR1676" s="76"/>
      <c r="BS1676" s="76"/>
      <c r="BT1676" s="76"/>
      <c r="BU1676" s="76"/>
      <c r="BV1676" s="76"/>
      <c r="BW1676" s="76"/>
      <c r="BX1676" s="76"/>
      <c r="BY1676" s="76"/>
      <c r="BZ1676" s="76"/>
      <c r="CA1676" s="76"/>
      <c r="CB1676" s="76"/>
      <c r="CC1676" s="76"/>
      <c r="CD1676" s="76"/>
      <c r="CE1676" s="76"/>
      <c r="CF1676" s="76">
        <f>+CE1676*28000</f>
        <v>0</v>
      </c>
      <c r="CG1676" s="76"/>
      <c r="CH1676" s="76">
        <f>+CG1676*22500</f>
        <v>0</v>
      </c>
      <c r="CI1676" s="86">
        <v>40</v>
      </c>
      <c r="CJ1676" s="86">
        <f>+CI1676*25999.08</f>
        <v>1039963.2000000001</v>
      </c>
      <c r="CK1676" s="76"/>
      <c r="CL1676" s="76"/>
      <c r="CM1676" s="76"/>
      <c r="CN1676" s="76">
        <f>+CM1676*22000</f>
        <v>0</v>
      </c>
      <c r="CO1676" s="86">
        <v>40</v>
      </c>
      <c r="CP1676" s="86">
        <f>+CO1676*45999.8</f>
        <v>1839992</v>
      </c>
      <c r="CQ1676" s="76"/>
      <c r="CR1676" s="76">
        <f>+CQ1676*49000</f>
        <v>0</v>
      </c>
      <c r="CS1676" s="76"/>
      <c r="CT1676" s="76"/>
      <c r="CU1676" s="56">
        <f>AN1676+AP1676+AR1676+AT1676+AV1676+AX1676+AZ1676+BB1676+BD1676+BF1676+BH1676+BJ1676+BL1676+BN1676+BP1676+BR1676+BT1676+BV1676+BX1676+BZ1676+CB1676+CD1676+CF1676+CH1676+CJ1676+CL1676+CN1676+CP1676+CR1676+CT1676</f>
        <v>5679916.7999999998</v>
      </c>
      <c r="CV1676" s="76"/>
      <c r="CW1676" s="76">
        <f>+CV1676*1100</f>
        <v>0</v>
      </c>
      <c r="CX1676" s="86">
        <v>40</v>
      </c>
      <c r="CY1676" s="86">
        <f>+CX1676*105190.52</f>
        <v>4207620.8</v>
      </c>
      <c r="CZ1676" s="76"/>
      <c r="DA1676" s="76">
        <f>+CZ1676*34500</f>
        <v>0</v>
      </c>
      <c r="DB1676" s="86">
        <f>600+300</f>
        <v>900</v>
      </c>
      <c r="DC1676" s="86">
        <f>600*31999.76+2400*199.52+300*30999.84+1200*699.48</f>
        <v>29818032</v>
      </c>
      <c r="DD1676" s="219"/>
      <c r="DE1676" s="219"/>
      <c r="DF1676" s="166"/>
      <c r="DG1676" s="134" t="s">
        <v>5164</v>
      </c>
      <c r="DH1676" s="117"/>
      <c r="DI1676" s="24"/>
      <c r="DJ1676" s="24"/>
      <c r="DK1676" s="24"/>
      <c r="DL1676" s="24"/>
      <c r="DM1676" s="24"/>
      <c r="DN1676" s="24"/>
      <c r="DO1676" s="24"/>
      <c r="DP1676" s="24"/>
      <c r="DQ1676" s="24"/>
      <c r="DR1676" s="24"/>
      <c r="DS1676" s="24"/>
      <c r="DT1676" s="24"/>
      <c r="DU1676" s="24"/>
    </row>
    <row r="1677" spans="1:125" s="8" customFormat="1" ht="72" x14ac:dyDescent="0.2">
      <c r="A1677" s="353">
        <v>41396</v>
      </c>
      <c r="B1677" s="352" t="s">
        <v>2851</v>
      </c>
      <c r="C1677" s="354" t="s">
        <v>2667</v>
      </c>
      <c r="D1677" s="354" t="s">
        <v>3635</v>
      </c>
      <c r="E1677" s="75" t="str">
        <f>VLOOKUP(B1677&amp;C1677,Divipola!$C$2:$F$1138,4,FALSE)</f>
        <v>76364</v>
      </c>
      <c r="F1677" s="87">
        <v>1</v>
      </c>
      <c r="G1677" s="87"/>
      <c r="H1677" s="87"/>
      <c r="I1677" s="87"/>
      <c r="J1677" s="87"/>
      <c r="K1677" s="87"/>
      <c r="L1677" s="87"/>
      <c r="M1677" s="87"/>
      <c r="N1677" s="87"/>
      <c r="O1677" s="87"/>
      <c r="P1677" s="87"/>
      <c r="Q1677" s="87"/>
      <c r="R1677" s="87"/>
      <c r="S1677" s="87"/>
      <c r="T1677" s="87"/>
      <c r="U1677" s="88"/>
      <c r="V1677" s="89"/>
      <c r="W1677" s="96">
        <v>0</v>
      </c>
      <c r="X1677" s="71">
        <f>CU1677</f>
        <v>0</v>
      </c>
      <c r="Y1677" s="71">
        <f>CY1677</f>
        <v>0</v>
      </c>
      <c r="Z1677" s="71">
        <f>DA1677+DC1677+DE1677</f>
        <v>0</v>
      </c>
      <c r="AA1677" s="71">
        <f>CW1677</f>
        <v>0</v>
      </c>
      <c r="AB1677" s="71"/>
      <c r="AC1677" s="71">
        <v>0</v>
      </c>
      <c r="AD1677" s="71">
        <f>W1677+X1677+Y1677+Z1677+AA1677+AB1677+AC1677</f>
        <v>0</v>
      </c>
      <c r="AE1677" s="72">
        <v>0</v>
      </c>
      <c r="AF1677" s="5"/>
      <c r="AG1677" s="6"/>
      <c r="AH1677" s="27" t="s">
        <v>3392</v>
      </c>
      <c r="AI1677" s="44" t="s">
        <v>3393</v>
      </c>
      <c r="AJ1677" s="26"/>
      <c r="AK1677" s="5"/>
      <c r="AL1677" s="82" t="s">
        <v>4518</v>
      </c>
      <c r="AM1677" s="76"/>
      <c r="AN1677" s="76"/>
      <c r="AO1677" s="76"/>
      <c r="AP1677" s="76"/>
      <c r="AQ1677" s="76"/>
      <c r="AR1677" s="76"/>
      <c r="AS1677" s="76"/>
      <c r="AT1677" s="76"/>
      <c r="AU1677" s="76"/>
      <c r="AV1677" s="76"/>
      <c r="AW1677" s="76"/>
      <c r="AX1677" s="76">
        <f>+AW1677*600000</f>
        <v>0</v>
      </c>
      <c r="AY1677" s="76"/>
      <c r="AZ1677" s="76">
        <f>+AY1677*70000</f>
        <v>0</v>
      </c>
      <c r="BA1677" s="76"/>
      <c r="BB1677" s="76"/>
      <c r="BC1677" s="76"/>
      <c r="BD1677" s="76">
        <f>+BC1677*30000</f>
        <v>0</v>
      </c>
      <c r="BE1677" s="76"/>
      <c r="BF1677" s="76"/>
      <c r="BG1677" s="76"/>
      <c r="BH1677" s="76"/>
      <c r="BI1677" s="76"/>
      <c r="BJ1677" s="76"/>
      <c r="BK1677" s="76"/>
      <c r="BL1677" s="76">
        <f>+BK1677*31500</f>
        <v>0</v>
      </c>
      <c r="BM1677" s="76"/>
      <c r="BN1677" s="76"/>
      <c r="BO1677" s="76"/>
      <c r="BP1677" s="76"/>
      <c r="BQ1677" s="76"/>
      <c r="BR1677" s="76"/>
      <c r="BS1677" s="76"/>
      <c r="BT1677" s="76"/>
      <c r="BU1677" s="76"/>
      <c r="BV1677" s="76"/>
      <c r="BW1677" s="76"/>
      <c r="BX1677" s="76"/>
      <c r="BY1677" s="76"/>
      <c r="BZ1677" s="76"/>
      <c r="CA1677" s="76"/>
      <c r="CB1677" s="76"/>
      <c r="CC1677" s="76"/>
      <c r="CD1677" s="76"/>
      <c r="CE1677" s="76"/>
      <c r="CF1677" s="76">
        <f>+CE1677*28000</f>
        <v>0</v>
      </c>
      <c r="CG1677" s="76"/>
      <c r="CH1677" s="76">
        <f>+CG1677*22500</f>
        <v>0</v>
      </c>
      <c r="CI1677" s="76"/>
      <c r="CJ1677" s="76">
        <f>+CI1677*26000</f>
        <v>0</v>
      </c>
      <c r="CK1677" s="76"/>
      <c r="CL1677" s="76"/>
      <c r="CM1677" s="76"/>
      <c r="CN1677" s="76">
        <f>+CM1677*22000</f>
        <v>0</v>
      </c>
      <c r="CO1677" s="76"/>
      <c r="CP1677" s="76">
        <f>+CO1677*46000</f>
        <v>0</v>
      </c>
      <c r="CQ1677" s="76"/>
      <c r="CR1677" s="76">
        <f>+CQ1677*49000</f>
        <v>0</v>
      </c>
      <c r="CS1677" s="76"/>
      <c r="CT1677" s="76"/>
      <c r="CU1677" s="56">
        <f>AN1677+AP1677+AR1677+AT1677+AV1677+AX1677+AZ1677+BB1677+BD1677+BF1677+BH1677+BJ1677+BL1677+BN1677+BP1677+BR1677+BT1677+BV1677+BX1677+BZ1677+CB1677+CD1677+CF1677+CH1677+CJ1677+CL1677+CN1677+CP1677+CR1677+CT1677</f>
        <v>0</v>
      </c>
      <c r="CV1677" s="76"/>
      <c r="CW1677" s="76">
        <f>+CV1677*1100</f>
        <v>0</v>
      </c>
      <c r="CX1677" s="76"/>
      <c r="CY1677" s="76">
        <f>+CX1677*106250</f>
        <v>0</v>
      </c>
      <c r="CZ1677" s="76"/>
      <c r="DA1677" s="76">
        <f>+CZ1677*34500</f>
        <v>0</v>
      </c>
      <c r="DB1677" s="76"/>
      <c r="DC1677" s="76">
        <f>+DB1677*25000</f>
        <v>0</v>
      </c>
      <c r="DD1677" s="219"/>
      <c r="DE1677" s="219"/>
      <c r="DF1677" s="166"/>
      <c r="DG1677" s="116"/>
      <c r="DH1677" s="117"/>
      <c r="DI1677" s="24"/>
      <c r="DJ1677" s="24"/>
      <c r="DK1677" s="24"/>
      <c r="DL1677" s="24"/>
      <c r="DM1677" s="24"/>
      <c r="DN1677" s="24"/>
      <c r="DO1677" s="24"/>
      <c r="DP1677" s="24"/>
      <c r="DQ1677" s="24"/>
      <c r="DR1677" s="24"/>
      <c r="DS1677" s="24"/>
      <c r="DT1677" s="24"/>
      <c r="DU1677" s="24"/>
    </row>
    <row r="1678" spans="1:125" s="8" customFormat="1" ht="48" x14ac:dyDescent="0.2">
      <c r="A1678" s="353">
        <v>41397</v>
      </c>
      <c r="B1678" s="352" t="s">
        <v>2894</v>
      </c>
      <c r="C1678" s="354" t="s">
        <v>2412</v>
      </c>
      <c r="D1678" s="354" t="s">
        <v>2859</v>
      </c>
      <c r="E1678" s="75" t="str">
        <f>VLOOKUP(B1678&amp;C1678,Divipola!$C$2:$F$1138,4,FALSE)</f>
        <v>05154</v>
      </c>
      <c r="F1678" s="87"/>
      <c r="G1678" s="87"/>
      <c r="H1678" s="87"/>
      <c r="I1678" s="87">
        <v>65</v>
      </c>
      <c r="J1678" s="87">
        <v>13</v>
      </c>
      <c r="K1678" s="87">
        <v>13</v>
      </c>
      <c r="L1678" s="87"/>
      <c r="M1678" s="87"/>
      <c r="N1678" s="87"/>
      <c r="O1678" s="87"/>
      <c r="P1678" s="87"/>
      <c r="Q1678" s="87"/>
      <c r="R1678" s="87"/>
      <c r="S1678" s="87"/>
      <c r="T1678" s="87">
        <v>1</v>
      </c>
      <c r="U1678" s="88"/>
      <c r="V1678" s="89"/>
      <c r="W1678" s="96">
        <v>0</v>
      </c>
      <c r="X1678" s="71">
        <f>CU1678</f>
        <v>0</v>
      </c>
      <c r="Y1678" s="71">
        <f>CY1678</f>
        <v>0</v>
      </c>
      <c r="Z1678" s="71">
        <f>DA1678+DC1678+DE1678</f>
        <v>0</v>
      </c>
      <c r="AA1678" s="71">
        <f>CW1678</f>
        <v>0</v>
      </c>
      <c r="AB1678" s="71"/>
      <c r="AC1678" s="71">
        <v>0</v>
      </c>
      <c r="AD1678" s="71">
        <f>W1678+X1678+Y1678+Z1678+AA1678+AB1678+AC1678</f>
        <v>0</v>
      </c>
      <c r="AE1678" s="72">
        <v>0</v>
      </c>
      <c r="AF1678" s="5"/>
      <c r="AG1678" s="6"/>
      <c r="AH1678" s="27" t="s">
        <v>3392</v>
      </c>
      <c r="AI1678" s="44" t="s">
        <v>3393</v>
      </c>
      <c r="AJ1678" s="26"/>
      <c r="AK1678" s="5"/>
      <c r="AL1678" s="82" t="s">
        <v>4503</v>
      </c>
      <c r="AM1678" s="76"/>
      <c r="AN1678" s="76"/>
      <c r="AO1678" s="76"/>
      <c r="AP1678" s="76"/>
      <c r="AQ1678" s="76"/>
      <c r="AR1678" s="76"/>
      <c r="AS1678" s="76"/>
      <c r="AT1678" s="76"/>
      <c r="AU1678" s="76"/>
      <c r="AV1678" s="76"/>
      <c r="AW1678" s="76"/>
      <c r="AX1678" s="76">
        <f>+AW1678*600000</f>
        <v>0</v>
      </c>
      <c r="AY1678" s="76"/>
      <c r="AZ1678" s="76">
        <f>+AY1678*70000</f>
        <v>0</v>
      </c>
      <c r="BA1678" s="76"/>
      <c r="BB1678" s="76"/>
      <c r="BC1678" s="76"/>
      <c r="BD1678" s="76">
        <f>+BC1678*30000</f>
        <v>0</v>
      </c>
      <c r="BE1678" s="76"/>
      <c r="BF1678" s="76"/>
      <c r="BG1678" s="76"/>
      <c r="BH1678" s="76"/>
      <c r="BI1678" s="76"/>
      <c r="BJ1678" s="76"/>
      <c r="BK1678" s="76"/>
      <c r="BL1678" s="76">
        <f>+BK1678*31500</f>
        <v>0</v>
      </c>
      <c r="BM1678" s="76"/>
      <c r="BN1678" s="76"/>
      <c r="BO1678" s="76"/>
      <c r="BP1678" s="76"/>
      <c r="BQ1678" s="76"/>
      <c r="BR1678" s="76"/>
      <c r="BS1678" s="76"/>
      <c r="BT1678" s="76"/>
      <c r="BU1678" s="76"/>
      <c r="BV1678" s="76"/>
      <c r="BW1678" s="76"/>
      <c r="BX1678" s="76"/>
      <c r="BY1678" s="76"/>
      <c r="BZ1678" s="76"/>
      <c r="CA1678" s="76"/>
      <c r="CB1678" s="76"/>
      <c r="CC1678" s="76"/>
      <c r="CD1678" s="76"/>
      <c r="CE1678" s="76"/>
      <c r="CF1678" s="76">
        <f>+CE1678*28000</f>
        <v>0</v>
      </c>
      <c r="CG1678" s="76"/>
      <c r="CH1678" s="76">
        <f>+CG1678*22500</f>
        <v>0</v>
      </c>
      <c r="CI1678" s="76"/>
      <c r="CJ1678" s="76">
        <f>+CI1678*26000</f>
        <v>0</v>
      </c>
      <c r="CK1678" s="76"/>
      <c r="CL1678" s="76"/>
      <c r="CM1678" s="76"/>
      <c r="CN1678" s="76">
        <f>+CM1678*22000</f>
        <v>0</v>
      </c>
      <c r="CO1678" s="76"/>
      <c r="CP1678" s="76">
        <f>+CO1678*46000</f>
        <v>0</v>
      </c>
      <c r="CQ1678" s="76"/>
      <c r="CR1678" s="76">
        <f>+CQ1678*49000</f>
        <v>0</v>
      </c>
      <c r="CS1678" s="76"/>
      <c r="CT1678" s="76"/>
      <c r="CU1678" s="56">
        <f>AN1678+AP1678+AR1678+AT1678+AV1678+AX1678+AZ1678+BB1678+BD1678+BF1678+BH1678+BJ1678+BL1678+BN1678+BP1678+BR1678+BT1678+BV1678+BX1678+BZ1678+CB1678+CD1678+CF1678+CH1678+CJ1678+CL1678+CN1678+CP1678+CR1678+CT1678</f>
        <v>0</v>
      </c>
      <c r="CV1678" s="76"/>
      <c r="CW1678" s="76">
        <f>+CV1678*1100</f>
        <v>0</v>
      </c>
      <c r="CX1678" s="76"/>
      <c r="CY1678" s="76">
        <f>+CX1678*106250</f>
        <v>0</v>
      </c>
      <c r="CZ1678" s="76"/>
      <c r="DA1678" s="76">
        <f>+CZ1678*34500</f>
        <v>0</v>
      </c>
      <c r="DB1678" s="76"/>
      <c r="DC1678" s="76">
        <f>+DB1678*25000</f>
        <v>0</v>
      </c>
      <c r="DD1678" s="219"/>
      <c r="DE1678" s="219"/>
      <c r="DF1678" s="166"/>
      <c r="DG1678" s="116"/>
      <c r="DH1678" s="117"/>
      <c r="DI1678" s="24"/>
      <c r="DJ1678" s="24"/>
      <c r="DK1678" s="24"/>
      <c r="DL1678" s="24"/>
      <c r="DM1678" s="24"/>
      <c r="DN1678" s="24"/>
      <c r="DO1678" s="24"/>
      <c r="DP1678" s="24"/>
      <c r="DQ1678" s="24"/>
      <c r="DR1678" s="24"/>
      <c r="DS1678" s="24"/>
      <c r="DT1678" s="24"/>
      <c r="DU1678" s="24"/>
    </row>
    <row r="1679" spans="1:125" s="8" customFormat="1" ht="36" x14ac:dyDescent="0.2">
      <c r="A1679" s="77">
        <v>41397</v>
      </c>
      <c r="B1679" s="78" t="s">
        <v>2700</v>
      </c>
      <c r="C1679" s="75" t="s">
        <v>1700</v>
      </c>
      <c r="D1679" s="75" t="s">
        <v>3051</v>
      </c>
      <c r="E1679" s="75" t="str">
        <f>VLOOKUP(B1679&amp;C1679,Divipola!$C$2:$F$1138,4,FALSE)</f>
        <v>15238</v>
      </c>
      <c r="F1679" s="87"/>
      <c r="G1679" s="87"/>
      <c r="H1679" s="87"/>
      <c r="I1679" s="87">
        <v>150</v>
      </c>
      <c r="J1679" s="87">
        <v>30</v>
      </c>
      <c r="K1679" s="87"/>
      <c r="L1679" s="87">
        <v>30</v>
      </c>
      <c r="M1679" s="87"/>
      <c r="N1679" s="87"/>
      <c r="O1679" s="87"/>
      <c r="P1679" s="87"/>
      <c r="Q1679" s="87"/>
      <c r="R1679" s="87"/>
      <c r="S1679" s="87"/>
      <c r="T1679" s="87"/>
      <c r="U1679" s="88"/>
      <c r="V1679" s="89"/>
      <c r="W1679" s="96">
        <v>0</v>
      </c>
      <c r="X1679" s="71">
        <f>CU1679</f>
        <v>0</v>
      </c>
      <c r="Y1679" s="71">
        <f>CY1679</f>
        <v>0</v>
      </c>
      <c r="Z1679" s="71">
        <f>DA1679+DC1679+DE1679</f>
        <v>0</v>
      </c>
      <c r="AA1679" s="71">
        <f>CW1679</f>
        <v>0</v>
      </c>
      <c r="AB1679" s="71"/>
      <c r="AC1679" s="71">
        <v>0</v>
      </c>
      <c r="AD1679" s="71">
        <f>W1679+X1679+Y1679+Z1679+AA1679+AB1679+AC1679</f>
        <v>0</v>
      </c>
      <c r="AE1679" s="72">
        <v>0</v>
      </c>
      <c r="AF1679" s="5"/>
      <c r="AG1679" s="6"/>
      <c r="AH1679" s="27" t="s">
        <v>3392</v>
      </c>
      <c r="AI1679" s="44" t="s">
        <v>3393</v>
      </c>
      <c r="AJ1679" s="26"/>
      <c r="AK1679" s="5"/>
      <c r="AL1679" s="82" t="s">
        <v>4486</v>
      </c>
      <c r="AM1679" s="76"/>
      <c r="AN1679" s="76"/>
      <c r="AO1679" s="76"/>
      <c r="AP1679" s="76"/>
      <c r="AQ1679" s="76"/>
      <c r="AR1679" s="76"/>
      <c r="AS1679" s="76"/>
      <c r="AT1679" s="76"/>
      <c r="AU1679" s="76"/>
      <c r="AV1679" s="76"/>
      <c r="AW1679" s="76"/>
      <c r="AX1679" s="76">
        <f>+AW1679*600000</f>
        <v>0</v>
      </c>
      <c r="AY1679" s="76"/>
      <c r="AZ1679" s="76">
        <f>+AY1679*70000</f>
        <v>0</v>
      </c>
      <c r="BA1679" s="76"/>
      <c r="BB1679" s="76"/>
      <c r="BC1679" s="76"/>
      <c r="BD1679" s="76">
        <f>+BC1679*30000</f>
        <v>0</v>
      </c>
      <c r="BE1679" s="76"/>
      <c r="BF1679" s="76"/>
      <c r="BG1679" s="76"/>
      <c r="BH1679" s="76"/>
      <c r="BI1679" s="76"/>
      <c r="BJ1679" s="76"/>
      <c r="BK1679" s="76"/>
      <c r="BL1679" s="76">
        <f>+BK1679*31500</f>
        <v>0</v>
      </c>
      <c r="BM1679" s="76"/>
      <c r="BN1679" s="76"/>
      <c r="BO1679" s="76"/>
      <c r="BP1679" s="76"/>
      <c r="BQ1679" s="76"/>
      <c r="BR1679" s="76"/>
      <c r="BS1679" s="76"/>
      <c r="BT1679" s="76"/>
      <c r="BU1679" s="76"/>
      <c r="BV1679" s="76"/>
      <c r="BW1679" s="76"/>
      <c r="BX1679" s="76"/>
      <c r="BY1679" s="76"/>
      <c r="BZ1679" s="76"/>
      <c r="CA1679" s="76"/>
      <c r="CB1679" s="76"/>
      <c r="CC1679" s="76"/>
      <c r="CD1679" s="76"/>
      <c r="CE1679" s="76"/>
      <c r="CF1679" s="76">
        <f>+CE1679*28000</f>
        <v>0</v>
      </c>
      <c r="CG1679" s="76"/>
      <c r="CH1679" s="76">
        <f>+CG1679*22500</f>
        <v>0</v>
      </c>
      <c r="CI1679" s="76"/>
      <c r="CJ1679" s="76">
        <f>+CI1679*26000</f>
        <v>0</v>
      </c>
      <c r="CK1679" s="76"/>
      <c r="CL1679" s="76"/>
      <c r="CM1679" s="76"/>
      <c r="CN1679" s="76">
        <f>+CM1679*22000</f>
        <v>0</v>
      </c>
      <c r="CO1679" s="76"/>
      <c r="CP1679" s="76">
        <f>+CO1679*46000</f>
        <v>0</v>
      </c>
      <c r="CQ1679" s="76"/>
      <c r="CR1679" s="76">
        <f>+CQ1679*49000</f>
        <v>0</v>
      </c>
      <c r="CS1679" s="76"/>
      <c r="CT1679" s="76"/>
      <c r="CU1679" s="56">
        <f>AN1679+AP1679+AR1679+AT1679+AV1679+AX1679+AZ1679+BB1679+BD1679+BF1679+BH1679+BJ1679+BL1679+BN1679+BP1679+BR1679+BT1679+BV1679+BX1679+BZ1679+CB1679+CD1679+CF1679+CH1679+CJ1679+CL1679+CN1679+CP1679+CR1679+CT1679</f>
        <v>0</v>
      </c>
      <c r="CV1679" s="76"/>
      <c r="CW1679" s="76">
        <f>+CV1679*1100</f>
        <v>0</v>
      </c>
      <c r="CX1679" s="76"/>
      <c r="CY1679" s="76">
        <f>+CX1679*106250</f>
        <v>0</v>
      </c>
      <c r="CZ1679" s="76"/>
      <c r="DA1679" s="76">
        <f>+CZ1679*34500</f>
        <v>0</v>
      </c>
      <c r="DB1679" s="76"/>
      <c r="DC1679" s="76">
        <f>+DB1679*25000</f>
        <v>0</v>
      </c>
      <c r="DD1679" s="219"/>
      <c r="DE1679" s="219"/>
      <c r="DF1679" s="166"/>
      <c r="DG1679" s="116"/>
      <c r="DH1679" s="117"/>
      <c r="DI1679" s="24"/>
      <c r="DJ1679" s="24"/>
      <c r="DK1679" s="24"/>
      <c r="DL1679" s="24"/>
      <c r="DM1679" s="24"/>
      <c r="DN1679" s="24"/>
      <c r="DO1679" s="24"/>
      <c r="DP1679" s="24"/>
      <c r="DQ1679" s="24"/>
      <c r="DR1679" s="24"/>
      <c r="DS1679" s="24"/>
      <c r="DT1679" s="24"/>
      <c r="DU1679" s="24"/>
    </row>
    <row r="1680" spans="1:125" s="8" customFormat="1" ht="48" x14ac:dyDescent="0.2">
      <c r="A1680" s="226">
        <v>41397</v>
      </c>
      <c r="B1680" s="352" t="s">
        <v>2700</v>
      </c>
      <c r="C1680" s="227" t="s">
        <v>1364</v>
      </c>
      <c r="D1680" s="354" t="s">
        <v>3088</v>
      </c>
      <c r="E1680" s="75" t="str">
        <f>VLOOKUP(B1680&amp;C1680,Divipola!$C$2:$F$1138,4,FALSE)</f>
        <v>15332</v>
      </c>
      <c r="F1680" s="87"/>
      <c r="G1680" s="87"/>
      <c r="H1680" s="87"/>
      <c r="I1680" s="87"/>
      <c r="J1680" s="87"/>
      <c r="K1680" s="87"/>
      <c r="L1680" s="87"/>
      <c r="M1680" s="87">
        <v>1</v>
      </c>
      <c r="N1680" s="87"/>
      <c r="O1680" s="87"/>
      <c r="P1680" s="87"/>
      <c r="Q1680" s="87"/>
      <c r="R1680" s="87"/>
      <c r="S1680" s="87"/>
      <c r="T1680" s="87"/>
      <c r="U1680" s="88"/>
      <c r="V1680" s="89"/>
      <c r="W1680" s="96">
        <v>0</v>
      </c>
      <c r="X1680" s="71">
        <f>CU1680</f>
        <v>0</v>
      </c>
      <c r="Y1680" s="71">
        <f>CY1680</f>
        <v>0</v>
      </c>
      <c r="Z1680" s="71">
        <f>DA1680+DC1680+DE1680</f>
        <v>0</v>
      </c>
      <c r="AA1680" s="71">
        <f>CW1680</f>
        <v>0</v>
      </c>
      <c r="AB1680" s="71"/>
      <c r="AC1680" s="71">
        <v>0</v>
      </c>
      <c r="AD1680" s="71">
        <f>W1680+X1680+Y1680+Z1680+AA1680+AB1680+AC1680</f>
        <v>0</v>
      </c>
      <c r="AE1680" s="72">
        <v>0</v>
      </c>
      <c r="AF1680" s="5"/>
      <c r="AG1680" s="6"/>
      <c r="AH1680" s="27" t="s">
        <v>3392</v>
      </c>
      <c r="AI1680" s="44" t="s">
        <v>3393</v>
      </c>
      <c r="AJ1680" s="26"/>
      <c r="AK1680" s="5"/>
      <c r="AL1680" s="82" t="s">
        <v>4505</v>
      </c>
      <c r="AM1680" s="76"/>
      <c r="AN1680" s="76"/>
      <c r="AO1680" s="76"/>
      <c r="AP1680" s="76"/>
      <c r="AQ1680" s="76"/>
      <c r="AR1680" s="76"/>
      <c r="AS1680" s="76"/>
      <c r="AT1680" s="76"/>
      <c r="AU1680" s="76"/>
      <c r="AV1680" s="76"/>
      <c r="AW1680" s="76"/>
      <c r="AX1680" s="76">
        <f>+AW1680*600000</f>
        <v>0</v>
      </c>
      <c r="AY1680" s="76"/>
      <c r="AZ1680" s="76">
        <f>+AY1680*70000</f>
        <v>0</v>
      </c>
      <c r="BA1680" s="76"/>
      <c r="BB1680" s="76"/>
      <c r="BC1680" s="76"/>
      <c r="BD1680" s="76">
        <f>+BC1680*30000</f>
        <v>0</v>
      </c>
      <c r="BE1680" s="76"/>
      <c r="BF1680" s="76"/>
      <c r="BG1680" s="76"/>
      <c r="BH1680" s="76"/>
      <c r="BI1680" s="76"/>
      <c r="BJ1680" s="76"/>
      <c r="BK1680" s="76"/>
      <c r="BL1680" s="76">
        <f>+BK1680*31500</f>
        <v>0</v>
      </c>
      <c r="BM1680" s="76"/>
      <c r="BN1680" s="76"/>
      <c r="BO1680" s="76"/>
      <c r="BP1680" s="76"/>
      <c r="BQ1680" s="76"/>
      <c r="BR1680" s="76"/>
      <c r="BS1680" s="76"/>
      <c r="BT1680" s="76"/>
      <c r="BU1680" s="76"/>
      <c r="BV1680" s="76"/>
      <c r="BW1680" s="76"/>
      <c r="BX1680" s="76"/>
      <c r="BY1680" s="76"/>
      <c r="BZ1680" s="76"/>
      <c r="CA1680" s="76"/>
      <c r="CB1680" s="76"/>
      <c r="CC1680" s="76"/>
      <c r="CD1680" s="76"/>
      <c r="CE1680" s="76"/>
      <c r="CF1680" s="76">
        <f>+CE1680*28000</f>
        <v>0</v>
      </c>
      <c r="CG1680" s="76"/>
      <c r="CH1680" s="76">
        <f>+CG1680*22500</f>
        <v>0</v>
      </c>
      <c r="CI1680" s="76"/>
      <c r="CJ1680" s="76">
        <f>+CI1680*26000</f>
        <v>0</v>
      </c>
      <c r="CK1680" s="76"/>
      <c r="CL1680" s="76"/>
      <c r="CM1680" s="76"/>
      <c r="CN1680" s="76">
        <f>+CM1680*22000</f>
        <v>0</v>
      </c>
      <c r="CO1680" s="76"/>
      <c r="CP1680" s="76">
        <f>+CO1680*46000</f>
        <v>0</v>
      </c>
      <c r="CQ1680" s="76"/>
      <c r="CR1680" s="76">
        <f>+CQ1680*49000</f>
        <v>0</v>
      </c>
      <c r="CS1680" s="76"/>
      <c r="CT1680" s="76"/>
      <c r="CU1680" s="56">
        <f>AN1680+AP1680+AR1680+AT1680+AV1680+AX1680+AZ1680+BB1680+BD1680+BF1680+BH1680+BJ1680+BL1680+BN1680+BP1680+BR1680+BT1680+BV1680+BX1680+BZ1680+CB1680+CD1680+CF1680+CH1680+CJ1680+CL1680+CN1680+CP1680+CR1680+CT1680</f>
        <v>0</v>
      </c>
      <c r="CV1680" s="76"/>
      <c r="CW1680" s="76">
        <f>+CV1680*1100</f>
        <v>0</v>
      </c>
      <c r="CX1680" s="76"/>
      <c r="CY1680" s="76">
        <f>+CX1680*106250</f>
        <v>0</v>
      </c>
      <c r="CZ1680" s="76"/>
      <c r="DA1680" s="76">
        <f>+CZ1680*34500</f>
        <v>0</v>
      </c>
      <c r="DB1680" s="76"/>
      <c r="DC1680" s="76">
        <f>+DB1680*25000</f>
        <v>0</v>
      </c>
      <c r="DD1680" s="219"/>
      <c r="DE1680" s="219"/>
      <c r="DF1680" s="166"/>
      <c r="DG1680" s="116"/>
      <c r="DH1680" s="117"/>
      <c r="DI1680" s="24"/>
      <c r="DJ1680" s="24"/>
      <c r="DK1680" s="24"/>
      <c r="DL1680" s="24"/>
      <c r="DM1680" s="24"/>
      <c r="DN1680" s="24"/>
      <c r="DO1680" s="24"/>
      <c r="DP1680" s="24"/>
      <c r="DQ1680" s="24"/>
      <c r="DR1680" s="24"/>
      <c r="DS1680" s="24"/>
      <c r="DT1680" s="24"/>
      <c r="DU1680" s="24"/>
    </row>
    <row r="1681" spans="1:125" s="8" customFormat="1" ht="72" x14ac:dyDescent="0.2">
      <c r="A1681" s="226">
        <v>41397</v>
      </c>
      <c r="B1681" s="208" t="s">
        <v>2700</v>
      </c>
      <c r="C1681" s="354" t="s">
        <v>2217</v>
      </c>
      <c r="D1681" s="84" t="s">
        <v>3088</v>
      </c>
      <c r="E1681" s="75" t="str">
        <f>VLOOKUP(B1681&amp;C1681,Divipola!$C$2:$F$1138,4,FALSE)</f>
        <v>15469</v>
      </c>
      <c r="F1681" s="87"/>
      <c r="G1681" s="87"/>
      <c r="H1681" s="87"/>
      <c r="I1681" s="87"/>
      <c r="J1681" s="87"/>
      <c r="K1681" s="87"/>
      <c r="L1681" s="87"/>
      <c r="M1681" s="87">
        <v>1</v>
      </c>
      <c r="N1681" s="87"/>
      <c r="O1681" s="87"/>
      <c r="P1681" s="87"/>
      <c r="Q1681" s="87"/>
      <c r="R1681" s="87"/>
      <c r="S1681" s="87"/>
      <c r="T1681" s="87"/>
      <c r="U1681" s="88"/>
      <c r="V1681" s="89"/>
      <c r="W1681" s="96">
        <v>0</v>
      </c>
      <c r="X1681" s="71">
        <f>CU1681</f>
        <v>0</v>
      </c>
      <c r="Y1681" s="71">
        <f>CY1681</f>
        <v>0</v>
      </c>
      <c r="Z1681" s="71">
        <f>DA1681+DC1681+DE1681</f>
        <v>0</v>
      </c>
      <c r="AA1681" s="71">
        <f>CW1681</f>
        <v>0</v>
      </c>
      <c r="AB1681" s="71"/>
      <c r="AC1681" s="71">
        <v>0</v>
      </c>
      <c r="AD1681" s="71">
        <f>W1681+X1681+Y1681+Z1681+AA1681+AB1681+AC1681</f>
        <v>0</v>
      </c>
      <c r="AE1681" s="72">
        <v>0</v>
      </c>
      <c r="AF1681" s="5"/>
      <c r="AG1681" s="6"/>
      <c r="AH1681" s="27" t="s">
        <v>3392</v>
      </c>
      <c r="AI1681" s="44" t="s">
        <v>3393</v>
      </c>
      <c r="AJ1681" s="26"/>
      <c r="AK1681" s="5"/>
      <c r="AL1681" s="82" t="s">
        <v>4487</v>
      </c>
      <c r="AM1681" s="76"/>
      <c r="AN1681" s="76"/>
      <c r="AO1681" s="76"/>
      <c r="AP1681" s="76"/>
      <c r="AQ1681" s="76"/>
      <c r="AR1681" s="76"/>
      <c r="AS1681" s="76"/>
      <c r="AT1681" s="76"/>
      <c r="AU1681" s="76"/>
      <c r="AV1681" s="76"/>
      <c r="AW1681" s="76"/>
      <c r="AX1681" s="76">
        <f>+AW1681*600000</f>
        <v>0</v>
      </c>
      <c r="AY1681" s="76"/>
      <c r="AZ1681" s="76">
        <f>+AY1681*70000</f>
        <v>0</v>
      </c>
      <c r="BA1681" s="76"/>
      <c r="BB1681" s="76"/>
      <c r="BC1681" s="76"/>
      <c r="BD1681" s="76">
        <f>+BC1681*30000</f>
        <v>0</v>
      </c>
      <c r="BE1681" s="76"/>
      <c r="BF1681" s="76"/>
      <c r="BG1681" s="76"/>
      <c r="BH1681" s="76"/>
      <c r="BI1681" s="76"/>
      <c r="BJ1681" s="76"/>
      <c r="BK1681" s="76"/>
      <c r="BL1681" s="76">
        <f>+BK1681*31500</f>
        <v>0</v>
      </c>
      <c r="BM1681" s="76"/>
      <c r="BN1681" s="76"/>
      <c r="BO1681" s="76"/>
      <c r="BP1681" s="76"/>
      <c r="BQ1681" s="76"/>
      <c r="BR1681" s="76"/>
      <c r="BS1681" s="76"/>
      <c r="BT1681" s="76"/>
      <c r="BU1681" s="76"/>
      <c r="BV1681" s="76"/>
      <c r="BW1681" s="76"/>
      <c r="BX1681" s="76"/>
      <c r="BY1681" s="76"/>
      <c r="BZ1681" s="76"/>
      <c r="CA1681" s="76"/>
      <c r="CB1681" s="76"/>
      <c r="CC1681" s="76"/>
      <c r="CD1681" s="76"/>
      <c r="CE1681" s="76"/>
      <c r="CF1681" s="76">
        <f>+CE1681*28000</f>
        <v>0</v>
      </c>
      <c r="CG1681" s="76"/>
      <c r="CH1681" s="76">
        <f>+CG1681*22500</f>
        <v>0</v>
      </c>
      <c r="CI1681" s="76"/>
      <c r="CJ1681" s="76">
        <f>+CI1681*26000</f>
        <v>0</v>
      </c>
      <c r="CK1681" s="76"/>
      <c r="CL1681" s="76"/>
      <c r="CM1681" s="76"/>
      <c r="CN1681" s="76">
        <f>+CM1681*22000</f>
        <v>0</v>
      </c>
      <c r="CO1681" s="76"/>
      <c r="CP1681" s="76">
        <f>+CO1681*46000</f>
        <v>0</v>
      </c>
      <c r="CQ1681" s="76"/>
      <c r="CR1681" s="76">
        <f>+CQ1681*49000</f>
        <v>0</v>
      </c>
      <c r="CS1681" s="76"/>
      <c r="CT1681" s="76"/>
      <c r="CU1681" s="56">
        <f>AN1681+AP1681+AR1681+AT1681+AV1681+AX1681+AZ1681+BB1681+BD1681+BF1681+BH1681+BJ1681+BL1681+BN1681+BP1681+BR1681+BT1681+BV1681+BX1681+BZ1681+CB1681+CD1681+CF1681+CH1681+CJ1681+CL1681+CN1681+CP1681+CR1681+CT1681</f>
        <v>0</v>
      </c>
      <c r="CV1681" s="76"/>
      <c r="CW1681" s="76">
        <f>+CV1681*1100</f>
        <v>0</v>
      </c>
      <c r="CX1681" s="76"/>
      <c r="CY1681" s="76">
        <f>+CX1681*106250</f>
        <v>0</v>
      </c>
      <c r="CZ1681" s="76"/>
      <c r="DA1681" s="76">
        <f>+CZ1681*34500</f>
        <v>0</v>
      </c>
      <c r="DB1681" s="76"/>
      <c r="DC1681" s="76">
        <f>+DB1681*25000</f>
        <v>0</v>
      </c>
      <c r="DD1681" s="219"/>
      <c r="DE1681" s="219"/>
      <c r="DF1681" s="166"/>
      <c r="DG1681" s="116"/>
      <c r="DH1681" s="117"/>
      <c r="DI1681" s="24"/>
      <c r="DJ1681" s="24"/>
      <c r="DK1681" s="24"/>
      <c r="DL1681" s="24"/>
      <c r="DM1681" s="24"/>
      <c r="DN1681" s="24"/>
      <c r="DO1681" s="24"/>
      <c r="DP1681" s="24"/>
      <c r="DQ1681" s="24"/>
      <c r="DR1681" s="24"/>
      <c r="DS1681" s="24"/>
      <c r="DT1681" s="24"/>
      <c r="DU1681" s="24"/>
    </row>
    <row r="1682" spans="1:125" s="8" customFormat="1" ht="132" x14ac:dyDescent="0.2">
      <c r="A1682" s="353">
        <v>41397</v>
      </c>
      <c r="B1682" s="208" t="s">
        <v>2854</v>
      </c>
      <c r="C1682" s="354" t="s">
        <v>2738</v>
      </c>
      <c r="D1682" s="354" t="s">
        <v>4485</v>
      </c>
      <c r="E1682" s="75" t="str">
        <f>VLOOKUP(B1682&amp;C1682,Divipola!$C$2:$F$1138,4,FALSE)</f>
        <v>19473</v>
      </c>
      <c r="F1682" s="87">
        <v>1</v>
      </c>
      <c r="G1682" s="87">
        <v>1</v>
      </c>
      <c r="H1682" s="87"/>
      <c r="I1682" s="87"/>
      <c r="J1682" s="87"/>
      <c r="K1682" s="87"/>
      <c r="L1682" s="87"/>
      <c r="M1682" s="87"/>
      <c r="N1682" s="87"/>
      <c r="O1682" s="87"/>
      <c r="P1682" s="87"/>
      <c r="Q1682" s="87"/>
      <c r="R1682" s="87"/>
      <c r="S1682" s="87"/>
      <c r="T1682" s="87"/>
      <c r="U1682" s="88"/>
      <c r="V1682" s="89"/>
      <c r="W1682" s="96">
        <v>0</v>
      </c>
      <c r="X1682" s="71">
        <f>CU1682</f>
        <v>0</v>
      </c>
      <c r="Y1682" s="71">
        <f>CY1682</f>
        <v>0</v>
      </c>
      <c r="Z1682" s="71">
        <f>DA1682+DC1682+DE1682</f>
        <v>0</v>
      </c>
      <c r="AA1682" s="71">
        <f>CW1682</f>
        <v>0</v>
      </c>
      <c r="AB1682" s="71"/>
      <c r="AC1682" s="71">
        <v>0</v>
      </c>
      <c r="AD1682" s="71">
        <f>W1682+X1682+Y1682+Z1682+AA1682+AB1682+AC1682</f>
        <v>0</v>
      </c>
      <c r="AE1682" s="72">
        <v>0</v>
      </c>
      <c r="AF1682" s="5"/>
      <c r="AG1682" s="6"/>
      <c r="AH1682" s="27" t="s">
        <v>3392</v>
      </c>
      <c r="AI1682" s="44" t="s">
        <v>3393</v>
      </c>
      <c r="AJ1682" s="26"/>
      <c r="AK1682" s="5"/>
      <c r="AL1682" s="82" t="s">
        <v>4488</v>
      </c>
      <c r="AM1682" s="76"/>
      <c r="AN1682" s="76"/>
      <c r="AO1682" s="76"/>
      <c r="AP1682" s="76"/>
      <c r="AQ1682" s="76"/>
      <c r="AR1682" s="76"/>
      <c r="AS1682" s="76"/>
      <c r="AT1682" s="76"/>
      <c r="AU1682" s="76"/>
      <c r="AV1682" s="76"/>
      <c r="AW1682" s="76"/>
      <c r="AX1682" s="76">
        <f>+AW1682*600000</f>
        <v>0</v>
      </c>
      <c r="AY1682" s="76"/>
      <c r="AZ1682" s="76">
        <f>+AY1682*70000</f>
        <v>0</v>
      </c>
      <c r="BA1682" s="76"/>
      <c r="BB1682" s="76"/>
      <c r="BC1682" s="76"/>
      <c r="BD1682" s="76">
        <f>+BC1682*30000</f>
        <v>0</v>
      </c>
      <c r="BE1682" s="76"/>
      <c r="BF1682" s="76"/>
      <c r="BG1682" s="76"/>
      <c r="BH1682" s="76"/>
      <c r="BI1682" s="76"/>
      <c r="BJ1682" s="76"/>
      <c r="BK1682" s="76"/>
      <c r="BL1682" s="76">
        <f>+BK1682*31500</f>
        <v>0</v>
      </c>
      <c r="BM1682" s="76"/>
      <c r="BN1682" s="76"/>
      <c r="BO1682" s="76"/>
      <c r="BP1682" s="76"/>
      <c r="BQ1682" s="76"/>
      <c r="BR1682" s="76"/>
      <c r="BS1682" s="76"/>
      <c r="BT1682" s="76"/>
      <c r="BU1682" s="76"/>
      <c r="BV1682" s="76"/>
      <c r="BW1682" s="76"/>
      <c r="BX1682" s="76"/>
      <c r="BY1682" s="76"/>
      <c r="BZ1682" s="76"/>
      <c r="CA1682" s="76"/>
      <c r="CB1682" s="76"/>
      <c r="CC1682" s="76"/>
      <c r="CD1682" s="76"/>
      <c r="CE1682" s="76"/>
      <c r="CF1682" s="76">
        <f>+CE1682*28000</f>
        <v>0</v>
      </c>
      <c r="CG1682" s="76"/>
      <c r="CH1682" s="76">
        <f>+CG1682*22500</f>
        <v>0</v>
      </c>
      <c r="CI1682" s="76"/>
      <c r="CJ1682" s="76">
        <f>+CI1682*26000</f>
        <v>0</v>
      </c>
      <c r="CK1682" s="76"/>
      <c r="CL1682" s="76"/>
      <c r="CM1682" s="76"/>
      <c r="CN1682" s="76">
        <f>+CM1682*22000</f>
        <v>0</v>
      </c>
      <c r="CO1682" s="76"/>
      <c r="CP1682" s="76">
        <f>+CO1682*46000</f>
        <v>0</v>
      </c>
      <c r="CQ1682" s="76"/>
      <c r="CR1682" s="76">
        <f>+CQ1682*49000</f>
        <v>0</v>
      </c>
      <c r="CS1682" s="76"/>
      <c r="CT1682" s="76"/>
      <c r="CU1682" s="56">
        <f>AN1682+AP1682+AR1682+AT1682+AV1682+AX1682+AZ1682+BB1682+BD1682+BF1682+BH1682+BJ1682+BL1682+BN1682+BP1682+BR1682+BT1682+BV1682+BX1682+BZ1682+CB1682+CD1682+CF1682+CH1682+CJ1682+CL1682+CN1682+CP1682+CR1682+CT1682</f>
        <v>0</v>
      </c>
      <c r="CV1682" s="76"/>
      <c r="CW1682" s="76">
        <f>+CV1682*1100</f>
        <v>0</v>
      </c>
      <c r="CX1682" s="76"/>
      <c r="CY1682" s="76">
        <f>+CX1682*106250</f>
        <v>0</v>
      </c>
      <c r="CZ1682" s="76"/>
      <c r="DA1682" s="76">
        <f>+CZ1682*34500</f>
        <v>0</v>
      </c>
      <c r="DB1682" s="76"/>
      <c r="DC1682" s="76">
        <f>+DB1682*25000</f>
        <v>0</v>
      </c>
      <c r="DD1682" s="219"/>
      <c r="DE1682" s="219"/>
      <c r="DF1682" s="166"/>
      <c r="DG1682" s="116"/>
      <c r="DH1682" s="117"/>
      <c r="DI1682" s="24"/>
      <c r="DJ1682" s="24"/>
      <c r="DK1682" s="24"/>
      <c r="DL1682" s="24"/>
      <c r="DM1682" s="24"/>
      <c r="DN1682" s="24"/>
      <c r="DO1682" s="24"/>
      <c r="DP1682" s="24"/>
      <c r="DQ1682" s="24"/>
      <c r="DR1682" s="24"/>
      <c r="DS1682" s="24"/>
      <c r="DT1682" s="24"/>
      <c r="DU1682" s="24"/>
    </row>
    <row r="1683" spans="1:125" s="8" customFormat="1" ht="108" x14ac:dyDescent="0.2">
      <c r="A1683" s="226">
        <v>41397</v>
      </c>
      <c r="B1683" s="225" t="s">
        <v>2772</v>
      </c>
      <c r="C1683" s="227" t="s">
        <v>2190</v>
      </c>
      <c r="D1683" s="84" t="s">
        <v>3088</v>
      </c>
      <c r="E1683" s="75" t="str">
        <f>VLOOKUP(B1683&amp;C1683,Divipola!$C$2:$F$1138,4,FALSE)</f>
        <v>25148</v>
      </c>
      <c r="F1683" s="87"/>
      <c r="G1683" s="87"/>
      <c r="H1683" s="87"/>
      <c r="I1683" s="87"/>
      <c r="J1683" s="87"/>
      <c r="K1683" s="87"/>
      <c r="L1683" s="87"/>
      <c r="M1683" s="87"/>
      <c r="N1683" s="87"/>
      <c r="O1683" s="87"/>
      <c r="P1683" s="87">
        <v>1</v>
      </c>
      <c r="Q1683" s="87"/>
      <c r="R1683" s="87"/>
      <c r="S1683" s="87"/>
      <c r="T1683" s="87"/>
      <c r="U1683" s="88"/>
      <c r="V1683" s="89"/>
      <c r="W1683" s="96">
        <v>0</v>
      </c>
      <c r="X1683" s="71">
        <f>CU1683</f>
        <v>0</v>
      </c>
      <c r="Y1683" s="71">
        <f>CY1683</f>
        <v>0</v>
      </c>
      <c r="Z1683" s="71">
        <f>DA1683+DC1683+DE1683</f>
        <v>0</v>
      </c>
      <c r="AA1683" s="71">
        <f>CW1683</f>
        <v>0</v>
      </c>
      <c r="AB1683" s="71"/>
      <c r="AC1683" s="71">
        <v>0</v>
      </c>
      <c r="AD1683" s="71">
        <f>W1683+X1683+Y1683+Z1683+AA1683+AB1683+AC1683</f>
        <v>0</v>
      </c>
      <c r="AE1683" s="72">
        <v>0</v>
      </c>
      <c r="AF1683" s="5"/>
      <c r="AG1683" s="6"/>
      <c r="AH1683" s="27" t="s">
        <v>3392</v>
      </c>
      <c r="AI1683" s="44" t="s">
        <v>3393</v>
      </c>
      <c r="AJ1683" s="26"/>
      <c r="AK1683" s="5"/>
      <c r="AL1683" s="82" t="s">
        <v>4498</v>
      </c>
      <c r="AM1683" s="76"/>
      <c r="AN1683" s="76"/>
      <c r="AO1683" s="76"/>
      <c r="AP1683" s="76"/>
      <c r="AQ1683" s="76"/>
      <c r="AR1683" s="76"/>
      <c r="AS1683" s="76"/>
      <c r="AT1683" s="76"/>
      <c r="AU1683" s="76"/>
      <c r="AV1683" s="76"/>
      <c r="AW1683" s="76"/>
      <c r="AX1683" s="76">
        <f>+AW1683*600000</f>
        <v>0</v>
      </c>
      <c r="AY1683" s="76"/>
      <c r="AZ1683" s="76">
        <f>+AY1683*70000</f>
        <v>0</v>
      </c>
      <c r="BA1683" s="76"/>
      <c r="BB1683" s="76"/>
      <c r="BC1683" s="76"/>
      <c r="BD1683" s="76">
        <f>+BC1683*30000</f>
        <v>0</v>
      </c>
      <c r="BE1683" s="76"/>
      <c r="BF1683" s="76"/>
      <c r="BG1683" s="76"/>
      <c r="BH1683" s="76"/>
      <c r="BI1683" s="76"/>
      <c r="BJ1683" s="76"/>
      <c r="BK1683" s="76"/>
      <c r="BL1683" s="76">
        <f>+BK1683*31500</f>
        <v>0</v>
      </c>
      <c r="BM1683" s="76"/>
      <c r="BN1683" s="76"/>
      <c r="BO1683" s="76"/>
      <c r="BP1683" s="76"/>
      <c r="BQ1683" s="76"/>
      <c r="BR1683" s="76"/>
      <c r="BS1683" s="76"/>
      <c r="BT1683" s="76"/>
      <c r="BU1683" s="76"/>
      <c r="BV1683" s="76"/>
      <c r="BW1683" s="76"/>
      <c r="BX1683" s="76"/>
      <c r="BY1683" s="76"/>
      <c r="BZ1683" s="76"/>
      <c r="CA1683" s="76"/>
      <c r="CB1683" s="76"/>
      <c r="CC1683" s="76"/>
      <c r="CD1683" s="76"/>
      <c r="CE1683" s="76"/>
      <c r="CF1683" s="76">
        <f>+CE1683*28000</f>
        <v>0</v>
      </c>
      <c r="CG1683" s="76"/>
      <c r="CH1683" s="76">
        <f>+CG1683*22500</f>
        <v>0</v>
      </c>
      <c r="CI1683" s="76"/>
      <c r="CJ1683" s="76">
        <f>+CI1683*26000</f>
        <v>0</v>
      </c>
      <c r="CK1683" s="76"/>
      <c r="CL1683" s="76"/>
      <c r="CM1683" s="76"/>
      <c r="CN1683" s="76">
        <f>+CM1683*22000</f>
        <v>0</v>
      </c>
      <c r="CO1683" s="76"/>
      <c r="CP1683" s="76">
        <f>+CO1683*46000</f>
        <v>0</v>
      </c>
      <c r="CQ1683" s="76"/>
      <c r="CR1683" s="76">
        <f>+CQ1683*49000</f>
        <v>0</v>
      </c>
      <c r="CS1683" s="76"/>
      <c r="CT1683" s="76"/>
      <c r="CU1683" s="56">
        <f>AN1683+AP1683+AR1683+AT1683+AV1683+AX1683+AZ1683+BB1683+BD1683+BF1683+BH1683+BJ1683+BL1683+BN1683+BP1683+BR1683+BT1683+BV1683+BX1683+BZ1683+CB1683+CD1683+CF1683+CH1683+CJ1683+CL1683+CN1683+CP1683+CR1683+CT1683</f>
        <v>0</v>
      </c>
      <c r="CV1683" s="76"/>
      <c r="CW1683" s="76">
        <f>+CV1683*1100</f>
        <v>0</v>
      </c>
      <c r="CX1683" s="76"/>
      <c r="CY1683" s="76">
        <f>+CX1683*106250</f>
        <v>0</v>
      </c>
      <c r="CZ1683" s="76"/>
      <c r="DA1683" s="76">
        <f>+CZ1683*34500</f>
        <v>0</v>
      </c>
      <c r="DB1683" s="76"/>
      <c r="DC1683" s="76">
        <f>+DB1683*25000</f>
        <v>0</v>
      </c>
      <c r="DD1683" s="219"/>
      <c r="DE1683" s="219"/>
      <c r="DF1683" s="166"/>
      <c r="DG1683" s="116"/>
      <c r="DH1683" s="117"/>
      <c r="DI1683" s="24"/>
      <c r="DJ1683" s="24"/>
      <c r="DK1683" s="24"/>
      <c r="DL1683" s="24"/>
      <c r="DM1683" s="24"/>
      <c r="DN1683" s="24"/>
      <c r="DO1683" s="24"/>
      <c r="DP1683" s="24"/>
      <c r="DQ1683" s="24"/>
      <c r="DR1683" s="24"/>
      <c r="DS1683" s="24"/>
      <c r="DT1683" s="24"/>
      <c r="DU1683" s="24"/>
    </row>
    <row r="1684" spans="1:125" s="8" customFormat="1" ht="72" x14ac:dyDescent="0.2">
      <c r="A1684" s="226">
        <v>41397</v>
      </c>
      <c r="B1684" s="225" t="s">
        <v>2772</v>
      </c>
      <c r="C1684" s="227" t="s">
        <v>2672</v>
      </c>
      <c r="D1684" s="84" t="s">
        <v>3088</v>
      </c>
      <c r="E1684" s="75" t="str">
        <f>VLOOKUP(B1684&amp;C1684,Divipola!$C$2:$F$1138,4,FALSE)</f>
        <v>25290</v>
      </c>
      <c r="F1684" s="87"/>
      <c r="G1684" s="87"/>
      <c r="H1684" s="87"/>
      <c r="I1684" s="87"/>
      <c r="J1684" s="87"/>
      <c r="K1684" s="87"/>
      <c r="L1684" s="87"/>
      <c r="M1684" s="87">
        <v>2</v>
      </c>
      <c r="N1684" s="87"/>
      <c r="O1684" s="87"/>
      <c r="P1684" s="87"/>
      <c r="Q1684" s="87"/>
      <c r="R1684" s="87"/>
      <c r="S1684" s="87"/>
      <c r="T1684" s="87"/>
      <c r="U1684" s="88"/>
      <c r="V1684" s="89"/>
      <c r="W1684" s="96">
        <v>0</v>
      </c>
      <c r="X1684" s="71">
        <f>CU1684</f>
        <v>0</v>
      </c>
      <c r="Y1684" s="71">
        <f>CY1684</f>
        <v>0</v>
      </c>
      <c r="Z1684" s="71">
        <f>DA1684+DC1684+DE1684</f>
        <v>0</v>
      </c>
      <c r="AA1684" s="71">
        <f>CW1684</f>
        <v>0</v>
      </c>
      <c r="AB1684" s="71"/>
      <c r="AC1684" s="71">
        <v>0</v>
      </c>
      <c r="AD1684" s="71">
        <f>W1684+X1684+Y1684+Z1684+AA1684+AB1684+AC1684</f>
        <v>0</v>
      </c>
      <c r="AE1684" s="72">
        <v>0</v>
      </c>
      <c r="AF1684" s="5"/>
      <c r="AG1684" s="6"/>
      <c r="AH1684" s="27" t="s">
        <v>3392</v>
      </c>
      <c r="AI1684" s="44" t="s">
        <v>3393</v>
      </c>
      <c r="AJ1684" s="26"/>
      <c r="AK1684" s="5"/>
      <c r="AL1684" s="82" t="s">
        <v>4501</v>
      </c>
      <c r="AM1684" s="76"/>
      <c r="AN1684" s="76"/>
      <c r="AO1684" s="76"/>
      <c r="AP1684" s="76"/>
      <c r="AQ1684" s="76"/>
      <c r="AR1684" s="76"/>
      <c r="AS1684" s="76"/>
      <c r="AT1684" s="76"/>
      <c r="AU1684" s="76"/>
      <c r="AV1684" s="76"/>
      <c r="AW1684" s="76"/>
      <c r="AX1684" s="76">
        <f>+AW1684*600000</f>
        <v>0</v>
      </c>
      <c r="AY1684" s="76"/>
      <c r="AZ1684" s="76">
        <f>+AY1684*70000</f>
        <v>0</v>
      </c>
      <c r="BA1684" s="76"/>
      <c r="BB1684" s="76"/>
      <c r="BC1684" s="76"/>
      <c r="BD1684" s="76">
        <f>+BC1684*30000</f>
        <v>0</v>
      </c>
      <c r="BE1684" s="76"/>
      <c r="BF1684" s="76"/>
      <c r="BG1684" s="76"/>
      <c r="BH1684" s="76"/>
      <c r="BI1684" s="76"/>
      <c r="BJ1684" s="76"/>
      <c r="BK1684" s="76"/>
      <c r="BL1684" s="76">
        <f>+BK1684*31500</f>
        <v>0</v>
      </c>
      <c r="BM1684" s="76"/>
      <c r="BN1684" s="76"/>
      <c r="BO1684" s="76"/>
      <c r="BP1684" s="76"/>
      <c r="BQ1684" s="76"/>
      <c r="BR1684" s="76"/>
      <c r="BS1684" s="76"/>
      <c r="BT1684" s="76"/>
      <c r="BU1684" s="76"/>
      <c r="BV1684" s="76"/>
      <c r="BW1684" s="76"/>
      <c r="BX1684" s="76"/>
      <c r="BY1684" s="76"/>
      <c r="BZ1684" s="76"/>
      <c r="CA1684" s="76"/>
      <c r="CB1684" s="76"/>
      <c r="CC1684" s="76"/>
      <c r="CD1684" s="76"/>
      <c r="CE1684" s="76"/>
      <c r="CF1684" s="76">
        <f>+CE1684*28000</f>
        <v>0</v>
      </c>
      <c r="CG1684" s="76"/>
      <c r="CH1684" s="76">
        <f>+CG1684*22500</f>
        <v>0</v>
      </c>
      <c r="CI1684" s="76"/>
      <c r="CJ1684" s="76">
        <f>+CI1684*26000</f>
        <v>0</v>
      </c>
      <c r="CK1684" s="76"/>
      <c r="CL1684" s="76"/>
      <c r="CM1684" s="76"/>
      <c r="CN1684" s="76">
        <f>+CM1684*22000</f>
        <v>0</v>
      </c>
      <c r="CO1684" s="76"/>
      <c r="CP1684" s="76">
        <f>+CO1684*46000</f>
        <v>0</v>
      </c>
      <c r="CQ1684" s="76"/>
      <c r="CR1684" s="76">
        <f>+CQ1684*49000</f>
        <v>0</v>
      </c>
      <c r="CS1684" s="76"/>
      <c r="CT1684" s="76"/>
      <c r="CU1684" s="56">
        <f>AN1684+AP1684+AR1684+AT1684+AV1684+AX1684+AZ1684+BB1684+BD1684+BF1684+BH1684+BJ1684+BL1684+BN1684+BP1684+BR1684+BT1684+BV1684+BX1684+BZ1684+CB1684+CD1684+CF1684+CH1684+CJ1684+CL1684+CN1684+CP1684+CR1684+CT1684</f>
        <v>0</v>
      </c>
      <c r="CV1684" s="76"/>
      <c r="CW1684" s="76">
        <f>+CV1684*1100</f>
        <v>0</v>
      </c>
      <c r="CX1684" s="76"/>
      <c r="CY1684" s="76">
        <f>+CX1684*106250</f>
        <v>0</v>
      </c>
      <c r="CZ1684" s="76"/>
      <c r="DA1684" s="76">
        <f>+CZ1684*34500</f>
        <v>0</v>
      </c>
      <c r="DB1684" s="76"/>
      <c r="DC1684" s="76">
        <f>+DB1684*25000</f>
        <v>0</v>
      </c>
      <c r="DD1684" s="219"/>
      <c r="DE1684" s="219"/>
      <c r="DF1684" s="166"/>
      <c r="DG1684" s="116"/>
      <c r="DH1684" s="117"/>
      <c r="DI1684" s="24"/>
      <c r="DJ1684" s="24"/>
      <c r="DK1684" s="24"/>
      <c r="DL1684" s="24"/>
      <c r="DM1684" s="24"/>
      <c r="DN1684" s="24"/>
      <c r="DO1684" s="24"/>
      <c r="DP1684" s="24"/>
      <c r="DQ1684" s="24"/>
      <c r="DR1684" s="24"/>
      <c r="DS1684" s="24"/>
      <c r="DT1684" s="24"/>
      <c r="DU1684" s="24"/>
    </row>
    <row r="1685" spans="1:125" s="8" customFormat="1" ht="168" x14ac:dyDescent="0.2">
      <c r="A1685" s="353">
        <v>41397</v>
      </c>
      <c r="B1685" s="352" t="s">
        <v>2772</v>
      </c>
      <c r="C1685" s="354" t="s">
        <v>2672</v>
      </c>
      <c r="D1685" s="75" t="s">
        <v>3051</v>
      </c>
      <c r="E1685" s="75" t="str">
        <f>VLOOKUP(B1685&amp;C1685,Divipola!$C$2:$F$1138,4,FALSE)</f>
        <v>25290</v>
      </c>
      <c r="F1685" s="87"/>
      <c r="G1685" s="87"/>
      <c r="H1685" s="87"/>
      <c r="I1685" s="87">
        <v>60</v>
      </c>
      <c r="J1685" s="87">
        <v>12</v>
      </c>
      <c r="K1685" s="87"/>
      <c r="L1685" s="87">
        <v>12</v>
      </c>
      <c r="M1685" s="87"/>
      <c r="N1685" s="87"/>
      <c r="O1685" s="87"/>
      <c r="P1685" s="87"/>
      <c r="Q1685" s="87"/>
      <c r="R1685" s="87"/>
      <c r="S1685" s="87"/>
      <c r="T1685" s="87"/>
      <c r="U1685" s="88"/>
      <c r="V1685" s="89"/>
      <c r="W1685" s="96">
        <v>0</v>
      </c>
      <c r="X1685" s="71">
        <f>CU1685</f>
        <v>0</v>
      </c>
      <c r="Y1685" s="71">
        <f>CY1685</f>
        <v>0</v>
      </c>
      <c r="Z1685" s="71">
        <f>DA1685+DC1685+DE1685</f>
        <v>0</v>
      </c>
      <c r="AA1685" s="71">
        <f>CW1685</f>
        <v>0</v>
      </c>
      <c r="AB1685" s="71"/>
      <c r="AC1685" s="71">
        <v>0</v>
      </c>
      <c r="AD1685" s="71">
        <f>W1685+X1685+Y1685+Z1685+AA1685+AB1685+AC1685</f>
        <v>0</v>
      </c>
      <c r="AE1685" s="72">
        <v>0</v>
      </c>
      <c r="AF1685" s="5"/>
      <c r="AG1685" s="6"/>
      <c r="AH1685" s="27" t="s">
        <v>3392</v>
      </c>
      <c r="AI1685" s="44" t="s">
        <v>3393</v>
      </c>
      <c r="AJ1685" s="26"/>
      <c r="AK1685" s="5"/>
      <c r="AL1685" s="82" t="s">
        <v>4499</v>
      </c>
      <c r="AM1685" s="76"/>
      <c r="AN1685" s="76"/>
      <c r="AO1685" s="76"/>
      <c r="AP1685" s="76"/>
      <c r="AQ1685" s="76"/>
      <c r="AR1685" s="76"/>
      <c r="AS1685" s="76"/>
      <c r="AT1685" s="76"/>
      <c r="AU1685" s="76"/>
      <c r="AV1685" s="76"/>
      <c r="AW1685" s="76"/>
      <c r="AX1685" s="76">
        <f>+AW1685*600000</f>
        <v>0</v>
      </c>
      <c r="AY1685" s="76"/>
      <c r="AZ1685" s="76">
        <f>+AY1685*70000</f>
        <v>0</v>
      </c>
      <c r="BA1685" s="76"/>
      <c r="BB1685" s="76"/>
      <c r="BC1685" s="76"/>
      <c r="BD1685" s="76">
        <f>+BC1685*30000</f>
        <v>0</v>
      </c>
      <c r="BE1685" s="76"/>
      <c r="BF1685" s="76"/>
      <c r="BG1685" s="76"/>
      <c r="BH1685" s="76"/>
      <c r="BI1685" s="76"/>
      <c r="BJ1685" s="76"/>
      <c r="BK1685" s="76"/>
      <c r="BL1685" s="76">
        <f>+BK1685*31500</f>
        <v>0</v>
      </c>
      <c r="BM1685" s="76"/>
      <c r="BN1685" s="76"/>
      <c r="BO1685" s="76"/>
      <c r="BP1685" s="76"/>
      <c r="BQ1685" s="76"/>
      <c r="BR1685" s="76"/>
      <c r="BS1685" s="76"/>
      <c r="BT1685" s="76"/>
      <c r="BU1685" s="76"/>
      <c r="BV1685" s="76"/>
      <c r="BW1685" s="76"/>
      <c r="BX1685" s="76"/>
      <c r="BY1685" s="76"/>
      <c r="BZ1685" s="76"/>
      <c r="CA1685" s="76"/>
      <c r="CB1685" s="76"/>
      <c r="CC1685" s="76"/>
      <c r="CD1685" s="76"/>
      <c r="CE1685" s="76"/>
      <c r="CF1685" s="76">
        <f>+CE1685*28000</f>
        <v>0</v>
      </c>
      <c r="CG1685" s="76"/>
      <c r="CH1685" s="76">
        <f>+CG1685*22500</f>
        <v>0</v>
      </c>
      <c r="CI1685" s="76"/>
      <c r="CJ1685" s="76">
        <f>+CI1685*26000</f>
        <v>0</v>
      </c>
      <c r="CK1685" s="76"/>
      <c r="CL1685" s="76"/>
      <c r="CM1685" s="76"/>
      <c r="CN1685" s="76">
        <f>+CM1685*22000</f>
        <v>0</v>
      </c>
      <c r="CO1685" s="76"/>
      <c r="CP1685" s="76">
        <f>+CO1685*46000</f>
        <v>0</v>
      </c>
      <c r="CQ1685" s="76"/>
      <c r="CR1685" s="76">
        <f>+CQ1685*49000</f>
        <v>0</v>
      </c>
      <c r="CS1685" s="76"/>
      <c r="CT1685" s="76"/>
      <c r="CU1685" s="56">
        <f>AN1685+AP1685+AR1685+AT1685+AV1685+AX1685+AZ1685+BB1685+BD1685+BF1685+BH1685+BJ1685+BL1685+BN1685+BP1685+BR1685+BT1685+BV1685+BX1685+BZ1685+CB1685+CD1685+CF1685+CH1685+CJ1685+CL1685+CN1685+CP1685+CR1685+CT1685</f>
        <v>0</v>
      </c>
      <c r="CV1685" s="76"/>
      <c r="CW1685" s="76">
        <f>+CV1685*1100</f>
        <v>0</v>
      </c>
      <c r="CX1685" s="76"/>
      <c r="CY1685" s="76">
        <f>+CX1685*106250</f>
        <v>0</v>
      </c>
      <c r="CZ1685" s="76"/>
      <c r="DA1685" s="76">
        <f>+CZ1685*34500</f>
        <v>0</v>
      </c>
      <c r="DB1685" s="76"/>
      <c r="DC1685" s="76">
        <f>+DB1685*25000</f>
        <v>0</v>
      </c>
      <c r="DD1685" s="219"/>
      <c r="DE1685" s="219"/>
      <c r="DF1685" s="166"/>
      <c r="DG1685" s="116"/>
      <c r="DH1685" s="117"/>
      <c r="DI1685" s="24"/>
      <c r="DJ1685" s="24"/>
      <c r="DK1685" s="24"/>
      <c r="DL1685" s="24"/>
      <c r="DM1685" s="24"/>
      <c r="DN1685" s="24"/>
      <c r="DO1685" s="24"/>
      <c r="DP1685" s="24"/>
      <c r="DQ1685" s="24"/>
      <c r="DR1685" s="24"/>
      <c r="DS1685" s="24"/>
      <c r="DT1685" s="24"/>
      <c r="DU1685" s="24"/>
    </row>
    <row r="1686" spans="1:125" s="8" customFormat="1" ht="84" x14ac:dyDescent="0.2">
      <c r="A1686" s="77">
        <v>41397</v>
      </c>
      <c r="B1686" s="78" t="s">
        <v>2772</v>
      </c>
      <c r="C1686" s="75" t="s">
        <v>1336</v>
      </c>
      <c r="D1686" s="75" t="s">
        <v>3051</v>
      </c>
      <c r="E1686" s="75" t="str">
        <f>VLOOKUP(B1686&amp;C1686,Divipola!$C$2:$F$1138,4,FALSE)</f>
        <v>25394</v>
      </c>
      <c r="F1686" s="87"/>
      <c r="G1686" s="87"/>
      <c r="H1686" s="87"/>
      <c r="I1686" s="87"/>
      <c r="J1686" s="87"/>
      <c r="K1686" s="87"/>
      <c r="L1686" s="87"/>
      <c r="M1686" s="87"/>
      <c r="N1686" s="87"/>
      <c r="O1686" s="87"/>
      <c r="P1686" s="87"/>
      <c r="Q1686" s="87"/>
      <c r="R1686" s="87"/>
      <c r="S1686" s="87">
        <v>1</v>
      </c>
      <c r="T1686" s="87"/>
      <c r="U1686" s="88"/>
      <c r="V1686" s="89"/>
      <c r="W1686" s="96">
        <v>0</v>
      </c>
      <c r="X1686" s="71">
        <f>CU1686</f>
        <v>0</v>
      </c>
      <c r="Y1686" s="71">
        <f>CY1686</f>
        <v>0</v>
      </c>
      <c r="Z1686" s="71">
        <f>DA1686+DC1686+DE1686</f>
        <v>0</v>
      </c>
      <c r="AA1686" s="71">
        <f>CW1686</f>
        <v>0</v>
      </c>
      <c r="AB1686" s="71"/>
      <c r="AC1686" s="71">
        <v>0</v>
      </c>
      <c r="AD1686" s="71">
        <f>W1686+X1686+Y1686+Z1686+AA1686+AB1686+AC1686</f>
        <v>0</v>
      </c>
      <c r="AE1686" s="72">
        <v>0</v>
      </c>
      <c r="AF1686" s="5"/>
      <c r="AG1686" s="6"/>
      <c r="AH1686" s="27" t="s">
        <v>3392</v>
      </c>
      <c r="AI1686" s="44" t="s">
        <v>3393</v>
      </c>
      <c r="AJ1686" s="26"/>
      <c r="AK1686" s="5"/>
      <c r="AL1686" s="82" t="s">
        <v>4497</v>
      </c>
      <c r="AM1686" s="76"/>
      <c r="AN1686" s="76"/>
      <c r="AO1686" s="76"/>
      <c r="AP1686" s="76"/>
      <c r="AQ1686" s="76"/>
      <c r="AR1686" s="76"/>
      <c r="AS1686" s="76"/>
      <c r="AT1686" s="76"/>
      <c r="AU1686" s="76"/>
      <c r="AV1686" s="76"/>
      <c r="AW1686" s="76"/>
      <c r="AX1686" s="76">
        <f>+AW1686*600000</f>
        <v>0</v>
      </c>
      <c r="AY1686" s="76"/>
      <c r="AZ1686" s="76">
        <f>+AY1686*70000</f>
        <v>0</v>
      </c>
      <c r="BA1686" s="76"/>
      <c r="BB1686" s="76"/>
      <c r="BC1686" s="76"/>
      <c r="BD1686" s="76">
        <f>+BC1686*30000</f>
        <v>0</v>
      </c>
      <c r="BE1686" s="76"/>
      <c r="BF1686" s="76"/>
      <c r="BG1686" s="76"/>
      <c r="BH1686" s="76"/>
      <c r="BI1686" s="76"/>
      <c r="BJ1686" s="76"/>
      <c r="BK1686" s="76"/>
      <c r="BL1686" s="76">
        <f>+BK1686*31500</f>
        <v>0</v>
      </c>
      <c r="BM1686" s="76"/>
      <c r="BN1686" s="76"/>
      <c r="BO1686" s="76"/>
      <c r="BP1686" s="76"/>
      <c r="BQ1686" s="76"/>
      <c r="BR1686" s="76"/>
      <c r="BS1686" s="76"/>
      <c r="BT1686" s="76"/>
      <c r="BU1686" s="76"/>
      <c r="BV1686" s="76"/>
      <c r="BW1686" s="76"/>
      <c r="BX1686" s="76"/>
      <c r="BY1686" s="76"/>
      <c r="BZ1686" s="76"/>
      <c r="CA1686" s="76"/>
      <c r="CB1686" s="76"/>
      <c r="CC1686" s="76"/>
      <c r="CD1686" s="76"/>
      <c r="CE1686" s="76"/>
      <c r="CF1686" s="76">
        <f>+CE1686*28000</f>
        <v>0</v>
      </c>
      <c r="CG1686" s="76"/>
      <c r="CH1686" s="76">
        <f>+CG1686*22500</f>
        <v>0</v>
      </c>
      <c r="CI1686" s="76"/>
      <c r="CJ1686" s="76">
        <f>+CI1686*26000</f>
        <v>0</v>
      </c>
      <c r="CK1686" s="76"/>
      <c r="CL1686" s="76"/>
      <c r="CM1686" s="76"/>
      <c r="CN1686" s="76">
        <f>+CM1686*22000</f>
        <v>0</v>
      </c>
      <c r="CO1686" s="76"/>
      <c r="CP1686" s="76">
        <f>+CO1686*46000</f>
        <v>0</v>
      </c>
      <c r="CQ1686" s="76"/>
      <c r="CR1686" s="76">
        <f>+CQ1686*49000</f>
        <v>0</v>
      </c>
      <c r="CS1686" s="76"/>
      <c r="CT1686" s="76"/>
      <c r="CU1686" s="56">
        <f>AN1686+AP1686+AR1686+AT1686+AV1686+AX1686+AZ1686+BB1686+BD1686+BF1686+BH1686+BJ1686+BL1686+BN1686+BP1686+BR1686+BT1686+BV1686+BX1686+BZ1686+CB1686+CD1686+CF1686+CH1686+CJ1686+CL1686+CN1686+CP1686+CR1686+CT1686</f>
        <v>0</v>
      </c>
      <c r="CV1686" s="76"/>
      <c r="CW1686" s="76">
        <f>+CV1686*1100</f>
        <v>0</v>
      </c>
      <c r="CX1686" s="76"/>
      <c r="CY1686" s="76">
        <f>+CX1686*106250</f>
        <v>0</v>
      </c>
      <c r="CZ1686" s="76"/>
      <c r="DA1686" s="76">
        <f>+CZ1686*34500</f>
        <v>0</v>
      </c>
      <c r="DB1686" s="76"/>
      <c r="DC1686" s="76">
        <f>+DB1686*25000</f>
        <v>0</v>
      </c>
      <c r="DD1686" s="219"/>
      <c r="DE1686" s="219"/>
      <c r="DF1686" s="166"/>
      <c r="DG1686" s="116"/>
      <c r="DH1686" s="117"/>
      <c r="DI1686" s="24"/>
      <c r="DJ1686" s="24"/>
      <c r="DK1686" s="24"/>
      <c r="DL1686" s="24"/>
      <c r="DM1686" s="24"/>
      <c r="DN1686" s="24"/>
      <c r="DO1686" s="24"/>
      <c r="DP1686" s="24"/>
      <c r="DQ1686" s="24"/>
      <c r="DR1686" s="24"/>
      <c r="DS1686" s="24"/>
      <c r="DT1686" s="24"/>
      <c r="DU1686" s="24"/>
    </row>
    <row r="1687" spans="1:125" s="8" customFormat="1" ht="108" x14ac:dyDescent="0.2">
      <c r="A1687" s="226">
        <v>41397</v>
      </c>
      <c r="B1687" s="352" t="s">
        <v>2772</v>
      </c>
      <c r="C1687" s="227" t="s">
        <v>2155</v>
      </c>
      <c r="D1687" s="84" t="s">
        <v>3088</v>
      </c>
      <c r="E1687" s="75" t="str">
        <f>VLOOKUP(B1687&amp;C1687,Divipola!$C$2:$F$1138,4,FALSE)</f>
        <v>25875</v>
      </c>
      <c r="F1687" s="87"/>
      <c r="G1687" s="87"/>
      <c r="H1687" s="87"/>
      <c r="I1687" s="87">
        <v>2</v>
      </c>
      <c r="J1687" s="87">
        <v>1</v>
      </c>
      <c r="K1687" s="87"/>
      <c r="L1687" s="87">
        <v>1</v>
      </c>
      <c r="M1687" s="87">
        <v>1</v>
      </c>
      <c r="N1687" s="87"/>
      <c r="O1687" s="87"/>
      <c r="P1687" s="87"/>
      <c r="Q1687" s="87"/>
      <c r="R1687" s="87"/>
      <c r="S1687" s="87"/>
      <c r="T1687" s="87"/>
      <c r="U1687" s="88"/>
      <c r="V1687" s="89"/>
      <c r="W1687" s="96">
        <v>0</v>
      </c>
      <c r="X1687" s="71">
        <f>CU1687</f>
        <v>0</v>
      </c>
      <c r="Y1687" s="71">
        <f>CY1687</f>
        <v>0</v>
      </c>
      <c r="Z1687" s="71">
        <f>DA1687+DC1687+DE1687</f>
        <v>0</v>
      </c>
      <c r="AA1687" s="71">
        <f>CW1687</f>
        <v>0</v>
      </c>
      <c r="AB1687" s="71"/>
      <c r="AC1687" s="71">
        <v>0</v>
      </c>
      <c r="AD1687" s="71">
        <f>W1687+X1687+Y1687+Z1687+AA1687+AB1687+AC1687</f>
        <v>0</v>
      </c>
      <c r="AE1687" s="72">
        <v>0</v>
      </c>
      <c r="AF1687" s="5"/>
      <c r="AG1687" s="6"/>
      <c r="AH1687" s="27" t="s">
        <v>3392</v>
      </c>
      <c r="AI1687" s="44" t="s">
        <v>3393</v>
      </c>
      <c r="AJ1687" s="26"/>
      <c r="AK1687" s="5"/>
      <c r="AL1687" s="82" t="s">
        <v>4500</v>
      </c>
      <c r="AM1687" s="76"/>
      <c r="AN1687" s="76"/>
      <c r="AO1687" s="76"/>
      <c r="AP1687" s="76"/>
      <c r="AQ1687" s="76"/>
      <c r="AR1687" s="76"/>
      <c r="AS1687" s="76"/>
      <c r="AT1687" s="76"/>
      <c r="AU1687" s="76"/>
      <c r="AV1687" s="76"/>
      <c r="AW1687" s="76"/>
      <c r="AX1687" s="76">
        <f>+AW1687*600000</f>
        <v>0</v>
      </c>
      <c r="AY1687" s="76"/>
      <c r="AZ1687" s="76">
        <f>+AY1687*70000</f>
        <v>0</v>
      </c>
      <c r="BA1687" s="76"/>
      <c r="BB1687" s="76"/>
      <c r="BC1687" s="76"/>
      <c r="BD1687" s="76">
        <f>+BC1687*30000</f>
        <v>0</v>
      </c>
      <c r="BE1687" s="76"/>
      <c r="BF1687" s="76"/>
      <c r="BG1687" s="76"/>
      <c r="BH1687" s="76"/>
      <c r="BI1687" s="76"/>
      <c r="BJ1687" s="76"/>
      <c r="BK1687" s="76"/>
      <c r="BL1687" s="76">
        <f>+BK1687*31500</f>
        <v>0</v>
      </c>
      <c r="BM1687" s="76"/>
      <c r="BN1687" s="76"/>
      <c r="BO1687" s="76"/>
      <c r="BP1687" s="76"/>
      <c r="BQ1687" s="76"/>
      <c r="BR1687" s="76"/>
      <c r="BS1687" s="76"/>
      <c r="BT1687" s="76"/>
      <c r="BU1687" s="76"/>
      <c r="BV1687" s="76"/>
      <c r="BW1687" s="76"/>
      <c r="BX1687" s="76"/>
      <c r="BY1687" s="76"/>
      <c r="BZ1687" s="76"/>
      <c r="CA1687" s="76"/>
      <c r="CB1687" s="76"/>
      <c r="CC1687" s="76"/>
      <c r="CD1687" s="76"/>
      <c r="CE1687" s="76"/>
      <c r="CF1687" s="76">
        <f>+CE1687*28000</f>
        <v>0</v>
      </c>
      <c r="CG1687" s="76"/>
      <c r="CH1687" s="76">
        <f>+CG1687*22500</f>
        <v>0</v>
      </c>
      <c r="CI1687" s="76"/>
      <c r="CJ1687" s="76">
        <f>+CI1687*26000</f>
        <v>0</v>
      </c>
      <c r="CK1687" s="76"/>
      <c r="CL1687" s="76"/>
      <c r="CM1687" s="76"/>
      <c r="CN1687" s="76">
        <f>+CM1687*22000</f>
        <v>0</v>
      </c>
      <c r="CO1687" s="76"/>
      <c r="CP1687" s="76">
        <f>+CO1687*46000</f>
        <v>0</v>
      </c>
      <c r="CQ1687" s="76"/>
      <c r="CR1687" s="76">
        <f>+CQ1687*49000</f>
        <v>0</v>
      </c>
      <c r="CS1687" s="76"/>
      <c r="CT1687" s="76"/>
      <c r="CU1687" s="56">
        <f>AN1687+AP1687+AR1687+AT1687+AV1687+AX1687+AZ1687+BB1687+BD1687+BF1687+BH1687+BJ1687+BL1687+BN1687+BP1687+BR1687+BT1687+BV1687+BX1687+BZ1687+CB1687+CD1687+CF1687+CH1687+CJ1687+CL1687+CN1687+CP1687+CR1687+CT1687</f>
        <v>0</v>
      </c>
      <c r="CV1687" s="76"/>
      <c r="CW1687" s="76">
        <f>+CV1687*1100</f>
        <v>0</v>
      </c>
      <c r="CX1687" s="76"/>
      <c r="CY1687" s="76">
        <f>+CX1687*106250</f>
        <v>0</v>
      </c>
      <c r="CZ1687" s="76"/>
      <c r="DA1687" s="76">
        <f>+CZ1687*34500</f>
        <v>0</v>
      </c>
      <c r="DB1687" s="76"/>
      <c r="DC1687" s="76">
        <f>+DB1687*25000</f>
        <v>0</v>
      </c>
      <c r="DD1687" s="219"/>
      <c r="DE1687" s="219"/>
      <c r="DF1687" s="166"/>
      <c r="DG1687" s="116"/>
      <c r="DH1687" s="117"/>
      <c r="DI1687" s="24"/>
      <c r="DJ1687" s="24"/>
      <c r="DK1687" s="24"/>
      <c r="DL1687" s="24"/>
      <c r="DM1687" s="24"/>
      <c r="DN1687" s="24"/>
      <c r="DO1687" s="24"/>
      <c r="DP1687" s="24"/>
      <c r="DQ1687" s="24"/>
      <c r="DR1687" s="24"/>
      <c r="DS1687" s="24"/>
      <c r="DT1687" s="24"/>
      <c r="DU1687" s="24"/>
    </row>
    <row r="1688" spans="1:125" s="8" customFormat="1" ht="48" x14ac:dyDescent="0.2">
      <c r="A1688" s="353">
        <v>41397</v>
      </c>
      <c r="B1688" s="208" t="s">
        <v>2811</v>
      </c>
      <c r="C1688" s="354" t="s">
        <v>129</v>
      </c>
      <c r="D1688" s="75" t="s">
        <v>3051</v>
      </c>
      <c r="E1688" s="75" t="str">
        <f>VLOOKUP(B1688&amp;C1688,Divipola!$C$2:$F$1138,4,FALSE)</f>
        <v>52203</v>
      </c>
      <c r="F1688" s="87"/>
      <c r="G1688" s="87"/>
      <c r="H1688" s="87"/>
      <c r="I1688" s="87">
        <v>103</v>
      </c>
      <c r="J1688" s="87">
        <v>28</v>
      </c>
      <c r="K1688" s="87"/>
      <c r="L1688" s="87">
        <v>25</v>
      </c>
      <c r="M1688" s="87"/>
      <c r="N1688" s="87"/>
      <c r="O1688" s="87"/>
      <c r="P1688" s="87"/>
      <c r="Q1688" s="87"/>
      <c r="R1688" s="87"/>
      <c r="S1688" s="87"/>
      <c r="T1688" s="87"/>
      <c r="U1688" s="88"/>
      <c r="V1688" s="89"/>
      <c r="W1688" s="96">
        <v>0</v>
      </c>
      <c r="X1688" s="71">
        <f>CU1688</f>
        <v>0</v>
      </c>
      <c r="Y1688" s="71">
        <f>CY1688</f>
        <v>0</v>
      </c>
      <c r="Z1688" s="71">
        <f>DA1688+DC1688+DE1688</f>
        <v>0</v>
      </c>
      <c r="AA1688" s="71">
        <f>CW1688</f>
        <v>0</v>
      </c>
      <c r="AB1688" s="71"/>
      <c r="AC1688" s="71">
        <v>0</v>
      </c>
      <c r="AD1688" s="71">
        <f>W1688+X1688+Y1688+Z1688+AA1688+AB1688+AC1688</f>
        <v>0</v>
      </c>
      <c r="AE1688" s="72">
        <v>0</v>
      </c>
      <c r="AF1688" s="5"/>
      <c r="AG1688" s="6"/>
      <c r="AH1688" s="27" t="s">
        <v>3392</v>
      </c>
      <c r="AI1688" s="44" t="s">
        <v>3393</v>
      </c>
      <c r="AJ1688" s="26"/>
      <c r="AK1688" s="5"/>
      <c r="AL1688" s="82" t="s">
        <v>4495</v>
      </c>
      <c r="AM1688" s="76"/>
      <c r="AN1688" s="76"/>
      <c r="AO1688" s="76"/>
      <c r="AP1688" s="76"/>
      <c r="AQ1688" s="76"/>
      <c r="AR1688" s="76"/>
      <c r="AS1688" s="76"/>
      <c r="AT1688" s="76"/>
      <c r="AU1688" s="76"/>
      <c r="AV1688" s="76"/>
      <c r="AW1688" s="76"/>
      <c r="AX1688" s="76">
        <f>+AW1688*600000</f>
        <v>0</v>
      </c>
      <c r="AY1688" s="76"/>
      <c r="AZ1688" s="76">
        <f>+AY1688*70000</f>
        <v>0</v>
      </c>
      <c r="BA1688" s="76"/>
      <c r="BB1688" s="76"/>
      <c r="BC1688" s="76"/>
      <c r="BD1688" s="76">
        <f>+BC1688*30000</f>
        <v>0</v>
      </c>
      <c r="BE1688" s="76"/>
      <c r="BF1688" s="76"/>
      <c r="BG1688" s="76"/>
      <c r="BH1688" s="76"/>
      <c r="BI1688" s="76"/>
      <c r="BJ1688" s="76"/>
      <c r="BK1688" s="76"/>
      <c r="BL1688" s="76">
        <f>+BK1688*31500</f>
        <v>0</v>
      </c>
      <c r="BM1688" s="76"/>
      <c r="BN1688" s="76"/>
      <c r="BO1688" s="76"/>
      <c r="BP1688" s="76"/>
      <c r="BQ1688" s="76"/>
      <c r="BR1688" s="76"/>
      <c r="BS1688" s="76"/>
      <c r="BT1688" s="76"/>
      <c r="BU1688" s="76"/>
      <c r="BV1688" s="76"/>
      <c r="BW1688" s="76"/>
      <c r="BX1688" s="76"/>
      <c r="BY1688" s="76"/>
      <c r="BZ1688" s="76"/>
      <c r="CA1688" s="76"/>
      <c r="CB1688" s="76"/>
      <c r="CC1688" s="76"/>
      <c r="CD1688" s="76"/>
      <c r="CE1688" s="76"/>
      <c r="CF1688" s="76">
        <f>+CE1688*28000</f>
        <v>0</v>
      </c>
      <c r="CG1688" s="76"/>
      <c r="CH1688" s="76">
        <f>+CG1688*22500</f>
        <v>0</v>
      </c>
      <c r="CI1688" s="76"/>
      <c r="CJ1688" s="76">
        <f>+CI1688*26000</f>
        <v>0</v>
      </c>
      <c r="CK1688" s="76"/>
      <c r="CL1688" s="76"/>
      <c r="CM1688" s="76"/>
      <c r="CN1688" s="76">
        <f>+CM1688*22000</f>
        <v>0</v>
      </c>
      <c r="CO1688" s="76"/>
      <c r="CP1688" s="76">
        <f>+CO1688*46000</f>
        <v>0</v>
      </c>
      <c r="CQ1688" s="76"/>
      <c r="CR1688" s="76">
        <f>+CQ1688*49000</f>
        <v>0</v>
      </c>
      <c r="CS1688" s="76"/>
      <c r="CT1688" s="76"/>
      <c r="CU1688" s="56">
        <f>AN1688+AP1688+AR1688+AT1688+AV1688+AX1688+AZ1688+BB1688+BD1688+BF1688+BH1688+BJ1688+BL1688+BN1688+BP1688+BR1688+BT1688+BV1688+BX1688+BZ1688+CB1688+CD1688+CF1688+CH1688+CJ1688+CL1688+CN1688+CP1688+CR1688+CT1688</f>
        <v>0</v>
      </c>
      <c r="CV1688" s="76"/>
      <c r="CW1688" s="76">
        <f>+CV1688*1100</f>
        <v>0</v>
      </c>
      <c r="CX1688" s="76"/>
      <c r="CY1688" s="76">
        <f>+CX1688*106250</f>
        <v>0</v>
      </c>
      <c r="CZ1688" s="76"/>
      <c r="DA1688" s="76">
        <f>+CZ1688*34500</f>
        <v>0</v>
      </c>
      <c r="DB1688" s="76"/>
      <c r="DC1688" s="76">
        <f>+DB1688*25000</f>
        <v>0</v>
      </c>
      <c r="DD1688" s="219"/>
      <c r="DE1688" s="219"/>
      <c r="DF1688" s="166"/>
      <c r="DG1688" s="116"/>
      <c r="DH1688" s="117"/>
      <c r="DI1688" s="24"/>
      <c r="DJ1688" s="24"/>
      <c r="DK1688" s="24"/>
      <c r="DL1688" s="24"/>
      <c r="DM1688" s="24"/>
      <c r="DN1688" s="24"/>
      <c r="DO1688" s="24"/>
      <c r="DP1688" s="24"/>
      <c r="DQ1688" s="24"/>
      <c r="DR1688" s="24"/>
      <c r="DS1688" s="24"/>
      <c r="DT1688" s="24"/>
      <c r="DU1688" s="24"/>
    </row>
    <row r="1689" spans="1:125" s="8" customFormat="1" ht="60" x14ac:dyDescent="0.2">
      <c r="A1689" s="226">
        <v>41397</v>
      </c>
      <c r="B1689" s="208" t="s">
        <v>2811</v>
      </c>
      <c r="C1689" s="227" t="s">
        <v>2004</v>
      </c>
      <c r="D1689" s="227" t="s">
        <v>4485</v>
      </c>
      <c r="E1689" s="75" t="str">
        <f>VLOOKUP(B1689&amp;C1689,Divipola!$C$2:$F$1138,4,FALSE)</f>
        <v>52838</v>
      </c>
      <c r="F1689" s="87"/>
      <c r="G1689" s="87"/>
      <c r="H1689" s="87"/>
      <c r="I1689" s="87">
        <v>35</v>
      </c>
      <c r="J1689" s="87">
        <v>7</v>
      </c>
      <c r="K1689" s="87"/>
      <c r="L1689" s="87">
        <v>7</v>
      </c>
      <c r="M1689" s="87"/>
      <c r="N1689" s="87"/>
      <c r="O1689" s="87"/>
      <c r="P1689" s="87"/>
      <c r="Q1689" s="87"/>
      <c r="R1689" s="87"/>
      <c r="S1689" s="87"/>
      <c r="T1689" s="87"/>
      <c r="U1689" s="88"/>
      <c r="V1689" s="89"/>
      <c r="W1689" s="96">
        <v>0</v>
      </c>
      <c r="X1689" s="71">
        <f>CU1689</f>
        <v>0</v>
      </c>
      <c r="Y1689" s="71">
        <f>CY1689</f>
        <v>0</v>
      </c>
      <c r="Z1689" s="71">
        <f>DA1689+DC1689+DE1689</f>
        <v>0</v>
      </c>
      <c r="AA1689" s="71">
        <f>CW1689</f>
        <v>0</v>
      </c>
      <c r="AB1689" s="71"/>
      <c r="AC1689" s="71">
        <v>0</v>
      </c>
      <c r="AD1689" s="71">
        <f>W1689+X1689+Y1689+Z1689+AA1689+AB1689+AC1689</f>
        <v>0</v>
      </c>
      <c r="AE1689" s="72">
        <v>0</v>
      </c>
      <c r="AF1689" s="5"/>
      <c r="AG1689" s="6"/>
      <c r="AH1689" s="27" t="s">
        <v>3392</v>
      </c>
      <c r="AI1689" s="44" t="s">
        <v>3393</v>
      </c>
      <c r="AJ1689" s="26"/>
      <c r="AK1689" s="5"/>
      <c r="AL1689" s="82" t="s">
        <v>4494</v>
      </c>
      <c r="AM1689" s="76"/>
      <c r="AN1689" s="76"/>
      <c r="AO1689" s="76"/>
      <c r="AP1689" s="76"/>
      <c r="AQ1689" s="76"/>
      <c r="AR1689" s="76"/>
      <c r="AS1689" s="76"/>
      <c r="AT1689" s="76"/>
      <c r="AU1689" s="76"/>
      <c r="AV1689" s="76"/>
      <c r="AW1689" s="76"/>
      <c r="AX1689" s="76">
        <f>+AW1689*600000</f>
        <v>0</v>
      </c>
      <c r="AY1689" s="76"/>
      <c r="AZ1689" s="76">
        <f>+AY1689*70000</f>
        <v>0</v>
      </c>
      <c r="BA1689" s="76"/>
      <c r="BB1689" s="76"/>
      <c r="BC1689" s="76"/>
      <c r="BD1689" s="76">
        <f>+BC1689*30000</f>
        <v>0</v>
      </c>
      <c r="BE1689" s="76"/>
      <c r="BF1689" s="76"/>
      <c r="BG1689" s="76"/>
      <c r="BH1689" s="76"/>
      <c r="BI1689" s="76"/>
      <c r="BJ1689" s="76"/>
      <c r="BK1689" s="76"/>
      <c r="BL1689" s="76">
        <f>+BK1689*31500</f>
        <v>0</v>
      </c>
      <c r="BM1689" s="76"/>
      <c r="BN1689" s="76"/>
      <c r="BO1689" s="76"/>
      <c r="BP1689" s="76"/>
      <c r="BQ1689" s="76"/>
      <c r="BR1689" s="76"/>
      <c r="BS1689" s="76"/>
      <c r="BT1689" s="76"/>
      <c r="BU1689" s="76"/>
      <c r="BV1689" s="76"/>
      <c r="BW1689" s="76"/>
      <c r="BX1689" s="76"/>
      <c r="BY1689" s="76"/>
      <c r="BZ1689" s="76"/>
      <c r="CA1689" s="76"/>
      <c r="CB1689" s="76"/>
      <c r="CC1689" s="76"/>
      <c r="CD1689" s="76"/>
      <c r="CE1689" s="76"/>
      <c r="CF1689" s="76">
        <f>+CE1689*28000</f>
        <v>0</v>
      </c>
      <c r="CG1689" s="76"/>
      <c r="CH1689" s="76">
        <f>+CG1689*22500</f>
        <v>0</v>
      </c>
      <c r="CI1689" s="76"/>
      <c r="CJ1689" s="76">
        <f>+CI1689*26000</f>
        <v>0</v>
      </c>
      <c r="CK1689" s="76"/>
      <c r="CL1689" s="76"/>
      <c r="CM1689" s="76"/>
      <c r="CN1689" s="76">
        <f>+CM1689*22000</f>
        <v>0</v>
      </c>
      <c r="CO1689" s="76"/>
      <c r="CP1689" s="76">
        <f>+CO1689*46000</f>
        <v>0</v>
      </c>
      <c r="CQ1689" s="76"/>
      <c r="CR1689" s="76">
        <f>+CQ1689*49000</f>
        <v>0</v>
      </c>
      <c r="CS1689" s="76"/>
      <c r="CT1689" s="76"/>
      <c r="CU1689" s="56">
        <f>AN1689+AP1689+AR1689+AT1689+AV1689+AX1689+AZ1689+BB1689+BD1689+BF1689+BH1689+BJ1689+BL1689+BN1689+BP1689+BR1689+BT1689+BV1689+BX1689+BZ1689+CB1689+CD1689+CF1689+CH1689+CJ1689+CL1689+CN1689+CP1689+CR1689+CT1689</f>
        <v>0</v>
      </c>
      <c r="CV1689" s="76"/>
      <c r="CW1689" s="76">
        <f>+CV1689*1100</f>
        <v>0</v>
      </c>
      <c r="CX1689" s="76"/>
      <c r="CY1689" s="76">
        <f>+CX1689*106250</f>
        <v>0</v>
      </c>
      <c r="CZ1689" s="76"/>
      <c r="DA1689" s="76">
        <f>+CZ1689*34500</f>
        <v>0</v>
      </c>
      <c r="DB1689" s="76"/>
      <c r="DC1689" s="76">
        <f>+DB1689*25000</f>
        <v>0</v>
      </c>
      <c r="DD1689" s="219"/>
      <c r="DE1689" s="219"/>
      <c r="DF1689" s="166"/>
      <c r="DG1689" s="116"/>
      <c r="DH1689" s="117"/>
      <c r="DI1689" s="24"/>
      <c r="DJ1689" s="24"/>
      <c r="DK1689" s="24"/>
      <c r="DL1689" s="24"/>
      <c r="DM1689" s="24"/>
      <c r="DN1689" s="24"/>
      <c r="DO1689" s="24"/>
      <c r="DP1689" s="24"/>
      <c r="DQ1689" s="24"/>
      <c r="DR1689" s="24"/>
      <c r="DS1689" s="24"/>
      <c r="DT1689" s="24"/>
      <c r="DU1689" s="24"/>
    </row>
    <row r="1690" spans="1:125" s="8" customFormat="1" ht="108" x14ac:dyDescent="0.2">
      <c r="A1690" s="353">
        <v>41397</v>
      </c>
      <c r="B1690" s="208" t="s">
        <v>2847</v>
      </c>
      <c r="C1690" s="227" t="s">
        <v>2843</v>
      </c>
      <c r="D1690" s="354" t="s">
        <v>3205</v>
      </c>
      <c r="E1690" s="75" t="str">
        <f>VLOOKUP(B1690&amp;C1690,Divipola!$C$2:$F$1138,4,FALSE)</f>
        <v>68385</v>
      </c>
      <c r="F1690" s="87"/>
      <c r="G1690" s="87"/>
      <c r="H1690" s="87">
        <v>1</v>
      </c>
      <c r="I1690" s="87">
        <v>1</v>
      </c>
      <c r="J1690" s="87"/>
      <c r="K1690" s="87"/>
      <c r="L1690" s="87"/>
      <c r="M1690" s="87"/>
      <c r="N1690" s="87"/>
      <c r="O1690" s="87"/>
      <c r="P1690" s="87"/>
      <c r="Q1690" s="87"/>
      <c r="R1690" s="87"/>
      <c r="S1690" s="87"/>
      <c r="T1690" s="87"/>
      <c r="U1690" s="88"/>
      <c r="V1690" s="89"/>
      <c r="W1690" s="96">
        <v>0</v>
      </c>
      <c r="X1690" s="71">
        <f>CU1690</f>
        <v>0</v>
      </c>
      <c r="Y1690" s="71">
        <f>CY1690</f>
        <v>0</v>
      </c>
      <c r="Z1690" s="71">
        <f>DA1690+DC1690+DE1690</f>
        <v>0</v>
      </c>
      <c r="AA1690" s="71">
        <f>CW1690</f>
        <v>0</v>
      </c>
      <c r="AB1690" s="71"/>
      <c r="AC1690" s="71">
        <v>0</v>
      </c>
      <c r="AD1690" s="71">
        <f>W1690+X1690+Y1690+Z1690+AA1690+AB1690+AC1690</f>
        <v>0</v>
      </c>
      <c r="AE1690" s="72">
        <v>0</v>
      </c>
      <c r="AF1690" s="5"/>
      <c r="AG1690" s="6"/>
      <c r="AH1690" s="27" t="s">
        <v>3392</v>
      </c>
      <c r="AI1690" s="44" t="s">
        <v>3393</v>
      </c>
      <c r="AJ1690" s="26"/>
      <c r="AK1690" s="5"/>
      <c r="AL1690" s="82" t="s">
        <v>4491</v>
      </c>
      <c r="AM1690" s="76"/>
      <c r="AN1690" s="76"/>
      <c r="AO1690" s="76"/>
      <c r="AP1690" s="76"/>
      <c r="AQ1690" s="76"/>
      <c r="AR1690" s="76"/>
      <c r="AS1690" s="76"/>
      <c r="AT1690" s="76"/>
      <c r="AU1690" s="76"/>
      <c r="AV1690" s="76"/>
      <c r="AW1690" s="76"/>
      <c r="AX1690" s="76">
        <f>+AW1690*600000</f>
        <v>0</v>
      </c>
      <c r="AY1690" s="76"/>
      <c r="AZ1690" s="76">
        <f>+AY1690*70000</f>
        <v>0</v>
      </c>
      <c r="BA1690" s="76"/>
      <c r="BB1690" s="76"/>
      <c r="BC1690" s="76"/>
      <c r="BD1690" s="76">
        <f>+BC1690*30000</f>
        <v>0</v>
      </c>
      <c r="BE1690" s="76"/>
      <c r="BF1690" s="76"/>
      <c r="BG1690" s="76"/>
      <c r="BH1690" s="76"/>
      <c r="BI1690" s="76"/>
      <c r="BJ1690" s="76"/>
      <c r="BK1690" s="76"/>
      <c r="BL1690" s="76">
        <f>+BK1690*31500</f>
        <v>0</v>
      </c>
      <c r="BM1690" s="76"/>
      <c r="BN1690" s="76"/>
      <c r="BO1690" s="76"/>
      <c r="BP1690" s="76"/>
      <c r="BQ1690" s="76"/>
      <c r="BR1690" s="76"/>
      <c r="BS1690" s="76"/>
      <c r="BT1690" s="76"/>
      <c r="BU1690" s="76"/>
      <c r="BV1690" s="76"/>
      <c r="BW1690" s="76"/>
      <c r="BX1690" s="76"/>
      <c r="BY1690" s="76"/>
      <c r="BZ1690" s="76"/>
      <c r="CA1690" s="76"/>
      <c r="CB1690" s="76"/>
      <c r="CC1690" s="76"/>
      <c r="CD1690" s="76"/>
      <c r="CE1690" s="76"/>
      <c r="CF1690" s="76">
        <f>+CE1690*28000</f>
        <v>0</v>
      </c>
      <c r="CG1690" s="76"/>
      <c r="CH1690" s="76">
        <f>+CG1690*22500</f>
        <v>0</v>
      </c>
      <c r="CI1690" s="76"/>
      <c r="CJ1690" s="76">
        <f>+CI1690*26000</f>
        <v>0</v>
      </c>
      <c r="CK1690" s="76"/>
      <c r="CL1690" s="76"/>
      <c r="CM1690" s="76"/>
      <c r="CN1690" s="76">
        <f>+CM1690*22000</f>
        <v>0</v>
      </c>
      <c r="CO1690" s="76"/>
      <c r="CP1690" s="76">
        <f>+CO1690*46000</f>
        <v>0</v>
      </c>
      <c r="CQ1690" s="76"/>
      <c r="CR1690" s="76">
        <f>+CQ1690*49000</f>
        <v>0</v>
      </c>
      <c r="CS1690" s="76"/>
      <c r="CT1690" s="76"/>
      <c r="CU1690" s="56">
        <f>AN1690+AP1690+AR1690+AT1690+AV1690+AX1690+AZ1690+BB1690+BD1690+BF1690+BH1690+BJ1690+BL1690+BN1690+BP1690+BR1690+BT1690+BV1690+BX1690+BZ1690+CB1690+CD1690+CF1690+CH1690+CJ1690+CL1690+CN1690+CP1690+CR1690+CT1690</f>
        <v>0</v>
      </c>
      <c r="CV1690" s="76"/>
      <c r="CW1690" s="76">
        <f>+CV1690*1100</f>
        <v>0</v>
      </c>
      <c r="CX1690" s="76"/>
      <c r="CY1690" s="76">
        <f>+CX1690*106250</f>
        <v>0</v>
      </c>
      <c r="CZ1690" s="76"/>
      <c r="DA1690" s="76">
        <f>+CZ1690*34500</f>
        <v>0</v>
      </c>
      <c r="DB1690" s="76"/>
      <c r="DC1690" s="76">
        <f>+DB1690*25000</f>
        <v>0</v>
      </c>
      <c r="DD1690" s="219"/>
      <c r="DE1690" s="219"/>
      <c r="DF1690" s="166"/>
      <c r="DG1690" s="116"/>
      <c r="DH1690" s="117"/>
      <c r="DI1690" s="24"/>
      <c r="DJ1690" s="24"/>
      <c r="DK1690" s="24"/>
      <c r="DL1690" s="24"/>
      <c r="DM1690" s="24"/>
      <c r="DN1690" s="24"/>
      <c r="DO1690" s="24"/>
      <c r="DP1690" s="24"/>
      <c r="DQ1690" s="24"/>
      <c r="DR1690" s="24"/>
      <c r="DS1690" s="24"/>
      <c r="DT1690" s="24"/>
      <c r="DU1690" s="24"/>
    </row>
    <row r="1691" spans="1:125" s="8" customFormat="1" ht="144" x14ac:dyDescent="0.2">
      <c r="A1691" s="77">
        <v>41397</v>
      </c>
      <c r="B1691" s="352" t="s">
        <v>2848</v>
      </c>
      <c r="C1691" s="354" t="s">
        <v>1872</v>
      </c>
      <c r="D1691" s="75" t="s">
        <v>3051</v>
      </c>
      <c r="E1691" s="75" t="str">
        <f>VLOOKUP(B1691&amp;C1691,Divipola!$C$2:$F$1138,4,FALSE)</f>
        <v>73268</v>
      </c>
      <c r="F1691" s="87"/>
      <c r="G1691" s="87"/>
      <c r="H1691" s="87"/>
      <c r="I1691" s="87"/>
      <c r="J1691" s="87"/>
      <c r="K1691" s="87"/>
      <c r="L1691" s="87"/>
      <c r="M1691" s="87"/>
      <c r="N1691" s="87"/>
      <c r="O1691" s="87"/>
      <c r="P1691" s="87"/>
      <c r="Q1691" s="87"/>
      <c r="R1691" s="87"/>
      <c r="S1691" s="87"/>
      <c r="T1691" s="87"/>
      <c r="U1691" s="88"/>
      <c r="V1691" s="89"/>
      <c r="W1691" s="96">
        <v>0</v>
      </c>
      <c r="X1691" s="71">
        <f>CU1691</f>
        <v>0</v>
      </c>
      <c r="Y1691" s="71">
        <f>CY1691</f>
        <v>0</v>
      </c>
      <c r="Z1691" s="71">
        <f>DA1691+DC1691+DE1691</f>
        <v>0</v>
      </c>
      <c r="AA1691" s="71">
        <f>CW1691</f>
        <v>0</v>
      </c>
      <c r="AB1691" s="71"/>
      <c r="AC1691" s="71">
        <v>0</v>
      </c>
      <c r="AD1691" s="71">
        <f>W1691+X1691+Y1691+Z1691+AA1691+AB1691+AC1691</f>
        <v>0</v>
      </c>
      <c r="AE1691" s="72">
        <v>0</v>
      </c>
      <c r="AF1691" s="5"/>
      <c r="AG1691" s="6"/>
      <c r="AH1691" s="27" t="s">
        <v>3392</v>
      </c>
      <c r="AI1691" s="44" t="s">
        <v>3393</v>
      </c>
      <c r="AJ1691" s="26"/>
      <c r="AK1691" s="5"/>
      <c r="AL1691" s="82" t="s">
        <v>4496</v>
      </c>
      <c r="AM1691" s="76"/>
      <c r="AN1691" s="76"/>
      <c r="AO1691" s="76"/>
      <c r="AP1691" s="76"/>
      <c r="AQ1691" s="76"/>
      <c r="AR1691" s="76"/>
      <c r="AS1691" s="76"/>
      <c r="AT1691" s="76"/>
      <c r="AU1691" s="76"/>
      <c r="AV1691" s="76"/>
      <c r="AW1691" s="76"/>
      <c r="AX1691" s="76">
        <f>+AW1691*600000</f>
        <v>0</v>
      </c>
      <c r="AY1691" s="76"/>
      <c r="AZ1691" s="76">
        <f>+AY1691*70000</f>
        <v>0</v>
      </c>
      <c r="BA1691" s="76"/>
      <c r="BB1691" s="76"/>
      <c r="BC1691" s="76"/>
      <c r="BD1691" s="76">
        <f>+BC1691*30000</f>
        <v>0</v>
      </c>
      <c r="BE1691" s="76"/>
      <c r="BF1691" s="76"/>
      <c r="BG1691" s="76"/>
      <c r="BH1691" s="76"/>
      <c r="BI1691" s="76"/>
      <c r="BJ1691" s="76"/>
      <c r="BK1691" s="76"/>
      <c r="BL1691" s="76">
        <f>+BK1691*31500</f>
        <v>0</v>
      </c>
      <c r="BM1691" s="76"/>
      <c r="BN1691" s="76"/>
      <c r="BO1691" s="76"/>
      <c r="BP1691" s="76"/>
      <c r="BQ1691" s="76"/>
      <c r="BR1691" s="76"/>
      <c r="BS1691" s="76"/>
      <c r="BT1691" s="76"/>
      <c r="BU1691" s="76"/>
      <c r="BV1691" s="76"/>
      <c r="BW1691" s="76"/>
      <c r="BX1691" s="76"/>
      <c r="BY1691" s="76"/>
      <c r="BZ1691" s="76"/>
      <c r="CA1691" s="76"/>
      <c r="CB1691" s="76"/>
      <c r="CC1691" s="76"/>
      <c r="CD1691" s="76"/>
      <c r="CE1691" s="76"/>
      <c r="CF1691" s="76">
        <f>+CE1691*28000</f>
        <v>0</v>
      </c>
      <c r="CG1691" s="76"/>
      <c r="CH1691" s="76">
        <f>+CG1691*22500</f>
        <v>0</v>
      </c>
      <c r="CI1691" s="76"/>
      <c r="CJ1691" s="76">
        <f>+CI1691*26000</f>
        <v>0</v>
      </c>
      <c r="CK1691" s="76"/>
      <c r="CL1691" s="76"/>
      <c r="CM1691" s="76"/>
      <c r="CN1691" s="76">
        <f>+CM1691*22000</f>
        <v>0</v>
      </c>
      <c r="CO1691" s="76"/>
      <c r="CP1691" s="76">
        <f>+CO1691*46000</f>
        <v>0</v>
      </c>
      <c r="CQ1691" s="76"/>
      <c r="CR1691" s="76">
        <f>+CQ1691*49000</f>
        <v>0</v>
      </c>
      <c r="CS1691" s="76"/>
      <c r="CT1691" s="76"/>
      <c r="CU1691" s="56">
        <f>AN1691+AP1691+AR1691+AT1691+AV1691+AX1691+AZ1691+BB1691+BD1691+BF1691+BH1691+BJ1691+BL1691+BN1691+BP1691+BR1691+BT1691+BV1691+BX1691+BZ1691+CB1691+CD1691+CF1691+CH1691+CJ1691+CL1691+CN1691+CP1691+CR1691+CT1691</f>
        <v>0</v>
      </c>
      <c r="CV1691" s="76"/>
      <c r="CW1691" s="76">
        <f>+CV1691*1100</f>
        <v>0</v>
      </c>
      <c r="CX1691" s="76"/>
      <c r="CY1691" s="76">
        <f>+CX1691*106250</f>
        <v>0</v>
      </c>
      <c r="CZ1691" s="76"/>
      <c r="DA1691" s="76">
        <f>+CZ1691*34500</f>
        <v>0</v>
      </c>
      <c r="DB1691" s="76"/>
      <c r="DC1691" s="76">
        <f>+DB1691*25000</f>
        <v>0</v>
      </c>
      <c r="DD1691" s="219"/>
      <c r="DE1691" s="219"/>
      <c r="DF1691" s="166"/>
      <c r="DG1691" s="116"/>
      <c r="DH1691" s="117"/>
      <c r="DI1691" s="24"/>
      <c r="DJ1691" s="24"/>
      <c r="DK1691" s="24"/>
      <c r="DL1691" s="24"/>
      <c r="DM1691" s="24"/>
      <c r="DN1691" s="24"/>
      <c r="DO1691" s="24"/>
      <c r="DP1691" s="24"/>
      <c r="DQ1691" s="24"/>
      <c r="DR1691" s="24"/>
      <c r="DS1691" s="24"/>
      <c r="DT1691" s="24"/>
      <c r="DU1691" s="24"/>
    </row>
    <row r="1692" spans="1:125" s="8" customFormat="1" ht="84" x14ac:dyDescent="0.2">
      <c r="A1692" s="77">
        <v>41397</v>
      </c>
      <c r="B1692" s="78" t="s">
        <v>2848</v>
      </c>
      <c r="C1692" s="75" t="s">
        <v>2214</v>
      </c>
      <c r="D1692" s="84" t="s">
        <v>3088</v>
      </c>
      <c r="E1692" s="75" t="str">
        <f>VLOOKUP(B1692&amp;C1692,Divipola!$C$2:$F$1138,4,FALSE)</f>
        <v>73283</v>
      </c>
      <c r="F1692" s="87"/>
      <c r="G1692" s="87"/>
      <c r="H1692" s="87"/>
      <c r="I1692" s="87"/>
      <c r="J1692" s="87"/>
      <c r="K1692" s="87"/>
      <c r="L1692" s="87"/>
      <c r="M1692" s="87">
        <v>1</v>
      </c>
      <c r="N1692" s="87"/>
      <c r="O1692" s="87"/>
      <c r="P1692" s="87"/>
      <c r="Q1692" s="87"/>
      <c r="R1692" s="87"/>
      <c r="S1692" s="87"/>
      <c r="T1692" s="87"/>
      <c r="U1692" s="88"/>
      <c r="V1692" s="89"/>
      <c r="W1692" s="96">
        <v>0</v>
      </c>
      <c r="X1692" s="71">
        <f>CU1692</f>
        <v>0</v>
      </c>
      <c r="Y1692" s="71">
        <f>CY1692</f>
        <v>0</v>
      </c>
      <c r="Z1692" s="71">
        <f>DA1692+DC1692+DE1692</f>
        <v>0</v>
      </c>
      <c r="AA1692" s="71">
        <f>CW1692</f>
        <v>0</v>
      </c>
      <c r="AB1692" s="71"/>
      <c r="AC1692" s="71">
        <v>0</v>
      </c>
      <c r="AD1692" s="71">
        <f>W1692+X1692+Y1692+Z1692+AA1692+AB1692+AC1692</f>
        <v>0</v>
      </c>
      <c r="AE1692" s="72">
        <v>0</v>
      </c>
      <c r="AF1692" s="5"/>
      <c r="AG1692" s="6"/>
      <c r="AH1692" s="27" t="s">
        <v>3392</v>
      </c>
      <c r="AI1692" s="44" t="s">
        <v>3393</v>
      </c>
      <c r="AJ1692" s="26"/>
      <c r="AK1692" s="5"/>
      <c r="AL1692" s="82" t="s">
        <v>4490</v>
      </c>
      <c r="AM1692" s="76"/>
      <c r="AN1692" s="76"/>
      <c r="AO1692" s="76"/>
      <c r="AP1692" s="76"/>
      <c r="AQ1692" s="76"/>
      <c r="AR1692" s="76"/>
      <c r="AS1692" s="76"/>
      <c r="AT1692" s="76"/>
      <c r="AU1692" s="76"/>
      <c r="AV1692" s="76"/>
      <c r="AW1692" s="76"/>
      <c r="AX1692" s="76">
        <f>+AW1692*600000</f>
        <v>0</v>
      </c>
      <c r="AY1692" s="76"/>
      <c r="AZ1692" s="76">
        <f>+AY1692*70000</f>
        <v>0</v>
      </c>
      <c r="BA1692" s="76"/>
      <c r="BB1692" s="76"/>
      <c r="BC1692" s="76"/>
      <c r="BD1692" s="76">
        <f>+BC1692*30000</f>
        <v>0</v>
      </c>
      <c r="BE1692" s="76"/>
      <c r="BF1692" s="76"/>
      <c r="BG1692" s="76"/>
      <c r="BH1692" s="76"/>
      <c r="BI1692" s="76"/>
      <c r="BJ1692" s="76"/>
      <c r="BK1692" s="76"/>
      <c r="BL1692" s="76">
        <f>+BK1692*31500</f>
        <v>0</v>
      </c>
      <c r="BM1692" s="76"/>
      <c r="BN1692" s="76"/>
      <c r="BO1692" s="76"/>
      <c r="BP1692" s="76"/>
      <c r="BQ1692" s="76"/>
      <c r="BR1692" s="76"/>
      <c r="BS1692" s="76"/>
      <c r="BT1692" s="76"/>
      <c r="BU1692" s="76"/>
      <c r="BV1692" s="76"/>
      <c r="BW1692" s="76"/>
      <c r="BX1692" s="76"/>
      <c r="BY1692" s="76"/>
      <c r="BZ1692" s="76"/>
      <c r="CA1692" s="76"/>
      <c r="CB1692" s="76"/>
      <c r="CC1692" s="76"/>
      <c r="CD1692" s="76"/>
      <c r="CE1692" s="76"/>
      <c r="CF1692" s="76">
        <f>+CE1692*28000</f>
        <v>0</v>
      </c>
      <c r="CG1692" s="76"/>
      <c r="CH1692" s="76">
        <f>+CG1692*22500</f>
        <v>0</v>
      </c>
      <c r="CI1692" s="76"/>
      <c r="CJ1692" s="76">
        <f>+CI1692*26000</f>
        <v>0</v>
      </c>
      <c r="CK1692" s="76"/>
      <c r="CL1692" s="76"/>
      <c r="CM1692" s="76"/>
      <c r="CN1692" s="76">
        <f>+CM1692*22000</f>
        <v>0</v>
      </c>
      <c r="CO1692" s="76"/>
      <c r="CP1692" s="76">
        <f>+CO1692*46000</f>
        <v>0</v>
      </c>
      <c r="CQ1692" s="76"/>
      <c r="CR1692" s="76">
        <f>+CQ1692*49000</f>
        <v>0</v>
      </c>
      <c r="CS1692" s="76"/>
      <c r="CT1692" s="76"/>
      <c r="CU1692" s="56">
        <f>AN1692+AP1692+AR1692+AT1692+AV1692+AX1692+AZ1692+BB1692+BD1692+BF1692+BH1692+BJ1692+BL1692+BN1692+BP1692+BR1692+BT1692+BV1692+BX1692+BZ1692+CB1692+CD1692+CF1692+CH1692+CJ1692+CL1692+CN1692+CP1692+CR1692+CT1692</f>
        <v>0</v>
      </c>
      <c r="CV1692" s="76"/>
      <c r="CW1692" s="76">
        <f>+CV1692*1100</f>
        <v>0</v>
      </c>
      <c r="CX1692" s="76"/>
      <c r="CY1692" s="76">
        <f>+CX1692*106250</f>
        <v>0</v>
      </c>
      <c r="CZ1692" s="76"/>
      <c r="DA1692" s="76">
        <f>+CZ1692*34500</f>
        <v>0</v>
      </c>
      <c r="DB1692" s="76"/>
      <c r="DC1692" s="76">
        <f>+DB1692*25000</f>
        <v>0</v>
      </c>
      <c r="DD1692" s="219"/>
      <c r="DE1692" s="219"/>
      <c r="DF1692" s="166"/>
      <c r="DG1692" s="116"/>
      <c r="DH1692" s="117"/>
      <c r="DI1692" s="24"/>
      <c r="DJ1692" s="24"/>
      <c r="DK1692" s="24"/>
      <c r="DL1692" s="24"/>
      <c r="DM1692" s="24"/>
      <c r="DN1692" s="24"/>
      <c r="DO1692" s="24"/>
      <c r="DP1692" s="24"/>
      <c r="DQ1692" s="24"/>
      <c r="DR1692" s="24"/>
      <c r="DS1692" s="24"/>
      <c r="DT1692" s="24"/>
      <c r="DU1692" s="24"/>
    </row>
    <row r="1693" spans="1:125" s="8" customFormat="1" ht="132" x14ac:dyDescent="0.2">
      <c r="A1693" s="353">
        <v>41397</v>
      </c>
      <c r="B1693" s="208" t="s">
        <v>2851</v>
      </c>
      <c r="C1693" s="227" t="s">
        <v>2667</v>
      </c>
      <c r="D1693" s="84" t="s">
        <v>3088</v>
      </c>
      <c r="E1693" s="75" t="str">
        <f>VLOOKUP(B1693&amp;C1693,Divipola!$C$2:$F$1138,4,FALSE)</f>
        <v>76364</v>
      </c>
      <c r="F1693" s="87"/>
      <c r="G1693" s="87"/>
      <c r="H1693" s="87"/>
      <c r="I1693" s="87"/>
      <c r="J1693" s="87"/>
      <c r="K1693" s="87"/>
      <c r="L1693" s="87"/>
      <c r="M1693" s="87"/>
      <c r="N1693" s="87"/>
      <c r="O1693" s="87"/>
      <c r="P1693" s="87"/>
      <c r="Q1693" s="87"/>
      <c r="R1693" s="87"/>
      <c r="S1693" s="87"/>
      <c r="T1693" s="87"/>
      <c r="U1693" s="88"/>
      <c r="V1693" s="89"/>
      <c r="W1693" s="96">
        <v>0</v>
      </c>
      <c r="X1693" s="71">
        <f>CU1693</f>
        <v>0</v>
      </c>
      <c r="Y1693" s="71">
        <f>CY1693</f>
        <v>0</v>
      </c>
      <c r="Z1693" s="71">
        <f>DA1693+DC1693+DE1693</f>
        <v>0</v>
      </c>
      <c r="AA1693" s="71">
        <f>CW1693</f>
        <v>0</v>
      </c>
      <c r="AB1693" s="71"/>
      <c r="AC1693" s="71">
        <v>0</v>
      </c>
      <c r="AD1693" s="71">
        <f>W1693+X1693+Y1693+Z1693+AA1693+AB1693+AC1693</f>
        <v>0</v>
      </c>
      <c r="AE1693" s="72">
        <v>0</v>
      </c>
      <c r="AF1693" s="5"/>
      <c r="AG1693" s="6"/>
      <c r="AH1693" s="27" t="s">
        <v>3392</v>
      </c>
      <c r="AI1693" s="44" t="s">
        <v>3393</v>
      </c>
      <c r="AJ1693" s="26"/>
      <c r="AK1693" s="5"/>
      <c r="AL1693" s="82" t="s">
        <v>4493</v>
      </c>
      <c r="AM1693" s="76"/>
      <c r="AN1693" s="76"/>
      <c r="AO1693" s="76"/>
      <c r="AP1693" s="76"/>
      <c r="AQ1693" s="76"/>
      <c r="AR1693" s="76"/>
      <c r="AS1693" s="76"/>
      <c r="AT1693" s="76"/>
      <c r="AU1693" s="76"/>
      <c r="AV1693" s="76"/>
      <c r="AW1693" s="76"/>
      <c r="AX1693" s="76">
        <f>+AW1693*600000</f>
        <v>0</v>
      </c>
      <c r="AY1693" s="76"/>
      <c r="AZ1693" s="76">
        <f>+AY1693*70000</f>
        <v>0</v>
      </c>
      <c r="BA1693" s="76"/>
      <c r="BB1693" s="76"/>
      <c r="BC1693" s="76"/>
      <c r="BD1693" s="76">
        <f>+BC1693*30000</f>
        <v>0</v>
      </c>
      <c r="BE1693" s="76"/>
      <c r="BF1693" s="76"/>
      <c r="BG1693" s="76"/>
      <c r="BH1693" s="76"/>
      <c r="BI1693" s="76"/>
      <c r="BJ1693" s="76"/>
      <c r="BK1693" s="76"/>
      <c r="BL1693" s="76">
        <f>+BK1693*31500</f>
        <v>0</v>
      </c>
      <c r="BM1693" s="76"/>
      <c r="BN1693" s="76"/>
      <c r="BO1693" s="76"/>
      <c r="BP1693" s="76"/>
      <c r="BQ1693" s="76"/>
      <c r="BR1693" s="76"/>
      <c r="BS1693" s="76"/>
      <c r="BT1693" s="76"/>
      <c r="BU1693" s="76"/>
      <c r="BV1693" s="76"/>
      <c r="BW1693" s="76"/>
      <c r="BX1693" s="76"/>
      <c r="BY1693" s="76"/>
      <c r="BZ1693" s="76"/>
      <c r="CA1693" s="76"/>
      <c r="CB1693" s="76"/>
      <c r="CC1693" s="76"/>
      <c r="CD1693" s="76"/>
      <c r="CE1693" s="76"/>
      <c r="CF1693" s="76">
        <f>+CE1693*28000</f>
        <v>0</v>
      </c>
      <c r="CG1693" s="76"/>
      <c r="CH1693" s="76">
        <f>+CG1693*22500</f>
        <v>0</v>
      </c>
      <c r="CI1693" s="76"/>
      <c r="CJ1693" s="76">
        <f>+CI1693*26000</f>
        <v>0</v>
      </c>
      <c r="CK1693" s="76"/>
      <c r="CL1693" s="76"/>
      <c r="CM1693" s="76"/>
      <c r="CN1693" s="76">
        <f>+CM1693*22000</f>
        <v>0</v>
      </c>
      <c r="CO1693" s="76"/>
      <c r="CP1693" s="76">
        <f>+CO1693*46000</f>
        <v>0</v>
      </c>
      <c r="CQ1693" s="76"/>
      <c r="CR1693" s="76">
        <f>+CQ1693*49000</f>
        <v>0</v>
      </c>
      <c r="CS1693" s="76"/>
      <c r="CT1693" s="76"/>
      <c r="CU1693" s="56">
        <f>AN1693+AP1693+AR1693+AT1693+AV1693+AX1693+AZ1693+BB1693+BD1693+BF1693+BH1693+BJ1693+BL1693+BN1693+BP1693+BR1693+BT1693+BV1693+BX1693+BZ1693+CB1693+CD1693+CF1693+CH1693+CJ1693+CL1693+CN1693+CP1693+CR1693+CT1693</f>
        <v>0</v>
      </c>
      <c r="CV1693" s="76"/>
      <c r="CW1693" s="76">
        <f>+CV1693*1100</f>
        <v>0</v>
      </c>
      <c r="CX1693" s="76"/>
      <c r="CY1693" s="76">
        <f>+CX1693*106250</f>
        <v>0</v>
      </c>
      <c r="CZ1693" s="76"/>
      <c r="DA1693" s="76">
        <f>+CZ1693*34500</f>
        <v>0</v>
      </c>
      <c r="DB1693" s="76"/>
      <c r="DC1693" s="76">
        <f>+DB1693*25000</f>
        <v>0</v>
      </c>
      <c r="DD1693" s="219"/>
      <c r="DE1693" s="219"/>
      <c r="DF1693" s="166"/>
      <c r="DG1693" s="116"/>
      <c r="DH1693" s="117"/>
      <c r="DI1693" s="24"/>
      <c r="DJ1693" s="24"/>
      <c r="DK1693" s="24"/>
      <c r="DL1693" s="24"/>
      <c r="DM1693" s="24"/>
      <c r="DN1693" s="24"/>
      <c r="DO1693" s="24"/>
      <c r="DP1693" s="24"/>
      <c r="DQ1693" s="24"/>
      <c r="DR1693" s="24"/>
      <c r="DS1693" s="24"/>
      <c r="DT1693" s="24"/>
      <c r="DU1693" s="24"/>
    </row>
    <row r="1694" spans="1:125" s="8" customFormat="1" ht="36" x14ac:dyDescent="0.2">
      <c r="A1694" s="226">
        <v>41398</v>
      </c>
      <c r="B1694" s="225" t="s">
        <v>2894</v>
      </c>
      <c r="C1694" s="227" t="s">
        <v>2447</v>
      </c>
      <c r="D1694" s="227" t="s">
        <v>3051</v>
      </c>
      <c r="E1694" s="75" t="str">
        <f>VLOOKUP(B1694&amp;C1694,Divipola!$C$2:$F$1138,4,FALSE)</f>
        <v>05266</v>
      </c>
      <c r="F1694" s="87"/>
      <c r="G1694" s="87"/>
      <c r="H1694" s="87"/>
      <c r="I1694" s="87">
        <v>40</v>
      </c>
      <c r="J1694" s="87">
        <v>8</v>
      </c>
      <c r="K1694" s="87">
        <v>1</v>
      </c>
      <c r="L1694" s="87">
        <v>7</v>
      </c>
      <c r="M1694" s="87"/>
      <c r="N1694" s="87"/>
      <c r="O1694" s="87"/>
      <c r="P1694" s="87"/>
      <c r="Q1694" s="87"/>
      <c r="R1694" s="87"/>
      <c r="S1694" s="87"/>
      <c r="T1694" s="87"/>
      <c r="U1694" s="88"/>
      <c r="V1694" s="89"/>
      <c r="W1694" s="96">
        <v>0</v>
      </c>
      <c r="X1694" s="71">
        <f>CU1694</f>
        <v>0</v>
      </c>
      <c r="Y1694" s="71">
        <f>CY1694</f>
        <v>0</v>
      </c>
      <c r="Z1694" s="71">
        <f>DA1694+DC1694+DE1694</f>
        <v>0</v>
      </c>
      <c r="AA1694" s="71">
        <f>CW1694</f>
        <v>0</v>
      </c>
      <c r="AB1694" s="71"/>
      <c r="AC1694" s="71">
        <v>0</v>
      </c>
      <c r="AD1694" s="71">
        <f>W1694+X1694+Y1694+Z1694+AA1694+AB1694+AC1694</f>
        <v>0</v>
      </c>
      <c r="AE1694" s="72">
        <v>0</v>
      </c>
      <c r="AF1694" s="5"/>
      <c r="AG1694" s="6"/>
      <c r="AH1694" s="27" t="s">
        <v>3392</v>
      </c>
      <c r="AI1694" s="44" t="s">
        <v>3393</v>
      </c>
      <c r="AJ1694" s="26"/>
      <c r="AK1694" s="5"/>
      <c r="AL1694" s="82" t="s">
        <v>4535</v>
      </c>
      <c r="AM1694" s="76"/>
      <c r="AN1694" s="76"/>
      <c r="AO1694" s="76"/>
      <c r="AP1694" s="76"/>
      <c r="AQ1694" s="76"/>
      <c r="AR1694" s="76"/>
      <c r="AS1694" s="76"/>
      <c r="AT1694" s="76"/>
      <c r="AU1694" s="76"/>
      <c r="AV1694" s="76"/>
      <c r="AW1694" s="76"/>
      <c r="AX1694" s="76">
        <f>+AW1694*600000</f>
        <v>0</v>
      </c>
      <c r="AY1694" s="76"/>
      <c r="AZ1694" s="76">
        <f>+AY1694*70000</f>
        <v>0</v>
      </c>
      <c r="BA1694" s="76"/>
      <c r="BB1694" s="76"/>
      <c r="BC1694" s="76"/>
      <c r="BD1694" s="76">
        <f>+BC1694*30000</f>
        <v>0</v>
      </c>
      <c r="BE1694" s="76"/>
      <c r="BF1694" s="76"/>
      <c r="BG1694" s="76"/>
      <c r="BH1694" s="76"/>
      <c r="BI1694" s="76"/>
      <c r="BJ1694" s="76"/>
      <c r="BK1694" s="76"/>
      <c r="BL1694" s="76">
        <f>+BK1694*31500</f>
        <v>0</v>
      </c>
      <c r="BM1694" s="76"/>
      <c r="BN1694" s="76"/>
      <c r="BO1694" s="76"/>
      <c r="BP1694" s="76"/>
      <c r="BQ1694" s="76"/>
      <c r="BR1694" s="76"/>
      <c r="BS1694" s="76"/>
      <c r="BT1694" s="76"/>
      <c r="BU1694" s="76"/>
      <c r="BV1694" s="76"/>
      <c r="BW1694" s="76"/>
      <c r="BX1694" s="76"/>
      <c r="BY1694" s="76"/>
      <c r="BZ1694" s="76"/>
      <c r="CA1694" s="76"/>
      <c r="CB1694" s="76"/>
      <c r="CC1694" s="76"/>
      <c r="CD1694" s="76"/>
      <c r="CE1694" s="76"/>
      <c r="CF1694" s="76">
        <f>+CE1694*28000</f>
        <v>0</v>
      </c>
      <c r="CG1694" s="76"/>
      <c r="CH1694" s="76">
        <f>+CG1694*22500</f>
        <v>0</v>
      </c>
      <c r="CI1694" s="76"/>
      <c r="CJ1694" s="76">
        <f>+CI1694*26000</f>
        <v>0</v>
      </c>
      <c r="CK1694" s="76"/>
      <c r="CL1694" s="76"/>
      <c r="CM1694" s="76"/>
      <c r="CN1694" s="76">
        <f>+CM1694*22000</f>
        <v>0</v>
      </c>
      <c r="CO1694" s="76"/>
      <c r="CP1694" s="76">
        <f>+CO1694*46000</f>
        <v>0</v>
      </c>
      <c r="CQ1694" s="76"/>
      <c r="CR1694" s="76">
        <f>+CQ1694*49000</f>
        <v>0</v>
      </c>
      <c r="CS1694" s="76"/>
      <c r="CT1694" s="76"/>
      <c r="CU1694" s="56">
        <f>AN1694+AP1694+AR1694+AT1694+AV1694+AX1694+AZ1694+BB1694+BD1694+BF1694+BH1694+BJ1694+BL1694+BN1694+BP1694+BR1694+BT1694+BV1694+BX1694+BZ1694+CB1694+CD1694+CF1694+CH1694+CJ1694+CL1694+CN1694+CP1694+CR1694+CT1694</f>
        <v>0</v>
      </c>
      <c r="CV1694" s="76"/>
      <c r="CW1694" s="76">
        <f>+CV1694*1100</f>
        <v>0</v>
      </c>
      <c r="CX1694" s="76"/>
      <c r="CY1694" s="76">
        <f>+CX1694*106250</f>
        <v>0</v>
      </c>
      <c r="CZ1694" s="76"/>
      <c r="DA1694" s="76">
        <f>+CZ1694*34500</f>
        <v>0</v>
      </c>
      <c r="DB1694" s="76"/>
      <c r="DC1694" s="76">
        <f>+DB1694*25000</f>
        <v>0</v>
      </c>
      <c r="DD1694" s="219"/>
      <c r="DE1694" s="219"/>
      <c r="DF1694" s="166"/>
      <c r="DG1694" s="116"/>
      <c r="DH1694" s="117"/>
      <c r="DI1694" s="24"/>
      <c r="DJ1694" s="24"/>
      <c r="DK1694" s="24"/>
      <c r="DL1694" s="24"/>
      <c r="DM1694" s="24"/>
      <c r="DN1694" s="24"/>
      <c r="DO1694" s="24"/>
      <c r="DP1694" s="24"/>
      <c r="DQ1694" s="24"/>
      <c r="DR1694" s="24"/>
      <c r="DS1694" s="24"/>
      <c r="DT1694" s="24"/>
      <c r="DU1694" s="24"/>
    </row>
    <row r="1695" spans="1:125" s="8" customFormat="1" ht="72" x14ac:dyDescent="0.2">
      <c r="A1695" s="353">
        <v>41398</v>
      </c>
      <c r="B1695" s="352" t="s">
        <v>2894</v>
      </c>
      <c r="C1695" s="354" t="s">
        <v>2823</v>
      </c>
      <c r="D1695" s="354" t="s">
        <v>3051</v>
      </c>
      <c r="E1695" s="75" t="str">
        <f>VLOOKUP(B1695&amp;C1695,Divipola!$C$2:$F$1138,4,FALSE)</f>
        <v>05670</v>
      </c>
      <c r="F1695" s="87"/>
      <c r="G1695" s="87"/>
      <c r="H1695" s="87"/>
      <c r="I1695" s="87">
        <v>1250</v>
      </c>
      <c r="J1695" s="87">
        <v>250</v>
      </c>
      <c r="K1695" s="87"/>
      <c r="L1695" s="87">
        <v>250</v>
      </c>
      <c r="M1695" s="87"/>
      <c r="N1695" s="87"/>
      <c r="O1695" s="87"/>
      <c r="P1695" s="87"/>
      <c r="Q1695" s="87"/>
      <c r="R1695" s="87"/>
      <c r="S1695" s="87"/>
      <c r="T1695" s="87"/>
      <c r="U1695" s="88"/>
      <c r="V1695" s="89">
        <v>40</v>
      </c>
      <c r="W1695" s="96">
        <v>0</v>
      </c>
      <c r="X1695" s="71">
        <f>CU1695</f>
        <v>0</v>
      </c>
      <c r="Y1695" s="71">
        <f>CY1695</f>
        <v>0</v>
      </c>
      <c r="Z1695" s="71">
        <f>DA1695+DC1695+DE1695</f>
        <v>0</v>
      </c>
      <c r="AA1695" s="71">
        <f>CW1695</f>
        <v>0</v>
      </c>
      <c r="AB1695" s="71"/>
      <c r="AC1695" s="71">
        <v>0</v>
      </c>
      <c r="AD1695" s="71">
        <f>W1695+X1695+Y1695+Z1695+AA1695+AB1695+AC1695</f>
        <v>0</v>
      </c>
      <c r="AE1695" s="72">
        <v>0</v>
      </c>
      <c r="AF1695" s="5"/>
      <c r="AG1695" s="6"/>
      <c r="AH1695" s="27" t="s">
        <v>3392</v>
      </c>
      <c r="AI1695" s="44" t="s">
        <v>3393</v>
      </c>
      <c r="AJ1695" s="26"/>
      <c r="AK1695" s="5"/>
      <c r="AL1695" s="82" t="s">
        <v>4526</v>
      </c>
      <c r="AM1695" s="76"/>
      <c r="AN1695" s="76"/>
      <c r="AO1695" s="76"/>
      <c r="AP1695" s="76"/>
      <c r="AQ1695" s="76"/>
      <c r="AR1695" s="76"/>
      <c r="AS1695" s="76"/>
      <c r="AT1695" s="76"/>
      <c r="AU1695" s="76"/>
      <c r="AV1695" s="76"/>
      <c r="AW1695" s="76"/>
      <c r="AX1695" s="76">
        <f>+AW1695*600000</f>
        <v>0</v>
      </c>
      <c r="AY1695" s="76"/>
      <c r="AZ1695" s="76">
        <f>+AY1695*70000</f>
        <v>0</v>
      </c>
      <c r="BA1695" s="76"/>
      <c r="BB1695" s="76"/>
      <c r="BC1695" s="76"/>
      <c r="BD1695" s="76">
        <f>+BC1695*30000</f>
        <v>0</v>
      </c>
      <c r="BE1695" s="76"/>
      <c r="BF1695" s="76"/>
      <c r="BG1695" s="76"/>
      <c r="BH1695" s="76"/>
      <c r="BI1695" s="76"/>
      <c r="BJ1695" s="76"/>
      <c r="BK1695" s="76"/>
      <c r="BL1695" s="76">
        <f>+BK1695*31500</f>
        <v>0</v>
      </c>
      <c r="BM1695" s="76"/>
      <c r="BN1695" s="76"/>
      <c r="BO1695" s="76"/>
      <c r="BP1695" s="76"/>
      <c r="BQ1695" s="76"/>
      <c r="BR1695" s="76"/>
      <c r="BS1695" s="76"/>
      <c r="BT1695" s="76"/>
      <c r="BU1695" s="76"/>
      <c r="BV1695" s="76"/>
      <c r="BW1695" s="76"/>
      <c r="BX1695" s="76"/>
      <c r="BY1695" s="76"/>
      <c r="BZ1695" s="76"/>
      <c r="CA1695" s="76"/>
      <c r="CB1695" s="76"/>
      <c r="CC1695" s="76"/>
      <c r="CD1695" s="76"/>
      <c r="CE1695" s="76"/>
      <c r="CF1695" s="76">
        <f>+CE1695*28000</f>
        <v>0</v>
      </c>
      <c r="CG1695" s="76"/>
      <c r="CH1695" s="76">
        <f>+CG1695*22500</f>
        <v>0</v>
      </c>
      <c r="CI1695" s="76"/>
      <c r="CJ1695" s="76">
        <f>+CI1695*26000</f>
        <v>0</v>
      </c>
      <c r="CK1695" s="76"/>
      <c r="CL1695" s="76"/>
      <c r="CM1695" s="76"/>
      <c r="CN1695" s="76">
        <f>+CM1695*22000</f>
        <v>0</v>
      </c>
      <c r="CO1695" s="76"/>
      <c r="CP1695" s="76">
        <f>+CO1695*46000</f>
        <v>0</v>
      </c>
      <c r="CQ1695" s="76"/>
      <c r="CR1695" s="76">
        <f>+CQ1695*49000</f>
        <v>0</v>
      </c>
      <c r="CS1695" s="76"/>
      <c r="CT1695" s="76"/>
      <c r="CU1695" s="56">
        <f>AN1695+AP1695+AR1695+AT1695+AV1695+AX1695+AZ1695+BB1695+BD1695+BF1695+BH1695+BJ1695+BL1695+BN1695+BP1695+BR1695+BT1695+BV1695+BX1695+BZ1695+CB1695+CD1695+CF1695+CH1695+CJ1695+CL1695+CN1695+CP1695+CR1695+CT1695</f>
        <v>0</v>
      </c>
      <c r="CV1695" s="76"/>
      <c r="CW1695" s="76">
        <f>+CV1695*1100</f>
        <v>0</v>
      </c>
      <c r="CX1695" s="76"/>
      <c r="CY1695" s="76">
        <f>+CX1695*106250</f>
        <v>0</v>
      </c>
      <c r="CZ1695" s="76"/>
      <c r="DA1695" s="76">
        <f>+CZ1695*34500</f>
        <v>0</v>
      </c>
      <c r="DB1695" s="76"/>
      <c r="DC1695" s="76">
        <f>+DB1695*25000</f>
        <v>0</v>
      </c>
      <c r="DD1695" s="219"/>
      <c r="DE1695" s="219"/>
      <c r="DF1695" s="166"/>
      <c r="DG1695" s="116"/>
      <c r="DH1695" s="117"/>
      <c r="DI1695" s="24"/>
      <c r="DJ1695" s="24"/>
      <c r="DK1695" s="24"/>
      <c r="DL1695" s="24"/>
      <c r="DM1695" s="24"/>
      <c r="DN1695" s="24"/>
      <c r="DO1695" s="24"/>
      <c r="DP1695" s="24"/>
      <c r="DQ1695" s="24"/>
      <c r="DR1695" s="24"/>
      <c r="DS1695" s="24"/>
      <c r="DT1695" s="24"/>
      <c r="DU1695" s="24"/>
    </row>
    <row r="1696" spans="1:125" s="8" customFormat="1" ht="84" x14ac:dyDescent="0.2">
      <c r="A1696" s="77">
        <v>41398</v>
      </c>
      <c r="B1696" s="78" t="s">
        <v>2700</v>
      </c>
      <c r="C1696" s="75" t="s">
        <v>1600</v>
      </c>
      <c r="D1696" s="75" t="s">
        <v>3205</v>
      </c>
      <c r="E1696" s="75" t="str">
        <f>VLOOKUP(B1696&amp;C1696,Divipola!$C$2:$F$1138,4,FALSE)</f>
        <v>15180</v>
      </c>
      <c r="F1696" s="87"/>
      <c r="G1696" s="87"/>
      <c r="H1696" s="87"/>
      <c r="I1696" s="87"/>
      <c r="J1696" s="87"/>
      <c r="K1696" s="87"/>
      <c r="L1696" s="87"/>
      <c r="M1696" s="87"/>
      <c r="N1696" s="87">
        <v>1</v>
      </c>
      <c r="O1696" s="87"/>
      <c r="P1696" s="87"/>
      <c r="Q1696" s="87"/>
      <c r="R1696" s="87"/>
      <c r="S1696" s="87"/>
      <c r="T1696" s="87"/>
      <c r="U1696" s="88"/>
      <c r="V1696" s="89"/>
      <c r="W1696" s="96">
        <v>0</v>
      </c>
      <c r="X1696" s="71">
        <f>CU1696</f>
        <v>0</v>
      </c>
      <c r="Y1696" s="71">
        <f>CY1696</f>
        <v>0</v>
      </c>
      <c r="Z1696" s="71">
        <f>DA1696+DC1696+DE1696</f>
        <v>81000000</v>
      </c>
      <c r="AA1696" s="71">
        <f>CW1696</f>
        <v>0</v>
      </c>
      <c r="AB1696" s="71"/>
      <c r="AC1696" s="71">
        <v>0</v>
      </c>
      <c r="AD1696" s="71">
        <f>W1696+X1696+Y1696+Z1696+AA1696+AB1696+AC1696</f>
        <v>81000000</v>
      </c>
      <c r="AE1696" s="72">
        <v>0</v>
      </c>
      <c r="AF1696" s="5"/>
      <c r="AG1696" s="6"/>
      <c r="AH1696" s="27" t="s">
        <v>3390</v>
      </c>
      <c r="AI1696" s="44" t="s">
        <v>3391</v>
      </c>
      <c r="AJ1696" s="26"/>
      <c r="AK1696" s="5"/>
      <c r="AL1696" s="82" t="s">
        <v>4506</v>
      </c>
      <c r="AM1696" s="76"/>
      <c r="AN1696" s="76"/>
      <c r="AO1696" s="76"/>
      <c r="AP1696" s="76"/>
      <c r="AQ1696" s="76"/>
      <c r="AR1696" s="76"/>
      <c r="AS1696" s="76"/>
      <c r="AT1696" s="76"/>
      <c r="AU1696" s="76"/>
      <c r="AV1696" s="76"/>
      <c r="AW1696" s="76"/>
      <c r="AX1696" s="76">
        <f>+AW1696*600000</f>
        <v>0</v>
      </c>
      <c r="AY1696" s="76"/>
      <c r="AZ1696" s="76">
        <f>+AY1696*70000</f>
        <v>0</v>
      </c>
      <c r="BA1696" s="76"/>
      <c r="BB1696" s="76"/>
      <c r="BC1696" s="76"/>
      <c r="BD1696" s="76">
        <f>+BC1696*30000</f>
        <v>0</v>
      </c>
      <c r="BE1696" s="76"/>
      <c r="BF1696" s="76"/>
      <c r="BG1696" s="76"/>
      <c r="BH1696" s="76"/>
      <c r="BI1696" s="76"/>
      <c r="BJ1696" s="76"/>
      <c r="BK1696" s="76"/>
      <c r="BL1696" s="76">
        <f>+BK1696*31500</f>
        <v>0</v>
      </c>
      <c r="BM1696" s="76"/>
      <c r="BN1696" s="76"/>
      <c r="BO1696" s="76"/>
      <c r="BP1696" s="76"/>
      <c r="BQ1696" s="76"/>
      <c r="BR1696" s="76"/>
      <c r="BS1696" s="76"/>
      <c r="BT1696" s="76"/>
      <c r="BU1696" s="76"/>
      <c r="BV1696" s="76"/>
      <c r="BW1696" s="76"/>
      <c r="BX1696" s="76"/>
      <c r="BY1696" s="76"/>
      <c r="BZ1696" s="76"/>
      <c r="CA1696" s="76"/>
      <c r="CB1696" s="76"/>
      <c r="CC1696" s="76"/>
      <c r="CD1696" s="76"/>
      <c r="CE1696" s="76"/>
      <c r="CF1696" s="76">
        <f>+CE1696*28000</f>
        <v>0</v>
      </c>
      <c r="CG1696" s="76"/>
      <c r="CH1696" s="76">
        <f>+CG1696*22500</f>
        <v>0</v>
      </c>
      <c r="CI1696" s="76"/>
      <c r="CJ1696" s="76">
        <f>+CI1696*26000</f>
        <v>0</v>
      </c>
      <c r="CK1696" s="76"/>
      <c r="CL1696" s="76"/>
      <c r="CM1696" s="76"/>
      <c r="CN1696" s="76">
        <f>+CM1696*22000</f>
        <v>0</v>
      </c>
      <c r="CO1696" s="76"/>
      <c r="CP1696" s="76">
        <f>+CO1696*46000</f>
        <v>0</v>
      </c>
      <c r="CQ1696" s="76"/>
      <c r="CR1696" s="76">
        <f>+CQ1696*49000</f>
        <v>0</v>
      </c>
      <c r="CS1696" s="76"/>
      <c r="CT1696" s="76"/>
      <c r="CU1696" s="56">
        <f>AN1696+AP1696+AR1696+AT1696+AV1696+AX1696+AZ1696+BB1696+BD1696+BF1696+BH1696+BJ1696+BL1696+BN1696+BP1696+BR1696+BT1696+BV1696+BX1696+BZ1696+CB1696+CD1696+CF1696+CH1696+CJ1696+CL1696+CN1696+CP1696+CR1696+CT1696</f>
        <v>0</v>
      </c>
      <c r="CV1696" s="76"/>
      <c r="CW1696" s="76">
        <f>+CV1696*1100</f>
        <v>0</v>
      </c>
      <c r="CX1696" s="76"/>
      <c r="CY1696" s="76">
        <f>+CX1696*106250</f>
        <v>0</v>
      </c>
      <c r="CZ1696" s="76"/>
      <c r="DA1696" s="76">
        <f>+CZ1696*34500</f>
        <v>0</v>
      </c>
      <c r="DB1696" s="76"/>
      <c r="DC1696" s="76">
        <f>+DB1696*25000</f>
        <v>0</v>
      </c>
      <c r="DD1696" s="222" t="s">
        <v>4943</v>
      </c>
      <c r="DE1696" s="309">
        <f>900*90000</f>
        <v>81000000</v>
      </c>
      <c r="DF1696" s="166"/>
      <c r="DG1696" s="134" t="s">
        <v>5461</v>
      </c>
      <c r="DH1696" s="117"/>
      <c r="DI1696" s="24"/>
      <c r="DJ1696" s="24"/>
      <c r="DK1696" s="24"/>
      <c r="DL1696" s="24"/>
      <c r="DM1696" s="24"/>
      <c r="DN1696" s="24"/>
      <c r="DO1696" s="24"/>
      <c r="DP1696" s="24"/>
      <c r="DQ1696" s="24"/>
      <c r="DR1696" s="24"/>
      <c r="DS1696" s="24"/>
      <c r="DT1696" s="24"/>
      <c r="DU1696" s="24"/>
    </row>
    <row r="1697" spans="1:125" s="8" customFormat="1" ht="84" x14ac:dyDescent="0.2">
      <c r="A1697" s="353">
        <v>41398</v>
      </c>
      <c r="B1697" s="352" t="s">
        <v>2778</v>
      </c>
      <c r="C1697" s="354" t="s">
        <v>2001</v>
      </c>
      <c r="D1697" s="354" t="s">
        <v>3027</v>
      </c>
      <c r="E1697" s="75" t="str">
        <f>VLOOKUP(B1697&amp;C1697,Divipola!$C$2:$F$1138,4,FALSE)</f>
        <v>85162</v>
      </c>
      <c r="F1697" s="87"/>
      <c r="G1697" s="87">
        <v>2</v>
      </c>
      <c r="H1697" s="87"/>
      <c r="I1697" s="87"/>
      <c r="J1697" s="87"/>
      <c r="K1697" s="87"/>
      <c r="L1697" s="87"/>
      <c r="M1697" s="87"/>
      <c r="N1697" s="87"/>
      <c r="O1697" s="87"/>
      <c r="P1697" s="87"/>
      <c r="Q1697" s="87"/>
      <c r="R1697" s="87"/>
      <c r="S1697" s="87"/>
      <c r="T1697" s="87"/>
      <c r="U1697" s="88"/>
      <c r="V1697" s="89"/>
      <c r="W1697" s="96">
        <v>0</v>
      </c>
      <c r="X1697" s="71">
        <f>CU1697</f>
        <v>0</v>
      </c>
      <c r="Y1697" s="71">
        <f>CY1697</f>
        <v>0</v>
      </c>
      <c r="Z1697" s="71">
        <f>DA1697+DC1697+DE1697</f>
        <v>0</v>
      </c>
      <c r="AA1697" s="71">
        <f>CW1697</f>
        <v>0</v>
      </c>
      <c r="AB1697" s="71"/>
      <c r="AC1697" s="71">
        <v>0</v>
      </c>
      <c r="AD1697" s="71">
        <f>W1697+X1697+Y1697+Z1697+AA1697+AB1697+AC1697</f>
        <v>0</v>
      </c>
      <c r="AE1697" s="72">
        <v>0</v>
      </c>
      <c r="AF1697" s="5"/>
      <c r="AG1697" s="6"/>
      <c r="AH1697" s="27" t="s">
        <v>3392</v>
      </c>
      <c r="AI1697" s="44" t="s">
        <v>3393</v>
      </c>
      <c r="AJ1697" s="26"/>
      <c r="AK1697" s="5"/>
      <c r="AL1697" s="82" t="s">
        <v>4511</v>
      </c>
      <c r="AM1697" s="76"/>
      <c r="AN1697" s="76"/>
      <c r="AO1697" s="76"/>
      <c r="AP1697" s="76"/>
      <c r="AQ1697" s="76"/>
      <c r="AR1697" s="76"/>
      <c r="AS1697" s="76"/>
      <c r="AT1697" s="76"/>
      <c r="AU1697" s="76"/>
      <c r="AV1697" s="76"/>
      <c r="AW1697" s="76"/>
      <c r="AX1697" s="76">
        <f>+AW1697*600000</f>
        <v>0</v>
      </c>
      <c r="AY1697" s="76"/>
      <c r="AZ1697" s="76">
        <f>+AY1697*70000</f>
        <v>0</v>
      </c>
      <c r="BA1697" s="76"/>
      <c r="BB1697" s="76"/>
      <c r="BC1697" s="76"/>
      <c r="BD1697" s="76">
        <f>+BC1697*30000</f>
        <v>0</v>
      </c>
      <c r="BE1697" s="76"/>
      <c r="BF1697" s="76"/>
      <c r="BG1697" s="76"/>
      <c r="BH1697" s="76"/>
      <c r="BI1697" s="76"/>
      <c r="BJ1697" s="76"/>
      <c r="BK1697" s="76"/>
      <c r="BL1697" s="76">
        <f>+BK1697*31500</f>
        <v>0</v>
      </c>
      <c r="BM1697" s="76"/>
      <c r="BN1697" s="76"/>
      <c r="BO1697" s="76"/>
      <c r="BP1697" s="76"/>
      <c r="BQ1697" s="76"/>
      <c r="BR1697" s="76"/>
      <c r="BS1697" s="76"/>
      <c r="BT1697" s="76"/>
      <c r="BU1697" s="76"/>
      <c r="BV1697" s="76"/>
      <c r="BW1697" s="76"/>
      <c r="BX1697" s="76"/>
      <c r="BY1697" s="76"/>
      <c r="BZ1697" s="76"/>
      <c r="CA1697" s="76"/>
      <c r="CB1697" s="76"/>
      <c r="CC1697" s="76"/>
      <c r="CD1697" s="76"/>
      <c r="CE1697" s="76"/>
      <c r="CF1697" s="76">
        <f>+CE1697*28000</f>
        <v>0</v>
      </c>
      <c r="CG1697" s="76"/>
      <c r="CH1697" s="76">
        <f>+CG1697*22500</f>
        <v>0</v>
      </c>
      <c r="CI1697" s="76"/>
      <c r="CJ1697" s="76">
        <f>+CI1697*26000</f>
        <v>0</v>
      </c>
      <c r="CK1697" s="76"/>
      <c r="CL1697" s="76"/>
      <c r="CM1697" s="76"/>
      <c r="CN1697" s="76">
        <f>+CM1697*22000</f>
        <v>0</v>
      </c>
      <c r="CO1697" s="76"/>
      <c r="CP1697" s="76">
        <f>+CO1697*46000</f>
        <v>0</v>
      </c>
      <c r="CQ1697" s="76"/>
      <c r="CR1697" s="76">
        <f>+CQ1697*49000</f>
        <v>0</v>
      </c>
      <c r="CS1697" s="76"/>
      <c r="CT1697" s="76"/>
      <c r="CU1697" s="56">
        <f>AN1697+AP1697+AR1697+AT1697+AV1697+AX1697+AZ1697+BB1697+BD1697+BF1697+BH1697+BJ1697+BL1697+BN1697+BP1697+BR1697+BT1697+BV1697+BX1697+BZ1697+CB1697+CD1697+CF1697+CH1697+CJ1697+CL1697+CN1697+CP1697+CR1697+CT1697</f>
        <v>0</v>
      </c>
      <c r="CV1697" s="76"/>
      <c r="CW1697" s="76">
        <f>+CV1697*1100</f>
        <v>0</v>
      </c>
      <c r="CX1697" s="76"/>
      <c r="CY1697" s="76">
        <f>+CX1697*106250</f>
        <v>0</v>
      </c>
      <c r="CZ1697" s="76"/>
      <c r="DA1697" s="76">
        <f>+CZ1697*34500</f>
        <v>0</v>
      </c>
      <c r="DB1697" s="76"/>
      <c r="DC1697" s="76">
        <f>+DB1697*25000</f>
        <v>0</v>
      </c>
      <c r="DD1697" s="219"/>
      <c r="DE1697" s="219"/>
      <c r="DF1697" s="166"/>
      <c r="DG1697" s="116"/>
      <c r="DH1697" s="117"/>
      <c r="DI1697" s="24"/>
      <c r="DJ1697" s="24"/>
      <c r="DK1697" s="24"/>
      <c r="DL1697" s="24"/>
      <c r="DM1697" s="24"/>
      <c r="DN1697" s="24"/>
      <c r="DO1697" s="24"/>
      <c r="DP1697" s="24"/>
      <c r="DQ1697" s="24"/>
      <c r="DR1697" s="24"/>
      <c r="DS1697" s="24"/>
      <c r="DT1697" s="24"/>
      <c r="DU1697" s="24"/>
    </row>
    <row r="1698" spans="1:125" s="8" customFormat="1" ht="36" x14ac:dyDescent="0.2">
      <c r="A1698" s="77">
        <v>41398</v>
      </c>
      <c r="B1698" s="208" t="s">
        <v>2718</v>
      </c>
      <c r="C1698" s="227" t="s">
        <v>2200</v>
      </c>
      <c r="D1698" s="227" t="s">
        <v>3051</v>
      </c>
      <c r="E1698" s="75" t="str">
        <f>VLOOKUP(B1698&amp;C1698,Divipola!$C$2:$F$1138,4,FALSE)</f>
        <v>23162</v>
      </c>
      <c r="F1698" s="87"/>
      <c r="G1698" s="87"/>
      <c r="H1698" s="87"/>
      <c r="I1698" s="87">
        <v>350</v>
      </c>
      <c r="J1698" s="87">
        <v>70</v>
      </c>
      <c r="K1698" s="87"/>
      <c r="L1698" s="87">
        <v>70</v>
      </c>
      <c r="M1698" s="87"/>
      <c r="N1698" s="87"/>
      <c r="O1698" s="87"/>
      <c r="P1698" s="87"/>
      <c r="Q1698" s="87"/>
      <c r="R1698" s="87"/>
      <c r="S1698" s="87"/>
      <c r="T1698" s="87"/>
      <c r="U1698" s="88"/>
      <c r="V1698" s="89"/>
      <c r="W1698" s="96">
        <v>0</v>
      </c>
      <c r="X1698" s="71">
        <f>CU1698</f>
        <v>0</v>
      </c>
      <c r="Y1698" s="71">
        <f>CY1698</f>
        <v>0</v>
      </c>
      <c r="Z1698" s="71">
        <f>DA1698+DC1698+DE1698</f>
        <v>0</v>
      </c>
      <c r="AA1698" s="71">
        <f>CW1698</f>
        <v>0</v>
      </c>
      <c r="AB1698" s="71"/>
      <c r="AC1698" s="71">
        <v>0</v>
      </c>
      <c r="AD1698" s="71">
        <f>W1698+X1698+Y1698+Z1698+AA1698+AB1698+AC1698</f>
        <v>0</v>
      </c>
      <c r="AE1698" s="72">
        <v>0</v>
      </c>
      <c r="AF1698" s="5"/>
      <c r="AG1698" s="6"/>
      <c r="AH1698" s="27" t="s">
        <v>3392</v>
      </c>
      <c r="AI1698" s="44" t="s">
        <v>3393</v>
      </c>
      <c r="AJ1698" s="26"/>
      <c r="AK1698" s="5"/>
      <c r="AL1698" s="82" t="s">
        <v>4529</v>
      </c>
      <c r="AM1698" s="76"/>
      <c r="AN1698" s="76"/>
      <c r="AO1698" s="76"/>
      <c r="AP1698" s="76"/>
      <c r="AQ1698" s="76"/>
      <c r="AR1698" s="76"/>
      <c r="AS1698" s="76"/>
      <c r="AT1698" s="76"/>
      <c r="AU1698" s="76"/>
      <c r="AV1698" s="76"/>
      <c r="AW1698" s="76"/>
      <c r="AX1698" s="76">
        <f>+AW1698*600000</f>
        <v>0</v>
      </c>
      <c r="AY1698" s="76"/>
      <c r="AZ1698" s="76">
        <f>+AY1698*70000</f>
        <v>0</v>
      </c>
      <c r="BA1698" s="76"/>
      <c r="BB1698" s="76"/>
      <c r="BC1698" s="76"/>
      <c r="BD1698" s="76">
        <f>+BC1698*30000</f>
        <v>0</v>
      </c>
      <c r="BE1698" s="76"/>
      <c r="BF1698" s="76"/>
      <c r="BG1698" s="76"/>
      <c r="BH1698" s="76"/>
      <c r="BI1698" s="76"/>
      <c r="BJ1698" s="76"/>
      <c r="BK1698" s="76"/>
      <c r="BL1698" s="76">
        <f>+BK1698*31500</f>
        <v>0</v>
      </c>
      <c r="BM1698" s="76"/>
      <c r="BN1698" s="76"/>
      <c r="BO1698" s="76"/>
      <c r="BP1698" s="76"/>
      <c r="BQ1698" s="76"/>
      <c r="BR1698" s="76"/>
      <c r="BS1698" s="76"/>
      <c r="BT1698" s="76"/>
      <c r="BU1698" s="76"/>
      <c r="BV1698" s="76"/>
      <c r="BW1698" s="76"/>
      <c r="BX1698" s="76"/>
      <c r="BY1698" s="76"/>
      <c r="BZ1698" s="76"/>
      <c r="CA1698" s="76"/>
      <c r="CB1698" s="76"/>
      <c r="CC1698" s="76"/>
      <c r="CD1698" s="76"/>
      <c r="CE1698" s="76"/>
      <c r="CF1698" s="76">
        <f>+CE1698*28000</f>
        <v>0</v>
      </c>
      <c r="CG1698" s="76"/>
      <c r="CH1698" s="76">
        <f>+CG1698*22500</f>
        <v>0</v>
      </c>
      <c r="CI1698" s="76"/>
      <c r="CJ1698" s="76">
        <f>+CI1698*26000</f>
        <v>0</v>
      </c>
      <c r="CK1698" s="76"/>
      <c r="CL1698" s="76"/>
      <c r="CM1698" s="76"/>
      <c r="CN1698" s="76">
        <f>+CM1698*22000</f>
        <v>0</v>
      </c>
      <c r="CO1698" s="76"/>
      <c r="CP1698" s="76">
        <f>+CO1698*46000</f>
        <v>0</v>
      </c>
      <c r="CQ1698" s="76"/>
      <c r="CR1698" s="76">
        <f>+CQ1698*49000</f>
        <v>0</v>
      </c>
      <c r="CS1698" s="76"/>
      <c r="CT1698" s="76"/>
      <c r="CU1698" s="56">
        <f>AN1698+AP1698+AR1698+AT1698+AV1698+AX1698+AZ1698+BB1698+BD1698+BF1698+BH1698+BJ1698+BL1698+BN1698+BP1698+BR1698+BT1698+BV1698+BX1698+BZ1698+CB1698+CD1698+CF1698+CH1698+CJ1698+CL1698+CN1698+CP1698+CR1698+CT1698</f>
        <v>0</v>
      </c>
      <c r="CV1698" s="76"/>
      <c r="CW1698" s="76">
        <f>+CV1698*1100</f>
        <v>0</v>
      </c>
      <c r="CX1698" s="76"/>
      <c r="CY1698" s="76">
        <f>+CX1698*106250</f>
        <v>0</v>
      </c>
      <c r="CZ1698" s="76"/>
      <c r="DA1698" s="76">
        <f>+CZ1698*34500</f>
        <v>0</v>
      </c>
      <c r="DB1698" s="76"/>
      <c r="DC1698" s="76">
        <f>+DB1698*25000</f>
        <v>0</v>
      </c>
      <c r="DD1698" s="219"/>
      <c r="DE1698" s="219"/>
      <c r="DF1698" s="166"/>
      <c r="DG1698" s="116"/>
      <c r="DH1698" s="117"/>
      <c r="DI1698" s="24"/>
      <c r="DJ1698" s="24"/>
      <c r="DK1698" s="24"/>
      <c r="DL1698" s="24"/>
      <c r="DM1698" s="24"/>
      <c r="DN1698" s="24"/>
      <c r="DO1698" s="24"/>
      <c r="DP1698" s="24"/>
      <c r="DQ1698" s="24"/>
      <c r="DR1698" s="24"/>
      <c r="DS1698" s="24"/>
      <c r="DT1698" s="24"/>
      <c r="DU1698" s="24"/>
    </row>
    <row r="1699" spans="1:125" s="8" customFormat="1" ht="36" x14ac:dyDescent="0.2">
      <c r="A1699" s="353">
        <v>41398</v>
      </c>
      <c r="B1699" s="352" t="s">
        <v>2661</v>
      </c>
      <c r="C1699" s="354" t="s">
        <v>475</v>
      </c>
      <c r="D1699" s="354" t="s">
        <v>2882</v>
      </c>
      <c r="E1699" s="75" t="str">
        <f>VLOOKUP(B1699&amp;C1699,Divipola!$C$2:$F$1138,4,FALSE)</f>
        <v>41006</v>
      </c>
      <c r="F1699" s="87"/>
      <c r="G1699" s="87"/>
      <c r="H1699" s="87"/>
      <c r="I1699" s="87">
        <v>5</v>
      </c>
      <c r="J1699" s="87">
        <v>1</v>
      </c>
      <c r="K1699" s="87"/>
      <c r="L1699" s="87">
        <v>1</v>
      </c>
      <c r="M1699" s="87"/>
      <c r="N1699" s="87"/>
      <c r="O1699" s="87"/>
      <c r="P1699" s="87"/>
      <c r="Q1699" s="87"/>
      <c r="R1699" s="87"/>
      <c r="S1699" s="87"/>
      <c r="T1699" s="87"/>
      <c r="U1699" s="88"/>
      <c r="V1699" s="89"/>
      <c r="W1699" s="96">
        <v>0</v>
      </c>
      <c r="X1699" s="71">
        <f>CU1699</f>
        <v>0</v>
      </c>
      <c r="Y1699" s="71">
        <f>CY1699</f>
        <v>0</v>
      </c>
      <c r="Z1699" s="71">
        <f>DA1699+DC1699+DE1699</f>
        <v>0</v>
      </c>
      <c r="AA1699" s="71">
        <f>CW1699</f>
        <v>0</v>
      </c>
      <c r="AB1699" s="71"/>
      <c r="AC1699" s="71">
        <v>0</v>
      </c>
      <c r="AD1699" s="71">
        <f>W1699+X1699+Y1699+Z1699+AA1699+AB1699+AC1699</f>
        <v>0</v>
      </c>
      <c r="AE1699" s="72">
        <v>0</v>
      </c>
      <c r="AF1699" s="5"/>
      <c r="AG1699" s="6"/>
      <c r="AH1699" s="27" t="s">
        <v>3392</v>
      </c>
      <c r="AI1699" s="44" t="s">
        <v>3393</v>
      </c>
      <c r="AJ1699" s="26"/>
      <c r="AK1699" s="5"/>
      <c r="AL1699" s="82" t="s">
        <v>4513</v>
      </c>
      <c r="AM1699" s="76"/>
      <c r="AN1699" s="76"/>
      <c r="AO1699" s="76"/>
      <c r="AP1699" s="76"/>
      <c r="AQ1699" s="76"/>
      <c r="AR1699" s="76"/>
      <c r="AS1699" s="76"/>
      <c r="AT1699" s="76"/>
      <c r="AU1699" s="76"/>
      <c r="AV1699" s="76"/>
      <c r="AW1699" s="76"/>
      <c r="AX1699" s="76">
        <f>+AW1699*600000</f>
        <v>0</v>
      </c>
      <c r="AY1699" s="76"/>
      <c r="AZ1699" s="76">
        <f>+AY1699*70000</f>
        <v>0</v>
      </c>
      <c r="BA1699" s="76"/>
      <c r="BB1699" s="76"/>
      <c r="BC1699" s="76"/>
      <c r="BD1699" s="76">
        <f>+BC1699*30000</f>
        <v>0</v>
      </c>
      <c r="BE1699" s="76"/>
      <c r="BF1699" s="76"/>
      <c r="BG1699" s="76"/>
      <c r="BH1699" s="76"/>
      <c r="BI1699" s="76"/>
      <c r="BJ1699" s="76"/>
      <c r="BK1699" s="76"/>
      <c r="BL1699" s="76">
        <f>+BK1699*31500</f>
        <v>0</v>
      </c>
      <c r="BM1699" s="76"/>
      <c r="BN1699" s="76"/>
      <c r="BO1699" s="76"/>
      <c r="BP1699" s="76"/>
      <c r="BQ1699" s="76"/>
      <c r="BR1699" s="76"/>
      <c r="BS1699" s="76"/>
      <c r="BT1699" s="76"/>
      <c r="BU1699" s="76"/>
      <c r="BV1699" s="76"/>
      <c r="BW1699" s="76"/>
      <c r="BX1699" s="76"/>
      <c r="BY1699" s="76"/>
      <c r="BZ1699" s="76"/>
      <c r="CA1699" s="76"/>
      <c r="CB1699" s="76"/>
      <c r="CC1699" s="76"/>
      <c r="CD1699" s="76"/>
      <c r="CE1699" s="76"/>
      <c r="CF1699" s="76">
        <f>+CE1699*28000</f>
        <v>0</v>
      </c>
      <c r="CG1699" s="76"/>
      <c r="CH1699" s="76">
        <f>+CG1699*22500</f>
        <v>0</v>
      </c>
      <c r="CI1699" s="76"/>
      <c r="CJ1699" s="76">
        <f>+CI1699*26000</f>
        <v>0</v>
      </c>
      <c r="CK1699" s="76"/>
      <c r="CL1699" s="76"/>
      <c r="CM1699" s="76"/>
      <c r="CN1699" s="76">
        <f>+CM1699*22000</f>
        <v>0</v>
      </c>
      <c r="CO1699" s="76"/>
      <c r="CP1699" s="76">
        <f>+CO1699*46000</f>
        <v>0</v>
      </c>
      <c r="CQ1699" s="76"/>
      <c r="CR1699" s="76">
        <f>+CQ1699*49000</f>
        <v>0</v>
      </c>
      <c r="CS1699" s="76"/>
      <c r="CT1699" s="76"/>
      <c r="CU1699" s="56">
        <f>AN1699+AP1699+AR1699+AT1699+AV1699+AX1699+AZ1699+BB1699+BD1699+BF1699+BH1699+BJ1699+BL1699+BN1699+BP1699+BR1699+BT1699+BV1699+BX1699+BZ1699+CB1699+CD1699+CF1699+CH1699+CJ1699+CL1699+CN1699+CP1699+CR1699+CT1699</f>
        <v>0</v>
      </c>
      <c r="CV1699" s="76"/>
      <c r="CW1699" s="76">
        <f>+CV1699*1100</f>
        <v>0</v>
      </c>
      <c r="CX1699" s="76"/>
      <c r="CY1699" s="76">
        <f>+CX1699*106250</f>
        <v>0</v>
      </c>
      <c r="CZ1699" s="76"/>
      <c r="DA1699" s="76">
        <f>+CZ1699*34500</f>
        <v>0</v>
      </c>
      <c r="DB1699" s="76"/>
      <c r="DC1699" s="76">
        <f>+DB1699*25000</f>
        <v>0</v>
      </c>
      <c r="DD1699" s="219"/>
      <c r="DE1699" s="219"/>
      <c r="DF1699" s="166"/>
      <c r="DG1699" s="116"/>
      <c r="DH1699" s="117"/>
      <c r="DI1699" s="24"/>
      <c r="DJ1699" s="24"/>
      <c r="DK1699" s="24"/>
      <c r="DL1699" s="24"/>
      <c r="DM1699" s="24"/>
      <c r="DN1699" s="24"/>
      <c r="DO1699" s="24"/>
      <c r="DP1699" s="24"/>
      <c r="DQ1699" s="24"/>
      <c r="DR1699" s="24"/>
      <c r="DS1699" s="24"/>
      <c r="DT1699" s="24"/>
      <c r="DU1699" s="24"/>
    </row>
    <row r="1700" spans="1:125" s="8" customFormat="1" ht="48" x14ac:dyDescent="0.2">
      <c r="A1700" s="353">
        <v>41398</v>
      </c>
      <c r="B1700" s="225" t="s">
        <v>2661</v>
      </c>
      <c r="C1700" s="354" t="s">
        <v>2808</v>
      </c>
      <c r="D1700" s="227" t="s">
        <v>2882</v>
      </c>
      <c r="E1700" s="75" t="str">
        <f>VLOOKUP(B1700&amp;C1700,Divipola!$C$2:$F$1138,4,FALSE)</f>
        <v>41359</v>
      </c>
      <c r="F1700" s="87"/>
      <c r="G1700" s="87"/>
      <c r="H1700" s="87"/>
      <c r="I1700" s="87">
        <v>10</v>
      </c>
      <c r="J1700" s="87">
        <v>2</v>
      </c>
      <c r="K1700" s="87"/>
      <c r="L1700" s="87">
        <v>2</v>
      </c>
      <c r="M1700" s="87"/>
      <c r="N1700" s="87"/>
      <c r="O1700" s="87"/>
      <c r="P1700" s="87"/>
      <c r="Q1700" s="87"/>
      <c r="R1700" s="87"/>
      <c r="S1700" s="87"/>
      <c r="T1700" s="87"/>
      <c r="U1700" s="88"/>
      <c r="V1700" s="89"/>
      <c r="W1700" s="96">
        <v>0</v>
      </c>
      <c r="X1700" s="71">
        <f>CU1700</f>
        <v>0</v>
      </c>
      <c r="Y1700" s="71">
        <f>CY1700</f>
        <v>0</v>
      </c>
      <c r="Z1700" s="71">
        <f>DA1700+DC1700+DE1700</f>
        <v>0</v>
      </c>
      <c r="AA1700" s="71">
        <f>CW1700</f>
        <v>0</v>
      </c>
      <c r="AB1700" s="71"/>
      <c r="AC1700" s="71">
        <v>0</v>
      </c>
      <c r="AD1700" s="71">
        <f>W1700+X1700+Y1700+Z1700+AA1700+AB1700+AC1700</f>
        <v>0</v>
      </c>
      <c r="AE1700" s="72">
        <v>0</v>
      </c>
      <c r="AF1700" s="5"/>
      <c r="AG1700" s="6"/>
      <c r="AH1700" s="27" t="s">
        <v>3392</v>
      </c>
      <c r="AI1700" s="44" t="s">
        <v>3393</v>
      </c>
      <c r="AJ1700" s="26"/>
      <c r="AK1700" s="5"/>
      <c r="AL1700" s="82" t="s">
        <v>4512</v>
      </c>
      <c r="AM1700" s="76"/>
      <c r="AN1700" s="76"/>
      <c r="AO1700" s="76"/>
      <c r="AP1700" s="76"/>
      <c r="AQ1700" s="76"/>
      <c r="AR1700" s="76"/>
      <c r="AS1700" s="76"/>
      <c r="AT1700" s="76"/>
      <c r="AU1700" s="76"/>
      <c r="AV1700" s="76"/>
      <c r="AW1700" s="76"/>
      <c r="AX1700" s="76">
        <f>+AW1700*600000</f>
        <v>0</v>
      </c>
      <c r="AY1700" s="76"/>
      <c r="AZ1700" s="76">
        <f>+AY1700*70000</f>
        <v>0</v>
      </c>
      <c r="BA1700" s="76"/>
      <c r="BB1700" s="76"/>
      <c r="BC1700" s="76"/>
      <c r="BD1700" s="76">
        <f>+BC1700*30000</f>
        <v>0</v>
      </c>
      <c r="BE1700" s="76"/>
      <c r="BF1700" s="76"/>
      <c r="BG1700" s="76"/>
      <c r="BH1700" s="76"/>
      <c r="BI1700" s="76"/>
      <c r="BJ1700" s="76"/>
      <c r="BK1700" s="76"/>
      <c r="BL1700" s="76">
        <f>+BK1700*31500</f>
        <v>0</v>
      </c>
      <c r="BM1700" s="76"/>
      <c r="BN1700" s="76"/>
      <c r="BO1700" s="76"/>
      <c r="BP1700" s="76"/>
      <c r="BQ1700" s="76"/>
      <c r="BR1700" s="76"/>
      <c r="BS1700" s="76"/>
      <c r="BT1700" s="76"/>
      <c r="BU1700" s="76"/>
      <c r="BV1700" s="76"/>
      <c r="BW1700" s="76"/>
      <c r="BX1700" s="76"/>
      <c r="BY1700" s="76"/>
      <c r="BZ1700" s="76"/>
      <c r="CA1700" s="76"/>
      <c r="CB1700" s="76"/>
      <c r="CC1700" s="76"/>
      <c r="CD1700" s="76"/>
      <c r="CE1700" s="76"/>
      <c r="CF1700" s="76">
        <f>+CE1700*28000</f>
        <v>0</v>
      </c>
      <c r="CG1700" s="76"/>
      <c r="CH1700" s="76">
        <f>+CG1700*22500</f>
        <v>0</v>
      </c>
      <c r="CI1700" s="76"/>
      <c r="CJ1700" s="76">
        <f>+CI1700*26000</f>
        <v>0</v>
      </c>
      <c r="CK1700" s="76"/>
      <c r="CL1700" s="76"/>
      <c r="CM1700" s="76"/>
      <c r="CN1700" s="76">
        <f>+CM1700*22000</f>
        <v>0</v>
      </c>
      <c r="CO1700" s="76"/>
      <c r="CP1700" s="76">
        <f>+CO1700*46000</f>
        <v>0</v>
      </c>
      <c r="CQ1700" s="76"/>
      <c r="CR1700" s="76">
        <f>+CQ1700*49000</f>
        <v>0</v>
      </c>
      <c r="CS1700" s="76"/>
      <c r="CT1700" s="76"/>
      <c r="CU1700" s="56">
        <f>AN1700+AP1700+AR1700+AT1700+AV1700+AX1700+AZ1700+BB1700+BD1700+BF1700+BH1700+BJ1700+BL1700+BN1700+BP1700+BR1700+BT1700+BV1700+BX1700+BZ1700+CB1700+CD1700+CF1700+CH1700+CJ1700+CL1700+CN1700+CP1700+CR1700+CT1700</f>
        <v>0</v>
      </c>
      <c r="CV1700" s="76"/>
      <c r="CW1700" s="76">
        <f>+CV1700*1100</f>
        <v>0</v>
      </c>
      <c r="CX1700" s="76"/>
      <c r="CY1700" s="76">
        <f>+CX1700*106250</f>
        <v>0</v>
      </c>
      <c r="CZ1700" s="76"/>
      <c r="DA1700" s="76">
        <f>+CZ1700*34500</f>
        <v>0</v>
      </c>
      <c r="DB1700" s="76"/>
      <c r="DC1700" s="76">
        <f>+DB1700*25000</f>
        <v>0</v>
      </c>
      <c r="DD1700" s="219"/>
      <c r="DE1700" s="219"/>
      <c r="DF1700" s="166"/>
      <c r="DG1700" s="116"/>
      <c r="DH1700" s="117"/>
      <c r="DI1700" s="24"/>
      <c r="DJ1700" s="24"/>
      <c r="DK1700" s="24"/>
      <c r="DL1700" s="24"/>
      <c r="DM1700" s="24"/>
      <c r="DN1700" s="24"/>
      <c r="DO1700" s="24"/>
      <c r="DP1700" s="24"/>
      <c r="DQ1700" s="24"/>
      <c r="DR1700" s="24"/>
      <c r="DS1700" s="24"/>
      <c r="DT1700" s="24"/>
      <c r="DU1700" s="24"/>
    </row>
    <row r="1701" spans="1:125" s="8" customFormat="1" ht="84" x14ac:dyDescent="0.2">
      <c r="A1701" s="77">
        <v>41398</v>
      </c>
      <c r="B1701" s="225" t="s">
        <v>2661</v>
      </c>
      <c r="C1701" s="227" t="s">
        <v>2169</v>
      </c>
      <c r="D1701" s="227" t="s">
        <v>3017</v>
      </c>
      <c r="E1701" s="75" t="str">
        <f>VLOOKUP(B1701&amp;C1701,Divipola!$C$2:$F$1138,4,FALSE)</f>
        <v>41001</v>
      </c>
      <c r="F1701" s="87"/>
      <c r="G1701" s="87"/>
      <c r="H1701" s="87"/>
      <c r="I1701" s="87">
        <v>10</v>
      </c>
      <c r="J1701" s="87">
        <v>2</v>
      </c>
      <c r="K1701" s="87">
        <v>1</v>
      </c>
      <c r="L1701" s="87">
        <v>1</v>
      </c>
      <c r="M1701" s="87"/>
      <c r="N1701" s="87"/>
      <c r="O1701" s="87"/>
      <c r="P1701" s="87"/>
      <c r="Q1701" s="87"/>
      <c r="R1701" s="87"/>
      <c r="S1701" s="87"/>
      <c r="T1701" s="87"/>
      <c r="U1701" s="88"/>
      <c r="V1701" s="89">
        <v>5</v>
      </c>
      <c r="W1701" s="96">
        <v>0</v>
      </c>
      <c r="X1701" s="71">
        <f>CU1701</f>
        <v>0</v>
      </c>
      <c r="Y1701" s="71">
        <f>CY1701</f>
        <v>0</v>
      </c>
      <c r="Z1701" s="71">
        <f>DA1701+DC1701+DE1701</f>
        <v>0</v>
      </c>
      <c r="AA1701" s="71">
        <f>CW1701</f>
        <v>0</v>
      </c>
      <c r="AB1701" s="71"/>
      <c r="AC1701" s="71">
        <v>0</v>
      </c>
      <c r="AD1701" s="71">
        <f>W1701+X1701+Y1701+Z1701+AA1701+AB1701+AC1701</f>
        <v>0</v>
      </c>
      <c r="AE1701" s="72">
        <v>0</v>
      </c>
      <c r="AF1701" s="5"/>
      <c r="AG1701" s="6"/>
      <c r="AH1701" s="27" t="s">
        <v>3392</v>
      </c>
      <c r="AI1701" s="44" t="s">
        <v>3393</v>
      </c>
      <c r="AJ1701" s="26"/>
      <c r="AK1701" s="5"/>
      <c r="AL1701" s="82" t="s">
        <v>4515</v>
      </c>
      <c r="AM1701" s="76"/>
      <c r="AN1701" s="76"/>
      <c r="AO1701" s="76"/>
      <c r="AP1701" s="76"/>
      <c r="AQ1701" s="76"/>
      <c r="AR1701" s="76"/>
      <c r="AS1701" s="76"/>
      <c r="AT1701" s="76"/>
      <c r="AU1701" s="76"/>
      <c r="AV1701" s="76"/>
      <c r="AW1701" s="76"/>
      <c r="AX1701" s="76">
        <f>+AW1701*600000</f>
        <v>0</v>
      </c>
      <c r="AY1701" s="76"/>
      <c r="AZ1701" s="76">
        <f>+AY1701*70000</f>
        <v>0</v>
      </c>
      <c r="BA1701" s="76"/>
      <c r="BB1701" s="76"/>
      <c r="BC1701" s="76"/>
      <c r="BD1701" s="76">
        <f>+BC1701*30000</f>
        <v>0</v>
      </c>
      <c r="BE1701" s="76"/>
      <c r="BF1701" s="76"/>
      <c r="BG1701" s="76"/>
      <c r="BH1701" s="76"/>
      <c r="BI1701" s="76"/>
      <c r="BJ1701" s="76"/>
      <c r="BK1701" s="76"/>
      <c r="BL1701" s="76">
        <f>+BK1701*31500</f>
        <v>0</v>
      </c>
      <c r="BM1701" s="76"/>
      <c r="BN1701" s="76"/>
      <c r="BO1701" s="76"/>
      <c r="BP1701" s="76"/>
      <c r="BQ1701" s="76"/>
      <c r="BR1701" s="76"/>
      <c r="BS1701" s="76"/>
      <c r="BT1701" s="76"/>
      <c r="BU1701" s="76"/>
      <c r="BV1701" s="76"/>
      <c r="BW1701" s="76"/>
      <c r="BX1701" s="76"/>
      <c r="BY1701" s="76"/>
      <c r="BZ1701" s="76"/>
      <c r="CA1701" s="76"/>
      <c r="CB1701" s="76"/>
      <c r="CC1701" s="76"/>
      <c r="CD1701" s="76"/>
      <c r="CE1701" s="76"/>
      <c r="CF1701" s="76">
        <f>+CE1701*28000</f>
        <v>0</v>
      </c>
      <c r="CG1701" s="76"/>
      <c r="CH1701" s="76">
        <f>+CG1701*22500</f>
        <v>0</v>
      </c>
      <c r="CI1701" s="76"/>
      <c r="CJ1701" s="76">
        <f>+CI1701*26000</f>
        <v>0</v>
      </c>
      <c r="CK1701" s="76"/>
      <c r="CL1701" s="76"/>
      <c r="CM1701" s="76"/>
      <c r="CN1701" s="76">
        <f>+CM1701*22000</f>
        <v>0</v>
      </c>
      <c r="CO1701" s="76"/>
      <c r="CP1701" s="76">
        <f>+CO1701*46000</f>
        <v>0</v>
      </c>
      <c r="CQ1701" s="76"/>
      <c r="CR1701" s="76">
        <f>+CQ1701*49000</f>
        <v>0</v>
      </c>
      <c r="CS1701" s="76"/>
      <c r="CT1701" s="76"/>
      <c r="CU1701" s="56">
        <f>AN1701+AP1701+AR1701+AT1701+AV1701+AX1701+AZ1701+BB1701+BD1701+BF1701+BH1701+BJ1701+BL1701+BN1701+BP1701+BR1701+BT1701+BV1701+BX1701+BZ1701+CB1701+CD1701+CF1701+CH1701+CJ1701+CL1701+CN1701+CP1701+CR1701+CT1701</f>
        <v>0</v>
      </c>
      <c r="CV1701" s="76"/>
      <c r="CW1701" s="76">
        <f>+CV1701*1100</f>
        <v>0</v>
      </c>
      <c r="CX1701" s="76"/>
      <c r="CY1701" s="76">
        <f>+CX1701*106250</f>
        <v>0</v>
      </c>
      <c r="CZ1701" s="76"/>
      <c r="DA1701" s="76">
        <f>+CZ1701*34500</f>
        <v>0</v>
      </c>
      <c r="DB1701" s="76"/>
      <c r="DC1701" s="76">
        <f>+DB1701*25000</f>
        <v>0</v>
      </c>
      <c r="DD1701" s="219"/>
      <c r="DE1701" s="219"/>
      <c r="DF1701" s="166"/>
      <c r="DG1701" s="116"/>
      <c r="DH1701" s="117"/>
      <c r="DI1701" s="24"/>
      <c r="DJ1701" s="24"/>
      <c r="DK1701" s="24"/>
      <c r="DL1701" s="24"/>
      <c r="DM1701" s="24"/>
      <c r="DN1701" s="24"/>
      <c r="DO1701" s="24"/>
      <c r="DP1701" s="24"/>
      <c r="DQ1701" s="24"/>
      <c r="DR1701" s="24"/>
      <c r="DS1701" s="24"/>
      <c r="DT1701" s="24"/>
      <c r="DU1701" s="24"/>
    </row>
    <row r="1702" spans="1:125" s="8" customFormat="1" ht="60" x14ac:dyDescent="0.2">
      <c r="A1702" s="353">
        <v>41398</v>
      </c>
      <c r="B1702" s="225" t="s">
        <v>3136</v>
      </c>
      <c r="C1702" s="227" t="s">
        <v>2204</v>
      </c>
      <c r="D1702" s="227" t="s">
        <v>2849</v>
      </c>
      <c r="E1702" s="75" t="str">
        <f>VLOOKUP(B1702&amp;C1702,Divipola!$C$2:$F$1138,4,FALSE)</f>
        <v>44001</v>
      </c>
      <c r="F1702" s="87">
        <v>2</v>
      </c>
      <c r="G1702" s="87">
        <v>4</v>
      </c>
      <c r="H1702" s="87"/>
      <c r="I1702" s="87"/>
      <c r="J1702" s="87"/>
      <c r="K1702" s="87"/>
      <c r="L1702" s="87"/>
      <c r="M1702" s="87"/>
      <c r="N1702" s="87"/>
      <c r="O1702" s="87"/>
      <c r="P1702" s="87"/>
      <c r="Q1702" s="87"/>
      <c r="R1702" s="87"/>
      <c r="S1702" s="87"/>
      <c r="T1702" s="87"/>
      <c r="U1702" s="88"/>
      <c r="V1702" s="89"/>
      <c r="W1702" s="96">
        <v>0</v>
      </c>
      <c r="X1702" s="71">
        <f>CU1702</f>
        <v>0</v>
      </c>
      <c r="Y1702" s="71">
        <f>CY1702</f>
        <v>0</v>
      </c>
      <c r="Z1702" s="71">
        <f>DA1702+DC1702+DE1702</f>
        <v>0</v>
      </c>
      <c r="AA1702" s="71">
        <f>CW1702</f>
        <v>0</v>
      </c>
      <c r="AB1702" s="71"/>
      <c r="AC1702" s="71">
        <v>0</v>
      </c>
      <c r="AD1702" s="71">
        <f>W1702+X1702+Y1702+Z1702+AA1702+AB1702+AC1702</f>
        <v>0</v>
      </c>
      <c r="AE1702" s="72">
        <v>0</v>
      </c>
      <c r="AF1702" s="5"/>
      <c r="AG1702" s="6"/>
      <c r="AH1702" s="27" t="s">
        <v>3392</v>
      </c>
      <c r="AI1702" s="44" t="s">
        <v>3393</v>
      </c>
      <c r="AJ1702" s="26"/>
      <c r="AK1702" s="5"/>
      <c r="AL1702" s="82" t="s">
        <v>4509</v>
      </c>
      <c r="AM1702" s="76"/>
      <c r="AN1702" s="76"/>
      <c r="AO1702" s="76"/>
      <c r="AP1702" s="76"/>
      <c r="AQ1702" s="76"/>
      <c r="AR1702" s="76"/>
      <c r="AS1702" s="76"/>
      <c r="AT1702" s="76"/>
      <c r="AU1702" s="76"/>
      <c r="AV1702" s="76"/>
      <c r="AW1702" s="76"/>
      <c r="AX1702" s="76">
        <f>+AW1702*600000</f>
        <v>0</v>
      </c>
      <c r="AY1702" s="76"/>
      <c r="AZ1702" s="76">
        <f>+AY1702*70000</f>
        <v>0</v>
      </c>
      <c r="BA1702" s="76"/>
      <c r="BB1702" s="76"/>
      <c r="BC1702" s="76"/>
      <c r="BD1702" s="76">
        <f>+BC1702*30000</f>
        <v>0</v>
      </c>
      <c r="BE1702" s="76"/>
      <c r="BF1702" s="76"/>
      <c r="BG1702" s="76"/>
      <c r="BH1702" s="76"/>
      <c r="BI1702" s="76"/>
      <c r="BJ1702" s="76"/>
      <c r="BK1702" s="76"/>
      <c r="BL1702" s="76">
        <f>+BK1702*31500</f>
        <v>0</v>
      </c>
      <c r="BM1702" s="76"/>
      <c r="BN1702" s="76"/>
      <c r="BO1702" s="76"/>
      <c r="BP1702" s="76"/>
      <c r="BQ1702" s="76"/>
      <c r="BR1702" s="76"/>
      <c r="BS1702" s="76"/>
      <c r="BT1702" s="76"/>
      <c r="BU1702" s="76"/>
      <c r="BV1702" s="76"/>
      <c r="BW1702" s="76"/>
      <c r="BX1702" s="76"/>
      <c r="BY1702" s="76"/>
      <c r="BZ1702" s="76"/>
      <c r="CA1702" s="76"/>
      <c r="CB1702" s="76"/>
      <c r="CC1702" s="76"/>
      <c r="CD1702" s="76"/>
      <c r="CE1702" s="76"/>
      <c r="CF1702" s="76">
        <f>+CE1702*28000</f>
        <v>0</v>
      </c>
      <c r="CG1702" s="76"/>
      <c r="CH1702" s="76">
        <f>+CG1702*22500</f>
        <v>0</v>
      </c>
      <c r="CI1702" s="76"/>
      <c r="CJ1702" s="76">
        <f>+CI1702*26000</f>
        <v>0</v>
      </c>
      <c r="CK1702" s="76"/>
      <c r="CL1702" s="76"/>
      <c r="CM1702" s="76"/>
      <c r="CN1702" s="76">
        <f>+CM1702*22000</f>
        <v>0</v>
      </c>
      <c r="CO1702" s="76"/>
      <c r="CP1702" s="76">
        <f>+CO1702*46000</f>
        <v>0</v>
      </c>
      <c r="CQ1702" s="76"/>
      <c r="CR1702" s="76">
        <f>+CQ1702*49000</f>
        <v>0</v>
      </c>
      <c r="CS1702" s="76"/>
      <c r="CT1702" s="76"/>
      <c r="CU1702" s="56">
        <f>AN1702+AP1702+AR1702+AT1702+AV1702+AX1702+AZ1702+BB1702+BD1702+BF1702+BH1702+BJ1702+BL1702+BN1702+BP1702+BR1702+BT1702+BV1702+BX1702+BZ1702+CB1702+CD1702+CF1702+CH1702+CJ1702+CL1702+CN1702+CP1702+CR1702+CT1702</f>
        <v>0</v>
      </c>
      <c r="CV1702" s="76"/>
      <c r="CW1702" s="76">
        <f>+CV1702*1100</f>
        <v>0</v>
      </c>
      <c r="CX1702" s="76"/>
      <c r="CY1702" s="76">
        <f>+CX1702*106250</f>
        <v>0</v>
      </c>
      <c r="CZ1702" s="76"/>
      <c r="DA1702" s="76">
        <f>+CZ1702*34500</f>
        <v>0</v>
      </c>
      <c r="DB1702" s="76"/>
      <c r="DC1702" s="76">
        <f>+DB1702*25000</f>
        <v>0</v>
      </c>
      <c r="DD1702" s="219"/>
      <c r="DE1702" s="219"/>
      <c r="DF1702" s="166"/>
      <c r="DG1702" s="116"/>
      <c r="DH1702" s="117"/>
      <c r="DI1702" s="24"/>
      <c r="DJ1702" s="24"/>
      <c r="DK1702" s="24"/>
      <c r="DL1702" s="24"/>
      <c r="DM1702" s="24"/>
      <c r="DN1702" s="24"/>
      <c r="DO1702" s="24"/>
      <c r="DP1702" s="24"/>
      <c r="DQ1702" s="24"/>
      <c r="DR1702" s="24"/>
      <c r="DS1702" s="24"/>
      <c r="DT1702" s="24"/>
      <c r="DU1702" s="24"/>
    </row>
    <row r="1703" spans="1:125" s="8" customFormat="1" ht="72" x14ac:dyDescent="0.2">
      <c r="A1703" s="353">
        <v>41398</v>
      </c>
      <c r="B1703" s="225" t="s">
        <v>2811</v>
      </c>
      <c r="C1703" s="227" t="s">
        <v>478</v>
      </c>
      <c r="D1703" s="227" t="s">
        <v>3051</v>
      </c>
      <c r="E1703" s="75" t="str">
        <f>VLOOKUP(B1703&amp;C1703,Divipola!$C$2:$F$1138,4,FALSE)</f>
        <v>52287</v>
      </c>
      <c r="F1703" s="87"/>
      <c r="G1703" s="87"/>
      <c r="H1703" s="87"/>
      <c r="I1703" s="87">
        <v>25</v>
      </c>
      <c r="J1703" s="87">
        <v>5</v>
      </c>
      <c r="K1703" s="87"/>
      <c r="L1703" s="87">
        <v>5</v>
      </c>
      <c r="M1703" s="87"/>
      <c r="N1703" s="87"/>
      <c r="O1703" s="87"/>
      <c r="P1703" s="87"/>
      <c r="Q1703" s="87"/>
      <c r="R1703" s="87"/>
      <c r="S1703" s="87"/>
      <c r="T1703" s="87"/>
      <c r="U1703" s="88"/>
      <c r="V1703" s="89"/>
      <c r="W1703" s="96">
        <v>0</v>
      </c>
      <c r="X1703" s="71">
        <f>CU1703</f>
        <v>0</v>
      </c>
      <c r="Y1703" s="71">
        <f>CY1703</f>
        <v>0</v>
      </c>
      <c r="Z1703" s="71">
        <f>DA1703+DC1703+DE1703</f>
        <v>0</v>
      </c>
      <c r="AA1703" s="71">
        <f>CW1703</f>
        <v>0</v>
      </c>
      <c r="AB1703" s="71"/>
      <c r="AC1703" s="71">
        <v>0</v>
      </c>
      <c r="AD1703" s="71">
        <f>W1703+X1703+Y1703+Z1703+AA1703+AB1703+AC1703</f>
        <v>0</v>
      </c>
      <c r="AE1703" s="72">
        <v>0</v>
      </c>
      <c r="AF1703" s="5"/>
      <c r="AG1703" s="6"/>
      <c r="AH1703" s="27" t="s">
        <v>3392</v>
      </c>
      <c r="AI1703" s="44" t="s">
        <v>3393</v>
      </c>
      <c r="AJ1703" s="26"/>
      <c r="AK1703" s="5"/>
      <c r="AL1703" s="82" t="s">
        <v>4519</v>
      </c>
      <c r="AM1703" s="76"/>
      <c r="AN1703" s="76"/>
      <c r="AO1703" s="76"/>
      <c r="AP1703" s="76"/>
      <c r="AQ1703" s="76"/>
      <c r="AR1703" s="76"/>
      <c r="AS1703" s="76"/>
      <c r="AT1703" s="76"/>
      <c r="AU1703" s="76"/>
      <c r="AV1703" s="76"/>
      <c r="AW1703" s="76"/>
      <c r="AX1703" s="76">
        <f>+AW1703*600000</f>
        <v>0</v>
      </c>
      <c r="AY1703" s="76"/>
      <c r="AZ1703" s="76">
        <f>+AY1703*70000</f>
        <v>0</v>
      </c>
      <c r="BA1703" s="76"/>
      <c r="BB1703" s="76"/>
      <c r="BC1703" s="76"/>
      <c r="BD1703" s="76">
        <f>+BC1703*30000</f>
        <v>0</v>
      </c>
      <c r="BE1703" s="76"/>
      <c r="BF1703" s="76"/>
      <c r="BG1703" s="76"/>
      <c r="BH1703" s="76"/>
      <c r="BI1703" s="76"/>
      <c r="BJ1703" s="76"/>
      <c r="BK1703" s="76"/>
      <c r="BL1703" s="76">
        <f>+BK1703*31500</f>
        <v>0</v>
      </c>
      <c r="BM1703" s="76"/>
      <c r="BN1703" s="76"/>
      <c r="BO1703" s="76"/>
      <c r="BP1703" s="76"/>
      <c r="BQ1703" s="76"/>
      <c r="BR1703" s="76"/>
      <c r="BS1703" s="76"/>
      <c r="BT1703" s="76"/>
      <c r="BU1703" s="76"/>
      <c r="BV1703" s="76"/>
      <c r="BW1703" s="76"/>
      <c r="BX1703" s="76"/>
      <c r="BY1703" s="76"/>
      <c r="BZ1703" s="76"/>
      <c r="CA1703" s="76"/>
      <c r="CB1703" s="76"/>
      <c r="CC1703" s="76"/>
      <c r="CD1703" s="76"/>
      <c r="CE1703" s="76"/>
      <c r="CF1703" s="76">
        <f>+CE1703*28000</f>
        <v>0</v>
      </c>
      <c r="CG1703" s="76"/>
      <c r="CH1703" s="76">
        <f>+CG1703*22500</f>
        <v>0</v>
      </c>
      <c r="CI1703" s="76"/>
      <c r="CJ1703" s="76">
        <f>+CI1703*26000</f>
        <v>0</v>
      </c>
      <c r="CK1703" s="76"/>
      <c r="CL1703" s="76"/>
      <c r="CM1703" s="76"/>
      <c r="CN1703" s="76">
        <f>+CM1703*22000</f>
        <v>0</v>
      </c>
      <c r="CO1703" s="76"/>
      <c r="CP1703" s="76">
        <f>+CO1703*46000</f>
        <v>0</v>
      </c>
      <c r="CQ1703" s="76"/>
      <c r="CR1703" s="76">
        <f>+CQ1703*49000</f>
        <v>0</v>
      </c>
      <c r="CS1703" s="76"/>
      <c r="CT1703" s="76"/>
      <c r="CU1703" s="56">
        <f>AN1703+AP1703+AR1703+AT1703+AV1703+AX1703+AZ1703+BB1703+BD1703+BF1703+BH1703+BJ1703+BL1703+BN1703+BP1703+BR1703+BT1703+BV1703+BX1703+BZ1703+CB1703+CD1703+CF1703+CH1703+CJ1703+CL1703+CN1703+CP1703+CR1703+CT1703</f>
        <v>0</v>
      </c>
      <c r="CV1703" s="76"/>
      <c r="CW1703" s="76">
        <f>+CV1703*1100</f>
        <v>0</v>
      </c>
      <c r="CX1703" s="76"/>
      <c r="CY1703" s="76">
        <f>+CX1703*106250</f>
        <v>0</v>
      </c>
      <c r="CZ1703" s="76"/>
      <c r="DA1703" s="76">
        <f>+CZ1703*34500</f>
        <v>0</v>
      </c>
      <c r="DB1703" s="76"/>
      <c r="DC1703" s="76">
        <f>+DB1703*25000</f>
        <v>0</v>
      </c>
      <c r="DD1703" s="219"/>
      <c r="DE1703" s="219"/>
      <c r="DF1703" s="166"/>
      <c r="DG1703" s="116"/>
      <c r="DH1703" s="117"/>
      <c r="DI1703" s="24"/>
      <c r="DJ1703" s="24"/>
      <c r="DK1703" s="24"/>
      <c r="DL1703" s="24"/>
      <c r="DM1703" s="24"/>
      <c r="DN1703" s="24"/>
      <c r="DO1703" s="24"/>
      <c r="DP1703" s="24"/>
      <c r="DQ1703" s="24"/>
      <c r="DR1703" s="24"/>
      <c r="DS1703" s="24"/>
      <c r="DT1703" s="24"/>
      <c r="DU1703" s="24"/>
    </row>
    <row r="1704" spans="1:125" s="8" customFormat="1" ht="204" x14ac:dyDescent="0.2">
      <c r="A1704" s="353">
        <v>41398</v>
      </c>
      <c r="B1704" s="225" t="s">
        <v>2880</v>
      </c>
      <c r="C1704" s="227" t="s">
        <v>2732</v>
      </c>
      <c r="D1704" s="227" t="s">
        <v>3051</v>
      </c>
      <c r="E1704" s="75" t="str">
        <f>VLOOKUP(B1704&amp;C1704,Divipola!$C$2:$F$1138,4,FALSE)</f>
        <v>54001</v>
      </c>
      <c r="F1704" s="87"/>
      <c r="G1704" s="87">
        <v>1</v>
      </c>
      <c r="H1704" s="87"/>
      <c r="I1704" s="87">
        <v>129</v>
      </c>
      <c r="J1704" s="87">
        <v>26</v>
      </c>
      <c r="K1704" s="87">
        <v>3</v>
      </c>
      <c r="L1704" s="87">
        <v>19</v>
      </c>
      <c r="M1704" s="87">
        <v>6</v>
      </c>
      <c r="N1704" s="87"/>
      <c r="O1704" s="87">
        <v>1</v>
      </c>
      <c r="P1704" s="87">
        <v>1</v>
      </c>
      <c r="Q1704" s="87">
        <v>1</v>
      </c>
      <c r="R1704" s="87"/>
      <c r="S1704" s="87">
        <v>2</v>
      </c>
      <c r="T1704" s="87"/>
      <c r="U1704" s="88"/>
      <c r="V1704" s="89"/>
      <c r="W1704" s="96">
        <v>95400000</v>
      </c>
      <c r="X1704" s="71">
        <f>CU1704</f>
        <v>0</v>
      </c>
      <c r="Y1704" s="71">
        <f>CY1704</f>
        <v>0</v>
      </c>
      <c r="Z1704" s="71">
        <f>DA1704+DC1704+DE1704</f>
        <v>0</v>
      </c>
      <c r="AA1704" s="71">
        <f>CW1704</f>
        <v>0</v>
      </c>
      <c r="AB1704" s="71"/>
      <c r="AC1704" s="71">
        <v>0</v>
      </c>
      <c r="AD1704" s="71">
        <f>W1704+X1704+Y1704+Z1704+AA1704+AB1704+AC1704</f>
        <v>95400000</v>
      </c>
      <c r="AE1704" s="72">
        <v>0</v>
      </c>
      <c r="AF1704" s="5"/>
      <c r="AG1704" s="6"/>
      <c r="AH1704" s="27" t="s">
        <v>3390</v>
      </c>
      <c r="AI1704" s="44" t="s">
        <v>3391</v>
      </c>
      <c r="AJ1704" s="26"/>
      <c r="AK1704" s="5"/>
      <c r="AL1704" s="82" t="s">
        <v>6343</v>
      </c>
      <c r="AM1704" s="76"/>
      <c r="AN1704" s="76"/>
      <c r="AO1704" s="76"/>
      <c r="AP1704" s="76"/>
      <c r="AQ1704" s="76"/>
      <c r="AR1704" s="76"/>
      <c r="AS1704" s="76"/>
      <c r="AT1704" s="76"/>
      <c r="AU1704" s="76"/>
      <c r="AV1704" s="76"/>
      <c r="AW1704" s="76"/>
      <c r="AX1704" s="76">
        <f>+AW1704*600000</f>
        <v>0</v>
      </c>
      <c r="AY1704" s="76"/>
      <c r="AZ1704" s="76">
        <f>+AY1704*70000</f>
        <v>0</v>
      </c>
      <c r="BA1704" s="76"/>
      <c r="BB1704" s="76"/>
      <c r="BC1704" s="76"/>
      <c r="BD1704" s="76">
        <f>+BC1704*30000</f>
        <v>0</v>
      </c>
      <c r="BE1704" s="76"/>
      <c r="BF1704" s="76"/>
      <c r="BG1704" s="76"/>
      <c r="BH1704" s="76"/>
      <c r="BI1704" s="76"/>
      <c r="BJ1704" s="76"/>
      <c r="BK1704" s="76"/>
      <c r="BL1704" s="76">
        <f>+BK1704*31500</f>
        <v>0</v>
      </c>
      <c r="BM1704" s="76"/>
      <c r="BN1704" s="76"/>
      <c r="BO1704" s="76"/>
      <c r="BP1704" s="76"/>
      <c r="BQ1704" s="76"/>
      <c r="BR1704" s="76"/>
      <c r="BS1704" s="76"/>
      <c r="BT1704" s="76"/>
      <c r="BU1704" s="76"/>
      <c r="BV1704" s="76"/>
      <c r="BW1704" s="76"/>
      <c r="BX1704" s="76"/>
      <c r="BY1704" s="76"/>
      <c r="BZ1704" s="76"/>
      <c r="CA1704" s="76"/>
      <c r="CB1704" s="76"/>
      <c r="CC1704" s="76"/>
      <c r="CD1704" s="76"/>
      <c r="CE1704" s="76"/>
      <c r="CF1704" s="76">
        <f>+CE1704*28000</f>
        <v>0</v>
      </c>
      <c r="CG1704" s="76"/>
      <c r="CH1704" s="76">
        <f>+CG1704*22500</f>
        <v>0</v>
      </c>
      <c r="CI1704" s="76"/>
      <c r="CJ1704" s="76">
        <f>+CI1704*26000</f>
        <v>0</v>
      </c>
      <c r="CK1704" s="76"/>
      <c r="CL1704" s="76"/>
      <c r="CM1704" s="76"/>
      <c r="CN1704" s="76">
        <f>+CM1704*22000</f>
        <v>0</v>
      </c>
      <c r="CO1704" s="76"/>
      <c r="CP1704" s="76">
        <f>+CO1704*46000</f>
        <v>0</v>
      </c>
      <c r="CQ1704" s="76"/>
      <c r="CR1704" s="76">
        <f>+CQ1704*49000</f>
        <v>0</v>
      </c>
      <c r="CS1704" s="76"/>
      <c r="CT1704" s="76"/>
      <c r="CU1704" s="56">
        <f>AN1704+AP1704+AR1704+AT1704+AV1704+AX1704+AZ1704+BB1704+BD1704+BF1704+BH1704+BJ1704+BL1704+BN1704+BP1704+BR1704+BT1704+BV1704+BX1704+BZ1704+CB1704+CD1704+CF1704+CH1704+CJ1704+CL1704+CN1704+CP1704+CR1704+CT1704</f>
        <v>0</v>
      </c>
      <c r="CV1704" s="76"/>
      <c r="CW1704" s="76">
        <f>+CV1704*1100</f>
        <v>0</v>
      </c>
      <c r="CX1704" s="76"/>
      <c r="CY1704" s="76">
        <f>+CX1704*106250</f>
        <v>0</v>
      </c>
      <c r="CZ1704" s="76"/>
      <c r="DA1704" s="76">
        <f>+CZ1704*34500</f>
        <v>0</v>
      </c>
      <c r="DB1704" s="76"/>
      <c r="DC1704" s="76">
        <f>+DB1704*25000</f>
        <v>0</v>
      </c>
      <c r="DD1704" s="219"/>
      <c r="DE1704" s="219"/>
      <c r="DF1704" s="166"/>
      <c r="DG1704" s="116"/>
      <c r="DH1704" s="117"/>
      <c r="DI1704" s="24"/>
      <c r="DJ1704" s="24"/>
      <c r="DK1704" s="24"/>
      <c r="DL1704" s="24"/>
      <c r="DM1704" s="24"/>
      <c r="DN1704" s="24"/>
      <c r="DO1704" s="24"/>
      <c r="DP1704" s="24"/>
      <c r="DQ1704" s="24"/>
      <c r="DR1704" s="24"/>
      <c r="DS1704" s="24"/>
      <c r="DT1704" s="24"/>
      <c r="DU1704" s="24"/>
    </row>
    <row r="1705" spans="1:125" s="8" customFormat="1" ht="72" x14ac:dyDescent="0.2">
      <c r="A1705" s="77">
        <v>41398</v>
      </c>
      <c r="B1705" s="225" t="s">
        <v>2880</v>
      </c>
      <c r="C1705" s="227" t="s">
        <v>2127</v>
      </c>
      <c r="D1705" s="227" t="s">
        <v>3205</v>
      </c>
      <c r="E1705" s="75" t="str">
        <f>VLOOKUP(B1705&amp;C1705,Divipola!$C$2:$F$1138,4,FALSE)</f>
        <v>54553</v>
      </c>
      <c r="F1705" s="87"/>
      <c r="G1705" s="87"/>
      <c r="H1705" s="87"/>
      <c r="I1705" s="87"/>
      <c r="J1705" s="87"/>
      <c r="K1705" s="87"/>
      <c r="L1705" s="87"/>
      <c r="M1705" s="87"/>
      <c r="N1705" s="87"/>
      <c r="O1705" s="87"/>
      <c r="P1705" s="87"/>
      <c r="Q1705" s="87"/>
      <c r="R1705" s="87"/>
      <c r="S1705" s="87"/>
      <c r="T1705" s="87"/>
      <c r="U1705" s="88"/>
      <c r="V1705" s="89"/>
      <c r="W1705" s="96">
        <v>0</v>
      </c>
      <c r="X1705" s="71">
        <f>CU1705</f>
        <v>0</v>
      </c>
      <c r="Y1705" s="71">
        <f>CY1705</f>
        <v>0</v>
      </c>
      <c r="Z1705" s="71">
        <f>DA1705+DC1705+DE1705</f>
        <v>0</v>
      </c>
      <c r="AA1705" s="71">
        <f>CW1705</f>
        <v>0</v>
      </c>
      <c r="AB1705" s="71"/>
      <c r="AC1705" s="71">
        <v>0</v>
      </c>
      <c r="AD1705" s="71">
        <f>W1705+X1705+Y1705+Z1705+AA1705+AB1705+AC1705</f>
        <v>0</v>
      </c>
      <c r="AE1705" s="72">
        <v>0</v>
      </c>
      <c r="AF1705" s="5"/>
      <c r="AG1705" s="6"/>
      <c r="AH1705" s="27" t="s">
        <v>3392</v>
      </c>
      <c r="AI1705" s="44" t="s">
        <v>3393</v>
      </c>
      <c r="AJ1705" s="26"/>
      <c r="AK1705" s="5"/>
      <c r="AL1705" s="82" t="s">
        <v>4514</v>
      </c>
      <c r="AM1705" s="76"/>
      <c r="AN1705" s="76"/>
      <c r="AO1705" s="76"/>
      <c r="AP1705" s="76"/>
      <c r="AQ1705" s="76"/>
      <c r="AR1705" s="76"/>
      <c r="AS1705" s="76"/>
      <c r="AT1705" s="76"/>
      <c r="AU1705" s="76"/>
      <c r="AV1705" s="76"/>
      <c r="AW1705" s="76"/>
      <c r="AX1705" s="76">
        <f>+AW1705*600000</f>
        <v>0</v>
      </c>
      <c r="AY1705" s="76"/>
      <c r="AZ1705" s="76">
        <f>+AY1705*70000</f>
        <v>0</v>
      </c>
      <c r="BA1705" s="76"/>
      <c r="BB1705" s="76"/>
      <c r="BC1705" s="76"/>
      <c r="BD1705" s="76">
        <f>+BC1705*30000</f>
        <v>0</v>
      </c>
      <c r="BE1705" s="76"/>
      <c r="BF1705" s="76"/>
      <c r="BG1705" s="76"/>
      <c r="BH1705" s="76"/>
      <c r="BI1705" s="76"/>
      <c r="BJ1705" s="76"/>
      <c r="BK1705" s="76"/>
      <c r="BL1705" s="76">
        <f>+BK1705*31500</f>
        <v>0</v>
      </c>
      <c r="BM1705" s="76"/>
      <c r="BN1705" s="76"/>
      <c r="BO1705" s="76"/>
      <c r="BP1705" s="76"/>
      <c r="BQ1705" s="76"/>
      <c r="BR1705" s="76"/>
      <c r="BS1705" s="76"/>
      <c r="BT1705" s="76"/>
      <c r="BU1705" s="76"/>
      <c r="BV1705" s="76"/>
      <c r="BW1705" s="76"/>
      <c r="BX1705" s="76"/>
      <c r="BY1705" s="76"/>
      <c r="BZ1705" s="76"/>
      <c r="CA1705" s="76"/>
      <c r="CB1705" s="76"/>
      <c r="CC1705" s="76"/>
      <c r="CD1705" s="76"/>
      <c r="CE1705" s="76"/>
      <c r="CF1705" s="76">
        <f>+CE1705*28000</f>
        <v>0</v>
      </c>
      <c r="CG1705" s="76"/>
      <c r="CH1705" s="76">
        <f>+CG1705*22500</f>
        <v>0</v>
      </c>
      <c r="CI1705" s="76"/>
      <c r="CJ1705" s="76">
        <f>+CI1705*26000</f>
        <v>0</v>
      </c>
      <c r="CK1705" s="76"/>
      <c r="CL1705" s="76"/>
      <c r="CM1705" s="76"/>
      <c r="CN1705" s="76">
        <f>+CM1705*22000</f>
        <v>0</v>
      </c>
      <c r="CO1705" s="76"/>
      <c r="CP1705" s="76">
        <f>+CO1705*46000</f>
        <v>0</v>
      </c>
      <c r="CQ1705" s="76"/>
      <c r="CR1705" s="76">
        <f>+CQ1705*49000</f>
        <v>0</v>
      </c>
      <c r="CS1705" s="76"/>
      <c r="CT1705" s="76"/>
      <c r="CU1705" s="56">
        <f>AN1705+AP1705+AR1705+AT1705+AV1705+AX1705+AZ1705+BB1705+BD1705+BF1705+BH1705+BJ1705+BL1705+BN1705+BP1705+BR1705+BT1705+BV1705+BX1705+BZ1705+CB1705+CD1705+CF1705+CH1705+CJ1705+CL1705+CN1705+CP1705+CR1705+CT1705</f>
        <v>0</v>
      </c>
      <c r="CV1705" s="76"/>
      <c r="CW1705" s="76">
        <f>+CV1705*1100</f>
        <v>0</v>
      </c>
      <c r="CX1705" s="76"/>
      <c r="CY1705" s="76">
        <f>+CX1705*106250</f>
        <v>0</v>
      </c>
      <c r="CZ1705" s="76"/>
      <c r="DA1705" s="76">
        <f>+CZ1705*34500</f>
        <v>0</v>
      </c>
      <c r="DB1705" s="76"/>
      <c r="DC1705" s="76">
        <f>+DB1705*25000</f>
        <v>0</v>
      </c>
      <c r="DD1705" s="219"/>
      <c r="DE1705" s="219"/>
      <c r="DF1705" s="166"/>
      <c r="DG1705" s="116"/>
      <c r="DH1705" s="117"/>
      <c r="DI1705" s="24"/>
      <c r="DJ1705" s="24"/>
      <c r="DK1705" s="24"/>
      <c r="DL1705" s="24"/>
      <c r="DM1705" s="24"/>
      <c r="DN1705" s="24"/>
      <c r="DO1705" s="24"/>
      <c r="DP1705" s="24"/>
      <c r="DQ1705" s="24"/>
      <c r="DR1705" s="24"/>
      <c r="DS1705" s="24"/>
      <c r="DT1705" s="24"/>
      <c r="DU1705" s="24"/>
    </row>
    <row r="1706" spans="1:125" s="8" customFormat="1" ht="48" x14ac:dyDescent="0.2">
      <c r="A1706" s="353">
        <v>41398</v>
      </c>
      <c r="B1706" s="352" t="s">
        <v>2860</v>
      </c>
      <c r="C1706" s="354" t="s">
        <v>2764</v>
      </c>
      <c r="D1706" s="354" t="s">
        <v>2882</v>
      </c>
      <c r="E1706" s="75" t="str">
        <f>VLOOKUP(B1706&amp;C1706,Divipola!$C$2:$F$1138,4,FALSE)</f>
        <v>63594</v>
      </c>
      <c r="F1706" s="87"/>
      <c r="G1706" s="87"/>
      <c r="H1706" s="87"/>
      <c r="I1706" s="87">
        <v>5</v>
      </c>
      <c r="J1706" s="87">
        <v>1</v>
      </c>
      <c r="K1706" s="87"/>
      <c r="L1706" s="87">
        <v>1</v>
      </c>
      <c r="M1706" s="87"/>
      <c r="N1706" s="87"/>
      <c r="O1706" s="87"/>
      <c r="P1706" s="87"/>
      <c r="Q1706" s="87"/>
      <c r="R1706" s="87"/>
      <c r="S1706" s="87"/>
      <c r="T1706" s="87"/>
      <c r="U1706" s="88"/>
      <c r="V1706" s="89"/>
      <c r="W1706" s="96">
        <v>0</v>
      </c>
      <c r="X1706" s="71">
        <f>CU1706</f>
        <v>0</v>
      </c>
      <c r="Y1706" s="71">
        <f>CY1706</f>
        <v>0</v>
      </c>
      <c r="Z1706" s="71">
        <f>DA1706+DC1706+DE1706</f>
        <v>0</v>
      </c>
      <c r="AA1706" s="71">
        <f>CW1706</f>
        <v>0</v>
      </c>
      <c r="AB1706" s="71"/>
      <c r="AC1706" s="71">
        <v>0</v>
      </c>
      <c r="AD1706" s="71">
        <f>W1706+X1706+Y1706+Z1706+AA1706+AB1706+AC1706</f>
        <v>0</v>
      </c>
      <c r="AE1706" s="72">
        <v>0</v>
      </c>
      <c r="AF1706" s="5"/>
      <c r="AG1706" s="6"/>
      <c r="AH1706" s="27" t="s">
        <v>3392</v>
      </c>
      <c r="AI1706" s="44" t="s">
        <v>3393</v>
      </c>
      <c r="AJ1706" s="26"/>
      <c r="AK1706" s="5"/>
      <c r="AL1706" s="82" t="s">
        <v>4507</v>
      </c>
      <c r="AM1706" s="76"/>
      <c r="AN1706" s="76"/>
      <c r="AO1706" s="76"/>
      <c r="AP1706" s="76"/>
      <c r="AQ1706" s="76"/>
      <c r="AR1706" s="76"/>
      <c r="AS1706" s="76"/>
      <c r="AT1706" s="76"/>
      <c r="AU1706" s="76"/>
      <c r="AV1706" s="76"/>
      <c r="AW1706" s="76"/>
      <c r="AX1706" s="76">
        <f>+AW1706*600000</f>
        <v>0</v>
      </c>
      <c r="AY1706" s="76"/>
      <c r="AZ1706" s="76">
        <f>+AY1706*70000</f>
        <v>0</v>
      </c>
      <c r="BA1706" s="76"/>
      <c r="BB1706" s="76"/>
      <c r="BC1706" s="76"/>
      <c r="BD1706" s="76">
        <f>+BC1706*30000</f>
        <v>0</v>
      </c>
      <c r="BE1706" s="76"/>
      <c r="BF1706" s="76"/>
      <c r="BG1706" s="76"/>
      <c r="BH1706" s="76"/>
      <c r="BI1706" s="76"/>
      <c r="BJ1706" s="76"/>
      <c r="BK1706" s="76"/>
      <c r="BL1706" s="76">
        <f>+BK1706*31500</f>
        <v>0</v>
      </c>
      <c r="BM1706" s="76"/>
      <c r="BN1706" s="76"/>
      <c r="BO1706" s="76"/>
      <c r="BP1706" s="76"/>
      <c r="BQ1706" s="76"/>
      <c r="BR1706" s="76"/>
      <c r="BS1706" s="76"/>
      <c r="BT1706" s="76"/>
      <c r="BU1706" s="76"/>
      <c r="BV1706" s="76"/>
      <c r="BW1706" s="76"/>
      <c r="BX1706" s="76"/>
      <c r="BY1706" s="76"/>
      <c r="BZ1706" s="76"/>
      <c r="CA1706" s="76"/>
      <c r="CB1706" s="76"/>
      <c r="CC1706" s="76"/>
      <c r="CD1706" s="76"/>
      <c r="CE1706" s="76"/>
      <c r="CF1706" s="76">
        <f>+CE1706*28000</f>
        <v>0</v>
      </c>
      <c r="CG1706" s="76"/>
      <c r="CH1706" s="76">
        <f>+CG1706*22500</f>
        <v>0</v>
      </c>
      <c r="CI1706" s="76"/>
      <c r="CJ1706" s="76">
        <f>+CI1706*26000</f>
        <v>0</v>
      </c>
      <c r="CK1706" s="76"/>
      <c r="CL1706" s="76"/>
      <c r="CM1706" s="76"/>
      <c r="CN1706" s="76">
        <f>+CM1706*22000</f>
        <v>0</v>
      </c>
      <c r="CO1706" s="76"/>
      <c r="CP1706" s="76">
        <f>+CO1706*46000</f>
        <v>0</v>
      </c>
      <c r="CQ1706" s="76"/>
      <c r="CR1706" s="76">
        <f>+CQ1706*49000</f>
        <v>0</v>
      </c>
      <c r="CS1706" s="76"/>
      <c r="CT1706" s="76"/>
      <c r="CU1706" s="56">
        <f>AN1706+AP1706+AR1706+AT1706+AV1706+AX1706+AZ1706+BB1706+BD1706+BF1706+BH1706+BJ1706+BL1706+BN1706+BP1706+BR1706+BT1706+BV1706+BX1706+BZ1706+CB1706+CD1706+CF1706+CH1706+CJ1706+CL1706+CN1706+CP1706+CR1706+CT1706</f>
        <v>0</v>
      </c>
      <c r="CV1706" s="76"/>
      <c r="CW1706" s="76">
        <f>+CV1706*1100</f>
        <v>0</v>
      </c>
      <c r="CX1706" s="76"/>
      <c r="CY1706" s="76">
        <f>+CX1706*106250</f>
        <v>0</v>
      </c>
      <c r="CZ1706" s="76"/>
      <c r="DA1706" s="76">
        <f>+CZ1706*34500</f>
        <v>0</v>
      </c>
      <c r="DB1706" s="76"/>
      <c r="DC1706" s="76">
        <f>+DB1706*25000</f>
        <v>0</v>
      </c>
      <c r="DD1706" s="219"/>
      <c r="DE1706" s="219"/>
      <c r="DF1706" s="166"/>
      <c r="DG1706" s="116"/>
      <c r="DH1706" s="117"/>
      <c r="DI1706" s="24"/>
      <c r="DJ1706" s="24"/>
      <c r="DK1706" s="24"/>
      <c r="DL1706" s="24"/>
      <c r="DM1706" s="24"/>
      <c r="DN1706" s="24"/>
      <c r="DO1706" s="24"/>
      <c r="DP1706" s="24"/>
      <c r="DQ1706" s="24"/>
      <c r="DR1706" s="24"/>
      <c r="DS1706" s="24"/>
      <c r="DT1706" s="24"/>
      <c r="DU1706" s="24"/>
    </row>
    <row r="1707" spans="1:125" s="8" customFormat="1" ht="156" x14ac:dyDescent="0.2">
      <c r="A1707" s="77">
        <v>41398</v>
      </c>
      <c r="B1707" s="78" t="s">
        <v>2848</v>
      </c>
      <c r="C1707" s="75" t="s">
        <v>2055</v>
      </c>
      <c r="D1707" s="75" t="s">
        <v>3051</v>
      </c>
      <c r="E1707" s="75" t="str">
        <f>VLOOKUP(B1707&amp;C1707,Divipola!$C$2:$F$1138,4,FALSE)</f>
        <v>73275</v>
      </c>
      <c r="F1707" s="61"/>
      <c r="G1707" s="61"/>
      <c r="H1707" s="61"/>
      <c r="I1707" s="61">
        <v>310</v>
      </c>
      <c r="J1707" s="61">
        <v>98</v>
      </c>
      <c r="K1707" s="61"/>
      <c r="L1707" s="61">
        <v>101</v>
      </c>
      <c r="M1707" s="61">
        <v>1</v>
      </c>
      <c r="N1707" s="61"/>
      <c r="O1707" s="61"/>
      <c r="P1707" s="61"/>
      <c r="Q1707" s="61"/>
      <c r="R1707" s="61"/>
      <c r="S1707" s="61"/>
      <c r="T1707" s="61"/>
      <c r="U1707" s="61"/>
      <c r="V1707" s="7"/>
      <c r="W1707" s="96">
        <v>7200000</v>
      </c>
      <c r="X1707" s="71">
        <f>CU1707</f>
        <v>0</v>
      </c>
      <c r="Y1707" s="71">
        <f>CY1707</f>
        <v>0</v>
      </c>
      <c r="Z1707" s="71">
        <f>DA1707+DC1707+DE1707</f>
        <v>0</v>
      </c>
      <c r="AA1707" s="71">
        <f>CW1707</f>
        <v>0</v>
      </c>
      <c r="AB1707" s="71"/>
      <c r="AC1707" s="71">
        <v>0</v>
      </c>
      <c r="AD1707" s="71">
        <f>W1707+X1707+Y1707+Z1707+AA1707+AB1707+AC1707</f>
        <v>7200000</v>
      </c>
      <c r="AE1707" s="72">
        <v>0</v>
      </c>
      <c r="AF1707" s="5"/>
      <c r="AG1707" s="6"/>
      <c r="AH1707" s="27"/>
      <c r="AI1707" s="44"/>
      <c r="AJ1707" s="26"/>
      <c r="AK1707" s="5"/>
      <c r="AL1707" s="278" t="s">
        <v>5676</v>
      </c>
      <c r="AM1707" s="76"/>
      <c r="AN1707" s="76"/>
      <c r="AO1707" s="76"/>
      <c r="AP1707" s="76"/>
      <c r="AQ1707" s="76"/>
      <c r="AR1707" s="76"/>
      <c r="AS1707" s="76"/>
      <c r="AT1707" s="76"/>
      <c r="AU1707" s="76"/>
      <c r="AV1707" s="76"/>
      <c r="AW1707" s="76"/>
      <c r="AX1707" s="76">
        <f>+AW1707*600000</f>
        <v>0</v>
      </c>
      <c r="AY1707" s="76"/>
      <c r="AZ1707" s="76">
        <f>+AY1707*70000</f>
        <v>0</v>
      </c>
      <c r="BA1707" s="76"/>
      <c r="BB1707" s="76"/>
      <c r="BC1707" s="76"/>
      <c r="BD1707" s="76">
        <f>+BC1707*30000</f>
        <v>0</v>
      </c>
      <c r="BE1707" s="76"/>
      <c r="BF1707" s="76"/>
      <c r="BG1707" s="76"/>
      <c r="BH1707" s="76"/>
      <c r="BI1707" s="76"/>
      <c r="BJ1707" s="76"/>
      <c r="BK1707" s="76"/>
      <c r="BL1707" s="76">
        <f>+BK1707*31500</f>
        <v>0</v>
      </c>
      <c r="BM1707" s="76"/>
      <c r="BN1707" s="76"/>
      <c r="BO1707" s="76"/>
      <c r="BP1707" s="76"/>
      <c r="BQ1707" s="76"/>
      <c r="BR1707" s="76"/>
      <c r="BS1707" s="76"/>
      <c r="BT1707" s="76"/>
      <c r="BU1707" s="76"/>
      <c r="BV1707" s="76"/>
      <c r="BW1707" s="76"/>
      <c r="BX1707" s="76"/>
      <c r="BY1707" s="76"/>
      <c r="BZ1707" s="76"/>
      <c r="CA1707" s="76"/>
      <c r="CB1707" s="76"/>
      <c r="CC1707" s="76"/>
      <c r="CD1707" s="76"/>
      <c r="CE1707" s="76"/>
      <c r="CF1707" s="76">
        <f>+CE1707*28000</f>
        <v>0</v>
      </c>
      <c r="CG1707" s="76"/>
      <c r="CH1707" s="76">
        <f>+CG1707*22500</f>
        <v>0</v>
      </c>
      <c r="CI1707" s="76"/>
      <c r="CJ1707" s="76">
        <f>+CI1707*26000</f>
        <v>0</v>
      </c>
      <c r="CK1707" s="76"/>
      <c r="CL1707" s="76"/>
      <c r="CM1707" s="76"/>
      <c r="CN1707" s="76">
        <f>+CM1707*22000</f>
        <v>0</v>
      </c>
      <c r="CO1707" s="76"/>
      <c r="CP1707" s="76">
        <f>+CO1707*46000</f>
        <v>0</v>
      </c>
      <c r="CQ1707" s="76"/>
      <c r="CR1707" s="76">
        <f>+CQ1707*49000</f>
        <v>0</v>
      </c>
      <c r="CS1707" s="76"/>
      <c r="CT1707" s="76"/>
      <c r="CU1707" s="56">
        <f>AN1707+AP1707+AR1707+AT1707+AV1707+AX1707+AZ1707+BB1707+BD1707+BF1707+BH1707+BJ1707+BL1707+BN1707+BP1707+BR1707+BT1707+BV1707+BX1707+BZ1707+CB1707+CD1707+CF1707+CH1707+CJ1707+CL1707+CN1707+CP1707+CR1707+CT1707</f>
        <v>0</v>
      </c>
      <c r="CV1707" s="76"/>
      <c r="CW1707" s="76">
        <f>+CV1707*1100</f>
        <v>0</v>
      </c>
      <c r="CX1707" s="76"/>
      <c r="CY1707" s="76">
        <f>+CX1707*106250</f>
        <v>0</v>
      </c>
      <c r="CZ1707" s="76"/>
      <c r="DA1707" s="76">
        <f>+CZ1707*34500</f>
        <v>0</v>
      </c>
      <c r="DB1707" s="76"/>
      <c r="DC1707" s="76">
        <f>+DB1707*25000</f>
        <v>0</v>
      </c>
      <c r="DD1707" s="219"/>
      <c r="DE1707" s="219"/>
      <c r="DF1707" s="166"/>
      <c r="DG1707" s="116"/>
      <c r="DH1707" s="117"/>
      <c r="DI1707" s="24"/>
      <c r="DJ1707" s="24"/>
      <c r="DK1707" s="24"/>
      <c r="DL1707" s="24"/>
      <c r="DM1707" s="24"/>
      <c r="DN1707" s="24"/>
      <c r="DO1707" s="24"/>
      <c r="DP1707" s="24"/>
      <c r="DQ1707" s="24"/>
      <c r="DR1707" s="24"/>
      <c r="DS1707" s="24"/>
      <c r="DT1707" s="24"/>
      <c r="DU1707" s="24"/>
    </row>
    <row r="1708" spans="1:125" s="8" customFormat="1" ht="84" x14ac:dyDescent="0.2">
      <c r="A1708" s="353">
        <v>41398</v>
      </c>
      <c r="B1708" s="352" t="s">
        <v>2848</v>
      </c>
      <c r="C1708" s="354" t="s">
        <v>2077</v>
      </c>
      <c r="D1708" s="354" t="s">
        <v>2882</v>
      </c>
      <c r="E1708" s="75" t="str">
        <f>VLOOKUP(B1708&amp;C1708,Divipola!$C$2:$F$1138,4,FALSE)</f>
        <v>73411</v>
      </c>
      <c r="F1708" s="87">
        <v>1</v>
      </c>
      <c r="G1708" s="87">
        <v>1</v>
      </c>
      <c r="H1708" s="87"/>
      <c r="I1708" s="87"/>
      <c r="J1708" s="87"/>
      <c r="K1708" s="87"/>
      <c r="L1708" s="87"/>
      <c r="M1708" s="87"/>
      <c r="N1708" s="87"/>
      <c r="O1708" s="87"/>
      <c r="P1708" s="87"/>
      <c r="Q1708" s="87"/>
      <c r="R1708" s="87"/>
      <c r="S1708" s="87"/>
      <c r="T1708" s="87"/>
      <c r="U1708" s="88"/>
      <c r="V1708" s="89"/>
      <c r="W1708" s="96">
        <v>0</v>
      </c>
      <c r="X1708" s="71">
        <f>CU1708</f>
        <v>28649622</v>
      </c>
      <c r="Y1708" s="71">
        <f>CY1708</f>
        <v>15773700</v>
      </c>
      <c r="Z1708" s="71">
        <f>DA1708+DC1708+DE1708</f>
        <v>64006364</v>
      </c>
      <c r="AA1708" s="71">
        <f>CW1708</f>
        <v>0</v>
      </c>
      <c r="AB1708" s="71"/>
      <c r="AC1708" s="71">
        <v>0</v>
      </c>
      <c r="AD1708" s="71">
        <f>W1708+X1708+Y1708+Z1708+AA1708+AB1708+AC1708</f>
        <v>108429686</v>
      </c>
      <c r="AE1708" s="72">
        <v>0</v>
      </c>
      <c r="AF1708" s="5"/>
      <c r="AG1708" s="6"/>
      <c r="AH1708" s="27" t="s">
        <v>3390</v>
      </c>
      <c r="AI1708" s="44" t="s">
        <v>3391</v>
      </c>
      <c r="AJ1708" s="26"/>
      <c r="AK1708" s="5"/>
      <c r="AL1708" s="82" t="s">
        <v>4520</v>
      </c>
      <c r="AM1708" s="76"/>
      <c r="AN1708" s="76"/>
      <c r="AO1708" s="76"/>
      <c r="AP1708" s="76"/>
      <c r="AQ1708" s="76"/>
      <c r="AR1708" s="76"/>
      <c r="AS1708" s="76"/>
      <c r="AT1708" s="76"/>
      <c r="AU1708" s="76"/>
      <c r="AV1708" s="76"/>
      <c r="AW1708" s="76"/>
      <c r="AX1708" s="76">
        <f>+AW1708*600000</f>
        <v>0</v>
      </c>
      <c r="AY1708" s="86">
        <v>150</v>
      </c>
      <c r="AZ1708" s="86">
        <f>+AY1708*69999.04</f>
        <v>10499855.999999998</v>
      </c>
      <c r="BA1708" s="76"/>
      <c r="BB1708" s="76"/>
      <c r="BC1708" s="76"/>
      <c r="BD1708" s="76">
        <f>+BC1708*30000</f>
        <v>0</v>
      </c>
      <c r="BE1708" s="76"/>
      <c r="BF1708" s="76"/>
      <c r="BG1708" s="76"/>
      <c r="BH1708" s="76"/>
      <c r="BI1708" s="76"/>
      <c r="BJ1708" s="76"/>
      <c r="BK1708" s="76"/>
      <c r="BL1708" s="76">
        <f>+BK1708*31500</f>
        <v>0</v>
      </c>
      <c r="BM1708" s="76"/>
      <c r="BN1708" s="76"/>
      <c r="BO1708" s="76"/>
      <c r="BP1708" s="76"/>
      <c r="BQ1708" s="76"/>
      <c r="BR1708" s="76"/>
      <c r="BS1708" s="76"/>
      <c r="BT1708" s="76"/>
      <c r="BU1708" s="76"/>
      <c r="BV1708" s="76"/>
      <c r="BW1708" s="76"/>
      <c r="BX1708" s="76"/>
      <c r="BY1708" s="76"/>
      <c r="BZ1708" s="76"/>
      <c r="CA1708" s="76"/>
      <c r="CB1708" s="76"/>
      <c r="CC1708" s="76"/>
      <c r="CD1708" s="76"/>
      <c r="CE1708" s="76"/>
      <c r="CF1708" s="76">
        <f>+CE1708*28000</f>
        <v>0</v>
      </c>
      <c r="CG1708" s="76"/>
      <c r="CH1708" s="76">
        <f>+CG1708*22500</f>
        <v>0</v>
      </c>
      <c r="CI1708" s="86">
        <v>150</v>
      </c>
      <c r="CJ1708" s="86">
        <f>+CI1708*25999.08</f>
        <v>3899862.0000000005</v>
      </c>
      <c r="CK1708" s="76"/>
      <c r="CL1708" s="76"/>
      <c r="CM1708" s="76"/>
      <c r="CN1708" s="76">
        <f>+CM1708*22000</f>
        <v>0</v>
      </c>
      <c r="CO1708" s="86">
        <v>150</v>
      </c>
      <c r="CP1708" s="86">
        <f>+CO1708*45999.8</f>
        <v>6899970</v>
      </c>
      <c r="CQ1708" s="86">
        <v>150</v>
      </c>
      <c r="CR1708" s="86">
        <f>+CQ1708*48999.56</f>
        <v>7349934</v>
      </c>
      <c r="CS1708" s="76"/>
      <c r="CT1708" s="76"/>
      <c r="CU1708" s="56">
        <f>AN1708+AP1708+AR1708+AT1708+AV1708+AX1708+AZ1708+BB1708+BD1708+BF1708+BH1708+BJ1708+BL1708+BN1708+BP1708+BR1708+BT1708+BV1708+BX1708+BZ1708+CB1708+CD1708+CF1708+CH1708+CJ1708+CL1708+CN1708+CP1708+CR1708+CT1708</f>
        <v>28649622</v>
      </c>
      <c r="CV1708" s="76"/>
      <c r="CW1708" s="76">
        <f>+CV1708*1100</f>
        <v>0</v>
      </c>
      <c r="CX1708" s="86">
        <v>150</v>
      </c>
      <c r="CY1708" s="86">
        <f>+CX1708*105158</f>
        <v>15773700</v>
      </c>
      <c r="CZ1708" s="86">
        <v>500</v>
      </c>
      <c r="DA1708" s="86">
        <f>+CZ1708*34499.56</f>
        <v>17249780</v>
      </c>
      <c r="DB1708" s="86">
        <v>1200</v>
      </c>
      <c r="DC1708" s="86">
        <f>+DB1708*24999.16+4800*199.52</f>
        <v>30956688</v>
      </c>
      <c r="DD1708" s="222" t="s">
        <v>4868</v>
      </c>
      <c r="DE1708" s="309">
        <f>50*71998.88+50*88999.84+50*154999.2</f>
        <v>15799896</v>
      </c>
      <c r="DF1708" s="166"/>
      <c r="DG1708" s="134" t="s">
        <v>5165</v>
      </c>
      <c r="DH1708" s="117"/>
      <c r="DI1708" s="24"/>
      <c r="DJ1708" s="24"/>
      <c r="DK1708" s="24"/>
      <c r="DL1708" s="24"/>
      <c r="DM1708" s="24"/>
      <c r="DN1708" s="24"/>
      <c r="DO1708" s="24"/>
      <c r="DP1708" s="24"/>
      <c r="DQ1708" s="24"/>
      <c r="DR1708" s="24"/>
      <c r="DS1708" s="24"/>
      <c r="DT1708" s="24"/>
      <c r="DU1708" s="24"/>
    </row>
    <row r="1709" spans="1:125" s="8" customFormat="1" ht="36" x14ac:dyDescent="0.2">
      <c r="A1709" s="97">
        <v>41398</v>
      </c>
      <c r="B1709" s="60" t="s">
        <v>2848</v>
      </c>
      <c r="C1709" s="55" t="s">
        <v>2034</v>
      </c>
      <c r="D1709" s="55" t="s">
        <v>3017</v>
      </c>
      <c r="E1709" s="75" t="str">
        <f>VLOOKUP(B1709&amp;C1709,Divipola!$C$2:$F$1138,4,FALSE)</f>
        <v>73449</v>
      </c>
      <c r="F1709" s="87"/>
      <c r="G1709" s="87"/>
      <c r="H1709" s="87"/>
      <c r="I1709" s="87">
        <v>5</v>
      </c>
      <c r="J1709" s="87">
        <v>1</v>
      </c>
      <c r="K1709" s="87">
        <v>1</v>
      </c>
      <c r="L1709" s="87"/>
      <c r="M1709" s="87"/>
      <c r="N1709" s="87"/>
      <c r="O1709" s="87"/>
      <c r="P1709" s="87"/>
      <c r="Q1709" s="87"/>
      <c r="R1709" s="87"/>
      <c r="S1709" s="87"/>
      <c r="T1709" s="87"/>
      <c r="U1709" s="88"/>
      <c r="V1709" s="195"/>
      <c r="W1709" s="96">
        <v>0</v>
      </c>
      <c r="X1709" s="71">
        <f>CU1709</f>
        <v>0</v>
      </c>
      <c r="Y1709" s="71">
        <f>CY1709</f>
        <v>0</v>
      </c>
      <c r="Z1709" s="71">
        <f>DA1709+DC1709+DE1709</f>
        <v>0</v>
      </c>
      <c r="AA1709" s="71">
        <f>CW1709</f>
        <v>0</v>
      </c>
      <c r="AB1709" s="71"/>
      <c r="AC1709" s="71">
        <v>0</v>
      </c>
      <c r="AD1709" s="71">
        <f>W1709+X1709+Y1709+Z1709+AA1709+AB1709+AC1709</f>
        <v>0</v>
      </c>
      <c r="AE1709" s="72">
        <v>0</v>
      </c>
      <c r="AF1709" s="5"/>
      <c r="AG1709" s="6"/>
      <c r="AH1709" s="27" t="s">
        <v>3392</v>
      </c>
      <c r="AI1709" s="44" t="s">
        <v>3393</v>
      </c>
      <c r="AJ1709" s="26"/>
      <c r="AK1709" s="5"/>
      <c r="AL1709" s="82" t="s">
        <v>4510</v>
      </c>
      <c r="AM1709" s="76"/>
      <c r="AN1709" s="76"/>
      <c r="AO1709" s="76"/>
      <c r="AP1709" s="76"/>
      <c r="AQ1709" s="76"/>
      <c r="AR1709" s="76"/>
      <c r="AS1709" s="76"/>
      <c r="AT1709" s="76"/>
      <c r="AU1709" s="76"/>
      <c r="AV1709" s="76"/>
      <c r="AW1709" s="76"/>
      <c r="AX1709" s="76">
        <f>+AW1709*600000</f>
        <v>0</v>
      </c>
      <c r="AY1709" s="76"/>
      <c r="AZ1709" s="76">
        <f>+AY1709*70000</f>
        <v>0</v>
      </c>
      <c r="BA1709" s="76"/>
      <c r="BB1709" s="76"/>
      <c r="BC1709" s="76"/>
      <c r="BD1709" s="76">
        <f>+BC1709*30000</f>
        <v>0</v>
      </c>
      <c r="BE1709" s="76"/>
      <c r="BF1709" s="76"/>
      <c r="BG1709" s="76"/>
      <c r="BH1709" s="76"/>
      <c r="BI1709" s="76"/>
      <c r="BJ1709" s="76"/>
      <c r="BK1709" s="76"/>
      <c r="BL1709" s="76">
        <f>+BK1709*31500</f>
        <v>0</v>
      </c>
      <c r="BM1709" s="76"/>
      <c r="BN1709" s="76"/>
      <c r="BO1709" s="76"/>
      <c r="BP1709" s="76"/>
      <c r="BQ1709" s="76"/>
      <c r="BR1709" s="76"/>
      <c r="BS1709" s="76"/>
      <c r="BT1709" s="76"/>
      <c r="BU1709" s="76"/>
      <c r="BV1709" s="76"/>
      <c r="BW1709" s="76"/>
      <c r="BX1709" s="76"/>
      <c r="BY1709" s="76"/>
      <c r="BZ1709" s="76"/>
      <c r="CA1709" s="76"/>
      <c r="CB1709" s="76"/>
      <c r="CC1709" s="76"/>
      <c r="CD1709" s="76"/>
      <c r="CE1709" s="76"/>
      <c r="CF1709" s="76">
        <f>+CE1709*28000</f>
        <v>0</v>
      </c>
      <c r="CG1709" s="76"/>
      <c r="CH1709" s="76">
        <f>+CG1709*22500</f>
        <v>0</v>
      </c>
      <c r="CI1709" s="76"/>
      <c r="CJ1709" s="76">
        <f>+CI1709*26000</f>
        <v>0</v>
      </c>
      <c r="CK1709" s="76"/>
      <c r="CL1709" s="76"/>
      <c r="CM1709" s="76"/>
      <c r="CN1709" s="76">
        <f>+CM1709*22000</f>
        <v>0</v>
      </c>
      <c r="CO1709" s="76"/>
      <c r="CP1709" s="76">
        <f>+CO1709*46000</f>
        <v>0</v>
      </c>
      <c r="CQ1709" s="76"/>
      <c r="CR1709" s="76">
        <f>+CQ1709*49000</f>
        <v>0</v>
      </c>
      <c r="CS1709" s="76"/>
      <c r="CT1709" s="76"/>
      <c r="CU1709" s="56">
        <f>AN1709+AP1709+AR1709+AT1709+AV1709+AX1709+AZ1709+BB1709+BD1709+BF1709+BH1709+BJ1709+BL1709+BN1709+BP1709+BR1709+BT1709+BV1709+BX1709+BZ1709+CB1709+CD1709+CF1709+CH1709+CJ1709+CL1709+CN1709+CP1709+CR1709+CT1709</f>
        <v>0</v>
      </c>
      <c r="CV1709" s="76"/>
      <c r="CW1709" s="76">
        <f>+CV1709*1100</f>
        <v>0</v>
      </c>
      <c r="CX1709" s="76"/>
      <c r="CY1709" s="76">
        <f>+CX1709*106250</f>
        <v>0</v>
      </c>
      <c r="CZ1709" s="76"/>
      <c r="DA1709" s="76">
        <f>+CZ1709*34500</f>
        <v>0</v>
      </c>
      <c r="DB1709" s="76"/>
      <c r="DC1709" s="76">
        <f>+DB1709*25000</f>
        <v>0</v>
      </c>
      <c r="DD1709" s="219"/>
      <c r="DE1709" s="219"/>
      <c r="DF1709" s="166"/>
      <c r="DG1709" s="116"/>
      <c r="DH1709" s="117"/>
      <c r="DI1709" s="24"/>
      <c r="DJ1709" s="24"/>
      <c r="DK1709" s="24"/>
      <c r="DL1709" s="24"/>
      <c r="DM1709" s="24"/>
      <c r="DN1709" s="24"/>
      <c r="DO1709" s="24"/>
      <c r="DP1709" s="24"/>
      <c r="DQ1709" s="24"/>
      <c r="DR1709" s="24"/>
      <c r="DS1709" s="24"/>
      <c r="DT1709" s="24"/>
      <c r="DU1709" s="24"/>
    </row>
    <row r="1710" spans="1:125" s="8" customFormat="1" ht="84" x14ac:dyDescent="0.2">
      <c r="A1710" s="77">
        <v>41398</v>
      </c>
      <c r="B1710" s="225" t="s">
        <v>2848</v>
      </c>
      <c r="C1710" s="227" t="s">
        <v>2034</v>
      </c>
      <c r="D1710" s="227" t="s">
        <v>3051</v>
      </c>
      <c r="E1710" s="75" t="str">
        <f>VLOOKUP(B1710&amp;C1710,Divipola!$C$2:$F$1138,4,FALSE)</f>
        <v>73449</v>
      </c>
      <c r="F1710" s="87"/>
      <c r="G1710" s="87"/>
      <c r="H1710" s="87"/>
      <c r="I1710" s="87">
        <v>5</v>
      </c>
      <c r="J1710" s="87">
        <v>1</v>
      </c>
      <c r="K1710" s="87"/>
      <c r="L1710" s="87">
        <v>1</v>
      </c>
      <c r="M1710" s="87"/>
      <c r="N1710" s="87"/>
      <c r="O1710" s="87"/>
      <c r="P1710" s="87"/>
      <c r="Q1710" s="87"/>
      <c r="R1710" s="87"/>
      <c r="S1710" s="87"/>
      <c r="T1710" s="87"/>
      <c r="U1710" s="88"/>
      <c r="V1710" s="89"/>
      <c r="W1710" s="96">
        <v>0</v>
      </c>
      <c r="X1710" s="71">
        <f>CU1710</f>
        <v>0</v>
      </c>
      <c r="Y1710" s="71">
        <f>CY1710</f>
        <v>0</v>
      </c>
      <c r="Z1710" s="71">
        <f>DA1710+DC1710+DE1710</f>
        <v>0</v>
      </c>
      <c r="AA1710" s="71">
        <f>CW1710</f>
        <v>0</v>
      </c>
      <c r="AB1710" s="71"/>
      <c r="AC1710" s="71">
        <v>0</v>
      </c>
      <c r="AD1710" s="71">
        <f>W1710+X1710+Y1710+Z1710+AA1710+AB1710+AC1710</f>
        <v>0</v>
      </c>
      <c r="AE1710" s="72">
        <v>0</v>
      </c>
      <c r="AF1710" s="5"/>
      <c r="AG1710" s="6"/>
      <c r="AH1710" s="27" t="s">
        <v>3392</v>
      </c>
      <c r="AI1710" s="44" t="s">
        <v>3393</v>
      </c>
      <c r="AJ1710" s="26"/>
      <c r="AK1710" s="5"/>
      <c r="AL1710" s="82" t="s">
        <v>4516</v>
      </c>
      <c r="AM1710" s="76"/>
      <c r="AN1710" s="76"/>
      <c r="AO1710" s="76"/>
      <c r="AP1710" s="76"/>
      <c r="AQ1710" s="76"/>
      <c r="AR1710" s="76"/>
      <c r="AS1710" s="76"/>
      <c r="AT1710" s="76"/>
      <c r="AU1710" s="76"/>
      <c r="AV1710" s="76"/>
      <c r="AW1710" s="76"/>
      <c r="AX1710" s="76">
        <f>+AW1710*600000</f>
        <v>0</v>
      </c>
      <c r="AY1710" s="76"/>
      <c r="AZ1710" s="76">
        <f>+AY1710*70000</f>
        <v>0</v>
      </c>
      <c r="BA1710" s="76"/>
      <c r="BB1710" s="76"/>
      <c r="BC1710" s="76"/>
      <c r="BD1710" s="76">
        <f>+BC1710*30000</f>
        <v>0</v>
      </c>
      <c r="BE1710" s="76"/>
      <c r="BF1710" s="76"/>
      <c r="BG1710" s="76"/>
      <c r="BH1710" s="76"/>
      <c r="BI1710" s="76"/>
      <c r="BJ1710" s="76"/>
      <c r="BK1710" s="76"/>
      <c r="BL1710" s="76">
        <f>+BK1710*31500</f>
        <v>0</v>
      </c>
      <c r="BM1710" s="76"/>
      <c r="BN1710" s="76"/>
      <c r="BO1710" s="76"/>
      <c r="BP1710" s="76"/>
      <c r="BQ1710" s="76"/>
      <c r="BR1710" s="76"/>
      <c r="BS1710" s="76"/>
      <c r="BT1710" s="76"/>
      <c r="BU1710" s="76"/>
      <c r="BV1710" s="76"/>
      <c r="BW1710" s="76"/>
      <c r="BX1710" s="76"/>
      <c r="BY1710" s="76"/>
      <c r="BZ1710" s="76"/>
      <c r="CA1710" s="76"/>
      <c r="CB1710" s="76"/>
      <c r="CC1710" s="76"/>
      <c r="CD1710" s="76"/>
      <c r="CE1710" s="76"/>
      <c r="CF1710" s="76">
        <f>+CE1710*28000</f>
        <v>0</v>
      </c>
      <c r="CG1710" s="76"/>
      <c r="CH1710" s="76">
        <f>+CG1710*22500</f>
        <v>0</v>
      </c>
      <c r="CI1710" s="76"/>
      <c r="CJ1710" s="76">
        <f>+CI1710*26000</f>
        <v>0</v>
      </c>
      <c r="CK1710" s="76"/>
      <c r="CL1710" s="76"/>
      <c r="CM1710" s="76"/>
      <c r="CN1710" s="76">
        <f>+CM1710*22000</f>
        <v>0</v>
      </c>
      <c r="CO1710" s="76"/>
      <c r="CP1710" s="76">
        <f>+CO1710*46000</f>
        <v>0</v>
      </c>
      <c r="CQ1710" s="76"/>
      <c r="CR1710" s="76">
        <f>+CQ1710*49000</f>
        <v>0</v>
      </c>
      <c r="CS1710" s="76"/>
      <c r="CT1710" s="76"/>
      <c r="CU1710" s="56">
        <f>AN1710+AP1710+AR1710+AT1710+AV1710+AX1710+AZ1710+BB1710+BD1710+BF1710+BH1710+BJ1710+BL1710+BN1710+BP1710+BR1710+BT1710+BV1710+BX1710+BZ1710+CB1710+CD1710+CF1710+CH1710+CJ1710+CL1710+CN1710+CP1710+CR1710+CT1710</f>
        <v>0</v>
      </c>
      <c r="CV1710" s="76"/>
      <c r="CW1710" s="76">
        <f>+CV1710*1100</f>
        <v>0</v>
      </c>
      <c r="CX1710" s="76"/>
      <c r="CY1710" s="76">
        <f>+CX1710*106250</f>
        <v>0</v>
      </c>
      <c r="CZ1710" s="76"/>
      <c r="DA1710" s="76">
        <f>+CZ1710*34500</f>
        <v>0</v>
      </c>
      <c r="DB1710" s="76"/>
      <c r="DC1710" s="76">
        <f>+DB1710*25000</f>
        <v>0</v>
      </c>
      <c r="DD1710" s="219"/>
      <c r="DE1710" s="219"/>
      <c r="DF1710" s="166"/>
      <c r="DG1710" s="116"/>
      <c r="DH1710" s="117"/>
      <c r="DI1710" s="24"/>
      <c r="DJ1710" s="24"/>
      <c r="DK1710" s="24"/>
      <c r="DL1710" s="24"/>
      <c r="DM1710" s="24"/>
      <c r="DN1710" s="24"/>
      <c r="DO1710" s="24"/>
      <c r="DP1710" s="24"/>
      <c r="DQ1710" s="24"/>
      <c r="DR1710" s="24"/>
      <c r="DS1710" s="24"/>
      <c r="DT1710" s="24"/>
      <c r="DU1710" s="24"/>
    </row>
    <row r="1711" spans="1:125" s="8" customFormat="1" ht="60" x14ac:dyDescent="0.2">
      <c r="A1711" s="77">
        <v>41398</v>
      </c>
      <c r="B1711" s="352" t="s">
        <v>2848</v>
      </c>
      <c r="C1711" s="227" t="s">
        <v>1685</v>
      </c>
      <c r="D1711" s="227" t="s">
        <v>3051</v>
      </c>
      <c r="E1711" s="75" t="str">
        <f>VLOOKUP(B1711&amp;C1711,Divipola!$C$2:$F$1138,4,FALSE)</f>
        <v>73873</v>
      </c>
      <c r="F1711" s="87"/>
      <c r="G1711" s="87"/>
      <c r="H1711" s="87"/>
      <c r="I1711" s="87"/>
      <c r="J1711" s="87"/>
      <c r="K1711" s="87"/>
      <c r="L1711" s="87"/>
      <c r="M1711" s="87"/>
      <c r="N1711" s="87"/>
      <c r="O1711" s="87"/>
      <c r="P1711" s="87"/>
      <c r="Q1711" s="87"/>
      <c r="R1711" s="87"/>
      <c r="S1711" s="87"/>
      <c r="T1711" s="87"/>
      <c r="U1711" s="88"/>
      <c r="V1711" s="89"/>
      <c r="W1711" s="96">
        <v>0</v>
      </c>
      <c r="X1711" s="71">
        <f>CU1711</f>
        <v>10044846</v>
      </c>
      <c r="Y1711" s="71">
        <f>CY1711</f>
        <v>3680530</v>
      </c>
      <c r="Z1711" s="71">
        <f>DA1711+DC1711+DE1711</f>
        <v>3869586</v>
      </c>
      <c r="AA1711" s="71">
        <f>CW1711</f>
        <v>0</v>
      </c>
      <c r="AB1711" s="71"/>
      <c r="AC1711" s="71">
        <v>0</v>
      </c>
      <c r="AD1711" s="71">
        <f>W1711+X1711+Y1711+Z1711+AA1711+AB1711+AC1711</f>
        <v>17594962</v>
      </c>
      <c r="AE1711" s="72">
        <v>0</v>
      </c>
      <c r="AF1711" s="5"/>
      <c r="AG1711" s="6"/>
      <c r="AH1711" s="27" t="s">
        <v>3390</v>
      </c>
      <c r="AI1711" s="44" t="s">
        <v>3391</v>
      </c>
      <c r="AJ1711" s="26"/>
      <c r="AK1711" s="5"/>
      <c r="AL1711" s="82" t="s">
        <v>4517</v>
      </c>
      <c r="AM1711" s="76"/>
      <c r="AN1711" s="76"/>
      <c r="AO1711" s="76"/>
      <c r="AP1711" s="76"/>
      <c r="AQ1711" s="76"/>
      <c r="AR1711" s="76"/>
      <c r="AS1711" s="76"/>
      <c r="AT1711" s="76"/>
      <c r="AU1711" s="76"/>
      <c r="AV1711" s="76"/>
      <c r="AW1711" s="76"/>
      <c r="AX1711" s="76">
        <f>+AW1711*600000</f>
        <v>0</v>
      </c>
      <c r="AY1711" s="86">
        <v>70</v>
      </c>
      <c r="AZ1711" s="86">
        <f>+AY1711*69999.04</f>
        <v>4899932.8</v>
      </c>
      <c r="BA1711" s="76"/>
      <c r="BB1711" s="76"/>
      <c r="BC1711" s="76"/>
      <c r="BD1711" s="76">
        <f>+BC1711*30000</f>
        <v>0</v>
      </c>
      <c r="BE1711" s="76"/>
      <c r="BF1711" s="76"/>
      <c r="BG1711" s="76"/>
      <c r="BH1711" s="76"/>
      <c r="BI1711" s="76"/>
      <c r="BJ1711" s="76"/>
      <c r="BK1711" s="76"/>
      <c r="BL1711" s="76">
        <f>+BK1711*31500</f>
        <v>0</v>
      </c>
      <c r="BM1711" s="76"/>
      <c r="BN1711" s="76"/>
      <c r="BO1711" s="76"/>
      <c r="BP1711" s="76"/>
      <c r="BQ1711" s="76"/>
      <c r="BR1711" s="76"/>
      <c r="BS1711" s="76"/>
      <c r="BT1711" s="76"/>
      <c r="BU1711" s="76"/>
      <c r="BV1711" s="76"/>
      <c r="BW1711" s="76"/>
      <c r="BX1711" s="76"/>
      <c r="BY1711" s="76"/>
      <c r="BZ1711" s="76"/>
      <c r="CA1711" s="76"/>
      <c r="CB1711" s="76"/>
      <c r="CC1711" s="76"/>
      <c r="CD1711" s="76"/>
      <c r="CE1711" s="76"/>
      <c r="CF1711" s="76">
        <f>+CE1711*28000</f>
        <v>0</v>
      </c>
      <c r="CG1711" s="76"/>
      <c r="CH1711" s="76">
        <f>+CG1711*22500</f>
        <v>0</v>
      </c>
      <c r="CI1711" s="86">
        <v>70</v>
      </c>
      <c r="CJ1711" s="86">
        <f>+CI1711*25999.08</f>
        <v>1819935.6</v>
      </c>
      <c r="CK1711" s="76"/>
      <c r="CL1711" s="76"/>
      <c r="CM1711" s="76"/>
      <c r="CN1711" s="76">
        <f>+CM1711*22000</f>
        <v>0</v>
      </c>
      <c r="CO1711" s="86">
        <v>35</v>
      </c>
      <c r="CP1711" s="86">
        <f>+CO1711*45999.8</f>
        <v>1609993</v>
      </c>
      <c r="CQ1711" s="86">
        <v>35</v>
      </c>
      <c r="CR1711" s="86">
        <f>+CQ1711*48999.56</f>
        <v>1714984.5999999999</v>
      </c>
      <c r="CS1711" s="76"/>
      <c r="CT1711" s="76"/>
      <c r="CU1711" s="56">
        <f>AN1711+AP1711+AR1711+AT1711+AV1711+AX1711+AZ1711+BB1711+BD1711+BF1711+BH1711+BJ1711+BL1711+BN1711+BP1711+BR1711+BT1711+BV1711+BX1711+BZ1711+CB1711+CD1711+CF1711+CH1711+CJ1711+CL1711+CN1711+CP1711+CR1711+CT1711</f>
        <v>10044846</v>
      </c>
      <c r="CV1711" s="76"/>
      <c r="CW1711" s="76">
        <f>+CV1711*1100</f>
        <v>0</v>
      </c>
      <c r="CX1711" s="86">
        <v>35</v>
      </c>
      <c r="CY1711" s="86">
        <f>+CX1711*105158</f>
        <v>3680530</v>
      </c>
      <c r="CZ1711" s="76"/>
      <c r="DA1711" s="76">
        <f>+CZ1711*34500</f>
        <v>0</v>
      </c>
      <c r="DB1711" s="86">
        <v>150</v>
      </c>
      <c r="DC1711" s="86">
        <f>+DB1711*24999.16+600*199.52</f>
        <v>3869586</v>
      </c>
      <c r="DD1711" s="219"/>
      <c r="DE1711" s="219"/>
      <c r="DF1711" s="166"/>
      <c r="DG1711" s="134" t="s">
        <v>5151</v>
      </c>
      <c r="DH1711" s="117"/>
      <c r="DI1711" s="24"/>
      <c r="DJ1711" s="24"/>
      <c r="DK1711" s="24"/>
      <c r="DL1711" s="24"/>
      <c r="DM1711" s="24"/>
      <c r="DN1711" s="24"/>
      <c r="DO1711" s="24"/>
      <c r="DP1711" s="24"/>
      <c r="DQ1711" s="24"/>
      <c r="DR1711" s="24"/>
      <c r="DS1711" s="24"/>
      <c r="DT1711" s="24"/>
      <c r="DU1711" s="24"/>
    </row>
    <row r="1712" spans="1:125" s="8" customFormat="1" ht="96" x14ac:dyDescent="0.2">
      <c r="A1712" s="77">
        <v>41398</v>
      </c>
      <c r="B1712" s="208" t="s">
        <v>2851</v>
      </c>
      <c r="C1712" s="354" t="s">
        <v>2064</v>
      </c>
      <c r="D1712" s="354" t="s">
        <v>3051</v>
      </c>
      <c r="E1712" s="75" t="str">
        <f>VLOOKUP(B1712&amp;C1712,Divipola!$C$2:$F$1138,4,FALSE)</f>
        <v>76233</v>
      </c>
      <c r="F1712" s="87"/>
      <c r="G1712" s="87"/>
      <c r="H1712" s="87"/>
      <c r="I1712" s="87">
        <v>125</v>
      </c>
      <c r="J1712" s="87">
        <v>25</v>
      </c>
      <c r="K1712" s="87"/>
      <c r="L1712" s="87">
        <v>25</v>
      </c>
      <c r="M1712" s="87"/>
      <c r="N1712" s="87"/>
      <c r="O1712" s="87"/>
      <c r="P1712" s="87"/>
      <c r="Q1712" s="87"/>
      <c r="R1712" s="87"/>
      <c r="S1712" s="87"/>
      <c r="T1712" s="87"/>
      <c r="U1712" s="88"/>
      <c r="V1712" s="89">
        <v>2</v>
      </c>
      <c r="W1712" s="96">
        <v>0</v>
      </c>
      <c r="X1712" s="71">
        <f>CU1712</f>
        <v>0</v>
      </c>
      <c r="Y1712" s="71">
        <f>CY1712</f>
        <v>0</v>
      </c>
      <c r="Z1712" s="71">
        <f>DA1712+DC1712+DE1712</f>
        <v>0</v>
      </c>
      <c r="AA1712" s="71">
        <f>CW1712</f>
        <v>0</v>
      </c>
      <c r="AB1712" s="71"/>
      <c r="AC1712" s="71">
        <v>0</v>
      </c>
      <c r="AD1712" s="71">
        <f>W1712+X1712+Y1712+Z1712+AA1712+AB1712+AC1712</f>
        <v>0</v>
      </c>
      <c r="AE1712" s="72">
        <v>0</v>
      </c>
      <c r="AF1712" s="5"/>
      <c r="AG1712" s="6"/>
      <c r="AH1712" s="27" t="s">
        <v>3392</v>
      </c>
      <c r="AI1712" s="44" t="s">
        <v>3393</v>
      </c>
      <c r="AJ1712" s="26"/>
      <c r="AK1712" s="5"/>
      <c r="AL1712" s="82" t="s">
        <v>4531</v>
      </c>
      <c r="AM1712" s="76"/>
      <c r="AN1712" s="76"/>
      <c r="AO1712" s="76"/>
      <c r="AP1712" s="76"/>
      <c r="AQ1712" s="76"/>
      <c r="AR1712" s="76"/>
      <c r="AS1712" s="76"/>
      <c r="AT1712" s="76"/>
      <c r="AU1712" s="76"/>
      <c r="AV1712" s="76"/>
      <c r="AW1712" s="76"/>
      <c r="AX1712" s="76">
        <f>+AW1712*600000</f>
        <v>0</v>
      </c>
      <c r="AY1712" s="76"/>
      <c r="AZ1712" s="76">
        <f>+AY1712*70000</f>
        <v>0</v>
      </c>
      <c r="BA1712" s="76"/>
      <c r="BB1712" s="76"/>
      <c r="BC1712" s="76"/>
      <c r="BD1712" s="76">
        <f>+BC1712*30000</f>
        <v>0</v>
      </c>
      <c r="BE1712" s="76"/>
      <c r="BF1712" s="76"/>
      <c r="BG1712" s="76"/>
      <c r="BH1712" s="76"/>
      <c r="BI1712" s="76"/>
      <c r="BJ1712" s="76"/>
      <c r="BK1712" s="76"/>
      <c r="BL1712" s="76">
        <f>+BK1712*31500</f>
        <v>0</v>
      </c>
      <c r="BM1712" s="76"/>
      <c r="BN1712" s="76"/>
      <c r="BO1712" s="76"/>
      <c r="BP1712" s="76"/>
      <c r="BQ1712" s="76"/>
      <c r="BR1712" s="76"/>
      <c r="BS1712" s="76"/>
      <c r="BT1712" s="76"/>
      <c r="BU1712" s="76"/>
      <c r="BV1712" s="76"/>
      <c r="BW1712" s="76"/>
      <c r="BX1712" s="76"/>
      <c r="BY1712" s="76"/>
      <c r="BZ1712" s="76"/>
      <c r="CA1712" s="76"/>
      <c r="CB1712" s="76"/>
      <c r="CC1712" s="76"/>
      <c r="CD1712" s="76"/>
      <c r="CE1712" s="76"/>
      <c r="CF1712" s="76">
        <f>+CE1712*28000</f>
        <v>0</v>
      </c>
      <c r="CG1712" s="76"/>
      <c r="CH1712" s="76">
        <f>+CG1712*22500</f>
        <v>0</v>
      </c>
      <c r="CI1712" s="76"/>
      <c r="CJ1712" s="76">
        <f>+CI1712*26000</f>
        <v>0</v>
      </c>
      <c r="CK1712" s="76"/>
      <c r="CL1712" s="76"/>
      <c r="CM1712" s="76"/>
      <c r="CN1712" s="76">
        <f>+CM1712*22000</f>
        <v>0</v>
      </c>
      <c r="CO1712" s="76"/>
      <c r="CP1712" s="76">
        <f>+CO1712*46000</f>
        <v>0</v>
      </c>
      <c r="CQ1712" s="76"/>
      <c r="CR1712" s="76">
        <f>+CQ1712*49000</f>
        <v>0</v>
      </c>
      <c r="CS1712" s="76"/>
      <c r="CT1712" s="76"/>
      <c r="CU1712" s="56">
        <f>AN1712+AP1712+AR1712+AT1712+AV1712+AX1712+AZ1712+BB1712+BD1712+BF1712+BH1712+BJ1712+BL1712+BN1712+BP1712+BR1712+BT1712+BV1712+BX1712+BZ1712+CB1712+CD1712+CF1712+CH1712+CJ1712+CL1712+CN1712+CP1712+CR1712+CT1712</f>
        <v>0</v>
      </c>
      <c r="CV1712" s="76"/>
      <c r="CW1712" s="76">
        <f>+CV1712*1100</f>
        <v>0</v>
      </c>
      <c r="CX1712" s="76"/>
      <c r="CY1712" s="76">
        <f>+CX1712*106250</f>
        <v>0</v>
      </c>
      <c r="CZ1712" s="76"/>
      <c r="DA1712" s="76">
        <f>+CZ1712*34500</f>
        <v>0</v>
      </c>
      <c r="DB1712" s="76"/>
      <c r="DC1712" s="76">
        <f>+DB1712*25000</f>
        <v>0</v>
      </c>
      <c r="DD1712" s="219"/>
      <c r="DE1712" s="219"/>
      <c r="DF1712" s="166"/>
      <c r="DG1712" s="116"/>
      <c r="DH1712" s="117"/>
      <c r="DI1712" s="24"/>
      <c r="DJ1712" s="24"/>
      <c r="DK1712" s="24"/>
      <c r="DL1712" s="24"/>
      <c r="DM1712" s="24"/>
      <c r="DN1712" s="24"/>
      <c r="DO1712" s="24"/>
      <c r="DP1712" s="24"/>
      <c r="DQ1712" s="24"/>
      <c r="DR1712" s="24"/>
      <c r="DS1712" s="24"/>
      <c r="DT1712" s="24"/>
      <c r="DU1712" s="24"/>
    </row>
    <row r="1713" spans="1:125" s="8" customFormat="1" ht="48" x14ac:dyDescent="0.2">
      <c r="A1713" s="77">
        <v>41399</v>
      </c>
      <c r="B1713" s="78" t="s">
        <v>2894</v>
      </c>
      <c r="C1713" s="75" t="s">
        <v>2032</v>
      </c>
      <c r="D1713" s="75" t="s">
        <v>3088</v>
      </c>
      <c r="E1713" s="75" t="str">
        <f>VLOOKUP(B1713&amp;C1713,Divipola!$C$2:$F$1138,4,FALSE)</f>
        <v>05001</v>
      </c>
      <c r="F1713" s="163"/>
      <c r="G1713" s="163"/>
      <c r="H1713" s="163"/>
      <c r="I1713" s="163">
        <v>25</v>
      </c>
      <c r="J1713" s="163">
        <v>5</v>
      </c>
      <c r="K1713" s="163">
        <v>5</v>
      </c>
      <c r="L1713" s="163"/>
      <c r="M1713" s="163"/>
      <c r="N1713" s="163"/>
      <c r="O1713" s="163"/>
      <c r="P1713" s="163"/>
      <c r="Q1713" s="163"/>
      <c r="R1713" s="163"/>
      <c r="S1713" s="163"/>
      <c r="T1713" s="163"/>
      <c r="U1713" s="163"/>
      <c r="V1713" s="134"/>
      <c r="W1713" s="96">
        <v>0</v>
      </c>
      <c r="X1713" s="71">
        <f>CU1713</f>
        <v>0</v>
      </c>
      <c r="Y1713" s="71">
        <f>CY1713</f>
        <v>0</v>
      </c>
      <c r="Z1713" s="71">
        <f>DA1713+DC1713+DE1713</f>
        <v>0</v>
      </c>
      <c r="AA1713" s="71">
        <f>CW1713</f>
        <v>0</v>
      </c>
      <c r="AB1713" s="71"/>
      <c r="AC1713" s="71">
        <v>0</v>
      </c>
      <c r="AD1713" s="71">
        <f>W1713+X1713+Y1713+Z1713+AA1713+AB1713+AC1713</f>
        <v>0</v>
      </c>
      <c r="AE1713" s="72">
        <v>0</v>
      </c>
      <c r="AF1713" s="5"/>
      <c r="AG1713" s="6"/>
      <c r="AH1713" s="27" t="s">
        <v>3390</v>
      </c>
      <c r="AI1713" s="44" t="s">
        <v>3393</v>
      </c>
      <c r="AJ1713" s="26"/>
      <c r="AK1713" s="5" t="s">
        <v>4242</v>
      </c>
      <c r="AL1713" s="82" t="s">
        <v>4542</v>
      </c>
      <c r="AM1713" s="76"/>
      <c r="AN1713" s="76"/>
      <c r="AO1713" s="76"/>
      <c r="AP1713" s="76"/>
      <c r="AQ1713" s="76"/>
      <c r="AR1713" s="76"/>
      <c r="AS1713" s="76"/>
      <c r="AT1713" s="76"/>
      <c r="AU1713" s="76"/>
      <c r="AV1713" s="76"/>
      <c r="AW1713" s="76"/>
      <c r="AX1713" s="76">
        <f>+AW1713*600000</f>
        <v>0</v>
      </c>
      <c r="AY1713" s="76"/>
      <c r="AZ1713" s="76">
        <f>+AY1713*70000</f>
        <v>0</v>
      </c>
      <c r="BA1713" s="76"/>
      <c r="BB1713" s="76"/>
      <c r="BC1713" s="76"/>
      <c r="BD1713" s="76">
        <f>+BC1713*30000</f>
        <v>0</v>
      </c>
      <c r="BE1713" s="76"/>
      <c r="BF1713" s="76"/>
      <c r="BG1713" s="76"/>
      <c r="BH1713" s="76"/>
      <c r="BI1713" s="76"/>
      <c r="BJ1713" s="76"/>
      <c r="BK1713" s="76"/>
      <c r="BL1713" s="76">
        <f>+BK1713*31500</f>
        <v>0</v>
      </c>
      <c r="BM1713" s="76"/>
      <c r="BN1713" s="76"/>
      <c r="BO1713" s="76"/>
      <c r="BP1713" s="76"/>
      <c r="BQ1713" s="76"/>
      <c r="BR1713" s="76"/>
      <c r="BS1713" s="76"/>
      <c r="BT1713" s="76"/>
      <c r="BU1713" s="76"/>
      <c r="BV1713" s="76"/>
      <c r="BW1713" s="76"/>
      <c r="BX1713" s="76"/>
      <c r="BY1713" s="76"/>
      <c r="BZ1713" s="76"/>
      <c r="CA1713" s="76"/>
      <c r="CB1713" s="76"/>
      <c r="CC1713" s="76"/>
      <c r="CD1713" s="76"/>
      <c r="CE1713" s="76"/>
      <c r="CF1713" s="76">
        <f>+CE1713*28000</f>
        <v>0</v>
      </c>
      <c r="CG1713" s="76"/>
      <c r="CH1713" s="76">
        <f>+CG1713*22500</f>
        <v>0</v>
      </c>
      <c r="CI1713" s="76"/>
      <c r="CJ1713" s="76">
        <f>+CI1713*26000</f>
        <v>0</v>
      </c>
      <c r="CK1713" s="76"/>
      <c r="CL1713" s="76"/>
      <c r="CM1713" s="76"/>
      <c r="CN1713" s="76">
        <f>+CM1713*22000</f>
        <v>0</v>
      </c>
      <c r="CO1713" s="76"/>
      <c r="CP1713" s="76">
        <f>+CO1713*46000</f>
        <v>0</v>
      </c>
      <c r="CQ1713" s="76"/>
      <c r="CR1713" s="76">
        <f>+CQ1713*49000</f>
        <v>0</v>
      </c>
      <c r="CS1713" s="76"/>
      <c r="CT1713" s="76"/>
      <c r="CU1713" s="56">
        <f>AN1713+AP1713+AR1713+AT1713+AV1713+AX1713+AZ1713+BB1713+BD1713+BF1713+BH1713+BJ1713+BL1713+BN1713+BP1713+BR1713+BT1713+BV1713+BX1713+BZ1713+CB1713+CD1713+CF1713+CH1713+CJ1713+CL1713+CN1713+CP1713+CR1713+CT1713</f>
        <v>0</v>
      </c>
      <c r="CV1713" s="76"/>
      <c r="CW1713" s="76">
        <f>+CV1713*1100</f>
        <v>0</v>
      </c>
      <c r="CX1713" s="76"/>
      <c r="CY1713" s="76">
        <f>+CX1713*106250</f>
        <v>0</v>
      </c>
      <c r="CZ1713" s="76"/>
      <c r="DA1713" s="76">
        <f>+CZ1713*34500</f>
        <v>0</v>
      </c>
      <c r="DB1713" s="76"/>
      <c r="DC1713" s="76">
        <f>+DB1713*25000</f>
        <v>0</v>
      </c>
      <c r="DD1713" s="219"/>
      <c r="DE1713" s="219"/>
      <c r="DF1713" s="166"/>
      <c r="DG1713" s="116"/>
      <c r="DH1713" s="117"/>
      <c r="DI1713" s="24"/>
      <c r="DJ1713" s="24"/>
      <c r="DK1713" s="24"/>
      <c r="DL1713" s="24"/>
      <c r="DM1713" s="24"/>
      <c r="DN1713" s="24"/>
      <c r="DO1713" s="24"/>
      <c r="DP1713" s="24"/>
      <c r="DQ1713" s="24"/>
      <c r="DR1713" s="24"/>
      <c r="DS1713" s="24"/>
      <c r="DT1713" s="24"/>
      <c r="DU1713" s="24"/>
    </row>
    <row r="1714" spans="1:125" s="8" customFormat="1" ht="60" x14ac:dyDescent="0.2">
      <c r="A1714" s="77">
        <v>41399</v>
      </c>
      <c r="B1714" s="208" t="s">
        <v>2894</v>
      </c>
      <c r="C1714" s="354" t="s">
        <v>2636</v>
      </c>
      <c r="D1714" s="354" t="s">
        <v>3205</v>
      </c>
      <c r="E1714" s="75" t="str">
        <f>VLOOKUP(B1714&amp;C1714,Divipola!$C$2:$F$1138,4,FALSE)</f>
        <v>05885</v>
      </c>
      <c r="F1714" s="87"/>
      <c r="G1714" s="87"/>
      <c r="H1714" s="87"/>
      <c r="I1714" s="87"/>
      <c r="J1714" s="87"/>
      <c r="K1714" s="87"/>
      <c r="L1714" s="87"/>
      <c r="M1714" s="87"/>
      <c r="N1714" s="87"/>
      <c r="O1714" s="87"/>
      <c r="P1714" s="87">
        <v>1</v>
      </c>
      <c r="Q1714" s="87"/>
      <c r="R1714" s="87"/>
      <c r="S1714" s="87"/>
      <c r="T1714" s="87"/>
      <c r="U1714" s="88"/>
      <c r="V1714" s="89"/>
      <c r="W1714" s="96">
        <v>0</v>
      </c>
      <c r="X1714" s="71">
        <f>CU1714</f>
        <v>0</v>
      </c>
      <c r="Y1714" s="71">
        <f>CY1714</f>
        <v>0</v>
      </c>
      <c r="Z1714" s="71">
        <f>DA1714+DC1714+DE1714</f>
        <v>0</v>
      </c>
      <c r="AA1714" s="71">
        <f>CW1714</f>
        <v>0</v>
      </c>
      <c r="AB1714" s="71"/>
      <c r="AC1714" s="71">
        <v>0</v>
      </c>
      <c r="AD1714" s="71">
        <f>W1714+X1714+Y1714+Z1714+AA1714+AB1714+AC1714</f>
        <v>0</v>
      </c>
      <c r="AE1714" s="72">
        <v>0</v>
      </c>
      <c r="AF1714" s="5"/>
      <c r="AG1714" s="6"/>
      <c r="AH1714" s="27" t="s">
        <v>3392</v>
      </c>
      <c r="AI1714" s="44" t="s">
        <v>3393</v>
      </c>
      <c r="AJ1714" s="26"/>
      <c r="AK1714" s="5"/>
      <c r="AL1714" s="82" t="s">
        <v>4528</v>
      </c>
      <c r="AM1714" s="76"/>
      <c r="AN1714" s="76"/>
      <c r="AO1714" s="76"/>
      <c r="AP1714" s="76"/>
      <c r="AQ1714" s="76"/>
      <c r="AR1714" s="76"/>
      <c r="AS1714" s="76"/>
      <c r="AT1714" s="76"/>
      <c r="AU1714" s="76"/>
      <c r="AV1714" s="76"/>
      <c r="AW1714" s="76"/>
      <c r="AX1714" s="76">
        <f>+AW1714*600000</f>
        <v>0</v>
      </c>
      <c r="AY1714" s="76"/>
      <c r="AZ1714" s="76">
        <f>+AY1714*70000</f>
        <v>0</v>
      </c>
      <c r="BA1714" s="76"/>
      <c r="BB1714" s="76"/>
      <c r="BC1714" s="76"/>
      <c r="BD1714" s="76">
        <f>+BC1714*30000</f>
        <v>0</v>
      </c>
      <c r="BE1714" s="76"/>
      <c r="BF1714" s="76"/>
      <c r="BG1714" s="76"/>
      <c r="BH1714" s="76"/>
      <c r="BI1714" s="76"/>
      <c r="BJ1714" s="76"/>
      <c r="BK1714" s="76"/>
      <c r="BL1714" s="76">
        <f>+BK1714*31500</f>
        <v>0</v>
      </c>
      <c r="BM1714" s="76"/>
      <c r="BN1714" s="76"/>
      <c r="BO1714" s="76"/>
      <c r="BP1714" s="76"/>
      <c r="BQ1714" s="76"/>
      <c r="BR1714" s="76"/>
      <c r="BS1714" s="76"/>
      <c r="BT1714" s="76"/>
      <c r="BU1714" s="76"/>
      <c r="BV1714" s="76"/>
      <c r="BW1714" s="76"/>
      <c r="BX1714" s="76"/>
      <c r="BY1714" s="76"/>
      <c r="BZ1714" s="76"/>
      <c r="CA1714" s="76"/>
      <c r="CB1714" s="76"/>
      <c r="CC1714" s="76"/>
      <c r="CD1714" s="76"/>
      <c r="CE1714" s="76"/>
      <c r="CF1714" s="76">
        <f>+CE1714*28000</f>
        <v>0</v>
      </c>
      <c r="CG1714" s="76"/>
      <c r="CH1714" s="76">
        <f>+CG1714*22500</f>
        <v>0</v>
      </c>
      <c r="CI1714" s="76"/>
      <c r="CJ1714" s="76">
        <f>+CI1714*26000</f>
        <v>0</v>
      </c>
      <c r="CK1714" s="76"/>
      <c r="CL1714" s="76"/>
      <c r="CM1714" s="76"/>
      <c r="CN1714" s="76">
        <f>+CM1714*22000</f>
        <v>0</v>
      </c>
      <c r="CO1714" s="76"/>
      <c r="CP1714" s="76">
        <f>+CO1714*46000</f>
        <v>0</v>
      </c>
      <c r="CQ1714" s="76"/>
      <c r="CR1714" s="76">
        <f>+CQ1714*49000</f>
        <v>0</v>
      </c>
      <c r="CS1714" s="76"/>
      <c r="CT1714" s="76"/>
      <c r="CU1714" s="56">
        <f>AN1714+AP1714+AR1714+AT1714+AV1714+AX1714+AZ1714+BB1714+BD1714+BF1714+BH1714+BJ1714+BL1714+BN1714+BP1714+BR1714+BT1714+BV1714+BX1714+BZ1714+CB1714+CD1714+CF1714+CH1714+CJ1714+CL1714+CN1714+CP1714+CR1714+CT1714</f>
        <v>0</v>
      </c>
      <c r="CV1714" s="76"/>
      <c r="CW1714" s="76">
        <f>+CV1714*1100</f>
        <v>0</v>
      </c>
      <c r="CX1714" s="76"/>
      <c r="CY1714" s="76">
        <f>+CX1714*106250</f>
        <v>0</v>
      </c>
      <c r="CZ1714" s="76"/>
      <c r="DA1714" s="76">
        <f>+CZ1714*34500</f>
        <v>0</v>
      </c>
      <c r="DB1714" s="76"/>
      <c r="DC1714" s="76">
        <f>+DB1714*25000</f>
        <v>0</v>
      </c>
      <c r="DD1714" s="219"/>
      <c r="DE1714" s="219"/>
      <c r="DF1714" s="166"/>
      <c r="DG1714" s="116"/>
      <c r="DH1714" s="117"/>
      <c r="DI1714" s="24"/>
      <c r="DJ1714" s="24"/>
      <c r="DK1714" s="24"/>
      <c r="DL1714" s="24"/>
      <c r="DM1714" s="24"/>
      <c r="DN1714" s="24"/>
      <c r="DO1714" s="24"/>
      <c r="DP1714" s="24"/>
      <c r="DQ1714" s="24"/>
      <c r="DR1714" s="24"/>
      <c r="DS1714" s="24"/>
      <c r="DT1714" s="24"/>
      <c r="DU1714" s="24"/>
    </row>
    <row r="1715" spans="1:125" s="8" customFormat="1" ht="48" x14ac:dyDescent="0.2">
      <c r="A1715" s="77">
        <v>41399</v>
      </c>
      <c r="B1715" s="78" t="s">
        <v>2777</v>
      </c>
      <c r="C1715" s="75" t="s">
        <v>2009</v>
      </c>
      <c r="D1715" s="75" t="s">
        <v>2882</v>
      </c>
      <c r="E1715" s="75" t="str">
        <f>VLOOKUP(B1715&amp;C1715,Divipola!$C$2:$F$1138,4,FALSE)</f>
        <v>13600</v>
      </c>
      <c r="F1715" s="87"/>
      <c r="G1715" s="87"/>
      <c r="H1715" s="87"/>
      <c r="I1715" s="87"/>
      <c r="J1715" s="87"/>
      <c r="K1715" s="87"/>
      <c r="L1715" s="87"/>
      <c r="M1715" s="87"/>
      <c r="N1715" s="87"/>
      <c r="O1715" s="87"/>
      <c r="P1715" s="87"/>
      <c r="Q1715" s="87"/>
      <c r="R1715" s="87"/>
      <c r="S1715" s="87"/>
      <c r="T1715" s="87"/>
      <c r="U1715" s="88"/>
      <c r="V1715" s="89"/>
      <c r="W1715" s="96">
        <v>0</v>
      </c>
      <c r="X1715" s="71">
        <f>CU1715</f>
        <v>0</v>
      </c>
      <c r="Y1715" s="71">
        <f>CY1715</f>
        <v>0</v>
      </c>
      <c r="Z1715" s="71">
        <f>DA1715+DC1715+DE1715</f>
        <v>0</v>
      </c>
      <c r="AA1715" s="71">
        <f>CW1715</f>
        <v>0</v>
      </c>
      <c r="AB1715" s="71"/>
      <c r="AC1715" s="71">
        <v>0</v>
      </c>
      <c r="AD1715" s="71">
        <f>W1715+X1715+Y1715+Z1715+AA1715+AB1715+AC1715</f>
        <v>0</v>
      </c>
      <c r="AE1715" s="72">
        <v>0</v>
      </c>
      <c r="AF1715" s="5"/>
      <c r="AG1715" s="6"/>
      <c r="AH1715" s="27" t="s">
        <v>3390</v>
      </c>
      <c r="AI1715" s="44" t="s">
        <v>3393</v>
      </c>
      <c r="AJ1715" s="26"/>
      <c r="AK1715" s="5" t="s">
        <v>4242</v>
      </c>
      <c r="AL1715" s="82" t="s">
        <v>4527</v>
      </c>
      <c r="AM1715" s="76"/>
      <c r="AN1715" s="76"/>
      <c r="AO1715" s="76"/>
      <c r="AP1715" s="76"/>
      <c r="AQ1715" s="76"/>
      <c r="AR1715" s="76"/>
      <c r="AS1715" s="76"/>
      <c r="AT1715" s="76"/>
      <c r="AU1715" s="76"/>
      <c r="AV1715" s="76"/>
      <c r="AW1715" s="76"/>
      <c r="AX1715" s="76">
        <f>+AW1715*600000</f>
        <v>0</v>
      </c>
      <c r="AY1715" s="76"/>
      <c r="AZ1715" s="76">
        <f>+AY1715*70000</f>
        <v>0</v>
      </c>
      <c r="BA1715" s="76"/>
      <c r="BB1715" s="76"/>
      <c r="BC1715" s="76"/>
      <c r="BD1715" s="76">
        <f>+BC1715*30000</f>
        <v>0</v>
      </c>
      <c r="BE1715" s="76"/>
      <c r="BF1715" s="76"/>
      <c r="BG1715" s="76"/>
      <c r="BH1715" s="76"/>
      <c r="BI1715" s="76"/>
      <c r="BJ1715" s="76"/>
      <c r="BK1715" s="76"/>
      <c r="BL1715" s="76">
        <f>+BK1715*31500</f>
        <v>0</v>
      </c>
      <c r="BM1715" s="76"/>
      <c r="BN1715" s="76"/>
      <c r="BO1715" s="76"/>
      <c r="BP1715" s="76"/>
      <c r="BQ1715" s="76"/>
      <c r="BR1715" s="76"/>
      <c r="BS1715" s="76"/>
      <c r="BT1715" s="76"/>
      <c r="BU1715" s="76"/>
      <c r="BV1715" s="76"/>
      <c r="BW1715" s="76"/>
      <c r="BX1715" s="76"/>
      <c r="BY1715" s="76"/>
      <c r="BZ1715" s="76"/>
      <c r="CA1715" s="76"/>
      <c r="CB1715" s="76"/>
      <c r="CC1715" s="76"/>
      <c r="CD1715" s="76"/>
      <c r="CE1715" s="76"/>
      <c r="CF1715" s="76">
        <f>+CE1715*28000</f>
        <v>0</v>
      </c>
      <c r="CG1715" s="76"/>
      <c r="CH1715" s="76">
        <f>+CG1715*22500</f>
        <v>0</v>
      </c>
      <c r="CI1715" s="76"/>
      <c r="CJ1715" s="76">
        <f>+CI1715*26000</f>
        <v>0</v>
      </c>
      <c r="CK1715" s="76"/>
      <c r="CL1715" s="76"/>
      <c r="CM1715" s="76"/>
      <c r="CN1715" s="76">
        <f>+CM1715*22000</f>
        <v>0</v>
      </c>
      <c r="CO1715" s="76"/>
      <c r="CP1715" s="76">
        <f>+CO1715*46000</f>
        <v>0</v>
      </c>
      <c r="CQ1715" s="76"/>
      <c r="CR1715" s="76">
        <f>+CQ1715*49000</f>
        <v>0</v>
      </c>
      <c r="CS1715" s="76"/>
      <c r="CT1715" s="76"/>
      <c r="CU1715" s="56">
        <f>AN1715+AP1715+AR1715+AT1715+AV1715+AX1715+AZ1715+BB1715+BD1715+BF1715+BH1715+BJ1715+BL1715+BN1715+BP1715+BR1715+BT1715+BV1715+BX1715+BZ1715+CB1715+CD1715+CF1715+CH1715+CJ1715+CL1715+CN1715+CP1715+CR1715+CT1715</f>
        <v>0</v>
      </c>
      <c r="CV1715" s="76"/>
      <c r="CW1715" s="76">
        <f>+CV1715*1100</f>
        <v>0</v>
      </c>
      <c r="CX1715" s="76"/>
      <c r="CY1715" s="76">
        <f>+CX1715*106250</f>
        <v>0</v>
      </c>
      <c r="CZ1715" s="76"/>
      <c r="DA1715" s="76">
        <f>+CZ1715*34500</f>
        <v>0</v>
      </c>
      <c r="DB1715" s="76"/>
      <c r="DC1715" s="76">
        <f>+DB1715*25000</f>
        <v>0</v>
      </c>
      <c r="DD1715" s="219"/>
      <c r="DE1715" s="219"/>
      <c r="DF1715" s="166"/>
      <c r="DG1715" s="116"/>
      <c r="DH1715" s="117"/>
      <c r="DI1715" s="24"/>
      <c r="DJ1715" s="24"/>
      <c r="DK1715" s="24"/>
      <c r="DL1715" s="24"/>
      <c r="DM1715" s="24"/>
      <c r="DN1715" s="24"/>
      <c r="DO1715" s="24"/>
      <c r="DP1715" s="24"/>
      <c r="DQ1715" s="24"/>
      <c r="DR1715" s="24"/>
      <c r="DS1715" s="24"/>
      <c r="DT1715" s="24"/>
      <c r="DU1715" s="24"/>
    </row>
    <row r="1716" spans="1:125" s="8" customFormat="1" ht="132" x14ac:dyDescent="0.2">
      <c r="A1716" s="353">
        <v>41399</v>
      </c>
      <c r="B1716" s="352" t="s">
        <v>2772</v>
      </c>
      <c r="C1716" s="354" t="s">
        <v>2825</v>
      </c>
      <c r="D1716" s="354" t="s">
        <v>2882</v>
      </c>
      <c r="E1716" s="75" t="str">
        <f>VLOOKUP(B1716&amp;C1716,Divipola!$C$2:$F$1138,4,FALSE)</f>
        <v>25053</v>
      </c>
      <c r="F1716" s="87"/>
      <c r="G1716" s="87"/>
      <c r="H1716" s="87"/>
      <c r="I1716" s="87">
        <v>10</v>
      </c>
      <c r="J1716" s="87">
        <v>2</v>
      </c>
      <c r="K1716" s="87"/>
      <c r="L1716" s="87">
        <v>2</v>
      </c>
      <c r="M1716" s="87">
        <v>8</v>
      </c>
      <c r="N1716" s="87"/>
      <c r="O1716" s="87"/>
      <c r="P1716" s="87"/>
      <c r="Q1716" s="87">
        <v>1</v>
      </c>
      <c r="R1716" s="87"/>
      <c r="S1716" s="87"/>
      <c r="T1716" s="87"/>
      <c r="U1716" s="88"/>
      <c r="V1716" s="89"/>
      <c r="W1716" s="96">
        <v>0</v>
      </c>
      <c r="X1716" s="71">
        <f>CU1716</f>
        <v>0</v>
      </c>
      <c r="Y1716" s="71">
        <f>CY1716</f>
        <v>0</v>
      </c>
      <c r="Z1716" s="71">
        <f>DA1716+DC1716+DE1716</f>
        <v>0</v>
      </c>
      <c r="AA1716" s="71">
        <f>CW1716</f>
        <v>0</v>
      </c>
      <c r="AB1716" s="71"/>
      <c r="AC1716" s="71">
        <v>0</v>
      </c>
      <c r="AD1716" s="71">
        <f>W1716+X1716+Y1716+Z1716+AA1716+AB1716+AC1716</f>
        <v>0</v>
      </c>
      <c r="AE1716" s="72">
        <v>0</v>
      </c>
      <c r="AF1716" s="5"/>
      <c r="AG1716" s="6"/>
      <c r="AH1716" s="27" t="s">
        <v>3392</v>
      </c>
      <c r="AI1716" s="44" t="s">
        <v>3393</v>
      </c>
      <c r="AJ1716" s="26"/>
      <c r="AK1716" s="5"/>
      <c r="AL1716" s="82" t="s">
        <v>4704</v>
      </c>
      <c r="AM1716" s="76"/>
      <c r="AN1716" s="76"/>
      <c r="AO1716" s="76"/>
      <c r="AP1716" s="76"/>
      <c r="AQ1716" s="76"/>
      <c r="AR1716" s="76"/>
      <c r="AS1716" s="76"/>
      <c r="AT1716" s="76"/>
      <c r="AU1716" s="76"/>
      <c r="AV1716" s="76"/>
      <c r="AW1716" s="76"/>
      <c r="AX1716" s="76">
        <f>+AW1716*600000</f>
        <v>0</v>
      </c>
      <c r="AY1716" s="76"/>
      <c r="AZ1716" s="76">
        <f>+AY1716*70000</f>
        <v>0</v>
      </c>
      <c r="BA1716" s="76"/>
      <c r="BB1716" s="76"/>
      <c r="BC1716" s="76"/>
      <c r="BD1716" s="76">
        <f>+BC1716*30000</f>
        <v>0</v>
      </c>
      <c r="BE1716" s="76"/>
      <c r="BF1716" s="76"/>
      <c r="BG1716" s="76"/>
      <c r="BH1716" s="76"/>
      <c r="BI1716" s="76"/>
      <c r="BJ1716" s="76"/>
      <c r="BK1716" s="76"/>
      <c r="BL1716" s="76">
        <f>+BK1716*31500</f>
        <v>0</v>
      </c>
      <c r="BM1716" s="76"/>
      <c r="BN1716" s="76"/>
      <c r="BO1716" s="76"/>
      <c r="BP1716" s="76"/>
      <c r="BQ1716" s="76"/>
      <c r="BR1716" s="76"/>
      <c r="BS1716" s="76"/>
      <c r="BT1716" s="76"/>
      <c r="BU1716" s="76"/>
      <c r="BV1716" s="76"/>
      <c r="BW1716" s="76"/>
      <c r="BX1716" s="76"/>
      <c r="BY1716" s="76"/>
      <c r="BZ1716" s="76"/>
      <c r="CA1716" s="76"/>
      <c r="CB1716" s="76"/>
      <c r="CC1716" s="76"/>
      <c r="CD1716" s="76"/>
      <c r="CE1716" s="76"/>
      <c r="CF1716" s="76">
        <f>+CE1716*28000</f>
        <v>0</v>
      </c>
      <c r="CG1716" s="76"/>
      <c r="CH1716" s="76">
        <f>+CG1716*22500</f>
        <v>0</v>
      </c>
      <c r="CI1716" s="76"/>
      <c r="CJ1716" s="76">
        <f>+CI1716*26000</f>
        <v>0</v>
      </c>
      <c r="CK1716" s="76"/>
      <c r="CL1716" s="76"/>
      <c r="CM1716" s="76"/>
      <c r="CN1716" s="76">
        <f>+CM1716*22000</f>
        <v>0</v>
      </c>
      <c r="CO1716" s="76"/>
      <c r="CP1716" s="76">
        <f>+CO1716*46000</f>
        <v>0</v>
      </c>
      <c r="CQ1716" s="76"/>
      <c r="CR1716" s="76">
        <f>+CQ1716*49000</f>
        <v>0</v>
      </c>
      <c r="CS1716" s="76"/>
      <c r="CT1716" s="76"/>
      <c r="CU1716" s="56">
        <f>AN1716+AP1716+AR1716+AT1716+AV1716+AX1716+AZ1716+BB1716+BD1716+BF1716+BH1716+BJ1716+BL1716+BN1716+BP1716+BR1716+BT1716+BV1716+BX1716+BZ1716+CB1716+CD1716+CF1716+CH1716+CJ1716+CL1716+CN1716+CP1716+CR1716+CT1716</f>
        <v>0</v>
      </c>
      <c r="CV1716" s="76"/>
      <c r="CW1716" s="76">
        <f>+CV1716*1100</f>
        <v>0</v>
      </c>
      <c r="CX1716" s="76"/>
      <c r="CY1716" s="76">
        <f>+CX1716*106250</f>
        <v>0</v>
      </c>
      <c r="CZ1716" s="76"/>
      <c r="DA1716" s="76">
        <f>+CZ1716*34500</f>
        <v>0</v>
      </c>
      <c r="DB1716" s="76"/>
      <c r="DC1716" s="76">
        <f>+DB1716*25000</f>
        <v>0</v>
      </c>
      <c r="DD1716" s="219"/>
      <c r="DE1716" s="219"/>
      <c r="DF1716" s="166"/>
      <c r="DG1716" s="116"/>
      <c r="DH1716" s="117"/>
      <c r="DI1716" s="24"/>
      <c r="DJ1716" s="24"/>
      <c r="DK1716" s="24"/>
      <c r="DL1716" s="24"/>
      <c r="DM1716" s="24"/>
      <c r="DN1716" s="24"/>
      <c r="DO1716" s="24"/>
      <c r="DP1716" s="24"/>
      <c r="DQ1716" s="24"/>
      <c r="DR1716" s="24"/>
      <c r="DS1716" s="24"/>
      <c r="DT1716" s="24"/>
      <c r="DU1716" s="24"/>
    </row>
    <row r="1717" spans="1:125" s="8" customFormat="1" ht="48" x14ac:dyDescent="0.2">
      <c r="A1717" s="353">
        <v>41399</v>
      </c>
      <c r="B1717" s="225" t="s">
        <v>2772</v>
      </c>
      <c r="C1717" s="227" t="s">
        <v>2190</v>
      </c>
      <c r="D1717" s="227" t="s">
        <v>3051</v>
      </c>
      <c r="E1717" s="75" t="str">
        <f>VLOOKUP(B1717&amp;C1717,Divipola!$C$2:$F$1138,4,FALSE)</f>
        <v>25148</v>
      </c>
      <c r="F1717" s="87"/>
      <c r="G1717" s="87"/>
      <c r="H1717" s="87"/>
      <c r="I1717" s="87">
        <v>250</v>
      </c>
      <c r="J1717" s="87">
        <v>50</v>
      </c>
      <c r="K1717" s="87">
        <v>1</v>
      </c>
      <c r="L1717" s="87">
        <v>49</v>
      </c>
      <c r="M1717" s="87"/>
      <c r="N1717" s="87"/>
      <c r="O1717" s="87"/>
      <c r="P1717" s="87"/>
      <c r="Q1717" s="87"/>
      <c r="R1717" s="87"/>
      <c r="S1717" s="87"/>
      <c r="T1717" s="87"/>
      <c r="U1717" s="88"/>
      <c r="V1717" s="89"/>
      <c r="W1717" s="96">
        <v>0</v>
      </c>
      <c r="X1717" s="71">
        <f>CU1717</f>
        <v>0</v>
      </c>
      <c r="Y1717" s="71">
        <f>CY1717</f>
        <v>0</v>
      </c>
      <c r="Z1717" s="71">
        <f>DA1717+DC1717+DE1717</f>
        <v>0</v>
      </c>
      <c r="AA1717" s="71">
        <f>CW1717</f>
        <v>0</v>
      </c>
      <c r="AB1717" s="71"/>
      <c r="AC1717" s="71">
        <v>0</v>
      </c>
      <c r="AD1717" s="71">
        <f>W1717+X1717+Y1717+Z1717+AA1717+AB1717+AC1717</f>
        <v>0</v>
      </c>
      <c r="AE1717" s="72">
        <v>0</v>
      </c>
      <c r="AF1717" s="5"/>
      <c r="AG1717" s="6"/>
      <c r="AH1717" s="27" t="s">
        <v>3392</v>
      </c>
      <c r="AI1717" s="44" t="s">
        <v>3393</v>
      </c>
      <c r="AJ1717" s="26"/>
      <c r="AK1717" s="5"/>
      <c r="AL1717" s="82" t="s">
        <v>4525</v>
      </c>
      <c r="AM1717" s="76"/>
      <c r="AN1717" s="76"/>
      <c r="AO1717" s="76"/>
      <c r="AP1717" s="76"/>
      <c r="AQ1717" s="76"/>
      <c r="AR1717" s="76"/>
      <c r="AS1717" s="76"/>
      <c r="AT1717" s="76"/>
      <c r="AU1717" s="76"/>
      <c r="AV1717" s="76"/>
      <c r="AW1717" s="76"/>
      <c r="AX1717" s="76">
        <f>+AW1717*600000</f>
        <v>0</v>
      </c>
      <c r="AY1717" s="76"/>
      <c r="AZ1717" s="76">
        <f>+AY1717*70000</f>
        <v>0</v>
      </c>
      <c r="BA1717" s="76"/>
      <c r="BB1717" s="76"/>
      <c r="BC1717" s="76"/>
      <c r="BD1717" s="76">
        <f>+BC1717*30000</f>
        <v>0</v>
      </c>
      <c r="BE1717" s="76"/>
      <c r="BF1717" s="76"/>
      <c r="BG1717" s="76"/>
      <c r="BH1717" s="76"/>
      <c r="BI1717" s="76"/>
      <c r="BJ1717" s="76"/>
      <c r="BK1717" s="76"/>
      <c r="BL1717" s="76">
        <f>+BK1717*31500</f>
        <v>0</v>
      </c>
      <c r="BM1717" s="76"/>
      <c r="BN1717" s="76"/>
      <c r="BO1717" s="76"/>
      <c r="BP1717" s="76"/>
      <c r="BQ1717" s="76"/>
      <c r="BR1717" s="76"/>
      <c r="BS1717" s="76"/>
      <c r="BT1717" s="76"/>
      <c r="BU1717" s="76"/>
      <c r="BV1717" s="76"/>
      <c r="BW1717" s="76"/>
      <c r="BX1717" s="76"/>
      <c r="BY1717" s="76"/>
      <c r="BZ1717" s="76"/>
      <c r="CA1717" s="76"/>
      <c r="CB1717" s="76"/>
      <c r="CC1717" s="76"/>
      <c r="CD1717" s="76"/>
      <c r="CE1717" s="76"/>
      <c r="CF1717" s="76">
        <f>+CE1717*28000</f>
        <v>0</v>
      </c>
      <c r="CG1717" s="76"/>
      <c r="CH1717" s="76">
        <f>+CG1717*22500</f>
        <v>0</v>
      </c>
      <c r="CI1717" s="76"/>
      <c r="CJ1717" s="76">
        <f>+CI1717*26000</f>
        <v>0</v>
      </c>
      <c r="CK1717" s="76"/>
      <c r="CL1717" s="76"/>
      <c r="CM1717" s="76"/>
      <c r="CN1717" s="76">
        <f>+CM1717*22000</f>
        <v>0</v>
      </c>
      <c r="CO1717" s="76"/>
      <c r="CP1717" s="76">
        <f>+CO1717*46000</f>
        <v>0</v>
      </c>
      <c r="CQ1717" s="76"/>
      <c r="CR1717" s="76">
        <f>+CQ1717*49000</f>
        <v>0</v>
      </c>
      <c r="CS1717" s="76"/>
      <c r="CT1717" s="76"/>
      <c r="CU1717" s="56">
        <f>AN1717+AP1717+AR1717+AT1717+AV1717+AX1717+AZ1717+BB1717+BD1717+BF1717+BH1717+BJ1717+BL1717+BN1717+BP1717+BR1717+BT1717+BV1717+BX1717+BZ1717+CB1717+CD1717+CF1717+CH1717+CJ1717+CL1717+CN1717+CP1717+CR1717+CT1717</f>
        <v>0</v>
      </c>
      <c r="CV1717" s="76"/>
      <c r="CW1717" s="76">
        <f>+CV1717*1100</f>
        <v>0</v>
      </c>
      <c r="CX1717" s="76"/>
      <c r="CY1717" s="76">
        <f>+CX1717*106250</f>
        <v>0</v>
      </c>
      <c r="CZ1717" s="76"/>
      <c r="DA1717" s="76">
        <f>+CZ1717*34500</f>
        <v>0</v>
      </c>
      <c r="DB1717" s="76"/>
      <c r="DC1717" s="76">
        <f>+DB1717*25000</f>
        <v>0</v>
      </c>
      <c r="DD1717" s="219"/>
      <c r="DE1717" s="219"/>
      <c r="DF1717" s="166"/>
      <c r="DG1717" s="116"/>
      <c r="DH1717" s="117"/>
      <c r="DI1717" s="24"/>
      <c r="DJ1717" s="24"/>
      <c r="DK1717" s="24"/>
      <c r="DL1717" s="24"/>
      <c r="DM1717" s="24"/>
      <c r="DN1717" s="24"/>
      <c r="DO1717" s="24"/>
      <c r="DP1717" s="24"/>
      <c r="DQ1717" s="24"/>
      <c r="DR1717" s="24"/>
      <c r="DS1717" s="24"/>
      <c r="DT1717" s="24"/>
      <c r="DU1717" s="24"/>
    </row>
    <row r="1718" spans="1:125" s="8" customFormat="1" ht="36" x14ac:dyDescent="0.2">
      <c r="A1718" s="353">
        <v>41399</v>
      </c>
      <c r="B1718" s="352" t="s">
        <v>2772</v>
      </c>
      <c r="C1718" s="354" t="s">
        <v>2834</v>
      </c>
      <c r="D1718" s="354" t="s">
        <v>3463</v>
      </c>
      <c r="E1718" s="75" t="str">
        <f>VLOOKUP(B1718&amp;C1718,Divipola!$C$2:$F$1138,4,FALSE)</f>
        <v>25851</v>
      </c>
      <c r="F1718" s="87"/>
      <c r="G1718" s="87"/>
      <c r="H1718" s="87"/>
      <c r="I1718" s="87"/>
      <c r="J1718" s="87"/>
      <c r="K1718" s="87"/>
      <c r="L1718" s="87"/>
      <c r="M1718" s="87"/>
      <c r="N1718" s="87"/>
      <c r="O1718" s="87"/>
      <c r="P1718" s="87"/>
      <c r="Q1718" s="87"/>
      <c r="R1718" s="87"/>
      <c r="S1718" s="87"/>
      <c r="T1718" s="87"/>
      <c r="U1718" s="88"/>
      <c r="V1718" s="89"/>
      <c r="W1718" s="96">
        <v>0</v>
      </c>
      <c r="X1718" s="71">
        <f>CU1718</f>
        <v>0</v>
      </c>
      <c r="Y1718" s="71">
        <f>CY1718</f>
        <v>0</v>
      </c>
      <c r="Z1718" s="71">
        <f>DA1718+DC1718+DE1718</f>
        <v>0</v>
      </c>
      <c r="AA1718" s="71">
        <f>CW1718</f>
        <v>0</v>
      </c>
      <c r="AB1718" s="71"/>
      <c r="AC1718" s="71">
        <v>0</v>
      </c>
      <c r="AD1718" s="71">
        <f>W1718+X1718+Y1718+Z1718+AA1718+AB1718+AC1718</f>
        <v>0</v>
      </c>
      <c r="AE1718" s="72">
        <v>0</v>
      </c>
      <c r="AF1718" s="5"/>
      <c r="AG1718" s="6"/>
      <c r="AH1718" s="27" t="s">
        <v>3392</v>
      </c>
      <c r="AI1718" s="44" t="s">
        <v>3393</v>
      </c>
      <c r="AJ1718" s="26"/>
      <c r="AK1718" s="5"/>
      <c r="AL1718" s="82" t="s">
        <v>4524</v>
      </c>
      <c r="AM1718" s="76"/>
      <c r="AN1718" s="76"/>
      <c r="AO1718" s="76"/>
      <c r="AP1718" s="76"/>
      <c r="AQ1718" s="76"/>
      <c r="AR1718" s="76"/>
      <c r="AS1718" s="76"/>
      <c r="AT1718" s="76"/>
      <c r="AU1718" s="76"/>
      <c r="AV1718" s="76"/>
      <c r="AW1718" s="76"/>
      <c r="AX1718" s="76">
        <f>+AW1718*600000</f>
        <v>0</v>
      </c>
      <c r="AY1718" s="76"/>
      <c r="AZ1718" s="76">
        <f>+AY1718*70000</f>
        <v>0</v>
      </c>
      <c r="BA1718" s="76"/>
      <c r="BB1718" s="76"/>
      <c r="BC1718" s="76"/>
      <c r="BD1718" s="76">
        <f>+BC1718*30000</f>
        <v>0</v>
      </c>
      <c r="BE1718" s="76"/>
      <c r="BF1718" s="76"/>
      <c r="BG1718" s="76"/>
      <c r="BH1718" s="76"/>
      <c r="BI1718" s="76"/>
      <c r="BJ1718" s="76"/>
      <c r="BK1718" s="76"/>
      <c r="BL1718" s="76">
        <f>+BK1718*31500</f>
        <v>0</v>
      </c>
      <c r="BM1718" s="76"/>
      <c r="BN1718" s="76"/>
      <c r="BO1718" s="76"/>
      <c r="BP1718" s="76"/>
      <c r="BQ1718" s="76"/>
      <c r="BR1718" s="76"/>
      <c r="BS1718" s="76"/>
      <c r="BT1718" s="76"/>
      <c r="BU1718" s="76"/>
      <c r="BV1718" s="76"/>
      <c r="BW1718" s="76"/>
      <c r="BX1718" s="76"/>
      <c r="BY1718" s="76"/>
      <c r="BZ1718" s="76"/>
      <c r="CA1718" s="76"/>
      <c r="CB1718" s="76"/>
      <c r="CC1718" s="76"/>
      <c r="CD1718" s="76"/>
      <c r="CE1718" s="76"/>
      <c r="CF1718" s="76">
        <f>+CE1718*28000</f>
        <v>0</v>
      </c>
      <c r="CG1718" s="76"/>
      <c r="CH1718" s="76">
        <f>+CG1718*22500</f>
        <v>0</v>
      </c>
      <c r="CI1718" s="76"/>
      <c r="CJ1718" s="76">
        <f>+CI1718*26000</f>
        <v>0</v>
      </c>
      <c r="CK1718" s="76"/>
      <c r="CL1718" s="76"/>
      <c r="CM1718" s="76"/>
      <c r="CN1718" s="76">
        <f>+CM1718*22000</f>
        <v>0</v>
      </c>
      <c r="CO1718" s="76"/>
      <c r="CP1718" s="76">
        <f>+CO1718*46000</f>
        <v>0</v>
      </c>
      <c r="CQ1718" s="76"/>
      <c r="CR1718" s="76">
        <f>+CQ1718*49000</f>
        <v>0</v>
      </c>
      <c r="CS1718" s="76"/>
      <c r="CT1718" s="76"/>
      <c r="CU1718" s="56">
        <f>AN1718+AP1718+AR1718+AT1718+AV1718+AX1718+AZ1718+BB1718+BD1718+BF1718+BH1718+BJ1718+BL1718+BN1718+BP1718+BR1718+BT1718+BV1718+BX1718+BZ1718+CB1718+CD1718+CF1718+CH1718+CJ1718+CL1718+CN1718+CP1718+CR1718+CT1718</f>
        <v>0</v>
      </c>
      <c r="CV1718" s="76"/>
      <c r="CW1718" s="76">
        <f>+CV1718*1100</f>
        <v>0</v>
      </c>
      <c r="CX1718" s="76"/>
      <c r="CY1718" s="76">
        <f>+CX1718*106250</f>
        <v>0</v>
      </c>
      <c r="CZ1718" s="76"/>
      <c r="DA1718" s="76">
        <f>+CZ1718*34500</f>
        <v>0</v>
      </c>
      <c r="DB1718" s="76"/>
      <c r="DC1718" s="76">
        <f>+DB1718*25000</f>
        <v>0</v>
      </c>
      <c r="DD1718" s="219"/>
      <c r="DE1718" s="219"/>
      <c r="DF1718" s="166"/>
      <c r="DG1718" s="116"/>
      <c r="DH1718" s="117"/>
      <c r="DI1718" s="24"/>
      <c r="DJ1718" s="24"/>
      <c r="DK1718" s="24"/>
      <c r="DL1718" s="24"/>
      <c r="DM1718" s="24"/>
      <c r="DN1718" s="24"/>
      <c r="DO1718" s="24"/>
      <c r="DP1718" s="24"/>
      <c r="DQ1718" s="24"/>
      <c r="DR1718" s="24"/>
      <c r="DS1718" s="24"/>
      <c r="DT1718" s="24"/>
      <c r="DU1718" s="24"/>
    </row>
    <row r="1719" spans="1:125" s="8" customFormat="1" ht="72" x14ac:dyDescent="0.2">
      <c r="A1719" s="353">
        <v>41399</v>
      </c>
      <c r="B1719" s="352" t="s">
        <v>506</v>
      </c>
      <c r="C1719" s="354" t="s">
        <v>1333</v>
      </c>
      <c r="D1719" s="354" t="s">
        <v>3051</v>
      </c>
      <c r="E1719" s="75" t="str">
        <f>VLOOKUP(B1719&amp;C1719,Divipola!$C$2:$F$1138,4,FALSE)</f>
        <v>50313</v>
      </c>
      <c r="F1719" s="87"/>
      <c r="G1719" s="87"/>
      <c r="H1719" s="87"/>
      <c r="I1719" s="87">
        <v>100</v>
      </c>
      <c r="J1719" s="87">
        <v>20</v>
      </c>
      <c r="K1719" s="87"/>
      <c r="L1719" s="87">
        <v>20</v>
      </c>
      <c r="M1719" s="87"/>
      <c r="N1719" s="87"/>
      <c r="O1719" s="87"/>
      <c r="P1719" s="87"/>
      <c r="Q1719" s="87"/>
      <c r="R1719" s="87"/>
      <c r="S1719" s="87"/>
      <c r="T1719" s="87"/>
      <c r="U1719" s="88"/>
      <c r="V1719" s="89"/>
      <c r="W1719" s="96">
        <v>0</v>
      </c>
      <c r="X1719" s="71">
        <f>CU1719</f>
        <v>0</v>
      </c>
      <c r="Y1719" s="71">
        <f>CY1719</f>
        <v>0</v>
      </c>
      <c r="Z1719" s="71">
        <f>DA1719+DC1719+DE1719</f>
        <v>0</v>
      </c>
      <c r="AA1719" s="71">
        <f>CW1719</f>
        <v>0</v>
      </c>
      <c r="AB1719" s="71"/>
      <c r="AC1719" s="71">
        <v>0</v>
      </c>
      <c r="AD1719" s="71">
        <f>W1719+X1719+Y1719+Z1719+AA1719+AB1719+AC1719</f>
        <v>0</v>
      </c>
      <c r="AE1719" s="72">
        <v>0</v>
      </c>
      <c r="AF1719" s="5"/>
      <c r="AG1719" s="6"/>
      <c r="AH1719" s="27" t="s">
        <v>3392</v>
      </c>
      <c r="AI1719" s="44" t="s">
        <v>3393</v>
      </c>
      <c r="AJ1719" s="26"/>
      <c r="AK1719" s="5"/>
      <c r="AL1719" s="82" t="s">
        <v>4536</v>
      </c>
      <c r="AM1719" s="76"/>
      <c r="AN1719" s="76"/>
      <c r="AO1719" s="76"/>
      <c r="AP1719" s="76"/>
      <c r="AQ1719" s="76"/>
      <c r="AR1719" s="76"/>
      <c r="AS1719" s="76"/>
      <c r="AT1719" s="76"/>
      <c r="AU1719" s="76"/>
      <c r="AV1719" s="76"/>
      <c r="AW1719" s="76"/>
      <c r="AX1719" s="76">
        <f>+AW1719*600000</f>
        <v>0</v>
      </c>
      <c r="AY1719" s="76"/>
      <c r="AZ1719" s="76">
        <f>+AY1719*70000</f>
        <v>0</v>
      </c>
      <c r="BA1719" s="76"/>
      <c r="BB1719" s="76"/>
      <c r="BC1719" s="76"/>
      <c r="BD1719" s="76">
        <f>+BC1719*30000</f>
        <v>0</v>
      </c>
      <c r="BE1719" s="76"/>
      <c r="BF1719" s="76"/>
      <c r="BG1719" s="76"/>
      <c r="BH1719" s="76"/>
      <c r="BI1719" s="76"/>
      <c r="BJ1719" s="76"/>
      <c r="BK1719" s="76"/>
      <c r="BL1719" s="76">
        <f>+BK1719*31500</f>
        <v>0</v>
      </c>
      <c r="BM1719" s="76"/>
      <c r="BN1719" s="76"/>
      <c r="BO1719" s="76"/>
      <c r="BP1719" s="76"/>
      <c r="BQ1719" s="76"/>
      <c r="BR1719" s="76"/>
      <c r="BS1719" s="76"/>
      <c r="BT1719" s="76"/>
      <c r="BU1719" s="76"/>
      <c r="BV1719" s="76"/>
      <c r="BW1719" s="76"/>
      <c r="BX1719" s="76"/>
      <c r="BY1719" s="76"/>
      <c r="BZ1719" s="76"/>
      <c r="CA1719" s="76"/>
      <c r="CB1719" s="76"/>
      <c r="CC1719" s="76"/>
      <c r="CD1719" s="76"/>
      <c r="CE1719" s="76"/>
      <c r="CF1719" s="76">
        <f>+CE1719*28000</f>
        <v>0</v>
      </c>
      <c r="CG1719" s="76"/>
      <c r="CH1719" s="76">
        <f>+CG1719*22500</f>
        <v>0</v>
      </c>
      <c r="CI1719" s="76"/>
      <c r="CJ1719" s="76">
        <f>+CI1719*26000</f>
        <v>0</v>
      </c>
      <c r="CK1719" s="76"/>
      <c r="CL1719" s="76"/>
      <c r="CM1719" s="76"/>
      <c r="CN1719" s="76">
        <f>+CM1719*22000</f>
        <v>0</v>
      </c>
      <c r="CO1719" s="76"/>
      <c r="CP1719" s="76">
        <f>+CO1719*46000</f>
        <v>0</v>
      </c>
      <c r="CQ1719" s="76"/>
      <c r="CR1719" s="76">
        <f>+CQ1719*49000</f>
        <v>0</v>
      </c>
      <c r="CS1719" s="76"/>
      <c r="CT1719" s="76"/>
      <c r="CU1719" s="56">
        <f>AN1719+AP1719+AR1719+AT1719+AV1719+AX1719+AZ1719+BB1719+BD1719+BF1719+BH1719+BJ1719+BL1719+BN1719+BP1719+BR1719+BT1719+BV1719+BX1719+BZ1719+CB1719+CD1719+CF1719+CH1719+CJ1719+CL1719+CN1719+CP1719+CR1719+CT1719</f>
        <v>0</v>
      </c>
      <c r="CV1719" s="76"/>
      <c r="CW1719" s="76">
        <f>+CV1719*1100</f>
        <v>0</v>
      </c>
      <c r="CX1719" s="76"/>
      <c r="CY1719" s="76">
        <f>+CX1719*106250</f>
        <v>0</v>
      </c>
      <c r="CZ1719" s="76"/>
      <c r="DA1719" s="76">
        <f>+CZ1719*34500</f>
        <v>0</v>
      </c>
      <c r="DB1719" s="76"/>
      <c r="DC1719" s="76">
        <f>+DB1719*25000</f>
        <v>0</v>
      </c>
      <c r="DD1719" s="219"/>
      <c r="DE1719" s="219"/>
      <c r="DF1719" s="166"/>
      <c r="DG1719" s="116"/>
      <c r="DH1719" s="117"/>
      <c r="DI1719" s="24"/>
      <c r="DJ1719" s="24"/>
      <c r="DK1719" s="24"/>
      <c r="DL1719" s="24"/>
      <c r="DM1719" s="24"/>
      <c r="DN1719" s="24"/>
      <c r="DO1719" s="24"/>
      <c r="DP1719" s="24"/>
      <c r="DQ1719" s="24"/>
      <c r="DR1719" s="24"/>
      <c r="DS1719" s="24"/>
      <c r="DT1719" s="24"/>
      <c r="DU1719" s="24"/>
    </row>
    <row r="1720" spans="1:125" s="8" customFormat="1" ht="72" x14ac:dyDescent="0.2">
      <c r="A1720" s="97">
        <v>41399</v>
      </c>
      <c r="B1720" s="60" t="s">
        <v>2860</v>
      </c>
      <c r="C1720" s="55" t="s">
        <v>2776</v>
      </c>
      <c r="D1720" s="55" t="s">
        <v>3088</v>
      </c>
      <c r="E1720" s="75" t="str">
        <f>VLOOKUP(B1720&amp;C1720,Divipola!$C$2:$F$1138,4,FALSE)</f>
        <v>63001</v>
      </c>
      <c r="F1720" s="87"/>
      <c r="G1720" s="87"/>
      <c r="H1720" s="87"/>
      <c r="I1720" s="87"/>
      <c r="J1720" s="87"/>
      <c r="K1720" s="87"/>
      <c r="L1720" s="87"/>
      <c r="M1720" s="87"/>
      <c r="N1720" s="87"/>
      <c r="O1720" s="87"/>
      <c r="P1720" s="87"/>
      <c r="Q1720" s="87">
        <v>1</v>
      </c>
      <c r="R1720" s="87"/>
      <c r="S1720" s="87"/>
      <c r="T1720" s="87"/>
      <c r="U1720" s="88"/>
      <c r="V1720" s="89"/>
      <c r="W1720" s="96">
        <v>0</v>
      </c>
      <c r="X1720" s="71">
        <f>CU1720</f>
        <v>0</v>
      </c>
      <c r="Y1720" s="71">
        <f>CY1720</f>
        <v>0</v>
      </c>
      <c r="Z1720" s="71">
        <f>DA1720+DC1720+DE1720</f>
        <v>0</v>
      </c>
      <c r="AA1720" s="71">
        <f>CW1720</f>
        <v>0</v>
      </c>
      <c r="AB1720" s="71"/>
      <c r="AC1720" s="71">
        <v>0</v>
      </c>
      <c r="AD1720" s="71">
        <f>W1720+X1720+Y1720+Z1720+AA1720+AB1720+AC1720</f>
        <v>0</v>
      </c>
      <c r="AE1720" s="72">
        <v>0</v>
      </c>
      <c r="AF1720" s="5"/>
      <c r="AG1720" s="6"/>
      <c r="AH1720" s="27" t="s">
        <v>3392</v>
      </c>
      <c r="AI1720" s="44" t="s">
        <v>3393</v>
      </c>
      <c r="AJ1720" s="26"/>
      <c r="AK1720" s="5"/>
      <c r="AL1720" s="82" t="s">
        <v>4523</v>
      </c>
      <c r="AM1720" s="76"/>
      <c r="AN1720" s="76"/>
      <c r="AO1720" s="76"/>
      <c r="AP1720" s="76"/>
      <c r="AQ1720" s="76"/>
      <c r="AR1720" s="76"/>
      <c r="AS1720" s="76"/>
      <c r="AT1720" s="76"/>
      <c r="AU1720" s="76"/>
      <c r="AV1720" s="76"/>
      <c r="AW1720" s="76"/>
      <c r="AX1720" s="76">
        <f>+AW1720*600000</f>
        <v>0</v>
      </c>
      <c r="AY1720" s="76"/>
      <c r="AZ1720" s="76">
        <f>+AY1720*70000</f>
        <v>0</v>
      </c>
      <c r="BA1720" s="76"/>
      <c r="BB1720" s="76"/>
      <c r="BC1720" s="76"/>
      <c r="BD1720" s="76">
        <f>+BC1720*30000</f>
        <v>0</v>
      </c>
      <c r="BE1720" s="76"/>
      <c r="BF1720" s="76"/>
      <c r="BG1720" s="76"/>
      <c r="BH1720" s="76"/>
      <c r="BI1720" s="76"/>
      <c r="BJ1720" s="76"/>
      <c r="BK1720" s="76"/>
      <c r="BL1720" s="76">
        <f>+BK1720*31500</f>
        <v>0</v>
      </c>
      <c r="BM1720" s="76"/>
      <c r="BN1720" s="76"/>
      <c r="BO1720" s="76"/>
      <c r="BP1720" s="76"/>
      <c r="BQ1720" s="76"/>
      <c r="BR1720" s="76"/>
      <c r="BS1720" s="76"/>
      <c r="BT1720" s="76"/>
      <c r="BU1720" s="76"/>
      <c r="BV1720" s="76"/>
      <c r="BW1720" s="76"/>
      <c r="BX1720" s="76"/>
      <c r="BY1720" s="76"/>
      <c r="BZ1720" s="76"/>
      <c r="CA1720" s="76"/>
      <c r="CB1720" s="76"/>
      <c r="CC1720" s="76"/>
      <c r="CD1720" s="76"/>
      <c r="CE1720" s="76"/>
      <c r="CF1720" s="76">
        <f>+CE1720*28000</f>
        <v>0</v>
      </c>
      <c r="CG1720" s="76"/>
      <c r="CH1720" s="76">
        <f>+CG1720*22500</f>
        <v>0</v>
      </c>
      <c r="CI1720" s="76"/>
      <c r="CJ1720" s="76">
        <f>+CI1720*26000</f>
        <v>0</v>
      </c>
      <c r="CK1720" s="76"/>
      <c r="CL1720" s="76"/>
      <c r="CM1720" s="76"/>
      <c r="CN1720" s="76">
        <f>+CM1720*22000</f>
        <v>0</v>
      </c>
      <c r="CO1720" s="76"/>
      <c r="CP1720" s="76">
        <f>+CO1720*46000</f>
        <v>0</v>
      </c>
      <c r="CQ1720" s="76"/>
      <c r="CR1720" s="76">
        <f>+CQ1720*49000</f>
        <v>0</v>
      </c>
      <c r="CS1720" s="76"/>
      <c r="CT1720" s="76"/>
      <c r="CU1720" s="56">
        <f>AN1720+AP1720+AR1720+AT1720+AV1720+AX1720+AZ1720+BB1720+BD1720+BF1720+BH1720+BJ1720+BL1720+BN1720+BP1720+BR1720+BT1720+BV1720+BX1720+BZ1720+CB1720+CD1720+CF1720+CH1720+CJ1720+CL1720+CN1720+CP1720+CR1720+CT1720</f>
        <v>0</v>
      </c>
      <c r="CV1720" s="76"/>
      <c r="CW1720" s="76">
        <f>+CV1720*1100</f>
        <v>0</v>
      </c>
      <c r="CX1720" s="76"/>
      <c r="CY1720" s="76">
        <f>+CX1720*106250</f>
        <v>0</v>
      </c>
      <c r="CZ1720" s="76"/>
      <c r="DA1720" s="76">
        <f>+CZ1720*34500</f>
        <v>0</v>
      </c>
      <c r="DB1720" s="76"/>
      <c r="DC1720" s="76">
        <f>+DB1720*25000</f>
        <v>0</v>
      </c>
      <c r="DD1720" s="219"/>
      <c r="DE1720" s="219"/>
      <c r="DF1720" s="166"/>
      <c r="DG1720" s="116"/>
      <c r="DH1720" s="117"/>
      <c r="DI1720" s="24"/>
      <c r="DJ1720" s="24"/>
      <c r="DK1720" s="24"/>
      <c r="DL1720" s="24"/>
      <c r="DM1720" s="24"/>
      <c r="DN1720" s="24"/>
      <c r="DO1720" s="24"/>
      <c r="DP1720" s="24"/>
      <c r="DQ1720" s="24"/>
      <c r="DR1720" s="24"/>
      <c r="DS1720" s="24"/>
      <c r="DT1720" s="24"/>
      <c r="DU1720" s="24"/>
    </row>
    <row r="1721" spans="1:125" s="8" customFormat="1" ht="36" x14ac:dyDescent="0.2">
      <c r="A1721" s="77">
        <v>41399</v>
      </c>
      <c r="B1721" s="208" t="s">
        <v>2774</v>
      </c>
      <c r="C1721" s="227" t="s">
        <v>2790</v>
      </c>
      <c r="D1721" s="227" t="s">
        <v>3088</v>
      </c>
      <c r="E1721" s="75" t="str">
        <f>VLOOKUP(B1721&amp;C1721,Divipola!$C$2:$F$1138,4,FALSE)</f>
        <v>66682</v>
      </c>
      <c r="F1721" s="87"/>
      <c r="G1721" s="87"/>
      <c r="H1721" s="87"/>
      <c r="I1721" s="87">
        <v>10</v>
      </c>
      <c r="J1721" s="87">
        <v>2</v>
      </c>
      <c r="K1721" s="87">
        <v>2</v>
      </c>
      <c r="L1721" s="87"/>
      <c r="M1721" s="87"/>
      <c r="N1721" s="87"/>
      <c r="O1721" s="87"/>
      <c r="P1721" s="87"/>
      <c r="Q1721" s="87"/>
      <c r="R1721" s="87"/>
      <c r="S1721" s="87"/>
      <c r="T1721" s="87"/>
      <c r="U1721" s="88"/>
      <c r="V1721" s="89"/>
      <c r="W1721" s="96">
        <v>0</v>
      </c>
      <c r="X1721" s="71">
        <f>CU1721</f>
        <v>0</v>
      </c>
      <c r="Y1721" s="71">
        <f>CY1721</f>
        <v>0</v>
      </c>
      <c r="Z1721" s="71">
        <f>DA1721+DC1721+DE1721</f>
        <v>0</v>
      </c>
      <c r="AA1721" s="71">
        <f>CW1721</f>
        <v>0</v>
      </c>
      <c r="AB1721" s="71"/>
      <c r="AC1721" s="71">
        <v>0</v>
      </c>
      <c r="AD1721" s="71">
        <f>W1721+X1721+Y1721+Z1721+AA1721+AB1721+AC1721</f>
        <v>0</v>
      </c>
      <c r="AE1721" s="72">
        <v>0</v>
      </c>
      <c r="AF1721" s="5"/>
      <c r="AG1721" s="6"/>
      <c r="AH1721" s="27" t="s">
        <v>3392</v>
      </c>
      <c r="AI1721" s="44" t="s">
        <v>3393</v>
      </c>
      <c r="AJ1721" s="26"/>
      <c r="AK1721" s="5"/>
      <c r="AL1721" s="82" t="s">
        <v>4530</v>
      </c>
      <c r="AM1721" s="76"/>
      <c r="AN1721" s="76"/>
      <c r="AO1721" s="76"/>
      <c r="AP1721" s="76"/>
      <c r="AQ1721" s="76"/>
      <c r="AR1721" s="76"/>
      <c r="AS1721" s="76"/>
      <c r="AT1721" s="76"/>
      <c r="AU1721" s="76"/>
      <c r="AV1721" s="76"/>
      <c r="AW1721" s="76"/>
      <c r="AX1721" s="76">
        <f>+AW1721*600000</f>
        <v>0</v>
      </c>
      <c r="AY1721" s="76"/>
      <c r="AZ1721" s="76">
        <f>+AY1721*70000</f>
        <v>0</v>
      </c>
      <c r="BA1721" s="76"/>
      <c r="BB1721" s="76"/>
      <c r="BC1721" s="76"/>
      <c r="BD1721" s="76">
        <f>+BC1721*30000</f>
        <v>0</v>
      </c>
      <c r="BE1721" s="76"/>
      <c r="BF1721" s="76"/>
      <c r="BG1721" s="76"/>
      <c r="BH1721" s="76"/>
      <c r="BI1721" s="76"/>
      <c r="BJ1721" s="76"/>
      <c r="BK1721" s="76"/>
      <c r="BL1721" s="76">
        <f>+BK1721*31500</f>
        <v>0</v>
      </c>
      <c r="BM1721" s="76"/>
      <c r="BN1721" s="76"/>
      <c r="BO1721" s="76"/>
      <c r="BP1721" s="76"/>
      <c r="BQ1721" s="76"/>
      <c r="BR1721" s="76"/>
      <c r="BS1721" s="76"/>
      <c r="BT1721" s="76"/>
      <c r="BU1721" s="76"/>
      <c r="BV1721" s="76"/>
      <c r="BW1721" s="76"/>
      <c r="BX1721" s="76"/>
      <c r="BY1721" s="76"/>
      <c r="BZ1721" s="76"/>
      <c r="CA1721" s="76"/>
      <c r="CB1721" s="76"/>
      <c r="CC1721" s="76"/>
      <c r="CD1721" s="76"/>
      <c r="CE1721" s="76"/>
      <c r="CF1721" s="76">
        <f>+CE1721*28000</f>
        <v>0</v>
      </c>
      <c r="CG1721" s="76"/>
      <c r="CH1721" s="76">
        <f>+CG1721*22500</f>
        <v>0</v>
      </c>
      <c r="CI1721" s="76"/>
      <c r="CJ1721" s="76">
        <f>+CI1721*26000</f>
        <v>0</v>
      </c>
      <c r="CK1721" s="76"/>
      <c r="CL1721" s="76"/>
      <c r="CM1721" s="76"/>
      <c r="CN1721" s="76">
        <f>+CM1721*22000</f>
        <v>0</v>
      </c>
      <c r="CO1721" s="76"/>
      <c r="CP1721" s="76">
        <f>+CO1721*46000</f>
        <v>0</v>
      </c>
      <c r="CQ1721" s="76"/>
      <c r="CR1721" s="76">
        <f>+CQ1721*49000</f>
        <v>0</v>
      </c>
      <c r="CS1721" s="76"/>
      <c r="CT1721" s="76"/>
      <c r="CU1721" s="56">
        <f>AN1721+AP1721+AR1721+AT1721+AV1721+AX1721+AZ1721+BB1721+BD1721+BF1721+BH1721+BJ1721+BL1721+BN1721+BP1721+BR1721+BT1721+BV1721+BX1721+BZ1721+CB1721+CD1721+CF1721+CH1721+CJ1721+CL1721+CN1721+CP1721+CR1721+CT1721</f>
        <v>0</v>
      </c>
      <c r="CV1721" s="76"/>
      <c r="CW1721" s="76">
        <f>+CV1721*1100</f>
        <v>0</v>
      </c>
      <c r="CX1721" s="76"/>
      <c r="CY1721" s="76">
        <f>+CX1721*106250</f>
        <v>0</v>
      </c>
      <c r="CZ1721" s="76"/>
      <c r="DA1721" s="76">
        <f>+CZ1721*34500</f>
        <v>0</v>
      </c>
      <c r="DB1721" s="76"/>
      <c r="DC1721" s="76">
        <f>+DB1721*25000</f>
        <v>0</v>
      </c>
      <c r="DD1721" s="219"/>
      <c r="DE1721" s="219"/>
      <c r="DF1721" s="166"/>
      <c r="DG1721" s="116"/>
      <c r="DH1721" s="117"/>
      <c r="DI1721" s="24"/>
      <c r="DJ1721" s="24"/>
      <c r="DK1721" s="24"/>
      <c r="DL1721" s="24"/>
      <c r="DM1721" s="24"/>
      <c r="DN1721" s="24"/>
      <c r="DO1721" s="24"/>
      <c r="DP1721" s="24"/>
      <c r="DQ1721" s="24"/>
      <c r="DR1721" s="24"/>
      <c r="DS1721" s="24"/>
      <c r="DT1721" s="24"/>
      <c r="DU1721" s="24"/>
    </row>
    <row r="1722" spans="1:125" s="8" customFormat="1" ht="60" x14ac:dyDescent="0.2">
      <c r="A1722" s="353">
        <v>41399</v>
      </c>
      <c r="B1722" s="352" t="s">
        <v>2848</v>
      </c>
      <c r="C1722" s="354" t="s">
        <v>2675</v>
      </c>
      <c r="D1722" s="354" t="s">
        <v>3088</v>
      </c>
      <c r="E1722" s="75" t="str">
        <f>VLOOKUP(B1722&amp;C1722,Divipola!$C$2:$F$1138,4,FALSE)</f>
        <v>73349</v>
      </c>
      <c r="F1722" s="87"/>
      <c r="G1722" s="87"/>
      <c r="H1722" s="87"/>
      <c r="I1722" s="87"/>
      <c r="J1722" s="87"/>
      <c r="K1722" s="87"/>
      <c r="L1722" s="87"/>
      <c r="M1722" s="87">
        <v>1</v>
      </c>
      <c r="N1722" s="87"/>
      <c r="O1722" s="87"/>
      <c r="P1722" s="87"/>
      <c r="Q1722" s="87"/>
      <c r="R1722" s="87"/>
      <c r="S1722" s="87"/>
      <c r="T1722" s="87"/>
      <c r="U1722" s="88"/>
      <c r="V1722" s="89"/>
      <c r="W1722" s="96">
        <v>0</v>
      </c>
      <c r="X1722" s="71">
        <f>CU1722</f>
        <v>0</v>
      </c>
      <c r="Y1722" s="71">
        <f>CY1722</f>
        <v>0</v>
      </c>
      <c r="Z1722" s="71">
        <f>DA1722+DC1722+DE1722</f>
        <v>0</v>
      </c>
      <c r="AA1722" s="71">
        <f>CW1722</f>
        <v>0</v>
      </c>
      <c r="AB1722" s="71"/>
      <c r="AC1722" s="71">
        <v>0</v>
      </c>
      <c r="AD1722" s="71">
        <f>W1722+X1722+Y1722+Z1722+AA1722+AB1722+AC1722</f>
        <v>0</v>
      </c>
      <c r="AE1722" s="72">
        <v>0</v>
      </c>
      <c r="AF1722" s="5"/>
      <c r="AG1722" s="6"/>
      <c r="AH1722" s="27" t="s">
        <v>3392</v>
      </c>
      <c r="AI1722" s="44" t="s">
        <v>3393</v>
      </c>
      <c r="AJ1722" s="26"/>
      <c r="AK1722" s="5"/>
      <c r="AL1722" s="82" t="s">
        <v>4521</v>
      </c>
      <c r="AM1722" s="76"/>
      <c r="AN1722" s="76"/>
      <c r="AO1722" s="76"/>
      <c r="AP1722" s="76"/>
      <c r="AQ1722" s="76"/>
      <c r="AR1722" s="76"/>
      <c r="AS1722" s="76"/>
      <c r="AT1722" s="76"/>
      <c r="AU1722" s="76"/>
      <c r="AV1722" s="76"/>
      <c r="AW1722" s="76"/>
      <c r="AX1722" s="76">
        <f>+AW1722*600000</f>
        <v>0</v>
      </c>
      <c r="AY1722" s="76"/>
      <c r="AZ1722" s="76">
        <f>+AY1722*70000</f>
        <v>0</v>
      </c>
      <c r="BA1722" s="76"/>
      <c r="BB1722" s="76"/>
      <c r="BC1722" s="76"/>
      <c r="BD1722" s="76">
        <f>+BC1722*30000</f>
        <v>0</v>
      </c>
      <c r="BE1722" s="76"/>
      <c r="BF1722" s="76"/>
      <c r="BG1722" s="76"/>
      <c r="BH1722" s="76"/>
      <c r="BI1722" s="76"/>
      <c r="BJ1722" s="76"/>
      <c r="BK1722" s="76"/>
      <c r="BL1722" s="76">
        <f>+BK1722*31500</f>
        <v>0</v>
      </c>
      <c r="BM1722" s="76"/>
      <c r="BN1722" s="76"/>
      <c r="BO1722" s="76"/>
      <c r="BP1722" s="76"/>
      <c r="BQ1722" s="76"/>
      <c r="BR1722" s="76"/>
      <c r="BS1722" s="76"/>
      <c r="BT1722" s="76"/>
      <c r="BU1722" s="76"/>
      <c r="BV1722" s="76"/>
      <c r="BW1722" s="76"/>
      <c r="BX1722" s="76"/>
      <c r="BY1722" s="76"/>
      <c r="BZ1722" s="76"/>
      <c r="CA1722" s="76"/>
      <c r="CB1722" s="76"/>
      <c r="CC1722" s="76"/>
      <c r="CD1722" s="76"/>
      <c r="CE1722" s="76"/>
      <c r="CF1722" s="76">
        <f>+CE1722*28000</f>
        <v>0</v>
      </c>
      <c r="CG1722" s="76"/>
      <c r="CH1722" s="76">
        <f>+CG1722*22500</f>
        <v>0</v>
      </c>
      <c r="CI1722" s="76"/>
      <c r="CJ1722" s="76">
        <f>+CI1722*26000</f>
        <v>0</v>
      </c>
      <c r="CK1722" s="76"/>
      <c r="CL1722" s="76"/>
      <c r="CM1722" s="76"/>
      <c r="CN1722" s="76">
        <f>+CM1722*22000</f>
        <v>0</v>
      </c>
      <c r="CO1722" s="76"/>
      <c r="CP1722" s="76">
        <f>+CO1722*46000</f>
        <v>0</v>
      </c>
      <c r="CQ1722" s="76"/>
      <c r="CR1722" s="76">
        <f>+CQ1722*49000</f>
        <v>0</v>
      </c>
      <c r="CS1722" s="76"/>
      <c r="CT1722" s="76"/>
      <c r="CU1722" s="56">
        <f>AN1722+AP1722+AR1722+AT1722+AV1722+AX1722+AZ1722+BB1722+BD1722+BF1722+BH1722+BJ1722+BL1722+BN1722+BP1722+BR1722+BT1722+BV1722+BX1722+BZ1722+CB1722+CD1722+CF1722+CH1722+CJ1722+CL1722+CN1722+CP1722+CR1722+CT1722</f>
        <v>0</v>
      </c>
      <c r="CV1722" s="76"/>
      <c r="CW1722" s="76">
        <f>+CV1722*1100</f>
        <v>0</v>
      </c>
      <c r="CX1722" s="76"/>
      <c r="CY1722" s="76">
        <f>+CX1722*106250</f>
        <v>0</v>
      </c>
      <c r="CZ1722" s="76"/>
      <c r="DA1722" s="76">
        <f>+CZ1722*34500</f>
        <v>0</v>
      </c>
      <c r="DB1722" s="76"/>
      <c r="DC1722" s="76">
        <f>+DB1722*25000</f>
        <v>0</v>
      </c>
      <c r="DD1722" s="219"/>
      <c r="DE1722" s="219"/>
      <c r="DF1722" s="166"/>
      <c r="DG1722" s="116"/>
      <c r="DH1722" s="117"/>
      <c r="DI1722" s="24"/>
      <c r="DJ1722" s="24"/>
      <c r="DK1722" s="24"/>
      <c r="DL1722" s="24"/>
      <c r="DM1722" s="24"/>
      <c r="DN1722" s="24"/>
      <c r="DO1722" s="24"/>
      <c r="DP1722" s="24"/>
      <c r="DQ1722" s="24"/>
      <c r="DR1722" s="24"/>
      <c r="DS1722" s="24"/>
      <c r="DT1722" s="24"/>
      <c r="DU1722" s="24"/>
    </row>
    <row r="1723" spans="1:125" s="8" customFormat="1" ht="48" x14ac:dyDescent="0.2">
      <c r="A1723" s="77">
        <v>41399</v>
      </c>
      <c r="B1723" s="225" t="s">
        <v>2848</v>
      </c>
      <c r="C1723" s="227" t="s">
        <v>2674</v>
      </c>
      <c r="D1723" s="227" t="s">
        <v>3051</v>
      </c>
      <c r="E1723" s="75" t="str">
        <f>VLOOKUP(B1723&amp;C1723,Divipola!$C$2:$F$1138,4,FALSE)</f>
        <v>73352</v>
      </c>
      <c r="F1723" s="163"/>
      <c r="G1723" s="163"/>
      <c r="H1723" s="163"/>
      <c r="I1723" s="163">
        <v>215</v>
      </c>
      <c r="J1723" s="163">
        <v>43</v>
      </c>
      <c r="K1723" s="163"/>
      <c r="L1723" s="163">
        <v>43</v>
      </c>
      <c r="M1723" s="163"/>
      <c r="N1723" s="163"/>
      <c r="O1723" s="163"/>
      <c r="P1723" s="163"/>
      <c r="Q1723" s="163"/>
      <c r="R1723" s="163"/>
      <c r="S1723" s="163"/>
      <c r="T1723" s="163"/>
      <c r="U1723" s="163"/>
      <c r="V1723" s="134"/>
      <c r="W1723" s="96">
        <v>0</v>
      </c>
      <c r="X1723" s="71">
        <f>CU1723</f>
        <v>0</v>
      </c>
      <c r="Y1723" s="71">
        <f>CY1723</f>
        <v>0</v>
      </c>
      <c r="Z1723" s="71">
        <f>DA1723+DC1723+DE1723</f>
        <v>0</v>
      </c>
      <c r="AA1723" s="71">
        <f>CW1723</f>
        <v>0</v>
      </c>
      <c r="AB1723" s="71"/>
      <c r="AC1723" s="71">
        <v>0</v>
      </c>
      <c r="AD1723" s="71">
        <f>W1723+X1723+Y1723+Z1723+AA1723+AB1723+AC1723</f>
        <v>0</v>
      </c>
      <c r="AE1723" s="72">
        <v>0</v>
      </c>
      <c r="AF1723" s="5"/>
      <c r="AG1723" s="6"/>
      <c r="AH1723" s="27" t="s">
        <v>3390</v>
      </c>
      <c r="AI1723" s="44" t="s">
        <v>3393</v>
      </c>
      <c r="AJ1723" s="26"/>
      <c r="AK1723" s="5" t="s">
        <v>4242</v>
      </c>
      <c r="AL1723" s="82" t="s">
        <v>4879</v>
      </c>
      <c r="AM1723" s="76"/>
      <c r="AN1723" s="76"/>
      <c r="AO1723" s="76"/>
      <c r="AP1723" s="76"/>
      <c r="AQ1723" s="76"/>
      <c r="AR1723" s="76"/>
      <c r="AS1723" s="76"/>
      <c r="AT1723" s="76"/>
      <c r="AU1723" s="76"/>
      <c r="AV1723" s="76"/>
      <c r="AW1723" s="76"/>
      <c r="AX1723" s="76">
        <f>+AW1723*600000</f>
        <v>0</v>
      </c>
      <c r="AY1723" s="76"/>
      <c r="AZ1723" s="76">
        <f>+AY1723*70000</f>
        <v>0</v>
      </c>
      <c r="BA1723" s="76"/>
      <c r="BB1723" s="76"/>
      <c r="BC1723" s="76"/>
      <c r="BD1723" s="76">
        <f>+BC1723*30000</f>
        <v>0</v>
      </c>
      <c r="BE1723" s="76"/>
      <c r="BF1723" s="76"/>
      <c r="BG1723" s="76"/>
      <c r="BH1723" s="76"/>
      <c r="BI1723" s="76"/>
      <c r="BJ1723" s="76"/>
      <c r="BK1723" s="76"/>
      <c r="BL1723" s="76">
        <f>+BK1723*31500</f>
        <v>0</v>
      </c>
      <c r="BM1723" s="76"/>
      <c r="BN1723" s="76"/>
      <c r="BO1723" s="76"/>
      <c r="BP1723" s="76"/>
      <c r="BQ1723" s="76"/>
      <c r="BR1723" s="76"/>
      <c r="BS1723" s="76"/>
      <c r="BT1723" s="76"/>
      <c r="BU1723" s="76"/>
      <c r="BV1723" s="76"/>
      <c r="BW1723" s="76"/>
      <c r="BX1723" s="76"/>
      <c r="BY1723" s="76"/>
      <c r="BZ1723" s="76"/>
      <c r="CA1723" s="76"/>
      <c r="CB1723" s="76"/>
      <c r="CC1723" s="76"/>
      <c r="CD1723" s="76"/>
      <c r="CE1723" s="76"/>
      <c r="CF1723" s="76">
        <f>+CE1723*28000</f>
        <v>0</v>
      </c>
      <c r="CG1723" s="76"/>
      <c r="CH1723" s="76">
        <f>+CG1723*22500</f>
        <v>0</v>
      </c>
      <c r="CI1723" s="76"/>
      <c r="CJ1723" s="76">
        <f>+CI1723*26000</f>
        <v>0</v>
      </c>
      <c r="CK1723" s="76"/>
      <c r="CL1723" s="76"/>
      <c r="CM1723" s="76"/>
      <c r="CN1723" s="76">
        <f>+CM1723*22000</f>
        <v>0</v>
      </c>
      <c r="CO1723" s="76"/>
      <c r="CP1723" s="76">
        <f>+CO1723*46000</f>
        <v>0</v>
      </c>
      <c r="CQ1723" s="76"/>
      <c r="CR1723" s="76">
        <f>+CQ1723*49000</f>
        <v>0</v>
      </c>
      <c r="CS1723" s="76"/>
      <c r="CT1723" s="76"/>
      <c r="CU1723" s="56">
        <f>AN1723+AP1723+AR1723+AT1723+AV1723+AX1723+AZ1723+BB1723+BD1723+BF1723+BH1723+BJ1723+BL1723+BN1723+BP1723+BR1723+BT1723+BV1723+BX1723+BZ1723+CB1723+CD1723+CF1723+CH1723+CJ1723+CL1723+CN1723+CP1723+CR1723+CT1723</f>
        <v>0</v>
      </c>
      <c r="CV1723" s="76"/>
      <c r="CW1723" s="76">
        <f>+CV1723*1100</f>
        <v>0</v>
      </c>
      <c r="CX1723" s="76"/>
      <c r="CY1723" s="76">
        <f>+CX1723*106250</f>
        <v>0</v>
      </c>
      <c r="CZ1723" s="76"/>
      <c r="DA1723" s="76">
        <f>+CZ1723*34500</f>
        <v>0</v>
      </c>
      <c r="DB1723" s="76"/>
      <c r="DC1723" s="76">
        <f>+DB1723*25000</f>
        <v>0</v>
      </c>
      <c r="DD1723" s="219"/>
      <c r="DE1723" s="219"/>
      <c r="DF1723" s="166"/>
      <c r="DG1723" s="116"/>
      <c r="DH1723" s="117"/>
      <c r="DI1723" s="24"/>
      <c r="DJ1723" s="24"/>
      <c r="DK1723" s="24"/>
      <c r="DL1723" s="24"/>
      <c r="DM1723" s="24"/>
      <c r="DN1723" s="24"/>
      <c r="DO1723" s="24"/>
      <c r="DP1723" s="24"/>
      <c r="DQ1723" s="24"/>
      <c r="DR1723" s="24"/>
      <c r="DS1723" s="24"/>
      <c r="DT1723" s="24"/>
      <c r="DU1723" s="24"/>
    </row>
    <row r="1724" spans="1:125" s="8" customFormat="1" ht="36" x14ac:dyDescent="0.2">
      <c r="A1724" s="353">
        <v>41399</v>
      </c>
      <c r="B1724" s="352" t="s">
        <v>2848</v>
      </c>
      <c r="C1724" s="354" t="s">
        <v>1685</v>
      </c>
      <c r="D1724" s="354" t="s">
        <v>2882</v>
      </c>
      <c r="E1724" s="75" t="str">
        <f>VLOOKUP(B1724&amp;C1724,Divipola!$C$2:$F$1138,4,FALSE)</f>
        <v>73873</v>
      </c>
      <c r="F1724" s="87"/>
      <c r="G1724" s="87"/>
      <c r="H1724" s="87"/>
      <c r="I1724" s="87">
        <v>20</v>
      </c>
      <c r="J1724" s="87">
        <v>4</v>
      </c>
      <c r="K1724" s="87"/>
      <c r="L1724" s="87">
        <v>4</v>
      </c>
      <c r="M1724" s="87"/>
      <c r="N1724" s="87"/>
      <c r="O1724" s="87"/>
      <c r="P1724" s="87"/>
      <c r="Q1724" s="87"/>
      <c r="R1724" s="87"/>
      <c r="S1724" s="87"/>
      <c r="T1724" s="87"/>
      <c r="U1724" s="88"/>
      <c r="V1724" s="89"/>
      <c r="W1724" s="96">
        <v>0</v>
      </c>
      <c r="X1724" s="71">
        <f>CU1724</f>
        <v>0</v>
      </c>
      <c r="Y1724" s="71">
        <f>CY1724</f>
        <v>0</v>
      </c>
      <c r="Z1724" s="71">
        <f>DA1724+DC1724+DE1724</f>
        <v>0</v>
      </c>
      <c r="AA1724" s="71">
        <f>CW1724</f>
        <v>0</v>
      </c>
      <c r="AB1724" s="71"/>
      <c r="AC1724" s="71">
        <v>0</v>
      </c>
      <c r="AD1724" s="71">
        <f>W1724+X1724+Y1724+Z1724+AA1724+AB1724+AC1724</f>
        <v>0</v>
      </c>
      <c r="AE1724" s="72">
        <v>0</v>
      </c>
      <c r="AF1724" s="5"/>
      <c r="AG1724" s="6"/>
      <c r="AH1724" s="27" t="s">
        <v>3392</v>
      </c>
      <c r="AI1724" s="44" t="s">
        <v>3393</v>
      </c>
      <c r="AJ1724" s="26"/>
      <c r="AK1724" s="5"/>
      <c r="AL1724" s="82" t="s">
        <v>4522</v>
      </c>
      <c r="AM1724" s="76"/>
      <c r="AN1724" s="76"/>
      <c r="AO1724" s="76"/>
      <c r="AP1724" s="76"/>
      <c r="AQ1724" s="76"/>
      <c r="AR1724" s="76"/>
      <c r="AS1724" s="76"/>
      <c r="AT1724" s="76"/>
      <c r="AU1724" s="76"/>
      <c r="AV1724" s="76"/>
      <c r="AW1724" s="76"/>
      <c r="AX1724" s="76">
        <f>+AW1724*600000</f>
        <v>0</v>
      </c>
      <c r="AY1724" s="76"/>
      <c r="AZ1724" s="76">
        <f>+AY1724*70000</f>
        <v>0</v>
      </c>
      <c r="BA1724" s="76"/>
      <c r="BB1724" s="76"/>
      <c r="BC1724" s="76"/>
      <c r="BD1724" s="76">
        <f>+BC1724*30000</f>
        <v>0</v>
      </c>
      <c r="BE1724" s="76"/>
      <c r="BF1724" s="76"/>
      <c r="BG1724" s="76"/>
      <c r="BH1724" s="76"/>
      <c r="BI1724" s="76"/>
      <c r="BJ1724" s="76"/>
      <c r="BK1724" s="76"/>
      <c r="BL1724" s="76">
        <f>+BK1724*31500</f>
        <v>0</v>
      </c>
      <c r="BM1724" s="76"/>
      <c r="BN1724" s="76"/>
      <c r="BO1724" s="76"/>
      <c r="BP1724" s="76"/>
      <c r="BQ1724" s="76"/>
      <c r="BR1724" s="76"/>
      <c r="BS1724" s="76"/>
      <c r="BT1724" s="76"/>
      <c r="BU1724" s="76"/>
      <c r="BV1724" s="76"/>
      <c r="BW1724" s="76"/>
      <c r="BX1724" s="76"/>
      <c r="BY1724" s="76"/>
      <c r="BZ1724" s="76"/>
      <c r="CA1724" s="76"/>
      <c r="CB1724" s="76"/>
      <c r="CC1724" s="76"/>
      <c r="CD1724" s="76"/>
      <c r="CE1724" s="76"/>
      <c r="CF1724" s="76">
        <f>+CE1724*28000</f>
        <v>0</v>
      </c>
      <c r="CG1724" s="76"/>
      <c r="CH1724" s="76">
        <f>+CG1724*22500</f>
        <v>0</v>
      </c>
      <c r="CI1724" s="76"/>
      <c r="CJ1724" s="76">
        <f>+CI1724*26000</f>
        <v>0</v>
      </c>
      <c r="CK1724" s="76"/>
      <c r="CL1724" s="76"/>
      <c r="CM1724" s="76"/>
      <c r="CN1724" s="76">
        <f>+CM1724*22000</f>
        <v>0</v>
      </c>
      <c r="CO1724" s="76"/>
      <c r="CP1724" s="76">
        <f>+CO1724*46000</f>
        <v>0</v>
      </c>
      <c r="CQ1724" s="76"/>
      <c r="CR1724" s="76">
        <f>+CQ1724*49000</f>
        <v>0</v>
      </c>
      <c r="CS1724" s="76"/>
      <c r="CT1724" s="76"/>
      <c r="CU1724" s="56">
        <f>AN1724+AP1724+AR1724+AT1724+AV1724+AX1724+AZ1724+BB1724+BD1724+BF1724+BH1724+BJ1724+BL1724+BN1724+BP1724+BR1724+BT1724+BV1724+BX1724+BZ1724+CB1724+CD1724+CF1724+CH1724+CJ1724+CL1724+CN1724+CP1724+CR1724+CT1724</f>
        <v>0</v>
      </c>
      <c r="CV1724" s="76"/>
      <c r="CW1724" s="76">
        <f>+CV1724*1100</f>
        <v>0</v>
      </c>
      <c r="CX1724" s="76"/>
      <c r="CY1724" s="76">
        <f>+CX1724*106250</f>
        <v>0</v>
      </c>
      <c r="CZ1724" s="76"/>
      <c r="DA1724" s="76">
        <f>+CZ1724*34500</f>
        <v>0</v>
      </c>
      <c r="DB1724" s="76"/>
      <c r="DC1724" s="76">
        <f>+DB1724*25000</f>
        <v>0</v>
      </c>
      <c r="DD1724" s="219"/>
      <c r="DE1724" s="219"/>
      <c r="DF1724" s="166"/>
      <c r="DG1724" s="116"/>
      <c r="DH1724" s="117"/>
      <c r="DI1724" s="24"/>
      <c r="DJ1724" s="24"/>
      <c r="DK1724" s="24"/>
      <c r="DL1724" s="24"/>
      <c r="DM1724" s="24"/>
      <c r="DN1724" s="24"/>
      <c r="DO1724" s="24"/>
      <c r="DP1724" s="24"/>
      <c r="DQ1724" s="24"/>
      <c r="DR1724" s="24"/>
      <c r="DS1724" s="24"/>
      <c r="DT1724" s="24"/>
      <c r="DU1724" s="24"/>
    </row>
    <row r="1725" spans="1:125" s="8" customFormat="1" ht="36" x14ac:dyDescent="0.2">
      <c r="A1725" s="77">
        <v>41400</v>
      </c>
      <c r="B1725" s="78" t="s">
        <v>2855</v>
      </c>
      <c r="C1725" s="75" t="s">
        <v>2168</v>
      </c>
      <c r="D1725" s="75" t="s">
        <v>3051</v>
      </c>
      <c r="E1725" s="75" t="str">
        <f>VLOOKUP(B1725&amp;C1725,Divipola!$C$2:$F$1138,4,FALSE)</f>
        <v>20001</v>
      </c>
      <c r="F1725" s="87"/>
      <c r="G1725" s="87"/>
      <c r="H1725" s="87"/>
      <c r="I1725" s="87">
        <v>5</v>
      </c>
      <c r="J1725" s="87">
        <v>1</v>
      </c>
      <c r="K1725" s="87">
        <v>1</v>
      </c>
      <c r="L1725" s="87"/>
      <c r="M1725" s="87"/>
      <c r="N1725" s="87"/>
      <c r="O1725" s="87"/>
      <c r="P1725" s="87"/>
      <c r="Q1725" s="87"/>
      <c r="R1725" s="87"/>
      <c r="S1725" s="87"/>
      <c r="T1725" s="87"/>
      <c r="U1725" s="87"/>
      <c r="V1725" s="89"/>
      <c r="W1725" s="96">
        <v>0</v>
      </c>
      <c r="X1725" s="71">
        <f>CU1725</f>
        <v>0</v>
      </c>
      <c r="Y1725" s="71">
        <f>CY1725</f>
        <v>0</v>
      </c>
      <c r="Z1725" s="71">
        <f>DA1725+DC1725+DE1725</f>
        <v>0</v>
      </c>
      <c r="AA1725" s="71">
        <f>CW1725</f>
        <v>0</v>
      </c>
      <c r="AB1725" s="71"/>
      <c r="AC1725" s="71">
        <v>0</v>
      </c>
      <c r="AD1725" s="71">
        <f>W1725+X1725+Y1725+Z1725+AA1725+AB1725+AC1725</f>
        <v>0</v>
      </c>
      <c r="AE1725" s="72">
        <v>0</v>
      </c>
      <c r="AF1725" s="5"/>
      <c r="AG1725" s="6"/>
      <c r="AH1725" s="27" t="s">
        <v>3392</v>
      </c>
      <c r="AI1725" s="44" t="s">
        <v>3393</v>
      </c>
      <c r="AJ1725" s="26"/>
      <c r="AK1725" s="5"/>
      <c r="AL1725" s="82" t="s">
        <v>4551</v>
      </c>
      <c r="AM1725" s="76"/>
      <c r="AN1725" s="76"/>
      <c r="AO1725" s="76"/>
      <c r="AP1725" s="76"/>
      <c r="AQ1725" s="76"/>
      <c r="AR1725" s="76"/>
      <c r="AS1725" s="76"/>
      <c r="AT1725" s="76"/>
      <c r="AU1725" s="76"/>
      <c r="AV1725" s="76"/>
      <c r="AW1725" s="76"/>
      <c r="AX1725" s="76">
        <f>+AW1725*600000</f>
        <v>0</v>
      </c>
      <c r="AY1725" s="76"/>
      <c r="AZ1725" s="76">
        <f>+AY1725*70000</f>
        <v>0</v>
      </c>
      <c r="BA1725" s="76"/>
      <c r="BB1725" s="76"/>
      <c r="BC1725" s="76"/>
      <c r="BD1725" s="76">
        <f>+BC1725*30000</f>
        <v>0</v>
      </c>
      <c r="BE1725" s="76"/>
      <c r="BF1725" s="76"/>
      <c r="BG1725" s="76"/>
      <c r="BH1725" s="76"/>
      <c r="BI1725" s="76"/>
      <c r="BJ1725" s="76"/>
      <c r="BK1725" s="76"/>
      <c r="BL1725" s="76">
        <f>+BK1725*31500</f>
        <v>0</v>
      </c>
      <c r="BM1725" s="76"/>
      <c r="BN1725" s="76"/>
      <c r="BO1725" s="76"/>
      <c r="BP1725" s="76"/>
      <c r="BQ1725" s="76"/>
      <c r="BR1725" s="76"/>
      <c r="BS1725" s="76"/>
      <c r="BT1725" s="76"/>
      <c r="BU1725" s="76"/>
      <c r="BV1725" s="76"/>
      <c r="BW1725" s="76"/>
      <c r="BX1725" s="76"/>
      <c r="BY1725" s="76"/>
      <c r="BZ1725" s="76"/>
      <c r="CA1725" s="76"/>
      <c r="CB1725" s="76"/>
      <c r="CC1725" s="76"/>
      <c r="CD1725" s="76"/>
      <c r="CE1725" s="76"/>
      <c r="CF1725" s="76">
        <f>+CE1725*28000</f>
        <v>0</v>
      </c>
      <c r="CG1725" s="76"/>
      <c r="CH1725" s="76">
        <f>+CG1725*22500</f>
        <v>0</v>
      </c>
      <c r="CI1725" s="76"/>
      <c r="CJ1725" s="76">
        <f>+CI1725*26000</f>
        <v>0</v>
      </c>
      <c r="CK1725" s="76"/>
      <c r="CL1725" s="76"/>
      <c r="CM1725" s="76"/>
      <c r="CN1725" s="76">
        <f>+CM1725*22000</f>
        <v>0</v>
      </c>
      <c r="CO1725" s="76"/>
      <c r="CP1725" s="76">
        <f>+CO1725*46000</f>
        <v>0</v>
      </c>
      <c r="CQ1725" s="76"/>
      <c r="CR1725" s="76">
        <f>+CQ1725*49000</f>
        <v>0</v>
      </c>
      <c r="CS1725" s="76"/>
      <c r="CT1725" s="76"/>
      <c r="CU1725" s="56">
        <f>AN1725+AP1725+AR1725+AT1725+AV1725+AX1725+AZ1725+BB1725+BD1725+BF1725+BH1725+BJ1725+BL1725+BN1725+BP1725+BR1725+BT1725+BV1725+BX1725+BZ1725+CB1725+CD1725+CF1725+CH1725+CJ1725+CL1725+CN1725+CP1725+CR1725+CT1725</f>
        <v>0</v>
      </c>
      <c r="CV1725" s="76"/>
      <c r="CW1725" s="76">
        <f>+CV1725*1100</f>
        <v>0</v>
      </c>
      <c r="CX1725" s="76"/>
      <c r="CY1725" s="76">
        <f>+CX1725*106250</f>
        <v>0</v>
      </c>
      <c r="CZ1725" s="76"/>
      <c r="DA1725" s="76">
        <f>+CZ1725*34500</f>
        <v>0</v>
      </c>
      <c r="DB1725" s="76"/>
      <c r="DC1725" s="76">
        <f>+DB1725*25000</f>
        <v>0</v>
      </c>
      <c r="DD1725" s="219"/>
      <c r="DE1725" s="219"/>
      <c r="DF1725" s="166"/>
      <c r="DG1725" s="116"/>
      <c r="DH1725" s="117"/>
      <c r="DI1725" s="24"/>
      <c r="DJ1725" s="24"/>
      <c r="DK1725" s="24"/>
      <c r="DL1725" s="24"/>
      <c r="DM1725" s="24"/>
      <c r="DN1725" s="24"/>
      <c r="DO1725" s="24"/>
      <c r="DP1725" s="24"/>
      <c r="DQ1725" s="24"/>
      <c r="DR1725" s="24"/>
      <c r="DS1725" s="24"/>
      <c r="DT1725" s="24"/>
      <c r="DU1725" s="24"/>
    </row>
    <row r="1726" spans="1:125" s="8" customFormat="1" ht="60" x14ac:dyDescent="0.2">
      <c r="A1726" s="77">
        <v>41400</v>
      </c>
      <c r="B1726" s="78" t="s">
        <v>2811</v>
      </c>
      <c r="C1726" s="75" t="s">
        <v>518</v>
      </c>
      <c r="D1726" s="75" t="s">
        <v>3051</v>
      </c>
      <c r="E1726" s="75" t="str">
        <f>VLOOKUP(B1726&amp;C1726,Divipola!$C$2:$F$1138,4,FALSE)</f>
        <v>52699</v>
      </c>
      <c r="F1726" s="163"/>
      <c r="G1726" s="163"/>
      <c r="H1726" s="163"/>
      <c r="I1726" s="163"/>
      <c r="J1726" s="163"/>
      <c r="K1726" s="163"/>
      <c r="L1726" s="163"/>
      <c r="M1726" s="163"/>
      <c r="N1726" s="163">
        <v>1</v>
      </c>
      <c r="O1726" s="163"/>
      <c r="P1726" s="163"/>
      <c r="Q1726" s="163"/>
      <c r="R1726" s="163"/>
      <c r="S1726" s="163"/>
      <c r="T1726" s="163"/>
      <c r="U1726" s="163"/>
      <c r="V1726" s="134"/>
      <c r="W1726" s="96">
        <v>0</v>
      </c>
      <c r="X1726" s="71">
        <f>CU1726</f>
        <v>0</v>
      </c>
      <c r="Y1726" s="71">
        <f>CY1726</f>
        <v>0</v>
      </c>
      <c r="Z1726" s="71">
        <f>DA1726+DC1726+DE1726</f>
        <v>0</v>
      </c>
      <c r="AA1726" s="71">
        <f>CW1726</f>
        <v>0</v>
      </c>
      <c r="AB1726" s="71"/>
      <c r="AC1726" s="71">
        <v>295318523</v>
      </c>
      <c r="AD1726" s="71">
        <f>W1726+X1726+Y1726+Z1726+AA1726+AB1726+AC1726</f>
        <v>295318523</v>
      </c>
      <c r="AE1726" s="72">
        <v>0</v>
      </c>
      <c r="AF1726" s="5"/>
      <c r="AG1726" s="6"/>
      <c r="AH1726" s="27" t="s">
        <v>3390</v>
      </c>
      <c r="AI1726" s="44" t="s">
        <v>3391</v>
      </c>
      <c r="AJ1726" s="26"/>
      <c r="AK1726" s="5"/>
      <c r="AL1726" s="82" t="s">
        <v>4484</v>
      </c>
      <c r="AM1726" s="76"/>
      <c r="AN1726" s="76"/>
      <c r="AO1726" s="76"/>
      <c r="AP1726" s="76"/>
      <c r="AQ1726" s="76"/>
      <c r="AR1726" s="76"/>
      <c r="AS1726" s="76"/>
      <c r="AT1726" s="76"/>
      <c r="AU1726" s="76"/>
      <c r="AV1726" s="76"/>
      <c r="AW1726" s="76"/>
      <c r="AX1726" s="76">
        <f>+AW1726*600000</f>
        <v>0</v>
      </c>
      <c r="AY1726" s="76"/>
      <c r="AZ1726" s="76">
        <f>+AY1726*70000</f>
        <v>0</v>
      </c>
      <c r="BA1726" s="76"/>
      <c r="BB1726" s="76"/>
      <c r="BC1726" s="76"/>
      <c r="BD1726" s="76">
        <f>+BC1726*30000</f>
        <v>0</v>
      </c>
      <c r="BE1726" s="76"/>
      <c r="BF1726" s="76"/>
      <c r="BG1726" s="76"/>
      <c r="BH1726" s="76"/>
      <c r="BI1726" s="76"/>
      <c r="BJ1726" s="76"/>
      <c r="BK1726" s="76"/>
      <c r="BL1726" s="76">
        <f>+BK1726*31500</f>
        <v>0</v>
      </c>
      <c r="BM1726" s="76"/>
      <c r="BN1726" s="76"/>
      <c r="BO1726" s="76"/>
      <c r="BP1726" s="76"/>
      <c r="BQ1726" s="76"/>
      <c r="BR1726" s="76"/>
      <c r="BS1726" s="76"/>
      <c r="BT1726" s="76"/>
      <c r="BU1726" s="76"/>
      <c r="BV1726" s="76"/>
      <c r="BW1726" s="76"/>
      <c r="BX1726" s="76"/>
      <c r="BY1726" s="76"/>
      <c r="BZ1726" s="76"/>
      <c r="CA1726" s="76"/>
      <c r="CB1726" s="76"/>
      <c r="CC1726" s="76"/>
      <c r="CD1726" s="76"/>
      <c r="CE1726" s="76"/>
      <c r="CF1726" s="76">
        <f>+CE1726*28000</f>
        <v>0</v>
      </c>
      <c r="CG1726" s="76"/>
      <c r="CH1726" s="76">
        <f>+CG1726*22500</f>
        <v>0</v>
      </c>
      <c r="CI1726" s="76"/>
      <c r="CJ1726" s="76">
        <f>+CI1726*26000</f>
        <v>0</v>
      </c>
      <c r="CK1726" s="76"/>
      <c r="CL1726" s="76"/>
      <c r="CM1726" s="76"/>
      <c r="CN1726" s="76">
        <f>+CM1726*22000</f>
        <v>0</v>
      </c>
      <c r="CO1726" s="76"/>
      <c r="CP1726" s="76">
        <f>+CO1726*46000</f>
        <v>0</v>
      </c>
      <c r="CQ1726" s="76"/>
      <c r="CR1726" s="76">
        <f>+CQ1726*49000</f>
        <v>0</v>
      </c>
      <c r="CS1726" s="76"/>
      <c r="CT1726" s="76"/>
      <c r="CU1726" s="56">
        <f>AN1726+AP1726+AR1726+AT1726+AV1726+AX1726+AZ1726+BB1726+BD1726+BF1726+BH1726+BJ1726+BL1726+BN1726+BP1726+BR1726+BT1726+BV1726+BX1726+BZ1726+CB1726+CD1726+CF1726+CH1726+CJ1726+CL1726+CN1726+CP1726+CR1726+CT1726</f>
        <v>0</v>
      </c>
      <c r="CV1726" s="76"/>
      <c r="CW1726" s="76">
        <f>+CV1726*1100</f>
        <v>0</v>
      </c>
      <c r="CX1726" s="76"/>
      <c r="CY1726" s="76">
        <f>+CX1726*106250</f>
        <v>0</v>
      </c>
      <c r="CZ1726" s="76"/>
      <c r="DA1726" s="76">
        <f>+CZ1726*34500</f>
        <v>0</v>
      </c>
      <c r="DB1726" s="76"/>
      <c r="DC1726" s="76">
        <f>+DB1726*25000</f>
        <v>0</v>
      </c>
      <c r="DD1726" s="219"/>
      <c r="DE1726" s="219"/>
      <c r="DF1726" s="166" t="s">
        <v>3248</v>
      </c>
      <c r="DG1726" s="116"/>
      <c r="DH1726" s="117"/>
      <c r="DI1726" s="24"/>
      <c r="DJ1726" s="24"/>
      <c r="DK1726" s="24"/>
      <c r="DL1726" s="24"/>
      <c r="DM1726" s="24"/>
      <c r="DN1726" s="24"/>
      <c r="DO1726" s="24"/>
      <c r="DP1726" s="24"/>
      <c r="DQ1726" s="24"/>
      <c r="DR1726" s="24"/>
      <c r="DS1726" s="24"/>
      <c r="DT1726" s="24"/>
      <c r="DU1726" s="24"/>
    </row>
    <row r="1727" spans="1:125" s="8" customFormat="1" ht="228" x14ac:dyDescent="0.2">
      <c r="A1727" s="5">
        <v>41400</v>
      </c>
      <c r="B1727" s="84" t="s">
        <v>2847</v>
      </c>
      <c r="C1727" s="84" t="s">
        <v>2695</v>
      </c>
      <c r="D1727" s="75" t="s">
        <v>2142</v>
      </c>
      <c r="E1727" s="75" t="str">
        <f>VLOOKUP(B1727&amp;C1727,Divipola!$C$2:$F$1138,4,FALSE)</f>
        <v>68092</v>
      </c>
      <c r="F1727" s="89">
        <v>1</v>
      </c>
      <c r="G1727" s="89"/>
      <c r="H1727" s="89">
        <v>1</v>
      </c>
      <c r="I1727" s="89">
        <v>2</v>
      </c>
      <c r="J1727" s="89"/>
      <c r="K1727" s="89"/>
      <c r="L1727" s="89"/>
      <c r="M1727" s="89"/>
      <c r="N1727" s="89"/>
      <c r="O1727" s="89"/>
      <c r="P1727" s="89"/>
      <c r="Q1727" s="89"/>
      <c r="R1727" s="89"/>
      <c r="S1727" s="89"/>
      <c r="T1727" s="89"/>
      <c r="U1727" s="89"/>
      <c r="V1727" s="89"/>
      <c r="W1727" s="96">
        <v>0</v>
      </c>
      <c r="X1727" s="71">
        <f>CU1727</f>
        <v>0</v>
      </c>
      <c r="Y1727" s="71">
        <f>CY1727</f>
        <v>0</v>
      </c>
      <c r="Z1727" s="71">
        <f>DA1727+DC1727+DE1727</f>
        <v>0</v>
      </c>
      <c r="AA1727" s="71">
        <f>CW1727</f>
        <v>0</v>
      </c>
      <c r="AB1727" s="71"/>
      <c r="AC1727" s="71">
        <v>0</v>
      </c>
      <c r="AD1727" s="71">
        <f>W1727+X1727+Y1727+Z1727+AA1727+AB1727+AC1727</f>
        <v>0</v>
      </c>
      <c r="AE1727" s="72">
        <v>0</v>
      </c>
      <c r="AF1727" s="5"/>
      <c r="AG1727" s="6"/>
      <c r="AH1727" s="27" t="s">
        <v>3392</v>
      </c>
      <c r="AI1727" s="44" t="s">
        <v>3393</v>
      </c>
      <c r="AJ1727" s="26"/>
      <c r="AK1727" s="5"/>
      <c r="AL1727" s="82" t="s">
        <v>4573</v>
      </c>
      <c r="AM1727" s="76"/>
      <c r="AN1727" s="76"/>
      <c r="AO1727" s="76"/>
      <c r="AP1727" s="76"/>
      <c r="AQ1727" s="76"/>
      <c r="AR1727" s="76"/>
      <c r="AS1727" s="76"/>
      <c r="AT1727" s="76"/>
      <c r="AU1727" s="76"/>
      <c r="AV1727" s="76"/>
      <c r="AW1727" s="76"/>
      <c r="AX1727" s="76">
        <f>+AW1727*600000</f>
        <v>0</v>
      </c>
      <c r="AY1727" s="76"/>
      <c r="AZ1727" s="76">
        <f>+AY1727*70000</f>
        <v>0</v>
      </c>
      <c r="BA1727" s="76"/>
      <c r="BB1727" s="76"/>
      <c r="BC1727" s="76"/>
      <c r="BD1727" s="76">
        <f>+BC1727*30000</f>
        <v>0</v>
      </c>
      <c r="BE1727" s="76"/>
      <c r="BF1727" s="76"/>
      <c r="BG1727" s="76"/>
      <c r="BH1727" s="76"/>
      <c r="BI1727" s="76"/>
      <c r="BJ1727" s="76"/>
      <c r="BK1727" s="76"/>
      <c r="BL1727" s="76">
        <f>+BK1727*31500</f>
        <v>0</v>
      </c>
      <c r="BM1727" s="76"/>
      <c r="BN1727" s="76"/>
      <c r="BO1727" s="76"/>
      <c r="BP1727" s="76"/>
      <c r="BQ1727" s="76"/>
      <c r="BR1727" s="76"/>
      <c r="BS1727" s="76"/>
      <c r="BT1727" s="76"/>
      <c r="BU1727" s="76"/>
      <c r="BV1727" s="76"/>
      <c r="BW1727" s="76"/>
      <c r="BX1727" s="76"/>
      <c r="BY1727" s="76"/>
      <c r="BZ1727" s="76"/>
      <c r="CA1727" s="76"/>
      <c r="CB1727" s="76"/>
      <c r="CC1727" s="76"/>
      <c r="CD1727" s="76"/>
      <c r="CE1727" s="76"/>
      <c r="CF1727" s="76">
        <f>+CE1727*28000</f>
        <v>0</v>
      </c>
      <c r="CG1727" s="76"/>
      <c r="CH1727" s="76">
        <f>+CG1727*22500</f>
        <v>0</v>
      </c>
      <c r="CI1727" s="76"/>
      <c r="CJ1727" s="76">
        <f>+CI1727*26000</f>
        <v>0</v>
      </c>
      <c r="CK1727" s="76"/>
      <c r="CL1727" s="76"/>
      <c r="CM1727" s="76"/>
      <c r="CN1727" s="76">
        <f>+CM1727*22000</f>
        <v>0</v>
      </c>
      <c r="CO1727" s="76"/>
      <c r="CP1727" s="76">
        <f>+CO1727*46000</f>
        <v>0</v>
      </c>
      <c r="CQ1727" s="76"/>
      <c r="CR1727" s="76">
        <f>+CQ1727*49000</f>
        <v>0</v>
      </c>
      <c r="CS1727" s="76"/>
      <c r="CT1727" s="76"/>
      <c r="CU1727" s="56">
        <f>AN1727+AP1727+AR1727+AT1727+AV1727+AX1727+AZ1727+BB1727+BD1727+BF1727+BH1727+BJ1727+BL1727+BN1727+BP1727+BR1727+BT1727+BV1727+BX1727+BZ1727+CB1727+CD1727+CF1727+CH1727+CJ1727+CL1727+CN1727+CP1727+CR1727+CT1727</f>
        <v>0</v>
      </c>
      <c r="CV1727" s="76"/>
      <c r="CW1727" s="76">
        <f>+CV1727*1100</f>
        <v>0</v>
      </c>
      <c r="CX1727" s="76"/>
      <c r="CY1727" s="76">
        <f>+CX1727*106250</f>
        <v>0</v>
      </c>
      <c r="CZ1727" s="76"/>
      <c r="DA1727" s="76">
        <f>+CZ1727*34500</f>
        <v>0</v>
      </c>
      <c r="DB1727" s="76"/>
      <c r="DC1727" s="76">
        <f>+DB1727*25000</f>
        <v>0</v>
      </c>
      <c r="DD1727" s="219"/>
      <c r="DE1727" s="219"/>
      <c r="DF1727" s="166"/>
      <c r="DG1727" s="116"/>
      <c r="DH1727" s="117"/>
      <c r="DI1727" s="24"/>
      <c r="DJ1727" s="24"/>
      <c r="DK1727" s="24"/>
      <c r="DL1727" s="24"/>
      <c r="DM1727" s="24"/>
      <c r="DN1727" s="24"/>
      <c r="DO1727" s="24"/>
      <c r="DP1727" s="24"/>
      <c r="DQ1727" s="24"/>
      <c r="DR1727" s="24"/>
      <c r="DS1727" s="24"/>
      <c r="DT1727" s="24"/>
      <c r="DU1727" s="24"/>
    </row>
    <row r="1728" spans="1:125" s="8" customFormat="1" ht="72" x14ac:dyDescent="0.2">
      <c r="A1728" s="353">
        <v>41400</v>
      </c>
      <c r="B1728" s="352" t="s">
        <v>2847</v>
      </c>
      <c r="C1728" s="354" t="s">
        <v>1711</v>
      </c>
      <c r="D1728" s="354" t="s">
        <v>3088</v>
      </c>
      <c r="E1728" s="75" t="str">
        <f>VLOOKUP(B1728&amp;C1728,Divipola!$C$2:$F$1138,4,FALSE)</f>
        <v>68324</v>
      </c>
      <c r="F1728" s="87"/>
      <c r="G1728" s="87"/>
      <c r="H1728" s="87"/>
      <c r="I1728" s="87"/>
      <c r="J1728" s="87"/>
      <c r="K1728" s="87"/>
      <c r="L1728" s="87"/>
      <c r="M1728" s="87">
        <v>1</v>
      </c>
      <c r="N1728" s="87"/>
      <c r="O1728" s="87"/>
      <c r="P1728" s="87"/>
      <c r="Q1728" s="87"/>
      <c r="R1728" s="87"/>
      <c r="S1728" s="87"/>
      <c r="T1728" s="87"/>
      <c r="U1728" s="88"/>
      <c r="V1728" s="89"/>
      <c r="W1728" s="96">
        <v>0</v>
      </c>
      <c r="X1728" s="71">
        <f>CU1728</f>
        <v>0</v>
      </c>
      <c r="Y1728" s="71">
        <f>CY1728</f>
        <v>0</v>
      </c>
      <c r="Z1728" s="71">
        <f>DA1728+DC1728+DE1728</f>
        <v>0</v>
      </c>
      <c r="AA1728" s="71">
        <f>CW1728</f>
        <v>0</v>
      </c>
      <c r="AB1728" s="71"/>
      <c r="AC1728" s="71">
        <v>0</v>
      </c>
      <c r="AD1728" s="71">
        <f>W1728+X1728+Y1728+Z1728+AA1728+AB1728+AC1728</f>
        <v>0</v>
      </c>
      <c r="AE1728" s="72">
        <v>0</v>
      </c>
      <c r="AF1728" s="5"/>
      <c r="AG1728" s="6"/>
      <c r="AH1728" s="27" t="s">
        <v>3392</v>
      </c>
      <c r="AI1728" s="44" t="s">
        <v>3393</v>
      </c>
      <c r="AJ1728" s="26"/>
      <c r="AK1728" s="5"/>
      <c r="AL1728" s="82" t="s">
        <v>4545</v>
      </c>
      <c r="AM1728" s="76"/>
      <c r="AN1728" s="76"/>
      <c r="AO1728" s="76"/>
      <c r="AP1728" s="76"/>
      <c r="AQ1728" s="76"/>
      <c r="AR1728" s="76"/>
      <c r="AS1728" s="76"/>
      <c r="AT1728" s="76"/>
      <c r="AU1728" s="76"/>
      <c r="AV1728" s="76"/>
      <c r="AW1728" s="76"/>
      <c r="AX1728" s="76">
        <f>+AW1728*600000</f>
        <v>0</v>
      </c>
      <c r="AY1728" s="76"/>
      <c r="AZ1728" s="76">
        <f>+AY1728*70000</f>
        <v>0</v>
      </c>
      <c r="BA1728" s="76"/>
      <c r="BB1728" s="76"/>
      <c r="BC1728" s="76"/>
      <c r="BD1728" s="76">
        <f>+BC1728*30000</f>
        <v>0</v>
      </c>
      <c r="BE1728" s="76"/>
      <c r="BF1728" s="76"/>
      <c r="BG1728" s="76"/>
      <c r="BH1728" s="76"/>
      <c r="BI1728" s="76"/>
      <c r="BJ1728" s="76"/>
      <c r="BK1728" s="76"/>
      <c r="BL1728" s="76">
        <f>+BK1728*31500</f>
        <v>0</v>
      </c>
      <c r="BM1728" s="76"/>
      <c r="BN1728" s="76"/>
      <c r="BO1728" s="76"/>
      <c r="BP1728" s="76"/>
      <c r="BQ1728" s="76"/>
      <c r="BR1728" s="76"/>
      <c r="BS1728" s="76"/>
      <c r="BT1728" s="76"/>
      <c r="BU1728" s="76"/>
      <c r="BV1728" s="76"/>
      <c r="BW1728" s="76"/>
      <c r="BX1728" s="76"/>
      <c r="BY1728" s="76"/>
      <c r="BZ1728" s="76"/>
      <c r="CA1728" s="76"/>
      <c r="CB1728" s="76"/>
      <c r="CC1728" s="76"/>
      <c r="CD1728" s="76"/>
      <c r="CE1728" s="76"/>
      <c r="CF1728" s="76">
        <f>+CE1728*28000</f>
        <v>0</v>
      </c>
      <c r="CG1728" s="76"/>
      <c r="CH1728" s="76">
        <f>+CG1728*22500</f>
        <v>0</v>
      </c>
      <c r="CI1728" s="76"/>
      <c r="CJ1728" s="76">
        <f>+CI1728*26000</f>
        <v>0</v>
      </c>
      <c r="CK1728" s="76"/>
      <c r="CL1728" s="76"/>
      <c r="CM1728" s="76"/>
      <c r="CN1728" s="76">
        <f>+CM1728*22000</f>
        <v>0</v>
      </c>
      <c r="CO1728" s="76"/>
      <c r="CP1728" s="76">
        <f>+CO1728*46000</f>
        <v>0</v>
      </c>
      <c r="CQ1728" s="76"/>
      <c r="CR1728" s="76">
        <f>+CQ1728*49000</f>
        <v>0</v>
      </c>
      <c r="CS1728" s="76"/>
      <c r="CT1728" s="76"/>
      <c r="CU1728" s="56">
        <f>AN1728+AP1728+AR1728+AT1728+AV1728+AX1728+AZ1728+BB1728+BD1728+BF1728+BH1728+BJ1728+BL1728+BN1728+BP1728+BR1728+BT1728+BV1728+BX1728+BZ1728+CB1728+CD1728+CF1728+CH1728+CJ1728+CL1728+CN1728+CP1728+CR1728+CT1728</f>
        <v>0</v>
      </c>
      <c r="CV1728" s="76"/>
      <c r="CW1728" s="76">
        <f>+CV1728*1100</f>
        <v>0</v>
      </c>
      <c r="CX1728" s="76"/>
      <c r="CY1728" s="76">
        <f>+CX1728*106250</f>
        <v>0</v>
      </c>
      <c r="CZ1728" s="76"/>
      <c r="DA1728" s="76">
        <f>+CZ1728*34500</f>
        <v>0</v>
      </c>
      <c r="DB1728" s="76"/>
      <c r="DC1728" s="76">
        <f>+DB1728*25000</f>
        <v>0</v>
      </c>
      <c r="DD1728" s="219"/>
      <c r="DE1728" s="219"/>
      <c r="DF1728" s="166"/>
      <c r="DG1728" s="116"/>
      <c r="DH1728" s="117"/>
      <c r="DI1728" s="24"/>
      <c r="DJ1728" s="24"/>
      <c r="DK1728" s="24"/>
      <c r="DL1728" s="24"/>
      <c r="DM1728" s="24"/>
      <c r="DN1728" s="24"/>
      <c r="DO1728" s="24"/>
      <c r="DP1728" s="24"/>
      <c r="DQ1728" s="24"/>
      <c r="DR1728" s="24"/>
      <c r="DS1728" s="24"/>
      <c r="DT1728" s="24"/>
      <c r="DU1728" s="24"/>
    </row>
    <row r="1729" spans="1:125" s="8" customFormat="1" ht="60" x14ac:dyDescent="0.2">
      <c r="A1729" s="353">
        <v>41400</v>
      </c>
      <c r="B1729" s="352" t="s">
        <v>2847</v>
      </c>
      <c r="C1729" s="354" t="s">
        <v>1770</v>
      </c>
      <c r="D1729" s="354" t="s">
        <v>4538</v>
      </c>
      <c r="E1729" s="75" t="str">
        <f>VLOOKUP(B1729&amp;C1729,Divipola!$C$2:$F$1138,4,FALSE)</f>
        <v>68682</v>
      </c>
      <c r="F1729" s="87"/>
      <c r="G1729" s="87"/>
      <c r="H1729" s="87"/>
      <c r="I1729" s="87"/>
      <c r="J1729" s="87"/>
      <c r="K1729" s="87"/>
      <c r="L1729" s="87"/>
      <c r="M1729" s="87">
        <v>1</v>
      </c>
      <c r="N1729" s="87"/>
      <c r="O1729" s="87"/>
      <c r="P1729" s="87"/>
      <c r="Q1729" s="87"/>
      <c r="R1729" s="87"/>
      <c r="S1729" s="87"/>
      <c r="T1729" s="87"/>
      <c r="U1729" s="88"/>
      <c r="V1729" s="89"/>
      <c r="W1729" s="96">
        <v>0</v>
      </c>
      <c r="X1729" s="71">
        <f>CU1729</f>
        <v>0</v>
      </c>
      <c r="Y1729" s="71">
        <f>CY1729</f>
        <v>0</v>
      </c>
      <c r="Z1729" s="71">
        <f>DA1729+DC1729+DE1729</f>
        <v>0</v>
      </c>
      <c r="AA1729" s="71">
        <f>CW1729</f>
        <v>0</v>
      </c>
      <c r="AB1729" s="71"/>
      <c r="AC1729" s="71">
        <v>0</v>
      </c>
      <c r="AD1729" s="71">
        <f>W1729+X1729+Y1729+Z1729+AA1729+AB1729+AC1729</f>
        <v>0</v>
      </c>
      <c r="AE1729" s="72">
        <v>0</v>
      </c>
      <c r="AF1729" s="5"/>
      <c r="AG1729" s="6"/>
      <c r="AH1729" s="27" t="s">
        <v>3392</v>
      </c>
      <c r="AI1729" s="44" t="s">
        <v>3393</v>
      </c>
      <c r="AJ1729" s="26"/>
      <c r="AK1729" s="5"/>
      <c r="AL1729" s="82" t="s">
        <v>4532</v>
      </c>
      <c r="AM1729" s="76"/>
      <c r="AN1729" s="76"/>
      <c r="AO1729" s="76"/>
      <c r="AP1729" s="76"/>
      <c r="AQ1729" s="76"/>
      <c r="AR1729" s="76"/>
      <c r="AS1729" s="76"/>
      <c r="AT1729" s="76"/>
      <c r="AU1729" s="76"/>
      <c r="AV1729" s="76"/>
      <c r="AW1729" s="76"/>
      <c r="AX1729" s="76">
        <f>+AW1729*600000</f>
        <v>0</v>
      </c>
      <c r="AY1729" s="76"/>
      <c r="AZ1729" s="76">
        <f>+AY1729*70000</f>
        <v>0</v>
      </c>
      <c r="BA1729" s="76"/>
      <c r="BB1729" s="76"/>
      <c r="BC1729" s="76"/>
      <c r="BD1729" s="76">
        <f>+BC1729*30000</f>
        <v>0</v>
      </c>
      <c r="BE1729" s="76"/>
      <c r="BF1729" s="76"/>
      <c r="BG1729" s="76"/>
      <c r="BH1729" s="76"/>
      <c r="BI1729" s="76"/>
      <c r="BJ1729" s="76"/>
      <c r="BK1729" s="76"/>
      <c r="BL1729" s="76">
        <f>+BK1729*31500</f>
        <v>0</v>
      </c>
      <c r="BM1729" s="76"/>
      <c r="BN1729" s="76"/>
      <c r="BO1729" s="76"/>
      <c r="BP1729" s="76"/>
      <c r="BQ1729" s="76"/>
      <c r="BR1729" s="76"/>
      <c r="BS1729" s="76"/>
      <c r="BT1729" s="76"/>
      <c r="BU1729" s="76"/>
      <c r="BV1729" s="76"/>
      <c r="BW1729" s="76"/>
      <c r="BX1729" s="76"/>
      <c r="BY1729" s="76"/>
      <c r="BZ1729" s="76"/>
      <c r="CA1729" s="76"/>
      <c r="CB1729" s="76"/>
      <c r="CC1729" s="76"/>
      <c r="CD1729" s="76"/>
      <c r="CE1729" s="76"/>
      <c r="CF1729" s="76">
        <f>+CE1729*28000</f>
        <v>0</v>
      </c>
      <c r="CG1729" s="76"/>
      <c r="CH1729" s="76">
        <f>+CG1729*22500</f>
        <v>0</v>
      </c>
      <c r="CI1729" s="76"/>
      <c r="CJ1729" s="76">
        <f>+CI1729*26000</f>
        <v>0</v>
      </c>
      <c r="CK1729" s="76"/>
      <c r="CL1729" s="76"/>
      <c r="CM1729" s="76"/>
      <c r="CN1729" s="76">
        <f>+CM1729*22000</f>
        <v>0</v>
      </c>
      <c r="CO1729" s="76"/>
      <c r="CP1729" s="76">
        <f>+CO1729*46000</f>
        <v>0</v>
      </c>
      <c r="CQ1729" s="76"/>
      <c r="CR1729" s="76">
        <f>+CQ1729*49000</f>
        <v>0</v>
      </c>
      <c r="CS1729" s="76"/>
      <c r="CT1729" s="76"/>
      <c r="CU1729" s="56">
        <f>AN1729+AP1729+AR1729+AT1729+AV1729+AX1729+AZ1729+BB1729+BD1729+BF1729+BH1729+BJ1729+BL1729+BN1729+BP1729+BR1729+BT1729+BV1729+BX1729+BZ1729+CB1729+CD1729+CF1729+CH1729+CJ1729+CL1729+CN1729+CP1729+CR1729+CT1729</f>
        <v>0</v>
      </c>
      <c r="CV1729" s="76"/>
      <c r="CW1729" s="76">
        <f>+CV1729*1100</f>
        <v>0</v>
      </c>
      <c r="CX1729" s="76"/>
      <c r="CY1729" s="76">
        <f>+CX1729*106250</f>
        <v>0</v>
      </c>
      <c r="CZ1729" s="76"/>
      <c r="DA1729" s="76">
        <f>+CZ1729*34500</f>
        <v>0</v>
      </c>
      <c r="DB1729" s="76"/>
      <c r="DC1729" s="76">
        <f>+DB1729*25000</f>
        <v>0</v>
      </c>
      <c r="DD1729" s="219"/>
      <c r="DE1729" s="219"/>
      <c r="DF1729" s="166"/>
      <c r="DG1729" s="116"/>
      <c r="DH1729" s="117"/>
      <c r="DI1729" s="24"/>
      <c r="DJ1729" s="24"/>
      <c r="DK1729" s="24"/>
      <c r="DL1729" s="24"/>
      <c r="DM1729" s="24"/>
      <c r="DN1729" s="24"/>
      <c r="DO1729" s="24"/>
      <c r="DP1729" s="24"/>
      <c r="DQ1729" s="24"/>
      <c r="DR1729" s="24"/>
      <c r="DS1729" s="24"/>
      <c r="DT1729" s="24"/>
      <c r="DU1729" s="24"/>
    </row>
    <row r="1730" spans="1:125" s="8" customFormat="1" ht="36" x14ac:dyDescent="0.2">
      <c r="A1730" s="77">
        <v>41400</v>
      </c>
      <c r="B1730" s="78" t="s">
        <v>2848</v>
      </c>
      <c r="C1730" s="75" t="s">
        <v>2055</v>
      </c>
      <c r="D1730" s="75" t="s">
        <v>3051</v>
      </c>
      <c r="E1730" s="75" t="str">
        <f>VLOOKUP(B1730&amp;C1730,Divipola!$C$2:$F$1138,4,FALSE)</f>
        <v>73275</v>
      </c>
      <c r="F1730" s="163"/>
      <c r="G1730" s="163"/>
      <c r="H1730" s="163"/>
      <c r="I1730" s="163"/>
      <c r="J1730" s="163"/>
      <c r="K1730" s="163"/>
      <c r="L1730" s="163"/>
      <c r="M1730" s="163"/>
      <c r="N1730" s="163"/>
      <c r="O1730" s="163"/>
      <c r="P1730" s="163"/>
      <c r="Q1730" s="163"/>
      <c r="R1730" s="163"/>
      <c r="S1730" s="163"/>
      <c r="T1730" s="163"/>
      <c r="U1730" s="163"/>
      <c r="V1730" s="134"/>
      <c r="W1730" s="96">
        <v>750000</v>
      </c>
      <c r="X1730" s="71">
        <f>CU1730</f>
        <v>0</v>
      </c>
      <c r="Y1730" s="71">
        <f>CY1730</f>
        <v>0</v>
      </c>
      <c r="Z1730" s="71">
        <f>DA1730+DC1730+DE1730</f>
        <v>0</v>
      </c>
      <c r="AA1730" s="71">
        <f>CW1730</f>
        <v>0</v>
      </c>
      <c r="AB1730" s="71"/>
      <c r="AC1730" s="71">
        <v>0</v>
      </c>
      <c r="AD1730" s="71">
        <f>W1730+X1730+Y1730+Z1730+AA1730+AB1730+AC1730</f>
        <v>750000</v>
      </c>
      <c r="AE1730" s="72">
        <v>0</v>
      </c>
      <c r="AF1730" s="5"/>
      <c r="AG1730" s="6"/>
      <c r="AH1730" s="27" t="s">
        <v>3390</v>
      </c>
      <c r="AI1730" s="44" t="s">
        <v>3391</v>
      </c>
      <c r="AJ1730" s="26"/>
      <c r="AK1730" s="5"/>
      <c r="AL1730" s="82" t="s">
        <v>4483</v>
      </c>
      <c r="AM1730" s="76"/>
      <c r="AN1730" s="76"/>
      <c r="AO1730" s="76"/>
      <c r="AP1730" s="76"/>
      <c r="AQ1730" s="76"/>
      <c r="AR1730" s="76"/>
      <c r="AS1730" s="76"/>
      <c r="AT1730" s="76"/>
      <c r="AU1730" s="76"/>
      <c r="AV1730" s="76"/>
      <c r="AW1730" s="76"/>
      <c r="AX1730" s="76">
        <f>+AW1730*600000</f>
        <v>0</v>
      </c>
      <c r="AY1730" s="76"/>
      <c r="AZ1730" s="76">
        <f>+AY1730*70000</f>
        <v>0</v>
      </c>
      <c r="BA1730" s="76"/>
      <c r="BB1730" s="76"/>
      <c r="BC1730" s="76"/>
      <c r="BD1730" s="76">
        <f>+BC1730*30000</f>
        <v>0</v>
      </c>
      <c r="BE1730" s="76"/>
      <c r="BF1730" s="76"/>
      <c r="BG1730" s="76"/>
      <c r="BH1730" s="76"/>
      <c r="BI1730" s="76"/>
      <c r="BJ1730" s="76"/>
      <c r="BK1730" s="76"/>
      <c r="BL1730" s="76">
        <f>+BK1730*31500</f>
        <v>0</v>
      </c>
      <c r="BM1730" s="76"/>
      <c r="BN1730" s="76"/>
      <c r="BO1730" s="76"/>
      <c r="BP1730" s="76"/>
      <c r="BQ1730" s="76"/>
      <c r="BR1730" s="76"/>
      <c r="BS1730" s="76"/>
      <c r="BT1730" s="76"/>
      <c r="BU1730" s="76"/>
      <c r="BV1730" s="76"/>
      <c r="BW1730" s="76"/>
      <c r="BX1730" s="76"/>
      <c r="BY1730" s="76"/>
      <c r="BZ1730" s="76"/>
      <c r="CA1730" s="76"/>
      <c r="CB1730" s="76"/>
      <c r="CC1730" s="76"/>
      <c r="CD1730" s="76"/>
      <c r="CE1730" s="76"/>
      <c r="CF1730" s="76">
        <f>+CE1730*28000</f>
        <v>0</v>
      </c>
      <c r="CG1730" s="76"/>
      <c r="CH1730" s="76">
        <f>+CG1730*22500</f>
        <v>0</v>
      </c>
      <c r="CI1730" s="76"/>
      <c r="CJ1730" s="76">
        <f>+CI1730*26000</f>
        <v>0</v>
      </c>
      <c r="CK1730" s="76"/>
      <c r="CL1730" s="76"/>
      <c r="CM1730" s="76"/>
      <c r="CN1730" s="76">
        <f>+CM1730*22000</f>
        <v>0</v>
      </c>
      <c r="CO1730" s="76"/>
      <c r="CP1730" s="76">
        <f>+CO1730*46000</f>
        <v>0</v>
      </c>
      <c r="CQ1730" s="76"/>
      <c r="CR1730" s="76">
        <f>+CQ1730*49000</f>
        <v>0</v>
      </c>
      <c r="CS1730" s="76"/>
      <c r="CT1730" s="76"/>
      <c r="CU1730" s="56">
        <f>AN1730+AP1730+AR1730+AT1730+AV1730+AX1730+AZ1730+BB1730+BD1730+BF1730+BH1730+BJ1730+BL1730+BN1730+BP1730+BR1730+BT1730+BV1730+BX1730+BZ1730+CB1730+CD1730+CF1730+CH1730+CJ1730+CL1730+CN1730+CP1730+CR1730+CT1730</f>
        <v>0</v>
      </c>
      <c r="CV1730" s="76"/>
      <c r="CW1730" s="76">
        <f>+CV1730*1100</f>
        <v>0</v>
      </c>
      <c r="CX1730" s="76"/>
      <c r="CY1730" s="76">
        <f>+CX1730*106250</f>
        <v>0</v>
      </c>
      <c r="CZ1730" s="76"/>
      <c r="DA1730" s="76">
        <f>+CZ1730*34500</f>
        <v>0</v>
      </c>
      <c r="DB1730" s="76"/>
      <c r="DC1730" s="76">
        <f>+DB1730*25000</f>
        <v>0</v>
      </c>
      <c r="DD1730" s="219"/>
      <c r="DE1730" s="219"/>
      <c r="DF1730" s="166"/>
      <c r="DG1730" s="116"/>
      <c r="DH1730" s="117"/>
      <c r="DI1730" s="24"/>
      <c r="DJ1730" s="24"/>
      <c r="DK1730" s="24"/>
      <c r="DL1730" s="24"/>
      <c r="DM1730" s="24"/>
      <c r="DN1730" s="24"/>
      <c r="DO1730" s="24"/>
      <c r="DP1730" s="24"/>
      <c r="DQ1730" s="24"/>
      <c r="DR1730" s="24"/>
      <c r="DS1730" s="24"/>
      <c r="DT1730" s="24"/>
      <c r="DU1730" s="24"/>
    </row>
    <row r="1731" spans="1:125" s="8" customFormat="1" ht="72" x14ac:dyDescent="0.2">
      <c r="A1731" s="226">
        <v>41400</v>
      </c>
      <c r="B1731" s="225" t="s">
        <v>2848</v>
      </c>
      <c r="C1731" s="227" t="s">
        <v>1258</v>
      </c>
      <c r="D1731" s="227" t="s">
        <v>3088</v>
      </c>
      <c r="E1731" s="75" t="str">
        <f>VLOOKUP(B1731&amp;C1731,Divipola!$C$2:$F$1138,4,FALSE)</f>
        <v>73870</v>
      </c>
      <c r="F1731" s="87"/>
      <c r="G1731" s="87"/>
      <c r="H1731" s="87"/>
      <c r="I1731" s="87"/>
      <c r="J1731" s="87"/>
      <c r="K1731" s="87"/>
      <c r="L1731" s="87"/>
      <c r="M1731" s="87">
        <v>1</v>
      </c>
      <c r="N1731" s="87"/>
      <c r="O1731" s="87"/>
      <c r="P1731" s="87"/>
      <c r="Q1731" s="87"/>
      <c r="R1731" s="87"/>
      <c r="S1731" s="87"/>
      <c r="T1731" s="87"/>
      <c r="U1731" s="88"/>
      <c r="V1731" s="89"/>
      <c r="W1731" s="96">
        <v>0</v>
      </c>
      <c r="X1731" s="71">
        <f>CU1731</f>
        <v>0</v>
      </c>
      <c r="Y1731" s="71">
        <f>CY1731</f>
        <v>0</v>
      </c>
      <c r="Z1731" s="71">
        <f>DA1731+DC1731+DE1731</f>
        <v>0</v>
      </c>
      <c r="AA1731" s="71">
        <f>CW1731</f>
        <v>0</v>
      </c>
      <c r="AB1731" s="71"/>
      <c r="AC1731" s="71">
        <v>0</v>
      </c>
      <c r="AD1731" s="71">
        <f>W1731+X1731+Y1731+Z1731+AA1731+AB1731+AC1731</f>
        <v>0</v>
      </c>
      <c r="AE1731" s="72">
        <v>0</v>
      </c>
      <c r="AF1731" s="5"/>
      <c r="AG1731" s="6"/>
      <c r="AH1731" s="27" t="s">
        <v>3392</v>
      </c>
      <c r="AI1731" s="44" t="s">
        <v>3393</v>
      </c>
      <c r="AJ1731" s="26"/>
      <c r="AK1731" s="5"/>
      <c r="AL1731" s="82" t="s">
        <v>4533</v>
      </c>
      <c r="AM1731" s="76"/>
      <c r="AN1731" s="76"/>
      <c r="AO1731" s="76"/>
      <c r="AP1731" s="76"/>
      <c r="AQ1731" s="76"/>
      <c r="AR1731" s="76"/>
      <c r="AS1731" s="76"/>
      <c r="AT1731" s="76"/>
      <c r="AU1731" s="76"/>
      <c r="AV1731" s="76"/>
      <c r="AW1731" s="76"/>
      <c r="AX1731" s="76">
        <f>+AW1731*600000</f>
        <v>0</v>
      </c>
      <c r="AY1731" s="76"/>
      <c r="AZ1731" s="76">
        <f>+AY1731*70000</f>
        <v>0</v>
      </c>
      <c r="BA1731" s="76"/>
      <c r="BB1731" s="76"/>
      <c r="BC1731" s="76"/>
      <c r="BD1731" s="76">
        <f>+BC1731*30000</f>
        <v>0</v>
      </c>
      <c r="BE1731" s="76"/>
      <c r="BF1731" s="76"/>
      <c r="BG1731" s="76"/>
      <c r="BH1731" s="76"/>
      <c r="BI1731" s="76"/>
      <c r="BJ1731" s="76"/>
      <c r="BK1731" s="76"/>
      <c r="BL1731" s="76">
        <f>+BK1731*31500</f>
        <v>0</v>
      </c>
      <c r="BM1731" s="76"/>
      <c r="BN1731" s="76"/>
      <c r="BO1731" s="76"/>
      <c r="BP1731" s="76"/>
      <c r="BQ1731" s="76"/>
      <c r="BR1731" s="76"/>
      <c r="BS1731" s="76"/>
      <c r="BT1731" s="76"/>
      <c r="BU1731" s="76"/>
      <c r="BV1731" s="76"/>
      <c r="BW1731" s="76"/>
      <c r="BX1731" s="76"/>
      <c r="BY1731" s="76"/>
      <c r="BZ1731" s="76"/>
      <c r="CA1731" s="76"/>
      <c r="CB1731" s="76"/>
      <c r="CC1731" s="76"/>
      <c r="CD1731" s="76"/>
      <c r="CE1731" s="76"/>
      <c r="CF1731" s="76">
        <f>+CE1731*28000</f>
        <v>0</v>
      </c>
      <c r="CG1731" s="76"/>
      <c r="CH1731" s="76">
        <f>+CG1731*22500</f>
        <v>0</v>
      </c>
      <c r="CI1731" s="76"/>
      <c r="CJ1731" s="76">
        <f>+CI1731*26000</f>
        <v>0</v>
      </c>
      <c r="CK1731" s="76"/>
      <c r="CL1731" s="76"/>
      <c r="CM1731" s="76"/>
      <c r="CN1731" s="76">
        <f>+CM1731*22000</f>
        <v>0</v>
      </c>
      <c r="CO1731" s="76"/>
      <c r="CP1731" s="76">
        <f>+CO1731*46000</f>
        <v>0</v>
      </c>
      <c r="CQ1731" s="76"/>
      <c r="CR1731" s="76">
        <f>+CQ1731*49000</f>
        <v>0</v>
      </c>
      <c r="CS1731" s="76"/>
      <c r="CT1731" s="76"/>
      <c r="CU1731" s="56">
        <f>AN1731+AP1731+AR1731+AT1731+AV1731+AX1731+AZ1731+BB1731+BD1731+BF1731+BH1731+BJ1731+BL1731+BN1731+BP1731+BR1731+BT1731+BV1731+BX1731+BZ1731+CB1731+CD1731+CF1731+CH1731+CJ1731+CL1731+CN1731+CP1731+CR1731+CT1731</f>
        <v>0</v>
      </c>
      <c r="CV1731" s="76"/>
      <c r="CW1731" s="76">
        <f>+CV1731*1100</f>
        <v>0</v>
      </c>
      <c r="CX1731" s="76"/>
      <c r="CY1731" s="76">
        <f>+CX1731*106250</f>
        <v>0</v>
      </c>
      <c r="CZ1731" s="76"/>
      <c r="DA1731" s="76">
        <f>+CZ1731*34500</f>
        <v>0</v>
      </c>
      <c r="DB1731" s="76"/>
      <c r="DC1731" s="76">
        <f>+DB1731*25000</f>
        <v>0</v>
      </c>
      <c r="DD1731" s="219"/>
      <c r="DE1731" s="219"/>
      <c r="DF1731" s="166"/>
      <c r="DG1731" s="116"/>
      <c r="DH1731" s="117"/>
      <c r="DI1731" s="24"/>
      <c r="DJ1731" s="24"/>
      <c r="DK1731" s="24"/>
      <c r="DL1731" s="24"/>
      <c r="DM1731" s="24"/>
      <c r="DN1731" s="24"/>
      <c r="DO1731" s="24"/>
      <c r="DP1731" s="24"/>
      <c r="DQ1731" s="24"/>
      <c r="DR1731" s="24"/>
      <c r="DS1731" s="24"/>
      <c r="DT1731" s="24"/>
      <c r="DU1731" s="24"/>
    </row>
    <row r="1732" spans="1:125" s="8" customFormat="1" ht="84" x14ac:dyDescent="0.2">
      <c r="A1732" s="353">
        <v>41400</v>
      </c>
      <c r="B1732" s="225" t="s">
        <v>2848</v>
      </c>
      <c r="C1732" s="227" t="s">
        <v>1258</v>
      </c>
      <c r="D1732" s="227" t="s">
        <v>2882</v>
      </c>
      <c r="E1732" s="75" t="str">
        <f>VLOOKUP(B1732&amp;C1732,Divipola!$C$2:$F$1138,4,FALSE)</f>
        <v>73870</v>
      </c>
      <c r="F1732" s="87"/>
      <c r="G1732" s="87"/>
      <c r="H1732" s="87"/>
      <c r="I1732" s="87">
        <v>280</v>
      </c>
      <c r="J1732" s="87">
        <v>59</v>
      </c>
      <c r="K1732" s="87"/>
      <c r="L1732" s="87">
        <v>20</v>
      </c>
      <c r="M1732" s="87"/>
      <c r="N1732" s="87"/>
      <c r="O1732" s="87"/>
      <c r="P1732" s="87"/>
      <c r="Q1732" s="87"/>
      <c r="R1732" s="87"/>
      <c r="S1732" s="87">
        <v>2</v>
      </c>
      <c r="T1732" s="87"/>
      <c r="U1732" s="88"/>
      <c r="V1732" s="89"/>
      <c r="W1732" s="96">
        <v>0</v>
      </c>
      <c r="X1732" s="71">
        <f>CU1732</f>
        <v>0</v>
      </c>
      <c r="Y1732" s="71">
        <f>CY1732</f>
        <v>0</v>
      </c>
      <c r="Z1732" s="71">
        <f>DA1732+DC1732+DE1732</f>
        <v>0</v>
      </c>
      <c r="AA1732" s="71">
        <f>CW1732</f>
        <v>0</v>
      </c>
      <c r="AB1732" s="71"/>
      <c r="AC1732" s="71">
        <v>0</v>
      </c>
      <c r="AD1732" s="71">
        <f>W1732+X1732+Y1732+Z1732+AA1732+AB1732+AC1732</f>
        <v>0</v>
      </c>
      <c r="AE1732" s="72">
        <v>0</v>
      </c>
      <c r="AF1732" s="5"/>
      <c r="AG1732" s="6"/>
      <c r="AH1732" s="27" t="s">
        <v>3392</v>
      </c>
      <c r="AI1732" s="44" t="s">
        <v>3393</v>
      </c>
      <c r="AJ1732" s="26"/>
      <c r="AK1732" s="5"/>
      <c r="AL1732" s="82" t="s">
        <v>4534</v>
      </c>
      <c r="AM1732" s="76"/>
      <c r="AN1732" s="76"/>
      <c r="AO1732" s="76"/>
      <c r="AP1732" s="76"/>
      <c r="AQ1732" s="76"/>
      <c r="AR1732" s="76"/>
      <c r="AS1732" s="76"/>
      <c r="AT1732" s="76"/>
      <c r="AU1732" s="76"/>
      <c r="AV1732" s="76"/>
      <c r="AW1732" s="76"/>
      <c r="AX1732" s="76">
        <f>+AW1732*600000</f>
        <v>0</v>
      </c>
      <c r="AY1732" s="76"/>
      <c r="AZ1732" s="76">
        <f>+AY1732*70000</f>
        <v>0</v>
      </c>
      <c r="BA1732" s="76"/>
      <c r="BB1732" s="76"/>
      <c r="BC1732" s="76"/>
      <c r="BD1732" s="76">
        <f>+BC1732*30000</f>
        <v>0</v>
      </c>
      <c r="BE1732" s="76"/>
      <c r="BF1732" s="76"/>
      <c r="BG1732" s="76"/>
      <c r="BH1732" s="76"/>
      <c r="BI1732" s="76"/>
      <c r="BJ1732" s="76"/>
      <c r="BK1732" s="76"/>
      <c r="BL1732" s="76">
        <f>+BK1732*31500</f>
        <v>0</v>
      </c>
      <c r="BM1732" s="76"/>
      <c r="BN1732" s="76"/>
      <c r="BO1732" s="76"/>
      <c r="BP1732" s="76"/>
      <c r="BQ1732" s="76"/>
      <c r="BR1732" s="76"/>
      <c r="BS1732" s="76"/>
      <c r="BT1732" s="76"/>
      <c r="BU1732" s="76"/>
      <c r="BV1732" s="76"/>
      <c r="BW1732" s="76"/>
      <c r="BX1732" s="76"/>
      <c r="BY1732" s="76"/>
      <c r="BZ1732" s="76"/>
      <c r="CA1732" s="76"/>
      <c r="CB1732" s="76"/>
      <c r="CC1732" s="76"/>
      <c r="CD1732" s="76"/>
      <c r="CE1732" s="76"/>
      <c r="CF1732" s="76">
        <f>+CE1732*28000</f>
        <v>0</v>
      </c>
      <c r="CG1732" s="76"/>
      <c r="CH1732" s="76">
        <f>+CG1732*22500</f>
        <v>0</v>
      </c>
      <c r="CI1732" s="76"/>
      <c r="CJ1732" s="76">
        <f>+CI1732*26000</f>
        <v>0</v>
      </c>
      <c r="CK1732" s="76"/>
      <c r="CL1732" s="76"/>
      <c r="CM1732" s="76"/>
      <c r="CN1732" s="76">
        <f>+CM1732*22000</f>
        <v>0</v>
      </c>
      <c r="CO1732" s="76"/>
      <c r="CP1732" s="76">
        <f>+CO1732*46000</f>
        <v>0</v>
      </c>
      <c r="CQ1732" s="76"/>
      <c r="CR1732" s="76">
        <f>+CQ1732*49000</f>
        <v>0</v>
      </c>
      <c r="CS1732" s="76"/>
      <c r="CT1732" s="76"/>
      <c r="CU1732" s="56">
        <f>AN1732+AP1732+AR1732+AT1732+AV1732+AX1732+AZ1732+BB1732+BD1732+BF1732+BH1732+BJ1732+BL1732+BN1732+BP1732+BR1732+BT1732+BV1732+BX1732+BZ1732+CB1732+CD1732+CF1732+CH1732+CJ1732+CL1732+CN1732+CP1732+CR1732+CT1732</f>
        <v>0</v>
      </c>
      <c r="CV1732" s="76"/>
      <c r="CW1732" s="76">
        <f>+CV1732*1100</f>
        <v>0</v>
      </c>
      <c r="CX1732" s="76"/>
      <c r="CY1732" s="76">
        <f>+CX1732*106250</f>
        <v>0</v>
      </c>
      <c r="CZ1732" s="76"/>
      <c r="DA1732" s="76">
        <f>+CZ1732*34500</f>
        <v>0</v>
      </c>
      <c r="DB1732" s="76"/>
      <c r="DC1732" s="76">
        <f>+DB1732*25000</f>
        <v>0</v>
      </c>
      <c r="DD1732" s="219"/>
      <c r="DE1732" s="219"/>
      <c r="DF1732" s="166"/>
      <c r="DG1732" s="116"/>
      <c r="DH1732" s="117"/>
      <c r="DI1732" s="24"/>
      <c r="DJ1732" s="24"/>
      <c r="DK1732" s="24"/>
      <c r="DL1732" s="24"/>
      <c r="DM1732" s="24"/>
      <c r="DN1732" s="24"/>
      <c r="DO1732" s="24"/>
      <c r="DP1732" s="24"/>
      <c r="DQ1732" s="24"/>
      <c r="DR1732" s="24"/>
      <c r="DS1732" s="24"/>
      <c r="DT1732" s="24"/>
      <c r="DU1732" s="24"/>
    </row>
    <row r="1733" spans="1:125" s="8" customFormat="1" ht="60" x14ac:dyDescent="0.2">
      <c r="A1733" s="77">
        <v>41401</v>
      </c>
      <c r="B1733" s="225" t="s">
        <v>2894</v>
      </c>
      <c r="C1733" s="227" t="s">
        <v>2424</v>
      </c>
      <c r="D1733" s="227" t="s">
        <v>3051</v>
      </c>
      <c r="E1733" s="75" t="str">
        <f>VLOOKUP(B1733&amp;C1733,Divipola!$C$2:$F$1138,4,FALSE)</f>
        <v>05206</v>
      </c>
      <c r="F1733" s="87"/>
      <c r="G1733" s="87"/>
      <c r="H1733" s="87"/>
      <c r="I1733" s="87">
        <v>35</v>
      </c>
      <c r="J1733" s="87">
        <v>7</v>
      </c>
      <c r="K1733" s="87"/>
      <c r="L1733" s="87">
        <v>7</v>
      </c>
      <c r="M1733" s="87"/>
      <c r="N1733" s="87"/>
      <c r="O1733" s="87"/>
      <c r="P1733" s="87">
        <v>1</v>
      </c>
      <c r="Q1733" s="87"/>
      <c r="R1733" s="87"/>
      <c r="S1733" s="87">
        <v>1</v>
      </c>
      <c r="T1733" s="87">
        <v>1</v>
      </c>
      <c r="U1733" s="88"/>
      <c r="V1733" s="89"/>
      <c r="W1733" s="96">
        <v>0</v>
      </c>
      <c r="X1733" s="71">
        <f>CU1733</f>
        <v>0</v>
      </c>
      <c r="Y1733" s="71">
        <f>CY1733</f>
        <v>0</v>
      </c>
      <c r="Z1733" s="71">
        <f>DA1733+DC1733+DE1733</f>
        <v>0</v>
      </c>
      <c r="AA1733" s="71">
        <f>CW1733</f>
        <v>0</v>
      </c>
      <c r="AB1733" s="71"/>
      <c r="AC1733" s="71">
        <v>0</v>
      </c>
      <c r="AD1733" s="71">
        <f>W1733+X1733+Y1733+Z1733+AA1733+AB1733+AC1733</f>
        <v>0</v>
      </c>
      <c r="AE1733" s="72">
        <v>0</v>
      </c>
      <c r="AF1733" s="5"/>
      <c r="AG1733" s="6"/>
      <c r="AH1733" s="27" t="s">
        <v>3392</v>
      </c>
      <c r="AI1733" s="44" t="s">
        <v>3393</v>
      </c>
      <c r="AJ1733" s="26"/>
      <c r="AK1733" s="5"/>
      <c r="AL1733" s="82" t="s">
        <v>4555</v>
      </c>
      <c r="AM1733" s="76"/>
      <c r="AN1733" s="76"/>
      <c r="AO1733" s="76"/>
      <c r="AP1733" s="76"/>
      <c r="AQ1733" s="76"/>
      <c r="AR1733" s="76"/>
      <c r="AS1733" s="76"/>
      <c r="AT1733" s="76"/>
      <c r="AU1733" s="76"/>
      <c r="AV1733" s="76"/>
      <c r="AW1733" s="76"/>
      <c r="AX1733" s="76">
        <f>+AW1733*600000</f>
        <v>0</v>
      </c>
      <c r="AY1733" s="76"/>
      <c r="AZ1733" s="76">
        <f>+AY1733*70000</f>
        <v>0</v>
      </c>
      <c r="BA1733" s="76"/>
      <c r="BB1733" s="76"/>
      <c r="BC1733" s="76"/>
      <c r="BD1733" s="76">
        <f>+BC1733*30000</f>
        <v>0</v>
      </c>
      <c r="BE1733" s="76"/>
      <c r="BF1733" s="76"/>
      <c r="BG1733" s="76"/>
      <c r="BH1733" s="76"/>
      <c r="BI1733" s="76"/>
      <c r="BJ1733" s="76"/>
      <c r="BK1733" s="76"/>
      <c r="BL1733" s="76">
        <f>+BK1733*31500</f>
        <v>0</v>
      </c>
      <c r="BM1733" s="76"/>
      <c r="BN1733" s="76"/>
      <c r="BO1733" s="76"/>
      <c r="BP1733" s="76"/>
      <c r="BQ1733" s="76"/>
      <c r="BR1733" s="76"/>
      <c r="BS1733" s="76"/>
      <c r="BT1733" s="76"/>
      <c r="BU1733" s="76"/>
      <c r="BV1733" s="76"/>
      <c r="BW1733" s="76"/>
      <c r="BX1733" s="76"/>
      <c r="BY1733" s="76"/>
      <c r="BZ1733" s="76"/>
      <c r="CA1733" s="76"/>
      <c r="CB1733" s="76"/>
      <c r="CC1733" s="76"/>
      <c r="CD1733" s="76"/>
      <c r="CE1733" s="76"/>
      <c r="CF1733" s="76">
        <f>+CE1733*28000</f>
        <v>0</v>
      </c>
      <c r="CG1733" s="76"/>
      <c r="CH1733" s="76">
        <f>+CG1733*22500</f>
        <v>0</v>
      </c>
      <c r="CI1733" s="76"/>
      <c r="CJ1733" s="76">
        <f>+CI1733*26000</f>
        <v>0</v>
      </c>
      <c r="CK1733" s="76"/>
      <c r="CL1733" s="76"/>
      <c r="CM1733" s="76"/>
      <c r="CN1733" s="76">
        <f>+CM1733*22000</f>
        <v>0</v>
      </c>
      <c r="CO1733" s="76"/>
      <c r="CP1733" s="76">
        <f>+CO1733*46000</f>
        <v>0</v>
      </c>
      <c r="CQ1733" s="76"/>
      <c r="CR1733" s="76">
        <f>+CQ1733*49000</f>
        <v>0</v>
      </c>
      <c r="CS1733" s="76"/>
      <c r="CT1733" s="76"/>
      <c r="CU1733" s="56">
        <f>AN1733+AP1733+AR1733+AT1733+AV1733+AX1733+AZ1733+BB1733+BD1733+BF1733+BH1733+BJ1733+BL1733+BN1733+BP1733+BR1733+BT1733+BV1733+BX1733+BZ1733+CB1733+CD1733+CF1733+CH1733+CJ1733+CL1733+CN1733+CP1733+CR1733+CT1733</f>
        <v>0</v>
      </c>
      <c r="CV1733" s="76"/>
      <c r="CW1733" s="76">
        <f>+CV1733*1100</f>
        <v>0</v>
      </c>
      <c r="CX1733" s="76"/>
      <c r="CY1733" s="76">
        <f>+CX1733*106250</f>
        <v>0</v>
      </c>
      <c r="CZ1733" s="76"/>
      <c r="DA1733" s="76">
        <f>+CZ1733*34500</f>
        <v>0</v>
      </c>
      <c r="DB1733" s="76"/>
      <c r="DC1733" s="76">
        <f>+DB1733*25000</f>
        <v>0</v>
      </c>
      <c r="DD1733" s="219"/>
      <c r="DE1733" s="219"/>
      <c r="DF1733" s="166"/>
      <c r="DG1733" s="116"/>
      <c r="DH1733" s="117"/>
      <c r="DI1733" s="24"/>
      <c r="DJ1733" s="24"/>
      <c r="DK1733" s="24"/>
      <c r="DL1733" s="24"/>
      <c r="DM1733" s="24"/>
      <c r="DN1733" s="24"/>
      <c r="DO1733" s="24"/>
      <c r="DP1733" s="24"/>
      <c r="DQ1733" s="24"/>
      <c r="DR1733" s="24"/>
      <c r="DS1733" s="24"/>
      <c r="DT1733" s="24"/>
      <c r="DU1733" s="24"/>
    </row>
    <row r="1734" spans="1:125" s="8" customFormat="1" ht="144" x14ac:dyDescent="0.2">
      <c r="A1734" s="77">
        <v>41401</v>
      </c>
      <c r="B1734" s="352" t="s">
        <v>2036</v>
      </c>
      <c r="C1734" s="354" t="s">
        <v>1374</v>
      </c>
      <c r="D1734" s="354" t="s">
        <v>3051</v>
      </c>
      <c r="E1734" s="75" t="str">
        <f>VLOOKUP(B1734&amp;C1734,Divipola!$C$2:$F$1138,4,FALSE)</f>
        <v>81065</v>
      </c>
      <c r="F1734" s="87"/>
      <c r="G1734" s="87"/>
      <c r="H1734" s="87"/>
      <c r="I1734" s="87">
        <v>932</v>
      </c>
      <c r="J1734" s="87">
        <v>230</v>
      </c>
      <c r="K1734" s="87"/>
      <c r="L1734" s="87">
        <v>63</v>
      </c>
      <c r="M1734" s="87">
        <v>4</v>
      </c>
      <c r="N1734" s="87"/>
      <c r="O1734" s="87">
        <v>2</v>
      </c>
      <c r="P1734" s="87"/>
      <c r="Q1734" s="87"/>
      <c r="R1734" s="87"/>
      <c r="S1734" s="87"/>
      <c r="T1734" s="87"/>
      <c r="U1734" s="88"/>
      <c r="V1734" s="89"/>
      <c r="W1734" s="96">
        <v>0</v>
      </c>
      <c r="X1734" s="71">
        <f>CU1734</f>
        <v>0</v>
      </c>
      <c r="Y1734" s="71">
        <f>CY1734</f>
        <v>0</v>
      </c>
      <c r="Z1734" s="71">
        <f>DA1734+DC1734+DE1734</f>
        <v>0</v>
      </c>
      <c r="AA1734" s="71">
        <f>CW1734</f>
        <v>0</v>
      </c>
      <c r="AB1734" s="71"/>
      <c r="AC1734" s="71">
        <v>0</v>
      </c>
      <c r="AD1734" s="71">
        <f>W1734+X1734+Y1734+Z1734+AA1734+AB1734+AC1734</f>
        <v>0</v>
      </c>
      <c r="AE1734" s="72">
        <v>0</v>
      </c>
      <c r="AF1734" s="5"/>
      <c r="AG1734" s="6"/>
      <c r="AH1734" s="27" t="s">
        <v>3390</v>
      </c>
      <c r="AI1734" s="44" t="s">
        <v>3393</v>
      </c>
      <c r="AJ1734" s="26"/>
      <c r="AK1734" s="5" t="s">
        <v>4242</v>
      </c>
      <c r="AL1734" s="82" t="s">
        <v>4891</v>
      </c>
      <c r="AM1734" s="76"/>
      <c r="AN1734" s="76"/>
      <c r="AO1734" s="76"/>
      <c r="AP1734" s="76"/>
      <c r="AQ1734" s="76"/>
      <c r="AR1734" s="76"/>
      <c r="AS1734" s="76"/>
      <c r="AT1734" s="76"/>
      <c r="AU1734" s="76"/>
      <c r="AV1734" s="76"/>
      <c r="AW1734" s="76"/>
      <c r="AX1734" s="76">
        <f>+AW1734*600000</f>
        <v>0</v>
      </c>
      <c r="AY1734" s="76"/>
      <c r="AZ1734" s="76">
        <f>+AY1734*70000</f>
        <v>0</v>
      </c>
      <c r="BA1734" s="76"/>
      <c r="BB1734" s="76"/>
      <c r="BC1734" s="76"/>
      <c r="BD1734" s="76">
        <f>+BC1734*30000</f>
        <v>0</v>
      </c>
      <c r="BE1734" s="76"/>
      <c r="BF1734" s="76"/>
      <c r="BG1734" s="76"/>
      <c r="BH1734" s="76"/>
      <c r="BI1734" s="76"/>
      <c r="BJ1734" s="76"/>
      <c r="BK1734" s="76"/>
      <c r="BL1734" s="76">
        <f>+BK1734*31500</f>
        <v>0</v>
      </c>
      <c r="BM1734" s="76"/>
      <c r="BN1734" s="76"/>
      <c r="BO1734" s="76"/>
      <c r="BP1734" s="76"/>
      <c r="BQ1734" s="76"/>
      <c r="BR1734" s="76"/>
      <c r="BS1734" s="76"/>
      <c r="BT1734" s="76"/>
      <c r="BU1734" s="76"/>
      <c r="BV1734" s="76"/>
      <c r="BW1734" s="76"/>
      <c r="BX1734" s="76"/>
      <c r="BY1734" s="76"/>
      <c r="BZ1734" s="76"/>
      <c r="CA1734" s="76"/>
      <c r="CB1734" s="76"/>
      <c r="CC1734" s="76"/>
      <c r="CD1734" s="76"/>
      <c r="CE1734" s="76"/>
      <c r="CF1734" s="76">
        <f>+CE1734*28000</f>
        <v>0</v>
      </c>
      <c r="CG1734" s="76"/>
      <c r="CH1734" s="76">
        <f>+CG1734*22500</f>
        <v>0</v>
      </c>
      <c r="CI1734" s="76"/>
      <c r="CJ1734" s="76">
        <f>+CI1734*26000</f>
        <v>0</v>
      </c>
      <c r="CK1734" s="76"/>
      <c r="CL1734" s="76"/>
      <c r="CM1734" s="76"/>
      <c r="CN1734" s="76">
        <f>+CM1734*22000</f>
        <v>0</v>
      </c>
      <c r="CO1734" s="76"/>
      <c r="CP1734" s="76">
        <f>+CO1734*46000</f>
        <v>0</v>
      </c>
      <c r="CQ1734" s="76"/>
      <c r="CR1734" s="76">
        <f>+CQ1734*49000</f>
        <v>0</v>
      </c>
      <c r="CS1734" s="76"/>
      <c r="CT1734" s="76"/>
      <c r="CU1734" s="56">
        <f>AN1734+AP1734+AR1734+AT1734+AV1734+AX1734+AZ1734+BB1734+BD1734+BF1734+BH1734+BJ1734+BL1734+BN1734+BP1734+BR1734+BT1734+BV1734+BX1734+BZ1734+CB1734+CD1734+CF1734+CH1734+CJ1734+CL1734+CN1734+CP1734+CR1734+CT1734</f>
        <v>0</v>
      </c>
      <c r="CV1734" s="76"/>
      <c r="CW1734" s="76">
        <f>+CV1734*1100</f>
        <v>0</v>
      </c>
      <c r="CX1734" s="76"/>
      <c r="CY1734" s="76">
        <f>+CX1734*106250</f>
        <v>0</v>
      </c>
      <c r="CZ1734" s="76"/>
      <c r="DA1734" s="76">
        <f>+CZ1734*34500</f>
        <v>0</v>
      </c>
      <c r="DB1734" s="76"/>
      <c r="DC1734" s="76">
        <f>+DB1734*25000</f>
        <v>0</v>
      </c>
      <c r="DD1734" s="219"/>
      <c r="DE1734" s="219"/>
      <c r="DF1734" s="166"/>
      <c r="DG1734" s="116"/>
      <c r="DH1734" s="117"/>
      <c r="DI1734" s="24"/>
      <c r="DJ1734" s="24"/>
      <c r="DK1734" s="24"/>
      <c r="DL1734" s="24"/>
      <c r="DM1734" s="24"/>
      <c r="DN1734" s="24"/>
      <c r="DO1734" s="24"/>
      <c r="DP1734" s="24"/>
      <c r="DQ1734" s="24"/>
      <c r="DR1734" s="24"/>
      <c r="DS1734" s="24"/>
      <c r="DT1734" s="24"/>
      <c r="DU1734" s="24"/>
    </row>
    <row r="1735" spans="1:125" s="8" customFormat="1" ht="36" x14ac:dyDescent="0.2">
      <c r="A1735" s="226">
        <v>41401</v>
      </c>
      <c r="B1735" s="225" t="s">
        <v>2700</v>
      </c>
      <c r="C1735" s="227" t="s">
        <v>2163</v>
      </c>
      <c r="D1735" s="227" t="s">
        <v>3017</v>
      </c>
      <c r="E1735" s="75" t="str">
        <f>VLOOKUP(B1735&amp;C1735,Divipola!$C$2:$F$1138,4,FALSE)</f>
        <v>15106</v>
      </c>
      <c r="F1735" s="87"/>
      <c r="G1735" s="87"/>
      <c r="H1735" s="87"/>
      <c r="I1735" s="87"/>
      <c r="J1735" s="87"/>
      <c r="K1735" s="87"/>
      <c r="L1735" s="87"/>
      <c r="M1735" s="87"/>
      <c r="N1735" s="87">
        <v>1</v>
      </c>
      <c r="O1735" s="87"/>
      <c r="P1735" s="87"/>
      <c r="Q1735" s="87"/>
      <c r="R1735" s="87"/>
      <c r="S1735" s="87"/>
      <c r="T1735" s="87"/>
      <c r="U1735" s="88"/>
      <c r="V1735" s="89"/>
      <c r="W1735" s="96">
        <v>0</v>
      </c>
      <c r="X1735" s="71">
        <f>CU1735</f>
        <v>0</v>
      </c>
      <c r="Y1735" s="71">
        <f>CY1735</f>
        <v>0</v>
      </c>
      <c r="Z1735" s="71">
        <f>DA1735+DC1735+DE1735</f>
        <v>0</v>
      </c>
      <c r="AA1735" s="71">
        <f>CW1735</f>
        <v>0</v>
      </c>
      <c r="AB1735" s="71"/>
      <c r="AC1735" s="71">
        <v>0</v>
      </c>
      <c r="AD1735" s="71">
        <f>W1735+X1735+Y1735+Z1735+AA1735+AB1735+AC1735</f>
        <v>0</v>
      </c>
      <c r="AE1735" s="72">
        <v>0</v>
      </c>
      <c r="AF1735" s="5"/>
      <c r="AG1735" s="6"/>
      <c r="AH1735" s="27" t="s">
        <v>3392</v>
      </c>
      <c r="AI1735" s="44" t="s">
        <v>3393</v>
      </c>
      <c r="AJ1735" s="26"/>
      <c r="AK1735" s="5"/>
      <c r="AL1735" s="82" t="s">
        <v>4548</v>
      </c>
      <c r="AM1735" s="76"/>
      <c r="AN1735" s="76"/>
      <c r="AO1735" s="76"/>
      <c r="AP1735" s="76"/>
      <c r="AQ1735" s="76"/>
      <c r="AR1735" s="76"/>
      <c r="AS1735" s="76"/>
      <c r="AT1735" s="76"/>
      <c r="AU1735" s="76"/>
      <c r="AV1735" s="76"/>
      <c r="AW1735" s="76"/>
      <c r="AX1735" s="76">
        <f>+AW1735*600000</f>
        <v>0</v>
      </c>
      <c r="AY1735" s="76"/>
      <c r="AZ1735" s="76">
        <f>+AY1735*70000</f>
        <v>0</v>
      </c>
      <c r="BA1735" s="76"/>
      <c r="BB1735" s="76"/>
      <c r="BC1735" s="76"/>
      <c r="BD1735" s="76">
        <f>+BC1735*30000</f>
        <v>0</v>
      </c>
      <c r="BE1735" s="76"/>
      <c r="BF1735" s="76"/>
      <c r="BG1735" s="76"/>
      <c r="BH1735" s="76"/>
      <c r="BI1735" s="76"/>
      <c r="BJ1735" s="76"/>
      <c r="BK1735" s="76"/>
      <c r="BL1735" s="76">
        <f>+BK1735*31500</f>
        <v>0</v>
      </c>
      <c r="BM1735" s="76"/>
      <c r="BN1735" s="76"/>
      <c r="BO1735" s="76"/>
      <c r="BP1735" s="76"/>
      <c r="BQ1735" s="76"/>
      <c r="BR1735" s="76"/>
      <c r="BS1735" s="76"/>
      <c r="BT1735" s="76"/>
      <c r="BU1735" s="76"/>
      <c r="BV1735" s="76"/>
      <c r="BW1735" s="76"/>
      <c r="BX1735" s="76"/>
      <c r="BY1735" s="76"/>
      <c r="BZ1735" s="76"/>
      <c r="CA1735" s="76"/>
      <c r="CB1735" s="76"/>
      <c r="CC1735" s="76"/>
      <c r="CD1735" s="76"/>
      <c r="CE1735" s="76"/>
      <c r="CF1735" s="76">
        <f>+CE1735*28000</f>
        <v>0</v>
      </c>
      <c r="CG1735" s="76"/>
      <c r="CH1735" s="76">
        <f>+CG1735*22500</f>
        <v>0</v>
      </c>
      <c r="CI1735" s="76"/>
      <c r="CJ1735" s="76">
        <f>+CI1735*26000</f>
        <v>0</v>
      </c>
      <c r="CK1735" s="76"/>
      <c r="CL1735" s="76"/>
      <c r="CM1735" s="76"/>
      <c r="CN1735" s="76">
        <f>+CM1735*22000</f>
        <v>0</v>
      </c>
      <c r="CO1735" s="76"/>
      <c r="CP1735" s="76">
        <f>+CO1735*46000</f>
        <v>0</v>
      </c>
      <c r="CQ1735" s="76"/>
      <c r="CR1735" s="76">
        <f>+CQ1735*49000</f>
        <v>0</v>
      </c>
      <c r="CS1735" s="76"/>
      <c r="CT1735" s="76"/>
      <c r="CU1735" s="56">
        <f>AN1735+AP1735+AR1735+AT1735+AV1735+AX1735+AZ1735+BB1735+BD1735+BF1735+BH1735+BJ1735+BL1735+BN1735+BP1735+BR1735+BT1735+BV1735+BX1735+BZ1735+CB1735+CD1735+CF1735+CH1735+CJ1735+CL1735+CN1735+CP1735+CR1735+CT1735</f>
        <v>0</v>
      </c>
      <c r="CV1735" s="76"/>
      <c r="CW1735" s="76">
        <f>+CV1735*1100</f>
        <v>0</v>
      </c>
      <c r="CX1735" s="76"/>
      <c r="CY1735" s="76">
        <f>+CX1735*106250</f>
        <v>0</v>
      </c>
      <c r="CZ1735" s="76"/>
      <c r="DA1735" s="76">
        <f>+CZ1735*34500</f>
        <v>0</v>
      </c>
      <c r="DB1735" s="76"/>
      <c r="DC1735" s="76">
        <f>+DB1735*25000</f>
        <v>0</v>
      </c>
      <c r="DD1735" s="219"/>
      <c r="DE1735" s="219"/>
      <c r="DF1735" s="166"/>
      <c r="DG1735" s="116"/>
      <c r="DH1735" s="117"/>
      <c r="DI1735" s="24"/>
      <c r="DJ1735" s="24"/>
      <c r="DK1735" s="24"/>
      <c r="DL1735" s="24"/>
      <c r="DM1735" s="24"/>
      <c r="DN1735" s="24"/>
      <c r="DO1735" s="24"/>
      <c r="DP1735" s="24"/>
      <c r="DQ1735" s="24"/>
      <c r="DR1735" s="24"/>
      <c r="DS1735" s="24"/>
      <c r="DT1735" s="24"/>
      <c r="DU1735" s="24"/>
    </row>
    <row r="1736" spans="1:125" s="8" customFormat="1" ht="36" x14ac:dyDescent="0.2">
      <c r="A1736" s="226">
        <v>41401</v>
      </c>
      <c r="B1736" s="225" t="s">
        <v>2854</v>
      </c>
      <c r="C1736" s="227" t="s">
        <v>2770</v>
      </c>
      <c r="D1736" s="227" t="s">
        <v>3051</v>
      </c>
      <c r="E1736" s="75" t="str">
        <f>VLOOKUP(B1736&amp;C1736,Divipola!$C$2:$F$1138,4,FALSE)</f>
        <v>19517</v>
      </c>
      <c r="F1736" s="100"/>
      <c r="G1736" s="100"/>
      <c r="H1736" s="100"/>
      <c r="I1736" s="100"/>
      <c r="J1736" s="100"/>
      <c r="K1736" s="100"/>
      <c r="L1736" s="100"/>
      <c r="M1736" s="100"/>
      <c r="N1736" s="100"/>
      <c r="O1736" s="100"/>
      <c r="P1736" s="100"/>
      <c r="Q1736" s="100"/>
      <c r="R1736" s="100"/>
      <c r="S1736" s="100"/>
      <c r="T1736" s="100"/>
      <c r="U1736" s="136"/>
      <c r="V1736" s="89"/>
      <c r="W1736" s="96">
        <v>0</v>
      </c>
      <c r="X1736" s="71">
        <f>CU1736</f>
        <v>0</v>
      </c>
      <c r="Y1736" s="71">
        <f>CY1736</f>
        <v>0</v>
      </c>
      <c r="Z1736" s="71">
        <f>DA1736+DC1736+DE1736</f>
        <v>0</v>
      </c>
      <c r="AA1736" s="71">
        <f>CW1736</f>
        <v>0</v>
      </c>
      <c r="AB1736" s="71"/>
      <c r="AC1736" s="71">
        <v>0</v>
      </c>
      <c r="AD1736" s="71">
        <f>W1736+X1736+Y1736+Z1736+AA1736+AB1736+AC1736</f>
        <v>0</v>
      </c>
      <c r="AE1736" s="72">
        <v>0</v>
      </c>
      <c r="AF1736" s="5"/>
      <c r="AG1736" s="6"/>
      <c r="AH1736" s="27" t="s">
        <v>3392</v>
      </c>
      <c r="AI1736" s="44" t="s">
        <v>3393</v>
      </c>
      <c r="AJ1736" s="26"/>
      <c r="AK1736" s="5"/>
      <c r="AL1736" s="82" t="s">
        <v>4552</v>
      </c>
      <c r="AM1736" s="76"/>
      <c r="AN1736" s="76"/>
      <c r="AO1736" s="76"/>
      <c r="AP1736" s="76"/>
      <c r="AQ1736" s="76"/>
      <c r="AR1736" s="76"/>
      <c r="AS1736" s="76"/>
      <c r="AT1736" s="76"/>
      <c r="AU1736" s="76"/>
      <c r="AV1736" s="76"/>
      <c r="AW1736" s="76"/>
      <c r="AX1736" s="76">
        <f>+AW1736*600000</f>
        <v>0</v>
      </c>
      <c r="AY1736" s="76"/>
      <c r="AZ1736" s="76">
        <f>+AY1736*70000</f>
        <v>0</v>
      </c>
      <c r="BA1736" s="76"/>
      <c r="BB1736" s="76"/>
      <c r="BC1736" s="76"/>
      <c r="BD1736" s="76">
        <f>+BC1736*30000</f>
        <v>0</v>
      </c>
      <c r="BE1736" s="76"/>
      <c r="BF1736" s="76"/>
      <c r="BG1736" s="76"/>
      <c r="BH1736" s="76"/>
      <c r="BI1736" s="76"/>
      <c r="BJ1736" s="76"/>
      <c r="BK1736" s="76"/>
      <c r="BL1736" s="76">
        <f>+BK1736*31500</f>
        <v>0</v>
      </c>
      <c r="BM1736" s="76"/>
      <c r="BN1736" s="76"/>
      <c r="BO1736" s="76"/>
      <c r="BP1736" s="76"/>
      <c r="BQ1736" s="76"/>
      <c r="BR1736" s="76"/>
      <c r="BS1736" s="76"/>
      <c r="BT1736" s="76"/>
      <c r="BU1736" s="76"/>
      <c r="BV1736" s="76"/>
      <c r="BW1736" s="76"/>
      <c r="BX1736" s="76"/>
      <c r="BY1736" s="76"/>
      <c r="BZ1736" s="76"/>
      <c r="CA1736" s="76"/>
      <c r="CB1736" s="76"/>
      <c r="CC1736" s="76"/>
      <c r="CD1736" s="76"/>
      <c r="CE1736" s="76"/>
      <c r="CF1736" s="76">
        <f>+CE1736*28000</f>
        <v>0</v>
      </c>
      <c r="CG1736" s="76"/>
      <c r="CH1736" s="76">
        <f>+CG1736*22500</f>
        <v>0</v>
      </c>
      <c r="CI1736" s="76"/>
      <c r="CJ1736" s="76">
        <f>+CI1736*26000</f>
        <v>0</v>
      </c>
      <c r="CK1736" s="76"/>
      <c r="CL1736" s="76"/>
      <c r="CM1736" s="76"/>
      <c r="CN1736" s="76">
        <f>+CM1736*22000</f>
        <v>0</v>
      </c>
      <c r="CO1736" s="76"/>
      <c r="CP1736" s="76">
        <f>+CO1736*46000</f>
        <v>0</v>
      </c>
      <c r="CQ1736" s="76"/>
      <c r="CR1736" s="76">
        <f>+CQ1736*49000</f>
        <v>0</v>
      </c>
      <c r="CS1736" s="76"/>
      <c r="CT1736" s="76"/>
      <c r="CU1736" s="56">
        <f>AN1736+AP1736+AR1736+AT1736+AV1736+AX1736+AZ1736+BB1736+BD1736+BF1736+BH1736+BJ1736+BL1736+BN1736+BP1736+BR1736+BT1736+BV1736+BX1736+BZ1736+CB1736+CD1736+CF1736+CH1736+CJ1736+CL1736+CN1736+CP1736+CR1736+CT1736</f>
        <v>0</v>
      </c>
      <c r="CV1736" s="76"/>
      <c r="CW1736" s="76">
        <f>+CV1736*1100</f>
        <v>0</v>
      </c>
      <c r="CX1736" s="76"/>
      <c r="CY1736" s="76">
        <f>+CX1736*106250</f>
        <v>0</v>
      </c>
      <c r="CZ1736" s="76"/>
      <c r="DA1736" s="76">
        <f>+CZ1736*34500</f>
        <v>0</v>
      </c>
      <c r="DB1736" s="76"/>
      <c r="DC1736" s="76">
        <f>+DB1736*25000</f>
        <v>0</v>
      </c>
      <c r="DD1736" s="219"/>
      <c r="DE1736" s="219"/>
      <c r="DF1736" s="166"/>
      <c r="DG1736" s="116"/>
      <c r="DH1736" s="117"/>
      <c r="DI1736" s="24"/>
      <c r="DJ1736" s="24"/>
      <c r="DK1736" s="24"/>
      <c r="DL1736" s="24"/>
      <c r="DM1736" s="24"/>
      <c r="DN1736" s="24"/>
      <c r="DO1736" s="24"/>
      <c r="DP1736" s="24"/>
      <c r="DQ1736" s="24"/>
      <c r="DR1736" s="24"/>
      <c r="DS1736" s="24"/>
      <c r="DT1736" s="24"/>
      <c r="DU1736" s="24"/>
    </row>
    <row r="1737" spans="1:125" s="8" customFormat="1" ht="48" x14ac:dyDescent="0.2">
      <c r="A1737" s="353">
        <v>41401</v>
      </c>
      <c r="B1737" s="352" t="s">
        <v>2852</v>
      </c>
      <c r="C1737" s="354" t="s">
        <v>2837</v>
      </c>
      <c r="D1737" s="354" t="s">
        <v>2859</v>
      </c>
      <c r="E1737" s="75" t="str">
        <f>VLOOKUP(B1737&amp;C1737,Divipola!$C$2:$F$1138,4,FALSE)</f>
        <v>27361</v>
      </c>
      <c r="F1737" s="87"/>
      <c r="G1737" s="87"/>
      <c r="H1737" s="87"/>
      <c r="I1737" s="87">
        <v>5</v>
      </c>
      <c r="J1737" s="87">
        <v>1</v>
      </c>
      <c r="K1737" s="87">
        <v>1</v>
      </c>
      <c r="L1737" s="87"/>
      <c r="M1737" s="87"/>
      <c r="N1737" s="87"/>
      <c r="O1737" s="87"/>
      <c r="P1737" s="87"/>
      <c r="Q1737" s="87"/>
      <c r="R1737" s="87"/>
      <c r="S1737" s="87"/>
      <c r="T1737" s="87"/>
      <c r="U1737" s="88"/>
      <c r="V1737" s="89"/>
      <c r="W1737" s="96">
        <v>0</v>
      </c>
      <c r="X1737" s="71">
        <f>CU1737</f>
        <v>0</v>
      </c>
      <c r="Y1737" s="71">
        <f>CY1737</f>
        <v>0</v>
      </c>
      <c r="Z1737" s="71">
        <f>DA1737+DC1737+DE1737</f>
        <v>0</v>
      </c>
      <c r="AA1737" s="71">
        <f>CW1737</f>
        <v>0</v>
      </c>
      <c r="AB1737" s="71"/>
      <c r="AC1737" s="71">
        <v>0</v>
      </c>
      <c r="AD1737" s="71">
        <f>W1737+X1737+Y1737+Z1737+AA1737+AB1737+AC1737</f>
        <v>0</v>
      </c>
      <c r="AE1737" s="72">
        <v>0</v>
      </c>
      <c r="AF1737" s="5"/>
      <c r="AG1737" s="6"/>
      <c r="AH1737" s="27" t="s">
        <v>3392</v>
      </c>
      <c r="AI1737" s="44" t="s">
        <v>3393</v>
      </c>
      <c r="AJ1737" s="26"/>
      <c r="AK1737" s="5"/>
      <c r="AL1737" s="82" t="s">
        <v>4544</v>
      </c>
      <c r="AM1737" s="76"/>
      <c r="AN1737" s="76"/>
      <c r="AO1737" s="76"/>
      <c r="AP1737" s="76"/>
      <c r="AQ1737" s="76"/>
      <c r="AR1737" s="76"/>
      <c r="AS1737" s="76"/>
      <c r="AT1737" s="76"/>
      <c r="AU1737" s="76"/>
      <c r="AV1737" s="76"/>
      <c r="AW1737" s="76"/>
      <c r="AX1737" s="76">
        <f>+AW1737*600000</f>
        <v>0</v>
      </c>
      <c r="AY1737" s="76"/>
      <c r="AZ1737" s="76">
        <f>+AY1737*70000</f>
        <v>0</v>
      </c>
      <c r="BA1737" s="76"/>
      <c r="BB1737" s="76"/>
      <c r="BC1737" s="76"/>
      <c r="BD1737" s="76">
        <f>+BC1737*30000</f>
        <v>0</v>
      </c>
      <c r="BE1737" s="76"/>
      <c r="BF1737" s="76"/>
      <c r="BG1737" s="76"/>
      <c r="BH1737" s="76"/>
      <c r="BI1737" s="76"/>
      <c r="BJ1737" s="76"/>
      <c r="BK1737" s="76"/>
      <c r="BL1737" s="76">
        <f>+BK1737*31500</f>
        <v>0</v>
      </c>
      <c r="BM1737" s="76"/>
      <c r="BN1737" s="76"/>
      <c r="BO1737" s="76"/>
      <c r="BP1737" s="76"/>
      <c r="BQ1737" s="76"/>
      <c r="BR1737" s="76"/>
      <c r="BS1737" s="76"/>
      <c r="BT1737" s="76"/>
      <c r="BU1737" s="76"/>
      <c r="BV1737" s="76"/>
      <c r="BW1737" s="76"/>
      <c r="BX1737" s="76"/>
      <c r="BY1737" s="76"/>
      <c r="BZ1737" s="76"/>
      <c r="CA1737" s="76"/>
      <c r="CB1737" s="76"/>
      <c r="CC1737" s="76"/>
      <c r="CD1737" s="76"/>
      <c r="CE1737" s="76"/>
      <c r="CF1737" s="76">
        <f>+CE1737*28000</f>
        <v>0</v>
      </c>
      <c r="CG1737" s="76"/>
      <c r="CH1737" s="76">
        <f>+CG1737*22500</f>
        <v>0</v>
      </c>
      <c r="CI1737" s="76"/>
      <c r="CJ1737" s="76">
        <f>+CI1737*26000</f>
        <v>0</v>
      </c>
      <c r="CK1737" s="76"/>
      <c r="CL1737" s="76"/>
      <c r="CM1737" s="76"/>
      <c r="CN1737" s="76">
        <f>+CM1737*22000</f>
        <v>0</v>
      </c>
      <c r="CO1737" s="76"/>
      <c r="CP1737" s="76">
        <f>+CO1737*46000</f>
        <v>0</v>
      </c>
      <c r="CQ1737" s="76"/>
      <c r="CR1737" s="76">
        <f>+CQ1737*49000</f>
        <v>0</v>
      </c>
      <c r="CS1737" s="76"/>
      <c r="CT1737" s="76"/>
      <c r="CU1737" s="56">
        <f>AN1737+AP1737+AR1737+AT1737+AV1737+AX1737+AZ1737+BB1737+BD1737+BF1737+BH1737+BJ1737+BL1737+BN1737+BP1737+BR1737+BT1737+BV1737+BX1737+BZ1737+CB1737+CD1737+CF1737+CH1737+CJ1737+CL1737+CN1737+CP1737+CR1737+CT1737</f>
        <v>0</v>
      </c>
      <c r="CV1737" s="76"/>
      <c r="CW1737" s="76">
        <f>+CV1737*1100</f>
        <v>0</v>
      </c>
      <c r="CX1737" s="76"/>
      <c r="CY1737" s="76">
        <f>+CX1737*106250</f>
        <v>0</v>
      </c>
      <c r="CZ1737" s="76"/>
      <c r="DA1737" s="76">
        <f>+CZ1737*34500</f>
        <v>0</v>
      </c>
      <c r="DB1737" s="76"/>
      <c r="DC1737" s="76">
        <f>+DB1737*25000</f>
        <v>0</v>
      </c>
      <c r="DD1737" s="219"/>
      <c r="DE1737" s="219"/>
      <c r="DF1737" s="166"/>
      <c r="DG1737" s="116"/>
      <c r="DH1737" s="117"/>
      <c r="DI1737" s="24"/>
      <c r="DJ1737" s="24"/>
      <c r="DK1737" s="24"/>
      <c r="DL1737" s="24"/>
      <c r="DM1737" s="24"/>
      <c r="DN1737" s="24"/>
      <c r="DO1737" s="24"/>
      <c r="DP1737" s="24"/>
      <c r="DQ1737" s="24"/>
      <c r="DR1737" s="24"/>
      <c r="DS1737" s="24"/>
      <c r="DT1737" s="24"/>
      <c r="DU1737" s="24"/>
    </row>
    <row r="1738" spans="1:125" s="8" customFormat="1" ht="48" x14ac:dyDescent="0.2">
      <c r="A1738" s="77">
        <v>41401</v>
      </c>
      <c r="B1738" s="78" t="s">
        <v>2852</v>
      </c>
      <c r="C1738" s="75" t="s">
        <v>2697</v>
      </c>
      <c r="D1738" s="75" t="s">
        <v>2859</v>
      </c>
      <c r="E1738" s="75" t="str">
        <f>VLOOKUP(B1738&amp;C1738,Divipola!$C$2:$F$1138,4,FALSE)</f>
        <v>27787</v>
      </c>
      <c r="F1738" s="87"/>
      <c r="G1738" s="87"/>
      <c r="H1738" s="87"/>
      <c r="I1738" s="87">
        <v>5</v>
      </c>
      <c r="J1738" s="87">
        <v>1</v>
      </c>
      <c r="K1738" s="87">
        <v>1</v>
      </c>
      <c r="L1738" s="87"/>
      <c r="M1738" s="87"/>
      <c r="N1738" s="87"/>
      <c r="O1738" s="87"/>
      <c r="P1738" s="87"/>
      <c r="Q1738" s="87"/>
      <c r="R1738" s="87"/>
      <c r="S1738" s="87"/>
      <c r="T1738" s="87"/>
      <c r="U1738" s="88"/>
      <c r="V1738" s="89"/>
      <c r="W1738" s="96">
        <v>0</v>
      </c>
      <c r="X1738" s="71">
        <f>CU1738</f>
        <v>0</v>
      </c>
      <c r="Y1738" s="71">
        <f>CY1738</f>
        <v>0</v>
      </c>
      <c r="Z1738" s="71">
        <f>DA1738+DC1738+DE1738</f>
        <v>0</v>
      </c>
      <c r="AA1738" s="71">
        <f>CW1738</f>
        <v>0</v>
      </c>
      <c r="AB1738" s="71"/>
      <c r="AC1738" s="71">
        <v>0</v>
      </c>
      <c r="AD1738" s="71">
        <f>W1738+X1738+Y1738+Z1738+AA1738+AB1738+AC1738</f>
        <v>0</v>
      </c>
      <c r="AE1738" s="72">
        <v>0</v>
      </c>
      <c r="AF1738" s="5"/>
      <c r="AG1738" s="6"/>
      <c r="AH1738" s="27" t="s">
        <v>3392</v>
      </c>
      <c r="AI1738" s="44" t="s">
        <v>3393</v>
      </c>
      <c r="AJ1738" s="26"/>
      <c r="AK1738" s="5"/>
      <c r="AL1738" s="82" t="s">
        <v>4543</v>
      </c>
      <c r="AM1738" s="76"/>
      <c r="AN1738" s="76"/>
      <c r="AO1738" s="76"/>
      <c r="AP1738" s="76"/>
      <c r="AQ1738" s="76"/>
      <c r="AR1738" s="76"/>
      <c r="AS1738" s="76"/>
      <c r="AT1738" s="76"/>
      <c r="AU1738" s="76"/>
      <c r="AV1738" s="76"/>
      <c r="AW1738" s="76"/>
      <c r="AX1738" s="76">
        <f>+AW1738*600000</f>
        <v>0</v>
      </c>
      <c r="AY1738" s="76"/>
      <c r="AZ1738" s="76">
        <f>+AY1738*70000</f>
        <v>0</v>
      </c>
      <c r="BA1738" s="76"/>
      <c r="BB1738" s="76"/>
      <c r="BC1738" s="76"/>
      <c r="BD1738" s="76">
        <f>+BC1738*30000</f>
        <v>0</v>
      </c>
      <c r="BE1738" s="76"/>
      <c r="BF1738" s="76"/>
      <c r="BG1738" s="76"/>
      <c r="BH1738" s="76"/>
      <c r="BI1738" s="76"/>
      <c r="BJ1738" s="76"/>
      <c r="BK1738" s="76"/>
      <c r="BL1738" s="76">
        <f>+BK1738*31500</f>
        <v>0</v>
      </c>
      <c r="BM1738" s="76"/>
      <c r="BN1738" s="76"/>
      <c r="BO1738" s="76"/>
      <c r="BP1738" s="76"/>
      <c r="BQ1738" s="76"/>
      <c r="BR1738" s="76"/>
      <c r="BS1738" s="76"/>
      <c r="BT1738" s="76"/>
      <c r="BU1738" s="76"/>
      <c r="BV1738" s="76"/>
      <c r="BW1738" s="76"/>
      <c r="BX1738" s="76"/>
      <c r="BY1738" s="76"/>
      <c r="BZ1738" s="76"/>
      <c r="CA1738" s="76"/>
      <c r="CB1738" s="76"/>
      <c r="CC1738" s="76"/>
      <c r="CD1738" s="76"/>
      <c r="CE1738" s="76"/>
      <c r="CF1738" s="76">
        <f>+CE1738*28000</f>
        <v>0</v>
      </c>
      <c r="CG1738" s="76"/>
      <c r="CH1738" s="76">
        <f>+CG1738*22500</f>
        <v>0</v>
      </c>
      <c r="CI1738" s="76"/>
      <c r="CJ1738" s="76">
        <f>+CI1738*26000</f>
        <v>0</v>
      </c>
      <c r="CK1738" s="76"/>
      <c r="CL1738" s="76"/>
      <c r="CM1738" s="76"/>
      <c r="CN1738" s="76">
        <f>+CM1738*22000</f>
        <v>0</v>
      </c>
      <c r="CO1738" s="76"/>
      <c r="CP1738" s="76">
        <f>+CO1738*46000</f>
        <v>0</v>
      </c>
      <c r="CQ1738" s="76"/>
      <c r="CR1738" s="76">
        <f>+CQ1738*49000</f>
        <v>0</v>
      </c>
      <c r="CS1738" s="76"/>
      <c r="CT1738" s="76"/>
      <c r="CU1738" s="56">
        <f>AN1738+AP1738+AR1738+AT1738+AV1738+AX1738+AZ1738+BB1738+BD1738+BF1738+BH1738+BJ1738+BL1738+BN1738+BP1738+BR1738+BT1738+BV1738+BX1738+BZ1738+CB1738+CD1738+CF1738+CH1738+CJ1738+CL1738+CN1738+CP1738+CR1738+CT1738</f>
        <v>0</v>
      </c>
      <c r="CV1738" s="76"/>
      <c r="CW1738" s="76">
        <f>+CV1738*1100</f>
        <v>0</v>
      </c>
      <c r="CX1738" s="76"/>
      <c r="CY1738" s="76">
        <f>+CX1738*106250</f>
        <v>0</v>
      </c>
      <c r="CZ1738" s="76"/>
      <c r="DA1738" s="76">
        <f>+CZ1738*34500</f>
        <v>0</v>
      </c>
      <c r="DB1738" s="76"/>
      <c r="DC1738" s="76">
        <f>+DB1738*25000</f>
        <v>0</v>
      </c>
      <c r="DD1738" s="219"/>
      <c r="DE1738" s="219"/>
      <c r="DF1738" s="166"/>
      <c r="DG1738" s="116"/>
      <c r="DH1738" s="117"/>
      <c r="DI1738" s="24"/>
      <c r="DJ1738" s="24"/>
      <c r="DK1738" s="24"/>
      <c r="DL1738" s="24"/>
      <c r="DM1738" s="24"/>
      <c r="DN1738" s="24"/>
      <c r="DO1738" s="24"/>
      <c r="DP1738" s="24"/>
      <c r="DQ1738" s="24"/>
      <c r="DR1738" s="24"/>
      <c r="DS1738" s="24"/>
      <c r="DT1738" s="24"/>
      <c r="DU1738" s="24"/>
    </row>
    <row r="1739" spans="1:125" s="8" customFormat="1" ht="84" x14ac:dyDescent="0.2">
      <c r="A1739" s="77">
        <v>41401</v>
      </c>
      <c r="B1739" s="78" t="s">
        <v>2772</v>
      </c>
      <c r="C1739" s="83" t="s">
        <v>2812</v>
      </c>
      <c r="D1739" s="75" t="s">
        <v>3051</v>
      </c>
      <c r="E1739" s="75" t="str">
        <f>VLOOKUP(B1739&amp;C1739,Divipola!$C$2:$F$1138,4,FALSE)</f>
        <v>25307</v>
      </c>
      <c r="F1739" s="93"/>
      <c r="G1739" s="93"/>
      <c r="H1739" s="93"/>
      <c r="I1739" s="93">
        <v>13</v>
      </c>
      <c r="J1739" s="93">
        <v>3</v>
      </c>
      <c r="K1739" s="93"/>
      <c r="L1739" s="93">
        <v>3</v>
      </c>
      <c r="M1739" s="93"/>
      <c r="N1739" s="93"/>
      <c r="O1739" s="93"/>
      <c r="P1739" s="93"/>
      <c r="Q1739" s="93"/>
      <c r="R1739" s="93"/>
      <c r="S1739" s="93"/>
      <c r="T1739" s="93"/>
      <c r="U1739" s="93"/>
      <c r="V1739" s="89"/>
      <c r="W1739" s="96">
        <v>0</v>
      </c>
      <c r="X1739" s="71">
        <f>CU1739</f>
        <v>0</v>
      </c>
      <c r="Y1739" s="71">
        <f>CY1739</f>
        <v>0</v>
      </c>
      <c r="Z1739" s="71">
        <f>DA1739+DC1739+DE1739</f>
        <v>0</v>
      </c>
      <c r="AA1739" s="71">
        <f>CW1739</f>
        <v>0</v>
      </c>
      <c r="AB1739" s="71"/>
      <c r="AC1739" s="71">
        <v>0</v>
      </c>
      <c r="AD1739" s="71">
        <f>W1739+X1739+Y1739+Z1739+AA1739+AB1739+AC1739</f>
        <v>0</v>
      </c>
      <c r="AE1739" s="72">
        <v>0</v>
      </c>
      <c r="AF1739" s="5"/>
      <c r="AG1739" s="6"/>
      <c r="AH1739" s="27" t="s">
        <v>3392</v>
      </c>
      <c r="AI1739" s="44" t="s">
        <v>3393</v>
      </c>
      <c r="AJ1739" s="26"/>
      <c r="AK1739" s="5"/>
      <c r="AL1739" s="82" t="s">
        <v>4550</v>
      </c>
      <c r="AM1739" s="76"/>
      <c r="AN1739" s="76"/>
      <c r="AO1739" s="76"/>
      <c r="AP1739" s="76"/>
      <c r="AQ1739" s="76"/>
      <c r="AR1739" s="76"/>
      <c r="AS1739" s="76"/>
      <c r="AT1739" s="76"/>
      <c r="AU1739" s="76"/>
      <c r="AV1739" s="76"/>
      <c r="AW1739" s="76"/>
      <c r="AX1739" s="76">
        <f>+AW1739*600000</f>
        <v>0</v>
      </c>
      <c r="AY1739" s="76"/>
      <c r="AZ1739" s="76">
        <f>+AY1739*70000</f>
        <v>0</v>
      </c>
      <c r="BA1739" s="76"/>
      <c r="BB1739" s="76"/>
      <c r="BC1739" s="76"/>
      <c r="BD1739" s="76">
        <f>+BC1739*30000</f>
        <v>0</v>
      </c>
      <c r="BE1739" s="76"/>
      <c r="BF1739" s="76"/>
      <c r="BG1739" s="76"/>
      <c r="BH1739" s="76"/>
      <c r="BI1739" s="76"/>
      <c r="BJ1739" s="76"/>
      <c r="BK1739" s="76"/>
      <c r="BL1739" s="76">
        <f>+BK1739*31500</f>
        <v>0</v>
      </c>
      <c r="BM1739" s="76"/>
      <c r="BN1739" s="76"/>
      <c r="BO1739" s="76"/>
      <c r="BP1739" s="76"/>
      <c r="BQ1739" s="76"/>
      <c r="BR1739" s="76"/>
      <c r="BS1739" s="76"/>
      <c r="BT1739" s="76"/>
      <c r="BU1739" s="76"/>
      <c r="BV1739" s="76"/>
      <c r="BW1739" s="76"/>
      <c r="BX1739" s="76"/>
      <c r="BY1739" s="76"/>
      <c r="BZ1739" s="76"/>
      <c r="CA1739" s="76"/>
      <c r="CB1739" s="76"/>
      <c r="CC1739" s="76"/>
      <c r="CD1739" s="76"/>
      <c r="CE1739" s="76"/>
      <c r="CF1739" s="76">
        <f>+CE1739*28000</f>
        <v>0</v>
      </c>
      <c r="CG1739" s="76"/>
      <c r="CH1739" s="76">
        <f>+CG1739*22500</f>
        <v>0</v>
      </c>
      <c r="CI1739" s="76"/>
      <c r="CJ1739" s="76">
        <f>+CI1739*26000</f>
        <v>0</v>
      </c>
      <c r="CK1739" s="76"/>
      <c r="CL1739" s="76"/>
      <c r="CM1739" s="76"/>
      <c r="CN1739" s="76">
        <f>+CM1739*22000</f>
        <v>0</v>
      </c>
      <c r="CO1739" s="76"/>
      <c r="CP1739" s="76">
        <f>+CO1739*46000</f>
        <v>0</v>
      </c>
      <c r="CQ1739" s="76"/>
      <c r="CR1739" s="76">
        <f>+CQ1739*49000</f>
        <v>0</v>
      </c>
      <c r="CS1739" s="76"/>
      <c r="CT1739" s="76"/>
      <c r="CU1739" s="56">
        <f>AN1739+AP1739+AR1739+AT1739+AV1739+AX1739+AZ1739+BB1739+BD1739+BF1739+BH1739+BJ1739+BL1739+BN1739+BP1739+BR1739+BT1739+BV1739+BX1739+BZ1739+CB1739+CD1739+CF1739+CH1739+CJ1739+CL1739+CN1739+CP1739+CR1739+CT1739</f>
        <v>0</v>
      </c>
      <c r="CV1739" s="76"/>
      <c r="CW1739" s="76">
        <f>+CV1739*1100</f>
        <v>0</v>
      </c>
      <c r="CX1739" s="76"/>
      <c r="CY1739" s="76">
        <f>+CX1739*106250</f>
        <v>0</v>
      </c>
      <c r="CZ1739" s="76"/>
      <c r="DA1739" s="76">
        <f>+CZ1739*34500</f>
        <v>0</v>
      </c>
      <c r="DB1739" s="76"/>
      <c r="DC1739" s="76">
        <f>+DB1739*25000</f>
        <v>0</v>
      </c>
      <c r="DD1739" s="219"/>
      <c r="DE1739" s="219"/>
      <c r="DF1739" s="166"/>
      <c r="DG1739" s="116"/>
      <c r="DH1739" s="117"/>
      <c r="DI1739" s="24"/>
      <c r="DJ1739" s="24"/>
      <c r="DK1739" s="24"/>
      <c r="DL1739" s="24"/>
      <c r="DM1739" s="24"/>
      <c r="DN1739" s="24"/>
      <c r="DO1739" s="24"/>
      <c r="DP1739" s="24"/>
      <c r="DQ1739" s="24"/>
      <c r="DR1739" s="24"/>
      <c r="DS1739" s="24"/>
      <c r="DT1739" s="24"/>
      <c r="DU1739" s="24"/>
    </row>
    <row r="1740" spans="1:125" s="8" customFormat="1" ht="108" x14ac:dyDescent="0.2">
      <c r="A1740" s="226">
        <v>41401</v>
      </c>
      <c r="B1740" s="225" t="s">
        <v>2661</v>
      </c>
      <c r="C1740" s="227" t="s">
        <v>2169</v>
      </c>
      <c r="D1740" s="227" t="s">
        <v>3051</v>
      </c>
      <c r="E1740" s="75" t="str">
        <f>VLOOKUP(B1740&amp;C1740,Divipola!$C$2:$F$1138,4,FALSE)</f>
        <v>41001</v>
      </c>
      <c r="F1740" s="87"/>
      <c r="G1740" s="87"/>
      <c r="H1740" s="87"/>
      <c r="I1740" s="87">
        <v>435</v>
      </c>
      <c r="J1740" s="87">
        <v>87</v>
      </c>
      <c r="K1740" s="87"/>
      <c r="L1740" s="87">
        <v>87</v>
      </c>
      <c r="M1740" s="87"/>
      <c r="N1740" s="87"/>
      <c r="O1740" s="87"/>
      <c r="P1740" s="87"/>
      <c r="Q1740" s="87"/>
      <c r="R1740" s="87"/>
      <c r="S1740" s="87"/>
      <c r="T1740" s="87"/>
      <c r="U1740" s="88"/>
      <c r="V1740" s="89"/>
      <c r="W1740" s="96">
        <v>0</v>
      </c>
      <c r="X1740" s="71">
        <f>CU1740</f>
        <v>0</v>
      </c>
      <c r="Y1740" s="71">
        <f>CY1740</f>
        <v>0</v>
      </c>
      <c r="Z1740" s="71">
        <f>DA1740+DC1740+DE1740</f>
        <v>0</v>
      </c>
      <c r="AA1740" s="71">
        <f>CW1740</f>
        <v>0</v>
      </c>
      <c r="AB1740" s="71"/>
      <c r="AC1740" s="71">
        <v>0</v>
      </c>
      <c r="AD1740" s="71">
        <f>W1740+X1740+Y1740+Z1740+AA1740+AB1740+AC1740</f>
        <v>0</v>
      </c>
      <c r="AE1740" s="72">
        <v>0</v>
      </c>
      <c r="AF1740" s="5"/>
      <c r="AG1740" s="6"/>
      <c r="AH1740" s="27" t="s">
        <v>3392</v>
      </c>
      <c r="AI1740" s="44" t="s">
        <v>3393</v>
      </c>
      <c r="AJ1740" s="26"/>
      <c r="AK1740" s="5"/>
      <c r="AL1740" s="82" t="s">
        <v>4546</v>
      </c>
      <c r="AM1740" s="76"/>
      <c r="AN1740" s="76"/>
      <c r="AO1740" s="76"/>
      <c r="AP1740" s="76"/>
      <c r="AQ1740" s="76"/>
      <c r="AR1740" s="76"/>
      <c r="AS1740" s="76"/>
      <c r="AT1740" s="76"/>
      <c r="AU1740" s="76"/>
      <c r="AV1740" s="76"/>
      <c r="AW1740" s="76"/>
      <c r="AX1740" s="76">
        <f>+AW1740*600000</f>
        <v>0</v>
      </c>
      <c r="AY1740" s="76"/>
      <c r="AZ1740" s="76">
        <f>+AY1740*70000</f>
        <v>0</v>
      </c>
      <c r="BA1740" s="76"/>
      <c r="BB1740" s="76"/>
      <c r="BC1740" s="76"/>
      <c r="BD1740" s="76">
        <f>+BC1740*30000</f>
        <v>0</v>
      </c>
      <c r="BE1740" s="76"/>
      <c r="BF1740" s="76"/>
      <c r="BG1740" s="76"/>
      <c r="BH1740" s="76"/>
      <c r="BI1740" s="76"/>
      <c r="BJ1740" s="76"/>
      <c r="BK1740" s="76"/>
      <c r="BL1740" s="76">
        <f>+BK1740*31500</f>
        <v>0</v>
      </c>
      <c r="BM1740" s="76"/>
      <c r="BN1740" s="76"/>
      <c r="BO1740" s="76"/>
      <c r="BP1740" s="76"/>
      <c r="BQ1740" s="76"/>
      <c r="BR1740" s="76"/>
      <c r="BS1740" s="76"/>
      <c r="BT1740" s="76"/>
      <c r="BU1740" s="76"/>
      <c r="BV1740" s="76"/>
      <c r="BW1740" s="76"/>
      <c r="BX1740" s="76"/>
      <c r="BY1740" s="76"/>
      <c r="BZ1740" s="76"/>
      <c r="CA1740" s="76"/>
      <c r="CB1740" s="76"/>
      <c r="CC1740" s="76"/>
      <c r="CD1740" s="76"/>
      <c r="CE1740" s="76"/>
      <c r="CF1740" s="76">
        <f>+CE1740*28000</f>
        <v>0</v>
      </c>
      <c r="CG1740" s="76"/>
      <c r="CH1740" s="76">
        <f>+CG1740*22500</f>
        <v>0</v>
      </c>
      <c r="CI1740" s="76"/>
      <c r="CJ1740" s="76">
        <f>+CI1740*26000</f>
        <v>0</v>
      </c>
      <c r="CK1740" s="76"/>
      <c r="CL1740" s="76"/>
      <c r="CM1740" s="76"/>
      <c r="CN1740" s="76">
        <f>+CM1740*22000</f>
        <v>0</v>
      </c>
      <c r="CO1740" s="76"/>
      <c r="CP1740" s="76">
        <f>+CO1740*46000</f>
        <v>0</v>
      </c>
      <c r="CQ1740" s="76"/>
      <c r="CR1740" s="76">
        <f>+CQ1740*49000</f>
        <v>0</v>
      </c>
      <c r="CS1740" s="76"/>
      <c r="CT1740" s="76"/>
      <c r="CU1740" s="56">
        <f>AN1740+AP1740+AR1740+AT1740+AV1740+AX1740+AZ1740+BB1740+BD1740+BF1740+BH1740+BJ1740+BL1740+BN1740+BP1740+BR1740+BT1740+BV1740+BX1740+BZ1740+CB1740+CD1740+CF1740+CH1740+CJ1740+CL1740+CN1740+CP1740+CR1740+CT1740</f>
        <v>0</v>
      </c>
      <c r="CV1740" s="76"/>
      <c r="CW1740" s="76">
        <f>+CV1740*1100</f>
        <v>0</v>
      </c>
      <c r="CX1740" s="76"/>
      <c r="CY1740" s="76">
        <f>+CX1740*106250</f>
        <v>0</v>
      </c>
      <c r="CZ1740" s="76"/>
      <c r="DA1740" s="76">
        <f>+CZ1740*34500</f>
        <v>0</v>
      </c>
      <c r="DB1740" s="76"/>
      <c r="DC1740" s="76">
        <f>+DB1740*25000</f>
        <v>0</v>
      </c>
      <c r="DD1740" s="219"/>
      <c r="DE1740" s="219"/>
      <c r="DF1740" s="166"/>
      <c r="DG1740" s="116"/>
      <c r="DH1740" s="117"/>
      <c r="DI1740" s="24"/>
      <c r="DJ1740" s="24"/>
      <c r="DK1740" s="24"/>
      <c r="DL1740" s="24"/>
      <c r="DM1740" s="24"/>
      <c r="DN1740" s="24"/>
      <c r="DO1740" s="24"/>
      <c r="DP1740" s="24"/>
      <c r="DQ1740" s="24"/>
      <c r="DR1740" s="24"/>
      <c r="DS1740" s="24"/>
      <c r="DT1740" s="24"/>
      <c r="DU1740" s="24"/>
    </row>
    <row r="1741" spans="1:125" s="8" customFormat="1" ht="36" x14ac:dyDescent="0.2">
      <c r="A1741" s="353">
        <v>41401</v>
      </c>
      <c r="B1741" s="352" t="s">
        <v>506</v>
      </c>
      <c r="C1741" s="354" t="s">
        <v>103</v>
      </c>
      <c r="D1741" s="354" t="s">
        <v>3051</v>
      </c>
      <c r="E1741" s="75" t="str">
        <f>VLOOKUP(B1741&amp;C1741,Divipola!$C$2:$F$1138,4,FALSE)</f>
        <v>50577</v>
      </c>
      <c r="F1741" s="87"/>
      <c r="G1741" s="87"/>
      <c r="H1741" s="87"/>
      <c r="I1741" s="87">
        <v>1000</v>
      </c>
      <c r="J1741" s="87">
        <v>200</v>
      </c>
      <c r="K1741" s="87"/>
      <c r="L1741" s="87">
        <v>200</v>
      </c>
      <c r="M1741" s="87"/>
      <c r="N1741" s="87"/>
      <c r="O1741" s="87"/>
      <c r="P1741" s="87"/>
      <c r="Q1741" s="87"/>
      <c r="R1741" s="87"/>
      <c r="S1741" s="87"/>
      <c r="T1741" s="87"/>
      <c r="U1741" s="88"/>
      <c r="V1741" s="89"/>
      <c r="W1741" s="96">
        <v>0</v>
      </c>
      <c r="X1741" s="71">
        <f>CU1741</f>
        <v>0</v>
      </c>
      <c r="Y1741" s="71">
        <f>CY1741</f>
        <v>0</v>
      </c>
      <c r="Z1741" s="71">
        <f>DA1741+DC1741+DE1741</f>
        <v>0</v>
      </c>
      <c r="AA1741" s="71">
        <f>CW1741</f>
        <v>0</v>
      </c>
      <c r="AB1741" s="71"/>
      <c r="AC1741" s="71">
        <v>0</v>
      </c>
      <c r="AD1741" s="71">
        <f>W1741+X1741+Y1741+Z1741+AA1741+AB1741+AC1741</f>
        <v>0</v>
      </c>
      <c r="AE1741" s="72">
        <v>0</v>
      </c>
      <c r="AF1741" s="5"/>
      <c r="AG1741" s="6"/>
      <c r="AH1741" s="27" t="s">
        <v>3392</v>
      </c>
      <c r="AI1741" s="44" t="s">
        <v>3393</v>
      </c>
      <c r="AJ1741" s="26"/>
      <c r="AK1741" s="5"/>
      <c r="AL1741" s="82" t="s">
        <v>4564</v>
      </c>
      <c r="AM1741" s="76"/>
      <c r="AN1741" s="76"/>
      <c r="AO1741" s="76"/>
      <c r="AP1741" s="76"/>
      <c r="AQ1741" s="76"/>
      <c r="AR1741" s="76"/>
      <c r="AS1741" s="76"/>
      <c r="AT1741" s="76"/>
      <c r="AU1741" s="76"/>
      <c r="AV1741" s="76"/>
      <c r="AW1741" s="76"/>
      <c r="AX1741" s="76">
        <f>+AW1741*600000</f>
        <v>0</v>
      </c>
      <c r="AY1741" s="76"/>
      <c r="AZ1741" s="76">
        <f>+AY1741*70000</f>
        <v>0</v>
      </c>
      <c r="BA1741" s="76"/>
      <c r="BB1741" s="76"/>
      <c r="BC1741" s="76"/>
      <c r="BD1741" s="76">
        <f>+BC1741*30000</f>
        <v>0</v>
      </c>
      <c r="BE1741" s="76"/>
      <c r="BF1741" s="76"/>
      <c r="BG1741" s="76"/>
      <c r="BH1741" s="76"/>
      <c r="BI1741" s="76"/>
      <c r="BJ1741" s="76"/>
      <c r="BK1741" s="76"/>
      <c r="BL1741" s="76">
        <f>+BK1741*31500</f>
        <v>0</v>
      </c>
      <c r="BM1741" s="76"/>
      <c r="BN1741" s="76"/>
      <c r="BO1741" s="76"/>
      <c r="BP1741" s="76"/>
      <c r="BQ1741" s="76"/>
      <c r="BR1741" s="76"/>
      <c r="BS1741" s="76"/>
      <c r="BT1741" s="76"/>
      <c r="BU1741" s="76"/>
      <c r="BV1741" s="76"/>
      <c r="BW1741" s="76"/>
      <c r="BX1741" s="76"/>
      <c r="BY1741" s="76"/>
      <c r="BZ1741" s="76"/>
      <c r="CA1741" s="76"/>
      <c r="CB1741" s="76"/>
      <c r="CC1741" s="76"/>
      <c r="CD1741" s="76"/>
      <c r="CE1741" s="76"/>
      <c r="CF1741" s="76">
        <f>+CE1741*28000</f>
        <v>0</v>
      </c>
      <c r="CG1741" s="76"/>
      <c r="CH1741" s="76">
        <f>+CG1741*22500</f>
        <v>0</v>
      </c>
      <c r="CI1741" s="76"/>
      <c r="CJ1741" s="76">
        <f>+CI1741*26000</f>
        <v>0</v>
      </c>
      <c r="CK1741" s="76"/>
      <c r="CL1741" s="76"/>
      <c r="CM1741" s="76"/>
      <c r="CN1741" s="76">
        <f>+CM1741*22000</f>
        <v>0</v>
      </c>
      <c r="CO1741" s="76"/>
      <c r="CP1741" s="76">
        <f>+CO1741*46000</f>
        <v>0</v>
      </c>
      <c r="CQ1741" s="76"/>
      <c r="CR1741" s="76">
        <f>+CQ1741*49000</f>
        <v>0</v>
      </c>
      <c r="CS1741" s="76"/>
      <c r="CT1741" s="76"/>
      <c r="CU1741" s="56">
        <f>AN1741+AP1741+AR1741+AT1741+AV1741+AX1741+AZ1741+BB1741+BD1741+BF1741+BH1741+BJ1741+BL1741+BN1741+BP1741+BR1741+BT1741+BV1741+BX1741+BZ1741+CB1741+CD1741+CF1741+CH1741+CJ1741+CL1741+CN1741+CP1741+CR1741+CT1741</f>
        <v>0</v>
      </c>
      <c r="CV1741" s="76"/>
      <c r="CW1741" s="76">
        <f>+CV1741*1100</f>
        <v>0</v>
      </c>
      <c r="CX1741" s="76"/>
      <c r="CY1741" s="76">
        <f>+CX1741*106250</f>
        <v>0</v>
      </c>
      <c r="CZ1741" s="76"/>
      <c r="DA1741" s="76">
        <f>+CZ1741*34500</f>
        <v>0</v>
      </c>
      <c r="DB1741" s="76"/>
      <c r="DC1741" s="76">
        <f>+DB1741*25000</f>
        <v>0</v>
      </c>
      <c r="DD1741" s="219"/>
      <c r="DE1741" s="219"/>
      <c r="DF1741" s="166"/>
      <c r="DG1741" s="116"/>
      <c r="DH1741" s="117"/>
      <c r="DI1741" s="24"/>
      <c r="DJ1741" s="24"/>
      <c r="DK1741" s="24"/>
      <c r="DL1741" s="24"/>
      <c r="DM1741" s="24"/>
      <c r="DN1741" s="24"/>
      <c r="DO1741" s="24"/>
      <c r="DP1741" s="24"/>
      <c r="DQ1741" s="24"/>
      <c r="DR1741" s="24"/>
      <c r="DS1741" s="24"/>
      <c r="DT1741" s="24"/>
      <c r="DU1741" s="24"/>
    </row>
    <row r="1742" spans="1:125" s="8" customFormat="1" ht="60" x14ac:dyDescent="0.2">
      <c r="A1742" s="77">
        <v>41401</v>
      </c>
      <c r="B1742" s="78" t="s">
        <v>506</v>
      </c>
      <c r="C1742" s="75" t="s">
        <v>2052</v>
      </c>
      <c r="D1742" s="75" t="s">
        <v>3051</v>
      </c>
      <c r="E1742" s="353" t="str">
        <f>VLOOKUP(B1742&amp;C1742,Divipola!$C$2:$F$1138,4,FALSE)</f>
        <v>50590</v>
      </c>
      <c r="F1742" s="163">
        <v>1</v>
      </c>
      <c r="G1742" s="163"/>
      <c r="H1742" s="163"/>
      <c r="I1742" s="163">
        <f>617*4</f>
        <v>2468</v>
      </c>
      <c r="J1742" s="163">
        <v>617</v>
      </c>
      <c r="K1742" s="163">
        <v>25</v>
      </c>
      <c r="L1742" s="163">
        <v>25</v>
      </c>
      <c r="M1742" s="163"/>
      <c r="N1742" s="163"/>
      <c r="O1742" s="163"/>
      <c r="P1742" s="163"/>
      <c r="Q1742" s="163"/>
      <c r="R1742" s="163"/>
      <c r="S1742" s="163"/>
      <c r="T1742" s="163"/>
      <c r="U1742" s="163"/>
      <c r="V1742" s="134" t="s">
        <v>5321</v>
      </c>
      <c r="W1742" s="96">
        <v>0</v>
      </c>
      <c r="X1742" s="71">
        <f>CU1742</f>
        <v>0</v>
      </c>
      <c r="Y1742" s="71">
        <f>CY1742</f>
        <v>0</v>
      </c>
      <c r="Z1742" s="71">
        <f>DA1742+DC1742+DE1742</f>
        <v>319087881.19999999</v>
      </c>
      <c r="AA1742" s="71">
        <f>CW1742</f>
        <v>32990400.000000004</v>
      </c>
      <c r="AB1742" s="71"/>
      <c r="AC1742" s="71">
        <v>0</v>
      </c>
      <c r="AD1742" s="71">
        <f>W1742+X1742+Y1742+Z1742+AA1742+AB1742+AC1742</f>
        <v>352078281.19999999</v>
      </c>
      <c r="AE1742" s="72">
        <v>0</v>
      </c>
      <c r="AF1742" s="5"/>
      <c r="AG1742" s="6"/>
      <c r="AH1742" s="27"/>
      <c r="AI1742" s="44"/>
      <c r="AJ1742" s="26"/>
      <c r="AK1742" s="5"/>
      <c r="AL1742" s="82" t="s">
        <v>6016</v>
      </c>
      <c r="AM1742" s="76"/>
      <c r="AN1742" s="76"/>
      <c r="AO1742" s="76"/>
      <c r="AP1742" s="76"/>
      <c r="AQ1742" s="76"/>
      <c r="AR1742" s="76"/>
      <c r="AS1742" s="76"/>
      <c r="AT1742" s="76"/>
      <c r="AU1742" s="76"/>
      <c r="AV1742" s="76"/>
      <c r="AW1742" s="76"/>
      <c r="AX1742" s="76">
        <f>+AW1742*600000</f>
        <v>0</v>
      </c>
      <c r="AY1742" s="76"/>
      <c r="AZ1742" s="76">
        <f>+AY1742*70000</f>
        <v>0</v>
      </c>
      <c r="BA1742" s="76"/>
      <c r="BB1742" s="76"/>
      <c r="BC1742" s="76"/>
      <c r="BD1742" s="76">
        <f>+BC1742*30000</f>
        <v>0</v>
      </c>
      <c r="BE1742" s="76"/>
      <c r="BF1742" s="76"/>
      <c r="BG1742" s="76"/>
      <c r="BH1742" s="76"/>
      <c r="BI1742" s="76"/>
      <c r="BJ1742" s="76"/>
      <c r="BK1742" s="76"/>
      <c r="BL1742" s="76">
        <f>+BK1742*31500</f>
        <v>0</v>
      </c>
      <c r="BM1742" s="76"/>
      <c r="BN1742" s="76"/>
      <c r="BO1742" s="76"/>
      <c r="BP1742" s="76"/>
      <c r="BQ1742" s="76"/>
      <c r="BR1742" s="76"/>
      <c r="BS1742" s="76"/>
      <c r="BT1742" s="76"/>
      <c r="BU1742" s="76"/>
      <c r="BV1742" s="76"/>
      <c r="BW1742" s="76"/>
      <c r="BX1742" s="76"/>
      <c r="BY1742" s="76"/>
      <c r="BZ1742" s="76"/>
      <c r="CA1742" s="76"/>
      <c r="CB1742" s="76"/>
      <c r="CC1742" s="76"/>
      <c r="CD1742" s="76"/>
      <c r="CE1742" s="76"/>
      <c r="CF1742" s="76">
        <f>+CE1742*28000</f>
        <v>0</v>
      </c>
      <c r="CG1742" s="76"/>
      <c r="CH1742" s="76">
        <f>+CG1742*22500</f>
        <v>0</v>
      </c>
      <c r="CI1742" s="76"/>
      <c r="CJ1742" s="76">
        <f>+CI1742*26000</f>
        <v>0</v>
      </c>
      <c r="CK1742" s="76"/>
      <c r="CL1742" s="76"/>
      <c r="CM1742" s="76"/>
      <c r="CN1742" s="76">
        <f>+CM1742*22000</f>
        <v>0</v>
      </c>
      <c r="CO1742" s="76"/>
      <c r="CP1742" s="76">
        <f>+CO1742*46000</f>
        <v>0</v>
      </c>
      <c r="CQ1742" s="76"/>
      <c r="CR1742" s="76">
        <f>+CQ1742*49000</f>
        <v>0</v>
      </c>
      <c r="CS1742" s="76"/>
      <c r="CT1742" s="76"/>
      <c r="CU1742" s="56">
        <f>AN1742+AP1742+AR1742+AT1742+AV1742+AX1742+AZ1742+BB1742+BD1742+BF1742+BH1742+BJ1742+BL1742+BN1742+BP1742+BR1742+BT1742+BV1742+BX1742+BZ1742+CB1742+CD1742+CF1742+CH1742+CJ1742+CL1742+CN1742+CP1742+CR1742+CT1742</f>
        <v>0</v>
      </c>
      <c r="CV1742" s="86">
        <v>30000</v>
      </c>
      <c r="CW1742" s="86">
        <f>+CV1742*1099.68</f>
        <v>32990400.000000004</v>
      </c>
      <c r="CX1742" s="76"/>
      <c r="CY1742" s="76">
        <f>+CX1742*106250</f>
        <v>0</v>
      </c>
      <c r="CZ1742" s="86">
        <v>2000</v>
      </c>
      <c r="DA1742" s="86">
        <f>+CZ1742*34449.68</f>
        <v>68899360</v>
      </c>
      <c r="DB1742" s="86">
        <v>750</v>
      </c>
      <c r="DC1742" s="86">
        <f>+DB1742*31999.76</f>
        <v>23999820</v>
      </c>
      <c r="DD1742" s="221" t="s">
        <v>6017</v>
      </c>
      <c r="DE1742" s="319">
        <f>25000*1800+340*22099.16+430*14999.96+25*520000.16+25*319000+4500*32500</f>
        <v>226188701.19999999</v>
      </c>
      <c r="DF1742" s="166"/>
      <c r="DG1742" s="134" t="s">
        <v>6018</v>
      </c>
      <c r="DH1742" s="117"/>
      <c r="DI1742" s="24"/>
      <c r="DJ1742" s="24"/>
      <c r="DK1742" s="24"/>
      <c r="DL1742" s="24"/>
      <c r="DM1742" s="24"/>
      <c r="DN1742" s="24"/>
      <c r="DO1742" s="24"/>
      <c r="DP1742" s="24"/>
      <c r="DQ1742" s="24"/>
      <c r="DR1742" s="24"/>
      <c r="DS1742" s="24"/>
      <c r="DT1742" s="24"/>
      <c r="DU1742" s="24"/>
    </row>
    <row r="1743" spans="1:125" s="8" customFormat="1" ht="36" x14ac:dyDescent="0.2">
      <c r="A1743" s="226">
        <v>41401</v>
      </c>
      <c r="B1743" s="225" t="s">
        <v>506</v>
      </c>
      <c r="C1743" s="227" t="s">
        <v>2789</v>
      </c>
      <c r="D1743" s="227" t="s">
        <v>3051</v>
      </c>
      <c r="E1743" s="75" t="str">
        <f>VLOOKUP(B1743&amp;C1743,Divipola!$C$2:$F$1138,4,FALSE)</f>
        <v>50683</v>
      </c>
      <c r="F1743" s="87"/>
      <c r="G1743" s="87"/>
      <c r="H1743" s="87"/>
      <c r="I1743" s="87">
        <v>750</v>
      </c>
      <c r="J1743" s="87">
        <v>150</v>
      </c>
      <c r="K1743" s="87"/>
      <c r="L1743" s="87">
        <v>150</v>
      </c>
      <c r="M1743" s="87"/>
      <c r="N1743" s="87"/>
      <c r="O1743" s="87"/>
      <c r="P1743" s="87"/>
      <c r="Q1743" s="87"/>
      <c r="R1743" s="87"/>
      <c r="S1743" s="87"/>
      <c r="T1743" s="87"/>
      <c r="U1743" s="88"/>
      <c r="V1743" s="89"/>
      <c r="W1743" s="96">
        <v>0</v>
      </c>
      <c r="X1743" s="71">
        <f>CU1743</f>
        <v>0</v>
      </c>
      <c r="Y1743" s="71">
        <f>CY1743</f>
        <v>0</v>
      </c>
      <c r="Z1743" s="71">
        <f>DA1743+DC1743+DE1743</f>
        <v>0</v>
      </c>
      <c r="AA1743" s="71">
        <f>CW1743</f>
        <v>0</v>
      </c>
      <c r="AB1743" s="71"/>
      <c r="AC1743" s="71">
        <v>0</v>
      </c>
      <c r="AD1743" s="71">
        <f>W1743+X1743+Y1743+Z1743+AA1743+AB1743+AC1743</f>
        <v>0</v>
      </c>
      <c r="AE1743" s="72">
        <v>0</v>
      </c>
      <c r="AF1743" s="5"/>
      <c r="AG1743" s="6"/>
      <c r="AH1743" s="27" t="s">
        <v>3392</v>
      </c>
      <c r="AI1743" s="44" t="s">
        <v>3393</v>
      </c>
      <c r="AJ1743" s="26"/>
      <c r="AK1743" s="5"/>
      <c r="AL1743" s="82" t="s">
        <v>4563</v>
      </c>
      <c r="AM1743" s="76"/>
      <c r="AN1743" s="76"/>
      <c r="AO1743" s="76"/>
      <c r="AP1743" s="76"/>
      <c r="AQ1743" s="76"/>
      <c r="AR1743" s="76"/>
      <c r="AS1743" s="76"/>
      <c r="AT1743" s="76"/>
      <c r="AU1743" s="76"/>
      <c r="AV1743" s="76"/>
      <c r="AW1743" s="76"/>
      <c r="AX1743" s="76">
        <f>+AW1743*600000</f>
        <v>0</v>
      </c>
      <c r="AY1743" s="76"/>
      <c r="AZ1743" s="76">
        <f>+AY1743*70000</f>
        <v>0</v>
      </c>
      <c r="BA1743" s="76"/>
      <c r="BB1743" s="76"/>
      <c r="BC1743" s="76"/>
      <c r="BD1743" s="76">
        <f>+BC1743*30000</f>
        <v>0</v>
      </c>
      <c r="BE1743" s="76"/>
      <c r="BF1743" s="76"/>
      <c r="BG1743" s="76"/>
      <c r="BH1743" s="76"/>
      <c r="BI1743" s="76"/>
      <c r="BJ1743" s="76"/>
      <c r="BK1743" s="76"/>
      <c r="BL1743" s="76">
        <f>+BK1743*31500</f>
        <v>0</v>
      </c>
      <c r="BM1743" s="76"/>
      <c r="BN1743" s="76"/>
      <c r="BO1743" s="76"/>
      <c r="BP1743" s="76"/>
      <c r="BQ1743" s="76"/>
      <c r="BR1743" s="76"/>
      <c r="BS1743" s="76"/>
      <c r="BT1743" s="76"/>
      <c r="BU1743" s="76"/>
      <c r="BV1743" s="76"/>
      <c r="BW1743" s="76"/>
      <c r="BX1743" s="76"/>
      <c r="BY1743" s="76"/>
      <c r="BZ1743" s="76"/>
      <c r="CA1743" s="76"/>
      <c r="CB1743" s="76"/>
      <c r="CC1743" s="76"/>
      <c r="CD1743" s="76"/>
      <c r="CE1743" s="76"/>
      <c r="CF1743" s="76">
        <f>+CE1743*28000</f>
        <v>0</v>
      </c>
      <c r="CG1743" s="76"/>
      <c r="CH1743" s="76">
        <f>+CG1743*22500</f>
        <v>0</v>
      </c>
      <c r="CI1743" s="76"/>
      <c r="CJ1743" s="76">
        <f>+CI1743*26000</f>
        <v>0</v>
      </c>
      <c r="CK1743" s="76"/>
      <c r="CL1743" s="76"/>
      <c r="CM1743" s="76"/>
      <c r="CN1743" s="76">
        <f>+CM1743*22000</f>
        <v>0</v>
      </c>
      <c r="CO1743" s="76"/>
      <c r="CP1743" s="76">
        <f>+CO1743*46000</f>
        <v>0</v>
      </c>
      <c r="CQ1743" s="76"/>
      <c r="CR1743" s="76">
        <f>+CQ1743*49000</f>
        <v>0</v>
      </c>
      <c r="CS1743" s="76"/>
      <c r="CT1743" s="76"/>
      <c r="CU1743" s="56">
        <f>AN1743+AP1743+AR1743+AT1743+AV1743+AX1743+AZ1743+BB1743+BD1743+BF1743+BH1743+BJ1743+BL1743+BN1743+BP1743+BR1743+BT1743+BV1743+BX1743+BZ1743+CB1743+CD1743+CF1743+CH1743+CJ1743+CL1743+CN1743+CP1743+CR1743+CT1743</f>
        <v>0</v>
      </c>
      <c r="CV1743" s="76"/>
      <c r="CW1743" s="76">
        <f>+CV1743*1100</f>
        <v>0</v>
      </c>
      <c r="CX1743" s="76"/>
      <c r="CY1743" s="76">
        <f>+CX1743*106250</f>
        <v>0</v>
      </c>
      <c r="CZ1743" s="76"/>
      <c r="DA1743" s="76">
        <f>+CZ1743*34500</f>
        <v>0</v>
      </c>
      <c r="DB1743" s="76"/>
      <c r="DC1743" s="76">
        <f>+DB1743*25000</f>
        <v>0</v>
      </c>
      <c r="DD1743" s="219"/>
      <c r="DE1743" s="219"/>
      <c r="DF1743" s="166"/>
      <c r="DG1743" s="116"/>
      <c r="DH1743" s="117"/>
      <c r="DI1743" s="24"/>
      <c r="DJ1743" s="24"/>
      <c r="DK1743" s="24"/>
      <c r="DL1743" s="24"/>
      <c r="DM1743" s="24"/>
      <c r="DN1743" s="24"/>
      <c r="DO1743" s="24"/>
      <c r="DP1743" s="24"/>
      <c r="DQ1743" s="24"/>
      <c r="DR1743" s="24"/>
      <c r="DS1743" s="24"/>
      <c r="DT1743" s="24"/>
      <c r="DU1743" s="24"/>
    </row>
    <row r="1744" spans="1:125" s="8" customFormat="1" ht="84" x14ac:dyDescent="0.2">
      <c r="A1744" s="353">
        <v>41401</v>
      </c>
      <c r="B1744" s="225" t="s">
        <v>506</v>
      </c>
      <c r="C1744" s="227" t="s">
        <v>2118</v>
      </c>
      <c r="D1744" s="227" t="s">
        <v>3051</v>
      </c>
      <c r="E1744" s="75" t="str">
        <f>VLOOKUP(B1744&amp;C1744,Divipola!$C$2:$F$1138,4,FALSE)</f>
        <v>50711</v>
      </c>
      <c r="F1744" s="87"/>
      <c r="G1744" s="87"/>
      <c r="H1744" s="87"/>
      <c r="I1744" s="87">
        <v>1800</v>
      </c>
      <c r="J1744" s="87">
        <v>360</v>
      </c>
      <c r="K1744" s="87"/>
      <c r="L1744" s="87">
        <v>360</v>
      </c>
      <c r="M1744" s="87"/>
      <c r="N1744" s="87"/>
      <c r="O1744" s="87"/>
      <c r="P1744" s="87"/>
      <c r="Q1744" s="87"/>
      <c r="R1744" s="87"/>
      <c r="S1744" s="87"/>
      <c r="T1744" s="87"/>
      <c r="U1744" s="88"/>
      <c r="V1744" s="89"/>
      <c r="W1744" s="96">
        <v>0</v>
      </c>
      <c r="X1744" s="71">
        <f>CU1744</f>
        <v>45358876.800000004</v>
      </c>
      <c r="Y1744" s="71">
        <f>CY1744</f>
        <v>38038780.799999997</v>
      </c>
      <c r="Z1744" s="71">
        <f>DA1744+DC1744+DE1744</f>
        <v>1264400</v>
      </c>
      <c r="AA1744" s="71">
        <f>CW1744</f>
        <v>0</v>
      </c>
      <c r="AB1744" s="71"/>
      <c r="AC1744" s="71">
        <v>0</v>
      </c>
      <c r="AD1744" s="71">
        <f>W1744+X1744+Y1744+Z1744+AA1744+AB1744+AC1744</f>
        <v>84662057.599999994</v>
      </c>
      <c r="AE1744" s="72">
        <v>0</v>
      </c>
      <c r="AF1744" s="5"/>
      <c r="AG1744" s="6"/>
      <c r="AH1744" s="27" t="s">
        <v>3390</v>
      </c>
      <c r="AI1744" s="44" t="s">
        <v>3391</v>
      </c>
      <c r="AJ1744" s="26"/>
      <c r="AK1744" s="5"/>
      <c r="AL1744" s="82" t="s">
        <v>4562</v>
      </c>
      <c r="AM1744" s="76"/>
      <c r="AN1744" s="76"/>
      <c r="AO1744" s="76"/>
      <c r="AP1744" s="76"/>
      <c r="AQ1744" s="76"/>
      <c r="AR1744" s="76"/>
      <c r="AS1744" s="76"/>
      <c r="AT1744" s="76"/>
      <c r="AU1744" s="76"/>
      <c r="AV1744" s="76"/>
      <c r="AW1744" s="76"/>
      <c r="AX1744" s="76">
        <f>+AW1744*600000</f>
        <v>0</v>
      </c>
      <c r="AY1744" s="76"/>
      <c r="AZ1744" s="76">
        <f>+AY1744*70000</f>
        <v>0</v>
      </c>
      <c r="BA1744" s="76"/>
      <c r="BB1744" s="76"/>
      <c r="BC1744" s="76"/>
      <c r="BD1744" s="76">
        <f>+BC1744*30000</f>
        <v>0</v>
      </c>
      <c r="BE1744" s="76"/>
      <c r="BF1744" s="76"/>
      <c r="BG1744" s="76"/>
      <c r="BH1744" s="76"/>
      <c r="BI1744" s="76"/>
      <c r="BJ1744" s="76"/>
      <c r="BK1744" s="76"/>
      <c r="BL1744" s="76">
        <f>+BK1744*31500</f>
        <v>0</v>
      </c>
      <c r="BM1744" s="76"/>
      <c r="BN1744" s="76"/>
      <c r="BO1744" s="76"/>
      <c r="BP1744" s="76"/>
      <c r="BQ1744" s="76"/>
      <c r="BR1744" s="76"/>
      <c r="BS1744" s="76"/>
      <c r="BT1744" s="76"/>
      <c r="BU1744" s="76"/>
      <c r="BV1744" s="76"/>
      <c r="BW1744" s="76"/>
      <c r="BX1744" s="76"/>
      <c r="BY1744" s="76"/>
      <c r="BZ1744" s="76"/>
      <c r="CA1744" s="76"/>
      <c r="CB1744" s="76"/>
      <c r="CC1744" s="76"/>
      <c r="CD1744" s="76"/>
      <c r="CE1744" s="76"/>
      <c r="CF1744" s="76">
        <f>+CE1744*28000</f>
        <v>0</v>
      </c>
      <c r="CG1744" s="76"/>
      <c r="CH1744" s="76">
        <f>+CG1744*22500</f>
        <v>0</v>
      </c>
      <c r="CI1744" s="86">
        <v>360</v>
      </c>
      <c r="CJ1744" s="86">
        <f>+CI1744*25999.08</f>
        <v>9359668.8000000007</v>
      </c>
      <c r="CK1744" s="76"/>
      <c r="CL1744" s="76"/>
      <c r="CM1744" s="76"/>
      <c r="CN1744" s="76">
        <f>+CM1744*22000</f>
        <v>0</v>
      </c>
      <c r="CO1744" s="86">
        <v>360</v>
      </c>
      <c r="CP1744" s="86">
        <f>+CO1744*45999.8</f>
        <v>16559928.000000002</v>
      </c>
      <c r="CQ1744" s="86">
        <v>360</v>
      </c>
      <c r="CR1744" s="86">
        <f>+CQ1744*53998</f>
        <v>19439280</v>
      </c>
      <c r="CS1744" s="76"/>
      <c r="CT1744" s="76"/>
      <c r="CU1744" s="56">
        <f>AN1744+AP1744+AR1744+AT1744+AV1744+AX1744+AZ1744+BB1744+BD1744+BF1744+BH1744+BJ1744+BL1744+BN1744+BP1744+BR1744+BT1744+BV1744+BX1744+BZ1744+CB1744+CD1744+CF1744+CH1744+CJ1744+CL1744+CN1744+CP1744+CR1744+CT1744</f>
        <v>45358876.800000004</v>
      </c>
      <c r="CV1744" s="76"/>
      <c r="CW1744" s="76">
        <f>+CV1744*1100</f>
        <v>0</v>
      </c>
      <c r="CX1744" s="86">
        <v>360</v>
      </c>
      <c r="CY1744" s="86">
        <f>+CX1744*105663.28</f>
        <v>38038780.799999997</v>
      </c>
      <c r="CZ1744" s="76"/>
      <c r="DA1744" s="76">
        <f>+CZ1744*34500</f>
        <v>0</v>
      </c>
      <c r="DB1744" s="76"/>
      <c r="DC1744" s="76">
        <f>+DB1744*25000</f>
        <v>0</v>
      </c>
      <c r="DD1744" s="222" t="s">
        <v>4620</v>
      </c>
      <c r="DE1744" s="309">
        <f>15*52200+5*55680+5*40600</f>
        <v>1264400</v>
      </c>
      <c r="DF1744" s="166" t="s">
        <v>5482</v>
      </c>
      <c r="DG1744" s="116"/>
      <c r="DH1744" s="117"/>
      <c r="DI1744" s="24"/>
      <c r="DJ1744" s="24"/>
      <c r="DK1744" s="24"/>
      <c r="DL1744" s="24"/>
      <c r="DM1744" s="24"/>
      <c r="DN1744" s="24"/>
      <c r="DO1744" s="24"/>
      <c r="DP1744" s="24"/>
      <c r="DQ1744" s="24"/>
      <c r="DR1744" s="24"/>
      <c r="DS1744" s="24"/>
      <c r="DT1744" s="24"/>
      <c r="DU1744" s="24"/>
    </row>
    <row r="1745" spans="1:125" s="8" customFormat="1" ht="48" x14ac:dyDescent="0.2">
      <c r="A1745" s="353">
        <v>41401</v>
      </c>
      <c r="B1745" s="352" t="s">
        <v>2880</v>
      </c>
      <c r="C1745" s="354" t="s">
        <v>2732</v>
      </c>
      <c r="D1745" s="354" t="s">
        <v>3051</v>
      </c>
      <c r="E1745" s="75" t="str">
        <f>VLOOKUP(B1745&amp;C1745,Divipola!$C$2:$F$1138,4,FALSE)</f>
        <v>54001</v>
      </c>
      <c r="F1745" s="87"/>
      <c r="G1745" s="87"/>
      <c r="H1745" s="87"/>
      <c r="I1745" s="87">
        <v>5</v>
      </c>
      <c r="J1745" s="87">
        <v>1</v>
      </c>
      <c r="K1745" s="87"/>
      <c r="L1745" s="87">
        <v>1</v>
      </c>
      <c r="M1745" s="87"/>
      <c r="N1745" s="87"/>
      <c r="O1745" s="87"/>
      <c r="P1745" s="87">
        <v>1</v>
      </c>
      <c r="Q1745" s="87"/>
      <c r="R1745" s="87"/>
      <c r="S1745" s="87"/>
      <c r="T1745" s="87"/>
      <c r="U1745" s="88"/>
      <c r="V1745" s="89"/>
      <c r="W1745" s="96">
        <v>0</v>
      </c>
      <c r="X1745" s="71">
        <f>CU1745</f>
        <v>0</v>
      </c>
      <c r="Y1745" s="71">
        <f>CY1745</f>
        <v>0</v>
      </c>
      <c r="Z1745" s="71">
        <f>DA1745+DC1745+DE1745</f>
        <v>0</v>
      </c>
      <c r="AA1745" s="71">
        <f>CW1745</f>
        <v>0</v>
      </c>
      <c r="AB1745" s="71"/>
      <c r="AC1745" s="71">
        <v>0</v>
      </c>
      <c r="AD1745" s="71">
        <f>W1745+X1745+Y1745+Z1745+AA1745+AB1745+AC1745</f>
        <v>0</v>
      </c>
      <c r="AE1745" s="72">
        <v>0</v>
      </c>
      <c r="AF1745" s="5"/>
      <c r="AG1745" s="6"/>
      <c r="AH1745" s="27" t="s">
        <v>3392</v>
      </c>
      <c r="AI1745" s="44" t="s">
        <v>3393</v>
      </c>
      <c r="AJ1745" s="26"/>
      <c r="AK1745" s="5"/>
      <c r="AL1745" s="82" t="s">
        <v>4537</v>
      </c>
      <c r="AM1745" s="76"/>
      <c r="AN1745" s="76"/>
      <c r="AO1745" s="76"/>
      <c r="AP1745" s="76"/>
      <c r="AQ1745" s="76"/>
      <c r="AR1745" s="76"/>
      <c r="AS1745" s="76"/>
      <c r="AT1745" s="76"/>
      <c r="AU1745" s="76"/>
      <c r="AV1745" s="76"/>
      <c r="AW1745" s="76"/>
      <c r="AX1745" s="76">
        <f>+AW1745*600000</f>
        <v>0</v>
      </c>
      <c r="AY1745" s="76"/>
      <c r="AZ1745" s="76">
        <f>+AY1745*70000</f>
        <v>0</v>
      </c>
      <c r="BA1745" s="76"/>
      <c r="BB1745" s="76"/>
      <c r="BC1745" s="76"/>
      <c r="BD1745" s="76">
        <f>+BC1745*30000</f>
        <v>0</v>
      </c>
      <c r="BE1745" s="76"/>
      <c r="BF1745" s="76"/>
      <c r="BG1745" s="76"/>
      <c r="BH1745" s="76"/>
      <c r="BI1745" s="76"/>
      <c r="BJ1745" s="76"/>
      <c r="BK1745" s="76"/>
      <c r="BL1745" s="76">
        <f>+BK1745*31500</f>
        <v>0</v>
      </c>
      <c r="BM1745" s="76"/>
      <c r="BN1745" s="76"/>
      <c r="BO1745" s="76"/>
      <c r="BP1745" s="76"/>
      <c r="BQ1745" s="76"/>
      <c r="BR1745" s="76"/>
      <c r="BS1745" s="76"/>
      <c r="BT1745" s="76"/>
      <c r="BU1745" s="76"/>
      <c r="BV1745" s="76"/>
      <c r="BW1745" s="76"/>
      <c r="BX1745" s="76"/>
      <c r="BY1745" s="76"/>
      <c r="BZ1745" s="76"/>
      <c r="CA1745" s="76"/>
      <c r="CB1745" s="76"/>
      <c r="CC1745" s="76"/>
      <c r="CD1745" s="76"/>
      <c r="CE1745" s="76"/>
      <c r="CF1745" s="76">
        <f>+CE1745*28000</f>
        <v>0</v>
      </c>
      <c r="CG1745" s="76"/>
      <c r="CH1745" s="76">
        <f>+CG1745*22500</f>
        <v>0</v>
      </c>
      <c r="CI1745" s="76"/>
      <c r="CJ1745" s="76">
        <f>+CI1745*26000</f>
        <v>0</v>
      </c>
      <c r="CK1745" s="76"/>
      <c r="CL1745" s="76"/>
      <c r="CM1745" s="76"/>
      <c r="CN1745" s="76">
        <f>+CM1745*22000</f>
        <v>0</v>
      </c>
      <c r="CO1745" s="76"/>
      <c r="CP1745" s="76">
        <f>+CO1745*46000</f>
        <v>0</v>
      </c>
      <c r="CQ1745" s="76"/>
      <c r="CR1745" s="76">
        <f>+CQ1745*49000</f>
        <v>0</v>
      </c>
      <c r="CS1745" s="76"/>
      <c r="CT1745" s="76"/>
      <c r="CU1745" s="56">
        <f>AN1745+AP1745+AR1745+AT1745+AV1745+AX1745+AZ1745+BB1745+BD1745+BF1745+BH1745+BJ1745+BL1745+BN1745+BP1745+BR1745+BT1745+BV1745+BX1745+BZ1745+CB1745+CD1745+CF1745+CH1745+CJ1745+CL1745+CN1745+CP1745+CR1745+CT1745</f>
        <v>0</v>
      </c>
      <c r="CV1745" s="76"/>
      <c r="CW1745" s="76">
        <f>+CV1745*1100</f>
        <v>0</v>
      </c>
      <c r="CX1745" s="76"/>
      <c r="CY1745" s="76">
        <f>+CX1745*106250</f>
        <v>0</v>
      </c>
      <c r="CZ1745" s="76"/>
      <c r="DA1745" s="76">
        <f>+CZ1745*34500</f>
        <v>0</v>
      </c>
      <c r="DB1745" s="76"/>
      <c r="DC1745" s="76">
        <f>+DB1745*25000</f>
        <v>0</v>
      </c>
      <c r="DD1745" s="219"/>
      <c r="DE1745" s="219"/>
      <c r="DF1745" s="166"/>
      <c r="DG1745" s="116"/>
      <c r="DH1745" s="117"/>
      <c r="DI1745" s="24"/>
      <c r="DJ1745" s="24"/>
      <c r="DK1745" s="24"/>
      <c r="DL1745" s="24"/>
      <c r="DM1745" s="24"/>
      <c r="DN1745" s="24"/>
      <c r="DO1745" s="24"/>
      <c r="DP1745" s="24"/>
      <c r="DQ1745" s="24"/>
      <c r="DR1745" s="24"/>
      <c r="DS1745" s="24"/>
      <c r="DT1745" s="24"/>
      <c r="DU1745" s="24"/>
    </row>
    <row r="1746" spans="1:125" s="8" customFormat="1" ht="36" x14ac:dyDescent="0.2">
      <c r="A1746" s="97">
        <v>41401</v>
      </c>
      <c r="B1746" s="60" t="s">
        <v>2880</v>
      </c>
      <c r="C1746" s="55" t="s">
        <v>2219</v>
      </c>
      <c r="D1746" s="55" t="s">
        <v>3051</v>
      </c>
      <c r="E1746" s="75" t="str">
        <f>VLOOKUP(B1746&amp;C1746,Divipola!$C$2:$F$1138,4,FALSE)</f>
        <v>54520</v>
      </c>
      <c r="F1746" s="87"/>
      <c r="G1746" s="87"/>
      <c r="H1746" s="87"/>
      <c r="I1746" s="87">
        <v>30</v>
      </c>
      <c r="J1746" s="87">
        <v>6</v>
      </c>
      <c r="K1746" s="87"/>
      <c r="L1746" s="87">
        <v>6</v>
      </c>
      <c r="M1746" s="87"/>
      <c r="N1746" s="87"/>
      <c r="O1746" s="87"/>
      <c r="P1746" s="87"/>
      <c r="Q1746" s="87"/>
      <c r="R1746" s="87"/>
      <c r="S1746" s="87"/>
      <c r="T1746" s="87"/>
      <c r="U1746" s="88"/>
      <c r="V1746" s="89"/>
      <c r="W1746" s="96">
        <v>0</v>
      </c>
      <c r="X1746" s="71">
        <f>CU1746</f>
        <v>0</v>
      </c>
      <c r="Y1746" s="71">
        <f>CY1746</f>
        <v>0</v>
      </c>
      <c r="Z1746" s="71">
        <f>DA1746+DC1746+DE1746</f>
        <v>0</v>
      </c>
      <c r="AA1746" s="71">
        <f>CW1746</f>
        <v>0</v>
      </c>
      <c r="AB1746" s="71"/>
      <c r="AC1746" s="71">
        <v>0</v>
      </c>
      <c r="AD1746" s="71">
        <f>W1746+X1746+Y1746+Z1746+AA1746+AB1746+AC1746</f>
        <v>0</v>
      </c>
      <c r="AE1746" s="72">
        <v>0</v>
      </c>
      <c r="AF1746" s="5"/>
      <c r="AG1746" s="6"/>
      <c r="AH1746" s="27" t="s">
        <v>3392</v>
      </c>
      <c r="AI1746" s="44" t="s">
        <v>3393</v>
      </c>
      <c r="AJ1746" s="26"/>
      <c r="AK1746" s="5"/>
      <c r="AL1746" s="82" t="s">
        <v>4547</v>
      </c>
      <c r="AM1746" s="76"/>
      <c r="AN1746" s="76"/>
      <c r="AO1746" s="76"/>
      <c r="AP1746" s="76"/>
      <c r="AQ1746" s="76"/>
      <c r="AR1746" s="76"/>
      <c r="AS1746" s="76"/>
      <c r="AT1746" s="76"/>
      <c r="AU1746" s="76"/>
      <c r="AV1746" s="76"/>
      <c r="AW1746" s="76"/>
      <c r="AX1746" s="76">
        <f>+AW1746*600000</f>
        <v>0</v>
      </c>
      <c r="AY1746" s="76"/>
      <c r="AZ1746" s="76">
        <f>+AY1746*70000</f>
        <v>0</v>
      </c>
      <c r="BA1746" s="76"/>
      <c r="BB1746" s="76"/>
      <c r="BC1746" s="76"/>
      <c r="BD1746" s="76">
        <f>+BC1746*30000</f>
        <v>0</v>
      </c>
      <c r="BE1746" s="76"/>
      <c r="BF1746" s="76"/>
      <c r="BG1746" s="76"/>
      <c r="BH1746" s="76"/>
      <c r="BI1746" s="76"/>
      <c r="BJ1746" s="76"/>
      <c r="BK1746" s="76"/>
      <c r="BL1746" s="76">
        <f>+BK1746*31500</f>
        <v>0</v>
      </c>
      <c r="BM1746" s="76"/>
      <c r="BN1746" s="76"/>
      <c r="BO1746" s="76"/>
      <c r="BP1746" s="76"/>
      <c r="BQ1746" s="76"/>
      <c r="BR1746" s="76"/>
      <c r="BS1746" s="76"/>
      <c r="BT1746" s="76"/>
      <c r="BU1746" s="76"/>
      <c r="BV1746" s="76"/>
      <c r="BW1746" s="76"/>
      <c r="BX1746" s="76"/>
      <c r="BY1746" s="76"/>
      <c r="BZ1746" s="76"/>
      <c r="CA1746" s="76"/>
      <c r="CB1746" s="76"/>
      <c r="CC1746" s="76"/>
      <c r="CD1746" s="76"/>
      <c r="CE1746" s="76"/>
      <c r="CF1746" s="76">
        <f>+CE1746*28000</f>
        <v>0</v>
      </c>
      <c r="CG1746" s="76"/>
      <c r="CH1746" s="76">
        <f>+CG1746*22500</f>
        <v>0</v>
      </c>
      <c r="CI1746" s="76"/>
      <c r="CJ1746" s="76">
        <f>+CI1746*26000</f>
        <v>0</v>
      </c>
      <c r="CK1746" s="76"/>
      <c r="CL1746" s="76"/>
      <c r="CM1746" s="76"/>
      <c r="CN1746" s="76">
        <f>+CM1746*22000</f>
        <v>0</v>
      </c>
      <c r="CO1746" s="76"/>
      <c r="CP1746" s="76">
        <f>+CO1746*46000</f>
        <v>0</v>
      </c>
      <c r="CQ1746" s="76"/>
      <c r="CR1746" s="76">
        <f>+CQ1746*49000</f>
        <v>0</v>
      </c>
      <c r="CS1746" s="76"/>
      <c r="CT1746" s="76"/>
      <c r="CU1746" s="56">
        <f>AN1746+AP1746+AR1746+AT1746+AV1746+AX1746+AZ1746+BB1746+BD1746+BF1746+BH1746+BJ1746+BL1746+BN1746+BP1746+BR1746+BT1746+BV1746+BX1746+BZ1746+CB1746+CD1746+CF1746+CH1746+CJ1746+CL1746+CN1746+CP1746+CR1746+CT1746</f>
        <v>0</v>
      </c>
      <c r="CV1746" s="76"/>
      <c r="CW1746" s="76">
        <f>+CV1746*1100</f>
        <v>0</v>
      </c>
      <c r="CX1746" s="76"/>
      <c r="CY1746" s="76">
        <f>+CX1746*106250</f>
        <v>0</v>
      </c>
      <c r="CZ1746" s="76"/>
      <c r="DA1746" s="76">
        <f>+CZ1746*34500</f>
        <v>0</v>
      </c>
      <c r="DB1746" s="76"/>
      <c r="DC1746" s="76">
        <f>+DB1746*25000</f>
        <v>0</v>
      </c>
      <c r="DD1746" s="219"/>
      <c r="DE1746" s="219"/>
      <c r="DF1746" s="166"/>
      <c r="DG1746" s="116"/>
      <c r="DH1746" s="117"/>
      <c r="DI1746" s="24"/>
      <c r="DJ1746" s="24"/>
      <c r="DK1746" s="24"/>
      <c r="DL1746" s="24"/>
      <c r="DM1746" s="24"/>
      <c r="DN1746" s="24"/>
      <c r="DO1746" s="24"/>
      <c r="DP1746" s="24"/>
      <c r="DQ1746" s="24"/>
      <c r="DR1746" s="24"/>
      <c r="DS1746" s="24"/>
      <c r="DT1746" s="24"/>
      <c r="DU1746" s="24"/>
    </row>
    <row r="1747" spans="1:125" s="8" customFormat="1" ht="60" x14ac:dyDescent="0.2">
      <c r="A1747" s="77">
        <v>41401</v>
      </c>
      <c r="B1747" s="78" t="s">
        <v>2860</v>
      </c>
      <c r="C1747" s="75" t="s">
        <v>2776</v>
      </c>
      <c r="D1747" s="75" t="s">
        <v>3121</v>
      </c>
      <c r="E1747" s="75" t="str">
        <f>VLOOKUP(B1747&amp;C1747,Divipola!$C$2:$F$1138,4,FALSE)</f>
        <v>63001</v>
      </c>
      <c r="F1747" s="163"/>
      <c r="G1747" s="163"/>
      <c r="H1747" s="163"/>
      <c r="I1747" s="163"/>
      <c r="J1747" s="163"/>
      <c r="K1747" s="163"/>
      <c r="L1747" s="163"/>
      <c r="M1747" s="163"/>
      <c r="N1747" s="163"/>
      <c r="O1747" s="163"/>
      <c r="P1747" s="163"/>
      <c r="Q1747" s="163"/>
      <c r="R1747" s="163"/>
      <c r="S1747" s="163"/>
      <c r="T1747" s="163"/>
      <c r="U1747" s="163"/>
      <c r="V1747" s="134"/>
      <c r="W1747" s="96">
        <v>0</v>
      </c>
      <c r="X1747" s="71">
        <f>CU1747</f>
        <v>0</v>
      </c>
      <c r="Y1747" s="71">
        <f>CY1747</f>
        <v>0</v>
      </c>
      <c r="Z1747" s="71">
        <f>DA1747+DC1747+DE1747</f>
        <v>0</v>
      </c>
      <c r="AA1747" s="71">
        <f>CW1747</f>
        <v>0</v>
      </c>
      <c r="AB1747" s="71"/>
      <c r="AC1747" s="71">
        <v>200000000</v>
      </c>
      <c r="AD1747" s="71">
        <f>W1747+X1747+Y1747+Z1747+AA1747+AB1747+AC1747</f>
        <v>200000000</v>
      </c>
      <c r="AE1747" s="72">
        <v>0</v>
      </c>
      <c r="AF1747" s="5"/>
      <c r="AG1747" s="6"/>
      <c r="AH1747" s="27" t="s">
        <v>3390</v>
      </c>
      <c r="AI1747" s="44" t="s">
        <v>3391</v>
      </c>
      <c r="AJ1747" s="26"/>
      <c r="AK1747" s="5"/>
      <c r="AL1747" s="82" t="s">
        <v>4557</v>
      </c>
      <c r="AM1747" s="76"/>
      <c r="AN1747" s="76"/>
      <c r="AO1747" s="76"/>
      <c r="AP1747" s="76"/>
      <c r="AQ1747" s="76"/>
      <c r="AR1747" s="76"/>
      <c r="AS1747" s="76"/>
      <c r="AT1747" s="76"/>
      <c r="AU1747" s="76"/>
      <c r="AV1747" s="76"/>
      <c r="AW1747" s="76"/>
      <c r="AX1747" s="76">
        <f>+AW1747*600000</f>
        <v>0</v>
      </c>
      <c r="AY1747" s="76"/>
      <c r="AZ1747" s="76">
        <f>+AY1747*70000</f>
        <v>0</v>
      </c>
      <c r="BA1747" s="76"/>
      <c r="BB1747" s="76"/>
      <c r="BC1747" s="76"/>
      <c r="BD1747" s="76">
        <f>+BC1747*30000</f>
        <v>0</v>
      </c>
      <c r="BE1747" s="76"/>
      <c r="BF1747" s="76"/>
      <c r="BG1747" s="76"/>
      <c r="BH1747" s="76"/>
      <c r="BI1747" s="76"/>
      <c r="BJ1747" s="76"/>
      <c r="BK1747" s="76"/>
      <c r="BL1747" s="76">
        <f>+BK1747*31500</f>
        <v>0</v>
      </c>
      <c r="BM1747" s="76"/>
      <c r="BN1747" s="76"/>
      <c r="BO1747" s="76"/>
      <c r="BP1747" s="76"/>
      <c r="BQ1747" s="76"/>
      <c r="BR1747" s="76"/>
      <c r="BS1747" s="76"/>
      <c r="BT1747" s="76"/>
      <c r="BU1747" s="76"/>
      <c r="BV1747" s="76"/>
      <c r="BW1747" s="76"/>
      <c r="BX1747" s="76"/>
      <c r="BY1747" s="76"/>
      <c r="BZ1747" s="76"/>
      <c r="CA1747" s="76"/>
      <c r="CB1747" s="76"/>
      <c r="CC1747" s="76"/>
      <c r="CD1747" s="76"/>
      <c r="CE1747" s="76"/>
      <c r="CF1747" s="76">
        <f>+CE1747*28000</f>
        <v>0</v>
      </c>
      <c r="CG1747" s="76"/>
      <c r="CH1747" s="76">
        <f>+CG1747*22500</f>
        <v>0</v>
      </c>
      <c r="CI1747" s="76"/>
      <c r="CJ1747" s="76">
        <f>+CI1747*26000</f>
        <v>0</v>
      </c>
      <c r="CK1747" s="76"/>
      <c r="CL1747" s="76"/>
      <c r="CM1747" s="76"/>
      <c r="CN1747" s="76">
        <f>+CM1747*22000</f>
        <v>0</v>
      </c>
      <c r="CO1747" s="76"/>
      <c r="CP1747" s="76">
        <f>+CO1747*46000</f>
        <v>0</v>
      </c>
      <c r="CQ1747" s="76"/>
      <c r="CR1747" s="76">
        <f>+CQ1747*49000</f>
        <v>0</v>
      </c>
      <c r="CS1747" s="76"/>
      <c r="CT1747" s="76"/>
      <c r="CU1747" s="56">
        <f>AN1747+AP1747+AR1747+AT1747+AV1747+AX1747+AZ1747+BB1747+BD1747+BF1747+BH1747+BJ1747+BL1747+BN1747+BP1747+BR1747+BT1747+BV1747+BX1747+BZ1747+CB1747+CD1747+CF1747+CH1747+CJ1747+CL1747+CN1747+CP1747+CR1747+CT1747</f>
        <v>0</v>
      </c>
      <c r="CV1747" s="76"/>
      <c r="CW1747" s="76">
        <f>+CV1747*1100</f>
        <v>0</v>
      </c>
      <c r="CX1747" s="76"/>
      <c r="CY1747" s="76">
        <f>+CX1747*106250</f>
        <v>0</v>
      </c>
      <c r="CZ1747" s="76"/>
      <c r="DA1747" s="76">
        <f>+CZ1747*34500</f>
        <v>0</v>
      </c>
      <c r="DB1747" s="76"/>
      <c r="DC1747" s="76">
        <f>+DB1747*25000</f>
        <v>0</v>
      </c>
      <c r="DD1747" s="219"/>
      <c r="DE1747" s="219"/>
      <c r="DF1747" s="166" t="s">
        <v>3247</v>
      </c>
      <c r="DG1747" s="116"/>
      <c r="DH1747" s="117"/>
      <c r="DI1747" s="24"/>
      <c r="DJ1747" s="24"/>
      <c r="DK1747" s="24"/>
      <c r="DL1747" s="24"/>
      <c r="DM1747" s="24"/>
      <c r="DN1747" s="24"/>
      <c r="DO1747" s="24"/>
      <c r="DP1747" s="24"/>
      <c r="DQ1747" s="24"/>
      <c r="DR1747" s="24"/>
      <c r="DS1747" s="24"/>
      <c r="DT1747" s="24"/>
      <c r="DU1747" s="24"/>
    </row>
    <row r="1748" spans="1:125" s="8" customFormat="1" ht="156" x14ac:dyDescent="0.2">
      <c r="A1748" s="353">
        <v>41401</v>
      </c>
      <c r="B1748" s="352" t="s">
        <v>2847</v>
      </c>
      <c r="C1748" s="354" t="s">
        <v>1381</v>
      </c>
      <c r="D1748" s="354" t="s">
        <v>3088</v>
      </c>
      <c r="E1748" s="75" t="str">
        <f>VLOOKUP(B1748&amp;C1748,Divipola!$C$2:$F$1138,4,FALSE)</f>
        <v>68720</v>
      </c>
      <c r="F1748" s="87"/>
      <c r="G1748" s="87"/>
      <c r="H1748" s="87"/>
      <c r="I1748" s="87"/>
      <c r="J1748" s="87"/>
      <c r="K1748" s="87"/>
      <c r="L1748" s="87"/>
      <c r="M1748" s="87">
        <v>1</v>
      </c>
      <c r="N1748" s="87"/>
      <c r="O1748" s="87"/>
      <c r="P1748" s="87"/>
      <c r="Q1748" s="87"/>
      <c r="R1748" s="87"/>
      <c r="S1748" s="87"/>
      <c r="T1748" s="87"/>
      <c r="U1748" s="88"/>
      <c r="V1748" s="89"/>
      <c r="W1748" s="96">
        <v>0</v>
      </c>
      <c r="X1748" s="71">
        <f>CU1748</f>
        <v>0</v>
      </c>
      <c r="Y1748" s="71">
        <f>CY1748</f>
        <v>0</v>
      </c>
      <c r="Z1748" s="71">
        <f>DA1748+DC1748+DE1748</f>
        <v>0</v>
      </c>
      <c r="AA1748" s="71">
        <f>CW1748</f>
        <v>0</v>
      </c>
      <c r="AB1748" s="71"/>
      <c r="AC1748" s="71">
        <v>0</v>
      </c>
      <c r="AD1748" s="71">
        <f>W1748+X1748+Y1748+Z1748+AA1748+AB1748+AC1748</f>
        <v>0</v>
      </c>
      <c r="AE1748" s="72">
        <v>0</v>
      </c>
      <c r="AF1748" s="5"/>
      <c r="AG1748" s="6"/>
      <c r="AH1748" s="27" t="s">
        <v>3392</v>
      </c>
      <c r="AI1748" s="44" t="s">
        <v>3393</v>
      </c>
      <c r="AJ1748" s="26"/>
      <c r="AK1748" s="5"/>
      <c r="AL1748" s="82" t="s">
        <v>4691</v>
      </c>
      <c r="AM1748" s="76"/>
      <c r="AN1748" s="76"/>
      <c r="AO1748" s="76"/>
      <c r="AP1748" s="76"/>
      <c r="AQ1748" s="76"/>
      <c r="AR1748" s="76"/>
      <c r="AS1748" s="76"/>
      <c r="AT1748" s="76"/>
      <c r="AU1748" s="76"/>
      <c r="AV1748" s="76"/>
      <c r="AW1748" s="76"/>
      <c r="AX1748" s="76">
        <f>+AW1748*600000</f>
        <v>0</v>
      </c>
      <c r="AY1748" s="76"/>
      <c r="AZ1748" s="76">
        <f>+AY1748*70000</f>
        <v>0</v>
      </c>
      <c r="BA1748" s="76"/>
      <c r="BB1748" s="76"/>
      <c r="BC1748" s="76"/>
      <c r="BD1748" s="76">
        <f>+BC1748*30000</f>
        <v>0</v>
      </c>
      <c r="BE1748" s="76"/>
      <c r="BF1748" s="76"/>
      <c r="BG1748" s="76"/>
      <c r="BH1748" s="76"/>
      <c r="BI1748" s="76"/>
      <c r="BJ1748" s="76"/>
      <c r="BK1748" s="76"/>
      <c r="BL1748" s="76">
        <f>+BK1748*31500</f>
        <v>0</v>
      </c>
      <c r="BM1748" s="76"/>
      <c r="BN1748" s="76"/>
      <c r="BO1748" s="76"/>
      <c r="BP1748" s="76"/>
      <c r="BQ1748" s="76"/>
      <c r="BR1748" s="76"/>
      <c r="BS1748" s="76"/>
      <c r="BT1748" s="76"/>
      <c r="BU1748" s="76"/>
      <c r="BV1748" s="76"/>
      <c r="BW1748" s="76"/>
      <c r="BX1748" s="76"/>
      <c r="BY1748" s="76"/>
      <c r="BZ1748" s="76"/>
      <c r="CA1748" s="76"/>
      <c r="CB1748" s="76"/>
      <c r="CC1748" s="76"/>
      <c r="CD1748" s="76"/>
      <c r="CE1748" s="76"/>
      <c r="CF1748" s="76">
        <f>+CE1748*28000</f>
        <v>0</v>
      </c>
      <c r="CG1748" s="76"/>
      <c r="CH1748" s="76">
        <f>+CG1748*22500</f>
        <v>0</v>
      </c>
      <c r="CI1748" s="76"/>
      <c r="CJ1748" s="76">
        <f>+CI1748*26000</f>
        <v>0</v>
      </c>
      <c r="CK1748" s="76"/>
      <c r="CL1748" s="76"/>
      <c r="CM1748" s="76"/>
      <c r="CN1748" s="76">
        <f>+CM1748*22000</f>
        <v>0</v>
      </c>
      <c r="CO1748" s="76"/>
      <c r="CP1748" s="76">
        <f>+CO1748*46000</f>
        <v>0</v>
      </c>
      <c r="CQ1748" s="76"/>
      <c r="CR1748" s="76">
        <f>+CQ1748*49000</f>
        <v>0</v>
      </c>
      <c r="CS1748" s="76"/>
      <c r="CT1748" s="76"/>
      <c r="CU1748" s="56">
        <f>AN1748+AP1748+AR1748+AT1748+AV1748+AX1748+AZ1748+BB1748+BD1748+BF1748+BH1748+BJ1748+BL1748+BN1748+BP1748+BR1748+BT1748+BV1748+BX1748+BZ1748+CB1748+CD1748+CF1748+CH1748+CJ1748+CL1748+CN1748+CP1748+CR1748+CT1748</f>
        <v>0</v>
      </c>
      <c r="CV1748" s="76"/>
      <c r="CW1748" s="76">
        <f>+CV1748*1100</f>
        <v>0</v>
      </c>
      <c r="CX1748" s="76"/>
      <c r="CY1748" s="76">
        <f>+CX1748*106250</f>
        <v>0</v>
      </c>
      <c r="CZ1748" s="76"/>
      <c r="DA1748" s="76">
        <f>+CZ1748*34500</f>
        <v>0</v>
      </c>
      <c r="DB1748" s="76"/>
      <c r="DC1748" s="76">
        <f>+DB1748*25000</f>
        <v>0</v>
      </c>
      <c r="DD1748" s="219"/>
      <c r="DE1748" s="219"/>
      <c r="DF1748" s="166"/>
      <c r="DG1748" s="116"/>
      <c r="DH1748" s="117"/>
      <c r="DI1748" s="24"/>
      <c r="DJ1748" s="24"/>
      <c r="DK1748" s="24"/>
      <c r="DL1748" s="24"/>
      <c r="DM1748" s="24"/>
      <c r="DN1748" s="24"/>
      <c r="DO1748" s="24"/>
      <c r="DP1748" s="24"/>
      <c r="DQ1748" s="24"/>
      <c r="DR1748" s="24"/>
      <c r="DS1748" s="24"/>
      <c r="DT1748" s="24"/>
      <c r="DU1748" s="24"/>
    </row>
    <row r="1749" spans="1:125" s="8" customFormat="1" ht="36" x14ac:dyDescent="0.2">
      <c r="A1749" s="77">
        <v>41401</v>
      </c>
      <c r="B1749" s="78" t="s">
        <v>2851</v>
      </c>
      <c r="C1749" s="75" t="s">
        <v>1959</v>
      </c>
      <c r="D1749" s="75" t="s">
        <v>3051</v>
      </c>
      <c r="E1749" s="75" t="str">
        <f>VLOOKUP(B1749&amp;C1749,Divipola!$C$2:$F$1138,4,FALSE)</f>
        <v>76616</v>
      </c>
      <c r="F1749" s="87"/>
      <c r="G1749" s="87"/>
      <c r="H1749" s="87"/>
      <c r="I1749" s="87"/>
      <c r="J1749" s="87"/>
      <c r="K1749" s="87"/>
      <c r="L1749" s="87"/>
      <c r="M1749" s="87"/>
      <c r="N1749" s="87"/>
      <c r="O1749" s="87"/>
      <c r="P1749" s="87"/>
      <c r="Q1749" s="87"/>
      <c r="R1749" s="87">
        <v>1</v>
      </c>
      <c r="S1749" s="87"/>
      <c r="T1749" s="87"/>
      <c r="U1749" s="88"/>
      <c r="V1749" s="89"/>
      <c r="W1749" s="96">
        <v>0</v>
      </c>
      <c r="X1749" s="71">
        <f>CU1749</f>
        <v>0</v>
      </c>
      <c r="Y1749" s="71">
        <f>CY1749</f>
        <v>0</v>
      </c>
      <c r="Z1749" s="71">
        <f>DA1749+DC1749+DE1749</f>
        <v>0</v>
      </c>
      <c r="AA1749" s="71">
        <f>CW1749</f>
        <v>0</v>
      </c>
      <c r="AB1749" s="71"/>
      <c r="AC1749" s="71">
        <v>0</v>
      </c>
      <c r="AD1749" s="71">
        <f>W1749+X1749+Y1749+Z1749+AA1749+AB1749+AC1749</f>
        <v>0</v>
      </c>
      <c r="AE1749" s="72">
        <v>0</v>
      </c>
      <c r="AF1749" s="5"/>
      <c r="AG1749" s="6"/>
      <c r="AH1749" s="27" t="s">
        <v>3392</v>
      </c>
      <c r="AI1749" s="44" t="s">
        <v>3393</v>
      </c>
      <c r="AJ1749" s="26"/>
      <c r="AK1749" s="5"/>
      <c r="AL1749" s="82" t="s">
        <v>4553</v>
      </c>
      <c r="AM1749" s="76"/>
      <c r="AN1749" s="76"/>
      <c r="AO1749" s="76"/>
      <c r="AP1749" s="76"/>
      <c r="AQ1749" s="76"/>
      <c r="AR1749" s="76"/>
      <c r="AS1749" s="76"/>
      <c r="AT1749" s="76"/>
      <c r="AU1749" s="76"/>
      <c r="AV1749" s="76"/>
      <c r="AW1749" s="76"/>
      <c r="AX1749" s="76">
        <f>+AW1749*600000</f>
        <v>0</v>
      </c>
      <c r="AY1749" s="76"/>
      <c r="AZ1749" s="76">
        <f>+AY1749*70000</f>
        <v>0</v>
      </c>
      <c r="BA1749" s="76"/>
      <c r="BB1749" s="76"/>
      <c r="BC1749" s="76"/>
      <c r="BD1749" s="76">
        <f>+BC1749*30000</f>
        <v>0</v>
      </c>
      <c r="BE1749" s="76"/>
      <c r="BF1749" s="76"/>
      <c r="BG1749" s="76"/>
      <c r="BH1749" s="76"/>
      <c r="BI1749" s="76"/>
      <c r="BJ1749" s="76"/>
      <c r="BK1749" s="76"/>
      <c r="BL1749" s="76">
        <f>+BK1749*31500</f>
        <v>0</v>
      </c>
      <c r="BM1749" s="76"/>
      <c r="BN1749" s="76"/>
      <c r="BO1749" s="76"/>
      <c r="BP1749" s="76"/>
      <c r="BQ1749" s="76"/>
      <c r="BR1749" s="76"/>
      <c r="BS1749" s="76"/>
      <c r="BT1749" s="76"/>
      <c r="BU1749" s="76"/>
      <c r="BV1749" s="76"/>
      <c r="BW1749" s="76"/>
      <c r="BX1749" s="76"/>
      <c r="BY1749" s="76"/>
      <c r="BZ1749" s="76"/>
      <c r="CA1749" s="76"/>
      <c r="CB1749" s="76"/>
      <c r="CC1749" s="76"/>
      <c r="CD1749" s="76"/>
      <c r="CE1749" s="76"/>
      <c r="CF1749" s="76">
        <f>+CE1749*28000</f>
        <v>0</v>
      </c>
      <c r="CG1749" s="76"/>
      <c r="CH1749" s="76">
        <f>+CG1749*22500</f>
        <v>0</v>
      </c>
      <c r="CI1749" s="76"/>
      <c r="CJ1749" s="76">
        <f>+CI1749*26000</f>
        <v>0</v>
      </c>
      <c r="CK1749" s="76"/>
      <c r="CL1749" s="76"/>
      <c r="CM1749" s="76"/>
      <c r="CN1749" s="76">
        <f>+CM1749*22000</f>
        <v>0</v>
      </c>
      <c r="CO1749" s="76"/>
      <c r="CP1749" s="76">
        <f>+CO1749*46000</f>
        <v>0</v>
      </c>
      <c r="CQ1749" s="76"/>
      <c r="CR1749" s="76">
        <f>+CQ1749*49000</f>
        <v>0</v>
      </c>
      <c r="CS1749" s="76"/>
      <c r="CT1749" s="76"/>
      <c r="CU1749" s="56">
        <f>AN1749+AP1749+AR1749+AT1749+AV1749+AX1749+AZ1749+BB1749+BD1749+BF1749+BH1749+BJ1749+BL1749+BN1749+BP1749+BR1749+BT1749+BV1749+BX1749+BZ1749+CB1749+CD1749+CF1749+CH1749+CJ1749+CL1749+CN1749+CP1749+CR1749+CT1749</f>
        <v>0</v>
      </c>
      <c r="CV1749" s="76"/>
      <c r="CW1749" s="76">
        <f>+CV1749*1100</f>
        <v>0</v>
      </c>
      <c r="CX1749" s="76"/>
      <c r="CY1749" s="76">
        <f>+CX1749*106250</f>
        <v>0</v>
      </c>
      <c r="CZ1749" s="76"/>
      <c r="DA1749" s="76">
        <f>+CZ1749*34500</f>
        <v>0</v>
      </c>
      <c r="DB1749" s="76"/>
      <c r="DC1749" s="76">
        <f>+DB1749*25000</f>
        <v>0</v>
      </c>
      <c r="DD1749" s="219"/>
      <c r="DE1749" s="219"/>
      <c r="DF1749" s="166"/>
      <c r="DG1749" s="116"/>
      <c r="DH1749" s="117"/>
      <c r="DI1749" s="24"/>
      <c r="DJ1749" s="24"/>
      <c r="DK1749" s="24"/>
      <c r="DL1749" s="24"/>
      <c r="DM1749" s="24"/>
      <c r="DN1749" s="24"/>
      <c r="DO1749" s="24"/>
      <c r="DP1749" s="24"/>
      <c r="DQ1749" s="24"/>
      <c r="DR1749" s="24"/>
      <c r="DS1749" s="24"/>
      <c r="DT1749" s="24"/>
      <c r="DU1749" s="24"/>
    </row>
    <row r="1750" spans="1:125" s="8" customFormat="1" ht="96" x14ac:dyDescent="0.2">
      <c r="A1750" s="77">
        <v>41401</v>
      </c>
      <c r="B1750" s="78" t="s">
        <v>2851</v>
      </c>
      <c r="C1750" s="227" t="s">
        <v>2751</v>
      </c>
      <c r="D1750" s="227" t="s">
        <v>3051</v>
      </c>
      <c r="E1750" s="75" t="str">
        <f>VLOOKUP(B1750&amp;C1750,Divipola!$C$2:$F$1138,4,FALSE)</f>
        <v>76828</v>
      </c>
      <c r="F1750" s="87"/>
      <c r="G1750" s="87"/>
      <c r="H1750" s="87"/>
      <c r="I1750" s="87"/>
      <c r="J1750" s="87"/>
      <c r="K1750" s="87"/>
      <c r="L1750" s="87"/>
      <c r="M1750" s="87"/>
      <c r="N1750" s="87"/>
      <c r="O1750" s="87"/>
      <c r="P1750" s="87"/>
      <c r="Q1750" s="87"/>
      <c r="R1750" s="87"/>
      <c r="S1750" s="87">
        <v>1</v>
      </c>
      <c r="T1750" s="87"/>
      <c r="U1750" s="88"/>
      <c r="V1750" s="89"/>
      <c r="W1750" s="96">
        <v>0</v>
      </c>
      <c r="X1750" s="71">
        <f>CU1750</f>
        <v>0</v>
      </c>
      <c r="Y1750" s="71">
        <f>CY1750</f>
        <v>0</v>
      </c>
      <c r="Z1750" s="71">
        <f>DA1750+DC1750+DE1750</f>
        <v>0</v>
      </c>
      <c r="AA1750" s="71">
        <f>CW1750</f>
        <v>0</v>
      </c>
      <c r="AB1750" s="71"/>
      <c r="AC1750" s="71">
        <v>0</v>
      </c>
      <c r="AD1750" s="71">
        <f>W1750+X1750+Y1750+Z1750+AA1750+AB1750+AC1750</f>
        <v>0</v>
      </c>
      <c r="AE1750" s="72">
        <v>0</v>
      </c>
      <c r="AF1750" s="5"/>
      <c r="AG1750" s="6"/>
      <c r="AH1750" s="27" t="s">
        <v>3392</v>
      </c>
      <c r="AI1750" s="44" t="s">
        <v>3393</v>
      </c>
      <c r="AJ1750" s="26"/>
      <c r="AK1750" s="5"/>
      <c r="AL1750" s="82" t="s">
        <v>4554</v>
      </c>
      <c r="AM1750" s="76"/>
      <c r="AN1750" s="76"/>
      <c r="AO1750" s="76"/>
      <c r="AP1750" s="76"/>
      <c r="AQ1750" s="76"/>
      <c r="AR1750" s="76"/>
      <c r="AS1750" s="76"/>
      <c r="AT1750" s="76"/>
      <c r="AU1750" s="76"/>
      <c r="AV1750" s="76"/>
      <c r="AW1750" s="76"/>
      <c r="AX1750" s="76">
        <f>+AW1750*600000</f>
        <v>0</v>
      </c>
      <c r="AY1750" s="76"/>
      <c r="AZ1750" s="76">
        <f>+AY1750*70000</f>
        <v>0</v>
      </c>
      <c r="BA1750" s="76"/>
      <c r="BB1750" s="76"/>
      <c r="BC1750" s="76"/>
      <c r="BD1750" s="76">
        <f>+BC1750*30000</f>
        <v>0</v>
      </c>
      <c r="BE1750" s="76"/>
      <c r="BF1750" s="76"/>
      <c r="BG1750" s="76"/>
      <c r="BH1750" s="76"/>
      <c r="BI1750" s="76"/>
      <c r="BJ1750" s="76"/>
      <c r="BK1750" s="76"/>
      <c r="BL1750" s="76">
        <f>+BK1750*31500</f>
        <v>0</v>
      </c>
      <c r="BM1750" s="76"/>
      <c r="BN1750" s="76"/>
      <c r="BO1750" s="76"/>
      <c r="BP1750" s="76"/>
      <c r="BQ1750" s="76"/>
      <c r="BR1750" s="76"/>
      <c r="BS1750" s="76"/>
      <c r="BT1750" s="76"/>
      <c r="BU1750" s="76"/>
      <c r="BV1750" s="76"/>
      <c r="BW1750" s="76"/>
      <c r="BX1750" s="76"/>
      <c r="BY1750" s="76"/>
      <c r="BZ1750" s="76"/>
      <c r="CA1750" s="76"/>
      <c r="CB1750" s="76"/>
      <c r="CC1750" s="76"/>
      <c r="CD1750" s="76"/>
      <c r="CE1750" s="76"/>
      <c r="CF1750" s="76">
        <f>+CE1750*28000</f>
        <v>0</v>
      </c>
      <c r="CG1750" s="76"/>
      <c r="CH1750" s="76">
        <f>+CG1750*22500</f>
        <v>0</v>
      </c>
      <c r="CI1750" s="76"/>
      <c r="CJ1750" s="76">
        <f>+CI1750*26000</f>
        <v>0</v>
      </c>
      <c r="CK1750" s="76"/>
      <c r="CL1750" s="76"/>
      <c r="CM1750" s="76"/>
      <c r="CN1750" s="76">
        <f>+CM1750*22000</f>
        <v>0</v>
      </c>
      <c r="CO1750" s="76"/>
      <c r="CP1750" s="76">
        <f>+CO1750*46000</f>
        <v>0</v>
      </c>
      <c r="CQ1750" s="76"/>
      <c r="CR1750" s="76">
        <f>+CQ1750*49000</f>
        <v>0</v>
      </c>
      <c r="CS1750" s="76"/>
      <c r="CT1750" s="76"/>
      <c r="CU1750" s="56">
        <f>AN1750+AP1750+AR1750+AT1750+AV1750+AX1750+AZ1750+BB1750+BD1750+BF1750+BH1750+BJ1750+BL1750+BN1750+BP1750+BR1750+BT1750+BV1750+BX1750+BZ1750+CB1750+CD1750+CF1750+CH1750+CJ1750+CL1750+CN1750+CP1750+CR1750+CT1750</f>
        <v>0</v>
      </c>
      <c r="CV1750" s="76"/>
      <c r="CW1750" s="76">
        <f>+CV1750*1100</f>
        <v>0</v>
      </c>
      <c r="CX1750" s="76"/>
      <c r="CY1750" s="76">
        <f>+CX1750*106250</f>
        <v>0</v>
      </c>
      <c r="CZ1750" s="76"/>
      <c r="DA1750" s="76">
        <f>+CZ1750*34500</f>
        <v>0</v>
      </c>
      <c r="DB1750" s="76"/>
      <c r="DC1750" s="76">
        <f>+DB1750*25000</f>
        <v>0</v>
      </c>
      <c r="DD1750" s="219"/>
      <c r="DE1750" s="219"/>
      <c r="DF1750" s="166"/>
      <c r="DG1750" s="116"/>
      <c r="DH1750" s="117"/>
      <c r="DI1750" s="24"/>
      <c r="DJ1750" s="24"/>
      <c r="DK1750" s="24"/>
      <c r="DL1750" s="24"/>
      <c r="DM1750" s="24"/>
      <c r="DN1750" s="24"/>
      <c r="DO1750" s="24"/>
      <c r="DP1750" s="24"/>
      <c r="DQ1750" s="24"/>
      <c r="DR1750" s="24"/>
      <c r="DS1750" s="24"/>
      <c r="DT1750" s="24"/>
      <c r="DU1750" s="24"/>
    </row>
    <row r="1751" spans="1:125" s="8" customFormat="1" ht="84" x14ac:dyDescent="0.2">
      <c r="A1751" s="353">
        <v>41401</v>
      </c>
      <c r="B1751" s="352" t="s">
        <v>2851</v>
      </c>
      <c r="C1751" s="354" t="s">
        <v>1974</v>
      </c>
      <c r="D1751" s="354" t="s">
        <v>3051</v>
      </c>
      <c r="E1751" s="75" t="str">
        <f>VLOOKUP(B1751&amp;C1751,Divipola!$C$2:$F$1138,4,FALSE)</f>
        <v>76869</v>
      </c>
      <c r="F1751" s="87"/>
      <c r="G1751" s="87"/>
      <c r="H1751" s="87"/>
      <c r="I1751" s="87">
        <v>18</v>
      </c>
      <c r="J1751" s="87">
        <v>4</v>
      </c>
      <c r="K1751" s="87"/>
      <c r="L1751" s="87">
        <v>4</v>
      </c>
      <c r="M1751" s="87"/>
      <c r="N1751" s="87"/>
      <c r="O1751" s="87"/>
      <c r="P1751" s="87"/>
      <c r="Q1751" s="87"/>
      <c r="R1751" s="87"/>
      <c r="S1751" s="87"/>
      <c r="T1751" s="87"/>
      <c r="U1751" s="88"/>
      <c r="V1751" s="89"/>
      <c r="W1751" s="96">
        <v>0</v>
      </c>
      <c r="X1751" s="71">
        <f>CU1751</f>
        <v>0</v>
      </c>
      <c r="Y1751" s="71">
        <f>CY1751</f>
        <v>0</v>
      </c>
      <c r="Z1751" s="71">
        <f>DA1751+DC1751+DE1751</f>
        <v>0</v>
      </c>
      <c r="AA1751" s="71">
        <f>CW1751</f>
        <v>0</v>
      </c>
      <c r="AB1751" s="71"/>
      <c r="AC1751" s="71">
        <v>0</v>
      </c>
      <c r="AD1751" s="71">
        <f>W1751+X1751+Y1751+Z1751+AA1751+AB1751+AC1751</f>
        <v>0</v>
      </c>
      <c r="AE1751" s="72">
        <v>0</v>
      </c>
      <c r="AF1751" s="5"/>
      <c r="AG1751" s="6"/>
      <c r="AH1751" s="27" t="s">
        <v>3392</v>
      </c>
      <c r="AI1751" s="44" t="s">
        <v>3393</v>
      </c>
      <c r="AJ1751" s="26"/>
      <c r="AK1751" s="5"/>
      <c r="AL1751" s="82" t="s">
        <v>4570</v>
      </c>
      <c r="AM1751" s="76"/>
      <c r="AN1751" s="76"/>
      <c r="AO1751" s="76"/>
      <c r="AP1751" s="76"/>
      <c r="AQ1751" s="76"/>
      <c r="AR1751" s="76"/>
      <c r="AS1751" s="76"/>
      <c r="AT1751" s="76"/>
      <c r="AU1751" s="76"/>
      <c r="AV1751" s="76"/>
      <c r="AW1751" s="76"/>
      <c r="AX1751" s="76">
        <f>+AW1751*600000</f>
        <v>0</v>
      </c>
      <c r="AY1751" s="76"/>
      <c r="AZ1751" s="76">
        <f>+AY1751*70000</f>
        <v>0</v>
      </c>
      <c r="BA1751" s="76"/>
      <c r="BB1751" s="76"/>
      <c r="BC1751" s="76"/>
      <c r="BD1751" s="76">
        <f>+BC1751*30000</f>
        <v>0</v>
      </c>
      <c r="BE1751" s="76"/>
      <c r="BF1751" s="76"/>
      <c r="BG1751" s="76"/>
      <c r="BH1751" s="76"/>
      <c r="BI1751" s="76"/>
      <c r="BJ1751" s="76"/>
      <c r="BK1751" s="76"/>
      <c r="BL1751" s="76">
        <f>+BK1751*31500</f>
        <v>0</v>
      </c>
      <c r="BM1751" s="76"/>
      <c r="BN1751" s="76"/>
      <c r="BO1751" s="76"/>
      <c r="BP1751" s="76"/>
      <c r="BQ1751" s="76"/>
      <c r="BR1751" s="76"/>
      <c r="BS1751" s="76"/>
      <c r="BT1751" s="76"/>
      <c r="BU1751" s="76"/>
      <c r="BV1751" s="76"/>
      <c r="BW1751" s="76"/>
      <c r="BX1751" s="76"/>
      <c r="BY1751" s="76"/>
      <c r="BZ1751" s="76"/>
      <c r="CA1751" s="76"/>
      <c r="CB1751" s="76"/>
      <c r="CC1751" s="76"/>
      <c r="CD1751" s="76"/>
      <c r="CE1751" s="76"/>
      <c r="CF1751" s="76">
        <f>+CE1751*28000</f>
        <v>0</v>
      </c>
      <c r="CG1751" s="76"/>
      <c r="CH1751" s="76">
        <f>+CG1751*22500</f>
        <v>0</v>
      </c>
      <c r="CI1751" s="76"/>
      <c r="CJ1751" s="76">
        <f>+CI1751*26000</f>
        <v>0</v>
      </c>
      <c r="CK1751" s="76"/>
      <c r="CL1751" s="76"/>
      <c r="CM1751" s="76"/>
      <c r="CN1751" s="76">
        <f>+CM1751*22000</f>
        <v>0</v>
      </c>
      <c r="CO1751" s="76"/>
      <c r="CP1751" s="76">
        <f>+CO1751*46000</f>
        <v>0</v>
      </c>
      <c r="CQ1751" s="76"/>
      <c r="CR1751" s="76">
        <f>+CQ1751*49000</f>
        <v>0</v>
      </c>
      <c r="CS1751" s="76"/>
      <c r="CT1751" s="76"/>
      <c r="CU1751" s="56">
        <f>AN1751+AP1751+AR1751+AT1751+AV1751+AX1751+AZ1751+BB1751+BD1751+BF1751+BH1751+BJ1751+BL1751+BN1751+BP1751+BR1751+BT1751+BV1751+BX1751+BZ1751+CB1751+CD1751+CF1751+CH1751+CJ1751+CL1751+CN1751+CP1751+CR1751+CT1751</f>
        <v>0</v>
      </c>
      <c r="CV1751" s="76"/>
      <c r="CW1751" s="76">
        <f>+CV1751*1100</f>
        <v>0</v>
      </c>
      <c r="CX1751" s="76"/>
      <c r="CY1751" s="76">
        <f>+CX1751*106250</f>
        <v>0</v>
      </c>
      <c r="CZ1751" s="76"/>
      <c r="DA1751" s="76">
        <f>+CZ1751*34500</f>
        <v>0</v>
      </c>
      <c r="DB1751" s="76"/>
      <c r="DC1751" s="76">
        <f>+DB1751*25000</f>
        <v>0</v>
      </c>
      <c r="DD1751" s="219"/>
      <c r="DE1751" s="219"/>
      <c r="DF1751" s="166"/>
      <c r="DG1751" s="116"/>
      <c r="DH1751" s="117"/>
      <c r="DI1751" s="24"/>
      <c r="DJ1751" s="24"/>
      <c r="DK1751" s="24"/>
      <c r="DL1751" s="24"/>
      <c r="DM1751" s="24"/>
      <c r="DN1751" s="24"/>
      <c r="DO1751" s="24"/>
      <c r="DP1751" s="24"/>
      <c r="DQ1751" s="24"/>
      <c r="DR1751" s="24"/>
      <c r="DS1751" s="24"/>
      <c r="DT1751" s="24"/>
      <c r="DU1751" s="24"/>
    </row>
    <row r="1752" spans="1:125" s="8" customFormat="1" ht="72" x14ac:dyDescent="0.2">
      <c r="A1752" s="77">
        <v>41401</v>
      </c>
      <c r="B1752" s="78" t="s">
        <v>2851</v>
      </c>
      <c r="C1752" s="75" t="s">
        <v>2113</v>
      </c>
      <c r="D1752" s="75" t="s">
        <v>3051</v>
      </c>
      <c r="E1752" s="75" t="str">
        <f>VLOOKUP(B1752&amp;C1752,Divipola!$C$2:$F$1138,4,FALSE)</f>
        <v>76892</v>
      </c>
      <c r="F1752" s="87"/>
      <c r="G1752" s="87"/>
      <c r="H1752" s="87"/>
      <c r="I1752" s="87">
        <v>20</v>
      </c>
      <c r="J1752" s="87">
        <v>4</v>
      </c>
      <c r="K1752" s="87"/>
      <c r="L1752" s="87">
        <v>4</v>
      </c>
      <c r="M1752" s="87"/>
      <c r="N1752" s="87"/>
      <c r="O1752" s="87"/>
      <c r="P1752" s="87"/>
      <c r="Q1752" s="87"/>
      <c r="R1752" s="87"/>
      <c r="S1752" s="87"/>
      <c r="T1752" s="87"/>
      <c r="U1752" s="88"/>
      <c r="V1752" s="89"/>
      <c r="W1752" s="96">
        <v>0</v>
      </c>
      <c r="X1752" s="71">
        <f>CU1752</f>
        <v>0</v>
      </c>
      <c r="Y1752" s="71">
        <f>CY1752</f>
        <v>0</v>
      </c>
      <c r="Z1752" s="71">
        <f>DA1752+DC1752+DE1752</f>
        <v>0</v>
      </c>
      <c r="AA1752" s="71">
        <f>CW1752</f>
        <v>0</v>
      </c>
      <c r="AB1752" s="71"/>
      <c r="AC1752" s="71">
        <v>0</v>
      </c>
      <c r="AD1752" s="71">
        <f>W1752+X1752+Y1752+Z1752+AA1752+AB1752+AC1752</f>
        <v>0</v>
      </c>
      <c r="AE1752" s="72">
        <v>0</v>
      </c>
      <c r="AF1752" s="5"/>
      <c r="AG1752" s="6"/>
      <c r="AH1752" s="27" t="s">
        <v>3392</v>
      </c>
      <c r="AI1752" s="44" t="s">
        <v>3393</v>
      </c>
      <c r="AJ1752" s="26"/>
      <c r="AK1752" s="5"/>
      <c r="AL1752" s="82" t="s">
        <v>4549</v>
      </c>
      <c r="AM1752" s="76"/>
      <c r="AN1752" s="76"/>
      <c r="AO1752" s="76"/>
      <c r="AP1752" s="76"/>
      <c r="AQ1752" s="76"/>
      <c r="AR1752" s="76"/>
      <c r="AS1752" s="76"/>
      <c r="AT1752" s="76"/>
      <c r="AU1752" s="76"/>
      <c r="AV1752" s="76"/>
      <c r="AW1752" s="76"/>
      <c r="AX1752" s="76">
        <f>+AW1752*600000</f>
        <v>0</v>
      </c>
      <c r="AY1752" s="76"/>
      <c r="AZ1752" s="76">
        <f>+AY1752*70000</f>
        <v>0</v>
      </c>
      <c r="BA1752" s="76"/>
      <c r="BB1752" s="76"/>
      <c r="BC1752" s="76"/>
      <c r="BD1752" s="76">
        <f>+BC1752*30000</f>
        <v>0</v>
      </c>
      <c r="BE1752" s="76"/>
      <c r="BF1752" s="76"/>
      <c r="BG1752" s="76"/>
      <c r="BH1752" s="76"/>
      <c r="BI1752" s="76"/>
      <c r="BJ1752" s="76"/>
      <c r="BK1752" s="76"/>
      <c r="BL1752" s="76">
        <f>+BK1752*31500</f>
        <v>0</v>
      </c>
      <c r="BM1752" s="76"/>
      <c r="BN1752" s="76"/>
      <c r="BO1752" s="76"/>
      <c r="BP1752" s="76"/>
      <c r="BQ1752" s="76"/>
      <c r="BR1752" s="76"/>
      <c r="BS1752" s="76"/>
      <c r="BT1752" s="76"/>
      <c r="BU1752" s="76"/>
      <c r="BV1752" s="76"/>
      <c r="BW1752" s="76"/>
      <c r="BX1752" s="76"/>
      <c r="BY1752" s="76"/>
      <c r="BZ1752" s="76"/>
      <c r="CA1752" s="76"/>
      <c r="CB1752" s="76"/>
      <c r="CC1752" s="76"/>
      <c r="CD1752" s="76"/>
      <c r="CE1752" s="76"/>
      <c r="CF1752" s="76">
        <f>+CE1752*28000</f>
        <v>0</v>
      </c>
      <c r="CG1752" s="76"/>
      <c r="CH1752" s="76">
        <f>+CG1752*22500</f>
        <v>0</v>
      </c>
      <c r="CI1752" s="76"/>
      <c r="CJ1752" s="76">
        <f>+CI1752*26000</f>
        <v>0</v>
      </c>
      <c r="CK1752" s="76"/>
      <c r="CL1752" s="76"/>
      <c r="CM1752" s="76"/>
      <c r="CN1752" s="76">
        <f>+CM1752*22000</f>
        <v>0</v>
      </c>
      <c r="CO1752" s="76"/>
      <c r="CP1752" s="76">
        <f>+CO1752*46000</f>
        <v>0</v>
      </c>
      <c r="CQ1752" s="76"/>
      <c r="CR1752" s="76">
        <f>+CQ1752*49000</f>
        <v>0</v>
      </c>
      <c r="CS1752" s="76"/>
      <c r="CT1752" s="76"/>
      <c r="CU1752" s="56">
        <f>AN1752+AP1752+AR1752+AT1752+AV1752+AX1752+AZ1752+BB1752+BD1752+BF1752+BH1752+BJ1752+BL1752+BN1752+BP1752+BR1752+BT1752+BV1752+BX1752+BZ1752+CB1752+CD1752+CF1752+CH1752+CJ1752+CL1752+CN1752+CP1752+CR1752+CT1752</f>
        <v>0</v>
      </c>
      <c r="CV1752" s="76"/>
      <c r="CW1752" s="76">
        <f>+CV1752*1100</f>
        <v>0</v>
      </c>
      <c r="CX1752" s="76"/>
      <c r="CY1752" s="76">
        <f>+CX1752*106250</f>
        <v>0</v>
      </c>
      <c r="CZ1752" s="76"/>
      <c r="DA1752" s="76">
        <f>+CZ1752*34500</f>
        <v>0</v>
      </c>
      <c r="DB1752" s="76"/>
      <c r="DC1752" s="76">
        <f>+DB1752*25000</f>
        <v>0</v>
      </c>
      <c r="DD1752" s="219"/>
      <c r="DE1752" s="219"/>
      <c r="DF1752" s="166"/>
      <c r="DG1752" s="116"/>
      <c r="DH1752" s="117"/>
      <c r="DI1752" s="24"/>
      <c r="DJ1752" s="24"/>
      <c r="DK1752" s="24"/>
      <c r="DL1752" s="24"/>
      <c r="DM1752" s="24"/>
      <c r="DN1752" s="24"/>
      <c r="DO1752" s="24"/>
      <c r="DP1752" s="24"/>
      <c r="DQ1752" s="24"/>
      <c r="DR1752" s="24"/>
      <c r="DS1752" s="24"/>
      <c r="DT1752" s="24"/>
      <c r="DU1752" s="24"/>
    </row>
    <row r="1753" spans="1:125" s="8" customFormat="1" ht="60" x14ac:dyDescent="0.2">
      <c r="A1753" s="353">
        <v>41401</v>
      </c>
      <c r="B1753" s="352" t="s">
        <v>2851</v>
      </c>
      <c r="C1753" s="354" t="s">
        <v>2113</v>
      </c>
      <c r="D1753" s="354" t="s">
        <v>2882</v>
      </c>
      <c r="E1753" s="75" t="str">
        <f>VLOOKUP(B1753&amp;C1753,Divipola!$C$2:$F$1138,4,FALSE)</f>
        <v>76892</v>
      </c>
      <c r="F1753" s="87"/>
      <c r="G1753" s="87"/>
      <c r="H1753" s="87"/>
      <c r="I1753" s="87">
        <v>600</v>
      </c>
      <c r="J1753" s="87">
        <v>120</v>
      </c>
      <c r="K1753" s="87"/>
      <c r="L1753" s="87">
        <v>120</v>
      </c>
      <c r="M1753" s="87"/>
      <c r="N1753" s="87"/>
      <c r="O1753" s="87"/>
      <c r="P1753" s="87"/>
      <c r="Q1753" s="87"/>
      <c r="R1753" s="87"/>
      <c r="S1753" s="87"/>
      <c r="T1753" s="87"/>
      <c r="U1753" s="88"/>
      <c r="V1753" s="89"/>
      <c r="W1753" s="96">
        <v>0</v>
      </c>
      <c r="X1753" s="71">
        <f>CU1753</f>
        <v>0</v>
      </c>
      <c r="Y1753" s="71">
        <f>CY1753</f>
        <v>0</v>
      </c>
      <c r="Z1753" s="71">
        <f>DA1753+DC1753+DE1753</f>
        <v>0</v>
      </c>
      <c r="AA1753" s="71">
        <f>CW1753</f>
        <v>0</v>
      </c>
      <c r="AB1753" s="71"/>
      <c r="AC1753" s="71">
        <v>0</v>
      </c>
      <c r="AD1753" s="71">
        <f>W1753+X1753+Y1753+Z1753+AA1753+AB1753+AC1753</f>
        <v>0</v>
      </c>
      <c r="AE1753" s="72">
        <v>0</v>
      </c>
      <c r="AF1753" s="5"/>
      <c r="AG1753" s="6"/>
      <c r="AH1753" s="27" t="s">
        <v>3392</v>
      </c>
      <c r="AI1753" s="44" t="s">
        <v>3393</v>
      </c>
      <c r="AJ1753" s="26"/>
      <c r="AK1753" s="5"/>
      <c r="AL1753" s="82" t="s">
        <v>4571</v>
      </c>
      <c r="AM1753" s="76"/>
      <c r="AN1753" s="76"/>
      <c r="AO1753" s="76"/>
      <c r="AP1753" s="76"/>
      <c r="AQ1753" s="76"/>
      <c r="AR1753" s="76"/>
      <c r="AS1753" s="76"/>
      <c r="AT1753" s="76"/>
      <c r="AU1753" s="76"/>
      <c r="AV1753" s="76"/>
      <c r="AW1753" s="76"/>
      <c r="AX1753" s="76">
        <f>+AW1753*600000</f>
        <v>0</v>
      </c>
      <c r="AY1753" s="76"/>
      <c r="AZ1753" s="76">
        <f>+AY1753*70000</f>
        <v>0</v>
      </c>
      <c r="BA1753" s="76"/>
      <c r="BB1753" s="76"/>
      <c r="BC1753" s="76"/>
      <c r="BD1753" s="76">
        <f>+BC1753*30000</f>
        <v>0</v>
      </c>
      <c r="BE1753" s="76"/>
      <c r="BF1753" s="76"/>
      <c r="BG1753" s="76"/>
      <c r="BH1753" s="76"/>
      <c r="BI1753" s="76"/>
      <c r="BJ1753" s="76"/>
      <c r="BK1753" s="76"/>
      <c r="BL1753" s="76">
        <f>+BK1753*31500</f>
        <v>0</v>
      </c>
      <c r="BM1753" s="76"/>
      <c r="BN1753" s="76"/>
      <c r="BO1753" s="76"/>
      <c r="BP1753" s="76"/>
      <c r="BQ1753" s="76"/>
      <c r="BR1753" s="76"/>
      <c r="BS1753" s="76"/>
      <c r="BT1753" s="76"/>
      <c r="BU1753" s="76"/>
      <c r="BV1753" s="76"/>
      <c r="BW1753" s="76"/>
      <c r="BX1753" s="76"/>
      <c r="BY1753" s="76"/>
      <c r="BZ1753" s="76"/>
      <c r="CA1753" s="76"/>
      <c r="CB1753" s="76"/>
      <c r="CC1753" s="76"/>
      <c r="CD1753" s="76"/>
      <c r="CE1753" s="76"/>
      <c r="CF1753" s="76">
        <f>+CE1753*28000</f>
        <v>0</v>
      </c>
      <c r="CG1753" s="76"/>
      <c r="CH1753" s="76">
        <f>+CG1753*22500</f>
        <v>0</v>
      </c>
      <c r="CI1753" s="76"/>
      <c r="CJ1753" s="76">
        <f>+CI1753*26000</f>
        <v>0</v>
      </c>
      <c r="CK1753" s="76"/>
      <c r="CL1753" s="76"/>
      <c r="CM1753" s="76"/>
      <c r="CN1753" s="76">
        <f>+CM1753*22000</f>
        <v>0</v>
      </c>
      <c r="CO1753" s="76"/>
      <c r="CP1753" s="76">
        <f>+CO1753*46000</f>
        <v>0</v>
      </c>
      <c r="CQ1753" s="76"/>
      <c r="CR1753" s="76">
        <f>+CQ1753*49000</f>
        <v>0</v>
      </c>
      <c r="CS1753" s="76"/>
      <c r="CT1753" s="76"/>
      <c r="CU1753" s="56">
        <f>AN1753+AP1753+AR1753+AT1753+AV1753+AX1753+AZ1753+BB1753+BD1753+BF1753+BH1753+BJ1753+BL1753+BN1753+BP1753+BR1753+BT1753+BV1753+BX1753+BZ1753+CB1753+CD1753+CF1753+CH1753+CJ1753+CL1753+CN1753+CP1753+CR1753+CT1753</f>
        <v>0</v>
      </c>
      <c r="CV1753" s="76"/>
      <c r="CW1753" s="76">
        <f>+CV1753*1100</f>
        <v>0</v>
      </c>
      <c r="CX1753" s="76"/>
      <c r="CY1753" s="76">
        <f>+CX1753*106250</f>
        <v>0</v>
      </c>
      <c r="CZ1753" s="76"/>
      <c r="DA1753" s="76">
        <f>+CZ1753*34500</f>
        <v>0</v>
      </c>
      <c r="DB1753" s="76"/>
      <c r="DC1753" s="76">
        <f>+DB1753*25000</f>
        <v>0</v>
      </c>
      <c r="DD1753" s="219"/>
      <c r="DE1753" s="219"/>
      <c r="DF1753" s="166"/>
      <c r="DG1753" s="116"/>
      <c r="DH1753" s="117"/>
      <c r="DI1753" s="24"/>
      <c r="DJ1753" s="24"/>
      <c r="DK1753" s="24"/>
      <c r="DL1753" s="24"/>
      <c r="DM1753" s="24"/>
      <c r="DN1753" s="24"/>
      <c r="DO1753" s="24"/>
      <c r="DP1753" s="24"/>
      <c r="DQ1753" s="24"/>
      <c r="DR1753" s="24"/>
      <c r="DS1753" s="24"/>
      <c r="DT1753" s="24"/>
      <c r="DU1753" s="24"/>
    </row>
    <row r="1754" spans="1:125" s="8" customFormat="1" ht="60" x14ac:dyDescent="0.2">
      <c r="A1754" s="77">
        <v>41402</v>
      </c>
      <c r="B1754" s="78" t="s">
        <v>2036</v>
      </c>
      <c r="C1754" s="75" t="s">
        <v>2036</v>
      </c>
      <c r="D1754" s="75" t="s">
        <v>3051</v>
      </c>
      <c r="E1754" s="75" t="str">
        <f>VLOOKUP(B1754&amp;C1754,Divipola!$C$2:$F$1138,4,FALSE)</f>
        <v>81001</v>
      </c>
      <c r="F1754" s="163"/>
      <c r="G1754" s="163"/>
      <c r="H1754" s="163"/>
      <c r="I1754" s="163">
        <v>2187</v>
      </c>
      <c r="J1754" s="163">
        <v>453</v>
      </c>
      <c r="K1754" s="163">
        <v>1</v>
      </c>
      <c r="L1754" s="163">
        <v>2</v>
      </c>
      <c r="M1754" s="163"/>
      <c r="N1754" s="163"/>
      <c r="O1754" s="163"/>
      <c r="P1754" s="163"/>
      <c r="Q1754" s="163"/>
      <c r="R1754" s="163"/>
      <c r="S1754" s="163"/>
      <c r="T1754" s="163"/>
      <c r="U1754" s="163"/>
      <c r="V1754" s="134"/>
      <c r="W1754" s="96">
        <v>0</v>
      </c>
      <c r="X1754" s="71">
        <f>CU1754</f>
        <v>0</v>
      </c>
      <c r="Y1754" s="71">
        <f>CY1754</f>
        <v>0</v>
      </c>
      <c r="Z1754" s="71">
        <f>DA1754+DC1754+DE1754</f>
        <v>0</v>
      </c>
      <c r="AA1754" s="71">
        <f>CW1754</f>
        <v>0</v>
      </c>
      <c r="AB1754" s="71"/>
      <c r="AC1754" s="71">
        <v>0</v>
      </c>
      <c r="AD1754" s="71">
        <f>W1754+X1754+Y1754+Z1754+AA1754+AB1754+AC1754</f>
        <v>0</v>
      </c>
      <c r="AE1754" s="72">
        <v>0</v>
      </c>
      <c r="AF1754" s="5"/>
      <c r="AG1754" s="6"/>
      <c r="AH1754" s="27" t="s">
        <v>3390</v>
      </c>
      <c r="AI1754" s="44" t="s">
        <v>3393</v>
      </c>
      <c r="AJ1754" s="26"/>
      <c r="AK1754" s="5" t="s">
        <v>4242</v>
      </c>
      <c r="AL1754" s="82" t="s">
        <v>4892</v>
      </c>
      <c r="AM1754" s="76"/>
      <c r="AN1754" s="76"/>
      <c r="AO1754" s="76"/>
      <c r="AP1754" s="76"/>
      <c r="AQ1754" s="76"/>
      <c r="AR1754" s="76"/>
      <c r="AS1754" s="76"/>
      <c r="AT1754" s="76"/>
      <c r="AU1754" s="76"/>
      <c r="AV1754" s="76"/>
      <c r="AW1754" s="76"/>
      <c r="AX1754" s="76">
        <f>+AW1754*600000</f>
        <v>0</v>
      </c>
      <c r="AY1754" s="76"/>
      <c r="AZ1754" s="76">
        <f>+AY1754*70000</f>
        <v>0</v>
      </c>
      <c r="BA1754" s="76"/>
      <c r="BB1754" s="76"/>
      <c r="BC1754" s="76"/>
      <c r="BD1754" s="76">
        <f>+BC1754*30000</f>
        <v>0</v>
      </c>
      <c r="BE1754" s="76"/>
      <c r="BF1754" s="76"/>
      <c r="BG1754" s="76"/>
      <c r="BH1754" s="76"/>
      <c r="BI1754" s="76"/>
      <c r="BJ1754" s="76"/>
      <c r="BK1754" s="76"/>
      <c r="BL1754" s="76">
        <f>+BK1754*31500</f>
        <v>0</v>
      </c>
      <c r="BM1754" s="76"/>
      <c r="BN1754" s="76"/>
      <c r="BO1754" s="76"/>
      <c r="BP1754" s="76"/>
      <c r="BQ1754" s="76"/>
      <c r="BR1754" s="76"/>
      <c r="BS1754" s="76"/>
      <c r="BT1754" s="76"/>
      <c r="BU1754" s="76"/>
      <c r="BV1754" s="76"/>
      <c r="BW1754" s="76"/>
      <c r="BX1754" s="76"/>
      <c r="BY1754" s="76"/>
      <c r="BZ1754" s="76"/>
      <c r="CA1754" s="76"/>
      <c r="CB1754" s="76"/>
      <c r="CC1754" s="76"/>
      <c r="CD1754" s="76"/>
      <c r="CE1754" s="76"/>
      <c r="CF1754" s="76">
        <f>+CE1754*28000</f>
        <v>0</v>
      </c>
      <c r="CG1754" s="76"/>
      <c r="CH1754" s="76">
        <f>+CG1754*22500</f>
        <v>0</v>
      </c>
      <c r="CI1754" s="76"/>
      <c r="CJ1754" s="76">
        <f>+CI1754*26000</f>
        <v>0</v>
      </c>
      <c r="CK1754" s="76"/>
      <c r="CL1754" s="76"/>
      <c r="CM1754" s="76"/>
      <c r="CN1754" s="76">
        <f>+CM1754*22000</f>
        <v>0</v>
      </c>
      <c r="CO1754" s="76"/>
      <c r="CP1754" s="76">
        <f>+CO1754*46000</f>
        <v>0</v>
      </c>
      <c r="CQ1754" s="76"/>
      <c r="CR1754" s="76">
        <f>+CQ1754*49000</f>
        <v>0</v>
      </c>
      <c r="CS1754" s="76"/>
      <c r="CT1754" s="76"/>
      <c r="CU1754" s="56">
        <f>AN1754+AP1754+AR1754+AT1754+AV1754+AX1754+AZ1754+BB1754+BD1754+BF1754+BH1754+BJ1754+BL1754+BN1754+BP1754+BR1754+BT1754+BV1754+BX1754+BZ1754+CB1754+CD1754+CF1754+CH1754+CJ1754+CL1754+CN1754+CP1754+CR1754+CT1754</f>
        <v>0</v>
      </c>
      <c r="CV1754" s="76"/>
      <c r="CW1754" s="76">
        <f>+CV1754*1100</f>
        <v>0</v>
      </c>
      <c r="CX1754" s="76"/>
      <c r="CY1754" s="76">
        <f>+CX1754*106250</f>
        <v>0</v>
      </c>
      <c r="CZ1754" s="76"/>
      <c r="DA1754" s="76">
        <f>+CZ1754*34500</f>
        <v>0</v>
      </c>
      <c r="DB1754" s="76"/>
      <c r="DC1754" s="76">
        <f>+DB1754*25000</f>
        <v>0</v>
      </c>
      <c r="DD1754" s="219"/>
      <c r="DE1754" s="219"/>
      <c r="DF1754" s="166"/>
      <c r="DG1754" s="116"/>
      <c r="DH1754" s="117"/>
      <c r="DI1754" s="24"/>
      <c r="DJ1754" s="24"/>
      <c r="DK1754" s="24"/>
      <c r="DL1754" s="24"/>
      <c r="DM1754" s="24"/>
      <c r="DN1754" s="24"/>
      <c r="DO1754" s="24"/>
      <c r="DP1754" s="24"/>
      <c r="DQ1754" s="24"/>
      <c r="DR1754" s="24"/>
      <c r="DS1754" s="24"/>
      <c r="DT1754" s="24"/>
      <c r="DU1754" s="24"/>
    </row>
    <row r="1755" spans="1:125" s="8" customFormat="1" ht="48" x14ac:dyDescent="0.2">
      <c r="A1755" s="226">
        <v>41402</v>
      </c>
      <c r="B1755" s="225" t="s">
        <v>2855</v>
      </c>
      <c r="C1755" s="227" t="s">
        <v>900</v>
      </c>
      <c r="D1755" s="227" t="s">
        <v>2859</v>
      </c>
      <c r="E1755" s="75" t="str">
        <f>VLOOKUP(B1755&amp;C1755,Divipola!$C$2:$F$1138,4,FALSE)</f>
        <v>20060</v>
      </c>
      <c r="F1755" s="163"/>
      <c r="G1755" s="163"/>
      <c r="H1755" s="163"/>
      <c r="I1755" s="163">
        <v>5</v>
      </c>
      <c r="J1755" s="163">
        <v>1</v>
      </c>
      <c r="K1755" s="163">
        <v>1</v>
      </c>
      <c r="L1755" s="163"/>
      <c r="M1755" s="163"/>
      <c r="N1755" s="163"/>
      <c r="O1755" s="163"/>
      <c r="P1755" s="163"/>
      <c r="Q1755" s="163"/>
      <c r="R1755" s="163"/>
      <c r="S1755" s="163"/>
      <c r="T1755" s="163"/>
      <c r="U1755" s="163"/>
      <c r="V1755" s="134"/>
      <c r="W1755" s="96">
        <v>0</v>
      </c>
      <c r="X1755" s="71">
        <f>CU1755</f>
        <v>0</v>
      </c>
      <c r="Y1755" s="71">
        <f>CY1755</f>
        <v>0</v>
      </c>
      <c r="Z1755" s="71">
        <f>DA1755+DC1755+DE1755</f>
        <v>0</v>
      </c>
      <c r="AA1755" s="71">
        <f>CW1755</f>
        <v>0</v>
      </c>
      <c r="AB1755" s="71"/>
      <c r="AC1755" s="71">
        <v>0</v>
      </c>
      <c r="AD1755" s="71">
        <f>W1755+X1755+Y1755+Z1755+AA1755+AB1755+AC1755</f>
        <v>0</v>
      </c>
      <c r="AE1755" s="72">
        <v>0</v>
      </c>
      <c r="AF1755" s="5"/>
      <c r="AG1755" s="6"/>
      <c r="AH1755" s="27" t="s">
        <v>3392</v>
      </c>
      <c r="AI1755" s="44" t="s">
        <v>3393</v>
      </c>
      <c r="AJ1755" s="26"/>
      <c r="AK1755" s="5"/>
      <c r="AL1755" s="82" t="s">
        <v>4558</v>
      </c>
      <c r="AM1755" s="76"/>
      <c r="AN1755" s="76"/>
      <c r="AO1755" s="76"/>
      <c r="AP1755" s="76"/>
      <c r="AQ1755" s="76"/>
      <c r="AR1755" s="76"/>
      <c r="AS1755" s="76"/>
      <c r="AT1755" s="76"/>
      <c r="AU1755" s="76"/>
      <c r="AV1755" s="76"/>
      <c r="AW1755" s="76"/>
      <c r="AX1755" s="76">
        <f>+AW1755*600000</f>
        <v>0</v>
      </c>
      <c r="AY1755" s="76"/>
      <c r="AZ1755" s="76">
        <f>+AY1755*70000</f>
        <v>0</v>
      </c>
      <c r="BA1755" s="76"/>
      <c r="BB1755" s="76"/>
      <c r="BC1755" s="76"/>
      <c r="BD1755" s="76">
        <f>+BC1755*30000</f>
        <v>0</v>
      </c>
      <c r="BE1755" s="76"/>
      <c r="BF1755" s="76"/>
      <c r="BG1755" s="76"/>
      <c r="BH1755" s="76"/>
      <c r="BI1755" s="76"/>
      <c r="BJ1755" s="76"/>
      <c r="BK1755" s="76"/>
      <c r="BL1755" s="76">
        <f>+BK1755*31500</f>
        <v>0</v>
      </c>
      <c r="BM1755" s="76"/>
      <c r="BN1755" s="76"/>
      <c r="BO1755" s="76"/>
      <c r="BP1755" s="76"/>
      <c r="BQ1755" s="76"/>
      <c r="BR1755" s="76"/>
      <c r="BS1755" s="76"/>
      <c r="BT1755" s="76"/>
      <c r="BU1755" s="76"/>
      <c r="BV1755" s="76"/>
      <c r="BW1755" s="76"/>
      <c r="BX1755" s="76"/>
      <c r="BY1755" s="76"/>
      <c r="BZ1755" s="76"/>
      <c r="CA1755" s="76"/>
      <c r="CB1755" s="76"/>
      <c r="CC1755" s="76"/>
      <c r="CD1755" s="76"/>
      <c r="CE1755" s="76"/>
      <c r="CF1755" s="76">
        <f>+CE1755*28000</f>
        <v>0</v>
      </c>
      <c r="CG1755" s="76"/>
      <c r="CH1755" s="76">
        <f>+CG1755*22500</f>
        <v>0</v>
      </c>
      <c r="CI1755" s="76"/>
      <c r="CJ1755" s="76">
        <f>+CI1755*26000</f>
        <v>0</v>
      </c>
      <c r="CK1755" s="76"/>
      <c r="CL1755" s="76"/>
      <c r="CM1755" s="76"/>
      <c r="CN1755" s="76">
        <f>+CM1755*22000</f>
        <v>0</v>
      </c>
      <c r="CO1755" s="76"/>
      <c r="CP1755" s="76">
        <f>+CO1755*46000</f>
        <v>0</v>
      </c>
      <c r="CQ1755" s="76"/>
      <c r="CR1755" s="76">
        <f>+CQ1755*49000</f>
        <v>0</v>
      </c>
      <c r="CS1755" s="76"/>
      <c r="CT1755" s="76"/>
      <c r="CU1755" s="56">
        <f>AN1755+AP1755+AR1755+AT1755+AV1755+AX1755+AZ1755+BB1755+BD1755+BF1755+BH1755+BJ1755+BL1755+BN1755+BP1755+BR1755+BT1755+BV1755+BX1755+BZ1755+CB1755+CD1755+CF1755+CH1755+CJ1755+CL1755+CN1755+CP1755+CR1755+CT1755</f>
        <v>0</v>
      </c>
      <c r="CV1755" s="76"/>
      <c r="CW1755" s="76">
        <f>+CV1755*1100</f>
        <v>0</v>
      </c>
      <c r="CX1755" s="76"/>
      <c r="CY1755" s="76">
        <f>+CX1755*106250</f>
        <v>0</v>
      </c>
      <c r="CZ1755" s="76"/>
      <c r="DA1755" s="76">
        <f>+CZ1755*34500</f>
        <v>0</v>
      </c>
      <c r="DB1755" s="76"/>
      <c r="DC1755" s="76">
        <f>+DB1755*25000</f>
        <v>0</v>
      </c>
      <c r="DD1755" s="219"/>
      <c r="DE1755" s="219"/>
      <c r="DF1755" s="166"/>
      <c r="DG1755" s="116"/>
      <c r="DH1755" s="117"/>
      <c r="DI1755" s="24"/>
      <c r="DJ1755" s="24"/>
      <c r="DK1755" s="24"/>
      <c r="DL1755" s="24"/>
      <c r="DM1755" s="24"/>
      <c r="DN1755" s="24"/>
      <c r="DO1755" s="24"/>
      <c r="DP1755" s="24"/>
      <c r="DQ1755" s="24"/>
      <c r="DR1755" s="24"/>
      <c r="DS1755" s="24"/>
      <c r="DT1755" s="24"/>
      <c r="DU1755" s="24"/>
    </row>
    <row r="1756" spans="1:125" s="8" customFormat="1" ht="24" x14ac:dyDescent="0.2">
      <c r="A1756" s="353">
        <v>41402</v>
      </c>
      <c r="B1756" s="352" t="s">
        <v>2855</v>
      </c>
      <c r="C1756" s="354" t="s">
        <v>2168</v>
      </c>
      <c r="D1756" s="354" t="s">
        <v>2882</v>
      </c>
      <c r="E1756" s="75" t="str">
        <f>VLOOKUP(B1756&amp;C1756,Divipola!$C$2:$F$1138,4,FALSE)</f>
        <v>20001</v>
      </c>
      <c r="F1756" s="87"/>
      <c r="G1756" s="87"/>
      <c r="H1756" s="87"/>
      <c r="I1756" s="87">
        <v>95</v>
      </c>
      <c r="J1756" s="87">
        <v>19</v>
      </c>
      <c r="K1756" s="87"/>
      <c r="L1756" s="87">
        <v>19</v>
      </c>
      <c r="M1756" s="87"/>
      <c r="N1756" s="87"/>
      <c r="O1756" s="87"/>
      <c r="P1756" s="87"/>
      <c r="Q1756" s="87"/>
      <c r="R1756" s="87"/>
      <c r="S1756" s="87"/>
      <c r="T1756" s="87"/>
      <c r="U1756" s="88"/>
      <c r="V1756" s="89"/>
      <c r="W1756" s="96">
        <v>0</v>
      </c>
      <c r="X1756" s="71">
        <f>CU1756</f>
        <v>0</v>
      </c>
      <c r="Y1756" s="71">
        <f>CY1756</f>
        <v>0</v>
      </c>
      <c r="Z1756" s="71">
        <f>DA1756+DC1756+DE1756</f>
        <v>0</v>
      </c>
      <c r="AA1756" s="71">
        <f>CW1756</f>
        <v>0</v>
      </c>
      <c r="AB1756" s="71"/>
      <c r="AC1756" s="71">
        <v>0</v>
      </c>
      <c r="AD1756" s="71">
        <f>W1756+X1756+Y1756+Z1756+AA1756+AB1756+AC1756</f>
        <v>0</v>
      </c>
      <c r="AE1756" s="72">
        <v>0</v>
      </c>
      <c r="AF1756" s="5"/>
      <c r="AG1756" s="6"/>
      <c r="AH1756" s="27" t="s">
        <v>3392</v>
      </c>
      <c r="AI1756" s="44" t="s">
        <v>3393</v>
      </c>
      <c r="AJ1756" s="26"/>
      <c r="AK1756" s="5"/>
      <c r="AL1756" s="82" t="s">
        <v>4583</v>
      </c>
      <c r="AM1756" s="76"/>
      <c r="AN1756" s="76"/>
      <c r="AO1756" s="76"/>
      <c r="AP1756" s="76"/>
      <c r="AQ1756" s="76"/>
      <c r="AR1756" s="76"/>
      <c r="AS1756" s="76"/>
      <c r="AT1756" s="76"/>
      <c r="AU1756" s="76"/>
      <c r="AV1756" s="76"/>
      <c r="AW1756" s="76"/>
      <c r="AX1756" s="76">
        <f>+AW1756*600000</f>
        <v>0</v>
      </c>
      <c r="AY1756" s="76"/>
      <c r="AZ1756" s="76">
        <f>+AY1756*70000</f>
        <v>0</v>
      </c>
      <c r="BA1756" s="76"/>
      <c r="BB1756" s="76"/>
      <c r="BC1756" s="76"/>
      <c r="BD1756" s="76">
        <f>+BC1756*30000</f>
        <v>0</v>
      </c>
      <c r="BE1756" s="76"/>
      <c r="BF1756" s="76"/>
      <c r="BG1756" s="76"/>
      <c r="BH1756" s="76"/>
      <c r="BI1756" s="76"/>
      <c r="BJ1756" s="76"/>
      <c r="BK1756" s="76"/>
      <c r="BL1756" s="76">
        <f>+BK1756*31500</f>
        <v>0</v>
      </c>
      <c r="BM1756" s="76"/>
      <c r="BN1756" s="76"/>
      <c r="BO1756" s="76"/>
      <c r="BP1756" s="76"/>
      <c r="BQ1756" s="76"/>
      <c r="BR1756" s="76"/>
      <c r="BS1756" s="76"/>
      <c r="BT1756" s="76"/>
      <c r="BU1756" s="76"/>
      <c r="BV1756" s="76"/>
      <c r="BW1756" s="76"/>
      <c r="BX1756" s="76"/>
      <c r="BY1756" s="76"/>
      <c r="BZ1756" s="76"/>
      <c r="CA1756" s="76"/>
      <c r="CB1756" s="76"/>
      <c r="CC1756" s="76"/>
      <c r="CD1756" s="76"/>
      <c r="CE1756" s="76"/>
      <c r="CF1756" s="76">
        <f>+CE1756*28000</f>
        <v>0</v>
      </c>
      <c r="CG1756" s="76"/>
      <c r="CH1756" s="76">
        <f>+CG1756*22500</f>
        <v>0</v>
      </c>
      <c r="CI1756" s="76"/>
      <c r="CJ1756" s="76">
        <f>+CI1756*26000</f>
        <v>0</v>
      </c>
      <c r="CK1756" s="76"/>
      <c r="CL1756" s="76"/>
      <c r="CM1756" s="76"/>
      <c r="CN1756" s="76">
        <f>+CM1756*22000</f>
        <v>0</v>
      </c>
      <c r="CO1756" s="76"/>
      <c r="CP1756" s="76">
        <f>+CO1756*46000</f>
        <v>0</v>
      </c>
      <c r="CQ1756" s="76"/>
      <c r="CR1756" s="76">
        <f>+CQ1756*49000</f>
        <v>0</v>
      </c>
      <c r="CS1756" s="76"/>
      <c r="CT1756" s="76"/>
      <c r="CU1756" s="56">
        <f>AN1756+AP1756+AR1756+AT1756+AV1756+AX1756+AZ1756+BB1756+BD1756+BF1756+BH1756+BJ1756+BL1756+BN1756+BP1756+BR1756+BT1756+BV1756+BX1756+BZ1756+CB1756+CD1756+CF1756+CH1756+CJ1756+CL1756+CN1756+CP1756+CR1756+CT1756</f>
        <v>0</v>
      </c>
      <c r="CV1756" s="76"/>
      <c r="CW1756" s="76">
        <f>+CV1756*1100</f>
        <v>0</v>
      </c>
      <c r="CX1756" s="76"/>
      <c r="CY1756" s="76">
        <f>+CX1756*106250</f>
        <v>0</v>
      </c>
      <c r="CZ1756" s="76"/>
      <c r="DA1756" s="76">
        <f>+CZ1756*34500</f>
        <v>0</v>
      </c>
      <c r="DB1756" s="76"/>
      <c r="DC1756" s="76">
        <f>+DB1756*25000</f>
        <v>0</v>
      </c>
      <c r="DD1756" s="219"/>
      <c r="DE1756" s="219"/>
      <c r="DF1756" s="166"/>
      <c r="DG1756" s="116"/>
      <c r="DH1756" s="117"/>
      <c r="DI1756" s="24"/>
      <c r="DJ1756" s="24"/>
      <c r="DK1756" s="24"/>
      <c r="DL1756" s="24"/>
      <c r="DM1756" s="24"/>
      <c r="DN1756" s="24"/>
      <c r="DO1756" s="24"/>
      <c r="DP1756" s="24"/>
      <c r="DQ1756" s="24"/>
      <c r="DR1756" s="24"/>
      <c r="DS1756" s="24"/>
      <c r="DT1756" s="24"/>
      <c r="DU1756" s="24"/>
    </row>
    <row r="1757" spans="1:125" s="8" customFormat="1" ht="168" x14ac:dyDescent="0.2">
      <c r="A1757" s="97">
        <v>41402</v>
      </c>
      <c r="B1757" s="60" t="s">
        <v>2772</v>
      </c>
      <c r="C1757" s="55" t="s">
        <v>1331</v>
      </c>
      <c r="D1757" s="55" t="s">
        <v>2859</v>
      </c>
      <c r="E1757" s="75" t="str">
        <f>VLOOKUP(B1757&amp;C1757,Divipola!$C$2:$F$1138,4,FALSE)</f>
        <v>25214</v>
      </c>
      <c r="F1757" s="87"/>
      <c r="G1757" s="87"/>
      <c r="H1757" s="87"/>
      <c r="I1757" s="87"/>
      <c r="J1757" s="87"/>
      <c r="K1757" s="87"/>
      <c r="L1757" s="87"/>
      <c r="M1757" s="87"/>
      <c r="N1757" s="87"/>
      <c r="O1757" s="87"/>
      <c r="P1757" s="87"/>
      <c r="Q1757" s="87"/>
      <c r="R1757" s="87"/>
      <c r="S1757" s="87"/>
      <c r="T1757" s="87"/>
      <c r="U1757" s="88"/>
      <c r="V1757" s="89">
        <v>6</v>
      </c>
      <c r="W1757" s="96">
        <v>0</v>
      </c>
      <c r="X1757" s="71">
        <f>CU1757</f>
        <v>0</v>
      </c>
      <c r="Y1757" s="71">
        <f>CY1757</f>
        <v>0</v>
      </c>
      <c r="Z1757" s="71">
        <f>DA1757+DC1757+DE1757</f>
        <v>0</v>
      </c>
      <c r="AA1757" s="71">
        <f>CW1757</f>
        <v>0</v>
      </c>
      <c r="AB1757" s="71"/>
      <c r="AC1757" s="71">
        <v>0</v>
      </c>
      <c r="AD1757" s="71">
        <f>W1757+X1757+Y1757+Z1757+AA1757+AB1757+AC1757</f>
        <v>0</v>
      </c>
      <c r="AE1757" s="72">
        <v>0</v>
      </c>
      <c r="AF1757" s="5"/>
      <c r="AG1757" s="6"/>
      <c r="AH1757" s="27" t="s">
        <v>3392</v>
      </c>
      <c r="AI1757" s="44" t="s">
        <v>3393</v>
      </c>
      <c r="AJ1757" s="26"/>
      <c r="AK1757" s="5"/>
      <c r="AL1757" s="82" t="s">
        <v>4566</v>
      </c>
      <c r="AM1757" s="76"/>
      <c r="AN1757" s="76"/>
      <c r="AO1757" s="76"/>
      <c r="AP1757" s="76"/>
      <c r="AQ1757" s="76"/>
      <c r="AR1757" s="76"/>
      <c r="AS1757" s="76"/>
      <c r="AT1757" s="76"/>
      <c r="AU1757" s="76"/>
      <c r="AV1757" s="76"/>
      <c r="AW1757" s="76"/>
      <c r="AX1757" s="76">
        <f>+AW1757*600000</f>
        <v>0</v>
      </c>
      <c r="AY1757" s="76"/>
      <c r="AZ1757" s="76">
        <f>+AY1757*70000</f>
        <v>0</v>
      </c>
      <c r="BA1757" s="76"/>
      <c r="BB1757" s="76"/>
      <c r="BC1757" s="76"/>
      <c r="BD1757" s="76">
        <f>+BC1757*30000</f>
        <v>0</v>
      </c>
      <c r="BE1757" s="76"/>
      <c r="BF1757" s="76"/>
      <c r="BG1757" s="76"/>
      <c r="BH1757" s="76"/>
      <c r="BI1757" s="76"/>
      <c r="BJ1757" s="76"/>
      <c r="BK1757" s="76"/>
      <c r="BL1757" s="76">
        <f>+BK1757*31500</f>
        <v>0</v>
      </c>
      <c r="BM1757" s="76"/>
      <c r="BN1757" s="76"/>
      <c r="BO1757" s="76"/>
      <c r="BP1757" s="76"/>
      <c r="BQ1757" s="76"/>
      <c r="BR1757" s="76"/>
      <c r="BS1757" s="76"/>
      <c r="BT1757" s="76"/>
      <c r="BU1757" s="76"/>
      <c r="BV1757" s="76"/>
      <c r="BW1757" s="76"/>
      <c r="BX1757" s="76"/>
      <c r="BY1757" s="76"/>
      <c r="BZ1757" s="76"/>
      <c r="CA1757" s="76"/>
      <c r="CB1757" s="76"/>
      <c r="CC1757" s="76"/>
      <c r="CD1757" s="76"/>
      <c r="CE1757" s="76"/>
      <c r="CF1757" s="76">
        <f>+CE1757*28000</f>
        <v>0</v>
      </c>
      <c r="CG1757" s="76"/>
      <c r="CH1757" s="76">
        <f>+CG1757*22500</f>
        <v>0</v>
      </c>
      <c r="CI1757" s="76"/>
      <c r="CJ1757" s="76">
        <f>+CI1757*26000</f>
        <v>0</v>
      </c>
      <c r="CK1757" s="76"/>
      <c r="CL1757" s="76"/>
      <c r="CM1757" s="76"/>
      <c r="CN1757" s="76">
        <f>+CM1757*22000</f>
        <v>0</v>
      </c>
      <c r="CO1757" s="76"/>
      <c r="CP1757" s="76">
        <f>+CO1757*46000</f>
        <v>0</v>
      </c>
      <c r="CQ1757" s="76"/>
      <c r="CR1757" s="76">
        <f>+CQ1757*49000</f>
        <v>0</v>
      </c>
      <c r="CS1757" s="76"/>
      <c r="CT1757" s="76"/>
      <c r="CU1757" s="56">
        <f>AN1757+AP1757+AR1757+AT1757+AV1757+AX1757+AZ1757+BB1757+BD1757+BF1757+BH1757+BJ1757+BL1757+BN1757+BP1757+BR1757+BT1757+BV1757+BX1757+BZ1757+CB1757+CD1757+CF1757+CH1757+CJ1757+CL1757+CN1757+CP1757+CR1757+CT1757</f>
        <v>0</v>
      </c>
      <c r="CV1757" s="76"/>
      <c r="CW1757" s="76">
        <f>+CV1757*1100</f>
        <v>0</v>
      </c>
      <c r="CX1757" s="76"/>
      <c r="CY1757" s="76">
        <f>+CX1757*106250</f>
        <v>0</v>
      </c>
      <c r="CZ1757" s="76"/>
      <c r="DA1757" s="76">
        <f>+CZ1757*34500</f>
        <v>0</v>
      </c>
      <c r="DB1757" s="76"/>
      <c r="DC1757" s="76">
        <f>+DB1757*25000</f>
        <v>0</v>
      </c>
      <c r="DD1757" s="219"/>
      <c r="DE1757" s="219"/>
      <c r="DF1757" s="166"/>
      <c r="DG1757" s="116"/>
      <c r="DH1757" s="117"/>
      <c r="DI1757" s="24"/>
      <c r="DJ1757" s="24"/>
      <c r="DK1757" s="24"/>
      <c r="DL1757" s="24"/>
      <c r="DM1757" s="24"/>
      <c r="DN1757" s="24"/>
      <c r="DO1757" s="24"/>
      <c r="DP1757" s="24"/>
      <c r="DQ1757" s="24"/>
      <c r="DR1757" s="24"/>
      <c r="DS1757" s="24"/>
      <c r="DT1757" s="24"/>
      <c r="DU1757" s="24"/>
    </row>
    <row r="1758" spans="1:125" s="8" customFormat="1" ht="24" x14ac:dyDescent="0.2">
      <c r="A1758" s="353">
        <v>41402</v>
      </c>
      <c r="B1758" s="352" t="s">
        <v>2661</v>
      </c>
      <c r="C1758" s="354" t="s">
        <v>2162</v>
      </c>
      <c r="D1758" s="354" t="s">
        <v>2882</v>
      </c>
      <c r="E1758" s="75" t="str">
        <f>VLOOKUP(B1758&amp;C1758,Divipola!$C$2:$F$1138,4,FALSE)</f>
        <v>41518</v>
      </c>
      <c r="F1758" s="87"/>
      <c r="G1758" s="87"/>
      <c r="H1758" s="87"/>
      <c r="I1758" s="87">
        <v>5</v>
      </c>
      <c r="J1758" s="87">
        <v>1</v>
      </c>
      <c r="K1758" s="87"/>
      <c r="L1758" s="87">
        <v>1</v>
      </c>
      <c r="M1758" s="87"/>
      <c r="N1758" s="87"/>
      <c r="O1758" s="87"/>
      <c r="P1758" s="87"/>
      <c r="Q1758" s="87"/>
      <c r="R1758" s="87"/>
      <c r="S1758" s="87"/>
      <c r="T1758" s="87"/>
      <c r="U1758" s="88"/>
      <c r="V1758" s="89"/>
      <c r="W1758" s="96">
        <v>0</v>
      </c>
      <c r="X1758" s="71">
        <f>CU1758</f>
        <v>0</v>
      </c>
      <c r="Y1758" s="71">
        <f>CY1758</f>
        <v>0</v>
      </c>
      <c r="Z1758" s="71">
        <f>DA1758+DC1758+DE1758</f>
        <v>0</v>
      </c>
      <c r="AA1758" s="71">
        <f>CW1758</f>
        <v>0</v>
      </c>
      <c r="AB1758" s="71"/>
      <c r="AC1758" s="71">
        <v>0</v>
      </c>
      <c r="AD1758" s="71">
        <f>W1758+X1758+Y1758+Z1758+AA1758+AB1758+AC1758</f>
        <v>0</v>
      </c>
      <c r="AE1758" s="72">
        <v>0</v>
      </c>
      <c r="AF1758" s="5"/>
      <c r="AG1758" s="6"/>
      <c r="AH1758" s="27" t="s">
        <v>3392</v>
      </c>
      <c r="AI1758" s="44" t="s">
        <v>3393</v>
      </c>
      <c r="AJ1758" s="26"/>
      <c r="AK1758" s="5"/>
      <c r="AL1758" s="82" t="s">
        <v>4565</v>
      </c>
      <c r="AM1758" s="76"/>
      <c r="AN1758" s="76"/>
      <c r="AO1758" s="76"/>
      <c r="AP1758" s="76"/>
      <c r="AQ1758" s="76"/>
      <c r="AR1758" s="76"/>
      <c r="AS1758" s="76"/>
      <c r="AT1758" s="76"/>
      <c r="AU1758" s="76"/>
      <c r="AV1758" s="76"/>
      <c r="AW1758" s="76"/>
      <c r="AX1758" s="76">
        <f>+AW1758*600000</f>
        <v>0</v>
      </c>
      <c r="AY1758" s="76"/>
      <c r="AZ1758" s="76">
        <f>+AY1758*70000</f>
        <v>0</v>
      </c>
      <c r="BA1758" s="76"/>
      <c r="BB1758" s="76"/>
      <c r="BC1758" s="76"/>
      <c r="BD1758" s="76">
        <f>+BC1758*30000</f>
        <v>0</v>
      </c>
      <c r="BE1758" s="76"/>
      <c r="BF1758" s="76"/>
      <c r="BG1758" s="76"/>
      <c r="BH1758" s="76"/>
      <c r="BI1758" s="76"/>
      <c r="BJ1758" s="76"/>
      <c r="BK1758" s="76"/>
      <c r="BL1758" s="76">
        <f>+BK1758*31500</f>
        <v>0</v>
      </c>
      <c r="BM1758" s="76"/>
      <c r="BN1758" s="76"/>
      <c r="BO1758" s="76"/>
      <c r="BP1758" s="76"/>
      <c r="BQ1758" s="76"/>
      <c r="BR1758" s="76"/>
      <c r="BS1758" s="76"/>
      <c r="BT1758" s="76"/>
      <c r="BU1758" s="76"/>
      <c r="BV1758" s="76"/>
      <c r="BW1758" s="76"/>
      <c r="BX1758" s="76"/>
      <c r="BY1758" s="76"/>
      <c r="BZ1758" s="76"/>
      <c r="CA1758" s="76"/>
      <c r="CB1758" s="76"/>
      <c r="CC1758" s="76"/>
      <c r="CD1758" s="76"/>
      <c r="CE1758" s="76"/>
      <c r="CF1758" s="76">
        <f>+CE1758*28000</f>
        <v>0</v>
      </c>
      <c r="CG1758" s="76"/>
      <c r="CH1758" s="76">
        <f>+CG1758*22500</f>
        <v>0</v>
      </c>
      <c r="CI1758" s="76"/>
      <c r="CJ1758" s="76">
        <f>+CI1758*26000</f>
        <v>0</v>
      </c>
      <c r="CK1758" s="76"/>
      <c r="CL1758" s="76"/>
      <c r="CM1758" s="76"/>
      <c r="CN1758" s="76">
        <f>+CM1758*22000</f>
        <v>0</v>
      </c>
      <c r="CO1758" s="76"/>
      <c r="CP1758" s="76">
        <f>+CO1758*46000</f>
        <v>0</v>
      </c>
      <c r="CQ1758" s="76"/>
      <c r="CR1758" s="76">
        <f>+CQ1758*49000</f>
        <v>0</v>
      </c>
      <c r="CS1758" s="76"/>
      <c r="CT1758" s="76"/>
      <c r="CU1758" s="56">
        <f>AN1758+AP1758+AR1758+AT1758+AV1758+AX1758+AZ1758+BB1758+BD1758+BF1758+BH1758+BJ1758+BL1758+BN1758+BP1758+BR1758+BT1758+BV1758+BX1758+BZ1758+CB1758+CD1758+CF1758+CH1758+CJ1758+CL1758+CN1758+CP1758+CR1758+CT1758</f>
        <v>0</v>
      </c>
      <c r="CV1758" s="76"/>
      <c r="CW1758" s="76">
        <f>+CV1758*1100</f>
        <v>0</v>
      </c>
      <c r="CX1758" s="76"/>
      <c r="CY1758" s="76">
        <f>+CX1758*106250</f>
        <v>0</v>
      </c>
      <c r="CZ1758" s="76"/>
      <c r="DA1758" s="76">
        <f>+CZ1758*34500</f>
        <v>0</v>
      </c>
      <c r="DB1758" s="76"/>
      <c r="DC1758" s="76">
        <f>+DB1758*25000</f>
        <v>0</v>
      </c>
      <c r="DD1758" s="219"/>
      <c r="DE1758" s="219"/>
      <c r="DF1758" s="166"/>
      <c r="DG1758" s="116"/>
      <c r="DH1758" s="117"/>
      <c r="DI1758" s="24"/>
      <c r="DJ1758" s="24"/>
      <c r="DK1758" s="24"/>
      <c r="DL1758" s="24"/>
      <c r="DM1758" s="24"/>
      <c r="DN1758" s="24"/>
      <c r="DO1758" s="24"/>
      <c r="DP1758" s="24"/>
      <c r="DQ1758" s="24"/>
      <c r="DR1758" s="24"/>
      <c r="DS1758" s="24"/>
      <c r="DT1758" s="24"/>
      <c r="DU1758" s="24"/>
    </row>
    <row r="1759" spans="1:125" s="8" customFormat="1" ht="72" x14ac:dyDescent="0.2">
      <c r="A1759" s="226">
        <v>41402</v>
      </c>
      <c r="B1759" s="225" t="s">
        <v>2847</v>
      </c>
      <c r="C1759" s="227" t="s">
        <v>2684</v>
      </c>
      <c r="D1759" s="227" t="s">
        <v>3088</v>
      </c>
      <c r="E1759" s="75" t="str">
        <f>VLOOKUP(B1759&amp;C1759,Divipola!$C$2:$F$1138,4,FALSE)</f>
        <v>68081</v>
      </c>
      <c r="F1759" s="87"/>
      <c r="G1759" s="87"/>
      <c r="H1759" s="87"/>
      <c r="I1759" s="87"/>
      <c r="J1759" s="87"/>
      <c r="K1759" s="87"/>
      <c r="L1759" s="87"/>
      <c r="M1759" s="87">
        <v>1</v>
      </c>
      <c r="N1759" s="87"/>
      <c r="O1759" s="87"/>
      <c r="P1759" s="87"/>
      <c r="Q1759" s="87"/>
      <c r="R1759" s="87"/>
      <c r="S1759" s="87"/>
      <c r="T1759" s="87"/>
      <c r="U1759" s="88"/>
      <c r="V1759" s="89"/>
      <c r="W1759" s="96">
        <v>0</v>
      </c>
      <c r="X1759" s="71">
        <f>CU1759</f>
        <v>0</v>
      </c>
      <c r="Y1759" s="71">
        <f>CY1759</f>
        <v>0</v>
      </c>
      <c r="Z1759" s="71">
        <f>DA1759+DC1759+DE1759</f>
        <v>0</v>
      </c>
      <c r="AA1759" s="71">
        <f>CW1759</f>
        <v>0</v>
      </c>
      <c r="AB1759" s="71"/>
      <c r="AC1759" s="71">
        <v>0</v>
      </c>
      <c r="AD1759" s="71">
        <f>W1759+X1759+Y1759+Z1759+AA1759+AB1759+AC1759</f>
        <v>0</v>
      </c>
      <c r="AE1759" s="72">
        <v>0</v>
      </c>
      <c r="AF1759" s="5"/>
      <c r="AG1759" s="6"/>
      <c r="AH1759" s="27" t="s">
        <v>3392</v>
      </c>
      <c r="AI1759" s="44" t="s">
        <v>3393</v>
      </c>
      <c r="AJ1759" s="26"/>
      <c r="AK1759" s="5"/>
      <c r="AL1759" s="82" t="s">
        <v>4568</v>
      </c>
      <c r="AM1759" s="76"/>
      <c r="AN1759" s="76"/>
      <c r="AO1759" s="76"/>
      <c r="AP1759" s="76"/>
      <c r="AQ1759" s="76"/>
      <c r="AR1759" s="76"/>
      <c r="AS1759" s="76"/>
      <c r="AT1759" s="76"/>
      <c r="AU1759" s="76"/>
      <c r="AV1759" s="76"/>
      <c r="AW1759" s="76"/>
      <c r="AX1759" s="76">
        <f>+AW1759*600000</f>
        <v>0</v>
      </c>
      <c r="AY1759" s="76"/>
      <c r="AZ1759" s="76">
        <f>+AY1759*70000</f>
        <v>0</v>
      </c>
      <c r="BA1759" s="76"/>
      <c r="BB1759" s="76"/>
      <c r="BC1759" s="76"/>
      <c r="BD1759" s="76">
        <f>+BC1759*30000</f>
        <v>0</v>
      </c>
      <c r="BE1759" s="76"/>
      <c r="BF1759" s="76"/>
      <c r="BG1759" s="76"/>
      <c r="BH1759" s="76"/>
      <c r="BI1759" s="76"/>
      <c r="BJ1759" s="76"/>
      <c r="BK1759" s="76"/>
      <c r="BL1759" s="76">
        <f>+BK1759*31500</f>
        <v>0</v>
      </c>
      <c r="BM1759" s="76"/>
      <c r="BN1759" s="76"/>
      <c r="BO1759" s="76"/>
      <c r="BP1759" s="76"/>
      <c r="BQ1759" s="76"/>
      <c r="BR1759" s="76"/>
      <c r="BS1759" s="76"/>
      <c r="BT1759" s="76"/>
      <c r="BU1759" s="76"/>
      <c r="BV1759" s="76"/>
      <c r="BW1759" s="76"/>
      <c r="BX1759" s="76"/>
      <c r="BY1759" s="76"/>
      <c r="BZ1759" s="76"/>
      <c r="CA1759" s="76"/>
      <c r="CB1759" s="76"/>
      <c r="CC1759" s="76"/>
      <c r="CD1759" s="76"/>
      <c r="CE1759" s="76"/>
      <c r="CF1759" s="76">
        <f>+CE1759*28000</f>
        <v>0</v>
      </c>
      <c r="CG1759" s="76"/>
      <c r="CH1759" s="76">
        <f>+CG1759*22500</f>
        <v>0</v>
      </c>
      <c r="CI1759" s="76"/>
      <c r="CJ1759" s="76">
        <f>+CI1759*26000</f>
        <v>0</v>
      </c>
      <c r="CK1759" s="76"/>
      <c r="CL1759" s="76"/>
      <c r="CM1759" s="76"/>
      <c r="CN1759" s="76">
        <f>+CM1759*22000</f>
        <v>0</v>
      </c>
      <c r="CO1759" s="76"/>
      <c r="CP1759" s="76">
        <f>+CO1759*46000</f>
        <v>0</v>
      </c>
      <c r="CQ1759" s="76"/>
      <c r="CR1759" s="76">
        <f>+CQ1759*49000</f>
        <v>0</v>
      </c>
      <c r="CS1759" s="76"/>
      <c r="CT1759" s="76"/>
      <c r="CU1759" s="56">
        <f>AN1759+AP1759+AR1759+AT1759+AV1759+AX1759+AZ1759+BB1759+BD1759+BF1759+BH1759+BJ1759+BL1759+BN1759+BP1759+BR1759+BT1759+BV1759+BX1759+BZ1759+CB1759+CD1759+CF1759+CH1759+CJ1759+CL1759+CN1759+CP1759+CR1759+CT1759</f>
        <v>0</v>
      </c>
      <c r="CV1759" s="76"/>
      <c r="CW1759" s="76">
        <f>+CV1759*1100</f>
        <v>0</v>
      </c>
      <c r="CX1759" s="76"/>
      <c r="CY1759" s="76">
        <f>+CX1759*106250</f>
        <v>0</v>
      </c>
      <c r="CZ1759" s="76"/>
      <c r="DA1759" s="76">
        <f>+CZ1759*34500</f>
        <v>0</v>
      </c>
      <c r="DB1759" s="76"/>
      <c r="DC1759" s="76">
        <f>+DB1759*25000</f>
        <v>0</v>
      </c>
      <c r="DD1759" s="219"/>
      <c r="DE1759" s="219"/>
      <c r="DF1759" s="166"/>
      <c r="DG1759" s="116"/>
      <c r="DH1759" s="117"/>
      <c r="DI1759" s="24"/>
      <c r="DJ1759" s="24"/>
      <c r="DK1759" s="24"/>
      <c r="DL1759" s="24"/>
      <c r="DM1759" s="24"/>
      <c r="DN1759" s="24"/>
      <c r="DO1759" s="24"/>
      <c r="DP1759" s="24"/>
      <c r="DQ1759" s="24"/>
      <c r="DR1759" s="24"/>
      <c r="DS1759" s="24"/>
      <c r="DT1759" s="24"/>
      <c r="DU1759" s="24"/>
    </row>
    <row r="1760" spans="1:125" s="8" customFormat="1" ht="120" x14ac:dyDescent="0.2">
      <c r="A1760" s="226">
        <v>41402</v>
      </c>
      <c r="B1760" s="225" t="s">
        <v>2847</v>
      </c>
      <c r="C1760" s="227" t="s">
        <v>318</v>
      </c>
      <c r="D1760" s="227" t="s">
        <v>3088</v>
      </c>
      <c r="E1760" s="75" t="str">
        <f>VLOOKUP(B1760&amp;C1760,Divipola!$C$2:$F$1138,4,FALSE)</f>
        <v>68167</v>
      </c>
      <c r="F1760" s="87"/>
      <c r="G1760" s="87"/>
      <c r="H1760" s="87"/>
      <c r="I1760" s="87"/>
      <c r="J1760" s="87"/>
      <c r="K1760" s="87"/>
      <c r="L1760" s="87"/>
      <c r="M1760" s="87">
        <v>1</v>
      </c>
      <c r="N1760" s="87"/>
      <c r="O1760" s="87"/>
      <c r="P1760" s="87"/>
      <c r="Q1760" s="87"/>
      <c r="R1760" s="87"/>
      <c r="S1760" s="87"/>
      <c r="T1760" s="87"/>
      <c r="U1760" s="88"/>
      <c r="V1760" s="89"/>
      <c r="W1760" s="96">
        <v>0</v>
      </c>
      <c r="X1760" s="71">
        <f>CU1760</f>
        <v>0</v>
      </c>
      <c r="Y1760" s="71">
        <f>CY1760</f>
        <v>0</v>
      </c>
      <c r="Z1760" s="71">
        <f>DA1760+DC1760+DE1760</f>
        <v>0</v>
      </c>
      <c r="AA1760" s="71">
        <f>CW1760</f>
        <v>0</v>
      </c>
      <c r="AB1760" s="71"/>
      <c r="AC1760" s="71">
        <v>0</v>
      </c>
      <c r="AD1760" s="71">
        <f>W1760+X1760+Y1760+Z1760+AA1760+AB1760+AC1760</f>
        <v>0</v>
      </c>
      <c r="AE1760" s="72">
        <v>0</v>
      </c>
      <c r="AF1760" s="5"/>
      <c r="AG1760" s="6"/>
      <c r="AH1760" s="27" t="s">
        <v>3392</v>
      </c>
      <c r="AI1760" s="44" t="s">
        <v>3393</v>
      </c>
      <c r="AJ1760" s="26"/>
      <c r="AK1760" s="5"/>
      <c r="AL1760" s="82" t="s">
        <v>4572</v>
      </c>
      <c r="AM1760" s="76"/>
      <c r="AN1760" s="76"/>
      <c r="AO1760" s="76"/>
      <c r="AP1760" s="76"/>
      <c r="AQ1760" s="76"/>
      <c r="AR1760" s="76"/>
      <c r="AS1760" s="76"/>
      <c r="AT1760" s="76"/>
      <c r="AU1760" s="76"/>
      <c r="AV1760" s="76"/>
      <c r="AW1760" s="76"/>
      <c r="AX1760" s="76">
        <f>+AW1760*600000</f>
        <v>0</v>
      </c>
      <c r="AY1760" s="76"/>
      <c r="AZ1760" s="76">
        <f>+AY1760*70000</f>
        <v>0</v>
      </c>
      <c r="BA1760" s="76"/>
      <c r="BB1760" s="76"/>
      <c r="BC1760" s="76"/>
      <c r="BD1760" s="76">
        <f>+BC1760*30000</f>
        <v>0</v>
      </c>
      <c r="BE1760" s="76"/>
      <c r="BF1760" s="76"/>
      <c r="BG1760" s="76"/>
      <c r="BH1760" s="76"/>
      <c r="BI1760" s="76"/>
      <c r="BJ1760" s="76"/>
      <c r="BK1760" s="76"/>
      <c r="BL1760" s="76">
        <f>+BK1760*31500</f>
        <v>0</v>
      </c>
      <c r="BM1760" s="76"/>
      <c r="BN1760" s="76"/>
      <c r="BO1760" s="76"/>
      <c r="BP1760" s="76"/>
      <c r="BQ1760" s="76"/>
      <c r="BR1760" s="76"/>
      <c r="BS1760" s="76"/>
      <c r="BT1760" s="76"/>
      <c r="BU1760" s="76"/>
      <c r="BV1760" s="76"/>
      <c r="BW1760" s="76"/>
      <c r="BX1760" s="76"/>
      <c r="BY1760" s="76"/>
      <c r="BZ1760" s="76"/>
      <c r="CA1760" s="76"/>
      <c r="CB1760" s="76"/>
      <c r="CC1760" s="76"/>
      <c r="CD1760" s="76"/>
      <c r="CE1760" s="76"/>
      <c r="CF1760" s="76">
        <f>+CE1760*28000</f>
        <v>0</v>
      </c>
      <c r="CG1760" s="76"/>
      <c r="CH1760" s="76">
        <f>+CG1760*22500</f>
        <v>0</v>
      </c>
      <c r="CI1760" s="76"/>
      <c r="CJ1760" s="76">
        <f>+CI1760*26000</f>
        <v>0</v>
      </c>
      <c r="CK1760" s="76"/>
      <c r="CL1760" s="76"/>
      <c r="CM1760" s="76"/>
      <c r="CN1760" s="76">
        <f>+CM1760*22000</f>
        <v>0</v>
      </c>
      <c r="CO1760" s="76"/>
      <c r="CP1760" s="76">
        <f>+CO1760*46000</f>
        <v>0</v>
      </c>
      <c r="CQ1760" s="76"/>
      <c r="CR1760" s="76">
        <f>+CQ1760*49000</f>
        <v>0</v>
      </c>
      <c r="CS1760" s="76"/>
      <c r="CT1760" s="76"/>
      <c r="CU1760" s="56">
        <f>AN1760+AP1760+AR1760+AT1760+AV1760+AX1760+AZ1760+BB1760+BD1760+BF1760+BH1760+BJ1760+BL1760+BN1760+BP1760+BR1760+BT1760+BV1760+BX1760+BZ1760+CB1760+CD1760+CF1760+CH1760+CJ1760+CL1760+CN1760+CP1760+CR1760+CT1760</f>
        <v>0</v>
      </c>
      <c r="CV1760" s="76"/>
      <c r="CW1760" s="76">
        <f>+CV1760*1100</f>
        <v>0</v>
      </c>
      <c r="CX1760" s="76"/>
      <c r="CY1760" s="76">
        <f>+CX1760*106250</f>
        <v>0</v>
      </c>
      <c r="CZ1760" s="76"/>
      <c r="DA1760" s="76">
        <f>+CZ1760*34500</f>
        <v>0</v>
      </c>
      <c r="DB1760" s="76"/>
      <c r="DC1760" s="76">
        <f>+DB1760*25000</f>
        <v>0</v>
      </c>
      <c r="DD1760" s="219"/>
      <c r="DE1760" s="219"/>
      <c r="DF1760" s="166"/>
      <c r="DG1760" s="134"/>
      <c r="DH1760" s="117"/>
      <c r="DI1760" s="24"/>
      <c r="DJ1760" s="24"/>
      <c r="DK1760" s="24"/>
      <c r="DL1760" s="24"/>
      <c r="DM1760" s="24"/>
      <c r="DN1760" s="24"/>
      <c r="DO1760" s="24"/>
      <c r="DP1760" s="24"/>
      <c r="DQ1760" s="24"/>
      <c r="DR1760" s="24"/>
      <c r="DS1760" s="24"/>
      <c r="DT1760" s="24"/>
      <c r="DU1760" s="24"/>
    </row>
    <row r="1761" spans="1:125" s="8" customFormat="1" ht="108" x14ac:dyDescent="0.2">
      <c r="A1761" s="353">
        <v>41402</v>
      </c>
      <c r="B1761" s="352" t="s">
        <v>2847</v>
      </c>
      <c r="C1761" s="354" t="s">
        <v>334</v>
      </c>
      <c r="D1761" s="354" t="s">
        <v>3088</v>
      </c>
      <c r="E1761" s="75" t="str">
        <f>VLOOKUP(B1761&amp;C1761,Divipola!$C$2:$F$1138,4,FALSE)</f>
        <v>68217</v>
      </c>
      <c r="F1761" s="87"/>
      <c r="G1761" s="87"/>
      <c r="H1761" s="87"/>
      <c r="I1761" s="87"/>
      <c r="J1761" s="87"/>
      <c r="K1761" s="87"/>
      <c r="L1761" s="87"/>
      <c r="M1761" s="87">
        <v>1</v>
      </c>
      <c r="N1761" s="87"/>
      <c r="O1761" s="87"/>
      <c r="P1761" s="87"/>
      <c r="Q1761" s="87"/>
      <c r="R1761" s="87"/>
      <c r="S1761" s="87"/>
      <c r="T1761" s="87"/>
      <c r="U1761" s="88"/>
      <c r="V1761" s="89"/>
      <c r="W1761" s="96">
        <v>0</v>
      </c>
      <c r="X1761" s="71">
        <f>CU1761</f>
        <v>0</v>
      </c>
      <c r="Y1761" s="71">
        <f>CY1761</f>
        <v>0</v>
      </c>
      <c r="Z1761" s="71">
        <f>DA1761+DC1761+DE1761</f>
        <v>0</v>
      </c>
      <c r="AA1761" s="71">
        <f>CW1761</f>
        <v>0</v>
      </c>
      <c r="AB1761" s="71"/>
      <c r="AC1761" s="71">
        <v>0</v>
      </c>
      <c r="AD1761" s="71">
        <f>W1761+X1761+Y1761+Z1761+AA1761+AB1761+AC1761</f>
        <v>0</v>
      </c>
      <c r="AE1761" s="72">
        <v>0</v>
      </c>
      <c r="AF1761" s="5"/>
      <c r="AG1761" s="6"/>
      <c r="AH1761" s="27" t="s">
        <v>3392</v>
      </c>
      <c r="AI1761" s="44" t="s">
        <v>3393</v>
      </c>
      <c r="AJ1761" s="26"/>
      <c r="AK1761" s="5"/>
      <c r="AL1761" s="82" t="s">
        <v>4576</v>
      </c>
      <c r="AM1761" s="76"/>
      <c r="AN1761" s="76"/>
      <c r="AO1761" s="76"/>
      <c r="AP1761" s="76"/>
      <c r="AQ1761" s="76"/>
      <c r="AR1761" s="76"/>
      <c r="AS1761" s="76"/>
      <c r="AT1761" s="76"/>
      <c r="AU1761" s="76"/>
      <c r="AV1761" s="76"/>
      <c r="AW1761" s="76"/>
      <c r="AX1761" s="76">
        <f>+AW1761*600000</f>
        <v>0</v>
      </c>
      <c r="AY1761" s="76"/>
      <c r="AZ1761" s="76">
        <f>+AY1761*70000</f>
        <v>0</v>
      </c>
      <c r="BA1761" s="76"/>
      <c r="BB1761" s="76"/>
      <c r="BC1761" s="76"/>
      <c r="BD1761" s="76">
        <f>+BC1761*30000</f>
        <v>0</v>
      </c>
      <c r="BE1761" s="76"/>
      <c r="BF1761" s="76"/>
      <c r="BG1761" s="76"/>
      <c r="BH1761" s="76"/>
      <c r="BI1761" s="76"/>
      <c r="BJ1761" s="76"/>
      <c r="BK1761" s="76"/>
      <c r="BL1761" s="76">
        <f>+BK1761*31500</f>
        <v>0</v>
      </c>
      <c r="BM1761" s="76"/>
      <c r="BN1761" s="76"/>
      <c r="BO1761" s="76"/>
      <c r="BP1761" s="76"/>
      <c r="BQ1761" s="76"/>
      <c r="BR1761" s="76"/>
      <c r="BS1761" s="76"/>
      <c r="BT1761" s="76"/>
      <c r="BU1761" s="76"/>
      <c r="BV1761" s="76"/>
      <c r="BW1761" s="76"/>
      <c r="BX1761" s="76"/>
      <c r="BY1761" s="76"/>
      <c r="BZ1761" s="76"/>
      <c r="CA1761" s="76"/>
      <c r="CB1761" s="76"/>
      <c r="CC1761" s="76"/>
      <c r="CD1761" s="76"/>
      <c r="CE1761" s="76"/>
      <c r="CF1761" s="76">
        <f>+CE1761*28000</f>
        <v>0</v>
      </c>
      <c r="CG1761" s="76"/>
      <c r="CH1761" s="76">
        <f>+CG1761*22500</f>
        <v>0</v>
      </c>
      <c r="CI1761" s="76"/>
      <c r="CJ1761" s="76">
        <f>+CI1761*26000</f>
        <v>0</v>
      </c>
      <c r="CK1761" s="76"/>
      <c r="CL1761" s="76"/>
      <c r="CM1761" s="76"/>
      <c r="CN1761" s="76">
        <f>+CM1761*22000</f>
        <v>0</v>
      </c>
      <c r="CO1761" s="76"/>
      <c r="CP1761" s="76">
        <f>+CO1761*46000</f>
        <v>0</v>
      </c>
      <c r="CQ1761" s="76"/>
      <c r="CR1761" s="76">
        <f>+CQ1761*49000</f>
        <v>0</v>
      </c>
      <c r="CS1761" s="76"/>
      <c r="CT1761" s="76"/>
      <c r="CU1761" s="56">
        <f>AN1761+AP1761+AR1761+AT1761+AV1761+AX1761+AZ1761+BB1761+BD1761+BF1761+BH1761+BJ1761+BL1761+BN1761+BP1761+BR1761+BT1761+BV1761+BX1761+BZ1761+CB1761+CD1761+CF1761+CH1761+CJ1761+CL1761+CN1761+CP1761+CR1761+CT1761</f>
        <v>0</v>
      </c>
      <c r="CV1761" s="76"/>
      <c r="CW1761" s="76">
        <f>+CV1761*1100</f>
        <v>0</v>
      </c>
      <c r="CX1761" s="76"/>
      <c r="CY1761" s="76">
        <f>+CX1761*106250</f>
        <v>0</v>
      </c>
      <c r="CZ1761" s="76"/>
      <c r="DA1761" s="76">
        <f>+CZ1761*34500</f>
        <v>0</v>
      </c>
      <c r="DB1761" s="76"/>
      <c r="DC1761" s="76">
        <f>+DB1761*25000</f>
        <v>0</v>
      </c>
      <c r="DD1761" s="219"/>
      <c r="DE1761" s="219"/>
      <c r="DF1761" s="166"/>
      <c r="DG1761" s="116"/>
      <c r="DH1761" s="117"/>
      <c r="DI1761" s="24"/>
      <c r="DJ1761" s="24"/>
      <c r="DK1761" s="24"/>
      <c r="DL1761" s="24"/>
      <c r="DM1761" s="24"/>
      <c r="DN1761" s="24"/>
      <c r="DO1761" s="24"/>
      <c r="DP1761" s="24"/>
      <c r="DQ1761" s="24"/>
      <c r="DR1761" s="24"/>
      <c r="DS1761" s="24"/>
      <c r="DT1761" s="24"/>
      <c r="DU1761" s="24"/>
    </row>
    <row r="1762" spans="1:125" s="8" customFormat="1" ht="216" x14ac:dyDescent="0.2">
      <c r="A1762" s="353">
        <v>41402</v>
      </c>
      <c r="B1762" s="352" t="s">
        <v>2847</v>
      </c>
      <c r="C1762" s="354" t="s">
        <v>342</v>
      </c>
      <c r="D1762" s="354" t="s">
        <v>3088</v>
      </c>
      <c r="E1762" s="75" t="str">
        <f>VLOOKUP(B1762&amp;C1762,Divipola!$C$2:$F$1138,4,FALSE)</f>
        <v>68245</v>
      </c>
      <c r="F1762" s="87"/>
      <c r="G1762" s="87"/>
      <c r="H1762" s="87"/>
      <c r="I1762" s="87"/>
      <c r="J1762" s="87"/>
      <c r="K1762" s="87"/>
      <c r="L1762" s="87"/>
      <c r="M1762" s="87">
        <v>1</v>
      </c>
      <c r="N1762" s="87"/>
      <c r="O1762" s="87"/>
      <c r="P1762" s="87"/>
      <c r="Q1762" s="87"/>
      <c r="R1762" s="87"/>
      <c r="S1762" s="87"/>
      <c r="T1762" s="87"/>
      <c r="U1762" s="88"/>
      <c r="V1762" s="89"/>
      <c r="W1762" s="96">
        <v>0</v>
      </c>
      <c r="X1762" s="71">
        <f>CU1762</f>
        <v>0</v>
      </c>
      <c r="Y1762" s="71">
        <f>CY1762</f>
        <v>0</v>
      </c>
      <c r="Z1762" s="71">
        <f>DA1762+DC1762+DE1762</f>
        <v>0</v>
      </c>
      <c r="AA1762" s="71">
        <f>CW1762</f>
        <v>0</v>
      </c>
      <c r="AB1762" s="71"/>
      <c r="AC1762" s="71">
        <v>0</v>
      </c>
      <c r="AD1762" s="71">
        <f>W1762+X1762+Y1762+Z1762+AA1762+AB1762+AC1762</f>
        <v>0</v>
      </c>
      <c r="AE1762" s="72">
        <v>0</v>
      </c>
      <c r="AF1762" s="5"/>
      <c r="AG1762" s="6"/>
      <c r="AH1762" s="27" t="s">
        <v>3392</v>
      </c>
      <c r="AI1762" s="44" t="s">
        <v>3393</v>
      </c>
      <c r="AJ1762" s="26"/>
      <c r="AK1762" s="5"/>
      <c r="AL1762" s="82" t="s">
        <v>4580</v>
      </c>
      <c r="AM1762" s="76"/>
      <c r="AN1762" s="76"/>
      <c r="AO1762" s="76"/>
      <c r="AP1762" s="76"/>
      <c r="AQ1762" s="76"/>
      <c r="AR1762" s="76"/>
      <c r="AS1762" s="76"/>
      <c r="AT1762" s="76"/>
      <c r="AU1762" s="76"/>
      <c r="AV1762" s="76"/>
      <c r="AW1762" s="76"/>
      <c r="AX1762" s="76">
        <f>+AW1762*600000</f>
        <v>0</v>
      </c>
      <c r="AY1762" s="76"/>
      <c r="AZ1762" s="76">
        <f>+AY1762*70000</f>
        <v>0</v>
      </c>
      <c r="BA1762" s="76"/>
      <c r="BB1762" s="76"/>
      <c r="BC1762" s="76"/>
      <c r="BD1762" s="76">
        <f>+BC1762*30000</f>
        <v>0</v>
      </c>
      <c r="BE1762" s="76"/>
      <c r="BF1762" s="76"/>
      <c r="BG1762" s="76"/>
      <c r="BH1762" s="76"/>
      <c r="BI1762" s="76"/>
      <c r="BJ1762" s="76"/>
      <c r="BK1762" s="76"/>
      <c r="BL1762" s="76">
        <f>+BK1762*31500</f>
        <v>0</v>
      </c>
      <c r="BM1762" s="76"/>
      <c r="BN1762" s="76"/>
      <c r="BO1762" s="76"/>
      <c r="BP1762" s="76"/>
      <c r="BQ1762" s="76"/>
      <c r="BR1762" s="76"/>
      <c r="BS1762" s="76"/>
      <c r="BT1762" s="76"/>
      <c r="BU1762" s="76"/>
      <c r="BV1762" s="76"/>
      <c r="BW1762" s="76"/>
      <c r="BX1762" s="76"/>
      <c r="BY1762" s="76"/>
      <c r="BZ1762" s="76"/>
      <c r="CA1762" s="76"/>
      <c r="CB1762" s="76"/>
      <c r="CC1762" s="76"/>
      <c r="CD1762" s="76"/>
      <c r="CE1762" s="76"/>
      <c r="CF1762" s="76">
        <f>+CE1762*28000</f>
        <v>0</v>
      </c>
      <c r="CG1762" s="76"/>
      <c r="CH1762" s="76">
        <f>+CG1762*22500</f>
        <v>0</v>
      </c>
      <c r="CI1762" s="76"/>
      <c r="CJ1762" s="76">
        <f>+CI1762*26000</f>
        <v>0</v>
      </c>
      <c r="CK1762" s="76"/>
      <c r="CL1762" s="76"/>
      <c r="CM1762" s="76"/>
      <c r="CN1762" s="76">
        <f>+CM1762*22000</f>
        <v>0</v>
      </c>
      <c r="CO1762" s="76"/>
      <c r="CP1762" s="76">
        <f>+CO1762*46000</f>
        <v>0</v>
      </c>
      <c r="CQ1762" s="76"/>
      <c r="CR1762" s="76">
        <f>+CQ1762*49000</f>
        <v>0</v>
      </c>
      <c r="CS1762" s="76"/>
      <c r="CT1762" s="76"/>
      <c r="CU1762" s="56">
        <f>AN1762+AP1762+AR1762+AT1762+AV1762+AX1762+AZ1762+BB1762+BD1762+BF1762+BH1762+BJ1762+BL1762+BN1762+BP1762+BR1762+BT1762+BV1762+BX1762+BZ1762+CB1762+CD1762+CF1762+CH1762+CJ1762+CL1762+CN1762+CP1762+CR1762+CT1762</f>
        <v>0</v>
      </c>
      <c r="CV1762" s="76"/>
      <c r="CW1762" s="76">
        <f>+CV1762*1100</f>
        <v>0</v>
      </c>
      <c r="CX1762" s="76"/>
      <c r="CY1762" s="76">
        <f>+CX1762*106250</f>
        <v>0</v>
      </c>
      <c r="CZ1762" s="76"/>
      <c r="DA1762" s="76">
        <f>+CZ1762*34500</f>
        <v>0</v>
      </c>
      <c r="DB1762" s="76"/>
      <c r="DC1762" s="76">
        <f>+DB1762*25000</f>
        <v>0</v>
      </c>
      <c r="DD1762" s="219"/>
      <c r="DE1762" s="219"/>
      <c r="DF1762" s="166"/>
      <c r="DG1762" s="116"/>
      <c r="DH1762" s="117"/>
      <c r="DI1762" s="24"/>
      <c r="DJ1762" s="24"/>
      <c r="DK1762" s="24"/>
      <c r="DL1762" s="24"/>
      <c r="DM1762" s="24"/>
      <c r="DN1762" s="24"/>
      <c r="DO1762" s="24"/>
      <c r="DP1762" s="24"/>
      <c r="DQ1762" s="24"/>
      <c r="DR1762" s="24"/>
      <c r="DS1762" s="24"/>
      <c r="DT1762" s="24"/>
      <c r="DU1762" s="24"/>
    </row>
    <row r="1763" spans="1:125" s="8" customFormat="1" ht="84" x14ac:dyDescent="0.2">
      <c r="A1763" s="77">
        <v>41402</v>
      </c>
      <c r="B1763" s="78" t="s">
        <v>2848</v>
      </c>
      <c r="C1763" s="75" t="s">
        <v>2128</v>
      </c>
      <c r="D1763" s="75" t="s">
        <v>2849</v>
      </c>
      <c r="E1763" s="75" t="str">
        <f>VLOOKUP(B1763&amp;C1763,Divipola!$C$2:$F$1138,4,FALSE)</f>
        <v>73124</v>
      </c>
      <c r="F1763" s="87">
        <v>2</v>
      </c>
      <c r="G1763" s="87"/>
      <c r="H1763" s="87"/>
      <c r="I1763" s="87"/>
      <c r="J1763" s="87"/>
      <c r="K1763" s="87"/>
      <c r="L1763" s="87"/>
      <c r="M1763" s="87"/>
      <c r="N1763" s="87"/>
      <c r="O1763" s="87"/>
      <c r="P1763" s="87"/>
      <c r="Q1763" s="87"/>
      <c r="R1763" s="87"/>
      <c r="S1763" s="87"/>
      <c r="T1763" s="87"/>
      <c r="U1763" s="88"/>
      <c r="V1763" s="89"/>
      <c r="W1763" s="96">
        <v>0</v>
      </c>
      <c r="X1763" s="71">
        <f>CU1763</f>
        <v>0</v>
      </c>
      <c r="Y1763" s="71">
        <f>CY1763</f>
        <v>0</v>
      </c>
      <c r="Z1763" s="71">
        <f>DA1763+DC1763+DE1763</f>
        <v>0</v>
      </c>
      <c r="AA1763" s="71">
        <f>CW1763</f>
        <v>0</v>
      </c>
      <c r="AB1763" s="71"/>
      <c r="AC1763" s="71">
        <v>0</v>
      </c>
      <c r="AD1763" s="71">
        <f>W1763+X1763+Y1763+Z1763+AA1763+AB1763+AC1763</f>
        <v>0</v>
      </c>
      <c r="AE1763" s="72">
        <v>0</v>
      </c>
      <c r="AF1763" s="5"/>
      <c r="AG1763" s="6"/>
      <c r="AH1763" s="27" t="s">
        <v>3392</v>
      </c>
      <c r="AI1763" s="44" t="s">
        <v>3393</v>
      </c>
      <c r="AJ1763" s="26"/>
      <c r="AK1763" s="5"/>
      <c r="AL1763" s="82" t="s">
        <v>4574</v>
      </c>
      <c r="AM1763" s="76"/>
      <c r="AN1763" s="76"/>
      <c r="AO1763" s="76"/>
      <c r="AP1763" s="76"/>
      <c r="AQ1763" s="76"/>
      <c r="AR1763" s="76"/>
      <c r="AS1763" s="76"/>
      <c r="AT1763" s="76"/>
      <c r="AU1763" s="76"/>
      <c r="AV1763" s="76"/>
      <c r="AW1763" s="76"/>
      <c r="AX1763" s="76">
        <f>+AW1763*600000</f>
        <v>0</v>
      </c>
      <c r="AY1763" s="76"/>
      <c r="AZ1763" s="76">
        <f>+AY1763*70000</f>
        <v>0</v>
      </c>
      <c r="BA1763" s="76"/>
      <c r="BB1763" s="76"/>
      <c r="BC1763" s="76"/>
      <c r="BD1763" s="76">
        <f>+BC1763*30000</f>
        <v>0</v>
      </c>
      <c r="BE1763" s="76"/>
      <c r="BF1763" s="76"/>
      <c r="BG1763" s="76"/>
      <c r="BH1763" s="76"/>
      <c r="BI1763" s="76"/>
      <c r="BJ1763" s="76"/>
      <c r="BK1763" s="76"/>
      <c r="BL1763" s="76">
        <f>+BK1763*31500</f>
        <v>0</v>
      </c>
      <c r="BM1763" s="76"/>
      <c r="BN1763" s="76"/>
      <c r="BO1763" s="76"/>
      <c r="BP1763" s="76"/>
      <c r="BQ1763" s="76"/>
      <c r="BR1763" s="76"/>
      <c r="BS1763" s="76"/>
      <c r="BT1763" s="76"/>
      <c r="BU1763" s="76"/>
      <c r="BV1763" s="76"/>
      <c r="BW1763" s="76"/>
      <c r="BX1763" s="76"/>
      <c r="BY1763" s="76"/>
      <c r="BZ1763" s="76"/>
      <c r="CA1763" s="76"/>
      <c r="CB1763" s="76"/>
      <c r="CC1763" s="76"/>
      <c r="CD1763" s="76"/>
      <c r="CE1763" s="76"/>
      <c r="CF1763" s="76">
        <f>+CE1763*28000</f>
        <v>0</v>
      </c>
      <c r="CG1763" s="76"/>
      <c r="CH1763" s="76">
        <f>+CG1763*22500</f>
        <v>0</v>
      </c>
      <c r="CI1763" s="76"/>
      <c r="CJ1763" s="76">
        <f>+CI1763*26000</f>
        <v>0</v>
      </c>
      <c r="CK1763" s="76"/>
      <c r="CL1763" s="76"/>
      <c r="CM1763" s="76"/>
      <c r="CN1763" s="76">
        <f>+CM1763*22000</f>
        <v>0</v>
      </c>
      <c r="CO1763" s="76"/>
      <c r="CP1763" s="76">
        <f>+CO1763*46000</f>
        <v>0</v>
      </c>
      <c r="CQ1763" s="76"/>
      <c r="CR1763" s="76">
        <f>+CQ1763*49000</f>
        <v>0</v>
      </c>
      <c r="CS1763" s="76"/>
      <c r="CT1763" s="76"/>
      <c r="CU1763" s="56">
        <f>AN1763+AP1763+AR1763+AT1763+AV1763+AX1763+AZ1763+BB1763+BD1763+BF1763+BH1763+BJ1763+BL1763+BN1763+BP1763+BR1763+BT1763+BV1763+BX1763+BZ1763+CB1763+CD1763+CF1763+CH1763+CJ1763+CL1763+CN1763+CP1763+CR1763+CT1763</f>
        <v>0</v>
      </c>
      <c r="CV1763" s="76"/>
      <c r="CW1763" s="76">
        <f>+CV1763*1100</f>
        <v>0</v>
      </c>
      <c r="CX1763" s="76"/>
      <c r="CY1763" s="76">
        <f>+CX1763*106250</f>
        <v>0</v>
      </c>
      <c r="CZ1763" s="76"/>
      <c r="DA1763" s="76">
        <f>+CZ1763*34500</f>
        <v>0</v>
      </c>
      <c r="DB1763" s="76"/>
      <c r="DC1763" s="76">
        <f>+DB1763*25000</f>
        <v>0</v>
      </c>
      <c r="DD1763" s="219"/>
      <c r="DE1763" s="219"/>
      <c r="DF1763" s="166"/>
      <c r="DG1763" s="116"/>
      <c r="DH1763" s="117"/>
      <c r="DI1763" s="24"/>
      <c r="DJ1763" s="24"/>
      <c r="DK1763" s="24"/>
      <c r="DL1763" s="24"/>
      <c r="DM1763" s="24"/>
      <c r="DN1763" s="24"/>
      <c r="DO1763" s="24"/>
      <c r="DP1763" s="24"/>
      <c r="DQ1763" s="24"/>
      <c r="DR1763" s="24"/>
      <c r="DS1763" s="24"/>
      <c r="DT1763" s="24"/>
      <c r="DU1763" s="24"/>
    </row>
    <row r="1764" spans="1:125" s="8" customFormat="1" ht="48" x14ac:dyDescent="0.2">
      <c r="A1764" s="353">
        <v>41402</v>
      </c>
      <c r="B1764" s="352" t="s">
        <v>2848</v>
      </c>
      <c r="C1764" s="354" t="s">
        <v>1884</v>
      </c>
      <c r="D1764" s="354" t="s">
        <v>3088</v>
      </c>
      <c r="E1764" s="75" t="str">
        <f>VLOOKUP(B1764&amp;C1764,Divipola!$C$2:$F$1138,4,FALSE)</f>
        <v>73408</v>
      </c>
      <c r="F1764" s="87"/>
      <c r="G1764" s="87"/>
      <c r="H1764" s="87"/>
      <c r="I1764" s="87"/>
      <c r="J1764" s="87"/>
      <c r="K1764" s="87"/>
      <c r="L1764" s="87"/>
      <c r="M1764" s="87">
        <v>1</v>
      </c>
      <c r="N1764" s="87"/>
      <c r="O1764" s="87"/>
      <c r="P1764" s="87"/>
      <c r="Q1764" s="87"/>
      <c r="R1764" s="87"/>
      <c r="S1764" s="87"/>
      <c r="T1764" s="87"/>
      <c r="U1764" s="88"/>
      <c r="V1764" s="89"/>
      <c r="W1764" s="96">
        <v>0</v>
      </c>
      <c r="X1764" s="71">
        <f>CU1764</f>
        <v>0</v>
      </c>
      <c r="Y1764" s="71">
        <f>CY1764</f>
        <v>0</v>
      </c>
      <c r="Z1764" s="71">
        <f>DA1764+DC1764+DE1764</f>
        <v>0</v>
      </c>
      <c r="AA1764" s="71">
        <f>CW1764</f>
        <v>0</v>
      </c>
      <c r="AB1764" s="71"/>
      <c r="AC1764" s="71">
        <v>0</v>
      </c>
      <c r="AD1764" s="71">
        <f>W1764+X1764+Y1764+Z1764+AA1764+AB1764+AC1764</f>
        <v>0</v>
      </c>
      <c r="AE1764" s="72">
        <v>0</v>
      </c>
      <c r="AF1764" s="5"/>
      <c r="AG1764" s="6"/>
      <c r="AH1764" s="27" t="s">
        <v>3392</v>
      </c>
      <c r="AI1764" s="44" t="s">
        <v>3393</v>
      </c>
      <c r="AJ1764" s="26"/>
      <c r="AK1764" s="5"/>
      <c r="AL1764" s="82" t="s">
        <v>4567</v>
      </c>
      <c r="AM1764" s="76"/>
      <c r="AN1764" s="76"/>
      <c r="AO1764" s="76"/>
      <c r="AP1764" s="76"/>
      <c r="AQ1764" s="76"/>
      <c r="AR1764" s="76"/>
      <c r="AS1764" s="76"/>
      <c r="AT1764" s="76"/>
      <c r="AU1764" s="76"/>
      <c r="AV1764" s="76"/>
      <c r="AW1764" s="76"/>
      <c r="AX1764" s="76">
        <f>+AW1764*600000</f>
        <v>0</v>
      </c>
      <c r="AY1764" s="76"/>
      <c r="AZ1764" s="76">
        <f>+AY1764*70000</f>
        <v>0</v>
      </c>
      <c r="BA1764" s="76"/>
      <c r="BB1764" s="76"/>
      <c r="BC1764" s="76"/>
      <c r="BD1764" s="76">
        <f>+BC1764*30000</f>
        <v>0</v>
      </c>
      <c r="BE1764" s="76"/>
      <c r="BF1764" s="76"/>
      <c r="BG1764" s="76"/>
      <c r="BH1764" s="76"/>
      <c r="BI1764" s="76"/>
      <c r="BJ1764" s="76"/>
      <c r="BK1764" s="76"/>
      <c r="BL1764" s="76">
        <f>+BK1764*31500</f>
        <v>0</v>
      </c>
      <c r="BM1764" s="76"/>
      <c r="BN1764" s="76"/>
      <c r="BO1764" s="76"/>
      <c r="BP1764" s="76"/>
      <c r="BQ1764" s="76"/>
      <c r="BR1764" s="76"/>
      <c r="BS1764" s="76"/>
      <c r="BT1764" s="76"/>
      <c r="BU1764" s="76"/>
      <c r="BV1764" s="76"/>
      <c r="BW1764" s="76"/>
      <c r="BX1764" s="76"/>
      <c r="BY1764" s="76"/>
      <c r="BZ1764" s="76"/>
      <c r="CA1764" s="76"/>
      <c r="CB1764" s="76"/>
      <c r="CC1764" s="76"/>
      <c r="CD1764" s="76"/>
      <c r="CE1764" s="76"/>
      <c r="CF1764" s="76">
        <f>+CE1764*28000</f>
        <v>0</v>
      </c>
      <c r="CG1764" s="76"/>
      <c r="CH1764" s="76">
        <f>+CG1764*22500</f>
        <v>0</v>
      </c>
      <c r="CI1764" s="76"/>
      <c r="CJ1764" s="76">
        <f>+CI1764*26000</f>
        <v>0</v>
      </c>
      <c r="CK1764" s="76"/>
      <c r="CL1764" s="76"/>
      <c r="CM1764" s="76"/>
      <c r="CN1764" s="76">
        <f>+CM1764*22000</f>
        <v>0</v>
      </c>
      <c r="CO1764" s="76"/>
      <c r="CP1764" s="76">
        <f>+CO1764*46000</f>
        <v>0</v>
      </c>
      <c r="CQ1764" s="76"/>
      <c r="CR1764" s="76">
        <f>+CQ1764*49000</f>
        <v>0</v>
      </c>
      <c r="CS1764" s="76"/>
      <c r="CT1764" s="76"/>
      <c r="CU1764" s="56">
        <f>AN1764+AP1764+AR1764+AT1764+AV1764+AX1764+AZ1764+BB1764+BD1764+BF1764+BH1764+BJ1764+BL1764+BN1764+BP1764+BR1764+BT1764+BV1764+BX1764+BZ1764+CB1764+CD1764+CF1764+CH1764+CJ1764+CL1764+CN1764+CP1764+CR1764+CT1764</f>
        <v>0</v>
      </c>
      <c r="CV1764" s="76"/>
      <c r="CW1764" s="76">
        <f>+CV1764*1100</f>
        <v>0</v>
      </c>
      <c r="CX1764" s="76"/>
      <c r="CY1764" s="76">
        <f>+CX1764*106250</f>
        <v>0</v>
      </c>
      <c r="CZ1764" s="76"/>
      <c r="DA1764" s="76">
        <f>+CZ1764*34500</f>
        <v>0</v>
      </c>
      <c r="DB1764" s="76"/>
      <c r="DC1764" s="76">
        <f>+DB1764*25000</f>
        <v>0</v>
      </c>
      <c r="DD1764" s="219"/>
      <c r="DE1764" s="219"/>
      <c r="DF1764" s="166"/>
      <c r="DG1764" s="116"/>
      <c r="DH1764" s="117"/>
      <c r="DI1764" s="24"/>
      <c r="DJ1764" s="24"/>
      <c r="DK1764" s="24"/>
      <c r="DL1764" s="24"/>
      <c r="DM1764" s="24"/>
      <c r="DN1764" s="24"/>
      <c r="DO1764" s="24"/>
      <c r="DP1764" s="24"/>
      <c r="DQ1764" s="24"/>
      <c r="DR1764" s="24"/>
      <c r="DS1764" s="24"/>
      <c r="DT1764" s="24"/>
      <c r="DU1764" s="24"/>
    </row>
    <row r="1765" spans="1:125" s="8" customFormat="1" ht="96" x14ac:dyDescent="0.2">
      <c r="A1765" s="353">
        <v>41402</v>
      </c>
      <c r="B1765" s="225" t="s">
        <v>2848</v>
      </c>
      <c r="C1765" s="227" t="s">
        <v>1912</v>
      </c>
      <c r="D1765" s="227" t="s">
        <v>3088</v>
      </c>
      <c r="E1765" s="75" t="str">
        <f>VLOOKUP(B1765&amp;C1765,Divipola!$C$2:$F$1138,4,FALSE)</f>
        <v>73675</v>
      </c>
      <c r="F1765" s="87"/>
      <c r="G1765" s="87"/>
      <c r="H1765" s="87"/>
      <c r="I1765" s="87"/>
      <c r="J1765" s="87"/>
      <c r="K1765" s="87"/>
      <c r="L1765" s="87"/>
      <c r="M1765" s="87">
        <v>1</v>
      </c>
      <c r="N1765" s="87"/>
      <c r="O1765" s="87"/>
      <c r="P1765" s="87"/>
      <c r="Q1765" s="87"/>
      <c r="R1765" s="87"/>
      <c r="S1765" s="87"/>
      <c r="T1765" s="87"/>
      <c r="U1765" s="88"/>
      <c r="V1765" s="89"/>
      <c r="W1765" s="96">
        <v>0</v>
      </c>
      <c r="X1765" s="71">
        <f>CU1765</f>
        <v>0</v>
      </c>
      <c r="Y1765" s="71">
        <f>CY1765</f>
        <v>0</v>
      </c>
      <c r="Z1765" s="71">
        <f>DA1765+DC1765+DE1765</f>
        <v>0</v>
      </c>
      <c r="AA1765" s="71">
        <f>CW1765</f>
        <v>0</v>
      </c>
      <c r="AB1765" s="71"/>
      <c r="AC1765" s="71">
        <v>0</v>
      </c>
      <c r="AD1765" s="71">
        <f>W1765+X1765+Y1765+Z1765+AA1765+AB1765+AC1765</f>
        <v>0</v>
      </c>
      <c r="AE1765" s="72">
        <v>0</v>
      </c>
      <c r="AF1765" s="5"/>
      <c r="AG1765" s="6"/>
      <c r="AH1765" s="27" t="s">
        <v>3392</v>
      </c>
      <c r="AI1765" s="44" t="s">
        <v>3393</v>
      </c>
      <c r="AJ1765" s="26"/>
      <c r="AK1765" s="5"/>
      <c r="AL1765" s="82" t="s">
        <v>4578</v>
      </c>
      <c r="AM1765" s="76"/>
      <c r="AN1765" s="76"/>
      <c r="AO1765" s="76"/>
      <c r="AP1765" s="76"/>
      <c r="AQ1765" s="76"/>
      <c r="AR1765" s="76"/>
      <c r="AS1765" s="76"/>
      <c r="AT1765" s="76"/>
      <c r="AU1765" s="76"/>
      <c r="AV1765" s="76"/>
      <c r="AW1765" s="76"/>
      <c r="AX1765" s="76">
        <f>+AW1765*600000</f>
        <v>0</v>
      </c>
      <c r="AY1765" s="76"/>
      <c r="AZ1765" s="76">
        <f>+AY1765*70000</f>
        <v>0</v>
      </c>
      <c r="BA1765" s="76"/>
      <c r="BB1765" s="76"/>
      <c r="BC1765" s="76"/>
      <c r="BD1765" s="76">
        <f>+BC1765*30000</f>
        <v>0</v>
      </c>
      <c r="BE1765" s="76"/>
      <c r="BF1765" s="76"/>
      <c r="BG1765" s="76"/>
      <c r="BH1765" s="76"/>
      <c r="BI1765" s="76"/>
      <c r="BJ1765" s="76"/>
      <c r="BK1765" s="76"/>
      <c r="BL1765" s="76">
        <f>+BK1765*31500</f>
        <v>0</v>
      </c>
      <c r="BM1765" s="76"/>
      <c r="BN1765" s="76"/>
      <c r="BO1765" s="76"/>
      <c r="BP1765" s="76"/>
      <c r="BQ1765" s="76"/>
      <c r="BR1765" s="76"/>
      <c r="BS1765" s="76"/>
      <c r="BT1765" s="76"/>
      <c r="BU1765" s="76"/>
      <c r="BV1765" s="76"/>
      <c r="BW1765" s="76"/>
      <c r="BX1765" s="76"/>
      <c r="BY1765" s="76"/>
      <c r="BZ1765" s="76"/>
      <c r="CA1765" s="76"/>
      <c r="CB1765" s="76"/>
      <c r="CC1765" s="76"/>
      <c r="CD1765" s="76"/>
      <c r="CE1765" s="76"/>
      <c r="CF1765" s="76">
        <f>+CE1765*28000</f>
        <v>0</v>
      </c>
      <c r="CG1765" s="76"/>
      <c r="CH1765" s="76">
        <f>+CG1765*22500</f>
        <v>0</v>
      </c>
      <c r="CI1765" s="76"/>
      <c r="CJ1765" s="76">
        <f>+CI1765*26000</f>
        <v>0</v>
      </c>
      <c r="CK1765" s="76"/>
      <c r="CL1765" s="76"/>
      <c r="CM1765" s="76"/>
      <c r="CN1765" s="76">
        <f>+CM1765*22000</f>
        <v>0</v>
      </c>
      <c r="CO1765" s="76"/>
      <c r="CP1765" s="76">
        <f>+CO1765*46000</f>
        <v>0</v>
      </c>
      <c r="CQ1765" s="76"/>
      <c r="CR1765" s="76">
        <f>+CQ1765*49000</f>
        <v>0</v>
      </c>
      <c r="CS1765" s="76"/>
      <c r="CT1765" s="76"/>
      <c r="CU1765" s="56">
        <f>AN1765+AP1765+AR1765+AT1765+AV1765+AX1765+AZ1765+BB1765+BD1765+BF1765+BH1765+BJ1765+BL1765+BN1765+BP1765+BR1765+BT1765+BV1765+BX1765+BZ1765+CB1765+CD1765+CF1765+CH1765+CJ1765+CL1765+CN1765+CP1765+CR1765+CT1765</f>
        <v>0</v>
      </c>
      <c r="CV1765" s="76"/>
      <c r="CW1765" s="76">
        <f>+CV1765*1100</f>
        <v>0</v>
      </c>
      <c r="CX1765" s="76"/>
      <c r="CY1765" s="76">
        <f>+CX1765*106250</f>
        <v>0</v>
      </c>
      <c r="CZ1765" s="76"/>
      <c r="DA1765" s="76">
        <f>+CZ1765*34500</f>
        <v>0</v>
      </c>
      <c r="DB1765" s="76"/>
      <c r="DC1765" s="76">
        <f>+DB1765*25000</f>
        <v>0</v>
      </c>
      <c r="DD1765" s="219"/>
      <c r="DE1765" s="219"/>
      <c r="DF1765" s="166"/>
      <c r="DG1765" s="116"/>
      <c r="DH1765" s="117"/>
      <c r="DI1765" s="24"/>
      <c r="DJ1765" s="24"/>
      <c r="DK1765" s="24"/>
      <c r="DL1765" s="24"/>
      <c r="DM1765" s="24"/>
      <c r="DN1765" s="24"/>
      <c r="DO1765" s="24"/>
      <c r="DP1765" s="24"/>
      <c r="DQ1765" s="24"/>
      <c r="DR1765" s="24"/>
      <c r="DS1765" s="24"/>
      <c r="DT1765" s="24"/>
      <c r="DU1765" s="24"/>
    </row>
    <row r="1766" spans="1:125" s="8" customFormat="1" ht="60" x14ac:dyDescent="0.2">
      <c r="A1766" s="353">
        <v>41403</v>
      </c>
      <c r="B1766" s="352" t="s">
        <v>2700</v>
      </c>
      <c r="C1766" s="354" t="s">
        <v>694</v>
      </c>
      <c r="D1766" s="354" t="s">
        <v>3088</v>
      </c>
      <c r="E1766" s="75" t="str">
        <f>VLOOKUP(B1766&amp;C1766,Divipola!$C$2:$F$1138,4,FALSE)</f>
        <v>15798</v>
      </c>
      <c r="F1766" s="87"/>
      <c r="G1766" s="87"/>
      <c r="H1766" s="87"/>
      <c r="I1766" s="87"/>
      <c r="J1766" s="87"/>
      <c r="K1766" s="87"/>
      <c r="L1766" s="87"/>
      <c r="M1766" s="87"/>
      <c r="N1766" s="87"/>
      <c r="O1766" s="87"/>
      <c r="P1766" s="87"/>
      <c r="Q1766" s="87"/>
      <c r="R1766" s="87"/>
      <c r="S1766" s="87"/>
      <c r="T1766" s="87"/>
      <c r="U1766" s="88"/>
      <c r="V1766" s="89"/>
      <c r="W1766" s="96">
        <v>0</v>
      </c>
      <c r="X1766" s="71">
        <f>CU1766</f>
        <v>0</v>
      </c>
      <c r="Y1766" s="71">
        <f>CY1766</f>
        <v>0</v>
      </c>
      <c r="Z1766" s="71">
        <f>DA1766+DC1766+DE1766</f>
        <v>0</v>
      </c>
      <c r="AA1766" s="71">
        <f>CW1766</f>
        <v>0</v>
      </c>
      <c r="AB1766" s="71"/>
      <c r="AC1766" s="71">
        <v>0</v>
      </c>
      <c r="AD1766" s="71">
        <f>W1766+X1766+Y1766+Z1766+AA1766+AB1766+AC1766</f>
        <v>0</v>
      </c>
      <c r="AE1766" s="72">
        <v>0</v>
      </c>
      <c r="AF1766" s="5"/>
      <c r="AG1766" s="6"/>
      <c r="AH1766" s="27" t="s">
        <v>3392</v>
      </c>
      <c r="AI1766" s="44" t="s">
        <v>3393</v>
      </c>
      <c r="AJ1766" s="26"/>
      <c r="AK1766" s="5"/>
      <c r="AL1766" s="82" t="s">
        <v>4615</v>
      </c>
      <c r="AM1766" s="76"/>
      <c r="AN1766" s="76"/>
      <c r="AO1766" s="76"/>
      <c r="AP1766" s="76"/>
      <c r="AQ1766" s="76"/>
      <c r="AR1766" s="76"/>
      <c r="AS1766" s="76"/>
      <c r="AT1766" s="76"/>
      <c r="AU1766" s="76"/>
      <c r="AV1766" s="76"/>
      <c r="AW1766" s="76"/>
      <c r="AX1766" s="76">
        <f>+AW1766*600000</f>
        <v>0</v>
      </c>
      <c r="AY1766" s="76"/>
      <c r="AZ1766" s="76">
        <f>+AY1766*70000</f>
        <v>0</v>
      </c>
      <c r="BA1766" s="76"/>
      <c r="BB1766" s="76"/>
      <c r="BC1766" s="76"/>
      <c r="BD1766" s="76">
        <f>+BC1766*30000</f>
        <v>0</v>
      </c>
      <c r="BE1766" s="76"/>
      <c r="BF1766" s="76"/>
      <c r="BG1766" s="76"/>
      <c r="BH1766" s="76"/>
      <c r="BI1766" s="76"/>
      <c r="BJ1766" s="76"/>
      <c r="BK1766" s="76"/>
      <c r="BL1766" s="76">
        <f>+BK1766*31500</f>
        <v>0</v>
      </c>
      <c r="BM1766" s="76"/>
      <c r="BN1766" s="76"/>
      <c r="BO1766" s="76"/>
      <c r="BP1766" s="76"/>
      <c r="BQ1766" s="76"/>
      <c r="BR1766" s="76"/>
      <c r="BS1766" s="76"/>
      <c r="BT1766" s="76"/>
      <c r="BU1766" s="76"/>
      <c r="BV1766" s="76"/>
      <c r="BW1766" s="76"/>
      <c r="BX1766" s="76"/>
      <c r="BY1766" s="76"/>
      <c r="BZ1766" s="76"/>
      <c r="CA1766" s="76"/>
      <c r="CB1766" s="76"/>
      <c r="CC1766" s="76"/>
      <c r="CD1766" s="76"/>
      <c r="CE1766" s="76"/>
      <c r="CF1766" s="76">
        <f>+CE1766*28000</f>
        <v>0</v>
      </c>
      <c r="CG1766" s="76"/>
      <c r="CH1766" s="76">
        <f>+CG1766*22500</f>
        <v>0</v>
      </c>
      <c r="CI1766" s="76"/>
      <c r="CJ1766" s="76">
        <f>+CI1766*26000</f>
        <v>0</v>
      </c>
      <c r="CK1766" s="76"/>
      <c r="CL1766" s="76"/>
      <c r="CM1766" s="76"/>
      <c r="CN1766" s="76">
        <f>+CM1766*22000</f>
        <v>0</v>
      </c>
      <c r="CO1766" s="76"/>
      <c r="CP1766" s="76">
        <f>+CO1766*46000</f>
        <v>0</v>
      </c>
      <c r="CQ1766" s="76"/>
      <c r="CR1766" s="76">
        <f>+CQ1766*49000</f>
        <v>0</v>
      </c>
      <c r="CS1766" s="76"/>
      <c r="CT1766" s="76"/>
      <c r="CU1766" s="56">
        <f>AN1766+AP1766+AR1766+AT1766+AV1766+AX1766+AZ1766+BB1766+BD1766+BF1766+BH1766+BJ1766+BL1766+BN1766+BP1766+BR1766+BT1766+BV1766+BX1766+BZ1766+CB1766+CD1766+CF1766+CH1766+CJ1766+CL1766+CN1766+CP1766+CR1766+CT1766</f>
        <v>0</v>
      </c>
      <c r="CV1766" s="76"/>
      <c r="CW1766" s="76">
        <f>+CV1766*1100</f>
        <v>0</v>
      </c>
      <c r="CX1766" s="76"/>
      <c r="CY1766" s="76">
        <f>+CX1766*106250</f>
        <v>0</v>
      </c>
      <c r="CZ1766" s="76"/>
      <c r="DA1766" s="76">
        <f>+CZ1766*34500</f>
        <v>0</v>
      </c>
      <c r="DB1766" s="76"/>
      <c r="DC1766" s="76">
        <f>+DB1766*25000</f>
        <v>0</v>
      </c>
      <c r="DD1766" s="219"/>
      <c r="DE1766" s="219"/>
      <c r="DF1766" s="166"/>
      <c r="DG1766" s="116"/>
      <c r="DH1766" s="117"/>
      <c r="DI1766" s="24"/>
      <c r="DJ1766" s="24"/>
      <c r="DK1766" s="24"/>
      <c r="DL1766" s="24"/>
      <c r="DM1766" s="24"/>
      <c r="DN1766" s="24"/>
      <c r="DO1766" s="24"/>
      <c r="DP1766" s="24"/>
      <c r="DQ1766" s="24"/>
      <c r="DR1766" s="24"/>
      <c r="DS1766" s="24"/>
      <c r="DT1766" s="24"/>
      <c r="DU1766" s="24"/>
    </row>
    <row r="1767" spans="1:125" s="8" customFormat="1" ht="84" x14ac:dyDescent="0.2">
      <c r="A1767" s="77">
        <v>41403</v>
      </c>
      <c r="B1767" s="78" t="s">
        <v>2778</v>
      </c>
      <c r="C1767" s="75" t="s">
        <v>2013</v>
      </c>
      <c r="D1767" s="75" t="s">
        <v>3088</v>
      </c>
      <c r="E1767" s="75" t="str">
        <f>VLOOKUP(B1767&amp;C1767,Divipola!$C$2:$F$1138,4,FALSE)</f>
        <v>85400</v>
      </c>
      <c r="F1767" s="87"/>
      <c r="G1767" s="87"/>
      <c r="H1767" s="87"/>
      <c r="I1767" s="87">
        <v>7</v>
      </c>
      <c r="J1767" s="87">
        <v>2</v>
      </c>
      <c r="K1767" s="87"/>
      <c r="L1767" s="87">
        <v>1</v>
      </c>
      <c r="M1767" s="87">
        <v>1</v>
      </c>
      <c r="N1767" s="87"/>
      <c r="O1767" s="87"/>
      <c r="P1767" s="87"/>
      <c r="Q1767" s="87"/>
      <c r="R1767" s="87"/>
      <c r="S1767" s="87"/>
      <c r="T1767" s="87"/>
      <c r="U1767" s="88"/>
      <c r="V1767" s="89"/>
      <c r="W1767" s="96">
        <v>0</v>
      </c>
      <c r="X1767" s="71">
        <f>CU1767</f>
        <v>0</v>
      </c>
      <c r="Y1767" s="71">
        <f>CY1767</f>
        <v>0</v>
      </c>
      <c r="Z1767" s="71">
        <f>DA1767+DC1767+DE1767</f>
        <v>0</v>
      </c>
      <c r="AA1767" s="71">
        <f>CW1767</f>
        <v>0</v>
      </c>
      <c r="AB1767" s="71"/>
      <c r="AC1767" s="71">
        <v>0</v>
      </c>
      <c r="AD1767" s="71">
        <f>W1767+X1767+Y1767+Z1767+AA1767+AB1767+AC1767</f>
        <v>0</v>
      </c>
      <c r="AE1767" s="72">
        <v>0</v>
      </c>
      <c r="AF1767" s="5"/>
      <c r="AG1767" s="6"/>
      <c r="AH1767" s="27" t="s">
        <v>3392</v>
      </c>
      <c r="AI1767" s="44" t="s">
        <v>3393</v>
      </c>
      <c r="AJ1767" s="26"/>
      <c r="AK1767" s="5"/>
      <c r="AL1767" s="82" t="s">
        <v>4581</v>
      </c>
      <c r="AM1767" s="76"/>
      <c r="AN1767" s="76"/>
      <c r="AO1767" s="76"/>
      <c r="AP1767" s="76"/>
      <c r="AQ1767" s="76"/>
      <c r="AR1767" s="76"/>
      <c r="AS1767" s="76"/>
      <c r="AT1767" s="76"/>
      <c r="AU1767" s="76"/>
      <c r="AV1767" s="76"/>
      <c r="AW1767" s="76"/>
      <c r="AX1767" s="76">
        <f>+AW1767*600000</f>
        <v>0</v>
      </c>
      <c r="AY1767" s="76"/>
      <c r="AZ1767" s="76">
        <f>+AY1767*70000</f>
        <v>0</v>
      </c>
      <c r="BA1767" s="76"/>
      <c r="BB1767" s="76"/>
      <c r="BC1767" s="76"/>
      <c r="BD1767" s="76">
        <f>+BC1767*30000</f>
        <v>0</v>
      </c>
      <c r="BE1767" s="76"/>
      <c r="BF1767" s="76"/>
      <c r="BG1767" s="76"/>
      <c r="BH1767" s="76"/>
      <c r="BI1767" s="76"/>
      <c r="BJ1767" s="76"/>
      <c r="BK1767" s="76"/>
      <c r="BL1767" s="76">
        <f>+BK1767*31500</f>
        <v>0</v>
      </c>
      <c r="BM1767" s="76"/>
      <c r="BN1767" s="76"/>
      <c r="BO1767" s="76"/>
      <c r="BP1767" s="76"/>
      <c r="BQ1767" s="76"/>
      <c r="BR1767" s="76"/>
      <c r="BS1767" s="76"/>
      <c r="BT1767" s="76"/>
      <c r="BU1767" s="76"/>
      <c r="BV1767" s="76"/>
      <c r="BW1767" s="76"/>
      <c r="BX1767" s="76"/>
      <c r="BY1767" s="76"/>
      <c r="BZ1767" s="76"/>
      <c r="CA1767" s="76"/>
      <c r="CB1767" s="76"/>
      <c r="CC1767" s="76"/>
      <c r="CD1767" s="76"/>
      <c r="CE1767" s="76"/>
      <c r="CF1767" s="76">
        <f>+CE1767*28000</f>
        <v>0</v>
      </c>
      <c r="CG1767" s="76"/>
      <c r="CH1767" s="76">
        <f>+CG1767*22500</f>
        <v>0</v>
      </c>
      <c r="CI1767" s="76"/>
      <c r="CJ1767" s="76">
        <f>+CI1767*26000</f>
        <v>0</v>
      </c>
      <c r="CK1767" s="76"/>
      <c r="CL1767" s="76"/>
      <c r="CM1767" s="76"/>
      <c r="CN1767" s="76">
        <f>+CM1767*22000</f>
        <v>0</v>
      </c>
      <c r="CO1767" s="76"/>
      <c r="CP1767" s="76">
        <f>+CO1767*46000</f>
        <v>0</v>
      </c>
      <c r="CQ1767" s="76"/>
      <c r="CR1767" s="76">
        <f>+CQ1767*49000</f>
        <v>0</v>
      </c>
      <c r="CS1767" s="76"/>
      <c r="CT1767" s="76"/>
      <c r="CU1767" s="56">
        <f>AN1767+AP1767+AR1767+AT1767+AV1767+AX1767+AZ1767+BB1767+BD1767+BF1767+BH1767+BJ1767+BL1767+BN1767+BP1767+BR1767+BT1767+BV1767+BX1767+BZ1767+CB1767+CD1767+CF1767+CH1767+CJ1767+CL1767+CN1767+CP1767+CR1767+CT1767</f>
        <v>0</v>
      </c>
      <c r="CV1767" s="76"/>
      <c r="CW1767" s="76">
        <f>+CV1767*1100</f>
        <v>0</v>
      </c>
      <c r="CX1767" s="76"/>
      <c r="CY1767" s="76">
        <f>+CX1767*106250</f>
        <v>0</v>
      </c>
      <c r="CZ1767" s="76"/>
      <c r="DA1767" s="76">
        <f>+CZ1767*34500</f>
        <v>0</v>
      </c>
      <c r="DB1767" s="76"/>
      <c r="DC1767" s="76">
        <f>+DB1767*25000</f>
        <v>0</v>
      </c>
      <c r="DD1767" s="219"/>
      <c r="DE1767" s="219"/>
      <c r="DF1767" s="166"/>
      <c r="DG1767" s="116"/>
      <c r="DH1767" s="117"/>
      <c r="DI1767" s="24"/>
      <c r="DJ1767" s="24"/>
      <c r="DK1767" s="24"/>
      <c r="DL1767" s="24"/>
      <c r="DM1767" s="24"/>
      <c r="DN1767" s="24"/>
      <c r="DO1767" s="24"/>
      <c r="DP1767" s="24"/>
      <c r="DQ1767" s="24"/>
      <c r="DR1767" s="24"/>
      <c r="DS1767" s="24"/>
      <c r="DT1767" s="24"/>
      <c r="DU1767" s="24"/>
    </row>
    <row r="1768" spans="1:125" s="8" customFormat="1" ht="36" x14ac:dyDescent="0.2">
      <c r="A1768" s="226">
        <v>41403</v>
      </c>
      <c r="B1768" s="225" t="s">
        <v>2906</v>
      </c>
      <c r="C1768" s="227" t="s">
        <v>1367</v>
      </c>
      <c r="D1768" s="227" t="s">
        <v>2846</v>
      </c>
      <c r="E1768" s="75" t="str">
        <f>VLOOKUP(B1768&amp;C1768,Divipola!$C$2:$F$1138,4,FALSE)</f>
        <v>47675</v>
      </c>
      <c r="F1768" s="87"/>
      <c r="G1768" s="87"/>
      <c r="H1768" s="87"/>
      <c r="I1768" s="87"/>
      <c r="J1768" s="87"/>
      <c r="K1768" s="87"/>
      <c r="L1768" s="87"/>
      <c r="M1768" s="87"/>
      <c r="N1768" s="87"/>
      <c r="O1768" s="87"/>
      <c r="P1768" s="87"/>
      <c r="Q1768" s="87"/>
      <c r="R1768" s="87"/>
      <c r="S1768" s="87"/>
      <c r="T1768" s="87"/>
      <c r="U1768" s="88">
        <v>1</v>
      </c>
      <c r="V1768" s="89"/>
      <c r="W1768" s="96">
        <v>0</v>
      </c>
      <c r="X1768" s="71">
        <f>CU1768</f>
        <v>0</v>
      </c>
      <c r="Y1768" s="71">
        <f>CY1768</f>
        <v>0</v>
      </c>
      <c r="Z1768" s="71">
        <f>DA1768+DC1768+DE1768</f>
        <v>0</v>
      </c>
      <c r="AA1768" s="71">
        <f>CW1768</f>
        <v>0</v>
      </c>
      <c r="AB1768" s="71"/>
      <c r="AC1768" s="71">
        <v>0</v>
      </c>
      <c r="AD1768" s="71">
        <f>W1768+X1768+Y1768+Z1768+AA1768+AB1768+AC1768</f>
        <v>0</v>
      </c>
      <c r="AE1768" s="72">
        <v>0</v>
      </c>
      <c r="AF1768" s="5"/>
      <c r="AG1768" s="6"/>
      <c r="AH1768" s="27" t="s">
        <v>3392</v>
      </c>
      <c r="AI1768" s="44" t="s">
        <v>3393</v>
      </c>
      <c r="AJ1768" s="26"/>
      <c r="AK1768" s="5"/>
      <c r="AL1768" s="82" t="s">
        <v>4582</v>
      </c>
      <c r="AM1768" s="76"/>
      <c r="AN1768" s="76"/>
      <c r="AO1768" s="76"/>
      <c r="AP1768" s="76"/>
      <c r="AQ1768" s="76"/>
      <c r="AR1768" s="76"/>
      <c r="AS1768" s="76"/>
      <c r="AT1768" s="76"/>
      <c r="AU1768" s="76"/>
      <c r="AV1768" s="76"/>
      <c r="AW1768" s="76"/>
      <c r="AX1768" s="76">
        <f>+AW1768*600000</f>
        <v>0</v>
      </c>
      <c r="AY1768" s="76"/>
      <c r="AZ1768" s="76">
        <f>+AY1768*70000</f>
        <v>0</v>
      </c>
      <c r="BA1768" s="76"/>
      <c r="BB1768" s="76"/>
      <c r="BC1768" s="76"/>
      <c r="BD1768" s="76">
        <f>+BC1768*30000</f>
        <v>0</v>
      </c>
      <c r="BE1768" s="76"/>
      <c r="BF1768" s="76"/>
      <c r="BG1768" s="76"/>
      <c r="BH1768" s="76"/>
      <c r="BI1768" s="76"/>
      <c r="BJ1768" s="76"/>
      <c r="BK1768" s="76"/>
      <c r="BL1768" s="76">
        <f>+BK1768*31500</f>
        <v>0</v>
      </c>
      <c r="BM1768" s="76"/>
      <c r="BN1768" s="76"/>
      <c r="BO1768" s="76"/>
      <c r="BP1768" s="76"/>
      <c r="BQ1768" s="76"/>
      <c r="BR1768" s="76"/>
      <c r="BS1768" s="76"/>
      <c r="BT1768" s="76"/>
      <c r="BU1768" s="76"/>
      <c r="BV1768" s="76"/>
      <c r="BW1768" s="76"/>
      <c r="BX1768" s="76"/>
      <c r="BY1768" s="76"/>
      <c r="BZ1768" s="76"/>
      <c r="CA1768" s="76"/>
      <c r="CB1768" s="76"/>
      <c r="CC1768" s="76"/>
      <c r="CD1768" s="76"/>
      <c r="CE1768" s="76"/>
      <c r="CF1768" s="76">
        <f>+CE1768*28000</f>
        <v>0</v>
      </c>
      <c r="CG1768" s="76"/>
      <c r="CH1768" s="76">
        <f>+CG1768*22500</f>
        <v>0</v>
      </c>
      <c r="CI1768" s="76"/>
      <c r="CJ1768" s="76">
        <f>+CI1768*26000</f>
        <v>0</v>
      </c>
      <c r="CK1768" s="76"/>
      <c r="CL1768" s="76"/>
      <c r="CM1768" s="76"/>
      <c r="CN1768" s="76">
        <f>+CM1768*22000</f>
        <v>0</v>
      </c>
      <c r="CO1768" s="76"/>
      <c r="CP1768" s="76">
        <f>+CO1768*46000</f>
        <v>0</v>
      </c>
      <c r="CQ1768" s="76"/>
      <c r="CR1768" s="76">
        <f>+CQ1768*49000</f>
        <v>0</v>
      </c>
      <c r="CS1768" s="76"/>
      <c r="CT1768" s="76"/>
      <c r="CU1768" s="56">
        <f>AN1768+AP1768+AR1768+AT1768+AV1768+AX1768+AZ1768+BB1768+BD1768+BF1768+BH1768+BJ1768+BL1768+BN1768+BP1768+BR1768+BT1768+BV1768+BX1768+BZ1768+CB1768+CD1768+CF1768+CH1768+CJ1768+CL1768+CN1768+CP1768+CR1768+CT1768</f>
        <v>0</v>
      </c>
      <c r="CV1768" s="76"/>
      <c r="CW1768" s="76">
        <f>+CV1768*1100</f>
        <v>0</v>
      </c>
      <c r="CX1768" s="76"/>
      <c r="CY1768" s="76">
        <f>+CX1768*106250</f>
        <v>0</v>
      </c>
      <c r="CZ1768" s="76"/>
      <c r="DA1768" s="76">
        <f>+CZ1768*34500</f>
        <v>0</v>
      </c>
      <c r="DB1768" s="76"/>
      <c r="DC1768" s="76">
        <f>+DB1768*25000</f>
        <v>0</v>
      </c>
      <c r="DD1768" s="219"/>
      <c r="DE1768" s="219"/>
      <c r="DF1768" s="166"/>
      <c r="DG1768" s="116"/>
      <c r="DH1768" s="117"/>
      <c r="DI1768" s="24"/>
      <c r="DJ1768" s="24"/>
      <c r="DK1768" s="24"/>
      <c r="DL1768" s="24"/>
      <c r="DM1768" s="24"/>
      <c r="DN1768" s="24"/>
      <c r="DO1768" s="24"/>
      <c r="DP1768" s="24"/>
      <c r="DQ1768" s="24"/>
      <c r="DR1768" s="24"/>
      <c r="DS1768" s="24"/>
      <c r="DT1768" s="24"/>
      <c r="DU1768" s="24"/>
    </row>
    <row r="1769" spans="1:125" s="8" customFormat="1" ht="72" x14ac:dyDescent="0.2">
      <c r="A1769" s="353">
        <v>41403</v>
      </c>
      <c r="B1769" s="352" t="s">
        <v>2847</v>
      </c>
      <c r="C1769" s="227" t="s">
        <v>2673</v>
      </c>
      <c r="D1769" s="227" t="s">
        <v>3088</v>
      </c>
      <c r="E1769" s="75" t="str">
        <f>VLOOKUP(B1769&amp;C1769,Divipola!$C$2:$F$1138,4,FALSE)</f>
        <v>68001</v>
      </c>
      <c r="F1769" s="87"/>
      <c r="G1769" s="87"/>
      <c r="H1769" s="87"/>
      <c r="I1769" s="87"/>
      <c r="J1769" s="87"/>
      <c r="K1769" s="87"/>
      <c r="L1769" s="87"/>
      <c r="M1769" s="87">
        <v>1</v>
      </c>
      <c r="N1769" s="87"/>
      <c r="O1769" s="87"/>
      <c r="P1769" s="87"/>
      <c r="Q1769" s="87"/>
      <c r="R1769" s="87"/>
      <c r="S1769" s="87"/>
      <c r="T1769" s="87"/>
      <c r="U1769" s="88"/>
      <c r="V1769" s="89"/>
      <c r="W1769" s="96">
        <v>0</v>
      </c>
      <c r="X1769" s="71">
        <f>CU1769</f>
        <v>0</v>
      </c>
      <c r="Y1769" s="71">
        <f>CY1769</f>
        <v>0</v>
      </c>
      <c r="Z1769" s="71">
        <f>DA1769+DC1769+DE1769</f>
        <v>0</v>
      </c>
      <c r="AA1769" s="71">
        <f>CW1769</f>
        <v>0</v>
      </c>
      <c r="AB1769" s="71"/>
      <c r="AC1769" s="71">
        <v>0</v>
      </c>
      <c r="AD1769" s="71">
        <f>W1769+X1769+Y1769+Z1769+AA1769+AB1769+AC1769</f>
        <v>0</v>
      </c>
      <c r="AE1769" s="72">
        <v>0</v>
      </c>
      <c r="AF1769" s="5"/>
      <c r="AG1769" s="6"/>
      <c r="AH1769" s="27" t="s">
        <v>3392</v>
      </c>
      <c r="AI1769" s="44" t="s">
        <v>3393</v>
      </c>
      <c r="AJ1769" s="26"/>
      <c r="AK1769" s="5"/>
      <c r="AL1769" s="82" t="s">
        <v>4577</v>
      </c>
      <c r="AM1769" s="76"/>
      <c r="AN1769" s="76"/>
      <c r="AO1769" s="76"/>
      <c r="AP1769" s="76"/>
      <c r="AQ1769" s="76"/>
      <c r="AR1769" s="76"/>
      <c r="AS1769" s="76"/>
      <c r="AT1769" s="76"/>
      <c r="AU1769" s="76"/>
      <c r="AV1769" s="76"/>
      <c r="AW1769" s="76"/>
      <c r="AX1769" s="76">
        <f>+AW1769*600000</f>
        <v>0</v>
      </c>
      <c r="AY1769" s="76"/>
      <c r="AZ1769" s="76">
        <f>+AY1769*70000</f>
        <v>0</v>
      </c>
      <c r="BA1769" s="76"/>
      <c r="BB1769" s="76"/>
      <c r="BC1769" s="76"/>
      <c r="BD1769" s="76">
        <f>+BC1769*30000</f>
        <v>0</v>
      </c>
      <c r="BE1769" s="76"/>
      <c r="BF1769" s="76"/>
      <c r="BG1769" s="76"/>
      <c r="BH1769" s="76"/>
      <c r="BI1769" s="76"/>
      <c r="BJ1769" s="76"/>
      <c r="BK1769" s="76"/>
      <c r="BL1769" s="76">
        <f>+BK1769*31500</f>
        <v>0</v>
      </c>
      <c r="BM1769" s="76"/>
      <c r="BN1769" s="76"/>
      <c r="BO1769" s="76"/>
      <c r="BP1769" s="76"/>
      <c r="BQ1769" s="76"/>
      <c r="BR1769" s="76"/>
      <c r="BS1769" s="76"/>
      <c r="BT1769" s="76"/>
      <c r="BU1769" s="76"/>
      <c r="BV1769" s="76"/>
      <c r="BW1769" s="76"/>
      <c r="BX1769" s="76"/>
      <c r="BY1769" s="76"/>
      <c r="BZ1769" s="76"/>
      <c r="CA1769" s="76"/>
      <c r="CB1769" s="76"/>
      <c r="CC1769" s="76"/>
      <c r="CD1769" s="76"/>
      <c r="CE1769" s="76"/>
      <c r="CF1769" s="76">
        <f>+CE1769*28000</f>
        <v>0</v>
      </c>
      <c r="CG1769" s="76"/>
      <c r="CH1769" s="76">
        <f>+CG1769*22500</f>
        <v>0</v>
      </c>
      <c r="CI1769" s="76"/>
      <c r="CJ1769" s="76">
        <f>+CI1769*26000</f>
        <v>0</v>
      </c>
      <c r="CK1769" s="76"/>
      <c r="CL1769" s="76"/>
      <c r="CM1769" s="76"/>
      <c r="CN1769" s="76">
        <f>+CM1769*22000</f>
        <v>0</v>
      </c>
      <c r="CO1769" s="76"/>
      <c r="CP1769" s="76">
        <f>+CO1769*46000</f>
        <v>0</v>
      </c>
      <c r="CQ1769" s="76"/>
      <c r="CR1769" s="76">
        <f>+CQ1769*49000</f>
        <v>0</v>
      </c>
      <c r="CS1769" s="76"/>
      <c r="CT1769" s="76"/>
      <c r="CU1769" s="56">
        <f>AN1769+AP1769+AR1769+AT1769+AV1769+AX1769+AZ1769+BB1769+BD1769+BF1769+BH1769+BJ1769+BL1769+BN1769+BP1769+BR1769+BT1769+BV1769+BX1769+BZ1769+CB1769+CD1769+CF1769+CH1769+CJ1769+CL1769+CN1769+CP1769+CR1769+CT1769</f>
        <v>0</v>
      </c>
      <c r="CV1769" s="76"/>
      <c r="CW1769" s="76">
        <f>+CV1769*1100</f>
        <v>0</v>
      </c>
      <c r="CX1769" s="76"/>
      <c r="CY1769" s="76">
        <f>+CX1769*106250</f>
        <v>0</v>
      </c>
      <c r="CZ1769" s="76"/>
      <c r="DA1769" s="76">
        <f>+CZ1769*34500</f>
        <v>0</v>
      </c>
      <c r="DB1769" s="76"/>
      <c r="DC1769" s="76">
        <f>+DB1769*25000</f>
        <v>0</v>
      </c>
      <c r="DD1769" s="219"/>
      <c r="DE1769" s="219"/>
      <c r="DF1769" s="166"/>
      <c r="DG1769" s="116"/>
      <c r="DH1769" s="117"/>
      <c r="DI1769" s="24"/>
      <c r="DJ1769" s="24"/>
      <c r="DK1769" s="24"/>
      <c r="DL1769" s="24"/>
      <c r="DM1769" s="24"/>
      <c r="DN1769" s="24"/>
      <c r="DO1769" s="24"/>
      <c r="DP1769" s="24"/>
      <c r="DQ1769" s="24"/>
      <c r="DR1769" s="24"/>
      <c r="DS1769" s="24"/>
      <c r="DT1769" s="24"/>
      <c r="DU1769" s="24"/>
    </row>
    <row r="1770" spans="1:125" s="246" customFormat="1" ht="48" x14ac:dyDescent="0.2">
      <c r="A1770" s="353">
        <v>41403</v>
      </c>
      <c r="B1770" s="225" t="s">
        <v>2847</v>
      </c>
      <c r="C1770" s="227" t="s">
        <v>933</v>
      </c>
      <c r="D1770" s="227" t="s">
        <v>3088</v>
      </c>
      <c r="E1770" s="75" t="str">
        <f>VLOOKUP(B1770&amp;C1770,Divipola!$C$2:$F$1138,4,FALSE)</f>
        <v>68397</v>
      </c>
      <c r="F1770" s="87"/>
      <c r="G1770" s="87"/>
      <c r="H1770" s="87"/>
      <c r="I1770" s="87">
        <v>25</v>
      </c>
      <c r="J1770" s="87">
        <v>5</v>
      </c>
      <c r="K1770" s="87"/>
      <c r="L1770" s="87">
        <v>5</v>
      </c>
      <c r="M1770" s="87">
        <v>1</v>
      </c>
      <c r="N1770" s="87">
        <v>1</v>
      </c>
      <c r="O1770" s="87"/>
      <c r="P1770" s="87"/>
      <c r="Q1770" s="87"/>
      <c r="R1770" s="87"/>
      <c r="S1770" s="87"/>
      <c r="T1770" s="87"/>
      <c r="U1770" s="88"/>
      <c r="V1770" s="89"/>
      <c r="W1770" s="96">
        <v>0</v>
      </c>
      <c r="X1770" s="71">
        <f>CU1770</f>
        <v>0</v>
      </c>
      <c r="Y1770" s="71">
        <f>CY1770</f>
        <v>0</v>
      </c>
      <c r="Z1770" s="71">
        <f>DA1770+DC1770+DE1770</f>
        <v>0</v>
      </c>
      <c r="AA1770" s="71">
        <f>CW1770</f>
        <v>0</v>
      </c>
      <c r="AB1770" s="71"/>
      <c r="AC1770" s="71">
        <v>0</v>
      </c>
      <c r="AD1770" s="71">
        <f>W1770+X1770+Y1770+Z1770+AA1770+AB1770+AC1770</f>
        <v>0</v>
      </c>
      <c r="AE1770" s="72">
        <v>0</v>
      </c>
      <c r="AF1770" s="5"/>
      <c r="AG1770" s="6"/>
      <c r="AH1770" s="27" t="s">
        <v>3392</v>
      </c>
      <c r="AI1770" s="44" t="s">
        <v>3393</v>
      </c>
      <c r="AJ1770" s="26"/>
      <c r="AK1770" s="5"/>
      <c r="AL1770" s="82" t="s">
        <v>4579</v>
      </c>
      <c r="AM1770" s="76"/>
      <c r="AN1770" s="76"/>
      <c r="AO1770" s="76"/>
      <c r="AP1770" s="76"/>
      <c r="AQ1770" s="76"/>
      <c r="AR1770" s="76"/>
      <c r="AS1770" s="76"/>
      <c r="AT1770" s="76"/>
      <c r="AU1770" s="76"/>
      <c r="AV1770" s="76"/>
      <c r="AW1770" s="76"/>
      <c r="AX1770" s="76">
        <f>+AW1770*600000</f>
        <v>0</v>
      </c>
      <c r="AY1770" s="76"/>
      <c r="AZ1770" s="76">
        <f>+AY1770*70000</f>
        <v>0</v>
      </c>
      <c r="BA1770" s="76"/>
      <c r="BB1770" s="76"/>
      <c r="BC1770" s="76"/>
      <c r="BD1770" s="76">
        <f>+BC1770*30000</f>
        <v>0</v>
      </c>
      <c r="BE1770" s="76"/>
      <c r="BF1770" s="76"/>
      <c r="BG1770" s="76"/>
      <c r="BH1770" s="76"/>
      <c r="BI1770" s="76"/>
      <c r="BJ1770" s="76"/>
      <c r="BK1770" s="76"/>
      <c r="BL1770" s="76">
        <f>+BK1770*31500</f>
        <v>0</v>
      </c>
      <c r="BM1770" s="76"/>
      <c r="BN1770" s="76"/>
      <c r="BO1770" s="76"/>
      <c r="BP1770" s="76"/>
      <c r="BQ1770" s="76"/>
      <c r="BR1770" s="76"/>
      <c r="BS1770" s="76"/>
      <c r="BT1770" s="76"/>
      <c r="BU1770" s="76"/>
      <c r="BV1770" s="76"/>
      <c r="BW1770" s="76"/>
      <c r="BX1770" s="76"/>
      <c r="BY1770" s="76"/>
      <c r="BZ1770" s="76"/>
      <c r="CA1770" s="76"/>
      <c r="CB1770" s="76"/>
      <c r="CC1770" s="76"/>
      <c r="CD1770" s="76"/>
      <c r="CE1770" s="76"/>
      <c r="CF1770" s="76">
        <f>+CE1770*28000</f>
        <v>0</v>
      </c>
      <c r="CG1770" s="76"/>
      <c r="CH1770" s="76">
        <f>+CG1770*22500</f>
        <v>0</v>
      </c>
      <c r="CI1770" s="76"/>
      <c r="CJ1770" s="76">
        <f>+CI1770*26000</f>
        <v>0</v>
      </c>
      <c r="CK1770" s="76"/>
      <c r="CL1770" s="76"/>
      <c r="CM1770" s="76"/>
      <c r="CN1770" s="76">
        <f>+CM1770*22000</f>
        <v>0</v>
      </c>
      <c r="CO1770" s="76"/>
      <c r="CP1770" s="76">
        <f>+CO1770*46000</f>
        <v>0</v>
      </c>
      <c r="CQ1770" s="76"/>
      <c r="CR1770" s="76">
        <f>+CQ1770*49000</f>
        <v>0</v>
      </c>
      <c r="CS1770" s="76"/>
      <c r="CT1770" s="76"/>
      <c r="CU1770" s="56">
        <f>AN1770+AP1770+AR1770+AT1770+AV1770+AX1770+AZ1770+BB1770+BD1770+BF1770+BH1770+BJ1770+BL1770+BN1770+BP1770+BR1770+BT1770+BV1770+BX1770+BZ1770+CB1770+CD1770+CF1770+CH1770+CJ1770+CL1770+CN1770+CP1770+CR1770+CT1770</f>
        <v>0</v>
      </c>
      <c r="CV1770" s="76"/>
      <c r="CW1770" s="76">
        <f>+CV1770*1100</f>
        <v>0</v>
      </c>
      <c r="CX1770" s="76"/>
      <c r="CY1770" s="76">
        <f>+CX1770*106250</f>
        <v>0</v>
      </c>
      <c r="CZ1770" s="76"/>
      <c r="DA1770" s="76">
        <f>+CZ1770*34500</f>
        <v>0</v>
      </c>
      <c r="DB1770" s="76"/>
      <c r="DC1770" s="76">
        <f>+DB1770*25000</f>
        <v>0</v>
      </c>
      <c r="DD1770" s="219"/>
      <c r="DE1770" s="219"/>
      <c r="DF1770" s="166"/>
      <c r="DG1770" s="116"/>
      <c r="DH1770" s="117"/>
      <c r="DI1770" s="245"/>
      <c r="DJ1770" s="245"/>
      <c r="DK1770" s="245"/>
      <c r="DL1770" s="245"/>
      <c r="DM1770" s="245"/>
      <c r="DN1770" s="245"/>
      <c r="DO1770" s="245"/>
      <c r="DP1770" s="245"/>
      <c r="DQ1770" s="245"/>
      <c r="DR1770" s="245"/>
      <c r="DS1770" s="245"/>
      <c r="DT1770" s="245"/>
      <c r="DU1770" s="245"/>
    </row>
    <row r="1771" spans="1:125" s="8" customFormat="1" ht="120" x14ac:dyDescent="0.2">
      <c r="A1771" s="353">
        <v>41404</v>
      </c>
      <c r="B1771" s="225" t="s">
        <v>2700</v>
      </c>
      <c r="C1771" s="227" t="s">
        <v>1362</v>
      </c>
      <c r="D1771" s="227" t="s">
        <v>3051</v>
      </c>
      <c r="E1771" s="75" t="str">
        <f>VLOOKUP(B1771&amp;C1771,Divipola!$C$2:$F$1138,4,FALSE)</f>
        <v>15087</v>
      </c>
      <c r="F1771" s="87"/>
      <c r="G1771" s="87"/>
      <c r="H1771" s="87"/>
      <c r="I1771" s="87">
        <v>110</v>
      </c>
      <c r="J1771" s="87">
        <v>22</v>
      </c>
      <c r="K1771" s="87"/>
      <c r="L1771" s="87">
        <v>22</v>
      </c>
      <c r="M1771" s="87"/>
      <c r="N1771" s="87"/>
      <c r="O1771" s="87"/>
      <c r="P1771" s="87"/>
      <c r="Q1771" s="87"/>
      <c r="R1771" s="87"/>
      <c r="S1771" s="87"/>
      <c r="T1771" s="87"/>
      <c r="U1771" s="88"/>
      <c r="V1771" s="89"/>
      <c r="W1771" s="96">
        <v>0</v>
      </c>
      <c r="X1771" s="71">
        <f>CU1771</f>
        <v>0</v>
      </c>
      <c r="Y1771" s="71">
        <f>CY1771</f>
        <v>0</v>
      </c>
      <c r="Z1771" s="71">
        <f>DA1771+DC1771+DE1771</f>
        <v>0</v>
      </c>
      <c r="AA1771" s="71">
        <f>CW1771</f>
        <v>0</v>
      </c>
      <c r="AB1771" s="71"/>
      <c r="AC1771" s="71">
        <v>0</v>
      </c>
      <c r="AD1771" s="71">
        <f>W1771+X1771+Y1771+Z1771+AA1771+AB1771+AC1771</f>
        <v>0</v>
      </c>
      <c r="AE1771" s="72">
        <v>0</v>
      </c>
      <c r="AF1771" s="5"/>
      <c r="AG1771" s="6"/>
      <c r="AH1771" s="27" t="s">
        <v>3392</v>
      </c>
      <c r="AI1771" s="44" t="s">
        <v>3393</v>
      </c>
      <c r="AJ1771" s="26"/>
      <c r="AK1771" s="5"/>
      <c r="AL1771" s="82" t="s">
        <v>4589</v>
      </c>
      <c r="AM1771" s="76"/>
      <c r="AN1771" s="76"/>
      <c r="AO1771" s="76"/>
      <c r="AP1771" s="76"/>
      <c r="AQ1771" s="76"/>
      <c r="AR1771" s="76"/>
      <c r="AS1771" s="76"/>
      <c r="AT1771" s="76"/>
      <c r="AU1771" s="76"/>
      <c r="AV1771" s="76"/>
      <c r="AW1771" s="76"/>
      <c r="AX1771" s="76">
        <f>+AW1771*600000</f>
        <v>0</v>
      </c>
      <c r="AY1771" s="76"/>
      <c r="AZ1771" s="76">
        <f>+AY1771*70000</f>
        <v>0</v>
      </c>
      <c r="BA1771" s="76"/>
      <c r="BB1771" s="76"/>
      <c r="BC1771" s="76"/>
      <c r="BD1771" s="76">
        <f>+BC1771*30000</f>
        <v>0</v>
      </c>
      <c r="BE1771" s="76"/>
      <c r="BF1771" s="76"/>
      <c r="BG1771" s="76"/>
      <c r="BH1771" s="76"/>
      <c r="BI1771" s="76"/>
      <c r="BJ1771" s="76"/>
      <c r="BK1771" s="76"/>
      <c r="BL1771" s="76">
        <f>+BK1771*31500</f>
        <v>0</v>
      </c>
      <c r="BM1771" s="76"/>
      <c r="BN1771" s="76"/>
      <c r="BO1771" s="76"/>
      <c r="BP1771" s="76"/>
      <c r="BQ1771" s="76"/>
      <c r="BR1771" s="76"/>
      <c r="BS1771" s="76"/>
      <c r="BT1771" s="76"/>
      <c r="BU1771" s="76"/>
      <c r="BV1771" s="76"/>
      <c r="BW1771" s="76"/>
      <c r="BX1771" s="76"/>
      <c r="BY1771" s="76"/>
      <c r="BZ1771" s="76"/>
      <c r="CA1771" s="76"/>
      <c r="CB1771" s="76"/>
      <c r="CC1771" s="76"/>
      <c r="CD1771" s="76"/>
      <c r="CE1771" s="76"/>
      <c r="CF1771" s="76">
        <f>+CE1771*28000</f>
        <v>0</v>
      </c>
      <c r="CG1771" s="76"/>
      <c r="CH1771" s="76">
        <f>+CG1771*22500</f>
        <v>0</v>
      </c>
      <c r="CI1771" s="76"/>
      <c r="CJ1771" s="76">
        <f>+CI1771*26000</f>
        <v>0</v>
      </c>
      <c r="CK1771" s="76"/>
      <c r="CL1771" s="76"/>
      <c r="CM1771" s="76"/>
      <c r="CN1771" s="76">
        <f>+CM1771*22000</f>
        <v>0</v>
      </c>
      <c r="CO1771" s="76"/>
      <c r="CP1771" s="76">
        <f>+CO1771*46000</f>
        <v>0</v>
      </c>
      <c r="CQ1771" s="76"/>
      <c r="CR1771" s="76">
        <f>+CQ1771*49000</f>
        <v>0</v>
      </c>
      <c r="CS1771" s="76"/>
      <c r="CT1771" s="76"/>
      <c r="CU1771" s="56">
        <f>AN1771+AP1771+AR1771+AT1771+AV1771+AX1771+AZ1771+BB1771+BD1771+BF1771+BH1771+BJ1771+BL1771+BN1771+BP1771+BR1771+BT1771+BV1771+BX1771+BZ1771+CB1771+CD1771+CF1771+CH1771+CJ1771+CL1771+CN1771+CP1771+CR1771+CT1771</f>
        <v>0</v>
      </c>
      <c r="CV1771" s="76"/>
      <c r="CW1771" s="76">
        <f>+CV1771*1100</f>
        <v>0</v>
      </c>
      <c r="CX1771" s="76"/>
      <c r="CY1771" s="76">
        <f>+CX1771*106250</f>
        <v>0</v>
      </c>
      <c r="CZ1771" s="76"/>
      <c r="DA1771" s="76">
        <f>+CZ1771*34500</f>
        <v>0</v>
      </c>
      <c r="DB1771" s="76"/>
      <c r="DC1771" s="76">
        <f>+DB1771*25000</f>
        <v>0</v>
      </c>
      <c r="DD1771" s="219"/>
      <c r="DE1771" s="219"/>
      <c r="DF1771" s="166"/>
      <c r="DG1771" s="116"/>
      <c r="DH1771" s="117"/>
      <c r="DI1771" s="24"/>
      <c r="DJ1771" s="24"/>
      <c r="DK1771" s="24"/>
      <c r="DL1771" s="24"/>
      <c r="DM1771" s="24"/>
      <c r="DN1771" s="24"/>
      <c r="DO1771" s="24"/>
      <c r="DP1771" s="24"/>
      <c r="DQ1771" s="24"/>
      <c r="DR1771" s="24"/>
      <c r="DS1771" s="24"/>
      <c r="DT1771" s="24"/>
      <c r="DU1771" s="24"/>
    </row>
    <row r="1772" spans="1:125" s="8" customFormat="1" ht="60" x14ac:dyDescent="0.2">
      <c r="A1772" s="353">
        <v>41404</v>
      </c>
      <c r="B1772" s="352" t="s">
        <v>2854</v>
      </c>
      <c r="C1772" s="354" t="s">
        <v>2738</v>
      </c>
      <c r="D1772" s="227" t="s">
        <v>2882</v>
      </c>
      <c r="E1772" s="75" t="str">
        <f>VLOOKUP(B1772&amp;C1772,Divipola!$C$2:$F$1138,4,FALSE)</f>
        <v>19473</v>
      </c>
      <c r="F1772" s="87"/>
      <c r="G1772" s="87"/>
      <c r="H1772" s="87"/>
      <c r="I1772" s="87">
        <v>150</v>
      </c>
      <c r="J1772" s="87">
        <v>30</v>
      </c>
      <c r="K1772" s="87"/>
      <c r="L1772" s="87">
        <v>30</v>
      </c>
      <c r="M1772" s="87"/>
      <c r="N1772" s="87"/>
      <c r="O1772" s="87"/>
      <c r="P1772" s="87"/>
      <c r="Q1772" s="87"/>
      <c r="R1772" s="87"/>
      <c r="S1772" s="87"/>
      <c r="T1772" s="87"/>
      <c r="U1772" s="88"/>
      <c r="V1772" s="89"/>
      <c r="W1772" s="96">
        <v>0</v>
      </c>
      <c r="X1772" s="71">
        <f>CU1772</f>
        <v>0</v>
      </c>
      <c r="Y1772" s="71">
        <f>CY1772</f>
        <v>0</v>
      </c>
      <c r="Z1772" s="71">
        <f>DA1772+DC1772+DE1772</f>
        <v>177728704</v>
      </c>
      <c r="AA1772" s="71">
        <f>CW1772</f>
        <v>0</v>
      </c>
      <c r="AB1772" s="71"/>
      <c r="AC1772" s="71">
        <v>0</v>
      </c>
      <c r="AD1772" s="71">
        <f>W1772+X1772+Y1772+Z1772+AA1772+AB1772+AC1772</f>
        <v>177728704</v>
      </c>
      <c r="AE1772" s="72">
        <v>0</v>
      </c>
      <c r="AF1772" s="5"/>
      <c r="AG1772" s="6"/>
      <c r="AH1772" s="27" t="s">
        <v>3392</v>
      </c>
      <c r="AI1772" s="44" t="s">
        <v>3393</v>
      </c>
      <c r="AJ1772" s="26"/>
      <c r="AK1772" s="5"/>
      <c r="AL1772" s="82" t="s">
        <v>5352</v>
      </c>
      <c r="AM1772" s="76"/>
      <c r="AN1772" s="76"/>
      <c r="AO1772" s="76"/>
      <c r="AP1772" s="76"/>
      <c r="AQ1772" s="76"/>
      <c r="AR1772" s="76"/>
      <c r="AS1772" s="76"/>
      <c r="AT1772" s="76"/>
      <c r="AU1772" s="76"/>
      <c r="AV1772" s="76"/>
      <c r="AW1772" s="76"/>
      <c r="AX1772" s="76">
        <f>+AW1772*600000</f>
        <v>0</v>
      </c>
      <c r="AY1772" s="76"/>
      <c r="AZ1772" s="76">
        <f>+AY1772*70000</f>
        <v>0</v>
      </c>
      <c r="BA1772" s="76"/>
      <c r="BB1772" s="76"/>
      <c r="BC1772" s="76"/>
      <c r="BD1772" s="76">
        <f>+BC1772*30000</f>
        <v>0</v>
      </c>
      <c r="BE1772" s="76"/>
      <c r="BF1772" s="76"/>
      <c r="BG1772" s="76"/>
      <c r="BH1772" s="76"/>
      <c r="BI1772" s="76"/>
      <c r="BJ1772" s="76"/>
      <c r="BK1772" s="76"/>
      <c r="BL1772" s="76">
        <f>+BK1772*31500</f>
        <v>0</v>
      </c>
      <c r="BM1772" s="76"/>
      <c r="BN1772" s="76"/>
      <c r="BO1772" s="76"/>
      <c r="BP1772" s="76"/>
      <c r="BQ1772" s="76"/>
      <c r="BR1772" s="76"/>
      <c r="BS1772" s="76"/>
      <c r="BT1772" s="76"/>
      <c r="BU1772" s="76"/>
      <c r="BV1772" s="76"/>
      <c r="BW1772" s="76"/>
      <c r="BX1772" s="76"/>
      <c r="BY1772" s="76"/>
      <c r="BZ1772" s="76"/>
      <c r="CA1772" s="76"/>
      <c r="CB1772" s="76"/>
      <c r="CC1772" s="76"/>
      <c r="CD1772" s="76"/>
      <c r="CE1772" s="76"/>
      <c r="CF1772" s="76">
        <f>+CE1772*28000</f>
        <v>0</v>
      </c>
      <c r="CG1772" s="76"/>
      <c r="CH1772" s="76">
        <f>+CG1772*22500</f>
        <v>0</v>
      </c>
      <c r="CI1772" s="76"/>
      <c r="CJ1772" s="76">
        <f>+CI1772*26000</f>
        <v>0</v>
      </c>
      <c r="CK1772" s="76"/>
      <c r="CL1772" s="76"/>
      <c r="CM1772" s="76"/>
      <c r="CN1772" s="76">
        <f>+CM1772*22000</f>
        <v>0</v>
      </c>
      <c r="CO1772" s="76"/>
      <c r="CP1772" s="76">
        <f>+CO1772*46000</f>
        <v>0</v>
      </c>
      <c r="CQ1772" s="76"/>
      <c r="CR1772" s="76">
        <f>+CQ1772*49000</f>
        <v>0</v>
      </c>
      <c r="CS1772" s="76"/>
      <c r="CT1772" s="76"/>
      <c r="CU1772" s="56">
        <f>AN1772+AP1772+AR1772+AT1772+AV1772+AX1772+AZ1772+BB1772+BD1772+BF1772+BH1772+BJ1772+BL1772+BN1772+BP1772+BR1772+BT1772+BV1772+BX1772+BZ1772+CB1772+CD1772+CF1772+CH1772+CJ1772+CL1772+CN1772+CP1772+CR1772+CT1772</f>
        <v>0</v>
      </c>
      <c r="CV1772" s="76"/>
      <c r="CW1772" s="76">
        <f>+CV1772*1100</f>
        <v>0</v>
      </c>
      <c r="CX1772" s="76"/>
      <c r="CY1772" s="76">
        <f>+CX1772*106250</f>
        <v>0</v>
      </c>
      <c r="CZ1772" s="76"/>
      <c r="DA1772" s="76">
        <f>+CZ1772*34500</f>
        <v>0</v>
      </c>
      <c r="DB1772" s="86">
        <v>5500</v>
      </c>
      <c r="DC1772" s="86">
        <f>3000*31999.76+1200*199.52+2500*30999.84+10000*399.04</f>
        <v>177728704</v>
      </c>
      <c r="DD1772" s="219"/>
      <c r="DE1772" s="219"/>
      <c r="DF1772" s="166"/>
      <c r="DG1772" s="134" t="s">
        <v>6535</v>
      </c>
      <c r="DH1772" s="117"/>
      <c r="DI1772" s="24"/>
      <c r="DJ1772" s="24"/>
      <c r="DK1772" s="24"/>
      <c r="DL1772" s="24"/>
      <c r="DM1772" s="24"/>
      <c r="DN1772" s="24"/>
      <c r="DO1772" s="24"/>
      <c r="DP1772" s="24"/>
      <c r="DQ1772" s="24"/>
      <c r="DR1772" s="24"/>
      <c r="DS1772" s="24"/>
      <c r="DT1772" s="24"/>
      <c r="DU1772" s="24"/>
    </row>
    <row r="1773" spans="1:125" s="8" customFormat="1" ht="36" x14ac:dyDescent="0.2">
      <c r="A1773" s="77">
        <v>41404</v>
      </c>
      <c r="B1773" s="78" t="s">
        <v>2718</v>
      </c>
      <c r="C1773" s="75" t="s">
        <v>993</v>
      </c>
      <c r="D1773" s="354" t="s">
        <v>2859</v>
      </c>
      <c r="E1773" s="75" t="str">
        <f>VLOOKUP(B1773&amp;C1773,Divipola!$C$2:$F$1138,4,FALSE)</f>
        <v>23675</v>
      </c>
      <c r="F1773" s="87"/>
      <c r="G1773" s="87"/>
      <c r="H1773" s="87"/>
      <c r="I1773" s="87">
        <v>5</v>
      </c>
      <c r="J1773" s="87">
        <v>1</v>
      </c>
      <c r="K1773" s="87">
        <v>1</v>
      </c>
      <c r="L1773" s="87"/>
      <c r="M1773" s="87"/>
      <c r="N1773" s="87"/>
      <c r="O1773" s="87"/>
      <c r="P1773" s="87"/>
      <c r="Q1773" s="87"/>
      <c r="R1773" s="87"/>
      <c r="S1773" s="87"/>
      <c r="T1773" s="87"/>
      <c r="U1773" s="88"/>
      <c r="V1773" s="89"/>
      <c r="W1773" s="96">
        <v>0</v>
      </c>
      <c r="X1773" s="71">
        <f>CU1773</f>
        <v>0</v>
      </c>
      <c r="Y1773" s="71">
        <f>CY1773</f>
        <v>0</v>
      </c>
      <c r="Z1773" s="71">
        <f>DA1773+DC1773+DE1773</f>
        <v>0</v>
      </c>
      <c r="AA1773" s="71">
        <f>CW1773</f>
        <v>0</v>
      </c>
      <c r="AB1773" s="71"/>
      <c r="AC1773" s="71">
        <v>0</v>
      </c>
      <c r="AD1773" s="71">
        <f>W1773+X1773+Y1773+Z1773+AA1773+AB1773+AC1773</f>
        <v>0</v>
      </c>
      <c r="AE1773" s="72">
        <v>0</v>
      </c>
      <c r="AF1773" s="5"/>
      <c r="AG1773" s="6"/>
      <c r="AH1773" s="27" t="s">
        <v>3392</v>
      </c>
      <c r="AI1773" s="44" t="s">
        <v>3393</v>
      </c>
      <c r="AJ1773" s="26"/>
      <c r="AK1773" s="5"/>
      <c r="AL1773" s="82" t="s">
        <v>4592</v>
      </c>
      <c r="AM1773" s="76"/>
      <c r="AN1773" s="76"/>
      <c r="AO1773" s="76"/>
      <c r="AP1773" s="76"/>
      <c r="AQ1773" s="76"/>
      <c r="AR1773" s="76"/>
      <c r="AS1773" s="76"/>
      <c r="AT1773" s="76"/>
      <c r="AU1773" s="76"/>
      <c r="AV1773" s="76"/>
      <c r="AW1773" s="76"/>
      <c r="AX1773" s="76">
        <f>+AW1773*600000</f>
        <v>0</v>
      </c>
      <c r="AY1773" s="76"/>
      <c r="AZ1773" s="76">
        <f>+AY1773*70000</f>
        <v>0</v>
      </c>
      <c r="BA1773" s="76"/>
      <c r="BB1773" s="76"/>
      <c r="BC1773" s="76"/>
      <c r="BD1773" s="76">
        <f>+BC1773*30000</f>
        <v>0</v>
      </c>
      <c r="BE1773" s="76"/>
      <c r="BF1773" s="76"/>
      <c r="BG1773" s="76"/>
      <c r="BH1773" s="76"/>
      <c r="BI1773" s="76"/>
      <c r="BJ1773" s="76"/>
      <c r="BK1773" s="76"/>
      <c r="BL1773" s="76">
        <f>+BK1773*31500</f>
        <v>0</v>
      </c>
      <c r="BM1773" s="76"/>
      <c r="BN1773" s="76"/>
      <c r="BO1773" s="76"/>
      <c r="BP1773" s="76"/>
      <c r="BQ1773" s="76"/>
      <c r="BR1773" s="76"/>
      <c r="BS1773" s="76"/>
      <c r="BT1773" s="76"/>
      <c r="BU1773" s="76"/>
      <c r="BV1773" s="76"/>
      <c r="BW1773" s="76"/>
      <c r="BX1773" s="76"/>
      <c r="BY1773" s="76"/>
      <c r="BZ1773" s="76"/>
      <c r="CA1773" s="76"/>
      <c r="CB1773" s="76"/>
      <c r="CC1773" s="76"/>
      <c r="CD1773" s="76"/>
      <c r="CE1773" s="76"/>
      <c r="CF1773" s="76">
        <f>+CE1773*28000</f>
        <v>0</v>
      </c>
      <c r="CG1773" s="76"/>
      <c r="CH1773" s="76">
        <f>+CG1773*22500</f>
        <v>0</v>
      </c>
      <c r="CI1773" s="76"/>
      <c r="CJ1773" s="76">
        <f>+CI1773*26000</f>
        <v>0</v>
      </c>
      <c r="CK1773" s="76"/>
      <c r="CL1773" s="76"/>
      <c r="CM1773" s="76"/>
      <c r="CN1773" s="76">
        <f>+CM1773*22000</f>
        <v>0</v>
      </c>
      <c r="CO1773" s="76"/>
      <c r="CP1773" s="76">
        <f>+CO1773*46000</f>
        <v>0</v>
      </c>
      <c r="CQ1773" s="76"/>
      <c r="CR1773" s="76">
        <f>+CQ1773*49000</f>
        <v>0</v>
      </c>
      <c r="CS1773" s="76"/>
      <c r="CT1773" s="76"/>
      <c r="CU1773" s="56">
        <f>AN1773+AP1773+AR1773+AT1773+AV1773+AX1773+AZ1773+BB1773+BD1773+BF1773+BH1773+BJ1773+BL1773+BN1773+BP1773+BR1773+BT1773+BV1773+BX1773+BZ1773+CB1773+CD1773+CF1773+CH1773+CJ1773+CL1773+CN1773+CP1773+CR1773+CT1773</f>
        <v>0</v>
      </c>
      <c r="CV1773" s="76"/>
      <c r="CW1773" s="76">
        <f>+CV1773*1100</f>
        <v>0</v>
      </c>
      <c r="CX1773" s="76"/>
      <c r="CY1773" s="76">
        <f>+CX1773*106250</f>
        <v>0</v>
      </c>
      <c r="CZ1773" s="76"/>
      <c r="DA1773" s="76">
        <f>+CZ1773*34500</f>
        <v>0</v>
      </c>
      <c r="DB1773" s="76"/>
      <c r="DC1773" s="76">
        <f>+DB1773*25000</f>
        <v>0</v>
      </c>
      <c r="DD1773" s="219"/>
      <c r="DE1773" s="219"/>
      <c r="DF1773" s="166"/>
      <c r="DG1773" s="116"/>
      <c r="DH1773" s="117"/>
      <c r="DI1773" s="24"/>
      <c r="DJ1773" s="24"/>
      <c r="DK1773" s="24"/>
      <c r="DL1773" s="24"/>
      <c r="DM1773" s="24"/>
      <c r="DN1773" s="24"/>
      <c r="DO1773" s="24"/>
      <c r="DP1773" s="24"/>
      <c r="DQ1773" s="24"/>
      <c r="DR1773" s="24"/>
      <c r="DS1773" s="24"/>
      <c r="DT1773" s="24"/>
      <c r="DU1773" s="24"/>
    </row>
    <row r="1774" spans="1:125" s="8" customFormat="1" ht="36" x14ac:dyDescent="0.2">
      <c r="A1774" s="77">
        <v>41404</v>
      </c>
      <c r="B1774" s="78" t="s">
        <v>2718</v>
      </c>
      <c r="C1774" s="75" t="s">
        <v>993</v>
      </c>
      <c r="D1774" s="75" t="s">
        <v>2846</v>
      </c>
      <c r="E1774" s="75" t="str">
        <f>VLOOKUP(B1774&amp;C1774,Divipola!$C$2:$F$1138,4,FALSE)</f>
        <v>23675</v>
      </c>
      <c r="F1774" s="87"/>
      <c r="G1774" s="87"/>
      <c r="H1774" s="87"/>
      <c r="I1774" s="87"/>
      <c r="J1774" s="87"/>
      <c r="K1774" s="87"/>
      <c r="L1774" s="87"/>
      <c r="M1774" s="87"/>
      <c r="N1774" s="87"/>
      <c r="O1774" s="87"/>
      <c r="P1774" s="87"/>
      <c r="Q1774" s="87"/>
      <c r="R1774" s="87"/>
      <c r="S1774" s="87"/>
      <c r="T1774" s="87"/>
      <c r="U1774" s="88">
        <v>1.5</v>
      </c>
      <c r="V1774" s="89"/>
      <c r="W1774" s="96">
        <v>0</v>
      </c>
      <c r="X1774" s="71">
        <f>CU1774</f>
        <v>0</v>
      </c>
      <c r="Y1774" s="71">
        <f>CY1774</f>
        <v>0</v>
      </c>
      <c r="Z1774" s="71">
        <f>DA1774+DC1774+DE1774</f>
        <v>0</v>
      </c>
      <c r="AA1774" s="71">
        <f>CW1774</f>
        <v>0</v>
      </c>
      <c r="AB1774" s="71"/>
      <c r="AC1774" s="71">
        <v>0</v>
      </c>
      <c r="AD1774" s="71">
        <f>W1774+X1774+Y1774+Z1774+AA1774+AB1774+AC1774</f>
        <v>0</v>
      </c>
      <c r="AE1774" s="72">
        <v>0</v>
      </c>
      <c r="AF1774" s="5"/>
      <c r="AG1774" s="6"/>
      <c r="AH1774" s="27" t="s">
        <v>3392</v>
      </c>
      <c r="AI1774" s="44" t="s">
        <v>3393</v>
      </c>
      <c r="AJ1774" s="26"/>
      <c r="AK1774" s="5"/>
      <c r="AL1774" s="82" t="s">
        <v>4591</v>
      </c>
      <c r="AM1774" s="76"/>
      <c r="AN1774" s="76"/>
      <c r="AO1774" s="76"/>
      <c r="AP1774" s="76"/>
      <c r="AQ1774" s="76"/>
      <c r="AR1774" s="76"/>
      <c r="AS1774" s="76"/>
      <c r="AT1774" s="76"/>
      <c r="AU1774" s="76"/>
      <c r="AV1774" s="76"/>
      <c r="AW1774" s="76"/>
      <c r="AX1774" s="76">
        <f>+AW1774*600000</f>
        <v>0</v>
      </c>
      <c r="AY1774" s="76"/>
      <c r="AZ1774" s="76">
        <f>+AY1774*70000</f>
        <v>0</v>
      </c>
      <c r="BA1774" s="76"/>
      <c r="BB1774" s="76"/>
      <c r="BC1774" s="76"/>
      <c r="BD1774" s="76">
        <f>+BC1774*30000</f>
        <v>0</v>
      </c>
      <c r="BE1774" s="76"/>
      <c r="BF1774" s="76"/>
      <c r="BG1774" s="76"/>
      <c r="BH1774" s="76"/>
      <c r="BI1774" s="76"/>
      <c r="BJ1774" s="76"/>
      <c r="BK1774" s="76"/>
      <c r="BL1774" s="76">
        <f>+BK1774*31500</f>
        <v>0</v>
      </c>
      <c r="BM1774" s="76"/>
      <c r="BN1774" s="76"/>
      <c r="BO1774" s="76"/>
      <c r="BP1774" s="76"/>
      <c r="BQ1774" s="76"/>
      <c r="BR1774" s="76"/>
      <c r="BS1774" s="76"/>
      <c r="BT1774" s="76"/>
      <c r="BU1774" s="76"/>
      <c r="BV1774" s="76"/>
      <c r="BW1774" s="76"/>
      <c r="BX1774" s="76"/>
      <c r="BY1774" s="76"/>
      <c r="BZ1774" s="76"/>
      <c r="CA1774" s="76"/>
      <c r="CB1774" s="76"/>
      <c r="CC1774" s="76"/>
      <c r="CD1774" s="76"/>
      <c r="CE1774" s="76"/>
      <c r="CF1774" s="76">
        <f>+CE1774*28000</f>
        <v>0</v>
      </c>
      <c r="CG1774" s="76"/>
      <c r="CH1774" s="76">
        <f>+CG1774*22500</f>
        <v>0</v>
      </c>
      <c r="CI1774" s="76"/>
      <c r="CJ1774" s="76">
        <f>+CI1774*26000</f>
        <v>0</v>
      </c>
      <c r="CK1774" s="76"/>
      <c r="CL1774" s="76"/>
      <c r="CM1774" s="76"/>
      <c r="CN1774" s="76">
        <f>+CM1774*22000</f>
        <v>0</v>
      </c>
      <c r="CO1774" s="76"/>
      <c r="CP1774" s="76">
        <f>+CO1774*46000</f>
        <v>0</v>
      </c>
      <c r="CQ1774" s="76"/>
      <c r="CR1774" s="76">
        <f>+CQ1774*49000</f>
        <v>0</v>
      </c>
      <c r="CS1774" s="76"/>
      <c r="CT1774" s="76"/>
      <c r="CU1774" s="56">
        <f>AN1774+AP1774+AR1774+AT1774+AV1774+AX1774+AZ1774+BB1774+BD1774+BF1774+BH1774+BJ1774+BL1774+BN1774+BP1774+BR1774+BT1774+BV1774+BX1774+BZ1774+CB1774+CD1774+CF1774+CH1774+CJ1774+CL1774+CN1774+CP1774+CR1774+CT1774</f>
        <v>0</v>
      </c>
      <c r="CV1774" s="76"/>
      <c r="CW1774" s="76">
        <f>+CV1774*1100</f>
        <v>0</v>
      </c>
      <c r="CX1774" s="76"/>
      <c r="CY1774" s="76">
        <f>+CX1774*106250</f>
        <v>0</v>
      </c>
      <c r="CZ1774" s="76"/>
      <c r="DA1774" s="76">
        <f>+CZ1774*34500</f>
        <v>0</v>
      </c>
      <c r="DB1774" s="76"/>
      <c r="DC1774" s="76">
        <f>+DB1774*25000</f>
        <v>0</v>
      </c>
      <c r="DD1774" s="219"/>
      <c r="DE1774" s="219"/>
      <c r="DF1774" s="166"/>
      <c r="DG1774" s="116"/>
      <c r="DH1774" s="117"/>
      <c r="DI1774" s="24"/>
      <c r="DJ1774" s="24"/>
      <c r="DK1774" s="24"/>
      <c r="DL1774" s="24"/>
      <c r="DM1774" s="24"/>
      <c r="DN1774" s="24"/>
      <c r="DO1774" s="24"/>
      <c r="DP1774" s="24"/>
      <c r="DQ1774" s="24"/>
      <c r="DR1774" s="24"/>
      <c r="DS1774" s="24"/>
      <c r="DT1774" s="24"/>
      <c r="DU1774" s="24"/>
    </row>
    <row r="1775" spans="1:125" s="8" customFormat="1" ht="336" x14ac:dyDescent="0.2">
      <c r="A1775" s="228">
        <v>41404</v>
      </c>
      <c r="B1775" s="229" t="s">
        <v>3136</v>
      </c>
      <c r="C1775" s="230" t="s">
        <v>396</v>
      </c>
      <c r="D1775" s="230" t="s">
        <v>3051</v>
      </c>
      <c r="E1775" s="231" t="str">
        <f>VLOOKUP(B1775&amp;C1775,Divipola!$C$2:$F$1138,4,FALSE)</f>
        <v>44279</v>
      </c>
      <c r="F1775" s="232"/>
      <c r="G1775" s="232"/>
      <c r="H1775" s="232"/>
      <c r="I1775" s="232">
        <v>800</v>
      </c>
      <c r="J1775" s="232">
        <v>160</v>
      </c>
      <c r="K1775" s="232"/>
      <c r="L1775" s="232">
        <v>160</v>
      </c>
      <c r="M1775" s="232">
        <v>3</v>
      </c>
      <c r="N1775" s="232">
        <v>3</v>
      </c>
      <c r="O1775" s="232">
        <v>1</v>
      </c>
      <c r="P1775" s="232"/>
      <c r="Q1775" s="232"/>
      <c r="R1775" s="232"/>
      <c r="S1775" s="232"/>
      <c r="T1775" s="232"/>
      <c r="U1775" s="233"/>
      <c r="V1775" s="234"/>
      <c r="W1775" s="271">
        <v>0</v>
      </c>
      <c r="X1775" s="269">
        <f>CU1775</f>
        <v>55750000</v>
      </c>
      <c r="Y1775" s="269">
        <f>CY1775</f>
        <v>52703750</v>
      </c>
      <c r="Z1775" s="269">
        <f>DA1775+DC1775+DE1775</f>
        <v>26200000</v>
      </c>
      <c r="AA1775" s="269">
        <f>CW1775</f>
        <v>0</v>
      </c>
      <c r="AB1775" s="269"/>
      <c r="AC1775" s="269">
        <v>0</v>
      </c>
      <c r="AD1775" s="269">
        <f>W1775+X1775+Y1775+Z1775+AA1775+AB1775+AC1775</f>
        <v>134653750</v>
      </c>
      <c r="AE1775" s="270">
        <v>0</v>
      </c>
      <c r="AF1775" s="235"/>
      <c r="AG1775" s="236"/>
      <c r="AH1775" s="237" t="s">
        <v>3392</v>
      </c>
      <c r="AI1775" s="238" t="s">
        <v>3393</v>
      </c>
      <c r="AJ1775" s="239"/>
      <c r="AK1775" s="235"/>
      <c r="AL1775" s="82" t="s">
        <v>5320</v>
      </c>
      <c r="AM1775" s="240"/>
      <c r="AN1775" s="240"/>
      <c r="AO1775" s="240"/>
      <c r="AP1775" s="240"/>
      <c r="AQ1775" s="240"/>
      <c r="AR1775" s="240"/>
      <c r="AS1775" s="240"/>
      <c r="AT1775" s="240"/>
      <c r="AU1775" s="240"/>
      <c r="AV1775" s="240"/>
      <c r="AW1775" s="240"/>
      <c r="AX1775" s="240">
        <f>+AW1775*600000</f>
        <v>0</v>
      </c>
      <c r="AY1775" s="312">
        <v>500</v>
      </c>
      <c r="AZ1775" s="312">
        <f>+AY1775*70000</f>
        <v>35000000</v>
      </c>
      <c r="BA1775" s="240"/>
      <c r="BB1775" s="240"/>
      <c r="BC1775" s="240"/>
      <c r="BD1775" s="240">
        <f>+BC1775*30000</f>
        <v>0</v>
      </c>
      <c r="BE1775" s="240"/>
      <c r="BF1775" s="240"/>
      <c r="BG1775" s="240"/>
      <c r="BH1775" s="240"/>
      <c r="BI1775" s="240"/>
      <c r="BJ1775" s="240"/>
      <c r="BK1775" s="240"/>
      <c r="BL1775" s="240">
        <f>+BK1775*31500</f>
        <v>0</v>
      </c>
      <c r="BM1775" s="240"/>
      <c r="BN1775" s="240"/>
      <c r="BO1775" s="240"/>
      <c r="BP1775" s="240"/>
      <c r="BQ1775" s="240"/>
      <c r="BR1775" s="240"/>
      <c r="BS1775" s="240"/>
      <c r="BT1775" s="240"/>
      <c r="BU1775" s="240"/>
      <c r="BV1775" s="240"/>
      <c r="BW1775" s="240"/>
      <c r="BX1775" s="240"/>
      <c r="BY1775" s="240"/>
      <c r="BZ1775" s="240"/>
      <c r="CA1775" s="240"/>
      <c r="CB1775" s="240"/>
      <c r="CC1775" s="240"/>
      <c r="CD1775" s="240"/>
      <c r="CE1775" s="240"/>
      <c r="CF1775" s="240">
        <f>+CE1775*28000</f>
        <v>0</v>
      </c>
      <c r="CG1775" s="312">
        <v>500</v>
      </c>
      <c r="CH1775" s="312">
        <f>+CG1775*22500</f>
        <v>11250000</v>
      </c>
      <c r="CI1775" s="240"/>
      <c r="CJ1775" s="240">
        <f>+CI1775*26000</f>
        <v>0</v>
      </c>
      <c r="CK1775" s="240"/>
      <c r="CL1775" s="240"/>
      <c r="CM1775" s="240"/>
      <c r="CN1775" s="240">
        <f>+CM1775*22000</f>
        <v>0</v>
      </c>
      <c r="CO1775" s="312">
        <v>100</v>
      </c>
      <c r="CP1775" s="312">
        <f>+CO1775*46000</f>
        <v>4600000</v>
      </c>
      <c r="CQ1775" s="312">
        <v>100</v>
      </c>
      <c r="CR1775" s="312">
        <f>+CQ1775*49000</f>
        <v>4900000</v>
      </c>
      <c r="CS1775" s="240"/>
      <c r="CT1775" s="240"/>
      <c r="CU1775" s="241">
        <f>AN1775+AP1775+AR1775+AT1775+AV1775+AX1775+AZ1775+BB1775+BD1775+BF1775+BH1775+BJ1775+BL1775+BN1775+BP1775+BR1775+BT1775+BV1775+BX1775+BZ1775+CB1775+CD1775+CF1775+CH1775+CJ1775+CL1775+CN1775+CP1775+CR1775+CT1775</f>
        <v>55750000</v>
      </c>
      <c r="CV1775" s="240"/>
      <c r="CW1775" s="240">
        <f>+CV1775*1100</f>
        <v>0</v>
      </c>
      <c r="CX1775" s="312">
        <v>500</v>
      </c>
      <c r="CY1775" s="312">
        <f>+CX1775*105407.5</f>
        <v>52703750</v>
      </c>
      <c r="CZ1775" s="240"/>
      <c r="DA1775" s="240">
        <f>+CZ1775*34500</f>
        <v>0</v>
      </c>
      <c r="DB1775" s="312">
        <v>1000</v>
      </c>
      <c r="DC1775" s="312">
        <f>+DB1775*25000+6000*200</f>
        <v>26200000</v>
      </c>
      <c r="DD1775" s="242"/>
      <c r="DE1775" s="242"/>
      <c r="DF1775" s="243"/>
      <c r="DG1775" s="253" t="s">
        <v>5984</v>
      </c>
      <c r="DH1775" s="244"/>
      <c r="DI1775" s="24"/>
      <c r="DJ1775" s="24"/>
      <c r="DK1775" s="24"/>
      <c r="DL1775" s="24"/>
      <c r="DM1775" s="24"/>
      <c r="DN1775" s="24"/>
      <c r="DO1775" s="24"/>
      <c r="DP1775" s="24"/>
      <c r="DQ1775" s="24"/>
      <c r="DR1775" s="24"/>
      <c r="DS1775" s="24"/>
      <c r="DT1775" s="24"/>
      <c r="DU1775" s="24"/>
    </row>
    <row r="1776" spans="1:125" s="8" customFormat="1" ht="72" x14ac:dyDescent="0.2">
      <c r="A1776" s="77">
        <v>41404</v>
      </c>
      <c r="B1776" s="78" t="s">
        <v>506</v>
      </c>
      <c r="C1776" s="75" t="s">
        <v>110</v>
      </c>
      <c r="D1776" s="75" t="s">
        <v>3051</v>
      </c>
      <c r="E1776" s="75" t="str">
        <f>VLOOKUP(B1776&amp;C1776,Divipola!$C$2:$F$1138,4,FALSE)</f>
        <v>50680</v>
      </c>
      <c r="F1776" s="87"/>
      <c r="G1776" s="87"/>
      <c r="H1776" s="87"/>
      <c r="I1776" s="87">
        <v>65</v>
      </c>
      <c r="J1776" s="87">
        <v>15</v>
      </c>
      <c r="K1776" s="87"/>
      <c r="L1776" s="87">
        <v>6</v>
      </c>
      <c r="M1776" s="87"/>
      <c r="N1776" s="87"/>
      <c r="O1776" s="87"/>
      <c r="P1776" s="87"/>
      <c r="Q1776" s="87"/>
      <c r="R1776" s="87"/>
      <c r="S1776" s="87"/>
      <c r="T1776" s="87"/>
      <c r="U1776" s="88"/>
      <c r="V1776" s="89"/>
      <c r="W1776" s="96">
        <v>0</v>
      </c>
      <c r="X1776" s="71">
        <f>CU1776</f>
        <v>0</v>
      </c>
      <c r="Y1776" s="71">
        <f>CY1776</f>
        <v>0</v>
      </c>
      <c r="Z1776" s="71">
        <f>DA1776+DC1776+DE1776</f>
        <v>0</v>
      </c>
      <c r="AA1776" s="71">
        <f>CW1776</f>
        <v>0</v>
      </c>
      <c r="AB1776" s="71"/>
      <c r="AC1776" s="71">
        <v>0</v>
      </c>
      <c r="AD1776" s="71">
        <f>W1776+X1776+Y1776+Z1776+AA1776+AB1776+AC1776</f>
        <v>0</v>
      </c>
      <c r="AE1776" s="72">
        <v>0</v>
      </c>
      <c r="AF1776" s="5"/>
      <c r="AG1776" s="6"/>
      <c r="AH1776" s="27" t="s">
        <v>3392</v>
      </c>
      <c r="AI1776" s="44" t="s">
        <v>3393</v>
      </c>
      <c r="AJ1776" s="26"/>
      <c r="AK1776" s="5"/>
      <c r="AL1776" s="82" t="s">
        <v>4600</v>
      </c>
      <c r="AM1776" s="76"/>
      <c r="AN1776" s="76"/>
      <c r="AO1776" s="76"/>
      <c r="AP1776" s="76"/>
      <c r="AQ1776" s="76"/>
      <c r="AR1776" s="76"/>
      <c r="AS1776" s="76"/>
      <c r="AT1776" s="76"/>
      <c r="AU1776" s="76"/>
      <c r="AV1776" s="76"/>
      <c r="AW1776" s="76"/>
      <c r="AX1776" s="76">
        <f>+AW1776*600000</f>
        <v>0</v>
      </c>
      <c r="AY1776" s="76"/>
      <c r="AZ1776" s="76">
        <f>+AY1776*70000</f>
        <v>0</v>
      </c>
      <c r="BA1776" s="76"/>
      <c r="BB1776" s="76"/>
      <c r="BC1776" s="76"/>
      <c r="BD1776" s="76">
        <f>+BC1776*30000</f>
        <v>0</v>
      </c>
      <c r="BE1776" s="76"/>
      <c r="BF1776" s="76"/>
      <c r="BG1776" s="76"/>
      <c r="BH1776" s="76"/>
      <c r="BI1776" s="76"/>
      <c r="BJ1776" s="76"/>
      <c r="BK1776" s="76"/>
      <c r="BL1776" s="76">
        <f>+BK1776*31500</f>
        <v>0</v>
      </c>
      <c r="BM1776" s="76"/>
      <c r="BN1776" s="76"/>
      <c r="BO1776" s="76"/>
      <c r="BP1776" s="76"/>
      <c r="BQ1776" s="76"/>
      <c r="BR1776" s="76"/>
      <c r="BS1776" s="76"/>
      <c r="BT1776" s="76"/>
      <c r="BU1776" s="76"/>
      <c r="BV1776" s="76"/>
      <c r="BW1776" s="76"/>
      <c r="BX1776" s="76"/>
      <c r="BY1776" s="76"/>
      <c r="BZ1776" s="76"/>
      <c r="CA1776" s="76"/>
      <c r="CB1776" s="76"/>
      <c r="CC1776" s="76"/>
      <c r="CD1776" s="76"/>
      <c r="CE1776" s="76"/>
      <c r="CF1776" s="76">
        <f>+CE1776*28000</f>
        <v>0</v>
      </c>
      <c r="CG1776" s="76"/>
      <c r="CH1776" s="76">
        <f>+CG1776*22500</f>
        <v>0</v>
      </c>
      <c r="CI1776" s="76"/>
      <c r="CJ1776" s="76">
        <f>+CI1776*26000</f>
        <v>0</v>
      </c>
      <c r="CK1776" s="76"/>
      <c r="CL1776" s="76"/>
      <c r="CM1776" s="76"/>
      <c r="CN1776" s="76">
        <f>+CM1776*22000</f>
        <v>0</v>
      </c>
      <c r="CO1776" s="76"/>
      <c r="CP1776" s="76">
        <f>+CO1776*46000</f>
        <v>0</v>
      </c>
      <c r="CQ1776" s="76"/>
      <c r="CR1776" s="76">
        <f>+CQ1776*49000</f>
        <v>0</v>
      </c>
      <c r="CS1776" s="76"/>
      <c r="CT1776" s="76"/>
      <c r="CU1776" s="56">
        <f>AN1776+AP1776+AR1776+AT1776+AV1776+AX1776+AZ1776+BB1776+BD1776+BF1776+BH1776+BJ1776+BL1776+BN1776+BP1776+BR1776+BT1776+BV1776+BX1776+BZ1776+CB1776+CD1776+CF1776+CH1776+CJ1776+CL1776+CN1776+CP1776+CR1776+CT1776</f>
        <v>0</v>
      </c>
      <c r="CV1776" s="76"/>
      <c r="CW1776" s="76">
        <f>+CV1776*1100</f>
        <v>0</v>
      </c>
      <c r="CX1776" s="76"/>
      <c r="CY1776" s="76">
        <f>+CX1776*106250</f>
        <v>0</v>
      </c>
      <c r="CZ1776" s="76"/>
      <c r="DA1776" s="76">
        <f>+CZ1776*34500</f>
        <v>0</v>
      </c>
      <c r="DB1776" s="76"/>
      <c r="DC1776" s="76">
        <f>+DB1776*25000</f>
        <v>0</v>
      </c>
      <c r="DD1776" s="219"/>
      <c r="DE1776" s="219"/>
      <c r="DF1776" s="166"/>
      <c r="DG1776" s="116"/>
      <c r="DH1776" s="117"/>
      <c r="DI1776" s="24"/>
      <c r="DJ1776" s="24"/>
      <c r="DK1776" s="24"/>
      <c r="DL1776" s="24"/>
      <c r="DM1776" s="24"/>
      <c r="DN1776" s="24"/>
      <c r="DO1776" s="24"/>
      <c r="DP1776" s="24"/>
      <c r="DQ1776" s="24"/>
      <c r="DR1776" s="24"/>
      <c r="DS1776" s="24"/>
      <c r="DT1776" s="24"/>
      <c r="DU1776" s="24"/>
    </row>
    <row r="1777" spans="1:128" s="8" customFormat="1" ht="84" x14ac:dyDescent="0.2">
      <c r="A1777" s="77">
        <v>41404</v>
      </c>
      <c r="B1777" s="78" t="s">
        <v>2847</v>
      </c>
      <c r="C1777" s="75" t="s">
        <v>331</v>
      </c>
      <c r="D1777" s="75" t="s">
        <v>3088</v>
      </c>
      <c r="E1777" s="75" t="str">
        <f>VLOOKUP(B1777&amp;C1777,Divipola!$C$2:$F$1138,4,FALSE)</f>
        <v>68211</v>
      </c>
      <c r="F1777" s="87"/>
      <c r="G1777" s="87"/>
      <c r="H1777" s="87"/>
      <c r="I1777" s="87"/>
      <c r="J1777" s="87"/>
      <c r="K1777" s="87"/>
      <c r="L1777" s="87"/>
      <c r="M1777" s="87">
        <v>1</v>
      </c>
      <c r="N1777" s="87"/>
      <c r="O1777" s="87"/>
      <c r="P1777" s="87"/>
      <c r="Q1777" s="87"/>
      <c r="R1777" s="87"/>
      <c r="S1777" s="87"/>
      <c r="T1777" s="87"/>
      <c r="U1777" s="88"/>
      <c r="V1777" s="89"/>
      <c r="W1777" s="96">
        <v>0</v>
      </c>
      <c r="X1777" s="71">
        <f>CU1777</f>
        <v>0</v>
      </c>
      <c r="Y1777" s="71">
        <f>CY1777</f>
        <v>0</v>
      </c>
      <c r="Z1777" s="71">
        <f>DA1777+DC1777+DE1777</f>
        <v>0</v>
      </c>
      <c r="AA1777" s="71">
        <f>CW1777</f>
        <v>0</v>
      </c>
      <c r="AB1777" s="71"/>
      <c r="AC1777" s="71">
        <v>0</v>
      </c>
      <c r="AD1777" s="71">
        <f>W1777+X1777+Y1777+Z1777+AA1777+AB1777+AC1777</f>
        <v>0</v>
      </c>
      <c r="AE1777" s="72">
        <v>0</v>
      </c>
      <c r="AF1777" s="5"/>
      <c r="AG1777" s="6"/>
      <c r="AH1777" s="27" t="s">
        <v>3392</v>
      </c>
      <c r="AI1777" s="44" t="s">
        <v>3393</v>
      </c>
      <c r="AJ1777" s="26"/>
      <c r="AK1777" s="5"/>
      <c r="AL1777" s="82" t="s">
        <v>4586</v>
      </c>
      <c r="AM1777" s="76"/>
      <c r="AN1777" s="76"/>
      <c r="AO1777" s="76"/>
      <c r="AP1777" s="76"/>
      <c r="AQ1777" s="76"/>
      <c r="AR1777" s="76"/>
      <c r="AS1777" s="76"/>
      <c r="AT1777" s="76"/>
      <c r="AU1777" s="76"/>
      <c r="AV1777" s="76"/>
      <c r="AW1777" s="76"/>
      <c r="AX1777" s="76">
        <f>+AW1777*600000</f>
        <v>0</v>
      </c>
      <c r="AY1777" s="76"/>
      <c r="AZ1777" s="76">
        <f>+AY1777*70000</f>
        <v>0</v>
      </c>
      <c r="BA1777" s="76"/>
      <c r="BB1777" s="76"/>
      <c r="BC1777" s="76"/>
      <c r="BD1777" s="76">
        <f>+BC1777*30000</f>
        <v>0</v>
      </c>
      <c r="BE1777" s="76"/>
      <c r="BF1777" s="76"/>
      <c r="BG1777" s="76"/>
      <c r="BH1777" s="76"/>
      <c r="BI1777" s="76"/>
      <c r="BJ1777" s="76"/>
      <c r="BK1777" s="76"/>
      <c r="BL1777" s="76">
        <f>+BK1777*31500</f>
        <v>0</v>
      </c>
      <c r="BM1777" s="76"/>
      <c r="BN1777" s="76"/>
      <c r="BO1777" s="76"/>
      <c r="BP1777" s="76"/>
      <c r="BQ1777" s="76"/>
      <c r="BR1777" s="76"/>
      <c r="BS1777" s="76"/>
      <c r="BT1777" s="76"/>
      <c r="BU1777" s="76"/>
      <c r="BV1777" s="76"/>
      <c r="BW1777" s="76"/>
      <c r="BX1777" s="76"/>
      <c r="BY1777" s="76"/>
      <c r="BZ1777" s="76"/>
      <c r="CA1777" s="76"/>
      <c r="CB1777" s="76"/>
      <c r="CC1777" s="76"/>
      <c r="CD1777" s="76"/>
      <c r="CE1777" s="76"/>
      <c r="CF1777" s="76">
        <f>+CE1777*28000</f>
        <v>0</v>
      </c>
      <c r="CG1777" s="76"/>
      <c r="CH1777" s="76">
        <f>+CG1777*22500</f>
        <v>0</v>
      </c>
      <c r="CI1777" s="76"/>
      <c r="CJ1777" s="76">
        <f>+CI1777*26000</f>
        <v>0</v>
      </c>
      <c r="CK1777" s="76"/>
      <c r="CL1777" s="76"/>
      <c r="CM1777" s="76"/>
      <c r="CN1777" s="76">
        <f>+CM1777*22000</f>
        <v>0</v>
      </c>
      <c r="CO1777" s="76"/>
      <c r="CP1777" s="76">
        <f>+CO1777*46000</f>
        <v>0</v>
      </c>
      <c r="CQ1777" s="76"/>
      <c r="CR1777" s="76">
        <f>+CQ1777*49000</f>
        <v>0</v>
      </c>
      <c r="CS1777" s="76"/>
      <c r="CT1777" s="76"/>
      <c r="CU1777" s="56">
        <f>AN1777+AP1777+AR1777+AT1777+AV1777+AX1777+AZ1777+BB1777+BD1777+BF1777+BH1777+BJ1777+BL1777+BN1777+BP1777+BR1777+BT1777+BV1777+BX1777+BZ1777+CB1777+CD1777+CF1777+CH1777+CJ1777+CL1777+CN1777+CP1777+CR1777+CT1777</f>
        <v>0</v>
      </c>
      <c r="CV1777" s="76"/>
      <c r="CW1777" s="76">
        <f>+CV1777*1100</f>
        <v>0</v>
      </c>
      <c r="CX1777" s="76"/>
      <c r="CY1777" s="76">
        <f>+CX1777*106250</f>
        <v>0</v>
      </c>
      <c r="CZ1777" s="76"/>
      <c r="DA1777" s="76">
        <f>+CZ1777*34500</f>
        <v>0</v>
      </c>
      <c r="DB1777" s="76"/>
      <c r="DC1777" s="76">
        <f>+DB1777*25000</f>
        <v>0</v>
      </c>
      <c r="DD1777" s="219"/>
      <c r="DE1777" s="219"/>
      <c r="DF1777" s="166"/>
      <c r="DG1777" s="116"/>
      <c r="DH1777" s="117"/>
      <c r="DI1777" s="24"/>
      <c r="DJ1777" s="24"/>
      <c r="DK1777" s="24"/>
      <c r="DL1777" s="24"/>
      <c r="DM1777" s="24"/>
      <c r="DN1777" s="24"/>
      <c r="DO1777" s="24"/>
      <c r="DP1777" s="24"/>
      <c r="DQ1777" s="24"/>
      <c r="DR1777" s="24"/>
      <c r="DS1777" s="24"/>
      <c r="DT1777" s="24"/>
      <c r="DU1777" s="24"/>
    </row>
    <row r="1778" spans="1:128" s="8" customFormat="1" ht="144" x14ac:dyDescent="0.2">
      <c r="A1778" s="353">
        <v>41404</v>
      </c>
      <c r="B1778" s="225" t="s">
        <v>2847</v>
      </c>
      <c r="C1778" s="227" t="s">
        <v>933</v>
      </c>
      <c r="D1778" s="227" t="s">
        <v>3088</v>
      </c>
      <c r="E1778" s="75" t="str">
        <f>VLOOKUP(B1778&amp;C1778,Divipola!$C$2:$F$1138,4,FALSE)</f>
        <v>68397</v>
      </c>
      <c r="F1778" s="87"/>
      <c r="G1778" s="87"/>
      <c r="H1778" s="87"/>
      <c r="I1778" s="87"/>
      <c r="J1778" s="87"/>
      <c r="K1778" s="87"/>
      <c r="L1778" s="87"/>
      <c r="M1778" s="87">
        <v>1</v>
      </c>
      <c r="N1778" s="87"/>
      <c r="O1778" s="87"/>
      <c r="P1778" s="87"/>
      <c r="Q1778" s="87"/>
      <c r="R1778" s="87"/>
      <c r="S1778" s="87"/>
      <c r="T1778" s="87"/>
      <c r="U1778" s="88"/>
      <c r="V1778" s="89"/>
      <c r="W1778" s="96">
        <v>0</v>
      </c>
      <c r="X1778" s="71">
        <f>CU1778</f>
        <v>0</v>
      </c>
      <c r="Y1778" s="71">
        <f>CY1778</f>
        <v>0</v>
      </c>
      <c r="Z1778" s="71">
        <f>DA1778+DC1778+DE1778</f>
        <v>0</v>
      </c>
      <c r="AA1778" s="71">
        <f>CW1778</f>
        <v>0</v>
      </c>
      <c r="AB1778" s="71"/>
      <c r="AC1778" s="71">
        <v>0</v>
      </c>
      <c r="AD1778" s="71">
        <f>W1778+X1778+Y1778+Z1778+AA1778+AB1778+AC1778</f>
        <v>0</v>
      </c>
      <c r="AE1778" s="72">
        <v>0</v>
      </c>
      <c r="AF1778" s="5"/>
      <c r="AG1778" s="6"/>
      <c r="AH1778" s="27" t="s">
        <v>3392</v>
      </c>
      <c r="AI1778" s="44" t="s">
        <v>3393</v>
      </c>
      <c r="AJ1778" s="26"/>
      <c r="AK1778" s="5"/>
      <c r="AL1778" s="82" t="s">
        <v>4587</v>
      </c>
      <c r="AM1778" s="76"/>
      <c r="AN1778" s="76"/>
      <c r="AO1778" s="76"/>
      <c r="AP1778" s="76"/>
      <c r="AQ1778" s="76"/>
      <c r="AR1778" s="76"/>
      <c r="AS1778" s="76"/>
      <c r="AT1778" s="76"/>
      <c r="AU1778" s="76"/>
      <c r="AV1778" s="76"/>
      <c r="AW1778" s="76"/>
      <c r="AX1778" s="76">
        <f>+AW1778*600000</f>
        <v>0</v>
      </c>
      <c r="AY1778" s="76"/>
      <c r="AZ1778" s="76">
        <f>+AY1778*70000</f>
        <v>0</v>
      </c>
      <c r="BA1778" s="76"/>
      <c r="BB1778" s="76"/>
      <c r="BC1778" s="76"/>
      <c r="BD1778" s="76">
        <f>+BC1778*30000</f>
        <v>0</v>
      </c>
      <c r="BE1778" s="76"/>
      <c r="BF1778" s="76"/>
      <c r="BG1778" s="76"/>
      <c r="BH1778" s="76"/>
      <c r="BI1778" s="76"/>
      <c r="BJ1778" s="76"/>
      <c r="BK1778" s="76"/>
      <c r="BL1778" s="76">
        <f>+BK1778*31500</f>
        <v>0</v>
      </c>
      <c r="BM1778" s="76"/>
      <c r="BN1778" s="76"/>
      <c r="BO1778" s="76"/>
      <c r="BP1778" s="76"/>
      <c r="BQ1778" s="76"/>
      <c r="BR1778" s="76"/>
      <c r="BS1778" s="76"/>
      <c r="BT1778" s="76"/>
      <c r="BU1778" s="76"/>
      <c r="BV1778" s="76"/>
      <c r="BW1778" s="76"/>
      <c r="BX1778" s="76"/>
      <c r="BY1778" s="76"/>
      <c r="BZ1778" s="76"/>
      <c r="CA1778" s="76"/>
      <c r="CB1778" s="76"/>
      <c r="CC1778" s="76"/>
      <c r="CD1778" s="76"/>
      <c r="CE1778" s="76"/>
      <c r="CF1778" s="76">
        <f>+CE1778*28000</f>
        <v>0</v>
      </c>
      <c r="CG1778" s="76"/>
      <c r="CH1778" s="76">
        <f>+CG1778*22500</f>
        <v>0</v>
      </c>
      <c r="CI1778" s="76"/>
      <c r="CJ1778" s="76">
        <f>+CI1778*26000</f>
        <v>0</v>
      </c>
      <c r="CK1778" s="76"/>
      <c r="CL1778" s="76"/>
      <c r="CM1778" s="76"/>
      <c r="CN1778" s="76">
        <f>+CM1778*22000</f>
        <v>0</v>
      </c>
      <c r="CO1778" s="76"/>
      <c r="CP1778" s="76">
        <f>+CO1778*46000</f>
        <v>0</v>
      </c>
      <c r="CQ1778" s="76"/>
      <c r="CR1778" s="76">
        <f>+CQ1778*49000</f>
        <v>0</v>
      </c>
      <c r="CS1778" s="76"/>
      <c r="CT1778" s="76"/>
      <c r="CU1778" s="56">
        <f>AN1778+AP1778+AR1778+AT1778+AV1778+AX1778+AZ1778+BB1778+BD1778+BF1778+BH1778+BJ1778+BL1778+BN1778+BP1778+BR1778+BT1778+BV1778+BX1778+BZ1778+CB1778+CD1778+CF1778+CH1778+CJ1778+CL1778+CN1778+CP1778+CR1778+CT1778</f>
        <v>0</v>
      </c>
      <c r="CV1778" s="76"/>
      <c r="CW1778" s="76">
        <f>+CV1778*1100</f>
        <v>0</v>
      </c>
      <c r="CX1778" s="76"/>
      <c r="CY1778" s="76">
        <f>+CX1778*106250</f>
        <v>0</v>
      </c>
      <c r="CZ1778" s="76"/>
      <c r="DA1778" s="76">
        <f>+CZ1778*34500</f>
        <v>0</v>
      </c>
      <c r="DB1778" s="76"/>
      <c r="DC1778" s="76">
        <f>+DB1778*25000</f>
        <v>0</v>
      </c>
      <c r="DD1778" s="219"/>
      <c r="DE1778" s="219"/>
      <c r="DF1778" s="166"/>
      <c r="DG1778" s="116"/>
      <c r="DH1778" s="117"/>
      <c r="DI1778" s="24"/>
      <c r="DJ1778" s="24"/>
      <c r="DK1778" s="24"/>
      <c r="DL1778" s="24"/>
      <c r="DM1778" s="24"/>
      <c r="DN1778" s="24"/>
      <c r="DO1778" s="24"/>
      <c r="DP1778" s="24"/>
      <c r="DQ1778" s="24"/>
      <c r="DR1778" s="24"/>
      <c r="DS1778" s="24"/>
      <c r="DT1778" s="24"/>
      <c r="DU1778" s="24"/>
    </row>
    <row r="1779" spans="1:128" s="8" customFormat="1" ht="60" x14ac:dyDescent="0.2">
      <c r="A1779" s="353">
        <v>41404</v>
      </c>
      <c r="B1779" s="225" t="s">
        <v>2851</v>
      </c>
      <c r="C1779" s="227" t="s">
        <v>2667</v>
      </c>
      <c r="D1779" s="227" t="s">
        <v>3088</v>
      </c>
      <c r="E1779" s="75" t="str">
        <f>VLOOKUP(B1779&amp;C1779,Divipola!$C$2:$F$1138,4,FALSE)</f>
        <v>76364</v>
      </c>
      <c r="F1779" s="87"/>
      <c r="G1779" s="87"/>
      <c r="H1779" s="87"/>
      <c r="I1779" s="87"/>
      <c r="J1779" s="87"/>
      <c r="K1779" s="87"/>
      <c r="L1779" s="87"/>
      <c r="M1779" s="87"/>
      <c r="N1779" s="87"/>
      <c r="O1779" s="87"/>
      <c r="P1779" s="87"/>
      <c r="Q1779" s="87"/>
      <c r="R1779" s="87"/>
      <c r="S1779" s="87"/>
      <c r="T1779" s="87"/>
      <c r="U1779" s="88"/>
      <c r="V1779" s="89"/>
      <c r="W1779" s="96">
        <v>0</v>
      </c>
      <c r="X1779" s="71">
        <f>CU1779</f>
        <v>0</v>
      </c>
      <c r="Y1779" s="71">
        <f>CY1779</f>
        <v>0</v>
      </c>
      <c r="Z1779" s="71">
        <f>DA1779+DC1779+DE1779</f>
        <v>0</v>
      </c>
      <c r="AA1779" s="71">
        <f>CW1779</f>
        <v>0</v>
      </c>
      <c r="AB1779" s="71"/>
      <c r="AC1779" s="71">
        <v>0</v>
      </c>
      <c r="AD1779" s="71">
        <f>W1779+X1779+Y1779+Z1779+AA1779+AB1779+AC1779</f>
        <v>0</v>
      </c>
      <c r="AE1779" s="72">
        <v>0</v>
      </c>
      <c r="AF1779" s="5"/>
      <c r="AG1779" s="6"/>
      <c r="AH1779" s="27" t="s">
        <v>3392</v>
      </c>
      <c r="AI1779" s="44" t="s">
        <v>3393</v>
      </c>
      <c r="AJ1779" s="26"/>
      <c r="AK1779" s="5"/>
      <c r="AL1779" s="82" t="s">
        <v>4593</v>
      </c>
      <c r="AM1779" s="76"/>
      <c r="AN1779" s="76"/>
      <c r="AO1779" s="76"/>
      <c r="AP1779" s="76"/>
      <c r="AQ1779" s="76"/>
      <c r="AR1779" s="76"/>
      <c r="AS1779" s="76"/>
      <c r="AT1779" s="76"/>
      <c r="AU1779" s="76"/>
      <c r="AV1779" s="76"/>
      <c r="AW1779" s="76"/>
      <c r="AX1779" s="76">
        <f>+AW1779*600000</f>
        <v>0</v>
      </c>
      <c r="AY1779" s="76"/>
      <c r="AZ1779" s="76">
        <f>+AY1779*70000</f>
        <v>0</v>
      </c>
      <c r="BA1779" s="76"/>
      <c r="BB1779" s="76"/>
      <c r="BC1779" s="76"/>
      <c r="BD1779" s="76">
        <f>+BC1779*30000</f>
        <v>0</v>
      </c>
      <c r="BE1779" s="76"/>
      <c r="BF1779" s="76"/>
      <c r="BG1779" s="76"/>
      <c r="BH1779" s="76"/>
      <c r="BI1779" s="76"/>
      <c r="BJ1779" s="76"/>
      <c r="BK1779" s="76"/>
      <c r="BL1779" s="76">
        <f>+BK1779*31500</f>
        <v>0</v>
      </c>
      <c r="BM1779" s="76"/>
      <c r="BN1779" s="76"/>
      <c r="BO1779" s="76"/>
      <c r="BP1779" s="76"/>
      <c r="BQ1779" s="76"/>
      <c r="BR1779" s="76"/>
      <c r="BS1779" s="76"/>
      <c r="BT1779" s="76"/>
      <c r="BU1779" s="76"/>
      <c r="BV1779" s="76"/>
      <c r="BW1779" s="76"/>
      <c r="BX1779" s="76"/>
      <c r="BY1779" s="76"/>
      <c r="BZ1779" s="76"/>
      <c r="CA1779" s="76"/>
      <c r="CB1779" s="76"/>
      <c r="CC1779" s="76"/>
      <c r="CD1779" s="76"/>
      <c r="CE1779" s="76"/>
      <c r="CF1779" s="76">
        <f>+CE1779*28000</f>
        <v>0</v>
      </c>
      <c r="CG1779" s="76"/>
      <c r="CH1779" s="76">
        <f>+CG1779*22500</f>
        <v>0</v>
      </c>
      <c r="CI1779" s="76"/>
      <c r="CJ1779" s="76">
        <f>+CI1779*26000</f>
        <v>0</v>
      </c>
      <c r="CK1779" s="76"/>
      <c r="CL1779" s="76"/>
      <c r="CM1779" s="76"/>
      <c r="CN1779" s="76">
        <f>+CM1779*22000</f>
        <v>0</v>
      </c>
      <c r="CO1779" s="76"/>
      <c r="CP1779" s="76">
        <f>+CO1779*46000</f>
        <v>0</v>
      </c>
      <c r="CQ1779" s="76"/>
      <c r="CR1779" s="76">
        <f>+CQ1779*49000</f>
        <v>0</v>
      </c>
      <c r="CS1779" s="76"/>
      <c r="CT1779" s="76"/>
      <c r="CU1779" s="56">
        <f>AN1779+AP1779+AR1779+AT1779+AV1779+AX1779+AZ1779+BB1779+BD1779+BF1779+BH1779+BJ1779+BL1779+BN1779+BP1779+BR1779+BT1779+BV1779+BX1779+BZ1779+CB1779+CD1779+CF1779+CH1779+CJ1779+CL1779+CN1779+CP1779+CR1779+CT1779</f>
        <v>0</v>
      </c>
      <c r="CV1779" s="76"/>
      <c r="CW1779" s="76">
        <f>+CV1779*1100</f>
        <v>0</v>
      </c>
      <c r="CX1779" s="76"/>
      <c r="CY1779" s="76">
        <f>+CX1779*106250</f>
        <v>0</v>
      </c>
      <c r="CZ1779" s="76"/>
      <c r="DA1779" s="76">
        <f>+CZ1779*34500</f>
        <v>0</v>
      </c>
      <c r="DB1779" s="76"/>
      <c r="DC1779" s="76">
        <f>+DB1779*25000</f>
        <v>0</v>
      </c>
      <c r="DD1779" s="219"/>
      <c r="DE1779" s="219"/>
      <c r="DF1779" s="166"/>
      <c r="DG1779" s="116"/>
      <c r="DH1779" s="117"/>
      <c r="DI1779" s="24"/>
      <c r="DJ1779" s="24"/>
      <c r="DK1779" s="24"/>
      <c r="DL1779" s="24"/>
      <c r="DM1779" s="24"/>
      <c r="DN1779" s="24"/>
      <c r="DO1779" s="24"/>
      <c r="DP1779" s="24"/>
      <c r="DQ1779" s="24"/>
      <c r="DR1779" s="24"/>
      <c r="DS1779" s="24"/>
      <c r="DT1779" s="24"/>
      <c r="DU1779" s="24"/>
    </row>
    <row r="1780" spans="1:128" s="8" customFormat="1" ht="72" x14ac:dyDescent="0.2">
      <c r="A1780" s="226">
        <v>41404</v>
      </c>
      <c r="B1780" s="225" t="s">
        <v>2851</v>
      </c>
      <c r="C1780" s="227" t="s">
        <v>2751</v>
      </c>
      <c r="D1780" s="227" t="s">
        <v>3088</v>
      </c>
      <c r="E1780" s="75" t="str">
        <f>VLOOKUP(B1780&amp;C1780,Divipola!$C$2:$F$1138,4,FALSE)</f>
        <v>76828</v>
      </c>
      <c r="F1780" s="87"/>
      <c r="G1780" s="87"/>
      <c r="H1780" s="87"/>
      <c r="I1780" s="87"/>
      <c r="J1780" s="87"/>
      <c r="K1780" s="87"/>
      <c r="L1780" s="87"/>
      <c r="M1780" s="87">
        <v>1</v>
      </c>
      <c r="N1780" s="87"/>
      <c r="O1780" s="87"/>
      <c r="P1780" s="87">
        <v>1</v>
      </c>
      <c r="Q1780" s="87">
        <v>1</v>
      </c>
      <c r="R1780" s="87"/>
      <c r="S1780" s="87"/>
      <c r="T1780" s="87"/>
      <c r="U1780" s="88"/>
      <c r="V1780" s="89"/>
      <c r="W1780" s="96">
        <v>0</v>
      </c>
      <c r="X1780" s="71">
        <f>CU1780</f>
        <v>0</v>
      </c>
      <c r="Y1780" s="71">
        <f>CY1780</f>
        <v>0</v>
      </c>
      <c r="Z1780" s="71">
        <f>DA1780+DC1780+DE1780</f>
        <v>0</v>
      </c>
      <c r="AA1780" s="71">
        <f>CW1780</f>
        <v>0</v>
      </c>
      <c r="AB1780" s="71"/>
      <c r="AC1780" s="71">
        <v>0</v>
      </c>
      <c r="AD1780" s="71">
        <f>W1780+X1780+Y1780+Z1780+AA1780+AB1780+AC1780</f>
        <v>0</v>
      </c>
      <c r="AE1780" s="72">
        <v>0</v>
      </c>
      <c r="AF1780" s="5"/>
      <c r="AG1780" s="6"/>
      <c r="AH1780" s="27" t="s">
        <v>3392</v>
      </c>
      <c r="AI1780" s="44" t="s">
        <v>3393</v>
      </c>
      <c r="AJ1780" s="26"/>
      <c r="AK1780" s="5"/>
      <c r="AL1780" s="82" t="s">
        <v>4588</v>
      </c>
      <c r="AM1780" s="76"/>
      <c r="AN1780" s="76"/>
      <c r="AO1780" s="76"/>
      <c r="AP1780" s="76"/>
      <c r="AQ1780" s="76"/>
      <c r="AR1780" s="76"/>
      <c r="AS1780" s="76"/>
      <c r="AT1780" s="76"/>
      <c r="AU1780" s="76"/>
      <c r="AV1780" s="76"/>
      <c r="AW1780" s="76"/>
      <c r="AX1780" s="76">
        <f>+AW1780*600000</f>
        <v>0</v>
      </c>
      <c r="AY1780" s="76"/>
      <c r="AZ1780" s="76">
        <f>+AY1780*70000</f>
        <v>0</v>
      </c>
      <c r="BA1780" s="76"/>
      <c r="BB1780" s="76"/>
      <c r="BC1780" s="76"/>
      <c r="BD1780" s="76">
        <f>+BC1780*30000</f>
        <v>0</v>
      </c>
      <c r="BE1780" s="76"/>
      <c r="BF1780" s="76"/>
      <c r="BG1780" s="76"/>
      <c r="BH1780" s="76"/>
      <c r="BI1780" s="76"/>
      <c r="BJ1780" s="76"/>
      <c r="BK1780" s="76"/>
      <c r="BL1780" s="76">
        <f>+BK1780*31500</f>
        <v>0</v>
      </c>
      <c r="BM1780" s="76"/>
      <c r="BN1780" s="76"/>
      <c r="BO1780" s="76"/>
      <c r="BP1780" s="76"/>
      <c r="BQ1780" s="76"/>
      <c r="BR1780" s="76"/>
      <c r="BS1780" s="76"/>
      <c r="BT1780" s="76"/>
      <c r="BU1780" s="76"/>
      <c r="BV1780" s="76"/>
      <c r="BW1780" s="76"/>
      <c r="BX1780" s="76"/>
      <c r="BY1780" s="76"/>
      <c r="BZ1780" s="76"/>
      <c r="CA1780" s="76"/>
      <c r="CB1780" s="76"/>
      <c r="CC1780" s="76"/>
      <c r="CD1780" s="76"/>
      <c r="CE1780" s="76"/>
      <c r="CF1780" s="76">
        <f>+CE1780*28000</f>
        <v>0</v>
      </c>
      <c r="CG1780" s="76"/>
      <c r="CH1780" s="76">
        <f>+CG1780*22500</f>
        <v>0</v>
      </c>
      <c r="CI1780" s="76"/>
      <c r="CJ1780" s="76">
        <f>+CI1780*26000</f>
        <v>0</v>
      </c>
      <c r="CK1780" s="76"/>
      <c r="CL1780" s="76"/>
      <c r="CM1780" s="76"/>
      <c r="CN1780" s="76">
        <f>+CM1780*22000</f>
        <v>0</v>
      </c>
      <c r="CO1780" s="76"/>
      <c r="CP1780" s="76">
        <f>+CO1780*46000</f>
        <v>0</v>
      </c>
      <c r="CQ1780" s="76"/>
      <c r="CR1780" s="76">
        <f>+CQ1780*49000</f>
        <v>0</v>
      </c>
      <c r="CS1780" s="76"/>
      <c r="CT1780" s="76"/>
      <c r="CU1780" s="56">
        <f>AN1780+AP1780+AR1780+AT1780+AV1780+AX1780+AZ1780+BB1780+BD1780+BF1780+BH1780+BJ1780+BL1780+BN1780+BP1780+BR1780+BT1780+BV1780+BX1780+BZ1780+CB1780+CD1780+CF1780+CH1780+CJ1780+CL1780+CN1780+CP1780+CR1780+CT1780</f>
        <v>0</v>
      </c>
      <c r="CV1780" s="76"/>
      <c r="CW1780" s="76">
        <f>+CV1780*1100</f>
        <v>0</v>
      </c>
      <c r="CX1780" s="76"/>
      <c r="CY1780" s="76">
        <f>+CX1780*106250</f>
        <v>0</v>
      </c>
      <c r="CZ1780" s="76"/>
      <c r="DA1780" s="76">
        <f>+CZ1780*34500</f>
        <v>0</v>
      </c>
      <c r="DB1780" s="76"/>
      <c r="DC1780" s="76">
        <f>+DB1780*25000</f>
        <v>0</v>
      </c>
      <c r="DD1780" s="219"/>
      <c r="DE1780" s="219"/>
      <c r="DF1780" s="166"/>
      <c r="DG1780" s="116"/>
      <c r="DH1780" s="117"/>
      <c r="DI1780" s="24"/>
      <c r="DJ1780" s="24"/>
      <c r="DK1780" s="24"/>
      <c r="DL1780" s="24"/>
      <c r="DM1780" s="24"/>
      <c r="DN1780" s="24"/>
      <c r="DO1780" s="24"/>
      <c r="DP1780" s="24"/>
      <c r="DQ1780" s="24"/>
      <c r="DR1780" s="24"/>
      <c r="DS1780" s="24"/>
      <c r="DT1780" s="24"/>
      <c r="DU1780" s="24"/>
    </row>
    <row r="1781" spans="1:128" s="8" customFormat="1" ht="24" x14ac:dyDescent="0.2">
      <c r="A1781" s="353">
        <v>41405</v>
      </c>
      <c r="B1781" s="352" t="s">
        <v>2778</v>
      </c>
      <c r="C1781" s="354" t="s">
        <v>1344</v>
      </c>
      <c r="D1781" s="354" t="s">
        <v>2846</v>
      </c>
      <c r="E1781" s="75" t="str">
        <f>VLOOKUP(B1781&amp;C1781,Divipola!$C$2:$F$1138,4,FALSE)</f>
        <v>85001</v>
      </c>
      <c r="F1781" s="87"/>
      <c r="G1781" s="87"/>
      <c r="H1781" s="87"/>
      <c r="I1781" s="87"/>
      <c r="J1781" s="87"/>
      <c r="K1781" s="87"/>
      <c r="L1781" s="87"/>
      <c r="M1781" s="87"/>
      <c r="N1781" s="87"/>
      <c r="O1781" s="87"/>
      <c r="P1781" s="87"/>
      <c r="Q1781" s="87"/>
      <c r="R1781" s="87"/>
      <c r="S1781" s="87"/>
      <c r="T1781" s="87"/>
      <c r="U1781" s="88">
        <v>17</v>
      </c>
      <c r="V1781" s="89"/>
      <c r="W1781" s="96">
        <v>0</v>
      </c>
      <c r="X1781" s="71">
        <f>CU1781</f>
        <v>0</v>
      </c>
      <c r="Y1781" s="71">
        <f>CY1781</f>
        <v>0</v>
      </c>
      <c r="Z1781" s="71">
        <f>DA1781+DC1781+DE1781</f>
        <v>0</v>
      </c>
      <c r="AA1781" s="71">
        <f>CW1781</f>
        <v>0</v>
      </c>
      <c r="AB1781" s="71"/>
      <c r="AC1781" s="71">
        <v>0</v>
      </c>
      <c r="AD1781" s="71">
        <f>W1781+X1781+Y1781+Z1781+AA1781+AB1781+AC1781</f>
        <v>0</v>
      </c>
      <c r="AE1781" s="72">
        <v>0</v>
      </c>
      <c r="AF1781" s="5"/>
      <c r="AG1781" s="6"/>
      <c r="AH1781" s="27" t="s">
        <v>3392</v>
      </c>
      <c r="AI1781" s="44" t="s">
        <v>3393</v>
      </c>
      <c r="AJ1781" s="26"/>
      <c r="AK1781" s="5"/>
      <c r="AL1781" s="82" t="s">
        <v>4602</v>
      </c>
      <c r="AM1781" s="76"/>
      <c r="AN1781" s="76"/>
      <c r="AO1781" s="76"/>
      <c r="AP1781" s="76"/>
      <c r="AQ1781" s="76"/>
      <c r="AR1781" s="76"/>
      <c r="AS1781" s="76"/>
      <c r="AT1781" s="76"/>
      <c r="AU1781" s="76"/>
      <c r="AV1781" s="76"/>
      <c r="AW1781" s="76"/>
      <c r="AX1781" s="76">
        <f>+AW1781*600000</f>
        <v>0</v>
      </c>
      <c r="AY1781" s="76"/>
      <c r="AZ1781" s="76">
        <f>+AY1781*70000</f>
        <v>0</v>
      </c>
      <c r="BA1781" s="76"/>
      <c r="BB1781" s="76"/>
      <c r="BC1781" s="76"/>
      <c r="BD1781" s="76">
        <f>+BC1781*30000</f>
        <v>0</v>
      </c>
      <c r="BE1781" s="76"/>
      <c r="BF1781" s="76"/>
      <c r="BG1781" s="76"/>
      <c r="BH1781" s="76"/>
      <c r="BI1781" s="76"/>
      <c r="BJ1781" s="76"/>
      <c r="BK1781" s="76"/>
      <c r="BL1781" s="76">
        <f>+BK1781*31500</f>
        <v>0</v>
      </c>
      <c r="BM1781" s="76"/>
      <c r="BN1781" s="76"/>
      <c r="BO1781" s="76"/>
      <c r="BP1781" s="76"/>
      <c r="BQ1781" s="76"/>
      <c r="BR1781" s="76"/>
      <c r="BS1781" s="76"/>
      <c r="BT1781" s="76"/>
      <c r="BU1781" s="76"/>
      <c r="BV1781" s="76"/>
      <c r="BW1781" s="76"/>
      <c r="BX1781" s="76"/>
      <c r="BY1781" s="76"/>
      <c r="BZ1781" s="76"/>
      <c r="CA1781" s="76"/>
      <c r="CB1781" s="76"/>
      <c r="CC1781" s="76"/>
      <c r="CD1781" s="76"/>
      <c r="CE1781" s="76"/>
      <c r="CF1781" s="76">
        <f>+CE1781*28000</f>
        <v>0</v>
      </c>
      <c r="CG1781" s="76"/>
      <c r="CH1781" s="76">
        <f>+CG1781*22500</f>
        <v>0</v>
      </c>
      <c r="CI1781" s="76"/>
      <c r="CJ1781" s="76">
        <f>+CI1781*26000</f>
        <v>0</v>
      </c>
      <c r="CK1781" s="76"/>
      <c r="CL1781" s="76"/>
      <c r="CM1781" s="76"/>
      <c r="CN1781" s="76">
        <f>+CM1781*22000</f>
        <v>0</v>
      </c>
      <c r="CO1781" s="76"/>
      <c r="CP1781" s="76">
        <f>+CO1781*46000</f>
        <v>0</v>
      </c>
      <c r="CQ1781" s="76"/>
      <c r="CR1781" s="76">
        <f>+CQ1781*49000</f>
        <v>0</v>
      </c>
      <c r="CS1781" s="76"/>
      <c r="CT1781" s="76"/>
      <c r="CU1781" s="56">
        <f>AN1781+AP1781+AR1781+AT1781+AV1781+AX1781+AZ1781+BB1781+BD1781+BF1781+BH1781+BJ1781+BL1781+BN1781+BP1781+BR1781+BT1781+BV1781+BX1781+BZ1781+CB1781+CD1781+CF1781+CH1781+CJ1781+CL1781+CN1781+CP1781+CR1781+CT1781</f>
        <v>0</v>
      </c>
      <c r="CV1781" s="76"/>
      <c r="CW1781" s="76">
        <f>+CV1781*1100</f>
        <v>0</v>
      </c>
      <c r="CX1781" s="76"/>
      <c r="CY1781" s="76">
        <f>+CX1781*106250</f>
        <v>0</v>
      </c>
      <c r="CZ1781" s="76"/>
      <c r="DA1781" s="76">
        <f>+CZ1781*34500</f>
        <v>0</v>
      </c>
      <c r="DB1781" s="76"/>
      <c r="DC1781" s="76">
        <f>+DB1781*25000</f>
        <v>0</v>
      </c>
      <c r="DD1781" s="219"/>
      <c r="DE1781" s="219"/>
      <c r="DF1781" s="166"/>
      <c r="DG1781" s="116"/>
      <c r="DH1781" s="117"/>
      <c r="DI1781" s="24"/>
      <c r="DJ1781" s="24"/>
      <c r="DK1781" s="24"/>
      <c r="DL1781" s="24"/>
      <c r="DM1781" s="24"/>
      <c r="DN1781" s="24"/>
      <c r="DO1781" s="24"/>
      <c r="DP1781" s="24"/>
      <c r="DQ1781" s="24"/>
      <c r="DR1781" s="24"/>
      <c r="DS1781" s="24"/>
      <c r="DT1781" s="24"/>
      <c r="DU1781" s="24"/>
    </row>
    <row r="1782" spans="1:128" s="8" customFormat="1" ht="72" x14ac:dyDescent="0.2">
      <c r="A1782" s="353">
        <v>41405</v>
      </c>
      <c r="B1782" s="352" t="s">
        <v>2661</v>
      </c>
      <c r="C1782" s="354" t="s">
        <v>2169</v>
      </c>
      <c r="D1782" s="354" t="s">
        <v>2849</v>
      </c>
      <c r="E1782" s="75" t="str">
        <f>VLOOKUP(B1782&amp;C1782,Divipola!$C$2:$F$1138,4,FALSE)</f>
        <v>41001</v>
      </c>
      <c r="F1782" s="87">
        <v>1</v>
      </c>
      <c r="G1782" s="87">
        <v>20</v>
      </c>
      <c r="H1782" s="87"/>
      <c r="I1782" s="87"/>
      <c r="J1782" s="87"/>
      <c r="K1782" s="87"/>
      <c r="L1782" s="87"/>
      <c r="M1782" s="87"/>
      <c r="N1782" s="87"/>
      <c r="O1782" s="87"/>
      <c r="P1782" s="87"/>
      <c r="Q1782" s="87"/>
      <c r="R1782" s="87"/>
      <c r="S1782" s="87"/>
      <c r="T1782" s="87"/>
      <c r="U1782" s="88"/>
      <c r="V1782" s="89"/>
      <c r="W1782" s="96">
        <v>0</v>
      </c>
      <c r="X1782" s="71">
        <f>CU1782</f>
        <v>0</v>
      </c>
      <c r="Y1782" s="71">
        <f>CY1782</f>
        <v>0</v>
      </c>
      <c r="Z1782" s="71">
        <f>DA1782+DC1782+DE1782</f>
        <v>0</v>
      </c>
      <c r="AA1782" s="71">
        <f>CW1782</f>
        <v>0</v>
      </c>
      <c r="AB1782" s="71"/>
      <c r="AC1782" s="71">
        <v>0</v>
      </c>
      <c r="AD1782" s="71">
        <f>W1782+X1782+Y1782+Z1782+AA1782+AB1782+AC1782</f>
        <v>0</v>
      </c>
      <c r="AE1782" s="72">
        <v>0</v>
      </c>
      <c r="AF1782" s="5"/>
      <c r="AG1782" s="6"/>
      <c r="AH1782" s="27" t="s">
        <v>3392</v>
      </c>
      <c r="AI1782" s="44" t="s">
        <v>3393</v>
      </c>
      <c r="AJ1782" s="26"/>
      <c r="AK1782" s="5"/>
      <c r="AL1782" s="82" t="s">
        <v>4601</v>
      </c>
      <c r="AM1782" s="76"/>
      <c r="AN1782" s="76"/>
      <c r="AO1782" s="76"/>
      <c r="AP1782" s="76"/>
      <c r="AQ1782" s="76"/>
      <c r="AR1782" s="76"/>
      <c r="AS1782" s="76"/>
      <c r="AT1782" s="76"/>
      <c r="AU1782" s="76"/>
      <c r="AV1782" s="76"/>
      <c r="AW1782" s="76"/>
      <c r="AX1782" s="76">
        <f>+AW1782*600000</f>
        <v>0</v>
      </c>
      <c r="AY1782" s="76"/>
      <c r="AZ1782" s="76">
        <f>+AY1782*70000</f>
        <v>0</v>
      </c>
      <c r="BA1782" s="76"/>
      <c r="BB1782" s="76"/>
      <c r="BC1782" s="76"/>
      <c r="BD1782" s="76">
        <f>+BC1782*30000</f>
        <v>0</v>
      </c>
      <c r="BE1782" s="76"/>
      <c r="BF1782" s="76"/>
      <c r="BG1782" s="76"/>
      <c r="BH1782" s="76"/>
      <c r="BI1782" s="76"/>
      <c r="BJ1782" s="76"/>
      <c r="BK1782" s="76"/>
      <c r="BL1782" s="76">
        <f>+BK1782*31500</f>
        <v>0</v>
      </c>
      <c r="BM1782" s="76"/>
      <c r="BN1782" s="76"/>
      <c r="BO1782" s="76"/>
      <c r="BP1782" s="76"/>
      <c r="BQ1782" s="76"/>
      <c r="BR1782" s="76"/>
      <c r="BS1782" s="76"/>
      <c r="BT1782" s="76"/>
      <c r="BU1782" s="76"/>
      <c r="BV1782" s="76"/>
      <c r="BW1782" s="76"/>
      <c r="BX1782" s="76"/>
      <c r="BY1782" s="76"/>
      <c r="BZ1782" s="76"/>
      <c r="CA1782" s="76"/>
      <c r="CB1782" s="76"/>
      <c r="CC1782" s="76"/>
      <c r="CD1782" s="76"/>
      <c r="CE1782" s="76"/>
      <c r="CF1782" s="76">
        <f>+CE1782*28000</f>
        <v>0</v>
      </c>
      <c r="CG1782" s="76"/>
      <c r="CH1782" s="76">
        <f>+CG1782*22500</f>
        <v>0</v>
      </c>
      <c r="CI1782" s="76"/>
      <c r="CJ1782" s="76">
        <f>+CI1782*26000</f>
        <v>0</v>
      </c>
      <c r="CK1782" s="76"/>
      <c r="CL1782" s="76"/>
      <c r="CM1782" s="76"/>
      <c r="CN1782" s="76">
        <f>+CM1782*22000</f>
        <v>0</v>
      </c>
      <c r="CO1782" s="76"/>
      <c r="CP1782" s="76">
        <f>+CO1782*46000</f>
        <v>0</v>
      </c>
      <c r="CQ1782" s="76"/>
      <c r="CR1782" s="76">
        <f>+CQ1782*49000</f>
        <v>0</v>
      </c>
      <c r="CS1782" s="76"/>
      <c r="CT1782" s="76"/>
      <c r="CU1782" s="56">
        <f>AN1782+AP1782+AR1782+AT1782+AV1782+AX1782+AZ1782+BB1782+BD1782+BF1782+BH1782+BJ1782+BL1782+BN1782+BP1782+BR1782+BT1782+BV1782+BX1782+BZ1782+CB1782+CD1782+CF1782+CH1782+CJ1782+CL1782+CN1782+CP1782+CR1782+CT1782</f>
        <v>0</v>
      </c>
      <c r="CV1782" s="76"/>
      <c r="CW1782" s="76">
        <f>+CV1782*1100</f>
        <v>0</v>
      </c>
      <c r="CX1782" s="76"/>
      <c r="CY1782" s="76">
        <f>+CX1782*106250</f>
        <v>0</v>
      </c>
      <c r="CZ1782" s="76"/>
      <c r="DA1782" s="76">
        <f>+CZ1782*34500</f>
        <v>0</v>
      </c>
      <c r="DB1782" s="76"/>
      <c r="DC1782" s="76">
        <f>+DB1782*25000</f>
        <v>0</v>
      </c>
      <c r="DD1782" s="219"/>
      <c r="DE1782" s="219"/>
      <c r="DF1782" s="166"/>
      <c r="DG1782" s="116"/>
      <c r="DH1782" s="117"/>
      <c r="DI1782" s="24"/>
      <c r="DJ1782" s="24"/>
      <c r="DK1782" s="24"/>
      <c r="DL1782" s="24"/>
      <c r="DM1782" s="24"/>
      <c r="DN1782" s="24"/>
      <c r="DO1782" s="24"/>
      <c r="DP1782" s="24"/>
      <c r="DQ1782" s="24"/>
      <c r="DR1782" s="24"/>
      <c r="DS1782" s="24"/>
      <c r="DT1782" s="24"/>
      <c r="DU1782" s="24"/>
    </row>
    <row r="1783" spans="1:128" s="8" customFormat="1" ht="36" x14ac:dyDescent="0.2">
      <c r="A1783" s="226">
        <v>41405</v>
      </c>
      <c r="B1783" s="225" t="s">
        <v>2811</v>
      </c>
      <c r="C1783" s="227" t="s">
        <v>2787</v>
      </c>
      <c r="D1783" s="227" t="s">
        <v>3088</v>
      </c>
      <c r="E1783" s="75" t="str">
        <f>VLOOKUP(B1783&amp;C1783,Divipola!$C$2:$F$1138,4,FALSE)</f>
        <v>52693</v>
      </c>
      <c r="F1783" s="87"/>
      <c r="G1783" s="87"/>
      <c r="H1783" s="87"/>
      <c r="I1783" s="87"/>
      <c r="J1783" s="87"/>
      <c r="K1783" s="87"/>
      <c r="L1783" s="87"/>
      <c r="M1783" s="87">
        <v>1</v>
      </c>
      <c r="N1783" s="87"/>
      <c r="O1783" s="87"/>
      <c r="P1783" s="87"/>
      <c r="Q1783" s="87"/>
      <c r="R1783" s="87"/>
      <c r="S1783" s="87"/>
      <c r="T1783" s="87"/>
      <c r="U1783" s="88"/>
      <c r="V1783" s="89"/>
      <c r="W1783" s="96">
        <v>0</v>
      </c>
      <c r="X1783" s="71">
        <f>CU1783</f>
        <v>0</v>
      </c>
      <c r="Y1783" s="71">
        <f>CY1783</f>
        <v>0</v>
      </c>
      <c r="Z1783" s="71">
        <f>DA1783+DC1783+DE1783</f>
        <v>0</v>
      </c>
      <c r="AA1783" s="71">
        <f>CW1783</f>
        <v>0</v>
      </c>
      <c r="AB1783" s="71"/>
      <c r="AC1783" s="71">
        <v>0</v>
      </c>
      <c r="AD1783" s="71">
        <f>W1783+X1783+Y1783+Z1783+AA1783+AB1783+AC1783</f>
        <v>0</v>
      </c>
      <c r="AE1783" s="72">
        <v>0</v>
      </c>
      <c r="AF1783" s="5"/>
      <c r="AG1783" s="6"/>
      <c r="AH1783" s="27" t="s">
        <v>3392</v>
      </c>
      <c r="AI1783" s="44" t="s">
        <v>3393</v>
      </c>
      <c r="AJ1783" s="26"/>
      <c r="AK1783" s="5"/>
      <c r="AL1783" s="82" t="s">
        <v>4596</v>
      </c>
      <c r="AM1783" s="76"/>
      <c r="AN1783" s="76"/>
      <c r="AO1783" s="76"/>
      <c r="AP1783" s="76"/>
      <c r="AQ1783" s="76"/>
      <c r="AR1783" s="76"/>
      <c r="AS1783" s="76"/>
      <c r="AT1783" s="76"/>
      <c r="AU1783" s="76"/>
      <c r="AV1783" s="76"/>
      <c r="AW1783" s="76"/>
      <c r="AX1783" s="76">
        <f>+AW1783*600000</f>
        <v>0</v>
      </c>
      <c r="AY1783" s="76"/>
      <c r="AZ1783" s="76">
        <f>+AY1783*70000</f>
        <v>0</v>
      </c>
      <c r="BA1783" s="76"/>
      <c r="BB1783" s="76"/>
      <c r="BC1783" s="76"/>
      <c r="BD1783" s="76">
        <f>+BC1783*30000</f>
        <v>0</v>
      </c>
      <c r="BE1783" s="76"/>
      <c r="BF1783" s="76"/>
      <c r="BG1783" s="76"/>
      <c r="BH1783" s="76"/>
      <c r="BI1783" s="76"/>
      <c r="BJ1783" s="76"/>
      <c r="BK1783" s="76"/>
      <c r="BL1783" s="76">
        <f>+BK1783*31500</f>
        <v>0</v>
      </c>
      <c r="BM1783" s="76"/>
      <c r="BN1783" s="76"/>
      <c r="BO1783" s="76"/>
      <c r="BP1783" s="76"/>
      <c r="BQ1783" s="76"/>
      <c r="BR1783" s="76"/>
      <c r="BS1783" s="76"/>
      <c r="BT1783" s="76"/>
      <c r="BU1783" s="76"/>
      <c r="BV1783" s="76"/>
      <c r="BW1783" s="76"/>
      <c r="BX1783" s="76"/>
      <c r="BY1783" s="76"/>
      <c r="BZ1783" s="76"/>
      <c r="CA1783" s="76"/>
      <c r="CB1783" s="76"/>
      <c r="CC1783" s="76"/>
      <c r="CD1783" s="76"/>
      <c r="CE1783" s="76"/>
      <c r="CF1783" s="76">
        <f>+CE1783*28000</f>
        <v>0</v>
      </c>
      <c r="CG1783" s="76"/>
      <c r="CH1783" s="76">
        <f>+CG1783*22500</f>
        <v>0</v>
      </c>
      <c r="CI1783" s="76"/>
      <c r="CJ1783" s="76">
        <f>+CI1783*26000</f>
        <v>0</v>
      </c>
      <c r="CK1783" s="76"/>
      <c r="CL1783" s="76"/>
      <c r="CM1783" s="76"/>
      <c r="CN1783" s="76">
        <f>+CM1783*22000</f>
        <v>0</v>
      </c>
      <c r="CO1783" s="76"/>
      <c r="CP1783" s="76">
        <f>+CO1783*46000</f>
        <v>0</v>
      </c>
      <c r="CQ1783" s="76"/>
      <c r="CR1783" s="76">
        <f>+CQ1783*49000</f>
        <v>0</v>
      </c>
      <c r="CS1783" s="76"/>
      <c r="CT1783" s="76"/>
      <c r="CU1783" s="56">
        <f>AN1783+AP1783+AR1783+AT1783+AV1783+AX1783+AZ1783+BB1783+BD1783+BF1783+BH1783+BJ1783+BL1783+BN1783+BP1783+BR1783+BT1783+BV1783+BX1783+BZ1783+CB1783+CD1783+CF1783+CH1783+CJ1783+CL1783+CN1783+CP1783+CR1783+CT1783</f>
        <v>0</v>
      </c>
      <c r="CV1783" s="76"/>
      <c r="CW1783" s="76">
        <f>+CV1783*1100</f>
        <v>0</v>
      </c>
      <c r="CX1783" s="76"/>
      <c r="CY1783" s="76">
        <f>+CX1783*106250</f>
        <v>0</v>
      </c>
      <c r="CZ1783" s="76"/>
      <c r="DA1783" s="76">
        <f>+CZ1783*34500</f>
        <v>0</v>
      </c>
      <c r="DB1783" s="76"/>
      <c r="DC1783" s="76">
        <f>+DB1783*25000</f>
        <v>0</v>
      </c>
      <c r="DD1783" s="219"/>
      <c r="DE1783" s="219"/>
      <c r="DF1783" s="166"/>
      <c r="DG1783" s="116"/>
      <c r="DH1783" s="117"/>
      <c r="DI1783" s="24"/>
      <c r="DJ1783" s="24"/>
      <c r="DK1783" s="24"/>
      <c r="DL1783" s="24"/>
      <c r="DM1783" s="24"/>
      <c r="DN1783" s="24"/>
      <c r="DO1783" s="24"/>
      <c r="DP1783" s="24"/>
      <c r="DQ1783" s="24"/>
      <c r="DR1783" s="24"/>
      <c r="DS1783" s="24"/>
      <c r="DT1783" s="24"/>
      <c r="DU1783" s="24"/>
    </row>
    <row r="1784" spans="1:128" s="8" customFormat="1" ht="60" x14ac:dyDescent="0.2">
      <c r="A1784" s="353">
        <v>41405</v>
      </c>
      <c r="B1784" s="352" t="s">
        <v>2880</v>
      </c>
      <c r="C1784" s="354" t="s">
        <v>263</v>
      </c>
      <c r="D1784" s="354" t="s">
        <v>3088</v>
      </c>
      <c r="E1784" s="75" t="str">
        <f>VLOOKUP(B1784&amp;C1784,Divipola!$C$2:$F$1138,4,FALSE)</f>
        <v>54743</v>
      </c>
      <c r="F1784" s="87"/>
      <c r="G1784" s="87"/>
      <c r="H1784" s="87"/>
      <c r="I1784" s="87">
        <v>10</v>
      </c>
      <c r="J1784" s="87">
        <v>2</v>
      </c>
      <c r="K1784" s="87"/>
      <c r="L1784" s="87">
        <v>2</v>
      </c>
      <c r="M1784" s="87"/>
      <c r="N1784" s="87"/>
      <c r="O1784" s="87"/>
      <c r="P1784" s="87"/>
      <c r="Q1784" s="87"/>
      <c r="R1784" s="87"/>
      <c r="S1784" s="87"/>
      <c r="T1784" s="87"/>
      <c r="U1784" s="88"/>
      <c r="V1784" s="89"/>
      <c r="W1784" s="96">
        <v>0</v>
      </c>
      <c r="X1784" s="71">
        <f>CU1784</f>
        <v>0</v>
      </c>
      <c r="Y1784" s="71">
        <f>CY1784</f>
        <v>0</v>
      </c>
      <c r="Z1784" s="71">
        <f>DA1784+DC1784+DE1784</f>
        <v>0</v>
      </c>
      <c r="AA1784" s="71">
        <f>CW1784</f>
        <v>0</v>
      </c>
      <c r="AB1784" s="71"/>
      <c r="AC1784" s="71">
        <v>0</v>
      </c>
      <c r="AD1784" s="71">
        <f>W1784+X1784+Y1784+Z1784+AA1784+AB1784+AC1784</f>
        <v>0</v>
      </c>
      <c r="AE1784" s="72">
        <v>0</v>
      </c>
      <c r="AF1784" s="5"/>
      <c r="AG1784" s="6"/>
      <c r="AH1784" s="27" t="s">
        <v>3392</v>
      </c>
      <c r="AI1784" s="44" t="s">
        <v>3393</v>
      </c>
      <c r="AJ1784" s="26"/>
      <c r="AK1784" s="5"/>
      <c r="AL1784" s="82" t="s">
        <v>4597</v>
      </c>
      <c r="AM1784" s="76"/>
      <c r="AN1784" s="76"/>
      <c r="AO1784" s="76"/>
      <c r="AP1784" s="76"/>
      <c r="AQ1784" s="76"/>
      <c r="AR1784" s="76"/>
      <c r="AS1784" s="76"/>
      <c r="AT1784" s="76"/>
      <c r="AU1784" s="76"/>
      <c r="AV1784" s="76"/>
      <c r="AW1784" s="76"/>
      <c r="AX1784" s="76">
        <f>+AW1784*600000</f>
        <v>0</v>
      </c>
      <c r="AY1784" s="76"/>
      <c r="AZ1784" s="76">
        <f>+AY1784*70000</f>
        <v>0</v>
      </c>
      <c r="BA1784" s="76"/>
      <c r="BB1784" s="76"/>
      <c r="BC1784" s="76"/>
      <c r="BD1784" s="76">
        <f>+BC1784*30000</f>
        <v>0</v>
      </c>
      <c r="BE1784" s="76"/>
      <c r="BF1784" s="76"/>
      <c r="BG1784" s="76"/>
      <c r="BH1784" s="76"/>
      <c r="BI1784" s="76"/>
      <c r="BJ1784" s="76"/>
      <c r="BK1784" s="76"/>
      <c r="BL1784" s="76">
        <f>+BK1784*31500</f>
        <v>0</v>
      </c>
      <c r="BM1784" s="76"/>
      <c r="BN1784" s="76"/>
      <c r="BO1784" s="76"/>
      <c r="BP1784" s="76"/>
      <c r="BQ1784" s="76"/>
      <c r="BR1784" s="76"/>
      <c r="BS1784" s="76"/>
      <c r="BT1784" s="76"/>
      <c r="BU1784" s="76"/>
      <c r="BV1784" s="76"/>
      <c r="BW1784" s="76"/>
      <c r="BX1784" s="76"/>
      <c r="BY1784" s="76"/>
      <c r="BZ1784" s="76"/>
      <c r="CA1784" s="76"/>
      <c r="CB1784" s="76"/>
      <c r="CC1784" s="76"/>
      <c r="CD1784" s="76"/>
      <c r="CE1784" s="76"/>
      <c r="CF1784" s="76">
        <f>+CE1784*28000</f>
        <v>0</v>
      </c>
      <c r="CG1784" s="76"/>
      <c r="CH1784" s="76">
        <f>+CG1784*22500</f>
        <v>0</v>
      </c>
      <c r="CI1784" s="76"/>
      <c r="CJ1784" s="76">
        <f>+CI1784*26000</f>
        <v>0</v>
      </c>
      <c r="CK1784" s="76"/>
      <c r="CL1784" s="76"/>
      <c r="CM1784" s="76"/>
      <c r="CN1784" s="76">
        <f>+CM1784*22000</f>
        <v>0</v>
      </c>
      <c r="CO1784" s="76"/>
      <c r="CP1784" s="76">
        <f>+CO1784*46000</f>
        <v>0</v>
      </c>
      <c r="CQ1784" s="76"/>
      <c r="CR1784" s="76">
        <f>+CQ1784*49000</f>
        <v>0</v>
      </c>
      <c r="CS1784" s="76"/>
      <c r="CT1784" s="76"/>
      <c r="CU1784" s="56">
        <f>AN1784+AP1784+AR1784+AT1784+AV1784+AX1784+AZ1784+BB1784+BD1784+BF1784+BH1784+BJ1784+BL1784+BN1784+BP1784+BR1784+BT1784+BV1784+BX1784+BZ1784+CB1784+CD1784+CF1784+CH1784+CJ1784+CL1784+CN1784+CP1784+CR1784+CT1784</f>
        <v>0</v>
      </c>
      <c r="CV1784" s="76"/>
      <c r="CW1784" s="76">
        <f>+CV1784*1100</f>
        <v>0</v>
      </c>
      <c r="CX1784" s="76"/>
      <c r="CY1784" s="76">
        <f>+CX1784*106250</f>
        <v>0</v>
      </c>
      <c r="CZ1784" s="76"/>
      <c r="DA1784" s="76">
        <f>+CZ1784*34500</f>
        <v>0</v>
      </c>
      <c r="DB1784" s="76"/>
      <c r="DC1784" s="76">
        <f>+DB1784*25000</f>
        <v>0</v>
      </c>
      <c r="DD1784" s="219"/>
      <c r="DE1784" s="219"/>
      <c r="DF1784" s="166"/>
      <c r="DG1784" s="116"/>
      <c r="DH1784" s="117"/>
      <c r="DI1784" s="24"/>
      <c r="DJ1784" s="24"/>
      <c r="DK1784" s="24"/>
      <c r="DL1784" s="24"/>
      <c r="DM1784" s="24"/>
      <c r="DN1784" s="24"/>
      <c r="DO1784" s="24"/>
      <c r="DP1784" s="24"/>
      <c r="DQ1784" s="24"/>
      <c r="DR1784" s="24"/>
      <c r="DS1784" s="24"/>
      <c r="DT1784" s="24"/>
      <c r="DU1784" s="24"/>
      <c r="DV1784" s="175"/>
      <c r="DW1784" s="175"/>
      <c r="DX1784" s="175"/>
    </row>
    <row r="1785" spans="1:128" s="8" customFormat="1" ht="96" x14ac:dyDescent="0.2">
      <c r="A1785" s="77">
        <v>41405</v>
      </c>
      <c r="B1785" s="78" t="s">
        <v>2847</v>
      </c>
      <c r="C1785" s="75" t="s">
        <v>318</v>
      </c>
      <c r="D1785" s="75" t="s">
        <v>4391</v>
      </c>
      <c r="E1785" s="75" t="str">
        <f>VLOOKUP(B1785&amp;C1785,Divipola!$C$2:$F$1138,4,FALSE)</f>
        <v>68167</v>
      </c>
      <c r="F1785" s="87">
        <v>1</v>
      </c>
      <c r="G1785" s="87"/>
      <c r="H1785" s="87"/>
      <c r="I1785" s="87"/>
      <c r="J1785" s="87"/>
      <c r="K1785" s="87"/>
      <c r="L1785" s="87"/>
      <c r="M1785" s="87"/>
      <c r="N1785" s="87"/>
      <c r="O1785" s="87"/>
      <c r="P1785" s="87"/>
      <c r="Q1785" s="87"/>
      <c r="R1785" s="87"/>
      <c r="S1785" s="87"/>
      <c r="T1785" s="87"/>
      <c r="U1785" s="88"/>
      <c r="V1785" s="89"/>
      <c r="W1785" s="96">
        <v>0</v>
      </c>
      <c r="X1785" s="71">
        <f>CU1785</f>
        <v>0</v>
      </c>
      <c r="Y1785" s="71">
        <f>CY1785</f>
        <v>0</v>
      </c>
      <c r="Z1785" s="71">
        <f>DA1785+DC1785+DE1785</f>
        <v>0</v>
      </c>
      <c r="AA1785" s="71">
        <f>CW1785</f>
        <v>0</v>
      </c>
      <c r="AB1785" s="71"/>
      <c r="AC1785" s="71">
        <v>0</v>
      </c>
      <c r="AD1785" s="71">
        <f>W1785+X1785+Y1785+Z1785+AA1785+AB1785+AC1785</f>
        <v>0</v>
      </c>
      <c r="AE1785" s="72">
        <v>0</v>
      </c>
      <c r="AF1785" s="5"/>
      <c r="AG1785" s="6"/>
      <c r="AH1785" s="27" t="s">
        <v>3392</v>
      </c>
      <c r="AI1785" s="44" t="s">
        <v>3393</v>
      </c>
      <c r="AJ1785" s="26"/>
      <c r="AK1785" s="5"/>
      <c r="AL1785" s="82" t="s">
        <v>4598</v>
      </c>
      <c r="AM1785" s="76"/>
      <c r="AN1785" s="76"/>
      <c r="AO1785" s="76"/>
      <c r="AP1785" s="76"/>
      <c r="AQ1785" s="76"/>
      <c r="AR1785" s="76"/>
      <c r="AS1785" s="76"/>
      <c r="AT1785" s="76"/>
      <c r="AU1785" s="76"/>
      <c r="AV1785" s="76"/>
      <c r="AW1785" s="76"/>
      <c r="AX1785" s="76">
        <f>+AW1785*600000</f>
        <v>0</v>
      </c>
      <c r="AY1785" s="76"/>
      <c r="AZ1785" s="76">
        <f>+AY1785*70000</f>
        <v>0</v>
      </c>
      <c r="BA1785" s="76"/>
      <c r="BB1785" s="76"/>
      <c r="BC1785" s="76"/>
      <c r="BD1785" s="76">
        <f>+BC1785*30000</f>
        <v>0</v>
      </c>
      <c r="BE1785" s="76"/>
      <c r="BF1785" s="76"/>
      <c r="BG1785" s="76"/>
      <c r="BH1785" s="76"/>
      <c r="BI1785" s="76"/>
      <c r="BJ1785" s="76"/>
      <c r="BK1785" s="76"/>
      <c r="BL1785" s="76">
        <f>+BK1785*31500</f>
        <v>0</v>
      </c>
      <c r="BM1785" s="76"/>
      <c r="BN1785" s="76"/>
      <c r="BO1785" s="76"/>
      <c r="BP1785" s="76"/>
      <c r="BQ1785" s="76"/>
      <c r="BR1785" s="76"/>
      <c r="BS1785" s="76"/>
      <c r="BT1785" s="76"/>
      <c r="BU1785" s="76"/>
      <c r="BV1785" s="76"/>
      <c r="BW1785" s="76"/>
      <c r="BX1785" s="76"/>
      <c r="BY1785" s="76"/>
      <c r="BZ1785" s="76"/>
      <c r="CA1785" s="76"/>
      <c r="CB1785" s="76"/>
      <c r="CC1785" s="76"/>
      <c r="CD1785" s="76"/>
      <c r="CE1785" s="76"/>
      <c r="CF1785" s="76">
        <f>+CE1785*28000</f>
        <v>0</v>
      </c>
      <c r="CG1785" s="76"/>
      <c r="CH1785" s="76">
        <f>+CG1785*22500</f>
        <v>0</v>
      </c>
      <c r="CI1785" s="76"/>
      <c r="CJ1785" s="76">
        <f>+CI1785*26000</f>
        <v>0</v>
      </c>
      <c r="CK1785" s="76"/>
      <c r="CL1785" s="76"/>
      <c r="CM1785" s="76"/>
      <c r="CN1785" s="76">
        <f>+CM1785*22000</f>
        <v>0</v>
      </c>
      <c r="CO1785" s="76"/>
      <c r="CP1785" s="76">
        <f>+CO1785*46000</f>
        <v>0</v>
      </c>
      <c r="CQ1785" s="76"/>
      <c r="CR1785" s="76">
        <f>+CQ1785*49000</f>
        <v>0</v>
      </c>
      <c r="CS1785" s="76"/>
      <c r="CT1785" s="76"/>
      <c r="CU1785" s="56">
        <f>AN1785+AP1785+AR1785+AT1785+AV1785+AX1785+AZ1785+BB1785+BD1785+BF1785+BH1785+BJ1785+BL1785+BN1785+BP1785+BR1785+BT1785+BV1785+BX1785+BZ1785+CB1785+CD1785+CF1785+CH1785+CJ1785+CL1785+CN1785+CP1785+CR1785+CT1785</f>
        <v>0</v>
      </c>
      <c r="CV1785" s="76"/>
      <c r="CW1785" s="76">
        <f>+CV1785*1100</f>
        <v>0</v>
      </c>
      <c r="CX1785" s="76"/>
      <c r="CY1785" s="76">
        <f>+CX1785*106250</f>
        <v>0</v>
      </c>
      <c r="CZ1785" s="76"/>
      <c r="DA1785" s="76">
        <f>+CZ1785*34500</f>
        <v>0</v>
      </c>
      <c r="DB1785" s="76"/>
      <c r="DC1785" s="76">
        <f>+DB1785*25000</f>
        <v>0</v>
      </c>
      <c r="DD1785" s="219"/>
      <c r="DE1785" s="219"/>
      <c r="DF1785" s="166"/>
      <c r="DG1785" s="116"/>
      <c r="DH1785" s="117"/>
      <c r="DI1785" s="24"/>
      <c r="DJ1785" s="24"/>
      <c r="DK1785" s="24"/>
      <c r="DL1785" s="24"/>
      <c r="DM1785" s="24"/>
      <c r="DN1785" s="24"/>
      <c r="DO1785" s="24"/>
      <c r="DP1785" s="24"/>
      <c r="DQ1785" s="24"/>
      <c r="DR1785" s="24"/>
      <c r="DS1785" s="24"/>
      <c r="DT1785" s="24"/>
      <c r="DU1785" s="24"/>
    </row>
    <row r="1786" spans="1:128" s="8" customFormat="1" ht="60" x14ac:dyDescent="0.2">
      <c r="A1786" s="353">
        <v>41405</v>
      </c>
      <c r="B1786" s="352" t="s">
        <v>2848</v>
      </c>
      <c r="C1786" s="354" t="s">
        <v>2755</v>
      </c>
      <c r="D1786" s="354" t="s">
        <v>2859</v>
      </c>
      <c r="E1786" s="75" t="str">
        <f>VLOOKUP(B1786&amp;C1786,Divipola!$C$2:$F$1138,4,FALSE)</f>
        <v>73001</v>
      </c>
      <c r="F1786" s="87"/>
      <c r="G1786" s="87"/>
      <c r="H1786" s="87"/>
      <c r="I1786" s="87">
        <v>5</v>
      </c>
      <c r="J1786" s="87">
        <v>1</v>
      </c>
      <c r="K1786" s="87"/>
      <c r="L1786" s="87">
        <v>1</v>
      </c>
      <c r="M1786" s="87"/>
      <c r="N1786" s="87"/>
      <c r="O1786" s="87"/>
      <c r="P1786" s="87"/>
      <c r="Q1786" s="87"/>
      <c r="R1786" s="87"/>
      <c r="S1786" s="87"/>
      <c r="T1786" s="87"/>
      <c r="U1786" s="88"/>
      <c r="V1786" s="89"/>
      <c r="W1786" s="96">
        <v>0</v>
      </c>
      <c r="X1786" s="71">
        <f>CU1786</f>
        <v>0</v>
      </c>
      <c r="Y1786" s="71">
        <f>CY1786</f>
        <v>0</v>
      </c>
      <c r="Z1786" s="71">
        <f>DA1786+DC1786+DE1786</f>
        <v>0</v>
      </c>
      <c r="AA1786" s="71">
        <f>CW1786</f>
        <v>0</v>
      </c>
      <c r="AB1786" s="71"/>
      <c r="AC1786" s="71">
        <v>0</v>
      </c>
      <c r="AD1786" s="71">
        <f>W1786+X1786+Y1786+Z1786+AA1786+AB1786+AC1786</f>
        <v>0</v>
      </c>
      <c r="AE1786" s="72">
        <v>0</v>
      </c>
      <c r="AF1786" s="5"/>
      <c r="AG1786" s="6"/>
      <c r="AH1786" s="27" t="s">
        <v>3392</v>
      </c>
      <c r="AI1786" s="44" t="s">
        <v>3393</v>
      </c>
      <c r="AJ1786" s="26"/>
      <c r="AK1786" s="5"/>
      <c r="AL1786" s="82" t="s">
        <v>4594</v>
      </c>
      <c r="AM1786" s="76"/>
      <c r="AN1786" s="76"/>
      <c r="AO1786" s="76"/>
      <c r="AP1786" s="76"/>
      <c r="AQ1786" s="76"/>
      <c r="AR1786" s="76"/>
      <c r="AS1786" s="76"/>
      <c r="AT1786" s="76"/>
      <c r="AU1786" s="76"/>
      <c r="AV1786" s="76"/>
      <c r="AW1786" s="76"/>
      <c r="AX1786" s="76">
        <f>+AW1786*600000</f>
        <v>0</v>
      </c>
      <c r="AY1786" s="76"/>
      <c r="AZ1786" s="76">
        <f>+AY1786*70000</f>
        <v>0</v>
      </c>
      <c r="BA1786" s="76"/>
      <c r="BB1786" s="76"/>
      <c r="BC1786" s="76"/>
      <c r="BD1786" s="76">
        <f>+BC1786*30000</f>
        <v>0</v>
      </c>
      <c r="BE1786" s="76"/>
      <c r="BF1786" s="76"/>
      <c r="BG1786" s="76"/>
      <c r="BH1786" s="76"/>
      <c r="BI1786" s="76"/>
      <c r="BJ1786" s="76"/>
      <c r="BK1786" s="76"/>
      <c r="BL1786" s="76">
        <f>+BK1786*31500</f>
        <v>0</v>
      </c>
      <c r="BM1786" s="76"/>
      <c r="BN1786" s="76"/>
      <c r="BO1786" s="76"/>
      <c r="BP1786" s="76"/>
      <c r="BQ1786" s="76"/>
      <c r="BR1786" s="76"/>
      <c r="BS1786" s="76"/>
      <c r="BT1786" s="76"/>
      <c r="BU1786" s="76"/>
      <c r="BV1786" s="76"/>
      <c r="BW1786" s="76"/>
      <c r="BX1786" s="76"/>
      <c r="BY1786" s="76"/>
      <c r="BZ1786" s="76"/>
      <c r="CA1786" s="76"/>
      <c r="CB1786" s="76"/>
      <c r="CC1786" s="76"/>
      <c r="CD1786" s="76"/>
      <c r="CE1786" s="76"/>
      <c r="CF1786" s="76">
        <f>+CE1786*28000</f>
        <v>0</v>
      </c>
      <c r="CG1786" s="76"/>
      <c r="CH1786" s="76">
        <f>+CG1786*22500</f>
        <v>0</v>
      </c>
      <c r="CI1786" s="76"/>
      <c r="CJ1786" s="76">
        <f>+CI1786*26000</f>
        <v>0</v>
      </c>
      <c r="CK1786" s="76"/>
      <c r="CL1786" s="76"/>
      <c r="CM1786" s="76"/>
      <c r="CN1786" s="76">
        <f>+CM1786*22000</f>
        <v>0</v>
      </c>
      <c r="CO1786" s="76"/>
      <c r="CP1786" s="76">
        <f>+CO1786*46000</f>
        <v>0</v>
      </c>
      <c r="CQ1786" s="76"/>
      <c r="CR1786" s="76">
        <f>+CQ1786*49000</f>
        <v>0</v>
      </c>
      <c r="CS1786" s="76"/>
      <c r="CT1786" s="76"/>
      <c r="CU1786" s="56">
        <f>AN1786+AP1786+AR1786+AT1786+AV1786+AX1786+AZ1786+BB1786+BD1786+BF1786+BH1786+BJ1786+BL1786+BN1786+BP1786+BR1786+BT1786+BV1786+BX1786+BZ1786+CB1786+CD1786+CF1786+CH1786+CJ1786+CL1786+CN1786+CP1786+CR1786+CT1786</f>
        <v>0</v>
      </c>
      <c r="CV1786" s="76"/>
      <c r="CW1786" s="76">
        <f>+CV1786*1100</f>
        <v>0</v>
      </c>
      <c r="CX1786" s="76"/>
      <c r="CY1786" s="76">
        <f>+CX1786*106250</f>
        <v>0</v>
      </c>
      <c r="CZ1786" s="76"/>
      <c r="DA1786" s="76">
        <f>+CZ1786*34500</f>
        <v>0</v>
      </c>
      <c r="DB1786" s="76"/>
      <c r="DC1786" s="76">
        <f>+DB1786*25000</f>
        <v>0</v>
      </c>
      <c r="DD1786" s="219"/>
      <c r="DE1786" s="219"/>
      <c r="DF1786" s="166"/>
      <c r="DG1786" s="116"/>
      <c r="DH1786" s="117"/>
      <c r="DI1786" s="24"/>
      <c r="DJ1786" s="24"/>
      <c r="DK1786" s="24"/>
      <c r="DL1786" s="24"/>
      <c r="DM1786" s="24"/>
      <c r="DN1786" s="24"/>
      <c r="DO1786" s="24"/>
      <c r="DP1786" s="24"/>
      <c r="DQ1786" s="24"/>
      <c r="DR1786" s="24"/>
      <c r="DS1786" s="24"/>
      <c r="DT1786" s="24"/>
      <c r="DU1786" s="24"/>
    </row>
    <row r="1787" spans="1:128" s="8" customFormat="1" ht="72" x14ac:dyDescent="0.2">
      <c r="A1787" s="226">
        <v>41405</v>
      </c>
      <c r="B1787" s="225" t="s">
        <v>2851</v>
      </c>
      <c r="C1787" s="227" t="s">
        <v>2751</v>
      </c>
      <c r="D1787" s="227" t="s">
        <v>3051</v>
      </c>
      <c r="E1787" s="75" t="str">
        <f>VLOOKUP(B1787&amp;C1787,Divipola!$C$2:$F$1138,4,FALSE)</f>
        <v>76828</v>
      </c>
      <c r="F1787" s="87"/>
      <c r="G1787" s="87"/>
      <c r="H1787" s="87"/>
      <c r="I1787" s="87">
        <v>20</v>
      </c>
      <c r="J1787" s="87">
        <v>4</v>
      </c>
      <c r="K1787" s="87"/>
      <c r="L1787" s="87">
        <v>4</v>
      </c>
      <c r="M1787" s="87"/>
      <c r="N1787" s="87"/>
      <c r="O1787" s="87"/>
      <c r="P1787" s="87"/>
      <c r="Q1787" s="87"/>
      <c r="R1787" s="87"/>
      <c r="S1787" s="87"/>
      <c r="T1787" s="87"/>
      <c r="U1787" s="88"/>
      <c r="V1787" s="89"/>
      <c r="W1787" s="96">
        <v>0</v>
      </c>
      <c r="X1787" s="71">
        <f>CU1787</f>
        <v>0</v>
      </c>
      <c r="Y1787" s="71">
        <f>CY1787</f>
        <v>0</v>
      </c>
      <c r="Z1787" s="71">
        <f>DA1787+DC1787+DE1787</f>
        <v>0</v>
      </c>
      <c r="AA1787" s="71">
        <f>CW1787</f>
        <v>0</v>
      </c>
      <c r="AB1787" s="71"/>
      <c r="AC1787" s="71">
        <v>0</v>
      </c>
      <c r="AD1787" s="71">
        <f>W1787+X1787+Y1787+Z1787+AA1787+AB1787+AC1787</f>
        <v>0</v>
      </c>
      <c r="AE1787" s="72">
        <v>0</v>
      </c>
      <c r="AF1787" s="5"/>
      <c r="AG1787" s="6"/>
      <c r="AH1787" s="27" t="s">
        <v>3392</v>
      </c>
      <c r="AI1787" s="44" t="s">
        <v>3393</v>
      </c>
      <c r="AJ1787" s="26"/>
      <c r="AK1787" s="5"/>
      <c r="AL1787" s="82" t="s">
        <v>4599</v>
      </c>
      <c r="AM1787" s="76"/>
      <c r="AN1787" s="76"/>
      <c r="AO1787" s="76"/>
      <c r="AP1787" s="76"/>
      <c r="AQ1787" s="76"/>
      <c r="AR1787" s="76"/>
      <c r="AS1787" s="76"/>
      <c r="AT1787" s="76"/>
      <c r="AU1787" s="76"/>
      <c r="AV1787" s="76"/>
      <c r="AW1787" s="76"/>
      <c r="AX1787" s="76">
        <f>+AW1787*600000</f>
        <v>0</v>
      </c>
      <c r="AY1787" s="76"/>
      <c r="AZ1787" s="76">
        <f>+AY1787*70000</f>
        <v>0</v>
      </c>
      <c r="BA1787" s="76"/>
      <c r="BB1787" s="76"/>
      <c r="BC1787" s="76"/>
      <c r="BD1787" s="76">
        <f>+BC1787*30000</f>
        <v>0</v>
      </c>
      <c r="BE1787" s="76"/>
      <c r="BF1787" s="76"/>
      <c r="BG1787" s="76"/>
      <c r="BH1787" s="76"/>
      <c r="BI1787" s="76"/>
      <c r="BJ1787" s="76"/>
      <c r="BK1787" s="76"/>
      <c r="BL1787" s="76">
        <f>+BK1787*31500</f>
        <v>0</v>
      </c>
      <c r="BM1787" s="76"/>
      <c r="BN1787" s="76"/>
      <c r="BO1787" s="76"/>
      <c r="BP1787" s="76"/>
      <c r="BQ1787" s="76"/>
      <c r="BR1787" s="76"/>
      <c r="BS1787" s="76"/>
      <c r="BT1787" s="76"/>
      <c r="BU1787" s="76"/>
      <c r="BV1787" s="76"/>
      <c r="BW1787" s="76"/>
      <c r="BX1787" s="76"/>
      <c r="BY1787" s="76"/>
      <c r="BZ1787" s="76"/>
      <c r="CA1787" s="76"/>
      <c r="CB1787" s="76"/>
      <c r="CC1787" s="76"/>
      <c r="CD1787" s="76"/>
      <c r="CE1787" s="76"/>
      <c r="CF1787" s="76">
        <f>+CE1787*28000</f>
        <v>0</v>
      </c>
      <c r="CG1787" s="76"/>
      <c r="CH1787" s="76">
        <f>+CG1787*22500</f>
        <v>0</v>
      </c>
      <c r="CI1787" s="76"/>
      <c r="CJ1787" s="76">
        <f>+CI1787*26000</f>
        <v>0</v>
      </c>
      <c r="CK1787" s="76"/>
      <c r="CL1787" s="76"/>
      <c r="CM1787" s="76"/>
      <c r="CN1787" s="76">
        <f>+CM1787*22000</f>
        <v>0</v>
      </c>
      <c r="CO1787" s="76"/>
      <c r="CP1787" s="76">
        <f>+CO1787*46000</f>
        <v>0</v>
      </c>
      <c r="CQ1787" s="76"/>
      <c r="CR1787" s="76">
        <f>+CQ1787*49000</f>
        <v>0</v>
      </c>
      <c r="CS1787" s="76"/>
      <c r="CT1787" s="76"/>
      <c r="CU1787" s="56">
        <f>AN1787+AP1787+AR1787+AT1787+AV1787+AX1787+AZ1787+BB1787+BD1787+BF1787+BH1787+BJ1787+BL1787+BN1787+BP1787+BR1787+BT1787+BV1787+BX1787+BZ1787+CB1787+CD1787+CF1787+CH1787+CJ1787+CL1787+CN1787+CP1787+CR1787+CT1787</f>
        <v>0</v>
      </c>
      <c r="CV1787" s="76"/>
      <c r="CW1787" s="76">
        <f>+CV1787*1100</f>
        <v>0</v>
      </c>
      <c r="CX1787" s="76"/>
      <c r="CY1787" s="76">
        <f>+CX1787*106250</f>
        <v>0</v>
      </c>
      <c r="CZ1787" s="76"/>
      <c r="DA1787" s="76">
        <f>+CZ1787*34500</f>
        <v>0</v>
      </c>
      <c r="DB1787" s="76"/>
      <c r="DC1787" s="76">
        <f>+DB1787*25000</f>
        <v>0</v>
      </c>
      <c r="DD1787" s="219"/>
      <c r="DE1787" s="219"/>
      <c r="DF1787" s="166"/>
      <c r="DG1787" s="116"/>
      <c r="DH1787" s="117"/>
      <c r="DI1787" s="24"/>
      <c r="DJ1787" s="24"/>
      <c r="DK1787" s="24"/>
      <c r="DL1787" s="24"/>
      <c r="DM1787" s="24"/>
      <c r="DN1787" s="24"/>
      <c r="DO1787" s="24"/>
      <c r="DP1787" s="24"/>
      <c r="DQ1787" s="24"/>
      <c r="DR1787" s="24"/>
      <c r="DS1787" s="24"/>
      <c r="DT1787" s="24"/>
      <c r="DU1787" s="24"/>
    </row>
    <row r="1788" spans="1:128" s="8" customFormat="1" ht="60" x14ac:dyDescent="0.2">
      <c r="A1788" s="353">
        <v>41405</v>
      </c>
      <c r="B1788" s="352" t="s">
        <v>2851</v>
      </c>
      <c r="C1788" s="354" t="s">
        <v>2751</v>
      </c>
      <c r="D1788" s="354" t="s">
        <v>2882</v>
      </c>
      <c r="E1788" s="75" t="str">
        <f>VLOOKUP(B1788&amp;C1788,Divipola!$C$2:$F$1138,4,FALSE)</f>
        <v>76828</v>
      </c>
      <c r="F1788" s="87"/>
      <c r="G1788" s="87"/>
      <c r="H1788" s="87"/>
      <c r="I1788" s="87">
        <v>40</v>
      </c>
      <c r="J1788" s="87">
        <v>8</v>
      </c>
      <c r="K1788" s="87"/>
      <c r="L1788" s="87">
        <v>8</v>
      </c>
      <c r="M1788" s="87"/>
      <c r="N1788" s="87"/>
      <c r="O1788" s="87"/>
      <c r="P1788" s="87"/>
      <c r="Q1788" s="87">
        <v>1</v>
      </c>
      <c r="R1788" s="87"/>
      <c r="S1788" s="87"/>
      <c r="T1788" s="87"/>
      <c r="U1788" s="88"/>
      <c r="V1788" s="89"/>
      <c r="W1788" s="96">
        <v>0</v>
      </c>
      <c r="X1788" s="71">
        <f>CU1788</f>
        <v>0</v>
      </c>
      <c r="Y1788" s="71">
        <f>CY1788</f>
        <v>0</v>
      </c>
      <c r="Z1788" s="71">
        <f>DA1788+DC1788+DE1788</f>
        <v>0</v>
      </c>
      <c r="AA1788" s="71">
        <f>CW1788</f>
        <v>0</v>
      </c>
      <c r="AB1788" s="71"/>
      <c r="AC1788" s="71">
        <v>0</v>
      </c>
      <c r="AD1788" s="71">
        <f>W1788+X1788+Y1788+Z1788+AA1788+AB1788+AC1788</f>
        <v>0</v>
      </c>
      <c r="AE1788" s="72">
        <v>0</v>
      </c>
      <c r="AF1788" s="5"/>
      <c r="AG1788" s="6"/>
      <c r="AH1788" s="27" t="s">
        <v>3392</v>
      </c>
      <c r="AI1788" s="44" t="s">
        <v>3393</v>
      </c>
      <c r="AJ1788" s="26"/>
      <c r="AK1788" s="5"/>
      <c r="AL1788" s="82" t="s">
        <v>4595</v>
      </c>
      <c r="AM1788" s="76"/>
      <c r="AN1788" s="76"/>
      <c r="AO1788" s="76"/>
      <c r="AP1788" s="76"/>
      <c r="AQ1788" s="76"/>
      <c r="AR1788" s="76"/>
      <c r="AS1788" s="76"/>
      <c r="AT1788" s="76"/>
      <c r="AU1788" s="76"/>
      <c r="AV1788" s="76"/>
      <c r="AW1788" s="76"/>
      <c r="AX1788" s="76">
        <f>+AW1788*600000</f>
        <v>0</v>
      </c>
      <c r="AY1788" s="76"/>
      <c r="AZ1788" s="76">
        <f>+AY1788*70000</f>
        <v>0</v>
      </c>
      <c r="BA1788" s="76"/>
      <c r="BB1788" s="76"/>
      <c r="BC1788" s="76"/>
      <c r="BD1788" s="76">
        <f>+BC1788*30000</f>
        <v>0</v>
      </c>
      <c r="BE1788" s="76"/>
      <c r="BF1788" s="76"/>
      <c r="BG1788" s="76"/>
      <c r="BH1788" s="76"/>
      <c r="BI1788" s="76"/>
      <c r="BJ1788" s="76"/>
      <c r="BK1788" s="76"/>
      <c r="BL1788" s="76">
        <f>+BK1788*31500</f>
        <v>0</v>
      </c>
      <c r="BM1788" s="76"/>
      <c r="BN1788" s="76"/>
      <c r="BO1788" s="76"/>
      <c r="BP1788" s="76"/>
      <c r="BQ1788" s="76"/>
      <c r="BR1788" s="76"/>
      <c r="BS1788" s="76"/>
      <c r="BT1788" s="76"/>
      <c r="BU1788" s="76"/>
      <c r="BV1788" s="76"/>
      <c r="BW1788" s="76"/>
      <c r="BX1788" s="76"/>
      <c r="BY1788" s="76"/>
      <c r="BZ1788" s="76"/>
      <c r="CA1788" s="76"/>
      <c r="CB1788" s="76"/>
      <c r="CC1788" s="76"/>
      <c r="CD1788" s="76"/>
      <c r="CE1788" s="76"/>
      <c r="CF1788" s="76">
        <f>+CE1788*28000</f>
        <v>0</v>
      </c>
      <c r="CG1788" s="76"/>
      <c r="CH1788" s="76">
        <f>+CG1788*22500</f>
        <v>0</v>
      </c>
      <c r="CI1788" s="76"/>
      <c r="CJ1788" s="76">
        <f>+CI1788*26000</f>
        <v>0</v>
      </c>
      <c r="CK1788" s="76"/>
      <c r="CL1788" s="76"/>
      <c r="CM1788" s="76"/>
      <c r="CN1788" s="76">
        <f>+CM1788*22000</f>
        <v>0</v>
      </c>
      <c r="CO1788" s="76"/>
      <c r="CP1788" s="76">
        <f>+CO1788*46000</f>
        <v>0</v>
      </c>
      <c r="CQ1788" s="76"/>
      <c r="CR1788" s="76">
        <f>+CQ1788*49000</f>
        <v>0</v>
      </c>
      <c r="CS1788" s="76"/>
      <c r="CT1788" s="76"/>
      <c r="CU1788" s="56">
        <f>AN1788+AP1788+AR1788+AT1788+AV1788+AX1788+AZ1788+BB1788+BD1788+BF1788+BH1788+BJ1788+BL1788+BN1788+BP1788+BR1788+BT1788+BV1788+BX1788+BZ1788+CB1788+CD1788+CF1788+CH1788+CJ1788+CL1788+CN1788+CP1788+CR1788+CT1788</f>
        <v>0</v>
      </c>
      <c r="CV1788" s="76"/>
      <c r="CW1788" s="76">
        <f>+CV1788*1100</f>
        <v>0</v>
      </c>
      <c r="CX1788" s="76"/>
      <c r="CY1788" s="76">
        <f>+CX1788*106250</f>
        <v>0</v>
      </c>
      <c r="CZ1788" s="76"/>
      <c r="DA1788" s="76">
        <f>+CZ1788*34500</f>
        <v>0</v>
      </c>
      <c r="DB1788" s="76"/>
      <c r="DC1788" s="76">
        <f>+DB1788*25000</f>
        <v>0</v>
      </c>
      <c r="DD1788" s="219"/>
      <c r="DE1788" s="219"/>
      <c r="DF1788" s="166"/>
      <c r="DG1788" s="116"/>
      <c r="DH1788" s="117"/>
      <c r="DI1788" s="24"/>
      <c r="DJ1788" s="24"/>
      <c r="DK1788" s="24"/>
      <c r="DL1788" s="24"/>
      <c r="DM1788" s="24"/>
      <c r="DN1788" s="24"/>
      <c r="DO1788" s="24"/>
      <c r="DP1788" s="24"/>
      <c r="DQ1788" s="24"/>
      <c r="DR1788" s="24"/>
      <c r="DS1788" s="24"/>
      <c r="DT1788" s="24"/>
      <c r="DU1788" s="24"/>
    </row>
    <row r="1789" spans="1:128" s="8" customFormat="1" ht="60" x14ac:dyDescent="0.2">
      <c r="A1789" s="353">
        <v>41406</v>
      </c>
      <c r="B1789" s="225" t="s">
        <v>2196</v>
      </c>
      <c r="C1789" s="227" t="s">
        <v>777</v>
      </c>
      <c r="D1789" s="227" t="s">
        <v>2849</v>
      </c>
      <c r="E1789" s="75" t="str">
        <f>VLOOKUP(B1789&amp;C1789,Divipola!$C$2:$F$1138,4,FALSE)</f>
        <v>17777</v>
      </c>
      <c r="F1789" s="87">
        <v>2</v>
      </c>
      <c r="G1789" s="87">
        <v>15</v>
      </c>
      <c r="H1789" s="87"/>
      <c r="I1789" s="87"/>
      <c r="J1789" s="87"/>
      <c r="K1789" s="87"/>
      <c r="L1789" s="87"/>
      <c r="M1789" s="87"/>
      <c r="N1789" s="87"/>
      <c r="O1789" s="87"/>
      <c r="P1789" s="87"/>
      <c r="Q1789" s="87"/>
      <c r="R1789" s="87"/>
      <c r="S1789" s="87"/>
      <c r="T1789" s="87"/>
      <c r="U1789" s="88"/>
      <c r="V1789" s="89"/>
      <c r="W1789" s="96">
        <v>0</v>
      </c>
      <c r="X1789" s="71">
        <f>CU1789</f>
        <v>0</v>
      </c>
      <c r="Y1789" s="71">
        <f>CY1789</f>
        <v>0</v>
      </c>
      <c r="Z1789" s="71">
        <f>DA1789+DC1789+DE1789</f>
        <v>0</v>
      </c>
      <c r="AA1789" s="71">
        <f>CW1789</f>
        <v>0</v>
      </c>
      <c r="AB1789" s="71"/>
      <c r="AC1789" s="71">
        <v>0</v>
      </c>
      <c r="AD1789" s="71">
        <f>W1789+X1789+Y1789+Z1789+AA1789+AB1789+AC1789</f>
        <v>0</v>
      </c>
      <c r="AE1789" s="72">
        <v>0</v>
      </c>
      <c r="AF1789" s="5"/>
      <c r="AG1789" s="6"/>
      <c r="AH1789" s="27" t="s">
        <v>3392</v>
      </c>
      <c r="AI1789" s="44" t="s">
        <v>3393</v>
      </c>
      <c r="AJ1789" s="26"/>
      <c r="AK1789" s="5"/>
      <c r="AL1789" s="82" t="s">
        <v>4603</v>
      </c>
      <c r="AM1789" s="76"/>
      <c r="AN1789" s="76"/>
      <c r="AO1789" s="76"/>
      <c r="AP1789" s="76"/>
      <c r="AQ1789" s="76"/>
      <c r="AR1789" s="76"/>
      <c r="AS1789" s="76"/>
      <c r="AT1789" s="76"/>
      <c r="AU1789" s="76"/>
      <c r="AV1789" s="76"/>
      <c r="AW1789" s="76"/>
      <c r="AX1789" s="76">
        <f>+AW1789*600000</f>
        <v>0</v>
      </c>
      <c r="AY1789" s="76"/>
      <c r="AZ1789" s="76">
        <f>+AY1789*70000</f>
        <v>0</v>
      </c>
      <c r="BA1789" s="76"/>
      <c r="BB1789" s="76"/>
      <c r="BC1789" s="76"/>
      <c r="BD1789" s="76">
        <f>+BC1789*30000</f>
        <v>0</v>
      </c>
      <c r="BE1789" s="76"/>
      <c r="BF1789" s="76"/>
      <c r="BG1789" s="76"/>
      <c r="BH1789" s="76"/>
      <c r="BI1789" s="76"/>
      <c r="BJ1789" s="76"/>
      <c r="BK1789" s="76"/>
      <c r="BL1789" s="76">
        <f>+BK1789*31500</f>
        <v>0</v>
      </c>
      <c r="BM1789" s="76"/>
      <c r="BN1789" s="76"/>
      <c r="BO1789" s="76"/>
      <c r="BP1789" s="76"/>
      <c r="BQ1789" s="76"/>
      <c r="BR1789" s="76"/>
      <c r="BS1789" s="76"/>
      <c r="BT1789" s="76"/>
      <c r="BU1789" s="76"/>
      <c r="BV1789" s="76"/>
      <c r="BW1789" s="76"/>
      <c r="BX1789" s="76"/>
      <c r="BY1789" s="76"/>
      <c r="BZ1789" s="76"/>
      <c r="CA1789" s="76"/>
      <c r="CB1789" s="76"/>
      <c r="CC1789" s="76"/>
      <c r="CD1789" s="76"/>
      <c r="CE1789" s="76"/>
      <c r="CF1789" s="76">
        <f>+CE1789*28000</f>
        <v>0</v>
      </c>
      <c r="CG1789" s="76"/>
      <c r="CH1789" s="76">
        <f>+CG1789*22500</f>
        <v>0</v>
      </c>
      <c r="CI1789" s="76"/>
      <c r="CJ1789" s="76">
        <f>+CI1789*26000</f>
        <v>0</v>
      </c>
      <c r="CK1789" s="76"/>
      <c r="CL1789" s="76"/>
      <c r="CM1789" s="76"/>
      <c r="CN1789" s="76">
        <f>+CM1789*22000</f>
        <v>0</v>
      </c>
      <c r="CO1789" s="76"/>
      <c r="CP1789" s="76">
        <f>+CO1789*46000</f>
        <v>0</v>
      </c>
      <c r="CQ1789" s="76"/>
      <c r="CR1789" s="76">
        <f>+CQ1789*49000</f>
        <v>0</v>
      </c>
      <c r="CS1789" s="76"/>
      <c r="CT1789" s="76"/>
      <c r="CU1789" s="56">
        <f>AN1789+AP1789+AR1789+AT1789+AV1789+AX1789+AZ1789+BB1789+BD1789+BF1789+BH1789+BJ1789+BL1789+BN1789+BP1789+BR1789+BT1789+BV1789+BX1789+BZ1789+CB1789+CD1789+CF1789+CH1789+CJ1789+CL1789+CN1789+CP1789+CR1789+CT1789</f>
        <v>0</v>
      </c>
      <c r="CV1789" s="76"/>
      <c r="CW1789" s="76">
        <f>+CV1789*1100</f>
        <v>0</v>
      </c>
      <c r="CX1789" s="76"/>
      <c r="CY1789" s="76">
        <f>+CX1789*106250</f>
        <v>0</v>
      </c>
      <c r="CZ1789" s="76"/>
      <c r="DA1789" s="76">
        <f>+CZ1789*34500</f>
        <v>0</v>
      </c>
      <c r="DB1789" s="76"/>
      <c r="DC1789" s="76">
        <f>+DB1789*25000</f>
        <v>0</v>
      </c>
      <c r="DD1789" s="219"/>
      <c r="DE1789" s="219"/>
      <c r="DF1789" s="166"/>
      <c r="DG1789" s="116"/>
      <c r="DH1789" s="117"/>
      <c r="DI1789" s="24"/>
      <c r="DJ1789" s="24"/>
      <c r="DK1789" s="24"/>
      <c r="DL1789" s="24"/>
      <c r="DM1789" s="24"/>
      <c r="DN1789" s="24"/>
      <c r="DO1789" s="24"/>
      <c r="DP1789" s="24"/>
      <c r="DQ1789" s="24"/>
      <c r="DR1789" s="24"/>
      <c r="DS1789" s="24"/>
      <c r="DT1789" s="24"/>
      <c r="DU1789" s="24"/>
    </row>
    <row r="1790" spans="1:128" s="8" customFormat="1" ht="60" x14ac:dyDescent="0.2">
      <c r="A1790" s="77">
        <v>41406</v>
      </c>
      <c r="B1790" s="225" t="s">
        <v>2811</v>
      </c>
      <c r="C1790" s="227" t="s">
        <v>2131</v>
      </c>
      <c r="D1790" s="227" t="s">
        <v>3088</v>
      </c>
      <c r="E1790" s="75" t="str">
        <f>VLOOKUP(B1790&amp;C1790,Divipola!$C$2:$F$1138,4,FALSE)</f>
        <v>52001</v>
      </c>
      <c r="F1790" s="87"/>
      <c r="G1790" s="87"/>
      <c r="H1790" s="87"/>
      <c r="I1790" s="87">
        <v>10</v>
      </c>
      <c r="J1790" s="87">
        <v>2</v>
      </c>
      <c r="K1790" s="87">
        <v>1</v>
      </c>
      <c r="L1790" s="87">
        <v>1</v>
      </c>
      <c r="M1790" s="87"/>
      <c r="N1790" s="87"/>
      <c r="O1790" s="87"/>
      <c r="P1790" s="87"/>
      <c r="Q1790" s="87"/>
      <c r="R1790" s="87"/>
      <c r="S1790" s="87"/>
      <c r="T1790" s="87"/>
      <c r="U1790" s="88"/>
      <c r="V1790" s="89"/>
      <c r="W1790" s="96">
        <v>0</v>
      </c>
      <c r="X1790" s="71">
        <f>CU1790</f>
        <v>0</v>
      </c>
      <c r="Y1790" s="71">
        <f>CY1790</f>
        <v>0</v>
      </c>
      <c r="Z1790" s="71">
        <f>DA1790+DC1790+DE1790</f>
        <v>0</v>
      </c>
      <c r="AA1790" s="71">
        <f>CW1790</f>
        <v>0</v>
      </c>
      <c r="AB1790" s="71"/>
      <c r="AC1790" s="71">
        <v>0</v>
      </c>
      <c r="AD1790" s="71">
        <f>W1790+X1790+Y1790+Z1790+AA1790+AB1790+AC1790</f>
        <v>0</v>
      </c>
      <c r="AE1790" s="72">
        <v>0</v>
      </c>
      <c r="AF1790" s="5"/>
      <c r="AG1790" s="6"/>
      <c r="AH1790" s="27" t="s">
        <v>3392</v>
      </c>
      <c r="AI1790" s="44" t="s">
        <v>3393</v>
      </c>
      <c r="AJ1790" s="26"/>
      <c r="AK1790" s="5"/>
      <c r="AL1790" s="82" t="s">
        <v>4604</v>
      </c>
      <c r="AM1790" s="76"/>
      <c r="AN1790" s="76"/>
      <c r="AO1790" s="76"/>
      <c r="AP1790" s="76"/>
      <c r="AQ1790" s="76"/>
      <c r="AR1790" s="76"/>
      <c r="AS1790" s="76"/>
      <c r="AT1790" s="76"/>
      <c r="AU1790" s="76"/>
      <c r="AV1790" s="76"/>
      <c r="AW1790" s="76"/>
      <c r="AX1790" s="76">
        <f>+AW1790*600000</f>
        <v>0</v>
      </c>
      <c r="AY1790" s="76"/>
      <c r="AZ1790" s="76">
        <f>+AY1790*70000</f>
        <v>0</v>
      </c>
      <c r="BA1790" s="76"/>
      <c r="BB1790" s="76"/>
      <c r="BC1790" s="76"/>
      <c r="BD1790" s="76">
        <f>+BC1790*30000</f>
        <v>0</v>
      </c>
      <c r="BE1790" s="76"/>
      <c r="BF1790" s="76"/>
      <c r="BG1790" s="76"/>
      <c r="BH1790" s="76"/>
      <c r="BI1790" s="76"/>
      <c r="BJ1790" s="76"/>
      <c r="BK1790" s="76"/>
      <c r="BL1790" s="76">
        <f>+BK1790*31500</f>
        <v>0</v>
      </c>
      <c r="BM1790" s="76"/>
      <c r="BN1790" s="76"/>
      <c r="BO1790" s="76"/>
      <c r="BP1790" s="76"/>
      <c r="BQ1790" s="76"/>
      <c r="BR1790" s="76"/>
      <c r="BS1790" s="76"/>
      <c r="BT1790" s="76"/>
      <c r="BU1790" s="76"/>
      <c r="BV1790" s="76"/>
      <c r="BW1790" s="76"/>
      <c r="BX1790" s="76"/>
      <c r="BY1790" s="76"/>
      <c r="BZ1790" s="76"/>
      <c r="CA1790" s="76"/>
      <c r="CB1790" s="76"/>
      <c r="CC1790" s="76"/>
      <c r="CD1790" s="76"/>
      <c r="CE1790" s="76"/>
      <c r="CF1790" s="76">
        <f>+CE1790*28000</f>
        <v>0</v>
      </c>
      <c r="CG1790" s="76"/>
      <c r="CH1790" s="76">
        <f>+CG1790*22500</f>
        <v>0</v>
      </c>
      <c r="CI1790" s="76"/>
      <c r="CJ1790" s="76">
        <f>+CI1790*26000</f>
        <v>0</v>
      </c>
      <c r="CK1790" s="76"/>
      <c r="CL1790" s="76"/>
      <c r="CM1790" s="76"/>
      <c r="CN1790" s="76">
        <f>+CM1790*22000</f>
        <v>0</v>
      </c>
      <c r="CO1790" s="76"/>
      <c r="CP1790" s="76">
        <f>+CO1790*46000</f>
        <v>0</v>
      </c>
      <c r="CQ1790" s="76"/>
      <c r="CR1790" s="76">
        <f>+CQ1790*49000</f>
        <v>0</v>
      </c>
      <c r="CS1790" s="76"/>
      <c r="CT1790" s="76"/>
      <c r="CU1790" s="56">
        <f>AN1790+AP1790+AR1790+AT1790+AV1790+AX1790+AZ1790+BB1790+BD1790+BF1790+BH1790+BJ1790+BL1790+BN1790+BP1790+BR1790+BT1790+BV1790+BX1790+BZ1790+CB1790+CD1790+CF1790+CH1790+CJ1790+CL1790+CN1790+CP1790+CR1790+CT1790</f>
        <v>0</v>
      </c>
      <c r="CV1790" s="76"/>
      <c r="CW1790" s="76">
        <f>+CV1790*1100</f>
        <v>0</v>
      </c>
      <c r="CX1790" s="76"/>
      <c r="CY1790" s="76">
        <f>+CX1790*106250</f>
        <v>0</v>
      </c>
      <c r="CZ1790" s="76"/>
      <c r="DA1790" s="76">
        <f>+CZ1790*34500</f>
        <v>0</v>
      </c>
      <c r="DB1790" s="76"/>
      <c r="DC1790" s="76">
        <f>+DB1790*25000</f>
        <v>0</v>
      </c>
      <c r="DD1790" s="219"/>
      <c r="DE1790" s="219"/>
      <c r="DF1790" s="166"/>
      <c r="DG1790" s="116"/>
      <c r="DH1790" s="117"/>
      <c r="DI1790" s="24"/>
      <c r="DJ1790" s="24"/>
      <c r="DK1790" s="24"/>
      <c r="DL1790" s="24"/>
      <c r="DM1790" s="24"/>
      <c r="DN1790" s="24"/>
      <c r="DO1790" s="24"/>
      <c r="DP1790" s="24"/>
      <c r="DQ1790" s="24"/>
      <c r="DR1790" s="24"/>
      <c r="DS1790" s="24"/>
      <c r="DT1790" s="24"/>
      <c r="DU1790" s="24"/>
    </row>
    <row r="1791" spans="1:128" s="8" customFormat="1" ht="36" x14ac:dyDescent="0.2">
      <c r="A1791" s="353">
        <v>41407</v>
      </c>
      <c r="B1791" s="352" t="s">
        <v>2855</v>
      </c>
      <c r="C1791" s="354" t="s">
        <v>931</v>
      </c>
      <c r="D1791" s="354" t="s">
        <v>2846</v>
      </c>
      <c r="E1791" s="75" t="str">
        <f>VLOOKUP(B1791&amp;C1791,Divipola!$C$2:$F$1138,4,FALSE)</f>
        <v>20614</v>
      </c>
      <c r="F1791" s="87"/>
      <c r="G1791" s="87"/>
      <c r="H1791" s="87"/>
      <c r="I1791" s="87"/>
      <c r="J1791" s="87"/>
      <c r="K1791" s="87"/>
      <c r="L1791" s="87"/>
      <c r="M1791" s="87"/>
      <c r="N1791" s="87"/>
      <c r="O1791" s="87"/>
      <c r="P1791" s="87"/>
      <c r="Q1791" s="87"/>
      <c r="R1791" s="87"/>
      <c r="S1791" s="87"/>
      <c r="T1791" s="87"/>
      <c r="U1791" s="88">
        <v>20</v>
      </c>
      <c r="V1791" s="89"/>
      <c r="W1791" s="96">
        <v>0</v>
      </c>
      <c r="X1791" s="71">
        <f>CU1791</f>
        <v>0</v>
      </c>
      <c r="Y1791" s="71">
        <f>CY1791</f>
        <v>0</v>
      </c>
      <c r="Z1791" s="71">
        <f>DA1791+DC1791+DE1791</f>
        <v>0</v>
      </c>
      <c r="AA1791" s="71">
        <f>CW1791</f>
        <v>0</v>
      </c>
      <c r="AB1791" s="71"/>
      <c r="AC1791" s="71">
        <v>0</v>
      </c>
      <c r="AD1791" s="71">
        <f>W1791+X1791+Y1791+Z1791+AA1791+AB1791+AC1791</f>
        <v>0</v>
      </c>
      <c r="AE1791" s="72">
        <v>0</v>
      </c>
      <c r="AF1791" s="5"/>
      <c r="AG1791" s="6"/>
      <c r="AH1791" s="27" t="s">
        <v>3392</v>
      </c>
      <c r="AI1791" s="44" t="s">
        <v>3393</v>
      </c>
      <c r="AJ1791" s="26"/>
      <c r="AK1791" s="5"/>
      <c r="AL1791" s="82" t="s">
        <v>4612</v>
      </c>
      <c r="AM1791" s="76"/>
      <c r="AN1791" s="76"/>
      <c r="AO1791" s="76"/>
      <c r="AP1791" s="76"/>
      <c r="AQ1791" s="76"/>
      <c r="AR1791" s="76"/>
      <c r="AS1791" s="76"/>
      <c r="AT1791" s="76"/>
      <c r="AU1791" s="76"/>
      <c r="AV1791" s="76"/>
      <c r="AW1791" s="76"/>
      <c r="AX1791" s="76">
        <f>+AW1791*600000</f>
        <v>0</v>
      </c>
      <c r="AY1791" s="76"/>
      <c r="AZ1791" s="76">
        <f>+AY1791*70000</f>
        <v>0</v>
      </c>
      <c r="BA1791" s="76"/>
      <c r="BB1791" s="76"/>
      <c r="BC1791" s="76"/>
      <c r="BD1791" s="76">
        <f>+BC1791*30000</f>
        <v>0</v>
      </c>
      <c r="BE1791" s="76"/>
      <c r="BF1791" s="76"/>
      <c r="BG1791" s="76"/>
      <c r="BH1791" s="76"/>
      <c r="BI1791" s="76"/>
      <c r="BJ1791" s="76"/>
      <c r="BK1791" s="76"/>
      <c r="BL1791" s="76">
        <f>+BK1791*31500</f>
        <v>0</v>
      </c>
      <c r="BM1791" s="76"/>
      <c r="BN1791" s="76"/>
      <c r="BO1791" s="76"/>
      <c r="BP1791" s="76"/>
      <c r="BQ1791" s="76"/>
      <c r="BR1791" s="76"/>
      <c r="BS1791" s="76"/>
      <c r="BT1791" s="76"/>
      <c r="BU1791" s="76"/>
      <c r="BV1791" s="76"/>
      <c r="BW1791" s="76"/>
      <c r="BX1791" s="76"/>
      <c r="BY1791" s="76"/>
      <c r="BZ1791" s="76"/>
      <c r="CA1791" s="76"/>
      <c r="CB1791" s="76"/>
      <c r="CC1791" s="76"/>
      <c r="CD1791" s="76"/>
      <c r="CE1791" s="76"/>
      <c r="CF1791" s="76">
        <f>+CE1791*28000</f>
        <v>0</v>
      </c>
      <c r="CG1791" s="76"/>
      <c r="CH1791" s="76">
        <f>+CG1791*22500</f>
        <v>0</v>
      </c>
      <c r="CI1791" s="76"/>
      <c r="CJ1791" s="76">
        <f>+CI1791*26000</f>
        <v>0</v>
      </c>
      <c r="CK1791" s="76"/>
      <c r="CL1791" s="76"/>
      <c r="CM1791" s="76"/>
      <c r="CN1791" s="76">
        <f>+CM1791*22000</f>
        <v>0</v>
      </c>
      <c r="CO1791" s="76"/>
      <c r="CP1791" s="76">
        <f>+CO1791*46000</f>
        <v>0</v>
      </c>
      <c r="CQ1791" s="76"/>
      <c r="CR1791" s="76">
        <f>+CQ1791*49000</f>
        <v>0</v>
      </c>
      <c r="CS1791" s="76"/>
      <c r="CT1791" s="76"/>
      <c r="CU1791" s="56">
        <f>AN1791+AP1791+AR1791+AT1791+AV1791+AX1791+AZ1791+BB1791+BD1791+BF1791+BH1791+BJ1791+BL1791+BN1791+BP1791+BR1791+BT1791+BV1791+BX1791+BZ1791+CB1791+CD1791+CF1791+CH1791+CJ1791+CL1791+CN1791+CP1791+CR1791+CT1791</f>
        <v>0</v>
      </c>
      <c r="CV1791" s="76"/>
      <c r="CW1791" s="76">
        <f>+CV1791*1100</f>
        <v>0</v>
      </c>
      <c r="CX1791" s="76"/>
      <c r="CY1791" s="76">
        <f>+CX1791*106250</f>
        <v>0</v>
      </c>
      <c r="CZ1791" s="76"/>
      <c r="DA1791" s="76">
        <f>+CZ1791*34500</f>
        <v>0</v>
      </c>
      <c r="DB1791" s="76"/>
      <c r="DC1791" s="76">
        <f>+DB1791*25000</f>
        <v>0</v>
      </c>
      <c r="DD1791" s="219"/>
      <c r="DE1791" s="219"/>
      <c r="DF1791" s="166"/>
      <c r="DG1791" s="116"/>
      <c r="DH1791" s="117"/>
      <c r="DI1791" s="24"/>
      <c r="DJ1791" s="24"/>
      <c r="DK1791" s="24"/>
      <c r="DL1791" s="24"/>
      <c r="DM1791" s="24"/>
      <c r="DN1791" s="24"/>
      <c r="DO1791" s="24"/>
      <c r="DP1791" s="24"/>
      <c r="DQ1791" s="24"/>
      <c r="DR1791" s="24"/>
      <c r="DS1791" s="24"/>
      <c r="DT1791" s="24"/>
      <c r="DU1791" s="24"/>
    </row>
    <row r="1792" spans="1:128" s="8" customFormat="1" ht="60" x14ac:dyDescent="0.2">
      <c r="A1792" s="353">
        <v>41407</v>
      </c>
      <c r="B1792" s="352" t="s">
        <v>2855</v>
      </c>
      <c r="C1792" s="354" t="s">
        <v>2168</v>
      </c>
      <c r="D1792" s="354" t="s">
        <v>2846</v>
      </c>
      <c r="E1792" s="75" t="str">
        <f>VLOOKUP(B1792&amp;C1792,Divipola!$C$2:$F$1138,4,FALSE)</f>
        <v>20001</v>
      </c>
      <c r="F1792" s="87"/>
      <c r="G1792" s="87"/>
      <c r="H1792" s="87"/>
      <c r="I1792" s="87"/>
      <c r="J1792" s="87"/>
      <c r="K1792" s="87"/>
      <c r="L1792" s="87"/>
      <c r="M1792" s="87"/>
      <c r="N1792" s="87"/>
      <c r="O1792" s="87"/>
      <c r="P1792" s="87"/>
      <c r="Q1792" s="87"/>
      <c r="R1792" s="87"/>
      <c r="S1792" s="87"/>
      <c r="T1792" s="87"/>
      <c r="U1792" s="88">
        <v>20</v>
      </c>
      <c r="V1792" s="89"/>
      <c r="W1792" s="96">
        <v>0</v>
      </c>
      <c r="X1792" s="71">
        <f>CU1792</f>
        <v>0</v>
      </c>
      <c r="Y1792" s="71">
        <f>CY1792</f>
        <v>0</v>
      </c>
      <c r="Z1792" s="71">
        <f>DA1792+DC1792+DE1792</f>
        <v>0</v>
      </c>
      <c r="AA1792" s="71">
        <f>CW1792</f>
        <v>0</v>
      </c>
      <c r="AB1792" s="71"/>
      <c r="AC1792" s="71">
        <v>0</v>
      </c>
      <c r="AD1792" s="71">
        <f>W1792+X1792+Y1792+Z1792+AA1792+AB1792+AC1792</f>
        <v>0</v>
      </c>
      <c r="AE1792" s="72">
        <v>0</v>
      </c>
      <c r="AF1792" s="5"/>
      <c r="AG1792" s="6"/>
      <c r="AH1792" s="27" t="s">
        <v>3392</v>
      </c>
      <c r="AI1792" s="44" t="s">
        <v>3393</v>
      </c>
      <c r="AJ1792" s="26"/>
      <c r="AK1792" s="5"/>
      <c r="AL1792" s="82" t="s">
        <v>4608</v>
      </c>
      <c r="AM1792" s="76"/>
      <c r="AN1792" s="76"/>
      <c r="AO1792" s="76"/>
      <c r="AP1792" s="76"/>
      <c r="AQ1792" s="76"/>
      <c r="AR1792" s="76"/>
      <c r="AS1792" s="76"/>
      <c r="AT1792" s="76"/>
      <c r="AU1792" s="76"/>
      <c r="AV1792" s="76"/>
      <c r="AW1792" s="76"/>
      <c r="AX1792" s="76">
        <f>+AW1792*600000</f>
        <v>0</v>
      </c>
      <c r="AY1792" s="76"/>
      <c r="AZ1792" s="76">
        <f>+AY1792*70000</f>
        <v>0</v>
      </c>
      <c r="BA1792" s="76"/>
      <c r="BB1792" s="76"/>
      <c r="BC1792" s="76"/>
      <c r="BD1792" s="76">
        <f>+BC1792*30000</f>
        <v>0</v>
      </c>
      <c r="BE1792" s="76"/>
      <c r="BF1792" s="76"/>
      <c r="BG1792" s="76"/>
      <c r="BH1792" s="76"/>
      <c r="BI1792" s="76"/>
      <c r="BJ1792" s="76"/>
      <c r="BK1792" s="76"/>
      <c r="BL1792" s="76">
        <f>+BK1792*31500</f>
        <v>0</v>
      </c>
      <c r="BM1792" s="76"/>
      <c r="BN1792" s="76"/>
      <c r="BO1792" s="76"/>
      <c r="BP1792" s="76"/>
      <c r="BQ1792" s="76"/>
      <c r="BR1792" s="76"/>
      <c r="BS1792" s="76"/>
      <c r="BT1792" s="76"/>
      <c r="BU1792" s="76"/>
      <c r="BV1792" s="76"/>
      <c r="BW1792" s="76"/>
      <c r="BX1792" s="76"/>
      <c r="BY1792" s="76"/>
      <c r="BZ1792" s="76"/>
      <c r="CA1792" s="76"/>
      <c r="CB1792" s="76"/>
      <c r="CC1792" s="76"/>
      <c r="CD1792" s="76"/>
      <c r="CE1792" s="76"/>
      <c r="CF1792" s="76">
        <f>+CE1792*28000</f>
        <v>0</v>
      </c>
      <c r="CG1792" s="76"/>
      <c r="CH1792" s="76">
        <f>+CG1792*22500</f>
        <v>0</v>
      </c>
      <c r="CI1792" s="76"/>
      <c r="CJ1792" s="76">
        <f>+CI1792*26000</f>
        <v>0</v>
      </c>
      <c r="CK1792" s="76"/>
      <c r="CL1792" s="76"/>
      <c r="CM1792" s="76"/>
      <c r="CN1792" s="76">
        <f>+CM1792*22000</f>
        <v>0</v>
      </c>
      <c r="CO1792" s="76"/>
      <c r="CP1792" s="76">
        <f>+CO1792*46000</f>
        <v>0</v>
      </c>
      <c r="CQ1792" s="76"/>
      <c r="CR1792" s="76">
        <f>+CQ1792*49000</f>
        <v>0</v>
      </c>
      <c r="CS1792" s="76"/>
      <c r="CT1792" s="76"/>
      <c r="CU1792" s="56">
        <f>AN1792+AP1792+AR1792+AT1792+AV1792+AX1792+AZ1792+BB1792+BD1792+BF1792+BH1792+BJ1792+BL1792+BN1792+BP1792+BR1792+BT1792+BV1792+BX1792+BZ1792+CB1792+CD1792+CF1792+CH1792+CJ1792+CL1792+CN1792+CP1792+CR1792+CT1792</f>
        <v>0</v>
      </c>
      <c r="CV1792" s="76"/>
      <c r="CW1792" s="76">
        <f>+CV1792*1100</f>
        <v>0</v>
      </c>
      <c r="CX1792" s="76"/>
      <c r="CY1792" s="76">
        <f>+CX1792*106250</f>
        <v>0</v>
      </c>
      <c r="CZ1792" s="76"/>
      <c r="DA1792" s="76">
        <f>+CZ1792*34500</f>
        <v>0</v>
      </c>
      <c r="DB1792" s="76"/>
      <c r="DC1792" s="76">
        <f>+DB1792*25000</f>
        <v>0</v>
      </c>
      <c r="DD1792" s="219"/>
      <c r="DE1792" s="219"/>
      <c r="DF1792" s="166"/>
      <c r="DG1792" s="116"/>
      <c r="DH1792" s="117"/>
      <c r="DI1792" s="24"/>
      <c r="DJ1792" s="24"/>
      <c r="DK1792" s="24"/>
      <c r="DL1792" s="24"/>
      <c r="DM1792" s="24"/>
      <c r="DN1792" s="24"/>
      <c r="DO1792" s="24"/>
      <c r="DP1792" s="24"/>
      <c r="DQ1792" s="24"/>
      <c r="DR1792" s="24"/>
      <c r="DS1792" s="24"/>
      <c r="DT1792" s="24"/>
      <c r="DU1792" s="24"/>
    </row>
    <row r="1793" spans="1:125" s="8" customFormat="1" ht="60" x14ac:dyDescent="0.2">
      <c r="A1793" s="353">
        <v>41407</v>
      </c>
      <c r="B1793" s="352" t="s">
        <v>1695</v>
      </c>
      <c r="C1793" s="354" t="s">
        <v>1696</v>
      </c>
      <c r="D1793" s="354" t="s">
        <v>3051</v>
      </c>
      <c r="E1793" s="75" t="str">
        <f>VLOOKUP(B1793&amp;C1793,Divipola!$C$2:$F$1138,4,FALSE)</f>
        <v>95001</v>
      </c>
      <c r="F1793" s="87"/>
      <c r="G1793" s="87"/>
      <c r="H1793" s="87"/>
      <c r="I1793" s="87"/>
      <c r="J1793" s="87"/>
      <c r="K1793" s="87"/>
      <c r="L1793" s="87"/>
      <c r="M1793" s="87"/>
      <c r="N1793" s="87"/>
      <c r="O1793" s="87"/>
      <c r="P1793" s="87"/>
      <c r="Q1793" s="87"/>
      <c r="R1793" s="87"/>
      <c r="S1793" s="87"/>
      <c r="T1793" s="87"/>
      <c r="U1793" s="88"/>
      <c r="V1793" s="89"/>
      <c r="W1793" s="96">
        <v>0</v>
      </c>
      <c r="X1793" s="71">
        <f>CU1793</f>
        <v>0</v>
      </c>
      <c r="Y1793" s="71">
        <f>CY1793</f>
        <v>0</v>
      </c>
      <c r="Z1793" s="71">
        <f>DA1793+DC1793+DE1793</f>
        <v>0</v>
      </c>
      <c r="AA1793" s="71">
        <f>CW1793</f>
        <v>0</v>
      </c>
      <c r="AB1793" s="71"/>
      <c r="AC1793" s="71">
        <v>0</v>
      </c>
      <c r="AD1793" s="71">
        <f>W1793+X1793+Y1793+Z1793+AA1793+AB1793+AC1793</f>
        <v>0</v>
      </c>
      <c r="AE1793" s="72">
        <v>0</v>
      </c>
      <c r="AF1793" s="5"/>
      <c r="AG1793" s="6"/>
      <c r="AH1793" s="27" t="s">
        <v>3392</v>
      </c>
      <c r="AI1793" s="44" t="s">
        <v>3393</v>
      </c>
      <c r="AJ1793" s="26"/>
      <c r="AK1793" s="5"/>
      <c r="AL1793" s="82" t="s">
        <v>4614</v>
      </c>
      <c r="AM1793" s="76"/>
      <c r="AN1793" s="76"/>
      <c r="AO1793" s="76"/>
      <c r="AP1793" s="76"/>
      <c r="AQ1793" s="76"/>
      <c r="AR1793" s="76"/>
      <c r="AS1793" s="76"/>
      <c r="AT1793" s="76"/>
      <c r="AU1793" s="76"/>
      <c r="AV1793" s="76"/>
      <c r="AW1793" s="76"/>
      <c r="AX1793" s="76">
        <f>+AW1793*600000</f>
        <v>0</v>
      </c>
      <c r="AY1793" s="76"/>
      <c r="AZ1793" s="76">
        <f>+AY1793*70000</f>
        <v>0</v>
      </c>
      <c r="BA1793" s="76"/>
      <c r="BB1793" s="76"/>
      <c r="BC1793" s="76"/>
      <c r="BD1793" s="76">
        <f>+BC1793*30000</f>
        <v>0</v>
      </c>
      <c r="BE1793" s="76"/>
      <c r="BF1793" s="76"/>
      <c r="BG1793" s="76"/>
      <c r="BH1793" s="76"/>
      <c r="BI1793" s="76"/>
      <c r="BJ1793" s="76"/>
      <c r="BK1793" s="76"/>
      <c r="BL1793" s="76">
        <f>+BK1793*31500</f>
        <v>0</v>
      </c>
      <c r="BM1793" s="76"/>
      <c r="BN1793" s="76"/>
      <c r="BO1793" s="76"/>
      <c r="BP1793" s="76"/>
      <c r="BQ1793" s="76"/>
      <c r="BR1793" s="76"/>
      <c r="BS1793" s="76"/>
      <c r="BT1793" s="76"/>
      <c r="BU1793" s="76"/>
      <c r="BV1793" s="76"/>
      <c r="BW1793" s="76"/>
      <c r="BX1793" s="76"/>
      <c r="BY1793" s="76"/>
      <c r="BZ1793" s="76"/>
      <c r="CA1793" s="76"/>
      <c r="CB1793" s="76"/>
      <c r="CC1793" s="76"/>
      <c r="CD1793" s="76"/>
      <c r="CE1793" s="76"/>
      <c r="CF1793" s="76">
        <f>+CE1793*28000</f>
        <v>0</v>
      </c>
      <c r="CG1793" s="76"/>
      <c r="CH1793" s="76">
        <f>+CG1793*22500</f>
        <v>0</v>
      </c>
      <c r="CI1793" s="76"/>
      <c r="CJ1793" s="76">
        <f>+CI1793*26000</f>
        <v>0</v>
      </c>
      <c r="CK1793" s="76"/>
      <c r="CL1793" s="76"/>
      <c r="CM1793" s="76"/>
      <c r="CN1793" s="76">
        <f>+CM1793*22000</f>
        <v>0</v>
      </c>
      <c r="CO1793" s="76"/>
      <c r="CP1793" s="76">
        <f>+CO1793*46000</f>
        <v>0</v>
      </c>
      <c r="CQ1793" s="76"/>
      <c r="CR1793" s="76">
        <f>+CQ1793*49000</f>
        <v>0</v>
      </c>
      <c r="CS1793" s="76"/>
      <c r="CT1793" s="76"/>
      <c r="CU1793" s="56">
        <f>AN1793+AP1793+AR1793+AT1793+AV1793+AX1793+AZ1793+BB1793+BD1793+BF1793+BH1793+BJ1793+BL1793+BN1793+BP1793+BR1793+BT1793+BV1793+BX1793+BZ1793+CB1793+CD1793+CF1793+CH1793+CJ1793+CL1793+CN1793+CP1793+CR1793+CT1793</f>
        <v>0</v>
      </c>
      <c r="CV1793" s="76"/>
      <c r="CW1793" s="76">
        <f>+CV1793*1100</f>
        <v>0</v>
      </c>
      <c r="CX1793" s="76"/>
      <c r="CY1793" s="76">
        <f>+CX1793*106250</f>
        <v>0</v>
      </c>
      <c r="CZ1793" s="76"/>
      <c r="DA1793" s="76">
        <f>+CZ1793*34500</f>
        <v>0</v>
      </c>
      <c r="DB1793" s="76"/>
      <c r="DC1793" s="76">
        <f>+DB1793*25000</f>
        <v>0</v>
      </c>
      <c r="DD1793" s="219"/>
      <c r="DE1793" s="219"/>
      <c r="DF1793" s="166"/>
      <c r="DG1793" s="116"/>
      <c r="DH1793" s="117"/>
      <c r="DI1793" s="24"/>
      <c r="DJ1793" s="24"/>
      <c r="DK1793" s="24"/>
      <c r="DL1793" s="24"/>
      <c r="DM1793" s="24"/>
      <c r="DN1793" s="24"/>
      <c r="DO1793" s="24"/>
      <c r="DP1793" s="24"/>
      <c r="DQ1793" s="24"/>
      <c r="DR1793" s="24"/>
      <c r="DS1793" s="24"/>
      <c r="DT1793" s="24"/>
      <c r="DU1793" s="24"/>
    </row>
    <row r="1794" spans="1:125" s="8" customFormat="1" ht="36" x14ac:dyDescent="0.2">
      <c r="A1794" s="77">
        <v>41407</v>
      </c>
      <c r="B1794" s="78" t="s">
        <v>2880</v>
      </c>
      <c r="C1794" s="75" t="s">
        <v>2208</v>
      </c>
      <c r="D1794" s="75" t="s">
        <v>2846</v>
      </c>
      <c r="E1794" s="75" t="str">
        <f>VLOOKUP(B1794&amp;C1794,Divipola!$C$2:$F$1138,4,FALSE)</f>
        <v>54418</v>
      </c>
      <c r="F1794" s="87"/>
      <c r="G1794" s="87"/>
      <c r="H1794" s="87"/>
      <c r="I1794" s="87"/>
      <c r="J1794" s="87"/>
      <c r="K1794" s="87"/>
      <c r="L1794" s="87"/>
      <c r="M1794" s="87"/>
      <c r="N1794" s="87"/>
      <c r="O1794" s="87"/>
      <c r="P1794" s="87"/>
      <c r="Q1794" s="87"/>
      <c r="R1794" s="87"/>
      <c r="S1794" s="87"/>
      <c r="T1794" s="87"/>
      <c r="U1794" s="88">
        <v>200</v>
      </c>
      <c r="V1794" s="89"/>
      <c r="W1794" s="96">
        <v>0</v>
      </c>
      <c r="X1794" s="71">
        <f>CU1794</f>
        <v>0</v>
      </c>
      <c r="Y1794" s="71">
        <f>CY1794</f>
        <v>0</v>
      </c>
      <c r="Z1794" s="71">
        <f>DA1794+DC1794+DE1794</f>
        <v>0</v>
      </c>
      <c r="AA1794" s="71">
        <f>CW1794</f>
        <v>0</v>
      </c>
      <c r="AB1794" s="71"/>
      <c r="AC1794" s="71">
        <v>0</v>
      </c>
      <c r="AD1794" s="71">
        <f>W1794+X1794+Y1794+Z1794+AA1794+AB1794+AC1794</f>
        <v>0</v>
      </c>
      <c r="AE1794" s="72">
        <v>0</v>
      </c>
      <c r="AF1794" s="5"/>
      <c r="AG1794" s="6"/>
      <c r="AH1794" s="27" t="s">
        <v>3392</v>
      </c>
      <c r="AI1794" s="44" t="s">
        <v>3393</v>
      </c>
      <c r="AJ1794" s="26"/>
      <c r="AK1794" s="5"/>
      <c r="AL1794" s="82" t="s">
        <v>4611</v>
      </c>
      <c r="AM1794" s="76"/>
      <c r="AN1794" s="76"/>
      <c r="AO1794" s="76"/>
      <c r="AP1794" s="76"/>
      <c r="AQ1794" s="76"/>
      <c r="AR1794" s="76"/>
      <c r="AS1794" s="76"/>
      <c r="AT1794" s="76"/>
      <c r="AU1794" s="76"/>
      <c r="AV1794" s="76"/>
      <c r="AW1794" s="76"/>
      <c r="AX1794" s="76">
        <f>+AW1794*600000</f>
        <v>0</v>
      </c>
      <c r="AY1794" s="76"/>
      <c r="AZ1794" s="76">
        <f>+AY1794*70000</f>
        <v>0</v>
      </c>
      <c r="BA1794" s="76"/>
      <c r="BB1794" s="76"/>
      <c r="BC1794" s="76"/>
      <c r="BD1794" s="76">
        <f>+BC1794*30000</f>
        <v>0</v>
      </c>
      <c r="BE1794" s="76"/>
      <c r="BF1794" s="76"/>
      <c r="BG1794" s="76"/>
      <c r="BH1794" s="76"/>
      <c r="BI1794" s="76"/>
      <c r="BJ1794" s="76"/>
      <c r="BK1794" s="76"/>
      <c r="BL1794" s="76">
        <f>+BK1794*31500</f>
        <v>0</v>
      </c>
      <c r="BM1794" s="76"/>
      <c r="BN1794" s="76"/>
      <c r="BO1794" s="76"/>
      <c r="BP1794" s="76"/>
      <c r="BQ1794" s="76"/>
      <c r="BR1794" s="76"/>
      <c r="BS1794" s="76"/>
      <c r="BT1794" s="76"/>
      <c r="BU1794" s="76"/>
      <c r="BV1794" s="76"/>
      <c r="BW1794" s="76"/>
      <c r="BX1794" s="76"/>
      <c r="BY1794" s="76"/>
      <c r="BZ1794" s="76"/>
      <c r="CA1794" s="76"/>
      <c r="CB1794" s="76"/>
      <c r="CC1794" s="76"/>
      <c r="CD1794" s="76"/>
      <c r="CE1794" s="76"/>
      <c r="CF1794" s="76">
        <f>+CE1794*28000</f>
        <v>0</v>
      </c>
      <c r="CG1794" s="76"/>
      <c r="CH1794" s="76">
        <f>+CG1794*22500</f>
        <v>0</v>
      </c>
      <c r="CI1794" s="76"/>
      <c r="CJ1794" s="76">
        <f>+CI1794*26000</f>
        <v>0</v>
      </c>
      <c r="CK1794" s="76"/>
      <c r="CL1794" s="76"/>
      <c r="CM1794" s="76"/>
      <c r="CN1794" s="76">
        <f>+CM1794*22000</f>
        <v>0</v>
      </c>
      <c r="CO1794" s="76"/>
      <c r="CP1794" s="76">
        <f>+CO1794*46000</f>
        <v>0</v>
      </c>
      <c r="CQ1794" s="76"/>
      <c r="CR1794" s="76">
        <f>+CQ1794*49000</f>
        <v>0</v>
      </c>
      <c r="CS1794" s="76"/>
      <c r="CT1794" s="76"/>
      <c r="CU1794" s="56">
        <f>AN1794+AP1794+AR1794+AT1794+AV1794+AX1794+AZ1794+BB1794+BD1794+BF1794+BH1794+BJ1794+BL1794+BN1794+BP1794+BR1794+BT1794+BV1794+BX1794+BZ1794+CB1794+CD1794+CF1794+CH1794+CJ1794+CL1794+CN1794+CP1794+CR1794+CT1794</f>
        <v>0</v>
      </c>
      <c r="CV1794" s="76"/>
      <c r="CW1794" s="76">
        <f>+CV1794*1100</f>
        <v>0</v>
      </c>
      <c r="CX1794" s="76"/>
      <c r="CY1794" s="76">
        <f>+CX1794*106250</f>
        <v>0</v>
      </c>
      <c r="CZ1794" s="76"/>
      <c r="DA1794" s="76">
        <f>+CZ1794*34500</f>
        <v>0</v>
      </c>
      <c r="DB1794" s="76"/>
      <c r="DC1794" s="76">
        <f>+DB1794*25000</f>
        <v>0</v>
      </c>
      <c r="DD1794" s="219"/>
      <c r="DE1794" s="219"/>
      <c r="DF1794" s="166"/>
      <c r="DG1794" s="116"/>
      <c r="DH1794" s="117"/>
      <c r="DI1794" s="24"/>
      <c r="DJ1794" s="24"/>
      <c r="DK1794" s="24"/>
      <c r="DL1794" s="24"/>
      <c r="DM1794" s="24"/>
      <c r="DN1794" s="24"/>
      <c r="DO1794" s="24"/>
      <c r="DP1794" s="24"/>
      <c r="DQ1794" s="24"/>
      <c r="DR1794" s="24"/>
      <c r="DS1794" s="24"/>
      <c r="DT1794" s="24"/>
      <c r="DU1794" s="24"/>
    </row>
    <row r="1795" spans="1:125" s="8" customFormat="1" ht="96" x14ac:dyDescent="0.2">
      <c r="A1795" s="77">
        <v>41407</v>
      </c>
      <c r="B1795" s="225" t="s">
        <v>2860</v>
      </c>
      <c r="C1795" s="227" t="s">
        <v>2776</v>
      </c>
      <c r="D1795" s="227" t="s">
        <v>2882</v>
      </c>
      <c r="E1795" s="75" t="str">
        <f>VLOOKUP(B1795&amp;C1795,Divipola!$C$2:$F$1138,4,FALSE)</f>
        <v>63001</v>
      </c>
      <c r="F1795" s="87"/>
      <c r="G1795" s="87"/>
      <c r="H1795" s="87"/>
      <c r="I1795" s="87">
        <v>100</v>
      </c>
      <c r="J1795" s="87">
        <v>20</v>
      </c>
      <c r="K1795" s="87"/>
      <c r="L1795" s="87">
        <v>20</v>
      </c>
      <c r="M1795" s="87"/>
      <c r="N1795" s="87"/>
      <c r="O1795" s="87"/>
      <c r="P1795" s="87"/>
      <c r="Q1795" s="87"/>
      <c r="R1795" s="87"/>
      <c r="S1795" s="87"/>
      <c r="T1795" s="87"/>
      <c r="U1795" s="88"/>
      <c r="V1795" s="89"/>
      <c r="W1795" s="96">
        <v>0</v>
      </c>
      <c r="X1795" s="71">
        <f>CU1795</f>
        <v>0</v>
      </c>
      <c r="Y1795" s="71">
        <f>CY1795</f>
        <v>0</v>
      </c>
      <c r="Z1795" s="71">
        <f>DA1795+DC1795+DE1795</f>
        <v>0</v>
      </c>
      <c r="AA1795" s="71">
        <f>CW1795</f>
        <v>0</v>
      </c>
      <c r="AB1795" s="71"/>
      <c r="AC1795" s="71">
        <v>0</v>
      </c>
      <c r="AD1795" s="71">
        <f>W1795+X1795+Y1795+Z1795+AA1795+AB1795+AC1795</f>
        <v>0</v>
      </c>
      <c r="AE1795" s="72">
        <v>0</v>
      </c>
      <c r="AF1795" s="5"/>
      <c r="AG1795" s="6"/>
      <c r="AH1795" s="27" t="s">
        <v>3392</v>
      </c>
      <c r="AI1795" s="44" t="s">
        <v>3393</v>
      </c>
      <c r="AJ1795" s="26"/>
      <c r="AK1795" s="5"/>
      <c r="AL1795" s="82" t="s">
        <v>4605</v>
      </c>
      <c r="AM1795" s="76"/>
      <c r="AN1795" s="76"/>
      <c r="AO1795" s="76"/>
      <c r="AP1795" s="76"/>
      <c r="AQ1795" s="76"/>
      <c r="AR1795" s="76"/>
      <c r="AS1795" s="76"/>
      <c r="AT1795" s="76"/>
      <c r="AU1795" s="76"/>
      <c r="AV1795" s="76"/>
      <c r="AW1795" s="76"/>
      <c r="AX1795" s="76">
        <f>+AW1795*600000</f>
        <v>0</v>
      </c>
      <c r="AY1795" s="76"/>
      <c r="AZ1795" s="76">
        <f>+AY1795*70000</f>
        <v>0</v>
      </c>
      <c r="BA1795" s="76"/>
      <c r="BB1795" s="76"/>
      <c r="BC1795" s="76"/>
      <c r="BD1795" s="76">
        <f>+BC1795*30000</f>
        <v>0</v>
      </c>
      <c r="BE1795" s="76"/>
      <c r="BF1795" s="76"/>
      <c r="BG1795" s="76"/>
      <c r="BH1795" s="76"/>
      <c r="BI1795" s="76"/>
      <c r="BJ1795" s="76"/>
      <c r="BK1795" s="76"/>
      <c r="BL1795" s="76">
        <f>+BK1795*31500</f>
        <v>0</v>
      </c>
      <c r="BM1795" s="76"/>
      <c r="BN1795" s="76"/>
      <c r="BO1795" s="76"/>
      <c r="BP1795" s="76"/>
      <c r="BQ1795" s="76"/>
      <c r="BR1795" s="76"/>
      <c r="BS1795" s="76"/>
      <c r="BT1795" s="76"/>
      <c r="BU1795" s="76"/>
      <c r="BV1795" s="76"/>
      <c r="BW1795" s="76"/>
      <c r="BX1795" s="76"/>
      <c r="BY1795" s="76"/>
      <c r="BZ1795" s="76"/>
      <c r="CA1795" s="76"/>
      <c r="CB1795" s="76"/>
      <c r="CC1795" s="76"/>
      <c r="CD1795" s="76"/>
      <c r="CE1795" s="76"/>
      <c r="CF1795" s="76">
        <f>+CE1795*28000</f>
        <v>0</v>
      </c>
      <c r="CG1795" s="76"/>
      <c r="CH1795" s="76">
        <f>+CG1795*22500</f>
        <v>0</v>
      </c>
      <c r="CI1795" s="76"/>
      <c r="CJ1795" s="76">
        <f>+CI1795*26000</f>
        <v>0</v>
      </c>
      <c r="CK1795" s="76"/>
      <c r="CL1795" s="76"/>
      <c r="CM1795" s="76"/>
      <c r="CN1795" s="76">
        <f>+CM1795*22000</f>
        <v>0</v>
      </c>
      <c r="CO1795" s="76"/>
      <c r="CP1795" s="76">
        <f>+CO1795*46000</f>
        <v>0</v>
      </c>
      <c r="CQ1795" s="76"/>
      <c r="CR1795" s="76">
        <f>+CQ1795*49000</f>
        <v>0</v>
      </c>
      <c r="CS1795" s="76"/>
      <c r="CT1795" s="76"/>
      <c r="CU1795" s="56">
        <f>AN1795+AP1795+AR1795+AT1795+AV1795+AX1795+AZ1795+BB1795+BD1795+BF1795+BH1795+BJ1795+BL1795+BN1795+BP1795+BR1795+BT1795+BV1795+BX1795+BZ1795+CB1795+CD1795+CF1795+CH1795+CJ1795+CL1795+CN1795+CP1795+CR1795+CT1795</f>
        <v>0</v>
      </c>
      <c r="CV1795" s="76"/>
      <c r="CW1795" s="76">
        <f>+CV1795*1100</f>
        <v>0</v>
      </c>
      <c r="CX1795" s="76"/>
      <c r="CY1795" s="76">
        <f>+CX1795*106250</f>
        <v>0</v>
      </c>
      <c r="CZ1795" s="76"/>
      <c r="DA1795" s="76">
        <f>+CZ1795*34500</f>
        <v>0</v>
      </c>
      <c r="DB1795" s="76"/>
      <c r="DC1795" s="76">
        <f>+DB1795*25000</f>
        <v>0</v>
      </c>
      <c r="DD1795" s="219"/>
      <c r="DE1795" s="219"/>
      <c r="DF1795" s="166"/>
      <c r="DG1795" s="116"/>
      <c r="DH1795" s="117"/>
      <c r="DI1795" s="24"/>
      <c r="DJ1795" s="24"/>
      <c r="DK1795" s="24"/>
      <c r="DL1795" s="24"/>
      <c r="DM1795" s="24"/>
      <c r="DN1795" s="24"/>
      <c r="DO1795" s="24"/>
      <c r="DP1795" s="24"/>
      <c r="DQ1795" s="24"/>
      <c r="DR1795" s="24"/>
      <c r="DS1795" s="24"/>
      <c r="DT1795" s="24"/>
      <c r="DU1795" s="24"/>
    </row>
    <row r="1796" spans="1:125" s="8" customFormat="1" ht="72" x14ac:dyDescent="0.2">
      <c r="A1796" s="226">
        <v>41407</v>
      </c>
      <c r="B1796" s="225" t="s">
        <v>2860</v>
      </c>
      <c r="C1796" s="227" t="s">
        <v>2776</v>
      </c>
      <c r="D1796" s="227" t="s">
        <v>2882</v>
      </c>
      <c r="E1796" s="75" t="str">
        <f>VLOOKUP(B1796&amp;C1796,Divipola!$C$2:$F$1138,4,FALSE)</f>
        <v>63001</v>
      </c>
      <c r="F1796" s="100"/>
      <c r="G1796" s="100"/>
      <c r="H1796" s="100"/>
      <c r="I1796" s="100">
        <v>320</v>
      </c>
      <c r="J1796" s="100">
        <v>64</v>
      </c>
      <c r="K1796" s="100"/>
      <c r="L1796" s="100">
        <v>64</v>
      </c>
      <c r="M1796" s="100"/>
      <c r="N1796" s="100"/>
      <c r="O1796" s="100"/>
      <c r="P1796" s="100"/>
      <c r="Q1796" s="100"/>
      <c r="R1796" s="100"/>
      <c r="S1796" s="100"/>
      <c r="T1796" s="100"/>
      <c r="U1796" s="136"/>
      <c r="V1796" s="89"/>
      <c r="W1796" s="96">
        <v>0</v>
      </c>
      <c r="X1796" s="71">
        <f>CU1796</f>
        <v>0</v>
      </c>
      <c r="Y1796" s="71">
        <f>CY1796</f>
        <v>0</v>
      </c>
      <c r="Z1796" s="71">
        <f>DA1796+DC1796+DE1796</f>
        <v>0</v>
      </c>
      <c r="AA1796" s="71">
        <f>CW1796</f>
        <v>0</v>
      </c>
      <c r="AB1796" s="71"/>
      <c r="AC1796" s="71">
        <v>0</v>
      </c>
      <c r="AD1796" s="71">
        <f>W1796+X1796+Y1796+Z1796+AA1796+AB1796+AC1796</f>
        <v>0</v>
      </c>
      <c r="AE1796" s="72">
        <v>0</v>
      </c>
      <c r="AF1796" s="5"/>
      <c r="AG1796" s="6"/>
      <c r="AH1796" s="27" t="s">
        <v>3392</v>
      </c>
      <c r="AI1796" s="44" t="s">
        <v>3393</v>
      </c>
      <c r="AJ1796" s="26"/>
      <c r="AK1796" s="5"/>
      <c r="AL1796" s="82" t="s">
        <v>4609</v>
      </c>
      <c r="AM1796" s="76"/>
      <c r="AN1796" s="76"/>
      <c r="AO1796" s="76"/>
      <c r="AP1796" s="76"/>
      <c r="AQ1796" s="76"/>
      <c r="AR1796" s="76"/>
      <c r="AS1796" s="76"/>
      <c r="AT1796" s="76"/>
      <c r="AU1796" s="76"/>
      <c r="AV1796" s="76"/>
      <c r="AW1796" s="76"/>
      <c r="AX1796" s="76">
        <f>+AW1796*600000</f>
        <v>0</v>
      </c>
      <c r="AY1796" s="76"/>
      <c r="AZ1796" s="76">
        <f>+AY1796*70000</f>
        <v>0</v>
      </c>
      <c r="BA1796" s="76"/>
      <c r="BB1796" s="76"/>
      <c r="BC1796" s="76"/>
      <c r="BD1796" s="76">
        <f>+BC1796*30000</f>
        <v>0</v>
      </c>
      <c r="BE1796" s="76"/>
      <c r="BF1796" s="76"/>
      <c r="BG1796" s="76"/>
      <c r="BH1796" s="76"/>
      <c r="BI1796" s="76"/>
      <c r="BJ1796" s="76"/>
      <c r="BK1796" s="76"/>
      <c r="BL1796" s="76">
        <f>+BK1796*31500</f>
        <v>0</v>
      </c>
      <c r="BM1796" s="76"/>
      <c r="BN1796" s="76"/>
      <c r="BO1796" s="76"/>
      <c r="BP1796" s="76"/>
      <c r="BQ1796" s="76"/>
      <c r="BR1796" s="76"/>
      <c r="BS1796" s="76"/>
      <c r="BT1796" s="76"/>
      <c r="BU1796" s="76"/>
      <c r="BV1796" s="76"/>
      <c r="BW1796" s="76"/>
      <c r="BX1796" s="76"/>
      <c r="BY1796" s="76"/>
      <c r="BZ1796" s="76"/>
      <c r="CA1796" s="76"/>
      <c r="CB1796" s="76"/>
      <c r="CC1796" s="76"/>
      <c r="CD1796" s="76"/>
      <c r="CE1796" s="76"/>
      <c r="CF1796" s="76">
        <f>+CE1796*28000</f>
        <v>0</v>
      </c>
      <c r="CG1796" s="76"/>
      <c r="CH1796" s="76">
        <f>+CG1796*22500</f>
        <v>0</v>
      </c>
      <c r="CI1796" s="76"/>
      <c r="CJ1796" s="76">
        <f>+CI1796*26000</f>
        <v>0</v>
      </c>
      <c r="CK1796" s="76"/>
      <c r="CL1796" s="76"/>
      <c r="CM1796" s="76"/>
      <c r="CN1796" s="76">
        <f>+CM1796*22000</f>
        <v>0</v>
      </c>
      <c r="CO1796" s="76"/>
      <c r="CP1796" s="76">
        <f>+CO1796*46000</f>
        <v>0</v>
      </c>
      <c r="CQ1796" s="76"/>
      <c r="CR1796" s="76">
        <f>+CQ1796*49000</f>
        <v>0</v>
      </c>
      <c r="CS1796" s="76"/>
      <c r="CT1796" s="76"/>
      <c r="CU1796" s="56">
        <f>AN1796+AP1796+AR1796+AT1796+AV1796+AX1796+AZ1796+BB1796+BD1796+BF1796+BH1796+BJ1796+BL1796+BN1796+BP1796+BR1796+BT1796+BV1796+BX1796+BZ1796+CB1796+CD1796+CF1796+CH1796+CJ1796+CL1796+CN1796+CP1796+CR1796+CT1796</f>
        <v>0</v>
      </c>
      <c r="CV1796" s="76"/>
      <c r="CW1796" s="76">
        <f>+CV1796*1100</f>
        <v>0</v>
      </c>
      <c r="CX1796" s="76"/>
      <c r="CY1796" s="76">
        <f>+CX1796*106250</f>
        <v>0</v>
      </c>
      <c r="CZ1796" s="76"/>
      <c r="DA1796" s="76">
        <f>+CZ1796*34500</f>
        <v>0</v>
      </c>
      <c r="DB1796" s="76"/>
      <c r="DC1796" s="76">
        <f>+DB1796*25000</f>
        <v>0</v>
      </c>
      <c r="DD1796" s="219"/>
      <c r="DE1796" s="219"/>
      <c r="DF1796" s="166"/>
      <c r="DG1796" s="116"/>
      <c r="DH1796" s="117"/>
      <c r="DI1796" s="24"/>
      <c r="DJ1796" s="24"/>
      <c r="DK1796" s="24"/>
      <c r="DL1796" s="24"/>
      <c r="DM1796" s="24"/>
      <c r="DN1796" s="24"/>
      <c r="DO1796" s="24"/>
      <c r="DP1796" s="24"/>
      <c r="DQ1796" s="24"/>
      <c r="DR1796" s="24"/>
      <c r="DS1796" s="24"/>
      <c r="DT1796" s="24"/>
      <c r="DU1796" s="24"/>
    </row>
    <row r="1797" spans="1:125" s="8" customFormat="1" ht="72" x14ac:dyDescent="0.2">
      <c r="A1797" s="353">
        <v>41407</v>
      </c>
      <c r="B1797" s="352" t="s">
        <v>2774</v>
      </c>
      <c r="C1797" s="354" t="s">
        <v>2216</v>
      </c>
      <c r="D1797" s="354" t="s">
        <v>2882</v>
      </c>
      <c r="E1797" s="75" t="str">
        <f>VLOOKUP(B1797&amp;C1797,Divipola!$C$2:$F$1138,4,FALSE)</f>
        <v>66075</v>
      </c>
      <c r="F1797" s="87"/>
      <c r="G1797" s="87"/>
      <c r="H1797" s="87"/>
      <c r="I1797" s="87">
        <v>15</v>
      </c>
      <c r="J1797" s="87">
        <v>3</v>
      </c>
      <c r="K1797" s="87"/>
      <c r="L1797" s="87">
        <v>3</v>
      </c>
      <c r="M1797" s="87"/>
      <c r="N1797" s="87"/>
      <c r="O1797" s="87"/>
      <c r="P1797" s="87"/>
      <c r="Q1797" s="87"/>
      <c r="R1797" s="87"/>
      <c r="S1797" s="87"/>
      <c r="T1797" s="87"/>
      <c r="U1797" s="88"/>
      <c r="V1797" s="89"/>
      <c r="W1797" s="96">
        <v>0</v>
      </c>
      <c r="X1797" s="71">
        <f>CU1797</f>
        <v>0</v>
      </c>
      <c r="Y1797" s="71">
        <f>CY1797</f>
        <v>0</v>
      </c>
      <c r="Z1797" s="71">
        <f>DA1797+DC1797+DE1797</f>
        <v>0</v>
      </c>
      <c r="AA1797" s="71">
        <f>CW1797</f>
        <v>0</v>
      </c>
      <c r="AB1797" s="71"/>
      <c r="AC1797" s="71">
        <v>0</v>
      </c>
      <c r="AD1797" s="71">
        <f>W1797+X1797+Y1797+Z1797+AA1797+AB1797+AC1797</f>
        <v>0</v>
      </c>
      <c r="AE1797" s="72">
        <v>0</v>
      </c>
      <c r="AF1797" s="5"/>
      <c r="AG1797" s="6"/>
      <c r="AH1797" s="27" t="s">
        <v>3392</v>
      </c>
      <c r="AI1797" s="44" t="s">
        <v>3393</v>
      </c>
      <c r="AJ1797" s="26"/>
      <c r="AK1797" s="5"/>
      <c r="AL1797" s="82" t="s">
        <v>4613</v>
      </c>
      <c r="AM1797" s="76"/>
      <c r="AN1797" s="76"/>
      <c r="AO1797" s="76"/>
      <c r="AP1797" s="76"/>
      <c r="AQ1797" s="76"/>
      <c r="AR1797" s="76"/>
      <c r="AS1797" s="76"/>
      <c r="AT1797" s="76"/>
      <c r="AU1797" s="76"/>
      <c r="AV1797" s="76"/>
      <c r="AW1797" s="76"/>
      <c r="AX1797" s="76">
        <f>+AW1797*600000</f>
        <v>0</v>
      </c>
      <c r="AY1797" s="76"/>
      <c r="AZ1797" s="76">
        <f>+AY1797*70000</f>
        <v>0</v>
      </c>
      <c r="BA1797" s="76"/>
      <c r="BB1797" s="76"/>
      <c r="BC1797" s="76"/>
      <c r="BD1797" s="76">
        <f>+BC1797*30000</f>
        <v>0</v>
      </c>
      <c r="BE1797" s="76"/>
      <c r="BF1797" s="76"/>
      <c r="BG1797" s="76"/>
      <c r="BH1797" s="76"/>
      <c r="BI1797" s="76"/>
      <c r="BJ1797" s="76"/>
      <c r="BK1797" s="76"/>
      <c r="BL1797" s="76">
        <f>+BK1797*31500</f>
        <v>0</v>
      </c>
      <c r="BM1797" s="76"/>
      <c r="BN1797" s="76"/>
      <c r="BO1797" s="76"/>
      <c r="BP1797" s="76"/>
      <c r="BQ1797" s="76"/>
      <c r="BR1797" s="76"/>
      <c r="BS1797" s="76"/>
      <c r="BT1797" s="76"/>
      <c r="BU1797" s="76"/>
      <c r="BV1797" s="76"/>
      <c r="BW1797" s="76"/>
      <c r="BX1797" s="76"/>
      <c r="BY1797" s="76"/>
      <c r="BZ1797" s="76"/>
      <c r="CA1797" s="76"/>
      <c r="CB1797" s="76"/>
      <c r="CC1797" s="76"/>
      <c r="CD1797" s="76"/>
      <c r="CE1797" s="76"/>
      <c r="CF1797" s="76">
        <f>+CE1797*28000</f>
        <v>0</v>
      </c>
      <c r="CG1797" s="76"/>
      <c r="CH1797" s="76">
        <f>+CG1797*22500</f>
        <v>0</v>
      </c>
      <c r="CI1797" s="76"/>
      <c r="CJ1797" s="76">
        <f>+CI1797*26000</f>
        <v>0</v>
      </c>
      <c r="CK1797" s="76"/>
      <c r="CL1797" s="76"/>
      <c r="CM1797" s="76"/>
      <c r="CN1797" s="76">
        <f>+CM1797*22000</f>
        <v>0</v>
      </c>
      <c r="CO1797" s="76"/>
      <c r="CP1797" s="76">
        <f>+CO1797*46000</f>
        <v>0</v>
      </c>
      <c r="CQ1797" s="76"/>
      <c r="CR1797" s="76">
        <f>+CQ1797*49000</f>
        <v>0</v>
      </c>
      <c r="CS1797" s="76"/>
      <c r="CT1797" s="76"/>
      <c r="CU1797" s="56">
        <f>AN1797+AP1797+AR1797+AT1797+AV1797+AX1797+AZ1797+BB1797+BD1797+BF1797+BH1797+BJ1797+BL1797+BN1797+BP1797+BR1797+BT1797+BV1797+BX1797+BZ1797+CB1797+CD1797+CF1797+CH1797+CJ1797+CL1797+CN1797+CP1797+CR1797+CT1797</f>
        <v>0</v>
      </c>
      <c r="CV1797" s="76"/>
      <c r="CW1797" s="76">
        <f>+CV1797*1100</f>
        <v>0</v>
      </c>
      <c r="CX1797" s="76"/>
      <c r="CY1797" s="76">
        <f>+CX1797*106250</f>
        <v>0</v>
      </c>
      <c r="CZ1797" s="76"/>
      <c r="DA1797" s="76">
        <f>+CZ1797*34500</f>
        <v>0</v>
      </c>
      <c r="DB1797" s="76"/>
      <c r="DC1797" s="76">
        <f>+DB1797*25000</f>
        <v>0</v>
      </c>
      <c r="DD1797" s="219"/>
      <c r="DE1797" s="219"/>
      <c r="DF1797" s="166"/>
      <c r="DG1797" s="116"/>
      <c r="DH1797" s="117"/>
      <c r="DI1797" s="24"/>
      <c r="DJ1797" s="24"/>
      <c r="DK1797" s="24"/>
      <c r="DL1797" s="24"/>
      <c r="DM1797" s="24"/>
      <c r="DN1797" s="24"/>
      <c r="DO1797" s="24"/>
      <c r="DP1797" s="24"/>
      <c r="DQ1797" s="24"/>
      <c r="DR1797" s="24"/>
      <c r="DS1797" s="24"/>
      <c r="DT1797" s="24"/>
      <c r="DU1797" s="24"/>
    </row>
    <row r="1798" spans="1:125" s="8" customFormat="1" ht="84" x14ac:dyDescent="0.2">
      <c r="A1798" s="77">
        <v>41407</v>
      </c>
      <c r="B1798" s="78" t="s">
        <v>2851</v>
      </c>
      <c r="C1798" s="75" t="s">
        <v>2712</v>
      </c>
      <c r="D1798" s="75" t="s">
        <v>3051</v>
      </c>
      <c r="E1798" s="75" t="str">
        <f>VLOOKUP(B1798&amp;C1798,Divipola!$C$2:$F$1138,4,FALSE)</f>
        <v>76113</v>
      </c>
      <c r="F1798" s="87"/>
      <c r="G1798" s="87"/>
      <c r="H1798" s="87"/>
      <c r="I1798" s="87">
        <v>12</v>
      </c>
      <c r="J1798" s="87">
        <v>2</v>
      </c>
      <c r="K1798" s="87"/>
      <c r="L1798" s="87">
        <v>2</v>
      </c>
      <c r="M1798" s="87"/>
      <c r="N1798" s="87"/>
      <c r="O1798" s="87"/>
      <c r="P1798" s="87"/>
      <c r="Q1798" s="87"/>
      <c r="R1798" s="87"/>
      <c r="S1798" s="87"/>
      <c r="T1798" s="87"/>
      <c r="U1798" s="88"/>
      <c r="V1798" s="89"/>
      <c r="W1798" s="96">
        <v>0</v>
      </c>
      <c r="X1798" s="71">
        <f>CU1798</f>
        <v>0</v>
      </c>
      <c r="Y1798" s="71">
        <f>CY1798</f>
        <v>0</v>
      </c>
      <c r="Z1798" s="71">
        <f>DA1798+DC1798+DE1798</f>
        <v>0</v>
      </c>
      <c r="AA1798" s="71">
        <f>CW1798</f>
        <v>0</v>
      </c>
      <c r="AB1798" s="71"/>
      <c r="AC1798" s="71">
        <v>0</v>
      </c>
      <c r="AD1798" s="71">
        <f>W1798+X1798+Y1798+Z1798+AA1798+AB1798+AC1798</f>
        <v>0</v>
      </c>
      <c r="AE1798" s="72">
        <v>0</v>
      </c>
      <c r="AF1798" s="5"/>
      <c r="AG1798" s="6"/>
      <c r="AH1798" s="27" t="s">
        <v>3392</v>
      </c>
      <c r="AI1798" s="44" t="s">
        <v>3393</v>
      </c>
      <c r="AJ1798" s="26"/>
      <c r="AK1798" s="5"/>
      <c r="AL1798" s="82" t="s">
        <v>4607</v>
      </c>
      <c r="AM1798" s="76"/>
      <c r="AN1798" s="76"/>
      <c r="AO1798" s="76"/>
      <c r="AP1798" s="76"/>
      <c r="AQ1798" s="76"/>
      <c r="AR1798" s="76"/>
      <c r="AS1798" s="76"/>
      <c r="AT1798" s="76"/>
      <c r="AU1798" s="76"/>
      <c r="AV1798" s="76"/>
      <c r="AW1798" s="76"/>
      <c r="AX1798" s="76">
        <f>+AW1798*600000</f>
        <v>0</v>
      </c>
      <c r="AY1798" s="76"/>
      <c r="AZ1798" s="76">
        <f>+AY1798*70000</f>
        <v>0</v>
      </c>
      <c r="BA1798" s="76"/>
      <c r="BB1798" s="76"/>
      <c r="BC1798" s="76"/>
      <c r="BD1798" s="76">
        <f>+BC1798*30000</f>
        <v>0</v>
      </c>
      <c r="BE1798" s="76"/>
      <c r="BF1798" s="76"/>
      <c r="BG1798" s="76"/>
      <c r="BH1798" s="76"/>
      <c r="BI1798" s="76"/>
      <c r="BJ1798" s="76"/>
      <c r="BK1798" s="76"/>
      <c r="BL1798" s="76">
        <f>+BK1798*31500</f>
        <v>0</v>
      </c>
      <c r="BM1798" s="76"/>
      <c r="BN1798" s="76"/>
      <c r="BO1798" s="76"/>
      <c r="BP1798" s="76"/>
      <c r="BQ1798" s="76"/>
      <c r="BR1798" s="76"/>
      <c r="BS1798" s="76"/>
      <c r="BT1798" s="76"/>
      <c r="BU1798" s="76"/>
      <c r="BV1798" s="76"/>
      <c r="BW1798" s="76"/>
      <c r="BX1798" s="76"/>
      <c r="BY1798" s="76"/>
      <c r="BZ1798" s="76"/>
      <c r="CA1798" s="76"/>
      <c r="CB1798" s="76"/>
      <c r="CC1798" s="76"/>
      <c r="CD1798" s="76"/>
      <c r="CE1798" s="76"/>
      <c r="CF1798" s="76">
        <f>+CE1798*28000</f>
        <v>0</v>
      </c>
      <c r="CG1798" s="76"/>
      <c r="CH1798" s="76">
        <f>+CG1798*22500</f>
        <v>0</v>
      </c>
      <c r="CI1798" s="76"/>
      <c r="CJ1798" s="76">
        <f>+CI1798*26000</f>
        <v>0</v>
      </c>
      <c r="CK1798" s="76"/>
      <c r="CL1798" s="76"/>
      <c r="CM1798" s="76"/>
      <c r="CN1798" s="76">
        <f>+CM1798*22000</f>
        <v>0</v>
      </c>
      <c r="CO1798" s="76"/>
      <c r="CP1798" s="76">
        <f>+CO1798*46000</f>
        <v>0</v>
      </c>
      <c r="CQ1798" s="76"/>
      <c r="CR1798" s="76">
        <f>+CQ1798*49000</f>
        <v>0</v>
      </c>
      <c r="CS1798" s="76"/>
      <c r="CT1798" s="76"/>
      <c r="CU1798" s="56">
        <f>AN1798+AP1798+AR1798+AT1798+AV1798+AX1798+AZ1798+BB1798+BD1798+BF1798+BH1798+BJ1798+BL1798+BN1798+BP1798+BR1798+BT1798+BV1798+BX1798+BZ1798+CB1798+CD1798+CF1798+CH1798+CJ1798+CL1798+CN1798+CP1798+CR1798+CT1798</f>
        <v>0</v>
      </c>
      <c r="CV1798" s="76"/>
      <c r="CW1798" s="76">
        <f>+CV1798*1100</f>
        <v>0</v>
      </c>
      <c r="CX1798" s="76"/>
      <c r="CY1798" s="76">
        <f>+CX1798*106250</f>
        <v>0</v>
      </c>
      <c r="CZ1798" s="76"/>
      <c r="DA1798" s="76">
        <f>+CZ1798*34500</f>
        <v>0</v>
      </c>
      <c r="DB1798" s="76"/>
      <c r="DC1798" s="76">
        <f>+DB1798*25000</f>
        <v>0</v>
      </c>
      <c r="DD1798" s="219"/>
      <c r="DE1798" s="219"/>
      <c r="DF1798" s="166"/>
      <c r="DG1798" s="116"/>
      <c r="DH1798" s="117"/>
      <c r="DI1798" s="24"/>
      <c r="DJ1798" s="24"/>
      <c r="DK1798" s="24"/>
      <c r="DL1798" s="24"/>
      <c r="DM1798" s="24"/>
      <c r="DN1798" s="24"/>
      <c r="DO1798" s="24"/>
      <c r="DP1798" s="24"/>
      <c r="DQ1798" s="24"/>
      <c r="DR1798" s="24"/>
      <c r="DS1798" s="24"/>
      <c r="DT1798" s="24"/>
      <c r="DU1798" s="24"/>
    </row>
    <row r="1799" spans="1:125" s="8" customFormat="1" ht="24" x14ac:dyDescent="0.2">
      <c r="A1799" s="353">
        <v>41408</v>
      </c>
      <c r="B1799" s="352" t="s">
        <v>2661</v>
      </c>
      <c r="C1799" s="354" t="s">
        <v>475</v>
      </c>
      <c r="D1799" s="354" t="s">
        <v>4391</v>
      </c>
      <c r="E1799" s="75" t="str">
        <f>VLOOKUP(B1799&amp;C1799,Divipola!$C$2:$F$1138,4,FALSE)</f>
        <v>41006</v>
      </c>
      <c r="F1799" s="87">
        <v>1</v>
      </c>
      <c r="G1799" s="87"/>
      <c r="H1799" s="87"/>
      <c r="I1799" s="87"/>
      <c r="J1799" s="87"/>
      <c r="K1799" s="87"/>
      <c r="L1799" s="87"/>
      <c r="M1799" s="87"/>
      <c r="N1799" s="87"/>
      <c r="O1799" s="87"/>
      <c r="P1799" s="87"/>
      <c r="Q1799" s="87"/>
      <c r="R1799" s="87"/>
      <c r="S1799" s="87"/>
      <c r="T1799" s="87"/>
      <c r="U1799" s="88"/>
      <c r="V1799" s="89"/>
      <c r="W1799" s="96">
        <v>0</v>
      </c>
      <c r="X1799" s="71">
        <f>CU1799</f>
        <v>0</v>
      </c>
      <c r="Y1799" s="71">
        <f>CY1799</f>
        <v>0</v>
      </c>
      <c r="Z1799" s="71">
        <f>DA1799+DC1799+DE1799</f>
        <v>0</v>
      </c>
      <c r="AA1799" s="71">
        <f>CW1799</f>
        <v>0</v>
      </c>
      <c r="AB1799" s="71"/>
      <c r="AC1799" s="71">
        <v>0</v>
      </c>
      <c r="AD1799" s="71">
        <f>W1799+X1799+Y1799+Z1799+AA1799+AB1799+AC1799</f>
        <v>0</v>
      </c>
      <c r="AE1799" s="72">
        <v>0</v>
      </c>
      <c r="AF1799" s="5"/>
      <c r="AG1799" s="6"/>
      <c r="AH1799" s="27" t="s">
        <v>3392</v>
      </c>
      <c r="AI1799" s="44" t="s">
        <v>3393</v>
      </c>
      <c r="AJ1799" s="26"/>
      <c r="AK1799" s="5"/>
      <c r="AL1799" s="82" t="s">
        <v>4616</v>
      </c>
      <c r="AM1799" s="76"/>
      <c r="AN1799" s="76"/>
      <c r="AO1799" s="76"/>
      <c r="AP1799" s="76"/>
      <c r="AQ1799" s="76"/>
      <c r="AR1799" s="76"/>
      <c r="AS1799" s="76"/>
      <c r="AT1799" s="76"/>
      <c r="AU1799" s="76"/>
      <c r="AV1799" s="76"/>
      <c r="AW1799" s="76"/>
      <c r="AX1799" s="76">
        <f>+AW1799*600000</f>
        <v>0</v>
      </c>
      <c r="AY1799" s="76"/>
      <c r="AZ1799" s="76">
        <f>+AY1799*70000</f>
        <v>0</v>
      </c>
      <c r="BA1799" s="76"/>
      <c r="BB1799" s="76"/>
      <c r="BC1799" s="76"/>
      <c r="BD1799" s="76">
        <f>+BC1799*30000</f>
        <v>0</v>
      </c>
      <c r="BE1799" s="76"/>
      <c r="BF1799" s="76"/>
      <c r="BG1799" s="76"/>
      <c r="BH1799" s="76"/>
      <c r="BI1799" s="76"/>
      <c r="BJ1799" s="76"/>
      <c r="BK1799" s="76"/>
      <c r="BL1799" s="76">
        <f>+BK1799*31500</f>
        <v>0</v>
      </c>
      <c r="BM1799" s="76"/>
      <c r="BN1799" s="76"/>
      <c r="BO1799" s="76"/>
      <c r="BP1799" s="76"/>
      <c r="BQ1799" s="76"/>
      <c r="BR1799" s="76"/>
      <c r="BS1799" s="76"/>
      <c r="BT1799" s="76"/>
      <c r="BU1799" s="76"/>
      <c r="BV1799" s="76"/>
      <c r="BW1799" s="76"/>
      <c r="BX1799" s="76"/>
      <c r="BY1799" s="76"/>
      <c r="BZ1799" s="76"/>
      <c r="CA1799" s="76"/>
      <c r="CB1799" s="76"/>
      <c r="CC1799" s="76"/>
      <c r="CD1799" s="76"/>
      <c r="CE1799" s="76"/>
      <c r="CF1799" s="76">
        <f>+CE1799*28000</f>
        <v>0</v>
      </c>
      <c r="CG1799" s="76"/>
      <c r="CH1799" s="76">
        <f>+CG1799*22500</f>
        <v>0</v>
      </c>
      <c r="CI1799" s="76"/>
      <c r="CJ1799" s="76">
        <f>+CI1799*26000</f>
        <v>0</v>
      </c>
      <c r="CK1799" s="76"/>
      <c r="CL1799" s="76"/>
      <c r="CM1799" s="76"/>
      <c r="CN1799" s="76">
        <f>+CM1799*22000</f>
        <v>0</v>
      </c>
      <c r="CO1799" s="76"/>
      <c r="CP1799" s="76">
        <f>+CO1799*46000</f>
        <v>0</v>
      </c>
      <c r="CQ1799" s="76"/>
      <c r="CR1799" s="76">
        <f>+CQ1799*49000</f>
        <v>0</v>
      </c>
      <c r="CS1799" s="76"/>
      <c r="CT1799" s="76"/>
      <c r="CU1799" s="56">
        <f>AN1799+AP1799+AR1799+AT1799+AV1799+AX1799+AZ1799+BB1799+BD1799+BF1799+BH1799+BJ1799+BL1799+BN1799+BP1799+BR1799+BT1799+BV1799+BX1799+BZ1799+CB1799+CD1799+CF1799+CH1799+CJ1799+CL1799+CN1799+CP1799+CR1799+CT1799</f>
        <v>0</v>
      </c>
      <c r="CV1799" s="76"/>
      <c r="CW1799" s="76">
        <f>+CV1799*1100</f>
        <v>0</v>
      </c>
      <c r="CX1799" s="76"/>
      <c r="CY1799" s="76">
        <f>+CX1799*106250</f>
        <v>0</v>
      </c>
      <c r="CZ1799" s="76"/>
      <c r="DA1799" s="76">
        <f>+CZ1799*34500</f>
        <v>0</v>
      </c>
      <c r="DB1799" s="76"/>
      <c r="DC1799" s="76">
        <f>+DB1799*25000</f>
        <v>0</v>
      </c>
      <c r="DD1799" s="219"/>
      <c r="DE1799" s="219"/>
      <c r="DF1799" s="166"/>
      <c r="DG1799" s="116"/>
      <c r="DH1799" s="117"/>
      <c r="DI1799" s="24"/>
      <c r="DJ1799" s="24"/>
      <c r="DK1799" s="24"/>
      <c r="DL1799" s="24"/>
      <c r="DM1799" s="24"/>
      <c r="DN1799" s="24"/>
      <c r="DO1799" s="24"/>
      <c r="DP1799" s="24"/>
      <c r="DQ1799" s="24"/>
      <c r="DR1799" s="24"/>
      <c r="DS1799" s="24"/>
      <c r="DT1799" s="24"/>
      <c r="DU1799" s="24"/>
    </row>
    <row r="1800" spans="1:125" s="8" customFormat="1" ht="120" x14ac:dyDescent="0.2">
      <c r="A1800" s="226">
        <v>41408</v>
      </c>
      <c r="B1800" s="225" t="s">
        <v>2847</v>
      </c>
      <c r="C1800" s="227" t="s">
        <v>1711</v>
      </c>
      <c r="D1800" s="227" t="s">
        <v>3088</v>
      </c>
      <c r="E1800" s="75" t="str">
        <f>VLOOKUP(B1800&amp;C1800,Divipola!$C$2:$F$1138,4,FALSE)</f>
        <v>68324</v>
      </c>
      <c r="F1800" s="87"/>
      <c r="G1800" s="87">
        <v>1</v>
      </c>
      <c r="H1800" s="87"/>
      <c r="I1800" s="87"/>
      <c r="J1800" s="87"/>
      <c r="K1800" s="87"/>
      <c r="L1800" s="87"/>
      <c r="M1800" s="87">
        <v>1</v>
      </c>
      <c r="N1800" s="87"/>
      <c r="O1800" s="87"/>
      <c r="P1800" s="87"/>
      <c r="Q1800" s="87"/>
      <c r="R1800" s="87"/>
      <c r="S1800" s="87"/>
      <c r="T1800" s="87"/>
      <c r="U1800" s="88"/>
      <c r="V1800" s="89"/>
      <c r="W1800" s="96">
        <v>0</v>
      </c>
      <c r="X1800" s="71">
        <f>CU1800</f>
        <v>0</v>
      </c>
      <c r="Y1800" s="71">
        <f>CY1800</f>
        <v>0</v>
      </c>
      <c r="Z1800" s="71">
        <f>DA1800+DC1800+DE1800</f>
        <v>0</v>
      </c>
      <c r="AA1800" s="71">
        <f>CW1800</f>
        <v>0</v>
      </c>
      <c r="AB1800" s="71"/>
      <c r="AC1800" s="71">
        <v>0</v>
      </c>
      <c r="AD1800" s="71">
        <f>W1800+X1800+Y1800+Z1800+AA1800+AB1800+AC1800</f>
        <v>0</v>
      </c>
      <c r="AE1800" s="72">
        <v>0</v>
      </c>
      <c r="AF1800" s="5"/>
      <c r="AG1800" s="6"/>
      <c r="AH1800" s="27" t="s">
        <v>3392</v>
      </c>
      <c r="AI1800" s="44" t="s">
        <v>3393</v>
      </c>
      <c r="AJ1800" s="26"/>
      <c r="AK1800" s="5"/>
      <c r="AL1800" s="82" t="s">
        <v>4619</v>
      </c>
      <c r="AM1800" s="76"/>
      <c r="AN1800" s="76"/>
      <c r="AO1800" s="76"/>
      <c r="AP1800" s="76"/>
      <c r="AQ1800" s="76"/>
      <c r="AR1800" s="76"/>
      <c r="AS1800" s="76"/>
      <c r="AT1800" s="76"/>
      <c r="AU1800" s="76"/>
      <c r="AV1800" s="76"/>
      <c r="AW1800" s="76"/>
      <c r="AX1800" s="76">
        <f>+AW1800*600000</f>
        <v>0</v>
      </c>
      <c r="AY1800" s="76"/>
      <c r="AZ1800" s="76">
        <f>+AY1800*70000</f>
        <v>0</v>
      </c>
      <c r="BA1800" s="76"/>
      <c r="BB1800" s="76"/>
      <c r="BC1800" s="76"/>
      <c r="BD1800" s="76">
        <f>+BC1800*30000</f>
        <v>0</v>
      </c>
      <c r="BE1800" s="76"/>
      <c r="BF1800" s="76"/>
      <c r="BG1800" s="76"/>
      <c r="BH1800" s="76"/>
      <c r="BI1800" s="76"/>
      <c r="BJ1800" s="76"/>
      <c r="BK1800" s="76"/>
      <c r="BL1800" s="76">
        <f>+BK1800*31500</f>
        <v>0</v>
      </c>
      <c r="BM1800" s="76"/>
      <c r="BN1800" s="76"/>
      <c r="BO1800" s="76"/>
      <c r="BP1800" s="76"/>
      <c r="BQ1800" s="76"/>
      <c r="BR1800" s="76"/>
      <c r="BS1800" s="76"/>
      <c r="BT1800" s="76"/>
      <c r="BU1800" s="76"/>
      <c r="BV1800" s="76"/>
      <c r="BW1800" s="76"/>
      <c r="BX1800" s="76"/>
      <c r="BY1800" s="76"/>
      <c r="BZ1800" s="76"/>
      <c r="CA1800" s="76"/>
      <c r="CB1800" s="76"/>
      <c r="CC1800" s="76"/>
      <c r="CD1800" s="76"/>
      <c r="CE1800" s="76"/>
      <c r="CF1800" s="76">
        <f>+CE1800*28000</f>
        <v>0</v>
      </c>
      <c r="CG1800" s="76"/>
      <c r="CH1800" s="76">
        <f>+CG1800*22500</f>
        <v>0</v>
      </c>
      <c r="CI1800" s="76"/>
      <c r="CJ1800" s="76">
        <f>+CI1800*26000</f>
        <v>0</v>
      </c>
      <c r="CK1800" s="76"/>
      <c r="CL1800" s="76"/>
      <c r="CM1800" s="76"/>
      <c r="CN1800" s="76">
        <f>+CM1800*22000</f>
        <v>0</v>
      </c>
      <c r="CO1800" s="76"/>
      <c r="CP1800" s="76">
        <f>+CO1800*46000</f>
        <v>0</v>
      </c>
      <c r="CQ1800" s="76"/>
      <c r="CR1800" s="76">
        <f>+CQ1800*49000</f>
        <v>0</v>
      </c>
      <c r="CS1800" s="76"/>
      <c r="CT1800" s="76"/>
      <c r="CU1800" s="56">
        <f>AN1800+AP1800+AR1800+AT1800+AV1800+AX1800+AZ1800+BB1800+BD1800+BF1800+BH1800+BJ1800+BL1800+BN1800+BP1800+BR1800+BT1800+BV1800+BX1800+BZ1800+CB1800+CD1800+CF1800+CH1800+CJ1800+CL1800+CN1800+CP1800+CR1800+CT1800</f>
        <v>0</v>
      </c>
      <c r="CV1800" s="76"/>
      <c r="CW1800" s="76">
        <f>+CV1800*1100</f>
        <v>0</v>
      </c>
      <c r="CX1800" s="76"/>
      <c r="CY1800" s="76">
        <f>+CX1800*106250</f>
        <v>0</v>
      </c>
      <c r="CZ1800" s="76"/>
      <c r="DA1800" s="76">
        <f>+CZ1800*34500</f>
        <v>0</v>
      </c>
      <c r="DB1800" s="76"/>
      <c r="DC1800" s="76">
        <f>+DB1800*25000</f>
        <v>0</v>
      </c>
      <c r="DD1800" s="219"/>
      <c r="DE1800" s="219"/>
      <c r="DF1800" s="166"/>
      <c r="DG1800" s="116"/>
      <c r="DH1800" s="117"/>
      <c r="DI1800" s="24"/>
      <c r="DJ1800" s="24"/>
      <c r="DK1800" s="24"/>
      <c r="DL1800" s="24"/>
      <c r="DM1800" s="24"/>
      <c r="DN1800" s="24"/>
      <c r="DO1800" s="24"/>
      <c r="DP1800" s="24"/>
      <c r="DQ1800" s="24"/>
      <c r="DR1800" s="24"/>
      <c r="DS1800" s="24"/>
      <c r="DT1800" s="24"/>
      <c r="DU1800" s="24"/>
    </row>
    <row r="1801" spans="1:125" s="8" customFormat="1" ht="36" x14ac:dyDescent="0.2">
      <c r="A1801" s="353">
        <v>41408</v>
      </c>
      <c r="B1801" s="352" t="s">
        <v>2848</v>
      </c>
      <c r="C1801" s="354" t="s">
        <v>2755</v>
      </c>
      <c r="D1801" s="354" t="s">
        <v>2859</v>
      </c>
      <c r="E1801" s="75" t="str">
        <f>VLOOKUP(B1801&amp;C1801,Divipola!$C$2:$F$1138,4,FALSE)</f>
        <v>73001</v>
      </c>
      <c r="F1801" s="87"/>
      <c r="G1801" s="87"/>
      <c r="H1801" s="87"/>
      <c r="I1801" s="87"/>
      <c r="J1801" s="87"/>
      <c r="K1801" s="87"/>
      <c r="L1801" s="87"/>
      <c r="M1801" s="87"/>
      <c r="N1801" s="87"/>
      <c r="O1801" s="87"/>
      <c r="P1801" s="87"/>
      <c r="Q1801" s="87"/>
      <c r="R1801" s="87"/>
      <c r="S1801" s="87"/>
      <c r="T1801" s="87"/>
      <c r="U1801" s="88"/>
      <c r="V1801" s="89">
        <v>1</v>
      </c>
      <c r="W1801" s="96">
        <v>0</v>
      </c>
      <c r="X1801" s="71">
        <f>CU1801</f>
        <v>0</v>
      </c>
      <c r="Y1801" s="71">
        <f>CY1801</f>
        <v>0</v>
      </c>
      <c r="Z1801" s="71">
        <f>DA1801+DC1801+DE1801</f>
        <v>0</v>
      </c>
      <c r="AA1801" s="71">
        <f>CW1801</f>
        <v>0</v>
      </c>
      <c r="AB1801" s="71"/>
      <c r="AC1801" s="71">
        <v>0</v>
      </c>
      <c r="AD1801" s="71">
        <f>W1801+X1801+Y1801+Z1801+AA1801+AB1801+AC1801</f>
        <v>0</v>
      </c>
      <c r="AE1801" s="72">
        <v>0</v>
      </c>
      <c r="AF1801" s="5"/>
      <c r="AG1801" s="6"/>
      <c r="AH1801" s="27" t="s">
        <v>3392</v>
      </c>
      <c r="AI1801" s="44" t="s">
        <v>3393</v>
      </c>
      <c r="AJ1801" s="26"/>
      <c r="AK1801" s="5"/>
      <c r="AL1801" s="82" t="s">
        <v>4618</v>
      </c>
      <c r="AM1801" s="76"/>
      <c r="AN1801" s="76"/>
      <c r="AO1801" s="76"/>
      <c r="AP1801" s="76"/>
      <c r="AQ1801" s="76"/>
      <c r="AR1801" s="76"/>
      <c r="AS1801" s="76"/>
      <c r="AT1801" s="76"/>
      <c r="AU1801" s="76"/>
      <c r="AV1801" s="76"/>
      <c r="AW1801" s="76"/>
      <c r="AX1801" s="76">
        <f>+AW1801*600000</f>
        <v>0</v>
      </c>
      <c r="AY1801" s="76"/>
      <c r="AZ1801" s="76">
        <f>+AY1801*70000</f>
        <v>0</v>
      </c>
      <c r="BA1801" s="76"/>
      <c r="BB1801" s="76"/>
      <c r="BC1801" s="76"/>
      <c r="BD1801" s="76">
        <f>+BC1801*30000</f>
        <v>0</v>
      </c>
      <c r="BE1801" s="76"/>
      <c r="BF1801" s="76"/>
      <c r="BG1801" s="76"/>
      <c r="BH1801" s="76"/>
      <c r="BI1801" s="76"/>
      <c r="BJ1801" s="76"/>
      <c r="BK1801" s="76"/>
      <c r="BL1801" s="76">
        <f>+BK1801*31500</f>
        <v>0</v>
      </c>
      <c r="BM1801" s="76"/>
      <c r="BN1801" s="76"/>
      <c r="BO1801" s="76"/>
      <c r="BP1801" s="76"/>
      <c r="BQ1801" s="76"/>
      <c r="BR1801" s="76"/>
      <c r="BS1801" s="76"/>
      <c r="BT1801" s="76"/>
      <c r="BU1801" s="76"/>
      <c r="BV1801" s="76"/>
      <c r="BW1801" s="76"/>
      <c r="BX1801" s="76"/>
      <c r="BY1801" s="76"/>
      <c r="BZ1801" s="76"/>
      <c r="CA1801" s="76"/>
      <c r="CB1801" s="76"/>
      <c r="CC1801" s="76"/>
      <c r="CD1801" s="76"/>
      <c r="CE1801" s="76"/>
      <c r="CF1801" s="76">
        <f>+CE1801*28000</f>
        <v>0</v>
      </c>
      <c r="CG1801" s="76"/>
      <c r="CH1801" s="76">
        <f>+CG1801*22500</f>
        <v>0</v>
      </c>
      <c r="CI1801" s="76"/>
      <c r="CJ1801" s="76">
        <f>+CI1801*26000</f>
        <v>0</v>
      </c>
      <c r="CK1801" s="76"/>
      <c r="CL1801" s="76"/>
      <c r="CM1801" s="76"/>
      <c r="CN1801" s="76">
        <f>+CM1801*22000</f>
        <v>0</v>
      </c>
      <c r="CO1801" s="76"/>
      <c r="CP1801" s="76">
        <f>+CO1801*46000</f>
        <v>0</v>
      </c>
      <c r="CQ1801" s="76"/>
      <c r="CR1801" s="76">
        <f>+CQ1801*49000</f>
        <v>0</v>
      </c>
      <c r="CS1801" s="76"/>
      <c r="CT1801" s="76"/>
      <c r="CU1801" s="56">
        <f>AN1801+AP1801+AR1801+AT1801+AV1801+AX1801+AZ1801+BB1801+BD1801+BF1801+BH1801+BJ1801+BL1801+BN1801+BP1801+BR1801+BT1801+BV1801+BX1801+BZ1801+CB1801+CD1801+CF1801+CH1801+CJ1801+CL1801+CN1801+CP1801+CR1801+CT1801</f>
        <v>0</v>
      </c>
      <c r="CV1801" s="76"/>
      <c r="CW1801" s="76">
        <f>+CV1801*1100</f>
        <v>0</v>
      </c>
      <c r="CX1801" s="76"/>
      <c r="CY1801" s="76">
        <f>+CX1801*106250</f>
        <v>0</v>
      </c>
      <c r="CZ1801" s="76"/>
      <c r="DA1801" s="76">
        <f>+CZ1801*34500</f>
        <v>0</v>
      </c>
      <c r="DB1801" s="76"/>
      <c r="DC1801" s="76">
        <f>+DB1801*25000</f>
        <v>0</v>
      </c>
      <c r="DD1801" s="219"/>
      <c r="DE1801" s="219"/>
      <c r="DF1801" s="166"/>
      <c r="DG1801" s="116"/>
      <c r="DH1801" s="117"/>
      <c r="DI1801" s="24"/>
      <c r="DJ1801" s="24"/>
      <c r="DK1801" s="24"/>
      <c r="DL1801" s="24"/>
      <c r="DM1801" s="24"/>
      <c r="DN1801" s="24"/>
      <c r="DO1801" s="24"/>
      <c r="DP1801" s="24"/>
      <c r="DQ1801" s="24"/>
      <c r="DR1801" s="24"/>
      <c r="DS1801" s="24"/>
      <c r="DT1801" s="24"/>
      <c r="DU1801" s="24"/>
    </row>
    <row r="1802" spans="1:125" s="8" customFormat="1" ht="72" x14ac:dyDescent="0.2">
      <c r="A1802" s="97">
        <v>41408</v>
      </c>
      <c r="B1802" s="60" t="s">
        <v>2851</v>
      </c>
      <c r="C1802" s="55" t="s">
        <v>1686</v>
      </c>
      <c r="D1802" s="55" t="s">
        <v>2859</v>
      </c>
      <c r="E1802" s="75" t="str">
        <f>VLOOKUP(B1802&amp;C1802,Divipola!$C$2:$F$1138,4,FALSE)</f>
        <v>76001</v>
      </c>
      <c r="F1802" s="87"/>
      <c r="G1802" s="87"/>
      <c r="H1802" s="87"/>
      <c r="I1802" s="87">
        <v>7</v>
      </c>
      <c r="J1802" s="87">
        <v>2</v>
      </c>
      <c r="K1802" s="87">
        <v>1</v>
      </c>
      <c r="L1802" s="87"/>
      <c r="M1802" s="87"/>
      <c r="N1802" s="87"/>
      <c r="O1802" s="87"/>
      <c r="P1802" s="87"/>
      <c r="Q1802" s="87"/>
      <c r="R1802" s="87"/>
      <c r="S1802" s="87"/>
      <c r="T1802" s="87"/>
      <c r="U1802" s="88"/>
      <c r="V1802" s="89"/>
      <c r="W1802" s="96">
        <v>0</v>
      </c>
      <c r="X1802" s="71">
        <f>CU1802</f>
        <v>0</v>
      </c>
      <c r="Y1802" s="71">
        <f>CY1802</f>
        <v>0</v>
      </c>
      <c r="Z1802" s="71">
        <f>DA1802+DC1802+DE1802</f>
        <v>0</v>
      </c>
      <c r="AA1802" s="71">
        <f>CW1802</f>
        <v>0</v>
      </c>
      <c r="AB1802" s="71"/>
      <c r="AC1802" s="71">
        <v>0</v>
      </c>
      <c r="AD1802" s="71">
        <f>W1802+X1802+Y1802+Z1802+AA1802+AB1802+AC1802</f>
        <v>0</v>
      </c>
      <c r="AE1802" s="72">
        <v>0</v>
      </c>
      <c r="AF1802" s="5"/>
      <c r="AG1802" s="6"/>
      <c r="AH1802" s="27" t="s">
        <v>3392</v>
      </c>
      <c r="AI1802" s="44" t="s">
        <v>3393</v>
      </c>
      <c r="AJ1802" s="26"/>
      <c r="AK1802" s="5"/>
      <c r="AL1802" s="82" t="s">
        <v>4617</v>
      </c>
      <c r="AM1802" s="76"/>
      <c r="AN1802" s="76"/>
      <c r="AO1802" s="76"/>
      <c r="AP1802" s="76"/>
      <c r="AQ1802" s="76"/>
      <c r="AR1802" s="76"/>
      <c r="AS1802" s="76"/>
      <c r="AT1802" s="76"/>
      <c r="AU1802" s="76"/>
      <c r="AV1802" s="76"/>
      <c r="AW1802" s="76"/>
      <c r="AX1802" s="76">
        <f>+AW1802*600000</f>
        <v>0</v>
      </c>
      <c r="AY1802" s="76"/>
      <c r="AZ1802" s="76">
        <f>+AY1802*70000</f>
        <v>0</v>
      </c>
      <c r="BA1802" s="76"/>
      <c r="BB1802" s="76"/>
      <c r="BC1802" s="76"/>
      <c r="BD1802" s="76">
        <f>+BC1802*30000</f>
        <v>0</v>
      </c>
      <c r="BE1802" s="76"/>
      <c r="BF1802" s="76"/>
      <c r="BG1802" s="76"/>
      <c r="BH1802" s="76"/>
      <c r="BI1802" s="76"/>
      <c r="BJ1802" s="76"/>
      <c r="BK1802" s="76"/>
      <c r="BL1802" s="76">
        <f>+BK1802*31500</f>
        <v>0</v>
      </c>
      <c r="BM1802" s="76"/>
      <c r="BN1802" s="76"/>
      <c r="BO1802" s="76"/>
      <c r="BP1802" s="76"/>
      <c r="BQ1802" s="76"/>
      <c r="BR1802" s="76"/>
      <c r="BS1802" s="76"/>
      <c r="BT1802" s="76"/>
      <c r="BU1802" s="76"/>
      <c r="BV1802" s="76"/>
      <c r="BW1802" s="76"/>
      <c r="BX1802" s="76"/>
      <c r="BY1802" s="76"/>
      <c r="BZ1802" s="76"/>
      <c r="CA1802" s="76"/>
      <c r="CB1802" s="76"/>
      <c r="CC1802" s="76"/>
      <c r="CD1802" s="76"/>
      <c r="CE1802" s="76"/>
      <c r="CF1802" s="76">
        <f>+CE1802*28000</f>
        <v>0</v>
      </c>
      <c r="CG1802" s="76"/>
      <c r="CH1802" s="76">
        <f>+CG1802*22500</f>
        <v>0</v>
      </c>
      <c r="CI1802" s="76"/>
      <c r="CJ1802" s="76">
        <f>+CI1802*26000</f>
        <v>0</v>
      </c>
      <c r="CK1802" s="76"/>
      <c r="CL1802" s="76"/>
      <c r="CM1802" s="76"/>
      <c r="CN1802" s="76">
        <f>+CM1802*22000</f>
        <v>0</v>
      </c>
      <c r="CO1802" s="76"/>
      <c r="CP1802" s="76">
        <f>+CO1802*46000</f>
        <v>0</v>
      </c>
      <c r="CQ1802" s="76"/>
      <c r="CR1802" s="76">
        <f>+CQ1802*49000</f>
        <v>0</v>
      </c>
      <c r="CS1802" s="76"/>
      <c r="CT1802" s="76"/>
      <c r="CU1802" s="56">
        <f>AN1802+AP1802+AR1802+AT1802+AV1802+AX1802+AZ1802+BB1802+BD1802+BF1802+BH1802+BJ1802+BL1802+BN1802+BP1802+BR1802+BT1802+BV1802+BX1802+BZ1802+CB1802+CD1802+CF1802+CH1802+CJ1802+CL1802+CN1802+CP1802+CR1802+CT1802</f>
        <v>0</v>
      </c>
      <c r="CV1802" s="76"/>
      <c r="CW1802" s="76">
        <f>+CV1802*1100</f>
        <v>0</v>
      </c>
      <c r="CX1802" s="76"/>
      <c r="CY1802" s="76">
        <f>+CX1802*106250</f>
        <v>0</v>
      </c>
      <c r="CZ1802" s="76"/>
      <c r="DA1802" s="76">
        <f>+CZ1802*34500</f>
        <v>0</v>
      </c>
      <c r="DB1802" s="76"/>
      <c r="DC1802" s="76">
        <f>+DB1802*25000</f>
        <v>0</v>
      </c>
      <c r="DD1802" s="219"/>
      <c r="DE1802" s="219"/>
      <c r="DF1802" s="166"/>
      <c r="DG1802" s="116"/>
      <c r="DH1802" s="117"/>
      <c r="DI1802" s="24"/>
      <c r="DJ1802" s="24"/>
      <c r="DK1802" s="24"/>
      <c r="DL1802" s="24"/>
      <c r="DM1802" s="24"/>
      <c r="DN1802" s="24"/>
      <c r="DO1802" s="24"/>
      <c r="DP1802" s="24"/>
      <c r="DQ1802" s="24"/>
      <c r="DR1802" s="24"/>
      <c r="DS1802" s="24"/>
      <c r="DT1802" s="24"/>
      <c r="DU1802" s="24"/>
    </row>
    <row r="1803" spans="1:125" s="8" customFormat="1" ht="36" x14ac:dyDescent="0.2">
      <c r="A1803" s="77">
        <v>41409</v>
      </c>
      <c r="B1803" s="208" t="s">
        <v>2894</v>
      </c>
      <c r="C1803" s="227" t="s">
        <v>2355</v>
      </c>
      <c r="D1803" s="227" t="s">
        <v>3051</v>
      </c>
      <c r="E1803" s="75" t="str">
        <f>VLOOKUP(B1803&amp;C1803,Divipola!$C$2:$F$1138,4,FALSE)</f>
        <v>05045</v>
      </c>
      <c r="F1803" s="87"/>
      <c r="G1803" s="87"/>
      <c r="H1803" s="87"/>
      <c r="I1803" s="87">
        <v>195</v>
      </c>
      <c r="J1803" s="87">
        <v>39</v>
      </c>
      <c r="K1803" s="87"/>
      <c r="L1803" s="87">
        <v>39</v>
      </c>
      <c r="M1803" s="87"/>
      <c r="N1803" s="87"/>
      <c r="O1803" s="87"/>
      <c r="P1803" s="87"/>
      <c r="Q1803" s="87"/>
      <c r="R1803" s="87"/>
      <c r="S1803" s="87"/>
      <c r="T1803" s="87"/>
      <c r="U1803" s="88"/>
      <c r="V1803" s="89"/>
      <c r="W1803" s="96">
        <v>0</v>
      </c>
      <c r="X1803" s="71">
        <f>CU1803</f>
        <v>0</v>
      </c>
      <c r="Y1803" s="71">
        <f>CY1803</f>
        <v>0</v>
      </c>
      <c r="Z1803" s="71">
        <f>DA1803+DC1803+DE1803</f>
        <v>0</v>
      </c>
      <c r="AA1803" s="71">
        <f>CW1803</f>
        <v>0</v>
      </c>
      <c r="AB1803" s="71"/>
      <c r="AC1803" s="71">
        <v>0</v>
      </c>
      <c r="AD1803" s="71">
        <f>W1803+X1803+Y1803+Z1803+AA1803+AB1803+AC1803</f>
        <v>0</v>
      </c>
      <c r="AE1803" s="72">
        <v>0</v>
      </c>
      <c r="AF1803" s="5"/>
      <c r="AG1803" s="6"/>
      <c r="AH1803" s="27" t="s">
        <v>3392</v>
      </c>
      <c r="AI1803" s="44" t="s">
        <v>3393</v>
      </c>
      <c r="AJ1803" s="26"/>
      <c r="AK1803" s="5"/>
      <c r="AL1803" s="82" t="s">
        <v>4632</v>
      </c>
      <c r="AM1803" s="76"/>
      <c r="AN1803" s="76"/>
      <c r="AO1803" s="76"/>
      <c r="AP1803" s="76"/>
      <c r="AQ1803" s="76"/>
      <c r="AR1803" s="76"/>
      <c r="AS1803" s="76"/>
      <c r="AT1803" s="76"/>
      <c r="AU1803" s="76"/>
      <c r="AV1803" s="76"/>
      <c r="AW1803" s="76"/>
      <c r="AX1803" s="76">
        <f>+AW1803*600000</f>
        <v>0</v>
      </c>
      <c r="AY1803" s="76"/>
      <c r="AZ1803" s="76">
        <f>+AY1803*70000</f>
        <v>0</v>
      </c>
      <c r="BA1803" s="76"/>
      <c r="BB1803" s="76"/>
      <c r="BC1803" s="76"/>
      <c r="BD1803" s="76">
        <f>+BC1803*30000</f>
        <v>0</v>
      </c>
      <c r="BE1803" s="76"/>
      <c r="BF1803" s="76"/>
      <c r="BG1803" s="76"/>
      <c r="BH1803" s="76"/>
      <c r="BI1803" s="76"/>
      <c r="BJ1803" s="76"/>
      <c r="BK1803" s="76"/>
      <c r="BL1803" s="76">
        <f>+BK1803*31500</f>
        <v>0</v>
      </c>
      <c r="BM1803" s="76"/>
      <c r="BN1803" s="76"/>
      <c r="BO1803" s="76"/>
      <c r="BP1803" s="76"/>
      <c r="BQ1803" s="76"/>
      <c r="BR1803" s="76"/>
      <c r="BS1803" s="76"/>
      <c r="BT1803" s="76"/>
      <c r="BU1803" s="76"/>
      <c r="BV1803" s="76"/>
      <c r="BW1803" s="76"/>
      <c r="BX1803" s="76"/>
      <c r="BY1803" s="76"/>
      <c r="BZ1803" s="76"/>
      <c r="CA1803" s="76"/>
      <c r="CB1803" s="76"/>
      <c r="CC1803" s="76"/>
      <c r="CD1803" s="76"/>
      <c r="CE1803" s="76"/>
      <c r="CF1803" s="76">
        <f>+CE1803*28000</f>
        <v>0</v>
      </c>
      <c r="CG1803" s="76"/>
      <c r="CH1803" s="76">
        <f>+CG1803*22500</f>
        <v>0</v>
      </c>
      <c r="CI1803" s="76"/>
      <c r="CJ1803" s="76">
        <f>+CI1803*26000</f>
        <v>0</v>
      </c>
      <c r="CK1803" s="76"/>
      <c r="CL1803" s="76"/>
      <c r="CM1803" s="76"/>
      <c r="CN1803" s="76">
        <f>+CM1803*22000</f>
        <v>0</v>
      </c>
      <c r="CO1803" s="76"/>
      <c r="CP1803" s="76">
        <f>+CO1803*46000</f>
        <v>0</v>
      </c>
      <c r="CQ1803" s="76"/>
      <c r="CR1803" s="76">
        <f>+CQ1803*49000</f>
        <v>0</v>
      </c>
      <c r="CS1803" s="76"/>
      <c r="CT1803" s="76"/>
      <c r="CU1803" s="56">
        <f>AN1803+AP1803+AR1803+AT1803+AV1803+AX1803+AZ1803+BB1803+BD1803+BF1803+BH1803+BJ1803+BL1803+BN1803+BP1803+BR1803+BT1803+BV1803+BX1803+BZ1803+CB1803+CD1803+CF1803+CH1803+CJ1803+CL1803+CN1803+CP1803+CR1803+CT1803</f>
        <v>0</v>
      </c>
      <c r="CV1803" s="76"/>
      <c r="CW1803" s="76">
        <f>+CV1803*1100</f>
        <v>0</v>
      </c>
      <c r="CX1803" s="76"/>
      <c r="CY1803" s="76">
        <f>+CX1803*106250</f>
        <v>0</v>
      </c>
      <c r="CZ1803" s="76"/>
      <c r="DA1803" s="76">
        <f>+CZ1803*34500</f>
        <v>0</v>
      </c>
      <c r="DB1803" s="76"/>
      <c r="DC1803" s="76">
        <f>+DB1803*25000</f>
        <v>0</v>
      </c>
      <c r="DD1803" s="219"/>
      <c r="DE1803" s="219"/>
      <c r="DF1803" s="166"/>
      <c r="DG1803" s="116"/>
      <c r="DH1803" s="117"/>
      <c r="DI1803" s="24"/>
      <c r="DJ1803" s="24"/>
      <c r="DK1803" s="24"/>
      <c r="DL1803" s="24"/>
      <c r="DM1803" s="24"/>
      <c r="DN1803" s="24"/>
      <c r="DO1803" s="24"/>
      <c r="DP1803" s="24"/>
      <c r="DQ1803" s="24"/>
      <c r="DR1803" s="24"/>
      <c r="DS1803" s="24"/>
      <c r="DT1803" s="24"/>
      <c r="DU1803" s="24"/>
    </row>
    <row r="1804" spans="1:125" s="8" customFormat="1" ht="72" x14ac:dyDescent="0.2">
      <c r="A1804" s="77">
        <v>41409</v>
      </c>
      <c r="B1804" s="208" t="s">
        <v>2894</v>
      </c>
      <c r="C1804" s="354" t="s">
        <v>2355</v>
      </c>
      <c r="D1804" s="354" t="s">
        <v>3051</v>
      </c>
      <c r="E1804" s="75" t="str">
        <f>VLOOKUP(B1804&amp;C1804,Divipola!$C$2:$F$1138,4,FALSE)</f>
        <v>05045</v>
      </c>
      <c r="F1804" s="87"/>
      <c r="G1804" s="87"/>
      <c r="H1804" s="87"/>
      <c r="I1804" s="87">
        <v>50</v>
      </c>
      <c r="J1804" s="87">
        <v>10</v>
      </c>
      <c r="K1804" s="87"/>
      <c r="L1804" s="87">
        <v>10</v>
      </c>
      <c r="M1804" s="87"/>
      <c r="N1804" s="87"/>
      <c r="O1804" s="87"/>
      <c r="P1804" s="87"/>
      <c r="Q1804" s="87"/>
      <c r="R1804" s="87"/>
      <c r="S1804" s="87"/>
      <c r="T1804" s="87"/>
      <c r="U1804" s="88"/>
      <c r="V1804" s="89"/>
      <c r="W1804" s="96">
        <v>0</v>
      </c>
      <c r="X1804" s="71">
        <f>CU1804</f>
        <v>0</v>
      </c>
      <c r="Y1804" s="71">
        <f>CY1804</f>
        <v>0</v>
      </c>
      <c r="Z1804" s="71">
        <f>DA1804+DC1804+DE1804</f>
        <v>0</v>
      </c>
      <c r="AA1804" s="71">
        <f>CW1804</f>
        <v>0</v>
      </c>
      <c r="AB1804" s="71"/>
      <c r="AC1804" s="71">
        <v>0</v>
      </c>
      <c r="AD1804" s="71">
        <f>W1804+X1804+Y1804+Z1804+AA1804+AB1804+AC1804</f>
        <v>0</v>
      </c>
      <c r="AE1804" s="72">
        <v>0</v>
      </c>
      <c r="AF1804" s="5"/>
      <c r="AG1804" s="6"/>
      <c r="AH1804" s="27" t="s">
        <v>3392</v>
      </c>
      <c r="AI1804" s="44" t="s">
        <v>3393</v>
      </c>
      <c r="AJ1804" s="26"/>
      <c r="AK1804" s="5"/>
      <c r="AL1804" s="82" t="s">
        <v>4633</v>
      </c>
      <c r="AM1804" s="76"/>
      <c r="AN1804" s="76"/>
      <c r="AO1804" s="76"/>
      <c r="AP1804" s="76"/>
      <c r="AQ1804" s="76"/>
      <c r="AR1804" s="76"/>
      <c r="AS1804" s="76"/>
      <c r="AT1804" s="76"/>
      <c r="AU1804" s="76"/>
      <c r="AV1804" s="76"/>
      <c r="AW1804" s="76"/>
      <c r="AX1804" s="76">
        <f>+AW1804*600000</f>
        <v>0</v>
      </c>
      <c r="AY1804" s="76"/>
      <c r="AZ1804" s="76">
        <f>+AY1804*70000</f>
        <v>0</v>
      </c>
      <c r="BA1804" s="76"/>
      <c r="BB1804" s="76"/>
      <c r="BC1804" s="76"/>
      <c r="BD1804" s="76">
        <f>+BC1804*30000</f>
        <v>0</v>
      </c>
      <c r="BE1804" s="76"/>
      <c r="BF1804" s="76"/>
      <c r="BG1804" s="76"/>
      <c r="BH1804" s="76"/>
      <c r="BI1804" s="76"/>
      <c r="BJ1804" s="76"/>
      <c r="BK1804" s="76"/>
      <c r="BL1804" s="76">
        <f>+BK1804*31500</f>
        <v>0</v>
      </c>
      <c r="BM1804" s="76"/>
      <c r="BN1804" s="76"/>
      <c r="BO1804" s="76"/>
      <c r="BP1804" s="76"/>
      <c r="BQ1804" s="76"/>
      <c r="BR1804" s="76"/>
      <c r="BS1804" s="76"/>
      <c r="BT1804" s="76"/>
      <c r="BU1804" s="76"/>
      <c r="BV1804" s="76"/>
      <c r="BW1804" s="76"/>
      <c r="BX1804" s="76"/>
      <c r="BY1804" s="76"/>
      <c r="BZ1804" s="76"/>
      <c r="CA1804" s="76"/>
      <c r="CB1804" s="76"/>
      <c r="CC1804" s="76"/>
      <c r="CD1804" s="76"/>
      <c r="CE1804" s="76"/>
      <c r="CF1804" s="76">
        <f>+CE1804*28000</f>
        <v>0</v>
      </c>
      <c r="CG1804" s="76"/>
      <c r="CH1804" s="76">
        <f>+CG1804*22500</f>
        <v>0</v>
      </c>
      <c r="CI1804" s="76"/>
      <c r="CJ1804" s="76">
        <f>+CI1804*26000</f>
        <v>0</v>
      </c>
      <c r="CK1804" s="76"/>
      <c r="CL1804" s="76"/>
      <c r="CM1804" s="76"/>
      <c r="CN1804" s="76">
        <f>+CM1804*22000</f>
        <v>0</v>
      </c>
      <c r="CO1804" s="76"/>
      <c r="CP1804" s="76">
        <f>+CO1804*46000</f>
        <v>0</v>
      </c>
      <c r="CQ1804" s="76"/>
      <c r="CR1804" s="76">
        <f>+CQ1804*49000</f>
        <v>0</v>
      </c>
      <c r="CS1804" s="76"/>
      <c r="CT1804" s="76"/>
      <c r="CU1804" s="56">
        <f>AN1804+AP1804+AR1804+AT1804+AV1804+AX1804+AZ1804+BB1804+BD1804+BF1804+BH1804+BJ1804+BL1804+BN1804+BP1804+BR1804+BT1804+BV1804+BX1804+BZ1804+CB1804+CD1804+CF1804+CH1804+CJ1804+CL1804+CN1804+CP1804+CR1804+CT1804</f>
        <v>0</v>
      </c>
      <c r="CV1804" s="76"/>
      <c r="CW1804" s="76">
        <f>+CV1804*1100</f>
        <v>0</v>
      </c>
      <c r="CX1804" s="76"/>
      <c r="CY1804" s="76">
        <f>+CX1804*106250</f>
        <v>0</v>
      </c>
      <c r="CZ1804" s="76"/>
      <c r="DA1804" s="76">
        <f>+CZ1804*34500</f>
        <v>0</v>
      </c>
      <c r="DB1804" s="76"/>
      <c r="DC1804" s="76">
        <f>+DB1804*25000</f>
        <v>0</v>
      </c>
      <c r="DD1804" s="219"/>
      <c r="DE1804" s="219"/>
      <c r="DF1804" s="166"/>
      <c r="DG1804" s="116"/>
      <c r="DH1804" s="117"/>
      <c r="DI1804" s="24"/>
      <c r="DJ1804" s="24"/>
      <c r="DK1804" s="24"/>
      <c r="DL1804" s="24"/>
      <c r="DM1804" s="24"/>
      <c r="DN1804" s="24"/>
      <c r="DO1804" s="24"/>
      <c r="DP1804" s="24"/>
      <c r="DQ1804" s="24"/>
      <c r="DR1804" s="24"/>
      <c r="DS1804" s="24"/>
      <c r="DT1804" s="24"/>
      <c r="DU1804" s="24"/>
    </row>
    <row r="1805" spans="1:125" s="8" customFormat="1" ht="72" x14ac:dyDescent="0.2">
      <c r="A1805" s="77">
        <v>41409</v>
      </c>
      <c r="B1805" s="78" t="s">
        <v>2894</v>
      </c>
      <c r="C1805" s="75" t="s">
        <v>2615</v>
      </c>
      <c r="D1805" s="75" t="s">
        <v>3051</v>
      </c>
      <c r="E1805" s="75" t="str">
        <f>VLOOKUP(B1805&amp;C1805,Divipola!$C$2:$F$1138,4,FALSE)</f>
        <v>05837</v>
      </c>
      <c r="F1805" s="87"/>
      <c r="G1805" s="87"/>
      <c r="H1805" s="87"/>
      <c r="I1805" s="87">
        <v>25</v>
      </c>
      <c r="J1805" s="87">
        <v>5</v>
      </c>
      <c r="K1805" s="87"/>
      <c r="L1805" s="87">
        <v>5</v>
      </c>
      <c r="M1805" s="87"/>
      <c r="N1805" s="87"/>
      <c r="O1805" s="87"/>
      <c r="P1805" s="87"/>
      <c r="Q1805" s="87"/>
      <c r="R1805" s="87"/>
      <c r="S1805" s="87"/>
      <c r="T1805" s="87"/>
      <c r="U1805" s="88"/>
      <c r="V1805" s="89"/>
      <c r="W1805" s="96">
        <v>0</v>
      </c>
      <c r="X1805" s="71">
        <f>CU1805</f>
        <v>0</v>
      </c>
      <c r="Y1805" s="71">
        <f>CY1805</f>
        <v>0</v>
      </c>
      <c r="Z1805" s="71">
        <f>DA1805+DC1805+DE1805</f>
        <v>0</v>
      </c>
      <c r="AA1805" s="71">
        <f>CW1805</f>
        <v>0</v>
      </c>
      <c r="AB1805" s="71"/>
      <c r="AC1805" s="71">
        <v>0</v>
      </c>
      <c r="AD1805" s="71">
        <f>W1805+X1805+Y1805+Z1805+AA1805+AB1805+AC1805</f>
        <v>0</v>
      </c>
      <c r="AE1805" s="72">
        <v>0</v>
      </c>
      <c r="AF1805" s="5"/>
      <c r="AG1805" s="6"/>
      <c r="AH1805" s="27" t="s">
        <v>3392</v>
      </c>
      <c r="AI1805" s="44" t="s">
        <v>3393</v>
      </c>
      <c r="AJ1805" s="26"/>
      <c r="AK1805" s="5"/>
      <c r="AL1805" s="82" t="s">
        <v>4624</v>
      </c>
      <c r="AM1805" s="76"/>
      <c r="AN1805" s="76"/>
      <c r="AO1805" s="76"/>
      <c r="AP1805" s="76"/>
      <c r="AQ1805" s="76"/>
      <c r="AR1805" s="76"/>
      <c r="AS1805" s="76"/>
      <c r="AT1805" s="76"/>
      <c r="AU1805" s="76"/>
      <c r="AV1805" s="76"/>
      <c r="AW1805" s="76"/>
      <c r="AX1805" s="76">
        <f>+AW1805*600000</f>
        <v>0</v>
      </c>
      <c r="AY1805" s="76"/>
      <c r="AZ1805" s="76">
        <f>+AY1805*70000</f>
        <v>0</v>
      </c>
      <c r="BA1805" s="76"/>
      <c r="BB1805" s="76"/>
      <c r="BC1805" s="76"/>
      <c r="BD1805" s="76">
        <f>+BC1805*30000</f>
        <v>0</v>
      </c>
      <c r="BE1805" s="76"/>
      <c r="BF1805" s="76"/>
      <c r="BG1805" s="76"/>
      <c r="BH1805" s="76"/>
      <c r="BI1805" s="76"/>
      <c r="BJ1805" s="76"/>
      <c r="BK1805" s="76"/>
      <c r="BL1805" s="76">
        <f>+BK1805*31500</f>
        <v>0</v>
      </c>
      <c r="BM1805" s="76"/>
      <c r="BN1805" s="76"/>
      <c r="BO1805" s="76"/>
      <c r="BP1805" s="76"/>
      <c r="BQ1805" s="76"/>
      <c r="BR1805" s="76"/>
      <c r="BS1805" s="76"/>
      <c r="BT1805" s="76"/>
      <c r="BU1805" s="76"/>
      <c r="BV1805" s="76"/>
      <c r="BW1805" s="76"/>
      <c r="BX1805" s="76"/>
      <c r="BY1805" s="76"/>
      <c r="BZ1805" s="76"/>
      <c r="CA1805" s="76"/>
      <c r="CB1805" s="76"/>
      <c r="CC1805" s="76"/>
      <c r="CD1805" s="76"/>
      <c r="CE1805" s="76"/>
      <c r="CF1805" s="76">
        <f>+CE1805*28000</f>
        <v>0</v>
      </c>
      <c r="CG1805" s="76"/>
      <c r="CH1805" s="76">
        <f>+CG1805*22500</f>
        <v>0</v>
      </c>
      <c r="CI1805" s="76"/>
      <c r="CJ1805" s="76">
        <f>+CI1805*26000</f>
        <v>0</v>
      </c>
      <c r="CK1805" s="76"/>
      <c r="CL1805" s="76"/>
      <c r="CM1805" s="76"/>
      <c r="CN1805" s="76">
        <f>+CM1805*22000</f>
        <v>0</v>
      </c>
      <c r="CO1805" s="76"/>
      <c r="CP1805" s="76">
        <f>+CO1805*46000</f>
        <v>0</v>
      </c>
      <c r="CQ1805" s="76"/>
      <c r="CR1805" s="76">
        <f>+CQ1805*49000</f>
        <v>0</v>
      </c>
      <c r="CS1805" s="76"/>
      <c r="CT1805" s="76"/>
      <c r="CU1805" s="56">
        <f>AN1805+AP1805+AR1805+AT1805+AV1805+AX1805+AZ1805+BB1805+BD1805+BF1805+BH1805+BJ1805+BL1805+BN1805+BP1805+BR1805+BT1805+BV1805+BX1805+BZ1805+CB1805+CD1805+CF1805+CH1805+CJ1805+CL1805+CN1805+CP1805+CR1805+CT1805</f>
        <v>0</v>
      </c>
      <c r="CV1805" s="76"/>
      <c r="CW1805" s="76">
        <f>+CV1805*1100</f>
        <v>0</v>
      </c>
      <c r="CX1805" s="76"/>
      <c r="CY1805" s="76">
        <f>+CX1805*106250</f>
        <v>0</v>
      </c>
      <c r="CZ1805" s="76"/>
      <c r="DA1805" s="76">
        <f>+CZ1805*34500</f>
        <v>0</v>
      </c>
      <c r="DB1805" s="76"/>
      <c r="DC1805" s="76">
        <f>+DB1805*25000</f>
        <v>0</v>
      </c>
      <c r="DD1805" s="219"/>
      <c r="DE1805" s="219"/>
      <c r="DF1805" s="166"/>
      <c r="DG1805" s="116"/>
      <c r="DH1805" s="117"/>
      <c r="DI1805" s="24"/>
      <c r="DJ1805" s="24"/>
      <c r="DK1805" s="24"/>
      <c r="DL1805" s="24"/>
      <c r="DM1805" s="24"/>
      <c r="DN1805" s="24"/>
      <c r="DO1805" s="24"/>
      <c r="DP1805" s="24"/>
      <c r="DQ1805" s="24"/>
      <c r="DR1805" s="24"/>
      <c r="DS1805" s="24"/>
      <c r="DT1805" s="24"/>
      <c r="DU1805" s="24"/>
    </row>
    <row r="1806" spans="1:125" s="8" customFormat="1" ht="60" x14ac:dyDescent="0.2">
      <c r="A1806" s="77">
        <v>41409</v>
      </c>
      <c r="B1806" s="208" t="s">
        <v>2894</v>
      </c>
      <c r="C1806" s="354" t="s">
        <v>2615</v>
      </c>
      <c r="D1806" s="354" t="s">
        <v>3051</v>
      </c>
      <c r="E1806" s="75" t="str">
        <f>VLOOKUP(B1806&amp;C1806,Divipola!$C$2:$F$1138,4,FALSE)</f>
        <v>05837</v>
      </c>
      <c r="F1806" s="87"/>
      <c r="G1806" s="87"/>
      <c r="H1806" s="87"/>
      <c r="I1806" s="87">
        <v>560</v>
      </c>
      <c r="J1806" s="87">
        <v>112</v>
      </c>
      <c r="K1806" s="87"/>
      <c r="L1806" s="87">
        <v>112</v>
      </c>
      <c r="M1806" s="87"/>
      <c r="N1806" s="87"/>
      <c r="O1806" s="87"/>
      <c r="P1806" s="87"/>
      <c r="Q1806" s="87"/>
      <c r="R1806" s="87"/>
      <c r="S1806" s="87"/>
      <c r="T1806" s="87"/>
      <c r="U1806" s="88"/>
      <c r="V1806" s="89"/>
      <c r="W1806" s="96">
        <v>0</v>
      </c>
      <c r="X1806" s="71">
        <f>CU1806</f>
        <v>0</v>
      </c>
      <c r="Y1806" s="71">
        <f>CY1806</f>
        <v>0</v>
      </c>
      <c r="Z1806" s="71">
        <f>DA1806+DC1806+DE1806</f>
        <v>0</v>
      </c>
      <c r="AA1806" s="71">
        <f>CW1806</f>
        <v>0</v>
      </c>
      <c r="AB1806" s="71"/>
      <c r="AC1806" s="71">
        <v>0</v>
      </c>
      <c r="AD1806" s="71">
        <f>W1806+X1806+Y1806+Z1806+AA1806+AB1806+AC1806</f>
        <v>0</v>
      </c>
      <c r="AE1806" s="72">
        <v>0</v>
      </c>
      <c r="AF1806" s="5"/>
      <c r="AG1806" s="6"/>
      <c r="AH1806" s="27" t="s">
        <v>3392</v>
      </c>
      <c r="AI1806" s="44" t="s">
        <v>3393</v>
      </c>
      <c r="AJ1806" s="26"/>
      <c r="AK1806" s="5"/>
      <c r="AL1806" s="82" t="s">
        <v>4634</v>
      </c>
      <c r="AM1806" s="76"/>
      <c r="AN1806" s="76"/>
      <c r="AO1806" s="76"/>
      <c r="AP1806" s="76"/>
      <c r="AQ1806" s="76"/>
      <c r="AR1806" s="76"/>
      <c r="AS1806" s="76"/>
      <c r="AT1806" s="76"/>
      <c r="AU1806" s="76"/>
      <c r="AV1806" s="76"/>
      <c r="AW1806" s="76"/>
      <c r="AX1806" s="76">
        <f>+AW1806*600000</f>
        <v>0</v>
      </c>
      <c r="AY1806" s="76"/>
      <c r="AZ1806" s="76">
        <f>+AY1806*70000</f>
        <v>0</v>
      </c>
      <c r="BA1806" s="76"/>
      <c r="BB1806" s="76"/>
      <c r="BC1806" s="76"/>
      <c r="BD1806" s="76">
        <f>+BC1806*30000</f>
        <v>0</v>
      </c>
      <c r="BE1806" s="76"/>
      <c r="BF1806" s="76"/>
      <c r="BG1806" s="76"/>
      <c r="BH1806" s="76"/>
      <c r="BI1806" s="76"/>
      <c r="BJ1806" s="76"/>
      <c r="BK1806" s="76"/>
      <c r="BL1806" s="76">
        <f>+BK1806*31500</f>
        <v>0</v>
      </c>
      <c r="BM1806" s="76"/>
      <c r="BN1806" s="76"/>
      <c r="BO1806" s="76"/>
      <c r="BP1806" s="76"/>
      <c r="BQ1806" s="76"/>
      <c r="BR1806" s="76"/>
      <c r="BS1806" s="76"/>
      <c r="BT1806" s="76"/>
      <c r="BU1806" s="76"/>
      <c r="BV1806" s="76"/>
      <c r="BW1806" s="76"/>
      <c r="BX1806" s="76"/>
      <c r="BY1806" s="76"/>
      <c r="BZ1806" s="76"/>
      <c r="CA1806" s="76"/>
      <c r="CB1806" s="76"/>
      <c r="CC1806" s="76"/>
      <c r="CD1806" s="76"/>
      <c r="CE1806" s="76"/>
      <c r="CF1806" s="76">
        <f>+CE1806*28000</f>
        <v>0</v>
      </c>
      <c r="CG1806" s="76"/>
      <c r="CH1806" s="76">
        <f>+CG1806*22500</f>
        <v>0</v>
      </c>
      <c r="CI1806" s="76"/>
      <c r="CJ1806" s="76">
        <f>+CI1806*26000</f>
        <v>0</v>
      </c>
      <c r="CK1806" s="76"/>
      <c r="CL1806" s="76"/>
      <c r="CM1806" s="76"/>
      <c r="CN1806" s="76">
        <f>+CM1806*22000</f>
        <v>0</v>
      </c>
      <c r="CO1806" s="76"/>
      <c r="CP1806" s="76">
        <f>+CO1806*46000</f>
        <v>0</v>
      </c>
      <c r="CQ1806" s="76"/>
      <c r="CR1806" s="76">
        <f>+CQ1806*49000</f>
        <v>0</v>
      </c>
      <c r="CS1806" s="76"/>
      <c r="CT1806" s="76"/>
      <c r="CU1806" s="56">
        <f>AN1806+AP1806+AR1806+AT1806+AV1806+AX1806+AZ1806+BB1806+BD1806+BF1806+BH1806+BJ1806+BL1806+BN1806+BP1806+BR1806+BT1806+BV1806+BX1806+BZ1806+CB1806+CD1806+CF1806+CH1806+CJ1806+CL1806+CN1806+CP1806+CR1806+CT1806</f>
        <v>0</v>
      </c>
      <c r="CV1806" s="76"/>
      <c r="CW1806" s="76">
        <f>+CV1806*1100</f>
        <v>0</v>
      </c>
      <c r="CX1806" s="76"/>
      <c r="CY1806" s="76">
        <f>+CX1806*106250</f>
        <v>0</v>
      </c>
      <c r="CZ1806" s="76"/>
      <c r="DA1806" s="76">
        <f>+CZ1806*34500</f>
        <v>0</v>
      </c>
      <c r="DB1806" s="76"/>
      <c r="DC1806" s="76">
        <f>+DB1806*25000</f>
        <v>0</v>
      </c>
      <c r="DD1806" s="219"/>
      <c r="DE1806" s="219"/>
      <c r="DF1806" s="166"/>
      <c r="DG1806" s="116"/>
      <c r="DH1806" s="117"/>
      <c r="DI1806" s="24"/>
      <c r="DJ1806" s="24"/>
      <c r="DK1806" s="24"/>
      <c r="DL1806" s="24"/>
      <c r="DM1806" s="24"/>
      <c r="DN1806" s="24"/>
      <c r="DO1806" s="24"/>
      <c r="DP1806" s="24"/>
      <c r="DQ1806" s="24"/>
      <c r="DR1806" s="24"/>
      <c r="DS1806" s="24"/>
      <c r="DT1806" s="24"/>
      <c r="DU1806" s="24"/>
    </row>
    <row r="1807" spans="1:125" s="8" customFormat="1" ht="72" x14ac:dyDescent="0.2">
      <c r="A1807" s="77">
        <v>41409</v>
      </c>
      <c r="B1807" s="78" t="s">
        <v>2852</v>
      </c>
      <c r="C1807" s="83" t="s">
        <v>2784</v>
      </c>
      <c r="D1807" s="75" t="s">
        <v>2882</v>
      </c>
      <c r="E1807" s="75" t="str">
        <f>VLOOKUP(B1807&amp;C1807,Divipola!$C$2:$F$1138,4,FALSE)</f>
        <v>27025</v>
      </c>
      <c r="F1807" s="93"/>
      <c r="G1807" s="93"/>
      <c r="H1807" s="93"/>
      <c r="I1807" s="93">
        <v>720</v>
      </c>
      <c r="J1807" s="93">
        <v>144</v>
      </c>
      <c r="K1807" s="93"/>
      <c r="L1807" s="93">
        <v>144</v>
      </c>
      <c r="M1807" s="93"/>
      <c r="N1807" s="93"/>
      <c r="O1807" s="93"/>
      <c r="P1807" s="93"/>
      <c r="Q1807" s="93"/>
      <c r="R1807" s="93"/>
      <c r="S1807" s="93"/>
      <c r="T1807" s="93"/>
      <c r="U1807" s="93"/>
      <c r="V1807" s="89"/>
      <c r="W1807" s="96">
        <v>0</v>
      </c>
      <c r="X1807" s="71">
        <f>CU1807</f>
        <v>0</v>
      </c>
      <c r="Y1807" s="71">
        <f>CY1807</f>
        <v>0</v>
      </c>
      <c r="Z1807" s="71">
        <f>DA1807+DC1807+DE1807</f>
        <v>0</v>
      </c>
      <c r="AA1807" s="71">
        <f>CW1807</f>
        <v>0</v>
      </c>
      <c r="AB1807" s="71"/>
      <c r="AC1807" s="71">
        <v>0</v>
      </c>
      <c r="AD1807" s="71">
        <f>W1807+X1807+Y1807+Z1807+AA1807+AB1807+AC1807</f>
        <v>0</v>
      </c>
      <c r="AE1807" s="72">
        <v>0</v>
      </c>
      <c r="AF1807" s="5"/>
      <c r="AG1807" s="6"/>
      <c r="AH1807" s="27" t="s">
        <v>3392</v>
      </c>
      <c r="AI1807" s="44" t="s">
        <v>3393</v>
      </c>
      <c r="AJ1807" s="26"/>
      <c r="AK1807" s="5"/>
      <c r="AL1807" s="82" t="s">
        <v>4630</v>
      </c>
      <c r="AM1807" s="76"/>
      <c r="AN1807" s="76"/>
      <c r="AO1807" s="76"/>
      <c r="AP1807" s="76"/>
      <c r="AQ1807" s="76"/>
      <c r="AR1807" s="76"/>
      <c r="AS1807" s="76"/>
      <c r="AT1807" s="76"/>
      <c r="AU1807" s="76"/>
      <c r="AV1807" s="76"/>
      <c r="AW1807" s="76"/>
      <c r="AX1807" s="76">
        <f>+AW1807*600000</f>
        <v>0</v>
      </c>
      <c r="AY1807" s="76"/>
      <c r="AZ1807" s="76">
        <f>+AY1807*70000</f>
        <v>0</v>
      </c>
      <c r="BA1807" s="76"/>
      <c r="BB1807" s="76"/>
      <c r="BC1807" s="76"/>
      <c r="BD1807" s="76">
        <f>+BC1807*30000</f>
        <v>0</v>
      </c>
      <c r="BE1807" s="76"/>
      <c r="BF1807" s="76"/>
      <c r="BG1807" s="76"/>
      <c r="BH1807" s="76"/>
      <c r="BI1807" s="76"/>
      <c r="BJ1807" s="76"/>
      <c r="BK1807" s="76"/>
      <c r="BL1807" s="76">
        <f>+BK1807*31500</f>
        <v>0</v>
      </c>
      <c r="BM1807" s="76"/>
      <c r="BN1807" s="76"/>
      <c r="BO1807" s="76"/>
      <c r="BP1807" s="76"/>
      <c r="BQ1807" s="76"/>
      <c r="BR1807" s="76"/>
      <c r="BS1807" s="76"/>
      <c r="BT1807" s="76"/>
      <c r="BU1807" s="76"/>
      <c r="BV1807" s="76"/>
      <c r="BW1807" s="76"/>
      <c r="BX1807" s="76"/>
      <c r="BY1807" s="76"/>
      <c r="BZ1807" s="76"/>
      <c r="CA1807" s="76"/>
      <c r="CB1807" s="76"/>
      <c r="CC1807" s="76"/>
      <c r="CD1807" s="76"/>
      <c r="CE1807" s="76"/>
      <c r="CF1807" s="76">
        <f>+CE1807*28000</f>
        <v>0</v>
      </c>
      <c r="CG1807" s="76"/>
      <c r="CH1807" s="76">
        <f>+CG1807*22500</f>
        <v>0</v>
      </c>
      <c r="CI1807" s="76"/>
      <c r="CJ1807" s="76">
        <f>+CI1807*26000</f>
        <v>0</v>
      </c>
      <c r="CK1807" s="76"/>
      <c r="CL1807" s="76"/>
      <c r="CM1807" s="76"/>
      <c r="CN1807" s="76">
        <f>+CM1807*22000</f>
        <v>0</v>
      </c>
      <c r="CO1807" s="76"/>
      <c r="CP1807" s="76">
        <f>+CO1807*46000</f>
        <v>0</v>
      </c>
      <c r="CQ1807" s="76"/>
      <c r="CR1807" s="76">
        <f>+CQ1807*49000</f>
        <v>0</v>
      </c>
      <c r="CS1807" s="76"/>
      <c r="CT1807" s="76"/>
      <c r="CU1807" s="56">
        <f>AN1807+AP1807+AR1807+AT1807+AV1807+AX1807+AZ1807+BB1807+BD1807+BF1807+BH1807+BJ1807+BL1807+BN1807+BP1807+BR1807+BT1807+BV1807+BX1807+BZ1807+CB1807+CD1807+CF1807+CH1807+CJ1807+CL1807+CN1807+CP1807+CR1807+CT1807</f>
        <v>0</v>
      </c>
      <c r="CV1807" s="76"/>
      <c r="CW1807" s="76">
        <f>+CV1807*1100</f>
        <v>0</v>
      </c>
      <c r="CX1807" s="76"/>
      <c r="CY1807" s="76">
        <f>+CX1807*106250</f>
        <v>0</v>
      </c>
      <c r="CZ1807" s="76"/>
      <c r="DA1807" s="76">
        <f>+CZ1807*34500</f>
        <v>0</v>
      </c>
      <c r="DB1807" s="76"/>
      <c r="DC1807" s="76">
        <f>+DB1807*25000</f>
        <v>0</v>
      </c>
      <c r="DD1807" s="219"/>
      <c r="DE1807" s="219"/>
      <c r="DF1807" s="166"/>
      <c r="DG1807" s="116"/>
      <c r="DH1807" s="117"/>
      <c r="DI1807" s="24"/>
      <c r="DJ1807" s="24"/>
      <c r="DK1807" s="24"/>
      <c r="DL1807" s="24"/>
      <c r="DM1807" s="24"/>
      <c r="DN1807" s="24"/>
      <c r="DO1807" s="24"/>
      <c r="DP1807" s="24"/>
      <c r="DQ1807" s="24"/>
      <c r="DR1807" s="24"/>
      <c r="DS1807" s="24"/>
      <c r="DT1807" s="24"/>
      <c r="DU1807" s="24"/>
    </row>
    <row r="1808" spans="1:125" s="8" customFormat="1" ht="60" x14ac:dyDescent="0.2">
      <c r="A1808" s="172">
        <v>41409</v>
      </c>
      <c r="B1808" s="205" t="s">
        <v>2860</v>
      </c>
      <c r="C1808" s="206" t="s">
        <v>504</v>
      </c>
      <c r="D1808" s="206" t="s">
        <v>2882</v>
      </c>
      <c r="E1808" s="75" t="str">
        <f>VLOOKUP(B1808&amp;C1808,Divipola!$C$2:$F$1138,4,FALSE)</f>
        <v>63302</v>
      </c>
      <c r="F1808" s="87"/>
      <c r="G1808" s="87"/>
      <c r="H1808" s="87"/>
      <c r="I1808" s="87">
        <v>20</v>
      </c>
      <c r="J1808" s="87">
        <v>4</v>
      </c>
      <c r="K1808" s="87"/>
      <c r="L1808" s="87">
        <v>4</v>
      </c>
      <c r="M1808" s="87"/>
      <c r="N1808" s="87"/>
      <c r="O1808" s="87"/>
      <c r="P1808" s="87"/>
      <c r="Q1808" s="87"/>
      <c r="R1808" s="87"/>
      <c r="S1808" s="87"/>
      <c r="T1808" s="87"/>
      <c r="U1808" s="88"/>
      <c r="V1808" s="89"/>
      <c r="W1808" s="96">
        <v>0</v>
      </c>
      <c r="X1808" s="71">
        <f>CU1808</f>
        <v>0</v>
      </c>
      <c r="Y1808" s="71">
        <f>CY1808</f>
        <v>0</v>
      </c>
      <c r="Z1808" s="71">
        <f>DA1808+DC1808+DE1808</f>
        <v>0</v>
      </c>
      <c r="AA1808" s="71">
        <f>CW1808</f>
        <v>0</v>
      </c>
      <c r="AB1808" s="71"/>
      <c r="AC1808" s="71">
        <v>0</v>
      </c>
      <c r="AD1808" s="71">
        <f>W1808+X1808+Y1808+Z1808+AA1808+AB1808+AC1808</f>
        <v>0</v>
      </c>
      <c r="AE1808" s="72">
        <v>0</v>
      </c>
      <c r="AF1808" s="5"/>
      <c r="AG1808" s="6"/>
      <c r="AH1808" s="27" t="s">
        <v>3392</v>
      </c>
      <c r="AI1808" s="44" t="s">
        <v>3393</v>
      </c>
      <c r="AJ1808" s="26"/>
      <c r="AK1808" s="5"/>
      <c r="AL1808" s="82" t="s">
        <v>4625</v>
      </c>
      <c r="AM1808" s="76"/>
      <c r="AN1808" s="76"/>
      <c r="AO1808" s="76"/>
      <c r="AP1808" s="76"/>
      <c r="AQ1808" s="76"/>
      <c r="AR1808" s="76"/>
      <c r="AS1808" s="76"/>
      <c r="AT1808" s="76"/>
      <c r="AU1808" s="76"/>
      <c r="AV1808" s="76"/>
      <c r="AW1808" s="76"/>
      <c r="AX1808" s="76">
        <f>+AW1808*600000</f>
        <v>0</v>
      </c>
      <c r="AY1808" s="76"/>
      <c r="AZ1808" s="76">
        <f>+AY1808*70000</f>
        <v>0</v>
      </c>
      <c r="BA1808" s="76"/>
      <c r="BB1808" s="76"/>
      <c r="BC1808" s="76"/>
      <c r="BD1808" s="76">
        <f>+BC1808*30000</f>
        <v>0</v>
      </c>
      <c r="BE1808" s="76"/>
      <c r="BF1808" s="76"/>
      <c r="BG1808" s="76"/>
      <c r="BH1808" s="76"/>
      <c r="BI1808" s="76"/>
      <c r="BJ1808" s="76"/>
      <c r="BK1808" s="76"/>
      <c r="BL1808" s="76">
        <f>+BK1808*31500</f>
        <v>0</v>
      </c>
      <c r="BM1808" s="76"/>
      <c r="BN1808" s="76"/>
      <c r="BO1808" s="76"/>
      <c r="BP1808" s="76"/>
      <c r="BQ1808" s="76"/>
      <c r="BR1808" s="76"/>
      <c r="BS1808" s="76"/>
      <c r="BT1808" s="76"/>
      <c r="BU1808" s="76"/>
      <c r="BV1808" s="76"/>
      <c r="BW1808" s="76"/>
      <c r="BX1808" s="76"/>
      <c r="BY1808" s="76"/>
      <c r="BZ1808" s="76"/>
      <c r="CA1808" s="76"/>
      <c r="CB1808" s="76"/>
      <c r="CC1808" s="76"/>
      <c r="CD1808" s="76"/>
      <c r="CE1808" s="76"/>
      <c r="CF1808" s="76">
        <f>+CE1808*28000</f>
        <v>0</v>
      </c>
      <c r="CG1808" s="76"/>
      <c r="CH1808" s="76">
        <f>+CG1808*22500</f>
        <v>0</v>
      </c>
      <c r="CI1808" s="76"/>
      <c r="CJ1808" s="76">
        <f>+CI1808*26000</f>
        <v>0</v>
      </c>
      <c r="CK1808" s="76"/>
      <c r="CL1808" s="76"/>
      <c r="CM1808" s="76"/>
      <c r="CN1808" s="76">
        <f>+CM1808*22000</f>
        <v>0</v>
      </c>
      <c r="CO1808" s="76"/>
      <c r="CP1808" s="76">
        <f>+CO1808*46000</f>
        <v>0</v>
      </c>
      <c r="CQ1808" s="76"/>
      <c r="CR1808" s="76">
        <f>+CQ1808*49000</f>
        <v>0</v>
      </c>
      <c r="CS1808" s="76"/>
      <c r="CT1808" s="76"/>
      <c r="CU1808" s="56">
        <f>AN1808+AP1808+AR1808+AT1808+AV1808+AX1808+AZ1808+BB1808+BD1808+BF1808+BH1808+BJ1808+BL1808+BN1808+BP1808+BR1808+BT1808+BV1808+BX1808+BZ1808+CB1808+CD1808+CF1808+CH1808+CJ1808+CL1808+CN1808+CP1808+CR1808+CT1808</f>
        <v>0</v>
      </c>
      <c r="CV1808" s="76"/>
      <c r="CW1808" s="76">
        <f>+CV1808*1100</f>
        <v>0</v>
      </c>
      <c r="CX1808" s="76"/>
      <c r="CY1808" s="76">
        <f>+CX1808*106250</f>
        <v>0</v>
      </c>
      <c r="CZ1808" s="76"/>
      <c r="DA1808" s="76">
        <f>+CZ1808*34500</f>
        <v>0</v>
      </c>
      <c r="DB1808" s="76"/>
      <c r="DC1808" s="76">
        <f>+DB1808*25000</f>
        <v>0</v>
      </c>
      <c r="DD1808" s="219"/>
      <c r="DE1808" s="219"/>
      <c r="DF1808" s="166"/>
      <c r="DG1808" s="116"/>
      <c r="DH1808" s="117"/>
      <c r="DI1808" s="24"/>
      <c r="DJ1808" s="24"/>
      <c r="DK1808" s="24"/>
      <c r="DL1808" s="24"/>
      <c r="DM1808" s="24"/>
      <c r="DN1808" s="24"/>
      <c r="DO1808" s="24"/>
      <c r="DP1808" s="24"/>
      <c r="DQ1808" s="24"/>
      <c r="DR1808" s="24"/>
      <c r="DS1808" s="24"/>
      <c r="DT1808" s="24"/>
      <c r="DU1808" s="24"/>
    </row>
    <row r="1809" spans="1:125" s="8" customFormat="1" ht="156" x14ac:dyDescent="0.2">
      <c r="A1809" s="172">
        <v>41409</v>
      </c>
      <c r="B1809" s="173" t="s">
        <v>2847</v>
      </c>
      <c r="C1809" s="174" t="s">
        <v>2684</v>
      </c>
      <c r="D1809" s="174" t="s">
        <v>4391</v>
      </c>
      <c r="E1809" s="75" t="str">
        <f>VLOOKUP(B1809&amp;C1809,Divipola!$C$2:$F$1138,4,FALSE)</f>
        <v>68081</v>
      </c>
      <c r="F1809" s="87">
        <v>1</v>
      </c>
      <c r="G1809" s="87"/>
      <c r="H1809" s="87"/>
      <c r="I1809" s="87"/>
      <c r="J1809" s="87"/>
      <c r="K1809" s="87"/>
      <c r="L1809" s="87"/>
      <c r="M1809" s="87"/>
      <c r="N1809" s="87"/>
      <c r="O1809" s="87"/>
      <c r="P1809" s="87"/>
      <c r="Q1809" s="87"/>
      <c r="R1809" s="87"/>
      <c r="S1809" s="87"/>
      <c r="T1809" s="87"/>
      <c r="U1809" s="88"/>
      <c r="V1809" s="89"/>
      <c r="W1809" s="96">
        <v>0</v>
      </c>
      <c r="X1809" s="71">
        <f>CU1809</f>
        <v>0</v>
      </c>
      <c r="Y1809" s="71">
        <f>CY1809</f>
        <v>0</v>
      </c>
      <c r="Z1809" s="71">
        <f>DA1809+DC1809+DE1809</f>
        <v>0</v>
      </c>
      <c r="AA1809" s="71">
        <f>CW1809</f>
        <v>0</v>
      </c>
      <c r="AB1809" s="71"/>
      <c r="AC1809" s="71">
        <v>0</v>
      </c>
      <c r="AD1809" s="71">
        <f>W1809+X1809+Y1809+Z1809+AA1809+AB1809+AC1809</f>
        <v>0</v>
      </c>
      <c r="AE1809" s="72">
        <v>0</v>
      </c>
      <c r="AF1809" s="5"/>
      <c r="AG1809" s="6"/>
      <c r="AH1809" s="27" t="s">
        <v>3392</v>
      </c>
      <c r="AI1809" s="44" t="s">
        <v>3393</v>
      </c>
      <c r="AJ1809" s="26"/>
      <c r="AK1809" s="5"/>
      <c r="AL1809" s="82" t="s">
        <v>4627</v>
      </c>
      <c r="AM1809" s="76"/>
      <c r="AN1809" s="76"/>
      <c r="AO1809" s="76"/>
      <c r="AP1809" s="76"/>
      <c r="AQ1809" s="76"/>
      <c r="AR1809" s="76"/>
      <c r="AS1809" s="76"/>
      <c r="AT1809" s="76"/>
      <c r="AU1809" s="76"/>
      <c r="AV1809" s="76"/>
      <c r="AW1809" s="76"/>
      <c r="AX1809" s="76">
        <f>+AW1809*600000</f>
        <v>0</v>
      </c>
      <c r="AY1809" s="76"/>
      <c r="AZ1809" s="76">
        <f>+AY1809*70000</f>
        <v>0</v>
      </c>
      <c r="BA1809" s="76"/>
      <c r="BB1809" s="76"/>
      <c r="BC1809" s="76"/>
      <c r="BD1809" s="76">
        <f>+BC1809*30000</f>
        <v>0</v>
      </c>
      <c r="BE1809" s="76"/>
      <c r="BF1809" s="76"/>
      <c r="BG1809" s="76"/>
      <c r="BH1809" s="76"/>
      <c r="BI1809" s="76"/>
      <c r="BJ1809" s="76"/>
      <c r="BK1809" s="76"/>
      <c r="BL1809" s="76">
        <f>+BK1809*31500</f>
        <v>0</v>
      </c>
      <c r="BM1809" s="76"/>
      <c r="BN1809" s="76"/>
      <c r="BO1809" s="76"/>
      <c r="BP1809" s="76"/>
      <c r="BQ1809" s="76"/>
      <c r="BR1809" s="76"/>
      <c r="BS1809" s="76"/>
      <c r="BT1809" s="76"/>
      <c r="BU1809" s="76"/>
      <c r="BV1809" s="76"/>
      <c r="BW1809" s="76"/>
      <c r="BX1809" s="76"/>
      <c r="BY1809" s="76"/>
      <c r="BZ1809" s="76"/>
      <c r="CA1809" s="76"/>
      <c r="CB1809" s="76"/>
      <c r="CC1809" s="76"/>
      <c r="CD1809" s="76"/>
      <c r="CE1809" s="76"/>
      <c r="CF1809" s="76">
        <f>+CE1809*28000</f>
        <v>0</v>
      </c>
      <c r="CG1809" s="76"/>
      <c r="CH1809" s="76">
        <f>+CG1809*22500</f>
        <v>0</v>
      </c>
      <c r="CI1809" s="76"/>
      <c r="CJ1809" s="76">
        <f>+CI1809*26000</f>
        <v>0</v>
      </c>
      <c r="CK1809" s="76"/>
      <c r="CL1809" s="76"/>
      <c r="CM1809" s="76"/>
      <c r="CN1809" s="76">
        <f>+CM1809*22000</f>
        <v>0</v>
      </c>
      <c r="CO1809" s="76"/>
      <c r="CP1809" s="76">
        <f>+CO1809*46000</f>
        <v>0</v>
      </c>
      <c r="CQ1809" s="76"/>
      <c r="CR1809" s="76">
        <f>+CQ1809*49000</f>
        <v>0</v>
      </c>
      <c r="CS1809" s="76"/>
      <c r="CT1809" s="76"/>
      <c r="CU1809" s="56">
        <f>AN1809+AP1809+AR1809+AT1809+AV1809+AX1809+AZ1809+BB1809+BD1809+BF1809+BH1809+BJ1809+BL1809+BN1809+BP1809+BR1809+BT1809+BV1809+BX1809+BZ1809+CB1809+CD1809+CF1809+CH1809+CJ1809+CL1809+CN1809+CP1809+CR1809+CT1809</f>
        <v>0</v>
      </c>
      <c r="CV1809" s="76"/>
      <c r="CW1809" s="76">
        <f>+CV1809*1100</f>
        <v>0</v>
      </c>
      <c r="CX1809" s="76"/>
      <c r="CY1809" s="76">
        <f>+CX1809*106250</f>
        <v>0</v>
      </c>
      <c r="CZ1809" s="76"/>
      <c r="DA1809" s="76">
        <f>+CZ1809*34500</f>
        <v>0</v>
      </c>
      <c r="DB1809" s="76"/>
      <c r="DC1809" s="76">
        <f>+DB1809*25000</f>
        <v>0</v>
      </c>
      <c r="DD1809" s="219"/>
      <c r="DE1809" s="219"/>
      <c r="DF1809" s="166"/>
      <c r="DG1809" s="116"/>
      <c r="DH1809" s="117"/>
      <c r="DI1809" s="24"/>
      <c r="DJ1809" s="24"/>
      <c r="DK1809" s="24"/>
      <c r="DL1809" s="24"/>
      <c r="DM1809" s="24"/>
      <c r="DN1809" s="24"/>
      <c r="DO1809" s="24"/>
      <c r="DP1809" s="24"/>
      <c r="DQ1809" s="24"/>
      <c r="DR1809" s="24"/>
      <c r="DS1809" s="24"/>
      <c r="DT1809" s="24"/>
      <c r="DU1809" s="24"/>
    </row>
    <row r="1810" spans="1:125" s="8" customFormat="1" ht="96" x14ac:dyDescent="0.2">
      <c r="A1810" s="353">
        <v>41409</v>
      </c>
      <c r="B1810" s="352" t="s">
        <v>2848</v>
      </c>
      <c r="C1810" s="354" t="s">
        <v>1884</v>
      </c>
      <c r="D1810" s="354" t="s">
        <v>2846</v>
      </c>
      <c r="E1810" s="75" t="str">
        <f>VLOOKUP(B1810&amp;C1810,Divipola!$C$2:$F$1138,4,FALSE)</f>
        <v>73408</v>
      </c>
      <c r="F1810" s="163"/>
      <c r="G1810" s="163"/>
      <c r="H1810" s="163"/>
      <c r="I1810" s="163"/>
      <c r="J1810" s="163"/>
      <c r="K1810" s="163"/>
      <c r="L1810" s="163"/>
      <c r="M1810" s="163"/>
      <c r="N1810" s="163"/>
      <c r="O1810" s="163"/>
      <c r="P1810" s="163"/>
      <c r="Q1810" s="163"/>
      <c r="R1810" s="163"/>
      <c r="S1810" s="163"/>
      <c r="T1810" s="163"/>
      <c r="U1810" s="163"/>
      <c r="V1810" s="134"/>
      <c r="W1810" s="96">
        <v>0</v>
      </c>
      <c r="X1810" s="71">
        <f>CU1810</f>
        <v>0</v>
      </c>
      <c r="Y1810" s="71">
        <f>CY1810</f>
        <v>0</v>
      </c>
      <c r="Z1810" s="71">
        <f>DA1810+DC1810+DE1810</f>
        <v>0</v>
      </c>
      <c r="AA1810" s="71">
        <f>CW1810</f>
        <v>0</v>
      </c>
      <c r="AB1810" s="71"/>
      <c r="AC1810" s="71">
        <v>0</v>
      </c>
      <c r="AD1810" s="71">
        <f>W1810+X1810+Y1810+Z1810+AA1810+AB1810+AC1810</f>
        <v>0</v>
      </c>
      <c r="AE1810" s="72">
        <v>0</v>
      </c>
      <c r="AF1810" s="5"/>
      <c r="AG1810" s="6"/>
      <c r="AH1810" s="27" t="s">
        <v>3392</v>
      </c>
      <c r="AI1810" s="44" t="s">
        <v>3393</v>
      </c>
      <c r="AJ1810" s="26"/>
      <c r="AK1810" s="5"/>
      <c r="AL1810" s="82" t="s">
        <v>4622</v>
      </c>
      <c r="AM1810" s="76"/>
      <c r="AN1810" s="76"/>
      <c r="AO1810" s="76"/>
      <c r="AP1810" s="76"/>
      <c r="AQ1810" s="76"/>
      <c r="AR1810" s="76"/>
      <c r="AS1810" s="76"/>
      <c r="AT1810" s="76"/>
      <c r="AU1810" s="76"/>
      <c r="AV1810" s="76"/>
      <c r="AW1810" s="76"/>
      <c r="AX1810" s="76">
        <f>+AW1810*600000</f>
        <v>0</v>
      </c>
      <c r="AY1810" s="76"/>
      <c r="AZ1810" s="76">
        <f>+AY1810*70000</f>
        <v>0</v>
      </c>
      <c r="BA1810" s="76"/>
      <c r="BB1810" s="76"/>
      <c r="BC1810" s="76"/>
      <c r="BD1810" s="76">
        <f>+BC1810*30000</f>
        <v>0</v>
      </c>
      <c r="BE1810" s="76"/>
      <c r="BF1810" s="76"/>
      <c r="BG1810" s="76"/>
      <c r="BH1810" s="76"/>
      <c r="BI1810" s="76"/>
      <c r="BJ1810" s="76"/>
      <c r="BK1810" s="76"/>
      <c r="BL1810" s="76">
        <f>+BK1810*31500</f>
        <v>0</v>
      </c>
      <c r="BM1810" s="76"/>
      <c r="BN1810" s="76"/>
      <c r="BO1810" s="76"/>
      <c r="BP1810" s="76"/>
      <c r="BQ1810" s="76"/>
      <c r="BR1810" s="76"/>
      <c r="BS1810" s="76"/>
      <c r="BT1810" s="76"/>
      <c r="BU1810" s="76"/>
      <c r="BV1810" s="76"/>
      <c r="BW1810" s="76"/>
      <c r="BX1810" s="76"/>
      <c r="BY1810" s="76"/>
      <c r="BZ1810" s="76"/>
      <c r="CA1810" s="76"/>
      <c r="CB1810" s="76"/>
      <c r="CC1810" s="76"/>
      <c r="CD1810" s="76"/>
      <c r="CE1810" s="76"/>
      <c r="CF1810" s="76">
        <f>+CE1810*28000</f>
        <v>0</v>
      </c>
      <c r="CG1810" s="76"/>
      <c r="CH1810" s="76">
        <f>+CG1810*22500</f>
        <v>0</v>
      </c>
      <c r="CI1810" s="76"/>
      <c r="CJ1810" s="76">
        <f>+CI1810*26000</f>
        <v>0</v>
      </c>
      <c r="CK1810" s="76"/>
      <c r="CL1810" s="76"/>
      <c r="CM1810" s="76"/>
      <c r="CN1810" s="76">
        <f>+CM1810*22000</f>
        <v>0</v>
      </c>
      <c r="CO1810" s="76"/>
      <c r="CP1810" s="76">
        <f>+CO1810*46000</f>
        <v>0</v>
      </c>
      <c r="CQ1810" s="76"/>
      <c r="CR1810" s="76">
        <f>+CQ1810*49000</f>
        <v>0</v>
      </c>
      <c r="CS1810" s="76"/>
      <c r="CT1810" s="76"/>
      <c r="CU1810" s="56">
        <f>AN1810+AP1810+AR1810+AT1810+AV1810+AX1810+AZ1810+BB1810+BD1810+BF1810+BH1810+BJ1810+BL1810+BN1810+BP1810+BR1810+BT1810+BV1810+BX1810+BZ1810+CB1810+CD1810+CF1810+CH1810+CJ1810+CL1810+CN1810+CP1810+CR1810+CT1810</f>
        <v>0</v>
      </c>
      <c r="CV1810" s="76"/>
      <c r="CW1810" s="76">
        <f>+CV1810*1100</f>
        <v>0</v>
      </c>
      <c r="CX1810" s="76"/>
      <c r="CY1810" s="76">
        <f>+CX1810*106250</f>
        <v>0</v>
      </c>
      <c r="CZ1810" s="76"/>
      <c r="DA1810" s="76">
        <f>+CZ1810*34500</f>
        <v>0</v>
      </c>
      <c r="DB1810" s="76"/>
      <c r="DC1810" s="76">
        <f>+DB1810*25000</f>
        <v>0</v>
      </c>
      <c r="DD1810" s="219"/>
      <c r="DE1810" s="219"/>
      <c r="DF1810" s="166"/>
      <c r="DG1810" s="116"/>
      <c r="DH1810" s="117"/>
      <c r="DI1810" s="24"/>
      <c r="DJ1810" s="24"/>
      <c r="DK1810" s="24"/>
      <c r="DL1810" s="24"/>
      <c r="DM1810" s="24"/>
      <c r="DN1810" s="24"/>
      <c r="DO1810" s="24"/>
      <c r="DP1810" s="24"/>
      <c r="DQ1810" s="24"/>
      <c r="DR1810" s="24"/>
      <c r="DS1810" s="24"/>
      <c r="DT1810" s="24"/>
      <c r="DU1810" s="24"/>
    </row>
    <row r="1811" spans="1:125" s="8" customFormat="1" ht="25.5" x14ac:dyDescent="0.2">
      <c r="A1811" s="353">
        <v>41409</v>
      </c>
      <c r="B1811" s="352" t="s">
        <v>2848</v>
      </c>
      <c r="C1811" s="354" t="s">
        <v>1907</v>
      </c>
      <c r="D1811" s="354" t="s">
        <v>3090</v>
      </c>
      <c r="E1811" s="75" t="str">
        <f>VLOOKUP(B1811&amp;C1811,Divipola!$C$2:$F$1138,4,FALSE)</f>
        <v>73624</v>
      </c>
      <c r="F1811" s="163"/>
      <c r="G1811" s="163"/>
      <c r="H1811" s="163"/>
      <c r="I1811" s="163"/>
      <c r="J1811" s="163"/>
      <c r="K1811" s="163"/>
      <c r="L1811" s="163"/>
      <c r="M1811" s="163"/>
      <c r="N1811" s="163"/>
      <c r="O1811" s="163"/>
      <c r="P1811" s="163"/>
      <c r="Q1811" s="163"/>
      <c r="R1811" s="163"/>
      <c r="S1811" s="163"/>
      <c r="T1811" s="163"/>
      <c r="U1811" s="163"/>
      <c r="V1811" s="134"/>
      <c r="W1811" s="96">
        <v>0</v>
      </c>
      <c r="X1811" s="71">
        <f>CU1811</f>
        <v>138000000</v>
      </c>
      <c r="Y1811" s="71">
        <f>CY1811</f>
        <v>0</v>
      </c>
      <c r="Z1811" s="71">
        <f>DA1811+DC1811+DE1811</f>
        <v>0</v>
      </c>
      <c r="AA1811" s="71">
        <f>CW1811</f>
        <v>0</v>
      </c>
      <c r="AB1811" s="71"/>
      <c r="AC1811" s="71">
        <v>0</v>
      </c>
      <c r="AD1811" s="71">
        <f>W1811+X1811+Y1811+Z1811+AA1811+AB1811+AC1811</f>
        <v>138000000</v>
      </c>
      <c r="AE1811" s="72">
        <v>0</v>
      </c>
      <c r="AF1811" s="5"/>
      <c r="AG1811" s="6"/>
      <c r="AH1811" s="27" t="s">
        <v>3390</v>
      </c>
      <c r="AI1811" s="44" t="s">
        <v>3391</v>
      </c>
      <c r="AJ1811" s="26"/>
      <c r="AK1811" s="5"/>
      <c r="AL1811" s="82"/>
      <c r="AM1811" s="76"/>
      <c r="AN1811" s="76"/>
      <c r="AO1811" s="76"/>
      <c r="AP1811" s="76"/>
      <c r="AQ1811" s="76"/>
      <c r="AR1811" s="76"/>
      <c r="AS1811" s="76"/>
      <c r="AT1811" s="76"/>
      <c r="AU1811" s="76"/>
      <c r="AV1811" s="76"/>
      <c r="AW1811" s="76"/>
      <c r="AX1811" s="76">
        <f>+AW1811*600000</f>
        <v>0</v>
      </c>
      <c r="AY1811" s="76"/>
      <c r="AZ1811" s="76">
        <f>+AY1811*70000</f>
        <v>0</v>
      </c>
      <c r="BA1811" s="76"/>
      <c r="BB1811" s="76"/>
      <c r="BC1811" s="76"/>
      <c r="BD1811" s="76">
        <f>+BC1811*30000</f>
        <v>0</v>
      </c>
      <c r="BE1811" s="76"/>
      <c r="BF1811" s="76"/>
      <c r="BG1811" s="76"/>
      <c r="BH1811" s="76"/>
      <c r="BI1811" s="76"/>
      <c r="BJ1811" s="76"/>
      <c r="BK1811" s="76"/>
      <c r="BL1811" s="76">
        <f>+BK1811*31500</f>
        <v>0</v>
      </c>
      <c r="BM1811" s="76"/>
      <c r="BN1811" s="76"/>
      <c r="BO1811" s="76"/>
      <c r="BP1811" s="76"/>
      <c r="BQ1811" s="76"/>
      <c r="BR1811" s="76"/>
      <c r="BS1811" s="76"/>
      <c r="BT1811" s="76"/>
      <c r="BU1811" s="76"/>
      <c r="BV1811" s="76"/>
      <c r="BW1811" s="76"/>
      <c r="BX1811" s="76"/>
      <c r="BY1811" s="76"/>
      <c r="BZ1811" s="76"/>
      <c r="CA1811" s="76"/>
      <c r="CB1811" s="76"/>
      <c r="CC1811" s="76"/>
      <c r="CD1811" s="76"/>
      <c r="CE1811" s="76"/>
      <c r="CF1811" s="76">
        <f>+CE1811*28000</f>
        <v>0</v>
      </c>
      <c r="CG1811" s="76"/>
      <c r="CH1811" s="76">
        <f>+CG1811*22500</f>
        <v>0</v>
      </c>
      <c r="CI1811" s="76"/>
      <c r="CJ1811" s="76">
        <f>+CI1811*26000</f>
        <v>0</v>
      </c>
      <c r="CK1811" s="76"/>
      <c r="CL1811" s="76"/>
      <c r="CM1811" s="76"/>
      <c r="CN1811" s="76">
        <f>+CM1811*22000</f>
        <v>0</v>
      </c>
      <c r="CO1811" s="86">
        <v>3000</v>
      </c>
      <c r="CP1811" s="86">
        <f>1500*46000+1500*46000</f>
        <v>138000000</v>
      </c>
      <c r="CQ1811" s="76"/>
      <c r="CR1811" s="76">
        <f>+CQ1811*49000</f>
        <v>0</v>
      </c>
      <c r="CS1811" s="76"/>
      <c r="CT1811" s="76"/>
      <c r="CU1811" s="56">
        <f>AN1811+AP1811+AR1811+AT1811+AV1811+AX1811+AZ1811+BB1811+BD1811+BF1811+BH1811+BJ1811+BL1811+BN1811+BP1811+BR1811+BT1811+BV1811+BX1811+BZ1811+CB1811+CD1811+CF1811+CH1811+CJ1811+CL1811+CN1811+CP1811+CR1811+CT1811</f>
        <v>138000000</v>
      </c>
      <c r="CV1811" s="76"/>
      <c r="CW1811" s="76">
        <f>+CV1811*1100</f>
        <v>0</v>
      </c>
      <c r="CX1811" s="76"/>
      <c r="CY1811" s="76">
        <f>+CX1811*106250</f>
        <v>0</v>
      </c>
      <c r="CZ1811" s="76"/>
      <c r="DA1811" s="76">
        <f>+CZ1811*34500</f>
        <v>0</v>
      </c>
      <c r="DB1811" s="76"/>
      <c r="DC1811" s="76">
        <f>+DB1811*25000</f>
        <v>0</v>
      </c>
      <c r="DD1811" s="219"/>
      <c r="DE1811" s="219"/>
      <c r="DF1811" s="166"/>
      <c r="DG1811" s="192" t="s">
        <v>6463</v>
      </c>
      <c r="DH1811" s="117"/>
      <c r="DI1811" s="24"/>
      <c r="DJ1811" s="24"/>
      <c r="DK1811" s="24"/>
      <c r="DL1811" s="24"/>
      <c r="DM1811" s="24"/>
      <c r="DN1811" s="24"/>
      <c r="DO1811" s="24"/>
      <c r="DP1811" s="24"/>
      <c r="DQ1811" s="24"/>
      <c r="DR1811" s="24"/>
      <c r="DS1811" s="24"/>
      <c r="DT1811" s="24"/>
      <c r="DU1811" s="24"/>
    </row>
    <row r="1812" spans="1:125" s="8" customFormat="1" ht="36" x14ac:dyDescent="0.2">
      <c r="A1812" s="77">
        <v>41410</v>
      </c>
      <c r="B1812" s="78" t="s">
        <v>2881</v>
      </c>
      <c r="C1812" s="75" t="s">
        <v>1416</v>
      </c>
      <c r="D1812" s="75" t="s">
        <v>2882</v>
      </c>
      <c r="E1812" s="75" t="str">
        <f>VLOOKUP(B1812&amp;C1812,Divipola!$C$2:$F$1138,4,FALSE)</f>
        <v>08436</v>
      </c>
      <c r="F1812" s="87"/>
      <c r="G1812" s="87"/>
      <c r="H1812" s="87"/>
      <c r="I1812" s="87">
        <v>125</v>
      </c>
      <c r="J1812" s="87">
        <v>25</v>
      </c>
      <c r="K1812" s="87"/>
      <c r="L1812" s="87">
        <v>25</v>
      </c>
      <c r="M1812" s="87"/>
      <c r="N1812" s="87"/>
      <c r="O1812" s="87"/>
      <c r="P1812" s="87"/>
      <c r="Q1812" s="87"/>
      <c r="R1812" s="87"/>
      <c r="S1812" s="87"/>
      <c r="T1812" s="87">
        <v>13</v>
      </c>
      <c r="U1812" s="88"/>
      <c r="V1812" s="89"/>
      <c r="W1812" s="96">
        <v>0</v>
      </c>
      <c r="X1812" s="71">
        <f>CU1812</f>
        <v>0</v>
      </c>
      <c r="Y1812" s="71">
        <f>CY1812</f>
        <v>0</v>
      </c>
      <c r="Z1812" s="71">
        <f>DA1812+DC1812+DE1812</f>
        <v>0</v>
      </c>
      <c r="AA1812" s="71">
        <f>CW1812</f>
        <v>0</v>
      </c>
      <c r="AB1812" s="71"/>
      <c r="AC1812" s="71">
        <v>0</v>
      </c>
      <c r="AD1812" s="71">
        <f>W1812+X1812+Y1812+Z1812+AA1812+AB1812+AC1812</f>
        <v>0</v>
      </c>
      <c r="AE1812" s="72">
        <v>0</v>
      </c>
      <c r="AF1812" s="5"/>
      <c r="AG1812" s="6"/>
      <c r="AH1812" s="27" t="s">
        <v>3392</v>
      </c>
      <c r="AI1812" s="44" t="s">
        <v>3393</v>
      </c>
      <c r="AJ1812" s="26"/>
      <c r="AK1812" s="5"/>
      <c r="AL1812" s="82" t="s">
        <v>4631</v>
      </c>
      <c r="AM1812" s="76"/>
      <c r="AN1812" s="76"/>
      <c r="AO1812" s="76"/>
      <c r="AP1812" s="76"/>
      <c r="AQ1812" s="76"/>
      <c r="AR1812" s="76"/>
      <c r="AS1812" s="76"/>
      <c r="AT1812" s="76"/>
      <c r="AU1812" s="76"/>
      <c r="AV1812" s="76"/>
      <c r="AW1812" s="76"/>
      <c r="AX1812" s="76">
        <f>+AW1812*600000</f>
        <v>0</v>
      </c>
      <c r="AY1812" s="76"/>
      <c r="AZ1812" s="76">
        <f>+AY1812*70000</f>
        <v>0</v>
      </c>
      <c r="BA1812" s="76"/>
      <c r="BB1812" s="76"/>
      <c r="BC1812" s="76"/>
      <c r="BD1812" s="76">
        <f>+BC1812*30000</f>
        <v>0</v>
      </c>
      <c r="BE1812" s="76"/>
      <c r="BF1812" s="76"/>
      <c r="BG1812" s="76"/>
      <c r="BH1812" s="76"/>
      <c r="BI1812" s="76"/>
      <c r="BJ1812" s="76"/>
      <c r="BK1812" s="76"/>
      <c r="BL1812" s="76">
        <f>+BK1812*31500</f>
        <v>0</v>
      </c>
      <c r="BM1812" s="76"/>
      <c r="BN1812" s="76"/>
      <c r="BO1812" s="76"/>
      <c r="BP1812" s="76"/>
      <c r="BQ1812" s="76"/>
      <c r="BR1812" s="76"/>
      <c r="BS1812" s="76"/>
      <c r="BT1812" s="76"/>
      <c r="BU1812" s="76"/>
      <c r="BV1812" s="76"/>
      <c r="BW1812" s="76"/>
      <c r="BX1812" s="76"/>
      <c r="BY1812" s="76"/>
      <c r="BZ1812" s="76"/>
      <c r="CA1812" s="76"/>
      <c r="CB1812" s="76"/>
      <c r="CC1812" s="76"/>
      <c r="CD1812" s="76"/>
      <c r="CE1812" s="76"/>
      <c r="CF1812" s="76">
        <f>+CE1812*28000</f>
        <v>0</v>
      </c>
      <c r="CG1812" s="76"/>
      <c r="CH1812" s="76">
        <f>+CG1812*22500</f>
        <v>0</v>
      </c>
      <c r="CI1812" s="76"/>
      <c r="CJ1812" s="76">
        <f>+CI1812*26000</f>
        <v>0</v>
      </c>
      <c r="CK1812" s="76"/>
      <c r="CL1812" s="76"/>
      <c r="CM1812" s="76"/>
      <c r="CN1812" s="76">
        <f>+CM1812*22000</f>
        <v>0</v>
      </c>
      <c r="CO1812" s="76"/>
      <c r="CP1812" s="76">
        <f>+CO1812*46000</f>
        <v>0</v>
      </c>
      <c r="CQ1812" s="76"/>
      <c r="CR1812" s="76">
        <f>+CQ1812*49000</f>
        <v>0</v>
      </c>
      <c r="CS1812" s="76"/>
      <c r="CT1812" s="76"/>
      <c r="CU1812" s="56">
        <f>AN1812+AP1812+AR1812+AT1812+AV1812+AX1812+AZ1812+BB1812+BD1812+BF1812+BH1812+BJ1812+BL1812+BN1812+BP1812+BR1812+BT1812+BV1812+BX1812+BZ1812+CB1812+CD1812+CF1812+CH1812+CJ1812+CL1812+CN1812+CP1812+CR1812+CT1812</f>
        <v>0</v>
      </c>
      <c r="CV1812" s="76"/>
      <c r="CW1812" s="76">
        <f>+CV1812*1100</f>
        <v>0</v>
      </c>
      <c r="CX1812" s="76"/>
      <c r="CY1812" s="76">
        <f>+CX1812*106250</f>
        <v>0</v>
      </c>
      <c r="CZ1812" s="76"/>
      <c r="DA1812" s="76">
        <f>+CZ1812*34500</f>
        <v>0</v>
      </c>
      <c r="DB1812" s="76"/>
      <c r="DC1812" s="76">
        <f>+DB1812*25000</f>
        <v>0</v>
      </c>
      <c r="DD1812" s="219"/>
      <c r="DE1812" s="219"/>
      <c r="DF1812" s="166"/>
      <c r="DG1812" s="116"/>
      <c r="DH1812" s="117"/>
      <c r="DI1812" s="24"/>
      <c r="DJ1812" s="24"/>
      <c r="DK1812" s="24"/>
      <c r="DL1812" s="24"/>
      <c r="DM1812" s="24"/>
      <c r="DN1812" s="24"/>
      <c r="DO1812" s="24"/>
      <c r="DP1812" s="24"/>
      <c r="DQ1812" s="24"/>
      <c r="DR1812" s="24"/>
      <c r="DS1812" s="24"/>
      <c r="DT1812" s="24"/>
      <c r="DU1812" s="24"/>
    </row>
    <row r="1813" spans="1:125" s="8" customFormat="1" x14ac:dyDescent="0.2">
      <c r="A1813" s="77">
        <v>41410</v>
      </c>
      <c r="B1813" s="78" t="s">
        <v>2852</v>
      </c>
      <c r="C1813" s="75" t="s">
        <v>1228</v>
      </c>
      <c r="D1813" s="75" t="s">
        <v>3051</v>
      </c>
      <c r="E1813" s="75" t="str">
        <f>VLOOKUP(B1813&amp;C1813,Divipola!$C$2:$F$1138,4,FALSE)</f>
        <v>27150</v>
      </c>
      <c r="F1813" s="163"/>
      <c r="G1813" s="163"/>
      <c r="H1813" s="163"/>
      <c r="I1813" s="163">
        <v>340</v>
      </c>
      <c r="J1813" s="163">
        <v>92</v>
      </c>
      <c r="K1813" s="163">
        <v>10</v>
      </c>
      <c r="L1813" s="163">
        <v>23</v>
      </c>
      <c r="M1813" s="163"/>
      <c r="N1813" s="163"/>
      <c r="O1813" s="163"/>
      <c r="P1813" s="163"/>
      <c r="Q1813" s="163"/>
      <c r="R1813" s="163"/>
      <c r="S1813" s="163">
        <v>4</v>
      </c>
      <c r="T1813" s="163"/>
      <c r="U1813" s="163"/>
      <c r="V1813" s="134"/>
      <c r="W1813" s="96">
        <v>0</v>
      </c>
      <c r="X1813" s="71">
        <f>CU1813</f>
        <v>32292000</v>
      </c>
      <c r="Y1813" s="71">
        <f>CY1813</f>
        <v>29532000</v>
      </c>
      <c r="Z1813" s="71">
        <f>DA1813+DC1813+DE1813</f>
        <v>56400000</v>
      </c>
      <c r="AA1813" s="71">
        <f>CW1813</f>
        <v>0</v>
      </c>
      <c r="AB1813" s="71"/>
      <c r="AC1813" s="71">
        <v>0</v>
      </c>
      <c r="AD1813" s="71">
        <f>W1813+X1813+Y1813+Z1813+AA1813+AB1813+AC1813</f>
        <v>118224000</v>
      </c>
      <c r="AE1813" s="72">
        <v>0</v>
      </c>
      <c r="AF1813" s="5"/>
      <c r="AG1813" s="6"/>
      <c r="AH1813" s="27" t="s">
        <v>3390</v>
      </c>
      <c r="AI1813" s="44" t="s">
        <v>3391</v>
      </c>
      <c r="AJ1813" s="26"/>
      <c r="AK1813" s="5"/>
      <c r="AL1813" s="82"/>
      <c r="AM1813" s="76"/>
      <c r="AN1813" s="76"/>
      <c r="AO1813" s="76"/>
      <c r="AP1813" s="76"/>
      <c r="AQ1813" s="76"/>
      <c r="AR1813" s="76"/>
      <c r="AS1813" s="76"/>
      <c r="AT1813" s="76"/>
      <c r="AU1813" s="76"/>
      <c r="AV1813" s="76"/>
      <c r="AW1813" s="76"/>
      <c r="AX1813" s="76">
        <f>+AW1813*600000</f>
        <v>0</v>
      </c>
      <c r="AY1813" s="86">
        <v>184</v>
      </c>
      <c r="AZ1813" s="86">
        <f>+AY1813*72000</f>
        <v>13248000</v>
      </c>
      <c r="BA1813" s="86"/>
      <c r="BB1813" s="76"/>
      <c r="BC1813" s="76"/>
      <c r="BD1813" s="76">
        <f>+BC1813*30000</f>
        <v>0</v>
      </c>
      <c r="BE1813" s="76"/>
      <c r="BF1813" s="76"/>
      <c r="BG1813" s="76"/>
      <c r="BH1813" s="76"/>
      <c r="BI1813" s="76"/>
      <c r="BJ1813" s="76"/>
      <c r="BK1813" s="76"/>
      <c r="BL1813" s="76">
        <f>+BK1813*31500</f>
        <v>0</v>
      </c>
      <c r="BM1813" s="76"/>
      <c r="BN1813" s="76"/>
      <c r="BO1813" s="76"/>
      <c r="BP1813" s="76"/>
      <c r="BQ1813" s="76"/>
      <c r="BR1813" s="76"/>
      <c r="BS1813" s="76"/>
      <c r="BT1813" s="76"/>
      <c r="BU1813" s="76"/>
      <c r="BV1813" s="76"/>
      <c r="BW1813" s="76"/>
      <c r="BX1813" s="76"/>
      <c r="BY1813" s="76"/>
      <c r="BZ1813" s="76"/>
      <c r="CA1813" s="76"/>
      <c r="CB1813" s="76"/>
      <c r="CC1813" s="76"/>
      <c r="CD1813" s="76"/>
      <c r="CE1813" s="76"/>
      <c r="CF1813" s="76">
        <f>+CE1813*28000</f>
        <v>0</v>
      </c>
      <c r="CG1813" s="76"/>
      <c r="CH1813" s="76">
        <f>+CG1813*22500</f>
        <v>0</v>
      </c>
      <c r="CI1813" s="86">
        <v>276</v>
      </c>
      <c r="CJ1813" s="86">
        <f>+CI1813*28000</f>
        <v>7728000</v>
      </c>
      <c r="CK1813" s="76"/>
      <c r="CL1813" s="76"/>
      <c r="CM1813" s="86">
        <v>276</v>
      </c>
      <c r="CN1813" s="86">
        <f>+CM1813*24000</f>
        <v>6624000</v>
      </c>
      <c r="CO1813" s="76"/>
      <c r="CP1813" s="76">
        <f>+CO1813*46000</f>
        <v>0</v>
      </c>
      <c r="CQ1813" s="86">
        <v>92</v>
      </c>
      <c r="CR1813" s="86">
        <f>+CQ1813*51000</f>
        <v>4692000</v>
      </c>
      <c r="CS1813" s="86"/>
      <c r="CT1813" s="76"/>
      <c r="CU1813" s="56">
        <f>AN1813+AP1813+AR1813+AT1813+AV1813+AX1813+AZ1813+BB1813+BD1813+BF1813+BH1813+BJ1813+BL1813+BN1813+BP1813+BR1813+BT1813+BV1813+BX1813+BZ1813+CB1813+CD1813+CF1813+CH1813+CJ1813+CL1813+CN1813+CP1813+CR1813+CT1813</f>
        <v>32292000</v>
      </c>
      <c r="CV1813" s="76"/>
      <c r="CW1813" s="76">
        <f>+CV1813*1100</f>
        <v>0</v>
      </c>
      <c r="CX1813" s="86">
        <v>276</v>
      </c>
      <c r="CY1813" s="86">
        <f>+CX1813*107000</f>
        <v>29532000</v>
      </c>
      <c r="CZ1813" s="86"/>
      <c r="DA1813" s="76">
        <f>+CZ1813*34500</f>
        <v>0</v>
      </c>
      <c r="DB1813" s="86">
        <v>2000</v>
      </c>
      <c r="DC1813" s="86">
        <f>+DB1813*27000+12000*200</f>
        <v>56400000</v>
      </c>
      <c r="DD1813" s="219"/>
      <c r="DE1813" s="219"/>
      <c r="DF1813" s="166"/>
      <c r="DG1813" s="134" t="s">
        <v>5461</v>
      </c>
      <c r="DH1813" s="117"/>
      <c r="DI1813" s="24"/>
      <c r="DJ1813" s="24"/>
      <c r="DK1813" s="24"/>
      <c r="DL1813" s="24"/>
      <c r="DM1813" s="24"/>
      <c r="DN1813" s="24"/>
      <c r="DO1813" s="24"/>
      <c r="DP1813" s="24"/>
      <c r="DQ1813" s="24"/>
      <c r="DR1813" s="24"/>
      <c r="DS1813" s="24"/>
      <c r="DT1813" s="24"/>
      <c r="DU1813" s="24"/>
    </row>
    <row r="1814" spans="1:125" s="8" customFormat="1" ht="192" x14ac:dyDescent="0.2">
      <c r="A1814" s="353">
        <v>41410</v>
      </c>
      <c r="B1814" s="352" t="s">
        <v>2772</v>
      </c>
      <c r="C1814" s="354" t="s">
        <v>1389</v>
      </c>
      <c r="D1814" s="354" t="s">
        <v>3088</v>
      </c>
      <c r="E1814" s="75" t="str">
        <f>VLOOKUP(B1814&amp;C1814,Divipola!$C$2:$F$1138,4,FALSE)</f>
        <v>25335</v>
      </c>
      <c r="F1814" s="87"/>
      <c r="G1814" s="87"/>
      <c r="H1814" s="87"/>
      <c r="I1814" s="87">
        <v>20</v>
      </c>
      <c r="J1814" s="87">
        <v>4</v>
      </c>
      <c r="K1814" s="87"/>
      <c r="L1814" s="87">
        <v>4</v>
      </c>
      <c r="M1814" s="87">
        <v>1</v>
      </c>
      <c r="N1814" s="87"/>
      <c r="O1814" s="87"/>
      <c r="P1814" s="87"/>
      <c r="Q1814" s="87"/>
      <c r="R1814" s="87"/>
      <c r="S1814" s="87"/>
      <c r="T1814" s="87"/>
      <c r="U1814" s="88"/>
      <c r="V1814" s="89"/>
      <c r="W1814" s="96">
        <v>0</v>
      </c>
      <c r="X1814" s="71">
        <f>CU1814</f>
        <v>0</v>
      </c>
      <c r="Y1814" s="71">
        <f>CY1814</f>
        <v>0</v>
      </c>
      <c r="Z1814" s="71">
        <f>DA1814+DC1814+DE1814</f>
        <v>0</v>
      </c>
      <c r="AA1814" s="71">
        <f>CW1814</f>
        <v>0</v>
      </c>
      <c r="AB1814" s="71"/>
      <c r="AC1814" s="71">
        <v>0</v>
      </c>
      <c r="AD1814" s="71">
        <f>W1814+X1814+Y1814+Z1814+AA1814+AB1814+AC1814</f>
        <v>0</v>
      </c>
      <c r="AE1814" s="72">
        <v>0</v>
      </c>
      <c r="AF1814" s="5"/>
      <c r="AG1814" s="6"/>
      <c r="AH1814" s="27" t="s">
        <v>3392</v>
      </c>
      <c r="AI1814" s="44" t="s">
        <v>3393</v>
      </c>
      <c r="AJ1814" s="26"/>
      <c r="AK1814" s="5"/>
      <c r="AL1814" s="82" t="s">
        <v>5264</v>
      </c>
      <c r="AM1814" s="76"/>
      <c r="AN1814" s="76"/>
      <c r="AO1814" s="76"/>
      <c r="AP1814" s="76"/>
      <c r="AQ1814" s="76"/>
      <c r="AR1814" s="76"/>
      <c r="AS1814" s="76"/>
      <c r="AT1814" s="76"/>
      <c r="AU1814" s="76"/>
      <c r="AV1814" s="76"/>
      <c r="AW1814" s="76"/>
      <c r="AX1814" s="76">
        <f>+AW1814*600000</f>
        <v>0</v>
      </c>
      <c r="AY1814" s="76"/>
      <c r="AZ1814" s="76">
        <f>+AY1814*70000</f>
        <v>0</v>
      </c>
      <c r="BA1814" s="76"/>
      <c r="BB1814" s="76"/>
      <c r="BC1814" s="76"/>
      <c r="BD1814" s="76">
        <f>+BC1814*30000</f>
        <v>0</v>
      </c>
      <c r="BE1814" s="76"/>
      <c r="BF1814" s="76"/>
      <c r="BG1814" s="76"/>
      <c r="BH1814" s="76"/>
      <c r="BI1814" s="76"/>
      <c r="BJ1814" s="76"/>
      <c r="BK1814" s="76"/>
      <c r="BL1814" s="76">
        <f>+BK1814*31500</f>
        <v>0</v>
      </c>
      <c r="BM1814" s="76"/>
      <c r="BN1814" s="76"/>
      <c r="BO1814" s="76"/>
      <c r="BP1814" s="76"/>
      <c r="BQ1814" s="76"/>
      <c r="BR1814" s="76"/>
      <c r="BS1814" s="76"/>
      <c r="BT1814" s="76"/>
      <c r="BU1814" s="76"/>
      <c r="BV1814" s="76"/>
      <c r="BW1814" s="76"/>
      <c r="BX1814" s="76"/>
      <c r="BY1814" s="76"/>
      <c r="BZ1814" s="76"/>
      <c r="CA1814" s="76"/>
      <c r="CB1814" s="76"/>
      <c r="CC1814" s="76"/>
      <c r="CD1814" s="76"/>
      <c r="CE1814" s="76"/>
      <c r="CF1814" s="76">
        <f>+CE1814*28000</f>
        <v>0</v>
      </c>
      <c r="CG1814" s="76"/>
      <c r="CH1814" s="76">
        <f>+CG1814*22500</f>
        <v>0</v>
      </c>
      <c r="CI1814" s="76"/>
      <c r="CJ1814" s="76">
        <f>+CI1814*26000</f>
        <v>0</v>
      </c>
      <c r="CK1814" s="76"/>
      <c r="CL1814" s="76"/>
      <c r="CM1814" s="76"/>
      <c r="CN1814" s="76">
        <f>+CM1814*22000</f>
        <v>0</v>
      </c>
      <c r="CO1814" s="76"/>
      <c r="CP1814" s="76">
        <f>+CO1814*46000</f>
        <v>0</v>
      </c>
      <c r="CQ1814" s="76"/>
      <c r="CR1814" s="76">
        <f>+CQ1814*49000</f>
        <v>0</v>
      </c>
      <c r="CS1814" s="76"/>
      <c r="CT1814" s="76"/>
      <c r="CU1814" s="56">
        <f>AN1814+AP1814+AR1814+AT1814+AV1814+AX1814+AZ1814+BB1814+BD1814+BF1814+BH1814+BJ1814+BL1814+BN1814+BP1814+BR1814+BT1814+BV1814+BX1814+BZ1814+CB1814+CD1814+CF1814+CH1814+CJ1814+CL1814+CN1814+CP1814+CR1814+CT1814</f>
        <v>0</v>
      </c>
      <c r="CV1814" s="76"/>
      <c r="CW1814" s="76">
        <f>+CV1814*1100</f>
        <v>0</v>
      </c>
      <c r="CX1814" s="76"/>
      <c r="CY1814" s="76">
        <f>+CX1814*106250</f>
        <v>0</v>
      </c>
      <c r="CZ1814" s="76"/>
      <c r="DA1814" s="76">
        <f>+CZ1814*34500</f>
        <v>0</v>
      </c>
      <c r="DB1814" s="76"/>
      <c r="DC1814" s="76">
        <f>+DB1814*25000</f>
        <v>0</v>
      </c>
      <c r="DD1814" s="219"/>
      <c r="DE1814" s="219"/>
      <c r="DF1814" s="166"/>
      <c r="DG1814" s="116"/>
      <c r="DH1814" s="117"/>
      <c r="DI1814" s="24"/>
      <c r="DJ1814" s="24"/>
      <c r="DK1814" s="24"/>
      <c r="DL1814" s="24"/>
      <c r="DM1814" s="24"/>
      <c r="DN1814" s="24"/>
      <c r="DO1814" s="24"/>
      <c r="DP1814" s="24"/>
      <c r="DQ1814" s="24"/>
      <c r="DR1814" s="24"/>
      <c r="DS1814" s="24"/>
      <c r="DT1814" s="24"/>
      <c r="DU1814" s="24"/>
    </row>
    <row r="1815" spans="1:125" s="8" customFormat="1" ht="108" x14ac:dyDescent="0.2">
      <c r="A1815" s="77">
        <v>41410</v>
      </c>
      <c r="B1815" s="78" t="s">
        <v>2772</v>
      </c>
      <c r="C1815" s="75" t="s">
        <v>2155</v>
      </c>
      <c r="D1815" s="75" t="s">
        <v>3051</v>
      </c>
      <c r="E1815" s="75" t="str">
        <f>VLOOKUP(B1815&amp;C1815,Divipola!$C$2:$F$1138,4,FALSE)</f>
        <v>25875</v>
      </c>
      <c r="F1815" s="163"/>
      <c r="G1815" s="163"/>
      <c r="H1815" s="163"/>
      <c r="I1815" s="163"/>
      <c r="J1815" s="163"/>
      <c r="K1815" s="163"/>
      <c r="L1815" s="163"/>
      <c r="M1815" s="163"/>
      <c r="N1815" s="163"/>
      <c r="O1815" s="163"/>
      <c r="P1815" s="163"/>
      <c r="Q1815" s="163"/>
      <c r="R1815" s="163"/>
      <c r="S1815" s="163"/>
      <c r="T1815" s="163"/>
      <c r="U1815" s="163"/>
      <c r="V1815" s="134"/>
      <c r="W1815" s="96">
        <v>0</v>
      </c>
      <c r="X1815" s="71">
        <f>CU1815</f>
        <v>0</v>
      </c>
      <c r="Y1815" s="71">
        <f>CY1815</f>
        <v>0</v>
      </c>
      <c r="Z1815" s="71">
        <f>DA1815+DC1815+DE1815</f>
        <v>0</v>
      </c>
      <c r="AA1815" s="71">
        <f>CW1815</f>
        <v>0</v>
      </c>
      <c r="AB1815" s="71"/>
      <c r="AC1815" s="71">
        <v>300000000</v>
      </c>
      <c r="AD1815" s="71">
        <f>W1815+X1815+Y1815+Z1815+AA1815+AB1815+AC1815</f>
        <v>300000000</v>
      </c>
      <c r="AE1815" s="72">
        <v>0</v>
      </c>
      <c r="AF1815" s="5"/>
      <c r="AG1815" s="6"/>
      <c r="AH1815" s="27" t="s">
        <v>3390</v>
      </c>
      <c r="AI1815" s="44" t="s">
        <v>3391</v>
      </c>
      <c r="AJ1815" s="26"/>
      <c r="AK1815" s="5"/>
      <c r="AL1815" s="82" t="s">
        <v>4623</v>
      </c>
      <c r="AM1815" s="76"/>
      <c r="AN1815" s="76"/>
      <c r="AO1815" s="76"/>
      <c r="AP1815" s="76"/>
      <c r="AQ1815" s="76"/>
      <c r="AR1815" s="76"/>
      <c r="AS1815" s="76"/>
      <c r="AT1815" s="76"/>
      <c r="AU1815" s="76"/>
      <c r="AV1815" s="76"/>
      <c r="AW1815" s="76"/>
      <c r="AX1815" s="76">
        <f>+AW1815*600000</f>
        <v>0</v>
      </c>
      <c r="AY1815" s="76"/>
      <c r="AZ1815" s="76">
        <f>+AY1815*70000</f>
        <v>0</v>
      </c>
      <c r="BA1815" s="76"/>
      <c r="BB1815" s="76"/>
      <c r="BC1815" s="76"/>
      <c r="BD1815" s="76">
        <f>+BC1815*30000</f>
        <v>0</v>
      </c>
      <c r="BE1815" s="76"/>
      <c r="BF1815" s="76"/>
      <c r="BG1815" s="76"/>
      <c r="BH1815" s="76"/>
      <c r="BI1815" s="76"/>
      <c r="BJ1815" s="76"/>
      <c r="BK1815" s="76"/>
      <c r="BL1815" s="76">
        <f>+BK1815*31500</f>
        <v>0</v>
      </c>
      <c r="BM1815" s="76"/>
      <c r="BN1815" s="76"/>
      <c r="BO1815" s="76"/>
      <c r="BP1815" s="76"/>
      <c r="BQ1815" s="76"/>
      <c r="BR1815" s="76"/>
      <c r="BS1815" s="76"/>
      <c r="BT1815" s="76"/>
      <c r="BU1815" s="76"/>
      <c r="BV1815" s="76"/>
      <c r="BW1815" s="76"/>
      <c r="BX1815" s="76"/>
      <c r="BY1815" s="76"/>
      <c r="BZ1815" s="76"/>
      <c r="CA1815" s="76"/>
      <c r="CB1815" s="76"/>
      <c r="CC1815" s="76"/>
      <c r="CD1815" s="76"/>
      <c r="CE1815" s="76"/>
      <c r="CF1815" s="76">
        <f>+CE1815*28000</f>
        <v>0</v>
      </c>
      <c r="CG1815" s="76"/>
      <c r="CH1815" s="76">
        <f>+CG1815*22500</f>
        <v>0</v>
      </c>
      <c r="CI1815" s="76"/>
      <c r="CJ1815" s="76">
        <f>+CI1815*26000</f>
        <v>0</v>
      </c>
      <c r="CK1815" s="76"/>
      <c r="CL1815" s="76"/>
      <c r="CM1815" s="76"/>
      <c r="CN1815" s="76">
        <f>+CM1815*22000</f>
        <v>0</v>
      </c>
      <c r="CO1815" s="76"/>
      <c r="CP1815" s="76">
        <f>+CO1815*46000</f>
        <v>0</v>
      </c>
      <c r="CQ1815" s="76"/>
      <c r="CR1815" s="76">
        <f>+CQ1815*49000</f>
        <v>0</v>
      </c>
      <c r="CS1815" s="76"/>
      <c r="CT1815" s="76"/>
      <c r="CU1815" s="56">
        <f>AN1815+AP1815+AR1815+AT1815+AV1815+AX1815+AZ1815+BB1815+BD1815+BF1815+BH1815+BJ1815+BL1815+BN1815+BP1815+BR1815+BT1815+BV1815+BX1815+BZ1815+CB1815+CD1815+CF1815+CH1815+CJ1815+CL1815+CN1815+CP1815+CR1815+CT1815</f>
        <v>0</v>
      </c>
      <c r="CV1815" s="76"/>
      <c r="CW1815" s="76">
        <f>+CV1815*1100</f>
        <v>0</v>
      </c>
      <c r="CX1815" s="76"/>
      <c r="CY1815" s="76">
        <f>+CX1815*106250</f>
        <v>0</v>
      </c>
      <c r="CZ1815" s="76"/>
      <c r="DA1815" s="76">
        <f>+CZ1815*34500</f>
        <v>0</v>
      </c>
      <c r="DB1815" s="76"/>
      <c r="DC1815" s="76">
        <f>+DB1815*25000</f>
        <v>0</v>
      </c>
      <c r="DD1815" s="219"/>
      <c r="DE1815" s="219"/>
      <c r="DF1815" s="166" t="s">
        <v>3248</v>
      </c>
      <c r="DG1815" s="116"/>
      <c r="DH1815" s="117"/>
      <c r="DI1815" s="24"/>
      <c r="DJ1815" s="24"/>
      <c r="DK1815" s="24"/>
      <c r="DL1815" s="24"/>
      <c r="DM1815" s="24"/>
      <c r="DN1815" s="24"/>
      <c r="DO1815" s="24"/>
      <c r="DP1815" s="24"/>
      <c r="DQ1815" s="24"/>
      <c r="DR1815" s="24"/>
      <c r="DS1815" s="24"/>
      <c r="DT1815" s="24"/>
      <c r="DU1815" s="24"/>
    </row>
    <row r="1816" spans="1:125" s="8" customFormat="1" ht="84" x14ac:dyDescent="0.2">
      <c r="A1816" s="226">
        <v>41410</v>
      </c>
      <c r="B1816" s="225" t="s">
        <v>2851</v>
      </c>
      <c r="C1816" s="227" t="s">
        <v>2122</v>
      </c>
      <c r="D1816" s="227" t="s">
        <v>3088</v>
      </c>
      <c r="E1816" s="75" t="str">
        <f>VLOOKUP(B1816&amp;C1816,Divipola!$C$2:$F$1138,4,FALSE)</f>
        <v>76147</v>
      </c>
      <c r="F1816" s="87"/>
      <c r="G1816" s="87"/>
      <c r="H1816" s="87"/>
      <c r="I1816" s="87"/>
      <c r="J1816" s="87"/>
      <c r="K1816" s="87"/>
      <c r="L1816" s="87"/>
      <c r="M1816" s="87"/>
      <c r="N1816" s="87"/>
      <c r="O1816" s="87"/>
      <c r="P1816" s="87"/>
      <c r="Q1816" s="87"/>
      <c r="R1816" s="87"/>
      <c r="S1816" s="87"/>
      <c r="T1816" s="87"/>
      <c r="U1816" s="88"/>
      <c r="V1816" s="89"/>
      <c r="W1816" s="96">
        <v>0</v>
      </c>
      <c r="X1816" s="71">
        <f>CU1816</f>
        <v>0</v>
      </c>
      <c r="Y1816" s="71">
        <f>CY1816</f>
        <v>0</v>
      </c>
      <c r="Z1816" s="71">
        <f>DA1816+DC1816+DE1816</f>
        <v>0</v>
      </c>
      <c r="AA1816" s="71">
        <f>CW1816</f>
        <v>0</v>
      </c>
      <c r="AB1816" s="71"/>
      <c r="AC1816" s="71">
        <v>0</v>
      </c>
      <c r="AD1816" s="71">
        <f>W1816+X1816+Y1816+Z1816+AA1816+AB1816+AC1816</f>
        <v>0</v>
      </c>
      <c r="AE1816" s="72">
        <v>0</v>
      </c>
      <c r="AF1816" s="5"/>
      <c r="AG1816" s="6"/>
      <c r="AH1816" s="27" t="s">
        <v>3392</v>
      </c>
      <c r="AI1816" s="44" t="s">
        <v>3393</v>
      </c>
      <c r="AJ1816" s="26"/>
      <c r="AK1816" s="5"/>
      <c r="AL1816" s="82" t="s">
        <v>4629</v>
      </c>
      <c r="AM1816" s="76"/>
      <c r="AN1816" s="76"/>
      <c r="AO1816" s="76"/>
      <c r="AP1816" s="76"/>
      <c r="AQ1816" s="76"/>
      <c r="AR1816" s="76"/>
      <c r="AS1816" s="76"/>
      <c r="AT1816" s="76"/>
      <c r="AU1816" s="76"/>
      <c r="AV1816" s="76"/>
      <c r="AW1816" s="76"/>
      <c r="AX1816" s="76">
        <f>+AW1816*600000</f>
        <v>0</v>
      </c>
      <c r="AY1816" s="76"/>
      <c r="AZ1816" s="76">
        <f>+AY1816*70000</f>
        <v>0</v>
      </c>
      <c r="BA1816" s="76"/>
      <c r="BB1816" s="76"/>
      <c r="BC1816" s="76"/>
      <c r="BD1816" s="76">
        <f>+BC1816*30000</f>
        <v>0</v>
      </c>
      <c r="BE1816" s="76"/>
      <c r="BF1816" s="76"/>
      <c r="BG1816" s="76"/>
      <c r="BH1816" s="76"/>
      <c r="BI1816" s="76"/>
      <c r="BJ1816" s="76"/>
      <c r="BK1816" s="76"/>
      <c r="BL1816" s="76">
        <f>+BK1816*31500</f>
        <v>0</v>
      </c>
      <c r="BM1816" s="76"/>
      <c r="BN1816" s="76"/>
      <c r="BO1816" s="76"/>
      <c r="BP1816" s="76"/>
      <c r="BQ1816" s="76"/>
      <c r="BR1816" s="76"/>
      <c r="BS1816" s="76"/>
      <c r="BT1816" s="76"/>
      <c r="BU1816" s="76"/>
      <c r="BV1816" s="76"/>
      <c r="BW1816" s="76"/>
      <c r="BX1816" s="76"/>
      <c r="BY1816" s="76"/>
      <c r="BZ1816" s="76"/>
      <c r="CA1816" s="76"/>
      <c r="CB1816" s="76"/>
      <c r="CC1816" s="76"/>
      <c r="CD1816" s="76"/>
      <c r="CE1816" s="76"/>
      <c r="CF1816" s="76">
        <f>+CE1816*28000</f>
        <v>0</v>
      </c>
      <c r="CG1816" s="76"/>
      <c r="CH1816" s="76">
        <f>+CG1816*22500</f>
        <v>0</v>
      </c>
      <c r="CI1816" s="76"/>
      <c r="CJ1816" s="76">
        <f>+CI1816*26000</f>
        <v>0</v>
      </c>
      <c r="CK1816" s="76"/>
      <c r="CL1816" s="76"/>
      <c r="CM1816" s="76"/>
      <c r="CN1816" s="76">
        <f>+CM1816*22000</f>
        <v>0</v>
      </c>
      <c r="CO1816" s="76"/>
      <c r="CP1816" s="76">
        <f>+CO1816*46000</f>
        <v>0</v>
      </c>
      <c r="CQ1816" s="76"/>
      <c r="CR1816" s="76">
        <f>+CQ1816*49000</f>
        <v>0</v>
      </c>
      <c r="CS1816" s="76"/>
      <c r="CT1816" s="76"/>
      <c r="CU1816" s="56">
        <f>AN1816+AP1816+AR1816+AT1816+AV1816+AX1816+AZ1816+BB1816+BD1816+BF1816+BH1816+BJ1816+BL1816+BN1816+BP1816+BR1816+BT1816+BV1816+BX1816+BZ1816+CB1816+CD1816+CF1816+CH1816+CJ1816+CL1816+CN1816+CP1816+CR1816+CT1816</f>
        <v>0</v>
      </c>
      <c r="CV1816" s="76"/>
      <c r="CW1816" s="76">
        <f>+CV1816*1100</f>
        <v>0</v>
      </c>
      <c r="CX1816" s="76"/>
      <c r="CY1816" s="76">
        <f>+CX1816*106250</f>
        <v>0</v>
      </c>
      <c r="CZ1816" s="76"/>
      <c r="DA1816" s="76">
        <f>+CZ1816*34500</f>
        <v>0</v>
      </c>
      <c r="DB1816" s="76"/>
      <c r="DC1816" s="76">
        <f>+DB1816*25000</f>
        <v>0</v>
      </c>
      <c r="DD1816" s="219"/>
      <c r="DE1816" s="219"/>
      <c r="DF1816" s="166"/>
      <c r="DG1816" s="116"/>
      <c r="DH1816" s="117"/>
      <c r="DI1816" s="24"/>
      <c r="DJ1816" s="24"/>
      <c r="DK1816" s="24"/>
      <c r="DL1816" s="24"/>
      <c r="DM1816" s="24"/>
      <c r="DN1816" s="24"/>
      <c r="DO1816" s="24"/>
      <c r="DP1816" s="24"/>
      <c r="DQ1816" s="24"/>
      <c r="DR1816" s="24"/>
      <c r="DS1816" s="24"/>
      <c r="DT1816" s="24"/>
      <c r="DU1816" s="24"/>
    </row>
    <row r="1817" spans="1:125" s="8" customFormat="1" ht="108" x14ac:dyDescent="0.2">
      <c r="A1817" s="226">
        <v>41410</v>
      </c>
      <c r="B1817" s="225" t="s">
        <v>2851</v>
      </c>
      <c r="C1817" s="227" t="s">
        <v>2800</v>
      </c>
      <c r="D1817" s="227" t="s">
        <v>3017</v>
      </c>
      <c r="E1817" s="75" t="str">
        <f>VLOOKUP(B1817&amp;C1817,Divipola!$C$2:$F$1138,4,FALSE)</f>
        <v>76895</v>
      </c>
      <c r="F1817" s="87"/>
      <c r="G1817" s="87"/>
      <c r="H1817" s="87"/>
      <c r="I1817" s="87">
        <v>5</v>
      </c>
      <c r="J1817" s="87">
        <v>1</v>
      </c>
      <c r="K1817" s="87">
        <v>1</v>
      </c>
      <c r="L1817" s="87"/>
      <c r="M1817" s="87"/>
      <c r="N1817" s="87"/>
      <c r="O1817" s="87"/>
      <c r="P1817" s="87"/>
      <c r="Q1817" s="87"/>
      <c r="R1817" s="87"/>
      <c r="S1817" s="87"/>
      <c r="T1817" s="87"/>
      <c r="U1817" s="88"/>
      <c r="V1817" s="89"/>
      <c r="W1817" s="96">
        <v>0</v>
      </c>
      <c r="X1817" s="71">
        <f>CU1817</f>
        <v>0</v>
      </c>
      <c r="Y1817" s="71">
        <f>CY1817</f>
        <v>0</v>
      </c>
      <c r="Z1817" s="71">
        <f>DA1817+DC1817+DE1817</f>
        <v>0</v>
      </c>
      <c r="AA1817" s="71">
        <f>CW1817</f>
        <v>0</v>
      </c>
      <c r="AB1817" s="71"/>
      <c r="AC1817" s="71">
        <v>0</v>
      </c>
      <c r="AD1817" s="71">
        <f>W1817+X1817+Y1817+Z1817+AA1817+AB1817+AC1817</f>
        <v>0</v>
      </c>
      <c r="AE1817" s="72">
        <v>0</v>
      </c>
      <c r="AF1817" s="5"/>
      <c r="AG1817" s="6"/>
      <c r="AH1817" s="27" t="s">
        <v>3392</v>
      </c>
      <c r="AI1817" s="44" t="s">
        <v>3393</v>
      </c>
      <c r="AJ1817" s="26"/>
      <c r="AK1817" s="5"/>
      <c r="AL1817" s="82" t="s">
        <v>4628</v>
      </c>
      <c r="AM1817" s="76"/>
      <c r="AN1817" s="76"/>
      <c r="AO1817" s="76"/>
      <c r="AP1817" s="76"/>
      <c r="AQ1817" s="76"/>
      <c r="AR1817" s="76"/>
      <c r="AS1817" s="76"/>
      <c r="AT1817" s="76"/>
      <c r="AU1817" s="76"/>
      <c r="AV1817" s="76"/>
      <c r="AW1817" s="76"/>
      <c r="AX1817" s="76">
        <f>+AW1817*600000</f>
        <v>0</v>
      </c>
      <c r="AY1817" s="76"/>
      <c r="AZ1817" s="76">
        <f>+AY1817*70000</f>
        <v>0</v>
      </c>
      <c r="BA1817" s="76"/>
      <c r="BB1817" s="76"/>
      <c r="BC1817" s="76"/>
      <c r="BD1817" s="76">
        <f>+BC1817*30000</f>
        <v>0</v>
      </c>
      <c r="BE1817" s="76"/>
      <c r="BF1817" s="76"/>
      <c r="BG1817" s="76"/>
      <c r="BH1817" s="76"/>
      <c r="BI1817" s="76"/>
      <c r="BJ1817" s="76"/>
      <c r="BK1817" s="76"/>
      <c r="BL1817" s="76">
        <f>+BK1817*31500</f>
        <v>0</v>
      </c>
      <c r="BM1817" s="76"/>
      <c r="BN1817" s="76"/>
      <c r="BO1817" s="76"/>
      <c r="BP1817" s="76"/>
      <c r="BQ1817" s="76"/>
      <c r="BR1817" s="76"/>
      <c r="BS1817" s="76"/>
      <c r="BT1817" s="76"/>
      <c r="BU1817" s="76"/>
      <c r="BV1817" s="76"/>
      <c r="BW1817" s="76"/>
      <c r="BX1817" s="76"/>
      <c r="BY1817" s="76"/>
      <c r="BZ1817" s="76"/>
      <c r="CA1817" s="76"/>
      <c r="CB1817" s="76"/>
      <c r="CC1817" s="76"/>
      <c r="CD1817" s="76"/>
      <c r="CE1817" s="76"/>
      <c r="CF1817" s="76">
        <f>+CE1817*28000</f>
        <v>0</v>
      </c>
      <c r="CG1817" s="76"/>
      <c r="CH1817" s="76">
        <f>+CG1817*22500</f>
        <v>0</v>
      </c>
      <c r="CI1817" s="76"/>
      <c r="CJ1817" s="76">
        <f>+CI1817*26000</f>
        <v>0</v>
      </c>
      <c r="CK1817" s="76"/>
      <c r="CL1817" s="76"/>
      <c r="CM1817" s="76"/>
      <c r="CN1817" s="76">
        <f>+CM1817*22000</f>
        <v>0</v>
      </c>
      <c r="CO1817" s="76"/>
      <c r="CP1817" s="76">
        <f>+CO1817*46000</f>
        <v>0</v>
      </c>
      <c r="CQ1817" s="76"/>
      <c r="CR1817" s="76">
        <f>+CQ1817*49000</f>
        <v>0</v>
      </c>
      <c r="CS1817" s="76"/>
      <c r="CT1817" s="76"/>
      <c r="CU1817" s="56">
        <f>AN1817+AP1817+AR1817+AT1817+AV1817+AX1817+AZ1817+BB1817+BD1817+BF1817+BH1817+BJ1817+BL1817+BN1817+BP1817+BR1817+BT1817+BV1817+BX1817+BZ1817+CB1817+CD1817+CF1817+CH1817+CJ1817+CL1817+CN1817+CP1817+CR1817+CT1817</f>
        <v>0</v>
      </c>
      <c r="CV1817" s="76"/>
      <c r="CW1817" s="76">
        <f>+CV1817*1100</f>
        <v>0</v>
      </c>
      <c r="CX1817" s="76"/>
      <c r="CY1817" s="76">
        <f>+CX1817*106250</f>
        <v>0</v>
      </c>
      <c r="CZ1817" s="76"/>
      <c r="DA1817" s="76">
        <f>+CZ1817*34500</f>
        <v>0</v>
      </c>
      <c r="DB1817" s="76"/>
      <c r="DC1817" s="76">
        <f>+DB1817*25000</f>
        <v>0</v>
      </c>
      <c r="DD1817" s="219"/>
      <c r="DE1817" s="219"/>
      <c r="DF1817" s="166"/>
      <c r="DG1817" s="116"/>
      <c r="DH1817" s="117"/>
      <c r="DI1817" s="24"/>
      <c r="DJ1817" s="24"/>
      <c r="DK1817" s="24"/>
      <c r="DL1817" s="24"/>
      <c r="DM1817" s="24"/>
      <c r="DN1817" s="24"/>
      <c r="DO1817" s="24"/>
      <c r="DP1817" s="24"/>
      <c r="DQ1817" s="24"/>
      <c r="DR1817" s="24"/>
      <c r="DS1817" s="24"/>
      <c r="DT1817" s="24"/>
      <c r="DU1817" s="24"/>
    </row>
    <row r="1818" spans="1:125" s="8" customFormat="1" ht="24" x14ac:dyDescent="0.2">
      <c r="A1818" s="353">
        <v>41411</v>
      </c>
      <c r="B1818" s="352" t="s">
        <v>2894</v>
      </c>
      <c r="C1818" s="354" t="s">
        <v>2032</v>
      </c>
      <c r="D1818" s="354" t="s">
        <v>3088</v>
      </c>
      <c r="E1818" s="75" t="str">
        <f>VLOOKUP(B1818&amp;C1818,Divipola!$C$2:$F$1138,4,FALSE)</f>
        <v>05001</v>
      </c>
      <c r="F1818" s="87"/>
      <c r="G1818" s="87"/>
      <c r="H1818" s="87"/>
      <c r="I1818" s="87">
        <v>15</v>
      </c>
      <c r="J1818" s="87">
        <v>5</v>
      </c>
      <c r="K1818" s="87">
        <v>3</v>
      </c>
      <c r="L1818" s="87"/>
      <c r="M1818" s="87"/>
      <c r="N1818" s="87"/>
      <c r="O1818" s="87"/>
      <c r="P1818" s="87"/>
      <c r="Q1818" s="87"/>
      <c r="R1818" s="87"/>
      <c r="S1818" s="87"/>
      <c r="T1818" s="87"/>
      <c r="U1818" s="88"/>
      <c r="V1818" s="89"/>
      <c r="W1818" s="96">
        <v>0</v>
      </c>
      <c r="X1818" s="71">
        <f>CU1818</f>
        <v>0</v>
      </c>
      <c r="Y1818" s="71">
        <f>CY1818</f>
        <v>0</v>
      </c>
      <c r="Z1818" s="71">
        <f>DA1818+DC1818+DE1818</f>
        <v>0</v>
      </c>
      <c r="AA1818" s="71">
        <f>CW1818</f>
        <v>0</v>
      </c>
      <c r="AB1818" s="71"/>
      <c r="AC1818" s="71">
        <v>0</v>
      </c>
      <c r="AD1818" s="71">
        <f>W1818+X1818+Y1818+Z1818+AA1818+AB1818+AC1818</f>
        <v>0</v>
      </c>
      <c r="AE1818" s="72">
        <v>0</v>
      </c>
      <c r="AF1818" s="5"/>
      <c r="AG1818" s="6"/>
      <c r="AH1818" s="27" t="s">
        <v>3392</v>
      </c>
      <c r="AI1818" s="44" t="s">
        <v>3393</v>
      </c>
      <c r="AJ1818" s="26"/>
      <c r="AK1818" s="5"/>
      <c r="AL1818" s="82" t="s">
        <v>4646</v>
      </c>
      <c r="AM1818" s="76"/>
      <c r="AN1818" s="76"/>
      <c r="AO1818" s="76"/>
      <c r="AP1818" s="76"/>
      <c r="AQ1818" s="76"/>
      <c r="AR1818" s="76"/>
      <c r="AS1818" s="76"/>
      <c r="AT1818" s="76"/>
      <c r="AU1818" s="76"/>
      <c r="AV1818" s="76"/>
      <c r="AW1818" s="76"/>
      <c r="AX1818" s="76">
        <f>+AW1818*600000</f>
        <v>0</v>
      </c>
      <c r="AY1818" s="76"/>
      <c r="AZ1818" s="76">
        <f>+AY1818*70000</f>
        <v>0</v>
      </c>
      <c r="BA1818" s="76"/>
      <c r="BB1818" s="76"/>
      <c r="BC1818" s="76"/>
      <c r="BD1818" s="76">
        <f>+BC1818*30000</f>
        <v>0</v>
      </c>
      <c r="BE1818" s="76"/>
      <c r="BF1818" s="76"/>
      <c r="BG1818" s="76"/>
      <c r="BH1818" s="76"/>
      <c r="BI1818" s="76"/>
      <c r="BJ1818" s="76"/>
      <c r="BK1818" s="76"/>
      <c r="BL1818" s="76">
        <f>+BK1818*31500</f>
        <v>0</v>
      </c>
      <c r="BM1818" s="76"/>
      <c r="BN1818" s="76"/>
      <c r="BO1818" s="76"/>
      <c r="BP1818" s="76"/>
      <c r="BQ1818" s="76"/>
      <c r="BR1818" s="76"/>
      <c r="BS1818" s="76"/>
      <c r="BT1818" s="76"/>
      <c r="BU1818" s="76"/>
      <c r="BV1818" s="76"/>
      <c r="BW1818" s="76"/>
      <c r="BX1818" s="76"/>
      <c r="BY1818" s="76"/>
      <c r="BZ1818" s="76"/>
      <c r="CA1818" s="76"/>
      <c r="CB1818" s="76"/>
      <c r="CC1818" s="76"/>
      <c r="CD1818" s="76"/>
      <c r="CE1818" s="76"/>
      <c r="CF1818" s="76">
        <f>+CE1818*28000</f>
        <v>0</v>
      </c>
      <c r="CG1818" s="76"/>
      <c r="CH1818" s="76">
        <f>+CG1818*22500</f>
        <v>0</v>
      </c>
      <c r="CI1818" s="76"/>
      <c r="CJ1818" s="76">
        <f>+CI1818*26000</f>
        <v>0</v>
      </c>
      <c r="CK1818" s="76"/>
      <c r="CL1818" s="76"/>
      <c r="CM1818" s="76"/>
      <c r="CN1818" s="76">
        <f>+CM1818*22000</f>
        <v>0</v>
      </c>
      <c r="CO1818" s="76"/>
      <c r="CP1818" s="76">
        <f>+CO1818*46000</f>
        <v>0</v>
      </c>
      <c r="CQ1818" s="76"/>
      <c r="CR1818" s="76">
        <f>+CQ1818*49000</f>
        <v>0</v>
      </c>
      <c r="CS1818" s="76"/>
      <c r="CT1818" s="76"/>
      <c r="CU1818" s="56">
        <f>AN1818+AP1818+AR1818+AT1818+AV1818+AX1818+AZ1818+BB1818+BD1818+BF1818+BH1818+BJ1818+BL1818+BN1818+BP1818+BR1818+BT1818+BV1818+BX1818+BZ1818+CB1818+CD1818+CF1818+CH1818+CJ1818+CL1818+CN1818+CP1818+CR1818+CT1818</f>
        <v>0</v>
      </c>
      <c r="CV1818" s="76"/>
      <c r="CW1818" s="76">
        <f>+CV1818*1100</f>
        <v>0</v>
      </c>
      <c r="CX1818" s="76"/>
      <c r="CY1818" s="76">
        <f>+CX1818*106250</f>
        <v>0</v>
      </c>
      <c r="CZ1818" s="76"/>
      <c r="DA1818" s="76">
        <f>+CZ1818*34500</f>
        <v>0</v>
      </c>
      <c r="DB1818" s="76"/>
      <c r="DC1818" s="76">
        <f>+DB1818*25000</f>
        <v>0</v>
      </c>
      <c r="DD1818" s="219"/>
      <c r="DE1818" s="219"/>
      <c r="DF1818" s="166"/>
      <c r="DG1818" s="116"/>
      <c r="DH1818" s="117"/>
      <c r="DI1818" s="24"/>
      <c r="DJ1818" s="24"/>
      <c r="DK1818" s="24"/>
      <c r="DL1818" s="24"/>
      <c r="DM1818" s="24"/>
      <c r="DN1818" s="24"/>
      <c r="DO1818" s="24"/>
      <c r="DP1818" s="24"/>
      <c r="DQ1818" s="24"/>
      <c r="DR1818" s="24"/>
      <c r="DS1818" s="24"/>
      <c r="DT1818" s="24"/>
      <c r="DU1818" s="24"/>
    </row>
    <row r="1819" spans="1:125" s="8" customFormat="1" ht="36" x14ac:dyDescent="0.2">
      <c r="A1819" s="353">
        <v>41411</v>
      </c>
      <c r="B1819" s="352" t="s">
        <v>2196</v>
      </c>
      <c r="C1819" s="354" t="s">
        <v>2676</v>
      </c>
      <c r="D1819" s="354" t="s">
        <v>3051</v>
      </c>
      <c r="E1819" s="75" t="str">
        <f>VLOOKUP(B1819&amp;C1819,Divipola!$C$2:$F$1138,4,FALSE)</f>
        <v>17380</v>
      </c>
      <c r="F1819" s="87"/>
      <c r="G1819" s="87"/>
      <c r="H1819" s="87"/>
      <c r="I1819" s="87">
        <v>65</v>
      </c>
      <c r="J1819" s="87">
        <v>13</v>
      </c>
      <c r="K1819" s="87"/>
      <c r="L1819" s="87">
        <v>13</v>
      </c>
      <c r="M1819" s="87"/>
      <c r="N1819" s="87"/>
      <c r="O1819" s="87"/>
      <c r="P1819" s="87"/>
      <c r="Q1819" s="87"/>
      <c r="R1819" s="87"/>
      <c r="S1819" s="87"/>
      <c r="T1819" s="87"/>
      <c r="U1819" s="88"/>
      <c r="V1819" s="89"/>
      <c r="W1819" s="96">
        <v>0</v>
      </c>
      <c r="X1819" s="71">
        <f>CU1819</f>
        <v>0</v>
      </c>
      <c r="Y1819" s="71">
        <f>CY1819</f>
        <v>0</v>
      </c>
      <c r="Z1819" s="71">
        <f>DA1819+DC1819+DE1819</f>
        <v>0</v>
      </c>
      <c r="AA1819" s="71">
        <f>CW1819</f>
        <v>0</v>
      </c>
      <c r="AB1819" s="71"/>
      <c r="AC1819" s="71">
        <v>0</v>
      </c>
      <c r="AD1819" s="71">
        <f>W1819+X1819+Y1819+Z1819+AA1819+AB1819+AC1819</f>
        <v>0</v>
      </c>
      <c r="AE1819" s="72">
        <v>0</v>
      </c>
      <c r="AF1819" s="5"/>
      <c r="AG1819" s="6"/>
      <c r="AH1819" s="27" t="s">
        <v>3392</v>
      </c>
      <c r="AI1819" s="44" t="s">
        <v>3393</v>
      </c>
      <c r="AJ1819" s="26"/>
      <c r="AK1819" s="5"/>
      <c r="AL1819" s="82" t="s">
        <v>4639</v>
      </c>
      <c r="AM1819" s="76"/>
      <c r="AN1819" s="76"/>
      <c r="AO1819" s="76"/>
      <c r="AP1819" s="76"/>
      <c r="AQ1819" s="76"/>
      <c r="AR1819" s="76"/>
      <c r="AS1819" s="76"/>
      <c r="AT1819" s="76"/>
      <c r="AU1819" s="76"/>
      <c r="AV1819" s="76"/>
      <c r="AW1819" s="76"/>
      <c r="AX1819" s="76">
        <f>+AW1819*600000</f>
        <v>0</v>
      </c>
      <c r="AY1819" s="76"/>
      <c r="AZ1819" s="76">
        <f>+AY1819*70000</f>
        <v>0</v>
      </c>
      <c r="BA1819" s="76"/>
      <c r="BB1819" s="76"/>
      <c r="BC1819" s="76"/>
      <c r="BD1819" s="76">
        <f>+BC1819*30000</f>
        <v>0</v>
      </c>
      <c r="BE1819" s="76"/>
      <c r="BF1819" s="76"/>
      <c r="BG1819" s="76"/>
      <c r="BH1819" s="76"/>
      <c r="BI1819" s="76"/>
      <c r="BJ1819" s="76"/>
      <c r="BK1819" s="76"/>
      <c r="BL1819" s="76">
        <f>+BK1819*31500</f>
        <v>0</v>
      </c>
      <c r="BM1819" s="76"/>
      <c r="BN1819" s="76"/>
      <c r="BO1819" s="76"/>
      <c r="BP1819" s="76"/>
      <c r="BQ1819" s="76"/>
      <c r="BR1819" s="76"/>
      <c r="BS1819" s="76"/>
      <c r="BT1819" s="76"/>
      <c r="BU1819" s="76"/>
      <c r="BV1819" s="76"/>
      <c r="BW1819" s="76"/>
      <c r="BX1819" s="76"/>
      <c r="BY1819" s="76"/>
      <c r="BZ1819" s="76"/>
      <c r="CA1819" s="76"/>
      <c r="CB1819" s="76"/>
      <c r="CC1819" s="76"/>
      <c r="CD1819" s="76"/>
      <c r="CE1819" s="76"/>
      <c r="CF1819" s="76">
        <f>+CE1819*28000</f>
        <v>0</v>
      </c>
      <c r="CG1819" s="76"/>
      <c r="CH1819" s="76">
        <f>+CG1819*22500</f>
        <v>0</v>
      </c>
      <c r="CI1819" s="76"/>
      <c r="CJ1819" s="76">
        <f>+CI1819*26000</f>
        <v>0</v>
      </c>
      <c r="CK1819" s="76"/>
      <c r="CL1819" s="76"/>
      <c r="CM1819" s="76"/>
      <c r="CN1819" s="76">
        <f>+CM1819*22000</f>
        <v>0</v>
      </c>
      <c r="CO1819" s="76"/>
      <c r="CP1819" s="76">
        <f>+CO1819*46000</f>
        <v>0</v>
      </c>
      <c r="CQ1819" s="76"/>
      <c r="CR1819" s="76">
        <f>+CQ1819*49000</f>
        <v>0</v>
      </c>
      <c r="CS1819" s="76"/>
      <c r="CT1819" s="76"/>
      <c r="CU1819" s="56">
        <f>AN1819+AP1819+AR1819+AT1819+AV1819+AX1819+AZ1819+BB1819+BD1819+BF1819+BH1819+BJ1819+BL1819+BN1819+BP1819+BR1819+BT1819+BV1819+BX1819+BZ1819+CB1819+CD1819+CF1819+CH1819+CJ1819+CL1819+CN1819+CP1819+CR1819+CT1819</f>
        <v>0</v>
      </c>
      <c r="CV1819" s="76"/>
      <c r="CW1819" s="76">
        <f>+CV1819*1100</f>
        <v>0</v>
      </c>
      <c r="CX1819" s="76"/>
      <c r="CY1819" s="76">
        <f>+CX1819*106250</f>
        <v>0</v>
      </c>
      <c r="CZ1819" s="76"/>
      <c r="DA1819" s="76">
        <f>+CZ1819*34500</f>
        <v>0</v>
      </c>
      <c r="DB1819" s="76"/>
      <c r="DC1819" s="76">
        <f>+DB1819*25000</f>
        <v>0</v>
      </c>
      <c r="DD1819" s="219"/>
      <c r="DE1819" s="219"/>
      <c r="DF1819" s="166"/>
      <c r="DG1819" s="116"/>
      <c r="DH1819" s="117"/>
      <c r="DI1819" s="24"/>
      <c r="DJ1819" s="24"/>
      <c r="DK1819" s="24"/>
      <c r="DL1819" s="24"/>
      <c r="DM1819" s="24"/>
      <c r="DN1819" s="24"/>
      <c r="DO1819" s="24"/>
      <c r="DP1819" s="24"/>
      <c r="DQ1819" s="24"/>
      <c r="DR1819" s="24"/>
      <c r="DS1819" s="24"/>
      <c r="DT1819" s="24"/>
      <c r="DU1819" s="24"/>
    </row>
    <row r="1820" spans="1:125" s="8" customFormat="1" ht="48" x14ac:dyDescent="0.2">
      <c r="A1820" s="197">
        <v>41411</v>
      </c>
      <c r="B1820" s="78" t="s">
        <v>2087</v>
      </c>
      <c r="C1820" s="75" t="s">
        <v>2692</v>
      </c>
      <c r="D1820" s="75" t="s">
        <v>3088</v>
      </c>
      <c r="E1820" s="75" t="str">
        <f>VLOOKUP(B1820&amp;C1820,Divipola!$C$2:$F$1138,4,FALSE)</f>
        <v>18001</v>
      </c>
      <c r="F1820" s="87"/>
      <c r="G1820" s="87"/>
      <c r="H1820" s="87"/>
      <c r="I1820" s="87">
        <v>10</v>
      </c>
      <c r="J1820" s="87">
        <v>2</v>
      </c>
      <c r="K1820" s="87"/>
      <c r="L1820" s="87">
        <v>2</v>
      </c>
      <c r="M1820" s="87"/>
      <c r="N1820" s="87"/>
      <c r="O1820" s="87"/>
      <c r="P1820" s="87"/>
      <c r="Q1820" s="87"/>
      <c r="R1820" s="87"/>
      <c r="S1820" s="191"/>
      <c r="T1820" s="87"/>
      <c r="U1820" s="88"/>
      <c r="V1820" s="89"/>
      <c r="W1820" s="96">
        <v>0</v>
      </c>
      <c r="X1820" s="71">
        <f>CU1820</f>
        <v>0</v>
      </c>
      <c r="Y1820" s="71">
        <f>CY1820</f>
        <v>0</v>
      </c>
      <c r="Z1820" s="71">
        <f>DA1820+DC1820+DE1820</f>
        <v>0</v>
      </c>
      <c r="AA1820" s="71">
        <f>CW1820</f>
        <v>0</v>
      </c>
      <c r="AB1820" s="71"/>
      <c r="AC1820" s="71">
        <v>0</v>
      </c>
      <c r="AD1820" s="71">
        <f>W1820+X1820+Y1820+Z1820+AA1820+AB1820+AC1820</f>
        <v>0</v>
      </c>
      <c r="AE1820" s="72">
        <v>0</v>
      </c>
      <c r="AF1820" s="5"/>
      <c r="AG1820" s="6"/>
      <c r="AH1820" s="27" t="s">
        <v>3392</v>
      </c>
      <c r="AI1820" s="44" t="s">
        <v>3393</v>
      </c>
      <c r="AJ1820" s="26"/>
      <c r="AK1820" s="5"/>
      <c r="AL1820" s="82" t="s">
        <v>4636</v>
      </c>
      <c r="AM1820" s="76"/>
      <c r="AN1820" s="76"/>
      <c r="AO1820" s="76"/>
      <c r="AP1820" s="76"/>
      <c r="AQ1820" s="76"/>
      <c r="AR1820" s="76"/>
      <c r="AS1820" s="76"/>
      <c r="AT1820" s="76"/>
      <c r="AU1820" s="76"/>
      <c r="AV1820" s="76"/>
      <c r="AW1820" s="76"/>
      <c r="AX1820" s="76">
        <f>+AW1820*600000</f>
        <v>0</v>
      </c>
      <c r="AY1820" s="76"/>
      <c r="AZ1820" s="76">
        <f>+AY1820*70000</f>
        <v>0</v>
      </c>
      <c r="BA1820" s="76"/>
      <c r="BB1820" s="76"/>
      <c r="BC1820" s="76"/>
      <c r="BD1820" s="76">
        <f>+BC1820*30000</f>
        <v>0</v>
      </c>
      <c r="BE1820" s="76"/>
      <c r="BF1820" s="76"/>
      <c r="BG1820" s="76"/>
      <c r="BH1820" s="76"/>
      <c r="BI1820" s="76"/>
      <c r="BJ1820" s="76"/>
      <c r="BK1820" s="76"/>
      <c r="BL1820" s="76">
        <f>+BK1820*31500</f>
        <v>0</v>
      </c>
      <c r="BM1820" s="76"/>
      <c r="BN1820" s="76"/>
      <c r="BO1820" s="76"/>
      <c r="BP1820" s="76"/>
      <c r="BQ1820" s="76"/>
      <c r="BR1820" s="76"/>
      <c r="BS1820" s="76"/>
      <c r="BT1820" s="76"/>
      <c r="BU1820" s="76"/>
      <c r="BV1820" s="76"/>
      <c r="BW1820" s="76"/>
      <c r="BX1820" s="76"/>
      <c r="BY1820" s="76"/>
      <c r="BZ1820" s="76"/>
      <c r="CA1820" s="76"/>
      <c r="CB1820" s="76"/>
      <c r="CC1820" s="76"/>
      <c r="CD1820" s="76"/>
      <c r="CE1820" s="76"/>
      <c r="CF1820" s="76">
        <f>+CE1820*28000</f>
        <v>0</v>
      </c>
      <c r="CG1820" s="76"/>
      <c r="CH1820" s="76">
        <f>+CG1820*22500</f>
        <v>0</v>
      </c>
      <c r="CI1820" s="76"/>
      <c r="CJ1820" s="76">
        <f>+CI1820*26000</f>
        <v>0</v>
      </c>
      <c r="CK1820" s="76"/>
      <c r="CL1820" s="76"/>
      <c r="CM1820" s="76"/>
      <c r="CN1820" s="76">
        <f>+CM1820*22000</f>
        <v>0</v>
      </c>
      <c r="CO1820" s="76"/>
      <c r="CP1820" s="76">
        <f>+CO1820*46000</f>
        <v>0</v>
      </c>
      <c r="CQ1820" s="76"/>
      <c r="CR1820" s="76">
        <f>+CQ1820*49000</f>
        <v>0</v>
      </c>
      <c r="CS1820" s="76"/>
      <c r="CT1820" s="76"/>
      <c r="CU1820" s="56">
        <f>AN1820+AP1820+AR1820+AT1820+AV1820+AX1820+AZ1820+BB1820+BD1820+BF1820+BH1820+BJ1820+BL1820+BN1820+BP1820+BR1820+BT1820+BV1820+BX1820+BZ1820+CB1820+CD1820+CF1820+CH1820+CJ1820+CL1820+CN1820+CP1820+CR1820+CT1820</f>
        <v>0</v>
      </c>
      <c r="CV1820" s="76"/>
      <c r="CW1820" s="76">
        <f>+CV1820*1100</f>
        <v>0</v>
      </c>
      <c r="CX1820" s="76"/>
      <c r="CY1820" s="76">
        <f>+CX1820*106250</f>
        <v>0</v>
      </c>
      <c r="CZ1820" s="76"/>
      <c r="DA1820" s="76">
        <f>+CZ1820*34500</f>
        <v>0</v>
      </c>
      <c r="DB1820" s="76"/>
      <c r="DC1820" s="76">
        <f>+DB1820*25000</f>
        <v>0</v>
      </c>
      <c r="DD1820" s="219"/>
      <c r="DE1820" s="219"/>
      <c r="DF1820" s="166"/>
      <c r="DG1820" s="116"/>
      <c r="DH1820" s="117"/>
      <c r="DI1820" s="24"/>
      <c r="DJ1820" s="24"/>
      <c r="DK1820" s="24"/>
      <c r="DL1820" s="24"/>
      <c r="DM1820" s="24"/>
      <c r="DN1820" s="24"/>
      <c r="DO1820" s="24"/>
      <c r="DP1820" s="24"/>
      <c r="DQ1820" s="24"/>
      <c r="DR1820" s="24"/>
      <c r="DS1820" s="24"/>
      <c r="DT1820" s="24"/>
      <c r="DU1820" s="24"/>
    </row>
    <row r="1821" spans="1:125" s="8" customFormat="1" ht="24" x14ac:dyDescent="0.2">
      <c r="A1821" s="226">
        <v>41411</v>
      </c>
      <c r="B1821" s="225" t="s">
        <v>2778</v>
      </c>
      <c r="C1821" s="227" t="s">
        <v>2758</v>
      </c>
      <c r="D1821" s="227" t="s">
        <v>3051</v>
      </c>
      <c r="E1821" s="75" t="str">
        <f>VLOOKUP(B1821&amp;C1821,Divipola!$C$2:$F$1138,4,FALSE)</f>
        <v>85440</v>
      </c>
      <c r="F1821" s="87"/>
      <c r="G1821" s="87"/>
      <c r="H1821" s="87"/>
      <c r="I1821" s="87"/>
      <c r="J1821" s="87"/>
      <c r="K1821" s="87"/>
      <c r="L1821" s="87"/>
      <c r="M1821" s="87"/>
      <c r="N1821" s="87"/>
      <c r="O1821" s="87"/>
      <c r="P1821" s="87"/>
      <c r="Q1821" s="87"/>
      <c r="R1821" s="87"/>
      <c r="S1821" s="87"/>
      <c r="T1821" s="87"/>
      <c r="U1821" s="88"/>
      <c r="V1821" s="89"/>
      <c r="W1821" s="96">
        <v>0</v>
      </c>
      <c r="X1821" s="71">
        <f>CU1821</f>
        <v>0</v>
      </c>
      <c r="Y1821" s="71">
        <f>CY1821</f>
        <v>0</v>
      </c>
      <c r="Z1821" s="71">
        <f>DA1821+DC1821+DE1821</f>
        <v>0</v>
      </c>
      <c r="AA1821" s="71">
        <f>CW1821</f>
        <v>0</v>
      </c>
      <c r="AB1821" s="71"/>
      <c r="AC1821" s="71">
        <v>0</v>
      </c>
      <c r="AD1821" s="71">
        <f>W1821+X1821+Y1821+Z1821+AA1821+AB1821+AC1821</f>
        <v>0</v>
      </c>
      <c r="AE1821" s="72">
        <v>0</v>
      </c>
      <c r="AF1821" s="5"/>
      <c r="AG1821" s="6"/>
      <c r="AH1821" s="27" t="s">
        <v>3392</v>
      </c>
      <c r="AI1821" s="44" t="s">
        <v>3393</v>
      </c>
      <c r="AJ1821" s="26"/>
      <c r="AK1821" s="5"/>
      <c r="AL1821" s="82" t="s">
        <v>4642</v>
      </c>
      <c r="AM1821" s="76"/>
      <c r="AN1821" s="76"/>
      <c r="AO1821" s="76"/>
      <c r="AP1821" s="76"/>
      <c r="AQ1821" s="76"/>
      <c r="AR1821" s="76"/>
      <c r="AS1821" s="76"/>
      <c r="AT1821" s="76"/>
      <c r="AU1821" s="76"/>
      <c r="AV1821" s="76"/>
      <c r="AW1821" s="76"/>
      <c r="AX1821" s="76">
        <f>+AW1821*600000</f>
        <v>0</v>
      </c>
      <c r="AY1821" s="76"/>
      <c r="AZ1821" s="76">
        <f>+AY1821*70000</f>
        <v>0</v>
      </c>
      <c r="BA1821" s="76"/>
      <c r="BB1821" s="76"/>
      <c r="BC1821" s="76"/>
      <c r="BD1821" s="76">
        <f>+BC1821*30000</f>
        <v>0</v>
      </c>
      <c r="BE1821" s="76"/>
      <c r="BF1821" s="76"/>
      <c r="BG1821" s="76"/>
      <c r="BH1821" s="76"/>
      <c r="BI1821" s="76"/>
      <c r="BJ1821" s="76"/>
      <c r="BK1821" s="76"/>
      <c r="BL1821" s="76">
        <f>+BK1821*31500</f>
        <v>0</v>
      </c>
      <c r="BM1821" s="76"/>
      <c r="BN1821" s="76"/>
      <c r="BO1821" s="76"/>
      <c r="BP1821" s="76"/>
      <c r="BQ1821" s="76"/>
      <c r="BR1821" s="76"/>
      <c r="BS1821" s="76"/>
      <c r="BT1821" s="76"/>
      <c r="BU1821" s="76"/>
      <c r="BV1821" s="76"/>
      <c r="BW1821" s="76"/>
      <c r="BX1821" s="76"/>
      <c r="BY1821" s="76"/>
      <c r="BZ1821" s="76"/>
      <c r="CA1821" s="76"/>
      <c r="CB1821" s="76"/>
      <c r="CC1821" s="76"/>
      <c r="CD1821" s="76"/>
      <c r="CE1821" s="76"/>
      <c r="CF1821" s="76">
        <f>+CE1821*28000</f>
        <v>0</v>
      </c>
      <c r="CG1821" s="76"/>
      <c r="CH1821" s="76">
        <f>+CG1821*22500</f>
        <v>0</v>
      </c>
      <c r="CI1821" s="76"/>
      <c r="CJ1821" s="76">
        <f>+CI1821*26000</f>
        <v>0</v>
      </c>
      <c r="CK1821" s="76"/>
      <c r="CL1821" s="76"/>
      <c r="CM1821" s="76"/>
      <c r="CN1821" s="76">
        <f>+CM1821*22000</f>
        <v>0</v>
      </c>
      <c r="CO1821" s="76"/>
      <c r="CP1821" s="76">
        <f>+CO1821*46000</f>
        <v>0</v>
      </c>
      <c r="CQ1821" s="76"/>
      <c r="CR1821" s="76">
        <f>+CQ1821*49000</f>
        <v>0</v>
      </c>
      <c r="CS1821" s="76"/>
      <c r="CT1821" s="76"/>
      <c r="CU1821" s="56">
        <f>AN1821+AP1821+AR1821+AT1821+AV1821+AX1821+AZ1821+BB1821+BD1821+BF1821+BH1821+BJ1821+BL1821+BN1821+BP1821+BR1821+BT1821+BV1821+BX1821+BZ1821+CB1821+CD1821+CF1821+CH1821+CJ1821+CL1821+CN1821+CP1821+CR1821+CT1821</f>
        <v>0</v>
      </c>
      <c r="CV1821" s="76"/>
      <c r="CW1821" s="76">
        <f>+CV1821*1100</f>
        <v>0</v>
      </c>
      <c r="CX1821" s="76"/>
      <c r="CY1821" s="76">
        <f>+CX1821*106250</f>
        <v>0</v>
      </c>
      <c r="CZ1821" s="76"/>
      <c r="DA1821" s="76">
        <f>+CZ1821*34500</f>
        <v>0</v>
      </c>
      <c r="DB1821" s="76"/>
      <c r="DC1821" s="76">
        <f>+DB1821*25000</f>
        <v>0</v>
      </c>
      <c r="DD1821" s="219"/>
      <c r="DE1821" s="219"/>
      <c r="DF1821" s="166"/>
      <c r="DG1821" s="116"/>
      <c r="DH1821" s="117"/>
      <c r="DI1821" s="24"/>
      <c r="DJ1821" s="24"/>
      <c r="DK1821" s="24"/>
      <c r="DL1821" s="24"/>
      <c r="DM1821" s="24"/>
      <c r="DN1821" s="24"/>
      <c r="DO1821" s="24"/>
      <c r="DP1821" s="24"/>
      <c r="DQ1821" s="24"/>
      <c r="DR1821" s="24"/>
      <c r="DS1821" s="24"/>
      <c r="DT1821" s="24"/>
      <c r="DU1821" s="24"/>
    </row>
    <row r="1822" spans="1:125" s="8" customFormat="1" ht="96" x14ac:dyDescent="0.2">
      <c r="A1822" s="226">
        <v>41411</v>
      </c>
      <c r="B1822" s="225" t="s">
        <v>2772</v>
      </c>
      <c r="C1822" s="227" t="s">
        <v>1088</v>
      </c>
      <c r="D1822" s="227" t="s">
        <v>3088</v>
      </c>
      <c r="E1822" s="75" t="str">
        <f>VLOOKUP(B1822&amp;C1822,Divipola!$C$2:$F$1138,4,FALSE)</f>
        <v>25339</v>
      </c>
      <c r="F1822" s="87"/>
      <c r="G1822" s="87"/>
      <c r="H1822" s="87"/>
      <c r="I1822" s="87"/>
      <c r="J1822" s="87"/>
      <c r="K1822" s="87"/>
      <c r="L1822" s="87"/>
      <c r="M1822" s="87">
        <v>1</v>
      </c>
      <c r="N1822" s="87"/>
      <c r="O1822" s="87"/>
      <c r="P1822" s="87"/>
      <c r="Q1822" s="87"/>
      <c r="R1822" s="87"/>
      <c r="S1822" s="87"/>
      <c r="T1822" s="87"/>
      <c r="U1822" s="88"/>
      <c r="V1822" s="89"/>
      <c r="W1822" s="96">
        <v>0</v>
      </c>
      <c r="X1822" s="71">
        <f>CU1822</f>
        <v>0</v>
      </c>
      <c r="Y1822" s="71">
        <f>CY1822</f>
        <v>0</v>
      </c>
      <c r="Z1822" s="71">
        <f>DA1822+DC1822+DE1822</f>
        <v>0</v>
      </c>
      <c r="AA1822" s="71">
        <f>CW1822</f>
        <v>0</v>
      </c>
      <c r="AB1822" s="71"/>
      <c r="AC1822" s="71">
        <v>0</v>
      </c>
      <c r="AD1822" s="71">
        <f>W1822+X1822+Y1822+Z1822+AA1822+AB1822+AC1822</f>
        <v>0</v>
      </c>
      <c r="AE1822" s="72">
        <v>0</v>
      </c>
      <c r="AF1822" s="5"/>
      <c r="AG1822" s="6"/>
      <c r="AH1822" s="27" t="s">
        <v>3392</v>
      </c>
      <c r="AI1822" s="44" t="s">
        <v>3393</v>
      </c>
      <c r="AJ1822" s="26"/>
      <c r="AK1822" s="5"/>
      <c r="AL1822" s="82" t="s">
        <v>4638</v>
      </c>
      <c r="AM1822" s="76"/>
      <c r="AN1822" s="76"/>
      <c r="AO1822" s="76"/>
      <c r="AP1822" s="76"/>
      <c r="AQ1822" s="76"/>
      <c r="AR1822" s="76"/>
      <c r="AS1822" s="76"/>
      <c r="AT1822" s="76"/>
      <c r="AU1822" s="76"/>
      <c r="AV1822" s="76"/>
      <c r="AW1822" s="76"/>
      <c r="AX1822" s="76">
        <f>+AW1822*600000</f>
        <v>0</v>
      </c>
      <c r="AY1822" s="76"/>
      <c r="AZ1822" s="76">
        <f>+AY1822*70000</f>
        <v>0</v>
      </c>
      <c r="BA1822" s="76"/>
      <c r="BB1822" s="76"/>
      <c r="BC1822" s="76"/>
      <c r="BD1822" s="76">
        <f>+BC1822*30000</f>
        <v>0</v>
      </c>
      <c r="BE1822" s="76"/>
      <c r="BF1822" s="76"/>
      <c r="BG1822" s="76"/>
      <c r="BH1822" s="76"/>
      <c r="BI1822" s="76"/>
      <c r="BJ1822" s="76"/>
      <c r="BK1822" s="76"/>
      <c r="BL1822" s="76">
        <f>+BK1822*31500</f>
        <v>0</v>
      </c>
      <c r="BM1822" s="76"/>
      <c r="BN1822" s="76"/>
      <c r="BO1822" s="76"/>
      <c r="BP1822" s="76"/>
      <c r="BQ1822" s="76"/>
      <c r="BR1822" s="76"/>
      <c r="BS1822" s="76"/>
      <c r="BT1822" s="76"/>
      <c r="BU1822" s="76"/>
      <c r="BV1822" s="76"/>
      <c r="BW1822" s="76"/>
      <c r="BX1822" s="76"/>
      <c r="BY1822" s="76"/>
      <c r="BZ1822" s="76"/>
      <c r="CA1822" s="76"/>
      <c r="CB1822" s="76"/>
      <c r="CC1822" s="76"/>
      <c r="CD1822" s="76"/>
      <c r="CE1822" s="76"/>
      <c r="CF1822" s="76">
        <f>+CE1822*28000</f>
        <v>0</v>
      </c>
      <c r="CG1822" s="76"/>
      <c r="CH1822" s="76">
        <f>+CG1822*22500</f>
        <v>0</v>
      </c>
      <c r="CI1822" s="76"/>
      <c r="CJ1822" s="76">
        <f>+CI1822*26000</f>
        <v>0</v>
      </c>
      <c r="CK1822" s="76"/>
      <c r="CL1822" s="76"/>
      <c r="CM1822" s="76"/>
      <c r="CN1822" s="76">
        <f>+CM1822*22000</f>
        <v>0</v>
      </c>
      <c r="CO1822" s="76"/>
      <c r="CP1822" s="76">
        <f>+CO1822*46000</f>
        <v>0</v>
      </c>
      <c r="CQ1822" s="76"/>
      <c r="CR1822" s="76">
        <f>+CQ1822*49000</f>
        <v>0</v>
      </c>
      <c r="CS1822" s="76"/>
      <c r="CT1822" s="76"/>
      <c r="CU1822" s="56">
        <f>AN1822+AP1822+AR1822+AT1822+AV1822+AX1822+AZ1822+BB1822+BD1822+BF1822+BH1822+BJ1822+BL1822+BN1822+BP1822+BR1822+BT1822+BV1822+BX1822+BZ1822+CB1822+CD1822+CF1822+CH1822+CJ1822+CL1822+CN1822+CP1822+CR1822+CT1822</f>
        <v>0</v>
      </c>
      <c r="CV1822" s="76"/>
      <c r="CW1822" s="76">
        <f>+CV1822*1100</f>
        <v>0</v>
      </c>
      <c r="CX1822" s="76"/>
      <c r="CY1822" s="76">
        <f>+CX1822*106250</f>
        <v>0</v>
      </c>
      <c r="CZ1822" s="76"/>
      <c r="DA1822" s="76">
        <f>+CZ1822*34500</f>
        <v>0</v>
      </c>
      <c r="DB1822" s="76"/>
      <c r="DC1822" s="76">
        <f>+DB1822*25000</f>
        <v>0</v>
      </c>
      <c r="DD1822" s="219"/>
      <c r="DE1822" s="219"/>
      <c r="DF1822" s="166"/>
      <c r="DG1822" s="116"/>
      <c r="DH1822" s="117"/>
      <c r="DI1822" s="24"/>
      <c r="DJ1822" s="24"/>
      <c r="DK1822" s="24"/>
      <c r="DL1822" s="24"/>
      <c r="DM1822" s="24"/>
      <c r="DN1822" s="24"/>
      <c r="DO1822" s="24"/>
      <c r="DP1822" s="24"/>
      <c r="DQ1822" s="24"/>
      <c r="DR1822" s="24"/>
      <c r="DS1822" s="24"/>
      <c r="DT1822" s="24"/>
      <c r="DU1822" s="24"/>
    </row>
    <row r="1823" spans="1:125" s="8" customFormat="1" ht="96" x14ac:dyDescent="0.2">
      <c r="A1823" s="226">
        <v>41411</v>
      </c>
      <c r="B1823" s="225" t="s">
        <v>2772</v>
      </c>
      <c r="C1823" s="227" t="s">
        <v>2829</v>
      </c>
      <c r="D1823" s="227" t="s">
        <v>3051</v>
      </c>
      <c r="E1823" s="75" t="str">
        <f>VLOOKUP(B1823&amp;C1823,Divipola!$C$2:$F$1138,4,FALSE)</f>
        <v>25372</v>
      </c>
      <c r="F1823" s="87"/>
      <c r="G1823" s="87"/>
      <c r="H1823" s="87"/>
      <c r="I1823" s="87"/>
      <c r="J1823" s="87"/>
      <c r="K1823" s="87"/>
      <c r="L1823" s="87"/>
      <c r="M1823" s="87"/>
      <c r="N1823" s="87"/>
      <c r="O1823" s="87"/>
      <c r="P1823" s="87"/>
      <c r="Q1823" s="87"/>
      <c r="R1823" s="87"/>
      <c r="S1823" s="87"/>
      <c r="T1823" s="87"/>
      <c r="U1823" s="88"/>
      <c r="V1823" s="89"/>
      <c r="W1823" s="96">
        <v>0</v>
      </c>
      <c r="X1823" s="71">
        <f>CU1823</f>
        <v>0</v>
      </c>
      <c r="Y1823" s="71">
        <f>CY1823</f>
        <v>0</v>
      </c>
      <c r="Z1823" s="71">
        <f>DA1823+DC1823+DE1823</f>
        <v>0</v>
      </c>
      <c r="AA1823" s="71">
        <f>CW1823</f>
        <v>0</v>
      </c>
      <c r="AB1823" s="71"/>
      <c r="AC1823" s="71">
        <v>0</v>
      </c>
      <c r="AD1823" s="71">
        <f>W1823+X1823+Y1823+Z1823+AA1823+AB1823+AC1823</f>
        <v>0</v>
      </c>
      <c r="AE1823" s="72">
        <v>0</v>
      </c>
      <c r="AF1823" s="5"/>
      <c r="AG1823" s="6"/>
      <c r="AH1823" s="27" t="s">
        <v>3392</v>
      </c>
      <c r="AI1823" s="44" t="s">
        <v>3393</v>
      </c>
      <c r="AJ1823" s="26"/>
      <c r="AK1823" s="5"/>
      <c r="AL1823" s="82" t="s">
        <v>4637</v>
      </c>
      <c r="AM1823" s="76"/>
      <c r="AN1823" s="76"/>
      <c r="AO1823" s="76"/>
      <c r="AP1823" s="76"/>
      <c r="AQ1823" s="76"/>
      <c r="AR1823" s="76"/>
      <c r="AS1823" s="76"/>
      <c r="AT1823" s="76"/>
      <c r="AU1823" s="76"/>
      <c r="AV1823" s="76"/>
      <c r="AW1823" s="76"/>
      <c r="AX1823" s="76">
        <f>+AW1823*600000</f>
        <v>0</v>
      </c>
      <c r="AY1823" s="76"/>
      <c r="AZ1823" s="76">
        <f>+AY1823*70000</f>
        <v>0</v>
      </c>
      <c r="BA1823" s="76"/>
      <c r="BB1823" s="76"/>
      <c r="BC1823" s="76"/>
      <c r="BD1823" s="76">
        <f>+BC1823*30000</f>
        <v>0</v>
      </c>
      <c r="BE1823" s="76"/>
      <c r="BF1823" s="76"/>
      <c r="BG1823" s="76"/>
      <c r="BH1823" s="76"/>
      <c r="BI1823" s="76"/>
      <c r="BJ1823" s="76"/>
      <c r="BK1823" s="76"/>
      <c r="BL1823" s="76">
        <f>+BK1823*31500</f>
        <v>0</v>
      </c>
      <c r="BM1823" s="76"/>
      <c r="BN1823" s="76"/>
      <c r="BO1823" s="76"/>
      <c r="BP1823" s="76"/>
      <c r="BQ1823" s="76"/>
      <c r="BR1823" s="76"/>
      <c r="BS1823" s="76"/>
      <c r="BT1823" s="76"/>
      <c r="BU1823" s="76"/>
      <c r="BV1823" s="76"/>
      <c r="BW1823" s="76"/>
      <c r="BX1823" s="76"/>
      <c r="BY1823" s="76"/>
      <c r="BZ1823" s="76"/>
      <c r="CA1823" s="76"/>
      <c r="CB1823" s="76"/>
      <c r="CC1823" s="76"/>
      <c r="CD1823" s="76"/>
      <c r="CE1823" s="76"/>
      <c r="CF1823" s="76">
        <f>+CE1823*28000</f>
        <v>0</v>
      </c>
      <c r="CG1823" s="76"/>
      <c r="CH1823" s="76">
        <f>+CG1823*22500</f>
        <v>0</v>
      </c>
      <c r="CI1823" s="76"/>
      <c r="CJ1823" s="76">
        <f>+CI1823*26000</f>
        <v>0</v>
      </c>
      <c r="CK1823" s="76"/>
      <c r="CL1823" s="76"/>
      <c r="CM1823" s="76"/>
      <c r="CN1823" s="76">
        <f>+CM1823*22000</f>
        <v>0</v>
      </c>
      <c r="CO1823" s="76"/>
      <c r="CP1823" s="76">
        <f>+CO1823*46000</f>
        <v>0</v>
      </c>
      <c r="CQ1823" s="76"/>
      <c r="CR1823" s="76">
        <f>+CQ1823*49000</f>
        <v>0</v>
      </c>
      <c r="CS1823" s="76"/>
      <c r="CT1823" s="76"/>
      <c r="CU1823" s="56">
        <f>AN1823+AP1823+AR1823+AT1823+AV1823+AX1823+AZ1823+BB1823+BD1823+BF1823+BH1823+BJ1823+BL1823+BN1823+BP1823+BR1823+BT1823+BV1823+BX1823+BZ1823+CB1823+CD1823+CF1823+CH1823+CJ1823+CL1823+CN1823+CP1823+CR1823+CT1823</f>
        <v>0</v>
      </c>
      <c r="CV1823" s="76"/>
      <c r="CW1823" s="76">
        <f>+CV1823*1100</f>
        <v>0</v>
      </c>
      <c r="CX1823" s="76"/>
      <c r="CY1823" s="76">
        <f>+CX1823*106250</f>
        <v>0</v>
      </c>
      <c r="CZ1823" s="76"/>
      <c r="DA1823" s="76">
        <f>+CZ1823*34500</f>
        <v>0</v>
      </c>
      <c r="DB1823" s="76"/>
      <c r="DC1823" s="76">
        <f>+DB1823*25000</f>
        <v>0</v>
      </c>
      <c r="DD1823" s="219"/>
      <c r="DE1823" s="219"/>
      <c r="DF1823" s="166"/>
      <c r="DG1823" s="116"/>
      <c r="DH1823" s="117"/>
      <c r="DI1823" s="24"/>
      <c r="DJ1823" s="24"/>
      <c r="DK1823" s="24"/>
      <c r="DL1823" s="24"/>
      <c r="DM1823" s="24"/>
      <c r="DN1823" s="24"/>
      <c r="DO1823" s="24"/>
      <c r="DP1823" s="24"/>
      <c r="DQ1823" s="24"/>
      <c r="DR1823" s="24"/>
      <c r="DS1823" s="24"/>
      <c r="DT1823" s="24"/>
      <c r="DU1823" s="24"/>
    </row>
    <row r="1824" spans="1:125" s="8" customFormat="1" ht="48" x14ac:dyDescent="0.2">
      <c r="A1824" s="353">
        <v>41411</v>
      </c>
      <c r="B1824" s="352" t="s">
        <v>2772</v>
      </c>
      <c r="C1824" s="227" t="s">
        <v>2030</v>
      </c>
      <c r="D1824" s="227" t="s">
        <v>3051</v>
      </c>
      <c r="E1824" s="75" t="str">
        <f>VLOOKUP(B1824&amp;C1824,Divipola!$C$2:$F$1138,4,FALSE)</f>
        <v>25754</v>
      </c>
      <c r="F1824" s="87"/>
      <c r="G1824" s="87"/>
      <c r="H1824" s="87"/>
      <c r="I1824" s="87"/>
      <c r="J1824" s="87"/>
      <c r="K1824" s="87"/>
      <c r="L1824" s="87"/>
      <c r="M1824" s="87"/>
      <c r="N1824" s="87"/>
      <c r="O1824" s="87"/>
      <c r="P1824" s="87"/>
      <c r="Q1824" s="87"/>
      <c r="R1824" s="87"/>
      <c r="S1824" s="87"/>
      <c r="T1824" s="87"/>
      <c r="U1824" s="88"/>
      <c r="V1824" s="89"/>
      <c r="W1824" s="96">
        <v>0</v>
      </c>
      <c r="X1824" s="71">
        <f>CU1824</f>
        <v>0</v>
      </c>
      <c r="Y1824" s="71">
        <f>CY1824</f>
        <v>0</v>
      </c>
      <c r="Z1824" s="71">
        <f>DA1824+DC1824+DE1824</f>
        <v>0</v>
      </c>
      <c r="AA1824" s="71">
        <f>CW1824</f>
        <v>0</v>
      </c>
      <c r="AB1824" s="71"/>
      <c r="AC1824" s="71">
        <v>0</v>
      </c>
      <c r="AD1824" s="71">
        <f>W1824+X1824+Y1824+Z1824+AA1824+AB1824+AC1824</f>
        <v>0</v>
      </c>
      <c r="AE1824" s="72">
        <v>0</v>
      </c>
      <c r="AF1824" s="5"/>
      <c r="AG1824" s="6"/>
      <c r="AH1824" s="27" t="s">
        <v>3392</v>
      </c>
      <c r="AI1824" s="44" t="s">
        <v>3393</v>
      </c>
      <c r="AJ1824" s="26"/>
      <c r="AK1824" s="5"/>
      <c r="AL1824" s="82" t="s">
        <v>4643</v>
      </c>
      <c r="AM1824" s="76"/>
      <c r="AN1824" s="76"/>
      <c r="AO1824" s="76"/>
      <c r="AP1824" s="76"/>
      <c r="AQ1824" s="76"/>
      <c r="AR1824" s="76"/>
      <c r="AS1824" s="76"/>
      <c r="AT1824" s="76"/>
      <c r="AU1824" s="76"/>
      <c r="AV1824" s="76"/>
      <c r="AW1824" s="76"/>
      <c r="AX1824" s="76">
        <f>+AW1824*600000</f>
        <v>0</v>
      </c>
      <c r="AY1824" s="76"/>
      <c r="AZ1824" s="76">
        <f>+AY1824*70000</f>
        <v>0</v>
      </c>
      <c r="BA1824" s="76"/>
      <c r="BB1824" s="76"/>
      <c r="BC1824" s="76"/>
      <c r="BD1824" s="76">
        <f>+BC1824*30000</f>
        <v>0</v>
      </c>
      <c r="BE1824" s="76"/>
      <c r="BF1824" s="76"/>
      <c r="BG1824" s="76"/>
      <c r="BH1824" s="76"/>
      <c r="BI1824" s="76"/>
      <c r="BJ1824" s="76"/>
      <c r="BK1824" s="76"/>
      <c r="BL1824" s="76">
        <f>+BK1824*31500</f>
        <v>0</v>
      </c>
      <c r="BM1824" s="76"/>
      <c r="BN1824" s="76"/>
      <c r="BO1824" s="76"/>
      <c r="BP1824" s="76"/>
      <c r="BQ1824" s="76"/>
      <c r="BR1824" s="76"/>
      <c r="BS1824" s="76"/>
      <c r="BT1824" s="76"/>
      <c r="BU1824" s="76"/>
      <c r="BV1824" s="76"/>
      <c r="BW1824" s="76"/>
      <c r="BX1824" s="76"/>
      <c r="BY1824" s="76"/>
      <c r="BZ1824" s="76"/>
      <c r="CA1824" s="76"/>
      <c r="CB1824" s="76"/>
      <c r="CC1824" s="76"/>
      <c r="CD1824" s="76"/>
      <c r="CE1824" s="76"/>
      <c r="CF1824" s="76">
        <f>+CE1824*28000</f>
        <v>0</v>
      </c>
      <c r="CG1824" s="76"/>
      <c r="CH1824" s="76">
        <f>+CG1824*22500</f>
        <v>0</v>
      </c>
      <c r="CI1824" s="76"/>
      <c r="CJ1824" s="76">
        <f>+CI1824*26000</f>
        <v>0</v>
      </c>
      <c r="CK1824" s="76"/>
      <c r="CL1824" s="76"/>
      <c r="CM1824" s="76"/>
      <c r="CN1824" s="76">
        <f>+CM1824*22000</f>
        <v>0</v>
      </c>
      <c r="CO1824" s="76"/>
      <c r="CP1824" s="76">
        <f>+CO1824*46000</f>
        <v>0</v>
      </c>
      <c r="CQ1824" s="76"/>
      <c r="CR1824" s="76">
        <f>+CQ1824*49000</f>
        <v>0</v>
      </c>
      <c r="CS1824" s="76"/>
      <c r="CT1824" s="76"/>
      <c r="CU1824" s="56">
        <f>AN1824+AP1824+AR1824+AT1824+AV1824+AX1824+AZ1824+BB1824+BD1824+BF1824+BH1824+BJ1824+BL1824+BN1824+BP1824+BR1824+BT1824+BV1824+BX1824+BZ1824+CB1824+CD1824+CF1824+CH1824+CJ1824+CL1824+CN1824+CP1824+CR1824+CT1824</f>
        <v>0</v>
      </c>
      <c r="CV1824" s="76"/>
      <c r="CW1824" s="76">
        <f>+CV1824*1100</f>
        <v>0</v>
      </c>
      <c r="CX1824" s="76"/>
      <c r="CY1824" s="76">
        <f>+CX1824*106250</f>
        <v>0</v>
      </c>
      <c r="CZ1824" s="76"/>
      <c r="DA1824" s="76">
        <f>+CZ1824*34500</f>
        <v>0</v>
      </c>
      <c r="DB1824" s="76"/>
      <c r="DC1824" s="76">
        <f>+DB1824*25000</f>
        <v>0</v>
      </c>
      <c r="DD1824" s="219"/>
      <c r="DE1824" s="219"/>
      <c r="DF1824" s="166"/>
      <c r="DG1824" s="116"/>
      <c r="DH1824" s="117"/>
      <c r="DI1824" s="24"/>
      <c r="DJ1824" s="24"/>
      <c r="DK1824" s="24"/>
      <c r="DL1824" s="24"/>
      <c r="DM1824" s="24"/>
      <c r="DN1824" s="24"/>
      <c r="DO1824" s="24"/>
      <c r="DP1824" s="24"/>
      <c r="DQ1824" s="24"/>
      <c r="DR1824" s="24"/>
      <c r="DS1824" s="24"/>
      <c r="DT1824" s="24"/>
      <c r="DU1824" s="24"/>
    </row>
    <row r="1825" spans="1:125" s="8" customFormat="1" ht="24" x14ac:dyDescent="0.2">
      <c r="A1825" s="353">
        <v>41411</v>
      </c>
      <c r="B1825" s="352" t="s">
        <v>2661</v>
      </c>
      <c r="C1825" s="227" t="s">
        <v>474</v>
      </c>
      <c r="D1825" s="227" t="s">
        <v>2882</v>
      </c>
      <c r="E1825" s="75" t="str">
        <f>VLOOKUP(B1825&amp;C1825,Divipola!$C$2:$F$1138,4,FALSE)</f>
        <v>41660</v>
      </c>
      <c r="F1825" s="87"/>
      <c r="G1825" s="87"/>
      <c r="H1825" s="87"/>
      <c r="I1825" s="87">
        <v>5</v>
      </c>
      <c r="J1825" s="87">
        <v>1</v>
      </c>
      <c r="K1825" s="87"/>
      <c r="L1825" s="87">
        <v>1</v>
      </c>
      <c r="M1825" s="87"/>
      <c r="N1825" s="87"/>
      <c r="O1825" s="87"/>
      <c r="P1825" s="87"/>
      <c r="Q1825" s="87"/>
      <c r="R1825" s="87"/>
      <c r="S1825" s="87"/>
      <c r="T1825" s="87"/>
      <c r="U1825" s="88"/>
      <c r="V1825" s="89"/>
      <c r="W1825" s="96">
        <v>0</v>
      </c>
      <c r="X1825" s="71">
        <f>CU1825</f>
        <v>0</v>
      </c>
      <c r="Y1825" s="71">
        <f>CY1825</f>
        <v>0</v>
      </c>
      <c r="Z1825" s="71">
        <f>DA1825+DC1825+DE1825</f>
        <v>0</v>
      </c>
      <c r="AA1825" s="71">
        <f>CW1825</f>
        <v>0</v>
      </c>
      <c r="AB1825" s="71"/>
      <c r="AC1825" s="71">
        <v>0</v>
      </c>
      <c r="AD1825" s="71">
        <f>W1825+X1825+Y1825+Z1825+AA1825+AB1825+AC1825</f>
        <v>0</v>
      </c>
      <c r="AE1825" s="72">
        <v>0</v>
      </c>
      <c r="AF1825" s="5"/>
      <c r="AG1825" s="6"/>
      <c r="AH1825" s="27" t="s">
        <v>3392</v>
      </c>
      <c r="AI1825" s="44" t="s">
        <v>3393</v>
      </c>
      <c r="AJ1825" s="26"/>
      <c r="AK1825" s="5"/>
      <c r="AL1825" s="82" t="s">
        <v>4644</v>
      </c>
      <c r="AM1825" s="76"/>
      <c r="AN1825" s="76"/>
      <c r="AO1825" s="76"/>
      <c r="AP1825" s="76"/>
      <c r="AQ1825" s="76"/>
      <c r="AR1825" s="76"/>
      <c r="AS1825" s="76"/>
      <c r="AT1825" s="76"/>
      <c r="AU1825" s="76"/>
      <c r="AV1825" s="76"/>
      <c r="AW1825" s="76"/>
      <c r="AX1825" s="76">
        <f>+AW1825*600000</f>
        <v>0</v>
      </c>
      <c r="AY1825" s="76"/>
      <c r="AZ1825" s="76">
        <f>+AY1825*70000</f>
        <v>0</v>
      </c>
      <c r="BA1825" s="76"/>
      <c r="BB1825" s="76"/>
      <c r="BC1825" s="76"/>
      <c r="BD1825" s="76">
        <f>+BC1825*30000</f>
        <v>0</v>
      </c>
      <c r="BE1825" s="76"/>
      <c r="BF1825" s="76"/>
      <c r="BG1825" s="76"/>
      <c r="BH1825" s="76"/>
      <c r="BI1825" s="76"/>
      <c r="BJ1825" s="76"/>
      <c r="BK1825" s="76"/>
      <c r="BL1825" s="76">
        <f>+BK1825*31500</f>
        <v>0</v>
      </c>
      <c r="BM1825" s="76"/>
      <c r="BN1825" s="76"/>
      <c r="BO1825" s="76"/>
      <c r="BP1825" s="76"/>
      <c r="BQ1825" s="76"/>
      <c r="BR1825" s="76"/>
      <c r="BS1825" s="76"/>
      <c r="BT1825" s="76"/>
      <c r="BU1825" s="76"/>
      <c r="BV1825" s="76"/>
      <c r="BW1825" s="76"/>
      <c r="BX1825" s="76"/>
      <c r="BY1825" s="76"/>
      <c r="BZ1825" s="76"/>
      <c r="CA1825" s="76"/>
      <c r="CB1825" s="76"/>
      <c r="CC1825" s="76"/>
      <c r="CD1825" s="76"/>
      <c r="CE1825" s="76"/>
      <c r="CF1825" s="76">
        <f>+CE1825*28000</f>
        <v>0</v>
      </c>
      <c r="CG1825" s="76"/>
      <c r="CH1825" s="76">
        <f>+CG1825*22500</f>
        <v>0</v>
      </c>
      <c r="CI1825" s="76"/>
      <c r="CJ1825" s="76">
        <f>+CI1825*26000</f>
        <v>0</v>
      </c>
      <c r="CK1825" s="76"/>
      <c r="CL1825" s="76"/>
      <c r="CM1825" s="76"/>
      <c r="CN1825" s="76">
        <f>+CM1825*22000</f>
        <v>0</v>
      </c>
      <c r="CO1825" s="76"/>
      <c r="CP1825" s="76">
        <f>+CO1825*46000</f>
        <v>0</v>
      </c>
      <c r="CQ1825" s="76"/>
      <c r="CR1825" s="76">
        <f>+CQ1825*49000</f>
        <v>0</v>
      </c>
      <c r="CS1825" s="76"/>
      <c r="CT1825" s="76"/>
      <c r="CU1825" s="56">
        <f>AN1825+AP1825+AR1825+AT1825+AV1825+AX1825+AZ1825+BB1825+BD1825+BF1825+BH1825+BJ1825+BL1825+BN1825+BP1825+BR1825+BT1825+BV1825+BX1825+BZ1825+CB1825+CD1825+CF1825+CH1825+CJ1825+CL1825+CN1825+CP1825+CR1825+CT1825</f>
        <v>0</v>
      </c>
      <c r="CV1825" s="76"/>
      <c r="CW1825" s="76">
        <f>+CV1825*1100</f>
        <v>0</v>
      </c>
      <c r="CX1825" s="76"/>
      <c r="CY1825" s="76">
        <f>+CX1825*106250</f>
        <v>0</v>
      </c>
      <c r="CZ1825" s="76"/>
      <c r="DA1825" s="76">
        <f>+CZ1825*34500</f>
        <v>0</v>
      </c>
      <c r="DB1825" s="76"/>
      <c r="DC1825" s="76">
        <f>+DB1825*25000</f>
        <v>0</v>
      </c>
      <c r="DD1825" s="219"/>
      <c r="DE1825" s="219"/>
      <c r="DF1825" s="166"/>
      <c r="DG1825" s="116"/>
      <c r="DH1825" s="117"/>
      <c r="DI1825" s="24"/>
      <c r="DJ1825" s="24"/>
      <c r="DK1825" s="24"/>
      <c r="DL1825" s="24"/>
      <c r="DM1825" s="24"/>
      <c r="DN1825" s="24"/>
      <c r="DO1825" s="24"/>
      <c r="DP1825" s="24"/>
      <c r="DQ1825" s="24"/>
      <c r="DR1825" s="24"/>
      <c r="DS1825" s="24"/>
      <c r="DT1825" s="24"/>
      <c r="DU1825" s="24"/>
    </row>
    <row r="1826" spans="1:125" s="8" customFormat="1" ht="84" x14ac:dyDescent="0.2">
      <c r="A1826" s="77">
        <v>41411</v>
      </c>
      <c r="B1826" s="208" t="s">
        <v>2661</v>
      </c>
      <c r="C1826" s="227" t="s">
        <v>1369</v>
      </c>
      <c r="D1826" s="227" t="s">
        <v>3088</v>
      </c>
      <c r="E1826" s="75" t="str">
        <f>VLOOKUP(B1826&amp;C1826,Divipola!$C$2:$F$1138,4,FALSE)</f>
        <v>41797</v>
      </c>
      <c r="F1826" s="87">
        <v>1</v>
      </c>
      <c r="G1826" s="87">
        <v>2</v>
      </c>
      <c r="H1826" s="87"/>
      <c r="I1826" s="87"/>
      <c r="J1826" s="87"/>
      <c r="K1826" s="87"/>
      <c r="L1826" s="87"/>
      <c r="M1826" s="87"/>
      <c r="N1826" s="87"/>
      <c r="O1826" s="87"/>
      <c r="P1826" s="87"/>
      <c r="Q1826" s="87"/>
      <c r="R1826" s="87"/>
      <c r="S1826" s="87"/>
      <c r="T1826" s="87"/>
      <c r="U1826" s="88"/>
      <c r="V1826" s="89"/>
      <c r="W1826" s="96">
        <v>0</v>
      </c>
      <c r="X1826" s="71">
        <f>CU1826</f>
        <v>0</v>
      </c>
      <c r="Y1826" s="71">
        <f>CY1826</f>
        <v>0</v>
      </c>
      <c r="Z1826" s="71">
        <f>DA1826+DC1826+DE1826</f>
        <v>0</v>
      </c>
      <c r="AA1826" s="71">
        <f>CW1826</f>
        <v>0</v>
      </c>
      <c r="AB1826" s="71"/>
      <c r="AC1826" s="71">
        <v>0</v>
      </c>
      <c r="AD1826" s="71">
        <f>W1826+X1826+Y1826+Z1826+AA1826+AB1826+AC1826</f>
        <v>0</v>
      </c>
      <c r="AE1826" s="72">
        <v>0</v>
      </c>
      <c r="AF1826" s="5"/>
      <c r="AG1826" s="6"/>
      <c r="AH1826" s="27" t="s">
        <v>3392</v>
      </c>
      <c r="AI1826" s="44" t="s">
        <v>3393</v>
      </c>
      <c r="AJ1826" s="26"/>
      <c r="AK1826" s="5"/>
      <c r="AL1826" s="82" t="s">
        <v>4649</v>
      </c>
      <c r="AM1826" s="76"/>
      <c r="AN1826" s="76"/>
      <c r="AO1826" s="76"/>
      <c r="AP1826" s="76"/>
      <c r="AQ1826" s="76"/>
      <c r="AR1826" s="76"/>
      <c r="AS1826" s="76"/>
      <c r="AT1826" s="76"/>
      <c r="AU1826" s="76"/>
      <c r="AV1826" s="76"/>
      <c r="AW1826" s="76"/>
      <c r="AX1826" s="76">
        <f>+AW1826*600000</f>
        <v>0</v>
      </c>
      <c r="AY1826" s="76"/>
      <c r="AZ1826" s="76">
        <f>+AY1826*70000</f>
        <v>0</v>
      </c>
      <c r="BA1826" s="76"/>
      <c r="BB1826" s="76"/>
      <c r="BC1826" s="76"/>
      <c r="BD1826" s="76">
        <f>+BC1826*30000</f>
        <v>0</v>
      </c>
      <c r="BE1826" s="76"/>
      <c r="BF1826" s="76"/>
      <c r="BG1826" s="76"/>
      <c r="BH1826" s="76"/>
      <c r="BI1826" s="76"/>
      <c r="BJ1826" s="76"/>
      <c r="BK1826" s="76"/>
      <c r="BL1826" s="76">
        <f>+BK1826*31500</f>
        <v>0</v>
      </c>
      <c r="BM1826" s="76"/>
      <c r="BN1826" s="76"/>
      <c r="BO1826" s="76"/>
      <c r="BP1826" s="76"/>
      <c r="BQ1826" s="76"/>
      <c r="BR1826" s="76"/>
      <c r="BS1826" s="76"/>
      <c r="BT1826" s="76"/>
      <c r="BU1826" s="76"/>
      <c r="BV1826" s="76"/>
      <c r="BW1826" s="76"/>
      <c r="BX1826" s="76"/>
      <c r="BY1826" s="76"/>
      <c r="BZ1826" s="76"/>
      <c r="CA1826" s="76"/>
      <c r="CB1826" s="76"/>
      <c r="CC1826" s="76"/>
      <c r="CD1826" s="76"/>
      <c r="CE1826" s="76"/>
      <c r="CF1826" s="76">
        <f>+CE1826*28000</f>
        <v>0</v>
      </c>
      <c r="CG1826" s="76"/>
      <c r="CH1826" s="76">
        <f>+CG1826*22500</f>
        <v>0</v>
      </c>
      <c r="CI1826" s="76"/>
      <c r="CJ1826" s="76">
        <f>+CI1826*26000</f>
        <v>0</v>
      </c>
      <c r="CK1826" s="76"/>
      <c r="CL1826" s="76"/>
      <c r="CM1826" s="76"/>
      <c r="CN1826" s="76">
        <f>+CM1826*22000</f>
        <v>0</v>
      </c>
      <c r="CO1826" s="76"/>
      <c r="CP1826" s="76">
        <f>+CO1826*46000</f>
        <v>0</v>
      </c>
      <c r="CQ1826" s="76"/>
      <c r="CR1826" s="76">
        <f>+CQ1826*49000</f>
        <v>0</v>
      </c>
      <c r="CS1826" s="76"/>
      <c r="CT1826" s="76"/>
      <c r="CU1826" s="56">
        <f>AN1826+AP1826+AR1826+AT1826+AV1826+AX1826+AZ1826+BB1826+BD1826+BF1826+BH1826+BJ1826+BL1826+BN1826+BP1826+BR1826+BT1826+BV1826+BX1826+BZ1826+CB1826+CD1826+CF1826+CH1826+CJ1826+CL1826+CN1826+CP1826+CR1826+CT1826</f>
        <v>0</v>
      </c>
      <c r="CV1826" s="76"/>
      <c r="CW1826" s="76">
        <f>+CV1826*1100</f>
        <v>0</v>
      </c>
      <c r="CX1826" s="76"/>
      <c r="CY1826" s="76">
        <f>+CX1826*106250</f>
        <v>0</v>
      </c>
      <c r="CZ1826" s="76"/>
      <c r="DA1826" s="76">
        <f>+CZ1826*34500</f>
        <v>0</v>
      </c>
      <c r="DB1826" s="76"/>
      <c r="DC1826" s="76">
        <f>+DB1826*25000</f>
        <v>0</v>
      </c>
      <c r="DD1826" s="219"/>
      <c r="DE1826" s="219"/>
      <c r="DF1826" s="166"/>
      <c r="DG1826" s="116"/>
      <c r="DH1826" s="117"/>
      <c r="DI1826" s="24"/>
      <c r="DJ1826" s="24"/>
      <c r="DK1826" s="24"/>
      <c r="DL1826" s="24"/>
      <c r="DM1826" s="24"/>
      <c r="DN1826" s="24"/>
      <c r="DO1826" s="24"/>
      <c r="DP1826" s="24"/>
      <c r="DQ1826" s="24"/>
      <c r="DR1826" s="24"/>
      <c r="DS1826" s="24"/>
      <c r="DT1826" s="24"/>
      <c r="DU1826" s="24"/>
    </row>
    <row r="1827" spans="1:125" s="8" customFormat="1" ht="204" x14ac:dyDescent="0.2">
      <c r="A1827" s="353">
        <v>41411</v>
      </c>
      <c r="B1827" s="225" t="s">
        <v>506</v>
      </c>
      <c r="C1827" s="227" t="s">
        <v>1697</v>
      </c>
      <c r="D1827" s="227" t="s">
        <v>3051</v>
      </c>
      <c r="E1827" s="75" t="str">
        <f>VLOOKUP(B1827&amp;C1827,Divipola!$C$2:$F$1138,4,FALSE)</f>
        <v>50001</v>
      </c>
      <c r="F1827" s="87"/>
      <c r="G1827" s="87"/>
      <c r="H1827" s="87"/>
      <c r="I1827" s="87">
        <v>75</v>
      </c>
      <c r="J1827" s="87">
        <v>15</v>
      </c>
      <c r="K1827" s="87"/>
      <c r="L1827" s="87">
        <v>15</v>
      </c>
      <c r="M1827" s="87"/>
      <c r="N1827" s="87"/>
      <c r="O1827" s="87"/>
      <c r="P1827" s="87"/>
      <c r="Q1827" s="87"/>
      <c r="R1827" s="87"/>
      <c r="S1827" s="87"/>
      <c r="T1827" s="87"/>
      <c r="U1827" s="88"/>
      <c r="V1827" s="89"/>
      <c r="W1827" s="96">
        <v>0</v>
      </c>
      <c r="X1827" s="71">
        <f>CU1827</f>
        <v>0</v>
      </c>
      <c r="Y1827" s="71">
        <f>CY1827</f>
        <v>0</v>
      </c>
      <c r="Z1827" s="71">
        <f>DA1827+DC1827+DE1827</f>
        <v>0</v>
      </c>
      <c r="AA1827" s="71">
        <f>CW1827</f>
        <v>0</v>
      </c>
      <c r="AB1827" s="71"/>
      <c r="AC1827" s="71">
        <v>0</v>
      </c>
      <c r="AD1827" s="71">
        <f>W1827+X1827+Y1827+Z1827+AA1827+AB1827+AC1827</f>
        <v>0</v>
      </c>
      <c r="AE1827" s="72">
        <v>0</v>
      </c>
      <c r="AF1827" s="5"/>
      <c r="AG1827" s="6"/>
      <c r="AH1827" s="27" t="s">
        <v>3392</v>
      </c>
      <c r="AI1827" s="44" t="s">
        <v>3393</v>
      </c>
      <c r="AJ1827" s="26"/>
      <c r="AK1827" s="5"/>
      <c r="AL1827" s="82" t="s">
        <v>4645</v>
      </c>
      <c r="AM1827" s="76"/>
      <c r="AN1827" s="76"/>
      <c r="AO1827" s="76"/>
      <c r="AP1827" s="76"/>
      <c r="AQ1827" s="76"/>
      <c r="AR1827" s="76"/>
      <c r="AS1827" s="76"/>
      <c r="AT1827" s="76"/>
      <c r="AU1827" s="76"/>
      <c r="AV1827" s="76"/>
      <c r="AW1827" s="76"/>
      <c r="AX1827" s="76">
        <f>+AW1827*600000</f>
        <v>0</v>
      </c>
      <c r="AY1827" s="76"/>
      <c r="AZ1827" s="76">
        <f>+AY1827*70000</f>
        <v>0</v>
      </c>
      <c r="BA1827" s="76"/>
      <c r="BB1827" s="76"/>
      <c r="BC1827" s="76"/>
      <c r="BD1827" s="76">
        <f>+BC1827*30000</f>
        <v>0</v>
      </c>
      <c r="BE1827" s="76"/>
      <c r="BF1827" s="76"/>
      <c r="BG1827" s="76"/>
      <c r="BH1827" s="76"/>
      <c r="BI1827" s="76"/>
      <c r="BJ1827" s="76"/>
      <c r="BK1827" s="76"/>
      <c r="BL1827" s="76">
        <f>+BK1827*31500</f>
        <v>0</v>
      </c>
      <c r="BM1827" s="76"/>
      <c r="BN1827" s="76"/>
      <c r="BO1827" s="76"/>
      <c r="BP1827" s="76"/>
      <c r="BQ1827" s="76"/>
      <c r="BR1827" s="76"/>
      <c r="BS1827" s="76"/>
      <c r="BT1827" s="76"/>
      <c r="BU1827" s="76"/>
      <c r="BV1827" s="76"/>
      <c r="BW1827" s="76"/>
      <c r="BX1827" s="76"/>
      <c r="BY1827" s="76"/>
      <c r="BZ1827" s="76"/>
      <c r="CA1827" s="76"/>
      <c r="CB1827" s="76"/>
      <c r="CC1827" s="76"/>
      <c r="CD1827" s="76"/>
      <c r="CE1827" s="76"/>
      <c r="CF1827" s="76">
        <f>+CE1827*28000</f>
        <v>0</v>
      </c>
      <c r="CG1827" s="76"/>
      <c r="CH1827" s="76">
        <f>+CG1827*22500</f>
        <v>0</v>
      </c>
      <c r="CI1827" s="76"/>
      <c r="CJ1827" s="76">
        <f>+CI1827*26000</f>
        <v>0</v>
      </c>
      <c r="CK1827" s="76"/>
      <c r="CL1827" s="76"/>
      <c r="CM1827" s="76"/>
      <c r="CN1827" s="76">
        <f>+CM1827*22000</f>
        <v>0</v>
      </c>
      <c r="CO1827" s="76"/>
      <c r="CP1827" s="76">
        <f>+CO1827*46000</f>
        <v>0</v>
      </c>
      <c r="CQ1827" s="76"/>
      <c r="CR1827" s="76">
        <f>+CQ1827*49000</f>
        <v>0</v>
      </c>
      <c r="CS1827" s="76"/>
      <c r="CT1827" s="76"/>
      <c r="CU1827" s="56">
        <f>AN1827+AP1827+AR1827+AT1827+AV1827+AX1827+AZ1827+BB1827+BD1827+BF1827+BH1827+BJ1827+BL1827+BN1827+BP1827+BR1827+BT1827+BV1827+BX1827+BZ1827+CB1827+CD1827+CF1827+CH1827+CJ1827+CL1827+CN1827+CP1827+CR1827+CT1827</f>
        <v>0</v>
      </c>
      <c r="CV1827" s="76"/>
      <c r="CW1827" s="76">
        <f>+CV1827*1100</f>
        <v>0</v>
      </c>
      <c r="CX1827" s="76"/>
      <c r="CY1827" s="76">
        <f>+CX1827*106250</f>
        <v>0</v>
      </c>
      <c r="CZ1827" s="76"/>
      <c r="DA1827" s="76">
        <f>+CZ1827*34500</f>
        <v>0</v>
      </c>
      <c r="DB1827" s="76"/>
      <c r="DC1827" s="76">
        <f>+DB1827*25000</f>
        <v>0</v>
      </c>
      <c r="DD1827" s="219"/>
      <c r="DE1827" s="219"/>
      <c r="DF1827" s="166"/>
      <c r="DG1827" s="116"/>
      <c r="DH1827" s="117"/>
      <c r="DI1827" s="24"/>
      <c r="DJ1827" s="24"/>
      <c r="DK1827" s="24"/>
      <c r="DL1827" s="24"/>
      <c r="DM1827" s="24"/>
      <c r="DN1827" s="24"/>
      <c r="DO1827" s="24"/>
      <c r="DP1827" s="24"/>
      <c r="DQ1827" s="24"/>
      <c r="DR1827" s="24"/>
      <c r="DS1827" s="24"/>
      <c r="DT1827" s="24"/>
      <c r="DU1827" s="24"/>
    </row>
    <row r="1828" spans="1:125" s="8" customFormat="1" ht="60" x14ac:dyDescent="0.2">
      <c r="A1828" s="77">
        <v>41411</v>
      </c>
      <c r="B1828" s="225" t="s">
        <v>2847</v>
      </c>
      <c r="C1828" s="227" t="s">
        <v>479</v>
      </c>
      <c r="D1828" s="227" t="s">
        <v>2846</v>
      </c>
      <c r="E1828" s="75" t="str">
        <f>VLOOKUP(B1828&amp;C1828,Divipola!$C$2:$F$1138,4,FALSE)</f>
        <v>68547</v>
      </c>
      <c r="F1828" s="100"/>
      <c r="G1828" s="100"/>
      <c r="H1828" s="100"/>
      <c r="I1828" s="100"/>
      <c r="J1828" s="100"/>
      <c r="K1828" s="100"/>
      <c r="L1828" s="100"/>
      <c r="M1828" s="100"/>
      <c r="N1828" s="100"/>
      <c r="O1828" s="100"/>
      <c r="P1828" s="100"/>
      <c r="Q1828" s="100"/>
      <c r="R1828" s="100"/>
      <c r="S1828" s="100"/>
      <c r="T1828" s="100"/>
      <c r="U1828" s="136"/>
      <c r="V1828" s="89"/>
      <c r="W1828" s="96">
        <v>0</v>
      </c>
      <c r="X1828" s="71">
        <f>CU1828</f>
        <v>0</v>
      </c>
      <c r="Y1828" s="71">
        <f>CY1828</f>
        <v>0</v>
      </c>
      <c r="Z1828" s="71">
        <f>DA1828+DC1828+DE1828</f>
        <v>0</v>
      </c>
      <c r="AA1828" s="71">
        <f>CW1828</f>
        <v>0</v>
      </c>
      <c r="AB1828" s="71"/>
      <c r="AC1828" s="71">
        <v>0</v>
      </c>
      <c r="AD1828" s="71">
        <f>W1828+X1828+Y1828+Z1828+AA1828+AB1828+AC1828</f>
        <v>0</v>
      </c>
      <c r="AE1828" s="72">
        <v>0</v>
      </c>
      <c r="AF1828" s="5"/>
      <c r="AG1828" s="6"/>
      <c r="AH1828" s="27" t="s">
        <v>3392</v>
      </c>
      <c r="AI1828" s="44" t="s">
        <v>3393</v>
      </c>
      <c r="AJ1828" s="26"/>
      <c r="AK1828" s="5"/>
      <c r="AL1828" s="82" t="s">
        <v>4635</v>
      </c>
      <c r="AM1828" s="76"/>
      <c r="AN1828" s="76"/>
      <c r="AO1828" s="76"/>
      <c r="AP1828" s="76"/>
      <c r="AQ1828" s="76"/>
      <c r="AR1828" s="76"/>
      <c r="AS1828" s="76"/>
      <c r="AT1828" s="76"/>
      <c r="AU1828" s="76"/>
      <c r="AV1828" s="76"/>
      <c r="AW1828" s="76"/>
      <c r="AX1828" s="76">
        <f>+AW1828*600000</f>
        <v>0</v>
      </c>
      <c r="AY1828" s="76"/>
      <c r="AZ1828" s="76">
        <f>+AY1828*70000</f>
        <v>0</v>
      </c>
      <c r="BA1828" s="76"/>
      <c r="BB1828" s="76"/>
      <c r="BC1828" s="76"/>
      <c r="BD1828" s="76">
        <f>+BC1828*30000</f>
        <v>0</v>
      </c>
      <c r="BE1828" s="76"/>
      <c r="BF1828" s="76"/>
      <c r="BG1828" s="76"/>
      <c r="BH1828" s="76"/>
      <c r="BI1828" s="76"/>
      <c r="BJ1828" s="76"/>
      <c r="BK1828" s="76"/>
      <c r="BL1828" s="76">
        <f>+BK1828*31500</f>
        <v>0</v>
      </c>
      <c r="BM1828" s="76"/>
      <c r="BN1828" s="76"/>
      <c r="BO1828" s="76"/>
      <c r="BP1828" s="76"/>
      <c r="BQ1828" s="76"/>
      <c r="BR1828" s="76"/>
      <c r="BS1828" s="76"/>
      <c r="BT1828" s="76"/>
      <c r="BU1828" s="76"/>
      <c r="BV1828" s="76"/>
      <c r="BW1828" s="76"/>
      <c r="BX1828" s="76"/>
      <c r="BY1828" s="76"/>
      <c r="BZ1828" s="76"/>
      <c r="CA1828" s="76"/>
      <c r="CB1828" s="76"/>
      <c r="CC1828" s="76"/>
      <c r="CD1828" s="76"/>
      <c r="CE1828" s="76"/>
      <c r="CF1828" s="76">
        <f>+CE1828*28000</f>
        <v>0</v>
      </c>
      <c r="CG1828" s="76"/>
      <c r="CH1828" s="76">
        <f>+CG1828*22500</f>
        <v>0</v>
      </c>
      <c r="CI1828" s="76"/>
      <c r="CJ1828" s="76">
        <f>+CI1828*26000</f>
        <v>0</v>
      </c>
      <c r="CK1828" s="76"/>
      <c r="CL1828" s="76"/>
      <c r="CM1828" s="76"/>
      <c r="CN1828" s="76">
        <f>+CM1828*22000</f>
        <v>0</v>
      </c>
      <c r="CO1828" s="76"/>
      <c r="CP1828" s="76">
        <f>+CO1828*46000</f>
        <v>0</v>
      </c>
      <c r="CQ1828" s="76"/>
      <c r="CR1828" s="76">
        <f>+CQ1828*49000</f>
        <v>0</v>
      </c>
      <c r="CS1828" s="76"/>
      <c r="CT1828" s="76"/>
      <c r="CU1828" s="56">
        <f>AN1828+AP1828+AR1828+AT1828+AV1828+AX1828+AZ1828+BB1828+BD1828+BF1828+BH1828+BJ1828+BL1828+BN1828+BP1828+BR1828+BT1828+BV1828+BX1828+BZ1828+CB1828+CD1828+CF1828+CH1828+CJ1828+CL1828+CN1828+CP1828+CR1828+CT1828</f>
        <v>0</v>
      </c>
      <c r="CV1828" s="76"/>
      <c r="CW1828" s="76">
        <f>+CV1828*1100</f>
        <v>0</v>
      </c>
      <c r="CX1828" s="76"/>
      <c r="CY1828" s="76">
        <f>+CX1828*106250</f>
        <v>0</v>
      </c>
      <c r="CZ1828" s="76"/>
      <c r="DA1828" s="76">
        <f>+CZ1828*34500</f>
        <v>0</v>
      </c>
      <c r="DB1828" s="76"/>
      <c r="DC1828" s="76">
        <f>+DB1828*25000</f>
        <v>0</v>
      </c>
      <c r="DD1828" s="219"/>
      <c r="DE1828" s="219"/>
      <c r="DF1828" s="166"/>
      <c r="DG1828" s="116"/>
      <c r="DH1828" s="117"/>
      <c r="DI1828" s="24"/>
      <c r="DJ1828" s="24"/>
      <c r="DK1828" s="24"/>
      <c r="DL1828" s="24"/>
      <c r="DM1828" s="24"/>
      <c r="DN1828" s="24"/>
      <c r="DO1828" s="24"/>
      <c r="DP1828" s="24"/>
      <c r="DQ1828" s="24"/>
      <c r="DR1828" s="24"/>
      <c r="DS1828" s="24"/>
      <c r="DT1828" s="24"/>
      <c r="DU1828" s="24"/>
    </row>
    <row r="1829" spans="1:125" s="8" customFormat="1" ht="60" x14ac:dyDescent="0.2">
      <c r="A1829" s="226">
        <v>41411</v>
      </c>
      <c r="B1829" s="225" t="s">
        <v>2848</v>
      </c>
      <c r="C1829" s="227" t="s">
        <v>2213</v>
      </c>
      <c r="D1829" s="227" t="s">
        <v>3088</v>
      </c>
      <c r="E1829" s="75" t="str">
        <f>VLOOKUP(B1829&amp;C1829,Divipola!$C$2:$F$1138,4,FALSE)</f>
        <v>73152</v>
      </c>
      <c r="F1829" s="87"/>
      <c r="G1829" s="87"/>
      <c r="H1829" s="87"/>
      <c r="I1829" s="87"/>
      <c r="J1829" s="87"/>
      <c r="K1829" s="87"/>
      <c r="L1829" s="87"/>
      <c r="M1829" s="87">
        <v>3</v>
      </c>
      <c r="N1829" s="87"/>
      <c r="O1829" s="87"/>
      <c r="P1829" s="87"/>
      <c r="Q1829" s="87"/>
      <c r="R1829" s="87"/>
      <c r="S1829" s="87"/>
      <c r="T1829" s="87"/>
      <c r="U1829" s="88"/>
      <c r="V1829" s="89"/>
      <c r="W1829" s="96">
        <v>0</v>
      </c>
      <c r="X1829" s="71">
        <f>CU1829</f>
        <v>0</v>
      </c>
      <c r="Y1829" s="71">
        <f>CY1829</f>
        <v>0</v>
      </c>
      <c r="Z1829" s="71">
        <f>DA1829+DC1829+DE1829</f>
        <v>0</v>
      </c>
      <c r="AA1829" s="71">
        <f>CW1829</f>
        <v>0</v>
      </c>
      <c r="AB1829" s="71"/>
      <c r="AC1829" s="71">
        <v>0</v>
      </c>
      <c r="AD1829" s="71">
        <f>W1829+X1829+Y1829+Z1829+AA1829+AB1829+AC1829</f>
        <v>0</v>
      </c>
      <c r="AE1829" s="72">
        <v>0</v>
      </c>
      <c r="AF1829" s="5"/>
      <c r="AG1829" s="6"/>
      <c r="AH1829" s="27" t="s">
        <v>3392</v>
      </c>
      <c r="AI1829" s="44" t="s">
        <v>3393</v>
      </c>
      <c r="AJ1829" s="26"/>
      <c r="AK1829" s="5"/>
      <c r="AL1829" s="82" t="s">
        <v>4640</v>
      </c>
      <c r="AM1829" s="76"/>
      <c r="AN1829" s="76"/>
      <c r="AO1829" s="76"/>
      <c r="AP1829" s="76"/>
      <c r="AQ1829" s="76"/>
      <c r="AR1829" s="76"/>
      <c r="AS1829" s="76"/>
      <c r="AT1829" s="76"/>
      <c r="AU1829" s="76"/>
      <c r="AV1829" s="76"/>
      <c r="AW1829" s="76"/>
      <c r="AX1829" s="76">
        <f>+AW1829*600000</f>
        <v>0</v>
      </c>
      <c r="AY1829" s="76"/>
      <c r="AZ1829" s="76">
        <f>+AY1829*70000</f>
        <v>0</v>
      </c>
      <c r="BA1829" s="76"/>
      <c r="BB1829" s="76"/>
      <c r="BC1829" s="76"/>
      <c r="BD1829" s="76">
        <f>+BC1829*30000</f>
        <v>0</v>
      </c>
      <c r="BE1829" s="76"/>
      <c r="BF1829" s="76"/>
      <c r="BG1829" s="76"/>
      <c r="BH1829" s="76"/>
      <c r="BI1829" s="76"/>
      <c r="BJ1829" s="76"/>
      <c r="BK1829" s="76"/>
      <c r="BL1829" s="76">
        <f>+BK1829*31500</f>
        <v>0</v>
      </c>
      <c r="BM1829" s="76"/>
      <c r="BN1829" s="76"/>
      <c r="BO1829" s="76"/>
      <c r="BP1829" s="76"/>
      <c r="BQ1829" s="76"/>
      <c r="BR1829" s="76"/>
      <c r="BS1829" s="76"/>
      <c r="BT1829" s="76"/>
      <c r="BU1829" s="76"/>
      <c r="BV1829" s="76"/>
      <c r="BW1829" s="76"/>
      <c r="BX1829" s="76"/>
      <c r="BY1829" s="76"/>
      <c r="BZ1829" s="76"/>
      <c r="CA1829" s="76"/>
      <c r="CB1829" s="76"/>
      <c r="CC1829" s="76"/>
      <c r="CD1829" s="76"/>
      <c r="CE1829" s="76"/>
      <c r="CF1829" s="76">
        <f>+CE1829*28000</f>
        <v>0</v>
      </c>
      <c r="CG1829" s="76"/>
      <c r="CH1829" s="76">
        <f>+CG1829*22500</f>
        <v>0</v>
      </c>
      <c r="CI1829" s="76"/>
      <c r="CJ1829" s="76">
        <f>+CI1829*26000</f>
        <v>0</v>
      </c>
      <c r="CK1829" s="76"/>
      <c r="CL1829" s="76"/>
      <c r="CM1829" s="76"/>
      <c r="CN1829" s="76">
        <f>+CM1829*22000</f>
        <v>0</v>
      </c>
      <c r="CO1829" s="76"/>
      <c r="CP1829" s="76">
        <f>+CO1829*46000</f>
        <v>0</v>
      </c>
      <c r="CQ1829" s="76"/>
      <c r="CR1829" s="76">
        <f>+CQ1829*49000</f>
        <v>0</v>
      </c>
      <c r="CS1829" s="76"/>
      <c r="CT1829" s="76"/>
      <c r="CU1829" s="56">
        <f>AN1829+AP1829+AR1829+AT1829+AV1829+AX1829+AZ1829+BB1829+BD1829+BF1829+BH1829+BJ1829+BL1829+BN1829+BP1829+BR1829+BT1829+BV1829+BX1829+BZ1829+CB1829+CD1829+CF1829+CH1829+CJ1829+CL1829+CN1829+CP1829+CR1829+CT1829</f>
        <v>0</v>
      </c>
      <c r="CV1829" s="76"/>
      <c r="CW1829" s="76">
        <f>+CV1829*1100</f>
        <v>0</v>
      </c>
      <c r="CX1829" s="76"/>
      <c r="CY1829" s="76">
        <f>+CX1829*106250</f>
        <v>0</v>
      </c>
      <c r="CZ1829" s="76"/>
      <c r="DA1829" s="76">
        <f>+CZ1829*34500</f>
        <v>0</v>
      </c>
      <c r="DB1829" s="76"/>
      <c r="DC1829" s="76">
        <f>+DB1829*25000</f>
        <v>0</v>
      </c>
      <c r="DD1829" s="219"/>
      <c r="DE1829" s="219"/>
      <c r="DF1829" s="166"/>
      <c r="DG1829" s="116"/>
      <c r="DH1829" s="117"/>
      <c r="DI1829" s="24"/>
      <c r="DJ1829" s="24"/>
      <c r="DK1829" s="24"/>
      <c r="DL1829" s="24"/>
      <c r="DM1829" s="24"/>
      <c r="DN1829" s="24"/>
      <c r="DO1829" s="24"/>
      <c r="DP1829" s="24"/>
      <c r="DQ1829" s="24"/>
      <c r="DR1829" s="24"/>
      <c r="DS1829" s="24"/>
      <c r="DT1829" s="24"/>
      <c r="DU1829" s="24"/>
    </row>
    <row r="1830" spans="1:125" s="8" customFormat="1" ht="60" x14ac:dyDescent="0.2">
      <c r="A1830" s="226">
        <v>41411</v>
      </c>
      <c r="B1830" s="225" t="s">
        <v>2848</v>
      </c>
      <c r="C1830" s="227" t="s">
        <v>2104</v>
      </c>
      <c r="D1830" s="227" t="s">
        <v>3051</v>
      </c>
      <c r="E1830" s="75" t="str">
        <f>VLOOKUP(B1830&amp;C1830,Divipola!$C$2:$F$1138,4,FALSE)</f>
        <v>73563</v>
      </c>
      <c r="F1830" s="87"/>
      <c r="G1830" s="87"/>
      <c r="H1830" s="87"/>
      <c r="I1830" s="87"/>
      <c r="J1830" s="87"/>
      <c r="K1830" s="87"/>
      <c r="L1830" s="87"/>
      <c r="M1830" s="87"/>
      <c r="N1830" s="87">
        <v>1</v>
      </c>
      <c r="O1830" s="87"/>
      <c r="P1830" s="87"/>
      <c r="Q1830" s="87"/>
      <c r="R1830" s="87"/>
      <c r="S1830" s="87"/>
      <c r="T1830" s="87"/>
      <c r="U1830" s="88"/>
      <c r="V1830" s="89"/>
      <c r="W1830" s="96">
        <v>0</v>
      </c>
      <c r="X1830" s="71">
        <f>CU1830</f>
        <v>0</v>
      </c>
      <c r="Y1830" s="71">
        <f>CY1830</f>
        <v>0</v>
      </c>
      <c r="Z1830" s="71">
        <f>DA1830+DC1830+DE1830</f>
        <v>0</v>
      </c>
      <c r="AA1830" s="71">
        <f>CW1830</f>
        <v>0</v>
      </c>
      <c r="AB1830" s="71"/>
      <c r="AC1830" s="71">
        <v>0</v>
      </c>
      <c r="AD1830" s="71">
        <f>W1830+X1830+Y1830+Z1830+AA1830+AB1830+AC1830</f>
        <v>0</v>
      </c>
      <c r="AE1830" s="72">
        <v>0</v>
      </c>
      <c r="AF1830" s="5"/>
      <c r="AG1830" s="6"/>
      <c r="AH1830" s="27" t="s">
        <v>3392</v>
      </c>
      <c r="AI1830" s="44" t="s">
        <v>3393</v>
      </c>
      <c r="AJ1830" s="26"/>
      <c r="AK1830" s="5"/>
      <c r="AL1830" s="82" t="s">
        <v>4641</v>
      </c>
      <c r="AM1830" s="76"/>
      <c r="AN1830" s="76"/>
      <c r="AO1830" s="76"/>
      <c r="AP1830" s="76"/>
      <c r="AQ1830" s="76"/>
      <c r="AR1830" s="76"/>
      <c r="AS1830" s="76"/>
      <c r="AT1830" s="76"/>
      <c r="AU1830" s="76"/>
      <c r="AV1830" s="76"/>
      <c r="AW1830" s="76"/>
      <c r="AX1830" s="76">
        <f>+AW1830*600000</f>
        <v>0</v>
      </c>
      <c r="AY1830" s="76"/>
      <c r="AZ1830" s="76">
        <f>+AY1830*70000</f>
        <v>0</v>
      </c>
      <c r="BA1830" s="76"/>
      <c r="BB1830" s="76"/>
      <c r="BC1830" s="76"/>
      <c r="BD1830" s="76">
        <f>+BC1830*30000</f>
        <v>0</v>
      </c>
      <c r="BE1830" s="76"/>
      <c r="BF1830" s="76"/>
      <c r="BG1830" s="76"/>
      <c r="BH1830" s="76"/>
      <c r="BI1830" s="76"/>
      <c r="BJ1830" s="76"/>
      <c r="BK1830" s="76"/>
      <c r="BL1830" s="76">
        <f>+BK1830*31500</f>
        <v>0</v>
      </c>
      <c r="BM1830" s="76"/>
      <c r="BN1830" s="76"/>
      <c r="BO1830" s="76"/>
      <c r="BP1830" s="76"/>
      <c r="BQ1830" s="76"/>
      <c r="BR1830" s="76"/>
      <c r="BS1830" s="76"/>
      <c r="BT1830" s="76"/>
      <c r="BU1830" s="76"/>
      <c r="BV1830" s="76"/>
      <c r="BW1830" s="76"/>
      <c r="BX1830" s="76"/>
      <c r="BY1830" s="76"/>
      <c r="BZ1830" s="76"/>
      <c r="CA1830" s="76"/>
      <c r="CB1830" s="76"/>
      <c r="CC1830" s="76"/>
      <c r="CD1830" s="76"/>
      <c r="CE1830" s="76"/>
      <c r="CF1830" s="76">
        <f>+CE1830*28000</f>
        <v>0</v>
      </c>
      <c r="CG1830" s="76"/>
      <c r="CH1830" s="76">
        <f>+CG1830*22500</f>
        <v>0</v>
      </c>
      <c r="CI1830" s="76"/>
      <c r="CJ1830" s="76">
        <f>+CI1830*26000</f>
        <v>0</v>
      </c>
      <c r="CK1830" s="76"/>
      <c r="CL1830" s="76"/>
      <c r="CM1830" s="76"/>
      <c r="CN1830" s="76">
        <f>+CM1830*22000</f>
        <v>0</v>
      </c>
      <c r="CO1830" s="76"/>
      <c r="CP1830" s="76">
        <f>+CO1830*46000</f>
        <v>0</v>
      </c>
      <c r="CQ1830" s="76"/>
      <c r="CR1830" s="76">
        <f>+CQ1830*49000</f>
        <v>0</v>
      </c>
      <c r="CS1830" s="76"/>
      <c r="CT1830" s="76"/>
      <c r="CU1830" s="56">
        <f>AN1830+AP1830+AR1830+AT1830+AV1830+AX1830+AZ1830+BB1830+BD1830+BF1830+BH1830+BJ1830+BL1830+BN1830+BP1830+BR1830+BT1830+BV1830+BX1830+BZ1830+CB1830+CD1830+CF1830+CH1830+CJ1830+CL1830+CN1830+CP1830+CR1830+CT1830</f>
        <v>0</v>
      </c>
      <c r="CV1830" s="76"/>
      <c r="CW1830" s="76">
        <f>+CV1830*1100</f>
        <v>0</v>
      </c>
      <c r="CX1830" s="76"/>
      <c r="CY1830" s="76">
        <f>+CX1830*106250</f>
        <v>0</v>
      </c>
      <c r="CZ1830" s="76"/>
      <c r="DA1830" s="76">
        <f>+CZ1830*34500</f>
        <v>0</v>
      </c>
      <c r="DB1830" s="76"/>
      <c r="DC1830" s="76">
        <f>+DB1830*25000</f>
        <v>0</v>
      </c>
      <c r="DD1830" s="219"/>
      <c r="DE1830" s="219"/>
      <c r="DF1830" s="166"/>
      <c r="DG1830" s="116"/>
      <c r="DH1830" s="117"/>
      <c r="DI1830" s="24"/>
      <c r="DJ1830" s="24"/>
      <c r="DK1830" s="24"/>
      <c r="DL1830" s="24"/>
      <c r="DM1830" s="24"/>
      <c r="DN1830" s="24"/>
      <c r="DO1830" s="24"/>
      <c r="DP1830" s="24"/>
      <c r="DQ1830" s="24"/>
      <c r="DR1830" s="24"/>
      <c r="DS1830" s="24"/>
      <c r="DT1830" s="24"/>
      <c r="DU1830" s="24"/>
    </row>
    <row r="1831" spans="1:125" s="8" customFormat="1" ht="84" x14ac:dyDescent="0.2">
      <c r="A1831" s="353">
        <v>41411</v>
      </c>
      <c r="B1831" s="352" t="s">
        <v>2848</v>
      </c>
      <c r="C1831" s="354" t="s">
        <v>2211</v>
      </c>
      <c r="D1831" s="354" t="s">
        <v>2882</v>
      </c>
      <c r="E1831" s="75" t="str">
        <f>VLOOKUP(B1831&amp;C1831,Divipola!$C$2:$F$1138,4,FALSE)</f>
        <v>73861</v>
      </c>
      <c r="F1831" s="87"/>
      <c r="G1831" s="87"/>
      <c r="H1831" s="87"/>
      <c r="I1831" s="87">
        <v>20</v>
      </c>
      <c r="J1831" s="87">
        <v>4</v>
      </c>
      <c r="K1831" s="87"/>
      <c r="L1831" s="87">
        <v>4</v>
      </c>
      <c r="M1831" s="87">
        <v>1</v>
      </c>
      <c r="N1831" s="87"/>
      <c r="O1831" s="87"/>
      <c r="P1831" s="87"/>
      <c r="Q1831" s="87"/>
      <c r="R1831" s="87"/>
      <c r="S1831" s="87"/>
      <c r="T1831" s="87"/>
      <c r="U1831" s="88"/>
      <c r="V1831" s="89"/>
      <c r="W1831" s="96">
        <v>0</v>
      </c>
      <c r="X1831" s="71">
        <f>CU1831</f>
        <v>0</v>
      </c>
      <c r="Y1831" s="71">
        <f>CY1831</f>
        <v>0</v>
      </c>
      <c r="Z1831" s="71">
        <f>DA1831+DC1831+DE1831</f>
        <v>0</v>
      </c>
      <c r="AA1831" s="71">
        <f>CW1831</f>
        <v>0</v>
      </c>
      <c r="AB1831" s="71"/>
      <c r="AC1831" s="71">
        <v>0</v>
      </c>
      <c r="AD1831" s="71">
        <f>W1831+X1831+Y1831+Z1831+AA1831+AB1831+AC1831</f>
        <v>0</v>
      </c>
      <c r="AE1831" s="72">
        <v>0</v>
      </c>
      <c r="AF1831" s="5"/>
      <c r="AG1831" s="6"/>
      <c r="AH1831" s="27" t="s">
        <v>3392</v>
      </c>
      <c r="AI1831" s="44" t="s">
        <v>3393</v>
      </c>
      <c r="AJ1831" s="26"/>
      <c r="AK1831" s="5"/>
      <c r="AL1831" s="82" t="s">
        <v>4647</v>
      </c>
      <c r="AM1831" s="76"/>
      <c r="AN1831" s="76"/>
      <c r="AO1831" s="76"/>
      <c r="AP1831" s="76"/>
      <c r="AQ1831" s="76"/>
      <c r="AR1831" s="76"/>
      <c r="AS1831" s="76"/>
      <c r="AT1831" s="76"/>
      <c r="AU1831" s="76"/>
      <c r="AV1831" s="76"/>
      <c r="AW1831" s="76"/>
      <c r="AX1831" s="76">
        <f>+AW1831*600000</f>
        <v>0</v>
      </c>
      <c r="AY1831" s="76"/>
      <c r="AZ1831" s="76">
        <f>+AY1831*70000</f>
        <v>0</v>
      </c>
      <c r="BA1831" s="76"/>
      <c r="BB1831" s="76"/>
      <c r="BC1831" s="76"/>
      <c r="BD1831" s="76">
        <f>+BC1831*30000</f>
        <v>0</v>
      </c>
      <c r="BE1831" s="76"/>
      <c r="BF1831" s="76"/>
      <c r="BG1831" s="76"/>
      <c r="BH1831" s="76"/>
      <c r="BI1831" s="76"/>
      <c r="BJ1831" s="76"/>
      <c r="BK1831" s="76"/>
      <c r="BL1831" s="76">
        <f>+BK1831*31500</f>
        <v>0</v>
      </c>
      <c r="BM1831" s="76"/>
      <c r="BN1831" s="76"/>
      <c r="BO1831" s="76"/>
      <c r="BP1831" s="76"/>
      <c r="BQ1831" s="76"/>
      <c r="BR1831" s="76"/>
      <c r="BS1831" s="76"/>
      <c r="BT1831" s="76"/>
      <c r="BU1831" s="76"/>
      <c r="BV1831" s="76"/>
      <c r="BW1831" s="76"/>
      <c r="BX1831" s="76"/>
      <c r="BY1831" s="76"/>
      <c r="BZ1831" s="76"/>
      <c r="CA1831" s="76"/>
      <c r="CB1831" s="76"/>
      <c r="CC1831" s="76"/>
      <c r="CD1831" s="76"/>
      <c r="CE1831" s="76"/>
      <c r="CF1831" s="76">
        <f>+CE1831*28000</f>
        <v>0</v>
      </c>
      <c r="CG1831" s="76"/>
      <c r="CH1831" s="76">
        <f>+CG1831*22500</f>
        <v>0</v>
      </c>
      <c r="CI1831" s="76"/>
      <c r="CJ1831" s="76">
        <f>+CI1831*26000</f>
        <v>0</v>
      </c>
      <c r="CK1831" s="76"/>
      <c r="CL1831" s="76"/>
      <c r="CM1831" s="76"/>
      <c r="CN1831" s="76">
        <f>+CM1831*22000</f>
        <v>0</v>
      </c>
      <c r="CO1831" s="76"/>
      <c r="CP1831" s="76">
        <f>+CO1831*46000</f>
        <v>0</v>
      </c>
      <c r="CQ1831" s="76"/>
      <c r="CR1831" s="76">
        <f>+CQ1831*49000</f>
        <v>0</v>
      </c>
      <c r="CS1831" s="76"/>
      <c r="CT1831" s="76"/>
      <c r="CU1831" s="56">
        <f>AN1831+AP1831+AR1831+AT1831+AV1831+AX1831+AZ1831+BB1831+BD1831+BF1831+BH1831+BJ1831+BL1831+BN1831+BP1831+BR1831+BT1831+BV1831+BX1831+BZ1831+CB1831+CD1831+CF1831+CH1831+CJ1831+CL1831+CN1831+CP1831+CR1831+CT1831</f>
        <v>0</v>
      </c>
      <c r="CV1831" s="76"/>
      <c r="CW1831" s="76">
        <f>+CV1831*1100</f>
        <v>0</v>
      </c>
      <c r="CX1831" s="76"/>
      <c r="CY1831" s="76">
        <f>+CX1831*106250</f>
        <v>0</v>
      </c>
      <c r="CZ1831" s="76"/>
      <c r="DA1831" s="76">
        <f>+CZ1831*34500</f>
        <v>0</v>
      </c>
      <c r="DB1831" s="76"/>
      <c r="DC1831" s="76">
        <f>+DB1831*25000</f>
        <v>0</v>
      </c>
      <c r="DD1831" s="219"/>
      <c r="DE1831" s="219"/>
      <c r="DF1831" s="166"/>
      <c r="DG1831" s="116"/>
      <c r="DH1831" s="117"/>
      <c r="DI1831" s="24"/>
      <c r="DJ1831" s="24"/>
      <c r="DK1831" s="24"/>
      <c r="DL1831" s="24"/>
      <c r="DM1831" s="24"/>
      <c r="DN1831" s="24"/>
      <c r="DO1831" s="24"/>
      <c r="DP1831" s="24"/>
      <c r="DQ1831" s="24"/>
      <c r="DR1831" s="24"/>
      <c r="DS1831" s="24"/>
      <c r="DT1831" s="24"/>
      <c r="DU1831" s="24"/>
    </row>
    <row r="1832" spans="1:125" s="8" customFormat="1" ht="312" x14ac:dyDescent="0.2">
      <c r="A1832" s="353">
        <v>41411</v>
      </c>
      <c r="B1832" s="352" t="s">
        <v>2851</v>
      </c>
      <c r="C1832" s="354" t="s">
        <v>2667</v>
      </c>
      <c r="D1832" s="354" t="s">
        <v>3051</v>
      </c>
      <c r="E1832" s="75" t="str">
        <f>VLOOKUP(B1832&amp;C1832,Divipola!$C$2:$F$1138,4,FALSE)</f>
        <v>76364</v>
      </c>
      <c r="F1832" s="89"/>
      <c r="G1832" s="89"/>
      <c r="H1832" s="89"/>
      <c r="I1832" s="89">
        <v>15</v>
      </c>
      <c r="J1832" s="89">
        <v>3</v>
      </c>
      <c r="K1832" s="89"/>
      <c r="L1832" s="89">
        <v>3</v>
      </c>
      <c r="M1832" s="87"/>
      <c r="N1832" s="87"/>
      <c r="O1832" s="87"/>
      <c r="P1832" s="87"/>
      <c r="Q1832" s="87"/>
      <c r="R1832" s="87"/>
      <c r="S1832" s="87"/>
      <c r="T1832" s="87"/>
      <c r="U1832" s="88"/>
      <c r="V1832" s="89">
        <v>40</v>
      </c>
      <c r="W1832" s="96">
        <v>0</v>
      </c>
      <c r="X1832" s="71">
        <f>CU1832</f>
        <v>0</v>
      </c>
      <c r="Y1832" s="71">
        <f>CY1832</f>
        <v>0</v>
      </c>
      <c r="Z1832" s="71">
        <f>DA1832+DC1832+DE1832</f>
        <v>0</v>
      </c>
      <c r="AA1832" s="71">
        <f>CW1832</f>
        <v>0</v>
      </c>
      <c r="AB1832" s="71"/>
      <c r="AC1832" s="71">
        <v>0</v>
      </c>
      <c r="AD1832" s="71">
        <f>W1832+X1832+Y1832+Z1832+AA1832+AB1832+AC1832</f>
        <v>0</v>
      </c>
      <c r="AE1832" s="72">
        <v>0</v>
      </c>
      <c r="AF1832" s="5"/>
      <c r="AG1832" s="6"/>
      <c r="AH1832" s="27" t="s">
        <v>3392</v>
      </c>
      <c r="AI1832" s="44" t="s">
        <v>3393</v>
      </c>
      <c r="AJ1832" s="26"/>
      <c r="AK1832" s="5"/>
      <c r="AL1832" s="82" t="s">
        <v>4648</v>
      </c>
      <c r="AM1832" s="76"/>
      <c r="AN1832" s="76"/>
      <c r="AO1832" s="76"/>
      <c r="AP1832" s="76"/>
      <c r="AQ1832" s="76"/>
      <c r="AR1832" s="76"/>
      <c r="AS1832" s="76"/>
      <c r="AT1832" s="76"/>
      <c r="AU1832" s="76"/>
      <c r="AV1832" s="76"/>
      <c r="AW1832" s="76"/>
      <c r="AX1832" s="76">
        <f>+AW1832*600000</f>
        <v>0</v>
      </c>
      <c r="AY1832" s="76"/>
      <c r="AZ1832" s="76">
        <f>+AY1832*70000</f>
        <v>0</v>
      </c>
      <c r="BA1832" s="76"/>
      <c r="BB1832" s="76"/>
      <c r="BC1832" s="76"/>
      <c r="BD1832" s="76">
        <f>+BC1832*30000</f>
        <v>0</v>
      </c>
      <c r="BE1832" s="76"/>
      <c r="BF1832" s="76"/>
      <c r="BG1832" s="76"/>
      <c r="BH1832" s="76"/>
      <c r="BI1832" s="76"/>
      <c r="BJ1832" s="76"/>
      <c r="BK1832" s="76"/>
      <c r="BL1832" s="76">
        <f>+BK1832*31500</f>
        <v>0</v>
      </c>
      <c r="BM1832" s="76"/>
      <c r="BN1832" s="76"/>
      <c r="BO1832" s="76"/>
      <c r="BP1832" s="76"/>
      <c r="BQ1832" s="76"/>
      <c r="BR1832" s="76"/>
      <c r="BS1832" s="76"/>
      <c r="BT1832" s="76"/>
      <c r="BU1832" s="76"/>
      <c r="BV1832" s="76"/>
      <c r="BW1832" s="76"/>
      <c r="BX1832" s="76"/>
      <c r="BY1832" s="76"/>
      <c r="BZ1832" s="76"/>
      <c r="CA1832" s="76"/>
      <c r="CB1832" s="76"/>
      <c r="CC1832" s="76"/>
      <c r="CD1832" s="76"/>
      <c r="CE1832" s="76"/>
      <c r="CF1832" s="76">
        <f>+CE1832*28000</f>
        <v>0</v>
      </c>
      <c r="CG1832" s="76"/>
      <c r="CH1832" s="76">
        <f>+CG1832*22500</f>
        <v>0</v>
      </c>
      <c r="CI1832" s="76"/>
      <c r="CJ1832" s="76">
        <f>+CI1832*26000</f>
        <v>0</v>
      </c>
      <c r="CK1832" s="76"/>
      <c r="CL1832" s="76"/>
      <c r="CM1832" s="76"/>
      <c r="CN1832" s="76">
        <f>+CM1832*22000</f>
        <v>0</v>
      </c>
      <c r="CO1832" s="76"/>
      <c r="CP1832" s="76">
        <f>+CO1832*46000</f>
        <v>0</v>
      </c>
      <c r="CQ1832" s="76"/>
      <c r="CR1832" s="76">
        <f>+CQ1832*49000</f>
        <v>0</v>
      </c>
      <c r="CS1832" s="76"/>
      <c r="CT1832" s="76"/>
      <c r="CU1832" s="56">
        <f>AN1832+AP1832+AR1832+AT1832+AV1832+AX1832+AZ1832+BB1832+BD1832+BF1832+BH1832+BJ1832+BL1832+BN1832+BP1832+BR1832+BT1832+BV1832+BX1832+BZ1832+CB1832+CD1832+CF1832+CH1832+CJ1832+CL1832+CN1832+CP1832+CR1832+CT1832</f>
        <v>0</v>
      </c>
      <c r="CV1832" s="76"/>
      <c r="CW1832" s="76">
        <f>+CV1832*1100</f>
        <v>0</v>
      </c>
      <c r="CX1832" s="76"/>
      <c r="CY1832" s="76">
        <f>+CX1832*106250</f>
        <v>0</v>
      </c>
      <c r="CZ1832" s="76"/>
      <c r="DA1832" s="76">
        <f>+CZ1832*34500</f>
        <v>0</v>
      </c>
      <c r="DB1832" s="76"/>
      <c r="DC1832" s="76">
        <f>+DB1832*25000</f>
        <v>0</v>
      </c>
      <c r="DD1832" s="219"/>
      <c r="DE1832" s="219"/>
      <c r="DF1832" s="166"/>
      <c r="DG1832" s="116"/>
      <c r="DH1832" s="117"/>
      <c r="DI1832" s="24"/>
      <c r="DJ1832" s="24"/>
      <c r="DK1832" s="24"/>
      <c r="DL1832" s="24"/>
      <c r="DM1832" s="24"/>
      <c r="DN1832" s="24"/>
      <c r="DO1832" s="24"/>
      <c r="DP1832" s="24"/>
      <c r="DQ1832" s="24"/>
      <c r="DR1832" s="24"/>
      <c r="DS1832" s="24"/>
      <c r="DT1832" s="24"/>
      <c r="DU1832" s="24"/>
    </row>
    <row r="1833" spans="1:125" s="8" customFormat="1" ht="48" x14ac:dyDescent="0.2">
      <c r="A1833" s="77">
        <v>41412</v>
      </c>
      <c r="B1833" s="208" t="s">
        <v>529</v>
      </c>
      <c r="C1833" s="227" t="s">
        <v>529</v>
      </c>
      <c r="D1833" s="227" t="s">
        <v>3017</v>
      </c>
      <c r="E1833" s="75" t="str">
        <f>VLOOKUP(B1833&amp;C1833,Divipola!$C$2:$F$1138,4,FALSE)</f>
        <v>11001</v>
      </c>
      <c r="F1833" s="87"/>
      <c r="G1833" s="87">
        <v>1</v>
      </c>
      <c r="H1833" s="87"/>
      <c r="I1833" s="87"/>
      <c r="J1833" s="87"/>
      <c r="K1833" s="87"/>
      <c r="L1833" s="87"/>
      <c r="M1833" s="87"/>
      <c r="N1833" s="87"/>
      <c r="O1833" s="87"/>
      <c r="P1833" s="87"/>
      <c r="Q1833" s="87"/>
      <c r="R1833" s="87"/>
      <c r="S1833" s="87"/>
      <c r="T1833" s="87"/>
      <c r="U1833" s="88"/>
      <c r="V1833" s="89"/>
      <c r="W1833" s="96">
        <v>0</v>
      </c>
      <c r="X1833" s="71">
        <f>CU1833</f>
        <v>0</v>
      </c>
      <c r="Y1833" s="71">
        <f>CY1833</f>
        <v>0</v>
      </c>
      <c r="Z1833" s="71">
        <f>DA1833+DC1833+DE1833</f>
        <v>0</v>
      </c>
      <c r="AA1833" s="71">
        <f>CW1833</f>
        <v>0</v>
      </c>
      <c r="AB1833" s="71"/>
      <c r="AC1833" s="71">
        <v>0</v>
      </c>
      <c r="AD1833" s="71">
        <f>W1833+X1833+Y1833+Z1833+AA1833+AB1833+AC1833</f>
        <v>0</v>
      </c>
      <c r="AE1833" s="72">
        <v>0</v>
      </c>
      <c r="AF1833" s="5"/>
      <c r="AG1833" s="6"/>
      <c r="AH1833" s="27" t="s">
        <v>3392</v>
      </c>
      <c r="AI1833" s="44" t="s">
        <v>3393</v>
      </c>
      <c r="AJ1833" s="26"/>
      <c r="AK1833" s="5"/>
      <c r="AL1833" s="82" t="s">
        <v>4650</v>
      </c>
      <c r="AM1833" s="76"/>
      <c r="AN1833" s="76"/>
      <c r="AO1833" s="76"/>
      <c r="AP1833" s="76"/>
      <c r="AQ1833" s="76"/>
      <c r="AR1833" s="76"/>
      <c r="AS1833" s="76"/>
      <c r="AT1833" s="76"/>
      <c r="AU1833" s="76"/>
      <c r="AV1833" s="76"/>
      <c r="AW1833" s="76"/>
      <c r="AX1833" s="76">
        <f>+AW1833*600000</f>
        <v>0</v>
      </c>
      <c r="AY1833" s="76"/>
      <c r="AZ1833" s="76">
        <f>+AY1833*70000</f>
        <v>0</v>
      </c>
      <c r="BA1833" s="76"/>
      <c r="BB1833" s="76"/>
      <c r="BC1833" s="76"/>
      <c r="BD1833" s="76">
        <f>+BC1833*30000</f>
        <v>0</v>
      </c>
      <c r="BE1833" s="76"/>
      <c r="BF1833" s="76"/>
      <c r="BG1833" s="76"/>
      <c r="BH1833" s="76"/>
      <c r="BI1833" s="76"/>
      <c r="BJ1833" s="76"/>
      <c r="BK1833" s="76"/>
      <c r="BL1833" s="76">
        <f>+BK1833*31500</f>
        <v>0</v>
      </c>
      <c r="BM1833" s="76"/>
      <c r="BN1833" s="76"/>
      <c r="BO1833" s="76"/>
      <c r="BP1833" s="76"/>
      <c r="BQ1833" s="76"/>
      <c r="BR1833" s="76"/>
      <c r="BS1833" s="76"/>
      <c r="BT1833" s="76"/>
      <c r="BU1833" s="76"/>
      <c r="BV1833" s="76"/>
      <c r="BW1833" s="76"/>
      <c r="BX1833" s="76"/>
      <c r="BY1833" s="76"/>
      <c r="BZ1833" s="76"/>
      <c r="CA1833" s="76"/>
      <c r="CB1833" s="76"/>
      <c r="CC1833" s="76"/>
      <c r="CD1833" s="76"/>
      <c r="CE1833" s="76"/>
      <c r="CF1833" s="76">
        <f>+CE1833*28000</f>
        <v>0</v>
      </c>
      <c r="CG1833" s="76"/>
      <c r="CH1833" s="76">
        <f>+CG1833*22500</f>
        <v>0</v>
      </c>
      <c r="CI1833" s="76"/>
      <c r="CJ1833" s="76">
        <f>+CI1833*26000</f>
        <v>0</v>
      </c>
      <c r="CK1833" s="76"/>
      <c r="CL1833" s="76"/>
      <c r="CM1833" s="76"/>
      <c r="CN1833" s="76">
        <f>+CM1833*22000</f>
        <v>0</v>
      </c>
      <c r="CO1833" s="76"/>
      <c r="CP1833" s="76">
        <f>+CO1833*46000</f>
        <v>0</v>
      </c>
      <c r="CQ1833" s="76"/>
      <c r="CR1833" s="76">
        <f>+CQ1833*49000</f>
        <v>0</v>
      </c>
      <c r="CS1833" s="76"/>
      <c r="CT1833" s="76"/>
      <c r="CU1833" s="56">
        <f>AN1833+AP1833+AR1833+AT1833+AV1833+AX1833+AZ1833+BB1833+BD1833+BF1833+BH1833+BJ1833+BL1833+BN1833+BP1833+BR1833+BT1833+BV1833+BX1833+BZ1833+CB1833+CD1833+CF1833+CH1833+CJ1833+CL1833+CN1833+CP1833+CR1833+CT1833</f>
        <v>0</v>
      </c>
      <c r="CV1833" s="76"/>
      <c r="CW1833" s="76">
        <f>+CV1833*1100</f>
        <v>0</v>
      </c>
      <c r="CX1833" s="76"/>
      <c r="CY1833" s="76">
        <f>+CX1833*106250</f>
        <v>0</v>
      </c>
      <c r="CZ1833" s="76"/>
      <c r="DA1833" s="76">
        <f>+CZ1833*34500</f>
        <v>0</v>
      </c>
      <c r="DB1833" s="76"/>
      <c r="DC1833" s="76">
        <f>+DB1833*25000</f>
        <v>0</v>
      </c>
      <c r="DD1833" s="219"/>
      <c r="DE1833" s="219"/>
      <c r="DF1833" s="166"/>
      <c r="DG1833" s="116"/>
      <c r="DH1833" s="117"/>
      <c r="DI1833" s="24"/>
      <c r="DJ1833" s="24"/>
      <c r="DK1833" s="24"/>
      <c r="DL1833" s="24"/>
      <c r="DM1833" s="24"/>
      <c r="DN1833" s="24"/>
      <c r="DO1833" s="24"/>
      <c r="DP1833" s="24"/>
      <c r="DQ1833" s="24"/>
      <c r="DR1833" s="24"/>
      <c r="DS1833" s="24"/>
      <c r="DT1833" s="24"/>
      <c r="DU1833" s="24"/>
    </row>
    <row r="1834" spans="1:125" s="246" customFormat="1" ht="60" x14ac:dyDescent="0.2">
      <c r="A1834" s="77">
        <v>41412</v>
      </c>
      <c r="B1834" s="208" t="s">
        <v>2854</v>
      </c>
      <c r="C1834" s="354" t="s">
        <v>2731</v>
      </c>
      <c r="D1834" s="354" t="s">
        <v>4391</v>
      </c>
      <c r="E1834" s="75" t="str">
        <f>VLOOKUP(B1834&amp;C1834,Divipola!$C$2:$F$1138,4,FALSE)</f>
        <v>19001</v>
      </c>
      <c r="F1834" s="87">
        <v>2</v>
      </c>
      <c r="G1834" s="87"/>
      <c r="H1834" s="87"/>
      <c r="I1834" s="87"/>
      <c r="J1834" s="87"/>
      <c r="K1834" s="87"/>
      <c r="L1834" s="87"/>
      <c r="M1834" s="87"/>
      <c r="N1834" s="87"/>
      <c r="O1834" s="87"/>
      <c r="P1834" s="87"/>
      <c r="Q1834" s="87"/>
      <c r="R1834" s="87"/>
      <c r="S1834" s="87"/>
      <c r="T1834" s="87"/>
      <c r="U1834" s="88"/>
      <c r="V1834" s="89"/>
      <c r="W1834" s="96">
        <v>0</v>
      </c>
      <c r="X1834" s="71">
        <f>CU1834</f>
        <v>0</v>
      </c>
      <c r="Y1834" s="71">
        <f>CY1834</f>
        <v>0</v>
      </c>
      <c r="Z1834" s="71">
        <f>DA1834+DC1834+DE1834</f>
        <v>0</v>
      </c>
      <c r="AA1834" s="71">
        <f>CW1834</f>
        <v>0</v>
      </c>
      <c r="AB1834" s="71"/>
      <c r="AC1834" s="71">
        <v>0</v>
      </c>
      <c r="AD1834" s="71">
        <f>W1834+X1834+Y1834+Z1834+AA1834+AB1834+AC1834</f>
        <v>0</v>
      </c>
      <c r="AE1834" s="72">
        <v>0</v>
      </c>
      <c r="AF1834" s="5"/>
      <c r="AG1834" s="6"/>
      <c r="AH1834" s="27" t="s">
        <v>3392</v>
      </c>
      <c r="AI1834" s="44" t="s">
        <v>3393</v>
      </c>
      <c r="AJ1834" s="26"/>
      <c r="AK1834" s="5"/>
      <c r="AL1834" s="82" t="s">
        <v>4651</v>
      </c>
      <c r="AM1834" s="76"/>
      <c r="AN1834" s="76"/>
      <c r="AO1834" s="76"/>
      <c r="AP1834" s="76"/>
      <c r="AQ1834" s="76"/>
      <c r="AR1834" s="76"/>
      <c r="AS1834" s="76"/>
      <c r="AT1834" s="76"/>
      <c r="AU1834" s="76"/>
      <c r="AV1834" s="76"/>
      <c r="AW1834" s="76"/>
      <c r="AX1834" s="76">
        <f>+AW1834*600000</f>
        <v>0</v>
      </c>
      <c r="AY1834" s="76"/>
      <c r="AZ1834" s="76">
        <f>+AY1834*70000</f>
        <v>0</v>
      </c>
      <c r="BA1834" s="76"/>
      <c r="BB1834" s="76"/>
      <c r="BC1834" s="76"/>
      <c r="BD1834" s="76">
        <f>+BC1834*30000</f>
        <v>0</v>
      </c>
      <c r="BE1834" s="76"/>
      <c r="BF1834" s="76"/>
      <c r="BG1834" s="76"/>
      <c r="BH1834" s="76"/>
      <c r="BI1834" s="76"/>
      <c r="BJ1834" s="76"/>
      <c r="BK1834" s="76"/>
      <c r="BL1834" s="76">
        <f>+BK1834*31500</f>
        <v>0</v>
      </c>
      <c r="BM1834" s="76"/>
      <c r="BN1834" s="76"/>
      <c r="BO1834" s="76"/>
      <c r="BP1834" s="76"/>
      <c r="BQ1834" s="76"/>
      <c r="BR1834" s="76"/>
      <c r="BS1834" s="76"/>
      <c r="BT1834" s="76"/>
      <c r="BU1834" s="76"/>
      <c r="BV1834" s="76"/>
      <c r="BW1834" s="76"/>
      <c r="BX1834" s="76"/>
      <c r="BY1834" s="76"/>
      <c r="BZ1834" s="76"/>
      <c r="CA1834" s="76"/>
      <c r="CB1834" s="76"/>
      <c r="CC1834" s="76"/>
      <c r="CD1834" s="76"/>
      <c r="CE1834" s="76"/>
      <c r="CF1834" s="76">
        <f>+CE1834*28000</f>
        <v>0</v>
      </c>
      <c r="CG1834" s="76"/>
      <c r="CH1834" s="76">
        <f>+CG1834*22500</f>
        <v>0</v>
      </c>
      <c r="CI1834" s="76"/>
      <c r="CJ1834" s="76">
        <f>+CI1834*26000</f>
        <v>0</v>
      </c>
      <c r="CK1834" s="76"/>
      <c r="CL1834" s="76"/>
      <c r="CM1834" s="76"/>
      <c r="CN1834" s="76">
        <f>+CM1834*22000</f>
        <v>0</v>
      </c>
      <c r="CO1834" s="76"/>
      <c r="CP1834" s="76">
        <f>+CO1834*46000</f>
        <v>0</v>
      </c>
      <c r="CQ1834" s="76"/>
      <c r="CR1834" s="76">
        <f>+CQ1834*49000</f>
        <v>0</v>
      </c>
      <c r="CS1834" s="76"/>
      <c r="CT1834" s="76"/>
      <c r="CU1834" s="56">
        <f>AN1834+AP1834+AR1834+AT1834+AV1834+AX1834+AZ1834+BB1834+BD1834+BF1834+BH1834+BJ1834+BL1834+BN1834+BP1834+BR1834+BT1834+BV1834+BX1834+BZ1834+CB1834+CD1834+CF1834+CH1834+CJ1834+CL1834+CN1834+CP1834+CR1834+CT1834</f>
        <v>0</v>
      </c>
      <c r="CV1834" s="76"/>
      <c r="CW1834" s="76">
        <f>+CV1834*1100</f>
        <v>0</v>
      </c>
      <c r="CX1834" s="76"/>
      <c r="CY1834" s="76">
        <f>+CX1834*106250</f>
        <v>0</v>
      </c>
      <c r="CZ1834" s="76"/>
      <c r="DA1834" s="76">
        <f>+CZ1834*34500</f>
        <v>0</v>
      </c>
      <c r="DB1834" s="76"/>
      <c r="DC1834" s="76">
        <f>+DB1834*25000</f>
        <v>0</v>
      </c>
      <c r="DD1834" s="219"/>
      <c r="DE1834" s="219"/>
      <c r="DF1834" s="166"/>
      <c r="DG1834" s="116"/>
      <c r="DH1834" s="117"/>
      <c r="DI1834" s="245"/>
      <c r="DJ1834" s="245"/>
      <c r="DK1834" s="245"/>
      <c r="DL1834" s="245"/>
      <c r="DM1834" s="245"/>
      <c r="DN1834" s="245"/>
      <c r="DO1834" s="245"/>
      <c r="DP1834" s="245"/>
      <c r="DQ1834" s="245"/>
      <c r="DR1834" s="245"/>
      <c r="DS1834" s="245"/>
      <c r="DT1834" s="245"/>
      <c r="DU1834" s="245"/>
    </row>
    <row r="1835" spans="1:125" s="246" customFormat="1" ht="24" x14ac:dyDescent="0.2">
      <c r="A1835" s="77">
        <v>41412</v>
      </c>
      <c r="B1835" s="78" t="s">
        <v>2718</v>
      </c>
      <c r="C1835" s="75" t="s">
        <v>965</v>
      </c>
      <c r="D1835" s="75" t="s">
        <v>3051</v>
      </c>
      <c r="E1835" s="75" t="str">
        <f>VLOOKUP(B1835&amp;C1835,Divipola!$C$2:$F$1138,4,FALSE)</f>
        <v>23417</v>
      </c>
      <c r="F1835" s="163"/>
      <c r="G1835" s="163"/>
      <c r="H1835" s="163"/>
      <c r="I1835" s="163"/>
      <c r="J1835" s="163"/>
      <c r="K1835" s="163"/>
      <c r="L1835" s="163"/>
      <c r="M1835" s="163"/>
      <c r="N1835" s="163"/>
      <c r="O1835" s="163"/>
      <c r="P1835" s="163"/>
      <c r="Q1835" s="163"/>
      <c r="R1835" s="163"/>
      <c r="S1835" s="163"/>
      <c r="T1835" s="163"/>
      <c r="U1835" s="163"/>
      <c r="V1835" s="134"/>
      <c r="W1835" s="96">
        <v>0</v>
      </c>
      <c r="X1835" s="71">
        <f>CU1835</f>
        <v>0</v>
      </c>
      <c r="Y1835" s="71">
        <f>CY1835</f>
        <v>0</v>
      </c>
      <c r="Z1835" s="71">
        <f>DA1835+DC1835+DE1835</f>
        <v>0</v>
      </c>
      <c r="AA1835" s="71">
        <f>CW1835</f>
        <v>0</v>
      </c>
      <c r="AB1835" s="71"/>
      <c r="AC1835" s="71">
        <v>0</v>
      </c>
      <c r="AD1835" s="71">
        <f>W1835+X1835+Y1835+Z1835+AA1835+AB1835+AC1835</f>
        <v>0</v>
      </c>
      <c r="AE1835" s="72">
        <v>0</v>
      </c>
      <c r="AF1835" s="5"/>
      <c r="AG1835" s="6"/>
      <c r="AH1835" s="27" t="s">
        <v>3392</v>
      </c>
      <c r="AI1835" s="44" t="s">
        <v>3393</v>
      </c>
      <c r="AJ1835" s="26"/>
      <c r="AK1835" s="5"/>
      <c r="AL1835" s="82" t="s">
        <v>4652</v>
      </c>
      <c r="AM1835" s="76"/>
      <c r="AN1835" s="76"/>
      <c r="AO1835" s="76"/>
      <c r="AP1835" s="76"/>
      <c r="AQ1835" s="76"/>
      <c r="AR1835" s="76"/>
      <c r="AS1835" s="76"/>
      <c r="AT1835" s="76"/>
      <c r="AU1835" s="76"/>
      <c r="AV1835" s="76"/>
      <c r="AW1835" s="76"/>
      <c r="AX1835" s="76">
        <f>+AW1835*600000</f>
        <v>0</v>
      </c>
      <c r="AY1835" s="76"/>
      <c r="AZ1835" s="76">
        <f>+AY1835*70000</f>
        <v>0</v>
      </c>
      <c r="BA1835" s="76"/>
      <c r="BB1835" s="76"/>
      <c r="BC1835" s="76"/>
      <c r="BD1835" s="76">
        <f>+BC1835*30000</f>
        <v>0</v>
      </c>
      <c r="BE1835" s="76"/>
      <c r="BF1835" s="76"/>
      <c r="BG1835" s="76"/>
      <c r="BH1835" s="76"/>
      <c r="BI1835" s="76"/>
      <c r="BJ1835" s="76"/>
      <c r="BK1835" s="76"/>
      <c r="BL1835" s="76">
        <f>+BK1835*31500</f>
        <v>0</v>
      </c>
      <c r="BM1835" s="76"/>
      <c r="BN1835" s="76"/>
      <c r="BO1835" s="76"/>
      <c r="BP1835" s="76"/>
      <c r="BQ1835" s="76"/>
      <c r="BR1835" s="76"/>
      <c r="BS1835" s="76"/>
      <c r="BT1835" s="76"/>
      <c r="BU1835" s="76"/>
      <c r="BV1835" s="76"/>
      <c r="BW1835" s="76"/>
      <c r="BX1835" s="76"/>
      <c r="BY1835" s="76"/>
      <c r="BZ1835" s="76"/>
      <c r="CA1835" s="76"/>
      <c r="CB1835" s="76"/>
      <c r="CC1835" s="76"/>
      <c r="CD1835" s="76"/>
      <c r="CE1835" s="76"/>
      <c r="CF1835" s="76">
        <f>+CE1835*28000</f>
        <v>0</v>
      </c>
      <c r="CG1835" s="76"/>
      <c r="CH1835" s="76">
        <f>+CG1835*22500</f>
        <v>0</v>
      </c>
      <c r="CI1835" s="76"/>
      <c r="CJ1835" s="76">
        <f>+CI1835*26000</f>
        <v>0</v>
      </c>
      <c r="CK1835" s="76"/>
      <c r="CL1835" s="76"/>
      <c r="CM1835" s="76"/>
      <c r="CN1835" s="76">
        <f>+CM1835*22000</f>
        <v>0</v>
      </c>
      <c r="CO1835" s="76"/>
      <c r="CP1835" s="76">
        <f>+CO1835*46000</f>
        <v>0</v>
      </c>
      <c r="CQ1835" s="76"/>
      <c r="CR1835" s="76">
        <f>+CQ1835*49000</f>
        <v>0</v>
      </c>
      <c r="CS1835" s="76"/>
      <c r="CT1835" s="76"/>
      <c r="CU1835" s="56">
        <f>AN1835+AP1835+AR1835+AT1835+AV1835+AX1835+AZ1835+BB1835+BD1835+BF1835+BH1835+BJ1835+BL1835+BN1835+BP1835+BR1835+BT1835+BV1835+BX1835+BZ1835+CB1835+CD1835+CF1835+CH1835+CJ1835+CL1835+CN1835+CP1835+CR1835+CT1835</f>
        <v>0</v>
      </c>
      <c r="CV1835" s="76"/>
      <c r="CW1835" s="76">
        <f>+CV1835*1100</f>
        <v>0</v>
      </c>
      <c r="CX1835" s="76"/>
      <c r="CY1835" s="76">
        <f>+CX1835*106250</f>
        <v>0</v>
      </c>
      <c r="CZ1835" s="76"/>
      <c r="DA1835" s="76">
        <f>+CZ1835*34500</f>
        <v>0</v>
      </c>
      <c r="DB1835" s="76"/>
      <c r="DC1835" s="76">
        <f>+DB1835*25000</f>
        <v>0</v>
      </c>
      <c r="DD1835" s="219"/>
      <c r="DE1835" s="219"/>
      <c r="DF1835" s="166"/>
      <c r="DG1835" s="116"/>
      <c r="DH1835" s="117"/>
      <c r="DI1835" s="245"/>
      <c r="DJ1835" s="245"/>
      <c r="DK1835" s="245"/>
      <c r="DL1835" s="245"/>
      <c r="DM1835" s="245"/>
      <c r="DN1835" s="245"/>
      <c r="DO1835" s="245"/>
      <c r="DP1835" s="245"/>
      <c r="DQ1835" s="245"/>
      <c r="DR1835" s="245"/>
      <c r="DS1835" s="245"/>
      <c r="DT1835" s="245"/>
      <c r="DU1835" s="245"/>
    </row>
    <row r="1836" spans="1:125" s="8" customFormat="1" ht="144" x14ac:dyDescent="0.2">
      <c r="A1836" s="77">
        <v>41412</v>
      </c>
      <c r="B1836" s="225" t="s">
        <v>2772</v>
      </c>
      <c r="C1836" s="227" t="s">
        <v>1336</v>
      </c>
      <c r="D1836" s="227" t="s">
        <v>3088</v>
      </c>
      <c r="E1836" s="75" t="str">
        <f>VLOOKUP(B1836&amp;C1836,Divipola!$C$2:$F$1138,4,FALSE)</f>
        <v>25394</v>
      </c>
      <c r="F1836" s="87"/>
      <c r="G1836" s="87"/>
      <c r="H1836" s="87"/>
      <c r="I1836" s="87">
        <v>45</v>
      </c>
      <c r="J1836" s="87">
        <v>9</v>
      </c>
      <c r="K1836" s="87"/>
      <c r="L1836" s="87">
        <v>3</v>
      </c>
      <c r="M1836" s="87">
        <v>2</v>
      </c>
      <c r="N1836" s="87"/>
      <c r="O1836" s="87"/>
      <c r="P1836" s="87"/>
      <c r="Q1836" s="87"/>
      <c r="R1836" s="87"/>
      <c r="S1836" s="87"/>
      <c r="T1836" s="87"/>
      <c r="U1836" s="88"/>
      <c r="V1836" s="89">
        <v>2</v>
      </c>
      <c r="W1836" s="96">
        <v>0</v>
      </c>
      <c r="X1836" s="71">
        <f>CU1836</f>
        <v>0</v>
      </c>
      <c r="Y1836" s="71">
        <f>CY1836</f>
        <v>0</v>
      </c>
      <c r="Z1836" s="71">
        <f>DA1836+DC1836+DE1836</f>
        <v>0</v>
      </c>
      <c r="AA1836" s="71">
        <f>CW1836</f>
        <v>0</v>
      </c>
      <c r="AB1836" s="71"/>
      <c r="AC1836" s="71">
        <v>0</v>
      </c>
      <c r="AD1836" s="71">
        <f>W1836+X1836+Y1836+Z1836+AA1836+AB1836+AC1836</f>
        <v>0</v>
      </c>
      <c r="AE1836" s="72">
        <v>0</v>
      </c>
      <c r="AF1836" s="5"/>
      <c r="AG1836" s="6"/>
      <c r="AH1836" s="27" t="s">
        <v>3392</v>
      </c>
      <c r="AI1836" s="44" t="s">
        <v>3393</v>
      </c>
      <c r="AJ1836" s="26"/>
      <c r="AK1836" s="5"/>
      <c r="AL1836" s="82" t="s">
        <v>4683</v>
      </c>
      <c r="AM1836" s="76"/>
      <c r="AN1836" s="76"/>
      <c r="AO1836" s="76"/>
      <c r="AP1836" s="76"/>
      <c r="AQ1836" s="76"/>
      <c r="AR1836" s="76"/>
      <c r="AS1836" s="76"/>
      <c r="AT1836" s="76"/>
      <c r="AU1836" s="76"/>
      <c r="AV1836" s="76"/>
      <c r="AW1836" s="76"/>
      <c r="AX1836" s="76">
        <f>+AW1836*600000</f>
        <v>0</v>
      </c>
      <c r="AY1836" s="76"/>
      <c r="AZ1836" s="76">
        <f>+AY1836*70000</f>
        <v>0</v>
      </c>
      <c r="BA1836" s="76"/>
      <c r="BB1836" s="76"/>
      <c r="BC1836" s="76"/>
      <c r="BD1836" s="76">
        <f>+BC1836*30000</f>
        <v>0</v>
      </c>
      <c r="BE1836" s="76"/>
      <c r="BF1836" s="76"/>
      <c r="BG1836" s="76"/>
      <c r="BH1836" s="76"/>
      <c r="BI1836" s="76"/>
      <c r="BJ1836" s="76"/>
      <c r="BK1836" s="76"/>
      <c r="BL1836" s="76">
        <f>+BK1836*31500</f>
        <v>0</v>
      </c>
      <c r="BM1836" s="76"/>
      <c r="BN1836" s="76"/>
      <c r="BO1836" s="76"/>
      <c r="BP1836" s="76"/>
      <c r="BQ1836" s="76"/>
      <c r="BR1836" s="76"/>
      <c r="BS1836" s="76"/>
      <c r="BT1836" s="76"/>
      <c r="BU1836" s="76"/>
      <c r="BV1836" s="76"/>
      <c r="BW1836" s="76"/>
      <c r="BX1836" s="76"/>
      <c r="BY1836" s="76"/>
      <c r="BZ1836" s="76"/>
      <c r="CA1836" s="76"/>
      <c r="CB1836" s="76"/>
      <c r="CC1836" s="76"/>
      <c r="CD1836" s="76"/>
      <c r="CE1836" s="76"/>
      <c r="CF1836" s="76">
        <f>+CE1836*28000</f>
        <v>0</v>
      </c>
      <c r="CG1836" s="76"/>
      <c r="CH1836" s="76">
        <f>+CG1836*22500</f>
        <v>0</v>
      </c>
      <c r="CI1836" s="76"/>
      <c r="CJ1836" s="76">
        <f>+CI1836*26000</f>
        <v>0</v>
      </c>
      <c r="CK1836" s="76"/>
      <c r="CL1836" s="76"/>
      <c r="CM1836" s="76"/>
      <c r="CN1836" s="76">
        <f>+CM1836*22000</f>
        <v>0</v>
      </c>
      <c r="CO1836" s="76"/>
      <c r="CP1836" s="76">
        <f>+CO1836*46000</f>
        <v>0</v>
      </c>
      <c r="CQ1836" s="76"/>
      <c r="CR1836" s="76">
        <f>+CQ1836*49000</f>
        <v>0</v>
      </c>
      <c r="CS1836" s="76"/>
      <c r="CT1836" s="76"/>
      <c r="CU1836" s="56">
        <f>AN1836+AP1836+AR1836+AT1836+AV1836+AX1836+AZ1836+BB1836+BD1836+BF1836+BH1836+BJ1836+BL1836+BN1836+BP1836+BR1836+BT1836+BV1836+BX1836+BZ1836+CB1836+CD1836+CF1836+CH1836+CJ1836+CL1836+CN1836+CP1836+CR1836+CT1836</f>
        <v>0</v>
      </c>
      <c r="CV1836" s="76"/>
      <c r="CW1836" s="76">
        <f>+CV1836*1100</f>
        <v>0</v>
      </c>
      <c r="CX1836" s="76"/>
      <c r="CY1836" s="76">
        <f>+CX1836*106250</f>
        <v>0</v>
      </c>
      <c r="CZ1836" s="76"/>
      <c r="DA1836" s="76">
        <f>+CZ1836*34500</f>
        <v>0</v>
      </c>
      <c r="DB1836" s="76"/>
      <c r="DC1836" s="76">
        <f>+DB1836*25000</f>
        <v>0</v>
      </c>
      <c r="DD1836" s="219"/>
      <c r="DE1836" s="219"/>
      <c r="DF1836" s="166"/>
      <c r="DG1836" s="116"/>
      <c r="DH1836" s="117"/>
      <c r="DI1836" s="24"/>
      <c r="DJ1836" s="24"/>
      <c r="DK1836" s="24"/>
      <c r="DL1836" s="24"/>
      <c r="DM1836" s="24"/>
      <c r="DN1836" s="24"/>
      <c r="DO1836" s="24"/>
      <c r="DP1836" s="24"/>
      <c r="DQ1836" s="24"/>
      <c r="DR1836" s="24"/>
      <c r="DS1836" s="24"/>
      <c r="DT1836" s="24"/>
      <c r="DU1836" s="24"/>
    </row>
    <row r="1837" spans="1:125" s="8" customFormat="1" ht="72" x14ac:dyDescent="0.2">
      <c r="A1837" s="353">
        <v>41412</v>
      </c>
      <c r="B1837" s="352" t="s">
        <v>3136</v>
      </c>
      <c r="C1837" s="354" t="s">
        <v>2204</v>
      </c>
      <c r="D1837" s="354" t="s">
        <v>2859</v>
      </c>
      <c r="E1837" s="75" t="str">
        <f>VLOOKUP(B1837&amp;C1837,Divipola!$C$2:$F$1138,4,FALSE)</f>
        <v>44001</v>
      </c>
      <c r="F1837" s="87"/>
      <c r="G1837" s="87"/>
      <c r="H1837" s="87"/>
      <c r="I1837" s="87">
        <v>4</v>
      </c>
      <c r="J1837" s="87">
        <v>1</v>
      </c>
      <c r="K1837" s="87"/>
      <c r="L1837" s="87">
        <v>1</v>
      </c>
      <c r="M1837" s="87"/>
      <c r="N1837" s="87"/>
      <c r="O1837" s="87"/>
      <c r="P1837" s="87"/>
      <c r="Q1837" s="87"/>
      <c r="R1837" s="87"/>
      <c r="S1837" s="87"/>
      <c r="T1837" s="87"/>
      <c r="U1837" s="88"/>
      <c r="V1837" s="89"/>
      <c r="W1837" s="96">
        <v>0</v>
      </c>
      <c r="X1837" s="71">
        <f>CU1837</f>
        <v>0</v>
      </c>
      <c r="Y1837" s="71">
        <f>CY1837</f>
        <v>0</v>
      </c>
      <c r="Z1837" s="71">
        <f>DA1837+DC1837+DE1837</f>
        <v>0</v>
      </c>
      <c r="AA1837" s="71">
        <f>CW1837</f>
        <v>0</v>
      </c>
      <c r="AB1837" s="71"/>
      <c r="AC1837" s="71">
        <v>0</v>
      </c>
      <c r="AD1837" s="71">
        <f>W1837+X1837+Y1837+Z1837+AA1837+AB1837+AC1837</f>
        <v>0</v>
      </c>
      <c r="AE1837" s="72">
        <v>0</v>
      </c>
      <c r="AF1837" s="5"/>
      <c r="AG1837" s="6"/>
      <c r="AH1837" s="27" t="s">
        <v>3392</v>
      </c>
      <c r="AI1837" s="44" t="s">
        <v>3393</v>
      </c>
      <c r="AJ1837" s="26"/>
      <c r="AK1837" s="5"/>
      <c r="AL1837" s="82" t="s">
        <v>4665</v>
      </c>
      <c r="AM1837" s="76"/>
      <c r="AN1837" s="76"/>
      <c r="AO1837" s="76"/>
      <c r="AP1837" s="76"/>
      <c r="AQ1837" s="76"/>
      <c r="AR1837" s="76"/>
      <c r="AS1837" s="76"/>
      <c r="AT1837" s="76"/>
      <c r="AU1837" s="76"/>
      <c r="AV1837" s="76"/>
      <c r="AW1837" s="76"/>
      <c r="AX1837" s="76">
        <f>+AW1837*600000</f>
        <v>0</v>
      </c>
      <c r="AY1837" s="76"/>
      <c r="AZ1837" s="76">
        <f>+AY1837*70000</f>
        <v>0</v>
      </c>
      <c r="BA1837" s="76"/>
      <c r="BB1837" s="76"/>
      <c r="BC1837" s="76"/>
      <c r="BD1837" s="76">
        <f>+BC1837*30000</f>
        <v>0</v>
      </c>
      <c r="BE1837" s="76"/>
      <c r="BF1837" s="76"/>
      <c r="BG1837" s="76"/>
      <c r="BH1837" s="76"/>
      <c r="BI1837" s="76"/>
      <c r="BJ1837" s="76"/>
      <c r="BK1837" s="76"/>
      <c r="BL1837" s="76">
        <f>+BK1837*31500</f>
        <v>0</v>
      </c>
      <c r="BM1837" s="76"/>
      <c r="BN1837" s="76"/>
      <c r="BO1837" s="76"/>
      <c r="BP1837" s="76"/>
      <c r="BQ1837" s="76"/>
      <c r="BR1837" s="76"/>
      <c r="BS1837" s="76"/>
      <c r="BT1837" s="76"/>
      <c r="BU1837" s="76"/>
      <c r="BV1837" s="76"/>
      <c r="BW1837" s="76"/>
      <c r="BX1837" s="76"/>
      <c r="BY1837" s="76"/>
      <c r="BZ1837" s="76"/>
      <c r="CA1837" s="76"/>
      <c r="CB1837" s="76"/>
      <c r="CC1837" s="76"/>
      <c r="CD1837" s="76"/>
      <c r="CE1837" s="76"/>
      <c r="CF1837" s="76">
        <f>+CE1837*28000</f>
        <v>0</v>
      </c>
      <c r="CG1837" s="76"/>
      <c r="CH1837" s="76">
        <f>+CG1837*22500</f>
        <v>0</v>
      </c>
      <c r="CI1837" s="76"/>
      <c r="CJ1837" s="76">
        <f>+CI1837*26000</f>
        <v>0</v>
      </c>
      <c r="CK1837" s="76"/>
      <c r="CL1837" s="76"/>
      <c r="CM1837" s="76"/>
      <c r="CN1837" s="76">
        <f>+CM1837*22000</f>
        <v>0</v>
      </c>
      <c r="CO1837" s="76"/>
      <c r="CP1837" s="76">
        <f>+CO1837*46000</f>
        <v>0</v>
      </c>
      <c r="CQ1837" s="76"/>
      <c r="CR1837" s="76">
        <f>+CQ1837*49000</f>
        <v>0</v>
      </c>
      <c r="CS1837" s="76"/>
      <c r="CT1837" s="76"/>
      <c r="CU1837" s="56">
        <f>AN1837+AP1837+AR1837+AT1837+AV1837+AX1837+AZ1837+BB1837+BD1837+BF1837+BH1837+BJ1837+BL1837+BN1837+BP1837+BR1837+BT1837+BV1837+BX1837+BZ1837+CB1837+CD1837+CF1837+CH1837+CJ1837+CL1837+CN1837+CP1837+CR1837+CT1837</f>
        <v>0</v>
      </c>
      <c r="CV1837" s="76"/>
      <c r="CW1837" s="76">
        <f>+CV1837*1100</f>
        <v>0</v>
      </c>
      <c r="CX1837" s="76"/>
      <c r="CY1837" s="76">
        <f>+CX1837*106250</f>
        <v>0</v>
      </c>
      <c r="CZ1837" s="76"/>
      <c r="DA1837" s="76">
        <f>+CZ1837*34500</f>
        <v>0</v>
      </c>
      <c r="DB1837" s="76"/>
      <c r="DC1837" s="76">
        <f>+DB1837*25000</f>
        <v>0</v>
      </c>
      <c r="DD1837" s="219"/>
      <c r="DE1837" s="219"/>
      <c r="DF1837" s="166"/>
      <c r="DG1837" s="116"/>
      <c r="DH1837" s="117"/>
      <c r="DI1837" s="24"/>
      <c r="DJ1837" s="24"/>
      <c r="DK1837" s="24"/>
      <c r="DL1837" s="24"/>
      <c r="DM1837" s="24"/>
      <c r="DN1837" s="24"/>
      <c r="DO1837" s="24"/>
      <c r="DP1837" s="24"/>
      <c r="DQ1837" s="24"/>
      <c r="DR1837" s="24"/>
      <c r="DS1837" s="24"/>
      <c r="DT1837" s="24"/>
      <c r="DU1837" s="24"/>
    </row>
    <row r="1838" spans="1:125" s="8" customFormat="1" ht="84" x14ac:dyDescent="0.2">
      <c r="A1838" s="228">
        <v>41412</v>
      </c>
      <c r="B1838" s="229" t="s">
        <v>2848</v>
      </c>
      <c r="C1838" s="230" t="s">
        <v>1859</v>
      </c>
      <c r="D1838" s="230" t="s">
        <v>3051</v>
      </c>
      <c r="E1838" s="231" t="str">
        <f>VLOOKUP(B1838&amp;C1838,Divipola!$C$2:$F$1138,4,FALSE)</f>
        <v>73043</v>
      </c>
      <c r="F1838" s="232"/>
      <c r="G1838" s="232"/>
      <c r="H1838" s="232"/>
      <c r="I1838" s="232">
        <f>30*5</f>
        <v>150</v>
      </c>
      <c r="J1838" s="232">
        <v>30</v>
      </c>
      <c r="K1838" s="232"/>
      <c r="L1838" s="232">
        <v>30</v>
      </c>
      <c r="M1838" s="232">
        <v>1</v>
      </c>
      <c r="N1838" s="232"/>
      <c r="O1838" s="232"/>
      <c r="P1838" s="232"/>
      <c r="Q1838" s="232"/>
      <c r="R1838" s="232"/>
      <c r="S1838" s="232"/>
      <c r="T1838" s="232"/>
      <c r="U1838" s="233"/>
      <c r="V1838" s="234"/>
      <c r="W1838" s="271">
        <v>0</v>
      </c>
      <c r="X1838" s="269">
        <f>CU1838</f>
        <v>7259906.3999999994</v>
      </c>
      <c r="Y1838" s="269">
        <f>CY1838</f>
        <v>6309480</v>
      </c>
      <c r="Z1838" s="269">
        <f>DA1838+DC1838+DE1838</f>
        <v>32608760</v>
      </c>
      <c r="AA1838" s="269">
        <f>CW1838</f>
        <v>0</v>
      </c>
      <c r="AB1838" s="269"/>
      <c r="AC1838" s="269">
        <v>0</v>
      </c>
      <c r="AD1838" s="269">
        <f>W1838+X1838+Y1838+Z1838+AA1838+AB1838+AC1838</f>
        <v>46178146.399999999</v>
      </c>
      <c r="AE1838" s="270">
        <v>0</v>
      </c>
      <c r="AF1838" s="235"/>
      <c r="AG1838" s="236"/>
      <c r="AH1838" s="237" t="s">
        <v>3392</v>
      </c>
      <c r="AI1838" s="238" t="s">
        <v>3393</v>
      </c>
      <c r="AJ1838" s="239"/>
      <c r="AK1838" s="235"/>
      <c r="AL1838" s="82" t="s">
        <v>6022</v>
      </c>
      <c r="AM1838" s="240"/>
      <c r="AN1838" s="240"/>
      <c r="AO1838" s="240"/>
      <c r="AP1838" s="240"/>
      <c r="AQ1838" s="240"/>
      <c r="AR1838" s="240"/>
      <c r="AS1838" s="240"/>
      <c r="AT1838" s="240"/>
      <c r="AU1838" s="240"/>
      <c r="AV1838" s="240"/>
      <c r="AW1838" s="240"/>
      <c r="AX1838" s="240">
        <f>+AW1838*600000</f>
        <v>0</v>
      </c>
      <c r="AY1838" s="240"/>
      <c r="AZ1838" s="240">
        <f>+AY1838*70000</f>
        <v>0</v>
      </c>
      <c r="BA1838" s="240"/>
      <c r="BB1838" s="240"/>
      <c r="BC1838" s="240"/>
      <c r="BD1838" s="240">
        <f>+BC1838*30000</f>
        <v>0</v>
      </c>
      <c r="BE1838" s="240"/>
      <c r="BF1838" s="240"/>
      <c r="BG1838" s="240"/>
      <c r="BH1838" s="240"/>
      <c r="BI1838" s="240"/>
      <c r="BJ1838" s="240"/>
      <c r="BK1838" s="240"/>
      <c r="BL1838" s="240">
        <f>+BK1838*31500</f>
        <v>0</v>
      </c>
      <c r="BM1838" s="240"/>
      <c r="BN1838" s="240"/>
      <c r="BO1838" s="240"/>
      <c r="BP1838" s="240"/>
      <c r="BQ1838" s="240"/>
      <c r="BR1838" s="240"/>
      <c r="BS1838" s="240"/>
      <c r="BT1838" s="240"/>
      <c r="BU1838" s="240"/>
      <c r="BV1838" s="240"/>
      <c r="BW1838" s="240"/>
      <c r="BX1838" s="240"/>
      <c r="BY1838" s="240"/>
      <c r="BZ1838" s="240"/>
      <c r="CA1838" s="240"/>
      <c r="CB1838" s="240"/>
      <c r="CC1838" s="240"/>
      <c r="CD1838" s="240"/>
      <c r="CE1838" s="240"/>
      <c r="CF1838" s="240">
        <f>+CE1838*28000</f>
        <v>0</v>
      </c>
      <c r="CG1838" s="240"/>
      <c r="CH1838" s="240">
        <f>+CG1838*22500</f>
        <v>0</v>
      </c>
      <c r="CI1838" s="312">
        <v>60</v>
      </c>
      <c r="CJ1838" s="312">
        <f>+CI1838*25999.08</f>
        <v>1559944.8</v>
      </c>
      <c r="CK1838" s="240"/>
      <c r="CL1838" s="240"/>
      <c r="CM1838" s="240"/>
      <c r="CN1838" s="240">
        <f>+CM1838*22000</f>
        <v>0</v>
      </c>
      <c r="CO1838" s="312">
        <v>60</v>
      </c>
      <c r="CP1838" s="312">
        <f>+CO1838*45999.8</f>
        <v>2759988</v>
      </c>
      <c r="CQ1838" s="312">
        <v>60</v>
      </c>
      <c r="CR1838" s="312">
        <f>+CQ1838*48999.56</f>
        <v>2939973.5999999996</v>
      </c>
      <c r="CS1838" s="240"/>
      <c r="CT1838" s="240"/>
      <c r="CU1838" s="241">
        <f>AN1838+AP1838+AR1838+AT1838+AV1838+AX1838+AZ1838+BB1838+BD1838+BF1838+BH1838+BJ1838+BL1838+BN1838+BP1838+BR1838+BT1838+BV1838+BX1838+BZ1838+CB1838+CD1838+CF1838+CH1838+CJ1838+CL1838+CN1838+CP1838+CR1838+CT1838</f>
        <v>7259906.3999999994</v>
      </c>
      <c r="CV1838" s="240"/>
      <c r="CW1838" s="240">
        <f>+CV1838*1100</f>
        <v>0</v>
      </c>
      <c r="CX1838" s="312">
        <v>60</v>
      </c>
      <c r="CY1838" s="312">
        <f>+CX1838*105158</f>
        <v>6309480</v>
      </c>
      <c r="CZ1838" s="312">
        <v>100</v>
      </c>
      <c r="DA1838" s="312">
        <f>+CZ1838*34499.56</f>
        <v>3449956</v>
      </c>
      <c r="DB1838" s="312">
        <v>450</v>
      </c>
      <c r="DC1838" s="312">
        <f>+DB1838*31999.76+1800*199.52</f>
        <v>14759028</v>
      </c>
      <c r="DD1838" s="314" t="s">
        <v>6024</v>
      </c>
      <c r="DE1838" s="314">
        <f>200*71998.88</f>
        <v>14399776</v>
      </c>
      <c r="DF1838" s="247"/>
      <c r="DG1838" s="253" t="s">
        <v>6021</v>
      </c>
      <c r="DH1838" s="244"/>
      <c r="DI1838" s="24"/>
      <c r="DJ1838" s="24"/>
      <c r="DK1838" s="24"/>
      <c r="DL1838" s="24"/>
      <c r="DM1838" s="24"/>
      <c r="DN1838" s="24"/>
      <c r="DO1838" s="24"/>
      <c r="DP1838" s="24"/>
      <c r="DQ1838" s="24"/>
      <c r="DR1838" s="24"/>
      <c r="DS1838" s="24"/>
      <c r="DT1838" s="24"/>
      <c r="DU1838" s="24"/>
    </row>
    <row r="1839" spans="1:125" s="8" customFormat="1" ht="48" customHeight="1" x14ac:dyDescent="0.2">
      <c r="A1839" s="77">
        <v>41412</v>
      </c>
      <c r="B1839" s="352" t="s">
        <v>2848</v>
      </c>
      <c r="C1839" s="354" t="s">
        <v>2755</v>
      </c>
      <c r="D1839" s="354" t="s">
        <v>2859</v>
      </c>
      <c r="E1839" s="75" t="str">
        <f>VLOOKUP(B1839&amp;C1839,Divipola!$C$2:$F$1138,4,FALSE)</f>
        <v>73001</v>
      </c>
      <c r="F1839" s="163"/>
      <c r="G1839" s="163"/>
      <c r="H1839" s="163"/>
      <c r="I1839" s="163"/>
      <c r="J1839" s="163"/>
      <c r="K1839" s="163"/>
      <c r="L1839" s="163"/>
      <c r="M1839" s="163"/>
      <c r="N1839" s="163"/>
      <c r="O1839" s="163"/>
      <c r="P1839" s="163"/>
      <c r="Q1839" s="163"/>
      <c r="R1839" s="163"/>
      <c r="S1839" s="163"/>
      <c r="T1839" s="163"/>
      <c r="U1839" s="163"/>
      <c r="V1839" s="89">
        <v>1</v>
      </c>
      <c r="W1839" s="96">
        <v>0</v>
      </c>
      <c r="X1839" s="71">
        <f>CU1839</f>
        <v>0</v>
      </c>
      <c r="Y1839" s="71">
        <f>CY1839</f>
        <v>0</v>
      </c>
      <c r="Z1839" s="71">
        <f>DA1839+DC1839+DE1839</f>
        <v>0</v>
      </c>
      <c r="AA1839" s="71">
        <f>CW1839</f>
        <v>0</v>
      </c>
      <c r="AB1839" s="71"/>
      <c r="AC1839" s="71">
        <v>0</v>
      </c>
      <c r="AD1839" s="71">
        <f>W1839+X1839+Y1839+Z1839+AA1839+AB1839+AC1839</f>
        <v>0</v>
      </c>
      <c r="AE1839" s="72">
        <v>0</v>
      </c>
      <c r="AF1839" s="5"/>
      <c r="AG1839" s="6"/>
      <c r="AH1839" s="27" t="s">
        <v>3392</v>
      </c>
      <c r="AI1839" s="44" t="s">
        <v>3393</v>
      </c>
      <c r="AJ1839" s="26"/>
      <c r="AK1839" s="5"/>
      <c r="AL1839" s="82" t="s">
        <v>4980</v>
      </c>
      <c r="AM1839" s="76"/>
      <c r="AN1839" s="76"/>
      <c r="AO1839" s="76"/>
      <c r="AP1839" s="76"/>
      <c r="AQ1839" s="76"/>
      <c r="AR1839" s="76"/>
      <c r="AS1839" s="76"/>
      <c r="AT1839" s="76"/>
      <c r="AU1839" s="76"/>
      <c r="AV1839" s="76"/>
      <c r="AW1839" s="76"/>
      <c r="AX1839" s="76">
        <f>+AW1839*600000</f>
        <v>0</v>
      </c>
      <c r="AY1839" s="76"/>
      <c r="AZ1839" s="76">
        <f>+AY1839*70000</f>
        <v>0</v>
      </c>
      <c r="BA1839" s="76"/>
      <c r="BB1839" s="76"/>
      <c r="BC1839" s="76"/>
      <c r="BD1839" s="76">
        <f>+BC1839*30000</f>
        <v>0</v>
      </c>
      <c r="BE1839" s="76"/>
      <c r="BF1839" s="76"/>
      <c r="BG1839" s="76"/>
      <c r="BH1839" s="76"/>
      <c r="BI1839" s="76"/>
      <c r="BJ1839" s="76"/>
      <c r="BK1839" s="76"/>
      <c r="BL1839" s="76">
        <f>+BK1839*31500</f>
        <v>0</v>
      </c>
      <c r="BM1839" s="76"/>
      <c r="BN1839" s="76"/>
      <c r="BO1839" s="76"/>
      <c r="BP1839" s="76"/>
      <c r="BQ1839" s="76"/>
      <c r="BR1839" s="76"/>
      <c r="BS1839" s="76"/>
      <c r="BT1839" s="76"/>
      <c r="BU1839" s="76"/>
      <c r="BV1839" s="76"/>
      <c r="BW1839" s="76"/>
      <c r="BX1839" s="76"/>
      <c r="BY1839" s="76"/>
      <c r="BZ1839" s="76"/>
      <c r="CA1839" s="76"/>
      <c r="CB1839" s="76"/>
      <c r="CC1839" s="76"/>
      <c r="CD1839" s="76"/>
      <c r="CE1839" s="76"/>
      <c r="CF1839" s="76">
        <f>+CE1839*28000</f>
        <v>0</v>
      </c>
      <c r="CG1839" s="76"/>
      <c r="CH1839" s="76">
        <f>+CG1839*22500</f>
        <v>0</v>
      </c>
      <c r="CI1839" s="76"/>
      <c r="CJ1839" s="76">
        <f>+CI1839*26000</f>
        <v>0</v>
      </c>
      <c r="CK1839" s="76"/>
      <c r="CL1839" s="76"/>
      <c r="CM1839" s="76"/>
      <c r="CN1839" s="76">
        <f>+CM1839*22000</f>
        <v>0</v>
      </c>
      <c r="CO1839" s="76"/>
      <c r="CP1839" s="76">
        <f>+CO1839*46000</f>
        <v>0</v>
      </c>
      <c r="CQ1839" s="76"/>
      <c r="CR1839" s="76">
        <f>+CQ1839*49000</f>
        <v>0</v>
      </c>
      <c r="CS1839" s="76"/>
      <c r="CT1839" s="76"/>
      <c r="CU1839" s="56">
        <f>AN1839+AP1839+AR1839+AT1839+AV1839+AX1839+AZ1839+BB1839+BD1839+BF1839+BH1839+BJ1839+BL1839+BN1839+BP1839+BR1839+BT1839+BV1839+BX1839+BZ1839+CB1839+CD1839+CF1839+CH1839+CJ1839+CL1839+CN1839+CP1839+CR1839+CT1839</f>
        <v>0</v>
      </c>
      <c r="CV1839" s="76"/>
      <c r="CW1839" s="76">
        <f>+CV1839*1100</f>
        <v>0</v>
      </c>
      <c r="CX1839" s="76"/>
      <c r="CY1839" s="76">
        <f>+CX1839*106250</f>
        <v>0</v>
      </c>
      <c r="CZ1839" s="76"/>
      <c r="DA1839" s="76">
        <f>+CZ1839*34500</f>
        <v>0</v>
      </c>
      <c r="DB1839" s="76"/>
      <c r="DC1839" s="76">
        <f>+DB1839*25000</f>
        <v>0</v>
      </c>
      <c r="DD1839" s="219"/>
      <c r="DE1839" s="219"/>
      <c r="DF1839" s="166"/>
      <c r="DG1839" s="116"/>
      <c r="DH1839" s="117"/>
      <c r="DI1839" s="24"/>
      <c r="DJ1839" s="24"/>
      <c r="DK1839" s="24"/>
      <c r="DL1839" s="24"/>
      <c r="DM1839" s="24"/>
      <c r="DN1839" s="24"/>
      <c r="DO1839" s="24"/>
      <c r="DP1839" s="24"/>
      <c r="DQ1839" s="24"/>
      <c r="DR1839" s="24"/>
      <c r="DS1839" s="24"/>
      <c r="DT1839" s="24"/>
      <c r="DU1839" s="24"/>
    </row>
    <row r="1840" spans="1:125" s="8" customFormat="1" ht="48" x14ac:dyDescent="0.2">
      <c r="A1840" s="77">
        <v>41412</v>
      </c>
      <c r="B1840" s="352" t="s">
        <v>2848</v>
      </c>
      <c r="C1840" s="227" t="s">
        <v>2077</v>
      </c>
      <c r="D1840" s="227" t="s">
        <v>2859</v>
      </c>
      <c r="E1840" s="75" t="str">
        <f>VLOOKUP(B1840&amp;C1840,Divipola!$C$2:$F$1138,4,FALSE)</f>
        <v>73411</v>
      </c>
      <c r="F1840" s="163"/>
      <c r="G1840" s="163"/>
      <c r="H1840" s="163"/>
      <c r="I1840" s="163"/>
      <c r="J1840" s="163"/>
      <c r="K1840" s="163"/>
      <c r="L1840" s="163"/>
      <c r="M1840" s="163"/>
      <c r="N1840" s="163"/>
      <c r="O1840" s="163"/>
      <c r="P1840" s="163"/>
      <c r="Q1840" s="163"/>
      <c r="R1840" s="163"/>
      <c r="S1840" s="163"/>
      <c r="T1840" s="163"/>
      <c r="U1840" s="163"/>
      <c r="V1840" s="89">
        <v>1</v>
      </c>
      <c r="W1840" s="96">
        <v>0</v>
      </c>
      <c r="X1840" s="71">
        <f>CU1840</f>
        <v>0</v>
      </c>
      <c r="Y1840" s="71">
        <f>CY1840</f>
        <v>0</v>
      </c>
      <c r="Z1840" s="71">
        <f>DA1840+DC1840+DE1840</f>
        <v>0</v>
      </c>
      <c r="AA1840" s="71">
        <f>CW1840</f>
        <v>0</v>
      </c>
      <c r="AB1840" s="71"/>
      <c r="AC1840" s="71">
        <v>0</v>
      </c>
      <c r="AD1840" s="71">
        <f>W1840+X1840+Y1840+Z1840+AA1840+AB1840+AC1840</f>
        <v>0</v>
      </c>
      <c r="AE1840" s="72">
        <v>0</v>
      </c>
      <c r="AF1840" s="5"/>
      <c r="AG1840" s="6"/>
      <c r="AH1840" s="27" t="s">
        <v>3392</v>
      </c>
      <c r="AI1840" s="44" t="s">
        <v>3393</v>
      </c>
      <c r="AJ1840" s="26"/>
      <c r="AK1840" s="5"/>
      <c r="AL1840" s="82" t="s">
        <v>4981</v>
      </c>
      <c r="AM1840" s="76"/>
      <c r="AN1840" s="76"/>
      <c r="AO1840" s="76"/>
      <c r="AP1840" s="76"/>
      <c r="AQ1840" s="76"/>
      <c r="AR1840" s="76"/>
      <c r="AS1840" s="76"/>
      <c r="AT1840" s="76"/>
      <c r="AU1840" s="76"/>
      <c r="AV1840" s="76"/>
      <c r="AW1840" s="76"/>
      <c r="AX1840" s="76">
        <f>+AW1840*600000</f>
        <v>0</v>
      </c>
      <c r="AY1840" s="76"/>
      <c r="AZ1840" s="76">
        <f>+AY1840*70000</f>
        <v>0</v>
      </c>
      <c r="BA1840" s="76"/>
      <c r="BB1840" s="76"/>
      <c r="BC1840" s="76"/>
      <c r="BD1840" s="76">
        <f>+BC1840*30000</f>
        <v>0</v>
      </c>
      <c r="BE1840" s="76"/>
      <c r="BF1840" s="76"/>
      <c r="BG1840" s="76"/>
      <c r="BH1840" s="76"/>
      <c r="BI1840" s="76"/>
      <c r="BJ1840" s="76"/>
      <c r="BK1840" s="76"/>
      <c r="BL1840" s="76">
        <f>+BK1840*31500</f>
        <v>0</v>
      </c>
      <c r="BM1840" s="76"/>
      <c r="BN1840" s="76"/>
      <c r="BO1840" s="76"/>
      <c r="BP1840" s="76"/>
      <c r="BQ1840" s="76"/>
      <c r="BR1840" s="76"/>
      <c r="BS1840" s="76"/>
      <c r="BT1840" s="76"/>
      <c r="BU1840" s="76"/>
      <c r="BV1840" s="76"/>
      <c r="BW1840" s="76"/>
      <c r="BX1840" s="76"/>
      <c r="BY1840" s="76"/>
      <c r="BZ1840" s="76"/>
      <c r="CA1840" s="76"/>
      <c r="CB1840" s="76"/>
      <c r="CC1840" s="76"/>
      <c r="CD1840" s="76"/>
      <c r="CE1840" s="76"/>
      <c r="CF1840" s="76">
        <f>+CE1840*28000</f>
        <v>0</v>
      </c>
      <c r="CG1840" s="76"/>
      <c r="CH1840" s="76">
        <f>+CG1840*22500</f>
        <v>0</v>
      </c>
      <c r="CI1840" s="76"/>
      <c r="CJ1840" s="76">
        <f>+CI1840*26000</f>
        <v>0</v>
      </c>
      <c r="CK1840" s="76"/>
      <c r="CL1840" s="76"/>
      <c r="CM1840" s="76"/>
      <c r="CN1840" s="76">
        <f>+CM1840*22000</f>
        <v>0</v>
      </c>
      <c r="CO1840" s="76"/>
      <c r="CP1840" s="76">
        <f>+CO1840*46000</f>
        <v>0</v>
      </c>
      <c r="CQ1840" s="76"/>
      <c r="CR1840" s="76">
        <f>+CQ1840*49000</f>
        <v>0</v>
      </c>
      <c r="CS1840" s="76"/>
      <c r="CT1840" s="76"/>
      <c r="CU1840" s="56">
        <f>AN1840+AP1840+AR1840+AT1840+AV1840+AX1840+AZ1840+BB1840+BD1840+BF1840+BH1840+BJ1840+BL1840+BN1840+BP1840+BR1840+BT1840+BV1840+BX1840+BZ1840+CB1840+CD1840+CF1840+CH1840+CJ1840+CL1840+CN1840+CP1840+CR1840+CT1840</f>
        <v>0</v>
      </c>
      <c r="CV1840" s="76"/>
      <c r="CW1840" s="76">
        <f>+CV1840*1100</f>
        <v>0</v>
      </c>
      <c r="CX1840" s="76"/>
      <c r="CY1840" s="76">
        <f>+CX1840*106250</f>
        <v>0</v>
      </c>
      <c r="CZ1840" s="76"/>
      <c r="DA1840" s="76">
        <f>+CZ1840*34500</f>
        <v>0</v>
      </c>
      <c r="DB1840" s="76"/>
      <c r="DC1840" s="76">
        <f>+DB1840*25000</f>
        <v>0</v>
      </c>
      <c r="DD1840" s="219"/>
      <c r="DE1840" s="219"/>
      <c r="DF1840" s="166"/>
      <c r="DG1840" s="116"/>
      <c r="DH1840" s="117"/>
      <c r="DI1840" s="24"/>
      <c r="DJ1840" s="24"/>
      <c r="DK1840" s="24"/>
      <c r="DL1840" s="24"/>
      <c r="DM1840" s="24"/>
      <c r="DN1840" s="24"/>
      <c r="DO1840" s="24"/>
      <c r="DP1840" s="24"/>
      <c r="DQ1840" s="24"/>
      <c r="DR1840" s="24"/>
      <c r="DS1840" s="24"/>
      <c r="DT1840" s="24"/>
      <c r="DU1840" s="24"/>
    </row>
    <row r="1841" spans="1:125" s="8" customFormat="1" ht="48" x14ac:dyDescent="0.2">
      <c r="A1841" s="353">
        <v>41413</v>
      </c>
      <c r="B1841" s="352" t="s">
        <v>2894</v>
      </c>
      <c r="C1841" s="354" t="s">
        <v>2032</v>
      </c>
      <c r="D1841" s="354" t="s">
        <v>2882</v>
      </c>
      <c r="E1841" s="75" t="str">
        <f>VLOOKUP(B1841&amp;C1841,Divipola!$C$2:$F$1138,4,FALSE)</f>
        <v>05001</v>
      </c>
      <c r="F1841" s="87">
        <v>1</v>
      </c>
      <c r="G1841" s="163"/>
      <c r="H1841" s="163"/>
      <c r="I1841" s="163"/>
      <c r="J1841" s="163"/>
      <c r="K1841" s="163"/>
      <c r="L1841" s="163"/>
      <c r="M1841" s="163"/>
      <c r="N1841" s="163"/>
      <c r="O1841" s="163"/>
      <c r="P1841" s="163"/>
      <c r="Q1841" s="163"/>
      <c r="R1841" s="163"/>
      <c r="S1841" s="163"/>
      <c r="T1841" s="163"/>
      <c r="U1841" s="163"/>
      <c r="V1841" s="134"/>
      <c r="W1841" s="96">
        <v>0</v>
      </c>
      <c r="X1841" s="71">
        <f>CU1841</f>
        <v>0</v>
      </c>
      <c r="Y1841" s="71">
        <f>CY1841</f>
        <v>0</v>
      </c>
      <c r="Z1841" s="71">
        <f>DA1841+DC1841+DE1841</f>
        <v>0</v>
      </c>
      <c r="AA1841" s="71">
        <f>CW1841</f>
        <v>0</v>
      </c>
      <c r="AB1841" s="71"/>
      <c r="AC1841" s="71">
        <v>0</v>
      </c>
      <c r="AD1841" s="71">
        <f>W1841+X1841+Y1841+Z1841+AA1841+AB1841+AC1841</f>
        <v>0</v>
      </c>
      <c r="AE1841" s="72">
        <v>0</v>
      </c>
      <c r="AF1841" s="5"/>
      <c r="AG1841" s="6"/>
      <c r="AH1841" s="27" t="s">
        <v>3392</v>
      </c>
      <c r="AI1841" s="44" t="s">
        <v>3393</v>
      </c>
      <c r="AJ1841" s="26"/>
      <c r="AK1841" s="5"/>
      <c r="AL1841" s="82" t="s">
        <v>4653</v>
      </c>
      <c r="AM1841" s="76"/>
      <c r="AN1841" s="76"/>
      <c r="AO1841" s="76"/>
      <c r="AP1841" s="76"/>
      <c r="AQ1841" s="76"/>
      <c r="AR1841" s="76"/>
      <c r="AS1841" s="76"/>
      <c r="AT1841" s="76"/>
      <c r="AU1841" s="76"/>
      <c r="AV1841" s="76"/>
      <c r="AW1841" s="76"/>
      <c r="AX1841" s="76">
        <f>+AW1841*600000</f>
        <v>0</v>
      </c>
      <c r="AY1841" s="76"/>
      <c r="AZ1841" s="76">
        <f>+AY1841*70000</f>
        <v>0</v>
      </c>
      <c r="BA1841" s="76"/>
      <c r="BB1841" s="76"/>
      <c r="BC1841" s="76"/>
      <c r="BD1841" s="76">
        <f>+BC1841*30000</f>
        <v>0</v>
      </c>
      <c r="BE1841" s="76"/>
      <c r="BF1841" s="76"/>
      <c r="BG1841" s="76"/>
      <c r="BH1841" s="76"/>
      <c r="BI1841" s="76"/>
      <c r="BJ1841" s="76"/>
      <c r="BK1841" s="76"/>
      <c r="BL1841" s="76">
        <f>+BK1841*31500</f>
        <v>0</v>
      </c>
      <c r="BM1841" s="76"/>
      <c r="BN1841" s="76"/>
      <c r="BO1841" s="76"/>
      <c r="BP1841" s="76"/>
      <c r="BQ1841" s="76"/>
      <c r="BR1841" s="76"/>
      <c r="BS1841" s="76"/>
      <c r="BT1841" s="76"/>
      <c r="BU1841" s="76"/>
      <c r="BV1841" s="76"/>
      <c r="BW1841" s="76"/>
      <c r="BX1841" s="76"/>
      <c r="BY1841" s="76"/>
      <c r="BZ1841" s="76"/>
      <c r="CA1841" s="76"/>
      <c r="CB1841" s="76"/>
      <c r="CC1841" s="76"/>
      <c r="CD1841" s="76"/>
      <c r="CE1841" s="76"/>
      <c r="CF1841" s="76">
        <f>+CE1841*28000</f>
        <v>0</v>
      </c>
      <c r="CG1841" s="76"/>
      <c r="CH1841" s="76">
        <f>+CG1841*22500</f>
        <v>0</v>
      </c>
      <c r="CI1841" s="76"/>
      <c r="CJ1841" s="76">
        <f>+CI1841*26000</f>
        <v>0</v>
      </c>
      <c r="CK1841" s="76"/>
      <c r="CL1841" s="76"/>
      <c r="CM1841" s="76"/>
      <c r="CN1841" s="76">
        <f>+CM1841*22000</f>
        <v>0</v>
      </c>
      <c r="CO1841" s="76"/>
      <c r="CP1841" s="76">
        <f>+CO1841*46000</f>
        <v>0</v>
      </c>
      <c r="CQ1841" s="76"/>
      <c r="CR1841" s="76">
        <f>+CQ1841*49000</f>
        <v>0</v>
      </c>
      <c r="CS1841" s="76"/>
      <c r="CT1841" s="76"/>
      <c r="CU1841" s="56">
        <f>AN1841+AP1841+AR1841+AT1841+AV1841+AX1841+AZ1841+BB1841+BD1841+BF1841+BH1841+BJ1841+BL1841+BN1841+BP1841+BR1841+BT1841+BV1841+BX1841+BZ1841+CB1841+CD1841+CF1841+CH1841+CJ1841+CL1841+CN1841+CP1841+CR1841+CT1841</f>
        <v>0</v>
      </c>
      <c r="CV1841" s="76"/>
      <c r="CW1841" s="76">
        <f>+CV1841*1100</f>
        <v>0</v>
      </c>
      <c r="CX1841" s="76"/>
      <c r="CY1841" s="76">
        <f>+CX1841*106250</f>
        <v>0</v>
      </c>
      <c r="CZ1841" s="76"/>
      <c r="DA1841" s="76">
        <f>+CZ1841*34500</f>
        <v>0</v>
      </c>
      <c r="DB1841" s="76"/>
      <c r="DC1841" s="76">
        <f>+DB1841*25000</f>
        <v>0</v>
      </c>
      <c r="DD1841" s="219" t="s">
        <v>6023</v>
      </c>
      <c r="DE1841" s="219"/>
      <c r="DF1841" s="166"/>
      <c r="DG1841" s="116"/>
      <c r="DH1841" s="117"/>
      <c r="DI1841" s="24"/>
      <c r="DJ1841" s="24"/>
      <c r="DK1841" s="24"/>
      <c r="DL1841" s="24"/>
      <c r="DM1841" s="24"/>
      <c r="DN1841" s="24"/>
      <c r="DO1841" s="24"/>
      <c r="DP1841" s="24"/>
      <c r="DQ1841" s="24"/>
      <c r="DR1841" s="24"/>
      <c r="DS1841" s="24"/>
      <c r="DT1841" s="24"/>
      <c r="DU1841" s="24"/>
    </row>
    <row r="1842" spans="1:125" s="8" customFormat="1" ht="108" x14ac:dyDescent="0.2">
      <c r="A1842" s="353">
        <v>41413</v>
      </c>
      <c r="B1842" s="352" t="s">
        <v>2811</v>
      </c>
      <c r="C1842" s="354" t="s">
        <v>217</v>
      </c>
      <c r="D1842" s="354" t="s">
        <v>4391</v>
      </c>
      <c r="E1842" s="75" t="str">
        <f>VLOOKUP(B1842&amp;C1842,Divipola!$C$2:$F$1138,4,FALSE)</f>
        <v>52786</v>
      </c>
      <c r="F1842" s="87"/>
      <c r="G1842" s="87"/>
      <c r="H1842" s="87">
        <v>1</v>
      </c>
      <c r="I1842" s="87"/>
      <c r="J1842" s="87"/>
      <c r="K1842" s="87"/>
      <c r="L1842" s="87"/>
      <c r="M1842" s="87"/>
      <c r="N1842" s="87"/>
      <c r="O1842" s="87"/>
      <c r="P1842" s="87"/>
      <c r="Q1842" s="87"/>
      <c r="R1842" s="87"/>
      <c r="S1842" s="87"/>
      <c r="T1842" s="87"/>
      <c r="U1842" s="88"/>
      <c r="V1842" s="89"/>
      <c r="W1842" s="96">
        <v>0</v>
      </c>
      <c r="X1842" s="71">
        <f>CU1842</f>
        <v>0</v>
      </c>
      <c r="Y1842" s="71">
        <f>CY1842</f>
        <v>0</v>
      </c>
      <c r="Z1842" s="71">
        <f>DA1842+DC1842+DE1842</f>
        <v>0</v>
      </c>
      <c r="AA1842" s="71">
        <f>CW1842</f>
        <v>0</v>
      </c>
      <c r="AB1842" s="71"/>
      <c r="AC1842" s="71">
        <v>0</v>
      </c>
      <c r="AD1842" s="71">
        <f>W1842+X1842+Y1842+Z1842+AA1842+AB1842+AC1842</f>
        <v>0</v>
      </c>
      <c r="AE1842" s="72">
        <v>0</v>
      </c>
      <c r="AF1842" s="5"/>
      <c r="AG1842" s="6"/>
      <c r="AH1842" s="27" t="s">
        <v>3392</v>
      </c>
      <c r="AI1842" s="44" t="s">
        <v>3393</v>
      </c>
      <c r="AJ1842" s="26"/>
      <c r="AK1842" s="5"/>
      <c r="AL1842" s="82" t="s">
        <v>4666</v>
      </c>
      <c r="AM1842" s="76"/>
      <c r="AN1842" s="76"/>
      <c r="AO1842" s="76"/>
      <c r="AP1842" s="76"/>
      <c r="AQ1842" s="76"/>
      <c r="AR1842" s="76"/>
      <c r="AS1842" s="76"/>
      <c r="AT1842" s="76"/>
      <c r="AU1842" s="76"/>
      <c r="AV1842" s="76"/>
      <c r="AW1842" s="76"/>
      <c r="AX1842" s="76">
        <f>+AW1842*600000</f>
        <v>0</v>
      </c>
      <c r="AY1842" s="76"/>
      <c r="AZ1842" s="76">
        <f>+AY1842*70000</f>
        <v>0</v>
      </c>
      <c r="BA1842" s="76"/>
      <c r="BB1842" s="76"/>
      <c r="BC1842" s="76"/>
      <c r="BD1842" s="76">
        <f>+BC1842*30000</f>
        <v>0</v>
      </c>
      <c r="BE1842" s="76"/>
      <c r="BF1842" s="76"/>
      <c r="BG1842" s="76"/>
      <c r="BH1842" s="76"/>
      <c r="BI1842" s="76"/>
      <c r="BJ1842" s="76"/>
      <c r="BK1842" s="76"/>
      <c r="BL1842" s="76">
        <f>+BK1842*31500</f>
        <v>0</v>
      </c>
      <c r="BM1842" s="76"/>
      <c r="BN1842" s="76"/>
      <c r="BO1842" s="76"/>
      <c r="BP1842" s="76"/>
      <c r="BQ1842" s="76"/>
      <c r="BR1842" s="76"/>
      <c r="BS1842" s="76"/>
      <c r="BT1842" s="76"/>
      <c r="BU1842" s="76"/>
      <c r="BV1842" s="76"/>
      <c r="BW1842" s="76"/>
      <c r="BX1842" s="76"/>
      <c r="BY1842" s="76"/>
      <c r="BZ1842" s="76"/>
      <c r="CA1842" s="76"/>
      <c r="CB1842" s="76"/>
      <c r="CC1842" s="76"/>
      <c r="CD1842" s="76"/>
      <c r="CE1842" s="76"/>
      <c r="CF1842" s="76">
        <f>+CE1842*28000</f>
        <v>0</v>
      </c>
      <c r="CG1842" s="76"/>
      <c r="CH1842" s="76">
        <f>+CG1842*22500</f>
        <v>0</v>
      </c>
      <c r="CI1842" s="76"/>
      <c r="CJ1842" s="76">
        <f>+CI1842*26000</f>
        <v>0</v>
      </c>
      <c r="CK1842" s="76"/>
      <c r="CL1842" s="76"/>
      <c r="CM1842" s="76"/>
      <c r="CN1842" s="76">
        <f>+CM1842*22000</f>
        <v>0</v>
      </c>
      <c r="CO1842" s="76"/>
      <c r="CP1842" s="76">
        <f>+CO1842*46000</f>
        <v>0</v>
      </c>
      <c r="CQ1842" s="76"/>
      <c r="CR1842" s="76">
        <f>+CQ1842*49000</f>
        <v>0</v>
      </c>
      <c r="CS1842" s="76"/>
      <c r="CT1842" s="76"/>
      <c r="CU1842" s="56">
        <f>AN1842+AP1842+AR1842+AT1842+AV1842+AX1842+AZ1842+BB1842+BD1842+BF1842+BH1842+BJ1842+BL1842+BN1842+BP1842+BR1842+BT1842+BV1842+BX1842+BZ1842+CB1842+CD1842+CF1842+CH1842+CJ1842+CL1842+CN1842+CP1842+CR1842+CT1842</f>
        <v>0</v>
      </c>
      <c r="CV1842" s="76"/>
      <c r="CW1842" s="76">
        <f>+CV1842*1100</f>
        <v>0</v>
      </c>
      <c r="CX1842" s="76"/>
      <c r="CY1842" s="76">
        <f>+CX1842*106250</f>
        <v>0</v>
      </c>
      <c r="CZ1842" s="76"/>
      <c r="DA1842" s="76">
        <f>+CZ1842*34500</f>
        <v>0</v>
      </c>
      <c r="DB1842" s="76"/>
      <c r="DC1842" s="76">
        <f>+DB1842*25000</f>
        <v>0</v>
      </c>
      <c r="DD1842" s="219"/>
      <c r="DE1842" s="219"/>
      <c r="DF1842" s="166"/>
      <c r="DG1842" s="116"/>
      <c r="DH1842" s="117"/>
      <c r="DI1842" s="24"/>
      <c r="DJ1842" s="24"/>
      <c r="DK1842" s="24"/>
      <c r="DL1842" s="24"/>
      <c r="DM1842" s="24"/>
      <c r="DN1842" s="24"/>
      <c r="DO1842" s="24"/>
      <c r="DP1842" s="24"/>
      <c r="DQ1842" s="24"/>
      <c r="DR1842" s="24"/>
      <c r="DS1842" s="24"/>
      <c r="DT1842" s="24"/>
      <c r="DU1842" s="24"/>
    </row>
    <row r="1843" spans="1:125" s="8" customFormat="1" ht="144" x14ac:dyDescent="0.2">
      <c r="A1843" s="353">
        <v>41413</v>
      </c>
      <c r="B1843" s="352" t="s">
        <v>3131</v>
      </c>
      <c r="C1843" s="354" t="s">
        <v>2270</v>
      </c>
      <c r="D1843" s="354" t="s">
        <v>3051</v>
      </c>
      <c r="E1843" s="75" t="str">
        <f>VLOOKUP(B1843&amp;C1843,Divipola!$C$2:$F$1138,4,FALSE)</f>
        <v>86571</v>
      </c>
      <c r="F1843" s="87"/>
      <c r="G1843" s="87"/>
      <c r="H1843" s="87"/>
      <c r="I1843" s="87">
        <f>611*5</f>
        <v>3055</v>
      </c>
      <c r="J1843" s="87">
        <v>611</v>
      </c>
      <c r="K1843" s="87"/>
      <c r="L1843" s="87">
        <v>611</v>
      </c>
      <c r="M1843" s="87"/>
      <c r="N1843" s="87">
        <v>1</v>
      </c>
      <c r="O1843" s="87"/>
      <c r="P1843" s="87"/>
      <c r="Q1843" s="87"/>
      <c r="R1843" s="87"/>
      <c r="S1843" s="87"/>
      <c r="T1843" s="87"/>
      <c r="U1843" s="88">
        <v>100</v>
      </c>
      <c r="V1843" s="252"/>
      <c r="W1843" s="96">
        <v>0</v>
      </c>
      <c r="X1843" s="71">
        <f>CU1843</f>
        <v>52599144.399999999</v>
      </c>
      <c r="Y1843" s="71">
        <f>CY1843</f>
        <v>31500750</v>
      </c>
      <c r="Z1843" s="71">
        <f>DA1843+DC1843+DE1843</f>
        <v>69333733.599999994</v>
      </c>
      <c r="AA1843" s="71">
        <f>CW1843</f>
        <v>0</v>
      </c>
      <c r="AB1843" s="71"/>
      <c r="AC1843" s="71">
        <v>0</v>
      </c>
      <c r="AD1843" s="71">
        <f>W1843+X1843+Y1843+Z1843+AA1843+AB1843+AC1843</f>
        <v>153433628</v>
      </c>
      <c r="AE1843" s="72">
        <v>0</v>
      </c>
      <c r="AF1843" s="5"/>
      <c r="AG1843" s="6"/>
      <c r="AH1843" s="27" t="s">
        <v>3390</v>
      </c>
      <c r="AI1843" s="44" t="s">
        <v>3391</v>
      </c>
      <c r="AJ1843" s="26"/>
      <c r="AK1843" s="5"/>
      <c r="AL1843" s="82" t="s">
        <v>4655</v>
      </c>
      <c r="AM1843" s="76"/>
      <c r="AN1843" s="76"/>
      <c r="AO1843" s="76"/>
      <c r="AP1843" s="76"/>
      <c r="AQ1843" s="76"/>
      <c r="AR1843" s="76"/>
      <c r="AS1843" s="76"/>
      <c r="AT1843" s="76"/>
      <c r="AU1843" s="76"/>
      <c r="AV1843" s="76"/>
      <c r="AW1843" s="76"/>
      <c r="AX1843" s="76">
        <f>+AW1843*600000</f>
        <v>0</v>
      </c>
      <c r="AY1843" s="86">
        <v>535</v>
      </c>
      <c r="AZ1843" s="86">
        <f>+AY1843*69999.04</f>
        <v>37449486.399999999</v>
      </c>
      <c r="BA1843" s="76"/>
      <c r="BB1843" s="76"/>
      <c r="BC1843" s="76"/>
      <c r="BD1843" s="76">
        <f>+BC1843*30000</f>
        <v>0</v>
      </c>
      <c r="BE1843" s="76"/>
      <c r="BF1843" s="76"/>
      <c r="BG1843" s="76"/>
      <c r="BH1843" s="76"/>
      <c r="BI1843" s="76"/>
      <c r="BJ1843" s="76"/>
      <c r="BK1843" s="76"/>
      <c r="BL1843" s="76">
        <f>+BK1843*31500</f>
        <v>0</v>
      </c>
      <c r="BM1843" s="76"/>
      <c r="BN1843" s="76"/>
      <c r="BO1843" s="76"/>
      <c r="BP1843" s="76"/>
      <c r="BQ1843" s="76"/>
      <c r="BR1843" s="76"/>
      <c r="BS1843" s="76"/>
      <c r="BT1843" s="76"/>
      <c r="BU1843" s="76"/>
      <c r="BV1843" s="76"/>
      <c r="BW1843" s="76"/>
      <c r="BX1843" s="76"/>
      <c r="BY1843" s="76"/>
      <c r="BZ1843" s="76"/>
      <c r="CA1843" s="76"/>
      <c r="CB1843" s="76"/>
      <c r="CC1843" s="76"/>
      <c r="CD1843" s="76"/>
      <c r="CE1843" s="76"/>
      <c r="CF1843" s="76">
        <f>+CE1843*28000</f>
        <v>0</v>
      </c>
      <c r="CG1843" s="76"/>
      <c r="CH1843" s="76">
        <f>+CG1843*22500</f>
        <v>0</v>
      </c>
      <c r="CI1843" s="86">
        <v>300</v>
      </c>
      <c r="CJ1843" s="86">
        <f>+CI1843*25999.08</f>
        <v>7799724.0000000009</v>
      </c>
      <c r="CK1843" s="76"/>
      <c r="CL1843" s="76"/>
      <c r="CM1843" s="76"/>
      <c r="CN1843" s="76">
        <f>+CM1843*22000</f>
        <v>0</v>
      </c>
      <c r="CO1843" s="76"/>
      <c r="CP1843" s="76">
        <f>+CO1843*46000</f>
        <v>0</v>
      </c>
      <c r="CQ1843" s="86">
        <v>150</v>
      </c>
      <c r="CR1843" s="86">
        <f>+CQ1843*48999.56</f>
        <v>7349934</v>
      </c>
      <c r="CS1843" s="76"/>
      <c r="CT1843" s="76"/>
      <c r="CU1843" s="56">
        <f>AN1843+AP1843+AR1843+AT1843+AV1843+AX1843+AZ1843+BB1843+BD1843+BF1843+BH1843+BJ1843+BL1843+BN1843+BP1843+BR1843+BT1843+BV1843+BX1843+BZ1843+CB1843+CD1843+CF1843+CH1843+CJ1843+CL1843+CN1843+CP1843+CR1843+CT1843</f>
        <v>52599144.399999999</v>
      </c>
      <c r="CV1843" s="76"/>
      <c r="CW1843" s="76">
        <f>+CV1843*1100</f>
        <v>0</v>
      </c>
      <c r="CX1843" s="86">
        <v>300</v>
      </c>
      <c r="CY1843" s="86">
        <f>+CX1843*105002.5</f>
        <v>31500750</v>
      </c>
      <c r="CZ1843" s="76"/>
      <c r="DA1843" s="76">
        <f>+CZ1843*34500</f>
        <v>0</v>
      </c>
      <c r="DB1843" s="86">
        <v>2060</v>
      </c>
      <c r="DC1843" s="86">
        <f>2000*31999.76+12000*199.52+60*48999.56</f>
        <v>69333733.599999994</v>
      </c>
      <c r="DD1843" s="219"/>
      <c r="DE1843" s="219"/>
      <c r="DF1843" s="166"/>
      <c r="DG1843" s="134" t="s">
        <v>6478</v>
      </c>
      <c r="DH1843" s="117"/>
      <c r="DI1843" s="24"/>
      <c r="DJ1843" s="24"/>
      <c r="DK1843" s="24"/>
      <c r="DL1843" s="24"/>
      <c r="DM1843" s="24"/>
      <c r="DN1843" s="24"/>
      <c r="DO1843" s="24"/>
      <c r="DP1843" s="24"/>
      <c r="DQ1843" s="24"/>
      <c r="DR1843" s="24"/>
      <c r="DS1843" s="24"/>
      <c r="DT1843" s="24"/>
      <c r="DU1843" s="24"/>
    </row>
    <row r="1844" spans="1:125" s="8" customFormat="1" ht="84" x14ac:dyDescent="0.2">
      <c r="A1844" s="353">
        <v>41413</v>
      </c>
      <c r="B1844" s="352" t="s">
        <v>2774</v>
      </c>
      <c r="C1844" s="354" t="s">
        <v>1347</v>
      </c>
      <c r="D1844" s="354" t="s">
        <v>4391</v>
      </c>
      <c r="E1844" s="75" t="str">
        <f>VLOOKUP(B1844&amp;C1844,Divipola!$C$2:$F$1138,4,FALSE)</f>
        <v>66001</v>
      </c>
      <c r="F1844" s="87"/>
      <c r="G1844" s="87">
        <v>1</v>
      </c>
      <c r="H1844" s="87"/>
      <c r="I1844" s="87"/>
      <c r="J1844" s="87"/>
      <c r="K1844" s="87"/>
      <c r="L1844" s="87"/>
      <c r="M1844" s="87"/>
      <c r="N1844" s="87"/>
      <c r="O1844" s="87"/>
      <c r="P1844" s="87"/>
      <c r="Q1844" s="87"/>
      <c r="R1844" s="87"/>
      <c r="S1844" s="87"/>
      <c r="T1844" s="87"/>
      <c r="U1844" s="88"/>
      <c r="V1844" s="89"/>
      <c r="W1844" s="96">
        <v>0</v>
      </c>
      <c r="X1844" s="71">
        <f>CU1844</f>
        <v>0</v>
      </c>
      <c r="Y1844" s="71">
        <f>CY1844</f>
        <v>0</v>
      </c>
      <c r="Z1844" s="71">
        <f>DA1844+DC1844+DE1844</f>
        <v>0</v>
      </c>
      <c r="AA1844" s="71">
        <f>CW1844</f>
        <v>0</v>
      </c>
      <c r="AB1844" s="71"/>
      <c r="AC1844" s="71">
        <v>0</v>
      </c>
      <c r="AD1844" s="71">
        <f>W1844+X1844+Y1844+Z1844+AA1844+AB1844+AC1844</f>
        <v>0</v>
      </c>
      <c r="AE1844" s="72">
        <v>0</v>
      </c>
      <c r="AF1844" s="5"/>
      <c r="AG1844" s="6"/>
      <c r="AH1844" s="27" t="s">
        <v>3392</v>
      </c>
      <c r="AI1844" s="44" t="s">
        <v>3393</v>
      </c>
      <c r="AJ1844" s="26"/>
      <c r="AK1844" s="5"/>
      <c r="AL1844" s="82" t="s">
        <v>4656</v>
      </c>
      <c r="AM1844" s="76"/>
      <c r="AN1844" s="76"/>
      <c r="AO1844" s="76"/>
      <c r="AP1844" s="76"/>
      <c r="AQ1844" s="76"/>
      <c r="AR1844" s="76"/>
      <c r="AS1844" s="76"/>
      <c r="AT1844" s="76"/>
      <c r="AU1844" s="76"/>
      <c r="AV1844" s="76"/>
      <c r="AW1844" s="76"/>
      <c r="AX1844" s="76">
        <f>+AW1844*600000</f>
        <v>0</v>
      </c>
      <c r="AY1844" s="76"/>
      <c r="AZ1844" s="76">
        <f>+AY1844*70000</f>
        <v>0</v>
      </c>
      <c r="BA1844" s="76"/>
      <c r="BB1844" s="76"/>
      <c r="BC1844" s="76"/>
      <c r="BD1844" s="76">
        <f>+BC1844*30000</f>
        <v>0</v>
      </c>
      <c r="BE1844" s="76"/>
      <c r="BF1844" s="76"/>
      <c r="BG1844" s="76"/>
      <c r="BH1844" s="76"/>
      <c r="BI1844" s="76"/>
      <c r="BJ1844" s="76"/>
      <c r="BK1844" s="76"/>
      <c r="BL1844" s="76">
        <f>+BK1844*31500</f>
        <v>0</v>
      </c>
      <c r="BM1844" s="76"/>
      <c r="BN1844" s="76"/>
      <c r="BO1844" s="76"/>
      <c r="BP1844" s="76"/>
      <c r="BQ1844" s="76"/>
      <c r="BR1844" s="76"/>
      <c r="BS1844" s="76"/>
      <c r="BT1844" s="76"/>
      <c r="BU1844" s="76"/>
      <c r="BV1844" s="76"/>
      <c r="BW1844" s="76"/>
      <c r="BX1844" s="76"/>
      <c r="BY1844" s="76"/>
      <c r="BZ1844" s="76"/>
      <c r="CA1844" s="76"/>
      <c r="CB1844" s="76"/>
      <c r="CC1844" s="76"/>
      <c r="CD1844" s="76"/>
      <c r="CE1844" s="76"/>
      <c r="CF1844" s="76">
        <f>+CE1844*28000</f>
        <v>0</v>
      </c>
      <c r="CG1844" s="76"/>
      <c r="CH1844" s="76">
        <f>+CG1844*22500</f>
        <v>0</v>
      </c>
      <c r="CI1844" s="76"/>
      <c r="CJ1844" s="76">
        <f>+CI1844*26000</f>
        <v>0</v>
      </c>
      <c r="CK1844" s="76"/>
      <c r="CL1844" s="76"/>
      <c r="CM1844" s="76"/>
      <c r="CN1844" s="76">
        <f>+CM1844*22000</f>
        <v>0</v>
      </c>
      <c r="CO1844" s="76"/>
      <c r="CP1844" s="76">
        <f>+CO1844*46000</f>
        <v>0</v>
      </c>
      <c r="CQ1844" s="76"/>
      <c r="CR1844" s="76">
        <f>+CQ1844*49000</f>
        <v>0</v>
      </c>
      <c r="CS1844" s="76"/>
      <c r="CT1844" s="76"/>
      <c r="CU1844" s="56">
        <f>AN1844+AP1844+AR1844+AT1844+AV1844+AX1844+AZ1844+BB1844+BD1844+BF1844+BH1844+BJ1844+BL1844+BN1844+BP1844+BR1844+BT1844+BV1844+BX1844+BZ1844+CB1844+CD1844+CF1844+CH1844+CJ1844+CL1844+CN1844+CP1844+CR1844+CT1844</f>
        <v>0</v>
      </c>
      <c r="CV1844" s="76"/>
      <c r="CW1844" s="76">
        <f>+CV1844*1100</f>
        <v>0</v>
      </c>
      <c r="CX1844" s="76"/>
      <c r="CY1844" s="76">
        <f>+CX1844*106250</f>
        <v>0</v>
      </c>
      <c r="CZ1844" s="76"/>
      <c r="DA1844" s="76">
        <f>+CZ1844*34500</f>
        <v>0</v>
      </c>
      <c r="DB1844" s="76"/>
      <c r="DC1844" s="76">
        <f>+DB1844*25000</f>
        <v>0</v>
      </c>
      <c r="DD1844" s="219"/>
      <c r="DE1844" s="219"/>
      <c r="DF1844" s="166"/>
      <c r="DG1844" s="116"/>
      <c r="DH1844" s="117"/>
      <c r="DI1844" s="24"/>
      <c r="DJ1844" s="24"/>
      <c r="DK1844" s="24"/>
      <c r="DL1844" s="24"/>
      <c r="DM1844" s="24"/>
      <c r="DN1844" s="24"/>
      <c r="DO1844" s="24"/>
      <c r="DP1844" s="24"/>
      <c r="DQ1844" s="24"/>
      <c r="DR1844" s="24"/>
      <c r="DS1844" s="24"/>
      <c r="DT1844" s="24"/>
      <c r="DU1844" s="24"/>
    </row>
    <row r="1845" spans="1:125" s="8" customFormat="1" ht="132" x14ac:dyDescent="0.2">
      <c r="A1845" s="77">
        <v>41413</v>
      </c>
      <c r="B1845" s="78" t="s">
        <v>2847</v>
      </c>
      <c r="C1845" s="75" t="s">
        <v>2673</v>
      </c>
      <c r="D1845" s="75" t="s">
        <v>3051</v>
      </c>
      <c r="E1845" s="75" t="str">
        <f>VLOOKUP(B1845&amp;C1845,Divipola!$C$2:$F$1138,4,FALSE)</f>
        <v>68001</v>
      </c>
      <c r="F1845" s="87"/>
      <c r="G1845" s="87"/>
      <c r="H1845" s="87"/>
      <c r="I1845" s="87"/>
      <c r="J1845" s="87"/>
      <c r="K1845" s="87"/>
      <c r="L1845" s="87"/>
      <c r="M1845" s="87"/>
      <c r="N1845" s="87"/>
      <c r="O1845" s="87"/>
      <c r="P1845" s="87"/>
      <c r="Q1845" s="87"/>
      <c r="R1845" s="87"/>
      <c r="S1845" s="87"/>
      <c r="T1845" s="87"/>
      <c r="U1845" s="88"/>
      <c r="V1845" s="89"/>
      <c r="W1845" s="96">
        <v>0</v>
      </c>
      <c r="X1845" s="71">
        <f>CU1845</f>
        <v>0</v>
      </c>
      <c r="Y1845" s="71">
        <f>CY1845</f>
        <v>0</v>
      </c>
      <c r="Z1845" s="71">
        <f>DA1845+DC1845+DE1845</f>
        <v>0</v>
      </c>
      <c r="AA1845" s="71">
        <f>CW1845</f>
        <v>0</v>
      </c>
      <c r="AB1845" s="71"/>
      <c r="AC1845" s="71">
        <v>0</v>
      </c>
      <c r="AD1845" s="71">
        <f>W1845+X1845+Y1845+Z1845+AA1845+AB1845+AC1845</f>
        <v>0</v>
      </c>
      <c r="AE1845" s="72">
        <v>0</v>
      </c>
      <c r="AF1845" s="5"/>
      <c r="AG1845" s="6"/>
      <c r="AH1845" s="27" t="s">
        <v>3392</v>
      </c>
      <c r="AI1845" s="44" t="s">
        <v>3393</v>
      </c>
      <c r="AJ1845" s="26"/>
      <c r="AK1845" s="5"/>
      <c r="AL1845" s="82" t="s">
        <v>4657</v>
      </c>
      <c r="AM1845" s="76"/>
      <c r="AN1845" s="76"/>
      <c r="AO1845" s="76"/>
      <c r="AP1845" s="76"/>
      <c r="AQ1845" s="76"/>
      <c r="AR1845" s="76"/>
      <c r="AS1845" s="76"/>
      <c r="AT1845" s="76"/>
      <c r="AU1845" s="76"/>
      <c r="AV1845" s="76"/>
      <c r="AW1845" s="76"/>
      <c r="AX1845" s="76">
        <f>+AW1845*600000</f>
        <v>0</v>
      </c>
      <c r="AY1845" s="76"/>
      <c r="AZ1845" s="76">
        <f>+AY1845*70000</f>
        <v>0</v>
      </c>
      <c r="BA1845" s="76"/>
      <c r="BB1845" s="76"/>
      <c r="BC1845" s="76"/>
      <c r="BD1845" s="76">
        <f>+BC1845*30000</f>
        <v>0</v>
      </c>
      <c r="BE1845" s="76"/>
      <c r="BF1845" s="76"/>
      <c r="BG1845" s="76"/>
      <c r="BH1845" s="76"/>
      <c r="BI1845" s="76"/>
      <c r="BJ1845" s="76"/>
      <c r="BK1845" s="76"/>
      <c r="BL1845" s="76">
        <f>+BK1845*31500</f>
        <v>0</v>
      </c>
      <c r="BM1845" s="76"/>
      <c r="BN1845" s="76"/>
      <c r="BO1845" s="76"/>
      <c r="BP1845" s="76"/>
      <c r="BQ1845" s="76"/>
      <c r="BR1845" s="76"/>
      <c r="BS1845" s="76"/>
      <c r="BT1845" s="76"/>
      <c r="BU1845" s="76"/>
      <c r="BV1845" s="76"/>
      <c r="BW1845" s="76"/>
      <c r="BX1845" s="76"/>
      <c r="BY1845" s="76"/>
      <c r="BZ1845" s="76"/>
      <c r="CA1845" s="76"/>
      <c r="CB1845" s="76"/>
      <c r="CC1845" s="76"/>
      <c r="CD1845" s="76"/>
      <c r="CE1845" s="76"/>
      <c r="CF1845" s="76">
        <f>+CE1845*28000</f>
        <v>0</v>
      </c>
      <c r="CG1845" s="76"/>
      <c r="CH1845" s="76">
        <f>+CG1845*22500</f>
        <v>0</v>
      </c>
      <c r="CI1845" s="76"/>
      <c r="CJ1845" s="76">
        <f>+CI1845*26000</f>
        <v>0</v>
      </c>
      <c r="CK1845" s="76"/>
      <c r="CL1845" s="76"/>
      <c r="CM1845" s="76"/>
      <c r="CN1845" s="76">
        <f>+CM1845*22000</f>
        <v>0</v>
      </c>
      <c r="CO1845" s="76"/>
      <c r="CP1845" s="76">
        <f>+CO1845*46000</f>
        <v>0</v>
      </c>
      <c r="CQ1845" s="76"/>
      <c r="CR1845" s="76">
        <f>+CQ1845*49000</f>
        <v>0</v>
      </c>
      <c r="CS1845" s="76"/>
      <c r="CT1845" s="76"/>
      <c r="CU1845" s="56">
        <f>AN1845+AP1845+AR1845+AT1845+AV1845+AX1845+AZ1845+BB1845+BD1845+BF1845+BH1845+BJ1845+BL1845+BN1845+BP1845+BR1845+BT1845+BV1845+BX1845+BZ1845+CB1845+CD1845+CF1845+CH1845+CJ1845+CL1845+CN1845+CP1845+CR1845+CT1845</f>
        <v>0</v>
      </c>
      <c r="CV1845" s="76"/>
      <c r="CW1845" s="76">
        <f>+CV1845*1100</f>
        <v>0</v>
      </c>
      <c r="CX1845" s="76"/>
      <c r="CY1845" s="76">
        <f>+CX1845*106250</f>
        <v>0</v>
      </c>
      <c r="CZ1845" s="76"/>
      <c r="DA1845" s="76">
        <f>+CZ1845*34500</f>
        <v>0</v>
      </c>
      <c r="DB1845" s="76"/>
      <c r="DC1845" s="76">
        <f>+DB1845*25000</f>
        <v>0</v>
      </c>
      <c r="DD1845" s="219"/>
      <c r="DE1845" s="219"/>
      <c r="DF1845" s="166"/>
      <c r="DG1845" s="116"/>
      <c r="DH1845" s="117"/>
      <c r="DI1845" s="24"/>
      <c r="DJ1845" s="24"/>
      <c r="DK1845" s="24"/>
      <c r="DL1845" s="24"/>
      <c r="DM1845" s="24"/>
      <c r="DN1845" s="24"/>
      <c r="DO1845" s="24"/>
      <c r="DP1845" s="24"/>
      <c r="DQ1845" s="24"/>
      <c r="DR1845" s="24"/>
      <c r="DS1845" s="24"/>
      <c r="DT1845" s="24"/>
      <c r="DU1845" s="24"/>
    </row>
    <row r="1846" spans="1:125" s="8" customFormat="1" ht="144" x14ac:dyDescent="0.2">
      <c r="A1846" s="226">
        <v>41413</v>
      </c>
      <c r="B1846" s="225" t="s">
        <v>2847</v>
      </c>
      <c r="C1846" s="227" t="s">
        <v>334</v>
      </c>
      <c r="D1846" s="227" t="s">
        <v>2882</v>
      </c>
      <c r="E1846" s="75" t="str">
        <f>VLOOKUP(B1846&amp;C1846,Divipola!$C$2:$F$1138,4,FALSE)</f>
        <v>68217</v>
      </c>
      <c r="F1846" s="87"/>
      <c r="G1846" s="87"/>
      <c r="H1846" s="87"/>
      <c r="I1846" s="87"/>
      <c r="J1846" s="87"/>
      <c r="K1846" s="87"/>
      <c r="L1846" s="87"/>
      <c r="M1846" s="87"/>
      <c r="N1846" s="87">
        <v>1</v>
      </c>
      <c r="O1846" s="87">
        <v>4</v>
      </c>
      <c r="P1846" s="87"/>
      <c r="Q1846" s="87"/>
      <c r="R1846" s="87"/>
      <c r="S1846" s="87"/>
      <c r="T1846" s="87"/>
      <c r="U1846" s="88"/>
      <c r="V1846" s="89"/>
      <c r="W1846" s="96">
        <v>0</v>
      </c>
      <c r="X1846" s="71">
        <f>CU1846</f>
        <v>0</v>
      </c>
      <c r="Y1846" s="71">
        <f>CY1846</f>
        <v>0</v>
      </c>
      <c r="Z1846" s="71">
        <f>DA1846+DC1846+DE1846</f>
        <v>0</v>
      </c>
      <c r="AA1846" s="71">
        <f>CW1846</f>
        <v>0</v>
      </c>
      <c r="AB1846" s="71"/>
      <c r="AC1846" s="71">
        <v>0</v>
      </c>
      <c r="AD1846" s="71">
        <f>W1846+X1846+Y1846+Z1846+AA1846+AB1846+AC1846</f>
        <v>0</v>
      </c>
      <c r="AE1846" s="72">
        <v>0</v>
      </c>
      <c r="AF1846" s="5"/>
      <c r="AG1846" s="6"/>
      <c r="AH1846" s="27" t="s">
        <v>3392</v>
      </c>
      <c r="AI1846" s="44" t="s">
        <v>3393</v>
      </c>
      <c r="AJ1846" s="26"/>
      <c r="AK1846" s="5"/>
      <c r="AL1846" s="82" t="s">
        <v>4672</v>
      </c>
      <c r="AM1846" s="76"/>
      <c r="AN1846" s="76"/>
      <c r="AO1846" s="76"/>
      <c r="AP1846" s="76"/>
      <c r="AQ1846" s="76"/>
      <c r="AR1846" s="76"/>
      <c r="AS1846" s="76"/>
      <c r="AT1846" s="76"/>
      <c r="AU1846" s="76"/>
      <c r="AV1846" s="76"/>
      <c r="AW1846" s="76"/>
      <c r="AX1846" s="76">
        <f>+AW1846*600000</f>
        <v>0</v>
      </c>
      <c r="AY1846" s="76"/>
      <c r="AZ1846" s="76">
        <f>+AY1846*70000</f>
        <v>0</v>
      </c>
      <c r="BA1846" s="76"/>
      <c r="BB1846" s="76"/>
      <c r="BC1846" s="76"/>
      <c r="BD1846" s="76">
        <f>+BC1846*30000</f>
        <v>0</v>
      </c>
      <c r="BE1846" s="76"/>
      <c r="BF1846" s="76"/>
      <c r="BG1846" s="76"/>
      <c r="BH1846" s="76"/>
      <c r="BI1846" s="76"/>
      <c r="BJ1846" s="76"/>
      <c r="BK1846" s="76"/>
      <c r="BL1846" s="76">
        <f>+BK1846*31500</f>
        <v>0</v>
      </c>
      <c r="BM1846" s="76"/>
      <c r="BN1846" s="76"/>
      <c r="BO1846" s="76"/>
      <c r="BP1846" s="76"/>
      <c r="BQ1846" s="76"/>
      <c r="BR1846" s="76"/>
      <c r="BS1846" s="76"/>
      <c r="BT1846" s="76"/>
      <c r="BU1846" s="76"/>
      <c r="BV1846" s="76"/>
      <c r="BW1846" s="76"/>
      <c r="BX1846" s="76"/>
      <c r="BY1846" s="76"/>
      <c r="BZ1846" s="76"/>
      <c r="CA1846" s="76"/>
      <c r="CB1846" s="76"/>
      <c r="CC1846" s="76"/>
      <c r="CD1846" s="76"/>
      <c r="CE1846" s="76"/>
      <c r="CF1846" s="76">
        <f>+CE1846*28000</f>
        <v>0</v>
      </c>
      <c r="CG1846" s="76"/>
      <c r="CH1846" s="76">
        <f>+CG1846*22500</f>
        <v>0</v>
      </c>
      <c r="CI1846" s="76"/>
      <c r="CJ1846" s="76">
        <f>+CI1846*26000</f>
        <v>0</v>
      </c>
      <c r="CK1846" s="76"/>
      <c r="CL1846" s="76"/>
      <c r="CM1846" s="76"/>
      <c r="CN1846" s="76">
        <f>+CM1846*22000</f>
        <v>0</v>
      </c>
      <c r="CO1846" s="76"/>
      <c r="CP1846" s="76">
        <f>+CO1846*46000</f>
        <v>0</v>
      </c>
      <c r="CQ1846" s="76"/>
      <c r="CR1846" s="76">
        <f>+CQ1846*49000</f>
        <v>0</v>
      </c>
      <c r="CS1846" s="76"/>
      <c r="CT1846" s="76"/>
      <c r="CU1846" s="56">
        <f>AN1846+AP1846+AR1846+AT1846+AV1846+AX1846+AZ1846+BB1846+BD1846+BF1846+BH1846+BJ1846+BL1846+BN1846+BP1846+BR1846+BT1846+BV1846+BX1846+BZ1846+CB1846+CD1846+CF1846+CH1846+CJ1846+CL1846+CN1846+CP1846+CR1846+CT1846</f>
        <v>0</v>
      </c>
      <c r="CV1846" s="76"/>
      <c r="CW1846" s="76">
        <f>+CV1846*1100</f>
        <v>0</v>
      </c>
      <c r="CX1846" s="76"/>
      <c r="CY1846" s="76">
        <f>+CX1846*106250</f>
        <v>0</v>
      </c>
      <c r="CZ1846" s="76"/>
      <c r="DA1846" s="76">
        <f>+CZ1846*34500</f>
        <v>0</v>
      </c>
      <c r="DB1846" s="76"/>
      <c r="DC1846" s="76">
        <f>+DB1846*25000</f>
        <v>0</v>
      </c>
      <c r="DD1846" s="219"/>
      <c r="DE1846" s="219"/>
      <c r="DF1846" s="166"/>
      <c r="DG1846" s="116"/>
      <c r="DH1846" s="117"/>
      <c r="DI1846" s="24"/>
      <c r="DJ1846" s="24"/>
      <c r="DK1846" s="24"/>
      <c r="DL1846" s="24"/>
      <c r="DM1846" s="24"/>
      <c r="DN1846" s="24"/>
      <c r="DO1846" s="24"/>
      <c r="DP1846" s="24"/>
      <c r="DQ1846" s="24"/>
      <c r="DR1846" s="24"/>
      <c r="DS1846" s="24"/>
      <c r="DT1846" s="24"/>
      <c r="DU1846" s="24"/>
    </row>
    <row r="1847" spans="1:125" s="8" customFormat="1" ht="72" x14ac:dyDescent="0.2">
      <c r="A1847" s="226">
        <v>41413</v>
      </c>
      <c r="B1847" s="225" t="s">
        <v>2848</v>
      </c>
      <c r="C1847" s="227" t="s">
        <v>2211</v>
      </c>
      <c r="D1847" s="227" t="s">
        <v>3051</v>
      </c>
      <c r="E1847" s="75" t="str">
        <f>VLOOKUP(B1847&amp;C1847,Divipola!$C$2:$F$1138,4,FALSE)</f>
        <v>73861</v>
      </c>
      <c r="F1847" s="87"/>
      <c r="G1847" s="87"/>
      <c r="H1847" s="87"/>
      <c r="I1847" s="87">
        <v>32</v>
      </c>
      <c r="J1847" s="87">
        <v>9</v>
      </c>
      <c r="K1847" s="87"/>
      <c r="L1847" s="87">
        <v>5</v>
      </c>
      <c r="M1847" s="87"/>
      <c r="N1847" s="87"/>
      <c r="O1847" s="87"/>
      <c r="P1847" s="87"/>
      <c r="Q1847" s="87"/>
      <c r="R1847" s="87"/>
      <c r="S1847" s="87"/>
      <c r="T1847" s="87"/>
      <c r="U1847" s="88"/>
      <c r="V1847" s="89"/>
      <c r="W1847" s="96">
        <v>0</v>
      </c>
      <c r="X1847" s="71">
        <f>CU1847</f>
        <v>0</v>
      </c>
      <c r="Y1847" s="71">
        <f>CY1847</f>
        <v>0</v>
      </c>
      <c r="Z1847" s="71">
        <f>DA1847+DC1847+DE1847</f>
        <v>0</v>
      </c>
      <c r="AA1847" s="71">
        <f>CW1847</f>
        <v>0</v>
      </c>
      <c r="AB1847" s="71"/>
      <c r="AC1847" s="71">
        <v>0</v>
      </c>
      <c r="AD1847" s="71">
        <f>W1847+X1847+Y1847+Z1847+AA1847+AB1847+AC1847</f>
        <v>0</v>
      </c>
      <c r="AE1847" s="72">
        <v>0</v>
      </c>
      <c r="AF1847" s="5"/>
      <c r="AG1847" s="6"/>
      <c r="AH1847" s="27" t="s">
        <v>3392</v>
      </c>
      <c r="AI1847" s="44" t="s">
        <v>3393</v>
      </c>
      <c r="AJ1847" s="26"/>
      <c r="AK1847" s="5"/>
      <c r="AL1847" s="82" t="s">
        <v>4654</v>
      </c>
      <c r="AM1847" s="76"/>
      <c r="AN1847" s="76"/>
      <c r="AO1847" s="76"/>
      <c r="AP1847" s="76"/>
      <c r="AQ1847" s="76"/>
      <c r="AR1847" s="76"/>
      <c r="AS1847" s="76"/>
      <c r="AT1847" s="76"/>
      <c r="AU1847" s="76"/>
      <c r="AV1847" s="76"/>
      <c r="AW1847" s="76"/>
      <c r="AX1847" s="76">
        <f>+AW1847*600000</f>
        <v>0</v>
      </c>
      <c r="AY1847" s="76"/>
      <c r="AZ1847" s="76">
        <f>+AY1847*70000</f>
        <v>0</v>
      </c>
      <c r="BA1847" s="76"/>
      <c r="BB1847" s="76"/>
      <c r="BC1847" s="76"/>
      <c r="BD1847" s="76">
        <f>+BC1847*30000</f>
        <v>0</v>
      </c>
      <c r="BE1847" s="76"/>
      <c r="BF1847" s="76"/>
      <c r="BG1847" s="76"/>
      <c r="BH1847" s="76"/>
      <c r="BI1847" s="76"/>
      <c r="BJ1847" s="76"/>
      <c r="BK1847" s="76"/>
      <c r="BL1847" s="76">
        <f>+BK1847*31500</f>
        <v>0</v>
      </c>
      <c r="BM1847" s="76"/>
      <c r="BN1847" s="76"/>
      <c r="BO1847" s="76"/>
      <c r="BP1847" s="76"/>
      <c r="BQ1847" s="76"/>
      <c r="BR1847" s="76"/>
      <c r="BS1847" s="76"/>
      <c r="BT1847" s="76"/>
      <c r="BU1847" s="76"/>
      <c r="BV1847" s="76"/>
      <c r="BW1847" s="76"/>
      <c r="BX1847" s="76"/>
      <c r="BY1847" s="76"/>
      <c r="BZ1847" s="76"/>
      <c r="CA1847" s="76"/>
      <c r="CB1847" s="76"/>
      <c r="CC1847" s="76"/>
      <c r="CD1847" s="76"/>
      <c r="CE1847" s="76"/>
      <c r="CF1847" s="76">
        <f>+CE1847*28000</f>
        <v>0</v>
      </c>
      <c r="CG1847" s="76"/>
      <c r="CH1847" s="76">
        <f>+CG1847*22500</f>
        <v>0</v>
      </c>
      <c r="CI1847" s="76"/>
      <c r="CJ1847" s="76">
        <f>+CI1847*26000</f>
        <v>0</v>
      </c>
      <c r="CK1847" s="76"/>
      <c r="CL1847" s="76"/>
      <c r="CM1847" s="76"/>
      <c r="CN1847" s="76">
        <f>+CM1847*22000</f>
        <v>0</v>
      </c>
      <c r="CO1847" s="76"/>
      <c r="CP1847" s="76">
        <f>+CO1847*46000</f>
        <v>0</v>
      </c>
      <c r="CQ1847" s="76"/>
      <c r="CR1847" s="76">
        <f>+CQ1847*49000</f>
        <v>0</v>
      </c>
      <c r="CS1847" s="76"/>
      <c r="CT1847" s="76"/>
      <c r="CU1847" s="56">
        <f>AN1847+AP1847+AR1847+AT1847+AV1847+AX1847+AZ1847+BB1847+BD1847+BF1847+BH1847+BJ1847+BL1847+BN1847+BP1847+BR1847+BT1847+BV1847+BX1847+BZ1847+CB1847+CD1847+CF1847+CH1847+CJ1847+CL1847+CN1847+CP1847+CR1847+CT1847</f>
        <v>0</v>
      </c>
      <c r="CV1847" s="76"/>
      <c r="CW1847" s="76">
        <f>+CV1847*1100</f>
        <v>0</v>
      </c>
      <c r="CX1847" s="76"/>
      <c r="CY1847" s="76">
        <f>+CX1847*106250</f>
        <v>0</v>
      </c>
      <c r="CZ1847" s="76"/>
      <c r="DA1847" s="76">
        <f>+CZ1847*34500</f>
        <v>0</v>
      </c>
      <c r="DB1847" s="76"/>
      <c r="DC1847" s="76">
        <f>+DB1847*25000</f>
        <v>0</v>
      </c>
      <c r="DD1847" s="219"/>
      <c r="DE1847" s="219"/>
      <c r="DF1847" s="166"/>
      <c r="DG1847" s="116"/>
      <c r="DH1847" s="117"/>
      <c r="DI1847" s="24"/>
      <c r="DJ1847" s="24"/>
      <c r="DK1847" s="24"/>
      <c r="DL1847" s="24"/>
      <c r="DM1847" s="24"/>
      <c r="DN1847" s="24"/>
      <c r="DO1847" s="24"/>
      <c r="DP1847" s="24"/>
      <c r="DQ1847" s="24"/>
      <c r="DR1847" s="24"/>
      <c r="DS1847" s="24"/>
      <c r="DT1847" s="24"/>
      <c r="DU1847" s="24"/>
    </row>
    <row r="1848" spans="1:125" s="8" customFormat="1" ht="36" x14ac:dyDescent="0.2">
      <c r="A1848" s="353">
        <v>41414</v>
      </c>
      <c r="B1848" s="352" t="s">
        <v>2894</v>
      </c>
      <c r="C1848" s="354" t="s">
        <v>2780</v>
      </c>
      <c r="D1848" s="354" t="s">
        <v>2849</v>
      </c>
      <c r="E1848" s="75" t="str">
        <f>VLOOKUP(B1848&amp;C1848,Divipola!$C$2:$F$1138,4,FALSE)</f>
        <v>05031</v>
      </c>
      <c r="F1848" s="87">
        <v>1</v>
      </c>
      <c r="G1848" s="87">
        <v>1</v>
      </c>
      <c r="H1848" s="87"/>
      <c r="I1848" s="87"/>
      <c r="J1848" s="87"/>
      <c r="K1848" s="87"/>
      <c r="L1848" s="87"/>
      <c r="M1848" s="87"/>
      <c r="N1848" s="87"/>
      <c r="O1848" s="87"/>
      <c r="P1848" s="87"/>
      <c r="Q1848" s="87"/>
      <c r="R1848" s="87"/>
      <c r="S1848" s="87"/>
      <c r="T1848" s="87"/>
      <c r="U1848" s="88"/>
      <c r="V1848" s="89"/>
      <c r="W1848" s="96">
        <v>0</v>
      </c>
      <c r="X1848" s="71">
        <f>CU1848</f>
        <v>0</v>
      </c>
      <c r="Y1848" s="71">
        <f>CY1848</f>
        <v>0</v>
      </c>
      <c r="Z1848" s="71">
        <f>DA1848+DC1848+DE1848</f>
        <v>0</v>
      </c>
      <c r="AA1848" s="71">
        <f>CW1848</f>
        <v>0</v>
      </c>
      <c r="AB1848" s="71"/>
      <c r="AC1848" s="71">
        <v>0</v>
      </c>
      <c r="AD1848" s="71">
        <f>W1848+X1848+Y1848+Z1848+AA1848+AB1848+AC1848</f>
        <v>0</v>
      </c>
      <c r="AE1848" s="72">
        <v>0</v>
      </c>
      <c r="AF1848" s="5"/>
      <c r="AG1848" s="6"/>
      <c r="AH1848" s="27" t="s">
        <v>3392</v>
      </c>
      <c r="AI1848" s="44" t="s">
        <v>3393</v>
      </c>
      <c r="AJ1848" s="26"/>
      <c r="AK1848" s="5"/>
      <c r="AL1848" s="82" t="s">
        <v>4669</v>
      </c>
      <c r="AM1848" s="76"/>
      <c r="AN1848" s="76"/>
      <c r="AO1848" s="76"/>
      <c r="AP1848" s="76"/>
      <c r="AQ1848" s="76"/>
      <c r="AR1848" s="76"/>
      <c r="AS1848" s="76"/>
      <c r="AT1848" s="76"/>
      <c r="AU1848" s="76"/>
      <c r="AV1848" s="76"/>
      <c r="AW1848" s="76"/>
      <c r="AX1848" s="76">
        <f>+AW1848*600000</f>
        <v>0</v>
      </c>
      <c r="AY1848" s="76"/>
      <c r="AZ1848" s="76">
        <f>+AY1848*70000</f>
        <v>0</v>
      </c>
      <c r="BA1848" s="76"/>
      <c r="BB1848" s="76"/>
      <c r="BC1848" s="76"/>
      <c r="BD1848" s="76">
        <f>+BC1848*30000</f>
        <v>0</v>
      </c>
      <c r="BE1848" s="76"/>
      <c r="BF1848" s="76"/>
      <c r="BG1848" s="76"/>
      <c r="BH1848" s="76"/>
      <c r="BI1848" s="76"/>
      <c r="BJ1848" s="76"/>
      <c r="BK1848" s="76"/>
      <c r="BL1848" s="76">
        <f>+BK1848*31500</f>
        <v>0</v>
      </c>
      <c r="BM1848" s="76"/>
      <c r="BN1848" s="76"/>
      <c r="BO1848" s="76"/>
      <c r="BP1848" s="76"/>
      <c r="BQ1848" s="76"/>
      <c r="BR1848" s="76"/>
      <c r="BS1848" s="76"/>
      <c r="BT1848" s="76"/>
      <c r="BU1848" s="76"/>
      <c r="BV1848" s="76"/>
      <c r="BW1848" s="76"/>
      <c r="BX1848" s="76"/>
      <c r="BY1848" s="76"/>
      <c r="BZ1848" s="76"/>
      <c r="CA1848" s="76"/>
      <c r="CB1848" s="76"/>
      <c r="CC1848" s="76"/>
      <c r="CD1848" s="76"/>
      <c r="CE1848" s="76"/>
      <c r="CF1848" s="76">
        <f>+CE1848*28000</f>
        <v>0</v>
      </c>
      <c r="CG1848" s="76"/>
      <c r="CH1848" s="76">
        <f>+CG1848*22500</f>
        <v>0</v>
      </c>
      <c r="CI1848" s="76"/>
      <c r="CJ1848" s="76">
        <f>+CI1848*26000</f>
        <v>0</v>
      </c>
      <c r="CK1848" s="76"/>
      <c r="CL1848" s="76"/>
      <c r="CM1848" s="76"/>
      <c r="CN1848" s="76">
        <f>+CM1848*22000</f>
        <v>0</v>
      </c>
      <c r="CO1848" s="76"/>
      <c r="CP1848" s="76">
        <f>+CO1848*46000</f>
        <v>0</v>
      </c>
      <c r="CQ1848" s="76"/>
      <c r="CR1848" s="76">
        <f>+CQ1848*49000</f>
        <v>0</v>
      </c>
      <c r="CS1848" s="76"/>
      <c r="CT1848" s="76"/>
      <c r="CU1848" s="56">
        <f>AN1848+AP1848+AR1848+AT1848+AV1848+AX1848+AZ1848+BB1848+BD1848+BF1848+BH1848+BJ1848+BL1848+BN1848+BP1848+BR1848+BT1848+BV1848+BX1848+BZ1848+CB1848+CD1848+CF1848+CH1848+CJ1848+CL1848+CN1848+CP1848+CR1848+CT1848</f>
        <v>0</v>
      </c>
      <c r="CV1848" s="76"/>
      <c r="CW1848" s="76">
        <f>+CV1848*1100</f>
        <v>0</v>
      </c>
      <c r="CX1848" s="76"/>
      <c r="CY1848" s="76">
        <f>+CX1848*106250</f>
        <v>0</v>
      </c>
      <c r="CZ1848" s="76"/>
      <c r="DA1848" s="76">
        <f>+CZ1848*34500</f>
        <v>0</v>
      </c>
      <c r="DB1848" s="76"/>
      <c r="DC1848" s="76">
        <f>+DB1848*25000</f>
        <v>0</v>
      </c>
      <c r="DD1848" s="219"/>
      <c r="DE1848" s="219"/>
      <c r="DF1848" s="166"/>
      <c r="DG1848" s="116"/>
      <c r="DH1848" s="117"/>
      <c r="DI1848" s="24"/>
      <c r="DJ1848" s="24"/>
      <c r="DK1848" s="24"/>
      <c r="DL1848" s="24"/>
      <c r="DM1848" s="24"/>
      <c r="DN1848" s="24"/>
      <c r="DO1848" s="24"/>
      <c r="DP1848" s="24"/>
      <c r="DQ1848" s="24"/>
      <c r="DR1848" s="24"/>
      <c r="DS1848" s="24"/>
      <c r="DT1848" s="24"/>
      <c r="DU1848" s="24"/>
    </row>
    <row r="1849" spans="1:125" s="8" customFormat="1" ht="72" x14ac:dyDescent="0.2">
      <c r="A1849" s="77">
        <v>41414</v>
      </c>
      <c r="B1849" s="78" t="s">
        <v>2894</v>
      </c>
      <c r="C1849" s="75" t="s">
        <v>2210</v>
      </c>
      <c r="D1849" s="75" t="s">
        <v>3051</v>
      </c>
      <c r="E1849" s="75" t="str">
        <f>VLOOKUP(B1849&amp;C1849,Divipola!$C$2:$F$1138,4,FALSE)</f>
        <v>05579</v>
      </c>
      <c r="F1849" s="87"/>
      <c r="G1849" s="87"/>
      <c r="H1849" s="87"/>
      <c r="I1849" s="87">
        <v>50</v>
      </c>
      <c r="J1849" s="87">
        <v>10</v>
      </c>
      <c r="K1849" s="87">
        <v>3</v>
      </c>
      <c r="L1849" s="87">
        <v>7</v>
      </c>
      <c r="M1849" s="87"/>
      <c r="N1849" s="87"/>
      <c r="O1849" s="87"/>
      <c r="P1849" s="87"/>
      <c r="Q1849" s="87"/>
      <c r="R1849" s="87"/>
      <c r="S1849" s="87"/>
      <c r="T1849" s="87"/>
      <c r="U1849" s="88"/>
      <c r="V1849" s="89"/>
      <c r="W1849" s="96">
        <v>0</v>
      </c>
      <c r="X1849" s="71">
        <f>CU1849</f>
        <v>0</v>
      </c>
      <c r="Y1849" s="71">
        <f>CY1849</f>
        <v>0</v>
      </c>
      <c r="Z1849" s="71">
        <f>DA1849+DC1849+DE1849</f>
        <v>0</v>
      </c>
      <c r="AA1849" s="71">
        <f>CW1849</f>
        <v>0</v>
      </c>
      <c r="AB1849" s="71"/>
      <c r="AC1849" s="71">
        <v>0</v>
      </c>
      <c r="AD1849" s="71">
        <f>W1849+X1849+Y1849+Z1849+AA1849+AB1849+AC1849</f>
        <v>0</v>
      </c>
      <c r="AE1849" s="72">
        <v>0</v>
      </c>
      <c r="AF1849" s="5"/>
      <c r="AG1849" s="6"/>
      <c r="AH1849" s="27" t="s">
        <v>3392</v>
      </c>
      <c r="AI1849" s="44" t="s">
        <v>3393</v>
      </c>
      <c r="AJ1849" s="26"/>
      <c r="AK1849" s="5"/>
      <c r="AL1849" s="82" t="s">
        <v>4673</v>
      </c>
      <c r="AM1849" s="76"/>
      <c r="AN1849" s="76"/>
      <c r="AO1849" s="76"/>
      <c r="AP1849" s="76"/>
      <c r="AQ1849" s="76"/>
      <c r="AR1849" s="76"/>
      <c r="AS1849" s="76"/>
      <c r="AT1849" s="76"/>
      <c r="AU1849" s="76"/>
      <c r="AV1849" s="76"/>
      <c r="AW1849" s="76"/>
      <c r="AX1849" s="76">
        <f>+AW1849*600000</f>
        <v>0</v>
      </c>
      <c r="AY1849" s="76"/>
      <c r="AZ1849" s="76">
        <f>+AY1849*70000</f>
        <v>0</v>
      </c>
      <c r="BA1849" s="76"/>
      <c r="BB1849" s="76"/>
      <c r="BC1849" s="76"/>
      <c r="BD1849" s="76">
        <f>+BC1849*30000</f>
        <v>0</v>
      </c>
      <c r="BE1849" s="76"/>
      <c r="BF1849" s="76"/>
      <c r="BG1849" s="76"/>
      <c r="BH1849" s="76"/>
      <c r="BI1849" s="76"/>
      <c r="BJ1849" s="76"/>
      <c r="BK1849" s="76"/>
      <c r="BL1849" s="76">
        <f>+BK1849*31500</f>
        <v>0</v>
      </c>
      <c r="BM1849" s="76"/>
      <c r="BN1849" s="76"/>
      <c r="BO1849" s="76"/>
      <c r="BP1849" s="76"/>
      <c r="BQ1849" s="76"/>
      <c r="BR1849" s="76"/>
      <c r="BS1849" s="76"/>
      <c r="BT1849" s="76"/>
      <c r="BU1849" s="76"/>
      <c r="BV1849" s="76"/>
      <c r="BW1849" s="76"/>
      <c r="BX1849" s="76"/>
      <c r="BY1849" s="76"/>
      <c r="BZ1849" s="76"/>
      <c r="CA1849" s="76"/>
      <c r="CB1849" s="76"/>
      <c r="CC1849" s="76"/>
      <c r="CD1849" s="76"/>
      <c r="CE1849" s="76"/>
      <c r="CF1849" s="76">
        <f>+CE1849*28000</f>
        <v>0</v>
      </c>
      <c r="CG1849" s="76"/>
      <c r="CH1849" s="76">
        <f>+CG1849*22500</f>
        <v>0</v>
      </c>
      <c r="CI1849" s="76"/>
      <c r="CJ1849" s="76">
        <f>+CI1849*26000</f>
        <v>0</v>
      </c>
      <c r="CK1849" s="76"/>
      <c r="CL1849" s="76"/>
      <c r="CM1849" s="76"/>
      <c r="CN1849" s="76">
        <f>+CM1849*22000</f>
        <v>0</v>
      </c>
      <c r="CO1849" s="76"/>
      <c r="CP1849" s="76">
        <f>+CO1849*46000</f>
        <v>0</v>
      </c>
      <c r="CQ1849" s="76"/>
      <c r="CR1849" s="76">
        <f>+CQ1849*49000</f>
        <v>0</v>
      </c>
      <c r="CS1849" s="76"/>
      <c r="CT1849" s="76"/>
      <c r="CU1849" s="56">
        <f>AN1849+AP1849+AR1849+AT1849+AV1849+AX1849+AZ1849+BB1849+BD1849+BF1849+BH1849+BJ1849+BL1849+BN1849+BP1849+BR1849+BT1849+BV1849+BX1849+BZ1849+CB1849+CD1849+CF1849+CH1849+CJ1849+CL1849+CN1849+CP1849+CR1849+CT1849</f>
        <v>0</v>
      </c>
      <c r="CV1849" s="76"/>
      <c r="CW1849" s="76">
        <f>+CV1849*1100</f>
        <v>0</v>
      </c>
      <c r="CX1849" s="76"/>
      <c r="CY1849" s="76">
        <f>+CX1849*106250</f>
        <v>0</v>
      </c>
      <c r="CZ1849" s="76"/>
      <c r="DA1849" s="76">
        <f>+CZ1849*34500</f>
        <v>0</v>
      </c>
      <c r="DB1849" s="76"/>
      <c r="DC1849" s="76">
        <f>+DB1849*25000</f>
        <v>0</v>
      </c>
      <c r="DD1849" s="219"/>
      <c r="DE1849" s="219"/>
      <c r="DF1849" s="166"/>
      <c r="DG1849" s="116"/>
      <c r="DH1849" s="117"/>
      <c r="DI1849" s="24"/>
      <c r="DJ1849" s="24"/>
      <c r="DK1849" s="24"/>
      <c r="DL1849" s="24"/>
      <c r="DM1849" s="24"/>
      <c r="DN1849" s="24"/>
      <c r="DO1849" s="24"/>
      <c r="DP1849" s="24"/>
      <c r="DQ1849" s="24"/>
      <c r="DR1849" s="24"/>
      <c r="DS1849" s="24"/>
      <c r="DT1849" s="24"/>
      <c r="DU1849" s="24"/>
    </row>
    <row r="1850" spans="1:125" s="8" customFormat="1" ht="36" x14ac:dyDescent="0.2">
      <c r="A1850" s="353">
        <v>41414</v>
      </c>
      <c r="B1850" s="352" t="s">
        <v>2881</v>
      </c>
      <c r="C1850" s="354" t="s">
        <v>1439</v>
      </c>
      <c r="D1850" s="354" t="s">
        <v>2882</v>
      </c>
      <c r="E1850" s="75" t="str">
        <f>VLOOKUP(B1850&amp;C1850,Divipola!$C$2:$F$1138,4,FALSE)</f>
        <v>08675</v>
      </c>
      <c r="F1850" s="87"/>
      <c r="G1850" s="87"/>
      <c r="H1850" s="87"/>
      <c r="I1850" s="87"/>
      <c r="J1850" s="87"/>
      <c r="K1850" s="87"/>
      <c r="L1850" s="87"/>
      <c r="M1850" s="87"/>
      <c r="N1850" s="87"/>
      <c r="O1850" s="87"/>
      <c r="P1850" s="87"/>
      <c r="Q1850" s="87"/>
      <c r="R1850" s="87"/>
      <c r="S1850" s="87"/>
      <c r="T1850" s="87"/>
      <c r="U1850" s="88"/>
      <c r="V1850" s="89"/>
      <c r="W1850" s="96">
        <v>0</v>
      </c>
      <c r="X1850" s="71">
        <f>CU1850</f>
        <v>0</v>
      </c>
      <c r="Y1850" s="71">
        <f>CY1850</f>
        <v>0</v>
      </c>
      <c r="Z1850" s="71">
        <f>DA1850+DC1850+DE1850</f>
        <v>0</v>
      </c>
      <c r="AA1850" s="71">
        <f>CW1850</f>
        <v>0</v>
      </c>
      <c r="AB1850" s="71"/>
      <c r="AC1850" s="71">
        <v>0</v>
      </c>
      <c r="AD1850" s="71">
        <f>W1850+X1850+Y1850+Z1850+AA1850+AB1850+AC1850</f>
        <v>0</v>
      </c>
      <c r="AE1850" s="72">
        <v>0</v>
      </c>
      <c r="AF1850" s="5"/>
      <c r="AG1850" s="6"/>
      <c r="AH1850" s="27" t="s">
        <v>3392</v>
      </c>
      <c r="AI1850" s="44" t="s">
        <v>3393</v>
      </c>
      <c r="AJ1850" s="26"/>
      <c r="AK1850" s="5"/>
      <c r="AL1850" s="82" t="s">
        <v>4668</v>
      </c>
      <c r="AM1850" s="76"/>
      <c r="AN1850" s="76"/>
      <c r="AO1850" s="76"/>
      <c r="AP1850" s="76"/>
      <c r="AQ1850" s="76"/>
      <c r="AR1850" s="76"/>
      <c r="AS1850" s="76"/>
      <c r="AT1850" s="76"/>
      <c r="AU1850" s="76"/>
      <c r="AV1850" s="76"/>
      <c r="AW1850" s="76"/>
      <c r="AX1850" s="76">
        <f>+AW1850*600000</f>
        <v>0</v>
      </c>
      <c r="AY1850" s="76"/>
      <c r="AZ1850" s="76">
        <f>+AY1850*70000</f>
        <v>0</v>
      </c>
      <c r="BA1850" s="76"/>
      <c r="BB1850" s="76"/>
      <c r="BC1850" s="76"/>
      <c r="BD1850" s="76">
        <f>+BC1850*30000</f>
        <v>0</v>
      </c>
      <c r="BE1850" s="76"/>
      <c r="BF1850" s="76"/>
      <c r="BG1850" s="76"/>
      <c r="BH1850" s="76"/>
      <c r="BI1850" s="76"/>
      <c r="BJ1850" s="76"/>
      <c r="BK1850" s="76"/>
      <c r="BL1850" s="76">
        <f>+BK1850*31500</f>
        <v>0</v>
      </c>
      <c r="BM1850" s="76"/>
      <c r="BN1850" s="76"/>
      <c r="BO1850" s="76"/>
      <c r="BP1850" s="76"/>
      <c r="BQ1850" s="76"/>
      <c r="BR1850" s="76"/>
      <c r="BS1850" s="76"/>
      <c r="BT1850" s="76"/>
      <c r="BU1850" s="76"/>
      <c r="BV1850" s="76"/>
      <c r="BW1850" s="76"/>
      <c r="BX1850" s="76"/>
      <c r="BY1850" s="76"/>
      <c r="BZ1850" s="76"/>
      <c r="CA1850" s="76"/>
      <c r="CB1850" s="76"/>
      <c r="CC1850" s="76"/>
      <c r="CD1850" s="76"/>
      <c r="CE1850" s="76"/>
      <c r="CF1850" s="76">
        <f>+CE1850*28000</f>
        <v>0</v>
      </c>
      <c r="CG1850" s="76"/>
      <c r="CH1850" s="76">
        <f>+CG1850*22500</f>
        <v>0</v>
      </c>
      <c r="CI1850" s="76"/>
      <c r="CJ1850" s="76">
        <f>+CI1850*26000</f>
        <v>0</v>
      </c>
      <c r="CK1850" s="76"/>
      <c r="CL1850" s="76"/>
      <c r="CM1850" s="76"/>
      <c r="CN1850" s="76">
        <f>+CM1850*22000</f>
        <v>0</v>
      </c>
      <c r="CO1850" s="76"/>
      <c r="CP1850" s="76">
        <f>+CO1850*46000</f>
        <v>0</v>
      </c>
      <c r="CQ1850" s="76"/>
      <c r="CR1850" s="76">
        <f>+CQ1850*49000</f>
        <v>0</v>
      </c>
      <c r="CS1850" s="76"/>
      <c r="CT1850" s="76"/>
      <c r="CU1850" s="56">
        <f>AN1850+AP1850+AR1850+AT1850+AV1850+AX1850+AZ1850+BB1850+BD1850+BF1850+BH1850+BJ1850+BL1850+BN1850+BP1850+BR1850+BT1850+BV1850+BX1850+BZ1850+CB1850+CD1850+CF1850+CH1850+CJ1850+CL1850+CN1850+CP1850+CR1850+CT1850</f>
        <v>0</v>
      </c>
      <c r="CV1850" s="76"/>
      <c r="CW1850" s="76">
        <f>+CV1850*1100</f>
        <v>0</v>
      </c>
      <c r="CX1850" s="76"/>
      <c r="CY1850" s="76">
        <f>+CX1850*106250</f>
        <v>0</v>
      </c>
      <c r="CZ1850" s="76"/>
      <c r="DA1850" s="76">
        <f>+CZ1850*34500</f>
        <v>0</v>
      </c>
      <c r="DB1850" s="76"/>
      <c r="DC1850" s="76">
        <f>+DB1850*25000</f>
        <v>0</v>
      </c>
      <c r="DD1850" s="219"/>
      <c r="DE1850" s="219"/>
      <c r="DF1850" s="166"/>
      <c r="DG1850" s="116"/>
      <c r="DH1850" s="117"/>
      <c r="DI1850" s="24"/>
      <c r="DJ1850" s="24"/>
      <c r="DK1850" s="24"/>
      <c r="DL1850" s="24"/>
      <c r="DM1850" s="24"/>
      <c r="DN1850" s="24"/>
      <c r="DO1850" s="24"/>
      <c r="DP1850" s="24"/>
      <c r="DQ1850" s="24"/>
      <c r="DR1850" s="24"/>
      <c r="DS1850" s="24"/>
      <c r="DT1850" s="24"/>
      <c r="DU1850" s="24"/>
    </row>
    <row r="1851" spans="1:125" s="8" customFormat="1" ht="108" x14ac:dyDescent="0.2">
      <c r="A1851" s="77">
        <v>41414</v>
      </c>
      <c r="B1851" s="78" t="s">
        <v>2087</v>
      </c>
      <c r="C1851" s="75" t="s">
        <v>795</v>
      </c>
      <c r="D1851" s="75" t="s">
        <v>2882</v>
      </c>
      <c r="E1851" s="75" t="str">
        <f>VLOOKUP(B1851&amp;C1851,Divipola!$C$2:$F$1138,4,FALSE)</f>
        <v>18247</v>
      </c>
      <c r="F1851" s="163"/>
      <c r="G1851" s="163"/>
      <c r="H1851" s="163"/>
      <c r="I1851" s="163">
        <v>80</v>
      </c>
      <c r="J1851" s="163">
        <v>16</v>
      </c>
      <c r="K1851" s="163">
        <v>4</v>
      </c>
      <c r="L1851" s="163">
        <v>12</v>
      </c>
      <c r="M1851" s="163"/>
      <c r="N1851" s="163"/>
      <c r="O1851" s="163"/>
      <c r="P1851" s="163"/>
      <c r="Q1851" s="163"/>
      <c r="R1851" s="163"/>
      <c r="S1851" s="163"/>
      <c r="T1851" s="163"/>
      <c r="U1851" s="163"/>
      <c r="V1851" s="134"/>
      <c r="W1851" s="96">
        <v>0</v>
      </c>
      <c r="X1851" s="71">
        <f>CU1851</f>
        <v>0</v>
      </c>
      <c r="Y1851" s="71">
        <f>CY1851</f>
        <v>0</v>
      </c>
      <c r="Z1851" s="71">
        <f>DA1851+DC1851+DE1851</f>
        <v>0</v>
      </c>
      <c r="AA1851" s="71">
        <f>CW1851</f>
        <v>0</v>
      </c>
      <c r="AB1851" s="71"/>
      <c r="AC1851" s="71">
        <v>0</v>
      </c>
      <c r="AD1851" s="71">
        <f>W1851+X1851+Y1851+Z1851+AA1851+AB1851+AC1851</f>
        <v>0</v>
      </c>
      <c r="AE1851" s="72">
        <v>0</v>
      </c>
      <c r="AF1851" s="5"/>
      <c r="AG1851" s="6"/>
      <c r="AH1851" s="27" t="s">
        <v>3390</v>
      </c>
      <c r="AI1851" s="44" t="s">
        <v>3393</v>
      </c>
      <c r="AJ1851" s="26"/>
      <c r="AK1851" s="5" t="s">
        <v>4991</v>
      </c>
      <c r="AL1851" s="82" t="s">
        <v>4990</v>
      </c>
      <c r="AM1851" s="76"/>
      <c r="AN1851" s="76"/>
      <c r="AO1851" s="76"/>
      <c r="AP1851" s="76"/>
      <c r="AQ1851" s="76"/>
      <c r="AR1851" s="76"/>
      <c r="AS1851" s="76"/>
      <c r="AT1851" s="76"/>
      <c r="AU1851" s="76"/>
      <c r="AV1851" s="76"/>
      <c r="AW1851" s="76"/>
      <c r="AX1851" s="76">
        <f>+AW1851*600000</f>
        <v>0</v>
      </c>
      <c r="AY1851" s="76"/>
      <c r="AZ1851" s="76">
        <f>+AY1851*70000</f>
        <v>0</v>
      </c>
      <c r="BA1851" s="76"/>
      <c r="BB1851" s="76"/>
      <c r="BC1851" s="76"/>
      <c r="BD1851" s="76">
        <f>+BC1851*30000</f>
        <v>0</v>
      </c>
      <c r="BE1851" s="76"/>
      <c r="BF1851" s="76"/>
      <c r="BG1851" s="76"/>
      <c r="BH1851" s="76"/>
      <c r="BI1851" s="76"/>
      <c r="BJ1851" s="76"/>
      <c r="BK1851" s="76"/>
      <c r="BL1851" s="76">
        <f>+BK1851*31500</f>
        <v>0</v>
      </c>
      <c r="BM1851" s="76"/>
      <c r="BN1851" s="76"/>
      <c r="BO1851" s="76"/>
      <c r="BP1851" s="76"/>
      <c r="BQ1851" s="76"/>
      <c r="BR1851" s="76"/>
      <c r="BS1851" s="76"/>
      <c r="BT1851" s="76"/>
      <c r="BU1851" s="76"/>
      <c r="BV1851" s="76"/>
      <c r="BW1851" s="76"/>
      <c r="BX1851" s="76"/>
      <c r="BY1851" s="76"/>
      <c r="BZ1851" s="76"/>
      <c r="CA1851" s="76"/>
      <c r="CB1851" s="76"/>
      <c r="CC1851" s="76"/>
      <c r="CD1851" s="76"/>
      <c r="CE1851" s="76"/>
      <c r="CF1851" s="76">
        <f>+CE1851*28000</f>
        <v>0</v>
      </c>
      <c r="CG1851" s="76"/>
      <c r="CH1851" s="76">
        <f>+CG1851*22500</f>
        <v>0</v>
      </c>
      <c r="CI1851" s="76"/>
      <c r="CJ1851" s="76">
        <f>+CI1851*26000</f>
        <v>0</v>
      </c>
      <c r="CK1851" s="76"/>
      <c r="CL1851" s="76"/>
      <c r="CM1851" s="76"/>
      <c r="CN1851" s="76">
        <f>+CM1851*22000</f>
        <v>0</v>
      </c>
      <c r="CO1851" s="76"/>
      <c r="CP1851" s="76">
        <f>+CO1851*46000</f>
        <v>0</v>
      </c>
      <c r="CQ1851" s="76"/>
      <c r="CR1851" s="76">
        <f>+CQ1851*49000</f>
        <v>0</v>
      </c>
      <c r="CS1851" s="76"/>
      <c r="CT1851" s="76"/>
      <c r="CU1851" s="56">
        <f>AN1851+AP1851+AR1851+AT1851+AV1851+AX1851+AZ1851+BB1851+BD1851+BF1851+BH1851+BJ1851+BL1851+BN1851+BP1851+BR1851+BT1851+BV1851+BX1851+BZ1851+CB1851+CD1851+CF1851+CH1851+CJ1851+CL1851+CN1851+CP1851+CR1851+CT1851</f>
        <v>0</v>
      </c>
      <c r="CV1851" s="76"/>
      <c r="CW1851" s="76">
        <f>+CV1851*1100</f>
        <v>0</v>
      </c>
      <c r="CX1851" s="76"/>
      <c r="CY1851" s="76">
        <f>+CX1851*106250</f>
        <v>0</v>
      </c>
      <c r="CZ1851" s="76"/>
      <c r="DA1851" s="76">
        <f>+CZ1851*34500</f>
        <v>0</v>
      </c>
      <c r="DB1851" s="76"/>
      <c r="DC1851" s="76">
        <f>+DB1851*25000</f>
        <v>0</v>
      </c>
      <c r="DD1851" s="219"/>
      <c r="DE1851" s="219"/>
      <c r="DF1851" s="166"/>
      <c r="DG1851" s="116"/>
      <c r="DH1851" s="117"/>
      <c r="DI1851" s="24"/>
      <c r="DJ1851" s="24"/>
      <c r="DK1851" s="24"/>
      <c r="DL1851" s="24"/>
      <c r="DM1851" s="24"/>
      <c r="DN1851" s="24"/>
      <c r="DO1851" s="24"/>
      <c r="DP1851" s="24"/>
      <c r="DQ1851" s="24"/>
      <c r="DR1851" s="24"/>
      <c r="DS1851" s="24"/>
      <c r="DT1851" s="24"/>
      <c r="DU1851" s="24"/>
    </row>
    <row r="1852" spans="1:125" s="8" customFormat="1" ht="24" x14ac:dyDescent="0.2">
      <c r="A1852" s="226">
        <v>41414</v>
      </c>
      <c r="B1852" s="225" t="s">
        <v>2087</v>
      </c>
      <c r="C1852" s="227" t="s">
        <v>813</v>
      </c>
      <c r="D1852" s="227" t="s">
        <v>3051</v>
      </c>
      <c r="E1852" s="75" t="str">
        <f>VLOOKUP(B1852&amp;C1852,Divipola!$C$2:$F$1138,4,FALSE)</f>
        <v>18753</v>
      </c>
      <c r="F1852" s="87"/>
      <c r="G1852" s="87"/>
      <c r="H1852" s="87"/>
      <c r="I1852" s="87">
        <v>50</v>
      </c>
      <c r="J1852" s="87">
        <v>10</v>
      </c>
      <c r="K1852" s="87"/>
      <c r="L1852" s="87">
        <v>10</v>
      </c>
      <c r="M1852" s="87"/>
      <c r="N1852" s="87"/>
      <c r="O1852" s="87"/>
      <c r="P1852" s="87"/>
      <c r="Q1852" s="87"/>
      <c r="R1852" s="87"/>
      <c r="S1852" s="87"/>
      <c r="T1852" s="87"/>
      <c r="U1852" s="88"/>
      <c r="V1852" s="89"/>
      <c r="W1852" s="96">
        <v>0</v>
      </c>
      <c r="X1852" s="71">
        <f>CU1852</f>
        <v>0</v>
      </c>
      <c r="Y1852" s="71">
        <f>CY1852</f>
        <v>0</v>
      </c>
      <c r="Z1852" s="71">
        <f>DA1852+DC1852+DE1852</f>
        <v>0</v>
      </c>
      <c r="AA1852" s="71">
        <f>CW1852</f>
        <v>0</v>
      </c>
      <c r="AB1852" s="71"/>
      <c r="AC1852" s="71">
        <v>0</v>
      </c>
      <c r="AD1852" s="71">
        <f>W1852+X1852+Y1852+Z1852+AA1852+AB1852+AC1852</f>
        <v>0</v>
      </c>
      <c r="AE1852" s="72">
        <v>0</v>
      </c>
      <c r="AF1852" s="5"/>
      <c r="AG1852" s="6"/>
      <c r="AH1852" s="27" t="s">
        <v>3392</v>
      </c>
      <c r="AI1852" s="44" t="s">
        <v>3393</v>
      </c>
      <c r="AJ1852" s="26"/>
      <c r="AK1852" s="5"/>
      <c r="AL1852" s="82" t="s">
        <v>4694</v>
      </c>
      <c r="AM1852" s="76"/>
      <c r="AN1852" s="76"/>
      <c r="AO1852" s="76"/>
      <c r="AP1852" s="76"/>
      <c r="AQ1852" s="76"/>
      <c r="AR1852" s="76"/>
      <c r="AS1852" s="76"/>
      <c r="AT1852" s="76"/>
      <c r="AU1852" s="76"/>
      <c r="AV1852" s="76"/>
      <c r="AW1852" s="76"/>
      <c r="AX1852" s="76">
        <f>+AW1852*600000</f>
        <v>0</v>
      </c>
      <c r="AY1852" s="76"/>
      <c r="AZ1852" s="76">
        <f>+AY1852*70000</f>
        <v>0</v>
      </c>
      <c r="BA1852" s="76"/>
      <c r="BB1852" s="76"/>
      <c r="BC1852" s="76"/>
      <c r="BD1852" s="76">
        <f>+BC1852*30000</f>
        <v>0</v>
      </c>
      <c r="BE1852" s="76"/>
      <c r="BF1852" s="76"/>
      <c r="BG1852" s="76"/>
      <c r="BH1852" s="76"/>
      <c r="BI1852" s="76"/>
      <c r="BJ1852" s="76"/>
      <c r="BK1852" s="76"/>
      <c r="BL1852" s="76">
        <f>+BK1852*31500</f>
        <v>0</v>
      </c>
      <c r="BM1852" s="76"/>
      <c r="BN1852" s="76"/>
      <c r="BO1852" s="76"/>
      <c r="BP1852" s="76"/>
      <c r="BQ1852" s="76"/>
      <c r="BR1852" s="76"/>
      <c r="BS1852" s="76"/>
      <c r="BT1852" s="76"/>
      <c r="BU1852" s="76"/>
      <c r="BV1852" s="76"/>
      <c r="BW1852" s="76"/>
      <c r="BX1852" s="76"/>
      <c r="BY1852" s="76"/>
      <c r="BZ1852" s="76"/>
      <c r="CA1852" s="76"/>
      <c r="CB1852" s="76"/>
      <c r="CC1852" s="76"/>
      <c r="CD1852" s="76"/>
      <c r="CE1852" s="76"/>
      <c r="CF1852" s="76">
        <f>+CE1852*28000</f>
        <v>0</v>
      </c>
      <c r="CG1852" s="76"/>
      <c r="CH1852" s="76">
        <f>+CG1852*22500</f>
        <v>0</v>
      </c>
      <c r="CI1852" s="76"/>
      <c r="CJ1852" s="76">
        <f>+CI1852*26000</f>
        <v>0</v>
      </c>
      <c r="CK1852" s="76"/>
      <c r="CL1852" s="76"/>
      <c r="CM1852" s="76"/>
      <c r="CN1852" s="76">
        <f>+CM1852*22000</f>
        <v>0</v>
      </c>
      <c r="CO1852" s="76"/>
      <c r="CP1852" s="76">
        <f>+CO1852*46000</f>
        <v>0</v>
      </c>
      <c r="CQ1852" s="76"/>
      <c r="CR1852" s="76">
        <f>+CQ1852*49000</f>
        <v>0</v>
      </c>
      <c r="CS1852" s="76"/>
      <c r="CT1852" s="76"/>
      <c r="CU1852" s="56">
        <f>AN1852+AP1852+AR1852+AT1852+AV1852+AX1852+AZ1852+BB1852+BD1852+BF1852+BH1852+BJ1852+BL1852+BN1852+BP1852+BR1852+BT1852+BV1852+BX1852+BZ1852+CB1852+CD1852+CF1852+CH1852+CJ1852+CL1852+CN1852+CP1852+CR1852+CT1852</f>
        <v>0</v>
      </c>
      <c r="CV1852" s="76"/>
      <c r="CW1852" s="76">
        <f>+CV1852*1100</f>
        <v>0</v>
      </c>
      <c r="CX1852" s="76"/>
      <c r="CY1852" s="76">
        <f>+CX1852*106250</f>
        <v>0</v>
      </c>
      <c r="CZ1852" s="76"/>
      <c r="DA1852" s="76">
        <f>+CZ1852*34500</f>
        <v>0</v>
      </c>
      <c r="DB1852" s="76"/>
      <c r="DC1852" s="76">
        <f>+DB1852*25000</f>
        <v>0</v>
      </c>
      <c r="DD1852" s="219"/>
      <c r="DE1852" s="219"/>
      <c r="DF1852" s="166"/>
      <c r="DG1852" s="116"/>
      <c r="DH1852" s="117"/>
      <c r="DI1852" s="24"/>
      <c r="DJ1852" s="24"/>
      <c r="DK1852" s="24"/>
      <c r="DL1852" s="24"/>
      <c r="DM1852" s="24"/>
      <c r="DN1852" s="24"/>
      <c r="DO1852" s="24"/>
      <c r="DP1852" s="24"/>
      <c r="DQ1852" s="24"/>
      <c r="DR1852" s="24"/>
      <c r="DS1852" s="24"/>
      <c r="DT1852" s="24"/>
      <c r="DU1852" s="24"/>
    </row>
    <row r="1853" spans="1:125" s="8" customFormat="1" ht="84" x14ac:dyDescent="0.2">
      <c r="A1853" s="353">
        <v>41414</v>
      </c>
      <c r="B1853" s="352" t="s">
        <v>2772</v>
      </c>
      <c r="C1853" s="354" t="s">
        <v>2830</v>
      </c>
      <c r="D1853" s="354" t="s">
        <v>3051</v>
      </c>
      <c r="E1853" s="75" t="str">
        <f>VLOOKUP(B1853&amp;C1853,Divipola!$C$2:$F$1138,4,FALSE)</f>
        <v>25486</v>
      </c>
      <c r="F1853" s="87"/>
      <c r="G1853" s="87"/>
      <c r="H1853" s="87"/>
      <c r="I1853" s="87"/>
      <c r="J1853" s="87"/>
      <c r="K1853" s="87"/>
      <c r="L1853" s="87"/>
      <c r="M1853" s="87">
        <v>1</v>
      </c>
      <c r="N1853" s="87"/>
      <c r="O1853" s="87"/>
      <c r="P1853" s="87"/>
      <c r="Q1853" s="87"/>
      <c r="R1853" s="87"/>
      <c r="S1853" s="87"/>
      <c r="T1853" s="87"/>
      <c r="U1853" s="88">
        <v>8</v>
      </c>
      <c r="V1853" s="89"/>
      <c r="W1853" s="96">
        <v>0</v>
      </c>
      <c r="X1853" s="71">
        <f>CU1853</f>
        <v>0</v>
      </c>
      <c r="Y1853" s="71">
        <f>CY1853</f>
        <v>0</v>
      </c>
      <c r="Z1853" s="71">
        <f>DA1853+DC1853+DE1853</f>
        <v>0</v>
      </c>
      <c r="AA1853" s="71">
        <f>CW1853</f>
        <v>0</v>
      </c>
      <c r="AB1853" s="71"/>
      <c r="AC1853" s="71">
        <v>0</v>
      </c>
      <c r="AD1853" s="71">
        <f>W1853+X1853+Y1853+Z1853+AA1853+AB1853+AC1853</f>
        <v>0</v>
      </c>
      <c r="AE1853" s="72">
        <v>0</v>
      </c>
      <c r="AF1853" s="5"/>
      <c r="AG1853" s="6"/>
      <c r="AH1853" s="27" t="s">
        <v>3392</v>
      </c>
      <c r="AI1853" s="44" t="s">
        <v>3393</v>
      </c>
      <c r="AJ1853" s="26"/>
      <c r="AK1853" s="5"/>
      <c r="AL1853" s="82" t="s">
        <v>4664</v>
      </c>
      <c r="AM1853" s="76"/>
      <c r="AN1853" s="76"/>
      <c r="AO1853" s="76"/>
      <c r="AP1853" s="76"/>
      <c r="AQ1853" s="76"/>
      <c r="AR1853" s="76"/>
      <c r="AS1853" s="76"/>
      <c r="AT1853" s="76"/>
      <c r="AU1853" s="76"/>
      <c r="AV1853" s="76"/>
      <c r="AW1853" s="76"/>
      <c r="AX1853" s="76">
        <f>+AW1853*600000</f>
        <v>0</v>
      </c>
      <c r="AY1853" s="76"/>
      <c r="AZ1853" s="76">
        <f>+AY1853*70000</f>
        <v>0</v>
      </c>
      <c r="BA1853" s="76"/>
      <c r="BB1853" s="76"/>
      <c r="BC1853" s="76"/>
      <c r="BD1853" s="76">
        <f>+BC1853*30000</f>
        <v>0</v>
      </c>
      <c r="BE1853" s="76"/>
      <c r="BF1853" s="76"/>
      <c r="BG1853" s="76"/>
      <c r="BH1853" s="76"/>
      <c r="BI1853" s="76"/>
      <c r="BJ1853" s="76"/>
      <c r="BK1853" s="76"/>
      <c r="BL1853" s="76">
        <f>+BK1853*31500</f>
        <v>0</v>
      </c>
      <c r="BM1853" s="76"/>
      <c r="BN1853" s="76"/>
      <c r="BO1853" s="76"/>
      <c r="BP1853" s="76"/>
      <c r="BQ1853" s="76"/>
      <c r="BR1853" s="76"/>
      <c r="BS1853" s="76"/>
      <c r="BT1853" s="76"/>
      <c r="BU1853" s="76"/>
      <c r="BV1853" s="76"/>
      <c r="BW1853" s="76"/>
      <c r="BX1853" s="76"/>
      <c r="BY1853" s="76"/>
      <c r="BZ1853" s="76"/>
      <c r="CA1853" s="76"/>
      <c r="CB1853" s="76"/>
      <c r="CC1853" s="76"/>
      <c r="CD1853" s="76"/>
      <c r="CE1853" s="76"/>
      <c r="CF1853" s="76">
        <f>+CE1853*28000</f>
        <v>0</v>
      </c>
      <c r="CG1853" s="76"/>
      <c r="CH1853" s="76">
        <f>+CG1853*22500</f>
        <v>0</v>
      </c>
      <c r="CI1853" s="76"/>
      <c r="CJ1853" s="76">
        <f>+CI1853*26000</f>
        <v>0</v>
      </c>
      <c r="CK1853" s="76"/>
      <c r="CL1853" s="76"/>
      <c r="CM1853" s="76"/>
      <c r="CN1853" s="76">
        <f>+CM1853*22000</f>
        <v>0</v>
      </c>
      <c r="CO1853" s="76"/>
      <c r="CP1853" s="76">
        <f>+CO1853*46000</f>
        <v>0</v>
      </c>
      <c r="CQ1853" s="76"/>
      <c r="CR1853" s="76">
        <f>+CQ1853*49000</f>
        <v>0</v>
      </c>
      <c r="CS1853" s="76"/>
      <c r="CT1853" s="76"/>
      <c r="CU1853" s="56">
        <f>AN1853+AP1853+AR1853+AT1853+AV1853+AX1853+AZ1853+BB1853+BD1853+BF1853+BH1853+BJ1853+BL1853+BN1853+BP1853+BR1853+BT1853+BV1853+BX1853+BZ1853+CB1853+CD1853+CF1853+CH1853+CJ1853+CL1853+CN1853+CP1853+CR1853+CT1853</f>
        <v>0</v>
      </c>
      <c r="CV1853" s="76"/>
      <c r="CW1853" s="76">
        <f>+CV1853*1100</f>
        <v>0</v>
      </c>
      <c r="CX1853" s="76"/>
      <c r="CY1853" s="76">
        <f>+CX1853*106250</f>
        <v>0</v>
      </c>
      <c r="CZ1853" s="76"/>
      <c r="DA1853" s="76">
        <f>+CZ1853*34500</f>
        <v>0</v>
      </c>
      <c r="DB1853" s="76"/>
      <c r="DC1853" s="76">
        <f>+DB1853*25000</f>
        <v>0</v>
      </c>
      <c r="DD1853" s="219"/>
      <c r="DE1853" s="219"/>
      <c r="DF1853" s="166"/>
      <c r="DG1853" s="116"/>
      <c r="DH1853" s="117"/>
      <c r="DI1853" s="24"/>
      <c r="DJ1853" s="24"/>
      <c r="DK1853" s="24"/>
      <c r="DL1853" s="24"/>
      <c r="DM1853" s="24"/>
      <c r="DN1853" s="24"/>
      <c r="DO1853" s="24"/>
      <c r="DP1853" s="24"/>
      <c r="DQ1853" s="24"/>
      <c r="DR1853" s="24"/>
      <c r="DS1853" s="24"/>
      <c r="DT1853" s="24"/>
      <c r="DU1853" s="24"/>
    </row>
    <row r="1854" spans="1:125" s="8" customFormat="1" ht="48" x14ac:dyDescent="0.2">
      <c r="A1854" s="77">
        <v>41414</v>
      </c>
      <c r="B1854" s="78" t="s">
        <v>2661</v>
      </c>
      <c r="C1854" s="75" t="s">
        <v>2662</v>
      </c>
      <c r="D1854" s="75" t="s">
        <v>3051</v>
      </c>
      <c r="E1854" s="75" t="str">
        <f>VLOOKUP(B1854&amp;C1854,Divipola!$C$2:$F$1138,4,FALSE)</f>
        <v>41483</v>
      </c>
      <c r="F1854" s="163"/>
      <c r="G1854" s="163"/>
      <c r="H1854" s="163"/>
      <c r="I1854" s="163"/>
      <c r="J1854" s="163"/>
      <c r="K1854" s="163"/>
      <c r="L1854" s="163"/>
      <c r="M1854" s="163"/>
      <c r="N1854" s="163"/>
      <c r="O1854" s="163"/>
      <c r="P1854" s="163"/>
      <c r="Q1854" s="163"/>
      <c r="R1854" s="163"/>
      <c r="S1854" s="163"/>
      <c r="T1854" s="163"/>
      <c r="U1854" s="163"/>
      <c r="V1854" s="134"/>
      <c r="W1854" s="96">
        <v>12000000</v>
      </c>
      <c r="X1854" s="71">
        <f>CU1854</f>
        <v>0</v>
      </c>
      <c r="Y1854" s="71">
        <f>CY1854</f>
        <v>0</v>
      </c>
      <c r="Z1854" s="71">
        <f>DA1854+DC1854+DE1854</f>
        <v>0</v>
      </c>
      <c r="AA1854" s="71">
        <f>CW1854</f>
        <v>0</v>
      </c>
      <c r="AB1854" s="71"/>
      <c r="AC1854" s="71">
        <v>0</v>
      </c>
      <c r="AD1854" s="71">
        <f>W1854+X1854+Y1854+Z1854+AA1854+AB1854+AC1854</f>
        <v>12000000</v>
      </c>
      <c r="AE1854" s="72">
        <v>0</v>
      </c>
      <c r="AF1854" s="5"/>
      <c r="AG1854" s="6"/>
      <c r="AH1854" s="27" t="s">
        <v>3390</v>
      </c>
      <c r="AI1854" s="44" t="s">
        <v>3391</v>
      </c>
      <c r="AJ1854" s="26"/>
      <c r="AK1854" s="5"/>
      <c r="AL1854" s="82" t="s">
        <v>4660</v>
      </c>
      <c r="AM1854" s="76"/>
      <c r="AN1854" s="76"/>
      <c r="AO1854" s="76"/>
      <c r="AP1854" s="76"/>
      <c r="AQ1854" s="76"/>
      <c r="AR1854" s="76"/>
      <c r="AS1854" s="76"/>
      <c r="AT1854" s="76"/>
      <c r="AU1854" s="76"/>
      <c r="AV1854" s="76"/>
      <c r="AW1854" s="76"/>
      <c r="AX1854" s="76">
        <f>+AW1854*600000</f>
        <v>0</v>
      </c>
      <c r="AY1854" s="76"/>
      <c r="AZ1854" s="76">
        <f>+AY1854*70000</f>
        <v>0</v>
      </c>
      <c r="BA1854" s="76"/>
      <c r="BB1854" s="76"/>
      <c r="BC1854" s="76"/>
      <c r="BD1854" s="76">
        <f>+BC1854*30000</f>
        <v>0</v>
      </c>
      <c r="BE1854" s="76"/>
      <c r="BF1854" s="76"/>
      <c r="BG1854" s="76"/>
      <c r="BH1854" s="76"/>
      <c r="BI1854" s="76"/>
      <c r="BJ1854" s="76"/>
      <c r="BK1854" s="76"/>
      <c r="BL1854" s="76">
        <f>+BK1854*31500</f>
        <v>0</v>
      </c>
      <c r="BM1854" s="76"/>
      <c r="BN1854" s="76"/>
      <c r="BO1854" s="76"/>
      <c r="BP1854" s="76"/>
      <c r="BQ1854" s="76"/>
      <c r="BR1854" s="76"/>
      <c r="BS1854" s="76"/>
      <c r="BT1854" s="76"/>
      <c r="BU1854" s="76"/>
      <c r="BV1854" s="76"/>
      <c r="BW1854" s="76"/>
      <c r="BX1854" s="76"/>
      <c r="BY1854" s="76"/>
      <c r="BZ1854" s="76"/>
      <c r="CA1854" s="76"/>
      <c r="CB1854" s="76"/>
      <c r="CC1854" s="76"/>
      <c r="CD1854" s="76"/>
      <c r="CE1854" s="76"/>
      <c r="CF1854" s="76">
        <f>+CE1854*28000</f>
        <v>0</v>
      </c>
      <c r="CG1854" s="76"/>
      <c r="CH1854" s="76">
        <f>+CG1854*22500</f>
        <v>0</v>
      </c>
      <c r="CI1854" s="76"/>
      <c r="CJ1854" s="76">
        <f>+CI1854*26000</f>
        <v>0</v>
      </c>
      <c r="CK1854" s="76"/>
      <c r="CL1854" s="76"/>
      <c r="CM1854" s="76"/>
      <c r="CN1854" s="76">
        <f>+CM1854*22000</f>
        <v>0</v>
      </c>
      <c r="CO1854" s="76"/>
      <c r="CP1854" s="76">
        <f>+CO1854*46000</f>
        <v>0</v>
      </c>
      <c r="CQ1854" s="76"/>
      <c r="CR1854" s="76">
        <f>+CQ1854*49000</f>
        <v>0</v>
      </c>
      <c r="CS1854" s="76"/>
      <c r="CT1854" s="76"/>
      <c r="CU1854" s="56">
        <f>AN1854+AP1854+AR1854+AT1854+AV1854+AX1854+AZ1854+BB1854+BD1854+BF1854+BH1854+BJ1854+BL1854+BN1854+BP1854+BR1854+BT1854+BV1854+BX1854+BZ1854+CB1854+CD1854+CF1854+CH1854+CJ1854+CL1854+CN1854+CP1854+CR1854+CT1854</f>
        <v>0</v>
      </c>
      <c r="CV1854" s="76"/>
      <c r="CW1854" s="76">
        <f>+CV1854*1100</f>
        <v>0</v>
      </c>
      <c r="CX1854" s="76"/>
      <c r="CY1854" s="76">
        <f>+CX1854*106250</f>
        <v>0</v>
      </c>
      <c r="CZ1854" s="76"/>
      <c r="DA1854" s="76">
        <f>+CZ1854*34500</f>
        <v>0</v>
      </c>
      <c r="DB1854" s="76"/>
      <c r="DC1854" s="76">
        <f>+DB1854*25000</f>
        <v>0</v>
      </c>
      <c r="DD1854" s="219"/>
      <c r="DE1854" s="219"/>
      <c r="DF1854" s="166"/>
      <c r="DG1854" s="116"/>
      <c r="DH1854" s="117"/>
      <c r="DI1854" s="24"/>
      <c r="DJ1854" s="24"/>
      <c r="DK1854" s="24"/>
      <c r="DL1854" s="24"/>
      <c r="DM1854" s="24"/>
      <c r="DN1854" s="24"/>
      <c r="DO1854" s="24"/>
      <c r="DP1854" s="24"/>
      <c r="DQ1854" s="24"/>
      <c r="DR1854" s="24"/>
      <c r="DS1854" s="24"/>
      <c r="DT1854" s="24"/>
      <c r="DU1854" s="24"/>
    </row>
    <row r="1855" spans="1:125" s="8" customFormat="1" ht="72" x14ac:dyDescent="0.2">
      <c r="A1855" s="97">
        <v>41414</v>
      </c>
      <c r="B1855" s="60" t="s">
        <v>2661</v>
      </c>
      <c r="C1855" s="55" t="s">
        <v>2169</v>
      </c>
      <c r="D1855" s="55" t="s">
        <v>3088</v>
      </c>
      <c r="E1855" s="75" t="str">
        <f>VLOOKUP(B1855&amp;C1855,Divipola!$C$2:$F$1138,4,FALSE)</f>
        <v>41001</v>
      </c>
      <c r="F1855" s="87"/>
      <c r="G1855" s="87">
        <v>1</v>
      </c>
      <c r="H1855" s="87"/>
      <c r="I1855" s="87">
        <v>5</v>
      </c>
      <c r="J1855" s="87">
        <v>1</v>
      </c>
      <c r="K1855" s="87"/>
      <c r="L1855" s="87">
        <v>1</v>
      </c>
      <c r="M1855" s="87"/>
      <c r="N1855" s="87"/>
      <c r="O1855" s="87"/>
      <c r="P1855" s="87"/>
      <c r="Q1855" s="87"/>
      <c r="R1855" s="87"/>
      <c r="S1855" s="87"/>
      <c r="T1855" s="87"/>
      <c r="U1855" s="88"/>
      <c r="V1855" s="89"/>
      <c r="W1855" s="96">
        <v>0</v>
      </c>
      <c r="X1855" s="71">
        <f>CU1855</f>
        <v>0</v>
      </c>
      <c r="Y1855" s="71">
        <f>CY1855</f>
        <v>0</v>
      </c>
      <c r="Z1855" s="71">
        <f>DA1855+DC1855+DE1855</f>
        <v>0</v>
      </c>
      <c r="AA1855" s="71">
        <f>CW1855</f>
        <v>0</v>
      </c>
      <c r="AB1855" s="71"/>
      <c r="AC1855" s="71">
        <v>0</v>
      </c>
      <c r="AD1855" s="71">
        <f>W1855+X1855+Y1855+Z1855+AA1855+AB1855+AC1855</f>
        <v>0</v>
      </c>
      <c r="AE1855" s="72">
        <v>0</v>
      </c>
      <c r="AF1855" s="5"/>
      <c r="AG1855" s="6"/>
      <c r="AH1855" s="27" t="s">
        <v>3392</v>
      </c>
      <c r="AI1855" s="44" t="s">
        <v>3393</v>
      </c>
      <c r="AJ1855" s="26"/>
      <c r="AK1855" s="5"/>
      <c r="AL1855" s="82" t="s">
        <v>4667</v>
      </c>
      <c r="AM1855" s="76"/>
      <c r="AN1855" s="76"/>
      <c r="AO1855" s="76"/>
      <c r="AP1855" s="76"/>
      <c r="AQ1855" s="76"/>
      <c r="AR1855" s="76"/>
      <c r="AS1855" s="76"/>
      <c r="AT1855" s="76"/>
      <c r="AU1855" s="76"/>
      <c r="AV1855" s="76"/>
      <c r="AW1855" s="76"/>
      <c r="AX1855" s="76">
        <f>+AW1855*600000</f>
        <v>0</v>
      </c>
      <c r="AY1855" s="76"/>
      <c r="AZ1855" s="76">
        <f>+AY1855*70000</f>
        <v>0</v>
      </c>
      <c r="BA1855" s="76"/>
      <c r="BB1855" s="76"/>
      <c r="BC1855" s="76"/>
      <c r="BD1855" s="76">
        <f>+BC1855*30000</f>
        <v>0</v>
      </c>
      <c r="BE1855" s="76"/>
      <c r="BF1855" s="76"/>
      <c r="BG1855" s="76"/>
      <c r="BH1855" s="76"/>
      <c r="BI1855" s="76"/>
      <c r="BJ1855" s="76"/>
      <c r="BK1855" s="76"/>
      <c r="BL1855" s="76">
        <f>+BK1855*31500</f>
        <v>0</v>
      </c>
      <c r="BM1855" s="76"/>
      <c r="BN1855" s="76"/>
      <c r="BO1855" s="76"/>
      <c r="BP1855" s="76"/>
      <c r="BQ1855" s="76"/>
      <c r="BR1855" s="76"/>
      <c r="BS1855" s="76"/>
      <c r="BT1855" s="76"/>
      <c r="BU1855" s="76"/>
      <c r="BV1855" s="76"/>
      <c r="BW1855" s="76"/>
      <c r="BX1855" s="76"/>
      <c r="BY1855" s="76"/>
      <c r="BZ1855" s="76"/>
      <c r="CA1855" s="76"/>
      <c r="CB1855" s="76"/>
      <c r="CC1855" s="76"/>
      <c r="CD1855" s="76"/>
      <c r="CE1855" s="76"/>
      <c r="CF1855" s="76">
        <f>+CE1855*28000</f>
        <v>0</v>
      </c>
      <c r="CG1855" s="76"/>
      <c r="CH1855" s="76">
        <f>+CG1855*22500</f>
        <v>0</v>
      </c>
      <c r="CI1855" s="76"/>
      <c r="CJ1855" s="76">
        <f>+CI1855*26000</f>
        <v>0</v>
      </c>
      <c r="CK1855" s="76"/>
      <c r="CL1855" s="76"/>
      <c r="CM1855" s="76"/>
      <c r="CN1855" s="76">
        <f>+CM1855*22000</f>
        <v>0</v>
      </c>
      <c r="CO1855" s="76"/>
      <c r="CP1855" s="76">
        <f>+CO1855*46000</f>
        <v>0</v>
      </c>
      <c r="CQ1855" s="76"/>
      <c r="CR1855" s="76">
        <f>+CQ1855*49000</f>
        <v>0</v>
      </c>
      <c r="CS1855" s="76"/>
      <c r="CT1855" s="76"/>
      <c r="CU1855" s="56">
        <f>AN1855+AP1855+AR1855+AT1855+AV1855+AX1855+AZ1855+BB1855+BD1855+BF1855+BH1855+BJ1855+BL1855+BN1855+BP1855+BR1855+BT1855+BV1855+BX1855+BZ1855+CB1855+CD1855+CF1855+CH1855+CJ1855+CL1855+CN1855+CP1855+CR1855+CT1855</f>
        <v>0</v>
      </c>
      <c r="CV1855" s="76"/>
      <c r="CW1855" s="76">
        <f>+CV1855*1100</f>
        <v>0</v>
      </c>
      <c r="CX1855" s="76"/>
      <c r="CY1855" s="76">
        <f>+CX1855*106250</f>
        <v>0</v>
      </c>
      <c r="CZ1855" s="76"/>
      <c r="DA1855" s="76">
        <f>+CZ1855*34500</f>
        <v>0</v>
      </c>
      <c r="DB1855" s="76"/>
      <c r="DC1855" s="76">
        <f>+DB1855*25000</f>
        <v>0</v>
      </c>
      <c r="DD1855" s="219"/>
      <c r="DE1855" s="219"/>
      <c r="DF1855" s="166"/>
      <c r="DG1855" s="116"/>
      <c r="DH1855" s="117"/>
      <c r="DI1855" s="24"/>
      <c r="DJ1855" s="24"/>
      <c r="DK1855" s="24"/>
      <c r="DL1855" s="24"/>
      <c r="DM1855" s="24"/>
      <c r="DN1855" s="24"/>
      <c r="DO1855" s="24"/>
      <c r="DP1855" s="24"/>
      <c r="DQ1855" s="24"/>
      <c r="DR1855" s="24"/>
      <c r="DS1855" s="24"/>
      <c r="DT1855" s="24"/>
      <c r="DU1855" s="24"/>
    </row>
    <row r="1856" spans="1:125" s="8" customFormat="1" ht="48" x14ac:dyDescent="0.2">
      <c r="A1856" s="77">
        <v>41414</v>
      </c>
      <c r="B1856" s="78" t="s">
        <v>2661</v>
      </c>
      <c r="C1856" s="75" t="s">
        <v>2164</v>
      </c>
      <c r="D1856" s="75" t="s">
        <v>3051</v>
      </c>
      <c r="E1856" s="75" t="str">
        <f>VLOOKUP(B1856&amp;C1856,Divipola!$C$2:$F$1138,4,FALSE)</f>
        <v>41799</v>
      </c>
      <c r="F1856" s="163"/>
      <c r="G1856" s="163"/>
      <c r="H1856" s="163"/>
      <c r="I1856" s="163"/>
      <c r="J1856" s="163"/>
      <c r="K1856" s="163"/>
      <c r="L1856" s="163"/>
      <c r="M1856" s="163"/>
      <c r="N1856" s="163"/>
      <c r="O1856" s="163"/>
      <c r="P1856" s="163"/>
      <c r="Q1856" s="163"/>
      <c r="R1856" s="163"/>
      <c r="S1856" s="163"/>
      <c r="T1856" s="163"/>
      <c r="U1856" s="163"/>
      <c r="V1856" s="134"/>
      <c r="W1856" s="96">
        <v>2250000</v>
      </c>
      <c r="X1856" s="71">
        <f>CU1856</f>
        <v>0</v>
      </c>
      <c r="Y1856" s="71">
        <f>CY1856</f>
        <v>0</v>
      </c>
      <c r="Z1856" s="71">
        <f>DA1856+DC1856+DE1856</f>
        <v>0</v>
      </c>
      <c r="AA1856" s="71">
        <f>CW1856</f>
        <v>0</v>
      </c>
      <c r="AB1856" s="71"/>
      <c r="AC1856" s="71">
        <v>0</v>
      </c>
      <c r="AD1856" s="71">
        <f>W1856+X1856+Y1856+Z1856+AA1856+AB1856+AC1856</f>
        <v>2250000</v>
      </c>
      <c r="AE1856" s="72">
        <v>0</v>
      </c>
      <c r="AF1856" s="5"/>
      <c r="AG1856" s="6"/>
      <c r="AH1856" s="27" t="s">
        <v>3390</v>
      </c>
      <c r="AI1856" s="44" t="s">
        <v>3391</v>
      </c>
      <c r="AJ1856" s="26"/>
      <c r="AK1856" s="5"/>
      <c r="AL1856" s="82" t="s">
        <v>4663</v>
      </c>
      <c r="AM1856" s="76"/>
      <c r="AN1856" s="76"/>
      <c r="AO1856" s="76"/>
      <c r="AP1856" s="76"/>
      <c r="AQ1856" s="76"/>
      <c r="AR1856" s="76"/>
      <c r="AS1856" s="76"/>
      <c r="AT1856" s="76"/>
      <c r="AU1856" s="76"/>
      <c r="AV1856" s="76"/>
      <c r="AW1856" s="76"/>
      <c r="AX1856" s="76">
        <f>+AW1856*600000</f>
        <v>0</v>
      </c>
      <c r="AY1856" s="76"/>
      <c r="AZ1856" s="76">
        <f>+AY1856*70000</f>
        <v>0</v>
      </c>
      <c r="BA1856" s="76"/>
      <c r="BB1856" s="76"/>
      <c r="BC1856" s="76"/>
      <c r="BD1856" s="76">
        <f>+BC1856*30000</f>
        <v>0</v>
      </c>
      <c r="BE1856" s="76"/>
      <c r="BF1856" s="76"/>
      <c r="BG1856" s="76"/>
      <c r="BH1856" s="76"/>
      <c r="BI1856" s="76"/>
      <c r="BJ1856" s="76"/>
      <c r="BK1856" s="76"/>
      <c r="BL1856" s="76">
        <f>+BK1856*31500</f>
        <v>0</v>
      </c>
      <c r="BM1856" s="76"/>
      <c r="BN1856" s="76"/>
      <c r="BO1856" s="76"/>
      <c r="BP1856" s="76"/>
      <c r="BQ1856" s="76"/>
      <c r="BR1856" s="76"/>
      <c r="BS1856" s="76"/>
      <c r="BT1856" s="76"/>
      <c r="BU1856" s="76"/>
      <c r="BV1856" s="76"/>
      <c r="BW1856" s="76"/>
      <c r="BX1856" s="76"/>
      <c r="BY1856" s="76"/>
      <c r="BZ1856" s="76"/>
      <c r="CA1856" s="76"/>
      <c r="CB1856" s="76"/>
      <c r="CC1856" s="76"/>
      <c r="CD1856" s="76"/>
      <c r="CE1856" s="76"/>
      <c r="CF1856" s="76">
        <f>+CE1856*28000</f>
        <v>0</v>
      </c>
      <c r="CG1856" s="76"/>
      <c r="CH1856" s="76">
        <f>+CG1856*22500</f>
        <v>0</v>
      </c>
      <c r="CI1856" s="76"/>
      <c r="CJ1856" s="76">
        <f>+CI1856*26000</f>
        <v>0</v>
      </c>
      <c r="CK1856" s="76"/>
      <c r="CL1856" s="76"/>
      <c r="CM1856" s="76"/>
      <c r="CN1856" s="76">
        <f>+CM1856*22000</f>
        <v>0</v>
      </c>
      <c r="CO1856" s="76"/>
      <c r="CP1856" s="76">
        <f>+CO1856*46000</f>
        <v>0</v>
      </c>
      <c r="CQ1856" s="76"/>
      <c r="CR1856" s="76">
        <f>+CQ1856*49000</f>
        <v>0</v>
      </c>
      <c r="CS1856" s="76"/>
      <c r="CT1856" s="76"/>
      <c r="CU1856" s="56">
        <f>AN1856+AP1856+AR1856+AT1856+AV1856+AX1856+AZ1856+BB1856+BD1856+BF1856+BH1856+BJ1856+BL1856+BN1856+BP1856+BR1856+BT1856+BV1856+BX1856+BZ1856+CB1856+CD1856+CF1856+CH1856+CJ1856+CL1856+CN1856+CP1856+CR1856+CT1856</f>
        <v>0</v>
      </c>
      <c r="CV1856" s="76"/>
      <c r="CW1856" s="76">
        <f>+CV1856*1100</f>
        <v>0</v>
      </c>
      <c r="CX1856" s="76"/>
      <c r="CY1856" s="76">
        <f>+CX1856*106250</f>
        <v>0</v>
      </c>
      <c r="CZ1856" s="76"/>
      <c r="DA1856" s="76">
        <f>+CZ1856*34500</f>
        <v>0</v>
      </c>
      <c r="DB1856" s="76"/>
      <c r="DC1856" s="76">
        <f>+DB1856*25000</f>
        <v>0</v>
      </c>
      <c r="DD1856" s="219"/>
      <c r="DE1856" s="219"/>
      <c r="DF1856" s="166"/>
      <c r="DG1856" s="116"/>
      <c r="DH1856" s="117"/>
      <c r="DI1856" s="24"/>
      <c r="DJ1856" s="24"/>
      <c r="DK1856" s="24"/>
      <c r="DL1856" s="24"/>
      <c r="DM1856" s="24"/>
      <c r="DN1856" s="24"/>
      <c r="DO1856" s="24"/>
      <c r="DP1856" s="24"/>
      <c r="DQ1856" s="24"/>
      <c r="DR1856" s="24"/>
      <c r="DS1856" s="24"/>
      <c r="DT1856" s="24"/>
      <c r="DU1856" s="24"/>
    </row>
    <row r="1857" spans="1:125" s="8" customFormat="1" ht="24" x14ac:dyDescent="0.2">
      <c r="A1857" s="353">
        <v>41414</v>
      </c>
      <c r="B1857" s="352" t="s">
        <v>2880</v>
      </c>
      <c r="C1857" s="354" t="s">
        <v>241</v>
      </c>
      <c r="D1857" s="354" t="s">
        <v>3088</v>
      </c>
      <c r="E1857" s="75" t="str">
        <f>VLOOKUP(B1857&amp;C1857,Divipola!$C$2:$F$1138,4,FALSE)</f>
        <v>54313</v>
      </c>
      <c r="F1857" s="163"/>
      <c r="G1857" s="163"/>
      <c r="H1857" s="163"/>
      <c r="I1857" s="163"/>
      <c r="J1857" s="163"/>
      <c r="K1857" s="163"/>
      <c r="L1857" s="163"/>
      <c r="M1857" s="163"/>
      <c r="N1857" s="163"/>
      <c r="O1857" s="163"/>
      <c r="P1857" s="163"/>
      <c r="Q1857" s="163"/>
      <c r="R1857" s="163"/>
      <c r="S1857" s="163"/>
      <c r="T1857" s="163"/>
      <c r="U1857" s="163"/>
      <c r="V1857" s="134"/>
      <c r="W1857" s="96">
        <v>0</v>
      </c>
      <c r="X1857" s="71">
        <f>CU1857</f>
        <v>0</v>
      </c>
      <c r="Y1857" s="71">
        <f>CY1857</f>
        <v>163485000</v>
      </c>
      <c r="Z1857" s="71">
        <f>DA1857+DC1857+DE1857</f>
        <v>0</v>
      </c>
      <c r="AA1857" s="71">
        <f>CW1857</f>
        <v>0</v>
      </c>
      <c r="AB1857" s="71"/>
      <c r="AC1857" s="71">
        <v>0</v>
      </c>
      <c r="AD1857" s="71">
        <f>W1857+X1857+Y1857+Z1857+AA1857+AB1857+AC1857</f>
        <v>163485000</v>
      </c>
      <c r="AE1857" s="72">
        <v>0</v>
      </c>
      <c r="AF1857" s="5"/>
      <c r="AG1857" s="6"/>
      <c r="AH1857" s="27" t="s">
        <v>3390</v>
      </c>
      <c r="AI1857" s="44" t="s">
        <v>3391</v>
      </c>
      <c r="AJ1857" s="26"/>
      <c r="AK1857" s="5"/>
      <c r="AL1857" s="82" t="s">
        <v>3089</v>
      </c>
      <c r="AM1857" s="76"/>
      <c r="AN1857" s="76"/>
      <c r="AO1857" s="76"/>
      <c r="AP1857" s="76"/>
      <c r="AQ1857" s="76"/>
      <c r="AR1857" s="76"/>
      <c r="AS1857" s="76"/>
      <c r="AT1857" s="76"/>
      <c r="AU1857" s="76"/>
      <c r="AV1857" s="76"/>
      <c r="AW1857" s="76"/>
      <c r="AX1857" s="76">
        <f>+AW1857*600000</f>
        <v>0</v>
      </c>
      <c r="AY1857" s="76"/>
      <c r="AZ1857" s="76">
        <f>+AY1857*70000</f>
        <v>0</v>
      </c>
      <c r="BA1857" s="76"/>
      <c r="BB1857" s="76"/>
      <c r="BC1857" s="76"/>
      <c r="BD1857" s="76">
        <f>+BC1857*30000</f>
        <v>0</v>
      </c>
      <c r="BE1857" s="76"/>
      <c r="BF1857" s="76"/>
      <c r="BG1857" s="76"/>
      <c r="BH1857" s="76"/>
      <c r="BI1857" s="76"/>
      <c r="BJ1857" s="76"/>
      <c r="BK1857" s="76"/>
      <c r="BL1857" s="76">
        <f>+BK1857*31500</f>
        <v>0</v>
      </c>
      <c r="BM1857" s="76"/>
      <c r="BN1857" s="76"/>
      <c r="BO1857" s="76"/>
      <c r="BP1857" s="76"/>
      <c r="BQ1857" s="76"/>
      <c r="BR1857" s="76"/>
      <c r="BS1857" s="76"/>
      <c r="BT1857" s="76"/>
      <c r="BU1857" s="76"/>
      <c r="BV1857" s="76"/>
      <c r="BW1857" s="76"/>
      <c r="BX1857" s="76"/>
      <c r="BY1857" s="76"/>
      <c r="BZ1857" s="76"/>
      <c r="CA1857" s="76"/>
      <c r="CB1857" s="76"/>
      <c r="CC1857" s="76"/>
      <c r="CD1857" s="76"/>
      <c r="CE1857" s="76"/>
      <c r="CF1857" s="76">
        <f>+CE1857*28000</f>
        <v>0</v>
      </c>
      <c r="CG1857" s="76"/>
      <c r="CH1857" s="76">
        <f>+CG1857*22500</f>
        <v>0</v>
      </c>
      <c r="CI1857" s="76"/>
      <c r="CJ1857" s="76">
        <f>+CI1857*26000</f>
        <v>0</v>
      </c>
      <c r="CK1857" s="76"/>
      <c r="CL1857" s="76"/>
      <c r="CM1857" s="76"/>
      <c r="CN1857" s="76">
        <f>+CM1857*22000</f>
        <v>0</v>
      </c>
      <c r="CO1857" s="76"/>
      <c r="CP1857" s="76">
        <f>+CO1857*46000</f>
        <v>0</v>
      </c>
      <c r="CQ1857" s="76"/>
      <c r="CR1857" s="76">
        <f>+CQ1857*49000</f>
        <v>0</v>
      </c>
      <c r="CS1857" s="76"/>
      <c r="CT1857" s="76"/>
      <c r="CU1857" s="56">
        <f>AN1857+AP1857+AR1857+AT1857+AV1857+AX1857+AZ1857+BB1857+BD1857+BF1857+BH1857+BJ1857+BL1857+BN1857+BP1857+BR1857+BT1857+BV1857+BX1857+BZ1857+CB1857+CD1857+CF1857+CH1857+CJ1857+CL1857+CN1857+CP1857+CR1857+CT1857</f>
        <v>0</v>
      </c>
      <c r="CV1857" s="76"/>
      <c r="CW1857" s="76">
        <f>+CV1857*1100</f>
        <v>0</v>
      </c>
      <c r="CX1857" s="86">
        <v>1557</v>
      </c>
      <c r="CY1857" s="86">
        <f>+CX1857*105000</f>
        <v>163485000</v>
      </c>
      <c r="CZ1857" s="76"/>
      <c r="DA1857" s="76">
        <f>+CZ1857*34500</f>
        <v>0</v>
      </c>
      <c r="DB1857" s="76"/>
      <c r="DC1857" s="76">
        <f>+DB1857*25000</f>
        <v>0</v>
      </c>
      <c r="DD1857" s="219"/>
      <c r="DE1857" s="219"/>
      <c r="DF1857" s="166"/>
      <c r="DG1857" s="134" t="s">
        <v>5461</v>
      </c>
      <c r="DH1857" s="117"/>
      <c r="DI1857" s="24"/>
      <c r="DJ1857" s="24"/>
      <c r="DK1857" s="24"/>
      <c r="DL1857" s="24"/>
      <c r="DM1857" s="24"/>
      <c r="DN1857" s="24"/>
      <c r="DO1857" s="24"/>
      <c r="DP1857" s="24"/>
      <c r="DQ1857" s="24"/>
      <c r="DR1857" s="24"/>
      <c r="DS1857" s="24"/>
      <c r="DT1857" s="24"/>
      <c r="DU1857" s="24"/>
    </row>
    <row r="1858" spans="1:125" s="8" customFormat="1" ht="72" x14ac:dyDescent="0.2">
      <c r="A1858" s="226">
        <v>41414</v>
      </c>
      <c r="B1858" s="225" t="s">
        <v>2847</v>
      </c>
      <c r="C1858" s="227" t="s">
        <v>953</v>
      </c>
      <c r="D1858" s="227" t="s">
        <v>3088</v>
      </c>
      <c r="E1858" s="75" t="str">
        <f>VLOOKUP(B1858&amp;C1858,Divipola!$C$2:$F$1138,4,FALSE)</f>
        <v>68176</v>
      </c>
      <c r="F1858" s="87"/>
      <c r="G1858" s="87"/>
      <c r="H1858" s="87"/>
      <c r="I1858" s="87"/>
      <c r="J1858" s="87"/>
      <c r="K1858" s="87"/>
      <c r="L1858" s="87"/>
      <c r="M1858" s="87">
        <v>1</v>
      </c>
      <c r="N1858" s="87"/>
      <c r="O1858" s="87"/>
      <c r="P1858" s="87"/>
      <c r="Q1858" s="87"/>
      <c r="R1858" s="87"/>
      <c r="S1858" s="87"/>
      <c r="T1858" s="87"/>
      <c r="U1858" s="88"/>
      <c r="V1858" s="89"/>
      <c r="W1858" s="96">
        <v>0</v>
      </c>
      <c r="X1858" s="71">
        <f>CU1858</f>
        <v>0</v>
      </c>
      <c r="Y1858" s="71">
        <f>CY1858</f>
        <v>0</v>
      </c>
      <c r="Z1858" s="71">
        <f>DA1858+DC1858+DE1858</f>
        <v>0</v>
      </c>
      <c r="AA1858" s="71">
        <f>CW1858</f>
        <v>0</v>
      </c>
      <c r="AB1858" s="71"/>
      <c r="AC1858" s="71">
        <v>0</v>
      </c>
      <c r="AD1858" s="71">
        <f>W1858+X1858+Y1858+Z1858+AA1858+AB1858+AC1858</f>
        <v>0</v>
      </c>
      <c r="AE1858" s="72">
        <v>0</v>
      </c>
      <c r="AF1858" s="5"/>
      <c r="AG1858" s="6"/>
      <c r="AH1858" s="27" t="s">
        <v>3392</v>
      </c>
      <c r="AI1858" s="44" t="s">
        <v>3393</v>
      </c>
      <c r="AJ1858" s="26"/>
      <c r="AK1858" s="5"/>
      <c r="AL1858" s="82" t="s">
        <v>4670</v>
      </c>
      <c r="AM1858" s="76"/>
      <c r="AN1858" s="76"/>
      <c r="AO1858" s="76"/>
      <c r="AP1858" s="76"/>
      <c r="AQ1858" s="76"/>
      <c r="AR1858" s="76"/>
      <c r="AS1858" s="76"/>
      <c r="AT1858" s="76"/>
      <c r="AU1858" s="76"/>
      <c r="AV1858" s="76"/>
      <c r="AW1858" s="76"/>
      <c r="AX1858" s="76">
        <f>+AW1858*600000</f>
        <v>0</v>
      </c>
      <c r="AY1858" s="76"/>
      <c r="AZ1858" s="76">
        <f>+AY1858*70000</f>
        <v>0</v>
      </c>
      <c r="BA1858" s="76"/>
      <c r="BB1858" s="76"/>
      <c r="BC1858" s="76"/>
      <c r="BD1858" s="76">
        <f>+BC1858*30000</f>
        <v>0</v>
      </c>
      <c r="BE1858" s="76"/>
      <c r="BF1858" s="76"/>
      <c r="BG1858" s="76"/>
      <c r="BH1858" s="76"/>
      <c r="BI1858" s="76"/>
      <c r="BJ1858" s="76"/>
      <c r="BK1858" s="76"/>
      <c r="BL1858" s="76">
        <f>+BK1858*31500</f>
        <v>0</v>
      </c>
      <c r="BM1858" s="76"/>
      <c r="BN1858" s="76"/>
      <c r="BO1858" s="76"/>
      <c r="BP1858" s="76"/>
      <c r="BQ1858" s="76"/>
      <c r="BR1858" s="76"/>
      <c r="BS1858" s="76"/>
      <c r="BT1858" s="76"/>
      <c r="BU1858" s="76"/>
      <c r="BV1858" s="76"/>
      <c r="BW1858" s="76"/>
      <c r="BX1858" s="76"/>
      <c r="BY1858" s="76"/>
      <c r="BZ1858" s="76"/>
      <c r="CA1858" s="76"/>
      <c r="CB1858" s="76"/>
      <c r="CC1858" s="76"/>
      <c r="CD1858" s="76"/>
      <c r="CE1858" s="76"/>
      <c r="CF1858" s="76">
        <f>+CE1858*28000</f>
        <v>0</v>
      </c>
      <c r="CG1858" s="76"/>
      <c r="CH1858" s="76">
        <f>+CG1858*22500</f>
        <v>0</v>
      </c>
      <c r="CI1858" s="76"/>
      <c r="CJ1858" s="76">
        <f>+CI1858*26000</f>
        <v>0</v>
      </c>
      <c r="CK1858" s="76"/>
      <c r="CL1858" s="76"/>
      <c r="CM1858" s="76"/>
      <c r="CN1858" s="76">
        <f>+CM1858*22000</f>
        <v>0</v>
      </c>
      <c r="CO1858" s="76"/>
      <c r="CP1858" s="76">
        <f>+CO1858*46000</f>
        <v>0</v>
      </c>
      <c r="CQ1858" s="76"/>
      <c r="CR1858" s="76">
        <f>+CQ1858*49000</f>
        <v>0</v>
      </c>
      <c r="CS1858" s="76"/>
      <c r="CT1858" s="76"/>
      <c r="CU1858" s="56">
        <f>AN1858+AP1858+AR1858+AT1858+AV1858+AX1858+AZ1858+BB1858+BD1858+BF1858+BH1858+BJ1858+BL1858+BN1858+BP1858+BR1858+BT1858+BV1858+BX1858+BZ1858+CB1858+CD1858+CF1858+CH1858+CJ1858+CL1858+CN1858+CP1858+CR1858+CT1858</f>
        <v>0</v>
      </c>
      <c r="CV1858" s="76"/>
      <c r="CW1858" s="76">
        <f>+CV1858*1100</f>
        <v>0</v>
      </c>
      <c r="CX1858" s="76"/>
      <c r="CY1858" s="76">
        <f>+CX1858*106250</f>
        <v>0</v>
      </c>
      <c r="CZ1858" s="76"/>
      <c r="DA1858" s="76">
        <f>+CZ1858*34500</f>
        <v>0</v>
      </c>
      <c r="DB1858" s="76"/>
      <c r="DC1858" s="76">
        <f>+DB1858*25000</f>
        <v>0</v>
      </c>
      <c r="DD1858" s="219"/>
      <c r="DE1858" s="219"/>
      <c r="DF1858" s="166"/>
      <c r="DG1858" s="116"/>
      <c r="DH1858" s="117"/>
      <c r="DI1858" s="24"/>
      <c r="DJ1858" s="24"/>
      <c r="DK1858" s="24"/>
      <c r="DL1858" s="24"/>
      <c r="DM1858" s="24"/>
      <c r="DN1858" s="24"/>
      <c r="DO1858" s="24"/>
      <c r="DP1858" s="24"/>
      <c r="DQ1858" s="24"/>
      <c r="DR1858" s="24"/>
      <c r="DS1858" s="24"/>
      <c r="DT1858" s="24"/>
      <c r="DU1858" s="24"/>
    </row>
    <row r="1859" spans="1:125" s="8" customFormat="1" ht="48" x14ac:dyDescent="0.2">
      <c r="A1859" s="353">
        <v>41414</v>
      </c>
      <c r="B1859" s="352" t="s">
        <v>2847</v>
      </c>
      <c r="C1859" s="354" t="s">
        <v>1789</v>
      </c>
      <c r="D1859" s="354" t="s">
        <v>3088</v>
      </c>
      <c r="E1859" s="75" t="str">
        <f>VLOOKUP(B1859&amp;C1859,Divipola!$C$2:$F$1138,4,FALSE)</f>
        <v>68861</v>
      </c>
      <c r="F1859" s="87"/>
      <c r="G1859" s="87"/>
      <c r="H1859" s="87"/>
      <c r="I1859" s="87"/>
      <c r="J1859" s="87"/>
      <c r="K1859" s="87"/>
      <c r="L1859" s="87"/>
      <c r="M1859" s="87">
        <v>1</v>
      </c>
      <c r="N1859" s="87"/>
      <c r="O1859" s="87"/>
      <c r="P1859" s="87"/>
      <c r="Q1859" s="87"/>
      <c r="R1859" s="87"/>
      <c r="S1859" s="87"/>
      <c r="T1859" s="87"/>
      <c r="U1859" s="88"/>
      <c r="V1859" s="89"/>
      <c r="W1859" s="96">
        <v>0</v>
      </c>
      <c r="X1859" s="71">
        <f>CU1859</f>
        <v>0</v>
      </c>
      <c r="Y1859" s="71">
        <f>CY1859</f>
        <v>0</v>
      </c>
      <c r="Z1859" s="71">
        <f>DA1859+DC1859+DE1859</f>
        <v>0</v>
      </c>
      <c r="AA1859" s="71">
        <f>CW1859</f>
        <v>0</v>
      </c>
      <c r="AB1859" s="71"/>
      <c r="AC1859" s="71">
        <v>0</v>
      </c>
      <c r="AD1859" s="71">
        <f>W1859+X1859+Y1859+Z1859+AA1859+AB1859+AC1859</f>
        <v>0</v>
      </c>
      <c r="AE1859" s="72">
        <v>0</v>
      </c>
      <c r="AF1859" s="5"/>
      <c r="AG1859" s="6"/>
      <c r="AH1859" s="27" t="s">
        <v>3392</v>
      </c>
      <c r="AI1859" s="44" t="s">
        <v>3393</v>
      </c>
      <c r="AJ1859" s="26"/>
      <c r="AK1859" s="5"/>
      <c r="AL1859" s="82" t="s">
        <v>4671</v>
      </c>
      <c r="AM1859" s="76"/>
      <c r="AN1859" s="76"/>
      <c r="AO1859" s="76"/>
      <c r="AP1859" s="76"/>
      <c r="AQ1859" s="76"/>
      <c r="AR1859" s="76"/>
      <c r="AS1859" s="76"/>
      <c r="AT1859" s="76"/>
      <c r="AU1859" s="76"/>
      <c r="AV1859" s="76"/>
      <c r="AW1859" s="76"/>
      <c r="AX1859" s="76">
        <f>+AW1859*600000</f>
        <v>0</v>
      </c>
      <c r="AY1859" s="76"/>
      <c r="AZ1859" s="76">
        <f>+AY1859*70000</f>
        <v>0</v>
      </c>
      <c r="BA1859" s="76"/>
      <c r="BB1859" s="76"/>
      <c r="BC1859" s="76"/>
      <c r="BD1859" s="76">
        <f>+BC1859*30000</f>
        <v>0</v>
      </c>
      <c r="BE1859" s="76"/>
      <c r="BF1859" s="76"/>
      <c r="BG1859" s="76"/>
      <c r="BH1859" s="76"/>
      <c r="BI1859" s="76"/>
      <c r="BJ1859" s="76"/>
      <c r="BK1859" s="76"/>
      <c r="BL1859" s="76">
        <f>+BK1859*31500</f>
        <v>0</v>
      </c>
      <c r="BM1859" s="76"/>
      <c r="BN1859" s="76"/>
      <c r="BO1859" s="76"/>
      <c r="BP1859" s="76"/>
      <c r="BQ1859" s="76"/>
      <c r="BR1859" s="76"/>
      <c r="BS1859" s="76"/>
      <c r="BT1859" s="76"/>
      <c r="BU1859" s="76"/>
      <c r="BV1859" s="76"/>
      <c r="BW1859" s="76"/>
      <c r="BX1859" s="76"/>
      <c r="BY1859" s="76"/>
      <c r="BZ1859" s="76"/>
      <c r="CA1859" s="76"/>
      <c r="CB1859" s="76"/>
      <c r="CC1859" s="76"/>
      <c r="CD1859" s="76"/>
      <c r="CE1859" s="76"/>
      <c r="CF1859" s="76">
        <f>+CE1859*28000</f>
        <v>0</v>
      </c>
      <c r="CG1859" s="76"/>
      <c r="CH1859" s="76">
        <f>+CG1859*22500</f>
        <v>0</v>
      </c>
      <c r="CI1859" s="76"/>
      <c r="CJ1859" s="76">
        <f>+CI1859*26000</f>
        <v>0</v>
      </c>
      <c r="CK1859" s="76"/>
      <c r="CL1859" s="76"/>
      <c r="CM1859" s="76"/>
      <c r="CN1859" s="76">
        <f>+CM1859*22000</f>
        <v>0</v>
      </c>
      <c r="CO1859" s="76"/>
      <c r="CP1859" s="76">
        <f>+CO1859*46000</f>
        <v>0</v>
      </c>
      <c r="CQ1859" s="76"/>
      <c r="CR1859" s="76">
        <f>+CQ1859*49000</f>
        <v>0</v>
      </c>
      <c r="CS1859" s="76"/>
      <c r="CT1859" s="76"/>
      <c r="CU1859" s="56">
        <f>AN1859+AP1859+AR1859+AT1859+AV1859+AX1859+AZ1859+BB1859+BD1859+BF1859+BH1859+BJ1859+BL1859+BN1859+BP1859+BR1859+BT1859+BV1859+BX1859+BZ1859+CB1859+CD1859+CF1859+CH1859+CJ1859+CL1859+CN1859+CP1859+CR1859+CT1859</f>
        <v>0</v>
      </c>
      <c r="CV1859" s="76"/>
      <c r="CW1859" s="76">
        <f>+CV1859*1100</f>
        <v>0</v>
      </c>
      <c r="CX1859" s="76"/>
      <c r="CY1859" s="76">
        <f>+CX1859*106250</f>
        <v>0</v>
      </c>
      <c r="CZ1859" s="76"/>
      <c r="DA1859" s="76">
        <f>+CZ1859*34500</f>
        <v>0</v>
      </c>
      <c r="DB1859" s="76"/>
      <c r="DC1859" s="76">
        <f>+DB1859*25000</f>
        <v>0</v>
      </c>
      <c r="DD1859" s="219"/>
      <c r="DE1859" s="219"/>
      <c r="DF1859" s="166"/>
      <c r="DG1859" s="116"/>
      <c r="DH1859" s="117"/>
      <c r="DI1859" s="24"/>
      <c r="DJ1859" s="24"/>
      <c r="DK1859" s="24"/>
      <c r="DL1859" s="24"/>
      <c r="DM1859" s="24"/>
      <c r="DN1859" s="24"/>
      <c r="DO1859" s="24"/>
      <c r="DP1859" s="24"/>
      <c r="DQ1859" s="24"/>
      <c r="DR1859" s="24"/>
      <c r="DS1859" s="24"/>
      <c r="DT1859" s="24"/>
      <c r="DU1859" s="24"/>
    </row>
    <row r="1860" spans="1:125" s="8" customFormat="1" ht="72" x14ac:dyDescent="0.2">
      <c r="A1860" s="77">
        <v>41414</v>
      </c>
      <c r="B1860" s="78" t="s">
        <v>2848</v>
      </c>
      <c r="C1860" s="75" t="s">
        <v>2077</v>
      </c>
      <c r="D1860" s="75" t="s">
        <v>2882</v>
      </c>
      <c r="E1860" s="75" t="str">
        <f>VLOOKUP(B1860&amp;C1860,Divipola!$C$2:$F$1138,4,FALSE)</f>
        <v>73411</v>
      </c>
      <c r="F1860" s="163"/>
      <c r="G1860" s="163"/>
      <c r="H1860" s="163"/>
      <c r="I1860" s="163"/>
      <c r="J1860" s="163"/>
      <c r="K1860" s="163"/>
      <c r="L1860" s="163"/>
      <c r="M1860" s="163"/>
      <c r="N1860" s="163"/>
      <c r="O1860" s="163"/>
      <c r="P1860" s="163"/>
      <c r="Q1860" s="163"/>
      <c r="R1860" s="163"/>
      <c r="S1860" s="163"/>
      <c r="T1860" s="163"/>
      <c r="U1860" s="163"/>
      <c r="V1860" s="134"/>
      <c r="W1860" s="96">
        <v>12300000</v>
      </c>
      <c r="X1860" s="71">
        <f>CU1860</f>
        <v>0</v>
      </c>
      <c r="Y1860" s="71">
        <f>CY1860</f>
        <v>0</v>
      </c>
      <c r="Z1860" s="71">
        <f>DA1860+DC1860+DE1860</f>
        <v>0</v>
      </c>
      <c r="AA1860" s="71">
        <f>CW1860</f>
        <v>0</v>
      </c>
      <c r="AB1860" s="71"/>
      <c r="AC1860" s="71">
        <v>0</v>
      </c>
      <c r="AD1860" s="71">
        <f>W1860+X1860+Y1860+Z1860+AA1860+AB1860+AC1860</f>
        <v>12300000</v>
      </c>
      <c r="AE1860" s="72">
        <v>0</v>
      </c>
      <c r="AF1860" s="5"/>
      <c r="AG1860" s="6"/>
      <c r="AH1860" s="27" t="s">
        <v>3390</v>
      </c>
      <c r="AI1860" s="44" t="s">
        <v>3391</v>
      </c>
      <c r="AJ1860" s="26"/>
      <c r="AK1860" s="5"/>
      <c r="AL1860" s="82" t="s">
        <v>4661</v>
      </c>
      <c r="AM1860" s="76"/>
      <c r="AN1860" s="76"/>
      <c r="AO1860" s="76"/>
      <c r="AP1860" s="76"/>
      <c r="AQ1860" s="76"/>
      <c r="AR1860" s="76"/>
      <c r="AS1860" s="76"/>
      <c r="AT1860" s="76"/>
      <c r="AU1860" s="76"/>
      <c r="AV1860" s="76"/>
      <c r="AW1860" s="76"/>
      <c r="AX1860" s="76">
        <f>+AW1860*600000</f>
        <v>0</v>
      </c>
      <c r="AY1860" s="76"/>
      <c r="AZ1860" s="76">
        <f>+AY1860*70000</f>
        <v>0</v>
      </c>
      <c r="BA1860" s="76"/>
      <c r="BB1860" s="76"/>
      <c r="BC1860" s="76"/>
      <c r="BD1860" s="76">
        <f>+BC1860*30000</f>
        <v>0</v>
      </c>
      <c r="BE1860" s="76"/>
      <c r="BF1860" s="76"/>
      <c r="BG1860" s="76"/>
      <c r="BH1860" s="76"/>
      <c r="BI1860" s="76"/>
      <c r="BJ1860" s="76"/>
      <c r="BK1860" s="76"/>
      <c r="BL1860" s="76">
        <f>+BK1860*31500</f>
        <v>0</v>
      </c>
      <c r="BM1860" s="76"/>
      <c r="BN1860" s="76"/>
      <c r="BO1860" s="76"/>
      <c r="BP1860" s="76"/>
      <c r="BQ1860" s="76"/>
      <c r="BR1860" s="76"/>
      <c r="BS1860" s="76"/>
      <c r="BT1860" s="76"/>
      <c r="BU1860" s="76"/>
      <c r="BV1860" s="76"/>
      <c r="BW1860" s="76"/>
      <c r="BX1860" s="76"/>
      <c r="BY1860" s="76"/>
      <c r="BZ1860" s="76"/>
      <c r="CA1860" s="76"/>
      <c r="CB1860" s="76"/>
      <c r="CC1860" s="76"/>
      <c r="CD1860" s="76"/>
      <c r="CE1860" s="76"/>
      <c r="CF1860" s="76">
        <f>+CE1860*28000</f>
        <v>0</v>
      </c>
      <c r="CG1860" s="76"/>
      <c r="CH1860" s="76">
        <f>+CG1860*22500</f>
        <v>0</v>
      </c>
      <c r="CI1860" s="76"/>
      <c r="CJ1860" s="76">
        <f>+CI1860*26000</f>
        <v>0</v>
      </c>
      <c r="CK1860" s="76"/>
      <c r="CL1860" s="76"/>
      <c r="CM1860" s="76"/>
      <c r="CN1860" s="76">
        <f>+CM1860*22000</f>
        <v>0</v>
      </c>
      <c r="CO1860" s="76"/>
      <c r="CP1860" s="76">
        <f>+CO1860*46000</f>
        <v>0</v>
      </c>
      <c r="CQ1860" s="76"/>
      <c r="CR1860" s="76">
        <f>+CQ1860*49000</f>
        <v>0</v>
      </c>
      <c r="CS1860" s="76"/>
      <c r="CT1860" s="76"/>
      <c r="CU1860" s="56">
        <f>AN1860+AP1860+AR1860+AT1860+AV1860+AX1860+AZ1860+BB1860+BD1860+BF1860+BH1860+BJ1860+BL1860+BN1860+BP1860+BR1860+BT1860+BV1860+BX1860+BZ1860+CB1860+CD1860+CF1860+CH1860+CJ1860+CL1860+CN1860+CP1860+CR1860+CT1860</f>
        <v>0</v>
      </c>
      <c r="CV1860" s="76"/>
      <c r="CW1860" s="76">
        <f>+CV1860*1100</f>
        <v>0</v>
      </c>
      <c r="CX1860" s="76"/>
      <c r="CY1860" s="76">
        <f>+CX1860*106250</f>
        <v>0</v>
      </c>
      <c r="CZ1860" s="76"/>
      <c r="DA1860" s="76">
        <f>+CZ1860*34500</f>
        <v>0</v>
      </c>
      <c r="DB1860" s="76"/>
      <c r="DC1860" s="76">
        <f>+DB1860*25000</f>
        <v>0</v>
      </c>
      <c r="DD1860" s="219"/>
      <c r="DE1860" s="219"/>
      <c r="DF1860" s="166"/>
      <c r="DG1860" s="116"/>
      <c r="DH1860" s="117"/>
      <c r="DI1860" s="24"/>
      <c r="DJ1860" s="24"/>
      <c r="DK1860" s="24"/>
      <c r="DL1860" s="24"/>
      <c r="DM1860" s="24"/>
      <c r="DN1860" s="24"/>
      <c r="DO1860" s="24"/>
      <c r="DP1860" s="24"/>
      <c r="DQ1860" s="24"/>
      <c r="DR1860" s="24"/>
      <c r="DS1860" s="24"/>
      <c r="DT1860" s="24"/>
      <c r="DU1860" s="24"/>
    </row>
    <row r="1861" spans="1:125" s="8" customFormat="1" ht="84" x14ac:dyDescent="0.2">
      <c r="A1861" s="353">
        <v>41414</v>
      </c>
      <c r="B1861" s="352" t="s">
        <v>2851</v>
      </c>
      <c r="C1861" s="354" t="s">
        <v>1686</v>
      </c>
      <c r="D1861" s="354" t="s">
        <v>2859</v>
      </c>
      <c r="E1861" s="75" t="str">
        <f>VLOOKUP(B1861&amp;C1861,Divipola!$C$2:$F$1138,4,FALSE)</f>
        <v>76001</v>
      </c>
      <c r="F1861" s="87"/>
      <c r="G1861" s="87">
        <v>3</v>
      </c>
      <c r="H1861" s="87"/>
      <c r="I1861" s="87">
        <v>5</v>
      </c>
      <c r="J1861" s="87">
        <v>1</v>
      </c>
      <c r="K1861" s="87">
        <v>1</v>
      </c>
      <c r="L1861" s="87"/>
      <c r="M1861" s="87"/>
      <c r="N1861" s="87"/>
      <c r="O1861" s="87"/>
      <c r="P1861" s="87"/>
      <c r="Q1861" s="87"/>
      <c r="R1861" s="87"/>
      <c r="S1861" s="87"/>
      <c r="T1861" s="87"/>
      <c r="U1861" s="88"/>
      <c r="V1861" s="89"/>
      <c r="W1861" s="96">
        <v>0</v>
      </c>
      <c r="X1861" s="71">
        <f>CU1861</f>
        <v>0</v>
      </c>
      <c r="Y1861" s="71">
        <f>CY1861</f>
        <v>0</v>
      </c>
      <c r="Z1861" s="71">
        <f>DA1861+DC1861+DE1861</f>
        <v>0</v>
      </c>
      <c r="AA1861" s="71">
        <f>CW1861</f>
        <v>0</v>
      </c>
      <c r="AB1861" s="71"/>
      <c r="AC1861" s="71">
        <v>0</v>
      </c>
      <c r="AD1861" s="71">
        <f>W1861+X1861+Y1861+Z1861+AA1861+AB1861+AC1861</f>
        <v>0</v>
      </c>
      <c r="AE1861" s="72">
        <v>0</v>
      </c>
      <c r="AF1861" s="5"/>
      <c r="AG1861" s="6"/>
      <c r="AH1861" s="27" t="s">
        <v>3392</v>
      </c>
      <c r="AI1861" s="44" t="s">
        <v>3393</v>
      </c>
      <c r="AJ1861" s="26"/>
      <c r="AK1861" s="5"/>
      <c r="AL1861" s="82" t="s">
        <v>4658</v>
      </c>
      <c r="AM1861" s="76"/>
      <c r="AN1861" s="76"/>
      <c r="AO1861" s="76"/>
      <c r="AP1861" s="76"/>
      <c r="AQ1861" s="76"/>
      <c r="AR1861" s="76"/>
      <c r="AS1861" s="76"/>
      <c r="AT1861" s="76"/>
      <c r="AU1861" s="76"/>
      <c r="AV1861" s="76"/>
      <c r="AW1861" s="76"/>
      <c r="AX1861" s="76">
        <f>+AW1861*600000</f>
        <v>0</v>
      </c>
      <c r="AY1861" s="76"/>
      <c r="AZ1861" s="76">
        <f>+AY1861*70000</f>
        <v>0</v>
      </c>
      <c r="BA1861" s="76"/>
      <c r="BB1861" s="76"/>
      <c r="BC1861" s="76"/>
      <c r="BD1861" s="76">
        <f>+BC1861*30000</f>
        <v>0</v>
      </c>
      <c r="BE1861" s="76"/>
      <c r="BF1861" s="76"/>
      <c r="BG1861" s="76"/>
      <c r="BH1861" s="76"/>
      <c r="BI1861" s="76"/>
      <c r="BJ1861" s="76"/>
      <c r="BK1861" s="76"/>
      <c r="BL1861" s="76">
        <f>+BK1861*31500</f>
        <v>0</v>
      </c>
      <c r="BM1861" s="76"/>
      <c r="BN1861" s="76"/>
      <c r="BO1861" s="76"/>
      <c r="BP1861" s="76"/>
      <c r="BQ1861" s="76"/>
      <c r="BR1861" s="76"/>
      <c r="BS1861" s="76"/>
      <c r="BT1861" s="76"/>
      <c r="BU1861" s="76"/>
      <c r="BV1861" s="76"/>
      <c r="BW1861" s="76"/>
      <c r="BX1861" s="76"/>
      <c r="BY1861" s="76"/>
      <c r="BZ1861" s="76"/>
      <c r="CA1861" s="76"/>
      <c r="CB1861" s="76"/>
      <c r="CC1861" s="76"/>
      <c r="CD1861" s="76"/>
      <c r="CE1861" s="76"/>
      <c r="CF1861" s="76">
        <f>+CE1861*28000</f>
        <v>0</v>
      </c>
      <c r="CG1861" s="76"/>
      <c r="CH1861" s="76">
        <f>+CG1861*22500</f>
        <v>0</v>
      </c>
      <c r="CI1861" s="76"/>
      <c r="CJ1861" s="76">
        <f>+CI1861*26000</f>
        <v>0</v>
      </c>
      <c r="CK1861" s="76"/>
      <c r="CL1861" s="76"/>
      <c r="CM1861" s="76"/>
      <c r="CN1861" s="76">
        <f>+CM1861*22000</f>
        <v>0</v>
      </c>
      <c r="CO1861" s="76"/>
      <c r="CP1861" s="76">
        <f>+CO1861*46000</f>
        <v>0</v>
      </c>
      <c r="CQ1861" s="76"/>
      <c r="CR1861" s="76">
        <f>+CQ1861*49000</f>
        <v>0</v>
      </c>
      <c r="CS1861" s="76"/>
      <c r="CT1861" s="76"/>
      <c r="CU1861" s="56">
        <f>AN1861+AP1861+AR1861+AT1861+AV1861+AX1861+AZ1861+BB1861+BD1861+BF1861+BH1861+BJ1861+BL1861+BN1861+BP1861+BR1861+BT1861+BV1861+BX1861+BZ1861+CB1861+CD1861+CF1861+CH1861+CJ1861+CL1861+CN1861+CP1861+CR1861+CT1861</f>
        <v>0</v>
      </c>
      <c r="CV1861" s="76"/>
      <c r="CW1861" s="76">
        <f>+CV1861*1100</f>
        <v>0</v>
      </c>
      <c r="CX1861" s="76"/>
      <c r="CY1861" s="76">
        <f>+CX1861*106250</f>
        <v>0</v>
      </c>
      <c r="CZ1861" s="76"/>
      <c r="DA1861" s="76">
        <f>+CZ1861*34500</f>
        <v>0</v>
      </c>
      <c r="DB1861" s="76"/>
      <c r="DC1861" s="76">
        <f>+DB1861*25000</f>
        <v>0</v>
      </c>
      <c r="DD1861" s="219"/>
      <c r="DE1861" s="219"/>
      <c r="DF1861" s="166"/>
      <c r="DG1861" s="116"/>
      <c r="DH1861" s="117"/>
      <c r="DI1861" s="24"/>
      <c r="DJ1861" s="24"/>
      <c r="DK1861" s="24"/>
      <c r="DL1861" s="24"/>
      <c r="DM1861" s="24"/>
      <c r="DN1861" s="24"/>
      <c r="DO1861" s="24"/>
      <c r="DP1861" s="24"/>
      <c r="DQ1861" s="24"/>
      <c r="DR1861" s="24"/>
      <c r="DS1861" s="24"/>
      <c r="DT1861" s="24"/>
      <c r="DU1861" s="24"/>
    </row>
    <row r="1862" spans="1:125" s="8" customFormat="1" ht="60" x14ac:dyDescent="0.2">
      <c r="A1862" s="77">
        <v>41414</v>
      </c>
      <c r="B1862" s="78" t="s">
        <v>2851</v>
      </c>
      <c r="C1862" s="75" t="s">
        <v>1686</v>
      </c>
      <c r="D1862" s="75" t="s">
        <v>3051</v>
      </c>
      <c r="E1862" s="75" t="str">
        <f>VLOOKUP(B1862&amp;C1862,Divipola!$C$2:$F$1138,4,FALSE)</f>
        <v>76001</v>
      </c>
      <c r="F1862" s="163"/>
      <c r="G1862" s="163"/>
      <c r="H1862" s="163"/>
      <c r="I1862" s="163"/>
      <c r="J1862" s="163"/>
      <c r="K1862" s="163"/>
      <c r="L1862" s="163"/>
      <c r="M1862" s="163"/>
      <c r="N1862" s="163"/>
      <c r="O1862" s="163"/>
      <c r="P1862" s="163"/>
      <c r="Q1862" s="163"/>
      <c r="R1862" s="163"/>
      <c r="S1862" s="163"/>
      <c r="T1862" s="163"/>
      <c r="U1862" s="163"/>
      <c r="V1862" s="134"/>
      <c r="W1862" s="96">
        <v>18000000</v>
      </c>
      <c r="X1862" s="71">
        <f>CU1862</f>
        <v>0</v>
      </c>
      <c r="Y1862" s="71">
        <f>CY1862</f>
        <v>0</v>
      </c>
      <c r="Z1862" s="71">
        <f>DA1862+DC1862+DE1862</f>
        <v>0</v>
      </c>
      <c r="AA1862" s="71">
        <f>CW1862</f>
        <v>0</v>
      </c>
      <c r="AB1862" s="71"/>
      <c r="AC1862" s="71">
        <v>0</v>
      </c>
      <c r="AD1862" s="71">
        <f>W1862+X1862+Y1862+Z1862+AA1862+AB1862+AC1862</f>
        <v>18000000</v>
      </c>
      <c r="AE1862" s="72">
        <v>0</v>
      </c>
      <c r="AF1862" s="5"/>
      <c r="AG1862" s="6"/>
      <c r="AH1862" s="27" t="s">
        <v>3390</v>
      </c>
      <c r="AI1862" s="44" t="s">
        <v>3391</v>
      </c>
      <c r="AJ1862" s="26"/>
      <c r="AK1862" s="5"/>
      <c r="AL1862" s="82" t="s">
        <v>4659</v>
      </c>
      <c r="AM1862" s="76"/>
      <c r="AN1862" s="76"/>
      <c r="AO1862" s="76"/>
      <c r="AP1862" s="76"/>
      <c r="AQ1862" s="76"/>
      <c r="AR1862" s="76"/>
      <c r="AS1862" s="76"/>
      <c r="AT1862" s="76"/>
      <c r="AU1862" s="76"/>
      <c r="AV1862" s="76"/>
      <c r="AW1862" s="76"/>
      <c r="AX1862" s="76">
        <f>+AW1862*600000</f>
        <v>0</v>
      </c>
      <c r="AY1862" s="76"/>
      <c r="AZ1862" s="76">
        <f>+AY1862*70000</f>
        <v>0</v>
      </c>
      <c r="BA1862" s="76"/>
      <c r="BB1862" s="76"/>
      <c r="BC1862" s="76"/>
      <c r="BD1862" s="76">
        <f>+BC1862*30000</f>
        <v>0</v>
      </c>
      <c r="BE1862" s="76"/>
      <c r="BF1862" s="76"/>
      <c r="BG1862" s="76"/>
      <c r="BH1862" s="76"/>
      <c r="BI1862" s="76"/>
      <c r="BJ1862" s="76"/>
      <c r="BK1862" s="76"/>
      <c r="BL1862" s="76">
        <f>+BK1862*31500</f>
        <v>0</v>
      </c>
      <c r="BM1862" s="76"/>
      <c r="BN1862" s="76"/>
      <c r="BO1862" s="76"/>
      <c r="BP1862" s="76"/>
      <c r="BQ1862" s="76"/>
      <c r="BR1862" s="76"/>
      <c r="BS1862" s="76"/>
      <c r="BT1862" s="76"/>
      <c r="BU1862" s="76"/>
      <c r="BV1862" s="76"/>
      <c r="BW1862" s="76"/>
      <c r="BX1862" s="76"/>
      <c r="BY1862" s="76"/>
      <c r="BZ1862" s="76"/>
      <c r="CA1862" s="76"/>
      <c r="CB1862" s="76"/>
      <c r="CC1862" s="76"/>
      <c r="CD1862" s="76"/>
      <c r="CE1862" s="76"/>
      <c r="CF1862" s="76">
        <f>+CE1862*28000</f>
        <v>0</v>
      </c>
      <c r="CG1862" s="76"/>
      <c r="CH1862" s="76">
        <f>+CG1862*22500</f>
        <v>0</v>
      </c>
      <c r="CI1862" s="76"/>
      <c r="CJ1862" s="76">
        <f>+CI1862*26000</f>
        <v>0</v>
      </c>
      <c r="CK1862" s="76"/>
      <c r="CL1862" s="76"/>
      <c r="CM1862" s="76"/>
      <c r="CN1862" s="76">
        <f>+CM1862*22000</f>
        <v>0</v>
      </c>
      <c r="CO1862" s="76"/>
      <c r="CP1862" s="76">
        <f>+CO1862*46000</f>
        <v>0</v>
      </c>
      <c r="CQ1862" s="76"/>
      <c r="CR1862" s="76">
        <f>+CQ1862*49000</f>
        <v>0</v>
      </c>
      <c r="CS1862" s="76"/>
      <c r="CT1862" s="76"/>
      <c r="CU1862" s="56">
        <f>AN1862+AP1862+AR1862+AT1862+AV1862+AX1862+AZ1862+BB1862+BD1862+BF1862+BH1862+BJ1862+BL1862+BN1862+BP1862+BR1862+BT1862+BV1862+BX1862+BZ1862+CB1862+CD1862+CF1862+CH1862+CJ1862+CL1862+CN1862+CP1862+CR1862+CT1862</f>
        <v>0</v>
      </c>
      <c r="CV1862" s="76"/>
      <c r="CW1862" s="76">
        <f>+CV1862*1100</f>
        <v>0</v>
      </c>
      <c r="CX1862" s="76"/>
      <c r="CY1862" s="76">
        <f>+CX1862*106250</f>
        <v>0</v>
      </c>
      <c r="CZ1862" s="76"/>
      <c r="DA1862" s="76">
        <f>+CZ1862*34500</f>
        <v>0</v>
      </c>
      <c r="DB1862" s="76"/>
      <c r="DC1862" s="76">
        <f>+DB1862*25000</f>
        <v>0</v>
      </c>
      <c r="DD1862" s="219"/>
      <c r="DE1862" s="219"/>
      <c r="DF1862" s="166"/>
      <c r="DG1862" s="116"/>
      <c r="DH1862" s="117"/>
      <c r="DI1862" s="24"/>
      <c r="DJ1862" s="24"/>
      <c r="DK1862" s="24"/>
      <c r="DL1862" s="24"/>
      <c r="DM1862" s="24"/>
      <c r="DN1862" s="24"/>
      <c r="DO1862" s="24"/>
      <c r="DP1862" s="24"/>
      <c r="DQ1862" s="24"/>
      <c r="DR1862" s="24"/>
      <c r="DS1862" s="24"/>
      <c r="DT1862" s="24"/>
      <c r="DU1862" s="24"/>
    </row>
    <row r="1863" spans="1:125" s="8" customFormat="1" ht="36" x14ac:dyDescent="0.2">
      <c r="A1863" s="353">
        <v>41414</v>
      </c>
      <c r="B1863" s="352" t="s">
        <v>2851</v>
      </c>
      <c r="C1863" s="354" t="s">
        <v>2800</v>
      </c>
      <c r="D1863" s="354" t="s">
        <v>3051</v>
      </c>
      <c r="E1863" s="75" t="str">
        <f>VLOOKUP(B1863&amp;C1863,Divipola!$C$2:$F$1138,4,FALSE)</f>
        <v>76895</v>
      </c>
      <c r="F1863" s="87"/>
      <c r="G1863" s="87"/>
      <c r="H1863" s="87"/>
      <c r="I1863" s="87">
        <v>25</v>
      </c>
      <c r="J1863" s="87">
        <v>5</v>
      </c>
      <c r="K1863" s="87"/>
      <c r="L1863" s="87">
        <v>5</v>
      </c>
      <c r="M1863" s="87"/>
      <c r="N1863" s="87"/>
      <c r="O1863" s="87"/>
      <c r="P1863" s="87"/>
      <c r="Q1863" s="87"/>
      <c r="R1863" s="87"/>
      <c r="S1863" s="87"/>
      <c r="T1863" s="87"/>
      <c r="U1863" s="88"/>
      <c r="V1863" s="89"/>
      <c r="W1863" s="96">
        <v>0</v>
      </c>
      <c r="X1863" s="71">
        <f>CU1863</f>
        <v>0</v>
      </c>
      <c r="Y1863" s="71">
        <f>CY1863</f>
        <v>0</v>
      </c>
      <c r="Z1863" s="71">
        <f>DA1863+DC1863+DE1863</f>
        <v>0</v>
      </c>
      <c r="AA1863" s="71">
        <f>CW1863</f>
        <v>0</v>
      </c>
      <c r="AB1863" s="71"/>
      <c r="AC1863" s="71">
        <v>0</v>
      </c>
      <c r="AD1863" s="71">
        <f>W1863+X1863+Y1863+Z1863+AA1863+AB1863+AC1863</f>
        <v>0</v>
      </c>
      <c r="AE1863" s="72">
        <v>0</v>
      </c>
      <c r="AF1863" s="5"/>
      <c r="AG1863" s="6"/>
      <c r="AH1863" s="27" t="s">
        <v>3392</v>
      </c>
      <c r="AI1863" s="44" t="s">
        <v>3393</v>
      </c>
      <c r="AJ1863" s="26"/>
      <c r="AK1863" s="5"/>
      <c r="AL1863" s="82" t="s">
        <v>4696</v>
      </c>
      <c r="AM1863" s="76"/>
      <c r="AN1863" s="76"/>
      <c r="AO1863" s="76"/>
      <c r="AP1863" s="76"/>
      <c r="AQ1863" s="76"/>
      <c r="AR1863" s="76"/>
      <c r="AS1863" s="76"/>
      <c r="AT1863" s="76"/>
      <c r="AU1863" s="76"/>
      <c r="AV1863" s="76"/>
      <c r="AW1863" s="76"/>
      <c r="AX1863" s="76">
        <f>+AW1863*600000</f>
        <v>0</v>
      </c>
      <c r="AY1863" s="76"/>
      <c r="AZ1863" s="76">
        <f>+AY1863*70000</f>
        <v>0</v>
      </c>
      <c r="BA1863" s="76"/>
      <c r="BB1863" s="76"/>
      <c r="BC1863" s="76"/>
      <c r="BD1863" s="76">
        <f>+BC1863*30000</f>
        <v>0</v>
      </c>
      <c r="BE1863" s="76"/>
      <c r="BF1863" s="76"/>
      <c r="BG1863" s="76"/>
      <c r="BH1863" s="76"/>
      <c r="BI1863" s="76"/>
      <c r="BJ1863" s="76"/>
      <c r="BK1863" s="76"/>
      <c r="BL1863" s="76">
        <f>+BK1863*31500</f>
        <v>0</v>
      </c>
      <c r="BM1863" s="76"/>
      <c r="BN1863" s="76"/>
      <c r="BO1863" s="76"/>
      <c r="BP1863" s="76"/>
      <c r="BQ1863" s="76"/>
      <c r="BR1863" s="76"/>
      <c r="BS1863" s="76"/>
      <c r="BT1863" s="76"/>
      <c r="BU1863" s="76"/>
      <c r="BV1863" s="76"/>
      <c r="BW1863" s="76"/>
      <c r="BX1863" s="76"/>
      <c r="BY1863" s="76"/>
      <c r="BZ1863" s="76"/>
      <c r="CA1863" s="76"/>
      <c r="CB1863" s="76"/>
      <c r="CC1863" s="76"/>
      <c r="CD1863" s="76"/>
      <c r="CE1863" s="76"/>
      <c r="CF1863" s="76">
        <f>+CE1863*28000</f>
        <v>0</v>
      </c>
      <c r="CG1863" s="76"/>
      <c r="CH1863" s="76">
        <f>+CG1863*22500</f>
        <v>0</v>
      </c>
      <c r="CI1863" s="76"/>
      <c r="CJ1863" s="76">
        <f>+CI1863*26000</f>
        <v>0</v>
      </c>
      <c r="CK1863" s="76"/>
      <c r="CL1863" s="76"/>
      <c r="CM1863" s="76"/>
      <c r="CN1863" s="76">
        <f>+CM1863*22000</f>
        <v>0</v>
      </c>
      <c r="CO1863" s="76"/>
      <c r="CP1863" s="76">
        <f>+CO1863*46000</f>
        <v>0</v>
      </c>
      <c r="CQ1863" s="76"/>
      <c r="CR1863" s="76">
        <f>+CQ1863*49000</f>
        <v>0</v>
      </c>
      <c r="CS1863" s="76"/>
      <c r="CT1863" s="76"/>
      <c r="CU1863" s="56">
        <f>AN1863+AP1863+AR1863+AT1863+AV1863+AX1863+AZ1863+BB1863+BD1863+BF1863+BH1863+BJ1863+BL1863+BN1863+BP1863+BR1863+BT1863+BV1863+BX1863+BZ1863+CB1863+CD1863+CF1863+CH1863+CJ1863+CL1863+CN1863+CP1863+CR1863+CT1863</f>
        <v>0</v>
      </c>
      <c r="CV1863" s="76"/>
      <c r="CW1863" s="76">
        <f>+CV1863*1100</f>
        <v>0</v>
      </c>
      <c r="CX1863" s="76"/>
      <c r="CY1863" s="76">
        <f>+CX1863*106250</f>
        <v>0</v>
      </c>
      <c r="CZ1863" s="76"/>
      <c r="DA1863" s="76">
        <f>+CZ1863*34500</f>
        <v>0</v>
      </c>
      <c r="DB1863" s="76"/>
      <c r="DC1863" s="76">
        <f>+DB1863*25000</f>
        <v>0</v>
      </c>
      <c r="DD1863" s="219"/>
      <c r="DE1863" s="219"/>
      <c r="DF1863" s="166"/>
      <c r="DG1863" s="116"/>
      <c r="DH1863" s="117"/>
      <c r="DI1863" s="24"/>
      <c r="DJ1863" s="24"/>
      <c r="DK1863" s="24"/>
      <c r="DL1863" s="24"/>
      <c r="DM1863" s="24"/>
      <c r="DN1863" s="24"/>
      <c r="DO1863" s="24"/>
      <c r="DP1863" s="24"/>
      <c r="DQ1863" s="24"/>
      <c r="DR1863" s="24"/>
      <c r="DS1863" s="24"/>
      <c r="DT1863" s="24"/>
      <c r="DU1863" s="24"/>
    </row>
    <row r="1864" spans="1:125" s="8" customFormat="1" ht="72" x14ac:dyDescent="0.2">
      <c r="A1864" s="77">
        <v>41415</v>
      </c>
      <c r="B1864" s="78" t="s">
        <v>2894</v>
      </c>
      <c r="C1864" s="75" t="s">
        <v>2695</v>
      </c>
      <c r="D1864" s="75" t="s">
        <v>3088</v>
      </c>
      <c r="E1864" s="75" t="str">
        <f>VLOOKUP(B1864&amp;C1864,Divipola!$C$2:$F$1138,4,FALSE)</f>
        <v>05093</v>
      </c>
      <c r="F1864" s="87"/>
      <c r="G1864" s="87"/>
      <c r="H1864" s="87"/>
      <c r="I1864" s="87">
        <v>15</v>
      </c>
      <c r="J1864" s="87">
        <v>3</v>
      </c>
      <c r="K1864" s="87"/>
      <c r="L1864" s="87">
        <v>3</v>
      </c>
      <c r="M1864" s="87">
        <v>5</v>
      </c>
      <c r="N1864" s="87"/>
      <c r="O1864" s="87"/>
      <c r="P1864" s="87"/>
      <c r="Q1864" s="87"/>
      <c r="R1864" s="87"/>
      <c r="S1864" s="87"/>
      <c r="T1864" s="87"/>
      <c r="U1864" s="88"/>
      <c r="V1864" s="89"/>
      <c r="W1864" s="96">
        <v>0</v>
      </c>
      <c r="X1864" s="71">
        <f>CU1864</f>
        <v>0</v>
      </c>
      <c r="Y1864" s="71">
        <f>CY1864</f>
        <v>0</v>
      </c>
      <c r="Z1864" s="71">
        <f>DA1864+DC1864+DE1864</f>
        <v>0</v>
      </c>
      <c r="AA1864" s="71">
        <f>CW1864</f>
        <v>0</v>
      </c>
      <c r="AB1864" s="71"/>
      <c r="AC1864" s="71">
        <v>0</v>
      </c>
      <c r="AD1864" s="71">
        <f>W1864+X1864+Y1864+Z1864+AA1864+AB1864+AC1864</f>
        <v>0</v>
      </c>
      <c r="AE1864" s="72">
        <v>0</v>
      </c>
      <c r="AF1864" s="5"/>
      <c r="AG1864" s="6"/>
      <c r="AH1864" s="27" t="s">
        <v>3392</v>
      </c>
      <c r="AI1864" s="44" t="s">
        <v>3393</v>
      </c>
      <c r="AJ1864" s="26"/>
      <c r="AK1864" s="5"/>
      <c r="AL1864" s="82" t="s">
        <v>4676</v>
      </c>
      <c r="AM1864" s="76"/>
      <c r="AN1864" s="76"/>
      <c r="AO1864" s="76"/>
      <c r="AP1864" s="76"/>
      <c r="AQ1864" s="76"/>
      <c r="AR1864" s="76"/>
      <c r="AS1864" s="76"/>
      <c r="AT1864" s="76"/>
      <c r="AU1864" s="76"/>
      <c r="AV1864" s="76"/>
      <c r="AW1864" s="76"/>
      <c r="AX1864" s="76">
        <f>+AW1864*600000</f>
        <v>0</v>
      </c>
      <c r="AY1864" s="76"/>
      <c r="AZ1864" s="76">
        <f>+AY1864*70000</f>
        <v>0</v>
      </c>
      <c r="BA1864" s="76"/>
      <c r="BB1864" s="76"/>
      <c r="BC1864" s="76"/>
      <c r="BD1864" s="76">
        <f>+BC1864*30000</f>
        <v>0</v>
      </c>
      <c r="BE1864" s="76"/>
      <c r="BF1864" s="76"/>
      <c r="BG1864" s="76"/>
      <c r="BH1864" s="76"/>
      <c r="BI1864" s="76"/>
      <c r="BJ1864" s="76"/>
      <c r="BK1864" s="76"/>
      <c r="BL1864" s="76">
        <f>+BK1864*31500</f>
        <v>0</v>
      </c>
      <c r="BM1864" s="76"/>
      <c r="BN1864" s="76"/>
      <c r="BO1864" s="76"/>
      <c r="BP1864" s="76"/>
      <c r="BQ1864" s="76"/>
      <c r="BR1864" s="76"/>
      <c r="BS1864" s="76"/>
      <c r="BT1864" s="76"/>
      <c r="BU1864" s="76"/>
      <c r="BV1864" s="76"/>
      <c r="BW1864" s="76"/>
      <c r="BX1864" s="76"/>
      <c r="BY1864" s="76"/>
      <c r="BZ1864" s="76"/>
      <c r="CA1864" s="76"/>
      <c r="CB1864" s="76"/>
      <c r="CC1864" s="76"/>
      <c r="CD1864" s="76"/>
      <c r="CE1864" s="76"/>
      <c r="CF1864" s="76">
        <f>+CE1864*28000</f>
        <v>0</v>
      </c>
      <c r="CG1864" s="76"/>
      <c r="CH1864" s="76">
        <f>+CG1864*22500</f>
        <v>0</v>
      </c>
      <c r="CI1864" s="76"/>
      <c r="CJ1864" s="76">
        <f>+CI1864*26000</f>
        <v>0</v>
      </c>
      <c r="CK1864" s="76"/>
      <c r="CL1864" s="76"/>
      <c r="CM1864" s="76"/>
      <c r="CN1864" s="76">
        <f>+CM1864*22000</f>
        <v>0</v>
      </c>
      <c r="CO1864" s="76"/>
      <c r="CP1864" s="76">
        <f>+CO1864*46000</f>
        <v>0</v>
      </c>
      <c r="CQ1864" s="76"/>
      <c r="CR1864" s="76">
        <f>+CQ1864*49000</f>
        <v>0</v>
      </c>
      <c r="CS1864" s="76"/>
      <c r="CT1864" s="76"/>
      <c r="CU1864" s="56">
        <f>AN1864+AP1864+AR1864+AT1864+AV1864+AX1864+AZ1864+BB1864+BD1864+BF1864+BH1864+BJ1864+BL1864+BN1864+BP1864+BR1864+BT1864+BV1864+BX1864+BZ1864+CB1864+CD1864+CF1864+CH1864+CJ1864+CL1864+CN1864+CP1864+CR1864+CT1864</f>
        <v>0</v>
      </c>
      <c r="CV1864" s="76"/>
      <c r="CW1864" s="76">
        <f>+CV1864*1100</f>
        <v>0</v>
      </c>
      <c r="CX1864" s="76"/>
      <c r="CY1864" s="76">
        <f>+CX1864*106250</f>
        <v>0</v>
      </c>
      <c r="CZ1864" s="76"/>
      <c r="DA1864" s="76">
        <f>+CZ1864*34500</f>
        <v>0</v>
      </c>
      <c r="DB1864" s="76"/>
      <c r="DC1864" s="76">
        <f>+DB1864*25000</f>
        <v>0</v>
      </c>
      <c r="DD1864" s="219"/>
      <c r="DE1864" s="219"/>
      <c r="DF1864" s="166"/>
      <c r="DG1864" s="116"/>
      <c r="DH1864" s="117"/>
      <c r="DI1864" s="24"/>
      <c r="DJ1864" s="24"/>
      <c r="DK1864" s="24"/>
      <c r="DL1864" s="24"/>
      <c r="DM1864" s="24"/>
      <c r="DN1864" s="24"/>
      <c r="DO1864" s="24"/>
      <c r="DP1864" s="24"/>
      <c r="DQ1864" s="24"/>
      <c r="DR1864" s="24"/>
      <c r="DS1864" s="24"/>
      <c r="DT1864" s="24"/>
      <c r="DU1864" s="24"/>
    </row>
    <row r="1865" spans="1:125" s="8" customFormat="1" ht="84" x14ac:dyDescent="0.2">
      <c r="A1865" s="353">
        <v>41415</v>
      </c>
      <c r="B1865" s="352" t="s">
        <v>2894</v>
      </c>
      <c r="C1865" s="227" t="s">
        <v>2032</v>
      </c>
      <c r="D1865" s="227" t="s">
        <v>3088</v>
      </c>
      <c r="E1865" s="75" t="str">
        <f>VLOOKUP(B1865&amp;C1865,Divipola!$C$2:$F$1138,4,FALSE)</f>
        <v>05001</v>
      </c>
      <c r="F1865" s="87"/>
      <c r="G1865" s="87"/>
      <c r="H1865" s="87"/>
      <c r="I1865" s="87">
        <v>30</v>
      </c>
      <c r="J1865" s="87">
        <v>6</v>
      </c>
      <c r="K1865" s="87"/>
      <c r="L1865" s="87">
        <v>6</v>
      </c>
      <c r="M1865" s="87"/>
      <c r="N1865" s="87"/>
      <c r="O1865" s="87"/>
      <c r="P1865" s="87"/>
      <c r="Q1865" s="87"/>
      <c r="R1865" s="87"/>
      <c r="S1865" s="87"/>
      <c r="T1865" s="87"/>
      <c r="U1865" s="88"/>
      <c r="V1865" s="89"/>
      <c r="W1865" s="96">
        <v>0</v>
      </c>
      <c r="X1865" s="71">
        <f>CU1865</f>
        <v>0</v>
      </c>
      <c r="Y1865" s="71">
        <f>CY1865</f>
        <v>0</v>
      </c>
      <c r="Z1865" s="71">
        <f>DA1865+DC1865+DE1865</f>
        <v>0</v>
      </c>
      <c r="AA1865" s="71">
        <f>CW1865</f>
        <v>0</v>
      </c>
      <c r="AB1865" s="71"/>
      <c r="AC1865" s="71">
        <v>0</v>
      </c>
      <c r="AD1865" s="71">
        <f>W1865+X1865+Y1865+Z1865+AA1865+AB1865+AC1865</f>
        <v>0</v>
      </c>
      <c r="AE1865" s="72">
        <v>0</v>
      </c>
      <c r="AF1865" s="5"/>
      <c r="AG1865" s="6"/>
      <c r="AH1865" s="27" t="s">
        <v>3392</v>
      </c>
      <c r="AI1865" s="44" t="s">
        <v>3393</v>
      </c>
      <c r="AJ1865" s="26"/>
      <c r="AK1865" s="5"/>
      <c r="AL1865" s="82" t="s">
        <v>4700</v>
      </c>
      <c r="AM1865" s="76"/>
      <c r="AN1865" s="76"/>
      <c r="AO1865" s="76"/>
      <c r="AP1865" s="76"/>
      <c r="AQ1865" s="76"/>
      <c r="AR1865" s="76"/>
      <c r="AS1865" s="76"/>
      <c r="AT1865" s="76"/>
      <c r="AU1865" s="76"/>
      <c r="AV1865" s="76"/>
      <c r="AW1865" s="76"/>
      <c r="AX1865" s="76">
        <f>+AW1865*600000</f>
        <v>0</v>
      </c>
      <c r="AY1865" s="76"/>
      <c r="AZ1865" s="76">
        <f>+AY1865*70000</f>
        <v>0</v>
      </c>
      <c r="BA1865" s="76"/>
      <c r="BB1865" s="76"/>
      <c r="BC1865" s="76"/>
      <c r="BD1865" s="76">
        <f>+BC1865*30000</f>
        <v>0</v>
      </c>
      <c r="BE1865" s="76"/>
      <c r="BF1865" s="76"/>
      <c r="BG1865" s="76"/>
      <c r="BH1865" s="76"/>
      <c r="BI1865" s="76"/>
      <c r="BJ1865" s="76"/>
      <c r="BK1865" s="76"/>
      <c r="BL1865" s="76">
        <f>+BK1865*31500</f>
        <v>0</v>
      </c>
      <c r="BM1865" s="76"/>
      <c r="BN1865" s="76"/>
      <c r="BO1865" s="76"/>
      <c r="BP1865" s="76"/>
      <c r="BQ1865" s="76"/>
      <c r="BR1865" s="76"/>
      <c r="BS1865" s="76"/>
      <c r="BT1865" s="76"/>
      <c r="BU1865" s="76"/>
      <c r="BV1865" s="76"/>
      <c r="BW1865" s="76"/>
      <c r="BX1865" s="76"/>
      <c r="BY1865" s="76"/>
      <c r="BZ1865" s="76"/>
      <c r="CA1865" s="76"/>
      <c r="CB1865" s="76"/>
      <c r="CC1865" s="76"/>
      <c r="CD1865" s="76"/>
      <c r="CE1865" s="76"/>
      <c r="CF1865" s="76">
        <f>+CE1865*28000</f>
        <v>0</v>
      </c>
      <c r="CG1865" s="76"/>
      <c r="CH1865" s="76">
        <f>+CG1865*22500</f>
        <v>0</v>
      </c>
      <c r="CI1865" s="76"/>
      <c r="CJ1865" s="76">
        <f>+CI1865*26000</f>
        <v>0</v>
      </c>
      <c r="CK1865" s="76"/>
      <c r="CL1865" s="76"/>
      <c r="CM1865" s="76"/>
      <c r="CN1865" s="76">
        <f>+CM1865*22000</f>
        <v>0</v>
      </c>
      <c r="CO1865" s="76"/>
      <c r="CP1865" s="76">
        <f>+CO1865*46000</f>
        <v>0</v>
      </c>
      <c r="CQ1865" s="76"/>
      <c r="CR1865" s="76">
        <f>+CQ1865*49000</f>
        <v>0</v>
      </c>
      <c r="CS1865" s="76"/>
      <c r="CT1865" s="76"/>
      <c r="CU1865" s="56">
        <f>AN1865+AP1865+AR1865+AT1865+AV1865+AX1865+AZ1865+BB1865+BD1865+BF1865+BH1865+BJ1865+BL1865+BN1865+BP1865+BR1865+BT1865+BV1865+BX1865+BZ1865+CB1865+CD1865+CF1865+CH1865+CJ1865+CL1865+CN1865+CP1865+CR1865+CT1865</f>
        <v>0</v>
      </c>
      <c r="CV1865" s="76"/>
      <c r="CW1865" s="76">
        <f>+CV1865*1100</f>
        <v>0</v>
      </c>
      <c r="CX1865" s="76"/>
      <c r="CY1865" s="76">
        <f>+CX1865*106250</f>
        <v>0</v>
      </c>
      <c r="CZ1865" s="76"/>
      <c r="DA1865" s="76">
        <f>+CZ1865*34500</f>
        <v>0</v>
      </c>
      <c r="DB1865" s="76"/>
      <c r="DC1865" s="76">
        <f>+DB1865*25000</f>
        <v>0</v>
      </c>
      <c r="DD1865" s="219"/>
      <c r="DE1865" s="219"/>
      <c r="DF1865" s="166"/>
      <c r="DG1865" s="116"/>
      <c r="DH1865" s="117"/>
      <c r="DI1865" s="24"/>
      <c r="DJ1865" s="24"/>
      <c r="DK1865" s="24"/>
      <c r="DL1865" s="24"/>
      <c r="DM1865" s="24"/>
      <c r="DN1865" s="24"/>
      <c r="DO1865" s="24"/>
      <c r="DP1865" s="24"/>
      <c r="DQ1865" s="24"/>
      <c r="DR1865" s="24"/>
      <c r="DS1865" s="24"/>
      <c r="DT1865" s="24"/>
      <c r="DU1865" s="24"/>
    </row>
    <row r="1866" spans="1:125" s="8" customFormat="1" ht="72" x14ac:dyDescent="0.2">
      <c r="A1866" s="77">
        <v>41415</v>
      </c>
      <c r="B1866" s="78" t="s">
        <v>2894</v>
      </c>
      <c r="C1866" s="227" t="s">
        <v>2552</v>
      </c>
      <c r="D1866" s="227" t="s">
        <v>3088</v>
      </c>
      <c r="E1866" s="75" t="str">
        <f>VLOOKUP(B1866&amp;C1866,Divipola!$C$2:$F$1138,4,FALSE)</f>
        <v>05642</v>
      </c>
      <c r="F1866" s="87"/>
      <c r="G1866" s="87"/>
      <c r="H1866" s="87"/>
      <c r="I1866" s="87">
        <v>10</v>
      </c>
      <c r="J1866" s="87">
        <v>2</v>
      </c>
      <c r="K1866" s="87">
        <v>2</v>
      </c>
      <c r="L1866" s="87"/>
      <c r="M1866" s="87">
        <v>1</v>
      </c>
      <c r="N1866" s="87"/>
      <c r="O1866" s="87"/>
      <c r="P1866" s="87"/>
      <c r="Q1866" s="87"/>
      <c r="R1866" s="87"/>
      <c r="S1866" s="87"/>
      <c r="T1866" s="87"/>
      <c r="U1866" s="88"/>
      <c r="V1866" s="89"/>
      <c r="W1866" s="96">
        <v>0</v>
      </c>
      <c r="X1866" s="71">
        <f>CU1866</f>
        <v>0</v>
      </c>
      <c r="Y1866" s="71">
        <f>CY1866</f>
        <v>0</v>
      </c>
      <c r="Z1866" s="71">
        <f>DA1866+DC1866+DE1866</f>
        <v>0</v>
      </c>
      <c r="AA1866" s="71">
        <f>CW1866</f>
        <v>0</v>
      </c>
      <c r="AB1866" s="71"/>
      <c r="AC1866" s="71">
        <v>0</v>
      </c>
      <c r="AD1866" s="71">
        <f>W1866+X1866+Y1866+Z1866+AA1866+AB1866+AC1866</f>
        <v>0</v>
      </c>
      <c r="AE1866" s="72">
        <v>0</v>
      </c>
      <c r="AF1866" s="5"/>
      <c r="AG1866" s="6"/>
      <c r="AH1866" s="27" t="s">
        <v>3392</v>
      </c>
      <c r="AI1866" s="44" t="s">
        <v>3393</v>
      </c>
      <c r="AJ1866" s="26"/>
      <c r="AK1866" s="5"/>
      <c r="AL1866" s="82" t="s">
        <v>4677</v>
      </c>
      <c r="AM1866" s="76"/>
      <c r="AN1866" s="76"/>
      <c r="AO1866" s="76"/>
      <c r="AP1866" s="76"/>
      <c r="AQ1866" s="76"/>
      <c r="AR1866" s="76"/>
      <c r="AS1866" s="76"/>
      <c r="AT1866" s="76"/>
      <c r="AU1866" s="76"/>
      <c r="AV1866" s="76"/>
      <c r="AW1866" s="76"/>
      <c r="AX1866" s="76">
        <f>+AW1866*600000</f>
        <v>0</v>
      </c>
      <c r="AY1866" s="76"/>
      <c r="AZ1866" s="76">
        <f>+AY1866*70000</f>
        <v>0</v>
      </c>
      <c r="BA1866" s="76"/>
      <c r="BB1866" s="76"/>
      <c r="BC1866" s="76"/>
      <c r="BD1866" s="76">
        <f>+BC1866*30000</f>
        <v>0</v>
      </c>
      <c r="BE1866" s="76"/>
      <c r="BF1866" s="76"/>
      <c r="BG1866" s="76"/>
      <c r="BH1866" s="76"/>
      <c r="BI1866" s="76"/>
      <c r="BJ1866" s="76"/>
      <c r="BK1866" s="76"/>
      <c r="BL1866" s="76">
        <f>+BK1866*31500</f>
        <v>0</v>
      </c>
      <c r="BM1866" s="76"/>
      <c r="BN1866" s="76"/>
      <c r="BO1866" s="76"/>
      <c r="BP1866" s="76"/>
      <c r="BQ1866" s="76"/>
      <c r="BR1866" s="76"/>
      <c r="BS1866" s="76"/>
      <c r="BT1866" s="76"/>
      <c r="BU1866" s="76"/>
      <c r="BV1866" s="76"/>
      <c r="BW1866" s="76"/>
      <c r="BX1866" s="76"/>
      <c r="BY1866" s="76"/>
      <c r="BZ1866" s="76"/>
      <c r="CA1866" s="76"/>
      <c r="CB1866" s="76"/>
      <c r="CC1866" s="76"/>
      <c r="CD1866" s="76"/>
      <c r="CE1866" s="76"/>
      <c r="CF1866" s="76">
        <f>+CE1866*28000</f>
        <v>0</v>
      </c>
      <c r="CG1866" s="76"/>
      <c r="CH1866" s="76">
        <f>+CG1866*22500</f>
        <v>0</v>
      </c>
      <c r="CI1866" s="76"/>
      <c r="CJ1866" s="76">
        <f>+CI1866*26000</f>
        <v>0</v>
      </c>
      <c r="CK1866" s="76"/>
      <c r="CL1866" s="76"/>
      <c r="CM1866" s="76"/>
      <c r="CN1866" s="76">
        <f>+CM1866*22000</f>
        <v>0</v>
      </c>
      <c r="CO1866" s="76"/>
      <c r="CP1866" s="76">
        <f>+CO1866*46000</f>
        <v>0</v>
      </c>
      <c r="CQ1866" s="76"/>
      <c r="CR1866" s="76">
        <f>+CQ1866*49000</f>
        <v>0</v>
      </c>
      <c r="CS1866" s="76"/>
      <c r="CT1866" s="76"/>
      <c r="CU1866" s="56">
        <f>AN1866+AP1866+AR1866+AT1866+AV1866+AX1866+AZ1866+BB1866+BD1866+BF1866+BH1866+BJ1866+BL1866+BN1866+BP1866+BR1866+BT1866+BV1866+BX1866+BZ1866+CB1866+CD1866+CF1866+CH1866+CJ1866+CL1866+CN1866+CP1866+CR1866+CT1866</f>
        <v>0</v>
      </c>
      <c r="CV1866" s="76"/>
      <c r="CW1866" s="76">
        <f>+CV1866*1100</f>
        <v>0</v>
      </c>
      <c r="CX1866" s="76"/>
      <c r="CY1866" s="76">
        <f>+CX1866*106250</f>
        <v>0</v>
      </c>
      <c r="CZ1866" s="76"/>
      <c r="DA1866" s="76">
        <f>+CZ1866*34500</f>
        <v>0</v>
      </c>
      <c r="DB1866" s="76"/>
      <c r="DC1866" s="76">
        <f>+DB1866*25000</f>
        <v>0</v>
      </c>
      <c r="DD1866" s="219"/>
      <c r="DE1866" s="219"/>
      <c r="DF1866" s="166"/>
      <c r="DG1866" s="116"/>
      <c r="DH1866" s="117"/>
      <c r="DI1866" s="24"/>
      <c r="DJ1866" s="24"/>
      <c r="DK1866" s="24"/>
      <c r="DL1866" s="24"/>
      <c r="DM1866" s="24"/>
      <c r="DN1866" s="24"/>
      <c r="DO1866" s="24"/>
      <c r="DP1866" s="24"/>
      <c r="DQ1866" s="24"/>
      <c r="DR1866" s="24"/>
      <c r="DS1866" s="24"/>
      <c r="DT1866" s="24"/>
      <c r="DU1866" s="24"/>
    </row>
    <row r="1867" spans="1:125" s="8" customFormat="1" ht="48" x14ac:dyDescent="0.2">
      <c r="A1867" s="77">
        <v>41415</v>
      </c>
      <c r="B1867" s="225" t="s">
        <v>2881</v>
      </c>
      <c r="C1867" s="227" t="s">
        <v>2767</v>
      </c>
      <c r="D1867" s="227" t="s">
        <v>3051</v>
      </c>
      <c r="E1867" s="75" t="str">
        <f>VLOOKUP(B1867&amp;C1867,Divipola!$C$2:$F$1138,4,FALSE)</f>
        <v>08001</v>
      </c>
      <c r="F1867" s="87"/>
      <c r="G1867" s="87"/>
      <c r="H1867" s="87"/>
      <c r="I1867" s="87"/>
      <c r="J1867" s="87"/>
      <c r="K1867" s="87"/>
      <c r="L1867" s="87"/>
      <c r="M1867" s="87">
        <v>1</v>
      </c>
      <c r="N1867" s="87"/>
      <c r="O1867" s="87"/>
      <c r="P1867" s="209"/>
      <c r="Q1867" s="87"/>
      <c r="R1867" s="87"/>
      <c r="S1867" s="87"/>
      <c r="T1867" s="87"/>
      <c r="U1867" s="88"/>
      <c r="V1867" s="89"/>
      <c r="W1867" s="96">
        <v>0</v>
      </c>
      <c r="X1867" s="71">
        <f>CU1867</f>
        <v>0</v>
      </c>
      <c r="Y1867" s="71">
        <f>CY1867</f>
        <v>0</v>
      </c>
      <c r="Z1867" s="71">
        <f>DA1867+DC1867+DE1867</f>
        <v>0</v>
      </c>
      <c r="AA1867" s="71">
        <f>CW1867</f>
        <v>0</v>
      </c>
      <c r="AB1867" s="71"/>
      <c r="AC1867" s="71">
        <v>0</v>
      </c>
      <c r="AD1867" s="71">
        <f>W1867+X1867+Y1867+Z1867+AA1867+AB1867+AC1867</f>
        <v>0</v>
      </c>
      <c r="AE1867" s="72">
        <v>0</v>
      </c>
      <c r="AF1867" s="5"/>
      <c r="AG1867" s="6"/>
      <c r="AH1867" s="27" t="s">
        <v>3392</v>
      </c>
      <c r="AI1867" s="44" t="s">
        <v>3393</v>
      </c>
      <c r="AJ1867" s="26"/>
      <c r="AK1867" s="5"/>
      <c r="AL1867" s="82" t="s">
        <v>4681</v>
      </c>
      <c r="AM1867" s="76"/>
      <c r="AN1867" s="76"/>
      <c r="AO1867" s="76"/>
      <c r="AP1867" s="76"/>
      <c r="AQ1867" s="76"/>
      <c r="AR1867" s="76"/>
      <c r="AS1867" s="76"/>
      <c r="AT1867" s="76"/>
      <c r="AU1867" s="76"/>
      <c r="AV1867" s="76"/>
      <c r="AW1867" s="76"/>
      <c r="AX1867" s="76">
        <f>+AW1867*600000</f>
        <v>0</v>
      </c>
      <c r="AY1867" s="76"/>
      <c r="AZ1867" s="76">
        <f>+AY1867*70000</f>
        <v>0</v>
      </c>
      <c r="BA1867" s="76"/>
      <c r="BB1867" s="76"/>
      <c r="BC1867" s="76"/>
      <c r="BD1867" s="76">
        <f>+BC1867*30000</f>
        <v>0</v>
      </c>
      <c r="BE1867" s="76"/>
      <c r="BF1867" s="76"/>
      <c r="BG1867" s="76"/>
      <c r="BH1867" s="76"/>
      <c r="BI1867" s="76"/>
      <c r="BJ1867" s="76"/>
      <c r="BK1867" s="76"/>
      <c r="BL1867" s="76">
        <f>+BK1867*31500</f>
        <v>0</v>
      </c>
      <c r="BM1867" s="76"/>
      <c r="BN1867" s="76"/>
      <c r="BO1867" s="76"/>
      <c r="BP1867" s="76"/>
      <c r="BQ1867" s="76"/>
      <c r="BR1867" s="76"/>
      <c r="BS1867" s="76"/>
      <c r="BT1867" s="76"/>
      <c r="BU1867" s="76"/>
      <c r="BV1867" s="76"/>
      <c r="BW1867" s="76"/>
      <c r="BX1867" s="76"/>
      <c r="BY1867" s="76"/>
      <c r="BZ1867" s="76"/>
      <c r="CA1867" s="76"/>
      <c r="CB1867" s="76"/>
      <c r="CC1867" s="76"/>
      <c r="CD1867" s="76"/>
      <c r="CE1867" s="76"/>
      <c r="CF1867" s="76">
        <f>+CE1867*28000</f>
        <v>0</v>
      </c>
      <c r="CG1867" s="76"/>
      <c r="CH1867" s="76">
        <f>+CG1867*22500</f>
        <v>0</v>
      </c>
      <c r="CI1867" s="76"/>
      <c r="CJ1867" s="76">
        <f>+CI1867*26000</f>
        <v>0</v>
      </c>
      <c r="CK1867" s="76"/>
      <c r="CL1867" s="76"/>
      <c r="CM1867" s="76"/>
      <c r="CN1867" s="76">
        <f>+CM1867*22000</f>
        <v>0</v>
      </c>
      <c r="CO1867" s="76"/>
      <c r="CP1867" s="76">
        <f>+CO1867*46000</f>
        <v>0</v>
      </c>
      <c r="CQ1867" s="76"/>
      <c r="CR1867" s="76">
        <f>+CQ1867*49000</f>
        <v>0</v>
      </c>
      <c r="CS1867" s="76"/>
      <c r="CT1867" s="76"/>
      <c r="CU1867" s="56">
        <f>AN1867+AP1867+AR1867+AT1867+AV1867+AX1867+AZ1867+BB1867+BD1867+BF1867+BH1867+BJ1867+BL1867+BN1867+BP1867+BR1867+BT1867+BV1867+BX1867+BZ1867+CB1867+CD1867+CF1867+CH1867+CJ1867+CL1867+CN1867+CP1867+CR1867+CT1867</f>
        <v>0</v>
      </c>
      <c r="CV1867" s="76"/>
      <c r="CW1867" s="76">
        <f>+CV1867*1100</f>
        <v>0</v>
      </c>
      <c r="CX1867" s="76"/>
      <c r="CY1867" s="76">
        <f>+CX1867*106250</f>
        <v>0</v>
      </c>
      <c r="CZ1867" s="76"/>
      <c r="DA1867" s="76">
        <f>+CZ1867*34500</f>
        <v>0</v>
      </c>
      <c r="DB1867" s="76"/>
      <c r="DC1867" s="76">
        <f>+DB1867*25000</f>
        <v>0</v>
      </c>
      <c r="DD1867" s="219"/>
      <c r="DE1867" s="219"/>
      <c r="DF1867" s="166"/>
      <c r="DG1867" s="116"/>
      <c r="DH1867" s="117"/>
      <c r="DI1867" s="24"/>
      <c r="DJ1867" s="24"/>
      <c r="DK1867" s="24"/>
      <c r="DL1867" s="24"/>
      <c r="DM1867" s="24"/>
      <c r="DN1867" s="24"/>
      <c r="DO1867" s="24"/>
      <c r="DP1867" s="24"/>
      <c r="DQ1867" s="24"/>
      <c r="DR1867" s="24"/>
      <c r="DS1867" s="24"/>
      <c r="DT1867" s="24"/>
      <c r="DU1867" s="24"/>
    </row>
    <row r="1868" spans="1:125" s="8" customFormat="1" ht="156" x14ac:dyDescent="0.2">
      <c r="A1868" s="77">
        <v>41415</v>
      </c>
      <c r="B1868" s="225" t="s">
        <v>529</v>
      </c>
      <c r="C1868" s="227" t="s">
        <v>529</v>
      </c>
      <c r="D1868" s="227" t="s">
        <v>3088</v>
      </c>
      <c r="E1868" s="75" t="str">
        <f>VLOOKUP(B1868&amp;C1868,Divipola!$C$2:$F$1138,4,FALSE)</f>
        <v>11001</v>
      </c>
      <c r="F1868" s="87"/>
      <c r="G1868" s="87"/>
      <c r="H1868" s="87"/>
      <c r="I1868" s="87">
        <v>3</v>
      </c>
      <c r="J1868" s="87">
        <v>1</v>
      </c>
      <c r="K1868" s="87"/>
      <c r="L1868" s="87">
        <v>1</v>
      </c>
      <c r="M1868" s="87"/>
      <c r="N1868" s="87"/>
      <c r="O1868" s="87"/>
      <c r="P1868" s="87"/>
      <c r="Q1868" s="87"/>
      <c r="R1868" s="87"/>
      <c r="S1868" s="87"/>
      <c r="T1868" s="87"/>
      <c r="U1868" s="88"/>
      <c r="V1868" s="89"/>
      <c r="W1868" s="96">
        <v>0</v>
      </c>
      <c r="X1868" s="71">
        <f>CU1868</f>
        <v>0</v>
      </c>
      <c r="Y1868" s="71">
        <f>CY1868</f>
        <v>0</v>
      </c>
      <c r="Z1868" s="71">
        <f>DA1868+DC1868+DE1868</f>
        <v>0</v>
      </c>
      <c r="AA1868" s="71">
        <f>CW1868</f>
        <v>0</v>
      </c>
      <c r="AB1868" s="71"/>
      <c r="AC1868" s="71">
        <v>0</v>
      </c>
      <c r="AD1868" s="71">
        <f>W1868+X1868+Y1868+Z1868+AA1868+AB1868+AC1868</f>
        <v>0</v>
      </c>
      <c r="AE1868" s="72">
        <v>0</v>
      </c>
      <c r="AF1868" s="5"/>
      <c r="AG1868" s="6"/>
      <c r="AH1868" s="27" t="s">
        <v>3392</v>
      </c>
      <c r="AI1868" s="44" t="s">
        <v>3393</v>
      </c>
      <c r="AJ1868" s="26"/>
      <c r="AK1868" s="5"/>
      <c r="AL1868" s="82" t="s">
        <v>4684</v>
      </c>
      <c r="AM1868" s="76"/>
      <c r="AN1868" s="76"/>
      <c r="AO1868" s="76"/>
      <c r="AP1868" s="76"/>
      <c r="AQ1868" s="76"/>
      <c r="AR1868" s="76"/>
      <c r="AS1868" s="76"/>
      <c r="AT1868" s="76"/>
      <c r="AU1868" s="76"/>
      <c r="AV1868" s="76"/>
      <c r="AW1868" s="76"/>
      <c r="AX1868" s="76">
        <f>+AW1868*600000</f>
        <v>0</v>
      </c>
      <c r="AY1868" s="76"/>
      <c r="AZ1868" s="76">
        <f>+AY1868*70000</f>
        <v>0</v>
      </c>
      <c r="BA1868" s="76"/>
      <c r="BB1868" s="76"/>
      <c r="BC1868" s="76"/>
      <c r="BD1868" s="76">
        <f>+BC1868*30000</f>
        <v>0</v>
      </c>
      <c r="BE1868" s="76"/>
      <c r="BF1868" s="76"/>
      <c r="BG1868" s="76"/>
      <c r="BH1868" s="76"/>
      <c r="BI1868" s="76"/>
      <c r="BJ1868" s="76"/>
      <c r="BK1868" s="76"/>
      <c r="BL1868" s="76">
        <f>+BK1868*31500</f>
        <v>0</v>
      </c>
      <c r="BM1868" s="76"/>
      <c r="BN1868" s="76"/>
      <c r="BO1868" s="76"/>
      <c r="BP1868" s="76"/>
      <c r="BQ1868" s="76"/>
      <c r="BR1868" s="76"/>
      <c r="BS1868" s="76"/>
      <c r="BT1868" s="76"/>
      <c r="BU1868" s="76"/>
      <c r="BV1868" s="76"/>
      <c r="BW1868" s="76"/>
      <c r="BX1868" s="76"/>
      <c r="BY1868" s="76"/>
      <c r="BZ1868" s="76"/>
      <c r="CA1868" s="76"/>
      <c r="CB1868" s="76"/>
      <c r="CC1868" s="76"/>
      <c r="CD1868" s="76"/>
      <c r="CE1868" s="76"/>
      <c r="CF1868" s="76">
        <f>+CE1868*28000</f>
        <v>0</v>
      </c>
      <c r="CG1868" s="76"/>
      <c r="CH1868" s="76">
        <f>+CG1868*22500</f>
        <v>0</v>
      </c>
      <c r="CI1868" s="76"/>
      <c r="CJ1868" s="76">
        <f>+CI1868*26000</f>
        <v>0</v>
      </c>
      <c r="CK1868" s="76"/>
      <c r="CL1868" s="76"/>
      <c r="CM1868" s="76"/>
      <c r="CN1868" s="76">
        <f>+CM1868*22000</f>
        <v>0</v>
      </c>
      <c r="CO1868" s="76"/>
      <c r="CP1868" s="76">
        <f>+CO1868*46000</f>
        <v>0</v>
      </c>
      <c r="CQ1868" s="76"/>
      <c r="CR1868" s="76">
        <f>+CQ1868*49000</f>
        <v>0</v>
      </c>
      <c r="CS1868" s="76"/>
      <c r="CT1868" s="76"/>
      <c r="CU1868" s="56">
        <f>AN1868+AP1868+AR1868+AT1868+AV1868+AX1868+AZ1868+BB1868+BD1868+BF1868+BH1868+BJ1868+BL1868+BN1868+BP1868+BR1868+BT1868+BV1868+BX1868+BZ1868+CB1868+CD1868+CF1868+CH1868+CJ1868+CL1868+CN1868+CP1868+CR1868+CT1868</f>
        <v>0</v>
      </c>
      <c r="CV1868" s="76"/>
      <c r="CW1868" s="76">
        <f>+CV1868*1100</f>
        <v>0</v>
      </c>
      <c r="CX1868" s="76"/>
      <c r="CY1868" s="76">
        <f>+CX1868*106250</f>
        <v>0</v>
      </c>
      <c r="CZ1868" s="76"/>
      <c r="DA1868" s="76">
        <f>+CZ1868*34500</f>
        <v>0</v>
      </c>
      <c r="DB1868" s="76"/>
      <c r="DC1868" s="76">
        <f>+DB1868*25000</f>
        <v>0</v>
      </c>
      <c r="DD1868" s="219"/>
      <c r="DE1868" s="219"/>
      <c r="DF1868" s="166"/>
      <c r="DG1868" s="116"/>
      <c r="DH1868" s="117"/>
      <c r="DI1868" s="24"/>
      <c r="DJ1868" s="24"/>
      <c r="DK1868" s="24"/>
      <c r="DL1868" s="24"/>
      <c r="DM1868" s="24"/>
      <c r="DN1868" s="24"/>
      <c r="DO1868" s="24"/>
      <c r="DP1868" s="24"/>
      <c r="DQ1868" s="24"/>
      <c r="DR1868" s="24"/>
      <c r="DS1868" s="24"/>
      <c r="DT1868" s="24"/>
      <c r="DU1868" s="24"/>
    </row>
    <row r="1869" spans="1:125" s="8" customFormat="1" ht="60" x14ac:dyDescent="0.2">
      <c r="A1869" s="77">
        <v>41415</v>
      </c>
      <c r="B1869" s="225" t="s">
        <v>529</v>
      </c>
      <c r="C1869" s="227" t="s">
        <v>529</v>
      </c>
      <c r="D1869" s="227" t="s">
        <v>3051</v>
      </c>
      <c r="E1869" s="75" t="str">
        <f>VLOOKUP(B1869&amp;C1869,Divipola!$C$2:$F$1138,4,FALSE)</f>
        <v>11001</v>
      </c>
      <c r="F1869" s="87"/>
      <c r="G1869" s="87"/>
      <c r="H1869" s="87"/>
      <c r="I1869" s="87"/>
      <c r="J1869" s="87"/>
      <c r="K1869" s="87"/>
      <c r="L1869" s="87"/>
      <c r="M1869" s="87"/>
      <c r="N1869" s="87"/>
      <c r="O1869" s="87"/>
      <c r="P1869" s="87"/>
      <c r="Q1869" s="87"/>
      <c r="R1869" s="87"/>
      <c r="S1869" s="87"/>
      <c r="T1869" s="87"/>
      <c r="U1869" s="88"/>
      <c r="V1869" s="89"/>
      <c r="W1869" s="96">
        <v>0</v>
      </c>
      <c r="X1869" s="71">
        <f>CU1869</f>
        <v>0</v>
      </c>
      <c r="Y1869" s="71">
        <f>CY1869</f>
        <v>0</v>
      </c>
      <c r="Z1869" s="71">
        <f>DA1869+DC1869+DE1869</f>
        <v>0</v>
      </c>
      <c r="AA1869" s="71">
        <f>CW1869</f>
        <v>0</v>
      </c>
      <c r="AB1869" s="71"/>
      <c r="AC1869" s="71">
        <v>0</v>
      </c>
      <c r="AD1869" s="71">
        <f>W1869+X1869+Y1869+Z1869+AA1869+AB1869+AC1869</f>
        <v>0</v>
      </c>
      <c r="AE1869" s="72">
        <v>0</v>
      </c>
      <c r="AF1869" s="5"/>
      <c r="AG1869" s="6"/>
      <c r="AH1869" s="27" t="s">
        <v>3392</v>
      </c>
      <c r="AI1869" s="44" t="s">
        <v>3393</v>
      </c>
      <c r="AJ1869" s="26"/>
      <c r="AK1869" s="5"/>
      <c r="AL1869" s="82" t="s">
        <v>4689</v>
      </c>
      <c r="AM1869" s="76"/>
      <c r="AN1869" s="76"/>
      <c r="AO1869" s="76"/>
      <c r="AP1869" s="76"/>
      <c r="AQ1869" s="76"/>
      <c r="AR1869" s="76"/>
      <c r="AS1869" s="76"/>
      <c r="AT1869" s="76"/>
      <c r="AU1869" s="76"/>
      <c r="AV1869" s="76"/>
      <c r="AW1869" s="76"/>
      <c r="AX1869" s="76">
        <f>+AW1869*600000</f>
        <v>0</v>
      </c>
      <c r="AY1869" s="76"/>
      <c r="AZ1869" s="76">
        <f>+AY1869*70000</f>
        <v>0</v>
      </c>
      <c r="BA1869" s="76"/>
      <c r="BB1869" s="76"/>
      <c r="BC1869" s="76"/>
      <c r="BD1869" s="76">
        <f>+BC1869*30000</f>
        <v>0</v>
      </c>
      <c r="BE1869" s="76"/>
      <c r="BF1869" s="76"/>
      <c r="BG1869" s="76"/>
      <c r="BH1869" s="76"/>
      <c r="BI1869" s="76"/>
      <c r="BJ1869" s="76"/>
      <c r="BK1869" s="76"/>
      <c r="BL1869" s="76">
        <f>+BK1869*31500</f>
        <v>0</v>
      </c>
      <c r="BM1869" s="76"/>
      <c r="BN1869" s="76"/>
      <c r="BO1869" s="76"/>
      <c r="BP1869" s="76"/>
      <c r="BQ1869" s="76"/>
      <c r="BR1869" s="76"/>
      <c r="BS1869" s="76"/>
      <c r="BT1869" s="76"/>
      <c r="BU1869" s="76"/>
      <c r="BV1869" s="76"/>
      <c r="BW1869" s="76"/>
      <c r="BX1869" s="76"/>
      <c r="BY1869" s="76"/>
      <c r="BZ1869" s="76"/>
      <c r="CA1869" s="76"/>
      <c r="CB1869" s="76"/>
      <c r="CC1869" s="76"/>
      <c r="CD1869" s="76"/>
      <c r="CE1869" s="76"/>
      <c r="CF1869" s="76">
        <f>+CE1869*28000</f>
        <v>0</v>
      </c>
      <c r="CG1869" s="76"/>
      <c r="CH1869" s="76">
        <f>+CG1869*22500</f>
        <v>0</v>
      </c>
      <c r="CI1869" s="76"/>
      <c r="CJ1869" s="76">
        <f>+CI1869*26000</f>
        <v>0</v>
      </c>
      <c r="CK1869" s="76"/>
      <c r="CL1869" s="76"/>
      <c r="CM1869" s="76"/>
      <c r="CN1869" s="76">
        <f>+CM1869*22000</f>
        <v>0</v>
      </c>
      <c r="CO1869" s="76"/>
      <c r="CP1869" s="76">
        <f>+CO1869*46000</f>
        <v>0</v>
      </c>
      <c r="CQ1869" s="76"/>
      <c r="CR1869" s="76">
        <f>+CQ1869*49000</f>
        <v>0</v>
      </c>
      <c r="CS1869" s="76"/>
      <c r="CT1869" s="76"/>
      <c r="CU1869" s="56">
        <f>AN1869+AP1869+AR1869+AT1869+AV1869+AX1869+AZ1869+BB1869+BD1869+BF1869+BH1869+BJ1869+BL1869+BN1869+BP1869+BR1869+BT1869+BV1869+BX1869+BZ1869+CB1869+CD1869+CF1869+CH1869+CJ1869+CL1869+CN1869+CP1869+CR1869+CT1869</f>
        <v>0</v>
      </c>
      <c r="CV1869" s="76"/>
      <c r="CW1869" s="76">
        <f>+CV1869*1100</f>
        <v>0</v>
      </c>
      <c r="CX1869" s="76"/>
      <c r="CY1869" s="76">
        <f>+CX1869*106250</f>
        <v>0</v>
      </c>
      <c r="CZ1869" s="76"/>
      <c r="DA1869" s="76">
        <f>+CZ1869*34500</f>
        <v>0</v>
      </c>
      <c r="DB1869" s="76"/>
      <c r="DC1869" s="76">
        <f>+DB1869*25000</f>
        <v>0</v>
      </c>
      <c r="DD1869" s="219"/>
      <c r="DE1869" s="219"/>
      <c r="DF1869" s="166"/>
      <c r="DG1869" s="116"/>
      <c r="DH1869" s="117"/>
      <c r="DI1869" s="24"/>
      <c r="DJ1869" s="24"/>
      <c r="DK1869" s="24"/>
      <c r="DL1869" s="24"/>
      <c r="DM1869" s="24"/>
      <c r="DN1869" s="24"/>
      <c r="DO1869" s="24"/>
      <c r="DP1869" s="24"/>
      <c r="DQ1869" s="24"/>
      <c r="DR1869" s="24"/>
      <c r="DS1869" s="24"/>
      <c r="DT1869" s="24"/>
      <c r="DU1869" s="24"/>
    </row>
    <row r="1870" spans="1:125" s="8" customFormat="1" ht="24" x14ac:dyDescent="0.2">
      <c r="A1870" s="353">
        <v>41415</v>
      </c>
      <c r="B1870" s="352" t="s">
        <v>2087</v>
      </c>
      <c r="C1870" s="354" t="s">
        <v>2692</v>
      </c>
      <c r="D1870" s="227" t="s">
        <v>3088</v>
      </c>
      <c r="E1870" s="75" t="str">
        <f>VLOOKUP(B1870&amp;C1870,Divipola!$C$2:$F$1138,4,FALSE)</f>
        <v>18001</v>
      </c>
      <c r="F1870" s="87"/>
      <c r="G1870" s="87"/>
      <c r="H1870" s="87"/>
      <c r="I1870" s="87">
        <v>5</v>
      </c>
      <c r="J1870" s="87">
        <v>1</v>
      </c>
      <c r="K1870" s="87">
        <v>1</v>
      </c>
      <c r="L1870" s="87"/>
      <c r="M1870" s="87"/>
      <c r="N1870" s="87"/>
      <c r="O1870" s="87"/>
      <c r="P1870" s="87"/>
      <c r="Q1870" s="87"/>
      <c r="R1870" s="87"/>
      <c r="S1870" s="87"/>
      <c r="T1870" s="87"/>
      <c r="U1870" s="88"/>
      <c r="V1870" s="89"/>
      <c r="W1870" s="96">
        <v>0</v>
      </c>
      <c r="X1870" s="71">
        <f>CU1870</f>
        <v>0</v>
      </c>
      <c r="Y1870" s="71">
        <f>CY1870</f>
        <v>0</v>
      </c>
      <c r="Z1870" s="71">
        <f>DA1870+DC1870+DE1870</f>
        <v>0</v>
      </c>
      <c r="AA1870" s="71">
        <f>CW1870</f>
        <v>0</v>
      </c>
      <c r="AB1870" s="71"/>
      <c r="AC1870" s="71">
        <v>0</v>
      </c>
      <c r="AD1870" s="71">
        <f>W1870+X1870+Y1870+Z1870+AA1870+AB1870+AC1870</f>
        <v>0</v>
      </c>
      <c r="AE1870" s="72">
        <v>0</v>
      </c>
      <c r="AF1870" s="5"/>
      <c r="AG1870" s="6"/>
      <c r="AH1870" s="27" t="s">
        <v>3392</v>
      </c>
      <c r="AI1870" s="44" t="s">
        <v>3393</v>
      </c>
      <c r="AJ1870" s="26"/>
      <c r="AK1870" s="5"/>
      <c r="AL1870" s="82" t="s">
        <v>4695</v>
      </c>
      <c r="AM1870" s="76"/>
      <c r="AN1870" s="76"/>
      <c r="AO1870" s="76"/>
      <c r="AP1870" s="76"/>
      <c r="AQ1870" s="76"/>
      <c r="AR1870" s="76"/>
      <c r="AS1870" s="76"/>
      <c r="AT1870" s="76"/>
      <c r="AU1870" s="76"/>
      <c r="AV1870" s="76"/>
      <c r="AW1870" s="76"/>
      <c r="AX1870" s="76">
        <f>+AW1870*600000</f>
        <v>0</v>
      </c>
      <c r="AY1870" s="76"/>
      <c r="AZ1870" s="76">
        <f>+AY1870*70000</f>
        <v>0</v>
      </c>
      <c r="BA1870" s="76"/>
      <c r="BB1870" s="76"/>
      <c r="BC1870" s="76"/>
      <c r="BD1870" s="76">
        <f>+BC1870*30000</f>
        <v>0</v>
      </c>
      <c r="BE1870" s="76"/>
      <c r="BF1870" s="76"/>
      <c r="BG1870" s="76"/>
      <c r="BH1870" s="76"/>
      <c r="BI1870" s="76"/>
      <c r="BJ1870" s="76"/>
      <c r="BK1870" s="76"/>
      <c r="BL1870" s="76">
        <f>+BK1870*31500</f>
        <v>0</v>
      </c>
      <c r="BM1870" s="76"/>
      <c r="BN1870" s="76"/>
      <c r="BO1870" s="76"/>
      <c r="BP1870" s="76"/>
      <c r="BQ1870" s="76"/>
      <c r="BR1870" s="76"/>
      <c r="BS1870" s="76"/>
      <c r="BT1870" s="76"/>
      <c r="BU1870" s="76"/>
      <c r="BV1870" s="76"/>
      <c r="BW1870" s="76"/>
      <c r="BX1870" s="76"/>
      <c r="BY1870" s="76"/>
      <c r="BZ1870" s="76"/>
      <c r="CA1870" s="76"/>
      <c r="CB1870" s="76"/>
      <c r="CC1870" s="76"/>
      <c r="CD1870" s="76"/>
      <c r="CE1870" s="76"/>
      <c r="CF1870" s="76">
        <f>+CE1870*28000</f>
        <v>0</v>
      </c>
      <c r="CG1870" s="76"/>
      <c r="CH1870" s="76">
        <f>+CG1870*22500</f>
        <v>0</v>
      </c>
      <c r="CI1870" s="76"/>
      <c r="CJ1870" s="76">
        <f>+CI1870*26000</f>
        <v>0</v>
      </c>
      <c r="CK1870" s="76"/>
      <c r="CL1870" s="76"/>
      <c r="CM1870" s="76"/>
      <c r="CN1870" s="76">
        <f>+CM1870*22000</f>
        <v>0</v>
      </c>
      <c r="CO1870" s="76"/>
      <c r="CP1870" s="76">
        <f>+CO1870*46000</f>
        <v>0</v>
      </c>
      <c r="CQ1870" s="76"/>
      <c r="CR1870" s="76">
        <f>+CQ1870*49000</f>
        <v>0</v>
      </c>
      <c r="CS1870" s="76"/>
      <c r="CT1870" s="76"/>
      <c r="CU1870" s="56">
        <f>AN1870+AP1870+AR1870+AT1870+AV1870+AX1870+AZ1870+BB1870+BD1870+BF1870+BH1870+BJ1870+BL1870+BN1870+BP1870+BR1870+BT1870+BV1870+BX1870+BZ1870+CB1870+CD1870+CF1870+CH1870+CJ1870+CL1870+CN1870+CP1870+CR1870+CT1870</f>
        <v>0</v>
      </c>
      <c r="CV1870" s="76"/>
      <c r="CW1870" s="76">
        <f>+CV1870*1100</f>
        <v>0</v>
      </c>
      <c r="CX1870" s="76"/>
      <c r="CY1870" s="76">
        <f>+CX1870*106250</f>
        <v>0</v>
      </c>
      <c r="CZ1870" s="76"/>
      <c r="DA1870" s="76">
        <f>+CZ1870*34500</f>
        <v>0</v>
      </c>
      <c r="DB1870" s="76"/>
      <c r="DC1870" s="76">
        <f>+DB1870*25000</f>
        <v>0</v>
      </c>
      <c r="DD1870" s="219"/>
      <c r="DE1870" s="219"/>
      <c r="DF1870" s="166"/>
      <c r="DG1870" s="116"/>
      <c r="DH1870" s="117"/>
      <c r="DI1870" s="24"/>
      <c r="DJ1870" s="24"/>
      <c r="DK1870" s="24"/>
      <c r="DL1870" s="24"/>
      <c r="DM1870" s="24"/>
      <c r="DN1870" s="24"/>
      <c r="DO1870" s="24"/>
      <c r="DP1870" s="24"/>
      <c r="DQ1870" s="24"/>
      <c r="DR1870" s="24"/>
      <c r="DS1870" s="24"/>
      <c r="DT1870" s="24"/>
      <c r="DU1870" s="24"/>
    </row>
    <row r="1871" spans="1:125" s="8" customFormat="1" ht="60" x14ac:dyDescent="0.2">
      <c r="A1871" s="353">
        <v>41415</v>
      </c>
      <c r="B1871" s="352" t="s">
        <v>2852</v>
      </c>
      <c r="C1871" s="354" t="s">
        <v>1241</v>
      </c>
      <c r="D1871" s="354" t="s">
        <v>2882</v>
      </c>
      <c r="E1871" s="75" t="str">
        <f>VLOOKUP(B1871&amp;C1871,Divipola!$C$2:$F$1138,4,FALSE)</f>
        <v>27425</v>
      </c>
      <c r="F1871" s="87"/>
      <c r="G1871" s="87"/>
      <c r="H1871" s="87"/>
      <c r="I1871" s="87">
        <f>280*5</f>
        <v>1400</v>
      </c>
      <c r="J1871" s="87">
        <v>280</v>
      </c>
      <c r="K1871" s="87">
        <f>98+29</f>
        <v>127</v>
      </c>
      <c r="L1871" s="87">
        <v>153</v>
      </c>
      <c r="M1871" s="87"/>
      <c r="N1871" s="87"/>
      <c r="O1871" s="87"/>
      <c r="P1871" s="87"/>
      <c r="Q1871" s="87"/>
      <c r="R1871" s="87"/>
      <c r="S1871" s="87"/>
      <c r="T1871" s="87"/>
      <c r="U1871" s="88"/>
      <c r="V1871" s="89"/>
      <c r="W1871" s="96">
        <v>0</v>
      </c>
      <c r="X1871" s="71">
        <f>CU1871</f>
        <v>32079568</v>
      </c>
      <c r="Y1871" s="71">
        <f>CY1871</f>
        <v>29536822</v>
      </c>
      <c r="Z1871" s="71">
        <f>DA1871+DC1871+DE1871</f>
        <v>49998320</v>
      </c>
      <c r="AA1871" s="71">
        <f>CW1871</f>
        <v>0</v>
      </c>
      <c r="AB1871" s="71"/>
      <c r="AC1871" s="71">
        <v>0</v>
      </c>
      <c r="AD1871" s="71">
        <f>W1871+X1871+Y1871+Z1871+AA1871+AB1871+AC1871</f>
        <v>111614710</v>
      </c>
      <c r="AE1871" s="72">
        <v>0</v>
      </c>
      <c r="AF1871" s="5"/>
      <c r="AG1871" s="6"/>
      <c r="AH1871" s="27" t="s">
        <v>3390</v>
      </c>
      <c r="AI1871" s="44" t="s">
        <v>3391</v>
      </c>
      <c r="AJ1871" s="26"/>
      <c r="AK1871" s="5"/>
      <c r="AL1871" s="82" t="s">
        <v>4705</v>
      </c>
      <c r="AM1871" s="76"/>
      <c r="AN1871" s="76"/>
      <c r="AO1871" s="76"/>
      <c r="AP1871" s="76"/>
      <c r="AQ1871" s="76"/>
      <c r="AR1871" s="76"/>
      <c r="AS1871" s="76"/>
      <c r="AT1871" s="76"/>
      <c r="AU1871" s="76"/>
      <c r="AV1871" s="76"/>
      <c r="AW1871" s="76"/>
      <c r="AX1871" s="76">
        <f>+AW1871*600000</f>
        <v>0</v>
      </c>
      <c r="AY1871" s="86">
        <v>200</v>
      </c>
      <c r="AZ1871" s="86">
        <f>+AY1871*69999.04</f>
        <v>13999807.999999998</v>
      </c>
      <c r="BA1871" s="76"/>
      <c r="BB1871" s="76"/>
      <c r="BC1871" s="76"/>
      <c r="BD1871" s="76">
        <f>+BC1871*30000</f>
        <v>0</v>
      </c>
      <c r="BE1871" s="76"/>
      <c r="BF1871" s="76"/>
      <c r="BG1871" s="76"/>
      <c r="BH1871" s="76"/>
      <c r="BI1871" s="76"/>
      <c r="BJ1871" s="76"/>
      <c r="BK1871" s="76"/>
      <c r="BL1871" s="76">
        <f>+BK1871*31500</f>
        <v>0</v>
      </c>
      <c r="BM1871" s="76"/>
      <c r="BN1871" s="76"/>
      <c r="BO1871" s="76"/>
      <c r="BP1871" s="76"/>
      <c r="BQ1871" s="76"/>
      <c r="BR1871" s="76"/>
      <c r="BS1871" s="76"/>
      <c r="BT1871" s="76"/>
      <c r="BU1871" s="76"/>
      <c r="BV1871" s="76"/>
      <c r="BW1871" s="76"/>
      <c r="BX1871" s="76"/>
      <c r="BY1871" s="76"/>
      <c r="BZ1871" s="76"/>
      <c r="CA1871" s="76"/>
      <c r="CB1871" s="76"/>
      <c r="CC1871" s="76"/>
      <c r="CD1871" s="76"/>
      <c r="CE1871" s="76"/>
      <c r="CF1871" s="76">
        <f>+CE1871*28000</f>
        <v>0</v>
      </c>
      <c r="CG1871" s="76"/>
      <c r="CH1871" s="76">
        <f>+CG1871*22500</f>
        <v>0</v>
      </c>
      <c r="CI1871" s="86">
        <v>200</v>
      </c>
      <c r="CJ1871" s="86">
        <f>+CI1871*25999.08</f>
        <v>5199816</v>
      </c>
      <c r="CK1871" s="76"/>
      <c r="CL1871" s="76"/>
      <c r="CM1871" s="76"/>
      <c r="CN1871" s="76">
        <f>+CM1871*22000</f>
        <v>0</v>
      </c>
      <c r="CO1871" s="86">
        <v>280</v>
      </c>
      <c r="CP1871" s="86">
        <f>+CO1871*45999.8</f>
        <v>12879944</v>
      </c>
      <c r="CQ1871" s="76"/>
      <c r="CR1871" s="76">
        <f>+CQ1871*49000</f>
        <v>0</v>
      </c>
      <c r="CS1871" s="76"/>
      <c r="CT1871" s="76"/>
      <c r="CU1871" s="56">
        <f>AN1871+AP1871+AR1871+AT1871+AV1871+AX1871+AZ1871+BB1871+BD1871+BF1871+BH1871+BJ1871+BL1871+BN1871+BP1871+BR1871+BT1871+BV1871+BX1871+BZ1871+CB1871+CD1871+CF1871+CH1871+CJ1871+CL1871+CN1871+CP1871+CR1871+CT1871</f>
        <v>32079568</v>
      </c>
      <c r="CV1871" s="76"/>
      <c r="CW1871" s="76">
        <f>+CV1871*1100</f>
        <v>0</v>
      </c>
      <c r="CX1871" s="86">
        <v>280</v>
      </c>
      <c r="CY1871" s="86">
        <f>+CX1871*105488.65</f>
        <v>29536822</v>
      </c>
      <c r="CZ1871" s="76"/>
      <c r="DA1871" s="76">
        <f>+CZ1871*34500</f>
        <v>0</v>
      </c>
      <c r="DB1871" s="86">
        <v>2000</v>
      </c>
      <c r="DC1871" s="86">
        <f>2000*24999.16</f>
        <v>49998320</v>
      </c>
      <c r="DD1871" s="219"/>
      <c r="DE1871" s="219"/>
      <c r="DF1871" s="166"/>
      <c r="DG1871" s="134" t="s">
        <v>6467</v>
      </c>
      <c r="DH1871" s="117"/>
      <c r="DI1871" s="24"/>
      <c r="DJ1871" s="24"/>
      <c r="DK1871" s="24"/>
      <c r="DL1871" s="24"/>
      <c r="DM1871" s="24"/>
      <c r="DN1871" s="24"/>
      <c r="DO1871" s="24"/>
      <c r="DP1871" s="24"/>
      <c r="DQ1871" s="24"/>
      <c r="DR1871" s="24"/>
      <c r="DS1871" s="24"/>
      <c r="DT1871" s="24"/>
      <c r="DU1871" s="24"/>
    </row>
    <row r="1872" spans="1:125" s="8" customFormat="1" ht="48" x14ac:dyDescent="0.2">
      <c r="A1872" s="77">
        <v>41415</v>
      </c>
      <c r="B1872" s="352" t="s">
        <v>2852</v>
      </c>
      <c r="C1872" s="354" t="s">
        <v>2697</v>
      </c>
      <c r="D1872" s="354" t="s">
        <v>3635</v>
      </c>
      <c r="E1872" s="75" t="str">
        <f>VLOOKUP(B1872&amp;C1872,Divipola!$C$2:$F$1138,4,FALSE)</f>
        <v>27787</v>
      </c>
      <c r="F1872" s="87"/>
      <c r="G1872" s="87"/>
      <c r="H1872" s="87">
        <v>1</v>
      </c>
      <c r="I1872" s="87"/>
      <c r="J1872" s="87"/>
      <c r="K1872" s="87"/>
      <c r="L1872" s="87"/>
      <c r="M1872" s="87"/>
      <c r="N1872" s="87"/>
      <c r="O1872" s="87"/>
      <c r="P1872" s="87"/>
      <c r="Q1872" s="87"/>
      <c r="R1872" s="87"/>
      <c r="S1872" s="87"/>
      <c r="T1872" s="87"/>
      <c r="U1872" s="88"/>
      <c r="V1872" s="89"/>
      <c r="W1872" s="96">
        <v>0</v>
      </c>
      <c r="X1872" s="71">
        <f>CU1872</f>
        <v>0</v>
      </c>
      <c r="Y1872" s="71">
        <f>CY1872</f>
        <v>0</v>
      </c>
      <c r="Z1872" s="71">
        <f>DA1872+DC1872+DE1872</f>
        <v>0</v>
      </c>
      <c r="AA1872" s="71">
        <f>CW1872</f>
        <v>0</v>
      </c>
      <c r="AB1872" s="71"/>
      <c r="AC1872" s="71">
        <v>0</v>
      </c>
      <c r="AD1872" s="71">
        <f>W1872+X1872+Y1872+Z1872+AA1872+AB1872+AC1872</f>
        <v>0</v>
      </c>
      <c r="AE1872" s="72">
        <v>0</v>
      </c>
      <c r="AF1872" s="5"/>
      <c r="AG1872" s="6"/>
      <c r="AH1872" s="27" t="s">
        <v>3392</v>
      </c>
      <c r="AI1872" s="44" t="s">
        <v>3393</v>
      </c>
      <c r="AJ1872" s="26"/>
      <c r="AK1872" s="5"/>
      <c r="AL1872" s="82" t="s">
        <v>4690</v>
      </c>
      <c r="AM1872" s="76"/>
      <c r="AN1872" s="76"/>
      <c r="AO1872" s="76"/>
      <c r="AP1872" s="76"/>
      <c r="AQ1872" s="76"/>
      <c r="AR1872" s="76"/>
      <c r="AS1872" s="76"/>
      <c r="AT1872" s="76"/>
      <c r="AU1872" s="76"/>
      <c r="AV1872" s="76"/>
      <c r="AW1872" s="76"/>
      <c r="AX1872" s="76">
        <f>+AW1872*600000</f>
        <v>0</v>
      </c>
      <c r="AY1872" s="76"/>
      <c r="AZ1872" s="76">
        <f>+AY1872*70000</f>
        <v>0</v>
      </c>
      <c r="BA1872" s="76"/>
      <c r="BB1872" s="76"/>
      <c r="BC1872" s="76"/>
      <c r="BD1872" s="76">
        <f>+BC1872*30000</f>
        <v>0</v>
      </c>
      <c r="BE1872" s="76"/>
      <c r="BF1872" s="76"/>
      <c r="BG1872" s="76"/>
      <c r="BH1872" s="76"/>
      <c r="BI1872" s="76"/>
      <c r="BJ1872" s="76"/>
      <c r="BK1872" s="76"/>
      <c r="BL1872" s="76">
        <f>+BK1872*31500</f>
        <v>0</v>
      </c>
      <c r="BM1872" s="76"/>
      <c r="BN1872" s="76"/>
      <c r="BO1872" s="76"/>
      <c r="BP1872" s="76"/>
      <c r="BQ1872" s="76"/>
      <c r="BR1872" s="76"/>
      <c r="BS1872" s="76"/>
      <c r="BT1872" s="76"/>
      <c r="BU1872" s="76"/>
      <c r="BV1872" s="76"/>
      <c r="BW1872" s="76"/>
      <c r="BX1872" s="76"/>
      <c r="BY1872" s="76"/>
      <c r="BZ1872" s="76"/>
      <c r="CA1872" s="76"/>
      <c r="CB1872" s="76"/>
      <c r="CC1872" s="76"/>
      <c r="CD1872" s="76"/>
      <c r="CE1872" s="76"/>
      <c r="CF1872" s="76">
        <f>+CE1872*28000</f>
        <v>0</v>
      </c>
      <c r="CG1872" s="76"/>
      <c r="CH1872" s="76">
        <f>+CG1872*22500</f>
        <v>0</v>
      </c>
      <c r="CI1872" s="76"/>
      <c r="CJ1872" s="76">
        <f>+CI1872*26000</f>
        <v>0</v>
      </c>
      <c r="CK1872" s="76"/>
      <c r="CL1872" s="76"/>
      <c r="CM1872" s="76"/>
      <c r="CN1872" s="76">
        <f>+CM1872*22000</f>
        <v>0</v>
      </c>
      <c r="CO1872" s="76"/>
      <c r="CP1872" s="76">
        <f>+CO1872*46000</f>
        <v>0</v>
      </c>
      <c r="CQ1872" s="76"/>
      <c r="CR1872" s="76">
        <f>+CQ1872*49000</f>
        <v>0</v>
      </c>
      <c r="CS1872" s="76"/>
      <c r="CT1872" s="76"/>
      <c r="CU1872" s="56">
        <f>AN1872+AP1872+AR1872+AT1872+AV1872+AX1872+AZ1872+BB1872+BD1872+BF1872+BH1872+BJ1872+BL1872+BN1872+BP1872+BR1872+BT1872+BV1872+BX1872+BZ1872+CB1872+CD1872+CF1872+CH1872+CJ1872+CL1872+CN1872+CP1872+CR1872+CT1872</f>
        <v>0</v>
      </c>
      <c r="CV1872" s="76"/>
      <c r="CW1872" s="76">
        <f>+CV1872*1100</f>
        <v>0</v>
      </c>
      <c r="CX1872" s="76"/>
      <c r="CY1872" s="76">
        <f>+CX1872*106250</f>
        <v>0</v>
      </c>
      <c r="CZ1872" s="76"/>
      <c r="DA1872" s="76">
        <f>+CZ1872*34500</f>
        <v>0</v>
      </c>
      <c r="DB1872" s="76"/>
      <c r="DC1872" s="76">
        <f>+DB1872*25000</f>
        <v>0</v>
      </c>
      <c r="DD1872" s="219"/>
      <c r="DE1872" s="219"/>
      <c r="DF1872" s="166"/>
      <c r="DG1872" s="116"/>
      <c r="DH1872" s="117"/>
      <c r="DI1872" s="24"/>
      <c r="DJ1872" s="24"/>
      <c r="DK1872" s="24"/>
      <c r="DL1872" s="24"/>
      <c r="DM1872" s="24"/>
      <c r="DN1872" s="24"/>
      <c r="DO1872" s="24"/>
      <c r="DP1872" s="24"/>
      <c r="DQ1872" s="24"/>
      <c r="DR1872" s="24"/>
      <c r="DS1872" s="24"/>
      <c r="DT1872" s="24"/>
      <c r="DU1872" s="24"/>
    </row>
    <row r="1873" spans="1:128" s="8" customFormat="1" ht="36" x14ac:dyDescent="0.2">
      <c r="A1873" s="77">
        <v>41415</v>
      </c>
      <c r="B1873" s="78" t="s">
        <v>2661</v>
      </c>
      <c r="C1873" s="75" t="s">
        <v>517</v>
      </c>
      <c r="D1873" s="75" t="s">
        <v>3088</v>
      </c>
      <c r="E1873" s="75" t="str">
        <f>VLOOKUP(B1873&amp;C1873,Divipola!$C$2:$F$1138,4,FALSE)</f>
        <v>41298</v>
      </c>
      <c r="F1873" s="87"/>
      <c r="G1873" s="87"/>
      <c r="H1873" s="87"/>
      <c r="I1873" s="87"/>
      <c r="J1873" s="87"/>
      <c r="K1873" s="87"/>
      <c r="L1873" s="87"/>
      <c r="M1873" s="87">
        <v>1</v>
      </c>
      <c r="N1873" s="87"/>
      <c r="O1873" s="87"/>
      <c r="P1873" s="87"/>
      <c r="Q1873" s="87"/>
      <c r="R1873" s="87"/>
      <c r="S1873" s="87"/>
      <c r="T1873" s="87"/>
      <c r="U1873" s="88"/>
      <c r="V1873" s="89"/>
      <c r="W1873" s="96">
        <v>0</v>
      </c>
      <c r="X1873" s="71">
        <f>CU1873</f>
        <v>0</v>
      </c>
      <c r="Y1873" s="71">
        <f>CY1873</f>
        <v>0</v>
      </c>
      <c r="Z1873" s="71">
        <f>DA1873+DC1873+DE1873</f>
        <v>0</v>
      </c>
      <c r="AA1873" s="71">
        <f>CW1873</f>
        <v>0</v>
      </c>
      <c r="AB1873" s="71"/>
      <c r="AC1873" s="71">
        <v>0</v>
      </c>
      <c r="AD1873" s="71">
        <f>W1873+X1873+Y1873+Z1873+AA1873+AB1873+AC1873</f>
        <v>0</v>
      </c>
      <c r="AE1873" s="72">
        <v>0</v>
      </c>
      <c r="AF1873" s="5"/>
      <c r="AG1873" s="6"/>
      <c r="AH1873" s="27" t="s">
        <v>3392</v>
      </c>
      <c r="AI1873" s="44" t="s">
        <v>3393</v>
      </c>
      <c r="AJ1873" s="26"/>
      <c r="AK1873" s="5"/>
      <c r="AL1873" s="82" t="s">
        <v>4693</v>
      </c>
      <c r="AM1873" s="76"/>
      <c r="AN1873" s="76"/>
      <c r="AO1873" s="76"/>
      <c r="AP1873" s="76"/>
      <c r="AQ1873" s="76"/>
      <c r="AR1873" s="76"/>
      <c r="AS1873" s="76"/>
      <c r="AT1873" s="76"/>
      <c r="AU1873" s="76"/>
      <c r="AV1873" s="76"/>
      <c r="AW1873" s="76"/>
      <c r="AX1873" s="76">
        <f>+AW1873*600000</f>
        <v>0</v>
      </c>
      <c r="AY1873" s="76"/>
      <c r="AZ1873" s="76">
        <f>+AY1873*70000</f>
        <v>0</v>
      </c>
      <c r="BA1873" s="76"/>
      <c r="BB1873" s="76"/>
      <c r="BC1873" s="76"/>
      <c r="BD1873" s="76">
        <f>+BC1873*30000</f>
        <v>0</v>
      </c>
      <c r="BE1873" s="76"/>
      <c r="BF1873" s="76"/>
      <c r="BG1873" s="76"/>
      <c r="BH1873" s="76"/>
      <c r="BI1873" s="76"/>
      <c r="BJ1873" s="76"/>
      <c r="BK1873" s="76"/>
      <c r="BL1873" s="76">
        <f>+BK1873*31500</f>
        <v>0</v>
      </c>
      <c r="BM1873" s="76"/>
      <c r="BN1873" s="76"/>
      <c r="BO1873" s="76"/>
      <c r="BP1873" s="76"/>
      <c r="BQ1873" s="76"/>
      <c r="BR1873" s="76"/>
      <c r="BS1873" s="76"/>
      <c r="BT1873" s="76"/>
      <c r="BU1873" s="76"/>
      <c r="BV1873" s="76"/>
      <c r="BW1873" s="76"/>
      <c r="BX1873" s="76"/>
      <c r="BY1873" s="76"/>
      <c r="BZ1873" s="76"/>
      <c r="CA1873" s="76"/>
      <c r="CB1873" s="76"/>
      <c r="CC1873" s="76"/>
      <c r="CD1873" s="76"/>
      <c r="CE1873" s="76"/>
      <c r="CF1873" s="76">
        <f>+CE1873*28000</f>
        <v>0</v>
      </c>
      <c r="CG1873" s="76"/>
      <c r="CH1873" s="76">
        <f>+CG1873*22500</f>
        <v>0</v>
      </c>
      <c r="CI1873" s="76"/>
      <c r="CJ1873" s="76">
        <f>+CI1873*26000</f>
        <v>0</v>
      </c>
      <c r="CK1873" s="76"/>
      <c r="CL1873" s="76"/>
      <c r="CM1873" s="76"/>
      <c r="CN1873" s="76">
        <f>+CM1873*22000</f>
        <v>0</v>
      </c>
      <c r="CO1873" s="76"/>
      <c r="CP1873" s="76">
        <f>+CO1873*46000</f>
        <v>0</v>
      </c>
      <c r="CQ1873" s="76"/>
      <c r="CR1873" s="76">
        <f>+CQ1873*49000</f>
        <v>0</v>
      </c>
      <c r="CS1873" s="76"/>
      <c r="CT1873" s="76"/>
      <c r="CU1873" s="56">
        <f>AN1873+AP1873+AR1873+AT1873+AV1873+AX1873+AZ1873+BB1873+BD1873+BF1873+BH1873+BJ1873+BL1873+BN1873+BP1873+BR1873+BT1873+BV1873+BX1873+BZ1873+CB1873+CD1873+CF1873+CH1873+CJ1873+CL1873+CN1873+CP1873+CR1873+CT1873</f>
        <v>0</v>
      </c>
      <c r="CV1873" s="76"/>
      <c r="CW1873" s="76">
        <f>+CV1873*1100</f>
        <v>0</v>
      </c>
      <c r="CX1873" s="76"/>
      <c r="CY1873" s="76">
        <f>+CX1873*106250</f>
        <v>0</v>
      </c>
      <c r="CZ1873" s="76"/>
      <c r="DA1873" s="76">
        <f>+CZ1873*34500</f>
        <v>0</v>
      </c>
      <c r="DB1873" s="76"/>
      <c r="DC1873" s="76">
        <f>+DB1873*25000</f>
        <v>0</v>
      </c>
      <c r="DD1873" s="219"/>
      <c r="DE1873" s="219"/>
      <c r="DF1873" s="166"/>
      <c r="DG1873" s="116"/>
      <c r="DH1873" s="117"/>
      <c r="DI1873" s="24"/>
      <c r="DJ1873" s="24"/>
      <c r="DK1873" s="24"/>
      <c r="DL1873" s="24"/>
      <c r="DM1873" s="24"/>
      <c r="DN1873" s="24"/>
      <c r="DO1873" s="24"/>
      <c r="DP1873" s="24"/>
      <c r="DQ1873" s="24"/>
      <c r="DR1873" s="24"/>
      <c r="DS1873" s="24"/>
      <c r="DT1873" s="24"/>
      <c r="DU1873" s="24"/>
    </row>
    <row r="1874" spans="1:128" s="8" customFormat="1" ht="108" x14ac:dyDescent="0.2">
      <c r="A1874" s="77">
        <v>41415</v>
      </c>
      <c r="B1874" s="352" t="s">
        <v>2774</v>
      </c>
      <c r="C1874" s="354" t="s">
        <v>2039</v>
      </c>
      <c r="D1874" s="354" t="s">
        <v>3088</v>
      </c>
      <c r="E1874" s="75" t="str">
        <f>VLOOKUP(B1874&amp;C1874,Divipola!$C$2:$F$1138,4,FALSE)</f>
        <v>66440</v>
      </c>
      <c r="F1874" s="87"/>
      <c r="G1874" s="87"/>
      <c r="H1874" s="87"/>
      <c r="I1874" s="87"/>
      <c r="J1874" s="87"/>
      <c r="K1874" s="87"/>
      <c r="L1874" s="87"/>
      <c r="M1874" s="87">
        <v>2</v>
      </c>
      <c r="N1874" s="87"/>
      <c r="O1874" s="87"/>
      <c r="P1874" s="87"/>
      <c r="Q1874" s="87"/>
      <c r="R1874" s="87"/>
      <c r="S1874" s="87"/>
      <c r="T1874" s="87"/>
      <c r="U1874" s="88"/>
      <c r="V1874" s="89"/>
      <c r="W1874" s="96">
        <v>0</v>
      </c>
      <c r="X1874" s="71">
        <f>CU1874</f>
        <v>0</v>
      </c>
      <c r="Y1874" s="71">
        <f>CY1874</f>
        <v>0</v>
      </c>
      <c r="Z1874" s="71">
        <f>DA1874+DC1874+DE1874</f>
        <v>0</v>
      </c>
      <c r="AA1874" s="71">
        <f>CW1874</f>
        <v>0</v>
      </c>
      <c r="AB1874" s="71"/>
      <c r="AC1874" s="71">
        <v>0</v>
      </c>
      <c r="AD1874" s="71">
        <f>W1874+X1874+Y1874+Z1874+AA1874+AB1874+AC1874</f>
        <v>0</v>
      </c>
      <c r="AE1874" s="72">
        <v>0</v>
      </c>
      <c r="AF1874" s="5"/>
      <c r="AG1874" s="6"/>
      <c r="AH1874" s="27" t="s">
        <v>3392</v>
      </c>
      <c r="AI1874" s="44" t="s">
        <v>3393</v>
      </c>
      <c r="AJ1874" s="26"/>
      <c r="AK1874" s="5"/>
      <c r="AL1874" s="82" t="s">
        <v>4688</v>
      </c>
      <c r="AM1874" s="76"/>
      <c r="AN1874" s="76"/>
      <c r="AO1874" s="76"/>
      <c r="AP1874" s="76"/>
      <c r="AQ1874" s="76"/>
      <c r="AR1874" s="76"/>
      <c r="AS1874" s="76"/>
      <c r="AT1874" s="76"/>
      <c r="AU1874" s="76"/>
      <c r="AV1874" s="76"/>
      <c r="AW1874" s="76"/>
      <c r="AX1874" s="76">
        <f>+AW1874*600000</f>
        <v>0</v>
      </c>
      <c r="AY1874" s="76"/>
      <c r="AZ1874" s="76">
        <f>+AY1874*70000</f>
        <v>0</v>
      </c>
      <c r="BA1874" s="76"/>
      <c r="BB1874" s="76"/>
      <c r="BC1874" s="76"/>
      <c r="BD1874" s="76">
        <f>+BC1874*30000</f>
        <v>0</v>
      </c>
      <c r="BE1874" s="76"/>
      <c r="BF1874" s="76"/>
      <c r="BG1874" s="76"/>
      <c r="BH1874" s="76"/>
      <c r="BI1874" s="76"/>
      <c r="BJ1874" s="76"/>
      <c r="BK1874" s="76"/>
      <c r="BL1874" s="76">
        <f>+BK1874*31500</f>
        <v>0</v>
      </c>
      <c r="BM1874" s="76"/>
      <c r="BN1874" s="76"/>
      <c r="BO1874" s="76"/>
      <c r="BP1874" s="76"/>
      <c r="BQ1874" s="76"/>
      <c r="BR1874" s="76"/>
      <c r="BS1874" s="76"/>
      <c r="BT1874" s="76"/>
      <c r="BU1874" s="76"/>
      <c r="BV1874" s="76"/>
      <c r="BW1874" s="76"/>
      <c r="BX1874" s="76"/>
      <c r="BY1874" s="76"/>
      <c r="BZ1874" s="76"/>
      <c r="CA1874" s="76"/>
      <c r="CB1874" s="76"/>
      <c r="CC1874" s="76"/>
      <c r="CD1874" s="76"/>
      <c r="CE1874" s="76"/>
      <c r="CF1874" s="76">
        <f>+CE1874*28000</f>
        <v>0</v>
      </c>
      <c r="CG1874" s="76"/>
      <c r="CH1874" s="76">
        <f>+CG1874*22500</f>
        <v>0</v>
      </c>
      <c r="CI1874" s="76"/>
      <c r="CJ1874" s="76">
        <f>+CI1874*26000</f>
        <v>0</v>
      </c>
      <c r="CK1874" s="76"/>
      <c r="CL1874" s="76"/>
      <c r="CM1874" s="76"/>
      <c r="CN1874" s="76">
        <f>+CM1874*22000</f>
        <v>0</v>
      </c>
      <c r="CO1874" s="76"/>
      <c r="CP1874" s="76">
        <f>+CO1874*46000</f>
        <v>0</v>
      </c>
      <c r="CQ1874" s="76"/>
      <c r="CR1874" s="76">
        <f>+CQ1874*49000</f>
        <v>0</v>
      </c>
      <c r="CS1874" s="76"/>
      <c r="CT1874" s="76"/>
      <c r="CU1874" s="56">
        <f>AN1874+AP1874+AR1874+AT1874+AV1874+AX1874+AZ1874+BB1874+BD1874+BF1874+BH1874+BJ1874+BL1874+BN1874+BP1874+BR1874+BT1874+BV1874+BX1874+BZ1874+CB1874+CD1874+CF1874+CH1874+CJ1874+CL1874+CN1874+CP1874+CR1874+CT1874</f>
        <v>0</v>
      </c>
      <c r="CV1874" s="76"/>
      <c r="CW1874" s="76">
        <f>+CV1874*1100</f>
        <v>0</v>
      </c>
      <c r="CX1874" s="76"/>
      <c r="CY1874" s="76">
        <f>+CX1874*106250</f>
        <v>0</v>
      </c>
      <c r="CZ1874" s="76"/>
      <c r="DA1874" s="76">
        <f>+CZ1874*34500</f>
        <v>0</v>
      </c>
      <c r="DB1874" s="76"/>
      <c r="DC1874" s="76">
        <f>+DB1874*25000</f>
        <v>0</v>
      </c>
      <c r="DD1874" s="219"/>
      <c r="DE1874" s="219"/>
      <c r="DF1874" s="166"/>
      <c r="DG1874" s="116"/>
      <c r="DH1874" s="117"/>
      <c r="DI1874" s="24"/>
      <c r="DJ1874" s="24"/>
      <c r="DK1874" s="24"/>
      <c r="DL1874" s="24"/>
      <c r="DM1874" s="24"/>
      <c r="DN1874" s="24"/>
      <c r="DO1874" s="24"/>
      <c r="DP1874" s="24"/>
      <c r="DQ1874" s="24"/>
      <c r="DR1874" s="24"/>
      <c r="DS1874" s="24"/>
      <c r="DT1874" s="24"/>
      <c r="DU1874" s="24"/>
    </row>
    <row r="1875" spans="1:128" s="246" customFormat="1" ht="48" x14ac:dyDescent="0.2">
      <c r="A1875" s="77">
        <v>41415</v>
      </c>
      <c r="B1875" s="225" t="s">
        <v>2847</v>
      </c>
      <c r="C1875" s="227" t="s">
        <v>342</v>
      </c>
      <c r="D1875" s="227" t="s">
        <v>3088</v>
      </c>
      <c r="E1875" s="75" t="str">
        <f>VLOOKUP(B1875&amp;C1875,Divipola!$C$2:$F$1138,4,FALSE)</f>
        <v>68245</v>
      </c>
      <c r="F1875" s="87"/>
      <c r="G1875" s="87"/>
      <c r="H1875" s="87"/>
      <c r="I1875" s="87"/>
      <c r="J1875" s="87"/>
      <c r="K1875" s="87"/>
      <c r="L1875" s="87"/>
      <c r="M1875" s="87">
        <v>1</v>
      </c>
      <c r="N1875" s="87"/>
      <c r="O1875" s="87"/>
      <c r="P1875" s="87"/>
      <c r="Q1875" s="87"/>
      <c r="R1875" s="87"/>
      <c r="S1875" s="87"/>
      <c r="T1875" s="87"/>
      <c r="U1875" s="88"/>
      <c r="V1875" s="89"/>
      <c r="W1875" s="96">
        <v>0</v>
      </c>
      <c r="X1875" s="71">
        <f>CU1875</f>
        <v>0</v>
      </c>
      <c r="Y1875" s="71">
        <f>CY1875</f>
        <v>0</v>
      </c>
      <c r="Z1875" s="71">
        <f>DA1875+DC1875+DE1875</f>
        <v>0</v>
      </c>
      <c r="AA1875" s="71">
        <f>CW1875</f>
        <v>0</v>
      </c>
      <c r="AB1875" s="71"/>
      <c r="AC1875" s="71">
        <v>0</v>
      </c>
      <c r="AD1875" s="71">
        <f>W1875+X1875+Y1875+Z1875+AA1875+AB1875+AC1875</f>
        <v>0</v>
      </c>
      <c r="AE1875" s="72">
        <v>0</v>
      </c>
      <c r="AF1875" s="5"/>
      <c r="AG1875" s="6"/>
      <c r="AH1875" s="27" t="s">
        <v>3392</v>
      </c>
      <c r="AI1875" s="44" t="s">
        <v>3393</v>
      </c>
      <c r="AJ1875" s="26"/>
      <c r="AK1875" s="5"/>
      <c r="AL1875" s="82" t="s">
        <v>4686</v>
      </c>
      <c r="AM1875" s="76"/>
      <c r="AN1875" s="76"/>
      <c r="AO1875" s="76"/>
      <c r="AP1875" s="76"/>
      <c r="AQ1875" s="76"/>
      <c r="AR1875" s="76"/>
      <c r="AS1875" s="76"/>
      <c r="AT1875" s="76"/>
      <c r="AU1875" s="76"/>
      <c r="AV1875" s="76"/>
      <c r="AW1875" s="76"/>
      <c r="AX1875" s="76">
        <f>+AW1875*600000</f>
        <v>0</v>
      </c>
      <c r="AY1875" s="76"/>
      <c r="AZ1875" s="76">
        <f>+AY1875*70000</f>
        <v>0</v>
      </c>
      <c r="BA1875" s="76"/>
      <c r="BB1875" s="76"/>
      <c r="BC1875" s="76"/>
      <c r="BD1875" s="76">
        <f>+BC1875*30000</f>
        <v>0</v>
      </c>
      <c r="BE1875" s="76"/>
      <c r="BF1875" s="76"/>
      <c r="BG1875" s="76"/>
      <c r="BH1875" s="76"/>
      <c r="BI1875" s="76"/>
      <c r="BJ1875" s="76"/>
      <c r="BK1875" s="76"/>
      <c r="BL1875" s="76">
        <f>+BK1875*31500</f>
        <v>0</v>
      </c>
      <c r="BM1875" s="76"/>
      <c r="BN1875" s="76"/>
      <c r="BO1875" s="76"/>
      <c r="BP1875" s="76"/>
      <c r="BQ1875" s="76"/>
      <c r="BR1875" s="76"/>
      <c r="BS1875" s="76"/>
      <c r="BT1875" s="76"/>
      <c r="BU1875" s="76"/>
      <c r="BV1875" s="76"/>
      <c r="BW1875" s="76"/>
      <c r="BX1875" s="76"/>
      <c r="BY1875" s="76"/>
      <c r="BZ1875" s="76"/>
      <c r="CA1875" s="76"/>
      <c r="CB1875" s="76"/>
      <c r="CC1875" s="76"/>
      <c r="CD1875" s="76"/>
      <c r="CE1875" s="76"/>
      <c r="CF1875" s="76">
        <f>+CE1875*28000</f>
        <v>0</v>
      </c>
      <c r="CG1875" s="76"/>
      <c r="CH1875" s="76">
        <f>+CG1875*22500</f>
        <v>0</v>
      </c>
      <c r="CI1875" s="76"/>
      <c r="CJ1875" s="76">
        <f>+CI1875*26000</f>
        <v>0</v>
      </c>
      <c r="CK1875" s="76"/>
      <c r="CL1875" s="76"/>
      <c r="CM1875" s="76"/>
      <c r="CN1875" s="76">
        <f>+CM1875*22000</f>
        <v>0</v>
      </c>
      <c r="CO1875" s="76"/>
      <c r="CP1875" s="76">
        <f>+CO1875*46000</f>
        <v>0</v>
      </c>
      <c r="CQ1875" s="76"/>
      <c r="CR1875" s="76">
        <f>+CQ1875*49000</f>
        <v>0</v>
      </c>
      <c r="CS1875" s="76"/>
      <c r="CT1875" s="76"/>
      <c r="CU1875" s="56">
        <f>AN1875+AP1875+AR1875+AT1875+AV1875+AX1875+AZ1875+BB1875+BD1875+BF1875+BH1875+BJ1875+BL1875+BN1875+BP1875+BR1875+BT1875+BV1875+BX1875+BZ1875+CB1875+CD1875+CF1875+CH1875+CJ1875+CL1875+CN1875+CP1875+CR1875+CT1875</f>
        <v>0</v>
      </c>
      <c r="CV1875" s="76"/>
      <c r="CW1875" s="76">
        <f>+CV1875*1100</f>
        <v>0</v>
      </c>
      <c r="CX1875" s="76"/>
      <c r="CY1875" s="76">
        <f>+CX1875*106250</f>
        <v>0</v>
      </c>
      <c r="CZ1875" s="76"/>
      <c r="DA1875" s="76">
        <f>+CZ1875*34500</f>
        <v>0</v>
      </c>
      <c r="DB1875" s="76"/>
      <c r="DC1875" s="76">
        <f>+DB1875*25000</f>
        <v>0</v>
      </c>
      <c r="DD1875" s="219"/>
      <c r="DE1875" s="219"/>
      <c r="DF1875" s="166"/>
      <c r="DG1875" s="116"/>
      <c r="DH1875" s="117"/>
      <c r="DI1875" s="245"/>
      <c r="DJ1875" s="245"/>
      <c r="DK1875" s="245"/>
      <c r="DL1875" s="245"/>
      <c r="DM1875" s="245"/>
      <c r="DN1875" s="245"/>
      <c r="DO1875" s="245"/>
      <c r="DP1875" s="245"/>
      <c r="DQ1875" s="245"/>
      <c r="DR1875" s="245"/>
      <c r="DS1875" s="245"/>
      <c r="DT1875" s="245"/>
      <c r="DU1875" s="245"/>
    </row>
    <row r="1876" spans="1:128" s="246" customFormat="1" ht="36" x14ac:dyDescent="0.2">
      <c r="A1876" s="77">
        <v>41415</v>
      </c>
      <c r="B1876" s="225" t="s">
        <v>2847</v>
      </c>
      <c r="C1876" s="227" t="s">
        <v>1711</v>
      </c>
      <c r="D1876" s="227" t="s">
        <v>3088</v>
      </c>
      <c r="E1876" s="75" t="str">
        <f>VLOOKUP(B1876&amp;C1876,Divipola!$C$2:$F$1138,4,FALSE)</f>
        <v>68324</v>
      </c>
      <c r="F1876" s="87"/>
      <c r="G1876" s="87"/>
      <c r="H1876" s="87"/>
      <c r="I1876" s="87"/>
      <c r="J1876" s="87"/>
      <c r="K1876" s="87"/>
      <c r="L1876" s="87"/>
      <c r="M1876" s="87"/>
      <c r="N1876" s="87">
        <v>1</v>
      </c>
      <c r="O1876" s="87"/>
      <c r="P1876" s="87"/>
      <c r="Q1876" s="87"/>
      <c r="R1876" s="87"/>
      <c r="S1876" s="87"/>
      <c r="T1876" s="87"/>
      <c r="U1876" s="88"/>
      <c r="V1876" s="89"/>
      <c r="W1876" s="96">
        <v>0</v>
      </c>
      <c r="X1876" s="71">
        <f>CU1876</f>
        <v>0</v>
      </c>
      <c r="Y1876" s="71">
        <f>CY1876</f>
        <v>0</v>
      </c>
      <c r="Z1876" s="71">
        <f>DA1876+DC1876+DE1876</f>
        <v>0</v>
      </c>
      <c r="AA1876" s="71">
        <f>CW1876</f>
        <v>0</v>
      </c>
      <c r="AB1876" s="71"/>
      <c r="AC1876" s="71">
        <v>0</v>
      </c>
      <c r="AD1876" s="71">
        <f>W1876+X1876+Y1876+Z1876+AA1876+AB1876+AC1876</f>
        <v>0</v>
      </c>
      <c r="AE1876" s="72">
        <v>0</v>
      </c>
      <c r="AF1876" s="5"/>
      <c r="AG1876" s="6"/>
      <c r="AH1876" s="27" t="s">
        <v>3392</v>
      </c>
      <c r="AI1876" s="44" t="s">
        <v>3393</v>
      </c>
      <c r="AJ1876" s="26"/>
      <c r="AK1876" s="5"/>
      <c r="AL1876" s="82" t="s">
        <v>4687</v>
      </c>
      <c r="AM1876" s="76"/>
      <c r="AN1876" s="76"/>
      <c r="AO1876" s="76"/>
      <c r="AP1876" s="76"/>
      <c r="AQ1876" s="76"/>
      <c r="AR1876" s="76"/>
      <c r="AS1876" s="76"/>
      <c r="AT1876" s="76"/>
      <c r="AU1876" s="76"/>
      <c r="AV1876" s="76"/>
      <c r="AW1876" s="76"/>
      <c r="AX1876" s="76">
        <f>+AW1876*600000</f>
        <v>0</v>
      </c>
      <c r="AY1876" s="76"/>
      <c r="AZ1876" s="76">
        <f>+AY1876*70000</f>
        <v>0</v>
      </c>
      <c r="BA1876" s="76"/>
      <c r="BB1876" s="76"/>
      <c r="BC1876" s="76"/>
      <c r="BD1876" s="76">
        <f>+BC1876*30000</f>
        <v>0</v>
      </c>
      <c r="BE1876" s="76"/>
      <c r="BF1876" s="76"/>
      <c r="BG1876" s="76"/>
      <c r="BH1876" s="76"/>
      <c r="BI1876" s="76"/>
      <c r="BJ1876" s="76"/>
      <c r="BK1876" s="76"/>
      <c r="BL1876" s="76">
        <f>+BK1876*31500</f>
        <v>0</v>
      </c>
      <c r="BM1876" s="76"/>
      <c r="BN1876" s="76"/>
      <c r="BO1876" s="76"/>
      <c r="BP1876" s="76"/>
      <c r="BQ1876" s="76"/>
      <c r="BR1876" s="76"/>
      <c r="BS1876" s="76"/>
      <c r="BT1876" s="76"/>
      <c r="BU1876" s="76"/>
      <c r="BV1876" s="76"/>
      <c r="BW1876" s="76"/>
      <c r="BX1876" s="76"/>
      <c r="BY1876" s="76"/>
      <c r="BZ1876" s="76"/>
      <c r="CA1876" s="76"/>
      <c r="CB1876" s="76"/>
      <c r="CC1876" s="76"/>
      <c r="CD1876" s="76"/>
      <c r="CE1876" s="76"/>
      <c r="CF1876" s="76">
        <f>+CE1876*28000</f>
        <v>0</v>
      </c>
      <c r="CG1876" s="76"/>
      <c r="CH1876" s="76">
        <f>+CG1876*22500</f>
        <v>0</v>
      </c>
      <c r="CI1876" s="76"/>
      <c r="CJ1876" s="76">
        <f>+CI1876*26000</f>
        <v>0</v>
      </c>
      <c r="CK1876" s="76"/>
      <c r="CL1876" s="76"/>
      <c r="CM1876" s="76"/>
      <c r="CN1876" s="76">
        <f>+CM1876*22000</f>
        <v>0</v>
      </c>
      <c r="CO1876" s="76"/>
      <c r="CP1876" s="76">
        <f>+CO1876*46000</f>
        <v>0</v>
      </c>
      <c r="CQ1876" s="76"/>
      <c r="CR1876" s="76">
        <f>+CQ1876*49000</f>
        <v>0</v>
      </c>
      <c r="CS1876" s="76"/>
      <c r="CT1876" s="76"/>
      <c r="CU1876" s="56">
        <f>AN1876+AP1876+AR1876+AT1876+AV1876+AX1876+AZ1876+BB1876+BD1876+BF1876+BH1876+BJ1876+BL1876+BN1876+BP1876+BR1876+BT1876+BV1876+BX1876+BZ1876+CB1876+CD1876+CF1876+CH1876+CJ1876+CL1876+CN1876+CP1876+CR1876+CT1876</f>
        <v>0</v>
      </c>
      <c r="CV1876" s="76"/>
      <c r="CW1876" s="76">
        <f>+CV1876*1100</f>
        <v>0</v>
      </c>
      <c r="CX1876" s="76"/>
      <c r="CY1876" s="76">
        <f>+CX1876*106250</f>
        <v>0</v>
      </c>
      <c r="CZ1876" s="76"/>
      <c r="DA1876" s="76">
        <f>+CZ1876*34500</f>
        <v>0</v>
      </c>
      <c r="DB1876" s="76"/>
      <c r="DC1876" s="76">
        <f>+DB1876*25000</f>
        <v>0</v>
      </c>
      <c r="DD1876" s="219"/>
      <c r="DE1876" s="219"/>
      <c r="DF1876" s="166"/>
      <c r="DG1876" s="116"/>
      <c r="DH1876" s="117"/>
      <c r="DI1876" s="24"/>
      <c r="DJ1876" s="24"/>
      <c r="DK1876" s="24"/>
      <c r="DL1876" s="24"/>
      <c r="DM1876" s="24"/>
      <c r="DN1876" s="24"/>
      <c r="DO1876" s="24"/>
      <c r="DP1876" s="24"/>
      <c r="DQ1876" s="24"/>
      <c r="DR1876" s="24"/>
      <c r="DS1876" s="24"/>
      <c r="DT1876" s="24"/>
      <c r="DU1876" s="24"/>
      <c r="DV1876" s="8"/>
      <c r="DW1876" s="8"/>
      <c r="DX1876" s="8"/>
    </row>
    <row r="1877" spans="1:128" s="8" customFormat="1" ht="84" x14ac:dyDescent="0.2">
      <c r="A1877" s="353">
        <v>41415</v>
      </c>
      <c r="B1877" s="352" t="s">
        <v>2848</v>
      </c>
      <c r="C1877" s="354" t="s">
        <v>1684</v>
      </c>
      <c r="D1877" s="354" t="s">
        <v>3051</v>
      </c>
      <c r="E1877" s="75" t="str">
        <f>VLOOKUP(B1877&amp;C1877,Divipola!$C$2:$F$1138,4,FALSE)</f>
        <v>73055</v>
      </c>
      <c r="F1877" s="87"/>
      <c r="G1877" s="87"/>
      <c r="H1877" s="87"/>
      <c r="I1877" s="87"/>
      <c r="J1877" s="87"/>
      <c r="K1877" s="87"/>
      <c r="L1877" s="87"/>
      <c r="M1877" s="87"/>
      <c r="N1877" s="87"/>
      <c r="O1877" s="87"/>
      <c r="P1877" s="87"/>
      <c r="Q1877" s="87"/>
      <c r="R1877" s="87"/>
      <c r="S1877" s="87"/>
      <c r="T1877" s="87"/>
      <c r="U1877" s="88"/>
      <c r="V1877" s="89"/>
      <c r="W1877" s="96">
        <v>0</v>
      </c>
      <c r="X1877" s="71">
        <f>CU1877</f>
        <v>0</v>
      </c>
      <c r="Y1877" s="71">
        <f>CY1877</f>
        <v>0</v>
      </c>
      <c r="Z1877" s="71">
        <f>DA1877+DC1877+DE1877</f>
        <v>0</v>
      </c>
      <c r="AA1877" s="71">
        <f>CW1877</f>
        <v>0</v>
      </c>
      <c r="AB1877" s="71"/>
      <c r="AC1877" s="71">
        <v>0</v>
      </c>
      <c r="AD1877" s="71">
        <f>W1877+X1877+Y1877+Z1877+AA1877+AB1877+AC1877</f>
        <v>0</v>
      </c>
      <c r="AE1877" s="72">
        <v>0</v>
      </c>
      <c r="AF1877" s="5"/>
      <c r="AG1877" s="6"/>
      <c r="AH1877" s="27" t="s">
        <v>3392</v>
      </c>
      <c r="AI1877" s="44" t="s">
        <v>3393</v>
      </c>
      <c r="AJ1877" s="26"/>
      <c r="AK1877" s="5"/>
      <c r="AL1877" s="82" t="s">
        <v>4674</v>
      </c>
      <c r="AM1877" s="76"/>
      <c r="AN1877" s="76"/>
      <c r="AO1877" s="76"/>
      <c r="AP1877" s="76"/>
      <c r="AQ1877" s="76"/>
      <c r="AR1877" s="76"/>
      <c r="AS1877" s="76"/>
      <c r="AT1877" s="76"/>
      <c r="AU1877" s="76"/>
      <c r="AV1877" s="76"/>
      <c r="AW1877" s="76"/>
      <c r="AX1877" s="76">
        <f>+AW1877*600000</f>
        <v>0</v>
      </c>
      <c r="AY1877" s="76"/>
      <c r="AZ1877" s="76">
        <f>+AY1877*70000</f>
        <v>0</v>
      </c>
      <c r="BA1877" s="76"/>
      <c r="BB1877" s="76"/>
      <c r="BC1877" s="76"/>
      <c r="BD1877" s="76">
        <f>+BC1877*30000</f>
        <v>0</v>
      </c>
      <c r="BE1877" s="76"/>
      <c r="BF1877" s="76"/>
      <c r="BG1877" s="76"/>
      <c r="BH1877" s="76"/>
      <c r="BI1877" s="76"/>
      <c r="BJ1877" s="76"/>
      <c r="BK1877" s="76"/>
      <c r="BL1877" s="76">
        <f>+BK1877*31500</f>
        <v>0</v>
      </c>
      <c r="BM1877" s="76"/>
      <c r="BN1877" s="76"/>
      <c r="BO1877" s="76"/>
      <c r="BP1877" s="76"/>
      <c r="BQ1877" s="76"/>
      <c r="BR1877" s="76"/>
      <c r="BS1877" s="76"/>
      <c r="BT1877" s="76"/>
      <c r="BU1877" s="76"/>
      <c r="BV1877" s="76"/>
      <c r="BW1877" s="76"/>
      <c r="BX1877" s="76"/>
      <c r="BY1877" s="76"/>
      <c r="BZ1877" s="76"/>
      <c r="CA1877" s="76"/>
      <c r="CB1877" s="76"/>
      <c r="CC1877" s="76"/>
      <c r="CD1877" s="76"/>
      <c r="CE1877" s="76"/>
      <c r="CF1877" s="76">
        <f>+CE1877*28000</f>
        <v>0</v>
      </c>
      <c r="CG1877" s="76"/>
      <c r="CH1877" s="76">
        <f>+CG1877*22500</f>
        <v>0</v>
      </c>
      <c r="CI1877" s="76"/>
      <c r="CJ1877" s="76">
        <f>+CI1877*26000</f>
        <v>0</v>
      </c>
      <c r="CK1877" s="76"/>
      <c r="CL1877" s="76"/>
      <c r="CM1877" s="76"/>
      <c r="CN1877" s="76">
        <f>+CM1877*22000</f>
        <v>0</v>
      </c>
      <c r="CO1877" s="76"/>
      <c r="CP1877" s="76">
        <f>+CO1877*46000</f>
        <v>0</v>
      </c>
      <c r="CQ1877" s="76"/>
      <c r="CR1877" s="76">
        <f>+CQ1877*49000</f>
        <v>0</v>
      </c>
      <c r="CS1877" s="76"/>
      <c r="CT1877" s="76"/>
      <c r="CU1877" s="56">
        <f>AN1877+AP1877+AR1877+AT1877+AV1877+AX1877+AZ1877+BB1877+BD1877+BF1877+BH1877+BJ1877+BL1877+BN1877+BP1877+BR1877+BT1877+BV1877+BX1877+BZ1877+CB1877+CD1877+CF1877+CH1877+CJ1877+CL1877+CN1877+CP1877+CR1877+CT1877</f>
        <v>0</v>
      </c>
      <c r="CV1877" s="76"/>
      <c r="CW1877" s="76">
        <f>+CV1877*1100</f>
        <v>0</v>
      </c>
      <c r="CX1877" s="76"/>
      <c r="CY1877" s="76">
        <f>+CX1877*106250</f>
        <v>0</v>
      </c>
      <c r="CZ1877" s="76"/>
      <c r="DA1877" s="76">
        <f>+CZ1877*34500</f>
        <v>0</v>
      </c>
      <c r="DB1877" s="76"/>
      <c r="DC1877" s="76">
        <f>+DB1877*25000</f>
        <v>0</v>
      </c>
      <c r="DD1877" s="219"/>
      <c r="DE1877" s="219"/>
      <c r="DF1877" s="166"/>
      <c r="DG1877" s="116"/>
      <c r="DH1877" s="117"/>
      <c r="DI1877" s="24"/>
      <c r="DJ1877" s="24"/>
      <c r="DK1877" s="24"/>
      <c r="DL1877" s="24"/>
      <c r="DM1877" s="24"/>
      <c r="DN1877" s="24"/>
      <c r="DO1877" s="24"/>
      <c r="DP1877" s="24"/>
      <c r="DQ1877" s="24"/>
      <c r="DR1877" s="24"/>
      <c r="DS1877" s="24"/>
      <c r="DT1877" s="24"/>
      <c r="DU1877" s="24"/>
    </row>
    <row r="1878" spans="1:128" s="8" customFormat="1" ht="84" x14ac:dyDescent="0.2">
      <c r="A1878" s="248">
        <v>41415</v>
      </c>
      <c r="B1878" s="249" t="s">
        <v>2848</v>
      </c>
      <c r="C1878" s="231" t="s">
        <v>1392</v>
      </c>
      <c r="D1878" s="231" t="s">
        <v>3088</v>
      </c>
      <c r="E1878" s="231" t="str">
        <f>VLOOKUP(B1878&amp;C1878,Divipola!$C$2:$F$1138,4,FALSE)</f>
        <v>73520</v>
      </c>
      <c r="F1878" s="256"/>
      <c r="G1878" s="256"/>
      <c r="H1878" s="256"/>
      <c r="I1878" s="256">
        <v>110</v>
      </c>
      <c r="J1878" s="256">
        <v>22</v>
      </c>
      <c r="K1878" s="256"/>
      <c r="L1878" s="256">
        <v>22</v>
      </c>
      <c r="M1878" s="256"/>
      <c r="N1878" s="256"/>
      <c r="O1878" s="256"/>
      <c r="P1878" s="256">
        <v>2</v>
      </c>
      <c r="Q1878" s="256"/>
      <c r="R1878" s="256"/>
      <c r="S1878" s="256"/>
      <c r="T1878" s="256"/>
      <c r="U1878" s="256"/>
      <c r="V1878" s="253"/>
      <c r="W1878" s="271">
        <v>0</v>
      </c>
      <c r="X1878" s="269">
        <f>CU1878</f>
        <v>995982.96</v>
      </c>
      <c r="Y1878" s="269">
        <f>CY1878</f>
        <v>630948</v>
      </c>
      <c r="Z1878" s="269">
        <f>DA1878+DC1878+DE1878</f>
        <v>16056265.279999999</v>
      </c>
      <c r="AA1878" s="269">
        <f>CW1878</f>
        <v>0</v>
      </c>
      <c r="AB1878" s="269"/>
      <c r="AC1878" s="269">
        <v>0</v>
      </c>
      <c r="AD1878" s="269">
        <f>W1878+X1878+Y1878+Z1878+AA1878+AB1878+AC1878</f>
        <v>17683196.239999998</v>
      </c>
      <c r="AE1878" s="270">
        <v>0</v>
      </c>
      <c r="AF1878" s="235"/>
      <c r="AG1878" s="236"/>
      <c r="AH1878" s="237" t="s">
        <v>3390</v>
      </c>
      <c r="AI1878" s="238" t="s">
        <v>3393</v>
      </c>
      <c r="AJ1878" s="239"/>
      <c r="AK1878" s="235" t="s">
        <v>4242</v>
      </c>
      <c r="AL1878" s="82" t="s">
        <v>6025</v>
      </c>
      <c r="AM1878" s="240"/>
      <c r="AN1878" s="240"/>
      <c r="AO1878" s="240"/>
      <c r="AP1878" s="240"/>
      <c r="AQ1878" s="240"/>
      <c r="AR1878" s="240"/>
      <c r="AS1878" s="240"/>
      <c r="AT1878" s="240"/>
      <c r="AU1878" s="240"/>
      <c r="AV1878" s="240"/>
      <c r="AW1878" s="240"/>
      <c r="AX1878" s="240">
        <f>+AW1878*600000</f>
        <v>0</v>
      </c>
      <c r="AY1878" s="312">
        <v>12</v>
      </c>
      <c r="AZ1878" s="312">
        <f>+AY1878*69999.04</f>
        <v>839988.48</v>
      </c>
      <c r="BA1878" s="240"/>
      <c r="BB1878" s="240"/>
      <c r="BC1878" s="240"/>
      <c r="BD1878" s="240">
        <f>+BC1878*30000</f>
        <v>0</v>
      </c>
      <c r="BE1878" s="240"/>
      <c r="BF1878" s="240"/>
      <c r="BG1878" s="240"/>
      <c r="BH1878" s="240"/>
      <c r="BI1878" s="240"/>
      <c r="BJ1878" s="240"/>
      <c r="BK1878" s="240"/>
      <c r="BL1878" s="240">
        <f>+BK1878*31500</f>
        <v>0</v>
      </c>
      <c r="BM1878" s="240"/>
      <c r="BN1878" s="240"/>
      <c r="BO1878" s="240"/>
      <c r="BP1878" s="240"/>
      <c r="BQ1878" s="240"/>
      <c r="BR1878" s="240"/>
      <c r="BS1878" s="240"/>
      <c r="BT1878" s="240"/>
      <c r="BU1878" s="240"/>
      <c r="BV1878" s="240"/>
      <c r="BW1878" s="240"/>
      <c r="BX1878" s="240"/>
      <c r="BY1878" s="240"/>
      <c r="BZ1878" s="240"/>
      <c r="CA1878" s="240"/>
      <c r="CB1878" s="240"/>
      <c r="CC1878" s="240"/>
      <c r="CD1878" s="240"/>
      <c r="CE1878" s="240"/>
      <c r="CF1878" s="240">
        <f>+CE1878*28000</f>
        <v>0</v>
      </c>
      <c r="CG1878" s="240"/>
      <c r="CH1878" s="240">
        <f>+CG1878*22500</f>
        <v>0</v>
      </c>
      <c r="CI1878" s="312">
        <v>6</v>
      </c>
      <c r="CJ1878" s="312">
        <f>+CI1878*25999.08</f>
        <v>155994.48000000001</v>
      </c>
      <c r="CK1878" s="240"/>
      <c r="CL1878" s="240"/>
      <c r="CM1878" s="240"/>
      <c r="CN1878" s="240">
        <f>+CM1878*22000</f>
        <v>0</v>
      </c>
      <c r="CO1878" s="240"/>
      <c r="CP1878" s="240">
        <f>+CO1878*46000</f>
        <v>0</v>
      </c>
      <c r="CQ1878" s="240"/>
      <c r="CR1878" s="240">
        <f>+CQ1878*49000</f>
        <v>0</v>
      </c>
      <c r="CS1878" s="240"/>
      <c r="CT1878" s="240"/>
      <c r="CU1878" s="241">
        <f>AN1878+AP1878+AR1878+AT1878+AV1878+AX1878+AZ1878+BB1878+BD1878+BF1878+BH1878+BJ1878+BL1878+BN1878+BP1878+BR1878+BT1878+BV1878+BX1878+BZ1878+CB1878+CD1878+CF1878+CH1878+CJ1878+CL1878+CN1878+CP1878+CR1878+CT1878</f>
        <v>995982.96</v>
      </c>
      <c r="CV1878" s="240"/>
      <c r="CW1878" s="240">
        <f>+CV1878*1100</f>
        <v>0</v>
      </c>
      <c r="CX1878" s="312">
        <v>6</v>
      </c>
      <c r="CY1878" s="312">
        <f>+CX1878*105158</f>
        <v>630948</v>
      </c>
      <c r="CZ1878" s="312">
        <v>20</v>
      </c>
      <c r="DA1878" s="312">
        <f>+CZ1878*34499.56</f>
        <v>689991.2</v>
      </c>
      <c r="DB1878" s="312">
        <v>300</v>
      </c>
      <c r="DC1878" s="312">
        <f>+DB1878*31999.76+1200*199.52</f>
        <v>9839352</v>
      </c>
      <c r="DD1878" s="313" t="s">
        <v>6026</v>
      </c>
      <c r="DE1878" s="314">
        <f>66*71998.88+5*154999.2</f>
        <v>5526922.0800000001</v>
      </c>
      <c r="DF1878" s="243"/>
      <c r="DG1878" s="253" t="s">
        <v>6021</v>
      </c>
      <c r="DH1878" s="244"/>
      <c r="DI1878" s="24"/>
      <c r="DJ1878" s="24"/>
      <c r="DK1878" s="24"/>
      <c r="DL1878" s="24"/>
      <c r="DM1878" s="24"/>
      <c r="DN1878" s="24"/>
      <c r="DO1878" s="24"/>
      <c r="DP1878" s="24"/>
      <c r="DQ1878" s="24"/>
      <c r="DR1878" s="24"/>
      <c r="DS1878" s="24"/>
      <c r="DT1878" s="24"/>
      <c r="DU1878" s="24"/>
    </row>
    <row r="1879" spans="1:128" s="8" customFormat="1" ht="216" x14ac:dyDescent="0.2">
      <c r="A1879" s="77">
        <v>41415</v>
      </c>
      <c r="B1879" s="78" t="s">
        <v>2848</v>
      </c>
      <c r="C1879" s="75" t="s">
        <v>1258</v>
      </c>
      <c r="D1879" s="75" t="s">
        <v>3205</v>
      </c>
      <c r="E1879" s="75" t="str">
        <f>VLOOKUP(B1879&amp;C1879,Divipola!$C$2:$F$1138,4,FALSE)</f>
        <v>73870</v>
      </c>
      <c r="F1879" s="87"/>
      <c r="G1879" s="87"/>
      <c r="H1879" s="87"/>
      <c r="I1879" s="87"/>
      <c r="J1879" s="87"/>
      <c r="K1879" s="87"/>
      <c r="L1879" s="87"/>
      <c r="M1879" s="87">
        <v>3</v>
      </c>
      <c r="N1879" s="87"/>
      <c r="O1879" s="87"/>
      <c r="P1879" s="87"/>
      <c r="Q1879" s="87"/>
      <c r="R1879" s="87"/>
      <c r="S1879" s="87"/>
      <c r="T1879" s="87"/>
      <c r="U1879" s="88"/>
      <c r="V1879" s="89"/>
      <c r="W1879" s="96">
        <v>0</v>
      </c>
      <c r="X1879" s="71">
        <f>CU1879</f>
        <v>0</v>
      </c>
      <c r="Y1879" s="71">
        <f>CY1879</f>
        <v>0</v>
      </c>
      <c r="Z1879" s="71">
        <f>DA1879+DC1879+DE1879</f>
        <v>0</v>
      </c>
      <c r="AA1879" s="71">
        <f>CW1879</f>
        <v>0</v>
      </c>
      <c r="AB1879" s="71"/>
      <c r="AC1879" s="71">
        <v>0</v>
      </c>
      <c r="AD1879" s="71">
        <f>W1879+X1879+Y1879+Z1879+AA1879+AB1879+AC1879</f>
        <v>0</v>
      </c>
      <c r="AE1879" s="72">
        <v>0</v>
      </c>
      <c r="AF1879" s="5"/>
      <c r="AG1879" s="6"/>
      <c r="AH1879" s="27" t="s">
        <v>3392</v>
      </c>
      <c r="AI1879" s="44" t="s">
        <v>3393</v>
      </c>
      <c r="AJ1879" s="26"/>
      <c r="AK1879" s="5"/>
      <c r="AL1879" s="82" t="s">
        <v>4692</v>
      </c>
      <c r="AM1879" s="76"/>
      <c r="AN1879" s="76"/>
      <c r="AO1879" s="76"/>
      <c r="AP1879" s="76"/>
      <c r="AQ1879" s="76"/>
      <c r="AR1879" s="76"/>
      <c r="AS1879" s="76"/>
      <c r="AT1879" s="76"/>
      <c r="AU1879" s="76"/>
      <c r="AV1879" s="76"/>
      <c r="AW1879" s="76"/>
      <c r="AX1879" s="76">
        <f>+AW1879*600000</f>
        <v>0</v>
      </c>
      <c r="AY1879" s="76"/>
      <c r="AZ1879" s="76">
        <f>+AY1879*70000</f>
        <v>0</v>
      </c>
      <c r="BA1879" s="76"/>
      <c r="BB1879" s="76"/>
      <c r="BC1879" s="76"/>
      <c r="BD1879" s="76">
        <f>+BC1879*30000</f>
        <v>0</v>
      </c>
      <c r="BE1879" s="76"/>
      <c r="BF1879" s="76"/>
      <c r="BG1879" s="76"/>
      <c r="BH1879" s="76"/>
      <c r="BI1879" s="76"/>
      <c r="BJ1879" s="76"/>
      <c r="BK1879" s="76"/>
      <c r="BL1879" s="76">
        <f>+BK1879*31500</f>
        <v>0</v>
      </c>
      <c r="BM1879" s="76"/>
      <c r="BN1879" s="76"/>
      <c r="BO1879" s="76"/>
      <c r="BP1879" s="76"/>
      <c r="BQ1879" s="76"/>
      <c r="BR1879" s="76"/>
      <c r="BS1879" s="76"/>
      <c r="BT1879" s="76"/>
      <c r="BU1879" s="76"/>
      <c r="BV1879" s="76"/>
      <c r="BW1879" s="76"/>
      <c r="BX1879" s="76"/>
      <c r="BY1879" s="76"/>
      <c r="BZ1879" s="76"/>
      <c r="CA1879" s="76"/>
      <c r="CB1879" s="76"/>
      <c r="CC1879" s="76"/>
      <c r="CD1879" s="76"/>
      <c r="CE1879" s="76"/>
      <c r="CF1879" s="76">
        <f>+CE1879*28000</f>
        <v>0</v>
      </c>
      <c r="CG1879" s="76"/>
      <c r="CH1879" s="76">
        <f>+CG1879*22500</f>
        <v>0</v>
      </c>
      <c r="CI1879" s="76"/>
      <c r="CJ1879" s="76">
        <f>+CI1879*26000</f>
        <v>0</v>
      </c>
      <c r="CK1879" s="76"/>
      <c r="CL1879" s="76"/>
      <c r="CM1879" s="76"/>
      <c r="CN1879" s="76">
        <f>+CM1879*22000</f>
        <v>0</v>
      </c>
      <c r="CO1879" s="76"/>
      <c r="CP1879" s="76">
        <f>+CO1879*46000</f>
        <v>0</v>
      </c>
      <c r="CQ1879" s="76"/>
      <c r="CR1879" s="76">
        <f>+CQ1879*49000</f>
        <v>0</v>
      </c>
      <c r="CS1879" s="76"/>
      <c r="CT1879" s="76"/>
      <c r="CU1879" s="56">
        <f>AN1879+AP1879+AR1879+AT1879+AV1879+AX1879+AZ1879+BB1879+BD1879+BF1879+BH1879+BJ1879+BL1879+BN1879+BP1879+BR1879+BT1879+BV1879+BX1879+BZ1879+CB1879+CD1879+CF1879+CH1879+CJ1879+CL1879+CN1879+CP1879+CR1879+CT1879</f>
        <v>0</v>
      </c>
      <c r="CV1879" s="76"/>
      <c r="CW1879" s="76">
        <f>+CV1879*1100</f>
        <v>0</v>
      </c>
      <c r="CX1879" s="76"/>
      <c r="CY1879" s="76">
        <f>+CX1879*106250</f>
        <v>0</v>
      </c>
      <c r="CZ1879" s="76"/>
      <c r="DA1879" s="76">
        <f>+CZ1879*34500</f>
        <v>0</v>
      </c>
      <c r="DB1879" s="76"/>
      <c r="DC1879" s="76">
        <f>+DB1879*25000</f>
        <v>0</v>
      </c>
      <c r="DD1879" s="219"/>
      <c r="DE1879" s="219"/>
      <c r="DF1879" s="166"/>
      <c r="DG1879" s="116"/>
      <c r="DH1879" s="117"/>
      <c r="DI1879" s="24"/>
      <c r="DJ1879" s="24"/>
      <c r="DK1879" s="24"/>
      <c r="DL1879" s="24"/>
      <c r="DM1879" s="24"/>
      <c r="DN1879" s="24"/>
      <c r="DO1879" s="24"/>
      <c r="DP1879" s="24"/>
      <c r="DQ1879" s="24"/>
      <c r="DR1879" s="24"/>
      <c r="DS1879" s="24"/>
      <c r="DT1879" s="24"/>
      <c r="DU1879" s="24"/>
    </row>
    <row r="1880" spans="1:128" s="8" customFormat="1" ht="192" x14ac:dyDescent="0.2">
      <c r="A1880" s="353">
        <v>41415</v>
      </c>
      <c r="B1880" s="225" t="s">
        <v>2851</v>
      </c>
      <c r="C1880" s="227" t="s">
        <v>2107</v>
      </c>
      <c r="D1880" s="227" t="s">
        <v>2882</v>
      </c>
      <c r="E1880" s="75" t="str">
        <f>VLOOKUP(B1880&amp;C1880,Divipola!$C$2:$F$1138,4,FALSE)</f>
        <v>76041</v>
      </c>
      <c r="F1880" s="87"/>
      <c r="G1880" s="87"/>
      <c r="H1880" s="87"/>
      <c r="I1880" s="87">
        <f>41*5</f>
        <v>205</v>
      </c>
      <c r="J1880" s="87">
        <v>41</v>
      </c>
      <c r="K1880" s="87"/>
      <c r="L1880" s="87">
        <v>41</v>
      </c>
      <c r="M1880" s="87">
        <v>2</v>
      </c>
      <c r="N1880" s="87"/>
      <c r="O1880" s="87"/>
      <c r="P1880" s="87"/>
      <c r="Q1880" s="87"/>
      <c r="R1880" s="87"/>
      <c r="S1880" s="87"/>
      <c r="T1880" s="87"/>
      <c r="U1880" s="88"/>
      <c r="V1880" s="89"/>
      <c r="W1880" s="96">
        <v>0</v>
      </c>
      <c r="X1880" s="71">
        <f>CU1880</f>
        <v>0</v>
      </c>
      <c r="Y1880" s="71">
        <f>CY1880</f>
        <v>0</v>
      </c>
      <c r="Z1880" s="71">
        <f>DA1880+DC1880+DE1880</f>
        <v>0</v>
      </c>
      <c r="AA1880" s="71">
        <f>CW1880</f>
        <v>0</v>
      </c>
      <c r="AB1880" s="71"/>
      <c r="AC1880" s="71">
        <v>0</v>
      </c>
      <c r="AD1880" s="71">
        <f>W1880+X1880+Y1880+Z1880+AA1880+AB1880+AC1880</f>
        <v>0</v>
      </c>
      <c r="AE1880" s="72">
        <v>0</v>
      </c>
      <c r="AF1880" s="5"/>
      <c r="AG1880" s="6"/>
      <c r="AH1880" s="27" t="s">
        <v>3390</v>
      </c>
      <c r="AI1880" s="44" t="s">
        <v>3391</v>
      </c>
      <c r="AJ1880" s="26"/>
      <c r="AK1880" s="5"/>
      <c r="AL1880" s="82" t="s">
        <v>5878</v>
      </c>
      <c r="AM1880" s="76"/>
      <c r="AN1880" s="76"/>
      <c r="AO1880" s="76"/>
      <c r="AP1880" s="76"/>
      <c r="AQ1880" s="76"/>
      <c r="AR1880" s="76"/>
      <c r="AS1880" s="76"/>
      <c r="AT1880" s="76"/>
      <c r="AU1880" s="76"/>
      <c r="AV1880" s="76"/>
      <c r="AW1880" s="76"/>
      <c r="AX1880" s="76">
        <f>+AW1880*600000</f>
        <v>0</v>
      </c>
      <c r="AY1880" s="76"/>
      <c r="AZ1880" s="76">
        <f>+AY1880*70000</f>
        <v>0</v>
      </c>
      <c r="BA1880" s="76"/>
      <c r="BB1880" s="76"/>
      <c r="BC1880" s="76"/>
      <c r="BD1880" s="76">
        <f>+BC1880*30000</f>
        <v>0</v>
      </c>
      <c r="BE1880" s="76"/>
      <c r="BF1880" s="76"/>
      <c r="BG1880" s="76"/>
      <c r="BH1880" s="76"/>
      <c r="BI1880" s="76"/>
      <c r="BJ1880" s="76"/>
      <c r="BK1880" s="76"/>
      <c r="BL1880" s="76">
        <f>+BK1880*31500</f>
        <v>0</v>
      </c>
      <c r="BM1880" s="76"/>
      <c r="BN1880" s="76"/>
      <c r="BO1880" s="76"/>
      <c r="BP1880" s="76"/>
      <c r="BQ1880" s="76"/>
      <c r="BR1880" s="76"/>
      <c r="BS1880" s="76"/>
      <c r="BT1880" s="76"/>
      <c r="BU1880" s="76"/>
      <c r="BV1880" s="76"/>
      <c r="BW1880" s="76"/>
      <c r="BX1880" s="76"/>
      <c r="BY1880" s="76"/>
      <c r="BZ1880" s="76"/>
      <c r="CA1880" s="76"/>
      <c r="CB1880" s="76"/>
      <c r="CC1880" s="76"/>
      <c r="CD1880" s="76"/>
      <c r="CE1880" s="76"/>
      <c r="CF1880" s="76">
        <f>+CE1880*28000</f>
        <v>0</v>
      </c>
      <c r="CG1880" s="76"/>
      <c r="CH1880" s="76">
        <f>+CG1880*22500</f>
        <v>0</v>
      </c>
      <c r="CI1880" s="76"/>
      <c r="CJ1880" s="76">
        <f>+CI1880*26000</f>
        <v>0</v>
      </c>
      <c r="CK1880" s="76"/>
      <c r="CL1880" s="76"/>
      <c r="CM1880" s="76"/>
      <c r="CN1880" s="76">
        <f>+CM1880*22000</f>
        <v>0</v>
      </c>
      <c r="CO1880" s="76"/>
      <c r="CP1880" s="76">
        <f>+CO1880*46000</f>
        <v>0</v>
      </c>
      <c r="CQ1880" s="76"/>
      <c r="CR1880" s="76">
        <f>+CQ1880*49000</f>
        <v>0</v>
      </c>
      <c r="CS1880" s="76"/>
      <c r="CT1880" s="76"/>
      <c r="CU1880" s="56">
        <f>AN1880+AP1880+AR1880+AT1880+AV1880+AX1880+AZ1880+BB1880+BD1880+BF1880+BH1880+BJ1880+BL1880+BN1880+BP1880+BR1880+BT1880+BV1880+BX1880+BZ1880+CB1880+CD1880+CF1880+CH1880+CJ1880+CL1880+CN1880+CP1880+CR1880+CT1880</f>
        <v>0</v>
      </c>
      <c r="CV1880" s="76"/>
      <c r="CW1880" s="76">
        <f>+CV1880*1100</f>
        <v>0</v>
      </c>
      <c r="CX1880" s="76"/>
      <c r="CY1880" s="76">
        <f>+CX1880*106250</f>
        <v>0</v>
      </c>
      <c r="CZ1880" s="76"/>
      <c r="DA1880" s="76">
        <f>+CZ1880*34500</f>
        <v>0</v>
      </c>
      <c r="DB1880" s="76"/>
      <c r="DC1880" s="76">
        <f>+DB1880*25000</f>
        <v>0</v>
      </c>
      <c r="DD1880" s="219"/>
      <c r="DE1880" s="219"/>
      <c r="DF1880" s="166"/>
      <c r="DG1880" s="116"/>
      <c r="DH1880" s="117"/>
      <c r="DI1880" s="24"/>
      <c r="DJ1880" s="24"/>
      <c r="DK1880" s="24"/>
      <c r="DL1880" s="24"/>
      <c r="DM1880" s="24"/>
      <c r="DN1880" s="24"/>
      <c r="DO1880" s="24"/>
      <c r="DP1880" s="24"/>
      <c r="DQ1880" s="24"/>
      <c r="DR1880" s="24"/>
      <c r="DS1880" s="24"/>
      <c r="DT1880" s="24"/>
      <c r="DU1880" s="24"/>
    </row>
    <row r="1881" spans="1:128" s="8" customFormat="1" ht="60" x14ac:dyDescent="0.2">
      <c r="A1881" s="77">
        <v>41415</v>
      </c>
      <c r="B1881" s="225" t="s">
        <v>2851</v>
      </c>
      <c r="C1881" s="227" t="s">
        <v>2135</v>
      </c>
      <c r="D1881" s="227" t="s">
        <v>3051</v>
      </c>
      <c r="E1881" s="75" t="str">
        <f>VLOOKUP(B1881&amp;C1881,Divipola!$C$2:$F$1138,4,FALSE)</f>
        <v>76834</v>
      </c>
      <c r="F1881" s="87"/>
      <c r="G1881" s="87"/>
      <c r="H1881" s="87"/>
      <c r="I1881" s="87">
        <v>310</v>
      </c>
      <c r="J1881" s="87">
        <v>62</v>
      </c>
      <c r="K1881" s="87"/>
      <c r="L1881" s="87">
        <v>62</v>
      </c>
      <c r="M1881" s="87"/>
      <c r="N1881" s="87"/>
      <c r="O1881" s="87"/>
      <c r="P1881" s="87"/>
      <c r="Q1881" s="87"/>
      <c r="R1881" s="87"/>
      <c r="S1881" s="87"/>
      <c r="T1881" s="87"/>
      <c r="U1881" s="88"/>
      <c r="V1881" s="89"/>
      <c r="W1881" s="96">
        <v>0</v>
      </c>
      <c r="X1881" s="71">
        <f>CU1881</f>
        <v>0</v>
      </c>
      <c r="Y1881" s="71">
        <f>CY1881</f>
        <v>0</v>
      </c>
      <c r="Z1881" s="71">
        <f>DA1881+DC1881+DE1881</f>
        <v>0</v>
      </c>
      <c r="AA1881" s="71">
        <f>CW1881</f>
        <v>0</v>
      </c>
      <c r="AB1881" s="71"/>
      <c r="AC1881" s="71">
        <v>0</v>
      </c>
      <c r="AD1881" s="71">
        <f>W1881+X1881+Y1881+Z1881+AA1881+AB1881+AC1881</f>
        <v>0</v>
      </c>
      <c r="AE1881" s="72">
        <v>0</v>
      </c>
      <c r="AF1881" s="5"/>
      <c r="AG1881" s="6"/>
      <c r="AH1881" s="27" t="s">
        <v>3392</v>
      </c>
      <c r="AI1881" s="44" t="s">
        <v>3393</v>
      </c>
      <c r="AJ1881" s="26"/>
      <c r="AK1881" s="5"/>
      <c r="AL1881" s="82" t="s">
        <v>4685</v>
      </c>
      <c r="AM1881" s="76"/>
      <c r="AN1881" s="76"/>
      <c r="AO1881" s="76"/>
      <c r="AP1881" s="76"/>
      <c r="AQ1881" s="76"/>
      <c r="AR1881" s="76"/>
      <c r="AS1881" s="76"/>
      <c r="AT1881" s="76"/>
      <c r="AU1881" s="76"/>
      <c r="AV1881" s="76"/>
      <c r="AW1881" s="76"/>
      <c r="AX1881" s="76">
        <f>+AW1881*600000</f>
        <v>0</v>
      </c>
      <c r="AY1881" s="76"/>
      <c r="AZ1881" s="76">
        <f>+AY1881*70000</f>
        <v>0</v>
      </c>
      <c r="BA1881" s="76"/>
      <c r="BB1881" s="76"/>
      <c r="BC1881" s="76"/>
      <c r="BD1881" s="76">
        <f>+BC1881*30000</f>
        <v>0</v>
      </c>
      <c r="BE1881" s="76"/>
      <c r="BF1881" s="76"/>
      <c r="BG1881" s="76"/>
      <c r="BH1881" s="76"/>
      <c r="BI1881" s="76"/>
      <c r="BJ1881" s="76"/>
      <c r="BK1881" s="76"/>
      <c r="BL1881" s="76">
        <f>+BK1881*31500</f>
        <v>0</v>
      </c>
      <c r="BM1881" s="76"/>
      <c r="BN1881" s="76"/>
      <c r="BO1881" s="76"/>
      <c r="BP1881" s="76"/>
      <c r="BQ1881" s="76"/>
      <c r="BR1881" s="76"/>
      <c r="BS1881" s="76"/>
      <c r="BT1881" s="76"/>
      <c r="BU1881" s="76"/>
      <c r="BV1881" s="76"/>
      <c r="BW1881" s="76"/>
      <c r="BX1881" s="76"/>
      <c r="BY1881" s="76"/>
      <c r="BZ1881" s="76"/>
      <c r="CA1881" s="76"/>
      <c r="CB1881" s="76"/>
      <c r="CC1881" s="76"/>
      <c r="CD1881" s="76"/>
      <c r="CE1881" s="76"/>
      <c r="CF1881" s="76">
        <f>+CE1881*28000</f>
        <v>0</v>
      </c>
      <c r="CG1881" s="76"/>
      <c r="CH1881" s="76">
        <f>+CG1881*22500</f>
        <v>0</v>
      </c>
      <c r="CI1881" s="76"/>
      <c r="CJ1881" s="76">
        <f>+CI1881*26000</f>
        <v>0</v>
      </c>
      <c r="CK1881" s="76"/>
      <c r="CL1881" s="76"/>
      <c r="CM1881" s="76"/>
      <c r="CN1881" s="76">
        <f>+CM1881*22000</f>
        <v>0</v>
      </c>
      <c r="CO1881" s="76"/>
      <c r="CP1881" s="76">
        <f>+CO1881*46000</f>
        <v>0</v>
      </c>
      <c r="CQ1881" s="76"/>
      <c r="CR1881" s="76">
        <f>+CQ1881*49000</f>
        <v>0</v>
      </c>
      <c r="CS1881" s="76"/>
      <c r="CT1881" s="76"/>
      <c r="CU1881" s="56">
        <f>AN1881+AP1881+AR1881+AT1881+AV1881+AX1881+AZ1881+BB1881+BD1881+BF1881+BH1881+BJ1881+BL1881+BN1881+BP1881+BR1881+BT1881+BV1881+BX1881+BZ1881+CB1881+CD1881+CF1881+CH1881+CJ1881+CL1881+CN1881+CP1881+CR1881+CT1881</f>
        <v>0</v>
      </c>
      <c r="CV1881" s="76"/>
      <c r="CW1881" s="76">
        <f>+CV1881*1100</f>
        <v>0</v>
      </c>
      <c r="CX1881" s="76"/>
      <c r="CY1881" s="76">
        <f>+CX1881*106250</f>
        <v>0</v>
      </c>
      <c r="CZ1881" s="76"/>
      <c r="DA1881" s="76">
        <f>+CZ1881*34500</f>
        <v>0</v>
      </c>
      <c r="DB1881" s="76"/>
      <c r="DC1881" s="76">
        <f>+DB1881*25000</f>
        <v>0</v>
      </c>
      <c r="DD1881" s="219"/>
      <c r="DE1881" s="219"/>
      <c r="DF1881" s="166"/>
      <c r="DG1881" s="116"/>
      <c r="DH1881" s="117"/>
      <c r="DI1881" s="24"/>
      <c r="DJ1881" s="24"/>
      <c r="DK1881" s="24"/>
      <c r="DL1881" s="24"/>
      <c r="DM1881" s="24"/>
      <c r="DN1881" s="24"/>
      <c r="DO1881" s="24"/>
      <c r="DP1881" s="24"/>
      <c r="DQ1881" s="24"/>
      <c r="DR1881" s="24"/>
      <c r="DS1881" s="24"/>
      <c r="DT1881" s="24"/>
      <c r="DU1881" s="24"/>
    </row>
    <row r="1882" spans="1:128" s="8" customFormat="1" ht="48" x14ac:dyDescent="0.2">
      <c r="A1882" s="226">
        <v>41416</v>
      </c>
      <c r="B1882" s="225" t="s">
        <v>2894</v>
      </c>
      <c r="C1882" s="227" t="s">
        <v>2328</v>
      </c>
      <c r="D1882" s="227" t="s">
        <v>3088</v>
      </c>
      <c r="E1882" s="75" t="str">
        <f>VLOOKUP(B1882&amp;C1882,Divipola!$C$2:$F$1138,4,FALSE)</f>
        <v>05004</v>
      </c>
      <c r="F1882" s="87"/>
      <c r="G1882" s="87"/>
      <c r="H1882" s="87"/>
      <c r="I1882" s="87"/>
      <c r="J1882" s="87"/>
      <c r="K1882" s="87"/>
      <c r="L1882" s="87"/>
      <c r="M1882" s="87">
        <v>1</v>
      </c>
      <c r="N1882" s="87"/>
      <c r="O1882" s="87"/>
      <c r="P1882" s="87"/>
      <c r="Q1882" s="87"/>
      <c r="R1882" s="87"/>
      <c r="S1882" s="87"/>
      <c r="T1882" s="87"/>
      <c r="U1882" s="88"/>
      <c r="V1882" s="89"/>
      <c r="W1882" s="96">
        <v>0</v>
      </c>
      <c r="X1882" s="71">
        <f>CU1882</f>
        <v>0</v>
      </c>
      <c r="Y1882" s="71">
        <f>CY1882</f>
        <v>0</v>
      </c>
      <c r="Z1882" s="71">
        <f>DA1882+DC1882+DE1882</f>
        <v>0</v>
      </c>
      <c r="AA1882" s="71">
        <f>CW1882</f>
        <v>0</v>
      </c>
      <c r="AB1882" s="71"/>
      <c r="AC1882" s="71">
        <v>0</v>
      </c>
      <c r="AD1882" s="71">
        <f>W1882+X1882+Y1882+Z1882+AA1882+AB1882+AC1882</f>
        <v>0</v>
      </c>
      <c r="AE1882" s="72">
        <v>0</v>
      </c>
      <c r="AF1882" s="5"/>
      <c r="AG1882" s="6"/>
      <c r="AH1882" s="27" t="s">
        <v>3392</v>
      </c>
      <c r="AI1882" s="44" t="s">
        <v>3393</v>
      </c>
      <c r="AJ1882" s="26"/>
      <c r="AK1882" s="5"/>
      <c r="AL1882" s="82" t="s">
        <v>4720</v>
      </c>
      <c r="AM1882" s="76"/>
      <c r="AN1882" s="76"/>
      <c r="AO1882" s="76"/>
      <c r="AP1882" s="76"/>
      <c r="AQ1882" s="76"/>
      <c r="AR1882" s="76"/>
      <c r="AS1882" s="76"/>
      <c r="AT1882" s="76"/>
      <c r="AU1882" s="76"/>
      <c r="AV1882" s="76"/>
      <c r="AW1882" s="76"/>
      <c r="AX1882" s="76">
        <f>+AW1882*600000</f>
        <v>0</v>
      </c>
      <c r="AY1882" s="76"/>
      <c r="AZ1882" s="76">
        <f>+AY1882*70000</f>
        <v>0</v>
      </c>
      <c r="BA1882" s="76"/>
      <c r="BB1882" s="76"/>
      <c r="BC1882" s="76"/>
      <c r="BD1882" s="76">
        <f>+BC1882*30000</f>
        <v>0</v>
      </c>
      <c r="BE1882" s="76"/>
      <c r="BF1882" s="76"/>
      <c r="BG1882" s="76"/>
      <c r="BH1882" s="76"/>
      <c r="BI1882" s="76"/>
      <c r="BJ1882" s="76"/>
      <c r="BK1882" s="76"/>
      <c r="BL1882" s="76">
        <f>+BK1882*31500</f>
        <v>0</v>
      </c>
      <c r="BM1882" s="76"/>
      <c r="BN1882" s="76"/>
      <c r="BO1882" s="76"/>
      <c r="BP1882" s="76"/>
      <c r="BQ1882" s="76"/>
      <c r="BR1882" s="76"/>
      <c r="BS1882" s="76"/>
      <c r="BT1882" s="76"/>
      <c r="BU1882" s="76"/>
      <c r="BV1882" s="76"/>
      <c r="BW1882" s="76"/>
      <c r="BX1882" s="76"/>
      <c r="BY1882" s="76"/>
      <c r="BZ1882" s="76"/>
      <c r="CA1882" s="76"/>
      <c r="CB1882" s="76"/>
      <c r="CC1882" s="76"/>
      <c r="CD1882" s="76"/>
      <c r="CE1882" s="76"/>
      <c r="CF1882" s="76">
        <f>+CE1882*28000</f>
        <v>0</v>
      </c>
      <c r="CG1882" s="76"/>
      <c r="CH1882" s="76">
        <f>+CG1882*22500</f>
        <v>0</v>
      </c>
      <c r="CI1882" s="76"/>
      <c r="CJ1882" s="76">
        <f>+CI1882*26000</f>
        <v>0</v>
      </c>
      <c r="CK1882" s="76"/>
      <c r="CL1882" s="76"/>
      <c r="CM1882" s="76"/>
      <c r="CN1882" s="76">
        <f>+CM1882*22000</f>
        <v>0</v>
      </c>
      <c r="CO1882" s="76"/>
      <c r="CP1882" s="76">
        <f>+CO1882*46000</f>
        <v>0</v>
      </c>
      <c r="CQ1882" s="76"/>
      <c r="CR1882" s="76">
        <f>+CQ1882*49000</f>
        <v>0</v>
      </c>
      <c r="CS1882" s="76"/>
      <c r="CT1882" s="76"/>
      <c r="CU1882" s="56">
        <f>AN1882+AP1882+AR1882+AT1882+AV1882+AX1882+AZ1882+BB1882+BD1882+BF1882+BH1882+BJ1882+BL1882+BN1882+BP1882+BR1882+BT1882+BV1882+BX1882+BZ1882+CB1882+CD1882+CF1882+CH1882+CJ1882+CL1882+CN1882+CP1882+CR1882+CT1882</f>
        <v>0</v>
      </c>
      <c r="CV1882" s="76"/>
      <c r="CW1882" s="76">
        <f>+CV1882*1100</f>
        <v>0</v>
      </c>
      <c r="CX1882" s="76"/>
      <c r="CY1882" s="76">
        <f>+CX1882*106250</f>
        <v>0</v>
      </c>
      <c r="CZ1882" s="76"/>
      <c r="DA1882" s="76">
        <f>+CZ1882*34500</f>
        <v>0</v>
      </c>
      <c r="DB1882" s="76"/>
      <c r="DC1882" s="76">
        <f>+DB1882*25000</f>
        <v>0</v>
      </c>
      <c r="DD1882" s="219"/>
      <c r="DE1882" s="219"/>
      <c r="DF1882" s="166"/>
      <c r="DG1882" s="116"/>
      <c r="DH1882" s="117"/>
      <c r="DI1882" s="24"/>
      <c r="DJ1882" s="24"/>
      <c r="DK1882" s="24"/>
      <c r="DL1882" s="24"/>
      <c r="DM1882" s="24"/>
      <c r="DN1882" s="24"/>
      <c r="DO1882" s="24"/>
      <c r="DP1882" s="24"/>
      <c r="DQ1882" s="24"/>
      <c r="DR1882" s="24"/>
      <c r="DS1882" s="24"/>
      <c r="DT1882" s="24"/>
      <c r="DU1882" s="24"/>
    </row>
    <row r="1883" spans="1:128" s="8" customFormat="1" ht="48" x14ac:dyDescent="0.2">
      <c r="A1883" s="353">
        <v>41416</v>
      </c>
      <c r="B1883" s="352" t="s">
        <v>2894</v>
      </c>
      <c r="C1883" s="354" t="s">
        <v>2702</v>
      </c>
      <c r="D1883" s="354" t="s">
        <v>3088</v>
      </c>
      <c r="E1883" s="75" t="str">
        <f>VLOOKUP(B1883&amp;C1883,Divipola!$C$2:$F$1138,4,FALSE)</f>
        <v>05088</v>
      </c>
      <c r="F1883" s="87"/>
      <c r="G1883" s="87">
        <v>4</v>
      </c>
      <c r="H1883" s="87"/>
      <c r="I1883" s="87">
        <v>5</v>
      </c>
      <c r="J1883" s="87">
        <v>1</v>
      </c>
      <c r="K1883" s="87"/>
      <c r="L1883" s="87">
        <v>1</v>
      </c>
      <c r="M1883" s="87"/>
      <c r="N1883" s="87"/>
      <c r="O1883" s="87"/>
      <c r="P1883" s="87"/>
      <c r="Q1883" s="87"/>
      <c r="R1883" s="87"/>
      <c r="S1883" s="87"/>
      <c r="T1883" s="87"/>
      <c r="U1883" s="88"/>
      <c r="V1883" s="89"/>
      <c r="W1883" s="96">
        <v>0</v>
      </c>
      <c r="X1883" s="71">
        <f>CU1883</f>
        <v>0</v>
      </c>
      <c r="Y1883" s="71">
        <f>CY1883</f>
        <v>0</v>
      </c>
      <c r="Z1883" s="71">
        <f>DA1883+DC1883+DE1883</f>
        <v>0</v>
      </c>
      <c r="AA1883" s="71">
        <f>CW1883</f>
        <v>0</v>
      </c>
      <c r="AB1883" s="71"/>
      <c r="AC1883" s="71">
        <v>0</v>
      </c>
      <c r="AD1883" s="71">
        <f>W1883+X1883+Y1883+Z1883+AA1883+AB1883+AC1883</f>
        <v>0</v>
      </c>
      <c r="AE1883" s="72">
        <v>0</v>
      </c>
      <c r="AF1883" s="5"/>
      <c r="AG1883" s="6"/>
      <c r="AH1883" s="27" t="s">
        <v>3392</v>
      </c>
      <c r="AI1883" s="44" t="s">
        <v>3393</v>
      </c>
      <c r="AJ1883" s="26"/>
      <c r="AK1883" s="5"/>
      <c r="AL1883" s="82" t="s">
        <v>4697</v>
      </c>
      <c r="AM1883" s="76"/>
      <c r="AN1883" s="76"/>
      <c r="AO1883" s="76"/>
      <c r="AP1883" s="76"/>
      <c r="AQ1883" s="76"/>
      <c r="AR1883" s="76"/>
      <c r="AS1883" s="76"/>
      <c r="AT1883" s="76"/>
      <c r="AU1883" s="76"/>
      <c r="AV1883" s="76"/>
      <c r="AW1883" s="76"/>
      <c r="AX1883" s="76">
        <f>+AW1883*600000</f>
        <v>0</v>
      </c>
      <c r="AY1883" s="76"/>
      <c r="AZ1883" s="76">
        <f>+AY1883*70000</f>
        <v>0</v>
      </c>
      <c r="BA1883" s="76"/>
      <c r="BB1883" s="76"/>
      <c r="BC1883" s="76"/>
      <c r="BD1883" s="76">
        <f>+BC1883*30000</f>
        <v>0</v>
      </c>
      <c r="BE1883" s="76"/>
      <c r="BF1883" s="76"/>
      <c r="BG1883" s="76"/>
      <c r="BH1883" s="76"/>
      <c r="BI1883" s="76"/>
      <c r="BJ1883" s="76"/>
      <c r="BK1883" s="76"/>
      <c r="BL1883" s="76">
        <f>+BK1883*31500</f>
        <v>0</v>
      </c>
      <c r="BM1883" s="76"/>
      <c r="BN1883" s="76"/>
      <c r="BO1883" s="76"/>
      <c r="BP1883" s="76"/>
      <c r="BQ1883" s="76"/>
      <c r="BR1883" s="76"/>
      <c r="BS1883" s="76"/>
      <c r="BT1883" s="76"/>
      <c r="BU1883" s="76"/>
      <c r="BV1883" s="76"/>
      <c r="BW1883" s="76"/>
      <c r="BX1883" s="76"/>
      <c r="BY1883" s="76"/>
      <c r="BZ1883" s="76"/>
      <c r="CA1883" s="76"/>
      <c r="CB1883" s="76"/>
      <c r="CC1883" s="76"/>
      <c r="CD1883" s="76"/>
      <c r="CE1883" s="76"/>
      <c r="CF1883" s="76">
        <f>+CE1883*28000</f>
        <v>0</v>
      </c>
      <c r="CG1883" s="76"/>
      <c r="CH1883" s="76">
        <f>+CG1883*22500</f>
        <v>0</v>
      </c>
      <c r="CI1883" s="76"/>
      <c r="CJ1883" s="76">
        <f>+CI1883*26000</f>
        <v>0</v>
      </c>
      <c r="CK1883" s="76"/>
      <c r="CL1883" s="76"/>
      <c r="CM1883" s="76"/>
      <c r="CN1883" s="76">
        <f>+CM1883*22000</f>
        <v>0</v>
      </c>
      <c r="CO1883" s="76"/>
      <c r="CP1883" s="76">
        <f>+CO1883*46000</f>
        <v>0</v>
      </c>
      <c r="CQ1883" s="76"/>
      <c r="CR1883" s="76">
        <f>+CQ1883*49000</f>
        <v>0</v>
      </c>
      <c r="CS1883" s="76"/>
      <c r="CT1883" s="76"/>
      <c r="CU1883" s="56">
        <f>AN1883+AP1883+AR1883+AT1883+AV1883+AX1883+AZ1883+BB1883+BD1883+BF1883+BH1883+BJ1883+BL1883+BN1883+BP1883+BR1883+BT1883+BV1883+BX1883+BZ1883+CB1883+CD1883+CF1883+CH1883+CJ1883+CL1883+CN1883+CP1883+CR1883+CT1883</f>
        <v>0</v>
      </c>
      <c r="CV1883" s="76"/>
      <c r="CW1883" s="76">
        <f>+CV1883*1100</f>
        <v>0</v>
      </c>
      <c r="CX1883" s="76"/>
      <c r="CY1883" s="76">
        <f>+CX1883*106250</f>
        <v>0</v>
      </c>
      <c r="CZ1883" s="76"/>
      <c r="DA1883" s="76">
        <f>+CZ1883*34500</f>
        <v>0</v>
      </c>
      <c r="DB1883" s="76"/>
      <c r="DC1883" s="76">
        <f>+DB1883*25000</f>
        <v>0</v>
      </c>
      <c r="DD1883" s="219"/>
      <c r="DE1883" s="219"/>
      <c r="DF1883" s="166"/>
      <c r="DG1883" s="116"/>
      <c r="DH1883" s="117"/>
      <c r="DI1883" s="24"/>
      <c r="DJ1883" s="24"/>
      <c r="DK1883" s="24"/>
      <c r="DL1883" s="24"/>
      <c r="DM1883" s="24"/>
      <c r="DN1883" s="24"/>
      <c r="DO1883" s="24"/>
      <c r="DP1883" s="24"/>
      <c r="DQ1883" s="24"/>
      <c r="DR1883" s="24"/>
      <c r="DS1883" s="24"/>
      <c r="DT1883" s="24"/>
      <c r="DU1883" s="24"/>
    </row>
    <row r="1884" spans="1:128" s="8" customFormat="1" ht="62.25" x14ac:dyDescent="0.2">
      <c r="A1884" s="226">
        <v>41416</v>
      </c>
      <c r="B1884" s="225" t="s">
        <v>2894</v>
      </c>
      <c r="C1884" s="227" t="s">
        <v>2032</v>
      </c>
      <c r="D1884" s="227" t="s">
        <v>3051</v>
      </c>
      <c r="E1884" s="75" t="str">
        <f>VLOOKUP(B1884&amp;C1884,Divipola!$C$2:$F$1138,4,FALSE)</f>
        <v>05001</v>
      </c>
      <c r="F1884" s="87"/>
      <c r="G1884" s="87"/>
      <c r="H1884" s="87"/>
      <c r="I1884" s="87"/>
      <c r="J1884" s="87"/>
      <c r="K1884" s="87"/>
      <c r="L1884" s="87"/>
      <c r="M1884" s="87"/>
      <c r="N1884" s="87"/>
      <c r="O1884" s="87"/>
      <c r="P1884" s="87"/>
      <c r="Q1884" s="87"/>
      <c r="R1884" s="87"/>
      <c r="S1884" s="87"/>
      <c r="T1884" s="87"/>
      <c r="U1884" s="88"/>
      <c r="V1884" s="89"/>
      <c r="W1884" s="96">
        <v>0</v>
      </c>
      <c r="X1884" s="71">
        <f>CU1884</f>
        <v>0</v>
      </c>
      <c r="Y1884" s="71">
        <f>CY1884</f>
        <v>0</v>
      </c>
      <c r="Z1884" s="71">
        <f>DA1884+DC1884+DE1884</f>
        <v>0</v>
      </c>
      <c r="AA1884" s="71">
        <f>CW1884</f>
        <v>0</v>
      </c>
      <c r="AB1884" s="71"/>
      <c r="AC1884" s="71">
        <v>0</v>
      </c>
      <c r="AD1884" s="71">
        <f>W1884+X1884+Y1884+Z1884+AA1884+AB1884+AC1884</f>
        <v>0</v>
      </c>
      <c r="AE1884" s="72">
        <v>0</v>
      </c>
      <c r="AF1884" s="5"/>
      <c r="AG1884" s="6"/>
      <c r="AH1884" s="27" t="s">
        <v>3392</v>
      </c>
      <c r="AI1884" s="44" t="s">
        <v>3393</v>
      </c>
      <c r="AJ1884" s="26"/>
      <c r="AK1884" s="5"/>
      <c r="AL1884" s="82" t="s">
        <v>4699</v>
      </c>
      <c r="AM1884" s="76"/>
      <c r="AN1884" s="76"/>
      <c r="AO1884" s="76"/>
      <c r="AP1884" s="76"/>
      <c r="AQ1884" s="76"/>
      <c r="AR1884" s="76"/>
      <c r="AS1884" s="76"/>
      <c r="AT1884" s="76"/>
      <c r="AU1884" s="76"/>
      <c r="AV1884" s="76"/>
      <c r="AW1884" s="76"/>
      <c r="AX1884" s="76">
        <f>+AW1884*600000</f>
        <v>0</v>
      </c>
      <c r="AY1884" s="76"/>
      <c r="AZ1884" s="76">
        <f>+AY1884*70000</f>
        <v>0</v>
      </c>
      <c r="BA1884" s="76"/>
      <c r="BB1884" s="76"/>
      <c r="BC1884" s="76"/>
      <c r="BD1884" s="76">
        <f>+BC1884*30000</f>
        <v>0</v>
      </c>
      <c r="BE1884" s="76"/>
      <c r="BF1884" s="76"/>
      <c r="BG1884" s="76"/>
      <c r="BH1884" s="76"/>
      <c r="BI1884" s="76"/>
      <c r="BJ1884" s="76"/>
      <c r="BK1884" s="76"/>
      <c r="BL1884" s="76">
        <f>+BK1884*31500</f>
        <v>0</v>
      </c>
      <c r="BM1884" s="76"/>
      <c r="BN1884" s="76"/>
      <c r="BO1884" s="76"/>
      <c r="BP1884" s="76"/>
      <c r="BQ1884" s="76"/>
      <c r="BR1884" s="76"/>
      <c r="BS1884" s="76"/>
      <c r="BT1884" s="76"/>
      <c r="BU1884" s="76"/>
      <c r="BV1884" s="76"/>
      <c r="BW1884" s="76"/>
      <c r="BX1884" s="76"/>
      <c r="BY1884" s="76"/>
      <c r="BZ1884" s="76"/>
      <c r="CA1884" s="76"/>
      <c r="CB1884" s="76"/>
      <c r="CC1884" s="76"/>
      <c r="CD1884" s="76"/>
      <c r="CE1884" s="76"/>
      <c r="CF1884" s="76">
        <f>+CE1884*28000</f>
        <v>0</v>
      </c>
      <c r="CG1884" s="76"/>
      <c r="CH1884" s="76">
        <f>+CG1884*22500</f>
        <v>0</v>
      </c>
      <c r="CI1884" s="76"/>
      <c r="CJ1884" s="76">
        <f>+CI1884*26000</f>
        <v>0</v>
      </c>
      <c r="CK1884" s="76"/>
      <c r="CL1884" s="76"/>
      <c r="CM1884" s="76"/>
      <c r="CN1884" s="76">
        <f>+CM1884*22000</f>
        <v>0</v>
      </c>
      <c r="CO1884" s="76"/>
      <c r="CP1884" s="76">
        <f>+CO1884*46000</f>
        <v>0</v>
      </c>
      <c r="CQ1884" s="76"/>
      <c r="CR1884" s="76">
        <f>+CQ1884*49000</f>
        <v>0</v>
      </c>
      <c r="CS1884" s="76"/>
      <c r="CT1884" s="76"/>
      <c r="CU1884" s="56">
        <f>AN1884+AP1884+AR1884+AT1884+AV1884+AX1884+AZ1884+BB1884+BD1884+BF1884+BH1884+BJ1884+BL1884+BN1884+BP1884+BR1884+BT1884+BV1884+BX1884+BZ1884+CB1884+CD1884+CF1884+CH1884+CJ1884+CL1884+CN1884+CP1884+CR1884+CT1884</f>
        <v>0</v>
      </c>
      <c r="CV1884" s="76"/>
      <c r="CW1884" s="76">
        <f>+CV1884*1100</f>
        <v>0</v>
      </c>
      <c r="CX1884" s="76"/>
      <c r="CY1884" s="76">
        <f>+CX1884*106250</f>
        <v>0</v>
      </c>
      <c r="CZ1884" s="76"/>
      <c r="DA1884" s="76">
        <f>+CZ1884*34500</f>
        <v>0</v>
      </c>
      <c r="DB1884" s="76"/>
      <c r="DC1884" s="76">
        <f>+DB1884*25000</f>
        <v>0</v>
      </c>
      <c r="DD1884" s="219"/>
      <c r="DE1884" s="219"/>
      <c r="DF1884" s="166"/>
      <c r="DG1884" s="116"/>
      <c r="DH1884" s="117"/>
      <c r="DI1884" s="24"/>
      <c r="DJ1884" s="24"/>
      <c r="DK1884" s="24"/>
      <c r="DL1884" s="24"/>
      <c r="DM1884" s="24"/>
      <c r="DN1884" s="24"/>
      <c r="DO1884" s="24"/>
      <c r="DP1884" s="24"/>
      <c r="DQ1884" s="24"/>
      <c r="DR1884" s="24"/>
      <c r="DS1884" s="24"/>
      <c r="DT1884" s="24"/>
      <c r="DU1884" s="24"/>
    </row>
    <row r="1885" spans="1:128" s="8" customFormat="1" ht="120" x14ac:dyDescent="0.2">
      <c r="A1885" s="226">
        <v>41416</v>
      </c>
      <c r="B1885" s="225" t="s">
        <v>2894</v>
      </c>
      <c r="C1885" s="227" t="s">
        <v>2629</v>
      </c>
      <c r="D1885" s="227" t="s">
        <v>3051</v>
      </c>
      <c r="E1885" s="75" t="str">
        <f>VLOOKUP(B1885&amp;C1885,Divipola!$C$2:$F$1138,4,FALSE)</f>
        <v>05858</v>
      </c>
      <c r="F1885" s="87"/>
      <c r="G1885" s="87"/>
      <c r="H1885" s="87"/>
      <c r="I1885" s="87">
        <v>385</v>
      </c>
      <c r="J1885" s="87">
        <v>77</v>
      </c>
      <c r="K1885" s="87"/>
      <c r="L1885" s="87">
        <v>77</v>
      </c>
      <c r="M1885" s="87"/>
      <c r="N1885" s="87"/>
      <c r="O1885" s="87"/>
      <c r="P1885" s="87">
        <v>1</v>
      </c>
      <c r="Q1885" s="87"/>
      <c r="R1885" s="87"/>
      <c r="S1885" s="87"/>
      <c r="T1885" s="87"/>
      <c r="U1885" s="88"/>
      <c r="V1885" s="89"/>
      <c r="W1885" s="96">
        <v>0</v>
      </c>
      <c r="X1885" s="71">
        <f>CU1885</f>
        <v>0</v>
      </c>
      <c r="Y1885" s="71">
        <f>CY1885</f>
        <v>0</v>
      </c>
      <c r="Z1885" s="71">
        <f>DA1885+DC1885+DE1885</f>
        <v>0</v>
      </c>
      <c r="AA1885" s="71">
        <f>CW1885</f>
        <v>0</v>
      </c>
      <c r="AB1885" s="71"/>
      <c r="AC1885" s="71">
        <v>0</v>
      </c>
      <c r="AD1885" s="71">
        <f>W1885+X1885+Y1885+Z1885+AA1885+AB1885+AC1885</f>
        <v>0</v>
      </c>
      <c r="AE1885" s="72">
        <v>0</v>
      </c>
      <c r="AF1885" s="5"/>
      <c r="AG1885" s="6"/>
      <c r="AH1885" s="27" t="s">
        <v>3392</v>
      </c>
      <c r="AI1885" s="44" t="s">
        <v>3393</v>
      </c>
      <c r="AJ1885" s="26"/>
      <c r="AK1885" s="5"/>
      <c r="AL1885" s="82" t="s">
        <v>4706</v>
      </c>
      <c r="AM1885" s="76"/>
      <c r="AN1885" s="76"/>
      <c r="AO1885" s="76"/>
      <c r="AP1885" s="76"/>
      <c r="AQ1885" s="76"/>
      <c r="AR1885" s="76"/>
      <c r="AS1885" s="76"/>
      <c r="AT1885" s="76"/>
      <c r="AU1885" s="76"/>
      <c r="AV1885" s="76"/>
      <c r="AW1885" s="76"/>
      <c r="AX1885" s="76">
        <f>+AW1885*600000</f>
        <v>0</v>
      </c>
      <c r="AY1885" s="76"/>
      <c r="AZ1885" s="76">
        <f>+AY1885*70000</f>
        <v>0</v>
      </c>
      <c r="BA1885" s="76"/>
      <c r="BB1885" s="76"/>
      <c r="BC1885" s="76"/>
      <c r="BD1885" s="76">
        <f>+BC1885*30000</f>
        <v>0</v>
      </c>
      <c r="BE1885" s="76"/>
      <c r="BF1885" s="76"/>
      <c r="BG1885" s="76"/>
      <c r="BH1885" s="76"/>
      <c r="BI1885" s="76"/>
      <c r="BJ1885" s="76"/>
      <c r="BK1885" s="76"/>
      <c r="BL1885" s="76">
        <f>+BK1885*31500</f>
        <v>0</v>
      </c>
      <c r="BM1885" s="76"/>
      <c r="BN1885" s="76"/>
      <c r="BO1885" s="76"/>
      <c r="BP1885" s="76"/>
      <c r="BQ1885" s="76"/>
      <c r="BR1885" s="76"/>
      <c r="BS1885" s="76"/>
      <c r="BT1885" s="76"/>
      <c r="BU1885" s="76"/>
      <c r="BV1885" s="76"/>
      <c r="BW1885" s="76"/>
      <c r="BX1885" s="76"/>
      <c r="BY1885" s="76"/>
      <c r="BZ1885" s="76"/>
      <c r="CA1885" s="76"/>
      <c r="CB1885" s="76"/>
      <c r="CC1885" s="76"/>
      <c r="CD1885" s="76"/>
      <c r="CE1885" s="76"/>
      <c r="CF1885" s="76">
        <f>+CE1885*28000</f>
        <v>0</v>
      </c>
      <c r="CG1885" s="76"/>
      <c r="CH1885" s="76">
        <f>+CG1885*22500</f>
        <v>0</v>
      </c>
      <c r="CI1885" s="76"/>
      <c r="CJ1885" s="76">
        <f>+CI1885*26000</f>
        <v>0</v>
      </c>
      <c r="CK1885" s="76"/>
      <c r="CL1885" s="76"/>
      <c r="CM1885" s="76"/>
      <c r="CN1885" s="76">
        <f>+CM1885*22000</f>
        <v>0</v>
      </c>
      <c r="CO1885" s="76"/>
      <c r="CP1885" s="76">
        <f>+CO1885*46000</f>
        <v>0</v>
      </c>
      <c r="CQ1885" s="76"/>
      <c r="CR1885" s="76">
        <f>+CQ1885*49000</f>
        <v>0</v>
      </c>
      <c r="CS1885" s="76"/>
      <c r="CT1885" s="76"/>
      <c r="CU1885" s="56">
        <f>AN1885+AP1885+AR1885+AT1885+AV1885+AX1885+AZ1885+BB1885+BD1885+BF1885+BH1885+BJ1885+BL1885+BN1885+BP1885+BR1885+BT1885+BV1885+BX1885+BZ1885+CB1885+CD1885+CF1885+CH1885+CJ1885+CL1885+CN1885+CP1885+CR1885+CT1885</f>
        <v>0</v>
      </c>
      <c r="CV1885" s="76"/>
      <c r="CW1885" s="76">
        <f>+CV1885*1100</f>
        <v>0</v>
      </c>
      <c r="CX1885" s="76"/>
      <c r="CY1885" s="76">
        <f>+CX1885*106250</f>
        <v>0</v>
      </c>
      <c r="CZ1885" s="76"/>
      <c r="DA1885" s="76">
        <f>+CZ1885*34500</f>
        <v>0</v>
      </c>
      <c r="DB1885" s="76"/>
      <c r="DC1885" s="76">
        <f>+DB1885*25000</f>
        <v>0</v>
      </c>
      <c r="DD1885" s="219"/>
      <c r="DE1885" s="219"/>
      <c r="DF1885" s="166"/>
      <c r="DG1885" s="116"/>
      <c r="DH1885" s="117"/>
      <c r="DI1885" s="24"/>
      <c r="DJ1885" s="24"/>
      <c r="DK1885" s="24"/>
      <c r="DL1885" s="24"/>
      <c r="DM1885" s="24"/>
      <c r="DN1885" s="24"/>
      <c r="DO1885" s="24"/>
      <c r="DP1885" s="24"/>
      <c r="DQ1885" s="24"/>
      <c r="DR1885" s="24"/>
      <c r="DS1885" s="24"/>
      <c r="DT1885" s="24"/>
      <c r="DU1885" s="24"/>
    </row>
    <row r="1886" spans="1:128" s="8" customFormat="1" ht="132" x14ac:dyDescent="0.2">
      <c r="A1886" s="353">
        <v>41416</v>
      </c>
      <c r="B1886" s="352" t="s">
        <v>2772</v>
      </c>
      <c r="C1886" s="354" t="s">
        <v>1028</v>
      </c>
      <c r="D1886" s="354" t="s">
        <v>4391</v>
      </c>
      <c r="E1886" s="75" t="str">
        <f>VLOOKUP(B1886&amp;C1886,Divipola!$C$2:$F$1138,4,FALSE)</f>
        <v>25151</v>
      </c>
      <c r="F1886" s="87">
        <v>1</v>
      </c>
      <c r="G1886" s="87"/>
      <c r="H1886" s="87"/>
      <c r="I1886" s="87"/>
      <c r="J1886" s="87"/>
      <c r="K1886" s="87"/>
      <c r="L1886" s="87"/>
      <c r="M1886" s="87"/>
      <c r="N1886" s="87"/>
      <c r="O1886" s="87"/>
      <c r="P1886" s="87"/>
      <c r="Q1886" s="87"/>
      <c r="R1886" s="87"/>
      <c r="S1886" s="87"/>
      <c r="T1886" s="87"/>
      <c r="U1886" s="88"/>
      <c r="V1886" s="89"/>
      <c r="W1886" s="96">
        <v>0</v>
      </c>
      <c r="X1886" s="71">
        <f>CU1886</f>
        <v>0</v>
      </c>
      <c r="Y1886" s="71">
        <f>CY1886</f>
        <v>0</v>
      </c>
      <c r="Z1886" s="71">
        <f>DA1886+DC1886+DE1886</f>
        <v>0</v>
      </c>
      <c r="AA1886" s="71">
        <f>CW1886</f>
        <v>0</v>
      </c>
      <c r="AB1886" s="71"/>
      <c r="AC1886" s="71">
        <v>0</v>
      </c>
      <c r="AD1886" s="71">
        <f>W1886+X1886+Y1886+Z1886+AA1886+AB1886+AC1886</f>
        <v>0</v>
      </c>
      <c r="AE1886" s="72">
        <v>0</v>
      </c>
      <c r="AF1886" s="5"/>
      <c r="AG1886" s="6"/>
      <c r="AH1886" s="27" t="s">
        <v>3392</v>
      </c>
      <c r="AI1886" s="44" t="s">
        <v>3393</v>
      </c>
      <c r="AJ1886" s="26"/>
      <c r="AK1886" s="5"/>
      <c r="AL1886" s="82" t="s">
        <v>5725</v>
      </c>
      <c r="AM1886" s="76"/>
      <c r="AN1886" s="76"/>
      <c r="AO1886" s="76"/>
      <c r="AP1886" s="76"/>
      <c r="AQ1886" s="76"/>
      <c r="AR1886" s="76"/>
      <c r="AS1886" s="76"/>
      <c r="AT1886" s="76"/>
      <c r="AU1886" s="76"/>
      <c r="AV1886" s="76"/>
      <c r="AW1886" s="76"/>
      <c r="AX1886" s="76">
        <f>+AW1886*600000</f>
        <v>0</v>
      </c>
      <c r="AY1886" s="76"/>
      <c r="AZ1886" s="76">
        <f>+AY1886*70000</f>
        <v>0</v>
      </c>
      <c r="BA1886" s="76"/>
      <c r="BB1886" s="76"/>
      <c r="BC1886" s="76"/>
      <c r="BD1886" s="76">
        <f>+BC1886*30000</f>
        <v>0</v>
      </c>
      <c r="BE1886" s="76"/>
      <c r="BF1886" s="76"/>
      <c r="BG1886" s="76"/>
      <c r="BH1886" s="76"/>
      <c r="BI1886" s="76"/>
      <c r="BJ1886" s="76"/>
      <c r="BK1886" s="76"/>
      <c r="BL1886" s="76">
        <f>+BK1886*31500</f>
        <v>0</v>
      </c>
      <c r="BM1886" s="76"/>
      <c r="BN1886" s="76"/>
      <c r="BO1886" s="76"/>
      <c r="BP1886" s="76"/>
      <c r="BQ1886" s="76"/>
      <c r="BR1886" s="76"/>
      <c r="BS1886" s="76"/>
      <c r="BT1886" s="76"/>
      <c r="BU1886" s="76"/>
      <c r="BV1886" s="76"/>
      <c r="BW1886" s="76"/>
      <c r="BX1886" s="76"/>
      <c r="BY1886" s="76"/>
      <c r="BZ1886" s="76"/>
      <c r="CA1886" s="76"/>
      <c r="CB1886" s="76"/>
      <c r="CC1886" s="76"/>
      <c r="CD1886" s="76"/>
      <c r="CE1886" s="76"/>
      <c r="CF1886" s="76">
        <f>+CE1886*28000</f>
        <v>0</v>
      </c>
      <c r="CG1886" s="76"/>
      <c r="CH1886" s="76">
        <f>+CG1886*22500</f>
        <v>0</v>
      </c>
      <c r="CI1886" s="76"/>
      <c r="CJ1886" s="76">
        <f>+CI1886*26000</f>
        <v>0</v>
      </c>
      <c r="CK1886" s="76"/>
      <c r="CL1886" s="76"/>
      <c r="CM1886" s="76"/>
      <c r="CN1886" s="76">
        <f>+CM1886*22000</f>
        <v>0</v>
      </c>
      <c r="CO1886" s="76"/>
      <c r="CP1886" s="76">
        <f>+CO1886*46000</f>
        <v>0</v>
      </c>
      <c r="CQ1886" s="76"/>
      <c r="CR1886" s="76">
        <f>+CQ1886*49000</f>
        <v>0</v>
      </c>
      <c r="CS1886" s="76"/>
      <c r="CT1886" s="76"/>
      <c r="CU1886" s="56">
        <f>AN1886+AP1886+AR1886+AT1886+AV1886+AX1886+AZ1886+BB1886+BD1886+BF1886+BH1886+BJ1886+BL1886+BN1886+BP1886+BR1886+BT1886+BV1886+BX1886+BZ1886+CB1886+CD1886+CF1886+CH1886+CJ1886+CL1886+CN1886+CP1886+CR1886+CT1886</f>
        <v>0</v>
      </c>
      <c r="CV1886" s="76"/>
      <c r="CW1886" s="76">
        <f>+CV1886*1100</f>
        <v>0</v>
      </c>
      <c r="CX1886" s="76"/>
      <c r="CY1886" s="76">
        <f>+CX1886*106250</f>
        <v>0</v>
      </c>
      <c r="CZ1886" s="76"/>
      <c r="DA1886" s="76">
        <f>+CZ1886*34500</f>
        <v>0</v>
      </c>
      <c r="DB1886" s="76"/>
      <c r="DC1886" s="76">
        <f>+DB1886*25000</f>
        <v>0</v>
      </c>
      <c r="DD1886" s="219"/>
      <c r="DE1886" s="219"/>
      <c r="DF1886" s="166"/>
      <c r="DG1886" s="116"/>
      <c r="DH1886" s="117"/>
      <c r="DI1886" s="24"/>
      <c r="DJ1886" s="24"/>
      <c r="DK1886" s="24"/>
      <c r="DL1886" s="24"/>
      <c r="DM1886" s="24"/>
      <c r="DN1886" s="24"/>
      <c r="DO1886" s="24"/>
      <c r="DP1886" s="24"/>
      <c r="DQ1886" s="24"/>
      <c r="DR1886" s="24"/>
      <c r="DS1886" s="24"/>
      <c r="DT1886" s="24"/>
      <c r="DU1886" s="24"/>
    </row>
    <row r="1887" spans="1:128" s="8" customFormat="1" ht="216" x14ac:dyDescent="0.2">
      <c r="A1887" s="226">
        <v>41416</v>
      </c>
      <c r="B1887" s="225" t="s">
        <v>2661</v>
      </c>
      <c r="C1887" s="227" t="s">
        <v>1351</v>
      </c>
      <c r="D1887" s="227" t="s">
        <v>3027</v>
      </c>
      <c r="E1887" s="75" t="str">
        <f>VLOOKUP(B1887&amp;C1887,Divipola!$C$2:$F$1138,4,FALSE)</f>
        <v>41551</v>
      </c>
      <c r="F1887" s="87"/>
      <c r="G1887" s="87"/>
      <c r="H1887" s="87"/>
      <c r="I1887" s="87"/>
      <c r="J1887" s="87"/>
      <c r="K1887" s="87"/>
      <c r="L1887" s="87"/>
      <c r="M1887" s="87"/>
      <c r="N1887" s="87"/>
      <c r="O1887" s="87"/>
      <c r="P1887" s="87"/>
      <c r="Q1887" s="87"/>
      <c r="R1887" s="87"/>
      <c r="S1887" s="87"/>
      <c r="T1887" s="87"/>
      <c r="U1887" s="88"/>
      <c r="V1887" s="89"/>
      <c r="W1887" s="96">
        <v>0</v>
      </c>
      <c r="X1887" s="71">
        <f>CU1887</f>
        <v>0</v>
      </c>
      <c r="Y1887" s="71">
        <f>CY1887</f>
        <v>0</v>
      </c>
      <c r="Z1887" s="71">
        <f>DA1887+DC1887+DE1887</f>
        <v>0</v>
      </c>
      <c r="AA1887" s="71">
        <f>CW1887</f>
        <v>0</v>
      </c>
      <c r="AB1887" s="71"/>
      <c r="AC1887" s="71">
        <v>0</v>
      </c>
      <c r="AD1887" s="71">
        <f>W1887+X1887+Y1887+Z1887+AA1887+AB1887+AC1887</f>
        <v>0</v>
      </c>
      <c r="AE1887" s="72">
        <v>0</v>
      </c>
      <c r="AF1887" s="5"/>
      <c r="AG1887" s="6"/>
      <c r="AH1887" s="27" t="s">
        <v>3392</v>
      </c>
      <c r="AI1887" s="44" t="s">
        <v>3393</v>
      </c>
      <c r="AJ1887" s="26"/>
      <c r="AK1887" s="5"/>
      <c r="AL1887" s="82" t="s">
        <v>4698</v>
      </c>
      <c r="AM1887" s="76"/>
      <c r="AN1887" s="76"/>
      <c r="AO1887" s="76"/>
      <c r="AP1887" s="76"/>
      <c r="AQ1887" s="76"/>
      <c r="AR1887" s="76"/>
      <c r="AS1887" s="76"/>
      <c r="AT1887" s="76"/>
      <c r="AU1887" s="76"/>
      <c r="AV1887" s="76"/>
      <c r="AW1887" s="76"/>
      <c r="AX1887" s="76">
        <f>+AW1887*600000</f>
        <v>0</v>
      </c>
      <c r="AY1887" s="76"/>
      <c r="AZ1887" s="76">
        <f>+AY1887*70000</f>
        <v>0</v>
      </c>
      <c r="BA1887" s="76"/>
      <c r="BB1887" s="76"/>
      <c r="BC1887" s="76"/>
      <c r="BD1887" s="76">
        <f>+BC1887*30000</f>
        <v>0</v>
      </c>
      <c r="BE1887" s="76"/>
      <c r="BF1887" s="76"/>
      <c r="BG1887" s="76"/>
      <c r="BH1887" s="76"/>
      <c r="BI1887" s="76"/>
      <c r="BJ1887" s="76"/>
      <c r="BK1887" s="76"/>
      <c r="BL1887" s="76">
        <f>+BK1887*31500</f>
        <v>0</v>
      </c>
      <c r="BM1887" s="76"/>
      <c r="BN1887" s="76"/>
      <c r="BO1887" s="76"/>
      <c r="BP1887" s="76"/>
      <c r="BQ1887" s="76"/>
      <c r="BR1887" s="76"/>
      <c r="BS1887" s="76"/>
      <c r="BT1887" s="76"/>
      <c r="BU1887" s="76"/>
      <c r="BV1887" s="76"/>
      <c r="BW1887" s="76"/>
      <c r="BX1887" s="76"/>
      <c r="BY1887" s="76"/>
      <c r="BZ1887" s="76"/>
      <c r="CA1887" s="76"/>
      <c r="CB1887" s="76"/>
      <c r="CC1887" s="76"/>
      <c r="CD1887" s="76"/>
      <c r="CE1887" s="76"/>
      <c r="CF1887" s="76">
        <f>+CE1887*28000</f>
        <v>0</v>
      </c>
      <c r="CG1887" s="76"/>
      <c r="CH1887" s="76">
        <f>+CG1887*22500</f>
        <v>0</v>
      </c>
      <c r="CI1887" s="76"/>
      <c r="CJ1887" s="76">
        <f>+CI1887*26000</f>
        <v>0</v>
      </c>
      <c r="CK1887" s="76"/>
      <c r="CL1887" s="76"/>
      <c r="CM1887" s="76"/>
      <c r="CN1887" s="76">
        <f>+CM1887*22000</f>
        <v>0</v>
      </c>
      <c r="CO1887" s="76"/>
      <c r="CP1887" s="76">
        <f>+CO1887*46000</f>
        <v>0</v>
      </c>
      <c r="CQ1887" s="76"/>
      <c r="CR1887" s="76">
        <f>+CQ1887*49000</f>
        <v>0</v>
      </c>
      <c r="CS1887" s="76"/>
      <c r="CT1887" s="76"/>
      <c r="CU1887" s="56">
        <f>AN1887+AP1887+AR1887+AT1887+AV1887+AX1887+AZ1887+BB1887+BD1887+BF1887+BH1887+BJ1887+BL1887+BN1887+BP1887+BR1887+BT1887+BV1887+BX1887+BZ1887+CB1887+CD1887+CF1887+CH1887+CJ1887+CL1887+CN1887+CP1887+CR1887+CT1887</f>
        <v>0</v>
      </c>
      <c r="CV1887" s="76"/>
      <c r="CW1887" s="76">
        <f>+CV1887*1100</f>
        <v>0</v>
      </c>
      <c r="CX1887" s="76"/>
      <c r="CY1887" s="76">
        <f>+CX1887*106250</f>
        <v>0</v>
      </c>
      <c r="CZ1887" s="76"/>
      <c r="DA1887" s="76">
        <f>+CZ1887*34500</f>
        <v>0</v>
      </c>
      <c r="DB1887" s="76"/>
      <c r="DC1887" s="76">
        <f>+DB1887*25000</f>
        <v>0</v>
      </c>
      <c r="DD1887" s="219"/>
      <c r="DE1887" s="219"/>
      <c r="DF1887" s="166"/>
      <c r="DG1887" s="116"/>
      <c r="DH1887" s="117"/>
      <c r="DI1887" s="24"/>
      <c r="DJ1887" s="24"/>
      <c r="DK1887" s="24"/>
      <c r="DL1887" s="24"/>
      <c r="DM1887" s="24"/>
      <c r="DN1887" s="24"/>
      <c r="DO1887" s="24"/>
      <c r="DP1887" s="24"/>
      <c r="DQ1887" s="24"/>
      <c r="DR1887" s="24"/>
      <c r="DS1887" s="24"/>
      <c r="DT1887" s="24"/>
      <c r="DU1887" s="24"/>
    </row>
    <row r="1888" spans="1:128" s="8" customFormat="1" ht="72" x14ac:dyDescent="0.2">
      <c r="A1888" s="226">
        <v>41416</v>
      </c>
      <c r="B1888" s="225" t="s">
        <v>506</v>
      </c>
      <c r="C1888" s="227" t="s">
        <v>1294</v>
      </c>
      <c r="D1888" s="227" t="s">
        <v>4391</v>
      </c>
      <c r="E1888" s="75" t="str">
        <f>VLOOKUP(B1888&amp;C1888,Divipola!$C$2:$F$1138,4,FALSE)</f>
        <v>50223</v>
      </c>
      <c r="F1888" s="87">
        <v>1</v>
      </c>
      <c r="G1888" s="87"/>
      <c r="H1888" s="87"/>
      <c r="I1888" s="87"/>
      <c r="J1888" s="87"/>
      <c r="K1888" s="87"/>
      <c r="L1888" s="87"/>
      <c r="M1888" s="87"/>
      <c r="N1888" s="87"/>
      <c r="O1888" s="87"/>
      <c r="P1888" s="87"/>
      <c r="Q1888" s="87"/>
      <c r="R1888" s="87"/>
      <c r="S1888" s="87"/>
      <c r="T1888" s="87"/>
      <c r="U1888" s="88"/>
      <c r="V1888" s="89"/>
      <c r="W1888" s="96">
        <v>0</v>
      </c>
      <c r="X1888" s="71">
        <f>CU1888</f>
        <v>0</v>
      </c>
      <c r="Y1888" s="71">
        <f>CY1888</f>
        <v>0</v>
      </c>
      <c r="Z1888" s="71">
        <f>DA1888+DC1888+DE1888</f>
        <v>0</v>
      </c>
      <c r="AA1888" s="71">
        <f>CW1888</f>
        <v>0</v>
      </c>
      <c r="AB1888" s="71"/>
      <c r="AC1888" s="71">
        <v>0</v>
      </c>
      <c r="AD1888" s="71">
        <f>W1888+X1888+Y1888+Z1888+AA1888+AB1888+AC1888</f>
        <v>0</v>
      </c>
      <c r="AE1888" s="72">
        <v>0</v>
      </c>
      <c r="AF1888" s="5"/>
      <c r="AG1888" s="6"/>
      <c r="AH1888" s="27" t="s">
        <v>3392</v>
      </c>
      <c r="AI1888" s="44" t="s">
        <v>3393</v>
      </c>
      <c r="AJ1888" s="26"/>
      <c r="AK1888" s="5"/>
      <c r="AL1888" s="82" t="s">
        <v>4743</v>
      </c>
      <c r="AM1888" s="76"/>
      <c r="AN1888" s="76"/>
      <c r="AO1888" s="76"/>
      <c r="AP1888" s="76"/>
      <c r="AQ1888" s="76"/>
      <c r="AR1888" s="76"/>
      <c r="AS1888" s="76"/>
      <c r="AT1888" s="76"/>
      <c r="AU1888" s="76"/>
      <c r="AV1888" s="76"/>
      <c r="AW1888" s="76"/>
      <c r="AX1888" s="76">
        <f>+AW1888*600000</f>
        <v>0</v>
      </c>
      <c r="AY1888" s="76"/>
      <c r="AZ1888" s="76">
        <f>+AY1888*70000</f>
        <v>0</v>
      </c>
      <c r="BA1888" s="76"/>
      <c r="BB1888" s="76"/>
      <c r="BC1888" s="76"/>
      <c r="BD1888" s="76">
        <f>+BC1888*30000</f>
        <v>0</v>
      </c>
      <c r="BE1888" s="76"/>
      <c r="BF1888" s="76"/>
      <c r="BG1888" s="76"/>
      <c r="BH1888" s="76"/>
      <c r="BI1888" s="76"/>
      <c r="BJ1888" s="76"/>
      <c r="BK1888" s="76"/>
      <c r="BL1888" s="76">
        <f>+BK1888*31500</f>
        <v>0</v>
      </c>
      <c r="BM1888" s="76"/>
      <c r="BN1888" s="76"/>
      <c r="BO1888" s="76"/>
      <c r="BP1888" s="76"/>
      <c r="BQ1888" s="76"/>
      <c r="BR1888" s="76"/>
      <c r="BS1888" s="76"/>
      <c r="BT1888" s="76"/>
      <c r="BU1888" s="76"/>
      <c r="BV1888" s="76"/>
      <c r="BW1888" s="76"/>
      <c r="BX1888" s="76"/>
      <c r="BY1888" s="76"/>
      <c r="BZ1888" s="76"/>
      <c r="CA1888" s="76"/>
      <c r="CB1888" s="76"/>
      <c r="CC1888" s="76"/>
      <c r="CD1888" s="76"/>
      <c r="CE1888" s="76"/>
      <c r="CF1888" s="76">
        <f>+CE1888*28000</f>
        <v>0</v>
      </c>
      <c r="CG1888" s="76"/>
      <c r="CH1888" s="76">
        <f>+CG1888*22500</f>
        <v>0</v>
      </c>
      <c r="CI1888" s="76"/>
      <c r="CJ1888" s="76">
        <f>+CI1888*26000</f>
        <v>0</v>
      </c>
      <c r="CK1888" s="76"/>
      <c r="CL1888" s="76"/>
      <c r="CM1888" s="76"/>
      <c r="CN1888" s="76">
        <f>+CM1888*22000</f>
        <v>0</v>
      </c>
      <c r="CO1888" s="76"/>
      <c r="CP1888" s="76">
        <f>+CO1888*46000</f>
        <v>0</v>
      </c>
      <c r="CQ1888" s="76"/>
      <c r="CR1888" s="76">
        <f>+CQ1888*49000</f>
        <v>0</v>
      </c>
      <c r="CS1888" s="76"/>
      <c r="CT1888" s="76"/>
      <c r="CU1888" s="56">
        <f>AN1888+AP1888+AR1888+AT1888+AV1888+AX1888+AZ1888+BB1888+BD1888+BF1888+BH1888+BJ1888+BL1888+BN1888+BP1888+BR1888+BT1888+BV1888+BX1888+BZ1888+CB1888+CD1888+CF1888+CH1888+CJ1888+CL1888+CN1888+CP1888+CR1888+CT1888</f>
        <v>0</v>
      </c>
      <c r="CV1888" s="76"/>
      <c r="CW1888" s="76">
        <f>+CV1888*1100</f>
        <v>0</v>
      </c>
      <c r="CX1888" s="76"/>
      <c r="CY1888" s="76">
        <f>+CX1888*106250</f>
        <v>0</v>
      </c>
      <c r="CZ1888" s="76"/>
      <c r="DA1888" s="76">
        <f>+CZ1888*34500</f>
        <v>0</v>
      </c>
      <c r="DB1888" s="76"/>
      <c r="DC1888" s="76">
        <f>+DB1888*25000</f>
        <v>0</v>
      </c>
      <c r="DD1888" s="219"/>
      <c r="DE1888" s="219"/>
      <c r="DF1888" s="166"/>
      <c r="DG1888" s="116"/>
      <c r="DH1888" s="117"/>
      <c r="DI1888" s="24"/>
      <c r="DJ1888" s="24"/>
      <c r="DK1888" s="24"/>
      <c r="DL1888" s="24"/>
      <c r="DM1888" s="24"/>
      <c r="DN1888" s="24"/>
      <c r="DO1888" s="24"/>
      <c r="DP1888" s="24"/>
      <c r="DQ1888" s="24"/>
      <c r="DR1888" s="24"/>
      <c r="DS1888" s="24"/>
      <c r="DT1888" s="24"/>
      <c r="DU1888" s="24"/>
    </row>
    <row r="1889" spans="1:125" s="8" customFormat="1" ht="60" x14ac:dyDescent="0.2">
      <c r="A1889" s="226">
        <v>41416</v>
      </c>
      <c r="B1889" s="225" t="s">
        <v>2811</v>
      </c>
      <c r="C1889" s="227" t="s">
        <v>1709</v>
      </c>
      <c r="D1889" s="227" t="s">
        <v>3088</v>
      </c>
      <c r="E1889" s="75" t="str">
        <f>VLOOKUP(B1889&amp;C1889,Divipola!$C$2:$F$1138,4,FALSE)</f>
        <v>52210</v>
      </c>
      <c r="F1889" s="87"/>
      <c r="G1889" s="87"/>
      <c r="H1889" s="87"/>
      <c r="I1889" s="87">
        <v>10</v>
      </c>
      <c r="J1889" s="87">
        <v>2</v>
      </c>
      <c r="K1889" s="87">
        <v>1</v>
      </c>
      <c r="L1889" s="87">
        <v>1</v>
      </c>
      <c r="M1889" s="87"/>
      <c r="N1889" s="87"/>
      <c r="O1889" s="87"/>
      <c r="P1889" s="87"/>
      <c r="Q1889" s="87"/>
      <c r="R1889" s="87"/>
      <c r="S1889" s="87"/>
      <c r="T1889" s="87"/>
      <c r="U1889" s="88"/>
      <c r="V1889" s="89"/>
      <c r="W1889" s="96">
        <v>0</v>
      </c>
      <c r="X1889" s="71">
        <f>CU1889</f>
        <v>0</v>
      </c>
      <c r="Y1889" s="71">
        <f>CY1889</f>
        <v>0</v>
      </c>
      <c r="Z1889" s="71">
        <f>DA1889+DC1889+DE1889</f>
        <v>0</v>
      </c>
      <c r="AA1889" s="71">
        <f>CW1889</f>
        <v>0</v>
      </c>
      <c r="AB1889" s="71"/>
      <c r="AC1889" s="71">
        <v>0</v>
      </c>
      <c r="AD1889" s="71">
        <f>W1889+X1889+Y1889+Z1889+AA1889+AB1889+AC1889</f>
        <v>0</v>
      </c>
      <c r="AE1889" s="72">
        <v>0</v>
      </c>
      <c r="AF1889" s="5"/>
      <c r="AG1889" s="6"/>
      <c r="AH1889" s="27" t="s">
        <v>3392</v>
      </c>
      <c r="AI1889" s="44" t="s">
        <v>3393</v>
      </c>
      <c r="AJ1889" s="26"/>
      <c r="AK1889" s="5"/>
      <c r="AL1889" s="82" t="s">
        <v>4727</v>
      </c>
      <c r="AM1889" s="76"/>
      <c r="AN1889" s="76"/>
      <c r="AO1889" s="76"/>
      <c r="AP1889" s="76"/>
      <c r="AQ1889" s="76"/>
      <c r="AR1889" s="76"/>
      <c r="AS1889" s="76"/>
      <c r="AT1889" s="76"/>
      <c r="AU1889" s="76"/>
      <c r="AV1889" s="76"/>
      <c r="AW1889" s="76"/>
      <c r="AX1889" s="76">
        <f>+AW1889*600000</f>
        <v>0</v>
      </c>
      <c r="AY1889" s="76"/>
      <c r="AZ1889" s="76">
        <f>+AY1889*70000</f>
        <v>0</v>
      </c>
      <c r="BA1889" s="76"/>
      <c r="BB1889" s="76"/>
      <c r="BC1889" s="76"/>
      <c r="BD1889" s="76">
        <f>+BC1889*30000</f>
        <v>0</v>
      </c>
      <c r="BE1889" s="76"/>
      <c r="BF1889" s="76"/>
      <c r="BG1889" s="76"/>
      <c r="BH1889" s="76"/>
      <c r="BI1889" s="76"/>
      <c r="BJ1889" s="76"/>
      <c r="BK1889" s="76"/>
      <c r="BL1889" s="76">
        <f>+BK1889*31500</f>
        <v>0</v>
      </c>
      <c r="BM1889" s="76"/>
      <c r="BN1889" s="76"/>
      <c r="BO1889" s="76"/>
      <c r="BP1889" s="76"/>
      <c r="BQ1889" s="76"/>
      <c r="BR1889" s="76"/>
      <c r="BS1889" s="76"/>
      <c r="BT1889" s="76"/>
      <c r="BU1889" s="76"/>
      <c r="BV1889" s="76"/>
      <c r="BW1889" s="76"/>
      <c r="BX1889" s="76"/>
      <c r="BY1889" s="76"/>
      <c r="BZ1889" s="76"/>
      <c r="CA1889" s="76"/>
      <c r="CB1889" s="76"/>
      <c r="CC1889" s="76"/>
      <c r="CD1889" s="76"/>
      <c r="CE1889" s="76"/>
      <c r="CF1889" s="76">
        <f>+CE1889*28000</f>
        <v>0</v>
      </c>
      <c r="CG1889" s="76"/>
      <c r="CH1889" s="76">
        <f>+CG1889*22500</f>
        <v>0</v>
      </c>
      <c r="CI1889" s="76"/>
      <c r="CJ1889" s="76">
        <f>+CI1889*26000</f>
        <v>0</v>
      </c>
      <c r="CK1889" s="76"/>
      <c r="CL1889" s="76"/>
      <c r="CM1889" s="76"/>
      <c r="CN1889" s="76">
        <f>+CM1889*22000</f>
        <v>0</v>
      </c>
      <c r="CO1889" s="76"/>
      <c r="CP1889" s="76">
        <f>+CO1889*46000</f>
        <v>0</v>
      </c>
      <c r="CQ1889" s="76"/>
      <c r="CR1889" s="76">
        <f>+CQ1889*49000</f>
        <v>0</v>
      </c>
      <c r="CS1889" s="76"/>
      <c r="CT1889" s="76"/>
      <c r="CU1889" s="56">
        <f>AN1889+AP1889+AR1889+AT1889+AV1889+AX1889+AZ1889+BB1889+BD1889+BF1889+BH1889+BJ1889+BL1889+BN1889+BP1889+BR1889+BT1889+BV1889+BX1889+BZ1889+CB1889+CD1889+CF1889+CH1889+CJ1889+CL1889+CN1889+CP1889+CR1889+CT1889</f>
        <v>0</v>
      </c>
      <c r="CV1889" s="76"/>
      <c r="CW1889" s="76">
        <f>+CV1889*1100</f>
        <v>0</v>
      </c>
      <c r="CX1889" s="76"/>
      <c r="CY1889" s="76">
        <f>+CX1889*106250</f>
        <v>0</v>
      </c>
      <c r="CZ1889" s="76"/>
      <c r="DA1889" s="76">
        <f>+CZ1889*34500</f>
        <v>0</v>
      </c>
      <c r="DB1889" s="76"/>
      <c r="DC1889" s="76">
        <f>+DB1889*25000</f>
        <v>0</v>
      </c>
      <c r="DD1889" s="219"/>
      <c r="DE1889" s="219"/>
      <c r="DF1889" s="166"/>
      <c r="DG1889" s="116"/>
      <c r="DH1889" s="117"/>
      <c r="DI1889" s="24"/>
      <c r="DJ1889" s="24"/>
      <c r="DK1889" s="24"/>
      <c r="DL1889" s="24"/>
      <c r="DM1889" s="24"/>
      <c r="DN1889" s="24"/>
      <c r="DO1889" s="24"/>
      <c r="DP1889" s="24"/>
      <c r="DQ1889" s="24"/>
      <c r="DR1889" s="24"/>
      <c r="DS1889" s="24"/>
      <c r="DT1889" s="24"/>
      <c r="DU1889" s="24"/>
    </row>
    <row r="1890" spans="1:125" s="8" customFormat="1" ht="36" x14ac:dyDescent="0.2">
      <c r="A1890" s="353">
        <v>41416</v>
      </c>
      <c r="B1890" s="352" t="s">
        <v>2811</v>
      </c>
      <c r="C1890" s="354" t="s">
        <v>2787</v>
      </c>
      <c r="D1890" s="354" t="s">
        <v>3088</v>
      </c>
      <c r="E1890" s="75" t="str">
        <f>VLOOKUP(B1890&amp;C1890,Divipola!$C$2:$F$1138,4,FALSE)</f>
        <v>52693</v>
      </c>
      <c r="F1890" s="87"/>
      <c r="G1890" s="87"/>
      <c r="H1890" s="87"/>
      <c r="I1890" s="87"/>
      <c r="J1890" s="87"/>
      <c r="K1890" s="87"/>
      <c r="L1890" s="87"/>
      <c r="M1890" s="87"/>
      <c r="N1890" s="87"/>
      <c r="O1890" s="87"/>
      <c r="P1890" s="87"/>
      <c r="Q1890" s="87"/>
      <c r="R1890" s="87"/>
      <c r="S1890" s="87">
        <v>1</v>
      </c>
      <c r="T1890" s="87"/>
      <c r="U1890" s="88"/>
      <c r="V1890" s="89"/>
      <c r="W1890" s="96">
        <v>0</v>
      </c>
      <c r="X1890" s="71">
        <f>CU1890</f>
        <v>0</v>
      </c>
      <c r="Y1890" s="71">
        <f>CY1890</f>
        <v>0</v>
      </c>
      <c r="Z1890" s="71">
        <f>DA1890+DC1890+DE1890</f>
        <v>0</v>
      </c>
      <c r="AA1890" s="71">
        <f>CW1890</f>
        <v>0</v>
      </c>
      <c r="AB1890" s="71"/>
      <c r="AC1890" s="71">
        <v>0</v>
      </c>
      <c r="AD1890" s="71">
        <f>W1890+X1890+Y1890+Z1890+AA1890+AB1890+AC1890</f>
        <v>0</v>
      </c>
      <c r="AE1890" s="72">
        <v>0</v>
      </c>
      <c r="AF1890" s="5"/>
      <c r="AG1890" s="6"/>
      <c r="AH1890" s="27" t="s">
        <v>3392</v>
      </c>
      <c r="AI1890" s="44" t="s">
        <v>3393</v>
      </c>
      <c r="AJ1890" s="26"/>
      <c r="AK1890" s="5"/>
      <c r="AL1890" s="82" t="s">
        <v>4711</v>
      </c>
      <c r="AM1890" s="76"/>
      <c r="AN1890" s="76"/>
      <c r="AO1890" s="76"/>
      <c r="AP1890" s="76"/>
      <c r="AQ1890" s="76"/>
      <c r="AR1890" s="76"/>
      <c r="AS1890" s="76"/>
      <c r="AT1890" s="76"/>
      <c r="AU1890" s="76"/>
      <c r="AV1890" s="76"/>
      <c r="AW1890" s="76"/>
      <c r="AX1890" s="76">
        <f>+AW1890*600000</f>
        <v>0</v>
      </c>
      <c r="AY1890" s="76"/>
      <c r="AZ1890" s="76">
        <f>+AY1890*70000</f>
        <v>0</v>
      </c>
      <c r="BA1890" s="76"/>
      <c r="BB1890" s="76"/>
      <c r="BC1890" s="76"/>
      <c r="BD1890" s="76">
        <f>+BC1890*30000</f>
        <v>0</v>
      </c>
      <c r="BE1890" s="76"/>
      <c r="BF1890" s="76"/>
      <c r="BG1890" s="76"/>
      <c r="BH1890" s="76"/>
      <c r="BI1890" s="76"/>
      <c r="BJ1890" s="76"/>
      <c r="BK1890" s="76"/>
      <c r="BL1890" s="76">
        <f>+BK1890*31500</f>
        <v>0</v>
      </c>
      <c r="BM1890" s="76"/>
      <c r="BN1890" s="76"/>
      <c r="BO1890" s="76"/>
      <c r="BP1890" s="76"/>
      <c r="BQ1890" s="76"/>
      <c r="BR1890" s="76"/>
      <c r="BS1890" s="76"/>
      <c r="BT1890" s="76"/>
      <c r="BU1890" s="76"/>
      <c r="BV1890" s="76"/>
      <c r="BW1890" s="76"/>
      <c r="BX1890" s="76"/>
      <c r="BY1890" s="76"/>
      <c r="BZ1890" s="76"/>
      <c r="CA1890" s="76"/>
      <c r="CB1890" s="76"/>
      <c r="CC1890" s="76"/>
      <c r="CD1890" s="76"/>
      <c r="CE1890" s="76"/>
      <c r="CF1890" s="76">
        <f>+CE1890*28000</f>
        <v>0</v>
      </c>
      <c r="CG1890" s="76"/>
      <c r="CH1890" s="76">
        <f>+CG1890*22500</f>
        <v>0</v>
      </c>
      <c r="CI1890" s="76"/>
      <c r="CJ1890" s="76">
        <f>+CI1890*26000</f>
        <v>0</v>
      </c>
      <c r="CK1890" s="76"/>
      <c r="CL1890" s="76"/>
      <c r="CM1890" s="76"/>
      <c r="CN1890" s="76">
        <f>+CM1890*22000</f>
        <v>0</v>
      </c>
      <c r="CO1890" s="76"/>
      <c r="CP1890" s="76">
        <f>+CO1890*46000</f>
        <v>0</v>
      </c>
      <c r="CQ1890" s="76"/>
      <c r="CR1890" s="76">
        <f>+CQ1890*49000</f>
        <v>0</v>
      </c>
      <c r="CS1890" s="76"/>
      <c r="CT1890" s="76"/>
      <c r="CU1890" s="56">
        <f>AN1890+AP1890+AR1890+AT1890+AV1890+AX1890+AZ1890+BB1890+BD1890+BF1890+BH1890+BJ1890+BL1890+BN1890+BP1890+BR1890+BT1890+BV1890+BX1890+BZ1890+CB1890+CD1890+CF1890+CH1890+CJ1890+CL1890+CN1890+CP1890+CR1890+CT1890</f>
        <v>0</v>
      </c>
      <c r="CV1890" s="76"/>
      <c r="CW1890" s="76">
        <f>+CV1890*1100</f>
        <v>0</v>
      </c>
      <c r="CX1890" s="76"/>
      <c r="CY1890" s="76">
        <f>+CX1890*106250</f>
        <v>0</v>
      </c>
      <c r="CZ1890" s="76"/>
      <c r="DA1890" s="76">
        <f>+CZ1890*34500</f>
        <v>0</v>
      </c>
      <c r="DB1890" s="76"/>
      <c r="DC1890" s="76">
        <f>+DB1890*25000</f>
        <v>0</v>
      </c>
      <c r="DD1890" s="219"/>
      <c r="DE1890" s="219"/>
      <c r="DF1890" s="166"/>
      <c r="DG1890" s="116"/>
      <c r="DH1890" s="117"/>
      <c r="DI1890" s="24"/>
      <c r="DJ1890" s="24"/>
      <c r="DK1890" s="24"/>
      <c r="DL1890" s="24"/>
      <c r="DM1890" s="24"/>
      <c r="DN1890" s="24"/>
      <c r="DO1890" s="24"/>
      <c r="DP1890" s="24"/>
      <c r="DQ1890" s="24"/>
      <c r="DR1890" s="24"/>
      <c r="DS1890" s="24"/>
      <c r="DT1890" s="24"/>
      <c r="DU1890" s="24"/>
    </row>
    <row r="1891" spans="1:125" s="8" customFormat="1" ht="48" x14ac:dyDescent="0.2">
      <c r="A1891" s="77">
        <v>41416</v>
      </c>
      <c r="B1891" s="78" t="s">
        <v>2860</v>
      </c>
      <c r="C1891" s="75" t="s">
        <v>2173</v>
      </c>
      <c r="D1891" s="75" t="s">
        <v>3088</v>
      </c>
      <c r="E1891" s="75" t="str">
        <f>VLOOKUP(B1891&amp;C1891,Divipola!$C$2:$F$1138,4,FALSE)</f>
        <v>63470</v>
      </c>
      <c r="F1891" s="163"/>
      <c r="G1891" s="163"/>
      <c r="H1891" s="163"/>
      <c r="I1891" s="163"/>
      <c r="J1891" s="163"/>
      <c r="K1891" s="163"/>
      <c r="L1891" s="163"/>
      <c r="M1891" s="163"/>
      <c r="N1891" s="163"/>
      <c r="O1891" s="163"/>
      <c r="P1891" s="163"/>
      <c r="Q1891" s="163"/>
      <c r="R1891" s="163"/>
      <c r="S1891" s="163"/>
      <c r="T1891" s="163"/>
      <c r="U1891" s="163"/>
      <c r="V1891" s="134"/>
      <c r="W1891" s="96">
        <v>0</v>
      </c>
      <c r="X1891" s="71">
        <f>CU1891</f>
        <v>0</v>
      </c>
      <c r="Y1891" s="71">
        <f>CY1891</f>
        <v>0</v>
      </c>
      <c r="Z1891" s="71">
        <f>DA1891+DC1891+DE1891</f>
        <v>0</v>
      </c>
      <c r="AA1891" s="71">
        <f>CW1891</f>
        <v>0</v>
      </c>
      <c r="AB1891" s="71"/>
      <c r="AC1891" s="71">
        <v>15000000</v>
      </c>
      <c r="AD1891" s="71">
        <f>W1891+X1891+Y1891+Z1891+AA1891+AB1891+AC1891</f>
        <v>15000000</v>
      </c>
      <c r="AE1891" s="72">
        <v>0</v>
      </c>
      <c r="AF1891" s="5"/>
      <c r="AG1891" s="6"/>
      <c r="AH1891" s="27" t="s">
        <v>3390</v>
      </c>
      <c r="AI1891" s="44" t="s">
        <v>3391</v>
      </c>
      <c r="AJ1891" s="26"/>
      <c r="AK1891" s="5"/>
      <c r="AL1891" s="82" t="s">
        <v>4678</v>
      </c>
      <c r="AM1891" s="76"/>
      <c r="AN1891" s="76"/>
      <c r="AO1891" s="76"/>
      <c r="AP1891" s="76"/>
      <c r="AQ1891" s="76"/>
      <c r="AR1891" s="76"/>
      <c r="AS1891" s="76"/>
      <c r="AT1891" s="76"/>
      <c r="AU1891" s="76"/>
      <c r="AV1891" s="76"/>
      <c r="AW1891" s="76"/>
      <c r="AX1891" s="76">
        <f>+AW1891*600000</f>
        <v>0</v>
      </c>
      <c r="AY1891" s="76"/>
      <c r="AZ1891" s="76">
        <f>+AY1891*70000</f>
        <v>0</v>
      </c>
      <c r="BA1891" s="76"/>
      <c r="BB1891" s="76"/>
      <c r="BC1891" s="76"/>
      <c r="BD1891" s="76">
        <f>+BC1891*30000</f>
        <v>0</v>
      </c>
      <c r="BE1891" s="76"/>
      <c r="BF1891" s="76"/>
      <c r="BG1891" s="76"/>
      <c r="BH1891" s="76"/>
      <c r="BI1891" s="76"/>
      <c r="BJ1891" s="76"/>
      <c r="BK1891" s="76"/>
      <c r="BL1891" s="76">
        <f>+BK1891*31500</f>
        <v>0</v>
      </c>
      <c r="BM1891" s="76"/>
      <c r="BN1891" s="76"/>
      <c r="BO1891" s="76"/>
      <c r="BP1891" s="76"/>
      <c r="BQ1891" s="76"/>
      <c r="BR1891" s="76"/>
      <c r="BS1891" s="76"/>
      <c r="BT1891" s="76"/>
      <c r="BU1891" s="76"/>
      <c r="BV1891" s="76"/>
      <c r="BW1891" s="76"/>
      <c r="BX1891" s="76"/>
      <c r="BY1891" s="76"/>
      <c r="BZ1891" s="76"/>
      <c r="CA1891" s="76"/>
      <c r="CB1891" s="76"/>
      <c r="CC1891" s="76"/>
      <c r="CD1891" s="76"/>
      <c r="CE1891" s="76"/>
      <c r="CF1891" s="76">
        <f>+CE1891*28000</f>
        <v>0</v>
      </c>
      <c r="CG1891" s="76"/>
      <c r="CH1891" s="76">
        <f>+CG1891*22500</f>
        <v>0</v>
      </c>
      <c r="CI1891" s="76"/>
      <c r="CJ1891" s="76">
        <f>+CI1891*26000</f>
        <v>0</v>
      </c>
      <c r="CK1891" s="76"/>
      <c r="CL1891" s="76"/>
      <c r="CM1891" s="76"/>
      <c r="CN1891" s="76">
        <f>+CM1891*22000</f>
        <v>0</v>
      </c>
      <c r="CO1891" s="76"/>
      <c r="CP1891" s="76">
        <f>+CO1891*46000</f>
        <v>0</v>
      </c>
      <c r="CQ1891" s="76"/>
      <c r="CR1891" s="76">
        <f>+CQ1891*49000</f>
        <v>0</v>
      </c>
      <c r="CS1891" s="76"/>
      <c r="CT1891" s="76"/>
      <c r="CU1891" s="56">
        <f>AN1891+AP1891+AR1891+AT1891+AV1891+AX1891+AZ1891+BB1891+BD1891+BF1891+BH1891+BJ1891+BL1891+BN1891+BP1891+BR1891+BT1891+BV1891+BX1891+BZ1891+CB1891+CD1891+CF1891+CH1891+CJ1891+CL1891+CN1891+CP1891+CR1891+CT1891</f>
        <v>0</v>
      </c>
      <c r="CV1891" s="76"/>
      <c r="CW1891" s="76">
        <f>+CV1891*1100</f>
        <v>0</v>
      </c>
      <c r="CX1891" s="76"/>
      <c r="CY1891" s="76">
        <f>+CX1891*106250</f>
        <v>0</v>
      </c>
      <c r="CZ1891" s="76"/>
      <c r="DA1891" s="76">
        <f>+CZ1891*34500</f>
        <v>0</v>
      </c>
      <c r="DB1891" s="76"/>
      <c r="DC1891" s="76">
        <f>+DB1891*25000</f>
        <v>0</v>
      </c>
      <c r="DD1891" s="219"/>
      <c r="DE1891" s="219"/>
      <c r="DF1891" s="166" t="s">
        <v>4680</v>
      </c>
      <c r="DG1891" s="116"/>
      <c r="DH1891" s="117"/>
      <c r="DI1891" s="24"/>
      <c r="DJ1891" s="24"/>
      <c r="DK1891" s="24"/>
      <c r="DL1891" s="24"/>
      <c r="DM1891" s="24"/>
      <c r="DN1891" s="24"/>
      <c r="DO1891" s="24"/>
      <c r="DP1891" s="24"/>
      <c r="DQ1891" s="24"/>
      <c r="DR1891" s="24"/>
      <c r="DS1891" s="24"/>
      <c r="DT1891" s="24"/>
      <c r="DU1891" s="24"/>
    </row>
    <row r="1892" spans="1:125" s="8" customFormat="1" ht="36" x14ac:dyDescent="0.2">
      <c r="A1892" s="97">
        <v>41416</v>
      </c>
      <c r="B1892" s="60" t="s">
        <v>2860</v>
      </c>
      <c r="C1892" s="55" t="s">
        <v>2173</v>
      </c>
      <c r="D1892" s="55" t="s">
        <v>2882</v>
      </c>
      <c r="E1892" s="75" t="str">
        <f>VLOOKUP(B1892&amp;C1892,Divipola!$C$2:$F$1138,4,FALSE)</f>
        <v>63470</v>
      </c>
      <c r="F1892" s="87"/>
      <c r="G1892" s="87"/>
      <c r="H1892" s="87"/>
      <c r="I1892" s="87">
        <v>5</v>
      </c>
      <c r="J1892" s="87">
        <v>1</v>
      </c>
      <c r="K1892" s="87"/>
      <c r="L1892" s="87">
        <v>1</v>
      </c>
      <c r="M1892" s="87"/>
      <c r="N1892" s="87"/>
      <c r="O1892" s="87"/>
      <c r="P1892" s="87"/>
      <c r="Q1892" s="87"/>
      <c r="R1892" s="87"/>
      <c r="S1892" s="87"/>
      <c r="T1892" s="87"/>
      <c r="U1892" s="88"/>
      <c r="V1892" s="89"/>
      <c r="W1892" s="96">
        <v>0</v>
      </c>
      <c r="X1892" s="71">
        <f>CU1892</f>
        <v>0</v>
      </c>
      <c r="Y1892" s="71">
        <f>CY1892</f>
        <v>0</v>
      </c>
      <c r="Z1892" s="71">
        <f>DA1892+DC1892+DE1892</f>
        <v>0</v>
      </c>
      <c r="AA1892" s="71">
        <f>CW1892</f>
        <v>0</v>
      </c>
      <c r="AB1892" s="71"/>
      <c r="AC1892" s="71">
        <v>0</v>
      </c>
      <c r="AD1892" s="71">
        <f>W1892+X1892+Y1892+Z1892+AA1892+AB1892+AC1892</f>
        <v>0</v>
      </c>
      <c r="AE1892" s="72">
        <v>0</v>
      </c>
      <c r="AF1892" s="5"/>
      <c r="AG1892" s="6"/>
      <c r="AH1892" s="27" t="s">
        <v>3392</v>
      </c>
      <c r="AI1892" s="44" t="s">
        <v>3393</v>
      </c>
      <c r="AJ1892" s="26"/>
      <c r="AK1892" s="5"/>
      <c r="AL1892" s="82" t="s">
        <v>4708</v>
      </c>
      <c r="AM1892" s="76"/>
      <c r="AN1892" s="76"/>
      <c r="AO1892" s="76"/>
      <c r="AP1892" s="76"/>
      <c r="AQ1892" s="76"/>
      <c r="AR1892" s="76"/>
      <c r="AS1892" s="76"/>
      <c r="AT1892" s="76"/>
      <c r="AU1892" s="76"/>
      <c r="AV1892" s="76"/>
      <c r="AW1892" s="76"/>
      <c r="AX1892" s="76">
        <f>+AW1892*600000</f>
        <v>0</v>
      </c>
      <c r="AY1892" s="76"/>
      <c r="AZ1892" s="76">
        <f>+AY1892*70000</f>
        <v>0</v>
      </c>
      <c r="BA1892" s="76"/>
      <c r="BB1892" s="76"/>
      <c r="BC1892" s="76"/>
      <c r="BD1892" s="76">
        <f>+BC1892*30000</f>
        <v>0</v>
      </c>
      <c r="BE1892" s="76"/>
      <c r="BF1892" s="76"/>
      <c r="BG1892" s="76"/>
      <c r="BH1892" s="76"/>
      <c r="BI1892" s="76"/>
      <c r="BJ1892" s="76"/>
      <c r="BK1892" s="76"/>
      <c r="BL1892" s="76">
        <f>+BK1892*31500</f>
        <v>0</v>
      </c>
      <c r="BM1892" s="76"/>
      <c r="BN1892" s="76"/>
      <c r="BO1892" s="76"/>
      <c r="BP1892" s="76"/>
      <c r="BQ1892" s="76"/>
      <c r="BR1892" s="76"/>
      <c r="BS1892" s="76"/>
      <c r="BT1892" s="76"/>
      <c r="BU1892" s="76"/>
      <c r="BV1892" s="76"/>
      <c r="BW1892" s="76"/>
      <c r="BX1892" s="76"/>
      <c r="BY1892" s="76"/>
      <c r="BZ1892" s="76"/>
      <c r="CA1892" s="76"/>
      <c r="CB1892" s="76"/>
      <c r="CC1892" s="76"/>
      <c r="CD1892" s="76"/>
      <c r="CE1892" s="76"/>
      <c r="CF1892" s="76">
        <f>+CE1892*28000</f>
        <v>0</v>
      </c>
      <c r="CG1892" s="76"/>
      <c r="CH1892" s="76">
        <f>+CG1892*22500</f>
        <v>0</v>
      </c>
      <c r="CI1892" s="76"/>
      <c r="CJ1892" s="76">
        <f>+CI1892*26000</f>
        <v>0</v>
      </c>
      <c r="CK1892" s="76"/>
      <c r="CL1892" s="76"/>
      <c r="CM1892" s="76"/>
      <c r="CN1892" s="76">
        <f>+CM1892*22000</f>
        <v>0</v>
      </c>
      <c r="CO1892" s="76"/>
      <c r="CP1892" s="76">
        <f>+CO1892*46000</f>
        <v>0</v>
      </c>
      <c r="CQ1892" s="76"/>
      <c r="CR1892" s="76">
        <f>+CQ1892*49000</f>
        <v>0</v>
      </c>
      <c r="CS1892" s="76"/>
      <c r="CT1892" s="76"/>
      <c r="CU1892" s="56">
        <f>AN1892+AP1892+AR1892+AT1892+AV1892+AX1892+AZ1892+BB1892+BD1892+BF1892+BH1892+BJ1892+BL1892+BN1892+BP1892+BR1892+BT1892+BV1892+BX1892+BZ1892+CB1892+CD1892+CF1892+CH1892+CJ1892+CL1892+CN1892+CP1892+CR1892+CT1892</f>
        <v>0</v>
      </c>
      <c r="CV1892" s="76"/>
      <c r="CW1892" s="76">
        <f>+CV1892*1100</f>
        <v>0</v>
      </c>
      <c r="CX1892" s="76"/>
      <c r="CY1892" s="76">
        <f>+CX1892*106250</f>
        <v>0</v>
      </c>
      <c r="CZ1892" s="76"/>
      <c r="DA1892" s="76">
        <f>+CZ1892*34500</f>
        <v>0</v>
      </c>
      <c r="DB1892" s="76"/>
      <c r="DC1892" s="76">
        <f>+DB1892*25000</f>
        <v>0</v>
      </c>
      <c r="DD1892" s="219"/>
      <c r="DE1892" s="219"/>
      <c r="DF1892" s="166"/>
      <c r="DG1892" s="116"/>
      <c r="DH1892" s="117"/>
      <c r="DI1892" s="24"/>
      <c r="DJ1892" s="24"/>
      <c r="DK1892" s="24"/>
      <c r="DL1892" s="24"/>
      <c r="DM1892" s="24"/>
      <c r="DN1892" s="24"/>
      <c r="DO1892" s="24"/>
      <c r="DP1892" s="24"/>
      <c r="DQ1892" s="24"/>
      <c r="DR1892" s="24"/>
      <c r="DS1892" s="24"/>
      <c r="DT1892" s="24"/>
      <c r="DU1892" s="24"/>
    </row>
    <row r="1893" spans="1:125" s="8" customFormat="1" ht="60" x14ac:dyDescent="0.2">
      <c r="A1893" s="226">
        <v>41416</v>
      </c>
      <c r="B1893" s="225" t="s">
        <v>2860</v>
      </c>
      <c r="C1893" s="227" t="s">
        <v>2764</v>
      </c>
      <c r="D1893" s="227" t="s">
        <v>2882</v>
      </c>
      <c r="E1893" s="75" t="str">
        <f>VLOOKUP(B1893&amp;C1893,Divipola!$C$2:$F$1138,4,FALSE)</f>
        <v>63594</v>
      </c>
      <c r="F1893" s="87"/>
      <c r="G1893" s="87"/>
      <c r="H1893" s="87"/>
      <c r="I1893" s="87">
        <v>15</v>
      </c>
      <c r="J1893" s="87">
        <v>3</v>
      </c>
      <c r="K1893" s="87"/>
      <c r="L1893" s="87">
        <v>3</v>
      </c>
      <c r="M1893" s="87"/>
      <c r="N1893" s="87"/>
      <c r="O1893" s="87"/>
      <c r="P1893" s="87"/>
      <c r="Q1893" s="87"/>
      <c r="R1893" s="87"/>
      <c r="S1893" s="87"/>
      <c r="T1893" s="87"/>
      <c r="U1893" s="88"/>
      <c r="V1893" s="89"/>
      <c r="W1893" s="96">
        <v>0</v>
      </c>
      <c r="X1893" s="71">
        <f>CU1893</f>
        <v>0</v>
      </c>
      <c r="Y1893" s="71">
        <f>CY1893</f>
        <v>0</v>
      </c>
      <c r="Z1893" s="71">
        <f>DA1893+DC1893+DE1893</f>
        <v>0</v>
      </c>
      <c r="AA1893" s="71">
        <f>CW1893</f>
        <v>0</v>
      </c>
      <c r="AB1893" s="71"/>
      <c r="AC1893" s="71">
        <v>0</v>
      </c>
      <c r="AD1893" s="71">
        <f>W1893+X1893+Y1893+Z1893+AA1893+AB1893+AC1893</f>
        <v>0</v>
      </c>
      <c r="AE1893" s="72">
        <v>0</v>
      </c>
      <c r="AF1893" s="5"/>
      <c r="AG1893" s="6"/>
      <c r="AH1893" s="27" t="s">
        <v>3392</v>
      </c>
      <c r="AI1893" s="44" t="s">
        <v>3393</v>
      </c>
      <c r="AJ1893" s="26"/>
      <c r="AK1893" s="5"/>
      <c r="AL1893" s="82" t="s">
        <v>4707</v>
      </c>
      <c r="AM1893" s="76"/>
      <c r="AN1893" s="76"/>
      <c r="AO1893" s="76"/>
      <c r="AP1893" s="76"/>
      <c r="AQ1893" s="76"/>
      <c r="AR1893" s="76"/>
      <c r="AS1893" s="76"/>
      <c r="AT1893" s="76"/>
      <c r="AU1893" s="76"/>
      <c r="AV1893" s="76"/>
      <c r="AW1893" s="76"/>
      <c r="AX1893" s="76">
        <f>+AW1893*600000</f>
        <v>0</v>
      </c>
      <c r="AY1893" s="76"/>
      <c r="AZ1893" s="76">
        <f>+AY1893*70000</f>
        <v>0</v>
      </c>
      <c r="BA1893" s="76"/>
      <c r="BB1893" s="76"/>
      <c r="BC1893" s="76"/>
      <c r="BD1893" s="76">
        <f>+BC1893*30000</f>
        <v>0</v>
      </c>
      <c r="BE1893" s="76"/>
      <c r="BF1893" s="76"/>
      <c r="BG1893" s="76"/>
      <c r="BH1893" s="76"/>
      <c r="BI1893" s="76"/>
      <c r="BJ1893" s="76"/>
      <c r="BK1893" s="76"/>
      <c r="BL1893" s="76">
        <f>+BK1893*31500</f>
        <v>0</v>
      </c>
      <c r="BM1893" s="76"/>
      <c r="BN1893" s="76"/>
      <c r="BO1893" s="76"/>
      <c r="BP1893" s="76"/>
      <c r="BQ1893" s="76"/>
      <c r="BR1893" s="76"/>
      <c r="BS1893" s="76"/>
      <c r="BT1893" s="76"/>
      <c r="BU1893" s="76"/>
      <c r="BV1893" s="76"/>
      <c r="BW1893" s="76"/>
      <c r="BX1893" s="76"/>
      <c r="BY1893" s="76"/>
      <c r="BZ1893" s="76"/>
      <c r="CA1893" s="76"/>
      <c r="CB1893" s="76"/>
      <c r="CC1893" s="76"/>
      <c r="CD1893" s="76"/>
      <c r="CE1893" s="76"/>
      <c r="CF1893" s="76">
        <f>+CE1893*28000</f>
        <v>0</v>
      </c>
      <c r="CG1893" s="76"/>
      <c r="CH1893" s="76">
        <f>+CG1893*22500</f>
        <v>0</v>
      </c>
      <c r="CI1893" s="76"/>
      <c r="CJ1893" s="76">
        <f>+CI1893*26000</f>
        <v>0</v>
      </c>
      <c r="CK1893" s="76"/>
      <c r="CL1893" s="76"/>
      <c r="CM1893" s="76"/>
      <c r="CN1893" s="76">
        <f>+CM1893*22000</f>
        <v>0</v>
      </c>
      <c r="CO1893" s="76"/>
      <c r="CP1893" s="76">
        <f>+CO1893*46000</f>
        <v>0</v>
      </c>
      <c r="CQ1893" s="76"/>
      <c r="CR1893" s="76">
        <f>+CQ1893*49000</f>
        <v>0</v>
      </c>
      <c r="CS1893" s="76"/>
      <c r="CT1893" s="76"/>
      <c r="CU1893" s="56">
        <f>AN1893+AP1893+AR1893+AT1893+AV1893+AX1893+AZ1893+BB1893+BD1893+BF1893+BH1893+BJ1893+BL1893+BN1893+BP1893+BR1893+BT1893+BV1893+BX1893+BZ1893+CB1893+CD1893+CF1893+CH1893+CJ1893+CL1893+CN1893+CP1893+CR1893+CT1893</f>
        <v>0</v>
      </c>
      <c r="CV1893" s="76"/>
      <c r="CW1893" s="76">
        <f>+CV1893*1100</f>
        <v>0</v>
      </c>
      <c r="CX1893" s="76"/>
      <c r="CY1893" s="76">
        <f>+CX1893*106250</f>
        <v>0</v>
      </c>
      <c r="CZ1893" s="76"/>
      <c r="DA1893" s="76">
        <f>+CZ1893*34500</f>
        <v>0</v>
      </c>
      <c r="DB1893" s="76"/>
      <c r="DC1893" s="76">
        <f>+DB1893*25000</f>
        <v>0</v>
      </c>
      <c r="DD1893" s="219"/>
      <c r="DE1893" s="219"/>
      <c r="DF1893" s="166"/>
      <c r="DG1893" s="116"/>
      <c r="DH1893" s="117"/>
      <c r="DI1893" s="24"/>
      <c r="DJ1893" s="24"/>
      <c r="DK1893" s="24"/>
      <c r="DL1893" s="24"/>
      <c r="DM1893" s="24"/>
      <c r="DN1893" s="24"/>
      <c r="DO1893" s="24"/>
      <c r="DP1893" s="24"/>
      <c r="DQ1893" s="24"/>
      <c r="DR1893" s="24"/>
      <c r="DS1893" s="24"/>
      <c r="DT1893" s="24"/>
      <c r="DU1893" s="24"/>
    </row>
    <row r="1894" spans="1:125" s="8" customFormat="1" ht="120" x14ac:dyDescent="0.2">
      <c r="A1894" s="353">
        <v>41416</v>
      </c>
      <c r="B1894" s="352" t="s">
        <v>2848</v>
      </c>
      <c r="C1894" s="354" t="s">
        <v>1391</v>
      </c>
      <c r="D1894" s="354" t="s">
        <v>3088</v>
      </c>
      <c r="E1894" s="75" t="str">
        <f>VLOOKUP(B1894&amp;C1894,Divipola!$C$2:$F$1138,4,FALSE)</f>
        <v>73270</v>
      </c>
      <c r="F1894" s="87"/>
      <c r="G1894" s="87"/>
      <c r="H1894" s="87"/>
      <c r="I1894" s="87">
        <v>505</v>
      </c>
      <c r="J1894" s="87">
        <v>101</v>
      </c>
      <c r="K1894" s="87">
        <v>16</v>
      </c>
      <c r="L1894" s="87">
        <v>85</v>
      </c>
      <c r="M1894" s="87"/>
      <c r="N1894" s="87"/>
      <c r="O1894" s="87"/>
      <c r="P1894" s="87">
        <v>1</v>
      </c>
      <c r="Q1894" s="87"/>
      <c r="R1894" s="87"/>
      <c r="S1894" s="87"/>
      <c r="T1894" s="87"/>
      <c r="U1894" s="88"/>
      <c r="V1894" s="89"/>
      <c r="W1894" s="96">
        <v>0</v>
      </c>
      <c r="X1894" s="71">
        <f>CU1894</f>
        <v>4899956</v>
      </c>
      <c r="Y1894" s="71">
        <f>CY1894</f>
        <v>10513750</v>
      </c>
      <c r="Z1894" s="71">
        <f>DA1894+DC1894+DE1894</f>
        <v>57563608</v>
      </c>
      <c r="AA1894" s="71">
        <f>CW1894</f>
        <v>0</v>
      </c>
      <c r="AB1894" s="71"/>
      <c r="AC1894" s="71">
        <v>0</v>
      </c>
      <c r="AD1894" s="71">
        <f>W1894+X1894+Y1894+Z1894+AA1894+AB1894+AC1894</f>
        <v>72977314</v>
      </c>
      <c r="AE1894" s="72">
        <v>0</v>
      </c>
      <c r="AF1894" s="5"/>
      <c r="AG1894" s="6"/>
      <c r="AH1894" s="27" t="s">
        <v>3392</v>
      </c>
      <c r="AI1894" s="44" t="s">
        <v>3393</v>
      </c>
      <c r="AJ1894" s="26"/>
      <c r="AK1894" s="5"/>
      <c r="AL1894" s="82" t="s">
        <v>6327</v>
      </c>
      <c r="AM1894" s="76"/>
      <c r="AN1894" s="76"/>
      <c r="AO1894" s="76"/>
      <c r="AP1894" s="76"/>
      <c r="AQ1894" s="76"/>
      <c r="AR1894" s="76"/>
      <c r="AS1894" s="76"/>
      <c r="AT1894" s="76"/>
      <c r="AU1894" s="76"/>
      <c r="AV1894" s="76"/>
      <c r="AW1894" s="76"/>
      <c r="AX1894" s="76">
        <f>+AW1894*600000</f>
        <v>0</v>
      </c>
      <c r="AY1894" s="76"/>
      <c r="AZ1894" s="76">
        <f>+AY1894*70000</f>
        <v>0</v>
      </c>
      <c r="BA1894" s="76"/>
      <c r="BB1894" s="76"/>
      <c r="BC1894" s="76"/>
      <c r="BD1894" s="76">
        <f>+BC1894*30000</f>
        <v>0</v>
      </c>
      <c r="BE1894" s="76"/>
      <c r="BF1894" s="76"/>
      <c r="BG1894" s="76"/>
      <c r="BH1894" s="76"/>
      <c r="BI1894" s="76"/>
      <c r="BJ1894" s="76"/>
      <c r="BK1894" s="76"/>
      <c r="BL1894" s="76">
        <f>+BK1894*31500</f>
        <v>0</v>
      </c>
      <c r="BM1894" s="76"/>
      <c r="BN1894" s="76"/>
      <c r="BO1894" s="76"/>
      <c r="BP1894" s="76"/>
      <c r="BQ1894" s="76"/>
      <c r="BR1894" s="76"/>
      <c r="BS1894" s="76"/>
      <c r="BT1894" s="76"/>
      <c r="BU1894" s="76"/>
      <c r="BV1894" s="76"/>
      <c r="BW1894" s="76"/>
      <c r="BX1894" s="76"/>
      <c r="BY1894" s="76"/>
      <c r="BZ1894" s="76"/>
      <c r="CA1894" s="76"/>
      <c r="CB1894" s="76"/>
      <c r="CC1894" s="76"/>
      <c r="CD1894" s="76"/>
      <c r="CE1894" s="76"/>
      <c r="CF1894" s="76">
        <f>+CE1894*28000</f>
        <v>0</v>
      </c>
      <c r="CG1894" s="76"/>
      <c r="CH1894" s="76">
        <f>+CG1894*22500</f>
        <v>0</v>
      </c>
      <c r="CI1894" s="76"/>
      <c r="CJ1894" s="76">
        <f>+CI1894*26000</f>
        <v>0</v>
      </c>
      <c r="CK1894" s="76"/>
      <c r="CL1894" s="76"/>
      <c r="CM1894" s="76"/>
      <c r="CN1894" s="76">
        <f>+CM1894*22000</f>
        <v>0</v>
      </c>
      <c r="CO1894" s="76"/>
      <c r="CP1894" s="76">
        <f>+CO1894*46000</f>
        <v>0</v>
      </c>
      <c r="CQ1894" s="86">
        <v>100</v>
      </c>
      <c r="CR1894" s="86">
        <f>+CQ1894*48999.56</f>
        <v>4899956</v>
      </c>
      <c r="CS1894" s="76"/>
      <c r="CT1894" s="76"/>
      <c r="CU1894" s="56">
        <f>AN1894+AP1894+AR1894+AT1894+AV1894+AX1894+AZ1894+BB1894+BD1894+BF1894+BH1894+BJ1894+BL1894+BN1894+BP1894+BR1894+BT1894+BV1894+BX1894+BZ1894+CB1894+CD1894+CF1894+CH1894+CJ1894+CL1894+CN1894+CP1894+CR1894+CT1894</f>
        <v>4899956</v>
      </c>
      <c r="CV1894" s="76"/>
      <c r="CW1894" s="76">
        <f>+CV1894*1100</f>
        <v>0</v>
      </c>
      <c r="CX1894" s="86">
        <v>100</v>
      </c>
      <c r="CY1894" s="86">
        <f>+CX1894*105137.5</f>
        <v>10513750</v>
      </c>
      <c r="CZ1894" s="86">
        <v>500</v>
      </c>
      <c r="DA1894" s="86">
        <f>+CZ1894*34449.68</f>
        <v>17224840</v>
      </c>
      <c r="DB1894" s="86">
        <f>300+150</f>
        <v>450</v>
      </c>
      <c r="DC1894" s="86">
        <f>300*31999.76+1950*199.52+150*30999.84</f>
        <v>14638968</v>
      </c>
      <c r="DD1894" s="358" t="s">
        <v>6417</v>
      </c>
      <c r="DE1894" s="318">
        <f>200*40499.08+200*87999.92</f>
        <v>25699800</v>
      </c>
      <c r="DF1894" s="166"/>
      <c r="DG1894" s="134" t="s">
        <v>6938</v>
      </c>
      <c r="DH1894" s="117"/>
      <c r="DI1894" s="151"/>
      <c r="DJ1894" s="151"/>
      <c r="DK1894" s="151"/>
      <c r="DL1894" s="151"/>
      <c r="DM1894" s="151"/>
      <c r="DN1894" s="151"/>
      <c r="DO1894" s="151"/>
      <c r="DP1894" s="151"/>
      <c r="DQ1894" s="151"/>
      <c r="DR1894" s="151"/>
      <c r="DS1894" s="151"/>
      <c r="DT1894" s="151"/>
      <c r="DU1894" s="151"/>
    </row>
    <row r="1895" spans="1:125" s="8" customFormat="1" ht="48" x14ac:dyDescent="0.2">
      <c r="A1895" s="77">
        <v>41416</v>
      </c>
      <c r="B1895" s="78" t="s">
        <v>2851</v>
      </c>
      <c r="C1895" s="75" t="s">
        <v>2101</v>
      </c>
      <c r="D1895" s="75" t="s">
        <v>3051</v>
      </c>
      <c r="E1895" s="75" t="str">
        <f>VLOOKUP(B1895&amp;C1895,Divipola!$C$2:$F$1138,4,FALSE)</f>
        <v>76036</v>
      </c>
      <c r="F1895" s="87"/>
      <c r="G1895" s="87"/>
      <c r="H1895" s="87"/>
      <c r="I1895" s="87">
        <v>25</v>
      </c>
      <c r="J1895" s="87">
        <v>5</v>
      </c>
      <c r="K1895" s="87"/>
      <c r="L1895" s="87">
        <v>5</v>
      </c>
      <c r="M1895" s="87"/>
      <c r="N1895" s="87"/>
      <c r="O1895" s="87"/>
      <c r="P1895" s="87"/>
      <c r="Q1895" s="87"/>
      <c r="R1895" s="87"/>
      <c r="S1895" s="87"/>
      <c r="T1895" s="87"/>
      <c r="U1895" s="88"/>
      <c r="V1895" s="89"/>
      <c r="W1895" s="96">
        <v>0</v>
      </c>
      <c r="X1895" s="71">
        <f>CU1895</f>
        <v>0</v>
      </c>
      <c r="Y1895" s="71">
        <f>CY1895</f>
        <v>0</v>
      </c>
      <c r="Z1895" s="71">
        <f>DA1895+DC1895+DE1895</f>
        <v>0</v>
      </c>
      <c r="AA1895" s="71">
        <f>CW1895</f>
        <v>0</v>
      </c>
      <c r="AB1895" s="71"/>
      <c r="AC1895" s="71">
        <v>0</v>
      </c>
      <c r="AD1895" s="71">
        <f>W1895+X1895+Y1895+Z1895+AA1895+AB1895+AC1895</f>
        <v>0</v>
      </c>
      <c r="AE1895" s="72">
        <v>0</v>
      </c>
      <c r="AF1895" s="5"/>
      <c r="AG1895" s="6"/>
      <c r="AH1895" s="27" t="s">
        <v>3392</v>
      </c>
      <c r="AI1895" s="44" t="s">
        <v>3393</v>
      </c>
      <c r="AJ1895" s="26"/>
      <c r="AK1895" s="5"/>
      <c r="AL1895" s="82" t="s">
        <v>4709</v>
      </c>
      <c r="AM1895" s="76"/>
      <c r="AN1895" s="76"/>
      <c r="AO1895" s="76"/>
      <c r="AP1895" s="76"/>
      <c r="AQ1895" s="76"/>
      <c r="AR1895" s="76"/>
      <c r="AS1895" s="76"/>
      <c r="AT1895" s="76"/>
      <c r="AU1895" s="76"/>
      <c r="AV1895" s="76"/>
      <c r="AW1895" s="76"/>
      <c r="AX1895" s="76">
        <f>+AW1895*600000</f>
        <v>0</v>
      </c>
      <c r="AY1895" s="76"/>
      <c r="AZ1895" s="76">
        <f>+AY1895*70000</f>
        <v>0</v>
      </c>
      <c r="BA1895" s="76"/>
      <c r="BB1895" s="76"/>
      <c r="BC1895" s="76"/>
      <c r="BD1895" s="76">
        <f>+BC1895*30000</f>
        <v>0</v>
      </c>
      <c r="BE1895" s="76"/>
      <c r="BF1895" s="76"/>
      <c r="BG1895" s="76"/>
      <c r="BH1895" s="76"/>
      <c r="BI1895" s="76"/>
      <c r="BJ1895" s="76"/>
      <c r="BK1895" s="76"/>
      <c r="BL1895" s="76">
        <f>+BK1895*31500</f>
        <v>0</v>
      </c>
      <c r="BM1895" s="76"/>
      <c r="BN1895" s="76"/>
      <c r="BO1895" s="76"/>
      <c r="BP1895" s="76"/>
      <c r="BQ1895" s="76"/>
      <c r="BR1895" s="76"/>
      <c r="BS1895" s="76"/>
      <c r="BT1895" s="76"/>
      <c r="BU1895" s="76"/>
      <c r="BV1895" s="76"/>
      <c r="BW1895" s="76"/>
      <c r="BX1895" s="76"/>
      <c r="BY1895" s="76"/>
      <c r="BZ1895" s="76"/>
      <c r="CA1895" s="76"/>
      <c r="CB1895" s="76"/>
      <c r="CC1895" s="76"/>
      <c r="CD1895" s="76"/>
      <c r="CE1895" s="76"/>
      <c r="CF1895" s="76">
        <f>+CE1895*28000</f>
        <v>0</v>
      </c>
      <c r="CG1895" s="76"/>
      <c r="CH1895" s="76">
        <f>+CG1895*22500</f>
        <v>0</v>
      </c>
      <c r="CI1895" s="76"/>
      <c r="CJ1895" s="76">
        <f>+CI1895*26000</f>
        <v>0</v>
      </c>
      <c r="CK1895" s="76"/>
      <c r="CL1895" s="76"/>
      <c r="CM1895" s="76"/>
      <c r="CN1895" s="76">
        <f>+CM1895*22000</f>
        <v>0</v>
      </c>
      <c r="CO1895" s="76"/>
      <c r="CP1895" s="76">
        <f>+CO1895*46000</f>
        <v>0</v>
      </c>
      <c r="CQ1895" s="76"/>
      <c r="CR1895" s="76">
        <f>+CQ1895*49000</f>
        <v>0</v>
      </c>
      <c r="CS1895" s="76"/>
      <c r="CT1895" s="76"/>
      <c r="CU1895" s="56">
        <f>AN1895+AP1895+AR1895+AT1895+AV1895+AX1895+AZ1895+BB1895+BD1895+BF1895+BH1895+BJ1895+BL1895+BN1895+BP1895+BR1895+BT1895+BV1895+BX1895+BZ1895+CB1895+CD1895+CF1895+CH1895+CJ1895+CL1895+CN1895+CP1895+CR1895+CT1895</f>
        <v>0</v>
      </c>
      <c r="CV1895" s="76"/>
      <c r="CW1895" s="76">
        <f>+CV1895*1100</f>
        <v>0</v>
      </c>
      <c r="CX1895" s="76"/>
      <c r="CY1895" s="76">
        <f>+CX1895*106250</f>
        <v>0</v>
      </c>
      <c r="CZ1895" s="76"/>
      <c r="DA1895" s="76">
        <f>+CZ1895*34500</f>
        <v>0</v>
      </c>
      <c r="DB1895" s="76"/>
      <c r="DC1895" s="76">
        <f>+DB1895*25000</f>
        <v>0</v>
      </c>
      <c r="DD1895" s="219"/>
      <c r="DE1895" s="219"/>
      <c r="DF1895" s="166"/>
      <c r="DG1895" s="116"/>
      <c r="DH1895" s="117"/>
      <c r="DI1895" s="24"/>
      <c r="DJ1895" s="24"/>
      <c r="DK1895" s="24"/>
      <c r="DL1895" s="24"/>
      <c r="DM1895" s="24"/>
      <c r="DN1895" s="24"/>
      <c r="DO1895" s="24"/>
      <c r="DP1895" s="24"/>
      <c r="DQ1895" s="24"/>
      <c r="DR1895" s="24"/>
      <c r="DS1895" s="24"/>
      <c r="DT1895" s="24"/>
      <c r="DU1895" s="24"/>
    </row>
    <row r="1896" spans="1:125" s="8" customFormat="1" ht="72" x14ac:dyDescent="0.2">
      <c r="A1896" s="353">
        <v>41416</v>
      </c>
      <c r="B1896" s="225" t="s">
        <v>2851</v>
      </c>
      <c r="C1896" s="227" t="s">
        <v>2107</v>
      </c>
      <c r="D1896" s="227" t="s">
        <v>3051</v>
      </c>
      <c r="E1896" s="75" t="str">
        <f>VLOOKUP(B1896&amp;C1896,Divipola!$C$2:$F$1138,4,FALSE)</f>
        <v>76041</v>
      </c>
      <c r="F1896" s="87"/>
      <c r="G1896" s="87"/>
      <c r="H1896" s="87"/>
      <c r="I1896" s="87">
        <v>15</v>
      </c>
      <c r="J1896" s="87">
        <v>3</v>
      </c>
      <c r="K1896" s="87"/>
      <c r="L1896" s="87">
        <v>3</v>
      </c>
      <c r="M1896" s="87"/>
      <c r="N1896" s="87"/>
      <c r="O1896" s="87"/>
      <c r="P1896" s="87"/>
      <c r="Q1896" s="87"/>
      <c r="R1896" s="87"/>
      <c r="S1896" s="87"/>
      <c r="T1896" s="87"/>
      <c r="U1896" s="88"/>
      <c r="V1896" s="89"/>
      <c r="W1896" s="96">
        <v>0</v>
      </c>
      <c r="X1896" s="71">
        <f>CU1896</f>
        <v>0</v>
      </c>
      <c r="Y1896" s="71">
        <f>CY1896</f>
        <v>0</v>
      </c>
      <c r="Z1896" s="71">
        <f>DA1896+DC1896+DE1896</f>
        <v>0</v>
      </c>
      <c r="AA1896" s="71">
        <f>CW1896</f>
        <v>0</v>
      </c>
      <c r="AB1896" s="71"/>
      <c r="AC1896" s="71">
        <v>0</v>
      </c>
      <c r="AD1896" s="71">
        <f>W1896+X1896+Y1896+Z1896+AA1896+AB1896+AC1896</f>
        <v>0</v>
      </c>
      <c r="AE1896" s="72">
        <v>0</v>
      </c>
      <c r="AF1896" s="5"/>
      <c r="AG1896" s="6"/>
      <c r="AH1896" s="27" t="s">
        <v>3392</v>
      </c>
      <c r="AI1896" s="44" t="s">
        <v>3393</v>
      </c>
      <c r="AJ1896" s="26"/>
      <c r="AK1896" s="5"/>
      <c r="AL1896" s="82" t="s">
        <v>4702</v>
      </c>
      <c r="AM1896" s="76"/>
      <c r="AN1896" s="76"/>
      <c r="AO1896" s="76"/>
      <c r="AP1896" s="76"/>
      <c r="AQ1896" s="76"/>
      <c r="AR1896" s="76"/>
      <c r="AS1896" s="76"/>
      <c r="AT1896" s="76"/>
      <c r="AU1896" s="76"/>
      <c r="AV1896" s="76"/>
      <c r="AW1896" s="76"/>
      <c r="AX1896" s="76">
        <f>+AW1896*600000</f>
        <v>0</v>
      </c>
      <c r="AY1896" s="76"/>
      <c r="AZ1896" s="76">
        <f>+AY1896*70000</f>
        <v>0</v>
      </c>
      <c r="BA1896" s="76"/>
      <c r="BB1896" s="76"/>
      <c r="BC1896" s="76"/>
      <c r="BD1896" s="76">
        <f>+BC1896*30000</f>
        <v>0</v>
      </c>
      <c r="BE1896" s="76"/>
      <c r="BF1896" s="76"/>
      <c r="BG1896" s="76"/>
      <c r="BH1896" s="76"/>
      <c r="BI1896" s="76"/>
      <c r="BJ1896" s="76"/>
      <c r="BK1896" s="76"/>
      <c r="BL1896" s="76">
        <f>+BK1896*31500</f>
        <v>0</v>
      </c>
      <c r="BM1896" s="76"/>
      <c r="BN1896" s="76"/>
      <c r="BO1896" s="76"/>
      <c r="BP1896" s="76"/>
      <c r="BQ1896" s="76"/>
      <c r="BR1896" s="76"/>
      <c r="BS1896" s="76"/>
      <c r="BT1896" s="76"/>
      <c r="BU1896" s="76"/>
      <c r="BV1896" s="76"/>
      <c r="BW1896" s="76"/>
      <c r="BX1896" s="76"/>
      <c r="BY1896" s="76"/>
      <c r="BZ1896" s="76"/>
      <c r="CA1896" s="76"/>
      <c r="CB1896" s="76"/>
      <c r="CC1896" s="76"/>
      <c r="CD1896" s="76"/>
      <c r="CE1896" s="76"/>
      <c r="CF1896" s="76">
        <f>+CE1896*28000</f>
        <v>0</v>
      </c>
      <c r="CG1896" s="76"/>
      <c r="CH1896" s="76">
        <f>+CG1896*22500</f>
        <v>0</v>
      </c>
      <c r="CI1896" s="76"/>
      <c r="CJ1896" s="76">
        <f>+CI1896*26000</f>
        <v>0</v>
      </c>
      <c r="CK1896" s="76"/>
      <c r="CL1896" s="76"/>
      <c r="CM1896" s="76"/>
      <c r="CN1896" s="76">
        <f>+CM1896*22000</f>
        <v>0</v>
      </c>
      <c r="CO1896" s="76"/>
      <c r="CP1896" s="76">
        <f>+CO1896*46000</f>
        <v>0</v>
      </c>
      <c r="CQ1896" s="76"/>
      <c r="CR1896" s="76">
        <f>+CQ1896*49000</f>
        <v>0</v>
      </c>
      <c r="CS1896" s="76"/>
      <c r="CT1896" s="76"/>
      <c r="CU1896" s="56">
        <f>AN1896+AP1896+AR1896+AT1896+AV1896+AX1896+AZ1896+BB1896+BD1896+BF1896+BH1896+BJ1896+BL1896+BN1896+BP1896+BR1896+BT1896+BV1896+BX1896+BZ1896+CB1896+CD1896+CF1896+CH1896+CJ1896+CL1896+CN1896+CP1896+CR1896+CT1896</f>
        <v>0</v>
      </c>
      <c r="CV1896" s="76"/>
      <c r="CW1896" s="76">
        <f>+CV1896*1100</f>
        <v>0</v>
      </c>
      <c r="CX1896" s="76"/>
      <c r="CY1896" s="76">
        <f>+CX1896*106250</f>
        <v>0</v>
      </c>
      <c r="CZ1896" s="76"/>
      <c r="DA1896" s="76">
        <f>+CZ1896*34500</f>
        <v>0</v>
      </c>
      <c r="DB1896" s="76"/>
      <c r="DC1896" s="76">
        <f>+DB1896*25000</f>
        <v>0</v>
      </c>
      <c r="DD1896" s="219"/>
      <c r="DE1896" s="219"/>
      <c r="DF1896" s="166"/>
      <c r="DG1896" s="116"/>
      <c r="DH1896" s="117"/>
      <c r="DI1896" s="24"/>
      <c r="DJ1896" s="24"/>
      <c r="DK1896" s="24"/>
      <c r="DL1896" s="24"/>
      <c r="DM1896" s="24"/>
      <c r="DN1896" s="24"/>
      <c r="DO1896" s="24"/>
      <c r="DP1896" s="24"/>
      <c r="DQ1896" s="24"/>
      <c r="DR1896" s="24"/>
      <c r="DS1896" s="24"/>
      <c r="DT1896" s="24"/>
      <c r="DU1896" s="24"/>
    </row>
    <row r="1897" spans="1:125" s="8" customFormat="1" ht="96" x14ac:dyDescent="0.2">
      <c r="A1897" s="353">
        <v>41416</v>
      </c>
      <c r="B1897" s="352" t="s">
        <v>2851</v>
      </c>
      <c r="C1897" s="354" t="s">
        <v>2754</v>
      </c>
      <c r="D1897" s="354" t="s">
        <v>4538</v>
      </c>
      <c r="E1897" s="75" t="str">
        <f>VLOOKUP(B1897&amp;C1897,Divipola!$C$2:$F$1138,4,FALSE)</f>
        <v>76109</v>
      </c>
      <c r="F1897" s="87"/>
      <c r="G1897" s="87"/>
      <c r="H1897" s="87"/>
      <c r="I1897" s="87">
        <v>25</v>
      </c>
      <c r="J1897" s="87">
        <v>5</v>
      </c>
      <c r="K1897" s="87">
        <v>5</v>
      </c>
      <c r="L1897" s="87"/>
      <c r="M1897" s="87"/>
      <c r="N1897" s="87"/>
      <c r="O1897" s="87"/>
      <c r="P1897" s="87"/>
      <c r="Q1897" s="87"/>
      <c r="R1897" s="87"/>
      <c r="S1897" s="87"/>
      <c r="T1897" s="87"/>
      <c r="U1897" s="88"/>
      <c r="V1897" s="89"/>
      <c r="W1897" s="96">
        <v>0</v>
      </c>
      <c r="X1897" s="71">
        <f>CU1897</f>
        <v>0</v>
      </c>
      <c r="Y1897" s="71">
        <f>CY1897</f>
        <v>0</v>
      </c>
      <c r="Z1897" s="71">
        <f>DA1897+DC1897+DE1897</f>
        <v>0</v>
      </c>
      <c r="AA1897" s="71">
        <f>CW1897</f>
        <v>0</v>
      </c>
      <c r="AB1897" s="71"/>
      <c r="AC1897" s="71">
        <v>0</v>
      </c>
      <c r="AD1897" s="71">
        <f>W1897+X1897+Y1897+Z1897+AA1897+AB1897+AC1897</f>
        <v>0</v>
      </c>
      <c r="AE1897" s="72">
        <v>0</v>
      </c>
      <c r="AF1897" s="5"/>
      <c r="AG1897" s="6"/>
      <c r="AH1897" s="27" t="s">
        <v>3392</v>
      </c>
      <c r="AI1897" s="44" t="s">
        <v>3393</v>
      </c>
      <c r="AJ1897" s="26"/>
      <c r="AK1897" s="5"/>
      <c r="AL1897" s="82" t="s">
        <v>4710</v>
      </c>
      <c r="AM1897" s="76"/>
      <c r="AN1897" s="76"/>
      <c r="AO1897" s="76"/>
      <c r="AP1897" s="76"/>
      <c r="AQ1897" s="76"/>
      <c r="AR1897" s="76"/>
      <c r="AS1897" s="76"/>
      <c r="AT1897" s="76"/>
      <c r="AU1897" s="76"/>
      <c r="AV1897" s="76"/>
      <c r="AW1897" s="76"/>
      <c r="AX1897" s="76">
        <f>+AW1897*600000</f>
        <v>0</v>
      </c>
      <c r="AY1897" s="76"/>
      <c r="AZ1897" s="76">
        <f>+AY1897*70000</f>
        <v>0</v>
      </c>
      <c r="BA1897" s="76"/>
      <c r="BB1897" s="76"/>
      <c r="BC1897" s="76"/>
      <c r="BD1897" s="76">
        <f>+BC1897*30000</f>
        <v>0</v>
      </c>
      <c r="BE1897" s="76"/>
      <c r="BF1897" s="76"/>
      <c r="BG1897" s="76"/>
      <c r="BH1897" s="76"/>
      <c r="BI1897" s="76"/>
      <c r="BJ1897" s="76"/>
      <c r="BK1897" s="76"/>
      <c r="BL1897" s="76">
        <f>+BK1897*31500</f>
        <v>0</v>
      </c>
      <c r="BM1897" s="76"/>
      <c r="BN1897" s="76"/>
      <c r="BO1897" s="76"/>
      <c r="BP1897" s="76"/>
      <c r="BQ1897" s="76"/>
      <c r="BR1897" s="76"/>
      <c r="BS1897" s="76"/>
      <c r="BT1897" s="76"/>
      <c r="BU1897" s="76"/>
      <c r="BV1897" s="76"/>
      <c r="BW1897" s="76"/>
      <c r="BX1897" s="76"/>
      <c r="BY1897" s="76"/>
      <c r="BZ1897" s="76"/>
      <c r="CA1897" s="76"/>
      <c r="CB1897" s="76"/>
      <c r="CC1897" s="76"/>
      <c r="CD1897" s="76"/>
      <c r="CE1897" s="76"/>
      <c r="CF1897" s="76">
        <f>+CE1897*28000</f>
        <v>0</v>
      </c>
      <c r="CG1897" s="76"/>
      <c r="CH1897" s="76">
        <f>+CG1897*22500</f>
        <v>0</v>
      </c>
      <c r="CI1897" s="76"/>
      <c r="CJ1897" s="76">
        <f>+CI1897*26000</f>
        <v>0</v>
      </c>
      <c r="CK1897" s="76"/>
      <c r="CL1897" s="76"/>
      <c r="CM1897" s="76"/>
      <c r="CN1897" s="76">
        <f>+CM1897*22000</f>
        <v>0</v>
      </c>
      <c r="CO1897" s="76"/>
      <c r="CP1897" s="76">
        <f>+CO1897*46000</f>
        <v>0</v>
      </c>
      <c r="CQ1897" s="76"/>
      <c r="CR1897" s="76">
        <f>+CQ1897*49000</f>
        <v>0</v>
      </c>
      <c r="CS1897" s="76"/>
      <c r="CT1897" s="76"/>
      <c r="CU1897" s="56">
        <f>AN1897+AP1897+AR1897+AT1897+AV1897+AX1897+AZ1897+BB1897+BD1897+BF1897+BH1897+BJ1897+BL1897+BN1897+BP1897+BR1897+BT1897+BV1897+BX1897+BZ1897+CB1897+CD1897+CF1897+CH1897+CJ1897+CL1897+CN1897+CP1897+CR1897+CT1897</f>
        <v>0</v>
      </c>
      <c r="CV1897" s="76"/>
      <c r="CW1897" s="76">
        <f>+CV1897*1100</f>
        <v>0</v>
      </c>
      <c r="CX1897" s="76"/>
      <c r="CY1897" s="76">
        <f>+CX1897*106250</f>
        <v>0</v>
      </c>
      <c r="CZ1897" s="76"/>
      <c r="DA1897" s="76">
        <f>+CZ1897*34500</f>
        <v>0</v>
      </c>
      <c r="DB1897" s="76"/>
      <c r="DC1897" s="76">
        <f>+DB1897*25000</f>
        <v>0</v>
      </c>
      <c r="DD1897" s="219"/>
      <c r="DE1897" s="219"/>
      <c r="DF1897" s="166"/>
      <c r="DG1897" s="116"/>
      <c r="DH1897" s="117"/>
      <c r="DI1897" s="24"/>
      <c r="DJ1897" s="24"/>
      <c r="DK1897" s="24"/>
      <c r="DL1897" s="24"/>
      <c r="DM1897" s="24"/>
      <c r="DN1897" s="24"/>
      <c r="DO1897" s="24"/>
      <c r="DP1897" s="24"/>
      <c r="DQ1897" s="24"/>
      <c r="DR1897" s="24"/>
      <c r="DS1897" s="24"/>
      <c r="DT1897" s="24"/>
      <c r="DU1897" s="24"/>
    </row>
    <row r="1898" spans="1:125" s="8" customFormat="1" ht="96" x14ac:dyDescent="0.2">
      <c r="A1898" s="77">
        <v>41416</v>
      </c>
      <c r="B1898" s="78" t="s">
        <v>2851</v>
      </c>
      <c r="C1898" s="75" t="s">
        <v>2667</v>
      </c>
      <c r="D1898" s="75" t="s">
        <v>3051</v>
      </c>
      <c r="E1898" s="75" t="str">
        <f>VLOOKUP(B1898&amp;C1898,Divipola!$C$2:$F$1138,4,FALSE)</f>
        <v>76364</v>
      </c>
      <c r="F1898" s="87"/>
      <c r="G1898" s="87"/>
      <c r="H1898" s="87"/>
      <c r="I1898" s="87"/>
      <c r="J1898" s="87"/>
      <c r="K1898" s="87"/>
      <c r="L1898" s="87"/>
      <c r="M1898" s="87"/>
      <c r="N1898" s="87"/>
      <c r="O1898" s="87"/>
      <c r="P1898" s="87"/>
      <c r="Q1898" s="87"/>
      <c r="R1898" s="87"/>
      <c r="S1898" s="87"/>
      <c r="T1898" s="87"/>
      <c r="U1898" s="88"/>
      <c r="V1898" s="89"/>
      <c r="W1898" s="96">
        <v>0</v>
      </c>
      <c r="X1898" s="71">
        <f>CU1898</f>
        <v>0</v>
      </c>
      <c r="Y1898" s="71">
        <f>CY1898</f>
        <v>0</v>
      </c>
      <c r="Z1898" s="71">
        <f>DA1898+DC1898+DE1898</f>
        <v>0</v>
      </c>
      <c r="AA1898" s="71">
        <f>CW1898</f>
        <v>0</v>
      </c>
      <c r="AB1898" s="71"/>
      <c r="AC1898" s="71">
        <v>0</v>
      </c>
      <c r="AD1898" s="71">
        <f>W1898+X1898+Y1898+Z1898+AA1898+AB1898+AC1898</f>
        <v>0</v>
      </c>
      <c r="AE1898" s="72">
        <v>0</v>
      </c>
      <c r="AF1898" s="5"/>
      <c r="AG1898" s="6"/>
      <c r="AH1898" s="27" t="s">
        <v>3392</v>
      </c>
      <c r="AI1898" s="44" t="s">
        <v>3393</v>
      </c>
      <c r="AJ1898" s="26"/>
      <c r="AK1898" s="5"/>
      <c r="AL1898" s="82" t="s">
        <v>4703</v>
      </c>
      <c r="AM1898" s="76"/>
      <c r="AN1898" s="76"/>
      <c r="AO1898" s="76"/>
      <c r="AP1898" s="76"/>
      <c r="AQ1898" s="76"/>
      <c r="AR1898" s="76"/>
      <c r="AS1898" s="76"/>
      <c r="AT1898" s="76"/>
      <c r="AU1898" s="76"/>
      <c r="AV1898" s="76"/>
      <c r="AW1898" s="76"/>
      <c r="AX1898" s="76">
        <f>+AW1898*600000</f>
        <v>0</v>
      </c>
      <c r="AY1898" s="76"/>
      <c r="AZ1898" s="76">
        <f>+AY1898*70000</f>
        <v>0</v>
      </c>
      <c r="BA1898" s="76"/>
      <c r="BB1898" s="76"/>
      <c r="BC1898" s="76"/>
      <c r="BD1898" s="76">
        <f>+BC1898*30000</f>
        <v>0</v>
      </c>
      <c r="BE1898" s="76"/>
      <c r="BF1898" s="76"/>
      <c r="BG1898" s="76"/>
      <c r="BH1898" s="76"/>
      <c r="BI1898" s="76"/>
      <c r="BJ1898" s="76"/>
      <c r="BK1898" s="76"/>
      <c r="BL1898" s="76">
        <f>+BK1898*31500</f>
        <v>0</v>
      </c>
      <c r="BM1898" s="76"/>
      <c r="BN1898" s="76"/>
      <c r="BO1898" s="76"/>
      <c r="BP1898" s="76"/>
      <c r="BQ1898" s="76"/>
      <c r="BR1898" s="76"/>
      <c r="BS1898" s="76"/>
      <c r="BT1898" s="76"/>
      <c r="BU1898" s="76"/>
      <c r="BV1898" s="76"/>
      <c r="BW1898" s="76"/>
      <c r="BX1898" s="76"/>
      <c r="BY1898" s="76"/>
      <c r="BZ1898" s="76"/>
      <c r="CA1898" s="76"/>
      <c r="CB1898" s="76"/>
      <c r="CC1898" s="76"/>
      <c r="CD1898" s="76"/>
      <c r="CE1898" s="76"/>
      <c r="CF1898" s="76">
        <f>+CE1898*28000</f>
        <v>0</v>
      </c>
      <c r="CG1898" s="76"/>
      <c r="CH1898" s="76">
        <f>+CG1898*22500</f>
        <v>0</v>
      </c>
      <c r="CI1898" s="76"/>
      <c r="CJ1898" s="76">
        <f>+CI1898*26000</f>
        <v>0</v>
      </c>
      <c r="CK1898" s="76"/>
      <c r="CL1898" s="76"/>
      <c r="CM1898" s="76"/>
      <c r="CN1898" s="76">
        <f>+CM1898*22000</f>
        <v>0</v>
      </c>
      <c r="CO1898" s="76"/>
      <c r="CP1898" s="76">
        <f>+CO1898*46000</f>
        <v>0</v>
      </c>
      <c r="CQ1898" s="76"/>
      <c r="CR1898" s="76">
        <f>+CQ1898*49000</f>
        <v>0</v>
      </c>
      <c r="CS1898" s="76"/>
      <c r="CT1898" s="76"/>
      <c r="CU1898" s="56">
        <f>AN1898+AP1898+AR1898+AT1898+AV1898+AX1898+AZ1898+BB1898+BD1898+BF1898+BH1898+BJ1898+BL1898+BN1898+BP1898+BR1898+BT1898+BV1898+BX1898+BZ1898+CB1898+CD1898+CF1898+CH1898+CJ1898+CL1898+CN1898+CP1898+CR1898+CT1898</f>
        <v>0</v>
      </c>
      <c r="CV1898" s="76"/>
      <c r="CW1898" s="76">
        <f>+CV1898*1100</f>
        <v>0</v>
      </c>
      <c r="CX1898" s="76"/>
      <c r="CY1898" s="76">
        <f>+CX1898*106250</f>
        <v>0</v>
      </c>
      <c r="CZ1898" s="76"/>
      <c r="DA1898" s="76">
        <f>+CZ1898*34500</f>
        <v>0</v>
      </c>
      <c r="DB1898" s="76"/>
      <c r="DC1898" s="76">
        <f>+DB1898*25000</f>
        <v>0</v>
      </c>
      <c r="DD1898" s="219"/>
      <c r="DE1898" s="219"/>
      <c r="DF1898" s="166"/>
      <c r="DG1898" s="116"/>
      <c r="DH1898" s="117"/>
      <c r="DI1898" s="24"/>
      <c r="DJ1898" s="24"/>
      <c r="DK1898" s="24"/>
      <c r="DL1898" s="24"/>
      <c r="DM1898" s="24"/>
      <c r="DN1898" s="24"/>
      <c r="DO1898" s="24"/>
      <c r="DP1898" s="24"/>
      <c r="DQ1898" s="24"/>
      <c r="DR1898" s="24"/>
      <c r="DS1898" s="24"/>
      <c r="DT1898" s="24"/>
      <c r="DU1898" s="24"/>
    </row>
    <row r="1899" spans="1:125" s="8" customFormat="1" ht="72" x14ac:dyDescent="0.2">
      <c r="A1899" s="77">
        <v>41416</v>
      </c>
      <c r="B1899" s="225" t="s">
        <v>2851</v>
      </c>
      <c r="C1899" s="227" t="s">
        <v>1366</v>
      </c>
      <c r="D1899" s="227" t="s">
        <v>3051</v>
      </c>
      <c r="E1899" s="75" t="str">
        <f>VLOOKUP(B1899&amp;C1899,Divipola!$C$2:$F$1138,4,FALSE)</f>
        <v>76622</v>
      </c>
      <c r="F1899" s="87"/>
      <c r="G1899" s="87"/>
      <c r="H1899" s="87"/>
      <c r="I1899" s="87"/>
      <c r="J1899" s="87"/>
      <c r="K1899" s="87"/>
      <c r="L1899" s="87"/>
      <c r="M1899" s="87"/>
      <c r="N1899" s="87"/>
      <c r="O1899" s="87"/>
      <c r="P1899" s="87"/>
      <c r="Q1899" s="87">
        <v>1</v>
      </c>
      <c r="R1899" s="87"/>
      <c r="S1899" s="87"/>
      <c r="T1899" s="87"/>
      <c r="U1899" s="88"/>
      <c r="V1899" s="89"/>
      <c r="W1899" s="96">
        <v>0</v>
      </c>
      <c r="X1899" s="71">
        <f>CU1899</f>
        <v>0</v>
      </c>
      <c r="Y1899" s="71">
        <f>CY1899</f>
        <v>0</v>
      </c>
      <c r="Z1899" s="71">
        <f>DA1899+DC1899+DE1899</f>
        <v>0</v>
      </c>
      <c r="AA1899" s="71">
        <f>CW1899</f>
        <v>0</v>
      </c>
      <c r="AB1899" s="71"/>
      <c r="AC1899" s="71">
        <v>0</v>
      </c>
      <c r="AD1899" s="71">
        <f>W1899+X1899+Y1899+Z1899+AA1899+AB1899+AC1899</f>
        <v>0</v>
      </c>
      <c r="AE1899" s="72">
        <v>0</v>
      </c>
      <c r="AF1899" s="5"/>
      <c r="AG1899" s="6"/>
      <c r="AH1899" s="27" t="s">
        <v>3392</v>
      </c>
      <c r="AI1899" s="44" t="s">
        <v>3393</v>
      </c>
      <c r="AJ1899" s="26"/>
      <c r="AK1899" s="5"/>
      <c r="AL1899" s="82" t="s">
        <v>4715</v>
      </c>
      <c r="AM1899" s="76"/>
      <c r="AN1899" s="76"/>
      <c r="AO1899" s="76"/>
      <c r="AP1899" s="76"/>
      <c r="AQ1899" s="76"/>
      <c r="AR1899" s="76"/>
      <c r="AS1899" s="76"/>
      <c r="AT1899" s="76"/>
      <c r="AU1899" s="76"/>
      <c r="AV1899" s="76"/>
      <c r="AW1899" s="76"/>
      <c r="AX1899" s="76">
        <f>+AW1899*600000</f>
        <v>0</v>
      </c>
      <c r="AY1899" s="76"/>
      <c r="AZ1899" s="76">
        <f>+AY1899*70000</f>
        <v>0</v>
      </c>
      <c r="BA1899" s="76"/>
      <c r="BB1899" s="76"/>
      <c r="BC1899" s="76"/>
      <c r="BD1899" s="76">
        <f>+BC1899*30000</f>
        <v>0</v>
      </c>
      <c r="BE1899" s="76"/>
      <c r="BF1899" s="76"/>
      <c r="BG1899" s="76"/>
      <c r="BH1899" s="76"/>
      <c r="BI1899" s="76"/>
      <c r="BJ1899" s="76"/>
      <c r="BK1899" s="76"/>
      <c r="BL1899" s="76">
        <f>+BK1899*31500</f>
        <v>0</v>
      </c>
      <c r="BM1899" s="76"/>
      <c r="BN1899" s="76"/>
      <c r="BO1899" s="76"/>
      <c r="BP1899" s="76"/>
      <c r="BQ1899" s="76"/>
      <c r="BR1899" s="76"/>
      <c r="BS1899" s="76"/>
      <c r="BT1899" s="76"/>
      <c r="BU1899" s="76"/>
      <c r="BV1899" s="76"/>
      <c r="BW1899" s="76"/>
      <c r="BX1899" s="76"/>
      <c r="BY1899" s="76"/>
      <c r="BZ1899" s="76"/>
      <c r="CA1899" s="76"/>
      <c r="CB1899" s="76"/>
      <c r="CC1899" s="76"/>
      <c r="CD1899" s="76"/>
      <c r="CE1899" s="76"/>
      <c r="CF1899" s="76">
        <f>+CE1899*28000</f>
        <v>0</v>
      </c>
      <c r="CG1899" s="76"/>
      <c r="CH1899" s="76">
        <f>+CG1899*22500</f>
        <v>0</v>
      </c>
      <c r="CI1899" s="76"/>
      <c r="CJ1899" s="76">
        <f>+CI1899*26000</f>
        <v>0</v>
      </c>
      <c r="CK1899" s="76"/>
      <c r="CL1899" s="76"/>
      <c r="CM1899" s="76"/>
      <c r="CN1899" s="76">
        <f>+CM1899*22000</f>
        <v>0</v>
      </c>
      <c r="CO1899" s="76"/>
      <c r="CP1899" s="76">
        <f>+CO1899*46000</f>
        <v>0</v>
      </c>
      <c r="CQ1899" s="76"/>
      <c r="CR1899" s="76">
        <f>+CQ1899*49000</f>
        <v>0</v>
      </c>
      <c r="CS1899" s="76"/>
      <c r="CT1899" s="76"/>
      <c r="CU1899" s="56">
        <f>AN1899+AP1899+AR1899+AT1899+AV1899+AX1899+AZ1899+BB1899+BD1899+BF1899+BH1899+BJ1899+BL1899+BN1899+BP1899+BR1899+BT1899+BV1899+BX1899+BZ1899+CB1899+CD1899+CF1899+CH1899+CJ1899+CL1899+CN1899+CP1899+CR1899+CT1899</f>
        <v>0</v>
      </c>
      <c r="CV1899" s="76"/>
      <c r="CW1899" s="76">
        <f>+CV1899*1100</f>
        <v>0</v>
      </c>
      <c r="CX1899" s="76"/>
      <c r="CY1899" s="76">
        <f>+CX1899*106250</f>
        <v>0</v>
      </c>
      <c r="CZ1899" s="76"/>
      <c r="DA1899" s="76">
        <f>+CZ1899*34500</f>
        <v>0</v>
      </c>
      <c r="DB1899" s="76"/>
      <c r="DC1899" s="76">
        <f>+DB1899*25000</f>
        <v>0</v>
      </c>
      <c r="DD1899" s="219"/>
      <c r="DE1899" s="219"/>
      <c r="DF1899" s="166"/>
      <c r="DG1899" s="116"/>
      <c r="DH1899" s="117"/>
      <c r="DI1899" s="24"/>
      <c r="DJ1899" s="24"/>
      <c r="DK1899" s="24"/>
      <c r="DL1899" s="24"/>
      <c r="DM1899" s="24"/>
      <c r="DN1899" s="24"/>
      <c r="DO1899" s="24"/>
      <c r="DP1899" s="24"/>
      <c r="DQ1899" s="24"/>
      <c r="DR1899" s="24"/>
      <c r="DS1899" s="24"/>
      <c r="DT1899" s="24"/>
      <c r="DU1899" s="24"/>
    </row>
    <row r="1900" spans="1:125" s="8" customFormat="1" ht="144" x14ac:dyDescent="0.2">
      <c r="A1900" s="353">
        <v>41416</v>
      </c>
      <c r="B1900" s="352" t="s">
        <v>2851</v>
      </c>
      <c r="C1900" s="354" t="s">
        <v>2135</v>
      </c>
      <c r="D1900" s="354" t="s">
        <v>3051</v>
      </c>
      <c r="E1900" s="75" t="str">
        <f>VLOOKUP(B1900&amp;C1900,Divipola!$C$2:$F$1138,4,FALSE)</f>
        <v>76834</v>
      </c>
      <c r="F1900" s="87"/>
      <c r="G1900" s="87"/>
      <c r="H1900" s="87"/>
      <c r="I1900" s="87">
        <v>20</v>
      </c>
      <c r="J1900" s="87">
        <v>4</v>
      </c>
      <c r="K1900" s="87"/>
      <c r="L1900" s="87">
        <v>4</v>
      </c>
      <c r="M1900" s="87"/>
      <c r="N1900" s="87"/>
      <c r="O1900" s="87"/>
      <c r="P1900" s="87"/>
      <c r="Q1900" s="87"/>
      <c r="R1900" s="87"/>
      <c r="S1900" s="87"/>
      <c r="T1900" s="87"/>
      <c r="U1900" s="88"/>
      <c r="V1900" s="89"/>
      <c r="W1900" s="96">
        <v>0</v>
      </c>
      <c r="X1900" s="71">
        <f>CU1900</f>
        <v>0</v>
      </c>
      <c r="Y1900" s="71">
        <f>CY1900</f>
        <v>0</v>
      </c>
      <c r="Z1900" s="71">
        <f>DA1900+DC1900+DE1900</f>
        <v>0</v>
      </c>
      <c r="AA1900" s="71">
        <f>CW1900</f>
        <v>0</v>
      </c>
      <c r="AB1900" s="71"/>
      <c r="AC1900" s="71">
        <v>0</v>
      </c>
      <c r="AD1900" s="71">
        <f>W1900+X1900+Y1900+Z1900+AA1900+AB1900+AC1900</f>
        <v>0</v>
      </c>
      <c r="AE1900" s="72">
        <v>0</v>
      </c>
      <c r="AF1900" s="5"/>
      <c r="AG1900" s="6"/>
      <c r="AH1900" s="27" t="s">
        <v>3392</v>
      </c>
      <c r="AI1900" s="44" t="s">
        <v>3393</v>
      </c>
      <c r="AJ1900" s="26"/>
      <c r="AK1900" s="5"/>
      <c r="AL1900" s="82" t="s">
        <v>4701</v>
      </c>
      <c r="AM1900" s="76"/>
      <c r="AN1900" s="76"/>
      <c r="AO1900" s="76"/>
      <c r="AP1900" s="76"/>
      <c r="AQ1900" s="76"/>
      <c r="AR1900" s="76"/>
      <c r="AS1900" s="76"/>
      <c r="AT1900" s="76"/>
      <c r="AU1900" s="76"/>
      <c r="AV1900" s="76"/>
      <c r="AW1900" s="76"/>
      <c r="AX1900" s="76">
        <f>+AW1900*600000</f>
        <v>0</v>
      </c>
      <c r="AY1900" s="76"/>
      <c r="AZ1900" s="76">
        <f>+AY1900*70000</f>
        <v>0</v>
      </c>
      <c r="BA1900" s="76"/>
      <c r="BB1900" s="76"/>
      <c r="BC1900" s="76"/>
      <c r="BD1900" s="76">
        <f>+BC1900*30000</f>
        <v>0</v>
      </c>
      <c r="BE1900" s="76"/>
      <c r="BF1900" s="76"/>
      <c r="BG1900" s="76"/>
      <c r="BH1900" s="76"/>
      <c r="BI1900" s="76"/>
      <c r="BJ1900" s="76"/>
      <c r="BK1900" s="76"/>
      <c r="BL1900" s="76">
        <f>+BK1900*31500</f>
        <v>0</v>
      </c>
      <c r="BM1900" s="76"/>
      <c r="BN1900" s="76"/>
      <c r="BO1900" s="76"/>
      <c r="BP1900" s="76"/>
      <c r="BQ1900" s="76"/>
      <c r="BR1900" s="76"/>
      <c r="BS1900" s="76"/>
      <c r="BT1900" s="76"/>
      <c r="BU1900" s="76"/>
      <c r="BV1900" s="76"/>
      <c r="BW1900" s="76"/>
      <c r="BX1900" s="76"/>
      <c r="BY1900" s="76"/>
      <c r="BZ1900" s="76"/>
      <c r="CA1900" s="76"/>
      <c r="CB1900" s="76"/>
      <c r="CC1900" s="76"/>
      <c r="CD1900" s="76"/>
      <c r="CE1900" s="76"/>
      <c r="CF1900" s="76">
        <f>+CE1900*28000</f>
        <v>0</v>
      </c>
      <c r="CG1900" s="76"/>
      <c r="CH1900" s="76">
        <f>+CG1900*22500</f>
        <v>0</v>
      </c>
      <c r="CI1900" s="76"/>
      <c r="CJ1900" s="76">
        <f>+CI1900*26000</f>
        <v>0</v>
      </c>
      <c r="CK1900" s="76"/>
      <c r="CL1900" s="76"/>
      <c r="CM1900" s="76"/>
      <c r="CN1900" s="76">
        <f>+CM1900*22000</f>
        <v>0</v>
      </c>
      <c r="CO1900" s="76"/>
      <c r="CP1900" s="76">
        <f>+CO1900*46000</f>
        <v>0</v>
      </c>
      <c r="CQ1900" s="76"/>
      <c r="CR1900" s="76">
        <f>+CQ1900*49000</f>
        <v>0</v>
      </c>
      <c r="CS1900" s="76"/>
      <c r="CT1900" s="76"/>
      <c r="CU1900" s="56">
        <f>AN1900+AP1900+AR1900+AT1900+AV1900+AX1900+AZ1900+BB1900+BD1900+BF1900+BH1900+BJ1900+BL1900+BN1900+BP1900+BR1900+BT1900+BV1900+BX1900+BZ1900+CB1900+CD1900+CF1900+CH1900+CJ1900+CL1900+CN1900+CP1900+CR1900+CT1900</f>
        <v>0</v>
      </c>
      <c r="CV1900" s="76"/>
      <c r="CW1900" s="76">
        <f>+CV1900*1100</f>
        <v>0</v>
      </c>
      <c r="CX1900" s="76"/>
      <c r="CY1900" s="76">
        <f>+CX1900*106250</f>
        <v>0</v>
      </c>
      <c r="CZ1900" s="76"/>
      <c r="DA1900" s="76">
        <f>+CZ1900*34500</f>
        <v>0</v>
      </c>
      <c r="DB1900" s="76"/>
      <c r="DC1900" s="76">
        <f>+DB1900*25000</f>
        <v>0</v>
      </c>
      <c r="DD1900" s="219"/>
      <c r="DE1900" s="219"/>
      <c r="DF1900" s="166"/>
      <c r="DG1900" s="116"/>
      <c r="DH1900" s="117"/>
      <c r="DI1900" s="24"/>
      <c r="DJ1900" s="24"/>
      <c r="DK1900" s="24"/>
      <c r="DL1900" s="24"/>
      <c r="DM1900" s="24"/>
      <c r="DN1900" s="24"/>
      <c r="DO1900" s="24"/>
      <c r="DP1900" s="24"/>
      <c r="DQ1900" s="24"/>
      <c r="DR1900" s="24"/>
      <c r="DS1900" s="24"/>
      <c r="DT1900" s="24"/>
      <c r="DU1900" s="24"/>
    </row>
    <row r="1901" spans="1:125" s="8" customFormat="1" ht="120" x14ac:dyDescent="0.2">
      <c r="A1901" s="353">
        <v>41417</v>
      </c>
      <c r="B1901" s="352" t="s">
        <v>2894</v>
      </c>
      <c r="C1901" s="354" t="s">
        <v>2810</v>
      </c>
      <c r="D1901" s="354" t="s">
        <v>3088</v>
      </c>
      <c r="E1901" s="75" t="str">
        <f>VLOOKUP(B1901&amp;C1901,Divipola!$C$2:$F$1138,4,FALSE)</f>
        <v>05282</v>
      </c>
      <c r="F1901" s="87"/>
      <c r="G1901" s="87"/>
      <c r="H1901" s="87"/>
      <c r="I1901" s="87">
        <v>5</v>
      </c>
      <c r="J1901" s="87">
        <v>1</v>
      </c>
      <c r="K1901" s="87"/>
      <c r="L1901" s="87">
        <v>1</v>
      </c>
      <c r="M1901" s="87">
        <v>2</v>
      </c>
      <c r="N1901" s="87">
        <v>1</v>
      </c>
      <c r="O1901" s="87"/>
      <c r="P1901" s="87"/>
      <c r="Q1901" s="87"/>
      <c r="R1901" s="87"/>
      <c r="S1901" s="87"/>
      <c r="T1901" s="87"/>
      <c r="U1901" s="88"/>
      <c r="V1901" s="89"/>
      <c r="W1901" s="96">
        <v>0</v>
      </c>
      <c r="X1901" s="71">
        <f>CU1901</f>
        <v>0</v>
      </c>
      <c r="Y1901" s="71">
        <f>CY1901</f>
        <v>0</v>
      </c>
      <c r="Z1901" s="71">
        <f>DA1901+DC1901+DE1901</f>
        <v>0</v>
      </c>
      <c r="AA1901" s="71">
        <f>CW1901</f>
        <v>0</v>
      </c>
      <c r="AB1901" s="71"/>
      <c r="AC1901" s="71">
        <v>0</v>
      </c>
      <c r="AD1901" s="71">
        <f>W1901+X1901+Y1901+Z1901+AA1901+AB1901+AC1901</f>
        <v>0</v>
      </c>
      <c r="AE1901" s="72">
        <v>0</v>
      </c>
      <c r="AF1901" s="5"/>
      <c r="AG1901" s="6"/>
      <c r="AH1901" s="27" t="s">
        <v>3392</v>
      </c>
      <c r="AI1901" s="44" t="s">
        <v>3393</v>
      </c>
      <c r="AJ1901" s="26"/>
      <c r="AK1901" s="5"/>
      <c r="AL1901" s="82" t="s">
        <v>4722</v>
      </c>
      <c r="AM1901" s="76"/>
      <c r="AN1901" s="76"/>
      <c r="AO1901" s="76"/>
      <c r="AP1901" s="76"/>
      <c r="AQ1901" s="76"/>
      <c r="AR1901" s="76"/>
      <c r="AS1901" s="76"/>
      <c r="AT1901" s="76"/>
      <c r="AU1901" s="76"/>
      <c r="AV1901" s="76"/>
      <c r="AW1901" s="76"/>
      <c r="AX1901" s="76">
        <f>+AW1901*600000</f>
        <v>0</v>
      </c>
      <c r="AY1901" s="76"/>
      <c r="AZ1901" s="76">
        <f>+AY1901*70000</f>
        <v>0</v>
      </c>
      <c r="BA1901" s="76"/>
      <c r="BB1901" s="76"/>
      <c r="BC1901" s="76"/>
      <c r="BD1901" s="76">
        <f>+BC1901*30000</f>
        <v>0</v>
      </c>
      <c r="BE1901" s="76"/>
      <c r="BF1901" s="76"/>
      <c r="BG1901" s="76"/>
      <c r="BH1901" s="76"/>
      <c r="BI1901" s="76"/>
      <c r="BJ1901" s="76"/>
      <c r="BK1901" s="76"/>
      <c r="BL1901" s="76">
        <f>+BK1901*31500</f>
        <v>0</v>
      </c>
      <c r="BM1901" s="76"/>
      <c r="BN1901" s="76"/>
      <c r="BO1901" s="76"/>
      <c r="BP1901" s="76"/>
      <c r="BQ1901" s="76"/>
      <c r="BR1901" s="76"/>
      <c r="BS1901" s="76"/>
      <c r="BT1901" s="76"/>
      <c r="BU1901" s="76"/>
      <c r="BV1901" s="76"/>
      <c r="BW1901" s="76"/>
      <c r="BX1901" s="76"/>
      <c r="BY1901" s="76"/>
      <c r="BZ1901" s="76"/>
      <c r="CA1901" s="76"/>
      <c r="CB1901" s="76"/>
      <c r="CC1901" s="76"/>
      <c r="CD1901" s="76"/>
      <c r="CE1901" s="76"/>
      <c r="CF1901" s="76">
        <f>+CE1901*28000</f>
        <v>0</v>
      </c>
      <c r="CG1901" s="76"/>
      <c r="CH1901" s="76">
        <f>+CG1901*22500</f>
        <v>0</v>
      </c>
      <c r="CI1901" s="76"/>
      <c r="CJ1901" s="76">
        <f>+CI1901*26000</f>
        <v>0</v>
      </c>
      <c r="CK1901" s="76"/>
      <c r="CL1901" s="76"/>
      <c r="CM1901" s="76"/>
      <c r="CN1901" s="76">
        <f>+CM1901*22000</f>
        <v>0</v>
      </c>
      <c r="CO1901" s="76"/>
      <c r="CP1901" s="76">
        <f>+CO1901*46000</f>
        <v>0</v>
      </c>
      <c r="CQ1901" s="76"/>
      <c r="CR1901" s="76">
        <f>+CQ1901*49000</f>
        <v>0</v>
      </c>
      <c r="CS1901" s="76"/>
      <c r="CT1901" s="76"/>
      <c r="CU1901" s="56">
        <f>AN1901+AP1901+AR1901+AT1901+AV1901+AX1901+AZ1901+BB1901+BD1901+BF1901+BH1901+BJ1901+BL1901+BN1901+BP1901+BR1901+BT1901+BV1901+BX1901+BZ1901+CB1901+CD1901+CF1901+CH1901+CJ1901+CL1901+CN1901+CP1901+CR1901+CT1901</f>
        <v>0</v>
      </c>
      <c r="CV1901" s="76"/>
      <c r="CW1901" s="76">
        <f>+CV1901*1100</f>
        <v>0</v>
      </c>
      <c r="CX1901" s="76"/>
      <c r="CY1901" s="76">
        <f>+CX1901*106250</f>
        <v>0</v>
      </c>
      <c r="CZ1901" s="76"/>
      <c r="DA1901" s="76">
        <f>+CZ1901*34500</f>
        <v>0</v>
      </c>
      <c r="DB1901" s="76"/>
      <c r="DC1901" s="76">
        <f>+DB1901*25000</f>
        <v>0</v>
      </c>
      <c r="DD1901" s="219"/>
      <c r="DE1901" s="219"/>
      <c r="DF1901" s="166"/>
      <c r="DG1901" s="116"/>
      <c r="DH1901" s="117"/>
      <c r="DI1901" s="24"/>
      <c r="DJ1901" s="24"/>
      <c r="DK1901" s="24"/>
      <c r="DL1901" s="24"/>
      <c r="DM1901" s="24"/>
      <c r="DN1901" s="24"/>
      <c r="DO1901" s="24"/>
      <c r="DP1901" s="24"/>
      <c r="DQ1901" s="24"/>
      <c r="DR1901" s="24"/>
      <c r="DS1901" s="24"/>
      <c r="DT1901" s="24"/>
      <c r="DU1901" s="24"/>
    </row>
    <row r="1902" spans="1:125" s="8" customFormat="1" ht="36" x14ac:dyDescent="0.2">
      <c r="A1902" s="353">
        <v>41417</v>
      </c>
      <c r="B1902" s="352" t="s">
        <v>2894</v>
      </c>
      <c r="C1902" s="354" t="s">
        <v>1384</v>
      </c>
      <c r="D1902" s="354" t="s">
        <v>3088</v>
      </c>
      <c r="E1902" s="75" t="str">
        <f>VLOOKUP(B1902&amp;C1902,Divipola!$C$2:$F$1138,4,FALSE)</f>
        <v>05660</v>
      </c>
      <c r="F1902" s="87"/>
      <c r="G1902" s="87"/>
      <c r="H1902" s="87"/>
      <c r="I1902" s="87">
        <v>20</v>
      </c>
      <c r="J1902" s="87">
        <v>4</v>
      </c>
      <c r="K1902" s="87">
        <v>1</v>
      </c>
      <c r="L1902" s="87">
        <v>3</v>
      </c>
      <c r="M1902" s="87"/>
      <c r="N1902" s="87"/>
      <c r="O1902" s="87"/>
      <c r="P1902" s="87"/>
      <c r="Q1902" s="87"/>
      <c r="R1902" s="87"/>
      <c r="S1902" s="87"/>
      <c r="T1902" s="87"/>
      <c r="U1902" s="88"/>
      <c r="V1902" s="89"/>
      <c r="W1902" s="96">
        <v>0</v>
      </c>
      <c r="X1902" s="71">
        <f>CU1902</f>
        <v>0</v>
      </c>
      <c r="Y1902" s="71">
        <f>CY1902</f>
        <v>0</v>
      </c>
      <c r="Z1902" s="71">
        <f>DA1902+DC1902+DE1902</f>
        <v>0</v>
      </c>
      <c r="AA1902" s="71">
        <f>CW1902</f>
        <v>0</v>
      </c>
      <c r="AB1902" s="71"/>
      <c r="AC1902" s="71">
        <v>0</v>
      </c>
      <c r="AD1902" s="71">
        <f>W1902+X1902+Y1902+Z1902+AA1902+AB1902+AC1902</f>
        <v>0</v>
      </c>
      <c r="AE1902" s="72">
        <v>0</v>
      </c>
      <c r="AF1902" s="5"/>
      <c r="AG1902" s="6"/>
      <c r="AH1902" s="27" t="s">
        <v>3392</v>
      </c>
      <c r="AI1902" s="44" t="s">
        <v>3393</v>
      </c>
      <c r="AJ1902" s="26"/>
      <c r="AK1902" s="5"/>
      <c r="AL1902" s="82" t="s">
        <v>4731</v>
      </c>
      <c r="AM1902" s="76"/>
      <c r="AN1902" s="76"/>
      <c r="AO1902" s="76"/>
      <c r="AP1902" s="76"/>
      <c r="AQ1902" s="76"/>
      <c r="AR1902" s="76"/>
      <c r="AS1902" s="76"/>
      <c r="AT1902" s="76"/>
      <c r="AU1902" s="76"/>
      <c r="AV1902" s="76"/>
      <c r="AW1902" s="76"/>
      <c r="AX1902" s="76">
        <f>+AW1902*600000</f>
        <v>0</v>
      </c>
      <c r="AY1902" s="76"/>
      <c r="AZ1902" s="76">
        <f>+AY1902*70000</f>
        <v>0</v>
      </c>
      <c r="BA1902" s="76"/>
      <c r="BB1902" s="76"/>
      <c r="BC1902" s="76"/>
      <c r="BD1902" s="76">
        <f>+BC1902*30000</f>
        <v>0</v>
      </c>
      <c r="BE1902" s="76"/>
      <c r="BF1902" s="76"/>
      <c r="BG1902" s="76"/>
      <c r="BH1902" s="76"/>
      <c r="BI1902" s="76"/>
      <c r="BJ1902" s="76"/>
      <c r="BK1902" s="76"/>
      <c r="BL1902" s="76">
        <f>+BK1902*31500</f>
        <v>0</v>
      </c>
      <c r="BM1902" s="76"/>
      <c r="BN1902" s="76"/>
      <c r="BO1902" s="76"/>
      <c r="BP1902" s="76"/>
      <c r="BQ1902" s="76"/>
      <c r="BR1902" s="76"/>
      <c r="BS1902" s="76"/>
      <c r="BT1902" s="76"/>
      <c r="BU1902" s="76"/>
      <c r="BV1902" s="76"/>
      <c r="BW1902" s="76"/>
      <c r="BX1902" s="76"/>
      <c r="BY1902" s="76"/>
      <c r="BZ1902" s="76"/>
      <c r="CA1902" s="76"/>
      <c r="CB1902" s="76"/>
      <c r="CC1902" s="76"/>
      <c r="CD1902" s="76"/>
      <c r="CE1902" s="76"/>
      <c r="CF1902" s="76">
        <f>+CE1902*28000</f>
        <v>0</v>
      </c>
      <c r="CG1902" s="76"/>
      <c r="CH1902" s="76">
        <f>+CG1902*22500</f>
        <v>0</v>
      </c>
      <c r="CI1902" s="76"/>
      <c r="CJ1902" s="76">
        <f>+CI1902*26000</f>
        <v>0</v>
      </c>
      <c r="CK1902" s="76"/>
      <c r="CL1902" s="76"/>
      <c r="CM1902" s="76"/>
      <c r="CN1902" s="76">
        <f>+CM1902*22000</f>
        <v>0</v>
      </c>
      <c r="CO1902" s="76"/>
      <c r="CP1902" s="76">
        <f>+CO1902*46000</f>
        <v>0</v>
      </c>
      <c r="CQ1902" s="76"/>
      <c r="CR1902" s="76">
        <f>+CQ1902*49000</f>
        <v>0</v>
      </c>
      <c r="CS1902" s="76"/>
      <c r="CT1902" s="76"/>
      <c r="CU1902" s="56">
        <f>AN1902+AP1902+AR1902+AT1902+AV1902+AX1902+AZ1902+BB1902+BD1902+BF1902+BH1902+BJ1902+BL1902+BN1902+BP1902+BR1902+BT1902+BV1902+BX1902+BZ1902+CB1902+CD1902+CF1902+CH1902+CJ1902+CL1902+CN1902+CP1902+CR1902+CT1902</f>
        <v>0</v>
      </c>
      <c r="CV1902" s="76"/>
      <c r="CW1902" s="76">
        <f>+CV1902*1100</f>
        <v>0</v>
      </c>
      <c r="CX1902" s="76"/>
      <c r="CY1902" s="76">
        <f>+CX1902*106250</f>
        <v>0</v>
      </c>
      <c r="CZ1902" s="76"/>
      <c r="DA1902" s="76">
        <f>+CZ1902*34500</f>
        <v>0</v>
      </c>
      <c r="DB1902" s="76"/>
      <c r="DC1902" s="76">
        <f>+DB1902*25000</f>
        <v>0</v>
      </c>
      <c r="DD1902" s="219"/>
      <c r="DE1902" s="219"/>
      <c r="DF1902" s="166"/>
      <c r="DG1902" s="116"/>
      <c r="DH1902" s="117"/>
      <c r="DI1902" s="24"/>
      <c r="DJ1902" s="24"/>
      <c r="DK1902" s="24"/>
      <c r="DL1902" s="24"/>
      <c r="DM1902" s="24"/>
      <c r="DN1902" s="24"/>
      <c r="DO1902" s="24"/>
      <c r="DP1902" s="24"/>
      <c r="DQ1902" s="24"/>
      <c r="DR1902" s="24"/>
      <c r="DS1902" s="24"/>
      <c r="DT1902" s="24"/>
      <c r="DU1902" s="24"/>
    </row>
    <row r="1903" spans="1:125" s="8" customFormat="1" ht="24" x14ac:dyDescent="0.2">
      <c r="A1903" s="77">
        <v>41417</v>
      </c>
      <c r="B1903" s="78" t="s">
        <v>2894</v>
      </c>
      <c r="C1903" s="75" t="s">
        <v>2696</v>
      </c>
      <c r="D1903" s="75" t="s">
        <v>3088</v>
      </c>
      <c r="E1903" s="75" t="str">
        <f>VLOOKUP(B1903&amp;C1903,Divipola!$C$2:$F$1138,4,FALSE)</f>
        <v>05854</v>
      </c>
      <c r="F1903" s="87"/>
      <c r="G1903" s="87"/>
      <c r="H1903" s="87"/>
      <c r="I1903" s="87">
        <v>5</v>
      </c>
      <c r="J1903" s="87">
        <v>1</v>
      </c>
      <c r="K1903" s="87">
        <v>1</v>
      </c>
      <c r="L1903" s="87"/>
      <c r="M1903" s="87"/>
      <c r="N1903" s="87"/>
      <c r="O1903" s="87"/>
      <c r="P1903" s="87"/>
      <c r="Q1903" s="87"/>
      <c r="R1903" s="87"/>
      <c r="S1903" s="87"/>
      <c r="T1903" s="87"/>
      <c r="U1903" s="88"/>
      <c r="V1903" s="89"/>
      <c r="W1903" s="96">
        <v>0</v>
      </c>
      <c r="X1903" s="71">
        <f>CU1903</f>
        <v>0</v>
      </c>
      <c r="Y1903" s="71">
        <f>CY1903</f>
        <v>0</v>
      </c>
      <c r="Z1903" s="71">
        <f>DA1903+DC1903+DE1903</f>
        <v>0</v>
      </c>
      <c r="AA1903" s="71">
        <f>CW1903</f>
        <v>0</v>
      </c>
      <c r="AB1903" s="71"/>
      <c r="AC1903" s="71">
        <v>0</v>
      </c>
      <c r="AD1903" s="71">
        <f>W1903+X1903+Y1903+Z1903+AA1903+AB1903+AC1903</f>
        <v>0</v>
      </c>
      <c r="AE1903" s="72">
        <v>0</v>
      </c>
      <c r="AF1903" s="5"/>
      <c r="AG1903" s="6"/>
      <c r="AH1903" s="27" t="s">
        <v>3392</v>
      </c>
      <c r="AI1903" s="44" t="s">
        <v>3393</v>
      </c>
      <c r="AJ1903" s="26"/>
      <c r="AK1903" s="5"/>
      <c r="AL1903" s="82" t="s">
        <v>4719</v>
      </c>
      <c r="AM1903" s="76"/>
      <c r="AN1903" s="76"/>
      <c r="AO1903" s="76"/>
      <c r="AP1903" s="76"/>
      <c r="AQ1903" s="76"/>
      <c r="AR1903" s="76"/>
      <c r="AS1903" s="76"/>
      <c r="AT1903" s="76"/>
      <c r="AU1903" s="76"/>
      <c r="AV1903" s="76"/>
      <c r="AW1903" s="76"/>
      <c r="AX1903" s="76">
        <f>+AW1903*600000</f>
        <v>0</v>
      </c>
      <c r="AY1903" s="76"/>
      <c r="AZ1903" s="76">
        <f>+AY1903*70000</f>
        <v>0</v>
      </c>
      <c r="BA1903" s="76"/>
      <c r="BB1903" s="76"/>
      <c r="BC1903" s="76"/>
      <c r="BD1903" s="76">
        <f>+BC1903*30000</f>
        <v>0</v>
      </c>
      <c r="BE1903" s="76"/>
      <c r="BF1903" s="76"/>
      <c r="BG1903" s="76"/>
      <c r="BH1903" s="76"/>
      <c r="BI1903" s="76"/>
      <c r="BJ1903" s="76"/>
      <c r="BK1903" s="76"/>
      <c r="BL1903" s="76">
        <f>+BK1903*31500</f>
        <v>0</v>
      </c>
      <c r="BM1903" s="76"/>
      <c r="BN1903" s="76"/>
      <c r="BO1903" s="76"/>
      <c r="BP1903" s="76"/>
      <c r="BQ1903" s="76"/>
      <c r="BR1903" s="76"/>
      <c r="BS1903" s="76"/>
      <c r="BT1903" s="76"/>
      <c r="BU1903" s="76"/>
      <c r="BV1903" s="76"/>
      <c r="BW1903" s="76"/>
      <c r="BX1903" s="76"/>
      <c r="BY1903" s="76"/>
      <c r="BZ1903" s="76"/>
      <c r="CA1903" s="76"/>
      <c r="CB1903" s="76"/>
      <c r="CC1903" s="76"/>
      <c r="CD1903" s="76"/>
      <c r="CE1903" s="76"/>
      <c r="CF1903" s="76">
        <f>+CE1903*28000</f>
        <v>0</v>
      </c>
      <c r="CG1903" s="76"/>
      <c r="CH1903" s="76">
        <f>+CG1903*22500</f>
        <v>0</v>
      </c>
      <c r="CI1903" s="76"/>
      <c r="CJ1903" s="76">
        <f>+CI1903*26000</f>
        <v>0</v>
      </c>
      <c r="CK1903" s="76"/>
      <c r="CL1903" s="76"/>
      <c r="CM1903" s="76"/>
      <c r="CN1903" s="76">
        <f>+CM1903*22000</f>
        <v>0</v>
      </c>
      <c r="CO1903" s="76"/>
      <c r="CP1903" s="76">
        <f>+CO1903*46000</f>
        <v>0</v>
      </c>
      <c r="CQ1903" s="76"/>
      <c r="CR1903" s="76">
        <f>+CQ1903*49000</f>
        <v>0</v>
      </c>
      <c r="CS1903" s="76"/>
      <c r="CT1903" s="76"/>
      <c r="CU1903" s="56">
        <f>AN1903+AP1903+AR1903+AT1903+AV1903+AX1903+AZ1903+BB1903+BD1903+BF1903+BH1903+BJ1903+BL1903+BN1903+BP1903+BR1903+BT1903+BV1903+BX1903+BZ1903+CB1903+CD1903+CF1903+CH1903+CJ1903+CL1903+CN1903+CP1903+CR1903+CT1903</f>
        <v>0</v>
      </c>
      <c r="CV1903" s="76"/>
      <c r="CW1903" s="76">
        <f>+CV1903*1100</f>
        <v>0</v>
      </c>
      <c r="CX1903" s="76"/>
      <c r="CY1903" s="76">
        <f>+CX1903*106250</f>
        <v>0</v>
      </c>
      <c r="CZ1903" s="76"/>
      <c r="DA1903" s="76">
        <f>+CZ1903*34500</f>
        <v>0</v>
      </c>
      <c r="DB1903" s="76"/>
      <c r="DC1903" s="76">
        <f>+DB1903*25000</f>
        <v>0</v>
      </c>
      <c r="DD1903" s="219"/>
      <c r="DE1903" s="219"/>
      <c r="DF1903" s="166"/>
      <c r="DG1903" s="116"/>
      <c r="DH1903" s="117"/>
      <c r="DI1903" s="24"/>
      <c r="DJ1903" s="24"/>
      <c r="DK1903" s="24"/>
      <c r="DL1903" s="24"/>
      <c r="DM1903" s="24"/>
      <c r="DN1903" s="24"/>
      <c r="DO1903" s="24"/>
      <c r="DP1903" s="24"/>
      <c r="DQ1903" s="24"/>
      <c r="DR1903" s="24"/>
      <c r="DS1903" s="24"/>
      <c r="DT1903" s="24"/>
      <c r="DU1903" s="24"/>
    </row>
    <row r="1904" spans="1:125" s="8" customFormat="1" ht="36" x14ac:dyDescent="0.2">
      <c r="A1904" s="353">
        <v>41417</v>
      </c>
      <c r="B1904" s="352" t="s">
        <v>2894</v>
      </c>
      <c r="C1904" s="354" t="s">
        <v>2126</v>
      </c>
      <c r="D1904" s="354" t="s">
        <v>3088</v>
      </c>
      <c r="E1904" s="75" t="str">
        <f>VLOOKUP(B1904&amp;C1904,Divipola!$C$2:$F$1138,4,FALSE)</f>
        <v>05861</v>
      </c>
      <c r="F1904" s="87"/>
      <c r="G1904" s="87"/>
      <c r="H1904" s="87"/>
      <c r="I1904" s="87"/>
      <c r="J1904" s="87"/>
      <c r="K1904" s="87"/>
      <c r="L1904" s="87"/>
      <c r="M1904" s="87">
        <v>1</v>
      </c>
      <c r="N1904" s="87"/>
      <c r="O1904" s="87"/>
      <c r="P1904" s="87"/>
      <c r="Q1904" s="87"/>
      <c r="R1904" s="87"/>
      <c r="S1904" s="87"/>
      <c r="T1904" s="87"/>
      <c r="U1904" s="88"/>
      <c r="V1904" s="89"/>
      <c r="W1904" s="96">
        <v>0</v>
      </c>
      <c r="X1904" s="71">
        <f>CU1904</f>
        <v>0</v>
      </c>
      <c r="Y1904" s="71">
        <f>CY1904</f>
        <v>0</v>
      </c>
      <c r="Z1904" s="71">
        <f>DA1904+DC1904+DE1904</f>
        <v>0</v>
      </c>
      <c r="AA1904" s="71">
        <f>CW1904</f>
        <v>0</v>
      </c>
      <c r="AB1904" s="71"/>
      <c r="AC1904" s="71">
        <v>0</v>
      </c>
      <c r="AD1904" s="71">
        <f>W1904+X1904+Y1904+Z1904+AA1904+AB1904+AC1904</f>
        <v>0</v>
      </c>
      <c r="AE1904" s="72">
        <v>0</v>
      </c>
      <c r="AF1904" s="5"/>
      <c r="AG1904" s="6"/>
      <c r="AH1904" s="27" t="s">
        <v>3392</v>
      </c>
      <c r="AI1904" s="44" t="s">
        <v>3393</v>
      </c>
      <c r="AJ1904" s="26"/>
      <c r="AK1904" s="5"/>
      <c r="AL1904" s="82" t="s">
        <v>4721</v>
      </c>
      <c r="AM1904" s="76"/>
      <c r="AN1904" s="76"/>
      <c r="AO1904" s="76"/>
      <c r="AP1904" s="76"/>
      <c r="AQ1904" s="76"/>
      <c r="AR1904" s="76"/>
      <c r="AS1904" s="76"/>
      <c r="AT1904" s="76"/>
      <c r="AU1904" s="76"/>
      <c r="AV1904" s="76"/>
      <c r="AW1904" s="76"/>
      <c r="AX1904" s="76">
        <f>+AW1904*600000</f>
        <v>0</v>
      </c>
      <c r="AY1904" s="76"/>
      <c r="AZ1904" s="76">
        <f>+AY1904*70000</f>
        <v>0</v>
      </c>
      <c r="BA1904" s="76"/>
      <c r="BB1904" s="76"/>
      <c r="BC1904" s="76"/>
      <c r="BD1904" s="76">
        <f>+BC1904*30000</f>
        <v>0</v>
      </c>
      <c r="BE1904" s="76"/>
      <c r="BF1904" s="76"/>
      <c r="BG1904" s="76"/>
      <c r="BH1904" s="76"/>
      <c r="BI1904" s="76"/>
      <c r="BJ1904" s="76"/>
      <c r="BK1904" s="76"/>
      <c r="BL1904" s="76">
        <f>+BK1904*31500</f>
        <v>0</v>
      </c>
      <c r="BM1904" s="76"/>
      <c r="BN1904" s="76"/>
      <c r="BO1904" s="76"/>
      <c r="BP1904" s="76"/>
      <c r="BQ1904" s="76"/>
      <c r="BR1904" s="76"/>
      <c r="BS1904" s="76"/>
      <c r="BT1904" s="76"/>
      <c r="BU1904" s="76"/>
      <c r="BV1904" s="76"/>
      <c r="BW1904" s="76"/>
      <c r="BX1904" s="76"/>
      <c r="BY1904" s="76"/>
      <c r="BZ1904" s="76"/>
      <c r="CA1904" s="76"/>
      <c r="CB1904" s="76"/>
      <c r="CC1904" s="76"/>
      <c r="CD1904" s="76"/>
      <c r="CE1904" s="76"/>
      <c r="CF1904" s="76">
        <f>+CE1904*28000</f>
        <v>0</v>
      </c>
      <c r="CG1904" s="76"/>
      <c r="CH1904" s="76">
        <f>+CG1904*22500</f>
        <v>0</v>
      </c>
      <c r="CI1904" s="76"/>
      <c r="CJ1904" s="76">
        <f>+CI1904*26000</f>
        <v>0</v>
      </c>
      <c r="CK1904" s="76"/>
      <c r="CL1904" s="76"/>
      <c r="CM1904" s="76"/>
      <c r="CN1904" s="76">
        <f>+CM1904*22000</f>
        <v>0</v>
      </c>
      <c r="CO1904" s="76"/>
      <c r="CP1904" s="76">
        <f>+CO1904*46000</f>
        <v>0</v>
      </c>
      <c r="CQ1904" s="76"/>
      <c r="CR1904" s="76">
        <f>+CQ1904*49000</f>
        <v>0</v>
      </c>
      <c r="CS1904" s="76"/>
      <c r="CT1904" s="76"/>
      <c r="CU1904" s="56">
        <f>AN1904+AP1904+AR1904+AT1904+AV1904+AX1904+AZ1904+BB1904+BD1904+BF1904+BH1904+BJ1904+BL1904+BN1904+BP1904+BR1904+BT1904+BV1904+BX1904+BZ1904+CB1904+CD1904+CF1904+CH1904+CJ1904+CL1904+CN1904+CP1904+CR1904+CT1904</f>
        <v>0</v>
      </c>
      <c r="CV1904" s="76"/>
      <c r="CW1904" s="76">
        <f>+CV1904*1100</f>
        <v>0</v>
      </c>
      <c r="CX1904" s="76"/>
      <c r="CY1904" s="76">
        <f>+CX1904*106250</f>
        <v>0</v>
      </c>
      <c r="CZ1904" s="76"/>
      <c r="DA1904" s="76">
        <f>+CZ1904*34500</f>
        <v>0</v>
      </c>
      <c r="DB1904" s="76"/>
      <c r="DC1904" s="76">
        <f>+DB1904*25000</f>
        <v>0</v>
      </c>
      <c r="DD1904" s="219"/>
      <c r="DE1904" s="219"/>
      <c r="DF1904" s="166"/>
      <c r="DG1904" s="116"/>
      <c r="DH1904" s="117"/>
      <c r="DI1904" s="24"/>
      <c r="DJ1904" s="24"/>
      <c r="DK1904" s="24"/>
      <c r="DL1904" s="24"/>
      <c r="DM1904" s="24"/>
      <c r="DN1904" s="24"/>
      <c r="DO1904" s="24"/>
      <c r="DP1904" s="24"/>
      <c r="DQ1904" s="24"/>
      <c r="DR1904" s="24"/>
      <c r="DS1904" s="24"/>
      <c r="DT1904" s="24"/>
      <c r="DU1904" s="24"/>
    </row>
    <row r="1905" spans="1:125" s="8" customFormat="1" ht="84" x14ac:dyDescent="0.2">
      <c r="A1905" s="77">
        <v>41417</v>
      </c>
      <c r="B1905" s="225" t="s">
        <v>2894</v>
      </c>
      <c r="C1905" s="227" t="s">
        <v>2126</v>
      </c>
      <c r="D1905" s="227" t="s">
        <v>3051</v>
      </c>
      <c r="E1905" s="75" t="str">
        <f>VLOOKUP(B1905&amp;C1905,Divipola!$C$2:$F$1138,4,FALSE)</f>
        <v>05861</v>
      </c>
      <c r="F1905" s="87"/>
      <c r="G1905" s="87"/>
      <c r="H1905" s="87"/>
      <c r="I1905" s="87">
        <v>184</v>
      </c>
      <c r="J1905" s="87">
        <v>46</v>
      </c>
      <c r="K1905" s="87"/>
      <c r="L1905" s="87">
        <v>46</v>
      </c>
      <c r="M1905" s="87"/>
      <c r="N1905" s="87"/>
      <c r="O1905" s="87"/>
      <c r="P1905" s="87"/>
      <c r="Q1905" s="87"/>
      <c r="R1905" s="87"/>
      <c r="S1905" s="87"/>
      <c r="T1905" s="87"/>
      <c r="U1905" s="88">
        <v>15</v>
      </c>
      <c r="V1905" s="89"/>
      <c r="W1905" s="96">
        <v>0</v>
      </c>
      <c r="X1905" s="71">
        <f>CU1905</f>
        <v>0</v>
      </c>
      <c r="Y1905" s="71">
        <f>CY1905</f>
        <v>0</v>
      </c>
      <c r="Z1905" s="71">
        <f>DA1905+DC1905+DE1905</f>
        <v>0</v>
      </c>
      <c r="AA1905" s="71">
        <f>CW1905</f>
        <v>0</v>
      </c>
      <c r="AB1905" s="71"/>
      <c r="AC1905" s="71">
        <v>0</v>
      </c>
      <c r="AD1905" s="71">
        <f>W1905+X1905+Y1905+Z1905+AA1905+AB1905+AC1905</f>
        <v>0</v>
      </c>
      <c r="AE1905" s="72">
        <v>0</v>
      </c>
      <c r="AF1905" s="5"/>
      <c r="AG1905" s="6"/>
      <c r="AH1905" s="27" t="s">
        <v>3392</v>
      </c>
      <c r="AI1905" s="44" t="s">
        <v>3393</v>
      </c>
      <c r="AJ1905" s="26"/>
      <c r="AK1905" s="5"/>
      <c r="AL1905" s="82" t="s">
        <v>4767</v>
      </c>
      <c r="AM1905" s="76"/>
      <c r="AN1905" s="76"/>
      <c r="AO1905" s="76"/>
      <c r="AP1905" s="76"/>
      <c r="AQ1905" s="76"/>
      <c r="AR1905" s="76"/>
      <c r="AS1905" s="76"/>
      <c r="AT1905" s="76"/>
      <c r="AU1905" s="76"/>
      <c r="AV1905" s="76"/>
      <c r="AW1905" s="76"/>
      <c r="AX1905" s="76">
        <f>+AW1905*600000</f>
        <v>0</v>
      </c>
      <c r="AY1905" s="76"/>
      <c r="AZ1905" s="76">
        <f>+AY1905*70000</f>
        <v>0</v>
      </c>
      <c r="BA1905" s="76"/>
      <c r="BB1905" s="76"/>
      <c r="BC1905" s="76"/>
      <c r="BD1905" s="76">
        <f>+BC1905*30000</f>
        <v>0</v>
      </c>
      <c r="BE1905" s="76"/>
      <c r="BF1905" s="76"/>
      <c r="BG1905" s="76"/>
      <c r="BH1905" s="76"/>
      <c r="BI1905" s="76"/>
      <c r="BJ1905" s="76"/>
      <c r="BK1905" s="76"/>
      <c r="BL1905" s="76">
        <f>+BK1905*31500</f>
        <v>0</v>
      </c>
      <c r="BM1905" s="76"/>
      <c r="BN1905" s="76"/>
      <c r="BO1905" s="76"/>
      <c r="BP1905" s="76"/>
      <c r="BQ1905" s="76"/>
      <c r="BR1905" s="76"/>
      <c r="BS1905" s="76"/>
      <c r="BT1905" s="76"/>
      <c r="BU1905" s="76"/>
      <c r="BV1905" s="76"/>
      <c r="BW1905" s="76"/>
      <c r="BX1905" s="76"/>
      <c r="BY1905" s="76"/>
      <c r="BZ1905" s="76"/>
      <c r="CA1905" s="76"/>
      <c r="CB1905" s="76"/>
      <c r="CC1905" s="76"/>
      <c r="CD1905" s="76"/>
      <c r="CE1905" s="76"/>
      <c r="CF1905" s="76">
        <f>+CE1905*28000</f>
        <v>0</v>
      </c>
      <c r="CG1905" s="76"/>
      <c r="CH1905" s="76">
        <f>+CG1905*22500</f>
        <v>0</v>
      </c>
      <c r="CI1905" s="76"/>
      <c r="CJ1905" s="76">
        <f>+CI1905*26000</f>
        <v>0</v>
      </c>
      <c r="CK1905" s="76"/>
      <c r="CL1905" s="76"/>
      <c r="CM1905" s="76"/>
      <c r="CN1905" s="76">
        <f>+CM1905*22000</f>
        <v>0</v>
      </c>
      <c r="CO1905" s="76"/>
      <c r="CP1905" s="76">
        <f>+CO1905*46000</f>
        <v>0</v>
      </c>
      <c r="CQ1905" s="76"/>
      <c r="CR1905" s="76">
        <f>+CQ1905*49000</f>
        <v>0</v>
      </c>
      <c r="CS1905" s="76"/>
      <c r="CT1905" s="76"/>
      <c r="CU1905" s="56">
        <f>AN1905+AP1905+AR1905+AT1905+AV1905+AX1905+AZ1905+BB1905+BD1905+BF1905+BH1905+BJ1905+BL1905+BN1905+BP1905+BR1905+BT1905+BV1905+BX1905+BZ1905+CB1905+CD1905+CF1905+CH1905+CJ1905+CL1905+CN1905+CP1905+CR1905+CT1905</f>
        <v>0</v>
      </c>
      <c r="CV1905" s="76"/>
      <c r="CW1905" s="76">
        <f>+CV1905*1100</f>
        <v>0</v>
      </c>
      <c r="CX1905" s="76"/>
      <c r="CY1905" s="76">
        <f>+CX1905*106250</f>
        <v>0</v>
      </c>
      <c r="CZ1905" s="76"/>
      <c r="DA1905" s="76">
        <f>+CZ1905*34500</f>
        <v>0</v>
      </c>
      <c r="DB1905" s="76"/>
      <c r="DC1905" s="76">
        <f>+DB1905*25000</f>
        <v>0</v>
      </c>
      <c r="DD1905" s="219"/>
      <c r="DE1905" s="219"/>
      <c r="DF1905" s="166"/>
      <c r="DG1905" s="116"/>
      <c r="DH1905" s="117"/>
      <c r="DI1905" s="24"/>
      <c r="DJ1905" s="24"/>
      <c r="DK1905" s="24"/>
      <c r="DL1905" s="24"/>
      <c r="DM1905" s="24"/>
      <c r="DN1905" s="24"/>
      <c r="DO1905" s="24"/>
      <c r="DP1905" s="24"/>
      <c r="DQ1905" s="24"/>
      <c r="DR1905" s="24"/>
      <c r="DS1905" s="24"/>
      <c r="DT1905" s="24"/>
      <c r="DU1905" s="24"/>
    </row>
    <row r="1906" spans="1:125" s="8" customFormat="1" ht="36" x14ac:dyDescent="0.2">
      <c r="A1906" s="226">
        <v>41417</v>
      </c>
      <c r="B1906" s="225" t="s">
        <v>2894</v>
      </c>
      <c r="C1906" s="227" t="s">
        <v>2642</v>
      </c>
      <c r="D1906" s="227" t="s">
        <v>3051</v>
      </c>
      <c r="E1906" s="75" t="str">
        <f>VLOOKUP(B1906&amp;C1906,Divipola!$C$2:$F$1138,4,FALSE)</f>
        <v>05890</v>
      </c>
      <c r="F1906" s="87"/>
      <c r="G1906" s="87"/>
      <c r="H1906" s="87"/>
      <c r="I1906" s="87">
        <v>200</v>
      </c>
      <c r="J1906" s="87">
        <v>40</v>
      </c>
      <c r="K1906" s="87"/>
      <c r="L1906" s="87">
        <v>40</v>
      </c>
      <c r="M1906" s="87"/>
      <c r="N1906" s="87"/>
      <c r="O1906" s="87"/>
      <c r="P1906" s="87"/>
      <c r="Q1906" s="87"/>
      <c r="R1906" s="87"/>
      <c r="S1906" s="87"/>
      <c r="T1906" s="87"/>
      <c r="U1906" s="88"/>
      <c r="V1906" s="89"/>
      <c r="W1906" s="96">
        <v>0</v>
      </c>
      <c r="X1906" s="71">
        <f>CU1906</f>
        <v>0</v>
      </c>
      <c r="Y1906" s="71">
        <f>CY1906</f>
        <v>0</v>
      </c>
      <c r="Z1906" s="71">
        <f>DA1906+DC1906+DE1906</f>
        <v>0</v>
      </c>
      <c r="AA1906" s="71">
        <f>CW1906</f>
        <v>0</v>
      </c>
      <c r="AB1906" s="71"/>
      <c r="AC1906" s="71">
        <v>0</v>
      </c>
      <c r="AD1906" s="71">
        <f>W1906+X1906+Y1906+Z1906+AA1906+AB1906+AC1906</f>
        <v>0</v>
      </c>
      <c r="AE1906" s="72">
        <v>0</v>
      </c>
      <c r="AF1906" s="5"/>
      <c r="AG1906" s="6"/>
      <c r="AH1906" s="27" t="s">
        <v>3392</v>
      </c>
      <c r="AI1906" s="44" t="s">
        <v>3393</v>
      </c>
      <c r="AJ1906" s="26"/>
      <c r="AK1906" s="5"/>
      <c r="AL1906" s="82" t="s">
        <v>4730</v>
      </c>
      <c r="AM1906" s="76"/>
      <c r="AN1906" s="76"/>
      <c r="AO1906" s="76"/>
      <c r="AP1906" s="76"/>
      <c r="AQ1906" s="76"/>
      <c r="AR1906" s="76"/>
      <c r="AS1906" s="76"/>
      <c r="AT1906" s="76"/>
      <c r="AU1906" s="76"/>
      <c r="AV1906" s="76"/>
      <c r="AW1906" s="76"/>
      <c r="AX1906" s="76">
        <f>+AW1906*600000</f>
        <v>0</v>
      </c>
      <c r="AY1906" s="76"/>
      <c r="AZ1906" s="76">
        <f>+AY1906*70000</f>
        <v>0</v>
      </c>
      <c r="BA1906" s="76"/>
      <c r="BB1906" s="76"/>
      <c r="BC1906" s="76"/>
      <c r="BD1906" s="76">
        <f>+BC1906*30000</f>
        <v>0</v>
      </c>
      <c r="BE1906" s="76"/>
      <c r="BF1906" s="76"/>
      <c r="BG1906" s="76"/>
      <c r="BH1906" s="76"/>
      <c r="BI1906" s="76"/>
      <c r="BJ1906" s="76"/>
      <c r="BK1906" s="76"/>
      <c r="BL1906" s="76">
        <f>+BK1906*31500</f>
        <v>0</v>
      </c>
      <c r="BM1906" s="76"/>
      <c r="BN1906" s="76"/>
      <c r="BO1906" s="76"/>
      <c r="BP1906" s="76"/>
      <c r="BQ1906" s="76"/>
      <c r="BR1906" s="76"/>
      <c r="BS1906" s="76"/>
      <c r="BT1906" s="76"/>
      <c r="BU1906" s="76"/>
      <c r="BV1906" s="76"/>
      <c r="BW1906" s="76"/>
      <c r="BX1906" s="76"/>
      <c r="BY1906" s="76"/>
      <c r="BZ1906" s="76"/>
      <c r="CA1906" s="76"/>
      <c r="CB1906" s="76"/>
      <c r="CC1906" s="76"/>
      <c r="CD1906" s="76"/>
      <c r="CE1906" s="76"/>
      <c r="CF1906" s="76">
        <f>+CE1906*28000</f>
        <v>0</v>
      </c>
      <c r="CG1906" s="76"/>
      <c r="CH1906" s="76">
        <f>+CG1906*22500</f>
        <v>0</v>
      </c>
      <c r="CI1906" s="76"/>
      <c r="CJ1906" s="76">
        <f>+CI1906*26000</f>
        <v>0</v>
      </c>
      <c r="CK1906" s="76"/>
      <c r="CL1906" s="76"/>
      <c r="CM1906" s="76"/>
      <c r="CN1906" s="76">
        <f>+CM1906*22000</f>
        <v>0</v>
      </c>
      <c r="CO1906" s="76"/>
      <c r="CP1906" s="76">
        <f>+CO1906*46000</f>
        <v>0</v>
      </c>
      <c r="CQ1906" s="76"/>
      <c r="CR1906" s="76">
        <f>+CQ1906*49000</f>
        <v>0</v>
      </c>
      <c r="CS1906" s="76"/>
      <c r="CT1906" s="76"/>
      <c r="CU1906" s="56">
        <f>AN1906+AP1906+AR1906+AT1906+AV1906+AX1906+AZ1906+BB1906+BD1906+BF1906+BH1906+BJ1906+BL1906+BN1906+BP1906+BR1906+BT1906+BV1906+BX1906+BZ1906+CB1906+CD1906+CF1906+CH1906+CJ1906+CL1906+CN1906+CP1906+CR1906+CT1906</f>
        <v>0</v>
      </c>
      <c r="CV1906" s="76"/>
      <c r="CW1906" s="76">
        <f>+CV1906*1100</f>
        <v>0</v>
      </c>
      <c r="CX1906" s="76"/>
      <c r="CY1906" s="76">
        <f>+CX1906*106250</f>
        <v>0</v>
      </c>
      <c r="CZ1906" s="76"/>
      <c r="DA1906" s="76">
        <f>+CZ1906*34500</f>
        <v>0</v>
      </c>
      <c r="DB1906" s="76"/>
      <c r="DC1906" s="76">
        <f>+DB1906*25000</f>
        <v>0</v>
      </c>
      <c r="DD1906" s="219"/>
      <c r="DE1906" s="219"/>
      <c r="DF1906" s="166"/>
      <c r="DG1906" s="116"/>
      <c r="DH1906" s="117"/>
      <c r="DI1906" s="24"/>
      <c r="DJ1906" s="24"/>
      <c r="DK1906" s="24"/>
      <c r="DL1906" s="24"/>
      <c r="DM1906" s="24"/>
      <c r="DN1906" s="24"/>
      <c r="DO1906" s="24"/>
      <c r="DP1906" s="24"/>
      <c r="DQ1906" s="24"/>
      <c r="DR1906" s="24"/>
      <c r="DS1906" s="24"/>
      <c r="DT1906" s="24"/>
      <c r="DU1906" s="24"/>
    </row>
    <row r="1907" spans="1:125" s="8" customFormat="1" ht="120" x14ac:dyDescent="0.2">
      <c r="A1907" s="353">
        <v>41417</v>
      </c>
      <c r="B1907" s="225" t="s">
        <v>2087</v>
      </c>
      <c r="C1907" s="227" t="s">
        <v>790</v>
      </c>
      <c r="D1907" s="227" t="s">
        <v>3051</v>
      </c>
      <c r="E1907" s="75" t="str">
        <f>VLOOKUP(B1907&amp;C1907,Divipola!$C$2:$F$1138,4,FALSE)</f>
        <v>18150</v>
      </c>
      <c r="F1907" s="87"/>
      <c r="G1907" s="87"/>
      <c r="H1907" s="87"/>
      <c r="I1907" s="87">
        <v>1785</v>
      </c>
      <c r="J1907" s="87">
        <v>228</v>
      </c>
      <c r="K1907" s="87">
        <v>1</v>
      </c>
      <c r="L1907" s="87">
        <v>227</v>
      </c>
      <c r="M1907" s="87"/>
      <c r="N1907" s="87"/>
      <c r="O1907" s="87"/>
      <c r="P1907" s="87"/>
      <c r="Q1907" s="87"/>
      <c r="R1907" s="87"/>
      <c r="S1907" s="87"/>
      <c r="T1907" s="87"/>
      <c r="U1907" s="88"/>
      <c r="V1907" s="89"/>
      <c r="W1907" s="96">
        <v>0</v>
      </c>
      <c r="X1907" s="71">
        <f>CU1907</f>
        <v>21660000</v>
      </c>
      <c r="Y1907" s="71">
        <f>CY1907</f>
        <v>23940000</v>
      </c>
      <c r="Z1907" s="71">
        <f>DA1907+DC1907+DE1907</f>
        <v>48470000</v>
      </c>
      <c r="AA1907" s="71">
        <f>CW1907</f>
        <v>0</v>
      </c>
      <c r="AB1907" s="71"/>
      <c r="AC1907" s="71">
        <v>0</v>
      </c>
      <c r="AD1907" s="71">
        <f>W1907+X1907+Y1907+Z1907+AA1907+AB1907+AC1907</f>
        <v>94070000</v>
      </c>
      <c r="AE1907" s="72">
        <v>0</v>
      </c>
      <c r="AF1907" s="5"/>
      <c r="AG1907" s="6"/>
      <c r="AH1907" s="27" t="s">
        <v>3390</v>
      </c>
      <c r="AI1907" s="44" t="s">
        <v>3391</v>
      </c>
      <c r="AJ1907" s="26"/>
      <c r="AK1907" s="5" t="s">
        <v>4242</v>
      </c>
      <c r="AL1907" s="82" t="s">
        <v>4741</v>
      </c>
      <c r="AM1907" s="76"/>
      <c r="AN1907" s="76"/>
      <c r="AO1907" s="76"/>
      <c r="AP1907" s="76"/>
      <c r="AQ1907" s="76"/>
      <c r="AR1907" s="76"/>
      <c r="AS1907" s="76"/>
      <c r="AT1907" s="76"/>
      <c r="AU1907" s="76"/>
      <c r="AV1907" s="76"/>
      <c r="AW1907" s="76"/>
      <c r="AX1907" s="76">
        <f>+AW1907*600000</f>
        <v>0</v>
      </c>
      <c r="AY1907" s="76"/>
      <c r="AZ1907" s="76">
        <f>+AY1907*70000</f>
        <v>0</v>
      </c>
      <c r="BA1907" s="76"/>
      <c r="BB1907" s="76"/>
      <c r="BC1907" s="76"/>
      <c r="BD1907" s="76">
        <f>+BC1907*30000</f>
        <v>0</v>
      </c>
      <c r="BE1907" s="76"/>
      <c r="BF1907" s="76"/>
      <c r="BG1907" s="76"/>
      <c r="BH1907" s="76"/>
      <c r="BI1907" s="76"/>
      <c r="BJ1907" s="76"/>
      <c r="BK1907" s="76"/>
      <c r="BL1907" s="76">
        <f>+BK1907*31500</f>
        <v>0</v>
      </c>
      <c r="BM1907" s="76"/>
      <c r="BN1907" s="76"/>
      <c r="BO1907" s="76"/>
      <c r="BP1907" s="76"/>
      <c r="BQ1907" s="76"/>
      <c r="BR1907" s="76"/>
      <c r="BS1907" s="76"/>
      <c r="BT1907" s="76"/>
      <c r="BU1907" s="76"/>
      <c r="BV1907" s="76"/>
      <c r="BW1907" s="76"/>
      <c r="BX1907" s="76"/>
      <c r="BY1907" s="76"/>
      <c r="BZ1907" s="76"/>
      <c r="CA1907" s="76"/>
      <c r="CB1907" s="76"/>
      <c r="CC1907" s="76"/>
      <c r="CD1907" s="76"/>
      <c r="CE1907" s="76"/>
      <c r="CF1907" s="76">
        <f>+CE1907*28000</f>
        <v>0</v>
      </c>
      <c r="CG1907" s="76"/>
      <c r="CH1907" s="76">
        <f>+CG1907*22500</f>
        <v>0</v>
      </c>
      <c r="CI1907" s="76"/>
      <c r="CJ1907" s="76">
        <f>+CI1907*26000</f>
        <v>0</v>
      </c>
      <c r="CK1907" s="76"/>
      <c r="CL1907" s="76"/>
      <c r="CM1907" s="76"/>
      <c r="CN1907" s="76">
        <f>+CM1907*22000</f>
        <v>0</v>
      </c>
      <c r="CO1907" s="86">
        <v>228</v>
      </c>
      <c r="CP1907" s="86">
        <f>+CO1907*46000</f>
        <v>10488000</v>
      </c>
      <c r="CQ1907" s="86">
        <v>228</v>
      </c>
      <c r="CR1907" s="86">
        <f>+CQ1907*49000</f>
        <v>11172000</v>
      </c>
      <c r="CS1907" s="76"/>
      <c r="CT1907" s="76"/>
      <c r="CU1907" s="56">
        <f>AN1907+AP1907+AR1907+AT1907+AV1907+AX1907+AZ1907+BB1907+BD1907+BF1907+BH1907+BJ1907+BL1907+BN1907+BP1907+BR1907+BT1907+BV1907+BX1907+BZ1907+CB1907+CD1907+CF1907+CH1907+CJ1907+CL1907+CN1907+CP1907+CR1907+CT1907</f>
        <v>21660000</v>
      </c>
      <c r="CV1907" s="76"/>
      <c r="CW1907" s="76">
        <f>+CV1907*1100</f>
        <v>0</v>
      </c>
      <c r="CX1907" s="86">
        <v>228</v>
      </c>
      <c r="CY1907" s="86">
        <f>+CX1907*105000</f>
        <v>23940000</v>
      </c>
      <c r="CZ1907" s="76"/>
      <c r="DA1907" s="76">
        <f>+CZ1907*34500</f>
        <v>0</v>
      </c>
      <c r="DB1907" s="86">
        <v>1850</v>
      </c>
      <c r="DC1907" s="86">
        <f>+DB1907*25000+11100*200</f>
        <v>48470000</v>
      </c>
      <c r="DD1907" s="219"/>
      <c r="DE1907" s="219"/>
      <c r="DF1907" s="166"/>
      <c r="DG1907" s="134" t="s">
        <v>5912</v>
      </c>
      <c r="DH1907" s="117"/>
      <c r="DI1907" s="24"/>
      <c r="DJ1907" s="24"/>
      <c r="DK1907" s="24"/>
      <c r="DL1907" s="24"/>
      <c r="DM1907" s="24"/>
      <c r="DN1907" s="24"/>
      <c r="DO1907" s="24"/>
      <c r="DP1907" s="24"/>
      <c r="DQ1907" s="24"/>
      <c r="DR1907" s="24"/>
      <c r="DS1907" s="24"/>
      <c r="DT1907" s="24"/>
      <c r="DU1907" s="24"/>
    </row>
    <row r="1908" spans="1:125" s="8" customFormat="1" ht="48" x14ac:dyDescent="0.2">
      <c r="A1908" s="77">
        <v>41417</v>
      </c>
      <c r="B1908" s="352" t="s">
        <v>2855</v>
      </c>
      <c r="C1908" s="354" t="s">
        <v>922</v>
      </c>
      <c r="D1908" s="354" t="s">
        <v>3088</v>
      </c>
      <c r="E1908" s="75" t="str">
        <f>VLOOKUP(B1908&amp;C1908,Divipola!$C$2:$F$1138,4,FALSE)</f>
        <v>20443</v>
      </c>
      <c r="F1908" s="87"/>
      <c r="G1908" s="87"/>
      <c r="H1908" s="87"/>
      <c r="I1908" s="87"/>
      <c r="J1908" s="87"/>
      <c r="K1908" s="87"/>
      <c r="L1908" s="87"/>
      <c r="M1908" s="87">
        <v>1</v>
      </c>
      <c r="N1908" s="87">
        <v>1</v>
      </c>
      <c r="O1908" s="87"/>
      <c r="P1908" s="87"/>
      <c r="Q1908" s="87"/>
      <c r="R1908" s="87"/>
      <c r="S1908" s="87"/>
      <c r="T1908" s="87"/>
      <c r="U1908" s="88"/>
      <c r="V1908" s="89"/>
      <c r="W1908" s="96">
        <v>0</v>
      </c>
      <c r="X1908" s="71">
        <f>CU1908</f>
        <v>0</v>
      </c>
      <c r="Y1908" s="71">
        <f>CY1908</f>
        <v>0</v>
      </c>
      <c r="Z1908" s="71">
        <f>DA1908+DC1908+DE1908</f>
        <v>0</v>
      </c>
      <c r="AA1908" s="71">
        <f>CW1908</f>
        <v>0</v>
      </c>
      <c r="AB1908" s="71"/>
      <c r="AC1908" s="71">
        <v>0</v>
      </c>
      <c r="AD1908" s="71">
        <f>W1908+X1908+Y1908+Z1908+AA1908+AB1908+AC1908</f>
        <v>0</v>
      </c>
      <c r="AE1908" s="72">
        <v>0</v>
      </c>
      <c r="AF1908" s="5"/>
      <c r="AG1908" s="6"/>
      <c r="AH1908" s="27" t="s">
        <v>3392</v>
      </c>
      <c r="AI1908" s="44" t="s">
        <v>3393</v>
      </c>
      <c r="AJ1908" s="26"/>
      <c r="AK1908" s="5"/>
      <c r="AL1908" s="82" t="s">
        <v>4717</v>
      </c>
      <c r="AM1908" s="76"/>
      <c r="AN1908" s="76"/>
      <c r="AO1908" s="76"/>
      <c r="AP1908" s="76"/>
      <c r="AQ1908" s="76"/>
      <c r="AR1908" s="76"/>
      <c r="AS1908" s="76"/>
      <c r="AT1908" s="76"/>
      <c r="AU1908" s="76"/>
      <c r="AV1908" s="76"/>
      <c r="AW1908" s="76"/>
      <c r="AX1908" s="76">
        <f>+AW1908*600000</f>
        <v>0</v>
      </c>
      <c r="AY1908" s="76"/>
      <c r="AZ1908" s="76">
        <f>+AY1908*70000</f>
        <v>0</v>
      </c>
      <c r="BA1908" s="76"/>
      <c r="BB1908" s="76"/>
      <c r="BC1908" s="76"/>
      <c r="BD1908" s="76">
        <f>+BC1908*30000</f>
        <v>0</v>
      </c>
      <c r="BE1908" s="76"/>
      <c r="BF1908" s="76"/>
      <c r="BG1908" s="76"/>
      <c r="BH1908" s="76"/>
      <c r="BI1908" s="76"/>
      <c r="BJ1908" s="76"/>
      <c r="BK1908" s="76"/>
      <c r="BL1908" s="76">
        <f>+BK1908*31500</f>
        <v>0</v>
      </c>
      <c r="BM1908" s="76"/>
      <c r="BN1908" s="76"/>
      <c r="BO1908" s="76"/>
      <c r="BP1908" s="76"/>
      <c r="BQ1908" s="76"/>
      <c r="BR1908" s="76"/>
      <c r="BS1908" s="76"/>
      <c r="BT1908" s="76"/>
      <c r="BU1908" s="76"/>
      <c r="BV1908" s="76"/>
      <c r="BW1908" s="76"/>
      <c r="BX1908" s="76"/>
      <c r="BY1908" s="76"/>
      <c r="BZ1908" s="76"/>
      <c r="CA1908" s="76"/>
      <c r="CB1908" s="76"/>
      <c r="CC1908" s="76"/>
      <c r="CD1908" s="76"/>
      <c r="CE1908" s="76"/>
      <c r="CF1908" s="76">
        <f>+CE1908*28000</f>
        <v>0</v>
      </c>
      <c r="CG1908" s="76"/>
      <c r="CH1908" s="76">
        <f>+CG1908*22500</f>
        <v>0</v>
      </c>
      <c r="CI1908" s="76"/>
      <c r="CJ1908" s="76">
        <f>+CI1908*26000</f>
        <v>0</v>
      </c>
      <c r="CK1908" s="76"/>
      <c r="CL1908" s="76"/>
      <c r="CM1908" s="76"/>
      <c r="CN1908" s="76">
        <f>+CM1908*22000</f>
        <v>0</v>
      </c>
      <c r="CO1908" s="76"/>
      <c r="CP1908" s="76">
        <f>+CO1908*46000</f>
        <v>0</v>
      </c>
      <c r="CQ1908" s="76"/>
      <c r="CR1908" s="76">
        <f>+CQ1908*49000</f>
        <v>0</v>
      </c>
      <c r="CS1908" s="76"/>
      <c r="CT1908" s="76"/>
      <c r="CU1908" s="56">
        <f>AN1908+AP1908+AR1908+AT1908+AV1908+AX1908+AZ1908+BB1908+BD1908+BF1908+BH1908+BJ1908+BL1908+BN1908+BP1908+BR1908+BT1908+BV1908+BX1908+BZ1908+CB1908+CD1908+CF1908+CH1908+CJ1908+CL1908+CN1908+CP1908+CR1908+CT1908</f>
        <v>0</v>
      </c>
      <c r="CV1908" s="76"/>
      <c r="CW1908" s="76">
        <f>+CV1908*1100</f>
        <v>0</v>
      </c>
      <c r="CX1908" s="76"/>
      <c r="CY1908" s="76">
        <f>+CX1908*106250</f>
        <v>0</v>
      </c>
      <c r="CZ1908" s="76"/>
      <c r="DA1908" s="76">
        <f>+CZ1908*34500</f>
        <v>0</v>
      </c>
      <c r="DB1908" s="76"/>
      <c r="DC1908" s="76">
        <f>+DB1908*25000</f>
        <v>0</v>
      </c>
      <c r="DD1908" s="219"/>
      <c r="DE1908" s="219"/>
      <c r="DF1908" s="166"/>
      <c r="DG1908" s="116"/>
      <c r="DH1908" s="117"/>
      <c r="DI1908" s="24"/>
      <c r="DJ1908" s="24"/>
      <c r="DK1908" s="24"/>
      <c r="DL1908" s="24"/>
      <c r="DM1908" s="24"/>
      <c r="DN1908" s="24"/>
      <c r="DO1908" s="24"/>
      <c r="DP1908" s="24"/>
      <c r="DQ1908" s="24"/>
      <c r="DR1908" s="24"/>
      <c r="DS1908" s="24"/>
      <c r="DT1908" s="24"/>
      <c r="DU1908" s="24"/>
    </row>
    <row r="1909" spans="1:125" s="8" customFormat="1" ht="72" x14ac:dyDescent="0.2">
      <c r="A1909" s="77">
        <v>41417</v>
      </c>
      <c r="B1909" s="78" t="s">
        <v>2772</v>
      </c>
      <c r="C1909" s="75" t="s">
        <v>2190</v>
      </c>
      <c r="D1909" s="75" t="s">
        <v>2142</v>
      </c>
      <c r="E1909" s="75" t="str">
        <f>VLOOKUP(B1909&amp;C1909,Divipola!$C$2:$F$1138,4,FALSE)</f>
        <v>25148</v>
      </c>
      <c r="F1909" s="87"/>
      <c r="G1909" s="87"/>
      <c r="H1909" s="87"/>
      <c r="I1909" s="87"/>
      <c r="J1909" s="87"/>
      <c r="K1909" s="87"/>
      <c r="L1909" s="87"/>
      <c r="M1909" s="87"/>
      <c r="N1909" s="87"/>
      <c r="O1909" s="87"/>
      <c r="P1909" s="87"/>
      <c r="Q1909" s="87"/>
      <c r="R1909" s="87"/>
      <c r="S1909" s="87"/>
      <c r="T1909" s="87"/>
      <c r="U1909" s="88"/>
      <c r="V1909" s="89"/>
      <c r="W1909" s="96">
        <v>0</v>
      </c>
      <c r="X1909" s="71">
        <f>CU1909</f>
        <v>0</v>
      </c>
      <c r="Y1909" s="71">
        <f>CY1909</f>
        <v>0</v>
      </c>
      <c r="Z1909" s="71">
        <f>DA1909+DC1909+DE1909</f>
        <v>0</v>
      </c>
      <c r="AA1909" s="71">
        <f>CW1909</f>
        <v>0</v>
      </c>
      <c r="AB1909" s="71"/>
      <c r="AC1909" s="71">
        <v>0</v>
      </c>
      <c r="AD1909" s="71">
        <f>W1909+X1909+Y1909+Z1909+AA1909+AB1909+AC1909</f>
        <v>0</v>
      </c>
      <c r="AE1909" s="72">
        <v>0</v>
      </c>
      <c r="AF1909" s="5"/>
      <c r="AG1909" s="6"/>
      <c r="AH1909" s="27" t="s">
        <v>3392</v>
      </c>
      <c r="AI1909" s="44" t="s">
        <v>3393</v>
      </c>
      <c r="AJ1909" s="26"/>
      <c r="AK1909" s="5"/>
      <c r="AL1909" s="82" t="s">
        <v>4712</v>
      </c>
      <c r="AM1909" s="76"/>
      <c r="AN1909" s="76"/>
      <c r="AO1909" s="76"/>
      <c r="AP1909" s="76"/>
      <c r="AQ1909" s="76"/>
      <c r="AR1909" s="76"/>
      <c r="AS1909" s="76"/>
      <c r="AT1909" s="76"/>
      <c r="AU1909" s="76"/>
      <c r="AV1909" s="76"/>
      <c r="AW1909" s="76"/>
      <c r="AX1909" s="76">
        <f>+AW1909*600000</f>
        <v>0</v>
      </c>
      <c r="AY1909" s="76"/>
      <c r="AZ1909" s="76">
        <f>+AY1909*70000</f>
        <v>0</v>
      </c>
      <c r="BA1909" s="76"/>
      <c r="BB1909" s="76"/>
      <c r="BC1909" s="76"/>
      <c r="BD1909" s="76">
        <f>+BC1909*30000</f>
        <v>0</v>
      </c>
      <c r="BE1909" s="76"/>
      <c r="BF1909" s="76"/>
      <c r="BG1909" s="76"/>
      <c r="BH1909" s="76"/>
      <c r="BI1909" s="76"/>
      <c r="BJ1909" s="76"/>
      <c r="BK1909" s="76"/>
      <c r="BL1909" s="76">
        <f>+BK1909*31500</f>
        <v>0</v>
      </c>
      <c r="BM1909" s="76"/>
      <c r="BN1909" s="76"/>
      <c r="BO1909" s="76"/>
      <c r="BP1909" s="76"/>
      <c r="BQ1909" s="76"/>
      <c r="BR1909" s="76"/>
      <c r="BS1909" s="76"/>
      <c r="BT1909" s="76"/>
      <c r="BU1909" s="76"/>
      <c r="BV1909" s="76"/>
      <c r="BW1909" s="76"/>
      <c r="BX1909" s="76"/>
      <c r="BY1909" s="76"/>
      <c r="BZ1909" s="76"/>
      <c r="CA1909" s="76"/>
      <c r="CB1909" s="76"/>
      <c r="CC1909" s="76"/>
      <c r="CD1909" s="76"/>
      <c r="CE1909" s="76"/>
      <c r="CF1909" s="76">
        <f>+CE1909*28000</f>
        <v>0</v>
      </c>
      <c r="CG1909" s="76"/>
      <c r="CH1909" s="76">
        <f>+CG1909*22500</f>
        <v>0</v>
      </c>
      <c r="CI1909" s="76"/>
      <c r="CJ1909" s="76">
        <f>+CI1909*26000</f>
        <v>0</v>
      </c>
      <c r="CK1909" s="76"/>
      <c r="CL1909" s="76"/>
      <c r="CM1909" s="76"/>
      <c r="CN1909" s="76">
        <f>+CM1909*22000</f>
        <v>0</v>
      </c>
      <c r="CO1909" s="76"/>
      <c r="CP1909" s="76">
        <f>+CO1909*46000</f>
        <v>0</v>
      </c>
      <c r="CQ1909" s="76"/>
      <c r="CR1909" s="76">
        <f>+CQ1909*49000</f>
        <v>0</v>
      </c>
      <c r="CS1909" s="76"/>
      <c r="CT1909" s="76"/>
      <c r="CU1909" s="56">
        <f>AN1909+AP1909+AR1909+AT1909+AV1909+AX1909+AZ1909+BB1909+BD1909+BF1909+BH1909+BJ1909+BL1909+BN1909+BP1909+BR1909+BT1909+BV1909+BX1909+BZ1909+CB1909+CD1909+CF1909+CH1909+CJ1909+CL1909+CN1909+CP1909+CR1909+CT1909</f>
        <v>0</v>
      </c>
      <c r="CV1909" s="76"/>
      <c r="CW1909" s="76">
        <f>+CV1909*1100</f>
        <v>0</v>
      </c>
      <c r="CX1909" s="76"/>
      <c r="CY1909" s="76">
        <f>+CX1909*106250</f>
        <v>0</v>
      </c>
      <c r="CZ1909" s="76"/>
      <c r="DA1909" s="76">
        <f>+CZ1909*34500</f>
        <v>0</v>
      </c>
      <c r="DB1909" s="76"/>
      <c r="DC1909" s="76">
        <f>+DB1909*25000</f>
        <v>0</v>
      </c>
      <c r="DD1909" s="219"/>
      <c r="DE1909" s="219"/>
      <c r="DF1909" s="166"/>
      <c r="DG1909" s="116"/>
      <c r="DH1909" s="117"/>
      <c r="DI1909" s="24"/>
      <c r="DJ1909" s="24"/>
      <c r="DK1909" s="24"/>
      <c r="DL1909" s="24"/>
      <c r="DM1909" s="24"/>
      <c r="DN1909" s="24"/>
      <c r="DO1909" s="24"/>
      <c r="DP1909" s="24"/>
      <c r="DQ1909" s="24"/>
      <c r="DR1909" s="24"/>
      <c r="DS1909" s="24"/>
      <c r="DT1909" s="24"/>
      <c r="DU1909" s="24"/>
    </row>
    <row r="1910" spans="1:125" s="8" customFormat="1" ht="96" x14ac:dyDescent="0.2">
      <c r="A1910" s="226">
        <v>41417</v>
      </c>
      <c r="B1910" s="225" t="s">
        <v>2661</v>
      </c>
      <c r="C1910" s="227" t="s">
        <v>2169</v>
      </c>
      <c r="D1910" s="227" t="s">
        <v>3088</v>
      </c>
      <c r="E1910" s="75" t="str">
        <f>VLOOKUP(B1910&amp;C1910,Divipola!$C$2:$F$1138,4,FALSE)</f>
        <v>41001</v>
      </c>
      <c r="F1910" s="87"/>
      <c r="G1910" s="87"/>
      <c r="H1910" s="87"/>
      <c r="I1910" s="87">
        <v>15</v>
      </c>
      <c r="J1910" s="87">
        <v>3</v>
      </c>
      <c r="K1910" s="87"/>
      <c r="L1910" s="87">
        <v>3</v>
      </c>
      <c r="M1910" s="87"/>
      <c r="N1910" s="87"/>
      <c r="O1910" s="87"/>
      <c r="P1910" s="87"/>
      <c r="Q1910" s="87"/>
      <c r="R1910" s="87"/>
      <c r="S1910" s="87"/>
      <c r="T1910" s="87"/>
      <c r="U1910" s="88"/>
      <c r="V1910" s="89"/>
      <c r="W1910" s="96">
        <v>0</v>
      </c>
      <c r="X1910" s="71">
        <f>CU1910</f>
        <v>0</v>
      </c>
      <c r="Y1910" s="71">
        <f>CY1910</f>
        <v>0</v>
      </c>
      <c r="Z1910" s="71">
        <f>DA1910+DC1910+DE1910</f>
        <v>0</v>
      </c>
      <c r="AA1910" s="71">
        <f>CW1910</f>
        <v>0</v>
      </c>
      <c r="AB1910" s="71"/>
      <c r="AC1910" s="71">
        <v>0</v>
      </c>
      <c r="AD1910" s="71">
        <f>W1910+X1910+Y1910+Z1910+AA1910+AB1910+AC1910</f>
        <v>0</v>
      </c>
      <c r="AE1910" s="72">
        <v>0</v>
      </c>
      <c r="AF1910" s="5"/>
      <c r="AG1910" s="6"/>
      <c r="AH1910" s="27" t="s">
        <v>3392</v>
      </c>
      <c r="AI1910" s="44" t="s">
        <v>3393</v>
      </c>
      <c r="AJ1910" s="26"/>
      <c r="AK1910" s="5"/>
      <c r="AL1910" s="82" t="s">
        <v>4729</v>
      </c>
      <c r="AM1910" s="76"/>
      <c r="AN1910" s="76"/>
      <c r="AO1910" s="76"/>
      <c r="AP1910" s="76"/>
      <c r="AQ1910" s="76"/>
      <c r="AR1910" s="76"/>
      <c r="AS1910" s="76"/>
      <c r="AT1910" s="76"/>
      <c r="AU1910" s="76"/>
      <c r="AV1910" s="76"/>
      <c r="AW1910" s="76"/>
      <c r="AX1910" s="76">
        <f>+AW1910*600000</f>
        <v>0</v>
      </c>
      <c r="AY1910" s="76"/>
      <c r="AZ1910" s="76">
        <f>+AY1910*70000</f>
        <v>0</v>
      </c>
      <c r="BA1910" s="76"/>
      <c r="BB1910" s="76"/>
      <c r="BC1910" s="76"/>
      <c r="BD1910" s="76">
        <f>+BC1910*30000</f>
        <v>0</v>
      </c>
      <c r="BE1910" s="76"/>
      <c r="BF1910" s="76"/>
      <c r="BG1910" s="76"/>
      <c r="BH1910" s="76"/>
      <c r="BI1910" s="76"/>
      <c r="BJ1910" s="76"/>
      <c r="BK1910" s="76"/>
      <c r="BL1910" s="76">
        <f>+BK1910*31500</f>
        <v>0</v>
      </c>
      <c r="BM1910" s="76"/>
      <c r="BN1910" s="76"/>
      <c r="BO1910" s="76"/>
      <c r="BP1910" s="76"/>
      <c r="BQ1910" s="76"/>
      <c r="BR1910" s="76"/>
      <c r="BS1910" s="76"/>
      <c r="BT1910" s="76"/>
      <c r="BU1910" s="76"/>
      <c r="BV1910" s="76"/>
      <c r="BW1910" s="76"/>
      <c r="BX1910" s="76"/>
      <c r="BY1910" s="76"/>
      <c r="BZ1910" s="76"/>
      <c r="CA1910" s="76"/>
      <c r="CB1910" s="76"/>
      <c r="CC1910" s="76"/>
      <c r="CD1910" s="76"/>
      <c r="CE1910" s="76"/>
      <c r="CF1910" s="76">
        <f>+CE1910*28000</f>
        <v>0</v>
      </c>
      <c r="CG1910" s="76"/>
      <c r="CH1910" s="76">
        <f>+CG1910*22500</f>
        <v>0</v>
      </c>
      <c r="CI1910" s="76"/>
      <c r="CJ1910" s="76">
        <f>+CI1910*26000</f>
        <v>0</v>
      </c>
      <c r="CK1910" s="76"/>
      <c r="CL1910" s="76"/>
      <c r="CM1910" s="76"/>
      <c r="CN1910" s="76">
        <f>+CM1910*22000</f>
        <v>0</v>
      </c>
      <c r="CO1910" s="76"/>
      <c r="CP1910" s="76">
        <f>+CO1910*46000</f>
        <v>0</v>
      </c>
      <c r="CQ1910" s="76"/>
      <c r="CR1910" s="76">
        <f>+CQ1910*49000</f>
        <v>0</v>
      </c>
      <c r="CS1910" s="76"/>
      <c r="CT1910" s="76"/>
      <c r="CU1910" s="56">
        <f>AN1910+AP1910+AR1910+AT1910+AV1910+AX1910+AZ1910+BB1910+BD1910+BF1910+BH1910+BJ1910+BL1910+BN1910+BP1910+BR1910+BT1910+BV1910+BX1910+BZ1910+CB1910+CD1910+CF1910+CH1910+CJ1910+CL1910+CN1910+CP1910+CR1910+CT1910</f>
        <v>0</v>
      </c>
      <c r="CV1910" s="76"/>
      <c r="CW1910" s="76">
        <f>+CV1910*1100</f>
        <v>0</v>
      </c>
      <c r="CX1910" s="76"/>
      <c r="CY1910" s="76">
        <f>+CX1910*106250</f>
        <v>0</v>
      </c>
      <c r="CZ1910" s="76"/>
      <c r="DA1910" s="76">
        <f>+CZ1910*34500</f>
        <v>0</v>
      </c>
      <c r="DB1910" s="76"/>
      <c r="DC1910" s="76">
        <f>+DB1910*25000</f>
        <v>0</v>
      </c>
      <c r="DD1910" s="219"/>
      <c r="DE1910" s="219"/>
      <c r="DF1910" s="166"/>
      <c r="DG1910" s="116"/>
      <c r="DH1910" s="117"/>
      <c r="DI1910" s="24"/>
      <c r="DJ1910" s="24"/>
      <c r="DK1910" s="24"/>
      <c r="DL1910" s="24"/>
      <c r="DM1910" s="24"/>
      <c r="DN1910" s="24"/>
      <c r="DO1910" s="24"/>
      <c r="DP1910" s="24"/>
      <c r="DQ1910" s="24"/>
      <c r="DR1910" s="24"/>
      <c r="DS1910" s="24"/>
      <c r="DT1910" s="24"/>
      <c r="DU1910" s="24"/>
    </row>
    <row r="1911" spans="1:125" s="8" customFormat="1" ht="108" x14ac:dyDescent="0.2">
      <c r="A1911" s="353">
        <v>41417</v>
      </c>
      <c r="B1911" s="352" t="s">
        <v>2661</v>
      </c>
      <c r="C1911" s="354" t="s">
        <v>2169</v>
      </c>
      <c r="D1911" s="354" t="s">
        <v>3051</v>
      </c>
      <c r="E1911" s="75" t="str">
        <f>VLOOKUP(B1911&amp;C1911,Divipola!$C$2:$F$1138,4,FALSE)</f>
        <v>41001</v>
      </c>
      <c r="F1911" s="87"/>
      <c r="G1911" s="87"/>
      <c r="H1911" s="87"/>
      <c r="I1911" s="87">
        <v>160</v>
      </c>
      <c r="J1911" s="87">
        <v>32</v>
      </c>
      <c r="K1911" s="87"/>
      <c r="L1911" s="87">
        <v>32</v>
      </c>
      <c r="M1911" s="87"/>
      <c r="N1911" s="87"/>
      <c r="O1911" s="87"/>
      <c r="P1911" s="87"/>
      <c r="Q1911" s="87"/>
      <c r="R1911" s="87"/>
      <c r="S1911" s="87"/>
      <c r="T1911" s="87"/>
      <c r="U1911" s="88"/>
      <c r="V1911" s="89"/>
      <c r="W1911" s="96">
        <v>0</v>
      </c>
      <c r="X1911" s="71">
        <f>CU1911</f>
        <v>0</v>
      </c>
      <c r="Y1911" s="71">
        <f>CY1911</f>
        <v>0</v>
      </c>
      <c r="Z1911" s="71">
        <f>DA1911+DC1911+DE1911</f>
        <v>0</v>
      </c>
      <c r="AA1911" s="71">
        <f>CW1911</f>
        <v>0</v>
      </c>
      <c r="AB1911" s="71"/>
      <c r="AC1911" s="71">
        <v>0</v>
      </c>
      <c r="AD1911" s="71">
        <f>W1911+X1911+Y1911+Z1911+AA1911+AB1911+AC1911</f>
        <v>0</v>
      </c>
      <c r="AE1911" s="72">
        <v>0</v>
      </c>
      <c r="AF1911" s="5"/>
      <c r="AG1911" s="6"/>
      <c r="AH1911" s="27" t="s">
        <v>3392</v>
      </c>
      <c r="AI1911" s="44" t="s">
        <v>3393</v>
      </c>
      <c r="AJ1911" s="26"/>
      <c r="AK1911" s="5"/>
      <c r="AL1911" s="82" t="s">
        <v>4728</v>
      </c>
      <c r="AM1911" s="76"/>
      <c r="AN1911" s="76"/>
      <c r="AO1911" s="76"/>
      <c r="AP1911" s="76"/>
      <c r="AQ1911" s="76"/>
      <c r="AR1911" s="76"/>
      <c r="AS1911" s="76"/>
      <c r="AT1911" s="76"/>
      <c r="AU1911" s="76"/>
      <c r="AV1911" s="76"/>
      <c r="AW1911" s="76"/>
      <c r="AX1911" s="76">
        <f>+AW1911*600000</f>
        <v>0</v>
      </c>
      <c r="AY1911" s="76"/>
      <c r="AZ1911" s="76">
        <f>+AY1911*70000</f>
        <v>0</v>
      </c>
      <c r="BA1911" s="76"/>
      <c r="BB1911" s="76"/>
      <c r="BC1911" s="76"/>
      <c r="BD1911" s="76">
        <f>+BC1911*30000</f>
        <v>0</v>
      </c>
      <c r="BE1911" s="76"/>
      <c r="BF1911" s="76"/>
      <c r="BG1911" s="76"/>
      <c r="BH1911" s="76"/>
      <c r="BI1911" s="76"/>
      <c r="BJ1911" s="76"/>
      <c r="BK1911" s="76"/>
      <c r="BL1911" s="76">
        <f>+BK1911*31500</f>
        <v>0</v>
      </c>
      <c r="BM1911" s="76"/>
      <c r="BN1911" s="76"/>
      <c r="BO1911" s="76"/>
      <c r="BP1911" s="76"/>
      <c r="BQ1911" s="76"/>
      <c r="BR1911" s="76"/>
      <c r="BS1911" s="76"/>
      <c r="BT1911" s="76"/>
      <c r="BU1911" s="76"/>
      <c r="BV1911" s="76"/>
      <c r="BW1911" s="76"/>
      <c r="BX1911" s="76"/>
      <c r="BY1911" s="76"/>
      <c r="BZ1911" s="76"/>
      <c r="CA1911" s="76"/>
      <c r="CB1911" s="76"/>
      <c r="CC1911" s="76"/>
      <c r="CD1911" s="76"/>
      <c r="CE1911" s="76"/>
      <c r="CF1911" s="76">
        <f>+CE1911*28000</f>
        <v>0</v>
      </c>
      <c r="CG1911" s="76"/>
      <c r="CH1911" s="76">
        <f>+CG1911*22500</f>
        <v>0</v>
      </c>
      <c r="CI1911" s="76"/>
      <c r="CJ1911" s="76">
        <f>+CI1911*26000</f>
        <v>0</v>
      </c>
      <c r="CK1911" s="76"/>
      <c r="CL1911" s="76"/>
      <c r="CM1911" s="76"/>
      <c r="CN1911" s="76">
        <f>+CM1911*22000</f>
        <v>0</v>
      </c>
      <c r="CO1911" s="76"/>
      <c r="CP1911" s="76">
        <f>+CO1911*46000</f>
        <v>0</v>
      </c>
      <c r="CQ1911" s="76"/>
      <c r="CR1911" s="76">
        <f>+CQ1911*49000</f>
        <v>0</v>
      </c>
      <c r="CS1911" s="76"/>
      <c r="CT1911" s="76"/>
      <c r="CU1911" s="56">
        <f>AN1911+AP1911+AR1911+AT1911+AV1911+AX1911+AZ1911+BB1911+BD1911+BF1911+BH1911+BJ1911+BL1911+BN1911+BP1911+BR1911+BT1911+BV1911+BX1911+BZ1911+CB1911+CD1911+CF1911+CH1911+CJ1911+CL1911+CN1911+CP1911+CR1911+CT1911</f>
        <v>0</v>
      </c>
      <c r="CV1911" s="76"/>
      <c r="CW1911" s="76">
        <f>+CV1911*1100</f>
        <v>0</v>
      </c>
      <c r="CX1911" s="76"/>
      <c r="CY1911" s="76">
        <f>+CX1911*106250</f>
        <v>0</v>
      </c>
      <c r="CZ1911" s="76"/>
      <c r="DA1911" s="76">
        <f>+CZ1911*34500</f>
        <v>0</v>
      </c>
      <c r="DB1911" s="76"/>
      <c r="DC1911" s="76">
        <f>+DB1911*25000</f>
        <v>0</v>
      </c>
      <c r="DD1911" s="219"/>
      <c r="DE1911" s="219"/>
      <c r="DF1911" s="166"/>
      <c r="DG1911" s="116"/>
      <c r="DH1911" s="117"/>
      <c r="DI1911" s="24"/>
      <c r="DJ1911" s="24"/>
      <c r="DK1911" s="24"/>
      <c r="DL1911" s="24"/>
      <c r="DM1911" s="24"/>
      <c r="DN1911" s="24"/>
      <c r="DO1911" s="24"/>
      <c r="DP1911" s="24"/>
      <c r="DQ1911" s="24"/>
      <c r="DR1911" s="24"/>
      <c r="DS1911" s="24"/>
      <c r="DT1911" s="24"/>
      <c r="DU1911" s="24"/>
    </row>
    <row r="1912" spans="1:125" s="8" customFormat="1" ht="36" x14ac:dyDescent="0.2">
      <c r="A1912" s="77">
        <v>41417</v>
      </c>
      <c r="B1912" s="352" t="s">
        <v>2860</v>
      </c>
      <c r="C1912" s="227" t="s">
        <v>2776</v>
      </c>
      <c r="D1912" s="227" t="s">
        <v>3088</v>
      </c>
      <c r="E1912" s="75" t="str">
        <f>VLOOKUP(B1912&amp;C1912,Divipola!$C$2:$F$1138,4,FALSE)</f>
        <v>63001</v>
      </c>
      <c r="F1912" s="87"/>
      <c r="G1912" s="87"/>
      <c r="H1912" s="87"/>
      <c r="I1912" s="87">
        <v>15</v>
      </c>
      <c r="J1912" s="87">
        <v>3</v>
      </c>
      <c r="K1912" s="87"/>
      <c r="L1912" s="87">
        <v>3</v>
      </c>
      <c r="M1912" s="87"/>
      <c r="N1912" s="87"/>
      <c r="O1912" s="87"/>
      <c r="P1912" s="87"/>
      <c r="Q1912" s="87"/>
      <c r="R1912" s="87"/>
      <c r="S1912" s="87"/>
      <c r="T1912" s="87"/>
      <c r="U1912" s="88"/>
      <c r="V1912" s="89"/>
      <c r="W1912" s="96">
        <v>0</v>
      </c>
      <c r="X1912" s="71">
        <f>CU1912</f>
        <v>0</v>
      </c>
      <c r="Y1912" s="71">
        <f>CY1912</f>
        <v>0</v>
      </c>
      <c r="Z1912" s="71">
        <f>DA1912+DC1912+DE1912</f>
        <v>0</v>
      </c>
      <c r="AA1912" s="71">
        <f>CW1912</f>
        <v>0</v>
      </c>
      <c r="AB1912" s="71"/>
      <c r="AC1912" s="71">
        <v>0</v>
      </c>
      <c r="AD1912" s="71">
        <f>W1912+X1912+Y1912+Z1912+AA1912+AB1912+AC1912</f>
        <v>0</v>
      </c>
      <c r="AE1912" s="72">
        <v>0</v>
      </c>
      <c r="AF1912" s="5"/>
      <c r="AG1912" s="6"/>
      <c r="AH1912" s="27" t="s">
        <v>3392</v>
      </c>
      <c r="AI1912" s="44" t="s">
        <v>3393</v>
      </c>
      <c r="AJ1912" s="26"/>
      <c r="AK1912" s="5"/>
      <c r="AL1912" s="82" t="s">
        <v>4716</v>
      </c>
      <c r="AM1912" s="76"/>
      <c r="AN1912" s="76"/>
      <c r="AO1912" s="76"/>
      <c r="AP1912" s="76"/>
      <c r="AQ1912" s="76"/>
      <c r="AR1912" s="76"/>
      <c r="AS1912" s="76"/>
      <c r="AT1912" s="76"/>
      <c r="AU1912" s="76"/>
      <c r="AV1912" s="76"/>
      <c r="AW1912" s="76"/>
      <c r="AX1912" s="76">
        <f>+AW1912*600000</f>
        <v>0</v>
      </c>
      <c r="AY1912" s="76"/>
      <c r="AZ1912" s="76">
        <f>+AY1912*70000</f>
        <v>0</v>
      </c>
      <c r="BA1912" s="76"/>
      <c r="BB1912" s="76"/>
      <c r="BC1912" s="76"/>
      <c r="BD1912" s="76">
        <f>+BC1912*30000</f>
        <v>0</v>
      </c>
      <c r="BE1912" s="76"/>
      <c r="BF1912" s="76"/>
      <c r="BG1912" s="76"/>
      <c r="BH1912" s="76"/>
      <c r="BI1912" s="76"/>
      <c r="BJ1912" s="76"/>
      <c r="BK1912" s="76"/>
      <c r="BL1912" s="76">
        <f>+BK1912*31500</f>
        <v>0</v>
      </c>
      <c r="BM1912" s="76"/>
      <c r="BN1912" s="76"/>
      <c r="BO1912" s="76"/>
      <c r="BP1912" s="76"/>
      <c r="BQ1912" s="76"/>
      <c r="BR1912" s="76"/>
      <c r="BS1912" s="76"/>
      <c r="BT1912" s="76"/>
      <c r="BU1912" s="76"/>
      <c r="BV1912" s="76"/>
      <c r="BW1912" s="76"/>
      <c r="BX1912" s="76"/>
      <c r="BY1912" s="76"/>
      <c r="BZ1912" s="76"/>
      <c r="CA1912" s="76"/>
      <c r="CB1912" s="76"/>
      <c r="CC1912" s="76"/>
      <c r="CD1912" s="76"/>
      <c r="CE1912" s="76"/>
      <c r="CF1912" s="76">
        <f>+CE1912*28000</f>
        <v>0</v>
      </c>
      <c r="CG1912" s="76"/>
      <c r="CH1912" s="76">
        <f>+CG1912*22500</f>
        <v>0</v>
      </c>
      <c r="CI1912" s="76"/>
      <c r="CJ1912" s="76">
        <f>+CI1912*26000</f>
        <v>0</v>
      </c>
      <c r="CK1912" s="76"/>
      <c r="CL1912" s="76"/>
      <c r="CM1912" s="76"/>
      <c r="CN1912" s="76">
        <f>+CM1912*22000</f>
        <v>0</v>
      </c>
      <c r="CO1912" s="76"/>
      <c r="CP1912" s="76">
        <f>+CO1912*46000</f>
        <v>0</v>
      </c>
      <c r="CQ1912" s="76"/>
      <c r="CR1912" s="76">
        <f>+CQ1912*49000</f>
        <v>0</v>
      </c>
      <c r="CS1912" s="76"/>
      <c r="CT1912" s="76"/>
      <c r="CU1912" s="56">
        <f>AN1912+AP1912+AR1912+AT1912+AV1912+AX1912+AZ1912+BB1912+BD1912+BF1912+BH1912+BJ1912+BL1912+BN1912+BP1912+BR1912+BT1912+BV1912+BX1912+BZ1912+CB1912+CD1912+CF1912+CH1912+CJ1912+CL1912+CN1912+CP1912+CR1912+CT1912</f>
        <v>0</v>
      </c>
      <c r="CV1912" s="76"/>
      <c r="CW1912" s="76">
        <f>+CV1912*1100</f>
        <v>0</v>
      </c>
      <c r="CX1912" s="76"/>
      <c r="CY1912" s="76">
        <f>+CX1912*106250</f>
        <v>0</v>
      </c>
      <c r="CZ1912" s="76"/>
      <c r="DA1912" s="76">
        <f>+CZ1912*34500</f>
        <v>0</v>
      </c>
      <c r="DB1912" s="76"/>
      <c r="DC1912" s="76">
        <f>+DB1912*25000</f>
        <v>0</v>
      </c>
      <c r="DD1912" s="219"/>
      <c r="DE1912" s="219"/>
      <c r="DF1912" s="166"/>
      <c r="DG1912" s="116"/>
      <c r="DH1912" s="117"/>
      <c r="DI1912" s="24"/>
      <c r="DJ1912" s="24"/>
      <c r="DK1912" s="24"/>
      <c r="DL1912" s="24"/>
      <c r="DM1912" s="24"/>
      <c r="DN1912" s="24"/>
      <c r="DO1912" s="24"/>
      <c r="DP1912" s="24"/>
      <c r="DQ1912" s="24"/>
      <c r="DR1912" s="24"/>
      <c r="DS1912" s="24"/>
      <c r="DT1912" s="24"/>
      <c r="DU1912" s="24"/>
    </row>
    <row r="1913" spans="1:125" s="8" customFormat="1" ht="144" x14ac:dyDescent="0.2">
      <c r="A1913" s="353">
        <v>41417</v>
      </c>
      <c r="B1913" s="225" t="s">
        <v>2860</v>
      </c>
      <c r="C1913" s="210" t="s">
        <v>2776</v>
      </c>
      <c r="D1913" s="227" t="s">
        <v>2859</v>
      </c>
      <c r="E1913" s="75" t="str">
        <f>VLOOKUP(B1913&amp;C1913,Divipola!$C$2:$F$1138,4,FALSE)</f>
        <v>63001</v>
      </c>
      <c r="F1913" s="87"/>
      <c r="G1913" s="87"/>
      <c r="H1913" s="87"/>
      <c r="I1913" s="87"/>
      <c r="J1913" s="87"/>
      <c r="K1913" s="87"/>
      <c r="L1913" s="87"/>
      <c r="M1913" s="87"/>
      <c r="N1913" s="87"/>
      <c r="O1913" s="87"/>
      <c r="P1913" s="87"/>
      <c r="Q1913" s="87"/>
      <c r="R1913" s="87"/>
      <c r="S1913" s="87"/>
      <c r="T1913" s="87"/>
      <c r="U1913" s="88"/>
      <c r="V1913" s="89">
        <v>1</v>
      </c>
      <c r="W1913" s="96">
        <v>0</v>
      </c>
      <c r="X1913" s="71">
        <f>CU1913</f>
        <v>0</v>
      </c>
      <c r="Y1913" s="71">
        <f>CY1913</f>
        <v>0</v>
      </c>
      <c r="Z1913" s="71">
        <f>DA1913+DC1913+DE1913</f>
        <v>0</v>
      </c>
      <c r="AA1913" s="71">
        <f>CW1913</f>
        <v>0</v>
      </c>
      <c r="AB1913" s="71"/>
      <c r="AC1913" s="71">
        <v>0</v>
      </c>
      <c r="AD1913" s="71">
        <f>W1913+X1913+Y1913+Z1913+AA1913+AB1913+AC1913</f>
        <v>0</v>
      </c>
      <c r="AE1913" s="72">
        <v>0</v>
      </c>
      <c r="AF1913" s="5"/>
      <c r="AG1913" s="6"/>
      <c r="AH1913" s="27" t="s">
        <v>3392</v>
      </c>
      <c r="AI1913" s="44" t="s">
        <v>3393</v>
      </c>
      <c r="AJ1913" s="26"/>
      <c r="AK1913" s="5"/>
      <c r="AL1913" s="82" t="s">
        <v>4732</v>
      </c>
      <c r="AM1913" s="76"/>
      <c r="AN1913" s="76"/>
      <c r="AO1913" s="76"/>
      <c r="AP1913" s="76"/>
      <c r="AQ1913" s="76"/>
      <c r="AR1913" s="76"/>
      <c r="AS1913" s="76"/>
      <c r="AT1913" s="76"/>
      <c r="AU1913" s="76"/>
      <c r="AV1913" s="76"/>
      <c r="AW1913" s="76"/>
      <c r="AX1913" s="76">
        <f>+AW1913*600000</f>
        <v>0</v>
      </c>
      <c r="AY1913" s="76"/>
      <c r="AZ1913" s="76">
        <f>+AY1913*70000</f>
        <v>0</v>
      </c>
      <c r="BA1913" s="76"/>
      <c r="BB1913" s="76"/>
      <c r="BC1913" s="76"/>
      <c r="BD1913" s="76">
        <f>+BC1913*30000</f>
        <v>0</v>
      </c>
      <c r="BE1913" s="76"/>
      <c r="BF1913" s="76"/>
      <c r="BG1913" s="76"/>
      <c r="BH1913" s="76"/>
      <c r="BI1913" s="76"/>
      <c r="BJ1913" s="76"/>
      <c r="BK1913" s="76"/>
      <c r="BL1913" s="76">
        <f>+BK1913*31500</f>
        <v>0</v>
      </c>
      <c r="BM1913" s="76"/>
      <c r="BN1913" s="76"/>
      <c r="BO1913" s="76"/>
      <c r="BP1913" s="76"/>
      <c r="BQ1913" s="76"/>
      <c r="BR1913" s="76"/>
      <c r="BS1913" s="76"/>
      <c r="BT1913" s="76"/>
      <c r="BU1913" s="76"/>
      <c r="BV1913" s="76"/>
      <c r="BW1913" s="76"/>
      <c r="BX1913" s="76"/>
      <c r="BY1913" s="76"/>
      <c r="BZ1913" s="76"/>
      <c r="CA1913" s="76"/>
      <c r="CB1913" s="76"/>
      <c r="CC1913" s="76"/>
      <c r="CD1913" s="76"/>
      <c r="CE1913" s="76"/>
      <c r="CF1913" s="76">
        <f>+CE1913*28000</f>
        <v>0</v>
      </c>
      <c r="CG1913" s="76"/>
      <c r="CH1913" s="76">
        <f>+CG1913*22500</f>
        <v>0</v>
      </c>
      <c r="CI1913" s="76"/>
      <c r="CJ1913" s="76">
        <f>+CI1913*26000</f>
        <v>0</v>
      </c>
      <c r="CK1913" s="76"/>
      <c r="CL1913" s="76"/>
      <c r="CM1913" s="76"/>
      <c r="CN1913" s="76">
        <f>+CM1913*22000</f>
        <v>0</v>
      </c>
      <c r="CO1913" s="76"/>
      <c r="CP1913" s="76">
        <f>+CO1913*46000</f>
        <v>0</v>
      </c>
      <c r="CQ1913" s="76"/>
      <c r="CR1913" s="76">
        <f>+CQ1913*49000</f>
        <v>0</v>
      </c>
      <c r="CS1913" s="76"/>
      <c r="CT1913" s="76"/>
      <c r="CU1913" s="56">
        <f>AN1913+AP1913+AR1913+AT1913+AV1913+AX1913+AZ1913+BB1913+BD1913+BF1913+BH1913+BJ1913+BL1913+BN1913+BP1913+BR1913+BT1913+BV1913+BX1913+BZ1913+CB1913+CD1913+CF1913+CH1913+CJ1913+CL1913+CN1913+CP1913+CR1913+CT1913</f>
        <v>0</v>
      </c>
      <c r="CV1913" s="76"/>
      <c r="CW1913" s="76">
        <f>+CV1913*1100</f>
        <v>0</v>
      </c>
      <c r="CX1913" s="76"/>
      <c r="CY1913" s="76">
        <f>+CX1913*106250</f>
        <v>0</v>
      </c>
      <c r="CZ1913" s="76"/>
      <c r="DA1913" s="76">
        <f>+CZ1913*34500</f>
        <v>0</v>
      </c>
      <c r="DB1913" s="76"/>
      <c r="DC1913" s="76">
        <f>+DB1913*25000</f>
        <v>0</v>
      </c>
      <c r="DD1913" s="219"/>
      <c r="DE1913" s="219"/>
      <c r="DF1913" s="166"/>
      <c r="DG1913" s="116"/>
      <c r="DH1913" s="117"/>
      <c r="DI1913" s="24"/>
      <c r="DJ1913" s="24"/>
      <c r="DK1913" s="24"/>
      <c r="DL1913" s="24"/>
      <c r="DM1913" s="24"/>
      <c r="DN1913" s="24"/>
      <c r="DO1913" s="24"/>
      <c r="DP1913" s="24"/>
      <c r="DQ1913" s="24"/>
      <c r="DR1913" s="24"/>
      <c r="DS1913" s="24"/>
      <c r="DT1913" s="24"/>
      <c r="DU1913" s="24"/>
    </row>
    <row r="1914" spans="1:125" s="8" customFormat="1" ht="48" x14ac:dyDescent="0.2">
      <c r="A1914" s="77">
        <v>41417</v>
      </c>
      <c r="B1914" s="352" t="s">
        <v>2774</v>
      </c>
      <c r="C1914" s="354" t="s">
        <v>284</v>
      </c>
      <c r="D1914" s="354" t="s">
        <v>3017</v>
      </c>
      <c r="E1914" s="75" t="str">
        <f>VLOOKUP(B1914&amp;C1914,Divipola!$C$2:$F$1138,4,FALSE)</f>
        <v>66170</v>
      </c>
      <c r="F1914" s="87"/>
      <c r="G1914" s="87">
        <v>4</v>
      </c>
      <c r="H1914" s="87"/>
      <c r="I1914" s="87">
        <v>4</v>
      </c>
      <c r="J1914" s="87">
        <v>1</v>
      </c>
      <c r="K1914" s="87">
        <v>1</v>
      </c>
      <c r="L1914" s="87"/>
      <c r="M1914" s="87"/>
      <c r="N1914" s="87"/>
      <c r="O1914" s="87"/>
      <c r="P1914" s="87"/>
      <c r="Q1914" s="87"/>
      <c r="R1914" s="87"/>
      <c r="S1914" s="87"/>
      <c r="T1914" s="87"/>
      <c r="U1914" s="88"/>
      <c r="V1914" s="89"/>
      <c r="W1914" s="96">
        <v>0</v>
      </c>
      <c r="X1914" s="71">
        <f>CU1914</f>
        <v>0</v>
      </c>
      <c r="Y1914" s="71">
        <f>CY1914</f>
        <v>0</v>
      </c>
      <c r="Z1914" s="71">
        <f>DA1914+DC1914+DE1914</f>
        <v>0</v>
      </c>
      <c r="AA1914" s="71">
        <f>CW1914</f>
        <v>0</v>
      </c>
      <c r="AB1914" s="71"/>
      <c r="AC1914" s="71">
        <v>0</v>
      </c>
      <c r="AD1914" s="71">
        <f>W1914+X1914+Y1914+Z1914+AA1914+AB1914+AC1914</f>
        <v>0</v>
      </c>
      <c r="AE1914" s="72">
        <v>0</v>
      </c>
      <c r="AF1914" s="5"/>
      <c r="AG1914" s="6"/>
      <c r="AH1914" s="27" t="s">
        <v>3392</v>
      </c>
      <c r="AI1914" s="44" t="s">
        <v>3393</v>
      </c>
      <c r="AJ1914" s="26"/>
      <c r="AK1914" s="5"/>
      <c r="AL1914" s="82" t="s">
        <v>4733</v>
      </c>
      <c r="AM1914" s="76"/>
      <c r="AN1914" s="76"/>
      <c r="AO1914" s="76"/>
      <c r="AP1914" s="76"/>
      <c r="AQ1914" s="76"/>
      <c r="AR1914" s="76"/>
      <c r="AS1914" s="76"/>
      <c r="AT1914" s="76"/>
      <c r="AU1914" s="76"/>
      <c r="AV1914" s="76"/>
      <c r="AW1914" s="76"/>
      <c r="AX1914" s="76">
        <f>+AW1914*600000</f>
        <v>0</v>
      </c>
      <c r="AY1914" s="76"/>
      <c r="AZ1914" s="76">
        <f>+AY1914*70000</f>
        <v>0</v>
      </c>
      <c r="BA1914" s="76"/>
      <c r="BB1914" s="76"/>
      <c r="BC1914" s="76"/>
      <c r="BD1914" s="76">
        <f>+BC1914*30000</f>
        <v>0</v>
      </c>
      <c r="BE1914" s="76"/>
      <c r="BF1914" s="76"/>
      <c r="BG1914" s="76"/>
      <c r="BH1914" s="76"/>
      <c r="BI1914" s="76"/>
      <c r="BJ1914" s="76"/>
      <c r="BK1914" s="76"/>
      <c r="BL1914" s="76">
        <f>+BK1914*31500</f>
        <v>0</v>
      </c>
      <c r="BM1914" s="76"/>
      <c r="BN1914" s="76"/>
      <c r="BO1914" s="76"/>
      <c r="BP1914" s="76"/>
      <c r="BQ1914" s="76"/>
      <c r="BR1914" s="76"/>
      <c r="BS1914" s="76"/>
      <c r="BT1914" s="76"/>
      <c r="BU1914" s="76"/>
      <c r="BV1914" s="76"/>
      <c r="BW1914" s="76"/>
      <c r="BX1914" s="76"/>
      <c r="BY1914" s="76"/>
      <c r="BZ1914" s="76"/>
      <c r="CA1914" s="76"/>
      <c r="CB1914" s="76"/>
      <c r="CC1914" s="76"/>
      <c r="CD1914" s="76"/>
      <c r="CE1914" s="76"/>
      <c r="CF1914" s="76">
        <f>+CE1914*28000</f>
        <v>0</v>
      </c>
      <c r="CG1914" s="76"/>
      <c r="CH1914" s="76">
        <f>+CG1914*22500</f>
        <v>0</v>
      </c>
      <c r="CI1914" s="76"/>
      <c r="CJ1914" s="76">
        <f>+CI1914*26000</f>
        <v>0</v>
      </c>
      <c r="CK1914" s="76"/>
      <c r="CL1914" s="76"/>
      <c r="CM1914" s="76"/>
      <c r="CN1914" s="76">
        <f>+CM1914*22000</f>
        <v>0</v>
      </c>
      <c r="CO1914" s="76"/>
      <c r="CP1914" s="76">
        <f>+CO1914*46000</f>
        <v>0</v>
      </c>
      <c r="CQ1914" s="76"/>
      <c r="CR1914" s="76">
        <f>+CQ1914*49000</f>
        <v>0</v>
      </c>
      <c r="CS1914" s="76"/>
      <c r="CT1914" s="76"/>
      <c r="CU1914" s="56">
        <f>AN1914+AP1914+AR1914+AT1914+AV1914+AX1914+AZ1914+BB1914+BD1914+BF1914+BH1914+BJ1914+BL1914+BN1914+BP1914+BR1914+BT1914+BV1914+BX1914+BZ1914+CB1914+CD1914+CF1914+CH1914+CJ1914+CL1914+CN1914+CP1914+CR1914+CT1914</f>
        <v>0</v>
      </c>
      <c r="CV1914" s="76"/>
      <c r="CW1914" s="76">
        <f>+CV1914*1100</f>
        <v>0</v>
      </c>
      <c r="CX1914" s="76"/>
      <c r="CY1914" s="76">
        <f>+CX1914*106250</f>
        <v>0</v>
      </c>
      <c r="CZ1914" s="76"/>
      <c r="DA1914" s="76">
        <f>+CZ1914*34500</f>
        <v>0</v>
      </c>
      <c r="DB1914" s="76"/>
      <c r="DC1914" s="76">
        <f>+DB1914*25000</f>
        <v>0</v>
      </c>
      <c r="DD1914" s="219"/>
      <c r="DE1914" s="219"/>
      <c r="DF1914" s="166"/>
      <c r="DG1914" s="116"/>
      <c r="DH1914" s="117"/>
      <c r="DI1914" s="24"/>
      <c r="DJ1914" s="24"/>
      <c r="DK1914" s="24"/>
      <c r="DL1914" s="24"/>
      <c r="DM1914" s="24"/>
      <c r="DN1914" s="24"/>
      <c r="DO1914" s="24"/>
      <c r="DP1914" s="24"/>
      <c r="DQ1914" s="24"/>
      <c r="DR1914" s="24"/>
      <c r="DS1914" s="24"/>
      <c r="DT1914" s="24"/>
      <c r="DU1914" s="24"/>
    </row>
    <row r="1915" spans="1:125" s="8" customFormat="1" ht="180" x14ac:dyDescent="0.2">
      <c r="A1915" s="353">
        <v>41417</v>
      </c>
      <c r="B1915" s="352" t="s">
        <v>2848</v>
      </c>
      <c r="C1915" s="354" t="s">
        <v>2053</v>
      </c>
      <c r="D1915" s="354" t="s">
        <v>3088</v>
      </c>
      <c r="E1915" s="75" t="str">
        <f>VLOOKUP(B1915&amp;C1915,Divipola!$C$2:$F$1138,4,FALSE)</f>
        <v>73026</v>
      </c>
      <c r="F1915" s="87"/>
      <c r="G1915" s="87"/>
      <c r="H1915" s="87"/>
      <c r="I1915" s="87">
        <v>145</v>
      </c>
      <c r="J1915" s="87">
        <v>29</v>
      </c>
      <c r="K1915" s="87"/>
      <c r="L1915" s="87">
        <v>29</v>
      </c>
      <c r="M1915" s="87">
        <v>1</v>
      </c>
      <c r="N1915" s="87"/>
      <c r="O1915" s="87"/>
      <c r="P1915" s="87">
        <v>1</v>
      </c>
      <c r="Q1915" s="87"/>
      <c r="R1915" s="87"/>
      <c r="S1915" s="87">
        <v>1</v>
      </c>
      <c r="T1915" s="87"/>
      <c r="U1915" s="88"/>
      <c r="V1915" s="89"/>
      <c r="W1915" s="96">
        <v>0</v>
      </c>
      <c r="X1915" s="71">
        <f>CU1915</f>
        <v>7219951.3599999994</v>
      </c>
      <c r="Y1915" s="71">
        <f>CY1915</f>
        <v>7992008</v>
      </c>
      <c r="Z1915" s="71">
        <f>DA1915+DC1915+DE1915</f>
        <v>29488313.600000001</v>
      </c>
      <c r="AA1915" s="71">
        <f>CW1915</f>
        <v>0</v>
      </c>
      <c r="AB1915" s="71"/>
      <c r="AC1915" s="71">
        <v>0</v>
      </c>
      <c r="AD1915" s="71">
        <f>W1915+X1915+Y1915+Z1915+AA1915+AB1915+AC1915</f>
        <v>44700272.960000001</v>
      </c>
      <c r="AE1915" s="72">
        <v>0</v>
      </c>
      <c r="AF1915" s="5"/>
      <c r="AG1915" s="6"/>
      <c r="AH1915" s="27" t="s">
        <v>3390</v>
      </c>
      <c r="AI1915" s="44" t="s">
        <v>3393</v>
      </c>
      <c r="AJ1915" s="26"/>
      <c r="AK1915" s="5" t="s">
        <v>4242</v>
      </c>
      <c r="AL1915" s="82" t="s">
        <v>6019</v>
      </c>
      <c r="AM1915" s="76"/>
      <c r="AN1915" s="76"/>
      <c r="AO1915" s="76"/>
      <c r="AP1915" s="76"/>
      <c r="AQ1915" s="76"/>
      <c r="AR1915" s="76"/>
      <c r="AS1915" s="76"/>
      <c r="AT1915" s="76"/>
      <c r="AU1915" s="76"/>
      <c r="AV1915" s="76"/>
      <c r="AW1915" s="76"/>
      <c r="AX1915" s="76">
        <f>+AW1915*600000</f>
        <v>0</v>
      </c>
      <c r="AY1915" s="76"/>
      <c r="AZ1915" s="76">
        <f>+AY1915*70000</f>
        <v>0</v>
      </c>
      <c r="BA1915" s="76"/>
      <c r="BB1915" s="76"/>
      <c r="BC1915" s="76"/>
      <c r="BD1915" s="76">
        <f>+BC1915*30000</f>
        <v>0</v>
      </c>
      <c r="BE1915" s="76"/>
      <c r="BF1915" s="76"/>
      <c r="BG1915" s="76"/>
      <c r="BH1915" s="76"/>
      <c r="BI1915" s="76"/>
      <c r="BJ1915" s="76"/>
      <c r="BK1915" s="76"/>
      <c r="BL1915" s="76">
        <f>+BK1915*31500</f>
        <v>0</v>
      </c>
      <c r="BM1915" s="76"/>
      <c r="BN1915" s="76"/>
      <c r="BO1915" s="76"/>
      <c r="BP1915" s="76"/>
      <c r="BQ1915" s="76"/>
      <c r="BR1915" s="76"/>
      <c r="BS1915" s="76"/>
      <c r="BT1915" s="76"/>
      <c r="BU1915" s="76"/>
      <c r="BV1915" s="76"/>
      <c r="BW1915" s="76"/>
      <c r="BX1915" s="76"/>
      <c r="BY1915" s="76"/>
      <c r="BZ1915" s="76"/>
      <c r="CA1915" s="76"/>
      <c r="CB1915" s="76"/>
      <c r="CC1915" s="76"/>
      <c r="CD1915" s="76"/>
      <c r="CE1915" s="76"/>
      <c r="CF1915" s="76">
        <f>+CE1915*28000</f>
        <v>0</v>
      </c>
      <c r="CG1915" s="76"/>
      <c r="CH1915" s="76">
        <f>+CG1915*22500</f>
        <v>0</v>
      </c>
      <c r="CI1915" s="76"/>
      <c r="CJ1915" s="76">
        <f>+CI1915*26000</f>
        <v>0</v>
      </c>
      <c r="CK1915" s="76"/>
      <c r="CL1915" s="76"/>
      <c r="CM1915" s="76"/>
      <c r="CN1915" s="76">
        <f>+CM1915*22000</f>
        <v>0</v>
      </c>
      <c r="CO1915" s="86">
        <v>76</v>
      </c>
      <c r="CP1915" s="86">
        <f>+CO1915*45999.8</f>
        <v>3495984.8000000003</v>
      </c>
      <c r="CQ1915" s="86">
        <v>76</v>
      </c>
      <c r="CR1915" s="86">
        <f>+CQ1915*48999.56</f>
        <v>3723966.5599999996</v>
      </c>
      <c r="CS1915" s="76"/>
      <c r="CT1915" s="76"/>
      <c r="CU1915" s="56">
        <f>AN1915+AP1915+AR1915+AT1915+AV1915+AX1915+AZ1915+BB1915+BD1915+BF1915+BH1915+BJ1915+BL1915+BN1915+BP1915+BR1915+BT1915+BV1915+BX1915+BZ1915+CB1915+CD1915+CF1915+CH1915+CJ1915+CL1915+CN1915+CP1915+CR1915+CT1915</f>
        <v>7219951.3599999994</v>
      </c>
      <c r="CV1915" s="76"/>
      <c r="CW1915" s="76">
        <f>+CV1915*1100</f>
        <v>0</v>
      </c>
      <c r="CX1915" s="86">
        <v>76</v>
      </c>
      <c r="CY1915" s="86">
        <f>+CX1915*105158</f>
        <v>7992008</v>
      </c>
      <c r="CZ1915" s="86">
        <v>100</v>
      </c>
      <c r="DA1915" s="86">
        <f>+CZ1915*34499.56</f>
        <v>3449956</v>
      </c>
      <c r="DB1915" s="86">
        <v>750</v>
      </c>
      <c r="DC1915" s="86">
        <f>+DB1915*31999.76+3000*199.52</f>
        <v>24598380</v>
      </c>
      <c r="DD1915" s="223" t="s">
        <v>6020</v>
      </c>
      <c r="DE1915" s="223">
        <f>20*71998.88</f>
        <v>1439977.6</v>
      </c>
      <c r="DF1915" s="166"/>
      <c r="DG1915" s="134" t="s">
        <v>6021</v>
      </c>
      <c r="DH1915" s="117"/>
      <c r="DI1915" s="24"/>
      <c r="DJ1915" s="24"/>
      <c r="DK1915" s="24"/>
      <c r="DL1915" s="24"/>
      <c r="DM1915" s="24"/>
      <c r="DN1915" s="24"/>
      <c r="DO1915" s="24"/>
      <c r="DP1915" s="24"/>
      <c r="DQ1915" s="24"/>
      <c r="DR1915" s="24"/>
      <c r="DS1915" s="24"/>
      <c r="DT1915" s="24"/>
      <c r="DU1915" s="24"/>
    </row>
    <row r="1916" spans="1:125" s="246" customFormat="1" ht="48" x14ac:dyDescent="0.2">
      <c r="A1916" s="97">
        <v>41417</v>
      </c>
      <c r="B1916" s="60" t="s">
        <v>2848</v>
      </c>
      <c r="C1916" s="55" t="s">
        <v>2755</v>
      </c>
      <c r="D1916" s="55" t="s">
        <v>3051</v>
      </c>
      <c r="E1916" s="75" t="str">
        <f>VLOOKUP(B1916&amp;C1916,Divipola!$C$2:$F$1138,4,FALSE)</f>
        <v>73001</v>
      </c>
      <c r="F1916" s="87"/>
      <c r="G1916" s="87"/>
      <c r="H1916" s="87"/>
      <c r="I1916" s="87">
        <v>150</v>
      </c>
      <c r="J1916" s="87">
        <v>30</v>
      </c>
      <c r="K1916" s="87">
        <v>1</v>
      </c>
      <c r="L1916" s="87">
        <v>29</v>
      </c>
      <c r="M1916" s="87"/>
      <c r="N1916" s="87"/>
      <c r="O1916" s="87"/>
      <c r="P1916" s="87"/>
      <c r="Q1916" s="87"/>
      <c r="R1916" s="87"/>
      <c r="S1916" s="87"/>
      <c r="T1916" s="87"/>
      <c r="U1916" s="88"/>
      <c r="V1916" s="89"/>
      <c r="W1916" s="96">
        <v>0</v>
      </c>
      <c r="X1916" s="71">
        <f>CU1916</f>
        <v>0</v>
      </c>
      <c r="Y1916" s="71">
        <f>CY1916</f>
        <v>0</v>
      </c>
      <c r="Z1916" s="71">
        <f>DA1916+DC1916+DE1916</f>
        <v>0</v>
      </c>
      <c r="AA1916" s="71">
        <f>CW1916</f>
        <v>0</v>
      </c>
      <c r="AB1916" s="71"/>
      <c r="AC1916" s="71">
        <v>0</v>
      </c>
      <c r="AD1916" s="71">
        <f>W1916+X1916+Y1916+Z1916+AA1916+AB1916+AC1916</f>
        <v>0</v>
      </c>
      <c r="AE1916" s="72">
        <v>0</v>
      </c>
      <c r="AF1916" s="5"/>
      <c r="AG1916" s="6"/>
      <c r="AH1916" s="27" t="s">
        <v>3392</v>
      </c>
      <c r="AI1916" s="44" t="s">
        <v>3393</v>
      </c>
      <c r="AJ1916" s="26"/>
      <c r="AK1916" s="5"/>
      <c r="AL1916" s="82" t="s">
        <v>4723</v>
      </c>
      <c r="AM1916" s="76"/>
      <c r="AN1916" s="76"/>
      <c r="AO1916" s="76"/>
      <c r="AP1916" s="76"/>
      <c r="AQ1916" s="76"/>
      <c r="AR1916" s="76"/>
      <c r="AS1916" s="76"/>
      <c r="AT1916" s="76"/>
      <c r="AU1916" s="76"/>
      <c r="AV1916" s="76"/>
      <c r="AW1916" s="76"/>
      <c r="AX1916" s="76">
        <f>+AW1916*600000</f>
        <v>0</v>
      </c>
      <c r="AY1916" s="76"/>
      <c r="AZ1916" s="76">
        <f>+AY1916*70000</f>
        <v>0</v>
      </c>
      <c r="BA1916" s="76"/>
      <c r="BB1916" s="76"/>
      <c r="BC1916" s="76"/>
      <c r="BD1916" s="76">
        <f>+BC1916*30000</f>
        <v>0</v>
      </c>
      <c r="BE1916" s="76"/>
      <c r="BF1916" s="76"/>
      <c r="BG1916" s="76"/>
      <c r="BH1916" s="76"/>
      <c r="BI1916" s="76"/>
      <c r="BJ1916" s="76"/>
      <c r="BK1916" s="76"/>
      <c r="BL1916" s="76">
        <f>+BK1916*31500</f>
        <v>0</v>
      </c>
      <c r="BM1916" s="76"/>
      <c r="BN1916" s="76"/>
      <c r="BO1916" s="76"/>
      <c r="BP1916" s="76"/>
      <c r="BQ1916" s="76"/>
      <c r="BR1916" s="76"/>
      <c r="BS1916" s="76"/>
      <c r="BT1916" s="76"/>
      <c r="BU1916" s="76"/>
      <c r="BV1916" s="76"/>
      <c r="BW1916" s="76"/>
      <c r="BX1916" s="76"/>
      <c r="BY1916" s="76"/>
      <c r="BZ1916" s="76"/>
      <c r="CA1916" s="76"/>
      <c r="CB1916" s="76"/>
      <c r="CC1916" s="76"/>
      <c r="CD1916" s="76"/>
      <c r="CE1916" s="76"/>
      <c r="CF1916" s="76">
        <f>+CE1916*28000</f>
        <v>0</v>
      </c>
      <c r="CG1916" s="76"/>
      <c r="CH1916" s="76">
        <f>+CG1916*22500</f>
        <v>0</v>
      </c>
      <c r="CI1916" s="76"/>
      <c r="CJ1916" s="76">
        <f>+CI1916*26000</f>
        <v>0</v>
      </c>
      <c r="CK1916" s="76"/>
      <c r="CL1916" s="76"/>
      <c r="CM1916" s="76"/>
      <c r="CN1916" s="76">
        <f>+CM1916*22000</f>
        <v>0</v>
      </c>
      <c r="CO1916" s="76"/>
      <c r="CP1916" s="76">
        <f>+CO1916*46000</f>
        <v>0</v>
      </c>
      <c r="CQ1916" s="76"/>
      <c r="CR1916" s="76">
        <f>+CQ1916*49000</f>
        <v>0</v>
      </c>
      <c r="CS1916" s="76"/>
      <c r="CT1916" s="76"/>
      <c r="CU1916" s="56">
        <f>AN1916+AP1916+AR1916+AT1916+AV1916+AX1916+AZ1916+BB1916+BD1916+BF1916+BH1916+BJ1916+BL1916+BN1916+BP1916+BR1916+BT1916+BV1916+BX1916+BZ1916+CB1916+CD1916+CF1916+CH1916+CJ1916+CL1916+CN1916+CP1916+CR1916+CT1916</f>
        <v>0</v>
      </c>
      <c r="CV1916" s="76"/>
      <c r="CW1916" s="76">
        <f>+CV1916*1100</f>
        <v>0</v>
      </c>
      <c r="CX1916" s="76"/>
      <c r="CY1916" s="76">
        <f>+CX1916*106250</f>
        <v>0</v>
      </c>
      <c r="CZ1916" s="76"/>
      <c r="DA1916" s="76">
        <f>+CZ1916*34500</f>
        <v>0</v>
      </c>
      <c r="DB1916" s="76"/>
      <c r="DC1916" s="76">
        <f>+DB1916*25000</f>
        <v>0</v>
      </c>
      <c r="DD1916" s="219"/>
      <c r="DE1916" s="219"/>
      <c r="DF1916" s="166"/>
      <c r="DG1916" s="116"/>
      <c r="DH1916" s="117"/>
      <c r="DI1916" s="245"/>
      <c r="DJ1916" s="245"/>
      <c r="DK1916" s="245"/>
      <c r="DL1916" s="245"/>
      <c r="DM1916" s="245"/>
      <c r="DN1916" s="245"/>
      <c r="DO1916" s="245"/>
      <c r="DP1916" s="245"/>
      <c r="DQ1916" s="245"/>
      <c r="DR1916" s="245"/>
      <c r="DS1916" s="245"/>
      <c r="DT1916" s="245"/>
      <c r="DU1916" s="245"/>
    </row>
    <row r="1917" spans="1:125" s="8" customFormat="1" ht="192" x14ac:dyDescent="0.2">
      <c r="A1917" s="248">
        <v>41417</v>
      </c>
      <c r="B1917" s="229" t="s">
        <v>2848</v>
      </c>
      <c r="C1917" s="230" t="s">
        <v>1338</v>
      </c>
      <c r="D1917" s="230" t="s">
        <v>3051</v>
      </c>
      <c r="E1917" s="231" t="str">
        <f>VLOOKUP(B1917&amp;C1917,Divipola!$C$2:$F$1138,4,FALSE)</f>
        <v>73504</v>
      </c>
      <c r="F1917" s="256"/>
      <c r="G1917" s="256"/>
      <c r="H1917" s="256"/>
      <c r="I1917" s="256">
        <v>900</v>
      </c>
      <c r="J1917" s="256">
        <v>180</v>
      </c>
      <c r="K1917" s="256"/>
      <c r="L1917" s="256">
        <v>180</v>
      </c>
      <c r="M1917" s="256"/>
      <c r="N1917" s="256"/>
      <c r="O1917" s="256"/>
      <c r="P1917" s="256"/>
      <c r="Q1917" s="256"/>
      <c r="R1917" s="256"/>
      <c r="S1917" s="256"/>
      <c r="T1917" s="256"/>
      <c r="U1917" s="256"/>
      <c r="V1917" s="253"/>
      <c r="W1917" s="271">
        <v>0</v>
      </c>
      <c r="X1917" s="269">
        <f>CU1917</f>
        <v>17349795.199999999</v>
      </c>
      <c r="Y1917" s="269">
        <f>CY1917</f>
        <v>8412640</v>
      </c>
      <c r="Z1917" s="269">
        <f>DA1917+DC1917+DE1917</f>
        <v>448494.27999999997</v>
      </c>
      <c r="AA1917" s="269">
        <f>CW1917</f>
        <v>0</v>
      </c>
      <c r="AB1917" s="269"/>
      <c r="AC1917" s="269">
        <v>0</v>
      </c>
      <c r="AD1917" s="269">
        <f>W1917+X1917+Y1917+Z1917+AA1917+AB1917+AC1917</f>
        <v>26210929.48</v>
      </c>
      <c r="AE1917" s="270">
        <v>0</v>
      </c>
      <c r="AF1917" s="235"/>
      <c r="AG1917" s="236"/>
      <c r="AH1917" s="237" t="s">
        <v>3392</v>
      </c>
      <c r="AI1917" s="238" t="s">
        <v>3393</v>
      </c>
      <c r="AJ1917" s="239"/>
      <c r="AK1917" s="235"/>
      <c r="AL1917" s="82" t="s">
        <v>5263</v>
      </c>
      <c r="AM1917" s="240"/>
      <c r="AN1917" s="240"/>
      <c r="AO1917" s="240"/>
      <c r="AP1917" s="240"/>
      <c r="AQ1917" s="240"/>
      <c r="AR1917" s="240"/>
      <c r="AS1917" s="240"/>
      <c r="AT1917" s="240"/>
      <c r="AU1917" s="240"/>
      <c r="AV1917" s="240"/>
      <c r="AW1917" s="240"/>
      <c r="AX1917" s="240">
        <f>+AW1917*600000</f>
        <v>0</v>
      </c>
      <c r="AY1917" s="312">
        <v>180</v>
      </c>
      <c r="AZ1917" s="312">
        <f>+AY1917*69999.04</f>
        <v>12599827.199999999</v>
      </c>
      <c r="BA1917" s="240"/>
      <c r="BB1917" s="240"/>
      <c r="BC1917" s="240"/>
      <c r="BD1917" s="240">
        <f>+BC1917*30000</f>
        <v>0</v>
      </c>
      <c r="BE1917" s="240"/>
      <c r="BF1917" s="240"/>
      <c r="BG1917" s="240"/>
      <c r="BH1917" s="240"/>
      <c r="BI1917" s="240"/>
      <c r="BJ1917" s="240"/>
      <c r="BK1917" s="240"/>
      <c r="BL1917" s="240">
        <f>+BK1917*31500</f>
        <v>0</v>
      </c>
      <c r="BM1917" s="240"/>
      <c r="BN1917" s="240"/>
      <c r="BO1917" s="240"/>
      <c r="BP1917" s="240"/>
      <c r="BQ1917" s="240"/>
      <c r="BR1917" s="240"/>
      <c r="BS1917" s="240"/>
      <c r="BT1917" s="240"/>
      <c r="BU1917" s="240"/>
      <c r="BV1917" s="240"/>
      <c r="BW1917" s="240"/>
      <c r="BX1917" s="240"/>
      <c r="BY1917" s="240"/>
      <c r="BZ1917" s="240"/>
      <c r="CA1917" s="240"/>
      <c r="CB1917" s="240"/>
      <c r="CC1917" s="240"/>
      <c r="CD1917" s="240"/>
      <c r="CE1917" s="240"/>
      <c r="CF1917" s="240">
        <f>+CE1917*28000</f>
        <v>0</v>
      </c>
      <c r="CG1917" s="240"/>
      <c r="CH1917" s="240">
        <f>+CG1917*22500</f>
        <v>0</v>
      </c>
      <c r="CI1917" s="240"/>
      <c r="CJ1917" s="240">
        <f>+CI1917*26000</f>
        <v>0</v>
      </c>
      <c r="CK1917" s="240"/>
      <c r="CL1917" s="240"/>
      <c r="CM1917" s="240"/>
      <c r="CN1917" s="240">
        <f>+CM1917*22000</f>
        <v>0</v>
      </c>
      <c r="CO1917" s="312">
        <v>50</v>
      </c>
      <c r="CP1917" s="312">
        <f>+CO1917*45999.8</f>
        <v>2299990</v>
      </c>
      <c r="CQ1917" s="312">
        <v>50</v>
      </c>
      <c r="CR1917" s="312">
        <f>+CQ1917*48999.56</f>
        <v>2449978</v>
      </c>
      <c r="CS1917" s="240"/>
      <c r="CT1917" s="240"/>
      <c r="CU1917" s="241">
        <f>AN1917+AP1917+AR1917+AT1917+AV1917+AX1917+AZ1917+BB1917+BD1917+BF1917+BH1917+BJ1917+BL1917+BN1917+BP1917+BR1917+BT1917+BV1917+BX1917+BZ1917+CB1917+CD1917+CF1917+CH1917+CJ1917+CL1917+CN1917+CP1917+CR1917+CT1917</f>
        <v>17349795.199999999</v>
      </c>
      <c r="CV1917" s="240"/>
      <c r="CW1917" s="240">
        <f>+CV1917*1100</f>
        <v>0</v>
      </c>
      <c r="CX1917" s="312">
        <v>80</v>
      </c>
      <c r="CY1917" s="312">
        <f>+CX1917*105158</f>
        <v>8412640</v>
      </c>
      <c r="CZ1917" s="312">
        <v>13</v>
      </c>
      <c r="DA1917" s="312">
        <f>+CZ1917*34499.56</f>
        <v>448494.27999999997</v>
      </c>
      <c r="DB1917" s="240"/>
      <c r="DC1917" s="240">
        <f>+DB1917*25000</f>
        <v>0</v>
      </c>
      <c r="DD1917" s="242"/>
      <c r="DE1917" s="242"/>
      <c r="DF1917" s="243"/>
      <c r="DG1917" s="253" t="s">
        <v>6021</v>
      </c>
      <c r="DH1917" s="244"/>
      <c r="DI1917" s="24"/>
      <c r="DJ1917" s="24"/>
      <c r="DK1917" s="24"/>
      <c r="DL1917" s="24"/>
      <c r="DM1917" s="24"/>
      <c r="DN1917" s="24"/>
      <c r="DO1917" s="24"/>
      <c r="DP1917" s="24"/>
      <c r="DQ1917" s="24"/>
      <c r="DR1917" s="24"/>
      <c r="DS1917" s="24"/>
      <c r="DT1917" s="24"/>
      <c r="DU1917" s="24"/>
    </row>
    <row r="1918" spans="1:125" s="8" customFormat="1" ht="36" x14ac:dyDescent="0.2">
      <c r="A1918" s="353">
        <v>41417</v>
      </c>
      <c r="B1918" s="352" t="s">
        <v>2851</v>
      </c>
      <c r="C1918" s="354" t="s">
        <v>1949</v>
      </c>
      <c r="D1918" s="354" t="s">
        <v>3051</v>
      </c>
      <c r="E1918" s="75" t="str">
        <f>VLOOKUP(B1918&amp;C1918,Divipola!$C$2:$F$1138,4,FALSE)</f>
        <v>76318</v>
      </c>
      <c r="F1918" s="87"/>
      <c r="G1918" s="87"/>
      <c r="H1918" s="87"/>
      <c r="I1918" s="87">
        <v>130</v>
      </c>
      <c r="J1918" s="87">
        <v>26</v>
      </c>
      <c r="K1918" s="87"/>
      <c r="L1918" s="87">
        <v>26</v>
      </c>
      <c r="M1918" s="87"/>
      <c r="N1918" s="87"/>
      <c r="O1918" s="87"/>
      <c r="P1918" s="87"/>
      <c r="Q1918" s="87"/>
      <c r="R1918" s="87"/>
      <c r="S1918" s="87"/>
      <c r="T1918" s="87"/>
      <c r="U1918" s="88"/>
      <c r="V1918" s="89"/>
      <c r="W1918" s="96">
        <v>0</v>
      </c>
      <c r="X1918" s="71">
        <f>CU1918</f>
        <v>0</v>
      </c>
      <c r="Y1918" s="71">
        <f>CY1918</f>
        <v>0</v>
      </c>
      <c r="Z1918" s="71">
        <f>DA1918+DC1918+DE1918</f>
        <v>0</v>
      </c>
      <c r="AA1918" s="71">
        <f>CW1918</f>
        <v>0</v>
      </c>
      <c r="AB1918" s="71"/>
      <c r="AC1918" s="71">
        <v>0</v>
      </c>
      <c r="AD1918" s="71">
        <f>W1918+X1918+Y1918+Z1918+AA1918+AB1918+AC1918</f>
        <v>0</v>
      </c>
      <c r="AE1918" s="72">
        <v>0</v>
      </c>
      <c r="AF1918" s="5"/>
      <c r="AG1918" s="6"/>
      <c r="AH1918" s="27" t="s">
        <v>3392</v>
      </c>
      <c r="AI1918" s="44" t="s">
        <v>3393</v>
      </c>
      <c r="AJ1918" s="26"/>
      <c r="AK1918" s="5"/>
      <c r="AL1918" s="82" t="s">
        <v>4725</v>
      </c>
      <c r="AM1918" s="76"/>
      <c r="AN1918" s="76"/>
      <c r="AO1918" s="76"/>
      <c r="AP1918" s="76"/>
      <c r="AQ1918" s="76"/>
      <c r="AR1918" s="76"/>
      <c r="AS1918" s="76"/>
      <c r="AT1918" s="76"/>
      <c r="AU1918" s="76"/>
      <c r="AV1918" s="76"/>
      <c r="AW1918" s="76"/>
      <c r="AX1918" s="76">
        <f>+AW1918*600000</f>
        <v>0</v>
      </c>
      <c r="AY1918" s="76"/>
      <c r="AZ1918" s="76">
        <f>+AY1918*70000</f>
        <v>0</v>
      </c>
      <c r="BA1918" s="76"/>
      <c r="BB1918" s="76"/>
      <c r="BC1918" s="76"/>
      <c r="BD1918" s="76">
        <f>+BC1918*30000</f>
        <v>0</v>
      </c>
      <c r="BE1918" s="76"/>
      <c r="BF1918" s="76"/>
      <c r="BG1918" s="76"/>
      <c r="BH1918" s="76"/>
      <c r="BI1918" s="76"/>
      <c r="BJ1918" s="76"/>
      <c r="BK1918" s="76"/>
      <c r="BL1918" s="76">
        <f>+BK1918*31500</f>
        <v>0</v>
      </c>
      <c r="BM1918" s="76"/>
      <c r="BN1918" s="76"/>
      <c r="BO1918" s="76"/>
      <c r="BP1918" s="76"/>
      <c r="BQ1918" s="76"/>
      <c r="BR1918" s="76"/>
      <c r="BS1918" s="76"/>
      <c r="BT1918" s="76"/>
      <c r="BU1918" s="76"/>
      <c r="BV1918" s="76"/>
      <c r="BW1918" s="76"/>
      <c r="BX1918" s="76"/>
      <c r="BY1918" s="76"/>
      <c r="BZ1918" s="76"/>
      <c r="CA1918" s="76"/>
      <c r="CB1918" s="76"/>
      <c r="CC1918" s="76"/>
      <c r="CD1918" s="76"/>
      <c r="CE1918" s="76"/>
      <c r="CF1918" s="76">
        <f>+CE1918*28000</f>
        <v>0</v>
      </c>
      <c r="CG1918" s="76"/>
      <c r="CH1918" s="76">
        <f>+CG1918*22500</f>
        <v>0</v>
      </c>
      <c r="CI1918" s="76"/>
      <c r="CJ1918" s="76">
        <f>+CI1918*26000</f>
        <v>0</v>
      </c>
      <c r="CK1918" s="76"/>
      <c r="CL1918" s="76"/>
      <c r="CM1918" s="76"/>
      <c r="CN1918" s="76">
        <f>+CM1918*22000</f>
        <v>0</v>
      </c>
      <c r="CO1918" s="76"/>
      <c r="CP1918" s="76">
        <f>+CO1918*46000</f>
        <v>0</v>
      </c>
      <c r="CQ1918" s="76"/>
      <c r="CR1918" s="76">
        <f>+CQ1918*49000</f>
        <v>0</v>
      </c>
      <c r="CS1918" s="76"/>
      <c r="CT1918" s="76"/>
      <c r="CU1918" s="56">
        <f>AN1918+AP1918+AR1918+AT1918+AV1918+AX1918+AZ1918+BB1918+BD1918+BF1918+BH1918+BJ1918+BL1918+BN1918+BP1918+BR1918+BT1918+BV1918+BX1918+BZ1918+CB1918+CD1918+CF1918+CH1918+CJ1918+CL1918+CN1918+CP1918+CR1918+CT1918</f>
        <v>0</v>
      </c>
      <c r="CV1918" s="76"/>
      <c r="CW1918" s="76">
        <f>+CV1918*1100</f>
        <v>0</v>
      </c>
      <c r="CX1918" s="76"/>
      <c r="CY1918" s="76">
        <f>+CX1918*106250</f>
        <v>0</v>
      </c>
      <c r="CZ1918" s="76"/>
      <c r="DA1918" s="76">
        <f>+CZ1918*34500</f>
        <v>0</v>
      </c>
      <c r="DB1918" s="76"/>
      <c r="DC1918" s="76">
        <f>+DB1918*25000</f>
        <v>0</v>
      </c>
      <c r="DD1918" s="219"/>
      <c r="DE1918" s="219"/>
      <c r="DF1918" s="166"/>
      <c r="DG1918" s="116"/>
      <c r="DH1918" s="117"/>
      <c r="DI1918" s="24"/>
      <c r="DJ1918" s="24"/>
      <c r="DK1918" s="24"/>
      <c r="DL1918" s="24"/>
      <c r="DM1918" s="24"/>
      <c r="DN1918" s="24"/>
      <c r="DO1918" s="24"/>
      <c r="DP1918" s="24"/>
      <c r="DQ1918" s="24"/>
      <c r="DR1918" s="24"/>
      <c r="DS1918" s="24"/>
      <c r="DT1918" s="24"/>
      <c r="DU1918" s="24"/>
    </row>
    <row r="1919" spans="1:125" s="8" customFormat="1" ht="48" x14ac:dyDescent="0.2">
      <c r="A1919" s="77">
        <v>41417</v>
      </c>
      <c r="B1919" s="225" t="s">
        <v>2851</v>
      </c>
      <c r="C1919" s="227" t="s">
        <v>2667</v>
      </c>
      <c r="D1919" s="227" t="s">
        <v>2859</v>
      </c>
      <c r="E1919" s="75" t="str">
        <f>VLOOKUP(B1919&amp;C1919,Divipola!$C$2:$F$1138,4,FALSE)</f>
        <v>76364</v>
      </c>
      <c r="F1919" s="87"/>
      <c r="G1919" s="87"/>
      <c r="H1919" s="87"/>
      <c r="I1919" s="87">
        <v>5</v>
      </c>
      <c r="J1919" s="87">
        <v>1</v>
      </c>
      <c r="K1919" s="87">
        <v>1</v>
      </c>
      <c r="L1919" s="87"/>
      <c r="M1919" s="87"/>
      <c r="N1919" s="87"/>
      <c r="O1919" s="87"/>
      <c r="P1919" s="87"/>
      <c r="Q1919" s="87"/>
      <c r="R1919" s="87"/>
      <c r="S1919" s="87"/>
      <c r="T1919" s="87"/>
      <c r="U1919" s="88"/>
      <c r="V1919" s="89"/>
      <c r="W1919" s="96">
        <v>0</v>
      </c>
      <c r="X1919" s="71">
        <f>CU1919</f>
        <v>0</v>
      </c>
      <c r="Y1919" s="71">
        <f>CY1919</f>
        <v>0</v>
      </c>
      <c r="Z1919" s="71">
        <f>DA1919+DC1919+DE1919</f>
        <v>0</v>
      </c>
      <c r="AA1919" s="71">
        <f>CW1919</f>
        <v>0</v>
      </c>
      <c r="AB1919" s="71"/>
      <c r="AC1919" s="71">
        <v>0</v>
      </c>
      <c r="AD1919" s="71">
        <f>W1919+X1919+Y1919+Z1919+AA1919+AB1919+AC1919</f>
        <v>0</v>
      </c>
      <c r="AE1919" s="72">
        <v>0</v>
      </c>
      <c r="AF1919" s="5"/>
      <c r="AG1919" s="6"/>
      <c r="AH1919" s="27" t="s">
        <v>3392</v>
      </c>
      <c r="AI1919" s="44" t="s">
        <v>3393</v>
      </c>
      <c r="AJ1919" s="26"/>
      <c r="AK1919" s="5"/>
      <c r="AL1919" s="82" t="s">
        <v>4713</v>
      </c>
      <c r="AM1919" s="76"/>
      <c r="AN1919" s="76"/>
      <c r="AO1919" s="76"/>
      <c r="AP1919" s="76"/>
      <c r="AQ1919" s="76"/>
      <c r="AR1919" s="76"/>
      <c r="AS1919" s="76"/>
      <c r="AT1919" s="76"/>
      <c r="AU1919" s="76"/>
      <c r="AV1919" s="76"/>
      <c r="AW1919" s="76"/>
      <c r="AX1919" s="76">
        <f>+AW1919*600000</f>
        <v>0</v>
      </c>
      <c r="AY1919" s="76"/>
      <c r="AZ1919" s="76">
        <f>+AY1919*70000</f>
        <v>0</v>
      </c>
      <c r="BA1919" s="76"/>
      <c r="BB1919" s="76"/>
      <c r="BC1919" s="76"/>
      <c r="BD1919" s="76">
        <f>+BC1919*30000</f>
        <v>0</v>
      </c>
      <c r="BE1919" s="76"/>
      <c r="BF1919" s="76"/>
      <c r="BG1919" s="76"/>
      <c r="BH1919" s="76"/>
      <c r="BI1919" s="76"/>
      <c r="BJ1919" s="76"/>
      <c r="BK1919" s="76"/>
      <c r="BL1919" s="76">
        <f>+BK1919*31500</f>
        <v>0</v>
      </c>
      <c r="BM1919" s="76"/>
      <c r="BN1919" s="76"/>
      <c r="BO1919" s="76"/>
      <c r="BP1919" s="76"/>
      <c r="BQ1919" s="76"/>
      <c r="BR1919" s="76"/>
      <c r="BS1919" s="76"/>
      <c r="BT1919" s="76"/>
      <c r="BU1919" s="76"/>
      <c r="BV1919" s="76"/>
      <c r="BW1919" s="76"/>
      <c r="BX1919" s="76"/>
      <c r="BY1919" s="76"/>
      <c r="BZ1919" s="76"/>
      <c r="CA1919" s="76"/>
      <c r="CB1919" s="76"/>
      <c r="CC1919" s="76"/>
      <c r="CD1919" s="76"/>
      <c r="CE1919" s="76"/>
      <c r="CF1919" s="76">
        <f>+CE1919*28000</f>
        <v>0</v>
      </c>
      <c r="CG1919" s="76"/>
      <c r="CH1919" s="76">
        <f>+CG1919*22500</f>
        <v>0</v>
      </c>
      <c r="CI1919" s="76"/>
      <c r="CJ1919" s="76">
        <f>+CI1919*26000</f>
        <v>0</v>
      </c>
      <c r="CK1919" s="76"/>
      <c r="CL1919" s="76"/>
      <c r="CM1919" s="76"/>
      <c r="CN1919" s="76">
        <f>+CM1919*22000</f>
        <v>0</v>
      </c>
      <c r="CO1919" s="76"/>
      <c r="CP1919" s="76">
        <f>+CO1919*46000</f>
        <v>0</v>
      </c>
      <c r="CQ1919" s="76"/>
      <c r="CR1919" s="76">
        <f>+CQ1919*49000</f>
        <v>0</v>
      </c>
      <c r="CS1919" s="76"/>
      <c r="CT1919" s="76"/>
      <c r="CU1919" s="56">
        <f>AN1919+AP1919+AR1919+AT1919+AV1919+AX1919+AZ1919+BB1919+BD1919+BF1919+BH1919+BJ1919+BL1919+BN1919+BP1919+BR1919+BT1919+BV1919+BX1919+BZ1919+CB1919+CD1919+CF1919+CH1919+CJ1919+CL1919+CN1919+CP1919+CR1919+CT1919</f>
        <v>0</v>
      </c>
      <c r="CV1919" s="76"/>
      <c r="CW1919" s="76">
        <f>+CV1919*1100</f>
        <v>0</v>
      </c>
      <c r="CX1919" s="76"/>
      <c r="CY1919" s="76">
        <f>+CX1919*106250</f>
        <v>0</v>
      </c>
      <c r="CZ1919" s="76"/>
      <c r="DA1919" s="76">
        <f>+CZ1919*34500</f>
        <v>0</v>
      </c>
      <c r="DB1919" s="76"/>
      <c r="DC1919" s="76">
        <f>+DB1919*25000</f>
        <v>0</v>
      </c>
      <c r="DD1919" s="219"/>
      <c r="DE1919" s="219"/>
      <c r="DF1919" s="166"/>
      <c r="DG1919" s="116"/>
      <c r="DH1919" s="117"/>
      <c r="DI1919" s="24"/>
      <c r="DJ1919" s="24"/>
      <c r="DK1919" s="24"/>
      <c r="DL1919" s="24"/>
      <c r="DM1919" s="24"/>
      <c r="DN1919" s="24"/>
      <c r="DO1919" s="24"/>
      <c r="DP1919" s="24"/>
      <c r="DQ1919" s="24"/>
      <c r="DR1919" s="24"/>
      <c r="DS1919" s="24"/>
      <c r="DT1919" s="24"/>
      <c r="DU1919" s="24"/>
    </row>
    <row r="1920" spans="1:125" s="8" customFormat="1" ht="72" x14ac:dyDescent="0.2">
      <c r="A1920" s="77">
        <v>41417</v>
      </c>
      <c r="B1920" s="225" t="s">
        <v>2851</v>
      </c>
      <c r="C1920" s="227" t="s">
        <v>2667</v>
      </c>
      <c r="D1920" s="227" t="s">
        <v>3051</v>
      </c>
      <c r="E1920" s="75" t="str">
        <f>VLOOKUP(B1920&amp;C1920,Divipola!$C$2:$F$1138,4,FALSE)</f>
        <v>76364</v>
      </c>
      <c r="F1920" s="87"/>
      <c r="G1920" s="87"/>
      <c r="H1920" s="87"/>
      <c r="I1920" s="87">
        <v>10</v>
      </c>
      <c r="J1920" s="87">
        <v>2</v>
      </c>
      <c r="K1920" s="87"/>
      <c r="L1920" s="87">
        <v>2</v>
      </c>
      <c r="M1920" s="87"/>
      <c r="N1920" s="87"/>
      <c r="O1920" s="87"/>
      <c r="P1920" s="87"/>
      <c r="Q1920" s="87"/>
      <c r="R1920" s="87"/>
      <c r="S1920" s="87"/>
      <c r="T1920" s="87"/>
      <c r="U1920" s="88"/>
      <c r="V1920" s="89"/>
      <c r="W1920" s="96">
        <v>0</v>
      </c>
      <c r="X1920" s="71">
        <f>CU1920</f>
        <v>0</v>
      </c>
      <c r="Y1920" s="71">
        <f>CY1920</f>
        <v>0</v>
      </c>
      <c r="Z1920" s="71">
        <f>DA1920+DC1920+DE1920</f>
        <v>0</v>
      </c>
      <c r="AA1920" s="71">
        <f>CW1920</f>
        <v>0</v>
      </c>
      <c r="AB1920" s="71"/>
      <c r="AC1920" s="71">
        <v>0</v>
      </c>
      <c r="AD1920" s="71">
        <f>W1920+X1920+Y1920+Z1920+AA1920+AB1920+AC1920</f>
        <v>0</v>
      </c>
      <c r="AE1920" s="72">
        <v>0</v>
      </c>
      <c r="AF1920" s="5"/>
      <c r="AG1920" s="6"/>
      <c r="AH1920" s="27" t="s">
        <v>3392</v>
      </c>
      <c r="AI1920" s="44" t="s">
        <v>3393</v>
      </c>
      <c r="AJ1920" s="26"/>
      <c r="AK1920" s="5"/>
      <c r="AL1920" s="82" t="s">
        <v>4714</v>
      </c>
      <c r="AM1920" s="76"/>
      <c r="AN1920" s="76"/>
      <c r="AO1920" s="76"/>
      <c r="AP1920" s="76"/>
      <c r="AQ1920" s="76"/>
      <c r="AR1920" s="76"/>
      <c r="AS1920" s="76"/>
      <c r="AT1920" s="76"/>
      <c r="AU1920" s="76"/>
      <c r="AV1920" s="76"/>
      <c r="AW1920" s="76"/>
      <c r="AX1920" s="76">
        <f>+AW1920*600000</f>
        <v>0</v>
      </c>
      <c r="AY1920" s="76"/>
      <c r="AZ1920" s="76">
        <f>+AY1920*70000</f>
        <v>0</v>
      </c>
      <c r="BA1920" s="76"/>
      <c r="BB1920" s="76"/>
      <c r="BC1920" s="76"/>
      <c r="BD1920" s="76">
        <f>+BC1920*30000</f>
        <v>0</v>
      </c>
      <c r="BE1920" s="76"/>
      <c r="BF1920" s="76"/>
      <c r="BG1920" s="76"/>
      <c r="BH1920" s="76"/>
      <c r="BI1920" s="76"/>
      <c r="BJ1920" s="76"/>
      <c r="BK1920" s="76"/>
      <c r="BL1920" s="76">
        <f>+BK1920*31500</f>
        <v>0</v>
      </c>
      <c r="BM1920" s="76"/>
      <c r="BN1920" s="76"/>
      <c r="BO1920" s="76"/>
      <c r="BP1920" s="76"/>
      <c r="BQ1920" s="76"/>
      <c r="BR1920" s="76"/>
      <c r="BS1920" s="76"/>
      <c r="BT1920" s="76"/>
      <c r="BU1920" s="76"/>
      <c r="BV1920" s="76"/>
      <c r="BW1920" s="76"/>
      <c r="BX1920" s="76"/>
      <c r="BY1920" s="76"/>
      <c r="BZ1920" s="76"/>
      <c r="CA1920" s="76"/>
      <c r="CB1920" s="76"/>
      <c r="CC1920" s="76"/>
      <c r="CD1920" s="76"/>
      <c r="CE1920" s="76"/>
      <c r="CF1920" s="76">
        <f>+CE1920*28000</f>
        <v>0</v>
      </c>
      <c r="CG1920" s="76"/>
      <c r="CH1920" s="76">
        <f>+CG1920*22500</f>
        <v>0</v>
      </c>
      <c r="CI1920" s="76"/>
      <c r="CJ1920" s="76">
        <f>+CI1920*26000</f>
        <v>0</v>
      </c>
      <c r="CK1920" s="76"/>
      <c r="CL1920" s="76"/>
      <c r="CM1920" s="76"/>
      <c r="CN1920" s="76">
        <f>+CM1920*22000</f>
        <v>0</v>
      </c>
      <c r="CO1920" s="76"/>
      <c r="CP1920" s="76">
        <f>+CO1920*46000</f>
        <v>0</v>
      </c>
      <c r="CQ1920" s="76"/>
      <c r="CR1920" s="76">
        <f>+CQ1920*49000</f>
        <v>0</v>
      </c>
      <c r="CS1920" s="76"/>
      <c r="CT1920" s="76"/>
      <c r="CU1920" s="56">
        <f>AN1920+AP1920+AR1920+AT1920+AV1920+AX1920+AZ1920+BB1920+BD1920+BF1920+BH1920+BJ1920+BL1920+BN1920+BP1920+BR1920+BT1920+BV1920+BX1920+BZ1920+CB1920+CD1920+CF1920+CH1920+CJ1920+CL1920+CN1920+CP1920+CR1920+CT1920</f>
        <v>0</v>
      </c>
      <c r="CV1920" s="76"/>
      <c r="CW1920" s="76">
        <f>+CV1920*1100</f>
        <v>0</v>
      </c>
      <c r="CX1920" s="76"/>
      <c r="CY1920" s="76">
        <f>+CX1920*106250</f>
        <v>0</v>
      </c>
      <c r="CZ1920" s="76"/>
      <c r="DA1920" s="76">
        <f>+CZ1920*34500</f>
        <v>0</v>
      </c>
      <c r="DB1920" s="76"/>
      <c r="DC1920" s="76">
        <f>+DB1920*25000</f>
        <v>0</v>
      </c>
      <c r="DD1920" s="219"/>
      <c r="DE1920" s="219"/>
      <c r="DF1920" s="166"/>
      <c r="DG1920" s="116"/>
      <c r="DH1920" s="117"/>
      <c r="DI1920" s="24"/>
      <c r="DJ1920" s="24"/>
      <c r="DK1920" s="24"/>
      <c r="DL1920" s="24"/>
      <c r="DM1920" s="24"/>
      <c r="DN1920" s="24"/>
      <c r="DO1920" s="24"/>
      <c r="DP1920" s="24"/>
      <c r="DQ1920" s="24"/>
      <c r="DR1920" s="24"/>
      <c r="DS1920" s="24"/>
      <c r="DT1920" s="24"/>
      <c r="DU1920" s="24"/>
    </row>
    <row r="1921" spans="1:125" s="8" customFormat="1" ht="36" x14ac:dyDescent="0.2">
      <c r="A1921" s="353">
        <v>41417</v>
      </c>
      <c r="B1921" s="352" t="s">
        <v>2851</v>
      </c>
      <c r="C1921" s="354" t="s">
        <v>1959</v>
      </c>
      <c r="D1921" s="354" t="s">
        <v>3088</v>
      </c>
      <c r="E1921" s="75" t="str">
        <f>VLOOKUP(B1921&amp;C1921,Divipola!$C$2:$F$1138,4,FALSE)</f>
        <v>76616</v>
      </c>
      <c r="F1921" s="87"/>
      <c r="G1921" s="87"/>
      <c r="H1921" s="87"/>
      <c r="I1921" s="87">
        <v>10</v>
      </c>
      <c r="J1921" s="87">
        <v>2</v>
      </c>
      <c r="K1921" s="87"/>
      <c r="L1921" s="87">
        <v>2</v>
      </c>
      <c r="M1921" s="87"/>
      <c r="N1921" s="87"/>
      <c r="O1921" s="87"/>
      <c r="P1921" s="87"/>
      <c r="Q1921" s="87"/>
      <c r="R1921" s="87"/>
      <c r="S1921" s="87"/>
      <c r="T1921" s="87"/>
      <c r="U1921" s="88"/>
      <c r="V1921" s="89"/>
      <c r="W1921" s="96">
        <v>0</v>
      </c>
      <c r="X1921" s="71">
        <f>CU1921</f>
        <v>0</v>
      </c>
      <c r="Y1921" s="71">
        <f>CY1921</f>
        <v>0</v>
      </c>
      <c r="Z1921" s="71">
        <f>DA1921+DC1921+DE1921</f>
        <v>0</v>
      </c>
      <c r="AA1921" s="71">
        <f>CW1921</f>
        <v>0</v>
      </c>
      <c r="AB1921" s="71"/>
      <c r="AC1921" s="71">
        <v>0</v>
      </c>
      <c r="AD1921" s="71">
        <f>W1921+X1921+Y1921+Z1921+AA1921+AB1921+AC1921</f>
        <v>0</v>
      </c>
      <c r="AE1921" s="72">
        <v>0</v>
      </c>
      <c r="AF1921" s="5"/>
      <c r="AG1921" s="6"/>
      <c r="AH1921" s="27" t="s">
        <v>3392</v>
      </c>
      <c r="AI1921" s="44" t="s">
        <v>3393</v>
      </c>
      <c r="AJ1921" s="26"/>
      <c r="AK1921" s="5"/>
      <c r="AL1921" s="82" t="s">
        <v>4726</v>
      </c>
      <c r="AM1921" s="76"/>
      <c r="AN1921" s="76"/>
      <c r="AO1921" s="76"/>
      <c r="AP1921" s="76"/>
      <c r="AQ1921" s="76"/>
      <c r="AR1921" s="76"/>
      <c r="AS1921" s="76"/>
      <c r="AT1921" s="76"/>
      <c r="AU1921" s="76"/>
      <c r="AV1921" s="76"/>
      <c r="AW1921" s="76"/>
      <c r="AX1921" s="76">
        <f>+AW1921*600000</f>
        <v>0</v>
      </c>
      <c r="AY1921" s="76"/>
      <c r="AZ1921" s="76">
        <f>+AY1921*70000</f>
        <v>0</v>
      </c>
      <c r="BA1921" s="76"/>
      <c r="BB1921" s="76"/>
      <c r="BC1921" s="76"/>
      <c r="BD1921" s="76">
        <f>+BC1921*30000</f>
        <v>0</v>
      </c>
      <c r="BE1921" s="76"/>
      <c r="BF1921" s="76"/>
      <c r="BG1921" s="76"/>
      <c r="BH1921" s="76"/>
      <c r="BI1921" s="76"/>
      <c r="BJ1921" s="76"/>
      <c r="BK1921" s="76"/>
      <c r="BL1921" s="76">
        <f>+BK1921*31500</f>
        <v>0</v>
      </c>
      <c r="BM1921" s="76"/>
      <c r="BN1921" s="76"/>
      <c r="BO1921" s="76"/>
      <c r="BP1921" s="76"/>
      <c r="BQ1921" s="76"/>
      <c r="BR1921" s="76"/>
      <c r="BS1921" s="76"/>
      <c r="BT1921" s="76"/>
      <c r="BU1921" s="76"/>
      <c r="BV1921" s="76"/>
      <c r="BW1921" s="76"/>
      <c r="BX1921" s="76"/>
      <c r="BY1921" s="76"/>
      <c r="BZ1921" s="76"/>
      <c r="CA1921" s="76"/>
      <c r="CB1921" s="76"/>
      <c r="CC1921" s="76"/>
      <c r="CD1921" s="76"/>
      <c r="CE1921" s="76"/>
      <c r="CF1921" s="76">
        <f>+CE1921*28000</f>
        <v>0</v>
      </c>
      <c r="CG1921" s="76"/>
      <c r="CH1921" s="76">
        <f>+CG1921*22500</f>
        <v>0</v>
      </c>
      <c r="CI1921" s="76"/>
      <c r="CJ1921" s="76">
        <f>+CI1921*26000</f>
        <v>0</v>
      </c>
      <c r="CK1921" s="76"/>
      <c r="CL1921" s="76"/>
      <c r="CM1921" s="76"/>
      <c r="CN1921" s="76">
        <f>+CM1921*22000</f>
        <v>0</v>
      </c>
      <c r="CO1921" s="76"/>
      <c r="CP1921" s="76">
        <f>+CO1921*46000</f>
        <v>0</v>
      </c>
      <c r="CQ1921" s="76"/>
      <c r="CR1921" s="76">
        <f>+CQ1921*49000</f>
        <v>0</v>
      </c>
      <c r="CS1921" s="76"/>
      <c r="CT1921" s="76"/>
      <c r="CU1921" s="56">
        <f>AN1921+AP1921+AR1921+AT1921+AV1921+AX1921+AZ1921+BB1921+BD1921+BF1921+BH1921+BJ1921+BL1921+BN1921+BP1921+BR1921+BT1921+BV1921+BX1921+BZ1921+CB1921+CD1921+CF1921+CH1921+CJ1921+CL1921+CN1921+CP1921+CR1921+CT1921</f>
        <v>0</v>
      </c>
      <c r="CV1921" s="76"/>
      <c r="CW1921" s="76">
        <f>+CV1921*1100</f>
        <v>0</v>
      </c>
      <c r="CX1921" s="76"/>
      <c r="CY1921" s="76">
        <f>+CX1921*106250</f>
        <v>0</v>
      </c>
      <c r="CZ1921" s="76"/>
      <c r="DA1921" s="76">
        <f>+CZ1921*34500</f>
        <v>0</v>
      </c>
      <c r="DB1921" s="76"/>
      <c r="DC1921" s="76">
        <f>+DB1921*25000</f>
        <v>0</v>
      </c>
      <c r="DD1921" s="219"/>
      <c r="DE1921" s="219"/>
      <c r="DF1921" s="166"/>
      <c r="DG1921" s="116"/>
      <c r="DH1921" s="117"/>
      <c r="DI1921" s="24"/>
      <c r="DJ1921" s="24"/>
      <c r="DK1921" s="24"/>
      <c r="DL1921" s="24"/>
      <c r="DM1921" s="24"/>
      <c r="DN1921" s="24"/>
      <c r="DO1921" s="24"/>
      <c r="DP1921" s="24"/>
      <c r="DQ1921" s="24"/>
      <c r="DR1921" s="24"/>
      <c r="DS1921" s="24"/>
      <c r="DT1921" s="24"/>
      <c r="DU1921" s="24"/>
    </row>
    <row r="1922" spans="1:125" s="8" customFormat="1" ht="72" x14ac:dyDescent="0.2">
      <c r="A1922" s="226">
        <v>41417</v>
      </c>
      <c r="B1922" s="352" t="s">
        <v>2851</v>
      </c>
      <c r="C1922" s="354" t="s">
        <v>2751</v>
      </c>
      <c r="D1922" s="354" t="s">
        <v>3051</v>
      </c>
      <c r="E1922" s="75" t="str">
        <f>VLOOKUP(B1922&amp;C1922,Divipola!$C$2:$F$1138,4,FALSE)</f>
        <v>76828</v>
      </c>
      <c r="F1922" s="87"/>
      <c r="G1922" s="87"/>
      <c r="H1922" s="87"/>
      <c r="I1922" s="87">
        <v>15</v>
      </c>
      <c r="J1922" s="87">
        <v>3</v>
      </c>
      <c r="K1922" s="87"/>
      <c r="L1922" s="87">
        <v>3</v>
      </c>
      <c r="M1922" s="87"/>
      <c r="N1922" s="87"/>
      <c r="O1922" s="87"/>
      <c r="P1922" s="87"/>
      <c r="Q1922" s="87"/>
      <c r="R1922" s="87"/>
      <c r="S1922" s="87">
        <v>1</v>
      </c>
      <c r="T1922" s="87"/>
      <c r="U1922" s="88"/>
      <c r="V1922" s="89"/>
      <c r="W1922" s="96">
        <v>0</v>
      </c>
      <c r="X1922" s="71">
        <f>CU1922</f>
        <v>0</v>
      </c>
      <c r="Y1922" s="71">
        <f>CY1922</f>
        <v>0</v>
      </c>
      <c r="Z1922" s="71">
        <f>DA1922+DC1922+DE1922</f>
        <v>0</v>
      </c>
      <c r="AA1922" s="71">
        <f>CW1922</f>
        <v>0</v>
      </c>
      <c r="AB1922" s="71"/>
      <c r="AC1922" s="71">
        <v>0</v>
      </c>
      <c r="AD1922" s="71">
        <f>W1922+X1922+Y1922+Z1922+AA1922+AB1922+AC1922</f>
        <v>0</v>
      </c>
      <c r="AE1922" s="72">
        <v>0</v>
      </c>
      <c r="AF1922" s="5"/>
      <c r="AG1922" s="6"/>
      <c r="AH1922" s="27" t="s">
        <v>3392</v>
      </c>
      <c r="AI1922" s="44" t="s">
        <v>3393</v>
      </c>
      <c r="AJ1922" s="26"/>
      <c r="AK1922" s="5"/>
      <c r="AL1922" s="82" t="s">
        <v>4724</v>
      </c>
      <c r="AM1922" s="76"/>
      <c r="AN1922" s="76"/>
      <c r="AO1922" s="76"/>
      <c r="AP1922" s="76"/>
      <c r="AQ1922" s="76"/>
      <c r="AR1922" s="76"/>
      <c r="AS1922" s="76"/>
      <c r="AT1922" s="76"/>
      <c r="AU1922" s="76"/>
      <c r="AV1922" s="76"/>
      <c r="AW1922" s="76"/>
      <c r="AX1922" s="76">
        <f>+AW1922*600000</f>
        <v>0</v>
      </c>
      <c r="AY1922" s="76"/>
      <c r="AZ1922" s="76">
        <f>+AY1922*70000</f>
        <v>0</v>
      </c>
      <c r="BA1922" s="76"/>
      <c r="BB1922" s="76"/>
      <c r="BC1922" s="76"/>
      <c r="BD1922" s="76">
        <f>+BC1922*30000</f>
        <v>0</v>
      </c>
      <c r="BE1922" s="76"/>
      <c r="BF1922" s="76"/>
      <c r="BG1922" s="76"/>
      <c r="BH1922" s="76"/>
      <c r="BI1922" s="76"/>
      <c r="BJ1922" s="76"/>
      <c r="BK1922" s="76"/>
      <c r="BL1922" s="76">
        <f>+BK1922*31500</f>
        <v>0</v>
      </c>
      <c r="BM1922" s="76"/>
      <c r="BN1922" s="76"/>
      <c r="BO1922" s="76"/>
      <c r="BP1922" s="76"/>
      <c r="BQ1922" s="76"/>
      <c r="BR1922" s="76"/>
      <c r="BS1922" s="76"/>
      <c r="BT1922" s="76"/>
      <c r="BU1922" s="76"/>
      <c r="BV1922" s="76"/>
      <c r="BW1922" s="76"/>
      <c r="BX1922" s="76"/>
      <c r="BY1922" s="76"/>
      <c r="BZ1922" s="76"/>
      <c r="CA1922" s="76"/>
      <c r="CB1922" s="76"/>
      <c r="CC1922" s="76"/>
      <c r="CD1922" s="76"/>
      <c r="CE1922" s="76"/>
      <c r="CF1922" s="76">
        <f>+CE1922*28000</f>
        <v>0</v>
      </c>
      <c r="CG1922" s="76"/>
      <c r="CH1922" s="76">
        <f>+CG1922*22500</f>
        <v>0</v>
      </c>
      <c r="CI1922" s="76"/>
      <c r="CJ1922" s="76">
        <f>+CI1922*26000</f>
        <v>0</v>
      </c>
      <c r="CK1922" s="76"/>
      <c r="CL1922" s="76"/>
      <c r="CM1922" s="76"/>
      <c r="CN1922" s="76">
        <f>+CM1922*22000</f>
        <v>0</v>
      </c>
      <c r="CO1922" s="76"/>
      <c r="CP1922" s="76">
        <f>+CO1922*46000</f>
        <v>0</v>
      </c>
      <c r="CQ1922" s="76"/>
      <c r="CR1922" s="76">
        <f>+CQ1922*49000</f>
        <v>0</v>
      </c>
      <c r="CS1922" s="76"/>
      <c r="CT1922" s="76"/>
      <c r="CU1922" s="56">
        <f>AN1922+AP1922+AR1922+AT1922+AV1922+AX1922+AZ1922+BB1922+BD1922+BF1922+BH1922+BJ1922+BL1922+BN1922+BP1922+BR1922+BT1922+BV1922+BX1922+BZ1922+CB1922+CD1922+CF1922+CH1922+CJ1922+CL1922+CN1922+CP1922+CR1922+CT1922</f>
        <v>0</v>
      </c>
      <c r="CV1922" s="76"/>
      <c r="CW1922" s="76">
        <f>+CV1922*1100</f>
        <v>0</v>
      </c>
      <c r="CX1922" s="76"/>
      <c r="CY1922" s="76">
        <f>+CX1922*106250</f>
        <v>0</v>
      </c>
      <c r="CZ1922" s="76"/>
      <c r="DA1922" s="76">
        <f>+CZ1922*34500</f>
        <v>0</v>
      </c>
      <c r="DB1922" s="76"/>
      <c r="DC1922" s="76">
        <f>+DB1922*25000</f>
        <v>0</v>
      </c>
      <c r="DD1922" s="219"/>
      <c r="DE1922" s="219"/>
      <c r="DF1922" s="166"/>
      <c r="DG1922" s="116"/>
      <c r="DH1922" s="117"/>
      <c r="DI1922" s="24"/>
      <c r="DJ1922" s="24"/>
      <c r="DK1922" s="24"/>
      <c r="DL1922" s="24"/>
      <c r="DM1922" s="24"/>
      <c r="DN1922" s="24"/>
      <c r="DO1922" s="24"/>
      <c r="DP1922" s="24"/>
      <c r="DQ1922" s="24"/>
      <c r="DR1922" s="24"/>
      <c r="DS1922" s="24"/>
      <c r="DT1922" s="24"/>
      <c r="DU1922" s="24"/>
    </row>
    <row r="1923" spans="1:125" s="8" customFormat="1" ht="48" x14ac:dyDescent="0.2">
      <c r="A1923" s="226">
        <v>41418</v>
      </c>
      <c r="B1923" s="78" t="s">
        <v>2855</v>
      </c>
      <c r="C1923" s="75" t="s">
        <v>933</v>
      </c>
      <c r="D1923" s="75" t="s">
        <v>3051</v>
      </c>
      <c r="E1923" s="75" t="str">
        <f>VLOOKUP(B1923&amp;C1923,Divipola!$C$2:$F$1138,4,FALSE)</f>
        <v>20621</v>
      </c>
      <c r="F1923" s="87"/>
      <c r="G1923" s="87"/>
      <c r="H1923" s="87"/>
      <c r="I1923" s="87">
        <v>25</v>
      </c>
      <c r="J1923" s="87">
        <v>5</v>
      </c>
      <c r="K1923" s="87"/>
      <c r="L1923" s="87">
        <v>5</v>
      </c>
      <c r="M1923" s="87"/>
      <c r="N1923" s="87"/>
      <c r="O1923" s="87"/>
      <c r="P1923" s="87"/>
      <c r="Q1923" s="87"/>
      <c r="R1923" s="87"/>
      <c r="S1923" s="87"/>
      <c r="T1923" s="87"/>
      <c r="U1923" s="88"/>
      <c r="V1923" s="89"/>
      <c r="W1923" s="96">
        <v>0</v>
      </c>
      <c r="X1923" s="71">
        <f>CU1923</f>
        <v>0</v>
      </c>
      <c r="Y1923" s="71">
        <f>CY1923</f>
        <v>0</v>
      </c>
      <c r="Z1923" s="71">
        <f>DA1923+DC1923+DE1923</f>
        <v>0</v>
      </c>
      <c r="AA1923" s="71">
        <f>CW1923</f>
        <v>0</v>
      </c>
      <c r="AB1923" s="71"/>
      <c r="AC1923" s="71">
        <v>0</v>
      </c>
      <c r="AD1923" s="71">
        <f>W1923+X1923+Y1923+Z1923+AA1923+AB1923+AC1923</f>
        <v>0</v>
      </c>
      <c r="AE1923" s="72">
        <v>0</v>
      </c>
      <c r="AF1923" s="5"/>
      <c r="AG1923" s="6"/>
      <c r="AH1923" s="27" t="s">
        <v>3392</v>
      </c>
      <c r="AI1923" s="44" t="s">
        <v>3393</v>
      </c>
      <c r="AJ1923" s="26"/>
      <c r="AK1923" s="5"/>
      <c r="AL1923" s="82" t="s">
        <v>4734</v>
      </c>
      <c r="AM1923" s="76"/>
      <c r="AN1923" s="76"/>
      <c r="AO1923" s="76"/>
      <c r="AP1923" s="76"/>
      <c r="AQ1923" s="76"/>
      <c r="AR1923" s="76"/>
      <c r="AS1923" s="76"/>
      <c r="AT1923" s="76"/>
      <c r="AU1923" s="76"/>
      <c r="AV1923" s="76"/>
      <c r="AW1923" s="76"/>
      <c r="AX1923" s="76">
        <f>+AW1923*600000</f>
        <v>0</v>
      </c>
      <c r="AY1923" s="76"/>
      <c r="AZ1923" s="76">
        <f>+AY1923*70000</f>
        <v>0</v>
      </c>
      <c r="BA1923" s="76"/>
      <c r="BB1923" s="76"/>
      <c r="BC1923" s="76"/>
      <c r="BD1923" s="76">
        <f>+BC1923*30000</f>
        <v>0</v>
      </c>
      <c r="BE1923" s="76"/>
      <c r="BF1923" s="76"/>
      <c r="BG1923" s="76"/>
      <c r="BH1923" s="76"/>
      <c r="BI1923" s="76"/>
      <c r="BJ1923" s="76"/>
      <c r="BK1923" s="76"/>
      <c r="BL1923" s="76">
        <f>+BK1923*31500</f>
        <v>0</v>
      </c>
      <c r="BM1923" s="76"/>
      <c r="BN1923" s="76"/>
      <c r="BO1923" s="76"/>
      <c r="BP1923" s="76"/>
      <c r="BQ1923" s="76"/>
      <c r="BR1923" s="76"/>
      <c r="BS1923" s="76"/>
      <c r="BT1923" s="76"/>
      <c r="BU1923" s="76"/>
      <c r="BV1923" s="76"/>
      <c r="BW1923" s="76"/>
      <c r="BX1923" s="76"/>
      <c r="BY1923" s="76"/>
      <c r="BZ1923" s="76"/>
      <c r="CA1923" s="76"/>
      <c r="CB1923" s="76"/>
      <c r="CC1923" s="76"/>
      <c r="CD1923" s="76"/>
      <c r="CE1923" s="76"/>
      <c r="CF1923" s="76">
        <f>+CE1923*28000</f>
        <v>0</v>
      </c>
      <c r="CG1923" s="76"/>
      <c r="CH1923" s="76">
        <f>+CG1923*22500</f>
        <v>0</v>
      </c>
      <c r="CI1923" s="76"/>
      <c r="CJ1923" s="76">
        <f>+CI1923*26000</f>
        <v>0</v>
      </c>
      <c r="CK1923" s="76"/>
      <c r="CL1923" s="76"/>
      <c r="CM1923" s="76"/>
      <c r="CN1923" s="76">
        <f>+CM1923*22000</f>
        <v>0</v>
      </c>
      <c r="CO1923" s="76"/>
      <c r="CP1923" s="76">
        <f>+CO1923*46000</f>
        <v>0</v>
      </c>
      <c r="CQ1923" s="76"/>
      <c r="CR1923" s="76">
        <f>+CQ1923*49000</f>
        <v>0</v>
      </c>
      <c r="CS1923" s="76"/>
      <c r="CT1923" s="76"/>
      <c r="CU1923" s="56">
        <f>AN1923+AP1923+AR1923+AT1923+AV1923+AX1923+AZ1923+BB1923+BD1923+BF1923+BH1923+BJ1923+BL1923+BN1923+BP1923+BR1923+BT1923+BV1923+BX1923+BZ1923+CB1923+CD1923+CF1923+CH1923+CJ1923+CL1923+CN1923+CP1923+CR1923+CT1923</f>
        <v>0</v>
      </c>
      <c r="CV1923" s="76"/>
      <c r="CW1923" s="76">
        <f>+CV1923*1100</f>
        <v>0</v>
      </c>
      <c r="CX1923" s="76"/>
      <c r="CY1923" s="76">
        <f>+CX1923*106250</f>
        <v>0</v>
      </c>
      <c r="CZ1923" s="76"/>
      <c r="DA1923" s="76">
        <f>+CZ1923*34500</f>
        <v>0</v>
      </c>
      <c r="DB1923" s="76"/>
      <c r="DC1923" s="76">
        <f>+DB1923*25000</f>
        <v>0</v>
      </c>
      <c r="DD1923" s="219"/>
      <c r="DE1923" s="219"/>
      <c r="DF1923" s="166"/>
      <c r="DG1923" s="116"/>
      <c r="DH1923" s="117"/>
      <c r="DI1923" s="24"/>
      <c r="DJ1923" s="24"/>
      <c r="DK1923" s="24"/>
      <c r="DL1923" s="24"/>
      <c r="DM1923" s="24"/>
      <c r="DN1923" s="24"/>
      <c r="DO1923" s="24"/>
      <c r="DP1923" s="24"/>
      <c r="DQ1923" s="24"/>
      <c r="DR1923" s="24"/>
      <c r="DS1923" s="24"/>
      <c r="DT1923" s="24"/>
      <c r="DU1923" s="24"/>
    </row>
    <row r="1924" spans="1:125" s="8" customFormat="1" ht="24" x14ac:dyDescent="0.2">
      <c r="A1924" s="353">
        <v>41418</v>
      </c>
      <c r="B1924" s="352" t="s">
        <v>2855</v>
      </c>
      <c r="C1924" s="354" t="s">
        <v>931</v>
      </c>
      <c r="D1924" s="354" t="s">
        <v>3051</v>
      </c>
      <c r="E1924" s="75" t="str">
        <f>VLOOKUP(B1924&amp;C1924,Divipola!$C$2:$F$1138,4,FALSE)</f>
        <v>20614</v>
      </c>
      <c r="F1924" s="87"/>
      <c r="G1924" s="87"/>
      <c r="H1924" s="87"/>
      <c r="I1924" s="87">
        <v>15</v>
      </c>
      <c r="J1924" s="87">
        <v>3</v>
      </c>
      <c r="K1924" s="87"/>
      <c r="L1924" s="87">
        <v>3</v>
      </c>
      <c r="M1924" s="87"/>
      <c r="N1924" s="87"/>
      <c r="O1924" s="87"/>
      <c r="P1924" s="87"/>
      <c r="Q1924" s="87"/>
      <c r="R1924" s="87"/>
      <c r="S1924" s="87"/>
      <c r="T1924" s="87"/>
      <c r="U1924" s="88"/>
      <c r="V1924" s="89"/>
      <c r="W1924" s="96">
        <v>0</v>
      </c>
      <c r="X1924" s="71">
        <f>CU1924</f>
        <v>0</v>
      </c>
      <c r="Y1924" s="71">
        <f>CY1924</f>
        <v>0</v>
      </c>
      <c r="Z1924" s="71">
        <f>DA1924+DC1924+DE1924</f>
        <v>0</v>
      </c>
      <c r="AA1924" s="71">
        <f>CW1924</f>
        <v>0</v>
      </c>
      <c r="AB1924" s="71"/>
      <c r="AC1924" s="71">
        <v>0</v>
      </c>
      <c r="AD1924" s="71">
        <f>W1924+X1924+Y1924+Z1924+AA1924+AB1924+AC1924</f>
        <v>0</v>
      </c>
      <c r="AE1924" s="72">
        <v>0</v>
      </c>
      <c r="AF1924" s="5"/>
      <c r="AG1924" s="6"/>
      <c r="AH1924" s="27" t="s">
        <v>3392</v>
      </c>
      <c r="AI1924" s="44" t="s">
        <v>3393</v>
      </c>
      <c r="AJ1924" s="26"/>
      <c r="AK1924" s="5"/>
      <c r="AL1924" s="82" t="s">
        <v>4735</v>
      </c>
      <c r="AM1924" s="76"/>
      <c r="AN1924" s="76"/>
      <c r="AO1924" s="76"/>
      <c r="AP1924" s="76"/>
      <c r="AQ1924" s="76"/>
      <c r="AR1924" s="76"/>
      <c r="AS1924" s="76"/>
      <c r="AT1924" s="76"/>
      <c r="AU1924" s="76"/>
      <c r="AV1924" s="76"/>
      <c r="AW1924" s="76"/>
      <c r="AX1924" s="76">
        <f>+AW1924*600000</f>
        <v>0</v>
      </c>
      <c r="AY1924" s="76"/>
      <c r="AZ1924" s="76">
        <f>+AY1924*70000</f>
        <v>0</v>
      </c>
      <c r="BA1924" s="76"/>
      <c r="BB1924" s="76"/>
      <c r="BC1924" s="76"/>
      <c r="BD1924" s="76">
        <f>+BC1924*30000</f>
        <v>0</v>
      </c>
      <c r="BE1924" s="76"/>
      <c r="BF1924" s="76"/>
      <c r="BG1924" s="76"/>
      <c r="BH1924" s="76"/>
      <c r="BI1924" s="76"/>
      <c r="BJ1924" s="76"/>
      <c r="BK1924" s="76"/>
      <c r="BL1924" s="76">
        <f>+BK1924*31500</f>
        <v>0</v>
      </c>
      <c r="BM1924" s="76"/>
      <c r="BN1924" s="76"/>
      <c r="BO1924" s="76"/>
      <c r="BP1924" s="76"/>
      <c r="BQ1924" s="76"/>
      <c r="BR1924" s="76"/>
      <c r="BS1924" s="76"/>
      <c r="BT1924" s="76"/>
      <c r="BU1924" s="76"/>
      <c r="BV1924" s="76"/>
      <c r="BW1924" s="76"/>
      <c r="BX1924" s="76"/>
      <c r="BY1924" s="76"/>
      <c r="BZ1924" s="76"/>
      <c r="CA1924" s="76"/>
      <c r="CB1924" s="76"/>
      <c r="CC1924" s="76"/>
      <c r="CD1924" s="76"/>
      <c r="CE1924" s="76"/>
      <c r="CF1924" s="76">
        <f>+CE1924*28000</f>
        <v>0</v>
      </c>
      <c r="CG1924" s="76"/>
      <c r="CH1924" s="76">
        <f>+CG1924*22500</f>
        <v>0</v>
      </c>
      <c r="CI1924" s="76"/>
      <c r="CJ1924" s="76">
        <f>+CI1924*26000</f>
        <v>0</v>
      </c>
      <c r="CK1924" s="76"/>
      <c r="CL1924" s="76"/>
      <c r="CM1924" s="76"/>
      <c r="CN1924" s="76">
        <f>+CM1924*22000</f>
        <v>0</v>
      </c>
      <c r="CO1924" s="76"/>
      <c r="CP1924" s="76">
        <f>+CO1924*46000</f>
        <v>0</v>
      </c>
      <c r="CQ1924" s="76"/>
      <c r="CR1924" s="76">
        <f>+CQ1924*49000</f>
        <v>0</v>
      </c>
      <c r="CS1924" s="76"/>
      <c r="CT1924" s="76"/>
      <c r="CU1924" s="56">
        <f>AN1924+AP1924+AR1924+AT1924+AV1924+AX1924+AZ1924+BB1924+BD1924+BF1924+BH1924+BJ1924+BL1924+BN1924+BP1924+BR1924+BT1924+BV1924+BX1924+BZ1924+CB1924+CD1924+CF1924+CH1924+CJ1924+CL1924+CN1924+CP1924+CR1924+CT1924</f>
        <v>0</v>
      </c>
      <c r="CV1924" s="76"/>
      <c r="CW1924" s="76">
        <f>+CV1924*1100</f>
        <v>0</v>
      </c>
      <c r="CX1924" s="76"/>
      <c r="CY1924" s="76">
        <f>+CX1924*106250</f>
        <v>0</v>
      </c>
      <c r="CZ1924" s="76"/>
      <c r="DA1924" s="76">
        <f>+CZ1924*34500</f>
        <v>0</v>
      </c>
      <c r="DB1924" s="76"/>
      <c r="DC1924" s="76">
        <f>+DB1924*25000</f>
        <v>0</v>
      </c>
      <c r="DD1924" s="219"/>
      <c r="DE1924" s="219"/>
      <c r="DF1924" s="166"/>
      <c r="DG1924" s="116"/>
      <c r="DH1924" s="117"/>
      <c r="DI1924" s="24"/>
      <c r="DJ1924" s="24"/>
      <c r="DK1924" s="24"/>
      <c r="DL1924" s="24"/>
      <c r="DM1924" s="24"/>
      <c r="DN1924" s="24"/>
      <c r="DO1924" s="24"/>
      <c r="DP1924" s="24"/>
      <c r="DQ1924" s="24"/>
      <c r="DR1924" s="24"/>
      <c r="DS1924" s="24"/>
      <c r="DT1924" s="24"/>
      <c r="DU1924" s="24"/>
    </row>
    <row r="1925" spans="1:125" s="8" customFormat="1" ht="48" x14ac:dyDescent="0.2">
      <c r="A1925" s="353">
        <v>41418</v>
      </c>
      <c r="B1925" s="352" t="s">
        <v>2772</v>
      </c>
      <c r="C1925" s="354" t="s">
        <v>1062</v>
      </c>
      <c r="D1925" s="354" t="s">
        <v>4391</v>
      </c>
      <c r="E1925" s="75" t="str">
        <f>VLOOKUP(B1925&amp;C1925,Divipola!$C$2:$F$1138,4,FALSE)</f>
        <v>25293</v>
      </c>
      <c r="F1925" s="87"/>
      <c r="G1925" s="87"/>
      <c r="H1925" s="87"/>
      <c r="I1925" s="87"/>
      <c r="J1925" s="87"/>
      <c r="K1925" s="87"/>
      <c r="L1925" s="87"/>
      <c r="M1925" s="87"/>
      <c r="N1925" s="87"/>
      <c r="O1925" s="87"/>
      <c r="P1925" s="87"/>
      <c r="Q1925" s="87"/>
      <c r="R1925" s="87"/>
      <c r="S1925" s="87"/>
      <c r="T1925" s="87"/>
      <c r="U1925" s="88"/>
      <c r="V1925" s="89"/>
      <c r="W1925" s="96">
        <v>0</v>
      </c>
      <c r="X1925" s="71">
        <f>CU1925</f>
        <v>0</v>
      </c>
      <c r="Y1925" s="71">
        <f>CY1925</f>
        <v>0</v>
      </c>
      <c r="Z1925" s="71">
        <f>DA1925+DC1925+DE1925</f>
        <v>0</v>
      </c>
      <c r="AA1925" s="71">
        <f>CW1925</f>
        <v>0</v>
      </c>
      <c r="AB1925" s="71"/>
      <c r="AC1925" s="71">
        <v>0</v>
      </c>
      <c r="AD1925" s="71">
        <f>W1925+X1925+Y1925+Z1925+AA1925+AB1925+AC1925</f>
        <v>0</v>
      </c>
      <c r="AE1925" s="72">
        <v>0</v>
      </c>
      <c r="AF1925" s="5"/>
      <c r="AG1925" s="6"/>
      <c r="AH1925" s="27" t="s">
        <v>3392</v>
      </c>
      <c r="AI1925" s="44" t="s">
        <v>3393</v>
      </c>
      <c r="AJ1925" s="26"/>
      <c r="AK1925" s="5"/>
      <c r="AL1925" s="82" t="s">
        <v>4789</v>
      </c>
      <c r="AM1925" s="76"/>
      <c r="AN1925" s="76"/>
      <c r="AO1925" s="76"/>
      <c r="AP1925" s="76"/>
      <c r="AQ1925" s="76"/>
      <c r="AR1925" s="76"/>
      <c r="AS1925" s="76"/>
      <c r="AT1925" s="76"/>
      <c r="AU1925" s="76"/>
      <c r="AV1925" s="76"/>
      <c r="AW1925" s="76"/>
      <c r="AX1925" s="76">
        <f>+AW1925*600000</f>
        <v>0</v>
      </c>
      <c r="AY1925" s="76"/>
      <c r="AZ1925" s="76">
        <f>+AY1925*70000</f>
        <v>0</v>
      </c>
      <c r="BA1925" s="76"/>
      <c r="BB1925" s="76"/>
      <c r="BC1925" s="76"/>
      <c r="BD1925" s="76">
        <f>+BC1925*30000</f>
        <v>0</v>
      </c>
      <c r="BE1925" s="76"/>
      <c r="BF1925" s="76"/>
      <c r="BG1925" s="76"/>
      <c r="BH1925" s="76"/>
      <c r="BI1925" s="76"/>
      <c r="BJ1925" s="76"/>
      <c r="BK1925" s="76"/>
      <c r="BL1925" s="76">
        <f>+BK1925*31500</f>
        <v>0</v>
      </c>
      <c r="BM1925" s="76"/>
      <c r="BN1925" s="76"/>
      <c r="BO1925" s="76"/>
      <c r="BP1925" s="76"/>
      <c r="BQ1925" s="76"/>
      <c r="BR1925" s="76"/>
      <c r="BS1925" s="76"/>
      <c r="BT1925" s="76"/>
      <c r="BU1925" s="76"/>
      <c r="BV1925" s="76"/>
      <c r="BW1925" s="76"/>
      <c r="BX1925" s="76"/>
      <c r="BY1925" s="76"/>
      <c r="BZ1925" s="76"/>
      <c r="CA1925" s="76"/>
      <c r="CB1925" s="76"/>
      <c r="CC1925" s="76"/>
      <c r="CD1925" s="76"/>
      <c r="CE1925" s="76"/>
      <c r="CF1925" s="76">
        <f>+CE1925*28000</f>
        <v>0</v>
      </c>
      <c r="CG1925" s="76"/>
      <c r="CH1925" s="76">
        <f>+CG1925*22500</f>
        <v>0</v>
      </c>
      <c r="CI1925" s="76"/>
      <c r="CJ1925" s="76">
        <f>+CI1925*26000</f>
        <v>0</v>
      </c>
      <c r="CK1925" s="76"/>
      <c r="CL1925" s="76"/>
      <c r="CM1925" s="76"/>
      <c r="CN1925" s="76">
        <f>+CM1925*22000</f>
        <v>0</v>
      </c>
      <c r="CO1925" s="76"/>
      <c r="CP1925" s="76">
        <f>+CO1925*46000</f>
        <v>0</v>
      </c>
      <c r="CQ1925" s="76"/>
      <c r="CR1925" s="76">
        <f>+CQ1925*49000</f>
        <v>0</v>
      </c>
      <c r="CS1925" s="76"/>
      <c r="CT1925" s="76"/>
      <c r="CU1925" s="56">
        <f>AN1925+AP1925+AR1925+AT1925+AV1925+AX1925+AZ1925+BB1925+BD1925+BF1925+BH1925+BJ1925+BL1925+BN1925+BP1925+BR1925+BT1925+BV1925+BX1925+BZ1925+CB1925+CD1925+CF1925+CH1925+CJ1925+CL1925+CN1925+CP1925+CR1925+CT1925</f>
        <v>0</v>
      </c>
      <c r="CV1925" s="76"/>
      <c r="CW1925" s="76">
        <f>+CV1925*1100</f>
        <v>0</v>
      </c>
      <c r="CX1925" s="76"/>
      <c r="CY1925" s="76">
        <f>+CX1925*106250</f>
        <v>0</v>
      </c>
      <c r="CZ1925" s="76"/>
      <c r="DA1925" s="76">
        <f>+CZ1925*34500</f>
        <v>0</v>
      </c>
      <c r="DB1925" s="76"/>
      <c r="DC1925" s="76">
        <f>+DB1925*25000</f>
        <v>0</v>
      </c>
      <c r="DD1925" s="219"/>
      <c r="DE1925" s="219"/>
      <c r="DF1925" s="166"/>
      <c r="DG1925" s="116"/>
      <c r="DH1925" s="117"/>
      <c r="DI1925" s="24"/>
      <c r="DJ1925" s="24"/>
      <c r="DK1925" s="24"/>
      <c r="DL1925" s="24"/>
      <c r="DM1925" s="24"/>
      <c r="DN1925" s="24"/>
      <c r="DO1925" s="24"/>
      <c r="DP1925" s="24"/>
      <c r="DQ1925" s="24"/>
      <c r="DR1925" s="24"/>
      <c r="DS1925" s="24"/>
      <c r="DT1925" s="24"/>
      <c r="DU1925" s="24"/>
    </row>
    <row r="1926" spans="1:125" s="8" customFormat="1" ht="48" x14ac:dyDescent="0.2">
      <c r="A1926" s="77">
        <v>41418</v>
      </c>
      <c r="B1926" s="60" t="s">
        <v>2774</v>
      </c>
      <c r="C1926" s="55" t="s">
        <v>1347</v>
      </c>
      <c r="D1926" s="55" t="s">
        <v>2882</v>
      </c>
      <c r="E1926" s="75" t="str">
        <f>VLOOKUP(B1926&amp;C1926,Divipola!$C$2:$F$1138,4,FALSE)</f>
        <v>66001</v>
      </c>
      <c r="F1926" s="87"/>
      <c r="G1926" s="87"/>
      <c r="H1926" s="87"/>
      <c r="I1926" s="87">
        <f>40*5</f>
        <v>200</v>
      </c>
      <c r="J1926" s="87">
        <v>40</v>
      </c>
      <c r="K1926" s="87"/>
      <c r="L1926" s="87">
        <v>40</v>
      </c>
      <c r="M1926" s="87"/>
      <c r="N1926" s="87"/>
      <c r="O1926" s="87"/>
      <c r="P1926" s="87"/>
      <c r="Q1926" s="87"/>
      <c r="R1926" s="87"/>
      <c r="S1926" s="87"/>
      <c r="T1926" s="87"/>
      <c r="U1926" s="88"/>
      <c r="V1926" s="89"/>
      <c r="W1926" s="96">
        <v>0</v>
      </c>
      <c r="X1926" s="71">
        <f>CU1926</f>
        <v>5454911.6000000006</v>
      </c>
      <c r="Y1926" s="71">
        <f>CY1926</f>
        <v>4250000</v>
      </c>
      <c r="Z1926" s="71">
        <f>DA1926+DC1926+DE1926</f>
        <v>18258284</v>
      </c>
      <c r="AA1926" s="71">
        <f>CW1926</f>
        <v>0</v>
      </c>
      <c r="AB1926" s="71"/>
      <c r="AC1926" s="71">
        <v>0</v>
      </c>
      <c r="AD1926" s="71">
        <f>W1926+X1926+Y1926+Z1926+AA1926+AB1926+AC1926</f>
        <v>27963195.600000001</v>
      </c>
      <c r="AE1926" s="72">
        <v>0</v>
      </c>
      <c r="AF1926" s="5"/>
      <c r="AG1926" s="6"/>
      <c r="AH1926" s="27" t="s">
        <v>3390</v>
      </c>
      <c r="AI1926" s="44" t="s">
        <v>3391</v>
      </c>
      <c r="AJ1926" s="26"/>
      <c r="AK1926" s="5"/>
      <c r="AL1926" s="82" t="s">
        <v>4682</v>
      </c>
      <c r="AM1926" s="76"/>
      <c r="AN1926" s="76"/>
      <c r="AO1926" s="76"/>
      <c r="AP1926" s="76"/>
      <c r="AQ1926" s="76"/>
      <c r="AR1926" s="76"/>
      <c r="AS1926" s="76"/>
      <c r="AT1926" s="76"/>
      <c r="AU1926" s="76"/>
      <c r="AV1926" s="76"/>
      <c r="AW1926" s="76"/>
      <c r="AX1926" s="76">
        <f>+AW1926*600000</f>
        <v>0</v>
      </c>
      <c r="AY1926" s="86">
        <v>30</v>
      </c>
      <c r="AZ1926" s="86">
        <f>+AY1926*69999.04</f>
        <v>2099971.1999999997</v>
      </c>
      <c r="BA1926" s="76"/>
      <c r="BB1926" s="76"/>
      <c r="BC1926" s="76"/>
      <c r="BD1926" s="76">
        <f>+BC1926*30000</f>
        <v>0</v>
      </c>
      <c r="BE1926" s="76"/>
      <c r="BF1926" s="76"/>
      <c r="BG1926" s="76"/>
      <c r="BH1926" s="76"/>
      <c r="BI1926" s="76"/>
      <c r="BJ1926" s="76"/>
      <c r="BK1926" s="76"/>
      <c r="BL1926" s="76">
        <f>+BK1926*31500</f>
        <v>0</v>
      </c>
      <c r="BM1926" s="76"/>
      <c r="BN1926" s="76"/>
      <c r="BO1926" s="76"/>
      <c r="BP1926" s="76"/>
      <c r="BQ1926" s="76"/>
      <c r="BR1926" s="76"/>
      <c r="BS1926" s="76"/>
      <c r="BT1926" s="76"/>
      <c r="BU1926" s="76"/>
      <c r="BV1926" s="76"/>
      <c r="BW1926" s="76"/>
      <c r="BX1926" s="76"/>
      <c r="BY1926" s="76"/>
      <c r="BZ1926" s="76"/>
      <c r="CA1926" s="76"/>
      <c r="CB1926" s="76"/>
      <c r="CC1926" s="76"/>
      <c r="CD1926" s="76"/>
      <c r="CE1926" s="76"/>
      <c r="CF1926" s="76">
        <f>+CE1926*28000</f>
        <v>0</v>
      </c>
      <c r="CG1926" s="86">
        <v>30</v>
      </c>
      <c r="CH1926" s="86">
        <f>+CG1926*22499.36</f>
        <v>674980.8</v>
      </c>
      <c r="CI1926" s="86">
        <v>30</v>
      </c>
      <c r="CJ1926" s="86">
        <f>+CI1926*25999.08</f>
        <v>779972.4</v>
      </c>
      <c r="CK1926" s="76"/>
      <c r="CL1926" s="76"/>
      <c r="CM1926" s="76"/>
      <c r="CN1926" s="76">
        <f>+CM1926*22000</f>
        <v>0</v>
      </c>
      <c r="CO1926" s="86">
        <v>20</v>
      </c>
      <c r="CP1926" s="86">
        <f>+CO1926*45999.8</f>
        <v>919996</v>
      </c>
      <c r="CQ1926" s="86">
        <v>20</v>
      </c>
      <c r="CR1926" s="86">
        <f>+CQ1926*48999.56</f>
        <v>979991.2</v>
      </c>
      <c r="CS1926" s="76"/>
      <c r="CT1926" s="76"/>
      <c r="CU1926" s="56">
        <f>AN1926+AP1926+AR1926+AT1926+AV1926+AX1926+AZ1926+BB1926+BD1926+BF1926+BH1926+BJ1926+BL1926+BN1926+BP1926+BR1926+BT1926+BV1926+BX1926+BZ1926+CB1926+CD1926+CF1926+CH1926+CJ1926+CL1926+CN1926+CP1926+CR1926+CT1926</f>
        <v>5454911.6000000006</v>
      </c>
      <c r="CV1926" s="76"/>
      <c r="CW1926" s="76">
        <f>+CV1926*1100</f>
        <v>0</v>
      </c>
      <c r="CX1926" s="86">
        <v>40</v>
      </c>
      <c r="CY1926" s="86">
        <f>+CX1926*106250</f>
        <v>4250000</v>
      </c>
      <c r="CZ1926" s="76"/>
      <c r="DA1926" s="76">
        <f>+CZ1926*34500</f>
        <v>0</v>
      </c>
      <c r="DB1926" s="86">
        <v>550</v>
      </c>
      <c r="DC1926" s="86">
        <f>+DB1926*31999.76+3300*199.52</f>
        <v>18258284</v>
      </c>
      <c r="DD1926" s="219"/>
      <c r="DE1926" s="219"/>
      <c r="DF1926" s="166"/>
      <c r="DG1926" s="134" t="s">
        <v>6538</v>
      </c>
      <c r="DH1926" s="117"/>
      <c r="DI1926" s="24"/>
      <c r="DJ1926" s="24"/>
      <c r="DK1926" s="24"/>
      <c r="DL1926" s="24"/>
      <c r="DM1926" s="24"/>
      <c r="DN1926" s="24"/>
      <c r="DO1926" s="24"/>
      <c r="DP1926" s="24"/>
      <c r="DQ1926" s="24"/>
      <c r="DR1926" s="24"/>
      <c r="DS1926" s="24"/>
      <c r="DT1926" s="24"/>
      <c r="DU1926" s="24"/>
    </row>
    <row r="1927" spans="1:125" s="8" customFormat="1" ht="60" x14ac:dyDescent="0.2">
      <c r="A1927" s="353">
        <v>41418</v>
      </c>
      <c r="B1927" s="352" t="s">
        <v>2847</v>
      </c>
      <c r="C1927" s="354" t="s">
        <v>355</v>
      </c>
      <c r="D1927" s="354" t="s">
        <v>3088</v>
      </c>
      <c r="E1927" s="75" t="str">
        <f>VLOOKUP(B1927&amp;C1927,Divipola!$C$2:$F$1138,4,FALSE)</f>
        <v>68296</v>
      </c>
      <c r="F1927" s="87"/>
      <c r="G1927" s="87"/>
      <c r="H1927" s="87"/>
      <c r="I1927" s="87"/>
      <c r="J1927" s="87"/>
      <c r="K1927" s="87"/>
      <c r="L1927" s="87"/>
      <c r="M1927" s="87"/>
      <c r="N1927" s="87"/>
      <c r="O1927" s="87"/>
      <c r="P1927" s="87"/>
      <c r="Q1927" s="87"/>
      <c r="R1927" s="87"/>
      <c r="S1927" s="87"/>
      <c r="T1927" s="87"/>
      <c r="U1927" s="88"/>
      <c r="V1927" s="89"/>
      <c r="W1927" s="96">
        <v>0</v>
      </c>
      <c r="X1927" s="71">
        <f>CU1927</f>
        <v>0</v>
      </c>
      <c r="Y1927" s="71">
        <f>CY1927</f>
        <v>0</v>
      </c>
      <c r="Z1927" s="71">
        <f>DA1927+DC1927+DE1927</f>
        <v>0</v>
      </c>
      <c r="AA1927" s="71">
        <f>CW1927</f>
        <v>0</v>
      </c>
      <c r="AB1927" s="71"/>
      <c r="AC1927" s="71">
        <v>0</v>
      </c>
      <c r="AD1927" s="71">
        <f>W1927+X1927+Y1927+Z1927+AA1927+AB1927+AC1927</f>
        <v>0</v>
      </c>
      <c r="AE1927" s="72">
        <v>0</v>
      </c>
      <c r="AF1927" s="5"/>
      <c r="AG1927" s="6"/>
      <c r="AH1927" s="27" t="s">
        <v>3392</v>
      </c>
      <c r="AI1927" s="44" t="s">
        <v>3393</v>
      </c>
      <c r="AJ1927" s="26"/>
      <c r="AK1927" s="5"/>
      <c r="AL1927" s="82" t="s">
        <v>4736</v>
      </c>
      <c r="AM1927" s="76"/>
      <c r="AN1927" s="76"/>
      <c r="AO1927" s="76"/>
      <c r="AP1927" s="76"/>
      <c r="AQ1927" s="76"/>
      <c r="AR1927" s="76"/>
      <c r="AS1927" s="76"/>
      <c r="AT1927" s="76"/>
      <c r="AU1927" s="76"/>
      <c r="AV1927" s="76"/>
      <c r="AW1927" s="76"/>
      <c r="AX1927" s="76">
        <f>+AW1927*600000</f>
        <v>0</v>
      </c>
      <c r="AY1927" s="76"/>
      <c r="AZ1927" s="76">
        <f>+AY1927*70000</f>
        <v>0</v>
      </c>
      <c r="BA1927" s="76"/>
      <c r="BB1927" s="76"/>
      <c r="BC1927" s="76"/>
      <c r="BD1927" s="76">
        <f>+BC1927*30000</f>
        <v>0</v>
      </c>
      <c r="BE1927" s="76"/>
      <c r="BF1927" s="76"/>
      <c r="BG1927" s="76"/>
      <c r="BH1927" s="76"/>
      <c r="BI1927" s="76"/>
      <c r="BJ1927" s="76"/>
      <c r="BK1927" s="76"/>
      <c r="BL1927" s="76">
        <f>+BK1927*31500</f>
        <v>0</v>
      </c>
      <c r="BM1927" s="76"/>
      <c r="BN1927" s="76"/>
      <c r="BO1927" s="76"/>
      <c r="BP1927" s="76"/>
      <c r="BQ1927" s="76"/>
      <c r="BR1927" s="76"/>
      <c r="BS1927" s="76"/>
      <c r="BT1927" s="76"/>
      <c r="BU1927" s="76"/>
      <c r="BV1927" s="76"/>
      <c r="BW1927" s="76"/>
      <c r="BX1927" s="76"/>
      <c r="BY1927" s="76"/>
      <c r="BZ1927" s="76"/>
      <c r="CA1927" s="76"/>
      <c r="CB1927" s="76"/>
      <c r="CC1927" s="76"/>
      <c r="CD1927" s="76"/>
      <c r="CE1927" s="76"/>
      <c r="CF1927" s="76">
        <f>+CE1927*28000</f>
        <v>0</v>
      </c>
      <c r="CG1927" s="76"/>
      <c r="CH1927" s="76">
        <f>+CG1927*22500</f>
        <v>0</v>
      </c>
      <c r="CI1927" s="76"/>
      <c r="CJ1927" s="76">
        <f>+CI1927*26000</f>
        <v>0</v>
      </c>
      <c r="CK1927" s="76"/>
      <c r="CL1927" s="76"/>
      <c r="CM1927" s="76"/>
      <c r="CN1927" s="76">
        <f>+CM1927*22000</f>
        <v>0</v>
      </c>
      <c r="CO1927" s="76"/>
      <c r="CP1927" s="76">
        <f>+CO1927*46000</f>
        <v>0</v>
      </c>
      <c r="CQ1927" s="76"/>
      <c r="CR1927" s="76">
        <f>+CQ1927*49000</f>
        <v>0</v>
      </c>
      <c r="CS1927" s="76"/>
      <c r="CT1927" s="76"/>
      <c r="CU1927" s="56">
        <f>AN1927+AP1927+AR1927+AT1927+AV1927+AX1927+AZ1927+BB1927+BD1927+BF1927+BH1927+BJ1927+BL1927+BN1927+BP1927+BR1927+BT1927+BV1927+BX1927+BZ1927+CB1927+CD1927+CF1927+CH1927+CJ1927+CL1927+CN1927+CP1927+CR1927+CT1927</f>
        <v>0</v>
      </c>
      <c r="CV1927" s="76"/>
      <c r="CW1927" s="76">
        <f>+CV1927*1100</f>
        <v>0</v>
      </c>
      <c r="CX1927" s="76"/>
      <c r="CY1927" s="76">
        <f>+CX1927*106250</f>
        <v>0</v>
      </c>
      <c r="CZ1927" s="76"/>
      <c r="DA1927" s="76">
        <f>+CZ1927*34500</f>
        <v>0</v>
      </c>
      <c r="DB1927" s="76"/>
      <c r="DC1927" s="76">
        <f>+DB1927*25000</f>
        <v>0</v>
      </c>
      <c r="DD1927" s="219"/>
      <c r="DE1927" s="219"/>
      <c r="DF1927" s="166"/>
      <c r="DG1927" s="116"/>
      <c r="DH1927" s="117"/>
      <c r="DI1927" s="24"/>
      <c r="DJ1927" s="24"/>
      <c r="DK1927" s="24"/>
      <c r="DL1927" s="24"/>
      <c r="DM1927" s="24"/>
      <c r="DN1927" s="24"/>
      <c r="DO1927" s="24"/>
      <c r="DP1927" s="24"/>
      <c r="DQ1927" s="24"/>
      <c r="DR1927" s="24"/>
      <c r="DS1927" s="24"/>
      <c r="DT1927" s="24"/>
      <c r="DU1927" s="24"/>
    </row>
    <row r="1928" spans="1:125" s="8" customFormat="1" ht="144" x14ac:dyDescent="0.2">
      <c r="A1928" s="77">
        <v>41418</v>
      </c>
      <c r="B1928" s="78" t="s">
        <v>2848</v>
      </c>
      <c r="C1928" s="75" t="s">
        <v>1902</v>
      </c>
      <c r="D1928" s="75" t="s">
        <v>3088</v>
      </c>
      <c r="E1928" s="75" t="str">
        <f>VLOOKUP(B1928&amp;C1928,Divipola!$C$2:$F$1138,4,FALSE)</f>
        <v>73616</v>
      </c>
      <c r="F1928" s="87"/>
      <c r="G1928" s="87"/>
      <c r="H1928" s="87"/>
      <c r="I1928" s="87">
        <v>15</v>
      </c>
      <c r="J1928" s="87">
        <v>3</v>
      </c>
      <c r="K1928" s="87">
        <v>1</v>
      </c>
      <c r="L1928" s="87">
        <v>2</v>
      </c>
      <c r="M1928" s="87"/>
      <c r="N1928" s="87"/>
      <c r="O1928" s="87"/>
      <c r="P1928" s="87"/>
      <c r="Q1928" s="87"/>
      <c r="R1928" s="87"/>
      <c r="S1928" s="87"/>
      <c r="T1928" s="87"/>
      <c r="U1928" s="88"/>
      <c r="V1928" s="89"/>
      <c r="W1928" s="96">
        <v>0</v>
      </c>
      <c r="X1928" s="71">
        <f>CU1928</f>
        <v>0</v>
      </c>
      <c r="Y1928" s="71">
        <f>CY1928</f>
        <v>0</v>
      </c>
      <c r="Z1928" s="71">
        <f>DA1928+DC1928+DE1928</f>
        <v>0</v>
      </c>
      <c r="AA1928" s="71">
        <f>CW1928</f>
        <v>0</v>
      </c>
      <c r="AB1928" s="71"/>
      <c r="AC1928" s="71">
        <v>0</v>
      </c>
      <c r="AD1928" s="71">
        <f>W1928+X1928+Y1928+Z1928+AA1928+AB1928+AC1928</f>
        <v>0</v>
      </c>
      <c r="AE1928" s="72">
        <v>0</v>
      </c>
      <c r="AF1928" s="5"/>
      <c r="AG1928" s="6"/>
      <c r="AH1928" s="27" t="s">
        <v>3392</v>
      </c>
      <c r="AI1928" s="44" t="s">
        <v>3393</v>
      </c>
      <c r="AJ1928" s="26"/>
      <c r="AK1928" s="5"/>
      <c r="AL1928" s="82" t="s">
        <v>4739</v>
      </c>
      <c r="AM1928" s="76"/>
      <c r="AN1928" s="76"/>
      <c r="AO1928" s="76"/>
      <c r="AP1928" s="76"/>
      <c r="AQ1928" s="76"/>
      <c r="AR1928" s="76"/>
      <c r="AS1928" s="76"/>
      <c r="AT1928" s="76"/>
      <c r="AU1928" s="76"/>
      <c r="AV1928" s="76"/>
      <c r="AW1928" s="76"/>
      <c r="AX1928" s="76">
        <f>+AW1928*600000</f>
        <v>0</v>
      </c>
      <c r="AY1928" s="76"/>
      <c r="AZ1928" s="76">
        <f>+AY1928*70000</f>
        <v>0</v>
      </c>
      <c r="BA1928" s="76"/>
      <c r="BB1928" s="76"/>
      <c r="BC1928" s="76"/>
      <c r="BD1928" s="76">
        <f>+BC1928*30000</f>
        <v>0</v>
      </c>
      <c r="BE1928" s="76"/>
      <c r="BF1928" s="76"/>
      <c r="BG1928" s="76"/>
      <c r="BH1928" s="76"/>
      <c r="BI1928" s="76"/>
      <c r="BJ1928" s="76"/>
      <c r="BK1928" s="76"/>
      <c r="BL1928" s="76">
        <f>+BK1928*31500</f>
        <v>0</v>
      </c>
      <c r="BM1928" s="76"/>
      <c r="BN1928" s="76"/>
      <c r="BO1928" s="76"/>
      <c r="BP1928" s="76"/>
      <c r="BQ1928" s="76"/>
      <c r="BR1928" s="76"/>
      <c r="BS1928" s="76"/>
      <c r="BT1928" s="76"/>
      <c r="BU1928" s="76"/>
      <c r="BV1928" s="76"/>
      <c r="BW1928" s="76"/>
      <c r="BX1928" s="76"/>
      <c r="BY1928" s="76"/>
      <c r="BZ1928" s="76"/>
      <c r="CA1928" s="76"/>
      <c r="CB1928" s="76"/>
      <c r="CC1928" s="76"/>
      <c r="CD1928" s="76"/>
      <c r="CE1928" s="76"/>
      <c r="CF1928" s="76">
        <f>+CE1928*28000</f>
        <v>0</v>
      </c>
      <c r="CG1928" s="76"/>
      <c r="CH1928" s="76">
        <f>+CG1928*22500</f>
        <v>0</v>
      </c>
      <c r="CI1928" s="76"/>
      <c r="CJ1928" s="76">
        <f>+CI1928*26000</f>
        <v>0</v>
      </c>
      <c r="CK1928" s="76"/>
      <c r="CL1928" s="76"/>
      <c r="CM1928" s="76"/>
      <c r="CN1928" s="76">
        <f>+CM1928*22000</f>
        <v>0</v>
      </c>
      <c r="CO1928" s="76"/>
      <c r="CP1928" s="76">
        <f>+CO1928*46000</f>
        <v>0</v>
      </c>
      <c r="CQ1928" s="76"/>
      <c r="CR1928" s="76">
        <f>+CQ1928*49000</f>
        <v>0</v>
      </c>
      <c r="CS1928" s="76"/>
      <c r="CT1928" s="76"/>
      <c r="CU1928" s="56">
        <f>AN1928+AP1928+AR1928+AT1928+AV1928+AX1928+AZ1928+BB1928+BD1928+BF1928+BH1928+BJ1928+BL1928+BN1928+BP1928+BR1928+BT1928+BV1928+BX1928+BZ1928+CB1928+CD1928+CF1928+CH1928+CJ1928+CL1928+CN1928+CP1928+CR1928+CT1928</f>
        <v>0</v>
      </c>
      <c r="CV1928" s="76"/>
      <c r="CW1928" s="76">
        <f>+CV1928*1100</f>
        <v>0</v>
      </c>
      <c r="CX1928" s="76"/>
      <c r="CY1928" s="76">
        <f>+CX1928*106250</f>
        <v>0</v>
      </c>
      <c r="CZ1928" s="76"/>
      <c r="DA1928" s="76">
        <f>+CZ1928*34500</f>
        <v>0</v>
      </c>
      <c r="DB1928" s="76"/>
      <c r="DC1928" s="76">
        <f>+DB1928*25000</f>
        <v>0</v>
      </c>
      <c r="DD1928" s="219"/>
      <c r="DE1928" s="219"/>
      <c r="DF1928" s="166"/>
      <c r="DG1928" s="116"/>
      <c r="DH1928" s="117"/>
      <c r="DI1928" s="24"/>
      <c r="DJ1928" s="24"/>
      <c r="DK1928" s="24"/>
      <c r="DL1928" s="24"/>
      <c r="DM1928" s="24"/>
      <c r="DN1928" s="24"/>
      <c r="DO1928" s="24"/>
      <c r="DP1928" s="24"/>
      <c r="DQ1928" s="24"/>
      <c r="DR1928" s="24"/>
      <c r="DS1928" s="24"/>
      <c r="DT1928" s="24"/>
      <c r="DU1928" s="24"/>
    </row>
    <row r="1929" spans="1:125" s="8" customFormat="1" ht="72" x14ac:dyDescent="0.2">
      <c r="A1929" s="353">
        <v>41418</v>
      </c>
      <c r="B1929" s="352" t="s">
        <v>2851</v>
      </c>
      <c r="C1929" s="354" t="s">
        <v>2107</v>
      </c>
      <c r="D1929" s="354" t="s">
        <v>3051</v>
      </c>
      <c r="E1929" s="75" t="str">
        <f>VLOOKUP(B1929&amp;C1929,Divipola!$C$2:$F$1138,4,FALSE)</f>
        <v>76041</v>
      </c>
      <c r="F1929" s="87"/>
      <c r="G1929" s="87"/>
      <c r="H1929" s="87"/>
      <c r="I1929" s="87"/>
      <c r="J1929" s="87"/>
      <c r="K1929" s="87"/>
      <c r="L1929" s="87"/>
      <c r="M1929" s="87">
        <v>1</v>
      </c>
      <c r="N1929" s="87"/>
      <c r="O1929" s="87"/>
      <c r="P1929" s="87"/>
      <c r="Q1929" s="87"/>
      <c r="R1929" s="87"/>
      <c r="S1929" s="87">
        <v>1</v>
      </c>
      <c r="T1929" s="87">
        <v>1</v>
      </c>
      <c r="U1929" s="88"/>
      <c r="V1929" s="89"/>
      <c r="W1929" s="96">
        <v>0</v>
      </c>
      <c r="X1929" s="71">
        <f>CU1929</f>
        <v>0</v>
      </c>
      <c r="Y1929" s="71">
        <f>CY1929</f>
        <v>0</v>
      </c>
      <c r="Z1929" s="71">
        <f>DA1929+DC1929+DE1929</f>
        <v>0</v>
      </c>
      <c r="AA1929" s="71">
        <f>CW1929</f>
        <v>0</v>
      </c>
      <c r="AB1929" s="71"/>
      <c r="AC1929" s="71">
        <v>0</v>
      </c>
      <c r="AD1929" s="71">
        <f>W1929+X1929+Y1929+Z1929+AA1929+AB1929+AC1929</f>
        <v>0</v>
      </c>
      <c r="AE1929" s="72">
        <v>0</v>
      </c>
      <c r="AF1929" s="5"/>
      <c r="AG1929" s="6"/>
      <c r="AH1929" s="27" t="s">
        <v>3392</v>
      </c>
      <c r="AI1929" s="44" t="s">
        <v>3393</v>
      </c>
      <c r="AJ1929" s="26"/>
      <c r="AK1929" s="5"/>
      <c r="AL1929" s="82" t="s">
        <v>4742</v>
      </c>
      <c r="AM1929" s="76"/>
      <c r="AN1929" s="76"/>
      <c r="AO1929" s="76"/>
      <c r="AP1929" s="76"/>
      <c r="AQ1929" s="76"/>
      <c r="AR1929" s="76"/>
      <c r="AS1929" s="76"/>
      <c r="AT1929" s="76"/>
      <c r="AU1929" s="76"/>
      <c r="AV1929" s="76"/>
      <c r="AW1929" s="76"/>
      <c r="AX1929" s="76">
        <f>+AW1929*600000</f>
        <v>0</v>
      </c>
      <c r="AY1929" s="76"/>
      <c r="AZ1929" s="76">
        <f>+AY1929*70000</f>
        <v>0</v>
      </c>
      <c r="BA1929" s="76"/>
      <c r="BB1929" s="76"/>
      <c r="BC1929" s="76"/>
      <c r="BD1929" s="76">
        <f>+BC1929*30000</f>
        <v>0</v>
      </c>
      <c r="BE1929" s="76"/>
      <c r="BF1929" s="76"/>
      <c r="BG1929" s="76"/>
      <c r="BH1929" s="76"/>
      <c r="BI1929" s="76"/>
      <c r="BJ1929" s="76"/>
      <c r="BK1929" s="76"/>
      <c r="BL1929" s="76">
        <f>+BK1929*31500</f>
        <v>0</v>
      </c>
      <c r="BM1929" s="76"/>
      <c r="BN1929" s="76"/>
      <c r="BO1929" s="76"/>
      <c r="BP1929" s="76"/>
      <c r="BQ1929" s="76"/>
      <c r="BR1929" s="76"/>
      <c r="BS1929" s="76"/>
      <c r="BT1929" s="76"/>
      <c r="BU1929" s="76"/>
      <c r="BV1929" s="76"/>
      <c r="BW1929" s="76"/>
      <c r="BX1929" s="76"/>
      <c r="BY1929" s="76"/>
      <c r="BZ1929" s="76"/>
      <c r="CA1929" s="76"/>
      <c r="CB1929" s="76"/>
      <c r="CC1929" s="76"/>
      <c r="CD1929" s="76"/>
      <c r="CE1929" s="76"/>
      <c r="CF1929" s="76">
        <f>+CE1929*28000</f>
        <v>0</v>
      </c>
      <c r="CG1929" s="76"/>
      <c r="CH1929" s="76">
        <f>+CG1929*22500</f>
        <v>0</v>
      </c>
      <c r="CI1929" s="76"/>
      <c r="CJ1929" s="76">
        <f>+CI1929*26000</f>
        <v>0</v>
      </c>
      <c r="CK1929" s="76"/>
      <c r="CL1929" s="76"/>
      <c r="CM1929" s="76"/>
      <c r="CN1929" s="76">
        <f>+CM1929*22000</f>
        <v>0</v>
      </c>
      <c r="CO1929" s="76"/>
      <c r="CP1929" s="76">
        <f>+CO1929*46000</f>
        <v>0</v>
      </c>
      <c r="CQ1929" s="76"/>
      <c r="CR1929" s="76">
        <f>+CQ1929*49000</f>
        <v>0</v>
      </c>
      <c r="CS1929" s="76"/>
      <c r="CT1929" s="76"/>
      <c r="CU1929" s="56">
        <f>AN1929+AP1929+AR1929+AT1929+AV1929+AX1929+AZ1929+BB1929+BD1929+BF1929+BH1929+BJ1929+BL1929+BN1929+BP1929+BR1929+BT1929+BV1929+BX1929+BZ1929+CB1929+CD1929+CF1929+CH1929+CJ1929+CL1929+CN1929+CP1929+CR1929+CT1929</f>
        <v>0</v>
      </c>
      <c r="CV1929" s="76"/>
      <c r="CW1929" s="76">
        <f>+CV1929*1100</f>
        <v>0</v>
      </c>
      <c r="CX1929" s="76"/>
      <c r="CY1929" s="76">
        <f>+CX1929*106250</f>
        <v>0</v>
      </c>
      <c r="CZ1929" s="76"/>
      <c r="DA1929" s="76">
        <f>+CZ1929*34500</f>
        <v>0</v>
      </c>
      <c r="DB1929" s="76"/>
      <c r="DC1929" s="76">
        <f>+DB1929*25000</f>
        <v>0</v>
      </c>
      <c r="DD1929" s="219"/>
      <c r="DE1929" s="219"/>
      <c r="DF1929" s="166"/>
      <c r="DG1929" s="116"/>
      <c r="DH1929" s="117"/>
      <c r="DI1929" s="24"/>
      <c r="DJ1929" s="24"/>
      <c r="DK1929" s="24"/>
      <c r="DL1929" s="24"/>
      <c r="DM1929" s="24"/>
      <c r="DN1929" s="24"/>
      <c r="DO1929" s="24"/>
      <c r="DP1929" s="24"/>
      <c r="DQ1929" s="24"/>
      <c r="DR1929" s="24"/>
      <c r="DS1929" s="24"/>
      <c r="DT1929" s="24"/>
      <c r="DU1929" s="24"/>
    </row>
    <row r="1930" spans="1:125" s="8" customFormat="1" ht="144" x14ac:dyDescent="0.2">
      <c r="A1930" s="77">
        <v>41419</v>
      </c>
      <c r="B1930" s="78" t="s">
        <v>2894</v>
      </c>
      <c r="C1930" s="75" t="s">
        <v>2427</v>
      </c>
      <c r="D1930" s="75" t="s">
        <v>3088</v>
      </c>
      <c r="E1930" s="75" t="str">
        <f>VLOOKUP(B1930&amp;C1930,Divipola!$C$2:$F$1138,4,FALSE)</f>
        <v>05209</v>
      </c>
      <c r="F1930" s="163"/>
      <c r="G1930" s="163"/>
      <c r="H1930" s="163"/>
      <c r="I1930" s="163"/>
      <c r="J1930" s="163"/>
      <c r="K1930" s="163"/>
      <c r="L1930" s="163"/>
      <c r="M1930" s="163"/>
      <c r="N1930" s="163"/>
      <c r="O1930" s="163"/>
      <c r="P1930" s="163"/>
      <c r="Q1930" s="163"/>
      <c r="R1930" s="163"/>
      <c r="S1930" s="163"/>
      <c r="T1930" s="163"/>
      <c r="U1930" s="163"/>
      <c r="V1930" s="134"/>
      <c r="W1930" s="96">
        <v>0</v>
      </c>
      <c r="X1930" s="71">
        <f>CU1930</f>
        <v>0</v>
      </c>
      <c r="Y1930" s="71">
        <f>CY1930</f>
        <v>0</v>
      </c>
      <c r="Z1930" s="71">
        <f>DA1930+DC1930+DE1930</f>
        <v>0</v>
      </c>
      <c r="AA1930" s="71">
        <f>CW1930</f>
        <v>0</v>
      </c>
      <c r="AB1930" s="71"/>
      <c r="AC1930" s="71">
        <v>0</v>
      </c>
      <c r="AD1930" s="71">
        <f>W1930+X1930+Y1930+Z1930+AA1930+AB1930+AC1930</f>
        <v>0</v>
      </c>
      <c r="AE1930" s="72">
        <v>0</v>
      </c>
      <c r="AF1930" s="5"/>
      <c r="AG1930" s="6"/>
      <c r="AH1930" s="27" t="s">
        <v>3392</v>
      </c>
      <c r="AI1930" s="44" t="s">
        <v>3393</v>
      </c>
      <c r="AJ1930" s="26"/>
      <c r="AK1930" s="5"/>
      <c r="AL1930" s="82" t="s">
        <v>4744</v>
      </c>
      <c r="AM1930" s="76"/>
      <c r="AN1930" s="76"/>
      <c r="AO1930" s="76"/>
      <c r="AP1930" s="76"/>
      <c r="AQ1930" s="76"/>
      <c r="AR1930" s="76"/>
      <c r="AS1930" s="76"/>
      <c r="AT1930" s="76"/>
      <c r="AU1930" s="76"/>
      <c r="AV1930" s="76"/>
      <c r="AW1930" s="76"/>
      <c r="AX1930" s="76">
        <f>+AW1930*600000</f>
        <v>0</v>
      </c>
      <c r="AY1930" s="76"/>
      <c r="AZ1930" s="76">
        <f>+AY1930*70000</f>
        <v>0</v>
      </c>
      <c r="BA1930" s="76"/>
      <c r="BB1930" s="76"/>
      <c r="BC1930" s="76"/>
      <c r="BD1930" s="76">
        <f>+BC1930*30000</f>
        <v>0</v>
      </c>
      <c r="BE1930" s="76"/>
      <c r="BF1930" s="76"/>
      <c r="BG1930" s="76"/>
      <c r="BH1930" s="76"/>
      <c r="BI1930" s="76"/>
      <c r="BJ1930" s="76"/>
      <c r="BK1930" s="76"/>
      <c r="BL1930" s="76">
        <f>+BK1930*31500</f>
        <v>0</v>
      </c>
      <c r="BM1930" s="76"/>
      <c r="BN1930" s="76"/>
      <c r="BO1930" s="76"/>
      <c r="BP1930" s="76"/>
      <c r="BQ1930" s="76"/>
      <c r="BR1930" s="76"/>
      <c r="BS1930" s="76"/>
      <c r="BT1930" s="76"/>
      <c r="BU1930" s="76"/>
      <c r="BV1930" s="76"/>
      <c r="BW1930" s="76"/>
      <c r="BX1930" s="76"/>
      <c r="BY1930" s="76"/>
      <c r="BZ1930" s="76"/>
      <c r="CA1930" s="76"/>
      <c r="CB1930" s="76"/>
      <c r="CC1930" s="76"/>
      <c r="CD1930" s="76"/>
      <c r="CE1930" s="76"/>
      <c r="CF1930" s="76">
        <f>+CE1930*28000</f>
        <v>0</v>
      </c>
      <c r="CG1930" s="76"/>
      <c r="CH1930" s="76">
        <f>+CG1930*22500</f>
        <v>0</v>
      </c>
      <c r="CI1930" s="76"/>
      <c r="CJ1930" s="76">
        <f>+CI1930*26000</f>
        <v>0</v>
      </c>
      <c r="CK1930" s="76"/>
      <c r="CL1930" s="76"/>
      <c r="CM1930" s="76"/>
      <c r="CN1930" s="76">
        <f>+CM1930*22000</f>
        <v>0</v>
      </c>
      <c r="CO1930" s="76"/>
      <c r="CP1930" s="76">
        <f>+CO1930*46000</f>
        <v>0</v>
      </c>
      <c r="CQ1930" s="76"/>
      <c r="CR1930" s="76">
        <f>+CQ1930*49000</f>
        <v>0</v>
      </c>
      <c r="CS1930" s="76"/>
      <c r="CT1930" s="76"/>
      <c r="CU1930" s="56">
        <f>AN1930+AP1930+AR1930+AT1930+AV1930+AX1930+AZ1930+BB1930+BD1930+BF1930+BH1930+BJ1930+BL1930+BN1930+BP1930+BR1930+BT1930+BV1930+BX1930+BZ1930+CB1930+CD1930+CF1930+CH1930+CJ1930+CL1930+CN1930+CP1930+CR1930+CT1930</f>
        <v>0</v>
      </c>
      <c r="CV1930" s="76"/>
      <c r="CW1930" s="76">
        <f>+CV1930*1100</f>
        <v>0</v>
      </c>
      <c r="CX1930" s="76"/>
      <c r="CY1930" s="76">
        <f>+CX1930*106250</f>
        <v>0</v>
      </c>
      <c r="CZ1930" s="76"/>
      <c r="DA1930" s="76">
        <f>+CZ1930*34500</f>
        <v>0</v>
      </c>
      <c r="DB1930" s="76"/>
      <c r="DC1930" s="76">
        <f>+DB1930*25000</f>
        <v>0</v>
      </c>
      <c r="DD1930" s="219"/>
      <c r="DE1930" s="219"/>
      <c r="DF1930" s="166"/>
      <c r="DG1930" s="116"/>
      <c r="DH1930" s="117"/>
      <c r="DI1930" s="24"/>
      <c r="DJ1930" s="24"/>
      <c r="DK1930" s="24"/>
      <c r="DL1930" s="24"/>
      <c r="DM1930" s="24"/>
      <c r="DN1930" s="24"/>
      <c r="DO1930" s="24"/>
      <c r="DP1930" s="24"/>
      <c r="DQ1930" s="24"/>
      <c r="DR1930" s="24"/>
      <c r="DS1930" s="24"/>
      <c r="DT1930" s="24"/>
      <c r="DU1930" s="24"/>
    </row>
    <row r="1931" spans="1:125" s="8" customFormat="1" ht="48" x14ac:dyDescent="0.2">
      <c r="A1931" s="77">
        <v>41419</v>
      </c>
      <c r="B1931" s="352" t="s">
        <v>2700</v>
      </c>
      <c r="C1931" s="354" t="s">
        <v>2813</v>
      </c>
      <c r="D1931" s="354" t="s">
        <v>2846</v>
      </c>
      <c r="E1931" s="75" t="str">
        <f>VLOOKUP(B1931&amp;C1931,Divipola!$C$2:$F$1138,4,FALSE)</f>
        <v>15600</v>
      </c>
      <c r="F1931" s="87"/>
      <c r="G1931" s="87"/>
      <c r="H1931" s="87"/>
      <c r="I1931" s="87"/>
      <c r="J1931" s="87"/>
      <c r="K1931" s="87"/>
      <c r="L1931" s="87"/>
      <c r="M1931" s="87"/>
      <c r="N1931" s="87"/>
      <c r="O1931" s="87"/>
      <c r="P1931" s="87"/>
      <c r="Q1931" s="87"/>
      <c r="R1931" s="87"/>
      <c r="S1931" s="87"/>
      <c r="T1931" s="87"/>
      <c r="U1931" s="88">
        <v>1</v>
      </c>
      <c r="V1931" s="89"/>
      <c r="W1931" s="96">
        <v>0</v>
      </c>
      <c r="X1931" s="71">
        <f>CU1931</f>
        <v>0</v>
      </c>
      <c r="Y1931" s="71">
        <f>CY1931</f>
        <v>0</v>
      </c>
      <c r="Z1931" s="71">
        <f>DA1931+DC1931+DE1931</f>
        <v>0</v>
      </c>
      <c r="AA1931" s="71">
        <f>CW1931</f>
        <v>0</v>
      </c>
      <c r="AB1931" s="71"/>
      <c r="AC1931" s="71">
        <v>0</v>
      </c>
      <c r="AD1931" s="71">
        <f>W1931+X1931+Y1931+Z1931+AA1931+AB1931+AC1931</f>
        <v>0</v>
      </c>
      <c r="AE1931" s="72">
        <v>0</v>
      </c>
      <c r="AF1931" s="5"/>
      <c r="AG1931" s="6"/>
      <c r="AH1931" s="27" t="s">
        <v>3392</v>
      </c>
      <c r="AI1931" s="44" t="s">
        <v>3393</v>
      </c>
      <c r="AJ1931" s="26"/>
      <c r="AK1931" s="5"/>
      <c r="AL1931" s="82" t="s">
        <v>4765</v>
      </c>
      <c r="AM1931" s="76"/>
      <c r="AN1931" s="76"/>
      <c r="AO1931" s="76"/>
      <c r="AP1931" s="76"/>
      <c r="AQ1931" s="76"/>
      <c r="AR1931" s="76"/>
      <c r="AS1931" s="76"/>
      <c r="AT1931" s="76"/>
      <c r="AU1931" s="76"/>
      <c r="AV1931" s="76"/>
      <c r="AW1931" s="76"/>
      <c r="AX1931" s="76">
        <f>+AW1931*600000</f>
        <v>0</v>
      </c>
      <c r="AY1931" s="76"/>
      <c r="AZ1931" s="76">
        <f>+AY1931*70000</f>
        <v>0</v>
      </c>
      <c r="BA1931" s="76"/>
      <c r="BB1931" s="76"/>
      <c r="BC1931" s="76"/>
      <c r="BD1931" s="76">
        <f>+BC1931*30000</f>
        <v>0</v>
      </c>
      <c r="BE1931" s="76"/>
      <c r="BF1931" s="76"/>
      <c r="BG1931" s="76"/>
      <c r="BH1931" s="76"/>
      <c r="BI1931" s="76"/>
      <c r="BJ1931" s="76"/>
      <c r="BK1931" s="76"/>
      <c r="BL1931" s="76">
        <f>+BK1931*31500</f>
        <v>0</v>
      </c>
      <c r="BM1931" s="76"/>
      <c r="BN1931" s="76"/>
      <c r="BO1931" s="76"/>
      <c r="BP1931" s="76"/>
      <c r="BQ1931" s="76"/>
      <c r="BR1931" s="76"/>
      <c r="BS1931" s="76"/>
      <c r="BT1931" s="76"/>
      <c r="BU1931" s="76"/>
      <c r="BV1931" s="76"/>
      <c r="BW1931" s="76"/>
      <c r="BX1931" s="76"/>
      <c r="BY1931" s="76"/>
      <c r="BZ1931" s="76"/>
      <c r="CA1931" s="76"/>
      <c r="CB1931" s="76"/>
      <c r="CC1931" s="76"/>
      <c r="CD1931" s="76"/>
      <c r="CE1931" s="76"/>
      <c r="CF1931" s="76">
        <f>+CE1931*28000</f>
        <v>0</v>
      </c>
      <c r="CG1931" s="76"/>
      <c r="CH1931" s="76">
        <f>+CG1931*22500</f>
        <v>0</v>
      </c>
      <c r="CI1931" s="76"/>
      <c r="CJ1931" s="76">
        <f>+CI1931*26000</f>
        <v>0</v>
      </c>
      <c r="CK1931" s="76"/>
      <c r="CL1931" s="76"/>
      <c r="CM1931" s="76"/>
      <c r="CN1931" s="76">
        <f>+CM1931*22000</f>
        <v>0</v>
      </c>
      <c r="CO1931" s="76"/>
      <c r="CP1931" s="76">
        <f>+CO1931*46000</f>
        <v>0</v>
      </c>
      <c r="CQ1931" s="76"/>
      <c r="CR1931" s="76">
        <f>+CQ1931*49000</f>
        <v>0</v>
      </c>
      <c r="CS1931" s="76"/>
      <c r="CT1931" s="76"/>
      <c r="CU1931" s="56">
        <f>AN1931+AP1931+AR1931+AT1931+AV1931+AX1931+AZ1931+BB1931+BD1931+BF1931+BH1931+BJ1931+BL1931+BN1931+BP1931+BR1931+BT1931+BV1931+BX1931+BZ1931+CB1931+CD1931+CF1931+CH1931+CJ1931+CL1931+CN1931+CP1931+CR1931+CT1931</f>
        <v>0</v>
      </c>
      <c r="CV1931" s="76"/>
      <c r="CW1931" s="76">
        <f>+CV1931*1100</f>
        <v>0</v>
      </c>
      <c r="CX1931" s="76"/>
      <c r="CY1931" s="76">
        <f>+CX1931*106250</f>
        <v>0</v>
      </c>
      <c r="CZ1931" s="76"/>
      <c r="DA1931" s="76">
        <f>+CZ1931*34500</f>
        <v>0</v>
      </c>
      <c r="DB1931" s="76"/>
      <c r="DC1931" s="76">
        <f>+DB1931*25000</f>
        <v>0</v>
      </c>
      <c r="DD1931" s="219"/>
      <c r="DE1931" s="219"/>
      <c r="DF1931" s="166"/>
      <c r="DG1931" s="116"/>
      <c r="DH1931" s="117"/>
      <c r="DI1931" s="24"/>
      <c r="DJ1931" s="24"/>
      <c r="DK1931" s="24"/>
      <c r="DL1931" s="24"/>
      <c r="DM1931" s="24"/>
      <c r="DN1931" s="24"/>
      <c r="DO1931" s="24"/>
      <c r="DP1931" s="24"/>
      <c r="DQ1931" s="24"/>
      <c r="DR1931" s="24"/>
      <c r="DS1931" s="24"/>
      <c r="DT1931" s="24"/>
      <c r="DU1931" s="24"/>
    </row>
    <row r="1932" spans="1:125" s="8" customFormat="1" ht="96" x14ac:dyDescent="0.2">
      <c r="A1932" s="77">
        <v>41419</v>
      </c>
      <c r="B1932" s="78" t="s">
        <v>2778</v>
      </c>
      <c r="C1932" s="75" t="s">
        <v>1271</v>
      </c>
      <c r="D1932" s="75" t="s">
        <v>3463</v>
      </c>
      <c r="E1932" s="75" t="str">
        <f>VLOOKUP(B1932&amp;C1932,Divipola!$C$2:$F$1138,4,FALSE)</f>
        <v>85410</v>
      </c>
      <c r="F1932" s="87">
        <v>2</v>
      </c>
      <c r="G1932" s="87"/>
      <c r="H1932" s="87"/>
      <c r="I1932" s="87"/>
      <c r="J1932" s="87"/>
      <c r="K1932" s="87"/>
      <c r="L1932" s="87"/>
      <c r="M1932" s="87"/>
      <c r="N1932" s="87"/>
      <c r="O1932" s="87"/>
      <c r="P1932" s="87"/>
      <c r="Q1932" s="87"/>
      <c r="R1932" s="87"/>
      <c r="S1932" s="87"/>
      <c r="T1932" s="87"/>
      <c r="U1932" s="88"/>
      <c r="V1932" s="89"/>
      <c r="W1932" s="96">
        <v>0</v>
      </c>
      <c r="X1932" s="71">
        <f>CU1932</f>
        <v>0</v>
      </c>
      <c r="Y1932" s="71">
        <f>CY1932</f>
        <v>0</v>
      </c>
      <c r="Z1932" s="71">
        <f>DA1932+DC1932+DE1932</f>
        <v>0</v>
      </c>
      <c r="AA1932" s="71">
        <f>CW1932</f>
        <v>0</v>
      </c>
      <c r="AB1932" s="71"/>
      <c r="AC1932" s="71">
        <v>0</v>
      </c>
      <c r="AD1932" s="71">
        <f>W1932+X1932+Y1932+Z1932+AA1932+AB1932+AC1932</f>
        <v>0</v>
      </c>
      <c r="AE1932" s="72">
        <v>0</v>
      </c>
      <c r="AF1932" s="5"/>
      <c r="AG1932" s="6"/>
      <c r="AH1932" s="27" t="s">
        <v>3392</v>
      </c>
      <c r="AI1932" s="44" t="s">
        <v>3393</v>
      </c>
      <c r="AJ1932" s="26"/>
      <c r="AK1932" s="5"/>
      <c r="AL1932" s="82" t="s">
        <v>4740</v>
      </c>
      <c r="AM1932" s="76"/>
      <c r="AN1932" s="76"/>
      <c r="AO1932" s="76"/>
      <c r="AP1932" s="76"/>
      <c r="AQ1932" s="76"/>
      <c r="AR1932" s="76"/>
      <c r="AS1932" s="76"/>
      <c r="AT1932" s="76"/>
      <c r="AU1932" s="76"/>
      <c r="AV1932" s="76"/>
      <c r="AW1932" s="76"/>
      <c r="AX1932" s="76">
        <f>+AW1932*600000</f>
        <v>0</v>
      </c>
      <c r="AY1932" s="76"/>
      <c r="AZ1932" s="76">
        <f>+AY1932*70000</f>
        <v>0</v>
      </c>
      <c r="BA1932" s="76"/>
      <c r="BB1932" s="76"/>
      <c r="BC1932" s="76"/>
      <c r="BD1932" s="76">
        <f>+BC1932*30000</f>
        <v>0</v>
      </c>
      <c r="BE1932" s="76"/>
      <c r="BF1932" s="76"/>
      <c r="BG1932" s="76"/>
      <c r="BH1932" s="76"/>
      <c r="BI1932" s="76"/>
      <c r="BJ1932" s="76"/>
      <c r="BK1932" s="76"/>
      <c r="BL1932" s="76">
        <f>+BK1932*31500</f>
        <v>0</v>
      </c>
      <c r="BM1932" s="76"/>
      <c r="BN1932" s="76"/>
      <c r="BO1932" s="76"/>
      <c r="BP1932" s="76"/>
      <c r="BQ1932" s="76"/>
      <c r="BR1932" s="76"/>
      <c r="BS1932" s="76"/>
      <c r="BT1932" s="76"/>
      <c r="BU1932" s="76"/>
      <c r="BV1932" s="76"/>
      <c r="BW1932" s="76"/>
      <c r="BX1932" s="76"/>
      <c r="BY1932" s="76"/>
      <c r="BZ1932" s="76"/>
      <c r="CA1932" s="76"/>
      <c r="CB1932" s="76"/>
      <c r="CC1932" s="76"/>
      <c r="CD1932" s="76"/>
      <c r="CE1932" s="76"/>
      <c r="CF1932" s="76">
        <f>+CE1932*28000</f>
        <v>0</v>
      </c>
      <c r="CG1932" s="76"/>
      <c r="CH1932" s="76">
        <f>+CG1932*22500</f>
        <v>0</v>
      </c>
      <c r="CI1932" s="76"/>
      <c r="CJ1932" s="76">
        <f>+CI1932*26000</f>
        <v>0</v>
      </c>
      <c r="CK1932" s="76"/>
      <c r="CL1932" s="76"/>
      <c r="CM1932" s="76"/>
      <c r="CN1932" s="76">
        <f>+CM1932*22000</f>
        <v>0</v>
      </c>
      <c r="CO1932" s="76"/>
      <c r="CP1932" s="76">
        <f>+CO1932*46000</f>
        <v>0</v>
      </c>
      <c r="CQ1932" s="76"/>
      <c r="CR1932" s="76">
        <f>+CQ1932*49000</f>
        <v>0</v>
      </c>
      <c r="CS1932" s="76"/>
      <c r="CT1932" s="76"/>
      <c r="CU1932" s="56">
        <f>AN1932+AP1932+AR1932+AT1932+AV1932+AX1932+AZ1932+BB1932+BD1932+BF1932+BH1932+BJ1932+BL1932+BN1932+BP1932+BR1932+BT1932+BV1932+BX1932+BZ1932+CB1932+CD1932+CF1932+CH1932+CJ1932+CL1932+CN1932+CP1932+CR1932+CT1932</f>
        <v>0</v>
      </c>
      <c r="CV1932" s="76"/>
      <c r="CW1932" s="76">
        <f>+CV1932*1100</f>
        <v>0</v>
      </c>
      <c r="CX1932" s="76"/>
      <c r="CY1932" s="76">
        <f>+CX1932*106250</f>
        <v>0</v>
      </c>
      <c r="CZ1932" s="76"/>
      <c r="DA1932" s="76">
        <f>+CZ1932*34500</f>
        <v>0</v>
      </c>
      <c r="DB1932" s="76"/>
      <c r="DC1932" s="76">
        <f>+DB1932*25000</f>
        <v>0</v>
      </c>
      <c r="DD1932" s="219"/>
      <c r="DE1932" s="219"/>
      <c r="DF1932" s="166"/>
      <c r="DG1932" s="116"/>
      <c r="DH1932" s="117"/>
      <c r="DI1932" s="24"/>
      <c r="DJ1932" s="24"/>
      <c r="DK1932" s="24"/>
      <c r="DL1932" s="24"/>
      <c r="DM1932" s="24"/>
      <c r="DN1932" s="24"/>
      <c r="DO1932" s="24"/>
      <c r="DP1932" s="24"/>
      <c r="DQ1932" s="24"/>
      <c r="DR1932" s="24"/>
      <c r="DS1932" s="24"/>
      <c r="DT1932" s="24"/>
      <c r="DU1932" s="24"/>
    </row>
    <row r="1933" spans="1:125" s="8" customFormat="1" ht="72" x14ac:dyDescent="0.2">
      <c r="A1933" s="77">
        <v>41420</v>
      </c>
      <c r="B1933" s="225" t="s">
        <v>2894</v>
      </c>
      <c r="C1933" s="227" t="s">
        <v>1702</v>
      </c>
      <c r="D1933" s="227" t="s">
        <v>3088</v>
      </c>
      <c r="E1933" s="75" t="str">
        <f>VLOOKUP(B1933&amp;C1933,Divipola!$C$2:$F$1138,4,FALSE)</f>
        <v>05368</v>
      </c>
      <c r="F1933" s="87"/>
      <c r="G1933" s="87"/>
      <c r="H1933" s="87"/>
      <c r="I1933" s="87">
        <v>10</v>
      </c>
      <c r="J1933" s="87">
        <v>2</v>
      </c>
      <c r="K1933" s="87">
        <v>1</v>
      </c>
      <c r="L1933" s="87">
        <v>1</v>
      </c>
      <c r="M1933" s="87"/>
      <c r="N1933" s="87"/>
      <c r="O1933" s="87"/>
      <c r="P1933" s="87"/>
      <c r="Q1933" s="87"/>
      <c r="R1933" s="87"/>
      <c r="S1933" s="87"/>
      <c r="T1933" s="87"/>
      <c r="U1933" s="88"/>
      <c r="V1933" s="89"/>
      <c r="W1933" s="96">
        <v>0</v>
      </c>
      <c r="X1933" s="71">
        <f>CU1933</f>
        <v>0</v>
      </c>
      <c r="Y1933" s="71">
        <f>CY1933</f>
        <v>0</v>
      </c>
      <c r="Z1933" s="71">
        <f>DA1933+DC1933+DE1933</f>
        <v>0</v>
      </c>
      <c r="AA1933" s="71">
        <f>CW1933</f>
        <v>0</v>
      </c>
      <c r="AB1933" s="71"/>
      <c r="AC1933" s="71">
        <v>0</v>
      </c>
      <c r="AD1933" s="71">
        <f>W1933+X1933+Y1933+Z1933+AA1933+AB1933+AC1933</f>
        <v>0</v>
      </c>
      <c r="AE1933" s="72">
        <v>0</v>
      </c>
      <c r="AF1933" s="5"/>
      <c r="AG1933" s="6"/>
      <c r="AH1933" s="27" t="s">
        <v>3392</v>
      </c>
      <c r="AI1933" s="44" t="s">
        <v>3393</v>
      </c>
      <c r="AJ1933" s="26"/>
      <c r="AK1933" s="5"/>
      <c r="AL1933" s="82" t="s">
        <v>4766</v>
      </c>
      <c r="AM1933" s="76"/>
      <c r="AN1933" s="76"/>
      <c r="AO1933" s="76"/>
      <c r="AP1933" s="76"/>
      <c r="AQ1933" s="76"/>
      <c r="AR1933" s="76"/>
      <c r="AS1933" s="76"/>
      <c r="AT1933" s="76"/>
      <c r="AU1933" s="76"/>
      <c r="AV1933" s="76"/>
      <c r="AW1933" s="76"/>
      <c r="AX1933" s="76">
        <f>+AW1933*600000</f>
        <v>0</v>
      </c>
      <c r="AY1933" s="76"/>
      <c r="AZ1933" s="76">
        <f>+AY1933*70000</f>
        <v>0</v>
      </c>
      <c r="BA1933" s="76"/>
      <c r="BB1933" s="76"/>
      <c r="BC1933" s="76"/>
      <c r="BD1933" s="76">
        <f>+BC1933*30000</f>
        <v>0</v>
      </c>
      <c r="BE1933" s="76"/>
      <c r="BF1933" s="76"/>
      <c r="BG1933" s="76"/>
      <c r="BH1933" s="76"/>
      <c r="BI1933" s="76"/>
      <c r="BJ1933" s="76"/>
      <c r="BK1933" s="76"/>
      <c r="BL1933" s="76">
        <f>+BK1933*31500</f>
        <v>0</v>
      </c>
      <c r="BM1933" s="76"/>
      <c r="BN1933" s="76"/>
      <c r="BO1933" s="76"/>
      <c r="BP1933" s="76"/>
      <c r="BQ1933" s="76"/>
      <c r="BR1933" s="76"/>
      <c r="BS1933" s="76"/>
      <c r="BT1933" s="76"/>
      <c r="BU1933" s="76"/>
      <c r="BV1933" s="76"/>
      <c r="BW1933" s="76"/>
      <c r="BX1933" s="76"/>
      <c r="BY1933" s="76"/>
      <c r="BZ1933" s="76"/>
      <c r="CA1933" s="76"/>
      <c r="CB1933" s="76"/>
      <c r="CC1933" s="76"/>
      <c r="CD1933" s="76"/>
      <c r="CE1933" s="76"/>
      <c r="CF1933" s="76">
        <f>+CE1933*28000</f>
        <v>0</v>
      </c>
      <c r="CG1933" s="76"/>
      <c r="CH1933" s="76">
        <f>+CG1933*22500</f>
        <v>0</v>
      </c>
      <c r="CI1933" s="76"/>
      <c r="CJ1933" s="76">
        <f>+CI1933*26000</f>
        <v>0</v>
      </c>
      <c r="CK1933" s="76"/>
      <c r="CL1933" s="76"/>
      <c r="CM1933" s="76"/>
      <c r="CN1933" s="76">
        <f>+CM1933*22000</f>
        <v>0</v>
      </c>
      <c r="CO1933" s="76"/>
      <c r="CP1933" s="76">
        <f>+CO1933*46000</f>
        <v>0</v>
      </c>
      <c r="CQ1933" s="76"/>
      <c r="CR1933" s="76">
        <f>+CQ1933*49000</f>
        <v>0</v>
      </c>
      <c r="CS1933" s="76"/>
      <c r="CT1933" s="76"/>
      <c r="CU1933" s="56">
        <f>AN1933+AP1933+AR1933+AT1933+AV1933+AX1933+AZ1933+BB1933+BD1933+BF1933+BH1933+BJ1933+BL1933+BN1933+BP1933+BR1933+BT1933+BV1933+BX1933+BZ1933+CB1933+CD1933+CF1933+CH1933+CJ1933+CL1933+CN1933+CP1933+CR1933+CT1933</f>
        <v>0</v>
      </c>
      <c r="CV1933" s="76"/>
      <c r="CW1933" s="76">
        <f>+CV1933*1100</f>
        <v>0</v>
      </c>
      <c r="CX1933" s="76"/>
      <c r="CY1933" s="76">
        <f>+CX1933*106250</f>
        <v>0</v>
      </c>
      <c r="CZ1933" s="76"/>
      <c r="DA1933" s="76">
        <f>+CZ1933*34500</f>
        <v>0</v>
      </c>
      <c r="DB1933" s="76"/>
      <c r="DC1933" s="76">
        <f>+DB1933*25000</f>
        <v>0</v>
      </c>
      <c r="DD1933" s="219"/>
      <c r="DE1933" s="219"/>
      <c r="DF1933" s="166"/>
      <c r="DG1933" s="116"/>
      <c r="DH1933" s="117"/>
      <c r="DI1933" s="24"/>
      <c r="DJ1933" s="24"/>
      <c r="DK1933" s="24"/>
      <c r="DL1933" s="24"/>
      <c r="DM1933" s="24"/>
      <c r="DN1933" s="24"/>
      <c r="DO1933" s="24"/>
      <c r="DP1933" s="24"/>
      <c r="DQ1933" s="24"/>
      <c r="DR1933" s="24"/>
      <c r="DS1933" s="24"/>
      <c r="DT1933" s="24"/>
      <c r="DU1933" s="24"/>
    </row>
    <row r="1934" spans="1:125" s="8" customFormat="1" ht="48" x14ac:dyDescent="0.2">
      <c r="A1934" s="77">
        <v>41420</v>
      </c>
      <c r="B1934" s="225" t="s">
        <v>2778</v>
      </c>
      <c r="C1934" s="227" t="s">
        <v>1264</v>
      </c>
      <c r="D1934" s="227" t="s">
        <v>2882</v>
      </c>
      <c r="E1934" s="75" t="str">
        <f>VLOOKUP(B1934&amp;C1934,Divipola!$C$2:$F$1138,4,FALSE)</f>
        <v>85279</v>
      </c>
      <c r="F1934" s="87"/>
      <c r="G1934" s="87"/>
      <c r="H1934" s="87"/>
      <c r="I1934" s="87">
        <v>10</v>
      </c>
      <c r="J1934" s="87">
        <v>2</v>
      </c>
      <c r="K1934" s="87"/>
      <c r="L1934" s="87">
        <v>2</v>
      </c>
      <c r="M1934" s="87">
        <v>1</v>
      </c>
      <c r="N1934" s="87"/>
      <c r="O1934" s="87"/>
      <c r="P1934" s="87"/>
      <c r="Q1934" s="87"/>
      <c r="R1934" s="87"/>
      <c r="S1934" s="87"/>
      <c r="T1934" s="87"/>
      <c r="U1934" s="88"/>
      <c r="V1934" s="89"/>
      <c r="W1934" s="96">
        <v>0</v>
      </c>
      <c r="X1934" s="71">
        <f>CU1934</f>
        <v>0</v>
      </c>
      <c r="Y1934" s="71">
        <f>CY1934</f>
        <v>0</v>
      </c>
      <c r="Z1934" s="71">
        <f>DA1934+DC1934+DE1934</f>
        <v>0</v>
      </c>
      <c r="AA1934" s="71">
        <f>CW1934</f>
        <v>0</v>
      </c>
      <c r="AB1934" s="71"/>
      <c r="AC1934" s="71">
        <v>0</v>
      </c>
      <c r="AD1934" s="71">
        <f>W1934+X1934+Y1934+Z1934+AA1934+AB1934+AC1934</f>
        <v>0</v>
      </c>
      <c r="AE1934" s="72">
        <v>0</v>
      </c>
      <c r="AF1934" s="5"/>
      <c r="AG1934" s="6"/>
      <c r="AH1934" s="27" t="s">
        <v>3392</v>
      </c>
      <c r="AI1934" s="44" t="s">
        <v>3393</v>
      </c>
      <c r="AJ1934" s="26"/>
      <c r="AK1934" s="5"/>
      <c r="AL1934" s="82" t="s">
        <v>4769</v>
      </c>
      <c r="AM1934" s="76"/>
      <c r="AN1934" s="76"/>
      <c r="AO1934" s="76"/>
      <c r="AP1934" s="76"/>
      <c r="AQ1934" s="76"/>
      <c r="AR1934" s="76"/>
      <c r="AS1934" s="76"/>
      <c r="AT1934" s="76"/>
      <c r="AU1934" s="76"/>
      <c r="AV1934" s="76"/>
      <c r="AW1934" s="76"/>
      <c r="AX1934" s="76">
        <f>+AW1934*600000</f>
        <v>0</v>
      </c>
      <c r="AY1934" s="76"/>
      <c r="AZ1934" s="76">
        <f>+AY1934*70000</f>
        <v>0</v>
      </c>
      <c r="BA1934" s="76"/>
      <c r="BB1934" s="76"/>
      <c r="BC1934" s="76"/>
      <c r="BD1934" s="76">
        <f>+BC1934*30000</f>
        <v>0</v>
      </c>
      <c r="BE1934" s="76"/>
      <c r="BF1934" s="76"/>
      <c r="BG1934" s="76"/>
      <c r="BH1934" s="76"/>
      <c r="BI1934" s="76"/>
      <c r="BJ1934" s="76"/>
      <c r="BK1934" s="76"/>
      <c r="BL1934" s="76">
        <f>+BK1934*31500</f>
        <v>0</v>
      </c>
      <c r="BM1934" s="76"/>
      <c r="BN1934" s="76"/>
      <c r="BO1934" s="76"/>
      <c r="BP1934" s="76"/>
      <c r="BQ1934" s="76"/>
      <c r="BR1934" s="76"/>
      <c r="BS1934" s="76"/>
      <c r="BT1934" s="76"/>
      <c r="BU1934" s="76"/>
      <c r="BV1934" s="76"/>
      <c r="BW1934" s="76"/>
      <c r="BX1934" s="76"/>
      <c r="BY1934" s="76"/>
      <c r="BZ1934" s="76"/>
      <c r="CA1934" s="76"/>
      <c r="CB1934" s="76"/>
      <c r="CC1934" s="76"/>
      <c r="CD1934" s="76"/>
      <c r="CE1934" s="76"/>
      <c r="CF1934" s="76">
        <f>+CE1934*28000</f>
        <v>0</v>
      </c>
      <c r="CG1934" s="76"/>
      <c r="CH1934" s="76">
        <f>+CG1934*22500</f>
        <v>0</v>
      </c>
      <c r="CI1934" s="76"/>
      <c r="CJ1934" s="76">
        <f>+CI1934*26000</f>
        <v>0</v>
      </c>
      <c r="CK1934" s="76"/>
      <c r="CL1934" s="76"/>
      <c r="CM1934" s="76"/>
      <c r="CN1934" s="76">
        <f>+CM1934*22000</f>
        <v>0</v>
      </c>
      <c r="CO1934" s="76"/>
      <c r="CP1934" s="76">
        <f>+CO1934*46000</f>
        <v>0</v>
      </c>
      <c r="CQ1934" s="76"/>
      <c r="CR1934" s="76">
        <f>+CQ1934*49000</f>
        <v>0</v>
      </c>
      <c r="CS1934" s="76"/>
      <c r="CT1934" s="76"/>
      <c r="CU1934" s="56">
        <f>AN1934+AP1934+AR1934+AT1934+AV1934+AX1934+AZ1934+BB1934+BD1934+BF1934+BH1934+BJ1934+BL1934+BN1934+BP1934+BR1934+BT1934+BV1934+BX1934+BZ1934+CB1934+CD1934+CF1934+CH1934+CJ1934+CL1934+CN1934+CP1934+CR1934+CT1934</f>
        <v>0</v>
      </c>
      <c r="CV1934" s="76"/>
      <c r="CW1934" s="76">
        <f>+CV1934*1100</f>
        <v>0</v>
      </c>
      <c r="CX1934" s="76"/>
      <c r="CY1934" s="76">
        <f>+CX1934*106250</f>
        <v>0</v>
      </c>
      <c r="CZ1934" s="76"/>
      <c r="DA1934" s="76">
        <f>+CZ1934*34500</f>
        <v>0</v>
      </c>
      <c r="DB1934" s="76"/>
      <c r="DC1934" s="76">
        <f>+DB1934*25000</f>
        <v>0</v>
      </c>
      <c r="DD1934" s="219"/>
      <c r="DE1934" s="219"/>
      <c r="DF1934" s="166"/>
      <c r="DG1934" s="116"/>
      <c r="DH1934" s="117"/>
      <c r="DI1934" s="24"/>
      <c r="DJ1934" s="24"/>
      <c r="DK1934" s="24"/>
      <c r="DL1934" s="24"/>
      <c r="DM1934" s="24"/>
      <c r="DN1934" s="24"/>
      <c r="DO1934" s="24"/>
      <c r="DP1934" s="24"/>
      <c r="DQ1934" s="24"/>
      <c r="DR1934" s="24"/>
      <c r="DS1934" s="24"/>
      <c r="DT1934" s="24"/>
      <c r="DU1934" s="24"/>
    </row>
    <row r="1935" spans="1:125" s="8" customFormat="1" ht="36" x14ac:dyDescent="0.2">
      <c r="A1935" s="77">
        <v>41420</v>
      </c>
      <c r="B1935" s="225" t="s">
        <v>2852</v>
      </c>
      <c r="C1935" s="227" t="s">
        <v>2837</v>
      </c>
      <c r="D1935" s="227" t="s">
        <v>2859</v>
      </c>
      <c r="E1935" s="75" t="str">
        <f>VLOOKUP(B1935&amp;C1935,Divipola!$C$2:$F$1138,4,FALSE)</f>
        <v>27361</v>
      </c>
      <c r="F1935" s="87"/>
      <c r="G1935" s="87"/>
      <c r="H1935" s="87"/>
      <c r="I1935" s="87">
        <v>10</v>
      </c>
      <c r="J1935" s="87">
        <v>2</v>
      </c>
      <c r="K1935" s="87">
        <v>1</v>
      </c>
      <c r="L1935" s="87">
        <v>1</v>
      </c>
      <c r="M1935" s="87"/>
      <c r="N1935" s="87"/>
      <c r="O1935" s="87"/>
      <c r="P1935" s="87"/>
      <c r="Q1935" s="87"/>
      <c r="R1935" s="87"/>
      <c r="S1935" s="87"/>
      <c r="T1935" s="87"/>
      <c r="U1935" s="88"/>
      <c r="V1935" s="89"/>
      <c r="W1935" s="96">
        <v>0</v>
      </c>
      <c r="X1935" s="71">
        <f>CU1935</f>
        <v>0</v>
      </c>
      <c r="Y1935" s="71">
        <f>CY1935</f>
        <v>0</v>
      </c>
      <c r="Z1935" s="71">
        <f>DA1935+DC1935+DE1935</f>
        <v>0</v>
      </c>
      <c r="AA1935" s="71">
        <f>CW1935</f>
        <v>0</v>
      </c>
      <c r="AB1935" s="71"/>
      <c r="AC1935" s="71">
        <v>0</v>
      </c>
      <c r="AD1935" s="71">
        <f>W1935+X1935+Y1935+Z1935+AA1935+AB1935+AC1935</f>
        <v>0</v>
      </c>
      <c r="AE1935" s="72">
        <v>0</v>
      </c>
      <c r="AF1935" s="5"/>
      <c r="AG1935" s="6"/>
      <c r="AH1935" s="27" t="s">
        <v>3392</v>
      </c>
      <c r="AI1935" s="44" t="s">
        <v>3393</v>
      </c>
      <c r="AJ1935" s="26"/>
      <c r="AK1935" s="5"/>
      <c r="AL1935" s="82" t="s">
        <v>4768</v>
      </c>
      <c r="AM1935" s="76"/>
      <c r="AN1935" s="76"/>
      <c r="AO1935" s="76"/>
      <c r="AP1935" s="76"/>
      <c r="AQ1935" s="76"/>
      <c r="AR1935" s="76"/>
      <c r="AS1935" s="76"/>
      <c r="AT1935" s="76"/>
      <c r="AU1935" s="76"/>
      <c r="AV1935" s="76"/>
      <c r="AW1935" s="76"/>
      <c r="AX1935" s="76">
        <f>+AW1935*600000</f>
        <v>0</v>
      </c>
      <c r="AY1935" s="76"/>
      <c r="AZ1935" s="76">
        <f>+AY1935*70000</f>
        <v>0</v>
      </c>
      <c r="BA1935" s="76"/>
      <c r="BB1935" s="76"/>
      <c r="BC1935" s="76"/>
      <c r="BD1935" s="76">
        <f>+BC1935*30000</f>
        <v>0</v>
      </c>
      <c r="BE1935" s="76"/>
      <c r="BF1935" s="76"/>
      <c r="BG1935" s="76"/>
      <c r="BH1935" s="76"/>
      <c r="BI1935" s="76"/>
      <c r="BJ1935" s="76"/>
      <c r="BK1935" s="76"/>
      <c r="BL1935" s="76">
        <f>+BK1935*31500</f>
        <v>0</v>
      </c>
      <c r="BM1935" s="76"/>
      <c r="BN1935" s="76"/>
      <c r="BO1935" s="76"/>
      <c r="BP1935" s="76"/>
      <c r="BQ1935" s="76"/>
      <c r="BR1935" s="76"/>
      <c r="BS1935" s="76"/>
      <c r="BT1935" s="76"/>
      <c r="BU1935" s="76"/>
      <c r="BV1935" s="76"/>
      <c r="BW1935" s="76"/>
      <c r="BX1935" s="76"/>
      <c r="BY1935" s="76"/>
      <c r="BZ1935" s="76"/>
      <c r="CA1935" s="76"/>
      <c r="CB1935" s="76"/>
      <c r="CC1935" s="76"/>
      <c r="CD1935" s="76"/>
      <c r="CE1935" s="76"/>
      <c r="CF1935" s="76">
        <f>+CE1935*28000</f>
        <v>0</v>
      </c>
      <c r="CG1935" s="76"/>
      <c r="CH1935" s="76">
        <f>+CG1935*22500</f>
        <v>0</v>
      </c>
      <c r="CI1935" s="76"/>
      <c r="CJ1935" s="76">
        <f>+CI1935*26000</f>
        <v>0</v>
      </c>
      <c r="CK1935" s="76"/>
      <c r="CL1935" s="76"/>
      <c r="CM1935" s="76"/>
      <c r="CN1935" s="76">
        <f>+CM1935*22000</f>
        <v>0</v>
      </c>
      <c r="CO1935" s="76"/>
      <c r="CP1935" s="76">
        <f>+CO1935*46000</f>
        <v>0</v>
      </c>
      <c r="CQ1935" s="76"/>
      <c r="CR1935" s="76">
        <f>+CQ1935*49000</f>
        <v>0</v>
      </c>
      <c r="CS1935" s="76"/>
      <c r="CT1935" s="76"/>
      <c r="CU1935" s="56">
        <f>AN1935+AP1935+AR1935+AT1935+AV1935+AX1935+AZ1935+BB1935+BD1935+BF1935+BH1935+BJ1935+BL1935+BN1935+BP1935+BR1935+BT1935+BV1935+BX1935+BZ1935+CB1935+CD1935+CF1935+CH1935+CJ1935+CL1935+CN1935+CP1935+CR1935+CT1935</f>
        <v>0</v>
      </c>
      <c r="CV1935" s="76"/>
      <c r="CW1935" s="76">
        <f>+CV1935*1100</f>
        <v>0</v>
      </c>
      <c r="CX1935" s="76"/>
      <c r="CY1935" s="76">
        <f>+CX1935*106250</f>
        <v>0</v>
      </c>
      <c r="CZ1935" s="76"/>
      <c r="DA1935" s="76">
        <f>+CZ1935*34500</f>
        <v>0</v>
      </c>
      <c r="DB1935" s="76"/>
      <c r="DC1935" s="76">
        <f>+DB1935*25000</f>
        <v>0</v>
      </c>
      <c r="DD1935" s="219"/>
      <c r="DE1935" s="219"/>
      <c r="DF1935" s="166"/>
      <c r="DG1935" s="116"/>
      <c r="DH1935" s="117"/>
      <c r="DI1935" s="24"/>
      <c r="DJ1935" s="24"/>
      <c r="DK1935" s="24"/>
      <c r="DL1935" s="24"/>
      <c r="DM1935" s="24"/>
      <c r="DN1935" s="24"/>
      <c r="DO1935" s="24"/>
      <c r="DP1935" s="24"/>
      <c r="DQ1935" s="24"/>
      <c r="DR1935" s="24"/>
      <c r="DS1935" s="24"/>
      <c r="DT1935" s="24"/>
      <c r="DU1935" s="24"/>
    </row>
    <row r="1936" spans="1:125" s="8" customFormat="1" ht="288" x14ac:dyDescent="0.2">
      <c r="A1936" s="226">
        <v>41420</v>
      </c>
      <c r="B1936" s="225" t="s">
        <v>2811</v>
      </c>
      <c r="C1936" s="227" t="s">
        <v>1710</v>
      </c>
      <c r="D1936" s="227" t="s">
        <v>3051</v>
      </c>
      <c r="E1936" s="75" t="str">
        <f>VLOOKUP(B1936&amp;C1936,Divipola!$C$2:$F$1138,4,FALSE)</f>
        <v>52427</v>
      </c>
      <c r="F1936" s="87"/>
      <c r="G1936" s="87"/>
      <c r="H1936" s="87"/>
      <c r="I1936" s="87">
        <v>9050</v>
      </c>
      <c r="J1936" s="87">
        <v>2067</v>
      </c>
      <c r="K1936" s="87"/>
      <c r="L1936" s="87">
        <v>1275</v>
      </c>
      <c r="M1936" s="87"/>
      <c r="N1936" s="87"/>
      <c r="O1936" s="87"/>
      <c r="P1936" s="87">
        <v>1</v>
      </c>
      <c r="Q1936" s="87"/>
      <c r="R1936" s="87"/>
      <c r="S1936" s="87"/>
      <c r="T1936" s="87">
        <v>4</v>
      </c>
      <c r="U1936" s="88">
        <v>430</v>
      </c>
      <c r="V1936" s="89"/>
      <c r="W1936" s="96">
        <v>0</v>
      </c>
      <c r="X1936" s="71">
        <f>CU1936</f>
        <v>0</v>
      </c>
      <c r="Y1936" s="71">
        <f>CY1936</f>
        <v>0</v>
      </c>
      <c r="Z1936" s="71">
        <f>DA1936+DC1936+DE1936</f>
        <v>0</v>
      </c>
      <c r="AA1936" s="71">
        <f>CW1936</f>
        <v>0</v>
      </c>
      <c r="AB1936" s="71"/>
      <c r="AC1936" s="71">
        <v>0</v>
      </c>
      <c r="AD1936" s="71">
        <f>W1936+X1936+Y1936+Z1936+AA1936+AB1936+AC1936</f>
        <v>0</v>
      </c>
      <c r="AE1936" s="72">
        <v>0</v>
      </c>
      <c r="AF1936" s="5"/>
      <c r="AG1936" s="6"/>
      <c r="AH1936" s="27" t="s">
        <v>3390</v>
      </c>
      <c r="AI1936" s="44" t="s">
        <v>3393</v>
      </c>
      <c r="AJ1936" s="26"/>
      <c r="AK1936" s="5" t="s">
        <v>4242</v>
      </c>
      <c r="AL1936" s="82" t="s">
        <v>5053</v>
      </c>
      <c r="AM1936" s="76"/>
      <c r="AN1936" s="76"/>
      <c r="AO1936" s="76"/>
      <c r="AP1936" s="76"/>
      <c r="AQ1936" s="76"/>
      <c r="AR1936" s="76"/>
      <c r="AS1936" s="76"/>
      <c r="AT1936" s="76"/>
      <c r="AU1936" s="76"/>
      <c r="AV1936" s="76"/>
      <c r="AW1936" s="76"/>
      <c r="AX1936" s="76">
        <f>+AW1936*600000</f>
        <v>0</v>
      </c>
      <c r="AY1936" s="76"/>
      <c r="AZ1936" s="76">
        <f>+AY1936*70000</f>
        <v>0</v>
      </c>
      <c r="BA1936" s="76"/>
      <c r="BB1936" s="76"/>
      <c r="BC1936" s="76"/>
      <c r="BD1936" s="76">
        <f>+BC1936*30000</f>
        <v>0</v>
      </c>
      <c r="BE1936" s="76"/>
      <c r="BF1936" s="76"/>
      <c r="BG1936" s="76"/>
      <c r="BH1936" s="76"/>
      <c r="BI1936" s="76"/>
      <c r="BJ1936" s="76"/>
      <c r="BK1936" s="76"/>
      <c r="BL1936" s="76">
        <f>+BK1936*31500</f>
        <v>0</v>
      </c>
      <c r="BM1936" s="76"/>
      <c r="BN1936" s="76"/>
      <c r="BO1936" s="76"/>
      <c r="BP1936" s="76"/>
      <c r="BQ1936" s="76"/>
      <c r="BR1936" s="76"/>
      <c r="BS1936" s="76"/>
      <c r="BT1936" s="76"/>
      <c r="BU1936" s="76"/>
      <c r="BV1936" s="76"/>
      <c r="BW1936" s="76"/>
      <c r="BX1936" s="76"/>
      <c r="BY1936" s="76"/>
      <c r="BZ1936" s="76"/>
      <c r="CA1936" s="76"/>
      <c r="CB1936" s="76"/>
      <c r="CC1936" s="76"/>
      <c r="CD1936" s="76"/>
      <c r="CE1936" s="76"/>
      <c r="CF1936" s="76">
        <f>+CE1936*28000</f>
        <v>0</v>
      </c>
      <c r="CG1936" s="76"/>
      <c r="CH1936" s="76">
        <f>+CG1936*22500</f>
        <v>0</v>
      </c>
      <c r="CI1936" s="76"/>
      <c r="CJ1936" s="76">
        <f>+CI1936*26000</f>
        <v>0</v>
      </c>
      <c r="CK1936" s="76"/>
      <c r="CL1936" s="76"/>
      <c r="CM1936" s="76"/>
      <c r="CN1936" s="76">
        <f>+CM1936*22000</f>
        <v>0</v>
      </c>
      <c r="CO1936" s="76"/>
      <c r="CP1936" s="76">
        <f>+CO1936*46000</f>
        <v>0</v>
      </c>
      <c r="CQ1936" s="76"/>
      <c r="CR1936" s="76">
        <f>+CQ1936*49000</f>
        <v>0</v>
      </c>
      <c r="CS1936" s="76"/>
      <c r="CT1936" s="76"/>
      <c r="CU1936" s="56">
        <f>AN1936+AP1936+AR1936+AT1936+AV1936+AX1936+AZ1936+BB1936+BD1936+BF1936+BH1936+BJ1936+BL1936+BN1936+BP1936+BR1936+BT1936+BV1936+BX1936+BZ1936+CB1936+CD1936+CF1936+CH1936+CJ1936+CL1936+CN1936+CP1936+CR1936+CT1936</f>
        <v>0</v>
      </c>
      <c r="CV1936" s="76"/>
      <c r="CW1936" s="76">
        <f>+CV1936*1100</f>
        <v>0</v>
      </c>
      <c r="CX1936" s="76"/>
      <c r="CY1936" s="76">
        <f>+CX1936*106250</f>
        <v>0</v>
      </c>
      <c r="CZ1936" s="76"/>
      <c r="DA1936" s="76">
        <f>+CZ1936*34500</f>
        <v>0</v>
      </c>
      <c r="DB1936" s="76"/>
      <c r="DC1936" s="76">
        <f>+DB1936*25000</f>
        <v>0</v>
      </c>
      <c r="DD1936" s="219"/>
      <c r="DE1936" s="219"/>
      <c r="DF1936" s="166"/>
      <c r="DG1936" s="116"/>
      <c r="DH1936" s="117"/>
      <c r="DI1936" s="24"/>
      <c r="DJ1936" s="24"/>
      <c r="DK1936" s="24"/>
      <c r="DL1936" s="24"/>
      <c r="DM1936" s="24"/>
      <c r="DN1936" s="24"/>
      <c r="DO1936" s="24"/>
      <c r="DP1936" s="24"/>
      <c r="DQ1936" s="24"/>
      <c r="DR1936" s="24"/>
      <c r="DS1936" s="24"/>
      <c r="DT1936" s="24"/>
      <c r="DU1936" s="24"/>
    </row>
    <row r="1937" spans="1:125" s="8" customFormat="1" ht="96" x14ac:dyDescent="0.2">
      <c r="A1937" s="226">
        <v>41420</v>
      </c>
      <c r="B1937" s="225" t="s">
        <v>2848</v>
      </c>
      <c r="C1937" s="227" t="s">
        <v>2788</v>
      </c>
      <c r="D1937" s="227" t="s">
        <v>3051</v>
      </c>
      <c r="E1937" s="75" t="str">
        <f>VLOOKUP(B1937&amp;C1937,Divipola!$C$2:$F$1138,4,FALSE)</f>
        <v>73200</v>
      </c>
      <c r="F1937" s="87"/>
      <c r="G1937" s="87"/>
      <c r="H1937" s="87"/>
      <c r="I1937" s="87">
        <v>20</v>
      </c>
      <c r="J1937" s="87">
        <v>4</v>
      </c>
      <c r="K1937" s="87"/>
      <c r="L1937" s="87">
        <v>4</v>
      </c>
      <c r="M1937" s="87"/>
      <c r="N1937" s="87"/>
      <c r="O1937" s="87"/>
      <c r="P1937" s="87"/>
      <c r="Q1937" s="87"/>
      <c r="R1937" s="87"/>
      <c r="S1937" s="87"/>
      <c r="T1937" s="87"/>
      <c r="U1937" s="88"/>
      <c r="V1937" s="89"/>
      <c r="W1937" s="96">
        <v>0</v>
      </c>
      <c r="X1937" s="71">
        <f>CU1937</f>
        <v>0</v>
      </c>
      <c r="Y1937" s="71">
        <f>CY1937</f>
        <v>0</v>
      </c>
      <c r="Z1937" s="71">
        <f>DA1937+DC1937+DE1937</f>
        <v>0</v>
      </c>
      <c r="AA1937" s="71">
        <f>CW1937</f>
        <v>0</v>
      </c>
      <c r="AB1937" s="71"/>
      <c r="AC1937" s="71">
        <v>0</v>
      </c>
      <c r="AD1937" s="71">
        <f>W1937+X1937+Y1937+Z1937+AA1937+AB1937+AC1937</f>
        <v>0</v>
      </c>
      <c r="AE1937" s="72">
        <v>0</v>
      </c>
      <c r="AF1937" s="5"/>
      <c r="AG1937" s="6"/>
      <c r="AH1937" s="27" t="s">
        <v>3392</v>
      </c>
      <c r="AI1937" s="44" t="s">
        <v>3393</v>
      </c>
      <c r="AJ1937" s="26"/>
      <c r="AK1937" s="5"/>
      <c r="AL1937" s="82" t="s">
        <v>4747</v>
      </c>
      <c r="AM1937" s="76"/>
      <c r="AN1937" s="76"/>
      <c r="AO1937" s="76"/>
      <c r="AP1937" s="76"/>
      <c r="AQ1937" s="76"/>
      <c r="AR1937" s="76"/>
      <c r="AS1937" s="76"/>
      <c r="AT1937" s="76"/>
      <c r="AU1937" s="76"/>
      <c r="AV1937" s="76"/>
      <c r="AW1937" s="76"/>
      <c r="AX1937" s="76">
        <f>+AW1937*600000</f>
        <v>0</v>
      </c>
      <c r="AY1937" s="76"/>
      <c r="AZ1937" s="76">
        <f>+AY1937*70000</f>
        <v>0</v>
      </c>
      <c r="BA1937" s="76"/>
      <c r="BB1937" s="76"/>
      <c r="BC1937" s="76"/>
      <c r="BD1937" s="76">
        <f>+BC1937*30000</f>
        <v>0</v>
      </c>
      <c r="BE1937" s="76"/>
      <c r="BF1937" s="76"/>
      <c r="BG1937" s="76"/>
      <c r="BH1937" s="76"/>
      <c r="BI1937" s="76"/>
      <c r="BJ1937" s="76"/>
      <c r="BK1937" s="76"/>
      <c r="BL1937" s="76">
        <f>+BK1937*31500</f>
        <v>0</v>
      </c>
      <c r="BM1937" s="76"/>
      <c r="BN1937" s="76"/>
      <c r="BO1937" s="76"/>
      <c r="BP1937" s="76"/>
      <c r="BQ1937" s="76"/>
      <c r="BR1937" s="76"/>
      <c r="BS1937" s="76"/>
      <c r="BT1937" s="76"/>
      <c r="BU1937" s="76"/>
      <c r="BV1937" s="76"/>
      <c r="BW1937" s="76"/>
      <c r="BX1937" s="76"/>
      <c r="BY1937" s="76"/>
      <c r="BZ1937" s="76"/>
      <c r="CA1937" s="76"/>
      <c r="CB1937" s="76"/>
      <c r="CC1937" s="76"/>
      <c r="CD1937" s="76"/>
      <c r="CE1937" s="76"/>
      <c r="CF1937" s="76">
        <f>+CE1937*28000</f>
        <v>0</v>
      </c>
      <c r="CG1937" s="76"/>
      <c r="CH1937" s="76">
        <f>+CG1937*22500</f>
        <v>0</v>
      </c>
      <c r="CI1937" s="76"/>
      <c r="CJ1937" s="76">
        <f>+CI1937*26000</f>
        <v>0</v>
      </c>
      <c r="CK1937" s="76"/>
      <c r="CL1937" s="76"/>
      <c r="CM1937" s="76"/>
      <c r="CN1937" s="76">
        <f>+CM1937*22000</f>
        <v>0</v>
      </c>
      <c r="CO1937" s="76"/>
      <c r="CP1937" s="76">
        <f>+CO1937*46000</f>
        <v>0</v>
      </c>
      <c r="CQ1937" s="76"/>
      <c r="CR1937" s="76">
        <f>+CQ1937*49000</f>
        <v>0</v>
      </c>
      <c r="CS1937" s="76"/>
      <c r="CT1937" s="76"/>
      <c r="CU1937" s="56">
        <f>AN1937+AP1937+AR1937+AT1937+AV1937+AX1937+AZ1937+BB1937+BD1937+BF1937+BH1937+BJ1937+BL1937+BN1937+BP1937+BR1937+BT1937+BV1937+BX1937+BZ1937+CB1937+CD1937+CF1937+CH1937+CJ1937+CL1937+CN1937+CP1937+CR1937+CT1937</f>
        <v>0</v>
      </c>
      <c r="CV1937" s="76"/>
      <c r="CW1937" s="76">
        <f>+CV1937*1100</f>
        <v>0</v>
      </c>
      <c r="CX1937" s="76"/>
      <c r="CY1937" s="76">
        <f>+CX1937*106250</f>
        <v>0</v>
      </c>
      <c r="CZ1937" s="76"/>
      <c r="DA1937" s="76">
        <f>+CZ1937*34500</f>
        <v>0</v>
      </c>
      <c r="DB1937" s="76"/>
      <c r="DC1937" s="76">
        <f>+DB1937*25000</f>
        <v>0</v>
      </c>
      <c r="DD1937" s="219"/>
      <c r="DE1937" s="219"/>
      <c r="DF1937" s="166"/>
      <c r="DG1937" s="116"/>
      <c r="DH1937" s="117"/>
      <c r="DI1937" s="24"/>
      <c r="DJ1937" s="24"/>
      <c r="DK1937" s="24"/>
      <c r="DL1937" s="24"/>
      <c r="DM1937" s="24"/>
      <c r="DN1937" s="24"/>
      <c r="DO1937" s="24"/>
      <c r="DP1937" s="24"/>
      <c r="DQ1937" s="24"/>
      <c r="DR1937" s="24"/>
      <c r="DS1937" s="24"/>
      <c r="DT1937" s="24"/>
      <c r="DU1937" s="24"/>
    </row>
    <row r="1938" spans="1:125" s="8" customFormat="1" ht="72" x14ac:dyDescent="0.2">
      <c r="A1938" s="353">
        <v>41420</v>
      </c>
      <c r="B1938" s="352" t="s">
        <v>2848</v>
      </c>
      <c r="C1938" s="210" t="s">
        <v>2191</v>
      </c>
      <c r="D1938" s="354" t="s">
        <v>3051</v>
      </c>
      <c r="E1938" s="75" t="str">
        <f>VLOOKUP(B1938&amp;C1938,Divipola!$C$2:$F$1138,4,FALSE)</f>
        <v>73319</v>
      </c>
      <c r="F1938" s="87"/>
      <c r="G1938" s="87"/>
      <c r="H1938" s="87"/>
      <c r="I1938" s="87"/>
      <c r="J1938" s="87"/>
      <c r="K1938" s="87"/>
      <c r="L1938" s="87"/>
      <c r="M1938" s="87"/>
      <c r="N1938" s="87"/>
      <c r="O1938" s="87"/>
      <c r="P1938" s="87"/>
      <c r="Q1938" s="87"/>
      <c r="R1938" s="87"/>
      <c r="S1938" s="87"/>
      <c r="T1938" s="87"/>
      <c r="U1938" s="88"/>
      <c r="V1938" s="89"/>
      <c r="W1938" s="96">
        <v>0</v>
      </c>
      <c r="X1938" s="71">
        <f>CU1938</f>
        <v>0</v>
      </c>
      <c r="Y1938" s="71">
        <f>CY1938</f>
        <v>0</v>
      </c>
      <c r="Z1938" s="71">
        <f>DA1938+DC1938+DE1938</f>
        <v>0</v>
      </c>
      <c r="AA1938" s="71">
        <f>CW1938</f>
        <v>0</v>
      </c>
      <c r="AB1938" s="71"/>
      <c r="AC1938" s="71">
        <v>0</v>
      </c>
      <c r="AD1938" s="71">
        <f>W1938+X1938+Y1938+Z1938+AA1938+AB1938+AC1938</f>
        <v>0</v>
      </c>
      <c r="AE1938" s="72">
        <v>0</v>
      </c>
      <c r="AF1938" s="5"/>
      <c r="AG1938" s="6"/>
      <c r="AH1938" s="27" t="s">
        <v>3392</v>
      </c>
      <c r="AI1938" s="44" t="s">
        <v>3393</v>
      </c>
      <c r="AJ1938" s="26"/>
      <c r="AK1938" s="5"/>
      <c r="AL1938" s="82" t="s">
        <v>4746</v>
      </c>
      <c r="AM1938" s="76"/>
      <c r="AN1938" s="76"/>
      <c r="AO1938" s="76"/>
      <c r="AP1938" s="76"/>
      <c r="AQ1938" s="76"/>
      <c r="AR1938" s="76"/>
      <c r="AS1938" s="76"/>
      <c r="AT1938" s="76"/>
      <c r="AU1938" s="76"/>
      <c r="AV1938" s="76"/>
      <c r="AW1938" s="76"/>
      <c r="AX1938" s="76">
        <f>+AW1938*600000</f>
        <v>0</v>
      </c>
      <c r="AY1938" s="76"/>
      <c r="AZ1938" s="76">
        <f>+AY1938*70000</f>
        <v>0</v>
      </c>
      <c r="BA1938" s="76"/>
      <c r="BB1938" s="76"/>
      <c r="BC1938" s="76"/>
      <c r="BD1938" s="76">
        <f>+BC1938*30000</f>
        <v>0</v>
      </c>
      <c r="BE1938" s="76"/>
      <c r="BF1938" s="76"/>
      <c r="BG1938" s="76"/>
      <c r="BH1938" s="76"/>
      <c r="BI1938" s="76"/>
      <c r="BJ1938" s="76"/>
      <c r="BK1938" s="76"/>
      <c r="BL1938" s="76">
        <f>+BK1938*31500</f>
        <v>0</v>
      </c>
      <c r="BM1938" s="76"/>
      <c r="BN1938" s="76"/>
      <c r="BO1938" s="76"/>
      <c r="BP1938" s="76"/>
      <c r="BQ1938" s="76"/>
      <c r="BR1938" s="76"/>
      <c r="BS1938" s="76"/>
      <c r="BT1938" s="76"/>
      <c r="BU1938" s="76"/>
      <c r="BV1938" s="76"/>
      <c r="BW1938" s="76"/>
      <c r="BX1938" s="76"/>
      <c r="BY1938" s="76"/>
      <c r="BZ1938" s="76"/>
      <c r="CA1938" s="76"/>
      <c r="CB1938" s="76"/>
      <c r="CC1938" s="76"/>
      <c r="CD1938" s="76"/>
      <c r="CE1938" s="76"/>
      <c r="CF1938" s="76">
        <f>+CE1938*28000</f>
        <v>0</v>
      </c>
      <c r="CG1938" s="76"/>
      <c r="CH1938" s="76">
        <f>+CG1938*22500</f>
        <v>0</v>
      </c>
      <c r="CI1938" s="76"/>
      <c r="CJ1938" s="76">
        <f>+CI1938*26000</f>
        <v>0</v>
      </c>
      <c r="CK1938" s="76"/>
      <c r="CL1938" s="76"/>
      <c r="CM1938" s="76"/>
      <c r="CN1938" s="76">
        <f>+CM1938*22000</f>
        <v>0</v>
      </c>
      <c r="CO1938" s="76"/>
      <c r="CP1938" s="76">
        <f>+CO1938*46000</f>
        <v>0</v>
      </c>
      <c r="CQ1938" s="76"/>
      <c r="CR1938" s="76">
        <f>+CQ1938*49000</f>
        <v>0</v>
      </c>
      <c r="CS1938" s="76"/>
      <c r="CT1938" s="76"/>
      <c r="CU1938" s="56">
        <f>AN1938+AP1938+AR1938+AT1938+AV1938+AX1938+AZ1938+BB1938+BD1938+BF1938+BH1938+BJ1938+BL1938+BN1938+BP1938+BR1938+BT1938+BV1938+BX1938+BZ1938+CB1938+CD1938+CF1938+CH1938+CJ1938+CL1938+CN1938+CP1938+CR1938+CT1938</f>
        <v>0</v>
      </c>
      <c r="CV1938" s="76"/>
      <c r="CW1938" s="76">
        <f>+CV1938*1100</f>
        <v>0</v>
      </c>
      <c r="CX1938" s="76"/>
      <c r="CY1938" s="76">
        <f>+CX1938*106250</f>
        <v>0</v>
      </c>
      <c r="CZ1938" s="76"/>
      <c r="DA1938" s="76">
        <f>+CZ1938*34500</f>
        <v>0</v>
      </c>
      <c r="DB1938" s="76"/>
      <c r="DC1938" s="76">
        <f>+DB1938*25000</f>
        <v>0</v>
      </c>
      <c r="DD1938" s="219"/>
      <c r="DE1938" s="219"/>
      <c r="DF1938" s="166"/>
      <c r="DG1938" s="116"/>
      <c r="DH1938" s="117"/>
      <c r="DI1938" s="24"/>
      <c r="DJ1938" s="24"/>
      <c r="DK1938" s="24"/>
      <c r="DL1938" s="24"/>
      <c r="DM1938" s="24"/>
      <c r="DN1938" s="24"/>
      <c r="DO1938" s="24"/>
      <c r="DP1938" s="24"/>
      <c r="DQ1938" s="24"/>
      <c r="DR1938" s="24"/>
      <c r="DS1938" s="24"/>
      <c r="DT1938" s="24"/>
      <c r="DU1938" s="24"/>
    </row>
    <row r="1939" spans="1:125" s="8" customFormat="1" ht="36" x14ac:dyDescent="0.2">
      <c r="A1939" s="226">
        <v>41420</v>
      </c>
      <c r="B1939" s="225" t="s">
        <v>2848</v>
      </c>
      <c r="C1939" s="354" t="s">
        <v>1384</v>
      </c>
      <c r="D1939" s="227" t="s">
        <v>3051</v>
      </c>
      <c r="E1939" s="75" t="str">
        <f>VLOOKUP(B1939&amp;C1939,Divipola!$C$2:$F$1138,4,FALSE)</f>
        <v>73678</v>
      </c>
      <c r="F1939" s="87"/>
      <c r="G1939" s="87"/>
      <c r="H1939" s="87"/>
      <c r="I1939" s="87">
        <v>5</v>
      </c>
      <c r="J1939" s="87">
        <v>1</v>
      </c>
      <c r="K1939" s="87"/>
      <c r="L1939" s="87">
        <v>1</v>
      </c>
      <c r="M1939" s="87"/>
      <c r="N1939" s="87"/>
      <c r="O1939" s="87"/>
      <c r="P1939" s="87"/>
      <c r="Q1939" s="87"/>
      <c r="R1939" s="87"/>
      <c r="S1939" s="87"/>
      <c r="T1939" s="87"/>
      <c r="U1939" s="88"/>
      <c r="V1939" s="89"/>
      <c r="W1939" s="96">
        <v>0</v>
      </c>
      <c r="X1939" s="71">
        <f>CU1939</f>
        <v>0</v>
      </c>
      <c r="Y1939" s="71">
        <f>CY1939</f>
        <v>0</v>
      </c>
      <c r="Z1939" s="71">
        <f>DA1939+DC1939+DE1939</f>
        <v>0</v>
      </c>
      <c r="AA1939" s="71">
        <f>CW1939</f>
        <v>0</v>
      </c>
      <c r="AB1939" s="71"/>
      <c r="AC1939" s="71">
        <v>0</v>
      </c>
      <c r="AD1939" s="71">
        <f>W1939+X1939+Y1939+Z1939+AA1939+AB1939+AC1939</f>
        <v>0</v>
      </c>
      <c r="AE1939" s="72">
        <v>0</v>
      </c>
      <c r="AF1939" s="5"/>
      <c r="AG1939" s="6"/>
      <c r="AH1939" s="27" t="s">
        <v>3392</v>
      </c>
      <c r="AI1939" s="44" t="s">
        <v>3393</v>
      </c>
      <c r="AJ1939" s="26"/>
      <c r="AK1939" s="5"/>
      <c r="AL1939" s="82" t="s">
        <v>4745</v>
      </c>
      <c r="AM1939" s="76"/>
      <c r="AN1939" s="76"/>
      <c r="AO1939" s="76"/>
      <c r="AP1939" s="76"/>
      <c r="AQ1939" s="76"/>
      <c r="AR1939" s="76"/>
      <c r="AS1939" s="76"/>
      <c r="AT1939" s="76"/>
      <c r="AU1939" s="76"/>
      <c r="AV1939" s="76"/>
      <c r="AW1939" s="76"/>
      <c r="AX1939" s="76">
        <f>+AW1939*600000</f>
        <v>0</v>
      </c>
      <c r="AY1939" s="76"/>
      <c r="AZ1939" s="76">
        <f>+AY1939*70000</f>
        <v>0</v>
      </c>
      <c r="BA1939" s="76"/>
      <c r="BB1939" s="76"/>
      <c r="BC1939" s="76"/>
      <c r="BD1939" s="76">
        <f>+BC1939*30000</f>
        <v>0</v>
      </c>
      <c r="BE1939" s="76"/>
      <c r="BF1939" s="76"/>
      <c r="BG1939" s="76"/>
      <c r="BH1939" s="76"/>
      <c r="BI1939" s="76"/>
      <c r="BJ1939" s="76"/>
      <c r="BK1939" s="76"/>
      <c r="BL1939" s="76">
        <f>+BK1939*31500</f>
        <v>0</v>
      </c>
      <c r="BM1939" s="76"/>
      <c r="BN1939" s="76"/>
      <c r="BO1939" s="76"/>
      <c r="BP1939" s="76"/>
      <c r="BQ1939" s="76"/>
      <c r="BR1939" s="76"/>
      <c r="BS1939" s="76"/>
      <c r="BT1939" s="76"/>
      <c r="BU1939" s="76"/>
      <c r="BV1939" s="76"/>
      <c r="BW1939" s="76"/>
      <c r="BX1939" s="76"/>
      <c r="BY1939" s="76"/>
      <c r="BZ1939" s="76"/>
      <c r="CA1939" s="76"/>
      <c r="CB1939" s="76"/>
      <c r="CC1939" s="76"/>
      <c r="CD1939" s="76"/>
      <c r="CE1939" s="76"/>
      <c r="CF1939" s="76">
        <f>+CE1939*28000</f>
        <v>0</v>
      </c>
      <c r="CG1939" s="76"/>
      <c r="CH1939" s="76">
        <f>+CG1939*22500</f>
        <v>0</v>
      </c>
      <c r="CI1939" s="76"/>
      <c r="CJ1939" s="76">
        <f>+CI1939*26000</f>
        <v>0</v>
      </c>
      <c r="CK1939" s="76"/>
      <c r="CL1939" s="76"/>
      <c r="CM1939" s="76"/>
      <c r="CN1939" s="76">
        <f>+CM1939*22000</f>
        <v>0</v>
      </c>
      <c r="CO1939" s="76"/>
      <c r="CP1939" s="76">
        <f>+CO1939*46000</f>
        <v>0</v>
      </c>
      <c r="CQ1939" s="76"/>
      <c r="CR1939" s="76">
        <f>+CQ1939*49000</f>
        <v>0</v>
      </c>
      <c r="CS1939" s="76"/>
      <c r="CT1939" s="76"/>
      <c r="CU1939" s="56">
        <f>AN1939+AP1939+AR1939+AT1939+AV1939+AX1939+AZ1939+BB1939+BD1939+BF1939+BH1939+BJ1939+BL1939+BN1939+BP1939+BR1939+BT1939+BV1939+BX1939+BZ1939+CB1939+CD1939+CF1939+CH1939+CJ1939+CL1939+CN1939+CP1939+CR1939+CT1939</f>
        <v>0</v>
      </c>
      <c r="CV1939" s="76"/>
      <c r="CW1939" s="76">
        <f>+CV1939*1100</f>
        <v>0</v>
      </c>
      <c r="CX1939" s="76"/>
      <c r="CY1939" s="76">
        <f>+CX1939*106250</f>
        <v>0</v>
      </c>
      <c r="CZ1939" s="76"/>
      <c r="DA1939" s="76">
        <f>+CZ1939*34500</f>
        <v>0</v>
      </c>
      <c r="DB1939" s="76"/>
      <c r="DC1939" s="76">
        <f>+DB1939*25000</f>
        <v>0</v>
      </c>
      <c r="DD1939" s="219"/>
      <c r="DE1939" s="219"/>
      <c r="DF1939" s="166"/>
      <c r="DG1939" s="116"/>
      <c r="DH1939" s="117"/>
      <c r="DI1939" s="24"/>
      <c r="DJ1939" s="24"/>
      <c r="DK1939" s="24"/>
      <c r="DL1939" s="24"/>
      <c r="DM1939" s="24"/>
      <c r="DN1939" s="24"/>
      <c r="DO1939" s="24"/>
      <c r="DP1939" s="24"/>
      <c r="DQ1939" s="24"/>
      <c r="DR1939" s="24"/>
      <c r="DS1939" s="24"/>
      <c r="DT1939" s="24"/>
      <c r="DU1939" s="24"/>
    </row>
    <row r="1940" spans="1:125" s="8" customFormat="1" ht="24" x14ac:dyDescent="0.2">
      <c r="A1940" s="353">
        <v>41421</v>
      </c>
      <c r="B1940" s="352" t="s">
        <v>2855</v>
      </c>
      <c r="C1940" s="354" t="s">
        <v>2168</v>
      </c>
      <c r="D1940" s="354" t="s">
        <v>2882</v>
      </c>
      <c r="E1940" s="75" t="str">
        <f>VLOOKUP(B1940&amp;C1940,Divipola!$C$2:$F$1138,4,FALSE)</f>
        <v>20001</v>
      </c>
      <c r="F1940" s="87"/>
      <c r="G1940" s="87"/>
      <c r="H1940" s="87"/>
      <c r="I1940" s="87">
        <v>55</v>
      </c>
      <c r="J1940" s="87">
        <v>11</v>
      </c>
      <c r="K1940" s="87"/>
      <c r="L1940" s="87">
        <v>11</v>
      </c>
      <c r="M1940" s="87"/>
      <c r="N1940" s="87"/>
      <c r="O1940" s="87"/>
      <c r="P1940" s="87"/>
      <c r="Q1940" s="87"/>
      <c r="R1940" s="87"/>
      <c r="S1940" s="87"/>
      <c r="T1940" s="87"/>
      <c r="U1940" s="88"/>
      <c r="V1940" s="89"/>
      <c r="W1940" s="96">
        <v>0</v>
      </c>
      <c r="X1940" s="71">
        <f>CU1940</f>
        <v>0</v>
      </c>
      <c r="Y1940" s="71">
        <f>CY1940</f>
        <v>0</v>
      </c>
      <c r="Z1940" s="71">
        <f>DA1940+DC1940+DE1940</f>
        <v>0</v>
      </c>
      <c r="AA1940" s="71">
        <f>CW1940</f>
        <v>0</v>
      </c>
      <c r="AB1940" s="71"/>
      <c r="AC1940" s="71">
        <v>0</v>
      </c>
      <c r="AD1940" s="71">
        <f>W1940+X1940+Y1940+Z1940+AA1940+AB1940+AC1940</f>
        <v>0</v>
      </c>
      <c r="AE1940" s="72">
        <v>0</v>
      </c>
      <c r="AF1940" s="5"/>
      <c r="AG1940" s="6"/>
      <c r="AH1940" s="27" t="s">
        <v>3392</v>
      </c>
      <c r="AI1940" s="44" t="s">
        <v>3393</v>
      </c>
      <c r="AJ1940" s="26"/>
      <c r="AK1940" s="5"/>
      <c r="AL1940" s="82" t="s">
        <v>4800</v>
      </c>
      <c r="AM1940" s="76"/>
      <c r="AN1940" s="76"/>
      <c r="AO1940" s="76"/>
      <c r="AP1940" s="76"/>
      <c r="AQ1940" s="76"/>
      <c r="AR1940" s="76"/>
      <c r="AS1940" s="76"/>
      <c r="AT1940" s="76"/>
      <c r="AU1940" s="76"/>
      <c r="AV1940" s="76"/>
      <c r="AW1940" s="76"/>
      <c r="AX1940" s="76">
        <f>+AW1940*600000</f>
        <v>0</v>
      </c>
      <c r="AY1940" s="76"/>
      <c r="AZ1940" s="76">
        <f>+AY1940*70000</f>
        <v>0</v>
      </c>
      <c r="BA1940" s="76"/>
      <c r="BB1940" s="76"/>
      <c r="BC1940" s="76"/>
      <c r="BD1940" s="76">
        <f>+BC1940*30000</f>
        <v>0</v>
      </c>
      <c r="BE1940" s="76"/>
      <c r="BF1940" s="76"/>
      <c r="BG1940" s="76"/>
      <c r="BH1940" s="76"/>
      <c r="BI1940" s="76"/>
      <c r="BJ1940" s="76"/>
      <c r="BK1940" s="76"/>
      <c r="BL1940" s="76">
        <f>+BK1940*31500</f>
        <v>0</v>
      </c>
      <c r="BM1940" s="76"/>
      <c r="BN1940" s="76"/>
      <c r="BO1940" s="76"/>
      <c r="BP1940" s="76"/>
      <c r="BQ1940" s="76"/>
      <c r="BR1940" s="76"/>
      <c r="BS1940" s="76"/>
      <c r="BT1940" s="76"/>
      <c r="BU1940" s="76"/>
      <c r="BV1940" s="76"/>
      <c r="BW1940" s="76"/>
      <c r="BX1940" s="76"/>
      <c r="BY1940" s="76"/>
      <c r="BZ1940" s="76"/>
      <c r="CA1940" s="76"/>
      <c r="CB1940" s="76"/>
      <c r="CC1940" s="76"/>
      <c r="CD1940" s="76"/>
      <c r="CE1940" s="76"/>
      <c r="CF1940" s="76">
        <f>+CE1940*28000</f>
        <v>0</v>
      </c>
      <c r="CG1940" s="76"/>
      <c r="CH1940" s="76">
        <f>+CG1940*22500</f>
        <v>0</v>
      </c>
      <c r="CI1940" s="76"/>
      <c r="CJ1940" s="76">
        <f>+CI1940*26000</f>
        <v>0</v>
      </c>
      <c r="CK1940" s="76"/>
      <c r="CL1940" s="76"/>
      <c r="CM1940" s="76"/>
      <c r="CN1940" s="76">
        <f>+CM1940*22000</f>
        <v>0</v>
      </c>
      <c r="CO1940" s="76"/>
      <c r="CP1940" s="76">
        <f>+CO1940*46000</f>
        <v>0</v>
      </c>
      <c r="CQ1940" s="76"/>
      <c r="CR1940" s="76">
        <f>+CQ1940*49000</f>
        <v>0</v>
      </c>
      <c r="CS1940" s="76"/>
      <c r="CT1940" s="76"/>
      <c r="CU1940" s="56">
        <f>AN1940+AP1940+AR1940+AT1940+AV1940+AX1940+AZ1940+BB1940+BD1940+BF1940+BH1940+BJ1940+BL1940+BN1940+BP1940+BR1940+BT1940+BV1940+BX1940+BZ1940+CB1940+CD1940+CF1940+CH1940+CJ1940+CL1940+CN1940+CP1940+CR1940+CT1940</f>
        <v>0</v>
      </c>
      <c r="CV1940" s="76"/>
      <c r="CW1940" s="76">
        <f>+CV1940*1100</f>
        <v>0</v>
      </c>
      <c r="CX1940" s="76"/>
      <c r="CY1940" s="76">
        <f>+CX1940*106250</f>
        <v>0</v>
      </c>
      <c r="CZ1940" s="76"/>
      <c r="DA1940" s="76">
        <f>+CZ1940*34500</f>
        <v>0</v>
      </c>
      <c r="DB1940" s="76"/>
      <c r="DC1940" s="76">
        <f>+DB1940*25000</f>
        <v>0</v>
      </c>
      <c r="DD1940" s="219"/>
      <c r="DE1940" s="219"/>
      <c r="DF1940" s="166"/>
      <c r="DG1940" s="116"/>
      <c r="DH1940" s="117"/>
      <c r="DI1940" s="24"/>
      <c r="DJ1940" s="24"/>
      <c r="DK1940" s="24"/>
      <c r="DL1940" s="24"/>
      <c r="DM1940" s="24"/>
      <c r="DN1940" s="24"/>
      <c r="DO1940" s="24"/>
      <c r="DP1940" s="24"/>
      <c r="DQ1940" s="24"/>
      <c r="DR1940" s="24"/>
      <c r="DS1940" s="24"/>
      <c r="DT1940" s="24"/>
      <c r="DU1940" s="24"/>
    </row>
    <row r="1941" spans="1:125" s="8" customFormat="1" ht="108" x14ac:dyDescent="0.2">
      <c r="A1941" s="197">
        <v>41421</v>
      </c>
      <c r="B1941" s="198" t="s">
        <v>2718</v>
      </c>
      <c r="C1941" s="199" t="s">
        <v>500</v>
      </c>
      <c r="D1941" s="199" t="s">
        <v>3051</v>
      </c>
      <c r="E1941" s="75" t="str">
        <f>VLOOKUP(B1941&amp;C1941,Divipola!$C$2:$F$1138,4,FALSE)</f>
        <v>23068</v>
      </c>
      <c r="F1941" s="200"/>
      <c r="G1941" s="200"/>
      <c r="H1941" s="200"/>
      <c r="I1941" s="200"/>
      <c r="J1941" s="200"/>
      <c r="K1941" s="200"/>
      <c r="L1941" s="200"/>
      <c r="M1941" s="200"/>
      <c r="N1941" s="200"/>
      <c r="O1941" s="200"/>
      <c r="P1941" s="200"/>
      <c r="Q1941" s="200"/>
      <c r="R1941" s="200"/>
      <c r="S1941" s="200"/>
      <c r="T1941" s="200"/>
      <c r="U1941" s="201"/>
      <c r="V1941" s="89"/>
      <c r="W1941" s="96">
        <v>0</v>
      </c>
      <c r="X1941" s="71">
        <f>CU1941</f>
        <v>331821971.19999999</v>
      </c>
      <c r="Y1941" s="71">
        <f>CY1941</f>
        <v>563585000</v>
      </c>
      <c r="Z1941" s="71">
        <f>DA1941+DC1941+DE1941</f>
        <v>0</v>
      </c>
      <c r="AA1941" s="71">
        <f>CW1941</f>
        <v>109968000</v>
      </c>
      <c r="AB1941" s="71"/>
      <c r="AC1941" s="71">
        <v>50000000</v>
      </c>
      <c r="AD1941" s="71">
        <f>W1941+X1941+Y1941+Z1941+AA1941+AB1941+AC1941</f>
        <v>1055374971.2</v>
      </c>
      <c r="AE1941" s="72">
        <v>0</v>
      </c>
      <c r="AF1941" s="5"/>
      <c r="AG1941" s="6"/>
      <c r="AH1941" s="27" t="s">
        <v>3390</v>
      </c>
      <c r="AI1941" s="44" t="s">
        <v>3391</v>
      </c>
      <c r="AJ1941" s="26"/>
      <c r="AK1941" s="5"/>
      <c r="AL1941" s="82" t="s">
        <v>5179</v>
      </c>
      <c r="AM1941" s="76"/>
      <c r="AN1941" s="76"/>
      <c r="AO1941" s="76"/>
      <c r="AP1941" s="76"/>
      <c r="AQ1941" s="76"/>
      <c r="AR1941" s="76"/>
      <c r="AS1941" s="76"/>
      <c r="AT1941" s="76"/>
      <c r="AU1941" s="76"/>
      <c r="AV1941" s="76"/>
      <c r="AW1941" s="76"/>
      <c r="AX1941" s="76">
        <f>+AW1941*600000</f>
        <v>0</v>
      </c>
      <c r="AY1941" s="76"/>
      <c r="AZ1941" s="76">
        <f>+AY1941*70000</f>
        <v>0</v>
      </c>
      <c r="BA1941" s="76"/>
      <c r="BB1941" s="76"/>
      <c r="BC1941" s="76"/>
      <c r="BD1941" s="76">
        <f>+BC1941*30000</f>
        <v>0</v>
      </c>
      <c r="BE1941" s="76"/>
      <c r="BF1941" s="76"/>
      <c r="BG1941" s="76"/>
      <c r="BH1941" s="76"/>
      <c r="BI1941" s="76"/>
      <c r="BJ1941" s="76"/>
      <c r="BK1941" s="86">
        <v>2000</v>
      </c>
      <c r="BL1941" s="86">
        <f>1000*31500+1000*31500</f>
        <v>63000000</v>
      </c>
      <c r="BM1941" s="76"/>
      <c r="BN1941" s="76"/>
      <c r="BO1941" s="76"/>
      <c r="BP1941" s="76"/>
      <c r="BQ1941" s="76"/>
      <c r="BR1941" s="76"/>
      <c r="BS1941" s="76"/>
      <c r="BT1941" s="76"/>
      <c r="BU1941" s="76"/>
      <c r="BV1941" s="76"/>
      <c r="BW1941" s="76"/>
      <c r="BX1941" s="76"/>
      <c r="BY1941" s="86">
        <v>40</v>
      </c>
      <c r="BZ1941" s="86">
        <f>40*559999.28</f>
        <v>22399971.200000003</v>
      </c>
      <c r="CA1941" s="76"/>
      <c r="CB1941" s="76"/>
      <c r="CC1941" s="76"/>
      <c r="CD1941" s="76"/>
      <c r="CE1941" s="76"/>
      <c r="CF1941" s="76">
        <f>+CE1941*28000</f>
        <v>0</v>
      </c>
      <c r="CG1941" s="76"/>
      <c r="CH1941" s="76">
        <f>+CG1941*22500</f>
        <v>0</v>
      </c>
      <c r="CI1941" s="76"/>
      <c r="CJ1941" s="76">
        <f>+CI1941*26000</f>
        <v>0</v>
      </c>
      <c r="CK1941" s="76"/>
      <c r="CL1941" s="76"/>
      <c r="CM1941" s="76"/>
      <c r="CN1941" s="76">
        <f>+CM1941*22000</f>
        <v>0</v>
      </c>
      <c r="CO1941" s="86">
        <v>5357</v>
      </c>
      <c r="CP1941" s="86">
        <f>1357*46000+2000*46000+2000*46000</f>
        <v>246422000</v>
      </c>
      <c r="CQ1941" s="76"/>
      <c r="CR1941" s="76">
        <f>+CQ1941*49000</f>
        <v>0</v>
      </c>
      <c r="CS1941" s="76"/>
      <c r="CT1941" s="76"/>
      <c r="CU1941" s="56">
        <f>AN1941+AP1941+AR1941+AT1941+AV1941+AX1941+AZ1941+BB1941+BD1941+BF1941+BH1941+BJ1941+BL1941+BN1941+BP1941+BR1941+BT1941+BV1941+BX1941+BZ1941+CB1941+CD1941+CF1941+CH1941+CJ1941+CL1941+CN1941+CP1941+CR1941+CT1941</f>
        <v>331821971.19999999</v>
      </c>
      <c r="CV1941" s="86">
        <v>100000</v>
      </c>
      <c r="CW1941" s="86">
        <f>+CV1941*1099.68</f>
        <v>109968000</v>
      </c>
      <c r="CX1941" s="86">
        <v>5357</v>
      </c>
      <c r="CY1941" s="86">
        <f>1357*105000+2000*105550+2000*105000</f>
        <v>563585000</v>
      </c>
      <c r="CZ1941" s="76"/>
      <c r="DA1941" s="76">
        <f>+CZ1941*34500</f>
        <v>0</v>
      </c>
      <c r="DB1941" s="76"/>
      <c r="DC1941" s="76">
        <f>+DB1941*25000</f>
        <v>0</v>
      </c>
      <c r="DD1941" s="219"/>
      <c r="DE1941" s="219"/>
      <c r="DF1941" s="166"/>
      <c r="DG1941" s="192" t="s">
        <v>6462</v>
      </c>
      <c r="DH1941" s="117"/>
      <c r="DI1941" s="24"/>
      <c r="DJ1941" s="24"/>
      <c r="DK1941" s="24"/>
      <c r="DL1941" s="24"/>
      <c r="DM1941" s="24"/>
      <c r="DN1941" s="24"/>
      <c r="DO1941" s="24"/>
      <c r="DP1941" s="24"/>
      <c r="DQ1941" s="24"/>
      <c r="DR1941" s="24"/>
      <c r="DS1941" s="24"/>
      <c r="DT1941" s="24"/>
      <c r="DU1941" s="24"/>
    </row>
    <row r="1942" spans="1:125" s="8" customFormat="1" ht="48" x14ac:dyDescent="0.2">
      <c r="A1942" s="353">
        <v>41421</v>
      </c>
      <c r="B1942" s="352" t="s">
        <v>2718</v>
      </c>
      <c r="C1942" s="354" t="s">
        <v>991</v>
      </c>
      <c r="D1942" s="354" t="s">
        <v>2882</v>
      </c>
      <c r="E1942" s="75" t="str">
        <f>VLOOKUP(B1942&amp;C1942,Divipola!$C$2:$F$1138,4,FALSE)</f>
        <v>23672</v>
      </c>
      <c r="F1942" s="87"/>
      <c r="G1942" s="87"/>
      <c r="H1942" s="87"/>
      <c r="I1942" s="87">
        <v>150</v>
      </c>
      <c r="J1942" s="87">
        <v>30</v>
      </c>
      <c r="K1942" s="87"/>
      <c r="L1942" s="87">
        <v>30</v>
      </c>
      <c r="M1942" s="87"/>
      <c r="N1942" s="87"/>
      <c r="O1942" s="87"/>
      <c r="P1942" s="87"/>
      <c r="Q1942" s="87"/>
      <c r="R1942" s="87"/>
      <c r="S1942" s="87"/>
      <c r="T1942" s="87"/>
      <c r="U1942" s="88"/>
      <c r="V1942" s="89"/>
      <c r="W1942" s="96">
        <v>0</v>
      </c>
      <c r="X1942" s="71">
        <f>CU1942</f>
        <v>0</v>
      </c>
      <c r="Y1942" s="71">
        <f>CY1942</f>
        <v>0</v>
      </c>
      <c r="Z1942" s="71">
        <f>DA1942+DC1942+DE1942</f>
        <v>0</v>
      </c>
      <c r="AA1942" s="71">
        <f>CW1942</f>
        <v>0</v>
      </c>
      <c r="AB1942" s="71"/>
      <c r="AC1942" s="71">
        <v>0</v>
      </c>
      <c r="AD1942" s="71">
        <f>W1942+X1942+Y1942+Z1942+AA1942+AB1942+AC1942</f>
        <v>0</v>
      </c>
      <c r="AE1942" s="72">
        <v>0</v>
      </c>
      <c r="AF1942" s="5"/>
      <c r="AG1942" s="6"/>
      <c r="AH1942" s="27" t="s">
        <v>3392</v>
      </c>
      <c r="AI1942" s="44" t="s">
        <v>3393</v>
      </c>
      <c r="AJ1942" s="26"/>
      <c r="AK1942" s="5"/>
      <c r="AL1942" s="82" t="s">
        <v>4755</v>
      </c>
      <c r="AM1942" s="76"/>
      <c r="AN1942" s="76"/>
      <c r="AO1942" s="76"/>
      <c r="AP1942" s="76"/>
      <c r="AQ1942" s="76"/>
      <c r="AR1942" s="76"/>
      <c r="AS1942" s="76"/>
      <c r="AT1942" s="76"/>
      <c r="AU1942" s="76"/>
      <c r="AV1942" s="76"/>
      <c r="AW1942" s="76"/>
      <c r="AX1942" s="76">
        <f>+AW1942*600000</f>
        <v>0</v>
      </c>
      <c r="AY1942" s="76"/>
      <c r="AZ1942" s="76">
        <f>+AY1942*70000</f>
        <v>0</v>
      </c>
      <c r="BA1942" s="76"/>
      <c r="BB1942" s="76"/>
      <c r="BC1942" s="76"/>
      <c r="BD1942" s="76">
        <f>+BC1942*30000</f>
        <v>0</v>
      </c>
      <c r="BE1942" s="76"/>
      <c r="BF1942" s="76"/>
      <c r="BG1942" s="76"/>
      <c r="BH1942" s="76"/>
      <c r="BI1942" s="76"/>
      <c r="BJ1942" s="76"/>
      <c r="BK1942" s="76"/>
      <c r="BL1942" s="76">
        <f>+BK1942*31500</f>
        <v>0</v>
      </c>
      <c r="BM1942" s="76"/>
      <c r="BN1942" s="76"/>
      <c r="BO1942" s="76"/>
      <c r="BP1942" s="76"/>
      <c r="BQ1942" s="76"/>
      <c r="BR1942" s="76"/>
      <c r="BS1942" s="76"/>
      <c r="BT1942" s="76"/>
      <c r="BU1942" s="76"/>
      <c r="BV1942" s="76"/>
      <c r="BW1942" s="76"/>
      <c r="BX1942" s="76"/>
      <c r="BY1942" s="76"/>
      <c r="BZ1942" s="76"/>
      <c r="CA1942" s="76"/>
      <c r="CB1942" s="76"/>
      <c r="CC1942" s="76"/>
      <c r="CD1942" s="76"/>
      <c r="CE1942" s="76"/>
      <c r="CF1942" s="76">
        <f>+CE1942*28000</f>
        <v>0</v>
      </c>
      <c r="CG1942" s="76"/>
      <c r="CH1942" s="76">
        <f>+CG1942*22500</f>
        <v>0</v>
      </c>
      <c r="CI1942" s="76"/>
      <c r="CJ1942" s="76">
        <f>+CI1942*26000</f>
        <v>0</v>
      </c>
      <c r="CK1942" s="76"/>
      <c r="CL1942" s="76"/>
      <c r="CM1942" s="76"/>
      <c r="CN1942" s="76">
        <f>+CM1942*22000</f>
        <v>0</v>
      </c>
      <c r="CO1942" s="76"/>
      <c r="CP1942" s="76">
        <f>+CO1942*46000</f>
        <v>0</v>
      </c>
      <c r="CQ1942" s="76"/>
      <c r="CR1942" s="76">
        <f>+CQ1942*49000</f>
        <v>0</v>
      </c>
      <c r="CS1942" s="76"/>
      <c r="CT1942" s="76"/>
      <c r="CU1942" s="56">
        <f>AN1942+AP1942+AR1942+AT1942+AV1942+AX1942+AZ1942+BB1942+BD1942+BF1942+BH1942+BJ1942+BL1942+BN1942+BP1942+BR1942+BT1942+BV1942+BX1942+BZ1942+CB1942+CD1942+CF1942+CH1942+CJ1942+CL1942+CN1942+CP1942+CR1942+CT1942</f>
        <v>0</v>
      </c>
      <c r="CV1942" s="76"/>
      <c r="CW1942" s="76">
        <f>+CV1942*1100</f>
        <v>0</v>
      </c>
      <c r="CX1942" s="76"/>
      <c r="CY1942" s="76">
        <f>+CX1942*106250</f>
        <v>0</v>
      </c>
      <c r="CZ1942" s="76"/>
      <c r="DA1942" s="76">
        <f>+CZ1942*34500</f>
        <v>0</v>
      </c>
      <c r="DB1942" s="76"/>
      <c r="DC1942" s="76">
        <f>+DB1942*25000</f>
        <v>0</v>
      </c>
      <c r="DD1942" s="219"/>
      <c r="DE1942" s="219"/>
      <c r="DF1942" s="166"/>
      <c r="DG1942" s="116"/>
      <c r="DH1942" s="117"/>
      <c r="DI1942" s="24"/>
      <c r="DJ1942" s="24"/>
      <c r="DK1942" s="24"/>
      <c r="DL1942" s="24"/>
      <c r="DM1942" s="24"/>
      <c r="DN1942" s="24"/>
      <c r="DO1942" s="24"/>
      <c r="DP1942" s="24"/>
      <c r="DQ1942" s="24"/>
      <c r="DR1942" s="24"/>
      <c r="DS1942" s="24"/>
      <c r="DT1942" s="24"/>
      <c r="DU1942" s="24"/>
    </row>
    <row r="1943" spans="1:125" s="8" customFormat="1" ht="72" x14ac:dyDescent="0.2">
      <c r="A1943" s="77">
        <v>41421</v>
      </c>
      <c r="B1943" s="78" t="s">
        <v>2718</v>
      </c>
      <c r="C1943" s="75" t="s">
        <v>1004</v>
      </c>
      <c r="D1943" s="75" t="s">
        <v>3051</v>
      </c>
      <c r="E1943" s="75" t="str">
        <f>VLOOKUP(B1943&amp;C1943,Divipola!$C$2:$F$1138,4,FALSE)</f>
        <v>23815</v>
      </c>
      <c r="F1943" s="87"/>
      <c r="G1943" s="87"/>
      <c r="H1943" s="87"/>
      <c r="I1943" s="87">
        <v>1500</v>
      </c>
      <c r="J1943" s="87">
        <v>300</v>
      </c>
      <c r="K1943" s="87"/>
      <c r="L1943" s="87">
        <v>300</v>
      </c>
      <c r="M1943" s="87"/>
      <c r="N1943" s="87"/>
      <c r="O1943" s="87"/>
      <c r="P1943" s="87"/>
      <c r="Q1943" s="87"/>
      <c r="R1943" s="87"/>
      <c r="S1943" s="87"/>
      <c r="T1943" s="87"/>
      <c r="U1943" s="88"/>
      <c r="V1943" s="89"/>
      <c r="W1943" s="96">
        <v>0</v>
      </c>
      <c r="X1943" s="71">
        <f>CU1943</f>
        <v>1575000</v>
      </c>
      <c r="Y1943" s="71">
        <f>CY1943</f>
        <v>26387500</v>
      </c>
      <c r="Z1943" s="71">
        <f>DA1943+DC1943+DE1943</f>
        <v>27840000</v>
      </c>
      <c r="AA1943" s="71">
        <f>CW1943</f>
        <v>16500000</v>
      </c>
      <c r="AB1943" s="71"/>
      <c r="AC1943" s="71">
        <v>0</v>
      </c>
      <c r="AD1943" s="71">
        <f>W1943+X1943+Y1943+Z1943+AA1943+AB1943+AC1943</f>
        <v>72302500</v>
      </c>
      <c r="AE1943" s="72">
        <v>0</v>
      </c>
      <c r="AF1943" s="5"/>
      <c r="AG1943" s="6"/>
      <c r="AH1943" s="27" t="s">
        <v>3392</v>
      </c>
      <c r="AI1943" s="44" t="s">
        <v>3393</v>
      </c>
      <c r="AJ1943" s="26"/>
      <c r="AK1943" s="5"/>
      <c r="AL1943" s="82" t="s">
        <v>4753</v>
      </c>
      <c r="AM1943" s="240"/>
      <c r="AN1943" s="240"/>
      <c r="AO1943" s="240"/>
      <c r="AP1943" s="240"/>
      <c r="AQ1943" s="240"/>
      <c r="AR1943" s="240"/>
      <c r="AS1943" s="240"/>
      <c r="AT1943" s="240"/>
      <c r="AU1943" s="240"/>
      <c r="AV1943" s="240"/>
      <c r="AW1943" s="240"/>
      <c r="AX1943" s="240">
        <f>+AW1943*600000</f>
        <v>0</v>
      </c>
      <c r="AY1943" s="240"/>
      <c r="AZ1943" s="240">
        <f>+AY1943*70000</f>
        <v>0</v>
      </c>
      <c r="BA1943" s="240"/>
      <c r="BB1943" s="240"/>
      <c r="BC1943" s="240"/>
      <c r="BD1943" s="240">
        <f>+BC1943*30000</f>
        <v>0</v>
      </c>
      <c r="BE1943" s="240"/>
      <c r="BF1943" s="240"/>
      <c r="BG1943" s="240"/>
      <c r="BH1943" s="240"/>
      <c r="BI1943" s="240"/>
      <c r="BJ1943" s="240"/>
      <c r="BK1943" s="312">
        <v>50</v>
      </c>
      <c r="BL1943" s="312">
        <f>+BK1943*31500</f>
        <v>1575000</v>
      </c>
      <c r="BM1943" s="240"/>
      <c r="BN1943" s="240"/>
      <c r="BO1943" s="240"/>
      <c r="BP1943" s="240"/>
      <c r="BQ1943" s="240"/>
      <c r="BR1943" s="240"/>
      <c r="BS1943" s="240"/>
      <c r="BT1943" s="240"/>
      <c r="BU1943" s="240"/>
      <c r="BV1943" s="240"/>
      <c r="BW1943" s="240"/>
      <c r="BX1943" s="240"/>
      <c r="BY1943" s="240"/>
      <c r="BZ1943" s="240"/>
      <c r="CA1943" s="240"/>
      <c r="CB1943" s="240"/>
      <c r="CC1943" s="240"/>
      <c r="CD1943" s="240"/>
      <c r="CE1943" s="240"/>
      <c r="CF1943" s="240">
        <f>+CE1943*28000</f>
        <v>0</v>
      </c>
      <c r="CG1943" s="240"/>
      <c r="CH1943" s="240">
        <f>+CG1943*22500</f>
        <v>0</v>
      </c>
      <c r="CI1943" s="240"/>
      <c r="CJ1943" s="240">
        <f>+CI1943*26000</f>
        <v>0</v>
      </c>
      <c r="CK1943" s="240"/>
      <c r="CL1943" s="240"/>
      <c r="CM1943" s="240"/>
      <c r="CN1943" s="240">
        <f>+CM1943*22000</f>
        <v>0</v>
      </c>
      <c r="CO1943" s="240"/>
      <c r="CP1943" s="240">
        <f>+CO1943*46000</f>
        <v>0</v>
      </c>
      <c r="CQ1943" s="240"/>
      <c r="CR1943" s="240">
        <f>+CQ1943*49000</f>
        <v>0</v>
      </c>
      <c r="CS1943" s="240"/>
      <c r="CT1943" s="240"/>
      <c r="CU1943" s="241">
        <f>AN1943+AP1943+AR1943+AT1943+AV1943+AX1943+AZ1943+BB1943+BD1943+BF1943+BH1943+BJ1943+BL1943+BN1943+BP1943+BR1943+BT1943+BV1943+BX1943+BZ1943+CB1943+CD1943+CF1943+CH1943+CJ1943+CL1943+CN1943+CP1943+CR1943+CT1943</f>
        <v>1575000</v>
      </c>
      <c r="CV1943" s="312">
        <v>15000</v>
      </c>
      <c r="CW1943" s="312">
        <f>+CV1943*1100</f>
        <v>16500000</v>
      </c>
      <c r="CX1943" s="312">
        <v>250</v>
      </c>
      <c r="CY1943" s="312">
        <f>+CX1943*105550</f>
        <v>26387500</v>
      </c>
      <c r="CZ1943" s="240"/>
      <c r="DA1943" s="240">
        <f>+CZ1943*34500</f>
        <v>0</v>
      </c>
      <c r="DB1943" s="312">
        <v>1000</v>
      </c>
      <c r="DC1943" s="312">
        <f>700*25000+2800*200+300*31000+1200*400</f>
        <v>27840000</v>
      </c>
      <c r="DD1943" s="242"/>
      <c r="DE1943" s="242"/>
      <c r="DF1943" s="243"/>
      <c r="DG1943" s="253" t="s">
        <v>6028</v>
      </c>
      <c r="DH1943" s="254"/>
      <c r="DI1943" s="24"/>
      <c r="DJ1943" s="24"/>
      <c r="DK1943" s="24"/>
      <c r="DL1943" s="24"/>
      <c r="DM1943" s="24"/>
      <c r="DN1943" s="24"/>
      <c r="DO1943" s="24"/>
      <c r="DP1943" s="24"/>
      <c r="DQ1943" s="24"/>
      <c r="DR1943" s="24"/>
      <c r="DS1943" s="24"/>
      <c r="DT1943" s="24"/>
      <c r="DU1943" s="24"/>
    </row>
    <row r="1944" spans="1:125" s="8" customFormat="1" ht="36" x14ac:dyDescent="0.2">
      <c r="A1944" s="226">
        <v>41421</v>
      </c>
      <c r="B1944" s="225" t="s">
        <v>2811</v>
      </c>
      <c r="C1944" s="227" t="s">
        <v>1709</v>
      </c>
      <c r="D1944" s="227" t="s">
        <v>3088</v>
      </c>
      <c r="E1944" s="75" t="str">
        <f>VLOOKUP(B1944&amp;C1944,Divipola!$C$2:$F$1138,4,FALSE)</f>
        <v>52210</v>
      </c>
      <c r="F1944" s="87"/>
      <c r="G1944" s="87"/>
      <c r="H1944" s="87"/>
      <c r="I1944" s="87">
        <v>4</v>
      </c>
      <c r="J1944" s="87">
        <v>1</v>
      </c>
      <c r="K1944" s="87"/>
      <c r="L1944" s="87">
        <v>1</v>
      </c>
      <c r="M1944" s="87"/>
      <c r="N1944" s="87"/>
      <c r="O1944" s="87"/>
      <c r="P1944" s="87"/>
      <c r="Q1944" s="87"/>
      <c r="R1944" s="87"/>
      <c r="S1944" s="87"/>
      <c r="T1944" s="87"/>
      <c r="U1944" s="88"/>
      <c r="V1944" s="89"/>
      <c r="W1944" s="96">
        <v>0</v>
      </c>
      <c r="X1944" s="71">
        <f>CU1944</f>
        <v>0</v>
      </c>
      <c r="Y1944" s="71">
        <f>CY1944</f>
        <v>0</v>
      </c>
      <c r="Z1944" s="71">
        <f>DA1944+DC1944+DE1944</f>
        <v>0</v>
      </c>
      <c r="AA1944" s="71">
        <f>CW1944</f>
        <v>0</v>
      </c>
      <c r="AB1944" s="71"/>
      <c r="AC1944" s="71">
        <v>0</v>
      </c>
      <c r="AD1944" s="71">
        <f>W1944+X1944+Y1944+Z1944+AA1944+AB1944+AC1944</f>
        <v>0</v>
      </c>
      <c r="AE1944" s="72">
        <v>0</v>
      </c>
      <c r="AF1944" s="5"/>
      <c r="AG1944" s="6"/>
      <c r="AH1944" s="27" t="s">
        <v>3392</v>
      </c>
      <c r="AI1944" s="44" t="s">
        <v>3393</v>
      </c>
      <c r="AJ1944" s="26"/>
      <c r="AK1944" s="5"/>
      <c r="AL1944" s="82" t="s">
        <v>4780</v>
      </c>
      <c r="AM1944" s="76"/>
      <c r="AN1944" s="76"/>
      <c r="AO1944" s="76"/>
      <c r="AP1944" s="76"/>
      <c r="AQ1944" s="76"/>
      <c r="AR1944" s="76"/>
      <c r="AS1944" s="76"/>
      <c r="AT1944" s="76"/>
      <c r="AU1944" s="76"/>
      <c r="AV1944" s="76"/>
      <c r="AW1944" s="76"/>
      <c r="AX1944" s="76">
        <f>+AW1944*600000</f>
        <v>0</v>
      </c>
      <c r="AY1944" s="76"/>
      <c r="AZ1944" s="76">
        <f>+AY1944*70000</f>
        <v>0</v>
      </c>
      <c r="BA1944" s="76"/>
      <c r="BB1944" s="76"/>
      <c r="BC1944" s="76"/>
      <c r="BD1944" s="76">
        <f>+BC1944*30000</f>
        <v>0</v>
      </c>
      <c r="BE1944" s="76"/>
      <c r="BF1944" s="76"/>
      <c r="BG1944" s="76"/>
      <c r="BH1944" s="76"/>
      <c r="BI1944" s="76"/>
      <c r="BJ1944" s="76"/>
      <c r="BK1944" s="76"/>
      <c r="BL1944" s="76">
        <f>+BK1944*31500</f>
        <v>0</v>
      </c>
      <c r="BM1944" s="76"/>
      <c r="BN1944" s="76"/>
      <c r="BO1944" s="76"/>
      <c r="BP1944" s="76"/>
      <c r="BQ1944" s="76"/>
      <c r="BR1944" s="76"/>
      <c r="BS1944" s="76"/>
      <c r="BT1944" s="76"/>
      <c r="BU1944" s="76"/>
      <c r="BV1944" s="76"/>
      <c r="BW1944" s="76"/>
      <c r="BX1944" s="76"/>
      <c r="BY1944" s="76"/>
      <c r="BZ1944" s="76"/>
      <c r="CA1944" s="76"/>
      <c r="CB1944" s="76"/>
      <c r="CC1944" s="76"/>
      <c r="CD1944" s="76"/>
      <c r="CE1944" s="76"/>
      <c r="CF1944" s="76">
        <f>+CE1944*28000</f>
        <v>0</v>
      </c>
      <c r="CG1944" s="76"/>
      <c r="CH1944" s="76">
        <f>+CG1944*22500</f>
        <v>0</v>
      </c>
      <c r="CI1944" s="76"/>
      <c r="CJ1944" s="76">
        <f>+CI1944*26000</f>
        <v>0</v>
      </c>
      <c r="CK1944" s="76"/>
      <c r="CL1944" s="76"/>
      <c r="CM1944" s="76"/>
      <c r="CN1944" s="76">
        <f>+CM1944*22000</f>
        <v>0</v>
      </c>
      <c r="CO1944" s="76"/>
      <c r="CP1944" s="76">
        <f>+CO1944*46000</f>
        <v>0</v>
      </c>
      <c r="CQ1944" s="76"/>
      <c r="CR1944" s="76">
        <f>+CQ1944*49000</f>
        <v>0</v>
      </c>
      <c r="CS1944" s="76"/>
      <c r="CT1944" s="76"/>
      <c r="CU1944" s="56">
        <f>AN1944+AP1944+AR1944+AT1944+AV1944+AX1944+AZ1944+BB1944+BD1944+BF1944+BH1944+BJ1944+BL1944+BN1944+BP1944+BR1944+BT1944+BV1944+BX1944+BZ1944+CB1944+CD1944+CF1944+CH1944+CJ1944+CL1944+CN1944+CP1944+CR1944+CT1944</f>
        <v>0</v>
      </c>
      <c r="CV1944" s="76"/>
      <c r="CW1944" s="76">
        <f>+CV1944*1100</f>
        <v>0</v>
      </c>
      <c r="CX1944" s="76"/>
      <c r="CY1944" s="76">
        <f>+CX1944*106250</f>
        <v>0</v>
      </c>
      <c r="CZ1944" s="76"/>
      <c r="DA1944" s="76">
        <f>+CZ1944*34500</f>
        <v>0</v>
      </c>
      <c r="DB1944" s="76"/>
      <c r="DC1944" s="76">
        <f>+DB1944*25000</f>
        <v>0</v>
      </c>
      <c r="DD1944" s="219"/>
      <c r="DE1944" s="219"/>
      <c r="DF1944" s="166"/>
      <c r="DG1944" s="116"/>
      <c r="DH1944" s="117"/>
      <c r="DI1944" s="24"/>
      <c r="DJ1944" s="24"/>
      <c r="DK1944" s="24"/>
      <c r="DL1944" s="24"/>
      <c r="DM1944" s="24"/>
      <c r="DN1944" s="24"/>
      <c r="DO1944" s="24"/>
      <c r="DP1944" s="24"/>
      <c r="DQ1944" s="24"/>
      <c r="DR1944" s="24"/>
      <c r="DS1944" s="24"/>
      <c r="DT1944" s="24"/>
      <c r="DU1944" s="24"/>
    </row>
    <row r="1945" spans="1:125" s="8" customFormat="1" ht="60" x14ac:dyDescent="0.2">
      <c r="A1945" s="353">
        <v>41421</v>
      </c>
      <c r="B1945" s="225" t="s">
        <v>2811</v>
      </c>
      <c r="C1945" s="227" t="s">
        <v>2131</v>
      </c>
      <c r="D1945" s="227" t="s">
        <v>3051</v>
      </c>
      <c r="E1945" s="75" t="str">
        <f>VLOOKUP(B1945&amp;C1945,Divipola!$C$2:$F$1138,4,FALSE)</f>
        <v>52001</v>
      </c>
      <c r="F1945" s="87"/>
      <c r="G1945" s="87"/>
      <c r="H1945" s="87"/>
      <c r="I1945" s="87">
        <v>8</v>
      </c>
      <c r="J1945" s="87">
        <v>2</v>
      </c>
      <c r="K1945" s="87"/>
      <c r="L1945" s="87">
        <v>1</v>
      </c>
      <c r="M1945" s="87"/>
      <c r="N1945" s="87"/>
      <c r="O1945" s="87"/>
      <c r="P1945" s="87"/>
      <c r="Q1945" s="87"/>
      <c r="R1945" s="87"/>
      <c r="S1945" s="87"/>
      <c r="T1945" s="87"/>
      <c r="U1945" s="88"/>
      <c r="V1945" s="89"/>
      <c r="W1945" s="96">
        <v>0</v>
      </c>
      <c r="X1945" s="71">
        <f>CU1945</f>
        <v>0</v>
      </c>
      <c r="Y1945" s="71">
        <f>CY1945</f>
        <v>0</v>
      </c>
      <c r="Z1945" s="71">
        <f>DA1945+DC1945+DE1945</f>
        <v>0</v>
      </c>
      <c r="AA1945" s="71">
        <f>CW1945</f>
        <v>0</v>
      </c>
      <c r="AB1945" s="71"/>
      <c r="AC1945" s="71">
        <v>0</v>
      </c>
      <c r="AD1945" s="71">
        <f>W1945+X1945+Y1945+Z1945+AA1945+AB1945+AC1945</f>
        <v>0</v>
      </c>
      <c r="AE1945" s="72">
        <v>0</v>
      </c>
      <c r="AF1945" s="5"/>
      <c r="AG1945" s="6"/>
      <c r="AH1945" s="27" t="s">
        <v>3392</v>
      </c>
      <c r="AI1945" s="44" t="s">
        <v>3393</v>
      </c>
      <c r="AJ1945" s="26"/>
      <c r="AK1945" s="5"/>
      <c r="AL1945" s="82" t="s">
        <v>4779</v>
      </c>
      <c r="AM1945" s="76"/>
      <c r="AN1945" s="76"/>
      <c r="AO1945" s="76"/>
      <c r="AP1945" s="76"/>
      <c r="AQ1945" s="76"/>
      <c r="AR1945" s="76"/>
      <c r="AS1945" s="76"/>
      <c r="AT1945" s="76"/>
      <c r="AU1945" s="76"/>
      <c r="AV1945" s="76"/>
      <c r="AW1945" s="76"/>
      <c r="AX1945" s="76">
        <f>+AW1945*600000</f>
        <v>0</v>
      </c>
      <c r="AY1945" s="76"/>
      <c r="AZ1945" s="76">
        <f>+AY1945*70000</f>
        <v>0</v>
      </c>
      <c r="BA1945" s="76"/>
      <c r="BB1945" s="76"/>
      <c r="BC1945" s="76"/>
      <c r="BD1945" s="76">
        <f>+BC1945*30000</f>
        <v>0</v>
      </c>
      <c r="BE1945" s="76"/>
      <c r="BF1945" s="76"/>
      <c r="BG1945" s="76"/>
      <c r="BH1945" s="76"/>
      <c r="BI1945" s="76"/>
      <c r="BJ1945" s="76"/>
      <c r="BK1945" s="76"/>
      <c r="BL1945" s="76">
        <f>+BK1945*31500</f>
        <v>0</v>
      </c>
      <c r="BM1945" s="76"/>
      <c r="BN1945" s="76"/>
      <c r="BO1945" s="76"/>
      <c r="BP1945" s="76"/>
      <c r="BQ1945" s="76"/>
      <c r="BR1945" s="76"/>
      <c r="BS1945" s="76"/>
      <c r="BT1945" s="76"/>
      <c r="BU1945" s="76"/>
      <c r="BV1945" s="76"/>
      <c r="BW1945" s="76"/>
      <c r="BX1945" s="76"/>
      <c r="BY1945" s="76"/>
      <c r="BZ1945" s="76"/>
      <c r="CA1945" s="76"/>
      <c r="CB1945" s="76"/>
      <c r="CC1945" s="76"/>
      <c r="CD1945" s="76"/>
      <c r="CE1945" s="76"/>
      <c r="CF1945" s="76">
        <f>+CE1945*28000</f>
        <v>0</v>
      </c>
      <c r="CG1945" s="76"/>
      <c r="CH1945" s="76">
        <f>+CG1945*22500</f>
        <v>0</v>
      </c>
      <c r="CI1945" s="76"/>
      <c r="CJ1945" s="76">
        <f>+CI1945*26000</f>
        <v>0</v>
      </c>
      <c r="CK1945" s="76"/>
      <c r="CL1945" s="76"/>
      <c r="CM1945" s="76"/>
      <c r="CN1945" s="76">
        <f>+CM1945*22000</f>
        <v>0</v>
      </c>
      <c r="CO1945" s="76"/>
      <c r="CP1945" s="76">
        <f>+CO1945*46000</f>
        <v>0</v>
      </c>
      <c r="CQ1945" s="76"/>
      <c r="CR1945" s="76">
        <f>+CQ1945*49000</f>
        <v>0</v>
      </c>
      <c r="CS1945" s="76"/>
      <c r="CT1945" s="76"/>
      <c r="CU1945" s="56">
        <f>AN1945+AP1945+AR1945+AT1945+AV1945+AX1945+AZ1945+BB1945+BD1945+BF1945+BH1945+BJ1945+BL1945+BN1945+BP1945+BR1945+BT1945+BV1945+BX1945+BZ1945+CB1945+CD1945+CF1945+CH1945+CJ1945+CL1945+CN1945+CP1945+CR1945+CT1945</f>
        <v>0</v>
      </c>
      <c r="CV1945" s="76"/>
      <c r="CW1945" s="76">
        <f>+CV1945*1100</f>
        <v>0</v>
      </c>
      <c r="CX1945" s="76"/>
      <c r="CY1945" s="76">
        <f>+CX1945*106250</f>
        <v>0</v>
      </c>
      <c r="CZ1945" s="76"/>
      <c r="DA1945" s="76">
        <f>+CZ1945*34500</f>
        <v>0</v>
      </c>
      <c r="DB1945" s="76"/>
      <c r="DC1945" s="76">
        <f>+DB1945*25000</f>
        <v>0</v>
      </c>
      <c r="DD1945" s="219"/>
      <c r="DE1945" s="219"/>
      <c r="DF1945" s="166"/>
      <c r="DG1945" s="116"/>
      <c r="DH1945" s="117"/>
      <c r="DI1945" s="24"/>
      <c r="DJ1945" s="24"/>
      <c r="DK1945" s="24"/>
      <c r="DL1945" s="24"/>
      <c r="DM1945" s="24"/>
      <c r="DN1945" s="24"/>
      <c r="DO1945" s="24"/>
      <c r="DP1945" s="24"/>
      <c r="DQ1945" s="24"/>
      <c r="DR1945" s="24"/>
      <c r="DS1945" s="24"/>
      <c r="DT1945" s="24"/>
      <c r="DU1945" s="24"/>
    </row>
    <row r="1946" spans="1:125" s="8" customFormat="1" ht="72" x14ac:dyDescent="0.2">
      <c r="A1946" s="77">
        <v>41421</v>
      </c>
      <c r="B1946" s="225" t="s">
        <v>2811</v>
      </c>
      <c r="C1946" s="227" t="s">
        <v>2130</v>
      </c>
      <c r="D1946" s="227" t="s">
        <v>3205</v>
      </c>
      <c r="E1946" s="75" t="str">
        <f>VLOOKUP(B1946&amp;C1946,Divipola!$C$2:$F$1138,4,FALSE)</f>
        <v>52612</v>
      </c>
      <c r="F1946" s="87"/>
      <c r="G1946" s="87"/>
      <c r="H1946" s="87"/>
      <c r="I1946" s="87">
        <v>15</v>
      </c>
      <c r="J1946" s="87">
        <v>3</v>
      </c>
      <c r="K1946" s="87"/>
      <c r="L1946" s="87">
        <v>3</v>
      </c>
      <c r="M1946" s="87"/>
      <c r="N1946" s="87"/>
      <c r="O1946" s="87"/>
      <c r="P1946" s="87"/>
      <c r="Q1946" s="87"/>
      <c r="R1946" s="87"/>
      <c r="S1946" s="87"/>
      <c r="T1946" s="87"/>
      <c r="U1946" s="88"/>
      <c r="V1946" s="89"/>
      <c r="W1946" s="96">
        <v>0</v>
      </c>
      <c r="X1946" s="71">
        <f>CU1946</f>
        <v>0</v>
      </c>
      <c r="Y1946" s="71">
        <f>CY1946</f>
        <v>0</v>
      </c>
      <c r="Z1946" s="71">
        <f>DA1946+DC1946+DE1946</f>
        <v>0</v>
      </c>
      <c r="AA1946" s="71">
        <f>CW1946</f>
        <v>0</v>
      </c>
      <c r="AB1946" s="71"/>
      <c r="AC1946" s="71">
        <v>0</v>
      </c>
      <c r="AD1946" s="71">
        <f>W1946+X1946+Y1946+Z1946+AA1946+AB1946+AC1946</f>
        <v>0</v>
      </c>
      <c r="AE1946" s="72">
        <v>0</v>
      </c>
      <c r="AF1946" s="5"/>
      <c r="AG1946" s="6"/>
      <c r="AH1946" s="27" t="s">
        <v>3392</v>
      </c>
      <c r="AI1946" s="44" t="s">
        <v>3393</v>
      </c>
      <c r="AJ1946" s="26"/>
      <c r="AK1946" s="5"/>
      <c r="AL1946" s="82" t="s">
        <v>4754</v>
      </c>
      <c r="AM1946" s="76"/>
      <c r="AN1946" s="76"/>
      <c r="AO1946" s="76"/>
      <c r="AP1946" s="76"/>
      <c r="AQ1946" s="76"/>
      <c r="AR1946" s="76"/>
      <c r="AS1946" s="76"/>
      <c r="AT1946" s="76"/>
      <c r="AU1946" s="76"/>
      <c r="AV1946" s="76"/>
      <c r="AW1946" s="76"/>
      <c r="AX1946" s="76">
        <f>+AW1946*600000</f>
        <v>0</v>
      </c>
      <c r="AY1946" s="76"/>
      <c r="AZ1946" s="76">
        <f>+AY1946*70000</f>
        <v>0</v>
      </c>
      <c r="BA1946" s="76"/>
      <c r="BB1946" s="76"/>
      <c r="BC1946" s="76"/>
      <c r="BD1946" s="76">
        <f>+BC1946*30000</f>
        <v>0</v>
      </c>
      <c r="BE1946" s="76"/>
      <c r="BF1946" s="76"/>
      <c r="BG1946" s="76"/>
      <c r="BH1946" s="76"/>
      <c r="BI1946" s="76"/>
      <c r="BJ1946" s="76"/>
      <c r="BK1946" s="76"/>
      <c r="BL1946" s="76">
        <f>+BK1946*31500</f>
        <v>0</v>
      </c>
      <c r="BM1946" s="76"/>
      <c r="BN1946" s="76"/>
      <c r="BO1946" s="76"/>
      <c r="BP1946" s="76"/>
      <c r="BQ1946" s="76"/>
      <c r="BR1946" s="76"/>
      <c r="BS1946" s="76"/>
      <c r="BT1946" s="76"/>
      <c r="BU1946" s="76"/>
      <c r="BV1946" s="76"/>
      <c r="BW1946" s="76"/>
      <c r="BX1946" s="76"/>
      <c r="BY1946" s="76"/>
      <c r="BZ1946" s="76"/>
      <c r="CA1946" s="76"/>
      <c r="CB1946" s="76"/>
      <c r="CC1946" s="76"/>
      <c r="CD1946" s="76"/>
      <c r="CE1946" s="76"/>
      <c r="CF1946" s="76">
        <f>+CE1946*28000</f>
        <v>0</v>
      </c>
      <c r="CG1946" s="76"/>
      <c r="CH1946" s="76">
        <f>+CG1946*22500</f>
        <v>0</v>
      </c>
      <c r="CI1946" s="76"/>
      <c r="CJ1946" s="76">
        <f>+CI1946*26000</f>
        <v>0</v>
      </c>
      <c r="CK1946" s="76"/>
      <c r="CL1946" s="76"/>
      <c r="CM1946" s="76"/>
      <c r="CN1946" s="76">
        <f>+CM1946*22000</f>
        <v>0</v>
      </c>
      <c r="CO1946" s="76"/>
      <c r="CP1946" s="76">
        <f>+CO1946*46000</f>
        <v>0</v>
      </c>
      <c r="CQ1946" s="76"/>
      <c r="CR1946" s="76">
        <f>+CQ1946*49000</f>
        <v>0</v>
      </c>
      <c r="CS1946" s="76"/>
      <c r="CT1946" s="76"/>
      <c r="CU1946" s="56">
        <f>AN1946+AP1946+AR1946+AT1946+AV1946+AX1946+AZ1946+BB1946+BD1946+BF1946+BH1946+BJ1946+BL1946+BN1946+BP1946+BR1946+BT1946+BV1946+BX1946+BZ1946+CB1946+CD1946+CF1946+CH1946+CJ1946+CL1946+CN1946+CP1946+CR1946+CT1946</f>
        <v>0</v>
      </c>
      <c r="CV1946" s="76"/>
      <c r="CW1946" s="76">
        <f>+CV1946*1100</f>
        <v>0</v>
      </c>
      <c r="CX1946" s="76"/>
      <c r="CY1946" s="76">
        <f>+CX1946*106250</f>
        <v>0</v>
      </c>
      <c r="CZ1946" s="76"/>
      <c r="DA1946" s="76">
        <f>+CZ1946*34500</f>
        <v>0</v>
      </c>
      <c r="DB1946" s="76"/>
      <c r="DC1946" s="76">
        <f>+DB1946*25000</f>
        <v>0</v>
      </c>
      <c r="DD1946" s="219"/>
      <c r="DE1946" s="219"/>
      <c r="DF1946" s="166"/>
      <c r="DG1946" s="116"/>
      <c r="DH1946" s="117"/>
      <c r="DI1946" s="24"/>
      <c r="DJ1946" s="24"/>
      <c r="DK1946" s="24"/>
      <c r="DL1946" s="24"/>
      <c r="DM1946" s="24"/>
      <c r="DN1946" s="24"/>
      <c r="DO1946" s="24"/>
      <c r="DP1946" s="24"/>
      <c r="DQ1946" s="24"/>
      <c r="DR1946" s="24"/>
      <c r="DS1946" s="24"/>
      <c r="DT1946" s="24"/>
      <c r="DU1946" s="24"/>
    </row>
    <row r="1947" spans="1:125" s="8" customFormat="1" ht="120" x14ac:dyDescent="0.2">
      <c r="A1947" s="353">
        <v>41421</v>
      </c>
      <c r="B1947" s="225" t="s">
        <v>2811</v>
      </c>
      <c r="C1947" s="227" t="s">
        <v>2130</v>
      </c>
      <c r="D1947" s="227" t="s">
        <v>3205</v>
      </c>
      <c r="E1947" s="75" t="str">
        <f>VLOOKUP(B1947&amp;C1947,Divipola!$C$2:$F$1138,4,FALSE)</f>
        <v>52612</v>
      </c>
      <c r="F1947" s="87"/>
      <c r="G1947" s="87"/>
      <c r="H1947" s="87"/>
      <c r="I1947" s="87">
        <v>65</v>
      </c>
      <c r="J1947" s="87">
        <v>13</v>
      </c>
      <c r="K1947" s="87"/>
      <c r="L1947" s="87">
        <v>13</v>
      </c>
      <c r="M1947" s="87">
        <v>1</v>
      </c>
      <c r="N1947" s="87"/>
      <c r="O1947" s="87"/>
      <c r="P1947" s="87"/>
      <c r="Q1947" s="87"/>
      <c r="R1947" s="87"/>
      <c r="S1947" s="87"/>
      <c r="T1947" s="87"/>
      <c r="U1947" s="88"/>
      <c r="V1947" s="89"/>
      <c r="W1947" s="96">
        <v>0</v>
      </c>
      <c r="X1947" s="71">
        <f>CU1947</f>
        <v>0</v>
      </c>
      <c r="Y1947" s="71">
        <f>CY1947</f>
        <v>0</v>
      </c>
      <c r="Z1947" s="71">
        <f>DA1947+DC1947+DE1947</f>
        <v>0</v>
      </c>
      <c r="AA1947" s="71">
        <f>CW1947</f>
        <v>0</v>
      </c>
      <c r="AB1947" s="71"/>
      <c r="AC1947" s="71">
        <v>0</v>
      </c>
      <c r="AD1947" s="71">
        <f>W1947+X1947+Y1947+Z1947+AA1947+AB1947+AC1947</f>
        <v>0</v>
      </c>
      <c r="AE1947" s="72">
        <v>0</v>
      </c>
      <c r="AF1947" s="5"/>
      <c r="AG1947" s="6"/>
      <c r="AH1947" s="27" t="s">
        <v>3392</v>
      </c>
      <c r="AI1947" s="44" t="s">
        <v>3393</v>
      </c>
      <c r="AJ1947" s="26"/>
      <c r="AK1947" s="5"/>
      <c r="AL1947" s="82" t="s">
        <v>4781</v>
      </c>
      <c r="AM1947" s="76"/>
      <c r="AN1947" s="76"/>
      <c r="AO1947" s="76"/>
      <c r="AP1947" s="76"/>
      <c r="AQ1947" s="76"/>
      <c r="AR1947" s="76"/>
      <c r="AS1947" s="76"/>
      <c r="AT1947" s="76"/>
      <c r="AU1947" s="76"/>
      <c r="AV1947" s="76"/>
      <c r="AW1947" s="76"/>
      <c r="AX1947" s="76">
        <f>+AW1947*600000</f>
        <v>0</v>
      </c>
      <c r="AY1947" s="76"/>
      <c r="AZ1947" s="76">
        <f>+AY1947*70000</f>
        <v>0</v>
      </c>
      <c r="BA1947" s="76"/>
      <c r="BB1947" s="76"/>
      <c r="BC1947" s="76"/>
      <c r="BD1947" s="76">
        <f>+BC1947*30000</f>
        <v>0</v>
      </c>
      <c r="BE1947" s="76"/>
      <c r="BF1947" s="76"/>
      <c r="BG1947" s="76"/>
      <c r="BH1947" s="76"/>
      <c r="BI1947" s="76"/>
      <c r="BJ1947" s="76"/>
      <c r="BK1947" s="76"/>
      <c r="BL1947" s="76">
        <f>+BK1947*31500</f>
        <v>0</v>
      </c>
      <c r="BM1947" s="76"/>
      <c r="BN1947" s="76"/>
      <c r="BO1947" s="76"/>
      <c r="BP1947" s="76"/>
      <c r="BQ1947" s="76"/>
      <c r="BR1947" s="76"/>
      <c r="BS1947" s="76"/>
      <c r="BT1947" s="76"/>
      <c r="BU1947" s="76"/>
      <c r="BV1947" s="76"/>
      <c r="BW1947" s="76"/>
      <c r="BX1947" s="76"/>
      <c r="BY1947" s="76"/>
      <c r="BZ1947" s="76"/>
      <c r="CA1947" s="76"/>
      <c r="CB1947" s="76"/>
      <c r="CC1947" s="76"/>
      <c r="CD1947" s="76"/>
      <c r="CE1947" s="76"/>
      <c r="CF1947" s="76">
        <f>+CE1947*28000</f>
        <v>0</v>
      </c>
      <c r="CG1947" s="76"/>
      <c r="CH1947" s="76">
        <f>+CG1947*22500</f>
        <v>0</v>
      </c>
      <c r="CI1947" s="76"/>
      <c r="CJ1947" s="76">
        <f>+CI1947*26000</f>
        <v>0</v>
      </c>
      <c r="CK1947" s="76"/>
      <c r="CL1947" s="76"/>
      <c r="CM1947" s="76"/>
      <c r="CN1947" s="76">
        <f>+CM1947*22000</f>
        <v>0</v>
      </c>
      <c r="CO1947" s="76"/>
      <c r="CP1947" s="76">
        <f>+CO1947*46000</f>
        <v>0</v>
      </c>
      <c r="CQ1947" s="76"/>
      <c r="CR1947" s="76">
        <f>+CQ1947*49000</f>
        <v>0</v>
      </c>
      <c r="CS1947" s="76"/>
      <c r="CT1947" s="76"/>
      <c r="CU1947" s="56">
        <f>AN1947+AP1947+AR1947+AT1947+AV1947+AX1947+AZ1947+BB1947+BD1947+BF1947+BH1947+BJ1947+BL1947+BN1947+BP1947+BR1947+BT1947+BV1947+BX1947+BZ1947+CB1947+CD1947+CF1947+CH1947+CJ1947+CL1947+CN1947+CP1947+CR1947+CT1947</f>
        <v>0</v>
      </c>
      <c r="CV1947" s="76"/>
      <c r="CW1947" s="76">
        <f>+CV1947*1100</f>
        <v>0</v>
      </c>
      <c r="CX1947" s="76"/>
      <c r="CY1947" s="76">
        <f>+CX1947*106250</f>
        <v>0</v>
      </c>
      <c r="CZ1947" s="76"/>
      <c r="DA1947" s="76">
        <f>+CZ1947*34500</f>
        <v>0</v>
      </c>
      <c r="DB1947" s="76"/>
      <c r="DC1947" s="76">
        <f>+DB1947*25000</f>
        <v>0</v>
      </c>
      <c r="DD1947" s="219"/>
      <c r="DE1947" s="219"/>
      <c r="DF1947" s="166"/>
      <c r="DG1947" s="116"/>
      <c r="DH1947" s="117"/>
      <c r="DI1947" s="24"/>
      <c r="DJ1947" s="24"/>
      <c r="DK1947" s="24"/>
      <c r="DL1947" s="24"/>
      <c r="DM1947" s="24"/>
      <c r="DN1947" s="24"/>
      <c r="DO1947" s="24"/>
      <c r="DP1947" s="24"/>
      <c r="DQ1947" s="24"/>
      <c r="DR1947" s="24"/>
      <c r="DS1947" s="24"/>
      <c r="DT1947" s="24"/>
      <c r="DU1947" s="24"/>
    </row>
    <row r="1948" spans="1:125" s="8" customFormat="1" ht="24" x14ac:dyDescent="0.2">
      <c r="A1948" s="77">
        <v>41421</v>
      </c>
      <c r="B1948" s="225" t="s">
        <v>2880</v>
      </c>
      <c r="C1948" s="227" t="s">
        <v>1354</v>
      </c>
      <c r="D1948" s="227" t="s">
        <v>2859</v>
      </c>
      <c r="E1948" s="75" t="str">
        <f>VLOOKUP(B1948&amp;C1948,Divipola!$C$2:$F$1138,4,FALSE)</f>
        <v>54810</v>
      </c>
      <c r="F1948" s="87"/>
      <c r="G1948" s="87"/>
      <c r="H1948" s="87"/>
      <c r="I1948" s="87">
        <v>5</v>
      </c>
      <c r="J1948" s="87">
        <v>1</v>
      </c>
      <c r="K1948" s="87">
        <v>1</v>
      </c>
      <c r="L1948" s="87"/>
      <c r="M1948" s="87"/>
      <c r="N1948" s="87"/>
      <c r="O1948" s="87"/>
      <c r="P1948" s="87"/>
      <c r="Q1948" s="87"/>
      <c r="R1948" s="87"/>
      <c r="S1948" s="87"/>
      <c r="T1948" s="87"/>
      <c r="U1948" s="88"/>
      <c r="V1948" s="89"/>
      <c r="W1948" s="96">
        <v>0</v>
      </c>
      <c r="X1948" s="71">
        <f>CU1948</f>
        <v>0</v>
      </c>
      <c r="Y1948" s="71">
        <f>CY1948</f>
        <v>0</v>
      </c>
      <c r="Z1948" s="71">
        <f>DA1948+DC1948+DE1948</f>
        <v>0</v>
      </c>
      <c r="AA1948" s="71">
        <f>CW1948</f>
        <v>0</v>
      </c>
      <c r="AB1948" s="71"/>
      <c r="AC1948" s="71">
        <v>0</v>
      </c>
      <c r="AD1948" s="71">
        <f>W1948+X1948+Y1948+Z1948+AA1948+AB1948+AC1948</f>
        <v>0</v>
      </c>
      <c r="AE1948" s="72">
        <v>0</v>
      </c>
      <c r="AF1948" s="5"/>
      <c r="AG1948" s="6"/>
      <c r="AH1948" s="27" t="s">
        <v>3392</v>
      </c>
      <c r="AI1948" s="44" t="s">
        <v>3393</v>
      </c>
      <c r="AJ1948" s="26"/>
      <c r="AK1948" s="5"/>
      <c r="AL1948" s="82" t="s">
        <v>4764</v>
      </c>
      <c r="AM1948" s="76"/>
      <c r="AN1948" s="76"/>
      <c r="AO1948" s="76"/>
      <c r="AP1948" s="76"/>
      <c r="AQ1948" s="76"/>
      <c r="AR1948" s="76"/>
      <c r="AS1948" s="76"/>
      <c r="AT1948" s="76"/>
      <c r="AU1948" s="76"/>
      <c r="AV1948" s="76"/>
      <c r="AW1948" s="76"/>
      <c r="AX1948" s="76">
        <f>+AW1948*600000</f>
        <v>0</v>
      </c>
      <c r="AY1948" s="76"/>
      <c r="AZ1948" s="76">
        <f>+AY1948*70000</f>
        <v>0</v>
      </c>
      <c r="BA1948" s="76"/>
      <c r="BB1948" s="76"/>
      <c r="BC1948" s="76"/>
      <c r="BD1948" s="76">
        <f>+BC1948*30000</f>
        <v>0</v>
      </c>
      <c r="BE1948" s="76"/>
      <c r="BF1948" s="76"/>
      <c r="BG1948" s="76"/>
      <c r="BH1948" s="76"/>
      <c r="BI1948" s="76"/>
      <c r="BJ1948" s="76"/>
      <c r="BK1948" s="76"/>
      <c r="BL1948" s="76">
        <f>+BK1948*31500</f>
        <v>0</v>
      </c>
      <c r="BM1948" s="76"/>
      <c r="BN1948" s="76"/>
      <c r="BO1948" s="76"/>
      <c r="BP1948" s="76"/>
      <c r="BQ1948" s="76"/>
      <c r="BR1948" s="76"/>
      <c r="BS1948" s="76"/>
      <c r="BT1948" s="76"/>
      <c r="BU1948" s="76"/>
      <c r="BV1948" s="76"/>
      <c r="BW1948" s="76"/>
      <c r="BX1948" s="76"/>
      <c r="BY1948" s="76"/>
      <c r="BZ1948" s="76"/>
      <c r="CA1948" s="76"/>
      <c r="CB1948" s="76"/>
      <c r="CC1948" s="76"/>
      <c r="CD1948" s="76"/>
      <c r="CE1948" s="76"/>
      <c r="CF1948" s="76">
        <f>+CE1948*28000</f>
        <v>0</v>
      </c>
      <c r="CG1948" s="76"/>
      <c r="CH1948" s="76">
        <f>+CG1948*22500</f>
        <v>0</v>
      </c>
      <c r="CI1948" s="76"/>
      <c r="CJ1948" s="76">
        <f>+CI1948*26000</f>
        <v>0</v>
      </c>
      <c r="CK1948" s="76"/>
      <c r="CL1948" s="76"/>
      <c r="CM1948" s="76"/>
      <c r="CN1948" s="76">
        <f>+CM1948*22000</f>
        <v>0</v>
      </c>
      <c r="CO1948" s="76"/>
      <c r="CP1948" s="76">
        <f>+CO1948*46000</f>
        <v>0</v>
      </c>
      <c r="CQ1948" s="76"/>
      <c r="CR1948" s="76">
        <f>+CQ1948*49000</f>
        <v>0</v>
      </c>
      <c r="CS1948" s="76"/>
      <c r="CT1948" s="76"/>
      <c r="CU1948" s="56">
        <f>AN1948+AP1948+AR1948+AT1948+AV1948+AX1948+AZ1948+BB1948+BD1948+BF1948+BH1948+BJ1948+BL1948+BN1948+BP1948+BR1948+BT1948+BV1948+BX1948+BZ1948+CB1948+CD1948+CF1948+CH1948+CJ1948+CL1948+CN1948+CP1948+CR1948+CT1948</f>
        <v>0</v>
      </c>
      <c r="CV1948" s="76"/>
      <c r="CW1948" s="76">
        <f>+CV1948*1100</f>
        <v>0</v>
      </c>
      <c r="CX1948" s="76"/>
      <c r="CY1948" s="76">
        <f>+CX1948*106250</f>
        <v>0</v>
      </c>
      <c r="CZ1948" s="76"/>
      <c r="DA1948" s="76">
        <f>+CZ1948*34500</f>
        <v>0</v>
      </c>
      <c r="DB1948" s="76"/>
      <c r="DC1948" s="76">
        <f>+DB1948*25000</f>
        <v>0</v>
      </c>
      <c r="DD1948" s="219"/>
      <c r="DE1948" s="219"/>
      <c r="DF1948" s="166"/>
      <c r="DG1948" s="116"/>
      <c r="DH1948" s="117"/>
      <c r="DI1948" s="24"/>
      <c r="DJ1948" s="24"/>
      <c r="DK1948" s="24"/>
      <c r="DL1948" s="24"/>
      <c r="DM1948" s="24"/>
      <c r="DN1948" s="24"/>
      <c r="DO1948" s="24"/>
      <c r="DP1948" s="24"/>
      <c r="DQ1948" s="24"/>
      <c r="DR1948" s="24"/>
      <c r="DS1948" s="24"/>
      <c r="DT1948" s="24"/>
      <c r="DU1948" s="24"/>
    </row>
    <row r="1949" spans="1:125" s="8" customFormat="1" ht="108" x14ac:dyDescent="0.2">
      <c r="A1949" s="353">
        <v>41421</v>
      </c>
      <c r="B1949" s="352" t="s">
        <v>3131</v>
      </c>
      <c r="C1949" s="354" t="s">
        <v>11</v>
      </c>
      <c r="D1949" s="354" t="s">
        <v>2882</v>
      </c>
      <c r="E1949" s="75" t="str">
        <f>VLOOKUP(B1949&amp;C1949,Divipola!$C$2:$F$1138,4,FALSE)</f>
        <v>86573</v>
      </c>
      <c r="F1949" s="87"/>
      <c r="G1949" s="87">
        <v>1</v>
      </c>
      <c r="H1949" s="87"/>
      <c r="I1949" s="87">
        <f>154+655+97</f>
        <v>906</v>
      </c>
      <c r="J1949" s="87">
        <v>159</v>
      </c>
      <c r="K1949" s="87">
        <v>1</v>
      </c>
      <c r="L1949" s="87">
        <v>158</v>
      </c>
      <c r="M1949" s="87"/>
      <c r="N1949" s="87"/>
      <c r="O1949" s="87"/>
      <c r="P1949" s="87"/>
      <c r="Q1949" s="87"/>
      <c r="R1949" s="87"/>
      <c r="S1949" s="87"/>
      <c r="T1949" s="87"/>
      <c r="U1949" s="88"/>
      <c r="V1949" s="89"/>
      <c r="W1949" s="96">
        <v>0</v>
      </c>
      <c r="X1949" s="71">
        <f>CU1949</f>
        <v>24839509.199999999</v>
      </c>
      <c r="Y1949" s="71">
        <f>CY1949</f>
        <v>17882388.400000002</v>
      </c>
      <c r="Z1949" s="71">
        <f>DA1949+DC1949+DE1949</f>
        <v>0</v>
      </c>
      <c r="AA1949" s="71">
        <f>CW1949</f>
        <v>0</v>
      </c>
      <c r="AB1949" s="71"/>
      <c r="AC1949" s="71">
        <v>0</v>
      </c>
      <c r="AD1949" s="71">
        <f>W1949+X1949+Y1949+Z1949+AA1949+AB1949+AC1949</f>
        <v>42721897.600000001</v>
      </c>
      <c r="AE1949" s="72">
        <v>0</v>
      </c>
      <c r="AF1949" s="5"/>
      <c r="AG1949" s="6"/>
      <c r="AH1949" s="27"/>
      <c r="AI1949" s="44"/>
      <c r="AJ1949" s="26"/>
      <c r="AK1949" s="5"/>
      <c r="AL1949" s="82" t="s">
        <v>5182</v>
      </c>
      <c r="AM1949" s="76"/>
      <c r="AN1949" s="76"/>
      <c r="AO1949" s="76"/>
      <c r="AP1949" s="76"/>
      <c r="AQ1949" s="76"/>
      <c r="AR1949" s="76"/>
      <c r="AS1949" s="76"/>
      <c r="AT1949" s="76"/>
      <c r="AU1949" s="76"/>
      <c r="AV1949" s="76"/>
      <c r="AW1949" s="76"/>
      <c r="AX1949" s="76">
        <f>+AW1949*600000</f>
        <v>0</v>
      </c>
      <c r="AY1949" s="76"/>
      <c r="AZ1949" s="76">
        <f>+AY1949*70000</f>
        <v>0</v>
      </c>
      <c r="BA1949" s="76"/>
      <c r="BB1949" s="76"/>
      <c r="BC1949" s="76"/>
      <c r="BD1949" s="76">
        <f>+BC1949*30000</f>
        <v>0</v>
      </c>
      <c r="BE1949" s="76"/>
      <c r="BF1949" s="76"/>
      <c r="BG1949" s="76"/>
      <c r="BH1949" s="76"/>
      <c r="BI1949" s="76"/>
      <c r="BJ1949" s="76"/>
      <c r="BK1949" s="76"/>
      <c r="BL1949" s="76">
        <f>+BK1949*31500</f>
        <v>0</v>
      </c>
      <c r="BM1949" s="76"/>
      <c r="BN1949" s="76"/>
      <c r="BO1949" s="76"/>
      <c r="BP1949" s="76"/>
      <c r="BQ1949" s="76"/>
      <c r="BR1949" s="76"/>
      <c r="BS1949" s="76"/>
      <c r="BT1949" s="76"/>
      <c r="BU1949" s="76"/>
      <c r="BV1949" s="76"/>
      <c r="BW1949" s="76"/>
      <c r="BX1949" s="76"/>
      <c r="BY1949" s="76"/>
      <c r="BZ1949" s="76"/>
      <c r="CA1949" s="76"/>
      <c r="CB1949" s="76"/>
      <c r="CC1949" s="76"/>
      <c r="CD1949" s="76"/>
      <c r="CE1949" s="76"/>
      <c r="CF1949" s="76">
        <f>+CE1949*28000</f>
        <v>0</v>
      </c>
      <c r="CG1949" s="76"/>
      <c r="CH1949" s="76">
        <f>+CG1949*22500</f>
        <v>0</v>
      </c>
      <c r="CI1949" s="76"/>
      <c r="CJ1949" s="76">
        <f>+CI1949*26000</f>
        <v>0</v>
      </c>
      <c r="CK1949" s="76"/>
      <c r="CL1949" s="76"/>
      <c r="CM1949" s="86">
        <v>650</v>
      </c>
      <c r="CN1949" s="86">
        <f>+CM1949*25399.36</f>
        <v>16509584</v>
      </c>
      <c r="CO1949" s="76"/>
      <c r="CP1949" s="76">
        <f>+CO1949*46000</f>
        <v>0</v>
      </c>
      <c r="CQ1949" s="86">
        <v>170</v>
      </c>
      <c r="CR1949" s="86">
        <f>+CQ1949*48999.56</f>
        <v>8329925.1999999993</v>
      </c>
      <c r="CS1949" s="76"/>
      <c r="CT1949" s="76"/>
      <c r="CU1949" s="56">
        <f>AN1949+AP1949+AR1949+AT1949+AV1949+AX1949+AZ1949+BB1949+BD1949+BF1949+BH1949+BJ1949+BL1949+BN1949+BP1949+BR1949+BT1949+BV1949+BX1949+BZ1949+CB1949+CD1949+CF1949+CH1949+CJ1949+CL1949+CN1949+CP1949+CR1949+CT1949</f>
        <v>24839509.199999999</v>
      </c>
      <c r="CV1949" s="76"/>
      <c r="CW1949" s="76">
        <f>+CV1949*1100</f>
        <v>0</v>
      </c>
      <c r="CX1949" s="86">
        <v>170</v>
      </c>
      <c r="CY1949" s="86">
        <f>+CX1949*105190.52</f>
        <v>17882388.400000002</v>
      </c>
      <c r="CZ1949" s="76"/>
      <c r="DA1949" s="76">
        <f>+CZ1949*34500</f>
        <v>0</v>
      </c>
      <c r="DB1949" s="76"/>
      <c r="DC1949" s="76">
        <f>+DB1949*25000</f>
        <v>0</v>
      </c>
      <c r="DD1949" s="219"/>
      <c r="DE1949" s="219"/>
      <c r="DF1949" s="166"/>
      <c r="DG1949" s="134" t="s">
        <v>6036</v>
      </c>
      <c r="DH1949" s="117"/>
      <c r="DI1949" s="24"/>
      <c r="DJ1949" s="24"/>
      <c r="DK1949" s="24"/>
      <c r="DL1949" s="24"/>
      <c r="DM1949" s="24"/>
      <c r="DN1949" s="24"/>
      <c r="DO1949" s="24"/>
      <c r="DP1949" s="24"/>
      <c r="DQ1949" s="24"/>
      <c r="DR1949" s="24"/>
      <c r="DS1949" s="24"/>
      <c r="DT1949" s="24"/>
      <c r="DU1949" s="24"/>
    </row>
    <row r="1950" spans="1:125" s="8" customFormat="1" ht="36" x14ac:dyDescent="0.2">
      <c r="A1950" s="226">
        <v>41421</v>
      </c>
      <c r="B1950" s="225" t="s">
        <v>2860</v>
      </c>
      <c r="C1950" s="227" t="s">
        <v>2718</v>
      </c>
      <c r="D1950" s="227" t="s">
        <v>2882</v>
      </c>
      <c r="E1950" s="75" t="str">
        <f>VLOOKUP(B1950&amp;C1950,Divipola!$C$2:$F$1138,4,FALSE)</f>
        <v>63212</v>
      </c>
      <c r="F1950" s="87"/>
      <c r="G1950" s="87"/>
      <c r="H1950" s="87"/>
      <c r="I1950" s="87">
        <v>10</v>
      </c>
      <c r="J1950" s="87">
        <v>2</v>
      </c>
      <c r="K1950" s="87"/>
      <c r="L1950" s="87">
        <v>2</v>
      </c>
      <c r="M1950" s="87"/>
      <c r="N1950" s="87"/>
      <c r="O1950" s="87"/>
      <c r="P1950" s="87"/>
      <c r="Q1950" s="87"/>
      <c r="R1950" s="87"/>
      <c r="S1950" s="87"/>
      <c r="T1950" s="87"/>
      <c r="U1950" s="88"/>
      <c r="V1950" s="89"/>
      <c r="W1950" s="96">
        <v>0</v>
      </c>
      <c r="X1950" s="71">
        <f>CU1950</f>
        <v>0</v>
      </c>
      <c r="Y1950" s="71">
        <f>CY1950</f>
        <v>0</v>
      </c>
      <c r="Z1950" s="71">
        <f>DA1950+DC1950+DE1950</f>
        <v>0</v>
      </c>
      <c r="AA1950" s="71">
        <f>CW1950</f>
        <v>0</v>
      </c>
      <c r="AB1950" s="71"/>
      <c r="AC1950" s="71">
        <v>0</v>
      </c>
      <c r="AD1950" s="71">
        <f>W1950+X1950+Y1950+Z1950+AA1950+AB1950+AC1950</f>
        <v>0</v>
      </c>
      <c r="AE1950" s="72">
        <v>0</v>
      </c>
      <c r="AF1950" s="5"/>
      <c r="AG1950" s="6"/>
      <c r="AH1950" s="27" t="s">
        <v>3392</v>
      </c>
      <c r="AI1950" s="44" t="s">
        <v>3393</v>
      </c>
      <c r="AJ1950" s="26"/>
      <c r="AK1950" s="5"/>
      <c r="AL1950" s="82" t="s">
        <v>4749</v>
      </c>
      <c r="AM1950" s="76"/>
      <c r="AN1950" s="76"/>
      <c r="AO1950" s="76"/>
      <c r="AP1950" s="76"/>
      <c r="AQ1950" s="76"/>
      <c r="AR1950" s="76"/>
      <c r="AS1950" s="76"/>
      <c r="AT1950" s="76"/>
      <c r="AU1950" s="76"/>
      <c r="AV1950" s="76"/>
      <c r="AW1950" s="76"/>
      <c r="AX1950" s="76">
        <f>+AW1950*600000</f>
        <v>0</v>
      </c>
      <c r="AY1950" s="76"/>
      <c r="AZ1950" s="76">
        <f>+AY1950*70000</f>
        <v>0</v>
      </c>
      <c r="BA1950" s="76"/>
      <c r="BB1950" s="76"/>
      <c r="BC1950" s="76"/>
      <c r="BD1950" s="76">
        <f>+BC1950*30000</f>
        <v>0</v>
      </c>
      <c r="BE1950" s="76"/>
      <c r="BF1950" s="76"/>
      <c r="BG1950" s="76"/>
      <c r="BH1950" s="76"/>
      <c r="BI1950" s="76"/>
      <c r="BJ1950" s="76"/>
      <c r="BK1950" s="76"/>
      <c r="BL1950" s="76">
        <f>+BK1950*31500</f>
        <v>0</v>
      </c>
      <c r="BM1950" s="76"/>
      <c r="BN1950" s="76"/>
      <c r="BO1950" s="76"/>
      <c r="BP1950" s="76"/>
      <c r="BQ1950" s="76"/>
      <c r="BR1950" s="76"/>
      <c r="BS1950" s="76"/>
      <c r="BT1950" s="76"/>
      <c r="BU1950" s="76"/>
      <c r="BV1950" s="76"/>
      <c r="BW1950" s="76"/>
      <c r="BX1950" s="76"/>
      <c r="BY1950" s="76"/>
      <c r="BZ1950" s="76"/>
      <c r="CA1950" s="76"/>
      <c r="CB1950" s="76"/>
      <c r="CC1950" s="76"/>
      <c r="CD1950" s="76"/>
      <c r="CE1950" s="76"/>
      <c r="CF1950" s="76">
        <f>+CE1950*28000</f>
        <v>0</v>
      </c>
      <c r="CG1950" s="76"/>
      <c r="CH1950" s="76">
        <f>+CG1950*22500</f>
        <v>0</v>
      </c>
      <c r="CI1950" s="76"/>
      <c r="CJ1950" s="76">
        <f>+CI1950*26000</f>
        <v>0</v>
      </c>
      <c r="CK1950" s="76"/>
      <c r="CL1950" s="76"/>
      <c r="CM1950" s="76"/>
      <c r="CN1950" s="76">
        <f>+CM1950*22000</f>
        <v>0</v>
      </c>
      <c r="CO1950" s="76"/>
      <c r="CP1950" s="76">
        <f>+CO1950*46000</f>
        <v>0</v>
      </c>
      <c r="CQ1950" s="76"/>
      <c r="CR1950" s="76">
        <f>+CQ1950*49000</f>
        <v>0</v>
      </c>
      <c r="CS1950" s="76"/>
      <c r="CT1950" s="76"/>
      <c r="CU1950" s="56">
        <f>AN1950+AP1950+AR1950+AT1950+AV1950+AX1950+AZ1950+BB1950+BD1950+BF1950+BH1950+BJ1950+BL1950+BN1950+BP1950+BR1950+BT1950+BV1950+BX1950+BZ1950+CB1950+CD1950+CF1950+CH1950+CJ1950+CL1950+CN1950+CP1950+CR1950+CT1950</f>
        <v>0</v>
      </c>
      <c r="CV1950" s="76"/>
      <c r="CW1950" s="76">
        <f>+CV1950*1100</f>
        <v>0</v>
      </c>
      <c r="CX1950" s="76"/>
      <c r="CY1950" s="76">
        <f>+CX1950*106250</f>
        <v>0</v>
      </c>
      <c r="CZ1950" s="76"/>
      <c r="DA1950" s="76">
        <f>+CZ1950*34500</f>
        <v>0</v>
      </c>
      <c r="DB1950" s="76"/>
      <c r="DC1950" s="76">
        <f>+DB1950*25000</f>
        <v>0</v>
      </c>
      <c r="DD1950" s="219"/>
      <c r="DE1950" s="219"/>
      <c r="DF1950" s="166"/>
      <c r="DG1950" s="116"/>
      <c r="DH1950" s="117"/>
      <c r="DI1950" s="24"/>
      <c r="DJ1950" s="24"/>
      <c r="DK1950" s="24"/>
      <c r="DL1950" s="24"/>
      <c r="DM1950" s="24"/>
      <c r="DN1950" s="24"/>
      <c r="DO1950" s="24"/>
      <c r="DP1950" s="24"/>
      <c r="DQ1950" s="24"/>
      <c r="DR1950" s="24"/>
      <c r="DS1950" s="24"/>
      <c r="DT1950" s="24"/>
      <c r="DU1950" s="24"/>
    </row>
    <row r="1951" spans="1:125" s="8" customFormat="1" ht="60" x14ac:dyDescent="0.2">
      <c r="A1951" s="353">
        <v>41421</v>
      </c>
      <c r="B1951" s="352" t="s">
        <v>2847</v>
      </c>
      <c r="C1951" s="354" t="s">
        <v>362</v>
      </c>
      <c r="D1951" s="354" t="s">
        <v>4391</v>
      </c>
      <c r="E1951" s="75" t="str">
        <f>VLOOKUP(B1951&amp;C1951,Divipola!$C$2:$F$1138,4,FALSE)</f>
        <v>68322</v>
      </c>
      <c r="F1951" s="87"/>
      <c r="G1951" s="87"/>
      <c r="H1951" s="87">
        <v>1</v>
      </c>
      <c r="I1951" s="87"/>
      <c r="J1951" s="87"/>
      <c r="K1951" s="87"/>
      <c r="L1951" s="87"/>
      <c r="M1951" s="87"/>
      <c r="N1951" s="87"/>
      <c r="O1951" s="87"/>
      <c r="P1951" s="87"/>
      <c r="Q1951" s="87"/>
      <c r="R1951" s="87"/>
      <c r="S1951" s="87"/>
      <c r="T1951" s="87"/>
      <c r="U1951" s="88"/>
      <c r="V1951" s="89"/>
      <c r="W1951" s="96">
        <v>0</v>
      </c>
      <c r="X1951" s="71">
        <f>CU1951</f>
        <v>0</v>
      </c>
      <c r="Y1951" s="71">
        <f>CY1951</f>
        <v>0</v>
      </c>
      <c r="Z1951" s="71">
        <f>DA1951+DC1951+DE1951</f>
        <v>0</v>
      </c>
      <c r="AA1951" s="71">
        <f>CW1951</f>
        <v>0</v>
      </c>
      <c r="AB1951" s="71"/>
      <c r="AC1951" s="71">
        <v>0</v>
      </c>
      <c r="AD1951" s="71">
        <f>W1951+X1951+Y1951+Z1951+AA1951+AB1951+AC1951</f>
        <v>0</v>
      </c>
      <c r="AE1951" s="72">
        <v>0</v>
      </c>
      <c r="AF1951" s="5"/>
      <c r="AG1951" s="6"/>
      <c r="AH1951" s="27" t="s">
        <v>3392</v>
      </c>
      <c r="AI1951" s="44" t="s">
        <v>3393</v>
      </c>
      <c r="AJ1951" s="26"/>
      <c r="AK1951" s="5"/>
      <c r="AL1951" s="82" t="s">
        <v>4751</v>
      </c>
      <c r="AM1951" s="76"/>
      <c r="AN1951" s="76"/>
      <c r="AO1951" s="76"/>
      <c r="AP1951" s="76"/>
      <c r="AQ1951" s="76"/>
      <c r="AR1951" s="76"/>
      <c r="AS1951" s="76"/>
      <c r="AT1951" s="76"/>
      <c r="AU1951" s="76"/>
      <c r="AV1951" s="76"/>
      <c r="AW1951" s="76"/>
      <c r="AX1951" s="76">
        <f>+AW1951*600000</f>
        <v>0</v>
      </c>
      <c r="AY1951" s="76"/>
      <c r="AZ1951" s="76">
        <f>+AY1951*70000</f>
        <v>0</v>
      </c>
      <c r="BA1951" s="76"/>
      <c r="BB1951" s="76"/>
      <c r="BC1951" s="76"/>
      <c r="BD1951" s="76">
        <f>+BC1951*30000</f>
        <v>0</v>
      </c>
      <c r="BE1951" s="76"/>
      <c r="BF1951" s="76"/>
      <c r="BG1951" s="76"/>
      <c r="BH1951" s="76"/>
      <c r="BI1951" s="76"/>
      <c r="BJ1951" s="76"/>
      <c r="BK1951" s="76"/>
      <c r="BL1951" s="76">
        <f>+BK1951*31500</f>
        <v>0</v>
      </c>
      <c r="BM1951" s="76"/>
      <c r="BN1951" s="76"/>
      <c r="BO1951" s="76"/>
      <c r="BP1951" s="76"/>
      <c r="BQ1951" s="76"/>
      <c r="BR1951" s="76"/>
      <c r="BS1951" s="76"/>
      <c r="BT1951" s="76"/>
      <c r="BU1951" s="76"/>
      <c r="BV1951" s="76"/>
      <c r="BW1951" s="76"/>
      <c r="BX1951" s="76"/>
      <c r="BY1951" s="76"/>
      <c r="BZ1951" s="76"/>
      <c r="CA1951" s="76"/>
      <c r="CB1951" s="76"/>
      <c r="CC1951" s="76"/>
      <c r="CD1951" s="76"/>
      <c r="CE1951" s="76"/>
      <c r="CF1951" s="76">
        <f>+CE1951*28000</f>
        <v>0</v>
      </c>
      <c r="CG1951" s="76"/>
      <c r="CH1951" s="76">
        <f>+CG1951*22500</f>
        <v>0</v>
      </c>
      <c r="CI1951" s="76"/>
      <c r="CJ1951" s="76">
        <f>+CI1951*26000</f>
        <v>0</v>
      </c>
      <c r="CK1951" s="76"/>
      <c r="CL1951" s="76"/>
      <c r="CM1951" s="76"/>
      <c r="CN1951" s="76">
        <f>+CM1951*22000</f>
        <v>0</v>
      </c>
      <c r="CO1951" s="76"/>
      <c r="CP1951" s="76">
        <f>+CO1951*46000</f>
        <v>0</v>
      </c>
      <c r="CQ1951" s="76"/>
      <c r="CR1951" s="76">
        <f>+CQ1951*49000</f>
        <v>0</v>
      </c>
      <c r="CS1951" s="76"/>
      <c r="CT1951" s="76"/>
      <c r="CU1951" s="56">
        <f>AN1951+AP1951+AR1951+AT1951+AV1951+AX1951+AZ1951+BB1951+BD1951+BF1951+BH1951+BJ1951+BL1951+BN1951+BP1951+BR1951+BT1951+BV1951+BX1951+BZ1951+CB1951+CD1951+CF1951+CH1951+CJ1951+CL1951+CN1951+CP1951+CR1951+CT1951</f>
        <v>0</v>
      </c>
      <c r="CV1951" s="76"/>
      <c r="CW1951" s="76">
        <f>+CV1951*1100</f>
        <v>0</v>
      </c>
      <c r="CX1951" s="76"/>
      <c r="CY1951" s="76">
        <f>+CX1951*106250</f>
        <v>0</v>
      </c>
      <c r="CZ1951" s="76"/>
      <c r="DA1951" s="76">
        <f>+CZ1951*34500</f>
        <v>0</v>
      </c>
      <c r="DB1951" s="76"/>
      <c r="DC1951" s="76">
        <f>+DB1951*25000</f>
        <v>0</v>
      </c>
      <c r="DD1951" s="219"/>
      <c r="DE1951" s="219"/>
      <c r="DF1951" s="166"/>
      <c r="DG1951" s="116"/>
      <c r="DH1951" s="117"/>
      <c r="DI1951" s="24"/>
      <c r="DJ1951" s="24"/>
      <c r="DK1951" s="24"/>
      <c r="DL1951" s="24"/>
      <c r="DM1951" s="24"/>
      <c r="DN1951" s="24"/>
      <c r="DO1951" s="24"/>
      <c r="DP1951" s="24"/>
      <c r="DQ1951" s="24"/>
      <c r="DR1951" s="24"/>
      <c r="DS1951" s="24"/>
      <c r="DT1951" s="24"/>
      <c r="DU1951" s="24"/>
    </row>
    <row r="1952" spans="1:125" s="8" customFormat="1" ht="36" x14ac:dyDescent="0.2">
      <c r="A1952" s="77">
        <v>41421</v>
      </c>
      <c r="B1952" s="60" t="s">
        <v>1326</v>
      </c>
      <c r="C1952" s="55" t="s">
        <v>1325</v>
      </c>
      <c r="D1952" s="55" t="s">
        <v>2882</v>
      </c>
      <c r="E1952" s="75" t="str">
        <f>VLOOKUP(B1952&amp;C1952,Divipola!$C$2:$F$1138,4,FALSE)</f>
        <v>70110</v>
      </c>
      <c r="F1952" s="87"/>
      <c r="G1952" s="87"/>
      <c r="H1952" s="87"/>
      <c r="I1952" s="87">
        <v>25</v>
      </c>
      <c r="J1952" s="87">
        <v>5</v>
      </c>
      <c r="K1952" s="87"/>
      <c r="L1952" s="87">
        <v>5</v>
      </c>
      <c r="M1952" s="87"/>
      <c r="N1952" s="87"/>
      <c r="O1952" s="87"/>
      <c r="P1952" s="87"/>
      <c r="Q1952" s="87"/>
      <c r="R1952" s="87"/>
      <c r="S1952" s="87"/>
      <c r="T1952" s="87"/>
      <c r="U1952" s="88"/>
      <c r="V1952" s="89"/>
      <c r="W1952" s="96">
        <v>0</v>
      </c>
      <c r="X1952" s="71">
        <f>CU1952</f>
        <v>0</v>
      </c>
      <c r="Y1952" s="71">
        <f>CY1952</f>
        <v>0</v>
      </c>
      <c r="Z1952" s="71">
        <f>DA1952+DC1952+DE1952</f>
        <v>0</v>
      </c>
      <c r="AA1952" s="71">
        <f>CW1952</f>
        <v>0</v>
      </c>
      <c r="AB1952" s="71"/>
      <c r="AC1952" s="71">
        <v>0</v>
      </c>
      <c r="AD1952" s="71">
        <f>W1952+X1952+Y1952+Z1952+AA1952+AB1952+AC1952</f>
        <v>0</v>
      </c>
      <c r="AE1952" s="72">
        <v>0</v>
      </c>
      <c r="AF1952" s="5"/>
      <c r="AG1952" s="6"/>
      <c r="AH1952" s="27" t="s">
        <v>3392</v>
      </c>
      <c r="AI1952" s="44" t="s">
        <v>3393</v>
      </c>
      <c r="AJ1952" s="26"/>
      <c r="AK1952" s="5"/>
      <c r="AL1952" s="82" t="s">
        <v>4762</v>
      </c>
      <c r="AM1952" s="76"/>
      <c r="AN1952" s="76"/>
      <c r="AO1952" s="76"/>
      <c r="AP1952" s="76"/>
      <c r="AQ1952" s="76"/>
      <c r="AR1952" s="76"/>
      <c r="AS1952" s="76"/>
      <c r="AT1952" s="76"/>
      <c r="AU1952" s="76"/>
      <c r="AV1952" s="76"/>
      <c r="AW1952" s="76"/>
      <c r="AX1952" s="76">
        <f>+AW1952*600000</f>
        <v>0</v>
      </c>
      <c r="AY1952" s="76"/>
      <c r="AZ1952" s="76">
        <f>+AY1952*70000</f>
        <v>0</v>
      </c>
      <c r="BA1952" s="76"/>
      <c r="BB1952" s="76"/>
      <c r="BC1952" s="76"/>
      <c r="BD1952" s="76">
        <f>+BC1952*30000</f>
        <v>0</v>
      </c>
      <c r="BE1952" s="76"/>
      <c r="BF1952" s="76"/>
      <c r="BG1952" s="76"/>
      <c r="BH1952" s="76"/>
      <c r="BI1952" s="76"/>
      <c r="BJ1952" s="76"/>
      <c r="BK1952" s="76"/>
      <c r="BL1952" s="76">
        <f>+BK1952*31500</f>
        <v>0</v>
      </c>
      <c r="BM1952" s="76"/>
      <c r="BN1952" s="76"/>
      <c r="BO1952" s="76"/>
      <c r="BP1952" s="76"/>
      <c r="BQ1952" s="76"/>
      <c r="BR1952" s="76"/>
      <c r="BS1952" s="76"/>
      <c r="BT1952" s="76"/>
      <c r="BU1952" s="76"/>
      <c r="BV1952" s="76"/>
      <c r="BW1952" s="76"/>
      <c r="BX1952" s="76"/>
      <c r="BY1952" s="76"/>
      <c r="BZ1952" s="76"/>
      <c r="CA1952" s="76"/>
      <c r="CB1952" s="76"/>
      <c r="CC1952" s="76"/>
      <c r="CD1952" s="76"/>
      <c r="CE1952" s="76"/>
      <c r="CF1952" s="76">
        <f>+CE1952*28000</f>
        <v>0</v>
      </c>
      <c r="CG1952" s="76"/>
      <c r="CH1952" s="76">
        <f>+CG1952*22500</f>
        <v>0</v>
      </c>
      <c r="CI1952" s="76"/>
      <c r="CJ1952" s="76">
        <f>+CI1952*26000</f>
        <v>0</v>
      </c>
      <c r="CK1952" s="76"/>
      <c r="CL1952" s="76"/>
      <c r="CM1952" s="76"/>
      <c r="CN1952" s="76">
        <f>+CM1952*22000</f>
        <v>0</v>
      </c>
      <c r="CO1952" s="76"/>
      <c r="CP1952" s="76">
        <f>+CO1952*46000</f>
        <v>0</v>
      </c>
      <c r="CQ1952" s="76"/>
      <c r="CR1952" s="76">
        <f>+CQ1952*49000</f>
        <v>0</v>
      </c>
      <c r="CS1952" s="76"/>
      <c r="CT1952" s="76"/>
      <c r="CU1952" s="56">
        <f>AN1952+AP1952+AR1952+AT1952+AV1952+AX1952+AZ1952+BB1952+BD1952+BF1952+BH1952+BJ1952+BL1952+BN1952+BP1952+BR1952+BT1952+BV1952+BX1952+BZ1952+CB1952+CD1952+CF1952+CH1952+CJ1952+CL1952+CN1952+CP1952+CR1952+CT1952</f>
        <v>0</v>
      </c>
      <c r="CV1952" s="76"/>
      <c r="CW1952" s="76">
        <f>+CV1952*1100</f>
        <v>0</v>
      </c>
      <c r="CX1952" s="76"/>
      <c r="CY1952" s="76">
        <f>+CX1952*106250</f>
        <v>0</v>
      </c>
      <c r="CZ1952" s="76"/>
      <c r="DA1952" s="76">
        <f>+CZ1952*34500</f>
        <v>0</v>
      </c>
      <c r="DB1952" s="76"/>
      <c r="DC1952" s="76">
        <f>+DB1952*25000</f>
        <v>0</v>
      </c>
      <c r="DD1952" s="219"/>
      <c r="DE1952" s="219"/>
      <c r="DF1952" s="166"/>
      <c r="DG1952" s="116"/>
      <c r="DH1952" s="117"/>
      <c r="DI1952" s="24"/>
      <c r="DJ1952" s="24"/>
      <c r="DK1952" s="24"/>
      <c r="DL1952" s="24"/>
      <c r="DM1952" s="24"/>
      <c r="DN1952" s="24"/>
      <c r="DO1952" s="24"/>
      <c r="DP1952" s="24"/>
      <c r="DQ1952" s="24"/>
      <c r="DR1952" s="24"/>
      <c r="DS1952" s="24"/>
      <c r="DT1952" s="24"/>
      <c r="DU1952" s="24"/>
    </row>
    <row r="1953" spans="1:125" s="8" customFormat="1" ht="48" x14ac:dyDescent="0.2">
      <c r="A1953" s="77">
        <v>41421</v>
      </c>
      <c r="B1953" s="352" t="s">
        <v>1326</v>
      </c>
      <c r="C1953" s="354" t="s">
        <v>1804</v>
      </c>
      <c r="D1953" s="354" t="s">
        <v>2882</v>
      </c>
      <c r="E1953" s="75" t="str">
        <f>VLOOKUP(B1953&amp;C1953,Divipola!$C$2:$F$1138,4,FALSE)</f>
        <v>70215</v>
      </c>
      <c r="F1953" s="87"/>
      <c r="G1953" s="87"/>
      <c r="H1953" s="87"/>
      <c r="I1953" s="87">
        <v>35</v>
      </c>
      <c r="J1953" s="87">
        <v>7</v>
      </c>
      <c r="K1953" s="87"/>
      <c r="L1953" s="87">
        <v>7</v>
      </c>
      <c r="M1953" s="87"/>
      <c r="N1953" s="87"/>
      <c r="O1953" s="87"/>
      <c r="P1953" s="87"/>
      <c r="Q1953" s="87"/>
      <c r="R1953" s="87"/>
      <c r="S1953" s="87"/>
      <c r="T1953" s="87"/>
      <c r="U1953" s="88"/>
      <c r="V1953" s="89"/>
      <c r="W1953" s="96">
        <v>0</v>
      </c>
      <c r="X1953" s="71">
        <f>CU1953</f>
        <v>0</v>
      </c>
      <c r="Y1953" s="71">
        <f>CY1953</f>
        <v>0</v>
      </c>
      <c r="Z1953" s="71">
        <f>DA1953+DC1953+DE1953</f>
        <v>0</v>
      </c>
      <c r="AA1953" s="71">
        <f>CW1953</f>
        <v>0</v>
      </c>
      <c r="AB1953" s="71"/>
      <c r="AC1953" s="71">
        <v>0</v>
      </c>
      <c r="AD1953" s="71">
        <f>W1953+X1953+Y1953+Z1953+AA1953+AB1953+AC1953</f>
        <v>0</v>
      </c>
      <c r="AE1953" s="72">
        <v>0</v>
      </c>
      <c r="AF1953" s="5"/>
      <c r="AG1953" s="6"/>
      <c r="AH1953" s="27" t="s">
        <v>3392</v>
      </c>
      <c r="AI1953" s="44" t="s">
        <v>3393</v>
      </c>
      <c r="AJ1953" s="26"/>
      <c r="AK1953" s="5"/>
      <c r="AL1953" s="82" t="s">
        <v>4761</v>
      </c>
      <c r="AM1953" s="76"/>
      <c r="AN1953" s="76"/>
      <c r="AO1953" s="76"/>
      <c r="AP1953" s="76"/>
      <c r="AQ1953" s="76"/>
      <c r="AR1953" s="76"/>
      <c r="AS1953" s="76"/>
      <c r="AT1953" s="76"/>
      <c r="AU1953" s="76"/>
      <c r="AV1953" s="76"/>
      <c r="AW1953" s="76"/>
      <c r="AX1953" s="76">
        <f>+AW1953*600000</f>
        <v>0</v>
      </c>
      <c r="AY1953" s="76"/>
      <c r="AZ1953" s="76">
        <f>+AY1953*70000</f>
        <v>0</v>
      </c>
      <c r="BA1953" s="76"/>
      <c r="BB1953" s="76"/>
      <c r="BC1953" s="76"/>
      <c r="BD1953" s="76">
        <f>+BC1953*30000</f>
        <v>0</v>
      </c>
      <c r="BE1953" s="76"/>
      <c r="BF1953" s="76"/>
      <c r="BG1953" s="76"/>
      <c r="BH1953" s="76"/>
      <c r="BI1953" s="76"/>
      <c r="BJ1953" s="76"/>
      <c r="BK1953" s="76"/>
      <c r="BL1953" s="76">
        <f>+BK1953*31500</f>
        <v>0</v>
      </c>
      <c r="BM1953" s="76"/>
      <c r="BN1953" s="76"/>
      <c r="BO1953" s="76"/>
      <c r="BP1953" s="76"/>
      <c r="BQ1953" s="76"/>
      <c r="BR1953" s="76"/>
      <c r="BS1953" s="76"/>
      <c r="BT1953" s="76"/>
      <c r="BU1953" s="76"/>
      <c r="BV1953" s="76"/>
      <c r="BW1953" s="76"/>
      <c r="BX1953" s="76"/>
      <c r="BY1953" s="76"/>
      <c r="BZ1953" s="76"/>
      <c r="CA1953" s="76"/>
      <c r="CB1953" s="76"/>
      <c r="CC1953" s="76"/>
      <c r="CD1953" s="76"/>
      <c r="CE1953" s="76"/>
      <c r="CF1953" s="76">
        <f>+CE1953*28000</f>
        <v>0</v>
      </c>
      <c r="CG1953" s="76"/>
      <c r="CH1953" s="76">
        <f>+CG1953*22500</f>
        <v>0</v>
      </c>
      <c r="CI1953" s="76"/>
      <c r="CJ1953" s="76">
        <f>+CI1953*26000</f>
        <v>0</v>
      </c>
      <c r="CK1953" s="76"/>
      <c r="CL1953" s="76"/>
      <c r="CM1953" s="76"/>
      <c r="CN1953" s="76">
        <f>+CM1953*22000</f>
        <v>0</v>
      </c>
      <c r="CO1953" s="76"/>
      <c r="CP1953" s="76">
        <f>+CO1953*46000</f>
        <v>0</v>
      </c>
      <c r="CQ1953" s="76"/>
      <c r="CR1953" s="76">
        <f>+CQ1953*49000</f>
        <v>0</v>
      </c>
      <c r="CS1953" s="76"/>
      <c r="CT1953" s="76"/>
      <c r="CU1953" s="56">
        <f>AN1953+AP1953+AR1953+AT1953+AV1953+AX1953+AZ1953+BB1953+BD1953+BF1953+BH1953+BJ1953+BL1953+BN1953+BP1953+BR1953+BT1953+BV1953+BX1953+BZ1953+CB1953+CD1953+CF1953+CH1953+CJ1953+CL1953+CN1953+CP1953+CR1953+CT1953</f>
        <v>0</v>
      </c>
      <c r="CV1953" s="76"/>
      <c r="CW1953" s="76">
        <f>+CV1953*1100</f>
        <v>0</v>
      </c>
      <c r="CX1953" s="76"/>
      <c r="CY1953" s="76">
        <f>+CX1953*106250</f>
        <v>0</v>
      </c>
      <c r="CZ1953" s="76"/>
      <c r="DA1953" s="76">
        <f>+CZ1953*34500</f>
        <v>0</v>
      </c>
      <c r="DB1953" s="76"/>
      <c r="DC1953" s="76">
        <f>+DB1953*25000</f>
        <v>0</v>
      </c>
      <c r="DD1953" s="219"/>
      <c r="DE1953" s="219"/>
      <c r="DF1953" s="166"/>
      <c r="DG1953" s="116"/>
      <c r="DH1953" s="117"/>
      <c r="DI1953" s="24"/>
      <c r="DJ1953" s="24"/>
      <c r="DK1953" s="24"/>
      <c r="DL1953" s="24"/>
      <c r="DM1953" s="24"/>
      <c r="DN1953" s="24"/>
      <c r="DO1953" s="24"/>
      <c r="DP1953" s="24"/>
      <c r="DQ1953" s="24"/>
      <c r="DR1953" s="24"/>
      <c r="DS1953" s="24"/>
      <c r="DT1953" s="24"/>
      <c r="DU1953" s="24"/>
    </row>
    <row r="1954" spans="1:125" s="8" customFormat="1" ht="48" x14ac:dyDescent="0.2">
      <c r="A1954" s="77">
        <v>41421</v>
      </c>
      <c r="B1954" s="78" t="s">
        <v>1326</v>
      </c>
      <c r="C1954" s="75" t="s">
        <v>1817</v>
      </c>
      <c r="D1954" s="75" t="s">
        <v>3051</v>
      </c>
      <c r="E1954" s="75" t="str">
        <f>VLOOKUP(B1954&amp;C1954,Divipola!$C$2:$F$1138,4,FALSE)</f>
        <v>70265</v>
      </c>
      <c r="F1954" s="87"/>
      <c r="G1954" s="87"/>
      <c r="H1954" s="87"/>
      <c r="I1954" s="87"/>
      <c r="J1954" s="87"/>
      <c r="K1954" s="87"/>
      <c r="L1954" s="87"/>
      <c r="M1954" s="87"/>
      <c r="N1954" s="87"/>
      <c r="O1954" s="87"/>
      <c r="P1954" s="87"/>
      <c r="Q1954" s="87"/>
      <c r="R1954" s="87"/>
      <c r="S1954" s="191"/>
      <c r="T1954" s="87"/>
      <c r="U1954" s="88"/>
      <c r="V1954" s="89"/>
      <c r="W1954" s="96">
        <v>0</v>
      </c>
      <c r="X1954" s="71">
        <f>CU1954</f>
        <v>0</v>
      </c>
      <c r="Y1954" s="71">
        <f>CY1954</f>
        <v>0</v>
      </c>
      <c r="Z1954" s="71">
        <f>DA1954+DC1954+DE1954</f>
        <v>0</v>
      </c>
      <c r="AA1954" s="71">
        <f>CW1954</f>
        <v>0</v>
      </c>
      <c r="AB1954" s="71"/>
      <c r="AC1954" s="71">
        <v>0</v>
      </c>
      <c r="AD1954" s="71">
        <f>W1954+X1954+Y1954+Z1954+AA1954+AB1954+AC1954</f>
        <v>0</v>
      </c>
      <c r="AE1954" s="72">
        <v>0</v>
      </c>
      <c r="AF1954" s="5"/>
      <c r="AG1954" s="6"/>
      <c r="AH1954" s="27" t="s">
        <v>3392</v>
      </c>
      <c r="AI1954" s="44" t="s">
        <v>3393</v>
      </c>
      <c r="AJ1954" s="26"/>
      <c r="AK1954" s="5"/>
      <c r="AL1954" s="82" t="s">
        <v>4752</v>
      </c>
      <c r="AM1954" s="76"/>
      <c r="AN1954" s="76"/>
      <c r="AO1954" s="76"/>
      <c r="AP1954" s="76"/>
      <c r="AQ1954" s="76"/>
      <c r="AR1954" s="76"/>
      <c r="AS1954" s="76"/>
      <c r="AT1954" s="76"/>
      <c r="AU1954" s="76"/>
      <c r="AV1954" s="76"/>
      <c r="AW1954" s="76"/>
      <c r="AX1954" s="76">
        <f>+AW1954*600000</f>
        <v>0</v>
      </c>
      <c r="AY1954" s="76"/>
      <c r="AZ1954" s="76">
        <f>+AY1954*70000</f>
        <v>0</v>
      </c>
      <c r="BA1954" s="76"/>
      <c r="BB1954" s="76"/>
      <c r="BC1954" s="76"/>
      <c r="BD1954" s="76">
        <f>+BC1954*30000</f>
        <v>0</v>
      </c>
      <c r="BE1954" s="76"/>
      <c r="BF1954" s="76"/>
      <c r="BG1954" s="76"/>
      <c r="BH1954" s="76"/>
      <c r="BI1954" s="76"/>
      <c r="BJ1954" s="76"/>
      <c r="BK1954" s="76"/>
      <c r="BL1954" s="76">
        <f>+BK1954*31500</f>
        <v>0</v>
      </c>
      <c r="BM1954" s="76"/>
      <c r="BN1954" s="76"/>
      <c r="BO1954" s="76"/>
      <c r="BP1954" s="76"/>
      <c r="BQ1954" s="76"/>
      <c r="BR1954" s="76"/>
      <c r="BS1954" s="76"/>
      <c r="BT1954" s="76"/>
      <c r="BU1954" s="76"/>
      <c r="BV1954" s="76"/>
      <c r="BW1954" s="76"/>
      <c r="BX1954" s="76"/>
      <c r="BY1954" s="76"/>
      <c r="BZ1954" s="76"/>
      <c r="CA1954" s="76"/>
      <c r="CB1954" s="76"/>
      <c r="CC1954" s="76"/>
      <c r="CD1954" s="76"/>
      <c r="CE1954" s="76"/>
      <c r="CF1954" s="76">
        <f>+CE1954*28000</f>
        <v>0</v>
      </c>
      <c r="CG1954" s="76"/>
      <c r="CH1954" s="76">
        <f>+CG1954*22500</f>
        <v>0</v>
      </c>
      <c r="CI1954" s="76"/>
      <c r="CJ1954" s="76">
        <f>+CI1954*26000</f>
        <v>0</v>
      </c>
      <c r="CK1954" s="76"/>
      <c r="CL1954" s="76"/>
      <c r="CM1954" s="76"/>
      <c r="CN1954" s="76">
        <f>+CM1954*22000</f>
        <v>0</v>
      </c>
      <c r="CO1954" s="76"/>
      <c r="CP1954" s="76">
        <f>+CO1954*46000</f>
        <v>0</v>
      </c>
      <c r="CQ1954" s="76"/>
      <c r="CR1954" s="76">
        <f>+CQ1954*49000</f>
        <v>0</v>
      </c>
      <c r="CS1954" s="76"/>
      <c r="CT1954" s="76"/>
      <c r="CU1954" s="56">
        <f>AN1954+AP1954+AR1954+AT1954+AV1954+AX1954+AZ1954+BB1954+BD1954+BF1954+BH1954+BJ1954+BL1954+BN1954+BP1954+BR1954+BT1954+BV1954+BX1954+BZ1954+CB1954+CD1954+CF1954+CH1954+CJ1954+CL1954+CN1954+CP1954+CR1954+CT1954</f>
        <v>0</v>
      </c>
      <c r="CV1954" s="76"/>
      <c r="CW1954" s="76">
        <f>+CV1954*1100</f>
        <v>0</v>
      </c>
      <c r="CX1954" s="76"/>
      <c r="CY1954" s="76">
        <f>+CX1954*106250</f>
        <v>0</v>
      </c>
      <c r="CZ1954" s="76"/>
      <c r="DA1954" s="76">
        <f>+CZ1954*34500</f>
        <v>0</v>
      </c>
      <c r="DB1954" s="76"/>
      <c r="DC1954" s="76">
        <f>+DB1954*25000</f>
        <v>0</v>
      </c>
      <c r="DD1954" s="219"/>
      <c r="DE1954" s="219"/>
      <c r="DF1954" s="166"/>
      <c r="DG1954" s="116"/>
      <c r="DH1954" s="117"/>
      <c r="DI1954" s="24"/>
      <c r="DJ1954" s="24"/>
      <c r="DK1954" s="24"/>
      <c r="DL1954" s="24"/>
      <c r="DM1954" s="24"/>
      <c r="DN1954" s="24"/>
      <c r="DO1954" s="24"/>
      <c r="DP1954" s="24"/>
      <c r="DQ1954" s="24"/>
      <c r="DR1954" s="24"/>
      <c r="DS1954" s="24"/>
      <c r="DT1954" s="24"/>
      <c r="DU1954" s="24"/>
    </row>
    <row r="1955" spans="1:125" s="8" customFormat="1" ht="48" x14ac:dyDescent="0.2">
      <c r="A1955" s="353">
        <v>41421</v>
      </c>
      <c r="B1955" s="225" t="s">
        <v>1326</v>
      </c>
      <c r="C1955" s="213" t="s">
        <v>1831</v>
      </c>
      <c r="D1955" s="227" t="s">
        <v>3051</v>
      </c>
      <c r="E1955" s="75" t="str">
        <f>VLOOKUP(B1955&amp;C1955,Divipola!$C$2:$F$1138,4,FALSE)</f>
        <v>70523</v>
      </c>
      <c r="F1955" s="87"/>
      <c r="G1955" s="87"/>
      <c r="H1955" s="87"/>
      <c r="I1955" s="87"/>
      <c r="J1955" s="87"/>
      <c r="K1955" s="87"/>
      <c r="L1955" s="87"/>
      <c r="M1955" s="87"/>
      <c r="N1955" s="87"/>
      <c r="O1955" s="87"/>
      <c r="P1955" s="87"/>
      <c r="Q1955" s="87"/>
      <c r="R1955" s="87"/>
      <c r="S1955" s="87"/>
      <c r="T1955" s="87"/>
      <c r="U1955" s="88"/>
      <c r="V1955" s="89"/>
      <c r="W1955" s="96">
        <v>0</v>
      </c>
      <c r="X1955" s="71">
        <f>CU1955</f>
        <v>0</v>
      </c>
      <c r="Y1955" s="71">
        <f>CY1955</f>
        <v>0</v>
      </c>
      <c r="Z1955" s="71">
        <f>DA1955+DC1955+DE1955</f>
        <v>0</v>
      </c>
      <c r="AA1955" s="71">
        <f>CW1955</f>
        <v>0</v>
      </c>
      <c r="AB1955" s="71"/>
      <c r="AC1955" s="71">
        <v>0</v>
      </c>
      <c r="AD1955" s="71">
        <f>W1955+X1955+Y1955+Z1955+AA1955+AB1955+AC1955</f>
        <v>0</v>
      </c>
      <c r="AE1955" s="72">
        <v>0</v>
      </c>
      <c r="AF1955" s="5"/>
      <c r="AG1955" s="6"/>
      <c r="AH1955" s="27" t="s">
        <v>3392</v>
      </c>
      <c r="AI1955" s="44" t="s">
        <v>3393</v>
      </c>
      <c r="AJ1955" s="26"/>
      <c r="AK1955" s="5"/>
      <c r="AL1955" s="82" t="s">
        <v>4752</v>
      </c>
      <c r="AM1955" s="76"/>
      <c r="AN1955" s="76"/>
      <c r="AO1955" s="76"/>
      <c r="AP1955" s="76"/>
      <c r="AQ1955" s="76"/>
      <c r="AR1955" s="76"/>
      <c r="AS1955" s="76"/>
      <c r="AT1955" s="76"/>
      <c r="AU1955" s="76"/>
      <c r="AV1955" s="76"/>
      <c r="AW1955" s="76"/>
      <c r="AX1955" s="76">
        <f>+AW1955*600000</f>
        <v>0</v>
      </c>
      <c r="AY1955" s="76"/>
      <c r="AZ1955" s="76">
        <f>+AY1955*70000</f>
        <v>0</v>
      </c>
      <c r="BA1955" s="76"/>
      <c r="BB1955" s="76"/>
      <c r="BC1955" s="76"/>
      <c r="BD1955" s="76">
        <f>+BC1955*30000</f>
        <v>0</v>
      </c>
      <c r="BE1955" s="76"/>
      <c r="BF1955" s="76"/>
      <c r="BG1955" s="76"/>
      <c r="BH1955" s="76"/>
      <c r="BI1955" s="76"/>
      <c r="BJ1955" s="76"/>
      <c r="BK1955" s="76"/>
      <c r="BL1955" s="76">
        <f>+BK1955*31500</f>
        <v>0</v>
      </c>
      <c r="BM1955" s="76"/>
      <c r="BN1955" s="76"/>
      <c r="BO1955" s="76"/>
      <c r="BP1955" s="76"/>
      <c r="BQ1955" s="76"/>
      <c r="BR1955" s="76"/>
      <c r="BS1955" s="76"/>
      <c r="BT1955" s="76"/>
      <c r="BU1955" s="76"/>
      <c r="BV1955" s="76"/>
      <c r="BW1955" s="76"/>
      <c r="BX1955" s="76"/>
      <c r="BY1955" s="76"/>
      <c r="BZ1955" s="76"/>
      <c r="CA1955" s="76"/>
      <c r="CB1955" s="76"/>
      <c r="CC1955" s="76"/>
      <c r="CD1955" s="76"/>
      <c r="CE1955" s="76"/>
      <c r="CF1955" s="76">
        <f>+CE1955*28000</f>
        <v>0</v>
      </c>
      <c r="CG1955" s="76"/>
      <c r="CH1955" s="76">
        <f>+CG1955*22500</f>
        <v>0</v>
      </c>
      <c r="CI1955" s="76"/>
      <c r="CJ1955" s="76">
        <f>+CI1955*26000</f>
        <v>0</v>
      </c>
      <c r="CK1955" s="76"/>
      <c r="CL1955" s="76"/>
      <c r="CM1955" s="76"/>
      <c r="CN1955" s="76">
        <f>+CM1955*22000</f>
        <v>0</v>
      </c>
      <c r="CO1955" s="76"/>
      <c r="CP1955" s="76">
        <f>+CO1955*46000</f>
        <v>0</v>
      </c>
      <c r="CQ1955" s="76"/>
      <c r="CR1955" s="76">
        <f>+CQ1955*49000</f>
        <v>0</v>
      </c>
      <c r="CS1955" s="76"/>
      <c r="CT1955" s="76"/>
      <c r="CU1955" s="56">
        <f>AN1955+AP1955+AR1955+AT1955+AV1955+AX1955+AZ1955+BB1955+BD1955+BF1955+BH1955+BJ1955+BL1955+BN1955+BP1955+BR1955+BT1955+BV1955+BX1955+BZ1955+CB1955+CD1955+CF1955+CH1955+CJ1955+CL1955+CN1955+CP1955+CR1955+CT1955</f>
        <v>0</v>
      </c>
      <c r="CV1955" s="76"/>
      <c r="CW1955" s="76">
        <f>+CV1955*1100</f>
        <v>0</v>
      </c>
      <c r="CX1955" s="76"/>
      <c r="CY1955" s="76">
        <f>+CX1955*106250</f>
        <v>0</v>
      </c>
      <c r="CZ1955" s="76"/>
      <c r="DA1955" s="76">
        <f>+CZ1955*34500</f>
        <v>0</v>
      </c>
      <c r="DB1955" s="76"/>
      <c r="DC1955" s="76">
        <f>+DB1955*25000</f>
        <v>0</v>
      </c>
      <c r="DD1955" s="219"/>
      <c r="DE1955" s="219"/>
      <c r="DF1955" s="166"/>
      <c r="DG1955" s="116"/>
      <c r="DH1955" s="117"/>
      <c r="DI1955" s="24"/>
      <c r="DJ1955" s="24"/>
      <c r="DK1955" s="24"/>
      <c r="DL1955" s="24"/>
      <c r="DM1955" s="24"/>
      <c r="DN1955" s="24"/>
      <c r="DO1955" s="24"/>
      <c r="DP1955" s="24"/>
      <c r="DQ1955" s="24"/>
      <c r="DR1955" s="24"/>
      <c r="DS1955" s="24"/>
      <c r="DT1955" s="24"/>
      <c r="DU1955" s="24"/>
    </row>
    <row r="1956" spans="1:125" s="8" customFormat="1" ht="36" x14ac:dyDescent="0.2">
      <c r="A1956" s="77">
        <v>41421</v>
      </c>
      <c r="B1956" s="352" t="s">
        <v>1326</v>
      </c>
      <c r="C1956" s="354" t="s">
        <v>1837</v>
      </c>
      <c r="D1956" s="354" t="s">
        <v>2882</v>
      </c>
      <c r="E1956" s="75" t="str">
        <f>VLOOKUP(B1956&amp;C1956,Divipola!$C$2:$F$1138,4,FALSE)</f>
        <v>70702</v>
      </c>
      <c r="F1956" s="87"/>
      <c r="G1956" s="87"/>
      <c r="H1956" s="87"/>
      <c r="I1956" s="87">
        <v>20</v>
      </c>
      <c r="J1956" s="87">
        <v>4</v>
      </c>
      <c r="K1956" s="87"/>
      <c r="L1956" s="87">
        <v>4</v>
      </c>
      <c r="M1956" s="87"/>
      <c r="N1956" s="87"/>
      <c r="O1956" s="87"/>
      <c r="P1956" s="87"/>
      <c r="Q1956" s="87"/>
      <c r="R1956" s="87"/>
      <c r="S1956" s="87"/>
      <c r="T1956" s="87"/>
      <c r="U1956" s="88"/>
      <c r="V1956" s="89"/>
      <c r="W1956" s="96">
        <v>0</v>
      </c>
      <c r="X1956" s="71">
        <f>CU1956</f>
        <v>0</v>
      </c>
      <c r="Y1956" s="71">
        <f>CY1956</f>
        <v>0</v>
      </c>
      <c r="Z1956" s="71">
        <f>DA1956+DC1956+DE1956</f>
        <v>0</v>
      </c>
      <c r="AA1956" s="71">
        <f>CW1956</f>
        <v>0</v>
      </c>
      <c r="AB1956" s="71"/>
      <c r="AC1956" s="71">
        <v>0</v>
      </c>
      <c r="AD1956" s="71">
        <f>W1956+X1956+Y1956+Z1956+AA1956+AB1956+AC1956</f>
        <v>0</v>
      </c>
      <c r="AE1956" s="72">
        <v>0</v>
      </c>
      <c r="AF1956" s="5"/>
      <c r="AG1956" s="6"/>
      <c r="AH1956" s="27" t="s">
        <v>3392</v>
      </c>
      <c r="AI1956" s="44" t="s">
        <v>3393</v>
      </c>
      <c r="AJ1956" s="26"/>
      <c r="AK1956" s="5"/>
      <c r="AL1956" s="82" t="s">
        <v>4760</v>
      </c>
      <c r="AM1956" s="76"/>
      <c r="AN1956" s="76"/>
      <c r="AO1956" s="76"/>
      <c r="AP1956" s="76"/>
      <c r="AQ1956" s="76"/>
      <c r="AR1956" s="76"/>
      <c r="AS1956" s="76"/>
      <c r="AT1956" s="76"/>
      <c r="AU1956" s="76"/>
      <c r="AV1956" s="76"/>
      <c r="AW1956" s="76"/>
      <c r="AX1956" s="76">
        <f>+AW1956*600000</f>
        <v>0</v>
      </c>
      <c r="AY1956" s="76"/>
      <c r="AZ1956" s="76">
        <f>+AY1956*70000</f>
        <v>0</v>
      </c>
      <c r="BA1956" s="76"/>
      <c r="BB1956" s="76"/>
      <c r="BC1956" s="76"/>
      <c r="BD1956" s="76">
        <f>+BC1956*30000</f>
        <v>0</v>
      </c>
      <c r="BE1956" s="76"/>
      <c r="BF1956" s="76"/>
      <c r="BG1956" s="76"/>
      <c r="BH1956" s="76"/>
      <c r="BI1956" s="76"/>
      <c r="BJ1956" s="76"/>
      <c r="BK1956" s="76"/>
      <c r="BL1956" s="76">
        <f>+BK1956*31500</f>
        <v>0</v>
      </c>
      <c r="BM1956" s="76"/>
      <c r="BN1956" s="76"/>
      <c r="BO1956" s="76"/>
      <c r="BP1956" s="76"/>
      <c r="BQ1956" s="76"/>
      <c r="BR1956" s="76"/>
      <c r="BS1956" s="76"/>
      <c r="BT1956" s="76"/>
      <c r="BU1956" s="76"/>
      <c r="BV1956" s="76"/>
      <c r="BW1956" s="76"/>
      <c r="BX1956" s="76"/>
      <c r="BY1956" s="76"/>
      <c r="BZ1956" s="76"/>
      <c r="CA1956" s="76"/>
      <c r="CB1956" s="76"/>
      <c r="CC1956" s="76"/>
      <c r="CD1956" s="76"/>
      <c r="CE1956" s="76"/>
      <c r="CF1956" s="76">
        <f>+CE1956*28000</f>
        <v>0</v>
      </c>
      <c r="CG1956" s="76"/>
      <c r="CH1956" s="76">
        <f>+CG1956*22500</f>
        <v>0</v>
      </c>
      <c r="CI1956" s="76"/>
      <c r="CJ1956" s="76">
        <f>+CI1956*26000</f>
        <v>0</v>
      </c>
      <c r="CK1956" s="76"/>
      <c r="CL1956" s="76"/>
      <c r="CM1956" s="76"/>
      <c r="CN1956" s="76">
        <f>+CM1956*22000</f>
        <v>0</v>
      </c>
      <c r="CO1956" s="76"/>
      <c r="CP1956" s="76">
        <f>+CO1956*46000</f>
        <v>0</v>
      </c>
      <c r="CQ1956" s="76"/>
      <c r="CR1956" s="76">
        <f>+CQ1956*49000</f>
        <v>0</v>
      </c>
      <c r="CS1956" s="76"/>
      <c r="CT1956" s="76"/>
      <c r="CU1956" s="56">
        <f>AN1956+AP1956+AR1956+AT1956+AV1956+AX1956+AZ1956+BB1956+BD1956+BF1956+BH1956+BJ1956+BL1956+BN1956+BP1956+BR1956+BT1956+BV1956+BX1956+BZ1956+CB1956+CD1956+CF1956+CH1956+CJ1956+CL1956+CN1956+CP1956+CR1956+CT1956</f>
        <v>0</v>
      </c>
      <c r="CV1956" s="76"/>
      <c r="CW1956" s="76">
        <f>+CV1956*1100</f>
        <v>0</v>
      </c>
      <c r="CX1956" s="76"/>
      <c r="CY1956" s="76">
        <f>+CX1956*106250</f>
        <v>0</v>
      </c>
      <c r="CZ1956" s="76"/>
      <c r="DA1956" s="76">
        <f>+CZ1956*34500</f>
        <v>0</v>
      </c>
      <c r="DB1956" s="76"/>
      <c r="DC1956" s="76">
        <f>+DB1956*25000</f>
        <v>0</v>
      </c>
      <c r="DD1956" s="219"/>
      <c r="DE1956" s="219"/>
      <c r="DF1956" s="166"/>
      <c r="DG1956" s="116"/>
      <c r="DH1956" s="117"/>
      <c r="DI1956" s="24"/>
      <c r="DJ1956" s="24"/>
      <c r="DK1956" s="24"/>
      <c r="DL1956" s="24"/>
      <c r="DM1956" s="24"/>
      <c r="DN1956" s="24"/>
      <c r="DO1956" s="24"/>
      <c r="DP1956" s="24"/>
      <c r="DQ1956" s="24"/>
      <c r="DR1956" s="24"/>
      <c r="DS1956" s="24"/>
      <c r="DT1956" s="24"/>
      <c r="DU1956" s="24"/>
    </row>
    <row r="1957" spans="1:125" s="8" customFormat="1" ht="36" x14ac:dyDescent="0.2">
      <c r="A1957" s="77">
        <v>41421</v>
      </c>
      <c r="B1957" s="225" t="s">
        <v>1326</v>
      </c>
      <c r="C1957" s="227" t="s">
        <v>1846</v>
      </c>
      <c r="D1957" s="227" t="s">
        <v>2882</v>
      </c>
      <c r="E1957" s="75" t="str">
        <f>VLOOKUP(B1957&amp;C1957,Divipola!$C$2:$F$1138,4,FALSE)</f>
        <v>70742</v>
      </c>
      <c r="F1957" s="87"/>
      <c r="G1957" s="87"/>
      <c r="H1957" s="87"/>
      <c r="I1957" s="87">
        <v>90</v>
      </c>
      <c r="J1957" s="87">
        <v>18</v>
      </c>
      <c r="K1957" s="87"/>
      <c r="L1957" s="87">
        <v>18</v>
      </c>
      <c r="M1957" s="87"/>
      <c r="N1957" s="87"/>
      <c r="O1957" s="87"/>
      <c r="P1957" s="87"/>
      <c r="Q1957" s="87"/>
      <c r="R1957" s="87"/>
      <c r="S1957" s="87"/>
      <c r="T1957" s="87"/>
      <c r="U1957" s="88"/>
      <c r="V1957" s="89"/>
      <c r="W1957" s="96">
        <v>0</v>
      </c>
      <c r="X1957" s="71">
        <f>CU1957</f>
        <v>0</v>
      </c>
      <c r="Y1957" s="71">
        <f>CY1957</f>
        <v>0</v>
      </c>
      <c r="Z1957" s="71">
        <f>DA1957+DC1957+DE1957</f>
        <v>0</v>
      </c>
      <c r="AA1957" s="71">
        <f>CW1957</f>
        <v>0</v>
      </c>
      <c r="AB1957" s="71"/>
      <c r="AC1957" s="71">
        <v>0</v>
      </c>
      <c r="AD1957" s="71">
        <f>W1957+X1957+Y1957+Z1957+AA1957+AB1957+AC1957</f>
        <v>0</v>
      </c>
      <c r="AE1957" s="72">
        <v>0</v>
      </c>
      <c r="AF1957" s="5"/>
      <c r="AG1957" s="6"/>
      <c r="AH1957" s="27" t="s">
        <v>3392</v>
      </c>
      <c r="AI1957" s="44" t="s">
        <v>3393</v>
      </c>
      <c r="AJ1957" s="26"/>
      <c r="AK1957" s="5"/>
      <c r="AL1957" s="82" t="s">
        <v>4757</v>
      </c>
      <c r="AM1957" s="76"/>
      <c r="AN1957" s="76"/>
      <c r="AO1957" s="76"/>
      <c r="AP1957" s="76"/>
      <c r="AQ1957" s="76"/>
      <c r="AR1957" s="76"/>
      <c r="AS1957" s="76"/>
      <c r="AT1957" s="76"/>
      <c r="AU1957" s="76"/>
      <c r="AV1957" s="76"/>
      <c r="AW1957" s="76"/>
      <c r="AX1957" s="76">
        <f>+AW1957*600000</f>
        <v>0</v>
      </c>
      <c r="AY1957" s="76"/>
      <c r="AZ1957" s="76">
        <f>+AY1957*70000</f>
        <v>0</v>
      </c>
      <c r="BA1957" s="76"/>
      <c r="BB1957" s="76"/>
      <c r="BC1957" s="76"/>
      <c r="BD1957" s="76">
        <f>+BC1957*30000</f>
        <v>0</v>
      </c>
      <c r="BE1957" s="76"/>
      <c r="BF1957" s="76"/>
      <c r="BG1957" s="76"/>
      <c r="BH1957" s="76"/>
      <c r="BI1957" s="76"/>
      <c r="BJ1957" s="76"/>
      <c r="BK1957" s="76"/>
      <c r="BL1957" s="76">
        <f>+BK1957*31500</f>
        <v>0</v>
      </c>
      <c r="BM1957" s="76"/>
      <c r="BN1957" s="76"/>
      <c r="BO1957" s="76"/>
      <c r="BP1957" s="76"/>
      <c r="BQ1957" s="76"/>
      <c r="BR1957" s="76"/>
      <c r="BS1957" s="76"/>
      <c r="BT1957" s="76"/>
      <c r="BU1957" s="76"/>
      <c r="BV1957" s="76"/>
      <c r="BW1957" s="76"/>
      <c r="BX1957" s="76"/>
      <c r="BY1957" s="76"/>
      <c r="BZ1957" s="76"/>
      <c r="CA1957" s="76"/>
      <c r="CB1957" s="76"/>
      <c r="CC1957" s="76"/>
      <c r="CD1957" s="76"/>
      <c r="CE1957" s="76"/>
      <c r="CF1957" s="76">
        <f>+CE1957*28000</f>
        <v>0</v>
      </c>
      <c r="CG1957" s="76"/>
      <c r="CH1957" s="76">
        <f>+CG1957*22500</f>
        <v>0</v>
      </c>
      <c r="CI1957" s="76"/>
      <c r="CJ1957" s="76">
        <f>+CI1957*26000</f>
        <v>0</v>
      </c>
      <c r="CK1957" s="76"/>
      <c r="CL1957" s="76"/>
      <c r="CM1957" s="76"/>
      <c r="CN1957" s="76">
        <f>+CM1957*22000</f>
        <v>0</v>
      </c>
      <c r="CO1957" s="76"/>
      <c r="CP1957" s="76">
        <f>+CO1957*46000</f>
        <v>0</v>
      </c>
      <c r="CQ1957" s="76"/>
      <c r="CR1957" s="76">
        <f>+CQ1957*49000</f>
        <v>0</v>
      </c>
      <c r="CS1957" s="76"/>
      <c r="CT1957" s="76"/>
      <c r="CU1957" s="56">
        <f>AN1957+AP1957+AR1957+AT1957+AV1957+AX1957+AZ1957+BB1957+BD1957+BF1957+BH1957+BJ1957+BL1957+BN1957+BP1957+BR1957+BT1957+BV1957+BX1957+BZ1957+CB1957+CD1957+CF1957+CH1957+CJ1957+CL1957+CN1957+CP1957+CR1957+CT1957</f>
        <v>0</v>
      </c>
      <c r="CV1957" s="76"/>
      <c r="CW1957" s="76">
        <f>+CV1957*1100</f>
        <v>0</v>
      </c>
      <c r="CX1957" s="76"/>
      <c r="CY1957" s="76">
        <f>+CX1957*106250</f>
        <v>0</v>
      </c>
      <c r="CZ1957" s="76"/>
      <c r="DA1957" s="76">
        <f>+CZ1957*34500</f>
        <v>0</v>
      </c>
      <c r="DB1957" s="76"/>
      <c r="DC1957" s="76">
        <f>+DB1957*25000</f>
        <v>0</v>
      </c>
      <c r="DD1957" s="219"/>
      <c r="DE1957" s="219"/>
      <c r="DF1957" s="166"/>
      <c r="DG1957" s="116"/>
      <c r="DH1957" s="117"/>
      <c r="DI1957" s="24"/>
      <c r="DJ1957" s="24"/>
      <c r="DK1957" s="24"/>
      <c r="DL1957" s="24"/>
      <c r="DM1957" s="24"/>
      <c r="DN1957" s="24"/>
      <c r="DO1957" s="24"/>
      <c r="DP1957" s="24"/>
      <c r="DQ1957" s="24"/>
      <c r="DR1957" s="24"/>
      <c r="DS1957" s="24"/>
      <c r="DT1957" s="24"/>
      <c r="DU1957" s="24"/>
    </row>
    <row r="1958" spans="1:125" s="8" customFormat="1" ht="36" x14ac:dyDescent="0.2">
      <c r="A1958" s="77">
        <v>41421</v>
      </c>
      <c r="B1958" s="352" t="s">
        <v>1326</v>
      </c>
      <c r="C1958" s="227" t="s">
        <v>1840</v>
      </c>
      <c r="D1958" s="354" t="s">
        <v>3425</v>
      </c>
      <c r="E1958" s="75" t="str">
        <f>VLOOKUP(B1958&amp;C1958,Divipola!$C$2:$F$1138,4,FALSE)</f>
        <v>70708</v>
      </c>
      <c r="F1958" s="87"/>
      <c r="G1958" s="87"/>
      <c r="H1958" s="87"/>
      <c r="I1958" s="87">
        <v>5</v>
      </c>
      <c r="J1958" s="87">
        <v>1</v>
      </c>
      <c r="K1958" s="87">
        <v>1</v>
      </c>
      <c r="L1958" s="87"/>
      <c r="M1958" s="87"/>
      <c r="N1958" s="87"/>
      <c r="O1958" s="87"/>
      <c r="P1958" s="87"/>
      <c r="Q1958" s="87"/>
      <c r="R1958" s="87"/>
      <c r="S1958" s="87"/>
      <c r="T1958" s="87"/>
      <c r="U1958" s="88"/>
      <c r="V1958" s="89">
        <v>1</v>
      </c>
      <c r="W1958" s="96">
        <v>0</v>
      </c>
      <c r="X1958" s="71">
        <f>CU1958</f>
        <v>0</v>
      </c>
      <c r="Y1958" s="71">
        <f>CY1958</f>
        <v>0</v>
      </c>
      <c r="Z1958" s="71">
        <f>DA1958+DC1958+DE1958</f>
        <v>0</v>
      </c>
      <c r="AA1958" s="71">
        <f>CW1958</f>
        <v>0</v>
      </c>
      <c r="AB1958" s="71"/>
      <c r="AC1958" s="71">
        <v>0</v>
      </c>
      <c r="AD1958" s="71">
        <f>W1958+X1958+Y1958+Z1958+AA1958+AB1958+AC1958</f>
        <v>0</v>
      </c>
      <c r="AE1958" s="72">
        <v>0</v>
      </c>
      <c r="AF1958" s="5"/>
      <c r="AG1958" s="6"/>
      <c r="AH1958" s="27" t="s">
        <v>3392</v>
      </c>
      <c r="AI1958" s="44" t="s">
        <v>3393</v>
      </c>
      <c r="AJ1958" s="26"/>
      <c r="AK1958" s="5"/>
      <c r="AL1958" s="82" t="s">
        <v>4759</v>
      </c>
      <c r="AM1958" s="76"/>
      <c r="AN1958" s="76"/>
      <c r="AO1958" s="76"/>
      <c r="AP1958" s="76"/>
      <c r="AQ1958" s="76"/>
      <c r="AR1958" s="76"/>
      <c r="AS1958" s="76"/>
      <c r="AT1958" s="76"/>
      <c r="AU1958" s="76"/>
      <c r="AV1958" s="76"/>
      <c r="AW1958" s="76"/>
      <c r="AX1958" s="76">
        <f>+AW1958*600000</f>
        <v>0</v>
      </c>
      <c r="AY1958" s="76"/>
      <c r="AZ1958" s="76">
        <f>+AY1958*70000</f>
        <v>0</v>
      </c>
      <c r="BA1958" s="76"/>
      <c r="BB1958" s="76"/>
      <c r="BC1958" s="76"/>
      <c r="BD1958" s="76">
        <f>+BC1958*30000</f>
        <v>0</v>
      </c>
      <c r="BE1958" s="76"/>
      <c r="BF1958" s="76"/>
      <c r="BG1958" s="76"/>
      <c r="BH1958" s="76"/>
      <c r="BI1958" s="76"/>
      <c r="BJ1958" s="76"/>
      <c r="BK1958" s="76"/>
      <c r="BL1958" s="76">
        <f>+BK1958*31500</f>
        <v>0</v>
      </c>
      <c r="BM1958" s="76"/>
      <c r="BN1958" s="76"/>
      <c r="BO1958" s="76"/>
      <c r="BP1958" s="76"/>
      <c r="BQ1958" s="76"/>
      <c r="BR1958" s="76"/>
      <c r="BS1958" s="76"/>
      <c r="BT1958" s="76"/>
      <c r="BU1958" s="76"/>
      <c r="BV1958" s="76"/>
      <c r="BW1958" s="76"/>
      <c r="BX1958" s="76"/>
      <c r="BY1958" s="76"/>
      <c r="BZ1958" s="76"/>
      <c r="CA1958" s="76"/>
      <c r="CB1958" s="76"/>
      <c r="CC1958" s="76"/>
      <c r="CD1958" s="76"/>
      <c r="CE1958" s="76"/>
      <c r="CF1958" s="76">
        <f>+CE1958*28000</f>
        <v>0</v>
      </c>
      <c r="CG1958" s="76"/>
      <c r="CH1958" s="76">
        <f>+CG1958*22500</f>
        <v>0</v>
      </c>
      <c r="CI1958" s="76"/>
      <c r="CJ1958" s="76">
        <f>+CI1958*26000</f>
        <v>0</v>
      </c>
      <c r="CK1958" s="76"/>
      <c r="CL1958" s="76"/>
      <c r="CM1958" s="76"/>
      <c r="CN1958" s="76">
        <f>+CM1958*22000</f>
        <v>0</v>
      </c>
      <c r="CO1958" s="76"/>
      <c r="CP1958" s="76">
        <f>+CO1958*46000</f>
        <v>0</v>
      </c>
      <c r="CQ1958" s="76"/>
      <c r="CR1958" s="76">
        <f>+CQ1958*49000</f>
        <v>0</v>
      </c>
      <c r="CS1958" s="76"/>
      <c r="CT1958" s="76"/>
      <c r="CU1958" s="56">
        <f>AN1958+AP1958+AR1958+AT1958+AV1958+AX1958+AZ1958+BB1958+BD1958+BF1958+BH1958+BJ1958+BL1958+BN1958+BP1958+BR1958+BT1958+BV1958+BX1958+BZ1958+CB1958+CD1958+CF1958+CH1958+CJ1958+CL1958+CN1958+CP1958+CR1958+CT1958</f>
        <v>0</v>
      </c>
      <c r="CV1958" s="76"/>
      <c r="CW1958" s="76">
        <f>+CV1958*1100</f>
        <v>0</v>
      </c>
      <c r="CX1958" s="76"/>
      <c r="CY1958" s="76">
        <f>+CX1958*106250</f>
        <v>0</v>
      </c>
      <c r="CZ1958" s="76"/>
      <c r="DA1958" s="76">
        <f>+CZ1958*34500</f>
        <v>0</v>
      </c>
      <c r="DB1958" s="76"/>
      <c r="DC1958" s="76">
        <f>+DB1958*25000</f>
        <v>0</v>
      </c>
      <c r="DD1958" s="219"/>
      <c r="DE1958" s="219"/>
      <c r="DF1958" s="166"/>
      <c r="DG1958" s="116"/>
      <c r="DH1958" s="117"/>
      <c r="DI1958" s="24"/>
      <c r="DJ1958" s="24"/>
      <c r="DK1958" s="24"/>
      <c r="DL1958" s="24"/>
      <c r="DM1958" s="24"/>
      <c r="DN1958" s="24"/>
      <c r="DO1958" s="24"/>
      <c r="DP1958" s="24"/>
      <c r="DQ1958" s="24"/>
      <c r="DR1958" s="24"/>
      <c r="DS1958" s="24"/>
      <c r="DT1958" s="24"/>
      <c r="DU1958" s="24"/>
    </row>
    <row r="1959" spans="1:125" s="8" customFormat="1" ht="48" x14ac:dyDescent="0.2">
      <c r="A1959" s="77">
        <v>41421</v>
      </c>
      <c r="B1959" s="352" t="s">
        <v>1326</v>
      </c>
      <c r="C1959" s="227" t="s">
        <v>2159</v>
      </c>
      <c r="D1959" s="227" t="s">
        <v>2882</v>
      </c>
      <c r="E1959" s="75" t="str">
        <f>VLOOKUP(B1959&amp;C1959,Divipola!$C$2:$F$1138,4,FALSE)</f>
        <v>70717</v>
      </c>
      <c r="F1959" s="87"/>
      <c r="G1959" s="87"/>
      <c r="H1959" s="87"/>
      <c r="I1959" s="87">
        <v>85</v>
      </c>
      <c r="J1959" s="87">
        <v>17</v>
      </c>
      <c r="K1959" s="87"/>
      <c r="L1959" s="87">
        <v>17</v>
      </c>
      <c r="M1959" s="87"/>
      <c r="N1959" s="87"/>
      <c r="O1959" s="87"/>
      <c r="P1959" s="87"/>
      <c r="Q1959" s="87"/>
      <c r="R1959" s="87"/>
      <c r="S1959" s="87"/>
      <c r="T1959" s="87"/>
      <c r="U1959" s="88"/>
      <c r="V1959" s="89"/>
      <c r="W1959" s="96">
        <v>0</v>
      </c>
      <c r="X1959" s="71">
        <f>CU1959</f>
        <v>0</v>
      </c>
      <c r="Y1959" s="71">
        <f>CY1959</f>
        <v>0</v>
      </c>
      <c r="Z1959" s="71">
        <f>DA1959+DC1959+DE1959</f>
        <v>0</v>
      </c>
      <c r="AA1959" s="71">
        <f>CW1959</f>
        <v>0</v>
      </c>
      <c r="AB1959" s="71"/>
      <c r="AC1959" s="71">
        <v>0</v>
      </c>
      <c r="AD1959" s="71">
        <f>W1959+X1959+Y1959+Z1959+AA1959+AB1959+AC1959</f>
        <v>0</v>
      </c>
      <c r="AE1959" s="72">
        <v>0</v>
      </c>
      <c r="AF1959" s="5"/>
      <c r="AG1959" s="6"/>
      <c r="AH1959" s="27" t="s">
        <v>3392</v>
      </c>
      <c r="AI1959" s="44" t="s">
        <v>3393</v>
      </c>
      <c r="AJ1959" s="26"/>
      <c r="AK1959" s="5"/>
      <c r="AL1959" s="82" t="s">
        <v>4758</v>
      </c>
      <c r="AM1959" s="76"/>
      <c r="AN1959" s="76"/>
      <c r="AO1959" s="76"/>
      <c r="AP1959" s="76"/>
      <c r="AQ1959" s="76"/>
      <c r="AR1959" s="76"/>
      <c r="AS1959" s="76"/>
      <c r="AT1959" s="76"/>
      <c r="AU1959" s="76"/>
      <c r="AV1959" s="76"/>
      <c r="AW1959" s="76"/>
      <c r="AX1959" s="76">
        <f>+AW1959*600000</f>
        <v>0</v>
      </c>
      <c r="AY1959" s="76"/>
      <c r="AZ1959" s="76">
        <f>+AY1959*70000</f>
        <v>0</v>
      </c>
      <c r="BA1959" s="76"/>
      <c r="BB1959" s="76"/>
      <c r="BC1959" s="76"/>
      <c r="BD1959" s="76">
        <f>+BC1959*30000</f>
        <v>0</v>
      </c>
      <c r="BE1959" s="76"/>
      <c r="BF1959" s="76"/>
      <c r="BG1959" s="76"/>
      <c r="BH1959" s="76"/>
      <c r="BI1959" s="76"/>
      <c r="BJ1959" s="76"/>
      <c r="BK1959" s="76"/>
      <c r="BL1959" s="76">
        <f>+BK1959*31500</f>
        <v>0</v>
      </c>
      <c r="BM1959" s="76"/>
      <c r="BN1959" s="76"/>
      <c r="BO1959" s="76"/>
      <c r="BP1959" s="76"/>
      <c r="BQ1959" s="76"/>
      <c r="BR1959" s="76"/>
      <c r="BS1959" s="76"/>
      <c r="BT1959" s="76"/>
      <c r="BU1959" s="76"/>
      <c r="BV1959" s="76"/>
      <c r="BW1959" s="76"/>
      <c r="BX1959" s="76"/>
      <c r="BY1959" s="76"/>
      <c r="BZ1959" s="76"/>
      <c r="CA1959" s="76"/>
      <c r="CB1959" s="76"/>
      <c r="CC1959" s="76"/>
      <c r="CD1959" s="76"/>
      <c r="CE1959" s="76"/>
      <c r="CF1959" s="76">
        <f>+CE1959*28000</f>
        <v>0</v>
      </c>
      <c r="CG1959" s="76"/>
      <c r="CH1959" s="76">
        <f>+CG1959*22500</f>
        <v>0</v>
      </c>
      <c r="CI1959" s="76"/>
      <c r="CJ1959" s="76">
        <f>+CI1959*26000</f>
        <v>0</v>
      </c>
      <c r="CK1959" s="76"/>
      <c r="CL1959" s="76"/>
      <c r="CM1959" s="76"/>
      <c r="CN1959" s="76">
        <f>+CM1959*22000</f>
        <v>0</v>
      </c>
      <c r="CO1959" s="76"/>
      <c r="CP1959" s="76">
        <f>+CO1959*46000</f>
        <v>0</v>
      </c>
      <c r="CQ1959" s="76"/>
      <c r="CR1959" s="76">
        <f>+CQ1959*49000</f>
        <v>0</v>
      </c>
      <c r="CS1959" s="76"/>
      <c r="CT1959" s="76"/>
      <c r="CU1959" s="56">
        <f>AN1959+AP1959+AR1959+AT1959+AV1959+AX1959+AZ1959+BB1959+BD1959+BF1959+BH1959+BJ1959+BL1959+BN1959+BP1959+BR1959+BT1959+BV1959+BX1959+BZ1959+CB1959+CD1959+CF1959+CH1959+CJ1959+CL1959+CN1959+CP1959+CR1959+CT1959</f>
        <v>0</v>
      </c>
      <c r="CV1959" s="76"/>
      <c r="CW1959" s="76">
        <f>+CV1959*1100</f>
        <v>0</v>
      </c>
      <c r="CX1959" s="76"/>
      <c r="CY1959" s="76">
        <f>+CX1959*106250</f>
        <v>0</v>
      </c>
      <c r="CZ1959" s="76"/>
      <c r="DA1959" s="76">
        <f>+CZ1959*34500</f>
        <v>0</v>
      </c>
      <c r="DB1959" s="76"/>
      <c r="DC1959" s="76">
        <f>+DB1959*25000</f>
        <v>0</v>
      </c>
      <c r="DD1959" s="219"/>
      <c r="DE1959" s="219"/>
      <c r="DF1959" s="166"/>
      <c r="DG1959" s="116"/>
      <c r="DH1959" s="117"/>
      <c r="DI1959" s="24"/>
      <c r="DJ1959" s="24"/>
      <c r="DK1959" s="24"/>
      <c r="DL1959" s="24"/>
      <c r="DM1959" s="24"/>
      <c r="DN1959" s="24"/>
      <c r="DO1959" s="24"/>
      <c r="DP1959" s="24"/>
      <c r="DQ1959" s="24"/>
      <c r="DR1959" s="24"/>
      <c r="DS1959" s="24"/>
      <c r="DT1959" s="24"/>
      <c r="DU1959" s="24"/>
    </row>
    <row r="1960" spans="1:125" s="8" customFormat="1" ht="36" x14ac:dyDescent="0.2">
      <c r="A1960" s="77">
        <v>41421</v>
      </c>
      <c r="B1960" s="225" t="s">
        <v>1326</v>
      </c>
      <c r="C1960" s="227" t="s">
        <v>1798</v>
      </c>
      <c r="D1960" s="354" t="s">
        <v>2882</v>
      </c>
      <c r="E1960" s="75" t="str">
        <f>VLOOKUP(B1960&amp;C1960,Divipola!$C$2:$F$1138,4,FALSE)</f>
        <v>70001</v>
      </c>
      <c r="F1960" s="87"/>
      <c r="G1960" s="87"/>
      <c r="H1960" s="87"/>
      <c r="I1960" s="87">
        <v>130</v>
      </c>
      <c r="J1960" s="87">
        <v>26</v>
      </c>
      <c r="K1960" s="87"/>
      <c r="L1960" s="87">
        <v>26</v>
      </c>
      <c r="M1960" s="87"/>
      <c r="N1960" s="87"/>
      <c r="O1960" s="87"/>
      <c r="P1960" s="87"/>
      <c r="Q1960" s="87"/>
      <c r="R1960" s="87"/>
      <c r="S1960" s="87"/>
      <c r="T1960" s="87"/>
      <c r="U1960" s="88"/>
      <c r="V1960" s="89"/>
      <c r="W1960" s="96">
        <v>0</v>
      </c>
      <c r="X1960" s="71">
        <f>CU1960</f>
        <v>0</v>
      </c>
      <c r="Y1960" s="71">
        <f>CY1960</f>
        <v>0</v>
      </c>
      <c r="Z1960" s="71">
        <f>DA1960+DC1960+DE1960</f>
        <v>0</v>
      </c>
      <c r="AA1960" s="71">
        <f>CW1960</f>
        <v>0</v>
      </c>
      <c r="AB1960" s="71"/>
      <c r="AC1960" s="71">
        <v>0</v>
      </c>
      <c r="AD1960" s="71">
        <f>W1960+X1960+Y1960+Z1960+AA1960+AB1960+AC1960</f>
        <v>0</v>
      </c>
      <c r="AE1960" s="72">
        <v>0</v>
      </c>
      <c r="AF1960" s="5"/>
      <c r="AG1960" s="6"/>
      <c r="AH1960" s="27" t="s">
        <v>3392</v>
      </c>
      <c r="AI1960" s="44" t="s">
        <v>3393</v>
      </c>
      <c r="AJ1960" s="26"/>
      <c r="AK1960" s="5"/>
      <c r="AL1960" s="82" t="s">
        <v>4763</v>
      </c>
      <c r="AM1960" s="76"/>
      <c r="AN1960" s="76"/>
      <c r="AO1960" s="76"/>
      <c r="AP1960" s="76"/>
      <c r="AQ1960" s="76"/>
      <c r="AR1960" s="76"/>
      <c r="AS1960" s="76"/>
      <c r="AT1960" s="76"/>
      <c r="AU1960" s="76"/>
      <c r="AV1960" s="76"/>
      <c r="AW1960" s="76"/>
      <c r="AX1960" s="76">
        <f>+AW1960*600000</f>
        <v>0</v>
      </c>
      <c r="AY1960" s="76"/>
      <c r="AZ1960" s="76">
        <f>+AY1960*70000</f>
        <v>0</v>
      </c>
      <c r="BA1960" s="76"/>
      <c r="BB1960" s="76"/>
      <c r="BC1960" s="76"/>
      <c r="BD1960" s="76">
        <f>+BC1960*30000</f>
        <v>0</v>
      </c>
      <c r="BE1960" s="76"/>
      <c r="BF1960" s="76"/>
      <c r="BG1960" s="76"/>
      <c r="BH1960" s="76"/>
      <c r="BI1960" s="76"/>
      <c r="BJ1960" s="76"/>
      <c r="BK1960" s="76"/>
      <c r="BL1960" s="76">
        <f>+BK1960*31500</f>
        <v>0</v>
      </c>
      <c r="BM1960" s="76"/>
      <c r="BN1960" s="76"/>
      <c r="BO1960" s="76"/>
      <c r="BP1960" s="76"/>
      <c r="BQ1960" s="76"/>
      <c r="BR1960" s="76"/>
      <c r="BS1960" s="76"/>
      <c r="BT1960" s="76"/>
      <c r="BU1960" s="76"/>
      <c r="BV1960" s="76"/>
      <c r="BW1960" s="76"/>
      <c r="BX1960" s="76"/>
      <c r="BY1960" s="76"/>
      <c r="BZ1960" s="76"/>
      <c r="CA1960" s="76"/>
      <c r="CB1960" s="76"/>
      <c r="CC1960" s="76"/>
      <c r="CD1960" s="76"/>
      <c r="CE1960" s="76"/>
      <c r="CF1960" s="76">
        <f>+CE1960*28000</f>
        <v>0</v>
      </c>
      <c r="CG1960" s="76"/>
      <c r="CH1960" s="76">
        <f>+CG1960*22500</f>
        <v>0</v>
      </c>
      <c r="CI1960" s="76"/>
      <c r="CJ1960" s="76">
        <f>+CI1960*26000</f>
        <v>0</v>
      </c>
      <c r="CK1960" s="76"/>
      <c r="CL1960" s="76"/>
      <c r="CM1960" s="76"/>
      <c r="CN1960" s="76">
        <f>+CM1960*22000</f>
        <v>0</v>
      </c>
      <c r="CO1960" s="76"/>
      <c r="CP1960" s="76">
        <f>+CO1960*46000</f>
        <v>0</v>
      </c>
      <c r="CQ1960" s="76"/>
      <c r="CR1960" s="76">
        <f>+CQ1960*49000</f>
        <v>0</v>
      </c>
      <c r="CS1960" s="76"/>
      <c r="CT1960" s="76"/>
      <c r="CU1960" s="56">
        <f>AN1960+AP1960+AR1960+AT1960+AV1960+AX1960+AZ1960+BB1960+BD1960+BF1960+BH1960+BJ1960+BL1960+BN1960+BP1960+BR1960+BT1960+BV1960+BX1960+BZ1960+CB1960+CD1960+CF1960+CH1960+CJ1960+CL1960+CN1960+CP1960+CR1960+CT1960</f>
        <v>0</v>
      </c>
      <c r="CV1960" s="76"/>
      <c r="CW1960" s="76">
        <f>+CV1960*1100</f>
        <v>0</v>
      </c>
      <c r="CX1960" s="76"/>
      <c r="CY1960" s="76">
        <f>+CX1960*106250</f>
        <v>0</v>
      </c>
      <c r="CZ1960" s="76"/>
      <c r="DA1960" s="76">
        <f>+CZ1960*34500</f>
        <v>0</v>
      </c>
      <c r="DB1960" s="76"/>
      <c r="DC1960" s="76">
        <f>+DB1960*25000</f>
        <v>0</v>
      </c>
      <c r="DD1960" s="219"/>
      <c r="DE1960" s="219"/>
      <c r="DF1960" s="166"/>
      <c r="DG1960" s="116"/>
      <c r="DH1960" s="117"/>
      <c r="DI1960" s="24"/>
      <c r="DJ1960" s="24"/>
      <c r="DK1960" s="24"/>
      <c r="DL1960" s="24"/>
      <c r="DM1960" s="24"/>
      <c r="DN1960" s="24"/>
      <c r="DO1960" s="24"/>
      <c r="DP1960" s="24"/>
      <c r="DQ1960" s="24"/>
      <c r="DR1960" s="24"/>
      <c r="DS1960" s="24"/>
      <c r="DT1960" s="24"/>
      <c r="DU1960" s="24"/>
    </row>
    <row r="1961" spans="1:125" s="8" customFormat="1" ht="108" x14ac:dyDescent="0.2">
      <c r="A1961" s="226">
        <v>41421</v>
      </c>
      <c r="B1961" s="225" t="s">
        <v>2848</v>
      </c>
      <c r="C1961" s="227" t="s">
        <v>2788</v>
      </c>
      <c r="D1961" s="354" t="s">
        <v>3051</v>
      </c>
      <c r="E1961" s="75" t="str">
        <f>VLOOKUP(B1961&amp;C1961,Divipola!$C$2:$F$1138,4,FALSE)</f>
        <v>73200</v>
      </c>
      <c r="F1961" s="87"/>
      <c r="G1961" s="87"/>
      <c r="H1961" s="87"/>
      <c r="I1961" s="87"/>
      <c r="J1961" s="87"/>
      <c r="K1961" s="87"/>
      <c r="L1961" s="87"/>
      <c r="M1961" s="87"/>
      <c r="N1961" s="87"/>
      <c r="O1961" s="87"/>
      <c r="P1961" s="87"/>
      <c r="Q1961" s="87"/>
      <c r="R1961" s="87"/>
      <c r="S1961" s="87"/>
      <c r="T1961" s="87"/>
      <c r="U1961" s="88"/>
      <c r="V1961" s="89"/>
      <c r="W1961" s="96">
        <v>0</v>
      </c>
      <c r="X1961" s="71">
        <f>CU1961</f>
        <v>0</v>
      </c>
      <c r="Y1961" s="71">
        <f>CY1961</f>
        <v>0</v>
      </c>
      <c r="Z1961" s="71">
        <f>DA1961+DC1961+DE1961</f>
        <v>0</v>
      </c>
      <c r="AA1961" s="71">
        <f>CW1961</f>
        <v>0</v>
      </c>
      <c r="AB1961" s="71"/>
      <c r="AC1961" s="71">
        <v>0</v>
      </c>
      <c r="AD1961" s="71">
        <f>W1961+X1961+Y1961+Z1961+AA1961+AB1961+AC1961</f>
        <v>0</v>
      </c>
      <c r="AE1961" s="72">
        <v>0</v>
      </c>
      <c r="AF1961" s="5"/>
      <c r="AG1961" s="6"/>
      <c r="AH1961" s="27" t="s">
        <v>3392</v>
      </c>
      <c r="AI1961" s="44" t="s">
        <v>3393</v>
      </c>
      <c r="AJ1961" s="26"/>
      <c r="AK1961" s="5"/>
      <c r="AL1961" s="82" t="s">
        <v>4748</v>
      </c>
      <c r="AM1961" s="76"/>
      <c r="AN1961" s="76"/>
      <c r="AO1961" s="76"/>
      <c r="AP1961" s="76"/>
      <c r="AQ1961" s="76"/>
      <c r="AR1961" s="76"/>
      <c r="AS1961" s="76"/>
      <c r="AT1961" s="76"/>
      <c r="AU1961" s="76"/>
      <c r="AV1961" s="76"/>
      <c r="AW1961" s="76"/>
      <c r="AX1961" s="76">
        <f>+AW1961*600000</f>
        <v>0</v>
      </c>
      <c r="AY1961" s="76"/>
      <c r="AZ1961" s="76">
        <f>+AY1961*70000</f>
        <v>0</v>
      </c>
      <c r="BA1961" s="76"/>
      <c r="BB1961" s="76"/>
      <c r="BC1961" s="76"/>
      <c r="BD1961" s="76">
        <f>+BC1961*30000</f>
        <v>0</v>
      </c>
      <c r="BE1961" s="76"/>
      <c r="BF1961" s="76"/>
      <c r="BG1961" s="76"/>
      <c r="BH1961" s="76"/>
      <c r="BI1961" s="76"/>
      <c r="BJ1961" s="76"/>
      <c r="BK1961" s="76"/>
      <c r="BL1961" s="76">
        <f>+BK1961*31500</f>
        <v>0</v>
      </c>
      <c r="BM1961" s="76"/>
      <c r="BN1961" s="76"/>
      <c r="BO1961" s="76"/>
      <c r="BP1961" s="76"/>
      <c r="BQ1961" s="76"/>
      <c r="BR1961" s="76"/>
      <c r="BS1961" s="76"/>
      <c r="BT1961" s="76"/>
      <c r="BU1961" s="76"/>
      <c r="BV1961" s="76"/>
      <c r="BW1961" s="76"/>
      <c r="BX1961" s="76"/>
      <c r="BY1961" s="76"/>
      <c r="BZ1961" s="76"/>
      <c r="CA1961" s="76"/>
      <c r="CB1961" s="76"/>
      <c r="CC1961" s="76"/>
      <c r="CD1961" s="76"/>
      <c r="CE1961" s="76"/>
      <c r="CF1961" s="76">
        <f>+CE1961*28000</f>
        <v>0</v>
      </c>
      <c r="CG1961" s="76"/>
      <c r="CH1961" s="76">
        <f>+CG1961*22500</f>
        <v>0</v>
      </c>
      <c r="CI1961" s="76"/>
      <c r="CJ1961" s="76">
        <f>+CI1961*26000</f>
        <v>0</v>
      </c>
      <c r="CK1961" s="76"/>
      <c r="CL1961" s="76"/>
      <c r="CM1961" s="76"/>
      <c r="CN1961" s="76">
        <f>+CM1961*22000</f>
        <v>0</v>
      </c>
      <c r="CO1961" s="76"/>
      <c r="CP1961" s="76">
        <f>+CO1961*46000</f>
        <v>0</v>
      </c>
      <c r="CQ1961" s="76"/>
      <c r="CR1961" s="76">
        <f>+CQ1961*49000</f>
        <v>0</v>
      </c>
      <c r="CS1961" s="76"/>
      <c r="CT1961" s="76"/>
      <c r="CU1961" s="56">
        <f>AN1961+AP1961+AR1961+AT1961+AV1961+AX1961+AZ1961+BB1961+BD1961+BF1961+BH1961+BJ1961+BL1961+BN1961+BP1961+BR1961+BT1961+BV1961+BX1961+BZ1961+CB1961+CD1961+CF1961+CH1961+CJ1961+CL1961+CN1961+CP1961+CR1961+CT1961</f>
        <v>0</v>
      </c>
      <c r="CV1961" s="76"/>
      <c r="CW1961" s="76">
        <f>+CV1961*1100</f>
        <v>0</v>
      </c>
      <c r="CX1961" s="76"/>
      <c r="CY1961" s="76">
        <f>+CX1961*106250</f>
        <v>0</v>
      </c>
      <c r="CZ1961" s="76"/>
      <c r="DA1961" s="76">
        <f>+CZ1961*34500</f>
        <v>0</v>
      </c>
      <c r="DB1961" s="76"/>
      <c r="DC1961" s="76">
        <f>+DB1961*25000</f>
        <v>0</v>
      </c>
      <c r="DD1961" s="219"/>
      <c r="DE1961" s="219"/>
      <c r="DF1961" s="166"/>
      <c r="DG1961" s="116"/>
      <c r="DH1961" s="117"/>
      <c r="DI1961" s="24"/>
      <c r="DJ1961" s="24"/>
      <c r="DK1961" s="24"/>
      <c r="DL1961" s="24"/>
      <c r="DM1961" s="24"/>
      <c r="DN1961" s="24"/>
      <c r="DO1961" s="24"/>
      <c r="DP1961" s="24"/>
      <c r="DQ1961" s="24"/>
      <c r="DR1961" s="24"/>
      <c r="DS1961" s="24"/>
      <c r="DT1961" s="24"/>
      <c r="DU1961" s="24"/>
    </row>
    <row r="1962" spans="1:125" s="8" customFormat="1" ht="144" x14ac:dyDescent="0.2">
      <c r="A1962" s="353">
        <v>41421</v>
      </c>
      <c r="B1962" s="225" t="s">
        <v>2851</v>
      </c>
      <c r="C1962" s="227" t="s">
        <v>1686</v>
      </c>
      <c r="D1962" s="354" t="s">
        <v>3051</v>
      </c>
      <c r="E1962" s="75" t="str">
        <f>VLOOKUP(B1962&amp;C1962,Divipola!$C$2:$F$1138,4,FALSE)</f>
        <v>76001</v>
      </c>
      <c r="F1962" s="87"/>
      <c r="G1962" s="87"/>
      <c r="H1962" s="87"/>
      <c r="I1962" s="87"/>
      <c r="J1962" s="87"/>
      <c r="K1962" s="87"/>
      <c r="L1962" s="87"/>
      <c r="M1962" s="87"/>
      <c r="N1962" s="87"/>
      <c r="O1962" s="87"/>
      <c r="P1962" s="87"/>
      <c r="Q1962" s="87"/>
      <c r="R1962" s="87"/>
      <c r="S1962" s="87"/>
      <c r="T1962" s="87"/>
      <c r="U1962" s="88"/>
      <c r="V1962" s="89"/>
      <c r="W1962" s="96">
        <v>0</v>
      </c>
      <c r="X1962" s="71">
        <f>CU1962</f>
        <v>0</v>
      </c>
      <c r="Y1962" s="71">
        <f>CY1962</f>
        <v>0</v>
      </c>
      <c r="Z1962" s="71">
        <f>DA1962+DC1962+DE1962</f>
        <v>0</v>
      </c>
      <c r="AA1962" s="71">
        <f>CW1962</f>
        <v>0</v>
      </c>
      <c r="AB1962" s="71"/>
      <c r="AC1962" s="71">
        <v>0</v>
      </c>
      <c r="AD1962" s="71">
        <f>W1962+X1962+Y1962+Z1962+AA1962+AB1962+AC1962</f>
        <v>0</v>
      </c>
      <c r="AE1962" s="72">
        <v>0</v>
      </c>
      <c r="AF1962" s="5"/>
      <c r="AG1962" s="6"/>
      <c r="AH1962" s="27" t="s">
        <v>3392</v>
      </c>
      <c r="AI1962" s="44" t="s">
        <v>3393</v>
      </c>
      <c r="AJ1962" s="26"/>
      <c r="AK1962" s="5"/>
      <c r="AL1962" s="82" t="s">
        <v>4750</v>
      </c>
      <c r="AM1962" s="76"/>
      <c r="AN1962" s="76"/>
      <c r="AO1962" s="76"/>
      <c r="AP1962" s="76"/>
      <c r="AQ1962" s="76"/>
      <c r="AR1962" s="76"/>
      <c r="AS1962" s="76"/>
      <c r="AT1962" s="76"/>
      <c r="AU1962" s="76"/>
      <c r="AV1962" s="76"/>
      <c r="AW1962" s="76"/>
      <c r="AX1962" s="76">
        <f>+AW1962*600000</f>
        <v>0</v>
      </c>
      <c r="AY1962" s="76"/>
      <c r="AZ1962" s="76">
        <f>+AY1962*70000</f>
        <v>0</v>
      </c>
      <c r="BA1962" s="76"/>
      <c r="BB1962" s="76"/>
      <c r="BC1962" s="76"/>
      <c r="BD1962" s="76">
        <f>+BC1962*30000</f>
        <v>0</v>
      </c>
      <c r="BE1962" s="76"/>
      <c r="BF1962" s="76"/>
      <c r="BG1962" s="76"/>
      <c r="BH1962" s="76"/>
      <c r="BI1962" s="76"/>
      <c r="BJ1962" s="76"/>
      <c r="BK1962" s="76"/>
      <c r="BL1962" s="76">
        <f>+BK1962*31500</f>
        <v>0</v>
      </c>
      <c r="BM1962" s="76"/>
      <c r="BN1962" s="76"/>
      <c r="BO1962" s="76"/>
      <c r="BP1962" s="76"/>
      <c r="BQ1962" s="76"/>
      <c r="BR1962" s="76"/>
      <c r="BS1962" s="76"/>
      <c r="BT1962" s="76"/>
      <c r="BU1962" s="76"/>
      <c r="BV1962" s="76"/>
      <c r="BW1962" s="76"/>
      <c r="BX1962" s="76"/>
      <c r="BY1962" s="76"/>
      <c r="BZ1962" s="76"/>
      <c r="CA1962" s="76"/>
      <c r="CB1962" s="76"/>
      <c r="CC1962" s="76"/>
      <c r="CD1962" s="76"/>
      <c r="CE1962" s="76"/>
      <c r="CF1962" s="76">
        <f>+CE1962*28000</f>
        <v>0</v>
      </c>
      <c r="CG1962" s="76"/>
      <c r="CH1962" s="76">
        <f>+CG1962*22500</f>
        <v>0</v>
      </c>
      <c r="CI1962" s="76"/>
      <c r="CJ1962" s="76">
        <f>+CI1962*26000</f>
        <v>0</v>
      </c>
      <c r="CK1962" s="76"/>
      <c r="CL1962" s="76"/>
      <c r="CM1962" s="76"/>
      <c r="CN1962" s="76">
        <f>+CM1962*22000</f>
        <v>0</v>
      </c>
      <c r="CO1962" s="76"/>
      <c r="CP1962" s="76">
        <f>+CO1962*46000</f>
        <v>0</v>
      </c>
      <c r="CQ1962" s="76"/>
      <c r="CR1962" s="76">
        <f>+CQ1962*49000</f>
        <v>0</v>
      </c>
      <c r="CS1962" s="76"/>
      <c r="CT1962" s="76"/>
      <c r="CU1962" s="56">
        <f>AN1962+AP1962+AR1962+AT1962+AV1962+AX1962+AZ1962+BB1962+BD1962+BF1962+BH1962+BJ1962+BL1962+BN1962+BP1962+BR1962+BT1962+BV1962+BX1962+BZ1962+CB1962+CD1962+CF1962+CH1962+CJ1962+CL1962+CN1962+CP1962+CR1962+CT1962</f>
        <v>0</v>
      </c>
      <c r="CV1962" s="76"/>
      <c r="CW1962" s="76">
        <f>+CV1962*1100</f>
        <v>0</v>
      </c>
      <c r="CX1962" s="76"/>
      <c r="CY1962" s="76">
        <f>+CX1962*106250</f>
        <v>0</v>
      </c>
      <c r="CZ1962" s="76"/>
      <c r="DA1962" s="76">
        <f>+CZ1962*34500</f>
        <v>0</v>
      </c>
      <c r="DB1962" s="76"/>
      <c r="DC1962" s="76">
        <f>+DB1962*25000</f>
        <v>0</v>
      </c>
      <c r="DD1962" s="219"/>
      <c r="DE1962" s="219"/>
      <c r="DF1962" s="166"/>
      <c r="DG1962" s="116"/>
      <c r="DH1962" s="117"/>
      <c r="DI1962" s="24"/>
      <c r="DJ1962" s="24"/>
      <c r="DK1962" s="24"/>
      <c r="DL1962" s="24"/>
      <c r="DM1962" s="24"/>
      <c r="DN1962" s="24"/>
      <c r="DO1962" s="24"/>
      <c r="DP1962" s="24"/>
      <c r="DQ1962" s="24"/>
      <c r="DR1962" s="24"/>
      <c r="DS1962" s="24"/>
      <c r="DT1962" s="24"/>
      <c r="DU1962" s="24"/>
    </row>
    <row r="1963" spans="1:125" s="8" customFormat="1" ht="48" x14ac:dyDescent="0.2">
      <c r="A1963" s="77">
        <v>41421</v>
      </c>
      <c r="B1963" s="352" t="s">
        <v>2851</v>
      </c>
      <c r="C1963" s="354" t="s">
        <v>2122</v>
      </c>
      <c r="D1963" s="354" t="s">
        <v>2859</v>
      </c>
      <c r="E1963" s="75" t="str">
        <f>VLOOKUP(B1963&amp;C1963,Divipola!$C$2:$F$1138,4,FALSE)</f>
        <v>76147</v>
      </c>
      <c r="F1963" s="87"/>
      <c r="G1963" s="87"/>
      <c r="H1963" s="87"/>
      <c r="I1963" s="87">
        <v>40</v>
      </c>
      <c r="J1963" s="87">
        <v>8</v>
      </c>
      <c r="K1963" s="87">
        <v>8</v>
      </c>
      <c r="L1963" s="87"/>
      <c r="M1963" s="87"/>
      <c r="N1963" s="87"/>
      <c r="O1963" s="87"/>
      <c r="P1963" s="87"/>
      <c r="Q1963" s="87"/>
      <c r="R1963" s="87"/>
      <c r="S1963" s="87"/>
      <c r="T1963" s="87"/>
      <c r="U1963" s="88"/>
      <c r="V1963" s="89"/>
      <c r="W1963" s="96">
        <v>0</v>
      </c>
      <c r="X1963" s="71">
        <f>CU1963</f>
        <v>0</v>
      </c>
      <c r="Y1963" s="71">
        <f>CY1963</f>
        <v>0</v>
      </c>
      <c r="Z1963" s="71">
        <f>DA1963+DC1963+DE1963</f>
        <v>0</v>
      </c>
      <c r="AA1963" s="71">
        <f>CW1963</f>
        <v>0</v>
      </c>
      <c r="AB1963" s="71"/>
      <c r="AC1963" s="71">
        <v>0</v>
      </c>
      <c r="AD1963" s="71">
        <f>W1963+X1963+Y1963+Z1963+AA1963+AB1963+AC1963</f>
        <v>0</v>
      </c>
      <c r="AE1963" s="72">
        <v>0</v>
      </c>
      <c r="AF1963" s="5"/>
      <c r="AG1963" s="6"/>
      <c r="AH1963" s="27" t="s">
        <v>3392</v>
      </c>
      <c r="AI1963" s="44" t="s">
        <v>3393</v>
      </c>
      <c r="AJ1963" s="26"/>
      <c r="AK1963" s="5"/>
      <c r="AL1963" s="82" t="s">
        <v>4756</v>
      </c>
      <c r="AM1963" s="76"/>
      <c r="AN1963" s="76"/>
      <c r="AO1963" s="76"/>
      <c r="AP1963" s="76"/>
      <c r="AQ1963" s="76"/>
      <c r="AR1963" s="76"/>
      <c r="AS1963" s="76"/>
      <c r="AT1963" s="76"/>
      <c r="AU1963" s="76"/>
      <c r="AV1963" s="76"/>
      <c r="AW1963" s="76"/>
      <c r="AX1963" s="76">
        <f>+AW1963*600000</f>
        <v>0</v>
      </c>
      <c r="AY1963" s="76"/>
      <c r="AZ1963" s="76">
        <f>+AY1963*70000</f>
        <v>0</v>
      </c>
      <c r="BA1963" s="76"/>
      <c r="BB1963" s="76"/>
      <c r="BC1963" s="76"/>
      <c r="BD1963" s="76">
        <f>+BC1963*30000</f>
        <v>0</v>
      </c>
      <c r="BE1963" s="76"/>
      <c r="BF1963" s="76"/>
      <c r="BG1963" s="76"/>
      <c r="BH1963" s="76"/>
      <c r="BI1963" s="76"/>
      <c r="BJ1963" s="76"/>
      <c r="BK1963" s="76"/>
      <c r="BL1963" s="76">
        <f>+BK1963*31500</f>
        <v>0</v>
      </c>
      <c r="BM1963" s="76"/>
      <c r="BN1963" s="76"/>
      <c r="BO1963" s="76"/>
      <c r="BP1963" s="76"/>
      <c r="BQ1963" s="76"/>
      <c r="BR1963" s="76"/>
      <c r="BS1963" s="76"/>
      <c r="BT1963" s="76"/>
      <c r="BU1963" s="76"/>
      <c r="BV1963" s="76"/>
      <c r="BW1963" s="76"/>
      <c r="BX1963" s="76"/>
      <c r="BY1963" s="76"/>
      <c r="BZ1963" s="76"/>
      <c r="CA1963" s="76"/>
      <c r="CB1963" s="76"/>
      <c r="CC1963" s="76"/>
      <c r="CD1963" s="76"/>
      <c r="CE1963" s="76"/>
      <c r="CF1963" s="76">
        <f>+CE1963*28000</f>
        <v>0</v>
      </c>
      <c r="CG1963" s="76"/>
      <c r="CH1963" s="76">
        <f>+CG1963*22500</f>
        <v>0</v>
      </c>
      <c r="CI1963" s="76"/>
      <c r="CJ1963" s="76">
        <f>+CI1963*26000</f>
        <v>0</v>
      </c>
      <c r="CK1963" s="76"/>
      <c r="CL1963" s="76"/>
      <c r="CM1963" s="76"/>
      <c r="CN1963" s="76">
        <f>+CM1963*22000</f>
        <v>0</v>
      </c>
      <c r="CO1963" s="76"/>
      <c r="CP1963" s="76">
        <f>+CO1963*46000</f>
        <v>0</v>
      </c>
      <c r="CQ1963" s="76"/>
      <c r="CR1963" s="76">
        <f>+CQ1963*49000</f>
        <v>0</v>
      </c>
      <c r="CS1963" s="76"/>
      <c r="CT1963" s="76"/>
      <c r="CU1963" s="56">
        <f>AN1963+AP1963+AR1963+AT1963+AV1963+AX1963+AZ1963+BB1963+BD1963+BF1963+BH1963+BJ1963+BL1963+BN1963+BP1963+BR1963+BT1963+BV1963+BX1963+BZ1963+CB1963+CD1963+CF1963+CH1963+CJ1963+CL1963+CN1963+CP1963+CR1963+CT1963</f>
        <v>0</v>
      </c>
      <c r="CV1963" s="76"/>
      <c r="CW1963" s="76">
        <f>+CV1963*1100</f>
        <v>0</v>
      </c>
      <c r="CX1963" s="76"/>
      <c r="CY1963" s="76">
        <f>+CX1963*106250</f>
        <v>0</v>
      </c>
      <c r="CZ1963" s="76"/>
      <c r="DA1963" s="76">
        <f>+CZ1963*34500</f>
        <v>0</v>
      </c>
      <c r="DB1963" s="76"/>
      <c r="DC1963" s="76">
        <f>+DB1963*25000</f>
        <v>0</v>
      </c>
      <c r="DD1963" s="219"/>
      <c r="DE1963" s="219"/>
      <c r="DF1963" s="166"/>
      <c r="DG1963" s="116"/>
      <c r="DH1963" s="117"/>
      <c r="DI1963" s="24"/>
      <c r="DJ1963" s="24"/>
      <c r="DK1963" s="24"/>
      <c r="DL1963" s="24"/>
      <c r="DM1963" s="24"/>
      <c r="DN1963" s="24"/>
      <c r="DO1963" s="24"/>
      <c r="DP1963" s="24"/>
      <c r="DQ1963" s="24"/>
      <c r="DR1963" s="24"/>
      <c r="DS1963" s="24"/>
      <c r="DT1963" s="24"/>
      <c r="DU1963" s="24"/>
    </row>
    <row r="1964" spans="1:125" s="8" customFormat="1" ht="48" x14ac:dyDescent="0.2">
      <c r="A1964" s="353">
        <v>41422</v>
      </c>
      <c r="B1964" s="352" t="s">
        <v>2894</v>
      </c>
      <c r="C1964" s="354" t="s">
        <v>2412</v>
      </c>
      <c r="D1964" s="354" t="s">
        <v>3051</v>
      </c>
      <c r="E1964" s="75" t="str">
        <f>VLOOKUP(B1964&amp;C1964,Divipola!$C$2:$F$1138,4,FALSE)</f>
        <v>05154</v>
      </c>
      <c r="F1964" s="87"/>
      <c r="G1964" s="87"/>
      <c r="H1964" s="87"/>
      <c r="I1964" s="87">
        <v>2550</v>
      </c>
      <c r="J1964" s="87">
        <v>510</v>
      </c>
      <c r="K1964" s="87"/>
      <c r="L1964" s="87">
        <v>510</v>
      </c>
      <c r="M1964" s="87"/>
      <c r="N1964" s="87"/>
      <c r="O1964" s="87"/>
      <c r="P1964" s="87"/>
      <c r="Q1964" s="87"/>
      <c r="R1964" s="87"/>
      <c r="S1964" s="87"/>
      <c r="T1964" s="87"/>
      <c r="U1964" s="88"/>
      <c r="V1964" s="89"/>
      <c r="W1964" s="96">
        <v>0</v>
      </c>
      <c r="X1964" s="71">
        <f>CU1964</f>
        <v>0</v>
      </c>
      <c r="Y1964" s="71">
        <f>CY1964</f>
        <v>0</v>
      </c>
      <c r="Z1964" s="71">
        <f>DA1964+DC1964+DE1964</f>
        <v>0</v>
      </c>
      <c r="AA1964" s="71">
        <f>CW1964</f>
        <v>0</v>
      </c>
      <c r="AB1964" s="71"/>
      <c r="AC1964" s="71">
        <v>0</v>
      </c>
      <c r="AD1964" s="71">
        <f>W1964+X1964+Y1964+Z1964+AA1964+AB1964+AC1964</f>
        <v>0</v>
      </c>
      <c r="AE1964" s="72">
        <v>0</v>
      </c>
      <c r="AF1964" s="5"/>
      <c r="AG1964" s="6"/>
      <c r="AH1964" s="27" t="s">
        <v>3392</v>
      </c>
      <c r="AI1964" s="44" t="s">
        <v>3393</v>
      </c>
      <c r="AJ1964" s="26"/>
      <c r="AK1964" s="5"/>
      <c r="AL1964" s="82" t="s">
        <v>4782</v>
      </c>
      <c r="AM1964" s="76"/>
      <c r="AN1964" s="76"/>
      <c r="AO1964" s="76"/>
      <c r="AP1964" s="76"/>
      <c r="AQ1964" s="76"/>
      <c r="AR1964" s="76"/>
      <c r="AS1964" s="76"/>
      <c r="AT1964" s="76"/>
      <c r="AU1964" s="76"/>
      <c r="AV1964" s="76"/>
      <c r="AW1964" s="76"/>
      <c r="AX1964" s="76">
        <f>+AW1964*600000</f>
        <v>0</v>
      </c>
      <c r="AY1964" s="76"/>
      <c r="AZ1964" s="76">
        <f>+AY1964*70000</f>
        <v>0</v>
      </c>
      <c r="BA1964" s="76"/>
      <c r="BB1964" s="76"/>
      <c r="BC1964" s="76"/>
      <c r="BD1964" s="76">
        <f>+BC1964*30000</f>
        <v>0</v>
      </c>
      <c r="BE1964" s="76"/>
      <c r="BF1964" s="76"/>
      <c r="BG1964" s="76"/>
      <c r="BH1964" s="76"/>
      <c r="BI1964" s="76"/>
      <c r="BJ1964" s="76"/>
      <c r="BK1964" s="76"/>
      <c r="BL1964" s="76">
        <f>+BK1964*31500</f>
        <v>0</v>
      </c>
      <c r="BM1964" s="76"/>
      <c r="BN1964" s="76"/>
      <c r="BO1964" s="76"/>
      <c r="BP1964" s="76"/>
      <c r="BQ1964" s="76"/>
      <c r="BR1964" s="76"/>
      <c r="BS1964" s="76"/>
      <c r="BT1964" s="76"/>
      <c r="BU1964" s="76"/>
      <c r="BV1964" s="76"/>
      <c r="BW1964" s="76"/>
      <c r="BX1964" s="76"/>
      <c r="BY1964" s="76"/>
      <c r="BZ1964" s="76"/>
      <c r="CA1964" s="76"/>
      <c r="CB1964" s="76"/>
      <c r="CC1964" s="76"/>
      <c r="CD1964" s="76"/>
      <c r="CE1964" s="76"/>
      <c r="CF1964" s="76">
        <f>+CE1964*28000</f>
        <v>0</v>
      </c>
      <c r="CG1964" s="76"/>
      <c r="CH1964" s="76">
        <f>+CG1964*22500</f>
        <v>0</v>
      </c>
      <c r="CI1964" s="76"/>
      <c r="CJ1964" s="76">
        <f>+CI1964*26000</f>
        <v>0</v>
      </c>
      <c r="CK1964" s="76"/>
      <c r="CL1964" s="76"/>
      <c r="CM1964" s="76"/>
      <c r="CN1964" s="76">
        <f>+CM1964*22000</f>
        <v>0</v>
      </c>
      <c r="CO1964" s="76"/>
      <c r="CP1964" s="76">
        <f>+CO1964*46000</f>
        <v>0</v>
      </c>
      <c r="CQ1964" s="76"/>
      <c r="CR1964" s="76">
        <f>+CQ1964*49000</f>
        <v>0</v>
      </c>
      <c r="CS1964" s="76"/>
      <c r="CT1964" s="76"/>
      <c r="CU1964" s="56">
        <f>AN1964+AP1964+AR1964+AT1964+AV1964+AX1964+AZ1964+BB1964+BD1964+BF1964+BH1964+BJ1964+BL1964+BN1964+BP1964+BR1964+BT1964+BV1964+BX1964+BZ1964+CB1964+CD1964+CF1964+CH1964+CJ1964+CL1964+CN1964+CP1964+CR1964+CT1964</f>
        <v>0</v>
      </c>
      <c r="CV1964" s="76"/>
      <c r="CW1964" s="76">
        <f>+CV1964*1100</f>
        <v>0</v>
      </c>
      <c r="CX1964" s="76"/>
      <c r="CY1964" s="76">
        <f>+CX1964*106250</f>
        <v>0</v>
      </c>
      <c r="CZ1964" s="76"/>
      <c r="DA1964" s="76">
        <f>+CZ1964*34500</f>
        <v>0</v>
      </c>
      <c r="DB1964" s="76"/>
      <c r="DC1964" s="76">
        <f>+DB1964*25000</f>
        <v>0</v>
      </c>
      <c r="DD1964" s="219"/>
      <c r="DE1964" s="219"/>
      <c r="DF1964" s="166"/>
      <c r="DG1964" s="116"/>
      <c r="DH1964" s="117"/>
      <c r="DI1964" s="24"/>
      <c r="DJ1964" s="24"/>
      <c r="DK1964" s="24"/>
      <c r="DL1964" s="24"/>
      <c r="DM1964" s="24"/>
      <c r="DN1964" s="24"/>
      <c r="DO1964" s="24"/>
      <c r="DP1964" s="24"/>
      <c r="DQ1964" s="24"/>
      <c r="DR1964" s="24"/>
      <c r="DS1964" s="24"/>
      <c r="DT1964" s="24"/>
      <c r="DU1964" s="24"/>
    </row>
    <row r="1965" spans="1:125" s="8" customFormat="1" ht="36" x14ac:dyDescent="0.2">
      <c r="A1965" s="97">
        <v>41422</v>
      </c>
      <c r="B1965" s="60" t="s">
        <v>2196</v>
      </c>
      <c r="C1965" s="55" t="s">
        <v>2123</v>
      </c>
      <c r="D1965" s="55" t="s">
        <v>4391</v>
      </c>
      <c r="E1965" s="75" t="str">
        <f>VLOOKUP(B1965&amp;C1965,Divipola!$C$2:$F$1138,4,FALSE)</f>
        <v>17662</v>
      </c>
      <c r="F1965" s="87">
        <v>1</v>
      </c>
      <c r="G1965" s="87"/>
      <c r="H1965" s="87"/>
      <c r="I1965" s="87"/>
      <c r="J1965" s="87"/>
      <c r="K1965" s="87"/>
      <c r="L1965" s="87"/>
      <c r="M1965" s="87"/>
      <c r="N1965" s="87"/>
      <c r="O1965" s="87"/>
      <c r="P1965" s="87"/>
      <c r="Q1965" s="87"/>
      <c r="R1965" s="87"/>
      <c r="S1965" s="87"/>
      <c r="T1965" s="87"/>
      <c r="U1965" s="88"/>
      <c r="V1965" s="89"/>
      <c r="W1965" s="96">
        <v>0</v>
      </c>
      <c r="X1965" s="71">
        <f>CU1965</f>
        <v>0</v>
      </c>
      <c r="Y1965" s="71">
        <f>CY1965</f>
        <v>0</v>
      </c>
      <c r="Z1965" s="71">
        <f>DA1965+DC1965+DE1965</f>
        <v>0</v>
      </c>
      <c r="AA1965" s="71">
        <f>CW1965</f>
        <v>0</v>
      </c>
      <c r="AB1965" s="71"/>
      <c r="AC1965" s="71">
        <v>0</v>
      </c>
      <c r="AD1965" s="71">
        <f>W1965+X1965+Y1965+Z1965+AA1965+AB1965+AC1965</f>
        <v>0</v>
      </c>
      <c r="AE1965" s="72">
        <v>0</v>
      </c>
      <c r="AF1965" s="5"/>
      <c r="AG1965" s="6"/>
      <c r="AH1965" s="27" t="s">
        <v>3392</v>
      </c>
      <c r="AI1965" s="44" t="s">
        <v>3393</v>
      </c>
      <c r="AJ1965" s="26"/>
      <c r="AK1965" s="5"/>
      <c r="AL1965" s="82" t="s">
        <v>4803</v>
      </c>
      <c r="AM1965" s="76"/>
      <c r="AN1965" s="76"/>
      <c r="AO1965" s="76"/>
      <c r="AP1965" s="76"/>
      <c r="AQ1965" s="76"/>
      <c r="AR1965" s="76"/>
      <c r="AS1965" s="76"/>
      <c r="AT1965" s="76"/>
      <c r="AU1965" s="76"/>
      <c r="AV1965" s="76"/>
      <c r="AW1965" s="76"/>
      <c r="AX1965" s="76">
        <f>+AW1965*600000</f>
        <v>0</v>
      </c>
      <c r="AY1965" s="76"/>
      <c r="AZ1965" s="76">
        <f>+AY1965*70000</f>
        <v>0</v>
      </c>
      <c r="BA1965" s="76"/>
      <c r="BB1965" s="76"/>
      <c r="BC1965" s="76"/>
      <c r="BD1965" s="76">
        <f>+BC1965*30000</f>
        <v>0</v>
      </c>
      <c r="BE1965" s="76"/>
      <c r="BF1965" s="76"/>
      <c r="BG1965" s="76"/>
      <c r="BH1965" s="76"/>
      <c r="BI1965" s="76"/>
      <c r="BJ1965" s="76"/>
      <c r="BK1965" s="76"/>
      <c r="BL1965" s="76">
        <f>+BK1965*31500</f>
        <v>0</v>
      </c>
      <c r="BM1965" s="76"/>
      <c r="BN1965" s="76"/>
      <c r="BO1965" s="76"/>
      <c r="BP1965" s="76"/>
      <c r="BQ1965" s="76"/>
      <c r="BR1965" s="76"/>
      <c r="BS1965" s="76"/>
      <c r="BT1965" s="76"/>
      <c r="BU1965" s="76"/>
      <c r="BV1965" s="76"/>
      <c r="BW1965" s="76"/>
      <c r="BX1965" s="76"/>
      <c r="BY1965" s="76"/>
      <c r="BZ1965" s="76"/>
      <c r="CA1965" s="76"/>
      <c r="CB1965" s="76"/>
      <c r="CC1965" s="76"/>
      <c r="CD1965" s="76"/>
      <c r="CE1965" s="76"/>
      <c r="CF1965" s="76">
        <f>+CE1965*28000</f>
        <v>0</v>
      </c>
      <c r="CG1965" s="76"/>
      <c r="CH1965" s="76">
        <f>+CG1965*22500</f>
        <v>0</v>
      </c>
      <c r="CI1965" s="76"/>
      <c r="CJ1965" s="76">
        <f>+CI1965*26000</f>
        <v>0</v>
      </c>
      <c r="CK1965" s="76"/>
      <c r="CL1965" s="76"/>
      <c r="CM1965" s="76"/>
      <c r="CN1965" s="76">
        <f>+CM1965*22000</f>
        <v>0</v>
      </c>
      <c r="CO1965" s="76"/>
      <c r="CP1965" s="76">
        <f>+CO1965*46000</f>
        <v>0</v>
      </c>
      <c r="CQ1965" s="76"/>
      <c r="CR1965" s="76">
        <f>+CQ1965*49000</f>
        <v>0</v>
      </c>
      <c r="CS1965" s="76"/>
      <c r="CT1965" s="76"/>
      <c r="CU1965" s="56">
        <f>AN1965+AP1965+AR1965+AT1965+AV1965+AX1965+AZ1965+BB1965+BD1965+BF1965+BH1965+BJ1965+BL1965+BN1965+BP1965+BR1965+BT1965+BV1965+BX1965+BZ1965+CB1965+CD1965+CF1965+CH1965+CJ1965+CL1965+CN1965+CP1965+CR1965+CT1965</f>
        <v>0</v>
      </c>
      <c r="CV1965" s="76"/>
      <c r="CW1965" s="76">
        <f>+CV1965*1100</f>
        <v>0</v>
      </c>
      <c r="CX1965" s="76"/>
      <c r="CY1965" s="76">
        <f>+CX1965*106250</f>
        <v>0</v>
      </c>
      <c r="CZ1965" s="76"/>
      <c r="DA1965" s="76">
        <f>+CZ1965*34500</f>
        <v>0</v>
      </c>
      <c r="DB1965" s="76"/>
      <c r="DC1965" s="76">
        <f>+DB1965*25000</f>
        <v>0</v>
      </c>
      <c r="DD1965" s="219"/>
      <c r="DE1965" s="219"/>
      <c r="DF1965" s="166"/>
      <c r="DG1965" s="116"/>
      <c r="DH1965" s="117"/>
      <c r="DI1965" s="24"/>
      <c r="DJ1965" s="24"/>
      <c r="DK1965" s="24"/>
      <c r="DL1965" s="24"/>
      <c r="DM1965" s="24"/>
      <c r="DN1965" s="24"/>
      <c r="DO1965" s="24"/>
      <c r="DP1965" s="24"/>
      <c r="DQ1965" s="24"/>
      <c r="DR1965" s="24"/>
      <c r="DS1965" s="24"/>
      <c r="DT1965" s="24"/>
      <c r="DU1965" s="24"/>
    </row>
    <row r="1966" spans="1:125" s="8" customFormat="1" ht="36" x14ac:dyDescent="0.2">
      <c r="A1966" s="353">
        <v>41422</v>
      </c>
      <c r="B1966" s="352" t="s">
        <v>2855</v>
      </c>
      <c r="C1966" s="354" t="s">
        <v>907</v>
      </c>
      <c r="D1966" s="354" t="s">
        <v>2882</v>
      </c>
      <c r="E1966" s="75" t="str">
        <f>VLOOKUP(B1966&amp;C1966,Divipola!$C$2:$F$1138,4,FALSE)</f>
        <v>20228</v>
      </c>
      <c r="F1966" s="87"/>
      <c r="G1966" s="87"/>
      <c r="H1966" s="87"/>
      <c r="I1966" s="87"/>
      <c r="J1966" s="87"/>
      <c r="K1966" s="87"/>
      <c r="L1966" s="87"/>
      <c r="M1966" s="87"/>
      <c r="N1966" s="87"/>
      <c r="O1966" s="87"/>
      <c r="P1966" s="87"/>
      <c r="Q1966" s="87"/>
      <c r="R1966" s="87"/>
      <c r="S1966" s="87"/>
      <c r="T1966" s="87"/>
      <c r="U1966" s="88"/>
      <c r="V1966" s="89"/>
      <c r="W1966" s="96">
        <v>0</v>
      </c>
      <c r="X1966" s="71">
        <f>CU1966</f>
        <v>0</v>
      </c>
      <c r="Y1966" s="71">
        <f>CY1966</f>
        <v>0</v>
      </c>
      <c r="Z1966" s="71">
        <f>DA1966+DC1966+DE1966</f>
        <v>0</v>
      </c>
      <c r="AA1966" s="71">
        <f>CW1966</f>
        <v>0</v>
      </c>
      <c r="AB1966" s="71"/>
      <c r="AC1966" s="71">
        <v>0</v>
      </c>
      <c r="AD1966" s="71">
        <f>W1966+X1966+Y1966+Z1966+AA1966+AB1966+AC1966</f>
        <v>0</v>
      </c>
      <c r="AE1966" s="72">
        <v>0</v>
      </c>
      <c r="AF1966" s="5"/>
      <c r="AG1966" s="6"/>
      <c r="AH1966" s="27" t="s">
        <v>3392</v>
      </c>
      <c r="AI1966" s="44" t="s">
        <v>3393</v>
      </c>
      <c r="AJ1966" s="26"/>
      <c r="AK1966" s="5"/>
      <c r="AL1966" s="82" t="s">
        <v>4801</v>
      </c>
      <c r="AM1966" s="76"/>
      <c r="AN1966" s="76"/>
      <c r="AO1966" s="76"/>
      <c r="AP1966" s="76"/>
      <c r="AQ1966" s="76"/>
      <c r="AR1966" s="76"/>
      <c r="AS1966" s="76"/>
      <c r="AT1966" s="76"/>
      <c r="AU1966" s="76"/>
      <c r="AV1966" s="76"/>
      <c r="AW1966" s="76"/>
      <c r="AX1966" s="76">
        <f>+AW1966*600000</f>
        <v>0</v>
      </c>
      <c r="AY1966" s="76"/>
      <c r="AZ1966" s="76">
        <f>+AY1966*70000</f>
        <v>0</v>
      </c>
      <c r="BA1966" s="76"/>
      <c r="BB1966" s="76"/>
      <c r="BC1966" s="76"/>
      <c r="BD1966" s="76">
        <f>+BC1966*30000</f>
        <v>0</v>
      </c>
      <c r="BE1966" s="76"/>
      <c r="BF1966" s="76"/>
      <c r="BG1966" s="76"/>
      <c r="BH1966" s="76"/>
      <c r="BI1966" s="76"/>
      <c r="BJ1966" s="76"/>
      <c r="BK1966" s="76"/>
      <c r="BL1966" s="76">
        <f>+BK1966*31500</f>
        <v>0</v>
      </c>
      <c r="BM1966" s="76"/>
      <c r="BN1966" s="76"/>
      <c r="BO1966" s="76"/>
      <c r="BP1966" s="76"/>
      <c r="BQ1966" s="76"/>
      <c r="BR1966" s="76"/>
      <c r="BS1966" s="76"/>
      <c r="BT1966" s="76"/>
      <c r="BU1966" s="76"/>
      <c r="BV1966" s="76"/>
      <c r="BW1966" s="76"/>
      <c r="BX1966" s="76"/>
      <c r="BY1966" s="76"/>
      <c r="BZ1966" s="76"/>
      <c r="CA1966" s="76"/>
      <c r="CB1966" s="76"/>
      <c r="CC1966" s="76"/>
      <c r="CD1966" s="76"/>
      <c r="CE1966" s="76"/>
      <c r="CF1966" s="76">
        <f>+CE1966*28000</f>
        <v>0</v>
      </c>
      <c r="CG1966" s="76"/>
      <c r="CH1966" s="76">
        <f>+CG1966*22500</f>
        <v>0</v>
      </c>
      <c r="CI1966" s="76"/>
      <c r="CJ1966" s="76">
        <f>+CI1966*26000</f>
        <v>0</v>
      </c>
      <c r="CK1966" s="76"/>
      <c r="CL1966" s="76"/>
      <c r="CM1966" s="76"/>
      <c r="CN1966" s="76">
        <f>+CM1966*22000</f>
        <v>0</v>
      </c>
      <c r="CO1966" s="76"/>
      <c r="CP1966" s="76">
        <f>+CO1966*46000</f>
        <v>0</v>
      </c>
      <c r="CQ1966" s="76"/>
      <c r="CR1966" s="76">
        <f>+CQ1966*49000</f>
        <v>0</v>
      </c>
      <c r="CS1966" s="76"/>
      <c r="CT1966" s="76"/>
      <c r="CU1966" s="56">
        <f>AN1966+AP1966+AR1966+AT1966+AV1966+AX1966+AZ1966+BB1966+BD1966+BF1966+BH1966+BJ1966+BL1966+BN1966+BP1966+BR1966+BT1966+BV1966+BX1966+BZ1966+CB1966+CD1966+CF1966+CH1966+CJ1966+CL1966+CN1966+CP1966+CR1966+CT1966</f>
        <v>0</v>
      </c>
      <c r="CV1966" s="76"/>
      <c r="CW1966" s="76">
        <f>+CV1966*1100</f>
        <v>0</v>
      </c>
      <c r="CX1966" s="76"/>
      <c r="CY1966" s="76">
        <f>+CX1966*106250</f>
        <v>0</v>
      </c>
      <c r="CZ1966" s="76"/>
      <c r="DA1966" s="76">
        <f>+CZ1966*34500</f>
        <v>0</v>
      </c>
      <c r="DB1966" s="76"/>
      <c r="DC1966" s="76">
        <f>+DB1966*25000</f>
        <v>0</v>
      </c>
      <c r="DD1966" s="219"/>
      <c r="DE1966" s="219"/>
      <c r="DF1966" s="166"/>
      <c r="DG1966" s="116"/>
      <c r="DH1966" s="117"/>
      <c r="DI1966" s="24"/>
      <c r="DJ1966" s="24"/>
      <c r="DK1966" s="24"/>
      <c r="DL1966" s="24"/>
      <c r="DM1966" s="24"/>
      <c r="DN1966" s="24"/>
      <c r="DO1966" s="24"/>
      <c r="DP1966" s="24"/>
      <c r="DQ1966" s="24"/>
      <c r="DR1966" s="24"/>
      <c r="DS1966" s="24"/>
      <c r="DT1966" s="24"/>
      <c r="DU1966" s="24"/>
    </row>
    <row r="1967" spans="1:125" s="8" customFormat="1" ht="60" x14ac:dyDescent="0.2">
      <c r="A1967" s="77">
        <v>41422</v>
      </c>
      <c r="B1967" s="78" t="s">
        <v>2855</v>
      </c>
      <c r="C1967" s="75" t="s">
        <v>909</v>
      </c>
      <c r="D1967" s="75" t="s">
        <v>2882</v>
      </c>
      <c r="E1967" s="75" t="str">
        <f>VLOOKUP(B1967&amp;C1967,Divipola!$C$2:$F$1138,4,FALSE)</f>
        <v>20238</v>
      </c>
      <c r="F1967" s="87"/>
      <c r="G1967" s="87"/>
      <c r="H1967" s="87"/>
      <c r="I1967" s="87"/>
      <c r="J1967" s="87"/>
      <c r="K1967" s="87"/>
      <c r="L1967" s="87"/>
      <c r="M1967" s="87"/>
      <c r="N1967" s="87"/>
      <c r="O1967" s="87"/>
      <c r="P1967" s="87"/>
      <c r="Q1967" s="87"/>
      <c r="R1967" s="87"/>
      <c r="S1967" s="87"/>
      <c r="T1967" s="87"/>
      <c r="U1967" s="88"/>
      <c r="V1967" s="89"/>
      <c r="W1967" s="96">
        <v>0</v>
      </c>
      <c r="X1967" s="71">
        <f>CU1967</f>
        <v>0</v>
      </c>
      <c r="Y1967" s="71">
        <f>CY1967</f>
        <v>0</v>
      </c>
      <c r="Z1967" s="71">
        <f>DA1967+DC1967+DE1967</f>
        <v>0</v>
      </c>
      <c r="AA1967" s="71">
        <f>CW1967</f>
        <v>0</v>
      </c>
      <c r="AB1967" s="71"/>
      <c r="AC1967" s="71">
        <v>0</v>
      </c>
      <c r="AD1967" s="71">
        <f>W1967+X1967+Y1967+Z1967+AA1967+AB1967+AC1967</f>
        <v>0</v>
      </c>
      <c r="AE1967" s="72">
        <v>0</v>
      </c>
      <c r="AF1967" s="5"/>
      <c r="AG1967" s="6"/>
      <c r="AH1967" s="27" t="s">
        <v>3392</v>
      </c>
      <c r="AI1967" s="44" t="s">
        <v>3393</v>
      </c>
      <c r="AJ1967" s="26"/>
      <c r="AK1967" s="5"/>
      <c r="AL1967" s="82" t="s">
        <v>4797</v>
      </c>
      <c r="AM1967" s="76"/>
      <c r="AN1967" s="76"/>
      <c r="AO1967" s="76"/>
      <c r="AP1967" s="76"/>
      <c r="AQ1967" s="76"/>
      <c r="AR1967" s="76"/>
      <c r="AS1967" s="76"/>
      <c r="AT1967" s="76"/>
      <c r="AU1967" s="76"/>
      <c r="AV1967" s="76"/>
      <c r="AW1967" s="76"/>
      <c r="AX1967" s="76">
        <f>+AW1967*600000</f>
        <v>0</v>
      </c>
      <c r="AY1967" s="76"/>
      <c r="AZ1967" s="76">
        <f>+AY1967*70000</f>
        <v>0</v>
      </c>
      <c r="BA1967" s="76"/>
      <c r="BB1967" s="76"/>
      <c r="BC1967" s="76"/>
      <c r="BD1967" s="76">
        <f>+BC1967*30000</f>
        <v>0</v>
      </c>
      <c r="BE1967" s="76"/>
      <c r="BF1967" s="76"/>
      <c r="BG1967" s="76"/>
      <c r="BH1967" s="76"/>
      <c r="BI1967" s="76"/>
      <c r="BJ1967" s="76"/>
      <c r="BK1967" s="76"/>
      <c r="BL1967" s="76">
        <f>+BK1967*31500</f>
        <v>0</v>
      </c>
      <c r="BM1967" s="76"/>
      <c r="BN1967" s="76"/>
      <c r="BO1967" s="76"/>
      <c r="BP1967" s="76"/>
      <c r="BQ1967" s="76"/>
      <c r="BR1967" s="76"/>
      <c r="BS1967" s="76"/>
      <c r="BT1967" s="76"/>
      <c r="BU1967" s="76"/>
      <c r="BV1967" s="76"/>
      <c r="BW1967" s="76"/>
      <c r="BX1967" s="76"/>
      <c r="BY1967" s="76"/>
      <c r="BZ1967" s="76"/>
      <c r="CA1967" s="76"/>
      <c r="CB1967" s="76"/>
      <c r="CC1967" s="76"/>
      <c r="CD1967" s="76"/>
      <c r="CE1967" s="76"/>
      <c r="CF1967" s="76">
        <f>+CE1967*28000</f>
        <v>0</v>
      </c>
      <c r="CG1967" s="76"/>
      <c r="CH1967" s="76">
        <f>+CG1967*22500</f>
        <v>0</v>
      </c>
      <c r="CI1967" s="76"/>
      <c r="CJ1967" s="76">
        <f>+CI1967*26000</f>
        <v>0</v>
      </c>
      <c r="CK1967" s="76"/>
      <c r="CL1967" s="76"/>
      <c r="CM1967" s="76"/>
      <c r="CN1967" s="76">
        <f>+CM1967*22000</f>
        <v>0</v>
      </c>
      <c r="CO1967" s="76"/>
      <c r="CP1967" s="76">
        <f>+CO1967*46000</f>
        <v>0</v>
      </c>
      <c r="CQ1967" s="76"/>
      <c r="CR1967" s="76">
        <f>+CQ1967*49000</f>
        <v>0</v>
      </c>
      <c r="CS1967" s="76"/>
      <c r="CT1967" s="76"/>
      <c r="CU1967" s="56">
        <f>AN1967+AP1967+AR1967+AT1967+AV1967+AX1967+AZ1967+BB1967+BD1967+BF1967+BH1967+BJ1967+BL1967+BN1967+BP1967+BR1967+BT1967+BV1967+BX1967+BZ1967+CB1967+CD1967+CF1967+CH1967+CJ1967+CL1967+CN1967+CP1967+CR1967+CT1967</f>
        <v>0</v>
      </c>
      <c r="CV1967" s="76"/>
      <c r="CW1967" s="76">
        <f>+CV1967*1100</f>
        <v>0</v>
      </c>
      <c r="CX1967" s="76"/>
      <c r="CY1967" s="76">
        <f>+CX1967*106250</f>
        <v>0</v>
      </c>
      <c r="CZ1967" s="76"/>
      <c r="DA1967" s="76">
        <f>+CZ1967*34500</f>
        <v>0</v>
      </c>
      <c r="DB1967" s="76"/>
      <c r="DC1967" s="76">
        <f>+DB1967*25000</f>
        <v>0</v>
      </c>
      <c r="DD1967" s="219"/>
      <c r="DE1967" s="219"/>
      <c r="DF1967" s="166"/>
      <c r="DG1967" s="116"/>
      <c r="DH1967" s="117"/>
      <c r="DI1967" s="24"/>
      <c r="DJ1967" s="24"/>
      <c r="DK1967" s="24"/>
      <c r="DL1967" s="24"/>
      <c r="DM1967" s="24"/>
      <c r="DN1967" s="24"/>
      <c r="DO1967" s="24"/>
      <c r="DP1967" s="24"/>
      <c r="DQ1967" s="24"/>
      <c r="DR1967" s="24"/>
      <c r="DS1967" s="24"/>
      <c r="DT1967" s="24"/>
      <c r="DU1967" s="24"/>
    </row>
    <row r="1968" spans="1:125" s="8" customFormat="1" ht="108" x14ac:dyDescent="0.2">
      <c r="A1968" s="353">
        <v>41422</v>
      </c>
      <c r="B1968" s="225" t="s">
        <v>2772</v>
      </c>
      <c r="C1968" s="227" t="s">
        <v>1010</v>
      </c>
      <c r="D1968" s="354" t="s">
        <v>3051</v>
      </c>
      <c r="E1968" s="75" t="str">
        <f>VLOOKUP(B1968&amp;C1968,Divipola!$C$2:$F$1138,4,FALSE)</f>
        <v>25001</v>
      </c>
      <c r="F1968" s="87"/>
      <c r="G1968" s="87"/>
      <c r="H1968" s="87"/>
      <c r="I1968" s="87"/>
      <c r="J1968" s="87"/>
      <c r="K1968" s="87"/>
      <c r="L1968" s="87"/>
      <c r="M1968" s="87"/>
      <c r="N1968" s="87"/>
      <c r="O1968" s="87"/>
      <c r="P1968" s="87">
        <v>1</v>
      </c>
      <c r="Q1968" s="87"/>
      <c r="R1968" s="87"/>
      <c r="S1968" s="87"/>
      <c r="T1968" s="87"/>
      <c r="U1968" s="88"/>
      <c r="V1968" s="89"/>
      <c r="W1968" s="96">
        <v>0</v>
      </c>
      <c r="X1968" s="71">
        <f>CU1968</f>
        <v>0</v>
      </c>
      <c r="Y1968" s="71">
        <f>CY1968</f>
        <v>0</v>
      </c>
      <c r="Z1968" s="71">
        <f>DA1968+DC1968+DE1968</f>
        <v>0</v>
      </c>
      <c r="AA1968" s="71">
        <f>CW1968</f>
        <v>0</v>
      </c>
      <c r="AB1968" s="71"/>
      <c r="AC1968" s="71">
        <v>0</v>
      </c>
      <c r="AD1968" s="71">
        <f>W1968+X1968+Y1968+Z1968+AA1968+AB1968+AC1968</f>
        <v>0</v>
      </c>
      <c r="AE1968" s="72">
        <v>0</v>
      </c>
      <c r="AF1968" s="5"/>
      <c r="AG1968" s="6"/>
      <c r="AH1968" s="27" t="s">
        <v>3392</v>
      </c>
      <c r="AI1968" s="44" t="s">
        <v>3393</v>
      </c>
      <c r="AJ1968" s="26"/>
      <c r="AK1968" s="5"/>
      <c r="AL1968" s="82" t="s">
        <v>4802</v>
      </c>
      <c r="AM1968" s="76"/>
      <c r="AN1968" s="76"/>
      <c r="AO1968" s="76"/>
      <c r="AP1968" s="76"/>
      <c r="AQ1968" s="76"/>
      <c r="AR1968" s="76"/>
      <c r="AS1968" s="76"/>
      <c r="AT1968" s="76"/>
      <c r="AU1968" s="76"/>
      <c r="AV1968" s="76"/>
      <c r="AW1968" s="76"/>
      <c r="AX1968" s="76">
        <f>+AW1968*600000</f>
        <v>0</v>
      </c>
      <c r="AY1968" s="76"/>
      <c r="AZ1968" s="76">
        <f>+AY1968*70000</f>
        <v>0</v>
      </c>
      <c r="BA1968" s="76"/>
      <c r="BB1968" s="76"/>
      <c r="BC1968" s="76"/>
      <c r="BD1968" s="76">
        <f>+BC1968*30000</f>
        <v>0</v>
      </c>
      <c r="BE1968" s="76"/>
      <c r="BF1968" s="76"/>
      <c r="BG1968" s="76"/>
      <c r="BH1968" s="76"/>
      <c r="BI1968" s="76"/>
      <c r="BJ1968" s="76"/>
      <c r="BK1968" s="76"/>
      <c r="BL1968" s="76">
        <f>+BK1968*31500</f>
        <v>0</v>
      </c>
      <c r="BM1968" s="76"/>
      <c r="BN1968" s="76"/>
      <c r="BO1968" s="76"/>
      <c r="BP1968" s="76"/>
      <c r="BQ1968" s="76"/>
      <c r="BR1968" s="76"/>
      <c r="BS1968" s="76"/>
      <c r="BT1968" s="76"/>
      <c r="BU1968" s="76"/>
      <c r="BV1968" s="76"/>
      <c r="BW1968" s="76"/>
      <c r="BX1968" s="76"/>
      <c r="BY1968" s="76"/>
      <c r="BZ1968" s="76"/>
      <c r="CA1968" s="76"/>
      <c r="CB1968" s="76"/>
      <c r="CC1968" s="76"/>
      <c r="CD1968" s="76"/>
      <c r="CE1968" s="76"/>
      <c r="CF1968" s="76">
        <f>+CE1968*28000</f>
        <v>0</v>
      </c>
      <c r="CG1968" s="76"/>
      <c r="CH1968" s="76">
        <f>+CG1968*22500</f>
        <v>0</v>
      </c>
      <c r="CI1968" s="76"/>
      <c r="CJ1968" s="76">
        <f>+CI1968*26000</f>
        <v>0</v>
      </c>
      <c r="CK1968" s="76"/>
      <c r="CL1968" s="76"/>
      <c r="CM1968" s="76"/>
      <c r="CN1968" s="76">
        <f>+CM1968*22000</f>
        <v>0</v>
      </c>
      <c r="CO1968" s="76"/>
      <c r="CP1968" s="76">
        <f>+CO1968*46000</f>
        <v>0</v>
      </c>
      <c r="CQ1968" s="76"/>
      <c r="CR1968" s="76">
        <f>+CQ1968*49000</f>
        <v>0</v>
      </c>
      <c r="CS1968" s="76"/>
      <c r="CT1968" s="76"/>
      <c r="CU1968" s="56">
        <f>AN1968+AP1968+AR1968+AT1968+AV1968+AX1968+AZ1968+BB1968+BD1968+BF1968+BH1968+BJ1968+BL1968+BN1968+BP1968+BR1968+BT1968+BV1968+BX1968+BZ1968+CB1968+CD1968+CF1968+CH1968+CJ1968+CL1968+CN1968+CP1968+CR1968+CT1968</f>
        <v>0</v>
      </c>
      <c r="CV1968" s="76"/>
      <c r="CW1968" s="76">
        <f>+CV1968*1100</f>
        <v>0</v>
      </c>
      <c r="CX1968" s="76"/>
      <c r="CY1968" s="76">
        <f>+CX1968*106250</f>
        <v>0</v>
      </c>
      <c r="CZ1968" s="76"/>
      <c r="DA1968" s="76">
        <f>+CZ1968*34500</f>
        <v>0</v>
      </c>
      <c r="DB1968" s="76"/>
      <c r="DC1968" s="76">
        <f>+DB1968*25000</f>
        <v>0</v>
      </c>
      <c r="DD1968" s="219"/>
      <c r="DE1968" s="219"/>
      <c r="DF1968" s="166"/>
      <c r="DG1968" s="116"/>
      <c r="DH1968" s="117"/>
      <c r="DI1968" s="24"/>
      <c r="DJ1968" s="24"/>
      <c r="DK1968" s="24"/>
      <c r="DL1968" s="24"/>
      <c r="DM1968" s="24"/>
      <c r="DN1968" s="24"/>
      <c r="DO1968" s="24"/>
      <c r="DP1968" s="24"/>
      <c r="DQ1968" s="24"/>
      <c r="DR1968" s="24"/>
      <c r="DS1968" s="24"/>
      <c r="DT1968" s="24"/>
      <c r="DU1968" s="24"/>
    </row>
    <row r="1969" spans="1:125" s="8" customFormat="1" ht="48" x14ac:dyDescent="0.2">
      <c r="A1969" s="353">
        <v>41422</v>
      </c>
      <c r="B1969" s="352" t="s">
        <v>2906</v>
      </c>
      <c r="C1969" s="354" t="s">
        <v>466</v>
      </c>
      <c r="D1969" s="354" t="s">
        <v>2882</v>
      </c>
      <c r="E1969" s="75" t="str">
        <f>VLOOKUP(B1969&amp;C1969,Divipola!$C$2:$F$1138,4,FALSE)</f>
        <v>47707</v>
      </c>
      <c r="F1969" s="87"/>
      <c r="G1969" s="87"/>
      <c r="H1969" s="87"/>
      <c r="I1969" s="87">
        <v>50</v>
      </c>
      <c r="J1969" s="87">
        <v>10</v>
      </c>
      <c r="K1969" s="87"/>
      <c r="L1969" s="87">
        <v>10</v>
      </c>
      <c r="M1969" s="87"/>
      <c r="N1969" s="87"/>
      <c r="O1969" s="87"/>
      <c r="P1969" s="87"/>
      <c r="Q1969" s="87"/>
      <c r="R1969" s="87"/>
      <c r="S1969" s="87"/>
      <c r="T1969" s="87"/>
      <c r="U1969" s="88"/>
      <c r="V1969" s="89"/>
      <c r="W1969" s="96">
        <v>0</v>
      </c>
      <c r="X1969" s="71">
        <f>CU1969</f>
        <v>0</v>
      </c>
      <c r="Y1969" s="71">
        <f>CY1969</f>
        <v>0</v>
      </c>
      <c r="Z1969" s="71">
        <f>DA1969+DC1969+DE1969</f>
        <v>0</v>
      </c>
      <c r="AA1969" s="71">
        <f>CW1969</f>
        <v>0</v>
      </c>
      <c r="AB1969" s="71"/>
      <c r="AC1969" s="71">
        <v>0</v>
      </c>
      <c r="AD1969" s="71">
        <f>W1969+X1969+Y1969+Z1969+AA1969+AB1969+AC1969</f>
        <v>0</v>
      </c>
      <c r="AE1969" s="72">
        <v>0</v>
      </c>
      <c r="AF1969" s="5"/>
      <c r="AG1969" s="6"/>
      <c r="AH1969" s="27" t="s">
        <v>3390</v>
      </c>
      <c r="AI1969" s="44" t="s">
        <v>3393</v>
      </c>
      <c r="AJ1969" s="26"/>
      <c r="AK1969" s="5" t="s">
        <v>4242</v>
      </c>
      <c r="AL1969" s="82" t="s">
        <v>4863</v>
      </c>
      <c r="AM1969" s="76"/>
      <c r="AN1969" s="76"/>
      <c r="AO1969" s="76"/>
      <c r="AP1969" s="76"/>
      <c r="AQ1969" s="76"/>
      <c r="AR1969" s="76"/>
      <c r="AS1969" s="76"/>
      <c r="AT1969" s="76"/>
      <c r="AU1969" s="76"/>
      <c r="AV1969" s="76"/>
      <c r="AW1969" s="76"/>
      <c r="AX1969" s="76">
        <f>+AW1969*600000</f>
        <v>0</v>
      </c>
      <c r="AY1969" s="76"/>
      <c r="AZ1969" s="76">
        <f>+AY1969*70000</f>
        <v>0</v>
      </c>
      <c r="BA1969" s="76"/>
      <c r="BB1969" s="76"/>
      <c r="BC1969" s="76"/>
      <c r="BD1969" s="76">
        <f>+BC1969*30000</f>
        <v>0</v>
      </c>
      <c r="BE1969" s="76"/>
      <c r="BF1969" s="76"/>
      <c r="BG1969" s="76"/>
      <c r="BH1969" s="76"/>
      <c r="BI1969" s="76"/>
      <c r="BJ1969" s="76"/>
      <c r="BK1969" s="76"/>
      <c r="BL1969" s="76">
        <f>+BK1969*31500</f>
        <v>0</v>
      </c>
      <c r="BM1969" s="76"/>
      <c r="BN1969" s="76"/>
      <c r="BO1969" s="76"/>
      <c r="BP1969" s="76"/>
      <c r="BQ1969" s="76"/>
      <c r="BR1969" s="76"/>
      <c r="BS1969" s="76"/>
      <c r="BT1969" s="76"/>
      <c r="BU1969" s="76"/>
      <c r="BV1969" s="76"/>
      <c r="BW1969" s="76"/>
      <c r="BX1969" s="76"/>
      <c r="BY1969" s="76"/>
      <c r="BZ1969" s="76"/>
      <c r="CA1969" s="76"/>
      <c r="CB1969" s="76"/>
      <c r="CC1969" s="76"/>
      <c r="CD1969" s="76"/>
      <c r="CE1969" s="76"/>
      <c r="CF1969" s="76">
        <f>+CE1969*28000</f>
        <v>0</v>
      </c>
      <c r="CG1969" s="76"/>
      <c r="CH1969" s="76">
        <f>+CG1969*22500</f>
        <v>0</v>
      </c>
      <c r="CI1969" s="76"/>
      <c r="CJ1969" s="76">
        <f>+CI1969*26000</f>
        <v>0</v>
      </c>
      <c r="CK1969" s="76"/>
      <c r="CL1969" s="76"/>
      <c r="CM1969" s="76"/>
      <c r="CN1969" s="76">
        <f>+CM1969*22000</f>
        <v>0</v>
      </c>
      <c r="CO1969" s="76"/>
      <c r="CP1969" s="76">
        <f>+CO1969*46000</f>
        <v>0</v>
      </c>
      <c r="CQ1969" s="76"/>
      <c r="CR1969" s="76">
        <f>+CQ1969*49000</f>
        <v>0</v>
      </c>
      <c r="CS1969" s="76"/>
      <c r="CT1969" s="76"/>
      <c r="CU1969" s="56">
        <f>AN1969+AP1969+AR1969+AT1969+AV1969+AX1969+AZ1969+BB1969+BD1969+BF1969+BH1969+BJ1969+BL1969+BN1969+BP1969+BR1969+BT1969+BV1969+BX1969+BZ1969+CB1969+CD1969+CF1969+CH1969+CJ1969+CL1969+CN1969+CP1969+CR1969+CT1969</f>
        <v>0</v>
      </c>
      <c r="CV1969" s="76"/>
      <c r="CW1969" s="76">
        <f>+CV1969*1100</f>
        <v>0</v>
      </c>
      <c r="CX1969" s="76"/>
      <c r="CY1969" s="76">
        <f>+CX1969*106250</f>
        <v>0</v>
      </c>
      <c r="CZ1969" s="76"/>
      <c r="DA1969" s="76">
        <f>+CZ1969*34500</f>
        <v>0</v>
      </c>
      <c r="DB1969" s="76"/>
      <c r="DC1969" s="76">
        <f>+DB1969*25000</f>
        <v>0</v>
      </c>
      <c r="DD1969" s="219"/>
      <c r="DE1969" s="219"/>
      <c r="DF1969" s="166"/>
      <c r="DG1969" s="116"/>
      <c r="DH1969" s="117"/>
      <c r="DI1969" s="24"/>
      <c r="DJ1969" s="24"/>
      <c r="DK1969" s="24"/>
      <c r="DL1969" s="24"/>
      <c r="DM1969" s="24"/>
      <c r="DN1969" s="24"/>
      <c r="DO1969" s="24"/>
      <c r="DP1969" s="24"/>
      <c r="DQ1969" s="24"/>
      <c r="DR1969" s="24"/>
      <c r="DS1969" s="24"/>
      <c r="DT1969" s="24"/>
      <c r="DU1969" s="24"/>
    </row>
    <row r="1970" spans="1:125" s="8" customFormat="1" ht="48" x14ac:dyDescent="0.2">
      <c r="A1970" s="226">
        <v>41422</v>
      </c>
      <c r="B1970" s="352" t="s">
        <v>2811</v>
      </c>
      <c r="C1970" s="354" t="s">
        <v>8</v>
      </c>
      <c r="D1970" s="354" t="s">
        <v>3051</v>
      </c>
      <c r="E1970" s="75" t="str">
        <f>VLOOKUP(B1970&amp;C1970,Divipola!$C$2:$F$1138,4,FALSE)</f>
        <v>52207</v>
      </c>
      <c r="F1970" s="87"/>
      <c r="G1970" s="87"/>
      <c r="H1970" s="87"/>
      <c r="I1970" s="87"/>
      <c r="J1970" s="87"/>
      <c r="K1970" s="87"/>
      <c r="L1970" s="87"/>
      <c r="M1970" s="87"/>
      <c r="N1970" s="87"/>
      <c r="O1970" s="87"/>
      <c r="P1970" s="87"/>
      <c r="Q1970" s="87"/>
      <c r="R1970" s="87"/>
      <c r="S1970" s="87">
        <v>1</v>
      </c>
      <c r="T1970" s="87"/>
      <c r="U1970" s="88"/>
      <c r="V1970" s="89"/>
      <c r="W1970" s="96">
        <v>0</v>
      </c>
      <c r="X1970" s="71">
        <f>CU1970</f>
        <v>0</v>
      </c>
      <c r="Y1970" s="71">
        <f>CY1970</f>
        <v>0</v>
      </c>
      <c r="Z1970" s="71">
        <f>DA1970+DC1970+DE1970</f>
        <v>0</v>
      </c>
      <c r="AA1970" s="71">
        <f>CW1970</f>
        <v>0</v>
      </c>
      <c r="AB1970" s="71"/>
      <c r="AC1970" s="71">
        <v>0</v>
      </c>
      <c r="AD1970" s="71">
        <f>W1970+X1970+Y1970+Z1970+AA1970+AB1970+AC1970</f>
        <v>0</v>
      </c>
      <c r="AE1970" s="72">
        <v>0</v>
      </c>
      <c r="AF1970" s="5"/>
      <c r="AG1970" s="6"/>
      <c r="AH1970" s="27" t="s">
        <v>3392</v>
      </c>
      <c r="AI1970" s="44" t="s">
        <v>3393</v>
      </c>
      <c r="AJ1970" s="26"/>
      <c r="AK1970" s="5"/>
      <c r="AL1970" s="82" t="s">
        <v>4776</v>
      </c>
      <c r="AM1970" s="76"/>
      <c r="AN1970" s="76"/>
      <c r="AO1970" s="76"/>
      <c r="AP1970" s="76"/>
      <c r="AQ1970" s="76"/>
      <c r="AR1970" s="76"/>
      <c r="AS1970" s="76"/>
      <c r="AT1970" s="76"/>
      <c r="AU1970" s="76"/>
      <c r="AV1970" s="76"/>
      <c r="AW1970" s="76"/>
      <c r="AX1970" s="76">
        <f>+AW1970*600000</f>
        <v>0</v>
      </c>
      <c r="AY1970" s="76"/>
      <c r="AZ1970" s="76">
        <f>+AY1970*70000</f>
        <v>0</v>
      </c>
      <c r="BA1970" s="76"/>
      <c r="BB1970" s="76"/>
      <c r="BC1970" s="76"/>
      <c r="BD1970" s="76">
        <f>+BC1970*30000</f>
        <v>0</v>
      </c>
      <c r="BE1970" s="76"/>
      <c r="BF1970" s="76"/>
      <c r="BG1970" s="76"/>
      <c r="BH1970" s="76"/>
      <c r="BI1970" s="76"/>
      <c r="BJ1970" s="76"/>
      <c r="BK1970" s="76"/>
      <c r="BL1970" s="76">
        <f>+BK1970*31500</f>
        <v>0</v>
      </c>
      <c r="BM1970" s="76"/>
      <c r="BN1970" s="76"/>
      <c r="BO1970" s="76"/>
      <c r="BP1970" s="76"/>
      <c r="BQ1970" s="76"/>
      <c r="BR1970" s="76"/>
      <c r="BS1970" s="76"/>
      <c r="BT1970" s="76"/>
      <c r="BU1970" s="76"/>
      <c r="BV1970" s="76"/>
      <c r="BW1970" s="76"/>
      <c r="BX1970" s="76"/>
      <c r="BY1970" s="76"/>
      <c r="BZ1970" s="76"/>
      <c r="CA1970" s="76"/>
      <c r="CB1970" s="76"/>
      <c r="CC1970" s="76"/>
      <c r="CD1970" s="76"/>
      <c r="CE1970" s="76"/>
      <c r="CF1970" s="76">
        <f>+CE1970*28000</f>
        <v>0</v>
      </c>
      <c r="CG1970" s="76"/>
      <c r="CH1970" s="76">
        <f>+CG1970*22500</f>
        <v>0</v>
      </c>
      <c r="CI1970" s="76"/>
      <c r="CJ1970" s="76">
        <f>+CI1970*26000</f>
        <v>0</v>
      </c>
      <c r="CK1970" s="76"/>
      <c r="CL1970" s="76"/>
      <c r="CM1970" s="76"/>
      <c r="CN1970" s="76">
        <f>+CM1970*22000</f>
        <v>0</v>
      </c>
      <c r="CO1970" s="76"/>
      <c r="CP1970" s="76">
        <f>+CO1970*46000</f>
        <v>0</v>
      </c>
      <c r="CQ1970" s="76"/>
      <c r="CR1970" s="76">
        <f>+CQ1970*49000</f>
        <v>0</v>
      </c>
      <c r="CS1970" s="76"/>
      <c r="CT1970" s="76"/>
      <c r="CU1970" s="56">
        <f>AN1970+AP1970+AR1970+AT1970+AV1970+AX1970+AZ1970+BB1970+BD1970+BF1970+BH1970+BJ1970+BL1970+BN1970+BP1970+BR1970+BT1970+BV1970+BX1970+BZ1970+CB1970+CD1970+CF1970+CH1970+CJ1970+CL1970+CN1970+CP1970+CR1970+CT1970</f>
        <v>0</v>
      </c>
      <c r="CV1970" s="76"/>
      <c r="CW1970" s="76">
        <f>+CV1970*1100</f>
        <v>0</v>
      </c>
      <c r="CX1970" s="76"/>
      <c r="CY1970" s="76">
        <f>+CX1970*106250</f>
        <v>0</v>
      </c>
      <c r="CZ1970" s="76"/>
      <c r="DA1970" s="76">
        <f>+CZ1970*34500</f>
        <v>0</v>
      </c>
      <c r="DB1970" s="76"/>
      <c r="DC1970" s="76">
        <f>+DB1970*25000</f>
        <v>0</v>
      </c>
      <c r="DD1970" s="219"/>
      <c r="DE1970" s="219"/>
      <c r="DF1970" s="166"/>
      <c r="DG1970" s="116"/>
      <c r="DH1970" s="117"/>
      <c r="DI1970" s="24"/>
      <c r="DJ1970" s="24"/>
      <c r="DK1970" s="24"/>
      <c r="DL1970" s="24"/>
      <c r="DM1970" s="24"/>
      <c r="DN1970" s="24"/>
      <c r="DO1970" s="24"/>
      <c r="DP1970" s="24"/>
      <c r="DQ1970" s="24"/>
      <c r="DR1970" s="24"/>
      <c r="DS1970" s="24"/>
      <c r="DT1970" s="24"/>
      <c r="DU1970" s="24"/>
    </row>
    <row r="1971" spans="1:125" s="8" customFormat="1" ht="72" x14ac:dyDescent="0.2">
      <c r="A1971" s="353">
        <v>41422</v>
      </c>
      <c r="B1971" s="352" t="s">
        <v>2811</v>
      </c>
      <c r="C1971" s="189" t="s">
        <v>151</v>
      </c>
      <c r="D1971" s="354" t="s">
        <v>3088</v>
      </c>
      <c r="E1971" s="75" t="str">
        <f>VLOOKUP(B1971&amp;C1971,Divipola!$C$2:$F$1138,4,FALSE)</f>
        <v>52258</v>
      </c>
      <c r="F1971" s="87"/>
      <c r="G1971" s="87"/>
      <c r="H1971" s="87"/>
      <c r="I1971" s="87">
        <v>95</v>
      </c>
      <c r="J1971" s="87">
        <v>19</v>
      </c>
      <c r="K1971" s="87"/>
      <c r="L1971" s="87">
        <v>19</v>
      </c>
      <c r="M1971" s="87"/>
      <c r="N1971" s="87">
        <v>1</v>
      </c>
      <c r="O1971" s="87"/>
      <c r="P1971" s="87"/>
      <c r="Q1971" s="87"/>
      <c r="R1971" s="87"/>
      <c r="S1971" s="87"/>
      <c r="T1971" s="87"/>
      <c r="U1971" s="88"/>
      <c r="V1971" s="89"/>
      <c r="W1971" s="96">
        <v>0</v>
      </c>
      <c r="X1971" s="71">
        <f>CU1971</f>
        <v>0</v>
      </c>
      <c r="Y1971" s="71">
        <f>CY1971</f>
        <v>0</v>
      </c>
      <c r="Z1971" s="71">
        <f>DA1971+DC1971+DE1971</f>
        <v>0</v>
      </c>
      <c r="AA1971" s="71">
        <f>CW1971</f>
        <v>0</v>
      </c>
      <c r="AB1971" s="71"/>
      <c r="AC1971" s="71">
        <v>0</v>
      </c>
      <c r="AD1971" s="71">
        <f>W1971+X1971+Y1971+Z1971+AA1971+AB1971+AC1971</f>
        <v>0</v>
      </c>
      <c r="AE1971" s="72">
        <v>0</v>
      </c>
      <c r="AF1971" s="5"/>
      <c r="AG1971" s="6"/>
      <c r="AH1971" s="27" t="s">
        <v>3392</v>
      </c>
      <c r="AI1971" s="44" t="s">
        <v>3393</v>
      </c>
      <c r="AJ1971" s="26"/>
      <c r="AK1971" s="5"/>
      <c r="AL1971" s="82" t="s">
        <v>4777</v>
      </c>
      <c r="AM1971" s="76"/>
      <c r="AN1971" s="76"/>
      <c r="AO1971" s="76"/>
      <c r="AP1971" s="76"/>
      <c r="AQ1971" s="76"/>
      <c r="AR1971" s="76"/>
      <c r="AS1971" s="76"/>
      <c r="AT1971" s="76"/>
      <c r="AU1971" s="76"/>
      <c r="AV1971" s="76"/>
      <c r="AW1971" s="76"/>
      <c r="AX1971" s="76">
        <f>+AW1971*600000</f>
        <v>0</v>
      </c>
      <c r="AY1971" s="76"/>
      <c r="AZ1971" s="76">
        <f>+AY1971*70000</f>
        <v>0</v>
      </c>
      <c r="BA1971" s="76"/>
      <c r="BB1971" s="76"/>
      <c r="BC1971" s="76"/>
      <c r="BD1971" s="76">
        <f>+BC1971*30000</f>
        <v>0</v>
      </c>
      <c r="BE1971" s="76"/>
      <c r="BF1971" s="76"/>
      <c r="BG1971" s="76"/>
      <c r="BH1971" s="76"/>
      <c r="BI1971" s="76"/>
      <c r="BJ1971" s="76"/>
      <c r="BK1971" s="76"/>
      <c r="BL1971" s="76">
        <f>+BK1971*31500</f>
        <v>0</v>
      </c>
      <c r="BM1971" s="76"/>
      <c r="BN1971" s="76"/>
      <c r="BO1971" s="76"/>
      <c r="BP1971" s="76"/>
      <c r="BQ1971" s="76"/>
      <c r="BR1971" s="76"/>
      <c r="BS1971" s="76"/>
      <c r="BT1971" s="76"/>
      <c r="BU1971" s="76"/>
      <c r="BV1971" s="76"/>
      <c r="BW1971" s="76"/>
      <c r="BX1971" s="76"/>
      <c r="BY1971" s="76"/>
      <c r="BZ1971" s="76"/>
      <c r="CA1971" s="76"/>
      <c r="CB1971" s="76"/>
      <c r="CC1971" s="76"/>
      <c r="CD1971" s="76"/>
      <c r="CE1971" s="76"/>
      <c r="CF1971" s="76">
        <f>+CE1971*28000</f>
        <v>0</v>
      </c>
      <c r="CG1971" s="76"/>
      <c r="CH1971" s="76">
        <f>+CG1971*22500</f>
        <v>0</v>
      </c>
      <c r="CI1971" s="76"/>
      <c r="CJ1971" s="76">
        <f>+CI1971*26000</f>
        <v>0</v>
      </c>
      <c r="CK1971" s="76"/>
      <c r="CL1971" s="76"/>
      <c r="CM1971" s="76"/>
      <c r="CN1971" s="76">
        <f>+CM1971*22000</f>
        <v>0</v>
      </c>
      <c r="CO1971" s="76"/>
      <c r="CP1971" s="76">
        <f>+CO1971*46000</f>
        <v>0</v>
      </c>
      <c r="CQ1971" s="76"/>
      <c r="CR1971" s="76">
        <f>+CQ1971*49000</f>
        <v>0</v>
      </c>
      <c r="CS1971" s="76"/>
      <c r="CT1971" s="76"/>
      <c r="CU1971" s="56">
        <f>AN1971+AP1971+AR1971+AT1971+AV1971+AX1971+AZ1971+BB1971+BD1971+BF1971+BH1971+BJ1971+BL1971+BN1971+BP1971+BR1971+BT1971+BV1971+BX1971+BZ1971+CB1971+CD1971+CF1971+CH1971+CJ1971+CL1971+CN1971+CP1971+CR1971+CT1971</f>
        <v>0</v>
      </c>
      <c r="CV1971" s="76"/>
      <c r="CW1971" s="76">
        <f>+CV1971*1100</f>
        <v>0</v>
      </c>
      <c r="CX1971" s="76"/>
      <c r="CY1971" s="76">
        <f>+CX1971*106250</f>
        <v>0</v>
      </c>
      <c r="CZ1971" s="76"/>
      <c r="DA1971" s="76">
        <f>+CZ1971*34500</f>
        <v>0</v>
      </c>
      <c r="DB1971" s="76"/>
      <c r="DC1971" s="76">
        <f>+DB1971*25000</f>
        <v>0</v>
      </c>
      <c r="DD1971" s="219"/>
      <c r="DE1971" s="219"/>
      <c r="DF1971" s="166"/>
      <c r="DG1971" s="116"/>
      <c r="DH1971" s="117"/>
      <c r="DI1971" s="24"/>
      <c r="DJ1971" s="24"/>
      <c r="DK1971" s="24"/>
      <c r="DL1971" s="24"/>
      <c r="DM1971" s="24"/>
      <c r="DN1971" s="24"/>
      <c r="DO1971" s="24"/>
      <c r="DP1971" s="24"/>
      <c r="DQ1971" s="24"/>
      <c r="DR1971" s="24"/>
      <c r="DS1971" s="24"/>
      <c r="DT1971" s="24"/>
      <c r="DU1971" s="24"/>
    </row>
    <row r="1972" spans="1:125" s="8" customFormat="1" ht="36" x14ac:dyDescent="0.2">
      <c r="A1972" s="97">
        <v>41422</v>
      </c>
      <c r="B1972" s="60" t="s">
        <v>2811</v>
      </c>
      <c r="C1972" s="55" t="s">
        <v>2065</v>
      </c>
      <c r="D1972" s="55" t="s">
        <v>3088</v>
      </c>
      <c r="E1972" s="75" t="str">
        <f>VLOOKUP(B1972&amp;C1972,Divipola!$C$2:$F$1138,4,FALSE)</f>
        <v>52683</v>
      </c>
      <c r="F1972" s="87"/>
      <c r="G1972" s="87"/>
      <c r="H1972" s="87"/>
      <c r="I1972" s="87"/>
      <c r="J1972" s="87"/>
      <c r="K1972" s="87"/>
      <c r="L1972" s="87"/>
      <c r="M1972" s="87">
        <v>3</v>
      </c>
      <c r="N1972" s="87"/>
      <c r="O1972" s="87"/>
      <c r="P1972" s="87"/>
      <c r="Q1972" s="87"/>
      <c r="R1972" s="87"/>
      <c r="S1972" s="87"/>
      <c r="T1972" s="87"/>
      <c r="U1972" s="88"/>
      <c r="V1972" s="89"/>
      <c r="W1972" s="96">
        <v>0</v>
      </c>
      <c r="X1972" s="71">
        <f>CU1972</f>
        <v>0</v>
      </c>
      <c r="Y1972" s="71">
        <f>CY1972</f>
        <v>0</v>
      </c>
      <c r="Z1972" s="71">
        <f>DA1972+DC1972+DE1972</f>
        <v>0</v>
      </c>
      <c r="AA1972" s="71">
        <f>CW1972</f>
        <v>0</v>
      </c>
      <c r="AB1972" s="71"/>
      <c r="AC1972" s="71">
        <v>0</v>
      </c>
      <c r="AD1972" s="71">
        <f>W1972+X1972+Y1972+Z1972+AA1972+AB1972+AC1972</f>
        <v>0</v>
      </c>
      <c r="AE1972" s="72">
        <v>0</v>
      </c>
      <c r="AF1972" s="5"/>
      <c r="AG1972" s="6"/>
      <c r="AH1972" s="27" t="s">
        <v>3392</v>
      </c>
      <c r="AI1972" s="44" t="s">
        <v>3393</v>
      </c>
      <c r="AJ1972" s="26"/>
      <c r="AK1972" s="5"/>
      <c r="AL1972" s="82" t="s">
        <v>4775</v>
      </c>
      <c r="AM1972" s="76"/>
      <c r="AN1972" s="76"/>
      <c r="AO1972" s="76"/>
      <c r="AP1972" s="76"/>
      <c r="AQ1972" s="76"/>
      <c r="AR1972" s="76"/>
      <c r="AS1972" s="76"/>
      <c r="AT1972" s="76"/>
      <c r="AU1972" s="76"/>
      <c r="AV1972" s="76"/>
      <c r="AW1972" s="76"/>
      <c r="AX1972" s="76">
        <f>+AW1972*600000</f>
        <v>0</v>
      </c>
      <c r="AY1972" s="76"/>
      <c r="AZ1972" s="76">
        <f>+AY1972*70000</f>
        <v>0</v>
      </c>
      <c r="BA1972" s="76"/>
      <c r="BB1972" s="76"/>
      <c r="BC1972" s="76"/>
      <c r="BD1972" s="76">
        <f>+BC1972*30000</f>
        <v>0</v>
      </c>
      <c r="BE1972" s="76"/>
      <c r="BF1972" s="76"/>
      <c r="BG1972" s="76"/>
      <c r="BH1972" s="76"/>
      <c r="BI1972" s="76"/>
      <c r="BJ1972" s="76"/>
      <c r="BK1972" s="76"/>
      <c r="BL1972" s="76">
        <f>+BK1972*31500</f>
        <v>0</v>
      </c>
      <c r="BM1972" s="76"/>
      <c r="BN1972" s="76"/>
      <c r="BO1972" s="76"/>
      <c r="BP1972" s="76"/>
      <c r="BQ1972" s="76"/>
      <c r="BR1972" s="76"/>
      <c r="BS1972" s="76"/>
      <c r="BT1972" s="76"/>
      <c r="BU1972" s="76"/>
      <c r="BV1972" s="76"/>
      <c r="BW1972" s="76"/>
      <c r="BX1972" s="76"/>
      <c r="BY1972" s="76"/>
      <c r="BZ1972" s="76"/>
      <c r="CA1972" s="76"/>
      <c r="CB1972" s="76"/>
      <c r="CC1972" s="76"/>
      <c r="CD1972" s="76"/>
      <c r="CE1972" s="76"/>
      <c r="CF1972" s="76">
        <f>+CE1972*28000</f>
        <v>0</v>
      </c>
      <c r="CG1972" s="76"/>
      <c r="CH1972" s="76">
        <f>+CG1972*22500</f>
        <v>0</v>
      </c>
      <c r="CI1972" s="76"/>
      <c r="CJ1972" s="76">
        <f>+CI1972*26000</f>
        <v>0</v>
      </c>
      <c r="CK1972" s="76"/>
      <c r="CL1972" s="76"/>
      <c r="CM1972" s="76"/>
      <c r="CN1972" s="76">
        <f>+CM1972*22000</f>
        <v>0</v>
      </c>
      <c r="CO1972" s="76"/>
      <c r="CP1972" s="76">
        <f>+CO1972*46000</f>
        <v>0</v>
      </c>
      <c r="CQ1972" s="76"/>
      <c r="CR1972" s="76">
        <f>+CQ1972*49000</f>
        <v>0</v>
      </c>
      <c r="CS1972" s="76"/>
      <c r="CT1972" s="76"/>
      <c r="CU1972" s="56">
        <f>AN1972+AP1972+AR1972+AT1972+AV1972+AX1972+AZ1972+BB1972+BD1972+BF1972+BH1972+BJ1972+BL1972+BN1972+BP1972+BR1972+BT1972+BV1972+BX1972+BZ1972+CB1972+CD1972+CF1972+CH1972+CJ1972+CL1972+CN1972+CP1972+CR1972+CT1972</f>
        <v>0</v>
      </c>
      <c r="CV1972" s="76"/>
      <c r="CW1972" s="76">
        <f>+CV1972*1100</f>
        <v>0</v>
      </c>
      <c r="CX1972" s="76"/>
      <c r="CY1972" s="76">
        <f>+CX1972*106250</f>
        <v>0</v>
      </c>
      <c r="CZ1972" s="76"/>
      <c r="DA1972" s="76">
        <f>+CZ1972*34500</f>
        <v>0</v>
      </c>
      <c r="DB1972" s="76"/>
      <c r="DC1972" s="76">
        <f>+DB1972*25000</f>
        <v>0</v>
      </c>
      <c r="DD1972" s="219"/>
      <c r="DE1972" s="219"/>
      <c r="DF1972" s="166"/>
      <c r="DG1972" s="116"/>
      <c r="DH1972" s="117"/>
      <c r="DI1972" s="24"/>
      <c r="DJ1972" s="24"/>
      <c r="DK1972" s="24"/>
      <c r="DL1972" s="24"/>
      <c r="DM1972" s="24"/>
      <c r="DN1972" s="24"/>
      <c r="DO1972" s="24"/>
      <c r="DP1972" s="24"/>
      <c r="DQ1972" s="24"/>
      <c r="DR1972" s="24"/>
      <c r="DS1972" s="24"/>
      <c r="DT1972" s="24"/>
      <c r="DU1972" s="24"/>
    </row>
    <row r="1973" spans="1:125" s="8" customFormat="1" ht="36" x14ac:dyDescent="0.2">
      <c r="A1973" s="226">
        <v>41422</v>
      </c>
      <c r="B1973" s="225" t="s">
        <v>2811</v>
      </c>
      <c r="C1973" s="227" t="s">
        <v>2061</v>
      </c>
      <c r="D1973" s="354" t="s">
        <v>3088</v>
      </c>
      <c r="E1973" s="75" t="str">
        <f>VLOOKUP(B1973&amp;C1973,Divipola!$C$2:$F$1138,4,FALSE)</f>
        <v>52788</v>
      </c>
      <c r="F1973" s="87"/>
      <c r="G1973" s="87"/>
      <c r="H1973" s="87"/>
      <c r="I1973" s="87">
        <v>38</v>
      </c>
      <c r="J1973" s="87">
        <v>10</v>
      </c>
      <c r="K1973" s="87"/>
      <c r="L1973" s="87">
        <v>10</v>
      </c>
      <c r="M1973" s="87"/>
      <c r="N1973" s="87"/>
      <c r="O1973" s="87"/>
      <c r="P1973" s="87"/>
      <c r="Q1973" s="87"/>
      <c r="R1973" s="87"/>
      <c r="S1973" s="87"/>
      <c r="T1973" s="87"/>
      <c r="U1973" s="88"/>
      <c r="V1973" s="89"/>
      <c r="W1973" s="96">
        <v>0</v>
      </c>
      <c r="X1973" s="71">
        <f>CU1973</f>
        <v>0</v>
      </c>
      <c r="Y1973" s="71">
        <f>CY1973</f>
        <v>0</v>
      </c>
      <c r="Z1973" s="71">
        <f>DA1973+DC1973+DE1973</f>
        <v>0</v>
      </c>
      <c r="AA1973" s="71">
        <f>CW1973</f>
        <v>0</v>
      </c>
      <c r="AB1973" s="71"/>
      <c r="AC1973" s="71">
        <v>0</v>
      </c>
      <c r="AD1973" s="71">
        <f>W1973+X1973+Y1973+Z1973+AA1973+AB1973+AC1973</f>
        <v>0</v>
      </c>
      <c r="AE1973" s="72">
        <v>0</v>
      </c>
      <c r="AF1973" s="5"/>
      <c r="AG1973" s="6"/>
      <c r="AH1973" s="27" t="s">
        <v>3392</v>
      </c>
      <c r="AI1973" s="44" t="s">
        <v>3393</v>
      </c>
      <c r="AJ1973" s="26"/>
      <c r="AK1973" s="5"/>
      <c r="AL1973" s="82" t="s">
        <v>4778</v>
      </c>
      <c r="AM1973" s="76"/>
      <c r="AN1973" s="76"/>
      <c r="AO1973" s="76"/>
      <c r="AP1973" s="76"/>
      <c r="AQ1973" s="76"/>
      <c r="AR1973" s="76"/>
      <c r="AS1973" s="76"/>
      <c r="AT1973" s="76"/>
      <c r="AU1973" s="76"/>
      <c r="AV1973" s="76"/>
      <c r="AW1973" s="76"/>
      <c r="AX1973" s="76">
        <f>+AW1973*600000</f>
        <v>0</v>
      </c>
      <c r="AY1973" s="76"/>
      <c r="AZ1973" s="76">
        <f>+AY1973*70000</f>
        <v>0</v>
      </c>
      <c r="BA1973" s="76"/>
      <c r="BB1973" s="76"/>
      <c r="BC1973" s="76"/>
      <c r="BD1973" s="76">
        <f>+BC1973*30000</f>
        <v>0</v>
      </c>
      <c r="BE1973" s="76"/>
      <c r="BF1973" s="76"/>
      <c r="BG1973" s="76"/>
      <c r="BH1973" s="76"/>
      <c r="BI1973" s="76"/>
      <c r="BJ1973" s="76"/>
      <c r="BK1973" s="76"/>
      <c r="BL1973" s="76">
        <f>+BK1973*31500</f>
        <v>0</v>
      </c>
      <c r="BM1973" s="76"/>
      <c r="BN1973" s="76"/>
      <c r="BO1973" s="76"/>
      <c r="BP1973" s="76"/>
      <c r="BQ1973" s="76"/>
      <c r="BR1973" s="76"/>
      <c r="BS1973" s="76"/>
      <c r="BT1973" s="76"/>
      <c r="BU1973" s="76"/>
      <c r="BV1973" s="76"/>
      <c r="BW1973" s="76"/>
      <c r="BX1973" s="76"/>
      <c r="BY1973" s="76"/>
      <c r="BZ1973" s="76"/>
      <c r="CA1973" s="76"/>
      <c r="CB1973" s="76"/>
      <c r="CC1973" s="76"/>
      <c r="CD1973" s="76"/>
      <c r="CE1973" s="76"/>
      <c r="CF1973" s="76">
        <f>+CE1973*28000</f>
        <v>0</v>
      </c>
      <c r="CG1973" s="76"/>
      <c r="CH1973" s="76">
        <f>+CG1973*22500</f>
        <v>0</v>
      </c>
      <c r="CI1973" s="76"/>
      <c r="CJ1973" s="76">
        <f>+CI1973*26000</f>
        <v>0</v>
      </c>
      <c r="CK1973" s="76"/>
      <c r="CL1973" s="76"/>
      <c r="CM1973" s="76"/>
      <c r="CN1973" s="76">
        <f>+CM1973*22000</f>
        <v>0</v>
      </c>
      <c r="CO1973" s="76"/>
      <c r="CP1973" s="76">
        <f>+CO1973*46000</f>
        <v>0</v>
      </c>
      <c r="CQ1973" s="76"/>
      <c r="CR1973" s="76">
        <f>+CQ1973*49000</f>
        <v>0</v>
      </c>
      <c r="CS1973" s="76"/>
      <c r="CT1973" s="76"/>
      <c r="CU1973" s="56">
        <f>AN1973+AP1973+AR1973+AT1973+AV1973+AX1973+AZ1973+BB1973+BD1973+BF1973+BH1973+BJ1973+BL1973+BN1973+BP1973+BR1973+BT1973+BV1973+BX1973+BZ1973+CB1973+CD1973+CF1973+CH1973+CJ1973+CL1973+CN1973+CP1973+CR1973+CT1973</f>
        <v>0</v>
      </c>
      <c r="CV1973" s="76"/>
      <c r="CW1973" s="76">
        <f>+CV1973*1100</f>
        <v>0</v>
      </c>
      <c r="CX1973" s="76"/>
      <c r="CY1973" s="76">
        <f>+CX1973*106250</f>
        <v>0</v>
      </c>
      <c r="CZ1973" s="76"/>
      <c r="DA1973" s="76">
        <f>+CZ1973*34500</f>
        <v>0</v>
      </c>
      <c r="DB1973" s="76"/>
      <c r="DC1973" s="76">
        <f>+DB1973*25000</f>
        <v>0</v>
      </c>
      <c r="DD1973" s="219"/>
      <c r="DE1973" s="219"/>
      <c r="DF1973" s="166"/>
      <c r="DG1973" s="116"/>
      <c r="DH1973" s="117"/>
      <c r="DI1973" s="24"/>
      <c r="DJ1973" s="24"/>
      <c r="DK1973" s="24"/>
      <c r="DL1973" s="24"/>
      <c r="DM1973" s="24"/>
      <c r="DN1973" s="24"/>
      <c r="DO1973" s="24"/>
      <c r="DP1973" s="24"/>
      <c r="DQ1973" s="24"/>
      <c r="DR1973" s="24"/>
      <c r="DS1973" s="24"/>
      <c r="DT1973" s="24"/>
      <c r="DU1973" s="24"/>
    </row>
    <row r="1974" spans="1:125" s="8" customFormat="1" ht="84" x14ac:dyDescent="0.2">
      <c r="A1974" s="226">
        <v>41422</v>
      </c>
      <c r="B1974" s="225" t="s">
        <v>2848</v>
      </c>
      <c r="C1974" s="227" t="s">
        <v>1872</v>
      </c>
      <c r="D1974" s="354" t="s">
        <v>3051</v>
      </c>
      <c r="E1974" s="75" t="str">
        <f>VLOOKUP(B1974&amp;C1974,Divipola!$C$2:$F$1138,4,FALSE)</f>
        <v>73268</v>
      </c>
      <c r="F1974" s="87"/>
      <c r="G1974" s="87"/>
      <c r="H1974" s="87"/>
      <c r="I1974" s="87"/>
      <c r="J1974" s="87"/>
      <c r="K1974" s="87"/>
      <c r="L1974" s="87"/>
      <c r="M1974" s="87"/>
      <c r="N1974" s="87"/>
      <c r="O1974" s="87"/>
      <c r="P1974" s="87"/>
      <c r="Q1974" s="87"/>
      <c r="R1974" s="87"/>
      <c r="S1974" s="87">
        <v>1</v>
      </c>
      <c r="T1974" s="87"/>
      <c r="U1974" s="88"/>
      <c r="V1974" s="89"/>
      <c r="W1974" s="96">
        <v>0</v>
      </c>
      <c r="X1974" s="71">
        <f>CU1974</f>
        <v>0</v>
      </c>
      <c r="Y1974" s="71">
        <f>CY1974</f>
        <v>0</v>
      </c>
      <c r="Z1974" s="71">
        <f>DA1974+DC1974+DE1974</f>
        <v>0</v>
      </c>
      <c r="AA1974" s="71">
        <f>CW1974</f>
        <v>0</v>
      </c>
      <c r="AB1974" s="71"/>
      <c r="AC1974" s="71">
        <v>0</v>
      </c>
      <c r="AD1974" s="71">
        <f>W1974+X1974+Y1974+Z1974+AA1974+AB1974+AC1974</f>
        <v>0</v>
      </c>
      <c r="AE1974" s="72">
        <v>0</v>
      </c>
      <c r="AF1974" s="5"/>
      <c r="AG1974" s="6"/>
      <c r="AH1974" s="27" t="s">
        <v>3392</v>
      </c>
      <c r="AI1974" s="44" t="s">
        <v>3393</v>
      </c>
      <c r="AJ1974" s="26"/>
      <c r="AK1974" s="5"/>
      <c r="AL1974" s="82" t="s">
        <v>4771</v>
      </c>
      <c r="AM1974" s="76"/>
      <c r="AN1974" s="76"/>
      <c r="AO1974" s="76"/>
      <c r="AP1974" s="76"/>
      <c r="AQ1974" s="76"/>
      <c r="AR1974" s="76"/>
      <c r="AS1974" s="76"/>
      <c r="AT1974" s="76"/>
      <c r="AU1974" s="76"/>
      <c r="AV1974" s="76"/>
      <c r="AW1974" s="76"/>
      <c r="AX1974" s="76">
        <f>+AW1974*600000</f>
        <v>0</v>
      </c>
      <c r="AY1974" s="76"/>
      <c r="AZ1974" s="76">
        <f>+AY1974*70000</f>
        <v>0</v>
      </c>
      <c r="BA1974" s="76"/>
      <c r="BB1974" s="76"/>
      <c r="BC1974" s="76"/>
      <c r="BD1974" s="76">
        <f>+BC1974*30000</f>
        <v>0</v>
      </c>
      <c r="BE1974" s="76"/>
      <c r="BF1974" s="76"/>
      <c r="BG1974" s="76"/>
      <c r="BH1974" s="76"/>
      <c r="BI1974" s="76"/>
      <c r="BJ1974" s="76"/>
      <c r="BK1974" s="76"/>
      <c r="BL1974" s="76">
        <f>+BK1974*31500</f>
        <v>0</v>
      </c>
      <c r="BM1974" s="76"/>
      <c r="BN1974" s="76"/>
      <c r="BO1974" s="76"/>
      <c r="BP1974" s="76"/>
      <c r="BQ1974" s="76"/>
      <c r="BR1974" s="76"/>
      <c r="BS1974" s="76"/>
      <c r="BT1974" s="76"/>
      <c r="BU1974" s="76"/>
      <c r="BV1974" s="76"/>
      <c r="BW1974" s="76"/>
      <c r="BX1974" s="76"/>
      <c r="BY1974" s="76"/>
      <c r="BZ1974" s="76"/>
      <c r="CA1974" s="76"/>
      <c r="CB1974" s="76"/>
      <c r="CC1974" s="76"/>
      <c r="CD1974" s="76"/>
      <c r="CE1974" s="76"/>
      <c r="CF1974" s="76">
        <f>+CE1974*28000</f>
        <v>0</v>
      </c>
      <c r="CG1974" s="76"/>
      <c r="CH1974" s="76">
        <f>+CG1974*22500</f>
        <v>0</v>
      </c>
      <c r="CI1974" s="76"/>
      <c r="CJ1974" s="76">
        <f>+CI1974*26000</f>
        <v>0</v>
      </c>
      <c r="CK1974" s="76"/>
      <c r="CL1974" s="76"/>
      <c r="CM1974" s="76"/>
      <c r="CN1974" s="76">
        <f>+CM1974*22000</f>
        <v>0</v>
      </c>
      <c r="CO1974" s="76"/>
      <c r="CP1974" s="76">
        <f>+CO1974*46000</f>
        <v>0</v>
      </c>
      <c r="CQ1974" s="76"/>
      <c r="CR1974" s="76">
        <f>+CQ1974*49000</f>
        <v>0</v>
      </c>
      <c r="CS1974" s="76"/>
      <c r="CT1974" s="76"/>
      <c r="CU1974" s="56">
        <f>AN1974+AP1974+AR1974+AT1974+AV1974+AX1974+AZ1974+BB1974+BD1974+BF1974+BH1974+BJ1974+BL1974+BN1974+BP1974+BR1974+BT1974+BV1974+BX1974+BZ1974+CB1974+CD1974+CF1974+CH1974+CJ1974+CL1974+CN1974+CP1974+CR1974+CT1974</f>
        <v>0</v>
      </c>
      <c r="CV1974" s="76"/>
      <c r="CW1974" s="76">
        <f>+CV1974*1100</f>
        <v>0</v>
      </c>
      <c r="CX1974" s="76"/>
      <c r="CY1974" s="76">
        <f>+CX1974*106250</f>
        <v>0</v>
      </c>
      <c r="CZ1974" s="76"/>
      <c r="DA1974" s="76">
        <f>+CZ1974*34500</f>
        <v>0</v>
      </c>
      <c r="DB1974" s="76"/>
      <c r="DC1974" s="76">
        <f>+DB1974*25000</f>
        <v>0</v>
      </c>
      <c r="DD1974" s="219"/>
      <c r="DE1974" s="219"/>
      <c r="DF1974" s="166"/>
      <c r="DG1974" s="116"/>
      <c r="DH1974" s="117"/>
      <c r="DI1974" s="24"/>
      <c r="DJ1974" s="24"/>
      <c r="DK1974" s="24"/>
      <c r="DL1974" s="24"/>
      <c r="DM1974" s="24"/>
      <c r="DN1974" s="24"/>
      <c r="DO1974" s="24"/>
      <c r="DP1974" s="24"/>
      <c r="DQ1974" s="24"/>
      <c r="DR1974" s="24"/>
      <c r="DS1974" s="24"/>
      <c r="DT1974" s="24"/>
      <c r="DU1974" s="24"/>
    </row>
    <row r="1975" spans="1:125" s="8" customFormat="1" ht="48" x14ac:dyDescent="0.2">
      <c r="A1975" s="353">
        <v>41423</v>
      </c>
      <c r="B1975" s="352" t="s">
        <v>2894</v>
      </c>
      <c r="C1975" s="354" t="s">
        <v>2695</v>
      </c>
      <c r="D1975" s="354" t="s">
        <v>2859</v>
      </c>
      <c r="E1975" s="75" t="str">
        <f>VLOOKUP(B1975&amp;C1975,Divipola!$C$2:$F$1138,4,FALSE)</f>
        <v>05093</v>
      </c>
      <c r="F1975" s="87"/>
      <c r="G1975" s="87"/>
      <c r="H1975" s="87"/>
      <c r="I1975" s="87"/>
      <c r="J1975" s="87"/>
      <c r="K1975" s="87"/>
      <c r="L1975" s="87"/>
      <c r="M1975" s="87"/>
      <c r="N1975" s="87"/>
      <c r="O1975" s="87"/>
      <c r="P1975" s="87"/>
      <c r="Q1975" s="87"/>
      <c r="R1975" s="87"/>
      <c r="S1975" s="87"/>
      <c r="T1975" s="87"/>
      <c r="U1975" s="88"/>
      <c r="V1975" s="89">
        <v>1</v>
      </c>
      <c r="W1975" s="96">
        <v>0</v>
      </c>
      <c r="X1975" s="71">
        <f>CU1975</f>
        <v>0</v>
      </c>
      <c r="Y1975" s="71">
        <f>CY1975</f>
        <v>0</v>
      </c>
      <c r="Z1975" s="71">
        <f>DA1975+DC1975+DE1975</f>
        <v>0</v>
      </c>
      <c r="AA1975" s="71">
        <f>CW1975</f>
        <v>0</v>
      </c>
      <c r="AB1975" s="71"/>
      <c r="AC1975" s="71">
        <v>0</v>
      </c>
      <c r="AD1975" s="71">
        <f>W1975+X1975+Y1975+Z1975+AA1975+AB1975+AC1975</f>
        <v>0</v>
      </c>
      <c r="AE1975" s="72">
        <v>0</v>
      </c>
      <c r="AF1975" s="5"/>
      <c r="AG1975" s="6"/>
      <c r="AH1975" s="27" t="s">
        <v>3392</v>
      </c>
      <c r="AI1975" s="44" t="s">
        <v>3393</v>
      </c>
      <c r="AJ1975" s="26"/>
      <c r="AK1975" s="5"/>
      <c r="AL1975" s="82" t="s">
        <v>4798</v>
      </c>
      <c r="AM1975" s="76"/>
      <c r="AN1975" s="76"/>
      <c r="AO1975" s="76"/>
      <c r="AP1975" s="76"/>
      <c r="AQ1975" s="76"/>
      <c r="AR1975" s="76"/>
      <c r="AS1975" s="76"/>
      <c r="AT1975" s="76"/>
      <c r="AU1975" s="76"/>
      <c r="AV1975" s="76"/>
      <c r="AW1975" s="76"/>
      <c r="AX1975" s="76">
        <f>+AW1975*600000</f>
        <v>0</v>
      </c>
      <c r="AY1975" s="76"/>
      <c r="AZ1975" s="76">
        <f>+AY1975*70000</f>
        <v>0</v>
      </c>
      <c r="BA1975" s="76"/>
      <c r="BB1975" s="76"/>
      <c r="BC1975" s="76"/>
      <c r="BD1975" s="76">
        <f>+BC1975*30000</f>
        <v>0</v>
      </c>
      <c r="BE1975" s="76"/>
      <c r="BF1975" s="76"/>
      <c r="BG1975" s="76"/>
      <c r="BH1975" s="76"/>
      <c r="BI1975" s="76"/>
      <c r="BJ1975" s="76"/>
      <c r="BK1975" s="76"/>
      <c r="BL1975" s="76">
        <f>+BK1975*31500</f>
        <v>0</v>
      </c>
      <c r="BM1975" s="76"/>
      <c r="BN1975" s="76"/>
      <c r="BO1975" s="76"/>
      <c r="BP1975" s="76"/>
      <c r="BQ1975" s="76"/>
      <c r="BR1975" s="76"/>
      <c r="BS1975" s="76"/>
      <c r="BT1975" s="76"/>
      <c r="BU1975" s="76"/>
      <c r="BV1975" s="76"/>
      <c r="BW1975" s="76"/>
      <c r="BX1975" s="76"/>
      <c r="BY1975" s="76"/>
      <c r="BZ1975" s="76"/>
      <c r="CA1975" s="76"/>
      <c r="CB1975" s="76"/>
      <c r="CC1975" s="76"/>
      <c r="CD1975" s="76"/>
      <c r="CE1975" s="76"/>
      <c r="CF1975" s="76">
        <f>+CE1975*28000</f>
        <v>0</v>
      </c>
      <c r="CG1975" s="76"/>
      <c r="CH1975" s="76">
        <f>+CG1975*22500</f>
        <v>0</v>
      </c>
      <c r="CI1975" s="76"/>
      <c r="CJ1975" s="76">
        <f>+CI1975*26000</f>
        <v>0</v>
      </c>
      <c r="CK1975" s="76"/>
      <c r="CL1975" s="76"/>
      <c r="CM1975" s="76"/>
      <c r="CN1975" s="76">
        <f>+CM1975*22000</f>
        <v>0</v>
      </c>
      <c r="CO1975" s="76"/>
      <c r="CP1975" s="76">
        <f>+CO1975*46000</f>
        <v>0</v>
      </c>
      <c r="CQ1975" s="76"/>
      <c r="CR1975" s="76">
        <f>+CQ1975*49000</f>
        <v>0</v>
      </c>
      <c r="CS1975" s="76"/>
      <c r="CT1975" s="76"/>
      <c r="CU1975" s="56">
        <f>AN1975+AP1975+AR1975+AT1975+AV1975+AX1975+AZ1975+BB1975+BD1975+BF1975+BH1975+BJ1975+BL1975+BN1975+BP1975+BR1975+BT1975+BV1975+BX1975+BZ1975+CB1975+CD1975+CF1975+CH1975+CJ1975+CL1975+CN1975+CP1975+CR1975+CT1975</f>
        <v>0</v>
      </c>
      <c r="CV1975" s="76"/>
      <c r="CW1975" s="76">
        <f>+CV1975*1100</f>
        <v>0</v>
      </c>
      <c r="CX1975" s="76"/>
      <c r="CY1975" s="76">
        <f>+CX1975*106250</f>
        <v>0</v>
      </c>
      <c r="CZ1975" s="76"/>
      <c r="DA1975" s="76">
        <f>+CZ1975*34500</f>
        <v>0</v>
      </c>
      <c r="DB1975" s="76"/>
      <c r="DC1975" s="76">
        <f>+DB1975*25000</f>
        <v>0</v>
      </c>
      <c r="DD1975" s="219"/>
      <c r="DE1975" s="219"/>
      <c r="DF1975" s="166"/>
      <c r="DG1975" s="116"/>
      <c r="DH1975" s="117"/>
      <c r="DI1975" s="24"/>
      <c r="DJ1975" s="24"/>
      <c r="DK1975" s="24"/>
      <c r="DL1975" s="24"/>
      <c r="DM1975" s="24"/>
      <c r="DN1975" s="24"/>
      <c r="DO1975" s="24"/>
      <c r="DP1975" s="24"/>
      <c r="DQ1975" s="24"/>
      <c r="DR1975" s="24"/>
      <c r="DS1975" s="24"/>
      <c r="DT1975" s="24"/>
      <c r="DU1975" s="24"/>
    </row>
    <row r="1976" spans="1:125" s="8" customFormat="1" ht="60" x14ac:dyDescent="0.2">
      <c r="A1976" s="226">
        <v>41423</v>
      </c>
      <c r="B1976" s="225" t="s">
        <v>2894</v>
      </c>
      <c r="C1976" s="227" t="s">
        <v>2693</v>
      </c>
      <c r="D1976" s="354" t="s">
        <v>3088</v>
      </c>
      <c r="E1976" s="75" t="str">
        <f>VLOOKUP(B1976&amp;C1976,Divipola!$C$2:$F$1138,4,FALSE)</f>
        <v>05679</v>
      </c>
      <c r="F1976" s="87"/>
      <c r="G1976" s="87"/>
      <c r="H1976" s="87"/>
      <c r="I1976" s="87">
        <v>1</v>
      </c>
      <c r="J1976" s="87">
        <v>1</v>
      </c>
      <c r="K1976" s="87">
        <v>1</v>
      </c>
      <c r="L1976" s="87"/>
      <c r="M1976" s="87"/>
      <c r="N1976" s="87"/>
      <c r="O1976" s="87"/>
      <c r="P1976" s="87"/>
      <c r="Q1976" s="87"/>
      <c r="R1976" s="87"/>
      <c r="S1976" s="87"/>
      <c r="T1976" s="87"/>
      <c r="U1976" s="88"/>
      <c r="V1976" s="89"/>
      <c r="W1976" s="96">
        <v>0</v>
      </c>
      <c r="X1976" s="71">
        <f>CU1976</f>
        <v>0</v>
      </c>
      <c r="Y1976" s="71">
        <f>CY1976</f>
        <v>0</v>
      </c>
      <c r="Z1976" s="71">
        <f>DA1976+DC1976+DE1976</f>
        <v>0</v>
      </c>
      <c r="AA1976" s="71">
        <f>CW1976</f>
        <v>0</v>
      </c>
      <c r="AB1976" s="71"/>
      <c r="AC1976" s="71">
        <v>0</v>
      </c>
      <c r="AD1976" s="71">
        <f>W1976+X1976+Y1976+Z1976+AA1976+AB1976+AC1976</f>
        <v>0</v>
      </c>
      <c r="AE1976" s="72">
        <v>0</v>
      </c>
      <c r="AF1976" s="5"/>
      <c r="AG1976" s="6"/>
      <c r="AH1976" s="27" t="s">
        <v>3392</v>
      </c>
      <c r="AI1976" s="44" t="s">
        <v>3393</v>
      </c>
      <c r="AJ1976" s="26"/>
      <c r="AK1976" s="5"/>
      <c r="AL1976" s="82" t="s">
        <v>4813</v>
      </c>
      <c r="AM1976" s="76"/>
      <c r="AN1976" s="76"/>
      <c r="AO1976" s="76"/>
      <c r="AP1976" s="76"/>
      <c r="AQ1976" s="76"/>
      <c r="AR1976" s="76"/>
      <c r="AS1976" s="76"/>
      <c r="AT1976" s="76"/>
      <c r="AU1976" s="76"/>
      <c r="AV1976" s="76"/>
      <c r="AW1976" s="76"/>
      <c r="AX1976" s="76">
        <f>+AW1976*600000</f>
        <v>0</v>
      </c>
      <c r="AY1976" s="76"/>
      <c r="AZ1976" s="76">
        <f>+AY1976*70000</f>
        <v>0</v>
      </c>
      <c r="BA1976" s="76"/>
      <c r="BB1976" s="76"/>
      <c r="BC1976" s="76"/>
      <c r="BD1976" s="76">
        <f>+BC1976*30000</f>
        <v>0</v>
      </c>
      <c r="BE1976" s="76"/>
      <c r="BF1976" s="76"/>
      <c r="BG1976" s="76"/>
      <c r="BH1976" s="76"/>
      <c r="BI1976" s="76"/>
      <c r="BJ1976" s="76"/>
      <c r="BK1976" s="76"/>
      <c r="BL1976" s="76">
        <f>+BK1976*31500</f>
        <v>0</v>
      </c>
      <c r="BM1976" s="76"/>
      <c r="BN1976" s="76"/>
      <c r="BO1976" s="76"/>
      <c r="BP1976" s="76"/>
      <c r="BQ1976" s="76"/>
      <c r="BR1976" s="76"/>
      <c r="BS1976" s="76"/>
      <c r="BT1976" s="76"/>
      <c r="BU1976" s="76"/>
      <c r="BV1976" s="76"/>
      <c r="BW1976" s="76"/>
      <c r="BX1976" s="76"/>
      <c r="BY1976" s="76"/>
      <c r="BZ1976" s="76"/>
      <c r="CA1976" s="76"/>
      <c r="CB1976" s="76"/>
      <c r="CC1976" s="76"/>
      <c r="CD1976" s="76"/>
      <c r="CE1976" s="76"/>
      <c r="CF1976" s="76">
        <f>+CE1976*28000</f>
        <v>0</v>
      </c>
      <c r="CG1976" s="76"/>
      <c r="CH1976" s="76">
        <f>+CG1976*22500</f>
        <v>0</v>
      </c>
      <c r="CI1976" s="76"/>
      <c r="CJ1976" s="76">
        <f>+CI1976*26000</f>
        <v>0</v>
      </c>
      <c r="CK1976" s="76"/>
      <c r="CL1976" s="76"/>
      <c r="CM1976" s="76"/>
      <c r="CN1976" s="76">
        <f>+CM1976*22000</f>
        <v>0</v>
      </c>
      <c r="CO1976" s="76"/>
      <c r="CP1976" s="76">
        <f>+CO1976*46000</f>
        <v>0</v>
      </c>
      <c r="CQ1976" s="76"/>
      <c r="CR1976" s="76">
        <f>+CQ1976*49000</f>
        <v>0</v>
      </c>
      <c r="CS1976" s="76"/>
      <c r="CT1976" s="76"/>
      <c r="CU1976" s="56">
        <f>AN1976+AP1976+AR1976+AT1976+AV1976+AX1976+AZ1976+BB1976+BD1976+BF1976+BH1976+BJ1976+BL1976+BN1976+BP1976+BR1976+BT1976+BV1976+BX1976+BZ1976+CB1976+CD1976+CF1976+CH1976+CJ1976+CL1976+CN1976+CP1976+CR1976+CT1976</f>
        <v>0</v>
      </c>
      <c r="CV1976" s="76"/>
      <c r="CW1976" s="76">
        <f>+CV1976*1100</f>
        <v>0</v>
      </c>
      <c r="CX1976" s="76"/>
      <c r="CY1976" s="76">
        <f>+CX1976*106250</f>
        <v>0</v>
      </c>
      <c r="CZ1976" s="76"/>
      <c r="DA1976" s="76">
        <f>+CZ1976*34500</f>
        <v>0</v>
      </c>
      <c r="DB1976" s="76"/>
      <c r="DC1976" s="76">
        <f>+DB1976*25000</f>
        <v>0</v>
      </c>
      <c r="DD1976" s="219"/>
      <c r="DE1976" s="219"/>
      <c r="DF1976" s="166"/>
      <c r="DG1976" s="116"/>
      <c r="DH1976" s="117"/>
      <c r="DI1976" s="24"/>
      <c r="DJ1976" s="24"/>
      <c r="DK1976" s="24"/>
      <c r="DL1976" s="24"/>
      <c r="DM1976" s="24"/>
      <c r="DN1976" s="24"/>
      <c r="DO1976" s="24"/>
      <c r="DP1976" s="24"/>
      <c r="DQ1976" s="24"/>
      <c r="DR1976" s="24"/>
      <c r="DS1976" s="24"/>
      <c r="DT1976" s="24"/>
      <c r="DU1976" s="24"/>
    </row>
    <row r="1977" spans="1:125" s="8" customFormat="1" ht="132" x14ac:dyDescent="0.2">
      <c r="A1977" s="226">
        <v>41423</v>
      </c>
      <c r="B1977" s="225" t="s">
        <v>2881</v>
      </c>
      <c r="C1977" s="227" t="s">
        <v>2767</v>
      </c>
      <c r="D1977" s="227" t="s">
        <v>2859</v>
      </c>
      <c r="E1977" s="75" t="str">
        <f>VLOOKUP(B1977&amp;C1977,Divipola!$C$2:$F$1138,4,FALSE)</f>
        <v>08001</v>
      </c>
      <c r="F1977" s="87"/>
      <c r="G1977" s="87"/>
      <c r="H1977" s="87"/>
      <c r="I1977" s="87"/>
      <c r="J1977" s="87"/>
      <c r="K1977" s="87"/>
      <c r="L1977" s="87"/>
      <c r="M1977" s="87"/>
      <c r="N1977" s="87"/>
      <c r="O1977" s="87"/>
      <c r="P1977" s="87"/>
      <c r="Q1977" s="87"/>
      <c r="R1977" s="87">
        <v>1</v>
      </c>
      <c r="S1977" s="87"/>
      <c r="T1977" s="87"/>
      <c r="U1977" s="88"/>
      <c r="V1977" s="89"/>
      <c r="W1977" s="96">
        <v>0</v>
      </c>
      <c r="X1977" s="71">
        <f>CU1977</f>
        <v>0</v>
      </c>
      <c r="Y1977" s="71">
        <f>CY1977</f>
        <v>0</v>
      </c>
      <c r="Z1977" s="71">
        <f>DA1977+DC1977+DE1977</f>
        <v>0</v>
      </c>
      <c r="AA1977" s="71">
        <f>CW1977</f>
        <v>0</v>
      </c>
      <c r="AB1977" s="71"/>
      <c r="AC1977" s="71">
        <v>0</v>
      </c>
      <c r="AD1977" s="71">
        <f>W1977+X1977+Y1977+Z1977+AA1977+AB1977+AC1977</f>
        <v>0</v>
      </c>
      <c r="AE1977" s="72">
        <v>0</v>
      </c>
      <c r="AF1977" s="5"/>
      <c r="AG1977" s="6"/>
      <c r="AH1977" s="27" t="s">
        <v>3392</v>
      </c>
      <c r="AI1977" s="44" t="s">
        <v>3393</v>
      </c>
      <c r="AJ1977" s="26"/>
      <c r="AK1977" s="5"/>
      <c r="AL1977" s="82" t="s">
        <v>4786</v>
      </c>
      <c r="AM1977" s="76"/>
      <c r="AN1977" s="76"/>
      <c r="AO1977" s="76"/>
      <c r="AP1977" s="76"/>
      <c r="AQ1977" s="76"/>
      <c r="AR1977" s="76"/>
      <c r="AS1977" s="76"/>
      <c r="AT1977" s="76"/>
      <c r="AU1977" s="76"/>
      <c r="AV1977" s="76"/>
      <c r="AW1977" s="76"/>
      <c r="AX1977" s="76">
        <f>+AW1977*600000</f>
        <v>0</v>
      </c>
      <c r="AY1977" s="76"/>
      <c r="AZ1977" s="76">
        <f>+AY1977*70000</f>
        <v>0</v>
      </c>
      <c r="BA1977" s="76"/>
      <c r="BB1977" s="76"/>
      <c r="BC1977" s="76"/>
      <c r="BD1977" s="76">
        <f>+BC1977*30000</f>
        <v>0</v>
      </c>
      <c r="BE1977" s="76"/>
      <c r="BF1977" s="76"/>
      <c r="BG1977" s="76"/>
      <c r="BH1977" s="76"/>
      <c r="BI1977" s="76"/>
      <c r="BJ1977" s="76"/>
      <c r="BK1977" s="76"/>
      <c r="BL1977" s="76">
        <f>+BK1977*31500</f>
        <v>0</v>
      </c>
      <c r="BM1977" s="76"/>
      <c r="BN1977" s="76"/>
      <c r="BO1977" s="76"/>
      <c r="BP1977" s="76"/>
      <c r="BQ1977" s="76"/>
      <c r="BR1977" s="76"/>
      <c r="BS1977" s="76"/>
      <c r="BT1977" s="76"/>
      <c r="BU1977" s="76"/>
      <c r="BV1977" s="76"/>
      <c r="BW1977" s="76"/>
      <c r="BX1977" s="76"/>
      <c r="BY1977" s="76"/>
      <c r="BZ1977" s="76"/>
      <c r="CA1977" s="76"/>
      <c r="CB1977" s="76"/>
      <c r="CC1977" s="76"/>
      <c r="CD1977" s="76"/>
      <c r="CE1977" s="76"/>
      <c r="CF1977" s="76">
        <f>+CE1977*28000</f>
        <v>0</v>
      </c>
      <c r="CG1977" s="76"/>
      <c r="CH1977" s="76">
        <f>+CG1977*22500</f>
        <v>0</v>
      </c>
      <c r="CI1977" s="76"/>
      <c r="CJ1977" s="76">
        <f>+CI1977*26000</f>
        <v>0</v>
      </c>
      <c r="CK1977" s="76"/>
      <c r="CL1977" s="76"/>
      <c r="CM1977" s="76"/>
      <c r="CN1977" s="76">
        <f>+CM1977*22000</f>
        <v>0</v>
      </c>
      <c r="CO1977" s="76"/>
      <c r="CP1977" s="76">
        <f>+CO1977*46000</f>
        <v>0</v>
      </c>
      <c r="CQ1977" s="76"/>
      <c r="CR1977" s="76">
        <f>+CQ1977*49000</f>
        <v>0</v>
      </c>
      <c r="CS1977" s="76"/>
      <c r="CT1977" s="76"/>
      <c r="CU1977" s="56">
        <f>AN1977+AP1977+AR1977+AT1977+AV1977+AX1977+AZ1977+BB1977+BD1977+BF1977+BH1977+BJ1977+BL1977+BN1977+BP1977+BR1977+BT1977+BV1977+BX1977+BZ1977+CB1977+CD1977+CF1977+CH1977+CJ1977+CL1977+CN1977+CP1977+CR1977+CT1977</f>
        <v>0</v>
      </c>
      <c r="CV1977" s="76"/>
      <c r="CW1977" s="76">
        <f>+CV1977*1100</f>
        <v>0</v>
      </c>
      <c r="CX1977" s="76"/>
      <c r="CY1977" s="76">
        <f>+CX1977*106250</f>
        <v>0</v>
      </c>
      <c r="CZ1977" s="76"/>
      <c r="DA1977" s="76">
        <f>+CZ1977*34500</f>
        <v>0</v>
      </c>
      <c r="DB1977" s="76"/>
      <c r="DC1977" s="76">
        <f>+DB1977*25000</f>
        <v>0</v>
      </c>
      <c r="DD1977" s="219"/>
      <c r="DE1977" s="219"/>
      <c r="DF1977" s="166"/>
      <c r="DG1977" s="116"/>
      <c r="DH1977" s="117"/>
      <c r="DI1977" s="24"/>
      <c r="DJ1977" s="24"/>
      <c r="DK1977" s="24"/>
      <c r="DL1977" s="24"/>
      <c r="DM1977" s="24"/>
      <c r="DN1977" s="24"/>
      <c r="DO1977" s="24"/>
      <c r="DP1977" s="24"/>
      <c r="DQ1977" s="24"/>
      <c r="DR1977" s="24"/>
      <c r="DS1977" s="24"/>
      <c r="DT1977" s="24"/>
      <c r="DU1977" s="24"/>
    </row>
    <row r="1978" spans="1:125" s="8" customFormat="1" ht="48" x14ac:dyDescent="0.2">
      <c r="A1978" s="353">
        <v>41423</v>
      </c>
      <c r="B1978" s="225" t="s">
        <v>2881</v>
      </c>
      <c r="C1978" s="227" t="s">
        <v>2757</v>
      </c>
      <c r="D1978" s="354" t="s">
        <v>2882</v>
      </c>
      <c r="E1978" s="75" t="str">
        <f>VLOOKUP(B1978&amp;C1978,Divipola!$C$2:$F$1138,4,FALSE)</f>
        <v>08141</v>
      </c>
      <c r="F1978" s="87"/>
      <c r="G1978" s="87"/>
      <c r="H1978" s="87"/>
      <c r="I1978" s="87">
        <v>75</v>
      </c>
      <c r="J1978" s="87">
        <v>15</v>
      </c>
      <c r="K1978" s="87"/>
      <c r="L1978" s="87">
        <v>15</v>
      </c>
      <c r="M1978" s="87"/>
      <c r="N1978" s="87"/>
      <c r="O1978" s="87"/>
      <c r="P1978" s="87"/>
      <c r="Q1978" s="87"/>
      <c r="R1978" s="87"/>
      <c r="S1978" s="87"/>
      <c r="T1978" s="87"/>
      <c r="U1978" s="88"/>
      <c r="V1978" s="89"/>
      <c r="W1978" s="96">
        <v>0</v>
      </c>
      <c r="X1978" s="71">
        <f>CU1978</f>
        <v>0</v>
      </c>
      <c r="Y1978" s="71">
        <f>CY1978</f>
        <v>0</v>
      </c>
      <c r="Z1978" s="71">
        <f>DA1978+DC1978+DE1978</f>
        <v>0</v>
      </c>
      <c r="AA1978" s="71">
        <f>CW1978</f>
        <v>0</v>
      </c>
      <c r="AB1978" s="71"/>
      <c r="AC1978" s="71">
        <v>0</v>
      </c>
      <c r="AD1978" s="71">
        <f>W1978+X1978+Y1978+Z1978+AA1978+AB1978+AC1978</f>
        <v>0</v>
      </c>
      <c r="AE1978" s="72">
        <v>0</v>
      </c>
      <c r="AF1978" s="5"/>
      <c r="AG1978" s="6"/>
      <c r="AH1978" s="27" t="s">
        <v>3392</v>
      </c>
      <c r="AI1978" s="44" t="s">
        <v>3393</v>
      </c>
      <c r="AJ1978" s="26"/>
      <c r="AK1978" s="5"/>
      <c r="AL1978" s="82" t="s">
        <v>4787</v>
      </c>
      <c r="AM1978" s="76"/>
      <c r="AN1978" s="76"/>
      <c r="AO1978" s="76"/>
      <c r="AP1978" s="76"/>
      <c r="AQ1978" s="76"/>
      <c r="AR1978" s="76"/>
      <c r="AS1978" s="76"/>
      <c r="AT1978" s="76"/>
      <c r="AU1978" s="76"/>
      <c r="AV1978" s="76"/>
      <c r="AW1978" s="76"/>
      <c r="AX1978" s="76">
        <f>+AW1978*600000</f>
        <v>0</v>
      </c>
      <c r="AY1978" s="76"/>
      <c r="AZ1978" s="76">
        <f>+AY1978*70000</f>
        <v>0</v>
      </c>
      <c r="BA1978" s="76"/>
      <c r="BB1978" s="76"/>
      <c r="BC1978" s="76"/>
      <c r="BD1978" s="76">
        <f>+BC1978*30000</f>
        <v>0</v>
      </c>
      <c r="BE1978" s="76"/>
      <c r="BF1978" s="76"/>
      <c r="BG1978" s="76"/>
      <c r="BH1978" s="76"/>
      <c r="BI1978" s="76"/>
      <c r="BJ1978" s="76"/>
      <c r="BK1978" s="76"/>
      <c r="BL1978" s="76">
        <f>+BK1978*31500</f>
        <v>0</v>
      </c>
      <c r="BM1978" s="76"/>
      <c r="BN1978" s="76"/>
      <c r="BO1978" s="76"/>
      <c r="BP1978" s="76"/>
      <c r="BQ1978" s="76"/>
      <c r="BR1978" s="76"/>
      <c r="BS1978" s="76"/>
      <c r="BT1978" s="76"/>
      <c r="BU1978" s="76"/>
      <c r="BV1978" s="76"/>
      <c r="BW1978" s="76"/>
      <c r="BX1978" s="76"/>
      <c r="BY1978" s="76"/>
      <c r="BZ1978" s="76"/>
      <c r="CA1978" s="76"/>
      <c r="CB1978" s="76"/>
      <c r="CC1978" s="76"/>
      <c r="CD1978" s="76"/>
      <c r="CE1978" s="76"/>
      <c r="CF1978" s="76">
        <f>+CE1978*28000</f>
        <v>0</v>
      </c>
      <c r="CG1978" s="76"/>
      <c r="CH1978" s="76">
        <f>+CG1978*22500</f>
        <v>0</v>
      </c>
      <c r="CI1978" s="76"/>
      <c r="CJ1978" s="76">
        <f>+CI1978*26000</f>
        <v>0</v>
      </c>
      <c r="CK1978" s="76"/>
      <c r="CL1978" s="76"/>
      <c r="CM1978" s="76"/>
      <c r="CN1978" s="76">
        <f>+CM1978*22000</f>
        <v>0</v>
      </c>
      <c r="CO1978" s="76"/>
      <c r="CP1978" s="76">
        <f>+CO1978*46000</f>
        <v>0</v>
      </c>
      <c r="CQ1978" s="76"/>
      <c r="CR1978" s="76">
        <f>+CQ1978*49000</f>
        <v>0</v>
      </c>
      <c r="CS1978" s="76"/>
      <c r="CT1978" s="76"/>
      <c r="CU1978" s="56">
        <f>AN1978+AP1978+AR1978+AT1978+AV1978+AX1978+AZ1978+BB1978+BD1978+BF1978+BH1978+BJ1978+BL1978+BN1978+BP1978+BR1978+BT1978+BV1978+BX1978+BZ1978+CB1978+CD1978+CF1978+CH1978+CJ1978+CL1978+CN1978+CP1978+CR1978+CT1978</f>
        <v>0</v>
      </c>
      <c r="CV1978" s="76"/>
      <c r="CW1978" s="76">
        <f>+CV1978*1100</f>
        <v>0</v>
      </c>
      <c r="CX1978" s="76"/>
      <c r="CY1978" s="76">
        <f>+CX1978*106250</f>
        <v>0</v>
      </c>
      <c r="CZ1978" s="76"/>
      <c r="DA1978" s="76">
        <f>+CZ1978*34500</f>
        <v>0</v>
      </c>
      <c r="DB1978" s="76"/>
      <c r="DC1978" s="76">
        <f>+DB1978*25000</f>
        <v>0</v>
      </c>
      <c r="DD1978" s="219"/>
      <c r="DE1978" s="219"/>
      <c r="DF1978" s="166"/>
      <c r="DG1978" s="116"/>
      <c r="DH1978" s="117"/>
      <c r="DI1978" s="24"/>
      <c r="DJ1978" s="24"/>
      <c r="DK1978" s="24"/>
      <c r="DL1978" s="24"/>
      <c r="DM1978" s="24"/>
      <c r="DN1978" s="24"/>
      <c r="DO1978" s="24"/>
      <c r="DP1978" s="24"/>
      <c r="DQ1978" s="24"/>
      <c r="DR1978" s="24"/>
      <c r="DS1978" s="24"/>
      <c r="DT1978" s="24"/>
      <c r="DU1978" s="24"/>
    </row>
    <row r="1979" spans="1:125" s="8" customFormat="1" ht="48" x14ac:dyDescent="0.2">
      <c r="A1979" s="353">
        <v>41423</v>
      </c>
      <c r="B1979" s="352" t="s">
        <v>2881</v>
      </c>
      <c r="C1979" s="354" t="s">
        <v>490</v>
      </c>
      <c r="D1979" s="354" t="s">
        <v>3051</v>
      </c>
      <c r="E1979" s="75" t="str">
        <f>VLOOKUP(B1979&amp;C1979,Divipola!$C$2:$F$1138,4,FALSE)</f>
        <v>08606</v>
      </c>
      <c r="F1979" s="87"/>
      <c r="G1979" s="87"/>
      <c r="H1979" s="87"/>
      <c r="I1979" s="87">
        <v>400</v>
      </c>
      <c r="J1979" s="87">
        <v>80</v>
      </c>
      <c r="K1979" s="87"/>
      <c r="L1979" s="87">
        <v>80</v>
      </c>
      <c r="M1979" s="87"/>
      <c r="N1979" s="87"/>
      <c r="O1979" s="87"/>
      <c r="P1979" s="87"/>
      <c r="Q1979" s="87"/>
      <c r="R1979" s="87"/>
      <c r="S1979" s="87"/>
      <c r="T1979" s="87"/>
      <c r="U1979" s="88"/>
      <c r="V1979" s="89"/>
      <c r="W1979" s="96">
        <v>0</v>
      </c>
      <c r="X1979" s="71">
        <f>CU1979</f>
        <v>0</v>
      </c>
      <c r="Y1979" s="71">
        <f>CY1979</f>
        <v>0</v>
      </c>
      <c r="Z1979" s="71">
        <f>DA1979+DC1979+DE1979</f>
        <v>0</v>
      </c>
      <c r="AA1979" s="71">
        <f>CW1979</f>
        <v>0</v>
      </c>
      <c r="AB1979" s="71"/>
      <c r="AC1979" s="71">
        <v>0</v>
      </c>
      <c r="AD1979" s="71">
        <f>W1979+X1979+Y1979+Z1979+AA1979+AB1979+AC1979</f>
        <v>0</v>
      </c>
      <c r="AE1979" s="72">
        <v>0</v>
      </c>
      <c r="AF1979" s="5"/>
      <c r="AG1979" s="6"/>
      <c r="AH1979" s="27" t="s">
        <v>3392</v>
      </c>
      <c r="AI1979" s="44" t="s">
        <v>3393</v>
      </c>
      <c r="AJ1979" s="26"/>
      <c r="AK1979" s="5"/>
      <c r="AL1979" s="82" t="s">
        <v>4788</v>
      </c>
      <c r="AM1979" s="76"/>
      <c r="AN1979" s="76"/>
      <c r="AO1979" s="76"/>
      <c r="AP1979" s="76"/>
      <c r="AQ1979" s="76"/>
      <c r="AR1979" s="76"/>
      <c r="AS1979" s="76"/>
      <c r="AT1979" s="76"/>
      <c r="AU1979" s="76"/>
      <c r="AV1979" s="76"/>
      <c r="AW1979" s="76"/>
      <c r="AX1979" s="76">
        <f>+AW1979*600000</f>
        <v>0</v>
      </c>
      <c r="AY1979" s="76"/>
      <c r="AZ1979" s="76">
        <f>+AY1979*70000</f>
        <v>0</v>
      </c>
      <c r="BA1979" s="76"/>
      <c r="BB1979" s="76"/>
      <c r="BC1979" s="76"/>
      <c r="BD1979" s="76">
        <f>+BC1979*30000</f>
        <v>0</v>
      </c>
      <c r="BE1979" s="76"/>
      <c r="BF1979" s="76"/>
      <c r="BG1979" s="76"/>
      <c r="BH1979" s="76"/>
      <c r="BI1979" s="76"/>
      <c r="BJ1979" s="76"/>
      <c r="BK1979" s="76"/>
      <c r="BL1979" s="76">
        <f>+BK1979*31500</f>
        <v>0</v>
      </c>
      <c r="BM1979" s="76"/>
      <c r="BN1979" s="76"/>
      <c r="BO1979" s="76"/>
      <c r="BP1979" s="76"/>
      <c r="BQ1979" s="76"/>
      <c r="BR1979" s="76"/>
      <c r="BS1979" s="76"/>
      <c r="BT1979" s="76"/>
      <c r="BU1979" s="76"/>
      <c r="BV1979" s="76"/>
      <c r="BW1979" s="76"/>
      <c r="BX1979" s="76"/>
      <c r="BY1979" s="76"/>
      <c r="BZ1979" s="76"/>
      <c r="CA1979" s="76"/>
      <c r="CB1979" s="76"/>
      <c r="CC1979" s="76"/>
      <c r="CD1979" s="76"/>
      <c r="CE1979" s="76"/>
      <c r="CF1979" s="76">
        <f>+CE1979*28000</f>
        <v>0</v>
      </c>
      <c r="CG1979" s="76"/>
      <c r="CH1979" s="76">
        <f>+CG1979*22500</f>
        <v>0</v>
      </c>
      <c r="CI1979" s="76"/>
      <c r="CJ1979" s="76">
        <f>+CI1979*26000</f>
        <v>0</v>
      </c>
      <c r="CK1979" s="76"/>
      <c r="CL1979" s="76"/>
      <c r="CM1979" s="76"/>
      <c r="CN1979" s="76">
        <f>+CM1979*22000</f>
        <v>0</v>
      </c>
      <c r="CO1979" s="76"/>
      <c r="CP1979" s="76">
        <f>+CO1979*46000</f>
        <v>0</v>
      </c>
      <c r="CQ1979" s="76"/>
      <c r="CR1979" s="76">
        <f>+CQ1979*49000</f>
        <v>0</v>
      </c>
      <c r="CS1979" s="76"/>
      <c r="CT1979" s="76"/>
      <c r="CU1979" s="56">
        <f>AN1979+AP1979+AR1979+AT1979+AV1979+AX1979+AZ1979+BB1979+BD1979+BF1979+BH1979+BJ1979+BL1979+BN1979+BP1979+BR1979+BT1979+BV1979+BX1979+BZ1979+CB1979+CD1979+CF1979+CH1979+CJ1979+CL1979+CN1979+CP1979+CR1979+CT1979</f>
        <v>0</v>
      </c>
      <c r="CV1979" s="76"/>
      <c r="CW1979" s="76">
        <f>+CV1979*1100</f>
        <v>0</v>
      </c>
      <c r="CX1979" s="76"/>
      <c r="CY1979" s="76">
        <f>+CX1979*106250</f>
        <v>0</v>
      </c>
      <c r="CZ1979" s="76"/>
      <c r="DA1979" s="76">
        <f>+CZ1979*34500</f>
        <v>0</v>
      </c>
      <c r="DB1979" s="76"/>
      <c r="DC1979" s="76">
        <f>+DB1979*25000</f>
        <v>0</v>
      </c>
      <c r="DD1979" s="219"/>
      <c r="DE1979" s="219"/>
      <c r="DF1979" s="166"/>
      <c r="DG1979" s="116"/>
      <c r="DH1979" s="117"/>
      <c r="DI1979" s="24"/>
      <c r="DJ1979" s="24"/>
      <c r="DK1979" s="24"/>
      <c r="DL1979" s="24"/>
      <c r="DM1979" s="24"/>
      <c r="DN1979" s="24"/>
      <c r="DO1979" s="24"/>
      <c r="DP1979" s="24"/>
      <c r="DQ1979" s="24"/>
      <c r="DR1979" s="24"/>
      <c r="DS1979" s="24"/>
      <c r="DT1979" s="24"/>
      <c r="DU1979" s="24"/>
    </row>
    <row r="1980" spans="1:125" s="8" customFormat="1" ht="60" x14ac:dyDescent="0.2">
      <c r="A1980" s="77">
        <v>41423</v>
      </c>
      <c r="B1980" s="225" t="s">
        <v>529</v>
      </c>
      <c r="C1980" s="227" t="s">
        <v>529</v>
      </c>
      <c r="D1980" s="354" t="s">
        <v>2859</v>
      </c>
      <c r="E1980" s="75" t="str">
        <f>VLOOKUP(B1980&amp;C1980,Divipola!$C$2:$F$1138,4,FALSE)</f>
        <v>11001</v>
      </c>
      <c r="F1980" s="87"/>
      <c r="G1980" s="87">
        <v>2</v>
      </c>
      <c r="H1980" s="87"/>
      <c r="I1980" s="87">
        <v>10</v>
      </c>
      <c r="J1980" s="87">
        <v>2</v>
      </c>
      <c r="K1980" s="87"/>
      <c r="L1980" s="87">
        <v>1</v>
      </c>
      <c r="M1980" s="87"/>
      <c r="N1980" s="87"/>
      <c r="O1980" s="87"/>
      <c r="P1980" s="87"/>
      <c r="Q1980" s="87"/>
      <c r="R1980" s="87"/>
      <c r="S1980" s="87"/>
      <c r="T1980" s="87"/>
      <c r="U1980" s="88"/>
      <c r="V1980" s="89"/>
      <c r="W1980" s="96">
        <v>0</v>
      </c>
      <c r="X1980" s="71">
        <f>CU1980</f>
        <v>0</v>
      </c>
      <c r="Y1980" s="71">
        <f>CY1980</f>
        <v>0</v>
      </c>
      <c r="Z1980" s="71">
        <f>DA1980+DC1980+DE1980</f>
        <v>0</v>
      </c>
      <c r="AA1980" s="71">
        <f>CW1980</f>
        <v>0</v>
      </c>
      <c r="AB1980" s="71"/>
      <c r="AC1980" s="71">
        <v>0</v>
      </c>
      <c r="AD1980" s="71">
        <f>W1980+X1980+Y1980+Z1980+AA1980+AB1980+AC1980</f>
        <v>0</v>
      </c>
      <c r="AE1980" s="72">
        <v>0</v>
      </c>
      <c r="AF1980" s="5"/>
      <c r="AG1980" s="6"/>
      <c r="AH1980" s="27" t="s">
        <v>3392</v>
      </c>
      <c r="AI1980" s="44" t="s">
        <v>3393</v>
      </c>
      <c r="AJ1980" s="26"/>
      <c r="AK1980" s="5"/>
      <c r="AL1980" s="82" t="s">
        <v>4805</v>
      </c>
      <c r="AM1980" s="76"/>
      <c r="AN1980" s="76"/>
      <c r="AO1980" s="76"/>
      <c r="AP1980" s="76"/>
      <c r="AQ1980" s="76"/>
      <c r="AR1980" s="76"/>
      <c r="AS1980" s="76"/>
      <c r="AT1980" s="76"/>
      <c r="AU1980" s="76"/>
      <c r="AV1980" s="76"/>
      <c r="AW1980" s="76"/>
      <c r="AX1980" s="76">
        <f>+AW1980*600000</f>
        <v>0</v>
      </c>
      <c r="AY1980" s="76"/>
      <c r="AZ1980" s="76">
        <f>+AY1980*70000</f>
        <v>0</v>
      </c>
      <c r="BA1980" s="76"/>
      <c r="BB1980" s="76"/>
      <c r="BC1980" s="76"/>
      <c r="BD1980" s="76">
        <f>+BC1980*30000</f>
        <v>0</v>
      </c>
      <c r="BE1980" s="76"/>
      <c r="BF1980" s="76"/>
      <c r="BG1980" s="76"/>
      <c r="BH1980" s="76"/>
      <c r="BI1980" s="76"/>
      <c r="BJ1980" s="76"/>
      <c r="BK1980" s="76"/>
      <c r="BL1980" s="76">
        <f>+BK1980*31500</f>
        <v>0</v>
      </c>
      <c r="BM1980" s="76"/>
      <c r="BN1980" s="76"/>
      <c r="BO1980" s="76"/>
      <c r="BP1980" s="76"/>
      <c r="BQ1980" s="76"/>
      <c r="BR1980" s="76"/>
      <c r="BS1980" s="76"/>
      <c r="BT1980" s="76"/>
      <c r="BU1980" s="76"/>
      <c r="BV1980" s="76"/>
      <c r="BW1980" s="76"/>
      <c r="BX1980" s="76"/>
      <c r="BY1980" s="76"/>
      <c r="BZ1980" s="76"/>
      <c r="CA1980" s="76"/>
      <c r="CB1980" s="76"/>
      <c r="CC1980" s="76"/>
      <c r="CD1980" s="76"/>
      <c r="CE1980" s="76"/>
      <c r="CF1980" s="76">
        <f>+CE1980*28000</f>
        <v>0</v>
      </c>
      <c r="CG1980" s="76"/>
      <c r="CH1980" s="76">
        <f>+CG1980*22500</f>
        <v>0</v>
      </c>
      <c r="CI1980" s="76"/>
      <c r="CJ1980" s="76">
        <f>+CI1980*26000</f>
        <v>0</v>
      </c>
      <c r="CK1980" s="76"/>
      <c r="CL1980" s="76"/>
      <c r="CM1980" s="76"/>
      <c r="CN1980" s="76">
        <f>+CM1980*22000</f>
        <v>0</v>
      </c>
      <c r="CO1980" s="76"/>
      <c r="CP1980" s="76">
        <f>+CO1980*46000</f>
        <v>0</v>
      </c>
      <c r="CQ1980" s="76"/>
      <c r="CR1980" s="76">
        <f>+CQ1980*49000</f>
        <v>0</v>
      </c>
      <c r="CS1980" s="76"/>
      <c r="CT1980" s="76"/>
      <c r="CU1980" s="56">
        <f>AN1980+AP1980+AR1980+AT1980+AV1980+AX1980+AZ1980+BB1980+BD1980+BF1980+BH1980+BJ1980+BL1980+BN1980+BP1980+BR1980+BT1980+BV1980+BX1980+BZ1980+CB1980+CD1980+CF1980+CH1980+CJ1980+CL1980+CN1980+CP1980+CR1980+CT1980</f>
        <v>0</v>
      </c>
      <c r="CV1980" s="76"/>
      <c r="CW1980" s="76">
        <f>+CV1980*1100</f>
        <v>0</v>
      </c>
      <c r="CX1980" s="76"/>
      <c r="CY1980" s="76">
        <f>+CX1980*106250</f>
        <v>0</v>
      </c>
      <c r="CZ1980" s="76"/>
      <c r="DA1980" s="76">
        <f>+CZ1980*34500</f>
        <v>0</v>
      </c>
      <c r="DB1980" s="76"/>
      <c r="DC1980" s="76">
        <f>+DB1980*25000</f>
        <v>0</v>
      </c>
      <c r="DD1980" s="219"/>
      <c r="DE1980" s="219"/>
      <c r="DF1980" s="166"/>
      <c r="DG1980" s="116"/>
      <c r="DH1980" s="117"/>
      <c r="DI1980" s="24"/>
      <c r="DJ1980" s="24"/>
      <c r="DK1980" s="24"/>
      <c r="DL1980" s="24"/>
      <c r="DM1980" s="24"/>
      <c r="DN1980" s="24"/>
      <c r="DO1980" s="24"/>
      <c r="DP1980" s="24"/>
      <c r="DQ1980" s="24"/>
      <c r="DR1980" s="24"/>
      <c r="DS1980" s="24"/>
      <c r="DT1980" s="24"/>
      <c r="DU1980" s="24"/>
    </row>
    <row r="1981" spans="1:125" s="8" customFormat="1" ht="108" x14ac:dyDescent="0.2">
      <c r="A1981" s="77">
        <v>41423</v>
      </c>
      <c r="B1981" s="352" t="s">
        <v>2718</v>
      </c>
      <c r="C1981" s="354" t="s">
        <v>988</v>
      </c>
      <c r="D1981" s="354" t="s">
        <v>4391</v>
      </c>
      <c r="E1981" s="75" t="str">
        <f>VLOOKUP(B1981&amp;C1981,Divipola!$C$2:$F$1138,4,FALSE)</f>
        <v>23670</v>
      </c>
      <c r="F1981" s="87">
        <v>1</v>
      </c>
      <c r="G1981" s="87"/>
      <c r="H1981" s="87"/>
      <c r="I1981" s="87"/>
      <c r="J1981" s="87"/>
      <c r="K1981" s="87"/>
      <c r="L1981" s="87"/>
      <c r="M1981" s="87"/>
      <c r="N1981" s="87"/>
      <c r="O1981" s="87"/>
      <c r="P1981" s="87"/>
      <c r="Q1981" s="87"/>
      <c r="R1981" s="87"/>
      <c r="S1981" s="87"/>
      <c r="T1981" s="87"/>
      <c r="U1981" s="88"/>
      <c r="V1981" s="89"/>
      <c r="W1981" s="96">
        <v>0</v>
      </c>
      <c r="X1981" s="71">
        <f>CU1981</f>
        <v>0</v>
      </c>
      <c r="Y1981" s="71">
        <f>CY1981</f>
        <v>0</v>
      </c>
      <c r="Z1981" s="71">
        <f>DA1981+DC1981+DE1981</f>
        <v>0</v>
      </c>
      <c r="AA1981" s="71">
        <f>CW1981</f>
        <v>0</v>
      </c>
      <c r="AB1981" s="71"/>
      <c r="AC1981" s="71">
        <v>0</v>
      </c>
      <c r="AD1981" s="71">
        <f>W1981+X1981+Y1981+Z1981+AA1981+AB1981+AC1981</f>
        <v>0</v>
      </c>
      <c r="AE1981" s="72">
        <v>0</v>
      </c>
      <c r="AF1981" s="5"/>
      <c r="AG1981" s="6"/>
      <c r="AH1981" s="27" t="s">
        <v>3392</v>
      </c>
      <c r="AI1981" s="44" t="s">
        <v>3393</v>
      </c>
      <c r="AJ1981" s="26"/>
      <c r="AK1981" s="5"/>
      <c r="AL1981" s="82" t="s">
        <v>4841</v>
      </c>
      <c r="AM1981" s="76"/>
      <c r="AN1981" s="76"/>
      <c r="AO1981" s="76"/>
      <c r="AP1981" s="76"/>
      <c r="AQ1981" s="76"/>
      <c r="AR1981" s="76"/>
      <c r="AS1981" s="76"/>
      <c r="AT1981" s="76"/>
      <c r="AU1981" s="76"/>
      <c r="AV1981" s="76"/>
      <c r="AW1981" s="76"/>
      <c r="AX1981" s="76">
        <f>+AW1981*600000</f>
        <v>0</v>
      </c>
      <c r="AY1981" s="76"/>
      <c r="AZ1981" s="76">
        <f>+AY1981*70000</f>
        <v>0</v>
      </c>
      <c r="BA1981" s="76"/>
      <c r="BB1981" s="76"/>
      <c r="BC1981" s="76"/>
      <c r="BD1981" s="76">
        <f>+BC1981*30000</f>
        <v>0</v>
      </c>
      <c r="BE1981" s="76"/>
      <c r="BF1981" s="76"/>
      <c r="BG1981" s="76"/>
      <c r="BH1981" s="76"/>
      <c r="BI1981" s="76"/>
      <c r="BJ1981" s="76"/>
      <c r="BK1981" s="76"/>
      <c r="BL1981" s="76">
        <f>+BK1981*31500</f>
        <v>0</v>
      </c>
      <c r="BM1981" s="76"/>
      <c r="BN1981" s="76"/>
      <c r="BO1981" s="76"/>
      <c r="BP1981" s="76"/>
      <c r="BQ1981" s="76"/>
      <c r="BR1981" s="76"/>
      <c r="BS1981" s="76"/>
      <c r="BT1981" s="76"/>
      <c r="BU1981" s="76"/>
      <c r="BV1981" s="76"/>
      <c r="BW1981" s="76"/>
      <c r="BX1981" s="76"/>
      <c r="BY1981" s="76"/>
      <c r="BZ1981" s="76"/>
      <c r="CA1981" s="76"/>
      <c r="CB1981" s="76"/>
      <c r="CC1981" s="76"/>
      <c r="CD1981" s="76"/>
      <c r="CE1981" s="76"/>
      <c r="CF1981" s="76">
        <f>+CE1981*28000</f>
        <v>0</v>
      </c>
      <c r="CG1981" s="76"/>
      <c r="CH1981" s="76">
        <f>+CG1981*22500</f>
        <v>0</v>
      </c>
      <c r="CI1981" s="76"/>
      <c r="CJ1981" s="76">
        <f>+CI1981*26000</f>
        <v>0</v>
      </c>
      <c r="CK1981" s="76"/>
      <c r="CL1981" s="76"/>
      <c r="CM1981" s="76"/>
      <c r="CN1981" s="76">
        <f>+CM1981*22000</f>
        <v>0</v>
      </c>
      <c r="CO1981" s="76"/>
      <c r="CP1981" s="76">
        <f>+CO1981*46000</f>
        <v>0</v>
      </c>
      <c r="CQ1981" s="76"/>
      <c r="CR1981" s="76">
        <f>+CQ1981*49000</f>
        <v>0</v>
      </c>
      <c r="CS1981" s="76"/>
      <c r="CT1981" s="76"/>
      <c r="CU1981" s="56">
        <f>AN1981+AP1981+AR1981+AT1981+AV1981+AX1981+AZ1981+BB1981+BD1981+BF1981+BH1981+BJ1981+BL1981+BN1981+BP1981+BR1981+BT1981+BV1981+BX1981+BZ1981+CB1981+CD1981+CF1981+CH1981+CJ1981+CL1981+CN1981+CP1981+CR1981+CT1981</f>
        <v>0</v>
      </c>
      <c r="CV1981" s="76"/>
      <c r="CW1981" s="76">
        <f>+CV1981*1100</f>
        <v>0</v>
      </c>
      <c r="CX1981" s="76"/>
      <c r="CY1981" s="76">
        <f>+CX1981*106250</f>
        <v>0</v>
      </c>
      <c r="CZ1981" s="76"/>
      <c r="DA1981" s="76">
        <f>+CZ1981*34500</f>
        <v>0</v>
      </c>
      <c r="DB1981" s="76"/>
      <c r="DC1981" s="76">
        <f>+DB1981*25000</f>
        <v>0</v>
      </c>
      <c r="DD1981" s="219"/>
      <c r="DE1981" s="219"/>
      <c r="DF1981" s="166"/>
      <c r="DG1981" s="116"/>
      <c r="DH1981" s="117"/>
      <c r="DI1981" s="24"/>
      <c r="DJ1981" s="24"/>
      <c r="DK1981" s="24"/>
      <c r="DL1981" s="24"/>
      <c r="DM1981" s="24"/>
      <c r="DN1981" s="24"/>
      <c r="DO1981" s="24"/>
      <c r="DP1981" s="24"/>
      <c r="DQ1981" s="24"/>
      <c r="DR1981" s="24"/>
      <c r="DS1981" s="24"/>
      <c r="DT1981" s="24"/>
      <c r="DU1981" s="24"/>
    </row>
    <row r="1982" spans="1:125" s="8" customFormat="1" ht="60" x14ac:dyDescent="0.2">
      <c r="A1982" s="77">
        <v>41423</v>
      </c>
      <c r="B1982" s="225" t="s">
        <v>3136</v>
      </c>
      <c r="C1982" s="354" t="s">
        <v>389</v>
      </c>
      <c r="D1982" s="227" t="s">
        <v>2859</v>
      </c>
      <c r="E1982" s="75" t="str">
        <f>VLOOKUP(B1982&amp;C1982,Divipola!$C$2:$F$1138,4,FALSE)</f>
        <v>44090</v>
      </c>
      <c r="F1982" s="87"/>
      <c r="G1982" s="87"/>
      <c r="H1982" s="87"/>
      <c r="I1982" s="87">
        <v>5</v>
      </c>
      <c r="J1982" s="87">
        <v>1</v>
      </c>
      <c r="K1982" s="87">
        <v>1</v>
      </c>
      <c r="L1982" s="87"/>
      <c r="M1982" s="87"/>
      <c r="N1982" s="87"/>
      <c r="O1982" s="87"/>
      <c r="P1982" s="87"/>
      <c r="Q1982" s="87"/>
      <c r="R1982" s="87"/>
      <c r="S1982" s="87"/>
      <c r="T1982" s="87"/>
      <c r="U1982" s="88"/>
      <c r="V1982" s="89"/>
      <c r="W1982" s="96">
        <v>0</v>
      </c>
      <c r="X1982" s="71">
        <f>CU1982</f>
        <v>0</v>
      </c>
      <c r="Y1982" s="71">
        <f>CY1982</f>
        <v>0</v>
      </c>
      <c r="Z1982" s="71">
        <f>DA1982+DC1982+DE1982</f>
        <v>0</v>
      </c>
      <c r="AA1982" s="71">
        <f>CW1982</f>
        <v>0</v>
      </c>
      <c r="AB1982" s="71"/>
      <c r="AC1982" s="71">
        <v>0</v>
      </c>
      <c r="AD1982" s="71">
        <f>W1982+X1982+Y1982+Z1982+AA1982+AB1982+AC1982</f>
        <v>0</v>
      </c>
      <c r="AE1982" s="72">
        <v>0</v>
      </c>
      <c r="AF1982" s="5"/>
      <c r="AG1982" s="6"/>
      <c r="AH1982" s="27" t="s">
        <v>3392</v>
      </c>
      <c r="AI1982" s="44" t="s">
        <v>3393</v>
      </c>
      <c r="AJ1982" s="26"/>
      <c r="AK1982" s="5"/>
      <c r="AL1982" s="82" t="s">
        <v>4804</v>
      </c>
      <c r="AM1982" s="76"/>
      <c r="AN1982" s="76"/>
      <c r="AO1982" s="76"/>
      <c r="AP1982" s="76"/>
      <c r="AQ1982" s="76"/>
      <c r="AR1982" s="76"/>
      <c r="AS1982" s="76"/>
      <c r="AT1982" s="76"/>
      <c r="AU1982" s="76"/>
      <c r="AV1982" s="76"/>
      <c r="AW1982" s="76"/>
      <c r="AX1982" s="76">
        <f>+AW1982*600000</f>
        <v>0</v>
      </c>
      <c r="AY1982" s="76"/>
      <c r="AZ1982" s="76">
        <f>+AY1982*70000</f>
        <v>0</v>
      </c>
      <c r="BA1982" s="76"/>
      <c r="BB1982" s="76"/>
      <c r="BC1982" s="76"/>
      <c r="BD1982" s="76">
        <f>+BC1982*30000</f>
        <v>0</v>
      </c>
      <c r="BE1982" s="76"/>
      <c r="BF1982" s="76"/>
      <c r="BG1982" s="76"/>
      <c r="BH1982" s="76"/>
      <c r="BI1982" s="76"/>
      <c r="BJ1982" s="76"/>
      <c r="BK1982" s="76"/>
      <c r="BL1982" s="76">
        <f>+BK1982*31500</f>
        <v>0</v>
      </c>
      <c r="BM1982" s="76"/>
      <c r="BN1982" s="76"/>
      <c r="BO1982" s="76"/>
      <c r="BP1982" s="76"/>
      <c r="BQ1982" s="76"/>
      <c r="BR1982" s="76"/>
      <c r="BS1982" s="76"/>
      <c r="BT1982" s="76"/>
      <c r="BU1982" s="76"/>
      <c r="BV1982" s="76"/>
      <c r="BW1982" s="76"/>
      <c r="BX1982" s="76"/>
      <c r="BY1982" s="76"/>
      <c r="BZ1982" s="76"/>
      <c r="CA1982" s="76"/>
      <c r="CB1982" s="76"/>
      <c r="CC1982" s="76"/>
      <c r="CD1982" s="76"/>
      <c r="CE1982" s="76"/>
      <c r="CF1982" s="76">
        <f>+CE1982*28000</f>
        <v>0</v>
      </c>
      <c r="CG1982" s="76"/>
      <c r="CH1982" s="76">
        <f>+CG1982*22500</f>
        <v>0</v>
      </c>
      <c r="CI1982" s="76"/>
      <c r="CJ1982" s="76">
        <f>+CI1982*26000</f>
        <v>0</v>
      </c>
      <c r="CK1982" s="76"/>
      <c r="CL1982" s="76"/>
      <c r="CM1982" s="76"/>
      <c r="CN1982" s="76">
        <f>+CM1982*22000</f>
        <v>0</v>
      </c>
      <c r="CO1982" s="76"/>
      <c r="CP1982" s="76">
        <f>+CO1982*46000</f>
        <v>0</v>
      </c>
      <c r="CQ1982" s="76"/>
      <c r="CR1982" s="76">
        <f>+CQ1982*49000</f>
        <v>0</v>
      </c>
      <c r="CS1982" s="76"/>
      <c r="CT1982" s="76"/>
      <c r="CU1982" s="56">
        <f>AN1982+AP1982+AR1982+AT1982+AV1982+AX1982+AZ1982+BB1982+BD1982+BF1982+BH1982+BJ1982+BL1982+BN1982+BP1982+BR1982+BT1982+BV1982+BX1982+BZ1982+CB1982+CD1982+CF1982+CH1982+CJ1982+CL1982+CN1982+CP1982+CR1982+CT1982</f>
        <v>0</v>
      </c>
      <c r="CV1982" s="76"/>
      <c r="CW1982" s="76">
        <f>+CV1982*1100</f>
        <v>0</v>
      </c>
      <c r="CX1982" s="76"/>
      <c r="CY1982" s="76">
        <f>+CX1982*106250</f>
        <v>0</v>
      </c>
      <c r="CZ1982" s="76"/>
      <c r="DA1982" s="76">
        <f>+CZ1982*34500</f>
        <v>0</v>
      </c>
      <c r="DB1982" s="76"/>
      <c r="DC1982" s="76">
        <f>+DB1982*25000</f>
        <v>0</v>
      </c>
      <c r="DD1982" s="219"/>
      <c r="DE1982" s="219"/>
      <c r="DF1982" s="166"/>
      <c r="DG1982" s="116"/>
      <c r="DH1982" s="117"/>
      <c r="DI1982" s="24"/>
      <c r="DJ1982" s="24"/>
      <c r="DK1982" s="24"/>
      <c r="DL1982" s="24"/>
      <c r="DM1982" s="24"/>
      <c r="DN1982" s="24"/>
      <c r="DO1982" s="24"/>
      <c r="DP1982" s="24"/>
      <c r="DQ1982" s="24"/>
      <c r="DR1982" s="24"/>
      <c r="DS1982" s="24"/>
      <c r="DT1982" s="24"/>
      <c r="DU1982" s="24"/>
    </row>
    <row r="1983" spans="1:125" s="8" customFormat="1" ht="120" x14ac:dyDescent="0.2">
      <c r="A1983" s="226">
        <v>41423</v>
      </c>
      <c r="B1983" s="352" t="s">
        <v>2860</v>
      </c>
      <c r="C1983" s="354" t="s">
        <v>2776</v>
      </c>
      <c r="D1983" s="354" t="s">
        <v>3088</v>
      </c>
      <c r="E1983" s="75" t="str">
        <f>VLOOKUP(B1983&amp;C1983,Divipola!$C$2:$F$1138,4,FALSE)</f>
        <v>63001</v>
      </c>
      <c r="F1983" s="87"/>
      <c r="G1983" s="87"/>
      <c r="H1983" s="87"/>
      <c r="I1983" s="87">
        <v>5</v>
      </c>
      <c r="J1983" s="87">
        <v>1</v>
      </c>
      <c r="K1983" s="87"/>
      <c r="L1983" s="87">
        <v>1</v>
      </c>
      <c r="M1983" s="87"/>
      <c r="N1983" s="87"/>
      <c r="O1983" s="87"/>
      <c r="P1983" s="87"/>
      <c r="Q1983" s="87"/>
      <c r="R1983" s="87"/>
      <c r="S1983" s="87"/>
      <c r="T1983" s="87"/>
      <c r="U1983" s="88"/>
      <c r="V1983" s="89"/>
      <c r="W1983" s="96">
        <v>0</v>
      </c>
      <c r="X1983" s="71">
        <f>CU1983</f>
        <v>0</v>
      </c>
      <c r="Y1983" s="71">
        <f>CY1983</f>
        <v>0</v>
      </c>
      <c r="Z1983" s="71">
        <f>DA1983+DC1983+DE1983</f>
        <v>0</v>
      </c>
      <c r="AA1983" s="71">
        <f>CW1983</f>
        <v>0</v>
      </c>
      <c r="AB1983" s="71"/>
      <c r="AC1983" s="71">
        <v>0</v>
      </c>
      <c r="AD1983" s="71">
        <f>W1983+X1983+Y1983+Z1983+AA1983+AB1983+AC1983</f>
        <v>0</v>
      </c>
      <c r="AE1983" s="72">
        <v>0</v>
      </c>
      <c r="AF1983" s="5"/>
      <c r="AG1983" s="6"/>
      <c r="AH1983" s="27" t="s">
        <v>3392</v>
      </c>
      <c r="AI1983" s="44" t="s">
        <v>3393</v>
      </c>
      <c r="AJ1983" s="26"/>
      <c r="AK1983" s="5"/>
      <c r="AL1983" s="82" t="s">
        <v>4799</v>
      </c>
      <c r="AM1983" s="76"/>
      <c r="AN1983" s="76"/>
      <c r="AO1983" s="76"/>
      <c r="AP1983" s="76"/>
      <c r="AQ1983" s="76"/>
      <c r="AR1983" s="76"/>
      <c r="AS1983" s="76"/>
      <c r="AT1983" s="76"/>
      <c r="AU1983" s="76"/>
      <c r="AV1983" s="76"/>
      <c r="AW1983" s="76"/>
      <c r="AX1983" s="76">
        <f>+AW1983*600000</f>
        <v>0</v>
      </c>
      <c r="AY1983" s="76"/>
      <c r="AZ1983" s="76">
        <f>+AY1983*70000</f>
        <v>0</v>
      </c>
      <c r="BA1983" s="76"/>
      <c r="BB1983" s="76"/>
      <c r="BC1983" s="76"/>
      <c r="BD1983" s="76">
        <f>+BC1983*30000</f>
        <v>0</v>
      </c>
      <c r="BE1983" s="76"/>
      <c r="BF1983" s="76"/>
      <c r="BG1983" s="76"/>
      <c r="BH1983" s="76"/>
      <c r="BI1983" s="76"/>
      <c r="BJ1983" s="76"/>
      <c r="BK1983" s="76"/>
      <c r="BL1983" s="76">
        <f>+BK1983*31500</f>
        <v>0</v>
      </c>
      <c r="BM1983" s="76"/>
      <c r="BN1983" s="76"/>
      <c r="BO1983" s="76"/>
      <c r="BP1983" s="76"/>
      <c r="BQ1983" s="76"/>
      <c r="BR1983" s="76"/>
      <c r="BS1983" s="76"/>
      <c r="BT1983" s="76"/>
      <c r="BU1983" s="76"/>
      <c r="BV1983" s="76"/>
      <c r="BW1983" s="76"/>
      <c r="BX1983" s="76"/>
      <c r="BY1983" s="76"/>
      <c r="BZ1983" s="76"/>
      <c r="CA1983" s="76"/>
      <c r="CB1983" s="76"/>
      <c r="CC1983" s="76"/>
      <c r="CD1983" s="76"/>
      <c r="CE1983" s="76"/>
      <c r="CF1983" s="76">
        <f>+CE1983*28000</f>
        <v>0</v>
      </c>
      <c r="CG1983" s="76"/>
      <c r="CH1983" s="76">
        <f>+CG1983*22500</f>
        <v>0</v>
      </c>
      <c r="CI1983" s="76"/>
      <c r="CJ1983" s="76">
        <f>+CI1983*26000</f>
        <v>0</v>
      </c>
      <c r="CK1983" s="76"/>
      <c r="CL1983" s="76"/>
      <c r="CM1983" s="76"/>
      <c r="CN1983" s="76">
        <f>+CM1983*22000</f>
        <v>0</v>
      </c>
      <c r="CO1983" s="76"/>
      <c r="CP1983" s="76">
        <f>+CO1983*46000</f>
        <v>0</v>
      </c>
      <c r="CQ1983" s="76"/>
      <c r="CR1983" s="76">
        <f>+CQ1983*49000</f>
        <v>0</v>
      </c>
      <c r="CS1983" s="76"/>
      <c r="CT1983" s="76"/>
      <c r="CU1983" s="56">
        <f>AN1983+AP1983+AR1983+AT1983+AV1983+AX1983+AZ1983+BB1983+BD1983+BF1983+BH1983+BJ1983+BL1983+BN1983+BP1983+BR1983+BT1983+BV1983+BX1983+BZ1983+CB1983+CD1983+CF1983+CH1983+CJ1983+CL1983+CN1983+CP1983+CR1983+CT1983</f>
        <v>0</v>
      </c>
      <c r="CV1983" s="76"/>
      <c r="CW1983" s="76">
        <f>+CV1983*1100</f>
        <v>0</v>
      </c>
      <c r="CX1983" s="76"/>
      <c r="CY1983" s="76">
        <f>+CX1983*106250</f>
        <v>0</v>
      </c>
      <c r="CZ1983" s="76"/>
      <c r="DA1983" s="76">
        <f>+CZ1983*34500</f>
        <v>0</v>
      </c>
      <c r="DB1983" s="76"/>
      <c r="DC1983" s="76">
        <f>+DB1983*25000</f>
        <v>0</v>
      </c>
      <c r="DD1983" s="219"/>
      <c r="DE1983" s="219"/>
      <c r="DF1983" s="166"/>
      <c r="DG1983" s="116"/>
      <c r="DH1983" s="117"/>
      <c r="DI1983" s="24"/>
      <c r="DJ1983" s="24"/>
      <c r="DK1983" s="24"/>
      <c r="DL1983" s="24"/>
      <c r="DM1983" s="24"/>
      <c r="DN1983" s="24"/>
      <c r="DO1983" s="24"/>
      <c r="DP1983" s="24"/>
      <c r="DQ1983" s="24"/>
      <c r="DR1983" s="24"/>
      <c r="DS1983" s="24"/>
      <c r="DT1983" s="24"/>
      <c r="DU1983" s="24"/>
    </row>
    <row r="1984" spans="1:125" s="8" customFormat="1" ht="48" x14ac:dyDescent="0.2">
      <c r="A1984" s="353">
        <v>41423</v>
      </c>
      <c r="B1984" s="78" t="s">
        <v>2774</v>
      </c>
      <c r="C1984" s="75" t="s">
        <v>2037</v>
      </c>
      <c r="D1984" s="75" t="s">
        <v>3088</v>
      </c>
      <c r="E1984" s="75" t="str">
        <f>VLOOKUP(B1984&amp;C1984,Divipola!$C$2:$F$1138,4,FALSE)</f>
        <v>66045</v>
      </c>
      <c r="F1984" s="87"/>
      <c r="G1984" s="87"/>
      <c r="H1984" s="87"/>
      <c r="I1984" s="87"/>
      <c r="J1984" s="87"/>
      <c r="K1984" s="87"/>
      <c r="L1984" s="87"/>
      <c r="M1984" s="87">
        <v>1</v>
      </c>
      <c r="N1984" s="87"/>
      <c r="O1984" s="87"/>
      <c r="P1984" s="87"/>
      <c r="Q1984" s="87"/>
      <c r="R1984" s="87"/>
      <c r="S1984" s="87"/>
      <c r="T1984" s="87"/>
      <c r="U1984" s="88"/>
      <c r="V1984" s="89"/>
      <c r="W1984" s="96">
        <v>0</v>
      </c>
      <c r="X1984" s="71">
        <f>CU1984</f>
        <v>0</v>
      </c>
      <c r="Y1984" s="71">
        <f>CY1984</f>
        <v>0</v>
      </c>
      <c r="Z1984" s="71">
        <f>DA1984+DC1984+DE1984</f>
        <v>0</v>
      </c>
      <c r="AA1984" s="71">
        <f>CW1984</f>
        <v>0</v>
      </c>
      <c r="AB1984" s="71"/>
      <c r="AC1984" s="71">
        <v>0</v>
      </c>
      <c r="AD1984" s="71">
        <f>W1984+X1984+Y1984+Z1984+AA1984+AB1984+AC1984</f>
        <v>0</v>
      </c>
      <c r="AE1984" s="72">
        <v>0</v>
      </c>
      <c r="AF1984" s="5"/>
      <c r="AG1984" s="6"/>
      <c r="AH1984" s="27" t="s">
        <v>3392</v>
      </c>
      <c r="AI1984" s="44" t="s">
        <v>3393</v>
      </c>
      <c r="AJ1984" s="26"/>
      <c r="AK1984" s="5"/>
      <c r="AL1984" s="82" t="s">
        <v>4785</v>
      </c>
      <c r="AM1984" s="76"/>
      <c r="AN1984" s="76"/>
      <c r="AO1984" s="76"/>
      <c r="AP1984" s="76"/>
      <c r="AQ1984" s="76"/>
      <c r="AR1984" s="76"/>
      <c r="AS1984" s="76"/>
      <c r="AT1984" s="76"/>
      <c r="AU1984" s="76"/>
      <c r="AV1984" s="76"/>
      <c r="AW1984" s="76"/>
      <c r="AX1984" s="76">
        <f>+AW1984*600000</f>
        <v>0</v>
      </c>
      <c r="AY1984" s="76"/>
      <c r="AZ1984" s="76">
        <f>+AY1984*70000</f>
        <v>0</v>
      </c>
      <c r="BA1984" s="76"/>
      <c r="BB1984" s="76"/>
      <c r="BC1984" s="76"/>
      <c r="BD1984" s="76">
        <f>+BC1984*30000</f>
        <v>0</v>
      </c>
      <c r="BE1984" s="76"/>
      <c r="BF1984" s="76"/>
      <c r="BG1984" s="76"/>
      <c r="BH1984" s="76"/>
      <c r="BI1984" s="76"/>
      <c r="BJ1984" s="76"/>
      <c r="BK1984" s="76"/>
      <c r="BL1984" s="76">
        <f>+BK1984*31500</f>
        <v>0</v>
      </c>
      <c r="BM1984" s="76"/>
      <c r="BN1984" s="76"/>
      <c r="BO1984" s="76"/>
      <c r="BP1984" s="76"/>
      <c r="BQ1984" s="76"/>
      <c r="BR1984" s="76"/>
      <c r="BS1984" s="76"/>
      <c r="BT1984" s="76"/>
      <c r="BU1984" s="76"/>
      <c r="BV1984" s="76"/>
      <c r="BW1984" s="76"/>
      <c r="BX1984" s="76"/>
      <c r="BY1984" s="76"/>
      <c r="BZ1984" s="76"/>
      <c r="CA1984" s="76"/>
      <c r="CB1984" s="76"/>
      <c r="CC1984" s="76"/>
      <c r="CD1984" s="76"/>
      <c r="CE1984" s="76"/>
      <c r="CF1984" s="76">
        <f>+CE1984*28000</f>
        <v>0</v>
      </c>
      <c r="CG1984" s="76"/>
      <c r="CH1984" s="76">
        <f>+CG1984*22500</f>
        <v>0</v>
      </c>
      <c r="CI1984" s="76"/>
      <c r="CJ1984" s="76">
        <f>+CI1984*26000</f>
        <v>0</v>
      </c>
      <c r="CK1984" s="76"/>
      <c r="CL1984" s="76"/>
      <c r="CM1984" s="76"/>
      <c r="CN1984" s="76">
        <f>+CM1984*22000</f>
        <v>0</v>
      </c>
      <c r="CO1984" s="76"/>
      <c r="CP1984" s="76">
        <f>+CO1984*46000</f>
        <v>0</v>
      </c>
      <c r="CQ1984" s="76"/>
      <c r="CR1984" s="76">
        <f>+CQ1984*49000</f>
        <v>0</v>
      </c>
      <c r="CS1984" s="76"/>
      <c r="CT1984" s="76"/>
      <c r="CU1984" s="56">
        <f>AN1984+AP1984+AR1984+AT1984+AV1984+AX1984+AZ1984+BB1984+BD1984+BF1984+BH1984+BJ1984+BL1984+BN1984+BP1984+BR1984+BT1984+BV1984+BX1984+BZ1984+CB1984+CD1984+CF1984+CH1984+CJ1984+CL1984+CN1984+CP1984+CR1984+CT1984</f>
        <v>0</v>
      </c>
      <c r="CV1984" s="76"/>
      <c r="CW1984" s="76">
        <f>+CV1984*1100</f>
        <v>0</v>
      </c>
      <c r="CX1984" s="76"/>
      <c r="CY1984" s="76">
        <f>+CX1984*106250</f>
        <v>0</v>
      </c>
      <c r="CZ1984" s="76"/>
      <c r="DA1984" s="76">
        <f>+CZ1984*34500</f>
        <v>0</v>
      </c>
      <c r="DB1984" s="76"/>
      <c r="DC1984" s="76">
        <f>+DB1984*25000</f>
        <v>0</v>
      </c>
      <c r="DD1984" s="219"/>
      <c r="DE1984" s="219"/>
      <c r="DF1984" s="166"/>
      <c r="DG1984" s="116"/>
      <c r="DH1984" s="117"/>
      <c r="DI1984" s="24"/>
      <c r="DJ1984" s="24"/>
      <c r="DK1984" s="24"/>
      <c r="DL1984" s="24"/>
      <c r="DM1984" s="24"/>
      <c r="DN1984" s="24"/>
      <c r="DO1984" s="24"/>
      <c r="DP1984" s="24"/>
      <c r="DQ1984" s="24"/>
      <c r="DR1984" s="24"/>
      <c r="DS1984" s="24"/>
      <c r="DT1984" s="24"/>
      <c r="DU1984" s="24"/>
    </row>
    <row r="1985" spans="1:125" s="8" customFormat="1" ht="84" x14ac:dyDescent="0.2">
      <c r="A1985" s="97">
        <v>41423</v>
      </c>
      <c r="B1985" s="60" t="s">
        <v>2847</v>
      </c>
      <c r="C1985" s="55" t="s">
        <v>2197</v>
      </c>
      <c r="D1985" s="55" t="s">
        <v>2859</v>
      </c>
      <c r="E1985" s="75" t="str">
        <f>VLOOKUP(B1985&amp;C1985,Divipola!$C$2:$F$1138,4,FALSE)</f>
        <v>68276</v>
      </c>
      <c r="F1985" s="87"/>
      <c r="G1985" s="87"/>
      <c r="H1985" s="87"/>
      <c r="I1985" s="87"/>
      <c r="J1985" s="87"/>
      <c r="K1985" s="87"/>
      <c r="L1985" s="87"/>
      <c r="M1985" s="87"/>
      <c r="N1985" s="87"/>
      <c r="O1985" s="87"/>
      <c r="P1985" s="87"/>
      <c r="Q1985" s="87"/>
      <c r="R1985" s="87"/>
      <c r="S1985" s="87"/>
      <c r="T1985" s="87"/>
      <c r="U1985" s="88"/>
      <c r="V1985" s="89"/>
      <c r="W1985" s="96">
        <v>0</v>
      </c>
      <c r="X1985" s="71">
        <f>CU1985</f>
        <v>0</v>
      </c>
      <c r="Y1985" s="71">
        <f>CY1985</f>
        <v>0</v>
      </c>
      <c r="Z1985" s="71">
        <f>DA1985+DC1985+DE1985</f>
        <v>0</v>
      </c>
      <c r="AA1985" s="71">
        <f>CW1985</f>
        <v>0</v>
      </c>
      <c r="AB1985" s="71"/>
      <c r="AC1985" s="71">
        <v>0</v>
      </c>
      <c r="AD1985" s="71">
        <f>W1985+X1985+Y1985+Z1985+AA1985+AB1985+AC1985</f>
        <v>0</v>
      </c>
      <c r="AE1985" s="72">
        <v>0</v>
      </c>
      <c r="AF1985" s="5"/>
      <c r="AG1985" s="6"/>
      <c r="AH1985" s="27" t="s">
        <v>3392</v>
      </c>
      <c r="AI1985" s="44" t="s">
        <v>3393</v>
      </c>
      <c r="AJ1985" s="26"/>
      <c r="AK1985" s="5"/>
      <c r="AL1985" s="82" t="s">
        <v>4790</v>
      </c>
      <c r="AM1985" s="76"/>
      <c r="AN1985" s="76"/>
      <c r="AO1985" s="76"/>
      <c r="AP1985" s="76"/>
      <c r="AQ1985" s="76"/>
      <c r="AR1985" s="76"/>
      <c r="AS1985" s="76"/>
      <c r="AT1985" s="76"/>
      <c r="AU1985" s="76"/>
      <c r="AV1985" s="76"/>
      <c r="AW1985" s="76"/>
      <c r="AX1985" s="76">
        <f>+AW1985*600000</f>
        <v>0</v>
      </c>
      <c r="AY1985" s="76"/>
      <c r="AZ1985" s="76">
        <f>+AY1985*70000</f>
        <v>0</v>
      </c>
      <c r="BA1985" s="76"/>
      <c r="BB1985" s="76"/>
      <c r="BC1985" s="76"/>
      <c r="BD1985" s="76">
        <f>+BC1985*30000</f>
        <v>0</v>
      </c>
      <c r="BE1985" s="76"/>
      <c r="BF1985" s="76"/>
      <c r="BG1985" s="76"/>
      <c r="BH1985" s="76"/>
      <c r="BI1985" s="76"/>
      <c r="BJ1985" s="76"/>
      <c r="BK1985" s="76"/>
      <c r="BL1985" s="76">
        <f>+BK1985*31500</f>
        <v>0</v>
      </c>
      <c r="BM1985" s="76"/>
      <c r="BN1985" s="76"/>
      <c r="BO1985" s="76"/>
      <c r="BP1985" s="76"/>
      <c r="BQ1985" s="76"/>
      <c r="BR1985" s="76"/>
      <c r="BS1985" s="76"/>
      <c r="BT1985" s="76"/>
      <c r="BU1985" s="76"/>
      <c r="BV1985" s="76"/>
      <c r="BW1985" s="76"/>
      <c r="BX1985" s="76"/>
      <c r="BY1985" s="76"/>
      <c r="BZ1985" s="76"/>
      <c r="CA1985" s="76"/>
      <c r="CB1985" s="76"/>
      <c r="CC1985" s="76"/>
      <c r="CD1985" s="76"/>
      <c r="CE1985" s="76"/>
      <c r="CF1985" s="76">
        <f>+CE1985*28000</f>
        <v>0</v>
      </c>
      <c r="CG1985" s="76"/>
      <c r="CH1985" s="76">
        <f>+CG1985*22500</f>
        <v>0</v>
      </c>
      <c r="CI1985" s="76"/>
      <c r="CJ1985" s="76">
        <f>+CI1985*26000</f>
        <v>0</v>
      </c>
      <c r="CK1985" s="76"/>
      <c r="CL1985" s="76"/>
      <c r="CM1985" s="76"/>
      <c r="CN1985" s="76">
        <f>+CM1985*22000</f>
        <v>0</v>
      </c>
      <c r="CO1985" s="76"/>
      <c r="CP1985" s="76">
        <f>+CO1985*46000</f>
        <v>0</v>
      </c>
      <c r="CQ1985" s="76"/>
      <c r="CR1985" s="76">
        <f>+CQ1985*49000</f>
        <v>0</v>
      </c>
      <c r="CS1985" s="76"/>
      <c r="CT1985" s="76"/>
      <c r="CU1985" s="56">
        <f>AN1985+AP1985+AR1985+AT1985+AV1985+AX1985+AZ1985+BB1985+BD1985+BF1985+BH1985+BJ1985+BL1985+BN1985+BP1985+BR1985+BT1985+BV1985+BX1985+BZ1985+CB1985+CD1985+CF1985+CH1985+CJ1985+CL1985+CN1985+CP1985+CR1985+CT1985</f>
        <v>0</v>
      </c>
      <c r="CV1985" s="76"/>
      <c r="CW1985" s="76">
        <f>+CV1985*1100</f>
        <v>0</v>
      </c>
      <c r="CX1985" s="76"/>
      <c r="CY1985" s="76">
        <f>+CX1985*106250</f>
        <v>0</v>
      </c>
      <c r="CZ1985" s="76"/>
      <c r="DA1985" s="76">
        <f>+CZ1985*34500</f>
        <v>0</v>
      </c>
      <c r="DB1985" s="76"/>
      <c r="DC1985" s="76">
        <f>+DB1985*25000</f>
        <v>0</v>
      </c>
      <c r="DD1985" s="219"/>
      <c r="DE1985" s="219"/>
      <c r="DF1985" s="166"/>
      <c r="DG1985" s="116"/>
      <c r="DH1985" s="117"/>
      <c r="DI1985" s="24"/>
      <c r="DJ1985" s="24"/>
      <c r="DK1985" s="24"/>
      <c r="DL1985" s="24"/>
      <c r="DM1985" s="24"/>
      <c r="DN1985" s="24"/>
      <c r="DO1985" s="24"/>
      <c r="DP1985" s="24"/>
      <c r="DQ1985" s="24"/>
      <c r="DR1985" s="24"/>
      <c r="DS1985" s="24"/>
      <c r="DT1985" s="24"/>
      <c r="DU1985" s="24"/>
    </row>
    <row r="1986" spans="1:125" s="8" customFormat="1" ht="25.5" x14ac:dyDescent="0.2">
      <c r="A1986" s="353">
        <v>41423</v>
      </c>
      <c r="B1986" s="225" t="s">
        <v>1326</v>
      </c>
      <c r="C1986" s="227" t="s">
        <v>1817</v>
      </c>
      <c r="D1986" s="354" t="s">
        <v>3051</v>
      </c>
      <c r="E1986" s="75" t="str">
        <f>VLOOKUP(B1986&amp;C1986,Divipola!$C$2:$F$1138,4,FALSE)</f>
        <v>70265</v>
      </c>
      <c r="F1986" s="163"/>
      <c r="G1986" s="163"/>
      <c r="H1986" s="163"/>
      <c r="I1986" s="163"/>
      <c r="J1986" s="163"/>
      <c r="K1986" s="163"/>
      <c r="L1986" s="163"/>
      <c r="M1986" s="163"/>
      <c r="N1986" s="163"/>
      <c r="O1986" s="163"/>
      <c r="P1986" s="163"/>
      <c r="Q1986" s="163"/>
      <c r="R1986" s="163"/>
      <c r="S1986" s="163"/>
      <c r="T1986" s="163"/>
      <c r="U1986" s="163"/>
      <c r="V1986" s="134"/>
      <c r="W1986" s="96">
        <v>0</v>
      </c>
      <c r="X1986" s="71">
        <f>CU1986</f>
        <v>296250000</v>
      </c>
      <c r="Y1986" s="71">
        <f>CY1986</f>
        <v>157912500</v>
      </c>
      <c r="Z1986" s="71">
        <f>DA1986+DC1986+DE1986</f>
        <v>0</v>
      </c>
      <c r="AA1986" s="71">
        <f>CW1986</f>
        <v>16500000</v>
      </c>
      <c r="AB1986" s="71"/>
      <c r="AC1986" s="71">
        <v>0</v>
      </c>
      <c r="AD1986" s="71">
        <f>W1986+X1986+Y1986+Z1986+AA1986+AB1986+AC1986</f>
        <v>470662500</v>
      </c>
      <c r="AE1986" s="72">
        <v>0</v>
      </c>
      <c r="AF1986" s="5"/>
      <c r="AG1986" s="6"/>
      <c r="AH1986" s="27" t="s">
        <v>3390</v>
      </c>
      <c r="AI1986" s="44" t="s">
        <v>3391</v>
      </c>
      <c r="AJ1986" s="26"/>
      <c r="AK1986" s="5"/>
      <c r="AL1986" s="82"/>
      <c r="AM1986" s="76"/>
      <c r="AN1986" s="76"/>
      <c r="AO1986" s="76"/>
      <c r="AP1986" s="76"/>
      <c r="AQ1986" s="76"/>
      <c r="AR1986" s="76"/>
      <c r="AS1986" s="76"/>
      <c r="AT1986" s="76"/>
      <c r="AU1986" s="76"/>
      <c r="AV1986" s="76"/>
      <c r="AW1986" s="76"/>
      <c r="AX1986" s="76">
        <f>+AW1986*600000</f>
        <v>0</v>
      </c>
      <c r="AY1986" s="86">
        <v>1000</v>
      </c>
      <c r="AZ1986" s="86">
        <f>500*70000+500*70000</f>
        <v>70000000</v>
      </c>
      <c r="BA1986" s="76"/>
      <c r="BB1986" s="76"/>
      <c r="BC1986" s="76"/>
      <c r="BD1986" s="76">
        <f>+BC1986*30000</f>
        <v>0</v>
      </c>
      <c r="BE1986" s="76"/>
      <c r="BF1986" s="76"/>
      <c r="BG1986" s="76"/>
      <c r="BH1986" s="76"/>
      <c r="BI1986" s="76"/>
      <c r="BJ1986" s="76"/>
      <c r="BK1986" s="86">
        <v>1000</v>
      </c>
      <c r="BL1986" s="86">
        <f>500*31500+500*31500</f>
        <v>31500000</v>
      </c>
      <c r="BM1986" s="76"/>
      <c r="BN1986" s="76"/>
      <c r="BO1986" s="76"/>
      <c r="BP1986" s="76"/>
      <c r="BQ1986" s="76"/>
      <c r="BR1986" s="76"/>
      <c r="BS1986" s="76"/>
      <c r="BT1986" s="76"/>
      <c r="BU1986" s="76"/>
      <c r="BV1986" s="76"/>
      <c r="BW1986" s="76"/>
      <c r="BX1986" s="76"/>
      <c r="BY1986" s="86">
        <v>50</v>
      </c>
      <c r="BZ1986" s="86">
        <f>25*560000+25*560000</f>
        <v>28000000</v>
      </c>
      <c r="CA1986" s="76"/>
      <c r="CB1986" s="76"/>
      <c r="CC1986" s="76"/>
      <c r="CD1986" s="76"/>
      <c r="CE1986" s="76"/>
      <c r="CF1986" s="76">
        <f>+CE1986*28000</f>
        <v>0</v>
      </c>
      <c r="CG1986" s="76"/>
      <c r="CH1986" s="76">
        <f>+CG1986*22500</f>
        <v>0</v>
      </c>
      <c r="CI1986" s="76"/>
      <c r="CJ1986" s="76">
        <f>+CI1986*26000</f>
        <v>0</v>
      </c>
      <c r="CK1986" s="76"/>
      <c r="CL1986" s="76"/>
      <c r="CM1986" s="86">
        <v>1000</v>
      </c>
      <c r="CN1986" s="86">
        <f>500*22000+500*22000</f>
        <v>22000000</v>
      </c>
      <c r="CO1986" s="86">
        <v>1500</v>
      </c>
      <c r="CP1986" s="86">
        <f>750*46000+750*46000</f>
        <v>69000000</v>
      </c>
      <c r="CQ1986" s="86">
        <v>1500</v>
      </c>
      <c r="CR1986" s="86">
        <f>750*52000+750*49000</f>
        <v>75750000</v>
      </c>
      <c r="CS1986" s="76"/>
      <c r="CT1986" s="76"/>
      <c r="CU1986" s="56">
        <f>AN1986+AP1986+AR1986+AT1986+AV1986+AX1986+AZ1986+BB1986+BD1986+BF1986+BH1986+BJ1986+BL1986+BN1986+BP1986+BR1986+BT1986+BV1986+BX1986+BZ1986+CB1986+CD1986+CF1986+CH1986+CJ1986+CL1986+CN1986+CP1986+CR1986+CT1986</f>
        <v>296250000</v>
      </c>
      <c r="CV1986" s="86">
        <v>15000</v>
      </c>
      <c r="CW1986" s="86">
        <f>7500*1100+7500*1100</f>
        <v>16500000</v>
      </c>
      <c r="CX1986" s="86">
        <v>1500</v>
      </c>
      <c r="CY1986" s="86">
        <f>750*105550+750*105000</f>
        <v>157912500</v>
      </c>
      <c r="CZ1986" s="76"/>
      <c r="DA1986" s="76">
        <f>+CZ1986*34500</f>
        <v>0</v>
      </c>
      <c r="DB1986" s="76"/>
      <c r="DC1986" s="76">
        <f>+DB1986*25000</f>
        <v>0</v>
      </c>
      <c r="DD1986" s="219"/>
      <c r="DE1986" s="219"/>
      <c r="DF1986" s="166"/>
      <c r="DG1986" s="192" t="s">
        <v>6465</v>
      </c>
      <c r="DH1986" s="117"/>
      <c r="DI1986" s="24"/>
      <c r="DJ1986" s="24"/>
      <c r="DK1986" s="24"/>
      <c r="DL1986" s="24"/>
      <c r="DM1986" s="24"/>
      <c r="DN1986" s="24"/>
      <c r="DO1986" s="24"/>
      <c r="DP1986" s="24"/>
      <c r="DQ1986" s="24"/>
      <c r="DR1986" s="24"/>
      <c r="DS1986" s="24"/>
      <c r="DT1986" s="24"/>
      <c r="DU1986" s="24"/>
    </row>
    <row r="1987" spans="1:125" s="8" customFormat="1" ht="36" x14ac:dyDescent="0.2">
      <c r="A1987" s="77">
        <v>41423</v>
      </c>
      <c r="B1987" s="352" t="s">
        <v>2851</v>
      </c>
      <c r="C1987" s="354" t="s">
        <v>2712</v>
      </c>
      <c r="D1987" s="354" t="s">
        <v>3051</v>
      </c>
      <c r="E1987" s="75" t="str">
        <f>VLOOKUP(B1987&amp;C1987,Divipola!$C$2:$F$1138,4,FALSE)</f>
        <v>76113</v>
      </c>
      <c r="F1987" s="87"/>
      <c r="G1987" s="87"/>
      <c r="H1987" s="87"/>
      <c r="I1987" s="87"/>
      <c r="J1987" s="87"/>
      <c r="K1987" s="87"/>
      <c r="L1987" s="87"/>
      <c r="M1987" s="87"/>
      <c r="N1987" s="87"/>
      <c r="O1987" s="87"/>
      <c r="P1987" s="87"/>
      <c r="Q1987" s="87"/>
      <c r="R1987" s="87"/>
      <c r="S1987" s="87"/>
      <c r="T1987" s="87"/>
      <c r="U1987" s="88"/>
      <c r="V1987" s="89"/>
      <c r="W1987" s="96">
        <v>0</v>
      </c>
      <c r="X1987" s="71">
        <f>CU1987</f>
        <v>0</v>
      </c>
      <c r="Y1987" s="71">
        <f>CY1987</f>
        <v>0</v>
      </c>
      <c r="Z1987" s="71">
        <f>DA1987+DC1987+DE1987</f>
        <v>0</v>
      </c>
      <c r="AA1987" s="71">
        <f>CW1987</f>
        <v>0</v>
      </c>
      <c r="AB1987" s="71"/>
      <c r="AC1987" s="71">
        <v>0</v>
      </c>
      <c r="AD1987" s="71">
        <f>W1987+X1987+Y1987+Z1987+AA1987+AB1987+AC1987</f>
        <v>0</v>
      </c>
      <c r="AE1987" s="72">
        <v>0</v>
      </c>
      <c r="AF1987" s="5"/>
      <c r="AG1987" s="6"/>
      <c r="AH1987" s="27" t="s">
        <v>3392</v>
      </c>
      <c r="AI1987" s="44" t="s">
        <v>3393</v>
      </c>
      <c r="AJ1987" s="26"/>
      <c r="AK1987" s="5"/>
      <c r="AL1987" s="82" t="s">
        <v>4807</v>
      </c>
      <c r="AM1987" s="76"/>
      <c r="AN1987" s="76"/>
      <c r="AO1987" s="76"/>
      <c r="AP1987" s="76"/>
      <c r="AQ1987" s="76"/>
      <c r="AR1987" s="76"/>
      <c r="AS1987" s="76"/>
      <c r="AT1987" s="76"/>
      <c r="AU1987" s="76"/>
      <c r="AV1987" s="76"/>
      <c r="AW1987" s="76"/>
      <c r="AX1987" s="76">
        <f>+AW1987*600000</f>
        <v>0</v>
      </c>
      <c r="AY1987" s="76"/>
      <c r="AZ1987" s="76">
        <f>+AY1987*70000</f>
        <v>0</v>
      </c>
      <c r="BA1987" s="76"/>
      <c r="BB1987" s="76"/>
      <c r="BC1987" s="76"/>
      <c r="BD1987" s="76">
        <f>+BC1987*30000</f>
        <v>0</v>
      </c>
      <c r="BE1987" s="76"/>
      <c r="BF1987" s="76"/>
      <c r="BG1987" s="76"/>
      <c r="BH1987" s="76"/>
      <c r="BI1987" s="76"/>
      <c r="BJ1987" s="76"/>
      <c r="BK1987" s="76"/>
      <c r="BL1987" s="76">
        <f>+BK1987*31500</f>
        <v>0</v>
      </c>
      <c r="BM1987" s="76"/>
      <c r="BN1987" s="76"/>
      <c r="BO1987" s="76"/>
      <c r="BP1987" s="76"/>
      <c r="BQ1987" s="76"/>
      <c r="BR1987" s="76"/>
      <c r="BS1987" s="76"/>
      <c r="BT1987" s="76"/>
      <c r="BU1987" s="76"/>
      <c r="BV1987" s="76"/>
      <c r="BW1987" s="76"/>
      <c r="BX1987" s="76"/>
      <c r="BY1987" s="76"/>
      <c r="BZ1987" s="76"/>
      <c r="CA1987" s="76"/>
      <c r="CB1987" s="76"/>
      <c r="CC1987" s="76"/>
      <c r="CD1987" s="76"/>
      <c r="CE1987" s="76"/>
      <c r="CF1987" s="76">
        <f>+CE1987*28000</f>
        <v>0</v>
      </c>
      <c r="CG1987" s="76"/>
      <c r="CH1987" s="76">
        <f>+CG1987*22500</f>
        <v>0</v>
      </c>
      <c r="CI1987" s="76"/>
      <c r="CJ1987" s="76">
        <f>+CI1987*26000</f>
        <v>0</v>
      </c>
      <c r="CK1987" s="76"/>
      <c r="CL1987" s="76"/>
      <c r="CM1987" s="76"/>
      <c r="CN1987" s="76">
        <f>+CM1987*22000</f>
        <v>0</v>
      </c>
      <c r="CO1987" s="76"/>
      <c r="CP1987" s="76">
        <f>+CO1987*46000</f>
        <v>0</v>
      </c>
      <c r="CQ1987" s="76"/>
      <c r="CR1987" s="76">
        <f>+CQ1987*49000</f>
        <v>0</v>
      </c>
      <c r="CS1987" s="76"/>
      <c r="CT1987" s="76"/>
      <c r="CU1987" s="56">
        <f>AN1987+AP1987+AR1987+AT1987+AV1987+AX1987+AZ1987+BB1987+BD1987+BF1987+BH1987+BJ1987+BL1987+BN1987+BP1987+BR1987+BT1987+BV1987+BX1987+BZ1987+CB1987+CD1987+CF1987+CH1987+CJ1987+CL1987+CN1987+CP1987+CR1987+CT1987</f>
        <v>0</v>
      </c>
      <c r="CV1987" s="76"/>
      <c r="CW1987" s="76">
        <f>+CV1987*1100</f>
        <v>0</v>
      </c>
      <c r="CX1987" s="76"/>
      <c r="CY1987" s="76">
        <f>+CX1987*106250</f>
        <v>0</v>
      </c>
      <c r="CZ1987" s="76"/>
      <c r="DA1987" s="76">
        <f>+CZ1987*34500</f>
        <v>0</v>
      </c>
      <c r="DB1987" s="76"/>
      <c r="DC1987" s="76">
        <f>+DB1987*25000</f>
        <v>0</v>
      </c>
      <c r="DD1987" s="219"/>
      <c r="DE1987" s="219"/>
      <c r="DF1987" s="166"/>
      <c r="DG1987" s="116"/>
      <c r="DH1987" s="117"/>
      <c r="DI1987" s="24"/>
      <c r="DJ1987" s="24"/>
      <c r="DK1987" s="24"/>
      <c r="DL1987" s="24"/>
      <c r="DM1987" s="24"/>
      <c r="DN1987" s="24"/>
      <c r="DO1987" s="24"/>
      <c r="DP1987" s="24"/>
      <c r="DQ1987" s="24"/>
      <c r="DR1987" s="24"/>
      <c r="DS1987" s="24"/>
      <c r="DT1987" s="24"/>
      <c r="DU1987" s="24"/>
    </row>
    <row r="1988" spans="1:125" s="8" customFormat="1" ht="72" x14ac:dyDescent="0.2">
      <c r="A1988" s="77">
        <v>41423</v>
      </c>
      <c r="B1988" s="225" t="s">
        <v>2851</v>
      </c>
      <c r="C1988" s="227" t="s">
        <v>1686</v>
      </c>
      <c r="D1988" s="227" t="s">
        <v>2936</v>
      </c>
      <c r="E1988" s="75" t="str">
        <f>VLOOKUP(B1988&amp;C1988,Divipola!$C$2:$F$1138,4,FALSE)</f>
        <v>76001</v>
      </c>
      <c r="F1988" s="87"/>
      <c r="G1988" s="87">
        <v>3</v>
      </c>
      <c r="H1988" s="87"/>
      <c r="I1988" s="87"/>
      <c r="J1988" s="87"/>
      <c r="K1988" s="87"/>
      <c r="L1988" s="87"/>
      <c r="M1988" s="87"/>
      <c r="N1988" s="87"/>
      <c r="O1988" s="87"/>
      <c r="P1988" s="87"/>
      <c r="Q1988" s="87"/>
      <c r="R1988" s="87"/>
      <c r="S1988" s="87"/>
      <c r="T1988" s="87"/>
      <c r="U1988" s="88"/>
      <c r="V1988" s="89"/>
      <c r="W1988" s="96">
        <v>0</v>
      </c>
      <c r="X1988" s="71">
        <f>CU1988</f>
        <v>0</v>
      </c>
      <c r="Y1988" s="71">
        <f>CY1988</f>
        <v>0</v>
      </c>
      <c r="Z1988" s="71">
        <f>DA1988+DC1988+DE1988</f>
        <v>0</v>
      </c>
      <c r="AA1988" s="71">
        <f>CW1988</f>
        <v>0</v>
      </c>
      <c r="AB1988" s="71"/>
      <c r="AC1988" s="71">
        <v>0</v>
      </c>
      <c r="AD1988" s="71">
        <f>W1988+X1988+Y1988+Z1988+AA1988+AB1988+AC1988</f>
        <v>0</v>
      </c>
      <c r="AE1988" s="72">
        <v>0</v>
      </c>
      <c r="AF1988" s="5"/>
      <c r="AG1988" s="6"/>
      <c r="AH1988" s="27" t="s">
        <v>3392</v>
      </c>
      <c r="AI1988" s="44" t="s">
        <v>3393</v>
      </c>
      <c r="AJ1988" s="26"/>
      <c r="AK1988" s="5"/>
      <c r="AL1988" s="82" t="s">
        <v>4806</v>
      </c>
      <c r="AM1988" s="76"/>
      <c r="AN1988" s="76"/>
      <c r="AO1988" s="76"/>
      <c r="AP1988" s="76"/>
      <c r="AQ1988" s="76"/>
      <c r="AR1988" s="76"/>
      <c r="AS1988" s="76"/>
      <c r="AT1988" s="76"/>
      <c r="AU1988" s="76"/>
      <c r="AV1988" s="76"/>
      <c r="AW1988" s="76"/>
      <c r="AX1988" s="76">
        <f>+AW1988*600000</f>
        <v>0</v>
      </c>
      <c r="AY1988" s="76"/>
      <c r="AZ1988" s="76">
        <f>+AY1988*70000</f>
        <v>0</v>
      </c>
      <c r="BA1988" s="76"/>
      <c r="BB1988" s="76"/>
      <c r="BC1988" s="76"/>
      <c r="BD1988" s="76">
        <f>+BC1988*30000</f>
        <v>0</v>
      </c>
      <c r="BE1988" s="76"/>
      <c r="BF1988" s="76"/>
      <c r="BG1988" s="76"/>
      <c r="BH1988" s="76"/>
      <c r="BI1988" s="76"/>
      <c r="BJ1988" s="76"/>
      <c r="BK1988" s="76"/>
      <c r="BL1988" s="76">
        <f>+BK1988*31500</f>
        <v>0</v>
      </c>
      <c r="BM1988" s="76"/>
      <c r="BN1988" s="76"/>
      <c r="BO1988" s="76"/>
      <c r="BP1988" s="76"/>
      <c r="BQ1988" s="76"/>
      <c r="BR1988" s="76"/>
      <c r="BS1988" s="76"/>
      <c r="BT1988" s="76"/>
      <c r="BU1988" s="76"/>
      <c r="BV1988" s="76"/>
      <c r="BW1988" s="76"/>
      <c r="BX1988" s="76"/>
      <c r="BY1988" s="76"/>
      <c r="BZ1988" s="76"/>
      <c r="CA1988" s="76"/>
      <c r="CB1988" s="76"/>
      <c r="CC1988" s="76"/>
      <c r="CD1988" s="76"/>
      <c r="CE1988" s="76"/>
      <c r="CF1988" s="76">
        <f>+CE1988*28000</f>
        <v>0</v>
      </c>
      <c r="CG1988" s="76"/>
      <c r="CH1988" s="76">
        <f>+CG1988*22500</f>
        <v>0</v>
      </c>
      <c r="CI1988" s="76"/>
      <c r="CJ1988" s="76">
        <f>+CI1988*26000</f>
        <v>0</v>
      </c>
      <c r="CK1988" s="76"/>
      <c r="CL1988" s="76"/>
      <c r="CM1988" s="76"/>
      <c r="CN1988" s="76">
        <f>+CM1988*22000</f>
        <v>0</v>
      </c>
      <c r="CO1988" s="76"/>
      <c r="CP1988" s="76">
        <f>+CO1988*46000</f>
        <v>0</v>
      </c>
      <c r="CQ1988" s="76"/>
      <c r="CR1988" s="76">
        <f>+CQ1988*49000</f>
        <v>0</v>
      </c>
      <c r="CS1988" s="76"/>
      <c r="CT1988" s="76"/>
      <c r="CU1988" s="56">
        <f>AN1988+AP1988+AR1988+AT1988+AV1988+AX1988+AZ1988+BB1988+BD1988+BF1988+BH1988+BJ1988+BL1988+BN1988+BP1988+BR1988+BT1988+BV1988+BX1988+BZ1988+CB1988+CD1988+CF1988+CH1988+CJ1988+CL1988+CN1988+CP1988+CR1988+CT1988</f>
        <v>0</v>
      </c>
      <c r="CV1988" s="76"/>
      <c r="CW1988" s="76">
        <f>+CV1988*1100</f>
        <v>0</v>
      </c>
      <c r="CX1988" s="76"/>
      <c r="CY1988" s="76">
        <f>+CX1988*106250</f>
        <v>0</v>
      </c>
      <c r="CZ1988" s="76"/>
      <c r="DA1988" s="76">
        <f>+CZ1988*34500</f>
        <v>0</v>
      </c>
      <c r="DB1988" s="76"/>
      <c r="DC1988" s="76">
        <f>+DB1988*25000</f>
        <v>0</v>
      </c>
      <c r="DD1988" s="219"/>
      <c r="DE1988" s="219"/>
      <c r="DF1988" s="166"/>
      <c r="DG1988" s="116"/>
      <c r="DH1988" s="117"/>
      <c r="DI1988" s="24"/>
      <c r="DJ1988" s="24"/>
      <c r="DK1988" s="24"/>
      <c r="DL1988" s="24"/>
      <c r="DM1988" s="24"/>
      <c r="DN1988" s="24"/>
      <c r="DO1988" s="24"/>
      <c r="DP1988" s="24"/>
      <c r="DQ1988" s="24"/>
      <c r="DR1988" s="24"/>
      <c r="DS1988" s="24"/>
      <c r="DT1988" s="24"/>
      <c r="DU1988" s="24"/>
    </row>
    <row r="1989" spans="1:125" s="8" customFormat="1" ht="60" x14ac:dyDescent="0.2">
      <c r="A1989" s="353">
        <v>41423</v>
      </c>
      <c r="B1989" s="352" t="s">
        <v>2851</v>
      </c>
      <c r="C1989" s="354" t="s">
        <v>1686</v>
      </c>
      <c r="D1989" s="354" t="s">
        <v>2859</v>
      </c>
      <c r="E1989" s="75" t="str">
        <f>VLOOKUP(B1989&amp;C1989,Divipola!$C$2:$F$1138,4,FALSE)</f>
        <v>76001</v>
      </c>
      <c r="F1989" s="87"/>
      <c r="G1989" s="87"/>
      <c r="H1989" s="87"/>
      <c r="I1989" s="87"/>
      <c r="J1989" s="87"/>
      <c r="K1989" s="87"/>
      <c r="L1989" s="87"/>
      <c r="M1989" s="87"/>
      <c r="N1989" s="87"/>
      <c r="O1989" s="87"/>
      <c r="P1989" s="87"/>
      <c r="Q1989" s="87"/>
      <c r="R1989" s="87"/>
      <c r="S1989" s="87"/>
      <c r="T1989" s="87"/>
      <c r="U1989" s="88"/>
      <c r="V1989" s="89"/>
      <c r="W1989" s="96">
        <v>0</v>
      </c>
      <c r="X1989" s="71">
        <f>CU1989</f>
        <v>0</v>
      </c>
      <c r="Y1989" s="71">
        <f>CY1989</f>
        <v>0</v>
      </c>
      <c r="Z1989" s="71">
        <f>DA1989+DC1989+DE1989</f>
        <v>0</v>
      </c>
      <c r="AA1989" s="71">
        <f>CW1989</f>
        <v>0</v>
      </c>
      <c r="AB1989" s="71"/>
      <c r="AC1989" s="71">
        <v>0</v>
      </c>
      <c r="AD1989" s="71">
        <f>W1989+X1989+Y1989+Z1989+AA1989+AB1989+AC1989</f>
        <v>0</v>
      </c>
      <c r="AE1989" s="72">
        <v>0</v>
      </c>
      <c r="AF1989" s="5"/>
      <c r="AG1989" s="6"/>
      <c r="AH1989" s="27" t="s">
        <v>3392</v>
      </c>
      <c r="AI1989" s="44" t="s">
        <v>3393</v>
      </c>
      <c r="AJ1989" s="26"/>
      <c r="AK1989" s="5"/>
      <c r="AL1989" s="82" t="s">
        <v>4791</v>
      </c>
      <c r="AM1989" s="76"/>
      <c r="AN1989" s="76"/>
      <c r="AO1989" s="76"/>
      <c r="AP1989" s="76"/>
      <c r="AQ1989" s="76"/>
      <c r="AR1989" s="76"/>
      <c r="AS1989" s="76"/>
      <c r="AT1989" s="76"/>
      <c r="AU1989" s="76"/>
      <c r="AV1989" s="76"/>
      <c r="AW1989" s="76"/>
      <c r="AX1989" s="76">
        <f>+AW1989*600000</f>
        <v>0</v>
      </c>
      <c r="AY1989" s="76"/>
      <c r="AZ1989" s="76">
        <f>+AY1989*70000</f>
        <v>0</v>
      </c>
      <c r="BA1989" s="76"/>
      <c r="BB1989" s="76"/>
      <c r="BC1989" s="76"/>
      <c r="BD1989" s="76">
        <f>+BC1989*30000</f>
        <v>0</v>
      </c>
      <c r="BE1989" s="76"/>
      <c r="BF1989" s="76"/>
      <c r="BG1989" s="76"/>
      <c r="BH1989" s="76"/>
      <c r="BI1989" s="76"/>
      <c r="BJ1989" s="76"/>
      <c r="BK1989" s="76"/>
      <c r="BL1989" s="76">
        <f>+BK1989*31500</f>
        <v>0</v>
      </c>
      <c r="BM1989" s="76"/>
      <c r="BN1989" s="76"/>
      <c r="BO1989" s="76"/>
      <c r="BP1989" s="76"/>
      <c r="BQ1989" s="76"/>
      <c r="BR1989" s="76"/>
      <c r="BS1989" s="76"/>
      <c r="BT1989" s="76"/>
      <c r="BU1989" s="76"/>
      <c r="BV1989" s="76"/>
      <c r="BW1989" s="76"/>
      <c r="BX1989" s="76"/>
      <c r="BY1989" s="76"/>
      <c r="BZ1989" s="76"/>
      <c r="CA1989" s="76"/>
      <c r="CB1989" s="76"/>
      <c r="CC1989" s="76"/>
      <c r="CD1989" s="76"/>
      <c r="CE1989" s="76"/>
      <c r="CF1989" s="76">
        <f>+CE1989*28000</f>
        <v>0</v>
      </c>
      <c r="CG1989" s="76"/>
      <c r="CH1989" s="76">
        <f>+CG1989*22500</f>
        <v>0</v>
      </c>
      <c r="CI1989" s="76"/>
      <c r="CJ1989" s="76">
        <f>+CI1989*26000</f>
        <v>0</v>
      </c>
      <c r="CK1989" s="76"/>
      <c r="CL1989" s="76"/>
      <c r="CM1989" s="76"/>
      <c r="CN1989" s="76">
        <f>+CM1989*22000</f>
        <v>0</v>
      </c>
      <c r="CO1989" s="76"/>
      <c r="CP1989" s="76">
        <f>+CO1989*46000</f>
        <v>0</v>
      </c>
      <c r="CQ1989" s="76"/>
      <c r="CR1989" s="76">
        <f>+CQ1989*49000</f>
        <v>0</v>
      </c>
      <c r="CS1989" s="76"/>
      <c r="CT1989" s="76"/>
      <c r="CU1989" s="56">
        <f>AN1989+AP1989+AR1989+AT1989+AV1989+AX1989+AZ1989+BB1989+BD1989+BF1989+BH1989+BJ1989+BL1989+BN1989+BP1989+BR1989+BT1989+BV1989+BX1989+BZ1989+CB1989+CD1989+CF1989+CH1989+CJ1989+CL1989+CN1989+CP1989+CR1989+CT1989</f>
        <v>0</v>
      </c>
      <c r="CV1989" s="76"/>
      <c r="CW1989" s="76">
        <f>+CV1989*1100</f>
        <v>0</v>
      </c>
      <c r="CX1989" s="76"/>
      <c r="CY1989" s="76">
        <f>+CX1989*106250</f>
        <v>0</v>
      </c>
      <c r="CZ1989" s="76"/>
      <c r="DA1989" s="76">
        <f>+CZ1989*34500</f>
        <v>0</v>
      </c>
      <c r="DB1989" s="76"/>
      <c r="DC1989" s="76">
        <f>+DB1989*25000</f>
        <v>0</v>
      </c>
      <c r="DD1989" s="219"/>
      <c r="DE1989" s="219"/>
      <c r="DF1989" s="166"/>
      <c r="DG1989" s="116"/>
      <c r="DH1989" s="117"/>
      <c r="DI1989" s="24"/>
      <c r="DJ1989" s="24"/>
      <c r="DK1989" s="24"/>
      <c r="DL1989" s="24"/>
      <c r="DM1989" s="24"/>
      <c r="DN1989" s="24"/>
      <c r="DO1989" s="24"/>
      <c r="DP1989" s="24"/>
      <c r="DQ1989" s="24"/>
      <c r="DR1989" s="24"/>
      <c r="DS1989" s="24"/>
      <c r="DT1989" s="24"/>
      <c r="DU1989" s="24"/>
    </row>
    <row r="1990" spans="1:125" s="8" customFormat="1" ht="108" x14ac:dyDescent="0.2">
      <c r="A1990" s="77">
        <v>41423</v>
      </c>
      <c r="B1990" s="78" t="s">
        <v>2300</v>
      </c>
      <c r="C1990" s="75" t="s">
        <v>2303</v>
      </c>
      <c r="D1990" s="75" t="s">
        <v>3051</v>
      </c>
      <c r="E1990" s="75" t="str">
        <f>VLOOKUP(B1990&amp;C1990,Divipola!$C$2:$F$1138,4,FALSE)</f>
        <v>97161</v>
      </c>
      <c r="F1990" s="87"/>
      <c r="G1990" s="87"/>
      <c r="H1990" s="87"/>
      <c r="I1990" s="87">
        <v>80</v>
      </c>
      <c r="J1990" s="87">
        <v>16</v>
      </c>
      <c r="K1990" s="87"/>
      <c r="L1990" s="87">
        <v>16</v>
      </c>
      <c r="M1990" s="87"/>
      <c r="N1990" s="87"/>
      <c r="O1990" s="87"/>
      <c r="P1990" s="87"/>
      <c r="Q1990" s="87"/>
      <c r="R1990" s="87"/>
      <c r="S1990" s="87"/>
      <c r="T1990" s="87"/>
      <c r="U1990" s="88"/>
      <c r="V1990" s="89"/>
      <c r="W1990" s="96">
        <v>0</v>
      </c>
      <c r="X1990" s="71">
        <f>CU1990</f>
        <v>0</v>
      </c>
      <c r="Y1990" s="71">
        <f>CY1990</f>
        <v>0</v>
      </c>
      <c r="Z1990" s="71">
        <f>DA1990+DC1990+DE1990</f>
        <v>0</v>
      </c>
      <c r="AA1990" s="71">
        <f>CW1990</f>
        <v>0</v>
      </c>
      <c r="AB1990" s="71"/>
      <c r="AC1990" s="71">
        <v>0</v>
      </c>
      <c r="AD1990" s="71">
        <f>W1990+X1990+Y1990+Z1990+AA1990+AB1990+AC1990</f>
        <v>0</v>
      </c>
      <c r="AE1990" s="72">
        <v>0</v>
      </c>
      <c r="AF1990" s="5"/>
      <c r="AG1990" s="6"/>
      <c r="AH1990" s="27" t="s">
        <v>3392</v>
      </c>
      <c r="AI1990" s="44" t="s">
        <v>3393</v>
      </c>
      <c r="AJ1990" s="26"/>
      <c r="AK1990" s="5"/>
      <c r="AL1990" s="82" t="s">
        <v>4848</v>
      </c>
      <c r="AM1990" s="76"/>
      <c r="AN1990" s="76"/>
      <c r="AO1990" s="76"/>
      <c r="AP1990" s="76"/>
      <c r="AQ1990" s="76"/>
      <c r="AR1990" s="76"/>
      <c r="AS1990" s="76"/>
      <c r="AT1990" s="76"/>
      <c r="AU1990" s="76"/>
      <c r="AV1990" s="76"/>
      <c r="AW1990" s="76"/>
      <c r="AX1990" s="76">
        <f>+AW1990*600000</f>
        <v>0</v>
      </c>
      <c r="AY1990" s="76"/>
      <c r="AZ1990" s="76">
        <f>+AY1990*70000</f>
        <v>0</v>
      </c>
      <c r="BA1990" s="76"/>
      <c r="BB1990" s="76"/>
      <c r="BC1990" s="76"/>
      <c r="BD1990" s="76">
        <f>+BC1990*30000</f>
        <v>0</v>
      </c>
      <c r="BE1990" s="76"/>
      <c r="BF1990" s="76"/>
      <c r="BG1990" s="76"/>
      <c r="BH1990" s="76"/>
      <c r="BI1990" s="76"/>
      <c r="BJ1990" s="76"/>
      <c r="BK1990" s="76"/>
      <c r="BL1990" s="76">
        <f>+BK1990*31500</f>
        <v>0</v>
      </c>
      <c r="BM1990" s="76"/>
      <c r="BN1990" s="76"/>
      <c r="BO1990" s="76"/>
      <c r="BP1990" s="76"/>
      <c r="BQ1990" s="76"/>
      <c r="BR1990" s="76"/>
      <c r="BS1990" s="76"/>
      <c r="BT1990" s="76"/>
      <c r="BU1990" s="76"/>
      <c r="BV1990" s="76"/>
      <c r="BW1990" s="76"/>
      <c r="BX1990" s="76"/>
      <c r="BY1990" s="76"/>
      <c r="BZ1990" s="76"/>
      <c r="CA1990" s="76"/>
      <c r="CB1990" s="76"/>
      <c r="CC1990" s="76"/>
      <c r="CD1990" s="76"/>
      <c r="CE1990" s="76"/>
      <c r="CF1990" s="76">
        <f>+CE1990*28000</f>
        <v>0</v>
      </c>
      <c r="CG1990" s="76"/>
      <c r="CH1990" s="76">
        <f>+CG1990*22500</f>
        <v>0</v>
      </c>
      <c r="CI1990" s="76"/>
      <c r="CJ1990" s="76">
        <f>+CI1990*26000</f>
        <v>0</v>
      </c>
      <c r="CK1990" s="76"/>
      <c r="CL1990" s="76"/>
      <c r="CM1990" s="76"/>
      <c r="CN1990" s="76">
        <f>+CM1990*22000</f>
        <v>0</v>
      </c>
      <c r="CO1990" s="76"/>
      <c r="CP1990" s="76">
        <f>+CO1990*46000</f>
        <v>0</v>
      </c>
      <c r="CQ1990" s="76"/>
      <c r="CR1990" s="76">
        <f>+CQ1990*49000</f>
        <v>0</v>
      </c>
      <c r="CS1990" s="76"/>
      <c r="CT1990" s="76"/>
      <c r="CU1990" s="56">
        <f>AN1990+AP1990+AR1990+AT1990+AV1990+AX1990+AZ1990+BB1990+BD1990+BF1990+BH1990+BJ1990+BL1990+BN1990+BP1990+BR1990+BT1990+BV1990+BX1990+BZ1990+CB1990+CD1990+CF1990+CH1990+CJ1990+CL1990+CN1990+CP1990+CR1990+CT1990</f>
        <v>0</v>
      </c>
      <c r="CV1990" s="76"/>
      <c r="CW1990" s="76">
        <f>+CV1990*1100</f>
        <v>0</v>
      </c>
      <c r="CX1990" s="76"/>
      <c r="CY1990" s="76">
        <f>+CX1990*106250</f>
        <v>0</v>
      </c>
      <c r="CZ1990" s="76"/>
      <c r="DA1990" s="76">
        <f>+CZ1990*34500</f>
        <v>0</v>
      </c>
      <c r="DB1990" s="76"/>
      <c r="DC1990" s="76">
        <f>+DB1990*25000</f>
        <v>0</v>
      </c>
      <c r="DD1990" s="219"/>
      <c r="DE1990" s="219"/>
      <c r="DF1990" s="166"/>
      <c r="DG1990" s="116"/>
      <c r="DH1990" s="117"/>
      <c r="DI1990" s="24"/>
      <c r="DJ1990" s="24"/>
      <c r="DK1990" s="24"/>
      <c r="DL1990" s="24"/>
      <c r="DM1990" s="24"/>
      <c r="DN1990" s="24"/>
      <c r="DO1990" s="24"/>
      <c r="DP1990" s="24"/>
      <c r="DQ1990" s="24"/>
      <c r="DR1990" s="24"/>
      <c r="DS1990" s="24"/>
      <c r="DT1990" s="24"/>
      <c r="DU1990" s="24"/>
    </row>
    <row r="1991" spans="1:125" s="8" customFormat="1" ht="48" x14ac:dyDescent="0.2">
      <c r="A1991" s="77">
        <v>41424</v>
      </c>
      <c r="B1991" s="352" t="s">
        <v>2700</v>
      </c>
      <c r="C1991" s="354" t="s">
        <v>1642</v>
      </c>
      <c r="D1991" s="354" t="s">
        <v>3088</v>
      </c>
      <c r="E1991" s="75" t="str">
        <f>VLOOKUP(B1991&amp;C1991,Divipola!$C$2:$F$1138,4,FALSE)</f>
        <v>15248</v>
      </c>
      <c r="F1991" s="87"/>
      <c r="G1991" s="87"/>
      <c r="H1991" s="87"/>
      <c r="I1991" s="87"/>
      <c r="J1991" s="87"/>
      <c r="K1991" s="87"/>
      <c r="L1991" s="87"/>
      <c r="M1991" s="87">
        <v>1</v>
      </c>
      <c r="N1991" s="87"/>
      <c r="O1991" s="87"/>
      <c r="P1991" s="87"/>
      <c r="Q1991" s="87"/>
      <c r="R1991" s="87"/>
      <c r="S1991" s="87"/>
      <c r="T1991" s="87"/>
      <c r="U1991" s="88"/>
      <c r="V1991" s="89"/>
      <c r="W1991" s="96">
        <v>0</v>
      </c>
      <c r="X1991" s="71">
        <f>CU1991</f>
        <v>0</v>
      </c>
      <c r="Y1991" s="71">
        <f>CY1991</f>
        <v>0</v>
      </c>
      <c r="Z1991" s="71">
        <f>DA1991+DC1991+DE1991</f>
        <v>0</v>
      </c>
      <c r="AA1991" s="71">
        <f>CW1991</f>
        <v>0</v>
      </c>
      <c r="AB1991" s="71"/>
      <c r="AC1991" s="71">
        <v>0</v>
      </c>
      <c r="AD1991" s="71">
        <f>W1991+X1991+Y1991+Z1991+AA1991+AB1991+AC1991</f>
        <v>0</v>
      </c>
      <c r="AE1991" s="72">
        <v>0</v>
      </c>
      <c r="AF1991" s="5"/>
      <c r="AG1991" s="6"/>
      <c r="AH1991" s="27" t="s">
        <v>3392</v>
      </c>
      <c r="AI1991" s="44" t="s">
        <v>3393</v>
      </c>
      <c r="AJ1991" s="26"/>
      <c r="AK1991" s="5"/>
      <c r="AL1991" s="82" t="s">
        <v>4809</v>
      </c>
      <c r="AM1991" s="76"/>
      <c r="AN1991" s="76"/>
      <c r="AO1991" s="76"/>
      <c r="AP1991" s="76"/>
      <c r="AQ1991" s="76"/>
      <c r="AR1991" s="76"/>
      <c r="AS1991" s="76"/>
      <c r="AT1991" s="76"/>
      <c r="AU1991" s="76"/>
      <c r="AV1991" s="76"/>
      <c r="AW1991" s="76"/>
      <c r="AX1991" s="76">
        <f>+AW1991*600000</f>
        <v>0</v>
      </c>
      <c r="AY1991" s="76"/>
      <c r="AZ1991" s="76">
        <f>+AY1991*70000</f>
        <v>0</v>
      </c>
      <c r="BA1991" s="76"/>
      <c r="BB1991" s="76"/>
      <c r="BC1991" s="76"/>
      <c r="BD1991" s="76">
        <f>+BC1991*30000</f>
        <v>0</v>
      </c>
      <c r="BE1991" s="76"/>
      <c r="BF1991" s="76"/>
      <c r="BG1991" s="76"/>
      <c r="BH1991" s="76"/>
      <c r="BI1991" s="76"/>
      <c r="BJ1991" s="76"/>
      <c r="BK1991" s="76"/>
      <c r="BL1991" s="76">
        <f>+BK1991*31500</f>
        <v>0</v>
      </c>
      <c r="BM1991" s="76"/>
      <c r="BN1991" s="76"/>
      <c r="BO1991" s="76"/>
      <c r="BP1991" s="76"/>
      <c r="BQ1991" s="76"/>
      <c r="BR1991" s="76"/>
      <c r="BS1991" s="76"/>
      <c r="BT1991" s="76"/>
      <c r="BU1991" s="76"/>
      <c r="BV1991" s="76"/>
      <c r="BW1991" s="76"/>
      <c r="BX1991" s="76"/>
      <c r="BY1991" s="76"/>
      <c r="BZ1991" s="76"/>
      <c r="CA1991" s="76"/>
      <c r="CB1991" s="76"/>
      <c r="CC1991" s="76"/>
      <c r="CD1991" s="76"/>
      <c r="CE1991" s="76"/>
      <c r="CF1991" s="76">
        <f>+CE1991*28000</f>
        <v>0</v>
      </c>
      <c r="CG1991" s="76"/>
      <c r="CH1991" s="76">
        <f>+CG1991*22500</f>
        <v>0</v>
      </c>
      <c r="CI1991" s="76"/>
      <c r="CJ1991" s="76">
        <f>+CI1991*26000</f>
        <v>0</v>
      </c>
      <c r="CK1991" s="76"/>
      <c r="CL1991" s="76"/>
      <c r="CM1991" s="76"/>
      <c r="CN1991" s="76">
        <f>+CM1991*22000</f>
        <v>0</v>
      </c>
      <c r="CO1991" s="76"/>
      <c r="CP1991" s="76">
        <f>+CO1991*46000</f>
        <v>0</v>
      </c>
      <c r="CQ1991" s="76"/>
      <c r="CR1991" s="76">
        <f>+CQ1991*49000</f>
        <v>0</v>
      </c>
      <c r="CS1991" s="76"/>
      <c r="CT1991" s="76"/>
      <c r="CU1991" s="56">
        <f>AN1991+AP1991+AR1991+AT1991+AV1991+AX1991+AZ1991+BB1991+BD1991+BF1991+BH1991+BJ1991+BL1991+BN1991+BP1991+BR1991+BT1991+BV1991+BX1991+BZ1991+CB1991+CD1991+CF1991+CH1991+CJ1991+CL1991+CN1991+CP1991+CR1991+CT1991</f>
        <v>0</v>
      </c>
      <c r="CV1991" s="76"/>
      <c r="CW1991" s="76">
        <f>+CV1991*1100</f>
        <v>0</v>
      </c>
      <c r="CX1991" s="76"/>
      <c r="CY1991" s="76">
        <f>+CX1991*106250</f>
        <v>0</v>
      </c>
      <c r="CZ1991" s="76"/>
      <c r="DA1991" s="76">
        <f>+CZ1991*34500</f>
        <v>0</v>
      </c>
      <c r="DB1991" s="76"/>
      <c r="DC1991" s="76">
        <f>+DB1991*25000</f>
        <v>0</v>
      </c>
      <c r="DD1991" s="219"/>
      <c r="DE1991" s="219"/>
      <c r="DF1991" s="166"/>
      <c r="DG1991" s="116"/>
      <c r="DH1991" s="117"/>
      <c r="DI1991" s="24"/>
      <c r="DJ1991" s="24"/>
      <c r="DK1991" s="24"/>
      <c r="DL1991" s="24"/>
      <c r="DM1991" s="24"/>
      <c r="DN1991" s="24"/>
      <c r="DO1991" s="24"/>
      <c r="DP1991" s="24"/>
      <c r="DQ1991" s="24"/>
      <c r="DR1991" s="24"/>
      <c r="DS1991" s="24"/>
      <c r="DT1991" s="24"/>
      <c r="DU1991" s="24"/>
    </row>
    <row r="1992" spans="1:125" s="8" customFormat="1" ht="72" x14ac:dyDescent="0.2">
      <c r="A1992" s="77">
        <v>41424</v>
      </c>
      <c r="B1992" s="78" t="s">
        <v>2854</v>
      </c>
      <c r="C1992" s="75" t="s">
        <v>2081</v>
      </c>
      <c r="D1992" s="75" t="s">
        <v>3051</v>
      </c>
      <c r="E1992" s="75" t="str">
        <f>VLOOKUP(B1992&amp;C1992,Divipola!$C$2:$F$1138,4,FALSE)</f>
        <v>19532</v>
      </c>
      <c r="F1992" s="87"/>
      <c r="G1992" s="87"/>
      <c r="H1992" s="87"/>
      <c r="I1992" s="87">
        <f>143*5</f>
        <v>715</v>
      </c>
      <c r="J1992" s="87">
        <v>143</v>
      </c>
      <c r="K1992" s="87">
        <v>7</v>
      </c>
      <c r="L1992" s="87">
        <v>136</v>
      </c>
      <c r="M1992" s="87"/>
      <c r="N1992" s="87"/>
      <c r="O1992" s="87"/>
      <c r="P1992" s="87"/>
      <c r="Q1992" s="87"/>
      <c r="R1992" s="87"/>
      <c r="S1992" s="87">
        <v>3</v>
      </c>
      <c r="T1992" s="87"/>
      <c r="U1992" s="88">
        <v>135</v>
      </c>
      <c r="V1992" s="89" t="s">
        <v>4896</v>
      </c>
      <c r="W1992" s="96">
        <v>0</v>
      </c>
      <c r="X1992" s="71">
        <f>CU1992</f>
        <v>51299028</v>
      </c>
      <c r="Y1992" s="71">
        <f>CY1992</f>
        <v>0</v>
      </c>
      <c r="Z1992" s="71">
        <f>DA1992+DC1992+DE1992</f>
        <v>209071611.68000001</v>
      </c>
      <c r="AA1992" s="71">
        <f>CW1992</f>
        <v>0</v>
      </c>
      <c r="AB1992" s="71"/>
      <c r="AC1992" s="71">
        <v>0</v>
      </c>
      <c r="AD1992" s="71">
        <f>W1992+X1992+Y1992+Z1992+AA1992+AB1992+AC1992</f>
        <v>260370639.68000001</v>
      </c>
      <c r="AE1992" s="72">
        <v>0</v>
      </c>
      <c r="AF1992" s="5"/>
      <c r="AG1992" s="6"/>
      <c r="AH1992" s="27" t="s">
        <v>3390</v>
      </c>
      <c r="AI1992" s="44" t="s">
        <v>3391</v>
      </c>
      <c r="AJ1992" s="26"/>
      <c r="AK1992" s="5"/>
      <c r="AL1992" s="82" t="s">
        <v>4967</v>
      </c>
      <c r="AM1992" s="76"/>
      <c r="AN1992" s="76"/>
      <c r="AO1992" s="76"/>
      <c r="AP1992" s="76"/>
      <c r="AQ1992" s="76"/>
      <c r="AR1992" s="76"/>
      <c r="AS1992" s="76"/>
      <c r="AT1992" s="76"/>
      <c r="AU1992" s="76"/>
      <c r="AV1992" s="76"/>
      <c r="AW1992" s="76"/>
      <c r="AX1992" s="76">
        <f>+AW1992*600000</f>
        <v>0</v>
      </c>
      <c r="AY1992" s="86">
        <v>300</v>
      </c>
      <c r="AZ1992" s="86">
        <f>+AY1992*69999.04</f>
        <v>20999711.999999996</v>
      </c>
      <c r="BA1992" s="76"/>
      <c r="BB1992" s="76"/>
      <c r="BC1992" s="76"/>
      <c r="BD1992" s="76">
        <f>+BC1992*30000</f>
        <v>0</v>
      </c>
      <c r="BE1992" s="76"/>
      <c r="BF1992" s="76"/>
      <c r="BG1992" s="76"/>
      <c r="BH1992" s="76"/>
      <c r="BI1992" s="76"/>
      <c r="BJ1992" s="76"/>
      <c r="BK1992" s="76"/>
      <c r="BL1992" s="76">
        <f>+BK1992*31500</f>
        <v>0</v>
      </c>
      <c r="BM1992" s="76"/>
      <c r="BN1992" s="76"/>
      <c r="BO1992" s="76"/>
      <c r="BP1992" s="76"/>
      <c r="BQ1992" s="76"/>
      <c r="BR1992" s="76"/>
      <c r="BS1992" s="76"/>
      <c r="BT1992" s="76"/>
      <c r="BU1992" s="76"/>
      <c r="BV1992" s="76"/>
      <c r="BW1992" s="76"/>
      <c r="BX1992" s="76"/>
      <c r="BY1992" s="76"/>
      <c r="BZ1992" s="76"/>
      <c r="CA1992" s="76"/>
      <c r="CB1992" s="76"/>
      <c r="CC1992" s="76"/>
      <c r="CD1992" s="76"/>
      <c r="CE1992" s="76"/>
      <c r="CF1992" s="76">
        <f>+CE1992*28000</f>
        <v>0</v>
      </c>
      <c r="CG1992" s="76"/>
      <c r="CH1992" s="76">
        <f>+CG1992*22500</f>
        <v>0</v>
      </c>
      <c r="CI1992" s="86">
        <v>600</v>
      </c>
      <c r="CJ1992" s="86">
        <f>+CI1992*25999.08</f>
        <v>15599448.000000002</v>
      </c>
      <c r="CK1992" s="76"/>
      <c r="CL1992" s="76"/>
      <c r="CM1992" s="76"/>
      <c r="CN1992" s="76">
        <f>+CM1992*22000</f>
        <v>0</v>
      </c>
      <c r="CO1992" s="76"/>
      <c r="CP1992" s="76">
        <f>+CO1992*46000</f>
        <v>0</v>
      </c>
      <c r="CQ1992" s="86">
        <v>300</v>
      </c>
      <c r="CR1992" s="86">
        <f>+CQ1992*48999.56</f>
        <v>14699868</v>
      </c>
      <c r="CS1992" s="76"/>
      <c r="CT1992" s="76"/>
      <c r="CU1992" s="56">
        <f>AN1992+AP1992+AR1992+AT1992+AV1992+AX1992+AZ1992+BB1992+BD1992+BF1992+BH1992+BJ1992+BL1992+BN1992+BP1992+BR1992+BT1992+BV1992+BX1992+BZ1992+CB1992+CD1992+CF1992+CH1992+CJ1992+CL1992+CN1992+CP1992+CR1992+CT1992</f>
        <v>51299028</v>
      </c>
      <c r="CV1992" s="76"/>
      <c r="CW1992" s="76">
        <f>+CV1992*1100</f>
        <v>0</v>
      </c>
      <c r="CX1992" s="76"/>
      <c r="CY1992" s="76">
        <f>+CX1992*106250</f>
        <v>0</v>
      </c>
      <c r="CZ1992" s="86">
        <v>1000</v>
      </c>
      <c r="DA1992" s="86">
        <f>+CZ1992*30999.84</f>
        <v>30999840</v>
      </c>
      <c r="DB1992" s="86">
        <f>2000+1000+500</f>
        <v>3500</v>
      </c>
      <c r="DC1992" s="86">
        <f>2000*34999.52+8000*199.52+1500*52639.64+6000*399.04</f>
        <v>152948900</v>
      </c>
      <c r="DD1992" s="222" t="s">
        <v>5005</v>
      </c>
      <c r="DE1992" s="309">
        <f>672*4999.6+240*89999.76+48*3399.96</f>
        <v>25122871.679999996</v>
      </c>
      <c r="DF1992" s="166"/>
      <c r="DG1992" s="134" t="s">
        <v>6535</v>
      </c>
      <c r="DH1992" s="117"/>
      <c r="DI1992" s="24"/>
      <c r="DJ1992" s="24"/>
      <c r="DK1992" s="24"/>
      <c r="DL1992" s="24"/>
      <c r="DM1992" s="24"/>
      <c r="DN1992" s="24"/>
      <c r="DO1992" s="24"/>
      <c r="DP1992" s="24"/>
      <c r="DQ1992" s="24"/>
      <c r="DR1992" s="24"/>
      <c r="DS1992" s="24"/>
      <c r="DT1992" s="24"/>
      <c r="DU1992" s="24"/>
    </row>
    <row r="1993" spans="1:125" s="8" customFormat="1" ht="144" x14ac:dyDescent="0.2">
      <c r="A1993" s="77">
        <v>41424</v>
      </c>
      <c r="B1993" s="352" t="s">
        <v>2772</v>
      </c>
      <c r="C1993" s="227" t="s">
        <v>1113</v>
      </c>
      <c r="D1993" s="227" t="s">
        <v>3088</v>
      </c>
      <c r="E1993" s="75" t="str">
        <f>VLOOKUP(B1993&amp;C1993,Divipola!$C$2:$F$1138,4,FALSE)</f>
        <v>25438</v>
      </c>
      <c r="F1993" s="87"/>
      <c r="G1993" s="87"/>
      <c r="H1993" s="87"/>
      <c r="I1993" s="87"/>
      <c r="J1993" s="87"/>
      <c r="K1993" s="87"/>
      <c r="L1993" s="87"/>
      <c r="M1993" s="87"/>
      <c r="N1993" s="87"/>
      <c r="O1993" s="87"/>
      <c r="P1993" s="87"/>
      <c r="Q1993" s="87"/>
      <c r="R1993" s="87"/>
      <c r="S1993" s="87"/>
      <c r="T1993" s="87"/>
      <c r="U1993" s="88"/>
      <c r="V1993" s="89"/>
      <c r="W1993" s="96">
        <v>0</v>
      </c>
      <c r="X1993" s="71">
        <f>CU1993</f>
        <v>0</v>
      </c>
      <c r="Y1993" s="71">
        <f>CY1993</f>
        <v>0</v>
      </c>
      <c r="Z1993" s="71">
        <f>DA1993+DC1993+DE1993</f>
        <v>0</v>
      </c>
      <c r="AA1993" s="71">
        <f>CW1993</f>
        <v>0</v>
      </c>
      <c r="AB1993" s="71"/>
      <c r="AC1993" s="71">
        <v>0</v>
      </c>
      <c r="AD1993" s="71">
        <f>W1993+X1993+Y1993+Z1993+AA1993+AB1993+AC1993</f>
        <v>0</v>
      </c>
      <c r="AE1993" s="72">
        <v>0</v>
      </c>
      <c r="AF1993" s="5"/>
      <c r="AG1993" s="6"/>
      <c r="AH1993" s="27" t="s">
        <v>3392</v>
      </c>
      <c r="AI1993" s="44" t="s">
        <v>3393</v>
      </c>
      <c r="AJ1993" s="26"/>
      <c r="AK1993" s="5"/>
      <c r="AL1993" s="82" t="s">
        <v>4821</v>
      </c>
      <c r="AM1993" s="76"/>
      <c r="AN1993" s="76"/>
      <c r="AO1993" s="76"/>
      <c r="AP1993" s="76"/>
      <c r="AQ1993" s="76"/>
      <c r="AR1993" s="76"/>
      <c r="AS1993" s="76"/>
      <c r="AT1993" s="76"/>
      <c r="AU1993" s="76"/>
      <c r="AV1993" s="76"/>
      <c r="AW1993" s="76"/>
      <c r="AX1993" s="76">
        <f>+AW1993*600000</f>
        <v>0</v>
      </c>
      <c r="AY1993" s="76"/>
      <c r="AZ1993" s="76">
        <f>+AY1993*70000</f>
        <v>0</v>
      </c>
      <c r="BA1993" s="76"/>
      <c r="BB1993" s="76"/>
      <c r="BC1993" s="76"/>
      <c r="BD1993" s="76">
        <f>+BC1993*30000</f>
        <v>0</v>
      </c>
      <c r="BE1993" s="76"/>
      <c r="BF1993" s="76"/>
      <c r="BG1993" s="76"/>
      <c r="BH1993" s="76"/>
      <c r="BI1993" s="76"/>
      <c r="BJ1993" s="76"/>
      <c r="BK1993" s="76"/>
      <c r="BL1993" s="76">
        <f>+BK1993*31500</f>
        <v>0</v>
      </c>
      <c r="BM1993" s="76"/>
      <c r="BN1993" s="76"/>
      <c r="BO1993" s="76"/>
      <c r="BP1993" s="76"/>
      <c r="BQ1993" s="76"/>
      <c r="BR1993" s="76"/>
      <c r="BS1993" s="76"/>
      <c r="BT1993" s="76"/>
      <c r="BU1993" s="76"/>
      <c r="BV1993" s="76"/>
      <c r="BW1993" s="76"/>
      <c r="BX1993" s="76"/>
      <c r="BY1993" s="76"/>
      <c r="BZ1993" s="76"/>
      <c r="CA1993" s="76"/>
      <c r="CB1993" s="76"/>
      <c r="CC1993" s="76"/>
      <c r="CD1993" s="76"/>
      <c r="CE1993" s="76"/>
      <c r="CF1993" s="76">
        <f>+CE1993*28000</f>
        <v>0</v>
      </c>
      <c r="CG1993" s="76"/>
      <c r="CH1993" s="76">
        <f>+CG1993*22500</f>
        <v>0</v>
      </c>
      <c r="CI1993" s="76"/>
      <c r="CJ1993" s="76">
        <f>+CI1993*26000</f>
        <v>0</v>
      </c>
      <c r="CK1993" s="76"/>
      <c r="CL1993" s="76"/>
      <c r="CM1993" s="76"/>
      <c r="CN1993" s="76">
        <f>+CM1993*22000</f>
        <v>0</v>
      </c>
      <c r="CO1993" s="76"/>
      <c r="CP1993" s="76">
        <f>+CO1993*46000</f>
        <v>0</v>
      </c>
      <c r="CQ1993" s="76"/>
      <c r="CR1993" s="76">
        <f>+CQ1993*49000</f>
        <v>0</v>
      </c>
      <c r="CS1993" s="76"/>
      <c r="CT1993" s="76"/>
      <c r="CU1993" s="56">
        <f>AN1993+AP1993+AR1993+AT1993+AV1993+AX1993+AZ1993+BB1993+BD1993+BF1993+BH1993+BJ1993+BL1993+BN1993+BP1993+BR1993+BT1993+BV1993+BX1993+BZ1993+CB1993+CD1993+CF1993+CH1993+CJ1993+CL1993+CN1993+CP1993+CR1993+CT1993</f>
        <v>0</v>
      </c>
      <c r="CV1993" s="76"/>
      <c r="CW1993" s="76">
        <f>+CV1993*1100</f>
        <v>0</v>
      </c>
      <c r="CX1993" s="76"/>
      <c r="CY1993" s="76">
        <f>+CX1993*106250</f>
        <v>0</v>
      </c>
      <c r="CZ1993" s="76"/>
      <c r="DA1993" s="76">
        <f>+CZ1993*34500</f>
        <v>0</v>
      </c>
      <c r="DB1993" s="76"/>
      <c r="DC1993" s="76">
        <f>+DB1993*25000</f>
        <v>0</v>
      </c>
      <c r="DD1993" s="219"/>
      <c r="DE1993" s="219"/>
      <c r="DF1993" s="166"/>
      <c r="DG1993" s="116"/>
      <c r="DH1993" s="117"/>
      <c r="DI1993" s="24"/>
      <c r="DJ1993" s="24"/>
      <c r="DK1993" s="24"/>
      <c r="DL1993" s="24"/>
      <c r="DM1993" s="24"/>
      <c r="DN1993" s="24"/>
      <c r="DO1993" s="24"/>
      <c r="DP1993" s="24"/>
      <c r="DQ1993" s="24"/>
      <c r="DR1993" s="24"/>
      <c r="DS1993" s="24"/>
      <c r="DT1993" s="24"/>
      <c r="DU1993" s="24"/>
    </row>
    <row r="1994" spans="1:125" s="8" customFormat="1" ht="180" x14ac:dyDescent="0.2">
      <c r="A1994" s="353">
        <v>41424</v>
      </c>
      <c r="B1994" s="208" t="s">
        <v>2772</v>
      </c>
      <c r="C1994" s="227" t="s">
        <v>1130</v>
      </c>
      <c r="D1994" s="227" t="s">
        <v>3051</v>
      </c>
      <c r="E1994" s="75" t="str">
        <f>VLOOKUP(B1994&amp;C1994,Divipola!$C$2:$F$1138,4,FALSE)</f>
        <v>25530</v>
      </c>
      <c r="F1994" s="87"/>
      <c r="G1994" s="87"/>
      <c r="H1994" s="87"/>
      <c r="I1994" s="87">
        <v>800</v>
      </c>
      <c r="J1994" s="87">
        <v>200</v>
      </c>
      <c r="K1994" s="87"/>
      <c r="L1994" s="87">
        <v>200</v>
      </c>
      <c r="M1994" s="87"/>
      <c r="N1994" s="87"/>
      <c r="O1994" s="87"/>
      <c r="P1994" s="87"/>
      <c r="Q1994" s="87"/>
      <c r="R1994" s="87"/>
      <c r="S1994" s="87"/>
      <c r="T1994" s="87"/>
      <c r="U1994" s="88">
        <v>1000</v>
      </c>
      <c r="V1994" s="89">
        <v>2000</v>
      </c>
      <c r="W1994" s="96">
        <v>0</v>
      </c>
      <c r="X1994" s="71">
        <f>CU1994</f>
        <v>0</v>
      </c>
      <c r="Y1994" s="71">
        <f>CY1994</f>
        <v>0</v>
      </c>
      <c r="Z1994" s="71">
        <f>DA1994+DC1994+DE1994</f>
        <v>0</v>
      </c>
      <c r="AA1994" s="71">
        <f>CW1994</f>
        <v>0</v>
      </c>
      <c r="AB1994" s="71"/>
      <c r="AC1994" s="71">
        <v>0</v>
      </c>
      <c r="AD1994" s="71">
        <f>W1994+X1994+Y1994+Z1994+AA1994+AB1994+AC1994</f>
        <v>0</v>
      </c>
      <c r="AE1994" s="72">
        <v>0</v>
      </c>
      <c r="AF1994" s="5"/>
      <c r="AG1994" s="6"/>
      <c r="AH1994" s="27" t="s">
        <v>3392</v>
      </c>
      <c r="AI1994" s="44" t="s">
        <v>3393</v>
      </c>
      <c r="AJ1994" s="26"/>
      <c r="AK1994" s="5"/>
      <c r="AL1994" s="82" t="s">
        <v>5116</v>
      </c>
      <c r="AM1994" s="76"/>
      <c r="AN1994" s="76"/>
      <c r="AO1994" s="76"/>
      <c r="AP1994" s="76"/>
      <c r="AQ1994" s="76"/>
      <c r="AR1994" s="76"/>
      <c r="AS1994" s="76"/>
      <c r="AT1994" s="76"/>
      <c r="AU1994" s="76"/>
      <c r="AV1994" s="76"/>
      <c r="AW1994" s="76"/>
      <c r="AX1994" s="76">
        <f>+AW1994*600000</f>
        <v>0</v>
      </c>
      <c r="AY1994" s="76"/>
      <c r="AZ1994" s="76">
        <f>+AY1994*70000</f>
        <v>0</v>
      </c>
      <c r="BA1994" s="76"/>
      <c r="BB1994" s="76"/>
      <c r="BC1994" s="76"/>
      <c r="BD1994" s="76">
        <f>+BC1994*30000</f>
        <v>0</v>
      </c>
      <c r="BE1994" s="76"/>
      <c r="BF1994" s="76"/>
      <c r="BG1994" s="76"/>
      <c r="BH1994" s="76"/>
      <c r="BI1994" s="76"/>
      <c r="BJ1994" s="76"/>
      <c r="BK1994" s="76"/>
      <c r="BL1994" s="76">
        <f>+BK1994*31500</f>
        <v>0</v>
      </c>
      <c r="BM1994" s="76"/>
      <c r="BN1994" s="76"/>
      <c r="BO1994" s="76"/>
      <c r="BP1994" s="76"/>
      <c r="BQ1994" s="76"/>
      <c r="BR1994" s="76"/>
      <c r="BS1994" s="76"/>
      <c r="BT1994" s="76"/>
      <c r="BU1994" s="76"/>
      <c r="BV1994" s="76"/>
      <c r="BW1994" s="76"/>
      <c r="BX1994" s="76"/>
      <c r="BY1994" s="76"/>
      <c r="BZ1994" s="76"/>
      <c r="CA1994" s="76"/>
      <c r="CB1994" s="76"/>
      <c r="CC1994" s="76"/>
      <c r="CD1994" s="76"/>
      <c r="CE1994" s="76"/>
      <c r="CF1994" s="76">
        <f>+CE1994*28000</f>
        <v>0</v>
      </c>
      <c r="CG1994" s="76"/>
      <c r="CH1994" s="76">
        <f>+CG1994*22500</f>
        <v>0</v>
      </c>
      <c r="CI1994" s="76"/>
      <c r="CJ1994" s="76">
        <f>+CI1994*26000</f>
        <v>0</v>
      </c>
      <c r="CK1994" s="76"/>
      <c r="CL1994" s="76"/>
      <c r="CM1994" s="76"/>
      <c r="CN1994" s="76">
        <f>+CM1994*22000</f>
        <v>0</v>
      </c>
      <c r="CO1994" s="76"/>
      <c r="CP1994" s="76">
        <f>+CO1994*46000</f>
        <v>0</v>
      </c>
      <c r="CQ1994" s="76"/>
      <c r="CR1994" s="76">
        <f>+CQ1994*49000</f>
        <v>0</v>
      </c>
      <c r="CS1994" s="76"/>
      <c r="CT1994" s="76"/>
      <c r="CU1994" s="56">
        <f>AN1994+AP1994+AR1994+AT1994+AV1994+AX1994+AZ1994+BB1994+BD1994+BF1994+BH1994+BJ1994+BL1994+BN1994+BP1994+BR1994+BT1994+BV1994+BX1994+BZ1994+CB1994+CD1994+CF1994+CH1994+CJ1994+CL1994+CN1994+CP1994+CR1994+CT1994</f>
        <v>0</v>
      </c>
      <c r="CV1994" s="76"/>
      <c r="CW1994" s="76">
        <f>+CV1994*1100</f>
        <v>0</v>
      </c>
      <c r="CX1994" s="76"/>
      <c r="CY1994" s="76">
        <f>+CX1994*106250</f>
        <v>0</v>
      </c>
      <c r="CZ1994" s="76"/>
      <c r="DA1994" s="76">
        <f>+CZ1994*34500</f>
        <v>0</v>
      </c>
      <c r="DB1994" s="76"/>
      <c r="DC1994" s="76">
        <f>+DB1994*25000</f>
        <v>0</v>
      </c>
      <c r="DD1994" s="219"/>
      <c r="DE1994" s="219"/>
      <c r="DF1994" s="166"/>
      <c r="DG1994" s="116"/>
      <c r="DH1994" s="117"/>
      <c r="DI1994" s="24"/>
      <c r="DJ1994" s="24"/>
      <c r="DK1994" s="24"/>
      <c r="DL1994" s="24"/>
      <c r="DM1994" s="24"/>
      <c r="DN1994" s="24"/>
      <c r="DO1994" s="24"/>
      <c r="DP1994" s="24"/>
      <c r="DQ1994" s="24"/>
      <c r="DR1994" s="24"/>
      <c r="DS1994" s="24"/>
      <c r="DT1994" s="24"/>
      <c r="DU1994" s="24"/>
    </row>
    <row r="1995" spans="1:125" s="8" customFormat="1" ht="60" x14ac:dyDescent="0.2">
      <c r="A1995" s="77">
        <v>41424</v>
      </c>
      <c r="B1995" s="225" t="s">
        <v>2847</v>
      </c>
      <c r="C1995" s="227" t="s">
        <v>2673</v>
      </c>
      <c r="D1995" s="227" t="s">
        <v>2859</v>
      </c>
      <c r="E1995" s="75" t="str">
        <f>VLOOKUP(B1995&amp;C1995,Divipola!$C$2:$F$1138,4,FALSE)</f>
        <v>68001</v>
      </c>
      <c r="F1995" s="87"/>
      <c r="G1995" s="87"/>
      <c r="H1995" s="87"/>
      <c r="I1995" s="87">
        <v>5</v>
      </c>
      <c r="J1995" s="87">
        <v>1</v>
      </c>
      <c r="K1995" s="87">
        <v>1</v>
      </c>
      <c r="L1995" s="87"/>
      <c r="M1995" s="87"/>
      <c r="N1995" s="87"/>
      <c r="O1995" s="87"/>
      <c r="P1995" s="87"/>
      <c r="Q1995" s="87"/>
      <c r="R1995" s="87"/>
      <c r="S1995" s="87"/>
      <c r="T1995" s="87"/>
      <c r="U1995" s="88"/>
      <c r="V1995" s="89"/>
      <c r="W1995" s="96">
        <v>0</v>
      </c>
      <c r="X1995" s="71">
        <f>CU1995</f>
        <v>0</v>
      </c>
      <c r="Y1995" s="71">
        <f>CY1995</f>
        <v>0</v>
      </c>
      <c r="Z1995" s="71">
        <f>DA1995+DC1995+DE1995</f>
        <v>0</v>
      </c>
      <c r="AA1995" s="71">
        <f>CW1995</f>
        <v>0</v>
      </c>
      <c r="AB1995" s="71"/>
      <c r="AC1995" s="71">
        <v>0</v>
      </c>
      <c r="AD1995" s="71">
        <f>W1995+X1995+Y1995+Z1995+AA1995+AB1995+AC1995</f>
        <v>0</v>
      </c>
      <c r="AE1995" s="72">
        <v>0</v>
      </c>
      <c r="AF1995" s="5"/>
      <c r="AG1995" s="6"/>
      <c r="AH1995" s="27" t="s">
        <v>3392</v>
      </c>
      <c r="AI1995" s="44" t="s">
        <v>3393</v>
      </c>
      <c r="AJ1995" s="26"/>
      <c r="AK1995" s="5"/>
      <c r="AL1995" s="82" t="s">
        <v>4808</v>
      </c>
      <c r="AM1995" s="76"/>
      <c r="AN1995" s="76"/>
      <c r="AO1995" s="76"/>
      <c r="AP1995" s="76"/>
      <c r="AQ1995" s="76"/>
      <c r="AR1995" s="76"/>
      <c r="AS1995" s="76"/>
      <c r="AT1995" s="76"/>
      <c r="AU1995" s="76"/>
      <c r="AV1995" s="76"/>
      <c r="AW1995" s="76"/>
      <c r="AX1995" s="76">
        <f>+AW1995*600000</f>
        <v>0</v>
      </c>
      <c r="AY1995" s="76"/>
      <c r="AZ1995" s="76">
        <f>+AY1995*70000</f>
        <v>0</v>
      </c>
      <c r="BA1995" s="76"/>
      <c r="BB1995" s="76"/>
      <c r="BC1995" s="76"/>
      <c r="BD1995" s="76">
        <f>+BC1995*30000</f>
        <v>0</v>
      </c>
      <c r="BE1995" s="76"/>
      <c r="BF1995" s="76"/>
      <c r="BG1995" s="76"/>
      <c r="BH1995" s="76"/>
      <c r="BI1995" s="76"/>
      <c r="BJ1995" s="76"/>
      <c r="BK1995" s="76"/>
      <c r="BL1995" s="76">
        <f>+BK1995*31500</f>
        <v>0</v>
      </c>
      <c r="BM1995" s="76"/>
      <c r="BN1995" s="76"/>
      <c r="BO1995" s="76"/>
      <c r="BP1995" s="76"/>
      <c r="BQ1995" s="76"/>
      <c r="BR1995" s="76"/>
      <c r="BS1995" s="76"/>
      <c r="BT1995" s="76"/>
      <c r="BU1995" s="76"/>
      <c r="BV1995" s="76"/>
      <c r="BW1995" s="76"/>
      <c r="BX1995" s="76"/>
      <c r="BY1995" s="76"/>
      <c r="BZ1995" s="76"/>
      <c r="CA1995" s="76"/>
      <c r="CB1995" s="76"/>
      <c r="CC1995" s="76"/>
      <c r="CD1995" s="76"/>
      <c r="CE1995" s="76"/>
      <c r="CF1995" s="76">
        <f>+CE1995*28000</f>
        <v>0</v>
      </c>
      <c r="CG1995" s="76"/>
      <c r="CH1995" s="76">
        <f>+CG1995*22500</f>
        <v>0</v>
      </c>
      <c r="CI1995" s="76"/>
      <c r="CJ1995" s="76">
        <f>+CI1995*26000</f>
        <v>0</v>
      </c>
      <c r="CK1995" s="76"/>
      <c r="CL1995" s="76"/>
      <c r="CM1995" s="76"/>
      <c r="CN1995" s="76">
        <f>+CM1995*22000</f>
        <v>0</v>
      </c>
      <c r="CO1995" s="76"/>
      <c r="CP1995" s="76">
        <f>+CO1995*46000</f>
        <v>0</v>
      </c>
      <c r="CQ1995" s="76"/>
      <c r="CR1995" s="76">
        <f>+CQ1995*49000</f>
        <v>0</v>
      </c>
      <c r="CS1995" s="76"/>
      <c r="CT1995" s="76"/>
      <c r="CU1995" s="56">
        <f>AN1995+AP1995+AR1995+AT1995+AV1995+AX1995+AZ1995+BB1995+BD1995+BF1995+BH1995+BJ1995+BL1995+BN1995+BP1995+BR1995+BT1995+BV1995+BX1995+BZ1995+CB1995+CD1995+CF1995+CH1995+CJ1995+CL1995+CN1995+CP1995+CR1995+CT1995</f>
        <v>0</v>
      </c>
      <c r="CV1995" s="76"/>
      <c r="CW1995" s="76">
        <f>+CV1995*1100</f>
        <v>0</v>
      </c>
      <c r="CX1995" s="76"/>
      <c r="CY1995" s="76">
        <f>+CX1995*106250</f>
        <v>0</v>
      </c>
      <c r="CZ1995" s="76"/>
      <c r="DA1995" s="76">
        <f>+CZ1995*34500</f>
        <v>0</v>
      </c>
      <c r="DB1995" s="76"/>
      <c r="DC1995" s="76">
        <f>+DB1995*25000</f>
        <v>0</v>
      </c>
      <c r="DD1995" s="219"/>
      <c r="DE1995" s="219"/>
      <c r="DF1995" s="166"/>
      <c r="DG1995" s="116"/>
      <c r="DH1995" s="117"/>
      <c r="DI1995" s="24"/>
      <c r="DJ1995" s="24"/>
      <c r="DK1995" s="24"/>
      <c r="DL1995" s="24"/>
      <c r="DM1995" s="24"/>
      <c r="DN1995" s="24"/>
      <c r="DO1995" s="24"/>
      <c r="DP1995" s="24"/>
      <c r="DQ1995" s="24"/>
      <c r="DR1995" s="24"/>
      <c r="DS1995" s="24"/>
      <c r="DT1995" s="24"/>
      <c r="DU1995" s="24"/>
    </row>
    <row r="1996" spans="1:125" s="8" customFormat="1" ht="38.25" x14ac:dyDescent="0.2">
      <c r="A1996" s="353">
        <v>41424</v>
      </c>
      <c r="B1996" s="225" t="s">
        <v>1326</v>
      </c>
      <c r="C1996" s="227" t="s">
        <v>2773</v>
      </c>
      <c r="D1996" s="354" t="s">
        <v>3051</v>
      </c>
      <c r="E1996" s="75">
        <f>VLOOKUP(B1996&amp;C1996,Divipola!$C$2:$F$1138,4,FALSE)</f>
        <v>70</v>
      </c>
      <c r="F1996" s="163"/>
      <c r="G1996" s="163"/>
      <c r="H1996" s="163"/>
      <c r="I1996" s="163"/>
      <c r="J1996" s="163"/>
      <c r="K1996" s="163"/>
      <c r="L1996" s="163"/>
      <c r="M1996" s="163"/>
      <c r="N1996" s="163"/>
      <c r="O1996" s="163"/>
      <c r="P1996" s="163"/>
      <c r="Q1996" s="163"/>
      <c r="R1996" s="163"/>
      <c r="S1996" s="163"/>
      <c r="T1996" s="163"/>
      <c r="U1996" s="163"/>
      <c r="V1996" s="134"/>
      <c r="W1996" s="96">
        <v>0</v>
      </c>
      <c r="X1996" s="71">
        <f>CU1996</f>
        <v>11199985.600000001</v>
      </c>
      <c r="Y1996" s="71">
        <f>CY1996</f>
        <v>316819920</v>
      </c>
      <c r="Z1996" s="71">
        <f>DA1996+DC1996+DE1996</f>
        <v>0</v>
      </c>
      <c r="AA1996" s="71">
        <f>CW1996</f>
        <v>142958400</v>
      </c>
      <c r="AB1996" s="71"/>
      <c r="AC1996" s="71">
        <v>0</v>
      </c>
      <c r="AD1996" s="71">
        <f>W1996+X1996+Y1996+Z1996+AA1996+AB1996+AC1996</f>
        <v>470978305.60000002</v>
      </c>
      <c r="AE1996" s="72">
        <v>0</v>
      </c>
      <c r="AF1996" s="5"/>
      <c r="AG1996" s="6"/>
      <c r="AH1996" s="27" t="s">
        <v>3390</v>
      </c>
      <c r="AI1996" s="44" t="s">
        <v>3391</v>
      </c>
      <c r="AJ1996" s="26"/>
      <c r="AK1996" s="5"/>
      <c r="AL1996" s="82"/>
      <c r="AM1996" s="76"/>
      <c r="AN1996" s="76"/>
      <c r="AO1996" s="76"/>
      <c r="AP1996" s="76"/>
      <c r="AQ1996" s="76"/>
      <c r="AR1996" s="76"/>
      <c r="AS1996" s="76"/>
      <c r="AT1996" s="76"/>
      <c r="AU1996" s="76"/>
      <c r="AV1996" s="76"/>
      <c r="AW1996" s="76"/>
      <c r="AX1996" s="76">
        <f>+AW1996*600000</f>
        <v>0</v>
      </c>
      <c r="AY1996" s="76"/>
      <c r="AZ1996" s="76">
        <f>+AY1996*70000</f>
        <v>0</v>
      </c>
      <c r="BA1996" s="76"/>
      <c r="BB1996" s="76"/>
      <c r="BC1996" s="76"/>
      <c r="BD1996" s="76">
        <f>+BC1996*30000</f>
        <v>0</v>
      </c>
      <c r="BE1996" s="76"/>
      <c r="BF1996" s="76"/>
      <c r="BG1996" s="76"/>
      <c r="BH1996" s="76"/>
      <c r="BI1996" s="76"/>
      <c r="BJ1996" s="76"/>
      <c r="BK1996" s="76"/>
      <c r="BL1996" s="76">
        <f>+BK1996*31500</f>
        <v>0</v>
      </c>
      <c r="BM1996" s="76"/>
      <c r="BN1996" s="76"/>
      <c r="BO1996" s="76"/>
      <c r="BP1996" s="76"/>
      <c r="BQ1996" s="76"/>
      <c r="BR1996" s="76"/>
      <c r="BS1996" s="76"/>
      <c r="BT1996" s="76"/>
      <c r="BU1996" s="76"/>
      <c r="BV1996" s="76"/>
      <c r="BW1996" s="76"/>
      <c r="BX1996" s="76"/>
      <c r="BY1996" s="86">
        <v>20</v>
      </c>
      <c r="BZ1996" s="86">
        <f>20*559999.28</f>
        <v>11199985.600000001</v>
      </c>
      <c r="CA1996" s="76"/>
      <c r="CB1996" s="76"/>
      <c r="CC1996" s="76"/>
      <c r="CD1996" s="76"/>
      <c r="CE1996" s="76"/>
      <c r="CF1996" s="76">
        <f>+CE1996*28000</f>
        <v>0</v>
      </c>
      <c r="CG1996" s="76"/>
      <c r="CH1996" s="76">
        <f>+CG1996*22500</f>
        <v>0</v>
      </c>
      <c r="CI1996" s="76"/>
      <c r="CJ1996" s="76">
        <f>+CI1996*26000</f>
        <v>0</v>
      </c>
      <c r="CK1996" s="76"/>
      <c r="CL1996" s="76"/>
      <c r="CM1996" s="76"/>
      <c r="CN1996" s="76">
        <f>+CM1996*22000</f>
        <v>0</v>
      </c>
      <c r="CO1996" s="76"/>
      <c r="CP1996" s="76">
        <f>+CO1996*46000</f>
        <v>0</v>
      </c>
      <c r="CQ1996" s="76"/>
      <c r="CR1996" s="76">
        <f>+CQ1996*49000</f>
        <v>0</v>
      </c>
      <c r="CS1996" s="76"/>
      <c r="CT1996" s="76"/>
      <c r="CU1996" s="56">
        <f>AN1996+AP1996+AR1996+AT1996+AV1996+AX1996+AZ1996+BB1996+BD1996+BF1996+BH1996+BJ1996+BL1996+BN1996+BP1996+BR1996+BT1996+BV1996+BX1996+BZ1996+CB1996+CD1996+CF1996+CH1996+CJ1996+CL1996+CN1996+CP1996+CR1996+CT1996</f>
        <v>11199985.600000001</v>
      </c>
      <c r="CV1996" s="86">
        <v>130000</v>
      </c>
      <c r="CW1996" s="86">
        <f>+CV1996*1099.68</f>
        <v>142958400</v>
      </c>
      <c r="CX1996" s="86">
        <v>3000</v>
      </c>
      <c r="CY1996" s="86">
        <f>1500*105663.28+1500*105550</f>
        <v>316819920</v>
      </c>
      <c r="CZ1996" s="76"/>
      <c r="DA1996" s="76">
        <f>+CZ1996*34500</f>
        <v>0</v>
      </c>
      <c r="DB1996" s="76"/>
      <c r="DC1996" s="76">
        <f>+DB1996*25000</f>
        <v>0</v>
      </c>
      <c r="DD1996" s="219"/>
      <c r="DE1996" s="219"/>
      <c r="DF1996" s="166"/>
      <c r="DG1996" s="192" t="s">
        <v>5483</v>
      </c>
      <c r="DH1996" s="117"/>
      <c r="DI1996" s="24"/>
      <c r="DJ1996" s="24"/>
      <c r="DK1996" s="24"/>
      <c r="DL1996" s="24"/>
      <c r="DM1996" s="24"/>
      <c r="DN1996" s="24"/>
      <c r="DO1996" s="24"/>
      <c r="DP1996" s="24"/>
      <c r="DQ1996" s="24"/>
      <c r="DR1996" s="24"/>
      <c r="DS1996" s="24"/>
      <c r="DT1996" s="24"/>
      <c r="DU1996" s="24"/>
    </row>
    <row r="1997" spans="1:125" s="8" customFormat="1" ht="60" x14ac:dyDescent="0.2">
      <c r="A1997" s="77">
        <v>41424</v>
      </c>
      <c r="B1997" s="225" t="s">
        <v>2848</v>
      </c>
      <c r="C1997" s="227" t="s">
        <v>2788</v>
      </c>
      <c r="D1997" s="354" t="s">
        <v>3088</v>
      </c>
      <c r="E1997" s="75" t="str">
        <f>VLOOKUP(B1997&amp;C1997,Divipola!$C$2:$F$1138,4,FALSE)</f>
        <v>73200</v>
      </c>
      <c r="F1997" s="87"/>
      <c r="G1997" s="87"/>
      <c r="H1997" s="87"/>
      <c r="I1997" s="87"/>
      <c r="J1997" s="87"/>
      <c r="K1997" s="87"/>
      <c r="L1997" s="87"/>
      <c r="M1997" s="87"/>
      <c r="N1997" s="87"/>
      <c r="O1997" s="87"/>
      <c r="P1997" s="87"/>
      <c r="Q1997" s="87"/>
      <c r="R1997" s="87"/>
      <c r="S1997" s="87"/>
      <c r="T1997" s="87"/>
      <c r="U1997" s="88"/>
      <c r="V1997" s="89"/>
      <c r="W1997" s="96">
        <v>0</v>
      </c>
      <c r="X1997" s="71">
        <f>CU1997</f>
        <v>0</v>
      </c>
      <c r="Y1997" s="71">
        <f>CY1997</f>
        <v>0</v>
      </c>
      <c r="Z1997" s="71">
        <f>DA1997+DC1997+DE1997</f>
        <v>0</v>
      </c>
      <c r="AA1997" s="71">
        <f>CW1997</f>
        <v>0</v>
      </c>
      <c r="AB1997" s="71"/>
      <c r="AC1997" s="71">
        <v>0</v>
      </c>
      <c r="AD1997" s="71">
        <f>W1997+X1997+Y1997+Z1997+AA1997+AB1997+AC1997</f>
        <v>0</v>
      </c>
      <c r="AE1997" s="72">
        <v>0</v>
      </c>
      <c r="AF1997" s="5"/>
      <c r="AG1997" s="6"/>
      <c r="AH1997" s="27" t="s">
        <v>3392</v>
      </c>
      <c r="AI1997" s="44" t="s">
        <v>3393</v>
      </c>
      <c r="AJ1997" s="26"/>
      <c r="AK1997" s="5"/>
      <c r="AL1997" s="82" t="s">
        <v>4810</v>
      </c>
      <c r="AM1997" s="76"/>
      <c r="AN1997" s="76"/>
      <c r="AO1997" s="76"/>
      <c r="AP1997" s="76"/>
      <c r="AQ1997" s="76"/>
      <c r="AR1997" s="76"/>
      <c r="AS1997" s="76"/>
      <c r="AT1997" s="76"/>
      <c r="AU1997" s="76"/>
      <c r="AV1997" s="76"/>
      <c r="AW1997" s="76"/>
      <c r="AX1997" s="76">
        <f>+AW1997*600000</f>
        <v>0</v>
      </c>
      <c r="AY1997" s="76"/>
      <c r="AZ1997" s="76">
        <f>+AY1997*70000</f>
        <v>0</v>
      </c>
      <c r="BA1997" s="76"/>
      <c r="BB1997" s="76"/>
      <c r="BC1997" s="76"/>
      <c r="BD1997" s="76">
        <f>+BC1997*30000</f>
        <v>0</v>
      </c>
      <c r="BE1997" s="76"/>
      <c r="BF1997" s="76"/>
      <c r="BG1997" s="76"/>
      <c r="BH1997" s="76"/>
      <c r="BI1997" s="76"/>
      <c r="BJ1997" s="76"/>
      <c r="BK1997" s="76"/>
      <c r="BL1997" s="76">
        <f>+BK1997*31500</f>
        <v>0</v>
      </c>
      <c r="BM1997" s="76"/>
      <c r="BN1997" s="76"/>
      <c r="BO1997" s="76"/>
      <c r="BP1997" s="76"/>
      <c r="BQ1997" s="76"/>
      <c r="BR1997" s="76"/>
      <c r="BS1997" s="76"/>
      <c r="BT1997" s="76"/>
      <c r="BU1997" s="76"/>
      <c r="BV1997" s="76"/>
      <c r="BW1997" s="76"/>
      <c r="BX1997" s="76"/>
      <c r="BY1997" s="76"/>
      <c r="BZ1997" s="76"/>
      <c r="CA1997" s="76"/>
      <c r="CB1997" s="76"/>
      <c r="CC1997" s="76"/>
      <c r="CD1997" s="76"/>
      <c r="CE1997" s="76"/>
      <c r="CF1997" s="76">
        <f>+CE1997*28000</f>
        <v>0</v>
      </c>
      <c r="CG1997" s="76"/>
      <c r="CH1997" s="76">
        <f>+CG1997*22500</f>
        <v>0</v>
      </c>
      <c r="CI1997" s="76"/>
      <c r="CJ1997" s="76">
        <f>+CI1997*26000</f>
        <v>0</v>
      </c>
      <c r="CK1997" s="76"/>
      <c r="CL1997" s="76"/>
      <c r="CM1997" s="76"/>
      <c r="CN1997" s="76">
        <f>+CM1997*22000</f>
        <v>0</v>
      </c>
      <c r="CO1997" s="76"/>
      <c r="CP1997" s="76">
        <f>+CO1997*46000</f>
        <v>0</v>
      </c>
      <c r="CQ1997" s="76"/>
      <c r="CR1997" s="76">
        <f>+CQ1997*49000</f>
        <v>0</v>
      </c>
      <c r="CS1997" s="76"/>
      <c r="CT1997" s="76"/>
      <c r="CU1997" s="56">
        <f>AN1997+AP1997+AR1997+AT1997+AV1997+AX1997+AZ1997+BB1997+BD1997+BF1997+BH1997+BJ1997+BL1997+BN1997+BP1997+BR1997+BT1997+BV1997+BX1997+BZ1997+CB1997+CD1997+CF1997+CH1997+CJ1997+CL1997+CN1997+CP1997+CR1997+CT1997</f>
        <v>0</v>
      </c>
      <c r="CV1997" s="76"/>
      <c r="CW1997" s="76">
        <f>+CV1997*1100</f>
        <v>0</v>
      </c>
      <c r="CX1997" s="76"/>
      <c r="CY1997" s="76">
        <f>+CX1997*106250</f>
        <v>0</v>
      </c>
      <c r="CZ1997" s="76"/>
      <c r="DA1997" s="76">
        <f>+CZ1997*34500</f>
        <v>0</v>
      </c>
      <c r="DB1997" s="76"/>
      <c r="DC1997" s="76">
        <f>+DB1997*25000</f>
        <v>0</v>
      </c>
      <c r="DD1997" s="219"/>
      <c r="DE1997" s="219"/>
      <c r="DF1997" s="166"/>
      <c r="DG1997" s="116"/>
      <c r="DH1997" s="117"/>
      <c r="DI1997" s="24"/>
      <c r="DJ1997" s="24"/>
      <c r="DK1997" s="24"/>
      <c r="DL1997" s="24"/>
      <c r="DM1997" s="24"/>
      <c r="DN1997" s="24"/>
      <c r="DO1997" s="24"/>
      <c r="DP1997" s="24"/>
      <c r="DQ1997" s="24"/>
      <c r="DR1997" s="24"/>
      <c r="DS1997" s="24"/>
      <c r="DT1997" s="24"/>
      <c r="DU1997" s="24"/>
    </row>
    <row r="1998" spans="1:125" s="8" customFormat="1" ht="120.75" x14ac:dyDescent="0.2">
      <c r="A1998" s="353">
        <v>41425</v>
      </c>
      <c r="B1998" s="352" t="s">
        <v>2777</v>
      </c>
      <c r="C1998" s="354" t="s">
        <v>1523</v>
      </c>
      <c r="D1998" s="354" t="s">
        <v>3051</v>
      </c>
      <c r="E1998" s="75" t="str">
        <f>VLOOKUP(B1998&amp;C1998,Divipola!$C$2:$F$1138,4,FALSE)</f>
        <v>13655</v>
      </c>
      <c r="F1998" s="87"/>
      <c r="G1998" s="87"/>
      <c r="H1998" s="87"/>
      <c r="I1998" s="87"/>
      <c r="J1998" s="87"/>
      <c r="K1998" s="87"/>
      <c r="L1998" s="87"/>
      <c r="M1998" s="87"/>
      <c r="N1998" s="87"/>
      <c r="O1998" s="87"/>
      <c r="P1998" s="87"/>
      <c r="Q1998" s="87"/>
      <c r="R1998" s="87"/>
      <c r="S1998" s="87"/>
      <c r="T1998" s="87"/>
      <c r="U1998" s="88"/>
      <c r="V1998" s="89"/>
      <c r="W1998" s="96">
        <v>0</v>
      </c>
      <c r="X1998" s="71">
        <f>CU1998</f>
        <v>0</v>
      </c>
      <c r="Y1998" s="71">
        <f>CY1998</f>
        <v>0</v>
      </c>
      <c r="Z1998" s="71">
        <f>DA1998+DC1998+DE1998</f>
        <v>0</v>
      </c>
      <c r="AA1998" s="71">
        <f>CW1998</f>
        <v>0</v>
      </c>
      <c r="AB1998" s="71"/>
      <c r="AC1998" s="71">
        <v>0</v>
      </c>
      <c r="AD1998" s="71">
        <f>W1998+X1998+Y1998+Z1998+AA1998+AB1998+AC1998</f>
        <v>0</v>
      </c>
      <c r="AE1998" s="72">
        <v>0</v>
      </c>
      <c r="AF1998" s="5"/>
      <c r="AG1998" s="6"/>
      <c r="AH1998" s="27" t="s">
        <v>3392</v>
      </c>
      <c r="AI1998" s="44" t="s">
        <v>3393</v>
      </c>
      <c r="AJ1998" s="26"/>
      <c r="AK1998" s="5"/>
      <c r="AL1998" s="82" t="s">
        <v>4816</v>
      </c>
      <c r="AM1998" s="76"/>
      <c r="AN1998" s="76"/>
      <c r="AO1998" s="76"/>
      <c r="AP1998" s="76"/>
      <c r="AQ1998" s="76"/>
      <c r="AR1998" s="76"/>
      <c r="AS1998" s="76"/>
      <c r="AT1998" s="76"/>
      <c r="AU1998" s="76"/>
      <c r="AV1998" s="76"/>
      <c r="AW1998" s="76"/>
      <c r="AX1998" s="76">
        <f>+AW1998*600000</f>
        <v>0</v>
      </c>
      <c r="AY1998" s="76"/>
      <c r="AZ1998" s="76">
        <f>+AY1998*70000</f>
        <v>0</v>
      </c>
      <c r="BA1998" s="76"/>
      <c r="BB1998" s="76"/>
      <c r="BC1998" s="76"/>
      <c r="BD1998" s="76">
        <f>+BC1998*30000</f>
        <v>0</v>
      </c>
      <c r="BE1998" s="76"/>
      <c r="BF1998" s="76"/>
      <c r="BG1998" s="76"/>
      <c r="BH1998" s="76"/>
      <c r="BI1998" s="76"/>
      <c r="BJ1998" s="76"/>
      <c r="BK1998" s="76"/>
      <c r="BL1998" s="76">
        <f>+BK1998*31500</f>
        <v>0</v>
      </c>
      <c r="BM1998" s="76"/>
      <c r="BN1998" s="76"/>
      <c r="BO1998" s="76"/>
      <c r="BP1998" s="76"/>
      <c r="BQ1998" s="76"/>
      <c r="BR1998" s="76"/>
      <c r="BS1998" s="76"/>
      <c r="BT1998" s="76"/>
      <c r="BU1998" s="76"/>
      <c r="BV1998" s="76"/>
      <c r="BW1998" s="76"/>
      <c r="BX1998" s="76"/>
      <c r="BY1998" s="76"/>
      <c r="BZ1998" s="76"/>
      <c r="CA1998" s="76"/>
      <c r="CB1998" s="76"/>
      <c r="CC1998" s="76"/>
      <c r="CD1998" s="76"/>
      <c r="CE1998" s="76"/>
      <c r="CF1998" s="76">
        <f>+CE1998*28000</f>
        <v>0</v>
      </c>
      <c r="CG1998" s="76"/>
      <c r="CH1998" s="76">
        <f>+CG1998*22500</f>
        <v>0</v>
      </c>
      <c r="CI1998" s="76"/>
      <c r="CJ1998" s="76">
        <f>+CI1998*26000</f>
        <v>0</v>
      </c>
      <c r="CK1998" s="76"/>
      <c r="CL1998" s="76"/>
      <c r="CM1998" s="76"/>
      <c r="CN1998" s="76">
        <f>+CM1998*22000</f>
        <v>0</v>
      </c>
      <c r="CO1998" s="76"/>
      <c r="CP1998" s="76">
        <f>+CO1998*46000</f>
        <v>0</v>
      </c>
      <c r="CQ1998" s="76"/>
      <c r="CR1998" s="76">
        <f>+CQ1998*49000</f>
        <v>0</v>
      </c>
      <c r="CS1998" s="76"/>
      <c r="CT1998" s="76"/>
      <c r="CU1998" s="56">
        <f>AN1998+AP1998+AR1998+AT1998+AV1998+AX1998+AZ1998+BB1998+BD1998+BF1998+BH1998+BJ1998+BL1998+BN1998+BP1998+BR1998+BT1998+BV1998+BX1998+BZ1998+CB1998+CD1998+CF1998+CH1998+CJ1998+CL1998+CN1998+CP1998+CR1998+CT1998</f>
        <v>0</v>
      </c>
      <c r="CV1998" s="76"/>
      <c r="CW1998" s="76">
        <f>+CV1998*1100</f>
        <v>0</v>
      </c>
      <c r="CX1998" s="76"/>
      <c r="CY1998" s="76">
        <f>+CX1998*106250</f>
        <v>0</v>
      </c>
      <c r="CZ1998" s="76"/>
      <c r="DA1998" s="76">
        <f>+CZ1998*34500</f>
        <v>0</v>
      </c>
      <c r="DB1998" s="76"/>
      <c r="DC1998" s="76">
        <f>+DB1998*25000</f>
        <v>0</v>
      </c>
      <c r="DD1998" s="219"/>
      <c r="DE1998" s="219"/>
      <c r="DF1998" s="166"/>
      <c r="DG1998" s="116"/>
      <c r="DH1998" s="117"/>
      <c r="DI1998" s="24"/>
      <c r="DJ1998" s="24"/>
      <c r="DK1998" s="24"/>
      <c r="DL1998" s="24"/>
      <c r="DM1998" s="24"/>
      <c r="DN1998" s="24"/>
      <c r="DO1998" s="24"/>
      <c r="DP1998" s="24"/>
      <c r="DQ1998" s="24"/>
      <c r="DR1998" s="24"/>
      <c r="DS1998" s="24"/>
      <c r="DT1998" s="24"/>
      <c r="DU1998" s="24"/>
    </row>
    <row r="1999" spans="1:125" s="8" customFormat="1" ht="192" x14ac:dyDescent="0.2">
      <c r="A1999" s="97">
        <v>41425</v>
      </c>
      <c r="B1999" s="60" t="s">
        <v>2854</v>
      </c>
      <c r="C1999" s="55" t="s">
        <v>1346</v>
      </c>
      <c r="D1999" s="55" t="s">
        <v>3051</v>
      </c>
      <c r="E1999" s="75" t="str">
        <f>VLOOKUP(B1999&amp;C1999,Divipola!$C$2:$F$1138,4,FALSE)</f>
        <v>19050</v>
      </c>
      <c r="F1999" s="87"/>
      <c r="G1999" s="87"/>
      <c r="H1999" s="87"/>
      <c r="I1999" s="87"/>
      <c r="J1999" s="87"/>
      <c r="K1999" s="87"/>
      <c r="L1999" s="87"/>
      <c r="M1999" s="87">
        <v>3</v>
      </c>
      <c r="N1999" s="87"/>
      <c r="O1999" s="87"/>
      <c r="P1999" s="87">
        <v>6</v>
      </c>
      <c r="Q1999" s="87"/>
      <c r="R1999" s="87"/>
      <c r="S1999" s="87"/>
      <c r="T1999" s="87"/>
      <c r="U1999" s="88"/>
      <c r="V1999" s="89"/>
      <c r="W1999" s="96">
        <v>0</v>
      </c>
      <c r="X1999" s="71">
        <f>CU1999</f>
        <v>0</v>
      </c>
      <c r="Y1999" s="71">
        <f>CY1999</f>
        <v>0</v>
      </c>
      <c r="Z1999" s="71">
        <f>DA1999+DC1999+DE1999</f>
        <v>0</v>
      </c>
      <c r="AA1999" s="71">
        <f>CW1999</f>
        <v>0</v>
      </c>
      <c r="AB1999" s="71"/>
      <c r="AC1999" s="71">
        <v>0</v>
      </c>
      <c r="AD1999" s="71">
        <f>W1999+X1999+Y1999+Z1999+AA1999+AB1999+AC1999</f>
        <v>0</v>
      </c>
      <c r="AE1999" s="72">
        <v>0</v>
      </c>
      <c r="AF1999" s="5"/>
      <c r="AG1999" s="6"/>
      <c r="AH1999" s="27" t="s">
        <v>3392</v>
      </c>
      <c r="AI1999" s="44" t="s">
        <v>3393</v>
      </c>
      <c r="AJ1999" s="26"/>
      <c r="AK1999" s="5"/>
      <c r="AL1999" s="82" t="s">
        <v>4866</v>
      </c>
      <c r="AM1999" s="76"/>
      <c r="AN1999" s="76"/>
      <c r="AO1999" s="76"/>
      <c r="AP1999" s="76"/>
      <c r="AQ1999" s="76"/>
      <c r="AR1999" s="76"/>
      <c r="AS1999" s="76"/>
      <c r="AT1999" s="76"/>
      <c r="AU1999" s="76"/>
      <c r="AV1999" s="76"/>
      <c r="AW1999" s="76"/>
      <c r="AX1999" s="76">
        <f>+AW1999*600000</f>
        <v>0</v>
      </c>
      <c r="AY1999" s="76"/>
      <c r="AZ1999" s="76">
        <f>+AY1999*70000</f>
        <v>0</v>
      </c>
      <c r="BA1999" s="76"/>
      <c r="BB1999" s="76"/>
      <c r="BC1999" s="76"/>
      <c r="BD1999" s="76">
        <f>+BC1999*30000</f>
        <v>0</v>
      </c>
      <c r="BE1999" s="76"/>
      <c r="BF1999" s="76"/>
      <c r="BG1999" s="76"/>
      <c r="BH1999" s="76"/>
      <c r="BI1999" s="76"/>
      <c r="BJ1999" s="76"/>
      <c r="BK1999" s="76"/>
      <c r="BL1999" s="76">
        <f>+BK1999*31500</f>
        <v>0</v>
      </c>
      <c r="BM1999" s="76"/>
      <c r="BN1999" s="76"/>
      <c r="BO1999" s="76"/>
      <c r="BP1999" s="76"/>
      <c r="BQ1999" s="76"/>
      <c r="BR1999" s="76"/>
      <c r="BS1999" s="76"/>
      <c r="BT1999" s="76"/>
      <c r="BU1999" s="76"/>
      <c r="BV1999" s="76"/>
      <c r="BW1999" s="76"/>
      <c r="BX1999" s="76"/>
      <c r="BY1999" s="76"/>
      <c r="BZ1999" s="76"/>
      <c r="CA1999" s="76"/>
      <c r="CB1999" s="76"/>
      <c r="CC1999" s="76"/>
      <c r="CD1999" s="76"/>
      <c r="CE1999" s="76"/>
      <c r="CF1999" s="76">
        <f>+CE1999*28000</f>
        <v>0</v>
      </c>
      <c r="CG1999" s="76"/>
      <c r="CH1999" s="76">
        <f>+CG1999*22500</f>
        <v>0</v>
      </c>
      <c r="CI1999" s="76"/>
      <c r="CJ1999" s="76">
        <f>+CI1999*26000</f>
        <v>0</v>
      </c>
      <c r="CK1999" s="76"/>
      <c r="CL1999" s="76"/>
      <c r="CM1999" s="76"/>
      <c r="CN1999" s="76">
        <f>+CM1999*22000</f>
        <v>0</v>
      </c>
      <c r="CO1999" s="76"/>
      <c r="CP1999" s="76">
        <f>+CO1999*46000</f>
        <v>0</v>
      </c>
      <c r="CQ1999" s="76"/>
      <c r="CR1999" s="76">
        <f>+CQ1999*49000</f>
        <v>0</v>
      </c>
      <c r="CS1999" s="76"/>
      <c r="CT1999" s="76"/>
      <c r="CU1999" s="56">
        <f>AN1999+AP1999+AR1999+AT1999+AV1999+AX1999+AZ1999+BB1999+BD1999+BF1999+BH1999+BJ1999+BL1999+BN1999+BP1999+BR1999+BT1999+BV1999+BX1999+BZ1999+CB1999+CD1999+CF1999+CH1999+CJ1999+CL1999+CN1999+CP1999+CR1999+CT1999</f>
        <v>0</v>
      </c>
      <c r="CV1999" s="76"/>
      <c r="CW1999" s="76">
        <f>+CV1999*1100</f>
        <v>0</v>
      </c>
      <c r="CX1999" s="76"/>
      <c r="CY1999" s="76">
        <f>+CX1999*106250</f>
        <v>0</v>
      </c>
      <c r="CZ1999" s="76"/>
      <c r="DA1999" s="76">
        <f>+CZ1999*34500</f>
        <v>0</v>
      </c>
      <c r="DB1999" s="76"/>
      <c r="DC1999" s="76">
        <f>+DB1999*25000</f>
        <v>0</v>
      </c>
      <c r="DD1999" s="219"/>
      <c r="DE1999" s="219"/>
      <c r="DF1999" s="166"/>
      <c r="DG1999" s="116"/>
      <c r="DH1999" s="117"/>
      <c r="DI1999" s="24"/>
      <c r="DJ1999" s="24"/>
      <c r="DK1999" s="24"/>
      <c r="DL1999" s="24"/>
      <c r="DM1999" s="24"/>
      <c r="DN1999" s="24"/>
      <c r="DO1999" s="24"/>
      <c r="DP1999" s="24"/>
      <c r="DQ1999" s="24"/>
      <c r="DR1999" s="24"/>
      <c r="DS1999" s="24"/>
      <c r="DT1999" s="24"/>
      <c r="DU1999" s="24"/>
    </row>
    <row r="2000" spans="1:125" s="8" customFormat="1" ht="48" x14ac:dyDescent="0.2">
      <c r="A2000" s="77">
        <v>41425</v>
      </c>
      <c r="B2000" s="198" t="s">
        <v>2854</v>
      </c>
      <c r="C2000" s="199" t="s">
        <v>849</v>
      </c>
      <c r="D2000" s="199" t="s">
        <v>2882</v>
      </c>
      <c r="E2000" s="75" t="str">
        <f>VLOOKUP(B2000&amp;C2000,Divipola!$C$2:$F$1138,4,FALSE)</f>
        <v>19450</v>
      </c>
      <c r="F2000" s="200"/>
      <c r="G2000" s="200"/>
      <c r="H2000" s="200"/>
      <c r="I2000" s="200">
        <v>750</v>
      </c>
      <c r="J2000" s="200">
        <v>150</v>
      </c>
      <c r="K2000" s="200"/>
      <c r="L2000" s="200">
        <v>150</v>
      </c>
      <c r="M2000" s="200"/>
      <c r="N2000" s="200"/>
      <c r="O2000" s="200"/>
      <c r="P2000" s="200"/>
      <c r="Q2000" s="200"/>
      <c r="R2000" s="200"/>
      <c r="S2000" s="200"/>
      <c r="T2000" s="200"/>
      <c r="U2000" s="201"/>
      <c r="V2000" s="89"/>
      <c r="W2000" s="96">
        <v>0</v>
      </c>
      <c r="X2000" s="71">
        <f>CU2000</f>
        <v>0</v>
      </c>
      <c r="Y2000" s="71">
        <f>CY2000</f>
        <v>0</v>
      </c>
      <c r="Z2000" s="71">
        <f>DA2000+DC2000+DE2000</f>
        <v>0</v>
      </c>
      <c r="AA2000" s="71">
        <f>CW2000</f>
        <v>0</v>
      </c>
      <c r="AB2000" s="71"/>
      <c r="AC2000" s="71">
        <v>0</v>
      </c>
      <c r="AD2000" s="71">
        <f>W2000+X2000+Y2000+Z2000+AA2000+AB2000+AC2000</f>
        <v>0</v>
      </c>
      <c r="AE2000" s="72">
        <v>0</v>
      </c>
      <c r="AF2000" s="5"/>
      <c r="AG2000" s="6"/>
      <c r="AH2000" s="27" t="s">
        <v>3392</v>
      </c>
      <c r="AI2000" s="44" t="s">
        <v>3393</v>
      </c>
      <c r="AJ2000" s="26"/>
      <c r="AK2000" s="5"/>
      <c r="AL2000" s="82" t="s">
        <v>4828</v>
      </c>
      <c r="AM2000" s="76"/>
      <c r="AN2000" s="76"/>
      <c r="AO2000" s="76"/>
      <c r="AP2000" s="76"/>
      <c r="AQ2000" s="76"/>
      <c r="AR2000" s="76"/>
      <c r="AS2000" s="76"/>
      <c r="AT2000" s="76"/>
      <c r="AU2000" s="76"/>
      <c r="AV2000" s="76"/>
      <c r="AW2000" s="76"/>
      <c r="AX2000" s="76">
        <f>+AW2000*600000</f>
        <v>0</v>
      </c>
      <c r="AY2000" s="76"/>
      <c r="AZ2000" s="76">
        <f>+AY2000*70000</f>
        <v>0</v>
      </c>
      <c r="BA2000" s="76"/>
      <c r="BB2000" s="76"/>
      <c r="BC2000" s="76"/>
      <c r="BD2000" s="76">
        <f>+BC2000*30000</f>
        <v>0</v>
      </c>
      <c r="BE2000" s="76"/>
      <c r="BF2000" s="76"/>
      <c r="BG2000" s="76"/>
      <c r="BH2000" s="76"/>
      <c r="BI2000" s="76"/>
      <c r="BJ2000" s="76"/>
      <c r="BK2000" s="76"/>
      <c r="BL2000" s="76">
        <f>+BK2000*31500</f>
        <v>0</v>
      </c>
      <c r="BM2000" s="76"/>
      <c r="BN2000" s="76"/>
      <c r="BO2000" s="76"/>
      <c r="BP2000" s="76"/>
      <c r="BQ2000" s="76"/>
      <c r="BR2000" s="76"/>
      <c r="BS2000" s="76"/>
      <c r="BT2000" s="76"/>
      <c r="BU2000" s="76"/>
      <c r="BV2000" s="76"/>
      <c r="BW2000" s="76"/>
      <c r="BX2000" s="76"/>
      <c r="BY2000" s="76"/>
      <c r="BZ2000" s="76"/>
      <c r="CA2000" s="76"/>
      <c r="CB2000" s="76"/>
      <c r="CC2000" s="76"/>
      <c r="CD2000" s="76"/>
      <c r="CE2000" s="76"/>
      <c r="CF2000" s="76">
        <f>+CE2000*28000</f>
        <v>0</v>
      </c>
      <c r="CG2000" s="76"/>
      <c r="CH2000" s="76">
        <f>+CG2000*22500</f>
        <v>0</v>
      </c>
      <c r="CI2000" s="76"/>
      <c r="CJ2000" s="76">
        <f>+CI2000*26000</f>
        <v>0</v>
      </c>
      <c r="CK2000" s="76"/>
      <c r="CL2000" s="76"/>
      <c r="CM2000" s="76"/>
      <c r="CN2000" s="76">
        <f>+CM2000*22000</f>
        <v>0</v>
      </c>
      <c r="CO2000" s="76"/>
      <c r="CP2000" s="76">
        <f>+CO2000*46000</f>
        <v>0</v>
      </c>
      <c r="CQ2000" s="76"/>
      <c r="CR2000" s="76">
        <f>+CQ2000*49000</f>
        <v>0</v>
      </c>
      <c r="CS2000" s="76"/>
      <c r="CT2000" s="76"/>
      <c r="CU2000" s="56">
        <f>AN2000+AP2000+AR2000+AT2000+AV2000+AX2000+AZ2000+BB2000+BD2000+BF2000+BH2000+BJ2000+BL2000+BN2000+BP2000+BR2000+BT2000+BV2000+BX2000+BZ2000+CB2000+CD2000+CF2000+CH2000+CJ2000+CL2000+CN2000+CP2000+CR2000+CT2000</f>
        <v>0</v>
      </c>
      <c r="CV2000" s="76"/>
      <c r="CW2000" s="76">
        <f>+CV2000*1100</f>
        <v>0</v>
      </c>
      <c r="CX2000" s="76"/>
      <c r="CY2000" s="76">
        <f>+CX2000*106250</f>
        <v>0</v>
      </c>
      <c r="CZ2000" s="76"/>
      <c r="DA2000" s="76">
        <f>+CZ2000*34500</f>
        <v>0</v>
      </c>
      <c r="DB2000" s="76"/>
      <c r="DC2000" s="76">
        <f>+DB2000*25000</f>
        <v>0</v>
      </c>
      <c r="DD2000" s="219"/>
      <c r="DE2000" s="219"/>
      <c r="DF2000" s="166"/>
      <c r="DG2000" s="116"/>
      <c r="DH2000" s="117"/>
      <c r="DI2000" s="24"/>
      <c r="DJ2000" s="24"/>
      <c r="DK2000" s="24"/>
      <c r="DL2000" s="24"/>
      <c r="DM2000" s="24"/>
      <c r="DN2000" s="24"/>
      <c r="DO2000" s="24"/>
      <c r="DP2000" s="24"/>
      <c r="DQ2000" s="24"/>
      <c r="DR2000" s="24"/>
      <c r="DS2000" s="24"/>
      <c r="DT2000" s="24"/>
      <c r="DU2000" s="24"/>
    </row>
    <row r="2001" spans="1:125" s="8" customFormat="1" ht="36" x14ac:dyDescent="0.2">
      <c r="A2001" s="353">
        <v>41425</v>
      </c>
      <c r="B2001" s="352" t="s">
        <v>2852</v>
      </c>
      <c r="C2001" s="354" t="s">
        <v>2784</v>
      </c>
      <c r="D2001" s="354" t="s">
        <v>3051</v>
      </c>
      <c r="E2001" s="75" t="str">
        <f>VLOOKUP(B2001&amp;C2001,Divipola!$C$2:$F$1138,4,FALSE)</f>
        <v>27025</v>
      </c>
      <c r="F2001" s="87"/>
      <c r="G2001" s="87"/>
      <c r="H2001" s="87"/>
      <c r="I2001" s="87"/>
      <c r="J2001" s="87"/>
      <c r="K2001" s="87"/>
      <c r="L2001" s="87"/>
      <c r="M2001" s="87"/>
      <c r="N2001" s="87"/>
      <c r="O2001" s="87"/>
      <c r="P2001" s="87"/>
      <c r="Q2001" s="87"/>
      <c r="R2001" s="87"/>
      <c r="S2001" s="87"/>
      <c r="T2001" s="87"/>
      <c r="U2001" s="88"/>
      <c r="V2001" s="89"/>
      <c r="W2001" s="96">
        <v>0</v>
      </c>
      <c r="X2001" s="71">
        <f>CU2001</f>
        <v>0</v>
      </c>
      <c r="Y2001" s="71">
        <f>CY2001</f>
        <v>0</v>
      </c>
      <c r="Z2001" s="71">
        <f>DA2001+DC2001+DE2001</f>
        <v>0</v>
      </c>
      <c r="AA2001" s="71">
        <f>CW2001</f>
        <v>0</v>
      </c>
      <c r="AB2001" s="71"/>
      <c r="AC2001" s="71">
        <v>0</v>
      </c>
      <c r="AD2001" s="71">
        <f>W2001+X2001+Y2001+Z2001+AA2001+AB2001+AC2001</f>
        <v>0</v>
      </c>
      <c r="AE2001" s="72">
        <v>0</v>
      </c>
      <c r="AF2001" s="5"/>
      <c r="AG2001" s="6"/>
      <c r="AH2001" s="27" t="s">
        <v>3392</v>
      </c>
      <c r="AI2001" s="44" t="s">
        <v>3393</v>
      </c>
      <c r="AJ2001" s="26"/>
      <c r="AK2001" s="5"/>
      <c r="AL2001" s="82" t="s">
        <v>4814</v>
      </c>
      <c r="AM2001" s="76"/>
      <c r="AN2001" s="76"/>
      <c r="AO2001" s="76"/>
      <c r="AP2001" s="76"/>
      <c r="AQ2001" s="76"/>
      <c r="AR2001" s="76"/>
      <c r="AS2001" s="76"/>
      <c r="AT2001" s="76"/>
      <c r="AU2001" s="76"/>
      <c r="AV2001" s="76"/>
      <c r="AW2001" s="76"/>
      <c r="AX2001" s="76">
        <f>+AW2001*600000</f>
        <v>0</v>
      </c>
      <c r="AY2001" s="76"/>
      <c r="AZ2001" s="76">
        <f>+AY2001*70000</f>
        <v>0</v>
      </c>
      <c r="BA2001" s="76"/>
      <c r="BB2001" s="76"/>
      <c r="BC2001" s="76"/>
      <c r="BD2001" s="76">
        <f>+BC2001*30000</f>
        <v>0</v>
      </c>
      <c r="BE2001" s="76"/>
      <c r="BF2001" s="76"/>
      <c r="BG2001" s="76"/>
      <c r="BH2001" s="76"/>
      <c r="BI2001" s="76"/>
      <c r="BJ2001" s="76"/>
      <c r="BK2001" s="76"/>
      <c r="BL2001" s="76">
        <f>+BK2001*31500</f>
        <v>0</v>
      </c>
      <c r="BM2001" s="76"/>
      <c r="BN2001" s="76"/>
      <c r="BO2001" s="76"/>
      <c r="BP2001" s="76"/>
      <c r="BQ2001" s="76"/>
      <c r="BR2001" s="76"/>
      <c r="BS2001" s="76"/>
      <c r="BT2001" s="76"/>
      <c r="BU2001" s="76"/>
      <c r="BV2001" s="76"/>
      <c r="BW2001" s="76"/>
      <c r="BX2001" s="76"/>
      <c r="BY2001" s="76"/>
      <c r="BZ2001" s="76"/>
      <c r="CA2001" s="76"/>
      <c r="CB2001" s="76"/>
      <c r="CC2001" s="76"/>
      <c r="CD2001" s="76"/>
      <c r="CE2001" s="76"/>
      <c r="CF2001" s="76">
        <f>+CE2001*28000</f>
        <v>0</v>
      </c>
      <c r="CG2001" s="76"/>
      <c r="CH2001" s="76">
        <f>+CG2001*22500</f>
        <v>0</v>
      </c>
      <c r="CI2001" s="76"/>
      <c r="CJ2001" s="76">
        <f>+CI2001*26000</f>
        <v>0</v>
      </c>
      <c r="CK2001" s="76"/>
      <c r="CL2001" s="76"/>
      <c r="CM2001" s="76"/>
      <c r="CN2001" s="76">
        <f>+CM2001*22000</f>
        <v>0</v>
      </c>
      <c r="CO2001" s="76"/>
      <c r="CP2001" s="76">
        <f>+CO2001*46000</f>
        <v>0</v>
      </c>
      <c r="CQ2001" s="76"/>
      <c r="CR2001" s="76">
        <f>+CQ2001*49000</f>
        <v>0</v>
      </c>
      <c r="CS2001" s="76"/>
      <c r="CT2001" s="76"/>
      <c r="CU2001" s="56">
        <f>AN2001+AP2001+AR2001+AT2001+AV2001+AX2001+AZ2001+BB2001+BD2001+BF2001+BH2001+BJ2001+BL2001+BN2001+BP2001+BR2001+BT2001+BV2001+BX2001+BZ2001+CB2001+CD2001+CF2001+CH2001+CJ2001+CL2001+CN2001+CP2001+CR2001+CT2001</f>
        <v>0</v>
      </c>
      <c r="CV2001" s="76"/>
      <c r="CW2001" s="76">
        <f>+CV2001*1100</f>
        <v>0</v>
      </c>
      <c r="CX2001" s="76"/>
      <c r="CY2001" s="76">
        <f>+CX2001*106250</f>
        <v>0</v>
      </c>
      <c r="CZ2001" s="76"/>
      <c r="DA2001" s="76">
        <f>+CZ2001*34500</f>
        <v>0</v>
      </c>
      <c r="DB2001" s="76"/>
      <c r="DC2001" s="76">
        <f>+DB2001*25000</f>
        <v>0</v>
      </c>
      <c r="DD2001" s="219"/>
      <c r="DE2001" s="219"/>
      <c r="DF2001" s="166"/>
      <c r="DG2001" s="116"/>
      <c r="DH2001" s="117"/>
      <c r="DI2001" s="24"/>
      <c r="DJ2001" s="24"/>
      <c r="DK2001" s="24"/>
      <c r="DL2001" s="24"/>
      <c r="DM2001" s="24"/>
      <c r="DN2001" s="24"/>
      <c r="DO2001" s="24"/>
      <c r="DP2001" s="24"/>
      <c r="DQ2001" s="24"/>
      <c r="DR2001" s="24"/>
      <c r="DS2001" s="24"/>
      <c r="DT2001" s="24"/>
      <c r="DU2001" s="24"/>
    </row>
    <row r="2002" spans="1:125" s="8" customFormat="1" ht="48" x14ac:dyDescent="0.2">
      <c r="A2002" s="77">
        <v>41425</v>
      </c>
      <c r="B2002" s="225" t="s">
        <v>2852</v>
      </c>
      <c r="C2002" s="227" t="s">
        <v>1278</v>
      </c>
      <c r="D2002" s="227" t="s">
        <v>3051</v>
      </c>
      <c r="E2002" s="75" t="str">
        <f>VLOOKUP(B2002&amp;C2002,Divipola!$C$2:$F$1138,4,FALSE)</f>
        <v>27135</v>
      </c>
      <c r="F2002" s="87"/>
      <c r="G2002" s="87"/>
      <c r="H2002" s="87"/>
      <c r="I2002" s="87">
        <v>1265</v>
      </c>
      <c r="J2002" s="87">
        <v>253</v>
      </c>
      <c r="K2002" s="87"/>
      <c r="L2002" s="87"/>
      <c r="M2002" s="87">
        <v>2</v>
      </c>
      <c r="N2002" s="87">
        <v>1</v>
      </c>
      <c r="O2002" s="87"/>
      <c r="P2002" s="87"/>
      <c r="Q2002" s="87"/>
      <c r="R2002" s="87"/>
      <c r="S2002" s="87"/>
      <c r="T2002" s="87"/>
      <c r="U2002" s="88"/>
      <c r="V2002" s="89"/>
      <c r="W2002" s="96">
        <v>0</v>
      </c>
      <c r="X2002" s="71">
        <f>CU2002</f>
        <v>0</v>
      </c>
      <c r="Y2002" s="71">
        <f>CY2002</f>
        <v>0</v>
      </c>
      <c r="Z2002" s="71">
        <f>DA2002+DC2002+DE2002</f>
        <v>0</v>
      </c>
      <c r="AA2002" s="71">
        <f>CW2002</f>
        <v>0</v>
      </c>
      <c r="AB2002" s="71"/>
      <c r="AC2002" s="71">
        <v>0</v>
      </c>
      <c r="AD2002" s="71">
        <f>W2002+X2002+Y2002+Z2002+AA2002+AB2002+AC2002</f>
        <v>0</v>
      </c>
      <c r="AE2002" s="72">
        <v>0</v>
      </c>
      <c r="AF2002" s="5"/>
      <c r="AG2002" s="6"/>
      <c r="AH2002" s="27" t="s">
        <v>3392</v>
      </c>
      <c r="AI2002" s="44" t="s">
        <v>3393</v>
      </c>
      <c r="AJ2002" s="26"/>
      <c r="AK2002" s="5"/>
      <c r="AL2002" s="82" t="s">
        <v>4884</v>
      </c>
      <c r="AM2002" s="76"/>
      <c r="AN2002" s="76"/>
      <c r="AO2002" s="76"/>
      <c r="AP2002" s="76"/>
      <c r="AQ2002" s="76"/>
      <c r="AR2002" s="76"/>
      <c r="AS2002" s="76"/>
      <c r="AT2002" s="76"/>
      <c r="AU2002" s="76"/>
      <c r="AV2002" s="76"/>
      <c r="AW2002" s="76"/>
      <c r="AX2002" s="76">
        <f>+AW2002*600000</f>
        <v>0</v>
      </c>
      <c r="AY2002" s="76"/>
      <c r="AZ2002" s="76">
        <f>+AY2002*70000</f>
        <v>0</v>
      </c>
      <c r="BA2002" s="76"/>
      <c r="BB2002" s="76"/>
      <c r="BC2002" s="76"/>
      <c r="BD2002" s="76">
        <f>+BC2002*30000</f>
        <v>0</v>
      </c>
      <c r="BE2002" s="76"/>
      <c r="BF2002" s="76"/>
      <c r="BG2002" s="76"/>
      <c r="BH2002" s="76"/>
      <c r="BI2002" s="76"/>
      <c r="BJ2002" s="76"/>
      <c r="BK2002" s="76"/>
      <c r="BL2002" s="76">
        <f>+BK2002*31500</f>
        <v>0</v>
      </c>
      <c r="BM2002" s="76"/>
      <c r="BN2002" s="76"/>
      <c r="BO2002" s="76"/>
      <c r="BP2002" s="76"/>
      <c r="BQ2002" s="76"/>
      <c r="BR2002" s="76"/>
      <c r="BS2002" s="76"/>
      <c r="BT2002" s="76"/>
      <c r="BU2002" s="76"/>
      <c r="BV2002" s="76"/>
      <c r="BW2002" s="76"/>
      <c r="BX2002" s="76"/>
      <c r="BY2002" s="76"/>
      <c r="BZ2002" s="76"/>
      <c r="CA2002" s="76"/>
      <c r="CB2002" s="76"/>
      <c r="CC2002" s="76"/>
      <c r="CD2002" s="76"/>
      <c r="CE2002" s="76"/>
      <c r="CF2002" s="76">
        <f>+CE2002*28000</f>
        <v>0</v>
      </c>
      <c r="CG2002" s="76"/>
      <c r="CH2002" s="76">
        <f>+CG2002*22500</f>
        <v>0</v>
      </c>
      <c r="CI2002" s="76"/>
      <c r="CJ2002" s="76">
        <f>+CI2002*26000</f>
        <v>0</v>
      </c>
      <c r="CK2002" s="76"/>
      <c r="CL2002" s="76"/>
      <c r="CM2002" s="76"/>
      <c r="CN2002" s="76">
        <f>+CM2002*22000</f>
        <v>0</v>
      </c>
      <c r="CO2002" s="76"/>
      <c r="CP2002" s="76">
        <f>+CO2002*46000</f>
        <v>0</v>
      </c>
      <c r="CQ2002" s="76"/>
      <c r="CR2002" s="76">
        <f>+CQ2002*49000</f>
        <v>0</v>
      </c>
      <c r="CS2002" s="76"/>
      <c r="CT2002" s="76"/>
      <c r="CU2002" s="56">
        <f>AN2002+AP2002+AR2002+AT2002+AV2002+AX2002+AZ2002+BB2002+BD2002+BF2002+BH2002+BJ2002+BL2002+BN2002+BP2002+BR2002+BT2002+BV2002+BX2002+BZ2002+CB2002+CD2002+CF2002+CH2002+CJ2002+CL2002+CN2002+CP2002+CR2002+CT2002</f>
        <v>0</v>
      </c>
      <c r="CV2002" s="76"/>
      <c r="CW2002" s="76">
        <f>+CV2002*1100</f>
        <v>0</v>
      </c>
      <c r="CX2002" s="76"/>
      <c r="CY2002" s="76">
        <f>+CX2002*106250</f>
        <v>0</v>
      </c>
      <c r="CZ2002" s="76"/>
      <c r="DA2002" s="76">
        <f>+CZ2002*34500</f>
        <v>0</v>
      </c>
      <c r="DB2002" s="76"/>
      <c r="DC2002" s="76">
        <f>+DB2002*25000</f>
        <v>0</v>
      </c>
      <c r="DD2002" s="219"/>
      <c r="DE2002" s="219"/>
      <c r="DF2002" s="166"/>
      <c r="DG2002" s="116"/>
      <c r="DH2002" s="117"/>
      <c r="DI2002" s="24"/>
      <c r="DJ2002" s="24"/>
      <c r="DK2002" s="24"/>
      <c r="DL2002" s="24"/>
      <c r="DM2002" s="24"/>
      <c r="DN2002" s="24"/>
      <c r="DO2002" s="24"/>
      <c r="DP2002" s="24"/>
      <c r="DQ2002" s="24"/>
      <c r="DR2002" s="24"/>
      <c r="DS2002" s="24"/>
      <c r="DT2002" s="24"/>
      <c r="DU2002" s="24"/>
    </row>
    <row r="2003" spans="1:125" s="8" customFormat="1" ht="132" x14ac:dyDescent="0.2">
      <c r="A2003" s="77">
        <v>41425</v>
      </c>
      <c r="B2003" s="225" t="s">
        <v>2852</v>
      </c>
      <c r="C2003" s="227" t="s">
        <v>12</v>
      </c>
      <c r="D2003" s="227" t="s">
        <v>3051</v>
      </c>
      <c r="E2003" s="75" t="str">
        <f>VLOOKUP(B2003&amp;C2003,Divipola!$C$2:$F$1138,4,FALSE)</f>
        <v>27745</v>
      </c>
      <c r="F2003" s="87"/>
      <c r="G2003" s="87"/>
      <c r="H2003" s="87"/>
      <c r="I2003" s="87">
        <v>5635</v>
      </c>
      <c r="J2003" s="87">
        <v>1127</v>
      </c>
      <c r="K2003" s="87"/>
      <c r="L2003" s="87">
        <v>30</v>
      </c>
      <c r="M2003" s="87"/>
      <c r="N2003" s="87"/>
      <c r="O2003" s="87"/>
      <c r="P2003" s="87"/>
      <c r="Q2003" s="87"/>
      <c r="R2003" s="87"/>
      <c r="S2003" s="87"/>
      <c r="T2003" s="87"/>
      <c r="U2003" s="88"/>
      <c r="V2003" s="89"/>
      <c r="W2003" s="96">
        <v>0</v>
      </c>
      <c r="X2003" s="71">
        <f>CU2003</f>
        <v>0</v>
      </c>
      <c r="Y2003" s="71">
        <f>CY2003</f>
        <v>120589000</v>
      </c>
      <c r="Z2003" s="71">
        <f>DA2003+DC2003+DE2003</f>
        <v>0</v>
      </c>
      <c r="AA2003" s="71">
        <f>CW2003</f>
        <v>0</v>
      </c>
      <c r="AB2003" s="71">
        <v>159817000</v>
      </c>
      <c r="AC2003" s="71">
        <v>0</v>
      </c>
      <c r="AD2003" s="71">
        <f>W2003+X2003+Y2003+Z2003+AA2003+AB2003+AC2003</f>
        <v>280406000</v>
      </c>
      <c r="AE2003" s="72">
        <v>0</v>
      </c>
      <c r="AF2003" s="5"/>
      <c r="AG2003" s="6"/>
      <c r="AH2003" s="27" t="s">
        <v>3390</v>
      </c>
      <c r="AI2003" s="44" t="s">
        <v>3391</v>
      </c>
      <c r="AJ2003" s="26"/>
      <c r="AK2003" s="5"/>
      <c r="AL2003" s="82" t="s">
        <v>6061</v>
      </c>
      <c r="AM2003" s="76"/>
      <c r="AN2003" s="76"/>
      <c r="AO2003" s="76"/>
      <c r="AP2003" s="76"/>
      <c r="AQ2003" s="76"/>
      <c r="AR2003" s="76"/>
      <c r="AS2003" s="76"/>
      <c r="AT2003" s="76"/>
      <c r="AU2003" s="76"/>
      <c r="AV2003" s="76"/>
      <c r="AW2003" s="76"/>
      <c r="AX2003" s="76">
        <f>+AW2003*600000</f>
        <v>0</v>
      </c>
      <c r="AY2003" s="76"/>
      <c r="AZ2003" s="76">
        <f>+AY2003*70000</f>
        <v>0</v>
      </c>
      <c r="BA2003" s="76"/>
      <c r="BB2003" s="76"/>
      <c r="BC2003" s="76"/>
      <c r="BD2003" s="76">
        <f>+BC2003*30000</f>
        <v>0</v>
      </c>
      <c r="BE2003" s="76"/>
      <c r="BF2003" s="76"/>
      <c r="BG2003" s="76"/>
      <c r="BH2003" s="76"/>
      <c r="BI2003" s="76"/>
      <c r="BJ2003" s="76"/>
      <c r="BK2003" s="76"/>
      <c r="BL2003" s="76">
        <f>+BK2003*31500</f>
        <v>0</v>
      </c>
      <c r="BM2003" s="76"/>
      <c r="BN2003" s="76"/>
      <c r="BO2003" s="76"/>
      <c r="BP2003" s="76"/>
      <c r="BQ2003" s="76"/>
      <c r="BR2003" s="76"/>
      <c r="BS2003" s="76"/>
      <c r="BT2003" s="76"/>
      <c r="BU2003" s="76"/>
      <c r="BV2003" s="76"/>
      <c r="BW2003" s="76"/>
      <c r="BX2003" s="76"/>
      <c r="BY2003" s="76"/>
      <c r="BZ2003" s="76"/>
      <c r="CA2003" s="76"/>
      <c r="CB2003" s="76"/>
      <c r="CC2003" s="76"/>
      <c r="CD2003" s="76"/>
      <c r="CE2003" s="76"/>
      <c r="CF2003" s="76">
        <f>+CE2003*28000</f>
        <v>0</v>
      </c>
      <c r="CG2003" s="76"/>
      <c r="CH2003" s="76">
        <f>+CG2003*22500</f>
        <v>0</v>
      </c>
      <c r="CI2003" s="76"/>
      <c r="CJ2003" s="76">
        <f>+CI2003*26000</f>
        <v>0</v>
      </c>
      <c r="CK2003" s="76"/>
      <c r="CL2003" s="76"/>
      <c r="CM2003" s="76"/>
      <c r="CN2003" s="76">
        <f>+CM2003*22000</f>
        <v>0</v>
      </c>
      <c r="CO2003" s="76"/>
      <c r="CP2003" s="76">
        <f>+CO2003*46000</f>
        <v>0</v>
      </c>
      <c r="CQ2003" s="76"/>
      <c r="CR2003" s="76">
        <f>+CQ2003*49000</f>
        <v>0</v>
      </c>
      <c r="CS2003" s="76"/>
      <c r="CT2003" s="76"/>
      <c r="CU2003" s="56">
        <f>AN2003+AP2003+AR2003+AT2003+AV2003+AX2003+AZ2003+BB2003+BD2003+BF2003+BH2003+BJ2003+BL2003+BN2003+BP2003+BR2003+BT2003+BV2003+BX2003+BZ2003+CB2003+CD2003+CF2003+CH2003+CJ2003+CL2003+CN2003+CP2003+CR2003+CT2003</f>
        <v>0</v>
      </c>
      <c r="CV2003" s="76"/>
      <c r="CW2003" s="76">
        <f>+CV2003*1100</f>
        <v>0</v>
      </c>
      <c r="CX2003" s="86">
        <v>1127</v>
      </c>
      <c r="CY2003" s="86">
        <f>+CX2003*107000</f>
        <v>120589000</v>
      </c>
      <c r="CZ2003" s="76"/>
      <c r="DA2003" s="76">
        <f>+CZ2003*34500</f>
        <v>0</v>
      </c>
      <c r="DB2003" s="76"/>
      <c r="DC2003" s="76">
        <f>+DB2003*25000</f>
        <v>0</v>
      </c>
      <c r="DD2003" s="219"/>
      <c r="DE2003" s="219"/>
      <c r="DF2003" s="166"/>
      <c r="DG2003" s="192" t="s">
        <v>6062</v>
      </c>
      <c r="DH2003" s="117"/>
      <c r="DI2003" s="24"/>
      <c r="DJ2003" s="24"/>
      <c r="DK2003" s="24"/>
      <c r="DL2003" s="24"/>
      <c r="DM2003" s="24"/>
      <c r="DN2003" s="24"/>
      <c r="DO2003" s="24"/>
      <c r="DP2003" s="24"/>
      <c r="DQ2003" s="24"/>
      <c r="DR2003" s="24"/>
      <c r="DS2003" s="24"/>
      <c r="DT2003" s="24"/>
      <c r="DU2003" s="24"/>
    </row>
    <row r="2004" spans="1:125" s="8" customFormat="1" ht="96" x14ac:dyDescent="0.2">
      <c r="A2004" s="5">
        <v>41425</v>
      </c>
      <c r="B2004" s="225" t="s">
        <v>2811</v>
      </c>
      <c r="C2004" s="227" t="s">
        <v>124</v>
      </c>
      <c r="D2004" s="227" t="s">
        <v>3088</v>
      </c>
      <c r="E2004" s="75" t="str">
        <f>VLOOKUP(B2004&amp;C2004,Divipola!$C$2:$F$1138,4,FALSE)</f>
        <v>52036</v>
      </c>
      <c r="F2004" s="87"/>
      <c r="G2004" s="87"/>
      <c r="H2004" s="87"/>
      <c r="I2004" s="87">
        <v>10</v>
      </c>
      <c r="J2004" s="87">
        <v>2</v>
      </c>
      <c r="K2004" s="87"/>
      <c r="L2004" s="87">
        <v>2</v>
      </c>
      <c r="M2004" s="87">
        <v>3</v>
      </c>
      <c r="N2004" s="87"/>
      <c r="O2004" s="87"/>
      <c r="P2004" s="87">
        <v>1</v>
      </c>
      <c r="Q2004" s="87"/>
      <c r="R2004" s="87"/>
      <c r="S2004" s="87"/>
      <c r="T2004" s="87"/>
      <c r="U2004" s="88"/>
      <c r="V2004" s="89"/>
      <c r="W2004" s="96">
        <v>0</v>
      </c>
      <c r="X2004" s="71">
        <f>CU2004</f>
        <v>0</v>
      </c>
      <c r="Y2004" s="71">
        <f>CY2004</f>
        <v>0</v>
      </c>
      <c r="Z2004" s="71">
        <f>DA2004+DC2004+DE2004</f>
        <v>0</v>
      </c>
      <c r="AA2004" s="71">
        <f>CW2004</f>
        <v>0</v>
      </c>
      <c r="AB2004" s="71"/>
      <c r="AC2004" s="71">
        <v>0</v>
      </c>
      <c r="AD2004" s="71">
        <f>W2004+X2004+Y2004+Z2004+AA2004+AB2004+AC2004</f>
        <v>0</v>
      </c>
      <c r="AE2004" s="72">
        <v>0</v>
      </c>
      <c r="AF2004" s="5"/>
      <c r="AG2004" s="6"/>
      <c r="AH2004" s="27" t="s">
        <v>3392</v>
      </c>
      <c r="AI2004" s="44" t="s">
        <v>3393</v>
      </c>
      <c r="AJ2004" s="26"/>
      <c r="AK2004" s="5"/>
      <c r="AL2004" s="82" t="s">
        <v>4824</v>
      </c>
      <c r="AM2004" s="76"/>
      <c r="AN2004" s="76"/>
      <c r="AO2004" s="76"/>
      <c r="AP2004" s="76"/>
      <c r="AQ2004" s="76"/>
      <c r="AR2004" s="76"/>
      <c r="AS2004" s="76"/>
      <c r="AT2004" s="76"/>
      <c r="AU2004" s="76"/>
      <c r="AV2004" s="76"/>
      <c r="AW2004" s="76"/>
      <c r="AX2004" s="76">
        <f>+AW2004*600000</f>
        <v>0</v>
      </c>
      <c r="AY2004" s="76"/>
      <c r="AZ2004" s="76">
        <f>+AY2004*70000</f>
        <v>0</v>
      </c>
      <c r="BA2004" s="76"/>
      <c r="BB2004" s="76"/>
      <c r="BC2004" s="76"/>
      <c r="BD2004" s="76">
        <f>+BC2004*30000</f>
        <v>0</v>
      </c>
      <c r="BE2004" s="76"/>
      <c r="BF2004" s="76"/>
      <c r="BG2004" s="76"/>
      <c r="BH2004" s="76"/>
      <c r="BI2004" s="76"/>
      <c r="BJ2004" s="76"/>
      <c r="BK2004" s="76"/>
      <c r="BL2004" s="76">
        <f>+BK2004*31500</f>
        <v>0</v>
      </c>
      <c r="BM2004" s="76"/>
      <c r="BN2004" s="76"/>
      <c r="BO2004" s="76"/>
      <c r="BP2004" s="76"/>
      <c r="BQ2004" s="76"/>
      <c r="BR2004" s="76"/>
      <c r="BS2004" s="76"/>
      <c r="BT2004" s="76"/>
      <c r="BU2004" s="76"/>
      <c r="BV2004" s="76"/>
      <c r="BW2004" s="76"/>
      <c r="BX2004" s="76"/>
      <c r="BY2004" s="76"/>
      <c r="BZ2004" s="76"/>
      <c r="CA2004" s="76"/>
      <c r="CB2004" s="76"/>
      <c r="CC2004" s="76"/>
      <c r="CD2004" s="76"/>
      <c r="CE2004" s="76"/>
      <c r="CF2004" s="76">
        <f>+CE2004*28000</f>
        <v>0</v>
      </c>
      <c r="CG2004" s="76"/>
      <c r="CH2004" s="76">
        <f>+CG2004*22500</f>
        <v>0</v>
      </c>
      <c r="CI2004" s="76"/>
      <c r="CJ2004" s="76">
        <f>+CI2004*26000</f>
        <v>0</v>
      </c>
      <c r="CK2004" s="76"/>
      <c r="CL2004" s="76"/>
      <c r="CM2004" s="76"/>
      <c r="CN2004" s="76">
        <f>+CM2004*22000</f>
        <v>0</v>
      </c>
      <c r="CO2004" s="76"/>
      <c r="CP2004" s="76">
        <f>+CO2004*46000</f>
        <v>0</v>
      </c>
      <c r="CQ2004" s="76"/>
      <c r="CR2004" s="76">
        <f>+CQ2004*49000</f>
        <v>0</v>
      </c>
      <c r="CS2004" s="76"/>
      <c r="CT2004" s="76"/>
      <c r="CU2004" s="56">
        <f>AN2004+AP2004+AR2004+AT2004+AV2004+AX2004+AZ2004+BB2004+BD2004+BF2004+BH2004+BJ2004+BL2004+BN2004+BP2004+BR2004+BT2004+BV2004+BX2004+BZ2004+CB2004+CD2004+CF2004+CH2004+CJ2004+CL2004+CN2004+CP2004+CR2004+CT2004</f>
        <v>0</v>
      </c>
      <c r="CV2004" s="76"/>
      <c r="CW2004" s="76">
        <f>+CV2004*1100</f>
        <v>0</v>
      </c>
      <c r="CX2004" s="76"/>
      <c r="CY2004" s="76">
        <f>+CX2004*106250</f>
        <v>0</v>
      </c>
      <c r="CZ2004" s="76"/>
      <c r="DA2004" s="76">
        <f>+CZ2004*34500</f>
        <v>0</v>
      </c>
      <c r="DB2004" s="76"/>
      <c r="DC2004" s="76">
        <f>+DB2004*25000</f>
        <v>0</v>
      </c>
      <c r="DD2004" s="219"/>
      <c r="DE2004" s="219"/>
      <c r="DF2004" s="166"/>
      <c r="DG2004" s="116"/>
      <c r="DH2004" s="117"/>
      <c r="DI2004" s="24"/>
      <c r="DJ2004" s="24"/>
      <c r="DK2004" s="24"/>
      <c r="DL2004" s="24"/>
      <c r="DM2004" s="24"/>
      <c r="DN2004" s="24"/>
      <c r="DO2004" s="24"/>
      <c r="DP2004" s="24"/>
      <c r="DQ2004" s="24"/>
      <c r="DR2004" s="24"/>
      <c r="DS2004" s="24"/>
      <c r="DT2004" s="24"/>
      <c r="DU2004" s="24"/>
    </row>
    <row r="2005" spans="1:125" s="8" customFormat="1" ht="96" x14ac:dyDescent="0.2">
      <c r="A2005" s="77">
        <v>41425</v>
      </c>
      <c r="B2005" s="225" t="s">
        <v>2811</v>
      </c>
      <c r="C2005" s="227" t="s">
        <v>2718</v>
      </c>
      <c r="D2005" s="227" t="s">
        <v>4391</v>
      </c>
      <c r="E2005" s="75" t="str">
        <f>VLOOKUP(B2005&amp;C2005,Divipola!$C$2:$F$1138,4,FALSE)</f>
        <v>52215</v>
      </c>
      <c r="F2005" s="87">
        <v>1</v>
      </c>
      <c r="G2005" s="87"/>
      <c r="H2005" s="87"/>
      <c r="I2005" s="87"/>
      <c r="J2005" s="87"/>
      <c r="K2005" s="87"/>
      <c r="L2005" s="87"/>
      <c r="M2005" s="87"/>
      <c r="N2005" s="87"/>
      <c r="O2005" s="87"/>
      <c r="P2005" s="87"/>
      <c r="Q2005" s="87"/>
      <c r="R2005" s="87"/>
      <c r="S2005" s="87"/>
      <c r="T2005" s="87"/>
      <c r="U2005" s="88"/>
      <c r="V2005" s="89"/>
      <c r="W2005" s="96">
        <v>0</v>
      </c>
      <c r="X2005" s="71">
        <f>CU2005</f>
        <v>0</v>
      </c>
      <c r="Y2005" s="71">
        <f>CY2005</f>
        <v>0</v>
      </c>
      <c r="Z2005" s="71">
        <f>DA2005+DC2005+DE2005</f>
        <v>0</v>
      </c>
      <c r="AA2005" s="71">
        <f>CW2005</f>
        <v>0</v>
      </c>
      <c r="AB2005" s="71"/>
      <c r="AC2005" s="71">
        <v>0</v>
      </c>
      <c r="AD2005" s="71">
        <f>W2005+X2005+Y2005+Z2005+AA2005+AB2005+AC2005</f>
        <v>0</v>
      </c>
      <c r="AE2005" s="72">
        <v>0</v>
      </c>
      <c r="AF2005" s="5"/>
      <c r="AG2005" s="6"/>
      <c r="AH2005" s="27" t="s">
        <v>3392</v>
      </c>
      <c r="AI2005" s="44" t="s">
        <v>3393</v>
      </c>
      <c r="AJ2005" s="26"/>
      <c r="AK2005" s="5"/>
      <c r="AL2005" s="82" t="s">
        <v>4840</v>
      </c>
      <c r="AM2005" s="76"/>
      <c r="AN2005" s="76"/>
      <c r="AO2005" s="76"/>
      <c r="AP2005" s="76"/>
      <c r="AQ2005" s="76"/>
      <c r="AR2005" s="76"/>
      <c r="AS2005" s="76"/>
      <c r="AT2005" s="76"/>
      <c r="AU2005" s="76"/>
      <c r="AV2005" s="76"/>
      <c r="AW2005" s="76"/>
      <c r="AX2005" s="76">
        <f>+AW2005*600000</f>
        <v>0</v>
      </c>
      <c r="AY2005" s="76"/>
      <c r="AZ2005" s="76">
        <f>+AY2005*70000</f>
        <v>0</v>
      </c>
      <c r="BA2005" s="76"/>
      <c r="BB2005" s="76"/>
      <c r="BC2005" s="76"/>
      <c r="BD2005" s="76">
        <f>+BC2005*30000</f>
        <v>0</v>
      </c>
      <c r="BE2005" s="76"/>
      <c r="BF2005" s="76"/>
      <c r="BG2005" s="76"/>
      <c r="BH2005" s="76"/>
      <c r="BI2005" s="76"/>
      <c r="BJ2005" s="76"/>
      <c r="BK2005" s="76"/>
      <c r="BL2005" s="76">
        <f>+BK2005*31500</f>
        <v>0</v>
      </c>
      <c r="BM2005" s="76"/>
      <c r="BN2005" s="76"/>
      <c r="BO2005" s="76"/>
      <c r="BP2005" s="76"/>
      <c r="BQ2005" s="76"/>
      <c r="BR2005" s="76"/>
      <c r="BS2005" s="76"/>
      <c r="BT2005" s="76"/>
      <c r="BU2005" s="76"/>
      <c r="BV2005" s="76"/>
      <c r="BW2005" s="76"/>
      <c r="BX2005" s="76"/>
      <c r="BY2005" s="76"/>
      <c r="BZ2005" s="76"/>
      <c r="CA2005" s="76"/>
      <c r="CB2005" s="76"/>
      <c r="CC2005" s="76"/>
      <c r="CD2005" s="76"/>
      <c r="CE2005" s="76"/>
      <c r="CF2005" s="76">
        <f>+CE2005*28000</f>
        <v>0</v>
      </c>
      <c r="CG2005" s="76"/>
      <c r="CH2005" s="76">
        <f>+CG2005*22500</f>
        <v>0</v>
      </c>
      <c r="CI2005" s="76"/>
      <c r="CJ2005" s="76">
        <f>+CI2005*26000</f>
        <v>0</v>
      </c>
      <c r="CK2005" s="76"/>
      <c r="CL2005" s="76"/>
      <c r="CM2005" s="76"/>
      <c r="CN2005" s="76">
        <f>+CM2005*22000</f>
        <v>0</v>
      </c>
      <c r="CO2005" s="76"/>
      <c r="CP2005" s="76">
        <f>+CO2005*46000</f>
        <v>0</v>
      </c>
      <c r="CQ2005" s="76"/>
      <c r="CR2005" s="76">
        <f>+CQ2005*49000</f>
        <v>0</v>
      </c>
      <c r="CS2005" s="76"/>
      <c r="CT2005" s="76"/>
      <c r="CU2005" s="56">
        <f>AN2005+AP2005+AR2005+AT2005+AV2005+AX2005+AZ2005+BB2005+BD2005+BF2005+BH2005+BJ2005+BL2005+BN2005+BP2005+BR2005+BT2005+BV2005+BX2005+BZ2005+CB2005+CD2005+CF2005+CH2005+CJ2005+CL2005+CN2005+CP2005+CR2005+CT2005</f>
        <v>0</v>
      </c>
      <c r="CV2005" s="76"/>
      <c r="CW2005" s="76">
        <f>+CV2005*1100</f>
        <v>0</v>
      </c>
      <c r="CX2005" s="76"/>
      <c r="CY2005" s="76">
        <f>+CX2005*106250</f>
        <v>0</v>
      </c>
      <c r="CZ2005" s="76"/>
      <c r="DA2005" s="76">
        <f>+CZ2005*34500</f>
        <v>0</v>
      </c>
      <c r="DB2005" s="76"/>
      <c r="DC2005" s="76">
        <f>+DB2005*25000</f>
        <v>0</v>
      </c>
      <c r="DD2005" s="219"/>
      <c r="DE2005" s="219"/>
      <c r="DF2005" s="166"/>
      <c r="DG2005" s="116"/>
      <c r="DH2005" s="117"/>
      <c r="DI2005" s="24"/>
      <c r="DJ2005" s="24"/>
      <c r="DK2005" s="24"/>
      <c r="DL2005" s="24"/>
      <c r="DM2005" s="24"/>
      <c r="DN2005" s="24"/>
      <c r="DO2005" s="24"/>
      <c r="DP2005" s="24"/>
      <c r="DQ2005" s="24"/>
      <c r="DR2005" s="24"/>
      <c r="DS2005" s="24"/>
      <c r="DT2005" s="24"/>
      <c r="DU2005" s="24"/>
    </row>
    <row r="2006" spans="1:125" s="8" customFormat="1" ht="48" x14ac:dyDescent="0.2">
      <c r="A2006" s="197">
        <v>41425</v>
      </c>
      <c r="B2006" s="352" t="s">
        <v>2811</v>
      </c>
      <c r="C2006" s="354" t="s">
        <v>189</v>
      </c>
      <c r="D2006" s="354" t="s">
        <v>3088</v>
      </c>
      <c r="E2006" s="75" t="str">
        <f>VLOOKUP(B2006&amp;C2006,Divipola!$C$2:$F$1138,4,FALSE)</f>
        <v>52435</v>
      </c>
      <c r="F2006" s="87"/>
      <c r="G2006" s="87"/>
      <c r="H2006" s="87"/>
      <c r="I2006" s="87"/>
      <c r="J2006" s="87"/>
      <c r="K2006" s="87"/>
      <c r="L2006" s="87"/>
      <c r="M2006" s="87"/>
      <c r="N2006" s="87"/>
      <c r="O2006" s="87"/>
      <c r="P2006" s="87"/>
      <c r="Q2006" s="87"/>
      <c r="R2006" s="87"/>
      <c r="S2006" s="87"/>
      <c r="T2006" s="87"/>
      <c r="U2006" s="88"/>
      <c r="V2006" s="89"/>
      <c r="W2006" s="96">
        <v>0</v>
      </c>
      <c r="X2006" s="71">
        <f>CU2006</f>
        <v>0</v>
      </c>
      <c r="Y2006" s="71">
        <f>CY2006</f>
        <v>0</v>
      </c>
      <c r="Z2006" s="71">
        <f>DA2006+DC2006+DE2006</f>
        <v>0</v>
      </c>
      <c r="AA2006" s="71">
        <f>CW2006</f>
        <v>0</v>
      </c>
      <c r="AB2006" s="71"/>
      <c r="AC2006" s="71">
        <v>0</v>
      </c>
      <c r="AD2006" s="71">
        <f>W2006+X2006+Y2006+Z2006+AA2006+AB2006+AC2006</f>
        <v>0</v>
      </c>
      <c r="AE2006" s="72">
        <v>0</v>
      </c>
      <c r="AF2006" s="5"/>
      <c r="AG2006" s="6"/>
      <c r="AH2006" s="27" t="s">
        <v>3392</v>
      </c>
      <c r="AI2006" s="44" t="s">
        <v>3393</v>
      </c>
      <c r="AJ2006" s="26"/>
      <c r="AK2006" s="5"/>
      <c r="AL2006" s="82" t="s">
        <v>4822</v>
      </c>
      <c r="AM2006" s="76"/>
      <c r="AN2006" s="76"/>
      <c r="AO2006" s="76"/>
      <c r="AP2006" s="76"/>
      <c r="AQ2006" s="76"/>
      <c r="AR2006" s="76"/>
      <c r="AS2006" s="76"/>
      <c r="AT2006" s="76"/>
      <c r="AU2006" s="76"/>
      <c r="AV2006" s="76"/>
      <c r="AW2006" s="76"/>
      <c r="AX2006" s="76">
        <f>+AW2006*600000</f>
        <v>0</v>
      </c>
      <c r="AY2006" s="76"/>
      <c r="AZ2006" s="76">
        <f>+AY2006*70000</f>
        <v>0</v>
      </c>
      <c r="BA2006" s="76"/>
      <c r="BB2006" s="76"/>
      <c r="BC2006" s="76"/>
      <c r="BD2006" s="76">
        <f>+BC2006*30000</f>
        <v>0</v>
      </c>
      <c r="BE2006" s="76"/>
      <c r="BF2006" s="76"/>
      <c r="BG2006" s="76"/>
      <c r="BH2006" s="76"/>
      <c r="BI2006" s="76"/>
      <c r="BJ2006" s="76"/>
      <c r="BK2006" s="76"/>
      <c r="BL2006" s="76">
        <f>+BK2006*31500</f>
        <v>0</v>
      </c>
      <c r="BM2006" s="76"/>
      <c r="BN2006" s="76"/>
      <c r="BO2006" s="76"/>
      <c r="BP2006" s="76"/>
      <c r="BQ2006" s="76"/>
      <c r="BR2006" s="76"/>
      <c r="BS2006" s="76"/>
      <c r="BT2006" s="76"/>
      <c r="BU2006" s="76"/>
      <c r="BV2006" s="76"/>
      <c r="BW2006" s="76"/>
      <c r="BX2006" s="76"/>
      <c r="BY2006" s="76"/>
      <c r="BZ2006" s="76"/>
      <c r="CA2006" s="76"/>
      <c r="CB2006" s="76"/>
      <c r="CC2006" s="76"/>
      <c r="CD2006" s="76"/>
      <c r="CE2006" s="76"/>
      <c r="CF2006" s="76">
        <f>+CE2006*28000</f>
        <v>0</v>
      </c>
      <c r="CG2006" s="76"/>
      <c r="CH2006" s="76">
        <f>+CG2006*22500</f>
        <v>0</v>
      </c>
      <c r="CI2006" s="76"/>
      <c r="CJ2006" s="76">
        <f>+CI2006*26000</f>
        <v>0</v>
      </c>
      <c r="CK2006" s="76"/>
      <c r="CL2006" s="76"/>
      <c r="CM2006" s="76"/>
      <c r="CN2006" s="76">
        <f>+CM2006*22000</f>
        <v>0</v>
      </c>
      <c r="CO2006" s="76"/>
      <c r="CP2006" s="76">
        <f>+CO2006*46000</f>
        <v>0</v>
      </c>
      <c r="CQ2006" s="76"/>
      <c r="CR2006" s="76">
        <f>+CQ2006*49000</f>
        <v>0</v>
      </c>
      <c r="CS2006" s="76"/>
      <c r="CT2006" s="76"/>
      <c r="CU2006" s="56">
        <f>AN2006+AP2006+AR2006+AT2006+AV2006+AX2006+AZ2006+BB2006+BD2006+BF2006+BH2006+BJ2006+BL2006+BN2006+BP2006+BR2006+BT2006+BV2006+BX2006+BZ2006+CB2006+CD2006+CF2006+CH2006+CJ2006+CL2006+CN2006+CP2006+CR2006+CT2006</f>
        <v>0</v>
      </c>
      <c r="CV2006" s="76"/>
      <c r="CW2006" s="76">
        <f>+CV2006*1100</f>
        <v>0</v>
      </c>
      <c r="CX2006" s="76"/>
      <c r="CY2006" s="76">
        <f>+CX2006*106250</f>
        <v>0</v>
      </c>
      <c r="CZ2006" s="76"/>
      <c r="DA2006" s="76">
        <f>+CZ2006*34500</f>
        <v>0</v>
      </c>
      <c r="DB2006" s="76"/>
      <c r="DC2006" s="76">
        <f>+DB2006*25000</f>
        <v>0</v>
      </c>
      <c r="DD2006" s="219"/>
      <c r="DE2006" s="219"/>
      <c r="DF2006" s="166"/>
      <c r="DG2006" s="116"/>
      <c r="DH2006" s="117"/>
      <c r="DI2006" s="24"/>
      <c r="DJ2006" s="24"/>
      <c r="DK2006" s="24"/>
      <c r="DL2006" s="24"/>
      <c r="DM2006" s="24"/>
      <c r="DN2006" s="24"/>
      <c r="DO2006" s="24"/>
      <c r="DP2006" s="24"/>
      <c r="DQ2006" s="24"/>
      <c r="DR2006" s="24"/>
      <c r="DS2006" s="24"/>
      <c r="DT2006" s="24"/>
      <c r="DU2006" s="24"/>
    </row>
    <row r="2007" spans="1:125" s="8" customFormat="1" ht="72" x14ac:dyDescent="0.2">
      <c r="A2007" s="77">
        <v>41425</v>
      </c>
      <c r="B2007" s="78" t="s">
        <v>2811</v>
      </c>
      <c r="C2007" s="75" t="s">
        <v>477</v>
      </c>
      <c r="D2007" s="75" t="s">
        <v>3051</v>
      </c>
      <c r="E2007" s="75" t="str">
        <f>VLOOKUP(B2007&amp;C2007,Divipola!$C$2:$F$1138,4,FALSE)</f>
        <v>52621</v>
      </c>
      <c r="F2007" s="87"/>
      <c r="G2007" s="87"/>
      <c r="H2007" s="87"/>
      <c r="I2007" s="87"/>
      <c r="J2007" s="87"/>
      <c r="K2007" s="87"/>
      <c r="L2007" s="87"/>
      <c r="M2007" s="87"/>
      <c r="N2007" s="87"/>
      <c r="O2007" s="87"/>
      <c r="P2007" s="87"/>
      <c r="Q2007" s="87"/>
      <c r="R2007" s="87"/>
      <c r="S2007" s="87"/>
      <c r="T2007" s="87"/>
      <c r="U2007" s="88"/>
      <c r="V2007" s="89"/>
      <c r="W2007" s="96">
        <v>0</v>
      </c>
      <c r="X2007" s="71">
        <f>CU2007</f>
        <v>0</v>
      </c>
      <c r="Y2007" s="71">
        <f>CY2007</f>
        <v>0</v>
      </c>
      <c r="Z2007" s="71">
        <f>DA2007+DC2007+DE2007</f>
        <v>0</v>
      </c>
      <c r="AA2007" s="71">
        <f>CW2007</f>
        <v>0</v>
      </c>
      <c r="AB2007" s="71"/>
      <c r="AC2007" s="71">
        <v>0</v>
      </c>
      <c r="AD2007" s="71">
        <f>W2007+X2007+Y2007+Z2007+AA2007+AB2007+AC2007</f>
        <v>0</v>
      </c>
      <c r="AE2007" s="72">
        <v>0</v>
      </c>
      <c r="AF2007" s="5"/>
      <c r="AG2007" s="6"/>
      <c r="AH2007" s="27" t="s">
        <v>3392</v>
      </c>
      <c r="AI2007" s="44" t="s">
        <v>3393</v>
      </c>
      <c r="AJ2007" s="26"/>
      <c r="AK2007" s="5"/>
      <c r="AL2007" s="82" t="s">
        <v>4825</v>
      </c>
      <c r="AM2007" s="76"/>
      <c r="AN2007" s="76"/>
      <c r="AO2007" s="76"/>
      <c r="AP2007" s="76"/>
      <c r="AQ2007" s="76"/>
      <c r="AR2007" s="76"/>
      <c r="AS2007" s="76"/>
      <c r="AT2007" s="76"/>
      <c r="AU2007" s="76"/>
      <c r="AV2007" s="76"/>
      <c r="AW2007" s="76"/>
      <c r="AX2007" s="76">
        <f>+AW2007*600000</f>
        <v>0</v>
      </c>
      <c r="AY2007" s="76"/>
      <c r="AZ2007" s="76">
        <f>+AY2007*70000</f>
        <v>0</v>
      </c>
      <c r="BA2007" s="76"/>
      <c r="BB2007" s="76"/>
      <c r="BC2007" s="76"/>
      <c r="BD2007" s="76">
        <f>+BC2007*30000</f>
        <v>0</v>
      </c>
      <c r="BE2007" s="76"/>
      <c r="BF2007" s="76"/>
      <c r="BG2007" s="76"/>
      <c r="BH2007" s="76"/>
      <c r="BI2007" s="76"/>
      <c r="BJ2007" s="76"/>
      <c r="BK2007" s="76"/>
      <c r="BL2007" s="76">
        <f>+BK2007*31500</f>
        <v>0</v>
      </c>
      <c r="BM2007" s="76"/>
      <c r="BN2007" s="76"/>
      <c r="BO2007" s="76"/>
      <c r="BP2007" s="76"/>
      <c r="BQ2007" s="76"/>
      <c r="BR2007" s="76"/>
      <c r="BS2007" s="76"/>
      <c r="BT2007" s="76"/>
      <c r="BU2007" s="76"/>
      <c r="BV2007" s="76"/>
      <c r="BW2007" s="76"/>
      <c r="BX2007" s="76"/>
      <c r="BY2007" s="76"/>
      <c r="BZ2007" s="76"/>
      <c r="CA2007" s="76"/>
      <c r="CB2007" s="76"/>
      <c r="CC2007" s="76"/>
      <c r="CD2007" s="76"/>
      <c r="CE2007" s="76"/>
      <c r="CF2007" s="76">
        <f>+CE2007*28000</f>
        <v>0</v>
      </c>
      <c r="CG2007" s="76"/>
      <c r="CH2007" s="76">
        <f>+CG2007*22500</f>
        <v>0</v>
      </c>
      <c r="CI2007" s="76"/>
      <c r="CJ2007" s="76">
        <f>+CI2007*26000</f>
        <v>0</v>
      </c>
      <c r="CK2007" s="76"/>
      <c r="CL2007" s="76"/>
      <c r="CM2007" s="76"/>
      <c r="CN2007" s="76">
        <f>+CM2007*22000</f>
        <v>0</v>
      </c>
      <c r="CO2007" s="76"/>
      <c r="CP2007" s="76">
        <f>+CO2007*46000</f>
        <v>0</v>
      </c>
      <c r="CQ2007" s="76"/>
      <c r="CR2007" s="76">
        <f>+CQ2007*49000</f>
        <v>0</v>
      </c>
      <c r="CS2007" s="76"/>
      <c r="CT2007" s="76"/>
      <c r="CU2007" s="56">
        <f>AN2007+AP2007+AR2007+AT2007+AV2007+AX2007+AZ2007+BB2007+BD2007+BF2007+BH2007+BJ2007+BL2007+BN2007+BP2007+BR2007+BT2007+BV2007+BX2007+BZ2007+CB2007+CD2007+CF2007+CH2007+CJ2007+CL2007+CN2007+CP2007+CR2007+CT2007</f>
        <v>0</v>
      </c>
      <c r="CV2007" s="76"/>
      <c r="CW2007" s="76">
        <f>+CV2007*1100</f>
        <v>0</v>
      </c>
      <c r="CX2007" s="76"/>
      <c r="CY2007" s="76">
        <f>+CX2007*106250</f>
        <v>0</v>
      </c>
      <c r="CZ2007" s="76"/>
      <c r="DA2007" s="76">
        <f>+CZ2007*34500</f>
        <v>0</v>
      </c>
      <c r="DB2007" s="76"/>
      <c r="DC2007" s="76">
        <f>+DB2007*25000</f>
        <v>0</v>
      </c>
      <c r="DD2007" s="219"/>
      <c r="DE2007" s="219"/>
      <c r="DF2007" s="166"/>
      <c r="DG2007" s="116"/>
      <c r="DH2007" s="117"/>
      <c r="DI2007" s="24"/>
      <c r="DJ2007" s="24"/>
      <c r="DK2007" s="24"/>
      <c r="DL2007" s="24"/>
      <c r="DM2007" s="24"/>
      <c r="DN2007" s="24"/>
      <c r="DO2007" s="24"/>
      <c r="DP2007" s="24"/>
      <c r="DQ2007" s="24"/>
      <c r="DR2007" s="24"/>
      <c r="DS2007" s="24"/>
      <c r="DT2007" s="24"/>
      <c r="DU2007" s="24"/>
    </row>
    <row r="2008" spans="1:125" s="8" customFormat="1" ht="144" x14ac:dyDescent="0.2">
      <c r="A2008" s="77">
        <v>41425</v>
      </c>
      <c r="B2008" s="352" t="s">
        <v>2811</v>
      </c>
      <c r="C2008" s="227" t="s">
        <v>2693</v>
      </c>
      <c r="D2008" s="354" t="s">
        <v>3051</v>
      </c>
      <c r="E2008" s="75" t="str">
        <f>VLOOKUP(B2008&amp;C2008,Divipola!$C$2:$F$1138,4,FALSE)</f>
        <v>52696</v>
      </c>
      <c r="F2008" s="87"/>
      <c r="G2008" s="87"/>
      <c r="H2008" s="87"/>
      <c r="I2008" s="87">
        <v>1189</v>
      </c>
      <c r="J2008" s="87">
        <v>351</v>
      </c>
      <c r="K2008" s="87"/>
      <c r="L2008" s="87">
        <v>351</v>
      </c>
      <c r="M2008" s="87"/>
      <c r="N2008" s="87"/>
      <c r="O2008" s="87"/>
      <c r="P2008" s="87"/>
      <c r="Q2008" s="87"/>
      <c r="R2008" s="87"/>
      <c r="S2008" s="87"/>
      <c r="T2008" s="87"/>
      <c r="U2008" s="88"/>
      <c r="V2008" s="89"/>
      <c r="W2008" s="96">
        <v>0</v>
      </c>
      <c r="X2008" s="71">
        <f>CU2008</f>
        <v>0</v>
      </c>
      <c r="Y2008" s="71">
        <f>CY2008</f>
        <v>0</v>
      </c>
      <c r="Z2008" s="71">
        <f>DA2008+DC2008+DE2008</f>
        <v>0</v>
      </c>
      <c r="AA2008" s="71">
        <f>CW2008</f>
        <v>0</v>
      </c>
      <c r="AB2008" s="71"/>
      <c r="AC2008" s="71">
        <v>0</v>
      </c>
      <c r="AD2008" s="71">
        <f>W2008+X2008+Y2008+Z2008+AA2008+AB2008+AC2008</f>
        <v>0</v>
      </c>
      <c r="AE2008" s="72">
        <v>0</v>
      </c>
      <c r="AF2008" s="5"/>
      <c r="AG2008" s="6"/>
      <c r="AH2008" s="27" t="s">
        <v>3392</v>
      </c>
      <c r="AI2008" s="44" t="s">
        <v>3393</v>
      </c>
      <c r="AJ2008" s="26"/>
      <c r="AK2008" s="5"/>
      <c r="AL2008" s="82" t="s">
        <v>4823</v>
      </c>
      <c r="AM2008" s="76"/>
      <c r="AN2008" s="76"/>
      <c r="AO2008" s="76"/>
      <c r="AP2008" s="76"/>
      <c r="AQ2008" s="76"/>
      <c r="AR2008" s="76"/>
      <c r="AS2008" s="76"/>
      <c r="AT2008" s="76"/>
      <c r="AU2008" s="76"/>
      <c r="AV2008" s="76"/>
      <c r="AW2008" s="76"/>
      <c r="AX2008" s="76">
        <f>+AW2008*600000</f>
        <v>0</v>
      </c>
      <c r="AY2008" s="76"/>
      <c r="AZ2008" s="76">
        <f>+AY2008*70000</f>
        <v>0</v>
      </c>
      <c r="BA2008" s="76"/>
      <c r="BB2008" s="76"/>
      <c r="BC2008" s="76"/>
      <c r="BD2008" s="76">
        <f>+BC2008*30000</f>
        <v>0</v>
      </c>
      <c r="BE2008" s="76"/>
      <c r="BF2008" s="76"/>
      <c r="BG2008" s="76"/>
      <c r="BH2008" s="76"/>
      <c r="BI2008" s="76"/>
      <c r="BJ2008" s="76"/>
      <c r="BK2008" s="76"/>
      <c r="BL2008" s="76">
        <f>+BK2008*31500</f>
        <v>0</v>
      </c>
      <c r="BM2008" s="76"/>
      <c r="BN2008" s="76"/>
      <c r="BO2008" s="76"/>
      <c r="BP2008" s="76"/>
      <c r="BQ2008" s="76"/>
      <c r="BR2008" s="76"/>
      <c r="BS2008" s="76"/>
      <c r="BT2008" s="76"/>
      <c r="BU2008" s="76"/>
      <c r="BV2008" s="76"/>
      <c r="BW2008" s="76"/>
      <c r="BX2008" s="76"/>
      <c r="BY2008" s="76"/>
      <c r="BZ2008" s="76"/>
      <c r="CA2008" s="76"/>
      <c r="CB2008" s="76"/>
      <c r="CC2008" s="76"/>
      <c r="CD2008" s="76"/>
      <c r="CE2008" s="76"/>
      <c r="CF2008" s="76">
        <f>+CE2008*28000</f>
        <v>0</v>
      </c>
      <c r="CG2008" s="76"/>
      <c r="CH2008" s="76">
        <f>+CG2008*22500</f>
        <v>0</v>
      </c>
      <c r="CI2008" s="76"/>
      <c r="CJ2008" s="76">
        <f>+CI2008*26000</f>
        <v>0</v>
      </c>
      <c r="CK2008" s="76"/>
      <c r="CL2008" s="76"/>
      <c r="CM2008" s="76"/>
      <c r="CN2008" s="76">
        <f>+CM2008*22000</f>
        <v>0</v>
      </c>
      <c r="CO2008" s="76"/>
      <c r="CP2008" s="76">
        <f>+CO2008*46000</f>
        <v>0</v>
      </c>
      <c r="CQ2008" s="76"/>
      <c r="CR2008" s="76">
        <f>+CQ2008*49000</f>
        <v>0</v>
      </c>
      <c r="CS2008" s="76"/>
      <c r="CT2008" s="76"/>
      <c r="CU2008" s="56">
        <f>AN2008+AP2008+AR2008+AT2008+AV2008+AX2008+AZ2008+BB2008+BD2008+BF2008+BH2008+BJ2008+BL2008+BN2008+BP2008+BR2008+BT2008+BV2008+BX2008+BZ2008+CB2008+CD2008+CF2008+CH2008+CJ2008+CL2008+CN2008+CP2008+CR2008+CT2008</f>
        <v>0</v>
      </c>
      <c r="CV2008" s="76"/>
      <c r="CW2008" s="76">
        <f>+CV2008*1100</f>
        <v>0</v>
      </c>
      <c r="CX2008" s="76"/>
      <c r="CY2008" s="76">
        <f>+CX2008*106250</f>
        <v>0</v>
      </c>
      <c r="CZ2008" s="76"/>
      <c r="DA2008" s="76">
        <f>+CZ2008*34500</f>
        <v>0</v>
      </c>
      <c r="DB2008" s="76"/>
      <c r="DC2008" s="76">
        <f>+DB2008*25000</f>
        <v>0</v>
      </c>
      <c r="DD2008" s="219"/>
      <c r="DE2008" s="219"/>
      <c r="DF2008" s="166"/>
      <c r="DG2008" s="116"/>
      <c r="DH2008" s="117"/>
      <c r="DI2008" s="24"/>
      <c r="DJ2008" s="24"/>
      <c r="DK2008" s="24"/>
      <c r="DL2008" s="24"/>
      <c r="DM2008" s="24"/>
      <c r="DN2008" s="24"/>
      <c r="DO2008" s="24"/>
      <c r="DP2008" s="24"/>
      <c r="DQ2008" s="24"/>
      <c r="DR2008" s="24"/>
      <c r="DS2008" s="24"/>
      <c r="DT2008" s="24"/>
      <c r="DU2008" s="24"/>
    </row>
    <row r="2009" spans="1:125" s="8" customFormat="1" ht="84" x14ac:dyDescent="0.2">
      <c r="A2009" s="353">
        <v>41425</v>
      </c>
      <c r="B2009" s="352" t="s">
        <v>2847</v>
      </c>
      <c r="C2009" s="354" t="s">
        <v>2673</v>
      </c>
      <c r="D2009" s="354" t="s">
        <v>2859</v>
      </c>
      <c r="E2009" s="75" t="str">
        <f>VLOOKUP(B2009&amp;C2009,Divipola!$C$2:$F$1138,4,FALSE)</f>
        <v>68001</v>
      </c>
      <c r="F2009" s="87"/>
      <c r="G2009" s="87"/>
      <c r="H2009" s="87"/>
      <c r="I2009" s="87">
        <v>15</v>
      </c>
      <c r="J2009" s="87">
        <v>3</v>
      </c>
      <c r="K2009" s="87">
        <v>1</v>
      </c>
      <c r="L2009" s="87"/>
      <c r="M2009" s="87"/>
      <c r="N2009" s="87"/>
      <c r="O2009" s="87"/>
      <c r="P2009" s="87"/>
      <c r="Q2009" s="87"/>
      <c r="R2009" s="87"/>
      <c r="S2009" s="87"/>
      <c r="T2009" s="87"/>
      <c r="U2009" s="88"/>
      <c r="V2009" s="89"/>
      <c r="W2009" s="96">
        <v>0</v>
      </c>
      <c r="X2009" s="71">
        <f>CU2009</f>
        <v>0</v>
      </c>
      <c r="Y2009" s="71">
        <f>CY2009</f>
        <v>0</v>
      </c>
      <c r="Z2009" s="71">
        <f>DA2009+DC2009+DE2009</f>
        <v>0</v>
      </c>
      <c r="AA2009" s="71">
        <f>CW2009</f>
        <v>0</v>
      </c>
      <c r="AB2009" s="71"/>
      <c r="AC2009" s="71">
        <v>0</v>
      </c>
      <c r="AD2009" s="71">
        <f>W2009+X2009+Y2009+Z2009+AA2009+AB2009+AC2009</f>
        <v>0</v>
      </c>
      <c r="AE2009" s="72">
        <v>0</v>
      </c>
      <c r="AF2009" s="5"/>
      <c r="AG2009" s="6"/>
      <c r="AH2009" s="27" t="s">
        <v>3392</v>
      </c>
      <c r="AI2009" s="44" t="s">
        <v>3393</v>
      </c>
      <c r="AJ2009" s="26"/>
      <c r="AK2009" s="5"/>
      <c r="AL2009" s="82" t="s">
        <v>4815</v>
      </c>
      <c r="AM2009" s="76"/>
      <c r="AN2009" s="76"/>
      <c r="AO2009" s="76"/>
      <c r="AP2009" s="76"/>
      <c r="AQ2009" s="76"/>
      <c r="AR2009" s="76"/>
      <c r="AS2009" s="76"/>
      <c r="AT2009" s="76"/>
      <c r="AU2009" s="76"/>
      <c r="AV2009" s="76"/>
      <c r="AW2009" s="76"/>
      <c r="AX2009" s="76">
        <f>+AW2009*600000</f>
        <v>0</v>
      </c>
      <c r="AY2009" s="76"/>
      <c r="AZ2009" s="76">
        <f>+AY2009*70000</f>
        <v>0</v>
      </c>
      <c r="BA2009" s="76"/>
      <c r="BB2009" s="76"/>
      <c r="BC2009" s="76"/>
      <c r="BD2009" s="76">
        <f>+BC2009*30000</f>
        <v>0</v>
      </c>
      <c r="BE2009" s="76"/>
      <c r="BF2009" s="76"/>
      <c r="BG2009" s="76"/>
      <c r="BH2009" s="76"/>
      <c r="BI2009" s="76"/>
      <c r="BJ2009" s="76"/>
      <c r="BK2009" s="76"/>
      <c r="BL2009" s="76">
        <f>+BK2009*31500</f>
        <v>0</v>
      </c>
      <c r="BM2009" s="76"/>
      <c r="BN2009" s="76"/>
      <c r="BO2009" s="76"/>
      <c r="BP2009" s="76"/>
      <c r="BQ2009" s="76"/>
      <c r="BR2009" s="76"/>
      <c r="BS2009" s="76"/>
      <c r="BT2009" s="76"/>
      <c r="BU2009" s="76"/>
      <c r="BV2009" s="76"/>
      <c r="BW2009" s="76"/>
      <c r="BX2009" s="76"/>
      <c r="BY2009" s="76"/>
      <c r="BZ2009" s="76"/>
      <c r="CA2009" s="76"/>
      <c r="CB2009" s="76"/>
      <c r="CC2009" s="76"/>
      <c r="CD2009" s="76"/>
      <c r="CE2009" s="76"/>
      <c r="CF2009" s="76">
        <f>+CE2009*28000</f>
        <v>0</v>
      </c>
      <c r="CG2009" s="76"/>
      <c r="CH2009" s="76">
        <f>+CG2009*22500</f>
        <v>0</v>
      </c>
      <c r="CI2009" s="76"/>
      <c r="CJ2009" s="76">
        <f>+CI2009*26000</f>
        <v>0</v>
      </c>
      <c r="CK2009" s="76"/>
      <c r="CL2009" s="76"/>
      <c r="CM2009" s="76"/>
      <c r="CN2009" s="76">
        <f>+CM2009*22000</f>
        <v>0</v>
      </c>
      <c r="CO2009" s="76"/>
      <c r="CP2009" s="76">
        <f>+CO2009*46000</f>
        <v>0</v>
      </c>
      <c r="CQ2009" s="76"/>
      <c r="CR2009" s="76">
        <f>+CQ2009*49000</f>
        <v>0</v>
      </c>
      <c r="CS2009" s="76"/>
      <c r="CT2009" s="76"/>
      <c r="CU2009" s="56">
        <f>AN2009+AP2009+AR2009+AT2009+AV2009+AX2009+AZ2009+BB2009+BD2009+BF2009+BH2009+BJ2009+BL2009+BN2009+BP2009+BR2009+BT2009+BV2009+BX2009+BZ2009+CB2009+CD2009+CF2009+CH2009+CJ2009+CL2009+CN2009+CP2009+CR2009+CT2009</f>
        <v>0</v>
      </c>
      <c r="CV2009" s="76"/>
      <c r="CW2009" s="76">
        <f>+CV2009*1100</f>
        <v>0</v>
      </c>
      <c r="CX2009" s="76"/>
      <c r="CY2009" s="76">
        <f>+CX2009*106250</f>
        <v>0</v>
      </c>
      <c r="CZ2009" s="76"/>
      <c r="DA2009" s="76">
        <f>+CZ2009*34500</f>
        <v>0</v>
      </c>
      <c r="DB2009" s="76"/>
      <c r="DC2009" s="76">
        <f>+DB2009*25000</f>
        <v>0</v>
      </c>
      <c r="DD2009" s="219"/>
      <c r="DE2009" s="219"/>
      <c r="DF2009" s="166"/>
      <c r="DG2009" s="116"/>
      <c r="DH2009" s="117"/>
      <c r="DI2009" s="24"/>
      <c r="DJ2009" s="24"/>
      <c r="DK2009" s="24"/>
      <c r="DL2009" s="24"/>
      <c r="DM2009" s="24"/>
      <c r="DN2009" s="24"/>
      <c r="DO2009" s="24"/>
      <c r="DP2009" s="24"/>
      <c r="DQ2009" s="24"/>
      <c r="DR2009" s="24"/>
      <c r="DS2009" s="24"/>
      <c r="DT2009" s="24"/>
      <c r="DU2009" s="24"/>
    </row>
    <row r="2010" spans="1:125" s="8" customFormat="1" ht="72" x14ac:dyDescent="0.2">
      <c r="A2010" s="77">
        <v>41425</v>
      </c>
      <c r="B2010" s="78" t="s">
        <v>2847</v>
      </c>
      <c r="C2010" s="75" t="s">
        <v>1745</v>
      </c>
      <c r="D2010" s="75" t="s">
        <v>3051</v>
      </c>
      <c r="E2010" s="353" t="str">
        <f>VLOOKUP(B2010&amp;C2010,Divipola!$C$2:$F$1138,4,FALSE)</f>
        <v>68502</v>
      </c>
      <c r="F2010" s="163"/>
      <c r="G2010" s="163"/>
      <c r="H2010" s="163"/>
      <c r="I2010" s="163"/>
      <c r="J2010" s="163"/>
      <c r="K2010" s="163"/>
      <c r="L2010" s="163"/>
      <c r="M2010" s="163">
        <v>7</v>
      </c>
      <c r="N2010" s="163"/>
      <c r="O2010" s="163"/>
      <c r="P2010" s="163">
        <v>1</v>
      </c>
      <c r="Q2010" s="163"/>
      <c r="R2010" s="163"/>
      <c r="S2010" s="163"/>
      <c r="T2010" s="163"/>
      <c r="U2010" s="163"/>
      <c r="V2010" s="134"/>
      <c r="W2010" s="96">
        <v>0</v>
      </c>
      <c r="X2010" s="71">
        <f>CU2010</f>
        <v>0</v>
      </c>
      <c r="Y2010" s="71">
        <f>CY2010</f>
        <v>0</v>
      </c>
      <c r="Z2010" s="71">
        <f>DA2010+DC2010+DE2010</f>
        <v>144584283.12</v>
      </c>
      <c r="AA2010" s="71">
        <f>CW2010</f>
        <v>0</v>
      </c>
      <c r="AB2010" s="71"/>
      <c r="AC2010" s="71">
        <v>0</v>
      </c>
      <c r="AD2010" s="71">
        <f>W2010+X2010+Y2010+Z2010+AA2010+AB2010+AC2010</f>
        <v>144584283.12</v>
      </c>
      <c r="AE2010" s="72">
        <v>0</v>
      </c>
      <c r="AF2010" s="5"/>
      <c r="AG2010" s="6"/>
      <c r="AH2010" s="27"/>
      <c r="AI2010" s="44"/>
      <c r="AJ2010" s="26"/>
      <c r="AK2010" s="5"/>
      <c r="AL2010" s="82" t="s">
        <v>5322</v>
      </c>
      <c r="AM2010" s="76"/>
      <c r="AN2010" s="76"/>
      <c r="AO2010" s="76"/>
      <c r="AP2010" s="76"/>
      <c r="AQ2010" s="76"/>
      <c r="AR2010" s="76"/>
      <c r="AS2010" s="76"/>
      <c r="AT2010" s="76"/>
      <c r="AU2010" s="76"/>
      <c r="AV2010" s="76"/>
      <c r="AW2010" s="76"/>
      <c r="AX2010" s="76">
        <f>+AW2010*600000</f>
        <v>0</v>
      </c>
      <c r="AY2010" s="76"/>
      <c r="AZ2010" s="76">
        <f>+AY2010*70000</f>
        <v>0</v>
      </c>
      <c r="BA2010" s="76"/>
      <c r="BB2010" s="76"/>
      <c r="BC2010" s="76"/>
      <c r="BD2010" s="76">
        <f>+BC2010*30000</f>
        <v>0</v>
      </c>
      <c r="BE2010" s="76"/>
      <c r="BF2010" s="76"/>
      <c r="BG2010" s="76"/>
      <c r="BH2010" s="76"/>
      <c r="BI2010" s="76"/>
      <c r="BJ2010" s="76"/>
      <c r="BK2010" s="76"/>
      <c r="BL2010" s="76">
        <f>+BK2010*31500</f>
        <v>0</v>
      </c>
      <c r="BM2010" s="76"/>
      <c r="BN2010" s="76"/>
      <c r="BO2010" s="76"/>
      <c r="BP2010" s="76"/>
      <c r="BQ2010" s="76"/>
      <c r="BR2010" s="76"/>
      <c r="BS2010" s="76"/>
      <c r="BT2010" s="76"/>
      <c r="BU2010" s="76"/>
      <c r="BV2010" s="76"/>
      <c r="BW2010" s="76"/>
      <c r="BX2010" s="76"/>
      <c r="BY2010" s="76"/>
      <c r="BZ2010" s="76"/>
      <c r="CA2010" s="76"/>
      <c r="CB2010" s="76"/>
      <c r="CC2010" s="76"/>
      <c r="CD2010" s="76"/>
      <c r="CE2010" s="76"/>
      <c r="CF2010" s="76">
        <f>+CE2010*28000</f>
        <v>0</v>
      </c>
      <c r="CG2010" s="76"/>
      <c r="CH2010" s="76">
        <f>+CG2010*22500</f>
        <v>0</v>
      </c>
      <c r="CI2010" s="76"/>
      <c r="CJ2010" s="76">
        <f>+CI2010*26000</f>
        <v>0</v>
      </c>
      <c r="CK2010" s="76"/>
      <c r="CL2010" s="76"/>
      <c r="CM2010" s="76"/>
      <c r="CN2010" s="76">
        <f>+CM2010*22000</f>
        <v>0</v>
      </c>
      <c r="CO2010" s="76"/>
      <c r="CP2010" s="76">
        <f>+CO2010*46000</f>
        <v>0</v>
      </c>
      <c r="CQ2010" s="76"/>
      <c r="CR2010" s="76">
        <f>+CQ2010*49000</f>
        <v>0</v>
      </c>
      <c r="CS2010" s="76"/>
      <c r="CT2010" s="76"/>
      <c r="CU2010" s="56">
        <f>AN2010+AP2010+AR2010+AT2010+AV2010+AX2010+AZ2010+BB2010+BD2010+BF2010+BH2010+BJ2010+BL2010+BN2010+BP2010+BR2010+BT2010+BV2010+BX2010+BZ2010+CB2010+CD2010+CF2010+CH2010+CJ2010+CL2010+CN2010+CP2010+CR2010+CT2010</f>
        <v>0</v>
      </c>
      <c r="CV2010" s="76"/>
      <c r="CW2010" s="76">
        <f>+CV2010*1100</f>
        <v>0</v>
      </c>
      <c r="CX2010" s="76"/>
      <c r="CY2010" s="76">
        <f>+CX2010*106250</f>
        <v>0</v>
      </c>
      <c r="CZ2010" s="86">
        <v>60</v>
      </c>
      <c r="DA2010" s="86">
        <f>+CZ2010*34498.4</f>
        <v>2069904</v>
      </c>
      <c r="DB2010" s="76"/>
      <c r="DC2010" s="76">
        <f>+DB2010*25000</f>
        <v>0</v>
      </c>
      <c r="DD2010" s="221" t="s">
        <v>6513</v>
      </c>
      <c r="DE2010" s="223">
        <f>3*11426290+2000*1750+25*21982+4*4877.8+166*153700+500*105003.2+170*42363.2+504*27306.4+103*46690+10*32306+1*54348.32</f>
        <v>142514379.12</v>
      </c>
      <c r="DF2010" s="164"/>
      <c r="DG2010" s="134" t="s">
        <v>6514</v>
      </c>
      <c r="DH2010" s="117"/>
      <c r="DI2010" s="24"/>
      <c r="DJ2010" s="24"/>
      <c r="DK2010" s="24"/>
      <c r="DL2010" s="24"/>
      <c r="DM2010" s="24"/>
      <c r="DN2010" s="24"/>
      <c r="DO2010" s="24"/>
      <c r="DP2010" s="24"/>
      <c r="DQ2010" s="24"/>
      <c r="DR2010" s="24"/>
      <c r="DS2010" s="24"/>
      <c r="DT2010" s="24"/>
      <c r="DU2010" s="24"/>
    </row>
    <row r="2011" spans="1:125" s="8" customFormat="1" ht="120" x14ac:dyDescent="0.2">
      <c r="A2011" s="77">
        <v>41425</v>
      </c>
      <c r="B2011" s="78" t="s">
        <v>2847</v>
      </c>
      <c r="C2011" s="75" t="s">
        <v>2109</v>
      </c>
      <c r="D2011" s="75" t="s">
        <v>3017</v>
      </c>
      <c r="E2011" s="75" t="str">
        <f>VLOOKUP(B2011&amp;C2011,Divipola!$C$2:$F$1138,4,FALSE)</f>
        <v>68575</v>
      </c>
      <c r="F2011" s="163"/>
      <c r="G2011" s="163"/>
      <c r="H2011" s="163"/>
      <c r="I2011" s="163"/>
      <c r="J2011" s="163"/>
      <c r="K2011" s="163"/>
      <c r="L2011" s="163"/>
      <c r="M2011" s="163"/>
      <c r="N2011" s="163">
        <v>1</v>
      </c>
      <c r="O2011" s="163"/>
      <c r="P2011" s="163"/>
      <c r="Q2011" s="163"/>
      <c r="R2011" s="163"/>
      <c r="S2011" s="163"/>
      <c r="T2011" s="163"/>
      <c r="U2011" s="163"/>
      <c r="V2011" s="134"/>
      <c r="W2011" s="96">
        <v>0</v>
      </c>
      <c r="X2011" s="71">
        <f>CU2011</f>
        <v>0</v>
      </c>
      <c r="Y2011" s="71">
        <f>CY2011</f>
        <v>0</v>
      </c>
      <c r="Z2011" s="71">
        <f>DA2011+DC2011+DE2011</f>
        <v>0</v>
      </c>
      <c r="AA2011" s="71">
        <f>CW2011</f>
        <v>0</v>
      </c>
      <c r="AB2011" s="71"/>
      <c r="AC2011" s="71">
        <v>0</v>
      </c>
      <c r="AD2011" s="71">
        <f>W2011+X2011+Y2011+Z2011+AA2011+AB2011+AC2011</f>
        <v>0</v>
      </c>
      <c r="AE2011" s="72">
        <v>0</v>
      </c>
      <c r="AF2011" s="5"/>
      <c r="AG2011" s="6"/>
      <c r="AH2011" s="27" t="s">
        <v>3392</v>
      </c>
      <c r="AI2011" s="44" t="s">
        <v>3393</v>
      </c>
      <c r="AJ2011" s="26"/>
      <c r="AK2011" s="5"/>
      <c r="AL2011" s="82" t="s">
        <v>4830</v>
      </c>
      <c r="AM2011" s="76"/>
      <c r="AN2011" s="76"/>
      <c r="AO2011" s="76"/>
      <c r="AP2011" s="76"/>
      <c r="AQ2011" s="76"/>
      <c r="AR2011" s="76"/>
      <c r="AS2011" s="76"/>
      <c r="AT2011" s="76"/>
      <c r="AU2011" s="76"/>
      <c r="AV2011" s="76"/>
      <c r="AW2011" s="76"/>
      <c r="AX2011" s="76">
        <f>+AW2011*600000</f>
        <v>0</v>
      </c>
      <c r="AY2011" s="76"/>
      <c r="AZ2011" s="76">
        <f>+AY2011*70000</f>
        <v>0</v>
      </c>
      <c r="BA2011" s="76"/>
      <c r="BB2011" s="76"/>
      <c r="BC2011" s="76"/>
      <c r="BD2011" s="76">
        <f>+BC2011*30000</f>
        <v>0</v>
      </c>
      <c r="BE2011" s="76"/>
      <c r="BF2011" s="76"/>
      <c r="BG2011" s="76"/>
      <c r="BH2011" s="76"/>
      <c r="BI2011" s="76"/>
      <c r="BJ2011" s="76"/>
      <c r="BK2011" s="76"/>
      <c r="BL2011" s="76">
        <f>+BK2011*31500</f>
        <v>0</v>
      </c>
      <c r="BM2011" s="76"/>
      <c r="BN2011" s="76"/>
      <c r="BO2011" s="76"/>
      <c r="BP2011" s="76"/>
      <c r="BQ2011" s="76"/>
      <c r="BR2011" s="76"/>
      <c r="BS2011" s="76"/>
      <c r="BT2011" s="76"/>
      <c r="BU2011" s="76"/>
      <c r="BV2011" s="76"/>
      <c r="BW2011" s="76"/>
      <c r="BX2011" s="76"/>
      <c r="BY2011" s="76"/>
      <c r="BZ2011" s="76"/>
      <c r="CA2011" s="76"/>
      <c r="CB2011" s="76"/>
      <c r="CC2011" s="76"/>
      <c r="CD2011" s="76"/>
      <c r="CE2011" s="76"/>
      <c r="CF2011" s="76">
        <f>+CE2011*28000</f>
        <v>0</v>
      </c>
      <c r="CG2011" s="76"/>
      <c r="CH2011" s="76">
        <f>+CG2011*22500</f>
        <v>0</v>
      </c>
      <c r="CI2011" s="76"/>
      <c r="CJ2011" s="76">
        <f>+CI2011*26000</f>
        <v>0</v>
      </c>
      <c r="CK2011" s="76"/>
      <c r="CL2011" s="76"/>
      <c r="CM2011" s="76"/>
      <c r="CN2011" s="76">
        <f>+CM2011*22000</f>
        <v>0</v>
      </c>
      <c r="CO2011" s="76"/>
      <c r="CP2011" s="76">
        <f>+CO2011*46000</f>
        <v>0</v>
      </c>
      <c r="CQ2011" s="76"/>
      <c r="CR2011" s="76">
        <f>+CQ2011*49000</f>
        <v>0</v>
      </c>
      <c r="CS2011" s="76"/>
      <c r="CT2011" s="76"/>
      <c r="CU2011" s="56">
        <f>AN2011+AP2011+AR2011+AT2011+AV2011+AX2011+AZ2011+BB2011+BD2011+BF2011+BH2011+BJ2011+BL2011+BN2011+BP2011+BR2011+BT2011+BV2011+BX2011+BZ2011+CB2011+CD2011+CF2011+CH2011+CJ2011+CL2011+CN2011+CP2011+CR2011+CT2011</f>
        <v>0</v>
      </c>
      <c r="CV2011" s="76"/>
      <c r="CW2011" s="76">
        <f>+CV2011*1100</f>
        <v>0</v>
      </c>
      <c r="CX2011" s="76"/>
      <c r="CY2011" s="76">
        <f>+CX2011*106250</f>
        <v>0</v>
      </c>
      <c r="CZ2011" s="76"/>
      <c r="DA2011" s="76">
        <f>+CZ2011*34500</f>
        <v>0</v>
      </c>
      <c r="DB2011" s="76"/>
      <c r="DC2011" s="76">
        <f>+DB2011*25000</f>
        <v>0</v>
      </c>
      <c r="DD2011" s="219"/>
      <c r="DE2011" s="219"/>
      <c r="DF2011" s="166"/>
      <c r="DG2011" s="116"/>
      <c r="DH2011" s="117"/>
      <c r="DI2011" s="24"/>
      <c r="DJ2011" s="24"/>
      <c r="DK2011" s="24"/>
      <c r="DL2011" s="24"/>
      <c r="DM2011" s="24"/>
      <c r="DN2011" s="24"/>
      <c r="DO2011" s="24"/>
      <c r="DP2011" s="24"/>
      <c r="DQ2011" s="24"/>
      <c r="DR2011" s="24"/>
      <c r="DS2011" s="24"/>
      <c r="DT2011" s="24"/>
      <c r="DU2011" s="24"/>
    </row>
    <row r="2012" spans="1:125" s="8" customFormat="1" ht="84" x14ac:dyDescent="0.2">
      <c r="A2012" s="77">
        <v>41425</v>
      </c>
      <c r="B2012" s="225" t="s">
        <v>1326</v>
      </c>
      <c r="C2012" s="227" t="s">
        <v>1817</v>
      </c>
      <c r="D2012" s="227" t="s">
        <v>3051</v>
      </c>
      <c r="E2012" s="75" t="str">
        <f>VLOOKUP(B2012&amp;C2012,Divipola!$C$2:$F$1138,4,FALSE)</f>
        <v>70265</v>
      </c>
      <c r="F2012" s="87"/>
      <c r="G2012" s="87"/>
      <c r="H2012" s="87"/>
      <c r="I2012" s="87">
        <v>104</v>
      </c>
      <c r="J2012" s="87">
        <v>25</v>
      </c>
      <c r="K2012" s="87"/>
      <c r="L2012" s="87">
        <v>25</v>
      </c>
      <c r="M2012" s="87"/>
      <c r="N2012" s="87"/>
      <c r="O2012" s="87"/>
      <c r="P2012" s="87"/>
      <c r="Q2012" s="87"/>
      <c r="R2012" s="87"/>
      <c r="S2012" s="87"/>
      <c r="T2012" s="87"/>
      <c r="U2012" s="88">
        <v>150</v>
      </c>
      <c r="V2012" s="89"/>
      <c r="W2012" s="96">
        <v>0</v>
      </c>
      <c r="X2012" s="71">
        <f>CU2012</f>
        <v>0</v>
      </c>
      <c r="Y2012" s="71">
        <f>CY2012</f>
        <v>0</v>
      </c>
      <c r="Z2012" s="71">
        <f>DA2012+DC2012+DE2012</f>
        <v>0</v>
      </c>
      <c r="AA2012" s="71">
        <f>CW2012</f>
        <v>0</v>
      </c>
      <c r="AB2012" s="71"/>
      <c r="AC2012" s="71">
        <v>0</v>
      </c>
      <c r="AD2012" s="71">
        <f>W2012+X2012+Y2012+Z2012+AA2012+AB2012+AC2012</f>
        <v>0</v>
      </c>
      <c r="AE2012" s="72">
        <v>0</v>
      </c>
      <c r="AF2012" s="5"/>
      <c r="AG2012" s="6"/>
      <c r="AH2012" s="27" t="s">
        <v>3392</v>
      </c>
      <c r="AI2012" s="44" t="s">
        <v>3393</v>
      </c>
      <c r="AJ2012" s="26"/>
      <c r="AK2012" s="5"/>
      <c r="AL2012" s="82" t="s">
        <v>4839</v>
      </c>
      <c r="AM2012" s="76"/>
      <c r="AN2012" s="76"/>
      <c r="AO2012" s="76"/>
      <c r="AP2012" s="76"/>
      <c r="AQ2012" s="76"/>
      <c r="AR2012" s="76"/>
      <c r="AS2012" s="76"/>
      <c r="AT2012" s="76"/>
      <c r="AU2012" s="76"/>
      <c r="AV2012" s="76"/>
      <c r="AW2012" s="76"/>
      <c r="AX2012" s="76">
        <f>+AW2012*600000</f>
        <v>0</v>
      </c>
      <c r="AY2012" s="76"/>
      <c r="AZ2012" s="76">
        <f>+AY2012*70000</f>
        <v>0</v>
      </c>
      <c r="BA2012" s="76"/>
      <c r="BB2012" s="76"/>
      <c r="BC2012" s="76"/>
      <c r="BD2012" s="76">
        <f>+BC2012*30000</f>
        <v>0</v>
      </c>
      <c r="BE2012" s="76"/>
      <c r="BF2012" s="76"/>
      <c r="BG2012" s="76"/>
      <c r="BH2012" s="76"/>
      <c r="BI2012" s="76"/>
      <c r="BJ2012" s="76"/>
      <c r="BK2012" s="76"/>
      <c r="BL2012" s="76">
        <f>+BK2012*31500</f>
        <v>0</v>
      </c>
      <c r="BM2012" s="76"/>
      <c r="BN2012" s="76"/>
      <c r="BO2012" s="76"/>
      <c r="BP2012" s="76"/>
      <c r="BQ2012" s="76"/>
      <c r="BR2012" s="76"/>
      <c r="BS2012" s="76"/>
      <c r="BT2012" s="76"/>
      <c r="BU2012" s="76"/>
      <c r="BV2012" s="76"/>
      <c r="BW2012" s="76"/>
      <c r="BX2012" s="76"/>
      <c r="BY2012" s="76"/>
      <c r="BZ2012" s="76"/>
      <c r="CA2012" s="76"/>
      <c r="CB2012" s="76"/>
      <c r="CC2012" s="76"/>
      <c r="CD2012" s="76"/>
      <c r="CE2012" s="76"/>
      <c r="CF2012" s="76">
        <f>+CE2012*28000</f>
        <v>0</v>
      </c>
      <c r="CG2012" s="76"/>
      <c r="CH2012" s="76">
        <f>+CG2012*22500</f>
        <v>0</v>
      </c>
      <c r="CI2012" s="76"/>
      <c r="CJ2012" s="76">
        <f>+CI2012*26000</f>
        <v>0</v>
      </c>
      <c r="CK2012" s="76"/>
      <c r="CL2012" s="76"/>
      <c r="CM2012" s="76"/>
      <c r="CN2012" s="76">
        <f>+CM2012*22000</f>
        <v>0</v>
      </c>
      <c r="CO2012" s="76"/>
      <c r="CP2012" s="76">
        <f>+CO2012*46000</f>
        <v>0</v>
      </c>
      <c r="CQ2012" s="76"/>
      <c r="CR2012" s="76">
        <f>+CQ2012*49000</f>
        <v>0</v>
      </c>
      <c r="CS2012" s="76"/>
      <c r="CT2012" s="76"/>
      <c r="CU2012" s="56">
        <f>AN2012+AP2012+AR2012+AT2012+AV2012+AX2012+AZ2012+BB2012+BD2012+BF2012+BH2012+BJ2012+BL2012+BN2012+BP2012+BR2012+BT2012+BV2012+BX2012+BZ2012+CB2012+CD2012+CF2012+CH2012+CJ2012+CL2012+CN2012+CP2012+CR2012+CT2012</f>
        <v>0</v>
      </c>
      <c r="CV2012" s="76"/>
      <c r="CW2012" s="76">
        <f>+CV2012*1100</f>
        <v>0</v>
      </c>
      <c r="CX2012" s="76"/>
      <c r="CY2012" s="76">
        <f>+CX2012*106250</f>
        <v>0</v>
      </c>
      <c r="CZ2012" s="76"/>
      <c r="DA2012" s="76">
        <f>+CZ2012*34500</f>
        <v>0</v>
      </c>
      <c r="DB2012" s="76"/>
      <c r="DC2012" s="76">
        <f>+DB2012*25000</f>
        <v>0</v>
      </c>
      <c r="DD2012" s="219"/>
      <c r="DE2012" s="219"/>
      <c r="DF2012" s="166"/>
      <c r="DG2012" s="116"/>
      <c r="DH2012" s="117"/>
      <c r="DI2012" s="24"/>
      <c r="DJ2012" s="24"/>
      <c r="DK2012" s="24"/>
      <c r="DL2012" s="24"/>
      <c r="DM2012" s="24"/>
      <c r="DN2012" s="24"/>
      <c r="DO2012" s="24"/>
      <c r="DP2012" s="24"/>
      <c r="DQ2012" s="24"/>
      <c r="DR2012" s="24"/>
      <c r="DS2012" s="24"/>
      <c r="DT2012" s="24"/>
      <c r="DU2012" s="24"/>
    </row>
    <row r="2013" spans="1:125" s="8" customFormat="1" ht="84" x14ac:dyDescent="0.2">
      <c r="A2013" s="77">
        <v>41425</v>
      </c>
      <c r="B2013" s="352" t="s">
        <v>1326</v>
      </c>
      <c r="C2013" s="354" t="s">
        <v>1823</v>
      </c>
      <c r="D2013" s="354" t="s">
        <v>3051</v>
      </c>
      <c r="E2013" s="75" t="str">
        <f>VLOOKUP(B2013&amp;C2013,Divipola!$C$2:$F$1138,4,FALSE)</f>
        <v>70429</v>
      </c>
      <c r="F2013" s="87"/>
      <c r="G2013" s="87"/>
      <c r="H2013" s="87"/>
      <c r="I2013" s="87">
        <v>250</v>
      </c>
      <c r="J2013" s="87">
        <v>50</v>
      </c>
      <c r="K2013" s="87"/>
      <c r="L2013" s="87">
        <v>50</v>
      </c>
      <c r="M2013" s="87"/>
      <c r="N2013" s="87"/>
      <c r="O2013" s="87"/>
      <c r="P2013" s="87"/>
      <c r="Q2013" s="87"/>
      <c r="R2013" s="87"/>
      <c r="S2013" s="87"/>
      <c r="T2013" s="87"/>
      <c r="U2013" s="88"/>
      <c r="V2013" s="89"/>
      <c r="W2013" s="96">
        <v>0</v>
      </c>
      <c r="X2013" s="71">
        <f>CU2013</f>
        <v>0</v>
      </c>
      <c r="Y2013" s="71">
        <f>CY2013</f>
        <v>0</v>
      </c>
      <c r="Z2013" s="71">
        <f>DA2013+DC2013+DE2013</f>
        <v>0</v>
      </c>
      <c r="AA2013" s="71">
        <f>CW2013</f>
        <v>0</v>
      </c>
      <c r="AB2013" s="71"/>
      <c r="AC2013" s="71">
        <v>0</v>
      </c>
      <c r="AD2013" s="71">
        <f>W2013+X2013+Y2013+Z2013+AA2013+AB2013+AC2013</f>
        <v>0</v>
      </c>
      <c r="AE2013" s="72">
        <v>0</v>
      </c>
      <c r="AF2013" s="5"/>
      <c r="AG2013" s="6"/>
      <c r="AH2013" s="27" t="s">
        <v>3392</v>
      </c>
      <c r="AI2013" s="44" t="s">
        <v>3393</v>
      </c>
      <c r="AJ2013" s="26"/>
      <c r="AK2013" s="5"/>
      <c r="AL2013" s="82" t="s">
        <v>4826</v>
      </c>
      <c r="AM2013" s="76"/>
      <c r="AN2013" s="76"/>
      <c r="AO2013" s="76"/>
      <c r="AP2013" s="76"/>
      <c r="AQ2013" s="76"/>
      <c r="AR2013" s="76"/>
      <c r="AS2013" s="76"/>
      <c r="AT2013" s="76"/>
      <c r="AU2013" s="76"/>
      <c r="AV2013" s="76"/>
      <c r="AW2013" s="76"/>
      <c r="AX2013" s="76">
        <f>+AW2013*600000</f>
        <v>0</v>
      </c>
      <c r="AY2013" s="76"/>
      <c r="AZ2013" s="76">
        <f>+AY2013*70000</f>
        <v>0</v>
      </c>
      <c r="BA2013" s="76"/>
      <c r="BB2013" s="76"/>
      <c r="BC2013" s="76"/>
      <c r="BD2013" s="76">
        <f>+BC2013*30000</f>
        <v>0</v>
      </c>
      <c r="BE2013" s="76"/>
      <c r="BF2013" s="76"/>
      <c r="BG2013" s="76"/>
      <c r="BH2013" s="76"/>
      <c r="BI2013" s="76"/>
      <c r="BJ2013" s="76"/>
      <c r="BK2013" s="76"/>
      <c r="BL2013" s="76">
        <f>+BK2013*31500</f>
        <v>0</v>
      </c>
      <c r="BM2013" s="76"/>
      <c r="BN2013" s="76"/>
      <c r="BO2013" s="76"/>
      <c r="BP2013" s="76"/>
      <c r="BQ2013" s="76"/>
      <c r="BR2013" s="76"/>
      <c r="BS2013" s="76"/>
      <c r="BT2013" s="76"/>
      <c r="BU2013" s="76"/>
      <c r="BV2013" s="76"/>
      <c r="BW2013" s="76"/>
      <c r="BX2013" s="76"/>
      <c r="BY2013" s="76"/>
      <c r="BZ2013" s="76"/>
      <c r="CA2013" s="76"/>
      <c r="CB2013" s="76"/>
      <c r="CC2013" s="76"/>
      <c r="CD2013" s="76"/>
      <c r="CE2013" s="76"/>
      <c r="CF2013" s="76">
        <f>+CE2013*28000</f>
        <v>0</v>
      </c>
      <c r="CG2013" s="76"/>
      <c r="CH2013" s="76">
        <f>+CG2013*22500</f>
        <v>0</v>
      </c>
      <c r="CI2013" s="76"/>
      <c r="CJ2013" s="76">
        <f>+CI2013*26000</f>
        <v>0</v>
      </c>
      <c r="CK2013" s="76"/>
      <c r="CL2013" s="76"/>
      <c r="CM2013" s="76"/>
      <c r="CN2013" s="76">
        <f>+CM2013*22000</f>
        <v>0</v>
      </c>
      <c r="CO2013" s="76"/>
      <c r="CP2013" s="76">
        <f>+CO2013*46000</f>
        <v>0</v>
      </c>
      <c r="CQ2013" s="76"/>
      <c r="CR2013" s="76">
        <f>+CQ2013*49000</f>
        <v>0</v>
      </c>
      <c r="CS2013" s="76"/>
      <c r="CT2013" s="76"/>
      <c r="CU2013" s="56">
        <f>AN2013+AP2013+AR2013+AT2013+AV2013+AX2013+AZ2013+BB2013+BD2013+BF2013+BH2013+BJ2013+BL2013+BN2013+BP2013+BR2013+BT2013+BV2013+BX2013+BZ2013+CB2013+CD2013+CF2013+CH2013+CJ2013+CL2013+CN2013+CP2013+CR2013+CT2013</f>
        <v>0</v>
      </c>
      <c r="CV2013" s="76"/>
      <c r="CW2013" s="76">
        <f>+CV2013*1100</f>
        <v>0</v>
      </c>
      <c r="CX2013" s="76"/>
      <c r="CY2013" s="76">
        <f>+CX2013*106250</f>
        <v>0</v>
      </c>
      <c r="CZ2013" s="76"/>
      <c r="DA2013" s="76">
        <f>+CZ2013*34500</f>
        <v>0</v>
      </c>
      <c r="DB2013" s="76"/>
      <c r="DC2013" s="76">
        <f>+DB2013*25000</f>
        <v>0</v>
      </c>
      <c r="DD2013" s="219"/>
      <c r="DE2013" s="219"/>
      <c r="DF2013" s="166"/>
      <c r="DG2013" s="116"/>
      <c r="DH2013" s="117"/>
      <c r="DI2013" s="24"/>
      <c r="DJ2013" s="24"/>
      <c r="DK2013" s="24"/>
      <c r="DL2013" s="24"/>
      <c r="DM2013" s="24"/>
      <c r="DN2013" s="24"/>
      <c r="DO2013" s="24"/>
      <c r="DP2013" s="24"/>
      <c r="DQ2013" s="24"/>
      <c r="DR2013" s="24"/>
      <c r="DS2013" s="24"/>
      <c r="DT2013" s="24"/>
      <c r="DU2013" s="24"/>
    </row>
    <row r="2014" spans="1:125" s="8" customFormat="1" ht="72" x14ac:dyDescent="0.2">
      <c r="A2014" s="77">
        <v>41425</v>
      </c>
      <c r="B2014" s="78" t="s">
        <v>1326</v>
      </c>
      <c r="C2014" s="75" t="s">
        <v>1326</v>
      </c>
      <c r="D2014" s="75" t="s">
        <v>3051</v>
      </c>
      <c r="E2014" s="75" t="str">
        <f>VLOOKUP(B2014&amp;C2014,Divipola!$C$2:$F$1138,4,FALSE)</f>
        <v>70771</v>
      </c>
      <c r="F2014" s="87"/>
      <c r="G2014" s="87"/>
      <c r="H2014" s="87"/>
      <c r="I2014" s="87"/>
      <c r="J2014" s="87"/>
      <c r="K2014" s="87"/>
      <c r="L2014" s="87"/>
      <c r="M2014" s="87"/>
      <c r="N2014" s="87"/>
      <c r="O2014" s="87"/>
      <c r="P2014" s="87"/>
      <c r="Q2014" s="87"/>
      <c r="R2014" s="87"/>
      <c r="S2014" s="191"/>
      <c r="T2014" s="87"/>
      <c r="U2014" s="88"/>
      <c r="V2014" s="89"/>
      <c r="W2014" s="96">
        <v>0</v>
      </c>
      <c r="X2014" s="71">
        <f>CU2014</f>
        <v>0</v>
      </c>
      <c r="Y2014" s="71">
        <f>CY2014</f>
        <v>0</v>
      </c>
      <c r="Z2014" s="71">
        <f>DA2014+DC2014+DE2014</f>
        <v>0</v>
      </c>
      <c r="AA2014" s="71">
        <f>CW2014</f>
        <v>0</v>
      </c>
      <c r="AB2014" s="71"/>
      <c r="AC2014" s="71">
        <v>0</v>
      </c>
      <c r="AD2014" s="71">
        <f>W2014+X2014+Y2014+Z2014+AA2014+AB2014+AC2014</f>
        <v>0</v>
      </c>
      <c r="AE2014" s="72">
        <v>0</v>
      </c>
      <c r="AF2014" s="5"/>
      <c r="AG2014" s="6"/>
      <c r="AH2014" s="27" t="s">
        <v>3392</v>
      </c>
      <c r="AI2014" s="44" t="s">
        <v>3393</v>
      </c>
      <c r="AJ2014" s="26"/>
      <c r="AK2014" s="5"/>
      <c r="AL2014" s="82" t="s">
        <v>4827</v>
      </c>
      <c r="AM2014" s="76"/>
      <c r="AN2014" s="76"/>
      <c r="AO2014" s="76"/>
      <c r="AP2014" s="76"/>
      <c r="AQ2014" s="76"/>
      <c r="AR2014" s="76"/>
      <c r="AS2014" s="76"/>
      <c r="AT2014" s="76"/>
      <c r="AU2014" s="76"/>
      <c r="AV2014" s="76"/>
      <c r="AW2014" s="76"/>
      <c r="AX2014" s="76">
        <f>+AW2014*600000</f>
        <v>0</v>
      </c>
      <c r="AY2014" s="76"/>
      <c r="AZ2014" s="76">
        <f>+AY2014*70000</f>
        <v>0</v>
      </c>
      <c r="BA2014" s="76"/>
      <c r="BB2014" s="76"/>
      <c r="BC2014" s="76"/>
      <c r="BD2014" s="76">
        <f>+BC2014*30000</f>
        <v>0</v>
      </c>
      <c r="BE2014" s="76"/>
      <c r="BF2014" s="76"/>
      <c r="BG2014" s="76"/>
      <c r="BH2014" s="76"/>
      <c r="BI2014" s="76"/>
      <c r="BJ2014" s="76"/>
      <c r="BK2014" s="76"/>
      <c r="BL2014" s="76">
        <f>+BK2014*31500</f>
        <v>0</v>
      </c>
      <c r="BM2014" s="76"/>
      <c r="BN2014" s="76"/>
      <c r="BO2014" s="76"/>
      <c r="BP2014" s="76"/>
      <c r="BQ2014" s="76"/>
      <c r="BR2014" s="76"/>
      <c r="BS2014" s="76"/>
      <c r="BT2014" s="76"/>
      <c r="BU2014" s="76"/>
      <c r="BV2014" s="76"/>
      <c r="BW2014" s="76"/>
      <c r="BX2014" s="76"/>
      <c r="BY2014" s="76"/>
      <c r="BZ2014" s="76"/>
      <c r="CA2014" s="76"/>
      <c r="CB2014" s="76"/>
      <c r="CC2014" s="76"/>
      <c r="CD2014" s="76"/>
      <c r="CE2014" s="76"/>
      <c r="CF2014" s="76">
        <f>+CE2014*28000</f>
        <v>0</v>
      </c>
      <c r="CG2014" s="76"/>
      <c r="CH2014" s="76">
        <f>+CG2014*22500</f>
        <v>0</v>
      </c>
      <c r="CI2014" s="76"/>
      <c r="CJ2014" s="76">
        <f>+CI2014*26000</f>
        <v>0</v>
      </c>
      <c r="CK2014" s="76"/>
      <c r="CL2014" s="76"/>
      <c r="CM2014" s="76"/>
      <c r="CN2014" s="76">
        <f>+CM2014*22000</f>
        <v>0</v>
      </c>
      <c r="CO2014" s="76"/>
      <c r="CP2014" s="76">
        <f>+CO2014*46000</f>
        <v>0</v>
      </c>
      <c r="CQ2014" s="76"/>
      <c r="CR2014" s="76">
        <f>+CQ2014*49000</f>
        <v>0</v>
      </c>
      <c r="CS2014" s="76"/>
      <c r="CT2014" s="76"/>
      <c r="CU2014" s="56">
        <f>AN2014+AP2014+AR2014+AT2014+AV2014+AX2014+AZ2014+BB2014+BD2014+BF2014+BH2014+BJ2014+BL2014+BN2014+BP2014+BR2014+BT2014+BV2014+BX2014+BZ2014+CB2014+CD2014+CF2014+CH2014+CJ2014+CL2014+CN2014+CP2014+CR2014+CT2014</f>
        <v>0</v>
      </c>
      <c r="CV2014" s="76"/>
      <c r="CW2014" s="76">
        <f>+CV2014*1100</f>
        <v>0</v>
      </c>
      <c r="CX2014" s="76"/>
      <c r="CY2014" s="76">
        <f>+CX2014*106250</f>
        <v>0</v>
      </c>
      <c r="CZ2014" s="76"/>
      <c r="DA2014" s="76">
        <f>+CZ2014*34500</f>
        <v>0</v>
      </c>
      <c r="DB2014" s="76"/>
      <c r="DC2014" s="76">
        <f>+DB2014*25000</f>
        <v>0</v>
      </c>
      <c r="DD2014" s="219"/>
      <c r="DE2014" s="219"/>
      <c r="DF2014" s="166"/>
      <c r="DG2014" s="116"/>
      <c r="DH2014" s="117"/>
      <c r="DI2014" s="24"/>
      <c r="DJ2014" s="24"/>
      <c r="DK2014" s="24"/>
      <c r="DL2014" s="24"/>
      <c r="DM2014" s="24"/>
      <c r="DN2014" s="24"/>
      <c r="DO2014" s="24"/>
      <c r="DP2014" s="24"/>
      <c r="DQ2014" s="24"/>
      <c r="DR2014" s="24"/>
      <c r="DS2014" s="24"/>
      <c r="DT2014" s="24"/>
      <c r="DU2014" s="24"/>
    </row>
    <row r="2015" spans="1:125" s="8" customFormat="1" ht="336" x14ac:dyDescent="0.2">
      <c r="A2015" s="77">
        <v>41425</v>
      </c>
      <c r="B2015" s="225" t="s">
        <v>2851</v>
      </c>
      <c r="C2015" s="227" t="s">
        <v>2754</v>
      </c>
      <c r="D2015" s="227" t="s">
        <v>3051</v>
      </c>
      <c r="E2015" s="75" t="str">
        <f>VLOOKUP(B2015&amp;C2015,Divipola!$C$2:$F$1138,4,FALSE)</f>
        <v>76109</v>
      </c>
      <c r="F2015" s="87"/>
      <c r="G2015" s="87"/>
      <c r="H2015" s="87"/>
      <c r="I2015" s="87">
        <v>545</v>
      </c>
      <c r="J2015" s="87">
        <v>109</v>
      </c>
      <c r="K2015" s="87">
        <v>3</v>
      </c>
      <c r="L2015" s="87">
        <v>106</v>
      </c>
      <c r="M2015" s="87"/>
      <c r="N2015" s="87"/>
      <c r="O2015" s="87">
        <v>1</v>
      </c>
      <c r="P2015" s="87"/>
      <c r="Q2015" s="87"/>
      <c r="R2015" s="87"/>
      <c r="S2015" s="87"/>
      <c r="T2015" s="87"/>
      <c r="U2015" s="88"/>
      <c r="V2015" s="89"/>
      <c r="W2015" s="96">
        <v>0</v>
      </c>
      <c r="X2015" s="71">
        <f>CU2015</f>
        <v>0</v>
      </c>
      <c r="Y2015" s="71">
        <f>CY2015</f>
        <v>0</v>
      </c>
      <c r="Z2015" s="71">
        <f>DA2015+DC2015+DE2015</f>
        <v>0</v>
      </c>
      <c r="AA2015" s="71">
        <f>CW2015</f>
        <v>0</v>
      </c>
      <c r="AB2015" s="71"/>
      <c r="AC2015" s="71">
        <v>0</v>
      </c>
      <c r="AD2015" s="71">
        <f>W2015+X2015+Y2015+Z2015+AA2015+AB2015+AC2015</f>
        <v>0</v>
      </c>
      <c r="AE2015" s="72">
        <v>0</v>
      </c>
      <c r="AF2015" s="5"/>
      <c r="AG2015" s="6"/>
      <c r="AH2015" s="27" t="s">
        <v>3392</v>
      </c>
      <c r="AI2015" s="44" t="s">
        <v>3393</v>
      </c>
      <c r="AJ2015" s="26"/>
      <c r="AK2015" s="5"/>
      <c r="AL2015" s="82" t="s">
        <v>4833</v>
      </c>
      <c r="AM2015" s="76"/>
      <c r="AN2015" s="76"/>
      <c r="AO2015" s="76"/>
      <c r="AP2015" s="76"/>
      <c r="AQ2015" s="76"/>
      <c r="AR2015" s="76"/>
      <c r="AS2015" s="76"/>
      <c r="AT2015" s="76"/>
      <c r="AU2015" s="76"/>
      <c r="AV2015" s="76"/>
      <c r="AW2015" s="76"/>
      <c r="AX2015" s="76">
        <f>+AW2015*600000</f>
        <v>0</v>
      </c>
      <c r="AY2015" s="76"/>
      <c r="AZ2015" s="76">
        <f>+AY2015*70000</f>
        <v>0</v>
      </c>
      <c r="BA2015" s="76"/>
      <c r="BB2015" s="76"/>
      <c r="BC2015" s="76"/>
      <c r="BD2015" s="76">
        <f>+BC2015*30000</f>
        <v>0</v>
      </c>
      <c r="BE2015" s="76"/>
      <c r="BF2015" s="76"/>
      <c r="BG2015" s="76"/>
      <c r="BH2015" s="76"/>
      <c r="BI2015" s="76"/>
      <c r="BJ2015" s="76"/>
      <c r="BK2015" s="76"/>
      <c r="BL2015" s="76">
        <f>+BK2015*31500</f>
        <v>0</v>
      </c>
      <c r="BM2015" s="76"/>
      <c r="BN2015" s="76"/>
      <c r="BO2015" s="76"/>
      <c r="BP2015" s="76"/>
      <c r="BQ2015" s="76"/>
      <c r="BR2015" s="76"/>
      <c r="BS2015" s="76"/>
      <c r="BT2015" s="76"/>
      <c r="BU2015" s="76"/>
      <c r="BV2015" s="76"/>
      <c r="BW2015" s="76"/>
      <c r="BX2015" s="76"/>
      <c r="BY2015" s="76"/>
      <c r="BZ2015" s="76"/>
      <c r="CA2015" s="76"/>
      <c r="CB2015" s="76"/>
      <c r="CC2015" s="76"/>
      <c r="CD2015" s="76"/>
      <c r="CE2015" s="76"/>
      <c r="CF2015" s="76">
        <f>+CE2015*28000</f>
        <v>0</v>
      </c>
      <c r="CG2015" s="76"/>
      <c r="CH2015" s="76">
        <f>+CG2015*22500</f>
        <v>0</v>
      </c>
      <c r="CI2015" s="76"/>
      <c r="CJ2015" s="76">
        <f>+CI2015*26000</f>
        <v>0</v>
      </c>
      <c r="CK2015" s="76"/>
      <c r="CL2015" s="76"/>
      <c r="CM2015" s="76"/>
      <c r="CN2015" s="76">
        <f>+CM2015*22000</f>
        <v>0</v>
      </c>
      <c r="CO2015" s="76"/>
      <c r="CP2015" s="76">
        <f>+CO2015*46000</f>
        <v>0</v>
      </c>
      <c r="CQ2015" s="76"/>
      <c r="CR2015" s="76">
        <f>+CQ2015*49000</f>
        <v>0</v>
      </c>
      <c r="CS2015" s="76"/>
      <c r="CT2015" s="76"/>
      <c r="CU2015" s="56">
        <f>AN2015+AP2015+AR2015+AT2015+AV2015+AX2015+AZ2015+BB2015+BD2015+BF2015+BH2015+BJ2015+BL2015+BN2015+BP2015+BR2015+BT2015+BV2015+BX2015+BZ2015+CB2015+CD2015+CF2015+CH2015+CJ2015+CL2015+CN2015+CP2015+CR2015+CT2015</f>
        <v>0</v>
      </c>
      <c r="CV2015" s="76"/>
      <c r="CW2015" s="76">
        <f>+CV2015*1100</f>
        <v>0</v>
      </c>
      <c r="CX2015" s="76"/>
      <c r="CY2015" s="76">
        <f>+CX2015*106250</f>
        <v>0</v>
      </c>
      <c r="CZ2015" s="76"/>
      <c r="DA2015" s="76">
        <f>+CZ2015*34500</f>
        <v>0</v>
      </c>
      <c r="DB2015" s="76"/>
      <c r="DC2015" s="76">
        <f>+DB2015*25000</f>
        <v>0</v>
      </c>
      <c r="DD2015" s="219"/>
      <c r="DE2015" s="219"/>
      <c r="DF2015" s="166"/>
      <c r="DG2015" s="116"/>
      <c r="DH2015" s="117"/>
      <c r="DI2015" s="24"/>
      <c r="DJ2015" s="24"/>
      <c r="DK2015" s="24"/>
      <c r="DL2015" s="24"/>
      <c r="DM2015" s="24"/>
      <c r="DN2015" s="24"/>
      <c r="DO2015" s="24"/>
      <c r="DP2015" s="24"/>
      <c r="DQ2015" s="24"/>
      <c r="DR2015" s="24"/>
      <c r="DS2015" s="24"/>
      <c r="DT2015" s="24"/>
      <c r="DU2015" s="24"/>
    </row>
    <row r="2016" spans="1:125" s="8" customFormat="1" ht="120" x14ac:dyDescent="0.2">
      <c r="A2016" s="77">
        <v>41425</v>
      </c>
      <c r="B2016" s="352" t="s">
        <v>2851</v>
      </c>
      <c r="C2016" s="354" t="s">
        <v>1937</v>
      </c>
      <c r="D2016" s="354" t="s">
        <v>3051</v>
      </c>
      <c r="E2016" s="75" t="str">
        <f>VLOOKUP(B2016&amp;C2016,Divipola!$C$2:$F$1138,4,FALSE)</f>
        <v>76122</v>
      </c>
      <c r="F2016" s="87"/>
      <c r="G2016" s="87"/>
      <c r="H2016" s="87"/>
      <c r="I2016" s="87"/>
      <c r="J2016" s="87"/>
      <c r="K2016" s="87"/>
      <c r="L2016" s="87"/>
      <c r="M2016" s="87"/>
      <c r="N2016" s="87"/>
      <c r="O2016" s="87"/>
      <c r="P2016" s="87"/>
      <c r="Q2016" s="87"/>
      <c r="R2016" s="87"/>
      <c r="S2016" s="87"/>
      <c r="T2016" s="87"/>
      <c r="U2016" s="88"/>
      <c r="V2016" s="89">
        <v>1</v>
      </c>
      <c r="W2016" s="96">
        <v>0</v>
      </c>
      <c r="X2016" s="71">
        <f>CU2016</f>
        <v>0</v>
      </c>
      <c r="Y2016" s="71">
        <f>CY2016</f>
        <v>0</v>
      </c>
      <c r="Z2016" s="71">
        <f>DA2016+DC2016+DE2016</f>
        <v>0</v>
      </c>
      <c r="AA2016" s="71">
        <f>CW2016</f>
        <v>0</v>
      </c>
      <c r="AB2016" s="71"/>
      <c r="AC2016" s="71">
        <v>0</v>
      </c>
      <c r="AD2016" s="71">
        <f>W2016+X2016+Y2016+Z2016+AA2016+AB2016+AC2016</f>
        <v>0</v>
      </c>
      <c r="AE2016" s="72">
        <v>0</v>
      </c>
      <c r="AF2016" s="5"/>
      <c r="AG2016" s="6"/>
      <c r="AH2016" s="27" t="s">
        <v>3392</v>
      </c>
      <c r="AI2016" s="44" t="s">
        <v>3393</v>
      </c>
      <c r="AJ2016" s="26"/>
      <c r="AK2016" s="5"/>
      <c r="AL2016" s="82" t="s">
        <v>4832</v>
      </c>
      <c r="AM2016" s="76"/>
      <c r="AN2016" s="76"/>
      <c r="AO2016" s="76"/>
      <c r="AP2016" s="76"/>
      <c r="AQ2016" s="76"/>
      <c r="AR2016" s="76"/>
      <c r="AS2016" s="76"/>
      <c r="AT2016" s="76"/>
      <c r="AU2016" s="76"/>
      <c r="AV2016" s="76"/>
      <c r="AW2016" s="76"/>
      <c r="AX2016" s="76">
        <f>+AW2016*600000</f>
        <v>0</v>
      </c>
      <c r="AY2016" s="76"/>
      <c r="AZ2016" s="76">
        <f>+AY2016*70000</f>
        <v>0</v>
      </c>
      <c r="BA2016" s="76"/>
      <c r="BB2016" s="76"/>
      <c r="BC2016" s="76"/>
      <c r="BD2016" s="76">
        <f>+BC2016*30000</f>
        <v>0</v>
      </c>
      <c r="BE2016" s="76"/>
      <c r="BF2016" s="76"/>
      <c r="BG2016" s="76"/>
      <c r="BH2016" s="76"/>
      <c r="BI2016" s="76"/>
      <c r="BJ2016" s="76"/>
      <c r="BK2016" s="76"/>
      <c r="BL2016" s="76">
        <f>+BK2016*31500</f>
        <v>0</v>
      </c>
      <c r="BM2016" s="76"/>
      <c r="BN2016" s="76"/>
      <c r="BO2016" s="76"/>
      <c r="BP2016" s="76"/>
      <c r="BQ2016" s="76"/>
      <c r="BR2016" s="76"/>
      <c r="BS2016" s="76"/>
      <c r="BT2016" s="76"/>
      <c r="BU2016" s="76"/>
      <c r="BV2016" s="76"/>
      <c r="BW2016" s="76"/>
      <c r="BX2016" s="76"/>
      <c r="BY2016" s="76"/>
      <c r="BZ2016" s="76"/>
      <c r="CA2016" s="76"/>
      <c r="CB2016" s="76"/>
      <c r="CC2016" s="76"/>
      <c r="CD2016" s="76"/>
      <c r="CE2016" s="76"/>
      <c r="CF2016" s="76">
        <f>+CE2016*28000</f>
        <v>0</v>
      </c>
      <c r="CG2016" s="76"/>
      <c r="CH2016" s="76">
        <f>+CG2016*22500</f>
        <v>0</v>
      </c>
      <c r="CI2016" s="76"/>
      <c r="CJ2016" s="76">
        <f>+CI2016*26000</f>
        <v>0</v>
      </c>
      <c r="CK2016" s="76"/>
      <c r="CL2016" s="76"/>
      <c r="CM2016" s="76"/>
      <c r="CN2016" s="76">
        <f>+CM2016*22000</f>
        <v>0</v>
      </c>
      <c r="CO2016" s="76"/>
      <c r="CP2016" s="76">
        <f>+CO2016*46000</f>
        <v>0</v>
      </c>
      <c r="CQ2016" s="76"/>
      <c r="CR2016" s="76">
        <f>+CQ2016*49000</f>
        <v>0</v>
      </c>
      <c r="CS2016" s="76"/>
      <c r="CT2016" s="76"/>
      <c r="CU2016" s="56">
        <f>AN2016+AP2016+AR2016+AT2016+AV2016+AX2016+AZ2016+BB2016+BD2016+BF2016+BH2016+BJ2016+BL2016+BN2016+BP2016+BR2016+BT2016+BV2016+BX2016+BZ2016+CB2016+CD2016+CF2016+CH2016+CJ2016+CL2016+CN2016+CP2016+CR2016+CT2016</f>
        <v>0</v>
      </c>
      <c r="CV2016" s="76"/>
      <c r="CW2016" s="76">
        <f>+CV2016*1100</f>
        <v>0</v>
      </c>
      <c r="CX2016" s="76"/>
      <c r="CY2016" s="76">
        <f>+CX2016*106250</f>
        <v>0</v>
      </c>
      <c r="CZ2016" s="76"/>
      <c r="DA2016" s="76">
        <f>+CZ2016*34500</f>
        <v>0</v>
      </c>
      <c r="DB2016" s="76"/>
      <c r="DC2016" s="76">
        <f>+DB2016*25000</f>
        <v>0</v>
      </c>
      <c r="DD2016" s="219"/>
      <c r="DE2016" s="219"/>
      <c r="DF2016" s="166"/>
      <c r="DG2016" s="116"/>
      <c r="DH2016" s="117"/>
      <c r="DI2016" s="24"/>
      <c r="DJ2016" s="24"/>
      <c r="DK2016" s="24"/>
      <c r="DL2016" s="24"/>
      <c r="DM2016" s="24"/>
      <c r="DN2016" s="24"/>
      <c r="DO2016" s="24"/>
      <c r="DP2016" s="24"/>
      <c r="DQ2016" s="24"/>
      <c r="DR2016" s="24"/>
      <c r="DS2016" s="24"/>
      <c r="DT2016" s="24"/>
      <c r="DU2016" s="24"/>
    </row>
    <row r="2017" spans="1:125" s="8" customFormat="1" ht="84" x14ac:dyDescent="0.2">
      <c r="A2017" s="353">
        <v>41425</v>
      </c>
      <c r="B2017" s="352" t="s">
        <v>2851</v>
      </c>
      <c r="C2017" s="354" t="s">
        <v>2667</v>
      </c>
      <c r="D2017" s="354" t="s">
        <v>3051</v>
      </c>
      <c r="E2017" s="75" t="str">
        <f>VLOOKUP(B2017&amp;C2017,Divipola!$C$2:$F$1138,4,FALSE)</f>
        <v>76364</v>
      </c>
      <c r="F2017" s="100"/>
      <c r="G2017" s="100"/>
      <c r="H2017" s="100"/>
      <c r="I2017" s="100">
        <v>460</v>
      </c>
      <c r="J2017" s="100">
        <v>92</v>
      </c>
      <c r="K2017" s="100"/>
      <c r="L2017" s="100">
        <v>92</v>
      </c>
      <c r="M2017" s="100"/>
      <c r="N2017" s="100"/>
      <c r="O2017" s="100"/>
      <c r="P2017" s="100"/>
      <c r="Q2017" s="100"/>
      <c r="R2017" s="100"/>
      <c r="S2017" s="100"/>
      <c r="T2017" s="100"/>
      <c r="U2017" s="136"/>
      <c r="V2017" s="89"/>
      <c r="W2017" s="96">
        <v>0</v>
      </c>
      <c r="X2017" s="71">
        <f>CU2017</f>
        <v>0</v>
      </c>
      <c r="Y2017" s="71">
        <f>CY2017</f>
        <v>0</v>
      </c>
      <c r="Z2017" s="71">
        <f>DA2017+DC2017+DE2017</f>
        <v>0</v>
      </c>
      <c r="AA2017" s="71">
        <f>CW2017</f>
        <v>0</v>
      </c>
      <c r="AB2017" s="71"/>
      <c r="AC2017" s="71">
        <v>0</v>
      </c>
      <c r="AD2017" s="71">
        <f>W2017+X2017+Y2017+Z2017+AA2017+AB2017+AC2017</f>
        <v>0</v>
      </c>
      <c r="AE2017" s="72">
        <v>0</v>
      </c>
      <c r="AF2017" s="5"/>
      <c r="AG2017" s="6"/>
      <c r="AH2017" s="27" t="s">
        <v>3392</v>
      </c>
      <c r="AI2017" s="44" t="s">
        <v>3393</v>
      </c>
      <c r="AJ2017" s="26"/>
      <c r="AK2017" s="5"/>
      <c r="AL2017" s="82" t="s">
        <v>4829</v>
      </c>
      <c r="AM2017" s="76"/>
      <c r="AN2017" s="76"/>
      <c r="AO2017" s="76"/>
      <c r="AP2017" s="76"/>
      <c r="AQ2017" s="76"/>
      <c r="AR2017" s="76"/>
      <c r="AS2017" s="76"/>
      <c r="AT2017" s="76"/>
      <c r="AU2017" s="76"/>
      <c r="AV2017" s="76"/>
      <c r="AW2017" s="76"/>
      <c r="AX2017" s="76">
        <f>+AW2017*600000</f>
        <v>0</v>
      </c>
      <c r="AY2017" s="76"/>
      <c r="AZ2017" s="76">
        <f>+AY2017*70000</f>
        <v>0</v>
      </c>
      <c r="BA2017" s="76"/>
      <c r="BB2017" s="76"/>
      <c r="BC2017" s="76"/>
      <c r="BD2017" s="76">
        <f>+BC2017*30000</f>
        <v>0</v>
      </c>
      <c r="BE2017" s="76"/>
      <c r="BF2017" s="76"/>
      <c r="BG2017" s="76"/>
      <c r="BH2017" s="76"/>
      <c r="BI2017" s="76"/>
      <c r="BJ2017" s="76"/>
      <c r="BK2017" s="76"/>
      <c r="BL2017" s="76">
        <f>+BK2017*31500</f>
        <v>0</v>
      </c>
      <c r="BM2017" s="76"/>
      <c r="BN2017" s="76"/>
      <c r="BO2017" s="76"/>
      <c r="BP2017" s="76"/>
      <c r="BQ2017" s="76"/>
      <c r="BR2017" s="76"/>
      <c r="BS2017" s="76"/>
      <c r="BT2017" s="76"/>
      <c r="BU2017" s="76"/>
      <c r="BV2017" s="76"/>
      <c r="BW2017" s="76"/>
      <c r="BX2017" s="76"/>
      <c r="BY2017" s="76"/>
      <c r="BZ2017" s="76"/>
      <c r="CA2017" s="76"/>
      <c r="CB2017" s="76"/>
      <c r="CC2017" s="76"/>
      <c r="CD2017" s="76"/>
      <c r="CE2017" s="76"/>
      <c r="CF2017" s="76">
        <f>+CE2017*28000</f>
        <v>0</v>
      </c>
      <c r="CG2017" s="76"/>
      <c r="CH2017" s="76">
        <f>+CG2017*22500</f>
        <v>0</v>
      </c>
      <c r="CI2017" s="76"/>
      <c r="CJ2017" s="76">
        <f>+CI2017*26000</f>
        <v>0</v>
      </c>
      <c r="CK2017" s="76"/>
      <c r="CL2017" s="76"/>
      <c r="CM2017" s="76"/>
      <c r="CN2017" s="76">
        <f>+CM2017*22000</f>
        <v>0</v>
      </c>
      <c r="CO2017" s="76"/>
      <c r="CP2017" s="76">
        <f>+CO2017*46000</f>
        <v>0</v>
      </c>
      <c r="CQ2017" s="76"/>
      <c r="CR2017" s="76">
        <f>+CQ2017*49000</f>
        <v>0</v>
      </c>
      <c r="CS2017" s="76"/>
      <c r="CT2017" s="76"/>
      <c r="CU2017" s="56">
        <f>AN2017+AP2017+AR2017+AT2017+AV2017+AX2017+AZ2017+BB2017+BD2017+BF2017+BH2017+BJ2017+BL2017+BN2017+BP2017+BR2017+BT2017+BV2017+BX2017+BZ2017+CB2017+CD2017+CF2017+CH2017+CJ2017+CL2017+CN2017+CP2017+CR2017+CT2017</f>
        <v>0</v>
      </c>
      <c r="CV2017" s="76"/>
      <c r="CW2017" s="76">
        <f>+CV2017*1100</f>
        <v>0</v>
      </c>
      <c r="CX2017" s="76"/>
      <c r="CY2017" s="76">
        <f>+CX2017*106250</f>
        <v>0</v>
      </c>
      <c r="CZ2017" s="76"/>
      <c r="DA2017" s="76">
        <f>+CZ2017*34500</f>
        <v>0</v>
      </c>
      <c r="DB2017" s="76"/>
      <c r="DC2017" s="76">
        <f>+DB2017*25000</f>
        <v>0</v>
      </c>
      <c r="DD2017" s="219"/>
      <c r="DE2017" s="219"/>
      <c r="DF2017" s="166"/>
      <c r="DG2017" s="116"/>
      <c r="DH2017" s="117"/>
      <c r="DI2017" s="24"/>
      <c r="DJ2017" s="24"/>
      <c r="DK2017" s="24"/>
      <c r="DL2017" s="24"/>
      <c r="DM2017" s="24"/>
      <c r="DN2017" s="24"/>
      <c r="DO2017" s="24"/>
      <c r="DP2017" s="24"/>
      <c r="DQ2017" s="24"/>
      <c r="DR2017" s="24"/>
      <c r="DS2017" s="24"/>
      <c r="DT2017" s="24"/>
      <c r="DU2017" s="24"/>
    </row>
    <row r="2018" spans="1:125" s="8" customFormat="1" ht="72" x14ac:dyDescent="0.2">
      <c r="A2018" s="77">
        <v>41426</v>
      </c>
      <c r="B2018" s="60" t="s">
        <v>2855</v>
      </c>
      <c r="C2018" s="55" t="s">
        <v>2168</v>
      </c>
      <c r="D2018" s="55" t="s">
        <v>3051</v>
      </c>
      <c r="E2018" s="75" t="str">
        <f>VLOOKUP(B2018&amp;C2018,Divipola!$C$2:$F$1138,4,FALSE)</f>
        <v>20001</v>
      </c>
      <c r="F2018" s="87"/>
      <c r="G2018" s="87"/>
      <c r="H2018" s="87"/>
      <c r="I2018" s="87">
        <v>30</v>
      </c>
      <c r="J2018" s="87">
        <v>6</v>
      </c>
      <c r="K2018" s="87"/>
      <c r="L2018" s="87">
        <v>6</v>
      </c>
      <c r="M2018" s="87"/>
      <c r="N2018" s="87"/>
      <c r="O2018" s="87"/>
      <c r="P2018" s="87"/>
      <c r="Q2018" s="87"/>
      <c r="R2018" s="87"/>
      <c r="S2018" s="87"/>
      <c r="T2018" s="87"/>
      <c r="U2018" s="88"/>
      <c r="V2018" s="89"/>
      <c r="W2018" s="96">
        <v>0</v>
      </c>
      <c r="X2018" s="71">
        <f>CU2018</f>
        <v>0</v>
      </c>
      <c r="Y2018" s="71">
        <f>CY2018</f>
        <v>0</v>
      </c>
      <c r="Z2018" s="71">
        <f>DA2018+DC2018+DE2018</f>
        <v>0</v>
      </c>
      <c r="AA2018" s="71">
        <f>CW2018</f>
        <v>0</v>
      </c>
      <c r="AB2018" s="71"/>
      <c r="AC2018" s="71">
        <v>0</v>
      </c>
      <c r="AD2018" s="71">
        <f>W2018+X2018+Y2018+Z2018+AA2018+AB2018+AC2018</f>
        <v>0</v>
      </c>
      <c r="AE2018" s="72">
        <v>0</v>
      </c>
      <c r="AF2018" s="5"/>
      <c r="AG2018" s="6"/>
      <c r="AH2018" s="27" t="s">
        <v>3392</v>
      </c>
      <c r="AI2018" s="44" t="s">
        <v>3393</v>
      </c>
      <c r="AJ2018" s="26"/>
      <c r="AK2018" s="5"/>
      <c r="AL2018" s="82" t="s">
        <v>4836</v>
      </c>
      <c r="AM2018" s="76"/>
      <c r="AN2018" s="76"/>
      <c r="AO2018" s="76"/>
      <c r="AP2018" s="76"/>
      <c r="AQ2018" s="76"/>
      <c r="AR2018" s="76"/>
      <c r="AS2018" s="76"/>
      <c r="AT2018" s="76"/>
      <c r="AU2018" s="76"/>
      <c r="AV2018" s="76"/>
      <c r="AW2018" s="76"/>
      <c r="AX2018" s="76">
        <f>+AW2018*600000</f>
        <v>0</v>
      </c>
      <c r="AY2018" s="76"/>
      <c r="AZ2018" s="76">
        <f>+AY2018*70000</f>
        <v>0</v>
      </c>
      <c r="BA2018" s="76"/>
      <c r="BB2018" s="76"/>
      <c r="BC2018" s="76"/>
      <c r="BD2018" s="76">
        <f>+BC2018*30000</f>
        <v>0</v>
      </c>
      <c r="BE2018" s="76"/>
      <c r="BF2018" s="76"/>
      <c r="BG2018" s="76"/>
      <c r="BH2018" s="76"/>
      <c r="BI2018" s="76"/>
      <c r="BJ2018" s="76"/>
      <c r="BK2018" s="76"/>
      <c r="BL2018" s="76">
        <f>+BK2018*31500</f>
        <v>0</v>
      </c>
      <c r="BM2018" s="76"/>
      <c r="BN2018" s="76"/>
      <c r="BO2018" s="76"/>
      <c r="BP2018" s="76"/>
      <c r="BQ2018" s="76"/>
      <c r="BR2018" s="76"/>
      <c r="BS2018" s="76"/>
      <c r="BT2018" s="76"/>
      <c r="BU2018" s="76"/>
      <c r="BV2018" s="76"/>
      <c r="BW2018" s="76"/>
      <c r="BX2018" s="76"/>
      <c r="BY2018" s="76"/>
      <c r="BZ2018" s="76"/>
      <c r="CA2018" s="76"/>
      <c r="CB2018" s="76"/>
      <c r="CC2018" s="76"/>
      <c r="CD2018" s="76"/>
      <c r="CE2018" s="76"/>
      <c r="CF2018" s="76">
        <f>+CE2018*28000</f>
        <v>0</v>
      </c>
      <c r="CG2018" s="76"/>
      <c r="CH2018" s="76">
        <f>+CG2018*22500</f>
        <v>0</v>
      </c>
      <c r="CI2018" s="76"/>
      <c r="CJ2018" s="76">
        <f>+CI2018*26000</f>
        <v>0</v>
      </c>
      <c r="CK2018" s="76"/>
      <c r="CL2018" s="76"/>
      <c r="CM2018" s="76"/>
      <c r="CN2018" s="76">
        <f>+CM2018*22000</f>
        <v>0</v>
      </c>
      <c r="CO2018" s="76"/>
      <c r="CP2018" s="76">
        <f>+CO2018*46000</f>
        <v>0</v>
      </c>
      <c r="CQ2018" s="76"/>
      <c r="CR2018" s="76">
        <f>+CQ2018*49000</f>
        <v>0</v>
      </c>
      <c r="CS2018" s="76"/>
      <c r="CT2018" s="76"/>
      <c r="CU2018" s="56">
        <f>AN2018+AP2018+AR2018+AT2018+AV2018+AX2018+AZ2018+BB2018+BD2018+BF2018+BH2018+BJ2018+BL2018+BN2018+BP2018+BR2018+BT2018+BV2018+BX2018+BZ2018+CB2018+CD2018+CF2018+CH2018+CJ2018+CL2018+CN2018+CP2018+CR2018+CT2018</f>
        <v>0</v>
      </c>
      <c r="CV2018" s="76"/>
      <c r="CW2018" s="76">
        <f>+CV2018*1100</f>
        <v>0</v>
      </c>
      <c r="CX2018" s="76"/>
      <c r="CY2018" s="76">
        <f>+CX2018*106250</f>
        <v>0</v>
      </c>
      <c r="CZ2018" s="76"/>
      <c r="DA2018" s="76">
        <f>+CZ2018*34500</f>
        <v>0</v>
      </c>
      <c r="DB2018" s="76"/>
      <c r="DC2018" s="76">
        <f>+DB2018*25000</f>
        <v>0</v>
      </c>
      <c r="DD2018" s="219"/>
      <c r="DE2018" s="219"/>
      <c r="DF2018" s="166"/>
      <c r="DG2018" s="116"/>
      <c r="DH2018" s="117"/>
      <c r="DI2018" s="24"/>
      <c r="DJ2018" s="24"/>
      <c r="DK2018" s="24"/>
      <c r="DL2018" s="24"/>
      <c r="DM2018" s="24"/>
      <c r="DN2018" s="24"/>
      <c r="DO2018" s="24"/>
      <c r="DP2018" s="24"/>
      <c r="DQ2018" s="24"/>
      <c r="DR2018" s="24"/>
      <c r="DS2018" s="24"/>
      <c r="DT2018" s="24"/>
      <c r="DU2018" s="24"/>
    </row>
    <row r="2019" spans="1:125" s="8" customFormat="1" ht="84" x14ac:dyDescent="0.2">
      <c r="A2019" s="353">
        <v>41426</v>
      </c>
      <c r="B2019" s="225" t="s">
        <v>506</v>
      </c>
      <c r="C2019" s="227" t="s">
        <v>2735</v>
      </c>
      <c r="D2019" s="354" t="s">
        <v>3205</v>
      </c>
      <c r="E2019" s="75" t="str">
        <f>VLOOKUP(B2019&amp;C2019,Divipola!$C$2:$F$1138,4,FALSE)</f>
        <v>50400</v>
      </c>
      <c r="F2019" s="87"/>
      <c r="G2019" s="87"/>
      <c r="H2019" s="87"/>
      <c r="I2019" s="87">
        <v>250</v>
      </c>
      <c r="J2019" s="87">
        <v>50</v>
      </c>
      <c r="K2019" s="87"/>
      <c r="L2019" s="87">
        <v>50</v>
      </c>
      <c r="M2019" s="87"/>
      <c r="N2019" s="87">
        <v>3</v>
      </c>
      <c r="O2019" s="87"/>
      <c r="P2019" s="87">
        <v>1</v>
      </c>
      <c r="Q2019" s="87"/>
      <c r="R2019" s="87"/>
      <c r="S2019" s="87"/>
      <c r="T2019" s="87"/>
      <c r="U2019" s="88"/>
      <c r="V2019" s="89"/>
      <c r="W2019" s="96">
        <v>0</v>
      </c>
      <c r="X2019" s="71">
        <f>CU2019</f>
        <v>0</v>
      </c>
      <c r="Y2019" s="71">
        <f>CY2019</f>
        <v>0</v>
      </c>
      <c r="Z2019" s="71">
        <f>DA2019+DC2019+DE2019</f>
        <v>0</v>
      </c>
      <c r="AA2019" s="71">
        <f>CW2019</f>
        <v>0</v>
      </c>
      <c r="AB2019" s="71"/>
      <c r="AC2019" s="71">
        <v>0</v>
      </c>
      <c r="AD2019" s="71">
        <f>W2019+X2019+Y2019+Z2019+AA2019+AB2019+AC2019</f>
        <v>0</v>
      </c>
      <c r="AE2019" s="72">
        <v>0</v>
      </c>
      <c r="AF2019" s="5"/>
      <c r="AG2019" s="6"/>
      <c r="AH2019" s="27" t="s">
        <v>3392</v>
      </c>
      <c r="AI2019" s="44" t="s">
        <v>3393</v>
      </c>
      <c r="AJ2019" s="26"/>
      <c r="AK2019" s="5"/>
      <c r="AL2019" s="82" t="s">
        <v>4852</v>
      </c>
      <c r="AM2019" s="76"/>
      <c r="AN2019" s="76"/>
      <c r="AO2019" s="76"/>
      <c r="AP2019" s="76"/>
      <c r="AQ2019" s="76"/>
      <c r="AR2019" s="76"/>
      <c r="AS2019" s="76"/>
      <c r="AT2019" s="76"/>
      <c r="AU2019" s="76"/>
      <c r="AV2019" s="76"/>
      <c r="AW2019" s="76"/>
      <c r="AX2019" s="76">
        <f>+AW2019*600000</f>
        <v>0</v>
      </c>
      <c r="AY2019" s="76"/>
      <c r="AZ2019" s="76">
        <f>+AY2019*70000</f>
        <v>0</v>
      </c>
      <c r="BA2019" s="76"/>
      <c r="BB2019" s="76"/>
      <c r="BC2019" s="76"/>
      <c r="BD2019" s="76">
        <f>+BC2019*30000</f>
        <v>0</v>
      </c>
      <c r="BE2019" s="76"/>
      <c r="BF2019" s="76"/>
      <c r="BG2019" s="76"/>
      <c r="BH2019" s="76"/>
      <c r="BI2019" s="76"/>
      <c r="BJ2019" s="76"/>
      <c r="BK2019" s="76"/>
      <c r="BL2019" s="76">
        <f>+BK2019*31500</f>
        <v>0</v>
      </c>
      <c r="BM2019" s="76"/>
      <c r="BN2019" s="76"/>
      <c r="BO2019" s="76"/>
      <c r="BP2019" s="76"/>
      <c r="BQ2019" s="76"/>
      <c r="BR2019" s="76"/>
      <c r="BS2019" s="76"/>
      <c r="BT2019" s="76"/>
      <c r="BU2019" s="76"/>
      <c r="BV2019" s="76"/>
      <c r="BW2019" s="76"/>
      <c r="BX2019" s="76"/>
      <c r="BY2019" s="76"/>
      <c r="BZ2019" s="76"/>
      <c r="CA2019" s="76"/>
      <c r="CB2019" s="76"/>
      <c r="CC2019" s="76"/>
      <c r="CD2019" s="76"/>
      <c r="CE2019" s="76"/>
      <c r="CF2019" s="76">
        <f>+CE2019*28000</f>
        <v>0</v>
      </c>
      <c r="CG2019" s="76"/>
      <c r="CH2019" s="76">
        <f>+CG2019*22500</f>
        <v>0</v>
      </c>
      <c r="CI2019" s="76"/>
      <c r="CJ2019" s="76">
        <f>+CI2019*26000</f>
        <v>0</v>
      </c>
      <c r="CK2019" s="76"/>
      <c r="CL2019" s="76"/>
      <c r="CM2019" s="76"/>
      <c r="CN2019" s="76">
        <f>+CM2019*22000</f>
        <v>0</v>
      </c>
      <c r="CO2019" s="76"/>
      <c r="CP2019" s="76">
        <f>+CO2019*46000</f>
        <v>0</v>
      </c>
      <c r="CQ2019" s="76"/>
      <c r="CR2019" s="76">
        <f>+CQ2019*49000</f>
        <v>0</v>
      </c>
      <c r="CS2019" s="76"/>
      <c r="CT2019" s="76"/>
      <c r="CU2019" s="56">
        <f>AN2019+AP2019+AR2019+AT2019+AV2019+AX2019+AZ2019+BB2019+BD2019+BF2019+BH2019+BJ2019+BL2019+BN2019+BP2019+BR2019+BT2019+BV2019+BX2019+BZ2019+CB2019+CD2019+CF2019+CH2019+CJ2019+CL2019+CN2019+CP2019+CR2019+CT2019</f>
        <v>0</v>
      </c>
      <c r="CV2019" s="76"/>
      <c r="CW2019" s="76">
        <f>+CV2019*1100</f>
        <v>0</v>
      </c>
      <c r="CX2019" s="76"/>
      <c r="CY2019" s="76">
        <f>+CX2019*106250</f>
        <v>0</v>
      </c>
      <c r="CZ2019" s="76"/>
      <c r="DA2019" s="76">
        <f>+CZ2019*34500</f>
        <v>0</v>
      </c>
      <c r="DB2019" s="76"/>
      <c r="DC2019" s="76">
        <f>+DB2019*25000</f>
        <v>0</v>
      </c>
      <c r="DD2019" s="219"/>
      <c r="DE2019" s="219"/>
      <c r="DF2019" s="166"/>
      <c r="DG2019" s="116"/>
      <c r="DH2019" s="117"/>
      <c r="DI2019" s="24"/>
      <c r="DJ2019" s="24"/>
      <c r="DK2019" s="24"/>
      <c r="DL2019" s="24"/>
      <c r="DM2019" s="24"/>
      <c r="DN2019" s="24"/>
      <c r="DO2019" s="24"/>
      <c r="DP2019" s="24"/>
      <c r="DQ2019" s="24"/>
      <c r="DR2019" s="24"/>
      <c r="DS2019" s="24"/>
      <c r="DT2019" s="24"/>
      <c r="DU2019" s="24"/>
    </row>
    <row r="2020" spans="1:125" s="8" customFormat="1" ht="36" x14ac:dyDescent="0.2">
      <c r="A2020" s="77">
        <v>41426</v>
      </c>
      <c r="B2020" s="225" t="s">
        <v>2811</v>
      </c>
      <c r="C2020" s="227" t="s">
        <v>2715</v>
      </c>
      <c r="D2020" s="227" t="s">
        <v>3088</v>
      </c>
      <c r="E2020" s="75" t="str">
        <f>VLOOKUP(B2020&amp;C2020,Divipola!$C$2:$F$1138,4,FALSE)</f>
        <v>52079</v>
      </c>
      <c r="F2020" s="87"/>
      <c r="G2020" s="87"/>
      <c r="H2020" s="87"/>
      <c r="I2020" s="87">
        <v>4</v>
      </c>
      <c r="J2020" s="87">
        <v>1</v>
      </c>
      <c r="K2020" s="87"/>
      <c r="L2020" s="87">
        <v>1</v>
      </c>
      <c r="M2020" s="87"/>
      <c r="N2020" s="87"/>
      <c r="O2020" s="87"/>
      <c r="P2020" s="87"/>
      <c r="Q2020" s="87"/>
      <c r="R2020" s="87"/>
      <c r="S2020" s="87"/>
      <c r="T2020" s="87"/>
      <c r="U2020" s="88"/>
      <c r="V2020" s="89"/>
      <c r="W2020" s="96">
        <v>0</v>
      </c>
      <c r="X2020" s="71">
        <f>CU2020</f>
        <v>0</v>
      </c>
      <c r="Y2020" s="71">
        <f>CY2020</f>
        <v>0</v>
      </c>
      <c r="Z2020" s="71">
        <f>DA2020+DC2020+DE2020</f>
        <v>0</v>
      </c>
      <c r="AA2020" s="71">
        <f>CW2020</f>
        <v>0</v>
      </c>
      <c r="AB2020" s="71"/>
      <c r="AC2020" s="71">
        <v>0</v>
      </c>
      <c r="AD2020" s="71">
        <f>W2020+X2020+Y2020+Z2020+AA2020+AB2020+AC2020</f>
        <v>0</v>
      </c>
      <c r="AE2020" s="72">
        <v>0</v>
      </c>
      <c r="AF2020" s="5"/>
      <c r="AG2020" s="6"/>
      <c r="AH2020" s="27" t="s">
        <v>3392</v>
      </c>
      <c r="AI2020" s="44" t="s">
        <v>3393</v>
      </c>
      <c r="AJ2020" s="26"/>
      <c r="AK2020" s="5"/>
      <c r="AL2020" s="82" t="s">
        <v>4838</v>
      </c>
      <c r="AM2020" s="76"/>
      <c r="AN2020" s="76"/>
      <c r="AO2020" s="76"/>
      <c r="AP2020" s="76"/>
      <c r="AQ2020" s="76"/>
      <c r="AR2020" s="76"/>
      <c r="AS2020" s="76"/>
      <c r="AT2020" s="76"/>
      <c r="AU2020" s="76"/>
      <c r="AV2020" s="76"/>
      <c r="AW2020" s="76"/>
      <c r="AX2020" s="76">
        <f>+AW2020*600000</f>
        <v>0</v>
      </c>
      <c r="AY2020" s="76"/>
      <c r="AZ2020" s="76">
        <f>+AY2020*70000</f>
        <v>0</v>
      </c>
      <c r="BA2020" s="76"/>
      <c r="BB2020" s="76"/>
      <c r="BC2020" s="76"/>
      <c r="BD2020" s="76">
        <f>+BC2020*30000</f>
        <v>0</v>
      </c>
      <c r="BE2020" s="76"/>
      <c r="BF2020" s="76"/>
      <c r="BG2020" s="76"/>
      <c r="BH2020" s="76"/>
      <c r="BI2020" s="76"/>
      <c r="BJ2020" s="76"/>
      <c r="BK2020" s="76"/>
      <c r="BL2020" s="76">
        <f>+BK2020*31500</f>
        <v>0</v>
      </c>
      <c r="BM2020" s="76"/>
      <c r="BN2020" s="76"/>
      <c r="BO2020" s="76"/>
      <c r="BP2020" s="76"/>
      <c r="BQ2020" s="76"/>
      <c r="BR2020" s="76"/>
      <c r="BS2020" s="76"/>
      <c r="BT2020" s="76"/>
      <c r="BU2020" s="76"/>
      <c r="BV2020" s="76"/>
      <c r="BW2020" s="76"/>
      <c r="BX2020" s="76"/>
      <c r="BY2020" s="76"/>
      <c r="BZ2020" s="76"/>
      <c r="CA2020" s="76"/>
      <c r="CB2020" s="76"/>
      <c r="CC2020" s="76"/>
      <c r="CD2020" s="76"/>
      <c r="CE2020" s="76"/>
      <c r="CF2020" s="76">
        <f>+CE2020*28000</f>
        <v>0</v>
      </c>
      <c r="CG2020" s="76"/>
      <c r="CH2020" s="76">
        <f>+CG2020*22500</f>
        <v>0</v>
      </c>
      <c r="CI2020" s="76"/>
      <c r="CJ2020" s="76">
        <f>+CI2020*26000</f>
        <v>0</v>
      </c>
      <c r="CK2020" s="76"/>
      <c r="CL2020" s="76"/>
      <c r="CM2020" s="76"/>
      <c r="CN2020" s="76">
        <f>+CM2020*22000</f>
        <v>0</v>
      </c>
      <c r="CO2020" s="76"/>
      <c r="CP2020" s="76">
        <f>+CO2020*46000</f>
        <v>0</v>
      </c>
      <c r="CQ2020" s="76"/>
      <c r="CR2020" s="76">
        <f>+CQ2020*49000</f>
        <v>0</v>
      </c>
      <c r="CS2020" s="76"/>
      <c r="CT2020" s="76"/>
      <c r="CU2020" s="56">
        <f>AN2020+AP2020+AR2020+AT2020+AV2020+AX2020+AZ2020+BB2020+BD2020+BF2020+BH2020+BJ2020+BL2020+BN2020+BP2020+BR2020+BT2020+BV2020+BX2020+BZ2020+CB2020+CD2020+CF2020+CH2020+CJ2020+CL2020+CN2020+CP2020+CR2020+CT2020</f>
        <v>0</v>
      </c>
      <c r="CV2020" s="76"/>
      <c r="CW2020" s="76">
        <f>+CV2020*1100</f>
        <v>0</v>
      </c>
      <c r="CX2020" s="76"/>
      <c r="CY2020" s="76">
        <f>+CX2020*106250</f>
        <v>0</v>
      </c>
      <c r="CZ2020" s="76"/>
      <c r="DA2020" s="76">
        <f>+CZ2020*34500</f>
        <v>0</v>
      </c>
      <c r="DB2020" s="76"/>
      <c r="DC2020" s="76">
        <f>+DB2020*25000</f>
        <v>0</v>
      </c>
      <c r="DD2020" s="219"/>
      <c r="DE2020" s="219"/>
      <c r="DF2020" s="166"/>
      <c r="DG2020" s="116"/>
      <c r="DH2020" s="117"/>
      <c r="DI2020" s="24"/>
      <c r="DJ2020" s="24"/>
      <c r="DK2020" s="24"/>
      <c r="DL2020" s="24"/>
      <c r="DM2020" s="24"/>
      <c r="DN2020" s="24"/>
      <c r="DO2020" s="24"/>
      <c r="DP2020" s="24"/>
      <c r="DQ2020" s="24"/>
      <c r="DR2020" s="24"/>
      <c r="DS2020" s="24"/>
      <c r="DT2020" s="24"/>
      <c r="DU2020" s="24"/>
    </row>
    <row r="2021" spans="1:125" s="8" customFormat="1" ht="84" x14ac:dyDescent="0.2">
      <c r="A2021" s="77">
        <v>41426</v>
      </c>
      <c r="B2021" s="225" t="s">
        <v>2811</v>
      </c>
      <c r="C2021" s="227" t="s">
        <v>2160</v>
      </c>
      <c r="D2021" s="227" t="s">
        <v>3088</v>
      </c>
      <c r="E2021" s="75" t="str">
        <f>VLOOKUP(B2021&amp;C2021,Divipola!$C$2:$F$1138,4,FALSE)</f>
        <v>52399</v>
      </c>
      <c r="F2021" s="87"/>
      <c r="G2021" s="87"/>
      <c r="H2021" s="87"/>
      <c r="I2021" s="87">
        <v>21</v>
      </c>
      <c r="J2021" s="87">
        <v>5</v>
      </c>
      <c r="K2021" s="87"/>
      <c r="L2021" s="87">
        <v>5</v>
      </c>
      <c r="M2021" s="87">
        <v>1</v>
      </c>
      <c r="N2021" s="87"/>
      <c r="O2021" s="87"/>
      <c r="P2021" s="87">
        <v>1</v>
      </c>
      <c r="Q2021" s="87">
        <v>2</v>
      </c>
      <c r="R2021" s="87"/>
      <c r="S2021" s="87"/>
      <c r="T2021" s="87"/>
      <c r="U2021" s="88"/>
      <c r="V2021" s="89"/>
      <c r="W2021" s="96">
        <v>0</v>
      </c>
      <c r="X2021" s="71">
        <f>CU2021</f>
        <v>0</v>
      </c>
      <c r="Y2021" s="71">
        <f>CY2021</f>
        <v>0</v>
      </c>
      <c r="Z2021" s="71">
        <f>DA2021+DC2021+DE2021</f>
        <v>0</v>
      </c>
      <c r="AA2021" s="71">
        <f>CW2021</f>
        <v>0</v>
      </c>
      <c r="AB2021" s="71"/>
      <c r="AC2021" s="71">
        <v>0</v>
      </c>
      <c r="AD2021" s="71">
        <f>W2021+X2021+Y2021+Z2021+AA2021+AB2021+AC2021</f>
        <v>0</v>
      </c>
      <c r="AE2021" s="72">
        <v>0</v>
      </c>
      <c r="AF2021" s="5"/>
      <c r="AG2021" s="6"/>
      <c r="AH2021" s="27" t="s">
        <v>3392</v>
      </c>
      <c r="AI2021" s="44" t="s">
        <v>3393</v>
      </c>
      <c r="AJ2021" s="26"/>
      <c r="AK2021" s="5"/>
      <c r="AL2021" s="82" t="s">
        <v>4835</v>
      </c>
      <c r="AM2021" s="76"/>
      <c r="AN2021" s="76"/>
      <c r="AO2021" s="76"/>
      <c r="AP2021" s="76"/>
      <c r="AQ2021" s="76"/>
      <c r="AR2021" s="76"/>
      <c r="AS2021" s="76"/>
      <c r="AT2021" s="76"/>
      <c r="AU2021" s="76"/>
      <c r="AV2021" s="76"/>
      <c r="AW2021" s="76"/>
      <c r="AX2021" s="76">
        <f>+AW2021*600000</f>
        <v>0</v>
      </c>
      <c r="AY2021" s="76"/>
      <c r="AZ2021" s="76">
        <f>+AY2021*70000</f>
        <v>0</v>
      </c>
      <c r="BA2021" s="76"/>
      <c r="BB2021" s="76"/>
      <c r="BC2021" s="76"/>
      <c r="BD2021" s="76">
        <f>+BC2021*30000</f>
        <v>0</v>
      </c>
      <c r="BE2021" s="76"/>
      <c r="BF2021" s="76"/>
      <c r="BG2021" s="76"/>
      <c r="BH2021" s="76"/>
      <c r="BI2021" s="76"/>
      <c r="BJ2021" s="76"/>
      <c r="BK2021" s="76"/>
      <c r="BL2021" s="76">
        <f>+BK2021*31500</f>
        <v>0</v>
      </c>
      <c r="BM2021" s="76"/>
      <c r="BN2021" s="76"/>
      <c r="BO2021" s="76"/>
      <c r="BP2021" s="76"/>
      <c r="BQ2021" s="76"/>
      <c r="BR2021" s="76"/>
      <c r="BS2021" s="76"/>
      <c r="BT2021" s="76"/>
      <c r="BU2021" s="76"/>
      <c r="BV2021" s="76"/>
      <c r="BW2021" s="76"/>
      <c r="BX2021" s="76"/>
      <c r="BY2021" s="76"/>
      <c r="BZ2021" s="76"/>
      <c r="CA2021" s="76"/>
      <c r="CB2021" s="76"/>
      <c r="CC2021" s="76"/>
      <c r="CD2021" s="76"/>
      <c r="CE2021" s="76"/>
      <c r="CF2021" s="76">
        <f>+CE2021*28000</f>
        <v>0</v>
      </c>
      <c r="CG2021" s="76"/>
      <c r="CH2021" s="76">
        <f>+CG2021*22500</f>
        <v>0</v>
      </c>
      <c r="CI2021" s="76"/>
      <c r="CJ2021" s="76">
        <f>+CI2021*26000</f>
        <v>0</v>
      </c>
      <c r="CK2021" s="76"/>
      <c r="CL2021" s="76"/>
      <c r="CM2021" s="76"/>
      <c r="CN2021" s="76">
        <f>+CM2021*22000</f>
        <v>0</v>
      </c>
      <c r="CO2021" s="76"/>
      <c r="CP2021" s="76">
        <f>+CO2021*46000</f>
        <v>0</v>
      </c>
      <c r="CQ2021" s="76"/>
      <c r="CR2021" s="76">
        <f>+CQ2021*49000</f>
        <v>0</v>
      </c>
      <c r="CS2021" s="76"/>
      <c r="CT2021" s="76"/>
      <c r="CU2021" s="56">
        <f>AN2021+AP2021+AR2021+AT2021+AV2021+AX2021+AZ2021+BB2021+BD2021+BF2021+BH2021+BJ2021+BL2021+BN2021+BP2021+BR2021+BT2021+BV2021+BX2021+BZ2021+CB2021+CD2021+CF2021+CH2021+CJ2021+CL2021+CN2021+CP2021+CR2021+CT2021</f>
        <v>0</v>
      </c>
      <c r="CV2021" s="76"/>
      <c r="CW2021" s="76">
        <f>+CV2021*1100</f>
        <v>0</v>
      </c>
      <c r="CX2021" s="76"/>
      <c r="CY2021" s="76">
        <f>+CX2021*106250</f>
        <v>0</v>
      </c>
      <c r="CZ2021" s="76"/>
      <c r="DA2021" s="76">
        <f>+CZ2021*34500</f>
        <v>0</v>
      </c>
      <c r="DB2021" s="76"/>
      <c r="DC2021" s="76">
        <f>+DB2021*25000</f>
        <v>0</v>
      </c>
      <c r="DD2021" s="219"/>
      <c r="DE2021" s="219"/>
      <c r="DF2021" s="166"/>
      <c r="DG2021" s="116"/>
      <c r="DH2021" s="117"/>
      <c r="DI2021" s="24"/>
      <c r="DJ2021" s="24"/>
      <c r="DK2021" s="24"/>
      <c r="DL2021" s="24"/>
      <c r="DM2021" s="24"/>
      <c r="DN2021" s="24"/>
      <c r="DO2021" s="24"/>
      <c r="DP2021" s="24"/>
      <c r="DQ2021" s="24"/>
      <c r="DR2021" s="24"/>
      <c r="DS2021" s="24"/>
      <c r="DT2021" s="24"/>
      <c r="DU2021" s="24"/>
    </row>
    <row r="2022" spans="1:125" s="8" customFormat="1" ht="36" x14ac:dyDescent="0.2">
      <c r="A2022" s="77">
        <v>41426</v>
      </c>
      <c r="B2022" s="225" t="s">
        <v>2811</v>
      </c>
      <c r="C2022" s="227" t="s">
        <v>2130</v>
      </c>
      <c r="D2022" s="227" t="s">
        <v>3088</v>
      </c>
      <c r="E2022" s="75" t="str">
        <f>VLOOKUP(B2022&amp;C2022,Divipola!$C$2:$F$1138,4,FALSE)</f>
        <v>52612</v>
      </c>
      <c r="F2022" s="87"/>
      <c r="G2022" s="87">
        <v>1</v>
      </c>
      <c r="H2022" s="87"/>
      <c r="I2022" s="87">
        <v>3</v>
      </c>
      <c r="J2022" s="87"/>
      <c r="K2022" s="87"/>
      <c r="L2022" s="87"/>
      <c r="M2022" s="87">
        <v>1</v>
      </c>
      <c r="N2022" s="87"/>
      <c r="O2022" s="87"/>
      <c r="P2022" s="87"/>
      <c r="Q2022" s="87"/>
      <c r="R2022" s="87"/>
      <c r="S2022" s="87"/>
      <c r="T2022" s="87"/>
      <c r="U2022" s="88"/>
      <c r="V2022" s="89"/>
      <c r="W2022" s="96">
        <v>0</v>
      </c>
      <c r="X2022" s="71">
        <f>CU2022</f>
        <v>0</v>
      </c>
      <c r="Y2022" s="71">
        <f>CY2022</f>
        <v>0</v>
      </c>
      <c r="Z2022" s="71">
        <f>DA2022+DC2022+DE2022</f>
        <v>0</v>
      </c>
      <c r="AA2022" s="71">
        <f>CW2022</f>
        <v>0</v>
      </c>
      <c r="AB2022" s="71"/>
      <c r="AC2022" s="71">
        <v>0</v>
      </c>
      <c r="AD2022" s="71">
        <f>W2022+X2022+Y2022+Z2022+AA2022+AB2022+AC2022</f>
        <v>0</v>
      </c>
      <c r="AE2022" s="72">
        <v>0</v>
      </c>
      <c r="AF2022" s="5"/>
      <c r="AG2022" s="6"/>
      <c r="AH2022" s="27" t="s">
        <v>3392</v>
      </c>
      <c r="AI2022" s="44" t="s">
        <v>3393</v>
      </c>
      <c r="AJ2022" s="26"/>
      <c r="AK2022" s="5"/>
      <c r="AL2022" s="82" t="s">
        <v>4837</v>
      </c>
      <c r="AM2022" s="76"/>
      <c r="AN2022" s="76"/>
      <c r="AO2022" s="76"/>
      <c r="AP2022" s="76"/>
      <c r="AQ2022" s="76"/>
      <c r="AR2022" s="76"/>
      <c r="AS2022" s="76"/>
      <c r="AT2022" s="76"/>
      <c r="AU2022" s="76"/>
      <c r="AV2022" s="76"/>
      <c r="AW2022" s="76"/>
      <c r="AX2022" s="76">
        <f>+AW2022*600000</f>
        <v>0</v>
      </c>
      <c r="AY2022" s="76"/>
      <c r="AZ2022" s="76">
        <f>+AY2022*70000</f>
        <v>0</v>
      </c>
      <c r="BA2022" s="76"/>
      <c r="BB2022" s="76"/>
      <c r="BC2022" s="76"/>
      <c r="BD2022" s="76">
        <f>+BC2022*30000</f>
        <v>0</v>
      </c>
      <c r="BE2022" s="76"/>
      <c r="BF2022" s="76"/>
      <c r="BG2022" s="76"/>
      <c r="BH2022" s="76"/>
      <c r="BI2022" s="76"/>
      <c r="BJ2022" s="76"/>
      <c r="BK2022" s="76"/>
      <c r="BL2022" s="76">
        <f>+BK2022*31500</f>
        <v>0</v>
      </c>
      <c r="BM2022" s="76"/>
      <c r="BN2022" s="76"/>
      <c r="BO2022" s="76"/>
      <c r="BP2022" s="76"/>
      <c r="BQ2022" s="76"/>
      <c r="BR2022" s="76"/>
      <c r="BS2022" s="76"/>
      <c r="BT2022" s="76"/>
      <c r="BU2022" s="76"/>
      <c r="BV2022" s="76"/>
      <c r="BW2022" s="76"/>
      <c r="BX2022" s="76"/>
      <c r="BY2022" s="76"/>
      <c r="BZ2022" s="76"/>
      <c r="CA2022" s="76"/>
      <c r="CB2022" s="76"/>
      <c r="CC2022" s="76"/>
      <c r="CD2022" s="76"/>
      <c r="CE2022" s="76"/>
      <c r="CF2022" s="76">
        <f>+CE2022*28000</f>
        <v>0</v>
      </c>
      <c r="CG2022" s="76"/>
      <c r="CH2022" s="76">
        <f>+CG2022*22500</f>
        <v>0</v>
      </c>
      <c r="CI2022" s="76"/>
      <c r="CJ2022" s="76">
        <f>+CI2022*26000</f>
        <v>0</v>
      </c>
      <c r="CK2022" s="76"/>
      <c r="CL2022" s="76"/>
      <c r="CM2022" s="76"/>
      <c r="CN2022" s="76">
        <f>+CM2022*22000</f>
        <v>0</v>
      </c>
      <c r="CO2022" s="76"/>
      <c r="CP2022" s="76">
        <f>+CO2022*46000</f>
        <v>0</v>
      </c>
      <c r="CQ2022" s="76"/>
      <c r="CR2022" s="76">
        <f>+CQ2022*49000</f>
        <v>0</v>
      </c>
      <c r="CS2022" s="76"/>
      <c r="CT2022" s="76"/>
      <c r="CU2022" s="56">
        <f>AN2022+AP2022+AR2022+AT2022+AV2022+AX2022+AZ2022+BB2022+BD2022+BF2022+BH2022+BJ2022+BL2022+BN2022+BP2022+BR2022+BT2022+BV2022+BX2022+BZ2022+CB2022+CD2022+CF2022+CH2022+CJ2022+CL2022+CN2022+CP2022+CR2022+CT2022</f>
        <v>0</v>
      </c>
      <c r="CV2022" s="76"/>
      <c r="CW2022" s="76">
        <f>+CV2022*1100</f>
        <v>0</v>
      </c>
      <c r="CX2022" s="76"/>
      <c r="CY2022" s="76">
        <f>+CX2022*106250</f>
        <v>0</v>
      </c>
      <c r="CZ2022" s="76"/>
      <c r="DA2022" s="76">
        <f>+CZ2022*34500</f>
        <v>0</v>
      </c>
      <c r="DB2022" s="76"/>
      <c r="DC2022" s="76">
        <f>+DB2022*25000</f>
        <v>0</v>
      </c>
      <c r="DD2022" s="219"/>
      <c r="DE2022" s="219"/>
      <c r="DF2022" s="166"/>
      <c r="DG2022" s="116"/>
      <c r="DH2022" s="117"/>
      <c r="DI2022" s="24"/>
      <c r="DJ2022" s="24"/>
      <c r="DK2022" s="24"/>
      <c r="DL2022" s="24"/>
      <c r="DM2022" s="24"/>
      <c r="DN2022" s="24"/>
      <c r="DO2022" s="24"/>
      <c r="DP2022" s="24"/>
      <c r="DQ2022" s="24"/>
      <c r="DR2022" s="24"/>
      <c r="DS2022" s="24"/>
      <c r="DT2022" s="24"/>
      <c r="DU2022" s="24"/>
    </row>
    <row r="2023" spans="1:125" s="8" customFormat="1" ht="48" x14ac:dyDescent="0.2">
      <c r="A2023" s="77">
        <v>41426</v>
      </c>
      <c r="B2023" s="225" t="s">
        <v>2848</v>
      </c>
      <c r="C2023" s="227" t="s">
        <v>2128</v>
      </c>
      <c r="D2023" s="354" t="s">
        <v>3088</v>
      </c>
      <c r="E2023" s="75" t="str">
        <f>VLOOKUP(B2023&amp;C2023,Divipola!$C$2:$F$1138,4,FALSE)</f>
        <v>73124</v>
      </c>
      <c r="F2023" s="87"/>
      <c r="G2023" s="87"/>
      <c r="H2023" s="87"/>
      <c r="I2023" s="87"/>
      <c r="J2023" s="87"/>
      <c r="K2023" s="87"/>
      <c r="L2023" s="87"/>
      <c r="M2023" s="87">
        <v>1</v>
      </c>
      <c r="N2023" s="87"/>
      <c r="O2023" s="87"/>
      <c r="P2023" s="87"/>
      <c r="Q2023" s="87"/>
      <c r="R2023" s="87"/>
      <c r="S2023" s="87"/>
      <c r="T2023" s="87"/>
      <c r="U2023" s="88"/>
      <c r="V2023" s="89"/>
      <c r="W2023" s="96">
        <v>0</v>
      </c>
      <c r="X2023" s="71">
        <f>CU2023</f>
        <v>0</v>
      </c>
      <c r="Y2023" s="71">
        <f>CY2023</f>
        <v>0</v>
      </c>
      <c r="Z2023" s="71">
        <f>DA2023+DC2023+DE2023</f>
        <v>0</v>
      </c>
      <c r="AA2023" s="71">
        <f>CW2023</f>
        <v>0</v>
      </c>
      <c r="AB2023" s="71"/>
      <c r="AC2023" s="71">
        <v>0</v>
      </c>
      <c r="AD2023" s="71">
        <f>W2023+X2023+Y2023+Z2023+AA2023+AB2023+AC2023</f>
        <v>0</v>
      </c>
      <c r="AE2023" s="72">
        <v>0</v>
      </c>
      <c r="AF2023" s="5"/>
      <c r="AG2023" s="6"/>
      <c r="AH2023" s="27" t="s">
        <v>3392</v>
      </c>
      <c r="AI2023" s="44" t="s">
        <v>3393</v>
      </c>
      <c r="AJ2023" s="26"/>
      <c r="AK2023" s="5"/>
      <c r="AL2023" s="82" t="s">
        <v>4842</v>
      </c>
      <c r="AM2023" s="76"/>
      <c r="AN2023" s="76"/>
      <c r="AO2023" s="76"/>
      <c r="AP2023" s="76"/>
      <c r="AQ2023" s="76"/>
      <c r="AR2023" s="76"/>
      <c r="AS2023" s="76"/>
      <c r="AT2023" s="76"/>
      <c r="AU2023" s="76"/>
      <c r="AV2023" s="76"/>
      <c r="AW2023" s="76"/>
      <c r="AX2023" s="76">
        <f>+AW2023*600000</f>
        <v>0</v>
      </c>
      <c r="AY2023" s="76"/>
      <c r="AZ2023" s="76">
        <f>+AY2023*70000</f>
        <v>0</v>
      </c>
      <c r="BA2023" s="76"/>
      <c r="BB2023" s="76"/>
      <c r="BC2023" s="76"/>
      <c r="BD2023" s="76">
        <f>+BC2023*30000</f>
        <v>0</v>
      </c>
      <c r="BE2023" s="76"/>
      <c r="BF2023" s="76"/>
      <c r="BG2023" s="76"/>
      <c r="BH2023" s="76"/>
      <c r="BI2023" s="76"/>
      <c r="BJ2023" s="76"/>
      <c r="BK2023" s="76"/>
      <c r="BL2023" s="76">
        <f>+BK2023*31500</f>
        <v>0</v>
      </c>
      <c r="BM2023" s="76"/>
      <c r="BN2023" s="76"/>
      <c r="BO2023" s="76"/>
      <c r="BP2023" s="76"/>
      <c r="BQ2023" s="76"/>
      <c r="BR2023" s="76"/>
      <c r="BS2023" s="76"/>
      <c r="BT2023" s="76"/>
      <c r="BU2023" s="76"/>
      <c r="BV2023" s="76"/>
      <c r="BW2023" s="76"/>
      <c r="BX2023" s="76"/>
      <c r="BY2023" s="76"/>
      <c r="BZ2023" s="76"/>
      <c r="CA2023" s="76"/>
      <c r="CB2023" s="76"/>
      <c r="CC2023" s="76"/>
      <c r="CD2023" s="76"/>
      <c r="CE2023" s="76"/>
      <c r="CF2023" s="76">
        <f>+CE2023*28000</f>
        <v>0</v>
      </c>
      <c r="CG2023" s="76"/>
      <c r="CH2023" s="76">
        <f>+CG2023*22500</f>
        <v>0</v>
      </c>
      <c r="CI2023" s="76"/>
      <c r="CJ2023" s="76">
        <f>+CI2023*26000</f>
        <v>0</v>
      </c>
      <c r="CK2023" s="76"/>
      <c r="CL2023" s="76"/>
      <c r="CM2023" s="76"/>
      <c r="CN2023" s="76">
        <f>+CM2023*22000</f>
        <v>0</v>
      </c>
      <c r="CO2023" s="76"/>
      <c r="CP2023" s="76">
        <f>+CO2023*46000</f>
        <v>0</v>
      </c>
      <c r="CQ2023" s="76"/>
      <c r="CR2023" s="76">
        <f>+CQ2023*49000</f>
        <v>0</v>
      </c>
      <c r="CS2023" s="76"/>
      <c r="CT2023" s="76"/>
      <c r="CU2023" s="56">
        <f>AN2023+AP2023+AR2023+AT2023+AV2023+AX2023+AZ2023+BB2023+BD2023+BF2023+BH2023+BJ2023+BL2023+BN2023+BP2023+BR2023+BT2023+BV2023+BX2023+BZ2023+CB2023+CD2023+CF2023+CH2023+CJ2023+CL2023+CN2023+CP2023+CR2023+CT2023</f>
        <v>0</v>
      </c>
      <c r="CV2023" s="76"/>
      <c r="CW2023" s="76">
        <f>+CV2023*1100</f>
        <v>0</v>
      </c>
      <c r="CX2023" s="76"/>
      <c r="CY2023" s="76">
        <f>+CX2023*106250</f>
        <v>0</v>
      </c>
      <c r="CZ2023" s="76"/>
      <c r="DA2023" s="76">
        <f>+CZ2023*34500</f>
        <v>0</v>
      </c>
      <c r="DB2023" s="76"/>
      <c r="DC2023" s="76">
        <f>+DB2023*25000</f>
        <v>0</v>
      </c>
      <c r="DD2023" s="219"/>
      <c r="DE2023" s="219"/>
      <c r="DF2023" s="166"/>
      <c r="DG2023" s="116"/>
      <c r="DH2023" s="117"/>
      <c r="DI2023" s="24"/>
      <c r="DJ2023" s="24"/>
      <c r="DK2023" s="24"/>
      <c r="DL2023" s="24"/>
      <c r="DM2023" s="24"/>
      <c r="DN2023" s="24"/>
      <c r="DO2023" s="24"/>
      <c r="DP2023" s="24"/>
      <c r="DQ2023" s="24"/>
      <c r="DR2023" s="24"/>
      <c r="DS2023" s="24"/>
      <c r="DT2023" s="24"/>
      <c r="DU2023" s="24"/>
    </row>
    <row r="2024" spans="1:125" s="8" customFormat="1" ht="120" x14ac:dyDescent="0.2">
      <c r="A2024" s="77">
        <v>41426</v>
      </c>
      <c r="B2024" s="225" t="s">
        <v>2848</v>
      </c>
      <c r="C2024" s="227" t="s">
        <v>2755</v>
      </c>
      <c r="D2024" s="227" t="s">
        <v>3088</v>
      </c>
      <c r="E2024" s="75" t="str">
        <f>VLOOKUP(B2024&amp;C2024,Divipola!$C$2:$F$1138,4,FALSE)</f>
        <v>73001</v>
      </c>
      <c r="F2024" s="87"/>
      <c r="G2024" s="87"/>
      <c r="H2024" s="87"/>
      <c r="I2024" s="87">
        <v>10</v>
      </c>
      <c r="J2024" s="87">
        <v>2</v>
      </c>
      <c r="K2024" s="87"/>
      <c r="L2024" s="87">
        <v>2</v>
      </c>
      <c r="M2024" s="87"/>
      <c r="N2024" s="87"/>
      <c r="O2024" s="87"/>
      <c r="P2024" s="87"/>
      <c r="Q2024" s="87"/>
      <c r="R2024" s="87"/>
      <c r="S2024" s="87"/>
      <c r="T2024" s="87"/>
      <c r="U2024" s="88"/>
      <c r="V2024" s="89"/>
      <c r="W2024" s="96">
        <v>0</v>
      </c>
      <c r="X2024" s="71">
        <f>CU2024</f>
        <v>0</v>
      </c>
      <c r="Y2024" s="71">
        <f>CY2024</f>
        <v>0</v>
      </c>
      <c r="Z2024" s="71">
        <f>DA2024+DC2024+DE2024</f>
        <v>0</v>
      </c>
      <c r="AA2024" s="71">
        <f>CW2024</f>
        <v>0</v>
      </c>
      <c r="AB2024" s="71"/>
      <c r="AC2024" s="71">
        <v>0</v>
      </c>
      <c r="AD2024" s="71">
        <f>W2024+X2024+Y2024+Z2024+AA2024+AB2024+AC2024</f>
        <v>0</v>
      </c>
      <c r="AE2024" s="72">
        <v>0</v>
      </c>
      <c r="AF2024" s="5"/>
      <c r="AG2024" s="6"/>
      <c r="AH2024" s="27" t="s">
        <v>3392</v>
      </c>
      <c r="AI2024" s="44" t="s">
        <v>3393</v>
      </c>
      <c r="AJ2024" s="26"/>
      <c r="AK2024" s="5"/>
      <c r="AL2024" s="82" t="s">
        <v>4843</v>
      </c>
      <c r="AM2024" s="76"/>
      <c r="AN2024" s="76"/>
      <c r="AO2024" s="76"/>
      <c r="AP2024" s="76"/>
      <c r="AQ2024" s="76"/>
      <c r="AR2024" s="76"/>
      <c r="AS2024" s="76"/>
      <c r="AT2024" s="76"/>
      <c r="AU2024" s="76"/>
      <c r="AV2024" s="76"/>
      <c r="AW2024" s="76"/>
      <c r="AX2024" s="76">
        <f>+AW2024*600000</f>
        <v>0</v>
      </c>
      <c r="AY2024" s="76"/>
      <c r="AZ2024" s="76">
        <f>+AY2024*70000</f>
        <v>0</v>
      </c>
      <c r="BA2024" s="76"/>
      <c r="BB2024" s="76"/>
      <c r="BC2024" s="76"/>
      <c r="BD2024" s="76">
        <f>+BC2024*30000</f>
        <v>0</v>
      </c>
      <c r="BE2024" s="76"/>
      <c r="BF2024" s="76"/>
      <c r="BG2024" s="76"/>
      <c r="BH2024" s="76"/>
      <c r="BI2024" s="76"/>
      <c r="BJ2024" s="76"/>
      <c r="BK2024" s="76"/>
      <c r="BL2024" s="76">
        <f>+BK2024*31500</f>
        <v>0</v>
      </c>
      <c r="BM2024" s="76"/>
      <c r="BN2024" s="76"/>
      <c r="BO2024" s="76"/>
      <c r="BP2024" s="76"/>
      <c r="BQ2024" s="76"/>
      <c r="BR2024" s="76"/>
      <c r="BS2024" s="76"/>
      <c r="BT2024" s="76"/>
      <c r="BU2024" s="76"/>
      <c r="BV2024" s="76"/>
      <c r="BW2024" s="76"/>
      <c r="BX2024" s="76"/>
      <c r="BY2024" s="76"/>
      <c r="BZ2024" s="76"/>
      <c r="CA2024" s="76"/>
      <c r="CB2024" s="76"/>
      <c r="CC2024" s="76"/>
      <c r="CD2024" s="76"/>
      <c r="CE2024" s="76"/>
      <c r="CF2024" s="76">
        <f>+CE2024*28000</f>
        <v>0</v>
      </c>
      <c r="CG2024" s="76"/>
      <c r="CH2024" s="76">
        <f>+CG2024*22500</f>
        <v>0</v>
      </c>
      <c r="CI2024" s="76"/>
      <c r="CJ2024" s="76">
        <f>+CI2024*26000</f>
        <v>0</v>
      </c>
      <c r="CK2024" s="76"/>
      <c r="CL2024" s="76"/>
      <c r="CM2024" s="76"/>
      <c r="CN2024" s="76">
        <f>+CM2024*22000</f>
        <v>0</v>
      </c>
      <c r="CO2024" s="76"/>
      <c r="CP2024" s="76">
        <f>+CO2024*46000</f>
        <v>0</v>
      </c>
      <c r="CQ2024" s="76"/>
      <c r="CR2024" s="76">
        <f>+CQ2024*49000</f>
        <v>0</v>
      </c>
      <c r="CS2024" s="76"/>
      <c r="CT2024" s="76"/>
      <c r="CU2024" s="56">
        <f>AN2024+AP2024+AR2024+AT2024+AV2024+AX2024+AZ2024+BB2024+BD2024+BF2024+BH2024+BJ2024+BL2024+BN2024+BP2024+BR2024+BT2024+BV2024+BX2024+BZ2024+CB2024+CD2024+CF2024+CH2024+CJ2024+CL2024+CN2024+CP2024+CR2024+CT2024</f>
        <v>0</v>
      </c>
      <c r="CV2024" s="76"/>
      <c r="CW2024" s="76">
        <f>+CV2024*1100</f>
        <v>0</v>
      </c>
      <c r="CX2024" s="76"/>
      <c r="CY2024" s="76">
        <f>+CX2024*106250</f>
        <v>0</v>
      </c>
      <c r="CZ2024" s="76"/>
      <c r="DA2024" s="76">
        <f>+CZ2024*34500</f>
        <v>0</v>
      </c>
      <c r="DB2024" s="76"/>
      <c r="DC2024" s="76">
        <f>+DB2024*25000</f>
        <v>0</v>
      </c>
      <c r="DD2024" s="219"/>
      <c r="DE2024" s="219"/>
      <c r="DF2024" s="166"/>
      <c r="DG2024" s="116"/>
      <c r="DH2024" s="117"/>
      <c r="DI2024" s="24"/>
      <c r="DJ2024" s="24"/>
      <c r="DK2024" s="24"/>
      <c r="DL2024" s="24"/>
      <c r="DM2024" s="24"/>
      <c r="DN2024" s="24"/>
      <c r="DO2024" s="24"/>
      <c r="DP2024" s="24"/>
      <c r="DQ2024" s="24"/>
      <c r="DR2024" s="24"/>
      <c r="DS2024" s="24"/>
      <c r="DT2024" s="24"/>
      <c r="DU2024" s="24"/>
    </row>
    <row r="2025" spans="1:125" s="8" customFormat="1" ht="192" x14ac:dyDescent="0.2">
      <c r="A2025" s="77">
        <v>41426</v>
      </c>
      <c r="B2025" s="225" t="s">
        <v>2848</v>
      </c>
      <c r="C2025" s="227" t="s">
        <v>2755</v>
      </c>
      <c r="D2025" s="227" t="s">
        <v>3051</v>
      </c>
      <c r="E2025" s="75" t="str">
        <f>VLOOKUP(B2025&amp;C2025,Divipola!$C$2:$F$1138,4,FALSE)</f>
        <v>73001</v>
      </c>
      <c r="F2025" s="87"/>
      <c r="G2025" s="87"/>
      <c r="H2025" s="87"/>
      <c r="I2025" s="87">
        <v>70</v>
      </c>
      <c r="J2025" s="87">
        <v>14</v>
      </c>
      <c r="K2025" s="87"/>
      <c r="L2025" s="87">
        <v>14</v>
      </c>
      <c r="M2025" s="87"/>
      <c r="N2025" s="87"/>
      <c r="O2025" s="87"/>
      <c r="P2025" s="87"/>
      <c r="Q2025" s="87"/>
      <c r="R2025" s="87"/>
      <c r="S2025" s="87"/>
      <c r="T2025" s="87"/>
      <c r="U2025" s="88"/>
      <c r="V2025" s="89"/>
      <c r="W2025" s="96">
        <v>0</v>
      </c>
      <c r="X2025" s="71">
        <f>CU2025</f>
        <v>0</v>
      </c>
      <c r="Y2025" s="71">
        <f>CY2025</f>
        <v>0</v>
      </c>
      <c r="Z2025" s="71">
        <f>DA2025+DC2025+DE2025</f>
        <v>0</v>
      </c>
      <c r="AA2025" s="71">
        <f>CW2025</f>
        <v>0</v>
      </c>
      <c r="AB2025" s="71"/>
      <c r="AC2025" s="71">
        <v>0</v>
      </c>
      <c r="AD2025" s="71">
        <f>W2025+X2025+Y2025+Z2025+AA2025+AB2025+AC2025</f>
        <v>0</v>
      </c>
      <c r="AE2025" s="72">
        <v>0</v>
      </c>
      <c r="AF2025" s="5"/>
      <c r="AG2025" s="6"/>
      <c r="AH2025" s="27" t="s">
        <v>3392</v>
      </c>
      <c r="AI2025" s="44" t="s">
        <v>3393</v>
      </c>
      <c r="AJ2025" s="26"/>
      <c r="AK2025" s="5"/>
      <c r="AL2025" s="82" t="s">
        <v>4844</v>
      </c>
      <c r="AM2025" s="76"/>
      <c r="AN2025" s="76"/>
      <c r="AO2025" s="76"/>
      <c r="AP2025" s="76"/>
      <c r="AQ2025" s="76"/>
      <c r="AR2025" s="76"/>
      <c r="AS2025" s="76"/>
      <c r="AT2025" s="76"/>
      <c r="AU2025" s="76"/>
      <c r="AV2025" s="76"/>
      <c r="AW2025" s="76"/>
      <c r="AX2025" s="76">
        <f>+AW2025*600000</f>
        <v>0</v>
      </c>
      <c r="AY2025" s="76"/>
      <c r="AZ2025" s="76">
        <f>+AY2025*70000</f>
        <v>0</v>
      </c>
      <c r="BA2025" s="76"/>
      <c r="BB2025" s="76"/>
      <c r="BC2025" s="76"/>
      <c r="BD2025" s="76">
        <f>+BC2025*30000</f>
        <v>0</v>
      </c>
      <c r="BE2025" s="76"/>
      <c r="BF2025" s="76"/>
      <c r="BG2025" s="76"/>
      <c r="BH2025" s="76"/>
      <c r="BI2025" s="76"/>
      <c r="BJ2025" s="76"/>
      <c r="BK2025" s="76"/>
      <c r="BL2025" s="76">
        <f>+BK2025*31500</f>
        <v>0</v>
      </c>
      <c r="BM2025" s="76"/>
      <c r="BN2025" s="76"/>
      <c r="BO2025" s="76"/>
      <c r="BP2025" s="76"/>
      <c r="BQ2025" s="76"/>
      <c r="BR2025" s="76"/>
      <c r="BS2025" s="76"/>
      <c r="BT2025" s="76"/>
      <c r="BU2025" s="76"/>
      <c r="BV2025" s="76"/>
      <c r="BW2025" s="76"/>
      <c r="BX2025" s="76"/>
      <c r="BY2025" s="76"/>
      <c r="BZ2025" s="76"/>
      <c r="CA2025" s="76"/>
      <c r="CB2025" s="76"/>
      <c r="CC2025" s="76"/>
      <c r="CD2025" s="76"/>
      <c r="CE2025" s="76"/>
      <c r="CF2025" s="76">
        <f>+CE2025*28000</f>
        <v>0</v>
      </c>
      <c r="CG2025" s="76"/>
      <c r="CH2025" s="76">
        <f>+CG2025*22500</f>
        <v>0</v>
      </c>
      <c r="CI2025" s="76"/>
      <c r="CJ2025" s="76">
        <f>+CI2025*26000</f>
        <v>0</v>
      </c>
      <c r="CK2025" s="76"/>
      <c r="CL2025" s="76"/>
      <c r="CM2025" s="76"/>
      <c r="CN2025" s="76">
        <f>+CM2025*22000</f>
        <v>0</v>
      </c>
      <c r="CO2025" s="76"/>
      <c r="CP2025" s="76">
        <f>+CO2025*46000</f>
        <v>0</v>
      </c>
      <c r="CQ2025" s="76"/>
      <c r="CR2025" s="76">
        <f>+CQ2025*49000</f>
        <v>0</v>
      </c>
      <c r="CS2025" s="76"/>
      <c r="CT2025" s="76"/>
      <c r="CU2025" s="56">
        <f>AN2025+AP2025+AR2025+AT2025+AV2025+AX2025+AZ2025+BB2025+BD2025+BF2025+BH2025+BJ2025+BL2025+BN2025+BP2025+BR2025+BT2025+BV2025+BX2025+BZ2025+CB2025+CD2025+CF2025+CH2025+CJ2025+CL2025+CN2025+CP2025+CR2025+CT2025</f>
        <v>0</v>
      </c>
      <c r="CV2025" s="76"/>
      <c r="CW2025" s="76">
        <f>+CV2025*1100</f>
        <v>0</v>
      </c>
      <c r="CX2025" s="76"/>
      <c r="CY2025" s="76">
        <f>+CX2025*106250</f>
        <v>0</v>
      </c>
      <c r="CZ2025" s="76"/>
      <c r="DA2025" s="76">
        <f>+CZ2025*34500</f>
        <v>0</v>
      </c>
      <c r="DB2025" s="76"/>
      <c r="DC2025" s="76">
        <f>+DB2025*25000</f>
        <v>0</v>
      </c>
      <c r="DD2025" s="219"/>
      <c r="DE2025" s="219"/>
      <c r="DF2025" s="166"/>
      <c r="DG2025" s="116"/>
      <c r="DH2025" s="117"/>
      <c r="DI2025" s="24"/>
      <c r="DJ2025" s="24"/>
      <c r="DK2025" s="24"/>
      <c r="DL2025" s="24"/>
      <c r="DM2025" s="24"/>
      <c r="DN2025" s="24"/>
      <c r="DO2025" s="24"/>
      <c r="DP2025" s="24"/>
      <c r="DQ2025" s="24"/>
      <c r="DR2025" s="24"/>
      <c r="DS2025" s="24"/>
      <c r="DT2025" s="24"/>
      <c r="DU2025" s="24"/>
    </row>
    <row r="2026" spans="1:125" s="8" customFormat="1" ht="24" x14ac:dyDescent="0.2">
      <c r="A2026" s="353">
        <v>41426</v>
      </c>
      <c r="B2026" s="352" t="s">
        <v>2848</v>
      </c>
      <c r="C2026" s="354" t="s">
        <v>1891</v>
      </c>
      <c r="D2026" s="354" t="s">
        <v>3205</v>
      </c>
      <c r="E2026" s="75" t="str">
        <f>VLOOKUP(B2026&amp;C2026,Divipola!$C$2:$F$1138,4,FALSE)</f>
        <v>73461</v>
      </c>
      <c r="F2026" s="87"/>
      <c r="G2026" s="87"/>
      <c r="H2026" s="87"/>
      <c r="I2026" s="87"/>
      <c r="J2026" s="87"/>
      <c r="K2026" s="87"/>
      <c r="L2026" s="87"/>
      <c r="M2026" s="87"/>
      <c r="N2026" s="87"/>
      <c r="O2026" s="87">
        <v>1</v>
      </c>
      <c r="P2026" s="87"/>
      <c r="Q2026" s="87"/>
      <c r="R2026" s="87"/>
      <c r="S2026" s="87"/>
      <c r="T2026" s="87"/>
      <c r="U2026" s="88"/>
      <c r="V2026" s="89"/>
      <c r="W2026" s="96">
        <v>0</v>
      </c>
      <c r="X2026" s="71">
        <f>CU2026</f>
        <v>0</v>
      </c>
      <c r="Y2026" s="71">
        <f>CY2026</f>
        <v>0</v>
      </c>
      <c r="Z2026" s="71">
        <f>DA2026+DC2026+DE2026</f>
        <v>0</v>
      </c>
      <c r="AA2026" s="71">
        <f>CW2026</f>
        <v>0</v>
      </c>
      <c r="AB2026" s="71"/>
      <c r="AC2026" s="71">
        <v>0</v>
      </c>
      <c r="AD2026" s="71">
        <f>W2026+X2026+Y2026+Z2026+AA2026+AB2026+AC2026</f>
        <v>0</v>
      </c>
      <c r="AE2026" s="72">
        <v>0</v>
      </c>
      <c r="AF2026" s="5"/>
      <c r="AG2026" s="6"/>
      <c r="AH2026" s="27" t="s">
        <v>3392</v>
      </c>
      <c r="AI2026" s="44" t="s">
        <v>3393</v>
      </c>
      <c r="AJ2026" s="26"/>
      <c r="AK2026" s="5"/>
      <c r="AL2026" s="82" t="s">
        <v>4847</v>
      </c>
      <c r="AM2026" s="76"/>
      <c r="AN2026" s="76"/>
      <c r="AO2026" s="76"/>
      <c r="AP2026" s="76"/>
      <c r="AQ2026" s="76"/>
      <c r="AR2026" s="76"/>
      <c r="AS2026" s="76"/>
      <c r="AT2026" s="76"/>
      <c r="AU2026" s="76"/>
      <c r="AV2026" s="76"/>
      <c r="AW2026" s="76"/>
      <c r="AX2026" s="76">
        <f>+AW2026*600000</f>
        <v>0</v>
      </c>
      <c r="AY2026" s="76"/>
      <c r="AZ2026" s="76">
        <f>+AY2026*70000</f>
        <v>0</v>
      </c>
      <c r="BA2026" s="76"/>
      <c r="BB2026" s="76"/>
      <c r="BC2026" s="76"/>
      <c r="BD2026" s="76">
        <f>+BC2026*30000</f>
        <v>0</v>
      </c>
      <c r="BE2026" s="76"/>
      <c r="BF2026" s="76"/>
      <c r="BG2026" s="76"/>
      <c r="BH2026" s="76"/>
      <c r="BI2026" s="76"/>
      <c r="BJ2026" s="76"/>
      <c r="BK2026" s="76"/>
      <c r="BL2026" s="76">
        <f>+BK2026*31500</f>
        <v>0</v>
      </c>
      <c r="BM2026" s="76"/>
      <c r="BN2026" s="76"/>
      <c r="BO2026" s="76"/>
      <c r="BP2026" s="76"/>
      <c r="BQ2026" s="76"/>
      <c r="BR2026" s="76"/>
      <c r="BS2026" s="76"/>
      <c r="BT2026" s="76"/>
      <c r="BU2026" s="76"/>
      <c r="BV2026" s="76"/>
      <c r="BW2026" s="76"/>
      <c r="BX2026" s="76"/>
      <c r="BY2026" s="76"/>
      <c r="BZ2026" s="76"/>
      <c r="CA2026" s="76"/>
      <c r="CB2026" s="76"/>
      <c r="CC2026" s="76"/>
      <c r="CD2026" s="76"/>
      <c r="CE2026" s="76"/>
      <c r="CF2026" s="76">
        <f>+CE2026*28000</f>
        <v>0</v>
      </c>
      <c r="CG2026" s="76"/>
      <c r="CH2026" s="76">
        <f>+CG2026*22500</f>
        <v>0</v>
      </c>
      <c r="CI2026" s="76"/>
      <c r="CJ2026" s="76">
        <f>+CI2026*26000</f>
        <v>0</v>
      </c>
      <c r="CK2026" s="76"/>
      <c r="CL2026" s="76"/>
      <c r="CM2026" s="76"/>
      <c r="CN2026" s="76">
        <f>+CM2026*22000</f>
        <v>0</v>
      </c>
      <c r="CO2026" s="76"/>
      <c r="CP2026" s="76">
        <f>+CO2026*46000</f>
        <v>0</v>
      </c>
      <c r="CQ2026" s="76"/>
      <c r="CR2026" s="76">
        <f>+CQ2026*49000</f>
        <v>0</v>
      </c>
      <c r="CS2026" s="76"/>
      <c r="CT2026" s="76"/>
      <c r="CU2026" s="56">
        <f>AN2026+AP2026+AR2026+AT2026+AV2026+AX2026+AZ2026+BB2026+BD2026+BF2026+BH2026+BJ2026+BL2026+BN2026+BP2026+BR2026+BT2026+BV2026+BX2026+BZ2026+CB2026+CD2026+CF2026+CH2026+CJ2026+CL2026+CN2026+CP2026+CR2026+CT2026</f>
        <v>0</v>
      </c>
      <c r="CV2026" s="76"/>
      <c r="CW2026" s="76">
        <f>+CV2026*1100</f>
        <v>0</v>
      </c>
      <c r="CX2026" s="76"/>
      <c r="CY2026" s="76">
        <f>+CX2026*106250</f>
        <v>0</v>
      </c>
      <c r="CZ2026" s="76"/>
      <c r="DA2026" s="76">
        <f>+CZ2026*34500</f>
        <v>0</v>
      </c>
      <c r="DB2026" s="76"/>
      <c r="DC2026" s="76">
        <f>+DB2026*25000</f>
        <v>0</v>
      </c>
      <c r="DD2026" s="219"/>
      <c r="DE2026" s="219"/>
      <c r="DF2026" s="166"/>
      <c r="DG2026" s="116"/>
      <c r="DH2026" s="117"/>
      <c r="DI2026" s="24"/>
      <c r="DJ2026" s="24"/>
      <c r="DK2026" s="24"/>
      <c r="DL2026" s="24"/>
      <c r="DM2026" s="24"/>
      <c r="DN2026" s="24"/>
      <c r="DO2026" s="24"/>
      <c r="DP2026" s="24"/>
      <c r="DQ2026" s="24"/>
      <c r="DR2026" s="24"/>
      <c r="DS2026" s="24"/>
      <c r="DT2026" s="24"/>
      <c r="DU2026" s="24"/>
    </row>
    <row r="2027" spans="1:125" s="8" customFormat="1" ht="48" x14ac:dyDescent="0.2">
      <c r="A2027" s="353">
        <v>41426</v>
      </c>
      <c r="B2027" s="352" t="s">
        <v>2848</v>
      </c>
      <c r="C2027" s="354" t="s">
        <v>1891</v>
      </c>
      <c r="D2027" s="354" t="s">
        <v>3088</v>
      </c>
      <c r="E2027" s="75" t="str">
        <f>VLOOKUP(B2027&amp;C2027,Divipola!$C$2:$F$1138,4,FALSE)</f>
        <v>73461</v>
      </c>
      <c r="F2027" s="87"/>
      <c r="G2027" s="87"/>
      <c r="H2027" s="87"/>
      <c r="I2027" s="87"/>
      <c r="J2027" s="87"/>
      <c r="K2027" s="87"/>
      <c r="L2027" s="87"/>
      <c r="M2027" s="87">
        <v>1</v>
      </c>
      <c r="N2027" s="87"/>
      <c r="O2027" s="87"/>
      <c r="P2027" s="87"/>
      <c r="Q2027" s="87"/>
      <c r="R2027" s="87"/>
      <c r="S2027" s="87"/>
      <c r="T2027" s="87"/>
      <c r="U2027" s="88"/>
      <c r="V2027" s="89"/>
      <c r="W2027" s="96">
        <v>0</v>
      </c>
      <c r="X2027" s="71">
        <f>CU2027</f>
        <v>0</v>
      </c>
      <c r="Y2027" s="71">
        <f>CY2027</f>
        <v>0</v>
      </c>
      <c r="Z2027" s="71">
        <f>DA2027+DC2027+DE2027</f>
        <v>0</v>
      </c>
      <c r="AA2027" s="71">
        <f>CW2027</f>
        <v>0</v>
      </c>
      <c r="AB2027" s="71"/>
      <c r="AC2027" s="71">
        <v>0</v>
      </c>
      <c r="AD2027" s="71">
        <f>W2027+X2027+Y2027+Z2027+AA2027+AB2027+AC2027</f>
        <v>0</v>
      </c>
      <c r="AE2027" s="72">
        <v>0</v>
      </c>
      <c r="AF2027" s="5"/>
      <c r="AG2027" s="6"/>
      <c r="AH2027" s="27" t="s">
        <v>3392</v>
      </c>
      <c r="AI2027" s="44" t="s">
        <v>3393</v>
      </c>
      <c r="AJ2027" s="26"/>
      <c r="AK2027" s="5"/>
      <c r="AL2027" s="82" t="s">
        <v>4846</v>
      </c>
      <c r="AM2027" s="76"/>
      <c r="AN2027" s="76"/>
      <c r="AO2027" s="76"/>
      <c r="AP2027" s="76"/>
      <c r="AQ2027" s="76"/>
      <c r="AR2027" s="76"/>
      <c r="AS2027" s="76"/>
      <c r="AT2027" s="76"/>
      <c r="AU2027" s="76"/>
      <c r="AV2027" s="76"/>
      <c r="AW2027" s="76"/>
      <c r="AX2027" s="76">
        <f>+AW2027*600000</f>
        <v>0</v>
      </c>
      <c r="AY2027" s="76"/>
      <c r="AZ2027" s="76">
        <f>+AY2027*70000</f>
        <v>0</v>
      </c>
      <c r="BA2027" s="76"/>
      <c r="BB2027" s="76"/>
      <c r="BC2027" s="76"/>
      <c r="BD2027" s="76">
        <f>+BC2027*30000</f>
        <v>0</v>
      </c>
      <c r="BE2027" s="76"/>
      <c r="BF2027" s="76"/>
      <c r="BG2027" s="76"/>
      <c r="BH2027" s="76"/>
      <c r="BI2027" s="76"/>
      <c r="BJ2027" s="76"/>
      <c r="BK2027" s="76"/>
      <c r="BL2027" s="76">
        <f>+BK2027*31500</f>
        <v>0</v>
      </c>
      <c r="BM2027" s="76"/>
      <c r="BN2027" s="76"/>
      <c r="BO2027" s="76"/>
      <c r="BP2027" s="76"/>
      <c r="BQ2027" s="76"/>
      <c r="BR2027" s="76"/>
      <c r="BS2027" s="76"/>
      <c r="BT2027" s="76"/>
      <c r="BU2027" s="76"/>
      <c r="BV2027" s="76"/>
      <c r="BW2027" s="76"/>
      <c r="BX2027" s="76"/>
      <c r="BY2027" s="76"/>
      <c r="BZ2027" s="76"/>
      <c r="CA2027" s="76"/>
      <c r="CB2027" s="76"/>
      <c r="CC2027" s="76"/>
      <c r="CD2027" s="76"/>
      <c r="CE2027" s="76"/>
      <c r="CF2027" s="76">
        <f>+CE2027*28000</f>
        <v>0</v>
      </c>
      <c r="CG2027" s="76"/>
      <c r="CH2027" s="76">
        <f>+CG2027*22500</f>
        <v>0</v>
      </c>
      <c r="CI2027" s="76"/>
      <c r="CJ2027" s="76">
        <f>+CI2027*26000</f>
        <v>0</v>
      </c>
      <c r="CK2027" s="76"/>
      <c r="CL2027" s="76"/>
      <c r="CM2027" s="76"/>
      <c r="CN2027" s="76">
        <f>+CM2027*22000</f>
        <v>0</v>
      </c>
      <c r="CO2027" s="76"/>
      <c r="CP2027" s="76">
        <f>+CO2027*46000</f>
        <v>0</v>
      </c>
      <c r="CQ2027" s="76"/>
      <c r="CR2027" s="76">
        <f>+CQ2027*49000</f>
        <v>0</v>
      </c>
      <c r="CS2027" s="76"/>
      <c r="CT2027" s="76"/>
      <c r="CU2027" s="56">
        <f>AN2027+AP2027+AR2027+AT2027+AV2027+AX2027+AZ2027+BB2027+BD2027+BF2027+BH2027+BJ2027+BL2027+BN2027+BP2027+BR2027+BT2027+BV2027+BX2027+BZ2027+CB2027+CD2027+CF2027+CH2027+CJ2027+CL2027+CN2027+CP2027+CR2027+CT2027</f>
        <v>0</v>
      </c>
      <c r="CV2027" s="76"/>
      <c r="CW2027" s="76">
        <f>+CV2027*1100</f>
        <v>0</v>
      </c>
      <c r="CX2027" s="76"/>
      <c r="CY2027" s="76">
        <f>+CX2027*106250</f>
        <v>0</v>
      </c>
      <c r="CZ2027" s="76"/>
      <c r="DA2027" s="76">
        <f>+CZ2027*34500</f>
        <v>0</v>
      </c>
      <c r="DB2027" s="76"/>
      <c r="DC2027" s="76">
        <f>+DB2027*25000</f>
        <v>0</v>
      </c>
      <c r="DD2027" s="219"/>
      <c r="DE2027" s="219"/>
      <c r="DF2027" s="166"/>
      <c r="DG2027" s="116"/>
      <c r="DH2027" s="117"/>
      <c r="DI2027" s="24"/>
      <c r="DJ2027" s="24"/>
      <c r="DK2027" s="24"/>
      <c r="DL2027" s="24"/>
      <c r="DM2027" s="24"/>
      <c r="DN2027" s="24"/>
      <c r="DO2027" s="24"/>
      <c r="DP2027" s="24"/>
      <c r="DQ2027" s="24"/>
      <c r="DR2027" s="24"/>
      <c r="DS2027" s="24"/>
      <c r="DT2027" s="24"/>
      <c r="DU2027" s="24"/>
    </row>
    <row r="2028" spans="1:125" s="8" customFormat="1" ht="132" x14ac:dyDescent="0.2">
      <c r="A2028" s="353">
        <v>41426</v>
      </c>
      <c r="B2028" s="225" t="s">
        <v>2848</v>
      </c>
      <c r="C2028" s="227" t="s">
        <v>1907</v>
      </c>
      <c r="D2028" s="227" t="s">
        <v>3088</v>
      </c>
      <c r="E2028" s="75" t="str">
        <f>VLOOKUP(B2028&amp;C2028,Divipola!$C$2:$F$1138,4,FALSE)</f>
        <v>73624</v>
      </c>
      <c r="F2028" s="87"/>
      <c r="G2028" s="87"/>
      <c r="H2028" s="87"/>
      <c r="I2028" s="87">
        <v>1571</v>
      </c>
      <c r="J2028" s="87">
        <v>490</v>
      </c>
      <c r="K2028" s="87">
        <v>15</v>
      </c>
      <c r="L2028" s="87">
        <v>111</v>
      </c>
      <c r="M2028" s="87">
        <v>65</v>
      </c>
      <c r="N2028" s="87"/>
      <c r="O2028" s="87"/>
      <c r="P2028" s="87">
        <v>12</v>
      </c>
      <c r="Q2028" s="87"/>
      <c r="R2028" s="87"/>
      <c r="S2028" s="87"/>
      <c r="T2028" s="87"/>
      <c r="U2028" s="88">
        <v>371</v>
      </c>
      <c r="V2028" s="89"/>
      <c r="W2028" s="96">
        <v>0</v>
      </c>
      <c r="X2028" s="71">
        <f>CU2028</f>
        <v>0</v>
      </c>
      <c r="Y2028" s="71">
        <f>CY2028</f>
        <v>0</v>
      </c>
      <c r="Z2028" s="71">
        <f>DA2028+DC2028+DE2028</f>
        <v>328247195.19999999</v>
      </c>
      <c r="AA2028" s="71">
        <f>CW2028</f>
        <v>0</v>
      </c>
      <c r="AB2028" s="71"/>
      <c r="AC2028" s="71">
        <v>0</v>
      </c>
      <c r="AD2028" s="71">
        <f>W2028+X2028+Y2028+Z2028+AA2028+AB2028+AC2028</f>
        <v>328247195.19999999</v>
      </c>
      <c r="AE2028" s="72">
        <v>0</v>
      </c>
      <c r="AF2028" s="5"/>
      <c r="AG2028" s="6"/>
      <c r="AH2028" s="27" t="s">
        <v>3390</v>
      </c>
      <c r="AI2028" s="44" t="s">
        <v>3391</v>
      </c>
      <c r="AJ2028" s="26"/>
      <c r="AK2028" s="5"/>
      <c r="AL2028" s="82" t="s">
        <v>4919</v>
      </c>
      <c r="AM2028" s="76"/>
      <c r="AN2028" s="76"/>
      <c r="AO2028" s="76"/>
      <c r="AP2028" s="76"/>
      <c r="AQ2028" s="76"/>
      <c r="AR2028" s="76"/>
      <c r="AS2028" s="76"/>
      <c r="AT2028" s="76"/>
      <c r="AU2028" s="76"/>
      <c r="AV2028" s="76"/>
      <c r="AW2028" s="76"/>
      <c r="AX2028" s="76">
        <f>+AW2028*600000</f>
        <v>0</v>
      </c>
      <c r="AY2028" s="76"/>
      <c r="AZ2028" s="76">
        <f>+AY2028*70000</f>
        <v>0</v>
      </c>
      <c r="BA2028" s="76"/>
      <c r="BB2028" s="76"/>
      <c r="BC2028" s="76"/>
      <c r="BD2028" s="76">
        <f>+BC2028*30000</f>
        <v>0</v>
      </c>
      <c r="BE2028" s="76"/>
      <c r="BF2028" s="76"/>
      <c r="BG2028" s="76"/>
      <c r="BH2028" s="76"/>
      <c r="BI2028" s="76"/>
      <c r="BJ2028" s="76"/>
      <c r="BK2028" s="76"/>
      <c r="BL2028" s="76">
        <f>+BK2028*31500</f>
        <v>0</v>
      </c>
      <c r="BM2028" s="76"/>
      <c r="BN2028" s="76"/>
      <c r="BO2028" s="76"/>
      <c r="BP2028" s="76"/>
      <c r="BQ2028" s="76"/>
      <c r="BR2028" s="76"/>
      <c r="BS2028" s="76"/>
      <c r="BT2028" s="76"/>
      <c r="BU2028" s="76"/>
      <c r="BV2028" s="76"/>
      <c r="BW2028" s="76"/>
      <c r="BX2028" s="76"/>
      <c r="BY2028" s="76"/>
      <c r="BZ2028" s="76"/>
      <c r="CA2028" s="76"/>
      <c r="CB2028" s="76"/>
      <c r="CC2028" s="76"/>
      <c r="CD2028" s="76"/>
      <c r="CE2028" s="76"/>
      <c r="CF2028" s="76">
        <f>+CE2028*28000</f>
        <v>0</v>
      </c>
      <c r="CG2028" s="76"/>
      <c r="CH2028" s="76">
        <f>+CG2028*22500</f>
        <v>0</v>
      </c>
      <c r="CI2028" s="76"/>
      <c r="CJ2028" s="76">
        <f>+CI2028*26000</f>
        <v>0</v>
      </c>
      <c r="CK2028" s="76"/>
      <c r="CL2028" s="76"/>
      <c r="CM2028" s="76"/>
      <c r="CN2028" s="76">
        <f>+CM2028*22000</f>
        <v>0</v>
      </c>
      <c r="CO2028" s="76"/>
      <c r="CP2028" s="76">
        <f>+CO2028*46000</f>
        <v>0</v>
      </c>
      <c r="CQ2028" s="76"/>
      <c r="CR2028" s="76">
        <f>+CQ2028*49000</f>
        <v>0</v>
      </c>
      <c r="CS2028" s="76"/>
      <c r="CT2028" s="76"/>
      <c r="CU2028" s="56">
        <f>AN2028+AP2028+AR2028+AT2028+AV2028+AX2028+AZ2028+BB2028+BD2028+BF2028+BH2028+BJ2028+BL2028+BN2028+BP2028+BR2028+BT2028+BV2028+BX2028+BZ2028+CB2028+CD2028+CF2028+CH2028+CJ2028+CL2028+CN2028+CP2028+CR2028+CT2028</f>
        <v>0</v>
      </c>
      <c r="CV2028" s="76"/>
      <c r="CW2028" s="76">
        <f>+CV2028*1100</f>
        <v>0</v>
      </c>
      <c r="CX2028" s="76"/>
      <c r="CY2028" s="76">
        <f>+CX2028*106250</f>
        <v>0</v>
      </c>
      <c r="CZ2028" s="76"/>
      <c r="DA2028" s="76">
        <f>+CZ2028*34500</f>
        <v>0</v>
      </c>
      <c r="DB2028" s="76"/>
      <c r="DC2028" s="76">
        <f>+DB2028*25000</f>
        <v>0</v>
      </c>
      <c r="DD2028" s="222" t="s">
        <v>4944</v>
      </c>
      <c r="DE2028" s="309">
        <v>328247195.19999999</v>
      </c>
      <c r="DF2028" s="166"/>
      <c r="DG2028" s="134" t="s">
        <v>5873</v>
      </c>
      <c r="DH2028" s="117"/>
      <c r="DI2028" s="24"/>
      <c r="DJ2028" s="24"/>
      <c r="DK2028" s="24"/>
      <c r="DL2028" s="24"/>
      <c r="DM2028" s="24"/>
      <c r="DN2028" s="24"/>
      <c r="DO2028" s="24"/>
      <c r="DP2028" s="24"/>
      <c r="DQ2028" s="24"/>
      <c r="DR2028" s="24"/>
      <c r="DS2028" s="24"/>
      <c r="DT2028" s="24"/>
      <c r="DU2028" s="24"/>
    </row>
    <row r="2029" spans="1:125" s="8" customFormat="1" ht="24" x14ac:dyDescent="0.2">
      <c r="A2029" s="77">
        <v>41426</v>
      </c>
      <c r="B2029" s="352" t="s">
        <v>2851</v>
      </c>
      <c r="C2029" s="354" t="s">
        <v>2712</v>
      </c>
      <c r="D2029" s="354" t="s">
        <v>3051</v>
      </c>
      <c r="E2029" s="75" t="str">
        <f>VLOOKUP(B2029&amp;C2029,Divipola!$C$2:$F$1138,4,FALSE)</f>
        <v>76113</v>
      </c>
      <c r="F2029" s="87"/>
      <c r="G2029" s="87"/>
      <c r="H2029" s="87"/>
      <c r="I2029" s="87"/>
      <c r="J2029" s="87"/>
      <c r="K2029" s="87"/>
      <c r="L2029" s="87"/>
      <c r="M2029" s="87"/>
      <c r="N2029" s="87"/>
      <c r="O2029" s="87"/>
      <c r="P2029" s="87"/>
      <c r="Q2029" s="87"/>
      <c r="R2029" s="87"/>
      <c r="S2029" s="87"/>
      <c r="T2029" s="87"/>
      <c r="U2029" s="88"/>
      <c r="V2029" s="89"/>
      <c r="W2029" s="96">
        <v>0</v>
      </c>
      <c r="X2029" s="71">
        <f>CU2029</f>
        <v>0</v>
      </c>
      <c r="Y2029" s="71">
        <f>CY2029</f>
        <v>0</v>
      </c>
      <c r="Z2029" s="71">
        <f>DA2029+DC2029+DE2029</f>
        <v>0</v>
      </c>
      <c r="AA2029" s="71">
        <f>CW2029</f>
        <v>0</v>
      </c>
      <c r="AB2029" s="71"/>
      <c r="AC2029" s="71">
        <v>0</v>
      </c>
      <c r="AD2029" s="71">
        <f>W2029+X2029+Y2029+Z2029+AA2029+AB2029+AC2029</f>
        <v>0</v>
      </c>
      <c r="AE2029" s="72">
        <v>0</v>
      </c>
      <c r="AF2029" s="5"/>
      <c r="AG2029" s="6"/>
      <c r="AH2029" s="27" t="s">
        <v>3392</v>
      </c>
      <c r="AI2029" s="44" t="s">
        <v>3393</v>
      </c>
      <c r="AJ2029" s="26"/>
      <c r="AK2029" s="5"/>
      <c r="AL2029" s="82" t="s">
        <v>4834</v>
      </c>
      <c r="AM2029" s="76"/>
      <c r="AN2029" s="76"/>
      <c r="AO2029" s="76"/>
      <c r="AP2029" s="76"/>
      <c r="AQ2029" s="76"/>
      <c r="AR2029" s="76"/>
      <c r="AS2029" s="76"/>
      <c r="AT2029" s="76"/>
      <c r="AU2029" s="76"/>
      <c r="AV2029" s="76"/>
      <c r="AW2029" s="76"/>
      <c r="AX2029" s="76">
        <f>+AW2029*600000</f>
        <v>0</v>
      </c>
      <c r="AY2029" s="76"/>
      <c r="AZ2029" s="76">
        <f>+AY2029*70000</f>
        <v>0</v>
      </c>
      <c r="BA2029" s="76"/>
      <c r="BB2029" s="76"/>
      <c r="BC2029" s="76"/>
      <c r="BD2029" s="76">
        <f>+BC2029*30000</f>
        <v>0</v>
      </c>
      <c r="BE2029" s="76"/>
      <c r="BF2029" s="76"/>
      <c r="BG2029" s="76"/>
      <c r="BH2029" s="76"/>
      <c r="BI2029" s="76"/>
      <c r="BJ2029" s="76"/>
      <c r="BK2029" s="76"/>
      <c r="BL2029" s="76">
        <f>+BK2029*31500</f>
        <v>0</v>
      </c>
      <c r="BM2029" s="76"/>
      <c r="BN2029" s="76"/>
      <c r="BO2029" s="76"/>
      <c r="BP2029" s="76"/>
      <c r="BQ2029" s="76"/>
      <c r="BR2029" s="76"/>
      <c r="BS2029" s="76"/>
      <c r="BT2029" s="76"/>
      <c r="BU2029" s="76"/>
      <c r="BV2029" s="76"/>
      <c r="BW2029" s="76"/>
      <c r="BX2029" s="76"/>
      <c r="BY2029" s="76"/>
      <c r="BZ2029" s="76"/>
      <c r="CA2029" s="76"/>
      <c r="CB2029" s="76"/>
      <c r="CC2029" s="76"/>
      <c r="CD2029" s="76"/>
      <c r="CE2029" s="76"/>
      <c r="CF2029" s="76">
        <f>+CE2029*28000</f>
        <v>0</v>
      </c>
      <c r="CG2029" s="76"/>
      <c r="CH2029" s="76">
        <f>+CG2029*22500</f>
        <v>0</v>
      </c>
      <c r="CI2029" s="76"/>
      <c r="CJ2029" s="76">
        <f>+CI2029*26000</f>
        <v>0</v>
      </c>
      <c r="CK2029" s="76"/>
      <c r="CL2029" s="76"/>
      <c r="CM2029" s="76"/>
      <c r="CN2029" s="76">
        <f>+CM2029*22000</f>
        <v>0</v>
      </c>
      <c r="CO2029" s="76"/>
      <c r="CP2029" s="76">
        <f>+CO2029*46000</f>
        <v>0</v>
      </c>
      <c r="CQ2029" s="76"/>
      <c r="CR2029" s="76">
        <f>+CQ2029*49000</f>
        <v>0</v>
      </c>
      <c r="CS2029" s="76"/>
      <c r="CT2029" s="76"/>
      <c r="CU2029" s="56">
        <f>AN2029+AP2029+AR2029+AT2029+AV2029+AX2029+AZ2029+BB2029+BD2029+BF2029+BH2029+BJ2029+BL2029+BN2029+BP2029+BR2029+BT2029+BV2029+BX2029+BZ2029+CB2029+CD2029+CF2029+CH2029+CJ2029+CL2029+CN2029+CP2029+CR2029+CT2029</f>
        <v>0</v>
      </c>
      <c r="CV2029" s="76"/>
      <c r="CW2029" s="76">
        <f>+CV2029*1100</f>
        <v>0</v>
      </c>
      <c r="CX2029" s="76"/>
      <c r="CY2029" s="76">
        <f>+CX2029*106250</f>
        <v>0</v>
      </c>
      <c r="CZ2029" s="76"/>
      <c r="DA2029" s="76">
        <f>+CZ2029*34500</f>
        <v>0</v>
      </c>
      <c r="DB2029" s="76"/>
      <c r="DC2029" s="76">
        <f>+DB2029*25000</f>
        <v>0</v>
      </c>
      <c r="DD2029" s="219"/>
      <c r="DE2029" s="219"/>
      <c r="DF2029" s="166"/>
      <c r="DG2029" s="116"/>
      <c r="DH2029" s="117"/>
      <c r="DI2029" s="24"/>
      <c r="DJ2029" s="24"/>
      <c r="DK2029" s="24"/>
      <c r="DL2029" s="24"/>
      <c r="DM2029" s="24"/>
      <c r="DN2029" s="24"/>
      <c r="DO2029" s="24"/>
      <c r="DP2029" s="24"/>
      <c r="DQ2029" s="24"/>
      <c r="DR2029" s="24"/>
      <c r="DS2029" s="24"/>
      <c r="DT2029" s="24"/>
      <c r="DU2029" s="24"/>
    </row>
    <row r="2030" spans="1:125" s="8" customFormat="1" ht="120" x14ac:dyDescent="0.2">
      <c r="A2030" s="77">
        <v>41426</v>
      </c>
      <c r="B2030" s="78" t="s">
        <v>2851</v>
      </c>
      <c r="C2030" s="75" t="s">
        <v>2704</v>
      </c>
      <c r="D2030" s="75" t="s">
        <v>3088</v>
      </c>
      <c r="E2030" s="75" t="str">
        <f>VLOOKUP(B2030&amp;C2030,Divipola!$C$2:$F$1138,4,FALSE)</f>
        <v>76243</v>
      </c>
      <c r="F2030" s="87"/>
      <c r="G2030" s="87"/>
      <c r="H2030" s="87"/>
      <c r="I2030" s="87"/>
      <c r="J2030" s="87"/>
      <c r="K2030" s="87"/>
      <c r="L2030" s="87"/>
      <c r="M2030" s="87">
        <v>1</v>
      </c>
      <c r="N2030" s="87"/>
      <c r="O2030" s="87"/>
      <c r="P2030" s="87"/>
      <c r="Q2030" s="87"/>
      <c r="R2030" s="87"/>
      <c r="S2030" s="87"/>
      <c r="T2030" s="87"/>
      <c r="U2030" s="88"/>
      <c r="V2030" s="89"/>
      <c r="W2030" s="96">
        <v>0</v>
      </c>
      <c r="X2030" s="71">
        <f>CU2030</f>
        <v>0</v>
      </c>
      <c r="Y2030" s="71">
        <f>CY2030</f>
        <v>0</v>
      </c>
      <c r="Z2030" s="71">
        <f>DA2030+DC2030+DE2030</f>
        <v>0</v>
      </c>
      <c r="AA2030" s="71">
        <f>CW2030</f>
        <v>0</v>
      </c>
      <c r="AB2030" s="71"/>
      <c r="AC2030" s="71">
        <v>0</v>
      </c>
      <c r="AD2030" s="71">
        <f>W2030+X2030+Y2030+Z2030+AA2030+AB2030+AC2030</f>
        <v>0</v>
      </c>
      <c r="AE2030" s="72">
        <v>0</v>
      </c>
      <c r="AF2030" s="5"/>
      <c r="AG2030" s="6"/>
      <c r="AH2030" s="27" t="s">
        <v>3392</v>
      </c>
      <c r="AI2030" s="44" t="s">
        <v>3393</v>
      </c>
      <c r="AJ2030" s="26"/>
      <c r="AK2030" s="5"/>
      <c r="AL2030" s="82" t="s">
        <v>4831</v>
      </c>
      <c r="AM2030" s="76"/>
      <c r="AN2030" s="76"/>
      <c r="AO2030" s="76"/>
      <c r="AP2030" s="76"/>
      <c r="AQ2030" s="76"/>
      <c r="AR2030" s="76"/>
      <c r="AS2030" s="76"/>
      <c r="AT2030" s="76"/>
      <c r="AU2030" s="76"/>
      <c r="AV2030" s="76"/>
      <c r="AW2030" s="76"/>
      <c r="AX2030" s="76">
        <f>+AW2030*600000</f>
        <v>0</v>
      </c>
      <c r="AY2030" s="76"/>
      <c r="AZ2030" s="76">
        <f>+AY2030*70000</f>
        <v>0</v>
      </c>
      <c r="BA2030" s="76"/>
      <c r="BB2030" s="76"/>
      <c r="BC2030" s="76"/>
      <c r="BD2030" s="76">
        <f>+BC2030*30000</f>
        <v>0</v>
      </c>
      <c r="BE2030" s="76"/>
      <c r="BF2030" s="76"/>
      <c r="BG2030" s="76"/>
      <c r="BH2030" s="76"/>
      <c r="BI2030" s="76"/>
      <c r="BJ2030" s="76"/>
      <c r="BK2030" s="76"/>
      <c r="BL2030" s="76">
        <f>+BK2030*31500</f>
        <v>0</v>
      </c>
      <c r="BM2030" s="76"/>
      <c r="BN2030" s="76"/>
      <c r="BO2030" s="76"/>
      <c r="BP2030" s="76"/>
      <c r="BQ2030" s="76"/>
      <c r="BR2030" s="76"/>
      <c r="BS2030" s="76"/>
      <c r="BT2030" s="76"/>
      <c r="BU2030" s="76"/>
      <c r="BV2030" s="76"/>
      <c r="BW2030" s="76"/>
      <c r="BX2030" s="76"/>
      <c r="BY2030" s="76"/>
      <c r="BZ2030" s="76"/>
      <c r="CA2030" s="76"/>
      <c r="CB2030" s="76"/>
      <c r="CC2030" s="76"/>
      <c r="CD2030" s="76"/>
      <c r="CE2030" s="76"/>
      <c r="CF2030" s="76">
        <f>+CE2030*28000</f>
        <v>0</v>
      </c>
      <c r="CG2030" s="76"/>
      <c r="CH2030" s="76">
        <f>+CG2030*22500</f>
        <v>0</v>
      </c>
      <c r="CI2030" s="76"/>
      <c r="CJ2030" s="76">
        <f>+CI2030*26000</f>
        <v>0</v>
      </c>
      <c r="CK2030" s="76"/>
      <c r="CL2030" s="76"/>
      <c r="CM2030" s="76"/>
      <c r="CN2030" s="76">
        <f>+CM2030*22000</f>
        <v>0</v>
      </c>
      <c r="CO2030" s="76"/>
      <c r="CP2030" s="76">
        <f>+CO2030*46000</f>
        <v>0</v>
      </c>
      <c r="CQ2030" s="76"/>
      <c r="CR2030" s="76">
        <f>+CQ2030*49000</f>
        <v>0</v>
      </c>
      <c r="CS2030" s="76"/>
      <c r="CT2030" s="76"/>
      <c r="CU2030" s="56">
        <f>AN2030+AP2030+AR2030+AT2030+AV2030+AX2030+AZ2030+BB2030+BD2030+BF2030+BH2030+BJ2030+BL2030+BN2030+BP2030+BR2030+BT2030+BV2030+BX2030+BZ2030+CB2030+CD2030+CF2030+CH2030+CJ2030+CL2030+CN2030+CP2030+CR2030+CT2030</f>
        <v>0</v>
      </c>
      <c r="CV2030" s="76"/>
      <c r="CW2030" s="76">
        <f>+CV2030*1100</f>
        <v>0</v>
      </c>
      <c r="CX2030" s="76"/>
      <c r="CY2030" s="76">
        <f>+CX2030*106250</f>
        <v>0</v>
      </c>
      <c r="CZ2030" s="76"/>
      <c r="DA2030" s="76">
        <f>+CZ2030*34500</f>
        <v>0</v>
      </c>
      <c r="DB2030" s="76"/>
      <c r="DC2030" s="76">
        <f>+DB2030*25000</f>
        <v>0</v>
      </c>
      <c r="DD2030" s="219"/>
      <c r="DE2030" s="219"/>
      <c r="DF2030" s="166"/>
      <c r="DG2030" s="116"/>
      <c r="DH2030" s="117"/>
      <c r="DI2030" s="24"/>
      <c r="DJ2030" s="24"/>
      <c r="DK2030" s="24"/>
      <c r="DL2030" s="24"/>
      <c r="DM2030" s="24"/>
      <c r="DN2030" s="24"/>
      <c r="DO2030" s="24"/>
      <c r="DP2030" s="24"/>
      <c r="DQ2030" s="24"/>
      <c r="DR2030" s="24"/>
      <c r="DS2030" s="24"/>
      <c r="DT2030" s="24"/>
      <c r="DU2030" s="24"/>
    </row>
    <row r="2031" spans="1:125" s="8" customFormat="1" ht="24" x14ac:dyDescent="0.2">
      <c r="A2031" s="77">
        <v>41426</v>
      </c>
      <c r="B2031" s="78" t="s">
        <v>2851</v>
      </c>
      <c r="C2031" s="75" t="s">
        <v>2057</v>
      </c>
      <c r="D2031" s="75" t="s">
        <v>2882</v>
      </c>
      <c r="E2031" s="75" t="str">
        <f>VLOOKUP(B2031&amp;C2031,Divipola!$C$2:$F$1138,4,FALSE)</f>
        <v>76250</v>
      </c>
      <c r="F2031" s="163"/>
      <c r="G2031" s="163"/>
      <c r="H2031" s="163"/>
      <c r="I2031" s="163">
        <f>34*5</f>
        <v>170</v>
      </c>
      <c r="J2031" s="163">
        <v>34</v>
      </c>
      <c r="K2031" s="163"/>
      <c r="L2031" s="163">
        <v>34</v>
      </c>
      <c r="M2031" s="163"/>
      <c r="N2031" s="163"/>
      <c r="O2031" s="163"/>
      <c r="P2031" s="163"/>
      <c r="Q2031" s="163"/>
      <c r="R2031" s="163"/>
      <c r="S2031" s="163"/>
      <c r="T2031" s="163"/>
      <c r="U2031" s="163"/>
      <c r="V2031" s="134"/>
      <c r="W2031" s="96">
        <v>0</v>
      </c>
      <c r="X2031" s="71">
        <f>CU2031</f>
        <v>0</v>
      </c>
      <c r="Y2031" s="71">
        <f>CY2031</f>
        <v>0</v>
      </c>
      <c r="Z2031" s="71">
        <f>DA2031+DC2031+DE2031</f>
        <v>160338221.59999999</v>
      </c>
      <c r="AA2031" s="71">
        <f>CW2031</f>
        <v>0</v>
      </c>
      <c r="AB2031" s="71"/>
      <c r="AC2031" s="71">
        <v>0</v>
      </c>
      <c r="AD2031" s="71">
        <f>W2031+X2031+Y2031+Z2031+AA2031+AB2031+AC2031</f>
        <v>160338221.59999999</v>
      </c>
      <c r="AE2031" s="72">
        <v>0</v>
      </c>
      <c r="AF2031" s="5"/>
      <c r="AG2031" s="6"/>
      <c r="AH2031" s="27" t="s">
        <v>3390</v>
      </c>
      <c r="AI2031" s="44" t="s">
        <v>3391</v>
      </c>
      <c r="AJ2031" s="26"/>
      <c r="AK2031" s="5"/>
      <c r="AL2031" s="82"/>
      <c r="AM2031" s="76"/>
      <c r="AN2031" s="76"/>
      <c r="AO2031" s="76"/>
      <c r="AP2031" s="76"/>
      <c r="AQ2031" s="76"/>
      <c r="AR2031" s="76"/>
      <c r="AS2031" s="76"/>
      <c r="AT2031" s="76"/>
      <c r="AU2031" s="76"/>
      <c r="AV2031" s="76"/>
      <c r="AW2031" s="76"/>
      <c r="AX2031" s="76">
        <f>+AW2031*600000</f>
        <v>0</v>
      </c>
      <c r="AY2031" s="76"/>
      <c r="AZ2031" s="76">
        <f>+AY2031*70000</f>
        <v>0</v>
      </c>
      <c r="BA2031" s="76"/>
      <c r="BB2031" s="76"/>
      <c r="BC2031" s="76"/>
      <c r="BD2031" s="76">
        <f>+BC2031*30000</f>
        <v>0</v>
      </c>
      <c r="BE2031" s="76"/>
      <c r="BF2031" s="76"/>
      <c r="BG2031" s="76"/>
      <c r="BH2031" s="76"/>
      <c r="BI2031" s="76"/>
      <c r="BJ2031" s="76"/>
      <c r="BK2031" s="76"/>
      <c r="BL2031" s="76">
        <f>+BK2031*31500</f>
        <v>0</v>
      </c>
      <c r="BM2031" s="76"/>
      <c r="BN2031" s="76"/>
      <c r="BO2031" s="76"/>
      <c r="BP2031" s="76"/>
      <c r="BQ2031" s="76"/>
      <c r="BR2031" s="76"/>
      <c r="BS2031" s="76"/>
      <c r="BT2031" s="76"/>
      <c r="BU2031" s="76"/>
      <c r="BV2031" s="76"/>
      <c r="BW2031" s="76"/>
      <c r="BX2031" s="76"/>
      <c r="BY2031" s="76"/>
      <c r="BZ2031" s="76"/>
      <c r="CA2031" s="76"/>
      <c r="CB2031" s="76"/>
      <c r="CC2031" s="76"/>
      <c r="CD2031" s="76"/>
      <c r="CE2031" s="76"/>
      <c r="CF2031" s="76">
        <f>+CE2031*28000</f>
        <v>0</v>
      </c>
      <c r="CG2031" s="76"/>
      <c r="CH2031" s="76">
        <f>+CG2031*22500</f>
        <v>0</v>
      </c>
      <c r="CI2031" s="76"/>
      <c r="CJ2031" s="76">
        <f>+CI2031*26000</f>
        <v>0</v>
      </c>
      <c r="CK2031" s="76"/>
      <c r="CL2031" s="76"/>
      <c r="CM2031" s="76"/>
      <c r="CN2031" s="76">
        <f>+CM2031*22000</f>
        <v>0</v>
      </c>
      <c r="CO2031" s="76"/>
      <c r="CP2031" s="76">
        <f>+CO2031*46000</f>
        <v>0</v>
      </c>
      <c r="CQ2031" s="76"/>
      <c r="CR2031" s="76">
        <f>+CQ2031*49000</f>
        <v>0</v>
      </c>
      <c r="CS2031" s="76"/>
      <c r="CT2031" s="76"/>
      <c r="CU2031" s="56">
        <f>AN2031+AP2031+AR2031+AT2031+AV2031+AX2031+AZ2031+BB2031+BD2031+BF2031+BH2031+BJ2031+BL2031+BN2031+BP2031+BR2031+BT2031+BV2031+BX2031+BZ2031+CB2031+CD2031+CF2031+CH2031+CJ2031+CL2031+CN2031+CP2031+CR2031+CT2031</f>
        <v>0</v>
      </c>
      <c r="CV2031" s="76"/>
      <c r="CW2031" s="76">
        <f>+CV2031*1100</f>
        <v>0</v>
      </c>
      <c r="CX2031" s="76"/>
      <c r="CY2031" s="76">
        <f>+CX2031*106250</f>
        <v>0</v>
      </c>
      <c r="CZ2031" s="86">
        <v>600</v>
      </c>
      <c r="DA2031" s="86">
        <f>+CZ2031*34449.68</f>
        <v>20669808</v>
      </c>
      <c r="DB2031" s="86">
        <v>1360</v>
      </c>
      <c r="DC2031" s="86">
        <f>+DB2031*31999.76</f>
        <v>43519673.600000001</v>
      </c>
      <c r="DD2031" s="222" t="s">
        <v>5193</v>
      </c>
      <c r="DE2031" s="309">
        <f>35000*1800+1500*22099.16</f>
        <v>96148740</v>
      </c>
      <c r="DF2031" s="166"/>
      <c r="DG2031" s="134" t="s">
        <v>6472</v>
      </c>
      <c r="DH2031" s="117"/>
      <c r="DI2031" s="24"/>
      <c r="DJ2031" s="24"/>
      <c r="DK2031" s="24"/>
      <c r="DL2031" s="24"/>
      <c r="DM2031" s="24"/>
      <c r="DN2031" s="24"/>
      <c r="DO2031" s="24"/>
      <c r="DP2031" s="24"/>
      <c r="DQ2031" s="24"/>
      <c r="DR2031" s="24"/>
      <c r="DS2031" s="24"/>
      <c r="DT2031" s="24"/>
      <c r="DU2031" s="24"/>
    </row>
    <row r="2032" spans="1:125" s="8" customFormat="1" ht="24" x14ac:dyDescent="0.2">
      <c r="A2032" s="77">
        <v>41426</v>
      </c>
      <c r="B2032" s="352" t="s">
        <v>2851</v>
      </c>
      <c r="C2032" s="354" t="s">
        <v>2159</v>
      </c>
      <c r="D2032" s="354" t="s">
        <v>3051</v>
      </c>
      <c r="E2032" s="75" t="str">
        <f>VLOOKUP(B2032&amp;C2032,Divipola!$C$2:$F$1138,4,FALSE)</f>
        <v>76670</v>
      </c>
      <c r="F2032" s="87"/>
      <c r="G2032" s="87"/>
      <c r="H2032" s="87"/>
      <c r="I2032" s="87"/>
      <c r="J2032" s="87"/>
      <c r="K2032" s="87"/>
      <c r="L2032" s="87"/>
      <c r="M2032" s="87"/>
      <c r="N2032" s="87"/>
      <c r="O2032" s="87"/>
      <c r="P2032" s="87"/>
      <c r="Q2032" s="87"/>
      <c r="R2032" s="87"/>
      <c r="S2032" s="87"/>
      <c r="T2032" s="87"/>
      <c r="U2032" s="88"/>
      <c r="V2032" s="89"/>
      <c r="W2032" s="96">
        <v>0</v>
      </c>
      <c r="X2032" s="71">
        <f>CU2032</f>
        <v>0</v>
      </c>
      <c r="Y2032" s="71">
        <f>CY2032</f>
        <v>0</v>
      </c>
      <c r="Z2032" s="71">
        <f>DA2032+DC2032+DE2032</f>
        <v>0</v>
      </c>
      <c r="AA2032" s="71">
        <f>CW2032</f>
        <v>0</v>
      </c>
      <c r="AB2032" s="71"/>
      <c r="AC2032" s="71">
        <v>0</v>
      </c>
      <c r="AD2032" s="71">
        <f>W2032+X2032+Y2032+Z2032+AA2032+AB2032+AC2032</f>
        <v>0</v>
      </c>
      <c r="AE2032" s="72">
        <v>0</v>
      </c>
      <c r="AF2032" s="5"/>
      <c r="AG2032" s="6"/>
      <c r="AH2032" s="27" t="s">
        <v>3392</v>
      </c>
      <c r="AI2032" s="44" t="s">
        <v>3393</v>
      </c>
      <c r="AJ2032" s="26"/>
      <c r="AK2032" s="5"/>
      <c r="AL2032" s="82" t="s">
        <v>4834</v>
      </c>
      <c r="AM2032" s="76"/>
      <c r="AN2032" s="76"/>
      <c r="AO2032" s="76"/>
      <c r="AP2032" s="76"/>
      <c r="AQ2032" s="76"/>
      <c r="AR2032" s="76"/>
      <c r="AS2032" s="76"/>
      <c r="AT2032" s="76"/>
      <c r="AU2032" s="76"/>
      <c r="AV2032" s="76"/>
      <c r="AW2032" s="76"/>
      <c r="AX2032" s="76">
        <f>+AW2032*600000</f>
        <v>0</v>
      </c>
      <c r="AY2032" s="76"/>
      <c r="AZ2032" s="76">
        <f>+AY2032*70000</f>
        <v>0</v>
      </c>
      <c r="BA2032" s="76"/>
      <c r="BB2032" s="76"/>
      <c r="BC2032" s="76"/>
      <c r="BD2032" s="76">
        <f>+BC2032*30000</f>
        <v>0</v>
      </c>
      <c r="BE2032" s="76"/>
      <c r="BF2032" s="76"/>
      <c r="BG2032" s="76"/>
      <c r="BH2032" s="76"/>
      <c r="BI2032" s="76"/>
      <c r="BJ2032" s="76"/>
      <c r="BK2032" s="76"/>
      <c r="BL2032" s="76">
        <f>+BK2032*31500</f>
        <v>0</v>
      </c>
      <c r="BM2032" s="76"/>
      <c r="BN2032" s="76"/>
      <c r="BO2032" s="76"/>
      <c r="BP2032" s="76"/>
      <c r="BQ2032" s="76"/>
      <c r="BR2032" s="76"/>
      <c r="BS2032" s="76"/>
      <c r="BT2032" s="76"/>
      <c r="BU2032" s="76"/>
      <c r="BV2032" s="76"/>
      <c r="BW2032" s="76"/>
      <c r="BX2032" s="76"/>
      <c r="BY2032" s="76"/>
      <c r="BZ2032" s="76"/>
      <c r="CA2032" s="76"/>
      <c r="CB2032" s="76"/>
      <c r="CC2032" s="76"/>
      <c r="CD2032" s="76"/>
      <c r="CE2032" s="76"/>
      <c r="CF2032" s="76">
        <f>+CE2032*28000</f>
        <v>0</v>
      </c>
      <c r="CG2032" s="76"/>
      <c r="CH2032" s="76">
        <f>+CG2032*22500</f>
        <v>0</v>
      </c>
      <c r="CI2032" s="76"/>
      <c r="CJ2032" s="76">
        <f>+CI2032*26000</f>
        <v>0</v>
      </c>
      <c r="CK2032" s="76"/>
      <c r="CL2032" s="76"/>
      <c r="CM2032" s="76"/>
      <c r="CN2032" s="76">
        <f>+CM2032*22000</f>
        <v>0</v>
      </c>
      <c r="CO2032" s="76"/>
      <c r="CP2032" s="76">
        <f>+CO2032*46000</f>
        <v>0</v>
      </c>
      <c r="CQ2032" s="76"/>
      <c r="CR2032" s="76">
        <f>+CQ2032*49000</f>
        <v>0</v>
      </c>
      <c r="CS2032" s="76"/>
      <c r="CT2032" s="76"/>
      <c r="CU2032" s="56">
        <f>AN2032+AP2032+AR2032+AT2032+AV2032+AX2032+AZ2032+BB2032+BD2032+BF2032+BH2032+BJ2032+BL2032+BN2032+BP2032+BR2032+BT2032+BV2032+BX2032+BZ2032+CB2032+CD2032+CF2032+CH2032+CJ2032+CL2032+CN2032+CP2032+CR2032+CT2032</f>
        <v>0</v>
      </c>
      <c r="CV2032" s="76"/>
      <c r="CW2032" s="76">
        <f>+CV2032*1100</f>
        <v>0</v>
      </c>
      <c r="CX2032" s="76"/>
      <c r="CY2032" s="76">
        <f>+CX2032*106250</f>
        <v>0</v>
      </c>
      <c r="CZ2032" s="76"/>
      <c r="DA2032" s="76">
        <f>+CZ2032*34500</f>
        <v>0</v>
      </c>
      <c r="DB2032" s="76"/>
      <c r="DC2032" s="76">
        <f>+DB2032*25000</f>
        <v>0</v>
      </c>
      <c r="DD2032" s="219"/>
      <c r="DE2032" s="219"/>
      <c r="DF2032" s="166"/>
      <c r="DG2032" s="116"/>
      <c r="DH2032" s="117"/>
      <c r="DI2032" s="24"/>
      <c r="DJ2032" s="24"/>
      <c r="DK2032" s="24"/>
      <c r="DL2032" s="24"/>
      <c r="DM2032" s="24"/>
      <c r="DN2032" s="24"/>
      <c r="DO2032" s="24"/>
      <c r="DP2032" s="24"/>
      <c r="DQ2032" s="24"/>
      <c r="DR2032" s="24"/>
      <c r="DS2032" s="24"/>
      <c r="DT2032" s="24"/>
      <c r="DU2032" s="24"/>
    </row>
    <row r="2033" spans="1:125" s="8" customFormat="1" ht="84" x14ac:dyDescent="0.2">
      <c r="A2033" s="353">
        <v>41427</v>
      </c>
      <c r="B2033" s="352" t="s">
        <v>2774</v>
      </c>
      <c r="C2033" s="354" t="s">
        <v>2745</v>
      </c>
      <c r="D2033" s="354" t="s">
        <v>3088</v>
      </c>
      <c r="E2033" s="75" t="str">
        <f>VLOOKUP(B2033&amp;C2033,Divipola!$C$2:$F$1138,4,FALSE)</f>
        <v>66318</v>
      </c>
      <c r="F2033" s="87"/>
      <c r="G2033" s="87"/>
      <c r="H2033" s="87"/>
      <c r="I2033" s="87"/>
      <c r="J2033" s="87"/>
      <c r="K2033" s="87"/>
      <c r="L2033" s="87"/>
      <c r="M2033" s="87">
        <v>3</v>
      </c>
      <c r="N2033" s="87"/>
      <c r="O2033" s="87"/>
      <c r="P2033" s="87"/>
      <c r="Q2033" s="87"/>
      <c r="R2033" s="87"/>
      <c r="S2033" s="87"/>
      <c r="T2033" s="87"/>
      <c r="U2033" s="88"/>
      <c r="V2033" s="89"/>
      <c r="W2033" s="96">
        <v>0</v>
      </c>
      <c r="X2033" s="71">
        <f>CU2033</f>
        <v>0</v>
      </c>
      <c r="Y2033" s="71">
        <f>CY2033</f>
        <v>0</v>
      </c>
      <c r="Z2033" s="71">
        <f>DA2033+DC2033+DE2033</f>
        <v>0</v>
      </c>
      <c r="AA2033" s="71">
        <f>CW2033</f>
        <v>0</v>
      </c>
      <c r="AB2033" s="71"/>
      <c r="AC2033" s="71">
        <v>0</v>
      </c>
      <c r="AD2033" s="71">
        <f>W2033+X2033+Y2033+Z2033+AA2033+AB2033+AC2033</f>
        <v>0</v>
      </c>
      <c r="AE2033" s="72">
        <v>0</v>
      </c>
      <c r="AF2033" s="5"/>
      <c r="AG2033" s="6"/>
      <c r="AH2033" s="27" t="s">
        <v>3392</v>
      </c>
      <c r="AI2033" s="44" t="s">
        <v>3393</v>
      </c>
      <c r="AJ2033" s="26"/>
      <c r="AK2033" s="5"/>
      <c r="AL2033" s="82" t="s">
        <v>4854</v>
      </c>
      <c r="AM2033" s="76"/>
      <c r="AN2033" s="76"/>
      <c r="AO2033" s="76"/>
      <c r="AP2033" s="76"/>
      <c r="AQ2033" s="76"/>
      <c r="AR2033" s="76"/>
      <c r="AS2033" s="76"/>
      <c r="AT2033" s="76"/>
      <c r="AU2033" s="76"/>
      <c r="AV2033" s="76"/>
      <c r="AW2033" s="76"/>
      <c r="AX2033" s="76">
        <f>+AW2033*600000</f>
        <v>0</v>
      </c>
      <c r="AY2033" s="76"/>
      <c r="AZ2033" s="76">
        <f>+AY2033*70000</f>
        <v>0</v>
      </c>
      <c r="BA2033" s="76"/>
      <c r="BB2033" s="76"/>
      <c r="BC2033" s="76"/>
      <c r="BD2033" s="76">
        <f>+BC2033*30000</f>
        <v>0</v>
      </c>
      <c r="BE2033" s="76"/>
      <c r="BF2033" s="76"/>
      <c r="BG2033" s="76"/>
      <c r="BH2033" s="76"/>
      <c r="BI2033" s="76"/>
      <c r="BJ2033" s="76"/>
      <c r="BK2033" s="76"/>
      <c r="BL2033" s="76">
        <f>+BK2033*31500</f>
        <v>0</v>
      </c>
      <c r="BM2033" s="76"/>
      <c r="BN2033" s="76"/>
      <c r="BO2033" s="76"/>
      <c r="BP2033" s="76"/>
      <c r="BQ2033" s="76"/>
      <c r="BR2033" s="76"/>
      <c r="BS2033" s="76"/>
      <c r="BT2033" s="76"/>
      <c r="BU2033" s="76"/>
      <c r="BV2033" s="76"/>
      <c r="BW2033" s="76"/>
      <c r="BX2033" s="76"/>
      <c r="BY2033" s="76"/>
      <c r="BZ2033" s="76"/>
      <c r="CA2033" s="76"/>
      <c r="CB2033" s="76"/>
      <c r="CC2033" s="76"/>
      <c r="CD2033" s="76"/>
      <c r="CE2033" s="76"/>
      <c r="CF2033" s="76">
        <f>+CE2033*28000</f>
        <v>0</v>
      </c>
      <c r="CG2033" s="76"/>
      <c r="CH2033" s="76">
        <f>+CG2033*22500</f>
        <v>0</v>
      </c>
      <c r="CI2033" s="76"/>
      <c r="CJ2033" s="76">
        <f>+CI2033*26000</f>
        <v>0</v>
      </c>
      <c r="CK2033" s="76"/>
      <c r="CL2033" s="76"/>
      <c r="CM2033" s="76"/>
      <c r="CN2033" s="76">
        <f>+CM2033*22000</f>
        <v>0</v>
      </c>
      <c r="CO2033" s="76"/>
      <c r="CP2033" s="76">
        <f>+CO2033*46000</f>
        <v>0</v>
      </c>
      <c r="CQ2033" s="76"/>
      <c r="CR2033" s="76">
        <f>+CQ2033*49000</f>
        <v>0</v>
      </c>
      <c r="CS2033" s="76"/>
      <c r="CT2033" s="76"/>
      <c r="CU2033" s="56">
        <f>AN2033+AP2033+AR2033+AT2033+AV2033+AX2033+AZ2033+BB2033+BD2033+BF2033+BH2033+BJ2033+BL2033+BN2033+BP2033+BR2033+BT2033+BV2033+BX2033+BZ2033+CB2033+CD2033+CF2033+CH2033+CJ2033+CL2033+CN2033+CP2033+CR2033+CT2033</f>
        <v>0</v>
      </c>
      <c r="CV2033" s="76"/>
      <c r="CW2033" s="76">
        <f>+CV2033*1100</f>
        <v>0</v>
      </c>
      <c r="CX2033" s="76"/>
      <c r="CY2033" s="76">
        <f>+CX2033*106250</f>
        <v>0</v>
      </c>
      <c r="CZ2033" s="76"/>
      <c r="DA2033" s="76">
        <f>+CZ2033*34500</f>
        <v>0</v>
      </c>
      <c r="DB2033" s="76"/>
      <c r="DC2033" s="76">
        <f>+DB2033*25000</f>
        <v>0</v>
      </c>
      <c r="DD2033" s="219"/>
      <c r="DE2033" s="219"/>
      <c r="DF2033" s="166"/>
      <c r="DG2033" s="116"/>
      <c r="DH2033" s="117"/>
      <c r="DI2033" s="24"/>
      <c r="DJ2033" s="24"/>
      <c r="DK2033" s="24"/>
      <c r="DL2033" s="24"/>
      <c r="DM2033" s="24"/>
      <c r="DN2033" s="24"/>
      <c r="DO2033" s="24"/>
      <c r="DP2033" s="24"/>
      <c r="DQ2033" s="24"/>
      <c r="DR2033" s="24"/>
      <c r="DS2033" s="24"/>
      <c r="DT2033" s="24"/>
      <c r="DU2033" s="24"/>
    </row>
    <row r="2034" spans="1:125" s="8" customFormat="1" ht="48" x14ac:dyDescent="0.2">
      <c r="A2034" s="77">
        <v>41427</v>
      </c>
      <c r="B2034" s="78" t="s">
        <v>2774</v>
      </c>
      <c r="C2034" s="75" t="s">
        <v>1347</v>
      </c>
      <c r="D2034" s="75" t="s">
        <v>3088</v>
      </c>
      <c r="E2034" s="75" t="str">
        <f>VLOOKUP(B2034&amp;C2034,Divipola!$C$2:$F$1138,4,FALSE)</f>
        <v>66001</v>
      </c>
      <c r="F2034" s="87"/>
      <c r="G2034" s="87">
        <v>2</v>
      </c>
      <c r="H2034" s="87"/>
      <c r="I2034" s="87">
        <v>25</v>
      </c>
      <c r="J2034" s="87">
        <v>5</v>
      </c>
      <c r="K2034" s="87">
        <v>2</v>
      </c>
      <c r="L2034" s="87">
        <v>3</v>
      </c>
      <c r="M2034" s="87"/>
      <c r="N2034" s="87"/>
      <c r="O2034" s="87"/>
      <c r="P2034" s="87"/>
      <c r="Q2034" s="87"/>
      <c r="R2034" s="87"/>
      <c r="S2034" s="87"/>
      <c r="T2034" s="87"/>
      <c r="U2034" s="88"/>
      <c r="V2034" s="89"/>
      <c r="W2034" s="96">
        <v>0</v>
      </c>
      <c r="X2034" s="71">
        <f>CU2034</f>
        <v>0</v>
      </c>
      <c r="Y2034" s="71">
        <f>CY2034</f>
        <v>0</v>
      </c>
      <c r="Z2034" s="71">
        <f>DA2034+DC2034+DE2034</f>
        <v>0</v>
      </c>
      <c r="AA2034" s="71">
        <f>CW2034</f>
        <v>0</v>
      </c>
      <c r="AB2034" s="71"/>
      <c r="AC2034" s="71">
        <v>0</v>
      </c>
      <c r="AD2034" s="71">
        <f>W2034+X2034+Y2034+Z2034+AA2034+AB2034+AC2034</f>
        <v>0</v>
      </c>
      <c r="AE2034" s="72">
        <v>0</v>
      </c>
      <c r="AF2034" s="5"/>
      <c r="AG2034" s="6"/>
      <c r="AH2034" s="27" t="s">
        <v>3392</v>
      </c>
      <c r="AI2034" s="44" t="s">
        <v>3393</v>
      </c>
      <c r="AJ2034" s="26"/>
      <c r="AK2034" s="5"/>
      <c r="AL2034" s="82" t="s">
        <v>4845</v>
      </c>
      <c r="AM2034" s="76"/>
      <c r="AN2034" s="76"/>
      <c r="AO2034" s="76"/>
      <c r="AP2034" s="76"/>
      <c r="AQ2034" s="76"/>
      <c r="AR2034" s="76"/>
      <c r="AS2034" s="76"/>
      <c r="AT2034" s="76"/>
      <c r="AU2034" s="76"/>
      <c r="AV2034" s="76"/>
      <c r="AW2034" s="76"/>
      <c r="AX2034" s="76">
        <f>+AW2034*600000</f>
        <v>0</v>
      </c>
      <c r="AY2034" s="76"/>
      <c r="AZ2034" s="76">
        <f>+AY2034*70000</f>
        <v>0</v>
      </c>
      <c r="BA2034" s="76"/>
      <c r="BB2034" s="76"/>
      <c r="BC2034" s="76"/>
      <c r="BD2034" s="76">
        <f>+BC2034*30000</f>
        <v>0</v>
      </c>
      <c r="BE2034" s="76"/>
      <c r="BF2034" s="76"/>
      <c r="BG2034" s="76"/>
      <c r="BH2034" s="76"/>
      <c r="BI2034" s="76"/>
      <c r="BJ2034" s="76"/>
      <c r="BK2034" s="76"/>
      <c r="BL2034" s="76">
        <f>+BK2034*31500</f>
        <v>0</v>
      </c>
      <c r="BM2034" s="76"/>
      <c r="BN2034" s="76"/>
      <c r="BO2034" s="76"/>
      <c r="BP2034" s="76"/>
      <c r="BQ2034" s="76"/>
      <c r="BR2034" s="76"/>
      <c r="BS2034" s="76"/>
      <c r="BT2034" s="76"/>
      <c r="BU2034" s="76"/>
      <c r="BV2034" s="76"/>
      <c r="BW2034" s="76"/>
      <c r="BX2034" s="76"/>
      <c r="BY2034" s="76"/>
      <c r="BZ2034" s="76"/>
      <c r="CA2034" s="76"/>
      <c r="CB2034" s="76"/>
      <c r="CC2034" s="76"/>
      <c r="CD2034" s="76"/>
      <c r="CE2034" s="76"/>
      <c r="CF2034" s="76">
        <f>+CE2034*28000</f>
        <v>0</v>
      </c>
      <c r="CG2034" s="76"/>
      <c r="CH2034" s="76">
        <f>+CG2034*22500</f>
        <v>0</v>
      </c>
      <c r="CI2034" s="76"/>
      <c r="CJ2034" s="76">
        <f>+CI2034*26000</f>
        <v>0</v>
      </c>
      <c r="CK2034" s="76"/>
      <c r="CL2034" s="76"/>
      <c r="CM2034" s="76"/>
      <c r="CN2034" s="76">
        <f>+CM2034*22000</f>
        <v>0</v>
      </c>
      <c r="CO2034" s="76"/>
      <c r="CP2034" s="76">
        <f>+CO2034*46000</f>
        <v>0</v>
      </c>
      <c r="CQ2034" s="76"/>
      <c r="CR2034" s="76">
        <f>+CQ2034*49000</f>
        <v>0</v>
      </c>
      <c r="CS2034" s="76"/>
      <c r="CT2034" s="76"/>
      <c r="CU2034" s="56">
        <f>AN2034+AP2034+AR2034+AT2034+AV2034+AX2034+AZ2034+BB2034+BD2034+BF2034+BH2034+BJ2034+BL2034+BN2034+BP2034+BR2034+BT2034+BV2034+BX2034+BZ2034+CB2034+CD2034+CF2034+CH2034+CJ2034+CL2034+CN2034+CP2034+CR2034+CT2034</f>
        <v>0</v>
      </c>
      <c r="CV2034" s="76"/>
      <c r="CW2034" s="76">
        <f>+CV2034*1100</f>
        <v>0</v>
      </c>
      <c r="CX2034" s="76"/>
      <c r="CY2034" s="76">
        <f>+CX2034*106250</f>
        <v>0</v>
      </c>
      <c r="CZ2034" s="76"/>
      <c r="DA2034" s="76">
        <f>+CZ2034*34500</f>
        <v>0</v>
      </c>
      <c r="DB2034" s="76"/>
      <c r="DC2034" s="76">
        <f>+DB2034*25000</f>
        <v>0</v>
      </c>
      <c r="DD2034" s="219"/>
      <c r="DE2034" s="219"/>
      <c r="DF2034" s="166"/>
      <c r="DG2034" s="116"/>
      <c r="DH2034" s="117"/>
      <c r="DI2034" s="24"/>
      <c r="DJ2034" s="24"/>
      <c r="DK2034" s="24"/>
      <c r="DL2034" s="24"/>
      <c r="DM2034" s="24"/>
      <c r="DN2034" s="24"/>
      <c r="DO2034" s="24"/>
      <c r="DP2034" s="24"/>
      <c r="DQ2034" s="24"/>
      <c r="DR2034" s="24"/>
      <c r="DS2034" s="24"/>
      <c r="DT2034" s="24"/>
      <c r="DU2034" s="24"/>
    </row>
    <row r="2035" spans="1:125" s="8" customFormat="1" ht="84" x14ac:dyDescent="0.2">
      <c r="A2035" s="77">
        <v>41427</v>
      </c>
      <c r="B2035" s="78" t="s">
        <v>2851</v>
      </c>
      <c r="C2035" s="75" t="s">
        <v>1366</v>
      </c>
      <c r="D2035" s="75" t="s">
        <v>3051</v>
      </c>
      <c r="E2035" s="75" t="str">
        <f>VLOOKUP(B2035&amp;C2035,Divipola!$C$2:$F$1138,4,FALSE)</f>
        <v>76622</v>
      </c>
      <c r="F2035" s="87"/>
      <c r="G2035" s="87"/>
      <c r="H2035" s="87"/>
      <c r="I2035" s="87">
        <f>113*5</f>
        <v>565</v>
      </c>
      <c r="J2035" s="87">
        <v>113</v>
      </c>
      <c r="K2035" s="87"/>
      <c r="L2035" s="87">
        <v>113</v>
      </c>
      <c r="M2035" s="87"/>
      <c r="N2035" s="87">
        <v>2</v>
      </c>
      <c r="O2035" s="87">
        <v>2</v>
      </c>
      <c r="P2035" s="87"/>
      <c r="Q2035" s="87"/>
      <c r="R2035" s="87"/>
      <c r="S2035" s="87"/>
      <c r="T2035" s="87"/>
      <c r="U2035" s="88">
        <v>19</v>
      </c>
      <c r="V2035" s="257" t="s">
        <v>4896</v>
      </c>
      <c r="W2035" s="96">
        <v>0</v>
      </c>
      <c r="X2035" s="71">
        <f>CU2035</f>
        <v>32804332.519999996</v>
      </c>
      <c r="Y2035" s="71">
        <f>CY2035</f>
        <v>11939950.640000001</v>
      </c>
      <c r="Z2035" s="71">
        <f>DA2035+DC2035+DE2035</f>
        <v>0</v>
      </c>
      <c r="AA2035" s="71">
        <f>CW2035</f>
        <v>0</v>
      </c>
      <c r="AB2035" s="71"/>
      <c r="AC2035" s="71">
        <v>0</v>
      </c>
      <c r="AD2035" s="71">
        <f>W2035+X2035+Y2035+Z2035+AA2035+AB2035+AC2035</f>
        <v>44744283.159999996</v>
      </c>
      <c r="AE2035" s="72">
        <v>0</v>
      </c>
      <c r="AF2035" s="5"/>
      <c r="AG2035" s="6"/>
      <c r="AH2035" s="27" t="s">
        <v>3390</v>
      </c>
      <c r="AI2035" s="44" t="s">
        <v>3391</v>
      </c>
      <c r="AJ2035" s="26"/>
      <c r="AK2035" s="5"/>
      <c r="AL2035" s="82" t="s">
        <v>4895</v>
      </c>
      <c r="AM2035" s="76"/>
      <c r="AN2035" s="76"/>
      <c r="AO2035" s="76"/>
      <c r="AP2035" s="76"/>
      <c r="AQ2035" s="76"/>
      <c r="AR2035" s="76"/>
      <c r="AS2035" s="76"/>
      <c r="AT2035" s="76"/>
      <c r="AU2035" s="76"/>
      <c r="AV2035" s="76"/>
      <c r="AW2035" s="76"/>
      <c r="AX2035" s="76">
        <f>+AW2035*600000</f>
        <v>0</v>
      </c>
      <c r="AY2035" s="76"/>
      <c r="AZ2035" s="76">
        <f>+AY2035*70000</f>
        <v>0</v>
      </c>
      <c r="BA2035" s="76"/>
      <c r="BB2035" s="76"/>
      <c r="BC2035" s="76"/>
      <c r="BD2035" s="76">
        <f>+BC2035*30000</f>
        <v>0</v>
      </c>
      <c r="BE2035" s="76"/>
      <c r="BF2035" s="76"/>
      <c r="BG2035" s="76"/>
      <c r="BH2035" s="76"/>
      <c r="BI2035" s="76"/>
      <c r="BJ2035" s="76"/>
      <c r="BK2035" s="86">
        <v>374</v>
      </c>
      <c r="BL2035" s="86">
        <f>+BK2035*31499.8</f>
        <v>11780925.199999999</v>
      </c>
      <c r="BM2035" s="76"/>
      <c r="BN2035" s="76"/>
      <c r="BO2035" s="76"/>
      <c r="BP2035" s="76"/>
      <c r="BQ2035" s="76"/>
      <c r="BR2035" s="76"/>
      <c r="BS2035" s="76"/>
      <c r="BT2035" s="76"/>
      <c r="BU2035" s="76"/>
      <c r="BV2035" s="76"/>
      <c r="BW2035" s="76"/>
      <c r="BX2035" s="76"/>
      <c r="BY2035" s="76"/>
      <c r="BZ2035" s="76"/>
      <c r="CA2035" s="76"/>
      <c r="CB2035" s="76"/>
      <c r="CC2035" s="76"/>
      <c r="CD2035" s="76"/>
      <c r="CE2035" s="76"/>
      <c r="CF2035" s="76">
        <f>+CE2035*28000</f>
        <v>0</v>
      </c>
      <c r="CG2035" s="76"/>
      <c r="CH2035" s="76">
        <f>+CG2035*22500</f>
        <v>0</v>
      </c>
      <c r="CI2035" s="86">
        <v>374</v>
      </c>
      <c r="CJ2035" s="86">
        <f>+CI2035*25999.08</f>
        <v>9723655.9199999999</v>
      </c>
      <c r="CK2035" s="76"/>
      <c r="CL2035" s="76"/>
      <c r="CM2035" s="76"/>
      <c r="CN2035" s="76">
        <f>+CM2035*22000</f>
        <v>0</v>
      </c>
      <c r="CO2035" s="86">
        <v>113</v>
      </c>
      <c r="CP2035" s="86">
        <f>+CO2035*45999.8</f>
        <v>5197977.4000000004</v>
      </c>
      <c r="CQ2035" s="86">
        <v>113</v>
      </c>
      <c r="CR2035" s="86">
        <f>+CQ2035*53998</f>
        <v>6101774</v>
      </c>
      <c r="CS2035" s="76"/>
      <c r="CT2035" s="76"/>
      <c r="CU2035" s="56">
        <f>AN2035+AP2035+AR2035+AT2035+AV2035+AX2035+AZ2035+BB2035+BD2035+BF2035+BH2035+BJ2035+BL2035+BN2035+BP2035+BR2035+BT2035+BV2035+BX2035+BZ2035+CB2035+CD2035+CF2035+CH2035+CJ2035+CL2035+CN2035+CP2035+CR2035+CT2035</f>
        <v>32804332.519999996</v>
      </c>
      <c r="CV2035" s="76"/>
      <c r="CW2035" s="76">
        <f>+CV2035*1100</f>
        <v>0</v>
      </c>
      <c r="CX2035" s="86">
        <v>113</v>
      </c>
      <c r="CY2035" s="86">
        <f>+CX2035*105663.28</f>
        <v>11939950.640000001</v>
      </c>
      <c r="CZ2035" s="76"/>
      <c r="DA2035" s="76">
        <f>+CZ2035*34500</f>
        <v>0</v>
      </c>
      <c r="DB2035" s="76"/>
      <c r="DC2035" s="76">
        <f>+DB2035*25000</f>
        <v>0</v>
      </c>
      <c r="DD2035" s="219"/>
      <c r="DE2035" s="219"/>
      <c r="DF2035" s="166"/>
      <c r="DG2035" s="134" t="s">
        <v>5482</v>
      </c>
      <c r="DH2035" s="117"/>
      <c r="DI2035" s="24"/>
      <c r="DJ2035" s="24"/>
      <c r="DK2035" s="24"/>
      <c r="DL2035" s="24"/>
      <c r="DM2035" s="24"/>
      <c r="DN2035" s="24"/>
      <c r="DO2035" s="24"/>
      <c r="DP2035" s="24"/>
      <c r="DQ2035" s="24"/>
      <c r="DR2035" s="24"/>
      <c r="DS2035" s="24"/>
      <c r="DT2035" s="24"/>
      <c r="DU2035" s="24"/>
    </row>
    <row r="2036" spans="1:125" s="8" customFormat="1" ht="132" x14ac:dyDescent="0.2">
      <c r="A2036" s="353">
        <v>41427</v>
      </c>
      <c r="B2036" s="352" t="s">
        <v>2300</v>
      </c>
      <c r="C2036" s="354" t="s">
        <v>2301</v>
      </c>
      <c r="D2036" s="354" t="s">
        <v>3051</v>
      </c>
      <c r="E2036" s="75" t="str">
        <f>VLOOKUP(B2036&amp;C2036,Divipola!$C$2:$F$1138,4,FALSE)</f>
        <v>97001</v>
      </c>
      <c r="F2036" s="87"/>
      <c r="G2036" s="87"/>
      <c r="H2036" s="87"/>
      <c r="I2036" s="87">
        <v>129</v>
      </c>
      <c r="J2036" s="87">
        <v>23</v>
      </c>
      <c r="K2036" s="87"/>
      <c r="L2036" s="87">
        <v>23</v>
      </c>
      <c r="M2036" s="87"/>
      <c r="N2036" s="87"/>
      <c r="O2036" s="87"/>
      <c r="P2036" s="87"/>
      <c r="Q2036" s="87"/>
      <c r="R2036" s="87"/>
      <c r="S2036" s="87"/>
      <c r="T2036" s="87"/>
      <c r="U2036" s="88"/>
      <c r="V2036" s="89"/>
      <c r="W2036" s="96">
        <v>0</v>
      </c>
      <c r="X2036" s="71">
        <f>CU2036</f>
        <v>0</v>
      </c>
      <c r="Y2036" s="71">
        <f>CY2036</f>
        <v>0</v>
      </c>
      <c r="Z2036" s="71">
        <f>DA2036+DC2036+DE2036</f>
        <v>0</v>
      </c>
      <c r="AA2036" s="71">
        <f>CW2036</f>
        <v>0</v>
      </c>
      <c r="AB2036" s="71"/>
      <c r="AC2036" s="71">
        <v>0</v>
      </c>
      <c r="AD2036" s="71">
        <f>W2036+X2036+Y2036+Z2036+AA2036+AB2036+AC2036</f>
        <v>0</v>
      </c>
      <c r="AE2036" s="72">
        <v>0</v>
      </c>
      <c r="AF2036" s="5"/>
      <c r="AG2036" s="6"/>
      <c r="AH2036" s="27" t="s">
        <v>3392</v>
      </c>
      <c r="AI2036" s="44" t="s">
        <v>3393</v>
      </c>
      <c r="AJ2036" s="26"/>
      <c r="AK2036" s="5"/>
      <c r="AL2036" s="82" t="s">
        <v>4849</v>
      </c>
      <c r="AM2036" s="76"/>
      <c r="AN2036" s="76"/>
      <c r="AO2036" s="76"/>
      <c r="AP2036" s="76"/>
      <c r="AQ2036" s="76"/>
      <c r="AR2036" s="76"/>
      <c r="AS2036" s="76"/>
      <c r="AT2036" s="76"/>
      <c r="AU2036" s="76"/>
      <c r="AV2036" s="76"/>
      <c r="AW2036" s="76"/>
      <c r="AX2036" s="76">
        <f>+AW2036*600000</f>
        <v>0</v>
      </c>
      <c r="AY2036" s="76"/>
      <c r="AZ2036" s="76">
        <f>+AY2036*70000</f>
        <v>0</v>
      </c>
      <c r="BA2036" s="76"/>
      <c r="BB2036" s="76"/>
      <c r="BC2036" s="76"/>
      <c r="BD2036" s="76">
        <f>+BC2036*30000</f>
        <v>0</v>
      </c>
      <c r="BE2036" s="76"/>
      <c r="BF2036" s="76"/>
      <c r="BG2036" s="76"/>
      <c r="BH2036" s="76"/>
      <c r="BI2036" s="76"/>
      <c r="BJ2036" s="76"/>
      <c r="BK2036" s="76"/>
      <c r="BL2036" s="76">
        <f>+BK2036*31500</f>
        <v>0</v>
      </c>
      <c r="BM2036" s="76"/>
      <c r="BN2036" s="76"/>
      <c r="BO2036" s="76"/>
      <c r="BP2036" s="76"/>
      <c r="BQ2036" s="76"/>
      <c r="BR2036" s="76"/>
      <c r="BS2036" s="76"/>
      <c r="BT2036" s="76"/>
      <c r="BU2036" s="76"/>
      <c r="BV2036" s="76"/>
      <c r="BW2036" s="76"/>
      <c r="BX2036" s="76"/>
      <c r="BY2036" s="76"/>
      <c r="BZ2036" s="76"/>
      <c r="CA2036" s="76"/>
      <c r="CB2036" s="76"/>
      <c r="CC2036" s="76"/>
      <c r="CD2036" s="76"/>
      <c r="CE2036" s="76"/>
      <c r="CF2036" s="76">
        <f>+CE2036*28000</f>
        <v>0</v>
      </c>
      <c r="CG2036" s="76"/>
      <c r="CH2036" s="76">
        <f>+CG2036*22500</f>
        <v>0</v>
      </c>
      <c r="CI2036" s="76"/>
      <c r="CJ2036" s="76">
        <f>+CI2036*26000</f>
        <v>0</v>
      </c>
      <c r="CK2036" s="76"/>
      <c r="CL2036" s="76"/>
      <c r="CM2036" s="76"/>
      <c r="CN2036" s="76">
        <f>+CM2036*22000</f>
        <v>0</v>
      </c>
      <c r="CO2036" s="76"/>
      <c r="CP2036" s="76">
        <f>+CO2036*46000</f>
        <v>0</v>
      </c>
      <c r="CQ2036" s="76"/>
      <c r="CR2036" s="76">
        <f>+CQ2036*49000</f>
        <v>0</v>
      </c>
      <c r="CS2036" s="76"/>
      <c r="CT2036" s="76"/>
      <c r="CU2036" s="56">
        <f>AN2036+AP2036+AR2036+AT2036+AV2036+AX2036+AZ2036+BB2036+BD2036+BF2036+BH2036+BJ2036+BL2036+BN2036+BP2036+BR2036+BT2036+BV2036+BX2036+BZ2036+CB2036+CD2036+CF2036+CH2036+CJ2036+CL2036+CN2036+CP2036+CR2036+CT2036</f>
        <v>0</v>
      </c>
      <c r="CV2036" s="76"/>
      <c r="CW2036" s="76">
        <f>+CV2036*1100</f>
        <v>0</v>
      </c>
      <c r="CX2036" s="76"/>
      <c r="CY2036" s="76">
        <f>+CX2036*106250</f>
        <v>0</v>
      </c>
      <c r="CZ2036" s="76"/>
      <c r="DA2036" s="76">
        <f>+CZ2036*34500</f>
        <v>0</v>
      </c>
      <c r="DB2036" s="76"/>
      <c r="DC2036" s="76">
        <f>+DB2036*25000</f>
        <v>0</v>
      </c>
      <c r="DD2036" s="219"/>
      <c r="DE2036" s="219"/>
      <c r="DF2036" s="166"/>
      <c r="DG2036" s="116"/>
      <c r="DH2036" s="117"/>
      <c r="DI2036" s="24"/>
      <c r="DJ2036" s="24"/>
      <c r="DK2036" s="24"/>
      <c r="DL2036" s="24"/>
      <c r="DM2036" s="24"/>
      <c r="DN2036" s="24"/>
      <c r="DO2036" s="24"/>
      <c r="DP2036" s="24"/>
      <c r="DQ2036" s="24"/>
      <c r="DR2036" s="24"/>
      <c r="DS2036" s="24"/>
      <c r="DT2036" s="24"/>
      <c r="DU2036" s="24"/>
    </row>
    <row r="2037" spans="1:125" s="8" customFormat="1" ht="36" x14ac:dyDescent="0.2">
      <c r="A2037" s="226">
        <v>41428</v>
      </c>
      <c r="B2037" s="225" t="s">
        <v>2777</v>
      </c>
      <c r="C2037" s="227" t="s">
        <v>2718</v>
      </c>
      <c r="D2037" s="227" t="s">
        <v>2882</v>
      </c>
      <c r="E2037" s="75" t="str">
        <f>VLOOKUP(B2037&amp;C2037,Divipola!$C$2:$F$1138,4,FALSE)</f>
        <v>13212</v>
      </c>
      <c r="F2037" s="87"/>
      <c r="G2037" s="87"/>
      <c r="H2037" s="87"/>
      <c r="I2037" s="87">
        <f>334+750</f>
        <v>1084</v>
      </c>
      <c r="J2037" s="87">
        <f>150+96</f>
        <v>246</v>
      </c>
      <c r="K2037" s="87"/>
      <c r="L2037" s="87">
        <v>96</v>
      </c>
      <c r="M2037" s="87"/>
      <c r="N2037" s="87"/>
      <c r="O2037" s="87"/>
      <c r="P2037" s="87"/>
      <c r="Q2037" s="87"/>
      <c r="R2037" s="87"/>
      <c r="S2037" s="87"/>
      <c r="T2037" s="87"/>
      <c r="U2037" s="88"/>
      <c r="V2037" s="89"/>
      <c r="W2037" s="96">
        <v>0</v>
      </c>
      <c r="X2037" s="71">
        <f>CU2037</f>
        <v>48499310</v>
      </c>
      <c r="Y2037" s="71">
        <f>CY2037</f>
        <v>26562500</v>
      </c>
      <c r="Z2037" s="71">
        <f>DA2037+DC2037+DE2037</f>
        <v>30400282.399999995</v>
      </c>
      <c r="AA2037" s="71">
        <f>CW2037</f>
        <v>0</v>
      </c>
      <c r="AB2037" s="71"/>
      <c r="AC2037" s="71">
        <v>0</v>
      </c>
      <c r="AD2037" s="71">
        <f>W2037+X2037+Y2037+Z2037+AA2037+AB2037+AC2037</f>
        <v>105462092.39999999</v>
      </c>
      <c r="AE2037" s="72">
        <v>0</v>
      </c>
      <c r="AF2037" s="5"/>
      <c r="AG2037" s="6"/>
      <c r="AH2037" s="27" t="s">
        <v>3390</v>
      </c>
      <c r="AI2037" s="44" t="s">
        <v>3391</v>
      </c>
      <c r="AJ2037" s="26"/>
      <c r="AK2037" s="5"/>
      <c r="AL2037" s="82" t="s">
        <v>4860</v>
      </c>
      <c r="AM2037" s="76"/>
      <c r="AN2037" s="76"/>
      <c r="AO2037" s="76"/>
      <c r="AP2037" s="76"/>
      <c r="AQ2037" s="76"/>
      <c r="AR2037" s="76"/>
      <c r="AS2037" s="76"/>
      <c r="AT2037" s="76"/>
      <c r="AU2037" s="76"/>
      <c r="AV2037" s="76"/>
      <c r="AW2037" s="76"/>
      <c r="AX2037" s="76">
        <f>+AW2037*600000</f>
        <v>0</v>
      </c>
      <c r="AY2037" s="86">
        <v>250</v>
      </c>
      <c r="AZ2037" s="86">
        <f>+AY2037*69999.04</f>
        <v>17499760</v>
      </c>
      <c r="BA2037" s="76"/>
      <c r="BB2037" s="76"/>
      <c r="BC2037" s="76"/>
      <c r="BD2037" s="76">
        <f>+BC2037*30000</f>
        <v>0</v>
      </c>
      <c r="BE2037" s="76"/>
      <c r="BF2037" s="76"/>
      <c r="BG2037" s="76"/>
      <c r="BH2037" s="76"/>
      <c r="BI2037" s="76"/>
      <c r="BJ2037" s="76"/>
      <c r="BK2037" s="76"/>
      <c r="BL2037" s="76">
        <f>+BK2037*31500</f>
        <v>0</v>
      </c>
      <c r="BM2037" s="76"/>
      <c r="BN2037" s="76"/>
      <c r="BO2037" s="76"/>
      <c r="BP2037" s="76"/>
      <c r="BQ2037" s="76"/>
      <c r="BR2037" s="76"/>
      <c r="BS2037" s="76"/>
      <c r="BT2037" s="76"/>
      <c r="BU2037" s="76"/>
      <c r="BV2037" s="76"/>
      <c r="BW2037" s="76"/>
      <c r="BX2037" s="76"/>
      <c r="BY2037" s="76"/>
      <c r="BZ2037" s="76"/>
      <c r="CA2037" s="76"/>
      <c r="CB2037" s="76"/>
      <c r="CC2037" s="76"/>
      <c r="CD2037" s="76"/>
      <c r="CE2037" s="76"/>
      <c r="CF2037" s="76">
        <f>+CE2037*28000</f>
        <v>0</v>
      </c>
      <c r="CG2037" s="76"/>
      <c r="CH2037" s="76">
        <f>+CG2037*22500</f>
        <v>0</v>
      </c>
      <c r="CI2037" s="86">
        <v>250</v>
      </c>
      <c r="CJ2037" s="86">
        <f>+CI2037*25999.08</f>
        <v>6499770</v>
      </c>
      <c r="CK2037" s="76"/>
      <c r="CL2037" s="76"/>
      <c r="CM2037" s="76"/>
      <c r="CN2037" s="76">
        <f>+CM2037*22000</f>
        <v>0</v>
      </c>
      <c r="CO2037" s="86">
        <v>250</v>
      </c>
      <c r="CP2037" s="86">
        <f>+CO2037*45999.8</f>
        <v>11499950</v>
      </c>
      <c r="CQ2037" s="86">
        <v>250</v>
      </c>
      <c r="CR2037" s="86">
        <f>+CQ2037*51999.32</f>
        <v>12999830</v>
      </c>
      <c r="CS2037" s="76"/>
      <c r="CT2037" s="76"/>
      <c r="CU2037" s="56">
        <f>AN2037+AP2037+AR2037+AT2037+AV2037+AX2037+AZ2037+BB2037+BD2037+BF2037+BH2037+BJ2037+BL2037+BN2037+BP2037+BR2037+BT2037+BV2037+BX2037+BZ2037+CB2037+CD2037+CF2037+CH2037+CJ2037+CL2037+CN2037+CP2037+CR2037+CT2037</f>
        <v>48499310</v>
      </c>
      <c r="CV2037" s="76"/>
      <c r="CW2037" s="76">
        <f>+CV2037*1100</f>
        <v>0</v>
      </c>
      <c r="CX2037" s="86">
        <v>250</v>
      </c>
      <c r="CY2037" s="86">
        <f>+CX2037*106250</f>
        <v>26562500</v>
      </c>
      <c r="CZ2037" s="86">
        <v>140</v>
      </c>
      <c r="DA2037" s="86">
        <f>+CZ2037*29499.96</f>
        <v>4129994.4</v>
      </c>
      <c r="DB2037" s="86">
        <f>700+209+32</f>
        <v>941</v>
      </c>
      <c r="DC2037" s="86">
        <f>700*24999.16+2800*199.52+209*30999.84+836*549.84+32*39799.6</f>
        <v>26270287.999999996</v>
      </c>
      <c r="DD2037" s="219"/>
      <c r="DE2037" s="219"/>
      <c r="DF2037" s="166"/>
      <c r="DG2037" s="134" t="s">
        <v>5871</v>
      </c>
      <c r="DH2037" s="117"/>
      <c r="DI2037" s="24"/>
      <c r="DJ2037" s="24"/>
      <c r="DK2037" s="24"/>
      <c r="DL2037" s="24"/>
      <c r="DM2037" s="24"/>
      <c r="DN2037" s="24"/>
      <c r="DO2037" s="24"/>
      <c r="DP2037" s="24"/>
      <c r="DQ2037" s="24"/>
      <c r="DR2037" s="24"/>
      <c r="DS2037" s="24"/>
      <c r="DT2037" s="24"/>
      <c r="DU2037" s="24"/>
    </row>
    <row r="2038" spans="1:125" s="8" customFormat="1" ht="36" x14ac:dyDescent="0.2">
      <c r="A2038" s="226">
        <v>41428</v>
      </c>
      <c r="B2038" s="225" t="s">
        <v>2855</v>
      </c>
      <c r="C2038" s="227" t="s">
        <v>919</v>
      </c>
      <c r="D2038" s="227" t="s">
        <v>2882</v>
      </c>
      <c r="E2038" s="75" t="str">
        <f>VLOOKUP(B2038&amp;C2038,Divipola!$C$2:$F$1138,4,FALSE)</f>
        <v>20400</v>
      </c>
      <c r="F2038" s="87"/>
      <c r="G2038" s="87"/>
      <c r="H2038" s="87"/>
      <c r="I2038" s="87"/>
      <c r="J2038" s="87"/>
      <c r="K2038" s="87"/>
      <c r="L2038" s="87"/>
      <c r="M2038" s="87"/>
      <c r="N2038" s="87"/>
      <c r="O2038" s="87"/>
      <c r="P2038" s="87"/>
      <c r="Q2038" s="87"/>
      <c r="R2038" s="87"/>
      <c r="S2038" s="87"/>
      <c r="T2038" s="87"/>
      <c r="U2038" s="88"/>
      <c r="V2038" s="89"/>
      <c r="W2038" s="96">
        <v>0</v>
      </c>
      <c r="X2038" s="71">
        <f>CU2038</f>
        <v>0</v>
      </c>
      <c r="Y2038" s="71">
        <f>CY2038</f>
        <v>0</v>
      </c>
      <c r="Z2038" s="71">
        <f>DA2038+DC2038+DE2038</f>
        <v>0</v>
      </c>
      <c r="AA2038" s="71">
        <f>CW2038</f>
        <v>0</v>
      </c>
      <c r="AB2038" s="71"/>
      <c r="AC2038" s="71">
        <v>0</v>
      </c>
      <c r="AD2038" s="71">
        <f>W2038+X2038+Y2038+Z2038+AA2038+AB2038+AC2038</f>
        <v>0</v>
      </c>
      <c r="AE2038" s="72">
        <v>0</v>
      </c>
      <c r="AF2038" s="5"/>
      <c r="AG2038" s="6"/>
      <c r="AH2038" s="27" t="s">
        <v>3392</v>
      </c>
      <c r="AI2038" s="44" t="s">
        <v>3393</v>
      </c>
      <c r="AJ2038" s="26"/>
      <c r="AK2038" s="5"/>
      <c r="AL2038" s="82" t="s">
        <v>4861</v>
      </c>
      <c r="AM2038" s="76"/>
      <c r="AN2038" s="76"/>
      <c r="AO2038" s="76"/>
      <c r="AP2038" s="76"/>
      <c r="AQ2038" s="76"/>
      <c r="AR2038" s="76"/>
      <c r="AS2038" s="76"/>
      <c r="AT2038" s="76"/>
      <c r="AU2038" s="76"/>
      <c r="AV2038" s="76"/>
      <c r="AW2038" s="76"/>
      <c r="AX2038" s="76">
        <f>+AW2038*600000</f>
        <v>0</v>
      </c>
      <c r="AY2038" s="76"/>
      <c r="AZ2038" s="76">
        <f>+AY2038*70000</f>
        <v>0</v>
      </c>
      <c r="BA2038" s="76"/>
      <c r="BB2038" s="76"/>
      <c r="BC2038" s="76"/>
      <c r="BD2038" s="76">
        <f>+BC2038*30000</f>
        <v>0</v>
      </c>
      <c r="BE2038" s="76"/>
      <c r="BF2038" s="76"/>
      <c r="BG2038" s="76"/>
      <c r="BH2038" s="76"/>
      <c r="BI2038" s="76"/>
      <c r="BJ2038" s="76"/>
      <c r="BK2038" s="76"/>
      <c r="BL2038" s="76">
        <f>+BK2038*31500</f>
        <v>0</v>
      </c>
      <c r="BM2038" s="76"/>
      <c r="BN2038" s="76"/>
      <c r="BO2038" s="76"/>
      <c r="BP2038" s="76"/>
      <c r="BQ2038" s="76"/>
      <c r="BR2038" s="76"/>
      <c r="BS2038" s="76"/>
      <c r="BT2038" s="76"/>
      <c r="BU2038" s="76"/>
      <c r="BV2038" s="76"/>
      <c r="BW2038" s="76"/>
      <c r="BX2038" s="76"/>
      <c r="BY2038" s="76"/>
      <c r="BZ2038" s="76"/>
      <c r="CA2038" s="76"/>
      <c r="CB2038" s="76"/>
      <c r="CC2038" s="76"/>
      <c r="CD2038" s="76"/>
      <c r="CE2038" s="76"/>
      <c r="CF2038" s="76">
        <f>+CE2038*28000</f>
        <v>0</v>
      </c>
      <c r="CG2038" s="76"/>
      <c r="CH2038" s="76">
        <f>+CG2038*22500</f>
        <v>0</v>
      </c>
      <c r="CI2038" s="76"/>
      <c r="CJ2038" s="76">
        <f>+CI2038*26000</f>
        <v>0</v>
      </c>
      <c r="CK2038" s="76"/>
      <c r="CL2038" s="76"/>
      <c r="CM2038" s="76"/>
      <c r="CN2038" s="76">
        <f>+CM2038*22000</f>
        <v>0</v>
      </c>
      <c r="CO2038" s="76"/>
      <c r="CP2038" s="76">
        <f>+CO2038*46000</f>
        <v>0</v>
      </c>
      <c r="CQ2038" s="76"/>
      <c r="CR2038" s="76">
        <f>+CQ2038*49000</f>
        <v>0</v>
      </c>
      <c r="CS2038" s="76"/>
      <c r="CT2038" s="76"/>
      <c r="CU2038" s="56">
        <f>AN2038+AP2038+AR2038+AT2038+AV2038+AX2038+AZ2038+BB2038+BD2038+BF2038+BH2038+BJ2038+BL2038+BN2038+BP2038+BR2038+BT2038+BV2038+BX2038+BZ2038+CB2038+CD2038+CF2038+CH2038+CJ2038+CL2038+CN2038+CP2038+CR2038+CT2038</f>
        <v>0</v>
      </c>
      <c r="CV2038" s="76"/>
      <c r="CW2038" s="76">
        <f>+CV2038*1100</f>
        <v>0</v>
      </c>
      <c r="CX2038" s="76"/>
      <c r="CY2038" s="76">
        <f>+CX2038*106250</f>
        <v>0</v>
      </c>
      <c r="CZ2038" s="76"/>
      <c r="DA2038" s="76">
        <f>+CZ2038*34500</f>
        <v>0</v>
      </c>
      <c r="DB2038" s="76"/>
      <c r="DC2038" s="76">
        <f>+DB2038*25000</f>
        <v>0</v>
      </c>
      <c r="DD2038" s="219"/>
      <c r="DE2038" s="219"/>
      <c r="DF2038" s="166"/>
      <c r="DG2038" s="116"/>
      <c r="DH2038" s="117"/>
      <c r="DI2038" s="24"/>
      <c r="DJ2038" s="24"/>
      <c r="DK2038" s="24"/>
      <c r="DL2038" s="24"/>
      <c r="DM2038" s="24"/>
      <c r="DN2038" s="24"/>
      <c r="DO2038" s="24"/>
      <c r="DP2038" s="24"/>
      <c r="DQ2038" s="24"/>
      <c r="DR2038" s="24"/>
      <c r="DS2038" s="24"/>
      <c r="DT2038" s="24"/>
      <c r="DU2038" s="24"/>
    </row>
    <row r="2039" spans="1:125" s="8" customFormat="1" ht="156" x14ac:dyDescent="0.2">
      <c r="A2039" s="226">
        <v>41428</v>
      </c>
      <c r="B2039" s="225" t="s">
        <v>2718</v>
      </c>
      <c r="C2039" s="227" t="s">
        <v>2793</v>
      </c>
      <c r="D2039" s="227" t="s">
        <v>2882</v>
      </c>
      <c r="E2039" s="75" t="str">
        <f>VLOOKUP(B2039&amp;C2039,Divipola!$C$2:$F$1138,4,FALSE)</f>
        <v>23001</v>
      </c>
      <c r="F2039" s="87"/>
      <c r="G2039" s="87"/>
      <c r="H2039" s="87"/>
      <c r="I2039" s="87">
        <f>136*5</f>
        <v>680</v>
      </c>
      <c r="J2039" s="87">
        <v>136</v>
      </c>
      <c r="K2039" s="87"/>
      <c r="L2039" s="87">
        <v>136</v>
      </c>
      <c r="M2039" s="87"/>
      <c r="N2039" s="87"/>
      <c r="O2039" s="87"/>
      <c r="P2039" s="87"/>
      <c r="Q2039" s="87"/>
      <c r="R2039" s="87"/>
      <c r="S2039" s="87"/>
      <c r="T2039" s="87"/>
      <c r="U2039" s="88"/>
      <c r="V2039" s="89"/>
      <c r="W2039" s="96">
        <f>45900000+17100000</f>
        <v>63000000</v>
      </c>
      <c r="X2039" s="71">
        <f>CU2039</f>
        <v>1859997.3599999999</v>
      </c>
      <c r="Y2039" s="71">
        <f>CY2039</f>
        <v>14301488</v>
      </c>
      <c r="Z2039" s="71">
        <f>DA2039+DC2039+DE2039</f>
        <v>27193416</v>
      </c>
      <c r="AA2039" s="71">
        <f>CW2039</f>
        <v>0</v>
      </c>
      <c r="AB2039" s="71"/>
      <c r="AC2039" s="71">
        <v>0</v>
      </c>
      <c r="AD2039" s="71">
        <f>W2039+X2039+Y2039+Z2039+AA2039+AB2039+AC2039</f>
        <v>106354901.36</v>
      </c>
      <c r="AE2039" s="72">
        <v>0</v>
      </c>
      <c r="AF2039" s="5"/>
      <c r="AG2039" s="6"/>
      <c r="AH2039" s="27" t="s">
        <v>3390</v>
      </c>
      <c r="AI2039" s="44" t="s">
        <v>3391</v>
      </c>
      <c r="AJ2039" s="26"/>
      <c r="AK2039" s="5"/>
      <c r="AL2039" s="82" t="s">
        <v>5403</v>
      </c>
      <c r="AM2039" s="76"/>
      <c r="AN2039" s="76"/>
      <c r="AO2039" s="76"/>
      <c r="AP2039" s="76"/>
      <c r="AQ2039" s="76"/>
      <c r="AR2039" s="76"/>
      <c r="AS2039" s="76"/>
      <c r="AT2039" s="76"/>
      <c r="AU2039" s="76"/>
      <c r="AV2039" s="76"/>
      <c r="AW2039" s="76"/>
      <c r="AX2039" s="76">
        <f>+AW2039*600000</f>
        <v>0</v>
      </c>
      <c r="AY2039" s="76"/>
      <c r="AZ2039" s="76">
        <f>+AY2039*70000</f>
        <v>0</v>
      </c>
      <c r="BA2039" s="76"/>
      <c r="BB2039" s="76"/>
      <c r="BC2039" s="76"/>
      <c r="BD2039" s="76">
        <f>+BC2039*30000</f>
        <v>0</v>
      </c>
      <c r="BE2039" s="76"/>
      <c r="BF2039" s="76"/>
      <c r="BG2039" s="76"/>
      <c r="BH2039" s="76"/>
      <c r="BI2039" s="76"/>
      <c r="BJ2039" s="76"/>
      <c r="BK2039" s="76"/>
      <c r="BL2039" s="76">
        <f>+BK2039*31500</f>
        <v>0</v>
      </c>
      <c r="BM2039" s="76"/>
      <c r="BN2039" s="76"/>
      <c r="BO2039" s="76"/>
      <c r="BP2039" s="76"/>
      <c r="BQ2039" s="76"/>
      <c r="BR2039" s="76"/>
      <c r="BS2039" s="76"/>
      <c r="BT2039" s="76"/>
      <c r="BU2039" s="76"/>
      <c r="BV2039" s="76"/>
      <c r="BW2039" s="76"/>
      <c r="BX2039" s="76"/>
      <c r="BY2039" s="86">
        <v>3</v>
      </c>
      <c r="BZ2039" s="86">
        <f>3*619999.12</f>
        <v>1859997.3599999999</v>
      </c>
      <c r="CA2039" s="76"/>
      <c r="CB2039" s="76"/>
      <c r="CC2039" s="76"/>
      <c r="CD2039" s="76"/>
      <c r="CE2039" s="76"/>
      <c r="CF2039" s="76">
        <f>+CE2039*28000</f>
        <v>0</v>
      </c>
      <c r="CG2039" s="76"/>
      <c r="CH2039" s="76">
        <f>+CG2039*22500</f>
        <v>0</v>
      </c>
      <c r="CI2039" s="76"/>
      <c r="CJ2039" s="76">
        <f>+CI2039*26000</f>
        <v>0</v>
      </c>
      <c r="CK2039" s="76"/>
      <c r="CL2039" s="76"/>
      <c r="CM2039" s="76"/>
      <c r="CN2039" s="76">
        <f>+CM2039*22000</f>
        <v>0</v>
      </c>
      <c r="CO2039" s="76"/>
      <c r="CP2039" s="76">
        <f>+CO2039*46000</f>
        <v>0</v>
      </c>
      <c r="CQ2039" s="76"/>
      <c r="CR2039" s="76">
        <f>+CQ2039*49000</f>
        <v>0</v>
      </c>
      <c r="CS2039" s="76"/>
      <c r="CT2039" s="76"/>
      <c r="CU2039" s="56">
        <f>AN2039+AP2039+AR2039+AT2039+AV2039+AX2039+AZ2039+BB2039+BD2039+BF2039+BH2039+BJ2039+BL2039+BN2039+BP2039+BR2039+BT2039+BV2039+BX2039+BZ2039+CB2039+CD2039+CF2039+CH2039+CJ2039+CL2039+CN2039+CP2039+CR2039+CT2039</f>
        <v>1859997.3599999999</v>
      </c>
      <c r="CV2039" s="76"/>
      <c r="CW2039" s="76">
        <f>+CV2039*1100</f>
        <v>0</v>
      </c>
      <c r="CX2039" s="86">
        <v>136</v>
      </c>
      <c r="CY2039" s="86">
        <f>+CX2039*105158</f>
        <v>14301488</v>
      </c>
      <c r="CZ2039" s="76"/>
      <c r="DA2039" s="76">
        <f>+CZ2039*34500</f>
        <v>0</v>
      </c>
      <c r="DB2039" s="86">
        <f>300+450</f>
        <v>750</v>
      </c>
      <c r="DC2039" s="86">
        <f>300*33599.4+1200*199.52+450*35999.44+900*749.36</f>
        <v>27193416</v>
      </c>
      <c r="DD2039" s="219"/>
      <c r="DE2039" s="219"/>
      <c r="DF2039" s="166"/>
      <c r="DG2039" s="134" t="s">
        <v>5880</v>
      </c>
      <c r="DH2039" s="117"/>
      <c r="DI2039" s="24"/>
      <c r="DJ2039" s="24"/>
      <c r="DK2039" s="24"/>
      <c r="DL2039" s="24"/>
      <c r="DM2039" s="24"/>
      <c r="DN2039" s="24"/>
      <c r="DO2039" s="24"/>
      <c r="DP2039" s="24"/>
      <c r="DQ2039" s="24"/>
      <c r="DR2039" s="24"/>
      <c r="DS2039" s="24"/>
      <c r="DT2039" s="24"/>
      <c r="DU2039" s="24"/>
    </row>
    <row r="2040" spans="1:125" s="8" customFormat="1" ht="36" x14ac:dyDescent="0.2">
      <c r="A2040" s="226">
        <v>41428</v>
      </c>
      <c r="B2040" s="225" t="s">
        <v>2906</v>
      </c>
      <c r="C2040" s="227" t="s">
        <v>468</v>
      </c>
      <c r="D2040" s="354" t="s">
        <v>2882</v>
      </c>
      <c r="E2040" s="75" t="str">
        <f>VLOOKUP(B2040&amp;C2040,Divipola!$C$2:$F$1138,4,FALSE)</f>
        <v>47720</v>
      </c>
      <c r="F2040" s="87"/>
      <c r="G2040" s="87"/>
      <c r="H2040" s="87"/>
      <c r="I2040" s="87"/>
      <c r="J2040" s="87"/>
      <c r="K2040" s="87"/>
      <c r="L2040" s="87"/>
      <c r="M2040" s="87"/>
      <c r="N2040" s="87"/>
      <c r="O2040" s="87"/>
      <c r="P2040" s="87"/>
      <c r="Q2040" s="87"/>
      <c r="R2040" s="87"/>
      <c r="S2040" s="87"/>
      <c r="T2040" s="87"/>
      <c r="U2040" s="88"/>
      <c r="V2040" s="89"/>
      <c r="W2040" s="96">
        <v>0</v>
      </c>
      <c r="X2040" s="71">
        <f>CU2040</f>
        <v>0</v>
      </c>
      <c r="Y2040" s="71">
        <f>CY2040</f>
        <v>0</v>
      </c>
      <c r="Z2040" s="71">
        <f>DA2040+DC2040+DE2040</f>
        <v>0</v>
      </c>
      <c r="AA2040" s="71">
        <f>CW2040</f>
        <v>0</v>
      </c>
      <c r="AB2040" s="71"/>
      <c r="AC2040" s="71">
        <v>0</v>
      </c>
      <c r="AD2040" s="71">
        <f>W2040+X2040+Y2040+Z2040+AA2040+AB2040+AC2040</f>
        <v>0</v>
      </c>
      <c r="AE2040" s="72">
        <v>0</v>
      </c>
      <c r="AF2040" s="5"/>
      <c r="AG2040" s="6"/>
      <c r="AH2040" s="27" t="s">
        <v>3392</v>
      </c>
      <c r="AI2040" s="44" t="s">
        <v>3393</v>
      </c>
      <c r="AJ2040" s="26"/>
      <c r="AK2040" s="5"/>
      <c r="AL2040" s="82" t="s">
        <v>4862</v>
      </c>
      <c r="AM2040" s="76"/>
      <c r="AN2040" s="76"/>
      <c r="AO2040" s="76"/>
      <c r="AP2040" s="76"/>
      <c r="AQ2040" s="76"/>
      <c r="AR2040" s="76"/>
      <c r="AS2040" s="76"/>
      <c r="AT2040" s="76"/>
      <c r="AU2040" s="76"/>
      <c r="AV2040" s="76"/>
      <c r="AW2040" s="76"/>
      <c r="AX2040" s="76">
        <f>+AW2040*600000</f>
        <v>0</v>
      </c>
      <c r="AY2040" s="76"/>
      <c r="AZ2040" s="76">
        <f>+AY2040*70000</f>
        <v>0</v>
      </c>
      <c r="BA2040" s="76"/>
      <c r="BB2040" s="76"/>
      <c r="BC2040" s="76"/>
      <c r="BD2040" s="76">
        <f>+BC2040*30000</f>
        <v>0</v>
      </c>
      <c r="BE2040" s="76"/>
      <c r="BF2040" s="76"/>
      <c r="BG2040" s="76"/>
      <c r="BH2040" s="76"/>
      <c r="BI2040" s="76"/>
      <c r="BJ2040" s="76"/>
      <c r="BK2040" s="76"/>
      <c r="BL2040" s="76">
        <f>+BK2040*31500</f>
        <v>0</v>
      </c>
      <c r="BM2040" s="76"/>
      <c r="BN2040" s="76"/>
      <c r="BO2040" s="76"/>
      <c r="BP2040" s="76"/>
      <c r="BQ2040" s="76"/>
      <c r="BR2040" s="76"/>
      <c r="BS2040" s="76"/>
      <c r="BT2040" s="76"/>
      <c r="BU2040" s="76"/>
      <c r="BV2040" s="76"/>
      <c r="BW2040" s="76"/>
      <c r="BX2040" s="76"/>
      <c r="BY2040" s="76"/>
      <c r="BZ2040" s="76"/>
      <c r="CA2040" s="76"/>
      <c r="CB2040" s="76"/>
      <c r="CC2040" s="76"/>
      <c r="CD2040" s="76"/>
      <c r="CE2040" s="76"/>
      <c r="CF2040" s="76">
        <f>+CE2040*28000</f>
        <v>0</v>
      </c>
      <c r="CG2040" s="76"/>
      <c r="CH2040" s="76">
        <f>+CG2040*22500</f>
        <v>0</v>
      </c>
      <c r="CI2040" s="76"/>
      <c r="CJ2040" s="76">
        <f>+CI2040*26000</f>
        <v>0</v>
      </c>
      <c r="CK2040" s="76"/>
      <c r="CL2040" s="76"/>
      <c r="CM2040" s="76"/>
      <c r="CN2040" s="76">
        <f>+CM2040*22000</f>
        <v>0</v>
      </c>
      <c r="CO2040" s="76"/>
      <c r="CP2040" s="76">
        <f>+CO2040*46000</f>
        <v>0</v>
      </c>
      <c r="CQ2040" s="76"/>
      <c r="CR2040" s="76">
        <f>+CQ2040*49000</f>
        <v>0</v>
      </c>
      <c r="CS2040" s="76"/>
      <c r="CT2040" s="76"/>
      <c r="CU2040" s="56">
        <f>AN2040+AP2040+AR2040+AT2040+AV2040+AX2040+AZ2040+BB2040+BD2040+BF2040+BH2040+BJ2040+BL2040+BN2040+BP2040+BR2040+BT2040+BV2040+BX2040+BZ2040+CB2040+CD2040+CF2040+CH2040+CJ2040+CL2040+CN2040+CP2040+CR2040+CT2040</f>
        <v>0</v>
      </c>
      <c r="CV2040" s="76"/>
      <c r="CW2040" s="76">
        <f>+CV2040*1100</f>
        <v>0</v>
      </c>
      <c r="CX2040" s="76"/>
      <c r="CY2040" s="76">
        <f>+CX2040*106250</f>
        <v>0</v>
      </c>
      <c r="CZ2040" s="76"/>
      <c r="DA2040" s="76">
        <f>+CZ2040*34500</f>
        <v>0</v>
      </c>
      <c r="DB2040" s="76"/>
      <c r="DC2040" s="76">
        <f>+DB2040*25000</f>
        <v>0</v>
      </c>
      <c r="DD2040" s="219"/>
      <c r="DE2040" s="219"/>
      <c r="DF2040" s="166"/>
      <c r="DG2040" s="116"/>
      <c r="DH2040" s="117"/>
      <c r="DI2040" s="24"/>
      <c r="DJ2040" s="24"/>
      <c r="DK2040" s="24"/>
      <c r="DL2040" s="24"/>
      <c r="DM2040" s="24"/>
      <c r="DN2040" s="24"/>
      <c r="DO2040" s="24"/>
      <c r="DP2040" s="24"/>
      <c r="DQ2040" s="24"/>
      <c r="DR2040" s="24"/>
      <c r="DS2040" s="24"/>
      <c r="DT2040" s="24"/>
      <c r="DU2040" s="24"/>
    </row>
    <row r="2041" spans="1:125" s="8" customFormat="1" ht="36" x14ac:dyDescent="0.2">
      <c r="A2041" s="226">
        <v>41428</v>
      </c>
      <c r="B2041" s="225" t="s">
        <v>2774</v>
      </c>
      <c r="C2041" s="227" t="s">
        <v>2038</v>
      </c>
      <c r="D2041" s="227" t="s">
        <v>3088</v>
      </c>
      <c r="E2041" s="75" t="str">
        <f>VLOOKUP(B2041&amp;C2041,Divipola!$C$2:$F$1138,4,FALSE)</f>
        <v>66456</v>
      </c>
      <c r="F2041" s="87"/>
      <c r="G2041" s="87"/>
      <c r="H2041" s="87"/>
      <c r="I2041" s="87"/>
      <c r="J2041" s="87"/>
      <c r="K2041" s="87"/>
      <c r="L2041" s="87"/>
      <c r="M2041" s="87">
        <v>1</v>
      </c>
      <c r="N2041" s="87"/>
      <c r="O2041" s="87"/>
      <c r="P2041" s="87"/>
      <c r="Q2041" s="87"/>
      <c r="R2041" s="87"/>
      <c r="S2041" s="87"/>
      <c r="T2041" s="87"/>
      <c r="U2041" s="88"/>
      <c r="V2041" s="89"/>
      <c r="W2041" s="96">
        <v>0</v>
      </c>
      <c r="X2041" s="71">
        <f>CU2041</f>
        <v>0</v>
      </c>
      <c r="Y2041" s="71">
        <f>CY2041</f>
        <v>0</v>
      </c>
      <c r="Z2041" s="71">
        <f>DA2041+DC2041+DE2041</f>
        <v>0</v>
      </c>
      <c r="AA2041" s="71">
        <f>CW2041</f>
        <v>0</v>
      </c>
      <c r="AB2041" s="71"/>
      <c r="AC2041" s="71">
        <v>0</v>
      </c>
      <c r="AD2041" s="71">
        <f>W2041+X2041+Y2041+Z2041+AA2041+AB2041+AC2041</f>
        <v>0</v>
      </c>
      <c r="AE2041" s="72">
        <v>0</v>
      </c>
      <c r="AF2041" s="5"/>
      <c r="AG2041" s="6"/>
      <c r="AH2041" s="27" t="s">
        <v>3392</v>
      </c>
      <c r="AI2041" s="44" t="s">
        <v>3393</v>
      </c>
      <c r="AJ2041" s="26"/>
      <c r="AK2041" s="5"/>
      <c r="AL2041" s="82" t="s">
        <v>4851</v>
      </c>
      <c r="AM2041" s="76"/>
      <c r="AN2041" s="76"/>
      <c r="AO2041" s="76"/>
      <c r="AP2041" s="76"/>
      <c r="AQ2041" s="76"/>
      <c r="AR2041" s="76"/>
      <c r="AS2041" s="76"/>
      <c r="AT2041" s="76"/>
      <c r="AU2041" s="76"/>
      <c r="AV2041" s="76"/>
      <c r="AW2041" s="76"/>
      <c r="AX2041" s="76">
        <f>+AW2041*600000</f>
        <v>0</v>
      </c>
      <c r="AY2041" s="76"/>
      <c r="AZ2041" s="76">
        <f>+AY2041*70000</f>
        <v>0</v>
      </c>
      <c r="BA2041" s="76"/>
      <c r="BB2041" s="76"/>
      <c r="BC2041" s="76"/>
      <c r="BD2041" s="76">
        <f>+BC2041*30000</f>
        <v>0</v>
      </c>
      <c r="BE2041" s="76"/>
      <c r="BF2041" s="76"/>
      <c r="BG2041" s="76"/>
      <c r="BH2041" s="76"/>
      <c r="BI2041" s="76"/>
      <c r="BJ2041" s="76"/>
      <c r="BK2041" s="76"/>
      <c r="BL2041" s="76">
        <f>+BK2041*31500</f>
        <v>0</v>
      </c>
      <c r="BM2041" s="76"/>
      <c r="BN2041" s="76"/>
      <c r="BO2041" s="76"/>
      <c r="BP2041" s="76"/>
      <c r="BQ2041" s="76"/>
      <c r="BR2041" s="76"/>
      <c r="BS2041" s="76"/>
      <c r="BT2041" s="76"/>
      <c r="BU2041" s="76"/>
      <c r="BV2041" s="76"/>
      <c r="BW2041" s="76"/>
      <c r="BX2041" s="76"/>
      <c r="BY2041" s="76"/>
      <c r="BZ2041" s="76"/>
      <c r="CA2041" s="76"/>
      <c r="CB2041" s="76"/>
      <c r="CC2041" s="76"/>
      <c r="CD2041" s="76"/>
      <c r="CE2041" s="76"/>
      <c r="CF2041" s="76">
        <f>+CE2041*28000</f>
        <v>0</v>
      </c>
      <c r="CG2041" s="76"/>
      <c r="CH2041" s="76">
        <f>+CG2041*22500</f>
        <v>0</v>
      </c>
      <c r="CI2041" s="76"/>
      <c r="CJ2041" s="76">
        <f>+CI2041*26000</f>
        <v>0</v>
      </c>
      <c r="CK2041" s="76"/>
      <c r="CL2041" s="76"/>
      <c r="CM2041" s="76"/>
      <c r="CN2041" s="76">
        <f>+CM2041*22000</f>
        <v>0</v>
      </c>
      <c r="CO2041" s="76"/>
      <c r="CP2041" s="76">
        <f>+CO2041*46000</f>
        <v>0</v>
      </c>
      <c r="CQ2041" s="76"/>
      <c r="CR2041" s="76">
        <f>+CQ2041*49000</f>
        <v>0</v>
      </c>
      <c r="CS2041" s="76"/>
      <c r="CT2041" s="76"/>
      <c r="CU2041" s="56">
        <f>AN2041+AP2041+AR2041+AT2041+AV2041+AX2041+AZ2041+BB2041+BD2041+BF2041+BH2041+BJ2041+BL2041+BN2041+BP2041+BR2041+BT2041+BV2041+BX2041+BZ2041+CB2041+CD2041+CF2041+CH2041+CJ2041+CL2041+CN2041+CP2041+CR2041+CT2041</f>
        <v>0</v>
      </c>
      <c r="CV2041" s="76"/>
      <c r="CW2041" s="76">
        <f>+CV2041*1100</f>
        <v>0</v>
      </c>
      <c r="CX2041" s="76"/>
      <c r="CY2041" s="76">
        <f>+CX2041*106250</f>
        <v>0</v>
      </c>
      <c r="CZ2041" s="76"/>
      <c r="DA2041" s="76">
        <f>+CZ2041*34500</f>
        <v>0</v>
      </c>
      <c r="DB2041" s="76"/>
      <c r="DC2041" s="76">
        <f>+DB2041*25000</f>
        <v>0</v>
      </c>
      <c r="DD2041" s="219"/>
      <c r="DE2041" s="219"/>
      <c r="DF2041" s="166"/>
      <c r="DG2041" s="116"/>
      <c r="DH2041" s="117"/>
      <c r="DI2041" s="24"/>
      <c r="DJ2041" s="24"/>
      <c r="DK2041" s="24"/>
      <c r="DL2041" s="24"/>
      <c r="DM2041" s="24"/>
      <c r="DN2041" s="24"/>
      <c r="DO2041" s="24"/>
      <c r="DP2041" s="24"/>
      <c r="DQ2041" s="24"/>
      <c r="DR2041" s="24"/>
      <c r="DS2041" s="24"/>
      <c r="DT2041" s="24"/>
      <c r="DU2041" s="24"/>
    </row>
    <row r="2042" spans="1:125" s="8" customFormat="1" ht="72" x14ac:dyDescent="0.2">
      <c r="A2042" s="353">
        <v>41428</v>
      </c>
      <c r="B2042" s="352" t="s">
        <v>2774</v>
      </c>
      <c r="C2042" s="354" t="s">
        <v>2752</v>
      </c>
      <c r="D2042" s="354" t="s">
        <v>3088</v>
      </c>
      <c r="E2042" s="75" t="str">
        <f>VLOOKUP(B2042&amp;C2042,Divipola!$C$2:$F$1138,4,FALSE)</f>
        <v>66687</v>
      </c>
      <c r="F2042" s="87"/>
      <c r="G2042" s="87"/>
      <c r="H2042" s="87"/>
      <c r="I2042" s="87"/>
      <c r="J2042" s="87"/>
      <c r="K2042" s="87"/>
      <c r="L2042" s="87"/>
      <c r="M2042" s="87">
        <v>4</v>
      </c>
      <c r="N2042" s="87"/>
      <c r="O2042" s="87"/>
      <c r="P2042" s="87"/>
      <c r="Q2042" s="87"/>
      <c r="R2042" s="87"/>
      <c r="S2042" s="87"/>
      <c r="T2042" s="87"/>
      <c r="U2042" s="88"/>
      <c r="V2042" s="89"/>
      <c r="W2042" s="96">
        <v>0</v>
      </c>
      <c r="X2042" s="71">
        <f>CU2042</f>
        <v>0</v>
      </c>
      <c r="Y2042" s="71">
        <f>CY2042</f>
        <v>0</v>
      </c>
      <c r="Z2042" s="71">
        <f>DA2042+DC2042+DE2042</f>
        <v>0</v>
      </c>
      <c r="AA2042" s="71">
        <f>CW2042</f>
        <v>0</v>
      </c>
      <c r="AB2042" s="71"/>
      <c r="AC2042" s="71">
        <v>0</v>
      </c>
      <c r="AD2042" s="71">
        <f>W2042+X2042+Y2042+Z2042+AA2042+AB2042+AC2042</f>
        <v>0</v>
      </c>
      <c r="AE2042" s="72">
        <v>0</v>
      </c>
      <c r="AF2042" s="5"/>
      <c r="AG2042" s="6"/>
      <c r="AH2042" s="27" t="s">
        <v>3392</v>
      </c>
      <c r="AI2042" s="44" t="s">
        <v>3393</v>
      </c>
      <c r="AJ2042" s="26"/>
      <c r="AK2042" s="5"/>
      <c r="AL2042" s="82" t="s">
        <v>4853</v>
      </c>
      <c r="AM2042" s="76"/>
      <c r="AN2042" s="76"/>
      <c r="AO2042" s="76"/>
      <c r="AP2042" s="76"/>
      <c r="AQ2042" s="76"/>
      <c r="AR2042" s="76"/>
      <c r="AS2042" s="76"/>
      <c r="AT2042" s="76"/>
      <c r="AU2042" s="76"/>
      <c r="AV2042" s="76"/>
      <c r="AW2042" s="76"/>
      <c r="AX2042" s="76">
        <f>+AW2042*600000</f>
        <v>0</v>
      </c>
      <c r="AY2042" s="76"/>
      <c r="AZ2042" s="76">
        <f>+AY2042*70000</f>
        <v>0</v>
      </c>
      <c r="BA2042" s="76"/>
      <c r="BB2042" s="76"/>
      <c r="BC2042" s="76"/>
      <c r="BD2042" s="76">
        <f>+BC2042*30000</f>
        <v>0</v>
      </c>
      <c r="BE2042" s="76"/>
      <c r="BF2042" s="76"/>
      <c r="BG2042" s="76"/>
      <c r="BH2042" s="76"/>
      <c r="BI2042" s="76"/>
      <c r="BJ2042" s="76"/>
      <c r="BK2042" s="76"/>
      <c r="BL2042" s="76">
        <f>+BK2042*31500</f>
        <v>0</v>
      </c>
      <c r="BM2042" s="76"/>
      <c r="BN2042" s="76"/>
      <c r="BO2042" s="76"/>
      <c r="BP2042" s="76"/>
      <c r="BQ2042" s="76"/>
      <c r="BR2042" s="76"/>
      <c r="BS2042" s="76"/>
      <c r="BT2042" s="76"/>
      <c r="BU2042" s="76"/>
      <c r="BV2042" s="76"/>
      <c r="BW2042" s="76"/>
      <c r="BX2042" s="76"/>
      <c r="BY2042" s="76"/>
      <c r="BZ2042" s="76"/>
      <c r="CA2042" s="76"/>
      <c r="CB2042" s="76"/>
      <c r="CC2042" s="76"/>
      <c r="CD2042" s="76"/>
      <c r="CE2042" s="76"/>
      <c r="CF2042" s="76">
        <f>+CE2042*28000</f>
        <v>0</v>
      </c>
      <c r="CG2042" s="76"/>
      <c r="CH2042" s="76">
        <f>+CG2042*22500</f>
        <v>0</v>
      </c>
      <c r="CI2042" s="76"/>
      <c r="CJ2042" s="76">
        <f>+CI2042*26000</f>
        <v>0</v>
      </c>
      <c r="CK2042" s="76"/>
      <c r="CL2042" s="76"/>
      <c r="CM2042" s="76"/>
      <c r="CN2042" s="76">
        <f>+CM2042*22000</f>
        <v>0</v>
      </c>
      <c r="CO2042" s="76"/>
      <c r="CP2042" s="76">
        <f>+CO2042*46000</f>
        <v>0</v>
      </c>
      <c r="CQ2042" s="76"/>
      <c r="CR2042" s="76">
        <f>+CQ2042*49000</f>
        <v>0</v>
      </c>
      <c r="CS2042" s="76"/>
      <c r="CT2042" s="76"/>
      <c r="CU2042" s="56">
        <f>AN2042+AP2042+AR2042+AT2042+AV2042+AX2042+AZ2042+BB2042+BD2042+BF2042+BH2042+BJ2042+BL2042+BN2042+BP2042+BR2042+BT2042+BV2042+BX2042+BZ2042+CB2042+CD2042+CF2042+CH2042+CJ2042+CL2042+CN2042+CP2042+CR2042+CT2042</f>
        <v>0</v>
      </c>
      <c r="CV2042" s="76"/>
      <c r="CW2042" s="76">
        <f>+CV2042*1100</f>
        <v>0</v>
      </c>
      <c r="CX2042" s="76"/>
      <c r="CY2042" s="76">
        <f>+CX2042*106250</f>
        <v>0</v>
      </c>
      <c r="CZ2042" s="76"/>
      <c r="DA2042" s="76">
        <f>+CZ2042*34500</f>
        <v>0</v>
      </c>
      <c r="DB2042" s="76"/>
      <c r="DC2042" s="76">
        <f>+DB2042*25000</f>
        <v>0</v>
      </c>
      <c r="DD2042" s="219"/>
      <c r="DE2042" s="219"/>
      <c r="DF2042" s="166"/>
      <c r="DG2042" s="116"/>
      <c r="DH2042" s="117"/>
      <c r="DI2042" s="24"/>
      <c r="DJ2042" s="24"/>
      <c r="DK2042" s="24"/>
      <c r="DL2042" s="24"/>
      <c r="DM2042" s="24"/>
      <c r="DN2042" s="24"/>
      <c r="DO2042" s="24"/>
      <c r="DP2042" s="24"/>
      <c r="DQ2042" s="24"/>
      <c r="DR2042" s="24"/>
      <c r="DS2042" s="24"/>
      <c r="DT2042" s="24"/>
      <c r="DU2042" s="24"/>
    </row>
    <row r="2043" spans="1:125" s="8" customFormat="1" ht="60" x14ac:dyDescent="0.2">
      <c r="A2043" s="353">
        <v>41428</v>
      </c>
      <c r="B2043" s="352" t="s">
        <v>2851</v>
      </c>
      <c r="C2043" s="354" t="s">
        <v>2777</v>
      </c>
      <c r="D2043" s="354" t="s">
        <v>3051</v>
      </c>
      <c r="E2043" s="75" t="str">
        <f>VLOOKUP(B2043&amp;C2043,Divipola!$C$2:$F$1138,4,FALSE)</f>
        <v>76100</v>
      </c>
      <c r="F2043" s="87"/>
      <c r="G2043" s="87"/>
      <c r="H2043" s="87"/>
      <c r="I2043" s="87">
        <v>20</v>
      </c>
      <c r="J2043" s="87">
        <v>4</v>
      </c>
      <c r="K2043" s="87"/>
      <c r="L2043" s="87">
        <v>4</v>
      </c>
      <c r="M2043" s="87">
        <v>1</v>
      </c>
      <c r="N2043" s="87"/>
      <c r="O2043" s="87"/>
      <c r="P2043" s="87"/>
      <c r="Q2043" s="87"/>
      <c r="R2043" s="87"/>
      <c r="S2043" s="87"/>
      <c r="T2043" s="87"/>
      <c r="U2043" s="88"/>
      <c r="V2043" s="89"/>
      <c r="W2043" s="96">
        <v>0</v>
      </c>
      <c r="X2043" s="71">
        <f>CU2043</f>
        <v>0</v>
      </c>
      <c r="Y2043" s="71">
        <f>CY2043</f>
        <v>0</v>
      </c>
      <c r="Z2043" s="71">
        <f>DA2043+DC2043+DE2043</f>
        <v>0</v>
      </c>
      <c r="AA2043" s="71">
        <f>CW2043</f>
        <v>0</v>
      </c>
      <c r="AB2043" s="71"/>
      <c r="AC2043" s="71">
        <v>0</v>
      </c>
      <c r="AD2043" s="71">
        <f>W2043+X2043+Y2043+Z2043+AA2043+AB2043+AC2043</f>
        <v>0</v>
      </c>
      <c r="AE2043" s="72">
        <v>0</v>
      </c>
      <c r="AF2043" s="5"/>
      <c r="AG2043" s="6"/>
      <c r="AH2043" s="27" t="s">
        <v>3392</v>
      </c>
      <c r="AI2043" s="44" t="s">
        <v>3393</v>
      </c>
      <c r="AJ2043" s="26"/>
      <c r="AK2043" s="5"/>
      <c r="AL2043" s="82" t="s">
        <v>4850</v>
      </c>
      <c r="AM2043" s="76"/>
      <c r="AN2043" s="76"/>
      <c r="AO2043" s="76"/>
      <c r="AP2043" s="76"/>
      <c r="AQ2043" s="76"/>
      <c r="AR2043" s="76"/>
      <c r="AS2043" s="76"/>
      <c r="AT2043" s="76"/>
      <c r="AU2043" s="76"/>
      <c r="AV2043" s="76"/>
      <c r="AW2043" s="76"/>
      <c r="AX2043" s="76">
        <f>+AW2043*600000</f>
        <v>0</v>
      </c>
      <c r="AY2043" s="76"/>
      <c r="AZ2043" s="76">
        <f>+AY2043*70000</f>
        <v>0</v>
      </c>
      <c r="BA2043" s="76"/>
      <c r="BB2043" s="76"/>
      <c r="BC2043" s="76"/>
      <c r="BD2043" s="76">
        <f>+BC2043*30000</f>
        <v>0</v>
      </c>
      <c r="BE2043" s="76"/>
      <c r="BF2043" s="76"/>
      <c r="BG2043" s="76"/>
      <c r="BH2043" s="76"/>
      <c r="BI2043" s="76"/>
      <c r="BJ2043" s="76"/>
      <c r="BK2043" s="76"/>
      <c r="BL2043" s="76">
        <f>+BK2043*31500</f>
        <v>0</v>
      </c>
      <c r="BM2043" s="76"/>
      <c r="BN2043" s="76"/>
      <c r="BO2043" s="76"/>
      <c r="BP2043" s="76"/>
      <c r="BQ2043" s="76"/>
      <c r="BR2043" s="76"/>
      <c r="BS2043" s="76"/>
      <c r="BT2043" s="76"/>
      <c r="BU2043" s="76"/>
      <c r="BV2043" s="76"/>
      <c r="BW2043" s="76"/>
      <c r="BX2043" s="76"/>
      <c r="BY2043" s="76"/>
      <c r="BZ2043" s="76"/>
      <c r="CA2043" s="76"/>
      <c r="CB2043" s="76"/>
      <c r="CC2043" s="76"/>
      <c r="CD2043" s="76"/>
      <c r="CE2043" s="76"/>
      <c r="CF2043" s="76">
        <f>+CE2043*28000</f>
        <v>0</v>
      </c>
      <c r="CG2043" s="76"/>
      <c r="CH2043" s="76">
        <f>+CG2043*22500</f>
        <v>0</v>
      </c>
      <c r="CI2043" s="76"/>
      <c r="CJ2043" s="76">
        <f>+CI2043*26000</f>
        <v>0</v>
      </c>
      <c r="CK2043" s="76"/>
      <c r="CL2043" s="76"/>
      <c r="CM2043" s="76"/>
      <c r="CN2043" s="76">
        <f>+CM2043*22000</f>
        <v>0</v>
      </c>
      <c r="CO2043" s="76"/>
      <c r="CP2043" s="76">
        <f>+CO2043*46000</f>
        <v>0</v>
      </c>
      <c r="CQ2043" s="76"/>
      <c r="CR2043" s="76">
        <f>+CQ2043*49000</f>
        <v>0</v>
      </c>
      <c r="CS2043" s="76"/>
      <c r="CT2043" s="76"/>
      <c r="CU2043" s="56">
        <f>AN2043+AP2043+AR2043+AT2043+AV2043+AX2043+AZ2043+BB2043+BD2043+BF2043+BH2043+BJ2043+BL2043+BN2043+BP2043+BR2043+BT2043+BV2043+BX2043+BZ2043+CB2043+CD2043+CF2043+CH2043+CJ2043+CL2043+CN2043+CP2043+CR2043+CT2043</f>
        <v>0</v>
      </c>
      <c r="CV2043" s="76"/>
      <c r="CW2043" s="76">
        <f>+CV2043*1100</f>
        <v>0</v>
      </c>
      <c r="CX2043" s="76"/>
      <c r="CY2043" s="76">
        <f>+CX2043*106250</f>
        <v>0</v>
      </c>
      <c r="CZ2043" s="76"/>
      <c r="DA2043" s="76">
        <f>+CZ2043*34500</f>
        <v>0</v>
      </c>
      <c r="DB2043" s="76"/>
      <c r="DC2043" s="76">
        <f>+DB2043*25000</f>
        <v>0</v>
      </c>
      <c r="DD2043" s="219"/>
      <c r="DE2043" s="219"/>
      <c r="DF2043" s="166"/>
      <c r="DG2043" s="116"/>
      <c r="DH2043" s="117"/>
      <c r="DI2043" s="24"/>
      <c r="DJ2043" s="24"/>
      <c r="DK2043" s="24"/>
      <c r="DL2043" s="24"/>
      <c r="DM2043" s="24"/>
      <c r="DN2043" s="24"/>
      <c r="DO2043" s="24"/>
      <c r="DP2043" s="24"/>
      <c r="DQ2043" s="24"/>
      <c r="DR2043" s="24"/>
      <c r="DS2043" s="24"/>
      <c r="DT2043" s="24"/>
      <c r="DU2043" s="24"/>
    </row>
    <row r="2044" spans="1:125" s="8" customFormat="1" ht="36" x14ac:dyDescent="0.2">
      <c r="A2044" s="77">
        <v>41429</v>
      </c>
      <c r="B2044" s="78" t="s">
        <v>2894</v>
      </c>
      <c r="C2044" s="75" t="s">
        <v>2587</v>
      </c>
      <c r="D2044" s="75" t="s">
        <v>2846</v>
      </c>
      <c r="E2044" s="75" t="str">
        <f>VLOOKUP(B2044&amp;C2044,Divipola!$C$2:$F$1138,4,FALSE)</f>
        <v>05686</v>
      </c>
      <c r="F2044" s="87"/>
      <c r="G2044" s="87"/>
      <c r="H2044" s="87"/>
      <c r="I2044" s="87"/>
      <c r="J2044" s="87"/>
      <c r="K2044" s="87"/>
      <c r="L2044" s="87"/>
      <c r="M2044" s="87"/>
      <c r="N2044" s="87"/>
      <c r="O2044" s="87"/>
      <c r="P2044" s="87"/>
      <c r="Q2044" s="87"/>
      <c r="R2044" s="87"/>
      <c r="S2044" s="87"/>
      <c r="T2044" s="87"/>
      <c r="U2044" s="88">
        <v>1</v>
      </c>
      <c r="V2044" s="89"/>
      <c r="W2044" s="96">
        <v>0</v>
      </c>
      <c r="X2044" s="71">
        <f>CU2044</f>
        <v>0</v>
      </c>
      <c r="Y2044" s="71">
        <f>CY2044</f>
        <v>0</v>
      </c>
      <c r="Z2044" s="71">
        <f>DA2044+DC2044+DE2044</f>
        <v>0</v>
      </c>
      <c r="AA2044" s="71">
        <f>CW2044</f>
        <v>0</v>
      </c>
      <c r="AB2044" s="71"/>
      <c r="AC2044" s="71">
        <v>0</v>
      </c>
      <c r="AD2044" s="71">
        <f>W2044+X2044+Y2044+Z2044+AA2044+AB2044+AC2044</f>
        <v>0</v>
      </c>
      <c r="AE2044" s="72">
        <v>0</v>
      </c>
      <c r="AF2044" s="5"/>
      <c r="AG2044" s="6"/>
      <c r="AH2044" s="27" t="s">
        <v>3392</v>
      </c>
      <c r="AI2044" s="44" t="s">
        <v>3393</v>
      </c>
      <c r="AJ2044" s="26"/>
      <c r="AK2044" s="5"/>
      <c r="AL2044" s="82" t="s">
        <v>4859</v>
      </c>
      <c r="AM2044" s="76"/>
      <c r="AN2044" s="76"/>
      <c r="AO2044" s="76"/>
      <c r="AP2044" s="76"/>
      <c r="AQ2044" s="76"/>
      <c r="AR2044" s="76"/>
      <c r="AS2044" s="76"/>
      <c r="AT2044" s="76"/>
      <c r="AU2044" s="76"/>
      <c r="AV2044" s="76"/>
      <c r="AW2044" s="76"/>
      <c r="AX2044" s="76">
        <f>+AW2044*600000</f>
        <v>0</v>
      </c>
      <c r="AY2044" s="76"/>
      <c r="AZ2044" s="76">
        <f>+AY2044*70000</f>
        <v>0</v>
      </c>
      <c r="BA2044" s="76"/>
      <c r="BB2044" s="76"/>
      <c r="BC2044" s="76"/>
      <c r="BD2044" s="76">
        <f>+BC2044*30000</f>
        <v>0</v>
      </c>
      <c r="BE2044" s="76"/>
      <c r="BF2044" s="76"/>
      <c r="BG2044" s="76"/>
      <c r="BH2044" s="76"/>
      <c r="BI2044" s="76"/>
      <c r="BJ2044" s="76"/>
      <c r="BK2044" s="76"/>
      <c r="BL2044" s="76">
        <f>+BK2044*31500</f>
        <v>0</v>
      </c>
      <c r="BM2044" s="76"/>
      <c r="BN2044" s="76"/>
      <c r="BO2044" s="76"/>
      <c r="BP2044" s="76"/>
      <c r="BQ2044" s="76"/>
      <c r="BR2044" s="76"/>
      <c r="BS2044" s="76"/>
      <c r="BT2044" s="76"/>
      <c r="BU2044" s="76"/>
      <c r="BV2044" s="76"/>
      <c r="BW2044" s="76"/>
      <c r="BX2044" s="76"/>
      <c r="BY2044" s="76"/>
      <c r="BZ2044" s="76"/>
      <c r="CA2044" s="76"/>
      <c r="CB2044" s="76"/>
      <c r="CC2044" s="76"/>
      <c r="CD2044" s="76"/>
      <c r="CE2044" s="76"/>
      <c r="CF2044" s="76">
        <f>+CE2044*28000</f>
        <v>0</v>
      </c>
      <c r="CG2044" s="76"/>
      <c r="CH2044" s="76">
        <f>+CG2044*22500</f>
        <v>0</v>
      </c>
      <c r="CI2044" s="76"/>
      <c r="CJ2044" s="76">
        <f>+CI2044*26000</f>
        <v>0</v>
      </c>
      <c r="CK2044" s="76"/>
      <c r="CL2044" s="76"/>
      <c r="CM2044" s="76"/>
      <c r="CN2044" s="76">
        <f>+CM2044*22000</f>
        <v>0</v>
      </c>
      <c r="CO2044" s="76"/>
      <c r="CP2044" s="76">
        <f>+CO2044*46000</f>
        <v>0</v>
      </c>
      <c r="CQ2044" s="76"/>
      <c r="CR2044" s="76">
        <f>+CQ2044*49000</f>
        <v>0</v>
      </c>
      <c r="CS2044" s="76"/>
      <c r="CT2044" s="76"/>
      <c r="CU2044" s="56">
        <f>AN2044+AP2044+AR2044+AT2044+AV2044+AX2044+AZ2044+BB2044+BD2044+BF2044+BH2044+BJ2044+BL2044+BN2044+BP2044+BR2044+BT2044+BV2044+BX2044+BZ2044+CB2044+CD2044+CF2044+CH2044+CJ2044+CL2044+CN2044+CP2044+CR2044+CT2044</f>
        <v>0</v>
      </c>
      <c r="CV2044" s="76"/>
      <c r="CW2044" s="76">
        <f>+CV2044*1100</f>
        <v>0</v>
      </c>
      <c r="CX2044" s="76"/>
      <c r="CY2044" s="76">
        <f>+CX2044*106250</f>
        <v>0</v>
      </c>
      <c r="CZ2044" s="76"/>
      <c r="DA2044" s="76">
        <f>+CZ2044*34500</f>
        <v>0</v>
      </c>
      <c r="DB2044" s="76"/>
      <c r="DC2044" s="76">
        <f>+DB2044*25000</f>
        <v>0</v>
      </c>
      <c r="DD2044" s="219"/>
      <c r="DE2044" s="219"/>
      <c r="DF2044" s="166"/>
      <c r="DG2044" s="116"/>
      <c r="DH2044" s="117"/>
      <c r="DI2044" s="24"/>
      <c r="DJ2044" s="24"/>
      <c r="DK2044" s="24"/>
      <c r="DL2044" s="24"/>
      <c r="DM2044" s="24"/>
      <c r="DN2044" s="24"/>
      <c r="DO2044" s="24"/>
      <c r="DP2044" s="24"/>
      <c r="DQ2044" s="24"/>
      <c r="DR2044" s="24"/>
      <c r="DS2044" s="24"/>
      <c r="DT2044" s="24"/>
      <c r="DU2044" s="24"/>
    </row>
    <row r="2045" spans="1:125" s="8" customFormat="1" ht="48" x14ac:dyDescent="0.2">
      <c r="A2045" s="353">
        <v>41429</v>
      </c>
      <c r="B2045" s="352" t="s">
        <v>2291</v>
      </c>
      <c r="C2045" s="354" t="s">
        <v>2292</v>
      </c>
      <c r="D2045" s="354" t="s">
        <v>3051</v>
      </c>
      <c r="E2045" s="75" t="str">
        <f>VLOOKUP(B2045&amp;C2045,Divipola!$C$2:$F$1138,4,FALSE)</f>
        <v>94001</v>
      </c>
      <c r="F2045" s="87"/>
      <c r="G2045" s="87"/>
      <c r="H2045" s="87"/>
      <c r="I2045" s="87"/>
      <c r="J2045" s="87"/>
      <c r="K2045" s="87"/>
      <c r="L2045" s="87"/>
      <c r="M2045" s="87"/>
      <c r="N2045" s="87"/>
      <c r="O2045" s="87"/>
      <c r="P2045" s="87"/>
      <c r="Q2045" s="87"/>
      <c r="R2045" s="87"/>
      <c r="S2045" s="87"/>
      <c r="T2045" s="87"/>
      <c r="U2045" s="88"/>
      <c r="V2045" s="89"/>
      <c r="W2045" s="96">
        <v>0</v>
      </c>
      <c r="X2045" s="71">
        <f>CU2045</f>
        <v>0</v>
      </c>
      <c r="Y2045" s="71">
        <f>CY2045</f>
        <v>0</v>
      </c>
      <c r="Z2045" s="71">
        <f>DA2045+DC2045+DE2045</f>
        <v>0</v>
      </c>
      <c r="AA2045" s="71">
        <f>CW2045</f>
        <v>0</v>
      </c>
      <c r="AB2045" s="71"/>
      <c r="AC2045" s="71">
        <v>0</v>
      </c>
      <c r="AD2045" s="71">
        <f>W2045+X2045+Y2045+Z2045+AA2045+AB2045+AC2045</f>
        <v>0</v>
      </c>
      <c r="AE2045" s="72">
        <v>0</v>
      </c>
      <c r="AF2045" s="5"/>
      <c r="AG2045" s="6"/>
      <c r="AH2045" s="27" t="s">
        <v>3392</v>
      </c>
      <c r="AI2045" s="44" t="s">
        <v>3393</v>
      </c>
      <c r="AJ2045" s="26"/>
      <c r="AK2045" s="5"/>
      <c r="AL2045" s="82" t="s">
        <v>4867</v>
      </c>
      <c r="AM2045" s="76"/>
      <c r="AN2045" s="76"/>
      <c r="AO2045" s="76"/>
      <c r="AP2045" s="76"/>
      <c r="AQ2045" s="76"/>
      <c r="AR2045" s="76"/>
      <c r="AS2045" s="76"/>
      <c r="AT2045" s="76"/>
      <c r="AU2045" s="76"/>
      <c r="AV2045" s="76"/>
      <c r="AW2045" s="76"/>
      <c r="AX2045" s="76">
        <f>+AW2045*600000</f>
        <v>0</v>
      </c>
      <c r="AY2045" s="76"/>
      <c r="AZ2045" s="76">
        <f>+AY2045*70000</f>
        <v>0</v>
      </c>
      <c r="BA2045" s="76"/>
      <c r="BB2045" s="76"/>
      <c r="BC2045" s="76"/>
      <c r="BD2045" s="76">
        <f>+BC2045*30000</f>
        <v>0</v>
      </c>
      <c r="BE2045" s="76"/>
      <c r="BF2045" s="76"/>
      <c r="BG2045" s="76"/>
      <c r="BH2045" s="76"/>
      <c r="BI2045" s="76"/>
      <c r="BJ2045" s="76"/>
      <c r="BK2045" s="76"/>
      <c r="BL2045" s="76">
        <f>+BK2045*31500</f>
        <v>0</v>
      </c>
      <c r="BM2045" s="76"/>
      <c r="BN2045" s="76"/>
      <c r="BO2045" s="76"/>
      <c r="BP2045" s="76"/>
      <c r="BQ2045" s="76"/>
      <c r="BR2045" s="76"/>
      <c r="BS2045" s="76"/>
      <c r="BT2045" s="76"/>
      <c r="BU2045" s="76"/>
      <c r="BV2045" s="76"/>
      <c r="BW2045" s="76"/>
      <c r="BX2045" s="76"/>
      <c r="BY2045" s="76"/>
      <c r="BZ2045" s="76"/>
      <c r="CA2045" s="76"/>
      <c r="CB2045" s="76"/>
      <c r="CC2045" s="76"/>
      <c r="CD2045" s="76"/>
      <c r="CE2045" s="76"/>
      <c r="CF2045" s="76">
        <f>+CE2045*28000</f>
        <v>0</v>
      </c>
      <c r="CG2045" s="76"/>
      <c r="CH2045" s="76">
        <f>+CG2045*22500</f>
        <v>0</v>
      </c>
      <c r="CI2045" s="76"/>
      <c r="CJ2045" s="76">
        <f>+CI2045*26000</f>
        <v>0</v>
      </c>
      <c r="CK2045" s="76"/>
      <c r="CL2045" s="76"/>
      <c r="CM2045" s="76"/>
      <c r="CN2045" s="76">
        <f>+CM2045*22000</f>
        <v>0</v>
      </c>
      <c r="CO2045" s="76"/>
      <c r="CP2045" s="76">
        <f>+CO2045*46000</f>
        <v>0</v>
      </c>
      <c r="CQ2045" s="76"/>
      <c r="CR2045" s="76">
        <f>+CQ2045*49000</f>
        <v>0</v>
      </c>
      <c r="CS2045" s="76"/>
      <c r="CT2045" s="76"/>
      <c r="CU2045" s="56">
        <f>AN2045+AP2045+AR2045+AT2045+AV2045+AX2045+AZ2045+BB2045+BD2045+BF2045+BH2045+BJ2045+BL2045+BN2045+BP2045+BR2045+BT2045+BV2045+BX2045+BZ2045+CB2045+CD2045+CF2045+CH2045+CJ2045+CL2045+CN2045+CP2045+CR2045+CT2045</f>
        <v>0</v>
      </c>
      <c r="CV2045" s="76"/>
      <c r="CW2045" s="76">
        <f>+CV2045*1100</f>
        <v>0</v>
      </c>
      <c r="CX2045" s="76"/>
      <c r="CY2045" s="76">
        <f>+CX2045*106250</f>
        <v>0</v>
      </c>
      <c r="CZ2045" s="76"/>
      <c r="DA2045" s="76">
        <f>+CZ2045*34500</f>
        <v>0</v>
      </c>
      <c r="DB2045" s="76"/>
      <c r="DC2045" s="76">
        <f>+DB2045*25000</f>
        <v>0</v>
      </c>
      <c r="DD2045" s="219"/>
      <c r="DE2045" s="219"/>
      <c r="DF2045" s="166"/>
      <c r="DG2045" s="116"/>
      <c r="DH2045" s="117"/>
      <c r="DI2045" s="24"/>
      <c r="DJ2045" s="24"/>
      <c r="DK2045" s="24"/>
      <c r="DL2045" s="24"/>
      <c r="DM2045" s="24"/>
      <c r="DN2045" s="24"/>
      <c r="DO2045" s="24"/>
      <c r="DP2045" s="24"/>
      <c r="DQ2045" s="24"/>
      <c r="DR2045" s="24"/>
      <c r="DS2045" s="24"/>
      <c r="DT2045" s="24"/>
      <c r="DU2045" s="24"/>
    </row>
    <row r="2046" spans="1:125" s="8" customFormat="1" ht="48" x14ac:dyDescent="0.2">
      <c r="A2046" s="226">
        <v>41429</v>
      </c>
      <c r="B2046" s="225" t="s">
        <v>2811</v>
      </c>
      <c r="C2046" s="227" t="s">
        <v>168</v>
      </c>
      <c r="D2046" s="227" t="s">
        <v>4391</v>
      </c>
      <c r="E2046" s="75" t="str">
        <f>VLOOKUP(B2046&amp;C2046,Divipola!$C$2:$F$1138,4,FALSE)</f>
        <v>52356</v>
      </c>
      <c r="F2046" s="87">
        <v>2</v>
      </c>
      <c r="G2046" s="87">
        <v>2</v>
      </c>
      <c r="H2046" s="87"/>
      <c r="I2046" s="87"/>
      <c r="J2046" s="87"/>
      <c r="K2046" s="87"/>
      <c r="L2046" s="87"/>
      <c r="M2046" s="87"/>
      <c r="N2046" s="87"/>
      <c r="O2046" s="87"/>
      <c r="P2046" s="87"/>
      <c r="Q2046" s="87"/>
      <c r="R2046" s="87"/>
      <c r="S2046" s="87"/>
      <c r="T2046" s="87"/>
      <c r="U2046" s="88"/>
      <c r="V2046" s="89"/>
      <c r="W2046" s="96">
        <v>0</v>
      </c>
      <c r="X2046" s="71">
        <f>CU2046</f>
        <v>0</v>
      </c>
      <c r="Y2046" s="71">
        <f>CY2046</f>
        <v>0</v>
      </c>
      <c r="Z2046" s="71">
        <f>DA2046+DC2046+DE2046</f>
        <v>0</v>
      </c>
      <c r="AA2046" s="71">
        <f>CW2046</f>
        <v>0</v>
      </c>
      <c r="AB2046" s="71"/>
      <c r="AC2046" s="71">
        <v>0</v>
      </c>
      <c r="AD2046" s="71">
        <f>W2046+X2046+Y2046+Z2046+AA2046+AB2046+AC2046</f>
        <v>0</v>
      </c>
      <c r="AE2046" s="72">
        <v>0</v>
      </c>
      <c r="AF2046" s="5"/>
      <c r="AG2046" s="6"/>
      <c r="AH2046" s="27" t="s">
        <v>3392</v>
      </c>
      <c r="AI2046" s="44" t="s">
        <v>3393</v>
      </c>
      <c r="AJ2046" s="26"/>
      <c r="AK2046" s="5"/>
      <c r="AL2046" s="82" t="s">
        <v>4865</v>
      </c>
      <c r="AM2046" s="76"/>
      <c r="AN2046" s="76"/>
      <c r="AO2046" s="76"/>
      <c r="AP2046" s="76"/>
      <c r="AQ2046" s="76"/>
      <c r="AR2046" s="76"/>
      <c r="AS2046" s="76"/>
      <c r="AT2046" s="76"/>
      <c r="AU2046" s="76"/>
      <c r="AV2046" s="76"/>
      <c r="AW2046" s="76"/>
      <c r="AX2046" s="76">
        <f>+AW2046*600000</f>
        <v>0</v>
      </c>
      <c r="AY2046" s="76"/>
      <c r="AZ2046" s="76">
        <f>+AY2046*70000</f>
        <v>0</v>
      </c>
      <c r="BA2046" s="76"/>
      <c r="BB2046" s="76"/>
      <c r="BC2046" s="76"/>
      <c r="BD2046" s="76">
        <f>+BC2046*30000</f>
        <v>0</v>
      </c>
      <c r="BE2046" s="76"/>
      <c r="BF2046" s="76"/>
      <c r="BG2046" s="76"/>
      <c r="BH2046" s="76"/>
      <c r="BI2046" s="76"/>
      <c r="BJ2046" s="76"/>
      <c r="BK2046" s="76"/>
      <c r="BL2046" s="76">
        <f>+BK2046*31500</f>
        <v>0</v>
      </c>
      <c r="BM2046" s="76"/>
      <c r="BN2046" s="76"/>
      <c r="BO2046" s="76"/>
      <c r="BP2046" s="76"/>
      <c r="BQ2046" s="76"/>
      <c r="BR2046" s="76"/>
      <c r="BS2046" s="76"/>
      <c r="BT2046" s="76"/>
      <c r="BU2046" s="76"/>
      <c r="BV2046" s="76"/>
      <c r="BW2046" s="76"/>
      <c r="BX2046" s="76"/>
      <c r="BY2046" s="76"/>
      <c r="BZ2046" s="76"/>
      <c r="CA2046" s="76"/>
      <c r="CB2046" s="76"/>
      <c r="CC2046" s="76"/>
      <c r="CD2046" s="76"/>
      <c r="CE2046" s="76"/>
      <c r="CF2046" s="76">
        <f>+CE2046*28000</f>
        <v>0</v>
      </c>
      <c r="CG2046" s="76"/>
      <c r="CH2046" s="76">
        <f>+CG2046*22500</f>
        <v>0</v>
      </c>
      <c r="CI2046" s="76"/>
      <c r="CJ2046" s="76">
        <f>+CI2046*26000</f>
        <v>0</v>
      </c>
      <c r="CK2046" s="76"/>
      <c r="CL2046" s="76"/>
      <c r="CM2046" s="76"/>
      <c r="CN2046" s="76">
        <f>+CM2046*22000</f>
        <v>0</v>
      </c>
      <c r="CO2046" s="76"/>
      <c r="CP2046" s="76">
        <f>+CO2046*46000</f>
        <v>0</v>
      </c>
      <c r="CQ2046" s="76"/>
      <c r="CR2046" s="76">
        <f>+CQ2046*49000</f>
        <v>0</v>
      </c>
      <c r="CS2046" s="76"/>
      <c r="CT2046" s="76"/>
      <c r="CU2046" s="56">
        <f>AN2046+AP2046+AR2046+AT2046+AV2046+AX2046+AZ2046+BB2046+BD2046+BF2046+BH2046+BJ2046+BL2046+BN2046+BP2046+BR2046+BT2046+BV2046+BX2046+BZ2046+CB2046+CD2046+CF2046+CH2046+CJ2046+CL2046+CN2046+CP2046+CR2046+CT2046</f>
        <v>0</v>
      </c>
      <c r="CV2046" s="76"/>
      <c r="CW2046" s="76">
        <f>+CV2046*1100</f>
        <v>0</v>
      </c>
      <c r="CX2046" s="76"/>
      <c r="CY2046" s="76">
        <f>+CX2046*106250</f>
        <v>0</v>
      </c>
      <c r="CZ2046" s="76"/>
      <c r="DA2046" s="76">
        <f>+CZ2046*34500</f>
        <v>0</v>
      </c>
      <c r="DB2046" s="76"/>
      <c r="DC2046" s="76">
        <f>+DB2046*25000</f>
        <v>0</v>
      </c>
      <c r="DD2046" s="219"/>
      <c r="DE2046" s="219"/>
      <c r="DF2046" s="166"/>
      <c r="DG2046" s="116"/>
      <c r="DH2046" s="117"/>
      <c r="DI2046" s="24"/>
      <c r="DJ2046" s="24"/>
      <c r="DK2046" s="24"/>
      <c r="DL2046" s="24"/>
      <c r="DM2046" s="24"/>
      <c r="DN2046" s="24"/>
      <c r="DO2046" s="24"/>
      <c r="DP2046" s="24"/>
      <c r="DQ2046" s="24"/>
      <c r="DR2046" s="24"/>
      <c r="DS2046" s="24"/>
      <c r="DT2046" s="24"/>
      <c r="DU2046" s="24"/>
    </row>
    <row r="2047" spans="1:125" s="8" customFormat="1" ht="60" x14ac:dyDescent="0.2">
      <c r="A2047" s="353">
        <v>41429</v>
      </c>
      <c r="B2047" s="225" t="s">
        <v>2811</v>
      </c>
      <c r="C2047" s="227" t="s">
        <v>211</v>
      </c>
      <c r="D2047" s="227" t="s">
        <v>2859</v>
      </c>
      <c r="E2047" s="75" t="str">
        <f>VLOOKUP(B2047&amp;C2047,Divipola!$C$2:$F$1138,4,FALSE)</f>
        <v>52694</v>
      </c>
      <c r="F2047" s="87"/>
      <c r="G2047" s="87"/>
      <c r="H2047" s="87"/>
      <c r="I2047" s="87">
        <v>2</v>
      </c>
      <c r="J2047" s="87">
        <v>1</v>
      </c>
      <c r="K2047" s="87"/>
      <c r="L2047" s="87">
        <v>1</v>
      </c>
      <c r="M2047" s="87"/>
      <c r="N2047" s="87"/>
      <c r="O2047" s="87"/>
      <c r="P2047" s="87"/>
      <c r="Q2047" s="87"/>
      <c r="R2047" s="87"/>
      <c r="S2047" s="87"/>
      <c r="T2047" s="87"/>
      <c r="U2047" s="88"/>
      <c r="V2047" s="89"/>
      <c r="W2047" s="96">
        <v>0</v>
      </c>
      <c r="X2047" s="71">
        <f>CU2047</f>
        <v>0</v>
      </c>
      <c r="Y2047" s="71">
        <f>CY2047</f>
        <v>0</v>
      </c>
      <c r="Z2047" s="71">
        <f>DA2047+DC2047+DE2047</f>
        <v>0</v>
      </c>
      <c r="AA2047" s="71">
        <f>CW2047</f>
        <v>0</v>
      </c>
      <c r="AB2047" s="71"/>
      <c r="AC2047" s="71">
        <v>0</v>
      </c>
      <c r="AD2047" s="71">
        <f>W2047+X2047+Y2047+Z2047+AA2047+AB2047+AC2047</f>
        <v>0</v>
      </c>
      <c r="AE2047" s="72">
        <v>0</v>
      </c>
      <c r="AF2047" s="5"/>
      <c r="AG2047" s="6"/>
      <c r="AH2047" s="27" t="s">
        <v>3392</v>
      </c>
      <c r="AI2047" s="44" t="s">
        <v>3393</v>
      </c>
      <c r="AJ2047" s="26"/>
      <c r="AK2047" s="5"/>
      <c r="AL2047" s="82" t="s">
        <v>4864</v>
      </c>
      <c r="AM2047" s="76"/>
      <c r="AN2047" s="76"/>
      <c r="AO2047" s="76"/>
      <c r="AP2047" s="76"/>
      <c r="AQ2047" s="76"/>
      <c r="AR2047" s="76"/>
      <c r="AS2047" s="76"/>
      <c r="AT2047" s="76"/>
      <c r="AU2047" s="76"/>
      <c r="AV2047" s="76"/>
      <c r="AW2047" s="76"/>
      <c r="AX2047" s="76">
        <f>+AW2047*600000</f>
        <v>0</v>
      </c>
      <c r="AY2047" s="76"/>
      <c r="AZ2047" s="76">
        <f>+AY2047*70000</f>
        <v>0</v>
      </c>
      <c r="BA2047" s="76"/>
      <c r="BB2047" s="76"/>
      <c r="BC2047" s="76"/>
      <c r="BD2047" s="76">
        <f>+BC2047*30000</f>
        <v>0</v>
      </c>
      <c r="BE2047" s="76"/>
      <c r="BF2047" s="76"/>
      <c r="BG2047" s="76"/>
      <c r="BH2047" s="76"/>
      <c r="BI2047" s="76"/>
      <c r="BJ2047" s="76"/>
      <c r="BK2047" s="76"/>
      <c r="BL2047" s="76">
        <f>+BK2047*31500</f>
        <v>0</v>
      </c>
      <c r="BM2047" s="76"/>
      <c r="BN2047" s="76"/>
      <c r="BO2047" s="76"/>
      <c r="BP2047" s="76"/>
      <c r="BQ2047" s="76"/>
      <c r="BR2047" s="76"/>
      <c r="BS2047" s="76"/>
      <c r="BT2047" s="76"/>
      <c r="BU2047" s="76"/>
      <c r="BV2047" s="76"/>
      <c r="BW2047" s="76"/>
      <c r="BX2047" s="76"/>
      <c r="BY2047" s="76"/>
      <c r="BZ2047" s="76"/>
      <c r="CA2047" s="76"/>
      <c r="CB2047" s="76"/>
      <c r="CC2047" s="76"/>
      <c r="CD2047" s="76"/>
      <c r="CE2047" s="76"/>
      <c r="CF2047" s="76">
        <f>+CE2047*28000</f>
        <v>0</v>
      </c>
      <c r="CG2047" s="76"/>
      <c r="CH2047" s="76">
        <f>+CG2047*22500</f>
        <v>0</v>
      </c>
      <c r="CI2047" s="76"/>
      <c r="CJ2047" s="76">
        <f>+CI2047*26000</f>
        <v>0</v>
      </c>
      <c r="CK2047" s="76"/>
      <c r="CL2047" s="76"/>
      <c r="CM2047" s="76"/>
      <c r="CN2047" s="76">
        <f>+CM2047*22000</f>
        <v>0</v>
      </c>
      <c r="CO2047" s="76"/>
      <c r="CP2047" s="76">
        <f>+CO2047*46000</f>
        <v>0</v>
      </c>
      <c r="CQ2047" s="76"/>
      <c r="CR2047" s="76">
        <f>+CQ2047*49000</f>
        <v>0</v>
      </c>
      <c r="CS2047" s="76"/>
      <c r="CT2047" s="76"/>
      <c r="CU2047" s="56">
        <f>AN2047+AP2047+AR2047+AT2047+AV2047+AX2047+AZ2047+BB2047+BD2047+BF2047+BH2047+BJ2047+BL2047+BN2047+BP2047+BR2047+BT2047+BV2047+BX2047+BZ2047+CB2047+CD2047+CF2047+CH2047+CJ2047+CL2047+CN2047+CP2047+CR2047+CT2047</f>
        <v>0</v>
      </c>
      <c r="CV2047" s="76"/>
      <c r="CW2047" s="76">
        <f>+CV2047*1100</f>
        <v>0</v>
      </c>
      <c r="CX2047" s="76"/>
      <c r="CY2047" s="76">
        <f>+CX2047*106250</f>
        <v>0</v>
      </c>
      <c r="CZ2047" s="76"/>
      <c r="DA2047" s="76">
        <f>+CZ2047*34500</f>
        <v>0</v>
      </c>
      <c r="DB2047" s="76"/>
      <c r="DC2047" s="76">
        <f>+DB2047*25000</f>
        <v>0</v>
      </c>
      <c r="DD2047" s="219"/>
      <c r="DE2047" s="219"/>
      <c r="DF2047" s="166"/>
      <c r="DG2047" s="116"/>
      <c r="DH2047" s="117"/>
      <c r="DI2047" s="24"/>
      <c r="DJ2047" s="24"/>
      <c r="DK2047" s="24"/>
      <c r="DL2047" s="24"/>
      <c r="DM2047" s="24"/>
      <c r="DN2047" s="24"/>
      <c r="DO2047" s="24"/>
      <c r="DP2047" s="24"/>
      <c r="DQ2047" s="24"/>
      <c r="DR2047" s="24"/>
      <c r="DS2047" s="24"/>
      <c r="DT2047" s="24"/>
      <c r="DU2047" s="24"/>
    </row>
    <row r="2048" spans="1:125" s="8" customFormat="1" ht="48" x14ac:dyDescent="0.2">
      <c r="A2048" s="77">
        <v>41429</v>
      </c>
      <c r="B2048" s="225" t="s">
        <v>2774</v>
      </c>
      <c r="C2048" s="227" t="s">
        <v>2745</v>
      </c>
      <c r="D2048" s="354" t="s">
        <v>3088</v>
      </c>
      <c r="E2048" s="75" t="str">
        <f>VLOOKUP(B2048&amp;C2048,Divipola!$C$2:$F$1138,4,FALSE)</f>
        <v>66318</v>
      </c>
      <c r="F2048" s="87"/>
      <c r="G2048" s="87"/>
      <c r="H2048" s="87"/>
      <c r="I2048" s="87">
        <v>5</v>
      </c>
      <c r="J2048" s="87">
        <v>1</v>
      </c>
      <c r="K2048" s="87"/>
      <c r="L2048" s="87">
        <v>1</v>
      </c>
      <c r="M2048" s="87"/>
      <c r="N2048" s="87"/>
      <c r="O2048" s="87"/>
      <c r="P2048" s="87">
        <v>1</v>
      </c>
      <c r="Q2048" s="87"/>
      <c r="R2048" s="87"/>
      <c r="S2048" s="87"/>
      <c r="T2048" s="87"/>
      <c r="U2048" s="88"/>
      <c r="V2048" s="89"/>
      <c r="W2048" s="96">
        <v>0</v>
      </c>
      <c r="X2048" s="71">
        <f>CU2048</f>
        <v>0</v>
      </c>
      <c r="Y2048" s="71">
        <f>CY2048</f>
        <v>0</v>
      </c>
      <c r="Z2048" s="71">
        <f>DA2048+DC2048+DE2048</f>
        <v>57211200</v>
      </c>
      <c r="AA2048" s="71">
        <f>CW2048</f>
        <v>0</v>
      </c>
      <c r="AB2048" s="71"/>
      <c r="AC2048" s="71">
        <v>0</v>
      </c>
      <c r="AD2048" s="71">
        <f>W2048+X2048+Y2048+Z2048+AA2048+AB2048+AC2048</f>
        <v>57211200</v>
      </c>
      <c r="AE2048" s="72">
        <v>0</v>
      </c>
      <c r="AF2048" s="5"/>
      <c r="AG2048" s="6"/>
      <c r="AH2048" s="27" t="s">
        <v>3390</v>
      </c>
      <c r="AI2048" s="44" t="s">
        <v>3391</v>
      </c>
      <c r="AJ2048" s="26"/>
      <c r="AK2048" s="5"/>
      <c r="AL2048" s="82" t="s">
        <v>4875</v>
      </c>
      <c r="AM2048" s="76"/>
      <c r="AN2048" s="76"/>
      <c r="AO2048" s="76"/>
      <c r="AP2048" s="76"/>
      <c r="AQ2048" s="76"/>
      <c r="AR2048" s="76"/>
      <c r="AS2048" s="76"/>
      <c r="AT2048" s="76"/>
      <c r="AU2048" s="76"/>
      <c r="AV2048" s="76"/>
      <c r="AW2048" s="76"/>
      <c r="AX2048" s="76">
        <f>+AW2048*600000</f>
        <v>0</v>
      </c>
      <c r="AY2048" s="76"/>
      <c r="AZ2048" s="76">
        <f>+AY2048*70000</f>
        <v>0</v>
      </c>
      <c r="BA2048" s="76"/>
      <c r="BB2048" s="76"/>
      <c r="BC2048" s="76"/>
      <c r="BD2048" s="76">
        <f>+BC2048*30000</f>
        <v>0</v>
      </c>
      <c r="BE2048" s="76"/>
      <c r="BF2048" s="76"/>
      <c r="BG2048" s="76"/>
      <c r="BH2048" s="76"/>
      <c r="BI2048" s="76"/>
      <c r="BJ2048" s="76"/>
      <c r="BK2048" s="76"/>
      <c r="BL2048" s="76">
        <f>+BK2048*31500</f>
        <v>0</v>
      </c>
      <c r="BM2048" s="76"/>
      <c r="BN2048" s="76"/>
      <c r="BO2048" s="76"/>
      <c r="BP2048" s="76"/>
      <c r="BQ2048" s="76"/>
      <c r="BR2048" s="76"/>
      <c r="BS2048" s="76"/>
      <c r="BT2048" s="76"/>
      <c r="BU2048" s="76"/>
      <c r="BV2048" s="76"/>
      <c r="BW2048" s="76"/>
      <c r="BX2048" s="76"/>
      <c r="BY2048" s="76"/>
      <c r="BZ2048" s="76"/>
      <c r="CA2048" s="76"/>
      <c r="CB2048" s="76"/>
      <c r="CC2048" s="76"/>
      <c r="CD2048" s="76"/>
      <c r="CE2048" s="76"/>
      <c r="CF2048" s="76">
        <f>+CE2048*28000</f>
        <v>0</v>
      </c>
      <c r="CG2048" s="76"/>
      <c r="CH2048" s="76">
        <f>+CG2048*22500</f>
        <v>0</v>
      </c>
      <c r="CI2048" s="76"/>
      <c r="CJ2048" s="76">
        <f>+CI2048*26000</f>
        <v>0</v>
      </c>
      <c r="CK2048" s="76"/>
      <c r="CL2048" s="76"/>
      <c r="CM2048" s="76"/>
      <c r="CN2048" s="76">
        <f>+CM2048*22000</f>
        <v>0</v>
      </c>
      <c r="CO2048" s="76"/>
      <c r="CP2048" s="76">
        <f>+CO2048*46000</f>
        <v>0</v>
      </c>
      <c r="CQ2048" s="76"/>
      <c r="CR2048" s="76">
        <f>+CQ2048*49000</f>
        <v>0</v>
      </c>
      <c r="CS2048" s="76"/>
      <c r="CT2048" s="76"/>
      <c r="CU2048" s="56">
        <f>AN2048+AP2048+AR2048+AT2048+AV2048+AX2048+AZ2048+BB2048+BD2048+BF2048+BH2048+BJ2048+BL2048+BN2048+BP2048+BR2048+BT2048+BV2048+BX2048+BZ2048+CB2048+CD2048+CF2048+CH2048+CJ2048+CL2048+CN2048+CP2048+CR2048+CT2048</f>
        <v>0</v>
      </c>
      <c r="CV2048" s="76"/>
      <c r="CW2048" s="76">
        <f>+CV2048*1100</f>
        <v>0</v>
      </c>
      <c r="CX2048" s="76"/>
      <c r="CY2048" s="76">
        <f>+CX2048*106250</f>
        <v>0</v>
      </c>
      <c r="CZ2048" s="76"/>
      <c r="DA2048" s="76">
        <f>+CZ2048*34500</f>
        <v>0</v>
      </c>
      <c r="DB2048" s="76"/>
      <c r="DC2048" s="76">
        <f>+DB2048*25000</f>
        <v>0</v>
      </c>
      <c r="DD2048" s="222" t="s">
        <v>5006</v>
      </c>
      <c r="DE2048" s="309">
        <f>360*158920</f>
        <v>57211200</v>
      </c>
      <c r="DF2048" s="166"/>
      <c r="DG2048" s="134" t="s">
        <v>6538</v>
      </c>
      <c r="DH2048" s="117"/>
      <c r="DI2048" s="24"/>
      <c r="DJ2048" s="24"/>
      <c r="DK2048" s="24"/>
      <c r="DL2048" s="24"/>
      <c r="DM2048" s="24"/>
      <c r="DN2048" s="24"/>
      <c r="DO2048" s="24"/>
      <c r="DP2048" s="24"/>
      <c r="DQ2048" s="24"/>
      <c r="DR2048" s="24"/>
      <c r="DS2048" s="24"/>
      <c r="DT2048" s="24"/>
      <c r="DU2048" s="24"/>
    </row>
    <row r="2049" spans="1:125" s="8" customFormat="1" ht="72" x14ac:dyDescent="0.2">
      <c r="A2049" s="77">
        <v>41429</v>
      </c>
      <c r="B2049" s="225" t="s">
        <v>2847</v>
      </c>
      <c r="C2049" s="227" t="s">
        <v>337</v>
      </c>
      <c r="D2049" s="354" t="s">
        <v>3088</v>
      </c>
      <c r="E2049" s="75" t="str">
        <f>VLOOKUP(B2049&amp;C2049,Divipola!$C$2:$F$1138,4,FALSE)</f>
        <v>68229</v>
      </c>
      <c r="F2049" s="87"/>
      <c r="G2049" s="87"/>
      <c r="H2049" s="87"/>
      <c r="I2049" s="87">
        <v>90</v>
      </c>
      <c r="J2049" s="87">
        <v>18</v>
      </c>
      <c r="K2049" s="87"/>
      <c r="L2049" s="87">
        <v>18</v>
      </c>
      <c r="M2049" s="87"/>
      <c r="N2049" s="87"/>
      <c r="O2049" s="87"/>
      <c r="P2049" s="87"/>
      <c r="Q2049" s="87"/>
      <c r="R2049" s="87"/>
      <c r="S2049" s="87"/>
      <c r="T2049" s="87"/>
      <c r="U2049" s="88"/>
      <c r="V2049" s="89"/>
      <c r="W2049" s="96">
        <v>0</v>
      </c>
      <c r="X2049" s="71">
        <f>CU2049</f>
        <v>0</v>
      </c>
      <c r="Y2049" s="71">
        <f>CY2049</f>
        <v>0</v>
      </c>
      <c r="Z2049" s="71">
        <f>DA2049+DC2049+DE2049</f>
        <v>0</v>
      </c>
      <c r="AA2049" s="71">
        <f>CW2049</f>
        <v>0</v>
      </c>
      <c r="AB2049" s="71"/>
      <c r="AC2049" s="71">
        <v>0</v>
      </c>
      <c r="AD2049" s="71">
        <f>W2049+X2049+Y2049+Z2049+AA2049+AB2049+AC2049</f>
        <v>0</v>
      </c>
      <c r="AE2049" s="72">
        <v>0</v>
      </c>
      <c r="AF2049" s="5"/>
      <c r="AG2049" s="6"/>
      <c r="AH2049" s="27" t="s">
        <v>3392</v>
      </c>
      <c r="AI2049" s="44" t="s">
        <v>3393</v>
      </c>
      <c r="AJ2049" s="26"/>
      <c r="AK2049" s="5"/>
      <c r="AL2049" s="82" t="s">
        <v>4857</v>
      </c>
      <c r="AM2049" s="76"/>
      <c r="AN2049" s="76"/>
      <c r="AO2049" s="76"/>
      <c r="AP2049" s="76"/>
      <c r="AQ2049" s="76"/>
      <c r="AR2049" s="76"/>
      <c r="AS2049" s="76"/>
      <c r="AT2049" s="76"/>
      <c r="AU2049" s="76"/>
      <c r="AV2049" s="76"/>
      <c r="AW2049" s="76"/>
      <c r="AX2049" s="76">
        <f>+AW2049*600000</f>
        <v>0</v>
      </c>
      <c r="AY2049" s="76"/>
      <c r="AZ2049" s="76">
        <f>+AY2049*70000</f>
        <v>0</v>
      </c>
      <c r="BA2049" s="76"/>
      <c r="BB2049" s="76"/>
      <c r="BC2049" s="76"/>
      <c r="BD2049" s="76">
        <f>+BC2049*30000</f>
        <v>0</v>
      </c>
      <c r="BE2049" s="76"/>
      <c r="BF2049" s="76"/>
      <c r="BG2049" s="76"/>
      <c r="BH2049" s="76"/>
      <c r="BI2049" s="76"/>
      <c r="BJ2049" s="76"/>
      <c r="BK2049" s="76"/>
      <c r="BL2049" s="76">
        <f>+BK2049*31500</f>
        <v>0</v>
      </c>
      <c r="BM2049" s="76"/>
      <c r="BN2049" s="76"/>
      <c r="BO2049" s="76"/>
      <c r="BP2049" s="76"/>
      <c r="BQ2049" s="76"/>
      <c r="BR2049" s="76"/>
      <c r="BS2049" s="76"/>
      <c r="BT2049" s="76"/>
      <c r="BU2049" s="76"/>
      <c r="BV2049" s="76"/>
      <c r="BW2049" s="76"/>
      <c r="BX2049" s="76"/>
      <c r="BY2049" s="76"/>
      <c r="BZ2049" s="76"/>
      <c r="CA2049" s="76"/>
      <c r="CB2049" s="76"/>
      <c r="CC2049" s="76"/>
      <c r="CD2049" s="76"/>
      <c r="CE2049" s="76"/>
      <c r="CF2049" s="76">
        <f>+CE2049*28000</f>
        <v>0</v>
      </c>
      <c r="CG2049" s="76"/>
      <c r="CH2049" s="76">
        <f>+CG2049*22500</f>
        <v>0</v>
      </c>
      <c r="CI2049" s="76"/>
      <c r="CJ2049" s="76">
        <f>+CI2049*26000</f>
        <v>0</v>
      </c>
      <c r="CK2049" s="76"/>
      <c r="CL2049" s="76"/>
      <c r="CM2049" s="76"/>
      <c r="CN2049" s="76">
        <f>+CM2049*22000</f>
        <v>0</v>
      </c>
      <c r="CO2049" s="76"/>
      <c r="CP2049" s="76">
        <f>+CO2049*46000</f>
        <v>0</v>
      </c>
      <c r="CQ2049" s="76"/>
      <c r="CR2049" s="76">
        <f>+CQ2049*49000</f>
        <v>0</v>
      </c>
      <c r="CS2049" s="76"/>
      <c r="CT2049" s="76"/>
      <c r="CU2049" s="56">
        <f>AN2049+AP2049+AR2049+AT2049+AV2049+AX2049+AZ2049+BB2049+BD2049+BF2049+BH2049+BJ2049+BL2049+BN2049+BP2049+BR2049+BT2049+BV2049+BX2049+BZ2049+CB2049+CD2049+CF2049+CH2049+CJ2049+CL2049+CN2049+CP2049+CR2049+CT2049</f>
        <v>0</v>
      </c>
      <c r="CV2049" s="76"/>
      <c r="CW2049" s="76">
        <f>+CV2049*1100</f>
        <v>0</v>
      </c>
      <c r="CX2049" s="76"/>
      <c r="CY2049" s="76">
        <f>+CX2049*106250</f>
        <v>0</v>
      </c>
      <c r="CZ2049" s="76"/>
      <c r="DA2049" s="76">
        <f>+CZ2049*34500</f>
        <v>0</v>
      </c>
      <c r="DB2049" s="76"/>
      <c r="DC2049" s="76">
        <f>+DB2049*25000</f>
        <v>0</v>
      </c>
      <c r="DD2049" s="219"/>
      <c r="DE2049" s="219"/>
      <c r="DF2049" s="166"/>
      <c r="DG2049" s="116"/>
      <c r="DH2049" s="117"/>
      <c r="DI2049" s="24"/>
      <c r="DJ2049" s="24"/>
      <c r="DK2049" s="24"/>
      <c r="DL2049" s="24"/>
      <c r="DM2049" s="24"/>
      <c r="DN2049" s="24"/>
      <c r="DO2049" s="24"/>
      <c r="DP2049" s="24"/>
      <c r="DQ2049" s="24"/>
      <c r="DR2049" s="24"/>
      <c r="DS2049" s="24"/>
      <c r="DT2049" s="24"/>
      <c r="DU2049" s="24"/>
    </row>
    <row r="2050" spans="1:125" s="8" customFormat="1" ht="60" x14ac:dyDescent="0.2">
      <c r="A2050" s="77">
        <v>41429</v>
      </c>
      <c r="B2050" s="352" t="s">
        <v>2847</v>
      </c>
      <c r="C2050" s="354" t="s">
        <v>479</v>
      </c>
      <c r="D2050" s="354" t="s">
        <v>2846</v>
      </c>
      <c r="E2050" s="75" t="str">
        <f>VLOOKUP(B2050&amp;C2050,Divipola!$C$2:$F$1138,4,FALSE)</f>
        <v>68547</v>
      </c>
      <c r="F2050" s="87"/>
      <c r="G2050" s="87"/>
      <c r="H2050" s="87"/>
      <c r="I2050" s="87"/>
      <c r="J2050" s="87"/>
      <c r="K2050" s="87"/>
      <c r="L2050" s="87"/>
      <c r="M2050" s="87"/>
      <c r="N2050" s="87"/>
      <c r="O2050" s="87"/>
      <c r="P2050" s="87"/>
      <c r="Q2050" s="87"/>
      <c r="R2050" s="87"/>
      <c r="S2050" s="87"/>
      <c r="T2050" s="87"/>
      <c r="U2050" s="88">
        <v>2.5</v>
      </c>
      <c r="V2050" s="89"/>
      <c r="W2050" s="96">
        <v>0</v>
      </c>
      <c r="X2050" s="71">
        <f>CU2050</f>
        <v>0</v>
      </c>
      <c r="Y2050" s="71">
        <f>CY2050</f>
        <v>0</v>
      </c>
      <c r="Z2050" s="71">
        <f>DA2050+DC2050+DE2050</f>
        <v>0</v>
      </c>
      <c r="AA2050" s="71">
        <f>CW2050</f>
        <v>0</v>
      </c>
      <c r="AB2050" s="71"/>
      <c r="AC2050" s="71">
        <v>0</v>
      </c>
      <c r="AD2050" s="71">
        <f>W2050+X2050+Y2050+Z2050+AA2050+AB2050+AC2050</f>
        <v>0</v>
      </c>
      <c r="AE2050" s="72">
        <v>0</v>
      </c>
      <c r="AF2050" s="5"/>
      <c r="AG2050" s="6"/>
      <c r="AH2050" s="27" t="s">
        <v>3392</v>
      </c>
      <c r="AI2050" s="44" t="s">
        <v>3393</v>
      </c>
      <c r="AJ2050" s="26"/>
      <c r="AK2050" s="5"/>
      <c r="AL2050" s="82" t="s">
        <v>4856</v>
      </c>
      <c r="AM2050" s="76"/>
      <c r="AN2050" s="76"/>
      <c r="AO2050" s="76"/>
      <c r="AP2050" s="76"/>
      <c r="AQ2050" s="76"/>
      <c r="AR2050" s="76"/>
      <c r="AS2050" s="76"/>
      <c r="AT2050" s="76"/>
      <c r="AU2050" s="76"/>
      <c r="AV2050" s="76"/>
      <c r="AW2050" s="76"/>
      <c r="AX2050" s="76">
        <f>+AW2050*600000</f>
        <v>0</v>
      </c>
      <c r="AY2050" s="76"/>
      <c r="AZ2050" s="76">
        <f>+AY2050*70000</f>
        <v>0</v>
      </c>
      <c r="BA2050" s="76"/>
      <c r="BB2050" s="76"/>
      <c r="BC2050" s="76"/>
      <c r="BD2050" s="76">
        <f>+BC2050*30000</f>
        <v>0</v>
      </c>
      <c r="BE2050" s="76"/>
      <c r="BF2050" s="76"/>
      <c r="BG2050" s="76"/>
      <c r="BH2050" s="76"/>
      <c r="BI2050" s="76"/>
      <c r="BJ2050" s="76"/>
      <c r="BK2050" s="76"/>
      <c r="BL2050" s="76">
        <f>+BK2050*31500</f>
        <v>0</v>
      </c>
      <c r="BM2050" s="76"/>
      <c r="BN2050" s="76"/>
      <c r="BO2050" s="76"/>
      <c r="BP2050" s="76"/>
      <c r="BQ2050" s="76"/>
      <c r="BR2050" s="76"/>
      <c r="BS2050" s="76"/>
      <c r="BT2050" s="76"/>
      <c r="BU2050" s="76"/>
      <c r="BV2050" s="76"/>
      <c r="BW2050" s="76"/>
      <c r="BX2050" s="76"/>
      <c r="BY2050" s="76"/>
      <c r="BZ2050" s="76"/>
      <c r="CA2050" s="76"/>
      <c r="CB2050" s="76"/>
      <c r="CC2050" s="76"/>
      <c r="CD2050" s="76"/>
      <c r="CE2050" s="76"/>
      <c r="CF2050" s="76">
        <f>+CE2050*28000</f>
        <v>0</v>
      </c>
      <c r="CG2050" s="76"/>
      <c r="CH2050" s="76">
        <f>+CG2050*22500</f>
        <v>0</v>
      </c>
      <c r="CI2050" s="76"/>
      <c r="CJ2050" s="76">
        <f>+CI2050*26000</f>
        <v>0</v>
      </c>
      <c r="CK2050" s="76"/>
      <c r="CL2050" s="76"/>
      <c r="CM2050" s="76"/>
      <c r="CN2050" s="76">
        <f>+CM2050*22000</f>
        <v>0</v>
      </c>
      <c r="CO2050" s="76"/>
      <c r="CP2050" s="76">
        <f>+CO2050*46000</f>
        <v>0</v>
      </c>
      <c r="CQ2050" s="76"/>
      <c r="CR2050" s="76">
        <f>+CQ2050*49000</f>
        <v>0</v>
      </c>
      <c r="CS2050" s="76"/>
      <c r="CT2050" s="76"/>
      <c r="CU2050" s="56">
        <f>AN2050+AP2050+AR2050+AT2050+AV2050+AX2050+AZ2050+BB2050+BD2050+BF2050+BH2050+BJ2050+BL2050+BN2050+BP2050+BR2050+BT2050+BV2050+BX2050+BZ2050+CB2050+CD2050+CF2050+CH2050+CJ2050+CL2050+CN2050+CP2050+CR2050+CT2050</f>
        <v>0</v>
      </c>
      <c r="CV2050" s="76"/>
      <c r="CW2050" s="76">
        <f>+CV2050*1100</f>
        <v>0</v>
      </c>
      <c r="CX2050" s="76"/>
      <c r="CY2050" s="76">
        <f>+CX2050*106250</f>
        <v>0</v>
      </c>
      <c r="CZ2050" s="76"/>
      <c r="DA2050" s="76">
        <f>+CZ2050*34500</f>
        <v>0</v>
      </c>
      <c r="DB2050" s="76"/>
      <c r="DC2050" s="76">
        <f>+DB2050*25000</f>
        <v>0</v>
      </c>
      <c r="DD2050" s="219"/>
      <c r="DE2050" s="219"/>
      <c r="DF2050" s="166"/>
      <c r="DG2050" s="116"/>
      <c r="DH2050" s="117"/>
      <c r="DI2050" s="24"/>
      <c r="DJ2050" s="24"/>
      <c r="DK2050" s="24"/>
      <c r="DL2050" s="24"/>
      <c r="DM2050" s="24"/>
      <c r="DN2050" s="24"/>
      <c r="DO2050" s="24"/>
      <c r="DP2050" s="24"/>
      <c r="DQ2050" s="24"/>
      <c r="DR2050" s="24"/>
      <c r="DS2050" s="24"/>
      <c r="DT2050" s="24"/>
      <c r="DU2050" s="24"/>
    </row>
    <row r="2051" spans="1:125" s="8" customFormat="1" ht="120" x14ac:dyDescent="0.2">
      <c r="A2051" s="77">
        <v>41429</v>
      </c>
      <c r="B2051" s="78" t="s">
        <v>2848</v>
      </c>
      <c r="C2051" s="75" t="s">
        <v>2755</v>
      </c>
      <c r="D2051" s="75" t="s">
        <v>3088</v>
      </c>
      <c r="E2051" s="75" t="str">
        <f>VLOOKUP(B2051&amp;C2051,Divipola!$C$2:$F$1138,4,FALSE)</f>
        <v>73001</v>
      </c>
      <c r="F2051" s="87"/>
      <c r="G2051" s="87"/>
      <c r="H2051" s="87"/>
      <c r="I2051" s="87">
        <v>5</v>
      </c>
      <c r="J2051" s="87">
        <v>1</v>
      </c>
      <c r="K2051" s="87">
        <v>1</v>
      </c>
      <c r="L2051" s="87"/>
      <c r="M2051" s="87"/>
      <c r="N2051" s="87"/>
      <c r="O2051" s="87"/>
      <c r="P2051" s="87"/>
      <c r="Q2051" s="87"/>
      <c r="R2051" s="87"/>
      <c r="S2051" s="87"/>
      <c r="T2051" s="87"/>
      <c r="U2051" s="88"/>
      <c r="V2051" s="89"/>
      <c r="W2051" s="96">
        <v>0</v>
      </c>
      <c r="X2051" s="71">
        <f>CU2051</f>
        <v>0</v>
      </c>
      <c r="Y2051" s="71">
        <f>CY2051</f>
        <v>0</v>
      </c>
      <c r="Z2051" s="71">
        <f>DA2051+DC2051+DE2051</f>
        <v>0</v>
      </c>
      <c r="AA2051" s="71">
        <f>CW2051</f>
        <v>0</v>
      </c>
      <c r="AB2051" s="71"/>
      <c r="AC2051" s="71">
        <v>0</v>
      </c>
      <c r="AD2051" s="71">
        <f>W2051+X2051+Y2051+Z2051+AA2051+AB2051+AC2051</f>
        <v>0</v>
      </c>
      <c r="AE2051" s="72">
        <v>0</v>
      </c>
      <c r="AF2051" s="5"/>
      <c r="AG2051" s="6"/>
      <c r="AH2051" s="27" t="s">
        <v>3392</v>
      </c>
      <c r="AI2051" s="44" t="s">
        <v>3393</v>
      </c>
      <c r="AJ2051" s="26"/>
      <c r="AK2051" s="5"/>
      <c r="AL2051" s="82" t="s">
        <v>4855</v>
      </c>
      <c r="AM2051" s="76"/>
      <c r="AN2051" s="76"/>
      <c r="AO2051" s="76"/>
      <c r="AP2051" s="76"/>
      <c r="AQ2051" s="76"/>
      <c r="AR2051" s="76"/>
      <c r="AS2051" s="76"/>
      <c r="AT2051" s="76"/>
      <c r="AU2051" s="76"/>
      <c r="AV2051" s="76"/>
      <c r="AW2051" s="76"/>
      <c r="AX2051" s="76">
        <f>+AW2051*600000</f>
        <v>0</v>
      </c>
      <c r="AY2051" s="76"/>
      <c r="AZ2051" s="76">
        <f>+AY2051*70000</f>
        <v>0</v>
      </c>
      <c r="BA2051" s="76"/>
      <c r="BB2051" s="76"/>
      <c r="BC2051" s="76"/>
      <c r="BD2051" s="76">
        <f>+BC2051*30000</f>
        <v>0</v>
      </c>
      <c r="BE2051" s="76"/>
      <c r="BF2051" s="76"/>
      <c r="BG2051" s="76"/>
      <c r="BH2051" s="76"/>
      <c r="BI2051" s="76"/>
      <c r="BJ2051" s="76"/>
      <c r="BK2051" s="76"/>
      <c r="BL2051" s="76">
        <f>+BK2051*31500</f>
        <v>0</v>
      </c>
      <c r="BM2051" s="76"/>
      <c r="BN2051" s="76"/>
      <c r="BO2051" s="76"/>
      <c r="BP2051" s="76"/>
      <c r="BQ2051" s="76"/>
      <c r="BR2051" s="76"/>
      <c r="BS2051" s="76"/>
      <c r="BT2051" s="76"/>
      <c r="BU2051" s="76"/>
      <c r="BV2051" s="76"/>
      <c r="BW2051" s="76"/>
      <c r="BX2051" s="76"/>
      <c r="BY2051" s="76"/>
      <c r="BZ2051" s="76"/>
      <c r="CA2051" s="76"/>
      <c r="CB2051" s="76"/>
      <c r="CC2051" s="76"/>
      <c r="CD2051" s="76"/>
      <c r="CE2051" s="76"/>
      <c r="CF2051" s="76">
        <f>+CE2051*28000</f>
        <v>0</v>
      </c>
      <c r="CG2051" s="76"/>
      <c r="CH2051" s="76">
        <f>+CG2051*22500</f>
        <v>0</v>
      </c>
      <c r="CI2051" s="76"/>
      <c r="CJ2051" s="76">
        <f>+CI2051*26000</f>
        <v>0</v>
      </c>
      <c r="CK2051" s="76"/>
      <c r="CL2051" s="76"/>
      <c r="CM2051" s="76"/>
      <c r="CN2051" s="76">
        <f>+CM2051*22000</f>
        <v>0</v>
      </c>
      <c r="CO2051" s="76"/>
      <c r="CP2051" s="76">
        <f>+CO2051*46000</f>
        <v>0</v>
      </c>
      <c r="CQ2051" s="76"/>
      <c r="CR2051" s="76">
        <f>+CQ2051*49000</f>
        <v>0</v>
      </c>
      <c r="CS2051" s="76"/>
      <c r="CT2051" s="76"/>
      <c r="CU2051" s="56">
        <f>AN2051+AP2051+AR2051+AT2051+AV2051+AX2051+AZ2051+BB2051+BD2051+BF2051+BH2051+BJ2051+BL2051+BN2051+BP2051+BR2051+BT2051+BV2051+BX2051+BZ2051+CB2051+CD2051+CF2051+CH2051+CJ2051+CL2051+CN2051+CP2051+CR2051+CT2051</f>
        <v>0</v>
      </c>
      <c r="CV2051" s="76"/>
      <c r="CW2051" s="76">
        <f>+CV2051*1100</f>
        <v>0</v>
      </c>
      <c r="CX2051" s="76"/>
      <c r="CY2051" s="76">
        <f>+CX2051*106250</f>
        <v>0</v>
      </c>
      <c r="CZ2051" s="76"/>
      <c r="DA2051" s="76">
        <f>+CZ2051*34500</f>
        <v>0</v>
      </c>
      <c r="DB2051" s="76"/>
      <c r="DC2051" s="76">
        <f>+DB2051*25000</f>
        <v>0</v>
      </c>
      <c r="DD2051" s="219"/>
      <c r="DE2051" s="219"/>
      <c r="DF2051" s="166"/>
      <c r="DG2051" s="116"/>
      <c r="DH2051" s="117"/>
      <c r="DI2051" s="24"/>
      <c r="DJ2051" s="24"/>
      <c r="DK2051" s="24"/>
      <c r="DL2051" s="24"/>
      <c r="DM2051" s="24"/>
      <c r="DN2051" s="24"/>
      <c r="DO2051" s="24"/>
      <c r="DP2051" s="24"/>
      <c r="DQ2051" s="24"/>
      <c r="DR2051" s="24"/>
      <c r="DS2051" s="24"/>
      <c r="DT2051" s="24"/>
      <c r="DU2051" s="24"/>
    </row>
    <row r="2052" spans="1:125" s="8" customFormat="1" ht="60" x14ac:dyDescent="0.2">
      <c r="A2052" s="77">
        <v>41429</v>
      </c>
      <c r="B2052" s="225" t="s">
        <v>2851</v>
      </c>
      <c r="C2052" s="227" t="s">
        <v>2160</v>
      </c>
      <c r="D2052" s="227" t="s">
        <v>3051</v>
      </c>
      <c r="E2052" s="75" t="str">
        <f>VLOOKUP(B2052&amp;C2052,Divipola!$C$2:$F$1138,4,FALSE)</f>
        <v>76400</v>
      </c>
      <c r="F2052" s="87"/>
      <c r="G2052" s="87"/>
      <c r="H2052" s="87"/>
      <c r="I2052" s="87">
        <v>50</v>
      </c>
      <c r="J2052" s="87">
        <v>10</v>
      </c>
      <c r="K2052" s="87"/>
      <c r="L2052" s="87">
        <v>10</v>
      </c>
      <c r="M2052" s="87"/>
      <c r="N2052" s="87"/>
      <c r="O2052" s="87"/>
      <c r="P2052" s="87"/>
      <c r="Q2052" s="87"/>
      <c r="R2052" s="87"/>
      <c r="S2052" s="87"/>
      <c r="T2052" s="87"/>
      <c r="U2052" s="88"/>
      <c r="V2052" s="89"/>
      <c r="W2052" s="96">
        <v>0</v>
      </c>
      <c r="X2052" s="71">
        <f>CU2052</f>
        <v>0</v>
      </c>
      <c r="Y2052" s="71">
        <f>CY2052</f>
        <v>0</v>
      </c>
      <c r="Z2052" s="71">
        <f>DA2052+DC2052+DE2052</f>
        <v>0</v>
      </c>
      <c r="AA2052" s="71">
        <f>CW2052</f>
        <v>0</v>
      </c>
      <c r="AB2052" s="71"/>
      <c r="AC2052" s="71">
        <v>0</v>
      </c>
      <c r="AD2052" s="71">
        <f>W2052+X2052+Y2052+Z2052+AA2052+AB2052+AC2052</f>
        <v>0</v>
      </c>
      <c r="AE2052" s="72">
        <v>0</v>
      </c>
      <c r="AF2052" s="5"/>
      <c r="AG2052" s="6"/>
      <c r="AH2052" s="27" t="s">
        <v>3392</v>
      </c>
      <c r="AI2052" s="44" t="s">
        <v>3393</v>
      </c>
      <c r="AJ2052" s="26"/>
      <c r="AK2052" s="5"/>
      <c r="AL2052" s="82" t="s">
        <v>4858</v>
      </c>
      <c r="AM2052" s="76"/>
      <c r="AN2052" s="76"/>
      <c r="AO2052" s="76"/>
      <c r="AP2052" s="76"/>
      <c r="AQ2052" s="76"/>
      <c r="AR2052" s="76"/>
      <c r="AS2052" s="76"/>
      <c r="AT2052" s="76"/>
      <c r="AU2052" s="76"/>
      <c r="AV2052" s="76"/>
      <c r="AW2052" s="76"/>
      <c r="AX2052" s="76">
        <f>+AW2052*600000</f>
        <v>0</v>
      </c>
      <c r="AY2052" s="76"/>
      <c r="AZ2052" s="76">
        <f>+AY2052*70000</f>
        <v>0</v>
      </c>
      <c r="BA2052" s="76"/>
      <c r="BB2052" s="76"/>
      <c r="BC2052" s="76"/>
      <c r="BD2052" s="76">
        <f>+BC2052*30000</f>
        <v>0</v>
      </c>
      <c r="BE2052" s="76"/>
      <c r="BF2052" s="76"/>
      <c r="BG2052" s="76"/>
      <c r="BH2052" s="76"/>
      <c r="BI2052" s="76"/>
      <c r="BJ2052" s="76"/>
      <c r="BK2052" s="76"/>
      <c r="BL2052" s="76">
        <f>+BK2052*31500</f>
        <v>0</v>
      </c>
      <c r="BM2052" s="76"/>
      <c r="BN2052" s="76"/>
      <c r="BO2052" s="76"/>
      <c r="BP2052" s="76"/>
      <c r="BQ2052" s="76"/>
      <c r="BR2052" s="76"/>
      <c r="BS2052" s="76"/>
      <c r="BT2052" s="76"/>
      <c r="BU2052" s="76"/>
      <c r="BV2052" s="76"/>
      <c r="BW2052" s="76"/>
      <c r="BX2052" s="76"/>
      <c r="BY2052" s="76"/>
      <c r="BZ2052" s="76"/>
      <c r="CA2052" s="76"/>
      <c r="CB2052" s="76"/>
      <c r="CC2052" s="76"/>
      <c r="CD2052" s="76"/>
      <c r="CE2052" s="76"/>
      <c r="CF2052" s="76">
        <f>+CE2052*28000</f>
        <v>0</v>
      </c>
      <c r="CG2052" s="76"/>
      <c r="CH2052" s="76">
        <f>+CG2052*22500</f>
        <v>0</v>
      </c>
      <c r="CI2052" s="76"/>
      <c r="CJ2052" s="76">
        <f>+CI2052*26000</f>
        <v>0</v>
      </c>
      <c r="CK2052" s="76"/>
      <c r="CL2052" s="76"/>
      <c r="CM2052" s="76"/>
      <c r="CN2052" s="76">
        <f>+CM2052*22000</f>
        <v>0</v>
      </c>
      <c r="CO2052" s="76"/>
      <c r="CP2052" s="76">
        <f>+CO2052*46000</f>
        <v>0</v>
      </c>
      <c r="CQ2052" s="76"/>
      <c r="CR2052" s="76">
        <f>+CQ2052*49000</f>
        <v>0</v>
      </c>
      <c r="CS2052" s="76"/>
      <c r="CT2052" s="76"/>
      <c r="CU2052" s="56">
        <f>AN2052+AP2052+AR2052+AT2052+AV2052+AX2052+AZ2052+BB2052+BD2052+BF2052+BH2052+BJ2052+BL2052+BN2052+BP2052+BR2052+BT2052+BV2052+BX2052+BZ2052+CB2052+CD2052+CF2052+CH2052+CJ2052+CL2052+CN2052+CP2052+CR2052+CT2052</f>
        <v>0</v>
      </c>
      <c r="CV2052" s="76"/>
      <c r="CW2052" s="76">
        <f>+CV2052*1100</f>
        <v>0</v>
      </c>
      <c r="CX2052" s="76"/>
      <c r="CY2052" s="76">
        <f>+CX2052*106250</f>
        <v>0</v>
      </c>
      <c r="CZ2052" s="76"/>
      <c r="DA2052" s="76">
        <f>+CZ2052*34500</f>
        <v>0</v>
      </c>
      <c r="DB2052" s="76"/>
      <c r="DC2052" s="76">
        <f>+DB2052*25000</f>
        <v>0</v>
      </c>
      <c r="DD2052" s="219"/>
      <c r="DE2052" s="219"/>
      <c r="DF2052" s="166"/>
      <c r="DG2052" s="116"/>
      <c r="DH2052" s="117"/>
      <c r="DI2052" s="24"/>
      <c r="DJ2052" s="24"/>
      <c r="DK2052" s="24"/>
      <c r="DL2052" s="24"/>
      <c r="DM2052" s="24"/>
      <c r="DN2052" s="24"/>
      <c r="DO2052" s="24"/>
      <c r="DP2052" s="24"/>
      <c r="DQ2052" s="24"/>
      <c r="DR2052" s="24"/>
      <c r="DS2052" s="24"/>
      <c r="DT2052" s="24"/>
      <c r="DU2052" s="24"/>
    </row>
    <row r="2053" spans="1:125" s="8" customFormat="1" ht="60" x14ac:dyDescent="0.2">
      <c r="A2053" s="353">
        <v>41430</v>
      </c>
      <c r="B2053" s="225" t="s">
        <v>2777</v>
      </c>
      <c r="C2053" s="227" t="s">
        <v>2783</v>
      </c>
      <c r="D2053" s="354" t="s">
        <v>4391</v>
      </c>
      <c r="E2053" s="75" t="str">
        <f>VLOOKUP(B2053&amp;C2053,Divipola!$C$2:$F$1138,4,FALSE)</f>
        <v>13001</v>
      </c>
      <c r="F2053" s="87">
        <v>1</v>
      </c>
      <c r="G2053" s="87">
        <v>9</v>
      </c>
      <c r="H2053" s="87"/>
      <c r="I2053" s="87"/>
      <c r="J2053" s="87"/>
      <c r="K2053" s="87"/>
      <c r="L2053" s="87"/>
      <c r="M2053" s="87"/>
      <c r="N2053" s="87"/>
      <c r="O2053" s="87"/>
      <c r="P2053" s="87"/>
      <c r="Q2053" s="87"/>
      <c r="R2053" s="87"/>
      <c r="S2053" s="87"/>
      <c r="T2053" s="87"/>
      <c r="U2053" s="88"/>
      <c r="V2053" s="89"/>
      <c r="W2053" s="96">
        <v>0</v>
      </c>
      <c r="X2053" s="71">
        <f>CU2053</f>
        <v>0</v>
      </c>
      <c r="Y2053" s="71">
        <f>CY2053</f>
        <v>0</v>
      </c>
      <c r="Z2053" s="71">
        <f>DA2053+DC2053+DE2053</f>
        <v>0</v>
      </c>
      <c r="AA2053" s="71">
        <f>CW2053</f>
        <v>0</v>
      </c>
      <c r="AB2053" s="71"/>
      <c r="AC2053" s="71">
        <v>0</v>
      </c>
      <c r="AD2053" s="71">
        <f>W2053+X2053+Y2053+Z2053+AA2053+AB2053+AC2053</f>
        <v>0</v>
      </c>
      <c r="AE2053" s="72">
        <v>0</v>
      </c>
      <c r="AF2053" s="5"/>
      <c r="AG2053" s="6"/>
      <c r="AH2053" s="27" t="s">
        <v>3392</v>
      </c>
      <c r="AI2053" s="44" t="s">
        <v>3393</v>
      </c>
      <c r="AJ2053" s="26"/>
      <c r="AK2053" s="5"/>
      <c r="AL2053" s="82" t="s">
        <v>4902</v>
      </c>
      <c r="AM2053" s="76"/>
      <c r="AN2053" s="76"/>
      <c r="AO2053" s="76"/>
      <c r="AP2053" s="76"/>
      <c r="AQ2053" s="76"/>
      <c r="AR2053" s="76"/>
      <c r="AS2053" s="76"/>
      <c r="AT2053" s="76"/>
      <c r="AU2053" s="76"/>
      <c r="AV2053" s="76"/>
      <c r="AW2053" s="76"/>
      <c r="AX2053" s="76">
        <f>+AW2053*600000</f>
        <v>0</v>
      </c>
      <c r="AY2053" s="76"/>
      <c r="AZ2053" s="76">
        <f>+AY2053*70000</f>
        <v>0</v>
      </c>
      <c r="BA2053" s="76"/>
      <c r="BB2053" s="76"/>
      <c r="BC2053" s="76"/>
      <c r="BD2053" s="76">
        <f>+BC2053*30000</f>
        <v>0</v>
      </c>
      <c r="BE2053" s="76"/>
      <c r="BF2053" s="76"/>
      <c r="BG2053" s="76"/>
      <c r="BH2053" s="76"/>
      <c r="BI2053" s="76"/>
      <c r="BJ2053" s="76"/>
      <c r="BK2053" s="76"/>
      <c r="BL2053" s="76">
        <f>+BK2053*31500</f>
        <v>0</v>
      </c>
      <c r="BM2053" s="76"/>
      <c r="BN2053" s="76"/>
      <c r="BO2053" s="76"/>
      <c r="BP2053" s="76"/>
      <c r="BQ2053" s="76"/>
      <c r="BR2053" s="76"/>
      <c r="BS2053" s="76"/>
      <c r="BT2053" s="76"/>
      <c r="BU2053" s="76"/>
      <c r="BV2053" s="76"/>
      <c r="BW2053" s="76"/>
      <c r="BX2053" s="76"/>
      <c r="BY2053" s="76"/>
      <c r="BZ2053" s="76"/>
      <c r="CA2053" s="76"/>
      <c r="CB2053" s="76"/>
      <c r="CC2053" s="76"/>
      <c r="CD2053" s="76"/>
      <c r="CE2053" s="76"/>
      <c r="CF2053" s="76">
        <f>+CE2053*28000</f>
        <v>0</v>
      </c>
      <c r="CG2053" s="76"/>
      <c r="CH2053" s="76">
        <f>+CG2053*22500</f>
        <v>0</v>
      </c>
      <c r="CI2053" s="76"/>
      <c r="CJ2053" s="76">
        <f>+CI2053*26000</f>
        <v>0</v>
      </c>
      <c r="CK2053" s="76"/>
      <c r="CL2053" s="76"/>
      <c r="CM2053" s="76"/>
      <c r="CN2053" s="76">
        <f>+CM2053*22000</f>
        <v>0</v>
      </c>
      <c r="CO2053" s="76"/>
      <c r="CP2053" s="76">
        <f>+CO2053*46000</f>
        <v>0</v>
      </c>
      <c r="CQ2053" s="76"/>
      <c r="CR2053" s="76">
        <f>+CQ2053*49000</f>
        <v>0</v>
      </c>
      <c r="CS2053" s="76"/>
      <c r="CT2053" s="76"/>
      <c r="CU2053" s="56">
        <f>AN2053+AP2053+AR2053+AT2053+AV2053+AX2053+AZ2053+BB2053+BD2053+BF2053+BH2053+BJ2053+BL2053+BN2053+BP2053+BR2053+BT2053+BV2053+BX2053+BZ2053+CB2053+CD2053+CF2053+CH2053+CJ2053+CL2053+CN2053+CP2053+CR2053+CT2053</f>
        <v>0</v>
      </c>
      <c r="CV2053" s="76"/>
      <c r="CW2053" s="76">
        <f>+CV2053*1100</f>
        <v>0</v>
      </c>
      <c r="CX2053" s="76"/>
      <c r="CY2053" s="76">
        <f>+CX2053*106250</f>
        <v>0</v>
      </c>
      <c r="CZ2053" s="76"/>
      <c r="DA2053" s="76">
        <f>+CZ2053*34500</f>
        <v>0</v>
      </c>
      <c r="DB2053" s="76"/>
      <c r="DC2053" s="76">
        <f>+DB2053*25000</f>
        <v>0</v>
      </c>
      <c r="DD2053" s="219"/>
      <c r="DE2053" s="219"/>
      <c r="DF2053" s="166"/>
      <c r="DG2053" s="116"/>
      <c r="DH2053" s="117"/>
      <c r="DI2053" s="24"/>
      <c r="DJ2053" s="24"/>
      <c r="DK2053" s="24"/>
      <c r="DL2053" s="24"/>
      <c r="DM2053" s="24"/>
      <c r="DN2053" s="24"/>
      <c r="DO2053" s="24"/>
      <c r="DP2053" s="24"/>
      <c r="DQ2053" s="24"/>
      <c r="DR2053" s="24"/>
      <c r="DS2053" s="24"/>
      <c r="DT2053" s="24"/>
      <c r="DU2053" s="24"/>
    </row>
    <row r="2054" spans="1:125" s="8" customFormat="1" ht="108" x14ac:dyDescent="0.2">
      <c r="A2054" s="77">
        <v>41430</v>
      </c>
      <c r="B2054" s="352" t="s">
        <v>2777</v>
      </c>
      <c r="C2054" s="354" t="s">
        <v>2783</v>
      </c>
      <c r="D2054" s="354" t="s">
        <v>4871</v>
      </c>
      <c r="E2054" s="75" t="str">
        <f>VLOOKUP(B2054&amp;C2054,Divipola!$C$2:$F$1138,4,FALSE)</f>
        <v>13001</v>
      </c>
      <c r="F2054" s="87"/>
      <c r="G2054" s="87">
        <v>7</v>
      </c>
      <c r="H2054" s="87"/>
      <c r="I2054" s="87"/>
      <c r="J2054" s="87"/>
      <c r="K2054" s="87"/>
      <c r="L2054" s="87"/>
      <c r="M2054" s="87"/>
      <c r="N2054" s="87"/>
      <c r="O2054" s="87"/>
      <c r="P2054" s="87"/>
      <c r="Q2054" s="87"/>
      <c r="R2054" s="87"/>
      <c r="S2054" s="87"/>
      <c r="T2054" s="87"/>
      <c r="U2054" s="88"/>
      <c r="V2054" s="89"/>
      <c r="W2054" s="96">
        <v>0</v>
      </c>
      <c r="X2054" s="71">
        <f>CU2054</f>
        <v>0</v>
      </c>
      <c r="Y2054" s="71">
        <f>CY2054</f>
        <v>0</v>
      </c>
      <c r="Z2054" s="71">
        <f>DA2054+DC2054+DE2054</f>
        <v>0</v>
      </c>
      <c r="AA2054" s="71">
        <f>CW2054</f>
        <v>0</v>
      </c>
      <c r="AB2054" s="71"/>
      <c r="AC2054" s="71">
        <v>0</v>
      </c>
      <c r="AD2054" s="71">
        <f>W2054+X2054+Y2054+Z2054+AA2054+AB2054+AC2054</f>
        <v>0</v>
      </c>
      <c r="AE2054" s="72">
        <v>0</v>
      </c>
      <c r="AF2054" s="5"/>
      <c r="AG2054" s="6"/>
      <c r="AH2054" s="27" t="s">
        <v>3392</v>
      </c>
      <c r="AI2054" s="44" t="s">
        <v>3393</v>
      </c>
      <c r="AJ2054" s="26"/>
      <c r="AK2054" s="5"/>
      <c r="AL2054" s="82" t="s">
        <v>4872</v>
      </c>
      <c r="AM2054" s="76"/>
      <c r="AN2054" s="76"/>
      <c r="AO2054" s="76"/>
      <c r="AP2054" s="76"/>
      <c r="AQ2054" s="76"/>
      <c r="AR2054" s="76"/>
      <c r="AS2054" s="76"/>
      <c r="AT2054" s="76"/>
      <c r="AU2054" s="76"/>
      <c r="AV2054" s="76"/>
      <c r="AW2054" s="76"/>
      <c r="AX2054" s="76">
        <f>+AW2054*600000</f>
        <v>0</v>
      </c>
      <c r="AY2054" s="76"/>
      <c r="AZ2054" s="76">
        <f>+AY2054*70000</f>
        <v>0</v>
      </c>
      <c r="BA2054" s="76"/>
      <c r="BB2054" s="76"/>
      <c r="BC2054" s="76"/>
      <c r="BD2054" s="76">
        <f>+BC2054*30000</f>
        <v>0</v>
      </c>
      <c r="BE2054" s="76"/>
      <c r="BF2054" s="76"/>
      <c r="BG2054" s="76"/>
      <c r="BH2054" s="76"/>
      <c r="BI2054" s="76"/>
      <c r="BJ2054" s="76"/>
      <c r="BK2054" s="76"/>
      <c r="BL2054" s="76">
        <f>+BK2054*31500</f>
        <v>0</v>
      </c>
      <c r="BM2054" s="76"/>
      <c r="BN2054" s="76"/>
      <c r="BO2054" s="76"/>
      <c r="BP2054" s="76"/>
      <c r="BQ2054" s="76"/>
      <c r="BR2054" s="76"/>
      <c r="BS2054" s="76"/>
      <c r="BT2054" s="76"/>
      <c r="BU2054" s="76"/>
      <c r="BV2054" s="76"/>
      <c r="BW2054" s="76"/>
      <c r="BX2054" s="76"/>
      <c r="BY2054" s="76"/>
      <c r="BZ2054" s="76"/>
      <c r="CA2054" s="76"/>
      <c r="CB2054" s="76"/>
      <c r="CC2054" s="76"/>
      <c r="CD2054" s="76"/>
      <c r="CE2054" s="76"/>
      <c r="CF2054" s="76">
        <f>+CE2054*28000</f>
        <v>0</v>
      </c>
      <c r="CG2054" s="76"/>
      <c r="CH2054" s="76">
        <f>+CG2054*22500</f>
        <v>0</v>
      </c>
      <c r="CI2054" s="76"/>
      <c r="CJ2054" s="76">
        <f>+CI2054*26000</f>
        <v>0</v>
      </c>
      <c r="CK2054" s="76"/>
      <c r="CL2054" s="76"/>
      <c r="CM2054" s="76"/>
      <c r="CN2054" s="76">
        <f>+CM2054*22000</f>
        <v>0</v>
      </c>
      <c r="CO2054" s="76"/>
      <c r="CP2054" s="76">
        <f>+CO2054*46000</f>
        <v>0</v>
      </c>
      <c r="CQ2054" s="76"/>
      <c r="CR2054" s="76">
        <f>+CQ2054*49000</f>
        <v>0</v>
      </c>
      <c r="CS2054" s="76"/>
      <c r="CT2054" s="76"/>
      <c r="CU2054" s="56">
        <f>AN2054+AP2054+AR2054+AT2054+AV2054+AX2054+AZ2054+BB2054+BD2054+BF2054+BH2054+BJ2054+BL2054+BN2054+BP2054+BR2054+BT2054+BV2054+BX2054+BZ2054+CB2054+CD2054+CF2054+CH2054+CJ2054+CL2054+CN2054+CP2054+CR2054+CT2054</f>
        <v>0</v>
      </c>
      <c r="CV2054" s="76"/>
      <c r="CW2054" s="76">
        <f>+CV2054*1100</f>
        <v>0</v>
      </c>
      <c r="CX2054" s="76"/>
      <c r="CY2054" s="76">
        <f>+CX2054*106250</f>
        <v>0</v>
      </c>
      <c r="CZ2054" s="76"/>
      <c r="DA2054" s="76">
        <f>+CZ2054*34500</f>
        <v>0</v>
      </c>
      <c r="DB2054" s="76"/>
      <c r="DC2054" s="76">
        <f>+DB2054*25000</f>
        <v>0</v>
      </c>
      <c r="DD2054" s="219"/>
      <c r="DE2054" s="219"/>
      <c r="DF2054" s="166"/>
      <c r="DG2054" s="116"/>
      <c r="DH2054" s="117"/>
      <c r="DI2054" s="24"/>
      <c r="DJ2054" s="24"/>
      <c r="DK2054" s="24"/>
      <c r="DL2054" s="24"/>
      <c r="DM2054" s="24"/>
      <c r="DN2054" s="24"/>
      <c r="DO2054" s="24"/>
      <c r="DP2054" s="24"/>
      <c r="DQ2054" s="24"/>
      <c r="DR2054" s="24"/>
      <c r="DS2054" s="24"/>
      <c r="DT2054" s="24"/>
      <c r="DU2054" s="24"/>
    </row>
    <row r="2055" spans="1:125" s="8" customFormat="1" ht="156" x14ac:dyDescent="0.2">
      <c r="A2055" s="77">
        <v>41430</v>
      </c>
      <c r="B2055" s="78" t="s">
        <v>2852</v>
      </c>
      <c r="C2055" s="75" t="s">
        <v>1228</v>
      </c>
      <c r="D2055" s="75" t="s">
        <v>2882</v>
      </c>
      <c r="E2055" s="75" t="str">
        <f>VLOOKUP(B2055&amp;C2055,Divipola!$C$2:$F$1138,4,FALSE)</f>
        <v>27150</v>
      </c>
      <c r="F2055" s="87"/>
      <c r="G2055" s="87">
        <v>1</v>
      </c>
      <c r="H2055" s="87"/>
      <c r="I2055" s="87">
        <v>145</v>
      </c>
      <c r="J2055" s="87">
        <v>29</v>
      </c>
      <c r="K2055" s="87">
        <v>4</v>
      </c>
      <c r="L2055" s="87">
        <v>25</v>
      </c>
      <c r="M2055" s="87"/>
      <c r="N2055" s="87"/>
      <c r="O2055" s="87"/>
      <c r="P2055" s="87"/>
      <c r="Q2055" s="87"/>
      <c r="R2055" s="87"/>
      <c r="S2055" s="191"/>
      <c r="T2055" s="87"/>
      <c r="U2055" s="88"/>
      <c r="V2055" s="89"/>
      <c r="W2055" s="96">
        <v>0</v>
      </c>
      <c r="X2055" s="71">
        <f>CU2055</f>
        <v>0</v>
      </c>
      <c r="Y2055" s="71">
        <f>CY2055</f>
        <v>0</v>
      </c>
      <c r="Z2055" s="71">
        <f>DA2055+DC2055+DE2055</f>
        <v>0</v>
      </c>
      <c r="AA2055" s="71">
        <f>CW2055</f>
        <v>0</v>
      </c>
      <c r="AB2055" s="71"/>
      <c r="AC2055" s="71">
        <v>0</v>
      </c>
      <c r="AD2055" s="71">
        <f>W2055+X2055+Y2055+Z2055+AA2055+AB2055+AC2055</f>
        <v>0</v>
      </c>
      <c r="AE2055" s="72">
        <v>0</v>
      </c>
      <c r="AF2055" s="5"/>
      <c r="AG2055" s="6"/>
      <c r="AH2055" s="27" t="s">
        <v>3392</v>
      </c>
      <c r="AI2055" s="44" t="s">
        <v>3393</v>
      </c>
      <c r="AJ2055" s="26"/>
      <c r="AK2055" s="5"/>
      <c r="AL2055" s="82" t="s">
        <v>4983</v>
      </c>
      <c r="AM2055" s="76"/>
      <c r="AN2055" s="76"/>
      <c r="AO2055" s="76"/>
      <c r="AP2055" s="76"/>
      <c r="AQ2055" s="76"/>
      <c r="AR2055" s="76"/>
      <c r="AS2055" s="76"/>
      <c r="AT2055" s="76"/>
      <c r="AU2055" s="76"/>
      <c r="AV2055" s="76"/>
      <c r="AW2055" s="76"/>
      <c r="AX2055" s="76">
        <f>+AW2055*600000</f>
        <v>0</v>
      </c>
      <c r="AY2055" s="76"/>
      <c r="AZ2055" s="76">
        <f>+AY2055*70000</f>
        <v>0</v>
      </c>
      <c r="BA2055" s="76"/>
      <c r="BB2055" s="76"/>
      <c r="BC2055" s="76"/>
      <c r="BD2055" s="76">
        <f>+BC2055*30000</f>
        <v>0</v>
      </c>
      <c r="BE2055" s="76"/>
      <c r="BF2055" s="76"/>
      <c r="BG2055" s="76"/>
      <c r="BH2055" s="76"/>
      <c r="BI2055" s="76"/>
      <c r="BJ2055" s="76"/>
      <c r="BK2055" s="76"/>
      <c r="BL2055" s="76">
        <f>+BK2055*31500</f>
        <v>0</v>
      </c>
      <c r="BM2055" s="76"/>
      <c r="BN2055" s="76"/>
      <c r="BO2055" s="76"/>
      <c r="BP2055" s="76"/>
      <c r="BQ2055" s="76"/>
      <c r="BR2055" s="76"/>
      <c r="BS2055" s="76"/>
      <c r="BT2055" s="76"/>
      <c r="BU2055" s="76"/>
      <c r="BV2055" s="76"/>
      <c r="BW2055" s="76"/>
      <c r="BX2055" s="76"/>
      <c r="BY2055" s="76"/>
      <c r="BZ2055" s="76"/>
      <c r="CA2055" s="76"/>
      <c r="CB2055" s="76"/>
      <c r="CC2055" s="76"/>
      <c r="CD2055" s="76"/>
      <c r="CE2055" s="76"/>
      <c r="CF2055" s="76">
        <f>+CE2055*28000</f>
        <v>0</v>
      </c>
      <c r="CG2055" s="76"/>
      <c r="CH2055" s="76">
        <f>+CG2055*22500</f>
        <v>0</v>
      </c>
      <c r="CI2055" s="76"/>
      <c r="CJ2055" s="76">
        <f>+CI2055*26000</f>
        <v>0</v>
      </c>
      <c r="CK2055" s="76"/>
      <c r="CL2055" s="76"/>
      <c r="CM2055" s="76"/>
      <c r="CN2055" s="76">
        <f>+CM2055*22000</f>
        <v>0</v>
      </c>
      <c r="CO2055" s="76"/>
      <c r="CP2055" s="76">
        <f>+CO2055*46000</f>
        <v>0</v>
      </c>
      <c r="CQ2055" s="76"/>
      <c r="CR2055" s="76">
        <f>+CQ2055*49000</f>
        <v>0</v>
      </c>
      <c r="CS2055" s="76"/>
      <c r="CT2055" s="76"/>
      <c r="CU2055" s="56">
        <f>AN2055+AP2055+AR2055+AT2055+AV2055+AX2055+AZ2055+BB2055+BD2055+BF2055+BH2055+BJ2055+BL2055+BN2055+BP2055+BR2055+BT2055+BV2055+BX2055+BZ2055+CB2055+CD2055+CF2055+CH2055+CJ2055+CL2055+CN2055+CP2055+CR2055+CT2055</f>
        <v>0</v>
      </c>
      <c r="CV2055" s="76"/>
      <c r="CW2055" s="76">
        <f>+CV2055*1100</f>
        <v>0</v>
      </c>
      <c r="CX2055" s="76"/>
      <c r="CY2055" s="76">
        <f>+CX2055*106250</f>
        <v>0</v>
      </c>
      <c r="CZ2055" s="76"/>
      <c r="DA2055" s="76">
        <f>+CZ2055*34500</f>
        <v>0</v>
      </c>
      <c r="DB2055" s="76"/>
      <c r="DC2055" s="76">
        <f>+DB2055*25000</f>
        <v>0</v>
      </c>
      <c r="DD2055" s="219"/>
      <c r="DE2055" s="219"/>
      <c r="DF2055" s="166"/>
      <c r="DG2055" s="116"/>
      <c r="DH2055" s="117"/>
      <c r="DI2055" s="24"/>
      <c r="DJ2055" s="24"/>
      <c r="DK2055" s="24"/>
      <c r="DL2055" s="24"/>
      <c r="DM2055" s="24"/>
      <c r="DN2055" s="24"/>
      <c r="DO2055" s="24"/>
      <c r="DP2055" s="24"/>
      <c r="DQ2055" s="24"/>
      <c r="DR2055" s="24"/>
      <c r="DS2055" s="24"/>
      <c r="DT2055" s="24"/>
      <c r="DU2055" s="24"/>
    </row>
    <row r="2056" spans="1:125" s="8" customFormat="1" ht="84" x14ac:dyDescent="0.2">
      <c r="A2056" s="353">
        <v>41430</v>
      </c>
      <c r="B2056" s="352" t="s">
        <v>2718</v>
      </c>
      <c r="C2056" s="354" t="s">
        <v>953</v>
      </c>
      <c r="D2056" s="354" t="s">
        <v>2882</v>
      </c>
      <c r="E2056" s="75" t="str">
        <f>VLOOKUP(B2056&amp;C2056,Divipola!$C$2:$F$1138,4,FALSE)</f>
        <v>23168</v>
      </c>
      <c r="F2056" s="87"/>
      <c r="G2056" s="87"/>
      <c r="H2056" s="87"/>
      <c r="I2056" s="87">
        <f>357*5</f>
        <v>1785</v>
      </c>
      <c r="J2056" s="87">
        <v>357</v>
      </c>
      <c r="K2056" s="87"/>
      <c r="L2056" s="87">
        <v>357</v>
      </c>
      <c r="M2056" s="87"/>
      <c r="N2056" s="87"/>
      <c r="O2056" s="87"/>
      <c r="P2056" s="87"/>
      <c r="Q2056" s="87"/>
      <c r="R2056" s="87"/>
      <c r="S2056" s="87">
        <v>2</v>
      </c>
      <c r="T2056" s="87">
        <v>2</v>
      </c>
      <c r="U2056" s="88">
        <v>10</v>
      </c>
      <c r="V2056" s="89"/>
      <c r="W2056" s="96">
        <v>0</v>
      </c>
      <c r="X2056" s="71">
        <f>CU2056</f>
        <v>1680000</v>
      </c>
      <c r="Y2056" s="71">
        <f>CY2056</f>
        <v>0</v>
      </c>
      <c r="Z2056" s="71">
        <f>DA2056+DC2056+DE2056</f>
        <v>66370000</v>
      </c>
      <c r="AA2056" s="71">
        <f>CW2056</f>
        <v>0</v>
      </c>
      <c r="AB2056" s="71"/>
      <c r="AC2056" s="71">
        <v>0</v>
      </c>
      <c r="AD2056" s="71">
        <f>W2056+X2056+Y2056+Z2056+AA2056+AB2056+AC2056</f>
        <v>68050000</v>
      </c>
      <c r="AE2056" s="72">
        <v>0</v>
      </c>
      <c r="AF2056" s="5"/>
      <c r="AG2056" s="6"/>
      <c r="AH2056" s="27" t="s">
        <v>3392</v>
      </c>
      <c r="AI2056" s="44" t="s">
        <v>3393</v>
      </c>
      <c r="AJ2056" s="26"/>
      <c r="AK2056" s="5"/>
      <c r="AL2056" s="82" t="s">
        <v>5218</v>
      </c>
      <c r="AM2056" s="76"/>
      <c r="AN2056" s="76"/>
      <c r="AO2056" s="76"/>
      <c r="AP2056" s="76"/>
      <c r="AQ2056" s="76"/>
      <c r="AR2056" s="76"/>
      <c r="AS2056" s="76"/>
      <c r="AT2056" s="76"/>
      <c r="AU2056" s="76"/>
      <c r="AV2056" s="76"/>
      <c r="AW2056" s="76"/>
      <c r="AX2056" s="76">
        <f>+AW2056*600000</f>
        <v>0</v>
      </c>
      <c r="AY2056" s="76"/>
      <c r="AZ2056" s="76">
        <f>+AY2056*70000</f>
        <v>0</v>
      </c>
      <c r="BA2056" s="76"/>
      <c r="BB2056" s="76"/>
      <c r="BC2056" s="76"/>
      <c r="BD2056" s="76">
        <f>+BC2056*30000</f>
        <v>0</v>
      </c>
      <c r="BE2056" s="76"/>
      <c r="BF2056" s="76"/>
      <c r="BG2056" s="76"/>
      <c r="BH2056" s="76"/>
      <c r="BI2056" s="76"/>
      <c r="BJ2056" s="76"/>
      <c r="BK2056" s="76"/>
      <c r="BL2056" s="76">
        <f>+BK2056*31500</f>
        <v>0</v>
      </c>
      <c r="BM2056" s="76"/>
      <c r="BN2056" s="76"/>
      <c r="BO2056" s="76"/>
      <c r="BP2056" s="76"/>
      <c r="BQ2056" s="76"/>
      <c r="BR2056" s="76"/>
      <c r="BS2056" s="76"/>
      <c r="BT2056" s="76"/>
      <c r="BU2056" s="76"/>
      <c r="BV2056" s="76"/>
      <c r="BW2056" s="76"/>
      <c r="BX2056" s="76"/>
      <c r="BY2056" s="86">
        <v>3</v>
      </c>
      <c r="BZ2056" s="86">
        <f>3*560000</f>
        <v>1680000</v>
      </c>
      <c r="CA2056" s="76"/>
      <c r="CB2056" s="76"/>
      <c r="CC2056" s="76"/>
      <c r="CD2056" s="76"/>
      <c r="CE2056" s="76"/>
      <c r="CF2056" s="76">
        <f>+CE2056*28000</f>
        <v>0</v>
      </c>
      <c r="CG2056" s="76"/>
      <c r="CH2056" s="76">
        <f>+CG2056*22500</f>
        <v>0</v>
      </c>
      <c r="CI2056" s="76"/>
      <c r="CJ2056" s="76">
        <f>+CI2056*26000</f>
        <v>0</v>
      </c>
      <c r="CK2056" s="76"/>
      <c r="CL2056" s="76"/>
      <c r="CM2056" s="76"/>
      <c r="CN2056" s="76">
        <f>+CM2056*22000</f>
        <v>0</v>
      </c>
      <c r="CO2056" s="76"/>
      <c r="CP2056" s="76">
        <f>+CO2056*46000</f>
        <v>0</v>
      </c>
      <c r="CQ2056" s="76"/>
      <c r="CR2056" s="76">
        <f>+CQ2056*49000</f>
        <v>0</v>
      </c>
      <c r="CS2056" s="76"/>
      <c r="CT2056" s="76"/>
      <c r="CU2056" s="56">
        <f>AN2056+AP2056+AR2056+AT2056+AV2056+AX2056+AZ2056+BB2056+BD2056+BF2056+BH2056+BJ2056+BL2056+BN2056+BP2056+BR2056+BT2056+BV2056+BX2056+BZ2056+CB2056+CD2056+CF2056+CH2056+CJ2056+CL2056+CN2056+CP2056+CR2056+CT2056</f>
        <v>1680000</v>
      </c>
      <c r="CV2056" s="76"/>
      <c r="CW2056" s="76">
        <f>+CV2056*1100</f>
        <v>0</v>
      </c>
      <c r="CX2056" s="76"/>
      <c r="CY2056" s="76">
        <f>+CX2056*106250</f>
        <v>0</v>
      </c>
      <c r="CZ2056" s="76"/>
      <c r="DA2056" s="76">
        <f>+CZ2056*34500</f>
        <v>0</v>
      </c>
      <c r="DB2056" s="86">
        <v>1950</v>
      </c>
      <c r="DC2056" s="86">
        <f xml:space="preserve"> 1500*32000+6000*200+250*41000+200*31000+1800*400</f>
        <v>66370000</v>
      </c>
      <c r="DD2056" s="219"/>
      <c r="DE2056" s="219"/>
      <c r="DF2056" s="166"/>
      <c r="DG2056" s="134" t="s">
        <v>5979</v>
      </c>
      <c r="DH2056" s="117"/>
      <c r="DI2056" s="24"/>
      <c r="DJ2056" s="24"/>
      <c r="DK2056" s="24"/>
      <c r="DL2056" s="24"/>
      <c r="DM2056" s="24"/>
      <c r="DN2056" s="24"/>
      <c r="DO2056" s="24"/>
      <c r="DP2056" s="24"/>
      <c r="DQ2056" s="24"/>
      <c r="DR2056" s="24"/>
      <c r="DS2056" s="24"/>
      <c r="DT2056" s="24"/>
      <c r="DU2056" s="24"/>
    </row>
    <row r="2057" spans="1:125" s="8" customFormat="1" ht="84" x14ac:dyDescent="0.2">
      <c r="A2057" s="353">
        <v>41430</v>
      </c>
      <c r="B2057" s="225" t="s">
        <v>2718</v>
      </c>
      <c r="C2057" s="227" t="s">
        <v>960</v>
      </c>
      <c r="D2057" s="354" t="s">
        <v>2882</v>
      </c>
      <c r="E2057" s="75" t="str">
        <f>VLOOKUP(B2057&amp;C2057,Divipola!$C$2:$F$1138,4,FALSE)</f>
        <v>23300</v>
      </c>
      <c r="F2057" s="87"/>
      <c r="G2057" s="87"/>
      <c r="H2057" s="87"/>
      <c r="I2057" s="87">
        <f>44*5</f>
        <v>220</v>
      </c>
      <c r="J2057" s="87">
        <v>44</v>
      </c>
      <c r="K2057" s="87"/>
      <c r="L2057" s="87">
        <v>44</v>
      </c>
      <c r="M2057" s="87"/>
      <c r="N2057" s="87"/>
      <c r="O2057" s="87"/>
      <c r="P2057" s="87"/>
      <c r="Q2057" s="87"/>
      <c r="R2057" s="87"/>
      <c r="S2057" s="87"/>
      <c r="T2057" s="87"/>
      <c r="U2057" s="88"/>
      <c r="V2057" s="89"/>
      <c r="W2057" s="96">
        <v>0</v>
      </c>
      <c r="X2057" s="71">
        <f>CU2057</f>
        <v>27943386.16</v>
      </c>
      <c r="Y2057" s="71">
        <f>CY2057</f>
        <v>4675000</v>
      </c>
      <c r="Z2057" s="71">
        <f>DA2057+DC2057+DE2057</f>
        <v>16334215.199999999</v>
      </c>
      <c r="AA2057" s="71">
        <f>CW2057</f>
        <v>5498400</v>
      </c>
      <c r="AB2057" s="71">
        <f>300*13399.16</f>
        <v>4019748</v>
      </c>
      <c r="AC2057" s="71">
        <v>0</v>
      </c>
      <c r="AD2057" s="71">
        <f>W2057+X2057+Y2057+Z2057+AA2057+AB2057+AC2057</f>
        <v>58470749.359999999</v>
      </c>
      <c r="AE2057" s="72">
        <v>0</v>
      </c>
      <c r="AF2057" s="5"/>
      <c r="AG2057" s="6"/>
      <c r="AH2057" s="27" t="s">
        <v>3390</v>
      </c>
      <c r="AI2057" s="44" t="s">
        <v>3391</v>
      </c>
      <c r="AJ2057" s="26"/>
      <c r="AK2057" s="5"/>
      <c r="AL2057" s="82" t="s">
        <v>5191</v>
      </c>
      <c r="AM2057" s="76"/>
      <c r="AN2057" s="76"/>
      <c r="AO2057" s="76"/>
      <c r="AP2057" s="76"/>
      <c r="AQ2057" s="76"/>
      <c r="AR2057" s="76"/>
      <c r="AS2057" s="76"/>
      <c r="AT2057" s="76"/>
      <c r="AU2057" s="76"/>
      <c r="AV2057" s="76"/>
      <c r="AW2057" s="76"/>
      <c r="AX2057" s="76">
        <f>+AW2057*600000</f>
        <v>0</v>
      </c>
      <c r="AY2057" s="76"/>
      <c r="AZ2057" s="76">
        <f>+AY2057*70000</f>
        <v>0</v>
      </c>
      <c r="BA2057" s="76"/>
      <c r="BB2057" s="76"/>
      <c r="BC2057" s="76"/>
      <c r="BD2057" s="76">
        <f>+BC2057*30000</f>
        <v>0</v>
      </c>
      <c r="BE2057" s="76"/>
      <c r="BF2057" s="76"/>
      <c r="BG2057" s="76"/>
      <c r="BH2057" s="76"/>
      <c r="BI2057" s="76"/>
      <c r="BJ2057" s="76"/>
      <c r="BK2057" s="76"/>
      <c r="BL2057" s="76">
        <f>+BK2057*31500</f>
        <v>0</v>
      </c>
      <c r="BM2057" s="76"/>
      <c r="BN2057" s="76"/>
      <c r="BO2057" s="76"/>
      <c r="BP2057" s="76"/>
      <c r="BQ2057" s="76"/>
      <c r="BR2057" s="76"/>
      <c r="BS2057" s="76"/>
      <c r="BT2057" s="76"/>
      <c r="BU2057" s="76"/>
      <c r="BV2057" s="76"/>
      <c r="BW2057" s="76"/>
      <c r="BX2057" s="76"/>
      <c r="BY2057" s="86">
        <v>7</v>
      </c>
      <c r="BZ2057" s="86">
        <f>7*559999.28</f>
        <v>3919994.96</v>
      </c>
      <c r="CA2057" s="76"/>
      <c r="CB2057" s="76"/>
      <c r="CC2057" s="76"/>
      <c r="CD2057" s="76"/>
      <c r="CE2057" s="76"/>
      <c r="CF2057" s="76">
        <f>+CE2057*28000</f>
        <v>0</v>
      </c>
      <c r="CG2057" s="76"/>
      <c r="CH2057" s="76">
        <f>+CG2057*22500</f>
        <v>0</v>
      </c>
      <c r="CI2057" s="76"/>
      <c r="CJ2057" s="76">
        <f>+CI2057*26000</f>
        <v>0</v>
      </c>
      <c r="CK2057" s="76"/>
      <c r="CL2057" s="76"/>
      <c r="CM2057" s="86">
        <v>1000</v>
      </c>
      <c r="CN2057" s="86">
        <f>+CM2057*21999.4</f>
        <v>21999400</v>
      </c>
      <c r="CO2057" s="86">
        <v>44</v>
      </c>
      <c r="CP2057" s="86">
        <f>+CO2057*45999.8</f>
        <v>2023991.2000000002</v>
      </c>
      <c r="CQ2057" s="76"/>
      <c r="CR2057" s="76">
        <f>+CQ2057*49000</f>
        <v>0</v>
      </c>
      <c r="CS2057" s="76"/>
      <c r="CT2057" s="76"/>
      <c r="CU2057" s="56">
        <f>AN2057+AP2057+AR2057+AT2057+AV2057+AX2057+AZ2057+BB2057+BD2057+BF2057+BH2057+BJ2057+BL2057+BN2057+BP2057+BR2057+BT2057+BV2057+BX2057+BZ2057+CB2057+CD2057+CF2057+CH2057+CJ2057+CL2057+CN2057+CP2057+CR2057+CT2057</f>
        <v>27943386.16</v>
      </c>
      <c r="CV2057" s="86">
        <v>5000</v>
      </c>
      <c r="CW2057" s="86">
        <f>+CV2057*1099.68</f>
        <v>5498400</v>
      </c>
      <c r="CX2057" s="86">
        <v>44</v>
      </c>
      <c r="CY2057" s="86">
        <f>+CX2057*106250</f>
        <v>4675000</v>
      </c>
      <c r="CZ2057" s="76"/>
      <c r="DA2057" s="76">
        <f>+CZ2057*34500</f>
        <v>0</v>
      </c>
      <c r="DB2057" s="86">
        <f>500+80+20</f>
        <v>600</v>
      </c>
      <c r="DC2057" s="86">
        <f>500*24999.16+2000*199.52+80*30999.84+400*399.04+20*39799.6</f>
        <v>16334215.199999999</v>
      </c>
      <c r="DD2057" s="219"/>
      <c r="DE2057" s="219"/>
      <c r="DF2057" s="166"/>
      <c r="DG2057" s="134" t="s">
        <v>6454</v>
      </c>
      <c r="DH2057" s="117"/>
      <c r="DI2057" s="24"/>
      <c r="DJ2057" s="24"/>
      <c r="DK2057" s="24"/>
      <c r="DL2057" s="24"/>
      <c r="DM2057" s="24"/>
      <c r="DN2057" s="24"/>
      <c r="DO2057" s="24"/>
      <c r="DP2057" s="24"/>
      <c r="DQ2057" s="24"/>
      <c r="DR2057" s="24"/>
      <c r="DS2057" s="24"/>
      <c r="DT2057" s="24"/>
      <c r="DU2057" s="24"/>
    </row>
    <row r="2058" spans="1:125" s="8" customFormat="1" ht="48" x14ac:dyDescent="0.2">
      <c r="A2058" s="77">
        <v>41430</v>
      </c>
      <c r="B2058" s="352" t="s">
        <v>2718</v>
      </c>
      <c r="C2058" s="354" t="s">
        <v>965</v>
      </c>
      <c r="D2058" s="354" t="s">
        <v>2882</v>
      </c>
      <c r="E2058" s="75" t="str">
        <f>VLOOKUP(B2058&amp;C2058,Divipola!$C$2:$F$1138,4,FALSE)</f>
        <v>23417</v>
      </c>
      <c r="F2058" s="87"/>
      <c r="G2058" s="87"/>
      <c r="H2058" s="87"/>
      <c r="I2058" s="87">
        <v>1000</v>
      </c>
      <c r="J2058" s="87">
        <v>200</v>
      </c>
      <c r="K2058" s="87"/>
      <c r="L2058" s="87">
        <v>200</v>
      </c>
      <c r="M2058" s="87"/>
      <c r="N2058" s="87"/>
      <c r="O2058" s="87"/>
      <c r="P2058" s="87"/>
      <c r="Q2058" s="87"/>
      <c r="R2058" s="87"/>
      <c r="S2058" s="87"/>
      <c r="T2058" s="87"/>
      <c r="U2058" s="88"/>
      <c r="V2058" s="89"/>
      <c r="W2058" s="96">
        <v>0</v>
      </c>
      <c r="X2058" s="71">
        <f>CU2058</f>
        <v>5600000</v>
      </c>
      <c r="Y2058" s="71">
        <f>CY2058</f>
        <v>0</v>
      </c>
      <c r="Z2058" s="71">
        <f>DA2058+DC2058+DE2058</f>
        <v>122577000</v>
      </c>
      <c r="AA2058" s="71">
        <f>CW2058</f>
        <v>0</v>
      </c>
      <c r="AB2058" s="71"/>
      <c r="AC2058" s="71">
        <v>0</v>
      </c>
      <c r="AD2058" s="71">
        <f>W2058+X2058+Y2058+Z2058+AA2058+AB2058+AC2058</f>
        <v>128177000</v>
      </c>
      <c r="AE2058" s="72">
        <v>0</v>
      </c>
      <c r="AF2058" s="5"/>
      <c r="AG2058" s="6"/>
      <c r="AH2058" s="27" t="s">
        <v>3390</v>
      </c>
      <c r="AI2058" s="44" t="s">
        <v>3391</v>
      </c>
      <c r="AJ2058" s="26"/>
      <c r="AK2058" s="5"/>
      <c r="AL2058" s="82" t="s">
        <v>4874</v>
      </c>
      <c r="AM2058" s="76"/>
      <c r="AN2058" s="76"/>
      <c r="AO2058" s="76"/>
      <c r="AP2058" s="76"/>
      <c r="AQ2058" s="76"/>
      <c r="AR2058" s="76"/>
      <c r="AS2058" s="76"/>
      <c r="AT2058" s="76"/>
      <c r="AU2058" s="76"/>
      <c r="AV2058" s="76"/>
      <c r="AW2058" s="76"/>
      <c r="AX2058" s="76">
        <f>+AW2058*600000</f>
        <v>0</v>
      </c>
      <c r="AY2058" s="76"/>
      <c r="AZ2058" s="76">
        <f>+AY2058*70000</f>
        <v>0</v>
      </c>
      <c r="BA2058" s="76"/>
      <c r="BB2058" s="76"/>
      <c r="BC2058" s="76"/>
      <c r="BD2058" s="76">
        <f>+BC2058*30000</f>
        <v>0</v>
      </c>
      <c r="BE2058" s="76"/>
      <c r="BF2058" s="76"/>
      <c r="BG2058" s="76"/>
      <c r="BH2058" s="76"/>
      <c r="BI2058" s="76"/>
      <c r="BJ2058" s="76"/>
      <c r="BK2058" s="76"/>
      <c r="BL2058" s="76">
        <f>+BK2058*31500</f>
        <v>0</v>
      </c>
      <c r="BM2058" s="76"/>
      <c r="BN2058" s="76"/>
      <c r="BO2058" s="76"/>
      <c r="BP2058" s="76"/>
      <c r="BQ2058" s="76"/>
      <c r="BR2058" s="76"/>
      <c r="BS2058" s="76"/>
      <c r="BT2058" s="76"/>
      <c r="BU2058" s="76"/>
      <c r="BV2058" s="76"/>
      <c r="BW2058" s="76"/>
      <c r="BX2058" s="76"/>
      <c r="BY2058" s="86">
        <v>10</v>
      </c>
      <c r="BZ2058" s="86">
        <f>10*560000</f>
        <v>5600000</v>
      </c>
      <c r="CA2058" s="76"/>
      <c r="CB2058" s="76"/>
      <c r="CC2058" s="76"/>
      <c r="CD2058" s="76"/>
      <c r="CE2058" s="76"/>
      <c r="CF2058" s="76">
        <f>+CE2058*28000</f>
        <v>0</v>
      </c>
      <c r="CG2058" s="76"/>
      <c r="CH2058" s="76">
        <f>+CG2058*22500</f>
        <v>0</v>
      </c>
      <c r="CI2058" s="76"/>
      <c r="CJ2058" s="76">
        <f>+CI2058*26000</f>
        <v>0</v>
      </c>
      <c r="CK2058" s="76"/>
      <c r="CL2058" s="76"/>
      <c r="CM2058" s="76"/>
      <c r="CN2058" s="76">
        <f>+CM2058*22000</f>
        <v>0</v>
      </c>
      <c r="CO2058" s="76"/>
      <c r="CP2058" s="76">
        <f>+CO2058*46000</f>
        <v>0</v>
      </c>
      <c r="CQ2058" s="76"/>
      <c r="CR2058" s="76">
        <f>+CQ2058*49000</f>
        <v>0</v>
      </c>
      <c r="CS2058" s="76"/>
      <c r="CT2058" s="76"/>
      <c r="CU2058" s="56">
        <f>AN2058+AP2058+AR2058+AT2058+AV2058+AX2058+AZ2058+BB2058+BD2058+BF2058+BH2058+BJ2058+BL2058+BN2058+BP2058+BR2058+BT2058+BV2058+BX2058+BZ2058+CB2058+CD2058+CF2058+CH2058+CJ2058+CL2058+CN2058+CP2058+CR2058+CT2058</f>
        <v>5600000</v>
      </c>
      <c r="CV2058" s="76"/>
      <c r="CW2058" s="76">
        <f>+CV2058*1100</f>
        <v>0</v>
      </c>
      <c r="CX2058" s="76"/>
      <c r="CY2058" s="76">
        <f>+CX2058*106250</f>
        <v>0</v>
      </c>
      <c r="CZ2058" s="76"/>
      <c r="DA2058" s="76">
        <f>+CZ2058*34500</f>
        <v>0</v>
      </c>
      <c r="DB2058" s="86">
        <f>3000+480+665</f>
        <v>4145</v>
      </c>
      <c r="DC2058" s="86">
        <f>3000*25000+18000*200+480*31000+665*41000+4580*400</f>
        <v>122577000</v>
      </c>
      <c r="DD2058" s="219"/>
      <c r="DE2058" s="219"/>
      <c r="DF2058" s="166"/>
      <c r="DG2058" s="134" t="s">
        <v>5874</v>
      </c>
      <c r="DH2058" s="117"/>
      <c r="DI2058" s="24"/>
      <c r="DJ2058" s="24"/>
      <c r="DK2058" s="24"/>
      <c r="DL2058" s="24"/>
      <c r="DM2058" s="24"/>
      <c r="DN2058" s="24"/>
      <c r="DO2058" s="24"/>
      <c r="DP2058" s="24"/>
      <c r="DQ2058" s="24"/>
      <c r="DR2058" s="24"/>
      <c r="DS2058" s="24"/>
      <c r="DT2058" s="24"/>
      <c r="DU2058" s="24"/>
    </row>
    <row r="2059" spans="1:125" s="8" customFormat="1" ht="60" x14ac:dyDescent="0.2">
      <c r="A2059" s="226">
        <v>41430</v>
      </c>
      <c r="B2059" s="353" t="s">
        <v>2718</v>
      </c>
      <c r="C2059" s="353" t="s">
        <v>968</v>
      </c>
      <c r="D2059" s="353" t="s">
        <v>2882</v>
      </c>
      <c r="E2059" s="75" t="str">
        <f>VLOOKUP(B2059&amp;C2059,Divipola!$C$2:$F$1138,4,FALSE)</f>
        <v>23464</v>
      </c>
      <c r="F2059" s="61"/>
      <c r="G2059" s="61"/>
      <c r="H2059" s="61"/>
      <c r="I2059" s="61">
        <v>175</v>
      </c>
      <c r="J2059" s="61">
        <v>35</v>
      </c>
      <c r="K2059" s="61"/>
      <c r="L2059" s="61">
        <v>35</v>
      </c>
      <c r="M2059" s="61"/>
      <c r="N2059" s="61"/>
      <c r="O2059" s="61"/>
      <c r="P2059" s="61"/>
      <c r="Q2059" s="61"/>
      <c r="R2059" s="61"/>
      <c r="S2059" s="61"/>
      <c r="T2059" s="61"/>
      <c r="U2059" s="61"/>
      <c r="V2059" s="7"/>
      <c r="W2059" s="96">
        <v>0</v>
      </c>
      <c r="X2059" s="71">
        <f>CU2059</f>
        <v>2239997.12</v>
      </c>
      <c r="Y2059" s="71">
        <f>CY2059</f>
        <v>4250000</v>
      </c>
      <c r="Z2059" s="71">
        <f>DA2059+DC2059+DE2059</f>
        <v>20190032</v>
      </c>
      <c r="AA2059" s="71">
        <f>CW2059</f>
        <v>0</v>
      </c>
      <c r="AB2059" s="71"/>
      <c r="AC2059" s="71">
        <v>0</v>
      </c>
      <c r="AD2059" s="71">
        <f>W2059+X2059+Y2059+Z2059+AA2059+AB2059+AC2059</f>
        <v>26680029.120000001</v>
      </c>
      <c r="AE2059" s="72">
        <v>0</v>
      </c>
      <c r="AF2059" s="5"/>
      <c r="AG2059" s="6"/>
      <c r="AH2059" s="27" t="s">
        <v>3390</v>
      </c>
      <c r="AI2059" s="44" t="s">
        <v>3391</v>
      </c>
      <c r="AJ2059" s="26"/>
      <c r="AK2059" s="5"/>
      <c r="AL2059" s="9" t="s">
        <v>5726</v>
      </c>
      <c r="AM2059" s="76"/>
      <c r="AN2059" s="76"/>
      <c r="AO2059" s="76"/>
      <c r="AP2059" s="76"/>
      <c r="AQ2059" s="76"/>
      <c r="AR2059" s="76"/>
      <c r="AS2059" s="76"/>
      <c r="AT2059" s="76"/>
      <c r="AU2059" s="76"/>
      <c r="AV2059" s="76"/>
      <c r="AW2059" s="76"/>
      <c r="AX2059" s="76">
        <f>+AW2059*600000</f>
        <v>0</v>
      </c>
      <c r="AY2059" s="76"/>
      <c r="AZ2059" s="76">
        <f>+AY2059*70000</f>
        <v>0</v>
      </c>
      <c r="BA2059" s="76"/>
      <c r="BB2059" s="76"/>
      <c r="BC2059" s="76"/>
      <c r="BD2059" s="76">
        <f>+BC2059*30000</f>
        <v>0</v>
      </c>
      <c r="BE2059" s="76"/>
      <c r="BF2059" s="76"/>
      <c r="BG2059" s="76"/>
      <c r="BH2059" s="76"/>
      <c r="BI2059" s="76"/>
      <c r="BJ2059" s="76"/>
      <c r="BK2059" s="76"/>
      <c r="BL2059" s="76">
        <f>+BK2059*31500</f>
        <v>0</v>
      </c>
      <c r="BM2059" s="76"/>
      <c r="BN2059" s="76"/>
      <c r="BO2059" s="76"/>
      <c r="BP2059" s="76"/>
      <c r="BQ2059" s="76"/>
      <c r="BR2059" s="76"/>
      <c r="BS2059" s="76"/>
      <c r="BT2059" s="76"/>
      <c r="BU2059" s="76"/>
      <c r="BV2059" s="76"/>
      <c r="BW2059" s="76"/>
      <c r="BX2059" s="76"/>
      <c r="BY2059" s="86">
        <v>4</v>
      </c>
      <c r="BZ2059" s="86">
        <f>4*559999.28</f>
        <v>2239997.12</v>
      </c>
      <c r="CA2059" s="76"/>
      <c r="CB2059" s="76"/>
      <c r="CC2059" s="76"/>
      <c r="CD2059" s="76"/>
      <c r="CE2059" s="76"/>
      <c r="CF2059" s="76">
        <f>+CE2059*28000</f>
        <v>0</v>
      </c>
      <c r="CG2059" s="76"/>
      <c r="CH2059" s="76">
        <f>+CG2059*22500</f>
        <v>0</v>
      </c>
      <c r="CI2059" s="76"/>
      <c r="CJ2059" s="76">
        <f>+CI2059*26000</f>
        <v>0</v>
      </c>
      <c r="CK2059" s="76"/>
      <c r="CL2059" s="76"/>
      <c r="CM2059" s="76"/>
      <c r="CN2059" s="76">
        <f>+CM2059*22000</f>
        <v>0</v>
      </c>
      <c r="CO2059" s="76"/>
      <c r="CP2059" s="76">
        <f>+CO2059*46000</f>
        <v>0</v>
      </c>
      <c r="CQ2059" s="76"/>
      <c r="CR2059" s="76">
        <f>+CQ2059*49000</f>
        <v>0</v>
      </c>
      <c r="CS2059" s="76"/>
      <c r="CT2059" s="76"/>
      <c r="CU2059" s="56">
        <f>AN2059+AP2059+AR2059+AT2059+AV2059+AX2059+AZ2059+BB2059+BD2059+BF2059+BH2059+BJ2059+BL2059+BN2059+BP2059+BR2059+BT2059+BV2059+BX2059+BZ2059+CB2059+CD2059+CF2059+CH2059+CJ2059+CL2059+CN2059+CP2059+CR2059+CT2059</f>
        <v>2239997.12</v>
      </c>
      <c r="CV2059" s="76"/>
      <c r="CW2059" s="76">
        <f>+CV2059*1100</f>
        <v>0</v>
      </c>
      <c r="CX2059" s="86">
        <v>40</v>
      </c>
      <c r="CY2059" s="86">
        <f>+CX2059*106250</f>
        <v>4250000</v>
      </c>
      <c r="CZ2059" s="76"/>
      <c r="DA2059" s="76">
        <f>+CZ2059*34500</f>
        <v>0</v>
      </c>
      <c r="DB2059" s="86">
        <f>200+320</f>
        <v>520</v>
      </c>
      <c r="DC2059" s="86">
        <f>200*31999.76+800*199.52+320*40999.04+1280*399.04</f>
        <v>20190032</v>
      </c>
      <c r="DD2059" s="219"/>
      <c r="DE2059" s="219"/>
      <c r="DF2059" s="166"/>
      <c r="DG2059" s="134" t="s">
        <v>6094</v>
      </c>
      <c r="DH2059" s="117"/>
      <c r="DI2059" s="24"/>
      <c r="DJ2059" s="24"/>
      <c r="DK2059" s="24"/>
      <c r="DL2059" s="24"/>
      <c r="DM2059" s="24"/>
      <c r="DN2059" s="24"/>
      <c r="DO2059" s="24"/>
      <c r="DP2059" s="24"/>
      <c r="DQ2059" s="24"/>
      <c r="DR2059" s="24"/>
      <c r="DS2059" s="24"/>
      <c r="DT2059" s="24"/>
      <c r="DU2059" s="24"/>
    </row>
    <row r="2060" spans="1:125" s="8" customFormat="1" ht="48" x14ac:dyDescent="0.2">
      <c r="A2060" s="226">
        <v>41430</v>
      </c>
      <c r="B2060" s="60" t="s">
        <v>2718</v>
      </c>
      <c r="C2060" s="55" t="s">
        <v>1004</v>
      </c>
      <c r="D2060" s="55" t="s">
        <v>2882</v>
      </c>
      <c r="E2060" s="75" t="str">
        <f>VLOOKUP(B2060&amp;C2060,Divipola!$C$2:$F$1138,4,FALSE)</f>
        <v>23815</v>
      </c>
      <c r="F2060" s="87"/>
      <c r="G2060" s="87"/>
      <c r="H2060" s="87"/>
      <c r="I2060" s="87"/>
      <c r="J2060" s="87"/>
      <c r="K2060" s="87"/>
      <c r="L2060" s="87"/>
      <c r="M2060" s="87"/>
      <c r="N2060" s="87"/>
      <c r="O2060" s="87"/>
      <c r="P2060" s="87"/>
      <c r="Q2060" s="87"/>
      <c r="R2060" s="87"/>
      <c r="S2060" s="87"/>
      <c r="T2060" s="87"/>
      <c r="U2060" s="88"/>
      <c r="V2060" s="89"/>
      <c r="W2060" s="96">
        <v>0</v>
      </c>
      <c r="X2060" s="71">
        <f>CU2060</f>
        <v>0</v>
      </c>
      <c r="Y2060" s="71">
        <f>CY2060</f>
        <v>0</v>
      </c>
      <c r="Z2060" s="71">
        <f>DA2060+DC2060+DE2060</f>
        <v>0</v>
      </c>
      <c r="AA2060" s="71">
        <f>CW2060</f>
        <v>0</v>
      </c>
      <c r="AB2060" s="71"/>
      <c r="AC2060" s="71">
        <v>0</v>
      </c>
      <c r="AD2060" s="71">
        <f>W2060+X2060+Y2060+Z2060+AA2060+AB2060+AC2060</f>
        <v>0</v>
      </c>
      <c r="AE2060" s="72">
        <v>0</v>
      </c>
      <c r="AF2060" s="5"/>
      <c r="AG2060" s="6"/>
      <c r="AH2060" s="27" t="s">
        <v>3392</v>
      </c>
      <c r="AI2060" s="44" t="s">
        <v>3393</v>
      </c>
      <c r="AJ2060" s="26"/>
      <c r="AK2060" s="5"/>
      <c r="AL2060" s="82" t="s">
        <v>4874</v>
      </c>
      <c r="AM2060" s="76"/>
      <c r="AN2060" s="76"/>
      <c r="AO2060" s="76"/>
      <c r="AP2060" s="76"/>
      <c r="AQ2060" s="76"/>
      <c r="AR2060" s="76"/>
      <c r="AS2060" s="76"/>
      <c r="AT2060" s="76"/>
      <c r="AU2060" s="76"/>
      <c r="AV2060" s="76"/>
      <c r="AW2060" s="76"/>
      <c r="AX2060" s="76">
        <f>+AW2060*600000</f>
        <v>0</v>
      </c>
      <c r="AY2060" s="76"/>
      <c r="AZ2060" s="76">
        <f>+AY2060*70000</f>
        <v>0</v>
      </c>
      <c r="BA2060" s="76"/>
      <c r="BB2060" s="76"/>
      <c r="BC2060" s="76"/>
      <c r="BD2060" s="76">
        <f>+BC2060*30000</f>
        <v>0</v>
      </c>
      <c r="BE2060" s="76"/>
      <c r="BF2060" s="76"/>
      <c r="BG2060" s="76"/>
      <c r="BH2060" s="76"/>
      <c r="BI2060" s="76"/>
      <c r="BJ2060" s="76"/>
      <c r="BK2060" s="76"/>
      <c r="BL2060" s="76">
        <f>+BK2060*31500</f>
        <v>0</v>
      </c>
      <c r="BM2060" s="76"/>
      <c r="BN2060" s="76"/>
      <c r="BO2060" s="76"/>
      <c r="BP2060" s="76"/>
      <c r="BQ2060" s="76"/>
      <c r="BR2060" s="76"/>
      <c r="BS2060" s="76"/>
      <c r="BT2060" s="76"/>
      <c r="BU2060" s="76"/>
      <c r="BV2060" s="76"/>
      <c r="BW2060" s="76"/>
      <c r="BX2060" s="76"/>
      <c r="BY2060" s="76"/>
      <c r="BZ2060" s="76"/>
      <c r="CA2060" s="76"/>
      <c r="CB2060" s="76"/>
      <c r="CC2060" s="76"/>
      <c r="CD2060" s="76"/>
      <c r="CE2060" s="76"/>
      <c r="CF2060" s="76">
        <f>+CE2060*28000</f>
        <v>0</v>
      </c>
      <c r="CG2060" s="76"/>
      <c r="CH2060" s="76">
        <f>+CG2060*22500</f>
        <v>0</v>
      </c>
      <c r="CI2060" s="76"/>
      <c r="CJ2060" s="76">
        <f>+CI2060*26000</f>
        <v>0</v>
      </c>
      <c r="CK2060" s="76"/>
      <c r="CL2060" s="76"/>
      <c r="CM2060" s="76"/>
      <c r="CN2060" s="76">
        <f>+CM2060*22000</f>
        <v>0</v>
      </c>
      <c r="CO2060" s="76"/>
      <c r="CP2060" s="76">
        <f>+CO2060*46000</f>
        <v>0</v>
      </c>
      <c r="CQ2060" s="76"/>
      <c r="CR2060" s="76">
        <f>+CQ2060*49000</f>
        <v>0</v>
      </c>
      <c r="CS2060" s="76"/>
      <c r="CT2060" s="76"/>
      <c r="CU2060" s="56">
        <f>AN2060+AP2060+AR2060+AT2060+AV2060+AX2060+AZ2060+BB2060+BD2060+BF2060+BH2060+BJ2060+BL2060+BN2060+BP2060+BR2060+BT2060+BV2060+BX2060+BZ2060+CB2060+CD2060+CF2060+CH2060+CJ2060+CL2060+CN2060+CP2060+CR2060+CT2060</f>
        <v>0</v>
      </c>
      <c r="CV2060" s="76"/>
      <c r="CW2060" s="76">
        <f>+CV2060*1100</f>
        <v>0</v>
      </c>
      <c r="CX2060" s="76"/>
      <c r="CY2060" s="76">
        <f>+CX2060*106250</f>
        <v>0</v>
      </c>
      <c r="CZ2060" s="76"/>
      <c r="DA2060" s="76">
        <f>+CZ2060*34500</f>
        <v>0</v>
      </c>
      <c r="DB2060" s="76"/>
      <c r="DC2060" s="76">
        <f>+DB2060*25000</f>
        <v>0</v>
      </c>
      <c r="DD2060" s="219"/>
      <c r="DE2060" s="219"/>
      <c r="DF2060" s="166"/>
      <c r="DG2060" s="116"/>
      <c r="DH2060" s="117"/>
      <c r="DI2060" s="24"/>
      <c r="DJ2060" s="24"/>
      <c r="DK2060" s="24"/>
      <c r="DL2060" s="24"/>
      <c r="DM2060" s="24"/>
      <c r="DN2060" s="24"/>
      <c r="DO2060" s="24"/>
      <c r="DP2060" s="24"/>
      <c r="DQ2060" s="24"/>
      <c r="DR2060" s="24"/>
      <c r="DS2060" s="24"/>
      <c r="DT2060" s="24"/>
      <c r="DU2060" s="24"/>
    </row>
    <row r="2061" spans="1:125" s="8" customFormat="1" x14ac:dyDescent="0.2">
      <c r="A2061" s="353">
        <v>41430</v>
      </c>
      <c r="B2061" s="352" t="s">
        <v>3136</v>
      </c>
      <c r="C2061" s="354" t="s">
        <v>396</v>
      </c>
      <c r="D2061" s="354" t="s">
        <v>2882</v>
      </c>
      <c r="E2061" s="75" t="str">
        <f>VLOOKUP(B2061&amp;C2061,Divipola!$C$2:$F$1138,4,FALSE)</f>
        <v>44279</v>
      </c>
      <c r="F2061" s="87"/>
      <c r="G2061" s="87"/>
      <c r="H2061" s="87"/>
      <c r="I2061" s="87"/>
      <c r="J2061" s="87"/>
      <c r="K2061" s="87"/>
      <c r="L2061" s="87"/>
      <c r="M2061" s="87"/>
      <c r="N2061" s="87"/>
      <c r="O2061" s="87"/>
      <c r="P2061" s="87"/>
      <c r="Q2061" s="87"/>
      <c r="R2061" s="87"/>
      <c r="S2061" s="87"/>
      <c r="T2061" s="87"/>
      <c r="U2061" s="88"/>
      <c r="V2061" s="89"/>
      <c r="W2061" s="96">
        <v>0</v>
      </c>
      <c r="X2061" s="71">
        <f>CU2061</f>
        <v>0</v>
      </c>
      <c r="Y2061" s="71">
        <f>CY2061</f>
        <v>0</v>
      </c>
      <c r="Z2061" s="71">
        <f>DA2061+DC2061+DE2061</f>
        <v>0</v>
      </c>
      <c r="AA2061" s="71">
        <f>CW2061</f>
        <v>0</v>
      </c>
      <c r="AB2061" s="71"/>
      <c r="AC2061" s="71">
        <v>0</v>
      </c>
      <c r="AD2061" s="71">
        <f>W2061+X2061+Y2061+Z2061+AA2061+AB2061+AC2061</f>
        <v>0</v>
      </c>
      <c r="AE2061" s="72">
        <v>0</v>
      </c>
      <c r="AF2061" s="5"/>
      <c r="AG2061" s="6"/>
      <c r="AH2061" s="27" t="s">
        <v>3392</v>
      </c>
      <c r="AI2061" s="44" t="s">
        <v>3393</v>
      </c>
      <c r="AJ2061" s="26"/>
      <c r="AK2061" s="5"/>
      <c r="AL2061" s="82" t="s">
        <v>4877</v>
      </c>
      <c r="AM2061" s="76"/>
      <c r="AN2061" s="76"/>
      <c r="AO2061" s="76"/>
      <c r="AP2061" s="76"/>
      <c r="AQ2061" s="76"/>
      <c r="AR2061" s="76"/>
      <c r="AS2061" s="76"/>
      <c r="AT2061" s="76"/>
      <c r="AU2061" s="76"/>
      <c r="AV2061" s="76"/>
      <c r="AW2061" s="76"/>
      <c r="AX2061" s="76">
        <f>+AW2061*600000</f>
        <v>0</v>
      </c>
      <c r="AY2061" s="76"/>
      <c r="AZ2061" s="76">
        <f>+AY2061*70000</f>
        <v>0</v>
      </c>
      <c r="BA2061" s="76"/>
      <c r="BB2061" s="76"/>
      <c r="BC2061" s="76"/>
      <c r="BD2061" s="76">
        <f>+BC2061*30000</f>
        <v>0</v>
      </c>
      <c r="BE2061" s="76"/>
      <c r="BF2061" s="76"/>
      <c r="BG2061" s="76"/>
      <c r="BH2061" s="76"/>
      <c r="BI2061" s="76"/>
      <c r="BJ2061" s="76"/>
      <c r="BK2061" s="76"/>
      <c r="BL2061" s="76">
        <f>+BK2061*31500</f>
        <v>0</v>
      </c>
      <c r="BM2061" s="76"/>
      <c r="BN2061" s="76"/>
      <c r="BO2061" s="76"/>
      <c r="BP2061" s="76"/>
      <c r="BQ2061" s="76"/>
      <c r="BR2061" s="76"/>
      <c r="BS2061" s="76"/>
      <c r="BT2061" s="76"/>
      <c r="BU2061" s="76"/>
      <c r="BV2061" s="76"/>
      <c r="BW2061" s="76"/>
      <c r="BX2061" s="76"/>
      <c r="BY2061" s="76"/>
      <c r="BZ2061" s="76"/>
      <c r="CA2061" s="76"/>
      <c r="CB2061" s="76"/>
      <c r="CC2061" s="76"/>
      <c r="CD2061" s="76"/>
      <c r="CE2061" s="76"/>
      <c r="CF2061" s="76">
        <f>+CE2061*28000</f>
        <v>0</v>
      </c>
      <c r="CG2061" s="76"/>
      <c r="CH2061" s="76">
        <f>+CG2061*22500</f>
        <v>0</v>
      </c>
      <c r="CI2061" s="76"/>
      <c r="CJ2061" s="76">
        <f>+CI2061*26000</f>
        <v>0</v>
      </c>
      <c r="CK2061" s="76"/>
      <c r="CL2061" s="76"/>
      <c r="CM2061" s="76"/>
      <c r="CN2061" s="76">
        <f>+CM2061*22000</f>
        <v>0</v>
      </c>
      <c r="CO2061" s="76"/>
      <c r="CP2061" s="76">
        <f>+CO2061*46000</f>
        <v>0</v>
      </c>
      <c r="CQ2061" s="76"/>
      <c r="CR2061" s="76">
        <f>+CQ2061*49000</f>
        <v>0</v>
      </c>
      <c r="CS2061" s="76"/>
      <c r="CT2061" s="76"/>
      <c r="CU2061" s="56">
        <f>AN2061+AP2061+AR2061+AT2061+AV2061+AX2061+AZ2061+BB2061+BD2061+BF2061+BH2061+BJ2061+BL2061+BN2061+BP2061+BR2061+BT2061+BV2061+BX2061+BZ2061+CB2061+CD2061+CF2061+CH2061+CJ2061+CL2061+CN2061+CP2061+CR2061+CT2061</f>
        <v>0</v>
      </c>
      <c r="CV2061" s="76"/>
      <c r="CW2061" s="76">
        <f>+CV2061*1100</f>
        <v>0</v>
      </c>
      <c r="CX2061" s="76"/>
      <c r="CY2061" s="76">
        <f>+CX2061*106250</f>
        <v>0</v>
      </c>
      <c r="CZ2061" s="76"/>
      <c r="DA2061" s="76">
        <f>+CZ2061*34500</f>
        <v>0</v>
      </c>
      <c r="DB2061" s="76"/>
      <c r="DC2061" s="76">
        <f>+DB2061*25000</f>
        <v>0</v>
      </c>
      <c r="DD2061" s="219"/>
      <c r="DE2061" s="219"/>
      <c r="DF2061" s="166"/>
      <c r="DG2061" s="116"/>
      <c r="DH2061" s="117"/>
      <c r="DI2061" s="24"/>
      <c r="DJ2061" s="24"/>
      <c r="DK2061" s="24"/>
      <c r="DL2061" s="24"/>
      <c r="DM2061" s="24"/>
      <c r="DN2061" s="24"/>
      <c r="DO2061" s="24"/>
      <c r="DP2061" s="24"/>
      <c r="DQ2061" s="24"/>
      <c r="DR2061" s="24"/>
      <c r="DS2061" s="24"/>
      <c r="DT2061" s="24"/>
      <c r="DU2061" s="24"/>
    </row>
    <row r="2062" spans="1:125" s="8" customFormat="1" x14ac:dyDescent="0.2">
      <c r="A2062" s="77">
        <v>41430</v>
      </c>
      <c r="B2062" s="78" t="s">
        <v>3136</v>
      </c>
      <c r="C2062" s="75" t="s">
        <v>2204</v>
      </c>
      <c r="D2062" s="75" t="s">
        <v>2882</v>
      </c>
      <c r="E2062" s="75" t="str">
        <f>VLOOKUP(B2062&amp;C2062,Divipola!$C$2:$F$1138,4,FALSE)</f>
        <v>44001</v>
      </c>
      <c r="F2062" s="87"/>
      <c r="G2062" s="87"/>
      <c r="H2062" s="87"/>
      <c r="I2062" s="87"/>
      <c r="J2062" s="87"/>
      <c r="K2062" s="87"/>
      <c r="L2062" s="87"/>
      <c r="M2062" s="87"/>
      <c r="N2062" s="87"/>
      <c r="O2062" s="87"/>
      <c r="P2062" s="87"/>
      <c r="Q2062" s="87"/>
      <c r="R2062" s="87"/>
      <c r="S2062" s="87"/>
      <c r="T2062" s="87"/>
      <c r="U2062" s="88"/>
      <c r="V2062" s="89"/>
      <c r="W2062" s="96">
        <v>0</v>
      </c>
      <c r="X2062" s="71">
        <f>CU2062</f>
        <v>0</v>
      </c>
      <c r="Y2062" s="71">
        <f>CY2062</f>
        <v>0</v>
      </c>
      <c r="Z2062" s="71">
        <f>DA2062+DC2062+DE2062</f>
        <v>0</v>
      </c>
      <c r="AA2062" s="71">
        <f>CW2062</f>
        <v>0</v>
      </c>
      <c r="AB2062" s="71"/>
      <c r="AC2062" s="71">
        <v>0</v>
      </c>
      <c r="AD2062" s="71">
        <f>W2062+X2062+Y2062+Z2062+AA2062+AB2062+AC2062</f>
        <v>0</v>
      </c>
      <c r="AE2062" s="72">
        <v>0</v>
      </c>
      <c r="AF2062" s="5"/>
      <c r="AG2062" s="6"/>
      <c r="AH2062" s="27" t="s">
        <v>3392</v>
      </c>
      <c r="AI2062" s="44" t="s">
        <v>3393</v>
      </c>
      <c r="AJ2062" s="26"/>
      <c r="AK2062" s="5"/>
      <c r="AL2062" s="82" t="s">
        <v>4877</v>
      </c>
      <c r="AM2062" s="76"/>
      <c r="AN2062" s="76"/>
      <c r="AO2062" s="76"/>
      <c r="AP2062" s="76"/>
      <c r="AQ2062" s="76"/>
      <c r="AR2062" s="76"/>
      <c r="AS2062" s="76"/>
      <c r="AT2062" s="76"/>
      <c r="AU2062" s="76"/>
      <c r="AV2062" s="76"/>
      <c r="AW2062" s="76"/>
      <c r="AX2062" s="76">
        <f>+AW2062*600000</f>
        <v>0</v>
      </c>
      <c r="AY2062" s="76"/>
      <c r="AZ2062" s="76">
        <f>+AY2062*70000</f>
        <v>0</v>
      </c>
      <c r="BA2062" s="76"/>
      <c r="BB2062" s="76"/>
      <c r="BC2062" s="76"/>
      <c r="BD2062" s="76">
        <f>+BC2062*30000</f>
        <v>0</v>
      </c>
      <c r="BE2062" s="76"/>
      <c r="BF2062" s="76"/>
      <c r="BG2062" s="76"/>
      <c r="BH2062" s="76"/>
      <c r="BI2062" s="76"/>
      <c r="BJ2062" s="76"/>
      <c r="BK2062" s="76"/>
      <c r="BL2062" s="76">
        <f>+BK2062*31500</f>
        <v>0</v>
      </c>
      <c r="BM2062" s="76"/>
      <c r="BN2062" s="76"/>
      <c r="BO2062" s="76"/>
      <c r="BP2062" s="76"/>
      <c r="BQ2062" s="76"/>
      <c r="BR2062" s="76"/>
      <c r="BS2062" s="76"/>
      <c r="BT2062" s="76"/>
      <c r="BU2062" s="76"/>
      <c r="BV2062" s="76"/>
      <c r="BW2062" s="76"/>
      <c r="BX2062" s="76"/>
      <c r="BY2062" s="76"/>
      <c r="BZ2062" s="76"/>
      <c r="CA2062" s="76"/>
      <c r="CB2062" s="76"/>
      <c r="CC2062" s="76"/>
      <c r="CD2062" s="76"/>
      <c r="CE2062" s="76"/>
      <c r="CF2062" s="76">
        <f>+CE2062*28000</f>
        <v>0</v>
      </c>
      <c r="CG2062" s="76"/>
      <c r="CH2062" s="76">
        <f>+CG2062*22500</f>
        <v>0</v>
      </c>
      <c r="CI2062" s="76"/>
      <c r="CJ2062" s="76">
        <f>+CI2062*26000</f>
        <v>0</v>
      </c>
      <c r="CK2062" s="76"/>
      <c r="CL2062" s="76"/>
      <c r="CM2062" s="76"/>
      <c r="CN2062" s="76">
        <f>+CM2062*22000</f>
        <v>0</v>
      </c>
      <c r="CO2062" s="76"/>
      <c r="CP2062" s="76">
        <f>+CO2062*46000</f>
        <v>0</v>
      </c>
      <c r="CQ2062" s="76"/>
      <c r="CR2062" s="76">
        <f>+CQ2062*49000</f>
        <v>0</v>
      </c>
      <c r="CS2062" s="76"/>
      <c r="CT2062" s="76"/>
      <c r="CU2062" s="56">
        <f>AN2062+AP2062+AR2062+AT2062+AV2062+AX2062+AZ2062+BB2062+BD2062+BF2062+BH2062+BJ2062+BL2062+BN2062+BP2062+BR2062+BT2062+BV2062+BX2062+BZ2062+CB2062+CD2062+CF2062+CH2062+CJ2062+CL2062+CN2062+CP2062+CR2062+CT2062</f>
        <v>0</v>
      </c>
      <c r="CV2062" s="76"/>
      <c r="CW2062" s="76">
        <f>+CV2062*1100</f>
        <v>0</v>
      </c>
      <c r="CX2062" s="76"/>
      <c r="CY2062" s="76">
        <f>+CX2062*106250</f>
        <v>0</v>
      </c>
      <c r="CZ2062" s="76"/>
      <c r="DA2062" s="76">
        <f>+CZ2062*34500</f>
        <v>0</v>
      </c>
      <c r="DB2062" s="76"/>
      <c r="DC2062" s="76">
        <f>+DB2062*25000</f>
        <v>0</v>
      </c>
      <c r="DD2062" s="219"/>
      <c r="DE2062" s="219"/>
      <c r="DF2062" s="166"/>
      <c r="DG2062" s="116"/>
      <c r="DH2062" s="117"/>
      <c r="DI2062" s="24"/>
      <c r="DJ2062" s="24"/>
      <c r="DK2062" s="24"/>
      <c r="DL2062" s="24"/>
      <c r="DM2062" s="24"/>
      <c r="DN2062" s="24"/>
      <c r="DO2062" s="24"/>
      <c r="DP2062" s="24"/>
      <c r="DQ2062" s="24"/>
      <c r="DR2062" s="24"/>
      <c r="DS2062" s="24"/>
      <c r="DT2062" s="24"/>
      <c r="DU2062" s="24"/>
    </row>
    <row r="2063" spans="1:125" s="8" customFormat="1" ht="48" x14ac:dyDescent="0.2">
      <c r="A2063" s="77">
        <v>41430</v>
      </c>
      <c r="B2063" s="78" t="s">
        <v>2906</v>
      </c>
      <c r="C2063" s="75" t="s">
        <v>2741</v>
      </c>
      <c r="D2063" s="75" t="s">
        <v>2859</v>
      </c>
      <c r="E2063" s="75" t="str">
        <f>VLOOKUP(B2063&amp;C2063,Divipola!$C$2:$F$1138,4,FALSE)</f>
        <v>47245</v>
      </c>
      <c r="F2063" s="87"/>
      <c r="G2063" s="87"/>
      <c r="H2063" s="87"/>
      <c r="I2063" s="87">
        <v>15</v>
      </c>
      <c r="J2063" s="87">
        <v>3</v>
      </c>
      <c r="K2063" s="87">
        <v>3</v>
      </c>
      <c r="L2063" s="87"/>
      <c r="M2063" s="87"/>
      <c r="N2063" s="87"/>
      <c r="O2063" s="87"/>
      <c r="P2063" s="87"/>
      <c r="Q2063" s="87"/>
      <c r="R2063" s="87"/>
      <c r="S2063" s="87"/>
      <c r="T2063" s="87"/>
      <c r="U2063" s="88"/>
      <c r="V2063" s="89"/>
      <c r="W2063" s="96">
        <v>0</v>
      </c>
      <c r="X2063" s="71">
        <f>CU2063</f>
        <v>0</v>
      </c>
      <c r="Y2063" s="71">
        <f>CY2063</f>
        <v>0</v>
      </c>
      <c r="Z2063" s="71">
        <f>DA2063+DC2063+DE2063</f>
        <v>0</v>
      </c>
      <c r="AA2063" s="71">
        <f>CW2063</f>
        <v>0</v>
      </c>
      <c r="AB2063" s="71"/>
      <c r="AC2063" s="71">
        <v>0</v>
      </c>
      <c r="AD2063" s="71">
        <f>W2063+X2063+Y2063+Z2063+AA2063+AB2063+AC2063</f>
        <v>0</v>
      </c>
      <c r="AE2063" s="72">
        <v>0</v>
      </c>
      <c r="AF2063" s="5"/>
      <c r="AG2063" s="6"/>
      <c r="AH2063" s="27" t="s">
        <v>3392</v>
      </c>
      <c r="AI2063" s="44" t="s">
        <v>3393</v>
      </c>
      <c r="AJ2063" s="26"/>
      <c r="AK2063" s="5"/>
      <c r="AL2063" s="82" t="s">
        <v>4876</v>
      </c>
      <c r="AM2063" s="76"/>
      <c r="AN2063" s="76"/>
      <c r="AO2063" s="76"/>
      <c r="AP2063" s="76"/>
      <c r="AQ2063" s="76"/>
      <c r="AR2063" s="76"/>
      <c r="AS2063" s="76"/>
      <c r="AT2063" s="76"/>
      <c r="AU2063" s="76"/>
      <c r="AV2063" s="76"/>
      <c r="AW2063" s="76"/>
      <c r="AX2063" s="76">
        <f>+AW2063*600000</f>
        <v>0</v>
      </c>
      <c r="AY2063" s="76"/>
      <c r="AZ2063" s="76">
        <f>+AY2063*70000</f>
        <v>0</v>
      </c>
      <c r="BA2063" s="76"/>
      <c r="BB2063" s="76"/>
      <c r="BC2063" s="76"/>
      <c r="BD2063" s="76">
        <f>+BC2063*30000</f>
        <v>0</v>
      </c>
      <c r="BE2063" s="76"/>
      <c r="BF2063" s="76"/>
      <c r="BG2063" s="76"/>
      <c r="BH2063" s="76"/>
      <c r="BI2063" s="76"/>
      <c r="BJ2063" s="76"/>
      <c r="BK2063" s="76"/>
      <c r="BL2063" s="76">
        <f>+BK2063*31500</f>
        <v>0</v>
      </c>
      <c r="BM2063" s="76"/>
      <c r="BN2063" s="76"/>
      <c r="BO2063" s="76"/>
      <c r="BP2063" s="76"/>
      <c r="BQ2063" s="76"/>
      <c r="BR2063" s="76"/>
      <c r="BS2063" s="76"/>
      <c r="BT2063" s="76"/>
      <c r="BU2063" s="76"/>
      <c r="BV2063" s="76"/>
      <c r="BW2063" s="76"/>
      <c r="BX2063" s="76"/>
      <c r="BY2063" s="76"/>
      <c r="BZ2063" s="76"/>
      <c r="CA2063" s="76"/>
      <c r="CB2063" s="76"/>
      <c r="CC2063" s="76"/>
      <c r="CD2063" s="76"/>
      <c r="CE2063" s="76"/>
      <c r="CF2063" s="76">
        <f>+CE2063*28000</f>
        <v>0</v>
      </c>
      <c r="CG2063" s="76"/>
      <c r="CH2063" s="76">
        <f>+CG2063*22500</f>
        <v>0</v>
      </c>
      <c r="CI2063" s="76"/>
      <c r="CJ2063" s="76">
        <f>+CI2063*26000</f>
        <v>0</v>
      </c>
      <c r="CK2063" s="76"/>
      <c r="CL2063" s="76"/>
      <c r="CM2063" s="76"/>
      <c r="CN2063" s="76">
        <f>+CM2063*22000</f>
        <v>0</v>
      </c>
      <c r="CO2063" s="76"/>
      <c r="CP2063" s="76">
        <f>+CO2063*46000</f>
        <v>0</v>
      </c>
      <c r="CQ2063" s="76"/>
      <c r="CR2063" s="76">
        <f>+CQ2063*49000</f>
        <v>0</v>
      </c>
      <c r="CS2063" s="76"/>
      <c r="CT2063" s="76"/>
      <c r="CU2063" s="56">
        <f>AN2063+AP2063+AR2063+AT2063+AV2063+AX2063+AZ2063+BB2063+BD2063+BF2063+BH2063+BJ2063+BL2063+BN2063+BP2063+BR2063+BT2063+BV2063+BX2063+BZ2063+CB2063+CD2063+CF2063+CH2063+CJ2063+CL2063+CN2063+CP2063+CR2063+CT2063</f>
        <v>0</v>
      </c>
      <c r="CV2063" s="76"/>
      <c r="CW2063" s="76">
        <f>+CV2063*1100</f>
        <v>0</v>
      </c>
      <c r="CX2063" s="76"/>
      <c r="CY2063" s="76">
        <f>+CX2063*106250</f>
        <v>0</v>
      </c>
      <c r="CZ2063" s="76"/>
      <c r="DA2063" s="76">
        <f>+CZ2063*34500</f>
        <v>0</v>
      </c>
      <c r="DB2063" s="76"/>
      <c r="DC2063" s="76">
        <f>+DB2063*25000</f>
        <v>0</v>
      </c>
      <c r="DD2063" s="219"/>
      <c r="DE2063" s="219"/>
      <c r="DF2063" s="166"/>
      <c r="DG2063" s="116"/>
      <c r="DH2063" s="117"/>
      <c r="DI2063" s="24"/>
      <c r="DJ2063" s="24"/>
      <c r="DK2063" s="24"/>
      <c r="DL2063" s="24"/>
      <c r="DM2063" s="24"/>
      <c r="DN2063" s="24"/>
      <c r="DO2063" s="24"/>
      <c r="DP2063" s="24"/>
      <c r="DQ2063" s="24"/>
      <c r="DR2063" s="24"/>
      <c r="DS2063" s="24"/>
      <c r="DT2063" s="24"/>
      <c r="DU2063" s="24"/>
    </row>
    <row r="2064" spans="1:125" s="8" customFormat="1" ht="132" x14ac:dyDescent="0.2">
      <c r="A2064" s="353">
        <v>41430</v>
      </c>
      <c r="B2064" s="352" t="s">
        <v>2847</v>
      </c>
      <c r="C2064" s="354" t="s">
        <v>479</v>
      </c>
      <c r="D2064" s="354" t="s">
        <v>3027</v>
      </c>
      <c r="E2064" s="75" t="str">
        <f>VLOOKUP(B2064&amp;C2064,Divipola!$C$2:$F$1138,4,FALSE)</f>
        <v>68547</v>
      </c>
      <c r="F2064" s="87"/>
      <c r="G2064" s="87"/>
      <c r="H2064" s="87"/>
      <c r="I2064" s="87"/>
      <c r="J2064" s="87"/>
      <c r="K2064" s="87"/>
      <c r="L2064" s="87"/>
      <c r="M2064" s="87"/>
      <c r="N2064" s="87"/>
      <c r="O2064" s="87"/>
      <c r="P2064" s="87"/>
      <c r="Q2064" s="87"/>
      <c r="R2064" s="87"/>
      <c r="S2064" s="87"/>
      <c r="T2064" s="87"/>
      <c r="U2064" s="88"/>
      <c r="V2064" s="89"/>
      <c r="W2064" s="96">
        <v>0</v>
      </c>
      <c r="X2064" s="71">
        <f>CU2064</f>
        <v>0</v>
      </c>
      <c r="Y2064" s="71">
        <f>CY2064</f>
        <v>0</v>
      </c>
      <c r="Z2064" s="71">
        <f>DA2064+DC2064+DE2064</f>
        <v>0</v>
      </c>
      <c r="AA2064" s="71">
        <f>CW2064</f>
        <v>0</v>
      </c>
      <c r="AB2064" s="71"/>
      <c r="AC2064" s="71">
        <v>0</v>
      </c>
      <c r="AD2064" s="71">
        <f>W2064+X2064+Y2064+Z2064+AA2064+AB2064+AC2064</f>
        <v>0</v>
      </c>
      <c r="AE2064" s="72">
        <v>0</v>
      </c>
      <c r="AF2064" s="5"/>
      <c r="AG2064" s="6"/>
      <c r="AH2064" s="27" t="s">
        <v>3392</v>
      </c>
      <c r="AI2064" s="44" t="s">
        <v>3393</v>
      </c>
      <c r="AJ2064" s="26"/>
      <c r="AK2064" s="5"/>
      <c r="AL2064" s="82" t="s">
        <v>4873</v>
      </c>
      <c r="AM2064" s="76"/>
      <c r="AN2064" s="76"/>
      <c r="AO2064" s="76"/>
      <c r="AP2064" s="76"/>
      <c r="AQ2064" s="76"/>
      <c r="AR2064" s="76"/>
      <c r="AS2064" s="76"/>
      <c r="AT2064" s="76"/>
      <c r="AU2064" s="76"/>
      <c r="AV2064" s="76"/>
      <c r="AW2064" s="76"/>
      <c r="AX2064" s="76">
        <f>+AW2064*600000</f>
        <v>0</v>
      </c>
      <c r="AY2064" s="76"/>
      <c r="AZ2064" s="76">
        <f>+AY2064*70000</f>
        <v>0</v>
      </c>
      <c r="BA2064" s="76"/>
      <c r="BB2064" s="76"/>
      <c r="BC2064" s="76"/>
      <c r="BD2064" s="76">
        <f>+BC2064*30000</f>
        <v>0</v>
      </c>
      <c r="BE2064" s="76"/>
      <c r="BF2064" s="76"/>
      <c r="BG2064" s="76"/>
      <c r="BH2064" s="76"/>
      <c r="BI2064" s="76"/>
      <c r="BJ2064" s="76"/>
      <c r="BK2064" s="76"/>
      <c r="BL2064" s="76">
        <f>+BK2064*31500</f>
        <v>0</v>
      </c>
      <c r="BM2064" s="76"/>
      <c r="BN2064" s="76"/>
      <c r="BO2064" s="76"/>
      <c r="BP2064" s="76"/>
      <c r="BQ2064" s="76"/>
      <c r="BR2064" s="76"/>
      <c r="BS2064" s="76"/>
      <c r="BT2064" s="76"/>
      <c r="BU2064" s="76"/>
      <c r="BV2064" s="76"/>
      <c r="BW2064" s="76"/>
      <c r="BX2064" s="76"/>
      <c r="BY2064" s="76"/>
      <c r="BZ2064" s="76"/>
      <c r="CA2064" s="76"/>
      <c r="CB2064" s="76"/>
      <c r="CC2064" s="76"/>
      <c r="CD2064" s="76"/>
      <c r="CE2064" s="76"/>
      <c r="CF2064" s="76">
        <f>+CE2064*28000</f>
        <v>0</v>
      </c>
      <c r="CG2064" s="76"/>
      <c r="CH2064" s="76">
        <f>+CG2064*22500</f>
        <v>0</v>
      </c>
      <c r="CI2064" s="76"/>
      <c r="CJ2064" s="76">
        <f>+CI2064*26000</f>
        <v>0</v>
      </c>
      <c r="CK2064" s="76"/>
      <c r="CL2064" s="76"/>
      <c r="CM2064" s="76"/>
      <c r="CN2064" s="76">
        <f>+CM2064*22000</f>
        <v>0</v>
      </c>
      <c r="CO2064" s="76"/>
      <c r="CP2064" s="76">
        <f>+CO2064*46000</f>
        <v>0</v>
      </c>
      <c r="CQ2064" s="76"/>
      <c r="CR2064" s="76">
        <f>+CQ2064*49000</f>
        <v>0</v>
      </c>
      <c r="CS2064" s="76"/>
      <c r="CT2064" s="76"/>
      <c r="CU2064" s="56">
        <f>AN2064+AP2064+AR2064+AT2064+AV2064+AX2064+AZ2064+BB2064+BD2064+BF2064+BH2064+BJ2064+BL2064+BN2064+BP2064+BR2064+BT2064+BV2064+BX2064+BZ2064+CB2064+CD2064+CF2064+CH2064+CJ2064+CL2064+CN2064+CP2064+CR2064+CT2064</f>
        <v>0</v>
      </c>
      <c r="CV2064" s="76"/>
      <c r="CW2064" s="76">
        <f>+CV2064*1100</f>
        <v>0</v>
      </c>
      <c r="CX2064" s="76"/>
      <c r="CY2064" s="76">
        <f>+CX2064*106250</f>
        <v>0</v>
      </c>
      <c r="CZ2064" s="76"/>
      <c r="DA2064" s="76">
        <f>+CZ2064*34500</f>
        <v>0</v>
      </c>
      <c r="DB2064" s="76"/>
      <c r="DC2064" s="76">
        <f>+DB2064*25000</f>
        <v>0</v>
      </c>
      <c r="DD2064" s="219"/>
      <c r="DE2064" s="219"/>
      <c r="DF2064" s="166"/>
      <c r="DG2064" s="116"/>
      <c r="DH2064" s="117"/>
      <c r="DI2064" s="24"/>
      <c r="DJ2064" s="24"/>
      <c r="DK2064" s="24"/>
      <c r="DL2064" s="24"/>
      <c r="DM2064" s="24"/>
      <c r="DN2064" s="24"/>
      <c r="DO2064" s="24"/>
      <c r="DP2064" s="24"/>
      <c r="DQ2064" s="24"/>
      <c r="DR2064" s="24"/>
      <c r="DS2064" s="24"/>
      <c r="DT2064" s="24"/>
      <c r="DU2064" s="24"/>
    </row>
    <row r="2065" spans="1:125" s="8" customFormat="1" ht="72" x14ac:dyDescent="0.2">
      <c r="A2065" s="353">
        <v>41430</v>
      </c>
      <c r="B2065" s="352" t="s">
        <v>1326</v>
      </c>
      <c r="C2065" s="354" t="s">
        <v>1326</v>
      </c>
      <c r="D2065" s="354" t="s">
        <v>3051</v>
      </c>
      <c r="E2065" s="75" t="str">
        <f>VLOOKUP(B2065&amp;C2065,Divipola!$C$2:$F$1138,4,FALSE)</f>
        <v>70771</v>
      </c>
      <c r="F2065" s="87"/>
      <c r="G2065" s="87"/>
      <c r="H2065" s="87"/>
      <c r="I2065" s="87">
        <v>1418</v>
      </c>
      <c r="J2065" s="87">
        <v>385</v>
      </c>
      <c r="K2065" s="87"/>
      <c r="L2065" s="87">
        <v>385</v>
      </c>
      <c r="M2065" s="87"/>
      <c r="N2065" s="87"/>
      <c r="O2065" s="87"/>
      <c r="P2065" s="87"/>
      <c r="Q2065" s="87"/>
      <c r="R2065" s="87"/>
      <c r="S2065" s="87"/>
      <c r="T2065" s="87"/>
      <c r="U2065" s="88"/>
      <c r="V2065" s="89"/>
      <c r="W2065" s="96">
        <v>0</v>
      </c>
      <c r="X2065" s="71">
        <f>CU2065</f>
        <v>0</v>
      </c>
      <c r="Y2065" s="71">
        <f>CY2065</f>
        <v>0</v>
      </c>
      <c r="Z2065" s="71">
        <f>DA2065+DC2065+DE2065</f>
        <v>0</v>
      </c>
      <c r="AA2065" s="71">
        <f>CW2065</f>
        <v>0</v>
      </c>
      <c r="AB2065" s="71"/>
      <c r="AC2065" s="71">
        <v>0</v>
      </c>
      <c r="AD2065" s="71">
        <f>W2065+X2065+Y2065+Z2065+AA2065+AB2065+AC2065</f>
        <v>0</v>
      </c>
      <c r="AE2065" s="72">
        <v>0</v>
      </c>
      <c r="AF2065" s="5"/>
      <c r="AG2065" s="6"/>
      <c r="AH2065" s="27" t="s">
        <v>3392</v>
      </c>
      <c r="AI2065" s="44" t="s">
        <v>3393</v>
      </c>
      <c r="AJ2065" s="26"/>
      <c r="AK2065" s="5"/>
      <c r="AL2065" s="82" t="s">
        <v>4901</v>
      </c>
      <c r="AM2065" s="76"/>
      <c r="AN2065" s="76"/>
      <c r="AO2065" s="76"/>
      <c r="AP2065" s="76"/>
      <c r="AQ2065" s="76"/>
      <c r="AR2065" s="76"/>
      <c r="AS2065" s="76"/>
      <c r="AT2065" s="76"/>
      <c r="AU2065" s="76"/>
      <c r="AV2065" s="76"/>
      <c r="AW2065" s="76"/>
      <c r="AX2065" s="76">
        <f>+AW2065*600000</f>
        <v>0</v>
      </c>
      <c r="AY2065" s="76"/>
      <c r="AZ2065" s="76">
        <f>+AY2065*70000</f>
        <v>0</v>
      </c>
      <c r="BA2065" s="76"/>
      <c r="BB2065" s="76"/>
      <c r="BC2065" s="76"/>
      <c r="BD2065" s="76">
        <f>+BC2065*30000</f>
        <v>0</v>
      </c>
      <c r="BE2065" s="76"/>
      <c r="BF2065" s="76"/>
      <c r="BG2065" s="76"/>
      <c r="BH2065" s="76"/>
      <c r="BI2065" s="76"/>
      <c r="BJ2065" s="76"/>
      <c r="BK2065" s="76"/>
      <c r="BL2065" s="76">
        <f>+BK2065*31500</f>
        <v>0</v>
      </c>
      <c r="BM2065" s="76"/>
      <c r="BN2065" s="76"/>
      <c r="BO2065" s="76"/>
      <c r="BP2065" s="76"/>
      <c r="BQ2065" s="76"/>
      <c r="BR2065" s="76"/>
      <c r="BS2065" s="76"/>
      <c r="BT2065" s="76"/>
      <c r="BU2065" s="76"/>
      <c r="BV2065" s="76"/>
      <c r="BW2065" s="76"/>
      <c r="BX2065" s="76"/>
      <c r="BY2065" s="76"/>
      <c r="BZ2065" s="76"/>
      <c r="CA2065" s="76"/>
      <c r="CB2065" s="76"/>
      <c r="CC2065" s="76"/>
      <c r="CD2065" s="76"/>
      <c r="CE2065" s="76"/>
      <c r="CF2065" s="76">
        <f>+CE2065*28000</f>
        <v>0</v>
      </c>
      <c r="CG2065" s="76"/>
      <c r="CH2065" s="76">
        <f>+CG2065*22500</f>
        <v>0</v>
      </c>
      <c r="CI2065" s="76"/>
      <c r="CJ2065" s="76">
        <f>+CI2065*26000</f>
        <v>0</v>
      </c>
      <c r="CK2065" s="76"/>
      <c r="CL2065" s="76"/>
      <c r="CM2065" s="76"/>
      <c r="CN2065" s="76">
        <f>+CM2065*22000</f>
        <v>0</v>
      </c>
      <c r="CO2065" s="76"/>
      <c r="CP2065" s="76">
        <f>+CO2065*46000</f>
        <v>0</v>
      </c>
      <c r="CQ2065" s="76"/>
      <c r="CR2065" s="76">
        <f>+CQ2065*49000</f>
        <v>0</v>
      </c>
      <c r="CS2065" s="76"/>
      <c r="CT2065" s="76"/>
      <c r="CU2065" s="56">
        <f>AN2065+AP2065+AR2065+AT2065+AV2065+AX2065+AZ2065+BB2065+BD2065+BF2065+BH2065+BJ2065+BL2065+BN2065+BP2065+BR2065+BT2065+BV2065+BX2065+BZ2065+CB2065+CD2065+CF2065+CH2065+CJ2065+CL2065+CN2065+CP2065+CR2065+CT2065</f>
        <v>0</v>
      </c>
      <c r="CV2065" s="76"/>
      <c r="CW2065" s="76">
        <f>+CV2065*1100</f>
        <v>0</v>
      </c>
      <c r="CX2065" s="76"/>
      <c r="CY2065" s="76">
        <f>+CX2065*106250</f>
        <v>0</v>
      </c>
      <c r="CZ2065" s="76"/>
      <c r="DA2065" s="76">
        <f>+CZ2065*34500</f>
        <v>0</v>
      </c>
      <c r="DB2065" s="76"/>
      <c r="DC2065" s="76">
        <f>+DB2065*25000</f>
        <v>0</v>
      </c>
      <c r="DD2065" s="219"/>
      <c r="DE2065" s="219"/>
      <c r="DF2065" s="166"/>
      <c r="DG2065" s="116"/>
      <c r="DH2065" s="117"/>
      <c r="DI2065" s="24"/>
      <c r="DJ2065" s="24"/>
      <c r="DK2065" s="24"/>
      <c r="DL2065" s="24"/>
      <c r="DM2065" s="24"/>
      <c r="DN2065" s="24"/>
      <c r="DO2065" s="24"/>
      <c r="DP2065" s="24"/>
      <c r="DQ2065" s="24"/>
      <c r="DR2065" s="24"/>
      <c r="DS2065" s="24"/>
      <c r="DT2065" s="24"/>
      <c r="DU2065" s="24"/>
    </row>
    <row r="2066" spans="1:125" s="8" customFormat="1" ht="48" x14ac:dyDescent="0.2">
      <c r="A2066" s="77">
        <v>41430</v>
      </c>
      <c r="B2066" s="78" t="s">
        <v>2848</v>
      </c>
      <c r="C2066" s="75" t="s">
        <v>2214</v>
      </c>
      <c r="D2066" s="75" t="s">
        <v>3051</v>
      </c>
      <c r="E2066" s="75" t="str">
        <f>VLOOKUP(B2066&amp;C2066,Divipola!$C$2:$F$1138,4,FALSE)</f>
        <v>73283</v>
      </c>
      <c r="F2066" s="163"/>
      <c r="G2066" s="163"/>
      <c r="H2066" s="163"/>
      <c r="I2066" s="163"/>
      <c r="J2066" s="163"/>
      <c r="K2066" s="163"/>
      <c r="L2066" s="163"/>
      <c r="M2066" s="163"/>
      <c r="N2066" s="163"/>
      <c r="O2066" s="163"/>
      <c r="P2066" s="163"/>
      <c r="Q2066" s="163"/>
      <c r="R2066" s="163"/>
      <c r="S2066" s="163"/>
      <c r="T2066" s="163"/>
      <c r="U2066" s="163"/>
      <c r="V2066" s="134"/>
      <c r="W2066" s="96">
        <v>0</v>
      </c>
      <c r="X2066" s="71">
        <f>CU2066</f>
        <v>0</v>
      </c>
      <c r="Y2066" s="71">
        <f>CY2066</f>
        <v>0</v>
      </c>
      <c r="Z2066" s="71">
        <f>DA2066+DC2066+DE2066</f>
        <v>0</v>
      </c>
      <c r="AA2066" s="71">
        <f>CW2066</f>
        <v>0</v>
      </c>
      <c r="AB2066" s="71"/>
      <c r="AC2066" s="71">
        <v>30000000</v>
      </c>
      <c r="AD2066" s="71">
        <f>W2066+X2066+Y2066+Z2066+AA2066+AB2066+AC2066</f>
        <v>30000000</v>
      </c>
      <c r="AE2066" s="72">
        <v>0</v>
      </c>
      <c r="AF2066" s="5"/>
      <c r="AG2066" s="6"/>
      <c r="AH2066" s="27" t="s">
        <v>3390</v>
      </c>
      <c r="AI2066" s="44" t="s">
        <v>3391</v>
      </c>
      <c r="AJ2066" s="26"/>
      <c r="AK2066" s="5"/>
      <c r="AL2066" s="82" t="s">
        <v>4869</v>
      </c>
      <c r="AM2066" s="76"/>
      <c r="AN2066" s="76"/>
      <c r="AO2066" s="76"/>
      <c r="AP2066" s="76"/>
      <c r="AQ2066" s="76"/>
      <c r="AR2066" s="76"/>
      <c r="AS2066" s="76"/>
      <c r="AT2066" s="76"/>
      <c r="AU2066" s="76"/>
      <c r="AV2066" s="76"/>
      <c r="AW2066" s="76"/>
      <c r="AX2066" s="76">
        <f>+AW2066*600000</f>
        <v>0</v>
      </c>
      <c r="AY2066" s="76"/>
      <c r="AZ2066" s="76">
        <f>+AY2066*70000</f>
        <v>0</v>
      </c>
      <c r="BA2066" s="76"/>
      <c r="BB2066" s="76"/>
      <c r="BC2066" s="76"/>
      <c r="BD2066" s="76">
        <f>+BC2066*30000</f>
        <v>0</v>
      </c>
      <c r="BE2066" s="76"/>
      <c r="BF2066" s="76"/>
      <c r="BG2066" s="76"/>
      <c r="BH2066" s="76"/>
      <c r="BI2066" s="76"/>
      <c r="BJ2066" s="76"/>
      <c r="BK2066" s="76"/>
      <c r="BL2066" s="76">
        <f>+BK2066*31500</f>
        <v>0</v>
      </c>
      <c r="BM2066" s="76"/>
      <c r="BN2066" s="76"/>
      <c r="BO2066" s="76"/>
      <c r="BP2066" s="76"/>
      <c r="BQ2066" s="76"/>
      <c r="BR2066" s="76"/>
      <c r="BS2066" s="76"/>
      <c r="BT2066" s="76"/>
      <c r="BU2066" s="76"/>
      <c r="BV2066" s="76"/>
      <c r="BW2066" s="76"/>
      <c r="BX2066" s="76"/>
      <c r="BY2066" s="76"/>
      <c r="BZ2066" s="76"/>
      <c r="CA2066" s="76"/>
      <c r="CB2066" s="76"/>
      <c r="CC2066" s="76"/>
      <c r="CD2066" s="76"/>
      <c r="CE2066" s="76"/>
      <c r="CF2066" s="76">
        <f>+CE2066*28000</f>
        <v>0</v>
      </c>
      <c r="CG2066" s="76"/>
      <c r="CH2066" s="76">
        <f>+CG2066*22500</f>
        <v>0</v>
      </c>
      <c r="CI2066" s="76"/>
      <c r="CJ2066" s="76">
        <f>+CI2066*26000</f>
        <v>0</v>
      </c>
      <c r="CK2066" s="76"/>
      <c r="CL2066" s="76"/>
      <c r="CM2066" s="76"/>
      <c r="CN2066" s="76">
        <f>+CM2066*22000</f>
        <v>0</v>
      </c>
      <c r="CO2066" s="76"/>
      <c r="CP2066" s="76">
        <f>+CO2066*46000</f>
        <v>0</v>
      </c>
      <c r="CQ2066" s="76"/>
      <c r="CR2066" s="76">
        <f>+CQ2066*49000</f>
        <v>0</v>
      </c>
      <c r="CS2066" s="76"/>
      <c r="CT2066" s="76"/>
      <c r="CU2066" s="56">
        <f>AN2066+AP2066+AR2066+AT2066+AV2066+AX2066+AZ2066+BB2066+BD2066+BF2066+BH2066+BJ2066+BL2066+BN2066+BP2066+BR2066+BT2066+BV2066+BX2066+BZ2066+CB2066+CD2066+CF2066+CH2066+CJ2066+CL2066+CN2066+CP2066+CR2066+CT2066</f>
        <v>0</v>
      </c>
      <c r="CV2066" s="76"/>
      <c r="CW2066" s="76">
        <f>+CV2066*1100</f>
        <v>0</v>
      </c>
      <c r="CX2066" s="76"/>
      <c r="CY2066" s="76">
        <f>+CX2066*106250</f>
        <v>0</v>
      </c>
      <c r="CZ2066" s="76"/>
      <c r="DA2066" s="76">
        <f>+CZ2066*34500</f>
        <v>0</v>
      </c>
      <c r="DB2066" s="76"/>
      <c r="DC2066" s="76">
        <f>+DB2066*25000</f>
        <v>0</v>
      </c>
      <c r="DD2066" s="219"/>
      <c r="DE2066" s="219"/>
      <c r="DF2066" s="166"/>
      <c r="DG2066" s="116"/>
      <c r="DH2066" s="117"/>
      <c r="DI2066" s="24"/>
      <c r="DJ2066" s="24"/>
      <c r="DK2066" s="24"/>
      <c r="DL2066" s="24"/>
      <c r="DM2066" s="24"/>
      <c r="DN2066" s="24"/>
      <c r="DO2066" s="24"/>
      <c r="DP2066" s="24"/>
      <c r="DQ2066" s="24"/>
      <c r="DR2066" s="24"/>
      <c r="DS2066" s="24"/>
      <c r="DT2066" s="24"/>
      <c r="DU2066" s="24"/>
    </row>
    <row r="2067" spans="1:125" s="8" customFormat="1" ht="48" x14ac:dyDescent="0.2">
      <c r="A2067" s="77">
        <v>41431</v>
      </c>
      <c r="B2067" s="225" t="s">
        <v>2894</v>
      </c>
      <c r="C2067" s="227" t="s">
        <v>2166</v>
      </c>
      <c r="D2067" s="354" t="s">
        <v>2142</v>
      </c>
      <c r="E2067" s="75" t="str">
        <f>VLOOKUP(B2067&amp;C2067,Divipola!$C$2:$F$1138,4,FALSE)</f>
        <v>05756</v>
      </c>
      <c r="F2067" s="87">
        <v>1</v>
      </c>
      <c r="G2067" s="87">
        <v>3</v>
      </c>
      <c r="H2067" s="87"/>
      <c r="I2067" s="87">
        <v>4</v>
      </c>
      <c r="J2067" s="87"/>
      <c r="K2067" s="87"/>
      <c r="L2067" s="87"/>
      <c r="M2067" s="87"/>
      <c r="N2067" s="87"/>
      <c r="O2067" s="87"/>
      <c r="P2067" s="87"/>
      <c r="Q2067" s="87"/>
      <c r="R2067" s="87"/>
      <c r="S2067" s="87"/>
      <c r="T2067" s="87"/>
      <c r="U2067" s="88"/>
      <c r="V2067" s="89"/>
      <c r="W2067" s="96">
        <v>0</v>
      </c>
      <c r="X2067" s="71">
        <f>CU2067</f>
        <v>0</v>
      </c>
      <c r="Y2067" s="71">
        <f>CY2067</f>
        <v>0</v>
      </c>
      <c r="Z2067" s="71">
        <f>DA2067+DC2067+DE2067</f>
        <v>0</v>
      </c>
      <c r="AA2067" s="71">
        <f>CW2067</f>
        <v>0</v>
      </c>
      <c r="AB2067" s="71"/>
      <c r="AC2067" s="71">
        <v>0</v>
      </c>
      <c r="AD2067" s="71">
        <f>W2067+X2067+Y2067+Z2067+AA2067+AB2067+AC2067</f>
        <v>0</v>
      </c>
      <c r="AE2067" s="72">
        <v>0</v>
      </c>
      <c r="AF2067" s="5"/>
      <c r="AG2067" s="6"/>
      <c r="AH2067" s="27" t="s">
        <v>3392</v>
      </c>
      <c r="AI2067" s="44" t="s">
        <v>3393</v>
      </c>
      <c r="AJ2067" s="26"/>
      <c r="AK2067" s="5"/>
      <c r="AL2067" s="82" t="s">
        <v>4883</v>
      </c>
      <c r="AM2067" s="76"/>
      <c r="AN2067" s="76"/>
      <c r="AO2067" s="76"/>
      <c r="AP2067" s="76"/>
      <c r="AQ2067" s="76"/>
      <c r="AR2067" s="76"/>
      <c r="AS2067" s="76"/>
      <c r="AT2067" s="76"/>
      <c r="AU2067" s="76"/>
      <c r="AV2067" s="76"/>
      <c r="AW2067" s="76"/>
      <c r="AX2067" s="76">
        <f>+AW2067*600000</f>
        <v>0</v>
      </c>
      <c r="AY2067" s="76"/>
      <c r="AZ2067" s="76">
        <f>+AY2067*70000</f>
        <v>0</v>
      </c>
      <c r="BA2067" s="76"/>
      <c r="BB2067" s="76"/>
      <c r="BC2067" s="76"/>
      <c r="BD2067" s="76">
        <f>+BC2067*30000</f>
        <v>0</v>
      </c>
      <c r="BE2067" s="76"/>
      <c r="BF2067" s="76"/>
      <c r="BG2067" s="76"/>
      <c r="BH2067" s="76"/>
      <c r="BI2067" s="76"/>
      <c r="BJ2067" s="76"/>
      <c r="BK2067" s="76"/>
      <c r="BL2067" s="76">
        <f>+BK2067*31500</f>
        <v>0</v>
      </c>
      <c r="BM2067" s="76"/>
      <c r="BN2067" s="76"/>
      <c r="BO2067" s="76"/>
      <c r="BP2067" s="76"/>
      <c r="BQ2067" s="76"/>
      <c r="BR2067" s="76"/>
      <c r="BS2067" s="76"/>
      <c r="BT2067" s="76"/>
      <c r="BU2067" s="76"/>
      <c r="BV2067" s="76"/>
      <c r="BW2067" s="76"/>
      <c r="BX2067" s="76"/>
      <c r="BY2067" s="76"/>
      <c r="BZ2067" s="76"/>
      <c r="CA2067" s="76"/>
      <c r="CB2067" s="76"/>
      <c r="CC2067" s="76"/>
      <c r="CD2067" s="76"/>
      <c r="CE2067" s="76"/>
      <c r="CF2067" s="76">
        <f>+CE2067*28000</f>
        <v>0</v>
      </c>
      <c r="CG2067" s="76"/>
      <c r="CH2067" s="76">
        <f>+CG2067*22500</f>
        <v>0</v>
      </c>
      <c r="CI2067" s="76"/>
      <c r="CJ2067" s="76">
        <f>+CI2067*26000</f>
        <v>0</v>
      </c>
      <c r="CK2067" s="76"/>
      <c r="CL2067" s="76"/>
      <c r="CM2067" s="76"/>
      <c r="CN2067" s="76">
        <f>+CM2067*22000</f>
        <v>0</v>
      </c>
      <c r="CO2067" s="76"/>
      <c r="CP2067" s="76">
        <f>+CO2067*46000</f>
        <v>0</v>
      </c>
      <c r="CQ2067" s="76"/>
      <c r="CR2067" s="76">
        <f>+CQ2067*49000</f>
        <v>0</v>
      </c>
      <c r="CS2067" s="76"/>
      <c r="CT2067" s="76"/>
      <c r="CU2067" s="56">
        <f>AN2067+AP2067+AR2067+AT2067+AV2067+AX2067+AZ2067+BB2067+BD2067+BF2067+BH2067+BJ2067+BL2067+BN2067+BP2067+BR2067+BT2067+BV2067+BX2067+BZ2067+CB2067+CD2067+CF2067+CH2067+CJ2067+CL2067+CN2067+CP2067+CR2067+CT2067</f>
        <v>0</v>
      </c>
      <c r="CV2067" s="76"/>
      <c r="CW2067" s="76">
        <f>+CV2067*1100</f>
        <v>0</v>
      </c>
      <c r="CX2067" s="76"/>
      <c r="CY2067" s="76">
        <f>+CX2067*106250</f>
        <v>0</v>
      </c>
      <c r="CZ2067" s="76"/>
      <c r="DA2067" s="76">
        <f>+CZ2067*34500</f>
        <v>0</v>
      </c>
      <c r="DB2067" s="76"/>
      <c r="DC2067" s="76">
        <f>+DB2067*25000</f>
        <v>0</v>
      </c>
      <c r="DD2067" s="219"/>
      <c r="DE2067" s="219"/>
      <c r="DF2067" s="166"/>
      <c r="DG2067" s="116"/>
      <c r="DH2067" s="117"/>
      <c r="DI2067" s="24"/>
      <c r="DJ2067" s="24"/>
      <c r="DK2067" s="24"/>
      <c r="DL2067" s="24"/>
      <c r="DM2067" s="24"/>
      <c r="DN2067" s="24"/>
      <c r="DO2067" s="24"/>
      <c r="DP2067" s="24"/>
      <c r="DQ2067" s="24"/>
      <c r="DR2067" s="24"/>
      <c r="DS2067" s="24"/>
      <c r="DT2067" s="24"/>
      <c r="DU2067" s="24"/>
    </row>
    <row r="2068" spans="1:125" s="8" customFormat="1" ht="60" x14ac:dyDescent="0.2">
      <c r="A2068" s="77">
        <v>41431</v>
      </c>
      <c r="B2068" s="352" t="s">
        <v>2036</v>
      </c>
      <c r="C2068" s="354" t="s">
        <v>2036</v>
      </c>
      <c r="D2068" s="354" t="s">
        <v>2882</v>
      </c>
      <c r="E2068" s="75" t="str">
        <f>VLOOKUP(B2068&amp;C2068,Divipola!$C$2:$F$1138,4,FALSE)</f>
        <v>81001</v>
      </c>
      <c r="F2068" s="87"/>
      <c r="G2068" s="87"/>
      <c r="H2068" s="87"/>
      <c r="I2068" s="87">
        <v>5</v>
      </c>
      <c r="J2068" s="87">
        <v>1</v>
      </c>
      <c r="K2068" s="87"/>
      <c r="L2068" s="87">
        <v>1</v>
      </c>
      <c r="M2068" s="87"/>
      <c r="N2068" s="87"/>
      <c r="O2068" s="87"/>
      <c r="P2068" s="87"/>
      <c r="Q2068" s="87"/>
      <c r="R2068" s="87"/>
      <c r="S2068" s="87">
        <v>1</v>
      </c>
      <c r="T2068" s="87"/>
      <c r="U2068" s="88"/>
      <c r="V2068" s="89"/>
      <c r="W2068" s="96">
        <v>0</v>
      </c>
      <c r="X2068" s="71">
        <f>CU2068</f>
        <v>0</v>
      </c>
      <c r="Y2068" s="71">
        <f>CY2068</f>
        <v>0</v>
      </c>
      <c r="Z2068" s="71">
        <f>DA2068+DC2068+DE2068</f>
        <v>0</v>
      </c>
      <c r="AA2068" s="71">
        <f>CW2068</f>
        <v>0</v>
      </c>
      <c r="AB2068" s="71"/>
      <c r="AC2068" s="71">
        <v>0</v>
      </c>
      <c r="AD2068" s="71">
        <f>W2068+X2068+Y2068+Z2068+AA2068+AB2068+AC2068</f>
        <v>0</v>
      </c>
      <c r="AE2068" s="72">
        <v>0</v>
      </c>
      <c r="AF2068" s="5"/>
      <c r="AG2068" s="6"/>
      <c r="AH2068" s="27" t="s">
        <v>3392</v>
      </c>
      <c r="AI2068" s="44" t="s">
        <v>3393</v>
      </c>
      <c r="AJ2068" s="26"/>
      <c r="AK2068" s="5"/>
      <c r="AL2068" s="82" t="s">
        <v>4882</v>
      </c>
      <c r="AM2068" s="76"/>
      <c r="AN2068" s="76"/>
      <c r="AO2068" s="76"/>
      <c r="AP2068" s="76"/>
      <c r="AQ2068" s="76"/>
      <c r="AR2068" s="76"/>
      <c r="AS2068" s="76"/>
      <c r="AT2068" s="76"/>
      <c r="AU2068" s="76"/>
      <c r="AV2068" s="76"/>
      <c r="AW2068" s="76"/>
      <c r="AX2068" s="76">
        <f>+AW2068*600000</f>
        <v>0</v>
      </c>
      <c r="AY2068" s="76"/>
      <c r="AZ2068" s="76">
        <f>+AY2068*70000</f>
        <v>0</v>
      </c>
      <c r="BA2068" s="76"/>
      <c r="BB2068" s="76"/>
      <c r="BC2068" s="76"/>
      <c r="BD2068" s="76">
        <f>+BC2068*30000</f>
        <v>0</v>
      </c>
      <c r="BE2068" s="76"/>
      <c r="BF2068" s="76"/>
      <c r="BG2068" s="76"/>
      <c r="BH2068" s="76"/>
      <c r="BI2068" s="76"/>
      <c r="BJ2068" s="76"/>
      <c r="BK2068" s="76"/>
      <c r="BL2068" s="76">
        <f>+BK2068*31500</f>
        <v>0</v>
      </c>
      <c r="BM2068" s="76"/>
      <c r="BN2068" s="76"/>
      <c r="BO2068" s="76"/>
      <c r="BP2068" s="76"/>
      <c r="BQ2068" s="76"/>
      <c r="BR2068" s="76"/>
      <c r="BS2068" s="76"/>
      <c r="BT2068" s="76"/>
      <c r="BU2068" s="76"/>
      <c r="BV2068" s="76"/>
      <c r="BW2068" s="76"/>
      <c r="BX2068" s="76"/>
      <c r="BY2068" s="76"/>
      <c r="BZ2068" s="76"/>
      <c r="CA2068" s="76"/>
      <c r="CB2068" s="76"/>
      <c r="CC2068" s="76"/>
      <c r="CD2068" s="76"/>
      <c r="CE2068" s="76"/>
      <c r="CF2068" s="76">
        <f>+CE2068*28000</f>
        <v>0</v>
      </c>
      <c r="CG2068" s="76"/>
      <c r="CH2068" s="76">
        <f>+CG2068*22500</f>
        <v>0</v>
      </c>
      <c r="CI2068" s="76"/>
      <c r="CJ2068" s="76">
        <f>+CI2068*26000</f>
        <v>0</v>
      </c>
      <c r="CK2068" s="76"/>
      <c r="CL2068" s="76"/>
      <c r="CM2068" s="76"/>
      <c r="CN2068" s="76">
        <f>+CM2068*22000</f>
        <v>0</v>
      </c>
      <c r="CO2068" s="76"/>
      <c r="CP2068" s="76">
        <f>+CO2068*46000</f>
        <v>0</v>
      </c>
      <c r="CQ2068" s="76"/>
      <c r="CR2068" s="76">
        <f>+CQ2068*49000</f>
        <v>0</v>
      </c>
      <c r="CS2068" s="76"/>
      <c r="CT2068" s="76"/>
      <c r="CU2068" s="56">
        <f>AN2068+AP2068+AR2068+AT2068+AV2068+AX2068+AZ2068+BB2068+BD2068+BF2068+BH2068+BJ2068+BL2068+BN2068+BP2068+BR2068+BT2068+BV2068+BX2068+BZ2068+CB2068+CD2068+CF2068+CH2068+CJ2068+CL2068+CN2068+CP2068+CR2068+CT2068</f>
        <v>0</v>
      </c>
      <c r="CV2068" s="76"/>
      <c r="CW2068" s="76">
        <f>+CV2068*1100</f>
        <v>0</v>
      </c>
      <c r="CX2068" s="76"/>
      <c r="CY2068" s="76">
        <f>+CX2068*106250</f>
        <v>0</v>
      </c>
      <c r="CZ2068" s="76"/>
      <c r="DA2068" s="76">
        <f>+CZ2068*34500</f>
        <v>0</v>
      </c>
      <c r="DB2068" s="76"/>
      <c r="DC2068" s="76">
        <f>+DB2068*25000</f>
        <v>0</v>
      </c>
      <c r="DD2068" s="219"/>
      <c r="DE2068" s="219"/>
      <c r="DF2068" s="166"/>
      <c r="DG2068" s="116"/>
      <c r="DH2068" s="117"/>
      <c r="DI2068" s="24"/>
      <c r="DJ2068" s="24"/>
      <c r="DK2068" s="24"/>
      <c r="DL2068" s="24"/>
      <c r="DM2068" s="24"/>
      <c r="DN2068" s="24"/>
      <c r="DO2068" s="24"/>
      <c r="DP2068" s="24"/>
      <c r="DQ2068" s="24"/>
      <c r="DR2068" s="24"/>
      <c r="DS2068" s="24"/>
      <c r="DT2068" s="24"/>
      <c r="DU2068" s="24"/>
    </row>
    <row r="2069" spans="1:125" s="8" customFormat="1" ht="48" x14ac:dyDescent="0.2">
      <c r="A2069" s="77">
        <v>41431</v>
      </c>
      <c r="B2069" s="78" t="s">
        <v>2777</v>
      </c>
      <c r="C2069" s="75" t="s">
        <v>2009</v>
      </c>
      <c r="D2069" s="75" t="s">
        <v>2882</v>
      </c>
      <c r="E2069" s="75" t="str">
        <f>VLOOKUP(B2069&amp;C2069,Divipola!$C$2:$F$1138,4,FALSE)</f>
        <v>13600</v>
      </c>
      <c r="F2069" s="61"/>
      <c r="G2069" s="61"/>
      <c r="H2069" s="61"/>
      <c r="I2069" s="61">
        <v>60</v>
      </c>
      <c r="J2069" s="61">
        <v>12</v>
      </c>
      <c r="K2069" s="61"/>
      <c r="L2069" s="61">
        <v>12</v>
      </c>
      <c r="M2069" s="61"/>
      <c r="N2069" s="61"/>
      <c r="O2069" s="61"/>
      <c r="P2069" s="61"/>
      <c r="Q2069" s="61"/>
      <c r="R2069" s="61">
        <v>1</v>
      </c>
      <c r="S2069" s="61"/>
      <c r="T2069" s="61"/>
      <c r="U2069" s="61"/>
      <c r="V2069" s="7"/>
      <c r="W2069" s="96">
        <v>0</v>
      </c>
      <c r="X2069" s="71">
        <f>CU2069</f>
        <v>0</v>
      </c>
      <c r="Y2069" s="71">
        <f>CY2069</f>
        <v>0</v>
      </c>
      <c r="Z2069" s="71">
        <f>DA2069+DC2069+DE2069</f>
        <v>0</v>
      </c>
      <c r="AA2069" s="71">
        <f>CW2069</f>
        <v>0</v>
      </c>
      <c r="AB2069" s="71"/>
      <c r="AC2069" s="71">
        <v>0</v>
      </c>
      <c r="AD2069" s="71">
        <f>W2069+X2069+Y2069+Z2069+AA2069+AB2069+AC2069</f>
        <v>0</v>
      </c>
      <c r="AE2069" s="72">
        <v>0</v>
      </c>
      <c r="AF2069" s="5"/>
      <c r="AG2069" s="6"/>
      <c r="AH2069" s="27" t="s">
        <v>3390</v>
      </c>
      <c r="AI2069" s="44" t="s">
        <v>3393</v>
      </c>
      <c r="AJ2069" s="26"/>
      <c r="AK2069" s="5" t="s">
        <v>4242</v>
      </c>
      <c r="AL2069" s="9" t="s">
        <v>6261</v>
      </c>
      <c r="AM2069" s="76"/>
      <c r="AN2069" s="76"/>
      <c r="AO2069" s="76"/>
      <c r="AP2069" s="76"/>
      <c r="AQ2069" s="76"/>
      <c r="AR2069" s="76"/>
      <c r="AS2069" s="76"/>
      <c r="AT2069" s="76"/>
      <c r="AU2069" s="76"/>
      <c r="AV2069" s="76"/>
      <c r="AW2069" s="76"/>
      <c r="AX2069" s="76">
        <f>+AW2069*600000</f>
        <v>0</v>
      </c>
      <c r="AY2069" s="76"/>
      <c r="AZ2069" s="76">
        <f>+AY2069*70000</f>
        <v>0</v>
      </c>
      <c r="BA2069" s="76"/>
      <c r="BB2069" s="76"/>
      <c r="BC2069" s="76"/>
      <c r="BD2069" s="76">
        <f>+BC2069*30000</f>
        <v>0</v>
      </c>
      <c r="BE2069" s="76"/>
      <c r="BF2069" s="76"/>
      <c r="BG2069" s="76"/>
      <c r="BH2069" s="76"/>
      <c r="BI2069" s="76"/>
      <c r="BJ2069" s="76"/>
      <c r="BK2069" s="76"/>
      <c r="BL2069" s="76">
        <f>+BK2069*31500</f>
        <v>0</v>
      </c>
      <c r="BM2069" s="76"/>
      <c r="BN2069" s="76"/>
      <c r="BO2069" s="76"/>
      <c r="BP2069" s="76"/>
      <c r="BQ2069" s="76"/>
      <c r="BR2069" s="76"/>
      <c r="BS2069" s="76"/>
      <c r="BT2069" s="76"/>
      <c r="BU2069" s="76"/>
      <c r="BV2069" s="76"/>
      <c r="BW2069" s="76"/>
      <c r="BX2069" s="76"/>
      <c r="BY2069" s="76"/>
      <c r="BZ2069" s="76"/>
      <c r="CA2069" s="76"/>
      <c r="CB2069" s="76"/>
      <c r="CC2069" s="76"/>
      <c r="CD2069" s="76"/>
      <c r="CE2069" s="76"/>
      <c r="CF2069" s="76">
        <f>+CE2069*28000</f>
        <v>0</v>
      </c>
      <c r="CG2069" s="76"/>
      <c r="CH2069" s="76">
        <f>+CG2069*22500</f>
        <v>0</v>
      </c>
      <c r="CI2069" s="76"/>
      <c r="CJ2069" s="76">
        <f>+CI2069*26000</f>
        <v>0</v>
      </c>
      <c r="CK2069" s="76"/>
      <c r="CL2069" s="76"/>
      <c r="CM2069" s="76"/>
      <c r="CN2069" s="76">
        <f>+CM2069*22000</f>
        <v>0</v>
      </c>
      <c r="CO2069" s="76"/>
      <c r="CP2069" s="76">
        <f>+CO2069*46000</f>
        <v>0</v>
      </c>
      <c r="CQ2069" s="76"/>
      <c r="CR2069" s="76">
        <f>+CQ2069*49000</f>
        <v>0</v>
      </c>
      <c r="CS2069" s="76"/>
      <c r="CT2069" s="76"/>
      <c r="CU2069" s="56">
        <f>AN2069+AP2069+AR2069+AT2069+AV2069+AX2069+AZ2069+BB2069+BD2069+BF2069+BH2069+BJ2069+BL2069+BN2069+BP2069+BR2069+BT2069+BV2069+BX2069+BZ2069+CB2069+CD2069+CF2069+CH2069+CJ2069+CL2069+CN2069+CP2069+CR2069+CT2069</f>
        <v>0</v>
      </c>
      <c r="CV2069" s="76"/>
      <c r="CW2069" s="76">
        <f>+CV2069*1100</f>
        <v>0</v>
      </c>
      <c r="CX2069" s="76"/>
      <c r="CY2069" s="76">
        <f>+CX2069*106250</f>
        <v>0</v>
      </c>
      <c r="CZ2069" s="76"/>
      <c r="DA2069" s="76">
        <f>+CZ2069*34500</f>
        <v>0</v>
      </c>
      <c r="DB2069" s="76"/>
      <c r="DC2069" s="76">
        <f>+DB2069*25000</f>
        <v>0</v>
      </c>
      <c r="DD2069" s="219"/>
      <c r="DE2069" s="219"/>
      <c r="DF2069" s="166"/>
      <c r="DG2069" s="116"/>
      <c r="DH2069" s="117"/>
      <c r="DI2069" s="24"/>
      <c r="DJ2069" s="24"/>
      <c r="DK2069" s="24"/>
      <c r="DL2069" s="24"/>
      <c r="DM2069" s="24"/>
      <c r="DN2069" s="24"/>
      <c r="DO2069" s="24"/>
      <c r="DP2069" s="24"/>
      <c r="DQ2069" s="24"/>
      <c r="DR2069" s="24"/>
      <c r="DS2069" s="24"/>
      <c r="DT2069" s="24"/>
      <c r="DU2069" s="24"/>
    </row>
    <row r="2070" spans="1:125" s="8" customFormat="1" ht="36" x14ac:dyDescent="0.2">
      <c r="A2070" s="353">
        <v>41431</v>
      </c>
      <c r="B2070" s="352" t="s">
        <v>2087</v>
      </c>
      <c r="C2070" s="354" t="s">
        <v>790</v>
      </c>
      <c r="D2070" s="354" t="s">
        <v>2859</v>
      </c>
      <c r="E2070" s="75" t="str">
        <f>VLOOKUP(B2070&amp;C2070,Divipola!$C$2:$F$1138,4,FALSE)</f>
        <v>18150</v>
      </c>
      <c r="F2070" s="87"/>
      <c r="G2070" s="87"/>
      <c r="H2070" s="87"/>
      <c r="I2070" s="87">
        <v>5</v>
      </c>
      <c r="J2070" s="87">
        <v>1</v>
      </c>
      <c r="K2070" s="87">
        <v>1</v>
      </c>
      <c r="L2070" s="87"/>
      <c r="M2070" s="87"/>
      <c r="N2070" s="87"/>
      <c r="O2070" s="87"/>
      <c r="P2070" s="87"/>
      <c r="Q2070" s="87"/>
      <c r="R2070" s="87"/>
      <c r="S2070" s="87"/>
      <c r="T2070" s="87"/>
      <c r="U2070" s="88"/>
      <c r="V2070" s="89"/>
      <c r="W2070" s="96">
        <v>0</v>
      </c>
      <c r="X2070" s="71">
        <f>CU2070</f>
        <v>0</v>
      </c>
      <c r="Y2070" s="71">
        <f>CY2070</f>
        <v>0</v>
      </c>
      <c r="Z2070" s="71">
        <f>DA2070+DC2070+DE2070</f>
        <v>0</v>
      </c>
      <c r="AA2070" s="71">
        <f>CW2070</f>
        <v>0</v>
      </c>
      <c r="AB2070" s="71"/>
      <c r="AC2070" s="71">
        <v>0</v>
      </c>
      <c r="AD2070" s="71">
        <f>W2070+X2070+Y2070+Z2070+AA2070+AB2070+AC2070</f>
        <v>0</v>
      </c>
      <c r="AE2070" s="72">
        <v>0</v>
      </c>
      <c r="AF2070" s="5"/>
      <c r="AG2070" s="6"/>
      <c r="AH2070" s="27" t="s">
        <v>3392</v>
      </c>
      <c r="AI2070" s="44" t="s">
        <v>3393</v>
      </c>
      <c r="AJ2070" s="26"/>
      <c r="AK2070" s="5"/>
      <c r="AL2070" s="82" t="s">
        <v>4904</v>
      </c>
      <c r="AM2070" s="76"/>
      <c r="AN2070" s="76"/>
      <c r="AO2070" s="76"/>
      <c r="AP2070" s="76"/>
      <c r="AQ2070" s="76"/>
      <c r="AR2070" s="76"/>
      <c r="AS2070" s="76"/>
      <c r="AT2070" s="76"/>
      <c r="AU2070" s="76"/>
      <c r="AV2070" s="76"/>
      <c r="AW2070" s="76"/>
      <c r="AX2070" s="76">
        <f>+AW2070*600000</f>
        <v>0</v>
      </c>
      <c r="AY2070" s="76"/>
      <c r="AZ2070" s="76">
        <f>+AY2070*70000</f>
        <v>0</v>
      </c>
      <c r="BA2070" s="76"/>
      <c r="BB2070" s="76"/>
      <c r="BC2070" s="76"/>
      <c r="BD2070" s="76">
        <f>+BC2070*30000</f>
        <v>0</v>
      </c>
      <c r="BE2070" s="76"/>
      <c r="BF2070" s="76"/>
      <c r="BG2070" s="76"/>
      <c r="BH2070" s="76"/>
      <c r="BI2070" s="76"/>
      <c r="BJ2070" s="76"/>
      <c r="BK2070" s="76"/>
      <c r="BL2070" s="76">
        <f>+BK2070*31500</f>
        <v>0</v>
      </c>
      <c r="BM2070" s="76"/>
      <c r="BN2070" s="76"/>
      <c r="BO2070" s="76"/>
      <c r="BP2070" s="76"/>
      <c r="BQ2070" s="76"/>
      <c r="BR2070" s="76"/>
      <c r="BS2070" s="76"/>
      <c r="BT2070" s="76"/>
      <c r="BU2070" s="76"/>
      <c r="BV2070" s="76"/>
      <c r="BW2070" s="76"/>
      <c r="BX2070" s="76"/>
      <c r="BY2070" s="76"/>
      <c r="BZ2070" s="76"/>
      <c r="CA2070" s="76"/>
      <c r="CB2070" s="76"/>
      <c r="CC2070" s="76"/>
      <c r="CD2070" s="76"/>
      <c r="CE2070" s="76"/>
      <c r="CF2070" s="76">
        <f>+CE2070*28000</f>
        <v>0</v>
      </c>
      <c r="CG2070" s="76"/>
      <c r="CH2070" s="76">
        <f>+CG2070*22500</f>
        <v>0</v>
      </c>
      <c r="CI2070" s="76"/>
      <c r="CJ2070" s="76">
        <f>+CI2070*26000</f>
        <v>0</v>
      </c>
      <c r="CK2070" s="76"/>
      <c r="CL2070" s="76"/>
      <c r="CM2070" s="76"/>
      <c r="CN2070" s="76">
        <f>+CM2070*22000</f>
        <v>0</v>
      </c>
      <c r="CO2070" s="76"/>
      <c r="CP2070" s="76">
        <f>+CO2070*46000</f>
        <v>0</v>
      </c>
      <c r="CQ2070" s="76"/>
      <c r="CR2070" s="76">
        <f>+CQ2070*49000</f>
        <v>0</v>
      </c>
      <c r="CS2070" s="76"/>
      <c r="CT2070" s="76"/>
      <c r="CU2070" s="56">
        <f>AN2070+AP2070+AR2070+AT2070+AV2070+AX2070+AZ2070+BB2070+BD2070+BF2070+BH2070+BJ2070+BL2070+BN2070+BP2070+BR2070+BT2070+BV2070+BX2070+BZ2070+CB2070+CD2070+CF2070+CH2070+CJ2070+CL2070+CN2070+CP2070+CR2070+CT2070</f>
        <v>0</v>
      </c>
      <c r="CV2070" s="76"/>
      <c r="CW2070" s="76">
        <f>+CV2070*1100</f>
        <v>0</v>
      </c>
      <c r="CX2070" s="76"/>
      <c r="CY2070" s="76">
        <f>+CX2070*106250</f>
        <v>0</v>
      </c>
      <c r="CZ2070" s="76"/>
      <c r="DA2070" s="76">
        <f>+CZ2070*34500</f>
        <v>0</v>
      </c>
      <c r="DB2070" s="76"/>
      <c r="DC2070" s="76">
        <f>+DB2070*25000</f>
        <v>0</v>
      </c>
      <c r="DD2070" s="219"/>
      <c r="DE2070" s="219"/>
      <c r="DF2070" s="166"/>
      <c r="DG2070" s="116"/>
      <c r="DH2070" s="117"/>
      <c r="DI2070" s="24"/>
      <c r="DJ2070" s="24"/>
      <c r="DK2070" s="24"/>
      <c r="DL2070" s="24"/>
      <c r="DM2070" s="24"/>
      <c r="DN2070" s="24"/>
      <c r="DO2070" s="24"/>
      <c r="DP2070" s="24"/>
      <c r="DQ2070" s="24"/>
      <c r="DR2070" s="24"/>
      <c r="DS2070" s="24"/>
      <c r="DT2070" s="24"/>
      <c r="DU2070" s="24"/>
    </row>
    <row r="2071" spans="1:125" s="8" customFormat="1" ht="60" x14ac:dyDescent="0.2">
      <c r="A2071" s="77">
        <v>41431</v>
      </c>
      <c r="B2071" s="78" t="s">
        <v>2855</v>
      </c>
      <c r="C2071" s="75" t="s">
        <v>2801</v>
      </c>
      <c r="D2071" s="75" t="s">
        <v>2859</v>
      </c>
      <c r="E2071" s="75" t="str">
        <f>VLOOKUP(B2071&amp;C2071,Divipola!$C$2:$F$1138,4,FALSE)</f>
        <v>20383</v>
      </c>
      <c r="F2071" s="87"/>
      <c r="G2071" s="87"/>
      <c r="H2071" s="87"/>
      <c r="I2071" s="87">
        <v>5</v>
      </c>
      <c r="J2071" s="87">
        <v>1</v>
      </c>
      <c r="K2071" s="87">
        <v>1</v>
      </c>
      <c r="L2071" s="87"/>
      <c r="M2071" s="87"/>
      <c r="N2071" s="87"/>
      <c r="O2071" s="87"/>
      <c r="P2071" s="87"/>
      <c r="Q2071" s="87"/>
      <c r="R2071" s="87"/>
      <c r="S2071" s="87"/>
      <c r="T2071" s="87"/>
      <c r="U2071" s="88"/>
      <c r="V2071" s="89"/>
      <c r="W2071" s="96">
        <v>0</v>
      </c>
      <c r="X2071" s="71">
        <f>CU2071</f>
        <v>0</v>
      </c>
      <c r="Y2071" s="71">
        <f>CY2071</f>
        <v>0</v>
      </c>
      <c r="Z2071" s="71">
        <f>DA2071+DC2071+DE2071</f>
        <v>0</v>
      </c>
      <c r="AA2071" s="71">
        <f>CW2071</f>
        <v>0</v>
      </c>
      <c r="AB2071" s="71"/>
      <c r="AC2071" s="71">
        <v>0</v>
      </c>
      <c r="AD2071" s="71">
        <f>W2071+X2071+Y2071+Z2071+AA2071+AB2071+AC2071</f>
        <v>0</v>
      </c>
      <c r="AE2071" s="72">
        <v>0</v>
      </c>
      <c r="AF2071" s="5"/>
      <c r="AG2071" s="6"/>
      <c r="AH2071" s="27" t="s">
        <v>3392</v>
      </c>
      <c r="AI2071" s="44" t="s">
        <v>3393</v>
      </c>
      <c r="AJ2071" s="26"/>
      <c r="AK2071" s="5"/>
      <c r="AL2071" s="82" t="s">
        <v>4880</v>
      </c>
      <c r="AM2071" s="76"/>
      <c r="AN2071" s="76"/>
      <c r="AO2071" s="76"/>
      <c r="AP2071" s="76"/>
      <c r="AQ2071" s="76"/>
      <c r="AR2071" s="76"/>
      <c r="AS2071" s="76"/>
      <c r="AT2071" s="76"/>
      <c r="AU2071" s="76"/>
      <c r="AV2071" s="76"/>
      <c r="AW2071" s="76"/>
      <c r="AX2071" s="76">
        <f>+AW2071*600000</f>
        <v>0</v>
      </c>
      <c r="AY2071" s="76"/>
      <c r="AZ2071" s="76">
        <f>+AY2071*70000</f>
        <v>0</v>
      </c>
      <c r="BA2071" s="76"/>
      <c r="BB2071" s="76"/>
      <c r="BC2071" s="76"/>
      <c r="BD2071" s="76">
        <f>+BC2071*30000</f>
        <v>0</v>
      </c>
      <c r="BE2071" s="76"/>
      <c r="BF2071" s="76"/>
      <c r="BG2071" s="76"/>
      <c r="BH2071" s="76"/>
      <c r="BI2071" s="76"/>
      <c r="BJ2071" s="76"/>
      <c r="BK2071" s="76"/>
      <c r="BL2071" s="76">
        <f>+BK2071*31500</f>
        <v>0</v>
      </c>
      <c r="BM2071" s="76"/>
      <c r="BN2071" s="76"/>
      <c r="BO2071" s="76"/>
      <c r="BP2071" s="76"/>
      <c r="BQ2071" s="76"/>
      <c r="BR2071" s="76"/>
      <c r="BS2071" s="76"/>
      <c r="BT2071" s="76"/>
      <c r="BU2071" s="76"/>
      <c r="BV2071" s="76"/>
      <c r="BW2071" s="76"/>
      <c r="BX2071" s="76"/>
      <c r="BY2071" s="76"/>
      <c r="BZ2071" s="76"/>
      <c r="CA2071" s="76"/>
      <c r="CB2071" s="76"/>
      <c r="CC2071" s="76"/>
      <c r="CD2071" s="76"/>
      <c r="CE2071" s="76"/>
      <c r="CF2071" s="76">
        <f>+CE2071*28000</f>
        <v>0</v>
      </c>
      <c r="CG2071" s="76"/>
      <c r="CH2071" s="76">
        <f>+CG2071*22500</f>
        <v>0</v>
      </c>
      <c r="CI2071" s="76"/>
      <c r="CJ2071" s="76">
        <f>+CI2071*26000</f>
        <v>0</v>
      </c>
      <c r="CK2071" s="76"/>
      <c r="CL2071" s="76"/>
      <c r="CM2071" s="76"/>
      <c r="CN2071" s="76">
        <f>+CM2071*22000</f>
        <v>0</v>
      </c>
      <c r="CO2071" s="76"/>
      <c r="CP2071" s="76">
        <f>+CO2071*46000</f>
        <v>0</v>
      </c>
      <c r="CQ2071" s="76"/>
      <c r="CR2071" s="76">
        <f>+CQ2071*49000</f>
        <v>0</v>
      </c>
      <c r="CS2071" s="76"/>
      <c r="CT2071" s="76"/>
      <c r="CU2071" s="56">
        <f>AN2071+AP2071+AR2071+AT2071+AV2071+AX2071+AZ2071+BB2071+BD2071+BF2071+BH2071+BJ2071+BL2071+BN2071+BP2071+BR2071+BT2071+BV2071+BX2071+BZ2071+CB2071+CD2071+CF2071+CH2071+CJ2071+CL2071+CN2071+CP2071+CR2071+CT2071</f>
        <v>0</v>
      </c>
      <c r="CV2071" s="76"/>
      <c r="CW2071" s="76">
        <f>+CV2071*1100</f>
        <v>0</v>
      </c>
      <c r="CX2071" s="76"/>
      <c r="CY2071" s="76">
        <f>+CX2071*106250</f>
        <v>0</v>
      </c>
      <c r="CZ2071" s="76"/>
      <c r="DA2071" s="76">
        <f>+CZ2071*34500</f>
        <v>0</v>
      </c>
      <c r="DB2071" s="76"/>
      <c r="DC2071" s="76">
        <f>+DB2071*25000</f>
        <v>0</v>
      </c>
      <c r="DD2071" s="219"/>
      <c r="DE2071" s="219"/>
      <c r="DF2071" s="166"/>
      <c r="DG2071" s="116"/>
      <c r="DH2071" s="117"/>
      <c r="DI2071" s="24"/>
      <c r="DJ2071" s="24"/>
      <c r="DK2071" s="24"/>
      <c r="DL2071" s="24"/>
      <c r="DM2071" s="24"/>
      <c r="DN2071" s="24"/>
      <c r="DO2071" s="24"/>
      <c r="DP2071" s="24"/>
      <c r="DQ2071" s="24"/>
      <c r="DR2071" s="24"/>
      <c r="DS2071" s="24"/>
      <c r="DT2071" s="24"/>
      <c r="DU2071" s="24"/>
    </row>
    <row r="2072" spans="1:125" s="8" customFormat="1" ht="48" x14ac:dyDescent="0.2">
      <c r="A2072" s="77">
        <v>41431</v>
      </c>
      <c r="B2072" s="78" t="s">
        <v>2772</v>
      </c>
      <c r="C2072" s="75" t="s">
        <v>2690</v>
      </c>
      <c r="D2072" s="75" t="s">
        <v>2859</v>
      </c>
      <c r="E2072" s="75" t="str">
        <f>VLOOKUP(B2072&amp;C2072,Divipola!$C$2:$F$1138,4,FALSE)</f>
        <v>25513</v>
      </c>
      <c r="F2072" s="87"/>
      <c r="G2072" s="87"/>
      <c r="H2072" s="87"/>
      <c r="I2072" s="87">
        <v>5</v>
      </c>
      <c r="J2072" s="87">
        <v>1</v>
      </c>
      <c r="K2072" s="87"/>
      <c r="L2072" s="87">
        <v>1</v>
      </c>
      <c r="M2072" s="87"/>
      <c r="N2072" s="87"/>
      <c r="O2072" s="87"/>
      <c r="P2072" s="87"/>
      <c r="Q2072" s="87"/>
      <c r="R2072" s="87"/>
      <c r="S2072" s="87"/>
      <c r="T2072" s="87"/>
      <c r="U2072" s="88"/>
      <c r="V2072" s="89"/>
      <c r="W2072" s="96">
        <v>0</v>
      </c>
      <c r="X2072" s="71">
        <f>CU2072</f>
        <v>0</v>
      </c>
      <c r="Y2072" s="71">
        <f>CY2072</f>
        <v>0</v>
      </c>
      <c r="Z2072" s="71">
        <f>DA2072+DC2072+DE2072</f>
        <v>0</v>
      </c>
      <c r="AA2072" s="71">
        <f>CW2072</f>
        <v>0</v>
      </c>
      <c r="AB2072" s="71"/>
      <c r="AC2072" s="71">
        <v>0</v>
      </c>
      <c r="AD2072" s="71">
        <f>W2072+X2072+Y2072+Z2072+AA2072+AB2072+AC2072</f>
        <v>0</v>
      </c>
      <c r="AE2072" s="72">
        <v>0</v>
      </c>
      <c r="AF2072" s="5"/>
      <c r="AG2072" s="6"/>
      <c r="AH2072" s="27" t="s">
        <v>3392</v>
      </c>
      <c r="AI2072" s="44" t="s">
        <v>3393</v>
      </c>
      <c r="AJ2072" s="26"/>
      <c r="AK2072" s="5"/>
      <c r="AL2072" s="82" t="s">
        <v>4886</v>
      </c>
      <c r="AM2072" s="76"/>
      <c r="AN2072" s="76"/>
      <c r="AO2072" s="76"/>
      <c r="AP2072" s="76"/>
      <c r="AQ2072" s="76"/>
      <c r="AR2072" s="76"/>
      <c r="AS2072" s="76"/>
      <c r="AT2072" s="76"/>
      <c r="AU2072" s="76"/>
      <c r="AV2072" s="76"/>
      <c r="AW2072" s="76"/>
      <c r="AX2072" s="76">
        <f>+AW2072*600000</f>
        <v>0</v>
      </c>
      <c r="AY2072" s="76"/>
      <c r="AZ2072" s="76">
        <f>+AY2072*70000</f>
        <v>0</v>
      </c>
      <c r="BA2072" s="76"/>
      <c r="BB2072" s="76"/>
      <c r="BC2072" s="76"/>
      <c r="BD2072" s="76">
        <f>+BC2072*30000</f>
        <v>0</v>
      </c>
      <c r="BE2072" s="76"/>
      <c r="BF2072" s="76"/>
      <c r="BG2072" s="76"/>
      <c r="BH2072" s="76"/>
      <c r="BI2072" s="76"/>
      <c r="BJ2072" s="76"/>
      <c r="BK2072" s="76"/>
      <c r="BL2072" s="76">
        <f>+BK2072*31500</f>
        <v>0</v>
      </c>
      <c r="BM2072" s="76"/>
      <c r="BN2072" s="76"/>
      <c r="BO2072" s="76"/>
      <c r="BP2072" s="76"/>
      <c r="BQ2072" s="76"/>
      <c r="BR2072" s="76"/>
      <c r="BS2072" s="76"/>
      <c r="BT2072" s="76"/>
      <c r="BU2072" s="76"/>
      <c r="BV2072" s="76"/>
      <c r="BW2072" s="76"/>
      <c r="BX2072" s="76"/>
      <c r="BY2072" s="76"/>
      <c r="BZ2072" s="76"/>
      <c r="CA2072" s="76"/>
      <c r="CB2072" s="76"/>
      <c r="CC2072" s="76"/>
      <c r="CD2072" s="76"/>
      <c r="CE2072" s="76"/>
      <c r="CF2072" s="76">
        <f>+CE2072*28000</f>
        <v>0</v>
      </c>
      <c r="CG2072" s="76"/>
      <c r="CH2072" s="76">
        <f>+CG2072*22500</f>
        <v>0</v>
      </c>
      <c r="CI2072" s="76"/>
      <c r="CJ2072" s="76">
        <f>+CI2072*26000</f>
        <v>0</v>
      </c>
      <c r="CK2072" s="76"/>
      <c r="CL2072" s="76"/>
      <c r="CM2072" s="76"/>
      <c r="CN2072" s="76">
        <f>+CM2072*22000</f>
        <v>0</v>
      </c>
      <c r="CO2072" s="76"/>
      <c r="CP2072" s="76">
        <f>+CO2072*46000</f>
        <v>0</v>
      </c>
      <c r="CQ2072" s="76"/>
      <c r="CR2072" s="76">
        <f>+CQ2072*49000</f>
        <v>0</v>
      </c>
      <c r="CS2072" s="76"/>
      <c r="CT2072" s="76"/>
      <c r="CU2072" s="56">
        <f>AN2072+AP2072+AR2072+AT2072+AV2072+AX2072+AZ2072+BB2072+BD2072+BF2072+BH2072+BJ2072+BL2072+BN2072+BP2072+BR2072+BT2072+BV2072+BX2072+BZ2072+CB2072+CD2072+CF2072+CH2072+CJ2072+CL2072+CN2072+CP2072+CR2072+CT2072</f>
        <v>0</v>
      </c>
      <c r="CV2072" s="76"/>
      <c r="CW2072" s="76">
        <f>+CV2072*1100</f>
        <v>0</v>
      </c>
      <c r="CX2072" s="76"/>
      <c r="CY2072" s="76">
        <f>+CX2072*106250</f>
        <v>0</v>
      </c>
      <c r="CZ2072" s="76"/>
      <c r="DA2072" s="76">
        <f>+CZ2072*34500</f>
        <v>0</v>
      </c>
      <c r="DB2072" s="76"/>
      <c r="DC2072" s="76">
        <f>+DB2072*25000</f>
        <v>0</v>
      </c>
      <c r="DD2072" s="219"/>
      <c r="DE2072" s="219"/>
      <c r="DF2072" s="166"/>
      <c r="DG2072" s="116"/>
      <c r="DH2072" s="117"/>
      <c r="DI2072" s="24"/>
      <c r="DJ2072" s="24"/>
      <c r="DK2072" s="24"/>
      <c r="DL2072" s="24"/>
      <c r="DM2072" s="24"/>
      <c r="DN2072" s="24"/>
      <c r="DO2072" s="24"/>
      <c r="DP2072" s="24"/>
      <c r="DQ2072" s="24"/>
      <c r="DR2072" s="24"/>
      <c r="DS2072" s="24"/>
      <c r="DT2072" s="24"/>
      <c r="DU2072" s="24"/>
    </row>
    <row r="2073" spans="1:125" s="8" customFormat="1" ht="60" x14ac:dyDescent="0.2">
      <c r="A2073" s="226">
        <v>41431</v>
      </c>
      <c r="B2073" s="225" t="s">
        <v>2880</v>
      </c>
      <c r="C2073" s="227" t="s">
        <v>2086</v>
      </c>
      <c r="D2073" s="354" t="s">
        <v>3027</v>
      </c>
      <c r="E2073" s="75" t="str">
        <f>VLOOKUP(B2073&amp;C2073,Divipola!$C$2:$F$1138,4,FALSE)</f>
        <v>54518</v>
      </c>
      <c r="F2073" s="87"/>
      <c r="G2073" s="87"/>
      <c r="H2073" s="87"/>
      <c r="I2073" s="87"/>
      <c r="J2073" s="87"/>
      <c r="K2073" s="87"/>
      <c r="L2073" s="87"/>
      <c r="M2073" s="87"/>
      <c r="N2073" s="87"/>
      <c r="O2073" s="87"/>
      <c r="P2073" s="87"/>
      <c r="Q2073" s="87"/>
      <c r="R2073" s="87"/>
      <c r="S2073" s="87"/>
      <c r="T2073" s="87"/>
      <c r="U2073" s="88"/>
      <c r="V2073" s="89"/>
      <c r="W2073" s="96">
        <v>0</v>
      </c>
      <c r="X2073" s="71">
        <f>CU2073</f>
        <v>0</v>
      </c>
      <c r="Y2073" s="71">
        <f>CY2073</f>
        <v>0</v>
      </c>
      <c r="Z2073" s="71">
        <f>DA2073+DC2073+DE2073</f>
        <v>0</v>
      </c>
      <c r="AA2073" s="71">
        <f>CW2073</f>
        <v>0</v>
      </c>
      <c r="AB2073" s="71"/>
      <c r="AC2073" s="71">
        <v>0</v>
      </c>
      <c r="AD2073" s="71">
        <f>W2073+X2073+Y2073+Z2073+AA2073+AB2073+AC2073</f>
        <v>0</v>
      </c>
      <c r="AE2073" s="72">
        <v>0</v>
      </c>
      <c r="AF2073" s="5"/>
      <c r="AG2073" s="6"/>
      <c r="AH2073" s="27" t="s">
        <v>3392</v>
      </c>
      <c r="AI2073" s="44" t="s">
        <v>3393</v>
      </c>
      <c r="AJ2073" s="26"/>
      <c r="AK2073" s="5"/>
      <c r="AL2073" s="82" t="s">
        <v>4881</v>
      </c>
      <c r="AM2073" s="76"/>
      <c r="AN2073" s="76"/>
      <c r="AO2073" s="76"/>
      <c r="AP2073" s="76"/>
      <c r="AQ2073" s="76"/>
      <c r="AR2073" s="76"/>
      <c r="AS2073" s="76"/>
      <c r="AT2073" s="76"/>
      <c r="AU2073" s="76"/>
      <c r="AV2073" s="76"/>
      <c r="AW2073" s="76"/>
      <c r="AX2073" s="76">
        <f>+AW2073*600000</f>
        <v>0</v>
      </c>
      <c r="AY2073" s="76"/>
      <c r="AZ2073" s="76">
        <f>+AY2073*70000</f>
        <v>0</v>
      </c>
      <c r="BA2073" s="76"/>
      <c r="BB2073" s="76"/>
      <c r="BC2073" s="76"/>
      <c r="BD2073" s="76">
        <f>+BC2073*30000</f>
        <v>0</v>
      </c>
      <c r="BE2073" s="76"/>
      <c r="BF2073" s="76"/>
      <c r="BG2073" s="76"/>
      <c r="BH2073" s="76"/>
      <c r="BI2073" s="76"/>
      <c r="BJ2073" s="76"/>
      <c r="BK2073" s="76"/>
      <c r="BL2073" s="76">
        <f>+BK2073*31500</f>
        <v>0</v>
      </c>
      <c r="BM2073" s="76"/>
      <c r="BN2073" s="76"/>
      <c r="BO2073" s="76"/>
      <c r="BP2073" s="76"/>
      <c r="BQ2073" s="76"/>
      <c r="BR2073" s="76"/>
      <c r="BS2073" s="76"/>
      <c r="BT2073" s="76"/>
      <c r="BU2073" s="76"/>
      <c r="BV2073" s="76"/>
      <c r="BW2073" s="76"/>
      <c r="BX2073" s="76"/>
      <c r="BY2073" s="76"/>
      <c r="BZ2073" s="76"/>
      <c r="CA2073" s="76"/>
      <c r="CB2073" s="76"/>
      <c r="CC2073" s="76"/>
      <c r="CD2073" s="76"/>
      <c r="CE2073" s="76"/>
      <c r="CF2073" s="76">
        <f>+CE2073*28000</f>
        <v>0</v>
      </c>
      <c r="CG2073" s="76"/>
      <c r="CH2073" s="76">
        <f>+CG2073*22500</f>
        <v>0</v>
      </c>
      <c r="CI2073" s="76"/>
      <c r="CJ2073" s="76">
        <f>+CI2073*26000</f>
        <v>0</v>
      </c>
      <c r="CK2073" s="76"/>
      <c r="CL2073" s="76"/>
      <c r="CM2073" s="76"/>
      <c r="CN2073" s="76">
        <f>+CM2073*22000</f>
        <v>0</v>
      </c>
      <c r="CO2073" s="76"/>
      <c r="CP2073" s="76">
        <f>+CO2073*46000</f>
        <v>0</v>
      </c>
      <c r="CQ2073" s="76"/>
      <c r="CR2073" s="76">
        <f>+CQ2073*49000</f>
        <v>0</v>
      </c>
      <c r="CS2073" s="76"/>
      <c r="CT2073" s="76"/>
      <c r="CU2073" s="56">
        <f>AN2073+AP2073+AR2073+AT2073+AV2073+AX2073+AZ2073+BB2073+BD2073+BF2073+BH2073+BJ2073+BL2073+BN2073+BP2073+BR2073+BT2073+BV2073+BX2073+BZ2073+CB2073+CD2073+CF2073+CH2073+CJ2073+CL2073+CN2073+CP2073+CR2073+CT2073</f>
        <v>0</v>
      </c>
      <c r="CV2073" s="76"/>
      <c r="CW2073" s="76">
        <f>+CV2073*1100</f>
        <v>0</v>
      </c>
      <c r="CX2073" s="76"/>
      <c r="CY2073" s="76">
        <f>+CX2073*106250</f>
        <v>0</v>
      </c>
      <c r="CZ2073" s="76"/>
      <c r="DA2073" s="76">
        <f>+CZ2073*34500</f>
        <v>0</v>
      </c>
      <c r="DB2073" s="76"/>
      <c r="DC2073" s="76">
        <f>+DB2073*25000</f>
        <v>0</v>
      </c>
      <c r="DD2073" s="219"/>
      <c r="DE2073" s="219"/>
      <c r="DF2073" s="166"/>
      <c r="DG2073" s="116"/>
      <c r="DH2073" s="117"/>
      <c r="DI2073" s="24"/>
      <c r="DJ2073" s="24"/>
      <c r="DK2073" s="24"/>
      <c r="DL2073" s="24"/>
      <c r="DM2073" s="24"/>
      <c r="DN2073" s="24"/>
      <c r="DO2073" s="24"/>
      <c r="DP2073" s="24"/>
      <c r="DQ2073" s="24"/>
      <c r="DR2073" s="24"/>
      <c r="DS2073" s="24"/>
      <c r="DT2073" s="24"/>
      <c r="DU2073" s="24"/>
    </row>
    <row r="2074" spans="1:125" s="8" customFormat="1" ht="48" x14ac:dyDescent="0.2">
      <c r="A2074" s="353">
        <v>41431</v>
      </c>
      <c r="B2074" s="352" t="s">
        <v>2774</v>
      </c>
      <c r="C2074" s="354" t="s">
        <v>2790</v>
      </c>
      <c r="D2074" s="354" t="s">
        <v>2936</v>
      </c>
      <c r="E2074" s="75" t="str">
        <f>VLOOKUP(B2074&amp;C2074,Divipola!$C$2:$F$1138,4,FALSE)</f>
        <v>66682</v>
      </c>
      <c r="F2074" s="87">
        <v>1</v>
      </c>
      <c r="G2074" s="87"/>
      <c r="H2074" s="87"/>
      <c r="I2074" s="87"/>
      <c r="J2074" s="87"/>
      <c r="K2074" s="87"/>
      <c r="L2074" s="87"/>
      <c r="M2074" s="87"/>
      <c r="N2074" s="87"/>
      <c r="O2074" s="87"/>
      <c r="P2074" s="87"/>
      <c r="Q2074" s="87"/>
      <c r="R2074" s="87"/>
      <c r="S2074" s="87"/>
      <c r="T2074" s="87"/>
      <c r="U2074" s="88"/>
      <c r="V2074" s="89">
        <v>1</v>
      </c>
      <c r="W2074" s="96">
        <v>0</v>
      </c>
      <c r="X2074" s="71">
        <f>CU2074</f>
        <v>0</v>
      </c>
      <c r="Y2074" s="71">
        <f>CY2074</f>
        <v>0</v>
      </c>
      <c r="Z2074" s="71">
        <f>DA2074+DC2074+DE2074</f>
        <v>0</v>
      </c>
      <c r="AA2074" s="71">
        <f>CW2074</f>
        <v>0</v>
      </c>
      <c r="AB2074" s="71"/>
      <c r="AC2074" s="71">
        <v>0</v>
      </c>
      <c r="AD2074" s="71">
        <f>W2074+X2074+Y2074+Z2074+AA2074+AB2074+AC2074</f>
        <v>0</v>
      </c>
      <c r="AE2074" s="72">
        <v>0</v>
      </c>
      <c r="AF2074" s="5"/>
      <c r="AG2074" s="6"/>
      <c r="AH2074" s="27" t="s">
        <v>3392</v>
      </c>
      <c r="AI2074" s="44" t="s">
        <v>3393</v>
      </c>
      <c r="AJ2074" s="26"/>
      <c r="AK2074" s="5"/>
      <c r="AL2074" s="82" t="s">
        <v>4878</v>
      </c>
      <c r="AM2074" s="76"/>
      <c r="AN2074" s="76"/>
      <c r="AO2074" s="76"/>
      <c r="AP2074" s="76"/>
      <c r="AQ2074" s="76"/>
      <c r="AR2074" s="76"/>
      <c r="AS2074" s="76"/>
      <c r="AT2074" s="76"/>
      <c r="AU2074" s="76"/>
      <c r="AV2074" s="76"/>
      <c r="AW2074" s="76"/>
      <c r="AX2074" s="76">
        <f>+AW2074*600000</f>
        <v>0</v>
      </c>
      <c r="AY2074" s="76"/>
      <c r="AZ2074" s="76">
        <f>+AY2074*70000</f>
        <v>0</v>
      </c>
      <c r="BA2074" s="76"/>
      <c r="BB2074" s="76"/>
      <c r="BC2074" s="76"/>
      <c r="BD2074" s="76">
        <f>+BC2074*30000</f>
        <v>0</v>
      </c>
      <c r="BE2074" s="76"/>
      <c r="BF2074" s="76"/>
      <c r="BG2074" s="76"/>
      <c r="BH2074" s="76"/>
      <c r="BI2074" s="76"/>
      <c r="BJ2074" s="76"/>
      <c r="BK2074" s="76"/>
      <c r="BL2074" s="76">
        <f>+BK2074*31500</f>
        <v>0</v>
      </c>
      <c r="BM2074" s="76"/>
      <c r="BN2074" s="76"/>
      <c r="BO2074" s="76"/>
      <c r="BP2074" s="76"/>
      <c r="BQ2074" s="76"/>
      <c r="BR2074" s="76"/>
      <c r="BS2074" s="76"/>
      <c r="BT2074" s="76"/>
      <c r="BU2074" s="76"/>
      <c r="BV2074" s="76"/>
      <c r="BW2074" s="76"/>
      <c r="BX2074" s="76"/>
      <c r="BY2074" s="76"/>
      <c r="BZ2074" s="76"/>
      <c r="CA2074" s="76"/>
      <c r="CB2074" s="76"/>
      <c r="CC2074" s="76"/>
      <c r="CD2074" s="76"/>
      <c r="CE2074" s="76"/>
      <c r="CF2074" s="76">
        <f>+CE2074*28000</f>
        <v>0</v>
      </c>
      <c r="CG2074" s="76"/>
      <c r="CH2074" s="76">
        <f>+CG2074*22500</f>
        <v>0</v>
      </c>
      <c r="CI2074" s="76"/>
      <c r="CJ2074" s="76">
        <f>+CI2074*26000</f>
        <v>0</v>
      </c>
      <c r="CK2074" s="76"/>
      <c r="CL2074" s="76"/>
      <c r="CM2074" s="76"/>
      <c r="CN2074" s="76">
        <f>+CM2074*22000</f>
        <v>0</v>
      </c>
      <c r="CO2074" s="76"/>
      <c r="CP2074" s="76">
        <f>+CO2074*46000</f>
        <v>0</v>
      </c>
      <c r="CQ2074" s="76"/>
      <c r="CR2074" s="76">
        <f>+CQ2074*49000</f>
        <v>0</v>
      </c>
      <c r="CS2074" s="76"/>
      <c r="CT2074" s="76"/>
      <c r="CU2074" s="56">
        <f>AN2074+AP2074+AR2074+AT2074+AV2074+AX2074+AZ2074+BB2074+BD2074+BF2074+BH2074+BJ2074+BL2074+BN2074+BP2074+BR2074+BT2074+BV2074+BX2074+BZ2074+CB2074+CD2074+CF2074+CH2074+CJ2074+CL2074+CN2074+CP2074+CR2074+CT2074</f>
        <v>0</v>
      </c>
      <c r="CV2074" s="76"/>
      <c r="CW2074" s="76">
        <f>+CV2074*1100</f>
        <v>0</v>
      </c>
      <c r="CX2074" s="76"/>
      <c r="CY2074" s="76">
        <f>+CX2074*106250</f>
        <v>0</v>
      </c>
      <c r="CZ2074" s="76"/>
      <c r="DA2074" s="76">
        <f>+CZ2074*34500</f>
        <v>0</v>
      </c>
      <c r="DB2074" s="76"/>
      <c r="DC2074" s="76">
        <f>+DB2074*25000</f>
        <v>0</v>
      </c>
      <c r="DD2074" s="219"/>
      <c r="DE2074" s="219"/>
      <c r="DF2074" s="166"/>
      <c r="DG2074" s="116"/>
      <c r="DH2074" s="117"/>
      <c r="DI2074" s="24"/>
      <c r="DJ2074" s="24"/>
      <c r="DK2074" s="24"/>
      <c r="DL2074" s="24"/>
      <c r="DM2074" s="24"/>
      <c r="DN2074" s="24"/>
      <c r="DO2074" s="24"/>
      <c r="DP2074" s="24"/>
      <c r="DQ2074" s="24"/>
      <c r="DR2074" s="24"/>
      <c r="DS2074" s="24"/>
      <c r="DT2074" s="24"/>
      <c r="DU2074" s="24"/>
    </row>
    <row r="2075" spans="1:125" s="8" customFormat="1" ht="132" x14ac:dyDescent="0.2">
      <c r="A2075" s="226">
        <v>41431</v>
      </c>
      <c r="B2075" s="225" t="s">
        <v>2774</v>
      </c>
      <c r="C2075" s="227" t="s">
        <v>2790</v>
      </c>
      <c r="D2075" s="227" t="s">
        <v>2859</v>
      </c>
      <c r="E2075" s="75" t="str">
        <f>VLOOKUP(B2075&amp;C2075,Divipola!$C$2:$F$1138,4,FALSE)</f>
        <v>66682</v>
      </c>
      <c r="F2075" s="87">
        <v>1</v>
      </c>
      <c r="G2075" s="87">
        <v>1</v>
      </c>
      <c r="H2075" s="87"/>
      <c r="I2075" s="87">
        <v>12</v>
      </c>
      <c r="J2075" s="87">
        <v>3</v>
      </c>
      <c r="K2075" s="87">
        <v>1</v>
      </c>
      <c r="L2075" s="87"/>
      <c r="M2075" s="87"/>
      <c r="N2075" s="87"/>
      <c r="O2075" s="87"/>
      <c r="P2075" s="87"/>
      <c r="Q2075" s="87"/>
      <c r="R2075" s="87"/>
      <c r="S2075" s="87"/>
      <c r="T2075" s="87"/>
      <c r="U2075" s="88"/>
      <c r="V2075" s="89"/>
      <c r="W2075" s="96">
        <v>0</v>
      </c>
      <c r="X2075" s="71">
        <f>CU2075</f>
        <v>0</v>
      </c>
      <c r="Y2075" s="71">
        <f>CY2075</f>
        <v>0</v>
      </c>
      <c r="Z2075" s="71">
        <f>DA2075+DC2075+DE2075</f>
        <v>0</v>
      </c>
      <c r="AA2075" s="71">
        <f>CW2075</f>
        <v>0</v>
      </c>
      <c r="AB2075" s="71"/>
      <c r="AC2075" s="71">
        <v>0</v>
      </c>
      <c r="AD2075" s="71">
        <f>W2075+X2075+Y2075+Z2075+AA2075+AB2075+AC2075</f>
        <v>0</v>
      </c>
      <c r="AE2075" s="72">
        <v>0</v>
      </c>
      <c r="AF2075" s="5"/>
      <c r="AG2075" s="6"/>
      <c r="AH2075" s="27" t="s">
        <v>3392</v>
      </c>
      <c r="AI2075" s="44" t="s">
        <v>3393</v>
      </c>
      <c r="AJ2075" s="26"/>
      <c r="AK2075" s="5"/>
      <c r="AL2075" s="82" t="s">
        <v>4903</v>
      </c>
      <c r="AM2075" s="76"/>
      <c r="AN2075" s="76"/>
      <c r="AO2075" s="76"/>
      <c r="AP2075" s="76"/>
      <c r="AQ2075" s="76"/>
      <c r="AR2075" s="76"/>
      <c r="AS2075" s="76"/>
      <c r="AT2075" s="76"/>
      <c r="AU2075" s="76"/>
      <c r="AV2075" s="76"/>
      <c r="AW2075" s="76"/>
      <c r="AX2075" s="76">
        <f>+AW2075*600000</f>
        <v>0</v>
      </c>
      <c r="AY2075" s="76"/>
      <c r="AZ2075" s="76">
        <f>+AY2075*70000</f>
        <v>0</v>
      </c>
      <c r="BA2075" s="76"/>
      <c r="BB2075" s="76"/>
      <c r="BC2075" s="76"/>
      <c r="BD2075" s="76">
        <f>+BC2075*30000</f>
        <v>0</v>
      </c>
      <c r="BE2075" s="76"/>
      <c r="BF2075" s="76"/>
      <c r="BG2075" s="76"/>
      <c r="BH2075" s="76"/>
      <c r="BI2075" s="76"/>
      <c r="BJ2075" s="76"/>
      <c r="BK2075" s="76"/>
      <c r="BL2075" s="76">
        <f>+BK2075*31500</f>
        <v>0</v>
      </c>
      <c r="BM2075" s="76"/>
      <c r="BN2075" s="76"/>
      <c r="BO2075" s="76"/>
      <c r="BP2075" s="76"/>
      <c r="BQ2075" s="76"/>
      <c r="BR2075" s="76"/>
      <c r="BS2075" s="76"/>
      <c r="BT2075" s="76"/>
      <c r="BU2075" s="76"/>
      <c r="BV2075" s="76"/>
      <c r="BW2075" s="76"/>
      <c r="BX2075" s="76"/>
      <c r="BY2075" s="76"/>
      <c r="BZ2075" s="76"/>
      <c r="CA2075" s="76"/>
      <c r="CB2075" s="76"/>
      <c r="CC2075" s="76"/>
      <c r="CD2075" s="76"/>
      <c r="CE2075" s="76"/>
      <c r="CF2075" s="76">
        <f>+CE2075*28000</f>
        <v>0</v>
      </c>
      <c r="CG2075" s="76"/>
      <c r="CH2075" s="76">
        <f>+CG2075*22500</f>
        <v>0</v>
      </c>
      <c r="CI2075" s="76"/>
      <c r="CJ2075" s="76">
        <f>+CI2075*26000</f>
        <v>0</v>
      </c>
      <c r="CK2075" s="76"/>
      <c r="CL2075" s="76"/>
      <c r="CM2075" s="76"/>
      <c r="CN2075" s="76">
        <f>+CM2075*22000</f>
        <v>0</v>
      </c>
      <c r="CO2075" s="76"/>
      <c r="CP2075" s="76">
        <f>+CO2075*46000</f>
        <v>0</v>
      </c>
      <c r="CQ2075" s="76"/>
      <c r="CR2075" s="76">
        <f>+CQ2075*49000</f>
        <v>0</v>
      </c>
      <c r="CS2075" s="76"/>
      <c r="CT2075" s="76"/>
      <c r="CU2075" s="56">
        <f>AN2075+AP2075+AR2075+AT2075+AV2075+AX2075+AZ2075+BB2075+BD2075+BF2075+BH2075+BJ2075+BL2075+BN2075+BP2075+BR2075+BT2075+BV2075+BX2075+BZ2075+CB2075+CD2075+CF2075+CH2075+CJ2075+CL2075+CN2075+CP2075+CR2075+CT2075</f>
        <v>0</v>
      </c>
      <c r="CV2075" s="76"/>
      <c r="CW2075" s="76">
        <f>+CV2075*1100</f>
        <v>0</v>
      </c>
      <c r="CX2075" s="76"/>
      <c r="CY2075" s="76">
        <f>+CX2075*106250</f>
        <v>0</v>
      </c>
      <c r="CZ2075" s="76"/>
      <c r="DA2075" s="76">
        <f>+CZ2075*34500</f>
        <v>0</v>
      </c>
      <c r="DB2075" s="76"/>
      <c r="DC2075" s="76">
        <f>+DB2075*25000</f>
        <v>0</v>
      </c>
      <c r="DD2075" s="219"/>
      <c r="DE2075" s="219"/>
      <c r="DF2075" s="166"/>
      <c r="DG2075" s="116"/>
      <c r="DH2075" s="117"/>
      <c r="DI2075" s="24"/>
      <c r="DJ2075" s="24"/>
      <c r="DK2075" s="24"/>
      <c r="DL2075" s="24"/>
      <c r="DM2075" s="24"/>
      <c r="DN2075" s="24"/>
      <c r="DO2075" s="24"/>
      <c r="DP2075" s="24"/>
      <c r="DQ2075" s="24"/>
      <c r="DR2075" s="24"/>
      <c r="DS2075" s="24"/>
      <c r="DT2075" s="24"/>
      <c r="DU2075" s="24"/>
    </row>
    <row r="2076" spans="1:125" s="8" customFormat="1" ht="409.5" x14ac:dyDescent="0.2">
      <c r="A2076" s="353">
        <v>41431</v>
      </c>
      <c r="B2076" s="352" t="s">
        <v>2847</v>
      </c>
      <c r="C2076" s="354" t="s">
        <v>2137</v>
      </c>
      <c r="D2076" s="354" t="s">
        <v>3088</v>
      </c>
      <c r="E2076" s="75" t="str">
        <f>VLOOKUP(B2076&amp;C2076,Divipola!$C$2:$F$1138,4,FALSE)</f>
        <v>68745</v>
      </c>
      <c r="F2076" s="87"/>
      <c r="G2076" s="87"/>
      <c r="H2076" s="87"/>
      <c r="I2076" s="87"/>
      <c r="J2076" s="87"/>
      <c r="K2076" s="87"/>
      <c r="L2076" s="87"/>
      <c r="M2076" s="87">
        <v>1</v>
      </c>
      <c r="N2076" s="87"/>
      <c r="O2076" s="87"/>
      <c r="P2076" s="87"/>
      <c r="Q2076" s="87"/>
      <c r="R2076" s="87"/>
      <c r="S2076" s="87"/>
      <c r="T2076" s="87"/>
      <c r="U2076" s="88"/>
      <c r="V2076" s="89"/>
      <c r="W2076" s="96">
        <v>0</v>
      </c>
      <c r="X2076" s="71">
        <f>CU2076</f>
        <v>0</v>
      </c>
      <c r="Y2076" s="71">
        <f>CY2076</f>
        <v>0</v>
      </c>
      <c r="Z2076" s="71">
        <f>DA2076+DC2076+DE2076</f>
        <v>0</v>
      </c>
      <c r="AA2076" s="71">
        <f>CW2076</f>
        <v>0</v>
      </c>
      <c r="AB2076" s="71"/>
      <c r="AC2076" s="71">
        <v>0</v>
      </c>
      <c r="AD2076" s="71">
        <f>W2076+X2076+Y2076+Z2076+AA2076+AB2076+AC2076</f>
        <v>0</v>
      </c>
      <c r="AE2076" s="72">
        <v>0</v>
      </c>
      <c r="AF2076" s="5"/>
      <c r="AG2076" s="6"/>
      <c r="AH2076" s="27" t="s">
        <v>3392</v>
      </c>
      <c r="AI2076" s="44" t="s">
        <v>3393</v>
      </c>
      <c r="AJ2076" s="26"/>
      <c r="AK2076" s="5"/>
      <c r="AL2076" s="82" t="s">
        <v>4905</v>
      </c>
      <c r="AM2076" s="76"/>
      <c r="AN2076" s="76"/>
      <c r="AO2076" s="76"/>
      <c r="AP2076" s="76"/>
      <c r="AQ2076" s="76"/>
      <c r="AR2076" s="76"/>
      <c r="AS2076" s="76"/>
      <c r="AT2076" s="76"/>
      <c r="AU2076" s="76"/>
      <c r="AV2076" s="76"/>
      <c r="AW2076" s="76"/>
      <c r="AX2076" s="76">
        <f>+AW2076*600000</f>
        <v>0</v>
      </c>
      <c r="AY2076" s="76"/>
      <c r="AZ2076" s="76">
        <f>+AY2076*70000</f>
        <v>0</v>
      </c>
      <c r="BA2076" s="76"/>
      <c r="BB2076" s="76"/>
      <c r="BC2076" s="76"/>
      <c r="BD2076" s="76">
        <f>+BC2076*30000</f>
        <v>0</v>
      </c>
      <c r="BE2076" s="76"/>
      <c r="BF2076" s="76"/>
      <c r="BG2076" s="76"/>
      <c r="BH2076" s="76"/>
      <c r="BI2076" s="76"/>
      <c r="BJ2076" s="76"/>
      <c r="BK2076" s="76"/>
      <c r="BL2076" s="76">
        <f>+BK2076*31500</f>
        <v>0</v>
      </c>
      <c r="BM2076" s="76"/>
      <c r="BN2076" s="76"/>
      <c r="BO2076" s="76"/>
      <c r="BP2076" s="76"/>
      <c r="BQ2076" s="76"/>
      <c r="BR2076" s="76"/>
      <c r="BS2076" s="76"/>
      <c r="BT2076" s="76"/>
      <c r="BU2076" s="76"/>
      <c r="BV2076" s="76"/>
      <c r="BW2076" s="76"/>
      <c r="BX2076" s="76"/>
      <c r="BY2076" s="76"/>
      <c r="BZ2076" s="76"/>
      <c r="CA2076" s="76"/>
      <c r="CB2076" s="76"/>
      <c r="CC2076" s="76"/>
      <c r="CD2076" s="76"/>
      <c r="CE2076" s="76"/>
      <c r="CF2076" s="76">
        <f>+CE2076*28000</f>
        <v>0</v>
      </c>
      <c r="CG2076" s="76"/>
      <c r="CH2076" s="76">
        <f>+CG2076*22500</f>
        <v>0</v>
      </c>
      <c r="CI2076" s="76"/>
      <c r="CJ2076" s="76">
        <f>+CI2076*26000</f>
        <v>0</v>
      </c>
      <c r="CK2076" s="76"/>
      <c r="CL2076" s="76"/>
      <c r="CM2076" s="76"/>
      <c r="CN2076" s="76">
        <f>+CM2076*22000</f>
        <v>0</v>
      </c>
      <c r="CO2076" s="76"/>
      <c r="CP2076" s="76">
        <f>+CO2076*46000</f>
        <v>0</v>
      </c>
      <c r="CQ2076" s="76"/>
      <c r="CR2076" s="76">
        <f>+CQ2076*49000</f>
        <v>0</v>
      </c>
      <c r="CS2076" s="76"/>
      <c r="CT2076" s="76"/>
      <c r="CU2076" s="56">
        <f>AN2076+AP2076+AR2076+AT2076+AV2076+AX2076+AZ2076+BB2076+BD2076+BF2076+BH2076+BJ2076+BL2076+BN2076+BP2076+BR2076+BT2076+BV2076+BX2076+BZ2076+CB2076+CD2076+CF2076+CH2076+CJ2076+CL2076+CN2076+CP2076+CR2076+CT2076</f>
        <v>0</v>
      </c>
      <c r="CV2076" s="76"/>
      <c r="CW2076" s="76">
        <f>+CV2076*1100</f>
        <v>0</v>
      </c>
      <c r="CX2076" s="76"/>
      <c r="CY2076" s="76">
        <f>+CX2076*106250</f>
        <v>0</v>
      </c>
      <c r="CZ2076" s="76"/>
      <c r="DA2076" s="76">
        <f>+CZ2076*34500</f>
        <v>0</v>
      </c>
      <c r="DB2076" s="76"/>
      <c r="DC2076" s="76">
        <f>+DB2076*25000</f>
        <v>0</v>
      </c>
      <c r="DD2076" s="219"/>
      <c r="DE2076" s="219"/>
      <c r="DF2076" s="166"/>
      <c r="DG2076" s="116"/>
      <c r="DH2076" s="117"/>
      <c r="DI2076" s="24"/>
      <c r="DJ2076" s="24"/>
      <c r="DK2076" s="24"/>
      <c r="DL2076" s="24"/>
      <c r="DM2076" s="24"/>
      <c r="DN2076" s="24"/>
      <c r="DO2076" s="24"/>
      <c r="DP2076" s="24"/>
      <c r="DQ2076" s="24"/>
      <c r="DR2076" s="24"/>
      <c r="DS2076" s="24"/>
      <c r="DT2076" s="24"/>
      <c r="DU2076" s="24"/>
    </row>
    <row r="2077" spans="1:125" s="8" customFormat="1" ht="72" x14ac:dyDescent="0.2">
      <c r="A2077" s="77">
        <v>41431</v>
      </c>
      <c r="B2077" s="225" t="s">
        <v>2300</v>
      </c>
      <c r="C2077" s="227" t="s">
        <v>2301</v>
      </c>
      <c r="D2077" s="227" t="s">
        <v>3051</v>
      </c>
      <c r="E2077" s="75" t="str">
        <f>VLOOKUP(B2077&amp;C2077,Divipola!$C$2:$F$1138,4,FALSE)</f>
        <v>97001</v>
      </c>
      <c r="F2077" s="87"/>
      <c r="G2077" s="87"/>
      <c r="H2077" s="87"/>
      <c r="I2077" s="87">
        <v>45</v>
      </c>
      <c r="J2077" s="87">
        <v>8</v>
      </c>
      <c r="K2077" s="87"/>
      <c r="L2077" s="87">
        <v>8</v>
      </c>
      <c r="M2077" s="87"/>
      <c r="N2077" s="87"/>
      <c r="O2077" s="87"/>
      <c r="P2077" s="87"/>
      <c r="Q2077" s="87"/>
      <c r="R2077" s="87"/>
      <c r="S2077" s="87"/>
      <c r="T2077" s="87"/>
      <c r="U2077" s="88"/>
      <c r="V2077" s="89"/>
      <c r="W2077" s="96">
        <v>0</v>
      </c>
      <c r="X2077" s="71">
        <f>CU2077</f>
        <v>0</v>
      </c>
      <c r="Y2077" s="71">
        <f>CY2077</f>
        <v>0</v>
      </c>
      <c r="Z2077" s="71">
        <f>DA2077+DC2077+DE2077</f>
        <v>0</v>
      </c>
      <c r="AA2077" s="71">
        <f>CW2077</f>
        <v>0</v>
      </c>
      <c r="AB2077" s="71"/>
      <c r="AC2077" s="71">
        <v>0</v>
      </c>
      <c r="AD2077" s="71">
        <f>W2077+X2077+Y2077+Z2077+AA2077+AB2077+AC2077</f>
        <v>0</v>
      </c>
      <c r="AE2077" s="72">
        <v>0</v>
      </c>
      <c r="AF2077" s="5"/>
      <c r="AG2077" s="6"/>
      <c r="AH2077" s="27" t="s">
        <v>3392</v>
      </c>
      <c r="AI2077" s="44" t="s">
        <v>3393</v>
      </c>
      <c r="AJ2077" s="26"/>
      <c r="AK2077" s="5"/>
      <c r="AL2077" s="82" t="s">
        <v>4885</v>
      </c>
      <c r="AM2077" s="76"/>
      <c r="AN2077" s="76"/>
      <c r="AO2077" s="76"/>
      <c r="AP2077" s="76"/>
      <c r="AQ2077" s="76"/>
      <c r="AR2077" s="76"/>
      <c r="AS2077" s="76"/>
      <c r="AT2077" s="76"/>
      <c r="AU2077" s="76"/>
      <c r="AV2077" s="76"/>
      <c r="AW2077" s="76"/>
      <c r="AX2077" s="76">
        <f>+AW2077*600000</f>
        <v>0</v>
      </c>
      <c r="AY2077" s="76"/>
      <c r="AZ2077" s="76">
        <f>+AY2077*70000</f>
        <v>0</v>
      </c>
      <c r="BA2077" s="76"/>
      <c r="BB2077" s="76"/>
      <c r="BC2077" s="76"/>
      <c r="BD2077" s="76">
        <f>+BC2077*30000</f>
        <v>0</v>
      </c>
      <c r="BE2077" s="76"/>
      <c r="BF2077" s="76"/>
      <c r="BG2077" s="76"/>
      <c r="BH2077" s="76"/>
      <c r="BI2077" s="76"/>
      <c r="BJ2077" s="76"/>
      <c r="BK2077" s="76"/>
      <c r="BL2077" s="76">
        <f>+BK2077*31500</f>
        <v>0</v>
      </c>
      <c r="BM2077" s="76"/>
      <c r="BN2077" s="76"/>
      <c r="BO2077" s="76"/>
      <c r="BP2077" s="76"/>
      <c r="BQ2077" s="76"/>
      <c r="BR2077" s="76"/>
      <c r="BS2077" s="76"/>
      <c r="BT2077" s="76"/>
      <c r="BU2077" s="76"/>
      <c r="BV2077" s="76"/>
      <c r="BW2077" s="76"/>
      <c r="BX2077" s="76"/>
      <c r="BY2077" s="76"/>
      <c r="BZ2077" s="76"/>
      <c r="CA2077" s="76"/>
      <c r="CB2077" s="76"/>
      <c r="CC2077" s="76"/>
      <c r="CD2077" s="76"/>
      <c r="CE2077" s="76"/>
      <c r="CF2077" s="76">
        <f>+CE2077*28000</f>
        <v>0</v>
      </c>
      <c r="CG2077" s="76"/>
      <c r="CH2077" s="76">
        <f>+CG2077*22500</f>
        <v>0</v>
      </c>
      <c r="CI2077" s="76"/>
      <c r="CJ2077" s="76">
        <f>+CI2077*26000</f>
        <v>0</v>
      </c>
      <c r="CK2077" s="76"/>
      <c r="CL2077" s="76"/>
      <c r="CM2077" s="76"/>
      <c r="CN2077" s="76">
        <f>+CM2077*22000</f>
        <v>0</v>
      </c>
      <c r="CO2077" s="76"/>
      <c r="CP2077" s="76">
        <f>+CO2077*46000</f>
        <v>0</v>
      </c>
      <c r="CQ2077" s="76"/>
      <c r="CR2077" s="76">
        <f>+CQ2077*49000</f>
        <v>0</v>
      </c>
      <c r="CS2077" s="76"/>
      <c r="CT2077" s="76"/>
      <c r="CU2077" s="56">
        <f>AN2077+AP2077+AR2077+AT2077+AV2077+AX2077+AZ2077+BB2077+BD2077+BF2077+BH2077+BJ2077+BL2077+BN2077+BP2077+BR2077+BT2077+BV2077+BX2077+BZ2077+CB2077+CD2077+CF2077+CH2077+CJ2077+CL2077+CN2077+CP2077+CR2077+CT2077</f>
        <v>0</v>
      </c>
      <c r="CV2077" s="76"/>
      <c r="CW2077" s="76">
        <f>+CV2077*1100</f>
        <v>0</v>
      </c>
      <c r="CX2077" s="76"/>
      <c r="CY2077" s="76">
        <f>+CX2077*106250</f>
        <v>0</v>
      </c>
      <c r="CZ2077" s="76"/>
      <c r="DA2077" s="76">
        <f>+CZ2077*34500</f>
        <v>0</v>
      </c>
      <c r="DB2077" s="76"/>
      <c r="DC2077" s="76">
        <f>+DB2077*25000</f>
        <v>0</v>
      </c>
      <c r="DD2077" s="219"/>
      <c r="DE2077" s="219"/>
      <c r="DF2077" s="166"/>
      <c r="DG2077" s="116"/>
      <c r="DH2077" s="117"/>
      <c r="DI2077" s="24"/>
      <c r="DJ2077" s="24"/>
      <c r="DK2077" s="24"/>
      <c r="DL2077" s="24"/>
      <c r="DM2077" s="24"/>
      <c r="DN2077" s="24"/>
      <c r="DO2077" s="24"/>
      <c r="DP2077" s="24"/>
      <c r="DQ2077" s="24"/>
      <c r="DR2077" s="24"/>
      <c r="DS2077" s="24"/>
      <c r="DT2077" s="24"/>
      <c r="DU2077" s="24"/>
    </row>
    <row r="2078" spans="1:125" s="8" customFormat="1" ht="108" x14ac:dyDescent="0.2">
      <c r="A2078" s="353">
        <v>41432</v>
      </c>
      <c r="B2078" s="352" t="s">
        <v>2894</v>
      </c>
      <c r="C2078" s="354" t="s">
        <v>2822</v>
      </c>
      <c r="D2078" s="354" t="s">
        <v>2859</v>
      </c>
      <c r="E2078" s="75" t="str">
        <f>VLOOKUP(B2078&amp;C2078,Divipola!$C$2:$F$1138,4,FALSE)</f>
        <v>05631</v>
      </c>
      <c r="F2078" s="163"/>
      <c r="G2078" s="163"/>
      <c r="H2078" s="163"/>
      <c r="I2078" s="163"/>
      <c r="J2078" s="163"/>
      <c r="K2078" s="163"/>
      <c r="L2078" s="163"/>
      <c r="M2078" s="163"/>
      <c r="N2078" s="163"/>
      <c r="O2078" s="163"/>
      <c r="P2078" s="163"/>
      <c r="Q2078" s="163"/>
      <c r="R2078" s="163"/>
      <c r="S2078" s="163"/>
      <c r="T2078" s="163"/>
      <c r="U2078" s="163"/>
      <c r="V2078" s="134"/>
      <c r="W2078" s="96">
        <v>0</v>
      </c>
      <c r="X2078" s="71">
        <f>CU2078</f>
        <v>0</v>
      </c>
      <c r="Y2078" s="71">
        <f>CY2078</f>
        <v>0</v>
      </c>
      <c r="Z2078" s="71">
        <f>DA2078+DC2078+DE2078</f>
        <v>0</v>
      </c>
      <c r="AA2078" s="71">
        <f>CW2078</f>
        <v>0</v>
      </c>
      <c r="AB2078" s="71"/>
      <c r="AC2078" s="71">
        <v>0</v>
      </c>
      <c r="AD2078" s="71">
        <f>W2078+X2078+Y2078+Z2078+AA2078+AB2078+AC2078</f>
        <v>0</v>
      </c>
      <c r="AE2078" s="72">
        <v>0</v>
      </c>
      <c r="AF2078" s="5"/>
      <c r="AG2078" s="6"/>
      <c r="AH2078" s="27" t="s">
        <v>3392</v>
      </c>
      <c r="AI2078" s="44" t="s">
        <v>3393</v>
      </c>
      <c r="AJ2078" s="26"/>
      <c r="AK2078" s="5"/>
      <c r="AL2078" s="82" t="s">
        <v>4893</v>
      </c>
      <c r="AM2078" s="76"/>
      <c r="AN2078" s="76"/>
      <c r="AO2078" s="76"/>
      <c r="AP2078" s="76"/>
      <c r="AQ2078" s="76"/>
      <c r="AR2078" s="76"/>
      <c r="AS2078" s="76"/>
      <c r="AT2078" s="76"/>
      <c r="AU2078" s="76"/>
      <c r="AV2078" s="76"/>
      <c r="AW2078" s="76"/>
      <c r="AX2078" s="76">
        <f>+AW2078*600000</f>
        <v>0</v>
      </c>
      <c r="AY2078" s="76"/>
      <c r="AZ2078" s="76">
        <f>+AY2078*70000</f>
        <v>0</v>
      </c>
      <c r="BA2078" s="76"/>
      <c r="BB2078" s="76"/>
      <c r="BC2078" s="76"/>
      <c r="BD2078" s="76">
        <f>+BC2078*30000</f>
        <v>0</v>
      </c>
      <c r="BE2078" s="76"/>
      <c r="BF2078" s="76"/>
      <c r="BG2078" s="76"/>
      <c r="BH2078" s="76"/>
      <c r="BI2078" s="76"/>
      <c r="BJ2078" s="76"/>
      <c r="BK2078" s="76"/>
      <c r="BL2078" s="76">
        <f>+BK2078*31500</f>
        <v>0</v>
      </c>
      <c r="BM2078" s="76"/>
      <c r="BN2078" s="76"/>
      <c r="BO2078" s="76"/>
      <c r="BP2078" s="76"/>
      <c r="BQ2078" s="76"/>
      <c r="BR2078" s="76"/>
      <c r="BS2078" s="76"/>
      <c r="BT2078" s="76"/>
      <c r="BU2078" s="76"/>
      <c r="BV2078" s="76"/>
      <c r="BW2078" s="76"/>
      <c r="BX2078" s="76"/>
      <c r="BY2078" s="76"/>
      <c r="BZ2078" s="76"/>
      <c r="CA2078" s="76"/>
      <c r="CB2078" s="76"/>
      <c r="CC2078" s="76"/>
      <c r="CD2078" s="76"/>
      <c r="CE2078" s="76"/>
      <c r="CF2078" s="76">
        <f>+CE2078*28000</f>
        <v>0</v>
      </c>
      <c r="CG2078" s="76"/>
      <c r="CH2078" s="76">
        <f>+CG2078*22500</f>
        <v>0</v>
      </c>
      <c r="CI2078" s="76"/>
      <c r="CJ2078" s="76">
        <f>+CI2078*26000</f>
        <v>0</v>
      </c>
      <c r="CK2078" s="76"/>
      <c r="CL2078" s="76"/>
      <c r="CM2078" s="76"/>
      <c r="CN2078" s="76">
        <f>+CM2078*22000</f>
        <v>0</v>
      </c>
      <c r="CO2078" s="76"/>
      <c r="CP2078" s="76">
        <f>+CO2078*46000</f>
        <v>0</v>
      </c>
      <c r="CQ2078" s="76"/>
      <c r="CR2078" s="76">
        <f>+CQ2078*49000</f>
        <v>0</v>
      </c>
      <c r="CS2078" s="76"/>
      <c r="CT2078" s="76"/>
      <c r="CU2078" s="56">
        <f>AN2078+AP2078+AR2078+AT2078+AV2078+AX2078+AZ2078+BB2078+BD2078+BF2078+BH2078+BJ2078+BL2078+BN2078+BP2078+BR2078+BT2078+BV2078+BX2078+BZ2078+CB2078+CD2078+CF2078+CH2078+CJ2078+CL2078+CN2078+CP2078+CR2078+CT2078</f>
        <v>0</v>
      </c>
      <c r="CV2078" s="76"/>
      <c r="CW2078" s="76">
        <f>+CV2078*1100</f>
        <v>0</v>
      </c>
      <c r="CX2078" s="76"/>
      <c r="CY2078" s="76">
        <f>+CX2078*106250</f>
        <v>0</v>
      </c>
      <c r="CZ2078" s="76"/>
      <c r="DA2078" s="76">
        <f>+CZ2078*34500</f>
        <v>0</v>
      </c>
      <c r="DB2078" s="76"/>
      <c r="DC2078" s="76">
        <f>+DB2078*25000</f>
        <v>0</v>
      </c>
      <c r="DD2078" s="219"/>
      <c r="DE2078" s="219"/>
      <c r="DF2078" s="166"/>
      <c r="DG2078" s="116"/>
      <c r="DH2078" s="117"/>
      <c r="DI2078" s="24"/>
      <c r="DJ2078" s="24"/>
      <c r="DK2078" s="24"/>
      <c r="DL2078" s="24"/>
      <c r="DM2078" s="24"/>
      <c r="DN2078" s="24"/>
      <c r="DO2078" s="24"/>
      <c r="DP2078" s="24"/>
      <c r="DQ2078" s="24"/>
      <c r="DR2078" s="24"/>
      <c r="DS2078" s="24"/>
      <c r="DT2078" s="24"/>
      <c r="DU2078" s="24"/>
    </row>
    <row r="2079" spans="1:125" s="8" customFormat="1" ht="99" x14ac:dyDescent="0.2">
      <c r="A2079" s="353">
        <v>41432</v>
      </c>
      <c r="B2079" s="352" t="s">
        <v>2894</v>
      </c>
      <c r="C2079" s="354" t="s">
        <v>2604</v>
      </c>
      <c r="D2079" s="354" t="s">
        <v>4391</v>
      </c>
      <c r="E2079" s="75" t="str">
        <f>VLOOKUP(B2079&amp;C2079,Divipola!$C$2:$F$1138,4,FALSE)</f>
        <v>05790</v>
      </c>
      <c r="F2079" s="163">
        <v>1</v>
      </c>
      <c r="G2079" s="163"/>
      <c r="H2079" s="163"/>
      <c r="I2079" s="163"/>
      <c r="J2079" s="163"/>
      <c r="K2079" s="163"/>
      <c r="L2079" s="163"/>
      <c r="M2079" s="163"/>
      <c r="N2079" s="163"/>
      <c r="O2079" s="163"/>
      <c r="P2079" s="163"/>
      <c r="Q2079" s="163"/>
      <c r="R2079" s="163"/>
      <c r="S2079" s="163"/>
      <c r="T2079" s="163"/>
      <c r="U2079" s="163"/>
      <c r="V2079" s="134"/>
      <c r="W2079" s="96">
        <v>0</v>
      </c>
      <c r="X2079" s="71">
        <f>CU2079</f>
        <v>0</v>
      </c>
      <c r="Y2079" s="71">
        <f>CY2079</f>
        <v>0</v>
      </c>
      <c r="Z2079" s="71">
        <f>DA2079+DC2079+DE2079</f>
        <v>0</v>
      </c>
      <c r="AA2079" s="71">
        <f>CW2079</f>
        <v>0</v>
      </c>
      <c r="AB2079" s="71"/>
      <c r="AC2079" s="71">
        <v>0</v>
      </c>
      <c r="AD2079" s="71">
        <f>W2079+X2079+Y2079+Z2079+AA2079+AB2079+AC2079</f>
        <v>0</v>
      </c>
      <c r="AE2079" s="72">
        <v>0</v>
      </c>
      <c r="AF2079" s="5"/>
      <c r="AG2079" s="6"/>
      <c r="AH2079" s="27" t="s">
        <v>3392</v>
      </c>
      <c r="AI2079" s="44" t="s">
        <v>3393</v>
      </c>
      <c r="AJ2079" s="26"/>
      <c r="AK2079" s="5"/>
      <c r="AL2079" s="82" t="s">
        <v>4894</v>
      </c>
      <c r="AM2079" s="76"/>
      <c r="AN2079" s="76"/>
      <c r="AO2079" s="76"/>
      <c r="AP2079" s="76"/>
      <c r="AQ2079" s="76"/>
      <c r="AR2079" s="76"/>
      <c r="AS2079" s="76"/>
      <c r="AT2079" s="76"/>
      <c r="AU2079" s="76"/>
      <c r="AV2079" s="76"/>
      <c r="AW2079" s="76"/>
      <c r="AX2079" s="76">
        <f>+AW2079*600000</f>
        <v>0</v>
      </c>
      <c r="AY2079" s="76"/>
      <c r="AZ2079" s="76">
        <f>+AY2079*70000</f>
        <v>0</v>
      </c>
      <c r="BA2079" s="76"/>
      <c r="BB2079" s="76"/>
      <c r="BC2079" s="76"/>
      <c r="BD2079" s="76">
        <f>+BC2079*30000</f>
        <v>0</v>
      </c>
      <c r="BE2079" s="76"/>
      <c r="BF2079" s="76"/>
      <c r="BG2079" s="76"/>
      <c r="BH2079" s="76"/>
      <c r="BI2079" s="76"/>
      <c r="BJ2079" s="76"/>
      <c r="BK2079" s="76"/>
      <c r="BL2079" s="76">
        <f>+BK2079*31500</f>
        <v>0</v>
      </c>
      <c r="BM2079" s="76"/>
      <c r="BN2079" s="76"/>
      <c r="BO2079" s="76"/>
      <c r="BP2079" s="76"/>
      <c r="BQ2079" s="76"/>
      <c r="BR2079" s="76"/>
      <c r="BS2079" s="76"/>
      <c r="BT2079" s="76"/>
      <c r="BU2079" s="76"/>
      <c r="BV2079" s="76"/>
      <c r="BW2079" s="76"/>
      <c r="BX2079" s="76"/>
      <c r="BY2079" s="76"/>
      <c r="BZ2079" s="76"/>
      <c r="CA2079" s="76"/>
      <c r="CB2079" s="76"/>
      <c r="CC2079" s="76"/>
      <c r="CD2079" s="76"/>
      <c r="CE2079" s="76"/>
      <c r="CF2079" s="76">
        <f>+CE2079*28000</f>
        <v>0</v>
      </c>
      <c r="CG2079" s="76"/>
      <c r="CH2079" s="76">
        <f>+CG2079*22500</f>
        <v>0</v>
      </c>
      <c r="CI2079" s="76"/>
      <c r="CJ2079" s="76">
        <f>+CI2079*26000</f>
        <v>0</v>
      </c>
      <c r="CK2079" s="76"/>
      <c r="CL2079" s="76"/>
      <c r="CM2079" s="76"/>
      <c r="CN2079" s="76">
        <f>+CM2079*22000</f>
        <v>0</v>
      </c>
      <c r="CO2079" s="76"/>
      <c r="CP2079" s="76">
        <f>+CO2079*46000</f>
        <v>0</v>
      </c>
      <c r="CQ2079" s="76"/>
      <c r="CR2079" s="76">
        <f>+CQ2079*49000</f>
        <v>0</v>
      </c>
      <c r="CS2079" s="76"/>
      <c r="CT2079" s="76"/>
      <c r="CU2079" s="56">
        <f>AN2079+AP2079+AR2079+AT2079+AV2079+AX2079+AZ2079+BB2079+BD2079+BF2079+BH2079+BJ2079+BL2079+BN2079+BP2079+BR2079+BT2079+BV2079+BX2079+BZ2079+CB2079+CD2079+CF2079+CH2079+CJ2079+CL2079+CN2079+CP2079+CR2079+CT2079</f>
        <v>0</v>
      </c>
      <c r="CV2079" s="76"/>
      <c r="CW2079" s="76">
        <f>+CV2079*1100</f>
        <v>0</v>
      </c>
      <c r="CX2079" s="76"/>
      <c r="CY2079" s="76">
        <f>+CX2079*106250</f>
        <v>0</v>
      </c>
      <c r="CZ2079" s="76"/>
      <c r="DA2079" s="76">
        <f>+CZ2079*34500</f>
        <v>0</v>
      </c>
      <c r="DB2079" s="76"/>
      <c r="DC2079" s="76">
        <f>+DB2079*25000</f>
        <v>0</v>
      </c>
      <c r="DD2079" s="219"/>
      <c r="DE2079" s="219"/>
      <c r="DF2079" s="166"/>
      <c r="DG2079" s="116"/>
      <c r="DH2079" s="117"/>
      <c r="DI2079" s="24"/>
      <c r="DJ2079" s="24"/>
      <c r="DK2079" s="24"/>
      <c r="DL2079" s="24"/>
      <c r="DM2079" s="24"/>
      <c r="DN2079" s="24"/>
      <c r="DO2079" s="24"/>
      <c r="DP2079" s="24"/>
      <c r="DQ2079" s="24"/>
      <c r="DR2079" s="24"/>
      <c r="DS2079" s="24"/>
      <c r="DT2079" s="24"/>
      <c r="DU2079" s="24"/>
    </row>
    <row r="2080" spans="1:125" s="8" customFormat="1" ht="60" x14ac:dyDescent="0.2">
      <c r="A2080" s="77">
        <v>41432</v>
      </c>
      <c r="B2080" s="78" t="s">
        <v>2774</v>
      </c>
      <c r="C2080" s="75" t="s">
        <v>1347</v>
      </c>
      <c r="D2080" s="75" t="s">
        <v>2882</v>
      </c>
      <c r="E2080" s="75" t="str">
        <f>VLOOKUP(B2080&amp;C2080,Divipola!$C$2:$F$1138,4,FALSE)</f>
        <v>66001</v>
      </c>
      <c r="F2080" s="87"/>
      <c r="G2080" s="87"/>
      <c r="H2080" s="87"/>
      <c r="I2080" s="87">
        <v>65</v>
      </c>
      <c r="J2080" s="87">
        <v>13</v>
      </c>
      <c r="K2080" s="87"/>
      <c r="L2080" s="87">
        <v>13</v>
      </c>
      <c r="M2080" s="87"/>
      <c r="N2080" s="87"/>
      <c r="O2080" s="87"/>
      <c r="P2080" s="87"/>
      <c r="Q2080" s="87"/>
      <c r="R2080" s="87"/>
      <c r="S2080" s="87"/>
      <c r="T2080" s="87"/>
      <c r="U2080" s="88"/>
      <c r="V2080" s="89"/>
      <c r="W2080" s="96">
        <v>0</v>
      </c>
      <c r="X2080" s="71">
        <f>CU2080</f>
        <v>0</v>
      </c>
      <c r="Y2080" s="71">
        <f>CY2080</f>
        <v>0</v>
      </c>
      <c r="Z2080" s="71">
        <f>DA2080+DC2080+DE2080</f>
        <v>0</v>
      </c>
      <c r="AA2080" s="71">
        <f>CW2080</f>
        <v>0</v>
      </c>
      <c r="AB2080" s="71"/>
      <c r="AC2080" s="71">
        <v>0</v>
      </c>
      <c r="AD2080" s="71">
        <f>W2080+X2080+Y2080+Z2080+AA2080+AB2080+AC2080</f>
        <v>0</v>
      </c>
      <c r="AE2080" s="72">
        <v>0</v>
      </c>
      <c r="AF2080" s="5"/>
      <c r="AG2080" s="6"/>
      <c r="AH2080" s="27" t="s">
        <v>3392</v>
      </c>
      <c r="AI2080" s="44" t="s">
        <v>3393</v>
      </c>
      <c r="AJ2080" s="26"/>
      <c r="AK2080" s="5"/>
      <c r="AL2080" s="82" t="s">
        <v>4906</v>
      </c>
      <c r="AM2080" s="76"/>
      <c r="AN2080" s="76"/>
      <c r="AO2080" s="76"/>
      <c r="AP2080" s="76"/>
      <c r="AQ2080" s="76"/>
      <c r="AR2080" s="76"/>
      <c r="AS2080" s="76"/>
      <c r="AT2080" s="76"/>
      <c r="AU2080" s="76"/>
      <c r="AV2080" s="76"/>
      <c r="AW2080" s="76"/>
      <c r="AX2080" s="76">
        <f>+AW2080*600000</f>
        <v>0</v>
      </c>
      <c r="AY2080" s="76"/>
      <c r="AZ2080" s="76">
        <f>+AY2080*70000</f>
        <v>0</v>
      </c>
      <c r="BA2080" s="76"/>
      <c r="BB2080" s="76"/>
      <c r="BC2080" s="76"/>
      <c r="BD2080" s="76">
        <f>+BC2080*30000</f>
        <v>0</v>
      </c>
      <c r="BE2080" s="76"/>
      <c r="BF2080" s="76"/>
      <c r="BG2080" s="76"/>
      <c r="BH2080" s="76"/>
      <c r="BI2080" s="76"/>
      <c r="BJ2080" s="76"/>
      <c r="BK2080" s="76"/>
      <c r="BL2080" s="76">
        <f>+BK2080*31500</f>
        <v>0</v>
      </c>
      <c r="BM2080" s="76"/>
      <c r="BN2080" s="76"/>
      <c r="BO2080" s="76"/>
      <c r="BP2080" s="76"/>
      <c r="BQ2080" s="76"/>
      <c r="BR2080" s="76"/>
      <c r="BS2080" s="76"/>
      <c r="BT2080" s="76"/>
      <c r="BU2080" s="76"/>
      <c r="BV2080" s="76"/>
      <c r="BW2080" s="76"/>
      <c r="BX2080" s="76"/>
      <c r="BY2080" s="76"/>
      <c r="BZ2080" s="76"/>
      <c r="CA2080" s="76"/>
      <c r="CB2080" s="76"/>
      <c r="CC2080" s="76"/>
      <c r="CD2080" s="76"/>
      <c r="CE2080" s="76"/>
      <c r="CF2080" s="76">
        <f>+CE2080*28000</f>
        <v>0</v>
      </c>
      <c r="CG2080" s="76"/>
      <c r="CH2080" s="76">
        <f>+CG2080*22500</f>
        <v>0</v>
      </c>
      <c r="CI2080" s="76"/>
      <c r="CJ2080" s="76">
        <f>+CI2080*26000</f>
        <v>0</v>
      </c>
      <c r="CK2080" s="76"/>
      <c r="CL2080" s="76"/>
      <c r="CM2080" s="76"/>
      <c r="CN2080" s="76">
        <f>+CM2080*22000</f>
        <v>0</v>
      </c>
      <c r="CO2080" s="76"/>
      <c r="CP2080" s="76">
        <f>+CO2080*46000</f>
        <v>0</v>
      </c>
      <c r="CQ2080" s="76"/>
      <c r="CR2080" s="76">
        <f>+CQ2080*49000</f>
        <v>0</v>
      </c>
      <c r="CS2080" s="76"/>
      <c r="CT2080" s="76"/>
      <c r="CU2080" s="56">
        <f>AN2080+AP2080+AR2080+AT2080+AV2080+AX2080+AZ2080+BB2080+BD2080+BF2080+BH2080+BJ2080+BL2080+BN2080+BP2080+BR2080+BT2080+BV2080+BX2080+BZ2080+CB2080+CD2080+CF2080+CH2080+CJ2080+CL2080+CN2080+CP2080+CR2080+CT2080</f>
        <v>0</v>
      </c>
      <c r="CV2080" s="76"/>
      <c r="CW2080" s="76">
        <f>+CV2080*1100</f>
        <v>0</v>
      </c>
      <c r="CX2080" s="76"/>
      <c r="CY2080" s="76">
        <f>+CX2080*106250</f>
        <v>0</v>
      </c>
      <c r="CZ2080" s="76"/>
      <c r="DA2080" s="76">
        <f>+CZ2080*34500</f>
        <v>0</v>
      </c>
      <c r="DB2080" s="76"/>
      <c r="DC2080" s="76">
        <f>+DB2080*25000</f>
        <v>0</v>
      </c>
      <c r="DD2080" s="219"/>
      <c r="DE2080" s="219"/>
      <c r="DF2080" s="166"/>
      <c r="DG2080" s="116"/>
      <c r="DH2080" s="117"/>
      <c r="DI2080" s="24"/>
      <c r="DJ2080" s="24"/>
      <c r="DK2080" s="24"/>
      <c r="DL2080" s="24"/>
      <c r="DM2080" s="24"/>
      <c r="DN2080" s="24"/>
      <c r="DO2080" s="24"/>
      <c r="DP2080" s="24"/>
      <c r="DQ2080" s="24"/>
      <c r="DR2080" s="24"/>
      <c r="DS2080" s="24"/>
      <c r="DT2080" s="24"/>
      <c r="DU2080" s="24"/>
    </row>
    <row r="2081" spans="1:125" s="8" customFormat="1" ht="48" x14ac:dyDescent="0.2">
      <c r="A2081" s="77">
        <v>41432</v>
      </c>
      <c r="B2081" s="78" t="s">
        <v>2848</v>
      </c>
      <c r="C2081" s="75" t="s">
        <v>2755</v>
      </c>
      <c r="D2081" s="75" t="s">
        <v>3017</v>
      </c>
      <c r="E2081" s="75" t="str">
        <f>VLOOKUP(B2081&amp;C2081,Divipola!$C$2:$F$1138,4,FALSE)</f>
        <v>73001</v>
      </c>
      <c r="F2081" s="87"/>
      <c r="G2081" s="87">
        <v>1</v>
      </c>
      <c r="H2081" s="87"/>
      <c r="I2081" s="87"/>
      <c r="J2081" s="87"/>
      <c r="K2081" s="87"/>
      <c r="L2081" s="87"/>
      <c r="M2081" s="87"/>
      <c r="N2081" s="87"/>
      <c r="O2081" s="87"/>
      <c r="P2081" s="87"/>
      <c r="Q2081" s="87"/>
      <c r="R2081" s="87"/>
      <c r="S2081" s="87"/>
      <c r="T2081" s="87"/>
      <c r="U2081" s="88"/>
      <c r="V2081" s="89">
        <v>1</v>
      </c>
      <c r="W2081" s="96">
        <v>0</v>
      </c>
      <c r="X2081" s="71">
        <f>CU2081</f>
        <v>0</v>
      </c>
      <c r="Y2081" s="71">
        <f>CY2081</f>
        <v>0</v>
      </c>
      <c r="Z2081" s="71">
        <f>DA2081+DC2081+DE2081</f>
        <v>0</v>
      </c>
      <c r="AA2081" s="71">
        <f>CW2081</f>
        <v>0</v>
      </c>
      <c r="AB2081" s="71"/>
      <c r="AC2081" s="71">
        <v>0</v>
      </c>
      <c r="AD2081" s="71">
        <f>W2081+X2081+Y2081+Z2081+AA2081+AB2081+AC2081</f>
        <v>0</v>
      </c>
      <c r="AE2081" s="72">
        <v>0</v>
      </c>
      <c r="AF2081" s="5"/>
      <c r="AG2081" s="6"/>
      <c r="AH2081" s="27" t="s">
        <v>3392</v>
      </c>
      <c r="AI2081" s="44" t="s">
        <v>3393</v>
      </c>
      <c r="AJ2081" s="26"/>
      <c r="AK2081" s="5"/>
      <c r="AL2081" s="82" t="s">
        <v>4900</v>
      </c>
      <c r="AM2081" s="76"/>
      <c r="AN2081" s="76"/>
      <c r="AO2081" s="76"/>
      <c r="AP2081" s="76"/>
      <c r="AQ2081" s="76"/>
      <c r="AR2081" s="76"/>
      <c r="AS2081" s="76"/>
      <c r="AT2081" s="76"/>
      <c r="AU2081" s="76"/>
      <c r="AV2081" s="76"/>
      <c r="AW2081" s="76"/>
      <c r="AX2081" s="76">
        <f>+AW2081*600000</f>
        <v>0</v>
      </c>
      <c r="AY2081" s="76"/>
      <c r="AZ2081" s="76">
        <f>+AY2081*70000</f>
        <v>0</v>
      </c>
      <c r="BA2081" s="76"/>
      <c r="BB2081" s="76"/>
      <c r="BC2081" s="76"/>
      <c r="BD2081" s="76">
        <f>+BC2081*30000</f>
        <v>0</v>
      </c>
      <c r="BE2081" s="76"/>
      <c r="BF2081" s="76"/>
      <c r="BG2081" s="76"/>
      <c r="BH2081" s="76"/>
      <c r="BI2081" s="76"/>
      <c r="BJ2081" s="76"/>
      <c r="BK2081" s="76"/>
      <c r="BL2081" s="76">
        <f>+BK2081*31500</f>
        <v>0</v>
      </c>
      <c r="BM2081" s="76"/>
      <c r="BN2081" s="76"/>
      <c r="BO2081" s="76"/>
      <c r="BP2081" s="76"/>
      <c r="BQ2081" s="76"/>
      <c r="BR2081" s="76"/>
      <c r="BS2081" s="76"/>
      <c r="BT2081" s="76"/>
      <c r="BU2081" s="76"/>
      <c r="BV2081" s="76"/>
      <c r="BW2081" s="76"/>
      <c r="BX2081" s="76"/>
      <c r="BY2081" s="76"/>
      <c r="BZ2081" s="76"/>
      <c r="CA2081" s="76"/>
      <c r="CB2081" s="76"/>
      <c r="CC2081" s="76"/>
      <c r="CD2081" s="76"/>
      <c r="CE2081" s="76"/>
      <c r="CF2081" s="76">
        <f>+CE2081*28000</f>
        <v>0</v>
      </c>
      <c r="CG2081" s="76"/>
      <c r="CH2081" s="76">
        <f>+CG2081*22500</f>
        <v>0</v>
      </c>
      <c r="CI2081" s="76"/>
      <c r="CJ2081" s="76">
        <f>+CI2081*26000</f>
        <v>0</v>
      </c>
      <c r="CK2081" s="76"/>
      <c r="CL2081" s="76"/>
      <c r="CM2081" s="76"/>
      <c r="CN2081" s="76">
        <f>+CM2081*22000</f>
        <v>0</v>
      </c>
      <c r="CO2081" s="76"/>
      <c r="CP2081" s="76">
        <f>+CO2081*46000</f>
        <v>0</v>
      </c>
      <c r="CQ2081" s="76"/>
      <c r="CR2081" s="76">
        <f>+CQ2081*49000</f>
        <v>0</v>
      </c>
      <c r="CS2081" s="76"/>
      <c r="CT2081" s="76"/>
      <c r="CU2081" s="56">
        <f>AN2081+AP2081+AR2081+AT2081+AV2081+AX2081+AZ2081+BB2081+BD2081+BF2081+BH2081+BJ2081+BL2081+BN2081+BP2081+BR2081+BT2081+BV2081+BX2081+BZ2081+CB2081+CD2081+CF2081+CH2081+CJ2081+CL2081+CN2081+CP2081+CR2081+CT2081</f>
        <v>0</v>
      </c>
      <c r="CV2081" s="76"/>
      <c r="CW2081" s="76">
        <f>+CV2081*1100</f>
        <v>0</v>
      </c>
      <c r="CX2081" s="76"/>
      <c r="CY2081" s="76">
        <f>+CX2081*106250</f>
        <v>0</v>
      </c>
      <c r="CZ2081" s="76"/>
      <c r="DA2081" s="76">
        <f>+CZ2081*34500</f>
        <v>0</v>
      </c>
      <c r="DB2081" s="76"/>
      <c r="DC2081" s="76">
        <f>+DB2081*25000</f>
        <v>0</v>
      </c>
      <c r="DD2081" s="219"/>
      <c r="DE2081" s="219"/>
      <c r="DF2081" s="166"/>
      <c r="DG2081" s="116"/>
      <c r="DH2081" s="117"/>
      <c r="DI2081" s="24"/>
      <c r="DJ2081" s="24"/>
      <c r="DK2081" s="24"/>
      <c r="DL2081" s="24"/>
      <c r="DM2081" s="24"/>
      <c r="DN2081" s="24"/>
      <c r="DO2081" s="24"/>
      <c r="DP2081" s="24"/>
      <c r="DQ2081" s="24"/>
      <c r="DR2081" s="24"/>
      <c r="DS2081" s="24"/>
      <c r="DT2081" s="24"/>
      <c r="DU2081" s="24"/>
    </row>
    <row r="2082" spans="1:125" s="8" customFormat="1" ht="84" x14ac:dyDescent="0.2">
      <c r="A2082" s="197">
        <v>41433</v>
      </c>
      <c r="B2082" s="198" t="s">
        <v>529</v>
      </c>
      <c r="C2082" s="199" t="s">
        <v>529</v>
      </c>
      <c r="D2082" s="199" t="s">
        <v>2882</v>
      </c>
      <c r="E2082" s="75" t="str">
        <f>VLOOKUP(B2082&amp;C2082,Divipola!$C$2:$F$1138,4,FALSE)</f>
        <v>11001</v>
      </c>
      <c r="F2082" s="200"/>
      <c r="G2082" s="200"/>
      <c r="H2082" s="200"/>
      <c r="I2082" s="200">
        <v>4</v>
      </c>
      <c r="J2082" s="200">
        <v>1</v>
      </c>
      <c r="K2082" s="200"/>
      <c r="L2082" s="200">
        <v>1</v>
      </c>
      <c r="M2082" s="200"/>
      <c r="N2082" s="200"/>
      <c r="O2082" s="200"/>
      <c r="P2082" s="200"/>
      <c r="Q2082" s="200"/>
      <c r="R2082" s="200"/>
      <c r="S2082" s="200"/>
      <c r="T2082" s="200"/>
      <c r="U2082" s="201"/>
      <c r="V2082" s="89"/>
      <c r="W2082" s="96">
        <v>0</v>
      </c>
      <c r="X2082" s="71">
        <f>CU2082</f>
        <v>0</v>
      </c>
      <c r="Y2082" s="71">
        <f>CY2082</f>
        <v>0</v>
      </c>
      <c r="Z2082" s="71">
        <f>DA2082+DC2082+DE2082</f>
        <v>0</v>
      </c>
      <c r="AA2082" s="71">
        <f>CW2082</f>
        <v>0</v>
      </c>
      <c r="AB2082" s="71"/>
      <c r="AC2082" s="71">
        <v>0</v>
      </c>
      <c r="AD2082" s="71">
        <f>W2082+X2082+Y2082+Z2082+AA2082+AB2082+AC2082</f>
        <v>0</v>
      </c>
      <c r="AE2082" s="72">
        <v>0</v>
      </c>
      <c r="AF2082" s="5"/>
      <c r="AG2082" s="6"/>
      <c r="AH2082" s="27" t="s">
        <v>3392</v>
      </c>
      <c r="AI2082" s="44" t="s">
        <v>3393</v>
      </c>
      <c r="AJ2082" s="26"/>
      <c r="AK2082" s="5"/>
      <c r="AL2082" s="82" t="s">
        <v>4907</v>
      </c>
      <c r="AM2082" s="76"/>
      <c r="AN2082" s="76"/>
      <c r="AO2082" s="76"/>
      <c r="AP2082" s="76"/>
      <c r="AQ2082" s="76"/>
      <c r="AR2082" s="76"/>
      <c r="AS2082" s="76"/>
      <c r="AT2082" s="76"/>
      <c r="AU2082" s="76"/>
      <c r="AV2082" s="76"/>
      <c r="AW2082" s="76"/>
      <c r="AX2082" s="76">
        <f>+AW2082*600000</f>
        <v>0</v>
      </c>
      <c r="AY2082" s="76"/>
      <c r="AZ2082" s="76">
        <f>+AY2082*70000</f>
        <v>0</v>
      </c>
      <c r="BA2082" s="76"/>
      <c r="BB2082" s="76"/>
      <c r="BC2082" s="76"/>
      <c r="BD2082" s="76">
        <f>+BC2082*30000</f>
        <v>0</v>
      </c>
      <c r="BE2082" s="76"/>
      <c r="BF2082" s="76"/>
      <c r="BG2082" s="76"/>
      <c r="BH2082" s="76"/>
      <c r="BI2082" s="76"/>
      <c r="BJ2082" s="76"/>
      <c r="BK2082" s="76"/>
      <c r="BL2082" s="76">
        <f>+BK2082*31500</f>
        <v>0</v>
      </c>
      <c r="BM2082" s="76"/>
      <c r="BN2082" s="76"/>
      <c r="BO2082" s="76"/>
      <c r="BP2082" s="76"/>
      <c r="BQ2082" s="76"/>
      <c r="BR2082" s="76"/>
      <c r="BS2082" s="76"/>
      <c r="BT2082" s="76"/>
      <c r="BU2082" s="76"/>
      <c r="BV2082" s="76"/>
      <c r="BW2082" s="76"/>
      <c r="BX2082" s="76"/>
      <c r="BY2082" s="76"/>
      <c r="BZ2082" s="76"/>
      <c r="CA2082" s="76"/>
      <c r="CB2082" s="76"/>
      <c r="CC2082" s="76"/>
      <c r="CD2082" s="76"/>
      <c r="CE2082" s="76"/>
      <c r="CF2082" s="76">
        <f>+CE2082*28000</f>
        <v>0</v>
      </c>
      <c r="CG2082" s="76"/>
      <c r="CH2082" s="76">
        <f>+CG2082*22500</f>
        <v>0</v>
      </c>
      <c r="CI2082" s="76"/>
      <c r="CJ2082" s="76">
        <f>+CI2082*26000</f>
        <v>0</v>
      </c>
      <c r="CK2082" s="76"/>
      <c r="CL2082" s="76"/>
      <c r="CM2082" s="76"/>
      <c r="CN2082" s="76">
        <f>+CM2082*22000</f>
        <v>0</v>
      </c>
      <c r="CO2082" s="76"/>
      <c r="CP2082" s="76">
        <f>+CO2082*46000</f>
        <v>0</v>
      </c>
      <c r="CQ2082" s="76"/>
      <c r="CR2082" s="76">
        <f>+CQ2082*49000</f>
        <v>0</v>
      </c>
      <c r="CS2082" s="76"/>
      <c r="CT2082" s="76"/>
      <c r="CU2082" s="56">
        <f>AN2082+AP2082+AR2082+AT2082+AV2082+AX2082+AZ2082+BB2082+BD2082+BF2082+BH2082+BJ2082+BL2082+BN2082+BP2082+BR2082+BT2082+BV2082+BX2082+BZ2082+CB2082+CD2082+CF2082+CH2082+CJ2082+CL2082+CN2082+CP2082+CR2082+CT2082</f>
        <v>0</v>
      </c>
      <c r="CV2082" s="76"/>
      <c r="CW2082" s="76">
        <f>+CV2082*1100</f>
        <v>0</v>
      </c>
      <c r="CX2082" s="76"/>
      <c r="CY2082" s="76">
        <f>+CX2082*106250</f>
        <v>0</v>
      </c>
      <c r="CZ2082" s="76"/>
      <c r="DA2082" s="76">
        <f>+CZ2082*34500</f>
        <v>0</v>
      </c>
      <c r="DB2082" s="76"/>
      <c r="DC2082" s="76">
        <f>+DB2082*25000</f>
        <v>0</v>
      </c>
      <c r="DD2082" s="219"/>
      <c r="DE2082" s="219"/>
      <c r="DF2082" s="166"/>
      <c r="DG2082" s="116"/>
      <c r="DH2082" s="117"/>
      <c r="DI2082" s="24"/>
      <c r="DJ2082" s="24"/>
      <c r="DK2082" s="24"/>
      <c r="DL2082" s="24"/>
      <c r="DM2082" s="24"/>
      <c r="DN2082" s="24"/>
      <c r="DO2082" s="24"/>
      <c r="DP2082" s="24"/>
      <c r="DQ2082" s="24"/>
      <c r="DR2082" s="24"/>
      <c r="DS2082" s="24"/>
      <c r="DT2082" s="24"/>
      <c r="DU2082" s="24"/>
    </row>
    <row r="2083" spans="1:125" s="8" customFormat="1" ht="48" x14ac:dyDescent="0.2">
      <c r="A2083" s="77">
        <v>41433</v>
      </c>
      <c r="B2083" s="75" t="s">
        <v>2848</v>
      </c>
      <c r="C2083" s="75" t="s">
        <v>1872</v>
      </c>
      <c r="D2083" s="75" t="s">
        <v>2846</v>
      </c>
      <c r="E2083" s="75" t="str">
        <f>VLOOKUP(B2083&amp;C2083,Divipola!$C$2:$F$1138,4,FALSE)</f>
        <v>73268</v>
      </c>
      <c r="F2083" s="93"/>
      <c r="G2083" s="93"/>
      <c r="H2083" s="93"/>
      <c r="I2083" s="93"/>
      <c r="J2083" s="93"/>
      <c r="K2083" s="93"/>
      <c r="L2083" s="93"/>
      <c r="M2083" s="93"/>
      <c r="N2083" s="93"/>
      <c r="O2083" s="93"/>
      <c r="P2083" s="93"/>
      <c r="Q2083" s="93"/>
      <c r="R2083" s="93"/>
      <c r="S2083" s="93"/>
      <c r="T2083" s="93"/>
      <c r="U2083" s="93"/>
      <c r="V2083" s="93"/>
      <c r="W2083" s="96">
        <v>0</v>
      </c>
      <c r="X2083" s="71">
        <f>CU2083</f>
        <v>0</v>
      </c>
      <c r="Y2083" s="71">
        <f>CY2083</f>
        <v>0</v>
      </c>
      <c r="Z2083" s="71">
        <f>DA2083+DC2083+DE2083</f>
        <v>0</v>
      </c>
      <c r="AA2083" s="71">
        <f>CW2083</f>
        <v>0</v>
      </c>
      <c r="AB2083" s="71"/>
      <c r="AC2083" s="71">
        <v>0</v>
      </c>
      <c r="AD2083" s="71">
        <f>W2083+X2083+Y2083+Z2083+AA2083+AB2083+AC2083</f>
        <v>0</v>
      </c>
      <c r="AE2083" s="72">
        <v>0</v>
      </c>
      <c r="AF2083" s="5"/>
      <c r="AG2083" s="6"/>
      <c r="AH2083" s="27" t="s">
        <v>3392</v>
      </c>
      <c r="AI2083" s="44" t="s">
        <v>3393</v>
      </c>
      <c r="AJ2083" s="26"/>
      <c r="AK2083" s="5"/>
      <c r="AL2083" s="82" t="s">
        <v>4908</v>
      </c>
      <c r="AM2083" s="76"/>
      <c r="AN2083" s="76"/>
      <c r="AO2083" s="76"/>
      <c r="AP2083" s="76"/>
      <c r="AQ2083" s="76"/>
      <c r="AR2083" s="76"/>
      <c r="AS2083" s="76"/>
      <c r="AT2083" s="76"/>
      <c r="AU2083" s="76"/>
      <c r="AV2083" s="76"/>
      <c r="AW2083" s="76"/>
      <c r="AX2083" s="76">
        <f>+AW2083*600000</f>
        <v>0</v>
      </c>
      <c r="AY2083" s="76"/>
      <c r="AZ2083" s="76">
        <f>+AY2083*70000</f>
        <v>0</v>
      </c>
      <c r="BA2083" s="76"/>
      <c r="BB2083" s="76"/>
      <c r="BC2083" s="76"/>
      <c r="BD2083" s="76">
        <f>+BC2083*30000</f>
        <v>0</v>
      </c>
      <c r="BE2083" s="76"/>
      <c r="BF2083" s="76"/>
      <c r="BG2083" s="76"/>
      <c r="BH2083" s="76"/>
      <c r="BI2083" s="76"/>
      <c r="BJ2083" s="76"/>
      <c r="BK2083" s="76"/>
      <c r="BL2083" s="76">
        <f>+BK2083*31500</f>
        <v>0</v>
      </c>
      <c r="BM2083" s="76"/>
      <c r="BN2083" s="76"/>
      <c r="BO2083" s="76"/>
      <c r="BP2083" s="76"/>
      <c r="BQ2083" s="76"/>
      <c r="BR2083" s="76"/>
      <c r="BS2083" s="76"/>
      <c r="BT2083" s="76"/>
      <c r="BU2083" s="76"/>
      <c r="BV2083" s="76"/>
      <c r="BW2083" s="76"/>
      <c r="BX2083" s="76"/>
      <c r="BY2083" s="76"/>
      <c r="BZ2083" s="76"/>
      <c r="CA2083" s="76"/>
      <c r="CB2083" s="76"/>
      <c r="CC2083" s="76"/>
      <c r="CD2083" s="76"/>
      <c r="CE2083" s="76"/>
      <c r="CF2083" s="76">
        <f>+CE2083*28000</f>
        <v>0</v>
      </c>
      <c r="CG2083" s="76"/>
      <c r="CH2083" s="76">
        <f>+CG2083*22500</f>
        <v>0</v>
      </c>
      <c r="CI2083" s="76"/>
      <c r="CJ2083" s="76">
        <f>+CI2083*26000</f>
        <v>0</v>
      </c>
      <c r="CK2083" s="76"/>
      <c r="CL2083" s="76"/>
      <c r="CM2083" s="76"/>
      <c r="CN2083" s="76">
        <f>+CM2083*22000</f>
        <v>0</v>
      </c>
      <c r="CO2083" s="76"/>
      <c r="CP2083" s="76">
        <f>+CO2083*46000</f>
        <v>0</v>
      </c>
      <c r="CQ2083" s="76"/>
      <c r="CR2083" s="76">
        <f>+CQ2083*49000</f>
        <v>0</v>
      </c>
      <c r="CS2083" s="76"/>
      <c r="CT2083" s="76"/>
      <c r="CU2083" s="56">
        <f>AN2083+AP2083+AR2083+AT2083+AV2083+AX2083+AZ2083+BB2083+BD2083+BF2083+BH2083+BJ2083+BL2083+BN2083+BP2083+BR2083+BT2083+BV2083+BX2083+BZ2083+CB2083+CD2083+CF2083+CH2083+CJ2083+CL2083+CN2083+CP2083+CR2083+CT2083</f>
        <v>0</v>
      </c>
      <c r="CV2083" s="76"/>
      <c r="CW2083" s="76">
        <f>+CV2083*1100</f>
        <v>0</v>
      </c>
      <c r="CX2083" s="76"/>
      <c r="CY2083" s="76">
        <f>+CX2083*106250</f>
        <v>0</v>
      </c>
      <c r="CZ2083" s="76"/>
      <c r="DA2083" s="76">
        <f>+CZ2083*34500</f>
        <v>0</v>
      </c>
      <c r="DB2083" s="76"/>
      <c r="DC2083" s="76">
        <f>+DB2083*25000</f>
        <v>0</v>
      </c>
      <c r="DD2083" s="219"/>
      <c r="DE2083" s="219"/>
      <c r="DF2083" s="166"/>
      <c r="DG2083" s="116"/>
      <c r="DH2083" s="117"/>
      <c r="DI2083" s="24"/>
      <c r="DJ2083" s="24"/>
      <c r="DK2083" s="24"/>
      <c r="DL2083" s="24"/>
      <c r="DM2083" s="24"/>
      <c r="DN2083" s="24"/>
      <c r="DO2083" s="24"/>
      <c r="DP2083" s="24"/>
      <c r="DQ2083" s="24"/>
      <c r="DR2083" s="24"/>
      <c r="DS2083" s="24"/>
      <c r="DT2083" s="24"/>
      <c r="DU2083" s="24"/>
    </row>
    <row r="2084" spans="1:125" s="8" customFormat="1" ht="60" x14ac:dyDescent="0.2">
      <c r="A2084" s="77">
        <v>41434</v>
      </c>
      <c r="B2084" s="78" t="s">
        <v>2661</v>
      </c>
      <c r="C2084" s="75" t="s">
        <v>2808</v>
      </c>
      <c r="D2084" s="75" t="s">
        <v>3051</v>
      </c>
      <c r="E2084" s="75" t="str">
        <f>VLOOKUP(B2084&amp;C2084,Divipola!$C$2:$F$1138,4,FALSE)</f>
        <v>41359</v>
      </c>
      <c r="F2084" s="87"/>
      <c r="G2084" s="87"/>
      <c r="H2084" s="87"/>
      <c r="I2084" s="87">
        <v>10</v>
      </c>
      <c r="J2084" s="87">
        <v>2</v>
      </c>
      <c r="K2084" s="87"/>
      <c r="L2084" s="87">
        <v>2</v>
      </c>
      <c r="M2084" s="87"/>
      <c r="N2084" s="87"/>
      <c r="O2084" s="87"/>
      <c r="P2084" s="87"/>
      <c r="Q2084" s="87"/>
      <c r="R2084" s="87"/>
      <c r="S2084" s="87"/>
      <c r="T2084" s="87"/>
      <c r="U2084" s="88"/>
      <c r="V2084" s="89"/>
      <c r="W2084" s="96">
        <v>0</v>
      </c>
      <c r="X2084" s="71">
        <f>CU2084</f>
        <v>0</v>
      </c>
      <c r="Y2084" s="71">
        <f>CY2084</f>
        <v>0</v>
      </c>
      <c r="Z2084" s="71">
        <f>DA2084+DC2084+DE2084</f>
        <v>0</v>
      </c>
      <c r="AA2084" s="71">
        <f>CW2084</f>
        <v>0</v>
      </c>
      <c r="AB2084" s="71"/>
      <c r="AC2084" s="71">
        <v>0</v>
      </c>
      <c r="AD2084" s="71">
        <f>W2084+X2084+Y2084+Z2084+AA2084+AB2084+AC2084</f>
        <v>0</v>
      </c>
      <c r="AE2084" s="72">
        <v>0</v>
      </c>
      <c r="AF2084" s="5"/>
      <c r="AG2084" s="6"/>
      <c r="AH2084" s="27" t="s">
        <v>3392</v>
      </c>
      <c r="AI2084" s="44" t="s">
        <v>3393</v>
      </c>
      <c r="AJ2084" s="26"/>
      <c r="AK2084" s="5"/>
      <c r="AL2084" s="82" t="s">
        <v>4909</v>
      </c>
      <c r="AM2084" s="76"/>
      <c r="AN2084" s="76"/>
      <c r="AO2084" s="76"/>
      <c r="AP2084" s="76"/>
      <c r="AQ2084" s="76"/>
      <c r="AR2084" s="76"/>
      <c r="AS2084" s="76"/>
      <c r="AT2084" s="76"/>
      <c r="AU2084" s="76"/>
      <c r="AV2084" s="76"/>
      <c r="AW2084" s="76"/>
      <c r="AX2084" s="76">
        <f>+AW2084*600000</f>
        <v>0</v>
      </c>
      <c r="AY2084" s="76"/>
      <c r="AZ2084" s="76">
        <f>+AY2084*70000</f>
        <v>0</v>
      </c>
      <c r="BA2084" s="76"/>
      <c r="BB2084" s="76"/>
      <c r="BC2084" s="76"/>
      <c r="BD2084" s="76">
        <f>+BC2084*30000</f>
        <v>0</v>
      </c>
      <c r="BE2084" s="76"/>
      <c r="BF2084" s="76"/>
      <c r="BG2084" s="76"/>
      <c r="BH2084" s="76"/>
      <c r="BI2084" s="76"/>
      <c r="BJ2084" s="76"/>
      <c r="BK2084" s="76"/>
      <c r="BL2084" s="76">
        <f>+BK2084*31500</f>
        <v>0</v>
      </c>
      <c r="BM2084" s="76"/>
      <c r="BN2084" s="76"/>
      <c r="BO2084" s="76"/>
      <c r="BP2084" s="76"/>
      <c r="BQ2084" s="76"/>
      <c r="BR2084" s="76"/>
      <c r="BS2084" s="76"/>
      <c r="BT2084" s="76"/>
      <c r="BU2084" s="76"/>
      <c r="BV2084" s="76"/>
      <c r="BW2084" s="76"/>
      <c r="BX2084" s="76"/>
      <c r="BY2084" s="76"/>
      <c r="BZ2084" s="76"/>
      <c r="CA2084" s="76"/>
      <c r="CB2084" s="76"/>
      <c r="CC2084" s="76"/>
      <c r="CD2084" s="76"/>
      <c r="CE2084" s="76"/>
      <c r="CF2084" s="76">
        <f>+CE2084*28000</f>
        <v>0</v>
      </c>
      <c r="CG2084" s="76"/>
      <c r="CH2084" s="76">
        <f>+CG2084*22500</f>
        <v>0</v>
      </c>
      <c r="CI2084" s="76"/>
      <c r="CJ2084" s="76">
        <f>+CI2084*26000</f>
        <v>0</v>
      </c>
      <c r="CK2084" s="76"/>
      <c r="CL2084" s="76"/>
      <c r="CM2084" s="76"/>
      <c r="CN2084" s="76">
        <f>+CM2084*22000</f>
        <v>0</v>
      </c>
      <c r="CO2084" s="76"/>
      <c r="CP2084" s="76">
        <f>+CO2084*46000</f>
        <v>0</v>
      </c>
      <c r="CQ2084" s="76"/>
      <c r="CR2084" s="76">
        <f>+CQ2084*49000</f>
        <v>0</v>
      </c>
      <c r="CS2084" s="76"/>
      <c r="CT2084" s="76"/>
      <c r="CU2084" s="56">
        <f>AN2084+AP2084+AR2084+AT2084+AV2084+AX2084+AZ2084+BB2084+BD2084+BF2084+BH2084+BJ2084+BL2084+BN2084+BP2084+BR2084+BT2084+BV2084+BX2084+BZ2084+CB2084+CD2084+CF2084+CH2084+CJ2084+CL2084+CN2084+CP2084+CR2084+CT2084</f>
        <v>0</v>
      </c>
      <c r="CV2084" s="76"/>
      <c r="CW2084" s="76">
        <f>+CV2084*1100</f>
        <v>0</v>
      </c>
      <c r="CX2084" s="76"/>
      <c r="CY2084" s="76">
        <f>+CX2084*106250</f>
        <v>0</v>
      </c>
      <c r="CZ2084" s="76"/>
      <c r="DA2084" s="76">
        <f>+CZ2084*34500</f>
        <v>0</v>
      </c>
      <c r="DB2084" s="76"/>
      <c r="DC2084" s="76">
        <f>+DB2084*25000</f>
        <v>0</v>
      </c>
      <c r="DD2084" s="219"/>
      <c r="DE2084" s="219"/>
      <c r="DF2084" s="166"/>
      <c r="DG2084" s="116"/>
      <c r="DH2084" s="117"/>
      <c r="DI2084" s="24"/>
      <c r="DJ2084" s="24"/>
      <c r="DK2084" s="24"/>
      <c r="DL2084" s="24"/>
      <c r="DM2084" s="24"/>
      <c r="DN2084" s="24"/>
      <c r="DO2084" s="24"/>
      <c r="DP2084" s="24"/>
      <c r="DQ2084" s="24"/>
      <c r="DR2084" s="24"/>
      <c r="DS2084" s="24"/>
      <c r="DT2084" s="24"/>
      <c r="DU2084" s="24"/>
    </row>
    <row r="2085" spans="1:125" s="8" customFormat="1" ht="48" x14ac:dyDescent="0.2">
      <c r="A2085" s="353">
        <v>41434</v>
      </c>
      <c r="B2085" s="352" t="s">
        <v>3136</v>
      </c>
      <c r="C2085" s="354" t="s">
        <v>389</v>
      </c>
      <c r="D2085" s="354" t="s">
        <v>2846</v>
      </c>
      <c r="E2085" s="75" t="str">
        <f>VLOOKUP(B2085&amp;C2085,Divipola!$C$2:$F$1138,4,FALSE)</f>
        <v>44090</v>
      </c>
      <c r="F2085" s="87"/>
      <c r="G2085" s="87"/>
      <c r="H2085" s="87"/>
      <c r="I2085" s="87"/>
      <c r="J2085" s="87"/>
      <c r="K2085" s="87"/>
      <c r="L2085" s="87"/>
      <c r="M2085" s="87"/>
      <c r="N2085" s="87"/>
      <c r="O2085" s="87"/>
      <c r="P2085" s="87"/>
      <c r="Q2085" s="87"/>
      <c r="R2085" s="87"/>
      <c r="S2085" s="87"/>
      <c r="T2085" s="87"/>
      <c r="U2085" s="88">
        <v>2</v>
      </c>
      <c r="V2085" s="89"/>
      <c r="W2085" s="96">
        <v>0</v>
      </c>
      <c r="X2085" s="71">
        <f>CU2085</f>
        <v>0</v>
      </c>
      <c r="Y2085" s="71">
        <f>CY2085</f>
        <v>0</v>
      </c>
      <c r="Z2085" s="71">
        <f>DA2085+DC2085+DE2085</f>
        <v>0</v>
      </c>
      <c r="AA2085" s="71">
        <f>CW2085</f>
        <v>0</v>
      </c>
      <c r="AB2085" s="71"/>
      <c r="AC2085" s="71">
        <v>0</v>
      </c>
      <c r="AD2085" s="71">
        <f>W2085+X2085+Y2085+Z2085+AA2085+AB2085+AC2085</f>
        <v>0</v>
      </c>
      <c r="AE2085" s="72">
        <v>0</v>
      </c>
      <c r="AF2085" s="5"/>
      <c r="AG2085" s="6"/>
      <c r="AH2085" s="27" t="s">
        <v>3392</v>
      </c>
      <c r="AI2085" s="44" t="s">
        <v>3393</v>
      </c>
      <c r="AJ2085" s="26"/>
      <c r="AK2085" s="5"/>
      <c r="AL2085" s="82" t="s">
        <v>4911</v>
      </c>
      <c r="AM2085" s="76"/>
      <c r="AN2085" s="76"/>
      <c r="AO2085" s="76"/>
      <c r="AP2085" s="76"/>
      <c r="AQ2085" s="76"/>
      <c r="AR2085" s="76"/>
      <c r="AS2085" s="76"/>
      <c r="AT2085" s="76"/>
      <c r="AU2085" s="76"/>
      <c r="AV2085" s="76"/>
      <c r="AW2085" s="76"/>
      <c r="AX2085" s="76">
        <f>+AW2085*600000</f>
        <v>0</v>
      </c>
      <c r="AY2085" s="76"/>
      <c r="AZ2085" s="76">
        <f>+AY2085*70000</f>
        <v>0</v>
      </c>
      <c r="BA2085" s="76"/>
      <c r="BB2085" s="76"/>
      <c r="BC2085" s="76"/>
      <c r="BD2085" s="76">
        <f>+BC2085*30000</f>
        <v>0</v>
      </c>
      <c r="BE2085" s="76"/>
      <c r="BF2085" s="76"/>
      <c r="BG2085" s="76"/>
      <c r="BH2085" s="76"/>
      <c r="BI2085" s="76"/>
      <c r="BJ2085" s="76"/>
      <c r="BK2085" s="76"/>
      <c r="BL2085" s="76">
        <f>+BK2085*31500</f>
        <v>0</v>
      </c>
      <c r="BM2085" s="76"/>
      <c r="BN2085" s="76"/>
      <c r="BO2085" s="76"/>
      <c r="BP2085" s="76"/>
      <c r="BQ2085" s="76"/>
      <c r="BR2085" s="76"/>
      <c r="BS2085" s="76"/>
      <c r="BT2085" s="76"/>
      <c r="BU2085" s="76"/>
      <c r="BV2085" s="76"/>
      <c r="BW2085" s="76"/>
      <c r="BX2085" s="76"/>
      <c r="BY2085" s="76"/>
      <c r="BZ2085" s="76"/>
      <c r="CA2085" s="76"/>
      <c r="CB2085" s="76"/>
      <c r="CC2085" s="76"/>
      <c r="CD2085" s="76"/>
      <c r="CE2085" s="76"/>
      <c r="CF2085" s="76">
        <f>+CE2085*28000</f>
        <v>0</v>
      </c>
      <c r="CG2085" s="76"/>
      <c r="CH2085" s="76">
        <f>+CG2085*22500</f>
        <v>0</v>
      </c>
      <c r="CI2085" s="76"/>
      <c r="CJ2085" s="76">
        <f>+CI2085*26000</f>
        <v>0</v>
      </c>
      <c r="CK2085" s="76"/>
      <c r="CL2085" s="76"/>
      <c r="CM2085" s="76"/>
      <c r="CN2085" s="76">
        <f>+CM2085*22000</f>
        <v>0</v>
      </c>
      <c r="CO2085" s="76"/>
      <c r="CP2085" s="76">
        <f>+CO2085*46000</f>
        <v>0</v>
      </c>
      <c r="CQ2085" s="76"/>
      <c r="CR2085" s="76">
        <f>+CQ2085*49000</f>
        <v>0</v>
      </c>
      <c r="CS2085" s="76"/>
      <c r="CT2085" s="76"/>
      <c r="CU2085" s="56">
        <f>AN2085+AP2085+AR2085+AT2085+AV2085+AX2085+AZ2085+BB2085+BD2085+BF2085+BH2085+BJ2085+BL2085+BN2085+BP2085+BR2085+BT2085+BV2085+BX2085+BZ2085+CB2085+CD2085+CF2085+CH2085+CJ2085+CL2085+CN2085+CP2085+CR2085+CT2085</f>
        <v>0</v>
      </c>
      <c r="CV2085" s="76"/>
      <c r="CW2085" s="76">
        <f>+CV2085*1100</f>
        <v>0</v>
      </c>
      <c r="CX2085" s="76"/>
      <c r="CY2085" s="76">
        <f>+CX2085*106250</f>
        <v>0</v>
      </c>
      <c r="CZ2085" s="76"/>
      <c r="DA2085" s="76">
        <f>+CZ2085*34500</f>
        <v>0</v>
      </c>
      <c r="DB2085" s="76"/>
      <c r="DC2085" s="76">
        <f>+DB2085*25000</f>
        <v>0</v>
      </c>
      <c r="DD2085" s="219"/>
      <c r="DE2085" s="219"/>
      <c r="DF2085" s="166"/>
      <c r="DG2085" s="116"/>
      <c r="DH2085" s="117"/>
      <c r="DI2085" s="24"/>
      <c r="DJ2085" s="24"/>
      <c r="DK2085" s="24"/>
      <c r="DL2085" s="24"/>
      <c r="DM2085" s="24"/>
      <c r="DN2085" s="24"/>
      <c r="DO2085" s="24"/>
      <c r="DP2085" s="24"/>
      <c r="DQ2085" s="24"/>
      <c r="DR2085" s="24"/>
      <c r="DS2085" s="24"/>
      <c r="DT2085" s="24"/>
      <c r="DU2085" s="24"/>
    </row>
    <row r="2086" spans="1:125" s="8" customFormat="1" ht="72" x14ac:dyDescent="0.2">
      <c r="A2086" s="353">
        <v>41434</v>
      </c>
      <c r="B2086" s="352" t="s">
        <v>3136</v>
      </c>
      <c r="C2086" s="354" t="s">
        <v>398</v>
      </c>
      <c r="D2086" s="354" t="s">
        <v>2859</v>
      </c>
      <c r="E2086" s="75" t="str">
        <f>VLOOKUP(B2086&amp;C2086,Divipola!$C$2:$F$1138,4,FALSE)</f>
        <v>44378</v>
      </c>
      <c r="F2086" s="87"/>
      <c r="G2086" s="87"/>
      <c r="H2086" s="87"/>
      <c r="I2086" s="87">
        <v>5</v>
      </c>
      <c r="J2086" s="87">
        <v>1</v>
      </c>
      <c r="K2086" s="87">
        <v>1</v>
      </c>
      <c r="L2086" s="87"/>
      <c r="M2086" s="87"/>
      <c r="N2086" s="87"/>
      <c r="O2086" s="87"/>
      <c r="P2086" s="87"/>
      <c r="Q2086" s="87"/>
      <c r="R2086" s="87"/>
      <c r="S2086" s="87"/>
      <c r="T2086" s="87"/>
      <c r="U2086" s="88"/>
      <c r="V2086" s="89"/>
      <c r="W2086" s="96">
        <v>0</v>
      </c>
      <c r="X2086" s="71">
        <f>CU2086</f>
        <v>0</v>
      </c>
      <c r="Y2086" s="71">
        <f>CY2086</f>
        <v>0</v>
      </c>
      <c r="Z2086" s="71">
        <f>DA2086+DC2086+DE2086</f>
        <v>0</v>
      </c>
      <c r="AA2086" s="71">
        <f>CW2086</f>
        <v>0</v>
      </c>
      <c r="AB2086" s="71"/>
      <c r="AC2086" s="71">
        <v>0</v>
      </c>
      <c r="AD2086" s="71">
        <f>W2086+X2086+Y2086+Z2086+AA2086+AB2086+AC2086</f>
        <v>0</v>
      </c>
      <c r="AE2086" s="72">
        <v>0</v>
      </c>
      <c r="AF2086" s="5"/>
      <c r="AG2086" s="6"/>
      <c r="AH2086" s="27" t="s">
        <v>3392</v>
      </c>
      <c r="AI2086" s="44" t="s">
        <v>3393</v>
      </c>
      <c r="AJ2086" s="26"/>
      <c r="AK2086" s="5"/>
      <c r="AL2086" s="82" t="s">
        <v>4910</v>
      </c>
      <c r="AM2086" s="76"/>
      <c r="AN2086" s="76"/>
      <c r="AO2086" s="76"/>
      <c r="AP2086" s="76"/>
      <c r="AQ2086" s="76"/>
      <c r="AR2086" s="76"/>
      <c r="AS2086" s="76"/>
      <c r="AT2086" s="76"/>
      <c r="AU2086" s="76"/>
      <c r="AV2086" s="76"/>
      <c r="AW2086" s="76"/>
      <c r="AX2086" s="76">
        <f>+AW2086*600000</f>
        <v>0</v>
      </c>
      <c r="AY2086" s="76"/>
      <c r="AZ2086" s="76">
        <f>+AY2086*70000</f>
        <v>0</v>
      </c>
      <c r="BA2086" s="76"/>
      <c r="BB2086" s="76"/>
      <c r="BC2086" s="76"/>
      <c r="BD2086" s="76">
        <f>+BC2086*30000</f>
        <v>0</v>
      </c>
      <c r="BE2086" s="76"/>
      <c r="BF2086" s="76"/>
      <c r="BG2086" s="76"/>
      <c r="BH2086" s="76"/>
      <c r="BI2086" s="76"/>
      <c r="BJ2086" s="76"/>
      <c r="BK2086" s="76"/>
      <c r="BL2086" s="76">
        <f>+BK2086*31500</f>
        <v>0</v>
      </c>
      <c r="BM2086" s="76"/>
      <c r="BN2086" s="76"/>
      <c r="BO2086" s="76"/>
      <c r="BP2086" s="76"/>
      <c r="BQ2086" s="76"/>
      <c r="BR2086" s="76"/>
      <c r="BS2086" s="76"/>
      <c r="BT2086" s="76"/>
      <c r="BU2086" s="76"/>
      <c r="BV2086" s="76"/>
      <c r="BW2086" s="76"/>
      <c r="BX2086" s="76"/>
      <c r="BY2086" s="76"/>
      <c r="BZ2086" s="76"/>
      <c r="CA2086" s="76"/>
      <c r="CB2086" s="76"/>
      <c r="CC2086" s="76"/>
      <c r="CD2086" s="76"/>
      <c r="CE2086" s="76"/>
      <c r="CF2086" s="76">
        <f>+CE2086*28000</f>
        <v>0</v>
      </c>
      <c r="CG2086" s="76"/>
      <c r="CH2086" s="76">
        <f>+CG2086*22500</f>
        <v>0</v>
      </c>
      <c r="CI2086" s="76"/>
      <c r="CJ2086" s="76">
        <f>+CI2086*26000</f>
        <v>0</v>
      </c>
      <c r="CK2086" s="76"/>
      <c r="CL2086" s="76"/>
      <c r="CM2086" s="76"/>
      <c r="CN2086" s="76">
        <f>+CM2086*22000</f>
        <v>0</v>
      </c>
      <c r="CO2086" s="76"/>
      <c r="CP2086" s="76">
        <f>+CO2086*46000</f>
        <v>0</v>
      </c>
      <c r="CQ2086" s="76"/>
      <c r="CR2086" s="76">
        <f>+CQ2086*49000</f>
        <v>0</v>
      </c>
      <c r="CS2086" s="76"/>
      <c r="CT2086" s="76"/>
      <c r="CU2086" s="56">
        <f>AN2086+AP2086+AR2086+AT2086+AV2086+AX2086+AZ2086+BB2086+BD2086+BF2086+BH2086+BJ2086+BL2086+BN2086+BP2086+BR2086+BT2086+BV2086+BX2086+BZ2086+CB2086+CD2086+CF2086+CH2086+CJ2086+CL2086+CN2086+CP2086+CR2086+CT2086</f>
        <v>0</v>
      </c>
      <c r="CV2086" s="76"/>
      <c r="CW2086" s="76">
        <f>+CV2086*1100</f>
        <v>0</v>
      </c>
      <c r="CX2086" s="76"/>
      <c r="CY2086" s="76">
        <f>+CX2086*106250</f>
        <v>0</v>
      </c>
      <c r="CZ2086" s="76"/>
      <c r="DA2086" s="76">
        <f>+CZ2086*34500</f>
        <v>0</v>
      </c>
      <c r="DB2086" s="76"/>
      <c r="DC2086" s="76">
        <f>+DB2086*25000</f>
        <v>0</v>
      </c>
      <c r="DD2086" s="219"/>
      <c r="DE2086" s="219"/>
      <c r="DF2086" s="166"/>
      <c r="DG2086" s="116"/>
      <c r="DH2086" s="117"/>
      <c r="DI2086" s="24"/>
      <c r="DJ2086" s="24"/>
      <c r="DK2086" s="24"/>
      <c r="DL2086" s="24"/>
      <c r="DM2086" s="24"/>
      <c r="DN2086" s="24"/>
      <c r="DO2086" s="24"/>
      <c r="DP2086" s="24"/>
      <c r="DQ2086" s="24"/>
      <c r="DR2086" s="24"/>
      <c r="DS2086" s="24"/>
      <c r="DT2086" s="24"/>
      <c r="DU2086" s="24"/>
    </row>
    <row r="2087" spans="1:125" s="8" customFormat="1" ht="84" x14ac:dyDescent="0.2">
      <c r="A2087" s="353">
        <v>41434</v>
      </c>
      <c r="B2087" s="352" t="s">
        <v>2906</v>
      </c>
      <c r="C2087" s="354" t="s">
        <v>437</v>
      </c>
      <c r="D2087" s="354" t="s">
        <v>2882</v>
      </c>
      <c r="E2087" s="75" t="str">
        <f>VLOOKUP(B2087&amp;C2087,Divipola!$C$2:$F$1138,4,FALSE)</f>
        <v>47288</v>
      </c>
      <c r="F2087" s="87"/>
      <c r="G2087" s="87"/>
      <c r="H2087" s="87"/>
      <c r="I2087" s="87"/>
      <c r="J2087" s="87"/>
      <c r="K2087" s="87"/>
      <c r="L2087" s="87"/>
      <c r="M2087" s="87">
        <v>1</v>
      </c>
      <c r="N2087" s="87"/>
      <c r="O2087" s="87"/>
      <c r="P2087" s="87"/>
      <c r="Q2087" s="87"/>
      <c r="R2087" s="87"/>
      <c r="S2087" s="87"/>
      <c r="T2087" s="87"/>
      <c r="U2087" s="88"/>
      <c r="V2087" s="89"/>
      <c r="W2087" s="96">
        <v>0</v>
      </c>
      <c r="X2087" s="71">
        <f>CU2087</f>
        <v>0</v>
      </c>
      <c r="Y2087" s="71">
        <f>CY2087</f>
        <v>0</v>
      </c>
      <c r="Z2087" s="71">
        <f>DA2087+DC2087+DE2087</f>
        <v>0</v>
      </c>
      <c r="AA2087" s="71">
        <f>CW2087</f>
        <v>0</v>
      </c>
      <c r="AB2087" s="71"/>
      <c r="AC2087" s="71">
        <v>0</v>
      </c>
      <c r="AD2087" s="71">
        <f>W2087+X2087+Y2087+Z2087+AA2087+AB2087+AC2087</f>
        <v>0</v>
      </c>
      <c r="AE2087" s="72">
        <v>0</v>
      </c>
      <c r="AF2087" s="5"/>
      <c r="AG2087" s="6"/>
      <c r="AH2087" s="27" t="s">
        <v>3392</v>
      </c>
      <c r="AI2087" s="44" t="s">
        <v>3393</v>
      </c>
      <c r="AJ2087" s="26"/>
      <c r="AK2087" s="5"/>
      <c r="AL2087" s="82" t="s">
        <v>4912</v>
      </c>
      <c r="AM2087" s="76"/>
      <c r="AN2087" s="76"/>
      <c r="AO2087" s="76"/>
      <c r="AP2087" s="76"/>
      <c r="AQ2087" s="76"/>
      <c r="AR2087" s="76"/>
      <c r="AS2087" s="76"/>
      <c r="AT2087" s="76"/>
      <c r="AU2087" s="76"/>
      <c r="AV2087" s="76"/>
      <c r="AW2087" s="76"/>
      <c r="AX2087" s="76">
        <f>+AW2087*600000</f>
        <v>0</v>
      </c>
      <c r="AY2087" s="76"/>
      <c r="AZ2087" s="76">
        <f>+AY2087*70000</f>
        <v>0</v>
      </c>
      <c r="BA2087" s="76"/>
      <c r="BB2087" s="76"/>
      <c r="BC2087" s="76"/>
      <c r="BD2087" s="76">
        <f>+BC2087*30000</f>
        <v>0</v>
      </c>
      <c r="BE2087" s="76"/>
      <c r="BF2087" s="76"/>
      <c r="BG2087" s="76"/>
      <c r="BH2087" s="76"/>
      <c r="BI2087" s="76"/>
      <c r="BJ2087" s="76"/>
      <c r="BK2087" s="76"/>
      <c r="BL2087" s="76">
        <f>+BK2087*31500</f>
        <v>0</v>
      </c>
      <c r="BM2087" s="76"/>
      <c r="BN2087" s="76"/>
      <c r="BO2087" s="76"/>
      <c r="BP2087" s="76"/>
      <c r="BQ2087" s="76"/>
      <c r="BR2087" s="76"/>
      <c r="BS2087" s="76"/>
      <c r="BT2087" s="76"/>
      <c r="BU2087" s="76"/>
      <c r="BV2087" s="76"/>
      <c r="BW2087" s="76"/>
      <c r="BX2087" s="76"/>
      <c r="BY2087" s="76"/>
      <c r="BZ2087" s="76"/>
      <c r="CA2087" s="76"/>
      <c r="CB2087" s="76"/>
      <c r="CC2087" s="76"/>
      <c r="CD2087" s="76"/>
      <c r="CE2087" s="76"/>
      <c r="CF2087" s="76">
        <f>+CE2087*28000</f>
        <v>0</v>
      </c>
      <c r="CG2087" s="76"/>
      <c r="CH2087" s="76">
        <f>+CG2087*22500</f>
        <v>0</v>
      </c>
      <c r="CI2087" s="76"/>
      <c r="CJ2087" s="76">
        <f>+CI2087*26000</f>
        <v>0</v>
      </c>
      <c r="CK2087" s="76"/>
      <c r="CL2087" s="76"/>
      <c r="CM2087" s="76"/>
      <c r="CN2087" s="76">
        <f>+CM2087*22000</f>
        <v>0</v>
      </c>
      <c r="CO2087" s="76"/>
      <c r="CP2087" s="76">
        <f>+CO2087*46000</f>
        <v>0</v>
      </c>
      <c r="CQ2087" s="76"/>
      <c r="CR2087" s="76">
        <f>+CQ2087*49000</f>
        <v>0</v>
      </c>
      <c r="CS2087" s="76"/>
      <c r="CT2087" s="76"/>
      <c r="CU2087" s="56">
        <f>AN2087+AP2087+AR2087+AT2087+AV2087+AX2087+AZ2087+BB2087+BD2087+BF2087+BH2087+BJ2087+BL2087+BN2087+BP2087+BR2087+BT2087+BV2087+BX2087+BZ2087+CB2087+CD2087+CF2087+CH2087+CJ2087+CL2087+CN2087+CP2087+CR2087+CT2087</f>
        <v>0</v>
      </c>
      <c r="CV2087" s="76"/>
      <c r="CW2087" s="76">
        <f>+CV2087*1100</f>
        <v>0</v>
      </c>
      <c r="CX2087" s="76"/>
      <c r="CY2087" s="76">
        <f>+CX2087*106250</f>
        <v>0</v>
      </c>
      <c r="CZ2087" s="76"/>
      <c r="DA2087" s="76">
        <f>+CZ2087*34500</f>
        <v>0</v>
      </c>
      <c r="DB2087" s="76"/>
      <c r="DC2087" s="76">
        <f>+DB2087*25000</f>
        <v>0</v>
      </c>
      <c r="DD2087" s="219"/>
      <c r="DE2087" s="219"/>
      <c r="DF2087" s="166"/>
      <c r="DG2087" s="116"/>
      <c r="DH2087" s="117"/>
      <c r="DI2087" s="24"/>
      <c r="DJ2087" s="24"/>
      <c r="DK2087" s="24"/>
      <c r="DL2087" s="24"/>
      <c r="DM2087" s="24"/>
      <c r="DN2087" s="24"/>
      <c r="DO2087" s="24"/>
      <c r="DP2087" s="24"/>
      <c r="DQ2087" s="24"/>
      <c r="DR2087" s="24"/>
      <c r="DS2087" s="24"/>
      <c r="DT2087" s="24"/>
      <c r="DU2087" s="24"/>
    </row>
    <row r="2088" spans="1:125" s="8" customFormat="1" ht="228" x14ac:dyDescent="0.2">
      <c r="A2088" s="77">
        <v>41434</v>
      </c>
      <c r="B2088" s="78" t="s">
        <v>2851</v>
      </c>
      <c r="C2088" s="75" t="s">
        <v>1686</v>
      </c>
      <c r="D2088" s="75" t="s">
        <v>2859</v>
      </c>
      <c r="E2088" s="75" t="str">
        <f>VLOOKUP(B2088&amp;C2088,Divipola!$C$2:$F$1138,4,FALSE)</f>
        <v>76001</v>
      </c>
      <c r="F2088" s="87"/>
      <c r="G2088" s="87">
        <v>8</v>
      </c>
      <c r="H2088" s="87"/>
      <c r="I2088" s="87"/>
      <c r="J2088" s="87"/>
      <c r="K2088" s="87"/>
      <c r="L2088" s="87"/>
      <c r="M2088" s="87"/>
      <c r="N2088" s="87"/>
      <c r="O2088" s="87"/>
      <c r="P2088" s="87"/>
      <c r="Q2088" s="87"/>
      <c r="R2088" s="87"/>
      <c r="S2088" s="87"/>
      <c r="T2088" s="87"/>
      <c r="U2088" s="88"/>
      <c r="V2088" s="89">
        <v>1</v>
      </c>
      <c r="W2088" s="96">
        <v>0</v>
      </c>
      <c r="X2088" s="71">
        <f>CU2088</f>
        <v>0</v>
      </c>
      <c r="Y2088" s="71">
        <f>CY2088</f>
        <v>0</v>
      </c>
      <c r="Z2088" s="71">
        <f>DA2088+DC2088+DE2088</f>
        <v>0</v>
      </c>
      <c r="AA2088" s="71">
        <f>CW2088</f>
        <v>0</v>
      </c>
      <c r="AB2088" s="71"/>
      <c r="AC2088" s="71">
        <v>0</v>
      </c>
      <c r="AD2088" s="71">
        <f>W2088+X2088+Y2088+Z2088+AA2088+AB2088+AC2088</f>
        <v>0</v>
      </c>
      <c r="AE2088" s="72">
        <v>0</v>
      </c>
      <c r="AF2088" s="5"/>
      <c r="AG2088" s="6"/>
      <c r="AH2088" s="27" t="s">
        <v>3392</v>
      </c>
      <c r="AI2088" s="44" t="s">
        <v>3393</v>
      </c>
      <c r="AJ2088" s="26"/>
      <c r="AK2088" s="5"/>
      <c r="AL2088" s="82" t="s">
        <v>4913</v>
      </c>
      <c r="AM2088" s="76"/>
      <c r="AN2088" s="76"/>
      <c r="AO2088" s="76"/>
      <c r="AP2088" s="76"/>
      <c r="AQ2088" s="76"/>
      <c r="AR2088" s="76"/>
      <c r="AS2088" s="76"/>
      <c r="AT2088" s="76"/>
      <c r="AU2088" s="76"/>
      <c r="AV2088" s="76"/>
      <c r="AW2088" s="76"/>
      <c r="AX2088" s="76">
        <f>+AW2088*600000</f>
        <v>0</v>
      </c>
      <c r="AY2088" s="76"/>
      <c r="AZ2088" s="76">
        <f>+AY2088*70000</f>
        <v>0</v>
      </c>
      <c r="BA2088" s="76"/>
      <c r="BB2088" s="76"/>
      <c r="BC2088" s="76"/>
      <c r="BD2088" s="76">
        <f>+BC2088*30000</f>
        <v>0</v>
      </c>
      <c r="BE2088" s="76"/>
      <c r="BF2088" s="76"/>
      <c r="BG2088" s="76"/>
      <c r="BH2088" s="76"/>
      <c r="BI2088" s="76"/>
      <c r="BJ2088" s="76"/>
      <c r="BK2088" s="76"/>
      <c r="BL2088" s="76">
        <f>+BK2088*31500</f>
        <v>0</v>
      </c>
      <c r="BM2088" s="76"/>
      <c r="BN2088" s="76"/>
      <c r="BO2088" s="76"/>
      <c r="BP2088" s="76"/>
      <c r="BQ2088" s="76"/>
      <c r="BR2088" s="76"/>
      <c r="BS2088" s="76"/>
      <c r="BT2088" s="76"/>
      <c r="BU2088" s="76"/>
      <c r="BV2088" s="76"/>
      <c r="BW2088" s="76"/>
      <c r="BX2088" s="76"/>
      <c r="BY2088" s="76"/>
      <c r="BZ2088" s="76"/>
      <c r="CA2088" s="76"/>
      <c r="CB2088" s="76"/>
      <c r="CC2088" s="76"/>
      <c r="CD2088" s="76"/>
      <c r="CE2088" s="76"/>
      <c r="CF2088" s="76">
        <f>+CE2088*28000</f>
        <v>0</v>
      </c>
      <c r="CG2088" s="76"/>
      <c r="CH2088" s="76">
        <f>+CG2088*22500</f>
        <v>0</v>
      </c>
      <c r="CI2088" s="76"/>
      <c r="CJ2088" s="76">
        <f>+CI2088*26000</f>
        <v>0</v>
      </c>
      <c r="CK2088" s="76"/>
      <c r="CL2088" s="76"/>
      <c r="CM2088" s="76"/>
      <c r="CN2088" s="76">
        <f>+CM2088*22000</f>
        <v>0</v>
      </c>
      <c r="CO2088" s="76"/>
      <c r="CP2088" s="76">
        <f>+CO2088*46000</f>
        <v>0</v>
      </c>
      <c r="CQ2088" s="76"/>
      <c r="CR2088" s="76">
        <f>+CQ2088*49000</f>
        <v>0</v>
      </c>
      <c r="CS2088" s="76"/>
      <c r="CT2088" s="76"/>
      <c r="CU2088" s="56">
        <f>AN2088+AP2088+AR2088+AT2088+AV2088+AX2088+AZ2088+BB2088+BD2088+BF2088+BH2088+BJ2088+BL2088+BN2088+BP2088+BR2088+BT2088+BV2088+BX2088+BZ2088+CB2088+CD2088+CF2088+CH2088+CJ2088+CL2088+CN2088+CP2088+CR2088+CT2088</f>
        <v>0</v>
      </c>
      <c r="CV2088" s="76"/>
      <c r="CW2088" s="76">
        <f>+CV2088*1100</f>
        <v>0</v>
      </c>
      <c r="CX2088" s="76"/>
      <c r="CY2088" s="76">
        <f>+CX2088*106250</f>
        <v>0</v>
      </c>
      <c r="CZ2088" s="76"/>
      <c r="DA2088" s="76">
        <f>+CZ2088*34500</f>
        <v>0</v>
      </c>
      <c r="DB2088" s="76"/>
      <c r="DC2088" s="76">
        <f>+DB2088*25000</f>
        <v>0</v>
      </c>
      <c r="DD2088" s="219"/>
      <c r="DE2088" s="219"/>
      <c r="DF2088" s="166"/>
      <c r="DG2088" s="116"/>
      <c r="DH2088" s="117"/>
      <c r="DI2088" s="24"/>
      <c r="DJ2088" s="24"/>
      <c r="DK2088" s="24"/>
      <c r="DL2088" s="24"/>
      <c r="DM2088" s="24"/>
      <c r="DN2088" s="24"/>
      <c r="DO2088" s="24"/>
      <c r="DP2088" s="24"/>
      <c r="DQ2088" s="24"/>
      <c r="DR2088" s="24"/>
      <c r="DS2088" s="24"/>
      <c r="DT2088" s="24"/>
      <c r="DU2088" s="24"/>
    </row>
    <row r="2089" spans="1:125" s="8" customFormat="1" ht="72" x14ac:dyDescent="0.2">
      <c r="A2089" s="77">
        <v>41435</v>
      </c>
      <c r="B2089" s="78" t="s">
        <v>2700</v>
      </c>
      <c r="C2089" s="75" t="s">
        <v>1705</v>
      </c>
      <c r="D2089" s="75" t="s">
        <v>2849</v>
      </c>
      <c r="E2089" s="75" t="str">
        <f>VLOOKUP(B2089&amp;C2089,Divipola!$C$2:$F$1138,4,FALSE)</f>
        <v>15572</v>
      </c>
      <c r="F2089" s="87">
        <v>5</v>
      </c>
      <c r="G2089" s="87">
        <v>5</v>
      </c>
      <c r="H2089" s="87"/>
      <c r="I2089" s="87">
        <v>10</v>
      </c>
      <c r="J2089" s="87"/>
      <c r="K2089" s="87"/>
      <c r="L2089" s="87"/>
      <c r="M2089" s="87"/>
      <c r="N2089" s="87"/>
      <c r="O2089" s="87"/>
      <c r="P2089" s="87"/>
      <c r="Q2089" s="87"/>
      <c r="R2089" s="87"/>
      <c r="S2089" s="87"/>
      <c r="T2089" s="87"/>
      <c r="U2089" s="88"/>
      <c r="V2089" s="89"/>
      <c r="W2089" s="96">
        <v>0</v>
      </c>
      <c r="X2089" s="71">
        <f>CU2089</f>
        <v>0</v>
      </c>
      <c r="Y2089" s="71">
        <f>CY2089</f>
        <v>0</v>
      </c>
      <c r="Z2089" s="71">
        <f>DA2089+DC2089+DE2089</f>
        <v>0</v>
      </c>
      <c r="AA2089" s="71">
        <f>CW2089</f>
        <v>0</v>
      </c>
      <c r="AB2089" s="71"/>
      <c r="AC2089" s="71">
        <v>0</v>
      </c>
      <c r="AD2089" s="71">
        <f>W2089+X2089+Y2089+Z2089+AA2089+AB2089+AC2089</f>
        <v>0</v>
      </c>
      <c r="AE2089" s="72">
        <v>0</v>
      </c>
      <c r="AF2089" s="5"/>
      <c r="AG2089" s="6"/>
      <c r="AH2089" s="27" t="s">
        <v>3392</v>
      </c>
      <c r="AI2089" s="44" t="s">
        <v>3393</v>
      </c>
      <c r="AJ2089" s="26"/>
      <c r="AK2089" s="5"/>
      <c r="AL2089" s="82" t="s">
        <v>4914</v>
      </c>
      <c r="AM2089" s="76"/>
      <c r="AN2089" s="76"/>
      <c r="AO2089" s="76"/>
      <c r="AP2089" s="76"/>
      <c r="AQ2089" s="76"/>
      <c r="AR2089" s="76"/>
      <c r="AS2089" s="76"/>
      <c r="AT2089" s="76"/>
      <c r="AU2089" s="76"/>
      <c r="AV2089" s="76"/>
      <c r="AW2089" s="76"/>
      <c r="AX2089" s="76">
        <f>+AW2089*600000</f>
        <v>0</v>
      </c>
      <c r="AY2089" s="76"/>
      <c r="AZ2089" s="76">
        <f>+AY2089*70000</f>
        <v>0</v>
      </c>
      <c r="BA2089" s="76"/>
      <c r="BB2089" s="76"/>
      <c r="BC2089" s="76"/>
      <c r="BD2089" s="76">
        <f>+BC2089*30000</f>
        <v>0</v>
      </c>
      <c r="BE2089" s="76"/>
      <c r="BF2089" s="76"/>
      <c r="BG2089" s="76"/>
      <c r="BH2089" s="76"/>
      <c r="BI2089" s="76"/>
      <c r="BJ2089" s="76"/>
      <c r="BK2089" s="76"/>
      <c r="BL2089" s="76">
        <f>+BK2089*31500</f>
        <v>0</v>
      </c>
      <c r="BM2089" s="76"/>
      <c r="BN2089" s="76"/>
      <c r="BO2089" s="76"/>
      <c r="BP2089" s="76"/>
      <c r="BQ2089" s="76"/>
      <c r="BR2089" s="76"/>
      <c r="BS2089" s="76"/>
      <c r="BT2089" s="76"/>
      <c r="BU2089" s="76"/>
      <c r="BV2089" s="76"/>
      <c r="BW2089" s="76"/>
      <c r="BX2089" s="76"/>
      <c r="BY2089" s="76"/>
      <c r="BZ2089" s="76"/>
      <c r="CA2089" s="76"/>
      <c r="CB2089" s="76"/>
      <c r="CC2089" s="76"/>
      <c r="CD2089" s="76"/>
      <c r="CE2089" s="76"/>
      <c r="CF2089" s="76">
        <f>+CE2089*28000</f>
        <v>0</v>
      </c>
      <c r="CG2089" s="76"/>
      <c r="CH2089" s="76">
        <f>+CG2089*22500</f>
        <v>0</v>
      </c>
      <c r="CI2089" s="76"/>
      <c r="CJ2089" s="76">
        <f>+CI2089*26000</f>
        <v>0</v>
      </c>
      <c r="CK2089" s="76"/>
      <c r="CL2089" s="76"/>
      <c r="CM2089" s="76"/>
      <c r="CN2089" s="76">
        <f>+CM2089*22000</f>
        <v>0</v>
      </c>
      <c r="CO2089" s="76"/>
      <c r="CP2089" s="76">
        <f>+CO2089*46000</f>
        <v>0</v>
      </c>
      <c r="CQ2089" s="76"/>
      <c r="CR2089" s="76">
        <f>+CQ2089*49000</f>
        <v>0</v>
      </c>
      <c r="CS2089" s="76"/>
      <c r="CT2089" s="76"/>
      <c r="CU2089" s="56">
        <f>AN2089+AP2089+AR2089+AT2089+AV2089+AX2089+AZ2089+BB2089+BD2089+BF2089+BH2089+BJ2089+BL2089+BN2089+BP2089+BR2089+BT2089+BV2089+BX2089+BZ2089+CB2089+CD2089+CF2089+CH2089+CJ2089+CL2089+CN2089+CP2089+CR2089+CT2089</f>
        <v>0</v>
      </c>
      <c r="CV2089" s="76"/>
      <c r="CW2089" s="76">
        <f>+CV2089*1100</f>
        <v>0</v>
      </c>
      <c r="CX2089" s="76"/>
      <c r="CY2089" s="76">
        <f>+CX2089*106250</f>
        <v>0</v>
      </c>
      <c r="CZ2089" s="76"/>
      <c r="DA2089" s="76">
        <f>+CZ2089*34500</f>
        <v>0</v>
      </c>
      <c r="DB2089" s="76"/>
      <c r="DC2089" s="76">
        <f>+DB2089*25000</f>
        <v>0</v>
      </c>
      <c r="DD2089" s="219"/>
      <c r="DE2089" s="219"/>
      <c r="DF2089" s="166"/>
      <c r="DG2089" s="116"/>
      <c r="DH2089" s="117"/>
      <c r="DI2089" s="24"/>
      <c r="DJ2089" s="24"/>
      <c r="DK2089" s="24"/>
      <c r="DL2089" s="24"/>
      <c r="DM2089" s="24"/>
      <c r="DN2089" s="24"/>
      <c r="DO2089" s="24"/>
      <c r="DP2089" s="24"/>
      <c r="DQ2089" s="24"/>
      <c r="DR2089" s="24"/>
      <c r="DS2089" s="24"/>
      <c r="DT2089" s="24"/>
      <c r="DU2089" s="24"/>
    </row>
    <row r="2090" spans="1:125" s="8" customFormat="1" ht="108" x14ac:dyDescent="0.2">
      <c r="A2090" s="226">
        <v>41435</v>
      </c>
      <c r="B2090" s="225" t="s">
        <v>2848</v>
      </c>
      <c r="C2090" s="227" t="s">
        <v>2791</v>
      </c>
      <c r="D2090" s="354" t="s">
        <v>4948</v>
      </c>
      <c r="E2090" s="75" t="str">
        <f>VLOOKUP(B2090&amp;C2090,Divipola!$C$2:$F$1138,4,FALSE)</f>
        <v>73585</v>
      </c>
      <c r="F2090" s="87">
        <v>1</v>
      </c>
      <c r="G2090" s="87"/>
      <c r="H2090" s="87"/>
      <c r="I2090" s="87"/>
      <c r="J2090" s="87"/>
      <c r="K2090" s="87"/>
      <c r="L2090" s="87"/>
      <c r="M2090" s="87"/>
      <c r="N2090" s="87"/>
      <c r="O2090" s="87"/>
      <c r="P2090" s="87"/>
      <c r="Q2090" s="87"/>
      <c r="R2090" s="87"/>
      <c r="S2090" s="87"/>
      <c r="T2090" s="87"/>
      <c r="U2090" s="88"/>
      <c r="V2090" s="89"/>
      <c r="W2090" s="96">
        <v>0</v>
      </c>
      <c r="X2090" s="71">
        <f>CU2090</f>
        <v>0</v>
      </c>
      <c r="Y2090" s="71">
        <f>CY2090</f>
        <v>0</v>
      </c>
      <c r="Z2090" s="71">
        <f>DA2090+DC2090+DE2090</f>
        <v>0</v>
      </c>
      <c r="AA2090" s="71">
        <f>CW2090</f>
        <v>0</v>
      </c>
      <c r="AB2090" s="71"/>
      <c r="AC2090" s="71">
        <v>0</v>
      </c>
      <c r="AD2090" s="71">
        <f>W2090+X2090+Y2090+Z2090+AA2090+AB2090+AC2090</f>
        <v>0</v>
      </c>
      <c r="AE2090" s="72">
        <v>0</v>
      </c>
      <c r="AF2090" s="5"/>
      <c r="AG2090" s="6"/>
      <c r="AH2090" s="27" t="s">
        <v>3392</v>
      </c>
      <c r="AI2090" s="44" t="s">
        <v>3393</v>
      </c>
      <c r="AJ2090" s="26"/>
      <c r="AK2090" s="5"/>
      <c r="AL2090" s="82" t="s">
        <v>4953</v>
      </c>
      <c r="AM2090" s="76"/>
      <c r="AN2090" s="76"/>
      <c r="AO2090" s="76"/>
      <c r="AP2090" s="76"/>
      <c r="AQ2090" s="76"/>
      <c r="AR2090" s="76"/>
      <c r="AS2090" s="76"/>
      <c r="AT2090" s="76"/>
      <c r="AU2090" s="76"/>
      <c r="AV2090" s="76"/>
      <c r="AW2090" s="76"/>
      <c r="AX2090" s="76">
        <f>+AW2090*600000</f>
        <v>0</v>
      </c>
      <c r="AY2090" s="76"/>
      <c r="AZ2090" s="76">
        <f>+AY2090*70000</f>
        <v>0</v>
      </c>
      <c r="BA2090" s="76"/>
      <c r="BB2090" s="76"/>
      <c r="BC2090" s="76"/>
      <c r="BD2090" s="76">
        <f>+BC2090*30000</f>
        <v>0</v>
      </c>
      <c r="BE2090" s="76"/>
      <c r="BF2090" s="76"/>
      <c r="BG2090" s="76"/>
      <c r="BH2090" s="76"/>
      <c r="BI2090" s="76"/>
      <c r="BJ2090" s="76"/>
      <c r="BK2090" s="76"/>
      <c r="BL2090" s="76">
        <f>+BK2090*31500</f>
        <v>0</v>
      </c>
      <c r="BM2090" s="76"/>
      <c r="BN2090" s="76"/>
      <c r="BO2090" s="76"/>
      <c r="BP2090" s="76"/>
      <c r="BQ2090" s="76"/>
      <c r="BR2090" s="76"/>
      <c r="BS2090" s="76"/>
      <c r="BT2090" s="76"/>
      <c r="BU2090" s="76"/>
      <c r="BV2090" s="76"/>
      <c r="BW2090" s="76"/>
      <c r="BX2090" s="76"/>
      <c r="BY2090" s="76"/>
      <c r="BZ2090" s="76"/>
      <c r="CA2090" s="76"/>
      <c r="CB2090" s="76"/>
      <c r="CC2090" s="76"/>
      <c r="CD2090" s="76"/>
      <c r="CE2090" s="76"/>
      <c r="CF2090" s="76">
        <f>+CE2090*28000</f>
        <v>0</v>
      </c>
      <c r="CG2090" s="76"/>
      <c r="CH2090" s="76">
        <f>+CG2090*22500</f>
        <v>0</v>
      </c>
      <c r="CI2090" s="76"/>
      <c r="CJ2090" s="76">
        <f>+CI2090*26000</f>
        <v>0</v>
      </c>
      <c r="CK2090" s="76"/>
      <c r="CL2090" s="76"/>
      <c r="CM2090" s="76"/>
      <c r="CN2090" s="76">
        <f>+CM2090*22000</f>
        <v>0</v>
      </c>
      <c r="CO2090" s="76"/>
      <c r="CP2090" s="76">
        <f>+CO2090*46000</f>
        <v>0</v>
      </c>
      <c r="CQ2090" s="76"/>
      <c r="CR2090" s="76">
        <f>+CQ2090*49000</f>
        <v>0</v>
      </c>
      <c r="CS2090" s="76"/>
      <c r="CT2090" s="76"/>
      <c r="CU2090" s="56">
        <f>AN2090+AP2090+AR2090+AT2090+AV2090+AX2090+AZ2090+BB2090+BD2090+BF2090+BH2090+BJ2090+BL2090+BN2090+BP2090+BR2090+BT2090+BV2090+BX2090+BZ2090+CB2090+CD2090+CF2090+CH2090+CJ2090+CL2090+CN2090+CP2090+CR2090+CT2090</f>
        <v>0</v>
      </c>
      <c r="CV2090" s="76"/>
      <c r="CW2090" s="76">
        <f>+CV2090*1100</f>
        <v>0</v>
      </c>
      <c r="CX2090" s="76"/>
      <c r="CY2090" s="76">
        <f>+CX2090*106250</f>
        <v>0</v>
      </c>
      <c r="CZ2090" s="76"/>
      <c r="DA2090" s="76">
        <f>+CZ2090*34500</f>
        <v>0</v>
      </c>
      <c r="DB2090" s="76"/>
      <c r="DC2090" s="76">
        <f>+DB2090*25000</f>
        <v>0</v>
      </c>
      <c r="DD2090" s="219"/>
      <c r="DE2090" s="219"/>
      <c r="DF2090" s="166"/>
      <c r="DG2090" s="116"/>
      <c r="DH2090" s="117"/>
      <c r="DI2090" s="24"/>
      <c r="DJ2090" s="24"/>
      <c r="DK2090" s="24"/>
      <c r="DL2090" s="24"/>
      <c r="DM2090" s="24"/>
      <c r="DN2090" s="24"/>
      <c r="DO2090" s="24"/>
      <c r="DP2090" s="24"/>
      <c r="DQ2090" s="24"/>
      <c r="DR2090" s="24"/>
      <c r="DS2090" s="24"/>
      <c r="DT2090" s="24"/>
      <c r="DU2090" s="24"/>
    </row>
    <row r="2091" spans="1:125" s="8" customFormat="1" ht="24" x14ac:dyDescent="0.2">
      <c r="A2091" s="226">
        <v>41436</v>
      </c>
      <c r="B2091" s="225" t="s">
        <v>2778</v>
      </c>
      <c r="C2091" s="227" t="s">
        <v>509</v>
      </c>
      <c r="D2091" s="227" t="s">
        <v>2882</v>
      </c>
      <c r="E2091" s="75" t="str">
        <f>VLOOKUP(B2091&amp;C2091,Divipola!$C$2:$F$1138,4,FALSE)</f>
        <v>85125</v>
      </c>
      <c r="F2091" s="87"/>
      <c r="G2091" s="87"/>
      <c r="H2091" s="87"/>
      <c r="I2091" s="87">
        <v>5</v>
      </c>
      <c r="J2091" s="87">
        <v>1</v>
      </c>
      <c r="K2091" s="87"/>
      <c r="L2091" s="87">
        <v>1</v>
      </c>
      <c r="M2091" s="87"/>
      <c r="N2091" s="87"/>
      <c r="O2091" s="87"/>
      <c r="P2091" s="87"/>
      <c r="Q2091" s="87"/>
      <c r="R2091" s="87"/>
      <c r="S2091" s="87"/>
      <c r="T2091" s="87"/>
      <c r="U2091" s="88"/>
      <c r="V2091" s="89"/>
      <c r="W2091" s="96">
        <v>0</v>
      </c>
      <c r="X2091" s="71">
        <f>CU2091</f>
        <v>0</v>
      </c>
      <c r="Y2091" s="71">
        <f>CY2091</f>
        <v>0</v>
      </c>
      <c r="Z2091" s="71">
        <f>DA2091+DC2091+DE2091</f>
        <v>0</v>
      </c>
      <c r="AA2091" s="71">
        <f>CW2091</f>
        <v>0</v>
      </c>
      <c r="AB2091" s="71"/>
      <c r="AC2091" s="71">
        <v>0</v>
      </c>
      <c r="AD2091" s="71">
        <f>W2091+X2091+Y2091+Z2091+AA2091+AB2091+AC2091</f>
        <v>0</v>
      </c>
      <c r="AE2091" s="72">
        <v>0</v>
      </c>
      <c r="AF2091" s="5"/>
      <c r="AG2091" s="6"/>
      <c r="AH2091" s="27" t="s">
        <v>3392</v>
      </c>
      <c r="AI2091" s="44" t="s">
        <v>3393</v>
      </c>
      <c r="AJ2091" s="26"/>
      <c r="AK2091" s="5"/>
      <c r="AL2091" s="82" t="s">
        <v>4921</v>
      </c>
      <c r="AM2091" s="76"/>
      <c r="AN2091" s="76"/>
      <c r="AO2091" s="76"/>
      <c r="AP2091" s="76"/>
      <c r="AQ2091" s="76"/>
      <c r="AR2091" s="76"/>
      <c r="AS2091" s="76"/>
      <c r="AT2091" s="76"/>
      <c r="AU2091" s="76"/>
      <c r="AV2091" s="76"/>
      <c r="AW2091" s="76"/>
      <c r="AX2091" s="76">
        <f>+AW2091*600000</f>
        <v>0</v>
      </c>
      <c r="AY2091" s="76"/>
      <c r="AZ2091" s="76">
        <f>+AY2091*70000</f>
        <v>0</v>
      </c>
      <c r="BA2091" s="76"/>
      <c r="BB2091" s="76"/>
      <c r="BC2091" s="76"/>
      <c r="BD2091" s="76">
        <f>+BC2091*30000</f>
        <v>0</v>
      </c>
      <c r="BE2091" s="76"/>
      <c r="BF2091" s="76"/>
      <c r="BG2091" s="76"/>
      <c r="BH2091" s="76"/>
      <c r="BI2091" s="76"/>
      <c r="BJ2091" s="76"/>
      <c r="BK2091" s="76"/>
      <c r="BL2091" s="76">
        <f>+BK2091*31500</f>
        <v>0</v>
      </c>
      <c r="BM2091" s="76"/>
      <c r="BN2091" s="76"/>
      <c r="BO2091" s="76"/>
      <c r="BP2091" s="76"/>
      <c r="BQ2091" s="76"/>
      <c r="BR2091" s="76"/>
      <c r="BS2091" s="76"/>
      <c r="BT2091" s="76"/>
      <c r="BU2091" s="76"/>
      <c r="BV2091" s="76"/>
      <c r="BW2091" s="76"/>
      <c r="BX2091" s="76"/>
      <c r="BY2091" s="76"/>
      <c r="BZ2091" s="76"/>
      <c r="CA2091" s="76"/>
      <c r="CB2091" s="76"/>
      <c r="CC2091" s="76"/>
      <c r="CD2091" s="76"/>
      <c r="CE2091" s="76"/>
      <c r="CF2091" s="76">
        <f>+CE2091*28000</f>
        <v>0</v>
      </c>
      <c r="CG2091" s="76"/>
      <c r="CH2091" s="76">
        <f>+CG2091*22500</f>
        <v>0</v>
      </c>
      <c r="CI2091" s="76"/>
      <c r="CJ2091" s="76">
        <f>+CI2091*26000</f>
        <v>0</v>
      </c>
      <c r="CK2091" s="76"/>
      <c r="CL2091" s="76"/>
      <c r="CM2091" s="76"/>
      <c r="CN2091" s="76">
        <f>+CM2091*22000</f>
        <v>0</v>
      </c>
      <c r="CO2091" s="76"/>
      <c r="CP2091" s="76">
        <f>+CO2091*46000</f>
        <v>0</v>
      </c>
      <c r="CQ2091" s="76"/>
      <c r="CR2091" s="76">
        <f>+CQ2091*49000</f>
        <v>0</v>
      </c>
      <c r="CS2091" s="76"/>
      <c r="CT2091" s="76"/>
      <c r="CU2091" s="56">
        <f>AN2091+AP2091+AR2091+AT2091+AV2091+AX2091+AZ2091+BB2091+BD2091+BF2091+BH2091+BJ2091+BL2091+BN2091+BP2091+BR2091+BT2091+BV2091+BX2091+BZ2091+CB2091+CD2091+CF2091+CH2091+CJ2091+CL2091+CN2091+CP2091+CR2091+CT2091</f>
        <v>0</v>
      </c>
      <c r="CV2091" s="76"/>
      <c r="CW2091" s="76">
        <f>+CV2091*1100</f>
        <v>0</v>
      </c>
      <c r="CX2091" s="76"/>
      <c r="CY2091" s="76">
        <f>+CX2091*106250</f>
        <v>0</v>
      </c>
      <c r="CZ2091" s="76"/>
      <c r="DA2091" s="76">
        <f>+CZ2091*34500</f>
        <v>0</v>
      </c>
      <c r="DB2091" s="76"/>
      <c r="DC2091" s="76">
        <f>+DB2091*25000</f>
        <v>0</v>
      </c>
      <c r="DD2091" s="219"/>
      <c r="DE2091" s="219"/>
      <c r="DF2091" s="166"/>
      <c r="DG2091" s="116"/>
      <c r="DH2091" s="117"/>
      <c r="DI2091" s="24"/>
      <c r="DJ2091" s="24"/>
      <c r="DK2091" s="24"/>
      <c r="DL2091" s="24"/>
      <c r="DM2091" s="24"/>
      <c r="DN2091" s="24"/>
      <c r="DO2091" s="24"/>
      <c r="DP2091" s="24"/>
      <c r="DQ2091" s="24"/>
      <c r="DR2091" s="24"/>
      <c r="DS2091" s="24"/>
      <c r="DT2091" s="24"/>
      <c r="DU2091" s="24"/>
    </row>
    <row r="2092" spans="1:125" s="8" customFormat="1" ht="60" x14ac:dyDescent="0.2">
      <c r="A2092" s="226">
        <v>41436</v>
      </c>
      <c r="B2092" s="225" t="s">
        <v>2855</v>
      </c>
      <c r="C2092" s="227" t="s">
        <v>929</v>
      </c>
      <c r="D2092" s="227" t="s">
        <v>2882</v>
      </c>
      <c r="E2092" s="75" t="str">
        <f>VLOOKUP(B2092&amp;C2092,Divipola!$C$2:$F$1138,4,FALSE)</f>
        <v>20570</v>
      </c>
      <c r="F2092" s="87"/>
      <c r="G2092" s="87"/>
      <c r="H2092" s="87"/>
      <c r="I2092" s="87"/>
      <c r="J2092" s="87"/>
      <c r="K2092" s="87"/>
      <c r="L2092" s="87"/>
      <c r="M2092" s="87"/>
      <c r="N2092" s="87"/>
      <c r="O2092" s="87"/>
      <c r="P2092" s="87"/>
      <c r="Q2092" s="87"/>
      <c r="R2092" s="87"/>
      <c r="S2092" s="87"/>
      <c r="T2092" s="87"/>
      <c r="U2092" s="88"/>
      <c r="V2092" s="89"/>
      <c r="W2092" s="96">
        <v>0</v>
      </c>
      <c r="X2092" s="71">
        <f>CU2092</f>
        <v>0</v>
      </c>
      <c r="Y2092" s="71">
        <f>CY2092</f>
        <v>0</v>
      </c>
      <c r="Z2092" s="71">
        <f>DA2092+DC2092+DE2092</f>
        <v>0</v>
      </c>
      <c r="AA2092" s="71">
        <f>CW2092</f>
        <v>0</v>
      </c>
      <c r="AB2092" s="71"/>
      <c r="AC2092" s="71">
        <v>0</v>
      </c>
      <c r="AD2092" s="71">
        <f>W2092+X2092+Y2092+Z2092+AA2092+AB2092+AC2092</f>
        <v>0</v>
      </c>
      <c r="AE2092" s="72">
        <v>0</v>
      </c>
      <c r="AF2092" s="5"/>
      <c r="AG2092" s="6"/>
      <c r="AH2092" s="27" t="s">
        <v>3392</v>
      </c>
      <c r="AI2092" s="44" t="s">
        <v>3393</v>
      </c>
      <c r="AJ2092" s="26"/>
      <c r="AK2092" s="5"/>
      <c r="AL2092" s="82" t="s">
        <v>4916</v>
      </c>
      <c r="AM2092" s="76"/>
      <c r="AN2092" s="76"/>
      <c r="AO2092" s="76"/>
      <c r="AP2092" s="76"/>
      <c r="AQ2092" s="76"/>
      <c r="AR2092" s="76"/>
      <c r="AS2092" s="76"/>
      <c r="AT2092" s="76"/>
      <c r="AU2092" s="76"/>
      <c r="AV2092" s="76"/>
      <c r="AW2092" s="76"/>
      <c r="AX2092" s="76">
        <f>+AW2092*600000</f>
        <v>0</v>
      </c>
      <c r="AY2092" s="76"/>
      <c r="AZ2092" s="76">
        <f>+AY2092*70000</f>
        <v>0</v>
      </c>
      <c r="BA2092" s="76"/>
      <c r="BB2092" s="76"/>
      <c r="BC2092" s="76"/>
      <c r="BD2092" s="76">
        <f>+BC2092*30000</f>
        <v>0</v>
      </c>
      <c r="BE2092" s="76"/>
      <c r="BF2092" s="76"/>
      <c r="BG2092" s="76"/>
      <c r="BH2092" s="76"/>
      <c r="BI2092" s="76"/>
      <c r="BJ2092" s="76"/>
      <c r="BK2092" s="76"/>
      <c r="BL2092" s="76">
        <f>+BK2092*31500</f>
        <v>0</v>
      </c>
      <c r="BM2092" s="76"/>
      <c r="BN2092" s="76"/>
      <c r="BO2092" s="76"/>
      <c r="BP2092" s="76"/>
      <c r="BQ2092" s="76"/>
      <c r="BR2092" s="76"/>
      <c r="BS2092" s="76"/>
      <c r="BT2092" s="76"/>
      <c r="BU2092" s="76"/>
      <c r="BV2092" s="76"/>
      <c r="BW2092" s="76"/>
      <c r="BX2092" s="76"/>
      <c r="BY2092" s="76"/>
      <c r="BZ2092" s="76"/>
      <c r="CA2092" s="76"/>
      <c r="CB2092" s="76"/>
      <c r="CC2092" s="76"/>
      <c r="CD2092" s="76"/>
      <c r="CE2092" s="76"/>
      <c r="CF2092" s="76">
        <f>+CE2092*28000</f>
        <v>0</v>
      </c>
      <c r="CG2092" s="76"/>
      <c r="CH2092" s="76">
        <f>+CG2092*22500</f>
        <v>0</v>
      </c>
      <c r="CI2092" s="76"/>
      <c r="CJ2092" s="76">
        <f>+CI2092*26000</f>
        <v>0</v>
      </c>
      <c r="CK2092" s="76"/>
      <c r="CL2092" s="76"/>
      <c r="CM2092" s="76"/>
      <c r="CN2092" s="76">
        <f>+CM2092*22000</f>
        <v>0</v>
      </c>
      <c r="CO2092" s="76"/>
      <c r="CP2092" s="76">
        <f>+CO2092*46000</f>
        <v>0</v>
      </c>
      <c r="CQ2092" s="76"/>
      <c r="CR2092" s="76">
        <f>+CQ2092*49000</f>
        <v>0</v>
      </c>
      <c r="CS2092" s="76"/>
      <c r="CT2092" s="76"/>
      <c r="CU2092" s="56">
        <f>AN2092+AP2092+AR2092+AT2092+AV2092+AX2092+AZ2092+BB2092+BD2092+BF2092+BH2092+BJ2092+BL2092+BN2092+BP2092+BR2092+BT2092+BV2092+BX2092+BZ2092+CB2092+CD2092+CF2092+CH2092+CJ2092+CL2092+CN2092+CP2092+CR2092+CT2092</f>
        <v>0</v>
      </c>
      <c r="CV2092" s="76"/>
      <c r="CW2092" s="76">
        <f>+CV2092*1100</f>
        <v>0</v>
      </c>
      <c r="CX2092" s="76"/>
      <c r="CY2092" s="76">
        <f>+CX2092*106250</f>
        <v>0</v>
      </c>
      <c r="CZ2092" s="76"/>
      <c r="DA2092" s="76">
        <f>+CZ2092*34500</f>
        <v>0</v>
      </c>
      <c r="DB2092" s="76"/>
      <c r="DC2092" s="76">
        <f>+DB2092*25000</f>
        <v>0</v>
      </c>
      <c r="DD2092" s="219"/>
      <c r="DE2092" s="219"/>
      <c r="DF2092" s="166"/>
      <c r="DG2092" s="116"/>
      <c r="DH2092" s="117"/>
      <c r="DI2092" s="24"/>
      <c r="DJ2092" s="24"/>
      <c r="DK2092" s="24"/>
      <c r="DL2092" s="24"/>
      <c r="DM2092" s="24"/>
      <c r="DN2092" s="24"/>
      <c r="DO2092" s="24"/>
      <c r="DP2092" s="24"/>
      <c r="DQ2092" s="24"/>
      <c r="DR2092" s="24"/>
      <c r="DS2092" s="24"/>
      <c r="DT2092" s="24"/>
      <c r="DU2092" s="24"/>
    </row>
    <row r="2093" spans="1:125" s="8" customFormat="1" ht="96" x14ac:dyDescent="0.2">
      <c r="A2093" s="353">
        <v>41436</v>
      </c>
      <c r="B2093" s="352" t="s">
        <v>2852</v>
      </c>
      <c r="C2093" s="354" t="s">
        <v>2682</v>
      </c>
      <c r="D2093" s="354" t="s">
        <v>2849</v>
      </c>
      <c r="E2093" s="75" t="str">
        <f>VLOOKUP(B2093&amp;C2093,Divipola!$C$2:$F$1138,4,FALSE)</f>
        <v>27660</v>
      </c>
      <c r="F2093" s="87">
        <v>2</v>
      </c>
      <c r="G2093" s="87">
        <v>15</v>
      </c>
      <c r="H2093" s="87">
        <v>7</v>
      </c>
      <c r="I2093" s="87"/>
      <c r="J2093" s="87"/>
      <c r="K2093" s="87"/>
      <c r="L2093" s="87"/>
      <c r="M2093" s="87"/>
      <c r="N2093" s="87"/>
      <c r="O2093" s="87"/>
      <c r="P2093" s="87"/>
      <c r="Q2093" s="87"/>
      <c r="R2093" s="87"/>
      <c r="S2093" s="87"/>
      <c r="T2093" s="87"/>
      <c r="U2093" s="88"/>
      <c r="V2093" s="89"/>
      <c r="W2093" s="96">
        <v>0</v>
      </c>
      <c r="X2093" s="71">
        <f>CU2093</f>
        <v>0</v>
      </c>
      <c r="Y2093" s="71">
        <f>CY2093</f>
        <v>0</v>
      </c>
      <c r="Z2093" s="71">
        <f>DA2093+DC2093+DE2093</f>
        <v>0</v>
      </c>
      <c r="AA2093" s="71">
        <f>CW2093</f>
        <v>0</v>
      </c>
      <c r="AB2093" s="71"/>
      <c r="AC2093" s="71">
        <v>0</v>
      </c>
      <c r="AD2093" s="71">
        <f>W2093+X2093+Y2093+Z2093+AA2093+AB2093+AC2093</f>
        <v>0</v>
      </c>
      <c r="AE2093" s="72">
        <v>0</v>
      </c>
      <c r="AF2093" s="5"/>
      <c r="AG2093" s="6"/>
      <c r="AH2093" s="27" t="s">
        <v>3392</v>
      </c>
      <c r="AI2093" s="44" t="s">
        <v>3393</v>
      </c>
      <c r="AJ2093" s="26"/>
      <c r="AK2093" s="5"/>
      <c r="AL2093" s="82" t="s">
        <v>4922</v>
      </c>
      <c r="AM2093" s="76"/>
      <c r="AN2093" s="76"/>
      <c r="AO2093" s="76"/>
      <c r="AP2093" s="76"/>
      <c r="AQ2093" s="76"/>
      <c r="AR2093" s="76"/>
      <c r="AS2093" s="76"/>
      <c r="AT2093" s="76"/>
      <c r="AU2093" s="76"/>
      <c r="AV2093" s="76"/>
      <c r="AW2093" s="76"/>
      <c r="AX2093" s="76">
        <f>+AW2093*600000</f>
        <v>0</v>
      </c>
      <c r="AY2093" s="76"/>
      <c r="AZ2093" s="76">
        <f>+AY2093*70000</f>
        <v>0</v>
      </c>
      <c r="BA2093" s="76"/>
      <c r="BB2093" s="76"/>
      <c r="BC2093" s="76"/>
      <c r="BD2093" s="76">
        <f>+BC2093*30000</f>
        <v>0</v>
      </c>
      <c r="BE2093" s="76"/>
      <c r="BF2093" s="76"/>
      <c r="BG2093" s="76"/>
      <c r="BH2093" s="76"/>
      <c r="BI2093" s="76"/>
      <c r="BJ2093" s="76"/>
      <c r="BK2093" s="76"/>
      <c r="BL2093" s="76">
        <f>+BK2093*31500</f>
        <v>0</v>
      </c>
      <c r="BM2093" s="76"/>
      <c r="BN2093" s="76"/>
      <c r="BO2093" s="76"/>
      <c r="BP2093" s="76"/>
      <c r="BQ2093" s="76"/>
      <c r="BR2093" s="76"/>
      <c r="BS2093" s="76"/>
      <c r="BT2093" s="76"/>
      <c r="BU2093" s="76"/>
      <c r="BV2093" s="76"/>
      <c r="BW2093" s="76"/>
      <c r="BX2093" s="76"/>
      <c r="BY2093" s="76"/>
      <c r="BZ2093" s="76"/>
      <c r="CA2093" s="76"/>
      <c r="CB2093" s="76"/>
      <c r="CC2093" s="76"/>
      <c r="CD2093" s="76"/>
      <c r="CE2093" s="76"/>
      <c r="CF2093" s="76">
        <f>+CE2093*28000</f>
        <v>0</v>
      </c>
      <c r="CG2093" s="76"/>
      <c r="CH2093" s="76">
        <f>+CG2093*22500</f>
        <v>0</v>
      </c>
      <c r="CI2093" s="76"/>
      <c r="CJ2093" s="76">
        <f>+CI2093*26000</f>
        <v>0</v>
      </c>
      <c r="CK2093" s="76"/>
      <c r="CL2093" s="76"/>
      <c r="CM2093" s="76"/>
      <c r="CN2093" s="76">
        <f>+CM2093*22000</f>
        <v>0</v>
      </c>
      <c r="CO2093" s="76"/>
      <c r="CP2093" s="76">
        <f>+CO2093*46000</f>
        <v>0</v>
      </c>
      <c r="CQ2093" s="76"/>
      <c r="CR2093" s="76">
        <f>+CQ2093*49000</f>
        <v>0</v>
      </c>
      <c r="CS2093" s="76"/>
      <c r="CT2093" s="76"/>
      <c r="CU2093" s="56">
        <f>AN2093+AP2093+AR2093+AT2093+AV2093+AX2093+AZ2093+BB2093+BD2093+BF2093+BH2093+BJ2093+BL2093+BN2093+BP2093+BR2093+BT2093+BV2093+BX2093+BZ2093+CB2093+CD2093+CF2093+CH2093+CJ2093+CL2093+CN2093+CP2093+CR2093+CT2093</f>
        <v>0</v>
      </c>
      <c r="CV2093" s="76"/>
      <c r="CW2093" s="76">
        <f>+CV2093*1100</f>
        <v>0</v>
      </c>
      <c r="CX2093" s="76"/>
      <c r="CY2093" s="76">
        <f>+CX2093*106250</f>
        <v>0</v>
      </c>
      <c r="CZ2093" s="76"/>
      <c r="DA2093" s="76">
        <f>+CZ2093*34500</f>
        <v>0</v>
      </c>
      <c r="DB2093" s="76"/>
      <c r="DC2093" s="76">
        <f>+DB2093*25000</f>
        <v>0</v>
      </c>
      <c r="DD2093" s="219"/>
      <c r="DE2093" s="219"/>
      <c r="DF2093" s="166"/>
      <c r="DG2093" s="116"/>
      <c r="DH2093" s="117"/>
      <c r="DI2093" s="24"/>
      <c r="DJ2093" s="24"/>
      <c r="DK2093" s="24"/>
      <c r="DL2093" s="24"/>
      <c r="DM2093" s="24"/>
      <c r="DN2093" s="24"/>
      <c r="DO2093" s="24"/>
      <c r="DP2093" s="24"/>
      <c r="DQ2093" s="24"/>
      <c r="DR2093" s="24"/>
      <c r="DS2093" s="24"/>
      <c r="DT2093" s="24"/>
      <c r="DU2093" s="24"/>
    </row>
    <row r="2094" spans="1:125" s="8" customFormat="1" ht="86.25" x14ac:dyDescent="0.2">
      <c r="A2094" s="77">
        <v>41436</v>
      </c>
      <c r="B2094" s="78" t="s">
        <v>2774</v>
      </c>
      <c r="C2094" s="75" t="s">
        <v>2106</v>
      </c>
      <c r="D2094" s="75" t="s">
        <v>3088</v>
      </c>
      <c r="E2094" s="75" t="str">
        <f>VLOOKUP(B2094&amp;C2094,Divipola!$C$2:$F$1138,4,FALSE)</f>
        <v>66400</v>
      </c>
      <c r="F2094" s="87"/>
      <c r="G2094" s="87"/>
      <c r="H2094" s="87"/>
      <c r="I2094" s="87"/>
      <c r="J2094" s="87"/>
      <c r="K2094" s="87"/>
      <c r="L2094" s="87"/>
      <c r="M2094" s="87">
        <v>1</v>
      </c>
      <c r="N2094" s="87"/>
      <c r="O2094" s="87"/>
      <c r="P2094" s="87"/>
      <c r="Q2094" s="87"/>
      <c r="R2094" s="87"/>
      <c r="S2094" s="87"/>
      <c r="T2094" s="87"/>
      <c r="U2094" s="88"/>
      <c r="V2094" s="89"/>
      <c r="W2094" s="96">
        <v>0</v>
      </c>
      <c r="X2094" s="71">
        <f>CU2094</f>
        <v>0</v>
      </c>
      <c r="Y2094" s="71">
        <f>CY2094</f>
        <v>0</v>
      </c>
      <c r="Z2094" s="71">
        <f>DA2094+DC2094+DE2094</f>
        <v>0</v>
      </c>
      <c r="AA2094" s="71">
        <f>CW2094</f>
        <v>0</v>
      </c>
      <c r="AB2094" s="71"/>
      <c r="AC2094" s="71">
        <v>0</v>
      </c>
      <c r="AD2094" s="71">
        <f>W2094+X2094+Y2094+Z2094+AA2094+AB2094+AC2094</f>
        <v>0</v>
      </c>
      <c r="AE2094" s="72">
        <v>0</v>
      </c>
      <c r="AF2094" s="5"/>
      <c r="AG2094" s="6"/>
      <c r="AH2094" s="27" t="s">
        <v>3392</v>
      </c>
      <c r="AI2094" s="44" t="s">
        <v>3393</v>
      </c>
      <c r="AJ2094" s="26"/>
      <c r="AK2094" s="5"/>
      <c r="AL2094" s="82" t="s">
        <v>4915</v>
      </c>
      <c r="AM2094" s="76"/>
      <c r="AN2094" s="76"/>
      <c r="AO2094" s="76"/>
      <c r="AP2094" s="76"/>
      <c r="AQ2094" s="76"/>
      <c r="AR2094" s="76"/>
      <c r="AS2094" s="76"/>
      <c r="AT2094" s="76"/>
      <c r="AU2094" s="76"/>
      <c r="AV2094" s="76"/>
      <c r="AW2094" s="76"/>
      <c r="AX2094" s="76">
        <f>+AW2094*600000</f>
        <v>0</v>
      </c>
      <c r="AY2094" s="76"/>
      <c r="AZ2094" s="76">
        <f>+AY2094*70000</f>
        <v>0</v>
      </c>
      <c r="BA2094" s="76"/>
      <c r="BB2094" s="76"/>
      <c r="BC2094" s="76"/>
      <c r="BD2094" s="76">
        <f>+BC2094*30000</f>
        <v>0</v>
      </c>
      <c r="BE2094" s="76"/>
      <c r="BF2094" s="76"/>
      <c r="BG2094" s="76"/>
      <c r="BH2094" s="76"/>
      <c r="BI2094" s="76"/>
      <c r="BJ2094" s="76"/>
      <c r="BK2094" s="76"/>
      <c r="BL2094" s="76">
        <f>+BK2094*31500</f>
        <v>0</v>
      </c>
      <c r="BM2094" s="76"/>
      <c r="BN2094" s="76"/>
      <c r="BO2094" s="76"/>
      <c r="BP2094" s="76"/>
      <c r="BQ2094" s="76"/>
      <c r="BR2094" s="76"/>
      <c r="BS2094" s="76"/>
      <c r="BT2094" s="76"/>
      <c r="BU2094" s="76"/>
      <c r="BV2094" s="76"/>
      <c r="BW2094" s="76"/>
      <c r="BX2094" s="76"/>
      <c r="BY2094" s="76"/>
      <c r="BZ2094" s="76"/>
      <c r="CA2094" s="76"/>
      <c r="CB2094" s="76"/>
      <c r="CC2094" s="76"/>
      <c r="CD2094" s="76"/>
      <c r="CE2094" s="76"/>
      <c r="CF2094" s="76">
        <f>+CE2094*28000</f>
        <v>0</v>
      </c>
      <c r="CG2094" s="76"/>
      <c r="CH2094" s="76">
        <f>+CG2094*22500</f>
        <v>0</v>
      </c>
      <c r="CI2094" s="76"/>
      <c r="CJ2094" s="76">
        <f>+CI2094*26000</f>
        <v>0</v>
      </c>
      <c r="CK2094" s="76"/>
      <c r="CL2094" s="76"/>
      <c r="CM2094" s="76"/>
      <c r="CN2094" s="76">
        <f>+CM2094*22000</f>
        <v>0</v>
      </c>
      <c r="CO2094" s="76"/>
      <c r="CP2094" s="76">
        <f>+CO2094*46000</f>
        <v>0</v>
      </c>
      <c r="CQ2094" s="76"/>
      <c r="CR2094" s="76">
        <f>+CQ2094*49000</f>
        <v>0</v>
      </c>
      <c r="CS2094" s="76"/>
      <c r="CT2094" s="76"/>
      <c r="CU2094" s="56">
        <f>AN2094+AP2094+AR2094+AT2094+AV2094+AX2094+AZ2094+BB2094+BD2094+BF2094+BH2094+BJ2094+BL2094+BN2094+BP2094+BR2094+BT2094+BV2094+BX2094+BZ2094+CB2094+CD2094+CF2094+CH2094+CJ2094+CL2094+CN2094+CP2094+CR2094+CT2094</f>
        <v>0</v>
      </c>
      <c r="CV2094" s="76"/>
      <c r="CW2094" s="76">
        <f>+CV2094*1100</f>
        <v>0</v>
      </c>
      <c r="CX2094" s="76"/>
      <c r="CY2094" s="76">
        <f>+CX2094*106250</f>
        <v>0</v>
      </c>
      <c r="CZ2094" s="76"/>
      <c r="DA2094" s="76">
        <f>+CZ2094*34500</f>
        <v>0</v>
      </c>
      <c r="DB2094" s="76"/>
      <c r="DC2094" s="76">
        <f>+DB2094*25000</f>
        <v>0</v>
      </c>
      <c r="DD2094" s="219"/>
      <c r="DE2094" s="219"/>
      <c r="DF2094" s="166"/>
      <c r="DG2094" s="116"/>
      <c r="DH2094" s="117"/>
      <c r="DI2094" s="24"/>
      <c r="DJ2094" s="24"/>
      <c r="DK2094" s="24"/>
      <c r="DL2094" s="24"/>
      <c r="DM2094" s="24"/>
      <c r="DN2094" s="24"/>
      <c r="DO2094" s="24"/>
      <c r="DP2094" s="24"/>
      <c r="DQ2094" s="24"/>
      <c r="DR2094" s="24"/>
      <c r="DS2094" s="24"/>
      <c r="DT2094" s="24"/>
      <c r="DU2094" s="24"/>
    </row>
    <row r="2095" spans="1:125" s="8" customFormat="1" ht="60" x14ac:dyDescent="0.2">
      <c r="A2095" s="77">
        <v>41436</v>
      </c>
      <c r="B2095" s="78" t="s">
        <v>2847</v>
      </c>
      <c r="C2095" s="75" t="s">
        <v>312</v>
      </c>
      <c r="D2095" s="75" t="s">
        <v>2859</v>
      </c>
      <c r="E2095" s="75" t="str">
        <f>VLOOKUP(B2095&amp;C2095,Divipola!$C$2:$F$1138,4,FALSE)</f>
        <v>68152</v>
      </c>
      <c r="F2095" s="87"/>
      <c r="G2095" s="87"/>
      <c r="H2095" s="87"/>
      <c r="I2095" s="87">
        <v>5</v>
      </c>
      <c r="J2095" s="87">
        <v>1</v>
      </c>
      <c r="K2095" s="87">
        <v>1</v>
      </c>
      <c r="L2095" s="87"/>
      <c r="M2095" s="87"/>
      <c r="N2095" s="87"/>
      <c r="O2095" s="87"/>
      <c r="P2095" s="87"/>
      <c r="Q2095" s="87"/>
      <c r="R2095" s="87"/>
      <c r="S2095" s="87"/>
      <c r="T2095" s="87"/>
      <c r="U2095" s="88"/>
      <c r="V2095" s="89"/>
      <c r="W2095" s="96">
        <v>0</v>
      </c>
      <c r="X2095" s="71">
        <f>CU2095</f>
        <v>0</v>
      </c>
      <c r="Y2095" s="71">
        <f>CY2095</f>
        <v>0</v>
      </c>
      <c r="Z2095" s="71">
        <f>DA2095+DC2095+DE2095</f>
        <v>0</v>
      </c>
      <c r="AA2095" s="71">
        <f>CW2095</f>
        <v>0</v>
      </c>
      <c r="AB2095" s="71"/>
      <c r="AC2095" s="71">
        <v>0</v>
      </c>
      <c r="AD2095" s="71">
        <f>W2095+X2095+Y2095+Z2095+AA2095+AB2095+AC2095</f>
        <v>0</v>
      </c>
      <c r="AE2095" s="72">
        <v>0</v>
      </c>
      <c r="AF2095" s="5"/>
      <c r="AG2095" s="6"/>
      <c r="AH2095" s="27" t="s">
        <v>3392</v>
      </c>
      <c r="AI2095" s="44" t="s">
        <v>3393</v>
      </c>
      <c r="AJ2095" s="26"/>
      <c r="AK2095" s="5"/>
      <c r="AL2095" s="82" t="s">
        <v>4920</v>
      </c>
      <c r="AM2095" s="76"/>
      <c r="AN2095" s="76"/>
      <c r="AO2095" s="76"/>
      <c r="AP2095" s="76"/>
      <c r="AQ2095" s="76"/>
      <c r="AR2095" s="76"/>
      <c r="AS2095" s="76"/>
      <c r="AT2095" s="76"/>
      <c r="AU2095" s="76"/>
      <c r="AV2095" s="76"/>
      <c r="AW2095" s="76"/>
      <c r="AX2095" s="76">
        <f>+AW2095*600000</f>
        <v>0</v>
      </c>
      <c r="AY2095" s="76"/>
      <c r="AZ2095" s="76">
        <f>+AY2095*70000</f>
        <v>0</v>
      </c>
      <c r="BA2095" s="76"/>
      <c r="BB2095" s="76"/>
      <c r="BC2095" s="76"/>
      <c r="BD2095" s="76">
        <f>+BC2095*30000</f>
        <v>0</v>
      </c>
      <c r="BE2095" s="76"/>
      <c r="BF2095" s="76"/>
      <c r="BG2095" s="76"/>
      <c r="BH2095" s="76"/>
      <c r="BI2095" s="76"/>
      <c r="BJ2095" s="76"/>
      <c r="BK2095" s="76"/>
      <c r="BL2095" s="76">
        <f>+BK2095*31500</f>
        <v>0</v>
      </c>
      <c r="BM2095" s="76"/>
      <c r="BN2095" s="76"/>
      <c r="BO2095" s="76"/>
      <c r="BP2095" s="76"/>
      <c r="BQ2095" s="76"/>
      <c r="BR2095" s="76"/>
      <c r="BS2095" s="76"/>
      <c r="BT2095" s="76"/>
      <c r="BU2095" s="76"/>
      <c r="BV2095" s="76"/>
      <c r="BW2095" s="76"/>
      <c r="BX2095" s="76"/>
      <c r="BY2095" s="76"/>
      <c r="BZ2095" s="76"/>
      <c r="CA2095" s="76"/>
      <c r="CB2095" s="76"/>
      <c r="CC2095" s="76"/>
      <c r="CD2095" s="76"/>
      <c r="CE2095" s="76"/>
      <c r="CF2095" s="76">
        <f>+CE2095*28000</f>
        <v>0</v>
      </c>
      <c r="CG2095" s="76"/>
      <c r="CH2095" s="76">
        <f>+CG2095*22500</f>
        <v>0</v>
      </c>
      <c r="CI2095" s="76"/>
      <c r="CJ2095" s="76">
        <f>+CI2095*26000</f>
        <v>0</v>
      </c>
      <c r="CK2095" s="76"/>
      <c r="CL2095" s="76"/>
      <c r="CM2095" s="76"/>
      <c r="CN2095" s="76">
        <f>+CM2095*22000</f>
        <v>0</v>
      </c>
      <c r="CO2095" s="76"/>
      <c r="CP2095" s="76">
        <f>+CO2095*46000</f>
        <v>0</v>
      </c>
      <c r="CQ2095" s="76"/>
      <c r="CR2095" s="76">
        <f>+CQ2095*49000</f>
        <v>0</v>
      </c>
      <c r="CS2095" s="76"/>
      <c r="CT2095" s="76"/>
      <c r="CU2095" s="56">
        <f>AN2095+AP2095+AR2095+AT2095+AV2095+AX2095+AZ2095+BB2095+BD2095+BF2095+BH2095+BJ2095+BL2095+BN2095+BP2095+BR2095+BT2095+BV2095+BX2095+BZ2095+CB2095+CD2095+CF2095+CH2095+CJ2095+CL2095+CN2095+CP2095+CR2095+CT2095</f>
        <v>0</v>
      </c>
      <c r="CV2095" s="76"/>
      <c r="CW2095" s="76">
        <f>+CV2095*1100</f>
        <v>0</v>
      </c>
      <c r="CX2095" s="76"/>
      <c r="CY2095" s="76">
        <f>+CX2095*106250</f>
        <v>0</v>
      </c>
      <c r="CZ2095" s="76"/>
      <c r="DA2095" s="76">
        <f>+CZ2095*34500</f>
        <v>0</v>
      </c>
      <c r="DB2095" s="76"/>
      <c r="DC2095" s="76">
        <f>+DB2095*25000</f>
        <v>0</v>
      </c>
      <c r="DD2095" s="219"/>
      <c r="DE2095" s="219"/>
      <c r="DF2095" s="166"/>
      <c r="DG2095" s="116"/>
      <c r="DH2095" s="117"/>
      <c r="DI2095" s="24"/>
      <c r="DJ2095" s="24"/>
      <c r="DK2095" s="24"/>
      <c r="DL2095" s="24"/>
      <c r="DM2095" s="24"/>
      <c r="DN2095" s="24"/>
      <c r="DO2095" s="24"/>
      <c r="DP2095" s="24"/>
      <c r="DQ2095" s="24"/>
      <c r="DR2095" s="24"/>
      <c r="DS2095" s="24"/>
      <c r="DT2095" s="24"/>
      <c r="DU2095" s="24"/>
    </row>
    <row r="2096" spans="1:125" s="8" customFormat="1" ht="48" x14ac:dyDescent="0.2">
      <c r="A2096" s="353">
        <v>41436</v>
      </c>
      <c r="B2096" s="352" t="s">
        <v>2848</v>
      </c>
      <c r="C2096" s="354" t="s">
        <v>1872</v>
      </c>
      <c r="D2096" s="354" t="s">
        <v>2859</v>
      </c>
      <c r="E2096" s="75" t="str">
        <f>VLOOKUP(B2096&amp;C2096,Divipola!$C$2:$F$1138,4,FALSE)</f>
        <v>73268</v>
      </c>
      <c r="F2096" s="87"/>
      <c r="G2096" s="87"/>
      <c r="H2096" s="87"/>
      <c r="I2096" s="87">
        <v>10</v>
      </c>
      <c r="J2096" s="87">
        <v>2</v>
      </c>
      <c r="K2096" s="87">
        <v>1</v>
      </c>
      <c r="L2096" s="87">
        <v>1</v>
      </c>
      <c r="M2096" s="87"/>
      <c r="N2096" s="87"/>
      <c r="O2096" s="87"/>
      <c r="P2096" s="87"/>
      <c r="Q2096" s="87"/>
      <c r="R2096" s="87"/>
      <c r="S2096" s="87"/>
      <c r="T2096" s="87"/>
      <c r="U2096" s="88"/>
      <c r="V2096" s="89"/>
      <c r="W2096" s="96">
        <v>0</v>
      </c>
      <c r="X2096" s="71">
        <f>CU2096</f>
        <v>0</v>
      </c>
      <c r="Y2096" s="71">
        <f>CY2096</f>
        <v>0</v>
      </c>
      <c r="Z2096" s="71">
        <f>DA2096+DC2096+DE2096</f>
        <v>0</v>
      </c>
      <c r="AA2096" s="71">
        <f>CW2096</f>
        <v>0</v>
      </c>
      <c r="AB2096" s="71"/>
      <c r="AC2096" s="71">
        <v>0</v>
      </c>
      <c r="AD2096" s="71">
        <f>W2096+X2096+Y2096+Z2096+AA2096+AB2096+AC2096</f>
        <v>0</v>
      </c>
      <c r="AE2096" s="72">
        <v>0</v>
      </c>
      <c r="AF2096" s="5"/>
      <c r="AG2096" s="6"/>
      <c r="AH2096" s="27" t="s">
        <v>3392</v>
      </c>
      <c r="AI2096" s="44" t="s">
        <v>3393</v>
      </c>
      <c r="AJ2096" s="26"/>
      <c r="AK2096" s="5"/>
      <c r="AL2096" s="82" t="s">
        <v>4923</v>
      </c>
      <c r="AM2096" s="76"/>
      <c r="AN2096" s="76"/>
      <c r="AO2096" s="76"/>
      <c r="AP2096" s="76"/>
      <c r="AQ2096" s="76"/>
      <c r="AR2096" s="76"/>
      <c r="AS2096" s="76"/>
      <c r="AT2096" s="76"/>
      <c r="AU2096" s="76"/>
      <c r="AV2096" s="76"/>
      <c r="AW2096" s="76"/>
      <c r="AX2096" s="76">
        <f>+AW2096*600000</f>
        <v>0</v>
      </c>
      <c r="AY2096" s="76"/>
      <c r="AZ2096" s="76">
        <f>+AY2096*70000</f>
        <v>0</v>
      </c>
      <c r="BA2096" s="76"/>
      <c r="BB2096" s="76"/>
      <c r="BC2096" s="76"/>
      <c r="BD2096" s="76">
        <f>+BC2096*30000</f>
        <v>0</v>
      </c>
      <c r="BE2096" s="76"/>
      <c r="BF2096" s="76"/>
      <c r="BG2096" s="76"/>
      <c r="BH2096" s="76"/>
      <c r="BI2096" s="76"/>
      <c r="BJ2096" s="76"/>
      <c r="BK2096" s="76"/>
      <c r="BL2096" s="76">
        <f>+BK2096*31500</f>
        <v>0</v>
      </c>
      <c r="BM2096" s="76"/>
      <c r="BN2096" s="76"/>
      <c r="BO2096" s="76"/>
      <c r="BP2096" s="76"/>
      <c r="BQ2096" s="76"/>
      <c r="BR2096" s="76"/>
      <c r="BS2096" s="76"/>
      <c r="BT2096" s="76"/>
      <c r="BU2096" s="76"/>
      <c r="BV2096" s="76"/>
      <c r="BW2096" s="76"/>
      <c r="BX2096" s="76"/>
      <c r="BY2096" s="76"/>
      <c r="BZ2096" s="76"/>
      <c r="CA2096" s="76"/>
      <c r="CB2096" s="76"/>
      <c r="CC2096" s="76"/>
      <c r="CD2096" s="76"/>
      <c r="CE2096" s="76"/>
      <c r="CF2096" s="76">
        <f>+CE2096*28000</f>
        <v>0</v>
      </c>
      <c r="CG2096" s="76"/>
      <c r="CH2096" s="76">
        <f>+CG2096*22500</f>
        <v>0</v>
      </c>
      <c r="CI2096" s="76"/>
      <c r="CJ2096" s="76">
        <f>+CI2096*26000</f>
        <v>0</v>
      </c>
      <c r="CK2096" s="76"/>
      <c r="CL2096" s="76"/>
      <c r="CM2096" s="76"/>
      <c r="CN2096" s="76">
        <f>+CM2096*22000</f>
        <v>0</v>
      </c>
      <c r="CO2096" s="76"/>
      <c r="CP2096" s="76">
        <f>+CO2096*46000</f>
        <v>0</v>
      </c>
      <c r="CQ2096" s="76"/>
      <c r="CR2096" s="76">
        <f>+CQ2096*49000</f>
        <v>0</v>
      </c>
      <c r="CS2096" s="76"/>
      <c r="CT2096" s="76"/>
      <c r="CU2096" s="56">
        <f>AN2096+AP2096+AR2096+AT2096+AV2096+AX2096+AZ2096+BB2096+BD2096+BF2096+BH2096+BJ2096+BL2096+BN2096+BP2096+BR2096+BT2096+BV2096+BX2096+BZ2096+CB2096+CD2096+CF2096+CH2096+CJ2096+CL2096+CN2096+CP2096+CR2096+CT2096</f>
        <v>0</v>
      </c>
      <c r="CV2096" s="76"/>
      <c r="CW2096" s="76">
        <f>+CV2096*1100</f>
        <v>0</v>
      </c>
      <c r="CX2096" s="76"/>
      <c r="CY2096" s="76">
        <f>+CX2096*106250</f>
        <v>0</v>
      </c>
      <c r="CZ2096" s="76"/>
      <c r="DA2096" s="76">
        <f>+CZ2096*34500</f>
        <v>0</v>
      </c>
      <c r="DB2096" s="76"/>
      <c r="DC2096" s="76">
        <f>+DB2096*25000</f>
        <v>0</v>
      </c>
      <c r="DD2096" s="219"/>
      <c r="DE2096" s="219"/>
      <c r="DF2096" s="166"/>
      <c r="DG2096" s="116"/>
      <c r="DH2096" s="117"/>
      <c r="DI2096" s="24"/>
      <c r="DJ2096" s="24"/>
      <c r="DK2096" s="24"/>
      <c r="DL2096" s="24"/>
      <c r="DM2096" s="24"/>
      <c r="DN2096" s="24"/>
      <c r="DO2096" s="24"/>
      <c r="DP2096" s="24"/>
      <c r="DQ2096" s="24"/>
      <c r="DR2096" s="24"/>
      <c r="DS2096" s="24"/>
      <c r="DT2096" s="24"/>
      <c r="DU2096" s="24"/>
    </row>
    <row r="2097" spans="1:125" s="8" customFormat="1" ht="48" x14ac:dyDescent="0.2">
      <c r="A2097" s="226">
        <v>41436</v>
      </c>
      <c r="B2097" s="225" t="s">
        <v>2848</v>
      </c>
      <c r="C2097" s="227" t="s">
        <v>1887</v>
      </c>
      <c r="D2097" s="227" t="s">
        <v>2846</v>
      </c>
      <c r="E2097" s="75" t="str">
        <f>VLOOKUP(B2097&amp;C2097,Divipola!$C$2:$F$1138,4,FALSE)</f>
        <v>73443</v>
      </c>
      <c r="F2097" s="87"/>
      <c r="G2097" s="87"/>
      <c r="H2097" s="87"/>
      <c r="I2097" s="87"/>
      <c r="J2097" s="87"/>
      <c r="K2097" s="87"/>
      <c r="L2097" s="87"/>
      <c r="M2097" s="87"/>
      <c r="N2097" s="87"/>
      <c r="O2097" s="87"/>
      <c r="P2097" s="87"/>
      <c r="Q2097" s="87"/>
      <c r="R2097" s="87"/>
      <c r="S2097" s="87"/>
      <c r="T2097" s="87"/>
      <c r="U2097" s="88"/>
      <c r="V2097" s="89"/>
      <c r="W2097" s="96">
        <v>0</v>
      </c>
      <c r="X2097" s="71">
        <f>CU2097</f>
        <v>0</v>
      </c>
      <c r="Y2097" s="71">
        <f>CY2097</f>
        <v>0</v>
      </c>
      <c r="Z2097" s="71">
        <f>DA2097+DC2097+DE2097</f>
        <v>0</v>
      </c>
      <c r="AA2097" s="71">
        <f>CW2097</f>
        <v>0</v>
      </c>
      <c r="AB2097" s="71"/>
      <c r="AC2097" s="71">
        <v>0</v>
      </c>
      <c r="AD2097" s="71">
        <f>W2097+X2097+Y2097+Z2097+AA2097+AB2097+AC2097</f>
        <v>0</v>
      </c>
      <c r="AE2097" s="72">
        <v>0</v>
      </c>
      <c r="AF2097" s="5"/>
      <c r="AG2097" s="6"/>
      <c r="AH2097" s="27" t="s">
        <v>3392</v>
      </c>
      <c r="AI2097" s="44" t="s">
        <v>3393</v>
      </c>
      <c r="AJ2097" s="26"/>
      <c r="AK2097" s="5"/>
      <c r="AL2097" s="82" t="s">
        <v>4917</v>
      </c>
      <c r="AM2097" s="76"/>
      <c r="AN2097" s="76"/>
      <c r="AO2097" s="76"/>
      <c r="AP2097" s="76"/>
      <c r="AQ2097" s="76"/>
      <c r="AR2097" s="76"/>
      <c r="AS2097" s="76"/>
      <c r="AT2097" s="76"/>
      <c r="AU2097" s="76"/>
      <c r="AV2097" s="76"/>
      <c r="AW2097" s="76"/>
      <c r="AX2097" s="76">
        <f>+AW2097*600000</f>
        <v>0</v>
      </c>
      <c r="AY2097" s="76"/>
      <c r="AZ2097" s="76">
        <f>+AY2097*70000</f>
        <v>0</v>
      </c>
      <c r="BA2097" s="76"/>
      <c r="BB2097" s="76"/>
      <c r="BC2097" s="76"/>
      <c r="BD2097" s="76">
        <f>+BC2097*30000</f>
        <v>0</v>
      </c>
      <c r="BE2097" s="76"/>
      <c r="BF2097" s="76"/>
      <c r="BG2097" s="76"/>
      <c r="BH2097" s="76"/>
      <c r="BI2097" s="76"/>
      <c r="BJ2097" s="76"/>
      <c r="BK2097" s="76"/>
      <c r="BL2097" s="76">
        <f>+BK2097*31500</f>
        <v>0</v>
      </c>
      <c r="BM2097" s="76"/>
      <c r="BN2097" s="76"/>
      <c r="BO2097" s="76"/>
      <c r="BP2097" s="76"/>
      <c r="BQ2097" s="76"/>
      <c r="BR2097" s="76"/>
      <c r="BS2097" s="76"/>
      <c r="BT2097" s="76"/>
      <c r="BU2097" s="76"/>
      <c r="BV2097" s="76"/>
      <c r="BW2097" s="76"/>
      <c r="BX2097" s="76"/>
      <c r="BY2097" s="76"/>
      <c r="BZ2097" s="76"/>
      <c r="CA2097" s="76"/>
      <c r="CB2097" s="76"/>
      <c r="CC2097" s="76"/>
      <c r="CD2097" s="76"/>
      <c r="CE2097" s="76"/>
      <c r="CF2097" s="76">
        <f>+CE2097*28000</f>
        <v>0</v>
      </c>
      <c r="CG2097" s="76"/>
      <c r="CH2097" s="76">
        <f>+CG2097*22500</f>
        <v>0</v>
      </c>
      <c r="CI2097" s="76"/>
      <c r="CJ2097" s="76">
        <f>+CI2097*26000</f>
        <v>0</v>
      </c>
      <c r="CK2097" s="76"/>
      <c r="CL2097" s="76"/>
      <c r="CM2097" s="76"/>
      <c r="CN2097" s="76">
        <f>+CM2097*22000</f>
        <v>0</v>
      </c>
      <c r="CO2097" s="76"/>
      <c r="CP2097" s="76">
        <f>+CO2097*46000</f>
        <v>0</v>
      </c>
      <c r="CQ2097" s="76"/>
      <c r="CR2097" s="76">
        <f>+CQ2097*49000</f>
        <v>0</v>
      </c>
      <c r="CS2097" s="76"/>
      <c r="CT2097" s="76"/>
      <c r="CU2097" s="56">
        <f>AN2097+AP2097+AR2097+AT2097+AV2097+AX2097+AZ2097+BB2097+BD2097+BF2097+BH2097+BJ2097+BL2097+BN2097+BP2097+BR2097+BT2097+BV2097+BX2097+BZ2097+CB2097+CD2097+CF2097+CH2097+CJ2097+CL2097+CN2097+CP2097+CR2097+CT2097</f>
        <v>0</v>
      </c>
      <c r="CV2097" s="76"/>
      <c r="CW2097" s="76">
        <f>+CV2097*1100</f>
        <v>0</v>
      </c>
      <c r="CX2097" s="76"/>
      <c r="CY2097" s="76">
        <f>+CX2097*106250</f>
        <v>0</v>
      </c>
      <c r="CZ2097" s="76"/>
      <c r="DA2097" s="76">
        <f>+CZ2097*34500</f>
        <v>0</v>
      </c>
      <c r="DB2097" s="76"/>
      <c r="DC2097" s="76">
        <f>+DB2097*25000</f>
        <v>0</v>
      </c>
      <c r="DD2097" s="219"/>
      <c r="DE2097" s="219"/>
      <c r="DF2097" s="166"/>
      <c r="DG2097" s="116"/>
      <c r="DH2097" s="117"/>
      <c r="DI2097" s="24"/>
      <c r="DJ2097" s="24"/>
      <c r="DK2097" s="24"/>
      <c r="DL2097" s="24"/>
      <c r="DM2097" s="24"/>
      <c r="DN2097" s="24"/>
      <c r="DO2097" s="24"/>
      <c r="DP2097" s="24"/>
      <c r="DQ2097" s="24"/>
      <c r="DR2097" s="24"/>
      <c r="DS2097" s="24"/>
      <c r="DT2097" s="24"/>
      <c r="DU2097" s="24"/>
    </row>
    <row r="2098" spans="1:125" s="8" customFormat="1" ht="48" x14ac:dyDescent="0.2">
      <c r="A2098" s="353">
        <v>41436</v>
      </c>
      <c r="B2098" s="352" t="s">
        <v>2848</v>
      </c>
      <c r="C2098" s="354" t="s">
        <v>1383</v>
      </c>
      <c r="D2098" s="354" t="s">
        <v>2846</v>
      </c>
      <c r="E2098" s="75" t="str">
        <f>VLOOKUP(B2098&amp;C2098,Divipola!$C$2:$F$1138,4,FALSE)</f>
        <v>73483</v>
      </c>
      <c r="F2098" s="87"/>
      <c r="G2098" s="87"/>
      <c r="H2098" s="87"/>
      <c r="I2098" s="87"/>
      <c r="J2098" s="87"/>
      <c r="K2098" s="87"/>
      <c r="L2098" s="87"/>
      <c r="M2098" s="87"/>
      <c r="N2098" s="87"/>
      <c r="O2098" s="87"/>
      <c r="P2098" s="87"/>
      <c r="Q2098" s="87"/>
      <c r="R2098" s="87"/>
      <c r="S2098" s="87"/>
      <c r="T2098" s="87"/>
      <c r="U2098" s="88"/>
      <c r="V2098" s="89"/>
      <c r="W2098" s="96">
        <v>0</v>
      </c>
      <c r="X2098" s="71">
        <f>CU2098</f>
        <v>0</v>
      </c>
      <c r="Y2098" s="71">
        <f>CY2098</f>
        <v>0</v>
      </c>
      <c r="Z2098" s="71">
        <f>DA2098+DC2098+DE2098</f>
        <v>0</v>
      </c>
      <c r="AA2098" s="71">
        <f>CW2098</f>
        <v>0</v>
      </c>
      <c r="AB2098" s="71"/>
      <c r="AC2098" s="71">
        <v>0</v>
      </c>
      <c r="AD2098" s="71">
        <f>W2098+X2098+Y2098+Z2098+AA2098+AB2098+AC2098</f>
        <v>0</v>
      </c>
      <c r="AE2098" s="72">
        <v>0</v>
      </c>
      <c r="AF2098" s="5"/>
      <c r="AG2098" s="6"/>
      <c r="AH2098" s="27" t="s">
        <v>3392</v>
      </c>
      <c r="AI2098" s="44" t="s">
        <v>3393</v>
      </c>
      <c r="AJ2098" s="26"/>
      <c r="AK2098" s="5"/>
      <c r="AL2098" s="82" t="s">
        <v>4924</v>
      </c>
      <c r="AM2098" s="76"/>
      <c r="AN2098" s="76"/>
      <c r="AO2098" s="76"/>
      <c r="AP2098" s="76"/>
      <c r="AQ2098" s="76"/>
      <c r="AR2098" s="76"/>
      <c r="AS2098" s="76"/>
      <c r="AT2098" s="76"/>
      <c r="AU2098" s="76"/>
      <c r="AV2098" s="76"/>
      <c r="AW2098" s="76"/>
      <c r="AX2098" s="76">
        <f>+AW2098*600000</f>
        <v>0</v>
      </c>
      <c r="AY2098" s="76"/>
      <c r="AZ2098" s="76">
        <f>+AY2098*70000</f>
        <v>0</v>
      </c>
      <c r="BA2098" s="76"/>
      <c r="BB2098" s="76"/>
      <c r="BC2098" s="76"/>
      <c r="BD2098" s="76">
        <f>+BC2098*30000</f>
        <v>0</v>
      </c>
      <c r="BE2098" s="76"/>
      <c r="BF2098" s="76"/>
      <c r="BG2098" s="76"/>
      <c r="BH2098" s="76"/>
      <c r="BI2098" s="76"/>
      <c r="BJ2098" s="76"/>
      <c r="BK2098" s="76"/>
      <c r="BL2098" s="76">
        <f>+BK2098*31500</f>
        <v>0</v>
      </c>
      <c r="BM2098" s="76"/>
      <c r="BN2098" s="76"/>
      <c r="BO2098" s="76"/>
      <c r="BP2098" s="76"/>
      <c r="BQ2098" s="76"/>
      <c r="BR2098" s="76"/>
      <c r="BS2098" s="76"/>
      <c r="BT2098" s="76"/>
      <c r="BU2098" s="76"/>
      <c r="BV2098" s="76"/>
      <c r="BW2098" s="76"/>
      <c r="BX2098" s="76"/>
      <c r="BY2098" s="76"/>
      <c r="BZ2098" s="76"/>
      <c r="CA2098" s="76"/>
      <c r="CB2098" s="76"/>
      <c r="CC2098" s="76"/>
      <c r="CD2098" s="76"/>
      <c r="CE2098" s="76"/>
      <c r="CF2098" s="76">
        <f>+CE2098*28000</f>
        <v>0</v>
      </c>
      <c r="CG2098" s="76"/>
      <c r="CH2098" s="76">
        <f>+CG2098*22500</f>
        <v>0</v>
      </c>
      <c r="CI2098" s="76"/>
      <c r="CJ2098" s="76">
        <f>+CI2098*26000</f>
        <v>0</v>
      </c>
      <c r="CK2098" s="76"/>
      <c r="CL2098" s="76"/>
      <c r="CM2098" s="76"/>
      <c r="CN2098" s="76">
        <f>+CM2098*22000</f>
        <v>0</v>
      </c>
      <c r="CO2098" s="76"/>
      <c r="CP2098" s="76">
        <f>+CO2098*46000</f>
        <v>0</v>
      </c>
      <c r="CQ2098" s="76"/>
      <c r="CR2098" s="76">
        <f>+CQ2098*49000</f>
        <v>0</v>
      </c>
      <c r="CS2098" s="76"/>
      <c r="CT2098" s="76"/>
      <c r="CU2098" s="56">
        <f>AN2098+AP2098+AR2098+AT2098+AV2098+AX2098+AZ2098+BB2098+BD2098+BF2098+BH2098+BJ2098+BL2098+BN2098+BP2098+BR2098+BT2098+BV2098+BX2098+BZ2098+CB2098+CD2098+CF2098+CH2098+CJ2098+CL2098+CN2098+CP2098+CR2098+CT2098</f>
        <v>0</v>
      </c>
      <c r="CV2098" s="76"/>
      <c r="CW2098" s="76">
        <f>+CV2098*1100</f>
        <v>0</v>
      </c>
      <c r="CX2098" s="76"/>
      <c r="CY2098" s="76">
        <f>+CX2098*106250</f>
        <v>0</v>
      </c>
      <c r="CZ2098" s="76"/>
      <c r="DA2098" s="76">
        <f>+CZ2098*34500</f>
        <v>0</v>
      </c>
      <c r="DB2098" s="76"/>
      <c r="DC2098" s="76">
        <f>+DB2098*25000</f>
        <v>0</v>
      </c>
      <c r="DD2098" s="219"/>
      <c r="DE2098" s="219"/>
      <c r="DF2098" s="166"/>
      <c r="DG2098" s="116"/>
      <c r="DH2098" s="117"/>
      <c r="DI2098" s="24"/>
      <c r="DJ2098" s="24"/>
      <c r="DK2098" s="24"/>
      <c r="DL2098" s="24"/>
      <c r="DM2098" s="24"/>
      <c r="DN2098" s="24"/>
      <c r="DO2098" s="24"/>
      <c r="DP2098" s="24"/>
      <c r="DQ2098" s="24"/>
      <c r="DR2098" s="24"/>
      <c r="DS2098" s="24"/>
      <c r="DT2098" s="24"/>
      <c r="DU2098" s="24"/>
    </row>
    <row r="2099" spans="1:125" s="8" customFormat="1" ht="72" x14ac:dyDescent="0.2">
      <c r="A2099" s="77">
        <v>41437</v>
      </c>
      <c r="B2099" s="78" t="s">
        <v>2700</v>
      </c>
      <c r="C2099" s="75" t="s">
        <v>2217</v>
      </c>
      <c r="D2099" s="75" t="s">
        <v>3088</v>
      </c>
      <c r="E2099" s="75" t="str">
        <f>VLOOKUP(B2099&amp;C2099,Divipola!$C$2:$F$1138,4,FALSE)</f>
        <v>15469</v>
      </c>
      <c r="F2099" s="87"/>
      <c r="G2099" s="87"/>
      <c r="H2099" s="87"/>
      <c r="I2099" s="87">
        <v>10</v>
      </c>
      <c r="J2099" s="87">
        <v>2</v>
      </c>
      <c r="K2099" s="87">
        <v>1</v>
      </c>
      <c r="L2099" s="87">
        <v>1</v>
      </c>
      <c r="M2099" s="87">
        <v>1</v>
      </c>
      <c r="N2099" s="87"/>
      <c r="O2099" s="87"/>
      <c r="P2099" s="87"/>
      <c r="Q2099" s="87"/>
      <c r="R2099" s="87"/>
      <c r="S2099" s="87"/>
      <c r="T2099" s="87"/>
      <c r="U2099" s="88"/>
      <c r="V2099" s="89"/>
      <c r="W2099" s="96">
        <v>0</v>
      </c>
      <c r="X2099" s="71">
        <f>CU2099</f>
        <v>0</v>
      </c>
      <c r="Y2099" s="71">
        <f>CY2099</f>
        <v>0</v>
      </c>
      <c r="Z2099" s="71">
        <f>DA2099+DC2099+DE2099</f>
        <v>0</v>
      </c>
      <c r="AA2099" s="71">
        <f>CW2099</f>
        <v>0</v>
      </c>
      <c r="AB2099" s="71"/>
      <c r="AC2099" s="71">
        <v>0</v>
      </c>
      <c r="AD2099" s="71">
        <f>W2099+X2099+Y2099+Z2099+AA2099+AB2099+AC2099</f>
        <v>0</v>
      </c>
      <c r="AE2099" s="72">
        <v>0</v>
      </c>
      <c r="AF2099" s="5"/>
      <c r="AG2099" s="6"/>
      <c r="AH2099" s="27" t="s">
        <v>3392</v>
      </c>
      <c r="AI2099" s="44" t="s">
        <v>3393</v>
      </c>
      <c r="AJ2099" s="26"/>
      <c r="AK2099" s="5"/>
      <c r="AL2099" s="82" t="s">
        <v>4934</v>
      </c>
      <c r="AM2099" s="76"/>
      <c r="AN2099" s="76"/>
      <c r="AO2099" s="76"/>
      <c r="AP2099" s="76"/>
      <c r="AQ2099" s="76"/>
      <c r="AR2099" s="76"/>
      <c r="AS2099" s="76"/>
      <c r="AT2099" s="76"/>
      <c r="AU2099" s="76"/>
      <c r="AV2099" s="76"/>
      <c r="AW2099" s="76"/>
      <c r="AX2099" s="76">
        <f>+AW2099*600000</f>
        <v>0</v>
      </c>
      <c r="AY2099" s="76"/>
      <c r="AZ2099" s="76">
        <f>+AY2099*70000</f>
        <v>0</v>
      </c>
      <c r="BA2099" s="76"/>
      <c r="BB2099" s="76"/>
      <c r="BC2099" s="76"/>
      <c r="BD2099" s="76">
        <f>+BC2099*30000</f>
        <v>0</v>
      </c>
      <c r="BE2099" s="76"/>
      <c r="BF2099" s="76"/>
      <c r="BG2099" s="76"/>
      <c r="BH2099" s="76"/>
      <c r="BI2099" s="76"/>
      <c r="BJ2099" s="76"/>
      <c r="BK2099" s="76"/>
      <c r="BL2099" s="76">
        <f>+BK2099*31500</f>
        <v>0</v>
      </c>
      <c r="BM2099" s="76"/>
      <c r="BN2099" s="76"/>
      <c r="BO2099" s="76"/>
      <c r="BP2099" s="76"/>
      <c r="BQ2099" s="76"/>
      <c r="BR2099" s="76"/>
      <c r="BS2099" s="76"/>
      <c r="BT2099" s="76"/>
      <c r="BU2099" s="76"/>
      <c r="BV2099" s="76"/>
      <c r="BW2099" s="76"/>
      <c r="BX2099" s="76"/>
      <c r="BY2099" s="76"/>
      <c r="BZ2099" s="76"/>
      <c r="CA2099" s="76"/>
      <c r="CB2099" s="76"/>
      <c r="CC2099" s="76"/>
      <c r="CD2099" s="76"/>
      <c r="CE2099" s="76"/>
      <c r="CF2099" s="76">
        <f>+CE2099*28000</f>
        <v>0</v>
      </c>
      <c r="CG2099" s="76"/>
      <c r="CH2099" s="76">
        <f>+CG2099*22500</f>
        <v>0</v>
      </c>
      <c r="CI2099" s="76"/>
      <c r="CJ2099" s="76">
        <f>+CI2099*26000</f>
        <v>0</v>
      </c>
      <c r="CK2099" s="76"/>
      <c r="CL2099" s="76"/>
      <c r="CM2099" s="76"/>
      <c r="CN2099" s="76">
        <f>+CM2099*22000</f>
        <v>0</v>
      </c>
      <c r="CO2099" s="76"/>
      <c r="CP2099" s="76">
        <f>+CO2099*46000</f>
        <v>0</v>
      </c>
      <c r="CQ2099" s="76"/>
      <c r="CR2099" s="76">
        <f>+CQ2099*49000</f>
        <v>0</v>
      </c>
      <c r="CS2099" s="76"/>
      <c r="CT2099" s="76"/>
      <c r="CU2099" s="56">
        <f>AN2099+AP2099+AR2099+AT2099+AV2099+AX2099+AZ2099+BB2099+BD2099+BF2099+BH2099+BJ2099+BL2099+BN2099+BP2099+BR2099+BT2099+BV2099+BX2099+BZ2099+CB2099+CD2099+CF2099+CH2099+CJ2099+CL2099+CN2099+CP2099+CR2099+CT2099</f>
        <v>0</v>
      </c>
      <c r="CV2099" s="76"/>
      <c r="CW2099" s="76">
        <f>+CV2099*1100</f>
        <v>0</v>
      </c>
      <c r="CX2099" s="76"/>
      <c r="CY2099" s="76">
        <f>+CX2099*106250</f>
        <v>0</v>
      </c>
      <c r="CZ2099" s="76"/>
      <c r="DA2099" s="76">
        <f>+CZ2099*34500</f>
        <v>0</v>
      </c>
      <c r="DB2099" s="76"/>
      <c r="DC2099" s="76">
        <f>+DB2099*25000</f>
        <v>0</v>
      </c>
      <c r="DD2099" s="219"/>
      <c r="DE2099" s="219"/>
      <c r="DF2099" s="166"/>
      <c r="DG2099" s="116"/>
      <c r="DH2099" s="117"/>
      <c r="DI2099" s="24"/>
      <c r="DJ2099" s="24"/>
      <c r="DK2099" s="24"/>
      <c r="DL2099" s="24"/>
      <c r="DM2099" s="24"/>
      <c r="DN2099" s="24"/>
      <c r="DO2099" s="24"/>
      <c r="DP2099" s="24"/>
      <c r="DQ2099" s="24"/>
      <c r="DR2099" s="24"/>
      <c r="DS2099" s="24"/>
      <c r="DT2099" s="24"/>
      <c r="DU2099" s="24"/>
    </row>
    <row r="2100" spans="1:125" s="8" customFormat="1" ht="84" x14ac:dyDescent="0.2">
      <c r="A2100" s="77">
        <v>41437</v>
      </c>
      <c r="B2100" s="78" t="s">
        <v>2661</v>
      </c>
      <c r="C2100" s="75" t="s">
        <v>2105</v>
      </c>
      <c r="D2100" s="75" t="s">
        <v>3635</v>
      </c>
      <c r="E2100" s="75" t="str">
        <f>VLOOKUP(B2100&amp;C2100,Divipola!$C$2:$F$1138,4,FALSE)</f>
        <v>41615</v>
      </c>
      <c r="F2100" s="163">
        <v>2</v>
      </c>
      <c r="G2100" s="163"/>
      <c r="H2100" s="163"/>
      <c r="I2100" s="163"/>
      <c r="J2100" s="163"/>
      <c r="K2100" s="163"/>
      <c r="L2100" s="163"/>
      <c r="M2100" s="163"/>
      <c r="N2100" s="163"/>
      <c r="O2100" s="163"/>
      <c r="P2100" s="163"/>
      <c r="Q2100" s="163"/>
      <c r="R2100" s="163"/>
      <c r="S2100" s="163"/>
      <c r="T2100" s="163"/>
      <c r="U2100" s="163"/>
      <c r="V2100" s="134"/>
      <c r="W2100" s="96">
        <v>0</v>
      </c>
      <c r="X2100" s="71">
        <f>CU2100</f>
        <v>0</v>
      </c>
      <c r="Y2100" s="71">
        <f>CY2100</f>
        <v>0</v>
      </c>
      <c r="Z2100" s="71">
        <f>DA2100+DC2100+DE2100</f>
        <v>0</v>
      </c>
      <c r="AA2100" s="71">
        <f>CW2100</f>
        <v>0</v>
      </c>
      <c r="AB2100" s="71"/>
      <c r="AC2100" s="71">
        <v>0</v>
      </c>
      <c r="AD2100" s="71">
        <f>W2100+X2100+Y2100+Z2100+AA2100+AB2100+AC2100</f>
        <v>0</v>
      </c>
      <c r="AE2100" s="72">
        <v>0</v>
      </c>
      <c r="AF2100" s="5"/>
      <c r="AG2100" s="6"/>
      <c r="AH2100" s="27" t="s">
        <v>3392</v>
      </c>
      <c r="AI2100" s="44" t="s">
        <v>3393</v>
      </c>
      <c r="AJ2100" s="26"/>
      <c r="AK2100" s="5"/>
      <c r="AL2100" s="82" t="s">
        <v>4931</v>
      </c>
      <c r="AM2100" s="76"/>
      <c r="AN2100" s="76"/>
      <c r="AO2100" s="76"/>
      <c r="AP2100" s="76"/>
      <c r="AQ2100" s="76"/>
      <c r="AR2100" s="76"/>
      <c r="AS2100" s="76"/>
      <c r="AT2100" s="76"/>
      <c r="AU2100" s="76"/>
      <c r="AV2100" s="76"/>
      <c r="AW2100" s="76"/>
      <c r="AX2100" s="76">
        <f>+AW2100*600000</f>
        <v>0</v>
      </c>
      <c r="AY2100" s="76"/>
      <c r="AZ2100" s="76">
        <f>+AY2100*70000</f>
        <v>0</v>
      </c>
      <c r="BA2100" s="76"/>
      <c r="BB2100" s="76"/>
      <c r="BC2100" s="76"/>
      <c r="BD2100" s="76">
        <f>+BC2100*30000</f>
        <v>0</v>
      </c>
      <c r="BE2100" s="76"/>
      <c r="BF2100" s="76"/>
      <c r="BG2100" s="76"/>
      <c r="BH2100" s="76"/>
      <c r="BI2100" s="76"/>
      <c r="BJ2100" s="76"/>
      <c r="BK2100" s="76"/>
      <c r="BL2100" s="76">
        <f>+BK2100*31500</f>
        <v>0</v>
      </c>
      <c r="BM2100" s="76"/>
      <c r="BN2100" s="76"/>
      <c r="BO2100" s="76"/>
      <c r="BP2100" s="76"/>
      <c r="BQ2100" s="76"/>
      <c r="BR2100" s="76"/>
      <c r="BS2100" s="76"/>
      <c r="BT2100" s="76"/>
      <c r="BU2100" s="76"/>
      <c r="BV2100" s="76"/>
      <c r="BW2100" s="76"/>
      <c r="BX2100" s="76"/>
      <c r="BY2100" s="76"/>
      <c r="BZ2100" s="76"/>
      <c r="CA2100" s="76"/>
      <c r="CB2100" s="76"/>
      <c r="CC2100" s="76"/>
      <c r="CD2100" s="76"/>
      <c r="CE2100" s="76"/>
      <c r="CF2100" s="76">
        <f>+CE2100*28000</f>
        <v>0</v>
      </c>
      <c r="CG2100" s="76"/>
      <c r="CH2100" s="76">
        <f>+CG2100*22500</f>
        <v>0</v>
      </c>
      <c r="CI2100" s="76"/>
      <c r="CJ2100" s="76">
        <f>+CI2100*26000</f>
        <v>0</v>
      </c>
      <c r="CK2100" s="76"/>
      <c r="CL2100" s="76"/>
      <c r="CM2100" s="76"/>
      <c r="CN2100" s="76">
        <f>+CM2100*22000</f>
        <v>0</v>
      </c>
      <c r="CO2100" s="76"/>
      <c r="CP2100" s="76">
        <f>+CO2100*46000</f>
        <v>0</v>
      </c>
      <c r="CQ2100" s="76"/>
      <c r="CR2100" s="76">
        <f>+CQ2100*49000</f>
        <v>0</v>
      </c>
      <c r="CS2100" s="76"/>
      <c r="CT2100" s="76"/>
      <c r="CU2100" s="56">
        <f>AN2100+AP2100+AR2100+AT2100+AV2100+AX2100+AZ2100+BB2100+BD2100+BF2100+BH2100+BJ2100+BL2100+BN2100+BP2100+BR2100+BT2100+BV2100+BX2100+BZ2100+CB2100+CD2100+CF2100+CH2100+CJ2100+CL2100+CN2100+CP2100+CR2100+CT2100</f>
        <v>0</v>
      </c>
      <c r="CV2100" s="76"/>
      <c r="CW2100" s="76">
        <f>+CV2100*1100</f>
        <v>0</v>
      </c>
      <c r="CX2100" s="76"/>
      <c r="CY2100" s="76">
        <f>+CX2100*106250</f>
        <v>0</v>
      </c>
      <c r="CZ2100" s="76"/>
      <c r="DA2100" s="76">
        <f>+CZ2100*34500</f>
        <v>0</v>
      </c>
      <c r="DB2100" s="76"/>
      <c r="DC2100" s="76">
        <f>+DB2100*25000</f>
        <v>0</v>
      </c>
      <c r="DD2100" s="219"/>
      <c r="DE2100" s="219"/>
      <c r="DF2100" s="166"/>
      <c r="DG2100" s="116"/>
      <c r="DH2100" s="117"/>
      <c r="DI2100" s="24"/>
      <c r="DJ2100" s="24"/>
      <c r="DK2100" s="24"/>
      <c r="DL2100" s="24"/>
      <c r="DM2100" s="24"/>
      <c r="DN2100" s="24"/>
      <c r="DO2100" s="24"/>
      <c r="DP2100" s="24"/>
      <c r="DQ2100" s="24"/>
      <c r="DR2100" s="24"/>
      <c r="DS2100" s="24"/>
      <c r="DT2100" s="24"/>
      <c r="DU2100" s="24"/>
    </row>
    <row r="2101" spans="1:125" s="8" customFormat="1" ht="120" x14ac:dyDescent="0.2">
      <c r="A2101" s="353">
        <v>41437</v>
      </c>
      <c r="B2101" s="352" t="s">
        <v>506</v>
      </c>
      <c r="C2101" s="354" t="s">
        <v>2070</v>
      </c>
      <c r="D2101" s="354" t="s">
        <v>3051</v>
      </c>
      <c r="E2101" s="75" t="str">
        <f>VLOOKUP(B2101&amp;C2101,Divipola!$C$2:$F$1138,4,FALSE)</f>
        <v>50689</v>
      </c>
      <c r="F2101" s="163"/>
      <c r="G2101" s="163"/>
      <c r="H2101" s="163"/>
      <c r="I2101" s="163"/>
      <c r="J2101" s="163"/>
      <c r="K2101" s="163"/>
      <c r="L2101" s="163"/>
      <c r="M2101" s="163"/>
      <c r="N2101" s="163"/>
      <c r="O2101" s="163"/>
      <c r="P2101" s="163"/>
      <c r="Q2101" s="163"/>
      <c r="R2101" s="163"/>
      <c r="S2101" s="163"/>
      <c r="T2101" s="163"/>
      <c r="U2101" s="163"/>
      <c r="V2101" s="134"/>
      <c r="W2101" s="96">
        <v>0</v>
      </c>
      <c r="X2101" s="71">
        <f>CU2101</f>
        <v>0</v>
      </c>
      <c r="Y2101" s="71">
        <f>CY2101</f>
        <v>0</v>
      </c>
      <c r="Z2101" s="71">
        <f>DA2101+DC2101+DE2101</f>
        <v>0</v>
      </c>
      <c r="AA2101" s="71">
        <f>CW2101</f>
        <v>0</v>
      </c>
      <c r="AB2101" s="71"/>
      <c r="AC2101" s="71">
        <v>0</v>
      </c>
      <c r="AD2101" s="71">
        <f>W2101+X2101+Y2101+Z2101+AA2101+AB2101+AC2101</f>
        <v>0</v>
      </c>
      <c r="AE2101" s="72">
        <v>0</v>
      </c>
      <c r="AF2101" s="5"/>
      <c r="AG2101" s="6"/>
      <c r="AH2101" s="27" t="s">
        <v>3392</v>
      </c>
      <c r="AI2101" s="44" t="s">
        <v>3393</v>
      </c>
      <c r="AJ2101" s="26"/>
      <c r="AK2101" s="5"/>
      <c r="AL2101" s="82" t="s">
        <v>4933</v>
      </c>
      <c r="AM2101" s="76"/>
      <c r="AN2101" s="76"/>
      <c r="AO2101" s="76"/>
      <c r="AP2101" s="76"/>
      <c r="AQ2101" s="76"/>
      <c r="AR2101" s="76"/>
      <c r="AS2101" s="76"/>
      <c r="AT2101" s="76"/>
      <c r="AU2101" s="76"/>
      <c r="AV2101" s="76"/>
      <c r="AW2101" s="76"/>
      <c r="AX2101" s="76">
        <f>+AW2101*600000</f>
        <v>0</v>
      </c>
      <c r="AY2101" s="76"/>
      <c r="AZ2101" s="76">
        <f>+AY2101*70000</f>
        <v>0</v>
      </c>
      <c r="BA2101" s="76"/>
      <c r="BB2101" s="76"/>
      <c r="BC2101" s="76"/>
      <c r="BD2101" s="76">
        <f>+BC2101*30000</f>
        <v>0</v>
      </c>
      <c r="BE2101" s="76"/>
      <c r="BF2101" s="76"/>
      <c r="BG2101" s="76"/>
      <c r="BH2101" s="76"/>
      <c r="BI2101" s="76"/>
      <c r="BJ2101" s="76"/>
      <c r="BK2101" s="76"/>
      <c r="BL2101" s="76">
        <f>+BK2101*31500</f>
        <v>0</v>
      </c>
      <c r="BM2101" s="76"/>
      <c r="BN2101" s="76"/>
      <c r="BO2101" s="76"/>
      <c r="BP2101" s="76"/>
      <c r="BQ2101" s="76"/>
      <c r="BR2101" s="76"/>
      <c r="BS2101" s="76"/>
      <c r="BT2101" s="76"/>
      <c r="BU2101" s="76"/>
      <c r="BV2101" s="76"/>
      <c r="BW2101" s="76"/>
      <c r="BX2101" s="76"/>
      <c r="BY2101" s="76"/>
      <c r="BZ2101" s="76"/>
      <c r="CA2101" s="76"/>
      <c r="CB2101" s="76"/>
      <c r="CC2101" s="76"/>
      <c r="CD2101" s="76"/>
      <c r="CE2101" s="76"/>
      <c r="CF2101" s="76">
        <f>+CE2101*28000</f>
        <v>0</v>
      </c>
      <c r="CG2101" s="76"/>
      <c r="CH2101" s="76">
        <f>+CG2101*22500</f>
        <v>0</v>
      </c>
      <c r="CI2101" s="76"/>
      <c r="CJ2101" s="76">
        <f>+CI2101*26000</f>
        <v>0</v>
      </c>
      <c r="CK2101" s="76"/>
      <c r="CL2101" s="76"/>
      <c r="CM2101" s="76"/>
      <c r="CN2101" s="76">
        <f>+CM2101*22000</f>
        <v>0</v>
      </c>
      <c r="CO2101" s="76"/>
      <c r="CP2101" s="76">
        <f>+CO2101*46000</f>
        <v>0</v>
      </c>
      <c r="CQ2101" s="76"/>
      <c r="CR2101" s="76">
        <f>+CQ2101*49000</f>
        <v>0</v>
      </c>
      <c r="CS2101" s="76"/>
      <c r="CT2101" s="76"/>
      <c r="CU2101" s="56">
        <f>AN2101+AP2101+AR2101+AT2101+AV2101+AX2101+AZ2101+BB2101+BD2101+BF2101+BH2101+BJ2101+BL2101+BN2101+BP2101+BR2101+BT2101+BV2101+BX2101+BZ2101+CB2101+CD2101+CF2101+CH2101+CJ2101+CL2101+CN2101+CP2101+CR2101+CT2101</f>
        <v>0</v>
      </c>
      <c r="CV2101" s="76"/>
      <c r="CW2101" s="76">
        <f>+CV2101*1100</f>
        <v>0</v>
      </c>
      <c r="CX2101" s="76"/>
      <c r="CY2101" s="76">
        <f>+CX2101*106250</f>
        <v>0</v>
      </c>
      <c r="CZ2101" s="76"/>
      <c r="DA2101" s="76">
        <f>+CZ2101*34500</f>
        <v>0</v>
      </c>
      <c r="DB2101" s="76"/>
      <c r="DC2101" s="76">
        <f>+DB2101*25000</f>
        <v>0</v>
      </c>
      <c r="DD2101" s="219"/>
      <c r="DE2101" s="219"/>
      <c r="DF2101" s="166"/>
      <c r="DG2101" s="116"/>
      <c r="DH2101" s="117"/>
      <c r="DI2101" s="24"/>
      <c r="DJ2101" s="24"/>
      <c r="DK2101" s="24"/>
      <c r="DL2101" s="24"/>
      <c r="DM2101" s="24"/>
      <c r="DN2101" s="24"/>
      <c r="DO2101" s="24"/>
      <c r="DP2101" s="24"/>
      <c r="DQ2101" s="24"/>
      <c r="DR2101" s="24"/>
      <c r="DS2101" s="24"/>
      <c r="DT2101" s="24"/>
      <c r="DU2101" s="24"/>
    </row>
    <row r="2102" spans="1:125" s="8" customFormat="1" ht="60" x14ac:dyDescent="0.2">
      <c r="A2102" s="77">
        <v>41437</v>
      </c>
      <c r="B2102" s="78" t="s">
        <v>2880</v>
      </c>
      <c r="C2102" s="75" t="s">
        <v>1354</v>
      </c>
      <c r="D2102" s="75" t="s">
        <v>2859</v>
      </c>
      <c r="E2102" s="75" t="str">
        <f>VLOOKUP(B2102&amp;C2102,Divipola!$C$2:$F$1138,4,FALSE)</f>
        <v>54810</v>
      </c>
      <c r="F2102" s="163"/>
      <c r="G2102" s="163">
        <v>4</v>
      </c>
      <c r="H2102" s="163"/>
      <c r="I2102" s="163">
        <v>4</v>
      </c>
      <c r="J2102" s="163"/>
      <c r="K2102" s="163"/>
      <c r="L2102" s="163"/>
      <c r="M2102" s="163"/>
      <c r="N2102" s="163"/>
      <c r="O2102" s="163"/>
      <c r="P2102" s="163"/>
      <c r="Q2102" s="163"/>
      <c r="R2102" s="163"/>
      <c r="S2102" s="163"/>
      <c r="T2102" s="163"/>
      <c r="U2102" s="163"/>
      <c r="V2102" s="134"/>
      <c r="W2102" s="96">
        <v>0</v>
      </c>
      <c r="X2102" s="71">
        <f>CU2102</f>
        <v>0</v>
      </c>
      <c r="Y2102" s="71">
        <f>CY2102</f>
        <v>0</v>
      </c>
      <c r="Z2102" s="71">
        <f>DA2102+DC2102+DE2102</f>
        <v>0</v>
      </c>
      <c r="AA2102" s="71">
        <f>CW2102</f>
        <v>0</v>
      </c>
      <c r="AB2102" s="71"/>
      <c r="AC2102" s="71">
        <v>0</v>
      </c>
      <c r="AD2102" s="71">
        <f>W2102+X2102+Y2102+Z2102+AA2102+AB2102+AC2102</f>
        <v>0</v>
      </c>
      <c r="AE2102" s="72">
        <v>0</v>
      </c>
      <c r="AF2102" s="5"/>
      <c r="AG2102" s="6"/>
      <c r="AH2102" s="27" t="s">
        <v>3392</v>
      </c>
      <c r="AI2102" s="44" t="s">
        <v>3393</v>
      </c>
      <c r="AJ2102" s="26"/>
      <c r="AK2102" s="5"/>
      <c r="AL2102" s="82" t="s">
        <v>4935</v>
      </c>
      <c r="AM2102" s="76"/>
      <c r="AN2102" s="76"/>
      <c r="AO2102" s="76"/>
      <c r="AP2102" s="76"/>
      <c r="AQ2102" s="76"/>
      <c r="AR2102" s="76"/>
      <c r="AS2102" s="76"/>
      <c r="AT2102" s="76"/>
      <c r="AU2102" s="76"/>
      <c r="AV2102" s="76"/>
      <c r="AW2102" s="76"/>
      <c r="AX2102" s="76">
        <f>+AW2102*600000</f>
        <v>0</v>
      </c>
      <c r="AY2102" s="76"/>
      <c r="AZ2102" s="76">
        <f>+AY2102*70000</f>
        <v>0</v>
      </c>
      <c r="BA2102" s="76"/>
      <c r="BB2102" s="76"/>
      <c r="BC2102" s="76"/>
      <c r="BD2102" s="76">
        <f>+BC2102*30000</f>
        <v>0</v>
      </c>
      <c r="BE2102" s="76"/>
      <c r="BF2102" s="76"/>
      <c r="BG2102" s="76"/>
      <c r="BH2102" s="76"/>
      <c r="BI2102" s="76"/>
      <c r="BJ2102" s="76"/>
      <c r="BK2102" s="76"/>
      <c r="BL2102" s="76">
        <f>+BK2102*31500</f>
        <v>0</v>
      </c>
      <c r="BM2102" s="76"/>
      <c r="BN2102" s="76"/>
      <c r="BO2102" s="76"/>
      <c r="BP2102" s="76"/>
      <c r="BQ2102" s="76"/>
      <c r="BR2102" s="76"/>
      <c r="BS2102" s="76"/>
      <c r="BT2102" s="76"/>
      <c r="BU2102" s="76"/>
      <c r="BV2102" s="76"/>
      <c r="BW2102" s="76"/>
      <c r="BX2102" s="76"/>
      <c r="BY2102" s="76"/>
      <c r="BZ2102" s="76"/>
      <c r="CA2102" s="76"/>
      <c r="CB2102" s="76"/>
      <c r="CC2102" s="76"/>
      <c r="CD2102" s="76"/>
      <c r="CE2102" s="76"/>
      <c r="CF2102" s="76">
        <f>+CE2102*28000</f>
        <v>0</v>
      </c>
      <c r="CG2102" s="76"/>
      <c r="CH2102" s="76">
        <f>+CG2102*22500</f>
        <v>0</v>
      </c>
      <c r="CI2102" s="76"/>
      <c r="CJ2102" s="76">
        <f>+CI2102*26000</f>
        <v>0</v>
      </c>
      <c r="CK2102" s="76"/>
      <c r="CL2102" s="76"/>
      <c r="CM2102" s="76"/>
      <c r="CN2102" s="76">
        <f>+CM2102*22000</f>
        <v>0</v>
      </c>
      <c r="CO2102" s="76"/>
      <c r="CP2102" s="76">
        <f>+CO2102*46000</f>
        <v>0</v>
      </c>
      <c r="CQ2102" s="76"/>
      <c r="CR2102" s="76">
        <f>+CQ2102*49000</f>
        <v>0</v>
      </c>
      <c r="CS2102" s="76"/>
      <c r="CT2102" s="76"/>
      <c r="CU2102" s="56">
        <f>AN2102+AP2102+AR2102+AT2102+AV2102+AX2102+AZ2102+BB2102+BD2102+BF2102+BH2102+BJ2102+BL2102+BN2102+BP2102+BR2102+BT2102+BV2102+BX2102+BZ2102+CB2102+CD2102+CF2102+CH2102+CJ2102+CL2102+CN2102+CP2102+CR2102+CT2102</f>
        <v>0</v>
      </c>
      <c r="CV2102" s="76"/>
      <c r="CW2102" s="76">
        <f>+CV2102*1100</f>
        <v>0</v>
      </c>
      <c r="CX2102" s="76"/>
      <c r="CY2102" s="76">
        <f>+CX2102*106250</f>
        <v>0</v>
      </c>
      <c r="CZ2102" s="76"/>
      <c r="DA2102" s="76">
        <f>+CZ2102*34500</f>
        <v>0</v>
      </c>
      <c r="DB2102" s="76"/>
      <c r="DC2102" s="76">
        <f>+DB2102*25000</f>
        <v>0</v>
      </c>
      <c r="DD2102" s="219"/>
      <c r="DE2102" s="219"/>
      <c r="DF2102" s="166"/>
      <c r="DG2102" s="116"/>
      <c r="DH2102" s="117"/>
      <c r="DI2102" s="24"/>
      <c r="DJ2102" s="24"/>
      <c r="DK2102" s="24"/>
      <c r="DL2102" s="24"/>
      <c r="DM2102" s="24"/>
      <c r="DN2102" s="24"/>
      <c r="DO2102" s="24"/>
      <c r="DP2102" s="24"/>
      <c r="DQ2102" s="24"/>
      <c r="DR2102" s="24"/>
      <c r="DS2102" s="24"/>
      <c r="DT2102" s="24"/>
      <c r="DU2102" s="24"/>
    </row>
    <row r="2103" spans="1:125" s="8" customFormat="1" ht="144" x14ac:dyDescent="0.2">
      <c r="A2103" s="226">
        <v>41437</v>
      </c>
      <c r="B2103" s="225" t="s">
        <v>2848</v>
      </c>
      <c r="C2103" s="227" t="s">
        <v>2755</v>
      </c>
      <c r="D2103" s="354" t="s">
        <v>3051</v>
      </c>
      <c r="E2103" s="75" t="str">
        <f>VLOOKUP(B2103&amp;C2103,Divipola!$C$2:$F$1138,4,FALSE)</f>
        <v>73001</v>
      </c>
      <c r="F2103" s="163"/>
      <c r="G2103" s="163"/>
      <c r="H2103" s="163"/>
      <c r="I2103" s="163">
        <v>5</v>
      </c>
      <c r="J2103" s="163">
        <v>1</v>
      </c>
      <c r="K2103" s="163"/>
      <c r="L2103" s="163">
        <v>1</v>
      </c>
      <c r="M2103" s="163"/>
      <c r="N2103" s="163"/>
      <c r="O2103" s="163"/>
      <c r="P2103" s="163"/>
      <c r="Q2103" s="163"/>
      <c r="R2103" s="163">
        <v>1</v>
      </c>
      <c r="S2103" s="163"/>
      <c r="T2103" s="163"/>
      <c r="U2103" s="163"/>
      <c r="V2103" s="134"/>
      <c r="W2103" s="96">
        <v>0</v>
      </c>
      <c r="X2103" s="71">
        <f>CU2103</f>
        <v>0</v>
      </c>
      <c r="Y2103" s="71">
        <f>CY2103</f>
        <v>0</v>
      </c>
      <c r="Z2103" s="71">
        <f>DA2103+DC2103+DE2103</f>
        <v>0</v>
      </c>
      <c r="AA2103" s="71">
        <f>CW2103</f>
        <v>0</v>
      </c>
      <c r="AB2103" s="71"/>
      <c r="AC2103" s="71">
        <v>0</v>
      </c>
      <c r="AD2103" s="71">
        <f>W2103+X2103+Y2103+Z2103+AA2103+AB2103+AC2103</f>
        <v>0</v>
      </c>
      <c r="AE2103" s="72">
        <v>0</v>
      </c>
      <c r="AF2103" s="5"/>
      <c r="AG2103" s="6"/>
      <c r="AH2103" s="27" t="s">
        <v>3392</v>
      </c>
      <c r="AI2103" s="44" t="s">
        <v>3393</v>
      </c>
      <c r="AJ2103" s="26"/>
      <c r="AK2103" s="5"/>
      <c r="AL2103" s="82" t="s">
        <v>4932</v>
      </c>
      <c r="AM2103" s="76"/>
      <c r="AN2103" s="76"/>
      <c r="AO2103" s="76"/>
      <c r="AP2103" s="76"/>
      <c r="AQ2103" s="76"/>
      <c r="AR2103" s="76"/>
      <c r="AS2103" s="76"/>
      <c r="AT2103" s="76"/>
      <c r="AU2103" s="76"/>
      <c r="AV2103" s="76"/>
      <c r="AW2103" s="76"/>
      <c r="AX2103" s="76">
        <f>+AW2103*600000</f>
        <v>0</v>
      </c>
      <c r="AY2103" s="76"/>
      <c r="AZ2103" s="76">
        <f>+AY2103*70000</f>
        <v>0</v>
      </c>
      <c r="BA2103" s="76"/>
      <c r="BB2103" s="76"/>
      <c r="BC2103" s="76"/>
      <c r="BD2103" s="76">
        <f>+BC2103*30000</f>
        <v>0</v>
      </c>
      <c r="BE2103" s="76"/>
      <c r="BF2103" s="76"/>
      <c r="BG2103" s="76"/>
      <c r="BH2103" s="76"/>
      <c r="BI2103" s="76"/>
      <c r="BJ2103" s="76"/>
      <c r="BK2103" s="76"/>
      <c r="BL2103" s="76">
        <f>+BK2103*31500</f>
        <v>0</v>
      </c>
      <c r="BM2103" s="76"/>
      <c r="BN2103" s="76"/>
      <c r="BO2103" s="76"/>
      <c r="BP2103" s="76"/>
      <c r="BQ2103" s="76"/>
      <c r="BR2103" s="76"/>
      <c r="BS2103" s="76"/>
      <c r="BT2103" s="76"/>
      <c r="BU2103" s="76"/>
      <c r="BV2103" s="76"/>
      <c r="BW2103" s="76"/>
      <c r="BX2103" s="76"/>
      <c r="BY2103" s="76"/>
      <c r="BZ2103" s="76"/>
      <c r="CA2103" s="76"/>
      <c r="CB2103" s="76"/>
      <c r="CC2103" s="76"/>
      <c r="CD2103" s="76"/>
      <c r="CE2103" s="76"/>
      <c r="CF2103" s="76">
        <f>+CE2103*28000</f>
        <v>0</v>
      </c>
      <c r="CG2103" s="76"/>
      <c r="CH2103" s="76">
        <f>+CG2103*22500</f>
        <v>0</v>
      </c>
      <c r="CI2103" s="76"/>
      <c r="CJ2103" s="76">
        <f>+CI2103*26000</f>
        <v>0</v>
      </c>
      <c r="CK2103" s="76"/>
      <c r="CL2103" s="76"/>
      <c r="CM2103" s="76"/>
      <c r="CN2103" s="76">
        <f>+CM2103*22000</f>
        <v>0</v>
      </c>
      <c r="CO2103" s="76"/>
      <c r="CP2103" s="76">
        <f>+CO2103*46000</f>
        <v>0</v>
      </c>
      <c r="CQ2103" s="76"/>
      <c r="CR2103" s="76">
        <f>+CQ2103*49000</f>
        <v>0</v>
      </c>
      <c r="CS2103" s="76"/>
      <c r="CT2103" s="76"/>
      <c r="CU2103" s="56">
        <f>AN2103+AP2103+AR2103+AT2103+AV2103+AX2103+AZ2103+BB2103+BD2103+BF2103+BH2103+BJ2103+BL2103+BN2103+BP2103+BR2103+BT2103+BV2103+BX2103+BZ2103+CB2103+CD2103+CF2103+CH2103+CJ2103+CL2103+CN2103+CP2103+CR2103+CT2103</f>
        <v>0</v>
      </c>
      <c r="CV2103" s="76"/>
      <c r="CW2103" s="76">
        <f>+CV2103*1100</f>
        <v>0</v>
      </c>
      <c r="CX2103" s="76"/>
      <c r="CY2103" s="76">
        <f>+CX2103*106250</f>
        <v>0</v>
      </c>
      <c r="CZ2103" s="76"/>
      <c r="DA2103" s="76">
        <f>+CZ2103*34500</f>
        <v>0</v>
      </c>
      <c r="DB2103" s="76"/>
      <c r="DC2103" s="76">
        <f>+DB2103*25000</f>
        <v>0</v>
      </c>
      <c r="DD2103" s="219"/>
      <c r="DE2103" s="219"/>
      <c r="DF2103" s="166"/>
      <c r="DG2103" s="116"/>
      <c r="DH2103" s="117"/>
      <c r="DI2103" s="24"/>
      <c r="DJ2103" s="24"/>
      <c r="DK2103" s="24"/>
      <c r="DL2103" s="24"/>
      <c r="DM2103" s="24"/>
      <c r="DN2103" s="24"/>
      <c r="DO2103" s="24"/>
      <c r="DP2103" s="24"/>
      <c r="DQ2103" s="24"/>
      <c r="DR2103" s="24"/>
      <c r="DS2103" s="24"/>
      <c r="DT2103" s="24"/>
      <c r="DU2103" s="24"/>
    </row>
    <row r="2104" spans="1:125" s="8" customFormat="1" ht="48" x14ac:dyDescent="0.2">
      <c r="A2104" s="353">
        <v>41437</v>
      </c>
      <c r="B2104" s="352" t="s">
        <v>2851</v>
      </c>
      <c r="C2104" s="354" t="s">
        <v>1361</v>
      </c>
      <c r="D2104" s="354" t="s">
        <v>2882</v>
      </c>
      <c r="E2104" s="75" t="str">
        <f>VLOOKUP(B2104&amp;C2104,Divipola!$C$2:$F$1138,4,FALSE)</f>
        <v>76377</v>
      </c>
      <c r="F2104" s="87"/>
      <c r="G2104" s="87"/>
      <c r="H2104" s="87"/>
      <c r="I2104" s="87">
        <v>5</v>
      </c>
      <c r="J2104" s="87">
        <v>1</v>
      </c>
      <c r="K2104" s="87"/>
      <c r="L2104" s="87">
        <v>1</v>
      </c>
      <c r="M2104" s="87"/>
      <c r="N2104" s="87"/>
      <c r="O2104" s="87"/>
      <c r="P2104" s="87"/>
      <c r="Q2104" s="87"/>
      <c r="R2104" s="87"/>
      <c r="S2104" s="87"/>
      <c r="T2104" s="87"/>
      <c r="U2104" s="88"/>
      <c r="V2104" s="89"/>
      <c r="W2104" s="96">
        <v>0</v>
      </c>
      <c r="X2104" s="71">
        <f>CU2104</f>
        <v>0</v>
      </c>
      <c r="Y2104" s="71">
        <f>CY2104</f>
        <v>0</v>
      </c>
      <c r="Z2104" s="71">
        <f>DA2104+DC2104+DE2104</f>
        <v>0</v>
      </c>
      <c r="AA2104" s="71">
        <f>CW2104</f>
        <v>0</v>
      </c>
      <c r="AB2104" s="71"/>
      <c r="AC2104" s="71">
        <v>0</v>
      </c>
      <c r="AD2104" s="71">
        <f>W2104+X2104+Y2104+Z2104+AA2104+AB2104+AC2104</f>
        <v>0</v>
      </c>
      <c r="AE2104" s="72">
        <v>0</v>
      </c>
      <c r="AF2104" s="5"/>
      <c r="AG2104" s="6"/>
      <c r="AH2104" s="27" t="s">
        <v>3392</v>
      </c>
      <c r="AI2104" s="44" t="s">
        <v>3393</v>
      </c>
      <c r="AJ2104" s="26"/>
      <c r="AK2104" s="5"/>
      <c r="AL2104" s="82" t="s">
        <v>4961</v>
      </c>
      <c r="AM2104" s="76"/>
      <c r="AN2104" s="76"/>
      <c r="AO2104" s="76"/>
      <c r="AP2104" s="76"/>
      <c r="AQ2104" s="76"/>
      <c r="AR2104" s="76"/>
      <c r="AS2104" s="76"/>
      <c r="AT2104" s="76"/>
      <c r="AU2104" s="76"/>
      <c r="AV2104" s="76"/>
      <c r="AW2104" s="76"/>
      <c r="AX2104" s="76">
        <f>+AW2104*600000</f>
        <v>0</v>
      </c>
      <c r="AY2104" s="76"/>
      <c r="AZ2104" s="76">
        <f>+AY2104*70000</f>
        <v>0</v>
      </c>
      <c r="BA2104" s="76"/>
      <c r="BB2104" s="76"/>
      <c r="BC2104" s="76"/>
      <c r="BD2104" s="76">
        <f>+BC2104*30000</f>
        <v>0</v>
      </c>
      <c r="BE2104" s="76"/>
      <c r="BF2104" s="76"/>
      <c r="BG2104" s="76"/>
      <c r="BH2104" s="76"/>
      <c r="BI2104" s="76"/>
      <c r="BJ2104" s="76"/>
      <c r="BK2104" s="76"/>
      <c r="BL2104" s="76">
        <f>+BK2104*31500</f>
        <v>0</v>
      </c>
      <c r="BM2104" s="76"/>
      <c r="BN2104" s="76"/>
      <c r="BO2104" s="76"/>
      <c r="BP2104" s="76"/>
      <c r="BQ2104" s="76"/>
      <c r="BR2104" s="76"/>
      <c r="BS2104" s="76"/>
      <c r="BT2104" s="76"/>
      <c r="BU2104" s="76"/>
      <c r="BV2104" s="76"/>
      <c r="BW2104" s="76"/>
      <c r="BX2104" s="76"/>
      <c r="BY2104" s="76"/>
      <c r="BZ2104" s="76"/>
      <c r="CA2104" s="76"/>
      <c r="CB2104" s="76"/>
      <c r="CC2104" s="76"/>
      <c r="CD2104" s="76"/>
      <c r="CE2104" s="76"/>
      <c r="CF2104" s="76">
        <f>+CE2104*28000</f>
        <v>0</v>
      </c>
      <c r="CG2104" s="76"/>
      <c r="CH2104" s="76">
        <f>+CG2104*22500</f>
        <v>0</v>
      </c>
      <c r="CI2104" s="76"/>
      <c r="CJ2104" s="76">
        <f>+CI2104*26000</f>
        <v>0</v>
      </c>
      <c r="CK2104" s="76"/>
      <c r="CL2104" s="76"/>
      <c r="CM2104" s="76"/>
      <c r="CN2104" s="76">
        <f>+CM2104*22000</f>
        <v>0</v>
      </c>
      <c r="CO2104" s="76"/>
      <c r="CP2104" s="76">
        <f>+CO2104*46000</f>
        <v>0</v>
      </c>
      <c r="CQ2104" s="76"/>
      <c r="CR2104" s="76">
        <f>+CQ2104*49000</f>
        <v>0</v>
      </c>
      <c r="CS2104" s="76"/>
      <c r="CT2104" s="76"/>
      <c r="CU2104" s="56">
        <f>AN2104+AP2104+AR2104+AT2104+AV2104+AX2104+AZ2104+BB2104+BD2104+BF2104+BH2104+BJ2104+BL2104+BN2104+BP2104+BR2104+BT2104+BV2104+BX2104+BZ2104+CB2104+CD2104+CF2104+CH2104+CJ2104+CL2104+CN2104+CP2104+CR2104+CT2104</f>
        <v>0</v>
      </c>
      <c r="CV2104" s="76"/>
      <c r="CW2104" s="76">
        <f>+CV2104*1100</f>
        <v>0</v>
      </c>
      <c r="CX2104" s="76"/>
      <c r="CY2104" s="76">
        <f>+CX2104*106250</f>
        <v>0</v>
      </c>
      <c r="CZ2104" s="76"/>
      <c r="DA2104" s="76">
        <f>+CZ2104*34500</f>
        <v>0</v>
      </c>
      <c r="DB2104" s="76"/>
      <c r="DC2104" s="76">
        <f>+DB2104*25000</f>
        <v>0</v>
      </c>
      <c r="DD2104" s="219"/>
      <c r="DE2104" s="219"/>
      <c r="DF2104" s="166"/>
      <c r="DG2104" s="116"/>
      <c r="DH2104" s="117"/>
      <c r="DI2104" s="24"/>
      <c r="DJ2104" s="24"/>
      <c r="DK2104" s="24"/>
      <c r="DL2104" s="24"/>
      <c r="DM2104" s="24"/>
      <c r="DN2104" s="24"/>
      <c r="DO2104" s="24"/>
      <c r="DP2104" s="24"/>
      <c r="DQ2104" s="24"/>
      <c r="DR2104" s="24"/>
      <c r="DS2104" s="24"/>
      <c r="DT2104" s="24"/>
      <c r="DU2104" s="24"/>
    </row>
    <row r="2105" spans="1:125" s="8" customFormat="1" ht="36" x14ac:dyDescent="0.2">
      <c r="A2105" s="77">
        <v>41438</v>
      </c>
      <c r="B2105" s="78" t="s">
        <v>2894</v>
      </c>
      <c r="C2105" s="75" t="s">
        <v>2210</v>
      </c>
      <c r="D2105" s="75" t="s">
        <v>3051</v>
      </c>
      <c r="E2105" s="75" t="str">
        <f>VLOOKUP(B2105&amp;C2105,Divipola!$C$2:$F$1138,4,FALSE)</f>
        <v>05579</v>
      </c>
      <c r="F2105" s="87"/>
      <c r="G2105" s="87"/>
      <c r="H2105" s="87"/>
      <c r="I2105" s="87">
        <v>100</v>
      </c>
      <c r="J2105" s="87">
        <v>20</v>
      </c>
      <c r="K2105" s="87"/>
      <c r="L2105" s="87">
        <v>20</v>
      </c>
      <c r="M2105" s="87"/>
      <c r="N2105" s="87"/>
      <c r="O2105" s="87"/>
      <c r="P2105" s="87"/>
      <c r="Q2105" s="87"/>
      <c r="R2105" s="87"/>
      <c r="S2105" s="87"/>
      <c r="T2105" s="87"/>
      <c r="U2105" s="88"/>
      <c r="V2105" s="89"/>
      <c r="W2105" s="96">
        <v>0</v>
      </c>
      <c r="X2105" s="71">
        <f>CU2105</f>
        <v>0</v>
      </c>
      <c r="Y2105" s="71">
        <f>CY2105</f>
        <v>0</v>
      </c>
      <c r="Z2105" s="71">
        <f>DA2105+DC2105+DE2105</f>
        <v>0</v>
      </c>
      <c r="AA2105" s="71">
        <f>CW2105</f>
        <v>0</v>
      </c>
      <c r="AB2105" s="71"/>
      <c r="AC2105" s="71">
        <v>0</v>
      </c>
      <c r="AD2105" s="71">
        <f>W2105+X2105+Y2105+Z2105+AA2105+AB2105+AC2105</f>
        <v>0</v>
      </c>
      <c r="AE2105" s="72">
        <v>0</v>
      </c>
      <c r="AF2105" s="5"/>
      <c r="AG2105" s="6"/>
      <c r="AH2105" s="27" t="s">
        <v>3392</v>
      </c>
      <c r="AI2105" s="44" t="s">
        <v>3393</v>
      </c>
      <c r="AJ2105" s="26"/>
      <c r="AK2105" s="5"/>
      <c r="AL2105" s="82" t="s">
        <v>4945</v>
      </c>
      <c r="AM2105" s="76"/>
      <c r="AN2105" s="76"/>
      <c r="AO2105" s="76"/>
      <c r="AP2105" s="76"/>
      <c r="AQ2105" s="76"/>
      <c r="AR2105" s="76"/>
      <c r="AS2105" s="76"/>
      <c r="AT2105" s="76"/>
      <c r="AU2105" s="76"/>
      <c r="AV2105" s="76"/>
      <c r="AW2105" s="76"/>
      <c r="AX2105" s="76">
        <f>+AW2105*600000</f>
        <v>0</v>
      </c>
      <c r="AY2105" s="76"/>
      <c r="AZ2105" s="76">
        <f>+AY2105*70000</f>
        <v>0</v>
      </c>
      <c r="BA2105" s="76"/>
      <c r="BB2105" s="76"/>
      <c r="BC2105" s="76"/>
      <c r="BD2105" s="76">
        <f>+BC2105*30000</f>
        <v>0</v>
      </c>
      <c r="BE2105" s="76"/>
      <c r="BF2105" s="76"/>
      <c r="BG2105" s="76"/>
      <c r="BH2105" s="76"/>
      <c r="BI2105" s="76"/>
      <c r="BJ2105" s="76"/>
      <c r="BK2105" s="76"/>
      <c r="BL2105" s="76">
        <f>+BK2105*31500</f>
        <v>0</v>
      </c>
      <c r="BM2105" s="76"/>
      <c r="BN2105" s="76"/>
      <c r="BO2105" s="76"/>
      <c r="BP2105" s="76"/>
      <c r="BQ2105" s="76"/>
      <c r="BR2105" s="76"/>
      <c r="BS2105" s="76"/>
      <c r="BT2105" s="76"/>
      <c r="BU2105" s="76"/>
      <c r="BV2105" s="76"/>
      <c r="BW2105" s="76"/>
      <c r="BX2105" s="76"/>
      <c r="BY2105" s="76"/>
      <c r="BZ2105" s="76"/>
      <c r="CA2105" s="76"/>
      <c r="CB2105" s="76"/>
      <c r="CC2105" s="76"/>
      <c r="CD2105" s="76"/>
      <c r="CE2105" s="76"/>
      <c r="CF2105" s="76">
        <f>+CE2105*28000</f>
        <v>0</v>
      </c>
      <c r="CG2105" s="76"/>
      <c r="CH2105" s="76">
        <f>+CG2105*22500</f>
        <v>0</v>
      </c>
      <c r="CI2105" s="76"/>
      <c r="CJ2105" s="76">
        <f>+CI2105*26000</f>
        <v>0</v>
      </c>
      <c r="CK2105" s="76"/>
      <c r="CL2105" s="76"/>
      <c r="CM2105" s="76"/>
      <c r="CN2105" s="76">
        <f>+CM2105*22000</f>
        <v>0</v>
      </c>
      <c r="CO2105" s="76"/>
      <c r="CP2105" s="76">
        <f>+CO2105*46000</f>
        <v>0</v>
      </c>
      <c r="CQ2105" s="76"/>
      <c r="CR2105" s="76">
        <f>+CQ2105*49000</f>
        <v>0</v>
      </c>
      <c r="CS2105" s="76"/>
      <c r="CT2105" s="76"/>
      <c r="CU2105" s="56">
        <f>AN2105+AP2105+AR2105+AT2105+AV2105+AX2105+AZ2105+BB2105+BD2105+BF2105+BH2105+BJ2105+BL2105+BN2105+BP2105+BR2105+BT2105+BV2105+BX2105+BZ2105+CB2105+CD2105+CF2105+CH2105+CJ2105+CL2105+CN2105+CP2105+CR2105+CT2105</f>
        <v>0</v>
      </c>
      <c r="CV2105" s="76"/>
      <c r="CW2105" s="76">
        <f>+CV2105*1100</f>
        <v>0</v>
      </c>
      <c r="CX2105" s="76"/>
      <c r="CY2105" s="76">
        <f>+CX2105*106250</f>
        <v>0</v>
      </c>
      <c r="CZ2105" s="76"/>
      <c r="DA2105" s="76">
        <f>+CZ2105*34500</f>
        <v>0</v>
      </c>
      <c r="DB2105" s="76"/>
      <c r="DC2105" s="76">
        <f>+DB2105*25000</f>
        <v>0</v>
      </c>
      <c r="DD2105" s="219"/>
      <c r="DE2105" s="219"/>
      <c r="DF2105" s="166"/>
      <c r="DG2105" s="116"/>
      <c r="DH2105" s="117"/>
      <c r="DI2105" s="24"/>
      <c r="DJ2105" s="24"/>
      <c r="DK2105" s="24"/>
      <c r="DL2105" s="24"/>
      <c r="DM2105" s="24"/>
      <c r="DN2105" s="24"/>
      <c r="DO2105" s="24"/>
      <c r="DP2105" s="24"/>
      <c r="DQ2105" s="24"/>
      <c r="DR2105" s="24"/>
      <c r="DS2105" s="24"/>
      <c r="DT2105" s="24"/>
      <c r="DU2105" s="24"/>
    </row>
    <row r="2106" spans="1:125" s="8" customFormat="1" ht="36" x14ac:dyDescent="0.2">
      <c r="A2106" s="226">
        <v>41438</v>
      </c>
      <c r="B2106" s="225" t="s">
        <v>2881</v>
      </c>
      <c r="C2106" s="227" t="s">
        <v>2547</v>
      </c>
      <c r="D2106" s="227" t="s">
        <v>2882</v>
      </c>
      <c r="E2106" s="75" t="str">
        <f>VLOOKUP(B2106&amp;C2106,Divipola!$C$2:$F$1138,4,FALSE)</f>
        <v>08638</v>
      </c>
      <c r="F2106" s="87"/>
      <c r="G2106" s="87"/>
      <c r="H2106" s="87"/>
      <c r="I2106" s="87">
        <v>60</v>
      </c>
      <c r="J2106" s="87">
        <v>12</v>
      </c>
      <c r="K2106" s="87"/>
      <c r="L2106" s="87">
        <v>12</v>
      </c>
      <c r="M2106" s="87"/>
      <c r="N2106" s="87"/>
      <c r="O2106" s="87"/>
      <c r="P2106" s="87"/>
      <c r="Q2106" s="87"/>
      <c r="R2106" s="87"/>
      <c r="S2106" s="87"/>
      <c r="T2106" s="87"/>
      <c r="U2106" s="88"/>
      <c r="V2106" s="89"/>
      <c r="W2106" s="96">
        <v>0</v>
      </c>
      <c r="X2106" s="71">
        <f>CU2106</f>
        <v>0</v>
      </c>
      <c r="Y2106" s="71">
        <f>CY2106</f>
        <v>0</v>
      </c>
      <c r="Z2106" s="71">
        <f>DA2106+DC2106+DE2106</f>
        <v>0</v>
      </c>
      <c r="AA2106" s="71">
        <f>CW2106</f>
        <v>0</v>
      </c>
      <c r="AB2106" s="71"/>
      <c r="AC2106" s="71">
        <v>0</v>
      </c>
      <c r="AD2106" s="71">
        <f>W2106+X2106+Y2106+Z2106+AA2106+AB2106+AC2106</f>
        <v>0</v>
      </c>
      <c r="AE2106" s="72">
        <v>0</v>
      </c>
      <c r="AF2106" s="5"/>
      <c r="AG2106" s="6"/>
      <c r="AH2106" s="27" t="s">
        <v>3392</v>
      </c>
      <c r="AI2106" s="44" t="s">
        <v>3393</v>
      </c>
      <c r="AJ2106" s="26"/>
      <c r="AK2106" s="5"/>
      <c r="AL2106" s="82" t="s">
        <v>4940</v>
      </c>
      <c r="AM2106" s="76"/>
      <c r="AN2106" s="76"/>
      <c r="AO2106" s="76"/>
      <c r="AP2106" s="76"/>
      <c r="AQ2106" s="76"/>
      <c r="AR2106" s="76"/>
      <c r="AS2106" s="76"/>
      <c r="AT2106" s="76"/>
      <c r="AU2106" s="76"/>
      <c r="AV2106" s="76"/>
      <c r="AW2106" s="76"/>
      <c r="AX2106" s="76">
        <f>+AW2106*600000</f>
        <v>0</v>
      </c>
      <c r="AY2106" s="76"/>
      <c r="AZ2106" s="76">
        <f>+AY2106*70000</f>
        <v>0</v>
      </c>
      <c r="BA2106" s="76"/>
      <c r="BB2106" s="76"/>
      <c r="BC2106" s="76"/>
      <c r="BD2106" s="76">
        <f>+BC2106*30000</f>
        <v>0</v>
      </c>
      <c r="BE2106" s="76"/>
      <c r="BF2106" s="76"/>
      <c r="BG2106" s="76"/>
      <c r="BH2106" s="76"/>
      <c r="BI2106" s="76"/>
      <c r="BJ2106" s="76"/>
      <c r="BK2106" s="76"/>
      <c r="BL2106" s="76">
        <f>+BK2106*31500</f>
        <v>0</v>
      </c>
      <c r="BM2106" s="76"/>
      <c r="BN2106" s="76"/>
      <c r="BO2106" s="76"/>
      <c r="BP2106" s="76"/>
      <c r="BQ2106" s="76"/>
      <c r="BR2106" s="76"/>
      <c r="BS2106" s="76"/>
      <c r="BT2106" s="76"/>
      <c r="BU2106" s="76"/>
      <c r="BV2106" s="76"/>
      <c r="BW2106" s="76"/>
      <c r="BX2106" s="76"/>
      <c r="BY2106" s="76"/>
      <c r="BZ2106" s="76"/>
      <c r="CA2106" s="76"/>
      <c r="CB2106" s="76"/>
      <c r="CC2106" s="76"/>
      <c r="CD2106" s="76"/>
      <c r="CE2106" s="76"/>
      <c r="CF2106" s="76">
        <f>+CE2106*28000</f>
        <v>0</v>
      </c>
      <c r="CG2106" s="76"/>
      <c r="CH2106" s="76">
        <f>+CG2106*22500</f>
        <v>0</v>
      </c>
      <c r="CI2106" s="76"/>
      <c r="CJ2106" s="76">
        <f>+CI2106*26000</f>
        <v>0</v>
      </c>
      <c r="CK2106" s="76"/>
      <c r="CL2106" s="76"/>
      <c r="CM2106" s="76"/>
      <c r="CN2106" s="76">
        <f>+CM2106*22000</f>
        <v>0</v>
      </c>
      <c r="CO2106" s="76"/>
      <c r="CP2106" s="76">
        <f>+CO2106*46000</f>
        <v>0</v>
      </c>
      <c r="CQ2106" s="76"/>
      <c r="CR2106" s="76">
        <f>+CQ2106*49000</f>
        <v>0</v>
      </c>
      <c r="CS2106" s="76"/>
      <c r="CT2106" s="76"/>
      <c r="CU2106" s="56">
        <f>AN2106+AP2106+AR2106+AT2106+AV2106+AX2106+AZ2106+BB2106+BD2106+BF2106+BH2106+BJ2106+BL2106+BN2106+BP2106+BR2106+BT2106+BV2106+BX2106+BZ2106+CB2106+CD2106+CF2106+CH2106+CJ2106+CL2106+CN2106+CP2106+CR2106+CT2106</f>
        <v>0</v>
      </c>
      <c r="CV2106" s="76"/>
      <c r="CW2106" s="76">
        <f>+CV2106*1100</f>
        <v>0</v>
      </c>
      <c r="CX2106" s="76"/>
      <c r="CY2106" s="76">
        <f>+CX2106*106250</f>
        <v>0</v>
      </c>
      <c r="CZ2106" s="76"/>
      <c r="DA2106" s="76">
        <f>+CZ2106*34500</f>
        <v>0</v>
      </c>
      <c r="DB2106" s="76"/>
      <c r="DC2106" s="76">
        <f>+DB2106*25000</f>
        <v>0</v>
      </c>
      <c r="DD2106" s="219"/>
      <c r="DE2106" s="219"/>
      <c r="DF2106" s="166"/>
      <c r="DG2106" s="116"/>
      <c r="DH2106" s="117"/>
      <c r="DI2106" s="24"/>
      <c r="DJ2106" s="24"/>
      <c r="DK2106" s="24"/>
      <c r="DL2106" s="24"/>
      <c r="DM2106" s="24"/>
      <c r="DN2106" s="24"/>
      <c r="DO2106" s="24"/>
      <c r="DP2106" s="24"/>
      <c r="DQ2106" s="24"/>
      <c r="DR2106" s="24"/>
      <c r="DS2106" s="24"/>
      <c r="DT2106" s="24"/>
      <c r="DU2106" s="24"/>
    </row>
    <row r="2107" spans="1:125" s="8" customFormat="1" ht="48" x14ac:dyDescent="0.2">
      <c r="A2107" s="226">
        <v>41438</v>
      </c>
      <c r="B2107" s="225" t="s">
        <v>2881</v>
      </c>
      <c r="C2107" s="227" t="s">
        <v>1439</v>
      </c>
      <c r="D2107" s="354" t="s">
        <v>2882</v>
      </c>
      <c r="E2107" s="75" t="str">
        <f>VLOOKUP(B2107&amp;C2107,Divipola!$C$2:$F$1138,4,FALSE)</f>
        <v>08675</v>
      </c>
      <c r="F2107" s="87"/>
      <c r="G2107" s="87"/>
      <c r="H2107" s="87"/>
      <c r="I2107" s="87">
        <v>245</v>
      </c>
      <c r="J2107" s="87">
        <v>49</v>
      </c>
      <c r="K2107" s="87"/>
      <c r="L2107" s="87">
        <v>49</v>
      </c>
      <c r="M2107" s="87"/>
      <c r="N2107" s="87"/>
      <c r="O2107" s="87"/>
      <c r="P2107" s="87"/>
      <c r="Q2107" s="87"/>
      <c r="R2107" s="87"/>
      <c r="S2107" s="87"/>
      <c r="T2107" s="87"/>
      <c r="U2107" s="88"/>
      <c r="V2107" s="89"/>
      <c r="W2107" s="96">
        <v>0</v>
      </c>
      <c r="X2107" s="71">
        <f>CU2107</f>
        <v>0</v>
      </c>
      <c r="Y2107" s="71">
        <f>CY2107</f>
        <v>0</v>
      </c>
      <c r="Z2107" s="71">
        <f>DA2107+DC2107+DE2107</f>
        <v>0</v>
      </c>
      <c r="AA2107" s="71">
        <f>CW2107</f>
        <v>0</v>
      </c>
      <c r="AB2107" s="71"/>
      <c r="AC2107" s="71">
        <v>0</v>
      </c>
      <c r="AD2107" s="71">
        <f>W2107+X2107+Y2107+Z2107+AA2107+AB2107+AC2107</f>
        <v>0</v>
      </c>
      <c r="AE2107" s="72">
        <v>0</v>
      </c>
      <c r="AF2107" s="5"/>
      <c r="AG2107" s="6"/>
      <c r="AH2107" s="27" t="s">
        <v>3392</v>
      </c>
      <c r="AI2107" s="44" t="s">
        <v>3393</v>
      </c>
      <c r="AJ2107" s="26"/>
      <c r="AK2107" s="5"/>
      <c r="AL2107" s="82" t="s">
        <v>4936</v>
      </c>
      <c r="AM2107" s="76"/>
      <c r="AN2107" s="76"/>
      <c r="AO2107" s="76"/>
      <c r="AP2107" s="76"/>
      <c r="AQ2107" s="76"/>
      <c r="AR2107" s="76"/>
      <c r="AS2107" s="76"/>
      <c r="AT2107" s="76"/>
      <c r="AU2107" s="76"/>
      <c r="AV2107" s="76"/>
      <c r="AW2107" s="76"/>
      <c r="AX2107" s="76">
        <f>+AW2107*600000</f>
        <v>0</v>
      </c>
      <c r="AY2107" s="76"/>
      <c r="AZ2107" s="76">
        <f>+AY2107*70000</f>
        <v>0</v>
      </c>
      <c r="BA2107" s="76"/>
      <c r="BB2107" s="76"/>
      <c r="BC2107" s="76"/>
      <c r="BD2107" s="76">
        <f>+BC2107*30000</f>
        <v>0</v>
      </c>
      <c r="BE2107" s="76"/>
      <c r="BF2107" s="76"/>
      <c r="BG2107" s="76"/>
      <c r="BH2107" s="76"/>
      <c r="BI2107" s="76"/>
      <c r="BJ2107" s="76"/>
      <c r="BK2107" s="76"/>
      <c r="BL2107" s="76">
        <f>+BK2107*31500</f>
        <v>0</v>
      </c>
      <c r="BM2107" s="76"/>
      <c r="BN2107" s="76"/>
      <c r="BO2107" s="76"/>
      <c r="BP2107" s="76"/>
      <c r="BQ2107" s="76"/>
      <c r="BR2107" s="76"/>
      <c r="BS2107" s="76"/>
      <c r="BT2107" s="76"/>
      <c r="BU2107" s="76"/>
      <c r="BV2107" s="76"/>
      <c r="BW2107" s="76"/>
      <c r="BX2107" s="76"/>
      <c r="BY2107" s="76"/>
      <c r="BZ2107" s="76"/>
      <c r="CA2107" s="76"/>
      <c r="CB2107" s="76"/>
      <c r="CC2107" s="76"/>
      <c r="CD2107" s="76"/>
      <c r="CE2107" s="76"/>
      <c r="CF2107" s="76">
        <f>+CE2107*28000</f>
        <v>0</v>
      </c>
      <c r="CG2107" s="76"/>
      <c r="CH2107" s="76">
        <f>+CG2107*22500</f>
        <v>0</v>
      </c>
      <c r="CI2107" s="76"/>
      <c r="CJ2107" s="76">
        <f>+CI2107*26000</f>
        <v>0</v>
      </c>
      <c r="CK2107" s="76"/>
      <c r="CL2107" s="76"/>
      <c r="CM2107" s="76"/>
      <c r="CN2107" s="76">
        <f>+CM2107*22000</f>
        <v>0</v>
      </c>
      <c r="CO2107" s="76"/>
      <c r="CP2107" s="76">
        <f>+CO2107*46000</f>
        <v>0</v>
      </c>
      <c r="CQ2107" s="76"/>
      <c r="CR2107" s="76">
        <f>+CQ2107*49000</f>
        <v>0</v>
      </c>
      <c r="CS2107" s="76"/>
      <c r="CT2107" s="76"/>
      <c r="CU2107" s="56">
        <f>AN2107+AP2107+AR2107+AT2107+AV2107+AX2107+AZ2107+BB2107+BD2107+BF2107+BH2107+BJ2107+BL2107+BN2107+BP2107+BR2107+BT2107+BV2107+BX2107+BZ2107+CB2107+CD2107+CF2107+CH2107+CJ2107+CL2107+CN2107+CP2107+CR2107+CT2107</f>
        <v>0</v>
      </c>
      <c r="CV2107" s="76"/>
      <c r="CW2107" s="76">
        <f>+CV2107*1100</f>
        <v>0</v>
      </c>
      <c r="CX2107" s="76"/>
      <c r="CY2107" s="76">
        <f>+CX2107*106250</f>
        <v>0</v>
      </c>
      <c r="CZ2107" s="76"/>
      <c r="DA2107" s="76">
        <f>+CZ2107*34500</f>
        <v>0</v>
      </c>
      <c r="DB2107" s="76"/>
      <c r="DC2107" s="76">
        <f>+DB2107*25000</f>
        <v>0</v>
      </c>
      <c r="DD2107" s="219"/>
      <c r="DE2107" s="219"/>
      <c r="DF2107" s="166"/>
      <c r="DG2107" s="116"/>
      <c r="DH2107" s="117"/>
      <c r="DI2107" s="24"/>
      <c r="DJ2107" s="24"/>
      <c r="DK2107" s="24"/>
      <c r="DL2107" s="24"/>
      <c r="DM2107" s="24"/>
      <c r="DN2107" s="24"/>
      <c r="DO2107" s="24"/>
      <c r="DP2107" s="24"/>
      <c r="DQ2107" s="24"/>
      <c r="DR2107" s="24"/>
      <c r="DS2107" s="24"/>
      <c r="DT2107" s="24"/>
      <c r="DU2107" s="24"/>
    </row>
    <row r="2108" spans="1:125" s="8" customFormat="1" ht="324" x14ac:dyDescent="0.2">
      <c r="A2108" s="353">
        <v>41438</v>
      </c>
      <c r="B2108" s="352" t="s">
        <v>529</v>
      </c>
      <c r="C2108" s="354" t="s">
        <v>529</v>
      </c>
      <c r="D2108" s="354" t="s">
        <v>2859</v>
      </c>
      <c r="E2108" s="75" t="str">
        <f>VLOOKUP(B2108&amp;C2108,Divipola!$C$2:$F$1138,4,FALSE)</f>
        <v>11001</v>
      </c>
      <c r="F2108" s="87"/>
      <c r="G2108" s="87"/>
      <c r="H2108" s="87"/>
      <c r="I2108" s="87">
        <v>110</v>
      </c>
      <c r="J2108" s="87">
        <v>22</v>
      </c>
      <c r="K2108" s="87"/>
      <c r="L2108" s="87">
        <v>19</v>
      </c>
      <c r="M2108" s="87"/>
      <c r="N2108" s="87"/>
      <c r="O2108" s="87"/>
      <c r="P2108" s="87"/>
      <c r="Q2108" s="87"/>
      <c r="R2108" s="87"/>
      <c r="S2108" s="87"/>
      <c r="T2108" s="87"/>
      <c r="U2108" s="88"/>
      <c r="V2108" s="89"/>
      <c r="W2108" s="96">
        <v>0</v>
      </c>
      <c r="X2108" s="71">
        <f>CU2108</f>
        <v>0</v>
      </c>
      <c r="Y2108" s="71">
        <f>CY2108</f>
        <v>0</v>
      </c>
      <c r="Z2108" s="71">
        <f>DA2108+DC2108+DE2108</f>
        <v>0</v>
      </c>
      <c r="AA2108" s="71">
        <f>CW2108</f>
        <v>0</v>
      </c>
      <c r="AB2108" s="71"/>
      <c r="AC2108" s="71">
        <v>0</v>
      </c>
      <c r="AD2108" s="71">
        <f>W2108+X2108+Y2108+Z2108+AA2108+AB2108+AC2108</f>
        <v>0</v>
      </c>
      <c r="AE2108" s="72">
        <v>0</v>
      </c>
      <c r="AF2108" s="5"/>
      <c r="AG2108" s="6"/>
      <c r="AH2108" s="27" t="s">
        <v>3392</v>
      </c>
      <c r="AI2108" s="44" t="s">
        <v>3393</v>
      </c>
      <c r="AJ2108" s="26"/>
      <c r="AK2108" s="5"/>
      <c r="AL2108" s="82" t="s">
        <v>4942</v>
      </c>
      <c r="AM2108" s="76"/>
      <c r="AN2108" s="76"/>
      <c r="AO2108" s="76"/>
      <c r="AP2108" s="76"/>
      <c r="AQ2108" s="76"/>
      <c r="AR2108" s="76"/>
      <c r="AS2108" s="76"/>
      <c r="AT2108" s="76"/>
      <c r="AU2108" s="76"/>
      <c r="AV2108" s="76"/>
      <c r="AW2108" s="76"/>
      <c r="AX2108" s="76">
        <f>+AW2108*600000</f>
        <v>0</v>
      </c>
      <c r="AY2108" s="76"/>
      <c r="AZ2108" s="76">
        <f>+AY2108*70000</f>
        <v>0</v>
      </c>
      <c r="BA2108" s="76"/>
      <c r="BB2108" s="76"/>
      <c r="BC2108" s="76"/>
      <c r="BD2108" s="76">
        <f>+BC2108*30000</f>
        <v>0</v>
      </c>
      <c r="BE2108" s="76"/>
      <c r="BF2108" s="76"/>
      <c r="BG2108" s="76"/>
      <c r="BH2108" s="76"/>
      <c r="BI2108" s="76"/>
      <c r="BJ2108" s="76"/>
      <c r="BK2108" s="76"/>
      <c r="BL2108" s="76">
        <f>+BK2108*31500</f>
        <v>0</v>
      </c>
      <c r="BM2108" s="76"/>
      <c r="BN2108" s="76"/>
      <c r="BO2108" s="76"/>
      <c r="BP2108" s="76"/>
      <c r="BQ2108" s="76"/>
      <c r="BR2108" s="76"/>
      <c r="BS2108" s="76"/>
      <c r="BT2108" s="76"/>
      <c r="BU2108" s="76"/>
      <c r="BV2108" s="76"/>
      <c r="BW2108" s="76"/>
      <c r="BX2108" s="76"/>
      <c r="BY2108" s="76"/>
      <c r="BZ2108" s="76"/>
      <c r="CA2108" s="76"/>
      <c r="CB2108" s="76"/>
      <c r="CC2108" s="76"/>
      <c r="CD2108" s="76"/>
      <c r="CE2108" s="76"/>
      <c r="CF2108" s="76">
        <f>+CE2108*28000</f>
        <v>0</v>
      </c>
      <c r="CG2108" s="76"/>
      <c r="CH2108" s="76">
        <f>+CG2108*22500</f>
        <v>0</v>
      </c>
      <c r="CI2108" s="76"/>
      <c r="CJ2108" s="76">
        <f>+CI2108*26000</f>
        <v>0</v>
      </c>
      <c r="CK2108" s="76"/>
      <c r="CL2108" s="76"/>
      <c r="CM2108" s="76"/>
      <c r="CN2108" s="76">
        <f>+CM2108*22000</f>
        <v>0</v>
      </c>
      <c r="CO2108" s="76"/>
      <c r="CP2108" s="76">
        <f>+CO2108*46000</f>
        <v>0</v>
      </c>
      <c r="CQ2108" s="76"/>
      <c r="CR2108" s="76">
        <f>+CQ2108*49000</f>
        <v>0</v>
      </c>
      <c r="CS2108" s="76"/>
      <c r="CT2108" s="76"/>
      <c r="CU2108" s="56">
        <f>AN2108+AP2108+AR2108+AT2108+AV2108+AX2108+AZ2108+BB2108+BD2108+BF2108+BH2108+BJ2108+BL2108+BN2108+BP2108+BR2108+BT2108+BV2108+BX2108+BZ2108+CB2108+CD2108+CF2108+CH2108+CJ2108+CL2108+CN2108+CP2108+CR2108+CT2108</f>
        <v>0</v>
      </c>
      <c r="CV2108" s="76"/>
      <c r="CW2108" s="76">
        <f>+CV2108*1100</f>
        <v>0</v>
      </c>
      <c r="CX2108" s="76"/>
      <c r="CY2108" s="76">
        <f>+CX2108*106250</f>
        <v>0</v>
      </c>
      <c r="CZ2108" s="76"/>
      <c r="DA2108" s="76">
        <f>+CZ2108*34500</f>
        <v>0</v>
      </c>
      <c r="DB2108" s="76"/>
      <c r="DC2108" s="76">
        <f>+DB2108*25000</f>
        <v>0</v>
      </c>
      <c r="DD2108" s="219"/>
      <c r="DE2108" s="219"/>
      <c r="DF2108" s="166"/>
      <c r="DG2108" s="116"/>
      <c r="DH2108" s="117"/>
      <c r="DI2108" s="24"/>
      <c r="DJ2108" s="24"/>
      <c r="DK2108" s="24"/>
      <c r="DL2108" s="24"/>
      <c r="DM2108" s="24"/>
      <c r="DN2108" s="24"/>
      <c r="DO2108" s="24"/>
      <c r="DP2108" s="24"/>
      <c r="DQ2108" s="24"/>
      <c r="DR2108" s="24"/>
      <c r="DS2108" s="24"/>
      <c r="DT2108" s="24"/>
      <c r="DU2108" s="24"/>
    </row>
    <row r="2109" spans="1:125" s="8" customFormat="1" ht="36" x14ac:dyDescent="0.2">
      <c r="A2109" s="353">
        <v>41438</v>
      </c>
      <c r="B2109" s="352" t="s">
        <v>2777</v>
      </c>
      <c r="C2109" s="354" t="s">
        <v>2783</v>
      </c>
      <c r="D2109" s="354" t="s">
        <v>2849</v>
      </c>
      <c r="E2109" s="75" t="str">
        <f>VLOOKUP(B2109&amp;C2109,Divipola!$C$2:$F$1138,4,FALSE)</f>
        <v>13001</v>
      </c>
      <c r="F2109" s="87">
        <v>1</v>
      </c>
      <c r="G2109" s="87"/>
      <c r="H2109" s="87"/>
      <c r="I2109" s="87">
        <v>1</v>
      </c>
      <c r="J2109" s="87"/>
      <c r="K2109" s="87"/>
      <c r="L2109" s="87"/>
      <c r="M2109" s="87"/>
      <c r="N2109" s="87"/>
      <c r="O2109" s="87"/>
      <c r="P2109" s="87"/>
      <c r="Q2109" s="87"/>
      <c r="R2109" s="87"/>
      <c r="S2109" s="87"/>
      <c r="T2109" s="87"/>
      <c r="U2109" s="88"/>
      <c r="V2109" s="89"/>
      <c r="W2109" s="96">
        <v>0</v>
      </c>
      <c r="X2109" s="71">
        <f>CU2109</f>
        <v>0</v>
      </c>
      <c r="Y2109" s="71">
        <f>CY2109</f>
        <v>0</v>
      </c>
      <c r="Z2109" s="71">
        <f>DA2109+DC2109+DE2109</f>
        <v>0</v>
      </c>
      <c r="AA2109" s="71">
        <f>CW2109</f>
        <v>0</v>
      </c>
      <c r="AB2109" s="71"/>
      <c r="AC2109" s="71">
        <v>0</v>
      </c>
      <c r="AD2109" s="71">
        <f>W2109+X2109+Y2109+Z2109+AA2109+AB2109+AC2109</f>
        <v>0</v>
      </c>
      <c r="AE2109" s="72">
        <v>0</v>
      </c>
      <c r="AF2109" s="5"/>
      <c r="AG2109" s="6"/>
      <c r="AH2109" s="27" t="s">
        <v>3392</v>
      </c>
      <c r="AI2109" s="44" t="s">
        <v>3393</v>
      </c>
      <c r="AJ2109" s="26"/>
      <c r="AK2109" s="5"/>
      <c r="AL2109" s="82" t="s">
        <v>4939</v>
      </c>
      <c r="AM2109" s="76"/>
      <c r="AN2109" s="76"/>
      <c r="AO2109" s="76"/>
      <c r="AP2109" s="76"/>
      <c r="AQ2109" s="76"/>
      <c r="AR2109" s="76"/>
      <c r="AS2109" s="76"/>
      <c r="AT2109" s="76"/>
      <c r="AU2109" s="76"/>
      <c r="AV2109" s="76"/>
      <c r="AW2109" s="76"/>
      <c r="AX2109" s="76">
        <f>+AW2109*600000</f>
        <v>0</v>
      </c>
      <c r="AY2109" s="76"/>
      <c r="AZ2109" s="76">
        <f>+AY2109*70000</f>
        <v>0</v>
      </c>
      <c r="BA2109" s="76"/>
      <c r="BB2109" s="76"/>
      <c r="BC2109" s="76"/>
      <c r="BD2109" s="76">
        <f>+BC2109*30000</f>
        <v>0</v>
      </c>
      <c r="BE2109" s="76"/>
      <c r="BF2109" s="76"/>
      <c r="BG2109" s="76"/>
      <c r="BH2109" s="76"/>
      <c r="BI2109" s="76"/>
      <c r="BJ2109" s="76"/>
      <c r="BK2109" s="76"/>
      <c r="BL2109" s="76">
        <f>+BK2109*31500</f>
        <v>0</v>
      </c>
      <c r="BM2109" s="76"/>
      <c r="BN2109" s="76"/>
      <c r="BO2109" s="76"/>
      <c r="BP2109" s="76"/>
      <c r="BQ2109" s="76"/>
      <c r="BR2109" s="76"/>
      <c r="BS2109" s="76"/>
      <c r="BT2109" s="76"/>
      <c r="BU2109" s="76"/>
      <c r="BV2109" s="76"/>
      <c r="BW2109" s="76"/>
      <c r="BX2109" s="76"/>
      <c r="BY2109" s="76"/>
      <c r="BZ2109" s="76"/>
      <c r="CA2109" s="76"/>
      <c r="CB2109" s="76"/>
      <c r="CC2109" s="76"/>
      <c r="CD2109" s="76"/>
      <c r="CE2109" s="76"/>
      <c r="CF2109" s="76">
        <f>+CE2109*28000</f>
        <v>0</v>
      </c>
      <c r="CG2109" s="76"/>
      <c r="CH2109" s="76">
        <f>+CG2109*22500</f>
        <v>0</v>
      </c>
      <c r="CI2109" s="76"/>
      <c r="CJ2109" s="76">
        <f>+CI2109*26000</f>
        <v>0</v>
      </c>
      <c r="CK2109" s="76"/>
      <c r="CL2109" s="76"/>
      <c r="CM2109" s="76"/>
      <c r="CN2109" s="76">
        <f>+CM2109*22000</f>
        <v>0</v>
      </c>
      <c r="CO2109" s="76"/>
      <c r="CP2109" s="76">
        <f>+CO2109*46000</f>
        <v>0</v>
      </c>
      <c r="CQ2109" s="76"/>
      <c r="CR2109" s="76">
        <f>+CQ2109*49000</f>
        <v>0</v>
      </c>
      <c r="CS2109" s="76"/>
      <c r="CT2109" s="76"/>
      <c r="CU2109" s="56">
        <f>AN2109+AP2109+AR2109+AT2109+AV2109+AX2109+AZ2109+BB2109+BD2109+BF2109+BH2109+BJ2109+BL2109+BN2109+BP2109+BR2109+BT2109+BV2109+BX2109+BZ2109+CB2109+CD2109+CF2109+CH2109+CJ2109+CL2109+CN2109+CP2109+CR2109+CT2109</f>
        <v>0</v>
      </c>
      <c r="CV2109" s="76"/>
      <c r="CW2109" s="76">
        <f>+CV2109*1100</f>
        <v>0</v>
      </c>
      <c r="CX2109" s="76"/>
      <c r="CY2109" s="76">
        <f>+CX2109*106250</f>
        <v>0</v>
      </c>
      <c r="CZ2109" s="76"/>
      <c r="DA2109" s="76">
        <f>+CZ2109*34500</f>
        <v>0</v>
      </c>
      <c r="DB2109" s="76"/>
      <c r="DC2109" s="76">
        <f>+DB2109*25000</f>
        <v>0</v>
      </c>
      <c r="DD2109" s="219"/>
      <c r="DE2109" s="219"/>
      <c r="DF2109" s="166"/>
      <c r="DG2109" s="116"/>
      <c r="DH2109" s="117"/>
      <c r="DI2109" s="24"/>
      <c r="DJ2109" s="24"/>
      <c r="DK2109" s="24"/>
      <c r="DL2109" s="24"/>
      <c r="DM2109" s="24"/>
      <c r="DN2109" s="24"/>
      <c r="DO2109" s="24"/>
      <c r="DP2109" s="24"/>
      <c r="DQ2109" s="24"/>
      <c r="DR2109" s="24"/>
      <c r="DS2109" s="24"/>
      <c r="DT2109" s="24"/>
      <c r="DU2109" s="24"/>
    </row>
    <row r="2110" spans="1:125" s="8" customFormat="1" ht="48" x14ac:dyDescent="0.2">
      <c r="A2110" s="77">
        <v>41438</v>
      </c>
      <c r="B2110" s="78" t="s">
        <v>2777</v>
      </c>
      <c r="C2110" s="75" t="s">
        <v>1530</v>
      </c>
      <c r="D2110" s="75" t="s">
        <v>4947</v>
      </c>
      <c r="E2110" s="75" t="str">
        <f>VLOOKUP(B2110&amp;C2110,Divipola!$C$2:$F$1138,4,FALSE)</f>
        <v>13673</v>
      </c>
      <c r="F2110" s="87">
        <v>2</v>
      </c>
      <c r="G2110" s="87"/>
      <c r="H2110" s="87"/>
      <c r="I2110" s="87">
        <v>9</v>
      </c>
      <c r="J2110" s="87"/>
      <c r="K2110" s="87"/>
      <c r="L2110" s="87"/>
      <c r="M2110" s="87"/>
      <c r="N2110" s="87"/>
      <c r="O2110" s="87"/>
      <c r="P2110" s="87"/>
      <c r="Q2110" s="87"/>
      <c r="R2110" s="87"/>
      <c r="S2110" s="87"/>
      <c r="T2110" s="87"/>
      <c r="U2110" s="88"/>
      <c r="V2110" s="89"/>
      <c r="W2110" s="96">
        <v>0</v>
      </c>
      <c r="X2110" s="71">
        <f>CU2110</f>
        <v>0</v>
      </c>
      <c r="Y2110" s="71">
        <f>CY2110</f>
        <v>0</v>
      </c>
      <c r="Z2110" s="71">
        <f>DA2110+DC2110+DE2110</f>
        <v>0</v>
      </c>
      <c r="AA2110" s="71">
        <f>CW2110</f>
        <v>0</v>
      </c>
      <c r="AB2110" s="71"/>
      <c r="AC2110" s="71">
        <v>0</v>
      </c>
      <c r="AD2110" s="71">
        <f>W2110+X2110+Y2110+Z2110+AA2110+AB2110+AC2110</f>
        <v>0</v>
      </c>
      <c r="AE2110" s="72">
        <v>0</v>
      </c>
      <c r="AF2110" s="5"/>
      <c r="AG2110" s="6"/>
      <c r="AH2110" s="27" t="s">
        <v>3392</v>
      </c>
      <c r="AI2110" s="44" t="s">
        <v>3393</v>
      </c>
      <c r="AJ2110" s="26"/>
      <c r="AK2110" s="5"/>
      <c r="AL2110" s="82" t="s">
        <v>4949</v>
      </c>
      <c r="AM2110" s="76"/>
      <c r="AN2110" s="76"/>
      <c r="AO2110" s="76"/>
      <c r="AP2110" s="76"/>
      <c r="AQ2110" s="76"/>
      <c r="AR2110" s="76"/>
      <c r="AS2110" s="76"/>
      <c r="AT2110" s="76"/>
      <c r="AU2110" s="76"/>
      <c r="AV2110" s="76"/>
      <c r="AW2110" s="76"/>
      <c r="AX2110" s="76">
        <f>+AW2110*600000</f>
        <v>0</v>
      </c>
      <c r="AY2110" s="76"/>
      <c r="AZ2110" s="76">
        <f>+AY2110*70000</f>
        <v>0</v>
      </c>
      <c r="BA2110" s="76"/>
      <c r="BB2110" s="76"/>
      <c r="BC2110" s="76"/>
      <c r="BD2110" s="76">
        <f>+BC2110*30000</f>
        <v>0</v>
      </c>
      <c r="BE2110" s="76"/>
      <c r="BF2110" s="76"/>
      <c r="BG2110" s="76"/>
      <c r="BH2110" s="76"/>
      <c r="BI2110" s="76"/>
      <c r="BJ2110" s="76"/>
      <c r="BK2110" s="76"/>
      <c r="BL2110" s="76">
        <f>+BK2110*31500</f>
        <v>0</v>
      </c>
      <c r="BM2110" s="76"/>
      <c r="BN2110" s="76"/>
      <c r="BO2110" s="76"/>
      <c r="BP2110" s="76"/>
      <c r="BQ2110" s="76"/>
      <c r="BR2110" s="76"/>
      <c r="BS2110" s="76"/>
      <c r="BT2110" s="76"/>
      <c r="BU2110" s="76"/>
      <c r="BV2110" s="76"/>
      <c r="BW2110" s="76"/>
      <c r="BX2110" s="76"/>
      <c r="BY2110" s="76"/>
      <c r="BZ2110" s="76"/>
      <c r="CA2110" s="76"/>
      <c r="CB2110" s="76"/>
      <c r="CC2110" s="76"/>
      <c r="CD2110" s="76"/>
      <c r="CE2110" s="76"/>
      <c r="CF2110" s="76">
        <f>+CE2110*28000</f>
        <v>0</v>
      </c>
      <c r="CG2110" s="76"/>
      <c r="CH2110" s="76">
        <f>+CG2110*22500</f>
        <v>0</v>
      </c>
      <c r="CI2110" s="76"/>
      <c r="CJ2110" s="76">
        <f>+CI2110*26000</f>
        <v>0</v>
      </c>
      <c r="CK2110" s="76"/>
      <c r="CL2110" s="76"/>
      <c r="CM2110" s="76"/>
      <c r="CN2110" s="76">
        <f>+CM2110*22000</f>
        <v>0</v>
      </c>
      <c r="CO2110" s="76"/>
      <c r="CP2110" s="76">
        <f>+CO2110*46000</f>
        <v>0</v>
      </c>
      <c r="CQ2110" s="76"/>
      <c r="CR2110" s="76">
        <f>+CQ2110*49000</f>
        <v>0</v>
      </c>
      <c r="CS2110" s="76"/>
      <c r="CT2110" s="76"/>
      <c r="CU2110" s="56">
        <f>AN2110+AP2110+AR2110+AT2110+AV2110+AX2110+AZ2110+BB2110+BD2110+BF2110+BH2110+BJ2110+BL2110+BN2110+BP2110+BR2110+BT2110+BV2110+BX2110+BZ2110+CB2110+CD2110+CF2110+CH2110+CJ2110+CL2110+CN2110+CP2110+CR2110+CT2110</f>
        <v>0</v>
      </c>
      <c r="CV2110" s="76"/>
      <c r="CW2110" s="76">
        <f>+CV2110*1100</f>
        <v>0</v>
      </c>
      <c r="CX2110" s="76"/>
      <c r="CY2110" s="76">
        <f>+CX2110*106250</f>
        <v>0</v>
      </c>
      <c r="CZ2110" s="76"/>
      <c r="DA2110" s="76">
        <f>+CZ2110*34500</f>
        <v>0</v>
      </c>
      <c r="DB2110" s="76"/>
      <c r="DC2110" s="76">
        <f>+DB2110*25000</f>
        <v>0</v>
      </c>
      <c r="DD2110" s="219"/>
      <c r="DE2110" s="219"/>
      <c r="DF2110" s="166"/>
      <c r="DG2110" s="116"/>
      <c r="DH2110" s="117"/>
      <c r="DI2110" s="24"/>
      <c r="DJ2110" s="24"/>
      <c r="DK2110" s="24"/>
      <c r="DL2110" s="24"/>
      <c r="DM2110" s="24"/>
      <c r="DN2110" s="24"/>
      <c r="DO2110" s="24"/>
      <c r="DP2110" s="24"/>
      <c r="DQ2110" s="24"/>
      <c r="DR2110" s="24"/>
      <c r="DS2110" s="24"/>
      <c r="DT2110" s="24"/>
      <c r="DU2110" s="24"/>
    </row>
    <row r="2111" spans="1:125" s="8" customFormat="1" ht="132" x14ac:dyDescent="0.2">
      <c r="A2111" s="226">
        <v>41438</v>
      </c>
      <c r="B2111" s="225" t="s">
        <v>2196</v>
      </c>
      <c r="C2111" s="227" t="s">
        <v>2659</v>
      </c>
      <c r="D2111" s="227" t="s">
        <v>2859</v>
      </c>
      <c r="E2111" s="75" t="str">
        <f>VLOOKUP(B2111&amp;C2111,Divipola!$C$2:$F$1138,4,FALSE)</f>
        <v>17088</v>
      </c>
      <c r="F2111" s="87"/>
      <c r="G2111" s="87"/>
      <c r="H2111" s="87"/>
      <c r="I2111" s="87">
        <v>5</v>
      </c>
      <c r="J2111" s="87">
        <v>1</v>
      </c>
      <c r="K2111" s="87">
        <v>1</v>
      </c>
      <c r="L2111" s="87"/>
      <c r="M2111" s="87"/>
      <c r="N2111" s="87"/>
      <c r="O2111" s="87"/>
      <c r="P2111" s="87"/>
      <c r="Q2111" s="87"/>
      <c r="R2111" s="87"/>
      <c r="S2111" s="87"/>
      <c r="T2111" s="87"/>
      <c r="U2111" s="88"/>
      <c r="V2111" s="89"/>
      <c r="W2111" s="96">
        <v>0</v>
      </c>
      <c r="X2111" s="71">
        <f>CU2111</f>
        <v>0</v>
      </c>
      <c r="Y2111" s="71">
        <f>CY2111</f>
        <v>0</v>
      </c>
      <c r="Z2111" s="71">
        <f>DA2111+DC2111+DE2111</f>
        <v>0</v>
      </c>
      <c r="AA2111" s="71">
        <f>CW2111</f>
        <v>0</v>
      </c>
      <c r="AB2111" s="71"/>
      <c r="AC2111" s="71">
        <v>0</v>
      </c>
      <c r="AD2111" s="71">
        <f>W2111+X2111+Y2111+Z2111+AA2111+AB2111+AC2111</f>
        <v>0</v>
      </c>
      <c r="AE2111" s="72">
        <v>0</v>
      </c>
      <c r="AF2111" s="5"/>
      <c r="AG2111" s="6"/>
      <c r="AH2111" s="27" t="s">
        <v>3392</v>
      </c>
      <c r="AI2111" s="44" t="s">
        <v>3393</v>
      </c>
      <c r="AJ2111" s="26"/>
      <c r="AK2111" s="5"/>
      <c r="AL2111" s="82" t="s">
        <v>4951</v>
      </c>
      <c r="AM2111" s="76"/>
      <c r="AN2111" s="76"/>
      <c r="AO2111" s="76"/>
      <c r="AP2111" s="76"/>
      <c r="AQ2111" s="76"/>
      <c r="AR2111" s="76"/>
      <c r="AS2111" s="76"/>
      <c r="AT2111" s="76"/>
      <c r="AU2111" s="76"/>
      <c r="AV2111" s="76"/>
      <c r="AW2111" s="76"/>
      <c r="AX2111" s="76">
        <f>+AW2111*600000</f>
        <v>0</v>
      </c>
      <c r="AY2111" s="76"/>
      <c r="AZ2111" s="76">
        <f>+AY2111*70000</f>
        <v>0</v>
      </c>
      <c r="BA2111" s="76"/>
      <c r="BB2111" s="76"/>
      <c r="BC2111" s="76"/>
      <c r="BD2111" s="76">
        <f>+BC2111*30000</f>
        <v>0</v>
      </c>
      <c r="BE2111" s="76"/>
      <c r="BF2111" s="76"/>
      <c r="BG2111" s="76"/>
      <c r="BH2111" s="76"/>
      <c r="BI2111" s="76"/>
      <c r="BJ2111" s="76"/>
      <c r="BK2111" s="76"/>
      <c r="BL2111" s="76">
        <f>+BK2111*31500</f>
        <v>0</v>
      </c>
      <c r="BM2111" s="76"/>
      <c r="BN2111" s="76"/>
      <c r="BO2111" s="76"/>
      <c r="BP2111" s="76"/>
      <c r="BQ2111" s="76"/>
      <c r="BR2111" s="76"/>
      <c r="BS2111" s="76"/>
      <c r="BT2111" s="76"/>
      <c r="BU2111" s="76"/>
      <c r="BV2111" s="76"/>
      <c r="BW2111" s="76"/>
      <c r="BX2111" s="76"/>
      <c r="BY2111" s="76"/>
      <c r="BZ2111" s="76"/>
      <c r="CA2111" s="76"/>
      <c r="CB2111" s="76"/>
      <c r="CC2111" s="76"/>
      <c r="CD2111" s="76"/>
      <c r="CE2111" s="76"/>
      <c r="CF2111" s="76">
        <f>+CE2111*28000</f>
        <v>0</v>
      </c>
      <c r="CG2111" s="76"/>
      <c r="CH2111" s="76">
        <f>+CG2111*22500</f>
        <v>0</v>
      </c>
      <c r="CI2111" s="76"/>
      <c r="CJ2111" s="76">
        <f>+CI2111*26000</f>
        <v>0</v>
      </c>
      <c r="CK2111" s="76"/>
      <c r="CL2111" s="76"/>
      <c r="CM2111" s="76"/>
      <c r="CN2111" s="76">
        <f>+CM2111*22000</f>
        <v>0</v>
      </c>
      <c r="CO2111" s="76"/>
      <c r="CP2111" s="76">
        <f>+CO2111*46000</f>
        <v>0</v>
      </c>
      <c r="CQ2111" s="76"/>
      <c r="CR2111" s="76">
        <f>+CQ2111*49000</f>
        <v>0</v>
      </c>
      <c r="CS2111" s="76"/>
      <c r="CT2111" s="76"/>
      <c r="CU2111" s="56">
        <f>AN2111+AP2111+AR2111+AT2111+AV2111+AX2111+AZ2111+BB2111+BD2111+BF2111+BH2111+BJ2111+BL2111+BN2111+BP2111+BR2111+BT2111+BV2111+BX2111+BZ2111+CB2111+CD2111+CF2111+CH2111+CJ2111+CL2111+CN2111+CP2111+CR2111+CT2111</f>
        <v>0</v>
      </c>
      <c r="CV2111" s="76"/>
      <c r="CW2111" s="76">
        <f>+CV2111*1100</f>
        <v>0</v>
      </c>
      <c r="CX2111" s="76"/>
      <c r="CY2111" s="76">
        <f>+CX2111*106250</f>
        <v>0</v>
      </c>
      <c r="CZ2111" s="76"/>
      <c r="DA2111" s="76">
        <f>+CZ2111*34500</f>
        <v>0</v>
      </c>
      <c r="DB2111" s="76"/>
      <c r="DC2111" s="76">
        <f>+DB2111*25000</f>
        <v>0</v>
      </c>
      <c r="DD2111" s="219"/>
      <c r="DE2111" s="219"/>
      <c r="DF2111" s="166"/>
      <c r="DG2111" s="134"/>
      <c r="DH2111" s="117"/>
      <c r="DI2111" s="24"/>
      <c r="DJ2111" s="24"/>
      <c r="DK2111" s="24"/>
      <c r="DL2111" s="24"/>
      <c r="DM2111" s="24"/>
      <c r="DN2111" s="24"/>
      <c r="DO2111" s="24"/>
      <c r="DP2111" s="24"/>
      <c r="DQ2111" s="24"/>
      <c r="DR2111" s="24"/>
      <c r="DS2111" s="24"/>
      <c r="DT2111" s="24"/>
      <c r="DU2111" s="24"/>
    </row>
    <row r="2112" spans="1:125" s="8" customFormat="1" ht="48" x14ac:dyDescent="0.2">
      <c r="A2112" s="226">
        <v>41438</v>
      </c>
      <c r="B2112" s="225" t="s">
        <v>506</v>
      </c>
      <c r="C2112" s="227" t="s">
        <v>103</v>
      </c>
      <c r="D2112" s="354" t="s">
        <v>3463</v>
      </c>
      <c r="E2112" s="75" t="str">
        <f>VLOOKUP(B2112&amp;C2112,Divipola!$C$2:$F$1138,4,FALSE)</f>
        <v>50577</v>
      </c>
      <c r="F2112" s="87"/>
      <c r="G2112" s="87"/>
      <c r="H2112" s="87"/>
      <c r="I2112" s="87"/>
      <c r="J2112" s="87"/>
      <c r="K2112" s="87"/>
      <c r="L2112" s="87"/>
      <c r="M2112" s="87"/>
      <c r="N2112" s="87"/>
      <c r="O2112" s="87"/>
      <c r="P2112" s="87"/>
      <c r="Q2112" s="87"/>
      <c r="R2112" s="87"/>
      <c r="S2112" s="87"/>
      <c r="T2112" s="87"/>
      <c r="U2112" s="88"/>
      <c r="V2112" s="89"/>
      <c r="W2112" s="96">
        <v>0</v>
      </c>
      <c r="X2112" s="71">
        <f>CU2112</f>
        <v>0</v>
      </c>
      <c r="Y2112" s="71">
        <f>CY2112</f>
        <v>0</v>
      </c>
      <c r="Z2112" s="71">
        <f>DA2112+DC2112+DE2112</f>
        <v>0</v>
      </c>
      <c r="AA2112" s="71">
        <f>CW2112</f>
        <v>0</v>
      </c>
      <c r="AB2112" s="71"/>
      <c r="AC2112" s="71">
        <v>0</v>
      </c>
      <c r="AD2112" s="71">
        <f>W2112+X2112+Y2112+Z2112+AA2112+AB2112+AC2112</f>
        <v>0</v>
      </c>
      <c r="AE2112" s="72">
        <v>0</v>
      </c>
      <c r="AF2112" s="5"/>
      <c r="AG2112" s="6"/>
      <c r="AH2112" s="27" t="s">
        <v>3392</v>
      </c>
      <c r="AI2112" s="44" t="s">
        <v>3393</v>
      </c>
      <c r="AJ2112" s="26"/>
      <c r="AK2112" s="5"/>
      <c r="AL2112" s="82" t="s">
        <v>4938</v>
      </c>
      <c r="AM2112" s="76"/>
      <c r="AN2112" s="76"/>
      <c r="AO2112" s="76"/>
      <c r="AP2112" s="76"/>
      <c r="AQ2112" s="76"/>
      <c r="AR2112" s="76"/>
      <c r="AS2112" s="76"/>
      <c r="AT2112" s="76"/>
      <c r="AU2112" s="76"/>
      <c r="AV2112" s="76"/>
      <c r="AW2112" s="76"/>
      <c r="AX2112" s="76">
        <f>+AW2112*600000</f>
        <v>0</v>
      </c>
      <c r="AY2112" s="76"/>
      <c r="AZ2112" s="76">
        <f>+AY2112*70000</f>
        <v>0</v>
      </c>
      <c r="BA2112" s="76"/>
      <c r="BB2112" s="76"/>
      <c r="BC2112" s="76"/>
      <c r="BD2112" s="76">
        <f>+BC2112*30000</f>
        <v>0</v>
      </c>
      <c r="BE2112" s="76"/>
      <c r="BF2112" s="76"/>
      <c r="BG2112" s="76"/>
      <c r="BH2112" s="76"/>
      <c r="BI2112" s="76"/>
      <c r="BJ2112" s="76"/>
      <c r="BK2112" s="76"/>
      <c r="BL2112" s="76">
        <f>+BK2112*31500</f>
        <v>0</v>
      </c>
      <c r="BM2112" s="76"/>
      <c r="BN2112" s="76"/>
      <c r="BO2112" s="76"/>
      <c r="BP2112" s="76"/>
      <c r="BQ2112" s="76"/>
      <c r="BR2112" s="76"/>
      <c r="BS2112" s="76"/>
      <c r="BT2112" s="76"/>
      <c r="BU2112" s="76"/>
      <c r="BV2112" s="76"/>
      <c r="BW2112" s="76"/>
      <c r="BX2112" s="76"/>
      <c r="BY2112" s="76"/>
      <c r="BZ2112" s="76"/>
      <c r="CA2112" s="76"/>
      <c r="CB2112" s="76"/>
      <c r="CC2112" s="76"/>
      <c r="CD2112" s="76"/>
      <c r="CE2112" s="76"/>
      <c r="CF2112" s="76">
        <f>+CE2112*28000</f>
        <v>0</v>
      </c>
      <c r="CG2112" s="76"/>
      <c r="CH2112" s="76">
        <f>+CG2112*22500</f>
        <v>0</v>
      </c>
      <c r="CI2112" s="76"/>
      <c r="CJ2112" s="76">
        <f>+CI2112*26000</f>
        <v>0</v>
      </c>
      <c r="CK2112" s="76"/>
      <c r="CL2112" s="76"/>
      <c r="CM2112" s="76"/>
      <c r="CN2112" s="76">
        <f>+CM2112*22000</f>
        <v>0</v>
      </c>
      <c r="CO2112" s="76"/>
      <c r="CP2112" s="76">
        <f>+CO2112*46000</f>
        <v>0</v>
      </c>
      <c r="CQ2112" s="76"/>
      <c r="CR2112" s="76">
        <f>+CQ2112*49000</f>
        <v>0</v>
      </c>
      <c r="CS2112" s="76"/>
      <c r="CT2112" s="76"/>
      <c r="CU2112" s="56">
        <f>AN2112+AP2112+AR2112+AT2112+AV2112+AX2112+AZ2112+BB2112+BD2112+BF2112+BH2112+BJ2112+BL2112+BN2112+BP2112+BR2112+BT2112+BV2112+BX2112+BZ2112+CB2112+CD2112+CF2112+CH2112+CJ2112+CL2112+CN2112+CP2112+CR2112+CT2112</f>
        <v>0</v>
      </c>
      <c r="CV2112" s="76"/>
      <c r="CW2112" s="76">
        <f>+CV2112*1100</f>
        <v>0</v>
      </c>
      <c r="CX2112" s="76"/>
      <c r="CY2112" s="76">
        <f>+CX2112*106250</f>
        <v>0</v>
      </c>
      <c r="CZ2112" s="76"/>
      <c r="DA2112" s="76">
        <f>+CZ2112*34500</f>
        <v>0</v>
      </c>
      <c r="DB2112" s="76"/>
      <c r="DC2112" s="76">
        <f>+DB2112*25000</f>
        <v>0</v>
      </c>
      <c r="DD2112" s="219"/>
      <c r="DE2112" s="219"/>
      <c r="DF2112" s="166"/>
      <c r="DG2112" s="116"/>
      <c r="DH2112" s="117"/>
      <c r="DI2112" s="24"/>
      <c r="DJ2112" s="24"/>
      <c r="DK2112" s="24"/>
      <c r="DL2112" s="24"/>
      <c r="DM2112" s="24"/>
      <c r="DN2112" s="24"/>
      <c r="DO2112" s="24"/>
      <c r="DP2112" s="24"/>
      <c r="DQ2112" s="24"/>
      <c r="DR2112" s="24"/>
      <c r="DS2112" s="24"/>
      <c r="DT2112" s="24"/>
      <c r="DU2112" s="24"/>
    </row>
    <row r="2113" spans="1:125" s="8" customFormat="1" ht="108" x14ac:dyDescent="0.2">
      <c r="A2113" s="353">
        <v>41438</v>
      </c>
      <c r="B2113" s="352" t="s">
        <v>2847</v>
      </c>
      <c r="C2113" s="354" t="s">
        <v>342</v>
      </c>
      <c r="D2113" s="354" t="s">
        <v>3088</v>
      </c>
      <c r="E2113" s="75" t="str">
        <f>VLOOKUP(B2113&amp;C2113,Divipola!$C$2:$F$1138,4,FALSE)</f>
        <v>68245</v>
      </c>
      <c r="F2113" s="87"/>
      <c r="G2113" s="87"/>
      <c r="H2113" s="87"/>
      <c r="I2113" s="87"/>
      <c r="J2113" s="87"/>
      <c r="K2113" s="87"/>
      <c r="L2113" s="87"/>
      <c r="M2113" s="87">
        <v>1</v>
      </c>
      <c r="N2113" s="87"/>
      <c r="O2113" s="87"/>
      <c r="P2113" s="87"/>
      <c r="Q2113" s="87"/>
      <c r="R2113" s="87"/>
      <c r="S2113" s="87"/>
      <c r="T2113" s="87"/>
      <c r="U2113" s="88"/>
      <c r="V2113" s="89"/>
      <c r="W2113" s="96">
        <v>0</v>
      </c>
      <c r="X2113" s="71">
        <f>CU2113</f>
        <v>0</v>
      </c>
      <c r="Y2113" s="71">
        <f>CY2113</f>
        <v>0</v>
      </c>
      <c r="Z2113" s="71">
        <f>DA2113+DC2113+DE2113</f>
        <v>0</v>
      </c>
      <c r="AA2113" s="71">
        <f>CW2113</f>
        <v>0</v>
      </c>
      <c r="AB2113" s="71"/>
      <c r="AC2113" s="71">
        <v>0</v>
      </c>
      <c r="AD2113" s="71">
        <f>W2113+X2113+Y2113+Z2113+AA2113+AB2113+AC2113</f>
        <v>0</v>
      </c>
      <c r="AE2113" s="72">
        <v>0</v>
      </c>
      <c r="AF2113" s="5"/>
      <c r="AG2113" s="6"/>
      <c r="AH2113" s="27" t="s">
        <v>3392</v>
      </c>
      <c r="AI2113" s="44" t="s">
        <v>3393</v>
      </c>
      <c r="AJ2113" s="26"/>
      <c r="AK2113" s="5"/>
      <c r="AL2113" s="82" t="s">
        <v>4954</v>
      </c>
      <c r="AM2113" s="76"/>
      <c r="AN2113" s="76"/>
      <c r="AO2113" s="76"/>
      <c r="AP2113" s="76"/>
      <c r="AQ2113" s="76"/>
      <c r="AR2113" s="76"/>
      <c r="AS2113" s="76"/>
      <c r="AT2113" s="76"/>
      <c r="AU2113" s="76"/>
      <c r="AV2113" s="76"/>
      <c r="AW2113" s="76"/>
      <c r="AX2113" s="76">
        <f>+AW2113*600000</f>
        <v>0</v>
      </c>
      <c r="AY2113" s="76"/>
      <c r="AZ2113" s="76">
        <f>+AY2113*70000</f>
        <v>0</v>
      </c>
      <c r="BA2113" s="76"/>
      <c r="BB2113" s="76"/>
      <c r="BC2113" s="76"/>
      <c r="BD2113" s="76">
        <f>+BC2113*30000</f>
        <v>0</v>
      </c>
      <c r="BE2113" s="76"/>
      <c r="BF2113" s="76"/>
      <c r="BG2113" s="76"/>
      <c r="BH2113" s="76"/>
      <c r="BI2113" s="76"/>
      <c r="BJ2113" s="76"/>
      <c r="BK2113" s="76"/>
      <c r="BL2113" s="76">
        <f>+BK2113*31500</f>
        <v>0</v>
      </c>
      <c r="BM2113" s="76"/>
      <c r="BN2113" s="76"/>
      <c r="BO2113" s="76"/>
      <c r="BP2113" s="76"/>
      <c r="BQ2113" s="76"/>
      <c r="BR2113" s="76"/>
      <c r="BS2113" s="76"/>
      <c r="BT2113" s="76"/>
      <c r="BU2113" s="76"/>
      <c r="BV2113" s="76"/>
      <c r="BW2113" s="76"/>
      <c r="BX2113" s="76"/>
      <c r="BY2113" s="76"/>
      <c r="BZ2113" s="76"/>
      <c r="CA2113" s="76"/>
      <c r="CB2113" s="76"/>
      <c r="CC2113" s="76"/>
      <c r="CD2113" s="76"/>
      <c r="CE2113" s="76"/>
      <c r="CF2113" s="76">
        <f>+CE2113*28000</f>
        <v>0</v>
      </c>
      <c r="CG2113" s="76"/>
      <c r="CH2113" s="76">
        <f>+CG2113*22500</f>
        <v>0</v>
      </c>
      <c r="CI2113" s="76"/>
      <c r="CJ2113" s="76">
        <f>+CI2113*26000</f>
        <v>0</v>
      </c>
      <c r="CK2113" s="76"/>
      <c r="CL2113" s="76"/>
      <c r="CM2113" s="76"/>
      <c r="CN2113" s="76">
        <f>+CM2113*22000</f>
        <v>0</v>
      </c>
      <c r="CO2113" s="76"/>
      <c r="CP2113" s="76">
        <f>+CO2113*46000</f>
        <v>0</v>
      </c>
      <c r="CQ2113" s="76"/>
      <c r="CR2113" s="76">
        <f>+CQ2113*49000</f>
        <v>0</v>
      </c>
      <c r="CS2113" s="76"/>
      <c r="CT2113" s="76"/>
      <c r="CU2113" s="56">
        <f>AN2113+AP2113+AR2113+AT2113+AV2113+AX2113+AZ2113+BB2113+BD2113+BF2113+BH2113+BJ2113+BL2113+BN2113+BP2113+BR2113+BT2113+BV2113+BX2113+BZ2113+CB2113+CD2113+CF2113+CH2113+CJ2113+CL2113+CN2113+CP2113+CR2113+CT2113</f>
        <v>0</v>
      </c>
      <c r="CV2113" s="76"/>
      <c r="CW2113" s="76">
        <f>+CV2113*1100</f>
        <v>0</v>
      </c>
      <c r="CX2113" s="76"/>
      <c r="CY2113" s="76">
        <f>+CX2113*106250</f>
        <v>0</v>
      </c>
      <c r="CZ2113" s="76"/>
      <c r="DA2113" s="76">
        <f>+CZ2113*34500</f>
        <v>0</v>
      </c>
      <c r="DB2113" s="76"/>
      <c r="DC2113" s="76">
        <f>+DB2113*25000</f>
        <v>0</v>
      </c>
      <c r="DD2113" s="219"/>
      <c r="DE2113" s="219"/>
      <c r="DF2113" s="166"/>
      <c r="DG2113" s="116"/>
      <c r="DH2113" s="117"/>
      <c r="DI2113" s="24"/>
      <c r="DJ2113" s="24"/>
      <c r="DK2113" s="24"/>
      <c r="DL2113" s="24"/>
      <c r="DM2113" s="24"/>
      <c r="DN2113" s="24"/>
      <c r="DO2113" s="24"/>
      <c r="DP2113" s="24"/>
      <c r="DQ2113" s="24"/>
      <c r="DR2113" s="24"/>
      <c r="DS2113" s="24"/>
      <c r="DT2113" s="24"/>
      <c r="DU2113" s="24"/>
    </row>
    <row r="2114" spans="1:125" s="8" customFormat="1" ht="60" x14ac:dyDescent="0.2">
      <c r="A2114" s="77">
        <v>41438</v>
      </c>
      <c r="B2114" s="78" t="s">
        <v>2848</v>
      </c>
      <c r="C2114" s="75" t="s">
        <v>484</v>
      </c>
      <c r="D2114" s="75" t="s">
        <v>3051</v>
      </c>
      <c r="E2114" s="75" t="str">
        <f>VLOOKUP(B2114&amp;C2114,Divipola!$C$2:$F$1138,4,FALSE)</f>
        <v>73347</v>
      </c>
      <c r="F2114" s="87"/>
      <c r="G2114" s="87"/>
      <c r="H2114" s="87"/>
      <c r="I2114" s="87"/>
      <c r="J2114" s="87"/>
      <c r="K2114" s="87"/>
      <c r="L2114" s="87"/>
      <c r="M2114" s="87">
        <v>1</v>
      </c>
      <c r="N2114" s="87"/>
      <c r="O2114" s="87"/>
      <c r="P2114" s="87"/>
      <c r="Q2114" s="87"/>
      <c r="R2114" s="87"/>
      <c r="S2114" s="87"/>
      <c r="T2114" s="87"/>
      <c r="U2114" s="88"/>
      <c r="V2114" s="89"/>
      <c r="W2114" s="96">
        <v>0</v>
      </c>
      <c r="X2114" s="71">
        <f>CU2114</f>
        <v>0</v>
      </c>
      <c r="Y2114" s="71">
        <f>CY2114</f>
        <v>0</v>
      </c>
      <c r="Z2114" s="71">
        <f>DA2114+DC2114+DE2114</f>
        <v>0</v>
      </c>
      <c r="AA2114" s="71">
        <f>CW2114</f>
        <v>0</v>
      </c>
      <c r="AB2114" s="71"/>
      <c r="AC2114" s="71">
        <v>0</v>
      </c>
      <c r="AD2114" s="71">
        <f>W2114+X2114+Y2114+Z2114+AA2114+AB2114+AC2114</f>
        <v>0</v>
      </c>
      <c r="AE2114" s="72">
        <v>0</v>
      </c>
      <c r="AF2114" s="5"/>
      <c r="AG2114" s="6"/>
      <c r="AH2114" s="27" t="s">
        <v>3392</v>
      </c>
      <c r="AI2114" s="44" t="s">
        <v>3393</v>
      </c>
      <c r="AJ2114" s="26"/>
      <c r="AK2114" s="5"/>
      <c r="AL2114" s="82" t="s">
        <v>4937</v>
      </c>
      <c r="AM2114" s="76"/>
      <c r="AN2114" s="76"/>
      <c r="AO2114" s="76"/>
      <c r="AP2114" s="76"/>
      <c r="AQ2114" s="76"/>
      <c r="AR2114" s="76"/>
      <c r="AS2114" s="76"/>
      <c r="AT2114" s="76"/>
      <c r="AU2114" s="76"/>
      <c r="AV2114" s="76"/>
      <c r="AW2114" s="76"/>
      <c r="AX2114" s="76">
        <f>+AW2114*600000</f>
        <v>0</v>
      </c>
      <c r="AY2114" s="76"/>
      <c r="AZ2114" s="76">
        <f>+AY2114*70000</f>
        <v>0</v>
      </c>
      <c r="BA2114" s="76"/>
      <c r="BB2114" s="76"/>
      <c r="BC2114" s="76"/>
      <c r="BD2114" s="76">
        <f>+BC2114*30000</f>
        <v>0</v>
      </c>
      <c r="BE2114" s="76"/>
      <c r="BF2114" s="76"/>
      <c r="BG2114" s="76"/>
      <c r="BH2114" s="76"/>
      <c r="BI2114" s="76"/>
      <c r="BJ2114" s="76"/>
      <c r="BK2114" s="76"/>
      <c r="BL2114" s="76">
        <f>+BK2114*31500</f>
        <v>0</v>
      </c>
      <c r="BM2114" s="76"/>
      <c r="BN2114" s="76"/>
      <c r="BO2114" s="76"/>
      <c r="BP2114" s="76"/>
      <c r="BQ2114" s="76"/>
      <c r="BR2114" s="76"/>
      <c r="BS2114" s="76"/>
      <c r="BT2114" s="76"/>
      <c r="BU2114" s="76"/>
      <c r="BV2114" s="76"/>
      <c r="BW2114" s="76"/>
      <c r="BX2114" s="76"/>
      <c r="BY2114" s="76"/>
      <c r="BZ2114" s="76"/>
      <c r="CA2114" s="76"/>
      <c r="CB2114" s="76"/>
      <c r="CC2114" s="76"/>
      <c r="CD2114" s="76"/>
      <c r="CE2114" s="76"/>
      <c r="CF2114" s="76">
        <f>+CE2114*28000</f>
        <v>0</v>
      </c>
      <c r="CG2114" s="76"/>
      <c r="CH2114" s="76">
        <f>+CG2114*22500</f>
        <v>0</v>
      </c>
      <c r="CI2114" s="76"/>
      <c r="CJ2114" s="76">
        <f>+CI2114*26000</f>
        <v>0</v>
      </c>
      <c r="CK2114" s="76"/>
      <c r="CL2114" s="76"/>
      <c r="CM2114" s="76"/>
      <c r="CN2114" s="76">
        <f>+CM2114*22000</f>
        <v>0</v>
      </c>
      <c r="CO2114" s="76"/>
      <c r="CP2114" s="76">
        <f>+CO2114*46000</f>
        <v>0</v>
      </c>
      <c r="CQ2114" s="76"/>
      <c r="CR2114" s="76">
        <f>+CQ2114*49000</f>
        <v>0</v>
      </c>
      <c r="CS2114" s="76"/>
      <c r="CT2114" s="76"/>
      <c r="CU2114" s="56">
        <f>AN2114+AP2114+AR2114+AT2114+AV2114+AX2114+AZ2114+BB2114+BD2114+BF2114+BH2114+BJ2114+BL2114+BN2114+BP2114+BR2114+BT2114+BV2114+BX2114+BZ2114+CB2114+CD2114+CF2114+CH2114+CJ2114+CL2114+CN2114+CP2114+CR2114+CT2114</f>
        <v>0</v>
      </c>
      <c r="CV2114" s="76"/>
      <c r="CW2114" s="76">
        <f>+CV2114*1100</f>
        <v>0</v>
      </c>
      <c r="CX2114" s="76"/>
      <c r="CY2114" s="76">
        <f>+CX2114*106250</f>
        <v>0</v>
      </c>
      <c r="CZ2114" s="76"/>
      <c r="DA2114" s="76">
        <f>+CZ2114*34500</f>
        <v>0</v>
      </c>
      <c r="DB2114" s="76"/>
      <c r="DC2114" s="76">
        <f>+DB2114*25000</f>
        <v>0</v>
      </c>
      <c r="DD2114" s="219"/>
      <c r="DE2114" s="219"/>
      <c r="DF2114" s="166"/>
      <c r="DG2114" s="116"/>
      <c r="DH2114" s="117"/>
      <c r="DI2114" s="24"/>
      <c r="DJ2114" s="24"/>
      <c r="DK2114" s="24"/>
      <c r="DL2114" s="24"/>
      <c r="DM2114" s="24"/>
      <c r="DN2114" s="24"/>
      <c r="DO2114" s="24"/>
      <c r="DP2114" s="24"/>
      <c r="DQ2114" s="24"/>
      <c r="DR2114" s="24"/>
      <c r="DS2114" s="24"/>
      <c r="DT2114" s="24"/>
      <c r="DU2114" s="24"/>
    </row>
    <row r="2115" spans="1:125" s="8" customFormat="1" ht="72" x14ac:dyDescent="0.2">
      <c r="A2115" s="353">
        <v>41438</v>
      </c>
      <c r="B2115" s="352" t="s">
        <v>2851</v>
      </c>
      <c r="C2115" s="354" t="s">
        <v>2064</v>
      </c>
      <c r="D2115" s="354" t="s">
        <v>3088</v>
      </c>
      <c r="E2115" s="75" t="str">
        <f>VLOOKUP(B2115&amp;C2115,Divipola!$C$2:$F$1138,4,FALSE)</f>
        <v>76233</v>
      </c>
      <c r="F2115" s="87">
        <v>1</v>
      </c>
      <c r="G2115" s="87"/>
      <c r="H2115" s="87"/>
      <c r="I2115" s="87"/>
      <c r="J2115" s="87"/>
      <c r="K2115" s="87"/>
      <c r="L2115" s="87"/>
      <c r="M2115" s="87"/>
      <c r="N2115" s="87"/>
      <c r="O2115" s="87"/>
      <c r="P2115" s="87"/>
      <c r="Q2115" s="87"/>
      <c r="R2115" s="87"/>
      <c r="S2115" s="87"/>
      <c r="T2115" s="87"/>
      <c r="U2115" s="88"/>
      <c r="V2115" s="89"/>
      <c r="W2115" s="96">
        <v>0</v>
      </c>
      <c r="X2115" s="71">
        <f>CU2115</f>
        <v>0</v>
      </c>
      <c r="Y2115" s="71">
        <f>CY2115</f>
        <v>0</v>
      </c>
      <c r="Z2115" s="71">
        <f>DA2115+DC2115+DE2115</f>
        <v>0</v>
      </c>
      <c r="AA2115" s="71">
        <f>CW2115</f>
        <v>0</v>
      </c>
      <c r="AB2115" s="71"/>
      <c r="AC2115" s="71">
        <v>0</v>
      </c>
      <c r="AD2115" s="71">
        <f>W2115+X2115+Y2115+Z2115+AA2115+AB2115+AC2115</f>
        <v>0</v>
      </c>
      <c r="AE2115" s="72">
        <v>0</v>
      </c>
      <c r="AF2115" s="5"/>
      <c r="AG2115" s="6"/>
      <c r="AH2115" s="27" t="s">
        <v>3392</v>
      </c>
      <c r="AI2115" s="44" t="s">
        <v>3393</v>
      </c>
      <c r="AJ2115" s="26"/>
      <c r="AK2115" s="5"/>
      <c r="AL2115" s="82" t="s">
        <v>4950</v>
      </c>
      <c r="AM2115" s="76"/>
      <c r="AN2115" s="76"/>
      <c r="AO2115" s="76"/>
      <c r="AP2115" s="76"/>
      <c r="AQ2115" s="76"/>
      <c r="AR2115" s="76"/>
      <c r="AS2115" s="76"/>
      <c r="AT2115" s="76"/>
      <c r="AU2115" s="76"/>
      <c r="AV2115" s="76"/>
      <c r="AW2115" s="76"/>
      <c r="AX2115" s="76">
        <f>+AW2115*600000</f>
        <v>0</v>
      </c>
      <c r="AY2115" s="76"/>
      <c r="AZ2115" s="76">
        <f>+AY2115*70000</f>
        <v>0</v>
      </c>
      <c r="BA2115" s="76"/>
      <c r="BB2115" s="76"/>
      <c r="BC2115" s="76"/>
      <c r="BD2115" s="76">
        <f>+BC2115*30000</f>
        <v>0</v>
      </c>
      <c r="BE2115" s="76"/>
      <c r="BF2115" s="76"/>
      <c r="BG2115" s="76"/>
      <c r="BH2115" s="76"/>
      <c r="BI2115" s="76"/>
      <c r="BJ2115" s="76"/>
      <c r="BK2115" s="76"/>
      <c r="BL2115" s="76">
        <f>+BK2115*31500</f>
        <v>0</v>
      </c>
      <c r="BM2115" s="76"/>
      <c r="BN2115" s="76"/>
      <c r="BO2115" s="76"/>
      <c r="BP2115" s="76"/>
      <c r="BQ2115" s="76"/>
      <c r="BR2115" s="76"/>
      <c r="BS2115" s="76"/>
      <c r="BT2115" s="76"/>
      <c r="BU2115" s="76"/>
      <c r="BV2115" s="76"/>
      <c r="BW2115" s="76"/>
      <c r="BX2115" s="76"/>
      <c r="BY2115" s="76"/>
      <c r="BZ2115" s="76"/>
      <c r="CA2115" s="76"/>
      <c r="CB2115" s="76"/>
      <c r="CC2115" s="76"/>
      <c r="CD2115" s="76"/>
      <c r="CE2115" s="76"/>
      <c r="CF2115" s="76">
        <f>+CE2115*28000</f>
        <v>0</v>
      </c>
      <c r="CG2115" s="76"/>
      <c r="CH2115" s="76">
        <f>+CG2115*22500</f>
        <v>0</v>
      </c>
      <c r="CI2115" s="76"/>
      <c r="CJ2115" s="76">
        <f>+CI2115*26000</f>
        <v>0</v>
      </c>
      <c r="CK2115" s="76"/>
      <c r="CL2115" s="76"/>
      <c r="CM2115" s="76"/>
      <c r="CN2115" s="76">
        <f>+CM2115*22000</f>
        <v>0</v>
      </c>
      <c r="CO2115" s="76"/>
      <c r="CP2115" s="76">
        <f>+CO2115*46000</f>
        <v>0</v>
      </c>
      <c r="CQ2115" s="76"/>
      <c r="CR2115" s="76">
        <f>+CQ2115*49000</f>
        <v>0</v>
      </c>
      <c r="CS2115" s="76"/>
      <c r="CT2115" s="76"/>
      <c r="CU2115" s="56">
        <f>AN2115+AP2115+AR2115+AT2115+AV2115+AX2115+AZ2115+BB2115+BD2115+BF2115+BH2115+BJ2115+BL2115+BN2115+BP2115+BR2115+BT2115+BV2115+BX2115+BZ2115+CB2115+CD2115+CF2115+CH2115+CJ2115+CL2115+CN2115+CP2115+CR2115+CT2115</f>
        <v>0</v>
      </c>
      <c r="CV2115" s="76"/>
      <c r="CW2115" s="76">
        <f>+CV2115*1100</f>
        <v>0</v>
      </c>
      <c r="CX2115" s="76"/>
      <c r="CY2115" s="76">
        <f>+CX2115*106250</f>
        <v>0</v>
      </c>
      <c r="CZ2115" s="76"/>
      <c r="DA2115" s="76">
        <f>+CZ2115*34500</f>
        <v>0</v>
      </c>
      <c r="DB2115" s="76"/>
      <c r="DC2115" s="76">
        <f>+DB2115*25000</f>
        <v>0</v>
      </c>
      <c r="DD2115" s="219"/>
      <c r="DE2115" s="219"/>
      <c r="DF2115" s="166"/>
      <c r="DG2115" s="116"/>
      <c r="DH2115" s="117"/>
      <c r="DI2115" s="24"/>
      <c r="DJ2115" s="24"/>
      <c r="DK2115" s="24"/>
      <c r="DL2115" s="24"/>
      <c r="DM2115" s="24"/>
      <c r="DN2115" s="24"/>
      <c r="DO2115" s="24"/>
      <c r="DP2115" s="24"/>
      <c r="DQ2115" s="24"/>
      <c r="DR2115" s="24"/>
      <c r="DS2115" s="24"/>
      <c r="DT2115" s="24"/>
      <c r="DU2115" s="24"/>
    </row>
    <row r="2116" spans="1:125" s="8" customFormat="1" ht="72" x14ac:dyDescent="0.2">
      <c r="A2116" s="77">
        <v>41439</v>
      </c>
      <c r="B2116" s="78" t="s">
        <v>2894</v>
      </c>
      <c r="C2116" s="75" t="s">
        <v>2358</v>
      </c>
      <c r="D2116" s="75" t="s">
        <v>3051</v>
      </c>
      <c r="E2116" s="75" t="str">
        <f>VLOOKUP(B2116&amp;C2116,Divipola!$C$2:$F$1138,4,FALSE)</f>
        <v>05051</v>
      </c>
      <c r="F2116" s="87"/>
      <c r="G2116" s="87"/>
      <c r="H2116" s="87"/>
      <c r="I2116" s="87"/>
      <c r="J2116" s="87"/>
      <c r="K2116" s="87"/>
      <c r="L2116" s="87"/>
      <c r="M2116" s="87"/>
      <c r="N2116" s="87"/>
      <c r="O2116" s="87"/>
      <c r="P2116" s="87"/>
      <c r="Q2116" s="87"/>
      <c r="R2116" s="87"/>
      <c r="S2116" s="87"/>
      <c r="T2116" s="87"/>
      <c r="U2116" s="88"/>
      <c r="V2116" s="89"/>
      <c r="W2116" s="96">
        <v>0</v>
      </c>
      <c r="X2116" s="71">
        <f>CU2116</f>
        <v>0</v>
      </c>
      <c r="Y2116" s="71">
        <f>CY2116</f>
        <v>0</v>
      </c>
      <c r="Z2116" s="71">
        <f>DA2116+DC2116+DE2116</f>
        <v>0</v>
      </c>
      <c r="AA2116" s="71">
        <f>CW2116</f>
        <v>0</v>
      </c>
      <c r="AB2116" s="71"/>
      <c r="AC2116" s="71">
        <v>0</v>
      </c>
      <c r="AD2116" s="71">
        <f>W2116+X2116+Y2116+Z2116+AA2116+AB2116+AC2116</f>
        <v>0</v>
      </c>
      <c r="AE2116" s="72">
        <v>0</v>
      </c>
      <c r="AF2116" s="5"/>
      <c r="AG2116" s="6">
        <v>62</v>
      </c>
      <c r="AH2116" s="27" t="s">
        <v>3392</v>
      </c>
      <c r="AI2116" s="44" t="s">
        <v>3393</v>
      </c>
      <c r="AJ2116" s="26"/>
      <c r="AK2116" s="5"/>
      <c r="AL2116" s="82" t="s">
        <v>4941</v>
      </c>
      <c r="AM2116" s="76"/>
      <c r="AN2116" s="76"/>
      <c r="AO2116" s="76"/>
      <c r="AP2116" s="76"/>
      <c r="AQ2116" s="76"/>
      <c r="AR2116" s="76"/>
      <c r="AS2116" s="76"/>
      <c r="AT2116" s="76"/>
      <c r="AU2116" s="76"/>
      <c r="AV2116" s="76"/>
      <c r="AW2116" s="76"/>
      <c r="AX2116" s="76">
        <f>+AW2116*600000</f>
        <v>0</v>
      </c>
      <c r="AY2116" s="76"/>
      <c r="AZ2116" s="76">
        <f>+AY2116*70000</f>
        <v>0</v>
      </c>
      <c r="BA2116" s="76"/>
      <c r="BB2116" s="76"/>
      <c r="BC2116" s="76"/>
      <c r="BD2116" s="76">
        <f>+BC2116*30000</f>
        <v>0</v>
      </c>
      <c r="BE2116" s="76"/>
      <c r="BF2116" s="76"/>
      <c r="BG2116" s="76"/>
      <c r="BH2116" s="76"/>
      <c r="BI2116" s="76"/>
      <c r="BJ2116" s="76"/>
      <c r="BK2116" s="76"/>
      <c r="BL2116" s="76">
        <f>+BK2116*31500</f>
        <v>0</v>
      </c>
      <c r="BM2116" s="76"/>
      <c r="BN2116" s="76"/>
      <c r="BO2116" s="76"/>
      <c r="BP2116" s="76"/>
      <c r="BQ2116" s="76"/>
      <c r="BR2116" s="76"/>
      <c r="BS2116" s="76"/>
      <c r="BT2116" s="76"/>
      <c r="BU2116" s="76"/>
      <c r="BV2116" s="76"/>
      <c r="BW2116" s="76"/>
      <c r="BX2116" s="76"/>
      <c r="BY2116" s="76"/>
      <c r="BZ2116" s="76"/>
      <c r="CA2116" s="76"/>
      <c r="CB2116" s="76"/>
      <c r="CC2116" s="76"/>
      <c r="CD2116" s="76"/>
      <c r="CE2116" s="76"/>
      <c r="CF2116" s="76">
        <f>+CE2116*28000</f>
        <v>0</v>
      </c>
      <c r="CG2116" s="76"/>
      <c r="CH2116" s="76">
        <f>+CG2116*22500</f>
        <v>0</v>
      </c>
      <c r="CI2116" s="76"/>
      <c r="CJ2116" s="76">
        <f>+CI2116*26000</f>
        <v>0</v>
      </c>
      <c r="CK2116" s="76"/>
      <c r="CL2116" s="76"/>
      <c r="CM2116" s="76"/>
      <c r="CN2116" s="76">
        <f>+CM2116*22000</f>
        <v>0</v>
      </c>
      <c r="CO2116" s="76"/>
      <c r="CP2116" s="76">
        <f>+CO2116*46000</f>
        <v>0</v>
      </c>
      <c r="CQ2116" s="76"/>
      <c r="CR2116" s="76">
        <f>+CQ2116*49000</f>
        <v>0</v>
      </c>
      <c r="CS2116" s="76"/>
      <c r="CT2116" s="76"/>
      <c r="CU2116" s="56">
        <f>AN2116+AP2116+AR2116+AT2116+AV2116+AX2116+AZ2116+BB2116+BD2116+BF2116+BH2116+BJ2116+BL2116+BN2116+BP2116+BR2116+BT2116+BV2116+BX2116+BZ2116+CB2116+CD2116+CF2116+CH2116+CJ2116+CL2116+CN2116+CP2116+CR2116+CT2116</f>
        <v>0</v>
      </c>
      <c r="CV2116" s="76"/>
      <c r="CW2116" s="76">
        <f>+CV2116*1100</f>
        <v>0</v>
      </c>
      <c r="CX2116" s="76"/>
      <c r="CY2116" s="76">
        <f>+CX2116*106250</f>
        <v>0</v>
      </c>
      <c r="CZ2116" s="76"/>
      <c r="DA2116" s="76">
        <f>+CZ2116*34500</f>
        <v>0</v>
      </c>
      <c r="DB2116" s="76"/>
      <c r="DC2116" s="76">
        <f>+DB2116*25000</f>
        <v>0</v>
      </c>
      <c r="DD2116" s="219"/>
      <c r="DE2116" s="219"/>
      <c r="DF2116" s="166"/>
      <c r="DG2116" s="116"/>
      <c r="DH2116" s="117"/>
      <c r="DI2116" s="24"/>
      <c r="DJ2116" s="24"/>
      <c r="DK2116" s="24"/>
      <c r="DL2116" s="24"/>
      <c r="DM2116" s="24"/>
      <c r="DN2116" s="24"/>
      <c r="DO2116" s="24"/>
      <c r="DP2116" s="24"/>
      <c r="DQ2116" s="24"/>
      <c r="DR2116" s="24"/>
      <c r="DS2116" s="24"/>
      <c r="DT2116" s="24"/>
      <c r="DU2116" s="24"/>
    </row>
    <row r="2117" spans="1:125" s="8" customFormat="1" ht="36" x14ac:dyDescent="0.2">
      <c r="A2117" s="353">
        <v>41439</v>
      </c>
      <c r="B2117" s="352" t="s">
        <v>2852</v>
      </c>
      <c r="C2117" s="227" t="s">
        <v>1245</v>
      </c>
      <c r="D2117" s="227" t="s">
        <v>2859</v>
      </c>
      <c r="E2117" s="75" t="str">
        <f>VLOOKUP(B2117&amp;C2117,Divipola!$C$2:$F$1138,4,FALSE)</f>
        <v>27450</v>
      </c>
      <c r="F2117" s="87"/>
      <c r="G2117" s="87"/>
      <c r="H2117" s="87"/>
      <c r="I2117" s="87">
        <v>36</v>
      </c>
      <c r="J2117" s="87">
        <v>6</v>
      </c>
      <c r="K2117" s="87">
        <v>6</v>
      </c>
      <c r="L2117" s="87"/>
      <c r="M2117" s="87"/>
      <c r="N2117" s="87"/>
      <c r="O2117" s="87"/>
      <c r="P2117" s="87"/>
      <c r="Q2117" s="87"/>
      <c r="R2117" s="87"/>
      <c r="S2117" s="87"/>
      <c r="T2117" s="87"/>
      <c r="U2117" s="88"/>
      <c r="V2117" s="89"/>
      <c r="W2117" s="96">
        <v>0</v>
      </c>
      <c r="X2117" s="71">
        <f>CU2117</f>
        <v>0</v>
      </c>
      <c r="Y2117" s="71">
        <f>CY2117</f>
        <v>0</v>
      </c>
      <c r="Z2117" s="71">
        <f>DA2117+DC2117+DE2117</f>
        <v>0</v>
      </c>
      <c r="AA2117" s="71">
        <f>CW2117</f>
        <v>0</v>
      </c>
      <c r="AB2117" s="71"/>
      <c r="AC2117" s="71">
        <v>0</v>
      </c>
      <c r="AD2117" s="71">
        <f>W2117+X2117+Y2117+Z2117+AA2117+AB2117+AC2117</f>
        <v>0</v>
      </c>
      <c r="AE2117" s="72">
        <v>0</v>
      </c>
      <c r="AF2117" s="5"/>
      <c r="AG2117" s="6"/>
      <c r="AH2117" s="27" t="s">
        <v>3392</v>
      </c>
      <c r="AI2117" s="44" t="s">
        <v>3393</v>
      </c>
      <c r="AJ2117" s="26"/>
      <c r="AK2117" s="5"/>
      <c r="AL2117" s="82" t="s">
        <v>4952</v>
      </c>
      <c r="AM2117" s="76"/>
      <c r="AN2117" s="76"/>
      <c r="AO2117" s="76"/>
      <c r="AP2117" s="76"/>
      <c r="AQ2117" s="76"/>
      <c r="AR2117" s="76"/>
      <c r="AS2117" s="76"/>
      <c r="AT2117" s="76"/>
      <c r="AU2117" s="76"/>
      <c r="AV2117" s="76"/>
      <c r="AW2117" s="76"/>
      <c r="AX2117" s="76">
        <f>+AW2117*600000</f>
        <v>0</v>
      </c>
      <c r="AY2117" s="76"/>
      <c r="AZ2117" s="76">
        <f>+AY2117*70000</f>
        <v>0</v>
      </c>
      <c r="BA2117" s="76"/>
      <c r="BB2117" s="76"/>
      <c r="BC2117" s="76"/>
      <c r="BD2117" s="76">
        <f>+BC2117*30000</f>
        <v>0</v>
      </c>
      <c r="BE2117" s="76"/>
      <c r="BF2117" s="76"/>
      <c r="BG2117" s="76"/>
      <c r="BH2117" s="76"/>
      <c r="BI2117" s="76"/>
      <c r="BJ2117" s="76"/>
      <c r="BK2117" s="76"/>
      <c r="BL2117" s="76">
        <f>+BK2117*31500</f>
        <v>0</v>
      </c>
      <c r="BM2117" s="76"/>
      <c r="BN2117" s="76"/>
      <c r="BO2117" s="76"/>
      <c r="BP2117" s="76"/>
      <c r="BQ2117" s="76"/>
      <c r="BR2117" s="76"/>
      <c r="BS2117" s="76"/>
      <c r="BT2117" s="76"/>
      <c r="BU2117" s="76"/>
      <c r="BV2117" s="76"/>
      <c r="BW2117" s="76"/>
      <c r="BX2117" s="76"/>
      <c r="BY2117" s="76"/>
      <c r="BZ2117" s="76"/>
      <c r="CA2117" s="76"/>
      <c r="CB2117" s="76"/>
      <c r="CC2117" s="76"/>
      <c r="CD2117" s="76"/>
      <c r="CE2117" s="76"/>
      <c r="CF2117" s="76">
        <f>+CE2117*28000</f>
        <v>0</v>
      </c>
      <c r="CG2117" s="76"/>
      <c r="CH2117" s="76">
        <f>+CG2117*22500</f>
        <v>0</v>
      </c>
      <c r="CI2117" s="76"/>
      <c r="CJ2117" s="76">
        <f>+CI2117*26000</f>
        <v>0</v>
      </c>
      <c r="CK2117" s="76"/>
      <c r="CL2117" s="76"/>
      <c r="CM2117" s="76"/>
      <c r="CN2117" s="76">
        <f>+CM2117*22000</f>
        <v>0</v>
      </c>
      <c r="CO2117" s="76"/>
      <c r="CP2117" s="76">
        <f>+CO2117*46000</f>
        <v>0</v>
      </c>
      <c r="CQ2117" s="76"/>
      <c r="CR2117" s="76">
        <f>+CQ2117*49000</f>
        <v>0</v>
      </c>
      <c r="CS2117" s="76"/>
      <c r="CT2117" s="76"/>
      <c r="CU2117" s="56">
        <f>AN2117+AP2117+AR2117+AT2117+AV2117+AX2117+AZ2117+BB2117+BD2117+BF2117+BH2117+BJ2117+BL2117+BN2117+BP2117+BR2117+BT2117+BV2117+BX2117+BZ2117+CB2117+CD2117+CF2117+CH2117+CJ2117+CL2117+CN2117+CP2117+CR2117+CT2117</f>
        <v>0</v>
      </c>
      <c r="CV2117" s="76"/>
      <c r="CW2117" s="76">
        <f>+CV2117*1100</f>
        <v>0</v>
      </c>
      <c r="CX2117" s="76"/>
      <c r="CY2117" s="76">
        <f>+CX2117*106250</f>
        <v>0</v>
      </c>
      <c r="CZ2117" s="76"/>
      <c r="DA2117" s="76">
        <f>+CZ2117*34500</f>
        <v>0</v>
      </c>
      <c r="DB2117" s="76"/>
      <c r="DC2117" s="76">
        <f>+DB2117*25000</f>
        <v>0</v>
      </c>
      <c r="DD2117" s="219"/>
      <c r="DE2117" s="219"/>
      <c r="DF2117" s="166"/>
      <c r="DG2117" s="116"/>
      <c r="DH2117" s="117"/>
      <c r="DI2117" s="24"/>
      <c r="DJ2117" s="24"/>
      <c r="DK2117" s="24"/>
      <c r="DL2117" s="24"/>
      <c r="DM2117" s="24"/>
      <c r="DN2117" s="24"/>
      <c r="DO2117" s="24"/>
      <c r="DP2117" s="24"/>
      <c r="DQ2117" s="24"/>
      <c r="DR2117" s="24"/>
      <c r="DS2117" s="24"/>
      <c r="DT2117" s="24"/>
      <c r="DU2117" s="24"/>
    </row>
    <row r="2118" spans="1:125" s="8" customFormat="1" ht="48" x14ac:dyDescent="0.2">
      <c r="A2118" s="77">
        <v>41439</v>
      </c>
      <c r="B2118" s="208" t="s">
        <v>2772</v>
      </c>
      <c r="C2118" s="354" t="s">
        <v>1110</v>
      </c>
      <c r="D2118" s="354" t="s">
        <v>2846</v>
      </c>
      <c r="E2118" s="75" t="str">
        <f>VLOOKUP(B2118&amp;C2118,Divipola!$C$2:$F$1138,4,FALSE)</f>
        <v>25436</v>
      </c>
      <c r="F2118" s="87"/>
      <c r="G2118" s="87"/>
      <c r="H2118" s="87"/>
      <c r="I2118" s="87"/>
      <c r="J2118" s="87"/>
      <c r="K2118" s="87"/>
      <c r="L2118" s="87"/>
      <c r="M2118" s="87"/>
      <c r="N2118" s="87"/>
      <c r="O2118" s="87"/>
      <c r="P2118" s="87"/>
      <c r="Q2118" s="87"/>
      <c r="R2118" s="87"/>
      <c r="S2118" s="87"/>
      <c r="T2118" s="87"/>
      <c r="U2118" s="88">
        <v>2</v>
      </c>
      <c r="V2118" s="89"/>
      <c r="W2118" s="96">
        <v>0</v>
      </c>
      <c r="X2118" s="71">
        <f>CU2118</f>
        <v>0</v>
      </c>
      <c r="Y2118" s="71">
        <f>CY2118</f>
        <v>0</v>
      </c>
      <c r="Z2118" s="71">
        <f>DA2118+DC2118+DE2118</f>
        <v>0</v>
      </c>
      <c r="AA2118" s="71">
        <f>CW2118</f>
        <v>0</v>
      </c>
      <c r="AB2118" s="71"/>
      <c r="AC2118" s="71">
        <v>0</v>
      </c>
      <c r="AD2118" s="71">
        <f>W2118+X2118+Y2118+Z2118+AA2118+AB2118+AC2118</f>
        <v>0</v>
      </c>
      <c r="AE2118" s="72">
        <v>0</v>
      </c>
      <c r="AF2118" s="5"/>
      <c r="AG2118" s="6"/>
      <c r="AH2118" s="27" t="s">
        <v>3392</v>
      </c>
      <c r="AI2118" s="44" t="s">
        <v>3393</v>
      </c>
      <c r="AJ2118" s="26"/>
      <c r="AK2118" s="5"/>
      <c r="AL2118" s="82" t="s">
        <v>4946</v>
      </c>
      <c r="AM2118" s="76"/>
      <c r="AN2118" s="76"/>
      <c r="AO2118" s="76"/>
      <c r="AP2118" s="76"/>
      <c r="AQ2118" s="76"/>
      <c r="AR2118" s="76"/>
      <c r="AS2118" s="76"/>
      <c r="AT2118" s="76"/>
      <c r="AU2118" s="76"/>
      <c r="AV2118" s="76"/>
      <c r="AW2118" s="76"/>
      <c r="AX2118" s="76">
        <f>+AW2118*600000</f>
        <v>0</v>
      </c>
      <c r="AY2118" s="76"/>
      <c r="AZ2118" s="76">
        <f>+AY2118*70000</f>
        <v>0</v>
      </c>
      <c r="BA2118" s="76"/>
      <c r="BB2118" s="76"/>
      <c r="BC2118" s="76"/>
      <c r="BD2118" s="76">
        <f>+BC2118*30000</f>
        <v>0</v>
      </c>
      <c r="BE2118" s="76"/>
      <c r="BF2118" s="76"/>
      <c r="BG2118" s="76"/>
      <c r="BH2118" s="76"/>
      <c r="BI2118" s="76"/>
      <c r="BJ2118" s="76"/>
      <c r="BK2118" s="76"/>
      <c r="BL2118" s="76">
        <f>+BK2118*31500</f>
        <v>0</v>
      </c>
      <c r="BM2118" s="76"/>
      <c r="BN2118" s="76"/>
      <c r="BO2118" s="76"/>
      <c r="BP2118" s="76"/>
      <c r="BQ2118" s="76"/>
      <c r="BR2118" s="76"/>
      <c r="BS2118" s="76"/>
      <c r="BT2118" s="76"/>
      <c r="BU2118" s="76"/>
      <c r="BV2118" s="76"/>
      <c r="BW2118" s="76"/>
      <c r="BX2118" s="76"/>
      <c r="BY2118" s="76"/>
      <c r="BZ2118" s="76"/>
      <c r="CA2118" s="76"/>
      <c r="CB2118" s="76"/>
      <c r="CC2118" s="76"/>
      <c r="CD2118" s="76"/>
      <c r="CE2118" s="76"/>
      <c r="CF2118" s="76">
        <f>+CE2118*28000</f>
        <v>0</v>
      </c>
      <c r="CG2118" s="76"/>
      <c r="CH2118" s="76">
        <f>+CG2118*22500</f>
        <v>0</v>
      </c>
      <c r="CI2118" s="76"/>
      <c r="CJ2118" s="76">
        <f>+CI2118*26000</f>
        <v>0</v>
      </c>
      <c r="CK2118" s="76"/>
      <c r="CL2118" s="76"/>
      <c r="CM2118" s="76"/>
      <c r="CN2118" s="76">
        <f>+CM2118*22000</f>
        <v>0</v>
      </c>
      <c r="CO2118" s="76"/>
      <c r="CP2118" s="76">
        <f>+CO2118*46000</f>
        <v>0</v>
      </c>
      <c r="CQ2118" s="76"/>
      <c r="CR2118" s="76">
        <f>+CQ2118*49000</f>
        <v>0</v>
      </c>
      <c r="CS2118" s="76"/>
      <c r="CT2118" s="76"/>
      <c r="CU2118" s="56">
        <f>AN2118+AP2118+AR2118+AT2118+AV2118+AX2118+AZ2118+BB2118+BD2118+BF2118+BH2118+BJ2118+BL2118+BN2118+BP2118+BR2118+BT2118+BV2118+BX2118+BZ2118+CB2118+CD2118+CF2118+CH2118+CJ2118+CL2118+CN2118+CP2118+CR2118+CT2118</f>
        <v>0</v>
      </c>
      <c r="CV2118" s="76"/>
      <c r="CW2118" s="76">
        <f>+CV2118*1100</f>
        <v>0</v>
      </c>
      <c r="CX2118" s="76"/>
      <c r="CY2118" s="76">
        <f>+CX2118*106250</f>
        <v>0</v>
      </c>
      <c r="CZ2118" s="76"/>
      <c r="DA2118" s="76">
        <f>+CZ2118*34500</f>
        <v>0</v>
      </c>
      <c r="DB2118" s="76"/>
      <c r="DC2118" s="76">
        <f>+DB2118*25000</f>
        <v>0</v>
      </c>
      <c r="DD2118" s="219"/>
      <c r="DE2118" s="219"/>
      <c r="DF2118" s="166"/>
      <c r="DG2118" s="116"/>
      <c r="DH2118" s="117"/>
      <c r="DI2118" s="24"/>
      <c r="DJ2118" s="24"/>
      <c r="DK2118" s="24"/>
      <c r="DL2118" s="24"/>
      <c r="DM2118" s="24"/>
      <c r="DN2118" s="24"/>
      <c r="DO2118" s="24"/>
      <c r="DP2118" s="24"/>
      <c r="DQ2118" s="24"/>
      <c r="DR2118" s="24"/>
      <c r="DS2118" s="24"/>
      <c r="DT2118" s="24"/>
      <c r="DU2118" s="24"/>
    </row>
    <row r="2119" spans="1:125" s="8" customFormat="1" ht="96" x14ac:dyDescent="0.2">
      <c r="A2119" s="77">
        <v>41439</v>
      </c>
      <c r="B2119" s="78" t="s">
        <v>3136</v>
      </c>
      <c r="C2119" s="75" t="s">
        <v>401</v>
      </c>
      <c r="D2119" s="75" t="s">
        <v>4391</v>
      </c>
      <c r="E2119" s="75" t="str">
        <f>VLOOKUP(B2119&amp;C2119,Divipola!$C$2:$F$1138,4,FALSE)</f>
        <v>44420</v>
      </c>
      <c r="F2119" s="87">
        <v>1</v>
      </c>
      <c r="G2119" s="87"/>
      <c r="H2119" s="87"/>
      <c r="I2119" s="87"/>
      <c r="J2119" s="87"/>
      <c r="K2119" s="87"/>
      <c r="L2119" s="87"/>
      <c r="M2119" s="87"/>
      <c r="N2119" s="87"/>
      <c r="O2119" s="87"/>
      <c r="P2119" s="87"/>
      <c r="Q2119" s="87"/>
      <c r="R2119" s="87"/>
      <c r="S2119" s="87"/>
      <c r="T2119" s="87"/>
      <c r="U2119" s="88"/>
      <c r="V2119" s="89"/>
      <c r="W2119" s="96">
        <v>0</v>
      </c>
      <c r="X2119" s="71">
        <f>CU2119</f>
        <v>0</v>
      </c>
      <c r="Y2119" s="71">
        <f>CY2119</f>
        <v>0</v>
      </c>
      <c r="Z2119" s="71">
        <f>DA2119+DC2119+DE2119</f>
        <v>0</v>
      </c>
      <c r="AA2119" s="71">
        <f>CW2119</f>
        <v>0</v>
      </c>
      <c r="AB2119" s="71"/>
      <c r="AC2119" s="71">
        <v>0</v>
      </c>
      <c r="AD2119" s="71">
        <f>W2119+X2119+Y2119+Z2119+AA2119+AB2119+AC2119</f>
        <v>0</v>
      </c>
      <c r="AE2119" s="72">
        <v>0</v>
      </c>
      <c r="AF2119" s="5"/>
      <c r="AG2119" s="6"/>
      <c r="AH2119" s="27" t="s">
        <v>3392</v>
      </c>
      <c r="AI2119" s="44" t="s">
        <v>3393</v>
      </c>
      <c r="AJ2119" s="26"/>
      <c r="AK2119" s="5"/>
      <c r="AL2119" s="82" t="s">
        <v>4970</v>
      </c>
      <c r="AM2119" s="76"/>
      <c r="AN2119" s="76"/>
      <c r="AO2119" s="76"/>
      <c r="AP2119" s="76"/>
      <c r="AQ2119" s="76"/>
      <c r="AR2119" s="76"/>
      <c r="AS2119" s="76"/>
      <c r="AT2119" s="76"/>
      <c r="AU2119" s="76"/>
      <c r="AV2119" s="76"/>
      <c r="AW2119" s="76"/>
      <c r="AX2119" s="76">
        <f>+AW2119*600000</f>
        <v>0</v>
      </c>
      <c r="AY2119" s="76"/>
      <c r="AZ2119" s="76">
        <f>+AY2119*70000</f>
        <v>0</v>
      </c>
      <c r="BA2119" s="76"/>
      <c r="BB2119" s="76"/>
      <c r="BC2119" s="76"/>
      <c r="BD2119" s="76">
        <f>+BC2119*30000</f>
        <v>0</v>
      </c>
      <c r="BE2119" s="76"/>
      <c r="BF2119" s="76"/>
      <c r="BG2119" s="76"/>
      <c r="BH2119" s="76"/>
      <c r="BI2119" s="76"/>
      <c r="BJ2119" s="76"/>
      <c r="BK2119" s="76"/>
      <c r="BL2119" s="76">
        <f>+BK2119*31500</f>
        <v>0</v>
      </c>
      <c r="BM2119" s="76"/>
      <c r="BN2119" s="76"/>
      <c r="BO2119" s="76"/>
      <c r="BP2119" s="76"/>
      <c r="BQ2119" s="76"/>
      <c r="BR2119" s="76"/>
      <c r="BS2119" s="76"/>
      <c r="BT2119" s="76"/>
      <c r="BU2119" s="76"/>
      <c r="BV2119" s="76"/>
      <c r="BW2119" s="76"/>
      <c r="BX2119" s="76"/>
      <c r="BY2119" s="76"/>
      <c r="BZ2119" s="76"/>
      <c r="CA2119" s="76"/>
      <c r="CB2119" s="76"/>
      <c r="CC2119" s="76"/>
      <c r="CD2119" s="76"/>
      <c r="CE2119" s="76"/>
      <c r="CF2119" s="76">
        <f>+CE2119*28000</f>
        <v>0</v>
      </c>
      <c r="CG2119" s="76"/>
      <c r="CH2119" s="76">
        <f>+CG2119*22500</f>
        <v>0</v>
      </c>
      <c r="CI2119" s="76"/>
      <c r="CJ2119" s="76">
        <f>+CI2119*26000</f>
        <v>0</v>
      </c>
      <c r="CK2119" s="76"/>
      <c r="CL2119" s="76"/>
      <c r="CM2119" s="76"/>
      <c r="CN2119" s="76">
        <f>+CM2119*22000</f>
        <v>0</v>
      </c>
      <c r="CO2119" s="76"/>
      <c r="CP2119" s="76">
        <f>+CO2119*46000</f>
        <v>0</v>
      </c>
      <c r="CQ2119" s="76"/>
      <c r="CR2119" s="76">
        <f>+CQ2119*49000</f>
        <v>0</v>
      </c>
      <c r="CS2119" s="76"/>
      <c r="CT2119" s="76"/>
      <c r="CU2119" s="56">
        <f>AN2119+AP2119+AR2119+AT2119+AV2119+AX2119+AZ2119+BB2119+BD2119+BF2119+BH2119+BJ2119+BL2119+BN2119+BP2119+BR2119+BT2119+BV2119+BX2119+BZ2119+CB2119+CD2119+CF2119+CH2119+CJ2119+CL2119+CN2119+CP2119+CR2119+CT2119</f>
        <v>0</v>
      </c>
      <c r="CV2119" s="76"/>
      <c r="CW2119" s="76">
        <f>+CV2119*1100</f>
        <v>0</v>
      </c>
      <c r="CX2119" s="76"/>
      <c r="CY2119" s="76">
        <f>+CX2119*106250</f>
        <v>0</v>
      </c>
      <c r="CZ2119" s="76"/>
      <c r="DA2119" s="76">
        <f>+CZ2119*34500</f>
        <v>0</v>
      </c>
      <c r="DB2119" s="76"/>
      <c r="DC2119" s="76">
        <f>+DB2119*25000</f>
        <v>0</v>
      </c>
      <c r="DD2119" s="219"/>
      <c r="DE2119" s="219"/>
      <c r="DF2119" s="166"/>
      <c r="DG2119" s="116"/>
      <c r="DH2119" s="117"/>
      <c r="DI2119" s="24"/>
      <c r="DJ2119" s="24"/>
      <c r="DK2119" s="24"/>
      <c r="DL2119" s="24"/>
      <c r="DM2119" s="24"/>
      <c r="DN2119" s="24"/>
      <c r="DO2119" s="24"/>
      <c r="DP2119" s="24"/>
      <c r="DQ2119" s="24"/>
      <c r="DR2119" s="24"/>
      <c r="DS2119" s="24"/>
      <c r="DT2119" s="24"/>
      <c r="DU2119" s="24"/>
    </row>
    <row r="2120" spans="1:125" s="8" customFormat="1" ht="228" x14ac:dyDescent="0.2">
      <c r="A2120" s="77">
        <v>41439</v>
      </c>
      <c r="B2120" s="78" t="s">
        <v>2847</v>
      </c>
      <c r="C2120" s="75" t="s">
        <v>1729</v>
      </c>
      <c r="D2120" s="75" t="s">
        <v>2882</v>
      </c>
      <c r="E2120" s="75" t="str">
        <f>VLOOKUP(B2120&amp;C2120,Divipola!$C$2:$F$1138,4,FALSE)</f>
        <v>68418</v>
      </c>
      <c r="F2120" s="87"/>
      <c r="G2120" s="87"/>
      <c r="H2120" s="87"/>
      <c r="I2120" s="87">
        <v>1500</v>
      </c>
      <c r="J2120" s="87">
        <v>300</v>
      </c>
      <c r="K2120" s="87"/>
      <c r="L2120" s="87">
        <v>300</v>
      </c>
      <c r="M2120" s="87"/>
      <c r="N2120" s="87"/>
      <c r="O2120" s="87"/>
      <c r="P2120" s="87"/>
      <c r="Q2120" s="87"/>
      <c r="R2120" s="87"/>
      <c r="S2120" s="87">
        <v>1</v>
      </c>
      <c r="T2120" s="87"/>
      <c r="U2120" s="88"/>
      <c r="V2120" s="89">
        <v>16</v>
      </c>
      <c r="W2120" s="96">
        <v>0</v>
      </c>
      <c r="X2120" s="71">
        <f>CU2120</f>
        <v>95998120</v>
      </c>
      <c r="Y2120" s="71">
        <f>CY2120</f>
        <v>31875000</v>
      </c>
      <c r="Z2120" s="71">
        <f>DA2120+DC2120+DE2120</f>
        <v>33196880</v>
      </c>
      <c r="AA2120" s="71">
        <f>CW2120</f>
        <v>0</v>
      </c>
      <c r="AB2120" s="71"/>
      <c r="AC2120" s="71">
        <v>0</v>
      </c>
      <c r="AD2120" s="71">
        <f>W2120+X2120+Y2120+Z2120+AA2120+AB2120+AC2120</f>
        <v>161070000</v>
      </c>
      <c r="AE2120" s="72">
        <v>0</v>
      </c>
      <c r="AF2120" s="5"/>
      <c r="AG2120" s="6"/>
      <c r="AH2120" s="27" t="s">
        <v>3390</v>
      </c>
      <c r="AI2120" s="44" t="s">
        <v>3391</v>
      </c>
      <c r="AJ2120" s="26"/>
      <c r="AK2120" s="5"/>
      <c r="AL2120" s="82" t="s">
        <v>4968</v>
      </c>
      <c r="AM2120" s="76"/>
      <c r="AN2120" s="76"/>
      <c r="AO2120" s="76"/>
      <c r="AP2120" s="76"/>
      <c r="AQ2120" s="76"/>
      <c r="AR2120" s="76"/>
      <c r="AS2120" s="76"/>
      <c r="AT2120" s="76"/>
      <c r="AU2120" s="76"/>
      <c r="AV2120" s="76"/>
      <c r="AW2120" s="76"/>
      <c r="AX2120" s="76">
        <f>+AW2120*600000</f>
        <v>0</v>
      </c>
      <c r="AY2120" s="86">
        <v>1000</v>
      </c>
      <c r="AZ2120" s="86">
        <f>+AY2120*69999.04</f>
        <v>69999040</v>
      </c>
      <c r="BA2120" s="76"/>
      <c r="BB2120" s="76"/>
      <c r="BC2120" s="76"/>
      <c r="BD2120" s="76">
        <f>+BC2120*30000</f>
        <v>0</v>
      </c>
      <c r="BE2120" s="76"/>
      <c r="BF2120" s="76"/>
      <c r="BG2120" s="76"/>
      <c r="BH2120" s="76"/>
      <c r="BI2120" s="76"/>
      <c r="BJ2120" s="76"/>
      <c r="BK2120" s="76"/>
      <c r="BL2120" s="76">
        <f>+BK2120*31500</f>
        <v>0</v>
      </c>
      <c r="BM2120" s="76"/>
      <c r="BN2120" s="76"/>
      <c r="BO2120" s="76"/>
      <c r="BP2120" s="76"/>
      <c r="BQ2120" s="76"/>
      <c r="BR2120" s="76"/>
      <c r="BS2120" s="76"/>
      <c r="BT2120" s="76"/>
      <c r="BU2120" s="76"/>
      <c r="BV2120" s="76"/>
      <c r="BW2120" s="76"/>
      <c r="BX2120" s="76"/>
      <c r="BY2120" s="76"/>
      <c r="BZ2120" s="76"/>
      <c r="CA2120" s="76"/>
      <c r="CB2120" s="76"/>
      <c r="CC2120" s="76"/>
      <c r="CD2120" s="76"/>
      <c r="CE2120" s="76"/>
      <c r="CF2120" s="76">
        <f>+CE2120*28000</f>
        <v>0</v>
      </c>
      <c r="CG2120" s="76"/>
      <c r="CH2120" s="76">
        <f>+CG2120*22500</f>
        <v>0</v>
      </c>
      <c r="CI2120" s="86">
        <v>1000</v>
      </c>
      <c r="CJ2120" s="86">
        <f>+CI2120*25999.08</f>
        <v>25999080</v>
      </c>
      <c r="CK2120" s="76"/>
      <c r="CL2120" s="76"/>
      <c r="CM2120" s="76"/>
      <c r="CN2120" s="76">
        <f>+CM2120*22000</f>
        <v>0</v>
      </c>
      <c r="CO2120" s="76"/>
      <c r="CP2120" s="76">
        <f>+CO2120*46000</f>
        <v>0</v>
      </c>
      <c r="CQ2120" s="76"/>
      <c r="CR2120" s="76">
        <f>+CQ2120*49000</f>
        <v>0</v>
      </c>
      <c r="CS2120" s="76"/>
      <c r="CT2120" s="76"/>
      <c r="CU2120" s="56">
        <f>AN2120+AP2120+AR2120+AT2120+AV2120+AX2120+AZ2120+BB2120+BD2120+BF2120+BH2120+BJ2120+BL2120+BN2120+BP2120+BR2120+BT2120+BV2120+BX2120+BZ2120+CB2120+CD2120+CF2120+CH2120+CJ2120+CL2120+CN2120+CP2120+CR2120+CT2120</f>
        <v>95998120</v>
      </c>
      <c r="CV2120" s="76"/>
      <c r="CW2120" s="76">
        <f>+CV2120*1100</f>
        <v>0</v>
      </c>
      <c r="CX2120" s="86">
        <v>300</v>
      </c>
      <c r="CY2120" s="86">
        <f>+CX2120*106250</f>
        <v>31875000</v>
      </c>
      <c r="CZ2120" s="76"/>
      <c r="DA2120" s="76">
        <f>+CZ2120*34500</f>
        <v>0</v>
      </c>
      <c r="DB2120" s="86">
        <v>1000</v>
      </c>
      <c r="DC2120" s="86">
        <f>+DB2120*31999.76+6000*199.52</f>
        <v>33196880</v>
      </c>
      <c r="DD2120" s="219"/>
      <c r="DE2120" s="219"/>
      <c r="DF2120" s="166"/>
      <c r="DG2120" s="134" t="s">
        <v>6469</v>
      </c>
      <c r="DH2120" s="117"/>
      <c r="DI2120" s="24"/>
      <c r="DJ2120" s="24"/>
      <c r="DK2120" s="24"/>
      <c r="DL2120" s="24"/>
      <c r="DM2120" s="24"/>
      <c r="DN2120" s="24"/>
      <c r="DO2120" s="24"/>
      <c r="DP2120" s="24"/>
      <c r="DQ2120" s="24"/>
      <c r="DR2120" s="24"/>
      <c r="DS2120" s="24"/>
      <c r="DT2120" s="24"/>
      <c r="DU2120" s="24"/>
    </row>
    <row r="2121" spans="1:125" s="8" customFormat="1" ht="84" x14ac:dyDescent="0.2">
      <c r="A2121" s="353">
        <v>41440</v>
      </c>
      <c r="B2121" s="225" t="s">
        <v>2777</v>
      </c>
      <c r="C2121" s="227" t="s">
        <v>1500</v>
      </c>
      <c r="D2121" s="354" t="s">
        <v>3088</v>
      </c>
      <c r="E2121" s="75" t="str">
        <f>VLOOKUP(B2121&amp;C2121,Divipola!$C$2:$F$1138,4,FALSE)</f>
        <v>13458</v>
      </c>
      <c r="F2121" s="87">
        <v>1</v>
      </c>
      <c r="G2121" s="87">
        <v>4</v>
      </c>
      <c r="H2121" s="87"/>
      <c r="I2121" s="87">
        <v>30</v>
      </c>
      <c r="J2121" s="87">
        <v>6</v>
      </c>
      <c r="K2121" s="87">
        <v>6</v>
      </c>
      <c r="L2121" s="87"/>
      <c r="M2121" s="87"/>
      <c r="N2121" s="87"/>
      <c r="O2121" s="87"/>
      <c r="P2121" s="87"/>
      <c r="Q2121" s="87"/>
      <c r="R2121" s="87"/>
      <c r="S2121" s="87"/>
      <c r="T2121" s="87"/>
      <c r="U2121" s="88"/>
      <c r="V2121" s="89"/>
      <c r="W2121" s="96">
        <v>0</v>
      </c>
      <c r="X2121" s="71">
        <f>CU2121</f>
        <v>0</v>
      </c>
      <c r="Y2121" s="71">
        <f>CY2121</f>
        <v>0</v>
      </c>
      <c r="Z2121" s="71">
        <f>DA2121+DC2121+DE2121</f>
        <v>0</v>
      </c>
      <c r="AA2121" s="71">
        <f>CW2121</f>
        <v>0</v>
      </c>
      <c r="AB2121" s="71"/>
      <c r="AC2121" s="71">
        <v>0</v>
      </c>
      <c r="AD2121" s="71">
        <f>W2121+X2121+Y2121+Z2121+AA2121+AB2121+AC2121</f>
        <v>0</v>
      </c>
      <c r="AE2121" s="72">
        <v>0</v>
      </c>
      <c r="AF2121" s="5"/>
      <c r="AG2121" s="6"/>
      <c r="AH2121" s="27" t="s">
        <v>3392</v>
      </c>
      <c r="AI2121" s="44" t="s">
        <v>3393</v>
      </c>
      <c r="AJ2121" s="26"/>
      <c r="AK2121" s="5"/>
      <c r="AL2121" s="82" t="s">
        <v>4959</v>
      </c>
      <c r="AM2121" s="76"/>
      <c r="AN2121" s="76"/>
      <c r="AO2121" s="76"/>
      <c r="AP2121" s="76"/>
      <c r="AQ2121" s="76"/>
      <c r="AR2121" s="76"/>
      <c r="AS2121" s="76"/>
      <c r="AT2121" s="76"/>
      <c r="AU2121" s="76"/>
      <c r="AV2121" s="76"/>
      <c r="AW2121" s="76"/>
      <c r="AX2121" s="76">
        <f>+AW2121*600000</f>
        <v>0</v>
      </c>
      <c r="AY2121" s="76"/>
      <c r="AZ2121" s="76">
        <f>+AY2121*70000</f>
        <v>0</v>
      </c>
      <c r="BA2121" s="76"/>
      <c r="BB2121" s="76"/>
      <c r="BC2121" s="76"/>
      <c r="BD2121" s="76">
        <f>+BC2121*30000</f>
        <v>0</v>
      </c>
      <c r="BE2121" s="76"/>
      <c r="BF2121" s="76"/>
      <c r="BG2121" s="76"/>
      <c r="BH2121" s="76"/>
      <c r="BI2121" s="76"/>
      <c r="BJ2121" s="76"/>
      <c r="BK2121" s="76"/>
      <c r="BL2121" s="76">
        <f>+BK2121*31500</f>
        <v>0</v>
      </c>
      <c r="BM2121" s="76"/>
      <c r="BN2121" s="76"/>
      <c r="BO2121" s="76"/>
      <c r="BP2121" s="76"/>
      <c r="BQ2121" s="76"/>
      <c r="BR2121" s="76"/>
      <c r="BS2121" s="76"/>
      <c r="BT2121" s="76"/>
      <c r="BU2121" s="76"/>
      <c r="BV2121" s="76"/>
      <c r="BW2121" s="76"/>
      <c r="BX2121" s="76"/>
      <c r="BY2121" s="76"/>
      <c r="BZ2121" s="76"/>
      <c r="CA2121" s="76"/>
      <c r="CB2121" s="76"/>
      <c r="CC2121" s="76"/>
      <c r="CD2121" s="76"/>
      <c r="CE2121" s="76"/>
      <c r="CF2121" s="76">
        <f>+CE2121*28000</f>
        <v>0</v>
      </c>
      <c r="CG2121" s="76"/>
      <c r="CH2121" s="76">
        <f>+CG2121*22500</f>
        <v>0</v>
      </c>
      <c r="CI2121" s="76"/>
      <c r="CJ2121" s="76">
        <f>+CI2121*26000</f>
        <v>0</v>
      </c>
      <c r="CK2121" s="76"/>
      <c r="CL2121" s="76"/>
      <c r="CM2121" s="76"/>
      <c r="CN2121" s="76">
        <f>+CM2121*22000</f>
        <v>0</v>
      </c>
      <c r="CO2121" s="76"/>
      <c r="CP2121" s="76">
        <f>+CO2121*46000</f>
        <v>0</v>
      </c>
      <c r="CQ2121" s="76"/>
      <c r="CR2121" s="76">
        <f>+CQ2121*49000</f>
        <v>0</v>
      </c>
      <c r="CS2121" s="76"/>
      <c r="CT2121" s="76"/>
      <c r="CU2121" s="56">
        <f>AN2121+AP2121+AR2121+AT2121+AV2121+AX2121+AZ2121+BB2121+BD2121+BF2121+BH2121+BJ2121+BL2121+BN2121+BP2121+BR2121+BT2121+BV2121+BX2121+BZ2121+CB2121+CD2121+CF2121+CH2121+CJ2121+CL2121+CN2121+CP2121+CR2121+CT2121</f>
        <v>0</v>
      </c>
      <c r="CV2121" s="76"/>
      <c r="CW2121" s="76">
        <f>+CV2121*1100</f>
        <v>0</v>
      </c>
      <c r="CX2121" s="76"/>
      <c r="CY2121" s="76">
        <f>+CX2121*106250</f>
        <v>0</v>
      </c>
      <c r="CZ2121" s="76"/>
      <c r="DA2121" s="76">
        <f>+CZ2121*34500</f>
        <v>0</v>
      </c>
      <c r="DB2121" s="76"/>
      <c r="DC2121" s="76">
        <f>+DB2121*25000</f>
        <v>0</v>
      </c>
      <c r="DD2121" s="219"/>
      <c r="DE2121" s="219"/>
      <c r="DF2121" s="166"/>
      <c r="DG2121" s="116"/>
      <c r="DH2121" s="117"/>
      <c r="DI2121" s="24"/>
      <c r="DJ2121" s="24"/>
      <c r="DK2121" s="24"/>
      <c r="DL2121" s="24"/>
      <c r="DM2121" s="24"/>
      <c r="DN2121" s="24"/>
      <c r="DO2121" s="24"/>
      <c r="DP2121" s="24"/>
      <c r="DQ2121" s="24"/>
      <c r="DR2121" s="24"/>
      <c r="DS2121" s="24"/>
      <c r="DT2121" s="24"/>
      <c r="DU2121" s="24"/>
    </row>
    <row r="2122" spans="1:125" s="8" customFormat="1" ht="36" x14ac:dyDescent="0.2">
      <c r="A2122" s="77">
        <v>41440</v>
      </c>
      <c r="B2122" s="225" t="s">
        <v>2196</v>
      </c>
      <c r="C2122" s="227" t="s">
        <v>764</v>
      </c>
      <c r="D2122" s="227" t="s">
        <v>2882</v>
      </c>
      <c r="E2122" s="75" t="str">
        <f>VLOOKUP(B2122&amp;C2122,Divipola!$C$2:$F$1138,4,FALSE)</f>
        <v>17541</v>
      </c>
      <c r="F2122" s="87"/>
      <c r="G2122" s="87"/>
      <c r="H2122" s="87"/>
      <c r="I2122" s="87"/>
      <c r="J2122" s="87"/>
      <c r="K2122" s="87"/>
      <c r="L2122" s="87"/>
      <c r="M2122" s="87"/>
      <c r="N2122" s="87"/>
      <c r="O2122" s="87"/>
      <c r="P2122" s="87"/>
      <c r="Q2122" s="87"/>
      <c r="R2122" s="87"/>
      <c r="S2122" s="87">
        <v>1</v>
      </c>
      <c r="T2122" s="87"/>
      <c r="U2122" s="88"/>
      <c r="V2122" s="89"/>
      <c r="W2122" s="96">
        <v>0</v>
      </c>
      <c r="X2122" s="71">
        <f>CU2122</f>
        <v>0</v>
      </c>
      <c r="Y2122" s="71">
        <f>CY2122</f>
        <v>0</v>
      </c>
      <c r="Z2122" s="71">
        <f>DA2122+DC2122+DE2122</f>
        <v>0</v>
      </c>
      <c r="AA2122" s="71">
        <f>CW2122</f>
        <v>0</v>
      </c>
      <c r="AB2122" s="71"/>
      <c r="AC2122" s="71">
        <v>0</v>
      </c>
      <c r="AD2122" s="71">
        <f>W2122+X2122+Y2122+Z2122+AA2122+AB2122+AC2122</f>
        <v>0</v>
      </c>
      <c r="AE2122" s="72">
        <v>0</v>
      </c>
      <c r="AF2122" s="5"/>
      <c r="AG2122" s="6"/>
      <c r="AH2122" s="27" t="s">
        <v>3392</v>
      </c>
      <c r="AI2122" s="44" t="s">
        <v>3393</v>
      </c>
      <c r="AJ2122" s="26"/>
      <c r="AK2122" s="5"/>
      <c r="AL2122" s="82" t="s">
        <v>4958</v>
      </c>
      <c r="AM2122" s="76"/>
      <c r="AN2122" s="76"/>
      <c r="AO2122" s="76"/>
      <c r="AP2122" s="76"/>
      <c r="AQ2122" s="76"/>
      <c r="AR2122" s="76"/>
      <c r="AS2122" s="76"/>
      <c r="AT2122" s="76"/>
      <c r="AU2122" s="76"/>
      <c r="AV2122" s="76"/>
      <c r="AW2122" s="76"/>
      <c r="AX2122" s="76">
        <f>+AW2122*600000</f>
        <v>0</v>
      </c>
      <c r="AY2122" s="76"/>
      <c r="AZ2122" s="76">
        <f>+AY2122*70000</f>
        <v>0</v>
      </c>
      <c r="BA2122" s="76"/>
      <c r="BB2122" s="76"/>
      <c r="BC2122" s="76"/>
      <c r="BD2122" s="76">
        <f>+BC2122*30000</f>
        <v>0</v>
      </c>
      <c r="BE2122" s="76"/>
      <c r="BF2122" s="76"/>
      <c r="BG2122" s="76"/>
      <c r="BH2122" s="76"/>
      <c r="BI2122" s="76"/>
      <c r="BJ2122" s="76"/>
      <c r="BK2122" s="76"/>
      <c r="BL2122" s="76">
        <f>+BK2122*31500</f>
        <v>0</v>
      </c>
      <c r="BM2122" s="76"/>
      <c r="BN2122" s="76"/>
      <c r="BO2122" s="76"/>
      <c r="BP2122" s="76"/>
      <c r="BQ2122" s="76"/>
      <c r="BR2122" s="76"/>
      <c r="BS2122" s="76"/>
      <c r="BT2122" s="76"/>
      <c r="BU2122" s="76"/>
      <c r="BV2122" s="76"/>
      <c r="BW2122" s="76"/>
      <c r="BX2122" s="76"/>
      <c r="BY2122" s="76"/>
      <c r="BZ2122" s="76"/>
      <c r="CA2122" s="76"/>
      <c r="CB2122" s="76"/>
      <c r="CC2122" s="76"/>
      <c r="CD2122" s="76"/>
      <c r="CE2122" s="76"/>
      <c r="CF2122" s="76">
        <f>+CE2122*28000</f>
        <v>0</v>
      </c>
      <c r="CG2122" s="76"/>
      <c r="CH2122" s="76">
        <f>+CG2122*22500</f>
        <v>0</v>
      </c>
      <c r="CI2122" s="76"/>
      <c r="CJ2122" s="76">
        <f>+CI2122*26000</f>
        <v>0</v>
      </c>
      <c r="CK2122" s="76"/>
      <c r="CL2122" s="76"/>
      <c r="CM2122" s="76"/>
      <c r="CN2122" s="76">
        <f>+CM2122*22000</f>
        <v>0</v>
      </c>
      <c r="CO2122" s="76"/>
      <c r="CP2122" s="76">
        <f>+CO2122*46000</f>
        <v>0</v>
      </c>
      <c r="CQ2122" s="76"/>
      <c r="CR2122" s="76">
        <f>+CQ2122*49000</f>
        <v>0</v>
      </c>
      <c r="CS2122" s="76"/>
      <c r="CT2122" s="76"/>
      <c r="CU2122" s="56">
        <f>AN2122+AP2122+AR2122+AT2122+AV2122+AX2122+AZ2122+BB2122+BD2122+BF2122+BH2122+BJ2122+BL2122+BN2122+BP2122+BR2122+BT2122+BV2122+BX2122+BZ2122+CB2122+CD2122+CF2122+CH2122+CJ2122+CL2122+CN2122+CP2122+CR2122+CT2122</f>
        <v>0</v>
      </c>
      <c r="CV2122" s="76"/>
      <c r="CW2122" s="76">
        <f>+CV2122*1100</f>
        <v>0</v>
      </c>
      <c r="CX2122" s="76"/>
      <c r="CY2122" s="76">
        <f>+CX2122*106250</f>
        <v>0</v>
      </c>
      <c r="CZ2122" s="76"/>
      <c r="DA2122" s="76">
        <f>+CZ2122*34500</f>
        <v>0</v>
      </c>
      <c r="DB2122" s="76"/>
      <c r="DC2122" s="76">
        <f>+DB2122*25000</f>
        <v>0</v>
      </c>
      <c r="DD2122" s="219"/>
      <c r="DE2122" s="219"/>
      <c r="DF2122" s="166"/>
      <c r="DG2122" s="116"/>
      <c r="DH2122" s="117"/>
      <c r="DI2122" s="24"/>
      <c r="DJ2122" s="24"/>
      <c r="DK2122" s="24"/>
      <c r="DL2122" s="24"/>
      <c r="DM2122" s="24"/>
      <c r="DN2122" s="24"/>
      <c r="DO2122" s="24"/>
      <c r="DP2122" s="24"/>
      <c r="DQ2122" s="24"/>
      <c r="DR2122" s="24"/>
      <c r="DS2122" s="24"/>
      <c r="DT2122" s="24"/>
      <c r="DU2122" s="24"/>
    </row>
    <row r="2123" spans="1:125" s="8" customFormat="1" ht="72" x14ac:dyDescent="0.2">
      <c r="A2123" s="226">
        <v>41440</v>
      </c>
      <c r="B2123" s="225" t="s">
        <v>2847</v>
      </c>
      <c r="C2123" s="227" t="s">
        <v>2673</v>
      </c>
      <c r="D2123" s="227" t="s">
        <v>2859</v>
      </c>
      <c r="E2123" s="75" t="str">
        <f>VLOOKUP(B2123&amp;C2123,Divipola!$C$2:$F$1138,4,FALSE)</f>
        <v>68001</v>
      </c>
      <c r="F2123" s="87"/>
      <c r="G2123" s="87"/>
      <c r="H2123" s="87"/>
      <c r="I2123" s="87"/>
      <c r="J2123" s="87"/>
      <c r="K2123" s="87"/>
      <c r="L2123" s="87"/>
      <c r="M2123" s="87"/>
      <c r="N2123" s="87"/>
      <c r="O2123" s="87"/>
      <c r="P2123" s="87"/>
      <c r="Q2123" s="87"/>
      <c r="R2123" s="87"/>
      <c r="S2123" s="87"/>
      <c r="T2123" s="87"/>
      <c r="U2123" s="88"/>
      <c r="V2123" s="89"/>
      <c r="W2123" s="96">
        <v>0</v>
      </c>
      <c r="X2123" s="71">
        <f>CU2123</f>
        <v>0</v>
      </c>
      <c r="Y2123" s="71">
        <f>CY2123</f>
        <v>0</v>
      </c>
      <c r="Z2123" s="71">
        <f>DA2123+DC2123+DE2123</f>
        <v>0</v>
      </c>
      <c r="AA2123" s="71">
        <f>CW2123</f>
        <v>0</v>
      </c>
      <c r="AB2123" s="71"/>
      <c r="AC2123" s="71">
        <v>0</v>
      </c>
      <c r="AD2123" s="71">
        <f>W2123+X2123+Y2123+Z2123+AA2123+AB2123+AC2123</f>
        <v>0</v>
      </c>
      <c r="AE2123" s="72">
        <v>0</v>
      </c>
      <c r="AF2123" s="5"/>
      <c r="AG2123" s="6"/>
      <c r="AH2123" s="27" t="s">
        <v>3392</v>
      </c>
      <c r="AI2123" s="44" t="s">
        <v>3393</v>
      </c>
      <c r="AJ2123" s="26"/>
      <c r="AK2123" s="5"/>
      <c r="AL2123" s="82" t="s">
        <v>4957</v>
      </c>
      <c r="AM2123" s="76"/>
      <c r="AN2123" s="76"/>
      <c r="AO2123" s="76"/>
      <c r="AP2123" s="76"/>
      <c r="AQ2123" s="76"/>
      <c r="AR2123" s="76"/>
      <c r="AS2123" s="76"/>
      <c r="AT2123" s="76"/>
      <c r="AU2123" s="76"/>
      <c r="AV2123" s="76"/>
      <c r="AW2123" s="76"/>
      <c r="AX2123" s="76">
        <f>+AW2123*600000</f>
        <v>0</v>
      </c>
      <c r="AY2123" s="76"/>
      <c r="AZ2123" s="76">
        <f>+AY2123*70000</f>
        <v>0</v>
      </c>
      <c r="BA2123" s="76"/>
      <c r="BB2123" s="76"/>
      <c r="BC2123" s="76"/>
      <c r="BD2123" s="76">
        <f>+BC2123*30000</f>
        <v>0</v>
      </c>
      <c r="BE2123" s="76"/>
      <c r="BF2123" s="76"/>
      <c r="BG2123" s="76"/>
      <c r="BH2123" s="76"/>
      <c r="BI2123" s="76"/>
      <c r="BJ2123" s="76"/>
      <c r="BK2123" s="76"/>
      <c r="BL2123" s="76">
        <f>+BK2123*31500</f>
        <v>0</v>
      </c>
      <c r="BM2123" s="76"/>
      <c r="BN2123" s="76"/>
      <c r="BO2123" s="76"/>
      <c r="BP2123" s="76"/>
      <c r="BQ2123" s="76"/>
      <c r="BR2123" s="76"/>
      <c r="BS2123" s="76"/>
      <c r="BT2123" s="76"/>
      <c r="BU2123" s="76"/>
      <c r="BV2123" s="76"/>
      <c r="BW2123" s="76"/>
      <c r="BX2123" s="76"/>
      <c r="BY2123" s="76"/>
      <c r="BZ2123" s="76"/>
      <c r="CA2123" s="76"/>
      <c r="CB2123" s="76"/>
      <c r="CC2123" s="76"/>
      <c r="CD2123" s="76"/>
      <c r="CE2123" s="76"/>
      <c r="CF2123" s="76">
        <f>+CE2123*28000</f>
        <v>0</v>
      </c>
      <c r="CG2123" s="76"/>
      <c r="CH2123" s="76">
        <f>+CG2123*22500</f>
        <v>0</v>
      </c>
      <c r="CI2123" s="76"/>
      <c r="CJ2123" s="76">
        <f>+CI2123*26000</f>
        <v>0</v>
      </c>
      <c r="CK2123" s="76"/>
      <c r="CL2123" s="76"/>
      <c r="CM2123" s="76"/>
      <c r="CN2123" s="76">
        <f>+CM2123*22000</f>
        <v>0</v>
      </c>
      <c r="CO2123" s="76"/>
      <c r="CP2123" s="76">
        <f>+CO2123*46000</f>
        <v>0</v>
      </c>
      <c r="CQ2123" s="76"/>
      <c r="CR2123" s="76">
        <f>+CQ2123*49000</f>
        <v>0</v>
      </c>
      <c r="CS2123" s="76"/>
      <c r="CT2123" s="76"/>
      <c r="CU2123" s="56">
        <f>AN2123+AP2123+AR2123+AT2123+AV2123+AX2123+AZ2123+BB2123+BD2123+BF2123+BH2123+BJ2123+BL2123+BN2123+BP2123+BR2123+BT2123+BV2123+BX2123+BZ2123+CB2123+CD2123+CF2123+CH2123+CJ2123+CL2123+CN2123+CP2123+CR2123+CT2123</f>
        <v>0</v>
      </c>
      <c r="CV2123" s="76"/>
      <c r="CW2123" s="76">
        <f>+CV2123*1100</f>
        <v>0</v>
      </c>
      <c r="CX2123" s="76"/>
      <c r="CY2123" s="76">
        <f>+CX2123*106250</f>
        <v>0</v>
      </c>
      <c r="CZ2123" s="76"/>
      <c r="DA2123" s="76">
        <f>+CZ2123*34500</f>
        <v>0</v>
      </c>
      <c r="DB2123" s="76"/>
      <c r="DC2123" s="76">
        <f>+DB2123*25000</f>
        <v>0</v>
      </c>
      <c r="DD2123" s="219"/>
      <c r="DE2123" s="219"/>
      <c r="DF2123" s="166"/>
      <c r="DG2123" s="116"/>
      <c r="DH2123" s="117"/>
      <c r="DI2123" s="24"/>
      <c r="DJ2123" s="24"/>
      <c r="DK2123" s="24"/>
      <c r="DL2123" s="24"/>
      <c r="DM2123" s="24"/>
      <c r="DN2123" s="24"/>
      <c r="DO2123" s="24"/>
      <c r="DP2123" s="24"/>
      <c r="DQ2123" s="24"/>
      <c r="DR2123" s="24"/>
      <c r="DS2123" s="24"/>
      <c r="DT2123" s="24"/>
      <c r="DU2123" s="24"/>
    </row>
    <row r="2124" spans="1:125" s="8" customFormat="1" ht="96" x14ac:dyDescent="0.2">
      <c r="A2124" s="226">
        <v>41440</v>
      </c>
      <c r="B2124" s="225" t="s">
        <v>1326</v>
      </c>
      <c r="C2124" s="227" t="s">
        <v>1339</v>
      </c>
      <c r="D2124" s="227" t="s">
        <v>3051</v>
      </c>
      <c r="E2124" s="75" t="str">
        <f>VLOOKUP(B2124&amp;C2124,Divipola!$C$2:$F$1138,4,FALSE)</f>
        <v>70713</v>
      </c>
      <c r="F2124" s="87"/>
      <c r="G2124" s="87"/>
      <c r="H2124" s="87"/>
      <c r="I2124" s="87">
        <v>300</v>
      </c>
      <c r="J2124" s="87">
        <v>53</v>
      </c>
      <c r="K2124" s="87"/>
      <c r="L2124" s="87">
        <v>53</v>
      </c>
      <c r="M2124" s="87"/>
      <c r="N2124" s="87"/>
      <c r="O2124" s="87"/>
      <c r="P2124" s="87"/>
      <c r="Q2124" s="87"/>
      <c r="R2124" s="87"/>
      <c r="S2124" s="87"/>
      <c r="T2124" s="87"/>
      <c r="U2124" s="88"/>
      <c r="V2124" s="89"/>
      <c r="W2124" s="96">
        <v>0</v>
      </c>
      <c r="X2124" s="71">
        <f>CU2124</f>
        <v>0</v>
      </c>
      <c r="Y2124" s="71">
        <f>CY2124</f>
        <v>0</v>
      </c>
      <c r="Z2124" s="71">
        <f>DA2124+DC2124+DE2124</f>
        <v>0</v>
      </c>
      <c r="AA2124" s="71">
        <f>CW2124</f>
        <v>0</v>
      </c>
      <c r="AB2124" s="71"/>
      <c r="AC2124" s="71">
        <v>0</v>
      </c>
      <c r="AD2124" s="71">
        <f>W2124+X2124+Y2124+Z2124+AA2124+AB2124+AC2124</f>
        <v>0</v>
      </c>
      <c r="AE2124" s="72">
        <v>0</v>
      </c>
      <c r="AF2124" s="5"/>
      <c r="AG2124" s="6"/>
      <c r="AH2124" s="27" t="s">
        <v>3392</v>
      </c>
      <c r="AI2124" s="44" t="s">
        <v>3393</v>
      </c>
      <c r="AJ2124" s="26"/>
      <c r="AK2124" s="5"/>
      <c r="AL2124" s="82" t="s">
        <v>4955</v>
      </c>
      <c r="AM2124" s="76"/>
      <c r="AN2124" s="76"/>
      <c r="AO2124" s="76"/>
      <c r="AP2124" s="76"/>
      <c r="AQ2124" s="76"/>
      <c r="AR2124" s="76"/>
      <c r="AS2124" s="76"/>
      <c r="AT2124" s="76"/>
      <c r="AU2124" s="76"/>
      <c r="AV2124" s="76"/>
      <c r="AW2124" s="76"/>
      <c r="AX2124" s="76">
        <f>+AW2124*600000</f>
        <v>0</v>
      </c>
      <c r="AY2124" s="76"/>
      <c r="AZ2124" s="76">
        <f>+AY2124*70000</f>
        <v>0</v>
      </c>
      <c r="BA2124" s="76"/>
      <c r="BB2124" s="76"/>
      <c r="BC2124" s="76"/>
      <c r="BD2124" s="76">
        <f>+BC2124*30000</f>
        <v>0</v>
      </c>
      <c r="BE2124" s="76"/>
      <c r="BF2124" s="76"/>
      <c r="BG2124" s="76"/>
      <c r="BH2124" s="76"/>
      <c r="BI2124" s="76"/>
      <c r="BJ2124" s="76"/>
      <c r="BK2124" s="76"/>
      <c r="BL2124" s="76">
        <f>+BK2124*31500</f>
        <v>0</v>
      </c>
      <c r="BM2124" s="76"/>
      <c r="BN2124" s="76"/>
      <c r="BO2124" s="76"/>
      <c r="BP2124" s="76"/>
      <c r="BQ2124" s="76"/>
      <c r="BR2124" s="76"/>
      <c r="BS2124" s="76"/>
      <c r="BT2124" s="76"/>
      <c r="BU2124" s="76"/>
      <c r="BV2124" s="76"/>
      <c r="BW2124" s="76"/>
      <c r="BX2124" s="76"/>
      <c r="BY2124" s="76"/>
      <c r="BZ2124" s="76"/>
      <c r="CA2124" s="76"/>
      <c r="CB2124" s="76"/>
      <c r="CC2124" s="76"/>
      <c r="CD2124" s="76"/>
      <c r="CE2124" s="76"/>
      <c r="CF2124" s="76">
        <f>+CE2124*28000</f>
        <v>0</v>
      </c>
      <c r="CG2124" s="76"/>
      <c r="CH2124" s="76">
        <f>+CG2124*22500</f>
        <v>0</v>
      </c>
      <c r="CI2124" s="76"/>
      <c r="CJ2124" s="76">
        <f>+CI2124*26000</f>
        <v>0</v>
      </c>
      <c r="CK2124" s="76"/>
      <c r="CL2124" s="76"/>
      <c r="CM2124" s="76"/>
      <c r="CN2124" s="76">
        <f>+CM2124*22000</f>
        <v>0</v>
      </c>
      <c r="CO2124" s="76"/>
      <c r="CP2124" s="76">
        <f>+CO2124*46000</f>
        <v>0</v>
      </c>
      <c r="CQ2124" s="76"/>
      <c r="CR2124" s="76">
        <f>+CQ2124*49000</f>
        <v>0</v>
      </c>
      <c r="CS2124" s="76"/>
      <c r="CT2124" s="76"/>
      <c r="CU2124" s="56">
        <f>AN2124+AP2124+AR2124+AT2124+AV2124+AX2124+AZ2124+BB2124+BD2124+BF2124+BH2124+BJ2124+BL2124+BN2124+BP2124+BR2124+BT2124+BV2124+BX2124+BZ2124+CB2124+CD2124+CF2124+CH2124+CJ2124+CL2124+CN2124+CP2124+CR2124+CT2124</f>
        <v>0</v>
      </c>
      <c r="CV2124" s="76"/>
      <c r="CW2124" s="76">
        <f>+CV2124*1100</f>
        <v>0</v>
      </c>
      <c r="CX2124" s="76"/>
      <c r="CY2124" s="76">
        <f>+CX2124*106250</f>
        <v>0</v>
      </c>
      <c r="CZ2124" s="76"/>
      <c r="DA2124" s="76">
        <f>+CZ2124*34500</f>
        <v>0</v>
      </c>
      <c r="DB2124" s="76"/>
      <c r="DC2124" s="76">
        <f>+DB2124*25000</f>
        <v>0</v>
      </c>
      <c r="DD2124" s="219"/>
      <c r="DE2124" s="219"/>
      <c r="DF2124" s="166"/>
      <c r="DG2124" s="116"/>
      <c r="DH2124" s="117"/>
      <c r="DI2124" s="24"/>
      <c r="DJ2124" s="24"/>
      <c r="DK2124" s="24"/>
      <c r="DL2124" s="24"/>
      <c r="DM2124" s="24"/>
      <c r="DN2124" s="24"/>
      <c r="DO2124" s="24"/>
      <c r="DP2124" s="24"/>
      <c r="DQ2124" s="24"/>
      <c r="DR2124" s="24"/>
      <c r="DS2124" s="24"/>
      <c r="DT2124" s="24"/>
      <c r="DU2124" s="24"/>
    </row>
    <row r="2125" spans="1:125" s="8" customFormat="1" ht="132" x14ac:dyDescent="0.2">
      <c r="A2125" s="226">
        <v>41440</v>
      </c>
      <c r="B2125" s="225" t="s">
        <v>1326</v>
      </c>
      <c r="C2125" s="227" t="s">
        <v>1852</v>
      </c>
      <c r="D2125" s="354" t="s">
        <v>3051</v>
      </c>
      <c r="E2125" s="75" t="str">
        <f>VLOOKUP(B2125&amp;C2125,Divipola!$C$2:$F$1138,4,FALSE)</f>
        <v>70823</v>
      </c>
      <c r="F2125" s="87"/>
      <c r="G2125" s="87"/>
      <c r="H2125" s="87"/>
      <c r="I2125" s="87">
        <v>1000</v>
      </c>
      <c r="J2125" s="87">
        <v>200</v>
      </c>
      <c r="K2125" s="87"/>
      <c r="L2125" s="87">
        <v>150</v>
      </c>
      <c r="M2125" s="87"/>
      <c r="N2125" s="87"/>
      <c r="O2125" s="87"/>
      <c r="P2125" s="87"/>
      <c r="Q2125" s="87"/>
      <c r="R2125" s="87"/>
      <c r="S2125" s="87">
        <v>1</v>
      </c>
      <c r="T2125" s="87"/>
      <c r="U2125" s="88"/>
      <c r="V2125" s="89"/>
      <c r="W2125" s="96">
        <v>0</v>
      </c>
      <c r="X2125" s="71">
        <f>CU2125</f>
        <v>0</v>
      </c>
      <c r="Y2125" s="71">
        <f>CY2125</f>
        <v>0</v>
      </c>
      <c r="Z2125" s="71">
        <f>DA2125+DC2125+DE2125</f>
        <v>0</v>
      </c>
      <c r="AA2125" s="71">
        <f>CW2125</f>
        <v>0</v>
      </c>
      <c r="AB2125" s="71"/>
      <c r="AC2125" s="71">
        <v>0</v>
      </c>
      <c r="AD2125" s="71">
        <f>W2125+X2125+Y2125+Z2125+AA2125+AB2125+AC2125</f>
        <v>0</v>
      </c>
      <c r="AE2125" s="72">
        <v>0</v>
      </c>
      <c r="AF2125" s="5"/>
      <c r="AG2125" s="6"/>
      <c r="AH2125" s="27" t="s">
        <v>3392</v>
      </c>
      <c r="AI2125" s="44" t="s">
        <v>3393</v>
      </c>
      <c r="AJ2125" s="26"/>
      <c r="AK2125" s="5"/>
      <c r="AL2125" s="82" t="s">
        <v>4956</v>
      </c>
      <c r="AM2125" s="76"/>
      <c r="AN2125" s="76"/>
      <c r="AO2125" s="76"/>
      <c r="AP2125" s="76"/>
      <c r="AQ2125" s="76"/>
      <c r="AR2125" s="76"/>
      <c r="AS2125" s="76"/>
      <c r="AT2125" s="76"/>
      <c r="AU2125" s="76"/>
      <c r="AV2125" s="76"/>
      <c r="AW2125" s="76"/>
      <c r="AX2125" s="76">
        <f>+AW2125*600000</f>
        <v>0</v>
      </c>
      <c r="AY2125" s="76"/>
      <c r="AZ2125" s="76">
        <f>+AY2125*70000</f>
        <v>0</v>
      </c>
      <c r="BA2125" s="76"/>
      <c r="BB2125" s="76"/>
      <c r="BC2125" s="76"/>
      <c r="BD2125" s="76">
        <f>+BC2125*30000</f>
        <v>0</v>
      </c>
      <c r="BE2125" s="76"/>
      <c r="BF2125" s="76"/>
      <c r="BG2125" s="76"/>
      <c r="BH2125" s="76"/>
      <c r="BI2125" s="76"/>
      <c r="BJ2125" s="76"/>
      <c r="BK2125" s="76"/>
      <c r="BL2125" s="76">
        <f>+BK2125*31500</f>
        <v>0</v>
      </c>
      <c r="BM2125" s="76"/>
      <c r="BN2125" s="76"/>
      <c r="BO2125" s="76"/>
      <c r="BP2125" s="76"/>
      <c r="BQ2125" s="76"/>
      <c r="BR2125" s="76"/>
      <c r="BS2125" s="76"/>
      <c r="BT2125" s="76"/>
      <c r="BU2125" s="76"/>
      <c r="BV2125" s="76"/>
      <c r="BW2125" s="76"/>
      <c r="BX2125" s="76"/>
      <c r="BY2125" s="76"/>
      <c r="BZ2125" s="76"/>
      <c r="CA2125" s="76"/>
      <c r="CB2125" s="76"/>
      <c r="CC2125" s="76"/>
      <c r="CD2125" s="76"/>
      <c r="CE2125" s="76"/>
      <c r="CF2125" s="76">
        <f>+CE2125*28000</f>
        <v>0</v>
      </c>
      <c r="CG2125" s="76"/>
      <c r="CH2125" s="76">
        <f>+CG2125*22500</f>
        <v>0</v>
      </c>
      <c r="CI2125" s="76"/>
      <c r="CJ2125" s="76">
        <f>+CI2125*26000</f>
        <v>0</v>
      </c>
      <c r="CK2125" s="76"/>
      <c r="CL2125" s="76"/>
      <c r="CM2125" s="76"/>
      <c r="CN2125" s="76">
        <f>+CM2125*22000</f>
        <v>0</v>
      </c>
      <c r="CO2125" s="76"/>
      <c r="CP2125" s="76">
        <f>+CO2125*46000</f>
        <v>0</v>
      </c>
      <c r="CQ2125" s="76"/>
      <c r="CR2125" s="76">
        <f>+CQ2125*49000</f>
        <v>0</v>
      </c>
      <c r="CS2125" s="76"/>
      <c r="CT2125" s="76"/>
      <c r="CU2125" s="56">
        <f>AN2125+AP2125+AR2125+AT2125+AV2125+AX2125+AZ2125+BB2125+BD2125+BF2125+BH2125+BJ2125+BL2125+BN2125+BP2125+BR2125+BT2125+BV2125+BX2125+BZ2125+CB2125+CD2125+CF2125+CH2125+CJ2125+CL2125+CN2125+CP2125+CR2125+CT2125</f>
        <v>0</v>
      </c>
      <c r="CV2125" s="76"/>
      <c r="CW2125" s="76">
        <f>+CV2125*1100</f>
        <v>0</v>
      </c>
      <c r="CX2125" s="76"/>
      <c r="CY2125" s="76">
        <f>+CX2125*106250</f>
        <v>0</v>
      </c>
      <c r="CZ2125" s="76"/>
      <c r="DA2125" s="76">
        <f>+CZ2125*34500</f>
        <v>0</v>
      </c>
      <c r="DB2125" s="76"/>
      <c r="DC2125" s="76">
        <f>+DB2125*25000</f>
        <v>0</v>
      </c>
      <c r="DD2125" s="219"/>
      <c r="DE2125" s="219"/>
      <c r="DF2125" s="166"/>
      <c r="DG2125" s="116"/>
      <c r="DH2125" s="117"/>
      <c r="DI2125" s="24"/>
      <c r="DJ2125" s="24"/>
      <c r="DK2125" s="24"/>
      <c r="DL2125" s="24"/>
      <c r="DM2125" s="24"/>
      <c r="DN2125" s="24"/>
      <c r="DO2125" s="24"/>
      <c r="DP2125" s="24"/>
      <c r="DQ2125" s="24"/>
      <c r="DR2125" s="24"/>
      <c r="DS2125" s="24"/>
      <c r="DT2125" s="24"/>
      <c r="DU2125" s="24"/>
    </row>
    <row r="2126" spans="1:125" s="8" customFormat="1" ht="60" x14ac:dyDescent="0.2">
      <c r="A2126" s="226">
        <v>41441</v>
      </c>
      <c r="B2126" s="225" t="s">
        <v>529</v>
      </c>
      <c r="C2126" s="227" t="s">
        <v>529</v>
      </c>
      <c r="D2126" s="354" t="s">
        <v>2859</v>
      </c>
      <c r="E2126" s="75" t="str">
        <f>VLOOKUP(B2126&amp;C2126,Divipola!$C$2:$F$1138,4,FALSE)</f>
        <v>11001</v>
      </c>
      <c r="F2126" s="87"/>
      <c r="G2126" s="87">
        <v>1</v>
      </c>
      <c r="H2126" s="87"/>
      <c r="I2126" s="87">
        <v>1</v>
      </c>
      <c r="J2126" s="87"/>
      <c r="K2126" s="87"/>
      <c r="L2126" s="87"/>
      <c r="M2126" s="87"/>
      <c r="N2126" s="87"/>
      <c r="O2126" s="87"/>
      <c r="P2126" s="87"/>
      <c r="Q2126" s="87"/>
      <c r="R2126" s="87"/>
      <c r="S2126" s="87"/>
      <c r="T2126" s="87"/>
      <c r="U2126" s="88"/>
      <c r="V2126" s="89"/>
      <c r="W2126" s="96">
        <v>0</v>
      </c>
      <c r="X2126" s="71">
        <f>CU2126</f>
        <v>0</v>
      </c>
      <c r="Y2126" s="71">
        <f>CY2126</f>
        <v>0</v>
      </c>
      <c r="Z2126" s="71">
        <f>DA2126+DC2126+DE2126</f>
        <v>0</v>
      </c>
      <c r="AA2126" s="71">
        <f>CW2126</f>
        <v>0</v>
      </c>
      <c r="AB2126" s="71"/>
      <c r="AC2126" s="71">
        <v>0</v>
      </c>
      <c r="AD2126" s="71">
        <f>W2126+X2126+Y2126+Z2126+AA2126+AB2126+AC2126</f>
        <v>0</v>
      </c>
      <c r="AE2126" s="72">
        <v>0</v>
      </c>
      <c r="AF2126" s="5"/>
      <c r="AG2126" s="6"/>
      <c r="AH2126" s="27" t="s">
        <v>3392</v>
      </c>
      <c r="AI2126" s="44" t="s">
        <v>3393</v>
      </c>
      <c r="AJ2126" s="26"/>
      <c r="AK2126" s="5"/>
      <c r="AL2126" s="82" t="s">
        <v>4962</v>
      </c>
      <c r="AM2126" s="76"/>
      <c r="AN2126" s="76"/>
      <c r="AO2126" s="76"/>
      <c r="AP2126" s="76"/>
      <c r="AQ2126" s="76"/>
      <c r="AR2126" s="76"/>
      <c r="AS2126" s="76"/>
      <c r="AT2126" s="76"/>
      <c r="AU2126" s="76"/>
      <c r="AV2126" s="76"/>
      <c r="AW2126" s="76"/>
      <c r="AX2126" s="76">
        <f>+AW2126*600000</f>
        <v>0</v>
      </c>
      <c r="AY2126" s="76"/>
      <c r="AZ2126" s="76">
        <f>+AY2126*70000</f>
        <v>0</v>
      </c>
      <c r="BA2126" s="76"/>
      <c r="BB2126" s="76"/>
      <c r="BC2126" s="76"/>
      <c r="BD2126" s="76">
        <f>+BC2126*30000</f>
        <v>0</v>
      </c>
      <c r="BE2126" s="76"/>
      <c r="BF2126" s="76"/>
      <c r="BG2126" s="76"/>
      <c r="BH2126" s="76"/>
      <c r="BI2126" s="76"/>
      <c r="BJ2126" s="76"/>
      <c r="BK2126" s="76"/>
      <c r="BL2126" s="76">
        <f>+BK2126*31500</f>
        <v>0</v>
      </c>
      <c r="BM2126" s="76"/>
      <c r="BN2126" s="76"/>
      <c r="BO2126" s="76"/>
      <c r="BP2126" s="76"/>
      <c r="BQ2126" s="76"/>
      <c r="BR2126" s="76"/>
      <c r="BS2126" s="76"/>
      <c r="BT2126" s="76"/>
      <c r="BU2126" s="76"/>
      <c r="BV2126" s="76"/>
      <c r="BW2126" s="76"/>
      <c r="BX2126" s="76"/>
      <c r="BY2126" s="76"/>
      <c r="BZ2126" s="76"/>
      <c r="CA2126" s="76"/>
      <c r="CB2126" s="76"/>
      <c r="CC2126" s="76"/>
      <c r="CD2126" s="76"/>
      <c r="CE2126" s="76"/>
      <c r="CF2126" s="76">
        <f>+CE2126*28000</f>
        <v>0</v>
      </c>
      <c r="CG2126" s="76"/>
      <c r="CH2126" s="76">
        <f>+CG2126*22500</f>
        <v>0</v>
      </c>
      <c r="CI2126" s="76"/>
      <c r="CJ2126" s="76">
        <f>+CI2126*26000</f>
        <v>0</v>
      </c>
      <c r="CK2126" s="76"/>
      <c r="CL2126" s="76"/>
      <c r="CM2126" s="76"/>
      <c r="CN2126" s="76">
        <f>+CM2126*22000</f>
        <v>0</v>
      </c>
      <c r="CO2126" s="76"/>
      <c r="CP2126" s="76">
        <f>+CO2126*46000</f>
        <v>0</v>
      </c>
      <c r="CQ2126" s="76"/>
      <c r="CR2126" s="76">
        <f>+CQ2126*49000</f>
        <v>0</v>
      </c>
      <c r="CS2126" s="76"/>
      <c r="CT2126" s="76"/>
      <c r="CU2126" s="56">
        <f>AN2126+AP2126+AR2126+AT2126+AV2126+AX2126+AZ2126+BB2126+BD2126+BF2126+BH2126+BJ2126+BL2126+BN2126+BP2126+BR2126+BT2126+BV2126+BX2126+BZ2126+CB2126+CD2126+CF2126+CH2126+CJ2126+CL2126+CN2126+CP2126+CR2126+CT2126</f>
        <v>0</v>
      </c>
      <c r="CV2126" s="76"/>
      <c r="CW2126" s="76">
        <f>+CV2126*1100</f>
        <v>0</v>
      </c>
      <c r="CX2126" s="76"/>
      <c r="CY2126" s="76">
        <f>+CX2126*106250</f>
        <v>0</v>
      </c>
      <c r="CZ2126" s="76"/>
      <c r="DA2126" s="76">
        <f>+CZ2126*34500</f>
        <v>0</v>
      </c>
      <c r="DB2126" s="76"/>
      <c r="DC2126" s="76">
        <f>+DB2126*25000</f>
        <v>0</v>
      </c>
      <c r="DD2126" s="219"/>
      <c r="DE2126" s="219"/>
      <c r="DF2126" s="166"/>
      <c r="DG2126" s="116"/>
      <c r="DH2126" s="117"/>
      <c r="DI2126" s="24"/>
      <c r="DJ2126" s="24"/>
      <c r="DK2126" s="24"/>
      <c r="DL2126" s="24"/>
      <c r="DM2126" s="24"/>
      <c r="DN2126" s="24"/>
      <c r="DO2126" s="24"/>
      <c r="DP2126" s="24"/>
      <c r="DQ2126" s="24"/>
      <c r="DR2126" s="24"/>
      <c r="DS2126" s="24"/>
      <c r="DT2126" s="24"/>
      <c r="DU2126" s="24"/>
    </row>
    <row r="2127" spans="1:125" s="8" customFormat="1" ht="72" x14ac:dyDescent="0.2">
      <c r="A2127" s="353">
        <v>41441</v>
      </c>
      <c r="B2127" s="352" t="s">
        <v>2196</v>
      </c>
      <c r="C2127" s="354" t="s">
        <v>508</v>
      </c>
      <c r="D2127" s="354" t="s">
        <v>3088</v>
      </c>
      <c r="E2127" s="75" t="str">
        <f>VLOOKUP(B2127&amp;C2127,Divipola!$C$2:$F$1138,4,FALSE)</f>
        <v>17001</v>
      </c>
      <c r="F2127" s="87"/>
      <c r="G2127" s="87"/>
      <c r="H2127" s="87"/>
      <c r="I2127" s="87"/>
      <c r="J2127" s="87"/>
      <c r="K2127" s="87"/>
      <c r="L2127" s="87"/>
      <c r="M2127" s="87">
        <v>2</v>
      </c>
      <c r="N2127" s="87"/>
      <c r="O2127" s="87"/>
      <c r="P2127" s="87"/>
      <c r="Q2127" s="87"/>
      <c r="R2127" s="87"/>
      <c r="S2127" s="87"/>
      <c r="T2127" s="87"/>
      <c r="U2127" s="88"/>
      <c r="V2127" s="89"/>
      <c r="W2127" s="96">
        <v>0</v>
      </c>
      <c r="X2127" s="71">
        <f>CU2127</f>
        <v>0</v>
      </c>
      <c r="Y2127" s="71">
        <f>CY2127</f>
        <v>0</v>
      </c>
      <c r="Z2127" s="71">
        <f>DA2127+DC2127+DE2127</f>
        <v>0</v>
      </c>
      <c r="AA2127" s="71">
        <f>CW2127</f>
        <v>0</v>
      </c>
      <c r="AB2127" s="71"/>
      <c r="AC2127" s="71">
        <v>0</v>
      </c>
      <c r="AD2127" s="71">
        <f>W2127+X2127+Y2127+Z2127+AA2127+AB2127+AC2127</f>
        <v>0</v>
      </c>
      <c r="AE2127" s="72">
        <v>0</v>
      </c>
      <c r="AF2127" s="5"/>
      <c r="AG2127" s="6"/>
      <c r="AH2127" s="27" t="s">
        <v>3392</v>
      </c>
      <c r="AI2127" s="44" t="s">
        <v>3393</v>
      </c>
      <c r="AJ2127" s="26"/>
      <c r="AK2127" s="5"/>
      <c r="AL2127" s="82" t="s">
        <v>4960</v>
      </c>
      <c r="AM2127" s="76"/>
      <c r="AN2127" s="76"/>
      <c r="AO2127" s="76"/>
      <c r="AP2127" s="76"/>
      <c r="AQ2127" s="76"/>
      <c r="AR2127" s="76"/>
      <c r="AS2127" s="76"/>
      <c r="AT2127" s="76"/>
      <c r="AU2127" s="76"/>
      <c r="AV2127" s="76"/>
      <c r="AW2127" s="76"/>
      <c r="AX2127" s="76">
        <f>+AW2127*600000</f>
        <v>0</v>
      </c>
      <c r="AY2127" s="76"/>
      <c r="AZ2127" s="76">
        <f>+AY2127*70000</f>
        <v>0</v>
      </c>
      <c r="BA2127" s="76"/>
      <c r="BB2127" s="76"/>
      <c r="BC2127" s="76"/>
      <c r="BD2127" s="76">
        <f>+BC2127*30000</f>
        <v>0</v>
      </c>
      <c r="BE2127" s="76"/>
      <c r="BF2127" s="76"/>
      <c r="BG2127" s="76"/>
      <c r="BH2127" s="76"/>
      <c r="BI2127" s="76"/>
      <c r="BJ2127" s="76"/>
      <c r="BK2127" s="76"/>
      <c r="BL2127" s="76">
        <f>+BK2127*31500</f>
        <v>0</v>
      </c>
      <c r="BM2127" s="76"/>
      <c r="BN2127" s="76"/>
      <c r="BO2127" s="76"/>
      <c r="BP2127" s="76"/>
      <c r="BQ2127" s="76"/>
      <c r="BR2127" s="76"/>
      <c r="BS2127" s="76"/>
      <c r="BT2127" s="76"/>
      <c r="BU2127" s="76"/>
      <c r="BV2127" s="76"/>
      <c r="BW2127" s="76"/>
      <c r="BX2127" s="76"/>
      <c r="BY2127" s="76"/>
      <c r="BZ2127" s="76"/>
      <c r="CA2127" s="76"/>
      <c r="CB2127" s="76"/>
      <c r="CC2127" s="76"/>
      <c r="CD2127" s="76"/>
      <c r="CE2127" s="76"/>
      <c r="CF2127" s="76">
        <f>+CE2127*28000</f>
        <v>0</v>
      </c>
      <c r="CG2127" s="76"/>
      <c r="CH2127" s="76">
        <f>+CG2127*22500</f>
        <v>0</v>
      </c>
      <c r="CI2127" s="76"/>
      <c r="CJ2127" s="76">
        <f>+CI2127*26000</f>
        <v>0</v>
      </c>
      <c r="CK2127" s="76"/>
      <c r="CL2127" s="76"/>
      <c r="CM2127" s="76"/>
      <c r="CN2127" s="76">
        <f>+CM2127*22000</f>
        <v>0</v>
      </c>
      <c r="CO2127" s="76"/>
      <c r="CP2127" s="76">
        <f>+CO2127*46000</f>
        <v>0</v>
      </c>
      <c r="CQ2127" s="76"/>
      <c r="CR2127" s="76">
        <f>+CQ2127*49000</f>
        <v>0</v>
      </c>
      <c r="CS2127" s="76"/>
      <c r="CT2127" s="76"/>
      <c r="CU2127" s="56">
        <f>AN2127+AP2127+AR2127+AT2127+AV2127+AX2127+AZ2127+BB2127+BD2127+BF2127+BH2127+BJ2127+BL2127+BN2127+BP2127+BR2127+BT2127+BV2127+BX2127+BZ2127+CB2127+CD2127+CF2127+CH2127+CJ2127+CL2127+CN2127+CP2127+CR2127+CT2127</f>
        <v>0</v>
      </c>
      <c r="CV2127" s="76"/>
      <c r="CW2127" s="76">
        <f>+CV2127*1100</f>
        <v>0</v>
      </c>
      <c r="CX2127" s="76"/>
      <c r="CY2127" s="76">
        <f>+CX2127*106250</f>
        <v>0</v>
      </c>
      <c r="CZ2127" s="76"/>
      <c r="DA2127" s="76">
        <f>+CZ2127*34500</f>
        <v>0</v>
      </c>
      <c r="DB2127" s="76"/>
      <c r="DC2127" s="76">
        <f>+DB2127*25000</f>
        <v>0</v>
      </c>
      <c r="DD2127" s="219"/>
      <c r="DE2127" s="219"/>
      <c r="DF2127" s="166"/>
      <c r="DG2127" s="116"/>
      <c r="DH2127" s="117"/>
      <c r="DI2127" s="24"/>
      <c r="DJ2127" s="24"/>
      <c r="DK2127" s="24"/>
      <c r="DL2127" s="24"/>
      <c r="DM2127" s="24"/>
      <c r="DN2127" s="24"/>
      <c r="DO2127" s="24"/>
      <c r="DP2127" s="24"/>
      <c r="DQ2127" s="24"/>
      <c r="DR2127" s="24"/>
      <c r="DS2127" s="24"/>
      <c r="DT2127" s="24"/>
      <c r="DU2127" s="24"/>
    </row>
    <row r="2128" spans="1:125" s="8" customFormat="1" ht="192" x14ac:dyDescent="0.2">
      <c r="A2128" s="77">
        <v>41441</v>
      </c>
      <c r="B2128" s="78" t="s">
        <v>2196</v>
      </c>
      <c r="C2128" s="75" t="s">
        <v>2112</v>
      </c>
      <c r="D2128" s="75" t="s">
        <v>2882</v>
      </c>
      <c r="E2128" s="75" t="str">
        <f>VLOOKUP(B2128&amp;C2128,Divipola!$C$2:$F$1138,4,FALSE)</f>
        <v>17524</v>
      </c>
      <c r="F2128" s="87"/>
      <c r="G2128" s="87"/>
      <c r="H2128" s="87"/>
      <c r="I2128" s="87"/>
      <c r="J2128" s="87"/>
      <c r="K2128" s="87"/>
      <c r="L2128" s="87"/>
      <c r="M2128" s="87"/>
      <c r="N2128" s="87"/>
      <c r="O2128" s="87"/>
      <c r="P2128" s="87"/>
      <c r="Q2128" s="87"/>
      <c r="R2128" s="87"/>
      <c r="S2128" s="87"/>
      <c r="T2128" s="87"/>
      <c r="U2128" s="88"/>
      <c r="V2128" s="89"/>
      <c r="W2128" s="96">
        <v>0</v>
      </c>
      <c r="X2128" s="71">
        <f>CU2128</f>
        <v>0</v>
      </c>
      <c r="Y2128" s="71">
        <f>CY2128</f>
        <v>0</v>
      </c>
      <c r="Z2128" s="71">
        <f>DA2128+DC2128+DE2128</f>
        <v>0</v>
      </c>
      <c r="AA2128" s="71">
        <f>CW2128</f>
        <v>0</v>
      </c>
      <c r="AB2128" s="71"/>
      <c r="AC2128" s="71">
        <v>0</v>
      </c>
      <c r="AD2128" s="71">
        <f>W2128+X2128+Y2128+Z2128+AA2128+AB2128+AC2128</f>
        <v>0</v>
      </c>
      <c r="AE2128" s="72">
        <v>0</v>
      </c>
      <c r="AF2128" s="5"/>
      <c r="AG2128" s="6"/>
      <c r="AH2128" s="27" t="s">
        <v>3392</v>
      </c>
      <c r="AI2128" s="44" t="s">
        <v>3393</v>
      </c>
      <c r="AJ2128" s="26"/>
      <c r="AK2128" s="5"/>
      <c r="AL2128" s="82" t="s">
        <v>4965</v>
      </c>
      <c r="AM2128" s="76"/>
      <c r="AN2128" s="76"/>
      <c r="AO2128" s="76"/>
      <c r="AP2128" s="76"/>
      <c r="AQ2128" s="76"/>
      <c r="AR2128" s="76"/>
      <c r="AS2128" s="76"/>
      <c r="AT2128" s="76"/>
      <c r="AU2128" s="76"/>
      <c r="AV2128" s="76"/>
      <c r="AW2128" s="76"/>
      <c r="AX2128" s="76">
        <f>+AW2128*600000</f>
        <v>0</v>
      </c>
      <c r="AY2128" s="76"/>
      <c r="AZ2128" s="76">
        <f>+AY2128*70000</f>
        <v>0</v>
      </c>
      <c r="BA2128" s="76"/>
      <c r="BB2128" s="76"/>
      <c r="BC2128" s="76"/>
      <c r="BD2128" s="76">
        <f>+BC2128*30000</f>
        <v>0</v>
      </c>
      <c r="BE2128" s="76"/>
      <c r="BF2128" s="76"/>
      <c r="BG2128" s="76"/>
      <c r="BH2128" s="76"/>
      <c r="BI2128" s="76"/>
      <c r="BJ2128" s="76"/>
      <c r="BK2128" s="76"/>
      <c r="BL2128" s="76">
        <f>+BK2128*31500</f>
        <v>0</v>
      </c>
      <c r="BM2128" s="76"/>
      <c r="BN2128" s="76"/>
      <c r="BO2128" s="76"/>
      <c r="BP2128" s="76"/>
      <c r="BQ2128" s="76"/>
      <c r="BR2128" s="76"/>
      <c r="BS2128" s="76"/>
      <c r="BT2128" s="76"/>
      <c r="BU2128" s="76"/>
      <c r="BV2128" s="76"/>
      <c r="BW2128" s="76"/>
      <c r="BX2128" s="76"/>
      <c r="BY2128" s="76"/>
      <c r="BZ2128" s="76"/>
      <c r="CA2128" s="76"/>
      <c r="CB2128" s="76"/>
      <c r="CC2128" s="76"/>
      <c r="CD2128" s="76"/>
      <c r="CE2128" s="76"/>
      <c r="CF2128" s="76">
        <f>+CE2128*28000</f>
        <v>0</v>
      </c>
      <c r="CG2128" s="76"/>
      <c r="CH2128" s="76">
        <f>+CG2128*22500</f>
        <v>0</v>
      </c>
      <c r="CI2128" s="76"/>
      <c r="CJ2128" s="76">
        <f>+CI2128*26000</f>
        <v>0</v>
      </c>
      <c r="CK2128" s="76"/>
      <c r="CL2128" s="76"/>
      <c r="CM2128" s="76"/>
      <c r="CN2128" s="76">
        <f>+CM2128*22000</f>
        <v>0</v>
      </c>
      <c r="CO2128" s="76"/>
      <c r="CP2128" s="76">
        <f>+CO2128*46000</f>
        <v>0</v>
      </c>
      <c r="CQ2128" s="76"/>
      <c r="CR2128" s="76">
        <f>+CQ2128*49000</f>
        <v>0</v>
      </c>
      <c r="CS2128" s="76"/>
      <c r="CT2128" s="76"/>
      <c r="CU2128" s="56">
        <f>AN2128+AP2128+AR2128+AT2128+AV2128+AX2128+AZ2128+BB2128+BD2128+BF2128+BH2128+BJ2128+BL2128+BN2128+BP2128+BR2128+BT2128+BV2128+BX2128+BZ2128+CB2128+CD2128+CF2128+CH2128+CJ2128+CL2128+CN2128+CP2128+CR2128+CT2128</f>
        <v>0</v>
      </c>
      <c r="CV2128" s="76"/>
      <c r="CW2128" s="76">
        <f>+CV2128*1100</f>
        <v>0</v>
      </c>
      <c r="CX2128" s="76"/>
      <c r="CY2128" s="76">
        <f>+CX2128*106250</f>
        <v>0</v>
      </c>
      <c r="CZ2128" s="76"/>
      <c r="DA2128" s="76">
        <f>+CZ2128*34500</f>
        <v>0</v>
      </c>
      <c r="DB2128" s="76"/>
      <c r="DC2128" s="76">
        <f>+DB2128*25000</f>
        <v>0</v>
      </c>
      <c r="DD2128" s="219"/>
      <c r="DE2128" s="219"/>
      <c r="DF2128" s="166"/>
      <c r="DG2128" s="116"/>
      <c r="DH2128" s="117"/>
      <c r="DI2128" s="24"/>
      <c r="DJ2128" s="24"/>
      <c r="DK2128" s="24"/>
      <c r="DL2128" s="24"/>
      <c r="DM2128" s="24"/>
      <c r="DN2128" s="24"/>
      <c r="DO2128" s="24"/>
      <c r="DP2128" s="24"/>
      <c r="DQ2128" s="24"/>
      <c r="DR2128" s="24"/>
      <c r="DS2128" s="24"/>
      <c r="DT2128" s="24"/>
      <c r="DU2128" s="24"/>
    </row>
    <row r="2129" spans="1:125" s="8" customFormat="1" ht="60" x14ac:dyDescent="0.2">
      <c r="A2129" s="226">
        <v>41441</v>
      </c>
      <c r="B2129" s="225" t="s">
        <v>2852</v>
      </c>
      <c r="C2129" s="227" t="s">
        <v>1230</v>
      </c>
      <c r="D2129" s="354" t="s">
        <v>4391</v>
      </c>
      <c r="E2129" s="75" t="str">
        <f>VLOOKUP(B2129&amp;C2129,Divipola!$C$2:$F$1138,4,FALSE)</f>
        <v>27160</v>
      </c>
      <c r="F2129" s="87">
        <v>1</v>
      </c>
      <c r="G2129" s="87"/>
      <c r="H2129" s="87"/>
      <c r="I2129" s="87"/>
      <c r="J2129" s="87"/>
      <c r="K2129" s="87"/>
      <c r="L2129" s="87"/>
      <c r="M2129" s="87"/>
      <c r="N2129" s="87"/>
      <c r="O2129" s="87"/>
      <c r="P2129" s="87"/>
      <c r="Q2129" s="87"/>
      <c r="R2129" s="87"/>
      <c r="S2129" s="87"/>
      <c r="T2129" s="87"/>
      <c r="U2129" s="88"/>
      <c r="V2129" s="89"/>
      <c r="W2129" s="96">
        <v>0</v>
      </c>
      <c r="X2129" s="71">
        <f>CU2129</f>
        <v>0</v>
      </c>
      <c r="Y2129" s="71">
        <f>CY2129</f>
        <v>0</v>
      </c>
      <c r="Z2129" s="71">
        <f>DA2129+DC2129+DE2129</f>
        <v>0</v>
      </c>
      <c r="AA2129" s="71">
        <f>CW2129</f>
        <v>0</v>
      </c>
      <c r="AB2129" s="71"/>
      <c r="AC2129" s="71">
        <v>0</v>
      </c>
      <c r="AD2129" s="71">
        <f>W2129+X2129+Y2129+Z2129+AA2129+AB2129+AC2129</f>
        <v>0</v>
      </c>
      <c r="AE2129" s="72">
        <v>0</v>
      </c>
      <c r="AF2129" s="5"/>
      <c r="AG2129" s="6"/>
      <c r="AH2129" s="27" t="s">
        <v>3392</v>
      </c>
      <c r="AI2129" s="44" t="s">
        <v>3393</v>
      </c>
      <c r="AJ2129" s="26"/>
      <c r="AK2129" s="5"/>
      <c r="AL2129" s="82" t="s">
        <v>4972</v>
      </c>
      <c r="AM2129" s="76"/>
      <c r="AN2129" s="76"/>
      <c r="AO2129" s="76"/>
      <c r="AP2129" s="76"/>
      <c r="AQ2129" s="76"/>
      <c r="AR2129" s="76"/>
      <c r="AS2129" s="76"/>
      <c r="AT2129" s="76"/>
      <c r="AU2129" s="76"/>
      <c r="AV2129" s="76"/>
      <c r="AW2129" s="76"/>
      <c r="AX2129" s="76">
        <f>+AW2129*600000</f>
        <v>0</v>
      </c>
      <c r="AY2129" s="76"/>
      <c r="AZ2129" s="76">
        <f>+AY2129*70000</f>
        <v>0</v>
      </c>
      <c r="BA2129" s="76"/>
      <c r="BB2129" s="76"/>
      <c r="BC2129" s="76"/>
      <c r="BD2129" s="76">
        <f>+BC2129*30000</f>
        <v>0</v>
      </c>
      <c r="BE2129" s="76"/>
      <c r="BF2129" s="76"/>
      <c r="BG2129" s="76"/>
      <c r="BH2129" s="76"/>
      <c r="BI2129" s="76"/>
      <c r="BJ2129" s="76"/>
      <c r="BK2129" s="76"/>
      <c r="BL2129" s="76">
        <f>+BK2129*31500</f>
        <v>0</v>
      </c>
      <c r="BM2129" s="76"/>
      <c r="BN2129" s="76"/>
      <c r="BO2129" s="76"/>
      <c r="BP2129" s="76"/>
      <c r="BQ2129" s="76"/>
      <c r="BR2129" s="76"/>
      <c r="BS2129" s="76"/>
      <c r="BT2129" s="76"/>
      <c r="BU2129" s="76"/>
      <c r="BV2129" s="76"/>
      <c r="BW2129" s="76"/>
      <c r="BX2129" s="76"/>
      <c r="BY2129" s="76"/>
      <c r="BZ2129" s="76"/>
      <c r="CA2129" s="76"/>
      <c r="CB2129" s="76"/>
      <c r="CC2129" s="76"/>
      <c r="CD2129" s="76"/>
      <c r="CE2129" s="76"/>
      <c r="CF2129" s="76">
        <f>+CE2129*28000</f>
        <v>0</v>
      </c>
      <c r="CG2129" s="76"/>
      <c r="CH2129" s="76">
        <f>+CG2129*22500</f>
        <v>0</v>
      </c>
      <c r="CI2129" s="76"/>
      <c r="CJ2129" s="76">
        <f>+CI2129*26000</f>
        <v>0</v>
      </c>
      <c r="CK2129" s="76"/>
      <c r="CL2129" s="76"/>
      <c r="CM2129" s="76"/>
      <c r="CN2129" s="76">
        <f>+CM2129*22000</f>
        <v>0</v>
      </c>
      <c r="CO2129" s="76"/>
      <c r="CP2129" s="76">
        <f>+CO2129*46000</f>
        <v>0</v>
      </c>
      <c r="CQ2129" s="76"/>
      <c r="CR2129" s="76">
        <f>+CQ2129*49000</f>
        <v>0</v>
      </c>
      <c r="CS2129" s="76"/>
      <c r="CT2129" s="76"/>
      <c r="CU2129" s="56">
        <f>AN2129+AP2129+AR2129+AT2129+AV2129+AX2129+AZ2129+BB2129+BD2129+BF2129+BH2129+BJ2129+BL2129+BN2129+BP2129+BR2129+BT2129+BV2129+BX2129+BZ2129+CB2129+CD2129+CF2129+CH2129+CJ2129+CL2129+CN2129+CP2129+CR2129+CT2129</f>
        <v>0</v>
      </c>
      <c r="CV2129" s="76"/>
      <c r="CW2129" s="76">
        <f>+CV2129*1100</f>
        <v>0</v>
      </c>
      <c r="CX2129" s="76"/>
      <c r="CY2129" s="76">
        <f>+CX2129*106250</f>
        <v>0</v>
      </c>
      <c r="CZ2129" s="76"/>
      <c r="DA2129" s="76">
        <f>+CZ2129*34500</f>
        <v>0</v>
      </c>
      <c r="DB2129" s="76"/>
      <c r="DC2129" s="76">
        <f>+DB2129*25000</f>
        <v>0</v>
      </c>
      <c r="DD2129" s="219"/>
      <c r="DE2129" s="219"/>
      <c r="DF2129" s="166"/>
      <c r="DG2129" s="116"/>
      <c r="DH2129" s="117"/>
      <c r="DI2129" s="24"/>
      <c r="DJ2129" s="24"/>
      <c r="DK2129" s="24"/>
      <c r="DL2129" s="24"/>
      <c r="DM2129" s="24"/>
      <c r="DN2129" s="24"/>
      <c r="DO2129" s="24"/>
      <c r="DP2129" s="24"/>
      <c r="DQ2129" s="24"/>
      <c r="DR2129" s="24"/>
      <c r="DS2129" s="24"/>
      <c r="DT2129" s="24"/>
      <c r="DU2129" s="24"/>
    </row>
    <row r="2130" spans="1:125" s="8" customFormat="1" ht="132" x14ac:dyDescent="0.2">
      <c r="A2130" s="353">
        <v>41441</v>
      </c>
      <c r="B2130" s="225" t="s">
        <v>2661</v>
      </c>
      <c r="C2130" s="227" t="s">
        <v>1386</v>
      </c>
      <c r="D2130" s="227" t="s">
        <v>2849</v>
      </c>
      <c r="E2130" s="75" t="str">
        <f>VLOOKUP(B2130&amp;C2130,Divipola!$C$2:$F$1138,4,FALSE)</f>
        <v>41306</v>
      </c>
      <c r="F2130" s="87">
        <v>2</v>
      </c>
      <c r="G2130" s="87">
        <v>3</v>
      </c>
      <c r="H2130" s="87"/>
      <c r="I2130" s="87"/>
      <c r="J2130" s="87"/>
      <c r="K2130" s="87"/>
      <c r="L2130" s="87"/>
      <c r="M2130" s="87"/>
      <c r="N2130" s="87"/>
      <c r="O2130" s="87"/>
      <c r="P2130" s="87"/>
      <c r="Q2130" s="87"/>
      <c r="R2130" s="87"/>
      <c r="S2130" s="87"/>
      <c r="T2130" s="87"/>
      <c r="U2130" s="88"/>
      <c r="V2130" s="89"/>
      <c r="W2130" s="96">
        <v>0</v>
      </c>
      <c r="X2130" s="71">
        <f>CU2130</f>
        <v>0</v>
      </c>
      <c r="Y2130" s="71">
        <f>CY2130</f>
        <v>0</v>
      </c>
      <c r="Z2130" s="71">
        <f>DA2130+DC2130+DE2130</f>
        <v>0</v>
      </c>
      <c r="AA2130" s="71">
        <f>CW2130</f>
        <v>0</v>
      </c>
      <c r="AB2130" s="71"/>
      <c r="AC2130" s="71">
        <v>0</v>
      </c>
      <c r="AD2130" s="71">
        <f>W2130+X2130+Y2130+Z2130+AA2130+AB2130+AC2130</f>
        <v>0</v>
      </c>
      <c r="AE2130" s="72">
        <v>0</v>
      </c>
      <c r="AF2130" s="5"/>
      <c r="AG2130" s="6"/>
      <c r="AH2130" s="27" t="s">
        <v>3392</v>
      </c>
      <c r="AI2130" s="44" t="s">
        <v>3393</v>
      </c>
      <c r="AJ2130" s="26"/>
      <c r="AK2130" s="5"/>
      <c r="AL2130" s="82" t="s">
        <v>4966</v>
      </c>
      <c r="AM2130" s="76"/>
      <c r="AN2130" s="76"/>
      <c r="AO2130" s="76"/>
      <c r="AP2130" s="76"/>
      <c r="AQ2130" s="76"/>
      <c r="AR2130" s="76"/>
      <c r="AS2130" s="76"/>
      <c r="AT2130" s="76"/>
      <c r="AU2130" s="76"/>
      <c r="AV2130" s="76"/>
      <c r="AW2130" s="76"/>
      <c r="AX2130" s="76">
        <f>+AW2130*600000</f>
        <v>0</v>
      </c>
      <c r="AY2130" s="76"/>
      <c r="AZ2130" s="76">
        <f>+AY2130*70000</f>
        <v>0</v>
      </c>
      <c r="BA2130" s="76"/>
      <c r="BB2130" s="76"/>
      <c r="BC2130" s="76"/>
      <c r="BD2130" s="76">
        <f>+BC2130*30000</f>
        <v>0</v>
      </c>
      <c r="BE2130" s="76"/>
      <c r="BF2130" s="76"/>
      <c r="BG2130" s="76"/>
      <c r="BH2130" s="76"/>
      <c r="BI2130" s="76"/>
      <c r="BJ2130" s="76"/>
      <c r="BK2130" s="76"/>
      <c r="BL2130" s="76">
        <f>+BK2130*31500</f>
        <v>0</v>
      </c>
      <c r="BM2130" s="76"/>
      <c r="BN2130" s="76"/>
      <c r="BO2130" s="76"/>
      <c r="BP2130" s="76"/>
      <c r="BQ2130" s="76"/>
      <c r="BR2130" s="76"/>
      <c r="BS2130" s="76"/>
      <c r="BT2130" s="76"/>
      <c r="BU2130" s="76"/>
      <c r="BV2130" s="76"/>
      <c r="BW2130" s="76"/>
      <c r="BX2130" s="76"/>
      <c r="BY2130" s="76"/>
      <c r="BZ2130" s="76"/>
      <c r="CA2130" s="76"/>
      <c r="CB2130" s="76"/>
      <c r="CC2130" s="76"/>
      <c r="CD2130" s="76"/>
      <c r="CE2130" s="76"/>
      <c r="CF2130" s="76">
        <f>+CE2130*28000</f>
        <v>0</v>
      </c>
      <c r="CG2130" s="76"/>
      <c r="CH2130" s="76">
        <f>+CG2130*22500</f>
        <v>0</v>
      </c>
      <c r="CI2130" s="76"/>
      <c r="CJ2130" s="76">
        <f>+CI2130*26000</f>
        <v>0</v>
      </c>
      <c r="CK2130" s="76"/>
      <c r="CL2130" s="76"/>
      <c r="CM2130" s="76"/>
      <c r="CN2130" s="76">
        <f>+CM2130*22000</f>
        <v>0</v>
      </c>
      <c r="CO2130" s="76"/>
      <c r="CP2130" s="76">
        <f>+CO2130*46000</f>
        <v>0</v>
      </c>
      <c r="CQ2130" s="76"/>
      <c r="CR2130" s="76">
        <f>+CQ2130*49000</f>
        <v>0</v>
      </c>
      <c r="CS2130" s="76"/>
      <c r="CT2130" s="76"/>
      <c r="CU2130" s="56">
        <f>AN2130+AP2130+AR2130+AT2130+AV2130+AX2130+AZ2130+BB2130+BD2130+BF2130+BH2130+BJ2130+BL2130+BN2130+BP2130+BR2130+BT2130+BV2130+BX2130+BZ2130+CB2130+CD2130+CF2130+CH2130+CJ2130+CL2130+CN2130+CP2130+CR2130+CT2130</f>
        <v>0</v>
      </c>
      <c r="CV2130" s="76"/>
      <c r="CW2130" s="76">
        <f>+CV2130*1100</f>
        <v>0</v>
      </c>
      <c r="CX2130" s="76"/>
      <c r="CY2130" s="76">
        <f>+CX2130*106250</f>
        <v>0</v>
      </c>
      <c r="CZ2130" s="76"/>
      <c r="DA2130" s="76">
        <f>+CZ2130*34500</f>
        <v>0</v>
      </c>
      <c r="DB2130" s="76"/>
      <c r="DC2130" s="76">
        <f>+DB2130*25000</f>
        <v>0</v>
      </c>
      <c r="DD2130" s="219"/>
      <c r="DE2130" s="219"/>
      <c r="DF2130" s="166"/>
      <c r="DG2130" s="116"/>
      <c r="DH2130" s="117"/>
      <c r="DI2130" s="24"/>
      <c r="DJ2130" s="24"/>
      <c r="DK2130" s="24"/>
      <c r="DL2130" s="24"/>
      <c r="DM2130" s="24"/>
      <c r="DN2130" s="24"/>
      <c r="DO2130" s="24"/>
      <c r="DP2130" s="24"/>
      <c r="DQ2130" s="24"/>
      <c r="DR2130" s="24"/>
      <c r="DS2130" s="24"/>
      <c r="DT2130" s="24"/>
      <c r="DU2130" s="24"/>
    </row>
    <row r="2131" spans="1:125" s="8" customFormat="1" ht="60" x14ac:dyDescent="0.2">
      <c r="A2131" s="77">
        <v>41442</v>
      </c>
      <c r="B2131" s="352" t="s">
        <v>2894</v>
      </c>
      <c r="C2131" s="354" t="s">
        <v>2391</v>
      </c>
      <c r="D2131" s="354" t="s">
        <v>4391</v>
      </c>
      <c r="E2131" s="75" t="str">
        <f>VLOOKUP(B2131&amp;C2131,Divipola!$C$2:$F$1138,4,FALSE)</f>
        <v>05134</v>
      </c>
      <c r="F2131" s="87">
        <v>1</v>
      </c>
      <c r="G2131" s="87"/>
      <c r="H2131" s="87">
        <v>1</v>
      </c>
      <c r="I2131" s="87">
        <v>2</v>
      </c>
      <c r="J2131" s="87"/>
      <c r="K2131" s="87"/>
      <c r="L2131" s="87"/>
      <c r="M2131" s="87"/>
      <c r="N2131" s="87"/>
      <c r="O2131" s="87"/>
      <c r="P2131" s="87"/>
      <c r="Q2131" s="87"/>
      <c r="R2131" s="87"/>
      <c r="S2131" s="87"/>
      <c r="T2131" s="87"/>
      <c r="U2131" s="88"/>
      <c r="V2131" s="89"/>
      <c r="W2131" s="96">
        <v>0</v>
      </c>
      <c r="X2131" s="71">
        <f>CU2131</f>
        <v>0</v>
      </c>
      <c r="Y2131" s="71">
        <f>CY2131</f>
        <v>0</v>
      </c>
      <c r="Z2131" s="71">
        <f>DA2131+DC2131+DE2131</f>
        <v>0</v>
      </c>
      <c r="AA2131" s="71">
        <f>CW2131</f>
        <v>0</v>
      </c>
      <c r="AB2131" s="71"/>
      <c r="AC2131" s="71">
        <v>0</v>
      </c>
      <c r="AD2131" s="71">
        <f>W2131+X2131+Y2131+Z2131+AA2131+AB2131+AC2131</f>
        <v>0</v>
      </c>
      <c r="AE2131" s="72">
        <v>0</v>
      </c>
      <c r="AF2131" s="5"/>
      <c r="AG2131" s="6"/>
      <c r="AH2131" s="27" t="s">
        <v>3392</v>
      </c>
      <c r="AI2131" s="44" t="s">
        <v>3393</v>
      </c>
      <c r="AJ2131" s="26"/>
      <c r="AK2131" s="5"/>
      <c r="AL2131" s="82" t="s">
        <v>4976</v>
      </c>
      <c r="AM2131" s="76"/>
      <c r="AN2131" s="76"/>
      <c r="AO2131" s="76"/>
      <c r="AP2131" s="76"/>
      <c r="AQ2131" s="76"/>
      <c r="AR2131" s="76"/>
      <c r="AS2131" s="76"/>
      <c r="AT2131" s="76"/>
      <c r="AU2131" s="76"/>
      <c r="AV2131" s="76"/>
      <c r="AW2131" s="76"/>
      <c r="AX2131" s="76">
        <f>+AW2131*600000</f>
        <v>0</v>
      </c>
      <c r="AY2131" s="76"/>
      <c r="AZ2131" s="76">
        <f>+AY2131*70000</f>
        <v>0</v>
      </c>
      <c r="BA2131" s="76"/>
      <c r="BB2131" s="76"/>
      <c r="BC2131" s="76"/>
      <c r="BD2131" s="76">
        <f>+BC2131*30000</f>
        <v>0</v>
      </c>
      <c r="BE2131" s="76"/>
      <c r="BF2131" s="76"/>
      <c r="BG2131" s="76"/>
      <c r="BH2131" s="76"/>
      <c r="BI2131" s="76"/>
      <c r="BJ2131" s="76"/>
      <c r="BK2131" s="76"/>
      <c r="BL2131" s="76">
        <f>+BK2131*31500</f>
        <v>0</v>
      </c>
      <c r="BM2131" s="76"/>
      <c r="BN2131" s="76"/>
      <c r="BO2131" s="76"/>
      <c r="BP2131" s="76"/>
      <c r="BQ2131" s="76"/>
      <c r="BR2131" s="76"/>
      <c r="BS2131" s="76"/>
      <c r="BT2131" s="76"/>
      <c r="BU2131" s="76"/>
      <c r="BV2131" s="76"/>
      <c r="BW2131" s="76"/>
      <c r="BX2131" s="76"/>
      <c r="BY2131" s="76"/>
      <c r="BZ2131" s="76"/>
      <c r="CA2131" s="76"/>
      <c r="CB2131" s="76"/>
      <c r="CC2131" s="76"/>
      <c r="CD2131" s="76"/>
      <c r="CE2131" s="76"/>
      <c r="CF2131" s="76">
        <f>+CE2131*28000</f>
        <v>0</v>
      </c>
      <c r="CG2131" s="76"/>
      <c r="CH2131" s="76">
        <f>+CG2131*22500</f>
        <v>0</v>
      </c>
      <c r="CI2131" s="76"/>
      <c r="CJ2131" s="76">
        <f>+CI2131*26000</f>
        <v>0</v>
      </c>
      <c r="CK2131" s="76"/>
      <c r="CL2131" s="76"/>
      <c r="CM2131" s="76"/>
      <c r="CN2131" s="76">
        <f>+CM2131*22000</f>
        <v>0</v>
      </c>
      <c r="CO2131" s="76"/>
      <c r="CP2131" s="76">
        <f>+CO2131*46000</f>
        <v>0</v>
      </c>
      <c r="CQ2131" s="76"/>
      <c r="CR2131" s="76">
        <f>+CQ2131*49000</f>
        <v>0</v>
      </c>
      <c r="CS2131" s="76"/>
      <c r="CT2131" s="76"/>
      <c r="CU2131" s="56">
        <f>AN2131+AP2131+AR2131+AT2131+AV2131+AX2131+AZ2131+BB2131+BD2131+BF2131+BH2131+BJ2131+BL2131+BN2131+BP2131+BR2131+BT2131+BV2131+BX2131+BZ2131+CB2131+CD2131+CF2131+CH2131+CJ2131+CL2131+CN2131+CP2131+CR2131+CT2131</f>
        <v>0</v>
      </c>
      <c r="CV2131" s="76"/>
      <c r="CW2131" s="76">
        <f>+CV2131*1100</f>
        <v>0</v>
      </c>
      <c r="CX2131" s="76"/>
      <c r="CY2131" s="76">
        <f>+CX2131*106250</f>
        <v>0</v>
      </c>
      <c r="CZ2131" s="76"/>
      <c r="DA2131" s="76">
        <f>+CZ2131*34500</f>
        <v>0</v>
      </c>
      <c r="DB2131" s="76"/>
      <c r="DC2131" s="76">
        <f>+DB2131*25000</f>
        <v>0</v>
      </c>
      <c r="DD2131" s="219"/>
      <c r="DE2131" s="219"/>
      <c r="DF2131" s="166"/>
      <c r="DG2131" s="116"/>
      <c r="DH2131" s="117"/>
      <c r="DI2131" s="24"/>
      <c r="DJ2131" s="24"/>
      <c r="DK2131" s="24"/>
      <c r="DL2131" s="24"/>
      <c r="DM2131" s="24"/>
      <c r="DN2131" s="24"/>
      <c r="DO2131" s="24"/>
      <c r="DP2131" s="24"/>
      <c r="DQ2131" s="24"/>
      <c r="DR2131" s="24"/>
      <c r="DS2131" s="24"/>
      <c r="DT2131" s="24"/>
      <c r="DU2131" s="24"/>
    </row>
    <row r="2132" spans="1:125" s="8" customFormat="1" ht="36" x14ac:dyDescent="0.2">
      <c r="A2132" s="77">
        <v>41442</v>
      </c>
      <c r="B2132" s="78" t="s">
        <v>2881</v>
      </c>
      <c r="C2132" s="75" t="s">
        <v>1407</v>
      </c>
      <c r="D2132" s="75" t="s">
        <v>3051</v>
      </c>
      <c r="E2132" s="75" t="str">
        <f>VLOOKUP(B2132&amp;C2132,Divipola!$C$2:$F$1138,4,FALSE)</f>
        <v>08372</v>
      </c>
      <c r="F2132" s="163"/>
      <c r="G2132" s="163"/>
      <c r="H2132" s="163"/>
      <c r="I2132" s="163"/>
      <c r="J2132" s="163"/>
      <c r="K2132" s="163"/>
      <c r="L2132" s="163"/>
      <c r="M2132" s="163"/>
      <c r="N2132" s="163"/>
      <c r="O2132" s="163"/>
      <c r="P2132" s="163"/>
      <c r="Q2132" s="163"/>
      <c r="R2132" s="163"/>
      <c r="S2132" s="163"/>
      <c r="T2132" s="163"/>
      <c r="U2132" s="163"/>
      <c r="V2132" s="134"/>
      <c r="W2132" s="96">
        <v>36000000</v>
      </c>
      <c r="X2132" s="71">
        <f>CU2132</f>
        <v>0</v>
      </c>
      <c r="Y2132" s="71">
        <f>CY2132</f>
        <v>0</v>
      </c>
      <c r="Z2132" s="71">
        <f>DA2132+DC2132+DE2132</f>
        <v>0</v>
      </c>
      <c r="AA2132" s="71">
        <f>CW2132</f>
        <v>0</v>
      </c>
      <c r="AB2132" s="71"/>
      <c r="AC2132" s="71">
        <v>0</v>
      </c>
      <c r="AD2132" s="71">
        <f>W2132+X2132+Y2132+Z2132+AA2132+AB2132+AC2132</f>
        <v>36000000</v>
      </c>
      <c r="AE2132" s="72">
        <v>0</v>
      </c>
      <c r="AF2132" s="5"/>
      <c r="AG2132" s="6"/>
      <c r="AH2132" s="27" t="s">
        <v>3390</v>
      </c>
      <c r="AI2132" s="44" t="s">
        <v>3391</v>
      </c>
      <c r="AJ2132" s="26"/>
      <c r="AK2132" s="5"/>
      <c r="AL2132" s="82" t="s">
        <v>4964</v>
      </c>
      <c r="AM2132" s="76"/>
      <c r="AN2132" s="76"/>
      <c r="AO2132" s="76"/>
      <c r="AP2132" s="76"/>
      <c r="AQ2132" s="76"/>
      <c r="AR2132" s="76"/>
      <c r="AS2132" s="76"/>
      <c r="AT2132" s="76"/>
      <c r="AU2132" s="76"/>
      <c r="AV2132" s="76"/>
      <c r="AW2132" s="76"/>
      <c r="AX2132" s="76">
        <f>+AW2132*600000</f>
        <v>0</v>
      </c>
      <c r="AY2132" s="76"/>
      <c r="AZ2132" s="76">
        <f>+AY2132*70000</f>
        <v>0</v>
      </c>
      <c r="BA2132" s="76"/>
      <c r="BB2132" s="76"/>
      <c r="BC2132" s="76"/>
      <c r="BD2132" s="76">
        <f>+BC2132*30000</f>
        <v>0</v>
      </c>
      <c r="BE2132" s="76"/>
      <c r="BF2132" s="76"/>
      <c r="BG2132" s="76"/>
      <c r="BH2132" s="76"/>
      <c r="BI2132" s="76"/>
      <c r="BJ2132" s="76"/>
      <c r="BK2132" s="76"/>
      <c r="BL2132" s="76">
        <f>+BK2132*31500</f>
        <v>0</v>
      </c>
      <c r="BM2132" s="76"/>
      <c r="BN2132" s="76"/>
      <c r="BO2132" s="76"/>
      <c r="BP2132" s="76"/>
      <c r="BQ2132" s="76"/>
      <c r="BR2132" s="76"/>
      <c r="BS2132" s="76"/>
      <c r="BT2132" s="76"/>
      <c r="BU2132" s="76"/>
      <c r="BV2132" s="76"/>
      <c r="BW2132" s="76"/>
      <c r="BX2132" s="76"/>
      <c r="BY2132" s="76"/>
      <c r="BZ2132" s="76"/>
      <c r="CA2132" s="76"/>
      <c r="CB2132" s="76"/>
      <c r="CC2132" s="76"/>
      <c r="CD2132" s="76"/>
      <c r="CE2132" s="76"/>
      <c r="CF2132" s="76">
        <f>+CE2132*28000</f>
        <v>0</v>
      </c>
      <c r="CG2132" s="76"/>
      <c r="CH2132" s="76">
        <f>+CG2132*22500</f>
        <v>0</v>
      </c>
      <c r="CI2132" s="76"/>
      <c r="CJ2132" s="76">
        <f>+CI2132*26000</f>
        <v>0</v>
      </c>
      <c r="CK2132" s="76"/>
      <c r="CL2132" s="76"/>
      <c r="CM2132" s="76"/>
      <c r="CN2132" s="76">
        <f>+CM2132*22000</f>
        <v>0</v>
      </c>
      <c r="CO2132" s="76"/>
      <c r="CP2132" s="76">
        <f>+CO2132*46000</f>
        <v>0</v>
      </c>
      <c r="CQ2132" s="76"/>
      <c r="CR2132" s="76">
        <f>+CQ2132*49000</f>
        <v>0</v>
      </c>
      <c r="CS2132" s="76"/>
      <c r="CT2132" s="76"/>
      <c r="CU2132" s="56">
        <f>AN2132+AP2132+AR2132+AT2132+AV2132+AX2132+AZ2132+BB2132+BD2132+BF2132+BH2132+BJ2132+BL2132+BN2132+BP2132+BR2132+BT2132+BV2132+BX2132+BZ2132+CB2132+CD2132+CF2132+CH2132+CJ2132+CL2132+CN2132+CP2132+CR2132+CT2132</f>
        <v>0</v>
      </c>
      <c r="CV2132" s="76"/>
      <c r="CW2132" s="76">
        <f>+CV2132*1100</f>
        <v>0</v>
      </c>
      <c r="CX2132" s="76"/>
      <c r="CY2132" s="76">
        <f>+CX2132*106250</f>
        <v>0</v>
      </c>
      <c r="CZ2132" s="76"/>
      <c r="DA2132" s="76">
        <f>+CZ2132*34500</f>
        <v>0</v>
      </c>
      <c r="DB2132" s="76"/>
      <c r="DC2132" s="76">
        <f>+DB2132*25000</f>
        <v>0</v>
      </c>
      <c r="DD2132" s="219"/>
      <c r="DE2132" s="219"/>
      <c r="DF2132" s="166"/>
      <c r="DG2132" s="116"/>
      <c r="DH2132" s="117"/>
      <c r="DI2132" s="24"/>
      <c r="DJ2132" s="24"/>
      <c r="DK2132" s="24"/>
      <c r="DL2132" s="24"/>
      <c r="DM2132" s="24"/>
      <c r="DN2132" s="24"/>
      <c r="DO2132" s="24"/>
      <c r="DP2132" s="24"/>
      <c r="DQ2132" s="24"/>
      <c r="DR2132" s="24"/>
      <c r="DS2132" s="24"/>
      <c r="DT2132" s="24"/>
      <c r="DU2132" s="24"/>
    </row>
    <row r="2133" spans="1:125" s="8" customFormat="1" ht="72" x14ac:dyDescent="0.2">
      <c r="A2133" s="77">
        <v>41442</v>
      </c>
      <c r="B2133" s="78" t="s">
        <v>2855</v>
      </c>
      <c r="C2133" s="75" t="s">
        <v>897</v>
      </c>
      <c r="D2133" s="75" t="s">
        <v>2859</v>
      </c>
      <c r="E2133" s="75" t="str">
        <f>VLOOKUP(B2133&amp;C2133,Divipola!$C$2:$F$1138,4,FALSE)</f>
        <v>20045</v>
      </c>
      <c r="F2133" s="87"/>
      <c r="G2133" s="87"/>
      <c r="H2133" s="87"/>
      <c r="I2133" s="87">
        <v>1</v>
      </c>
      <c r="J2133" s="87"/>
      <c r="K2133" s="87">
        <v>2</v>
      </c>
      <c r="L2133" s="87"/>
      <c r="M2133" s="87"/>
      <c r="N2133" s="87"/>
      <c r="O2133" s="87"/>
      <c r="P2133" s="87"/>
      <c r="Q2133" s="87"/>
      <c r="R2133" s="87"/>
      <c r="S2133" s="87"/>
      <c r="T2133" s="87"/>
      <c r="U2133" s="88">
        <v>7</v>
      </c>
      <c r="V2133" s="89">
        <v>1</v>
      </c>
      <c r="W2133" s="96">
        <v>0</v>
      </c>
      <c r="X2133" s="71">
        <f>CU2133</f>
        <v>0</v>
      </c>
      <c r="Y2133" s="71">
        <f>CY2133</f>
        <v>0</v>
      </c>
      <c r="Z2133" s="71">
        <f>DA2133+DC2133+DE2133</f>
        <v>0</v>
      </c>
      <c r="AA2133" s="71">
        <f>CW2133</f>
        <v>0</v>
      </c>
      <c r="AB2133" s="71"/>
      <c r="AC2133" s="71">
        <v>0</v>
      </c>
      <c r="AD2133" s="71">
        <f>W2133+X2133+Y2133+Z2133+AA2133+AB2133+AC2133</f>
        <v>0</v>
      </c>
      <c r="AE2133" s="72">
        <v>0</v>
      </c>
      <c r="AF2133" s="5"/>
      <c r="AG2133" s="6"/>
      <c r="AH2133" s="27" t="s">
        <v>3392</v>
      </c>
      <c r="AI2133" s="44" t="s">
        <v>3393</v>
      </c>
      <c r="AJ2133" s="26"/>
      <c r="AK2133" s="5"/>
      <c r="AL2133" s="82" t="s">
        <v>4969</v>
      </c>
      <c r="AM2133" s="76"/>
      <c r="AN2133" s="76"/>
      <c r="AO2133" s="76"/>
      <c r="AP2133" s="76"/>
      <c r="AQ2133" s="76"/>
      <c r="AR2133" s="76"/>
      <c r="AS2133" s="76"/>
      <c r="AT2133" s="76"/>
      <c r="AU2133" s="76"/>
      <c r="AV2133" s="76"/>
      <c r="AW2133" s="76"/>
      <c r="AX2133" s="76">
        <f>+AW2133*600000</f>
        <v>0</v>
      </c>
      <c r="AY2133" s="76"/>
      <c r="AZ2133" s="76">
        <f>+AY2133*70000</f>
        <v>0</v>
      </c>
      <c r="BA2133" s="76"/>
      <c r="BB2133" s="76"/>
      <c r="BC2133" s="76"/>
      <c r="BD2133" s="76">
        <f>+BC2133*30000</f>
        <v>0</v>
      </c>
      <c r="BE2133" s="76"/>
      <c r="BF2133" s="76"/>
      <c r="BG2133" s="76"/>
      <c r="BH2133" s="76"/>
      <c r="BI2133" s="76"/>
      <c r="BJ2133" s="76"/>
      <c r="BK2133" s="76"/>
      <c r="BL2133" s="76">
        <f>+BK2133*31500</f>
        <v>0</v>
      </c>
      <c r="BM2133" s="76"/>
      <c r="BN2133" s="76"/>
      <c r="BO2133" s="76"/>
      <c r="BP2133" s="76"/>
      <c r="BQ2133" s="76"/>
      <c r="BR2133" s="76"/>
      <c r="BS2133" s="76"/>
      <c r="BT2133" s="76"/>
      <c r="BU2133" s="76"/>
      <c r="BV2133" s="76"/>
      <c r="BW2133" s="76"/>
      <c r="BX2133" s="76"/>
      <c r="BY2133" s="76"/>
      <c r="BZ2133" s="76"/>
      <c r="CA2133" s="76"/>
      <c r="CB2133" s="76"/>
      <c r="CC2133" s="76"/>
      <c r="CD2133" s="76"/>
      <c r="CE2133" s="76"/>
      <c r="CF2133" s="76">
        <f>+CE2133*28000</f>
        <v>0</v>
      </c>
      <c r="CG2133" s="76"/>
      <c r="CH2133" s="76">
        <f>+CG2133*22500</f>
        <v>0</v>
      </c>
      <c r="CI2133" s="76"/>
      <c r="CJ2133" s="76">
        <f>+CI2133*26000</f>
        <v>0</v>
      </c>
      <c r="CK2133" s="76"/>
      <c r="CL2133" s="76"/>
      <c r="CM2133" s="76"/>
      <c r="CN2133" s="76">
        <f>+CM2133*22000</f>
        <v>0</v>
      </c>
      <c r="CO2133" s="76"/>
      <c r="CP2133" s="76">
        <f>+CO2133*46000</f>
        <v>0</v>
      </c>
      <c r="CQ2133" s="76"/>
      <c r="CR2133" s="76">
        <f>+CQ2133*49000</f>
        <v>0</v>
      </c>
      <c r="CS2133" s="76"/>
      <c r="CT2133" s="76"/>
      <c r="CU2133" s="56">
        <f>AN2133+AP2133+AR2133+AT2133+AV2133+AX2133+AZ2133+BB2133+BD2133+BF2133+BH2133+BJ2133+BL2133+BN2133+BP2133+BR2133+BT2133+BV2133+BX2133+BZ2133+CB2133+CD2133+CF2133+CH2133+CJ2133+CL2133+CN2133+CP2133+CR2133+CT2133</f>
        <v>0</v>
      </c>
      <c r="CV2133" s="76"/>
      <c r="CW2133" s="76">
        <f>+CV2133*1100</f>
        <v>0</v>
      </c>
      <c r="CX2133" s="76"/>
      <c r="CY2133" s="76">
        <f>+CX2133*106250</f>
        <v>0</v>
      </c>
      <c r="CZ2133" s="76"/>
      <c r="DA2133" s="76">
        <f>+CZ2133*34500</f>
        <v>0</v>
      </c>
      <c r="DB2133" s="76"/>
      <c r="DC2133" s="76">
        <f>+DB2133*25000</f>
        <v>0</v>
      </c>
      <c r="DD2133" s="219"/>
      <c r="DE2133" s="219"/>
      <c r="DF2133" s="166"/>
      <c r="DG2133" s="116"/>
      <c r="DH2133" s="117"/>
      <c r="DI2133" s="24"/>
      <c r="DJ2133" s="24"/>
      <c r="DK2133" s="24"/>
      <c r="DL2133" s="24"/>
      <c r="DM2133" s="24"/>
      <c r="DN2133" s="24"/>
      <c r="DO2133" s="24"/>
      <c r="DP2133" s="24"/>
      <c r="DQ2133" s="24"/>
      <c r="DR2133" s="24"/>
      <c r="DS2133" s="24"/>
      <c r="DT2133" s="24"/>
      <c r="DU2133" s="24"/>
    </row>
    <row r="2134" spans="1:125" s="8" customFormat="1" ht="36" x14ac:dyDescent="0.2">
      <c r="A2134" s="353">
        <v>41442</v>
      </c>
      <c r="B2134" s="225" t="s">
        <v>2852</v>
      </c>
      <c r="C2134" s="227" t="s">
        <v>1235</v>
      </c>
      <c r="D2134" s="227" t="s">
        <v>4391</v>
      </c>
      <c r="E2134" s="75" t="str">
        <f>VLOOKUP(B2134&amp;C2134,Divipola!$C$2:$F$1138,4,FALSE)</f>
        <v>27250</v>
      </c>
      <c r="F2134" s="87">
        <v>1</v>
      </c>
      <c r="G2134" s="87">
        <v>1</v>
      </c>
      <c r="H2134" s="87"/>
      <c r="I2134" s="87"/>
      <c r="J2134" s="87"/>
      <c r="K2134" s="87"/>
      <c r="L2134" s="87"/>
      <c r="M2134" s="87"/>
      <c r="N2134" s="87"/>
      <c r="O2134" s="87"/>
      <c r="P2134" s="87"/>
      <c r="Q2134" s="87"/>
      <c r="R2134" s="87"/>
      <c r="S2134" s="87"/>
      <c r="T2134" s="87"/>
      <c r="U2134" s="88"/>
      <c r="V2134" s="89"/>
      <c r="W2134" s="96">
        <v>0</v>
      </c>
      <c r="X2134" s="71">
        <f>CU2134</f>
        <v>0</v>
      </c>
      <c r="Y2134" s="71">
        <f>CY2134</f>
        <v>0</v>
      </c>
      <c r="Z2134" s="71">
        <f>DA2134+DC2134+DE2134</f>
        <v>0</v>
      </c>
      <c r="AA2134" s="71">
        <f>CW2134</f>
        <v>0</v>
      </c>
      <c r="AB2134" s="71"/>
      <c r="AC2134" s="71">
        <v>0</v>
      </c>
      <c r="AD2134" s="71">
        <f>W2134+X2134+Y2134+Z2134+AA2134+AB2134+AC2134</f>
        <v>0</v>
      </c>
      <c r="AE2134" s="72">
        <v>0</v>
      </c>
      <c r="AF2134" s="5"/>
      <c r="AG2134" s="6"/>
      <c r="AH2134" s="27" t="s">
        <v>3392</v>
      </c>
      <c r="AI2134" s="44" t="s">
        <v>3393</v>
      </c>
      <c r="AJ2134" s="26"/>
      <c r="AK2134" s="5"/>
      <c r="AL2134" s="82" t="s">
        <v>4971</v>
      </c>
      <c r="AM2134" s="76"/>
      <c r="AN2134" s="76"/>
      <c r="AO2134" s="76"/>
      <c r="AP2134" s="76"/>
      <c r="AQ2134" s="76"/>
      <c r="AR2134" s="76"/>
      <c r="AS2134" s="76"/>
      <c r="AT2134" s="76"/>
      <c r="AU2134" s="76"/>
      <c r="AV2134" s="76"/>
      <c r="AW2134" s="76"/>
      <c r="AX2134" s="76">
        <f>+AW2134*600000</f>
        <v>0</v>
      </c>
      <c r="AY2134" s="76"/>
      <c r="AZ2134" s="76">
        <f>+AY2134*70000</f>
        <v>0</v>
      </c>
      <c r="BA2134" s="76"/>
      <c r="BB2134" s="76"/>
      <c r="BC2134" s="76"/>
      <c r="BD2134" s="76">
        <f>+BC2134*30000</f>
        <v>0</v>
      </c>
      <c r="BE2134" s="76"/>
      <c r="BF2134" s="76"/>
      <c r="BG2134" s="76"/>
      <c r="BH2134" s="76"/>
      <c r="BI2134" s="76"/>
      <c r="BJ2134" s="76"/>
      <c r="BK2134" s="76"/>
      <c r="BL2134" s="76">
        <f>+BK2134*31500</f>
        <v>0</v>
      </c>
      <c r="BM2134" s="76"/>
      <c r="BN2134" s="76"/>
      <c r="BO2134" s="76"/>
      <c r="BP2134" s="76"/>
      <c r="BQ2134" s="76"/>
      <c r="BR2134" s="76"/>
      <c r="BS2134" s="76"/>
      <c r="BT2134" s="76"/>
      <c r="BU2134" s="76"/>
      <c r="BV2134" s="76"/>
      <c r="BW2134" s="76"/>
      <c r="BX2134" s="76"/>
      <c r="BY2134" s="76"/>
      <c r="BZ2134" s="76"/>
      <c r="CA2134" s="76"/>
      <c r="CB2134" s="76"/>
      <c r="CC2134" s="76"/>
      <c r="CD2134" s="76"/>
      <c r="CE2134" s="76"/>
      <c r="CF2134" s="76">
        <f>+CE2134*28000</f>
        <v>0</v>
      </c>
      <c r="CG2134" s="76"/>
      <c r="CH2134" s="76">
        <f>+CG2134*22500</f>
        <v>0</v>
      </c>
      <c r="CI2134" s="76"/>
      <c r="CJ2134" s="76">
        <f>+CI2134*26000</f>
        <v>0</v>
      </c>
      <c r="CK2134" s="76"/>
      <c r="CL2134" s="76"/>
      <c r="CM2134" s="76"/>
      <c r="CN2134" s="76">
        <f>+CM2134*22000</f>
        <v>0</v>
      </c>
      <c r="CO2134" s="76"/>
      <c r="CP2134" s="76">
        <f>+CO2134*46000</f>
        <v>0</v>
      </c>
      <c r="CQ2134" s="76"/>
      <c r="CR2134" s="76">
        <f>+CQ2134*49000</f>
        <v>0</v>
      </c>
      <c r="CS2134" s="76"/>
      <c r="CT2134" s="76"/>
      <c r="CU2134" s="56">
        <f>AN2134+AP2134+AR2134+AT2134+AV2134+AX2134+AZ2134+BB2134+BD2134+BF2134+BH2134+BJ2134+BL2134+BN2134+BP2134+BR2134+BT2134+BV2134+BX2134+BZ2134+CB2134+CD2134+CF2134+CH2134+CJ2134+CL2134+CN2134+CP2134+CR2134+CT2134</f>
        <v>0</v>
      </c>
      <c r="CV2134" s="76"/>
      <c r="CW2134" s="76">
        <f>+CV2134*1100</f>
        <v>0</v>
      </c>
      <c r="CX2134" s="76"/>
      <c r="CY2134" s="76">
        <f>+CX2134*106250</f>
        <v>0</v>
      </c>
      <c r="CZ2134" s="76"/>
      <c r="DA2134" s="76">
        <f>+CZ2134*34500</f>
        <v>0</v>
      </c>
      <c r="DB2134" s="76"/>
      <c r="DC2134" s="76">
        <f>+DB2134*25000</f>
        <v>0</v>
      </c>
      <c r="DD2134" s="219"/>
      <c r="DE2134" s="219"/>
      <c r="DF2134" s="166"/>
      <c r="DG2134" s="116"/>
      <c r="DH2134" s="117"/>
      <c r="DI2134" s="24"/>
      <c r="DJ2134" s="24"/>
      <c r="DK2134" s="24"/>
      <c r="DL2134" s="24"/>
      <c r="DM2134" s="24"/>
      <c r="DN2134" s="24"/>
      <c r="DO2134" s="24"/>
      <c r="DP2134" s="24"/>
      <c r="DQ2134" s="24"/>
      <c r="DR2134" s="24"/>
      <c r="DS2134" s="24"/>
      <c r="DT2134" s="24"/>
      <c r="DU2134" s="24"/>
    </row>
    <row r="2135" spans="1:125" s="8" customFormat="1" ht="156" x14ac:dyDescent="0.2">
      <c r="A2135" s="77">
        <v>41442</v>
      </c>
      <c r="B2135" s="352" t="s">
        <v>2772</v>
      </c>
      <c r="C2135" s="354" t="s">
        <v>2056</v>
      </c>
      <c r="D2135" s="354" t="s">
        <v>2859</v>
      </c>
      <c r="E2135" s="75" t="str">
        <f>VLOOKUP(B2135&amp;C2135,Divipola!$C$2:$F$1138,4,FALSE)</f>
        <v>25843</v>
      </c>
      <c r="F2135" s="87"/>
      <c r="G2135" s="87"/>
      <c r="H2135" s="87"/>
      <c r="I2135" s="87">
        <v>11</v>
      </c>
      <c r="J2135" s="87">
        <v>2</v>
      </c>
      <c r="K2135" s="87">
        <v>1</v>
      </c>
      <c r="L2135" s="87"/>
      <c r="M2135" s="87"/>
      <c r="N2135" s="87"/>
      <c r="O2135" s="87"/>
      <c r="P2135" s="87"/>
      <c r="Q2135" s="87"/>
      <c r="R2135" s="87"/>
      <c r="S2135" s="87"/>
      <c r="T2135" s="87"/>
      <c r="U2135" s="88"/>
      <c r="V2135" s="89"/>
      <c r="W2135" s="96">
        <v>0</v>
      </c>
      <c r="X2135" s="71">
        <f>CU2135</f>
        <v>0</v>
      </c>
      <c r="Y2135" s="71">
        <f>CY2135</f>
        <v>0</v>
      </c>
      <c r="Z2135" s="71">
        <f>DA2135+DC2135+DE2135</f>
        <v>0</v>
      </c>
      <c r="AA2135" s="71">
        <f>CW2135</f>
        <v>0</v>
      </c>
      <c r="AB2135" s="71"/>
      <c r="AC2135" s="71">
        <v>0</v>
      </c>
      <c r="AD2135" s="71">
        <f>W2135+X2135+Y2135+Z2135+AA2135+AB2135+AC2135</f>
        <v>0</v>
      </c>
      <c r="AE2135" s="72">
        <v>0</v>
      </c>
      <c r="AF2135" s="5"/>
      <c r="AG2135" s="6"/>
      <c r="AH2135" s="27" t="s">
        <v>3392</v>
      </c>
      <c r="AI2135" s="44" t="s">
        <v>3393</v>
      </c>
      <c r="AJ2135" s="26"/>
      <c r="AK2135" s="5"/>
      <c r="AL2135" s="82" t="s">
        <v>4978</v>
      </c>
      <c r="AM2135" s="76"/>
      <c r="AN2135" s="76"/>
      <c r="AO2135" s="76"/>
      <c r="AP2135" s="76"/>
      <c r="AQ2135" s="76"/>
      <c r="AR2135" s="76"/>
      <c r="AS2135" s="76"/>
      <c r="AT2135" s="76"/>
      <c r="AU2135" s="76"/>
      <c r="AV2135" s="76"/>
      <c r="AW2135" s="76"/>
      <c r="AX2135" s="76">
        <f>+AW2135*600000</f>
        <v>0</v>
      </c>
      <c r="AY2135" s="76"/>
      <c r="AZ2135" s="76">
        <f>+AY2135*70000</f>
        <v>0</v>
      </c>
      <c r="BA2135" s="76"/>
      <c r="BB2135" s="76"/>
      <c r="BC2135" s="76"/>
      <c r="BD2135" s="76">
        <f>+BC2135*30000</f>
        <v>0</v>
      </c>
      <c r="BE2135" s="76"/>
      <c r="BF2135" s="76"/>
      <c r="BG2135" s="76"/>
      <c r="BH2135" s="76"/>
      <c r="BI2135" s="76"/>
      <c r="BJ2135" s="76"/>
      <c r="BK2135" s="76"/>
      <c r="BL2135" s="76">
        <f>+BK2135*31500</f>
        <v>0</v>
      </c>
      <c r="BM2135" s="76"/>
      <c r="BN2135" s="76"/>
      <c r="BO2135" s="76"/>
      <c r="BP2135" s="76"/>
      <c r="BQ2135" s="76"/>
      <c r="BR2135" s="76"/>
      <c r="BS2135" s="76"/>
      <c r="BT2135" s="76"/>
      <c r="BU2135" s="76"/>
      <c r="BV2135" s="76"/>
      <c r="BW2135" s="76"/>
      <c r="BX2135" s="76"/>
      <c r="BY2135" s="76"/>
      <c r="BZ2135" s="76"/>
      <c r="CA2135" s="76"/>
      <c r="CB2135" s="76"/>
      <c r="CC2135" s="76"/>
      <c r="CD2135" s="76"/>
      <c r="CE2135" s="76"/>
      <c r="CF2135" s="76">
        <f>+CE2135*28000</f>
        <v>0</v>
      </c>
      <c r="CG2135" s="76"/>
      <c r="CH2135" s="76">
        <f>+CG2135*22500</f>
        <v>0</v>
      </c>
      <c r="CI2135" s="76"/>
      <c r="CJ2135" s="76">
        <f>+CI2135*26000</f>
        <v>0</v>
      </c>
      <c r="CK2135" s="76"/>
      <c r="CL2135" s="76"/>
      <c r="CM2135" s="76"/>
      <c r="CN2135" s="76">
        <f>+CM2135*22000</f>
        <v>0</v>
      </c>
      <c r="CO2135" s="76"/>
      <c r="CP2135" s="76">
        <f>+CO2135*46000</f>
        <v>0</v>
      </c>
      <c r="CQ2135" s="76"/>
      <c r="CR2135" s="76">
        <f>+CQ2135*49000</f>
        <v>0</v>
      </c>
      <c r="CS2135" s="76"/>
      <c r="CT2135" s="76"/>
      <c r="CU2135" s="56">
        <f>AN2135+AP2135+AR2135+AT2135+AV2135+AX2135+AZ2135+BB2135+BD2135+BF2135+BH2135+BJ2135+BL2135+BN2135+BP2135+BR2135+BT2135+BV2135+BX2135+BZ2135+CB2135+CD2135+CF2135+CH2135+CJ2135+CL2135+CN2135+CP2135+CR2135+CT2135</f>
        <v>0</v>
      </c>
      <c r="CV2135" s="76"/>
      <c r="CW2135" s="76">
        <f>+CV2135*1100</f>
        <v>0</v>
      </c>
      <c r="CX2135" s="76"/>
      <c r="CY2135" s="76">
        <f>+CX2135*106250</f>
        <v>0</v>
      </c>
      <c r="CZ2135" s="76"/>
      <c r="DA2135" s="76">
        <f>+CZ2135*34500</f>
        <v>0</v>
      </c>
      <c r="DB2135" s="76"/>
      <c r="DC2135" s="76">
        <f>+DB2135*25000</f>
        <v>0</v>
      </c>
      <c r="DD2135" s="219"/>
      <c r="DE2135" s="219"/>
      <c r="DF2135" s="166"/>
      <c r="DG2135" s="116"/>
      <c r="DH2135" s="117"/>
      <c r="DI2135" s="24"/>
      <c r="DJ2135" s="24"/>
      <c r="DK2135" s="24"/>
      <c r="DL2135" s="24"/>
      <c r="DM2135" s="24"/>
      <c r="DN2135" s="24"/>
      <c r="DO2135" s="24"/>
      <c r="DP2135" s="24"/>
      <c r="DQ2135" s="24"/>
      <c r="DR2135" s="24"/>
      <c r="DS2135" s="24"/>
      <c r="DT2135" s="24"/>
      <c r="DU2135" s="24"/>
    </row>
    <row r="2136" spans="1:125" s="8" customFormat="1" ht="60" x14ac:dyDescent="0.2">
      <c r="A2136" s="77">
        <v>41443</v>
      </c>
      <c r="B2136" s="352" t="s">
        <v>2894</v>
      </c>
      <c r="C2136" s="354" t="s">
        <v>2331</v>
      </c>
      <c r="D2136" s="354" t="s">
        <v>3088</v>
      </c>
      <c r="E2136" s="75" t="str">
        <f>VLOOKUP(B2136&amp;C2136,Divipola!$C$2:$F$1138,4,FALSE)</f>
        <v>05021</v>
      </c>
      <c r="F2136" s="87">
        <v>1</v>
      </c>
      <c r="G2136" s="87"/>
      <c r="H2136" s="87"/>
      <c r="I2136" s="87">
        <v>1</v>
      </c>
      <c r="J2136" s="87"/>
      <c r="K2136" s="87">
        <v>1</v>
      </c>
      <c r="L2136" s="87"/>
      <c r="M2136" s="87"/>
      <c r="N2136" s="87"/>
      <c r="O2136" s="87"/>
      <c r="P2136" s="87"/>
      <c r="Q2136" s="87"/>
      <c r="R2136" s="87"/>
      <c r="S2136" s="87"/>
      <c r="T2136" s="87"/>
      <c r="U2136" s="88"/>
      <c r="V2136" s="89"/>
      <c r="W2136" s="96">
        <v>0</v>
      </c>
      <c r="X2136" s="71">
        <f>CU2136</f>
        <v>0</v>
      </c>
      <c r="Y2136" s="71">
        <f>CY2136</f>
        <v>0</v>
      </c>
      <c r="Z2136" s="71">
        <f>DA2136+DC2136+DE2136</f>
        <v>0</v>
      </c>
      <c r="AA2136" s="71">
        <f>CW2136</f>
        <v>0</v>
      </c>
      <c r="AB2136" s="71"/>
      <c r="AC2136" s="71">
        <v>0</v>
      </c>
      <c r="AD2136" s="71">
        <f>W2136+X2136+Y2136+Z2136+AA2136+AB2136+AC2136</f>
        <v>0</v>
      </c>
      <c r="AE2136" s="72">
        <v>0</v>
      </c>
      <c r="AF2136" s="5"/>
      <c r="AG2136" s="6"/>
      <c r="AH2136" s="27" t="s">
        <v>3392</v>
      </c>
      <c r="AI2136" s="44" t="s">
        <v>3393</v>
      </c>
      <c r="AJ2136" s="26"/>
      <c r="AK2136" s="5"/>
      <c r="AL2136" s="82" t="s">
        <v>4977</v>
      </c>
      <c r="AM2136" s="76"/>
      <c r="AN2136" s="76"/>
      <c r="AO2136" s="76"/>
      <c r="AP2136" s="76"/>
      <c r="AQ2136" s="76"/>
      <c r="AR2136" s="76"/>
      <c r="AS2136" s="76"/>
      <c r="AT2136" s="76"/>
      <c r="AU2136" s="76"/>
      <c r="AV2136" s="76"/>
      <c r="AW2136" s="76"/>
      <c r="AX2136" s="76">
        <f>+AW2136*600000</f>
        <v>0</v>
      </c>
      <c r="AY2136" s="76"/>
      <c r="AZ2136" s="76">
        <f>+AY2136*70000</f>
        <v>0</v>
      </c>
      <c r="BA2136" s="76"/>
      <c r="BB2136" s="76"/>
      <c r="BC2136" s="76"/>
      <c r="BD2136" s="76">
        <f>+BC2136*30000</f>
        <v>0</v>
      </c>
      <c r="BE2136" s="76"/>
      <c r="BF2136" s="76"/>
      <c r="BG2136" s="76"/>
      <c r="BH2136" s="76"/>
      <c r="BI2136" s="76"/>
      <c r="BJ2136" s="76"/>
      <c r="BK2136" s="76"/>
      <c r="BL2136" s="76">
        <f>+BK2136*31500</f>
        <v>0</v>
      </c>
      <c r="BM2136" s="76"/>
      <c r="BN2136" s="76"/>
      <c r="BO2136" s="76"/>
      <c r="BP2136" s="76"/>
      <c r="BQ2136" s="76"/>
      <c r="BR2136" s="76"/>
      <c r="BS2136" s="76"/>
      <c r="BT2136" s="76"/>
      <c r="BU2136" s="76"/>
      <c r="BV2136" s="76"/>
      <c r="BW2136" s="76"/>
      <c r="BX2136" s="76"/>
      <c r="BY2136" s="76"/>
      <c r="BZ2136" s="76"/>
      <c r="CA2136" s="76"/>
      <c r="CB2136" s="76"/>
      <c r="CC2136" s="76"/>
      <c r="CD2136" s="76"/>
      <c r="CE2136" s="76"/>
      <c r="CF2136" s="76">
        <f>+CE2136*28000</f>
        <v>0</v>
      </c>
      <c r="CG2136" s="76"/>
      <c r="CH2136" s="76">
        <f>+CG2136*22500</f>
        <v>0</v>
      </c>
      <c r="CI2136" s="76"/>
      <c r="CJ2136" s="76">
        <f>+CI2136*26000</f>
        <v>0</v>
      </c>
      <c r="CK2136" s="76"/>
      <c r="CL2136" s="76"/>
      <c r="CM2136" s="76"/>
      <c r="CN2136" s="76">
        <f>+CM2136*22000</f>
        <v>0</v>
      </c>
      <c r="CO2136" s="76"/>
      <c r="CP2136" s="76">
        <f>+CO2136*46000</f>
        <v>0</v>
      </c>
      <c r="CQ2136" s="76"/>
      <c r="CR2136" s="76">
        <f>+CQ2136*49000</f>
        <v>0</v>
      </c>
      <c r="CS2136" s="76"/>
      <c r="CT2136" s="76"/>
      <c r="CU2136" s="56">
        <f>AN2136+AP2136+AR2136+AT2136+AV2136+AX2136+AZ2136+BB2136+BD2136+BF2136+BH2136+BJ2136+BL2136+BN2136+BP2136+BR2136+BT2136+BV2136+BX2136+BZ2136+CB2136+CD2136+CF2136+CH2136+CJ2136+CL2136+CN2136+CP2136+CR2136+CT2136</f>
        <v>0</v>
      </c>
      <c r="CV2136" s="76"/>
      <c r="CW2136" s="76">
        <f>+CV2136*1100</f>
        <v>0</v>
      </c>
      <c r="CX2136" s="76"/>
      <c r="CY2136" s="76">
        <f>+CX2136*106250</f>
        <v>0</v>
      </c>
      <c r="CZ2136" s="76"/>
      <c r="DA2136" s="76">
        <f>+CZ2136*34500</f>
        <v>0</v>
      </c>
      <c r="DB2136" s="76"/>
      <c r="DC2136" s="76">
        <f>+DB2136*25000</f>
        <v>0</v>
      </c>
      <c r="DD2136" s="219"/>
      <c r="DE2136" s="219"/>
      <c r="DF2136" s="166"/>
      <c r="DG2136" s="116"/>
      <c r="DH2136" s="117"/>
      <c r="DI2136" s="24"/>
      <c r="DJ2136" s="24"/>
      <c r="DK2136" s="24"/>
      <c r="DL2136" s="24"/>
      <c r="DM2136" s="24"/>
      <c r="DN2136" s="24"/>
      <c r="DO2136" s="24"/>
      <c r="DP2136" s="24"/>
      <c r="DQ2136" s="24"/>
      <c r="DR2136" s="24"/>
      <c r="DS2136" s="24"/>
      <c r="DT2136" s="24"/>
      <c r="DU2136" s="24"/>
    </row>
    <row r="2137" spans="1:125" s="8" customFormat="1" ht="120" x14ac:dyDescent="0.2">
      <c r="A2137" s="77">
        <v>41443</v>
      </c>
      <c r="B2137" s="78" t="s">
        <v>2894</v>
      </c>
      <c r="C2137" s="75" t="s">
        <v>2006</v>
      </c>
      <c r="D2137" s="75" t="s">
        <v>3051</v>
      </c>
      <c r="E2137" s="75" t="str">
        <f>VLOOKUP(B2137&amp;C2137,Divipola!$C$2:$F$1138,4,FALSE)</f>
        <v>05360</v>
      </c>
      <c r="F2137" s="87"/>
      <c r="G2137" s="87"/>
      <c r="H2137" s="87"/>
      <c r="I2137" s="87">
        <v>130</v>
      </c>
      <c r="J2137" s="87">
        <v>26</v>
      </c>
      <c r="K2137" s="87"/>
      <c r="L2137" s="87">
        <v>26</v>
      </c>
      <c r="M2137" s="87"/>
      <c r="N2137" s="87"/>
      <c r="O2137" s="87"/>
      <c r="P2137" s="87"/>
      <c r="Q2137" s="87"/>
      <c r="R2137" s="87"/>
      <c r="S2137" s="87"/>
      <c r="T2137" s="87"/>
      <c r="U2137" s="88"/>
      <c r="V2137" s="89"/>
      <c r="W2137" s="96">
        <v>0</v>
      </c>
      <c r="X2137" s="71">
        <f>CU2137</f>
        <v>0</v>
      </c>
      <c r="Y2137" s="71">
        <f>CY2137</f>
        <v>0</v>
      </c>
      <c r="Z2137" s="71">
        <f>DA2137+DC2137+DE2137</f>
        <v>0</v>
      </c>
      <c r="AA2137" s="71">
        <f>CW2137</f>
        <v>0</v>
      </c>
      <c r="AB2137" s="71"/>
      <c r="AC2137" s="71">
        <v>0</v>
      </c>
      <c r="AD2137" s="71">
        <f>W2137+X2137+Y2137+Z2137+AA2137+AB2137+AC2137</f>
        <v>0</v>
      </c>
      <c r="AE2137" s="72">
        <v>0</v>
      </c>
      <c r="AF2137" s="5"/>
      <c r="AG2137" s="6"/>
      <c r="AH2137" s="27" t="s">
        <v>3392</v>
      </c>
      <c r="AI2137" s="44" t="s">
        <v>3393</v>
      </c>
      <c r="AJ2137" s="26"/>
      <c r="AK2137" s="5"/>
      <c r="AL2137" s="82" t="s">
        <v>4975</v>
      </c>
      <c r="AM2137" s="76"/>
      <c r="AN2137" s="76"/>
      <c r="AO2137" s="76"/>
      <c r="AP2137" s="76"/>
      <c r="AQ2137" s="76"/>
      <c r="AR2137" s="76"/>
      <c r="AS2137" s="76"/>
      <c r="AT2137" s="76"/>
      <c r="AU2137" s="76"/>
      <c r="AV2137" s="76"/>
      <c r="AW2137" s="76"/>
      <c r="AX2137" s="76">
        <f>+AW2137*600000</f>
        <v>0</v>
      </c>
      <c r="AY2137" s="76"/>
      <c r="AZ2137" s="76">
        <f>+AY2137*70000</f>
        <v>0</v>
      </c>
      <c r="BA2137" s="76"/>
      <c r="BB2137" s="76"/>
      <c r="BC2137" s="76"/>
      <c r="BD2137" s="76">
        <f>+BC2137*30000</f>
        <v>0</v>
      </c>
      <c r="BE2137" s="76"/>
      <c r="BF2137" s="76"/>
      <c r="BG2137" s="76"/>
      <c r="BH2137" s="76"/>
      <c r="BI2137" s="76"/>
      <c r="BJ2137" s="76"/>
      <c r="BK2137" s="76"/>
      <c r="BL2137" s="76">
        <f>+BK2137*31500</f>
        <v>0</v>
      </c>
      <c r="BM2137" s="76"/>
      <c r="BN2137" s="76"/>
      <c r="BO2137" s="76"/>
      <c r="BP2137" s="76"/>
      <c r="BQ2137" s="76"/>
      <c r="BR2137" s="76"/>
      <c r="BS2137" s="76"/>
      <c r="BT2137" s="76"/>
      <c r="BU2137" s="76"/>
      <c r="BV2137" s="76"/>
      <c r="BW2137" s="76"/>
      <c r="BX2137" s="76"/>
      <c r="BY2137" s="76"/>
      <c r="BZ2137" s="76"/>
      <c r="CA2137" s="76"/>
      <c r="CB2137" s="76"/>
      <c r="CC2137" s="76"/>
      <c r="CD2137" s="76"/>
      <c r="CE2137" s="76"/>
      <c r="CF2137" s="76">
        <f>+CE2137*28000</f>
        <v>0</v>
      </c>
      <c r="CG2137" s="76"/>
      <c r="CH2137" s="76">
        <f>+CG2137*22500</f>
        <v>0</v>
      </c>
      <c r="CI2137" s="76"/>
      <c r="CJ2137" s="76">
        <f>+CI2137*26000</f>
        <v>0</v>
      </c>
      <c r="CK2137" s="76"/>
      <c r="CL2137" s="76"/>
      <c r="CM2137" s="76"/>
      <c r="CN2137" s="76">
        <f>+CM2137*22000</f>
        <v>0</v>
      </c>
      <c r="CO2137" s="76"/>
      <c r="CP2137" s="76">
        <f>+CO2137*46000</f>
        <v>0</v>
      </c>
      <c r="CQ2137" s="76"/>
      <c r="CR2137" s="76">
        <f>+CQ2137*49000</f>
        <v>0</v>
      </c>
      <c r="CS2137" s="76"/>
      <c r="CT2137" s="76"/>
      <c r="CU2137" s="56">
        <f>AN2137+AP2137+AR2137+AT2137+AV2137+AX2137+AZ2137+BB2137+BD2137+BF2137+BH2137+BJ2137+BL2137+BN2137+BP2137+BR2137+BT2137+BV2137+BX2137+BZ2137+CB2137+CD2137+CF2137+CH2137+CJ2137+CL2137+CN2137+CP2137+CR2137+CT2137</f>
        <v>0</v>
      </c>
      <c r="CV2137" s="76"/>
      <c r="CW2137" s="76">
        <f>+CV2137*1100</f>
        <v>0</v>
      </c>
      <c r="CX2137" s="76"/>
      <c r="CY2137" s="76">
        <f>+CX2137*106250</f>
        <v>0</v>
      </c>
      <c r="CZ2137" s="76"/>
      <c r="DA2137" s="76">
        <f>+CZ2137*34500</f>
        <v>0</v>
      </c>
      <c r="DB2137" s="76"/>
      <c r="DC2137" s="76">
        <f>+DB2137*25000</f>
        <v>0</v>
      </c>
      <c r="DD2137" s="219"/>
      <c r="DE2137" s="219"/>
      <c r="DF2137" s="166"/>
      <c r="DG2137" s="116"/>
      <c r="DH2137" s="117"/>
      <c r="DI2137" s="24"/>
      <c r="DJ2137" s="24"/>
      <c r="DK2137" s="24"/>
      <c r="DL2137" s="24"/>
      <c r="DM2137" s="24"/>
      <c r="DN2137" s="24"/>
      <c r="DO2137" s="24"/>
      <c r="DP2137" s="24"/>
      <c r="DQ2137" s="24"/>
      <c r="DR2137" s="24"/>
      <c r="DS2137" s="24"/>
      <c r="DT2137" s="24"/>
      <c r="DU2137" s="24"/>
    </row>
    <row r="2138" spans="1:125" s="8" customFormat="1" ht="48" x14ac:dyDescent="0.2">
      <c r="A2138" s="353">
        <v>41443</v>
      </c>
      <c r="B2138" s="352" t="s">
        <v>2777</v>
      </c>
      <c r="C2138" s="354" t="s">
        <v>2783</v>
      </c>
      <c r="D2138" s="354" t="s">
        <v>3051</v>
      </c>
      <c r="E2138" s="75" t="str">
        <f>VLOOKUP(B2138&amp;C2138,Divipola!$C$2:$F$1138,4,FALSE)</f>
        <v>13001</v>
      </c>
      <c r="F2138" s="87"/>
      <c r="G2138" s="87"/>
      <c r="H2138" s="87"/>
      <c r="I2138" s="87"/>
      <c r="J2138" s="87"/>
      <c r="K2138" s="87"/>
      <c r="L2138" s="87"/>
      <c r="M2138" s="87"/>
      <c r="N2138" s="87"/>
      <c r="O2138" s="87"/>
      <c r="P2138" s="87"/>
      <c r="Q2138" s="87"/>
      <c r="R2138" s="87"/>
      <c r="S2138" s="87"/>
      <c r="T2138" s="87"/>
      <c r="U2138" s="88"/>
      <c r="V2138" s="89"/>
      <c r="W2138" s="96">
        <v>0</v>
      </c>
      <c r="X2138" s="71">
        <f>CU2138</f>
        <v>0</v>
      </c>
      <c r="Y2138" s="71">
        <f>CY2138</f>
        <v>0</v>
      </c>
      <c r="Z2138" s="71">
        <f>DA2138+DC2138+DE2138</f>
        <v>0</v>
      </c>
      <c r="AA2138" s="71">
        <f>CW2138</f>
        <v>0</v>
      </c>
      <c r="AB2138" s="71"/>
      <c r="AC2138" s="71">
        <v>0</v>
      </c>
      <c r="AD2138" s="71">
        <f>W2138+X2138+Y2138+Z2138+AA2138+AB2138+AC2138</f>
        <v>0</v>
      </c>
      <c r="AE2138" s="72">
        <v>0</v>
      </c>
      <c r="AF2138" s="5"/>
      <c r="AG2138" s="6"/>
      <c r="AH2138" s="27" t="s">
        <v>3392</v>
      </c>
      <c r="AI2138" s="44" t="s">
        <v>3393</v>
      </c>
      <c r="AJ2138" s="26"/>
      <c r="AK2138" s="5"/>
      <c r="AL2138" s="82" t="s">
        <v>5011</v>
      </c>
      <c r="AM2138" s="76"/>
      <c r="AN2138" s="76"/>
      <c r="AO2138" s="76"/>
      <c r="AP2138" s="76"/>
      <c r="AQ2138" s="76"/>
      <c r="AR2138" s="76"/>
      <c r="AS2138" s="76"/>
      <c r="AT2138" s="76"/>
      <c r="AU2138" s="76"/>
      <c r="AV2138" s="76"/>
      <c r="AW2138" s="76"/>
      <c r="AX2138" s="76">
        <f>+AW2138*600000</f>
        <v>0</v>
      </c>
      <c r="AY2138" s="76"/>
      <c r="AZ2138" s="76">
        <f>+AY2138*70000</f>
        <v>0</v>
      </c>
      <c r="BA2138" s="76"/>
      <c r="BB2138" s="76"/>
      <c r="BC2138" s="76"/>
      <c r="BD2138" s="76">
        <f>+BC2138*30000</f>
        <v>0</v>
      </c>
      <c r="BE2138" s="76"/>
      <c r="BF2138" s="76"/>
      <c r="BG2138" s="76"/>
      <c r="BH2138" s="76"/>
      <c r="BI2138" s="76"/>
      <c r="BJ2138" s="76"/>
      <c r="BK2138" s="76"/>
      <c r="BL2138" s="76">
        <f>+BK2138*31500</f>
        <v>0</v>
      </c>
      <c r="BM2138" s="76"/>
      <c r="BN2138" s="76"/>
      <c r="BO2138" s="76"/>
      <c r="BP2138" s="76"/>
      <c r="BQ2138" s="76"/>
      <c r="BR2138" s="76"/>
      <c r="BS2138" s="76"/>
      <c r="BT2138" s="76"/>
      <c r="BU2138" s="76"/>
      <c r="BV2138" s="76"/>
      <c r="BW2138" s="76"/>
      <c r="BX2138" s="76"/>
      <c r="BY2138" s="76"/>
      <c r="BZ2138" s="76"/>
      <c r="CA2138" s="76"/>
      <c r="CB2138" s="76"/>
      <c r="CC2138" s="76"/>
      <c r="CD2138" s="76"/>
      <c r="CE2138" s="76"/>
      <c r="CF2138" s="76">
        <f>+CE2138*28000</f>
        <v>0</v>
      </c>
      <c r="CG2138" s="76"/>
      <c r="CH2138" s="76">
        <f>+CG2138*22500</f>
        <v>0</v>
      </c>
      <c r="CI2138" s="76"/>
      <c r="CJ2138" s="76">
        <f>+CI2138*26000</f>
        <v>0</v>
      </c>
      <c r="CK2138" s="76"/>
      <c r="CL2138" s="76"/>
      <c r="CM2138" s="76"/>
      <c r="CN2138" s="76">
        <f>+CM2138*22000</f>
        <v>0</v>
      </c>
      <c r="CO2138" s="76"/>
      <c r="CP2138" s="76">
        <f>+CO2138*46000</f>
        <v>0</v>
      </c>
      <c r="CQ2138" s="76"/>
      <c r="CR2138" s="76">
        <f>+CQ2138*49000</f>
        <v>0</v>
      </c>
      <c r="CS2138" s="76"/>
      <c r="CT2138" s="76"/>
      <c r="CU2138" s="56">
        <f>AN2138+AP2138+AR2138+AT2138+AV2138+AX2138+AZ2138+BB2138+BD2138+BF2138+BH2138+BJ2138+BL2138+BN2138+BP2138+BR2138+BT2138+BV2138+BX2138+BZ2138+CB2138+CD2138+CF2138+CH2138+CJ2138+CL2138+CN2138+CP2138+CR2138+CT2138</f>
        <v>0</v>
      </c>
      <c r="CV2138" s="76"/>
      <c r="CW2138" s="76">
        <f>+CV2138*1100</f>
        <v>0</v>
      </c>
      <c r="CX2138" s="76"/>
      <c r="CY2138" s="76">
        <f>+CX2138*106250</f>
        <v>0</v>
      </c>
      <c r="CZ2138" s="76"/>
      <c r="DA2138" s="76">
        <f>+CZ2138*34500</f>
        <v>0</v>
      </c>
      <c r="DB2138" s="76"/>
      <c r="DC2138" s="76">
        <f>+DB2138*25000</f>
        <v>0</v>
      </c>
      <c r="DD2138" s="219"/>
      <c r="DE2138" s="219"/>
      <c r="DF2138" s="166"/>
      <c r="DG2138" s="116"/>
      <c r="DH2138" s="117"/>
      <c r="DI2138" s="24"/>
      <c r="DJ2138" s="24"/>
      <c r="DK2138" s="24"/>
      <c r="DL2138" s="24"/>
      <c r="DM2138" s="24"/>
      <c r="DN2138" s="24"/>
      <c r="DO2138" s="24"/>
      <c r="DP2138" s="24"/>
      <c r="DQ2138" s="24"/>
      <c r="DR2138" s="24"/>
      <c r="DS2138" s="24"/>
      <c r="DT2138" s="24"/>
      <c r="DU2138" s="24"/>
    </row>
    <row r="2139" spans="1:125" s="8" customFormat="1" ht="108" x14ac:dyDescent="0.2">
      <c r="A2139" s="77">
        <v>41443</v>
      </c>
      <c r="B2139" s="78" t="s">
        <v>2854</v>
      </c>
      <c r="C2139" s="75" t="s">
        <v>2777</v>
      </c>
      <c r="D2139" s="75" t="s">
        <v>3051</v>
      </c>
      <c r="E2139" s="75" t="str">
        <f>VLOOKUP(B2139&amp;C2139,Divipola!$C$2:$F$1138,4,FALSE)</f>
        <v>19100</v>
      </c>
      <c r="F2139" s="87"/>
      <c r="G2139" s="87"/>
      <c r="H2139" s="87"/>
      <c r="I2139" s="87"/>
      <c r="J2139" s="87"/>
      <c r="K2139" s="87"/>
      <c r="L2139" s="87"/>
      <c r="M2139" s="87"/>
      <c r="N2139" s="87">
        <v>1</v>
      </c>
      <c r="O2139" s="87"/>
      <c r="P2139" s="87"/>
      <c r="Q2139" s="87"/>
      <c r="R2139" s="87"/>
      <c r="S2139" s="87"/>
      <c r="T2139" s="87"/>
      <c r="U2139" s="88"/>
      <c r="V2139" s="89"/>
      <c r="W2139" s="96">
        <v>0</v>
      </c>
      <c r="X2139" s="71">
        <f>CU2139</f>
        <v>0</v>
      </c>
      <c r="Y2139" s="71">
        <f>CY2139</f>
        <v>0</v>
      </c>
      <c r="Z2139" s="71">
        <f>DA2139+DC2139+DE2139</f>
        <v>0</v>
      </c>
      <c r="AA2139" s="71">
        <f>CW2139</f>
        <v>0</v>
      </c>
      <c r="AB2139" s="71"/>
      <c r="AC2139" s="71">
        <v>0</v>
      </c>
      <c r="AD2139" s="71">
        <f>W2139+X2139+Y2139+Z2139+AA2139+AB2139+AC2139</f>
        <v>0</v>
      </c>
      <c r="AE2139" s="72">
        <v>0</v>
      </c>
      <c r="AF2139" s="5"/>
      <c r="AG2139" s="6"/>
      <c r="AH2139" s="27" t="s">
        <v>3392</v>
      </c>
      <c r="AI2139" s="44" t="s">
        <v>3393</v>
      </c>
      <c r="AJ2139" s="26"/>
      <c r="AK2139" s="5"/>
      <c r="AL2139" s="82" t="s">
        <v>4984</v>
      </c>
      <c r="AM2139" s="76"/>
      <c r="AN2139" s="76"/>
      <c r="AO2139" s="76"/>
      <c r="AP2139" s="76"/>
      <c r="AQ2139" s="76"/>
      <c r="AR2139" s="76"/>
      <c r="AS2139" s="76"/>
      <c r="AT2139" s="76"/>
      <c r="AU2139" s="76"/>
      <c r="AV2139" s="76"/>
      <c r="AW2139" s="76"/>
      <c r="AX2139" s="76">
        <f>+AW2139*600000</f>
        <v>0</v>
      </c>
      <c r="AY2139" s="76"/>
      <c r="AZ2139" s="76">
        <f>+AY2139*70000</f>
        <v>0</v>
      </c>
      <c r="BA2139" s="76"/>
      <c r="BB2139" s="76"/>
      <c r="BC2139" s="76"/>
      <c r="BD2139" s="76">
        <f>+BC2139*30000</f>
        <v>0</v>
      </c>
      <c r="BE2139" s="76"/>
      <c r="BF2139" s="76"/>
      <c r="BG2139" s="76"/>
      <c r="BH2139" s="76"/>
      <c r="BI2139" s="76"/>
      <c r="BJ2139" s="76"/>
      <c r="BK2139" s="76"/>
      <c r="BL2139" s="76">
        <f>+BK2139*31500</f>
        <v>0</v>
      </c>
      <c r="BM2139" s="76"/>
      <c r="BN2139" s="76"/>
      <c r="BO2139" s="76"/>
      <c r="BP2139" s="76"/>
      <c r="BQ2139" s="76"/>
      <c r="BR2139" s="76"/>
      <c r="BS2139" s="76"/>
      <c r="BT2139" s="76"/>
      <c r="BU2139" s="76"/>
      <c r="BV2139" s="76"/>
      <c r="BW2139" s="76"/>
      <c r="BX2139" s="76"/>
      <c r="BY2139" s="76"/>
      <c r="BZ2139" s="76"/>
      <c r="CA2139" s="76"/>
      <c r="CB2139" s="76"/>
      <c r="CC2139" s="76"/>
      <c r="CD2139" s="76"/>
      <c r="CE2139" s="76"/>
      <c r="CF2139" s="76">
        <f>+CE2139*28000</f>
        <v>0</v>
      </c>
      <c r="CG2139" s="76"/>
      <c r="CH2139" s="76">
        <f>+CG2139*22500</f>
        <v>0</v>
      </c>
      <c r="CI2139" s="76"/>
      <c r="CJ2139" s="76">
        <f>+CI2139*26000</f>
        <v>0</v>
      </c>
      <c r="CK2139" s="76"/>
      <c r="CL2139" s="76"/>
      <c r="CM2139" s="76"/>
      <c r="CN2139" s="76">
        <f>+CM2139*22000</f>
        <v>0</v>
      </c>
      <c r="CO2139" s="76"/>
      <c r="CP2139" s="76">
        <f>+CO2139*46000</f>
        <v>0</v>
      </c>
      <c r="CQ2139" s="76"/>
      <c r="CR2139" s="76">
        <f>+CQ2139*49000</f>
        <v>0</v>
      </c>
      <c r="CS2139" s="76"/>
      <c r="CT2139" s="76"/>
      <c r="CU2139" s="56">
        <f>AN2139+AP2139+AR2139+AT2139+AV2139+AX2139+AZ2139+BB2139+BD2139+BF2139+BH2139+BJ2139+BL2139+BN2139+BP2139+BR2139+BT2139+BV2139+BX2139+BZ2139+CB2139+CD2139+CF2139+CH2139+CJ2139+CL2139+CN2139+CP2139+CR2139+CT2139</f>
        <v>0</v>
      </c>
      <c r="CV2139" s="76"/>
      <c r="CW2139" s="76">
        <f>+CV2139*1100</f>
        <v>0</v>
      </c>
      <c r="CX2139" s="76"/>
      <c r="CY2139" s="76">
        <f>+CX2139*106250</f>
        <v>0</v>
      </c>
      <c r="CZ2139" s="76"/>
      <c r="DA2139" s="76">
        <f>+CZ2139*34500</f>
        <v>0</v>
      </c>
      <c r="DB2139" s="76"/>
      <c r="DC2139" s="76">
        <f>+DB2139*25000</f>
        <v>0</v>
      </c>
      <c r="DD2139" s="219"/>
      <c r="DE2139" s="219"/>
      <c r="DF2139" s="166"/>
      <c r="DG2139" s="116"/>
      <c r="DH2139" s="117"/>
      <c r="DI2139" s="24"/>
      <c r="DJ2139" s="24"/>
      <c r="DK2139" s="24"/>
      <c r="DL2139" s="24"/>
      <c r="DM2139" s="24"/>
      <c r="DN2139" s="24"/>
      <c r="DO2139" s="24"/>
      <c r="DP2139" s="24"/>
      <c r="DQ2139" s="24"/>
      <c r="DR2139" s="24"/>
      <c r="DS2139" s="24"/>
      <c r="DT2139" s="24"/>
      <c r="DU2139" s="24"/>
    </row>
    <row r="2140" spans="1:125" s="8" customFormat="1" ht="60" x14ac:dyDescent="0.2">
      <c r="A2140" s="353">
        <v>41443</v>
      </c>
      <c r="B2140" s="352" t="s">
        <v>2852</v>
      </c>
      <c r="C2140" s="354" t="s">
        <v>1327</v>
      </c>
      <c r="D2140" s="354" t="s">
        <v>3088</v>
      </c>
      <c r="E2140" s="75" t="str">
        <f>VLOOKUP(B2140&amp;C2140,Divipola!$C$2:$F$1138,4,FALSE)</f>
        <v>27001</v>
      </c>
      <c r="F2140" s="87"/>
      <c r="G2140" s="87"/>
      <c r="H2140" s="87"/>
      <c r="I2140" s="87">
        <v>158</v>
      </c>
      <c r="J2140" s="87">
        <v>37</v>
      </c>
      <c r="K2140" s="87">
        <v>1</v>
      </c>
      <c r="L2140" s="87">
        <v>6</v>
      </c>
      <c r="M2140" s="87"/>
      <c r="N2140" s="87"/>
      <c r="O2140" s="87"/>
      <c r="P2140" s="87"/>
      <c r="Q2140" s="87"/>
      <c r="R2140" s="87"/>
      <c r="S2140" s="87"/>
      <c r="T2140" s="87"/>
      <c r="U2140" s="88"/>
      <c r="V2140" s="89"/>
      <c r="W2140" s="96">
        <v>0</v>
      </c>
      <c r="X2140" s="71">
        <f>CU2140</f>
        <v>0</v>
      </c>
      <c r="Y2140" s="71">
        <f>CY2140</f>
        <v>0</v>
      </c>
      <c r="Z2140" s="71">
        <f>DA2140+DC2140+DE2140</f>
        <v>0</v>
      </c>
      <c r="AA2140" s="71">
        <f>CW2140</f>
        <v>0</v>
      </c>
      <c r="AB2140" s="71"/>
      <c r="AC2140" s="71">
        <v>0</v>
      </c>
      <c r="AD2140" s="71">
        <f>W2140+X2140+Y2140+Z2140+AA2140+AB2140+AC2140</f>
        <v>0</v>
      </c>
      <c r="AE2140" s="72">
        <v>0</v>
      </c>
      <c r="AF2140" s="5"/>
      <c r="AG2140" s="6"/>
      <c r="AH2140" s="27" t="s">
        <v>3392</v>
      </c>
      <c r="AI2140" s="44" t="s">
        <v>3393</v>
      </c>
      <c r="AJ2140" s="26"/>
      <c r="AK2140" s="5"/>
      <c r="AL2140" s="82" t="s">
        <v>5001</v>
      </c>
      <c r="AM2140" s="76"/>
      <c r="AN2140" s="76"/>
      <c r="AO2140" s="76"/>
      <c r="AP2140" s="76"/>
      <c r="AQ2140" s="76"/>
      <c r="AR2140" s="76"/>
      <c r="AS2140" s="76"/>
      <c r="AT2140" s="76"/>
      <c r="AU2140" s="76"/>
      <c r="AV2140" s="76"/>
      <c r="AW2140" s="76"/>
      <c r="AX2140" s="76">
        <f>+AW2140*600000</f>
        <v>0</v>
      </c>
      <c r="AY2140" s="76"/>
      <c r="AZ2140" s="76">
        <f>+AY2140*70000</f>
        <v>0</v>
      </c>
      <c r="BA2140" s="76"/>
      <c r="BB2140" s="76"/>
      <c r="BC2140" s="76"/>
      <c r="BD2140" s="76">
        <f>+BC2140*30000</f>
        <v>0</v>
      </c>
      <c r="BE2140" s="76"/>
      <c r="BF2140" s="76"/>
      <c r="BG2140" s="76"/>
      <c r="BH2140" s="76"/>
      <c r="BI2140" s="76"/>
      <c r="BJ2140" s="76"/>
      <c r="BK2140" s="76"/>
      <c r="BL2140" s="76">
        <f>+BK2140*31500</f>
        <v>0</v>
      </c>
      <c r="BM2140" s="76"/>
      <c r="BN2140" s="76"/>
      <c r="BO2140" s="76"/>
      <c r="BP2140" s="76"/>
      <c r="BQ2140" s="76"/>
      <c r="BR2140" s="76"/>
      <c r="BS2140" s="76"/>
      <c r="BT2140" s="76"/>
      <c r="BU2140" s="76"/>
      <c r="BV2140" s="76"/>
      <c r="BW2140" s="76"/>
      <c r="BX2140" s="76"/>
      <c r="BY2140" s="76"/>
      <c r="BZ2140" s="76"/>
      <c r="CA2140" s="76"/>
      <c r="CB2140" s="76"/>
      <c r="CC2140" s="76"/>
      <c r="CD2140" s="76"/>
      <c r="CE2140" s="76"/>
      <c r="CF2140" s="76">
        <f>+CE2140*28000</f>
        <v>0</v>
      </c>
      <c r="CG2140" s="76"/>
      <c r="CH2140" s="76">
        <f>+CG2140*22500</f>
        <v>0</v>
      </c>
      <c r="CI2140" s="76"/>
      <c r="CJ2140" s="76">
        <f>+CI2140*26000</f>
        <v>0</v>
      </c>
      <c r="CK2140" s="76"/>
      <c r="CL2140" s="76"/>
      <c r="CM2140" s="76"/>
      <c r="CN2140" s="76">
        <f>+CM2140*22000</f>
        <v>0</v>
      </c>
      <c r="CO2140" s="76"/>
      <c r="CP2140" s="76">
        <f>+CO2140*46000</f>
        <v>0</v>
      </c>
      <c r="CQ2140" s="76"/>
      <c r="CR2140" s="76">
        <f>+CQ2140*49000</f>
        <v>0</v>
      </c>
      <c r="CS2140" s="76"/>
      <c r="CT2140" s="76"/>
      <c r="CU2140" s="56">
        <f>AN2140+AP2140+AR2140+AT2140+AV2140+AX2140+AZ2140+BB2140+BD2140+BF2140+BH2140+BJ2140+BL2140+BN2140+BP2140+BR2140+BT2140+BV2140+BX2140+BZ2140+CB2140+CD2140+CF2140+CH2140+CJ2140+CL2140+CN2140+CP2140+CR2140+CT2140</f>
        <v>0</v>
      </c>
      <c r="CV2140" s="76"/>
      <c r="CW2140" s="76">
        <f>+CV2140*1100</f>
        <v>0</v>
      </c>
      <c r="CX2140" s="76"/>
      <c r="CY2140" s="76">
        <f>+CX2140*106250</f>
        <v>0</v>
      </c>
      <c r="CZ2140" s="76"/>
      <c r="DA2140" s="76">
        <f>+CZ2140*34500</f>
        <v>0</v>
      </c>
      <c r="DB2140" s="76"/>
      <c r="DC2140" s="76">
        <f>+DB2140*25000</f>
        <v>0</v>
      </c>
      <c r="DD2140" s="219"/>
      <c r="DE2140" s="219"/>
      <c r="DF2140" s="166"/>
      <c r="DG2140" s="116"/>
      <c r="DH2140" s="117"/>
      <c r="DI2140" s="24"/>
      <c r="DJ2140" s="24"/>
      <c r="DK2140" s="24"/>
      <c r="DL2140" s="24"/>
      <c r="DM2140" s="24"/>
      <c r="DN2140" s="24"/>
      <c r="DO2140" s="24"/>
      <c r="DP2140" s="24"/>
      <c r="DQ2140" s="24"/>
      <c r="DR2140" s="24"/>
      <c r="DS2140" s="24"/>
      <c r="DT2140" s="24"/>
      <c r="DU2140" s="24"/>
    </row>
    <row r="2141" spans="1:125" s="8" customFormat="1" ht="60" x14ac:dyDescent="0.2">
      <c r="A2141" s="77">
        <v>41443</v>
      </c>
      <c r="B2141" s="78" t="s">
        <v>2772</v>
      </c>
      <c r="C2141" s="75" t="s">
        <v>1047</v>
      </c>
      <c r="D2141" s="75" t="s">
        <v>2846</v>
      </c>
      <c r="E2141" s="75" t="str">
        <f>VLOOKUP(B2141&amp;C2141,Divipola!$C$2:$F$1138,4,FALSE)</f>
        <v>25260</v>
      </c>
      <c r="F2141" s="87"/>
      <c r="G2141" s="87"/>
      <c r="H2141" s="87"/>
      <c r="I2141" s="87"/>
      <c r="J2141" s="87"/>
      <c r="K2141" s="87"/>
      <c r="L2141" s="87"/>
      <c r="M2141" s="87"/>
      <c r="N2141" s="87"/>
      <c r="O2141" s="87"/>
      <c r="P2141" s="87"/>
      <c r="Q2141" s="87"/>
      <c r="R2141" s="87"/>
      <c r="S2141" s="87"/>
      <c r="T2141" s="87"/>
      <c r="U2141" s="88">
        <v>4</v>
      </c>
      <c r="V2141" s="89"/>
      <c r="W2141" s="96">
        <v>0</v>
      </c>
      <c r="X2141" s="71">
        <f>CU2141</f>
        <v>0</v>
      </c>
      <c r="Y2141" s="71">
        <f>CY2141</f>
        <v>0</v>
      </c>
      <c r="Z2141" s="71">
        <f>DA2141+DC2141+DE2141</f>
        <v>0</v>
      </c>
      <c r="AA2141" s="71">
        <f>CW2141</f>
        <v>0</v>
      </c>
      <c r="AB2141" s="71"/>
      <c r="AC2141" s="71">
        <v>0</v>
      </c>
      <c r="AD2141" s="71">
        <f>W2141+X2141+Y2141+Z2141+AA2141+AB2141+AC2141</f>
        <v>0</v>
      </c>
      <c r="AE2141" s="72">
        <v>0</v>
      </c>
      <c r="AF2141" s="5"/>
      <c r="AG2141" s="6"/>
      <c r="AH2141" s="27" t="s">
        <v>3392</v>
      </c>
      <c r="AI2141" s="44" t="s">
        <v>3393</v>
      </c>
      <c r="AJ2141" s="26"/>
      <c r="AK2141" s="5"/>
      <c r="AL2141" s="82" t="s">
        <v>4993</v>
      </c>
      <c r="AM2141" s="76"/>
      <c r="AN2141" s="76"/>
      <c r="AO2141" s="76"/>
      <c r="AP2141" s="76"/>
      <c r="AQ2141" s="76"/>
      <c r="AR2141" s="76"/>
      <c r="AS2141" s="76"/>
      <c r="AT2141" s="76"/>
      <c r="AU2141" s="76"/>
      <c r="AV2141" s="76"/>
      <c r="AW2141" s="76"/>
      <c r="AX2141" s="76">
        <f>+AW2141*600000</f>
        <v>0</v>
      </c>
      <c r="AY2141" s="76"/>
      <c r="AZ2141" s="76">
        <f>+AY2141*70000</f>
        <v>0</v>
      </c>
      <c r="BA2141" s="76"/>
      <c r="BB2141" s="76"/>
      <c r="BC2141" s="76"/>
      <c r="BD2141" s="76">
        <f>+BC2141*30000</f>
        <v>0</v>
      </c>
      <c r="BE2141" s="76"/>
      <c r="BF2141" s="76"/>
      <c r="BG2141" s="76"/>
      <c r="BH2141" s="76"/>
      <c r="BI2141" s="76"/>
      <c r="BJ2141" s="76"/>
      <c r="BK2141" s="76"/>
      <c r="BL2141" s="76">
        <f>+BK2141*31500</f>
        <v>0</v>
      </c>
      <c r="BM2141" s="76"/>
      <c r="BN2141" s="76"/>
      <c r="BO2141" s="76"/>
      <c r="BP2141" s="76"/>
      <c r="BQ2141" s="76"/>
      <c r="BR2141" s="76"/>
      <c r="BS2141" s="76"/>
      <c r="BT2141" s="76"/>
      <c r="BU2141" s="76"/>
      <c r="BV2141" s="76"/>
      <c r="BW2141" s="76"/>
      <c r="BX2141" s="76"/>
      <c r="BY2141" s="76"/>
      <c r="BZ2141" s="76"/>
      <c r="CA2141" s="76"/>
      <c r="CB2141" s="76"/>
      <c r="CC2141" s="76"/>
      <c r="CD2141" s="76"/>
      <c r="CE2141" s="76"/>
      <c r="CF2141" s="76">
        <f>+CE2141*28000</f>
        <v>0</v>
      </c>
      <c r="CG2141" s="76"/>
      <c r="CH2141" s="76">
        <f>+CG2141*22500</f>
        <v>0</v>
      </c>
      <c r="CI2141" s="76"/>
      <c r="CJ2141" s="76">
        <f>+CI2141*26000</f>
        <v>0</v>
      </c>
      <c r="CK2141" s="76"/>
      <c r="CL2141" s="76"/>
      <c r="CM2141" s="76"/>
      <c r="CN2141" s="76">
        <f>+CM2141*22000</f>
        <v>0</v>
      </c>
      <c r="CO2141" s="76"/>
      <c r="CP2141" s="76">
        <f>+CO2141*46000</f>
        <v>0</v>
      </c>
      <c r="CQ2141" s="76"/>
      <c r="CR2141" s="76">
        <f>+CQ2141*49000</f>
        <v>0</v>
      </c>
      <c r="CS2141" s="76"/>
      <c r="CT2141" s="76"/>
      <c r="CU2141" s="56">
        <f>AN2141+AP2141+AR2141+AT2141+AV2141+AX2141+AZ2141+BB2141+BD2141+BF2141+BH2141+BJ2141+BL2141+BN2141+BP2141+BR2141+BT2141+BV2141+BX2141+BZ2141+CB2141+CD2141+CF2141+CH2141+CJ2141+CL2141+CN2141+CP2141+CR2141+CT2141</f>
        <v>0</v>
      </c>
      <c r="CV2141" s="76"/>
      <c r="CW2141" s="76">
        <f>+CV2141*1100</f>
        <v>0</v>
      </c>
      <c r="CX2141" s="76"/>
      <c r="CY2141" s="76">
        <f>+CX2141*106250</f>
        <v>0</v>
      </c>
      <c r="CZ2141" s="76"/>
      <c r="DA2141" s="76">
        <f>+CZ2141*34500</f>
        <v>0</v>
      </c>
      <c r="DB2141" s="76"/>
      <c r="DC2141" s="76">
        <f>+DB2141*25000</f>
        <v>0</v>
      </c>
      <c r="DD2141" s="219"/>
      <c r="DE2141" s="219"/>
      <c r="DF2141" s="166"/>
      <c r="DG2141" s="116"/>
      <c r="DH2141" s="117"/>
      <c r="DI2141" s="24"/>
      <c r="DJ2141" s="24"/>
      <c r="DK2141" s="24"/>
      <c r="DL2141" s="24"/>
      <c r="DM2141" s="24"/>
      <c r="DN2141" s="24"/>
      <c r="DO2141" s="24"/>
      <c r="DP2141" s="24"/>
      <c r="DQ2141" s="24"/>
      <c r="DR2141" s="24"/>
      <c r="DS2141" s="24"/>
      <c r="DT2141" s="24"/>
      <c r="DU2141" s="24"/>
    </row>
    <row r="2142" spans="1:125" s="8" customFormat="1" ht="96" x14ac:dyDescent="0.2">
      <c r="A2142" s="353">
        <v>41443</v>
      </c>
      <c r="B2142" s="225" t="s">
        <v>2848</v>
      </c>
      <c r="C2142" s="227" t="s">
        <v>1383</v>
      </c>
      <c r="D2142" s="227" t="s">
        <v>2859</v>
      </c>
      <c r="E2142" s="75" t="str">
        <f>VLOOKUP(B2142&amp;C2142,Divipola!$C$2:$F$1138,4,FALSE)</f>
        <v>73483</v>
      </c>
      <c r="F2142" s="87"/>
      <c r="G2142" s="87"/>
      <c r="H2142" s="87"/>
      <c r="I2142" s="87">
        <v>5</v>
      </c>
      <c r="J2142" s="87">
        <v>1</v>
      </c>
      <c r="K2142" s="87"/>
      <c r="L2142" s="87">
        <v>1</v>
      </c>
      <c r="M2142" s="87"/>
      <c r="N2142" s="87"/>
      <c r="O2142" s="87"/>
      <c r="P2142" s="87"/>
      <c r="Q2142" s="87"/>
      <c r="R2142" s="87"/>
      <c r="S2142" s="87"/>
      <c r="T2142" s="87"/>
      <c r="U2142" s="88"/>
      <c r="V2142" s="89"/>
      <c r="W2142" s="96">
        <v>0</v>
      </c>
      <c r="X2142" s="71">
        <f>CU2142</f>
        <v>0</v>
      </c>
      <c r="Y2142" s="71">
        <f>CY2142</f>
        <v>0</v>
      </c>
      <c r="Z2142" s="71">
        <f>DA2142+DC2142+DE2142</f>
        <v>0</v>
      </c>
      <c r="AA2142" s="71">
        <f>CW2142</f>
        <v>0</v>
      </c>
      <c r="AB2142" s="71"/>
      <c r="AC2142" s="71">
        <v>0</v>
      </c>
      <c r="AD2142" s="71">
        <f>W2142+X2142+Y2142+Z2142+AA2142+AB2142+AC2142</f>
        <v>0</v>
      </c>
      <c r="AE2142" s="72">
        <v>0</v>
      </c>
      <c r="AF2142" s="5"/>
      <c r="AG2142" s="6"/>
      <c r="AH2142" s="27" t="s">
        <v>3392</v>
      </c>
      <c r="AI2142" s="44" t="s">
        <v>3393</v>
      </c>
      <c r="AJ2142" s="26"/>
      <c r="AK2142" s="5"/>
      <c r="AL2142" s="82" t="s">
        <v>4973</v>
      </c>
      <c r="AM2142" s="76"/>
      <c r="AN2142" s="76"/>
      <c r="AO2142" s="76"/>
      <c r="AP2142" s="76"/>
      <c r="AQ2142" s="76"/>
      <c r="AR2142" s="76"/>
      <c r="AS2142" s="76"/>
      <c r="AT2142" s="76"/>
      <c r="AU2142" s="76"/>
      <c r="AV2142" s="76"/>
      <c r="AW2142" s="76"/>
      <c r="AX2142" s="76">
        <f>+AW2142*600000</f>
        <v>0</v>
      </c>
      <c r="AY2142" s="76"/>
      <c r="AZ2142" s="76">
        <f>+AY2142*70000</f>
        <v>0</v>
      </c>
      <c r="BA2142" s="76"/>
      <c r="BB2142" s="76"/>
      <c r="BC2142" s="76"/>
      <c r="BD2142" s="76">
        <f>+BC2142*30000</f>
        <v>0</v>
      </c>
      <c r="BE2142" s="76"/>
      <c r="BF2142" s="76"/>
      <c r="BG2142" s="76"/>
      <c r="BH2142" s="76"/>
      <c r="BI2142" s="76"/>
      <c r="BJ2142" s="76"/>
      <c r="BK2142" s="76"/>
      <c r="BL2142" s="76">
        <f>+BK2142*31500</f>
        <v>0</v>
      </c>
      <c r="BM2142" s="76"/>
      <c r="BN2142" s="76"/>
      <c r="BO2142" s="76"/>
      <c r="BP2142" s="76"/>
      <c r="BQ2142" s="76"/>
      <c r="BR2142" s="76"/>
      <c r="BS2142" s="76"/>
      <c r="BT2142" s="76"/>
      <c r="BU2142" s="76"/>
      <c r="BV2142" s="76"/>
      <c r="BW2142" s="76"/>
      <c r="BX2142" s="76"/>
      <c r="BY2142" s="76"/>
      <c r="BZ2142" s="76"/>
      <c r="CA2142" s="76"/>
      <c r="CB2142" s="76"/>
      <c r="CC2142" s="76"/>
      <c r="CD2142" s="76"/>
      <c r="CE2142" s="76"/>
      <c r="CF2142" s="76">
        <f>+CE2142*28000</f>
        <v>0</v>
      </c>
      <c r="CG2142" s="76"/>
      <c r="CH2142" s="76">
        <f>+CG2142*22500</f>
        <v>0</v>
      </c>
      <c r="CI2142" s="76"/>
      <c r="CJ2142" s="76">
        <f>+CI2142*26000</f>
        <v>0</v>
      </c>
      <c r="CK2142" s="76"/>
      <c r="CL2142" s="76"/>
      <c r="CM2142" s="76"/>
      <c r="CN2142" s="76">
        <f>+CM2142*22000</f>
        <v>0</v>
      </c>
      <c r="CO2142" s="76"/>
      <c r="CP2142" s="76">
        <f>+CO2142*46000</f>
        <v>0</v>
      </c>
      <c r="CQ2142" s="76"/>
      <c r="CR2142" s="76">
        <f>+CQ2142*49000</f>
        <v>0</v>
      </c>
      <c r="CS2142" s="76"/>
      <c r="CT2142" s="76"/>
      <c r="CU2142" s="56">
        <f>AN2142+AP2142+AR2142+AT2142+AV2142+AX2142+AZ2142+BB2142+BD2142+BF2142+BH2142+BJ2142+BL2142+BN2142+BP2142+BR2142+BT2142+BV2142+BX2142+BZ2142+CB2142+CD2142+CF2142+CH2142+CJ2142+CL2142+CN2142+CP2142+CR2142+CT2142</f>
        <v>0</v>
      </c>
      <c r="CV2142" s="76"/>
      <c r="CW2142" s="76">
        <f>+CV2142*1100</f>
        <v>0</v>
      </c>
      <c r="CX2142" s="76"/>
      <c r="CY2142" s="76">
        <f>+CX2142*106250</f>
        <v>0</v>
      </c>
      <c r="CZ2142" s="76"/>
      <c r="DA2142" s="76">
        <f>+CZ2142*34500</f>
        <v>0</v>
      </c>
      <c r="DB2142" s="76"/>
      <c r="DC2142" s="76">
        <f>+DB2142*25000</f>
        <v>0</v>
      </c>
      <c r="DD2142" s="219"/>
      <c r="DE2142" s="219"/>
      <c r="DF2142" s="166"/>
      <c r="DG2142" s="116"/>
      <c r="DH2142" s="117"/>
      <c r="DI2142" s="24"/>
      <c r="DJ2142" s="24"/>
      <c r="DK2142" s="24"/>
      <c r="DL2142" s="24"/>
      <c r="DM2142" s="24"/>
      <c r="DN2142" s="24"/>
      <c r="DO2142" s="24"/>
      <c r="DP2142" s="24"/>
      <c r="DQ2142" s="24"/>
      <c r="DR2142" s="24"/>
      <c r="DS2142" s="24"/>
      <c r="DT2142" s="24"/>
      <c r="DU2142" s="24"/>
    </row>
    <row r="2143" spans="1:125" s="8" customFormat="1" ht="132" x14ac:dyDescent="0.2">
      <c r="A2143" s="77">
        <v>41443</v>
      </c>
      <c r="B2143" s="352" t="s">
        <v>2851</v>
      </c>
      <c r="C2143" s="354" t="s">
        <v>2089</v>
      </c>
      <c r="D2143" s="354" t="s">
        <v>2936</v>
      </c>
      <c r="E2143" s="75" t="str">
        <f>VLOOKUP(B2143&amp;C2143,Divipola!$C$2:$F$1138,4,FALSE)</f>
        <v>76823</v>
      </c>
      <c r="F2143" s="87"/>
      <c r="G2143" s="87">
        <v>4</v>
      </c>
      <c r="H2143" s="87"/>
      <c r="I2143" s="87">
        <v>4</v>
      </c>
      <c r="J2143" s="87"/>
      <c r="K2143" s="87"/>
      <c r="L2143" s="87"/>
      <c r="M2143" s="87"/>
      <c r="N2143" s="87"/>
      <c r="O2143" s="87"/>
      <c r="P2143" s="87"/>
      <c r="Q2143" s="87"/>
      <c r="R2143" s="87"/>
      <c r="S2143" s="87"/>
      <c r="T2143" s="87"/>
      <c r="U2143" s="88"/>
      <c r="V2143" s="89"/>
      <c r="W2143" s="96">
        <v>0</v>
      </c>
      <c r="X2143" s="71">
        <f>CU2143</f>
        <v>0</v>
      </c>
      <c r="Y2143" s="71">
        <f>CY2143</f>
        <v>0</v>
      </c>
      <c r="Z2143" s="71">
        <f>DA2143+DC2143+DE2143</f>
        <v>0</v>
      </c>
      <c r="AA2143" s="71">
        <f>CW2143</f>
        <v>0</v>
      </c>
      <c r="AB2143" s="71"/>
      <c r="AC2143" s="71">
        <v>0</v>
      </c>
      <c r="AD2143" s="71">
        <f>W2143+X2143+Y2143+Z2143+AA2143+AB2143+AC2143</f>
        <v>0</v>
      </c>
      <c r="AE2143" s="72">
        <v>0</v>
      </c>
      <c r="AF2143" s="5"/>
      <c r="AG2143" s="6"/>
      <c r="AH2143" s="27" t="s">
        <v>3392</v>
      </c>
      <c r="AI2143" s="44" t="s">
        <v>3393</v>
      </c>
      <c r="AJ2143" s="26"/>
      <c r="AK2143" s="5"/>
      <c r="AL2143" s="82" t="s">
        <v>4979</v>
      </c>
      <c r="AM2143" s="76"/>
      <c r="AN2143" s="76"/>
      <c r="AO2143" s="76"/>
      <c r="AP2143" s="76"/>
      <c r="AQ2143" s="76"/>
      <c r="AR2143" s="76"/>
      <c r="AS2143" s="76"/>
      <c r="AT2143" s="76"/>
      <c r="AU2143" s="76"/>
      <c r="AV2143" s="76"/>
      <c r="AW2143" s="76"/>
      <c r="AX2143" s="76">
        <f>+AW2143*600000</f>
        <v>0</v>
      </c>
      <c r="AY2143" s="76"/>
      <c r="AZ2143" s="76">
        <f>+AY2143*70000</f>
        <v>0</v>
      </c>
      <c r="BA2143" s="76"/>
      <c r="BB2143" s="76"/>
      <c r="BC2143" s="76"/>
      <c r="BD2143" s="76">
        <f>+BC2143*30000</f>
        <v>0</v>
      </c>
      <c r="BE2143" s="76"/>
      <c r="BF2143" s="76"/>
      <c r="BG2143" s="76"/>
      <c r="BH2143" s="76"/>
      <c r="BI2143" s="76"/>
      <c r="BJ2143" s="76"/>
      <c r="BK2143" s="76"/>
      <c r="BL2143" s="76">
        <f>+BK2143*31500</f>
        <v>0</v>
      </c>
      <c r="BM2143" s="76"/>
      <c r="BN2143" s="76"/>
      <c r="BO2143" s="76"/>
      <c r="BP2143" s="76"/>
      <c r="BQ2143" s="76"/>
      <c r="BR2143" s="76"/>
      <c r="BS2143" s="76"/>
      <c r="BT2143" s="76"/>
      <c r="BU2143" s="76"/>
      <c r="BV2143" s="76"/>
      <c r="BW2143" s="76"/>
      <c r="BX2143" s="76"/>
      <c r="BY2143" s="76"/>
      <c r="BZ2143" s="76"/>
      <c r="CA2143" s="76"/>
      <c r="CB2143" s="76"/>
      <c r="CC2143" s="76"/>
      <c r="CD2143" s="76"/>
      <c r="CE2143" s="76"/>
      <c r="CF2143" s="76">
        <f>+CE2143*28000</f>
        <v>0</v>
      </c>
      <c r="CG2143" s="76"/>
      <c r="CH2143" s="76">
        <f>+CG2143*22500</f>
        <v>0</v>
      </c>
      <c r="CI2143" s="76"/>
      <c r="CJ2143" s="76">
        <f>+CI2143*26000</f>
        <v>0</v>
      </c>
      <c r="CK2143" s="76"/>
      <c r="CL2143" s="76"/>
      <c r="CM2143" s="76"/>
      <c r="CN2143" s="76">
        <f>+CM2143*22000</f>
        <v>0</v>
      </c>
      <c r="CO2143" s="76"/>
      <c r="CP2143" s="76">
        <f>+CO2143*46000</f>
        <v>0</v>
      </c>
      <c r="CQ2143" s="76"/>
      <c r="CR2143" s="76">
        <f>+CQ2143*49000</f>
        <v>0</v>
      </c>
      <c r="CS2143" s="76"/>
      <c r="CT2143" s="76"/>
      <c r="CU2143" s="56">
        <f>AN2143+AP2143+AR2143+AT2143+AV2143+AX2143+AZ2143+BB2143+BD2143+BF2143+BH2143+BJ2143+BL2143+BN2143+BP2143+BR2143+BT2143+BV2143+BX2143+BZ2143+CB2143+CD2143+CF2143+CH2143+CJ2143+CL2143+CN2143+CP2143+CR2143+CT2143</f>
        <v>0</v>
      </c>
      <c r="CV2143" s="76"/>
      <c r="CW2143" s="76">
        <f>+CV2143*1100</f>
        <v>0</v>
      </c>
      <c r="CX2143" s="76"/>
      <c r="CY2143" s="76">
        <f>+CX2143*106250</f>
        <v>0</v>
      </c>
      <c r="CZ2143" s="76"/>
      <c r="DA2143" s="76">
        <f>+CZ2143*34500</f>
        <v>0</v>
      </c>
      <c r="DB2143" s="76"/>
      <c r="DC2143" s="76">
        <f>+DB2143*25000</f>
        <v>0</v>
      </c>
      <c r="DD2143" s="219"/>
      <c r="DE2143" s="219"/>
      <c r="DF2143" s="166"/>
      <c r="DG2143" s="116"/>
      <c r="DH2143" s="117"/>
      <c r="DI2143" s="24"/>
      <c r="DJ2143" s="24"/>
      <c r="DK2143" s="24"/>
      <c r="DL2143" s="24"/>
      <c r="DM2143" s="24"/>
      <c r="DN2143" s="24"/>
      <c r="DO2143" s="24"/>
      <c r="DP2143" s="24"/>
      <c r="DQ2143" s="24"/>
      <c r="DR2143" s="24"/>
      <c r="DS2143" s="24"/>
      <c r="DT2143" s="24"/>
      <c r="DU2143" s="24"/>
    </row>
    <row r="2144" spans="1:125" s="8" customFormat="1" ht="84" x14ac:dyDescent="0.2">
      <c r="A2144" s="353">
        <v>41443</v>
      </c>
      <c r="B2144" s="352" t="s">
        <v>2851</v>
      </c>
      <c r="C2144" s="354" t="s">
        <v>2201</v>
      </c>
      <c r="D2144" s="354" t="s">
        <v>2882</v>
      </c>
      <c r="E2144" s="75" t="str">
        <f>VLOOKUP(B2144&amp;C2144,Divipola!$C$2:$F$1138,4,FALSE)</f>
        <v>76863</v>
      </c>
      <c r="F2144" s="87"/>
      <c r="G2144" s="87"/>
      <c r="H2144" s="87"/>
      <c r="I2144" s="87">
        <v>270</v>
      </c>
      <c r="J2144" s="87">
        <v>54</v>
      </c>
      <c r="K2144" s="87"/>
      <c r="L2144" s="87">
        <v>54</v>
      </c>
      <c r="M2144" s="87"/>
      <c r="N2144" s="87"/>
      <c r="O2144" s="87"/>
      <c r="P2144" s="87"/>
      <c r="Q2144" s="87"/>
      <c r="R2144" s="87"/>
      <c r="S2144" s="87"/>
      <c r="T2144" s="87"/>
      <c r="U2144" s="88">
        <v>25.2</v>
      </c>
      <c r="V2144" s="89"/>
      <c r="W2144" s="96">
        <v>0</v>
      </c>
      <c r="X2144" s="71">
        <f>CU2144</f>
        <v>0</v>
      </c>
      <c r="Y2144" s="71">
        <f>CY2144</f>
        <v>0</v>
      </c>
      <c r="Z2144" s="71">
        <f>DA2144+DC2144+DE2144</f>
        <v>0</v>
      </c>
      <c r="AA2144" s="71">
        <f>CW2144</f>
        <v>0</v>
      </c>
      <c r="AB2144" s="71"/>
      <c r="AC2144" s="71">
        <v>0</v>
      </c>
      <c r="AD2144" s="71">
        <f>W2144+X2144+Y2144+Z2144+AA2144+AB2144+AC2144</f>
        <v>0</v>
      </c>
      <c r="AE2144" s="72">
        <v>0</v>
      </c>
      <c r="AF2144" s="5"/>
      <c r="AG2144" s="6"/>
      <c r="AH2144" s="27" t="s">
        <v>3390</v>
      </c>
      <c r="AI2144" s="44" t="s">
        <v>3393</v>
      </c>
      <c r="AJ2144" s="26"/>
      <c r="AK2144" s="5" t="s">
        <v>4242</v>
      </c>
      <c r="AL2144" s="82" t="s">
        <v>5007</v>
      </c>
      <c r="AM2144" s="76"/>
      <c r="AN2144" s="76"/>
      <c r="AO2144" s="76"/>
      <c r="AP2144" s="76"/>
      <c r="AQ2144" s="76"/>
      <c r="AR2144" s="76"/>
      <c r="AS2144" s="76"/>
      <c r="AT2144" s="76"/>
      <c r="AU2144" s="76"/>
      <c r="AV2144" s="76"/>
      <c r="AW2144" s="76"/>
      <c r="AX2144" s="76">
        <f>+AW2144*600000</f>
        <v>0</v>
      </c>
      <c r="AY2144" s="76"/>
      <c r="AZ2144" s="76">
        <f>+AY2144*70000</f>
        <v>0</v>
      </c>
      <c r="BA2144" s="76"/>
      <c r="BB2144" s="76"/>
      <c r="BC2144" s="76"/>
      <c r="BD2144" s="76">
        <f>+BC2144*30000</f>
        <v>0</v>
      </c>
      <c r="BE2144" s="76"/>
      <c r="BF2144" s="76"/>
      <c r="BG2144" s="76"/>
      <c r="BH2144" s="76"/>
      <c r="BI2144" s="76"/>
      <c r="BJ2144" s="76"/>
      <c r="BK2144" s="76"/>
      <c r="BL2144" s="76">
        <f>+BK2144*31500</f>
        <v>0</v>
      </c>
      <c r="BM2144" s="76"/>
      <c r="BN2144" s="76"/>
      <c r="BO2144" s="76"/>
      <c r="BP2144" s="76"/>
      <c r="BQ2144" s="76"/>
      <c r="BR2144" s="76"/>
      <c r="BS2144" s="76"/>
      <c r="BT2144" s="76"/>
      <c r="BU2144" s="76"/>
      <c r="BV2144" s="76"/>
      <c r="BW2144" s="76"/>
      <c r="BX2144" s="76"/>
      <c r="BY2144" s="76"/>
      <c r="BZ2144" s="76"/>
      <c r="CA2144" s="76"/>
      <c r="CB2144" s="76"/>
      <c r="CC2144" s="76"/>
      <c r="CD2144" s="76"/>
      <c r="CE2144" s="76"/>
      <c r="CF2144" s="76">
        <f>+CE2144*28000</f>
        <v>0</v>
      </c>
      <c r="CG2144" s="76"/>
      <c r="CH2144" s="76">
        <f>+CG2144*22500</f>
        <v>0</v>
      </c>
      <c r="CI2144" s="76"/>
      <c r="CJ2144" s="76">
        <f>+CI2144*26000</f>
        <v>0</v>
      </c>
      <c r="CK2144" s="76"/>
      <c r="CL2144" s="76"/>
      <c r="CM2144" s="76"/>
      <c r="CN2144" s="76">
        <f>+CM2144*22000</f>
        <v>0</v>
      </c>
      <c r="CO2144" s="76"/>
      <c r="CP2144" s="76">
        <f>+CO2144*46000</f>
        <v>0</v>
      </c>
      <c r="CQ2144" s="76"/>
      <c r="CR2144" s="76">
        <f>+CQ2144*49000</f>
        <v>0</v>
      </c>
      <c r="CS2144" s="76"/>
      <c r="CT2144" s="76"/>
      <c r="CU2144" s="56">
        <f>AN2144+AP2144+AR2144+AT2144+AV2144+AX2144+AZ2144+BB2144+BD2144+BF2144+BH2144+BJ2144+BL2144+BN2144+BP2144+BR2144+BT2144+BV2144+BX2144+BZ2144+CB2144+CD2144+CF2144+CH2144+CJ2144+CL2144+CN2144+CP2144+CR2144+CT2144</f>
        <v>0</v>
      </c>
      <c r="CV2144" s="76"/>
      <c r="CW2144" s="76">
        <f>+CV2144*1100</f>
        <v>0</v>
      </c>
      <c r="CX2144" s="76"/>
      <c r="CY2144" s="76">
        <f>+CX2144*106250</f>
        <v>0</v>
      </c>
      <c r="CZ2144" s="76"/>
      <c r="DA2144" s="76">
        <f>+CZ2144*34500</f>
        <v>0</v>
      </c>
      <c r="DB2144" s="76"/>
      <c r="DC2144" s="76">
        <f>+DB2144*25000</f>
        <v>0</v>
      </c>
      <c r="DD2144" s="219"/>
      <c r="DE2144" s="219"/>
      <c r="DF2144" s="166"/>
      <c r="DG2144" s="116"/>
      <c r="DH2144" s="117"/>
      <c r="DI2144" s="24"/>
      <c r="DJ2144" s="24"/>
      <c r="DK2144" s="24"/>
      <c r="DL2144" s="24"/>
      <c r="DM2144" s="24"/>
      <c r="DN2144" s="24"/>
      <c r="DO2144" s="24"/>
      <c r="DP2144" s="24"/>
      <c r="DQ2144" s="24"/>
      <c r="DR2144" s="24"/>
      <c r="DS2144" s="24"/>
      <c r="DT2144" s="24"/>
      <c r="DU2144" s="24"/>
    </row>
    <row r="2145" spans="1:125" s="8" customFormat="1" ht="48" x14ac:dyDescent="0.2">
      <c r="A2145" s="226">
        <v>41444</v>
      </c>
      <c r="B2145" s="225" t="s">
        <v>2881</v>
      </c>
      <c r="C2145" s="227" t="s">
        <v>2653</v>
      </c>
      <c r="D2145" s="354" t="s">
        <v>2882</v>
      </c>
      <c r="E2145" s="75" t="str">
        <f>VLOOKUP(B2145&amp;C2145,Divipola!$C$2:$F$1138,4,FALSE)</f>
        <v>08078</v>
      </c>
      <c r="F2145" s="87"/>
      <c r="G2145" s="87"/>
      <c r="H2145" s="87"/>
      <c r="I2145" s="87">
        <v>5</v>
      </c>
      <c r="J2145" s="87">
        <v>1</v>
      </c>
      <c r="K2145" s="87"/>
      <c r="L2145" s="87">
        <v>1</v>
      </c>
      <c r="M2145" s="87"/>
      <c r="N2145" s="87"/>
      <c r="O2145" s="87"/>
      <c r="P2145" s="87"/>
      <c r="Q2145" s="87"/>
      <c r="R2145" s="87"/>
      <c r="S2145" s="87"/>
      <c r="T2145" s="87"/>
      <c r="U2145" s="88"/>
      <c r="V2145" s="89"/>
      <c r="W2145" s="96">
        <v>0</v>
      </c>
      <c r="X2145" s="71">
        <f>CU2145</f>
        <v>0</v>
      </c>
      <c r="Y2145" s="71">
        <f>CY2145</f>
        <v>0</v>
      </c>
      <c r="Z2145" s="71">
        <f>DA2145+DC2145+DE2145</f>
        <v>0</v>
      </c>
      <c r="AA2145" s="71">
        <f>CW2145</f>
        <v>0</v>
      </c>
      <c r="AB2145" s="71"/>
      <c r="AC2145" s="71">
        <v>0</v>
      </c>
      <c r="AD2145" s="71">
        <f>W2145+X2145+Y2145+Z2145+AA2145+AB2145+AC2145</f>
        <v>0</v>
      </c>
      <c r="AE2145" s="72">
        <v>0</v>
      </c>
      <c r="AF2145" s="5"/>
      <c r="AG2145" s="6"/>
      <c r="AH2145" s="27" t="s">
        <v>3392</v>
      </c>
      <c r="AI2145" s="44" t="s">
        <v>3393</v>
      </c>
      <c r="AJ2145" s="26"/>
      <c r="AK2145" s="5"/>
      <c r="AL2145" s="82" t="s">
        <v>4988</v>
      </c>
      <c r="AM2145" s="76"/>
      <c r="AN2145" s="76"/>
      <c r="AO2145" s="76"/>
      <c r="AP2145" s="76"/>
      <c r="AQ2145" s="76"/>
      <c r="AR2145" s="76"/>
      <c r="AS2145" s="76"/>
      <c r="AT2145" s="76"/>
      <c r="AU2145" s="76"/>
      <c r="AV2145" s="76"/>
      <c r="AW2145" s="76"/>
      <c r="AX2145" s="76">
        <f>+AW2145*600000</f>
        <v>0</v>
      </c>
      <c r="AY2145" s="76"/>
      <c r="AZ2145" s="76">
        <f>+AY2145*70000</f>
        <v>0</v>
      </c>
      <c r="BA2145" s="76"/>
      <c r="BB2145" s="76"/>
      <c r="BC2145" s="76"/>
      <c r="BD2145" s="76">
        <f>+BC2145*30000</f>
        <v>0</v>
      </c>
      <c r="BE2145" s="76"/>
      <c r="BF2145" s="76"/>
      <c r="BG2145" s="76"/>
      <c r="BH2145" s="76"/>
      <c r="BI2145" s="76"/>
      <c r="BJ2145" s="76"/>
      <c r="BK2145" s="76"/>
      <c r="BL2145" s="76">
        <f>+BK2145*31500</f>
        <v>0</v>
      </c>
      <c r="BM2145" s="76"/>
      <c r="BN2145" s="76"/>
      <c r="BO2145" s="76"/>
      <c r="BP2145" s="76"/>
      <c r="BQ2145" s="76"/>
      <c r="BR2145" s="76"/>
      <c r="BS2145" s="76"/>
      <c r="BT2145" s="76"/>
      <c r="BU2145" s="76"/>
      <c r="BV2145" s="76"/>
      <c r="BW2145" s="76"/>
      <c r="BX2145" s="76"/>
      <c r="BY2145" s="76"/>
      <c r="BZ2145" s="76"/>
      <c r="CA2145" s="76"/>
      <c r="CB2145" s="76"/>
      <c r="CC2145" s="76"/>
      <c r="CD2145" s="76"/>
      <c r="CE2145" s="76"/>
      <c r="CF2145" s="76">
        <f>+CE2145*28000</f>
        <v>0</v>
      </c>
      <c r="CG2145" s="76"/>
      <c r="CH2145" s="76">
        <f>+CG2145*22500</f>
        <v>0</v>
      </c>
      <c r="CI2145" s="76"/>
      <c r="CJ2145" s="76">
        <f>+CI2145*26000</f>
        <v>0</v>
      </c>
      <c r="CK2145" s="76"/>
      <c r="CL2145" s="76"/>
      <c r="CM2145" s="76"/>
      <c r="CN2145" s="76">
        <f>+CM2145*22000</f>
        <v>0</v>
      </c>
      <c r="CO2145" s="76"/>
      <c r="CP2145" s="76">
        <f>+CO2145*46000</f>
        <v>0</v>
      </c>
      <c r="CQ2145" s="76"/>
      <c r="CR2145" s="76">
        <f>+CQ2145*49000</f>
        <v>0</v>
      </c>
      <c r="CS2145" s="76"/>
      <c r="CT2145" s="76"/>
      <c r="CU2145" s="56">
        <f>AN2145+AP2145+AR2145+AT2145+AV2145+AX2145+AZ2145+BB2145+BD2145+BF2145+BH2145+BJ2145+BL2145+BN2145+BP2145+BR2145+BT2145+BV2145+BX2145+BZ2145+CB2145+CD2145+CF2145+CH2145+CJ2145+CL2145+CN2145+CP2145+CR2145+CT2145</f>
        <v>0</v>
      </c>
      <c r="CV2145" s="76"/>
      <c r="CW2145" s="76">
        <f>+CV2145*1100</f>
        <v>0</v>
      </c>
      <c r="CX2145" s="76"/>
      <c r="CY2145" s="76">
        <f>+CX2145*106250</f>
        <v>0</v>
      </c>
      <c r="CZ2145" s="76"/>
      <c r="DA2145" s="76">
        <f>+CZ2145*34500</f>
        <v>0</v>
      </c>
      <c r="DB2145" s="76"/>
      <c r="DC2145" s="76">
        <f>+DB2145*25000</f>
        <v>0</v>
      </c>
      <c r="DD2145" s="219"/>
      <c r="DE2145" s="219"/>
      <c r="DF2145" s="166"/>
      <c r="DG2145" s="116"/>
      <c r="DH2145" s="117"/>
      <c r="DI2145" s="24"/>
      <c r="DJ2145" s="24"/>
      <c r="DK2145" s="24"/>
      <c r="DL2145" s="24"/>
      <c r="DM2145" s="24"/>
      <c r="DN2145" s="24"/>
      <c r="DO2145" s="24"/>
      <c r="DP2145" s="24"/>
      <c r="DQ2145" s="24"/>
      <c r="DR2145" s="24"/>
      <c r="DS2145" s="24"/>
      <c r="DT2145" s="24"/>
      <c r="DU2145" s="24"/>
    </row>
    <row r="2146" spans="1:125" s="8" customFormat="1" ht="186" customHeight="1" x14ac:dyDescent="0.2">
      <c r="A2146" s="226">
        <v>41444</v>
      </c>
      <c r="B2146" s="225" t="s">
        <v>2881</v>
      </c>
      <c r="C2146" s="227" t="s">
        <v>1413</v>
      </c>
      <c r="D2146" s="354" t="s">
        <v>2882</v>
      </c>
      <c r="E2146" s="75" t="str">
        <f>VLOOKUP(B2146&amp;C2146,Divipola!$C$2:$F$1138,4,FALSE)</f>
        <v>08433</v>
      </c>
      <c r="F2146" s="87"/>
      <c r="G2146" s="87"/>
      <c r="H2146" s="87"/>
      <c r="I2146" s="87">
        <v>200</v>
      </c>
      <c r="J2146" s="87">
        <v>40</v>
      </c>
      <c r="K2146" s="87"/>
      <c r="L2146" s="87">
        <v>40</v>
      </c>
      <c r="M2146" s="87"/>
      <c r="N2146" s="87"/>
      <c r="O2146" s="87"/>
      <c r="P2146" s="87"/>
      <c r="Q2146" s="87"/>
      <c r="R2146" s="87"/>
      <c r="S2146" s="87"/>
      <c r="T2146" s="87"/>
      <c r="U2146" s="88"/>
      <c r="V2146" s="89"/>
      <c r="W2146" s="96">
        <v>0</v>
      </c>
      <c r="X2146" s="71">
        <f>CU2146</f>
        <v>0</v>
      </c>
      <c r="Y2146" s="71">
        <f>CY2146</f>
        <v>0</v>
      </c>
      <c r="Z2146" s="71">
        <f>DA2146+DC2146+DE2146</f>
        <v>0</v>
      </c>
      <c r="AA2146" s="71">
        <f>CW2146</f>
        <v>0</v>
      </c>
      <c r="AB2146" s="71"/>
      <c r="AC2146" s="71">
        <v>0</v>
      </c>
      <c r="AD2146" s="71">
        <f>W2146+X2146+Y2146+Z2146+AA2146+AB2146+AC2146</f>
        <v>0</v>
      </c>
      <c r="AE2146" s="72">
        <v>0</v>
      </c>
      <c r="AF2146" s="5"/>
      <c r="AG2146" s="6"/>
      <c r="AH2146" s="27" t="s">
        <v>3392</v>
      </c>
      <c r="AI2146" s="44" t="s">
        <v>3393</v>
      </c>
      <c r="AJ2146" s="26"/>
      <c r="AK2146" s="5"/>
      <c r="AL2146" s="82" t="s">
        <v>4985</v>
      </c>
      <c r="AM2146" s="76"/>
      <c r="AN2146" s="76"/>
      <c r="AO2146" s="76"/>
      <c r="AP2146" s="76"/>
      <c r="AQ2146" s="76"/>
      <c r="AR2146" s="76"/>
      <c r="AS2146" s="76"/>
      <c r="AT2146" s="76"/>
      <c r="AU2146" s="76"/>
      <c r="AV2146" s="76"/>
      <c r="AW2146" s="76"/>
      <c r="AX2146" s="76">
        <f>+AW2146*600000</f>
        <v>0</v>
      </c>
      <c r="AY2146" s="76"/>
      <c r="AZ2146" s="76">
        <f>+AY2146*70000</f>
        <v>0</v>
      </c>
      <c r="BA2146" s="76"/>
      <c r="BB2146" s="76"/>
      <c r="BC2146" s="76"/>
      <c r="BD2146" s="76">
        <f>+BC2146*30000</f>
        <v>0</v>
      </c>
      <c r="BE2146" s="76"/>
      <c r="BF2146" s="76"/>
      <c r="BG2146" s="76"/>
      <c r="BH2146" s="76"/>
      <c r="BI2146" s="76"/>
      <c r="BJ2146" s="76"/>
      <c r="BK2146" s="76"/>
      <c r="BL2146" s="76">
        <f>+BK2146*31500</f>
        <v>0</v>
      </c>
      <c r="BM2146" s="76"/>
      <c r="BN2146" s="76"/>
      <c r="BO2146" s="76"/>
      <c r="BP2146" s="76"/>
      <c r="BQ2146" s="76"/>
      <c r="BR2146" s="76"/>
      <c r="BS2146" s="76"/>
      <c r="BT2146" s="76"/>
      <c r="BU2146" s="76"/>
      <c r="BV2146" s="76"/>
      <c r="BW2146" s="76"/>
      <c r="BX2146" s="76"/>
      <c r="BY2146" s="76"/>
      <c r="BZ2146" s="76"/>
      <c r="CA2146" s="76"/>
      <c r="CB2146" s="76"/>
      <c r="CC2146" s="76"/>
      <c r="CD2146" s="76"/>
      <c r="CE2146" s="76"/>
      <c r="CF2146" s="76">
        <f>+CE2146*28000</f>
        <v>0</v>
      </c>
      <c r="CG2146" s="76"/>
      <c r="CH2146" s="76">
        <f>+CG2146*22500</f>
        <v>0</v>
      </c>
      <c r="CI2146" s="76"/>
      <c r="CJ2146" s="76">
        <f>+CI2146*26000</f>
        <v>0</v>
      </c>
      <c r="CK2146" s="76"/>
      <c r="CL2146" s="76"/>
      <c r="CM2146" s="76"/>
      <c r="CN2146" s="76">
        <f>+CM2146*22000</f>
        <v>0</v>
      </c>
      <c r="CO2146" s="76"/>
      <c r="CP2146" s="76">
        <f>+CO2146*46000</f>
        <v>0</v>
      </c>
      <c r="CQ2146" s="76"/>
      <c r="CR2146" s="76">
        <f>+CQ2146*49000</f>
        <v>0</v>
      </c>
      <c r="CS2146" s="76"/>
      <c r="CT2146" s="76"/>
      <c r="CU2146" s="56">
        <f>AN2146+AP2146+AR2146+AT2146+AV2146+AX2146+AZ2146+BB2146+BD2146+BF2146+BH2146+BJ2146+BL2146+BN2146+BP2146+BR2146+BT2146+BV2146+BX2146+BZ2146+CB2146+CD2146+CF2146+CH2146+CJ2146+CL2146+CN2146+CP2146+CR2146+CT2146</f>
        <v>0</v>
      </c>
      <c r="CV2146" s="76"/>
      <c r="CW2146" s="76">
        <f>+CV2146*1100</f>
        <v>0</v>
      </c>
      <c r="CX2146" s="76"/>
      <c r="CY2146" s="76">
        <f>+CX2146*106250</f>
        <v>0</v>
      </c>
      <c r="CZ2146" s="76"/>
      <c r="DA2146" s="76">
        <f>+CZ2146*34500</f>
        <v>0</v>
      </c>
      <c r="DB2146" s="76"/>
      <c r="DC2146" s="76">
        <f>+DB2146*25000</f>
        <v>0</v>
      </c>
      <c r="DD2146" s="219"/>
      <c r="DE2146" s="219"/>
      <c r="DF2146" s="166"/>
      <c r="DG2146" s="116"/>
      <c r="DH2146" s="117"/>
      <c r="DI2146" s="24"/>
      <c r="DJ2146" s="24"/>
      <c r="DK2146" s="24"/>
      <c r="DL2146" s="24"/>
      <c r="DM2146" s="24"/>
      <c r="DN2146" s="24"/>
      <c r="DO2146" s="24"/>
      <c r="DP2146" s="24"/>
      <c r="DQ2146" s="24"/>
      <c r="DR2146" s="24"/>
      <c r="DS2146" s="24"/>
      <c r="DT2146" s="24"/>
      <c r="DU2146" s="24"/>
    </row>
    <row r="2147" spans="1:125" s="8" customFormat="1" ht="180" x14ac:dyDescent="0.2">
      <c r="A2147" s="226">
        <v>41444</v>
      </c>
      <c r="B2147" s="225" t="s">
        <v>2881</v>
      </c>
      <c r="C2147" s="227" t="s">
        <v>1419</v>
      </c>
      <c r="D2147" s="354" t="s">
        <v>2882</v>
      </c>
      <c r="E2147" s="75" t="str">
        <f>VLOOKUP(B2147&amp;C2147,Divipola!$C$2:$F$1138,4,FALSE)</f>
        <v>08520</v>
      </c>
      <c r="F2147" s="87"/>
      <c r="G2147" s="87">
        <v>2</v>
      </c>
      <c r="H2147" s="87"/>
      <c r="I2147" s="87">
        <v>2085</v>
      </c>
      <c r="J2147" s="87">
        <v>417</v>
      </c>
      <c r="K2147" s="87"/>
      <c r="L2147" s="87">
        <v>417</v>
      </c>
      <c r="M2147" s="87"/>
      <c r="N2147" s="87"/>
      <c r="O2147" s="87"/>
      <c r="P2147" s="87"/>
      <c r="Q2147" s="87"/>
      <c r="R2147" s="87"/>
      <c r="S2147" s="87"/>
      <c r="T2147" s="87"/>
      <c r="U2147" s="88"/>
      <c r="V2147" s="89"/>
      <c r="W2147" s="96">
        <v>0</v>
      </c>
      <c r="X2147" s="71">
        <f>CU2147</f>
        <v>18393600</v>
      </c>
      <c r="Y2147" s="71">
        <f>CY2147</f>
        <v>31500000</v>
      </c>
      <c r="Z2147" s="71">
        <f>DA2147+DC2147+DE2147</f>
        <v>105096580</v>
      </c>
      <c r="AA2147" s="71">
        <f>CW2147</f>
        <v>29580000</v>
      </c>
      <c r="AB2147" s="71"/>
      <c r="AC2147" s="71">
        <v>0</v>
      </c>
      <c r="AD2147" s="71">
        <f>W2147+X2147+Y2147+Z2147+AA2147+AB2147+AC2147</f>
        <v>184570180</v>
      </c>
      <c r="AE2147" s="72">
        <v>0</v>
      </c>
      <c r="AF2147" s="5"/>
      <c r="AG2147" s="6"/>
      <c r="AH2147" s="27" t="s">
        <v>3390</v>
      </c>
      <c r="AI2147" s="44" t="s">
        <v>3391</v>
      </c>
      <c r="AJ2147" s="26"/>
      <c r="AK2147" s="5"/>
      <c r="AL2147" s="82" t="s">
        <v>5051</v>
      </c>
      <c r="AM2147" s="76"/>
      <c r="AN2147" s="76"/>
      <c r="AO2147" s="76"/>
      <c r="AP2147" s="76"/>
      <c r="AQ2147" s="76"/>
      <c r="AR2147" s="76"/>
      <c r="AS2147" s="76"/>
      <c r="AT2147" s="76"/>
      <c r="AU2147" s="76"/>
      <c r="AV2147" s="76"/>
      <c r="AW2147" s="76"/>
      <c r="AX2147" s="76">
        <f>+AW2147*600000</f>
        <v>0</v>
      </c>
      <c r="AY2147" s="76"/>
      <c r="AZ2147" s="76">
        <f>+AY2147*70000</f>
        <v>0</v>
      </c>
      <c r="BA2147" s="76"/>
      <c r="BB2147" s="76"/>
      <c r="BC2147" s="76"/>
      <c r="BD2147" s="76">
        <f>+BC2147*30000</f>
        <v>0</v>
      </c>
      <c r="BE2147" s="76"/>
      <c r="BF2147" s="76"/>
      <c r="BG2147" s="76"/>
      <c r="BH2147" s="76"/>
      <c r="BI2147" s="76"/>
      <c r="BJ2147" s="76"/>
      <c r="BK2147" s="76"/>
      <c r="BL2147" s="76">
        <f>+BK2147*31500</f>
        <v>0</v>
      </c>
      <c r="BM2147" s="76"/>
      <c r="BN2147" s="76"/>
      <c r="BO2147" s="76"/>
      <c r="BP2147" s="76"/>
      <c r="BQ2147" s="76"/>
      <c r="BR2147" s="76"/>
      <c r="BS2147" s="76"/>
      <c r="BT2147" s="76"/>
      <c r="BU2147" s="76"/>
      <c r="BV2147" s="76"/>
      <c r="BW2147" s="76"/>
      <c r="BX2147" s="76"/>
      <c r="BY2147" s="86">
        <v>20</v>
      </c>
      <c r="BZ2147" s="86">
        <f>20*229680</f>
        <v>4593600</v>
      </c>
      <c r="CA2147" s="76"/>
      <c r="CB2147" s="76"/>
      <c r="CC2147" s="76"/>
      <c r="CD2147" s="76"/>
      <c r="CE2147" s="76"/>
      <c r="CF2147" s="76">
        <f>+CE2147*28000</f>
        <v>0</v>
      </c>
      <c r="CG2147" s="76"/>
      <c r="CH2147" s="76">
        <f>+CG2147*22500</f>
        <v>0</v>
      </c>
      <c r="CI2147" s="76"/>
      <c r="CJ2147" s="76">
        <f>+CI2147*26000</f>
        <v>0</v>
      </c>
      <c r="CK2147" s="76"/>
      <c r="CL2147" s="76"/>
      <c r="CM2147" s="76"/>
      <c r="CN2147" s="76">
        <f>+CM2147*22000</f>
        <v>0</v>
      </c>
      <c r="CO2147" s="86">
        <v>300</v>
      </c>
      <c r="CP2147" s="86">
        <f>+CO2147*46000</f>
        <v>13800000</v>
      </c>
      <c r="CQ2147" s="76"/>
      <c r="CR2147" s="76">
        <f>+CQ2147*49000</f>
        <v>0</v>
      </c>
      <c r="CS2147" s="76"/>
      <c r="CT2147" s="76"/>
      <c r="CU2147" s="56">
        <f>AN2147+AP2147+AR2147+AT2147+AV2147+AX2147+AZ2147+BB2147+BD2147+BF2147+BH2147+BJ2147+BL2147+BN2147+BP2147+BR2147+BT2147+BV2147+BX2147+BZ2147+CB2147+CD2147+CF2147+CH2147+CJ2147+CL2147+CN2147+CP2147+CR2147+CT2147</f>
        <v>18393600</v>
      </c>
      <c r="CV2147" s="86">
        <v>30000</v>
      </c>
      <c r="CW2147" s="86">
        <f>+CV2147*986</f>
        <v>29580000</v>
      </c>
      <c r="CX2147" s="86">
        <v>300</v>
      </c>
      <c r="CY2147" s="86">
        <f>+CX2147*105000</f>
        <v>31500000</v>
      </c>
      <c r="CZ2147" s="86">
        <v>400</v>
      </c>
      <c r="DA2147" s="86">
        <f>+CZ2147*32480</f>
        <v>12992000</v>
      </c>
      <c r="DB2147" s="86">
        <v>3500</v>
      </c>
      <c r="DC2147" s="86">
        <f>1200*33645.8+800*25282.2+1000*16124+500*22628.12+6000*348+3100*638</f>
        <v>92104580</v>
      </c>
      <c r="DD2147" s="219"/>
      <c r="DE2147" s="219"/>
      <c r="DF2147" s="166"/>
      <c r="DG2147" s="192" t="s">
        <v>6474</v>
      </c>
      <c r="DH2147" s="117"/>
      <c r="DI2147" s="24"/>
      <c r="DJ2147" s="24"/>
      <c r="DK2147" s="24"/>
      <c r="DL2147" s="24"/>
      <c r="DM2147" s="24"/>
      <c r="DN2147" s="24"/>
      <c r="DO2147" s="24"/>
      <c r="DP2147" s="24"/>
      <c r="DQ2147" s="24"/>
      <c r="DR2147" s="24"/>
      <c r="DS2147" s="24"/>
      <c r="DT2147" s="24"/>
      <c r="DU2147" s="24"/>
    </row>
    <row r="2148" spans="1:125" s="8" customFormat="1" ht="36" x14ac:dyDescent="0.2">
      <c r="A2148" s="226">
        <v>41444</v>
      </c>
      <c r="B2148" s="225" t="s">
        <v>2881</v>
      </c>
      <c r="C2148" s="227" t="s">
        <v>2547</v>
      </c>
      <c r="D2148" s="354" t="s">
        <v>2882</v>
      </c>
      <c r="E2148" s="75" t="str">
        <f>VLOOKUP(B2148&amp;C2148,Divipola!$C$2:$F$1138,4,FALSE)</f>
        <v>08638</v>
      </c>
      <c r="F2148" s="87"/>
      <c r="G2148" s="87"/>
      <c r="H2148" s="87"/>
      <c r="I2148" s="87">
        <v>90</v>
      </c>
      <c r="J2148" s="87">
        <v>18</v>
      </c>
      <c r="K2148" s="87"/>
      <c r="L2148" s="87">
        <v>18</v>
      </c>
      <c r="M2148" s="87"/>
      <c r="N2148" s="87"/>
      <c r="O2148" s="87"/>
      <c r="P2148" s="87"/>
      <c r="Q2148" s="87"/>
      <c r="R2148" s="87"/>
      <c r="S2148" s="87"/>
      <c r="T2148" s="87"/>
      <c r="U2148" s="88"/>
      <c r="V2148" s="89"/>
      <c r="W2148" s="96">
        <v>0</v>
      </c>
      <c r="X2148" s="71">
        <f>CU2148</f>
        <v>0</v>
      </c>
      <c r="Y2148" s="71">
        <f>CY2148</f>
        <v>0</v>
      </c>
      <c r="Z2148" s="71">
        <f>DA2148+DC2148+DE2148</f>
        <v>0</v>
      </c>
      <c r="AA2148" s="71">
        <f>CW2148</f>
        <v>0</v>
      </c>
      <c r="AB2148" s="71"/>
      <c r="AC2148" s="71">
        <v>0</v>
      </c>
      <c r="AD2148" s="71">
        <f>W2148+X2148+Y2148+Z2148+AA2148+AB2148+AC2148</f>
        <v>0</v>
      </c>
      <c r="AE2148" s="72">
        <v>0</v>
      </c>
      <c r="AF2148" s="5"/>
      <c r="AG2148" s="6"/>
      <c r="AH2148" s="27" t="s">
        <v>3392</v>
      </c>
      <c r="AI2148" s="44" t="s">
        <v>3393</v>
      </c>
      <c r="AJ2148" s="26"/>
      <c r="AK2148" s="5"/>
      <c r="AL2148" s="82" t="s">
        <v>4987</v>
      </c>
      <c r="AM2148" s="76"/>
      <c r="AN2148" s="76"/>
      <c r="AO2148" s="76"/>
      <c r="AP2148" s="76"/>
      <c r="AQ2148" s="76"/>
      <c r="AR2148" s="76"/>
      <c r="AS2148" s="76"/>
      <c r="AT2148" s="76"/>
      <c r="AU2148" s="76"/>
      <c r="AV2148" s="76"/>
      <c r="AW2148" s="76"/>
      <c r="AX2148" s="76">
        <f>+AW2148*600000</f>
        <v>0</v>
      </c>
      <c r="AY2148" s="76"/>
      <c r="AZ2148" s="76">
        <f>+AY2148*70000</f>
        <v>0</v>
      </c>
      <c r="BA2148" s="76"/>
      <c r="BB2148" s="76"/>
      <c r="BC2148" s="76"/>
      <c r="BD2148" s="76">
        <f>+BC2148*30000</f>
        <v>0</v>
      </c>
      <c r="BE2148" s="76"/>
      <c r="BF2148" s="76"/>
      <c r="BG2148" s="76"/>
      <c r="BH2148" s="76"/>
      <c r="BI2148" s="76"/>
      <c r="BJ2148" s="76"/>
      <c r="BK2148" s="76"/>
      <c r="BL2148" s="76">
        <f>+BK2148*31500</f>
        <v>0</v>
      </c>
      <c r="BM2148" s="76"/>
      <c r="BN2148" s="76"/>
      <c r="BO2148" s="76"/>
      <c r="BP2148" s="76"/>
      <c r="BQ2148" s="76"/>
      <c r="BR2148" s="76"/>
      <c r="BS2148" s="76"/>
      <c r="BT2148" s="76"/>
      <c r="BU2148" s="76"/>
      <c r="BV2148" s="76"/>
      <c r="BW2148" s="76"/>
      <c r="BX2148" s="76"/>
      <c r="BY2148" s="76"/>
      <c r="BZ2148" s="76"/>
      <c r="CA2148" s="76"/>
      <c r="CB2148" s="76"/>
      <c r="CC2148" s="76"/>
      <c r="CD2148" s="76"/>
      <c r="CE2148" s="76"/>
      <c r="CF2148" s="76">
        <f>+CE2148*28000</f>
        <v>0</v>
      </c>
      <c r="CG2148" s="76"/>
      <c r="CH2148" s="76">
        <f>+CG2148*22500</f>
        <v>0</v>
      </c>
      <c r="CI2148" s="76"/>
      <c r="CJ2148" s="76">
        <f>+CI2148*26000</f>
        <v>0</v>
      </c>
      <c r="CK2148" s="76"/>
      <c r="CL2148" s="76"/>
      <c r="CM2148" s="76"/>
      <c r="CN2148" s="76">
        <f>+CM2148*22000</f>
        <v>0</v>
      </c>
      <c r="CO2148" s="76"/>
      <c r="CP2148" s="76">
        <f>+CO2148*46000</f>
        <v>0</v>
      </c>
      <c r="CQ2148" s="76"/>
      <c r="CR2148" s="76">
        <f>+CQ2148*49000</f>
        <v>0</v>
      </c>
      <c r="CS2148" s="76"/>
      <c r="CT2148" s="76"/>
      <c r="CU2148" s="56">
        <f>AN2148+AP2148+AR2148+AT2148+AV2148+AX2148+AZ2148+BB2148+BD2148+BF2148+BH2148+BJ2148+BL2148+BN2148+BP2148+BR2148+BT2148+BV2148+BX2148+BZ2148+CB2148+CD2148+CF2148+CH2148+CJ2148+CL2148+CN2148+CP2148+CR2148+CT2148</f>
        <v>0</v>
      </c>
      <c r="CV2148" s="76"/>
      <c r="CW2148" s="76">
        <f>+CV2148*1100</f>
        <v>0</v>
      </c>
      <c r="CX2148" s="76"/>
      <c r="CY2148" s="76">
        <f>+CX2148*106250</f>
        <v>0</v>
      </c>
      <c r="CZ2148" s="76"/>
      <c r="DA2148" s="76">
        <f>+CZ2148*34500</f>
        <v>0</v>
      </c>
      <c r="DB2148" s="76"/>
      <c r="DC2148" s="76">
        <f>+DB2148*25000</f>
        <v>0</v>
      </c>
      <c r="DD2148" s="219"/>
      <c r="DE2148" s="219"/>
      <c r="DF2148" s="166"/>
      <c r="DG2148" s="116"/>
      <c r="DH2148" s="117"/>
      <c r="DI2148" s="24"/>
      <c r="DJ2148" s="24"/>
      <c r="DK2148" s="24"/>
      <c r="DL2148" s="24"/>
      <c r="DM2148" s="24"/>
      <c r="DN2148" s="24"/>
      <c r="DO2148" s="24"/>
      <c r="DP2148" s="24"/>
      <c r="DQ2148" s="24"/>
      <c r="DR2148" s="24"/>
      <c r="DS2148" s="24"/>
      <c r="DT2148" s="24"/>
      <c r="DU2148" s="24"/>
    </row>
    <row r="2149" spans="1:125" s="8" customFormat="1" ht="36" x14ac:dyDescent="0.2">
      <c r="A2149" s="353">
        <v>41444</v>
      </c>
      <c r="B2149" s="352" t="s">
        <v>2881</v>
      </c>
      <c r="C2149" s="354" t="s">
        <v>1442</v>
      </c>
      <c r="D2149" s="354" t="s">
        <v>2882</v>
      </c>
      <c r="E2149" s="75" t="str">
        <f>VLOOKUP(B2149&amp;C2149,Divipola!$C$2:$F$1138,4,FALSE)</f>
        <v>08685</v>
      </c>
      <c r="F2149" s="87"/>
      <c r="G2149" s="87"/>
      <c r="H2149" s="87"/>
      <c r="I2149" s="87">
        <v>275</v>
      </c>
      <c r="J2149" s="87">
        <v>55</v>
      </c>
      <c r="K2149" s="87"/>
      <c r="L2149" s="87">
        <v>55</v>
      </c>
      <c r="M2149" s="87"/>
      <c r="N2149" s="87"/>
      <c r="O2149" s="87"/>
      <c r="P2149" s="87"/>
      <c r="Q2149" s="87"/>
      <c r="R2149" s="87"/>
      <c r="S2149" s="87"/>
      <c r="T2149" s="87"/>
      <c r="U2149" s="88"/>
      <c r="V2149" s="89"/>
      <c r="W2149" s="96">
        <v>0</v>
      </c>
      <c r="X2149" s="71">
        <f>CU2149</f>
        <v>0</v>
      </c>
      <c r="Y2149" s="71">
        <f>CY2149</f>
        <v>0</v>
      </c>
      <c r="Z2149" s="71">
        <f>DA2149+DC2149+DE2149</f>
        <v>66145810</v>
      </c>
      <c r="AA2149" s="71">
        <f>CW2149</f>
        <v>0</v>
      </c>
      <c r="AB2149" s="71"/>
      <c r="AC2149" s="71">
        <v>0</v>
      </c>
      <c r="AD2149" s="71">
        <f>W2149+X2149+Y2149+Z2149+AA2149+AB2149+AC2149</f>
        <v>66145810</v>
      </c>
      <c r="AE2149" s="72">
        <v>0</v>
      </c>
      <c r="AF2149" s="5"/>
      <c r="AG2149" s="6"/>
      <c r="AH2149" s="27" t="s">
        <v>3390</v>
      </c>
      <c r="AI2149" s="44" t="s">
        <v>3391</v>
      </c>
      <c r="AJ2149" s="26"/>
      <c r="AK2149" s="5"/>
      <c r="AL2149" s="82" t="s">
        <v>4986</v>
      </c>
      <c r="AM2149" s="76"/>
      <c r="AN2149" s="76"/>
      <c r="AO2149" s="76"/>
      <c r="AP2149" s="76"/>
      <c r="AQ2149" s="76"/>
      <c r="AR2149" s="76"/>
      <c r="AS2149" s="76"/>
      <c r="AT2149" s="76"/>
      <c r="AU2149" s="76"/>
      <c r="AV2149" s="76"/>
      <c r="AW2149" s="76"/>
      <c r="AX2149" s="76">
        <f>+AW2149*600000</f>
        <v>0</v>
      </c>
      <c r="AY2149" s="76"/>
      <c r="AZ2149" s="76">
        <f>+AY2149*70000</f>
        <v>0</v>
      </c>
      <c r="BA2149" s="76"/>
      <c r="BB2149" s="76"/>
      <c r="BC2149" s="76"/>
      <c r="BD2149" s="76">
        <f>+BC2149*30000</f>
        <v>0</v>
      </c>
      <c r="BE2149" s="76"/>
      <c r="BF2149" s="76"/>
      <c r="BG2149" s="76"/>
      <c r="BH2149" s="76"/>
      <c r="BI2149" s="76"/>
      <c r="BJ2149" s="76"/>
      <c r="BK2149" s="76"/>
      <c r="BL2149" s="76">
        <f>+BK2149*31500</f>
        <v>0</v>
      </c>
      <c r="BM2149" s="76"/>
      <c r="BN2149" s="76"/>
      <c r="BO2149" s="76"/>
      <c r="BP2149" s="76"/>
      <c r="BQ2149" s="76"/>
      <c r="BR2149" s="76"/>
      <c r="BS2149" s="76"/>
      <c r="BT2149" s="76"/>
      <c r="BU2149" s="76"/>
      <c r="BV2149" s="76"/>
      <c r="BW2149" s="76"/>
      <c r="BX2149" s="76"/>
      <c r="BY2149" s="76"/>
      <c r="BZ2149" s="76"/>
      <c r="CA2149" s="76"/>
      <c r="CB2149" s="76"/>
      <c r="CC2149" s="76"/>
      <c r="CD2149" s="76"/>
      <c r="CE2149" s="76"/>
      <c r="CF2149" s="76">
        <f>+CE2149*28000</f>
        <v>0</v>
      </c>
      <c r="CG2149" s="76"/>
      <c r="CH2149" s="76">
        <f>+CG2149*22500</f>
        <v>0</v>
      </c>
      <c r="CI2149" s="76"/>
      <c r="CJ2149" s="76">
        <f>+CI2149*26000</f>
        <v>0</v>
      </c>
      <c r="CK2149" s="76"/>
      <c r="CL2149" s="76"/>
      <c r="CM2149" s="76"/>
      <c r="CN2149" s="76">
        <f>+CM2149*22000</f>
        <v>0</v>
      </c>
      <c r="CO2149" s="76"/>
      <c r="CP2149" s="76">
        <f>+CO2149*46000</f>
        <v>0</v>
      </c>
      <c r="CQ2149" s="76"/>
      <c r="CR2149" s="76">
        <f>+CQ2149*49000</f>
        <v>0</v>
      </c>
      <c r="CS2149" s="76"/>
      <c r="CT2149" s="76"/>
      <c r="CU2149" s="56">
        <f>AN2149+AP2149+AR2149+AT2149+AV2149+AX2149+AZ2149+BB2149+BD2149+BF2149+BH2149+BJ2149+BL2149+BN2149+BP2149+BR2149+BT2149+BV2149+BX2149+BZ2149+CB2149+CD2149+CF2149+CH2149+CJ2149+CL2149+CN2149+CP2149+CR2149+CT2149</f>
        <v>0</v>
      </c>
      <c r="CV2149" s="76"/>
      <c r="CW2149" s="76">
        <f>+CV2149*1100</f>
        <v>0</v>
      </c>
      <c r="CX2149" s="76"/>
      <c r="CY2149" s="76">
        <f>+CX2149*106250</f>
        <v>0</v>
      </c>
      <c r="CZ2149" s="86">
        <v>40</v>
      </c>
      <c r="DA2149" s="86">
        <f>+CZ2149*32480</f>
        <v>1299200</v>
      </c>
      <c r="DB2149" s="344">
        <f>500+500+350+400+350</f>
        <v>2100</v>
      </c>
      <c r="DC2149" s="344">
        <f>500*33645.8+500*25282.2+350*16852.48+400*16124+350*22628.12+2000*638+400*348</f>
        <v>51147010</v>
      </c>
      <c r="DD2149" s="222" t="s">
        <v>6475</v>
      </c>
      <c r="DE2149" s="309">
        <f>50*10556+50*41412+5800*1914</f>
        <v>13699600</v>
      </c>
      <c r="DF2149" s="166"/>
      <c r="DG2149" s="134" t="s">
        <v>6476</v>
      </c>
      <c r="DH2149" s="117"/>
      <c r="DI2149" s="24"/>
      <c r="DJ2149" s="24"/>
      <c r="DK2149" s="24"/>
      <c r="DL2149" s="24"/>
      <c r="DM2149" s="24"/>
      <c r="DN2149" s="24"/>
      <c r="DO2149" s="24"/>
      <c r="DP2149" s="24"/>
      <c r="DQ2149" s="24"/>
      <c r="DR2149" s="24"/>
      <c r="DS2149" s="24"/>
      <c r="DT2149" s="24"/>
      <c r="DU2149" s="24"/>
    </row>
    <row r="2150" spans="1:125" s="8" customFormat="1" ht="96" x14ac:dyDescent="0.2">
      <c r="A2150" s="353">
        <v>41444</v>
      </c>
      <c r="B2150" s="352" t="s">
        <v>2906</v>
      </c>
      <c r="C2150" s="354" t="s">
        <v>2739</v>
      </c>
      <c r="D2150" s="354" t="s">
        <v>2846</v>
      </c>
      <c r="E2150" s="75" t="str">
        <f>VLOOKUP(B2150&amp;C2150,Divipola!$C$2:$F$1138,4,FALSE)</f>
        <v>47001</v>
      </c>
      <c r="F2150" s="87"/>
      <c r="G2150" s="87"/>
      <c r="H2150" s="87"/>
      <c r="I2150" s="87"/>
      <c r="J2150" s="87"/>
      <c r="K2150" s="87"/>
      <c r="L2150" s="87"/>
      <c r="M2150" s="87"/>
      <c r="N2150" s="87"/>
      <c r="O2150" s="87"/>
      <c r="P2150" s="87"/>
      <c r="Q2150" s="87"/>
      <c r="R2150" s="87"/>
      <c r="S2150" s="87"/>
      <c r="T2150" s="87"/>
      <c r="U2150" s="88">
        <v>1</v>
      </c>
      <c r="V2150" s="89"/>
      <c r="W2150" s="96">
        <v>0</v>
      </c>
      <c r="X2150" s="71">
        <f>CU2150</f>
        <v>0</v>
      </c>
      <c r="Y2150" s="71">
        <f>CY2150</f>
        <v>0</v>
      </c>
      <c r="Z2150" s="71">
        <f>DA2150+DC2150+DE2150</f>
        <v>0</v>
      </c>
      <c r="AA2150" s="71">
        <f>CW2150</f>
        <v>0</v>
      </c>
      <c r="AB2150" s="71"/>
      <c r="AC2150" s="71">
        <v>0</v>
      </c>
      <c r="AD2150" s="71">
        <f>W2150+X2150+Y2150+Z2150+AA2150+AB2150+AC2150</f>
        <v>0</v>
      </c>
      <c r="AE2150" s="72">
        <v>0</v>
      </c>
      <c r="AF2150" s="5"/>
      <c r="AG2150" s="6"/>
      <c r="AH2150" s="27" t="s">
        <v>3392</v>
      </c>
      <c r="AI2150" s="44" t="s">
        <v>3393</v>
      </c>
      <c r="AJ2150" s="26"/>
      <c r="AK2150" s="5"/>
      <c r="AL2150" s="82" t="s">
        <v>5009</v>
      </c>
      <c r="AM2150" s="76"/>
      <c r="AN2150" s="76"/>
      <c r="AO2150" s="76"/>
      <c r="AP2150" s="76"/>
      <c r="AQ2150" s="76"/>
      <c r="AR2150" s="76"/>
      <c r="AS2150" s="76"/>
      <c r="AT2150" s="76"/>
      <c r="AU2150" s="76"/>
      <c r="AV2150" s="76"/>
      <c r="AW2150" s="76"/>
      <c r="AX2150" s="76">
        <f>+AW2150*600000</f>
        <v>0</v>
      </c>
      <c r="AY2150" s="76"/>
      <c r="AZ2150" s="76">
        <f>+AY2150*70000</f>
        <v>0</v>
      </c>
      <c r="BA2150" s="76"/>
      <c r="BB2150" s="76"/>
      <c r="BC2150" s="76"/>
      <c r="BD2150" s="76">
        <f>+BC2150*30000</f>
        <v>0</v>
      </c>
      <c r="BE2150" s="76"/>
      <c r="BF2150" s="76"/>
      <c r="BG2150" s="76"/>
      <c r="BH2150" s="76"/>
      <c r="BI2150" s="76"/>
      <c r="BJ2150" s="76"/>
      <c r="BK2150" s="76"/>
      <c r="BL2150" s="76">
        <f>+BK2150*31500</f>
        <v>0</v>
      </c>
      <c r="BM2150" s="76"/>
      <c r="BN2150" s="76"/>
      <c r="BO2150" s="76"/>
      <c r="BP2150" s="76"/>
      <c r="BQ2150" s="76"/>
      <c r="BR2150" s="76"/>
      <c r="BS2150" s="76"/>
      <c r="BT2150" s="76"/>
      <c r="BU2150" s="76"/>
      <c r="BV2150" s="76"/>
      <c r="BW2150" s="76"/>
      <c r="BX2150" s="76"/>
      <c r="BY2150" s="76"/>
      <c r="BZ2150" s="76"/>
      <c r="CA2150" s="76"/>
      <c r="CB2150" s="76"/>
      <c r="CC2150" s="76"/>
      <c r="CD2150" s="76"/>
      <c r="CE2150" s="76"/>
      <c r="CF2150" s="76">
        <f>+CE2150*28000</f>
        <v>0</v>
      </c>
      <c r="CG2150" s="76"/>
      <c r="CH2150" s="76">
        <f>+CG2150*22500</f>
        <v>0</v>
      </c>
      <c r="CI2150" s="76"/>
      <c r="CJ2150" s="76">
        <f>+CI2150*26000</f>
        <v>0</v>
      </c>
      <c r="CK2150" s="76"/>
      <c r="CL2150" s="76"/>
      <c r="CM2150" s="76"/>
      <c r="CN2150" s="76">
        <f>+CM2150*22000</f>
        <v>0</v>
      </c>
      <c r="CO2150" s="76"/>
      <c r="CP2150" s="76">
        <f>+CO2150*46000</f>
        <v>0</v>
      </c>
      <c r="CQ2150" s="76"/>
      <c r="CR2150" s="76">
        <f>+CQ2150*49000</f>
        <v>0</v>
      </c>
      <c r="CS2150" s="76"/>
      <c r="CT2150" s="76"/>
      <c r="CU2150" s="56">
        <f>AN2150+AP2150+AR2150+AT2150+AV2150+AX2150+AZ2150+BB2150+BD2150+BF2150+BH2150+BJ2150+BL2150+BN2150+BP2150+BR2150+BT2150+BV2150+BX2150+BZ2150+CB2150+CD2150+CF2150+CH2150+CJ2150+CL2150+CN2150+CP2150+CR2150+CT2150</f>
        <v>0</v>
      </c>
      <c r="CV2150" s="76"/>
      <c r="CW2150" s="76">
        <f>+CV2150*1100</f>
        <v>0</v>
      </c>
      <c r="CX2150" s="76"/>
      <c r="CY2150" s="76">
        <f>+CX2150*106250</f>
        <v>0</v>
      </c>
      <c r="CZ2150" s="76"/>
      <c r="DA2150" s="76">
        <f>+CZ2150*34500</f>
        <v>0</v>
      </c>
      <c r="DB2150" s="76"/>
      <c r="DC2150" s="76">
        <f>+DB2150*25000</f>
        <v>0</v>
      </c>
      <c r="DD2150" s="219"/>
      <c r="DE2150" s="219"/>
      <c r="DF2150" s="166"/>
      <c r="DG2150" s="116"/>
      <c r="DH2150" s="117"/>
      <c r="DI2150" s="24"/>
      <c r="DJ2150" s="24"/>
      <c r="DK2150" s="24"/>
      <c r="DL2150" s="24"/>
      <c r="DM2150" s="24"/>
      <c r="DN2150" s="24"/>
      <c r="DO2150" s="24"/>
      <c r="DP2150" s="24"/>
      <c r="DQ2150" s="24"/>
      <c r="DR2150" s="24"/>
      <c r="DS2150" s="24"/>
      <c r="DT2150" s="24"/>
      <c r="DU2150" s="24"/>
    </row>
    <row r="2151" spans="1:125" s="8" customFormat="1" ht="36" x14ac:dyDescent="0.2">
      <c r="A2151" s="77">
        <v>41444</v>
      </c>
      <c r="B2151" s="78" t="s">
        <v>2906</v>
      </c>
      <c r="C2151" s="75" t="s">
        <v>470</v>
      </c>
      <c r="D2151" s="75" t="s">
        <v>2882</v>
      </c>
      <c r="E2151" s="353" t="str">
        <f>VLOOKUP(B2151&amp;C2151,Divipola!$C$2:$F$1138,4,FALSE)</f>
        <v>47745</v>
      </c>
      <c r="F2151" s="163"/>
      <c r="G2151" s="163"/>
      <c r="H2151" s="163"/>
      <c r="I2151" s="163">
        <f>14*5</f>
        <v>70</v>
      </c>
      <c r="J2151" s="163">
        <v>14</v>
      </c>
      <c r="K2151" s="163"/>
      <c r="L2151" s="163">
        <v>14</v>
      </c>
      <c r="M2151" s="163"/>
      <c r="N2151" s="163"/>
      <c r="O2151" s="163"/>
      <c r="P2151" s="163"/>
      <c r="Q2151" s="163"/>
      <c r="R2151" s="163"/>
      <c r="S2151" s="163">
        <v>1</v>
      </c>
      <c r="T2151" s="163"/>
      <c r="U2151" s="163"/>
      <c r="V2151" s="134"/>
      <c r="W2151" s="96">
        <v>0</v>
      </c>
      <c r="X2151" s="71">
        <f>CU2151</f>
        <v>0</v>
      </c>
      <c r="Y2151" s="71">
        <f>CY2151</f>
        <v>0</v>
      </c>
      <c r="Z2151" s="71">
        <f>DA2151+DC2151+DE2151</f>
        <v>0</v>
      </c>
      <c r="AA2151" s="71">
        <f>CW2151</f>
        <v>0</v>
      </c>
      <c r="AB2151" s="71"/>
      <c r="AC2151" s="71">
        <v>0</v>
      </c>
      <c r="AD2151" s="71">
        <f>W2151+X2151+Y2151+Z2151+AA2151+AB2151+AC2151</f>
        <v>0</v>
      </c>
      <c r="AE2151" s="72">
        <v>0</v>
      </c>
      <c r="AF2151" s="5"/>
      <c r="AG2151" s="6"/>
      <c r="AH2151" s="27"/>
      <c r="AI2151" s="44"/>
      <c r="AJ2151" s="26"/>
      <c r="AK2151" s="5"/>
      <c r="AL2151" s="82" t="s">
        <v>5457</v>
      </c>
      <c r="AM2151" s="76"/>
      <c r="AN2151" s="76"/>
      <c r="AO2151" s="76"/>
      <c r="AP2151" s="76"/>
      <c r="AQ2151" s="76"/>
      <c r="AR2151" s="76"/>
      <c r="AS2151" s="76"/>
      <c r="AT2151" s="76"/>
      <c r="AU2151" s="76"/>
      <c r="AV2151" s="76"/>
      <c r="AW2151" s="76"/>
      <c r="AX2151" s="76">
        <f>+AW2151*600000</f>
        <v>0</v>
      </c>
      <c r="AY2151" s="76"/>
      <c r="AZ2151" s="76">
        <f>+AY2151*70000</f>
        <v>0</v>
      </c>
      <c r="BA2151" s="76"/>
      <c r="BB2151" s="76"/>
      <c r="BC2151" s="76"/>
      <c r="BD2151" s="76">
        <f>+BC2151*30000</f>
        <v>0</v>
      </c>
      <c r="BE2151" s="76"/>
      <c r="BF2151" s="76"/>
      <c r="BG2151" s="76"/>
      <c r="BH2151" s="76"/>
      <c r="BI2151" s="76"/>
      <c r="BJ2151" s="76"/>
      <c r="BK2151" s="76"/>
      <c r="BL2151" s="76">
        <f>+BK2151*31500</f>
        <v>0</v>
      </c>
      <c r="BM2151" s="76"/>
      <c r="BN2151" s="76"/>
      <c r="BO2151" s="76"/>
      <c r="BP2151" s="76"/>
      <c r="BQ2151" s="76"/>
      <c r="BR2151" s="76"/>
      <c r="BS2151" s="76"/>
      <c r="BT2151" s="76"/>
      <c r="BU2151" s="76"/>
      <c r="BV2151" s="76"/>
      <c r="BW2151" s="76"/>
      <c r="BX2151" s="76"/>
      <c r="BY2151" s="76"/>
      <c r="BZ2151" s="76"/>
      <c r="CA2151" s="76"/>
      <c r="CB2151" s="76"/>
      <c r="CC2151" s="76"/>
      <c r="CD2151" s="76"/>
      <c r="CE2151" s="76"/>
      <c r="CF2151" s="76">
        <f>+CE2151*28000</f>
        <v>0</v>
      </c>
      <c r="CG2151" s="76"/>
      <c r="CH2151" s="76">
        <f>+CG2151*22500</f>
        <v>0</v>
      </c>
      <c r="CI2151" s="76"/>
      <c r="CJ2151" s="76">
        <f>+CI2151*26000</f>
        <v>0</v>
      </c>
      <c r="CK2151" s="76"/>
      <c r="CL2151" s="76"/>
      <c r="CM2151" s="76"/>
      <c r="CN2151" s="76">
        <f>+CM2151*22000</f>
        <v>0</v>
      </c>
      <c r="CO2151" s="76"/>
      <c r="CP2151" s="76">
        <f>+CO2151*46000</f>
        <v>0</v>
      </c>
      <c r="CQ2151" s="76"/>
      <c r="CR2151" s="76">
        <f>+CQ2151*49000</f>
        <v>0</v>
      </c>
      <c r="CS2151" s="76"/>
      <c r="CT2151" s="76"/>
      <c r="CU2151" s="56">
        <f>AN2151+AP2151+AR2151+AT2151+AV2151+AX2151+AZ2151+BB2151+BD2151+BF2151+BH2151+BJ2151+BL2151+BN2151+BP2151+BR2151+BT2151+BV2151+BX2151+BZ2151+CB2151+CD2151+CF2151+CH2151+CJ2151+CL2151+CN2151+CP2151+CR2151+CT2151</f>
        <v>0</v>
      </c>
      <c r="CV2151" s="76"/>
      <c r="CW2151" s="76">
        <f>+CV2151*1100</f>
        <v>0</v>
      </c>
      <c r="CX2151" s="76"/>
      <c r="CY2151" s="76">
        <f>+CX2151*106250</f>
        <v>0</v>
      </c>
      <c r="CZ2151" s="76"/>
      <c r="DA2151" s="76">
        <f>+CZ2151*34500</f>
        <v>0</v>
      </c>
      <c r="DB2151" s="76"/>
      <c r="DC2151" s="76">
        <f>+DB2151*25000</f>
        <v>0</v>
      </c>
      <c r="DD2151" s="219"/>
      <c r="DE2151" s="219"/>
      <c r="DF2151" s="166"/>
      <c r="DG2151" s="116"/>
      <c r="DH2151" s="117"/>
      <c r="DI2151" s="24"/>
      <c r="DJ2151" s="24"/>
      <c r="DK2151" s="24"/>
      <c r="DL2151" s="24"/>
      <c r="DM2151" s="24"/>
      <c r="DN2151" s="24"/>
      <c r="DO2151" s="24"/>
      <c r="DP2151" s="24"/>
      <c r="DQ2151" s="24"/>
      <c r="DR2151" s="24"/>
      <c r="DS2151" s="24"/>
      <c r="DT2151" s="24"/>
      <c r="DU2151" s="24"/>
    </row>
    <row r="2152" spans="1:125" s="8" customFormat="1" ht="120" x14ac:dyDescent="0.2">
      <c r="A2152" s="97">
        <v>41444</v>
      </c>
      <c r="B2152" s="60" t="s">
        <v>2847</v>
      </c>
      <c r="C2152" s="55" t="s">
        <v>337</v>
      </c>
      <c r="D2152" s="55" t="s">
        <v>2846</v>
      </c>
      <c r="E2152" s="75" t="str">
        <f>VLOOKUP(B2152&amp;C2152,Divipola!$C$2:$F$1138,4,FALSE)</f>
        <v>68229</v>
      </c>
      <c r="F2152" s="87"/>
      <c r="G2152" s="87"/>
      <c r="H2152" s="87"/>
      <c r="I2152" s="87"/>
      <c r="J2152" s="87"/>
      <c r="K2152" s="87"/>
      <c r="L2152" s="87"/>
      <c r="M2152" s="87"/>
      <c r="N2152" s="87"/>
      <c r="O2152" s="87"/>
      <c r="P2152" s="87"/>
      <c r="Q2152" s="87"/>
      <c r="R2152" s="87"/>
      <c r="S2152" s="87"/>
      <c r="T2152" s="87"/>
      <c r="U2152" s="88">
        <v>2</v>
      </c>
      <c r="V2152" s="89"/>
      <c r="W2152" s="96">
        <v>0</v>
      </c>
      <c r="X2152" s="71">
        <f>CU2152</f>
        <v>0</v>
      </c>
      <c r="Y2152" s="71">
        <f>CY2152</f>
        <v>0</v>
      </c>
      <c r="Z2152" s="71">
        <f>DA2152+DC2152+DE2152</f>
        <v>0</v>
      </c>
      <c r="AA2152" s="71">
        <f>CW2152</f>
        <v>0</v>
      </c>
      <c r="AB2152" s="71"/>
      <c r="AC2152" s="71">
        <v>0</v>
      </c>
      <c r="AD2152" s="71">
        <f>W2152+X2152+Y2152+Z2152+AA2152+AB2152+AC2152</f>
        <v>0</v>
      </c>
      <c r="AE2152" s="72">
        <v>0</v>
      </c>
      <c r="AF2152" s="5"/>
      <c r="AG2152" s="6"/>
      <c r="AH2152" s="27" t="s">
        <v>3392</v>
      </c>
      <c r="AI2152" s="44" t="s">
        <v>3393</v>
      </c>
      <c r="AJ2152" s="26"/>
      <c r="AK2152" s="5"/>
      <c r="AL2152" s="82" t="s">
        <v>4989</v>
      </c>
      <c r="AM2152" s="76"/>
      <c r="AN2152" s="76"/>
      <c r="AO2152" s="76"/>
      <c r="AP2152" s="76"/>
      <c r="AQ2152" s="76"/>
      <c r="AR2152" s="76"/>
      <c r="AS2152" s="76"/>
      <c r="AT2152" s="76"/>
      <c r="AU2152" s="76"/>
      <c r="AV2152" s="76"/>
      <c r="AW2152" s="76"/>
      <c r="AX2152" s="76">
        <f>+AW2152*600000</f>
        <v>0</v>
      </c>
      <c r="AY2152" s="76"/>
      <c r="AZ2152" s="76">
        <f>+AY2152*70000</f>
        <v>0</v>
      </c>
      <c r="BA2152" s="76"/>
      <c r="BB2152" s="76"/>
      <c r="BC2152" s="76"/>
      <c r="BD2152" s="76">
        <f>+BC2152*30000</f>
        <v>0</v>
      </c>
      <c r="BE2152" s="76"/>
      <c r="BF2152" s="76"/>
      <c r="BG2152" s="76"/>
      <c r="BH2152" s="76"/>
      <c r="BI2152" s="76"/>
      <c r="BJ2152" s="76"/>
      <c r="BK2152" s="76"/>
      <c r="BL2152" s="76">
        <f>+BK2152*31500</f>
        <v>0</v>
      </c>
      <c r="BM2152" s="76"/>
      <c r="BN2152" s="76"/>
      <c r="BO2152" s="76"/>
      <c r="BP2152" s="76"/>
      <c r="BQ2152" s="76"/>
      <c r="BR2152" s="76"/>
      <c r="BS2152" s="76"/>
      <c r="BT2152" s="76"/>
      <c r="BU2152" s="76"/>
      <c r="BV2152" s="76"/>
      <c r="BW2152" s="76"/>
      <c r="BX2152" s="76"/>
      <c r="BY2152" s="76"/>
      <c r="BZ2152" s="76"/>
      <c r="CA2152" s="76"/>
      <c r="CB2152" s="76"/>
      <c r="CC2152" s="76"/>
      <c r="CD2152" s="76"/>
      <c r="CE2152" s="76"/>
      <c r="CF2152" s="76">
        <f>+CE2152*28000</f>
        <v>0</v>
      </c>
      <c r="CG2152" s="76"/>
      <c r="CH2152" s="76">
        <f>+CG2152*22500</f>
        <v>0</v>
      </c>
      <c r="CI2152" s="76"/>
      <c r="CJ2152" s="76">
        <f>+CI2152*26000</f>
        <v>0</v>
      </c>
      <c r="CK2152" s="76"/>
      <c r="CL2152" s="76"/>
      <c r="CM2152" s="76"/>
      <c r="CN2152" s="76">
        <f>+CM2152*22000</f>
        <v>0</v>
      </c>
      <c r="CO2152" s="76"/>
      <c r="CP2152" s="76">
        <f>+CO2152*46000</f>
        <v>0</v>
      </c>
      <c r="CQ2152" s="76"/>
      <c r="CR2152" s="76">
        <f>+CQ2152*49000</f>
        <v>0</v>
      </c>
      <c r="CS2152" s="76"/>
      <c r="CT2152" s="76"/>
      <c r="CU2152" s="56">
        <f>AN2152+AP2152+AR2152+AT2152+AV2152+AX2152+AZ2152+BB2152+BD2152+BF2152+BH2152+BJ2152+BL2152+BN2152+BP2152+BR2152+BT2152+BV2152+BX2152+BZ2152+CB2152+CD2152+CF2152+CH2152+CJ2152+CL2152+CN2152+CP2152+CR2152+CT2152</f>
        <v>0</v>
      </c>
      <c r="CV2152" s="76"/>
      <c r="CW2152" s="76">
        <f>+CV2152*1100</f>
        <v>0</v>
      </c>
      <c r="CX2152" s="76"/>
      <c r="CY2152" s="76">
        <f>+CX2152*106250</f>
        <v>0</v>
      </c>
      <c r="CZ2152" s="76"/>
      <c r="DA2152" s="76">
        <f>+CZ2152*34500</f>
        <v>0</v>
      </c>
      <c r="DB2152" s="76"/>
      <c r="DC2152" s="76">
        <f>+DB2152*25000</f>
        <v>0</v>
      </c>
      <c r="DD2152" s="219"/>
      <c r="DE2152" s="219"/>
      <c r="DF2152" s="166"/>
      <c r="DG2152" s="116"/>
      <c r="DH2152" s="117"/>
      <c r="DI2152" s="24"/>
      <c r="DJ2152" s="24"/>
      <c r="DK2152" s="24"/>
      <c r="DL2152" s="24"/>
      <c r="DM2152" s="24"/>
      <c r="DN2152" s="24"/>
      <c r="DO2152" s="24"/>
      <c r="DP2152" s="24"/>
      <c r="DQ2152" s="24"/>
      <c r="DR2152" s="24"/>
      <c r="DS2152" s="24"/>
      <c r="DT2152" s="24"/>
      <c r="DU2152" s="24"/>
    </row>
    <row r="2153" spans="1:125" s="8" customFormat="1" ht="132" x14ac:dyDescent="0.2">
      <c r="A2153" s="353">
        <v>41444</v>
      </c>
      <c r="B2153" s="352" t="s">
        <v>2848</v>
      </c>
      <c r="C2153" s="354" t="s">
        <v>1258</v>
      </c>
      <c r="D2153" s="354" t="s">
        <v>2846</v>
      </c>
      <c r="E2153" s="75" t="str">
        <f>VLOOKUP(B2153&amp;C2153,Divipola!$C$2:$F$1138,4,FALSE)</f>
        <v>73870</v>
      </c>
      <c r="F2153" s="87"/>
      <c r="G2153" s="87"/>
      <c r="H2153" s="87"/>
      <c r="I2153" s="87"/>
      <c r="J2153" s="87"/>
      <c r="K2153" s="87"/>
      <c r="L2153" s="87"/>
      <c r="M2153" s="87"/>
      <c r="N2153" s="87"/>
      <c r="O2153" s="87"/>
      <c r="P2153" s="87"/>
      <c r="Q2153" s="87"/>
      <c r="R2153" s="87"/>
      <c r="S2153" s="87"/>
      <c r="T2153" s="87"/>
      <c r="U2153" s="88">
        <v>1</v>
      </c>
      <c r="V2153" s="89"/>
      <c r="W2153" s="96">
        <v>0</v>
      </c>
      <c r="X2153" s="71">
        <f>CU2153</f>
        <v>0</v>
      </c>
      <c r="Y2153" s="71">
        <f>CY2153</f>
        <v>0</v>
      </c>
      <c r="Z2153" s="71">
        <f>DA2153+DC2153+DE2153</f>
        <v>0</v>
      </c>
      <c r="AA2153" s="71">
        <f>CW2153</f>
        <v>0</v>
      </c>
      <c r="AB2153" s="71"/>
      <c r="AC2153" s="71">
        <v>0</v>
      </c>
      <c r="AD2153" s="71">
        <f>W2153+X2153+Y2153+Z2153+AA2153+AB2153+AC2153</f>
        <v>0</v>
      </c>
      <c r="AE2153" s="72">
        <v>0</v>
      </c>
      <c r="AF2153" s="5"/>
      <c r="AG2153" s="6"/>
      <c r="AH2153" s="27" t="s">
        <v>3392</v>
      </c>
      <c r="AI2153" s="44" t="s">
        <v>3393</v>
      </c>
      <c r="AJ2153" s="26"/>
      <c r="AK2153" s="5"/>
      <c r="AL2153" s="82" t="s">
        <v>4982</v>
      </c>
      <c r="AM2153" s="76"/>
      <c r="AN2153" s="76"/>
      <c r="AO2153" s="76"/>
      <c r="AP2153" s="76"/>
      <c r="AQ2153" s="76"/>
      <c r="AR2153" s="76"/>
      <c r="AS2153" s="76"/>
      <c r="AT2153" s="76"/>
      <c r="AU2153" s="76"/>
      <c r="AV2153" s="76"/>
      <c r="AW2153" s="76"/>
      <c r="AX2153" s="76">
        <f>+AW2153*600000</f>
        <v>0</v>
      </c>
      <c r="AY2153" s="76"/>
      <c r="AZ2153" s="76">
        <f>+AY2153*70000</f>
        <v>0</v>
      </c>
      <c r="BA2153" s="76"/>
      <c r="BB2153" s="76"/>
      <c r="BC2153" s="76"/>
      <c r="BD2153" s="76">
        <f>+BC2153*30000</f>
        <v>0</v>
      </c>
      <c r="BE2153" s="76"/>
      <c r="BF2153" s="76"/>
      <c r="BG2153" s="76"/>
      <c r="BH2153" s="76"/>
      <c r="BI2153" s="76"/>
      <c r="BJ2153" s="76"/>
      <c r="BK2153" s="76"/>
      <c r="BL2153" s="76">
        <f>+BK2153*31500</f>
        <v>0</v>
      </c>
      <c r="BM2153" s="76"/>
      <c r="BN2153" s="76"/>
      <c r="BO2153" s="76"/>
      <c r="BP2153" s="76"/>
      <c r="BQ2153" s="76"/>
      <c r="BR2153" s="76"/>
      <c r="BS2153" s="76"/>
      <c r="BT2153" s="76"/>
      <c r="BU2153" s="76"/>
      <c r="BV2153" s="76"/>
      <c r="BW2153" s="76"/>
      <c r="BX2153" s="76"/>
      <c r="BY2153" s="76"/>
      <c r="BZ2153" s="76"/>
      <c r="CA2153" s="76"/>
      <c r="CB2153" s="76"/>
      <c r="CC2153" s="76"/>
      <c r="CD2153" s="76"/>
      <c r="CE2153" s="76"/>
      <c r="CF2153" s="76">
        <f>+CE2153*28000</f>
        <v>0</v>
      </c>
      <c r="CG2153" s="76"/>
      <c r="CH2153" s="76">
        <f>+CG2153*22500</f>
        <v>0</v>
      </c>
      <c r="CI2153" s="76"/>
      <c r="CJ2153" s="76">
        <f>+CI2153*26000</f>
        <v>0</v>
      </c>
      <c r="CK2153" s="76"/>
      <c r="CL2153" s="76"/>
      <c r="CM2153" s="76"/>
      <c r="CN2153" s="76">
        <f>+CM2153*22000</f>
        <v>0</v>
      </c>
      <c r="CO2153" s="76"/>
      <c r="CP2153" s="76">
        <f>+CO2153*46000</f>
        <v>0</v>
      </c>
      <c r="CQ2153" s="76"/>
      <c r="CR2153" s="76">
        <f>+CQ2153*49000</f>
        <v>0</v>
      </c>
      <c r="CS2153" s="76"/>
      <c r="CT2153" s="76"/>
      <c r="CU2153" s="56">
        <f>AN2153+AP2153+AR2153+AT2153+AV2153+AX2153+AZ2153+BB2153+BD2153+BF2153+BH2153+BJ2153+BL2153+BN2153+BP2153+BR2153+BT2153+BV2153+BX2153+BZ2153+CB2153+CD2153+CF2153+CH2153+CJ2153+CL2153+CN2153+CP2153+CR2153+CT2153</f>
        <v>0</v>
      </c>
      <c r="CV2153" s="76"/>
      <c r="CW2153" s="76">
        <f>+CV2153*1100</f>
        <v>0</v>
      </c>
      <c r="CX2153" s="76"/>
      <c r="CY2153" s="76">
        <f>+CX2153*106250</f>
        <v>0</v>
      </c>
      <c r="CZ2153" s="76"/>
      <c r="DA2153" s="76">
        <f>+CZ2153*34500</f>
        <v>0</v>
      </c>
      <c r="DB2153" s="76"/>
      <c r="DC2153" s="76">
        <f>+DB2153*25000</f>
        <v>0</v>
      </c>
      <c r="DD2153" s="219"/>
      <c r="DE2153" s="219"/>
      <c r="DF2153" s="166"/>
      <c r="DG2153" s="116"/>
      <c r="DH2153" s="117"/>
      <c r="DI2153" s="24"/>
      <c r="DJ2153" s="24"/>
      <c r="DK2153" s="24"/>
      <c r="DL2153" s="24"/>
      <c r="DM2153" s="24"/>
      <c r="DN2153" s="24"/>
      <c r="DO2153" s="24"/>
      <c r="DP2153" s="24"/>
      <c r="DQ2153" s="24"/>
      <c r="DR2153" s="24"/>
      <c r="DS2153" s="24"/>
      <c r="DT2153" s="24"/>
      <c r="DU2153" s="24"/>
    </row>
    <row r="2154" spans="1:125" s="8" customFormat="1" x14ac:dyDescent="0.2">
      <c r="A2154" s="77">
        <v>41445</v>
      </c>
      <c r="B2154" s="78" t="s">
        <v>2881</v>
      </c>
      <c r="C2154" s="75" t="s">
        <v>1419</v>
      </c>
      <c r="D2154" s="75" t="s">
        <v>2882</v>
      </c>
      <c r="E2154" s="353" t="str">
        <f>VLOOKUP(B2154&amp;C2154,Divipola!$C$2:$F$1138,4,FALSE)</f>
        <v>08520</v>
      </c>
      <c r="F2154" s="163"/>
      <c r="G2154" s="163">
        <v>3</v>
      </c>
      <c r="H2154" s="163"/>
      <c r="I2154" s="163">
        <f>280*5</f>
        <v>1400</v>
      </c>
      <c r="J2154" s="163">
        <v>280</v>
      </c>
      <c r="K2154" s="163"/>
      <c r="L2154" s="163">
        <v>280</v>
      </c>
      <c r="M2154" s="163"/>
      <c r="N2154" s="163"/>
      <c r="O2154" s="163"/>
      <c r="P2154" s="163"/>
      <c r="Q2154" s="163"/>
      <c r="R2154" s="163"/>
      <c r="S2154" s="163">
        <v>3</v>
      </c>
      <c r="T2154" s="163"/>
      <c r="U2154" s="163"/>
      <c r="V2154" s="134"/>
      <c r="W2154" s="96">
        <v>0</v>
      </c>
      <c r="X2154" s="71">
        <f>CU2154</f>
        <v>0</v>
      </c>
      <c r="Y2154" s="71">
        <f>CY2154</f>
        <v>0</v>
      </c>
      <c r="Z2154" s="71">
        <f>DA2154+DC2154+DE2154</f>
        <v>25503180</v>
      </c>
      <c r="AA2154" s="71">
        <f>CW2154</f>
        <v>0</v>
      </c>
      <c r="AB2154" s="71"/>
      <c r="AC2154" s="71">
        <v>0</v>
      </c>
      <c r="AD2154" s="71">
        <f>W2154+X2154+Y2154+Z2154+AA2154+AB2154+AC2154</f>
        <v>25503180</v>
      </c>
      <c r="AE2154" s="72">
        <v>0</v>
      </c>
      <c r="AF2154" s="5"/>
      <c r="AG2154" s="6"/>
      <c r="AH2154" s="27"/>
      <c r="AI2154" s="44"/>
      <c r="AJ2154" s="26"/>
      <c r="AK2154" s="5"/>
      <c r="AL2154" s="82"/>
      <c r="AM2154" s="76"/>
      <c r="AN2154" s="76"/>
      <c r="AO2154" s="76"/>
      <c r="AP2154" s="76"/>
      <c r="AQ2154" s="76"/>
      <c r="AR2154" s="76"/>
      <c r="AS2154" s="76"/>
      <c r="AT2154" s="76"/>
      <c r="AU2154" s="76"/>
      <c r="AV2154" s="76"/>
      <c r="AW2154" s="76"/>
      <c r="AX2154" s="76">
        <f>+AW2154*600000</f>
        <v>0</v>
      </c>
      <c r="AY2154" s="76"/>
      <c r="AZ2154" s="76">
        <f>+AY2154*70000</f>
        <v>0</v>
      </c>
      <c r="BA2154" s="76"/>
      <c r="BB2154" s="76"/>
      <c r="BC2154" s="76"/>
      <c r="BD2154" s="76">
        <f>+BC2154*30000</f>
        <v>0</v>
      </c>
      <c r="BE2154" s="76"/>
      <c r="BF2154" s="76"/>
      <c r="BG2154" s="76"/>
      <c r="BH2154" s="76"/>
      <c r="BI2154" s="76"/>
      <c r="BJ2154" s="76"/>
      <c r="BK2154" s="76"/>
      <c r="BL2154" s="76">
        <f>+BK2154*31500</f>
        <v>0</v>
      </c>
      <c r="BM2154" s="76"/>
      <c r="BN2154" s="76"/>
      <c r="BO2154" s="76"/>
      <c r="BP2154" s="76"/>
      <c r="BQ2154" s="76"/>
      <c r="BR2154" s="76"/>
      <c r="BS2154" s="76"/>
      <c r="BT2154" s="76"/>
      <c r="BU2154" s="76"/>
      <c r="BV2154" s="76"/>
      <c r="BW2154" s="76"/>
      <c r="BX2154" s="76"/>
      <c r="BY2154" s="76"/>
      <c r="BZ2154" s="76"/>
      <c r="CA2154" s="76"/>
      <c r="CB2154" s="76"/>
      <c r="CC2154" s="76"/>
      <c r="CD2154" s="76"/>
      <c r="CE2154" s="76"/>
      <c r="CF2154" s="76">
        <f>+CE2154*28000</f>
        <v>0</v>
      </c>
      <c r="CG2154" s="76"/>
      <c r="CH2154" s="76">
        <f>+CG2154*22500</f>
        <v>0</v>
      </c>
      <c r="CI2154" s="76"/>
      <c r="CJ2154" s="76">
        <f>+CI2154*26000</f>
        <v>0</v>
      </c>
      <c r="CK2154" s="76"/>
      <c r="CL2154" s="76"/>
      <c r="CM2154" s="76"/>
      <c r="CN2154" s="76">
        <f>+CM2154*22000</f>
        <v>0</v>
      </c>
      <c r="CO2154" s="76"/>
      <c r="CP2154" s="76">
        <f>+CO2154*46000</f>
        <v>0</v>
      </c>
      <c r="CQ2154" s="76"/>
      <c r="CR2154" s="76">
        <f>+CQ2154*49000</f>
        <v>0</v>
      </c>
      <c r="CS2154" s="76"/>
      <c r="CT2154" s="76"/>
      <c r="CU2154" s="56">
        <f>AN2154+AP2154+AR2154+AT2154+AV2154+AX2154+AZ2154+BB2154+BD2154+BF2154+BH2154+BJ2154+BL2154+BN2154+BP2154+BR2154+BT2154+BV2154+BX2154+BZ2154+CB2154+CD2154+CF2154+CH2154+CJ2154+CL2154+CN2154+CP2154+CR2154+CT2154</f>
        <v>0</v>
      </c>
      <c r="CV2154" s="76"/>
      <c r="CW2154" s="76">
        <f>+CV2154*1100</f>
        <v>0</v>
      </c>
      <c r="CX2154" s="76"/>
      <c r="CY2154" s="76">
        <f>+CX2154*106250</f>
        <v>0</v>
      </c>
      <c r="CZ2154" s="76"/>
      <c r="DA2154" s="76">
        <f>+CZ2154*34500</f>
        <v>0</v>
      </c>
      <c r="DB2154" s="86">
        <v>750</v>
      </c>
      <c r="DC2154" s="86">
        <f>150*25282.2+250*33645.8+350*16124</f>
        <v>17847180</v>
      </c>
      <c r="DD2154" s="223" t="s">
        <v>6491</v>
      </c>
      <c r="DE2154" s="223">
        <f>4000*1914</f>
        <v>7656000</v>
      </c>
      <c r="DF2154" s="166"/>
      <c r="DG2154" s="134" t="s">
        <v>6490</v>
      </c>
      <c r="DH2154" s="117"/>
      <c r="DI2154" s="24"/>
      <c r="DJ2154" s="24"/>
      <c r="DK2154" s="24"/>
      <c r="DL2154" s="24"/>
      <c r="DM2154" s="24"/>
      <c r="DN2154" s="24"/>
      <c r="DO2154" s="24"/>
      <c r="DP2154" s="24"/>
      <c r="DQ2154" s="24"/>
      <c r="DR2154" s="24"/>
      <c r="DS2154" s="24"/>
      <c r="DT2154" s="24"/>
      <c r="DU2154" s="24"/>
    </row>
    <row r="2155" spans="1:125" s="8" customFormat="1" ht="48" x14ac:dyDescent="0.2">
      <c r="A2155" s="77">
        <v>41445</v>
      </c>
      <c r="B2155" s="78" t="s">
        <v>2854</v>
      </c>
      <c r="C2155" s="75" t="s">
        <v>2100</v>
      </c>
      <c r="D2155" s="75" t="s">
        <v>2882</v>
      </c>
      <c r="E2155" s="75" t="str">
        <f>VLOOKUP(B2155&amp;C2155,Divipola!$C$2:$F$1138,4,FALSE)</f>
        <v>19397</v>
      </c>
      <c r="F2155" s="87"/>
      <c r="G2155" s="87"/>
      <c r="H2155" s="87"/>
      <c r="I2155" s="87">
        <v>20</v>
      </c>
      <c r="J2155" s="87">
        <v>4</v>
      </c>
      <c r="K2155" s="87"/>
      <c r="L2155" s="87">
        <v>4</v>
      </c>
      <c r="M2155" s="87"/>
      <c r="N2155" s="87"/>
      <c r="O2155" s="87"/>
      <c r="P2155" s="87"/>
      <c r="Q2155" s="87"/>
      <c r="R2155" s="87"/>
      <c r="S2155" s="87"/>
      <c r="T2155" s="87"/>
      <c r="U2155" s="88"/>
      <c r="V2155" s="89"/>
      <c r="W2155" s="96">
        <v>0</v>
      </c>
      <c r="X2155" s="71">
        <f>CU2155</f>
        <v>0</v>
      </c>
      <c r="Y2155" s="71">
        <f>CY2155</f>
        <v>0</v>
      </c>
      <c r="Z2155" s="71">
        <f>DA2155+DC2155+DE2155</f>
        <v>0</v>
      </c>
      <c r="AA2155" s="71">
        <f>CW2155</f>
        <v>0</v>
      </c>
      <c r="AB2155" s="71"/>
      <c r="AC2155" s="71">
        <v>0</v>
      </c>
      <c r="AD2155" s="71">
        <f>W2155+X2155+Y2155+Z2155+AA2155+AB2155+AC2155</f>
        <v>0</v>
      </c>
      <c r="AE2155" s="72">
        <v>0</v>
      </c>
      <c r="AF2155" s="5"/>
      <c r="AG2155" s="6"/>
      <c r="AH2155" s="27" t="s">
        <v>3392</v>
      </c>
      <c r="AI2155" s="44" t="s">
        <v>3393</v>
      </c>
      <c r="AJ2155" s="26"/>
      <c r="AK2155" s="5"/>
      <c r="AL2155" s="82" t="s">
        <v>4995</v>
      </c>
      <c r="AM2155" s="76"/>
      <c r="AN2155" s="76"/>
      <c r="AO2155" s="76"/>
      <c r="AP2155" s="76"/>
      <c r="AQ2155" s="76"/>
      <c r="AR2155" s="76"/>
      <c r="AS2155" s="76"/>
      <c r="AT2155" s="76"/>
      <c r="AU2155" s="76"/>
      <c r="AV2155" s="76"/>
      <c r="AW2155" s="76"/>
      <c r="AX2155" s="76">
        <f>+AW2155*600000</f>
        <v>0</v>
      </c>
      <c r="AY2155" s="76"/>
      <c r="AZ2155" s="76">
        <f>+AY2155*70000</f>
        <v>0</v>
      </c>
      <c r="BA2155" s="76"/>
      <c r="BB2155" s="76"/>
      <c r="BC2155" s="76"/>
      <c r="BD2155" s="76">
        <f>+BC2155*30000</f>
        <v>0</v>
      </c>
      <c r="BE2155" s="76"/>
      <c r="BF2155" s="76"/>
      <c r="BG2155" s="76"/>
      <c r="BH2155" s="76"/>
      <c r="BI2155" s="76"/>
      <c r="BJ2155" s="76"/>
      <c r="BK2155" s="76"/>
      <c r="BL2155" s="76">
        <f>+BK2155*31500</f>
        <v>0</v>
      </c>
      <c r="BM2155" s="76"/>
      <c r="BN2155" s="76"/>
      <c r="BO2155" s="76"/>
      <c r="BP2155" s="76"/>
      <c r="BQ2155" s="76"/>
      <c r="BR2155" s="76"/>
      <c r="BS2155" s="76"/>
      <c r="BT2155" s="76"/>
      <c r="BU2155" s="76"/>
      <c r="BV2155" s="76"/>
      <c r="BW2155" s="76"/>
      <c r="BX2155" s="76"/>
      <c r="BY2155" s="76"/>
      <c r="BZ2155" s="76"/>
      <c r="CA2155" s="76"/>
      <c r="CB2155" s="76"/>
      <c r="CC2155" s="76"/>
      <c r="CD2155" s="76"/>
      <c r="CE2155" s="76"/>
      <c r="CF2155" s="76">
        <f>+CE2155*28000</f>
        <v>0</v>
      </c>
      <c r="CG2155" s="76"/>
      <c r="CH2155" s="76">
        <f>+CG2155*22500</f>
        <v>0</v>
      </c>
      <c r="CI2155" s="76"/>
      <c r="CJ2155" s="76">
        <f>+CI2155*26000</f>
        <v>0</v>
      </c>
      <c r="CK2155" s="76"/>
      <c r="CL2155" s="76"/>
      <c r="CM2155" s="76"/>
      <c r="CN2155" s="76">
        <f>+CM2155*22000</f>
        <v>0</v>
      </c>
      <c r="CO2155" s="76"/>
      <c r="CP2155" s="76">
        <f>+CO2155*46000</f>
        <v>0</v>
      </c>
      <c r="CQ2155" s="76"/>
      <c r="CR2155" s="76">
        <f>+CQ2155*49000</f>
        <v>0</v>
      </c>
      <c r="CS2155" s="76"/>
      <c r="CT2155" s="76"/>
      <c r="CU2155" s="56">
        <f>AN2155+AP2155+AR2155+AT2155+AV2155+AX2155+AZ2155+BB2155+BD2155+BF2155+BH2155+BJ2155+BL2155+BN2155+BP2155+BR2155+BT2155+BV2155+BX2155+BZ2155+CB2155+CD2155+CF2155+CH2155+CJ2155+CL2155+CN2155+CP2155+CR2155+CT2155</f>
        <v>0</v>
      </c>
      <c r="CV2155" s="76"/>
      <c r="CW2155" s="76">
        <f>+CV2155*1100</f>
        <v>0</v>
      </c>
      <c r="CX2155" s="76"/>
      <c r="CY2155" s="76">
        <f>+CX2155*106250</f>
        <v>0</v>
      </c>
      <c r="CZ2155" s="76"/>
      <c r="DA2155" s="76">
        <f>+CZ2155*34500</f>
        <v>0</v>
      </c>
      <c r="DB2155" s="76"/>
      <c r="DC2155" s="76">
        <f>+DB2155*25000</f>
        <v>0</v>
      </c>
      <c r="DD2155" s="219"/>
      <c r="DE2155" s="219"/>
      <c r="DF2155" s="166"/>
      <c r="DG2155" s="116"/>
      <c r="DH2155" s="117"/>
      <c r="DI2155" s="24"/>
      <c r="DJ2155" s="24"/>
      <c r="DK2155" s="24"/>
      <c r="DL2155" s="24"/>
      <c r="DM2155" s="24"/>
      <c r="DN2155" s="24"/>
      <c r="DO2155" s="24"/>
      <c r="DP2155" s="24"/>
      <c r="DQ2155" s="24"/>
      <c r="DR2155" s="24"/>
      <c r="DS2155" s="24"/>
      <c r="DT2155" s="24"/>
      <c r="DU2155" s="24"/>
    </row>
    <row r="2156" spans="1:125" s="8" customFormat="1" ht="48" x14ac:dyDescent="0.2">
      <c r="A2156" s="353">
        <v>41445</v>
      </c>
      <c r="B2156" s="225" t="s">
        <v>2906</v>
      </c>
      <c r="C2156" s="227" t="s">
        <v>455</v>
      </c>
      <c r="D2156" s="227" t="s">
        <v>2882</v>
      </c>
      <c r="E2156" s="75" t="str">
        <f>VLOOKUP(B2156&amp;C2156,Divipola!$C$2:$F$1138,4,FALSE)</f>
        <v>47605</v>
      </c>
      <c r="F2156" s="87"/>
      <c r="G2156" s="87"/>
      <c r="H2156" s="87"/>
      <c r="I2156" s="87">
        <f>81*5</f>
        <v>405</v>
      </c>
      <c r="J2156" s="87">
        <v>81</v>
      </c>
      <c r="K2156" s="87"/>
      <c r="L2156" s="87">
        <v>81</v>
      </c>
      <c r="M2156" s="87"/>
      <c r="N2156" s="87"/>
      <c r="O2156" s="87"/>
      <c r="P2156" s="87"/>
      <c r="Q2156" s="87"/>
      <c r="R2156" s="87"/>
      <c r="S2156" s="87"/>
      <c r="T2156" s="87"/>
      <c r="U2156" s="88"/>
      <c r="V2156" s="89"/>
      <c r="W2156" s="96">
        <v>0</v>
      </c>
      <c r="X2156" s="71">
        <f>CU2156</f>
        <v>0</v>
      </c>
      <c r="Y2156" s="71">
        <f>CY2156</f>
        <v>0</v>
      </c>
      <c r="Z2156" s="71">
        <f>DA2156+DC2156+DE2156</f>
        <v>28057558.000000004</v>
      </c>
      <c r="AA2156" s="71">
        <f>CW2156</f>
        <v>0</v>
      </c>
      <c r="AB2156" s="71"/>
      <c r="AC2156" s="71">
        <v>0</v>
      </c>
      <c r="AD2156" s="71">
        <f>W2156+X2156+Y2156+Z2156+AA2156+AB2156+AC2156</f>
        <v>28057558.000000004</v>
      </c>
      <c r="AE2156" s="72">
        <v>0</v>
      </c>
      <c r="AF2156" s="5"/>
      <c r="AG2156" s="6"/>
      <c r="AH2156" s="27" t="s">
        <v>3390</v>
      </c>
      <c r="AI2156" s="44" t="s">
        <v>3391</v>
      </c>
      <c r="AJ2156" s="26"/>
      <c r="AK2156" s="5"/>
      <c r="AL2156" s="82" t="s">
        <v>4996</v>
      </c>
      <c r="AM2156" s="76"/>
      <c r="AN2156" s="76"/>
      <c r="AO2156" s="76"/>
      <c r="AP2156" s="76"/>
      <c r="AQ2156" s="76"/>
      <c r="AR2156" s="76"/>
      <c r="AS2156" s="76"/>
      <c r="AT2156" s="76"/>
      <c r="AU2156" s="76"/>
      <c r="AV2156" s="76"/>
      <c r="AW2156" s="76"/>
      <c r="AX2156" s="76">
        <f>+AW2156*600000</f>
        <v>0</v>
      </c>
      <c r="AY2156" s="76"/>
      <c r="AZ2156" s="76">
        <f>+AY2156*70000</f>
        <v>0</v>
      </c>
      <c r="BA2156" s="76"/>
      <c r="BB2156" s="76"/>
      <c r="BC2156" s="76"/>
      <c r="BD2156" s="76">
        <f>+BC2156*30000</f>
        <v>0</v>
      </c>
      <c r="BE2156" s="76"/>
      <c r="BF2156" s="76"/>
      <c r="BG2156" s="76"/>
      <c r="BH2156" s="76"/>
      <c r="BI2156" s="76"/>
      <c r="BJ2156" s="76"/>
      <c r="BK2156" s="76"/>
      <c r="BL2156" s="76">
        <f>+BK2156*31500</f>
        <v>0</v>
      </c>
      <c r="BM2156" s="76"/>
      <c r="BN2156" s="76"/>
      <c r="BO2156" s="76"/>
      <c r="BP2156" s="76"/>
      <c r="BQ2156" s="76"/>
      <c r="BR2156" s="76"/>
      <c r="BS2156" s="76"/>
      <c r="BT2156" s="76"/>
      <c r="BU2156" s="76"/>
      <c r="BV2156" s="76"/>
      <c r="BW2156" s="76"/>
      <c r="BX2156" s="76"/>
      <c r="BY2156" s="76"/>
      <c r="BZ2156" s="76"/>
      <c r="CA2156" s="76"/>
      <c r="CB2156" s="76"/>
      <c r="CC2156" s="76"/>
      <c r="CD2156" s="76"/>
      <c r="CE2156" s="76"/>
      <c r="CF2156" s="76">
        <f>+CE2156*28000</f>
        <v>0</v>
      </c>
      <c r="CG2156" s="76"/>
      <c r="CH2156" s="76">
        <f>+CG2156*22500</f>
        <v>0</v>
      </c>
      <c r="CI2156" s="76"/>
      <c r="CJ2156" s="76">
        <f>+CI2156*26000</f>
        <v>0</v>
      </c>
      <c r="CK2156" s="76"/>
      <c r="CL2156" s="76"/>
      <c r="CM2156" s="76"/>
      <c r="CN2156" s="76">
        <f>+CM2156*22000</f>
        <v>0</v>
      </c>
      <c r="CO2156" s="76"/>
      <c r="CP2156" s="76">
        <f>+CO2156*46000</f>
        <v>0</v>
      </c>
      <c r="CQ2156" s="76"/>
      <c r="CR2156" s="76">
        <f>+CQ2156*49000</f>
        <v>0</v>
      </c>
      <c r="CS2156" s="76"/>
      <c r="CT2156" s="76"/>
      <c r="CU2156" s="56">
        <f>AN2156+AP2156+AR2156+AT2156+AV2156+AX2156+AZ2156+BB2156+BD2156+BF2156+BH2156+BJ2156+BL2156+BN2156+BP2156+BR2156+BT2156+BV2156+BX2156+BZ2156+CB2156+CD2156+CF2156+CH2156+CJ2156+CL2156+CN2156+CP2156+CR2156+CT2156</f>
        <v>0</v>
      </c>
      <c r="CV2156" s="76"/>
      <c r="CW2156" s="76">
        <f>+CV2156*1100</f>
        <v>0</v>
      </c>
      <c r="CX2156" s="76"/>
      <c r="CY2156" s="76">
        <f>+CX2156*106250</f>
        <v>0</v>
      </c>
      <c r="CZ2156" s="86">
        <v>30</v>
      </c>
      <c r="DA2156" s="86">
        <f>+CZ2156*29499.96</f>
        <v>884998.79999999993</v>
      </c>
      <c r="DB2156" s="211">
        <f>279+185+215+105</f>
        <v>784</v>
      </c>
      <c r="DC2156" s="86">
        <f>279*40999.04+185*30999.84+215*21248.88+3136*399.04+105*39799.6</f>
        <v>27172559.200000003</v>
      </c>
      <c r="DD2156" s="219"/>
      <c r="DE2156" s="219"/>
      <c r="DF2156" s="166"/>
      <c r="DG2156" s="134" t="s">
        <v>6454</v>
      </c>
      <c r="DH2156" s="117"/>
      <c r="DI2156" s="24"/>
      <c r="DJ2156" s="24"/>
      <c r="DK2156" s="24"/>
      <c r="DL2156" s="24"/>
      <c r="DM2156" s="24"/>
      <c r="DN2156" s="24"/>
      <c r="DO2156" s="24"/>
      <c r="DP2156" s="24"/>
      <c r="DQ2156" s="24"/>
      <c r="DR2156" s="24"/>
      <c r="DS2156" s="24"/>
      <c r="DT2156" s="24"/>
      <c r="DU2156" s="24"/>
    </row>
    <row r="2157" spans="1:125" s="8" customFormat="1" ht="36" x14ac:dyDescent="0.2">
      <c r="A2157" s="77">
        <v>41445</v>
      </c>
      <c r="B2157" s="352" t="s">
        <v>2906</v>
      </c>
      <c r="C2157" s="354" t="s">
        <v>1283</v>
      </c>
      <c r="D2157" s="354" t="s">
        <v>3051</v>
      </c>
      <c r="E2157" s="75" t="str">
        <f>VLOOKUP(B2157&amp;C2157,Divipola!$C$2:$F$1138,4,FALSE)</f>
        <v>47980</v>
      </c>
      <c r="F2157" s="87"/>
      <c r="G2157" s="87"/>
      <c r="H2157" s="87"/>
      <c r="I2157" s="87"/>
      <c r="J2157" s="87"/>
      <c r="K2157" s="87"/>
      <c r="L2157" s="87"/>
      <c r="M2157" s="87"/>
      <c r="N2157" s="87"/>
      <c r="O2157" s="87"/>
      <c r="P2157" s="87"/>
      <c r="Q2157" s="87"/>
      <c r="R2157" s="87"/>
      <c r="S2157" s="87"/>
      <c r="T2157" s="87"/>
      <c r="U2157" s="88"/>
      <c r="V2157" s="89"/>
      <c r="W2157" s="96">
        <v>0</v>
      </c>
      <c r="X2157" s="71">
        <f>CU2157</f>
        <v>0</v>
      </c>
      <c r="Y2157" s="71">
        <f>CY2157</f>
        <v>0</v>
      </c>
      <c r="Z2157" s="71">
        <f>DA2157+DC2157+DE2157</f>
        <v>0</v>
      </c>
      <c r="AA2157" s="71">
        <f>CW2157</f>
        <v>0</v>
      </c>
      <c r="AB2157" s="71"/>
      <c r="AC2157" s="71">
        <v>0</v>
      </c>
      <c r="AD2157" s="71">
        <f>W2157+X2157+Y2157+Z2157+AA2157+AB2157+AC2157</f>
        <v>0</v>
      </c>
      <c r="AE2157" s="72">
        <v>0</v>
      </c>
      <c r="AF2157" s="5"/>
      <c r="AG2157" s="6"/>
      <c r="AH2157" s="27" t="s">
        <v>3392</v>
      </c>
      <c r="AI2157" s="44" t="s">
        <v>3393</v>
      </c>
      <c r="AJ2157" s="26"/>
      <c r="AK2157" s="5"/>
      <c r="AL2157" s="82" t="s">
        <v>4997</v>
      </c>
      <c r="AM2157" s="76"/>
      <c r="AN2157" s="76"/>
      <c r="AO2157" s="76"/>
      <c r="AP2157" s="76"/>
      <c r="AQ2157" s="76"/>
      <c r="AR2157" s="76"/>
      <c r="AS2157" s="76"/>
      <c r="AT2157" s="76"/>
      <c r="AU2157" s="76"/>
      <c r="AV2157" s="76"/>
      <c r="AW2157" s="76"/>
      <c r="AX2157" s="76">
        <f>+AW2157*600000</f>
        <v>0</v>
      </c>
      <c r="AY2157" s="76"/>
      <c r="AZ2157" s="76">
        <f>+AY2157*70000</f>
        <v>0</v>
      </c>
      <c r="BA2157" s="76"/>
      <c r="BB2157" s="76"/>
      <c r="BC2157" s="76"/>
      <c r="BD2157" s="76">
        <f>+BC2157*30000</f>
        <v>0</v>
      </c>
      <c r="BE2157" s="76"/>
      <c r="BF2157" s="76"/>
      <c r="BG2157" s="76"/>
      <c r="BH2157" s="76"/>
      <c r="BI2157" s="76"/>
      <c r="BJ2157" s="76"/>
      <c r="BK2157" s="76"/>
      <c r="BL2157" s="76">
        <f>+BK2157*31500</f>
        <v>0</v>
      </c>
      <c r="BM2157" s="76"/>
      <c r="BN2157" s="76"/>
      <c r="BO2157" s="76"/>
      <c r="BP2157" s="76"/>
      <c r="BQ2157" s="76"/>
      <c r="BR2157" s="76"/>
      <c r="BS2157" s="76"/>
      <c r="BT2157" s="76"/>
      <c r="BU2157" s="76"/>
      <c r="BV2157" s="76"/>
      <c r="BW2157" s="76"/>
      <c r="BX2157" s="76"/>
      <c r="BY2157" s="76"/>
      <c r="BZ2157" s="76"/>
      <c r="CA2157" s="76"/>
      <c r="CB2157" s="76"/>
      <c r="CC2157" s="76"/>
      <c r="CD2157" s="76"/>
      <c r="CE2157" s="76"/>
      <c r="CF2157" s="76">
        <f>+CE2157*28000</f>
        <v>0</v>
      </c>
      <c r="CG2157" s="76"/>
      <c r="CH2157" s="76">
        <f>+CG2157*22500</f>
        <v>0</v>
      </c>
      <c r="CI2157" s="76"/>
      <c r="CJ2157" s="76">
        <f>+CI2157*26000</f>
        <v>0</v>
      </c>
      <c r="CK2157" s="76"/>
      <c r="CL2157" s="76"/>
      <c r="CM2157" s="76"/>
      <c r="CN2157" s="76">
        <f>+CM2157*22000</f>
        <v>0</v>
      </c>
      <c r="CO2157" s="76"/>
      <c r="CP2157" s="76">
        <f>+CO2157*46000</f>
        <v>0</v>
      </c>
      <c r="CQ2157" s="76"/>
      <c r="CR2157" s="76">
        <f>+CQ2157*49000</f>
        <v>0</v>
      </c>
      <c r="CS2157" s="76"/>
      <c r="CT2157" s="76"/>
      <c r="CU2157" s="56">
        <f>AN2157+AP2157+AR2157+AT2157+AV2157+AX2157+AZ2157+BB2157+BD2157+BF2157+BH2157+BJ2157+BL2157+BN2157+BP2157+BR2157+BT2157+BV2157+BX2157+BZ2157+CB2157+CD2157+CF2157+CH2157+CJ2157+CL2157+CN2157+CP2157+CR2157+CT2157</f>
        <v>0</v>
      </c>
      <c r="CV2157" s="76"/>
      <c r="CW2157" s="76">
        <f>+CV2157*1100</f>
        <v>0</v>
      </c>
      <c r="CX2157" s="76"/>
      <c r="CY2157" s="76">
        <f>+CX2157*106250</f>
        <v>0</v>
      </c>
      <c r="CZ2157" s="76"/>
      <c r="DA2157" s="76">
        <f>+CZ2157*34500</f>
        <v>0</v>
      </c>
      <c r="DB2157" s="76"/>
      <c r="DC2157" s="76">
        <f>+DB2157*25000</f>
        <v>0</v>
      </c>
      <c r="DD2157" s="219"/>
      <c r="DE2157" s="219"/>
      <c r="DF2157" s="166"/>
      <c r="DG2157" s="116"/>
      <c r="DH2157" s="117"/>
      <c r="DI2157" s="24"/>
      <c r="DJ2157" s="24"/>
      <c r="DK2157" s="24"/>
      <c r="DL2157" s="24"/>
      <c r="DM2157" s="24"/>
      <c r="DN2157" s="24"/>
      <c r="DO2157" s="24"/>
      <c r="DP2157" s="24"/>
      <c r="DQ2157" s="24"/>
      <c r="DR2157" s="24"/>
      <c r="DS2157" s="24"/>
      <c r="DT2157" s="24"/>
      <c r="DU2157" s="24"/>
    </row>
    <row r="2158" spans="1:125" s="8" customFormat="1" ht="60" x14ac:dyDescent="0.2">
      <c r="A2158" s="353">
        <v>41445</v>
      </c>
      <c r="B2158" s="352" t="s">
        <v>2811</v>
      </c>
      <c r="C2158" s="354" t="s">
        <v>2065</v>
      </c>
      <c r="D2158" s="354" t="s">
        <v>2859</v>
      </c>
      <c r="E2158" s="75" t="str">
        <f>VLOOKUP(B2158&amp;C2158,Divipola!$C$2:$F$1138,4,FALSE)</f>
        <v>52683</v>
      </c>
      <c r="F2158" s="87"/>
      <c r="G2158" s="87"/>
      <c r="H2158" s="87"/>
      <c r="I2158" s="87">
        <v>5</v>
      </c>
      <c r="J2158" s="87">
        <v>1</v>
      </c>
      <c r="K2158" s="87"/>
      <c r="L2158" s="87">
        <v>1</v>
      </c>
      <c r="M2158" s="87"/>
      <c r="N2158" s="87"/>
      <c r="O2158" s="87"/>
      <c r="P2158" s="87"/>
      <c r="Q2158" s="87"/>
      <c r="R2158" s="87"/>
      <c r="S2158" s="87"/>
      <c r="T2158" s="87"/>
      <c r="U2158" s="88"/>
      <c r="V2158" s="89"/>
      <c r="W2158" s="96">
        <v>0</v>
      </c>
      <c r="X2158" s="71">
        <f>CU2158</f>
        <v>0</v>
      </c>
      <c r="Y2158" s="71">
        <f>CY2158</f>
        <v>0</v>
      </c>
      <c r="Z2158" s="71">
        <f>DA2158+DC2158+DE2158</f>
        <v>0</v>
      </c>
      <c r="AA2158" s="71">
        <f>CW2158</f>
        <v>0</v>
      </c>
      <c r="AB2158" s="71"/>
      <c r="AC2158" s="71">
        <v>0</v>
      </c>
      <c r="AD2158" s="71">
        <f>W2158+X2158+Y2158+Z2158+AA2158+AB2158+AC2158</f>
        <v>0</v>
      </c>
      <c r="AE2158" s="72">
        <v>0</v>
      </c>
      <c r="AF2158" s="5"/>
      <c r="AG2158" s="6"/>
      <c r="AH2158" s="27" t="s">
        <v>3392</v>
      </c>
      <c r="AI2158" s="44" t="s">
        <v>3393</v>
      </c>
      <c r="AJ2158" s="26"/>
      <c r="AK2158" s="5"/>
      <c r="AL2158" s="82" t="s">
        <v>5000</v>
      </c>
      <c r="AM2158" s="76"/>
      <c r="AN2158" s="76"/>
      <c r="AO2158" s="76"/>
      <c r="AP2158" s="76"/>
      <c r="AQ2158" s="76"/>
      <c r="AR2158" s="76"/>
      <c r="AS2158" s="76"/>
      <c r="AT2158" s="76"/>
      <c r="AU2158" s="76"/>
      <c r="AV2158" s="76"/>
      <c r="AW2158" s="76"/>
      <c r="AX2158" s="76">
        <f>+AW2158*600000</f>
        <v>0</v>
      </c>
      <c r="AY2158" s="76"/>
      <c r="AZ2158" s="76">
        <f>+AY2158*70000</f>
        <v>0</v>
      </c>
      <c r="BA2158" s="76"/>
      <c r="BB2158" s="76"/>
      <c r="BC2158" s="76"/>
      <c r="BD2158" s="76">
        <f>+BC2158*30000</f>
        <v>0</v>
      </c>
      <c r="BE2158" s="76"/>
      <c r="BF2158" s="76"/>
      <c r="BG2158" s="76"/>
      <c r="BH2158" s="76"/>
      <c r="BI2158" s="76"/>
      <c r="BJ2158" s="76"/>
      <c r="BK2158" s="76"/>
      <c r="BL2158" s="76">
        <f>+BK2158*31500</f>
        <v>0</v>
      </c>
      <c r="BM2158" s="76"/>
      <c r="BN2158" s="76"/>
      <c r="BO2158" s="76"/>
      <c r="BP2158" s="76"/>
      <c r="BQ2158" s="76"/>
      <c r="BR2158" s="76"/>
      <c r="BS2158" s="76"/>
      <c r="BT2158" s="76"/>
      <c r="BU2158" s="76"/>
      <c r="BV2158" s="76"/>
      <c r="BW2158" s="76"/>
      <c r="BX2158" s="76"/>
      <c r="BY2158" s="76"/>
      <c r="BZ2158" s="76"/>
      <c r="CA2158" s="76"/>
      <c r="CB2158" s="76"/>
      <c r="CC2158" s="76"/>
      <c r="CD2158" s="76"/>
      <c r="CE2158" s="76"/>
      <c r="CF2158" s="76">
        <f>+CE2158*28000</f>
        <v>0</v>
      </c>
      <c r="CG2158" s="76"/>
      <c r="CH2158" s="76">
        <f>+CG2158*22500</f>
        <v>0</v>
      </c>
      <c r="CI2158" s="76"/>
      <c r="CJ2158" s="76">
        <f>+CI2158*26000</f>
        <v>0</v>
      </c>
      <c r="CK2158" s="76"/>
      <c r="CL2158" s="76"/>
      <c r="CM2158" s="76"/>
      <c r="CN2158" s="76">
        <f>+CM2158*22000</f>
        <v>0</v>
      </c>
      <c r="CO2158" s="76"/>
      <c r="CP2158" s="76">
        <f>+CO2158*46000</f>
        <v>0</v>
      </c>
      <c r="CQ2158" s="76"/>
      <c r="CR2158" s="76">
        <f>+CQ2158*49000</f>
        <v>0</v>
      </c>
      <c r="CS2158" s="76"/>
      <c r="CT2158" s="76"/>
      <c r="CU2158" s="56">
        <f>AN2158+AP2158+AR2158+AT2158+AV2158+AX2158+AZ2158+BB2158+BD2158+BF2158+BH2158+BJ2158+BL2158+BN2158+BP2158+BR2158+BT2158+BV2158+BX2158+BZ2158+CB2158+CD2158+CF2158+CH2158+CJ2158+CL2158+CN2158+CP2158+CR2158+CT2158</f>
        <v>0</v>
      </c>
      <c r="CV2158" s="76"/>
      <c r="CW2158" s="76">
        <f>+CV2158*1100</f>
        <v>0</v>
      </c>
      <c r="CX2158" s="76"/>
      <c r="CY2158" s="76">
        <f>+CX2158*106250</f>
        <v>0</v>
      </c>
      <c r="CZ2158" s="76"/>
      <c r="DA2158" s="76">
        <f>+CZ2158*34500</f>
        <v>0</v>
      </c>
      <c r="DB2158" s="76"/>
      <c r="DC2158" s="76">
        <f>+DB2158*25000</f>
        <v>0</v>
      </c>
      <c r="DD2158" s="219"/>
      <c r="DE2158" s="219"/>
      <c r="DF2158" s="166"/>
      <c r="DG2158" s="116"/>
      <c r="DH2158" s="117"/>
      <c r="DI2158" s="24"/>
      <c r="DJ2158" s="24"/>
      <c r="DK2158" s="24"/>
      <c r="DL2158" s="24"/>
      <c r="DM2158" s="24"/>
      <c r="DN2158" s="24"/>
      <c r="DO2158" s="24"/>
      <c r="DP2158" s="24"/>
      <c r="DQ2158" s="24"/>
      <c r="DR2158" s="24"/>
      <c r="DS2158" s="24"/>
      <c r="DT2158" s="24"/>
      <c r="DU2158" s="24"/>
    </row>
    <row r="2159" spans="1:125" s="8" customFormat="1" ht="24" x14ac:dyDescent="0.2">
      <c r="A2159" s="226">
        <v>41445</v>
      </c>
      <c r="B2159" s="225" t="s">
        <v>2880</v>
      </c>
      <c r="C2159" s="227" t="s">
        <v>241</v>
      </c>
      <c r="D2159" s="354" t="s">
        <v>3088</v>
      </c>
      <c r="E2159" s="75" t="str">
        <f>VLOOKUP(B2159&amp;C2159,Divipola!$C$2:$F$1138,4,FALSE)</f>
        <v>54313</v>
      </c>
      <c r="F2159" s="163"/>
      <c r="G2159" s="163"/>
      <c r="H2159" s="163"/>
      <c r="I2159" s="163"/>
      <c r="J2159" s="163"/>
      <c r="K2159" s="163"/>
      <c r="L2159" s="163"/>
      <c r="M2159" s="163"/>
      <c r="N2159" s="163"/>
      <c r="O2159" s="163"/>
      <c r="P2159" s="163"/>
      <c r="Q2159" s="163"/>
      <c r="R2159" s="163"/>
      <c r="S2159" s="163"/>
      <c r="T2159" s="163"/>
      <c r="U2159" s="163"/>
      <c r="V2159" s="134"/>
      <c r="W2159" s="96">
        <v>0</v>
      </c>
      <c r="X2159" s="71">
        <f>CU2159</f>
        <v>0</v>
      </c>
      <c r="Y2159" s="71">
        <f>CY2159</f>
        <v>163699087.5</v>
      </c>
      <c r="Z2159" s="71">
        <f>DA2159+DC2159+DE2159</f>
        <v>0</v>
      </c>
      <c r="AA2159" s="71">
        <f>CW2159</f>
        <v>0</v>
      </c>
      <c r="AB2159" s="71"/>
      <c r="AC2159" s="71">
        <v>0</v>
      </c>
      <c r="AD2159" s="71">
        <f>W2159+X2159+Y2159+Z2159+AA2159+AB2159+AC2159</f>
        <v>163699087.5</v>
      </c>
      <c r="AE2159" s="72">
        <v>0</v>
      </c>
      <c r="AF2159" s="5"/>
      <c r="AG2159" s="6"/>
      <c r="AH2159" s="27" t="s">
        <v>3390</v>
      </c>
      <c r="AI2159" s="44" t="s">
        <v>3391</v>
      </c>
      <c r="AJ2159" s="26"/>
      <c r="AK2159" s="5"/>
      <c r="AL2159" s="82" t="s">
        <v>3089</v>
      </c>
      <c r="AM2159" s="76"/>
      <c r="AN2159" s="76"/>
      <c r="AO2159" s="76"/>
      <c r="AP2159" s="76"/>
      <c r="AQ2159" s="76"/>
      <c r="AR2159" s="76"/>
      <c r="AS2159" s="76"/>
      <c r="AT2159" s="76"/>
      <c r="AU2159" s="76"/>
      <c r="AV2159" s="76"/>
      <c r="AW2159" s="76"/>
      <c r="AX2159" s="76">
        <f>+AW2159*600000</f>
        <v>0</v>
      </c>
      <c r="AY2159" s="76"/>
      <c r="AZ2159" s="76">
        <f>+AY2159*70000</f>
        <v>0</v>
      </c>
      <c r="BA2159" s="76"/>
      <c r="BB2159" s="76"/>
      <c r="BC2159" s="76"/>
      <c r="BD2159" s="76">
        <f>+BC2159*30000</f>
        <v>0</v>
      </c>
      <c r="BE2159" s="76"/>
      <c r="BF2159" s="76"/>
      <c r="BG2159" s="76"/>
      <c r="BH2159" s="76"/>
      <c r="BI2159" s="76"/>
      <c r="BJ2159" s="76"/>
      <c r="BK2159" s="76"/>
      <c r="BL2159" s="76">
        <f>+BK2159*31500</f>
        <v>0</v>
      </c>
      <c r="BM2159" s="76"/>
      <c r="BN2159" s="76"/>
      <c r="BO2159" s="76"/>
      <c r="BP2159" s="76"/>
      <c r="BQ2159" s="76"/>
      <c r="BR2159" s="76"/>
      <c r="BS2159" s="76"/>
      <c r="BT2159" s="76"/>
      <c r="BU2159" s="76"/>
      <c r="BV2159" s="76"/>
      <c r="BW2159" s="76"/>
      <c r="BX2159" s="76"/>
      <c r="BY2159" s="76"/>
      <c r="BZ2159" s="76"/>
      <c r="CA2159" s="76"/>
      <c r="CB2159" s="76"/>
      <c r="CC2159" s="76"/>
      <c r="CD2159" s="76"/>
      <c r="CE2159" s="76"/>
      <c r="CF2159" s="76">
        <f>+CE2159*28000</f>
        <v>0</v>
      </c>
      <c r="CG2159" s="76"/>
      <c r="CH2159" s="76">
        <f>+CG2159*22500</f>
        <v>0</v>
      </c>
      <c r="CI2159" s="76"/>
      <c r="CJ2159" s="76">
        <f>+CI2159*26000</f>
        <v>0</v>
      </c>
      <c r="CK2159" s="76"/>
      <c r="CL2159" s="76"/>
      <c r="CM2159" s="76"/>
      <c r="CN2159" s="76">
        <f>+CM2159*22000</f>
        <v>0</v>
      </c>
      <c r="CO2159" s="76"/>
      <c r="CP2159" s="76">
        <f>+CO2159*46000</f>
        <v>0</v>
      </c>
      <c r="CQ2159" s="76"/>
      <c r="CR2159" s="76">
        <f>+CQ2159*49000</f>
        <v>0</v>
      </c>
      <c r="CS2159" s="76"/>
      <c r="CT2159" s="76"/>
      <c r="CU2159" s="56">
        <f>AN2159+AP2159+AR2159+AT2159+AV2159+AX2159+AZ2159+BB2159+BD2159+BF2159+BH2159+BJ2159+BL2159+BN2159+BP2159+BR2159+BT2159+BV2159+BX2159+BZ2159+CB2159+CD2159+CF2159+CH2159+CJ2159+CL2159+CN2159+CP2159+CR2159+CT2159</f>
        <v>0</v>
      </c>
      <c r="CV2159" s="76"/>
      <c r="CW2159" s="76">
        <f>+CV2159*1100</f>
        <v>0</v>
      </c>
      <c r="CX2159" s="86">
        <v>1557</v>
      </c>
      <c r="CY2159" s="86">
        <f>+CX2159*105137.5</f>
        <v>163699087.5</v>
      </c>
      <c r="CZ2159" s="76"/>
      <c r="DA2159" s="76">
        <f>+CZ2159*34500</f>
        <v>0</v>
      </c>
      <c r="DB2159" s="76"/>
      <c r="DC2159" s="76">
        <f>+DB2159*25000</f>
        <v>0</v>
      </c>
      <c r="DD2159" s="219"/>
      <c r="DE2159" s="219"/>
      <c r="DF2159" s="166"/>
      <c r="DG2159" s="134" t="s">
        <v>5877</v>
      </c>
      <c r="DH2159" s="117"/>
      <c r="DI2159" s="24"/>
      <c r="DJ2159" s="24"/>
      <c r="DK2159" s="24"/>
      <c r="DL2159" s="24"/>
      <c r="DM2159" s="24"/>
      <c r="DN2159" s="24"/>
      <c r="DO2159" s="24"/>
      <c r="DP2159" s="24"/>
      <c r="DQ2159" s="24"/>
      <c r="DR2159" s="24"/>
      <c r="DS2159" s="24"/>
      <c r="DT2159" s="24"/>
      <c r="DU2159" s="24"/>
    </row>
    <row r="2160" spans="1:125" s="8" customFormat="1" ht="48" x14ac:dyDescent="0.2">
      <c r="A2160" s="226">
        <v>41445</v>
      </c>
      <c r="B2160" s="225" t="s">
        <v>2860</v>
      </c>
      <c r="C2160" s="227" t="s">
        <v>2718</v>
      </c>
      <c r="D2160" s="354" t="s">
        <v>2859</v>
      </c>
      <c r="E2160" s="75" t="str">
        <f>VLOOKUP(B2160&amp;C2160,Divipola!$C$2:$F$1138,4,FALSE)</f>
        <v>63212</v>
      </c>
      <c r="F2160" s="87"/>
      <c r="G2160" s="87"/>
      <c r="H2160" s="87"/>
      <c r="I2160" s="87">
        <v>5</v>
      </c>
      <c r="J2160" s="87">
        <v>1</v>
      </c>
      <c r="K2160" s="87">
        <v>1</v>
      </c>
      <c r="L2160" s="87"/>
      <c r="M2160" s="87"/>
      <c r="N2160" s="87"/>
      <c r="O2160" s="87"/>
      <c r="P2160" s="87"/>
      <c r="Q2160" s="87"/>
      <c r="R2160" s="87"/>
      <c r="S2160" s="87"/>
      <c r="T2160" s="87"/>
      <c r="U2160" s="88"/>
      <c r="V2160" s="89"/>
      <c r="W2160" s="96">
        <v>0</v>
      </c>
      <c r="X2160" s="71">
        <f>CU2160</f>
        <v>0</v>
      </c>
      <c r="Y2160" s="71">
        <f>CY2160</f>
        <v>0</v>
      </c>
      <c r="Z2160" s="71">
        <f>DA2160+DC2160+DE2160</f>
        <v>0</v>
      </c>
      <c r="AA2160" s="71">
        <f>CW2160</f>
        <v>0</v>
      </c>
      <c r="AB2160" s="71"/>
      <c r="AC2160" s="71">
        <v>0</v>
      </c>
      <c r="AD2160" s="71">
        <f>W2160+X2160+Y2160+Z2160+AA2160+AB2160+AC2160</f>
        <v>0</v>
      </c>
      <c r="AE2160" s="72">
        <v>0</v>
      </c>
      <c r="AF2160" s="5"/>
      <c r="AG2160" s="6"/>
      <c r="AH2160" s="27" t="s">
        <v>3392</v>
      </c>
      <c r="AI2160" s="44" t="s">
        <v>3393</v>
      </c>
      <c r="AJ2160" s="26"/>
      <c r="AK2160" s="5"/>
      <c r="AL2160" s="82" t="s">
        <v>4994</v>
      </c>
      <c r="AM2160" s="76"/>
      <c r="AN2160" s="76"/>
      <c r="AO2160" s="76"/>
      <c r="AP2160" s="76"/>
      <c r="AQ2160" s="76"/>
      <c r="AR2160" s="76"/>
      <c r="AS2160" s="76"/>
      <c r="AT2160" s="76"/>
      <c r="AU2160" s="76"/>
      <c r="AV2160" s="76"/>
      <c r="AW2160" s="76"/>
      <c r="AX2160" s="76">
        <f>+AW2160*600000</f>
        <v>0</v>
      </c>
      <c r="AY2160" s="76"/>
      <c r="AZ2160" s="76">
        <f>+AY2160*70000</f>
        <v>0</v>
      </c>
      <c r="BA2160" s="76"/>
      <c r="BB2160" s="76"/>
      <c r="BC2160" s="76"/>
      <c r="BD2160" s="76">
        <f>+BC2160*30000</f>
        <v>0</v>
      </c>
      <c r="BE2160" s="76"/>
      <c r="BF2160" s="76"/>
      <c r="BG2160" s="76"/>
      <c r="BH2160" s="76"/>
      <c r="BI2160" s="76"/>
      <c r="BJ2160" s="76"/>
      <c r="BK2160" s="76"/>
      <c r="BL2160" s="76">
        <f>+BK2160*31500</f>
        <v>0</v>
      </c>
      <c r="BM2160" s="76"/>
      <c r="BN2160" s="76"/>
      <c r="BO2160" s="76"/>
      <c r="BP2160" s="76"/>
      <c r="BQ2160" s="76"/>
      <c r="BR2160" s="76"/>
      <c r="BS2160" s="76"/>
      <c r="BT2160" s="76"/>
      <c r="BU2160" s="76"/>
      <c r="BV2160" s="76"/>
      <c r="BW2160" s="76"/>
      <c r="BX2160" s="76"/>
      <c r="BY2160" s="76"/>
      <c r="BZ2160" s="76"/>
      <c r="CA2160" s="76"/>
      <c r="CB2160" s="76"/>
      <c r="CC2160" s="76"/>
      <c r="CD2160" s="76"/>
      <c r="CE2160" s="76"/>
      <c r="CF2160" s="76">
        <f>+CE2160*28000</f>
        <v>0</v>
      </c>
      <c r="CG2160" s="76"/>
      <c r="CH2160" s="76">
        <f>+CG2160*22500</f>
        <v>0</v>
      </c>
      <c r="CI2160" s="76"/>
      <c r="CJ2160" s="76">
        <f>+CI2160*26000</f>
        <v>0</v>
      </c>
      <c r="CK2160" s="76"/>
      <c r="CL2160" s="76"/>
      <c r="CM2160" s="76"/>
      <c r="CN2160" s="76">
        <f>+CM2160*22000</f>
        <v>0</v>
      </c>
      <c r="CO2160" s="76"/>
      <c r="CP2160" s="76">
        <f>+CO2160*46000</f>
        <v>0</v>
      </c>
      <c r="CQ2160" s="76"/>
      <c r="CR2160" s="76">
        <f>+CQ2160*49000</f>
        <v>0</v>
      </c>
      <c r="CS2160" s="76"/>
      <c r="CT2160" s="76"/>
      <c r="CU2160" s="56">
        <f>AN2160+AP2160+AR2160+AT2160+AV2160+AX2160+AZ2160+BB2160+BD2160+BF2160+BH2160+BJ2160+BL2160+BN2160+BP2160+BR2160+BT2160+BV2160+BX2160+BZ2160+CB2160+CD2160+CF2160+CH2160+CJ2160+CL2160+CN2160+CP2160+CR2160+CT2160</f>
        <v>0</v>
      </c>
      <c r="CV2160" s="76"/>
      <c r="CW2160" s="76">
        <f>+CV2160*1100</f>
        <v>0</v>
      </c>
      <c r="CX2160" s="76"/>
      <c r="CY2160" s="76">
        <f>+CX2160*106250</f>
        <v>0</v>
      </c>
      <c r="CZ2160" s="76"/>
      <c r="DA2160" s="76">
        <f>+CZ2160*34500</f>
        <v>0</v>
      </c>
      <c r="DB2160" s="76"/>
      <c r="DC2160" s="76">
        <f>+DB2160*25000</f>
        <v>0</v>
      </c>
      <c r="DD2160" s="219"/>
      <c r="DE2160" s="219"/>
      <c r="DF2160" s="166"/>
      <c r="DG2160" s="116"/>
      <c r="DH2160" s="117"/>
      <c r="DI2160" s="24"/>
      <c r="DJ2160" s="24"/>
      <c r="DK2160" s="24"/>
      <c r="DL2160" s="24"/>
      <c r="DM2160" s="24"/>
      <c r="DN2160" s="24"/>
      <c r="DO2160" s="24"/>
      <c r="DP2160" s="24"/>
      <c r="DQ2160" s="24"/>
      <c r="DR2160" s="24"/>
      <c r="DS2160" s="24"/>
      <c r="DT2160" s="24"/>
      <c r="DU2160" s="24"/>
    </row>
    <row r="2161" spans="1:128" s="8" customFormat="1" ht="168" x14ac:dyDescent="0.2">
      <c r="A2161" s="226">
        <v>41445</v>
      </c>
      <c r="B2161" s="352" t="s">
        <v>2774</v>
      </c>
      <c r="C2161" s="354" t="s">
        <v>2790</v>
      </c>
      <c r="D2161" s="354" t="s">
        <v>2859</v>
      </c>
      <c r="E2161" s="75" t="str">
        <f>VLOOKUP(B2161&amp;C2161,Divipola!$C$2:$F$1138,4,FALSE)</f>
        <v>66682</v>
      </c>
      <c r="F2161" s="87"/>
      <c r="G2161" s="87"/>
      <c r="H2161" s="87"/>
      <c r="I2161" s="87"/>
      <c r="J2161" s="87"/>
      <c r="K2161" s="87"/>
      <c r="L2161" s="87"/>
      <c r="M2161" s="87"/>
      <c r="N2161" s="87"/>
      <c r="O2161" s="87"/>
      <c r="P2161" s="87"/>
      <c r="Q2161" s="87"/>
      <c r="R2161" s="87"/>
      <c r="S2161" s="87"/>
      <c r="T2161" s="87"/>
      <c r="U2161" s="88"/>
      <c r="V2161" s="89"/>
      <c r="W2161" s="96">
        <v>0</v>
      </c>
      <c r="X2161" s="71">
        <f>CU2161</f>
        <v>0</v>
      </c>
      <c r="Y2161" s="71">
        <f>CY2161</f>
        <v>0</v>
      </c>
      <c r="Z2161" s="71">
        <f>DA2161+DC2161+DE2161</f>
        <v>0</v>
      </c>
      <c r="AA2161" s="71">
        <f>CW2161</f>
        <v>0</v>
      </c>
      <c r="AB2161" s="71"/>
      <c r="AC2161" s="71">
        <v>0</v>
      </c>
      <c r="AD2161" s="71">
        <f>W2161+X2161+Y2161+Z2161+AA2161+AB2161+AC2161</f>
        <v>0</v>
      </c>
      <c r="AE2161" s="72">
        <v>0</v>
      </c>
      <c r="AF2161" s="5"/>
      <c r="AG2161" s="6"/>
      <c r="AH2161" s="27" t="s">
        <v>3392</v>
      </c>
      <c r="AI2161" s="44" t="s">
        <v>3393</v>
      </c>
      <c r="AJ2161" s="26"/>
      <c r="AK2161" s="5"/>
      <c r="AL2161" s="82" t="s">
        <v>4998</v>
      </c>
      <c r="AM2161" s="76"/>
      <c r="AN2161" s="76"/>
      <c r="AO2161" s="76"/>
      <c r="AP2161" s="76"/>
      <c r="AQ2161" s="76"/>
      <c r="AR2161" s="76"/>
      <c r="AS2161" s="76"/>
      <c r="AT2161" s="76"/>
      <c r="AU2161" s="76"/>
      <c r="AV2161" s="76"/>
      <c r="AW2161" s="76"/>
      <c r="AX2161" s="76">
        <f>+AW2161*600000</f>
        <v>0</v>
      </c>
      <c r="AY2161" s="76"/>
      <c r="AZ2161" s="76">
        <f>+AY2161*70000</f>
        <v>0</v>
      </c>
      <c r="BA2161" s="76"/>
      <c r="BB2161" s="76"/>
      <c r="BC2161" s="76"/>
      <c r="BD2161" s="76">
        <f>+BC2161*30000</f>
        <v>0</v>
      </c>
      <c r="BE2161" s="76"/>
      <c r="BF2161" s="76"/>
      <c r="BG2161" s="76"/>
      <c r="BH2161" s="76"/>
      <c r="BI2161" s="76"/>
      <c r="BJ2161" s="76"/>
      <c r="BK2161" s="76"/>
      <c r="BL2161" s="76">
        <f>+BK2161*31500</f>
        <v>0</v>
      </c>
      <c r="BM2161" s="76"/>
      <c r="BN2161" s="76"/>
      <c r="BO2161" s="76"/>
      <c r="BP2161" s="76"/>
      <c r="BQ2161" s="76"/>
      <c r="BR2161" s="76"/>
      <c r="BS2161" s="76"/>
      <c r="BT2161" s="76"/>
      <c r="BU2161" s="76"/>
      <c r="BV2161" s="76"/>
      <c r="BW2161" s="76"/>
      <c r="BX2161" s="76"/>
      <c r="BY2161" s="76"/>
      <c r="BZ2161" s="76"/>
      <c r="CA2161" s="76"/>
      <c r="CB2161" s="76"/>
      <c r="CC2161" s="76"/>
      <c r="CD2161" s="76"/>
      <c r="CE2161" s="76"/>
      <c r="CF2161" s="76">
        <f>+CE2161*28000</f>
        <v>0</v>
      </c>
      <c r="CG2161" s="76"/>
      <c r="CH2161" s="76">
        <f>+CG2161*22500</f>
        <v>0</v>
      </c>
      <c r="CI2161" s="76"/>
      <c r="CJ2161" s="76">
        <f>+CI2161*26000</f>
        <v>0</v>
      </c>
      <c r="CK2161" s="76"/>
      <c r="CL2161" s="76"/>
      <c r="CM2161" s="76"/>
      <c r="CN2161" s="76">
        <f>+CM2161*22000</f>
        <v>0</v>
      </c>
      <c r="CO2161" s="76"/>
      <c r="CP2161" s="76">
        <f>+CO2161*46000</f>
        <v>0</v>
      </c>
      <c r="CQ2161" s="76"/>
      <c r="CR2161" s="76">
        <f>+CQ2161*49000</f>
        <v>0</v>
      </c>
      <c r="CS2161" s="76"/>
      <c r="CT2161" s="76"/>
      <c r="CU2161" s="56">
        <f>AN2161+AP2161+AR2161+AT2161+AV2161+AX2161+AZ2161+BB2161+BD2161+BF2161+BH2161+BJ2161+BL2161+BN2161+BP2161+BR2161+BT2161+BV2161+BX2161+BZ2161+CB2161+CD2161+CF2161+CH2161+CJ2161+CL2161+CN2161+CP2161+CR2161+CT2161</f>
        <v>0</v>
      </c>
      <c r="CV2161" s="76"/>
      <c r="CW2161" s="76">
        <f>+CV2161*1100</f>
        <v>0</v>
      </c>
      <c r="CX2161" s="76"/>
      <c r="CY2161" s="76">
        <f>+CX2161*106250</f>
        <v>0</v>
      </c>
      <c r="CZ2161" s="76"/>
      <c r="DA2161" s="76">
        <f>+CZ2161*34500</f>
        <v>0</v>
      </c>
      <c r="DB2161" s="76"/>
      <c r="DC2161" s="76">
        <f>+DB2161*25000</f>
        <v>0</v>
      </c>
      <c r="DD2161" s="219"/>
      <c r="DE2161" s="219"/>
      <c r="DF2161" s="166"/>
      <c r="DG2161" s="116"/>
      <c r="DH2161" s="117"/>
      <c r="DI2161" s="24"/>
      <c r="DJ2161" s="24"/>
      <c r="DK2161" s="24"/>
      <c r="DL2161" s="24"/>
      <c r="DM2161" s="24"/>
      <c r="DN2161" s="24"/>
      <c r="DO2161" s="24"/>
      <c r="DP2161" s="24"/>
      <c r="DQ2161" s="24"/>
      <c r="DR2161" s="24"/>
      <c r="DS2161" s="24"/>
      <c r="DT2161" s="24"/>
      <c r="DU2161" s="24"/>
    </row>
    <row r="2162" spans="1:128" s="8" customFormat="1" ht="132" x14ac:dyDescent="0.2">
      <c r="A2162" s="353">
        <v>41445</v>
      </c>
      <c r="B2162" s="60" t="s">
        <v>2847</v>
      </c>
      <c r="C2162" s="55" t="s">
        <v>2673</v>
      </c>
      <c r="D2162" s="55" t="s">
        <v>2859</v>
      </c>
      <c r="E2162" s="75" t="str">
        <f>VLOOKUP(B2162&amp;C2162,Divipola!$C$2:$F$1138,4,FALSE)</f>
        <v>68001</v>
      </c>
      <c r="F2162" s="87"/>
      <c r="G2162" s="87"/>
      <c r="H2162" s="87"/>
      <c r="I2162" s="87">
        <v>5</v>
      </c>
      <c r="J2162" s="87">
        <v>1</v>
      </c>
      <c r="K2162" s="87">
        <v>1</v>
      </c>
      <c r="L2162" s="87"/>
      <c r="M2162" s="87"/>
      <c r="N2162" s="87"/>
      <c r="O2162" s="87"/>
      <c r="P2162" s="87"/>
      <c r="Q2162" s="87"/>
      <c r="R2162" s="87"/>
      <c r="S2162" s="87"/>
      <c r="T2162" s="87"/>
      <c r="U2162" s="88"/>
      <c r="V2162" s="89"/>
      <c r="W2162" s="96">
        <v>0</v>
      </c>
      <c r="X2162" s="71">
        <f>CU2162</f>
        <v>0</v>
      </c>
      <c r="Y2162" s="71">
        <f>CY2162</f>
        <v>0</v>
      </c>
      <c r="Z2162" s="71">
        <f>DA2162+DC2162+DE2162</f>
        <v>0</v>
      </c>
      <c r="AA2162" s="71">
        <f>CW2162</f>
        <v>0</v>
      </c>
      <c r="AB2162" s="71"/>
      <c r="AC2162" s="71">
        <v>0</v>
      </c>
      <c r="AD2162" s="71">
        <f>W2162+X2162+Y2162+Z2162+AA2162+AB2162+AC2162</f>
        <v>0</v>
      </c>
      <c r="AE2162" s="72">
        <v>0</v>
      </c>
      <c r="AF2162" s="5"/>
      <c r="AG2162" s="6"/>
      <c r="AH2162" s="27" t="s">
        <v>3392</v>
      </c>
      <c r="AI2162" s="44" t="s">
        <v>3393</v>
      </c>
      <c r="AJ2162" s="26"/>
      <c r="AK2162" s="5"/>
      <c r="AL2162" s="82" t="s">
        <v>4999</v>
      </c>
      <c r="AM2162" s="76"/>
      <c r="AN2162" s="76"/>
      <c r="AO2162" s="76"/>
      <c r="AP2162" s="76"/>
      <c r="AQ2162" s="76"/>
      <c r="AR2162" s="76"/>
      <c r="AS2162" s="76"/>
      <c r="AT2162" s="76"/>
      <c r="AU2162" s="76"/>
      <c r="AV2162" s="76"/>
      <c r="AW2162" s="76"/>
      <c r="AX2162" s="76">
        <f>+AW2162*600000</f>
        <v>0</v>
      </c>
      <c r="AY2162" s="76"/>
      <c r="AZ2162" s="76">
        <f>+AY2162*70000</f>
        <v>0</v>
      </c>
      <c r="BA2162" s="76"/>
      <c r="BB2162" s="76"/>
      <c r="BC2162" s="76"/>
      <c r="BD2162" s="76">
        <f>+BC2162*30000</f>
        <v>0</v>
      </c>
      <c r="BE2162" s="76"/>
      <c r="BF2162" s="76"/>
      <c r="BG2162" s="76"/>
      <c r="BH2162" s="76"/>
      <c r="BI2162" s="76"/>
      <c r="BJ2162" s="76"/>
      <c r="BK2162" s="76"/>
      <c r="BL2162" s="76">
        <f>+BK2162*31500</f>
        <v>0</v>
      </c>
      <c r="BM2162" s="76"/>
      <c r="BN2162" s="76"/>
      <c r="BO2162" s="76"/>
      <c r="BP2162" s="76"/>
      <c r="BQ2162" s="76"/>
      <c r="BR2162" s="76"/>
      <c r="BS2162" s="76"/>
      <c r="BT2162" s="76"/>
      <c r="BU2162" s="76"/>
      <c r="BV2162" s="76"/>
      <c r="BW2162" s="76"/>
      <c r="BX2162" s="76"/>
      <c r="BY2162" s="76"/>
      <c r="BZ2162" s="76"/>
      <c r="CA2162" s="76"/>
      <c r="CB2162" s="76"/>
      <c r="CC2162" s="76"/>
      <c r="CD2162" s="76"/>
      <c r="CE2162" s="76"/>
      <c r="CF2162" s="76">
        <f>+CE2162*28000</f>
        <v>0</v>
      </c>
      <c r="CG2162" s="76"/>
      <c r="CH2162" s="76">
        <f>+CG2162*22500</f>
        <v>0</v>
      </c>
      <c r="CI2162" s="76"/>
      <c r="CJ2162" s="76">
        <f>+CI2162*26000</f>
        <v>0</v>
      </c>
      <c r="CK2162" s="76"/>
      <c r="CL2162" s="76"/>
      <c r="CM2162" s="76"/>
      <c r="CN2162" s="76">
        <f>+CM2162*22000</f>
        <v>0</v>
      </c>
      <c r="CO2162" s="76"/>
      <c r="CP2162" s="76">
        <f>+CO2162*46000</f>
        <v>0</v>
      </c>
      <c r="CQ2162" s="76"/>
      <c r="CR2162" s="76">
        <f>+CQ2162*49000</f>
        <v>0</v>
      </c>
      <c r="CS2162" s="76"/>
      <c r="CT2162" s="76"/>
      <c r="CU2162" s="56">
        <f>AN2162+AP2162+AR2162+AT2162+AV2162+AX2162+AZ2162+BB2162+BD2162+BF2162+BH2162+BJ2162+BL2162+BN2162+BP2162+BR2162+BT2162+BV2162+BX2162+BZ2162+CB2162+CD2162+CF2162+CH2162+CJ2162+CL2162+CN2162+CP2162+CR2162+CT2162</f>
        <v>0</v>
      </c>
      <c r="CV2162" s="76"/>
      <c r="CW2162" s="76">
        <f>+CV2162*1100</f>
        <v>0</v>
      </c>
      <c r="CX2162" s="76"/>
      <c r="CY2162" s="76">
        <f>+CX2162*106250</f>
        <v>0</v>
      </c>
      <c r="CZ2162" s="76"/>
      <c r="DA2162" s="76">
        <f>+CZ2162*34500</f>
        <v>0</v>
      </c>
      <c r="DB2162" s="76"/>
      <c r="DC2162" s="76">
        <f>+DB2162*25000</f>
        <v>0</v>
      </c>
      <c r="DD2162" s="219"/>
      <c r="DE2162" s="219"/>
      <c r="DF2162" s="166"/>
      <c r="DG2162" s="116"/>
      <c r="DH2162" s="117"/>
      <c r="DI2162" s="24"/>
      <c r="DJ2162" s="24"/>
      <c r="DK2162" s="24"/>
      <c r="DL2162" s="24"/>
      <c r="DM2162" s="24"/>
      <c r="DN2162" s="24"/>
      <c r="DO2162" s="24"/>
      <c r="DP2162" s="24"/>
      <c r="DQ2162" s="24"/>
      <c r="DR2162" s="24"/>
      <c r="DS2162" s="24"/>
      <c r="DT2162" s="24"/>
      <c r="DU2162" s="24"/>
    </row>
    <row r="2163" spans="1:128" s="8" customFormat="1" ht="96" x14ac:dyDescent="0.2">
      <c r="A2163" s="226">
        <v>41446</v>
      </c>
      <c r="B2163" s="352" t="s">
        <v>2196</v>
      </c>
      <c r="C2163" s="354" t="s">
        <v>508</v>
      </c>
      <c r="D2163" s="354" t="s">
        <v>3017</v>
      </c>
      <c r="E2163" s="75" t="str">
        <f>VLOOKUP(B2163&amp;C2163,Divipola!$C$2:$F$1138,4,FALSE)</f>
        <v>17001</v>
      </c>
      <c r="F2163" s="87"/>
      <c r="G2163" s="87">
        <v>1</v>
      </c>
      <c r="H2163" s="87"/>
      <c r="I2163" s="87">
        <v>6</v>
      </c>
      <c r="J2163" s="87">
        <v>1</v>
      </c>
      <c r="K2163" s="87"/>
      <c r="L2163" s="87"/>
      <c r="M2163" s="87">
        <v>1</v>
      </c>
      <c r="N2163" s="87"/>
      <c r="O2163" s="87"/>
      <c r="P2163" s="87"/>
      <c r="Q2163" s="87"/>
      <c r="R2163" s="87"/>
      <c r="S2163" s="87"/>
      <c r="T2163" s="87"/>
      <c r="U2163" s="88"/>
      <c r="V2163" s="89"/>
      <c r="W2163" s="96">
        <v>0</v>
      </c>
      <c r="X2163" s="71">
        <f>CU2163</f>
        <v>0</v>
      </c>
      <c r="Y2163" s="71">
        <f>CY2163</f>
        <v>0</v>
      </c>
      <c r="Z2163" s="71">
        <f>DA2163+DC2163+DE2163</f>
        <v>0</v>
      </c>
      <c r="AA2163" s="71">
        <f>CW2163</f>
        <v>0</v>
      </c>
      <c r="AB2163" s="71"/>
      <c r="AC2163" s="71">
        <v>0</v>
      </c>
      <c r="AD2163" s="71">
        <f>W2163+X2163+Y2163+Z2163+AA2163+AB2163+AC2163</f>
        <v>0</v>
      </c>
      <c r="AE2163" s="72">
        <v>0</v>
      </c>
      <c r="AF2163" s="5"/>
      <c r="AG2163" s="6"/>
      <c r="AH2163" s="27" t="s">
        <v>3392</v>
      </c>
      <c r="AI2163" s="44" t="s">
        <v>3393</v>
      </c>
      <c r="AJ2163" s="26"/>
      <c r="AK2163" s="5"/>
      <c r="AL2163" s="82" t="s">
        <v>5003</v>
      </c>
      <c r="AM2163" s="76"/>
      <c r="AN2163" s="76"/>
      <c r="AO2163" s="76"/>
      <c r="AP2163" s="76"/>
      <c r="AQ2163" s="76"/>
      <c r="AR2163" s="76"/>
      <c r="AS2163" s="76"/>
      <c r="AT2163" s="76"/>
      <c r="AU2163" s="76"/>
      <c r="AV2163" s="76"/>
      <c r="AW2163" s="76"/>
      <c r="AX2163" s="76">
        <f>+AW2163*600000</f>
        <v>0</v>
      </c>
      <c r="AY2163" s="76"/>
      <c r="AZ2163" s="76">
        <f>+AY2163*70000</f>
        <v>0</v>
      </c>
      <c r="BA2163" s="76"/>
      <c r="BB2163" s="76"/>
      <c r="BC2163" s="76"/>
      <c r="BD2163" s="76">
        <f>+BC2163*30000</f>
        <v>0</v>
      </c>
      <c r="BE2163" s="76"/>
      <c r="BF2163" s="76"/>
      <c r="BG2163" s="76"/>
      <c r="BH2163" s="76"/>
      <c r="BI2163" s="76"/>
      <c r="BJ2163" s="76"/>
      <c r="BK2163" s="76"/>
      <c r="BL2163" s="76">
        <f>+BK2163*31500</f>
        <v>0</v>
      </c>
      <c r="BM2163" s="76"/>
      <c r="BN2163" s="76"/>
      <c r="BO2163" s="76"/>
      <c r="BP2163" s="76"/>
      <c r="BQ2163" s="76"/>
      <c r="BR2163" s="76"/>
      <c r="BS2163" s="76"/>
      <c r="BT2163" s="76"/>
      <c r="BU2163" s="76"/>
      <c r="BV2163" s="76"/>
      <c r="BW2163" s="76"/>
      <c r="BX2163" s="76"/>
      <c r="BY2163" s="76"/>
      <c r="BZ2163" s="76"/>
      <c r="CA2163" s="76"/>
      <c r="CB2163" s="76"/>
      <c r="CC2163" s="76"/>
      <c r="CD2163" s="76"/>
      <c r="CE2163" s="76"/>
      <c r="CF2163" s="76">
        <f>+CE2163*28000</f>
        <v>0</v>
      </c>
      <c r="CG2163" s="76"/>
      <c r="CH2163" s="76">
        <f>+CG2163*22500</f>
        <v>0</v>
      </c>
      <c r="CI2163" s="76"/>
      <c r="CJ2163" s="76">
        <f>+CI2163*26000</f>
        <v>0</v>
      </c>
      <c r="CK2163" s="76"/>
      <c r="CL2163" s="76"/>
      <c r="CM2163" s="76"/>
      <c r="CN2163" s="76">
        <f>+CM2163*22000</f>
        <v>0</v>
      </c>
      <c r="CO2163" s="76"/>
      <c r="CP2163" s="76">
        <f>+CO2163*46000</f>
        <v>0</v>
      </c>
      <c r="CQ2163" s="76"/>
      <c r="CR2163" s="76">
        <f>+CQ2163*49000</f>
        <v>0</v>
      </c>
      <c r="CS2163" s="76"/>
      <c r="CT2163" s="76"/>
      <c r="CU2163" s="56">
        <f>AN2163+AP2163+AR2163+AT2163+AV2163+AX2163+AZ2163+BB2163+BD2163+BF2163+BH2163+BJ2163+BL2163+BN2163+BP2163+BR2163+BT2163+BV2163+BX2163+BZ2163+CB2163+CD2163+CF2163+CH2163+CJ2163+CL2163+CN2163+CP2163+CR2163+CT2163</f>
        <v>0</v>
      </c>
      <c r="CV2163" s="76"/>
      <c r="CW2163" s="76">
        <f>+CV2163*1100</f>
        <v>0</v>
      </c>
      <c r="CX2163" s="76"/>
      <c r="CY2163" s="76">
        <f>+CX2163*106250</f>
        <v>0</v>
      </c>
      <c r="CZ2163" s="76"/>
      <c r="DA2163" s="76">
        <f>+CZ2163*34500</f>
        <v>0</v>
      </c>
      <c r="DB2163" s="76"/>
      <c r="DC2163" s="76">
        <f>+DB2163*25000</f>
        <v>0</v>
      </c>
      <c r="DD2163" s="219"/>
      <c r="DE2163" s="219"/>
      <c r="DF2163" s="166"/>
      <c r="DG2163" s="116"/>
      <c r="DH2163" s="117"/>
      <c r="DI2163" s="24"/>
      <c r="DJ2163" s="24"/>
      <c r="DK2163" s="24"/>
      <c r="DL2163" s="24"/>
      <c r="DM2163" s="24"/>
      <c r="DN2163" s="24"/>
      <c r="DO2163" s="24"/>
      <c r="DP2163" s="24"/>
      <c r="DQ2163" s="24"/>
      <c r="DR2163" s="24"/>
      <c r="DS2163" s="24"/>
      <c r="DT2163" s="24"/>
      <c r="DU2163" s="24"/>
    </row>
    <row r="2164" spans="1:128" s="8" customFormat="1" ht="84" x14ac:dyDescent="0.2">
      <c r="A2164" s="353">
        <v>41446</v>
      </c>
      <c r="B2164" s="352" t="s">
        <v>2772</v>
      </c>
      <c r="C2164" s="354" t="s">
        <v>2167</v>
      </c>
      <c r="D2164" s="354" t="s">
        <v>2859</v>
      </c>
      <c r="E2164" s="75" t="str">
        <f>VLOOKUP(B2164&amp;C2164,Divipola!$C$2:$F$1138,4,FALSE)</f>
        <v>25377</v>
      </c>
      <c r="F2164" s="87"/>
      <c r="G2164" s="87"/>
      <c r="H2164" s="87"/>
      <c r="I2164" s="87">
        <v>1</v>
      </c>
      <c r="J2164" s="87">
        <v>1</v>
      </c>
      <c r="K2164" s="87">
        <v>1</v>
      </c>
      <c r="L2164" s="87"/>
      <c r="M2164" s="87"/>
      <c r="N2164" s="87"/>
      <c r="O2164" s="87"/>
      <c r="P2164" s="87"/>
      <c r="Q2164" s="87"/>
      <c r="R2164" s="87"/>
      <c r="S2164" s="87"/>
      <c r="T2164" s="87"/>
      <c r="U2164" s="88"/>
      <c r="V2164" s="89"/>
      <c r="W2164" s="96">
        <v>0</v>
      </c>
      <c r="X2164" s="71">
        <f>CU2164</f>
        <v>0</v>
      </c>
      <c r="Y2164" s="71">
        <f>CY2164</f>
        <v>0</v>
      </c>
      <c r="Z2164" s="71">
        <f>DA2164+DC2164+DE2164</f>
        <v>0</v>
      </c>
      <c r="AA2164" s="71">
        <f>CW2164</f>
        <v>0</v>
      </c>
      <c r="AB2164" s="71"/>
      <c r="AC2164" s="71">
        <v>0</v>
      </c>
      <c r="AD2164" s="71">
        <f>W2164+X2164+Y2164+Z2164+AA2164+AB2164+AC2164</f>
        <v>0</v>
      </c>
      <c r="AE2164" s="72">
        <v>0</v>
      </c>
      <c r="AF2164" s="5"/>
      <c r="AG2164" s="6"/>
      <c r="AH2164" s="27" t="s">
        <v>3392</v>
      </c>
      <c r="AI2164" s="44" t="s">
        <v>3393</v>
      </c>
      <c r="AJ2164" s="26"/>
      <c r="AK2164" s="5"/>
      <c r="AL2164" s="82" t="s">
        <v>5008</v>
      </c>
      <c r="AM2164" s="76"/>
      <c r="AN2164" s="76"/>
      <c r="AO2164" s="76"/>
      <c r="AP2164" s="76"/>
      <c r="AQ2164" s="76"/>
      <c r="AR2164" s="76"/>
      <c r="AS2164" s="76"/>
      <c r="AT2164" s="76"/>
      <c r="AU2164" s="76"/>
      <c r="AV2164" s="76"/>
      <c r="AW2164" s="76"/>
      <c r="AX2164" s="76">
        <f>+AW2164*600000</f>
        <v>0</v>
      </c>
      <c r="AY2164" s="76"/>
      <c r="AZ2164" s="76">
        <f>+AY2164*70000</f>
        <v>0</v>
      </c>
      <c r="BA2164" s="76"/>
      <c r="BB2164" s="76"/>
      <c r="BC2164" s="76"/>
      <c r="BD2164" s="76">
        <f>+BC2164*30000</f>
        <v>0</v>
      </c>
      <c r="BE2164" s="76"/>
      <c r="BF2164" s="76"/>
      <c r="BG2164" s="76"/>
      <c r="BH2164" s="76"/>
      <c r="BI2164" s="76"/>
      <c r="BJ2164" s="76"/>
      <c r="BK2164" s="76"/>
      <c r="BL2164" s="76">
        <f>+BK2164*31500</f>
        <v>0</v>
      </c>
      <c r="BM2164" s="76"/>
      <c r="BN2164" s="76"/>
      <c r="BO2164" s="76"/>
      <c r="BP2164" s="76"/>
      <c r="BQ2164" s="76"/>
      <c r="BR2164" s="76"/>
      <c r="BS2164" s="76"/>
      <c r="BT2164" s="76"/>
      <c r="BU2164" s="76"/>
      <c r="BV2164" s="76"/>
      <c r="BW2164" s="76"/>
      <c r="BX2164" s="76"/>
      <c r="BY2164" s="76"/>
      <c r="BZ2164" s="76"/>
      <c r="CA2164" s="76"/>
      <c r="CB2164" s="76"/>
      <c r="CC2164" s="76"/>
      <c r="CD2164" s="76"/>
      <c r="CE2164" s="76"/>
      <c r="CF2164" s="76">
        <f>+CE2164*28000</f>
        <v>0</v>
      </c>
      <c r="CG2164" s="76"/>
      <c r="CH2164" s="76">
        <f>+CG2164*22500</f>
        <v>0</v>
      </c>
      <c r="CI2164" s="76"/>
      <c r="CJ2164" s="76">
        <f>+CI2164*26000</f>
        <v>0</v>
      </c>
      <c r="CK2164" s="76"/>
      <c r="CL2164" s="76"/>
      <c r="CM2164" s="76"/>
      <c r="CN2164" s="76">
        <f>+CM2164*22000</f>
        <v>0</v>
      </c>
      <c r="CO2164" s="76"/>
      <c r="CP2164" s="76">
        <f>+CO2164*46000</f>
        <v>0</v>
      </c>
      <c r="CQ2164" s="76"/>
      <c r="CR2164" s="76">
        <f>+CQ2164*49000</f>
        <v>0</v>
      </c>
      <c r="CS2164" s="76"/>
      <c r="CT2164" s="76"/>
      <c r="CU2164" s="56">
        <f>AN2164+AP2164+AR2164+AT2164+AV2164+AX2164+AZ2164+BB2164+BD2164+BF2164+BH2164+BJ2164+BL2164+BN2164+BP2164+BR2164+BT2164+BV2164+BX2164+BZ2164+CB2164+CD2164+CF2164+CH2164+CJ2164+CL2164+CN2164+CP2164+CR2164+CT2164</f>
        <v>0</v>
      </c>
      <c r="CV2164" s="76"/>
      <c r="CW2164" s="76">
        <f>+CV2164*1100</f>
        <v>0</v>
      </c>
      <c r="CX2164" s="76"/>
      <c r="CY2164" s="76">
        <f>+CX2164*106250</f>
        <v>0</v>
      </c>
      <c r="CZ2164" s="76"/>
      <c r="DA2164" s="76">
        <f>+CZ2164*34500</f>
        <v>0</v>
      </c>
      <c r="DB2164" s="76"/>
      <c r="DC2164" s="76">
        <f>+DB2164*25000</f>
        <v>0</v>
      </c>
      <c r="DD2164" s="219"/>
      <c r="DE2164" s="219"/>
      <c r="DF2164" s="166"/>
      <c r="DG2164" s="116"/>
      <c r="DH2164" s="117"/>
      <c r="DI2164" s="24"/>
      <c r="DJ2164" s="24"/>
      <c r="DK2164" s="24"/>
      <c r="DL2164" s="24"/>
      <c r="DM2164" s="24"/>
      <c r="DN2164" s="24"/>
      <c r="DO2164" s="24"/>
      <c r="DP2164" s="24"/>
      <c r="DQ2164" s="24"/>
      <c r="DR2164" s="24"/>
      <c r="DS2164" s="24"/>
      <c r="DT2164" s="24"/>
      <c r="DU2164" s="24"/>
    </row>
    <row r="2165" spans="1:128" s="8" customFormat="1" ht="36" x14ac:dyDescent="0.2">
      <c r="A2165" s="77">
        <v>41446</v>
      </c>
      <c r="B2165" s="78" t="s">
        <v>2860</v>
      </c>
      <c r="C2165" s="75" t="s">
        <v>2776</v>
      </c>
      <c r="D2165" s="75" t="s">
        <v>2859</v>
      </c>
      <c r="E2165" s="75" t="str">
        <f>VLOOKUP(B2165&amp;C2165,Divipola!$C$2:$F$1138,4,FALSE)</f>
        <v>63001</v>
      </c>
      <c r="F2165" s="87"/>
      <c r="G2165" s="87"/>
      <c r="H2165" s="87"/>
      <c r="I2165" s="87">
        <v>5</v>
      </c>
      <c r="J2165" s="87">
        <v>1</v>
      </c>
      <c r="K2165" s="87"/>
      <c r="L2165" s="87">
        <v>1</v>
      </c>
      <c r="M2165" s="87"/>
      <c r="N2165" s="87"/>
      <c r="O2165" s="87"/>
      <c r="P2165" s="87"/>
      <c r="Q2165" s="87"/>
      <c r="R2165" s="87"/>
      <c r="S2165" s="87"/>
      <c r="T2165" s="87"/>
      <c r="U2165" s="88"/>
      <c r="V2165" s="89"/>
      <c r="W2165" s="96">
        <v>0</v>
      </c>
      <c r="X2165" s="71">
        <f>CU2165</f>
        <v>0</v>
      </c>
      <c r="Y2165" s="71">
        <f>CY2165</f>
        <v>0</v>
      </c>
      <c r="Z2165" s="71">
        <f>DA2165+DC2165+DE2165</f>
        <v>0</v>
      </c>
      <c r="AA2165" s="71">
        <f>CW2165</f>
        <v>0</v>
      </c>
      <c r="AB2165" s="71"/>
      <c r="AC2165" s="71">
        <v>0</v>
      </c>
      <c r="AD2165" s="71">
        <f>W2165+X2165+Y2165+Z2165+AA2165+AB2165+AC2165</f>
        <v>0</v>
      </c>
      <c r="AE2165" s="72">
        <v>0</v>
      </c>
      <c r="AF2165" s="5"/>
      <c r="AG2165" s="6"/>
      <c r="AH2165" s="27" t="s">
        <v>3392</v>
      </c>
      <c r="AI2165" s="44" t="s">
        <v>3393</v>
      </c>
      <c r="AJ2165" s="26"/>
      <c r="AK2165" s="5"/>
      <c r="AL2165" s="82" t="s">
        <v>5002</v>
      </c>
      <c r="AM2165" s="76"/>
      <c r="AN2165" s="76"/>
      <c r="AO2165" s="76"/>
      <c r="AP2165" s="76"/>
      <c r="AQ2165" s="76"/>
      <c r="AR2165" s="76"/>
      <c r="AS2165" s="76"/>
      <c r="AT2165" s="76"/>
      <c r="AU2165" s="76"/>
      <c r="AV2165" s="76"/>
      <c r="AW2165" s="76"/>
      <c r="AX2165" s="76">
        <f>+AW2165*600000</f>
        <v>0</v>
      </c>
      <c r="AY2165" s="76"/>
      <c r="AZ2165" s="76">
        <f>+AY2165*70000</f>
        <v>0</v>
      </c>
      <c r="BA2165" s="76"/>
      <c r="BB2165" s="76"/>
      <c r="BC2165" s="76"/>
      <c r="BD2165" s="76">
        <f>+BC2165*30000</f>
        <v>0</v>
      </c>
      <c r="BE2165" s="76"/>
      <c r="BF2165" s="76"/>
      <c r="BG2165" s="76"/>
      <c r="BH2165" s="76"/>
      <c r="BI2165" s="76"/>
      <c r="BJ2165" s="76"/>
      <c r="BK2165" s="76"/>
      <c r="BL2165" s="76">
        <f>+BK2165*31500</f>
        <v>0</v>
      </c>
      <c r="BM2165" s="76"/>
      <c r="BN2165" s="76"/>
      <c r="BO2165" s="76"/>
      <c r="BP2165" s="76"/>
      <c r="BQ2165" s="76"/>
      <c r="BR2165" s="76"/>
      <c r="BS2165" s="76"/>
      <c r="BT2165" s="76"/>
      <c r="BU2165" s="76"/>
      <c r="BV2165" s="76"/>
      <c r="BW2165" s="76"/>
      <c r="BX2165" s="76"/>
      <c r="BY2165" s="76"/>
      <c r="BZ2165" s="76"/>
      <c r="CA2165" s="76"/>
      <c r="CB2165" s="76"/>
      <c r="CC2165" s="76"/>
      <c r="CD2165" s="76"/>
      <c r="CE2165" s="76"/>
      <c r="CF2165" s="76">
        <f>+CE2165*28000</f>
        <v>0</v>
      </c>
      <c r="CG2165" s="76"/>
      <c r="CH2165" s="76">
        <f>+CG2165*22500</f>
        <v>0</v>
      </c>
      <c r="CI2165" s="76"/>
      <c r="CJ2165" s="76">
        <f>+CI2165*26000</f>
        <v>0</v>
      </c>
      <c r="CK2165" s="76"/>
      <c r="CL2165" s="76"/>
      <c r="CM2165" s="76"/>
      <c r="CN2165" s="76">
        <f>+CM2165*22000</f>
        <v>0</v>
      </c>
      <c r="CO2165" s="76"/>
      <c r="CP2165" s="76">
        <f>+CO2165*46000</f>
        <v>0</v>
      </c>
      <c r="CQ2165" s="76"/>
      <c r="CR2165" s="76">
        <f>+CQ2165*49000</f>
        <v>0</v>
      </c>
      <c r="CS2165" s="76"/>
      <c r="CT2165" s="76"/>
      <c r="CU2165" s="56">
        <f>AN2165+AP2165+AR2165+AT2165+AV2165+AX2165+AZ2165+BB2165+BD2165+BF2165+BH2165+BJ2165+BL2165+BN2165+BP2165+BR2165+BT2165+BV2165+BX2165+BZ2165+CB2165+CD2165+CF2165+CH2165+CJ2165+CL2165+CN2165+CP2165+CR2165+CT2165</f>
        <v>0</v>
      </c>
      <c r="CV2165" s="76"/>
      <c r="CW2165" s="76">
        <f>+CV2165*1100</f>
        <v>0</v>
      </c>
      <c r="CX2165" s="76"/>
      <c r="CY2165" s="76">
        <f>+CX2165*106250</f>
        <v>0</v>
      </c>
      <c r="CZ2165" s="76"/>
      <c r="DA2165" s="76">
        <f>+CZ2165*34500</f>
        <v>0</v>
      </c>
      <c r="DB2165" s="76"/>
      <c r="DC2165" s="76">
        <f>+DB2165*25000</f>
        <v>0</v>
      </c>
      <c r="DD2165" s="219"/>
      <c r="DE2165" s="219"/>
      <c r="DF2165" s="166"/>
      <c r="DG2165" s="116"/>
      <c r="DH2165" s="117"/>
      <c r="DI2165" s="24"/>
      <c r="DJ2165" s="24"/>
      <c r="DK2165" s="24"/>
      <c r="DL2165" s="24"/>
      <c r="DM2165" s="24"/>
      <c r="DN2165" s="24"/>
      <c r="DO2165" s="24"/>
      <c r="DP2165" s="24"/>
      <c r="DQ2165" s="24"/>
      <c r="DR2165" s="24"/>
      <c r="DS2165" s="24"/>
      <c r="DT2165" s="24"/>
      <c r="DU2165" s="24"/>
    </row>
    <row r="2166" spans="1:128" s="8" customFormat="1" ht="60" x14ac:dyDescent="0.2">
      <c r="A2166" s="97">
        <v>41446</v>
      </c>
      <c r="B2166" s="60" t="s">
        <v>2848</v>
      </c>
      <c r="C2166" s="55" t="s">
        <v>2034</v>
      </c>
      <c r="D2166" s="55" t="s">
        <v>4391</v>
      </c>
      <c r="E2166" s="75" t="str">
        <f>VLOOKUP(B2166&amp;C2166,Divipola!$C$2:$F$1138,4,FALSE)</f>
        <v>73449</v>
      </c>
      <c r="F2166" s="87">
        <v>1</v>
      </c>
      <c r="G2166" s="87"/>
      <c r="H2166" s="87"/>
      <c r="I2166" s="87"/>
      <c r="J2166" s="87"/>
      <c r="K2166" s="87"/>
      <c r="L2166" s="87"/>
      <c r="M2166" s="87"/>
      <c r="N2166" s="87"/>
      <c r="O2166" s="87"/>
      <c r="P2166" s="87"/>
      <c r="Q2166" s="87"/>
      <c r="R2166" s="87"/>
      <c r="S2166" s="87"/>
      <c r="T2166" s="87"/>
      <c r="U2166" s="88"/>
      <c r="V2166" s="89"/>
      <c r="W2166" s="96">
        <v>0</v>
      </c>
      <c r="X2166" s="71">
        <f>CU2166</f>
        <v>0</v>
      </c>
      <c r="Y2166" s="71">
        <f>CY2166</f>
        <v>0</v>
      </c>
      <c r="Z2166" s="71">
        <f>DA2166+DC2166+DE2166</f>
        <v>0</v>
      </c>
      <c r="AA2166" s="71">
        <f>CW2166</f>
        <v>0</v>
      </c>
      <c r="AB2166" s="71"/>
      <c r="AC2166" s="71">
        <v>0</v>
      </c>
      <c r="AD2166" s="71">
        <f>W2166+X2166+Y2166+Z2166+AA2166+AB2166+AC2166</f>
        <v>0</v>
      </c>
      <c r="AE2166" s="72">
        <v>0</v>
      </c>
      <c r="AF2166" s="5"/>
      <c r="AG2166" s="6"/>
      <c r="AH2166" s="27" t="s">
        <v>3392</v>
      </c>
      <c r="AI2166" s="44" t="s">
        <v>3393</v>
      </c>
      <c r="AJ2166" s="26"/>
      <c r="AK2166" s="5"/>
      <c r="AL2166" s="82" t="s">
        <v>5010</v>
      </c>
      <c r="AM2166" s="76"/>
      <c r="AN2166" s="76"/>
      <c r="AO2166" s="76"/>
      <c r="AP2166" s="76"/>
      <c r="AQ2166" s="76"/>
      <c r="AR2166" s="76"/>
      <c r="AS2166" s="76"/>
      <c r="AT2166" s="76"/>
      <c r="AU2166" s="76"/>
      <c r="AV2166" s="76"/>
      <c r="AW2166" s="76"/>
      <c r="AX2166" s="76">
        <f>+AW2166*600000</f>
        <v>0</v>
      </c>
      <c r="AY2166" s="76"/>
      <c r="AZ2166" s="76">
        <f>+AY2166*70000</f>
        <v>0</v>
      </c>
      <c r="BA2166" s="76"/>
      <c r="BB2166" s="76"/>
      <c r="BC2166" s="76"/>
      <c r="BD2166" s="76">
        <f>+BC2166*30000</f>
        <v>0</v>
      </c>
      <c r="BE2166" s="76"/>
      <c r="BF2166" s="76"/>
      <c r="BG2166" s="76"/>
      <c r="BH2166" s="76"/>
      <c r="BI2166" s="76"/>
      <c r="BJ2166" s="76"/>
      <c r="BK2166" s="76"/>
      <c r="BL2166" s="76">
        <f>+BK2166*31500</f>
        <v>0</v>
      </c>
      <c r="BM2166" s="76"/>
      <c r="BN2166" s="76"/>
      <c r="BO2166" s="76"/>
      <c r="BP2166" s="76"/>
      <c r="BQ2166" s="76"/>
      <c r="BR2166" s="76"/>
      <c r="BS2166" s="76"/>
      <c r="BT2166" s="76"/>
      <c r="BU2166" s="76"/>
      <c r="BV2166" s="76"/>
      <c r="BW2166" s="76"/>
      <c r="BX2166" s="76"/>
      <c r="BY2166" s="76"/>
      <c r="BZ2166" s="76"/>
      <c r="CA2166" s="76"/>
      <c r="CB2166" s="76"/>
      <c r="CC2166" s="76"/>
      <c r="CD2166" s="76"/>
      <c r="CE2166" s="76"/>
      <c r="CF2166" s="76">
        <f>+CE2166*28000</f>
        <v>0</v>
      </c>
      <c r="CG2166" s="76"/>
      <c r="CH2166" s="76">
        <f>+CG2166*22500</f>
        <v>0</v>
      </c>
      <c r="CI2166" s="76"/>
      <c r="CJ2166" s="76">
        <f>+CI2166*26000</f>
        <v>0</v>
      </c>
      <c r="CK2166" s="76"/>
      <c r="CL2166" s="76"/>
      <c r="CM2166" s="76"/>
      <c r="CN2166" s="76">
        <f>+CM2166*22000</f>
        <v>0</v>
      </c>
      <c r="CO2166" s="76"/>
      <c r="CP2166" s="76">
        <f>+CO2166*46000</f>
        <v>0</v>
      </c>
      <c r="CQ2166" s="76"/>
      <c r="CR2166" s="76">
        <f>+CQ2166*49000</f>
        <v>0</v>
      </c>
      <c r="CS2166" s="76"/>
      <c r="CT2166" s="76"/>
      <c r="CU2166" s="56">
        <f>AN2166+AP2166+AR2166+AT2166+AV2166+AX2166+AZ2166+BB2166+BD2166+BF2166+BH2166+BJ2166+BL2166+BN2166+BP2166+BR2166+BT2166+BV2166+BX2166+BZ2166+CB2166+CD2166+CF2166+CH2166+CJ2166+CL2166+CN2166+CP2166+CR2166+CT2166</f>
        <v>0</v>
      </c>
      <c r="CV2166" s="76"/>
      <c r="CW2166" s="76">
        <f>+CV2166*1100</f>
        <v>0</v>
      </c>
      <c r="CX2166" s="76"/>
      <c r="CY2166" s="76">
        <f>+CX2166*106250</f>
        <v>0</v>
      </c>
      <c r="CZ2166" s="76"/>
      <c r="DA2166" s="76">
        <f>+CZ2166*34500</f>
        <v>0</v>
      </c>
      <c r="DB2166" s="76"/>
      <c r="DC2166" s="76">
        <f>+DB2166*25000</f>
        <v>0</v>
      </c>
      <c r="DD2166" s="219"/>
      <c r="DE2166" s="219"/>
      <c r="DF2166" s="166"/>
      <c r="DG2166" s="116"/>
      <c r="DH2166" s="117"/>
      <c r="DI2166" s="24"/>
      <c r="DJ2166" s="24"/>
      <c r="DK2166" s="24"/>
      <c r="DL2166" s="24"/>
      <c r="DM2166" s="24"/>
      <c r="DN2166" s="24"/>
      <c r="DO2166" s="24"/>
      <c r="DP2166" s="24"/>
      <c r="DQ2166" s="24"/>
      <c r="DR2166" s="24"/>
      <c r="DS2166" s="24"/>
      <c r="DT2166" s="24"/>
      <c r="DU2166" s="24"/>
    </row>
    <row r="2167" spans="1:128" s="8" customFormat="1" ht="84" x14ac:dyDescent="0.2">
      <c r="A2167" s="77">
        <v>41447</v>
      </c>
      <c r="B2167" s="78" t="s">
        <v>2772</v>
      </c>
      <c r="C2167" s="75" t="s">
        <v>2709</v>
      </c>
      <c r="D2167" s="75" t="s">
        <v>2846</v>
      </c>
      <c r="E2167" s="75" t="str">
        <f>VLOOKUP(B2167&amp;C2167,Divipola!$C$2:$F$1138,4,FALSE)</f>
        <v>25745</v>
      </c>
      <c r="F2167" s="163"/>
      <c r="G2167" s="163"/>
      <c r="H2167" s="163"/>
      <c r="I2167" s="163"/>
      <c r="J2167" s="163"/>
      <c r="K2167" s="163"/>
      <c r="L2167" s="163"/>
      <c r="M2167" s="163"/>
      <c r="N2167" s="163"/>
      <c r="O2167" s="163"/>
      <c r="P2167" s="163"/>
      <c r="Q2167" s="163"/>
      <c r="R2167" s="163"/>
      <c r="S2167" s="163"/>
      <c r="T2167" s="163"/>
      <c r="U2167" s="163">
        <v>4</v>
      </c>
      <c r="V2167" s="134"/>
      <c r="W2167" s="96">
        <v>0</v>
      </c>
      <c r="X2167" s="71">
        <f>CU2167</f>
        <v>0</v>
      </c>
      <c r="Y2167" s="71">
        <f>CY2167</f>
        <v>0</v>
      </c>
      <c r="Z2167" s="71">
        <f>DA2167+DC2167+DE2167</f>
        <v>0</v>
      </c>
      <c r="AA2167" s="71">
        <f>CW2167</f>
        <v>0</v>
      </c>
      <c r="AB2167" s="71"/>
      <c r="AC2167" s="71">
        <v>0</v>
      </c>
      <c r="AD2167" s="71">
        <f>W2167+X2167+Y2167+Z2167+AA2167+AB2167+AC2167</f>
        <v>0</v>
      </c>
      <c r="AE2167" s="72">
        <v>0</v>
      </c>
      <c r="AF2167" s="5"/>
      <c r="AG2167" s="6"/>
      <c r="AH2167" s="27" t="s">
        <v>3392</v>
      </c>
      <c r="AI2167" s="44" t="s">
        <v>3393</v>
      </c>
      <c r="AJ2167" s="26"/>
      <c r="AK2167" s="5"/>
      <c r="AL2167" s="82" t="s">
        <v>5020</v>
      </c>
      <c r="AM2167" s="76"/>
      <c r="AN2167" s="76"/>
      <c r="AO2167" s="76"/>
      <c r="AP2167" s="76"/>
      <c r="AQ2167" s="76"/>
      <c r="AR2167" s="76"/>
      <c r="AS2167" s="76"/>
      <c r="AT2167" s="76"/>
      <c r="AU2167" s="76"/>
      <c r="AV2167" s="76"/>
      <c r="AW2167" s="76"/>
      <c r="AX2167" s="76">
        <f>+AW2167*600000</f>
        <v>0</v>
      </c>
      <c r="AY2167" s="76"/>
      <c r="AZ2167" s="76">
        <f>+AY2167*70000</f>
        <v>0</v>
      </c>
      <c r="BA2167" s="76"/>
      <c r="BB2167" s="76"/>
      <c r="BC2167" s="76"/>
      <c r="BD2167" s="76">
        <f>+BC2167*30000</f>
        <v>0</v>
      </c>
      <c r="BE2167" s="76"/>
      <c r="BF2167" s="76"/>
      <c r="BG2167" s="76"/>
      <c r="BH2167" s="76"/>
      <c r="BI2167" s="76"/>
      <c r="BJ2167" s="76"/>
      <c r="BK2167" s="76"/>
      <c r="BL2167" s="76">
        <f>+BK2167*31500</f>
        <v>0</v>
      </c>
      <c r="BM2167" s="76"/>
      <c r="BN2167" s="76"/>
      <c r="BO2167" s="76"/>
      <c r="BP2167" s="76"/>
      <c r="BQ2167" s="76"/>
      <c r="BR2167" s="76"/>
      <c r="BS2167" s="76"/>
      <c r="BT2167" s="76"/>
      <c r="BU2167" s="76"/>
      <c r="BV2167" s="76"/>
      <c r="BW2167" s="76"/>
      <c r="BX2167" s="76"/>
      <c r="BY2167" s="76"/>
      <c r="BZ2167" s="76"/>
      <c r="CA2167" s="76"/>
      <c r="CB2167" s="76"/>
      <c r="CC2167" s="76"/>
      <c r="CD2167" s="76"/>
      <c r="CE2167" s="76"/>
      <c r="CF2167" s="76">
        <f>+CE2167*28000</f>
        <v>0</v>
      </c>
      <c r="CG2167" s="76"/>
      <c r="CH2167" s="76">
        <f>+CG2167*22500</f>
        <v>0</v>
      </c>
      <c r="CI2167" s="76"/>
      <c r="CJ2167" s="76">
        <f>+CI2167*26000</f>
        <v>0</v>
      </c>
      <c r="CK2167" s="76"/>
      <c r="CL2167" s="76"/>
      <c r="CM2167" s="76"/>
      <c r="CN2167" s="76">
        <f>+CM2167*22000</f>
        <v>0</v>
      </c>
      <c r="CO2167" s="76"/>
      <c r="CP2167" s="76">
        <f>+CO2167*46000</f>
        <v>0</v>
      </c>
      <c r="CQ2167" s="76"/>
      <c r="CR2167" s="76">
        <f>+CQ2167*49000</f>
        <v>0</v>
      </c>
      <c r="CS2167" s="76"/>
      <c r="CT2167" s="76"/>
      <c r="CU2167" s="56">
        <f>AN2167+AP2167+AR2167+AT2167+AV2167+AX2167+AZ2167+BB2167+BD2167+BF2167+BH2167+BJ2167+BL2167+BN2167+BP2167+BR2167+BT2167+BV2167+BX2167+BZ2167+CB2167+CD2167+CF2167+CH2167+CJ2167+CL2167+CN2167+CP2167+CR2167+CT2167</f>
        <v>0</v>
      </c>
      <c r="CV2167" s="76"/>
      <c r="CW2167" s="76">
        <f>+CV2167*1100</f>
        <v>0</v>
      </c>
      <c r="CX2167" s="76"/>
      <c r="CY2167" s="76">
        <f>+CX2167*106250</f>
        <v>0</v>
      </c>
      <c r="CZ2167" s="76"/>
      <c r="DA2167" s="76">
        <f>+CZ2167*34500</f>
        <v>0</v>
      </c>
      <c r="DB2167" s="76"/>
      <c r="DC2167" s="76">
        <f>+DB2167*25000</f>
        <v>0</v>
      </c>
      <c r="DD2167" s="219"/>
      <c r="DE2167" s="219"/>
      <c r="DF2167" s="166"/>
      <c r="DG2167" s="116"/>
      <c r="DH2167" s="117"/>
      <c r="DI2167" s="24"/>
      <c r="DJ2167" s="24"/>
      <c r="DK2167" s="24"/>
      <c r="DL2167" s="24"/>
      <c r="DM2167" s="24"/>
      <c r="DN2167" s="24"/>
      <c r="DO2167" s="24"/>
      <c r="DP2167" s="24"/>
      <c r="DQ2167" s="24"/>
      <c r="DR2167" s="24"/>
      <c r="DS2167" s="24"/>
      <c r="DT2167" s="24"/>
      <c r="DU2167" s="24"/>
    </row>
    <row r="2168" spans="1:128" s="8" customFormat="1" ht="48" x14ac:dyDescent="0.2">
      <c r="A2168" s="77">
        <v>41447</v>
      </c>
      <c r="B2168" s="78" t="s">
        <v>2661</v>
      </c>
      <c r="C2168" s="75" t="s">
        <v>2807</v>
      </c>
      <c r="D2168" s="75" t="s">
        <v>2846</v>
      </c>
      <c r="E2168" s="75" t="str">
        <f>VLOOKUP(B2168&amp;C2168,Divipola!$C$2:$F$1138,4,FALSE)</f>
        <v>41807</v>
      </c>
      <c r="F2168" s="163"/>
      <c r="G2168" s="163"/>
      <c r="H2168" s="163"/>
      <c r="I2168" s="163"/>
      <c r="J2168" s="163"/>
      <c r="K2168" s="163"/>
      <c r="L2168" s="163"/>
      <c r="M2168" s="163"/>
      <c r="N2168" s="163"/>
      <c r="O2168" s="163"/>
      <c r="P2168" s="163"/>
      <c r="Q2168" s="163"/>
      <c r="R2168" s="163"/>
      <c r="S2168" s="163"/>
      <c r="T2168" s="163"/>
      <c r="U2168" s="163">
        <v>5</v>
      </c>
      <c r="V2168" s="134"/>
      <c r="W2168" s="96">
        <v>0</v>
      </c>
      <c r="X2168" s="71">
        <f>CU2168</f>
        <v>0</v>
      </c>
      <c r="Y2168" s="71">
        <f>CY2168</f>
        <v>0</v>
      </c>
      <c r="Z2168" s="71">
        <f>DA2168+DC2168+DE2168</f>
        <v>0</v>
      </c>
      <c r="AA2168" s="71">
        <f>CW2168</f>
        <v>0</v>
      </c>
      <c r="AB2168" s="71"/>
      <c r="AC2168" s="71">
        <v>0</v>
      </c>
      <c r="AD2168" s="71">
        <f>W2168+X2168+Y2168+Z2168+AA2168+AB2168+AC2168</f>
        <v>0</v>
      </c>
      <c r="AE2168" s="72">
        <v>0</v>
      </c>
      <c r="AF2168" s="5"/>
      <c r="AG2168" s="6"/>
      <c r="AH2168" s="27" t="s">
        <v>3392</v>
      </c>
      <c r="AI2168" s="44" t="s">
        <v>3393</v>
      </c>
      <c r="AJ2168" s="26"/>
      <c r="AK2168" s="5"/>
      <c r="AL2168" s="82" t="s">
        <v>5012</v>
      </c>
      <c r="AM2168" s="76"/>
      <c r="AN2168" s="76"/>
      <c r="AO2168" s="76"/>
      <c r="AP2168" s="76"/>
      <c r="AQ2168" s="76"/>
      <c r="AR2168" s="76"/>
      <c r="AS2168" s="76"/>
      <c r="AT2168" s="76"/>
      <c r="AU2168" s="76"/>
      <c r="AV2168" s="76"/>
      <c r="AW2168" s="76"/>
      <c r="AX2168" s="76">
        <f>+AW2168*600000</f>
        <v>0</v>
      </c>
      <c r="AY2168" s="76"/>
      <c r="AZ2168" s="76">
        <f>+AY2168*70000</f>
        <v>0</v>
      </c>
      <c r="BA2168" s="76"/>
      <c r="BB2168" s="76"/>
      <c r="BC2168" s="76"/>
      <c r="BD2168" s="76">
        <f>+BC2168*30000</f>
        <v>0</v>
      </c>
      <c r="BE2168" s="76"/>
      <c r="BF2168" s="76"/>
      <c r="BG2168" s="76"/>
      <c r="BH2168" s="76"/>
      <c r="BI2168" s="76"/>
      <c r="BJ2168" s="76"/>
      <c r="BK2168" s="76"/>
      <c r="BL2168" s="76">
        <f>+BK2168*31500</f>
        <v>0</v>
      </c>
      <c r="BM2168" s="76"/>
      <c r="BN2168" s="76"/>
      <c r="BO2168" s="76"/>
      <c r="BP2168" s="76"/>
      <c r="BQ2168" s="76"/>
      <c r="BR2168" s="76"/>
      <c r="BS2168" s="76"/>
      <c r="BT2168" s="76"/>
      <c r="BU2168" s="76"/>
      <c r="BV2168" s="76"/>
      <c r="BW2168" s="76"/>
      <c r="BX2168" s="76"/>
      <c r="BY2168" s="76"/>
      <c r="BZ2168" s="76"/>
      <c r="CA2168" s="76"/>
      <c r="CB2168" s="76"/>
      <c r="CC2168" s="76"/>
      <c r="CD2168" s="76"/>
      <c r="CE2168" s="76"/>
      <c r="CF2168" s="76">
        <f>+CE2168*28000</f>
        <v>0</v>
      </c>
      <c r="CG2168" s="76"/>
      <c r="CH2168" s="76">
        <f>+CG2168*22500</f>
        <v>0</v>
      </c>
      <c r="CI2168" s="76"/>
      <c r="CJ2168" s="76">
        <f>+CI2168*26000</f>
        <v>0</v>
      </c>
      <c r="CK2168" s="76"/>
      <c r="CL2168" s="76"/>
      <c r="CM2168" s="76"/>
      <c r="CN2168" s="76">
        <f>+CM2168*22000</f>
        <v>0</v>
      </c>
      <c r="CO2168" s="76"/>
      <c r="CP2168" s="76">
        <f>+CO2168*46000</f>
        <v>0</v>
      </c>
      <c r="CQ2168" s="76"/>
      <c r="CR2168" s="76">
        <f>+CQ2168*49000</f>
        <v>0</v>
      </c>
      <c r="CS2168" s="76"/>
      <c r="CT2168" s="76"/>
      <c r="CU2168" s="56">
        <f>AN2168+AP2168+AR2168+AT2168+AV2168+AX2168+AZ2168+BB2168+BD2168+BF2168+BH2168+BJ2168+BL2168+BN2168+BP2168+BR2168+BT2168+BV2168+BX2168+BZ2168+CB2168+CD2168+CF2168+CH2168+CJ2168+CL2168+CN2168+CP2168+CR2168+CT2168</f>
        <v>0</v>
      </c>
      <c r="CV2168" s="76"/>
      <c r="CW2168" s="76">
        <f>+CV2168*1100</f>
        <v>0</v>
      </c>
      <c r="CX2168" s="76"/>
      <c r="CY2168" s="76">
        <f>+CX2168*106250</f>
        <v>0</v>
      </c>
      <c r="CZ2168" s="76"/>
      <c r="DA2168" s="76">
        <f>+CZ2168*34500</f>
        <v>0</v>
      </c>
      <c r="DB2168" s="76"/>
      <c r="DC2168" s="76">
        <f>+DB2168*25000</f>
        <v>0</v>
      </c>
      <c r="DD2168" s="219"/>
      <c r="DE2168" s="219"/>
      <c r="DF2168" s="166"/>
      <c r="DG2168" s="116"/>
      <c r="DH2168" s="117"/>
      <c r="DI2168" s="24"/>
      <c r="DJ2168" s="24"/>
      <c r="DK2168" s="24"/>
      <c r="DL2168" s="24"/>
      <c r="DM2168" s="24"/>
      <c r="DN2168" s="24"/>
      <c r="DO2168" s="24"/>
      <c r="DP2168" s="24"/>
      <c r="DQ2168" s="24"/>
      <c r="DR2168" s="24"/>
      <c r="DS2168" s="24"/>
      <c r="DT2168" s="24"/>
      <c r="DU2168" s="24"/>
    </row>
    <row r="2169" spans="1:128" s="246" customFormat="1" ht="72" x14ac:dyDescent="0.2">
      <c r="A2169" s="353">
        <v>41448</v>
      </c>
      <c r="B2169" s="352" t="s">
        <v>2894</v>
      </c>
      <c r="C2169" s="354" t="s">
        <v>2648</v>
      </c>
      <c r="D2169" s="354" t="s">
        <v>3635</v>
      </c>
      <c r="E2169" s="75" t="str">
        <f>VLOOKUP(B2169&amp;C2169,Divipola!$C$2:$F$1138,4,FALSE)</f>
        <v>05895</v>
      </c>
      <c r="F2169" s="87">
        <v>5</v>
      </c>
      <c r="G2169" s="87">
        <v>5</v>
      </c>
      <c r="H2169" s="87"/>
      <c r="I2169" s="87"/>
      <c r="J2169" s="87"/>
      <c r="K2169" s="87"/>
      <c r="L2169" s="87"/>
      <c r="M2169" s="87"/>
      <c r="N2169" s="87"/>
      <c r="O2169" s="87"/>
      <c r="P2169" s="87"/>
      <c r="Q2169" s="87"/>
      <c r="R2169" s="87"/>
      <c r="S2169" s="87"/>
      <c r="T2169" s="87"/>
      <c r="U2169" s="88"/>
      <c r="V2169" s="89"/>
      <c r="W2169" s="96">
        <v>0</v>
      </c>
      <c r="X2169" s="71">
        <f>CU2169</f>
        <v>0</v>
      </c>
      <c r="Y2169" s="71">
        <f>CY2169</f>
        <v>0</v>
      </c>
      <c r="Z2169" s="71">
        <f>DA2169+DC2169+DE2169</f>
        <v>0</v>
      </c>
      <c r="AA2169" s="71">
        <f>CW2169</f>
        <v>0</v>
      </c>
      <c r="AB2169" s="71"/>
      <c r="AC2169" s="71">
        <v>0</v>
      </c>
      <c r="AD2169" s="71">
        <f>W2169+X2169+Y2169+Z2169+AA2169+AB2169+AC2169</f>
        <v>0</v>
      </c>
      <c r="AE2169" s="72">
        <v>0</v>
      </c>
      <c r="AF2169" s="5"/>
      <c r="AG2169" s="6"/>
      <c r="AH2169" s="27" t="s">
        <v>3392</v>
      </c>
      <c r="AI2169" s="44" t="s">
        <v>3393</v>
      </c>
      <c r="AJ2169" s="26"/>
      <c r="AK2169" s="5"/>
      <c r="AL2169" s="82" t="s">
        <v>5014</v>
      </c>
      <c r="AM2169" s="76"/>
      <c r="AN2169" s="76"/>
      <c r="AO2169" s="76"/>
      <c r="AP2169" s="76"/>
      <c r="AQ2169" s="76"/>
      <c r="AR2169" s="76"/>
      <c r="AS2169" s="76"/>
      <c r="AT2169" s="76"/>
      <c r="AU2169" s="76"/>
      <c r="AV2169" s="76"/>
      <c r="AW2169" s="76"/>
      <c r="AX2169" s="76">
        <f>+AW2169*600000</f>
        <v>0</v>
      </c>
      <c r="AY2169" s="76"/>
      <c r="AZ2169" s="76">
        <f>+AY2169*70000</f>
        <v>0</v>
      </c>
      <c r="BA2169" s="76"/>
      <c r="BB2169" s="76"/>
      <c r="BC2169" s="76"/>
      <c r="BD2169" s="76">
        <f>+BC2169*30000</f>
        <v>0</v>
      </c>
      <c r="BE2169" s="76"/>
      <c r="BF2169" s="76"/>
      <c r="BG2169" s="76"/>
      <c r="BH2169" s="76"/>
      <c r="BI2169" s="76"/>
      <c r="BJ2169" s="76"/>
      <c r="BK2169" s="76"/>
      <c r="BL2169" s="76">
        <f>+BK2169*31500</f>
        <v>0</v>
      </c>
      <c r="BM2169" s="76"/>
      <c r="BN2169" s="76"/>
      <c r="BO2169" s="76"/>
      <c r="BP2169" s="76"/>
      <c r="BQ2169" s="76"/>
      <c r="BR2169" s="76"/>
      <c r="BS2169" s="76"/>
      <c r="BT2169" s="76"/>
      <c r="BU2169" s="76"/>
      <c r="BV2169" s="76"/>
      <c r="BW2169" s="76"/>
      <c r="BX2169" s="76"/>
      <c r="BY2169" s="76"/>
      <c r="BZ2169" s="76"/>
      <c r="CA2169" s="76"/>
      <c r="CB2169" s="76"/>
      <c r="CC2169" s="76"/>
      <c r="CD2169" s="76"/>
      <c r="CE2169" s="76"/>
      <c r="CF2169" s="76">
        <f>+CE2169*28000</f>
        <v>0</v>
      </c>
      <c r="CG2169" s="76"/>
      <c r="CH2169" s="76">
        <f>+CG2169*22500</f>
        <v>0</v>
      </c>
      <c r="CI2169" s="76"/>
      <c r="CJ2169" s="76">
        <f>+CI2169*26000</f>
        <v>0</v>
      </c>
      <c r="CK2169" s="76"/>
      <c r="CL2169" s="76"/>
      <c r="CM2169" s="76"/>
      <c r="CN2169" s="76">
        <f>+CM2169*22000</f>
        <v>0</v>
      </c>
      <c r="CO2169" s="76"/>
      <c r="CP2169" s="76">
        <f>+CO2169*46000</f>
        <v>0</v>
      </c>
      <c r="CQ2169" s="76"/>
      <c r="CR2169" s="76">
        <f>+CQ2169*49000</f>
        <v>0</v>
      </c>
      <c r="CS2169" s="76"/>
      <c r="CT2169" s="76"/>
      <c r="CU2169" s="56">
        <f>AN2169+AP2169+AR2169+AT2169+AV2169+AX2169+AZ2169+BB2169+BD2169+BF2169+BH2169+BJ2169+BL2169+BN2169+BP2169+BR2169+BT2169+BV2169+BX2169+BZ2169+CB2169+CD2169+CF2169+CH2169+CJ2169+CL2169+CN2169+CP2169+CR2169+CT2169</f>
        <v>0</v>
      </c>
      <c r="CV2169" s="76"/>
      <c r="CW2169" s="76">
        <f>+CV2169*1100</f>
        <v>0</v>
      </c>
      <c r="CX2169" s="76"/>
      <c r="CY2169" s="76">
        <f>+CX2169*106250</f>
        <v>0</v>
      </c>
      <c r="CZ2169" s="76"/>
      <c r="DA2169" s="76">
        <f>+CZ2169*34500</f>
        <v>0</v>
      </c>
      <c r="DB2169" s="76"/>
      <c r="DC2169" s="76">
        <f>+DB2169*25000</f>
        <v>0</v>
      </c>
      <c r="DD2169" s="219"/>
      <c r="DE2169" s="219"/>
      <c r="DF2169" s="166"/>
      <c r="DG2169" s="116"/>
      <c r="DH2169" s="117"/>
      <c r="DI2169" s="24"/>
      <c r="DJ2169" s="24"/>
      <c r="DK2169" s="24"/>
      <c r="DL2169" s="24"/>
      <c r="DM2169" s="24"/>
      <c r="DN2169" s="24"/>
      <c r="DO2169" s="24"/>
      <c r="DP2169" s="24"/>
      <c r="DQ2169" s="24"/>
      <c r="DR2169" s="24"/>
      <c r="DS2169" s="24"/>
      <c r="DT2169" s="24"/>
      <c r="DU2169" s="24"/>
      <c r="DV2169" s="8"/>
      <c r="DW2169" s="8"/>
      <c r="DX2169" s="8"/>
    </row>
    <row r="2170" spans="1:128" s="8" customFormat="1" ht="72" x14ac:dyDescent="0.2">
      <c r="A2170" s="353">
        <v>41448</v>
      </c>
      <c r="B2170" s="352" t="s">
        <v>2661</v>
      </c>
      <c r="C2170" s="354" t="s">
        <v>2169</v>
      </c>
      <c r="D2170" s="354" t="s">
        <v>2849</v>
      </c>
      <c r="E2170" s="75" t="str">
        <f>VLOOKUP(B2170&amp;C2170,Divipola!$C$2:$F$1138,4,FALSE)</f>
        <v>41001</v>
      </c>
      <c r="F2170" s="87">
        <v>1</v>
      </c>
      <c r="G2170" s="87">
        <v>6</v>
      </c>
      <c r="H2170" s="87"/>
      <c r="I2170" s="87"/>
      <c r="J2170" s="87"/>
      <c r="K2170" s="87"/>
      <c r="L2170" s="87"/>
      <c r="M2170" s="87"/>
      <c r="N2170" s="87"/>
      <c r="O2170" s="87"/>
      <c r="P2170" s="87"/>
      <c r="Q2170" s="87"/>
      <c r="R2170" s="87"/>
      <c r="S2170" s="87"/>
      <c r="T2170" s="87"/>
      <c r="U2170" s="88"/>
      <c r="V2170" s="89"/>
      <c r="W2170" s="96">
        <v>0</v>
      </c>
      <c r="X2170" s="71">
        <f>CU2170</f>
        <v>0</v>
      </c>
      <c r="Y2170" s="71">
        <f>CY2170</f>
        <v>0</v>
      </c>
      <c r="Z2170" s="71">
        <f>DA2170+DC2170+DE2170</f>
        <v>0</v>
      </c>
      <c r="AA2170" s="71">
        <f>CW2170</f>
        <v>0</v>
      </c>
      <c r="AB2170" s="71"/>
      <c r="AC2170" s="71">
        <v>0</v>
      </c>
      <c r="AD2170" s="71">
        <f>W2170+X2170+Y2170+Z2170+AA2170+AB2170+AC2170</f>
        <v>0</v>
      </c>
      <c r="AE2170" s="72">
        <v>0</v>
      </c>
      <c r="AF2170" s="5"/>
      <c r="AG2170" s="6"/>
      <c r="AH2170" s="27" t="s">
        <v>3392</v>
      </c>
      <c r="AI2170" s="44" t="s">
        <v>3393</v>
      </c>
      <c r="AJ2170" s="26"/>
      <c r="AK2170" s="5"/>
      <c r="AL2170" s="82" t="s">
        <v>5016</v>
      </c>
      <c r="AM2170" s="76"/>
      <c r="AN2170" s="76"/>
      <c r="AO2170" s="76"/>
      <c r="AP2170" s="76"/>
      <c r="AQ2170" s="76"/>
      <c r="AR2170" s="76"/>
      <c r="AS2170" s="76"/>
      <c r="AT2170" s="76"/>
      <c r="AU2170" s="76"/>
      <c r="AV2170" s="76"/>
      <c r="AW2170" s="76"/>
      <c r="AX2170" s="76">
        <f>+AW2170*600000</f>
        <v>0</v>
      </c>
      <c r="AY2170" s="76"/>
      <c r="AZ2170" s="76">
        <f>+AY2170*70000</f>
        <v>0</v>
      </c>
      <c r="BA2170" s="76"/>
      <c r="BB2170" s="76"/>
      <c r="BC2170" s="76"/>
      <c r="BD2170" s="76">
        <f>+BC2170*30000</f>
        <v>0</v>
      </c>
      <c r="BE2170" s="76"/>
      <c r="BF2170" s="76"/>
      <c r="BG2170" s="76"/>
      <c r="BH2170" s="76"/>
      <c r="BI2170" s="76"/>
      <c r="BJ2170" s="76"/>
      <c r="BK2170" s="76"/>
      <c r="BL2170" s="76">
        <f>+BK2170*31500</f>
        <v>0</v>
      </c>
      <c r="BM2170" s="76"/>
      <c r="BN2170" s="76"/>
      <c r="BO2170" s="76"/>
      <c r="BP2170" s="76"/>
      <c r="BQ2170" s="76"/>
      <c r="BR2170" s="76"/>
      <c r="BS2170" s="76"/>
      <c r="BT2170" s="76"/>
      <c r="BU2170" s="76"/>
      <c r="BV2170" s="76"/>
      <c r="BW2170" s="76"/>
      <c r="BX2170" s="76"/>
      <c r="BY2170" s="76"/>
      <c r="BZ2170" s="76"/>
      <c r="CA2170" s="76"/>
      <c r="CB2170" s="76"/>
      <c r="CC2170" s="76"/>
      <c r="CD2170" s="76"/>
      <c r="CE2170" s="76"/>
      <c r="CF2170" s="76">
        <f>+CE2170*28000</f>
        <v>0</v>
      </c>
      <c r="CG2170" s="76"/>
      <c r="CH2170" s="76">
        <f>+CG2170*22500</f>
        <v>0</v>
      </c>
      <c r="CI2170" s="76"/>
      <c r="CJ2170" s="76">
        <f>+CI2170*26000</f>
        <v>0</v>
      </c>
      <c r="CK2170" s="76"/>
      <c r="CL2170" s="76"/>
      <c r="CM2170" s="76"/>
      <c r="CN2170" s="76">
        <f>+CM2170*22000</f>
        <v>0</v>
      </c>
      <c r="CO2170" s="76"/>
      <c r="CP2170" s="76">
        <f>+CO2170*46000</f>
        <v>0</v>
      </c>
      <c r="CQ2170" s="76"/>
      <c r="CR2170" s="76">
        <f>+CQ2170*49000</f>
        <v>0</v>
      </c>
      <c r="CS2170" s="76"/>
      <c r="CT2170" s="76"/>
      <c r="CU2170" s="56">
        <f>AN2170+AP2170+AR2170+AT2170+AV2170+AX2170+AZ2170+BB2170+BD2170+BF2170+BH2170+BJ2170+BL2170+BN2170+BP2170+BR2170+BT2170+BV2170+BX2170+BZ2170+CB2170+CD2170+CF2170+CH2170+CJ2170+CL2170+CN2170+CP2170+CR2170+CT2170</f>
        <v>0</v>
      </c>
      <c r="CV2170" s="76"/>
      <c r="CW2170" s="76">
        <f>+CV2170*1100</f>
        <v>0</v>
      </c>
      <c r="CX2170" s="76"/>
      <c r="CY2170" s="76">
        <f>+CX2170*106250</f>
        <v>0</v>
      </c>
      <c r="CZ2170" s="76"/>
      <c r="DA2170" s="76">
        <f>+CZ2170*34500</f>
        <v>0</v>
      </c>
      <c r="DB2170" s="76"/>
      <c r="DC2170" s="76">
        <f>+DB2170*25000</f>
        <v>0</v>
      </c>
      <c r="DD2170" s="219"/>
      <c r="DE2170" s="219"/>
      <c r="DF2170" s="166"/>
      <c r="DG2170" s="116"/>
      <c r="DH2170" s="117"/>
      <c r="DI2170" s="24"/>
      <c r="DJ2170" s="24"/>
      <c r="DK2170" s="24"/>
      <c r="DL2170" s="24"/>
      <c r="DM2170" s="24"/>
      <c r="DN2170" s="24"/>
      <c r="DO2170" s="24"/>
      <c r="DP2170" s="24"/>
      <c r="DQ2170" s="24"/>
      <c r="DR2170" s="24"/>
      <c r="DS2170" s="24"/>
      <c r="DT2170" s="24"/>
      <c r="DU2170" s="24"/>
    </row>
    <row r="2171" spans="1:128" s="8" customFormat="1" ht="36" x14ac:dyDescent="0.2">
      <c r="A2171" s="77">
        <v>41448</v>
      </c>
      <c r="B2171" s="78" t="s">
        <v>2847</v>
      </c>
      <c r="C2171" s="75" t="s">
        <v>2673</v>
      </c>
      <c r="D2171" s="75" t="s">
        <v>3088</v>
      </c>
      <c r="E2171" s="75" t="str">
        <f>VLOOKUP(B2171&amp;C2171,Divipola!$C$2:$F$1138,4,FALSE)</f>
        <v>68001</v>
      </c>
      <c r="F2171" s="87"/>
      <c r="G2171" s="87"/>
      <c r="H2171" s="87"/>
      <c r="I2171" s="87"/>
      <c r="J2171" s="87"/>
      <c r="K2171" s="87"/>
      <c r="L2171" s="87"/>
      <c r="M2171" s="87">
        <v>1</v>
      </c>
      <c r="N2171" s="87"/>
      <c r="O2171" s="87"/>
      <c r="P2171" s="87"/>
      <c r="Q2171" s="87"/>
      <c r="R2171" s="87"/>
      <c r="S2171" s="87"/>
      <c r="T2171" s="87"/>
      <c r="U2171" s="88"/>
      <c r="V2171" s="89"/>
      <c r="W2171" s="96">
        <v>0</v>
      </c>
      <c r="X2171" s="71">
        <f>CU2171</f>
        <v>0</v>
      </c>
      <c r="Y2171" s="71">
        <f>CY2171</f>
        <v>0</v>
      </c>
      <c r="Z2171" s="71">
        <f>DA2171+DC2171+DE2171</f>
        <v>0</v>
      </c>
      <c r="AA2171" s="71">
        <f>CW2171</f>
        <v>0</v>
      </c>
      <c r="AB2171" s="71"/>
      <c r="AC2171" s="71">
        <v>0</v>
      </c>
      <c r="AD2171" s="71">
        <f>W2171+X2171+Y2171+Z2171+AA2171+AB2171+AC2171</f>
        <v>0</v>
      </c>
      <c r="AE2171" s="72">
        <v>0</v>
      </c>
      <c r="AF2171" s="5"/>
      <c r="AG2171" s="6"/>
      <c r="AH2171" s="27" t="s">
        <v>3392</v>
      </c>
      <c r="AI2171" s="44" t="s">
        <v>3393</v>
      </c>
      <c r="AJ2171" s="26"/>
      <c r="AK2171" s="5"/>
      <c r="AL2171" s="82" t="s">
        <v>5013</v>
      </c>
      <c r="AM2171" s="76"/>
      <c r="AN2171" s="76"/>
      <c r="AO2171" s="76"/>
      <c r="AP2171" s="76"/>
      <c r="AQ2171" s="76"/>
      <c r="AR2171" s="76"/>
      <c r="AS2171" s="76"/>
      <c r="AT2171" s="76"/>
      <c r="AU2171" s="76"/>
      <c r="AV2171" s="76"/>
      <c r="AW2171" s="76"/>
      <c r="AX2171" s="76">
        <f>+AW2171*600000</f>
        <v>0</v>
      </c>
      <c r="AY2171" s="76"/>
      <c r="AZ2171" s="76">
        <f>+AY2171*70000</f>
        <v>0</v>
      </c>
      <c r="BA2171" s="76"/>
      <c r="BB2171" s="76"/>
      <c r="BC2171" s="76"/>
      <c r="BD2171" s="76">
        <f>+BC2171*30000</f>
        <v>0</v>
      </c>
      <c r="BE2171" s="76"/>
      <c r="BF2171" s="76"/>
      <c r="BG2171" s="76"/>
      <c r="BH2171" s="76"/>
      <c r="BI2171" s="76"/>
      <c r="BJ2171" s="76"/>
      <c r="BK2171" s="76"/>
      <c r="BL2171" s="76">
        <f>+BK2171*31500</f>
        <v>0</v>
      </c>
      <c r="BM2171" s="76"/>
      <c r="BN2171" s="76"/>
      <c r="BO2171" s="76"/>
      <c r="BP2171" s="76"/>
      <c r="BQ2171" s="76"/>
      <c r="BR2171" s="76"/>
      <c r="BS2171" s="76"/>
      <c r="BT2171" s="76"/>
      <c r="BU2171" s="76"/>
      <c r="BV2171" s="76"/>
      <c r="BW2171" s="76"/>
      <c r="BX2171" s="76"/>
      <c r="BY2171" s="76"/>
      <c r="BZ2171" s="76"/>
      <c r="CA2171" s="76"/>
      <c r="CB2171" s="76"/>
      <c r="CC2171" s="76"/>
      <c r="CD2171" s="76"/>
      <c r="CE2171" s="76"/>
      <c r="CF2171" s="76">
        <f>+CE2171*28000</f>
        <v>0</v>
      </c>
      <c r="CG2171" s="76"/>
      <c r="CH2171" s="76">
        <f>+CG2171*22500</f>
        <v>0</v>
      </c>
      <c r="CI2171" s="76"/>
      <c r="CJ2171" s="76">
        <f>+CI2171*26000</f>
        <v>0</v>
      </c>
      <c r="CK2171" s="76"/>
      <c r="CL2171" s="76"/>
      <c r="CM2171" s="76"/>
      <c r="CN2171" s="76">
        <f>+CM2171*22000</f>
        <v>0</v>
      </c>
      <c r="CO2171" s="76"/>
      <c r="CP2171" s="76">
        <f>+CO2171*46000</f>
        <v>0</v>
      </c>
      <c r="CQ2171" s="76"/>
      <c r="CR2171" s="76">
        <f>+CQ2171*49000</f>
        <v>0</v>
      </c>
      <c r="CS2171" s="76"/>
      <c r="CT2171" s="76"/>
      <c r="CU2171" s="56">
        <f>AN2171+AP2171+AR2171+AT2171+AV2171+AX2171+AZ2171+BB2171+BD2171+BF2171+BH2171+BJ2171+BL2171+BN2171+BP2171+BR2171+BT2171+BV2171+BX2171+BZ2171+CB2171+CD2171+CF2171+CH2171+CJ2171+CL2171+CN2171+CP2171+CR2171+CT2171</f>
        <v>0</v>
      </c>
      <c r="CV2171" s="76"/>
      <c r="CW2171" s="76">
        <f>+CV2171*1100</f>
        <v>0</v>
      </c>
      <c r="CX2171" s="76"/>
      <c r="CY2171" s="76">
        <f>+CX2171*106250</f>
        <v>0</v>
      </c>
      <c r="CZ2171" s="76"/>
      <c r="DA2171" s="76">
        <f>+CZ2171*34500</f>
        <v>0</v>
      </c>
      <c r="DB2171" s="76"/>
      <c r="DC2171" s="76">
        <f>+DB2171*25000</f>
        <v>0</v>
      </c>
      <c r="DD2171" s="219"/>
      <c r="DE2171" s="219"/>
      <c r="DF2171" s="166"/>
      <c r="DG2171" s="116"/>
      <c r="DH2171" s="117"/>
      <c r="DI2171" s="24"/>
      <c r="DJ2171" s="24"/>
      <c r="DK2171" s="24"/>
      <c r="DL2171" s="24"/>
      <c r="DM2171" s="24"/>
      <c r="DN2171" s="24"/>
      <c r="DO2171" s="24"/>
      <c r="DP2171" s="24"/>
      <c r="DQ2171" s="24"/>
      <c r="DR2171" s="24"/>
      <c r="DS2171" s="24"/>
      <c r="DT2171" s="24"/>
      <c r="DU2171" s="24"/>
    </row>
    <row r="2172" spans="1:128" s="246" customFormat="1" ht="240" x14ac:dyDescent="0.2">
      <c r="A2172" s="353">
        <v>41448</v>
      </c>
      <c r="B2172" s="352" t="s">
        <v>2847</v>
      </c>
      <c r="C2172" s="354" t="s">
        <v>1747</v>
      </c>
      <c r="D2172" s="354" t="s">
        <v>3051</v>
      </c>
      <c r="E2172" s="75" t="str">
        <f>VLOOKUP(B2172&amp;C2172,Divipola!$C$2:$F$1138,4,FALSE)</f>
        <v>68522</v>
      </c>
      <c r="F2172" s="87"/>
      <c r="G2172" s="87"/>
      <c r="H2172" s="87"/>
      <c r="I2172" s="87">
        <v>20</v>
      </c>
      <c r="J2172" s="87">
        <v>4</v>
      </c>
      <c r="K2172" s="87"/>
      <c r="L2172" s="87">
        <v>4</v>
      </c>
      <c r="M2172" s="87"/>
      <c r="N2172" s="87"/>
      <c r="O2172" s="87"/>
      <c r="P2172" s="87"/>
      <c r="Q2172" s="87"/>
      <c r="R2172" s="87"/>
      <c r="S2172" s="87"/>
      <c r="T2172" s="87"/>
      <c r="U2172" s="88"/>
      <c r="V2172" s="89"/>
      <c r="W2172" s="96">
        <v>0</v>
      </c>
      <c r="X2172" s="71">
        <f>CU2172</f>
        <v>0</v>
      </c>
      <c r="Y2172" s="71">
        <f>CY2172</f>
        <v>0</v>
      </c>
      <c r="Z2172" s="71">
        <f>DA2172+DC2172+DE2172</f>
        <v>0</v>
      </c>
      <c r="AA2172" s="71">
        <f>CW2172</f>
        <v>0</v>
      </c>
      <c r="AB2172" s="71"/>
      <c r="AC2172" s="71">
        <v>0</v>
      </c>
      <c r="AD2172" s="71">
        <f>W2172+X2172+Y2172+Z2172+AA2172+AB2172+AC2172</f>
        <v>0</v>
      </c>
      <c r="AE2172" s="72">
        <v>0</v>
      </c>
      <c r="AF2172" s="5"/>
      <c r="AG2172" s="6"/>
      <c r="AH2172" s="27" t="s">
        <v>3392</v>
      </c>
      <c r="AI2172" s="44" t="s">
        <v>3393</v>
      </c>
      <c r="AJ2172" s="26"/>
      <c r="AK2172" s="5"/>
      <c r="AL2172" s="82" t="s">
        <v>5068</v>
      </c>
      <c r="AM2172" s="76"/>
      <c r="AN2172" s="76"/>
      <c r="AO2172" s="76"/>
      <c r="AP2172" s="76"/>
      <c r="AQ2172" s="76"/>
      <c r="AR2172" s="76"/>
      <c r="AS2172" s="76"/>
      <c r="AT2172" s="76"/>
      <c r="AU2172" s="76"/>
      <c r="AV2172" s="76"/>
      <c r="AW2172" s="76"/>
      <c r="AX2172" s="76">
        <f>+AW2172*600000</f>
        <v>0</v>
      </c>
      <c r="AY2172" s="76"/>
      <c r="AZ2172" s="76">
        <f>+AY2172*70000</f>
        <v>0</v>
      </c>
      <c r="BA2172" s="76"/>
      <c r="BB2172" s="76"/>
      <c r="BC2172" s="76"/>
      <c r="BD2172" s="76">
        <f>+BC2172*30000</f>
        <v>0</v>
      </c>
      <c r="BE2172" s="76"/>
      <c r="BF2172" s="76"/>
      <c r="BG2172" s="76"/>
      <c r="BH2172" s="76"/>
      <c r="BI2172" s="76"/>
      <c r="BJ2172" s="76"/>
      <c r="BK2172" s="76"/>
      <c r="BL2172" s="76">
        <f>+BK2172*31500</f>
        <v>0</v>
      </c>
      <c r="BM2172" s="76"/>
      <c r="BN2172" s="76"/>
      <c r="BO2172" s="76"/>
      <c r="BP2172" s="76"/>
      <c r="BQ2172" s="76"/>
      <c r="BR2172" s="76"/>
      <c r="BS2172" s="76"/>
      <c r="BT2172" s="76"/>
      <c r="BU2172" s="76"/>
      <c r="BV2172" s="76"/>
      <c r="BW2172" s="76"/>
      <c r="BX2172" s="76"/>
      <c r="BY2172" s="76"/>
      <c r="BZ2172" s="76"/>
      <c r="CA2172" s="76"/>
      <c r="CB2172" s="76"/>
      <c r="CC2172" s="76"/>
      <c r="CD2172" s="76"/>
      <c r="CE2172" s="76"/>
      <c r="CF2172" s="76">
        <f>+CE2172*28000</f>
        <v>0</v>
      </c>
      <c r="CG2172" s="76"/>
      <c r="CH2172" s="76">
        <f>+CG2172*22500</f>
        <v>0</v>
      </c>
      <c r="CI2172" s="76"/>
      <c r="CJ2172" s="76">
        <f>+CI2172*26000</f>
        <v>0</v>
      </c>
      <c r="CK2172" s="76"/>
      <c r="CL2172" s="76"/>
      <c r="CM2172" s="76"/>
      <c r="CN2172" s="76">
        <f>+CM2172*22000</f>
        <v>0</v>
      </c>
      <c r="CO2172" s="76"/>
      <c r="CP2172" s="76">
        <f>+CO2172*46000</f>
        <v>0</v>
      </c>
      <c r="CQ2172" s="76"/>
      <c r="CR2172" s="76">
        <f>+CQ2172*49000</f>
        <v>0</v>
      </c>
      <c r="CS2172" s="76"/>
      <c r="CT2172" s="76"/>
      <c r="CU2172" s="56">
        <f>AN2172+AP2172+AR2172+AT2172+AV2172+AX2172+AZ2172+BB2172+BD2172+BF2172+BH2172+BJ2172+BL2172+BN2172+BP2172+BR2172+BT2172+BV2172+BX2172+BZ2172+CB2172+CD2172+CF2172+CH2172+CJ2172+CL2172+CN2172+CP2172+CR2172+CT2172</f>
        <v>0</v>
      </c>
      <c r="CV2172" s="76"/>
      <c r="CW2172" s="76">
        <f>+CV2172*1100</f>
        <v>0</v>
      </c>
      <c r="CX2172" s="76"/>
      <c r="CY2172" s="76">
        <f>+CX2172*106250</f>
        <v>0</v>
      </c>
      <c r="CZ2172" s="76"/>
      <c r="DA2172" s="76">
        <f>+CZ2172*34500</f>
        <v>0</v>
      </c>
      <c r="DB2172" s="76"/>
      <c r="DC2172" s="76">
        <f>+DB2172*25000</f>
        <v>0</v>
      </c>
      <c r="DD2172" s="219"/>
      <c r="DE2172" s="219"/>
      <c r="DF2172" s="166"/>
      <c r="DG2172" s="116"/>
      <c r="DH2172" s="117"/>
      <c r="DI2172" s="245"/>
      <c r="DJ2172" s="245"/>
      <c r="DK2172" s="245"/>
      <c r="DL2172" s="245"/>
      <c r="DM2172" s="245"/>
      <c r="DN2172" s="245"/>
      <c r="DO2172" s="245"/>
      <c r="DP2172" s="245"/>
      <c r="DQ2172" s="245"/>
      <c r="DR2172" s="245"/>
      <c r="DS2172" s="245"/>
      <c r="DT2172" s="245"/>
      <c r="DU2172" s="245"/>
    </row>
    <row r="2173" spans="1:128" s="8" customFormat="1" ht="60" x14ac:dyDescent="0.2">
      <c r="A2173" s="353">
        <v>41448</v>
      </c>
      <c r="B2173" s="352" t="s">
        <v>2848</v>
      </c>
      <c r="C2173" s="354" t="s">
        <v>1910</v>
      </c>
      <c r="D2173" s="354" t="s">
        <v>2849</v>
      </c>
      <c r="E2173" s="75" t="str">
        <f>VLOOKUP(B2173&amp;C2173,Divipola!$C$2:$F$1138,4,FALSE)</f>
        <v>73671</v>
      </c>
      <c r="F2173" s="87">
        <v>1</v>
      </c>
      <c r="G2173" s="87">
        <v>1</v>
      </c>
      <c r="H2173" s="87"/>
      <c r="I2173" s="87"/>
      <c r="J2173" s="87"/>
      <c r="K2173" s="87"/>
      <c r="L2173" s="87"/>
      <c r="M2173" s="87"/>
      <c r="N2173" s="87"/>
      <c r="O2173" s="87"/>
      <c r="P2173" s="87"/>
      <c r="Q2173" s="87"/>
      <c r="R2173" s="87"/>
      <c r="S2173" s="87"/>
      <c r="T2173" s="87"/>
      <c r="U2173" s="88"/>
      <c r="V2173" s="89"/>
      <c r="W2173" s="96">
        <v>0</v>
      </c>
      <c r="X2173" s="71">
        <f>CU2173</f>
        <v>0</v>
      </c>
      <c r="Y2173" s="71">
        <f>CY2173</f>
        <v>0</v>
      </c>
      <c r="Z2173" s="71">
        <f>DA2173+DC2173+DE2173</f>
        <v>0</v>
      </c>
      <c r="AA2173" s="71">
        <f>CW2173</f>
        <v>0</v>
      </c>
      <c r="AB2173" s="71"/>
      <c r="AC2173" s="71">
        <v>0</v>
      </c>
      <c r="AD2173" s="71">
        <f>W2173+X2173+Y2173+Z2173+AA2173+AB2173+AC2173</f>
        <v>0</v>
      </c>
      <c r="AE2173" s="72">
        <v>0</v>
      </c>
      <c r="AF2173" s="5"/>
      <c r="AG2173" s="6"/>
      <c r="AH2173" s="27" t="s">
        <v>3392</v>
      </c>
      <c r="AI2173" s="44" t="s">
        <v>3393</v>
      </c>
      <c r="AJ2173" s="26"/>
      <c r="AK2173" s="5"/>
      <c r="AL2173" s="82" t="s">
        <v>5015</v>
      </c>
      <c r="AM2173" s="76"/>
      <c r="AN2173" s="76"/>
      <c r="AO2173" s="76"/>
      <c r="AP2173" s="76"/>
      <c r="AQ2173" s="76"/>
      <c r="AR2173" s="76"/>
      <c r="AS2173" s="76"/>
      <c r="AT2173" s="76"/>
      <c r="AU2173" s="76"/>
      <c r="AV2173" s="76"/>
      <c r="AW2173" s="76"/>
      <c r="AX2173" s="76">
        <f>+AW2173*600000</f>
        <v>0</v>
      </c>
      <c r="AY2173" s="76"/>
      <c r="AZ2173" s="76">
        <f>+AY2173*70000</f>
        <v>0</v>
      </c>
      <c r="BA2173" s="76"/>
      <c r="BB2173" s="76"/>
      <c r="BC2173" s="76"/>
      <c r="BD2173" s="76">
        <f>+BC2173*30000</f>
        <v>0</v>
      </c>
      <c r="BE2173" s="76"/>
      <c r="BF2173" s="76"/>
      <c r="BG2173" s="76"/>
      <c r="BH2173" s="76"/>
      <c r="BI2173" s="76"/>
      <c r="BJ2173" s="76"/>
      <c r="BK2173" s="76"/>
      <c r="BL2173" s="76">
        <f>+BK2173*31500</f>
        <v>0</v>
      </c>
      <c r="BM2173" s="76"/>
      <c r="BN2173" s="76"/>
      <c r="BO2173" s="76"/>
      <c r="BP2173" s="76"/>
      <c r="BQ2173" s="76"/>
      <c r="BR2173" s="76"/>
      <c r="BS2173" s="76"/>
      <c r="BT2173" s="76"/>
      <c r="BU2173" s="76"/>
      <c r="BV2173" s="76"/>
      <c r="BW2173" s="76"/>
      <c r="BX2173" s="76"/>
      <c r="BY2173" s="76"/>
      <c r="BZ2173" s="76"/>
      <c r="CA2173" s="76"/>
      <c r="CB2173" s="76"/>
      <c r="CC2173" s="76"/>
      <c r="CD2173" s="76"/>
      <c r="CE2173" s="76"/>
      <c r="CF2173" s="76">
        <f>+CE2173*28000</f>
        <v>0</v>
      </c>
      <c r="CG2173" s="76"/>
      <c r="CH2173" s="76">
        <f>+CG2173*22500</f>
        <v>0</v>
      </c>
      <c r="CI2173" s="76"/>
      <c r="CJ2173" s="76">
        <f>+CI2173*26000</f>
        <v>0</v>
      </c>
      <c r="CK2173" s="76"/>
      <c r="CL2173" s="76"/>
      <c r="CM2173" s="76"/>
      <c r="CN2173" s="76">
        <f>+CM2173*22000</f>
        <v>0</v>
      </c>
      <c r="CO2173" s="76"/>
      <c r="CP2173" s="76">
        <f>+CO2173*46000</f>
        <v>0</v>
      </c>
      <c r="CQ2173" s="76"/>
      <c r="CR2173" s="76">
        <f>+CQ2173*49000</f>
        <v>0</v>
      </c>
      <c r="CS2173" s="76"/>
      <c r="CT2173" s="76"/>
      <c r="CU2173" s="56">
        <f>AN2173+AP2173+AR2173+AT2173+AV2173+AX2173+AZ2173+BB2173+BD2173+BF2173+BH2173+BJ2173+BL2173+BN2173+BP2173+BR2173+BT2173+BV2173+BX2173+BZ2173+CB2173+CD2173+CF2173+CH2173+CJ2173+CL2173+CN2173+CP2173+CR2173+CT2173</f>
        <v>0</v>
      </c>
      <c r="CV2173" s="76"/>
      <c r="CW2173" s="76">
        <f>+CV2173*1100</f>
        <v>0</v>
      </c>
      <c r="CX2173" s="76"/>
      <c r="CY2173" s="76">
        <f>+CX2173*106250</f>
        <v>0</v>
      </c>
      <c r="CZ2173" s="76"/>
      <c r="DA2173" s="76">
        <f>+CZ2173*34500</f>
        <v>0</v>
      </c>
      <c r="DB2173" s="76"/>
      <c r="DC2173" s="76">
        <f>+DB2173*25000</f>
        <v>0</v>
      </c>
      <c r="DD2173" s="219"/>
      <c r="DE2173" s="219"/>
      <c r="DF2173" s="166"/>
      <c r="DG2173" s="116"/>
      <c r="DH2173" s="117"/>
      <c r="DI2173" s="24"/>
      <c r="DJ2173" s="24"/>
      <c r="DK2173" s="24"/>
      <c r="DL2173" s="24"/>
      <c r="DM2173" s="24"/>
      <c r="DN2173" s="24"/>
      <c r="DO2173" s="24"/>
      <c r="DP2173" s="24"/>
      <c r="DQ2173" s="24"/>
      <c r="DR2173" s="24"/>
      <c r="DS2173" s="24"/>
      <c r="DT2173" s="24"/>
      <c r="DU2173" s="24"/>
    </row>
    <row r="2174" spans="1:128" s="8" customFormat="1" ht="120" x14ac:dyDescent="0.2">
      <c r="A2174" s="77">
        <v>41449</v>
      </c>
      <c r="B2174" s="78" t="s">
        <v>2881</v>
      </c>
      <c r="C2174" s="75" t="s">
        <v>2756</v>
      </c>
      <c r="D2174" s="75" t="s">
        <v>2882</v>
      </c>
      <c r="E2174" s="75" t="str">
        <f>VLOOKUP(B2174&amp;C2174,Divipola!$C$2:$F$1138,4,FALSE)</f>
        <v>08137</v>
      </c>
      <c r="F2174" s="87"/>
      <c r="G2174" s="87"/>
      <c r="H2174" s="87"/>
      <c r="I2174" s="87">
        <v>340</v>
      </c>
      <c r="J2174" s="87">
        <v>51</v>
      </c>
      <c r="K2174" s="87"/>
      <c r="L2174" s="87">
        <v>51</v>
      </c>
      <c r="M2174" s="87"/>
      <c r="N2174" s="87"/>
      <c r="O2174" s="87"/>
      <c r="P2174" s="87"/>
      <c r="Q2174" s="87"/>
      <c r="R2174" s="87"/>
      <c r="S2174" s="87"/>
      <c r="T2174" s="87"/>
      <c r="U2174" s="88"/>
      <c r="V2174" s="89"/>
      <c r="W2174" s="96">
        <v>0</v>
      </c>
      <c r="X2174" s="71">
        <f>CU2174</f>
        <v>0</v>
      </c>
      <c r="Y2174" s="71">
        <f>CY2174</f>
        <v>0</v>
      </c>
      <c r="Z2174" s="71">
        <f>DA2174+DC2174+DE2174</f>
        <v>0</v>
      </c>
      <c r="AA2174" s="71">
        <f>CW2174</f>
        <v>0</v>
      </c>
      <c r="AB2174" s="71"/>
      <c r="AC2174" s="71">
        <v>0</v>
      </c>
      <c r="AD2174" s="71">
        <f>W2174+X2174+Y2174+Z2174+AA2174+AB2174+AC2174</f>
        <v>0</v>
      </c>
      <c r="AE2174" s="72">
        <v>0</v>
      </c>
      <c r="AF2174" s="5"/>
      <c r="AG2174" s="6"/>
      <c r="AH2174" s="27" t="s">
        <v>3392</v>
      </c>
      <c r="AI2174" s="44" t="s">
        <v>3393</v>
      </c>
      <c r="AJ2174" s="26"/>
      <c r="AK2174" s="5"/>
      <c r="AL2174" s="82" t="s">
        <v>5052</v>
      </c>
      <c r="AM2174" s="76"/>
      <c r="AN2174" s="76"/>
      <c r="AO2174" s="76"/>
      <c r="AP2174" s="76"/>
      <c r="AQ2174" s="76"/>
      <c r="AR2174" s="76"/>
      <c r="AS2174" s="76"/>
      <c r="AT2174" s="76"/>
      <c r="AU2174" s="76"/>
      <c r="AV2174" s="76"/>
      <c r="AW2174" s="76"/>
      <c r="AX2174" s="76">
        <f>+AW2174*600000</f>
        <v>0</v>
      </c>
      <c r="AY2174" s="76"/>
      <c r="AZ2174" s="76">
        <f>+AY2174*70000</f>
        <v>0</v>
      </c>
      <c r="BA2174" s="76"/>
      <c r="BB2174" s="76"/>
      <c r="BC2174" s="76"/>
      <c r="BD2174" s="76">
        <f>+BC2174*30000</f>
        <v>0</v>
      </c>
      <c r="BE2174" s="76"/>
      <c r="BF2174" s="76"/>
      <c r="BG2174" s="76"/>
      <c r="BH2174" s="76"/>
      <c r="BI2174" s="76"/>
      <c r="BJ2174" s="76"/>
      <c r="BK2174" s="76"/>
      <c r="BL2174" s="76">
        <f>+BK2174*31500</f>
        <v>0</v>
      </c>
      <c r="BM2174" s="76"/>
      <c r="BN2174" s="76"/>
      <c r="BO2174" s="76"/>
      <c r="BP2174" s="76"/>
      <c r="BQ2174" s="76"/>
      <c r="BR2174" s="76"/>
      <c r="BS2174" s="76"/>
      <c r="BT2174" s="76"/>
      <c r="BU2174" s="76"/>
      <c r="BV2174" s="76"/>
      <c r="BW2174" s="76"/>
      <c r="BX2174" s="76"/>
      <c r="BY2174" s="76"/>
      <c r="BZ2174" s="76"/>
      <c r="CA2174" s="76"/>
      <c r="CB2174" s="76"/>
      <c r="CC2174" s="76"/>
      <c r="CD2174" s="76"/>
      <c r="CE2174" s="76"/>
      <c r="CF2174" s="76">
        <f>+CE2174*28000</f>
        <v>0</v>
      </c>
      <c r="CG2174" s="76"/>
      <c r="CH2174" s="76">
        <f>+CG2174*22500</f>
        <v>0</v>
      </c>
      <c r="CI2174" s="76"/>
      <c r="CJ2174" s="76">
        <f>+CI2174*26000</f>
        <v>0</v>
      </c>
      <c r="CK2174" s="76"/>
      <c r="CL2174" s="76"/>
      <c r="CM2174" s="76"/>
      <c r="CN2174" s="76">
        <f>+CM2174*22000</f>
        <v>0</v>
      </c>
      <c r="CO2174" s="76"/>
      <c r="CP2174" s="76">
        <f>+CO2174*46000</f>
        <v>0</v>
      </c>
      <c r="CQ2174" s="76"/>
      <c r="CR2174" s="76">
        <f>+CQ2174*49000</f>
        <v>0</v>
      </c>
      <c r="CS2174" s="76"/>
      <c r="CT2174" s="76"/>
      <c r="CU2174" s="56">
        <f>AN2174+AP2174+AR2174+AT2174+AV2174+AX2174+AZ2174+BB2174+BD2174+BF2174+BH2174+BJ2174+BL2174+BN2174+BP2174+BR2174+BT2174+BV2174+BX2174+BZ2174+CB2174+CD2174+CF2174+CH2174+CJ2174+CL2174+CN2174+CP2174+CR2174+CT2174</f>
        <v>0</v>
      </c>
      <c r="CV2174" s="76"/>
      <c r="CW2174" s="76">
        <f>+CV2174*1100</f>
        <v>0</v>
      </c>
      <c r="CX2174" s="76"/>
      <c r="CY2174" s="76">
        <f>+CX2174*106250</f>
        <v>0</v>
      </c>
      <c r="CZ2174" s="76"/>
      <c r="DA2174" s="76">
        <f>+CZ2174*34500</f>
        <v>0</v>
      </c>
      <c r="DB2174" s="76"/>
      <c r="DC2174" s="76">
        <f>+DB2174*25000</f>
        <v>0</v>
      </c>
      <c r="DD2174" s="219"/>
      <c r="DE2174" s="219"/>
      <c r="DF2174" s="166"/>
      <c r="DG2174" s="116"/>
      <c r="DH2174" s="117"/>
      <c r="DI2174" s="24"/>
      <c r="DJ2174" s="24"/>
      <c r="DK2174" s="24"/>
      <c r="DL2174" s="24"/>
      <c r="DM2174" s="24"/>
      <c r="DN2174" s="24"/>
      <c r="DO2174" s="24"/>
      <c r="DP2174" s="24"/>
      <c r="DQ2174" s="24"/>
      <c r="DR2174" s="24"/>
      <c r="DS2174" s="24"/>
      <c r="DT2174" s="24"/>
      <c r="DU2174" s="24"/>
    </row>
    <row r="2175" spans="1:128" s="8" customFormat="1" ht="48" x14ac:dyDescent="0.2">
      <c r="A2175" s="77">
        <v>41449</v>
      </c>
      <c r="B2175" s="352" t="s">
        <v>529</v>
      </c>
      <c r="C2175" s="354" t="s">
        <v>529</v>
      </c>
      <c r="D2175" s="354" t="s">
        <v>2936</v>
      </c>
      <c r="E2175" s="75" t="str">
        <f>VLOOKUP(B2175&amp;C2175,Divipola!$C$2:$F$1138,4,FALSE)</f>
        <v>11001</v>
      </c>
      <c r="F2175" s="87"/>
      <c r="G2175" s="87">
        <v>3</v>
      </c>
      <c r="H2175" s="87"/>
      <c r="I2175" s="87">
        <v>3</v>
      </c>
      <c r="J2175" s="87"/>
      <c r="K2175" s="87"/>
      <c r="L2175" s="87"/>
      <c r="M2175" s="87"/>
      <c r="N2175" s="87"/>
      <c r="O2175" s="87"/>
      <c r="P2175" s="87"/>
      <c r="Q2175" s="87"/>
      <c r="R2175" s="87"/>
      <c r="S2175" s="87"/>
      <c r="T2175" s="87"/>
      <c r="U2175" s="88"/>
      <c r="V2175" s="89"/>
      <c r="W2175" s="96">
        <v>0</v>
      </c>
      <c r="X2175" s="71">
        <f>CU2175</f>
        <v>0</v>
      </c>
      <c r="Y2175" s="71">
        <f>CY2175</f>
        <v>0</v>
      </c>
      <c r="Z2175" s="71">
        <f>DA2175+DC2175+DE2175</f>
        <v>0</v>
      </c>
      <c r="AA2175" s="71">
        <f>CW2175</f>
        <v>0</v>
      </c>
      <c r="AB2175" s="71"/>
      <c r="AC2175" s="71">
        <v>0</v>
      </c>
      <c r="AD2175" s="71">
        <f>W2175+X2175+Y2175+Z2175+AA2175+AB2175+AC2175</f>
        <v>0</v>
      </c>
      <c r="AE2175" s="72">
        <v>0</v>
      </c>
      <c r="AF2175" s="5"/>
      <c r="AG2175" s="6"/>
      <c r="AH2175" s="27" t="s">
        <v>3392</v>
      </c>
      <c r="AI2175" s="44" t="s">
        <v>3393</v>
      </c>
      <c r="AJ2175" s="26"/>
      <c r="AK2175" s="5"/>
      <c r="AL2175" s="82" t="s">
        <v>5023</v>
      </c>
      <c r="AM2175" s="76"/>
      <c r="AN2175" s="76"/>
      <c r="AO2175" s="76"/>
      <c r="AP2175" s="76"/>
      <c r="AQ2175" s="76"/>
      <c r="AR2175" s="76"/>
      <c r="AS2175" s="76"/>
      <c r="AT2175" s="76"/>
      <c r="AU2175" s="76"/>
      <c r="AV2175" s="76"/>
      <c r="AW2175" s="76"/>
      <c r="AX2175" s="76">
        <f>+AW2175*600000</f>
        <v>0</v>
      </c>
      <c r="AY2175" s="76"/>
      <c r="AZ2175" s="76">
        <f>+AY2175*70000</f>
        <v>0</v>
      </c>
      <c r="BA2175" s="76"/>
      <c r="BB2175" s="76"/>
      <c r="BC2175" s="76"/>
      <c r="BD2175" s="76">
        <f>+BC2175*30000</f>
        <v>0</v>
      </c>
      <c r="BE2175" s="76"/>
      <c r="BF2175" s="76"/>
      <c r="BG2175" s="76"/>
      <c r="BH2175" s="76"/>
      <c r="BI2175" s="76"/>
      <c r="BJ2175" s="76"/>
      <c r="BK2175" s="76"/>
      <c r="BL2175" s="76">
        <f>+BK2175*31500</f>
        <v>0</v>
      </c>
      <c r="BM2175" s="76"/>
      <c r="BN2175" s="76"/>
      <c r="BO2175" s="76"/>
      <c r="BP2175" s="76"/>
      <c r="BQ2175" s="76"/>
      <c r="BR2175" s="76"/>
      <c r="BS2175" s="76"/>
      <c r="BT2175" s="76"/>
      <c r="BU2175" s="76"/>
      <c r="BV2175" s="76"/>
      <c r="BW2175" s="76"/>
      <c r="BX2175" s="76"/>
      <c r="BY2175" s="76"/>
      <c r="BZ2175" s="76"/>
      <c r="CA2175" s="76"/>
      <c r="CB2175" s="76"/>
      <c r="CC2175" s="76"/>
      <c r="CD2175" s="76"/>
      <c r="CE2175" s="76"/>
      <c r="CF2175" s="76">
        <f>+CE2175*28000</f>
        <v>0</v>
      </c>
      <c r="CG2175" s="76"/>
      <c r="CH2175" s="76">
        <f>+CG2175*22500</f>
        <v>0</v>
      </c>
      <c r="CI2175" s="76"/>
      <c r="CJ2175" s="76">
        <f>+CI2175*26000</f>
        <v>0</v>
      </c>
      <c r="CK2175" s="76"/>
      <c r="CL2175" s="76"/>
      <c r="CM2175" s="76"/>
      <c r="CN2175" s="76">
        <f>+CM2175*22000</f>
        <v>0</v>
      </c>
      <c r="CO2175" s="76"/>
      <c r="CP2175" s="76">
        <f>+CO2175*46000</f>
        <v>0</v>
      </c>
      <c r="CQ2175" s="76"/>
      <c r="CR2175" s="76">
        <f>+CQ2175*49000</f>
        <v>0</v>
      </c>
      <c r="CS2175" s="76"/>
      <c r="CT2175" s="76"/>
      <c r="CU2175" s="56">
        <f>AN2175+AP2175+AR2175+AT2175+AV2175+AX2175+AZ2175+BB2175+BD2175+BF2175+BH2175+BJ2175+BL2175+BN2175+BP2175+BR2175+BT2175+BV2175+BX2175+BZ2175+CB2175+CD2175+CF2175+CH2175+CJ2175+CL2175+CN2175+CP2175+CR2175+CT2175</f>
        <v>0</v>
      </c>
      <c r="CV2175" s="76"/>
      <c r="CW2175" s="76">
        <f>+CV2175*1100</f>
        <v>0</v>
      </c>
      <c r="CX2175" s="76"/>
      <c r="CY2175" s="76">
        <f>+CX2175*106250</f>
        <v>0</v>
      </c>
      <c r="CZ2175" s="76"/>
      <c r="DA2175" s="76">
        <f>+CZ2175*34500</f>
        <v>0</v>
      </c>
      <c r="DB2175" s="76"/>
      <c r="DC2175" s="76">
        <f>+DB2175*25000</f>
        <v>0</v>
      </c>
      <c r="DD2175" s="219"/>
      <c r="DE2175" s="219"/>
      <c r="DF2175" s="166"/>
      <c r="DG2175" s="116"/>
      <c r="DH2175" s="117"/>
      <c r="DI2175" s="24"/>
      <c r="DJ2175" s="24"/>
      <c r="DK2175" s="24"/>
      <c r="DL2175" s="24"/>
      <c r="DM2175" s="24"/>
      <c r="DN2175" s="24"/>
      <c r="DO2175" s="24"/>
      <c r="DP2175" s="24"/>
      <c r="DQ2175" s="24"/>
      <c r="DR2175" s="24"/>
      <c r="DS2175" s="24"/>
      <c r="DT2175" s="24"/>
      <c r="DU2175" s="24"/>
    </row>
    <row r="2176" spans="1:128" s="8" customFormat="1" ht="60" x14ac:dyDescent="0.2">
      <c r="A2176" s="77">
        <v>41449</v>
      </c>
      <c r="B2176" s="78" t="s">
        <v>2087</v>
      </c>
      <c r="C2176" s="78" t="s">
        <v>811</v>
      </c>
      <c r="D2176" s="75" t="s">
        <v>3051</v>
      </c>
      <c r="E2176" s="75" t="str">
        <f>VLOOKUP(B2176&amp;C2176,Divipola!$C$2:$F$1138,4,FALSE)</f>
        <v>18610</v>
      </c>
      <c r="F2176" s="87"/>
      <c r="G2176" s="87"/>
      <c r="H2176" s="87"/>
      <c r="I2176" s="87">
        <v>30</v>
      </c>
      <c r="J2176" s="87">
        <v>8</v>
      </c>
      <c r="K2176" s="87"/>
      <c r="L2176" s="87">
        <v>8</v>
      </c>
      <c r="M2176" s="87"/>
      <c r="N2176" s="87"/>
      <c r="O2176" s="87"/>
      <c r="P2176" s="87"/>
      <c r="Q2176" s="87"/>
      <c r="R2176" s="87"/>
      <c r="S2176" s="87"/>
      <c r="T2176" s="87"/>
      <c r="U2176" s="88"/>
      <c r="V2176" s="89"/>
      <c r="W2176" s="96">
        <v>0</v>
      </c>
      <c r="X2176" s="71">
        <f>CU2176</f>
        <v>0</v>
      </c>
      <c r="Y2176" s="71">
        <f>CY2176</f>
        <v>0</v>
      </c>
      <c r="Z2176" s="71">
        <f>DA2176+DC2176+DE2176</f>
        <v>0</v>
      </c>
      <c r="AA2176" s="71">
        <f>CW2176</f>
        <v>0</v>
      </c>
      <c r="AB2176" s="71"/>
      <c r="AC2176" s="71">
        <v>0</v>
      </c>
      <c r="AD2176" s="71">
        <f>W2176+X2176+Y2176+Z2176+AA2176+AB2176+AC2176</f>
        <v>0</v>
      </c>
      <c r="AE2176" s="72">
        <v>0</v>
      </c>
      <c r="AF2176" s="5"/>
      <c r="AG2176" s="6"/>
      <c r="AH2176" s="27" t="s">
        <v>3392</v>
      </c>
      <c r="AI2176" s="44" t="s">
        <v>3393</v>
      </c>
      <c r="AJ2176" s="26"/>
      <c r="AK2176" s="5"/>
      <c r="AL2176" s="82" t="s">
        <v>5024</v>
      </c>
      <c r="AM2176" s="76"/>
      <c r="AN2176" s="76"/>
      <c r="AO2176" s="76"/>
      <c r="AP2176" s="76"/>
      <c r="AQ2176" s="76"/>
      <c r="AR2176" s="76"/>
      <c r="AS2176" s="76"/>
      <c r="AT2176" s="76"/>
      <c r="AU2176" s="76"/>
      <c r="AV2176" s="76"/>
      <c r="AW2176" s="76"/>
      <c r="AX2176" s="76">
        <f>+AW2176*600000</f>
        <v>0</v>
      </c>
      <c r="AY2176" s="76"/>
      <c r="AZ2176" s="76">
        <f>+AY2176*70000</f>
        <v>0</v>
      </c>
      <c r="BA2176" s="76"/>
      <c r="BB2176" s="76"/>
      <c r="BC2176" s="76"/>
      <c r="BD2176" s="76">
        <f>+BC2176*30000</f>
        <v>0</v>
      </c>
      <c r="BE2176" s="76"/>
      <c r="BF2176" s="76"/>
      <c r="BG2176" s="76"/>
      <c r="BH2176" s="76"/>
      <c r="BI2176" s="76"/>
      <c r="BJ2176" s="76"/>
      <c r="BK2176" s="76"/>
      <c r="BL2176" s="76">
        <f>+BK2176*31500</f>
        <v>0</v>
      </c>
      <c r="BM2176" s="76"/>
      <c r="BN2176" s="76"/>
      <c r="BO2176" s="76"/>
      <c r="BP2176" s="76"/>
      <c r="BQ2176" s="76"/>
      <c r="BR2176" s="76"/>
      <c r="BS2176" s="76"/>
      <c r="BT2176" s="76"/>
      <c r="BU2176" s="76"/>
      <c r="BV2176" s="76"/>
      <c r="BW2176" s="76"/>
      <c r="BX2176" s="76"/>
      <c r="BY2176" s="76"/>
      <c r="BZ2176" s="76"/>
      <c r="CA2176" s="76"/>
      <c r="CB2176" s="76"/>
      <c r="CC2176" s="76"/>
      <c r="CD2176" s="76"/>
      <c r="CE2176" s="76"/>
      <c r="CF2176" s="76">
        <f>+CE2176*28000</f>
        <v>0</v>
      </c>
      <c r="CG2176" s="76"/>
      <c r="CH2176" s="76">
        <f>+CG2176*22500</f>
        <v>0</v>
      </c>
      <c r="CI2176" s="76"/>
      <c r="CJ2176" s="76">
        <f>+CI2176*26000</f>
        <v>0</v>
      </c>
      <c r="CK2176" s="76"/>
      <c r="CL2176" s="76"/>
      <c r="CM2176" s="76"/>
      <c r="CN2176" s="76">
        <f>+CM2176*22000</f>
        <v>0</v>
      </c>
      <c r="CO2176" s="76"/>
      <c r="CP2176" s="76">
        <f>+CO2176*46000</f>
        <v>0</v>
      </c>
      <c r="CQ2176" s="76"/>
      <c r="CR2176" s="76">
        <f>+CQ2176*49000</f>
        <v>0</v>
      </c>
      <c r="CS2176" s="76"/>
      <c r="CT2176" s="76"/>
      <c r="CU2176" s="56">
        <f>AN2176+AP2176+AR2176+AT2176+AV2176+AX2176+AZ2176+BB2176+BD2176+BF2176+BH2176+BJ2176+BL2176+BN2176+BP2176+BR2176+BT2176+BV2176+BX2176+BZ2176+CB2176+CD2176+CF2176+CH2176+CJ2176+CL2176+CN2176+CP2176+CR2176+CT2176</f>
        <v>0</v>
      </c>
      <c r="CV2176" s="76"/>
      <c r="CW2176" s="76">
        <f>+CV2176*1100</f>
        <v>0</v>
      </c>
      <c r="CX2176" s="76"/>
      <c r="CY2176" s="76">
        <f>+CX2176*106250</f>
        <v>0</v>
      </c>
      <c r="CZ2176" s="76"/>
      <c r="DA2176" s="76">
        <f>+CZ2176*34500</f>
        <v>0</v>
      </c>
      <c r="DB2176" s="76"/>
      <c r="DC2176" s="76">
        <f>+DB2176*25000</f>
        <v>0</v>
      </c>
      <c r="DD2176" s="219"/>
      <c r="DE2176" s="219"/>
      <c r="DF2176" s="166"/>
      <c r="DG2176" s="116"/>
      <c r="DH2176" s="117"/>
      <c r="DI2176" s="24"/>
      <c r="DJ2176" s="24"/>
      <c r="DK2176" s="24"/>
      <c r="DL2176" s="24"/>
      <c r="DM2176" s="24"/>
      <c r="DN2176" s="24"/>
      <c r="DO2176" s="24"/>
      <c r="DP2176" s="24"/>
      <c r="DQ2176" s="24"/>
      <c r="DR2176" s="24"/>
      <c r="DS2176" s="24"/>
      <c r="DT2176" s="24"/>
      <c r="DU2176" s="24"/>
    </row>
    <row r="2177" spans="1:125" s="8" customFormat="1" ht="48" x14ac:dyDescent="0.2">
      <c r="A2177" s="77">
        <v>41449</v>
      </c>
      <c r="B2177" s="225" t="s">
        <v>2661</v>
      </c>
      <c r="C2177" s="227" t="s">
        <v>2169</v>
      </c>
      <c r="D2177" s="354" t="s">
        <v>2846</v>
      </c>
      <c r="E2177" s="75" t="str">
        <f>VLOOKUP(B2177&amp;C2177,Divipola!$C$2:$F$1138,4,FALSE)</f>
        <v>41001</v>
      </c>
      <c r="F2177" s="87"/>
      <c r="G2177" s="87"/>
      <c r="H2177" s="87"/>
      <c r="I2177" s="87"/>
      <c r="J2177" s="87"/>
      <c r="K2177" s="87"/>
      <c r="L2177" s="87"/>
      <c r="M2177" s="87"/>
      <c r="N2177" s="87"/>
      <c r="O2177" s="87"/>
      <c r="P2177" s="87"/>
      <c r="Q2177" s="87"/>
      <c r="R2177" s="87"/>
      <c r="S2177" s="87"/>
      <c r="T2177" s="87"/>
      <c r="U2177" s="88">
        <v>2</v>
      </c>
      <c r="V2177" s="89"/>
      <c r="W2177" s="96">
        <v>0</v>
      </c>
      <c r="X2177" s="71">
        <f>CU2177</f>
        <v>0</v>
      </c>
      <c r="Y2177" s="71">
        <f>CY2177</f>
        <v>0</v>
      </c>
      <c r="Z2177" s="71">
        <f>DA2177+DC2177+DE2177</f>
        <v>0</v>
      </c>
      <c r="AA2177" s="71">
        <f>CW2177</f>
        <v>0</v>
      </c>
      <c r="AB2177" s="71"/>
      <c r="AC2177" s="71">
        <v>0</v>
      </c>
      <c r="AD2177" s="71">
        <f>W2177+X2177+Y2177+Z2177+AA2177+AB2177+AC2177</f>
        <v>0</v>
      </c>
      <c r="AE2177" s="72">
        <v>0</v>
      </c>
      <c r="AF2177" s="5"/>
      <c r="AG2177" s="6"/>
      <c r="AH2177" s="27" t="s">
        <v>3392</v>
      </c>
      <c r="AI2177" s="44" t="s">
        <v>3393</v>
      </c>
      <c r="AJ2177" s="26"/>
      <c r="AK2177" s="5"/>
      <c r="AL2177" s="82" t="s">
        <v>5021</v>
      </c>
      <c r="AM2177" s="76"/>
      <c r="AN2177" s="76"/>
      <c r="AO2177" s="76"/>
      <c r="AP2177" s="76"/>
      <c r="AQ2177" s="76"/>
      <c r="AR2177" s="76"/>
      <c r="AS2177" s="76"/>
      <c r="AT2177" s="76"/>
      <c r="AU2177" s="76"/>
      <c r="AV2177" s="76"/>
      <c r="AW2177" s="76"/>
      <c r="AX2177" s="76">
        <f>+AW2177*600000</f>
        <v>0</v>
      </c>
      <c r="AY2177" s="76"/>
      <c r="AZ2177" s="76">
        <f>+AY2177*70000</f>
        <v>0</v>
      </c>
      <c r="BA2177" s="76"/>
      <c r="BB2177" s="76"/>
      <c r="BC2177" s="76"/>
      <c r="BD2177" s="76">
        <f>+BC2177*30000</f>
        <v>0</v>
      </c>
      <c r="BE2177" s="76"/>
      <c r="BF2177" s="76"/>
      <c r="BG2177" s="76"/>
      <c r="BH2177" s="76"/>
      <c r="BI2177" s="76"/>
      <c r="BJ2177" s="76"/>
      <c r="BK2177" s="76"/>
      <c r="BL2177" s="76">
        <f>+BK2177*31500</f>
        <v>0</v>
      </c>
      <c r="BM2177" s="76"/>
      <c r="BN2177" s="76"/>
      <c r="BO2177" s="76"/>
      <c r="BP2177" s="76"/>
      <c r="BQ2177" s="76"/>
      <c r="BR2177" s="76"/>
      <c r="BS2177" s="76"/>
      <c r="BT2177" s="76"/>
      <c r="BU2177" s="76"/>
      <c r="BV2177" s="76"/>
      <c r="BW2177" s="76"/>
      <c r="BX2177" s="76"/>
      <c r="BY2177" s="76"/>
      <c r="BZ2177" s="76"/>
      <c r="CA2177" s="76"/>
      <c r="CB2177" s="76"/>
      <c r="CC2177" s="76"/>
      <c r="CD2177" s="76"/>
      <c r="CE2177" s="76"/>
      <c r="CF2177" s="76">
        <f>+CE2177*28000</f>
        <v>0</v>
      </c>
      <c r="CG2177" s="76"/>
      <c r="CH2177" s="76">
        <f>+CG2177*22500</f>
        <v>0</v>
      </c>
      <c r="CI2177" s="76"/>
      <c r="CJ2177" s="76">
        <f>+CI2177*26000</f>
        <v>0</v>
      </c>
      <c r="CK2177" s="76"/>
      <c r="CL2177" s="76"/>
      <c r="CM2177" s="76"/>
      <c r="CN2177" s="76">
        <f>+CM2177*22000</f>
        <v>0</v>
      </c>
      <c r="CO2177" s="76"/>
      <c r="CP2177" s="76">
        <f>+CO2177*46000</f>
        <v>0</v>
      </c>
      <c r="CQ2177" s="76"/>
      <c r="CR2177" s="76">
        <f>+CQ2177*49000</f>
        <v>0</v>
      </c>
      <c r="CS2177" s="76"/>
      <c r="CT2177" s="76"/>
      <c r="CU2177" s="56">
        <f>AN2177+AP2177+AR2177+AT2177+AV2177+AX2177+AZ2177+BB2177+BD2177+BF2177+BH2177+BJ2177+BL2177+BN2177+BP2177+BR2177+BT2177+BV2177+BX2177+BZ2177+CB2177+CD2177+CF2177+CH2177+CJ2177+CL2177+CN2177+CP2177+CR2177+CT2177</f>
        <v>0</v>
      </c>
      <c r="CV2177" s="76"/>
      <c r="CW2177" s="76">
        <f>+CV2177*1100</f>
        <v>0</v>
      </c>
      <c r="CX2177" s="76"/>
      <c r="CY2177" s="76">
        <f>+CX2177*106250</f>
        <v>0</v>
      </c>
      <c r="CZ2177" s="76"/>
      <c r="DA2177" s="76">
        <f>+CZ2177*34500</f>
        <v>0</v>
      </c>
      <c r="DB2177" s="76"/>
      <c r="DC2177" s="76">
        <f>+DB2177*25000</f>
        <v>0</v>
      </c>
      <c r="DD2177" s="219"/>
      <c r="DE2177" s="219"/>
      <c r="DF2177" s="166"/>
      <c r="DG2177" s="116"/>
      <c r="DH2177" s="117"/>
      <c r="DI2177" s="24"/>
      <c r="DJ2177" s="24"/>
      <c r="DK2177" s="24"/>
      <c r="DL2177" s="24"/>
      <c r="DM2177" s="24"/>
      <c r="DN2177" s="24"/>
      <c r="DO2177" s="24"/>
      <c r="DP2177" s="24"/>
      <c r="DQ2177" s="24"/>
      <c r="DR2177" s="24"/>
      <c r="DS2177" s="24"/>
      <c r="DT2177" s="24"/>
      <c r="DU2177" s="24"/>
    </row>
    <row r="2178" spans="1:125" s="8" customFormat="1" ht="48" x14ac:dyDescent="0.2">
      <c r="A2178" s="77">
        <v>41449</v>
      </c>
      <c r="B2178" s="352" t="s">
        <v>2661</v>
      </c>
      <c r="C2178" s="354" t="s">
        <v>1369</v>
      </c>
      <c r="D2178" s="354" t="s">
        <v>2846</v>
      </c>
      <c r="E2178" s="75" t="str">
        <f>VLOOKUP(B2178&amp;C2178,Divipola!$C$2:$F$1138,4,FALSE)</f>
        <v>41797</v>
      </c>
      <c r="F2178" s="87"/>
      <c r="G2178" s="87"/>
      <c r="H2178" s="87"/>
      <c r="I2178" s="87"/>
      <c r="J2178" s="87"/>
      <c r="K2178" s="87"/>
      <c r="L2178" s="87"/>
      <c r="M2178" s="87"/>
      <c r="N2178" s="87"/>
      <c r="O2178" s="87"/>
      <c r="P2178" s="87"/>
      <c r="Q2178" s="87"/>
      <c r="R2178" s="87"/>
      <c r="S2178" s="87"/>
      <c r="T2178" s="87"/>
      <c r="U2178" s="88">
        <v>3</v>
      </c>
      <c r="V2178" s="89"/>
      <c r="W2178" s="96">
        <v>0</v>
      </c>
      <c r="X2178" s="71">
        <f>CU2178</f>
        <v>0</v>
      </c>
      <c r="Y2178" s="71">
        <f>CY2178</f>
        <v>0</v>
      </c>
      <c r="Z2178" s="71">
        <f>DA2178+DC2178+DE2178</f>
        <v>0</v>
      </c>
      <c r="AA2178" s="71">
        <f>CW2178</f>
        <v>0</v>
      </c>
      <c r="AB2178" s="71"/>
      <c r="AC2178" s="71">
        <v>0</v>
      </c>
      <c r="AD2178" s="71">
        <f>W2178+X2178+Y2178+Z2178+AA2178+AB2178+AC2178</f>
        <v>0</v>
      </c>
      <c r="AE2178" s="72">
        <v>0</v>
      </c>
      <c r="AF2178" s="5"/>
      <c r="AG2178" s="6"/>
      <c r="AH2178" s="27" t="s">
        <v>3392</v>
      </c>
      <c r="AI2178" s="44" t="s">
        <v>3393</v>
      </c>
      <c r="AJ2178" s="26"/>
      <c r="AK2178" s="5"/>
      <c r="AL2178" s="82" t="s">
        <v>5022</v>
      </c>
      <c r="AM2178" s="76"/>
      <c r="AN2178" s="76"/>
      <c r="AO2178" s="76"/>
      <c r="AP2178" s="76"/>
      <c r="AQ2178" s="76"/>
      <c r="AR2178" s="76"/>
      <c r="AS2178" s="76"/>
      <c r="AT2178" s="76"/>
      <c r="AU2178" s="76"/>
      <c r="AV2178" s="76"/>
      <c r="AW2178" s="76"/>
      <c r="AX2178" s="76">
        <f>+AW2178*600000</f>
        <v>0</v>
      </c>
      <c r="AY2178" s="76"/>
      <c r="AZ2178" s="76">
        <f>+AY2178*70000</f>
        <v>0</v>
      </c>
      <c r="BA2178" s="76"/>
      <c r="BB2178" s="76"/>
      <c r="BC2178" s="76"/>
      <c r="BD2178" s="76">
        <f>+BC2178*30000</f>
        <v>0</v>
      </c>
      <c r="BE2178" s="76"/>
      <c r="BF2178" s="76"/>
      <c r="BG2178" s="76"/>
      <c r="BH2178" s="76"/>
      <c r="BI2178" s="76"/>
      <c r="BJ2178" s="76"/>
      <c r="BK2178" s="76"/>
      <c r="BL2178" s="76">
        <f>+BK2178*31500</f>
        <v>0</v>
      </c>
      <c r="BM2178" s="76"/>
      <c r="BN2178" s="76"/>
      <c r="BO2178" s="76"/>
      <c r="BP2178" s="76"/>
      <c r="BQ2178" s="76"/>
      <c r="BR2178" s="76"/>
      <c r="BS2178" s="76"/>
      <c r="BT2178" s="76"/>
      <c r="BU2178" s="76"/>
      <c r="BV2178" s="76"/>
      <c r="BW2178" s="76"/>
      <c r="BX2178" s="76"/>
      <c r="BY2178" s="76"/>
      <c r="BZ2178" s="76"/>
      <c r="CA2178" s="76"/>
      <c r="CB2178" s="76"/>
      <c r="CC2178" s="76"/>
      <c r="CD2178" s="76"/>
      <c r="CE2178" s="76"/>
      <c r="CF2178" s="76">
        <f>+CE2178*28000</f>
        <v>0</v>
      </c>
      <c r="CG2178" s="76"/>
      <c r="CH2178" s="76">
        <f>+CG2178*22500</f>
        <v>0</v>
      </c>
      <c r="CI2178" s="76"/>
      <c r="CJ2178" s="76">
        <f>+CI2178*26000</f>
        <v>0</v>
      </c>
      <c r="CK2178" s="76"/>
      <c r="CL2178" s="76"/>
      <c r="CM2178" s="76"/>
      <c r="CN2178" s="76">
        <f>+CM2178*22000</f>
        <v>0</v>
      </c>
      <c r="CO2178" s="76"/>
      <c r="CP2178" s="76">
        <f>+CO2178*46000</f>
        <v>0</v>
      </c>
      <c r="CQ2178" s="76"/>
      <c r="CR2178" s="76">
        <f>+CQ2178*49000</f>
        <v>0</v>
      </c>
      <c r="CS2178" s="76"/>
      <c r="CT2178" s="76"/>
      <c r="CU2178" s="56">
        <f>AN2178+AP2178+AR2178+AT2178+AV2178+AX2178+AZ2178+BB2178+BD2178+BF2178+BH2178+BJ2178+BL2178+BN2178+BP2178+BR2178+BT2178+BV2178+BX2178+BZ2178+CB2178+CD2178+CF2178+CH2178+CJ2178+CL2178+CN2178+CP2178+CR2178+CT2178</f>
        <v>0</v>
      </c>
      <c r="CV2178" s="76"/>
      <c r="CW2178" s="76">
        <f>+CV2178*1100</f>
        <v>0</v>
      </c>
      <c r="CX2178" s="76"/>
      <c r="CY2178" s="76">
        <f>+CX2178*106250</f>
        <v>0</v>
      </c>
      <c r="CZ2178" s="76"/>
      <c r="DA2178" s="76">
        <f>+CZ2178*34500</f>
        <v>0</v>
      </c>
      <c r="DB2178" s="76"/>
      <c r="DC2178" s="76">
        <f>+DB2178*25000</f>
        <v>0</v>
      </c>
      <c r="DD2178" s="219"/>
      <c r="DE2178" s="219"/>
      <c r="DF2178" s="166"/>
      <c r="DG2178" s="116"/>
      <c r="DH2178" s="117"/>
      <c r="DI2178" s="24"/>
      <c r="DJ2178" s="24"/>
      <c r="DK2178" s="24"/>
      <c r="DL2178" s="24"/>
      <c r="DM2178" s="24"/>
      <c r="DN2178" s="24"/>
      <c r="DO2178" s="24"/>
      <c r="DP2178" s="24"/>
      <c r="DQ2178" s="24"/>
      <c r="DR2178" s="24"/>
      <c r="DS2178" s="24"/>
      <c r="DT2178" s="24"/>
      <c r="DU2178" s="24"/>
    </row>
    <row r="2179" spans="1:125" s="8" customFormat="1" ht="216" x14ac:dyDescent="0.2">
      <c r="A2179" s="248">
        <v>41449</v>
      </c>
      <c r="B2179" s="229" t="s">
        <v>2774</v>
      </c>
      <c r="C2179" s="230" t="s">
        <v>284</v>
      </c>
      <c r="D2179" s="230" t="s">
        <v>2882</v>
      </c>
      <c r="E2179" s="231" t="str">
        <f>VLOOKUP(B2179&amp;C2179,Divipola!$C$2:$F$1138,4,FALSE)</f>
        <v>66170</v>
      </c>
      <c r="F2179" s="232"/>
      <c r="G2179" s="232"/>
      <c r="H2179" s="232"/>
      <c r="I2179" s="232">
        <v>500</v>
      </c>
      <c r="J2179" s="232">
        <v>100</v>
      </c>
      <c r="K2179" s="232"/>
      <c r="L2179" s="232">
        <v>100</v>
      </c>
      <c r="M2179" s="232"/>
      <c r="N2179" s="232"/>
      <c r="O2179" s="232"/>
      <c r="P2179" s="232"/>
      <c r="Q2179" s="232"/>
      <c r="R2179" s="232"/>
      <c r="S2179" s="232"/>
      <c r="T2179" s="232"/>
      <c r="U2179" s="233"/>
      <c r="V2179" s="234"/>
      <c r="W2179" s="271">
        <v>0</v>
      </c>
      <c r="X2179" s="269">
        <f>CU2179</f>
        <v>21999620.399999999</v>
      </c>
      <c r="Y2179" s="269">
        <f>CY2179</f>
        <v>12750000</v>
      </c>
      <c r="Z2179" s="269">
        <f>DA2179+DC2179+DE2179</f>
        <v>64896488</v>
      </c>
      <c r="AA2179" s="269">
        <f>CW2179</f>
        <v>0</v>
      </c>
      <c r="AB2179" s="269"/>
      <c r="AC2179" s="269">
        <v>0</v>
      </c>
      <c r="AD2179" s="269">
        <f>W2179+X2179+Y2179+Z2179+AA2179+AB2179+AC2179</f>
        <v>99646108.400000006</v>
      </c>
      <c r="AE2179" s="270">
        <v>0</v>
      </c>
      <c r="AF2179" s="235"/>
      <c r="AG2179" s="236"/>
      <c r="AH2179" s="237" t="s">
        <v>3392</v>
      </c>
      <c r="AI2179" s="238" t="s">
        <v>3393</v>
      </c>
      <c r="AJ2179" s="239"/>
      <c r="AK2179" s="235"/>
      <c r="AL2179" s="82" t="s">
        <v>5980</v>
      </c>
      <c r="AM2179" s="240"/>
      <c r="AN2179" s="240"/>
      <c r="AO2179" s="240"/>
      <c r="AP2179" s="240"/>
      <c r="AQ2179" s="240"/>
      <c r="AR2179" s="240"/>
      <c r="AS2179" s="240"/>
      <c r="AT2179" s="240"/>
      <c r="AU2179" s="240"/>
      <c r="AV2179" s="240">
        <f>AU2179*26000</f>
        <v>0</v>
      </c>
      <c r="AW2179" s="240"/>
      <c r="AX2179" s="240">
        <f>+AW2179*600000</f>
        <v>0</v>
      </c>
      <c r="AY2179" s="312">
        <v>200</v>
      </c>
      <c r="AZ2179" s="312">
        <f>+AY2179*69999.04</f>
        <v>13999807.999999998</v>
      </c>
      <c r="BA2179" s="240"/>
      <c r="BB2179" s="240"/>
      <c r="BC2179" s="240"/>
      <c r="BD2179" s="240">
        <f>+BC2179*30000</f>
        <v>0</v>
      </c>
      <c r="BE2179" s="240"/>
      <c r="BF2179" s="240"/>
      <c r="BG2179" s="240"/>
      <c r="BH2179" s="240"/>
      <c r="BI2179" s="240"/>
      <c r="BJ2179" s="240"/>
      <c r="BK2179" s="240"/>
      <c r="BL2179" s="240">
        <f>+BK2179*31500</f>
        <v>0</v>
      </c>
      <c r="BM2179" s="240"/>
      <c r="BN2179" s="240"/>
      <c r="BO2179" s="240"/>
      <c r="BP2179" s="240"/>
      <c r="BQ2179" s="240"/>
      <c r="BR2179" s="240"/>
      <c r="BS2179" s="240"/>
      <c r="BT2179" s="240"/>
      <c r="BU2179" s="240"/>
      <c r="BV2179" s="240"/>
      <c r="BW2179" s="240"/>
      <c r="BX2179" s="240"/>
      <c r="BY2179" s="312">
        <v>5</v>
      </c>
      <c r="BZ2179" s="312">
        <f>BY2179*559999.28</f>
        <v>2799996.4000000004</v>
      </c>
      <c r="CA2179" s="240"/>
      <c r="CB2179" s="240"/>
      <c r="CC2179" s="240"/>
      <c r="CD2179" s="240"/>
      <c r="CE2179" s="240"/>
      <c r="CF2179" s="240">
        <f>+CE2179*28000</f>
        <v>0</v>
      </c>
      <c r="CG2179" s="240"/>
      <c r="CH2179" s="240">
        <f>+CG2179*22500</f>
        <v>0</v>
      </c>
      <c r="CI2179" s="312">
        <v>200</v>
      </c>
      <c r="CJ2179" s="312">
        <f>+CI2179*25999.08</f>
        <v>5199816</v>
      </c>
      <c r="CK2179" s="240"/>
      <c r="CL2179" s="240"/>
      <c r="CM2179" s="240"/>
      <c r="CN2179" s="240">
        <f>+CM2179*22000</f>
        <v>0</v>
      </c>
      <c r="CO2179" s="240"/>
      <c r="CP2179" s="240">
        <f>+CO2179*46000</f>
        <v>0</v>
      </c>
      <c r="CQ2179" s="240"/>
      <c r="CR2179" s="240">
        <f>+CQ2179*49000</f>
        <v>0</v>
      </c>
      <c r="CS2179" s="240"/>
      <c r="CT2179" s="240"/>
      <c r="CU2179" s="241">
        <f>AN2179+AP2179+AR2179+AT2179+AV2179+AX2179+AZ2179+BB2179+BD2179+BF2179+BH2179+BJ2179+BL2179+BN2179+BP2179+BR2179+BT2179+BV2179+BX2179+BZ2179+CB2179+CD2179+CF2179+CH2179+CJ2179+CL2179+CN2179+CP2179+CR2179+CT2179</f>
        <v>21999620.399999999</v>
      </c>
      <c r="CV2179" s="240"/>
      <c r="CW2179" s="240">
        <f>+CV2179*1100</f>
        <v>0</v>
      </c>
      <c r="CX2179" s="312">
        <v>120</v>
      </c>
      <c r="CY2179" s="312">
        <f>+CX2179*106250</f>
        <v>12750000</v>
      </c>
      <c r="CZ2179" s="312">
        <v>500</v>
      </c>
      <c r="DA2179" s="312">
        <f>+CZ2179*29499.96</f>
        <v>14749980</v>
      </c>
      <c r="DB2179" s="312">
        <v>1000</v>
      </c>
      <c r="DC2179" s="312">
        <f>400*31999.76+6000*199.52+300*30999.84+300*40999.04</f>
        <v>35596688</v>
      </c>
      <c r="DD2179" s="313" t="s">
        <v>5981</v>
      </c>
      <c r="DE2179" s="314">
        <f>300*21499.44+300*14999.96+2000*1800</f>
        <v>14549820</v>
      </c>
      <c r="DF2179" s="243"/>
      <c r="DG2179" s="253" t="s">
        <v>5982</v>
      </c>
      <c r="DH2179" s="244"/>
      <c r="DI2179" s="24"/>
      <c r="DJ2179" s="24"/>
      <c r="DK2179" s="24"/>
      <c r="DL2179" s="24"/>
      <c r="DM2179" s="24"/>
      <c r="DN2179" s="24"/>
      <c r="DO2179" s="24"/>
      <c r="DP2179" s="24"/>
      <c r="DQ2179" s="24"/>
      <c r="DR2179" s="24"/>
      <c r="DS2179" s="24"/>
      <c r="DT2179" s="24"/>
      <c r="DU2179" s="24"/>
    </row>
    <row r="2180" spans="1:125" s="8" customFormat="1" ht="60" x14ac:dyDescent="0.2">
      <c r="A2180" s="226">
        <v>41449</v>
      </c>
      <c r="B2180" s="225" t="s">
        <v>2774</v>
      </c>
      <c r="C2180" s="227" t="s">
        <v>1347</v>
      </c>
      <c r="D2180" s="227" t="s">
        <v>2882</v>
      </c>
      <c r="E2180" s="75" t="str">
        <f>VLOOKUP(B2180&amp;C2180,Divipola!$C$2:$F$1138,4,FALSE)</f>
        <v>66001</v>
      </c>
      <c r="F2180" s="87"/>
      <c r="G2180" s="87"/>
      <c r="H2180" s="87"/>
      <c r="I2180" s="87">
        <v>1500</v>
      </c>
      <c r="J2180" s="87">
        <v>300</v>
      </c>
      <c r="K2180" s="87"/>
      <c r="L2180" s="87">
        <v>300</v>
      </c>
      <c r="M2180" s="87"/>
      <c r="N2180" s="87"/>
      <c r="O2180" s="87"/>
      <c r="P2180" s="87"/>
      <c r="Q2180" s="87"/>
      <c r="R2180" s="87"/>
      <c r="S2180" s="87"/>
      <c r="T2180" s="87"/>
      <c r="U2180" s="88"/>
      <c r="V2180" s="89"/>
      <c r="W2180" s="96">
        <v>0</v>
      </c>
      <c r="X2180" s="71">
        <f>CU2180</f>
        <v>0</v>
      </c>
      <c r="Y2180" s="71">
        <f>CY2180</f>
        <v>0</v>
      </c>
      <c r="Z2180" s="71">
        <f>DA2180+DC2180+DE2180</f>
        <v>0</v>
      </c>
      <c r="AA2180" s="71">
        <f>CW2180</f>
        <v>0</v>
      </c>
      <c r="AB2180" s="71"/>
      <c r="AC2180" s="71">
        <v>0</v>
      </c>
      <c r="AD2180" s="71">
        <f>W2180+X2180+Y2180+Z2180+AA2180+AB2180+AC2180</f>
        <v>0</v>
      </c>
      <c r="AE2180" s="72">
        <v>0</v>
      </c>
      <c r="AF2180" s="5"/>
      <c r="AG2180" s="6"/>
      <c r="AH2180" s="27" t="s">
        <v>3392</v>
      </c>
      <c r="AI2180" s="44" t="s">
        <v>3393</v>
      </c>
      <c r="AJ2180" s="26"/>
      <c r="AK2180" s="5"/>
      <c r="AL2180" s="82" t="s">
        <v>5038</v>
      </c>
      <c r="AM2180" s="76"/>
      <c r="AN2180" s="76"/>
      <c r="AO2180" s="76"/>
      <c r="AP2180" s="76"/>
      <c r="AQ2180" s="76"/>
      <c r="AR2180" s="76"/>
      <c r="AS2180" s="76"/>
      <c r="AT2180" s="76"/>
      <c r="AU2180" s="76"/>
      <c r="AV2180" s="76"/>
      <c r="AW2180" s="76"/>
      <c r="AX2180" s="76">
        <f>+AW2180*600000</f>
        <v>0</v>
      </c>
      <c r="AY2180" s="76"/>
      <c r="AZ2180" s="76">
        <f>+AY2180*70000</f>
        <v>0</v>
      </c>
      <c r="BA2180" s="76"/>
      <c r="BB2180" s="76"/>
      <c r="BC2180" s="76"/>
      <c r="BD2180" s="76">
        <f>+BC2180*30000</f>
        <v>0</v>
      </c>
      <c r="BE2180" s="76"/>
      <c r="BF2180" s="76"/>
      <c r="BG2180" s="76"/>
      <c r="BH2180" s="76"/>
      <c r="BI2180" s="76"/>
      <c r="BJ2180" s="76"/>
      <c r="BK2180" s="76"/>
      <c r="BL2180" s="76">
        <f>+BK2180*31500</f>
        <v>0</v>
      </c>
      <c r="BM2180" s="76"/>
      <c r="BN2180" s="76"/>
      <c r="BO2180" s="76"/>
      <c r="BP2180" s="76"/>
      <c r="BQ2180" s="76"/>
      <c r="BR2180" s="76"/>
      <c r="BS2180" s="76"/>
      <c r="BT2180" s="76"/>
      <c r="BU2180" s="76"/>
      <c r="BV2180" s="76"/>
      <c r="BW2180" s="76"/>
      <c r="BX2180" s="76"/>
      <c r="BY2180" s="76"/>
      <c r="BZ2180" s="76"/>
      <c r="CA2180" s="76"/>
      <c r="CB2180" s="76"/>
      <c r="CC2180" s="76"/>
      <c r="CD2180" s="76"/>
      <c r="CE2180" s="76"/>
      <c r="CF2180" s="76">
        <f>+CE2180*28000</f>
        <v>0</v>
      </c>
      <c r="CG2180" s="76"/>
      <c r="CH2180" s="76">
        <f>+CG2180*22500</f>
        <v>0</v>
      </c>
      <c r="CI2180" s="76"/>
      <c r="CJ2180" s="76">
        <f>+CI2180*26000</f>
        <v>0</v>
      </c>
      <c r="CK2180" s="76"/>
      <c r="CL2180" s="76"/>
      <c r="CM2180" s="76"/>
      <c r="CN2180" s="76">
        <f>+CM2180*22000</f>
        <v>0</v>
      </c>
      <c r="CO2180" s="76"/>
      <c r="CP2180" s="76">
        <f>+CO2180*46000</f>
        <v>0</v>
      </c>
      <c r="CQ2180" s="76"/>
      <c r="CR2180" s="76">
        <f>+CQ2180*49000</f>
        <v>0</v>
      </c>
      <c r="CS2180" s="76"/>
      <c r="CT2180" s="76"/>
      <c r="CU2180" s="56">
        <f>AN2180+AP2180+AR2180+AT2180+AV2180+AX2180+AZ2180+BB2180+BD2180+BF2180+BH2180+BJ2180+BL2180+BN2180+BP2180+BR2180+BT2180+BV2180+BX2180+BZ2180+CB2180+CD2180+CF2180+CH2180+CJ2180+CL2180+CN2180+CP2180+CR2180+CT2180</f>
        <v>0</v>
      </c>
      <c r="CV2180" s="76"/>
      <c r="CW2180" s="76">
        <f>+CV2180*1100</f>
        <v>0</v>
      </c>
      <c r="CX2180" s="76"/>
      <c r="CY2180" s="76">
        <f>+CX2180*106250</f>
        <v>0</v>
      </c>
      <c r="CZ2180" s="76"/>
      <c r="DA2180" s="76">
        <f>+CZ2180*34500</f>
        <v>0</v>
      </c>
      <c r="DB2180" s="76"/>
      <c r="DC2180" s="76">
        <f>+DB2180*25000</f>
        <v>0</v>
      </c>
      <c r="DD2180" s="219"/>
      <c r="DE2180" s="219"/>
      <c r="DF2180" s="166"/>
      <c r="DG2180" s="116"/>
      <c r="DH2180" s="117"/>
      <c r="DI2180" s="24"/>
      <c r="DJ2180" s="24"/>
      <c r="DK2180" s="24"/>
      <c r="DL2180" s="24"/>
      <c r="DM2180" s="24"/>
      <c r="DN2180" s="24"/>
      <c r="DO2180" s="24"/>
      <c r="DP2180" s="24"/>
      <c r="DQ2180" s="24"/>
      <c r="DR2180" s="24"/>
      <c r="DS2180" s="24"/>
      <c r="DT2180" s="24"/>
      <c r="DU2180" s="24"/>
    </row>
    <row r="2181" spans="1:125" s="8" customFormat="1" ht="60" x14ac:dyDescent="0.2">
      <c r="A2181" s="353">
        <v>41450</v>
      </c>
      <c r="B2181" s="352" t="s">
        <v>2894</v>
      </c>
      <c r="C2181" s="354" t="s">
        <v>2487</v>
      </c>
      <c r="D2181" s="354" t="s">
        <v>2936</v>
      </c>
      <c r="E2181" s="75" t="str">
        <f>VLOOKUP(B2181&amp;C2181,Divipola!$C$2:$F$1138,4,FALSE)</f>
        <v>05376</v>
      </c>
      <c r="F2181" s="87"/>
      <c r="G2181" s="87">
        <v>7</v>
      </c>
      <c r="H2181" s="87"/>
      <c r="I2181" s="87">
        <v>7</v>
      </c>
      <c r="J2181" s="87">
        <v>1</v>
      </c>
      <c r="K2181" s="87"/>
      <c r="L2181" s="87">
        <v>1</v>
      </c>
      <c r="M2181" s="87"/>
      <c r="N2181" s="87"/>
      <c r="O2181" s="87"/>
      <c r="P2181" s="87"/>
      <c r="Q2181" s="87"/>
      <c r="R2181" s="87"/>
      <c r="S2181" s="87"/>
      <c r="T2181" s="87"/>
      <c r="U2181" s="88"/>
      <c r="V2181" s="89"/>
      <c r="W2181" s="96">
        <v>0</v>
      </c>
      <c r="X2181" s="71">
        <f>CU2181</f>
        <v>0</v>
      </c>
      <c r="Y2181" s="71">
        <f>CY2181</f>
        <v>0</v>
      </c>
      <c r="Z2181" s="71">
        <f>DA2181+DC2181+DE2181</f>
        <v>0</v>
      </c>
      <c r="AA2181" s="71">
        <f>CW2181</f>
        <v>0</v>
      </c>
      <c r="AB2181" s="71"/>
      <c r="AC2181" s="71">
        <v>0</v>
      </c>
      <c r="AD2181" s="71">
        <f>W2181+X2181+Y2181+Z2181+AA2181+AB2181+AC2181</f>
        <v>0</v>
      </c>
      <c r="AE2181" s="72">
        <v>0</v>
      </c>
      <c r="AF2181" s="5"/>
      <c r="AG2181" s="6"/>
      <c r="AH2181" s="27" t="s">
        <v>3392</v>
      </c>
      <c r="AI2181" s="44" t="s">
        <v>3393</v>
      </c>
      <c r="AJ2181" s="26"/>
      <c r="AK2181" s="5"/>
      <c r="AL2181" s="82" t="s">
        <v>5040</v>
      </c>
      <c r="AM2181" s="76"/>
      <c r="AN2181" s="76"/>
      <c r="AO2181" s="76"/>
      <c r="AP2181" s="76"/>
      <c r="AQ2181" s="76"/>
      <c r="AR2181" s="76"/>
      <c r="AS2181" s="76"/>
      <c r="AT2181" s="76"/>
      <c r="AU2181" s="76"/>
      <c r="AV2181" s="76"/>
      <c r="AW2181" s="76"/>
      <c r="AX2181" s="76">
        <f>+AW2181*600000</f>
        <v>0</v>
      </c>
      <c r="AY2181" s="76"/>
      <c r="AZ2181" s="76">
        <f>+AY2181*70000</f>
        <v>0</v>
      </c>
      <c r="BA2181" s="76"/>
      <c r="BB2181" s="76"/>
      <c r="BC2181" s="76"/>
      <c r="BD2181" s="76">
        <f>+BC2181*30000</f>
        <v>0</v>
      </c>
      <c r="BE2181" s="76"/>
      <c r="BF2181" s="76"/>
      <c r="BG2181" s="76"/>
      <c r="BH2181" s="76"/>
      <c r="BI2181" s="76"/>
      <c r="BJ2181" s="76"/>
      <c r="BK2181" s="76"/>
      <c r="BL2181" s="76">
        <f>+BK2181*31500</f>
        <v>0</v>
      </c>
      <c r="BM2181" s="76"/>
      <c r="BN2181" s="76"/>
      <c r="BO2181" s="76"/>
      <c r="BP2181" s="76"/>
      <c r="BQ2181" s="76"/>
      <c r="BR2181" s="76"/>
      <c r="BS2181" s="76"/>
      <c r="BT2181" s="76"/>
      <c r="BU2181" s="76"/>
      <c r="BV2181" s="76"/>
      <c r="BW2181" s="76"/>
      <c r="BX2181" s="76"/>
      <c r="BY2181" s="76"/>
      <c r="BZ2181" s="76"/>
      <c r="CA2181" s="76"/>
      <c r="CB2181" s="76"/>
      <c r="CC2181" s="76"/>
      <c r="CD2181" s="76"/>
      <c r="CE2181" s="76"/>
      <c r="CF2181" s="76">
        <f>+CE2181*28000</f>
        <v>0</v>
      </c>
      <c r="CG2181" s="76"/>
      <c r="CH2181" s="76">
        <f>+CG2181*22500</f>
        <v>0</v>
      </c>
      <c r="CI2181" s="76"/>
      <c r="CJ2181" s="76">
        <f>+CI2181*26000</f>
        <v>0</v>
      </c>
      <c r="CK2181" s="76"/>
      <c r="CL2181" s="76"/>
      <c r="CM2181" s="76"/>
      <c r="CN2181" s="76">
        <f>+CM2181*22000</f>
        <v>0</v>
      </c>
      <c r="CO2181" s="76"/>
      <c r="CP2181" s="76">
        <f>+CO2181*46000</f>
        <v>0</v>
      </c>
      <c r="CQ2181" s="76"/>
      <c r="CR2181" s="76">
        <f>+CQ2181*49000</f>
        <v>0</v>
      </c>
      <c r="CS2181" s="76"/>
      <c r="CT2181" s="76"/>
      <c r="CU2181" s="56">
        <f>AN2181+AP2181+AR2181+AT2181+AV2181+AX2181+AZ2181+BB2181+BD2181+BF2181+BH2181+BJ2181+BL2181+BN2181+BP2181+BR2181+BT2181+BV2181+BX2181+BZ2181+CB2181+CD2181+CF2181+CH2181+CJ2181+CL2181+CN2181+CP2181+CR2181+CT2181</f>
        <v>0</v>
      </c>
      <c r="CV2181" s="76"/>
      <c r="CW2181" s="76">
        <f>+CV2181*1100</f>
        <v>0</v>
      </c>
      <c r="CX2181" s="76"/>
      <c r="CY2181" s="76">
        <f>+CX2181*106250</f>
        <v>0</v>
      </c>
      <c r="CZ2181" s="76"/>
      <c r="DA2181" s="76">
        <f>+CZ2181*34500</f>
        <v>0</v>
      </c>
      <c r="DB2181" s="76"/>
      <c r="DC2181" s="76">
        <f>+DB2181*25000</f>
        <v>0</v>
      </c>
      <c r="DD2181" s="219"/>
      <c r="DE2181" s="219"/>
      <c r="DF2181" s="166"/>
      <c r="DG2181" s="116"/>
      <c r="DH2181" s="117"/>
      <c r="DI2181" s="24"/>
      <c r="DJ2181" s="24"/>
      <c r="DK2181" s="24"/>
      <c r="DL2181" s="24"/>
      <c r="DM2181" s="24"/>
      <c r="DN2181" s="24"/>
      <c r="DO2181" s="24"/>
      <c r="DP2181" s="24"/>
      <c r="DQ2181" s="24"/>
      <c r="DR2181" s="24"/>
      <c r="DS2181" s="24"/>
      <c r="DT2181" s="24"/>
      <c r="DU2181" s="24"/>
    </row>
    <row r="2182" spans="1:125" s="8" customFormat="1" ht="36" x14ac:dyDescent="0.2">
      <c r="A2182" s="353">
        <v>41450</v>
      </c>
      <c r="B2182" s="352" t="s">
        <v>2894</v>
      </c>
      <c r="C2182" s="354" t="s">
        <v>2032</v>
      </c>
      <c r="D2182" s="354" t="s">
        <v>3088</v>
      </c>
      <c r="E2182" s="75" t="str">
        <f>VLOOKUP(B2182&amp;C2182,Divipola!$C$2:$F$1138,4,FALSE)</f>
        <v>05001</v>
      </c>
      <c r="F2182" s="87"/>
      <c r="G2182" s="87"/>
      <c r="H2182" s="87"/>
      <c r="I2182" s="87"/>
      <c r="J2182" s="87"/>
      <c r="K2182" s="87"/>
      <c r="L2182" s="87"/>
      <c r="M2182" s="87">
        <v>1</v>
      </c>
      <c r="N2182" s="87"/>
      <c r="O2182" s="87"/>
      <c r="P2182" s="87"/>
      <c r="Q2182" s="87"/>
      <c r="R2182" s="87"/>
      <c r="S2182" s="87"/>
      <c r="T2182" s="87"/>
      <c r="U2182" s="88"/>
      <c r="V2182" s="89"/>
      <c r="W2182" s="96">
        <v>0</v>
      </c>
      <c r="X2182" s="71">
        <f>CU2182</f>
        <v>0</v>
      </c>
      <c r="Y2182" s="71">
        <f>CY2182</f>
        <v>0</v>
      </c>
      <c r="Z2182" s="71">
        <f>DA2182+DC2182+DE2182</f>
        <v>0</v>
      </c>
      <c r="AA2182" s="71">
        <f>CW2182</f>
        <v>0</v>
      </c>
      <c r="AB2182" s="71"/>
      <c r="AC2182" s="71">
        <v>0</v>
      </c>
      <c r="AD2182" s="71">
        <f>W2182+X2182+Y2182+Z2182+AA2182+AB2182+AC2182</f>
        <v>0</v>
      </c>
      <c r="AE2182" s="72">
        <v>0</v>
      </c>
      <c r="AF2182" s="5"/>
      <c r="AG2182" s="6"/>
      <c r="AH2182" s="27" t="s">
        <v>3392</v>
      </c>
      <c r="AI2182" s="44" t="s">
        <v>3393</v>
      </c>
      <c r="AJ2182" s="26"/>
      <c r="AK2182" s="5"/>
      <c r="AL2182" s="82" t="s">
        <v>5033</v>
      </c>
      <c r="AM2182" s="76"/>
      <c r="AN2182" s="76"/>
      <c r="AO2182" s="76"/>
      <c r="AP2182" s="76"/>
      <c r="AQ2182" s="76"/>
      <c r="AR2182" s="76"/>
      <c r="AS2182" s="76"/>
      <c r="AT2182" s="76"/>
      <c r="AU2182" s="76"/>
      <c r="AV2182" s="76"/>
      <c r="AW2182" s="76"/>
      <c r="AX2182" s="76">
        <f>+AW2182*600000</f>
        <v>0</v>
      </c>
      <c r="AY2182" s="76"/>
      <c r="AZ2182" s="76">
        <f>+AY2182*70000</f>
        <v>0</v>
      </c>
      <c r="BA2182" s="76"/>
      <c r="BB2182" s="76"/>
      <c r="BC2182" s="76"/>
      <c r="BD2182" s="76">
        <f>+BC2182*30000</f>
        <v>0</v>
      </c>
      <c r="BE2182" s="76"/>
      <c r="BF2182" s="76"/>
      <c r="BG2182" s="76"/>
      <c r="BH2182" s="76"/>
      <c r="BI2182" s="76"/>
      <c r="BJ2182" s="76"/>
      <c r="BK2182" s="76"/>
      <c r="BL2182" s="76">
        <f>+BK2182*31500</f>
        <v>0</v>
      </c>
      <c r="BM2182" s="76"/>
      <c r="BN2182" s="76"/>
      <c r="BO2182" s="76"/>
      <c r="BP2182" s="76"/>
      <c r="BQ2182" s="76"/>
      <c r="BR2182" s="76"/>
      <c r="BS2182" s="76"/>
      <c r="BT2182" s="76"/>
      <c r="BU2182" s="76"/>
      <c r="BV2182" s="76"/>
      <c r="BW2182" s="76"/>
      <c r="BX2182" s="76"/>
      <c r="BY2182" s="76"/>
      <c r="BZ2182" s="76"/>
      <c r="CA2182" s="76"/>
      <c r="CB2182" s="76"/>
      <c r="CC2182" s="76"/>
      <c r="CD2182" s="76"/>
      <c r="CE2182" s="76"/>
      <c r="CF2182" s="76">
        <f>+CE2182*28000</f>
        <v>0</v>
      </c>
      <c r="CG2182" s="76"/>
      <c r="CH2182" s="76">
        <f>+CG2182*22500</f>
        <v>0</v>
      </c>
      <c r="CI2182" s="76"/>
      <c r="CJ2182" s="76">
        <f>+CI2182*26000</f>
        <v>0</v>
      </c>
      <c r="CK2182" s="76"/>
      <c r="CL2182" s="76"/>
      <c r="CM2182" s="76"/>
      <c r="CN2182" s="76">
        <f>+CM2182*22000</f>
        <v>0</v>
      </c>
      <c r="CO2182" s="76"/>
      <c r="CP2182" s="76">
        <f>+CO2182*46000</f>
        <v>0</v>
      </c>
      <c r="CQ2182" s="76"/>
      <c r="CR2182" s="76">
        <f>+CQ2182*49000</f>
        <v>0</v>
      </c>
      <c r="CS2182" s="76"/>
      <c r="CT2182" s="76"/>
      <c r="CU2182" s="56">
        <f>AN2182+AP2182+AR2182+AT2182+AV2182+AX2182+AZ2182+BB2182+BD2182+BF2182+BH2182+BJ2182+BL2182+BN2182+BP2182+BR2182+BT2182+BV2182+BX2182+BZ2182+CB2182+CD2182+CF2182+CH2182+CJ2182+CL2182+CN2182+CP2182+CR2182+CT2182</f>
        <v>0</v>
      </c>
      <c r="CV2182" s="76"/>
      <c r="CW2182" s="76">
        <f>+CV2182*1100</f>
        <v>0</v>
      </c>
      <c r="CX2182" s="76"/>
      <c r="CY2182" s="76">
        <f>+CX2182*106250</f>
        <v>0</v>
      </c>
      <c r="CZ2182" s="76"/>
      <c r="DA2182" s="76">
        <f>+CZ2182*34500</f>
        <v>0</v>
      </c>
      <c r="DB2182" s="76"/>
      <c r="DC2182" s="76">
        <f>+DB2182*25000</f>
        <v>0</v>
      </c>
      <c r="DD2182" s="219"/>
      <c r="DE2182" s="219"/>
      <c r="DF2182" s="166"/>
      <c r="DG2182" s="116"/>
      <c r="DH2182" s="117"/>
      <c r="DI2182" s="24"/>
      <c r="DJ2182" s="24"/>
      <c r="DK2182" s="24"/>
      <c r="DL2182" s="24"/>
      <c r="DM2182" s="24"/>
      <c r="DN2182" s="24"/>
      <c r="DO2182" s="24"/>
      <c r="DP2182" s="24"/>
      <c r="DQ2182" s="24"/>
      <c r="DR2182" s="24"/>
      <c r="DS2182" s="24"/>
      <c r="DT2182" s="24"/>
      <c r="DU2182" s="24"/>
    </row>
    <row r="2183" spans="1:125" s="8" customFormat="1" ht="48" x14ac:dyDescent="0.2">
      <c r="A2183" s="77">
        <v>41450</v>
      </c>
      <c r="B2183" s="78" t="s">
        <v>2894</v>
      </c>
      <c r="C2183" s="75" t="s">
        <v>2599</v>
      </c>
      <c r="D2183" s="75" t="s">
        <v>2882</v>
      </c>
      <c r="E2183" s="75" t="str">
        <f>VLOOKUP(B2183&amp;C2183,Divipola!$C$2:$F$1138,4,FALSE)</f>
        <v>05761</v>
      </c>
      <c r="F2183" s="87"/>
      <c r="G2183" s="87"/>
      <c r="H2183" s="87"/>
      <c r="I2183" s="87">
        <v>250</v>
      </c>
      <c r="J2183" s="87">
        <v>50</v>
      </c>
      <c r="K2183" s="87"/>
      <c r="L2183" s="87">
        <v>50</v>
      </c>
      <c r="M2183" s="87"/>
      <c r="N2183" s="87"/>
      <c r="O2183" s="87"/>
      <c r="P2183" s="87"/>
      <c r="Q2183" s="87"/>
      <c r="R2183" s="87"/>
      <c r="S2183" s="87"/>
      <c r="T2183" s="87"/>
      <c r="U2183" s="88"/>
      <c r="V2183" s="89"/>
      <c r="W2183" s="96">
        <v>0</v>
      </c>
      <c r="X2183" s="71">
        <f>CU2183</f>
        <v>0</v>
      </c>
      <c r="Y2183" s="71">
        <f>CY2183</f>
        <v>0</v>
      </c>
      <c r="Z2183" s="71">
        <f>DA2183+DC2183+DE2183</f>
        <v>0</v>
      </c>
      <c r="AA2183" s="71">
        <f>CW2183</f>
        <v>0</v>
      </c>
      <c r="AB2183" s="71"/>
      <c r="AC2183" s="71">
        <v>0</v>
      </c>
      <c r="AD2183" s="71">
        <f>W2183+X2183+Y2183+Z2183+AA2183+AB2183+AC2183</f>
        <v>0</v>
      </c>
      <c r="AE2183" s="72">
        <v>0</v>
      </c>
      <c r="AF2183" s="5"/>
      <c r="AG2183" s="6"/>
      <c r="AH2183" s="27" t="s">
        <v>3392</v>
      </c>
      <c r="AI2183" s="44" t="s">
        <v>3393</v>
      </c>
      <c r="AJ2183" s="26"/>
      <c r="AK2183" s="5"/>
      <c r="AL2183" s="82" t="s">
        <v>5032</v>
      </c>
      <c r="AM2183" s="76"/>
      <c r="AN2183" s="76"/>
      <c r="AO2183" s="76"/>
      <c r="AP2183" s="76"/>
      <c r="AQ2183" s="76"/>
      <c r="AR2183" s="76"/>
      <c r="AS2183" s="76"/>
      <c r="AT2183" s="76"/>
      <c r="AU2183" s="76"/>
      <c r="AV2183" s="76"/>
      <c r="AW2183" s="76"/>
      <c r="AX2183" s="76">
        <f>+AW2183*600000</f>
        <v>0</v>
      </c>
      <c r="AY2183" s="76"/>
      <c r="AZ2183" s="76">
        <f>+AY2183*70000</f>
        <v>0</v>
      </c>
      <c r="BA2183" s="76"/>
      <c r="BB2183" s="76"/>
      <c r="BC2183" s="76"/>
      <c r="BD2183" s="76">
        <f>+BC2183*30000</f>
        <v>0</v>
      </c>
      <c r="BE2183" s="76"/>
      <c r="BF2183" s="76"/>
      <c r="BG2183" s="76"/>
      <c r="BH2183" s="76"/>
      <c r="BI2183" s="76"/>
      <c r="BJ2183" s="76"/>
      <c r="BK2183" s="76"/>
      <c r="BL2183" s="76">
        <f>+BK2183*31500</f>
        <v>0</v>
      </c>
      <c r="BM2183" s="76"/>
      <c r="BN2183" s="76"/>
      <c r="BO2183" s="76"/>
      <c r="BP2183" s="76"/>
      <c r="BQ2183" s="76"/>
      <c r="BR2183" s="76"/>
      <c r="BS2183" s="76"/>
      <c r="BT2183" s="76"/>
      <c r="BU2183" s="76"/>
      <c r="BV2183" s="76"/>
      <c r="BW2183" s="76"/>
      <c r="BX2183" s="76"/>
      <c r="BY2183" s="76"/>
      <c r="BZ2183" s="76"/>
      <c r="CA2183" s="76"/>
      <c r="CB2183" s="76"/>
      <c r="CC2183" s="76"/>
      <c r="CD2183" s="76"/>
      <c r="CE2183" s="76"/>
      <c r="CF2183" s="76">
        <f>+CE2183*28000</f>
        <v>0</v>
      </c>
      <c r="CG2183" s="76"/>
      <c r="CH2183" s="76">
        <f>+CG2183*22500</f>
        <v>0</v>
      </c>
      <c r="CI2183" s="76"/>
      <c r="CJ2183" s="76">
        <f>+CI2183*26000</f>
        <v>0</v>
      </c>
      <c r="CK2183" s="76"/>
      <c r="CL2183" s="76"/>
      <c r="CM2183" s="76"/>
      <c r="CN2183" s="76">
        <f>+CM2183*22000</f>
        <v>0</v>
      </c>
      <c r="CO2183" s="76"/>
      <c r="CP2183" s="76">
        <f>+CO2183*46000</f>
        <v>0</v>
      </c>
      <c r="CQ2183" s="76"/>
      <c r="CR2183" s="76">
        <f>+CQ2183*49000</f>
        <v>0</v>
      </c>
      <c r="CS2183" s="76"/>
      <c r="CT2183" s="76"/>
      <c r="CU2183" s="56">
        <f>AN2183+AP2183+AR2183+AT2183+AV2183+AX2183+AZ2183+BB2183+BD2183+BF2183+BH2183+BJ2183+BL2183+BN2183+BP2183+BR2183+BT2183+BV2183+BX2183+BZ2183+CB2183+CD2183+CF2183+CH2183+CJ2183+CL2183+CN2183+CP2183+CR2183+CT2183</f>
        <v>0</v>
      </c>
      <c r="CV2183" s="76"/>
      <c r="CW2183" s="76">
        <f>+CV2183*1100</f>
        <v>0</v>
      </c>
      <c r="CX2183" s="76"/>
      <c r="CY2183" s="76">
        <f>+CX2183*106250</f>
        <v>0</v>
      </c>
      <c r="CZ2183" s="76"/>
      <c r="DA2183" s="76">
        <f>+CZ2183*34500</f>
        <v>0</v>
      </c>
      <c r="DB2183" s="76"/>
      <c r="DC2183" s="76">
        <f>+DB2183*25000</f>
        <v>0</v>
      </c>
      <c r="DD2183" s="219"/>
      <c r="DE2183" s="219"/>
      <c r="DF2183" s="166"/>
      <c r="DG2183" s="116"/>
      <c r="DH2183" s="117"/>
      <c r="DI2183" s="24"/>
      <c r="DJ2183" s="24"/>
      <c r="DK2183" s="24"/>
      <c r="DL2183" s="24"/>
      <c r="DM2183" s="24"/>
      <c r="DN2183" s="24"/>
      <c r="DO2183" s="24"/>
      <c r="DP2183" s="24"/>
      <c r="DQ2183" s="24"/>
      <c r="DR2183" s="24"/>
      <c r="DS2183" s="24"/>
      <c r="DT2183" s="24"/>
      <c r="DU2183" s="24"/>
    </row>
    <row r="2184" spans="1:125" s="8" customFormat="1" ht="24" x14ac:dyDescent="0.2">
      <c r="A2184" s="353">
        <v>41450</v>
      </c>
      <c r="B2184" s="352" t="s">
        <v>2894</v>
      </c>
      <c r="C2184" s="354" t="s">
        <v>2629</v>
      </c>
      <c r="D2184" s="354" t="s">
        <v>2882</v>
      </c>
      <c r="E2184" s="75" t="str">
        <f>VLOOKUP(B2184&amp;C2184,Divipola!$C$2:$F$1138,4,FALSE)</f>
        <v>05858</v>
      </c>
      <c r="F2184" s="87"/>
      <c r="G2184" s="87"/>
      <c r="H2184" s="87"/>
      <c r="I2184" s="87">
        <v>50</v>
      </c>
      <c r="J2184" s="87">
        <v>10</v>
      </c>
      <c r="K2184" s="87"/>
      <c r="L2184" s="87">
        <v>10</v>
      </c>
      <c r="M2184" s="87"/>
      <c r="N2184" s="87"/>
      <c r="O2184" s="87"/>
      <c r="P2184" s="87"/>
      <c r="Q2184" s="87"/>
      <c r="R2184" s="87"/>
      <c r="S2184" s="87"/>
      <c r="T2184" s="87"/>
      <c r="U2184" s="88"/>
      <c r="V2184" s="89"/>
      <c r="W2184" s="96">
        <v>0</v>
      </c>
      <c r="X2184" s="71">
        <f>CU2184</f>
        <v>0</v>
      </c>
      <c r="Y2184" s="71">
        <f>CY2184</f>
        <v>0</v>
      </c>
      <c r="Z2184" s="71">
        <f>DA2184+DC2184+DE2184</f>
        <v>0</v>
      </c>
      <c r="AA2184" s="71">
        <f>CW2184</f>
        <v>0</v>
      </c>
      <c r="AB2184" s="71"/>
      <c r="AC2184" s="71">
        <v>0</v>
      </c>
      <c r="AD2184" s="71">
        <f>W2184+X2184+Y2184+Z2184+AA2184+AB2184+AC2184</f>
        <v>0</v>
      </c>
      <c r="AE2184" s="72">
        <v>0</v>
      </c>
      <c r="AF2184" s="5"/>
      <c r="AG2184" s="6"/>
      <c r="AH2184" s="27" t="s">
        <v>3392</v>
      </c>
      <c r="AI2184" s="44" t="s">
        <v>3393</v>
      </c>
      <c r="AJ2184" s="26"/>
      <c r="AK2184" s="5"/>
      <c r="AL2184" s="82" t="s">
        <v>5035</v>
      </c>
      <c r="AM2184" s="76"/>
      <c r="AN2184" s="76"/>
      <c r="AO2184" s="76"/>
      <c r="AP2184" s="76"/>
      <c r="AQ2184" s="76"/>
      <c r="AR2184" s="76"/>
      <c r="AS2184" s="76"/>
      <c r="AT2184" s="76"/>
      <c r="AU2184" s="76"/>
      <c r="AV2184" s="76"/>
      <c r="AW2184" s="76"/>
      <c r="AX2184" s="76">
        <f>+AW2184*600000</f>
        <v>0</v>
      </c>
      <c r="AY2184" s="76"/>
      <c r="AZ2184" s="76">
        <f>+AY2184*70000</f>
        <v>0</v>
      </c>
      <c r="BA2184" s="76"/>
      <c r="BB2184" s="76"/>
      <c r="BC2184" s="76"/>
      <c r="BD2184" s="76">
        <f>+BC2184*30000</f>
        <v>0</v>
      </c>
      <c r="BE2184" s="76"/>
      <c r="BF2184" s="76"/>
      <c r="BG2184" s="76"/>
      <c r="BH2184" s="76"/>
      <c r="BI2184" s="76"/>
      <c r="BJ2184" s="76"/>
      <c r="BK2184" s="76"/>
      <c r="BL2184" s="76">
        <f>+BK2184*31500</f>
        <v>0</v>
      </c>
      <c r="BM2184" s="76"/>
      <c r="BN2184" s="76"/>
      <c r="BO2184" s="76"/>
      <c r="BP2184" s="76"/>
      <c r="BQ2184" s="76"/>
      <c r="BR2184" s="76"/>
      <c r="BS2184" s="76"/>
      <c r="BT2184" s="76"/>
      <c r="BU2184" s="76"/>
      <c r="BV2184" s="76"/>
      <c r="BW2184" s="76"/>
      <c r="BX2184" s="76"/>
      <c r="BY2184" s="76"/>
      <c r="BZ2184" s="76"/>
      <c r="CA2184" s="76"/>
      <c r="CB2184" s="76"/>
      <c r="CC2184" s="76"/>
      <c r="CD2184" s="76"/>
      <c r="CE2184" s="76"/>
      <c r="CF2184" s="76">
        <f>+CE2184*28000</f>
        <v>0</v>
      </c>
      <c r="CG2184" s="76"/>
      <c r="CH2184" s="76">
        <f>+CG2184*22500</f>
        <v>0</v>
      </c>
      <c r="CI2184" s="76"/>
      <c r="CJ2184" s="76">
        <f>+CI2184*26000</f>
        <v>0</v>
      </c>
      <c r="CK2184" s="76"/>
      <c r="CL2184" s="76"/>
      <c r="CM2184" s="76"/>
      <c r="CN2184" s="76">
        <f>+CM2184*22000</f>
        <v>0</v>
      </c>
      <c r="CO2184" s="76"/>
      <c r="CP2184" s="76">
        <f>+CO2184*46000</f>
        <v>0</v>
      </c>
      <c r="CQ2184" s="76"/>
      <c r="CR2184" s="76">
        <f>+CQ2184*49000</f>
        <v>0</v>
      </c>
      <c r="CS2184" s="76"/>
      <c r="CT2184" s="76"/>
      <c r="CU2184" s="56">
        <f>AN2184+AP2184+AR2184+AT2184+AV2184+AX2184+AZ2184+BB2184+BD2184+BF2184+BH2184+BJ2184+BL2184+BN2184+BP2184+BR2184+BT2184+BV2184+BX2184+BZ2184+CB2184+CD2184+CF2184+CH2184+CJ2184+CL2184+CN2184+CP2184+CR2184+CT2184</f>
        <v>0</v>
      </c>
      <c r="CV2184" s="76"/>
      <c r="CW2184" s="76">
        <f>+CV2184*1100</f>
        <v>0</v>
      </c>
      <c r="CX2184" s="76"/>
      <c r="CY2184" s="76">
        <f>+CX2184*106250</f>
        <v>0</v>
      </c>
      <c r="CZ2184" s="76"/>
      <c r="DA2184" s="76">
        <f>+CZ2184*34500</f>
        <v>0</v>
      </c>
      <c r="DB2184" s="76"/>
      <c r="DC2184" s="76">
        <f>+DB2184*25000</f>
        <v>0</v>
      </c>
      <c r="DD2184" s="219"/>
      <c r="DE2184" s="219"/>
      <c r="DF2184" s="166"/>
      <c r="DG2184" s="116"/>
      <c r="DH2184" s="117"/>
      <c r="DI2184" s="24"/>
      <c r="DJ2184" s="24"/>
      <c r="DK2184" s="24"/>
      <c r="DL2184" s="24"/>
      <c r="DM2184" s="24"/>
      <c r="DN2184" s="24"/>
      <c r="DO2184" s="24"/>
      <c r="DP2184" s="24"/>
      <c r="DQ2184" s="24"/>
      <c r="DR2184" s="24"/>
      <c r="DS2184" s="24"/>
      <c r="DT2184" s="24"/>
      <c r="DU2184" s="24"/>
    </row>
    <row r="2185" spans="1:125" s="8" customFormat="1" ht="48" x14ac:dyDescent="0.2">
      <c r="A2185" s="353">
        <v>41450</v>
      </c>
      <c r="B2185" s="352" t="s">
        <v>2894</v>
      </c>
      <c r="C2185" s="354" t="s">
        <v>2636</v>
      </c>
      <c r="D2185" s="354" t="s">
        <v>2882</v>
      </c>
      <c r="E2185" s="75" t="str">
        <f>VLOOKUP(B2185&amp;C2185,Divipola!$C$2:$F$1138,4,FALSE)</f>
        <v>05885</v>
      </c>
      <c r="F2185" s="87"/>
      <c r="G2185" s="87"/>
      <c r="H2185" s="87"/>
      <c r="I2185" s="87"/>
      <c r="J2185" s="87"/>
      <c r="K2185" s="87"/>
      <c r="L2185" s="87"/>
      <c r="M2185" s="87">
        <v>1</v>
      </c>
      <c r="N2185" s="87"/>
      <c r="O2185" s="87"/>
      <c r="P2185" s="87"/>
      <c r="Q2185" s="87"/>
      <c r="R2185" s="87"/>
      <c r="S2185" s="87">
        <v>2</v>
      </c>
      <c r="T2185" s="87"/>
      <c r="U2185" s="88"/>
      <c r="V2185" s="89"/>
      <c r="W2185" s="96">
        <v>0</v>
      </c>
      <c r="X2185" s="71">
        <f>CU2185</f>
        <v>0</v>
      </c>
      <c r="Y2185" s="71">
        <f>CY2185</f>
        <v>0</v>
      </c>
      <c r="Z2185" s="71">
        <f>DA2185+DC2185+DE2185</f>
        <v>0</v>
      </c>
      <c r="AA2185" s="71">
        <f>CW2185</f>
        <v>0</v>
      </c>
      <c r="AB2185" s="71"/>
      <c r="AC2185" s="71">
        <v>0</v>
      </c>
      <c r="AD2185" s="71">
        <f>W2185+X2185+Y2185+Z2185+AA2185+AB2185+AC2185</f>
        <v>0</v>
      </c>
      <c r="AE2185" s="72">
        <v>0</v>
      </c>
      <c r="AF2185" s="5"/>
      <c r="AG2185" s="6"/>
      <c r="AH2185" s="27" t="s">
        <v>3392</v>
      </c>
      <c r="AI2185" s="44" t="s">
        <v>3393</v>
      </c>
      <c r="AJ2185" s="26"/>
      <c r="AK2185" s="5"/>
      <c r="AL2185" s="82" t="s">
        <v>5039</v>
      </c>
      <c r="AM2185" s="76"/>
      <c r="AN2185" s="76"/>
      <c r="AO2185" s="76"/>
      <c r="AP2185" s="76"/>
      <c r="AQ2185" s="76"/>
      <c r="AR2185" s="76"/>
      <c r="AS2185" s="76"/>
      <c r="AT2185" s="76"/>
      <c r="AU2185" s="76"/>
      <c r="AV2185" s="76"/>
      <c r="AW2185" s="76"/>
      <c r="AX2185" s="76">
        <f>+AW2185*600000</f>
        <v>0</v>
      </c>
      <c r="AY2185" s="76"/>
      <c r="AZ2185" s="76">
        <f>+AY2185*70000</f>
        <v>0</v>
      </c>
      <c r="BA2185" s="76"/>
      <c r="BB2185" s="76"/>
      <c r="BC2185" s="76"/>
      <c r="BD2185" s="76">
        <f>+BC2185*30000</f>
        <v>0</v>
      </c>
      <c r="BE2185" s="76"/>
      <c r="BF2185" s="76"/>
      <c r="BG2185" s="76"/>
      <c r="BH2185" s="76"/>
      <c r="BI2185" s="76"/>
      <c r="BJ2185" s="76"/>
      <c r="BK2185" s="76"/>
      <c r="BL2185" s="76">
        <f>+BK2185*31500</f>
        <v>0</v>
      </c>
      <c r="BM2185" s="76"/>
      <c r="BN2185" s="76"/>
      <c r="BO2185" s="76"/>
      <c r="BP2185" s="76"/>
      <c r="BQ2185" s="76"/>
      <c r="BR2185" s="76"/>
      <c r="BS2185" s="76"/>
      <c r="BT2185" s="76"/>
      <c r="BU2185" s="76"/>
      <c r="BV2185" s="76"/>
      <c r="BW2185" s="76"/>
      <c r="BX2185" s="76"/>
      <c r="BY2185" s="76"/>
      <c r="BZ2185" s="76"/>
      <c r="CA2185" s="76"/>
      <c r="CB2185" s="76"/>
      <c r="CC2185" s="76"/>
      <c r="CD2185" s="76"/>
      <c r="CE2185" s="76"/>
      <c r="CF2185" s="76">
        <f>+CE2185*28000</f>
        <v>0</v>
      </c>
      <c r="CG2185" s="76"/>
      <c r="CH2185" s="76">
        <f>+CG2185*22500</f>
        <v>0</v>
      </c>
      <c r="CI2185" s="76"/>
      <c r="CJ2185" s="76">
        <f>+CI2185*26000</f>
        <v>0</v>
      </c>
      <c r="CK2185" s="76"/>
      <c r="CL2185" s="76"/>
      <c r="CM2185" s="76"/>
      <c r="CN2185" s="76">
        <f>+CM2185*22000</f>
        <v>0</v>
      </c>
      <c r="CO2185" s="76"/>
      <c r="CP2185" s="76">
        <f>+CO2185*46000</f>
        <v>0</v>
      </c>
      <c r="CQ2185" s="76"/>
      <c r="CR2185" s="76">
        <f>+CQ2185*49000</f>
        <v>0</v>
      </c>
      <c r="CS2185" s="76"/>
      <c r="CT2185" s="76"/>
      <c r="CU2185" s="56">
        <f>AN2185+AP2185+AR2185+AT2185+AV2185+AX2185+AZ2185+BB2185+BD2185+BF2185+BH2185+BJ2185+BL2185+BN2185+BP2185+BR2185+BT2185+BV2185+BX2185+BZ2185+CB2185+CD2185+CF2185+CH2185+CJ2185+CL2185+CN2185+CP2185+CR2185+CT2185</f>
        <v>0</v>
      </c>
      <c r="CV2185" s="76"/>
      <c r="CW2185" s="76">
        <f>+CV2185*1100</f>
        <v>0</v>
      </c>
      <c r="CX2185" s="76"/>
      <c r="CY2185" s="76">
        <f>+CX2185*106250</f>
        <v>0</v>
      </c>
      <c r="CZ2185" s="76"/>
      <c r="DA2185" s="76">
        <f>+CZ2185*34500</f>
        <v>0</v>
      </c>
      <c r="DB2185" s="76"/>
      <c r="DC2185" s="76">
        <f>+DB2185*25000</f>
        <v>0</v>
      </c>
      <c r="DD2185" s="219"/>
      <c r="DE2185" s="219"/>
      <c r="DF2185" s="166"/>
      <c r="DG2185" s="116"/>
      <c r="DH2185" s="117"/>
      <c r="DI2185" s="24"/>
      <c r="DJ2185" s="24"/>
      <c r="DK2185" s="24"/>
      <c r="DL2185" s="24"/>
      <c r="DM2185" s="24"/>
      <c r="DN2185" s="24"/>
      <c r="DO2185" s="24"/>
      <c r="DP2185" s="24"/>
      <c r="DQ2185" s="24"/>
      <c r="DR2185" s="24"/>
      <c r="DS2185" s="24"/>
      <c r="DT2185" s="24"/>
      <c r="DU2185" s="24"/>
    </row>
    <row r="2186" spans="1:125" s="8" customFormat="1" ht="132" x14ac:dyDescent="0.2">
      <c r="A2186" s="77">
        <v>41450</v>
      </c>
      <c r="B2186" s="78" t="s">
        <v>529</v>
      </c>
      <c r="C2186" s="75" t="s">
        <v>529</v>
      </c>
      <c r="D2186" s="75" t="s">
        <v>2882</v>
      </c>
      <c r="E2186" s="75" t="str">
        <f>VLOOKUP(B2186&amp;C2186,Divipola!$C$2:$F$1138,4,FALSE)</f>
        <v>11001</v>
      </c>
      <c r="F2186" s="87"/>
      <c r="G2186" s="87"/>
      <c r="H2186" s="87"/>
      <c r="I2186" s="87"/>
      <c r="J2186" s="87"/>
      <c r="K2186" s="87"/>
      <c r="L2186" s="87"/>
      <c r="M2186" s="87"/>
      <c r="N2186" s="87"/>
      <c r="O2186" s="87"/>
      <c r="P2186" s="87"/>
      <c r="Q2186" s="87"/>
      <c r="R2186" s="87"/>
      <c r="S2186" s="87"/>
      <c r="T2186" s="87"/>
      <c r="U2186" s="88"/>
      <c r="V2186" s="89">
        <v>3</v>
      </c>
      <c r="W2186" s="96">
        <v>0</v>
      </c>
      <c r="X2186" s="71">
        <f>CU2186</f>
        <v>0</v>
      </c>
      <c r="Y2186" s="71">
        <f>CY2186</f>
        <v>0</v>
      </c>
      <c r="Z2186" s="71">
        <f>DA2186+DC2186+DE2186</f>
        <v>0</v>
      </c>
      <c r="AA2186" s="71">
        <f>CW2186</f>
        <v>0</v>
      </c>
      <c r="AB2186" s="71"/>
      <c r="AC2186" s="71">
        <v>0</v>
      </c>
      <c r="AD2186" s="71">
        <f>W2186+X2186+Y2186+Z2186+AA2186+AB2186+AC2186</f>
        <v>0</v>
      </c>
      <c r="AE2186" s="72">
        <v>0</v>
      </c>
      <c r="AF2186" s="5"/>
      <c r="AG2186" s="6"/>
      <c r="AH2186" s="27" t="s">
        <v>3392</v>
      </c>
      <c r="AI2186" s="44" t="s">
        <v>3393</v>
      </c>
      <c r="AJ2186" s="26"/>
      <c r="AK2186" s="5"/>
      <c r="AL2186" s="82" t="s">
        <v>5036</v>
      </c>
      <c r="AM2186" s="76"/>
      <c r="AN2186" s="76"/>
      <c r="AO2186" s="76"/>
      <c r="AP2186" s="76"/>
      <c r="AQ2186" s="76"/>
      <c r="AR2186" s="76"/>
      <c r="AS2186" s="76"/>
      <c r="AT2186" s="76"/>
      <c r="AU2186" s="76"/>
      <c r="AV2186" s="76"/>
      <c r="AW2186" s="76"/>
      <c r="AX2186" s="76">
        <f>+AW2186*600000</f>
        <v>0</v>
      </c>
      <c r="AY2186" s="76"/>
      <c r="AZ2186" s="76">
        <f>+AY2186*70000</f>
        <v>0</v>
      </c>
      <c r="BA2186" s="76"/>
      <c r="BB2186" s="76"/>
      <c r="BC2186" s="76"/>
      <c r="BD2186" s="76">
        <f>+BC2186*30000</f>
        <v>0</v>
      </c>
      <c r="BE2186" s="76"/>
      <c r="BF2186" s="76"/>
      <c r="BG2186" s="76"/>
      <c r="BH2186" s="76"/>
      <c r="BI2186" s="76"/>
      <c r="BJ2186" s="76"/>
      <c r="BK2186" s="76"/>
      <c r="BL2186" s="76">
        <f>+BK2186*31500</f>
        <v>0</v>
      </c>
      <c r="BM2186" s="76"/>
      <c r="BN2186" s="76"/>
      <c r="BO2186" s="76"/>
      <c r="BP2186" s="76"/>
      <c r="BQ2186" s="76"/>
      <c r="BR2186" s="76"/>
      <c r="BS2186" s="76"/>
      <c r="BT2186" s="76"/>
      <c r="BU2186" s="76"/>
      <c r="BV2186" s="76"/>
      <c r="BW2186" s="76"/>
      <c r="BX2186" s="76"/>
      <c r="BY2186" s="76"/>
      <c r="BZ2186" s="76"/>
      <c r="CA2186" s="76"/>
      <c r="CB2186" s="76"/>
      <c r="CC2186" s="76"/>
      <c r="CD2186" s="76"/>
      <c r="CE2186" s="76"/>
      <c r="CF2186" s="76">
        <f>+CE2186*28000</f>
        <v>0</v>
      </c>
      <c r="CG2186" s="76"/>
      <c r="CH2186" s="76">
        <f>+CG2186*22500</f>
        <v>0</v>
      </c>
      <c r="CI2186" s="76"/>
      <c r="CJ2186" s="76">
        <f>+CI2186*26000</f>
        <v>0</v>
      </c>
      <c r="CK2186" s="76"/>
      <c r="CL2186" s="76"/>
      <c r="CM2186" s="76"/>
      <c r="CN2186" s="76">
        <f>+CM2186*22000</f>
        <v>0</v>
      </c>
      <c r="CO2186" s="76"/>
      <c r="CP2186" s="76">
        <f>+CO2186*46000</f>
        <v>0</v>
      </c>
      <c r="CQ2186" s="76"/>
      <c r="CR2186" s="76">
        <f>+CQ2186*49000</f>
        <v>0</v>
      </c>
      <c r="CS2186" s="76"/>
      <c r="CT2186" s="76"/>
      <c r="CU2186" s="56">
        <f>AN2186+AP2186+AR2186+AT2186+AV2186+AX2186+AZ2186+BB2186+BD2186+BF2186+BH2186+BJ2186+BL2186+BN2186+BP2186+BR2186+BT2186+BV2186+BX2186+BZ2186+CB2186+CD2186+CF2186+CH2186+CJ2186+CL2186+CN2186+CP2186+CR2186+CT2186</f>
        <v>0</v>
      </c>
      <c r="CV2186" s="76"/>
      <c r="CW2186" s="76">
        <f>+CV2186*1100</f>
        <v>0</v>
      </c>
      <c r="CX2186" s="76"/>
      <c r="CY2186" s="76">
        <f>+CX2186*106250</f>
        <v>0</v>
      </c>
      <c r="CZ2186" s="76"/>
      <c r="DA2186" s="76">
        <f>+CZ2186*34500</f>
        <v>0</v>
      </c>
      <c r="DB2186" s="76"/>
      <c r="DC2186" s="76">
        <f>+DB2186*25000</f>
        <v>0</v>
      </c>
      <c r="DD2186" s="219"/>
      <c r="DE2186" s="219"/>
      <c r="DF2186" s="166"/>
      <c r="DG2186" s="116"/>
      <c r="DH2186" s="117"/>
      <c r="DI2186" s="24"/>
      <c r="DJ2186" s="24"/>
      <c r="DK2186" s="24"/>
      <c r="DL2186" s="24"/>
      <c r="DM2186" s="24"/>
      <c r="DN2186" s="24"/>
      <c r="DO2186" s="24"/>
      <c r="DP2186" s="24"/>
      <c r="DQ2186" s="24"/>
      <c r="DR2186" s="24"/>
      <c r="DS2186" s="24"/>
      <c r="DT2186" s="24"/>
      <c r="DU2186" s="24"/>
    </row>
    <row r="2187" spans="1:125" s="8" customFormat="1" ht="48" x14ac:dyDescent="0.2">
      <c r="A2187" s="353">
        <v>41450</v>
      </c>
      <c r="B2187" s="352" t="s">
        <v>2700</v>
      </c>
      <c r="C2187" s="354" t="s">
        <v>2813</v>
      </c>
      <c r="D2187" s="354" t="s">
        <v>2846</v>
      </c>
      <c r="E2187" s="75" t="str">
        <f>VLOOKUP(B2187&amp;C2187,Divipola!$C$2:$F$1138,4,FALSE)</f>
        <v>15600</v>
      </c>
      <c r="F2187" s="87"/>
      <c r="G2187" s="87"/>
      <c r="H2187" s="87"/>
      <c r="I2187" s="87"/>
      <c r="J2187" s="87"/>
      <c r="K2187" s="87"/>
      <c r="L2187" s="87"/>
      <c r="M2187" s="87"/>
      <c r="N2187" s="87"/>
      <c r="O2187" s="87"/>
      <c r="P2187" s="87"/>
      <c r="Q2187" s="87"/>
      <c r="R2187" s="87"/>
      <c r="S2187" s="87"/>
      <c r="T2187" s="87"/>
      <c r="U2187" s="88">
        <v>3</v>
      </c>
      <c r="V2187" s="89"/>
      <c r="W2187" s="96">
        <v>0</v>
      </c>
      <c r="X2187" s="71">
        <f>CU2187</f>
        <v>0</v>
      </c>
      <c r="Y2187" s="71">
        <f>CY2187</f>
        <v>0</v>
      </c>
      <c r="Z2187" s="71">
        <f>DA2187+DC2187+DE2187</f>
        <v>0</v>
      </c>
      <c r="AA2187" s="71">
        <f>CW2187</f>
        <v>0</v>
      </c>
      <c r="AB2187" s="71"/>
      <c r="AC2187" s="71">
        <v>0</v>
      </c>
      <c r="AD2187" s="71">
        <f>W2187+X2187+Y2187+Z2187+AA2187+AB2187+AC2187</f>
        <v>0</v>
      </c>
      <c r="AE2187" s="72">
        <v>0</v>
      </c>
      <c r="AF2187" s="5"/>
      <c r="AG2187" s="6"/>
      <c r="AH2187" s="27" t="s">
        <v>3392</v>
      </c>
      <c r="AI2187" s="44" t="s">
        <v>3393</v>
      </c>
      <c r="AJ2187" s="26"/>
      <c r="AK2187" s="5"/>
      <c r="AL2187" s="82" t="s">
        <v>5042</v>
      </c>
      <c r="AM2187" s="76"/>
      <c r="AN2187" s="76"/>
      <c r="AO2187" s="76"/>
      <c r="AP2187" s="76"/>
      <c r="AQ2187" s="76"/>
      <c r="AR2187" s="76"/>
      <c r="AS2187" s="76"/>
      <c r="AT2187" s="76"/>
      <c r="AU2187" s="76"/>
      <c r="AV2187" s="76"/>
      <c r="AW2187" s="76"/>
      <c r="AX2187" s="76">
        <f>+AW2187*600000</f>
        <v>0</v>
      </c>
      <c r="AY2187" s="76"/>
      <c r="AZ2187" s="76">
        <f>+AY2187*70000</f>
        <v>0</v>
      </c>
      <c r="BA2187" s="76"/>
      <c r="BB2187" s="76"/>
      <c r="BC2187" s="76"/>
      <c r="BD2187" s="76">
        <f>+BC2187*30000</f>
        <v>0</v>
      </c>
      <c r="BE2187" s="76"/>
      <c r="BF2187" s="76"/>
      <c r="BG2187" s="76"/>
      <c r="BH2187" s="76"/>
      <c r="BI2187" s="76"/>
      <c r="BJ2187" s="76"/>
      <c r="BK2187" s="76"/>
      <c r="BL2187" s="76">
        <f>+BK2187*31500</f>
        <v>0</v>
      </c>
      <c r="BM2187" s="76"/>
      <c r="BN2187" s="76"/>
      <c r="BO2187" s="76"/>
      <c r="BP2187" s="76"/>
      <c r="BQ2187" s="76"/>
      <c r="BR2187" s="76"/>
      <c r="BS2187" s="76"/>
      <c r="BT2187" s="76"/>
      <c r="BU2187" s="76"/>
      <c r="BV2187" s="76"/>
      <c r="BW2187" s="76"/>
      <c r="BX2187" s="76"/>
      <c r="BY2187" s="76"/>
      <c r="BZ2187" s="76"/>
      <c r="CA2187" s="76"/>
      <c r="CB2187" s="76"/>
      <c r="CC2187" s="76"/>
      <c r="CD2187" s="76"/>
      <c r="CE2187" s="76"/>
      <c r="CF2187" s="76">
        <f>+CE2187*28000</f>
        <v>0</v>
      </c>
      <c r="CG2187" s="76"/>
      <c r="CH2187" s="76">
        <f>+CG2187*22500</f>
        <v>0</v>
      </c>
      <c r="CI2187" s="76"/>
      <c r="CJ2187" s="76">
        <f>+CI2187*26000</f>
        <v>0</v>
      </c>
      <c r="CK2187" s="76"/>
      <c r="CL2187" s="76"/>
      <c r="CM2187" s="76"/>
      <c r="CN2187" s="76">
        <f>+CM2187*22000</f>
        <v>0</v>
      </c>
      <c r="CO2187" s="76"/>
      <c r="CP2187" s="76">
        <f>+CO2187*46000</f>
        <v>0</v>
      </c>
      <c r="CQ2187" s="76"/>
      <c r="CR2187" s="76">
        <f>+CQ2187*49000</f>
        <v>0</v>
      </c>
      <c r="CS2187" s="76"/>
      <c r="CT2187" s="76"/>
      <c r="CU2187" s="56">
        <f>AN2187+AP2187+AR2187+AT2187+AV2187+AX2187+AZ2187+BB2187+BD2187+BF2187+BH2187+BJ2187+BL2187+BN2187+BP2187+BR2187+BT2187+BV2187+BX2187+BZ2187+CB2187+CD2187+CF2187+CH2187+CJ2187+CL2187+CN2187+CP2187+CR2187+CT2187</f>
        <v>0</v>
      </c>
      <c r="CV2187" s="76"/>
      <c r="CW2187" s="76">
        <f>+CV2187*1100</f>
        <v>0</v>
      </c>
      <c r="CX2187" s="76"/>
      <c r="CY2187" s="76">
        <f>+CX2187*106250</f>
        <v>0</v>
      </c>
      <c r="CZ2187" s="76"/>
      <c r="DA2187" s="76">
        <f>+CZ2187*34500</f>
        <v>0</v>
      </c>
      <c r="DB2187" s="76"/>
      <c r="DC2187" s="76">
        <f>+DB2187*25000</f>
        <v>0</v>
      </c>
      <c r="DD2187" s="219"/>
      <c r="DE2187" s="219"/>
      <c r="DF2187" s="166"/>
      <c r="DG2187" s="116"/>
      <c r="DH2187" s="117"/>
      <c r="DI2187" s="24"/>
      <c r="DJ2187" s="24"/>
      <c r="DK2187" s="24"/>
      <c r="DL2187" s="24"/>
      <c r="DM2187" s="24"/>
      <c r="DN2187" s="24"/>
      <c r="DO2187" s="24"/>
      <c r="DP2187" s="24"/>
      <c r="DQ2187" s="24"/>
      <c r="DR2187" s="24"/>
      <c r="DS2187" s="24"/>
      <c r="DT2187" s="24"/>
      <c r="DU2187" s="24"/>
    </row>
    <row r="2188" spans="1:125" s="8" customFormat="1" ht="36" x14ac:dyDescent="0.2">
      <c r="A2188" s="97">
        <v>41450</v>
      </c>
      <c r="B2188" s="60" t="s">
        <v>2852</v>
      </c>
      <c r="C2188" s="55" t="s">
        <v>1327</v>
      </c>
      <c r="D2188" s="55" t="s">
        <v>2882</v>
      </c>
      <c r="E2188" s="75" t="str">
        <f>VLOOKUP(B2188&amp;C2188,Divipola!$C$2:$F$1138,4,FALSE)</f>
        <v>27001</v>
      </c>
      <c r="F2188" s="87"/>
      <c r="G2188" s="87"/>
      <c r="H2188" s="87"/>
      <c r="I2188" s="87">
        <v>66</v>
      </c>
      <c r="J2188" s="87">
        <v>12</v>
      </c>
      <c r="K2188" s="87"/>
      <c r="L2188" s="87">
        <v>12</v>
      </c>
      <c r="M2188" s="87"/>
      <c r="N2188" s="87"/>
      <c r="O2188" s="87"/>
      <c r="P2188" s="87"/>
      <c r="Q2188" s="87"/>
      <c r="R2188" s="87"/>
      <c r="S2188" s="87"/>
      <c r="T2188" s="87"/>
      <c r="U2188" s="88"/>
      <c r="V2188" s="89"/>
      <c r="W2188" s="96">
        <v>0</v>
      </c>
      <c r="X2188" s="71">
        <f>CU2188</f>
        <v>0</v>
      </c>
      <c r="Y2188" s="71">
        <f>CY2188</f>
        <v>0</v>
      </c>
      <c r="Z2188" s="71">
        <f>DA2188+DC2188+DE2188</f>
        <v>0</v>
      </c>
      <c r="AA2188" s="71">
        <f>CW2188</f>
        <v>0</v>
      </c>
      <c r="AB2188" s="71"/>
      <c r="AC2188" s="71">
        <v>0</v>
      </c>
      <c r="AD2188" s="71">
        <f>W2188+X2188+Y2188+Z2188+AA2188+AB2188+AC2188</f>
        <v>0</v>
      </c>
      <c r="AE2188" s="72">
        <v>0</v>
      </c>
      <c r="AF2188" s="5"/>
      <c r="AG2188" s="6"/>
      <c r="AH2188" s="27" t="s">
        <v>3392</v>
      </c>
      <c r="AI2188" s="44" t="s">
        <v>3393</v>
      </c>
      <c r="AJ2188" s="26"/>
      <c r="AK2188" s="5"/>
      <c r="AL2188" s="82" t="s">
        <v>5043</v>
      </c>
      <c r="AM2188" s="76"/>
      <c r="AN2188" s="76"/>
      <c r="AO2188" s="76"/>
      <c r="AP2188" s="76"/>
      <c r="AQ2188" s="76"/>
      <c r="AR2188" s="76"/>
      <c r="AS2188" s="76"/>
      <c r="AT2188" s="76"/>
      <c r="AU2188" s="76"/>
      <c r="AV2188" s="76"/>
      <c r="AW2188" s="76"/>
      <c r="AX2188" s="76">
        <f>+AW2188*600000</f>
        <v>0</v>
      </c>
      <c r="AY2188" s="76"/>
      <c r="AZ2188" s="76">
        <f>+AY2188*70000</f>
        <v>0</v>
      </c>
      <c r="BA2188" s="76"/>
      <c r="BB2188" s="76"/>
      <c r="BC2188" s="76"/>
      <c r="BD2188" s="76">
        <f>+BC2188*30000</f>
        <v>0</v>
      </c>
      <c r="BE2188" s="76"/>
      <c r="BF2188" s="76"/>
      <c r="BG2188" s="76"/>
      <c r="BH2188" s="76"/>
      <c r="BI2188" s="76"/>
      <c r="BJ2188" s="76"/>
      <c r="BK2188" s="76"/>
      <c r="BL2188" s="76">
        <f>+BK2188*31500</f>
        <v>0</v>
      </c>
      <c r="BM2188" s="76"/>
      <c r="BN2188" s="76"/>
      <c r="BO2188" s="76"/>
      <c r="BP2188" s="76"/>
      <c r="BQ2188" s="76"/>
      <c r="BR2188" s="76"/>
      <c r="BS2188" s="76"/>
      <c r="BT2188" s="76"/>
      <c r="BU2188" s="76"/>
      <c r="BV2188" s="76"/>
      <c r="BW2188" s="76"/>
      <c r="BX2188" s="76"/>
      <c r="BY2188" s="76"/>
      <c r="BZ2188" s="76"/>
      <c r="CA2188" s="76"/>
      <c r="CB2188" s="76"/>
      <c r="CC2188" s="76"/>
      <c r="CD2188" s="76"/>
      <c r="CE2188" s="76"/>
      <c r="CF2188" s="76">
        <f>+CE2188*28000</f>
        <v>0</v>
      </c>
      <c r="CG2188" s="76"/>
      <c r="CH2188" s="76">
        <f>+CG2188*22500</f>
        <v>0</v>
      </c>
      <c r="CI2188" s="76"/>
      <c r="CJ2188" s="76">
        <f>+CI2188*26000</f>
        <v>0</v>
      </c>
      <c r="CK2188" s="76"/>
      <c r="CL2188" s="76"/>
      <c r="CM2188" s="76"/>
      <c r="CN2188" s="76">
        <f>+CM2188*22000</f>
        <v>0</v>
      </c>
      <c r="CO2188" s="76"/>
      <c r="CP2188" s="76">
        <f>+CO2188*46000</f>
        <v>0</v>
      </c>
      <c r="CQ2188" s="76"/>
      <c r="CR2188" s="76">
        <f>+CQ2188*49000</f>
        <v>0</v>
      </c>
      <c r="CS2188" s="76"/>
      <c r="CT2188" s="76"/>
      <c r="CU2188" s="56">
        <f>AN2188+AP2188+AR2188+AT2188+AV2188+AX2188+AZ2188+BB2188+BD2188+BF2188+BH2188+BJ2188+BL2188+BN2188+BP2188+BR2188+BT2188+BV2188+BX2188+BZ2188+CB2188+CD2188+CF2188+CH2188+CJ2188+CL2188+CN2188+CP2188+CR2188+CT2188</f>
        <v>0</v>
      </c>
      <c r="CV2188" s="76"/>
      <c r="CW2188" s="76">
        <f>+CV2188*1100</f>
        <v>0</v>
      </c>
      <c r="CX2188" s="76"/>
      <c r="CY2188" s="76">
        <f>+CX2188*106250</f>
        <v>0</v>
      </c>
      <c r="CZ2188" s="76"/>
      <c r="DA2188" s="76">
        <f>+CZ2188*34500</f>
        <v>0</v>
      </c>
      <c r="DB2188" s="76"/>
      <c r="DC2188" s="76">
        <f>+DB2188*25000</f>
        <v>0</v>
      </c>
      <c r="DD2188" s="219"/>
      <c r="DE2188" s="219"/>
      <c r="DF2188" s="166"/>
      <c r="DG2188" s="116"/>
      <c r="DH2188" s="117"/>
      <c r="DI2188" s="24"/>
      <c r="DJ2188" s="24"/>
      <c r="DK2188" s="24"/>
      <c r="DL2188" s="24"/>
      <c r="DM2188" s="24"/>
      <c r="DN2188" s="24"/>
      <c r="DO2188" s="24"/>
      <c r="DP2188" s="24"/>
      <c r="DQ2188" s="24"/>
      <c r="DR2188" s="24"/>
      <c r="DS2188" s="24"/>
      <c r="DT2188" s="24"/>
      <c r="DU2188" s="24"/>
    </row>
    <row r="2189" spans="1:125" s="8" customFormat="1" ht="96" x14ac:dyDescent="0.2">
      <c r="A2189" s="353">
        <v>41450</v>
      </c>
      <c r="B2189" s="352" t="s">
        <v>2772</v>
      </c>
      <c r="C2189" s="354" t="s">
        <v>1389</v>
      </c>
      <c r="D2189" s="354" t="s">
        <v>3088</v>
      </c>
      <c r="E2189" s="75" t="str">
        <f>VLOOKUP(B2189&amp;C2189,Divipola!$C$2:$F$1138,4,FALSE)</f>
        <v>25335</v>
      </c>
      <c r="F2189" s="87"/>
      <c r="G2189" s="87"/>
      <c r="H2189" s="87"/>
      <c r="I2189" s="87"/>
      <c r="J2189" s="87"/>
      <c r="K2189" s="87"/>
      <c r="L2189" s="87"/>
      <c r="M2189" s="87">
        <v>1</v>
      </c>
      <c r="N2189" s="87"/>
      <c r="O2189" s="87"/>
      <c r="P2189" s="87"/>
      <c r="Q2189" s="87"/>
      <c r="R2189" s="87"/>
      <c r="S2189" s="87"/>
      <c r="T2189" s="87"/>
      <c r="U2189" s="88"/>
      <c r="V2189" s="89"/>
      <c r="W2189" s="96">
        <v>0</v>
      </c>
      <c r="X2189" s="71">
        <f>CU2189</f>
        <v>0</v>
      </c>
      <c r="Y2189" s="71">
        <f>CY2189</f>
        <v>0</v>
      </c>
      <c r="Z2189" s="71">
        <f>DA2189+DC2189+DE2189</f>
        <v>0</v>
      </c>
      <c r="AA2189" s="71">
        <f>CW2189</f>
        <v>0</v>
      </c>
      <c r="AB2189" s="71"/>
      <c r="AC2189" s="71">
        <v>0</v>
      </c>
      <c r="AD2189" s="71">
        <f>W2189+X2189+Y2189+Z2189+AA2189+AB2189+AC2189</f>
        <v>0</v>
      </c>
      <c r="AE2189" s="72">
        <v>0</v>
      </c>
      <c r="AF2189" s="5"/>
      <c r="AG2189" s="6"/>
      <c r="AH2189" s="27" t="s">
        <v>3392</v>
      </c>
      <c r="AI2189" s="44" t="s">
        <v>3393</v>
      </c>
      <c r="AJ2189" s="26"/>
      <c r="AK2189" s="5"/>
      <c r="AL2189" s="82" t="s">
        <v>5041</v>
      </c>
      <c r="AM2189" s="76"/>
      <c r="AN2189" s="76"/>
      <c r="AO2189" s="76"/>
      <c r="AP2189" s="76"/>
      <c r="AQ2189" s="76"/>
      <c r="AR2189" s="76"/>
      <c r="AS2189" s="76"/>
      <c r="AT2189" s="76"/>
      <c r="AU2189" s="76"/>
      <c r="AV2189" s="76"/>
      <c r="AW2189" s="76"/>
      <c r="AX2189" s="76">
        <f>+AW2189*600000</f>
        <v>0</v>
      </c>
      <c r="AY2189" s="76"/>
      <c r="AZ2189" s="76">
        <f>+AY2189*70000</f>
        <v>0</v>
      </c>
      <c r="BA2189" s="76"/>
      <c r="BB2189" s="76"/>
      <c r="BC2189" s="76"/>
      <c r="BD2189" s="76">
        <f>+BC2189*30000</f>
        <v>0</v>
      </c>
      <c r="BE2189" s="76"/>
      <c r="BF2189" s="76"/>
      <c r="BG2189" s="76"/>
      <c r="BH2189" s="76"/>
      <c r="BI2189" s="76"/>
      <c r="BJ2189" s="76"/>
      <c r="BK2189" s="76"/>
      <c r="BL2189" s="76">
        <f>+BK2189*31500</f>
        <v>0</v>
      </c>
      <c r="BM2189" s="76"/>
      <c r="BN2189" s="76"/>
      <c r="BO2189" s="76"/>
      <c r="BP2189" s="76"/>
      <c r="BQ2189" s="76"/>
      <c r="BR2189" s="76"/>
      <c r="BS2189" s="76"/>
      <c r="BT2189" s="76"/>
      <c r="BU2189" s="76"/>
      <c r="BV2189" s="76"/>
      <c r="BW2189" s="76"/>
      <c r="BX2189" s="76"/>
      <c r="BY2189" s="76"/>
      <c r="BZ2189" s="76"/>
      <c r="CA2189" s="76"/>
      <c r="CB2189" s="76"/>
      <c r="CC2189" s="76"/>
      <c r="CD2189" s="76"/>
      <c r="CE2189" s="76"/>
      <c r="CF2189" s="76">
        <f>+CE2189*28000</f>
        <v>0</v>
      </c>
      <c r="CG2189" s="76"/>
      <c r="CH2189" s="76">
        <f>+CG2189*22500</f>
        <v>0</v>
      </c>
      <c r="CI2189" s="76"/>
      <c r="CJ2189" s="76">
        <f>+CI2189*26000</f>
        <v>0</v>
      </c>
      <c r="CK2189" s="76"/>
      <c r="CL2189" s="76"/>
      <c r="CM2189" s="76"/>
      <c r="CN2189" s="76">
        <f>+CM2189*22000</f>
        <v>0</v>
      </c>
      <c r="CO2189" s="76"/>
      <c r="CP2189" s="76">
        <f>+CO2189*46000</f>
        <v>0</v>
      </c>
      <c r="CQ2189" s="76"/>
      <c r="CR2189" s="76">
        <f>+CQ2189*49000</f>
        <v>0</v>
      </c>
      <c r="CS2189" s="76"/>
      <c r="CT2189" s="76"/>
      <c r="CU2189" s="56">
        <f>AN2189+AP2189+AR2189+AT2189+AV2189+AX2189+AZ2189+BB2189+BD2189+BF2189+BH2189+BJ2189+BL2189+BN2189+BP2189+BR2189+BT2189+BV2189+BX2189+BZ2189+CB2189+CD2189+CF2189+CH2189+CJ2189+CL2189+CN2189+CP2189+CR2189+CT2189</f>
        <v>0</v>
      </c>
      <c r="CV2189" s="76"/>
      <c r="CW2189" s="76">
        <f>+CV2189*1100</f>
        <v>0</v>
      </c>
      <c r="CX2189" s="76"/>
      <c r="CY2189" s="76">
        <f>+CX2189*106250</f>
        <v>0</v>
      </c>
      <c r="CZ2189" s="76"/>
      <c r="DA2189" s="76">
        <f>+CZ2189*34500</f>
        <v>0</v>
      </c>
      <c r="DB2189" s="76"/>
      <c r="DC2189" s="76">
        <f>+DB2189*25000</f>
        <v>0</v>
      </c>
      <c r="DD2189" s="219"/>
      <c r="DE2189" s="219"/>
      <c r="DF2189" s="166"/>
      <c r="DG2189" s="116"/>
      <c r="DH2189" s="117"/>
      <c r="DI2189" s="24"/>
      <c r="DJ2189" s="24"/>
      <c r="DK2189" s="24"/>
      <c r="DL2189" s="24"/>
      <c r="DM2189" s="24"/>
      <c r="DN2189" s="24"/>
      <c r="DO2189" s="24"/>
      <c r="DP2189" s="24"/>
      <c r="DQ2189" s="24"/>
      <c r="DR2189" s="24"/>
      <c r="DS2189" s="24"/>
      <c r="DT2189" s="24"/>
      <c r="DU2189" s="24"/>
    </row>
    <row r="2190" spans="1:125" s="8" customFormat="1" ht="36" x14ac:dyDescent="0.2">
      <c r="A2190" s="353">
        <v>41450</v>
      </c>
      <c r="B2190" s="352" t="s">
        <v>2860</v>
      </c>
      <c r="C2190" s="354" t="s">
        <v>2776</v>
      </c>
      <c r="D2190" s="354" t="s">
        <v>2882</v>
      </c>
      <c r="E2190" s="75" t="str">
        <f>VLOOKUP(B2190&amp;C2190,Divipola!$C$2:$F$1138,4,FALSE)</f>
        <v>63001</v>
      </c>
      <c r="F2190" s="87"/>
      <c r="G2190" s="87"/>
      <c r="H2190" s="87"/>
      <c r="I2190" s="87">
        <v>25</v>
      </c>
      <c r="J2190" s="87">
        <v>5</v>
      </c>
      <c r="K2190" s="87"/>
      <c r="L2190" s="87">
        <v>5</v>
      </c>
      <c r="M2190" s="87"/>
      <c r="N2190" s="87"/>
      <c r="O2190" s="87"/>
      <c r="P2190" s="87"/>
      <c r="Q2190" s="87"/>
      <c r="R2190" s="87"/>
      <c r="S2190" s="87"/>
      <c r="T2190" s="87"/>
      <c r="U2190" s="88"/>
      <c r="V2190" s="89"/>
      <c r="W2190" s="96">
        <v>0</v>
      </c>
      <c r="X2190" s="71">
        <f>CU2190</f>
        <v>0</v>
      </c>
      <c r="Y2190" s="71">
        <f>CY2190</f>
        <v>0</v>
      </c>
      <c r="Z2190" s="71">
        <f>DA2190+DC2190+DE2190</f>
        <v>0</v>
      </c>
      <c r="AA2190" s="71">
        <f>CW2190</f>
        <v>0</v>
      </c>
      <c r="AB2190" s="71"/>
      <c r="AC2190" s="71">
        <v>0</v>
      </c>
      <c r="AD2190" s="71">
        <f>W2190+X2190+Y2190+Z2190+AA2190+AB2190+AC2190</f>
        <v>0</v>
      </c>
      <c r="AE2190" s="72">
        <v>0</v>
      </c>
      <c r="AF2190" s="5"/>
      <c r="AG2190" s="6"/>
      <c r="AH2190" s="27" t="s">
        <v>3392</v>
      </c>
      <c r="AI2190" s="44" t="s">
        <v>3393</v>
      </c>
      <c r="AJ2190" s="26"/>
      <c r="AK2190" s="5"/>
      <c r="AL2190" s="82" t="s">
        <v>5034</v>
      </c>
      <c r="AM2190" s="76"/>
      <c r="AN2190" s="76"/>
      <c r="AO2190" s="76"/>
      <c r="AP2190" s="76"/>
      <c r="AQ2190" s="76"/>
      <c r="AR2190" s="76"/>
      <c r="AS2190" s="76"/>
      <c r="AT2190" s="76"/>
      <c r="AU2190" s="76"/>
      <c r="AV2190" s="76"/>
      <c r="AW2190" s="76"/>
      <c r="AX2190" s="76">
        <f>+AW2190*600000</f>
        <v>0</v>
      </c>
      <c r="AY2190" s="76"/>
      <c r="AZ2190" s="76">
        <f>+AY2190*70000</f>
        <v>0</v>
      </c>
      <c r="BA2190" s="76"/>
      <c r="BB2190" s="76"/>
      <c r="BC2190" s="76"/>
      <c r="BD2190" s="76">
        <f>+BC2190*30000</f>
        <v>0</v>
      </c>
      <c r="BE2190" s="76"/>
      <c r="BF2190" s="76"/>
      <c r="BG2190" s="76"/>
      <c r="BH2190" s="76"/>
      <c r="BI2190" s="76"/>
      <c r="BJ2190" s="76"/>
      <c r="BK2190" s="76"/>
      <c r="BL2190" s="76">
        <f>+BK2190*31500</f>
        <v>0</v>
      </c>
      <c r="BM2190" s="76"/>
      <c r="BN2190" s="76"/>
      <c r="BO2190" s="76"/>
      <c r="BP2190" s="76"/>
      <c r="BQ2190" s="76"/>
      <c r="BR2190" s="76"/>
      <c r="BS2190" s="76"/>
      <c r="BT2190" s="76"/>
      <c r="BU2190" s="76"/>
      <c r="BV2190" s="76"/>
      <c r="BW2190" s="76"/>
      <c r="BX2190" s="76"/>
      <c r="BY2190" s="76"/>
      <c r="BZ2190" s="76"/>
      <c r="CA2190" s="76"/>
      <c r="CB2190" s="76"/>
      <c r="CC2190" s="76"/>
      <c r="CD2190" s="76"/>
      <c r="CE2190" s="76"/>
      <c r="CF2190" s="76">
        <f>+CE2190*28000</f>
        <v>0</v>
      </c>
      <c r="CG2190" s="76"/>
      <c r="CH2190" s="76">
        <f>+CG2190*22500</f>
        <v>0</v>
      </c>
      <c r="CI2190" s="76"/>
      <c r="CJ2190" s="76">
        <f>+CI2190*26000</f>
        <v>0</v>
      </c>
      <c r="CK2190" s="76"/>
      <c r="CL2190" s="76"/>
      <c r="CM2190" s="76"/>
      <c r="CN2190" s="76">
        <f>+CM2190*22000</f>
        <v>0</v>
      </c>
      <c r="CO2190" s="76"/>
      <c r="CP2190" s="76">
        <f>+CO2190*46000</f>
        <v>0</v>
      </c>
      <c r="CQ2190" s="76"/>
      <c r="CR2190" s="76">
        <f>+CQ2190*49000</f>
        <v>0</v>
      </c>
      <c r="CS2190" s="76"/>
      <c r="CT2190" s="76"/>
      <c r="CU2190" s="56">
        <f>AN2190+AP2190+AR2190+AT2190+AV2190+AX2190+AZ2190+BB2190+BD2190+BF2190+BH2190+BJ2190+BL2190+BN2190+BP2190+BR2190+BT2190+BV2190+BX2190+BZ2190+CB2190+CD2190+CF2190+CH2190+CJ2190+CL2190+CN2190+CP2190+CR2190+CT2190</f>
        <v>0</v>
      </c>
      <c r="CV2190" s="76"/>
      <c r="CW2190" s="76">
        <f>+CV2190*1100</f>
        <v>0</v>
      </c>
      <c r="CX2190" s="76"/>
      <c r="CY2190" s="76">
        <f>+CX2190*106250</f>
        <v>0</v>
      </c>
      <c r="CZ2190" s="76"/>
      <c r="DA2190" s="76">
        <f>+CZ2190*34500</f>
        <v>0</v>
      </c>
      <c r="DB2190" s="76"/>
      <c r="DC2190" s="76">
        <f>+DB2190*25000</f>
        <v>0</v>
      </c>
      <c r="DD2190" s="219"/>
      <c r="DE2190" s="219"/>
      <c r="DF2190" s="166"/>
      <c r="DG2190" s="116"/>
      <c r="DH2190" s="117"/>
      <c r="DI2190" s="24"/>
      <c r="DJ2190" s="24"/>
      <c r="DK2190" s="24"/>
      <c r="DL2190" s="24"/>
      <c r="DM2190" s="24"/>
      <c r="DN2190" s="24"/>
      <c r="DO2190" s="24"/>
      <c r="DP2190" s="24"/>
      <c r="DQ2190" s="24"/>
      <c r="DR2190" s="24"/>
      <c r="DS2190" s="24"/>
      <c r="DT2190" s="24"/>
      <c r="DU2190" s="24"/>
    </row>
    <row r="2191" spans="1:125" s="8" customFormat="1" ht="60" x14ac:dyDescent="0.2">
      <c r="A2191" s="77">
        <v>41450</v>
      </c>
      <c r="B2191" s="78" t="s">
        <v>2774</v>
      </c>
      <c r="C2191" s="75" t="s">
        <v>1347</v>
      </c>
      <c r="D2191" s="75" t="s">
        <v>3088</v>
      </c>
      <c r="E2191" s="75" t="str">
        <f>VLOOKUP(B2191&amp;C2191,Divipola!$C$2:$F$1138,4,FALSE)</f>
        <v>66001</v>
      </c>
      <c r="F2191" s="87">
        <v>1</v>
      </c>
      <c r="G2191" s="87"/>
      <c r="H2191" s="87"/>
      <c r="I2191" s="87"/>
      <c r="J2191" s="87"/>
      <c r="K2191" s="87"/>
      <c r="L2191" s="87"/>
      <c r="M2191" s="87"/>
      <c r="N2191" s="87"/>
      <c r="O2191" s="87"/>
      <c r="P2191" s="87"/>
      <c r="Q2191" s="87"/>
      <c r="R2191" s="87"/>
      <c r="S2191" s="87"/>
      <c r="T2191" s="87"/>
      <c r="U2191" s="88"/>
      <c r="V2191" s="89"/>
      <c r="W2191" s="96">
        <v>0</v>
      </c>
      <c r="X2191" s="71">
        <f>CU2191</f>
        <v>0</v>
      </c>
      <c r="Y2191" s="71">
        <f>CY2191</f>
        <v>0</v>
      </c>
      <c r="Z2191" s="71">
        <f>DA2191+DC2191+DE2191</f>
        <v>0</v>
      </c>
      <c r="AA2191" s="71">
        <f>CW2191</f>
        <v>0</v>
      </c>
      <c r="AB2191" s="71"/>
      <c r="AC2191" s="71">
        <v>0</v>
      </c>
      <c r="AD2191" s="71">
        <f>W2191+X2191+Y2191+Z2191+AA2191+AB2191+AC2191</f>
        <v>0</v>
      </c>
      <c r="AE2191" s="72">
        <v>0</v>
      </c>
      <c r="AF2191" s="5"/>
      <c r="AG2191" s="6"/>
      <c r="AH2191" s="27" t="s">
        <v>3392</v>
      </c>
      <c r="AI2191" s="44" t="s">
        <v>3393</v>
      </c>
      <c r="AJ2191" s="26"/>
      <c r="AK2191" s="5"/>
      <c r="AL2191" s="82" t="s">
        <v>5045</v>
      </c>
      <c r="AM2191" s="76"/>
      <c r="AN2191" s="76"/>
      <c r="AO2191" s="76"/>
      <c r="AP2191" s="76"/>
      <c r="AQ2191" s="76"/>
      <c r="AR2191" s="76"/>
      <c r="AS2191" s="76"/>
      <c r="AT2191" s="76"/>
      <c r="AU2191" s="76"/>
      <c r="AV2191" s="76"/>
      <c r="AW2191" s="76"/>
      <c r="AX2191" s="76">
        <f>+AW2191*600000</f>
        <v>0</v>
      </c>
      <c r="AY2191" s="76"/>
      <c r="AZ2191" s="76">
        <f>+AY2191*70000</f>
        <v>0</v>
      </c>
      <c r="BA2191" s="76"/>
      <c r="BB2191" s="76"/>
      <c r="BC2191" s="76"/>
      <c r="BD2191" s="76">
        <f>+BC2191*30000</f>
        <v>0</v>
      </c>
      <c r="BE2191" s="76"/>
      <c r="BF2191" s="76"/>
      <c r="BG2191" s="76"/>
      <c r="BH2191" s="76"/>
      <c r="BI2191" s="76"/>
      <c r="BJ2191" s="76"/>
      <c r="BK2191" s="76"/>
      <c r="BL2191" s="76">
        <f>+BK2191*31500</f>
        <v>0</v>
      </c>
      <c r="BM2191" s="76"/>
      <c r="BN2191" s="76"/>
      <c r="BO2191" s="76"/>
      <c r="BP2191" s="76"/>
      <c r="BQ2191" s="76"/>
      <c r="BR2191" s="76"/>
      <c r="BS2191" s="76"/>
      <c r="BT2191" s="76"/>
      <c r="BU2191" s="76"/>
      <c r="BV2191" s="76"/>
      <c r="BW2191" s="76"/>
      <c r="BX2191" s="76"/>
      <c r="BY2191" s="76"/>
      <c r="BZ2191" s="76"/>
      <c r="CA2191" s="76"/>
      <c r="CB2191" s="76"/>
      <c r="CC2191" s="76"/>
      <c r="CD2191" s="76"/>
      <c r="CE2191" s="76"/>
      <c r="CF2191" s="76">
        <f>+CE2191*28000</f>
        <v>0</v>
      </c>
      <c r="CG2191" s="76"/>
      <c r="CH2191" s="76">
        <f>+CG2191*22500</f>
        <v>0</v>
      </c>
      <c r="CI2191" s="76"/>
      <c r="CJ2191" s="76">
        <f>+CI2191*26000</f>
        <v>0</v>
      </c>
      <c r="CK2191" s="76"/>
      <c r="CL2191" s="76"/>
      <c r="CM2191" s="76"/>
      <c r="CN2191" s="76">
        <f>+CM2191*22000</f>
        <v>0</v>
      </c>
      <c r="CO2191" s="76"/>
      <c r="CP2191" s="76">
        <f>+CO2191*46000</f>
        <v>0</v>
      </c>
      <c r="CQ2191" s="76"/>
      <c r="CR2191" s="76">
        <f>+CQ2191*49000</f>
        <v>0</v>
      </c>
      <c r="CS2191" s="76"/>
      <c r="CT2191" s="76"/>
      <c r="CU2191" s="56">
        <f>AN2191+AP2191+AR2191+AT2191+AV2191+AX2191+AZ2191+BB2191+BD2191+BF2191+BH2191+BJ2191+BL2191+BN2191+BP2191+BR2191+BT2191+BV2191+BX2191+BZ2191+CB2191+CD2191+CF2191+CH2191+CJ2191+CL2191+CN2191+CP2191+CR2191+CT2191</f>
        <v>0</v>
      </c>
      <c r="CV2191" s="76"/>
      <c r="CW2191" s="76">
        <f>+CV2191*1100</f>
        <v>0</v>
      </c>
      <c r="CX2191" s="76"/>
      <c r="CY2191" s="76">
        <f>+CX2191*106250</f>
        <v>0</v>
      </c>
      <c r="CZ2191" s="76"/>
      <c r="DA2191" s="76">
        <f>+CZ2191*34500</f>
        <v>0</v>
      </c>
      <c r="DB2191" s="76"/>
      <c r="DC2191" s="76">
        <f>+DB2191*25000</f>
        <v>0</v>
      </c>
      <c r="DD2191" s="219"/>
      <c r="DE2191" s="219"/>
      <c r="DF2191" s="166"/>
      <c r="DG2191" s="116"/>
      <c r="DH2191" s="117"/>
      <c r="DI2191" s="24"/>
      <c r="DJ2191" s="24"/>
      <c r="DK2191" s="24"/>
      <c r="DL2191" s="24"/>
      <c r="DM2191" s="24"/>
      <c r="DN2191" s="24"/>
      <c r="DO2191" s="24"/>
      <c r="DP2191" s="24"/>
      <c r="DQ2191" s="24"/>
      <c r="DR2191" s="24"/>
      <c r="DS2191" s="24"/>
      <c r="DT2191" s="24"/>
      <c r="DU2191" s="24"/>
    </row>
    <row r="2192" spans="1:125" s="8" customFormat="1" ht="48" x14ac:dyDescent="0.2">
      <c r="A2192" s="77">
        <v>41450</v>
      </c>
      <c r="B2192" s="78" t="s">
        <v>2774</v>
      </c>
      <c r="C2192" s="75" t="s">
        <v>2790</v>
      </c>
      <c r="D2192" s="75" t="s">
        <v>3051</v>
      </c>
      <c r="E2192" s="75" t="str">
        <f>VLOOKUP(B2192&amp;C2192,Divipola!$C$2:$F$1138,4,FALSE)</f>
        <v>66682</v>
      </c>
      <c r="F2192" s="163"/>
      <c r="G2192" s="163"/>
      <c r="H2192" s="163"/>
      <c r="I2192" s="163"/>
      <c r="J2192" s="163"/>
      <c r="K2192" s="163"/>
      <c r="L2192" s="163"/>
      <c r="M2192" s="163"/>
      <c r="N2192" s="163"/>
      <c r="O2192" s="163"/>
      <c r="P2192" s="163"/>
      <c r="Q2192" s="163"/>
      <c r="R2192" s="163"/>
      <c r="S2192" s="163"/>
      <c r="T2192" s="163"/>
      <c r="U2192" s="163"/>
      <c r="V2192" s="134"/>
      <c r="W2192" s="96">
        <f>11250000+10500000</f>
        <v>21750000</v>
      </c>
      <c r="X2192" s="71">
        <f>CU2192</f>
        <v>0</v>
      </c>
      <c r="Y2192" s="71">
        <f>CY2192</f>
        <v>0</v>
      </c>
      <c r="Z2192" s="71">
        <f>DA2192+DC2192+DE2192</f>
        <v>0</v>
      </c>
      <c r="AA2192" s="71">
        <f>CW2192</f>
        <v>0</v>
      </c>
      <c r="AB2192" s="71"/>
      <c r="AC2192" s="71">
        <v>0</v>
      </c>
      <c r="AD2192" s="71">
        <f>W2192+X2192+Y2192+Z2192+AA2192+AB2192+AC2192</f>
        <v>21750000</v>
      </c>
      <c r="AE2192" s="72">
        <v>0</v>
      </c>
      <c r="AF2192" s="5"/>
      <c r="AG2192" s="6"/>
      <c r="AH2192" s="27" t="s">
        <v>3390</v>
      </c>
      <c r="AI2192" s="44" t="s">
        <v>3391</v>
      </c>
      <c r="AJ2192" s="26"/>
      <c r="AK2192" s="5"/>
      <c r="AL2192" s="82" t="s">
        <v>5031</v>
      </c>
      <c r="AM2192" s="76"/>
      <c r="AN2192" s="76"/>
      <c r="AO2192" s="76"/>
      <c r="AP2192" s="76"/>
      <c r="AQ2192" s="76"/>
      <c r="AR2192" s="76"/>
      <c r="AS2192" s="76"/>
      <c r="AT2192" s="76"/>
      <c r="AU2192" s="76"/>
      <c r="AV2192" s="76"/>
      <c r="AW2192" s="76"/>
      <c r="AX2192" s="76">
        <f>+AW2192*600000</f>
        <v>0</v>
      </c>
      <c r="AY2192" s="76"/>
      <c r="AZ2192" s="76">
        <f>+AY2192*70000</f>
        <v>0</v>
      </c>
      <c r="BA2192" s="76"/>
      <c r="BB2192" s="76"/>
      <c r="BC2192" s="76"/>
      <c r="BD2192" s="76">
        <f>+BC2192*30000</f>
        <v>0</v>
      </c>
      <c r="BE2192" s="76"/>
      <c r="BF2192" s="76"/>
      <c r="BG2192" s="76"/>
      <c r="BH2192" s="76"/>
      <c r="BI2192" s="76"/>
      <c r="BJ2192" s="76"/>
      <c r="BK2192" s="76"/>
      <c r="BL2192" s="76">
        <f>+BK2192*31500</f>
        <v>0</v>
      </c>
      <c r="BM2192" s="76"/>
      <c r="BN2192" s="76"/>
      <c r="BO2192" s="76"/>
      <c r="BP2192" s="76"/>
      <c r="BQ2192" s="76"/>
      <c r="BR2192" s="76"/>
      <c r="BS2192" s="76"/>
      <c r="BT2192" s="76"/>
      <c r="BU2192" s="76"/>
      <c r="BV2192" s="76"/>
      <c r="BW2192" s="76"/>
      <c r="BX2192" s="76"/>
      <c r="BY2192" s="76"/>
      <c r="BZ2192" s="76"/>
      <c r="CA2192" s="76"/>
      <c r="CB2192" s="76"/>
      <c r="CC2192" s="76"/>
      <c r="CD2192" s="76"/>
      <c r="CE2192" s="76"/>
      <c r="CF2192" s="76">
        <f>+CE2192*28000</f>
        <v>0</v>
      </c>
      <c r="CG2192" s="76"/>
      <c r="CH2192" s="76">
        <f>+CG2192*22500</f>
        <v>0</v>
      </c>
      <c r="CI2192" s="76"/>
      <c r="CJ2192" s="76">
        <f>+CI2192*26000</f>
        <v>0</v>
      </c>
      <c r="CK2192" s="76"/>
      <c r="CL2192" s="76"/>
      <c r="CM2192" s="76"/>
      <c r="CN2192" s="76">
        <f>+CM2192*22000</f>
        <v>0</v>
      </c>
      <c r="CO2192" s="76"/>
      <c r="CP2192" s="76">
        <f>+CO2192*46000</f>
        <v>0</v>
      </c>
      <c r="CQ2192" s="76"/>
      <c r="CR2192" s="76">
        <f>+CQ2192*49000</f>
        <v>0</v>
      </c>
      <c r="CS2192" s="76"/>
      <c r="CT2192" s="76"/>
      <c r="CU2192" s="56">
        <f>AN2192+AP2192+AR2192+AT2192+AV2192+AX2192+AZ2192+BB2192+BD2192+BF2192+BH2192+BJ2192+BL2192+BN2192+BP2192+BR2192+BT2192+BV2192+BX2192+BZ2192+CB2192+CD2192+CF2192+CH2192+CJ2192+CL2192+CN2192+CP2192+CR2192+CT2192</f>
        <v>0</v>
      </c>
      <c r="CV2192" s="76"/>
      <c r="CW2192" s="76">
        <f>+CV2192*1100</f>
        <v>0</v>
      </c>
      <c r="CX2192" s="76"/>
      <c r="CY2192" s="76">
        <f>+CX2192*106250</f>
        <v>0</v>
      </c>
      <c r="CZ2192" s="76"/>
      <c r="DA2192" s="76">
        <f>+CZ2192*34500</f>
        <v>0</v>
      </c>
      <c r="DB2192" s="76"/>
      <c r="DC2192" s="76">
        <f>+DB2192*25000</f>
        <v>0</v>
      </c>
      <c r="DD2192" s="219"/>
      <c r="DE2192" s="219"/>
      <c r="DF2192" s="166"/>
      <c r="DG2192" s="116"/>
      <c r="DH2192" s="117"/>
      <c r="DI2192" s="24"/>
      <c r="DJ2192" s="24"/>
      <c r="DK2192" s="24"/>
      <c r="DL2192" s="24"/>
      <c r="DM2192" s="24"/>
      <c r="DN2192" s="24"/>
      <c r="DO2192" s="24"/>
      <c r="DP2192" s="24"/>
      <c r="DQ2192" s="24"/>
      <c r="DR2192" s="24"/>
      <c r="DS2192" s="24"/>
      <c r="DT2192" s="24"/>
      <c r="DU2192" s="24"/>
    </row>
    <row r="2193" spans="1:125" s="8" customFormat="1" ht="60" x14ac:dyDescent="0.2">
      <c r="A2193" s="353">
        <v>41450</v>
      </c>
      <c r="B2193" s="352" t="s">
        <v>2848</v>
      </c>
      <c r="C2193" s="227" t="s">
        <v>2077</v>
      </c>
      <c r="D2193" s="227" t="s">
        <v>3051</v>
      </c>
      <c r="E2193" s="75" t="str">
        <f>VLOOKUP(B2193&amp;C2193,Divipola!$C$2:$F$1138,4,FALSE)</f>
        <v>73411</v>
      </c>
      <c r="F2193" s="87"/>
      <c r="G2193" s="87"/>
      <c r="H2193" s="87"/>
      <c r="I2193" s="87">
        <v>15</v>
      </c>
      <c r="J2193" s="87">
        <v>3</v>
      </c>
      <c r="K2193" s="87"/>
      <c r="L2193" s="87">
        <v>3</v>
      </c>
      <c r="M2193" s="87"/>
      <c r="N2193" s="87"/>
      <c r="O2193" s="87"/>
      <c r="P2193" s="87"/>
      <c r="Q2193" s="87"/>
      <c r="R2193" s="87"/>
      <c r="S2193" s="87"/>
      <c r="T2193" s="87"/>
      <c r="U2193" s="88"/>
      <c r="V2193" s="89"/>
      <c r="W2193" s="96">
        <v>0</v>
      </c>
      <c r="X2193" s="71">
        <f>CU2193</f>
        <v>0</v>
      </c>
      <c r="Y2193" s="71">
        <f>CY2193</f>
        <v>0</v>
      </c>
      <c r="Z2193" s="71">
        <f>DA2193+DC2193+DE2193</f>
        <v>0</v>
      </c>
      <c r="AA2193" s="71">
        <f>CW2193</f>
        <v>0</v>
      </c>
      <c r="AB2193" s="71"/>
      <c r="AC2193" s="71">
        <v>0</v>
      </c>
      <c r="AD2193" s="71">
        <f>W2193+X2193+Y2193+Z2193+AA2193+AB2193+AC2193</f>
        <v>0</v>
      </c>
      <c r="AE2193" s="72">
        <v>0</v>
      </c>
      <c r="AF2193" s="5"/>
      <c r="AG2193" s="6"/>
      <c r="AH2193" s="27" t="s">
        <v>3392</v>
      </c>
      <c r="AI2193" s="44" t="s">
        <v>3393</v>
      </c>
      <c r="AJ2193" s="26"/>
      <c r="AK2193" s="5"/>
      <c r="AL2193" s="82" t="s">
        <v>5044</v>
      </c>
      <c r="AM2193" s="76"/>
      <c r="AN2193" s="76"/>
      <c r="AO2193" s="76"/>
      <c r="AP2193" s="76"/>
      <c r="AQ2193" s="76"/>
      <c r="AR2193" s="76"/>
      <c r="AS2193" s="76"/>
      <c r="AT2193" s="76"/>
      <c r="AU2193" s="76"/>
      <c r="AV2193" s="76"/>
      <c r="AW2193" s="76"/>
      <c r="AX2193" s="76">
        <f>+AW2193*600000</f>
        <v>0</v>
      </c>
      <c r="AY2193" s="76"/>
      <c r="AZ2193" s="76">
        <f>+AY2193*70000</f>
        <v>0</v>
      </c>
      <c r="BA2193" s="76"/>
      <c r="BB2193" s="76"/>
      <c r="BC2193" s="76"/>
      <c r="BD2193" s="76">
        <f>+BC2193*30000</f>
        <v>0</v>
      </c>
      <c r="BE2193" s="76"/>
      <c r="BF2193" s="76"/>
      <c r="BG2193" s="76"/>
      <c r="BH2193" s="76"/>
      <c r="BI2193" s="76"/>
      <c r="BJ2193" s="76"/>
      <c r="BK2193" s="76"/>
      <c r="BL2193" s="76">
        <f>+BK2193*31500</f>
        <v>0</v>
      </c>
      <c r="BM2193" s="76"/>
      <c r="BN2193" s="76"/>
      <c r="BO2193" s="76"/>
      <c r="BP2193" s="76"/>
      <c r="BQ2193" s="76"/>
      <c r="BR2193" s="76"/>
      <c r="BS2193" s="76"/>
      <c r="BT2193" s="76"/>
      <c r="BU2193" s="76"/>
      <c r="BV2193" s="76"/>
      <c r="BW2193" s="76"/>
      <c r="BX2193" s="76"/>
      <c r="BY2193" s="76"/>
      <c r="BZ2193" s="76"/>
      <c r="CA2193" s="76"/>
      <c r="CB2193" s="76"/>
      <c r="CC2193" s="76"/>
      <c r="CD2193" s="76"/>
      <c r="CE2193" s="76"/>
      <c r="CF2193" s="76">
        <f>+CE2193*28000</f>
        <v>0</v>
      </c>
      <c r="CG2193" s="76"/>
      <c r="CH2193" s="76">
        <f>+CG2193*22500</f>
        <v>0</v>
      </c>
      <c r="CI2193" s="76"/>
      <c r="CJ2193" s="76">
        <f>+CI2193*26000</f>
        <v>0</v>
      </c>
      <c r="CK2193" s="76"/>
      <c r="CL2193" s="76"/>
      <c r="CM2193" s="76"/>
      <c r="CN2193" s="76">
        <f>+CM2193*22000</f>
        <v>0</v>
      </c>
      <c r="CO2193" s="76"/>
      <c r="CP2193" s="76">
        <f>+CO2193*46000</f>
        <v>0</v>
      </c>
      <c r="CQ2193" s="76"/>
      <c r="CR2193" s="76">
        <f>+CQ2193*49000</f>
        <v>0</v>
      </c>
      <c r="CS2193" s="76"/>
      <c r="CT2193" s="76"/>
      <c r="CU2193" s="56">
        <f>AN2193+AP2193+AR2193+AT2193+AV2193+AX2193+AZ2193+BB2193+BD2193+BF2193+BH2193+BJ2193+BL2193+BN2193+BP2193+BR2193+BT2193+BV2193+BX2193+BZ2193+CB2193+CD2193+CF2193+CH2193+CJ2193+CL2193+CN2193+CP2193+CR2193+CT2193</f>
        <v>0</v>
      </c>
      <c r="CV2193" s="76"/>
      <c r="CW2193" s="76">
        <f>+CV2193*1100</f>
        <v>0</v>
      </c>
      <c r="CX2193" s="76"/>
      <c r="CY2193" s="76">
        <f>+CX2193*106250</f>
        <v>0</v>
      </c>
      <c r="CZ2193" s="76"/>
      <c r="DA2193" s="76">
        <f>+CZ2193*34500</f>
        <v>0</v>
      </c>
      <c r="DB2193" s="76"/>
      <c r="DC2193" s="76">
        <f>+DB2193*25000</f>
        <v>0</v>
      </c>
      <c r="DD2193" s="219"/>
      <c r="DE2193" s="219"/>
      <c r="DF2193" s="166"/>
      <c r="DG2193" s="116"/>
      <c r="DH2193" s="117"/>
      <c r="DI2193" s="24"/>
      <c r="DJ2193" s="24"/>
      <c r="DK2193" s="24"/>
      <c r="DL2193" s="24"/>
      <c r="DM2193" s="24"/>
      <c r="DN2193" s="24"/>
      <c r="DO2193" s="24"/>
      <c r="DP2193" s="24"/>
      <c r="DQ2193" s="24"/>
      <c r="DR2193" s="24"/>
      <c r="DS2193" s="24"/>
      <c r="DT2193" s="24"/>
      <c r="DU2193" s="24"/>
    </row>
    <row r="2194" spans="1:125" s="8" customFormat="1" ht="48" x14ac:dyDescent="0.2">
      <c r="A2194" s="353">
        <v>41450</v>
      </c>
      <c r="B2194" s="352" t="s">
        <v>2848</v>
      </c>
      <c r="C2194" s="354" t="s">
        <v>2211</v>
      </c>
      <c r="D2194" s="354" t="s">
        <v>2859</v>
      </c>
      <c r="E2194" s="75" t="str">
        <f>VLOOKUP(B2194&amp;C2194,Divipola!$C$2:$F$1138,4,FALSE)</f>
        <v>73861</v>
      </c>
      <c r="F2194" s="87"/>
      <c r="G2194" s="87"/>
      <c r="H2194" s="87"/>
      <c r="I2194" s="87"/>
      <c r="J2194" s="87"/>
      <c r="K2194" s="87"/>
      <c r="L2194" s="87"/>
      <c r="M2194" s="87"/>
      <c r="N2194" s="87"/>
      <c r="O2194" s="87"/>
      <c r="P2194" s="87"/>
      <c r="Q2194" s="87"/>
      <c r="R2194" s="87"/>
      <c r="S2194" s="87"/>
      <c r="T2194" s="87"/>
      <c r="U2194" s="88"/>
      <c r="V2194" s="89">
        <v>1</v>
      </c>
      <c r="W2194" s="96">
        <v>0</v>
      </c>
      <c r="X2194" s="71">
        <f>CU2194</f>
        <v>0</v>
      </c>
      <c r="Y2194" s="71">
        <f>CY2194</f>
        <v>0</v>
      </c>
      <c r="Z2194" s="71">
        <f>DA2194+DC2194+DE2194</f>
        <v>0</v>
      </c>
      <c r="AA2194" s="71">
        <f>CW2194</f>
        <v>0</v>
      </c>
      <c r="AB2194" s="71"/>
      <c r="AC2194" s="71">
        <v>0</v>
      </c>
      <c r="AD2194" s="71">
        <f>W2194+X2194+Y2194+Z2194+AA2194+AB2194+AC2194</f>
        <v>0</v>
      </c>
      <c r="AE2194" s="72">
        <v>0</v>
      </c>
      <c r="AF2194" s="5"/>
      <c r="AG2194" s="6"/>
      <c r="AH2194" s="27" t="s">
        <v>3392</v>
      </c>
      <c r="AI2194" s="44" t="s">
        <v>3393</v>
      </c>
      <c r="AJ2194" s="26"/>
      <c r="AK2194" s="5"/>
      <c r="AL2194" s="82" t="s">
        <v>5037</v>
      </c>
      <c r="AM2194" s="76"/>
      <c r="AN2194" s="76"/>
      <c r="AO2194" s="76"/>
      <c r="AP2194" s="76"/>
      <c r="AQ2194" s="76"/>
      <c r="AR2194" s="76"/>
      <c r="AS2194" s="76"/>
      <c r="AT2194" s="76"/>
      <c r="AU2194" s="76"/>
      <c r="AV2194" s="76"/>
      <c r="AW2194" s="76"/>
      <c r="AX2194" s="76">
        <f>+AW2194*600000</f>
        <v>0</v>
      </c>
      <c r="AY2194" s="76"/>
      <c r="AZ2194" s="76">
        <f>+AY2194*70000</f>
        <v>0</v>
      </c>
      <c r="BA2194" s="76"/>
      <c r="BB2194" s="76"/>
      <c r="BC2194" s="76"/>
      <c r="BD2194" s="76">
        <f>+BC2194*30000</f>
        <v>0</v>
      </c>
      <c r="BE2194" s="76"/>
      <c r="BF2194" s="76"/>
      <c r="BG2194" s="76"/>
      <c r="BH2194" s="76"/>
      <c r="BI2194" s="76"/>
      <c r="BJ2194" s="76"/>
      <c r="BK2194" s="76"/>
      <c r="BL2194" s="76">
        <f>+BK2194*31500</f>
        <v>0</v>
      </c>
      <c r="BM2194" s="76"/>
      <c r="BN2194" s="76"/>
      <c r="BO2194" s="76"/>
      <c r="BP2194" s="76"/>
      <c r="BQ2194" s="76"/>
      <c r="BR2194" s="76"/>
      <c r="BS2194" s="76"/>
      <c r="BT2194" s="76"/>
      <c r="BU2194" s="76"/>
      <c r="BV2194" s="76"/>
      <c r="BW2194" s="76"/>
      <c r="BX2194" s="76"/>
      <c r="BY2194" s="76"/>
      <c r="BZ2194" s="76"/>
      <c r="CA2194" s="76"/>
      <c r="CB2194" s="76"/>
      <c r="CC2194" s="76"/>
      <c r="CD2194" s="76"/>
      <c r="CE2194" s="76"/>
      <c r="CF2194" s="76">
        <f>+CE2194*28000</f>
        <v>0</v>
      </c>
      <c r="CG2194" s="76"/>
      <c r="CH2194" s="76">
        <f>+CG2194*22500</f>
        <v>0</v>
      </c>
      <c r="CI2194" s="76"/>
      <c r="CJ2194" s="76">
        <f>+CI2194*26000</f>
        <v>0</v>
      </c>
      <c r="CK2194" s="76"/>
      <c r="CL2194" s="76"/>
      <c r="CM2194" s="76"/>
      <c r="CN2194" s="76">
        <f>+CM2194*22000</f>
        <v>0</v>
      </c>
      <c r="CO2194" s="76"/>
      <c r="CP2194" s="76">
        <f>+CO2194*46000</f>
        <v>0</v>
      </c>
      <c r="CQ2194" s="76"/>
      <c r="CR2194" s="76">
        <f>+CQ2194*49000</f>
        <v>0</v>
      </c>
      <c r="CS2194" s="76"/>
      <c r="CT2194" s="76"/>
      <c r="CU2194" s="56">
        <f>AN2194+AP2194+AR2194+AT2194+AV2194+AX2194+AZ2194+BB2194+BD2194+BF2194+BH2194+BJ2194+BL2194+BN2194+BP2194+BR2194+BT2194+BV2194+BX2194+BZ2194+CB2194+CD2194+CF2194+CH2194+CJ2194+CL2194+CN2194+CP2194+CR2194+CT2194</f>
        <v>0</v>
      </c>
      <c r="CV2194" s="76"/>
      <c r="CW2194" s="76">
        <f>+CV2194*1100</f>
        <v>0</v>
      </c>
      <c r="CX2194" s="76"/>
      <c r="CY2194" s="76">
        <f>+CX2194*106250</f>
        <v>0</v>
      </c>
      <c r="CZ2194" s="76"/>
      <c r="DA2194" s="76">
        <f>+CZ2194*34500</f>
        <v>0</v>
      </c>
      <c r="DB2194" s="76"/>
      <c r="DC2194" s="76">
        <f>+DB2194*25000</f>
        <v>0</v>
      </c>
      <c r="DD2194" s="219"/>
      <c r="DE2194" s="219"/>
      <c r="DF2194" s="166"/>
      <c r="DG2194" s="116"/>
      <c r="DH2194" s="117"/>
      <c r="DI2194" s="24"/>
      <c r="DJ2194" s="24"/>
      <c r="DK2194" s="24"/>
      <c r="DL2194" s="24"/>
      <c r="DM2194" s="24"/>
      <c r="DN2194" s="24"/>
      <c r="DO2194" s="24"/>
      <c r="DP2194" s="24"/>
      <c r="DQ2194" s="24"/>
      <c r="DR2194" s="24"/>
      <c r="DS2194" s="24"/>
      <c r="DT2194" s="24"/>
      <c r="DU2194" s="24"/>
    </row>
    <row r="2195" spans="1:125" s="8" customFormat="1" ht="84" x14ac:dyDescent="0.2">
      <c r="A2195" s="77">
        <v>41451</v>
      </c>
      <c r="B2195" s="78" t="s">
        <v>2700</v>
      </c>
      <c r="C2195" s="75" t="s">
        <v>560</v>
      </c>
      <c r="D2195" s="75" t="s">
        <v>2846</v>
      </c>
      <c r="E2195" s="75" t="str">
        <f>VLOOKUP(B2195&amp;C2195,Divipola!$C$2:$F$1138,4,FALSE)</f>
        <v>15407</v>
      </c>
      <c r="F2195" s="87"/>
      <c r="G2195" s="87"/>
      <c r="H2195" s="87"/>
      <c r="I2195" s="87"/>
      <c r="J2195" s="87"/>
      <c r="K2195" s="87"/>
      <c r="L2195" s="87"/>
      <c r="M2195" s="87"/>
      <c r="N2195" s="87"/>
      <c r="O2195" s="87"/>
      <c r="P2195" s="87"/>
      <c r="Q2195" s="87"/>
      <c r="R2195" s="87"/>
      <c r="S2195" s="87"/>
      <c r="T2195" s="87"/>
      <c r="U2195" s="88"/>
      <c r="V2195" s="89"/>
      <c r="W2195" s="96">
        <v>0</v>
      </c>
      <c r="X2195" s="71">
        <f>CU2195</f>
        <v>0</v>
      </c>
      <c r="Y2195" s="71">
        <f>CY2195</f>
        <v>0</v>
      </c>
      <c r="Z2195" s="71">
        <f>DA2195+DC2195+DE2195</f>
        <v>0</v>
      </c>
      <c r="AA2195" s="71">
        <f>CW2195</f>
        <v>0</v>
      </c>
      <c r="AB2195" s="71"/>
      <c r="AC2195" s="71">
        <v>0</v>
      </c>
      <c r="AD2195" s="71">
        <f>W2195+X2195+Y2195+Z2195+AA2195+AB2195+AC2195</f>
        <v>0</v>
      </c>
      <c r="AE2195" s="72">
        <v>0</v>
      </c>
      <c r="AF2195" s="5"/>
      <c r="AG2195" s="6"/>
      <c r="AH2195" s="27" t="s">
        <v>3392</v>
      </c>
      <c r="AI2195" s="44" t="s">
        <v>3393</v>
      </c>
      <c r="AJ2195" s="26"/>
      <c r="AK2195" s="5"/>
      <c r="AL2195" s="82" t="s">
        <v>5049</v>
      </c>
      <c r="AM2195" s="76"/>
      <c r="AN2195" s="76"/>
      <c r="AO2195" s="76"/>
      <c r="AP2195" s="76"/>
      <c r="AQ2195" s="76"/>
      <c r="AR2195" s="76"/>
      <c r="AS2195" s="76"/>
      <c r="AT2195" s="76"/>
      <c r="AU2195" s="76"/>
      <c r="AV2195" s="76"/>
      <c r="AW2195" s="76"/>
      <c r="AX2195" s="76">
        <f>+AW2195*600000</f>
        <v>0</v>
      </c>
      <c r="AY2195" s="76"/>
      <c r="AZ2195" s="76">
        <f>+AY2195*70000</f>
        <v>0</v>
      </c>
      <c r="BA2195" s="76"/>
      <c r="BB2195" s="76"/>
      <c r="BC2195" s="76"/>
      <c r="BD2195" s="76">
        <f>+BC2195*30000</f>
        <v>0</v>
      </c>
      <c r="BE2195" s="76"/>
      <c r="BF2195" s="76"/>
      <c r="BG2195" s="76"/>
      <c r="BH2195" s="76"/>
      <c r="BI2195" s="76"/>
      <c r="BJ2195" s="76"/>
      <c r="BK2195" s="76"/>
      <c r="BL2195" s="76">
        <f>+BK2195*31500</f>
        <v>0</v>
      </c>
      <c r="BM2195" s="76"/>
      <c r="BN2195" s="76"/>
      <c r="BO2195" s="76"/>
      <c r="BP2195" s="76"/>
      <c r="BQ2195" s="76"/>
      <c r="BR2195" s="76"/>
      <c r="BS2195" s="76"/>
      <c r="BT2195" s="76"/>
      <c r="BU2195" s="76"/>
      <c r="BV2195" s="76"/>
      <c r="BW2195" s="76"/>
      <c r="BX2195" s="76"/>
      <c r="BY2195" s="76"/>
      <c r="BZ2195" s="76"/>
      <c r="CA2195" s="76"/>
      <c r="CB2195" s="76"/>
      <c r="CC2195" s="76"/>
      <c r="CD2195" s="76"/>
      <c r="CE2195" s="76"/>
      <c r="CF2195" s="76">
        <f>+CE2195*28000</f>
        <v>0</v>
      </c>
      <c r="CG2195" s="76"/>
      <c r="CH2195" s="76">
        <f>+CG2195*22500</f>
        <v>0</v>
      </c>
      <c r="CI2195" s="76"/>
      <c r="CJ2195" s="76">
        <f>+CI2195*26000</f>
        <v>0</v>
      </c>
      <c r="CK2195" s="76"/>
      <c r="CL2195" s="76"/>
      <c r="CM2195" s="76"/>
      <c r="CN2195" s="76">
        <f>+CM2195*22000</f>
        <v>0</v>
      </c>
      <c r="CO2195" s="76"/>
      <c r="CP2195" s="76">
        <f>+CO2195*46000</f>
        <v>0</v>
      </c>
      <c r="CQ2195" s="76"/>
      <c r="CR2195" s="76">
        <f>+CQ2195*49000</f>
        <v>0</v>
      </c>
      <c r="CS2195" s="76"/>
      <c r="CT2195" s="76"/>
      <c r="CU2195" s="56">
        <f>AN2195+AP2195+AR2195+AT2195+AV2195+AX2195+AZ2195+BB2195+BD2195+BF2195+BH2195+BJ2195+BL2195+BN2195+BP2195+BR2195+BT2195+BV2195+BX2195+BZ2195+CB2195+CD2195+CF2195+CH2195+CJ2195+CL2195+CN2195+CP2195+CR2195+CT2195</f>
        <v>0</v>
      </c>
      <c r="CV2195" s="76"/>
      <c r="CW2195" s="76">
        <f>+CV2195*1100</f>
        <v>0</v>
      </c>
      <c r="CX2195" s="76"/>
      <c r="CY2195" s="76">
        <f>+CX2195*106250</f>
        <v>0</v>
      </c>
      <c r="CZ2195" s="76"/>
      <c r="DA2195" s="76">
        <f>+CZ2195*34500</f>
        <v>0</v>
      </c>
      <c r="DB2195" s="76"/>
      <c r="DC2195" s="76">
        <f>+DB2195*25000</f>
        <v>0</v>
      </c>
      <c r="DD2195" s="219"/>
      <c r="DE2195" s="219"/>
      <c r="DF2195" s="166"/>
      <c r="DG2195" s="116"/>
      <c r="DH2195" s="117"/>
      <c r="DI2195" s="24"/>
      <c r="DJ2195" s="24"/>
      <c r="DK2195" s="24"/>
      <c r="DL2195" s="24"/>
      <c r="DM2195" s="24"/>
      <c r="DN2195" s="24"/>
      <c r="DO2195" s="24"/>
      <c r="DP2195" s="24"/>
      <c r="DQ2195" s="24"/>
      <c r="DR2195" s="24"/>
      <c r="DS2195" s="24"/>
      <c r="DT2195" s="24"/>
      <c r="DU2195" s="24"/>
    </row>
    <row r="2196" spans="1:125" s="8" customFormat="1" ht="24" x14ac:dyDescent="0.2">
      <c r="A2196" s="77">
        <v>41451</v>
      </c>
      <c r="B2196" s="208" t="s">
        <v>2811</v>
      </c>
      <c r="C2196" s="354" t="s">
        <v>129</v>
      </c>
      <c r="D2196" s="354" t="s">
        <v>2882</v>
      </c>
      <c r="E2196" s="75" t="str">
        <f>VLOOKUP(B2196&amp;C2196,Divipola!$C$2:$F$1138,4,FALSE)</f>
        <v>52203</v>
      </c>
      <c r="F2196" s="87"/>
      <c r="G2196" s="87"/>
      <c r="H2196" s="87"/>
      <c r="I2196" s="87">
        <v>50</v>
      </c>
      <c r="J2196" s="87">
        <v>10</v>
      </c>
      <c r="K2196" s="87"/>
      <c r="L2196" s="87">
        <v>10</v>
      </c>
      <c r="M2196" s="87"/>
      <c r="N2196" s="87"/>
      <c r="O2196" s="87"/>
      <c r="P2196" s="87"/>
      <c r="Q2196" s="87"/>
      <c r="R2196" s="87"/>
      <c r="S2196" s="87"/>
      <c r="T2196" s="87"/>
      <c r="U2196" s="88"/>
      <c r="V2196" s="89"/>
      <c r="W2196" s="96">
        <v>0</v>
      </c>
      <c r="X2196" s="71">
        <f>CU2196</f>
        <v>0</v>
      </c>
      <c r="Y2196" s="71">
        <f>CY2196</f>
        <v>0</v>
      </c>
      <c r="Z2196" s="71">
        <f>DA2196+DC2196+DE2196</f>
        <v>0</v>
      </c>
      <c r="AA2196" s="71">
        <f>CW2196</f>
        <v>0</v>
      </c>
      <c r="AB2196" s="71"/>
      <c r="AC2196" s="71">
        <v>0</v>
      </c>
      <c r="AD2196" s="71">
        <f>W2196+X2196+Y2196+Z2196+AA2196+AB2196+AC2196</f>
        <v>0</v>
      </c>
      <c r="AE2196" s="72">
        <v>0</v>
      </c>
      <c r="AF2196" s="5"/>
      <c r="AG2196" s="6"/>
      <c r="AH2196" s="27" t="s">
        <v>3392</v>
      </c>
      <c r="AI2196" s="44" t="s">
        <v>3393</v>
      </c>
      <c r="AJ2196" s="26"/>
      <c r="AK2196" s="5"/>
      <c r="AL2196" s="82" t="s">
        <v>5048</v>
      </c>
      <c r="AM2196" s="76"/>
      <c r="AN2196" s="76"/>
      <c r="AO2196" s="76"/>
      <c r="AP2196" s="76"/>
      <c r="AQ2196" s="76"/>
      <c r="AR2196" s="76"/>
      <c r="AS2196" s="76"/>
      <c r="AT2196" s="76"/>
      <c r="AU2196" s="76"/>
      <c r="AV2196" s="76"/>
      <c r="AW2196" s="76"/>
      <c r="AX2196" s="76">
        <f>+AW2196*600000</f>
        <v>0</v>
      </c>
      <c r="AY2196" s="76"/>
      <c r="AZ2196" s="76">
        <f>+AY2196*70000</f>
        <v>0</v>
      </c>
      <c r="BA2196" s="76"/>
      <c r="BB2196" s="76"/>
      <c r="BC2196" s="76"/>
      <c r="BD2196" s="76">
        <f>+BC2196*30000</f>
        <v>0</v>
      </c>
      <c r="BE2196" s="76"/>
      <c r="BF2196" s="76"/>
      <c r="BG2196" s="76"/>
      <c r="BH2196" s="76"/>
      <c r="BI2196" s="76"/>
      <c r="BJ2196" s="76"/>
      <c r="BK2196" s="76"/>
      <c r="BL2196" s="76">
        <f>+BK2196*31500</f>
        <v>0</v>
      </c>
      <c r="BM2196" s="76"/>
      <c r="BN2196" s="76"/>
      <c r="BO2196" s="76"/>
      <c r="BP2196" s="76"/>
      <c r="BQ2196" s="76"/>
      <c r="BR2196" s="76"/>
      <c r="BS2196" s="76"/>
      <c r="BT2196" s="76"/>
      <c r="BU2196" s="76"/>
      <c r="BV2196" s="76"/>
      <c r="BW2196" s="76"/>
      <c r="BX2196" s="76"/>
      <c r="BY2196" s="76"/>
      <c r="BZ2196" s="76"/>
      <c r="CA2196" s="76"/>
      <c r="CB2196" s="76"/>
      <c r="CC2196" s="76"/>
      <c r="CD2196" s="76"/>
      <c r="CE2196" s="76"/>
      <c r="CF2196" s="76">
        <f>+CE2196*28000</f>
        <v>0</v>
      </c>
      <c r="CG2196" s="76"/>
      <c r="CH2196" s="76">
        <f>+CG2196*22500</f>
        <v>0</v>
      </c>
      <c r="CI2196" s="76"/>
      <c r="CJ2196" s="76">
        <f>+CI2196*26000</f>
        <v>0</v>
      </c>
      <c r="CK2196" s="76"/>
      <c r="CL2196" s="76"/>
      <c r="CM2196" s="76"/>
      <c r="CN2196" s="76">
        <f>+CM2196*22000</f>
        <v>0</v>
      </c>
      <c r="CO2196" s="76"/>
      <c r="CP2196" s="76">
        <f>+CO2196*46000</f>
        <v>0</v>
      </c>
      <c r="CQ2196" s="76"/>
      <c r="CR2196" s="76">
        <f>+CQ2196*49000</f>
        <v>0</v>
      </c>
      <c r="CS2196" s="76"/>
      <c r="CT2196" s="76"/>
      <c r="CU2196" s="56">
        <f>AN2196+AP2196+AR2196+AT2196+AV2196+AX2196+AZ2196+BB2196+BD2196+BF2196+BH2196+BJ2196+BL2196+BN2196+BP2196+BR2196+BT2196+BV2196+BX2196+BZ2196+CB2196+CD2196+CF2196+CH2196+CJ2196+CL2196+CN2196+CP2196+CR2196+CT2196</f>
        <v>0</v>
      </c>
      <c r="CV2196" s="76"/>
      <c r="CW2196" s="76">
        <f>+CV2196*1100</f>
        <v>0</v>
      </c>
      <c r="CX2196" s="76"/>
      <c r="CY2196" s="76">
        <f>+CX2196*106250</f>
        <v>0</v>
      </c>
      <c r="CZ2196" s="76"/>
      <c r="DA2196" s="76">
        <f>+CZ2196*34500</f>
        <v>0</v>
      </c>
      <c r="DB2196" s="76"/>
      <c r="DC2196" s="76">
        <f>+DB2196*25000</f>
        <v>0</v>
      </c>
      <c r="DD2196" s="219"/>
      <c r="DE2196" s="219"/>
      <c r="DF2196" s="166"/>
      <c r="DG2196" s="116"/>
      <c r="DH2196" s="117"/>
      <c r="DI2196" s="24"/>
      <c r="DJ2196" s="24"/>
      <c r="DK2196" s="24"/>
      <c r="DL2196" s="24"/>
      <c r="DM2196" s="24"/>
      <c r="DN2196" s="24"/>
      <c r="DO2196" s="24"/>
      <c r="DP2196" s="24"/>
      <c r="DQ2196" s="24"/>
      <c r="DR2196" s="24"/>
      <c r="DS2196" s="24"/>
      <c r="DT2196" s="24"/>
      <c r="DU2196" s="24"/>
    </row>
    <row r="2197" spans="1:125" s="8" customFormat="1" ht="36" x14ac:dyDescent="0.2">
      <c r="A2197" s="77">
        <v>41451</v>
      </c>
      <c r="B2197" s="78" t="s">
        <v>2860</v>
      </c>
      <c r="C2197" s="75" t="s">
        <v>2173</v>
      </c>
      <c r="D2197" s="75" t="s">
        <v>2882</v>
      </c>
      <c r="E2197" s="75" t="str">
        <f>VLOOKUP(B2197&amp;C2197,Divipola!$C$2:$F$1138,4,FALSE)</f>
        <v>63470</v>
      </c>
      <c r="F2197" s="163"/>
      <c r="G2197" s="163"/>
      <c r="H2197" s="163"/>
      <c r="I2197" s="163">
        <v>5</v>
      </c>
      <c r="J2197" s="163">
        <v>1</v>
      </c>
      <c r="K2197" s="163"/>
      <c r="L2197" s="163">
        <v>1</v>
      </c>
      <c r="M2197" s="163"/>
      <c r="N2197" s="163"/>
      <c r="O2197" s="163"/>
      <c r="P2197" s="163"/>
      <c r="Q2197" s="163"/>
      <c r="R2197" s="163"/>
      <c r="S2197" s="163"/>
      <c r="T2197" s="163"/>
      <c r="U2197" s="163"/>
      <c r="V2197" s="134"/>
      <c r="W2197" s="96">
        <v>0</v>
      </c>
      <c r="X2197" s="71">
        <f>CU2197</f>
        <v>0</v>
      </c>
      <c r="Y2197" s="71">
        <f>CY2197</f>
        <v>0</v>
      </c>
      <c r="Z2197" s="71">
        <f>DA2197+DC2197+DE2197</f>
        <v>0</v>
      </c>
      <c r="AA2197" s="71">
        <f>CW2197</f>
        <v>0</v>
      </c>
      <c r="AB2197" s="71"/>
      <c r="AC2197" s="71">
        <v>0</v>
      </c>
      <c r="AD2197" s="71">
        <f>W2197+X2197+Y2197+Z2197+AA2197+AB2197+AC2197</f>
        <v>0</v>
      </c>
      <c r="AE2197" s="72">
        <v>0</v>
      </c>
      <c r="AF2197" s="5"/>
      <c r="AG2197" s="6"/>
      <c r="AH2197" s="27" t="s">
        <v>3392</v>
      </c>
      <c r="AI2197" s="44" t="s">
        <v>3393</v>
      </c>
      <c r="AJ2197" s="26"/>
      <c r="AK2197" s="5"/>
      <c r="AL2197" s="82" t="s">
        <v>5046</v>
      </c>
      <c r="AM2197" s="76"/>
      <c r="AN2197" s="76"/>
      <c r="AO2197" s="76"/>
      <c r="AP2197" s="76"/>
      <c r="AQ2197" s="76"/>
      <c r="AR2197" s="76"/>
      <c r="AS2197" s="76"/>
      <c r="AT2197" s="76"/>
      <c r="AU2197" s="76"/>
      <c r="AV2197" s="76"/>
      <c r="AW2197" s="76"/>
      <c r="AX2197" s="76">
        <f>+AW2197*600000</f>
        <v>0</v>
      </c>
      <c r="AY2197" s="76"/>
      <c r="AZ2197" s="76">
        <f>+AY2197*70000</f>
        <v>0</v>
      </c>
      <c r="BA2197" s="76"/>
      <c r="BB2197" s="76"/>
      <c r="BC2197" s="76"/>
      <c r="BD2197" s="76">
        <f>+BC2197*30000</f>
        <v>0</v>
      </c>
      <c r="BE2197" s="76"/>
      <c r="BF2197" s="76"/>
      <c r="BG2197" s="76"/>
      <c r="BH2197" s="76"/>
      <c r="BI2197" s="76"/>
      <c r="BJ2197" s="76"/>
      <c r="BK2197" s="76"/>
      <c r="BL2197" s="76">
        <f>+BK2197*31500</f>
        <v>0</v>
      </c>
      <c r="BM2197" s="76"/>
      <c r="BN2197" s="76"/>
      <c r="BO2197" s="76"/>
      <c r="BP2197" s="76"/>
      <c r="BQ2197" s="76"/>
      <c r="BR2197" s="76"/>
      <c r="BS2197" s="76"/>
      <c r="BT2197" s="76"/>
      <c r="BU2197" s="76"/>
      <c r="BV2197" s="76"/>
      <c r="BW2197" s="76"/>
      <c r="BX2197" s="76"/>
      <c r="BY2197" s="76"/>
      <c r="BZ2197" s="76"/>
      <c r="CA2197" s="76"/>
      <c r="CB2197" s="76"/>
      <c r="CC2197" s="76"/>
      <c r="CD2197" s="76"/>
      <c r="CE2197" s="76"/>
      <c r="CF2197" s="76">
        <f>+CE2197*28000</f>
        <v>0</v>
      </c>
      <c r="CG2197" s="76"/>
      <c r="CH2197" s="76">
        <f>+CG2197*22500</f>
        <v>0</v>
      </c>
      <c r="CI2197" s="76"/>
      <c r="CJ2197" s="76">
        <f>+CI2197*26000</f>
        <v>0</v>
      </c>
      <c r="CK2197" s="76"/>
      <c r="CL2197" s="76"/>
      <c r="CM2197" s="76"/>
      <c r="CN2197" s="76">
        <f>+CM2197*22000</f>
        <v>0</v>
      </c>
      <c r="CO2197" s="76"/>
      <c r="CP2197" s="76">
        <f>+CO2197*46000</f>
        <v>0</v>
      </c>
      <c r="CQ2197" s="76"/>
      <c r="CR2197" s="76">
        <f>+CQ2197*49000</f>
        <v>0</v>
      </c>
      <c r="CS2197" s="76"/>
      <c r="CT2197" s="76"/>
      <c r="CU2197" s="56">
        <f>AN2197+AP2197+AR2197+AT2197+AV2197+AX2197+AZ2197+BB2197+BD2197+BF2197+BH2197+BJ2197+BL2197+BN2197+BP2197+BR2197+BT2197+BV2197+BX2197+BZ2197+CB2197+CD2197+CF2197+CH2197+CJ2197+CL2197+CN2197+CP2197+CR2197+CT2197</f>
        <v>0</v>
      </c>
      <c r="CV2197" s="76"/>
      <c r="CW2197" s="76">
        <f>+CV2197*1100</f>
        <v>0</v>
      </c>
      <c r="CX2197" s="76"/>
      <c r="CY2197" s="76">
        <f>+CX2197*106250</f>
        <v>0</v>
      </c>
      <c r="CZ2197" s="76"/>
      <c r="DA2197" s="76">
        <f>+CZ2197*34500</f>
        <v>0</v>
      </c>
      <c r="DB2197" s="76"/>
      <c r="DC2197" s="76">
        <f>+DB2197*25000</f>
        <v>0</v>
      </c>
      <c r="DD2197" s="219"/>
      <c r="DE2197" s="219"/>
      <c r="DF2197" s="166"/>
      <c r="DG2197" s="116"/>
      <c r="DH2197" s="117"/>
      <c r="DI2197" s="24"/>
      <c r="DJ2197" s="24"/>
      <c r="DK2197" s="24"/>
      <c r="DL2197" s="24"/>
      <c r="DM2197" s="24"/>
      <c r="DN2197" s="24"/>
      <c r="DO2197" s="24"/>
      <c r="DP2197" s="24"/>
      <c r="DQ2197" s="24"/>
      <c r="DR2197" s="24"/>
      <c r="DS2197" s="24"/>
      <c r="DT2197" s="24"/>
      <c r="DU2197" s="24"/>
    </row>
    <row r="2198" spans="1:125" s="8" customFormat="1" ht="108" x14ac:dyDescent="0.2">
      <c r="A2198" s="77">
        <v>41451</v>
      </c>
      <c r="B2198" s="225" t="s">
        <v>2774</v>
      </c>
      <c r="C2198" s="227" t="s">
        <v>1347</v>
      </c>
      <c r="D2198" s="227" t="s">
        <v>4391</v>
      </c>
      <c r="E2198" s="75" t="str">
        <f>VLOOKUP(B2198&amp;C2198,Divipola!$C$2:$F$1138,4,FALSE)</f>
        <v>66001</v>
      </c>
      <c r="F2198" s="163">
        <v>1</v>
      </c>
      <c r="G2198" s="163"/>
      <c r="H2198" s="163"/>
      <c r="I2198" s="163"/>
      <c r="J2198" s="163"/>
      <c r="K2198" s="163"/>
      <c r="L2198" s="163"/>
      <c r="M2198" s="163"/>
      <c r="N2198" s="163"/>
      <c r="O2198" s="163"/>
      <c r="P2198" s="163"/>
      <c r="Q2198" s="163"/>
      <c r="R2198" s="163"/>
      <c r="S2198" s="163"/>
      <c r="T2198" s="163"/>
      <c r="U2198" s="163"/>
      <c r="V2198" s="134"/>
      <c r="W2198" s="96">
        <v>0</v>
      </c>
      <c r="X2198" s="71">
        <f>CU2198</f>
        <v>0</v>
      </c>
      <c r="Y2198" s="71">
        <f>CY2198</f>
        <v>0</v>
      </c>
      <c r="Z2198" s="71">
        <f>DA2198+DC2198+DE2198</f>
        <v>0</v>
      </c>
      <c r="AA2198" s="71">
        <f>CW2198</f>
        <v>0</v>
      </c>
      <c r="AB2198" s="71"/>
      <c r="AC2198" s="71">
        <v>0</v>
      </c>
      <c r="AD2198" s="71">
        <f>W2198+X2198+Y2198+Z2198+AA2198+AB2198+AC2198</f>
        <v>0</v>
      </c>
      <c r="AE2198" s="72">
        <v>0</v>
      </c>
      <c r="AF2198" s="5"/>
      <c r="AG2198" s="6"/>
      <c r="AH2198" s="27" t="s">
        <v>3392</v>
      </c>
      <c r="AI2198" s="44" t="s">
        <v>3393</v>
      </c>
      <c r="AJ2198" s="26"/>
      <c r="AK2198" s="5"/>
      <c r="AL2198" s="82" t="s">
        <v>5047</v>
      </c>
      <c r="AM2198" s="76"/>
      <c r="AN2198" s="76"/>
      <c r="AO2198" s="76"/>
      <c r="AP2198" s="76"/>
      <c r="AQ2198" s="76"/>
      <c r="AR2198" s="76"/>
      <c r="AS2198" s="76"/>
      <c r="AT2198" s="76"/>
      <c r="AU2198" s="76"/>
      <c r="AV2198" s="76"/>
      <c r="AW2198" s="76"/>
      <c r="AX2198" s="76">
        <f>+AW2198*600000</f>
        <v>0</v>
      </c>
      <c r="AY2198" s="76"/>
      <c r="AZ2198" s="76">
        <f>+AY2198*70000</f>
        <v>0</v>
      </c>
      <c r="BA2198" s="76"/>
      <c r="BB2198" s="76"/>
      <c r="BC2198" s="76"/>
      <c r="BD2198" s="76">
        <f>+BC2198*30000</f>
        <v>0</v>
      </c>
      <c r="BE2198" s="76"/>
      <c r="BF2198" s="76"/>
      <c r="BG2198" s="76"/>
      <c r="BH2198" s="76"/>
      <c r="BI2198" s="76"/>
      <c r="BJ2198" s="76"/>
      <c r="BK2198" s="76"/>
      <c r="BL2198" s="76">
        <f>+BK2198*31500</f>
        <v>0</v>
      </c>
      <c r="BM2198" s="76"/>
      <c r="BN2198" s="76"/>
      <c r="BO2198" s="76"/>
      <c r="BP2198" s="76"/>
      <c r="BQ2198" s="76"/>
      <c r="BR2198" s="76"/>
      <c r="BS2198" s="76"/>
      <c r="BT2198" s="76"/>
      <c r="BU2198" s="76"/>
      <c r="BV2198" s="76"/>
      <c r="BW2198" s="76"/>
      <c r="BX2198" s="76"/>
      <c r="BY2198" s="76"/>
      <c r="BZ2198" s="76"/>
      <c r="CA2198" s="76"/>
      <c r="CB2198" s="76"/>
      <c r="CC2198" s="76"/>
      <c r="CD2198" s="76"/>
      <c r="CE2198" s="76"/>
      <c r="CF2198" s="76">
        <f>+CE2198*28000</f>
        <v>0</v>
      </c>
      <c r="CG2198" s="76"/>
      <c r="CH2198" s="76">
        <f>+CG2198*22500</f>
        <v>0</v>
      </c>
      <c r="CI2198" s="76"/>
      <c r="CJ2198" s="76">
        <f>+CI2198*26000</f>
        <v>0</v>
      </c>
      <c r="CK2198" s="76"/>
      <c r="CL2198" s="76"/>
      <c r="CM2198" s="76"/>
      <c r="CN2198" s="76">
        <f>+CM2198*22000</f>
        <v>0</v>
      </c>
      <c r="CO2198" s="76"/>
      <c r="CP2198" s="76">
        <f>+CO2198*46000</f>
        <v>0</v>
      </c>
      <c r="CQ2198" s="76"/>
      <c r="CR2198" s="76">
        <f>+CQ2198*49000</f>
        <v>0</v>
      </c>
      <c r="CS2198" s="76"/>
      <c r="CT2198" s="76"/>
      <c r="CU2198" s="56">
        <f>AN2198+AP2198+AR2198+AT2198+AV2198+AX2198+AZ2198+BB2198+BD2198+BF2198+BH2198+BJ2198+BL2198+BN2198+BP2198+BR2198+BT2198+BV2198+BX2198+BZ2198+CB2198+CD2198+CF2198+CH2198+CJ2198+CL2198+CN2198+CP2198+CR2198+CT2198</f>
        <v>0</v>
      </c>
      <c r="CV2198" s="76"/>
      <c r="CW2198" s="76">
        <f>+CV2198*1100</f>
        <v>0</v>
      </c>
      <c r="CX2198" s="76"/>
      <c r="CY2198" s="76">
        <f>+CX2198*106250</f>
        <v>0</v>
      </c>
      <c r="CZ2198" s="76"/>
      <c r="DA2198" s="76">
        <f>+CZ2198*34500</f>
        <v>0</v>
      </c>
      <c r="DB2198" s="76"/>
      <c r="DC2198" s="76">
        <f>+DB2198*25000</f>
        <v>0</v>
      </c>
      <c r="DD2198" s="219"/>
      <c r="DE2198" s="219"/>
      <c r="DF2198" s="166"/>
      <c r="DG2198" s="116"/>
      <c r="DH2198" s="117"/>
      <c r="DI2198" s="24"/>
      <c r="DJ2198" s="24"/>
      <c r="DK2198" s="24"/>
      <c r="DL2198" s="24"/>
      <c r="DM2198" s="24"/>
      <c r="DN2198" s="24"/>
      <c r="DO2198" s="24"/>
      <c r="DP2198" s="24"/>
      <c r="DQ2198" s="24"/>
      <c r="DR2198" s="24"/>
      <c r="DS2198" s="24"/>
      <c r="DT2198" s="24"/>
      <c r="DU2198" s="24"/>
    </row>
    <row r="2199" spans="1:125" s="8" customFormat="1" ht="180" x14ac:dyDescent="0.2">
      <c r="A2199" s="353">
        <v>41451</v>
      </c>
      <c r="B2199" s="352" t="s">
        <v>2847</v>
      </c>
      <c r="C2199" s="354" t="s">
        <v>2136</v>
      </c>
      <c r="D2199" s="354" t="s">
        <v>2859</v>
      </c>
      <c r="E2199" s="75" t="str">
        <f>VLOOKUP(B2199&amp;C2199,Divipola!$C$2:$F$1138,4,FALSE)</f>
        <v>68689</v>
      </c>
      <c r="F2199" s="87"/>
      <c r="G2199" s="87"/>
      <c r="H2199" s="87"/>
      <c r="I2199" s="87">
        <v>5</v>
      </c>
      <c r="J2199" s="87">
        <v>1</v>
      </c>
      <c r="K2199" s="87"/>
      <c r="L2199" s="87">
        <v>1</v>
      </c>
      <c r="M2199" s="87"/>
      <c r="N2199" s="87"/>
      <c r="O2199" s="87"/>
      <c r="P2199" s="87"/>
      <c r="Q2199" s="87"/>
      <c r="R2199" s="87"/>
      <c r="S2199" s="87"/>
      <c r="T2199" s="87"/>
      <c r="U2199" s="88"/>
      <c r="V2199" s="89"/>
      <c r="W2199" s="96">
        <v>0</v>
      </c>
      <c r="X2199" s="71">
        <f>CU2199</f>
        <v>0</v>
      </c>
      <c r="Y2199" s="71">
        <f>CY2199</f>
        <v>0</v>
      </c>
      <c r="Z2199" s="71">
        <f>DA2199+DC2199+DE2199</f>
        <v>0</v>
      </c>
      <c r="AA2199" s="71">
        <f>CW2199</f>
        <v>0</v>
      </c>
      <c r="AB2199" s="71"/>
      <c r="AC2199" s="71">
        <v>0</v>
      </c>
      <c r="AD2199" s="71">
        <f>W2199+X2199+Y2199+Z2199+AA2199+AB2199+AC2199</f>
        <v>0</v>
      </c>
      <c r="AE2199" s="72">
        <v>0</v>
      </c>
      <c r="AF2199" s="5"/>
      <c r="AG2199" s="6"/>
      <c r="AH2199" s="27" t="s">
        <v>3392</v>
      </c>
      <c r="AI2199" s="44" t="s">
        <v>3393</v>
      </c>
      <c r="AJ2199" s="26"/>
      <c r="AK2199" s="5"/>
      <c r="AL2199" s="82" t="s">
        <v>5050</v>
      </c>
      <c r="AM2199" s="76"/>
      <c r="AN2199" s="76"/>
      <c r="AO2199" s="76"/>
      <c r="AP2199" s="76"/>
      <c r="AQ2199" s="76"/>
      <c r="AR2199" s="76"/>
      <c r="AS2199" s="76"/>
      <c r="AT2199" s="76"/>
      <c r="AU2199" s="76"/>
      <c r="AV2199" s="76"/>
      <c r="AW2199" s="76"/>
      <c r="AX2199" s="76">
        <f>+AW2199*600000</f>
        <v>0</v>
      </c>
      <c r="AY2199" s="76"/>
      <c r="AZ2199" s="76">
        <f>+AY2199*70000</f>
        <v>0</v>
      </c>
      <c r="BA2199" s="76"/>
      <c r="BB2199" s="76"/>
      <c r="BC2199" s="76"/>
      <c r="BD2199" s="76">
        <f>+BC2199*30000</f>
        <v>0</v>
      </c>
      <c r="BE2199" s="76"/>
      <c r="BF2199" s="76"/>
      <c r="BG2199" s="76"/>
      <c r="BH2199" s="76"/>
      <c r="BI2199" s="76"/>
      <c r="BJ2199" s="76"/>
      <c r="BK2199" s="76"/>
      <c r="BL2199" s="76">
        <f>+BK2199*31500</f>
        <v>0</v>
      </c>
      <c r="BM2199" s="76"/>
      <c r="BN2199" s="76"/>
      <c r="BO2199" s="76"/>
      <c r="BP2199" s="76"/>
      <c r="BQ2199" s="76"/>
      <c r="BR2199" s="76"/>
      <c r="BS2199" s="76"/>
      <c r="BT2199" s="76"/>
      <c r="BU2199" s="76"/>
      <c r="BV2199" s="76"/>
      <c r="BW2199" s="76"/>
      <c r="BX2199" s="76"/>
      <c r="BY2199" s="76"/>
      <c r="BZ2199" s="76"/>
      <c r="CA2199" s="76"/>
      <c r="CB2199" s="76"/>
      <c r="CC2199" s="76"/>
      <c r="CD2199" s="76"/>
      <c r="CE2199" s="76"/>
      <c r="CF2199" s="76">
        <f>+CE2199*28000</f>
        <v>0</v>
      </c>
      <c r="CG2199" s="76"/>
      <c r="CH2199" s="76">
        <f>+CG2199*22500</f>
        <v>0</v>
      </c>
      <c r="CI2199" s="76"/>
      <c r="CJ2199" s="76">
        <f>+CI2199*26000</f>
        <v>0</v>
      </c>
      <c r="CK2199" s="76"/>
      <c r="CL2199" s="76"/>
      <c r="CM2199" s="76"/>
      <c r="CN2199" s="76">
        <f>+CM2199*22000</f>
        <v>0</v>
      </c>
      <c r="CO2199" s="76"/>
      <c r="CP2199" s="76">
        <f>+CO2199*46000</f>
        <v>0</v>
      </c>
      <c r="CQ2199" s="76"/>
      <c r="CR2199" s="76">
        <f>+CQ2199*49000</f>
        <v>0</v>
      </c>
      <c r="CS2199" s="76"/>
      <c r="CT2199" s="76"/>
      <c r="CU2199" s="56">
        <f>AN2199+AP2199+AR2199+AT2199+AV2199+AX2199+AZ2199+BB2199+BD2199+BF2199+BH2199+BJ2199+BL2199+BN2199+BP2199+BR2199+BT2199+BV2199+BX2199+BZ2199+CB2199+CD2199+CF2199+CH2199+CJ2199+CL2199+CN2199+CP2199+CR2199+CT2199</f>
        <v>0</v>
      </c>
      <c r="CV2199" s="76"/>
      <c r="CW2199" s="76">
        <f>+CV2199*1100</f>
        <v>0</v>
      </c>
      <c r="CX2199" s="76"/>
      <c r="CY2199" s="76">
        <f>+CX2199*106250</f>
        <v>0</v>
      </c>
      <c r="CZ2199" s="76"/>
      <c r="DA2199" s="76">
        <f>+CZ2199*34500</f>
        <v>0</v>
      </c>
      <c r="DB2199" s="76"/>
      <c r="DC2199" s="76">
        <f>+DB2199*25000</f>
        <v>0</v>
      </c>
      <c r="DD2199" s="219"/>
      <c r="DE2199" s="219"/>
      <c r="DF2199" s="166"/>
      <c r="DG2199" s="116"/>
      <c r="DH2199" s="117"/>
      <c r="DI2199" s="24"/>
      <c r="DJ2199" s="24"/>
      <c r="DK2199" s="24"/>
      <c r="DL2199" s="24"/>
      <c r="DM2199" s="24"/>
      <c r="DN2199" s="24"/>
      <c r="DO2199" s="24"/>
      <c r="DP2199" s="24"/>
      <c r="DQ2199" s="24"/>
      <c r="DR2199" s="24"/>
      <c r="DS2199" s="24"/>
      <c r="DT2199" s="24"/>
      <c r="DU2199" s="24"/>
    </row>
    <row r="2200" spans="1:125" s="8" customFormat="1" ht="108" x14ac:dyDescent="0.2">
      <c r="A2200" s="77">
        <v>41452</v>
      </c>
      <c r="B2200" s="78" t="s">
        <v>2778</v>
      </c>
      <c r="C2200" s="75" t="s">
        <v>2194</v>
      </c>
      <c r="D2200" s="75" t="s">
        <v>3051</v>
      </c>
      <c r="E2200" s="75" t="str">
        <f>VLOOKUP(B2200&amp;C2200,Divipola!$C$2:$F$1138,4,FALSE)</f>
        <v>85010</v>
      </c>
      <c r="F2200" s="87"/>
      <c r="G2200" s="87"/>
      <c r="H2200" s="87"/>
      <c r="I2200" s="87"/>
      <c r="J2200" s="87"/>
      <c r="K2200" s="87"/>
      <c r="L2200" s="87"/>
      <c r="M2200" s="87"/>
      <c r="N2200" s="87"/>
      <c r="O2200" s="87"/>
      <c r="P2200" s="87"/>
      <c r="Q2200" s="87"/>
      <c r="R2200" s="87"/>
      <c r="S2200" s="87"/>
      <c r="T2200" s="87"/>
      <c r="U2200" s="88"/>
      <c r="V2200" s="89"/>
      <c r="W2200" s="96">
        <v>0</v>
      </c>
      <c r="X2200" s="71">
        <f>CU2200</f>
        <v>0</v>
      </c>
      <c r="Y2200" s="71">
        <f>CY2200</f>
        <v>0</v>
      </c>
      <c r="Z2200" s="71">
        <f>DA2200+DC2200+DE2200</f>
        <v>0</v>
      </c>
      <c r="AA2200" s="71">
        <f>CW2200</f>
        <v>0</v>
      </c>
      <c r="AB2200" s="71"/>
      <c r="AC2200" s="71">
        <v>0</v>
      </c>
      <c r="AD2200" s="71">
        <f>W2200+X2200+Y2200+Z2200+AA2200+AB2200+AC2200</f>
        <v>0</v>
      </c>
      <c r="AE2200" s="72">
        <v>0</v>
      </c>
      <c r="AF2200" s="5"/>
      <c r="AG2200" s="6"/>
      <c r="AH2200" s="27" t="s">
        <v>3392</v>
      </c>
      <c r="AI2200" s="44" t="s">
        <v>3393</v>
      </c>
      <c r="AJ2200" s="26"/>
      <c r="AK2200" s="5"/>
      <c r="AL2200" s="82" t="s">
        <v>5061</v>
      </c>
      <c r="AM2200" s="76"/>
      <c r="AN2200" s="76"/>
      <c r="AO2200" s="76"/>
      <c r="AP2200" s="76"/>
      <c r="AQ2200" s="76"/>
      <c r="AR2200" s="76"/>
      <c r="AS2200" s="76"/>
      <c r="AT2200" s="76"/>
      <c r="AU2200" s="76"/>
      <c r="AV2200" s="76"/>
      <c r="AW2200" s="76"/>
      <c r="AX2200" s="76">
        <f>+AW2200*600000</f>
        <v>0</v>
      </c>
      <c r="AY2200" s="76"/>
      <c r="AZ2200" s="76">
        <f>+AY2200*70000</f>
        <v>0</v>
      </c>
      <c r="BA2200" s="76"/>
      <c r="BB2200" s="76"/>
      <c r="BC2200" s="76"/>
      <c r="BD2200" s="76">
        <f>+BC2200*30000</f>
        <v>0</v>
      </c>
      <c r="BE2200" s="76"/>
      <c r="BF2200" s="76"/>
      <c r="BG2200" s="76"/>
      <c r="BH2200" s="76"/>
      <c r="BI2200" s="76"/>
      <c r="BJ2200" s="76"/>
      <c r="BK2200" s="76"/>
      <c r="BL2200" s="76">
        <f>+BK2200*31500</f>
        <v>0</v>
      </c>
      <c r="BM2200" s="76"/>
      <c r="BN2200" s="76"/>
      <c r="BO2200" s="76"/>
      <c r="BP2200" s="76"/>
      <c r="BQ2200" s="76"/>
      <c r="BR2200" s="76"/>
      <c r="BS2200" s="76"/>
      <c r="BT2200" s="76"/>
      <c r="BU2200" s="76"/>
      <c r="BV2200" s="76"/>
      <c r="BW2200" s="76"/>
      <c r="BX2200" s="76"/>
      <c r="BY2200" s="76"/>
      <c r="BZ2200" s="76"/>
      <c r="CA2200" s="76"/>
      <c r="CB2200" s="76"/>
      <c r="CC2200" s="76"/>
      <c r="CD2200" s="76"/>
      <c r="CE2200" s="76"/>
      <c r="CF2200" s="76">
        <f>+CE2200*28000</f>
        <v>0</v>
      </c>
      <c r="CG2200" s="76"/>
      <c r="CH2200" s="76">
        <f>+CG2200*22500</f>
        <v>0</v>
      </c>
      <c r="CI2200" s="76"/>
      <c r="CJ2200" s="76">
        <f>+CI2200*26000</f>
        <v>0</v>
      </c>
      <c r="CK2200" s="76"/>
      <c r="CL2200" s="76"/>
      <c r="CM2200" s="76"/>
      <c r="CN2200" s="76">
        <f>+CM2200*22000</f>
        <v>0</v>
      </c>
      <c r="CO2200" s="76"/>
      <c r="CP2200" s="76">
        <f>+CO2200*46000</f>
        <v>0</v>
      </c>
      <c r="CQ2200" s="76"/>
      <c r="CR2200" s="76">
        <f>+CQ2200*49000</f>
        <v>0</v>
      </c>
      <c r="CS2200" s="76"/>
      <c r="CT2200" s="76"/>
      <c r="CU2200" s="56">
        <f>AN2200+AP2200+AR2200+AT2200+AV2200+AX2200+AZ2200+BB2200+BD2200+BF2200+BH2200+BJ2200+BL2200+BN2200+BP2200+BR2200+BT2200+BV2200+BX2200+BZ2200+CB2200+CD2200+CF2200+CH2200+CJ2200+CL2200+CN2200+CP2200+CR2200+CT2200</f>
        <v>0</v>
      </c>
      <c r="CV2200" s="76"/>
      <c r="CW2200" s="76">
        <f>+CV2200*1100</f>
        <v>0</v>
      </c>
      <c r="CX2200" s="76"/>
      <c r="CY2200" s="76">
        <f>+CX2200*106250</f>
        <v>0</v>
      </c>
      <c r="CZ2200" s="76"/>
      <c r="DA2200" s="76">
        <f>+CZ2200*34500</f>
        <v>0</v>
      </c>
      <c r="DB2200" s="76"/>
      <c r="DC2200" s="76">
        <f>+DB2200*25000</f>
        <v>0</v>
      </c>
      <c r="DD2200" s="219"/>
      <c r="DE2200" s="219"/>
      <c r="DF2200" s="166"/>
      <c r="DG2200" s="116"/>
      <c r="DH2200" s="117"/>
      <c r="DI2200" s="24"/>
      <c r="DJ2200" s="24"/>
      <c r="DK2200" s="24"/>
      <c r="DL2200" s="24"/>
      <c r="DM2200" s="24"/>
      <c r="DN2200" s="24"/>
      <c r="DO2200" s="24"/>
      <c r="DP2200" s="24"/>
      <c r="DQ2200" s="24"/>
      <c r="DR2200" s="24"/>
      <c r="DS2200" s="24"/>
      <c r="DT2200" s="24"/>
      <c r="DU2200" s="24"/>
    </row>
    <row r="2201" spans="1:125" s="8" customFormat="1" ht="96" x14ac:dyDescent="0.2">
      <c r="A2201" s="77">
        <v>41452</v>
      </c>
      <c r="B2201" s="352" t="s">
        <v>2854</v>
      </c>
      <c r="C2201" s="227" t="s">
        <v>2066</v>
      </c>
      <c r="D2201" s="354" t="s">
        <v>2875</v>
      </c>
      <c r="E2201" s="75" t="str">
        <f>VLOOKUP(B2201&amp;C2201,Divipola!$C$2:$F$1138,4,FALSE)</f>
        <v>19130</v>
      </c>
      <c r="F2201" s="87"/>
      <c r="G2201" s="87"/>
      <c r="H2201" s="87"/>
      <c r="I2201" s="87">
        <f>94*5</f>
        <v>470</v>
      </c>
      <c r="J2201" s="87">
        <v>94</v>
      </c>
      <c r="K2201" s="87"/>
      <c r="L2201" s="87">
        <v>86</v>
      </c>
      <c r="M2201" s="87"/>
      <c r="N2201" s="87"/>
      <c r="O2201" s="87"/>
      <c r="P2201" s="87"/>
      <c r="Q2201" s="87"/>
      <c r="R2201" s="87"/>
      <c r="S2201" s="87"/>
      <c r="T2201" s="87"/>
      <c r="U2201" s="88"/>
      <c r="V2201" s="89"/>
      <c r="W2201" s="96">
        <v>0</v>
      </c>
      <c r="X2201" s="71">
        <f>CU2201</f>
        <v>41953293.120000005</v>
      </c>
      <c r="Y2201" s="71">
        <f>CY2201</f>
        <v>9857841.0999999996</v>
      </c>
      <c r="Z2201" s="71">
        <f>DA2201+DC2201+DE2201</f>
        <v>56585119</v>
      </c>
      <c r="AA2201" s="71">
        <f>CW2201</f>
        <v>0</v>
      </c>
      <c r="AB2201" s="71"/>
      <c r="AC2201" s="71">
        <v>0</v>
      </c>
      <c r="AD2201" s="71">
        <f>W2201+X2201+Y2201+Z2201+AA2201+AB2201+AC2201</f>
        <v>108396253.22</v>
      </c>
      <c r="AE2201" s="72">
        <v>0</v>
      </c>
      <c r="AF2201" s="5"/>
      <c r="AG2201" s="6"/>
      <c r="AH2201" s="27" t="s">
        <v>3392</v>
      </c>
      <c r="AI2201" s="44" t="s">
        <v>3393</v>
      </c>
      <c r="AJ2201" s="26"/>
      <c r="AK2201" s="5"/>
      <c r="AL2201" s="82" t="s">
        <v>5410</v>
      </c>
      <c r="AM2201" s="240"/>
      <c r="AN2201" s="240"/>
      <c r="AO2201" s="240"/>
      <c r="AP2201" s="240"/>
      <c r="AQ2201" s="240"/>
      <c r="AR2201" s="240"/>
      <c r="AS2201" s="240"/>
      <c r="AT2201" s="240"/>
      <c r="AU2201" s="240"/>
      <c r="AV2201" s="240"/>
      <c r="AW2201" s="240"/>
      <c r="AX2201" s="240">
        <f>+AW2201*600000</f>
        <v>0</v>
      </c>
      <c r="AY2201" s="312">
        <v>344</v>
      </c>
      <c r="AZ2201" s="312">
        <f>+AY2201*69999.04</f>
        <v>24079669.759999998</v>
      </c>
      <c r="BA2201" s="240"/>
      <c r="BB2201" s="240"/>
      <c r="BC2201" s="240"/>
      <c r="BD2201" s="240">
        <f>+BC2201*30000</f>
        <v>0</v>
      </c>
      <c r="BE2201" s="240"/>
      <c r="BF2201" s="240"/>
      <c r="BG2201" s="240"/>
      <c r="BH2201" s="240"/>
      <c r="BI2201" s="240"/>
      <c r="BJ2201" s="240"/>
      <c r="BK2201" s="240"/>
      <c r="BL2201" s="240">
        <f>+BK2201*31500</f>
        <v>0</v>
      </c>
      <c r="BM2201" s="240"/>
      <c r="BN2201" s="240"/>
      <c r="BO2201" s="240"/>
      <c r="BP2201" s="240"/>
      <c r="BQ2201" s="240"/>
      <c r="BR2201" s="240"/>
      <c r="BS2201" s="240"/>
      <c r="BT2201" s="240"/>
      <c r="BU2201" s="240"/>
      <c r="BV2201" s="240"/>
      <c r="BW2201" s="240"/>
      <c r="BX2201" s="240"/>
      <c r="BY2201" s="240"/>
      <c r="BZ2201" s="240"/>
      <c r="CA2201" s="240"/>
      <c r="CB2201" s="240"/>
      <c r="CC2201" s="240"/>
      <c r="CD2201" s="240"/>
      <c r="CE2201" s="240"/>
      <c r="CF2201" s="240">
        <f>+CE2201*28000</f>
        <v>0</v>
      </c>
      <c r="CG2201" s="240"/>
      <c r="CH2201" s="240">
        <f>+CG2201*22500</f>
        <v>0</v>
      </c>
      <c r="CI2201" s="312">
        <v>344</v>
      </c>
      <c r="CJ2201" s="312">
        <f>+CI2201*25999.08</f>
        <v>8943683.5200000014</v>
      </c>
      <c r="CK2201" s="240"/>
      <c r="CL2201" s="240"/>
      <c r="CM2201" s="240"/>
      <c r="CN2201" s="240">
        <f>+CM2201*22000</f>
        <v>0</v>
      </c>
      <c r="CO2201" s="312">
        <v>94</v>
      </c>
      <c r="CP2201" s="312">
        <f>+CO2201*45999.8</f>
        <v>4323981.2</v>
      </c>
      <c r="CQ2201" s="312">
        <v>94</v>
      </c>
      <c r="CR2201" s="312">
        <f>+CQ2201*48999.56</f>
        <v>4605958.6399999997</v>
      </c>
      <c r="CS2201" s="240"/>
      <c r="CT2201" s="240"/>
      <c r="CU2201" s="241">
        <f>AN2201+AP2201+AR2201+AT2201+AV2201+AX2201+AZ2201+BB2201+BD2201+BF2201+BH2201+BJ2201+BL2201+BN2201+BP2201+BR2201+BT2201+BV2201+BX2201+BZ2201+CB2201+CD2201+CF2201+CH2201+CJ2201+CL2201+CN2201+CP2201+CR2201+CT2201</f>
        <v>41953293.120000005</v>
      </c>
      <c r="CV2201" s="240"/>
      <c r="CW2201" s="240">
        <f>+CV2201*1100</f>
        <v>0</v>
      </c>
      <c r="CX2201" s="312">
        <v>94</v>
      </c>
      <c r="CY2201" s="312">
        <f>+CX2201*104870.65</f>
        <v>9857841.0999999996</v>
      </c>
      <c r="CZ2201" s="240"/>
      <c r="DA2201" s="240">
        <f>+CZ2201*34500</f>
        <v>0</v>
      </c>
      <c r="DB2201" s="312">
        <v>1720</v>
      </c>
      <c r="DC2201" s="312">
        <f>+DB2201*30999.84+6880*399.04</f>
        <v>56065120</v>
      </c>
      <c r="DD2201" s="313" t="s">
        <v>5513</v>
      </c>
      <c r="DE2201" s="314">
        <f>1*519999</f>
        <v>519999</v>
      </c>
      <c r="DF2201" s="243"/>
      <c r="DG2201" s="253" t="s">
        <v>6535</v>
      </c>
      <c r="DH2201" s="254"/>
      <c r="DI2201" s="24"/>
      <c r="DJ2201" s="24"/>
      <c r="DK2201" s="24"/>
      <c r="DL2201" s="24"/>
      <c r="DM2201" s="24"/>
      <c r="DN2201" s="24"/>
      <c r="DO2201" s="24"/>
      <c r="DP2201" s="24"/>
      <c r="DQ2201" s="24"/>
      <c r="DR2201" s="24"/>
      <c r="DS2201" s="24"/>
      <c r="DT2201" s="24"/>
      <c r="DU2201" s="24"/>
    </row>
    <row r="2202" spans="1:125" s="8" customFormat="1" ht="60" x14ac:dyDescent="0.2">
      <c r="A2202" s="77">
        <v>41452</v>
      </c>
      <c r="B2202" s="352" t="s">
        <v>2854</v>
      </c>
      <c r="C2202" s="354" t="s">
        <v>514</v>
      </c>
      <c r="D2202" s="354" t="s">
        <v>2859</v>
      </c>
      <c r="E2202" s="75" t="str">
        <f>VLOOKUP(B2202&amp;C2202,Divipola!$C$2:$F$1138,4,FALSE)</f>
        <v>19821</v>
      </c>
      <c r="F2202" s="87"/>
      <c r="G2202" s="87"/>
      <c r="H2202" s="87"/>
      <c r="I2202" s="87">
        <v>5</v>
      </c>
      <c r="J2202" s="87">
        <v>1</v>
      </c>
      <c r="K2202" s="87"/>
      <c r="L2202" s="87">
        <v>1</v>
      </c>
      <c r="M2202" s="87"/>
      <c r="N2202" s="87"/>
      <c r="O2202" s="87"/>
      <c r="P2202" s="87"/>
      <c r="Q2202" s="87"/>
      <c r="R2202" s="87"/>
      <c r="S2202" s="87"/>
      <c r="T2202" s="87"/>
      <c r="U2202" s="88"/>
      <c r="V2202" s="89"/>
      <c r="W2202" s="96">
        <v>0</v>
      </c>
      <c r="X2202" s="71">
        <f>CU2202</f>
        <v>0</v>
      </c>
      <c r="Y2202" s="71">
        <f>CY2202</f>
        <v>0</v>
      </c>
      <c r="Z2202" s="71">
        <f>DA2202+DC2202+DE2202</f>
        <v>0</v>
      </c>
      <c r="AA2202" s="71">
        <f>CW2202</f>
        <v>0</v>
      </c>
      <c r="AB2202" s="71"/>
      <c r="AC2202" s="71">
        <v>0</v>
      </c>
      <c r="AD2202" s="71">
        <f>W2202+X2202+Y2202+Z2202+AA2202+AB2202+AC2202</f>
        <v>0</v>
      </c>
      <c r="AE2202" s="72">
        <v>0</v>
      </c>
      <c r="AF2202" s="5"/>
      <c r="AG2202" s="6"/>
      <c r="AH2202" s="27" t="s">
        <v>3392</v>
      </c>
      <c r="AI2202" s="44" t="s">
        <v>3393</v>
      </c>
      <c r="AJ2202" s="26"/>
      <c r="AK2202" s="5"/>
      <c r="AL2202" s="82" t="s">
        <v>5064</v>
      </c>
      <c r="AM2202" s="76"/>
      <c r="AN2202" s="76"/>
      <c r="AO2202" s="76"/>
      <c r="AP2202" s="76"/>
      <c r="AQ2202" s="76"/>
      <c r="AR2202" s="76"/>
      <c r="AS2202" s="76"/>
      <c r="AT2202" s="76"/>
      <c r="AU2202" s="76"/>
      <c r="AV2202" s="76"/>
      <c r="AW2202" s="76"/>
      <c r="AX2202" s="76">
        <f>+AW2202*600000</f>
        <v>0</v>
      </c>
      <c r="AY2202" s="76"/>
      <c r="AZ2202" s="76">
        <f>+AY2202*70000</f>
        <v>0</v>
      </c>
      <c r="BA2202" s="76"/>
      <c r="BB2202" s="76"/>
      <c r="BC2202" s="76"/>
      <c r="BD2202" s="76">
        <f>+BC2202*30000</f>
        <v>0</v>
      </c>
      <c r="BE2202" s="76"/>
      <c r="BF2202" s="76"/>
      <c r="BG2202" s="76"/>
      <c r="BH2202" s="76"/>
      <c r="BI2202" s="76"/>
      <c r="BJ2202" s="76"/>
      <c r="BK2202" s="76"/>
      <c r="BL2202" s="76">
        <f>+BK2202*31500</f>
        <v>0</v>
      </c>
      <c r="BM2202" s="76"/>
      <c r="BN2202" s="76"/>
      <c r="BO2202" s="76"/>
      <c r="BP2202" s="76"/>
      <c r="BQ2202" s="76"/>
      <c r="BR2202" s="76"/>
      <c r="BS2202" s="76"/>
      <c r="BT2202" s="76"/>
      <c r="BU2202" s="76"/>
      <c r="BV2202" s="76"/>
      <c r="BW2202" s="76"/>
      <c r="BX2202" s="76"/>
      <c r="BY2202" s="76"/>
      <c r="BZ2202" s="76"/>
      <c r="CA2202" s="76"/>
      <c r="CB2202" s="76"/>
      <c r="CC2202" s="76"/>
      <c r="CD2202" s="76"/>
      <c r="CE2202" s="76"/>
      <c r="CF2202" s="76">
        <f>+CE2202*28000</f>
        <v>0</v>
      </c>
      <c r="CG2202" s="76"/>
      <c r="CH2202" s="76">
        <f>+CG2202*22500</f>
        <v>0</v>
      </c>
      <c r="CI2202" s="76"/>
      <c r="CJ2202" s="76">
        <f>+CI2202*26000</f>
        <v>0</v>
      </c>
      <c r="CK2202" s="76"/>
      <c r="CL2202" s="76"/>
      <c r="CM2202" s="76"/>
      <c r="CN2202" s="76">
        <f>+CM2202*22000</f>
        <v>0</v>
      </c>
      <c r="CO2202" s="76"/>
      <c r="CP2202" s="76">
        <f>+CO2202*46000</f>
        <v>0</v>
      </c>
      <c r="CQ2202" s="76"/>
      <c r="CR2202" s="76">
        <f>+CQ2202*49000</f>
        <v>0</v>
      </c>
      <c r="CS2202" s="76"/>
      <c r="CT2202" s="76"/>
      <c r="CU2202" s="56">
        <f>AN2202+AP2202+AR2202+AT2202+AV2202+AX2202+AZ2202+BB2202+BD2202+BF2202+BH2202+BJ2202+BL2202+BN2202+BP2202+BR2202+BT2202+BV2202+BX2202+BZ2202+CB2202+CD2202+CF2202+CH2202+CJ2202+CL2202+CN2202+CP2202+CR2202+CT2202</f>
        <v>0</v>
      </c>
      <c r="CV2202" s="76"/>
      <c r="CW2202" s="76">
        <f>+CV2202*1100</f>
        <v>0</v>
      </c>
      <c r="CX2202" s="76"/>
      <c r="CY2202" s="76">
        <f>+CX2202*106250</f>
        <v>0</v>
      </c>
      <c r="CZ2202" s="76"/>
      <c r="DA2202" s="76">
        <f>+CZ2202*34500</f>
        <v>0</v>
      </c>
      <c r="DB2202" s="76"/>
      <c r="DC2202" s="76">
        <f>+DB2202*25000</f>
        <v>0</v>
      </c>
      <c r="DD2202" s="219"/>
      <c r="DE2202" s="219"/>
      <c r="DF2202" s="166"/>
      <c r="DG2202" s="116"/>
      <c r="DH2202" s="117"/>
      <c r="DI2202" s="24"/>
      <c r="DJ2202" s="24"/>
      <c r="DK2202" s="24"/>
      <c r="DL2202" s="24"/>
      <c r="DM2202" s="24"/>
      <c r="DN2202" s="24"/>
      <c r="DO2202" s="24"/>
      <c r="DP2202" s="24"/>
      <c r="DQ2202" s="24"/>
      <c r="DR2202" s="24"/>
      <c r="DS2202" s="24"/>
      <c r="DT2202" s="24"/>
      <c r="DU2202" s="24"/>
    </row>
    <row r="2203" spans="1:125" s="8" customFormat="1" ht="60" x14ac:dyDescent="0.2">
      <c r="A2203" s="77">
        <v>41452</v>
      </c>
      <c r="B2203" s="78" t="s">
        <v>2718</v>
      </c>
      <c r="C2203" s="75" t="s">
        <v>958</v>
      </c>
      <c r="D2203" s="75" t="s">
        <v>2882</v>
      </c>
      <c r="E2203" s="75" t="str">
        <f>VLOOKUP(B2203&amp;C2203,Divipola!$C$2:$F$1138,4,FALSE)</f>
        <v>23189</v>
      </c>
      <c r="F2203" s="61"/>
      <c r="G2203" s="61"/>
      <c r="H2203" s="61"/>
      <c r="I2203" s="61">
        <v>290</v>
      </c>
      <c r="J2203" s="61">
        <v>58</v>
      </c>
      <c r="K2203" s="61"/>
      <c r="L2203" s="61">
        <v>58</v>
      </c>
      <c r="M2203" s="61"/>
      <c r="N2203" s="61"/>
      <c r="O2203" s="61"/>
      <c r="P2203" s="61"/>
      <c r="Q2203" s="61"/>
      <c r="R2203" s="61"/>
      <c r="S2203" s="61"/>
      <c r="T2203" s="61"/>
      <c r="U2203" s="61"/>
      <c r="V2203" s="7"/>
      <c r="W2203" s="96">
        <v>0</v>
      </c>
      <c r="X2203" s="71">
        <f>CU2203</f>
        <v>4480000</v>
      </c>
      <c r="Y2203" s="71">
        <f>CY2203</f>
        <v>0</v>
      </c>
      <c r="Z2203" s="71">
        <f>DA2203+DC2203+DE2203</f>
        <v>29168084</v>
      </c>
      <c r="AA2203" s="71">
        <f>CW2203</f>
        <v>0</v>
      </c>
      <c r="AB2203" s="71"/>
      <c r="AC2203" s="71">
        <v>0</v>
      </c>
      <c r="AD2203" s="71">
        <f>W2203+X2203+Y2203+Z2203+AA2203+AB2203+AC2203</f>
        <v>33648084</v>
      </c>
      <c r="AE2203" s="72">
        <v>0</v>
      </c>
      <c r="AF2203" s="5"/>
      <c r="AG2203" s="6"/>
      <c r="AH2203" s="27"/>
      <c r="AI2203" s="44"/>
      <c r="AJ2203" s="26"/>
      <c r="AK2203" s="5"/>
      <c r="AL2203" s="9" t="s">
        <v>6279</v>
      </c>
      <c r="AM2203" s="76"/>
      <c r="AN2203" s="76"/>
      <c r="AO2203" s="76"/>
      <c r="AP2203" s="76"/>
      <c r="AQ2203" s="76"/>
      <c r="AR2203" s="76"/>
      <c r="AS2203" s="76"/>
      <c r="AT2203" s="76"/>
      <c r="AU2203" s="76"/>
      <c r="AV2203" s="76"/>
      <c r="AW2203" s="76"/>
      <c r="AX2203" s="76">
        <f>+AW2203*600000</f>
        <v>0</v>
      </c>
      <c r="AY2203" s="76"/>
      <c r="AZ2203" s="76">
        <f>+AY2203*70000</f>
        <v>0</v>
      </c>
      <c r="BA2203" s="76"/>
      <c r="BB2203" s="76"/>
      <c r="BC2203" s="76"/>
      <c r="BD2203" s="76">
        <f>+BC2203*30000</f>
        <v>0</v>
      </c>
      <c r="BE2203" s="76"/>
      <c r="BF2203" s="76"/>
      <c r="BG2203" s="76"/>
      <c r="BH2203" s="76"/>
      <c r="BI2203" s="76"/>
      <c r="BJ2203" s="76"/>
      <c r="BK2203" s="76"/>
      <c r="BL2203" s="76">
        <f>+BK2203*31500</f>
        <v>0</v>
      </c>
      <c r="BM2203" s="76"/>
      <c r="BN2203" s="76"/>
      <c r="BO2203" s="76"/>
      <c r="BP2203" s="76"/>
      <c r="BQ2203" s="76"/>
      <c r="BR2203" s="76"/>
      <c r="BS2203" s="76"/>
      <c r="BT2203" s="76"/>
      <c r="BU2203" s="76"/>
      <c r="BV2203" s="76"/>
      <c r="BW2203" s="76"/>
      <c r="BX2203" s="76"/>
      <c r="BY2203" s="76">
        <v>8</v>
      </c>
      <c r="BZ2203" s="76">
        <f>8*560000</f>
        <v>4480000</v>
      </c>
      <c r="CA2203" s="76"/>
      <c r="CB2203" s="76"/>
      <c r="CC2203" s="76"/>
      <c r="CD2203" s="76"/>
      <c r="CE2203" s="76"/>
      <c r="CF2203" s="76">
        <f>+CE2203*28000</f>
        <v>0</v>
      </c>
      <c r="CG2203" s="76"/>
      <c r="CH2203" s="76">
        <f>+CG2203*22500</f>
        <v>0</v>
      </c>
      <c r="CI2203" s="76"/>
      <c r="CJ2203" s="76">
        <f>+CI2203*26000</f>
        <v>0</v>
      </c>
      <c r="CK2203" s="76"/>
      <c r="CL2203" s="76"/>
      <c r="CM2203" s="76"/>
      <c r="CN2203" s="76">
        <f>+CM2203*22000</f>
        <v>0</v>
      </c>
      <c r="CO2203" s="76"/>
      <c r="CP2203" s="76">
        <f>+CO2203*46000</f>
        <v>0</v>
      </c>
      <c r="CQ2203" s="76"/>
      <c r="CR2203" s="76">
        <f>+CQ2203*49000</f>
        <v>0</v>
      </c>
      <c r="CS2203" s="76"/>
      <c r="CT2203" s="76"/>
      <c r="CU2203" s="56">
        <f>AN2203+AP2203+AR2203+AT2203+AV2203+AX2203+AZ2203+BB2203+BD2203+BF2203+BH2203+BJ2203+BL2203+BN2203+BP2203+BR2203+BT2203+BV2203+BX2203+BZ2203+CB2203+CD2203+CF2203+CH2203+CJ2203+CL2203+CN2203+CP2203+CR2203+CT2203</f>
        <v>4480000</v>
      </c>
      <c r="CV2203" s="76"/>
      <c r="CW2203" s="76">
        <f>+CV2203*1100</f>
        <v>0</v>
      </c>
      <c r="CX2203" s="76"/>
      <c r="CY2203" s="76">
        <f>+CX2203*106250</f>
        <v>0</v>
      </c>
      <c r="CZ2203" s="76"/>
      <c r="DA2203" s="76">
        <f>+CZ2203*34500</f>
        <v>0</v>
      </c>
      <c r="DB2203" s="86">
        <f>550+350</f>
        <v>900</v>
      </c>
      <c r="DC2203" s="86">
        <f>550*31999.76+2200*199.52+350*30999.84+700*399.04</f>
        <v>29168084</v>
      </c>
      <c r="DD2203" s="219"/>
      <c r="DE2203" s="219"/>
      <c r="DF2203" s="166"/>
      <c r="DG2203" s="134" t="s">
        <v>6966</v>
      </c>
      <c r="DH2203" s="117"/>
      <c r="DI2203" s="24"/>
      <c r="DJ2203" s="24"/>
      <c r="DK2203" s="24"/>
      <c r="DL2203" s="24"/>
      <c r="DM2203" s="24"/>
      <c r="DN2203" s="24"/>
      <c r="DO2203" s="24"/>
      <c r="DP2203" s="24"/>
      <c r="DQ2203" s="24"/>
      <c r="DR2203" s="24"/>
      <c r="DS2203" s="24"/>
      <c r="DT2203" s="24"/>
      <c r="DU2203" s="24"/>
    </row>
    <row r="2204" spans="1:125" s="8" customFormat="1" ht="60" x14ac:dyDescent="0.2">
      <c r="A2204" s="77">
        <v>41452</v>
      </c>
      <c r="B2204" s="352" t="s">
        <v>506</v>
      </c>
      <c r="C2204" s="227" t="s">
        <v>507</v>
      </c>
      <c r="D2204" s="354" t="s">
        <v>2846</v>
      </c>
      <c r="E2204" s="75" t="str">
        <f>VLOOKUP(B2204&amp;C2204,Divipola!$C$2:$F$1138,4,FALSE)</f>
        <v>50251</v>
      </c>
      <c r="F2204" s="87"/>
      <c r="G2204" s="87"/>
      <c r="H2204" s="87"/>
      <c r="I2204" s="87"/>
      <c r="J2204" s="87"/>
      <c r="K2204" s="87"/>
      <c r="L2204" s="87"/>
      <c r="M2204" s="87"/>
      <c r="N2204" s="87"/>
      <c r="O2204" s="87"/>
      <c r="P2204" s="87"/>
      <c r="Q2204" s="87"/>
      <c r="R2204" s="87"/>
      <c r="S2204" s="87"/>
      <c r="T2204" s="87"/>
      <c r="U2204" s="88">
        <v>10</v>
      </c>
      <c r="V2204" s="89"/>
      <c r="W2204" s="96">
        <v>0</v>
      </c>
      <c r="X2204" s="71">
        <f>CU2204</f>
        <v>0</v>
      </c>
      <c r="Y2204" s="71">
        <f>CY2204</f>
        <v>0</v>
      </c>
      <c r="Z2204" s="71">
        <f>DA2204+DC2204+DE2204</f>
        <v>0</v>
      </c>
      <c r="AA2204" s="71">
        <f>CW2204</f>
        <v>0</v>
      </c>
      <c r="AB2204" s="71"/>
      <c r="AC2204" s="71">
        <v>0</v>
      </c>
      <c r="AD2204" s="71">
        <f>W2204+X2204+Y2204+Z2204+AA2204+AB2204+AC2204</f>
        <v>0</v>
      </c>
      <c r="AE2204" s="72">
        <v>0</v>
      </c>
      <c r="AF2204" s="5"/>
      <c r="AG2204" s="6"/>
      <c r="AH2204" s="27" t="s">
        <v>3392</v>
      </c>
      <c r="AI2204" s="44" t="s">
        <v>3393</v>
      </c>
      <c r="AJ2204" s="26"/>
      <c r="AK2204" s="5"/>
      <c r="AL2204" s="82" t="s">
        <v>5063</v>
      </c>
      <c r="AM2204" s="76"/>
      <c r="AN2204" s="76"/>
      <c r="AO2204" s="76"/>
      <c r="AP2204" s="76"/>
      <c r="AQ2204" s="76"/>
      <c r="AR2204" s="76"/>
      <c r="AS2204" s="76"/>
      <c r="AT2204" s="76"/>
      <c r="AU2204" s="76"/>
      <c r="AV2204" s="76"/>
      <c r="AW2204" s="76"/>
      <c r="AX2204" s="76">
        <f>+AW2204*600000</f>
        <v>0</v>
      </c>
      <c r="AY2204" s="76"/>
      <c r="AZ2204" s="76">
        <f>+AY2204*70000</f>
        <v>0</v>
      </c>
      <c r="BA2204" s="76"/>
      <c r="BB2204" s="76"/>
      <c r="BC2204" s="76"/>
      <c r="BD2204" s="76">
        <f>+BC2204*30000</f>
        <v>0</v>
      </c>
      <c r="BE2204" s="76"/>
      <c r="BF2204" s="76"/>
      <c r="BG2204" s="76"/>
      <c r="BH2204" s="76"/>
      <c r="BI2204" s="76"/>
      <c r="BJ2204" s="76"/>
      <c r="BK2204" s="76"/>
      <c r="BL2204" s="76">
        <f>+BK2204*31500</f>
        <v>0</v>
      </c>
      <c r="BM2204" s="76"/>
      <c r="BN2204" s="76"/>
      <c r="BO2204" s="76"/>
      <c r="BP2204" s="76"/>
      <c r="BQ2204" s="76"/>
      <c r="BR2204" s="76"/>
      <c r="BS2204" s="76"/>
      <c r="BT2204" s="76"/>
      <c r="BU2204" s="76"/>
      <c r="BV2204" s="76"/>
      <c r="BW2204" s="76"/>
      <c r="BX2204" s="76"/>
      <c r="BY2204" s="76"/>
      <c r="BZ2204" s="76"/>
      <c r="CA2204" s="76"/>
      <c r="CB2204" s="76"/>
      <c r="CC2204" s="76"/>
      <c r="CD2204" s="76"/>
      <c r="CE2204" s="76"/>
      <c r="CF2204" s="76">
        <f>+CE2204*28000</f>
        <v>0</v>
      </c>
      <c r="CG2204" s="76"/>
      <c r="CH2204" s="76">
        <f>+CG2204*22500</f>
        <v>0</v>
      </c>
      <c r="CI2204" s="76"/>
      <c r="CJ2204" s="76">
        <f>+CI2204*26000</f>
        <v>0</v>
      </c>
      <c r="CK2204" s="76"/>
      <c r="CL2204" s="76"/>
      <c r="CM2204" s="76"/>
      <c r="CN2204" s="76">
        <f>+CM2204*22000</f>
        <v>0</v>
      </c>
      <c r="CO2204" s="76"/>
      <c r="CP2204" s="76">
        <f>+CO2204*46000</f>
        <v>0</v>
      </c>
      <c r="CQ2204" s="76"/>
      <c r="CR2204" s="76">
        <f>+CQ2204*49000</f>
        <v>0</v>
      </c>
      <c r="CS2204" s="76"/>
      <c r="CT2204" s="76"/>
      <c r="CU2204" s="56">
        <f>AN2204+AP2204+AR2204+AT2204+AV2204+AX2204+AZ2204+BB2204+BD2204+BF2204+BH2204+BJ2204+BL2204+BN2204+BP2204+BR2204+BT2204+BV2204+BX2204+BZ2204+CB2204+CD2204+CF2204+CH2204+CJ2204+CL2204+CN2204+CP2204+CR2204+CT2204</f>
        <v>0</v>
      </c>
      <c r="CV2204" s="76"/>
      <c r="CW2204" s="76">
        <f>+CV2204*1100</f>
        <v>0</v>
      </c>
      <c r="CX2204" s="76"/>
      <c r="CY2204" s="76">
        <f>+CX2204*106250</f>
        <v>0</v>
      </c>
      <c r="CZ2204" s="76"/>
      <c r="DA2204" s="76">
        <f>+CZ2204*34500</f>
        <v>0</v>
      </c>
      <c r="DB2204" s="76"/>
      <c r="DC2204" s="76">
        <f>+DB2204*25000</f>
        <v>0</v>
      </c>
      <c r="DD2204" s="219"/>
      <c r="DE2204" s="219"/>
      <c r="DF2204" s="166"/>
      <c r="DG2204" s="116"/>
      <c r="DH2204" s="117"/>
      <c r="DI2204" s="24"/>
      <c r="DJ2204" s="24"/>
      <c r="DK2204" s="24"/>
      <c r="DL2204" s="24"/>
      <c r="DM2204" s="24"/>
      <c r="DN2204" s="24"/>
      <c r="DO2204" s="24"/>
      <c r="DP2204" s="24"/>
      <c r="DQ2204" s="24"/>
      <c r="DR2204" s="24"/>
      <c r="DS2204" s="24"/>
      <c r="DT2204" s="24"/>
      <c r="DU2204" s="24"/>
    </row>
    <row r="2205" spans="1:125" s="8" customFormat="1" ht="48" x14ac:dyDescent="0.2">
      <c r="A2205" s="353">
        <v>41452</v>
      </c>
      <c r="B2205" s="352" t="s">
        <v>2860</v>
      </c>
      <c r="C2205" s="354" t="s">
        <v>2173</v>
      </c>
      <c r="D2205" s="354" t="s">
        <v>3504</v>
      </c>
      <c r="E2205" s="75" t="str">
        <f>VLOOKUP(B2205&amp;C2205,Divipola!$C$2:$F$1138,4,FALSE)</f>
        <v>63470</v>
      </c>
      <c r="F2205" s="87"/>
      <c r="G2205" s="87">
        <v>1</v>
      </c>
      <c r="H2205" s="87"/>
      <c r="I2205" s="87"/>
      <c r="J2205" s="87"/>
      <c r="K2205" s="87"/>
      <c r="L2205" s="87"/>
      <c r="M2205" s="87"/>
      <c r="N2205" s="87"/>
      <c r="O2205" s="87"/>
      <c r="P2205" s="87"/>
      <c r="Q2205" s="87"/>
      <c r="R2205" s="87"/>
      <c r="S2205" s="87"/>
      <c r="T2205" s="87"/>
      <c r="U2205" s="88"/>
      <c r="V2205" s="89"/>
      <c r="W2205" s="96">
        <v>0</v>
      </c>
      <c r="X2205" s="71">
        <f>CU2205</f>
        <v>0</v>
      </c>
      <c r="Y2205" s="71">
        <f>CY2205</f>
        <v>0</v>
      </c>
      <c r="Z2205" s="71">
        <f>DA2205+DC2205+DE2205</f>
        <v>0</v>
      </c>
      <c r="AA2205" s="71">
        <f>CW2205</f>
        <v>0</v>
      </c>
      <c r="AB2205" s="71"/>
      <c r="AC2205" s="71">
        <v>0</v>
      </c>
      <c r="AD2205" s="71">
        <f>W2205+X2205+Y2205+Z2205+AA2205+AB2205+AC2205</f>
        <v>0</v>
      </c>
      <c r="AE2205" s="72">
        <v>0</v>
      </c>
      <c r="AF2205" s="5"/>
      <c r="AG2205" s="6"/>
      <c r="AH2205" s="27" t="s">
        <v>3392</v>
      </c>
      <c r="AI2205" s="44" t="s">
        <v>3393</v>
      </c>
      <c r="AJ2205" s="26"/>
      <c r="AK2205" s="5"/>
      <c r="AL2205" s="82" t="s">
        <v>5055</v>
      </c>
      <c r="AM2205" s="76"/>
      <c r="AN2205" s="76"/>
      <c r="AO2205" s="76"/>
      <c r="AP2205" s="76"/>
      <c r="AQ2205" s="76"/>
      <c r="AR2205" s="76"/>
      <c r="AS2205" s="76"/>
      <c r="AT2205" s="76"/>
      <c r="AU2205" s="76"/>
      <c r="AV2205" s="76"/>
      <c r="AW2205" s="76"/>
      <c r="AX2205" s="76">
        <f>+AW2205*600000</f>
        <v>0</v>
      </c>
      <c r="AY2205" s="76"/>
      <c r="AZ2205" s="76">
        <f>+AY2205*70000</f>
        <v>0</v>
      </c>
      <c r="BA2205" s="76"/>
      <c r="BB2205" s="76"/>
      <c r="BC2205" s="76"/>
      <c r="BD2205" s="76">
        <f>+BC2205*30000</f>
        <v>0</v>
      </c>
      <c r="BE2205" s="76"/>
      <c r="BF2205" s="76"/>
      <c r="BG2205" s="76"/>
      <c r="BH2205" s="76"/>
      <c r="BI2205" s="76"/>
      <c r="BJ2205" s="76"/>
      <c r="BK2205" s="76"/>
      <c r="BL2205" s="76">
        <f>+BK2205*31500</f>
        <v>0</v>
      </c>
      <c r="BM2205" s="76"/>
      <c r="BN2205" s="76"/>
      <c r="BO2205" s="76"/>
      <c r="BP2205" s="76"/>
      <c r="BQ2205" s="76"/>
      <c r="BR2205" s="76"/>
      <c r="BS2205" s="76"/>
      <c r="BT2205" s="76"/>
      <c r="BU2205" s="76"/>
      <c r="BV2205" s="76"/>
      <c r="BW2205" s="76"/>
      <c r="BX2205" s="76"/>
      <c r="BY2205" s="76"/>
      <c r="BZ2205" s="76"/>
      <c r="CA2205" s="76"/>
      <c r="CB2205" s="76"/>
      <c r="CC2205" s="76"/>
      <c r="CD2205" s="76"/>
      <c r="CE2205" s="76"/>
      <c r="CF2205" s="76">
        <f>+CE2205*28000</f>
        <v>0</v>
      </c>
      <c r="CG2205" s="76"/>
      <c r="CH2205" s="76">
        <f>+CG2205*22500</f>
        <v>0</v>
      </c>
      <c r="CI2205" s="76"/>
      <c r="CJ2205" s="76">
        <f>+CI2205*26000</f>
        <v>0</v>
      </c>
      <c r="CK2205" s="76"/>
      <c r="CL2205" s="76"/>
      <c r="CM2205" s="76"/>
      <c r="CN2205" s="76">
        <f>+CM2205*22000</f>
        <v>0</v>
      </c>
      <c r="CO2205" s="76"/>
      <c r="CP2205" s="76">
        <f>+CO2205*46000</f>
        <v>0</v>
      </c>
      <c r="CQ2205" s="76"/>
      <c r="CR2205" s="76">
        <f>+CQ2205*49000</f>
        <v>0</v>
      </c>
      <c r="CS2205" s="76"/>
      <c r="CT2205" s="76"/>
      <c r="CU2205" s="56">
        <f>AN2205+AP2205+AR2205+AT2205+AV2205+AX2205+AZ2205+BB2205+BD2205+BF2205+BH2205+BJ2205+BL2205+BN2205+BP2205+BR2205+BT2205+BV2205+BX2205+BZ2205+CB2205+CD2205+CF2205+CH2205+CJ2205+CL2205+CN2205+CP2205+CR2205+CT2205</f>
        <v>0</v>
      </c>
      <c r="CV2205" s="76"/>
      <c r="CW2205" s="76">
        <f>+CV2205*1100</f>
        <v>0</v>
      </c>
      <c r="CX2205" s="76"/>
      <c r="CY2205" s="76">
        <f>+CX2205*106250</f>
        <v>0</v>
      </c>
      <c r="CZ2205" s="76"/>
      <c r="DA2205" s="76">
        <f>+CZ2205*34500</f>
        <v>0</v>
      </c>
      <c r="DB2205" s="76"/>
      <c r="DC2205" s="76">
        <f>+DB2205*25000</f>
        <v>0</v>
      </c>
      <c r="DD2205" s="219"/>
      <c r="DE2205" s="219"/>
      <c r="DF2205" s="166"/>
      <c r="DG2205" s="116"/>
      <c r="DH2205" s="117"/>
      <c r="DI2205" s="24"/>
      <c r="DJ2205" s="24"/>
      <c r="DK2205" s="24"/>
      <c r="DL2205" s="24"/>
      <c r="DM2205" s="24"/>
      <c r="DN2205" s="24"/>
      <c r="DO2205" s="24"/>
      <c r="DP2205" s="24"/>
      <c r="DQ2205" s="24"/>
      <c r="DR2205" s="24"/>
      <c r="DS2205" s="24"/>
      <c r="DT2205" s="24"/>
      <c r="DU2205" s="24"/>
    </row>
    <row r="2206" spans="1:125" s="8" customFormat="1" ht="120" x14ac:dyDescent="0.2">
      <c r="A2206" s="97">
        <v>41452</v>
      </c>
      <c r="B2206" s="60" t="s">
        <v>2860</v>
      </c>
      <c r="C2206" s="55" t="s">
        <v>2173</v>
      </c>
      <c r="D2206" s="55" t="s">
        <v>2882</v>
      </c>
      <c r="E2206" s="75" t="str">
        <f>VLOOKUP(B2206&amp;C2206,Divipola!$C$2:$F$1138,4,FALSE)</f>
        <v>63470</v>
      </c>
      <c r="F2206" s="87"/>
      <c r="G2206" s="87"/>
      <c r="H2206" s="87"/>
      <c r="I2206" s="87">
        <v>10</v>
      </c>
      <c r="J2206" s="87">
        <v>2</v>
      </c>
      <c r="K2206" s="87"/>
      <c r="L2206" s="87">
        <v>2</v>
      </c>
      <c r="M2206" s="87"/>
      <c r="N2206" s="87"/>
      <c r="O2206" s="87"/>
      <c r="P2206" s="87"/>
      <c r="Q2206" s="87"/>
      <c r="R2206" s="87"/>
      <c r="S2206" s="87"/>
      <c r="T2206" s="87"/>
      <c r="U2206" s="88"/>
      <c r="V2206" s="89"/>
      <c r="W2206" s="96">
        <v>0</v>
      </c>
      <c r="X2206" s="71">
        <f>CU2206</f>
        <v>0</v>
      </c>
      <c r="Y2206" s="71">
        <f>CY2206</f>
        <v>0</v>
      </c>
      <c r="Z2206" s="71">
        <f>DA2206+DC2206+DE2206</f>
        <v>0</v>
      </c>
      <c r="AA2206" s="71">
        <f>CW2206</f>
        <v>0</v>
      </c>
      <c r="AB2206" s="71"/>
      <c r="AC2206" s="71">
        <v>0</v>
      </c>
      <c r="AD2206" s="71">
        <f>W2206+X2206+Y2206+Z2206+AA2206+AB2206+AC2206</f>
        <v>0</v>
      </c>
      <c r="AE2206" s="72">
        <v>0</v>
      </c>
      <c r="AF2206" s="5"/>
      <c r="AG2206" s="6"/>
      <c r="AH2206" s="27" t="s">
        <v>3392</v>
      </c>
      <c r="AI2206" s="44" t="s">
        <v>3393</v>
      </c>
      <c r="AJ2206" s="26"/>
      <c r="AK2206" s="5"/>
      <c r="AL2206" s="82" t="s">
        <v>5073</v>
      </c>
      <c r="AM2206" s="76"/>
      <c r="AN2206" s="76"/>
      <c r="AO2206" s="76"/>
      <c r="AP2206" s="76"/>
      <c r="AQ2206" s="76"/>
      <c r="AR2206" s="76"/>
      <c r="AS2206" s="76"/>
      <c r="AT2206" s="76"/>
      <c r="AU2206" s="76"/>
      <c r="AV2206" s="76"/>
      <c r="AW2206" s="76"/>
      <c r="AX2206" s="76">
        <f>+AW2206*600000</f>
        <v>0</v>
      </c>
      <c r="AY2206" s="76"/>
      <c r="AZ2206" s="76">
        <f>+AY2206*70000</f>
        <v>0</v>
      </c>
      <c r="BA2206" s="76"/>
      <c r="BB2206" s="76"/>
      <c r="BC2206" s="76"/>
      <c r="BD2206" s="76">
        <f>+BC2206*30000</f>
        <v>0</v>
      </c>
      <c r="BE2206" s="76"/>
      <c r="BF2206" s="76"/>
      <c r="BG2206" s="76"/>
      <c r="BH2206" s="76"/>
      <c r="BI2206" s="76"/>
      <c r="BJ2206" s="76"/>
      <c r="BK2206" s="76"/>
      <c r="BL2206" s="76">
        <f>+BK2206*31500</f>
        <v>0</v>
      </c>
      <c r="BM2206" s="76"/>
      <c r="BN2206" s="76"/>
      <c r="BO2206" s="76"/>
      <c r="BP2206" s="76"/>
      <c r="BQ2206" s="76"/>
      <c r="BR2206" s="76"/>
      <c r="BS2206" s="76"/>
      <c r="BT2206" s="76"/>
      <c r="BU2206" s="76"/>
      <c r="BV2206" s="76"/>
      <c r="BW2206" s="76"/>
      <c r="BX2206" s="76"/>
      <c r="BY2206" s="76"/>
      <c r="BZ2206" s="76"/>
      <c r="CA2206" s="76"/>
      <c r="CB2206" s="76"/>
      <c r="CC2206" s="76"/>
      <c r="CD2206" s="76"/>
      <c r="CE2206" s="76"/>
      <c r="CF2206" s="76">
        <f>+CE2206*28000</f>
        <v>0</v>
      </c>
      <c r="CG2206" s="76"/>
      <c r="CH2206" s="76">
        <f>+CG2206*22500</f>
        <v>0</v>
      </c>
      <c r="CI2206" s="76"/>
      <c r="CJ2206" s="76">
        <f>+CI2206*26000</f>
        <v>0</v>
      </c>
      <c r="CK2206" s="76"/>
      <c r="CL2206" s="76"/>
      <c r="CM2206" s="76"/>
      <c r="CN2206" s="76">
        <f>+CM2206*22000</f>
        <v>0</v>
      </c>
      <c r="CO2206" s="76"/>
      <c r="CP2206" s="76">
        <f>+CO2206*46000</f>
        <v>0</v>
      </c>
      <c r="CQ2206" s="76"/>
      <c r="CR2206" s="76">
        <f>+CQ2206*49000</f>
        <v>0</v>
      </c>
      <c r="CS2206" s="76"/>
      <c r="CT2206" s="76"/>
      <c r="CU2206" s="56">
        <f>AN2206+AP2206+AR2206+AT2206+AV2206+AX2206+AZ2206+BB2206+BD2206+BF2206+BH2206+BJ2206+BL2206+BN2206+BP2206+BR2206+BT2206+BV2206+BX2206+BZ2206+CB2206+CD2206+CF2206+CH2206+CJ2206+CL2206+CN2206+CP2206+CR2206+CT2206</f>
        <v>0</v>
      </c>
      <c r="CV2206" s="76"/>
      <c r="CW2206" s="76">
        <f>+CV2206*1100</f>
        <v>0</v>
      </c>
      <c r="CX2206" s="76"/>
      <c r="CY2206" s="76">
        <f>+CX2206*106250</f>
        <v>0</v>
      </c>
      <c r="CZ2206" s="76"/>
      <c r="DA2206" s="76">
        <f>+CZ2206*34500</f>
        <v>0</v>
      </c>
      <c r="DB2206" s="76"/>
      <c r="DC2206" s="76">
        <f>+DB2206*25000</f>
        <v>0</v>
      </c>
      <c r="DD2206" s="219"/>
      <c r="DE2206" s="219"/>
      <c r="DF2206" s="166"/>
      <c r="DG2206" s="116"/>
      <c r="DH2206" s="117"/>
      <c r="DI2206" s="24"/>
      <c r="DJ2206" s="24"/>
      <c r="DK2206" s="24"/>
      <c r="DL2206" s="24"/>
      <c r="DM2206" s="24"/>
      <c r="DN2206" s="24"/>
      <c r="DO2206" s="24"/>
      <c r="DP2206" s="24"/>
      <c r="DQ2206" s="24"/>
      <c r="DR2206" s="24"/>
      <c r="DS2206" s="24"/>
      <c r="DT2206" s="24"/>
      <c r="DU2206" s="24"/>
    </row>
    <row r="2207" spans="1:125" s="8" customFormat="1" ht="36" x14ac:dyDescent="0.2">
      <c r="A2207" s="77">
        <v>41452</v>
      </c>
      <c r="B2207" s="78" t="s">
        <v>2847</v>
      </c>
      <c r="C2207" s="75" t="s">
        <v>525</v>
      </c>
      <c r="D2207" s="75" t="s">
        <v>2882</v>
      </c>
      <c r="E2207" s="75" t="str">
        <f>VLOOKUP(B2207&amp;C2207,Divipola!$C$2:$F$1138,4,FALSE)</f>
        <v>68686</v>
      </c>
      <c r="F2207" s="163"/>
      <c r="G2207" s="163"/>
      <c r="H2207" s="163"/>
      <c r="I2207" s="163">
        <v>600</v>
      </c>
      <c r="J2207" s="163">
        <v>120</v>
      </c>
      <c r="K2207" s="163"/>
      <c r="L2207" s="163">
        <v>7</v>
      </c>
      <c r="M2207" s="163"/>
      <c r="N2207" s="163"/>
      <c r="O2207" s="163"/>
      <c r="P2207" s="163"/>
      <c r="Q2207" s="163"/>
      <c r="R2207" s="163">
        <v>1</v>
      </c>
      <c r="S2207" s="163"/>
      <c r="T2207" s="163"/>
      <c r="U2207" s="163">
        <v>149.85</v>
      </c>
      <c r="V2207" s="134"/>
      <c r="W2207" s="96">
        <v>0</v>
      </c>
      <c r="X2207" s="71">
        <f>CU2207</f>
        <v>0</v>
      </c>
      <c r="Y2207" s="71">
        <f>CY2207</f>
        <v>12666000</v>
      </c>
      <c r="Z2207" s="71">
        <f>DA2207+DC2207+DE2207</f>
        <v>6224000</v>
      </c>
      <c r="AA2207" s="71">
        <f>CW2207</f>
        <v>0</v>
      </c>
      <c r="AB2207" s="71"/>
      <c r="AC2207" s="71">
        <v>0</v>
      </c>
      <c r="AD2207" s="71">
        <f>W2207+X2207+Y2207+Z2207+AA2207+AB2207+AC2207</f>
        <v>18890000</v>
      </c>
      <c r="AE2207" s="72">
        <v>0</v>
      </c>
      <c r="AF2207" s="5"/>
      <c r="AG2207" s="6"/>
      <c r="AH2207" s="27"/>
      <c r="AI2207" s="44"/>
      <c r="AJ2207" s="26"/>
      <c r="AK2207" s="5"/>
      <c r="AL2207" s="82" t="s">
        <v>5221</v>
      </c>
      <c r="AM2207" s="76"/>
      <c r="AN2207" s="76"/>
      <c r="AO2207" s="76"/>
      <c r="AP2207" s="76"/>
      <c r="AQ2207" s="76"/>
      <c r="AR2207" s="76"/>
      <c r="AS2207" s="76"/>
      <c r="AT2207" s="76"/>
      <c r="AU2207" s="76"/>
      <c r="AV2207" s="76"/>
      <c r="AW2207" s="76"/>
      <c r="AX2207" s="76">
        <f>+AW2207*600000</f>
        <v>0</v>
      </c>
      <c r="AY2207" s="76"/>
      <c r="AZ2207" s="76">
        <f>+AY2207*70000</f>
        <v>0</v>
      </c>
      <c r="BA2207" s="76"/>
      <c r="BB2207" s="76"/>
      <c r="BC2207" s="76"/>
      <c r="BD2207" s="76">
        <f>+BC2207*30000</f>
        <v>0</v>
      </c>
      <c r="BE2207" s="76"/>
      <c r="BF2207" s="76"/>
      <c r="BG2207" s="76"/>
      <c r="BH2207" s="76"/>
      <c r="BI2207" s="76"/>
      <c r="BJ2207" s="76"/>
      <c r="BK2207" s="76"/>
      <c r="BL2207" s="76">
        <f>+BK2207*31500</f>
        <v>0</v>
      </c>
      <c r="BM2207" s="76"/>
      <c r="BN2207" s="76"/>
      <c r="BO2207" s="76"/>
      <c r="BP2207" s="76"/>
      <c r="BQ2207" s="76"/>
      <c r="BR2207" s="76"/>
      <c r="BS2207" s="76"/>
      <c r="BT2207" s="76"/>
      <c r="BU2207" s="76"/>
      <c r="BV2207" s="76"/>
      <c r="BW2207" s="76"/>
      <c r="BX2207" s="76"/>
      <c r="BY2207" s="76"/>
      <c r="BZ2207" s="76"/>
      <c r="CA2207" s="76"/>
      <c r="CB2207" s="76"/>
      <c r="CC2207" s="76"/>
      <c r="CD2207" s="76"/>
      <c r="CE2207" s="76"/>
      <c r="CF2207" s="76">
        <f>+CE2207*28000</f>
        <v>0</v>
      </c>
      <c r="CG2207" s="76"/>
      <c r="CH2207" s="76">
        <f>+CG2207*22500</f>
        <v>0</v>
      </c>
      <c r="CI2207" s="76"/>
      <c r="CJ2207" s="76">
        <f>+CI2207*26000</f>
        <v>0</v>
      </c>
      <c r="CK2207" s="76"/>
      <c r="CL2207" s="76"/>
      <c r="CM2207" s="76"/>
      <c r="CN2207" s="76">
        <f>+CM2207*22000</f>
        <v>0</v>
      </c>
      <c r="CO2207" s="76"/>
      <c r="CP2207" s="76">
        <f>+CO2207*46000</f>
        <v>0</v>
      </c>
      <c r="CQ2207" s="76"/>
      <c r="CR2207" s="76">
        <f>+CQ2207*49000</f>
        <v>0</v>
      </c>
      <c r="CS2207" s="76"/>
      <c r="CT2207" s="76"/>
      <c r="CU2207" s="56">
        <f>AN2207+AP2207+AR2207+AT2207+AV2207+AX2207+AZ2207+BB2207+BD2207+BF2207+BH2207+BJ2207+BL2207+BN2207+BP2207+BR2207+BT2207+BV2207+BX2207+BZ2207+CB2207+CD2207+CF2207+CH2207+CJ2207+CL2207+CN2207+CP2207+CR2207+CT2207</f>
        <v>0</v>
      </c>
      <c r="CV2207" s="76"/>
      <c r="CW2207" s="76">
        <f>+CV2207*1100</f>
        <v>0</v>
      </c>
      <c r="CX2207" s="86">
        <v>120</v>
      </c>
      <c r="CY2207" s="86">
        <f>+CX2207*105550</f>
        <v>12666000</v>
      </c>
      <c r="CZ2207" s="76"/>
      <c r="DA2207" s="76">
        <f>+CZ2207*34500</f>
        <v>0</v>
      </c>
      <c r="DB2207" s="86">
        <v>190</v>
      </c>
      <c r="DC2207" s="86">
        <f>150*32000+600*200+40*31000+160*400</f>
        <v>6224000</v>
      </c>
      <c r="DD2207" s="219"/>
      <c r="DE2207" s="219"/>
      <c r="DF2207" s="166"/>
      <c r="DG2207" s="134" t="s">
        <v>5882</v>
      </c>
      <c r="DH2207" s="117"/>
      <c r="DI2207" s="24"/>
      <c r="DJ2207" s="24"/>
      <c r="DK2207" s="24"/>
      <c r="DL2207" s="24"/>
      <c r="DM2207" s="24"/>
      <c r="DN2207" s="24"/>
      <c r="DO2207" s="24"/>
      <c r="DP2207" s="24"/>
      <c r="DQ2207" s="24"/>
      <c r="DR2207" s="24"/>
      <c r="DS2207" s="24"/>
      <c r="DT2207" s="24"/>
      <c r="DU2207" s="24"/>
    </row>
    <row r="2208" spans="1:125" s="8" customFormat="1" ht="48" x14ac:dyDescent="0.2">
      <c r="A2208" s="77">
        <v>41452</v>
      </c>
      <c r="B2208" s="78" t="s">
        <v>2848</v>
      </c>
      <c r="C2208" s="75" t="s">
        <v>484</v>
      </c>
      <c r="D2208" s="75" t="s">
        <v>2882</v>
      </c>
      <c r="E2208" s="75" t="str">
        <f>VLOOKUP(B2208&amp;C2208,Divipola!$C$2:$F$1138,4,FALSE)</f>
        <v>73347</v>
      </c>
      <c r="F2208" s="61"/>
      <c r="G2208" s="61"/>
      <c r="H2208" s="61"/>
      <c r="I2208" s="61">
        <v>150</v>
      </c>
      <c r="J2208" s="61">
        <v>30</v>
      </c>
      <c r="K2208" s="61"/>
      <c r="L2208" s="61">
        <v>30</v>
      </c>
      <c r="M2208" s="61"/>
      <c r="N2208" s="61"/>
      <c r="O2208" s="61"/>
      <c r="P2208" s="61"/>
      <c r="Q2208" s="61"/>
      <c r="R2208" s="61"/>
      <c r="S2208" s="61"/>
      <c r="T2208" s="61"/>
      <c r="U2208" s="61"/>
      <c r="V2208" s="7"/>
      <c r="W2208" s="96">
        <v>0</v>
      </c>
      <c r="X2208" s="71">
        <f>CU2208</f>
        <v>1469986.7999999998</v>
      </c>
      <c r="Y2208" s="71">
        <f>CY2208</f>
        <v>3154125</v>
      </c>
      <c r="Z2208" s="71">
        <f>DA2208+DC2208+DE2208</f>
        <v>21028224.800000001</v>
      </c>
      <c r="AA2208" s="71">
        <f>CW2208</f>
        <v>0</v>
      </c>
      <c r="AB2208" s="71"/>
      <c r="AC2208" s="71">
        <v>0</v>
      </c>
      <c r="AD2208" s="71">
        <f>W2208+X2208+Y2208+Z2208+AA2208+AB2208+AC2208</f>
        <v>25652336.600000001</v>
      </c>
      <c r="AE2208" s="72">
        <v>0</v>
      </c>
      <c r="AF2208" s="5"/>
      <c r="AG2208" s="6"/>
      <c r="AH2208" s="27"/>
      <c r="AI2208" s="44"/>
      <c r="AJ2208" s="26"/>
      <c r="AK2208" s="5"/>
      <c r="AL2208" s="9" t="s">
        <v>6323</v>
      </c>
      <c r="AM2208" s="76"/>
      <c r="AN2208" s="76"/>
      <c r="AO2208" s="76"/>
      <c r="AP2208" s="76"/>
      <c r="AQ2208" s="76"/>
      <c r="AR2208" s="76"/>
      <c r="AS2208" s="76"/>
      <c r="AT2208" s="76"/>
      <c r="AU2208" s="76"/>
      <c r="AV2208" s="76"/>
      <c r="AW2208" s="76"/>
      <c r="AX2208" s="76">
        <f>+AW2208*600000</f>
        <v>0</v>
      </c>
      <c r="AY2208" s="76"/>
      <c r="AZ2208" s="76">
        <f>+AY2208*70000</f>
        <v>0</v>
      </c>
      <c r="BA2208" s="76"/>
      <c r="BB2208" s="76"/>
      <c r="BC2208" s="76"/>
      <c r="BD2208" s="76">
        <f>+BC2208*30000</f>
        <v>0</v>
      </c>
      <c r="BE2208" s="76"/>
      <c r="BF2208" s="76"/>
      <c r="BG2208" s="76"/>
      <c r="BH2208" s="76"/>
      <c r="BI2208" s="76"/>
      <c r="BJ2208" s="76"/>
      <c r="BK2208" s="76"/>
      <c r="BL2208" s="76">
        <f>+BK2208*31500</f>
        <v>0</v>
      </c>
      <c r="BM2208" s="76"/>
      <c r="BN2208" s="76"/>
      <c r="BO2208" s="76"/>
      <c r="BP2208" s="76"/>
      <c r="BQ2208" s="76"/>
      <c r="BR2208" s="76"/>
      <c r="BS2208" s="76"/>
      <c r="BT2208" s="76"/>
      <c r="BU2208" s="76"/>
      <c r="BV2208" s="76"/>
      <c r="BW2208" s="76"/>
      <c r="BX2208" s="76"/>
      <c r="BY2208" s="76"/>
      <c r="BZ2208" s="76"/>
      <c r="CA2208" s="76"/>
      <c r="CB2208" s="76"/>
      <c r="CC2208" s="76"/>
      <c r="CD2208" s="76"/>
      <c r="CE2208" s="76"/>
      <c r="CF2208" s="76">
        <f>+CE2208*28000</f>
        <v>0</v>
      </c>
      <c r="CG2208" s="76"/>
      <c r="CH2208" s="76">
        <f>+CG2208*22500</f>
        <v>0</v>
      </c>
      <c r="CI2208" s="76"/>
      <c r="CJ2208" s="76">
        <f>+CI2208*26000</f>
        <v>0</v>
      </c>
      <c r="CK2208" s="76"/>
      <c r="CL2208" s="76"/>
      <c r="CM2208" s="76"/>
      <c r="CN2208" s="76">
        <f>+CM2208*22000</f>
        <v>0</v>
      </c>
      <c r="CO2208" s="76"/>
      <c r="CP2208" s="76">
        <f>+CO2208*46000</f>
        <v>0</v>
      </c>
      <c r="CQ2208" s="86">
        <v>30</v>
      </c>
      <c r="CR2208" s="86">
        <f>+CQ2208*48999.56</f>
        <v>1469986.7999999998</v>
      </c>
      <c r="CS2208" s="76"/>
      <c r="CT2208" s="76"/>
      <c r="CU2208" s="56">
        <f>AN2208+AP2208+AR2208+AT2208+AV2208+AX2208+AZ2208+BB2208+BD2208+BF2208+BH2208+BJ2208+BL2208+BN2208+BP2208+BR2208+BT2208+BV2208+BX2208+BZ2208+CB2208+CD2208+CF2208+CH2208+CJ2208+CL2208+CN2208+CP2208+CR2208+CT2208</f>
        <v>1469986.7999999998</v>
      </c>
      <c r="CV2208" s="76"/>
      <c r="CW2208" s="76">
        <f>+CV2208*1100</f>
        <v>0</v>
      </c>
      <c r="CX2208" s="86">
        <v>30</v>
      </c>
      <c r="CY2208" s="86">
        <f>+CX2208*105137.5</f>
        <v>3154125</v>
      </c>
      <c r="CZ2208" s="86">
        <v>100</v>
      </c>
      <c r="DA2208" s="86">
        <f>+CZ2208*34449.68</f>
        <v>3444968</v>
      </c>
      <c r="DB2208" s="86">
        <v>500</v>
      </c>
      <c r="DC2208" s="86">
        <f>+DB2208*31999.76+3350*199.52</f>
        <v>16668272</v>
      </c>
      <c r="DD2208" s="358" t="s">
        <v>6418</v>
      </c>
      <c r="DE2208" s="318">
        <f>20*22999.32+5*90999.68</f>
        <v>914984.8</v>
      </c>
      <c r="DF2208" s="166"/>
      <c r="DG2208" s="134" t="s">
        <v>6938</v>
      </c>
      <c r="DH2208" s="117"/>
      <c r="DI2208" s="24"/>
      <c r="DJ2208" s="24"/>
      <c r="DK2208" s="24"/>
      <c r="DL2208" s="24"/>
      <c r="DM2208" s="24"/>
      <c r="DN2208" s="24"/>
      <c r="DO2208" s="24"/>
      <c r="DP2208" s="24"/>
      <c r="DQ2208" s="24"/>
      <c r="DR2208" s="24"/>
      <c r="DS2208" s="24"/>
      <c r="DT2208" s="24"/>
      <c r="DU2208" s="24"/>
    </row>
    <row r="2209" spans="1:125" s="8" customFormat="1" ht="72" x14ac:dyDescent="0.2">
      <c r="A2209" s="353">
        <v>41452</v>
      </c>
      <c r="B2209" s="352" t="s">
        <v>2848</v>
      </c>
      <c r="C2209" s="354" t="s">
        <v>2755</v>
      </c>
      <c r="D2209" s="354" t="s">
        <v>3051</v>
      </c>
      <c r="E2209" s="75" t="str">
        <f>VLOOKUP(B2209&amp;C2209,Divipola!$C$2:$F$1138,4,FALSE)</f>
        <v>73001</v>
      </c>
      <c r="F2209" s="87"/>
      <c r="G2209" s="87"/>
      <c r="H2209" s="87"/>
      <c r="I2209" s="87">
        <v>25</v>
      </c>
      <c r="J2209" s="87">
        <v>5</v>
      </c>
      <c r="K2209" s="87"/>
      <c r="L2209" s="87">
        <v>5</v>
      </c>
      <c r="M2209" s="87"/>
      <c r="N2209" s="87"/>
      <c r="O2209" s="87"/>
      <c r="P2209" s="87"/>
      <c r="Q2209" s="87"/>
      <c r="R2209" s="87"/>
      <c r="S2209" s="87"/>
      <c r="T2209" s="87"/>
      <c r="U2209" s="88"/>
      <c r="V2209" s="89"/>
      <c r="W2209" s="96">
        <v>0</v>
      </c>
      <c r="X2209" s="71">
        <f>CU2209</f>
        <v>0</v>
      </c>
      <c r="Y2209" s="71">
        <f>CY2209</f>
        <v>0</v>
      </c>
      <c r="Z2209" s="71">
        <f>DA2209+DC2209+DE2209</f>
        <v>0</v>
      </c>
      <c r="AA2209" s="71">
        <f>CW2209</f>
        <v>0</v>
      </c>
      <c r="AB2209" s="71"/>
      <c r="AC2209" s="71">
        <v>0</v>
      </c>
      <c r="AD2209" s="71">
        <f>W2209+X2209+Y2209+Z2209+AA2209+AB2209+AC2209</f>
        <v>0</v>
      </c>
      <c r="AE2209" s="72">
        <v>0</v>
      </c>
      <c r="AF2209" s="5"/>
      <c r="AG2209" s="6"/>
      <c r="AH2209" s="27" t="s">
        <v>3392</v>
      </c>
      <c r="AI2209" s="44" t="s">
        <v>3393</v>
      </c>
      <c r="AJ2209" s="26"/>
      <c r="AK2209" s="5"/>
      <c r="AL2209" s="82" t="s">
        <v>5054</v>
      </c>
      <c r="AM2209" s="76"/>
      <c r="AN2209" s="76"/>
      <c r="AO2209" s="76"/>
      <c r="AP2209" s="76"/>
      <c r="AQ2209" s="76"/>
      <c r="AR2209" s="76"/>
      <c r="AS2209" s="76"/>
      <c r="AT2209" s="76"/>
      <c r="AU2209" s="76"/>
      <c r="AV2209" s="76"/>
      <c r="AW2209" s="76"/>
      <c r="AX2209" s="76">
        <f>+AW2209*600000</f>
        <v>0</v>
      </c>
      <c r="AY2209" s="76"/>
      <c r="AZ2209" s="76">
        <f>+AY2209*70000</f>
        <v>0</v>
      </c>
      <c r="BA2209" s="76"/>
      <c r="BB2209" s="76"/>
      <c r="BC2209" s="76"/>
      <c r="BD2209" s="76">
        <f>+BC2209*30000</f>
        <v>0</v>
      </c>
      <c r="BE2209" s="76"/>
      <c r="BF2209" s="76"/>
      <c r="BG2209" s="76"/>
      <c r="BH2209" s="76"/>
      <c r="BI2209" s="76"/>
      <c r="BJ2209" s="76"/>
      <c r="BK2209" s="76"/>
      <c r="BL2209" s="76">
        <f>+BK2209*31500</f>
        <v>0</v>
      </c>
      <c r="BM2209" s="76"/>
      <c r="BN2209" s="76"/>
      <c r="BO2209" s="76"/>
      <c r="BP2209" s="76"/>
      <c r="BQ2209" s="76"/>
      <c r="BR2209" s="76"/>
      <c r="BS2209" s="76"/>
      <c r="BT2209" s="76"/>
      <c r="BU2209" s="76"/>
      <c r="BV2209" s="76"/>
      <c r="BW2209" s="76"/>
      <c r="BX2209" s="76"/>
      <c r="BY2209" s="76"/>
      <c r="BZ2209" s="76"/>
      <c r="CA2209" s="76"/>
      <c r="CB2209" s="76"/>
      <c r="CC2209" s="76"/>
      <c r="CD2209" s="76"/>
      <c r="CE2209" s="76"/>
      <c r="CF2209" s="76">
        <f>+CE2209*28000</f>
        <v>0</v>
      </c>
      <c r="CG2209" s="76"/>
      <c r="CH2209" s="76">
        <f>+CG2209*22500</f>
        <v>0</v>
      </c>
      <c r="CI2209" s="76"/>
      <c r="CJ2209" s="76">
        <f>+CI2209*26000</f>
        <v>0</v>
      </c>
      <c r="CK2209" s="76"/>
      <c r="CL2209" s="76"/>
      <c r="CM2209" s="76"/>
      <c r="CN2209" s="76">
        <f>+CM2209*22000</f>
        <v>0</v>
      </c>
      <c r="CO2209" s="76"/>
      <c r="CP2209" s="76">
        <f>+CO2209*46000</f>
        <v>0</v>
      </c>
      <c r="CQ2209" s="76"/>
      <c r="CR2209" s="76">
        <f>+CQ2209*49000</f>
        <v>0</v>
      </c>
      <c r="CS2209" s="76"/>
      <c r="CT2209" s="76"/>
      <c r="CU2209" s="56">
        <f>AN2209+AP2209+AR2209+AT2209+AV2209+AX2209+AZ2209+BB2209+BD2209+BF2209+BH2209+BJ2209+BL2209+BN2209+BP2209+BR2209+BT2209+BV2209+BX2209+BZ2209+CB2209+CD2209+CF2209+CH2209+CJ2209+CL2209+CN2209+CP2209+CR2209+CT2209</f>
        <v>0</v>
      </c>
      <c r="CV2209" s="76"/>
      <c r="CW2209" s="76">
        <f>+CV2209*1100</f>
        <v>0</v>
      </c>
      <c r="CX2209" s="76"/>
      <c r="CY2209" s="76">
        <f>+CX2209*106250</f>
        <v>0</v>
      </c>
      <c r="CZ2209" s="76"/>
      <c r="DA2209" s="76">
        <f>+CZ2209*34500</f>
        <v>0</v>
      </c>
      <c r="DB2209" s="76"/>
      <c r="DC2209" s="76">
        <f>+DB2209*25000</f>
        <v>0</v>
      </c>
      <c r="DD2209" s="219"/>
      <c r="DE2209" s="219"/>
      <c r="DF2209" s="166"/>
      <c r="DG2209" s="116"/>
      <c r="DH2209" s="117"/>
      <c r="DI2209" s="24"/>
      <c r="DJ2209" s="24"/>
      <c r="DK2209" s="24"/>
      <c r="DL2209" s="24"/>
      <c r="DM2209" s="24"/>
      <c r="DN2209" s="24"/>
      <c r="DO2209" s="24"/>
      <c r="DP2209" s="24"/>
      <c r="DQ2209" s="24"/>
      <c r="DR2209" s="24"/>
      <c r="DS2209" s="24"/>
      <c r="DT2209" s="24"/>
      <c r="DU2209" s="24"/>
    </row>
    <row r="2210" spans="1:125" s="8" customFormat="1" ht="72" x14ac:dyDescent="0.2">
      <c r="A2210" s="353">
        <v>41452</v>
      </c>
      <c r="B2210" s="352" t="s">
        <v>2848</v>
      </c>
      <c r="C2210" s="354" t="s">
        <v>2755</v>
      </c>
      <c r="D2210" s="354" t="s">
        <v>3051</v>
      </c>
      <c r="E2210" s="75" t="str">
        <f>VLOOKUP(B2210&amp;C2210,Divipola!$C$2:$F$1138,4,FALSE)</f>
        <v>73001</v>
      </c>
      <c r="F2210" s="87"/>
      <c r="G2210" s="87"/>
      <c r="H2210" s="87"/>
      <c r="I2210" s="87">
        <v>5</v>
      </c>
      <c r="J2210" s="87">
        <v>1</v>
      </c>
      <c r="K2210" s="87"/>
      <c r="L2210" s="87">
        <v>1</v>
      </c>
      <c r="M2210" s="87"/>
      <c r="N2210" s="87"/>
      <c r="O2210" s="87"/>
      <c r="P2210" s="87"/>
      <c r="Q2210" s="87"/>
      <c r="R2210" s="87"/>
      <c r="S2210" s="87"/>
      <c r="T2210" s="87"/>
      <c r="U2210" s="88"/>
      <c r="V2210" s="89"/>
      <c r="W2210" s="96">
        <v>0</v>
      </c>
      <c r="X2210" s="71">
        <f>CU2210</f>
        <v>0</v>
      </c>
      <c r="Y2210" s="71">
        <f>CY2210</f>
        <v>0</v>
      </c>
      <c r="Z2210" s="71">
        <f>DA2210+DC2210+DE2210</f>
        <v>0</v>
      </c>
      <c r="AA2210" s="71">
        <f>CW2210</f>
        <v>0</v>
      </c>
      <c r="AB2210" s="71"/>
      <c r="AC2210" s="71">
        <v>0</v>
      </c>
      <c r="AD2210" s="71">
        <f>W2210+X2210+Y2210+Z2210+AA2210+AB2210+AC2210</f>
        <v>0</v>
      </c>
      <c r="AE2210" s="72">
        <v>0</v>
      </c>
      <c r="AF2210" s="5"/>
      <c r="AG2210" s="6"/>
      <c r="AH2210" s="27" t="s">
        <v>3392</v>
      </c>
      <c r="AI2210" s="44" t="s">
        <v>3393</v>
      </c>
      <c r="AJ2210" s="26"/>
      <c r="AK2210" s="5"/>
      <c r="AL2210" s="82" t="s">
        <v>5065</v>
      </c>
      <c r="AM2210" s="76"/>
      <c r="AN2210" s="76"/>
      <c r="AO2210" s="76"/>
      <c r="AP2210" s="76"/>
      <c r="AQ2210" s="76"/>
      <c r="AR2210" s="76"/>
      <c r="AS2210" s="76"/>
      <c r="AT2210" s="76"/>
      <c r="AU2210" s="76"/>
      <c r="AV2210" s="76"/>
      <c r="AW2210" s="76"/>
      <c r="AX2210" s="76">
        <f>+AW2210*600000</f>
        <v>0</v>
      </c>
      <c r="AY2210" s="76"/>
      <c r="AZ2210" s="76">
        <f>+AY2210*70000</f>
        <v>0</v>
      </c>
      <c r="BA2210" s="76"/>
      <c r="BB2210" s="76"/>
      <c r="BC2210" s="76"/>
      <c r="BD2210" s="76">
        <f>+BC2210*30000</f>
        <v>0</v>
      </c>
      <c r="BE2210" s="76"/>
      <c r="BF2210" s="76"/>
      <c r="BG2210" s="76"/>
      <c r="BH2210" s="76"/>
      <c r="BI2210" s="76"/>
      <c r="BJ2210" s="76"/>
      <c r="BK2210" s="76"/>
      <c r="BL2210" s="76">
        <f>+BK2210*31500</f>
        <v>0</v>
      </c>
      <c r="BM2210" s="76"/>
      <c r="BN2210" s="76"/>
      <c r="BO2210" s="76"/>
      <c r="BP2210" s="76"/>
      <c r="BQ2210" s="76"/>
      <c r="BR2210" s="76"/>
      <c r="BS2210" s="76"/>
      <c r="BT2210" s="76"/>
      <c r="BU2210" s="76"/>
      <c r="BV2210" s="76"/>
      <c r="BW2210" s="76"/>
      <c r="BX2210" s="76"/>
      <c r="BY2210" s="76"/>
      <c r="BZ2210" s="76"/>
      <c r="CA2210" s="76"/>
      <c r="CB2210" s="76"/>
      <c r="CC2210" s="76"/>
      <c r="CD2210" s="76"/>
      <c r="CE2210" s="76"/>
      <c r="CF2210" s="76">
        <f>+CE2210*28000</f>
        <v>0</v>
      </c>
      <c r="CG2210" s="76"/>
      <c r="CH2210" s="76">
        <f>+CG2210*22500</f>
        <v>0</v>
      </c>
      <c r="CI2210" s="76"/>
      <c r="CJ2210" s="76">
        <f>+CI2210*26000</f>
        <v>0</v>
      </c>
      <c r="CK2210" s="76"/>
      <c r="CL2210" s="76"/>
      <c r="CM2210" s="76"/>
      <c r="CN2210" s="76">
        <f>+CM2210*22000</f>
        <v>0</v>
      </c>
      <c r="CO2210" s="76"/>
      <c r="CP2210" s="76">
        <f>+CO2210*46000</f>
        <v>0</v>
      </c>
      <c r="CQ2210" s="76"/>
      <c r="CR2210" s="76">
        <f>+CQ2210*49000</f>
        <v>0</v>
      </c>
      <c r="CS2210" s="76"/>
      <c r="CT2210" s="76"/>
      <c r="CU2210" s="56">
        <f>AN2210+AP2210+AR2210+AT2210+AV2210+AX2210+AZ2210+BB2210+BD2210+BF2210+BH2210+BJ2210+BL2210+BN2210+BP2210+BR2210+BT2210+BV2210+BX2210+BZ2210+CB2210+CD2210+CF2210+CH2210+CJ2210+CL2210+CN2210+CP2210+CR2210+CT2210</f>
        <v>0</v>
      </c>
      <c r="CV2210" s="76"/>
      <c r="CW2210" s="76">
        <f>+CV2210*1100</f>
        <v>0</v>
      </c>
      <c r="CX2210" s="76"/>
      <c r="CY2210" s="76">
        <f>+CX2210*106250</f>
        <v>0</v>
      </c>
      <c r="CZ2210" s="76"/>
      <c r="DA2210" s="76">
        <f>+CZ2210*34500</f>
        <v>0</v>
      </c>
      <c r="DB2210" s="76"/>
      <c r="DC2210" s="76">
        <f>+DB2210*25000</f>
        <v>0</v>
      </c>
      <c r="DD2210" s="219"/>
      <c r="DE2210" s="219"/>
      <c r="DF2210" s="166"/>
      <c r="DG2210" s="116"/>
      <c r="DH2210" s="117"/>
      <c r="DI2210" s="24"/>
      <c r="DJ2210" s="24"/>
      <c r="DK2210" s="24"/>
      <c r="DL2210" s="24"/>
      <c r="DM2210" s="24"/>
      <c r="DN2210" s="24"/>
      <c r="DO2210" s="24"/>
      <c r="DP2210" s="24"/>
      <c r="DQ2210" s="24"/>
      <c r="DR2210" s="24"/>
      <c r="DS2210" s="24"/>
      <c r="DT2210" s="24"/>
      <c r="DU2210" s="24"/>
    </row>
    <row r="2211" spans="1:125" s="8" customFormat="1" ht="156" x14ac:dyDescent="0.2">
      <c r="A2211" s="77">
        <v>41452</v>
      </c>
      <c r="B2211" s="78" t="s">
        <v>2848</v>
      </c>
      <c r="C2211" s="75" t="s">
        <v>2077</v>
      </c>
      <c r="D2211" s="75" t="s">
        <v>3051</v>
      </c>
      <c r="E2211" s="75" t="str">
        <f>VLOOKUP(B2211&amp;C2211,Divipola!$C$2:$F$1138,4,FALSE)</f>
        <v>73411</v>
      </c>
      <c r="F2211" s="87"/>
      <c r="G2211" s="87"/>
      <c r="H2211" s="87"/>
      <c r="I2211" s="87">
        <v>175</v>
      </c>
      <c r="J2211" s="87">
        <v>35</v>
      </c>
      <c r="K2211" s="87"/>
      <c r="L2211" s="87">
        <v>35</v>
      </c>
      <c r="M2211" s="87">
        <v>5</v>
      </c>
      <c r="N2211" s="87"/>
      <c r="O2211" s="87"/>
      <c r="P2211" s="87">
        <v>1</v>
      </c>
      <c r="Q2211" s="87"/>
      <c r="R2211" s="87"/>
      <c r="S2211" s="87"/>
      <c r="T2211" s="87"/>
      <c r="U2211" s="88"/>
      <c r="V2211" s="89"/>
      <c r="W2211" s="96">
        <v>0</v>
      </c>
      <c r="X2211" s="71">
        <f>CU2211</f>
        <v>3919964.8</v>
      </c>
      <c r="Y2211" s="71">
        <f>CY2211</f>
        <v>8500000</v>
      </c>
      <c r="Z2211" s="71">
        <f>DA2211+DC2211+DE2211</f>
        <v>109147404.40000001</v>
      </c>
      <c r="AA2211" s="71">
        <f>CW2211</f>
        <v>0</v>
      </c>
      <c r="AB2211" s="71"/>
      <c r="AC2211" s="71">
        <v>0</v>
      </c>
      <c r="AD2211" s="71">
        <f>W2211+X2211+Y2211+Z2211+AA2211+AB2211+AC2211</f>
        <v>121567369.2</v>
      </c>
      <c r="AE2211" s="72">
        <v>0</v>
      </c>
      <c r="AF2211" s="5"/>
      <c r="AG2211" s="6"/>
      <c r="AH2211" s="27" t="s">
        <v>3392</v>
      </c>
      <c r="AI2211" s="44" t="s">
        <v>3393</v>
      </c>
      <c r="AJ2211" s="26"/>
      <c r="AK2211" s="5"/>
      <c r="AL2211" s="82" t="s">
        <v>5067</v>
      </c>
      <c r="AM2211" s="76"/>
      <c r="AN2211" s="76"/>
      <c r="AO2211" s="76"/>
      <c r="AP2211" s="76"/>
      <c r="AQ2211" s="76"/>
      <c r="AR2211" s="76"/>
      <c r="AS2211" s="76"/>
      <c r="AT2211" s="76"/>
      <c r="AU2211" s="76"/>
      <c r="AV2211" s="76"/>
      <c r="AW2211" s="76"/>
      <c r="AX2211" s="76">
        <f>+AW2211*600000</f>
        <v>0</v>
      </c>
      <c r="AY2211" s="76"/>
      <c r="AZ2211" s="76">
        <f>+AY2211*70000</f>
        <v>0</v>
      </c>
      <c r="BA2211" s="76"/>
      <c r="BB2211" s="76"/>
      <c r="BC2211" s="76"/>
      <c r="BD2211" s="76">
        <f>+BC2211*30000</f>
        <v>0</v>
      </c>
      <c r="BE2211" s="76"/>
      <c r="BF2211" s="76"/>
      <c r="BG2211" s="76"/>
      <c r="BH2211" s="76"/>
      <c r="BI2211" s="76"/>
      <c r="BJ2211" s="76"/>
      <c r="BK2211" s="76"/>
      <c r="BL2211" s="76">
        <f>+BK2211*31500</f>
        <v>0</v>
      </c>
      <c r="BM2211" s="76"/>
      <c r="BN2211" s="76"/>
      <c r="BO2211" s="76"/>
      <c r="BP2211" s="76"/>
      <c r="BQ2211" s="76"/>
      <c r="BR2211" s="76"/>
      <c r="BS2211" s="76"/>
      <c r="BT2211" s="76"/>
      <c r="BU2211" s="76"/>
      <c r="BV2211" s="76"/>
      <c r="BW2211" s="76"/>
      <c r="BX2211" s="76"/>
      <c r="BY2211" s="76"/>
      <c r="BZ2211" s="76"/>
      <c r="CA2211" s="76"/>
      <c r="CB2211" s="76"/>
      <c r="CC2211" s="76"/>
      <c r="CD2211" s="76"/>
      <c r="CE2211" s="76"/>
      <c r="CF2211" s="76">
        <f>+CE2211*28000</f>
        <v>0</v>
      </c>
      <c r="CG2211" s="76"/>
      <c r="CH2211" s="76">
        <f>+CG2211*22500</f>
        <v>0</v>
      </c>
      <c r="CI2211" s="76"/>
      <c r="CJ2211" s="76">
        <f>+CI2211*26000</f>
        <v>0</v>
      </c>
      <c r="CK2211" s="76"/>
      <c r="CL2211" s="76"/>
      <c r="CM2211" s="76"/>
      <c r="CN2211" s="76">
        <f>+CM2211*22000</f>
        <v>0</v>
      </c>
      <c r="CO2211" s="76"/>
      <c r="CP2211" s="76">
        <f>+CO2211*46000</f>
        <v>0</v>
      </c>
      <c r="CQ2211" s="86">
        <v>80</v>
      </c>
      <c r="CR2211" s="86">
        <f>+CQ2211*48999.56</f>
        <v>3919964.8</v>
      </c>
      <c r="CS2211" s="76"/>
      <c r="CT2211" s="76"/>
      <c r="CU2211" s="56">
        <f>AN2211+AP2211+AR2211+AT2211+AV2211+AX2211+AZ2211+BB2211+BD2211+BF2211+BH2211+BJ2211+BL2211+BN2211+BP2211+BR2211+BT2211+BV2211+BX2211+BZ2211+CB2211+CD2211+CF2211+CH2211+CJ2211+CL2211+CN2211+CP2211+CR2211+CT2211</f>
        <v>3919964.8</v>
      </c>
      <c r="CV2211" s="76"/>
      <c r="CW2211" s="76">
        <f>+CV2211*1100</f>
        <v>0</v>
      </c>
      <c r="CX2211" s="86">
        <v>80</v>
      </c>
      <c r="CY2211" s="86">
        <f>+CX2211*106250</f>
        <v>8500000</v>
      </c>
      <c r="CZ2211" s="86">
        <v>500</v>
      </c>
      <c r="DA2211" s="86">
        <f>+CZ2211*34499.56</f>
        <v>17249780</v>
      </c>
      <c r="DB2211" s="86">
        <f>1000+49</f>
        <v>1049</v>
      </c>
      <c r="DC2211" s="86">
        <f>1000*32000.92+3000*199.52+40*31001+9*39799.6</f>
        <v>34197716.399999999</v>
      </c>
      <c r="DD2211" s="317" t="s">
        <v>6419</v>
      </c>
      <c r="DE2211" s="318">
        <f>50*90999.68+50*23000.48+100*519999</f>
        <v>57699908</v>
      </c>
      <c r="DF2211" s="166"/>
      <c r="DG2211" s="134" t="s">
        <v>6975</v>
      </c>
      <c r="DH2211" s="117"/>
      <c r="DI2211" s="24"/>
      <c r="DJ2211" s="24"/>
      <c r="DK2211" s="24"/>
      <c r="DL2211" s="24"/>
      <c r="DM2211" s="24"/>
      <c r="DN2211" s="24"/>
      <c r="DO2211" s="24"/>
      <c r="DP2211" s="24"/>
      <c r="DQ2211" s="24"/>
      <c r="DR2211" s="24"/>
      <c r="DS2211" s="24"/>
      <c r="DT2211" s="24"/>
      <c r="DU2211" s="24"/>
    </row>
    <row r="2212" spans="1:125" s="8" customFormat="1" ht="36" x14ac:dyDescent="0.2">
      <c r="A2212" s="353">
        <v>41452</v>
      </c>
      <c r="B2212" s="352" t="s">
        <v>2848</v>
      </c>
      <c r="C2212" s="354" t="s">
        <v>1392</v>
      </c>
      <c r="D2212" s="354" t="s">
        <v>2882</v>
      </c>
      <c r="E2212" s="75" t="str">
        <f>VLOOKUP(B2212&amp;C2212,Divipola!$C$2:$F$1138,4,FALSE)</f>
        <v>73520</v>
      </c>
      <c r="F2212" s="87"/>
      <c r="G2212" s="87"/>
      <c r="H2212" s="87"/>
      <c r="I2212" s="87">
        <v>25</v>
      </c>
      <c r="J2212" s="87">
        <v>5</v>
      </c>
      <c r="K2212" s="87"/>
      <c r="L2212" s="87">
        <v>5</v>
      </c>
      <c r="M2212" s="87"/>
      <c r="N2212" s="87"/>
      <c r="O2212" s="87"/>
      <c r="P2212" s="87"/>
      <c r="Q2212" s="87"/>
      <c r="R2212" s="87"/>
      <c r="S2212" s="87"/>
      <c r="T2212" s="87"/>
      <c r="U2212" s="88"/>
      <c r="V2212" s="89"/>
      <c r="W2212" s="96">
        <v>0</v>
      </c>
      <c r="X2212" s="71">
        <f>CU2212</f>
        <v>0</v>
      </c>
      <c r="Y2212" s="71">
        <f>CY2212</f>
        <v>0</v>
      </c>
      <c r="Z2212" s="71">
        <f>DA2212+DC2212+DE2212</f>
        <v>0</v>
      </c>
      <c r="AA2212" s="71">
        <f>CW2212</f>
        <v>0</v>
      </c>
      <c r="AB2212" s="71"/>
      <c r="AC2212" s="71">
        <v>0</v>
      </c>
      <c r="AD2212" s="71">
        <f>W2212+X2212+Y2212+Z2212+AA2212+AB2212+AC2212</f>
        <v>0</v>
      </c>
      <c r="AE2212" s="72">
        <v>0</v>
      </c>
      <c r="AF2212" s="5"/>
      <c r="AG2212" s="6"/>
      <c r="AH2212" s="27" t="s">
        <v>3392</v>
      </c>
      <c r="AI2212" s="44" t="s">
        <v>3393</v>
      </c>
      <c r="AJ2212" s="26"/>
      <c r="AK2212" s="5"/>
      <c r="AL2212" s="82" t="s">
        <v>5072</v>
      </c>
      <c r="AM2212" s="76"/>
      <c r="AN2212" s="76"/>
      <c r="AO2212" s="76"/>
      <c r="AP2212" s="76"/>
      <c r="AQ2212" s="76"/>
      <c r="AR2212" s="76"/>
      <c r="AS2212" s="76"/>
      <c r="AT2212" s="76"/>
      <c r="AU2212" s="76"/>
      <c r="AV2212" s="76"/>
      <c r="AW2212" s="76"/>
      <c r="AX2212" s="76">
        <f>+AW2212*600000</f>
        <v>0</v>
      </c>
      <c r="AY2212" s="76"/>
      <c r="AZ2212" s="76">
        <f>+AY2212*70000</f>
        <v>0</v>
      </c>
      <c r="BA2212" s="76"/>
      <c r="BB2212" s="76"/>
      <c r="BC2212" s="76"/>
      <c r="BD2212" s="76">
        <f>+BC2212*30000</f>
        <v>0</v>
      </c>
      <c r="BE2212" s="76"/>
      <c r="BF2212" s="76"/>
      <c r="BG2212" s="76"/>
      <c r="BH2212" s="76"/>
      <c r="BI2212" s="76"/>
      <c r="BJ2212" s="76"/>
      <c r="BK2212" s="76"/>
      <c r="BL2212" s="76">
        <f>+BK2212*31500</f>
        <v>0</v>
      </c>
      <c r="BM2212" s="76"/>
      <c r="BN2212" s="76"/>
      <c r="BO2212" s="76"/>
      <c r="BP2212" s="76"/>
      <c r="BQ2212" s="76"/>
      <c r="BR2212" s="76"/>
      <c r="BS2212" s="76"/>
      <c r="BT2212" s="76"/>
      <c r="BU2212" s="76"/>
      <c r="BV2212" s="76"/>
      <c r="BW2212" s="76"/>
      <c r="BX2212" s="76"/>
      <c r="BY2212" s="76"/>
      <c r="BZ2212" s="76"/>
      <c r="CA2212" s="76"/>
      <c r="CB2212" s="76"/>
      <c r="CC2212" s="76"/>
      <c r="CD2212" s="76"/>
      <c r="CE2212" s="76"/>
      <c r="CF2212" s="76">
        <f>+CE2212*28000</f>
        <v>0</v>
      </c>
      <c r="CG2212" s="76"/>
      <c r="CH2212" s="76">
        <f>+CG2212*22500</f>
        <v>0</v>
      </c>
      <c r="CI2212" s="76"/>
      <c r="CJ2212" s="76">
        <f>+CI2212*26000</f>
        <v>0</v>
      </c>
      <c r="CK2212" s="76"/>
      <c r="CL2212" s="76"/>
      <c r="CM2212" s="76"/>
      <c r="CN2212" s="76">
        <f>+CM2212*22000</f>
        <v>0</v>
      </c>
      <c r="CO2212" s="76"/>
      <c r="CP2212" s="76">
        <f>+CO2212*46000</f>
        <v>0</v>
      </c>
      <c r="CQ2212" s="76"/>
      <c r="CR2212" s="76">
        <f>+CQ2212*49000</f>
        <v>0</v>
      </c>
      <c r="CS2212" s="76"/>
      <c r="CT2212" s="76"/>
      <c r="CU2212" s="56">
        <f>AN2212+AP2212+AR2212+AT2212+AV2212+AX2212+AZ2212+BB2212+BD2212+BF2212+BH2212+BJ2212+BL2212+BN2212+BP2212+BR2212+BT2212+BV2212+BX2212+BZ2212+CB2212+CD2212+CF2212+CH2212+CJ2212+CL2212+CN2212+CP2212+CR2212+CT2212</f>
        <v>0</v>
      </c>
      <c r="CV2212" s="76"/>
      <c r="CW2212" s="76">
        <f>+CV2212*1100</f>
        <v>0</v>
      </c>
      <c r="CX2212" s="76"/>
      <c r="CY2212" s="76">
        <f>+CX2212*106250</f>
        <v>0</v>
      </c>
      <c r="CZ2212" s="76"/>
      <c r="DA2212" s="76">
        <f>+CZ2212*34500</f>
        <v>0</v>
      </c>
      <c r="DB2212" s="76"/>
      <c r="DC2212" s="76">
        <f>+DB2212*25000</f>
        <v>0</v>
      </c>
      <c r="DD2212" s="219"/>
      <c r="DE2212" s="219"/>
      <c r="DF2212" s="166"/>
      <c r="DG2212" s="116"/>
      <c r="DH2212" s="117"/>
      <c r="DI2212" s="24"/>
      <c r="DJ2212" s="24"/>
      <c r="DK2212" s="24"/>
      <c r="DL2212" s="24"/>
      <c r="DM2212" s="24"/>
      <c r="DN2212" s="24"/>
      <c r="DO2212" s="24"/>
      <c r="DP2212" s="24"/>
      <c r="DQ2212" s="24"/>
      <c r="DR2212" s="24"/>
      <c r="DS2212" s="24"/>
      <c r="DT2212" s="24"/>
      <c r="DU2212" s="24"/>
    </row>
    <row r="2213" spans="1:125" s="8" customFormat="1" ht="60" x14ac:dyDescent="0.2">
      <c r="A2213" s="353">
        <v>41452</v>
      </c>
      <c r="B2213" s="352" t="s">
        <v>2851</v>
      </c>
      <c r="C2213" s="354" t="s">
        <v>1959</v>
      </c>
      <c r="D2213" s="354" t="s">
        <v>2882</v>
      </c>
      <c r="E2213" s="75" t="str">
        <f>VLOOKUP(B2213&amp;C2213,Divipola!$C$2:$F$1138,4,FALSE)</f>
        <v>76616</v>
      </c>
      <c r="F2213" s="87"/>
      <c r="G2213" s="87"/>
      <c r="H2213" s="87"/>
      <c r="I2213" s="87">
        <f>188*5</f>
        <v>940</v>
      </c>
      <c r="J2213" s="87">
        <v>188</v>
      </c>
      <c r="K2213" s="87"/>
      <c r="L2213" s="87">
        <v>188</v>
      </c>
      <c r="M2213" s="87"/>
      <c r="N2213" s="87"/>
      <c r="O2213" s="87"/>
      <c r="P2213" s="87"/>
      <c r="Q2213" s="87"/>
      <c r="R2213" s="87"/>
      <c r="S2213" s="87"/>
      <c r="T2213" s="87">
        <v>1</v>
      </c>
      <c r="U2213" s="88"/>
      <c r="V2213" s="89"/>
      <c r="W2213" s="96">
        <v>0</v>
      </c>
      <c r="X2213" s="71">
        <f>CU2213</f>
        <v>90050465.920000002</v>
      </c>
      <c r="Y2213" s="71">
        <f>CY2213</f>
        <v>19740470</v>
      </c>
      <c r="Z2213" s="71">
        <f>DA2213+DC2213+DE2213</f>
        <v>48235236</v>
      </c>
      <c r="AA2213" s="71">
        <f>CW2213</f>
        <v>0</v>
      </c>
      <c r="AB2213" s="71"/>
      <c r="AC2213" s="71">
        <v>0</v>
      </c>
      <c r="AD2213" s="71">
        <f>W2213+X2213+Y2213+Z2213+AA2213+AB2213+AC2213</f>
        <v>158026171.92000002</v>
      </c>
      <c r="AE2213" s="72">
        <v>0</v>
      </c>
      <c r="AF2213" s="5"/>
      <c r="AG2213" s="6"/>
      <c r="AH2213" s="27" t="s">
        <v>3390</v>
      </c>
      <c r="AI2213" s="44" t="s">
        <v>3391</v>
      </c>
      <c r="AJ2213" s="26"/>
      <c r="AK2213" s="5"/>
      <c r="AL2213" s="82" t="s">
        <v>5070</v>
      </c>
      <c r="AM2213" s="76"/>
      <c r="AN2213" s="76"/>
      <c r="AO2213" s="76"/>
      <c r="AP2213" s="76"/>
      <c r="AQ2213" s="76"/>
      <c r="AR2213" s="76"/>
      <c r="AS2213" s="76"/>
      <c r="AT2213" s="76"/>
      <c r="AU2213" s="76"/>
      <c r="AV2213" s="76"/>
      <c r="AW2213" s="76"/>
      <c r="AX2213" s="76">
        <f>+AW2213*600000</f>
        <v>0</v>
      </c>
      <c r="AY2213" s="86">
        <v>752</v>
      </c>
      <c r="AZ2213" s="86">
        <f>+AY2213*69999.04</f>
        <v>52639278.079999998</v>
      </c>
      <c r="BA2213" s="76"/>
      <c r="BB2213" s="76"/>
      <c r="BC2213" s="76"/>
      <c r="BD2213" s="76">
        <f>+BC2213*30000</f>
        <v>0</v>
      </c>
      <c r="BE2213" s="76"/>
      <c r="BF2213" s="76"/>
      <c r="BG2213" s="76"/>
      <c r="BH2213" s="76"/>
      <c r="BI2213" s="76"/>
      <c r="BJ2213" s="76"/>
      <c r="BK2213" s="76"/>
      <c r="BL2213" s="76">
        <f>+BK2213*31500</f>
        <v>0</v>
      </c>
      <c r="BM2213" s="76"/>
      <c r="BN2213" s="76"/>
      <c r="BO2213" s="76"/>
      <c r="BP2213" s="76"/>
      <c r="BQ2213" s="76"/>
      <c r="BR2213" s="76"/>
      <c r="BS2213" s="76"/>
      <c r="BT2213" s="76"/>
      <c r="BU2213" s="76"/>
      <c r="BV2213" s="76"/>
      <c r="BW2213" s="76"/>
      <c r="BX2213" s="76"/>
      <c r="BY2213" s="76"/>
      <c r="BZ2213" s="76"/>
      <c r="CA2213" s="76"/>
      <c r="CB2213" s="76"/>
      <c r="CC2213" s="76"/>
      <c r="CD2213" s="76"/>
      <c r="CE2213" s="76"/>
      <c r="CF2213" s="76">
        <f>+CE2213*28000</f>
        <v>0</v>
      </c>
      <c r="CG2213" s="76"/>
      <c r="CH2213" s="76">
        <f>+CG2213*22500</f>
        <v>0</v>
      </c>
      <c r="CI2213" s="86">
        <v>752</v>
      </c>
      <c r="CJ2213" s="86">
        <f>+CI2213*25999.08</f>
        <v>19551308.16</v>
      </c>
      <c r="CK2213" s="76"/>
      <c r="CL2213" s="76"/>
      <c r="CM2213" s="76"/>
      <c r="CN2213" s="76">
        <f>+CM2213*22000</f>
        <v>0</v>
      </c>
      <c r="CO2213" s="86">
        <v>188</v>
      </c>
      <c r="CP2213" s="86">
        <f>+CO2213*45999.8</f>
        <v>8647962.4000000004</v>
      </c>
      <c r="CQ2213" s="86">
        <v>188</v>
      </c>
      <c r="CR2213" s="86">
        <f>+CQ2213*48999.56</f>
        <v>9211917.2799999993</v>
      </c>
      <c r="CS2213" s="76"/>
      <c r="CT2213" s="76"/>
      <c r="CU2213" s="56">
        <f>AN2213+AP2213+AR2213+AT2213+AV2213+AX2213+AZ2213+BB2213+BD2213+BF2213+BH2213+BJ2213+BL2213+BN2213+BP2213+BR2213+BT2213+BV2213+BX2213+BZ2213+CB2213+CD2213+CF2213+CH2213+CJ2213+CL2213+CN2213+CP2213+CR2213+CT2213</f>
        <v>90050465.920000002</v>
      </c>
      <c r="CV2213" s="76"/>
      <c r="CW2213" s="76">
        <f>+CV2213*1100</f>
        <v>0</v>
      </c>
      <c r="CX2213" s="86">
        <v>188</v>
      </c>
      <c r="CY2213" s="86">
        <f>+CX2213*105002.5</f>
        <v>19740470</v>
      </c>
      <c r="CZ2213" s="76"/>
      <c r="DA2213" s="76">
        <f>+CZ2213*34500</f>
        <v>0</v>
      </c>
      <c r="DB2213" s="86">
        <f>1500+300</f>
        <v>1800</v>
      </c>
      <c r="DC2213" s="86">
        <f>1500*24999.16+7200*199.52+300*30999.84</f>
        <v>48235236</v>
      </c>
      <c r="DD2213" s="219"/>
      <c r="DE2213" s="219"/>
      <c r="DF2213" s="166"/>
      <c r="DG2213" s="134" t="s">
        <v>5879</v>
      </c>
      <c r="DH2213" s="117"/>
      <c r="DI2213" s="24"/>
      <c r="DJ2213" s="24"/>
      <c r="DK2213" s="24"/>
      <c r="DL2213" s="24"/>
      <c r="DM2213" s="24"/>
      <c r="DN2213" s="24"/>
      <c r="DO2213" s="24"/>
      <c r="DP2213" s="24"/>
      <c r="DQ2213" s="24"/>
      <c r="DR2213" s="24"/>
      <c r="DS2213" s="24"/>
      <c r="DT2213" s="24"/>
      <c r="DU2213" s="24"/>
    </row>
    <row r="2214" spans="1:125" s="8" customFormat="1" ht="84" x14ac:dyDescent="0.2">
      <c r="A2214" s="77">
        <v>41452</v>
      </c>
      <c r="B2214" s="225" t="s">
        <v>2851</v>
      </c>
      <c r="C2214" s="227" t="s">
        <v>2751</v>
      </c>
      <c r="D2214" s="354" t="s">
        <v>3051</v>
      </c>
      <c r="E2214" s="75" t="str">
        <f>VLOOKUP(B2214&amp;C2214,Divipola!$C$2:$F$1138,4,FALSE)</f>
        <v>76828</v>
      </c>
      <c r="F2214" s="87"/>
      <c r="G2214" s="87"/>
      <c r="H2214" s="87"/>
      <c r="I2214" s="87">
        <v>10</v>
      </c>
      <c r="J2214" s="87">
        <v>2</v>
      </c>
      <c r="K2214" s="87"/>
      <c r="L2214" s="87">
        <v>2</v>
      </c>
      <c r="M2214" s="87"/>
      <c r="N2214" s="87"/>
      <c r="O2214" s="87"/>
      <c r="P2214" s="87"/>
      <c r="Q2214" s="87"/>
      <c r="R2214" s="87"/>
      <c r="S2214" s="87"/>
      <c r="T2214" s="87"/>
      <c r="U2214" s="88"/>
      <c r="V2214" s="89"/>
      <c r="W2214" s="96">
        <v>0</v>
      </c>
      <c r="X2214" s="71">
        <f>CU2214</f>
        <v>0</v>
      </c>
      <c r="Y2214" s="71">
        <f>CY2214</f>
        <v>0</v>
      </c>
      <c r="Z2214" s="71">
        <f>DA2214+DC2214+DE2214</f>
        <v>0</v>
      </c>
      <c r="AA2214" s="71">
        <f>CW2214</f>
        <v>0</v>
      </c>
      <c r="AB2214" s="71"/>
      <c r="AC2214" s="71">
        <v>0</v>
      </c>
      <c r="AD2214" s="71">
        <f>W2214+X2214+Y2214+Z2214+AA2214+AB2214+AC2214</f>
        <v>0</v>
      </c>
      <c r="AE2214" s="72">
        <v>0</v>
      </c>
      <c r="AF2214" s="5"/>
      <c r="AG2214" s="6"/>
      <c r="AH2214" s="27" t="s">
        <v>3392</v>
      </c>
      <c r="AI2214" s="44" t="s">
        <v>3393</v>
      </c>
      <c r="AJ2214" s="26"/>
      <c r="AK2214" s="5"/>
      <c r="AL2214" s="82" t="s">
        <v>5062</v>
      </c>
      <c r="AM2214" s="76"/>
      <c r="AN2214" s="76"/>
      <c r="AO2214" s="76"/>
      <c r="AP2214" s="76"/>
      <c r="AQ2214" s="76"/>
      <c r="AR2214" s="76"/>
      <c r="AS2214" s="76"/>
      <c r="AT2214" s="76"/>
      <c r="AU2214" s="76"/>
      <c r="AV2214" s="76"/>
      <c r="AW2214" s="76"/>
      <c r="AX2214" s="76">
        <f>+AW2214*600000</f>
        <v>0</v>
      </c>
      <c r="AY2214" s="76"/>
      <c r="AZ2214" s="76">
        <f>+AY2214*70000</f>
        <v>0</v>
      </c>
      <c r="BA2214" s="76"/>
      <c r="BB2214" s="76"/>
      <c r="BC2214" s="76"/>
      <c r="BD2214" s="76">
        <f>+BC2214*30000</f>
        <v>0</v>
      </c>
      <c r="BE2214" s="76"/>
      <c r="BF2214" s="76"/>
      <c r="BG2214" s="76"/>
      <c r="BH2214" s="76"/>
      <c r="BI2214" s="76"/>
      <c r="BJ2214" s="76"/>
      <c r="BK2214" s="76"/>
      <c r="BL2214" s="76">
        <f>+BK2214*31500</f>
        <v>0</v>
      </c>
      <c r="BM2214" s="76"/>
      <c r="BN2214" s="76"/>
      <c r="BO2214" s="76"/>
      <c r="BP2214" s="76"/>
      <c r="BQ2214" s="76"/>
      <c r="BR2214" s="76"/>
      <c r="BS2214" s="76"/>
      <c r="BT2214" s="76"/>
      <c r="BU2214" s="76"/>
      <c r="BV2214" s="76"/>
      <c r="BW2214" s="76"/>
      <c r="BX2214" s="76"/>
      <c r="BY2214" s="76"/>
      <c r="BZ2214" s="76"/>
      <c r="CA2214" s="76"/>
      <c r="CB2214" s="76"/>
      <c r="CC2214" s="76"/>
      <c r="CD2214" s="76"/>
      <c r="CE2214" s="76"/>
      <c r="CF2214" s="76">
        <f>+CE2214*28000</f>
        <v>0</v>
      </c>
      <c r="CG2214" s="76"/>
      <c r="CH2214" s="76">
        <f>+CG2214*22500</f>
        <v>0</v>
      </c>
      <c r="CI2214" s="76"/>
      <c r="CJ2214" s="76">
        <f>+CI2214*26000</f>
        <v>0</v>
      </c>
      <c r="CK2214" s="76"/>
      <c r="CL2214" s="76"/>
      <c r="CM2214" s="76"/>
      <c r="CN2214" s="76">
        <f>+CM2214*22000</f>
        <v>0</v>
      </c>
      <c r="CO2214" s="76"/>
      <c r="CP2214" s="76">
        <f>+CO2214*46000</f>
        <v>0</v>
      </c>
      <c r="CQ2214" s="76"/>
      <c r="CR2214" s="76">
        <f>+CQ2214*49000</f>
        <v>0</v>
      </c>
      <c r="CS2214" s="76"/>
      <c r="CT2214" s="76"/>
      <c r="CU2214" s="56">
        <f>AN2214+AP2214+AR2214+AT2214+AV2214+AX2214+AZ2214+BB2214+BD2214+BF2214+BH2214+BJ2214+BL2214+BN2214+BP2214+BR2214+BT2214+BV2214+BX2214+BZ2214+CB2214+CD2214+CF2214+CH2214+CJ2214+CL2214+CN2214+CP2214+CR2214+CT2214</f>
        <v>0</v>
      </c>
      <c r="CV2214" s="76"/>
      <c r="CW2214" s="76">
        <f>+CV2214*1100</f>
        <v>0</v>
      </c>
      <c r="CX2214" s="76"/>
      <c r="CY2214" s="76">
        <f>+CX2214*106250</f>
        <v>0</v>
      </c>
      <c r="CZ2214" s="76"/>
      <c r="DA2214" s="76">
        <f>+CZ2214*34500</f>
        <v>0</v>
      </c>
      <c r="DB2214" s="76"/>
      <c r="DC2214" s="76">
        <f>+DB2214*25000</f>
        <v>0</v>
      </c>
      <c r="DD2214" s="219"/>
      <c r="DE2214" s="219"/>
      <c r="DF2214" s="166"/>
      <c r="DG2214" s="116"/>
      <c r="DH2214" s="117"/>
      <c r="DI2214" s="24"/>
      <c r="DJ2214" s="24"/>
      <c r="DK2214" s="24"/>
      <c r="DL2214" s="24"/>
      <c r="DM2214" s="24"/>
      <c r="DN2214" s="24"/>
      <c r="DO2214" s="24"/>
      <c r="DP2214" s="24"/>
      <c r="DQ2214" s="24"/>
      <c r="DR2214" s="24"/>
      <c r="DS2214" s="24"/>
      <c r="DT2214" s="24"/>
      <c r="DU2214" s="24"/>
    </row>
    <row r="2215" spans="1:125" s="8" customFormat="1" ht="120" x14ac:dyDescent="0.2">
      <c r="A2215" s="353">
        <v>41453</v>
      </c>
      <c r="B2215" s="352" t="s">
        <v>2894</v>
      </c>
      <c r="C2215" s="354" t="s">
        <v>2780</v>
      </c>
      <c r="D2215" s="354" t="s">
        <v>2882</v>
      </c>
      <c r="E2215" s="75" t="str">
        <f>VLOOKUP(B2215&amp;C2215,Divipola!$C$2:$F$1138,4,FALSE)</f>
        <v>05031</v>
      </c>
      <c r="F2215" s="87"/>
      <c r="G2215" s="87">
        <v>1</v>
      </c>
      <c r="H2215" s="87"/>
      <c r="I2215" s="87">
        <v>105</v>
      </c>
      <c r="J2215" s="87">
        <v>21</v>
      </c>
      <c r="K2215" s="87"/>
      <c r="L2215" s="87">
        <v>21</v>
      </c>
      <c r="M2215" s="87"/>
      <c r="N2215" s="87"/>
      <c r="O2215" s="87"/>
      <c r="P2215" s="87"/>
      <c r="Q2215" s="87"/>
      <c r="R2215" s="87"/>
      <c r="S2215" s="87"/>
      <c r="T2215" s="87"/>
      <c r="U2215" s="88"/>
      <c r="V2215" s="89"/>
      <c r="W2215" s="96">
        <v>0</v>
      </c>
      <c r="X2215" s="71">
        <f>CU2215</f>
        <v>0</v>
      </c>
      <c r="Y2215" s="71">
        <f>CY2215</f>
        <v>0</v>
      </c>
      <c r="Z2215" s="71">
        <f>DA2215+DC2215+DE2215</f>
        <v>0</v>
      </c>
      <c r="AA2215" s="71">
        <f>CW2215</f>
        <v>0</v>
      </c>
      <c r="AB2215" s="71"/>
      <c r="AC2215" s="71">
        <v>0</v>
      </c>
      <c r="AD2215" s="71">
        <f>W2215+X2215+Y2215+Z2215+AA2215+AB2215+AC2215</f>
        <v>0</v>
      </c>
      <c r="AE2215" s="72">
        <v>0</v>
      </c>
      <c r="AF2215" s="5"/>
      <c r="AG2215" s="6"/>
      <c r="AH2215" s="27" t="s">
        <v>3392</v>
      </c>
      <c r="AI2215" s="44" t="s">
        <v>3393</v>
      </c>
      <c r="AJ2215" s="26"/>
      <c r="AK2215" s="5"/>
      <c r="AL2215" s="82" t="s">
        <v>5069</v>
      </c>
      <c r="AM2215" s="76"/>
      <c r="AN2215" s="76"/>
      <c r="AO2215" s="76"/>
      <c r="AP2215" s="76"/>
      <c r="AQ2215" s="76"/>
      <c r="AR2215" s="76"/>
      <c r="AS2215" s="76"/>
      <c r="AT2215" s="76"/>
      <c r="AU2215" s="76"/>
      <c r="AV2215" s="76"/>
      <c r="AW2215" s="76"/>
      <c r="AX2215" s="76">
        <f>+AW2215*600000</f>
        <v>0</v>
      </c>
      <c r="AY2215" s="76"/>
      <c r="AZ2215" s="76">
        <f>+AY2215*70000</f>
        <v>0</v>
      </c>
      <c r="BA2215" s="76"/>
      <c r="BB2215" s="76"/>
      <c r="BC2215" s="76"/>
      <c r="BD2215" s="76">
        <f>+BC2215*30000</f>
        <v>0</v>
      </c>
      <c r="BE2215" s="76"/>
      <c r="BF2215" s="76"/>
      <c r="BG2215" s="76"/>
      <c r="BH2215" s="76"/>
      <c r="BI2215" s="76"/>
      <c r="BJ2215" s="76"/>
      <c r="BK2215" s="76"/>
      <c r="BL2215" s="76">
        <f>+BK2215*31500</f>
        <v>0</v>
      </c>
      <c r="BM2215" s="76"/>
      <c r="BN2215" s="76"/>
      <c r="BO2215" s="76"/>
      <c r="BP2215" s="76"/>
      <c r="BQ2215" s="76"/>
      <c r="BR2215" s="76"/>
      <c r="BS2215" s="76"/>
      <c r="BT2215" s="76"/>
      <c r="BU2215" s="76"/>
      <c r="BV2215" s="76"/>
      <c r="BW2215" s="76"/>
      <c r="BX2215" s="76"/>
      <c r="BY2215" s="76"/>
      <c r="BZ2215" s="76"/>
      <c r="CA2215" s="76"/>
      <c r="CB2215" s="76"/>
      <c r="CC2215" s="76"/>
      <c r="CD2215" s="76"/>
      <c r="CE2215" s="76"/>
      <c r="CF2215" s="76">
        <f>+CE2215*28000</f>
        <v>0</v>
      </c>
      <c r="CG2215" s="76"/>
      <c r="CH2215" s="76">
        <f>+CG2215*22500</f>
        <v>0</v>
      </c>
      <c r="CI2215" s="76"/>
      <c r="CJ2215" s="76">
        <f>+CI2215*26000</f>
        <v>0</v>
      </c>
      <c r="CK2215" s="76"/>
      <c r="CL2215" s="76"/>
      <c r="CM2215" s="76"/>
      <c r="CN2215" s="76">
        <f>+CM2215*22000</f>
        <v>0</v>
      </c>
      <c r="CO2215" s="76"/>
      <c r="CP2215" s="76">
        <f>+CO2215*46000</f>
        <v>0</v>
      </c>
      <c r="CQ2215" s="76"/>
      <c r="CR2215" s="76">
        <f>+CQ2215*49000</f>
        <v>0</v>
      </c>
      <c r="CS2215" s="76"/>
      <c r="CT2215" s="76"/>
      <c r="CU2215" s="56">
        <f>AN2215+AP2215+AR2215+AT2215+AV2215+AX2215+AZ2215+BB2215+BD2215+BF2215+BH2215+BJ2215+BL2215+BN2215+BP2215+BR2215+BT2215+BV2215+BX2215+BZ2215+CB2215+CD2215+CF2215+CH2215+CJ2215+CL2215+CN2215+CP2215+CR2215+CT2215</f>
        <v>0</v>
      </c>
      <c r="CV2215" s="76"/>
      <c r="CW2215" s="76">
        <f>+CV2215*1100</f>
        <v>0</v>
      </c>
      <c r="CX2215" s="76"/>
      <c r="CY2215" s="76">
        <f>+CX2215*106250</f>
        <v>0</v>
      </c>
      <c r="CZ2215" s="76"/>
      <c r="DA2215" s="76">
        <f>+CZ2215*34500</f>
        <v>0</v>
      </c>
      <c r="DB2215" s="76"/>
      <c r="DC2215" s="76">
        <f>+DB2215*25000</f>
        <v>0</v>
      </c>
      <c r="DD2215" s="219"/>
      <c r="DE2215" s="219"/>
      <c r="DF2215" s="166"/>
      <c r="DG2215" s="116"/>
      <c r="DH2215" s="117"/>
      <c r="DI2215" s="24"/>
      <c r="DJ2215" s="24"/>
      <c r="DK2215" s="24"/>
      <c r="DL2215" s="24"/>
      <c r="DM2215" s="24"/>
      <c r="DN2215" s="24"/>
      <c r="DO2215" s="24"/>
      <c r="DP2215" s="24"/>
      <c r="DQ2215" s="24"/>
      <c r="DR2215" s="24"/>
      <c r="DS2215" s="24"/>
      <c r="DT2215" s="24"/>
      <c r="DU2215" s="24"/>
    </row>
    <row r="2216" spans="1:125" s="8" customFormat="1" ht="72" x14ac:dyDescent="0.2">
      <c r="A2216" s="77">
        <v>41453</v>
      </c>
      <c r="B2216" s="352" t="s">
        <v>2196</v>
      </c>
      <c r="C2216" s="354" t="s">
        <v>2123</v>
      </c>
      <c r="D2216" s="354" t="s">
        <v>2882</v>
      </c>
      <c r="E2216" s="75" t="str">
        <f>VLOOKUP(B2216&amp;C2216,Divipola!$C$2:$F$1138,4,FALSE)</f>
        <v>17662</v>
      </c>
      <c r="F2216" s="87"/>
      <c r="G2216" s="87"/>
      <c r="H2216" s="87"/>
      <c r="I2216" s="87">
        <v>30</v>
      </c>
      <c r="J2216" s="87">
        <v>6</v>
      </c>
      <c r="K2216" s="87"/>
      <c r="L2216" s="87">
        <v>6</v>
      </c>
      <c r="M2216" s="87"/>
      <c r="N2216" s="87"/>
      <c r="O2216" s="87"/>
      <c r="P2216" s="87"/>
      <c r="Q2216" s="87"/>
      <c r="R2216" s="87"/>
      <c r="S2216" s="87"/>
      <c r="T2216" s="87"/>
      <c r="U2216" s="88"/>
      <c r="V2216" s="89"/>
      <c r="W2216" s="96">
        <v>0</v>
      </c>
      <c r="X2216" s="71">
        <f>CU2216</f>
        <v>0</v>
      </c>
      <c r="Y2216" s="71">
        <f>CY2216</f>
        <v>0</v>
      </c>
      <c r="Z2216" s="71">
        <f>DA2216+DC2216+DE2216</f>
        <v>0</v>
      </c>
      <c r="AA2216" s="71">
        <f>CW2216</f>
        <v>0</v>
      </c>
      <c r="AB2216" s="71"/>
      <c r="AC2216" s="71">
        <v>0</v>
      </c>
      <c r="AD2216" s="71">
        <f>W2216+X2216+Y2216+Z2216+AA2216+AB2216+AC2216</f>
        <v>0</v>
      </c>
      <c r="AE2216" s="72">
        <v>0</v>
      </c>
      <c r="AF2216" s="5"/>
      <c r="AG2216" s="6"/>
      <c r="AH2216" s="27" t="s">
        <v>3392</v>
      </c>
      <c r="AI2216" s="44" t="s">
        <v>3393</v>
      </c>
      <c r="AJ2216" s="26"/>
      <c r="AK2216" s="5"/>
      <c r="AL2216" s="82" t="s">
        <v>5081</v>
      </c>
      <c r="AM2216" s="76"/>
      <c r="AN2216" s="76"/>
      <c r="AO2216" s="76"/>
      <c r="AP2216" s="76"/>
      <c r="AQ2216" s="76"/>
      <c r="AR2216" s="76"/>
      <c r="AS2216" s="76"/>
      <c r="AT2216" s="76"/>
      <c r="AU2216" s="76"/>
      <c r="AV2216" s="76"/>
      <c r="AW2216" s="76"/>
      <c r="AX2216" s="76">
        <f>+AW2216*600000</f>
        <v>0</v>
      </c>
      <c r="AY2216" s="76"/>
      <c r="AZ2216" s="76">
        <f>+AY2216*70000</f>
        <v>0</v>
      </c>
      <c r="BA2216" s="76"/>
      <c r="BB2216" s="76"/>
      <c r="BC2216" s="76"/>
      <c r="BD2216" s="76">
        <f>+BC2216*30000</f>
        <v>0</v>
      </c>
      <c r="BE2216" s="76"/>
      <c r="BF2216" s="76"/>
      <c r="BG2216" s="76"/>
      <c r="BH2216" s="76"/>
      <c r="BI2216" s="76"/>
      <c r="BJ2216" s="76"/>
      <c r="BK2216" s="76"/>
      <c r="BL2216" s="76">
        <f>+BK2216*31500</f>
        <v>0</v>
      </c>
      <c r="BM2216" s="76"/>
      <c r="BN2216" s="76"/>
      <c r="BO2216" s="76"/>
      <c r="BP2216" s="76"/>
      <c r="BQ2216" s="76"/>
      <c r="BR2216" s="76"/>
      <c r="BS2216" s="76"/>
      <c r="BT2216" s="76"/>
      <c r="BU2216" s="76"/>
      <c r="BV2216" s="76"/>
      <c r="BW2216" s="76"/>
      <c r="BX2216" s="76"/>
      <c r="BY2216" s="76"/>
      <c r="BZ2216" s="76"/>
      <c r="CA2216" s="76"/>
      <c r="CB2216" s="76"/>
      <c r="CC2216" s="76"/>
      <c r="CD2216" s="76"/>
      <c r="CE2216" s="76"/>
      <c r="CF2216" s="76">
        <f>+CE2216*28000</f>
        <v>0</v>
      </c>
      <c r="CG2216" s="76"/>
      <c r="CH2216" s="76">
        <f>+CG2216*22500</f>
        <v>0</v>
      </c>
      <c r="CI2216" s="76"/>
      <c r="CJ2216" s="76">
        <f>+CI2216*26000</f>
        <v>0</v>
      </c>
      <c r="CK2216" s="76"/>
      <c r="CL2216" s="76"/>
      <c r="CM2216" s="76"/>
      <c r="CN2216" s="76">
        <f>+CM2216*22000</f>
        <v>0</v>
      </c>
      <c r="CO2216" s="76"/>
      <c r="CP2216" s="76">
        <f>+CO2216*46000</f>
        <v>0</v>
      </c>
      <c r="CQ2216" s="76"/>
      <c r="CR2216" s="76">
        <f>+CQ2216*49000</f>
        <v>0</v>
      </c>
      <c r="CS2216" s="76"/>
      <c r="CT2216" s="76"/>
      <c r="CU2216" s="56">
        <f>AN2216+AP2216+AR2216+AT2216+AV2216+AX2216+AZ2216+BB2216+BD2216+BF2216+BH2216+BJ2216+BL2216+BN2216+BP2216+BR2216+BT2216+BV2216+BX2216+BZ2216+CB2216+CD2216+CF2216+CH2216+CJ2216+CL2216+CN2216+CP2216+CR2216+CT2216</f>
        <v>0</v>
      </c>
      <c r="CV2216" s="76"/>
      <c r="CW2216" s="76">
        <f>+CV2216*1100</f>
        <v>0</v>
      </c>
      <c r="CX2216" s="76"/>
      <c r="CY2216" s="76">
        <f>+CX2216*106250</f>
        <v>0</v>
      </c>
      <c r="CZ2216" s="76"/>
      <c r="DA2216" s="76">
        <f>+CZ2216*34500</f>
        <v>0</v>
      </c>
      <c r="DB2216" s="76"/>
      <c r="DC2216" s="76">
        <f>+DB2216*25000</f>
        <v>0</v>
      </c>
      <c r="DD2216" s="219"/>
      <c r="DE2216" s="219"/>
      <c r="DF2216" s="166"/>
      <c r="DG2216" s="116"/>
      <c r="DH2216" s="117"/>
      <c r="DI2216" s="24"/>
      <c r="DJ2216" s="24"/>
      <c r="DK2216" s="24"/>
      <c r="DL2216" s="24"/>
      <c r="DM2216" s="24"/>
      <c r="DN2216" s="24"/>
      <c r="DO2216" s="24"/>
      <c r="DP2216" s="24"/>
      <c r="DQ2216" s="24"/>
      <c r="DR2216" s="24"/>
      <c r="DS2216" s="24"/>
      <c r="DT2216" s="24"/>
      <c r="DU2216" s="24"/>
    </row>
    <row r="2217" spans="1:125" s="8" customFormat="1" ht="132" x14ac:dyDescent="0.2">
      <c r="A2217" s="77">
        <v>41453</v>
      </c>
      <c r="B2217" s="352" t="s">
        <v>2854</v>
      </c>
      <c r="C2217" s="354" t="s">
        <v>831</v>
      </c>
      <c r="D2217" s="354" t="s">
        <v>2882</v>
      </c>
      <c r="E2217" s="75" t="str">
        <f>VLOOKUP(B2217&amp;C2217,Divipola!$C$2:$F$1138,4,FALSE)</f>
        <v>19137</v>
      </c>
      <c r="F2217" s="87"/>
      <c r="G2217" s="87"/>
      <c r="H2217" s="87"/>
      <c r="I2217" s="87">
        <v>130</v>
      </c>
      <c r="J2217" s="87">
        <v>26</v>
      </c>
      <c r="K2217" s="87"/>
      <c r="L2217" s="87">
        <v>26</v>
      </c>
      <c r="M2217" s="87"/>
      <c r="N2217" s="87"/>
      <c r="O2217" s="87"/>
      <c r="P2217" s="87"/>
      <c r="Q2217" s="87"/>
      <c r="R2217" s="87"/>
      <c r="S2217" s="87"/>
      <c r="T2217" s="87"/>
      <c r="U2217" s="88"/>
      <c r="V2217" s="89">
        <v>50</v>
      </c>
      <c r="W2217" s="96">
        <v>0</v>
      </c>
      <c r="X2217" s="71">
        <f>CU2217</f>
        <v>0</v>
      </c>
      <c r="Y2217" s="71">
        <f>CY2217</f>
        <v>0</v>
      </c>
      <c r="Z2217" s="71">
        <f>DA2217+DC2217+DE2217</f>
        <v>0</v>
      </c>
      <c r="AA2217" s="71">
        <f>CW2217</f>
        <v>0</v>
      </c>
      <c r="AB2217" s="71"/>
      <c r="AC2217" s="71">
        <v>0</v>
      </c>
      <c r="AD2217" s="71">
        <f>W2217+X2217+Y2217+Z2217+AA2217+AB2217+AC2217</f>
        <v>0</v>
      </c>
      <c r="AE2217" s="72">
        <v>0</v>
      </c>
      <c r="AF2217" s="5"/>
      <c r="AG2217" s="6"/>
      <c r="AH2217" s="27" t="s">
        <v>3390</v>
      </c>
      <c r="AI2217" s="44" t="s">
        <v>3393</v>
      </c>
      <c r="AJ2217" s="26"/>
      <c r="AK2217" s="5" t="s">
        <v>5663</v>
      </c>
      <c r="AL2217" s="82" t="s">
        <v>6293</v>
      </c>
      <c r="AM2217" s="76"/>
      <c r="AN2217" s="76"/>
      <c r="AO2217" s="76"/>
      <c r="AP2217" s="76"/>
      <c r="AQ2217" s="76"/>
      <c r="AR2217" s="76"/>
      <c r="AS2217" s="76"/>
      <c r="AT2217" s="76"/>
      <c r="AU2217" s="76"/>
      <c r="AV2217" s="76"/>
      <c r="AW2217" s="76"/>
      <c r="AX2217" s="76">
        <f>+AW2217*600000</f>
        <v>0</v>
      </c>
      <c r="AY2217" s="76"/>
      <c r="AZ2217" s="76">
        <f>+AY2217*70000</f>
        <v>0</v>
      </c>
      <c r="BA2217" s="76"/>
      <c r="BB2217" s="76"/>
      <c r="BC2217" s="76"/>
      <c r="BD2217" s="76">
        <f>+BC2217*30000</f>
        <v>0</v>
      </c>
      <c r="BE2217" s="76"/>
      <c r="BF2217" s="76"/>
      <c r="BG2217" s="76"/>
      <c r="BH2217" s="76"/>
      <c r="BI2217" s="76"/>
      <c r="BJ2217" s="76"/>
      <c r="BK2217" s="76"/>
      <c r="BL2217" s="76">
        <f>+BK2217*31500</f>
        <v>0</v>
      </c>
      <c r="BM2217" s="76"/>
      <c r="BN2217" s="76"/>
      <c r="BO2217" s="76"/>
      <c r="BP2217" s="76"/>
      <c r="BQ2217" s="76"/>
      <c r="BR2217" s="76"/>
      <c r="BS2217" s="76"/>
      <c r="BT2217" s="76"/>
      <c r="BU2217" s="76"/>
      <c r="BV2217" s="76"/>
      <c r="BW2217" s="76"/>
      <c r="BX2217" s="76"/>
      <c r="BY2217" s="76"/>
      <c r="BZ2217" s="76"/>
      <c r="CA2217" s="76"/>
      <c r="CB2217" s="76"/>
      <c r="CC2217" s="76"/>
      <c r="CD2217" s="76"/>
      <c r="CE2217" s="76"/>
      <c r="CF2217" s="76">
        <f>+CE2217*28000</f>
        <v>0</v>
      </c>
      <c r="CG2217" s="76"/>
      <c r="CH2217" s="76">
        <f>+CG2217*22500</f>
        <v>0</v>
      </c>
      <c r="CI2217" s="76"/>
      <c r="CJ2217" s="76">
        <f>+CI2217*26000</f>
        <v>0</v>
      </c>
      <c r="CK2217" s="76"/>
      <c r="CL2217" s="76"/>
      <c r="CM2217" s="76"/>
      <c r="CN2217" s="76">
        <f>+CM2217*22000</f>
        <v>0</v>
      </c>
      <c r="CO2217" s="76"/>
      <c r="CP2217" s="76">
        <f>+CO2217*46000</f>
        <v>0</v>
      </c>
      <c r="CQ2217" s="76"/>
      <c r="CR2217" s="76">
        <f>+CQ2217*49000</f>
        <v>0</v>
      </c>
      <c r="CS2217" s="76"/>
      <c r="CT2217" s="76"/>
      <c r="CU2217" s="56">
        <f>AN2217+AP2217+AR2217+AT2217+AV2217+AX2217+AZ2217+BB2217+BD2217+BF2217+BH2217+BJ2217+BL2217+BN2217+BP2217+BR2217+BT2217+BV2217+BX2217+BZ2217+CB2217+CD2217+CF2217+CH2217+CJ2217+CL2217+CN2217+CP2217+CR2217+CT2217</f>
        <v>0</v>
      </c>
      <c r="CV2217" s="76"/>
      <c r="CW2217" s="76">
        <f>+CV2217*1100</f>
        <v>0</v>
      </c>
      <c r="CX2217" s="76"/>
      <c r="CY2217" s="76">
        <f>+CX2217*106250</f>
        <v>0</v>
      </c>
      <c r="CZ2217" s="76"/>
      <c r="DA2217" s="76">
        <f>+CZ2217*34500</f>
        <v>0</v>
      </c>
      <c r="DB2217" s="76"/>
      <c r="DC2217" s="76">
        <f>+DB2217*25000</f>
        <v>0</v>
      </c>
      <c r="DD2217" s="219"/>
      <c r="DE2217" s="219"/>
      <c r="DF2217" s="166"/>
      <c r="DG2217" s="116"/>
      <c r="DH2217" s="117"/>
      <c r="DI2217" s="24"/>
      <c r="DJ2217" s="24"/>
      <c r="DK2217" s="24"/>
      <c r="DL2217" s="24"/>
      <c r="DM2217" s="24"/>
      <c r="DN2217" s="24"/>
      <c r="DO2217" s="24"/>
      <c r="DP2217" s="24"/>
      <c r="DQ2217" s="24"/>
      <c r="DR2217" s="24"/>
      <c r="DS2217" s="24"/>
      <c r="DT2217" s="24"/>
      <c r="DU2217" s="24"/>
    </row>
    <row r="2218" spans="1:125" s="8" customFormat="1" ht="72" x14ac:dyDescent="0.2">
      <c r="A2218" s="77">
        <v>41453</v>
      </c>
      <c r="B2218" s="60" t="s">
        <v>2855</v>
      </c>
      <c r="C2218" s="55" t="s">
        <v>919</v>
      </c>
      <c r="D2218" s="55" t="s">
        <v>2882</v>
      </c>
      <c r="E2218" s="75" t="str">
        <f>VLOOKUP(B2218&amp;C2218,Divipola!$C$2:$F$1138,4,FALSE)</f>
        <v>20400</v>
      </c>
      <c r="F2218" s="87"/>
      <c r="G2218" s="87"/>
      <c r="H2218" s="87"/>
      <c r="I2218" s="87">
        <v>44</v>
      </c>
      <c r="J2218" s="87">
        <v>8</v>
      </c>
      <c r="K2218" s="87"/>
      <c r="L2218" s="87">
        <v>8</v>
      </c>
      <c r="M2218" s="87"/>
      <c r="N2218" s="87"/>
      <c r="O2218" s="87"/>
      <c r="P2218" s="87"/>
      <c r="Q2218" s="87"/>
      <c r="R2218" s="87"/>
      <c r="S2218" s="87"/>
      <c r="T2218" s="87"/>
      <c r="U2218" s="88"/>
      <c r="V2218" s="89"/>
      <c r="W2218" s="96">
        <v>0</v>
      </c>
      <c r="X2218" s="71">
        <f>CU2218</f>
        <v>0</v>
      </c>
      <c r="Y2218" s="71">
        <f>CY2218</f>
        <v>0</v>
      </c>
      <c r="Z2218" s="71">
        <f>DA2218+DC2218+DE2218</f>
        <v>0</v>
      </c>
      <c r="AA2218" s="71">
        <f>CW2218</f>
        <v>0</v>
      </c>
      <c r="AB2218" s="71"/>
      <c r="AC2218" s="71">
        <v>0</v>
      </c>
      <c r="AD2218" s="71">
        <f>W2218+X2218+Y2218+Z2218+AA2218+AB2218+AC2218</f>
        <v>0</v>
      </c>
      <c r="AE2218" s="72">
        <v>0</v>
      </c>
      <c r="AF2218" s="5"/>
      <c r="AG2218" s="6"/>
      <c r="AH2218" s="27" t="s">
        <v>3392</v>
      </c>
      <c r="AI2218" s="44" t="s">
        <v>3393</v>
      </c>
      <c r="AJ2218" s="26"/>
      <c r="AK2218" s="5"/>
      <c r="AL2218" s="82" t="s">
        <v>5076</v>
      </c>
      <c r="AM2218" s="76"/>
      <c r="AN2218" s="76"/>
      <c r="AO2218" s="76"/>
      <c r="AP2218" s="76"/>
      <c r="AQ2218" s="76"/>
      <c r="AR2218" s="76"/>
      <c r="AS2218" s="76"/>
      <c r="AT2218" s="76"/>
      <c r="AU2218" s="76"/>
      <c r="AV2218" s="76"/>
      <c r="AW2218" s="76"/>
      <c r="AX2218" s="76">
        <f>+AW2218*600000</f>
        <v>0</v>
      </c>
      <c r="AY2218" s="76"/>
      <c r="AZ2218" s="76">
        <f>+AY2218*70000</f>
        <v>0</v>
      </c>
      <c r="BA2218" s="76"/>
      <c r="BB2218" s="76"/>
      <c r="BC2218" s="76"/>
      <c r="BD2218" s="76">
        <f>+BC2218*30000</f>
        <v>0</v>
      </c>
      <c r="BE2218" s="76"/>
      <c r="BF2218" s="76"/>
      <c r="BG2218" s="76"/>
      <c r="BH2218" s="76"/>
      <c r="BI2218" s="76"/>
      <c r="BJ2218" s="76"/>
      <c r="BK2218" s="76"/>
      <c r="BL2218" s="76">
        <f>+BK2218*31500</f>
        <v>0</v>
      </c>
      <c r="BM2218" s="76"/>
      <c r="BN2218" s="76"/>
      <c r="BO2218" s="76"/>
      <c r="BP2218" s="76"/>
      <c r="BQ2218" s="76"/>
      <c r="BR2218" s="76"/>
      <c r="BS2218" s="76"/>
      <c r="BT2218" s="76"/>
      <c r="BU2218" s="76"/>
      <c r="BV2218" s="76"/>
      <c r="BW2218" s="76"/>
      <c r="BX2218" s="76"/>
      <c r="BY2218" s="76"/>
      <c r="BZ2218" s="76"/>
      <c r="CA2218" s="76"/>
      <c r="CB2218" s="76"/>
      <c r="CC2218" s="76"/>
      <c r="CD2218" s="76"/>
      <c r="CE2218" s="76"/>
      <c r="CF2218" s="76">
        <f>+CE2218*28000</f>
        <v>0</v>
      </c>
      <c r="CG2218" s="76"/>
      <c r="CH2218" s="76">
        <f>+CG2218*22500</f>
        <v>0</v>
      </c>
      <c r="CI2218" s="76"/>
      <c r="CJ2218" s="76">
        <f>+CI2218*26000</f>
        <v>0</v>
      </c>
      <c r="CK2218" s="76"/>
      <c r="CL2218" s="76"/>
      <c r="CM2218" s="76"/>
      <c r="CN2218" s="76">
        <f>+CM2218*22000</f>
        <v>0</v>
      </c>
      <c r="CO2218" s="76"/>
      <c r="CP2218" s="76">
        <f>+CO2218*46000</f>
        <v>0</v>
      </c>
      <c r="CQ2218" s="76"/>
      <c r="CR2218" s="76">
        <f>+CQ2218*49000</f>
        <v>0</v>
      </c>
      <c r="CS2218" s="76"/>
      <c r="CT2218" s="76"/>
      <c r="CU2218" s="56">
        <f>AN2218+AP2218+AR2218+AT2218+AV2218+AX2218+AZ2218+BB2218+BD2218+BF2218+BH2218+BJ2218+BL2218+BN2218+BP2218+BR2218+BT2218+BV2218+BX2218+BZ2218+CB2218+CD2218+CF2218+CH2218+CJ2218+CL2218+CN2218+CP2218+CR2218+CT2218</f>
        <v>0</v>
      </c>
      <c r="CV2218" s="76"/>
      <c r="CW2218" s="76">
        <f>+CV2218*1100</f>
        <v>0</v>
      </c>
      <c r="CX2218" s="76"/>
      <c r="CY2218" s="76">
        <f>+CX2218*106250</f>
        <v>0</v>
      </c>
      <c r="CZ2218" s="76"/>
      <c r="DA2218" s="76">
        <f>+CZ2218*34500</f>
        <v>0</v>
      </c>
      <c r="DB2218" s="76"/>
      <c r="DC2218" s="76">
        <f>+DB2218*25000</f>
        <v>0</v>
      </c>
      <c r="DD2218" s="219"/>
      <c r="DE2218" s="219"/>
      <c r="DF2218" s="166"/>
      <c r="DG2218" s="116"/>
      <c r="DH2218" s="117"/>
      <c r="DI2218" s="24"/>
      <c r="DJ2218" s="24"/>
      <c r="DK2218" s="24"/>
      <c r="DL2218" s="24"/>
      <c r="DM2218" s="24"/>
      <c r="DN2218" s="24"/>
      <c r="DO2218" s="24"/>
      <c r="DP2218" s="24"/>
      <c r="DQ2218" s="24"/>
      <c r="DR2218" s="24"/>
      <c r="DS2218" s="24"/>
      <c r="DT2218" s="24"/>
      <c r="DU2218" s="24"/>
    </row>
    <row r="2219" spans="1:125" s="8" customFormat="1" ht="48" x14ac:dyDescent="0.2">
      <c r="A2219" s="77">
        <v>41453</v>
      </c>
      <c r="B2219" s="78" t="s">
        <v>3136</v>
      </c>
      <c r="C2219" s="75" t="s">
        <v>389</v>
      </c>
      <c r="D2219" s="75" t="s">
        <v>2859</v>
      </c>
      <c r="E2219" s="75" t="str">
        <f>VLOOKUP(B2219&amp;C2219,Divipola!$C$2:$F$1138,4,FALSE)</f>
        <v>44090</v>
      </c>
      <c r="F2219" s="87"/>
      <c r="G2219" s="87"/>
      <c r="H2219" s="87"/>
      <c r="I2219" s="87"/>
      <c r="J2219" s="87"/>
      <c r="K2219" s="87"/>
      <c r="L2219" s="87"/>
      <c r="M2219" s="87"/>
      <c r="N2219" s="87"/>
      <c r="O2219" s="87"/>
      <c r="P2219" s="87"/>
      <c r="Q2219" s="87"/>
      <c r="R2219" s="87"/>
      <c r="S2219" s="87"/>
      <c r="T2219" s="87"/>
      <c r="U2219" s="88"/>
      <c r="V2219" s="89">
        <v>2</v>
      </c>
      <c r="W2219" s="96">
        <v>0</v>
      </c>
      <c r="X2219" s="71">
        <f>CU2219</f>
        <v>0</v>
      </c>
      <c r="Y2219" s="71">
        <f>CY2219</f>
        <v>0</v>
      </c>
      <c r="Z2219" s="71">
        <f>DA2219+DC2219+DE2219</f>
        <v>0</v>
      </c>
      <c r="AA2219" s="71">
        <f>CW2219</f>
        <v>0</v>
      </c>
      <c r="AB2219" s="71"/>
      <c r="AC2219" s="71">
        <v>0</v>
      </c>
      <c r="AD2219" s="71">
        <f>W2219+X2219+Y2219+Z2219+AA2219+AB2219+AC2219</f>
        <v>0</v>
      </c>
      <c r="AE2219" s="72">
        <v>0</v>
      </c>
      <c r="AF2219" s="5"/>
      <c r="AG2219" s="6"/>
      <c r="AH2219" s="27" t="s">
        <v>3392</v>
      </c>
      <c r="AI2219" s="44" t="s">
        <v>3393</v>
      </c>
      <c r="AJ2219" s="26"/>
      <c r="AK2219" s="5"/>
      <c r="AL2219" s="82" t="s">
        <v>5077</v>
      </c>
      <c r="AM2219" s="76"/>
      <c r="AN2219" s="76"/>
      <c r="AO2219" s="76"/>
      <c r="AP2219" s="76"/>
      <c r="AQ2219" s="76"/>
      <c r="AR2219" s="76"/>
      <c r="AS2219" s="76"/>
      <c r="AT2219" s="76"/>
      <c r="AU2219" s="76"/>
      <c r="AV2219" s="76"/>
      <c r="AW2219" s="76"/>
      <c r="AX2219" s="76">
        <f>+AW2219*600000</f>
        <v>0</v>
      </c>
      <c r="AY2219" s="76"/>
      <c r="AZ2219" s="76">
        <f>+AY2219*70000</f>
        <v>0</v>
      </c>
      <c r="BA2219" s="76"/>
      <c r="BB2219" s="76"/>
      <c r="BC2219" s="76"/>
      <c r="BD2219" s="76">
        <f>+BC2219*30000</f>
        <v>0</v>
      </c>
      <c r="BE2219" s="76"/>
      <c r="BF2219" s="76"/>
      <c r="BG2219" s="76"/>
      <c r="BH2219" s="76"/>
      <c r="BI2219" s="76"/>
      <c r="BJ2219" s="76"/>
      <c r="BK2219" s="76"/>
      <c r="BL2219" s="76">
        <f>+BK2219*31500</f>
        <v>0</v>
      </c>
      <c r="BM2219" s="76"/>
      <c r="BN2219" s="76"/>
      <c r="BO2219" s="76"/>
      <c r="BP2219" s="76"/>
      <c r="BQ2219" s="76"/>
      <c r="BR2219" s="76"/>
      <c r="BS2219" s="76"/>
      <c r="BT2219" s="76"/>
      <c r="BU2219" s="76"/>
      <c r="BV2219" s="76"/>
      <c r="BW2219" s="76"/>
      <c r="BX2219" s="76"/>
      <c r="BY2219" s="76"/>
      <c r="BZ2219" s="76"/>
      <c r="CA2219" s="76"/>
      <c r="CB2219" s="76"/>
      <c r="CC2219" s="76"/>
      <c r="CD2219" s="76"/>
      <c r="CE2219" s="76"/>
      <c r="CF2219" s="76">
        <f>+CE2219*28000</f>
        <v>0</v>
      </c>
      <c r="CG2219" s="76"/>
      <c r="CH2219" s="76">
        <f>+CG2219*22500</f>
        <v>0</v>
      </c>
      <c r="CI2219" s="76"/>
      <c r="CJ2219" s="76">
        <f>+CI2219*26000</f>
        <v>0</v>
      </c>
      <c r="CK2219" s="76"/>
      <c r="CL2219" s="76"/>
      <c r="CM2219" s="76"/>
      <c r="CN2219" s="76">
        <f>+CM2219*22000</f>
        <v>0</v>
      </c>
      <c r="CO2219" s="76"/>
      <c r="CP2219" s="76">
        <f>+CO2219*46000</f>
        <v>0</v>
      </c>
      <c r="CQ2219" s="76"/>
      <c r="CR2219" s="76">
        <f>+CQ2219*49000</f>
        <v>0</v>
      </c>
      <c r="CS2219" s="76"/>
      <c r="CT2219" s="76"/>
      <c r="CU2219" s="56">
        <f>AN2219+AP2219+AR2219+AT2219+AV2219+AX2219+AZ2219+BB2219+BD2219+BF2219+BH2219+BJ2219+BL2219+BN2219+BP2219+BR2219+BT2219+BV2219+BX2219+BZ2219+CB2219+CD2219+CF2219+CH2219+CJ2219+CL2219+CN2219+CP2219+CR2219+CT2219</f>
        <v>0</v>
      </c>
      <c r="CV2219" s="76"/>
      <c r="CW2219" s="76">
        <f>+CV2219*1100</f>
        <v>0</v>
      </c>
      <c r="CX2219" s="76"/>
      <c r="CY2219" s="76">
        <f>+CX2219*106250</f>
        <v>0</v>
      </c>
      <c r="CZ2219" s="76"/>
      <c r="DA2219" s="76">
        <f>+CZ2219*34500</f>
        <v>0</v>
      </c>
      <c r="DB2219" s="76"/>
      <c r="DC2219" s="76">
        <f>+DB2219*25000</f>
        <v>0</v>
      </c>
      <c r="DD2219" s="219"/>
      <c r="DE2219" s="219"/>
      <c r="DF2219" s="166"/>
      <c r="DG2219" s="116"/>
      <c r="DH2219" s="117"/>
      <c r="DI2219" s="24"/>
      <c r="DJ2219" s="24"/>
      <c r="DK2219" s="24"/>
      <c r="DL2219" s="24"/>
      <c r="DM2219" s="24"/>
      <c r="DN2219" s="24"/>
      <c r="DO2219" s="24"/>
      <c r="DP2219" s="24"/>
      <c r="DQ2219" s="24"/>
      <c r="DR2219" s="24"/>
      <c r="DS2219" s="24"/>
      <c r="DT2219" s="24"/>
      <c r="DU2219" s="24"/>
    </row>
    <row r="2220" spans="1:125" s="8" customFormat="1" ht="36" x14ac:dyDescent="0.2">
      <c r="A2220" s="226">
        <v>41453</v>
      </c>
      <c r="B2220" s="225" t="s">
        <v>2848</v>
      </c>
      <c r="C2220" s="227" t="s">
        <v>2214</v>
      </c>
      <c r="D2220" s="227" t="s">
        <v>3051</v>
      </c>
      <c r="E2220" s="75" t="str">
        <f>VLOOKUP(B2220&amp;C2220,Divipola!$C$2:$F$1138,4,FALSE)</f>
        <v>73283</v>
      </c>
      <c r="F2220" s="87"/>
      <c r="G2220" s="87"/>
      <c r="H2220" s="87"/>
      <c r="I2220" s="87">
        <v>15</v>
      </c>
      <c r="J2220" s="87">
        <v>3</v>
      </c>
      <c r="K2220" s="87"/>
      <c r="L2220" s="87">
        <v>3</v>
      </c>
      <c r="M2220" s="87"/>
      <c r="N2220" s="87"/>
      <c r="O2220" s="87"/>
      <c r="P2220" s="87"/>
      <c r="Q2220" s="87"/>
      <c r="R2220" s="87"/>
      <c r="S2220" s="87"/>
      <c r="T2220" s="87"/>
      <c r="U2220" s="88"/>
      <c r="V2220" s="89"/>
      <c r="W2220" s="96">
        <v>0</v>
      </c>
      <c r="X2220" s="71">
        <f>CU2220</f>
        <v>0</v>
      </c>
      <c r="Y2220" s="71">
        <f>CY2220</f>
        <v>0</v>
      </c>
      <c r="Z2220" s="71">
        <f>DA2220+DC2220+DE2220</f>
        <v>0</v>
      </c>
      <c r="AA2220" s="71">
        <f>CW2220</f>
        <v>0</v>
      </c>
      <c r="AB2220" s="71"/>
      <c r="AC2220" s="71">
        <v>0</v>
      </c>
      <c r="AD2220" s="71">
        <f>W2220+X2220+Y2220+Z2220+AA2220+AB2220+AC2220</f>
        <v>0</v>
      </c>
      <c r="AE2220" s="72">
        <v>0</v>
      </c>
      <c r="AF2220" s="5"/>
      <c r="AG2220" s="6"/>
      <c r="AH2220" s="27" t="s">
        <v>3392</v>
      </c>
      <c r="AI2220" s="44" t="s">
        <v>3393</v>
      </c>
      <c r="AJ2220" s="26"/>
      <c r="AK2220" s="5"/>
      <c r="AL2220" s="82" t="s">
        <v>5066</v>
      </c>
      <c r="AM2220" s="76"/>
      <c r="AN2220" s="76"/>
      <c r="AO2220" s="76"/>
      <c r="AP2220" s="76"/>
      <c r="AQ2220" s="76"/>
      <c r="AR2220" s="76"/>
      <c r="AS2220" s="76"/>
      <c r="AT2220" s="76"/>
      <c r="AU2220" s="76"/>
      <c r="AV2220" s="76"/>
      <c r="AW2220" s="76"/>
      <c r="AX2220" s="76">
        <f>+AW2220*600000</f>
        <v>0</v>
      </c>
      <c r="AY2220" s="76"/>
      <c r="AZ2220" s="76">
        <f>+AY2220*70000</f>
        <v>0</v>
      </c>
      <c r="BA2220" s="76"/>
      <c r="BB2220" s="76"/>
      <c r="BC2220" s="76"/>
      <c r="BD2220" s="76">
        <f>+BC2220*30000</f>
        <v>0</v>
      </c>
      <c r="BE2220" s="76"/>
      <c r="BF2220" s="76"/>
      <c r="BG2220" s="76"/>
      <c r="BH2220" s="76"/>
      <c r="BI2220" s="76"/>
      <c r="BJ2220" s="76"/>
      <c r="BK2220" s="76"/>
      <c r="BL2220" s="76">
        <f>+BK2220*31500</f>
        <v>0</v>
      </c>
      <c r="BM2220" s="76"/>
      <c r="BN2220" s="76"/>
      <c r="BO2220" s="76"/>
      <c r="BP2220" s="76"/>
      <c r="BQ2220" s="76"/>
      <c r="BR2220" s="76"/>
      <c r="BS2220" s="76"/>
      <c r="BT2220" s="76"/>
      <c r="BU2220" s="76"/>
      <c r="BV2220" s="76"/>
      <c r="BW2220" s="76"/>
      <c r="BX2220" s="76"/>
      <c r="BY2220" s="76"/>
      <c r="BZ2220" s="76"/>
      <c r="CA2220" s="76"/>
      <c r="CB2220" s="76"/>
      <c r="CC2220" s="76"/>
      <c r="CD2220" s="76"/>
      <c r="CE2220" s="76"/>
      <c r="CF2220" s="76">
        <f>+CE2220*28000</f>
        <v>0</v>
      </c>
      <c r="CG2220" s="76"/>
      <c r="CH2220" s="76">
        <f>+CG2220*22500</f>
        <v>0</v>
      </c>
      <c r="CI2220" s="76"/>
      <c r="CJ2220" s="76">
        <f>+CI2220*26000</f>
        <v>0</v>
      </c>
      <c r="CK2220" s="76"/>
      <c r="CL2220" s="76"/>
      <c r="CM2220" s="76"/>
      <c r="CN2220" s="76">
        <f>+CM2220*22000</f>
        <v>0</v>
      </c>
      <c r="CO2220" s="76"/>
      <c r="CP2220" s="76">
        <f>+CO2220*46000</f>
        <v>0</v>
      </c>
      <c r="CQ2220" s="76"/>
      <c r="CR2220" s="76">
        <f>+CQ2220*49000</f>
        <v>0</v>
      </c>
      <c r="CS2220" s="76"/>
      <c r="CT2220" s="76"/>
      <c r="CU2220" s="56">
        <f>AN2220+AP2220+AR2220+AT2220+AV2220+AX2220+AZ2220+BB2220+BD2220+BF2220+BH2220+BJ2220+BL2220+BN2220+BP2220+BR2220+BT2220+BV2220+BX2220+BZ2220+CB2220+CD2220+CF2220+CH2220+CJ2220+CL2220+CN2220+CP2220+CR2220+CT2220</f>
        <v>0</v>
      </c>
      <c r="CV2220" s="76"/>
      <c r="CW2220" s="76">
        <f>+CV2220*1100</f>
        <v>0</v>
      </c>
      <c r="CX2220" s="76"/>
      <c r="CY2220" s="76">
        <f>+CX2220*106250</f>
        <v>0</v>
      </c>
      <c r="CZ2220" s="76"/>
      <c r="DA2220" s="76">
        <f>+CZ2220*34500</f>
        <v>0</v>
      </c>
      <c r="DB2220" s="76"/>
      <c r="DC2220" s="76">
        <f>+DB2220*25000</f>
        <v>0</v>
      </c>
      <c r="DD2220" s="219"/>
      <c r="DE2220" s="219"/>
      <c r="DF2220" s="166"/>
      <c r="DG2220" s="116"/>
      <c r="DH2220" s="117"/>
      <c r="DI2220" s="24"/>
      <c r="DJ2220" s="24"/>
      <c r="DK2220" s="24"/>
      <c r="DL2220" s="24"/>
      <c r="DM2220" s="24"/>
      <c r="DN2220" s="24"/>
      <c r="DO2220" s="24"/>
      <c r="DP2220" s="24"/>
      <c r="DQ2220" s="24"/>
      <c r="DR2220" s="24"/>
      <c r="DS2220" s="24"/>
      <c r="DT2220" s="24"/>
      <c r="DU2220" s="24"/>
    </row>
    <row r="2221" spans="1:125" s="8" customFormat="1" ht="36" x14ac:dyDescent="0.2">
      <c r="A2221" s="353">
        <v>41453</v>
      </c>
      <c r="B2221" s="352" t="s">
        <v>2848</v>
      </c>
      <c r="C2221" s="354" t="s">
        <v>2755</v>
      </c>
      <c r="D2221" s="354" t="s">
        <v>3088</v>
      </c>
      <c r="E2221" s="75" t="str">
        <f>VLOOKUP(B2221&amp;C2221,Divipola!$C$2:$F$1138,4,FALSE)</f>
        <v>73001</v>
      </c>
      <c r="F2221" s="87"/>
      <c r="G2221" s="87"/>
      <c r="H2221" s="87"/>
      <c r="I2221" s="87">
        <v>10</v>
      </c>
      <c r="J2221" s="87">
        <v>2</v>
      </c>
      <c r="K2221" s="87"/>
      <c r="L2221" s="87">
        <v>2</v>
      </c>
      <c r="M2221" s="87"/>
      <c r="N2221" s="87"/>
      <c r="O2221" s="87"/>
      <c r="P2221" s="87"/>
      <c r="Q2221" s="87"/>
      <c r="R2221" s="87"/>
      <c r="S2221" s="87"/>
      <c r="T2221" s="87">
        <v>1</v>
      </c>
      <c r="U2221" s="88"/>
      <c r="V2221" s="89"/>
      <c r="W2221" s="96">
        <v>0</v>
      </c>
      <c r="X2221" s="71">
        <f>CU2221</f>
        <v>0</v>
      </c>
      <c r="Y2221" s="71">
        <f>CY2221</f>
        <v>0</v>
      </c>
      <c r="Z2221" s="71">
        <f>DA2221+DC2221+DE2221</f>
        <v>0</v>
      </c>
      <c r="AA2221" s="71">
        <f>CW2221</f>
        <v>0</v>
      </c>
      <c r="AB2221" s="71"/>
      <c r="AC2221" s="71">
        <v>0</v>
      </c>
      <c r="AD2221" s="71">
        <f>W2221+X2221+Y2221+Z2221+AA2221+AB2221+AC2221</f>
        <v>0</v>
      </c>
      <c r="AE2221" s="72">
        <v>0</v>
      </c>
      <c r="AF2221" s="5"/>
      <c r="AG2221" s="6"/>
      <c r="AH2221" s="27" t="s">
        <v>3392</v>
      </c>
      <c r="AI2221" s="44" t="s">
        <v>3393</v>
      </c>
      <c r="AJ2221" s="26"/>
      <c r="AK2221" s="5"/>
      <c r="AL2221" s="82" t="s">
        <v>5071</v>
      </c>
      <c r="AM2221" s="76"/>
      <c r="AN2221" s="76"/>
      <c r="AO2221" s="76"/>
      <c r="AP2221" s="76"/>
      <c r="AQ2221" s="76"/>
      <c r="AR2221" s="76"/>
      <c r="AS2221" s="76"/>
      <c r="AT2221" s="76"/>
      <c r="AU2221" s="76"/>
      <c r="AV2221" s="76"/>
      <c r="AW2221" s="76"/>
      <c r="AX2221" s="76">
        <f>+AW2221*600000</f>
        <v>0</v>
      </c>
      <c r="AY2221" s="76"/>
      <c r="AZ2221" s="76">
        <f>+AY2221*70000</f>
        <v>0</v>
      </c>
      <c r="BA2221" s="76"/>
      <c r="BB2221" s="76"/>
      <c r="BC2221" s="76"/>
      <c r="BD2221" s="76">
        <f>+BC2221*30000</f>
        <v>0</v>
      </c>
      <c r="BE2221" s="76"/>
      <c r="BF2221" s="76"/>
      <c r="BG2221" s="76"/>
      <c r="BH2221" s="76"/>
      <c r="BI2221" s="76"/>
      <c r="BJ2221" s="76"/>
      <c r="BK2221" s="76"/>
      <c r="BL2221" s="76">
        <f>+BK2221*31500</f>
        <v>0</v>
      </c>
      <c r="BM2221" s="76"/>
      <c r="BN2221" s="76"/>
      <c r="BO2221" s="76"/>
      <c r="BP2221" s="76"/>
      <c r="BQ2221" s="76"/>
      <c r="BR2221" s="76"/>
      <c r="BS2221" s="76"/>
      <c r="BT2221" s="76"/>
      <c r="BU2221" s="76"/>
      <c r="BV2221" s="76"/>
      <c r="BW2221" s="76"/>
      <c r="BX2221" s="76"/>
      <c r="BY2221" s="76"/>
      <c r="BZ2221" s="76"/>
      <c r="CA2221" s="76"/>
      <c r="CB2221" s="76"/>
      <c r="CC2221" s="76"/>
      <c r="CD2221" s="76"/>
      <c r="CE2221" s="76"/>
      <c r="CF2221" s="76">
        <f>+CE2221*28000</f>
        <v>0</v>
      </c>
      <c r="CG2221" s="76"/>
      <c r="CH2221" s="76">
        <f>+CG2221*22500</f>
        <v>0</v>
      </c>
      <c r="CI2221" s="76"/>
      <c r="CJ2221" s="76">
        <f>+CI2221*26000</f>
        <v>0</v>
      </c>
      <c r="CK2221" s="76"/>
      <c r="CL2221" s="76"/>
      <c r="CM2221" s="76"/>
      <c r="CN2221" s="76">
        <f>+CM2221*22000</f>
        <v>0</v>
      </c>
      <c r="CO2221" s="76"/>
      <c r="CP2221" s="76">
        <f>+CO2221*46000</f>
        <v>0</v>
      </c>
      <c r="CQ2221" s="76"/>
      <c r="CR2221" s="76">
        <f>+CQ2221*49000</f>
        <v>0</v>
      </c>
      <c r="CS2221" s="76"/>
      <c r="CT2221" s="76"/>
      <c r="CU2221" s="56">
        <f>AN2221+AP2221+AR2221+AT2221+AV2221+AX2221+AZ2221+BB2221+BD2221+BF2221+BH2221+BJ2221+BL2221+BN2221+BP2221+BR2221+BT2221+BV2221+BX2221+BZ2221+CB2221+CD2221+CF2221+CH2221+CJ2221+CL2221+CN2221+CP2221+CR2221+CT2221</f>
        <v>0</v>
      </c>
      <c r="CV2221" s="76"/>
      <c r="CW2221" s="76">
        <f>+CV2221*1100</f>
        <v>0</v>
      </c>
      <c r="CX2221" s="76"/>
      <c r="CY2221" s="76">
        <f>+CX2221*106250</f>
        <v>0</v>
      </c>
      <c r="CZ2221" s="76"/>
      <c r="DA2221" s="76">
        <f>+CZ2221*34500</f>
        <v>0</v>
      </c>
      <c r="DB2221" s="76"/>
      <c r="DC2221" s="76">
        <f>+DB2221*25000</f>
        <v>0</v>
      </c>
      <c r="DD2221" s="219"/>
      <c r="DE2221" s="219"/>
      <c r="DF2221" s="166"/>
      <c r="DG2221" s="116"/>
      <c r="DH2221" s="117"/>
      <c r="DI2221" s="24"/>
      <c r="DJ2221" s="24"/>
      <c r="DK2221" s="24"/>
      <c r="DL2221" s="24"/>
      <c r="DM2221" s="24"/>
      <c r="DN2221" s="24"/>
      <c r="DO2221" s="24"/>
      <c r="DP2221" s="24"/>
      <c r="DQ2221" s="24"/>
      <c r="DR2221" s="24"/>
      <c r="DS2221" s="24"/>
      <c r="DT2221" s="24"/>
      <c r="DU2221" s="24"/>
    </row>
    <row r="2222" spans="1:125" s="8" customFormat="1" ht="60" x14ac:dyDescent="0.2">
      <c r="A2222" s="77">
        <v>41453</v>
      </c>
      <c r="B2222" s="225" t="s">
        <v>2848</v>
      </c>
      <c r="C2222" s="227" t="s">
        <v>1258</v>
      </c>
      <c r="D2222" s="227" t="s">
        <v>2882</v>
      </c>
      <c r="E2222" s="75" t="str">
        <f>VLOOKUP(B2222&amp;C2222,Divipola!$C$2:$F$1138,4,FALSE)</f>
        <v>73870</v>
      </c>
      <c r="F2222" s="87"/>
      <c r="G2222" s="87"/>
      <c r="H2222" s="87"/>
      <c r="I2222" s="87">
        <v>75</v>
      </c>
      <c r="J2222" s="87">
        <v>15</v>
      </c>
      <c r="K2222" s="87"/>
      <c r="L2222" s="87">
        <v>15</v>
      </c>
      <c r="M2222" s="87">
        <v>1</v>
      </c>
      <c r="N2222" s="87"/>
      <c r="O2222" s="87"/>
      <c r="P2222" s="87"/>
      <c r="Q2222" s="87"/>
      <c r="R2222" s="87"/>
      <c r="S2222" s="87"/>
      <c r="T2222" s="87"/>
      <c r="U2222" s="88"/>
      <c r="V2222" s="89"/>
      <c r="W2222" s="96">
        <v>0</v>
      </c>
      <c r="X2222" s="71">
        <f>CU2222</f>
        <v>0</v>
      </c>
      <c r="Y2222" s="71">
        <f>CY2222</f>
        <v>0</v>
      </c>
      <c r="Z2222" s="71">
        <f>DA2222+DC2222+DE2222</f>
        <v>0</v>
      </c>
      <c r="AA2222" s="71">
        <f>CW2222</f>
        <v>0</v>
      </c>
      <c r="AB2222" s="71"/>
      <c r="AC2222" s="71">
        <v>0</v>
      </c>
      <c r="AD2222" s="71">
        <f>W2222+X2222+Y2222+Z2222+AA2222+AB2222+AC2222</f>
        <v>0</v>
      </c>
      <c r="AE2222" s="72">
        <v>0</v>
      </c>
      <c r="AF2222" s="5"/>
      <c r="AG2222" s="6"/>
      <c r="AH2222" s="27" t="s">
        <v>3392</v>
      </c>
      <c r="AI2222" s="44" t="s">
        <v>3393</v>
      </c>
      <c r="AJ2222" s="26"/>
      <c r="AK2222" s="5"/>
      <c r="AL2222" s="82" t="s">
        <v>5074</v>
      </c>
      <c r="AM2222" s="76"/>
      <c r="AN2222" s="76"/>
      <c r="AO2222" s="76"/>
      <c r="AP2222" s="76"/>
      <c r="AQ2222" s="76"/>
      <c r="AR2222" s="76"/>
      <c r="AS2222" s="76"/>
      <c r="AT2222" s="76"/>
      <c r="AU2222" s="76"/>
      <c r="AV2222" s="76"/>
      <c r="AW2222" s="76"/>
      <c r="AX2222" s="76">
        <f>+AW2222*600000</f>
        <v>0</v>
      </c>
      <c r="AY2222" s="76"/>
      <c r="AZ2222" s="76">
        <f>+AY2222*70000</f>
        <v>0</v>
      </c>
      <c r="BA2222" s="76"/>
      <c r="BB2222" s="76"/>
      <c r="BC2222" s="76"/>
      <c r="BD2222" s="76">
        <f>+BC2222*30000</f>
        <v>0</v>
      </c>
      <c r="BE2222" s="76"/>
      <c r="BF2222" s="76"/>
      <c r="BG2222" s="76"/>
      <c r="BH2222" s="76"/>
      <c r="BI2222" s="76"/>
      <c r="BJ2222" s="76"/>
      <c r="BK2222" s="76"/>
      <c r="BL2222" s="76">
        <f>+BK2222*31500</f>
        <v>0</v>
      </c>
      <c r="BM2222" s="76"/>
      <c r="BN2222" s="76"/>
      <c r="BO2222" s="76"/>
      <c r="BP2222" s="76"/>
      <c r="BQ2222" s="76"/>
      <c r="BR2222" s="76"/>
      <c r="BS2222" s="76"/>
      <c r="BT2222" s="76"/>
      <c r="BU2222" s="76"/>
      <c r="BV2222" s="76"/>
      <c r="BW2222" s="76"/>
      <c r="BX2222" s="76"/>
      <c r="BY2222" s="76"/>
      <c r="BZ2222" s="76"/>
      <c r="CA2222" s="76"/>
      <c r="CB2222" s="76"/>
      <c r="CC2222" s="76"/>
      <c r="CD2222" s="76"/>
      <c r="CE2222" s="76"/>
      <c r="CF2222" s="76">
        <f>+CE2222*28000</f>
        <v>0</v>
      </c>
      <c r="CG2222" s="76"/>
      <c r="CH2222" s="76">
        <f>+CG2222*22500</f>
        <v>0</v>
      </c>
      <c r="CI2222" s="76"/>
      <c r="CJ2222" s="76">
        <f>+CI2222*26000</f>
        <v>0</v>
      </c>
      <c r="CK2222" s="76"/>
      <c r="CL2222" s="76"/>
      <c r="CM2222" s="76"/>
      <c r="CN2222" s="76">
        <f>+CM2222*22000</f>
        <v>0</v>
      </c>
      <c r="CO2222" s="76"/>
      <c r="CP2222" s="76">
        <f>+CO2222*46000</f>
        <v>0</v>
      </c>
      <c r="CQ2222" s="76"/>
      <c r="CR2222" s="76">
        <f>+CQ2222*49000</f>
        <v>0</v>
      </c>
      <c r="CS2222" s="76"/>
      <c r="CT2222" s="76"/>
      <c r="CU2222" s="56">
        <f>AN2222+AP2222+AR2222+AT2222+AV2222+AX2222+AZ2222+BB2222+BD2222+BF2222+BH2222+BJ2222+BL2222+BN2222+BP2222+BR2222+BT2222+BV2222+BX2222+BZ2222+CB2222+CD2222+CF2222+CH2222+CJ2222+CL2222+CN2222+CP2222+CR2222+CT2222</f>
        <v>0</v>
      </c>
      <c r="CV2222" s="76"/>
      <c r="CW2222" s="76">
        <f>+CV2222*1100</f>
        <v>0</v>
      </c>
      <c r="CX2222" s="76"/>
      <c r="CY2222" s="76">
        <f>+CX2222*106250</f>
        <v>0</v>
      </c>
      <c r="CZ2222" s="76"/>
      <c r="DA2222" s="76">
        <f>+CZ2222*34500</f>
        <v>0</v>
      </c>
      <c r="DB2222" s="76"/>
      <c r="DC2222" s="76">
        <f>+DB2222*25000</f>
        <v>0</v>
      </c>
      <c r="DD2222" s="219"/>
      <c r="DE2222" s="219"/>
      <c r="DF2222" s="166"/>
      <c r="DG2222" s="116"/>
      <c r="DH2222" s="117"/>
      <c r="DI2222" s="24"/>
      <c r="DJ2222" s="24"/>
      <c r="DK2222" s="24"/>
      <c r="DL2222" s="24"/>
      <c r="DM2222" s="24"/>
      <c r="DN2222" s="24"/>
      <c r="DO2222" s="24"/>
      <c r="DP2222" s="24"/>
      <c r="DQ2222" s="24"/>
      <c r="DR2222" s="24"/>
      <c r="DS2222" s="24"/>
      <c r="DT2222" s="24"/>
      <c r="DU2222" s="24"/>
    </row>
    <row r="2223" spans="1:125" s="8" customFormat="1" ht="48" x14ac:dyDescent="0.2">
      <c r="A2223" s="77">
        <v>41454</v>
      </c>
      <c r="B2223" s="352" t="s">
        <v>2700</v>
      </c>
      <c r="C2223" s="354" t="s">
        <v>1619</v>
      </c>
      <c r="D2223" s="354" t="s">
        <v>2846</v>
      </c>
      <c r="E2223" s="75" t="str">
        <f>VLOOKUP(B2223&amp;C2223,Divipola!$C$2:$F$1138,4,FALSE)</f>
        <v>15215</v>
      </c>
      <c r="F2223" s="87"/>
      <c r="G2223" s="87"/>
      <c r="H2223" s="87"/>
      <c r="I2223" s="87"/>
      <c r="J2223" s="87"/>
      <c r="K2223" s="87"/>
      <c r="L2223" s="87"/>
      <c r="M2223" s="87"/>
      <c r="N2223" s="87"/>
      <c r="O2223" s="87"/>
      <c r="P2223" s="87"/>
      <c r="Q2223" s="87"/>
      <c r="R2223" s="87"/>
      <c r="S2223" s="87"/>
      <c r="T2223" s="87"/>
      <c r="U2223" s="88"/>
      <c r="V2223" s="89"/>
      <c r="W2223" s="96">
        <v>0</v>
      </c>
      <c r="X2223" s="71">
        <f>CU2223</f>
        <v>0</v>
      </c>
      <c r="Y2223" s="71">
        <f>CY2223</f>
        <v>0</v>
      </c>
      <c r="Z2223" s="71">
        <f>DA2223+DC2223+DE2223</f>
        <v>0</v>
      </c>
      <c r="AA2223" s="71">
        <f>CW2223</f>
        <v>0</v>
      </c>
      <c r="AB2223" s="71"/>
      <c r="AC2223" s="71">
        <v>0</v>
      </c>
      <c r="AD2223" s="71">
        <f>W2223+X2223+Y2223+Z2223+AA2223+AB2223+AC2223</f>
        <v>0</v>
      </c>
      <c r="AE2223" s="72">
        <v>0</v>
      </c>
      <c r="AF2223" s="5"/>
      <c r="AG2223" s="6"/>
      <c r="AH2223" s="27" t="s">
        <v>3392</v>
      </c>
      <c r="AI2223" s="44" t="s">
        <v>3393</v>
      </c>
      <c r="AJ2223" s="26"/>
      <c r="AK2223" s="5"/>
      <c r="AL2223" s="82" t="s">
        <v>5080</v>
      </c>
      <c r="AM2223" s="76"/>
      <c r="AN2223" s="76"/>
      <c r="AO2223" s="76"/>
      <c r="AP2223" s="76"/>
      <c r="AQ2223" s="76"/>
      <c r="AR2223" s="76"/>
      <c r="AS2223" s="76"/>
      <c r="AT2223" s="76"/>
      <c r="AU2223" s="76"/>
      <c r="AV2223" s="76"/>
      <c r="AW2223" s="76"/>
      <c r="AX2223" s="76">
        <f>+AW2223*600000</f>
        <v>0</v>
      </c>
      <c r="AY2223" s="76"/>
      <c r="AZ2223" s="76">
        <f>+AY2223*70000</f>
        <v>0</v>
      </c>
      <c r="BA2223" s="76"/>
      <c r="BB2223" s="76"/>
      <c r="BC2223" s="76"/>
      <c r="BD2223" s="76">
        <f>+BC2223*30000</f>
        <v>0</v>
      </c>
      <c r="BE2223" s="76"/>
      <c r="BF2223" s="76"/>
      <c r="BG2223" s="76"/>
      <c r="BH2223" s="76"/>
      <c r="BI2223" s="76"/>
      <c r="BJ2223" s="76"/>
      <c r="BK2223" s="76"/>
      <c r="BL2223" s="76">
        <f>+BK2223*31500</f>
        <v>0</v>
      </c>
      <c r="BM2223" s="76"/>
      <c r="BN2223" s="76"/>
      <c r="BO2223" s="76"/>
      <c r="BP2223" s="76"/>
      <c r="BQ2223" s="76"/>
      <c r="BR2223" s="76"/>
      <c r="BS2223" s="76"/>
      <c r="BT2223" s="76"/>
      <c r="BU2223" s="76"/>
      <c r="BV2223" s="76"/>
      <c r="BW2223" s="76"/>
      <c r="BX2223" s="76"/>
      <c r="BY2223" s="76"/>
      <c r="BZ2223" s="76"/>
      <c r="CA2223" s="76"/>
      <c r="CB2223" s="76"/>
      <c r="CC2223" s="76"/>
      <c r="CD2223" s="76"/>
      <c r="CE2223" s="76"/>
      <c r="CF2223" s="76">
        <f>+CE2223*28000</f>
        <v>0</v>
      </c>
      <c r="CG2223" s="76"/>
      <c r="CH2223" s="76">
        <f>+CG2223*22500</f>
        <v>0</v>
      </c>
      <c r="CI2223" s="76"/>
      <c r="CJ2223" s="76">
        <f>+CI2223*26000</f>
        <v>0</v>
      </c>
      <c r="CK2223" s="76"/>
      <c r="CL2223" s="76"/>
      <c r="CM2223" s="76"/>
      <c r="CN2223" s="76">
        <f>+CM2223*22000</f>
        <v>0</v>
      </c>
      <c r="CO2223" s="76"/>
      <c r="CP2223" s="76">
        <f>+CO2223*46000</f>
        <v>0</v>
      </c>
      <c r="CQ2223" s="76"/>
      <c r="CR2223" s="76">
        <f>+CQ2223*49000</f>
        <v>0</v>
      </c>
      <c r="CS2223" s="76"/>
      <c r="CT2223" s="76"/>
      <c r="CU2223" s="56">
        <f>AN2223+AP2223+AR2223+AT2223+AV2223+AX2223+AZ2223+BB2223+BD2223+BF2223+BH2223+BJ2223+BL2223+BN2223+BP2223+BR2223+BT2223+BV2223+BX2223+BZ2223+CB2223+CD2223+CF2223+CH2223+CJ2223+CL2223+CN2223+CP2223+CR2223+CT2223</f>
        <v>0</v>
      </c>
      <c r="CV2223" s="76"/>
      <c r="CW2223" s="76">
        <f>+CV2223*1100</f>
        <v>0</v>
      </c>
      <c r="CX2223" s="76"/>
      <c r="CY2223" s="76">
        <f>+CX2223*106250</f>
        <v>0</v>
      </c>
      <c r="CZ2223" s="76"/>
      <c r="DA2223" s="76">
        <f>+CZ2223*34500</f>
        <v>0</v>
      </c>
      <c r="DB2223" s="76"/>
      <c r="DC2223" s="76">
        <f>+DB2223*25000</f>
        <v>0</v>
      </c>
      <c r="DD2223" s="219"/>
      <c r="DE2223" s="219"/>
      <c r="DF2223" s="166"/>
      <c r="DG2223" s="116"/>
      <c r="DH2223" s="117"/>
      <c r="DI2223" s="24"/>
      <c r="DJ2223" s="24"/>
      <c r="DK2223" s="24"/>
      <c r="DL2223" s="24"/>
      <c r="DM2223" s="24"/>
      <c r="DN2223" s="24"/>
      <c r="DO2223" s="24"/>
      <c r="DP2223" s="24"/>
      <c r="DQ2223" s="24"/>
      <c r="DR2223" s="24"/>
      <c r="DS2223" s="24"/>
      <c r="DT2223" s="24"/>
      <c r="DU2223" s="24"/>
    </row>
    <row r="2224" spans="1:125" s="8" customFormat="1" ht="60" x14ac:dyDescent="0.2">
      <c r="A2224" s="97">
        <v>41454</v>
      </c>
      <c r="B2224" s="60" t="s">
        <v>2855</v>
      </c>
      <c r="C2224" s="55" t="s">
        <v>2168</v>
      </c>
      <c r="D2224" s="55" t="s">
        <v>3425</v>
      </c>
      <c r="E2224" s="75" t="str">
        <f>VLOOKUP(B2224&amp;C2224,Divipola!$C$2:$F$1138,4,FALSE)</f>
        <v>20001</v>
      </c>
      <c r="F2224" s="87">
        <v>1</v>
      </c>
      <c r="G2224" s="87"/>
      <c r="H2224" s="87"/>
      <c r="I2224" s="87">
        <v>1</v>
      </c>
      <c r="J2224" s="87"/>
      <c r="K2224" s="87"/>
      <c r="L2224" s="87"/>
      <c r="M2224" s="87"/>
      <c r="N2224" s="87"/>
      <c r="O2224" s="87"/>
      <c r="P2224" s="87"/>
      <c r="Q2224" s="87"/>
      <c r="R2224" s="87"/>
      <c r="S2224" s="87"/>
      <c r="T2224" s="87"/>
      <c r="U2224" s="88"/>
      <c r="V2224" s="89"/>
      <c r="W2224" s="96">
        <v>0</v>
      </c>
      <c r="X2224" s="71">
        <f>CU2224</f>
        <v>0</v>
      </c>
      <c r="Y2224" s="71">
        <f>CY2224</f>
        <v>0</v>
      </c>
      <c r="Z2224" s="71">
        <f>DA2224+DC2224+DE2224</f>
        <v>0</v>
      </c>
      <c r="AA2224" s="71">
        <f>CW2224</f>
        <v>0</v>
      </c>
      <c r="AB2224" s="71"/>
      <c r="AC2224" s="71">
        <v>0</v>
      </c>
      <c r="AD2224" s="71">
        <f>W2224+X2224+Y2224+Z2224+AA2224+AB2224+AC2224</f>
        <v>0</v>
      </c>
      <c r="AE2224" s="72">
        <v>0</v>
      </c>
      <c r="AF2224" s="5"/>
      <c r="AG2224" s="6"/>
      <c r="AH2224" s="27" t="s">
        <v>3392</v>
      </c>
      <c r="AI2224" s="44" t="s">
        <v>3393</v>
      </c>
      <c r="AJ2224" s="26"/>
      <c r="AK2224" s="5"/>
      <c r="AL2224" s="82" t="s">
        <v>5090</v>
      </c>
      <c r="AM2224" s="76"/>
      <c r="AN2224" s="76"/>
      <c r="AO2224" s="76"/>
      <c r="AP2224" s="76"/>
      <c r="AQ2224" s="76"/>
      <c r="AR2224" s="76"/>
      <c r="AS2224" s="76"/>
      <c r="AT2224" s="76"/>
      <c r="AU2224" s="76"/>
      <c r="AV2224" s="76"/>
      <c r="AW2224" s="76"/>
      <c r="AX2224" s="76">
        <f>+AW2224*600000</f>
        <v>0</v>
      </c>
      <c r="AY2224" s="76"/>
      <c r="AZ2224" s="76">
        <f>+AY2224*70000</f>
        <v>0</v>
      </c>
      <c r="BA2224" s="76"/>
      <c r="BB2224" s="76"/>
      <c r="BC2224" s="76"/>
      <c r="BD2224" s="76">
        <f>+BC2224*30000</f>
        <v>0</v>
      </c>
      <c r="BE2224" s="76"/>
      <c r="BF2224" s="76"/>
      <c r="BG2224" s="76"/>
      <c r="BH2224" s="76"/>
      <c r="BI2224" s="76"/>
      <c r="BJ2224" s="76"/>
      <c r="BK2224" s="76"/>
      <c r="BL2224" s="76">
        <f>+BK2224*31500</f>
        <v>0</v>
      </c>
      <c r="BM2224" s="76"/>
      <c r="BN2224" s="76"/>
      <c r="BO2224" s="76"/>
      <c r="BP2224" s="76"/>
      <c r="BQ2224" s="76"/>
      <c r="BR2224" s="76"/>
      <c r="BS2224" s="76"/>
      <c r="BT2224" s="76"/>
      <c r="BU2224" s="76"/>
      <c r="BV2224" s="76"/>
      <c r="BW2224" s="76"/>
      <c r="BX2224" s="76"/>
      <c r="BY2224" s="76"/>
      <c r="BZ2224" s="76"/>
      <c r="CA2224" s="76"/>
      <c r="CB2224" s="76"/>
      <c r="CC2224" s="76"/>
      <c r="CD2224" s="76"/>
      <c r="CE2224" s="76"/>
      <c r="CF2224" s="76">
        <f>+CE2224*28000</f>
        <v>0</v>
      </c>
      <c r="CG2224" s="76"/>
      <c r="CH2224" s="76">
        <f>+CG2224*22500</f>
        <v>0</v>
      </c>
      <c r="CI2224" s="76"/>
      <c r="CJ2224" s="76">
        <f>+CI2224*26000</f>
        <v>0</v>
      </c>
      <c r="CK2224" s="76"/>
      <c r="CL2224" s="76"/>
      <c r="CM2224" s="76"/>
      <c r="CN2224" s="76">
        <f>+CM2224*22000</f>
        <v>0</v>
      </c>
      <c r="CO2224" s="76"/>
      <c r="CP2224" s="76">
        <f>+CO2224*46000</f>
        <v>0</v>
      </c>
      <c r="CQ2224" s="76"/>
      <c r="CR2224" s="76">
        <f>+CQ2224*49000</f>
        <v>0</v>
      </c>
      <c r="CS2224" s="76"/>
      <c r="CT2224" s="76"/>
      <c r="CU2224" s="56">
        <f>AN2224+AP2224+AR2224+AT2224+AV2224+AX2224+AZ2224+BB2224+BD2224+BF2224+BH2224+BJ2224+BL2224+BN2224+BP2224+BR2224+BT2224+BV2224+BX2224+BZ2224+CB2224+CD2224+CF2224+CH2224+CJ2224+CL2224+CN2224+CP2224+CR2224+CT2224</f>
        <v>0</v>
      </c>
      <c r="CV2224" s="76"/>
      <c r="CW2224" s="76">
        <f>+CV2224*1100</f>
        <v>0</v>
      </c>
      <c r="CX2224" s="76"/>
      <c r="CY2224" s="76">
        <f>+CX2224*106250</f>
        <v>0</v>
      </c>
      <c r="CZ2224" s="76"/>
      <c r="DA2224" s="76">
        <f>+CZ2224*34500</f>
        <v>0</v>
      </c>
      <c r="DB2224" s="76"/>
      <c r="DC2224" s="76">
        <f>+DB2224*25000</f>
        <v>0</v>
      </c>
      <c r="DD2224" s="219"/>
      <c r="DE2224" s="219"/>
      <c r="DF2224" s="166"/>
      <c r="DG2224" s="116"/>
      <c r="DH2224" s="117"/>
      <c r="DI2224" s="24"/>
      <c r="DJ2224" s="24"/>
      <c r="DK2224" s="24"/>
      <c r="DL2224" s="24"/>
      <c r="DM2224" s="24"/>
      <c r="DN2224" s="24"/>
      <c r="DO2224" s="24"/>
      <c r="DP2224" s="24"/>
      <c r="DQ2224" s="24"/>
      <c r="DR2224" s="24"/>
      <c r="DS2224" s="24"/>
      <c r="DT2224" s="24"/>
      <c r="DU2224" s="24"/>
    </row>
    <row r="2225" spans="1:125" s="8" customFormat="1" ht="72" x14ac:dyDescent="0.2">
      <c r="A2225" s="353">
        <v>41454</v>
      </c>
      <c r="B2225" s="352" t="s">
        <v>2772</v>
      </c>
      <c r="C2225" s="354" t="s">
        <v>1332</v>
      </c>
      <c r="D2225" s="354" t="s">
        <v>2846</v>
      </c>
      <c r="E2225" s="75" t="str">
        <f>VLOOKUP(B2225&amp;C2225,Divipola!$C$2:$F$1138,4,FALSE)</f>
        <v>25288</v>
      </c>
      <c r="F2225" s="87"/>
      <c r="G2225" s="87"/>
      <c r="H2225" s="87"/>
      <c r="I2225" s="87"/>
      <c r="J2225" s="87"/>
      <c r="K2225" s="87"/>
      <c r="L2225" s="87"/>
      <c r="M2225" s="87"/>
      <c r="N2225" s="87"/>
      <c r="O2225" s="87"/>
      <c r="P2225" s="87"/>
      <c r="Q2225" s="87"/>
      <c r="R2225" s="87"/>
      <c r="S2225" s="87"/>
      <c r="T2225" s="87"/>
      <c r="U2225" s="88">
        <v>0.5</v>
      </c>
      <c r="V2225" s="89"/>
      <c r="W2225" s="96">
        <v>0</v>
      </c>
      <c r="X2225" s="71">
        <f>CU2225</f>
        <v>0</v>
      </c>
      <c r="Y2225" s="71">
        <f>CY2225</f>
        <v>0</v>
      </c>
      <c r="Z2225" s="71">
        <f>DA2225+DC2225+DE2225</f>
        <v>0</v>
      </c>
      <c r="AA2225" s="71">
        <f>CW2225</f>
        <v>0</v>
      </c>
      <c r="AB2225" s="71"/>
      <c r="AC2225" s="71">
        <v>0</v>
      </c>
      <c r="AD2225" s="71">
        <f>W2225+X2225+Y2225+Z2225+AA2225+AB2225+AC2225</f>
        <v>0</v>
      </c>
      <c r="AE2225" s="72">
        <v>0</v>
      </c>
      <c r="AF2225" s="5"/>
      <c r="AG2225" s="6"/>
      <c r="AH2225" s="27" t="s">
        <v>3392</v>
      </c>
      <c r="AI2225" s="44" t="s">
        <v>3393</v>
      </c>
      <c r="AJ2225" s="26"/>
      <c r="AK2225" s="5"/>
      <c r="AL2225" s="82" t="s">
        <v>5106</v>
      </c>
      <c r="AM2225" s="76"/>
      <c r="AN2225" s="76"/>
      <c r="AO2225" s="76"/>
      <c r="AP2225" s="76"/>
      <c r="AQ2225" s="76"/>
      <c r="AR2225" s="76"/>
      <c r="AS2225" s="76"/>
      <c r="AT2225" s="76"/>
      <c r="AU2225" s="76"/>
      <c r="AV2225" s="76"/>
      <c r="AW2225" s="76"/>
      <c r="AX2225" s="76">
        <f>+AW2225*600000</f>
        <v>0</v>
      </c>
      <c r="AY2225" s="76"/>
      <c r="AZ2225" s="76">
        <f>+AY2225*70000</f>
        <v>0</v>
      </c>
      <c r="BA2225" s="76"/>
      <c r="BB2225" s="76"/>
      <c r="BC2225" s="76"/>
      <c r="BD2225" s="76">
        <f>+BC2225*30000</f>
        <v>0</v>
      </c>
      <c r="BE2225" s="76"/>
      <c r="BF2225" s="76"/>
      <c r="BG2225" s="76"/>
      <c r="BH2225" s="76"/>
      <c r="BI2225" s="76"/>
      <c r="BJ2225" s="76"/>
      <c r="BK2225" s="76"/>
      <c r="BL2225" s="76">
        <f>+BK2225*31500</f>
        <v>0</v>
      </c>
      <c r="BM2225" s="76"/>
      <c r="BN2225" s="76"/>
      <c r="BO2225" s="76"/>
      <c r="BP2225" s="76"/>
      <c r="BQ2225" s="76"/>
      <c r="BR2225" s="76"/>
      <c r="BS2225" s="76"/>
      <c r="BT2225" s="76"/>
      <c r="BU2225" s="76"/>
      <c r="BV2225" s="76"/>
      <c r="BW2225" s="76"/>
      <c r="BX2225" s="76"/>
      <c r="BY2225" s="76"/>
      <c r="BZ2225" s="76"/>
      <c r="CA2225" s="76"/>
      <c r="CB2225" s="76"/>
      <c r="CC2225" s="76"/>
      <c r="CD2225" s="76"/>
      <c r="CE2225" s="76"/>
      <c r="CF2225" s="76">
        <f>+CE2225*28000</f>
        <v>0</v>
      </c>
      <c r="CG2225" s="76"/>
      <c r="CH2225" s="76">
        <f>+CG2225*22500</f>
        <v>0</v>
      </c>
      <c r="CI2225" s="76"/>
      <c r="CJ2225" s="76">
        <f>+CI2225*26000</f>
        <v>0</v>
      </c>
      <c r="CK2225" s="76"/>
      <c r="CL2225" s="76"/>
      <c r="CM2225" s="76"/>
      <c r="CN2225" s="76">
        <f>+CM2225*22000</f>
        <v>0</v>
      </c>
      <c r="CO2225" s="76"/>
      <c r="CP2225" s="76">
        <f>+CO2225*46000</f>
        <v>0</v>
      </c>
      <c r="CQ2225" s="76"/>
      <c r="CR2225" s="76">
        <f>+CQ2225*49000</f>
        <v>0</v>
      </c>
      <c r="CS2225" s="76"/>
      <c r="CT2225" s="76"/>
      <c r="CU2225" s="56">
        <f>AN2225+AP2225+AR2225+AT2225+AV2225+AX2225+AZ2225+BB2225+BD2225+BF2225+BH2225+BJ2225+BL2225+BN2225+BP2225+BR2225+BT2225+BV2225+BX2225+BZ2225+CB2225+CD2225+CF2225+CH2225+CJ2225+CL2225+CN2225+CP2225+CR2225+CT2225</f>
        <v>0</v>
      </c>
      <c r="CV2225" s="76"/>
      <c r="CW2225" s="76">
        <f>+CV2225*1100</f>
        <v>0</v>
      </c>
      <c r="CX2225" s="76"/>
      <c r="CY2225" s="76">
        <f>+CX2225*106250</f>
        <v>0</v>
      </c>
      <c r="CZ2225" s="76"/>
      <c r="DA2225" s="76">
        <f>+CZ2225*34500</f>
        <v>0</v>
      </c>
      <c r="DB2225" s="76"/>
      <c r="DC2225" s="76">
        <f>+DB2225*25000</f>
        <v>0</v>
      </c>
      <c r="DD2225" s="219"/>
      <c r="DE2225" s="219"/>
      <c r="DF2225" s="166"/>
      <c r="DG2225" s="116"/>
      <c r="DH2225" s="117"/>
      <c r="DI2225" s="24"/>
      <c r="DJ2225" s="24"/>
      <c r="DK2225" s="24"/>
      <c r="DL2225" s="24"/>
      <c r="DM2225" s="24"/>
      <c r="DN2225" s="24"/>
      <c r="DO2225" s="24"/>
      <c r="DP2225" s="24"/>
      <c r="DQ2225" s="24"/>
      <c r="DR2225" s="24"/>
      <c r="DS2225" s="24"/>
      <c r="DT2225" s="24"/>
      <c r="DU2225" s="24"/>
    </row>
    <row r="2226" spans="1:125" s="8" customFormat="1" ht="48" x14ac:dyDescent="0.2">
      <c r="A2226" s="77">
        <v>41454</v>
      </c>
      <c r="B2226" s="78" t="s">
        <v>2848</v>
      </c>
      <c r="C2226" s="75" t="s">
        <v>2675</v>
      </c>
      <c r="D2226" s="75" t="s">
        <v>4391</v>
      </c>
      <c r="E2226" s="75" t="str">
        <f>VLOOKUP(B2226&amp;C2226,Divipola!$C$2:$F$1138,4,FALSE)</f>
        <v>73349</v>
      </c>
      <c r="F2226" s="87"/>
      <c r="G2226" s="87"/>
      <c r="H2226" s="87">
        <v>1</v>
      </c>
      <c r="I2226" s="87">
        <v>1</v>
      </c>
      <c r="J2226" s="87"/>
      <c r="K2226" s="87"/>
      <c r="L2226" s="87"/>
      <c r="M2226" s="87"/>
      <c r="N2226" s="87"/>
      <c r="O2226" s="87"/>
      <c r="P2226" s="87"/>
      <c r="Q2226" s="87"/>
      <c r="R2226" s="87"/>
      <c r="S2226" s="87"/>
      <c r="T2226" s="87"/>
      <c r="U2226" s="88"/>
      <c r="V2226" s="89"/>
      <c r="W2226" s="96">
        <v>0</v>
      </c>
      <c r="X2226" s="71">
        <f>CU2226</f>
        <v>0</v>
      </c>
      <c r="Y2226" s="71">
        <f>CY2226</f>
        <v>0</v>
      </c>
      <c r="Z2226" s="71">
        <f>DA2226+DC2226+DE2226</f>
        <v>0</v>
      </c>
      <c r="AA2226" s="71">
        <f>CW2226</f>
        <v>0</v>
      </c>
      <c r="AB2226" s="71"/>
      <c r="AC2226" s="71">
        <v>0</v>
      </c>
      <c r="AD2226" s="71">
        <f>W2226+X2226+Y2226+Z2226+AA2226+AB2226+AC2226</f>
        <v>0</v>
      </c>
      <c r="AE2226" s="72">
        <v>0</v>
      </c>
      <c r="AF2226" s="5"/>
      <c r="AG2226" s="6"/>
      <c r="AH2226" s="27" t="s">
        <v>3392</v>
      </c>
      <c r="AI2226" s="44" t="s">
        <v>3393</v>
      </c>
      <c r="AJ2226" s="26"/>
      <c r="AK2226" s="5"/>
      <c r="AL2226" s="82" t="s">
        <v>5075</v>
      </c>
      <c r="AM2226" s="76"/>
      <c r="AN2226" s="76"/>
      <c r="AO2226" s="76"/>
      <c r="AP2226" s="76"/>
      <c r="AQ2226" s="76"/>
      <c r="AR2226" s="76"/>
      <c r="AS2226" s="76"/>
      <c r="AT2226" s="76"/>
      <c r="AU2226" s="76"/>
      <c r="AV2226" s="76"/>
      <c r="AW2226" s="76"/>
      <c r="AX2226" s="76">
        <f>+AW2226*600000</f>
        <v>0</v>
      </c>
      <c r="AY2226" s="76"/>
      <c r="AZ2226" s="76">
        <f>+AY2226*70000</f>
        <v>0</v>
      </c>
      <c r="BA2226" s="76"/>
      <c r="BB2226" s="76"/>
      <c r="BC2226" s="76"/>
      <c r="BD2226" s="76">
        <f>+BC2226*30000</f>
        <v>0</v>
      </c>
      <c r="BE2226" s="76"/>
      <c r="BF2226" s="76"/>
      <c r="BG2226" s="76"/>
      <c r="BH2226" s="76"/>
      <c r="BI2226" s="76"/>
      <c r="BJ2226" s="76"/>
      <c r="BK2226" s="76"/>
      <c r="BL2226" s="76">
        <f>+BK2226*31500</f>
        <v>0</v>
      </c>
      <c r="BM2226" s="76"/>
      <c r="BN2226" s="76"/>
      <c r="BO2226" s="76"/>
      <c r="BP2226" s="76"/>
      <c r="BQ2226" s="76"/>
      <c r="BR2226" s="76"/>
      <c r="BS2226" s="76"/>
      <c r="BT2226" s="76"/>
      <c r="BU2226" s="76"/>
      <c r="BV2226" s="76"/>
      <c r="BW2226" s="76"/>
      <c r="BX2226" s="76"/>
      <c r="BY2226" s="76"/>
      <c r="BZ2226" s="76"/>
      <c r="CA2226" s="76"/>
      <c r="CB2226" s="76"/>
      <c r="CC2226" s="76"/>
      <c r="CD2226" s="76"/>
      <c r="CE2226" s="76"/>
      <c r="CF2226" s="76">
        <f>+CE2226*28000</f>
        <v>0</v>
      </c>
      <c r="CG2226" s="76"/>
      <c r="CH2226" s="76">
        <f>+CG2226*22500</f>
        <v>0</v>
      </c>
      <c r="CI2226" s="76"/>
      <c r="CJ2226" s="76">
        <f>+CI2226*26000</f>
        <v>0</v>
      </c>
      <c r="CK2226" s="76"/>
      <c r="CL2226" s="76"/>
      <c r="CM2226" s="76"/>
      <c r="CN2226" s="76">
        <f>+CM2226*22000</f>
        <v>0</v>
      </c>
      <c r="CO2226" s="76"/>
      <c r="CP2226" s="76">
        <f>+CO2226*46000</f>
        <v>0</v>
      </c>
      <c r="CQ2226" s="76"/>
      <c r="CR2226" s="76">
        <f>+CQ2226*49000</f>
        <v>0</v>
      </c>
      <c r="CS2226" s="76"/>
      <c r="CT2226" s="76"/>
      <c r="CU2226" s="56">
        <f>AN2226+AP2226+AR2226+AT2226+AV2226+AX2226+AZ2226+BB2226+BD2226+BF2226+BH2226+BJ2226+BL2226+BN2226+BP2226+BR2226+BT2226+BV2226+BX2226+BZ2226+CB2226+CD2226+CF2226+CH2226+CJ2226+CL2226+CN2226+CP2226+CR2226+CT2226</f>
        <v>0</v>
      </c>
      <c r="CV2226" s="76"/>
      <c r="CW2226" s="76">
        <f>+CV2226*1100</f>
        <v>0</v>
      </c>
      <c r="CX2226" s="76"/>
      <c r="CY2226" s="76">
        <f>+CX2226*106250</f>
        <v>0</v>
      </c>
      <c r="CZ2226" s="76"/>
      <c r="DA2226" s="76">
        <f>+CZ2226*34500</f>
        <v>0</v>
      </c>
      <c r="DB2226" s="76"/>
      <c r="DC2226" s="76">
        <f>+DB2226*25000</f>
        <v>0</v>
      </c>
      <c r="DD2226" s="219"/>
      <c r="DE2226" s="219"/>
      <c r="DF2226" s="166"/>
      <c r="DG2226" s="116"/>
      <c r="DH2226" s="117"/>
      <c r="DI2226" s="24"/>
      <c r="DJ2226" s="24"/>
      <c r="DK2226" s="24"/>
      <c r="DL2226" s="24"/>
      <c r="DM2226" s="24"/>
      <c r="DN2226" s="24"/>
      <c r="DO2226" s="24"/>
      <c r="DP2226" s="24"/>
      <c r="DQ2226" s="24"/>
      <c r="DR2226" s="24"/>
      <c r="DS2226" s="24"/>
      <c r="DT2226" s="24"/>
      <c r="DU2226" s="24"/>
    </row>
    <row r="2227" spans="1:125" s="8" customFormat="1" ht="72" x14ac:dyDescent="0.2">
      <c r="A2227" s="77">
        <v>41454</v>
      </c>
      <c r="B2227" s="78" t="s">
        <v>2851</v>
      </c>
      <c r="C2227" s="75" t="s">
        <v>2688</v>
      </c>
      <c r="D2227" s="75" t="s">
        <v>2882</v>
      </c>
      <c r="E2227" s="75" t="str">
        <f>VLOOKUP(B2227&amp;C2227,Divipola!$C$2:$F$1138,4,FALSE)</f>
        <v>76736</v>
      </c>
      <c r="F2227" s="87"/>
      <c r="G2227" s="87"/>
      <c r="H2227" s="87"/>
      <c r="I2227" s="87">
        <v>14</v>
      </c>
      <c r="J2227" s="87">
        <v>2</v>
      </c>
      <c r="K2227" s="87"/>
      <c r="L2227" s="87">
        <v>2</v>
      </c>
      <c r="M2227" s="87"/>
      <c r="N2227" s="87"/>
      <c r="O2227" s="87"/>
      <c r="P2227" s="87"/>
      <c r="Q2227" s="87"/>
      <c r="R2227" s="87"/>
      <c r="S2227" s="87"/>
      <c r="T2227" s="87"/>
      <c r="U2227" s="88"/>
      <c r="V2227" s="89"/>
      <c r="W2227" s="96">
        <v>0</v>
      </c>
      <c r="X2227" s="71">
        <f>CU2227</f>
        <v>0</v>
      </c>
      <c r="Y2227" s="71">
        <f>CY2227</f>
        <v>0</v>
      </c>
      <c r="Z2227" s="71">
        <f>DA2227+DC2227+DE2227</f>
        <v>0</v>
      </c>
      <c r="AA2227" s="71">
        <f>CW2227</f>
        <v>0</v>
      </c>
      <c r="AB2227" s="71"/>
      <c r="AC2227" s="71">
        <v>0</v>
      </c>
      <c r="AD2227" s="71">
        <f>W2227+X2227+Y2227+Z2227+AA2227+AB2227+AC2227</f>
        <v>0</v>
      </c>
      <c r="AE2227" s="72">
        <v>0</v>
      </c>
      <c r="AF2227" s="5"/>
      <c r="AG2227" s="6"/>
      <c r="AH2227" s="27" t="s">
        <v>3392</v>
      </c>
      <c r="AI2227" s="44" t="s">
        <v>3393</v>
      </c>
      <c r="AJ2227" s="26"/>
      <c r="AK2227" s="5"/>
      <c r="AL2227" s="82" t="s">
        <v>5086</v>
      </c>
      <c r="AM2227" s="76"/>
      <c r="AN2227" s="76"/>
      <c r="AO2227" s="76"/>
      <c r="AP2227" s="76"/>
      <c r="AQ2227" s="76"/>
      <c r="AR2227" s="76"/>
      <c r="AS2227" s="76"/>
      <c r="AT2227" s="76"/>
      <c r="AU2227" s="76"/>
      <c r="AV2227" s="76"/>
      <c r="AW2227" s="76"/>
      <c r="AX2227" s="76">
        <f>+AW2227*600000</f>
        <v>0</v>
      </c>
      <c r="AY2227" s="76"/>
      <c r="AZ2227" s="76">
        <f>+AY2227*70000</f>
        <v>0</v>
      </c>
      <c r="BA2227" s="76"/>
      <c r="BB2227" s="76"/>
      <c r="BC2227" s="76"/>
      <c r="BD2227" s="76">
        <f>+BC2227*30000</f>
        <v>0</v>
      </c>
      <c r="BE2227" s="76"/>
      <c r="BF2227" s="76"/>
      <c r="BG2227" s="76"/>
      <c r="BH2227" s="76"/>
      <c r="BI2227" s="76"/>
      <c r="BJ2227" s="76"/>
      <c r="BK2227" s="76"/>
      <c r="BL2227" s="76">
        <f>+BK2227*31500</f>
        <v>0</v>
      </c>
      <c r="BM2227" s="76"/>
      <c r="BN2227" s="76"/>
      <c r="BO2227" s="76"/>
      <c r="BP2227" s="76"/>
      <c r="BQ2227" s="76"/>
      <c r="BR2227" s="76"/>
      <c r="BS2227" s="76"/>
      <c r="BT2227" s="76"/>
      <c r="BU2227" s="76"/>
      <c r="BV2227" s="76"/>
      <c r="BW2227" s="76"/>
      <c r="BX2227" s="76"/>
      <c r="BY2227" s="76"/>
      <c r="BZ2227" s="76"/>
      <c r="CA2227" s="76"/>
      <c r="CB2227" s="76"/>
      <c r="CC2227" s="76"/>
      <c r="CD2227" s="76"/>
      <c r="CE2227" s="76"/>
      <c r="CF2227" s="76">
        <f>+CE2227*28000</f>
        <v>0</v>
      </c>
      <c r="CG2227" s="76"/>
      <c r="CH2227" s="76">
        <f>+CG2227*22500</f>
        <v>0</v>
      </c>
      <c r="CI2227" s="76"/>
      <c r="CJ2227" s="76">
        <f>+CI2227*26000</f>
        <v>0</v>
      </c>
      <c r="CK2227" s="76"/>
      <c r="CL2227" s="76"/>
      <c r="CM2227" s="76"/>
      <c r="CN2227" s="76">
        <f>+CM2227*22000</f>
        <v>0</v>
      </c>
      <c r="CO2227" s="76"/>
      <c r="CP2227" s="76">
        <f>+CO2227*46000</f>
        <v>0</v>
      </c>
      <c r="CQ2227" s="76"/>
      <c r="CR2227" s="76">
        <f>+CQ2227*49000</f>
        <v>0</v>
      </c>
      <c r="CS2227" s="76"/>
      <c r="CT2227" s="76"/>
      <c r="CU2227" s="56">
        <f>AN2227+AP2227+AR2227+AT2227+AV2227+AX2227+AZ2227+BB2227+BD2227+BF2227+BH2227+BJ2227+BL2227+BN2227+BP2227+BR2227+BT2227+BV2227+BX2227+BZ2227+CB2227+CD2227+CF2227+CH2227+CJ2227+CL2227+CN2227+CP2227+CR2227+CT2227</f>
        <v>0</v>
      </c>
      <c r="CV2227" s="76"/>
      <c r="CW2227" s="76">
        <f>+CV2227*1100</f>
        <v>0</v>
      </c>
      <c r="CX2227" s="76"/>
      <c r="CY2227" s="76">
        <f>+CX2227*106250</f>
        <v>0</v>
      </c>
      <c r="CZ2227" s="76"/>
      <c r="DA2227" s="76">
        <f>+CZ2227*34500</f>
        <v>0</v>
      </c>
      <c r="DB2227" s="76"/>
      <c r="DC2227" s="76">
        <f>+DB2227*25000</f>
        <v>0</v>
      </c>
      <c r="DD2227" s="219"/>
      <c r="DE2227" s="219"/>
      <c r="DF2227" s="166"/>
      <c r="DG2227" s="116"/>
      <c r="DH2227" s="117"/>
      <c r="DI2227" s="24"/>
      <c r="DJ2227" s="24"/>
      <c r="DK2227" s="24"/>
      <c r="DL2227" s="24"/>
      <c r="DM2227" s="24"/>
      <c r="DN2227" s="24"/>
      <c r="DO2227" s="24"/>
      <c r="DP2227" s="24"/>
      <c r="DQ2227" s="24"/>
      <c r="DR2227" s="24"/>
      <c r="DS2227" s="24"/>
      <c r="DT2227" s="24"/>
      <c r="DU2227" s="24"/>
    </row>
    <row r="2228" spans="1:125" s="8" customFormat="1" ht="60" x14ac:dyDescent="0.2">
      <c r="A2228" s="353">
        <v>41455</v>
      </c>
      <c r="B2228" s="352" t="s">
        <v>2894</v>
      </c>
      <c r="C2228" s="354" t="s">
        <v>2006</v>
      </c>
      <c r="D2228" s="354" t="s">
        <v>3051</v>
      </c>
      <c r="E2228" s="75" t="str">
        <f>VLOOKUP(B2228&amp;C2228,Divipola!$C$2:$F$1138,4,FALSE)</f>
        <v>05360</v>
      </c>
      <c r="F2228" s="87"/>
      <c r="G2228" s="87"/>
      <c r="H2228" s="87"/>
      <c r="I2228" s="87">
        <v>70</v>
      </c>
      <c r="J2228" s="87">
        <v>14</v>
      </c>
      <c r="K2228" s="87"/>
      <c r="L2228" s="87">
        <v>14</v>
      </c>
      <c r="M2228" s="87"/>
      <c r="N2228" s="87"/>
      <c r="O2228" s="87"/>
      <c r="P2228" s="87"/>
      <c r="Q2228" s="87"/>
      <c r="R2228" s="87"/>
      <c r="S2228" s="87"/>
      <c r="T2228" s="87"/>
      <c r="U2228" s="88"/>
      <c r="V2228" s="89"/>
      <c r="W2228" s="96">
        <v>0</v>
      </c>
      <c r="X2228" s="71">
        <f>CU2228</f>
        <v>0</v>
      </c>
      <c r="Y2228" s="71">
        <f>CY2228</f>
        <v>0</v>
      </c>
      <c r="Z2228" s="71">
        <f>DA2228+DC2228+DE2228</f>
        <v>0</v>
      </c>
      <c r="AA2228" s="71">
        <f>CW2228</f>
        <v>0</v>
      </c>
      <c r="AB2228" s="71"/>
      <c r="AC2228" s="71">
        <v>0</v>
      </c>
      <c r="AD2228" s="71">
        <f>W2228+X2228+Y2228+Z2228+AA2228+AB2228+AC2228</f>
        <v>0</v>
      </c>
      <c r="AE2228" s="72">
        <v>0</v>
      </c>
      <c r="AF2228" s="5"/>
      <c r="AG2228" s="6"/>
      <c r="AH2228" s="27" t="s">
        <v>3392</v>
      </c>
      <c r="AI2228" s="44" t="s">
        <v>3393</v>
      </c>
      <c r="AJ2228" s="26"/>
      <c r="AK2228" s="5"/>
      <c r="AL2228" s="82" t="s">
        <v>5087</v>
      </c>
      <c r="AM2228" s="76"/>
      <c r="AN2228" s="76"/>
      <c r="AO2228" s="76"/>
      <c r="AP2228" s="76"/>
      <c r="AQ2228" s="76"/>
      <c r="AR2228" s="76"/>
      <c r="AS2228" s="76"/>
      <c r="AT2228" s="76"/>
      <c r="AU2228" s="76"/>
      <c r="AV2228" s="76"/>
      <c r="AW2228" s="76"/>
      <c r="AX2228" s="76">
        <f>+AW2228*600000</f>
        <v>0</v>
      </c>
      <c r="AY2228" s="76"/>
      <c r="AZ2228" s="76">
        <f>+AY2228*70000</f>
        <v>0</v>
      </c>
      <c r="BA2228" s="76"/>
      <c r="BB2228" s="76"/>
      <c r="BC2228" s="76"/>
      <c r="BD2228" s="76">
        <f>+BC2228*30000</f>
        <v>0</v>
      </c>
      <c r="BE2228" s="76"/>
      <c r="BF2228" s="76"/>
      <c r="BG2228" s="76"/>
      <c r="BH2228" s="76"/>
      <c r="BI2228" s="76"/>
      <c r="BJ2228" s="76"/>
      <c r="BK2228" s="76"/>
      <c r="BL2228" s="76">
        <f>+BK2228*31500</f>
        <v>0</v>
      </c>
      <c r="BM2228" s="76"/>
      <c r="BN2228" s="76"/>
      <c r="BO2228" s="76"/>
      <c r="BP2228" s="76"/>
      <c r="BQ2228" s="76"/>
      <c r="BR2228" s="76"/>
      <c r="BS2228" s="76"/>
      <c r="BT2228" s="76"/>
      <c r="BU2228" s="76"/>
      <c r="BV2228" s="76"/>
      <c r="BW2228" s="76"/>
      <c r="BX2228" s="76"/>
      <c r="BY2228" s="76"/>
      <c r="BZ2228" s="76"/>
      <c r="CA2228" s="76"/>
      <c r="CB2228" s="76"/>
      <c r="CC2228" s="76"/>
      <c r="CD2228" s="76"/>
      <c r="CE2228" s="76"/>
      <c r="CF2228" s="76">
        <f>+CE2228*28000</f>
        <v>0</v>
      </c>
      <c r="CG2228" s="76"/>
      <c r="CH2228" s="76">
        <f>+CG2228*22500</f>
        <v>0</v>
      </c>
      <c r="CI2228" s="76"/>
      <c r="CJ2228" s="76">
        <f>+CI2228*26000</f>
        <v>0</v>
      </c>
      <c r="CK2228" s="76"/>
      <c r="CL2228" s="76"/>
      <c r="CM2228" s="76"/>
      <c r="CN2228" s="76">
        <f>+CM2228*22000</f>
        <v>0</v>
      </c>
      <c r="CO2228" s="76"/>
      <c r="CP2228" s="76">
        <f>+CO2228*46000</f>
        <v>0</v>
      </c>
      <c r="CQ2228" s="76"/>
      <c r="CR2228" s="76">
        <f>+CQ2228*49000</f>
        <v>0</v>
      </c>
      <c r="CS2228" s="76"/>
      <c r="CT2228" s="76"/>
      <c r="CU2228" s="56">
        <f>AN2228+AP2228+AR2228+AT2228+AV2228+AX2228+AZ2228+BB2228+BD2228+BF2228+BH2228+BJ2228+BL2228+BN2228+BP2228+BR2228+BT2228+BV2228+BX2228+BZ2228+CB2228+CD2228+CF2228+CH2228+CJ2228+CL2228+CN2228+CP2228+CR2228+CT2228</f>
        <v>0</v>
      </c>
      <c r="CV2228" s="76"/>
      <c r="CW2228" s="76">
        <f>+CV2228*1100</f>
        <v>0</v>
      </c>
      <c r="CX2228" s="76"/>
      <c r="CY2228" s="76">
        <f>+CX2228*106250</f>
        <v>0</v>
      </c>
      <c r="CZ2228" s="76"/>
      <c r="DA2228" s="76">
        <f>+CZ2228*34500</f>
        <v>0</v>
      </c>
      <c r="DB2228" s="76"/>
      <c r="DC2228" s="76">
        <f>+DB2228*25000</f>
        <v>0</v>
      </c>
      <c r="DD2228" s="219"/>
      <c r="DE2228" s="219"/>
      <c r="DF2228" s="166"/>
      <c r="DG2228" s="116"/>
      <c r="DH2228" s="117"/>
      <c r="DI2228" s="24"/>
      <c r="DJ2228" s="24"/>
      <c r="DK2228" s="24"/>
      <c r="DL2228" s="24"/>
      <c r="DM2228" s="24"/>
      <c r="DN2228" s="24"/>
      <c r="DO2228" s="24"/>
      <c r="DP2228" s="24"/>
      <c r="DQ2228" s="24"/>
      <c r="DR2228" s="24"/>
      <c r="DS2228" s="24"/>
      <c r="DT2228" s="24"/>
      <c r="DU2228" s="24"/>
    </row>
    <row r="2229" spans="1:125" s="8" customFormat="1" ht="60" x14ac:dyDescent="0.2">
      <c r="A2229" s="77">
        <v>41455</v>
      </c>
      <c r="B2229" s="78" t="s">
        <v>2894</v>
      </c>
      <c r="C2229" s="75" t="s">
        <v>2119</v>
      </c>
      <c r="D2229" s="75" t="s">
        <v>3051</v>
      </c>
      <c r="E2229" s="75" t="str">
        <f>VLOOKUP(B2229&amp;C2229,Divipola!$C$2:$F$1138,4,FALSE)</f>
        <v>05380</v>
      </c>
      <c r="F2229" s="87"/>
      <c r="G2229" s="87"/>
      <c r="H2229" s="87"/>
      <c r="I2229" s="87">
        <v>65</v>
      </c>
      <c r="J2229" s="87">
        <v>13</v>
      </c>
      <c r="K2229" s="87">
        <v>1</v>
      </c>
      <c r="L2229" s="87">
        <v>12</v>
      </c>
      <c r="M2229" s="87"/>
      <c r="N2229" s="87"/>
      <c r="O2229" s="87"/>
      <c r="P2229" s="87"/>
      <c r="Q2229" s="87"/>
      <c r="R2229" s="87"/>
      <c r="S2229" s="87"/>
      <c r="T2229" s="87"/>
      <c r="U2229" s="88"/>
      <c r="V2229" s="89"/>
      <c r="W2229" s="96">
        <v>0</v>
      </c>
      <c r="X2229" s="71">
        <f>CU2229</f>
        <v>0</v>
      </c>
      <c r="Y2229" s="71">
        <f>CY2229</f>
        <v>0</v>
      </c>
      <c r="Z2229" s="71">
        <f>DA2229+DC2229+DE2229</f>
        <v>0</v>
      </c>
      <c r="AA2229" s="71">
        <f>CW2229</f>
        <v>0</v>
      </c>
      <c r="AB2229" s="71"/>
      <c r="AC2229" s="71">
        <v>0</v>
      </c>
      <c r="AD2229" s="71">
        <f>W2229+X2229+Y2229+Z2229+AA2229+AB2229+AC2229</f>
        <v>0</v>
      </c>
      <c r="AE2229" s="72">
        <v>0</v>
      </c>
      <c r="AF2229" s="5"/>
      <c r="AG2229" s="6"/>
      <c r="AH2229" s="27" t="s">
        <v>3392</v>
      </c>
      <c r="AI2229" s="44" t="s">
        <v>3393</v>
      </c>
      <c r="AJ2229" s="26"/>
      <c r="AK2229" s="5"/>
      <c r="AL2229" s="82" t="s">
        <v>5079</v>
      </c>
      <c r="AM2229" s="76"/>
      <c r="AN2229" s="76"/>
      <c r="AO2229" s="76"/>
      <c r="AP2229" s="76"/>
      <c r="AQ2229" s="76"/>
      <c r="AR2229" s="76"/>
      <c r="AS2229" s="76"/>
      <c r="AT2229" s="76"/>
      <c r="AU2229" s="76"/>
      <c r="AV2229" s="76"/>
      <c r="AW2229" s="76"/>
      <c r="AX2229" s="76">
        <f>+AW2229*600000</f>
        <v>0</v>
      </c>
      <c r="AY2229" s="76"/>
      <c r="AZ2229" s="76">
        <f>+AY2229*70000</f>
        <v>0</v>
      </c>
      <c r="BA2229" s="76"/>
      <c r="BB2229" s="76"/>
      <c r="BC2229" s="76"/>
      <c r="BD2229" s="76">
        <f>+BC2229*30000</f>
        <v>0</v>
      </c>
      <c r="BE2229" s="76"/>
      <c r="BF2229" s="76"/>
      <c r="BG2229" s="76"/>
      <c r="BH2229" s="76"/>
      <c r="BI2229" s="76"/>
      <c r="BJ2229" s="76"/>
      <c r="BK2229" s="76"/>
      <c r="BL2229" s="76">
        <f>+BK2229*31500</f>
        <v>0</v>
      </c>
      <c r="BM2229" s="76"/>
      <c r="BN2229" s="76"/>
      <c r="BO2229" s="76"/>
      <c r="BP2229" s="76"/>
      <c r="BQ2229" s="76"/>
      <c r="BR2229" s="76"/>
      <c r="BS2229" s="76"/>
      <c r="BT2229" s="76"/>
      <c r="BU2229" s="76"/>
      <c r="BV2229" s="76"/>
      <c r="BW2229" s="76"/>
      <c r="BX2229" s="76"/>
      <c r="BY2229" s="76"/>
      <c r="BZ2229" s="76"/>
      <c r="CA2229" s="76"/>
      <c r="CB2229" s="76"/>
      <c r="CC2229" s="76"/>
      <c r="CD2229" s="76"/>
      <c r="CE2229" s="76"/>
      <c r="CF2229" s="76">
        <f>+CE2229*28000</f>
        <v>0</v>
      </c>
      <c r="CG2229" s="76"/>
      <c r="CH2229" s="76">
        <f>+CG2229*22500</f>
        <v>0</v>
      </c>
      <c r="CI2229" s="76"/>
      <c r="CJ2229" s="76">
        <f>+CI2229*26000</f>
        <v>0</v>
      </c>
      <c r="CK2229" s="76"/>
      <c r="CL2229" s="76"/>
      <c r="CM2229" s="76"/>
      <c r="CN2229" s="76">
        <f>+CM2229*22000</f>
        <v>0</v>
      </c>
      <c r="CO2229" s="76"/>
      <c r="CP2229" s="76">
        <f>+CO2229*46000</f>
        <v>0</v>
      </c>
      <c r="CQ2229" s="76"/>
      <c r="CR2229" s="76">
        <f>+CQ2229*49000</f>
        <v>0</v>
      </c>
      <c r="CS2229" s="76"/>
      <c r="CT2229" s="76"/>
      <c r="CU2229" s="56">
        <f>AN2229+AP2229+AR2229+AT2229+AV2229+AX2229+AZ2229+BB2229+BD2229+BF2229+BH2229+BJ2229+BL2229+BN2229+BP2229+BR2229+BT2229+BV2229+BX2229+BZ2229+CB2229+CD2229+CF2229+CH2229+CJ2229+CL2229+CN2229+CP2229+CR2229+CT2229</f>
        <v>0</v>
      </c>
      <c r="CV2229" s="76"/>
      <c r="CW2229" s="76">
        <f>+CV2229*1100</f>
        <v>0</v>
      </c>
      <c r="CX2229" s="76"/>
      <c r="CY2229" s="76">
        <f>+CX2229*106250</f>
        <v>0</v>
      </c>
      <c r="CZ2229" s="76"/>
      <c r="DA2229" s="76">
        <f>+CZ2229*34500</f>
        <v>0</v>
      </c>
      <c r="DB2229" s="76"/>
      <c r="DC2229" s="76">
        <f>+DB2229*25000</f>
        <v>0</v>
      </c>
      <c r="DD2229" s="219"/>
      <c r="DE2229" s="219"/>
      <c r="DF2229" s="166"/>
      <c r="DG2229" s="116"/>
      <c r="DH2229" s="117"/>
      <c r="DI2229" s="24"/>
      <c r="DJ2229" s="24"/>
      <c r="DK2229" s="24"/>
      <c r="DL2229" s="24"/>
      <c r="DM2229" s="24"/>
      <c r="DN2229" s="24"/>
      <c r="DO2229" s="24"/>
      <c r="DP2229" s="24"/>
      <c r="DQ2229" s="24"/>
      <c r="DR2229" s="24"/>
      <c r="DS2229" s="24"/>
      <c r="DT2229" s="24"/>
      <c r="DU2229" s="24"/>
    </row>
    <row r="2230" spans="1:125" s="8" customFormat="1" ht="72" x14ac:dyDescent="0.2">
      <c r="A2230" s="77">
        <v>41455</v>
      </c>
      <c r="B2230" s="60" t="s">
        <v>2894</v>
      </c>
      <c r="C2230" s="55" t="s">
        <v>2032</v>
      </c>
      <c r="D2230" s="55" t="s">
        <v>2859</v>
      </c>
      <c r="E2230" s="75" t="str">
        <f>VLOOKUP(B2230&amp;C2230,Divipola!$C$2:$F$1138,4,FALSE)</f>
        <v>05001</v>
      </c>
      <c r="F2230" s="87"/>
      <c r="G2230" s="87"/>
      <c r="H2230" s="87"/>
      <c r="I2230" s="87"/>
      <c r="J2230" s="87"/>
      <c r="K2230" s="87"/>
      <c r="L2230" s="87"/>
      <c r="M2230" s="87"/>
      <c r="N2230" s="87"/>
      <c r="O2230" s="87"/>
      <c r="P2230" s="87"/>
      <c r="Q2230" s="87"/>
      <c r="R2230" s="87"/>
      <c r="S2230" s="87"/>
      <c r="T2230" s="87"/>
      <c r="U2230" s="88"/>
      <c r="V2230" s="89">
        <v>1</v>
      </c>
      <c r="W2230" s="96">
        <v>0</v>
      </c>
      <c r="X2230" s="71">
        <f>CU2230</f>
        <v>0</v>
      </c>
      <c r="Y2230" s="71">
        <f>CY2230</f>
        <v>0</v>
      </c>
      <c r="Z2230" s="71">
        <f>DA2230+DC2230+DE2230</f>
        <v>0</v>
      </c>
      <c r="AA2230" s="71">
        <f>CW2230</f>
        <v>0</v>
      </c>
      <c r="AB2230" s="71"/>
      <c r="AC2230" s="71">
        <v>0</v>
      </c>
      <c r="AD2230" s="71">
        <f>W2230+X2230+Y2230+Z2230+AA2230+AB2230+AC2230</f>
        <v>0</v>
      </c>
      <c r="AE2230" s="72">
        <v>0</v>
      </c>
      <c r="AF2230" s="5"/>
      <c r="AG2230" s="6"/>
      <c r="AH2230" s="27" t="s">
        <v>3392</v>
      </c>
      <c r="AI2230" s="44" t="s">
        <v>3393</v>
      </c>
      <c r="AJ2230" s="26"/>
      <c r="AK2230" s="5"/>
      <c r="AL2230" s="82" t="s">
        <v>5085</v>
      </c>
      <c r="AM2230" s="76"/>
      <c r="AN2230" s="76"/>
      <c r="AO2230" s="76"/>
      <c r="AP2230" s="76"/>
      <c r="AQ2230" s="76"/>
      <c r="AR2230" s="76"/>
      <c r="AS2230" s="76"/>
      <c r="AT2230" s="76"/>
      <c r="AU2230" s="76"/>
      <c r="AV2230" s="76"/>
      <c r="AW2230" s="76"/>
      <c r="AX2230" s="76">
        <f>+AW2230*600000</f>
        <v>0</v>
      </c>
      <c r="AY2230" s="76"/>
      <c r="AZ2230" s="76">
        <f>+AY2230*70000</f>
        <v>0</v>
      </c>
      <c r="BA2230" s="76"/>
      <c r="BB2230" s="76"/>
      <c r="BC2230" s="76"/>
      <c r="BD2230" s="76">
        <f>+BC2230*30000</f>
        <v>0</v>
      </c>
      <c r="BE2230" s="76"/>
      <c r="BF2230" s="76"/>
      <c r="BG2230" s="76"/>
      <c r="BH2230" s="76"/>
      <c r="BI2230" s="76"/>
      <c r="BJ2230" s="76"/>
      <c r="BK2230" s="76"/>
      <c r="BL2230" s="76">
        <f>+BK2230*31500</f>
        <v>0</v>
      </c>
      <c r="BM2230" s="76"/>
      <c r="BN2230" s="76"/>
      <c r="BO2230" s="76"/>
      <c r="BP2230" s="76"/>
      <c r="BQ2230" s="76"/>
      <c r="BR2230" s="76"/>
      <c r="BS2230" s="76"/>
      <c r="BT2230" s="76"/>
      <c r="BU2230" s="76"/>
      <c r="BV2230" s="76"/>
      <c r="BW2230" s="76"/>
      <c r="BX2230" s="76"/>
      <c r="BY2230" s="76"/>
      <c r="BZ2230" s="76"/>
      <c r="CA2230" s="76"/>
      <c r="CB2230" s="76"/>
      <c r="CC2230" s="76"/>
      <c r="CD2230" s="76"/>
      <c r="CE2230" s="76"/>
      <c r="CF2230" s="76">
        <f>+CE2230*28000</f>
        <v>0</v>
      </c>
      <c r="CG2230" s="76"/>
      <c r="CH2230" s="76">
        <f>+CG2230*22500</f>
        <v>0</v>
      </c>
      <c r="CI2230" s="76"/>
      <c r="CJ2230" s="76">
        <f>+CI2230*26000</f>
        <v>0</v>
      </c>
      <c r="CK2230" s="76"/>
      <c r="CL2230" s="76"/>
      <c r="CM2230" s="76"/>
      <c r="CN2230" s="76">
        <f>+CM2230*22000</f>
        <v>0</v>
      </c>
      <c r="CO2230" s="76"/>
      <c r="CP2230" s="76">
        <f>+CO2230*46000</f>
        <v>0</v>
      </c>
      <c r="CQ2230" s="76"/>
      <c r="CR2230" s="76">
        <f>+CQ2230*49000</f>
        <v>0</v>
      </c>
      <c r="CS2230" s="76"/>
      <c r="CT2230" s="76"/>
      <c r="CU2230" s="56">
        <f>AN2230+AP2230+AR2230+AT2230+AV2230+AX2230+AZ2230+BB2230+BD2230+BF2230+BH2230+BJ2230+BL2230+BN2230+BP2230+BR2230+BT2230+BV2230+BX2230+BZ2230+CB2230+CD2230+CF2230+CH2230+CJ2230+CL2230+CN2230+CP2230+CR2230+CT2230</f>
        <v>0</v>
      </c>
      <c r="CV2230" s="76"/>
      <c r="CW2230" s="76">
        <f>+CV2230*1100</f>
        <v>0</v>
      </c>
      <c r="CX2230" s="76"/>
      <c r="CY2230" s="76">
        <f>+CX2230*106250</f>
        <v>0</v>
      </c>
      <c r="CZ2230" s="76"/>
      <c r="DA2230" s="76">
        <f>+CZ2230*34500</f>
        <v>0</v>
      </c>
      <c r="DB2230" s="76"/>
      <c r="DC2230" s="76">
        <f>+DB2230*25000</f>
        <v>0</v>
      </c>
      <c r="DD2230" s="219"/>
      <c r="DE2230" s="219"/>
      <c r="DF2230" s="166"/>
      <c r="DG2230" s="116"/>
      <c r="DH2230" s="117"/>
      <c r="DI2230" s="24"/>
      <c r="DJ2230" s="24"/>
      <c r="DK2230" s="24"/>
      <c r="DL2230" s="24"/>
      <c r="DM2230" s="24"/>
      <c r="DN2230" s="24"/>
      <c r="DO2230" s="24"/>
      <c r="DP2230" s="24"/>
      <c r="DQ2230" s="24"/>
      <c r="DR2230" s="24"/>
      <c r="DS2230" s="24"/>
      <c r="DT2230" s="24"/>
      <c r="DU2230" s="24"/>
    </row>
    <row r="2231" spans="1:125" s="8" customFormat="1" ht="60" x14ac:dyDescent="0.2">
      <c r="A2231" s="353">
        <v>41455</v>
      </c>
      <c r="B2231" s="225" t="s">
        <v>2700</v>
      </c>
      <c r="C2231" s="227" t="s">
        <v>1619</v>
      </c>
      <c r="D2231" s="354" t="s">
        <v>2846</v>
      </c>
      <c r="E2231" s="75" t="str">
        <f>VLOOKUP(B2231&amp;C2231,Divipola!$C$2:$F$1138,4,FALSE)</f>
        <v>15215</v>
      </c>
      <c r="F2231" s="87"/>
      <c r="G2231" s="87"/>
      <c r="H2231" s="87"/>
      <c r="I2231" s="87"/>
      <c r="J2231" s="87"/>
      <c r="K2231" s="87"/>
      <c r="L2231" s="87"/>
      <c r="M2231" s="87"/>
      <c r="N2231" s="87"/>
      <c r="O2231" s="87"/>
      <c r="P2231" s="87"/>
      <c r="Q2231" s="87"/>
      <c r="R2231" s="87"/>
      <c r="S2231" s="87"/>
      <c r="T2231" s="87"/>
      <c r="U2231" s="88">
        <v>10</v>
      </c>
      <c r="V2231" s="89"/>
      <c r="W2231" s="96">
        <v>0</v>
      </c>
      <c r="X2231" s="71">
        <f>CU2231</f>
        <v>0</v>
      </c>
      <c r="Y2231" s="71">
        <f>CY2231</f>
        <v>0</v>
      </c>
      <c r="Z2231" s="71">
        <f>DA2231+DC2231+DE2231</f>
        <v>0</v>
      </c>
      <c r="AA2231" s="71">
        <f>CW2231</f>
        <v>0</v>
      </c>
      <c r="AB2231" s="71"/>
      <c r="AC2231" s="71">
        <v>0</v>
      </c>
      <c r="AD2231" s="71">
        <f>W2231+X2231+Y2231+Z2231+AA2231+AB2231+AC2231</f>
        <v>0</v>
      </c>
      <c r="AE2231" s="72">
        <v>0</v>
      </c>
      <c r="AF2231" s="5"/>
      <c r="AG2231" s="6"/>
      <c r="AH2231" s="27" t="s">
        <v>3392</v>
      </c>
      <c r="AI2231" s="44" t="s">
        <v>3393</v>
      </c>
      <c r="AJ2231" s="26"/>
      <c r="AK2231" s="5"/>
      <c r="AL2231" s="82" t="s">
        <v>5088</v>
      </c>
      <c r="AM2231" s="76"/>
      <c r="AN2231" s="76"/>
      <c r="AO2231" s="76"/>
      <c r="AP2231" s="76"/>
      <c r="AQ2231" s="76"/>
      <c r="AR2231" s="76"/>
      <c r="AS2231" s="76"/>
      <c r="AT2231" s="76"/>
      <c r="AU2231" s="76"/>
      <c r="AV2231" s="76"/>
      <c r="AW2231" s="76"/>
      <c r="AX2231" s="76">
        <f>+AW2231*600000</f>
        <v>0</v>
      </c>
      <c r="AY2231" s="76"/>
      <c r="AZ2231" s="76">
        <f>+AY2231*70000</f>
        <v>0</v>
      </c>
      <c r="BA2231" s="76"/>
      <c r="BB2231" s="76"/>
      <c r="BC2231" s="76"/>
      <c r="BD2231" s="76">
        <f>+BC2231*30000</f>
        <v>0</v>
      </c>
      <c r="BE2231" s="76"/>
      <c r="BF2231" s="76"/>
      <c r="BG2231" s="76"/>
      <c r="BH2231" s="76"/>
      <c r="BI2231" s="76"/>
      <c r="BJ2231" s="76"/>
      <c r="BK2231" s="76"/>
      <c r="BL2231" s="76">
        <f>+BK2231*31500</f>
        <v>0</v>
      </c>
      <c r="BM2231" s="76"/>
      <c r="BN2231" s="76"/>
      <c r="BO2231" s="76"/>
      <c r="BP2231" s="76"/>
      <c r="BQ2231" s="76"/>
      <c r="BR2231" s="76"/>
      <c r="BS2231" s="76"/>
      <c r="BT2231" s="76"/>
      <c r="BU2231" s="76"/>
      <c r="BV2231" s="76"/>
      <c r="BW2231" s="76"/>
      <c r="BX2231" s="76"/>
      <c r="BY2231" s="76"/>
      <c r="BZ2231" s="76"/>
      <c r="CA2231" s="76"/>
      <c r="CB2231" s="76"/>
      <c r="CC2231" s="76"/>
      <c r="CD2231" s="76"/>
      <c r="CE2231" s="76"/>
      <c r="CF2231" s="76">
        <f>+CE2231*28000</f>
        <v>0</v>
      </c>
      <c r="CG2231" s="76"/>
      <c r="CH2231" s="76">
        <f>+CG2231*22500</f>
        <v>0</v>
      </c>
      <c r="CI2231" s="76"/>
      <c r="CJ2231" s="76">
        <f>+CI2231*26000</f>
        <v>0</v>
      </c>
      <c r="CK2231" s="76"/>
      <c r="CL2231" s="76"/>
      <c r="CM2231" s="76"/>
      <c r="CN2231" s="76">
        <f>+CM2231*22000</f>
        <v>0</v>
      </c>
      <c r="CO2231" s="76"/>
      <c r="CP2231" s="76">
        <f>+CO2231*46000</f>
        <v>0</v>
      </c>
      <c r="CQ2231" s="76"/>
      <c r="CR2231" s="76">
        <f>+CQ2231*49000</f>
        <v>0</v>
      </c>
      <c r="CS2231" s="76"/>
      <c r="CT2231" s="76"/>
      <c r="CU2231" s="56">
        <f>AN2231+AP2231+AR2231+AT2231+AV2231+AX2231+AZ2231+BB2231+BD2231+BF2231+BH2231+BJ2231+BL2231+BN2231+BP2231+BR2231+BT2231+BV2231+BX2231+BZ2231+CB2231+CD2231+CF2231+CH2231+CJ2231+CL2231+CN2231+CP2231+CR2231+CT2231</f>
        <v>0</v>
      </c>
      <c r="CV2231" s="76"/>
      <c r="CW2231" s="76">
        <f>+CV2231*1100</f>
        <v>0</v>
      </c>
      <c r="CX2231" s="76"/>
      <c r="CY2231" s="76">
        <f>+CX2231*106250</f>
        <v>0</v>
      </c>
      <c r="CZ2231" s="76"/>
      <c r="DA2231" s="76">
        <f>+CZ2231*34500</f>
        <v>0</v>
      </c>
      <c r="DB2231" s="76"/>
      <c r="DC2231" s="76">
        <f>+DB2231*25000</f>
        <v>0</v>
      </c>
      <c r="DD2231" s="219"/>
      <c r="DE2231" s="219"/>
      <c r="DF2231" s="166"/>
      <c r="DG2231" s="116"/>
      <c r="DH2231" s="117"/>
      <c r="DI2231" s="24"/>
      <c r="DJ2231" s="24"/>
      <c r="DK2231" s="24"/>
      <c r="DL2231" s="24"/>
      <c r="DM2231" s="24"/>
      <c r="DN2231" s="24"/>
      <c r="DO2231" s="24"/>
      <c r="DP2231" s="24"/>
      <c r="DQ2231" s="24"/>
      <c r="DR2231" s="24"/>
      <c r="DS2231" s="24"/>
      <c r="DT2231" s="24"/>
      <c r="DU2231" s="24"/>
    </row>
    <row r="2232" spans="1:125" s="8" customFormat="1" ht="48" x14ac:dyDescent="0.2">
      <c r="A2232" s="77">
        <v>41455</v>
      </c>
      <c r="B2232" s="352" t="s">
        <v>2196</v>
      </c>
      <c r="C2232" s="354" t="s">
        <v>508</v>
      </c>
      <c r="D2232" s="354" t="s">
        <v>3088</v>
      </c>
      <c r="E2232" s="75" t="str">
        <f>VLOOKUP(B2232&amp;C2232,Divipola!$C$2:$F$1138,4,FALSE)</f>
        <v>17001</v>
      </c>
      <c r="F2232" s="87"/>
      <c r="G2232" s="87"/>
      <c r="H2232" s="87"/>
      <c r="I2232" s="87"/>
      <c r="J2232" s="87"/>
      <c r="K2232" s="87"/>
      <c r="L2232" s="87"/>
      <c r="M2232" s="87">
        <v>1</v>
      </c>
      <c r="N2232" s="87"/>
      <c r="O2232" s="87"/>
      <c r="P2232" s="87"/>
      <c r="Q2232" s="87"/>
      <c r="R2232" s="87"/>
      <c r="S2232" s="87"/>
      <c r="T2232" s="87"/>
      <c r="U2232" s="88"/>
      <c r="V2232" s="89"/>
      <c r="W2232" s="96">
        <v>0</v>
      </c>
      <c r="X2232" s="71">
        <f>CU2232</f>
        <v>0</v>
      </c>
      <c r="Y2232" s="71">
        <f>CY2232</f>
        <v>0</v>
      </c>
      <c r="Z2232" s="71">
        <f>DA2232+DC2232+DE2232</f>
        <v>0</v>
      </c>
      <c r="AA2232" s="71">
        <f>CW2232</f>
        <v>0</v>
      </c>
      <c r="AB2232" s="71"/>
      <c r="AC2232" s="71">
        <v>0</v>
      </c>
      <c r="AD2232" s="71">
        <f>W2232+X2232+Y2232+Z2232+AA2232+AB2232+AC2232</f>
        <v>0</v>
      </c>
      <c r="AE2232" s="72">
        <v>0</v>
      </c>
      <c r="AF2232" s="5"/>
      <c r="AG2232" s="6"/>
      <c r="AH2232" s="27" t="s">
        <v>3392</v>
      </c>
      <c r="AI2232" s="44" t="s">
        <v>3393</v>
      </c>
      <c r="AJ2232" s="26"/>
      <c r="AK2232" s="5"/>
      <c r="AL2232" s="82" t="s">
        <v>5082</v>
      </c>
      <c r="AM2232" s="76"/>
      <c r="AN2232" s="76"/>
      <c r="AO2232" s="76"/>
      <c r="AP2232" s="76"/>
      <c r="AQ2232" s="76"/>
      <c r="AR2232" s="76"/>
      <c r="AS2232" s="76"/>
      <c r="AT2232" s="76"/>
      <c r="AU2232" s="76"/>
      <c r="AV2232" s="76"/>
      <c r="AW2232" s="76"/>
      <c r="AX2232" s="76">
        <f>+AW2232*600000</f>
        <v>0</v>
      </c>
      <c r="AY2232" s="76"/>
      <c r="AZ2232" s="76">
        <f>+AY2232*70000</f>
        <v>0</v>
      </c>
      <c r="BA2232" s="76"/>
      <c r="BB2232" s="76"/>
      <c r="BC2232" s="76"/>
      <c r="BD2232" s="76">
        <f>+BC2232*30000</f>
        <v>0</v>
      </c>
      <c r="BE2232" s="76"/>
      <c r="BF2232" s="76"/>
      <c r="BG2232" s="76"/>
      <c r="BH2232" s="76"/>
      <c r="BI2232" s="76"/>
      <c r="BJ2232" s="76"/>
      <c r="BK2232" s="76"/>
      <c r="BL2232" s="76">
        <f>+BK2232*31500</f>
        <v>0</v>
      </c>
      <c r="BM2232" s="76"/>
      <c r="BN2232" s="76"/>
      <c r="BO2232" s="76"/>
      <c r="BP2232" s="76"/>
      <c r="BQ2232" s="76"/>
      <c r="BR2232" s="76"/>
      <c r="BS2232" s="76"/>
      <c r="BT2232" s="76"/>
      <c r="BU2232" s="76"/>
      <c r="BV2232" s="76"/>
      <c r="BW2232" s="76"/>
      <c r="BX2232" s="76"/>
      <c r="BY2232" s="76"/>
      <c r="BZ2232" s="76"/>
      <c r="CA2232" s="76"/>
      <c r="CB2232" s="76"/>
      <c r="CC2232" s="76"/>
      <c r="CD2232" s="76"/>
      <c r="CE2232" s="76"/>
      <c r="CF2232" s="76">
        <f>+CE2232*28000</f>
        <v>0</v>
      </c>
      <c r="CG2232" s="76"/>
      <c r="CH2232" s="76">
        <f>+CG2232*22500</f>
        <v>0</v>
      </c>
      <c r="CI2232" s="76"/>
      <c r="CJ2232" s="76">
        <f>+CI2232*26000</f>
        <v>0</v>
      </c>
      <c r="CK2232" s="76"/>
      <c r="CL2232" s="76"/>
      <c r="CM2232" s="76"/>
      <c r="CN2232" s="76">
        <f>+CM2232*22000</f>
        <v>0</v>
      </c>
      <c r="CO2232" s="76"/>
      <c r="CP2232" s="76">
        <f>+CO2232*46000</f>
        <v>0</v>
      </c>
      <c r="CQ2232" s="76"/>
      <c r="CR2232" s="76">
        <f>+CQ2232*49000</f>
        <v>0</v>
      </c>
      <c r="CS2232" s="76"/>
      <c r="CT2232" s="76"/>
      <c r="CU2232" s="56">
        <f>AN2232+AP2232+AR2232+AT2232+AV2232+AX2232+AZ2232+BB2232+BD2232+BF2232+BH2232+BJ2232+BL2232+BN2232+BP2232+BR2232+BT2232+BV2232+BX2232+BZ2232+CB2232+CD2232+CF2232+CH2232+CJ2232+CL2232+CN2232+CP2232+CR2232+CT2232</f>
        <v>0</v>
      </c>
      <c r="CV2232" s="76"/>
      <c r="CW2232" s="76">
        <f>+CV2232*1100</f>
        <v>0</v>
      </c>
      <c r="CX2232" s="76"/>
      <c r="CY2232" s="76">
        <f>+CX2232*106250</f>
        <v>0</v>
      </c>
      <c r="CZ2232" s="76"/>
      <c r="DA2232" s="76">
        <f>+CZ2232*34500</f>
        <v>0</v>
      </c>
      <c r="DB2232" s="76"/>
      <c r="DC2232" s="76">
        <f>+DB2232*25000</f>
        <v>0</v>
      </c>
      <c r="DD2232" s="219"/>
      <c r="DE2232" s="219"/>
      <c r="DF2232" s="166"/>
      <c r="DG2232" s="116"/>
      <c r="DH2232" s="117"/>
      <c r="DI2232" s="24"/>
      <c r="DJ2232" s="24"/>
      <c r="DK2232" s="24"/>
      <c r="DL2232" s="24"/>
      <c r="DM2232" s="24"/>
      <c r="DN2232" s="24"/>
      <c r="DO2232" s="24"/>
      <c r="DP2232" s="24"/>
      <c r="DQ2232" s="24"/>
      <c r="DR2232" s="24"/>
      <c r="DS2232" s="24"/>
      <c r="DT2232" s="24"/>
      <c r="DU2232" s="24"/>
    </row>
    <row r="2233" spans="1:125" s="8" customFormat="1" ht="84" x14ac:dyDescent="0.2">
      <c r="A2233" s="77">
        <v>41455</v>
      </c>
      <c r="B2233" s="225" t="s">
        <v>2854</v>
      </c>
      <c r="C2233" s="227" t="s">
        <v>2066</v>
      </c>
      <c r="D2233" s="354" t="s">
        <v>3425</v>
      </c>
      <c r="E2233" s="75" t="str">
        <f>VLOOKUP(B2233&amp;C2233,Divipola!$C$2:$F$1138,4,FALSE)</f>
        <v>19130</v>
      </c>
      <c r="F2233" s="87">
        <v>1</v>
      </c>
      <c r="G2233" s="87"/>
      <c r="H2233" s="87"/>
      <c r="I2233" s="87">
        <v>2</v>
      </c>
      <c r="J2233" s="87"/>
      <c r="K2233" s="87"/>
      <c r="L2233" s="87"/>
      <c r="M2233" s="87"/>
      <c r="N2233" s="87"/>
      <c r="O2233" s="87"/>
      <c r="P2233" s="87"/>
      <c r="Q2233" s="87"/>
      <c r="R2233" s="87"/>
      <c r="S2233" s="87"/>
      <c r="T2233" s="87"/>
      <c r="U2233" s="88"/>
      <c r="V2233" s="89"/>
      <c r="W2233" s="96">
        <v>0</v>
      </c>
      <c r="X2233" s="71">
        <f>CU2233</f>
        <v>0</v>
      </c>
      <c r="Y2233" s="71">
        <f>CY2233</f>
        <v>0</v>
      </c>
      <c r="Z2233" s="71">
        <f>DA2233+DC2233+DE2233</f>
        <v>0</v>
      </c>
      <c r="AA2233" s="71">
        <f>CW2233</f>
        <v>0</v>
      </c>
      <c r="AB2233" s="71"/>
      <c r="AC2233" s="71">
        <v>0</v>
      </c>
      <c r="AD2233" s="71">
        <f>W2233+X2233+Y2233+Z2233+AA2233+AB2233+AC2233</f>
        <v>0</v>
      </c>
      <c r="AE2233" s="72">
        <v>0</v>
      </c>
      <c r="AF2233" s="5"/>
      <c r="AG2233" s="6"/>
      <c r="AH2233" s="27" t="s">
        <v>3392</v>
      </c>
      <c r="AI2233" s="44" t="s">
        <v>3393</v>
      </c>
      <c r="AJ2233" s="26"/>
      <c r="AK2233" s="5"/>
      <c r="AL2233" s="82" t="s">
        <v>5083</v>
      </c>
      <c r="AM2233" s="76"/>
      <c r="AN2233" s="76"/>
      <c r="AO2233" s="76"/>
      <c r="AP2233" s="76"/>
      <c r="AQ2233" s="76"/>
      <c r="AR2233" s="76"/>
      <c r="AS2233" s="76"/>
      <c r="AT2233" s="76"/>
      <c r="AU2233" s="76"/>
      <c r="AV2233" s="76"/>
      <c r="AW2233" s="76"/>
      <c r="AX2233" s="76">
        <f>+AW2233*600000</f>
        <v>0</v>
      </c>
      <c r="AY2233" s="76"/>
      <c r="AZ2233" s="76">
        <f>+AY2233*70000</f>
        <v>0</v>
      </c>
      <c r="BA2233" s="76"/>
      <c r="BB2233" s="76"/>
      <c r="BC2233" s="76"/>
      <c r="BD2233" s="76">
        <f>+BC2233*30000</f>
        <v>0</v>
      </c>
      <c r="BE2233" s="76"/>
      <c r="BF2233" s="76"/>
      <c r="BG2233" s="76"/>
      <c r="BH2233" s="76"/>
      <c r="BI2233" s="76"/>
      <c r="BJ2233" s="76"/>
      <c r="BK2233" s="76"/>
      <c r="BL2233" s="76">
        <f>+BK2233*31500</f>
        <v>0</v>
      </c>
      <c r="BM2233" s="76"/>
      <c r="BN2233" s="76"/>
      <c r="BO2233" s="76"/>
      <c r="BP2233" s="76"/>
      <c r="BQ2233" s="76"/>
      <c r="BR2233" s="76"/>
      <c r="BS2233" s="76"/>
      <c r="BT2233" s="76"/>
      <c r="BU2233" s="76"/>
      <c r="BV2233" s="76"/>
      <c r="BW2233" s="76"/>
      <c r="BX2233" s="76"/>
      <c r="BY2233" s="76"/>
      <c r="BZ2233" s="76"/>
      <c r="CA2233" s="76"/>
      <c r="CB2233" s="76"/>
      <c r="CC2233" s="76"/>
      <c r="CD2233" s="76"/>
      <c r="CE2233" s="76"/>
      <c r="CF2233" s="76">
        <f>+CE2233*28000</f>
        <v>0</v>
      </c>
      <c r="CG2233" s="76"/>
      <c r="CH2233" s="76">
        <f>+CG2233*22500</f>
        <v>0</v>
      </c>
      <c r="CI2233" s="76"/>
      <c r="CJ2233" s="76">
        <f>+CI2233*26000</f>
        <v>0</v>
      </c>
      <c r="CK2233" s="76"/>
      <c r="CL2233" s="76"/>
      <c r="CM2233" s="76"/>
      <c r="CN2233" s="76">
        <f>+CM2233*22000</f>
        <v>0</v>
      </c>
      <c r="CO2233" s="76"/>
      <c r="CP2233" s="76">
        <f>+CO2233*46000</f>
        <v>0</v>
      </c>
      <c r="CQ2233" s="76"/>
      <c r="CR2233" s="76">
        <f>+CQ2233*49000</f>
        <v>0</v>
      </c>
      <c r="CS2233" s="76"/>
      <c r="CT2233" s="76"/>
      <c r="CU2233" s="56">
        <f>AN2233+AP2233+AR2233+AT2233+AV2233+AX2233+AZ2233+BB2233+BD2233+BF2233+BH2233+BJ2233+BL2233+BN2233+BP2233+BR2233+BT2233+BV2233+BX2233+BZ2233+CB2233+CD2233+CF2233+CH2233+CJ2233+CL2233+CN2233+CP2233+CR2233+CT2233</f>
        <v>0</v>
      </c>
      <c r="CV2233" s="76"/>
      <c r="CW2233" s="76">
        <f>+CV2233*1100</f>
        <v>0</v>
      </c>
      <c r="CX2233" s="76"/>
      <c r="CY2233" s="76">
        <f>+CX2233*106250</f>
        <v>0</v>
      </c>
      <c r="CZ2233" s="76"/>
      <c r="DA2233" s="76">
        <f>+CZ2233*34500</f>
        <v>0</v>
      </c>
      <c r="DB2233" s="76"/>
      <c r="DC2233" s="76">
        <f>+DB2233*25000</f>
        <v>0</v>
      </c>
      <c r="DD2233" s="219"/>
      <c r="DE2233" s="219"/>
      <c r="DF2233" s="166"/>
      <c r="DG2233" s="116"/>
      <c r="DH2233" s="117"/>
      <c r="DI2233" s="24"/>
      <c r="DJ2233" s="24"/>
      <c r="DK2233" s="24"/>
      <c r="DL2233" s="24"/>
      <c r="DM2233" s="24"/>
      <c r="DN2233" s="24"/>
      <c r="DO2233" s="24"/>
      <c r="DP2233" s="24"/>
      <c r="DQ2233" s="24"/>
      <c r="DR2233" s="24"/>
      <c r="DS2233" s="24"/>
      <c r="DT2233" s="24"/>
      <c r="DU2233" s="24"/>
    </row>
    <row r="2234" spans="1:125" s="8" customFormat="1" ht="84" x14ac:dyDescent="0.2">
      <c r="A2234" s="353">
        <v>41455</v>
      </c>
      <c r="B2234" s="352" t="s">
        <v>2772</v>
      </c>
      <c r="C2234" s="354" t="s">
        <v>1173</v>
      </c>
      <c r="D2234" s="354" t="s">
        <v>2849</v>
      </c>
      <c r="E2234" s="75" t="str">
        <f>VLOOKUP(B2234&amp;C2234,Divipola!$C$2:$F$1138,4,FALSE)</f>
        <v>25793</v>
      </c>
      <c r="F2234" s="87">
        <v>2</v>
      </c>
      <c r="G2234" s="87">
        <v>40</v>
      </c>
      <c r="H2234" s="87"/>
      <c r="I2234" s="87">
        <v>42</v>
      </c>
      <c r="J2234" s="87"/>
      <c r="K2234" s="87"/>
      <c r="L2234" s="87"/>
      <c r="M2234" s="87"/>
      <c r="N2234" s="87"/>
      <c r="O2234" s="87"/>
      <c r="P2234" s="87"/>
      <c r="Q2234" s="87"/>
      <c r="R2234" s="87"/>
      <c r="S2234" s="87"/>
      <c r="T2234" s="87"/>
      <c r="U2234" s="88"/>
      <c r="V2234" s="89"/>
      <c r="W2234" s="96">
        <v>0</v>
      </c>
      <c r="X2234" s="71">
        <f>CU2234</f>
        <v>0</v>
      </c>
      <c r="Y2234" s="71">
        <f>CY2234</f>
        <v>0</v>
      </c>
      <c r="Z2234" s="71">
        <f>DA2234+DC2234+DE2234</f>
        <v>0</v>
      </c>
      <c r="AA2234" s="71">
        <f>CW2234</f>
        <v>0</v>
      </c>
      <c r="AB2234" s="71"/>
      <c r="AC2234" s="71">
        <v>0</v>
      </c>
      <c r="AD2234" s="71">
        <f>W2234+X2234+Y2234+Z2234+AA2234+AB2234+AC2234</f>
        <v>0</v>
      </c>
      <c r="AE2234" s="72">
        <v>0</v>
      </c>
      <c r="AF2234" s="5"/>
      <c r="AG2234" s="6"/>
      <c r="AH2234" s="27" t="s">
        <v>3392</v>
      </c>
      <c r="AI2234" s="44" t="s">
        <v>3393</v>
      </c>
      <c r="AJ2234" s="26"/>
      <c r="AK2234" s="5"/>
      <c r="AL2234" s="82" t="s">
        <v>5099</v>
      </c>
      <c r="AM2234" s="76"/>
      <c r="AN2234" s="76"/>
      <c r="AO2234" s="76"/>
      <c r="AP2234" s="76"/>
      <c r="AQ2234" s="76"/>
      <c r="AR2234" s="76"/>
      <c r="AS2234" s="76"/>
      <c r="AT2234" s="76"/>
      <c r="AU2234" s="76"/>
      <c r="AV2234" s="76"/>
      <c r="AW2234" s="76"/>
      <c r="AX2234" s="76">
        <f>+AW2234*600000</f>
        <v>0</v>
      </c>
      <c r="AY2234" s="76"/>
      <c r="AZ2234" s="76">
        <f>+AY2234*70000</f>
        <v>0</v>
      </c>
      <c r="BA2234" s="76"/>
      <c r="BB2234" s="76"/>
      <c r="BC2234" s="76"/>
      <c r="BD2234" s="76">
        <f>+BC2234*30000</f>
        <v>0</v>
      </c>
      <c r="BE2234" s="76"/>
      <c r="BF2234" s="76"/>
      <c r="BG2234" s="76"/>
      <c r="BH2234" s="76"/>
      <c r="BI2234" s="76"/>
      <c r="BJ2234" s="76"/>
      <c r="BK2234" s="76"/>
      <c r="BL2234" s="76">
        <f>+BK2234*31500</f>
        <v>0</v>
      </c>
      <c r="BM2234" s="76"/>
      <c r="BN2234" s="76"/>
      <c r="BO2234" s="76"/>
      <c r="BP2234" s="76"/>
      <c r="BQ2234" s="76"/>
      <c r="BR2234" s="76"/>
      <c r="BS2234" s="76"/>
      <c r="BT2234" s="76"/>
      <c r="BU2234" s="76"/>
      <c r="BV2234" s="76"/>
      <c r="BW2234" s="76"/>
      <c r="BX2234" s="76"/>
      <c r="BY2234" s="76"/>
      <c r="BZ2234" s="76"/>
      <c r="CA2234" s="76"/>
      <c r="CB2234" s="76"/>
      <c r="CC2234" s="76"/>
      <c r="CD2234" s="76"/>
      <c r="CE2234" s="76"/>
      <c r="CF2234" s="76">
        <f>+CE2234*28000</f>
        <v>0</v>
      </c>
      <c r="CG2234" s="76"/>
      <c r="CH2234" s="76">
        <f>+CG2234*22500</f>
        <v>0</v>
      </c>
      <c r="CI2234" s="76"/>
      <c r="CJ2234" s="76">
        <f>+CI2234*26000</f>
        <v>0</v>
      </c>
      <c r="CK2234" s="76"/>
      <c r="CL2234" s="76"/>
      <c r="CM2234" s="76"/>
      <c r="CN2234" s="76">
        <f>+CM2234*22000</f>
        <v>0</v>
      </c>
      <c r="CO2234" s="76"/>
      <c r="CP2234" s="76">
        <f>+CO2234*46000</f>
        <v>0</v>
      </c>
      <c r="CQ2234" s="76"/>
      <c r="CR2234" s="76">
        <f>+CQ2234*49000</f>
        <v>0</v>
      </c>
      <c r="CS2234" s="76"/>
      <c r="CT2234" s="76"/>
      <c r="CU2234" s="56">
        <f>AN2234+AP2234+AR2234+AT2234+AV2234+AX2234+AZ2234+BB2234+BD2234+BF2234+BH2234+BJ2234+BL2234+BN2234+BP2234+BR2234+BT2234+BV2234+BX2234+BZ2234+CB2234+CD2234+CF2234+CH2234+CJ2234+CL2234+CN2234+CP2234+CR2234+CT2234</f>
        <v>0</v>
      </c>
      <c r="CV2234" s="76"/>
      <c r="CW2234" s="76">
        <f>+CV2234*1100</f>
        <v>0</v>
      </c>
      <c r="CX2234" s="76"/>
      <c r="CY2234" s="76">
        <f>+CX2234*106250</f>
        <v>0</v>
      </c>
      <c r="CZ2234" s="76"/>
      <c r="DA2234" s="76">
        <f>+CZ2234*34500</f>
        <v>0</v>
      </c>
      <c r="DB2234" s="76"/>
      <c r="DC2234" s="76">
        <f>+DB2234*25000</f>
        <v>0</v>
      </c>
      <c r="DD2234" s="219"/>
      <c r="DE2234" s="219"/>
      <c r="DF2234" s="166"/>
      <c r="DG2234" s="116"/>
      <c r="DH2234" s="117"/>
      <c r="DI2234" s="24"/>
      <c r="DJ2234" s="24"/>
      <c r="DK2234" s="24"/>
      <c r="DL2234" s="24"/>
      <c r="DM2234" s="24"/>
      <c r="DN2234" s="24"/>
      <c r="DO2234" s="24"/>
      <c r="DP2234" s="24"/>
      <c r="DQ2234" s="24"/>
      <c r="DR2234" s="24"/>
      <c r="DS2234" s="24"/>
      <c r="DT2234" s="24"/>
      <c r="DU2234" s="24"/>
    </row>
    <row r="2235" spans="1:125" s="8" customFormat="1" ht="72" x14ac:dyDescent="0.2">
      <c r="A2235" s="353">
        <v>41455</v>
      </c>
      <c r="B2235" s="225" t="s">
        <v>2847</v>
      </c>
      <c r="C2235" s="227" t="s">
        <v>2673</v>
      </c>
      <c r="D2235" s="227" t="s">
        <v>2846</v>
      </c>
      <c r="E2235" s="75" t="str">
        <f>VLOOKUP(B2235&amp;C2235,Divipola!$C$2:$F$1138,4,FALSE)</f>
        <v>68001</v>
      </c>
      <c r="F2235" s="87"/>
      <c r="G2235" s="87"/>
      <c r="H2235" s="87"/>
      <c r="I2235" s="87"/>
      <c r="J2235" s="87"/>
      <c r="K2235" s="87"/>
      <c r="L2235" s="87"/>
      <c r="M2235" s="87"/>
      <c r="N2235" s="87"/>
      <c r="O2235" s="87"/>
      <c r="P2235" s="87"/>
      <c r="Q2235" s="87"/>
      <c r="R2235" s="87"/>
      <c r="S2235" s="87"/>
      <c r="T2235" s="87"/>
      <c r="U2235" s="88">
        <v>3</v>
      </c>
      <c r="V2235" s="89"/>
      <c r="W2235" s="96">
        <v>0</v>
      </c>
      <c r="X2235" s="71">
        <f>CU2235</f>
        <v>0</v>
      </c>
      <c r="Y2235" s="71">
        <f>CY2235</f>
        <v>0</v>
      </c>
      <c r="Z2235" s="71">
        <f>DA2235+DC2235+DE2235</f>
        <v>0</v>
      </c>
      <c r="AA2235" s="71">
        <f>CW2235</f>
        <v>0</v>
      </c>
      <c r="AB2235" s="71"/>
      <c r="AC2235" s="71">
        <v>0</v>
      </c>
      <c r="AD2235" s="71">
        <f>W2235+X2235+Y2235+Z2235+AA2235+AB2235+AC2235</f>
        <v>0</v>
      </c>
      <c r="AE2235" s="72">
        <v>0</v>
      </c>
      <c r="AF2235" s="5"/>
      <c r="AG2235" s="6"/>
      <c r="AH2235" s="27" t="s">
        <v>3392</v>
      </c>
      <c r="AI2235" s="44" t="s">
        <v>3393</v>
      </c>
      <c r="AJ2235" s="26"/>
      <c r="AK2235" s="5"/>
      <c r="AL2235" s="82" t="s">
        <v>5089</v>
      </c>
      <c r="AM2235" s="76"/>
      <c r="AN2235" s="76"/>
      <c r="AO2235" s="76"/>
      <c r="AP2235" s="76"/>
      <c r="AQ2235" s="76"/>
      <c r="AR2235" s="76"/>
      <c r="AS2235" s="76"/>
      <c r="AT2235" s="76"/>
      <c r="AU2235" s="76"/>
      <c r="AV2235" s="76"/>
      <c r="AW2235" s="76"/>
      <c r="AX2235" s="76">
        <f>+AW2235*600000</f>
        <v>0</v>
      </c>
      <c r="AY2235" s="76"/>
      <c r="AZ2235" s="76">
        <f>+AY2235*70000</f>
        <v>0</v>
      </c>
      <c r="BA2235" s="76"/>
      <c r="BB2235" s="76"/>
      <c r="BC2235" s="76"/>
      <c r="BD2235" s="76">
        <f>+BC2235*30000</f>
        <v>0</v>
      </c>
      <c r="BE2235" s="76"/>
      <c r="BF2235" s="76"/>
      <c r="BG2235" s="76"/>
      <c r="BH2235" s="76"/>
      <c r="BI2235" s="76"/>
      <c r="BJ2235" s="76"/>
      <c r="BK2235" s="76"/>
      <c r="BL2235" s="76">
        <f>+BK2235*31500</f>
        <v>0</v>
      </c>
      <c r="BM2235" s="76"/>
      <c r="BN2235" s="76"/>
      <c r="BO2235" s="76"/>
      <c r="BP2235" s="76"/>
      <c r="BQ2235" s="76"/>
      <c r="BR2235" s="76"/>
      <c r="BS2235" s="76"/>
      <c r="BT2235" s="76"/>
      <c r="BU2235" s="76"/>
      <c r="BV2235" s="76"/>
      <c r="BW2235" s="76"/>
      <c r="BX2235" s="76"/>
      <c r="BY2235" s="76"/>
      <c r="BZ2235" s="76"/>
      <c r="CA2235" s="76"/>
      <c r="CB2235" s="76"/>
      <c r="CC2235" s="76"/>
      <c r="CD2235" s="76"/>
      <c r="CE2235" s="76"/>
      <c r="CF2235" s="76">
        <f>+CE2235*28000</f>
        <v>0</v>
      </c>
      <c r="CG2235" s="76"/>
      <c r="CH2235" s="76">
        <f>+CG2235*22500</f>
        <v>0</v>
      </c>
      <c r="CI2235" s="76"/>
      <c r="CJ2235" s="76">
        <f>+CI2235*26000</f>
        <v>0</v>
      </c>
      <c r="CK2235" s="76"/>
      <c r="CL2235" s="76"/>
      <c r="CM2235" s="76"/>
      <c r="CN2235" s="76">
        <f>+CM2235*22000</f>
        <v>0</v>
      </c>
      <c r="CO2235" s="76"/>
      <c r="CP2235" s="76">
        <f>+CO2235*46000</f>
        <v>0</v>
      </c>
      <c r="CQ2235" s="76"/>
      <c r="CR2235" s="76">
        <f>+CQ2235*49000</f>
        <v>0</v>
      </c>
      <c r="CS2235" s="76"/>
      <c r="CT2235" s="76"/>
      <c r="CU2235" s="56">
        <f>AN2235+AP2235+AR2235+AT2235+AV2235+AX2235+AZ2235+BB2235+BD2235+BF2235+BH2235+BJ2235+BL2235+BN2235+BP2235+BR2235+BT2235+BV2235+BX2235+BZ2235+CB2235+CD2235+CF2235+CH2235+CJ2235+CL2235+CN2235+CP2235+CR2235+CT2235</f>
        <v>0</v>
      </c>
      <c r="CV2235" s="76"/>
      <c r="CW2235" s="76">
        <f>+CV2235*1100</f>
        <v>0</v>
      </c>
      <c r="CX2235" s="76"/>
      <c r="CY2235" s="76">
        <f>+CX2235*106250</f>
        <v>0</v>
      </c>
      <c r="CZ2235" s="76"/>
      <c r="DA2235" s="76">
        <f>+CZ2235*34500</f>
        <v>0</v>
      </c>
      <c r="DB2235" s="76"/>
      <c r="DC2235" s="76">
        <f>+DB2235*25000</f>
        <v>0</v>
      </c>
      <c r="DD2235" s="219"/>
      <c r="DE2235" s="219"/>
      <c r="DF2235" s="166"/>
      <c r="DG2235" s="116"/>
      <c r="DH2235" s="117"/>
      <c r="DI2235" s="24"/>
      <c r="DJ2235" s="24"/>
      <c r="DK2235" s="24"/>
      <c r="DL2235" s="24"/>
      <c r="DM2235" s="24"/>
      <c r="DN2235" s="24"/>
      <c r="DO2235" s="24"/>
      <c r="DP2235" s="24"/>
      <c r="DQ2235" s="24"/>
      <c r="DR2235" s="24"/>
      <c r="DS2235" s="24"/>
      <c r="DT2235" s="24"/>
      <c r="DU2235" s="24"/>
    </row>
    <row r="2236" spans="1:125" s="8" customFormat="1" ht="192" x14ac:dyDescent="0.2">
      <c r="A2236" s="77">
        <v>41455</v>
      </c>
      <c r="B2236" s="225" t="s">
        <v>2848</v>
      </c>
      <c r="C2236" s="354" t="s">
        <v>2191</v>
      </c>
      <c r="D2236" s="354" t="s">
        <v>3051</v>
      </c>
      <c r="E2236" s="75" t="str">
        <f>VLOOKUP(B2236&amp;C2236,Divipola!$C$2:$F$1138,4,FALSE)</f>
        <v>73319</v>
      </c>
      <c r="F2236" s="87"/>
      <c r="G2236" s="87"/>
      <c r="H2236" s="87"/>
      <c r="I2236" s="87"/>
      <c r="J2236" s="87"/>
      <c r="K2236" s="87"/>
      <c r="L2236" s="87"/>
      <c r="M2236" s="87"/>
      <c r="N2236" s="87"/>
      <c r="O2236" s="87"/>
      <c r="P2236" s="87"/>
      <c r="Q2236" s="87"/>
      <c r="R2236" s="87"/>
      <c r="S2236" s="87"/>
      <c r="T2236" s="87"/>
      <c r="U2236" s="88"/>
      <c r="V2236" s="89"/>
      <c r="W2236" s="96">
        <v>0</v>
      </c>
      <c r="X2236" s="71">
        <f>CU2236</f>
        <v>0</v>
      </c>
      <c r="Y2236" s="71">
        <f>CY2236</f>
        <v>0</v>
      </c>
      <c r="Z2236" s="71">
        <f>DA2236+DC2236+DE2236</f>
        <v>0</v>
      </c>
      <c r="AA2236" s="71">
        <f>CW2236</f>
        <v>0</v>
      </c>
      <c r="AB2236" s="71"/>
      <c r="AC2236" s="71">
        <v>0</v>
      </c>
      <c r="AD2236" s="71">
        <f>W2236+X2236+Y2236+Z2236+AA2236+AB2236+AC2236</f>
        <v>0</v>
      </c>
      <c r="AE2236" s="72">
        <v>0</v>
      </c>
      <c r="AF2236" s="5"/>
      <c r="AG2236" s="6"/>
      <c r="AH2236" s="27" t="s">
        <v>3392</v>
      </c>
      <c r="AI2236" s="44" t="s">
        <v>3393</v>
      </c>
      <c r="AJ2236" s="26"/>
      <c r="AK2236" s="5"/>
      <c r="AL2236" s="82" t="s">
        <v>5084</v>
      </c>
      <c r="AM2236" s="76"/>
      <c r="AN2236" s="76"/>
      <c r="AO2236" s="76"/>
      <c r="AP2236" s="76"/>
      <c r="AQ2236" s="76"/>
      <c r="AR2236" s="76"/>
      <c r="AS2236" s="76"/>
      <c r="AT2236" s="76"/>
      <c r="AU2236" s="76"/>
      <c r="AV2236" s="76"/>
      <c r="AW2236" s="76"/>
      <c r="AX2236" s="76">
        <f>+AW2236*600000</f>
        <v>0</v>
      </c>
      <c r="AY2236" s="76"/>
      <c r="AZ2236" s="76">
        <f>+AY2236*70000</f>
        <v>0</v>
      </c>
      <c r="BA2236" s="76"/>
      <c r="BB2236" s="76"/>
      <c r="BC2236" s="76"/>
      <c r="BD2236" s="76">
        <f>+BC2236*30000</f>
        <v>0</v>
      </c>
      <c r="BE2236" s="76"/>
      <c r="BF2236" s="76"/>
      <c r="BG2236" s="76"/>
      <c r="BH2236" s="76"/>
      <c r="BI2236" s="76"/>
      <c r="BJ2236" s="76"/>
      <c r="BK2236" s="76"/>
      <c r="BL2236" s="76">
        <f>+BK2236*31500</f>
        <v>0</v>
      </c>
      <c r="BM2236" s="76"/>
      <c r="BN2236" s="76"/>
      <c r="BO2236" s="76"/>
      <c r="BP2236" s="76"/>
      <c r="BQ2236" s="76"/>
      <c r="BR2236" s="76"/>
      <c r="BS2236" s="76"/>
      <c r="BT2236" s="76"/>
      <c r="BU2236" s="76"/>
      <c r="BV2236" s="76"/>
      <c r="BW2236" s="76"/>
      <c r="BX2236" s="76"/>
      <c r="BY2236" s="76"/>
      <c r="BZ2236" s="76"/>
      <c r="CA2236" s="76"/>
      <c r="CB2236" s="76"/>
      <c r="CC2236" s="76"/>
      <c r="CD2236" s="76"/>
      <c r="CE2236" s="76"/>
      <c r="CF2236" s="76">
        <f>+CE2236*28000</f>
        <v>0</v>
      </c>
      <c r="CG2236" s="76"/>
      <c r="CH2236" s="76">
        <f>+CG2236*22500</f>
        <v>0</v>
      </c>
      <c r="CI2236" s="76"/>
      <c r="CJ2236" s="76">
        <f>+CI2236*26000</f>
        <v>0</v>
      </c>
      <c r="CK2236" s="76"/>
      <c r="CL2236" s="76"/>
      <c r="CM2236" s="76"/>
      <c r="CN2236" s="76">
        <f>+CM2236*22000</f>
        <v>0</v>
      </c>
      <c r="CO2236" s="76"/>
      <c r="CP2236" s="76">
        <f>+CO2236*46000</f>
        <v>0</v>
      </c>
      <c r="CQ2236" s="76"/>
      <c r="CR2236" s="76">
        <f>+CQ2236*49000</f>
        <v>0</v>
      </c>
      <c r="CS2236" s="76"/>
      <c r="CT2236" s="76"/>
      <c r="CU2236" s="56">
        <f>AN2236+AP2236+AR2236+AT2236+AV2236+AX2236+AZ2236+BB2236+BD2236+BF2236+BH2236+BJ2236+BL2236+BN2236+BP2236+BR2236+BT2236+BV2236+BX2236+BZ2236+CB2236+CD2236+CF2236+CH2236+CJ2236+CL2236+CN2236+CP2236+CR2236+CT2236</f>
        <v>0</v>
      </c>
      <c r="CV2236" s="76"/>
      <c r="CW2236" s="76">
        <f>+CV2236*1100</f>
        <v>0</v>
      </c>
      <c r="CX2236" s="76"/>
      <c r="CY2236" s="76">
        <f>+CX2236*106250</f>
        <v>0</v>
      </c>
      <c r="CZ2236" s="76"/>
      <c r="DA2236" s="76">
        <f>+CZ2236*34500</f>
        <v>0</v>
      </c>
      <c r="DB2236" s="76"/>
      <c r="DC2236" s="76">
        <f>+DB2236*25000</f>
        <v>0</v>
      </c>
      <c r="DD2236" s="219"/>
      <c r="DE2236" s="219"/>
      <c r="DF2236" s="166"/>
      <c r="DG2236" s="116"/>
      <c r="DH2236" s="117"/>
      <c r="DI2236" s="24"/>
      <c r="DJ2236" s="24"/>
      <c r="DK2236" s="24"/>
      <c r="DL2236" s="24"/>
      <c r="DM2236" s="24"/>
      <c r="DN2236" s="24"/>
      <c r="DO2236" s="24"/>
      <c r="DP2236" s="24"/>
      <c r="DQ2236" s="24"/>
      <c r="DR2236" s="24"/>
      <c r="DS2236" s="24"/>
      <c r="DT2236" s="24"/>
      <c r="DU2236" s="24"/>
    </row>
    <row r="2237" spans="1:125" s="8" customFormat="1" ht="60" x14ac:dyDescent="0.2">
      <c r="A2237" s="226">
        <v>41455</v>
      </c>
      <c r="B2237" s="352" t="s">
        <v>2848</v>
      </c>
      <c r="C2237" s="354" t="s">
        <v>1258</v>
      </c>
      <c r="D2237" s="354" t="s">
        <v>2882</v>
      </c>
      <c r="E2237" s="75" t="str">
        <f>VLOOKUP(B2237&amp;C2237,Divipola!$C$2:$F$1138,4,FALSE)</f>
        <v>73870</v>
      </c>
      <c r="F2237" s="87"/>
      <c r="G2237" s="87"/>
      <c r="H2237" s="87"/>
      <c r="I2237" s="87">
        <v>90</v>
      </c>
      <c r="J2237" s="87">
        <v>18</v>
      </c>
      <c r="K2237" s="87">
        <v>2</v>
      </c>
      <c r="L2237" s="87">
        <v>16</v>
      </c>
      <c r="M2237" s="87"/>
      <c r="N2237" s="87"/>
      <c r="O2237" s="87"/>
      <c r="P2237" s="87"/>
      <c r="Q2237" s="87"/>
      <c r="R2237" s="87"/>
      <c r="S2237" s="87"/>
      <c r="T2237" s="87"/>
      <c r="U2237" s="88"/>
      <c r="V2237" s="89"/>
      <c r="W2237" s="96">
        <v>0</v>
      </c>
      <c r="X2237" s="71">
        <f>CU2237</f>
        <v>0</v>
      </c>
      <c r="Y2237" s="71">
        <f>CY2237</f>
        <v>0</v>
      </c>
      <c r="Z2237" s="71">
        <f>DA2237+DC2237+DE2237</f>
        <v>0</v>
      </c>
      <c r="AA2237" s="71">
        <f>CW2237</f>
        <v>0</v>
      </c>
      <c r="AB2237" s="71"/>
      <c r="AC2237" s="71">
        <v>0</v>
      </c>
      <c r="AD2237" s="71">
        <f>W2237+X2237+Y2237+Z2237+AA2237+AB2237+AC2237</f>
        <v>0</v>
      </c>
      <c r="AE2237" s="72">
        <v>0</v>
      </c>
      <c r="AF2237" s="5"/>
      <c r="AG2237" s="6"/>
      <c r="AH2237" s="27" t="s">
        <v>3392</v>
      </c>
      <c r="AI2237" s="44" t="s">
        <v>3393</v>
      </c>
      <c r="AJ2237" s="26"/>
      <c r="AK2237" s="5"/>
      <c r="AL2237" s="82" t="s">
        <v>5078</v>
      </c>
      <c r="AM2237" s="76"/>
      <c r="AN2237" s="76"/>
      <c r="AO2237" s="76"/>
      <c r="AP2237" s="76"/>
      <c r="AQ2237" s="76"/>
      <c r="AR2237" s="76"/>
      <c r="AS2237" s="76"/>
      <c r="AT2237" s="76"/>
      <c r="AU2237" s="76"/>
      <c r="AV2237" s="76"/>
      <c r="AW2237" s="76"/>
      <c r="AX2237" s="76">
        <f>+AW2237*600000</f>
        <v>0</v>
      </c>
      <c r="AY2237" s="76"/>
      <c r="AZ2237" s="76">
        <f>+AY2237*70000</f>
        <v>0</v>
      </c>
      <c r="BA2237" s="76"/>
      <c r="BB2237" s="76"/>
      <c r="BC2237" s="76"/>
      <c r="BD2237" s="76">
        <f>+BC2237*30000</f>
        <v>0</v>
      </c>
      <c r="BE2237" s="76"/>
      <c r="BF2237" s="76"/>
      <c r="BG2237" s="76"/>
      <c r="BH2237" s="76"/>
      <c r="BI2237" s="76"/>
      <c r="BJ2237" s="76"/>
      <c r="BK2237" s="76"/>
      <c r="BL2237" s="76">
        <f>+BK2237*31500</f>
        <v>0</v>
      </c>
      <c r="BM2237" s="76"/>
      <c r="BN2237" s="76"/>
      <c r="BO2237" s="76"/>
      <c r="BP2237" s="76"/>
      <c r="BQ2237" s="76"/>
      <c r="BR2237" s="76"/>
      <c r="BS2237" s="76"/>
      <c r="BT2237" s="76"/>
      <c r="BU2237" s="76"/>
      <c r="BV2237" s="76"/>
      <c r="BW2237" s="76"/>
      <c r="BX2237" s="76"/>
      <c r="BY2237" s="76"/>
      <c r="BZ2237" s="76"/>
      <c r="CA2237" s="76"/>
      <c r="CB2237" s="76"/>
      <c r="CC2237" s="76"/>
      <c r="CD2237" s="76"/>
      <c r="CE2237" s="76"/>
      <c r="CF2237" s="76">
        <f>+CE2237*28000</f>
        <v>0</v>
      </c>
      <c r="CG2237" s="76"/>
      <c r="CH2237" s="76">
        <f>+CG2237*22500</f>
        <v>0</v>
      </c>
      <c r="CI2237" s="76"/>
      <c r="CJ2237" s="76">
        <f>+CI2237*26000</f>
        <v>0</v>
      </c>
      <c r="CK2237" s="76"/>
      <c r="CL2237" s="76"/>
      <c r="CM2237" s="76"/>
      <c r="CN2237" s="76">
        <f>+CM2237*22000</f>
        <v>0</v>
      </c>
      <c r="CO2237" s="76"/>
      <c r="CP2237" s="76">
        <f>+CO2237*46000</f>
        <v>0</v>
      </c>
      <c r="CQ2237" s="76"/>
      <c r="CR2237" s="76">
        <f>+CQ2237*49000</f>
        <v>0</v>
      </c>
      <c r="CS2237" s="76"/>
      <c r="CT2237" s="76"/>
      <c r="CU2237" s="56">
        <f>AN2237+AP2237+AR2237+AT2237+AV2237+AX2237+AZ2237+BB2237+BD2237+BF2237+BH2237+BJ2237+BL2237+BN2237+BP2237+BR2237+BT2237+BV2237+BX2237+BZ2237+CB2237+CD2237+CF2237+CH2237+CJ2237+CL2237+CN2237+CP2237+CR2237+CT2237</f>
        <v>0</v>
      </c>
      <c r="CV2237" s="76"/>
      <c r="CW2237" s="76">
        <f>+CV2237*1100</f>
        <v>0</v>
      </c>
      <c r="CX2237" s="76"/>
      <c r="CY2237" s="76">
        <f>+CX2237*106250</f>
        <v>0</v>
      </c>
      <c r="CZ2237" s="76"/>
      <c r="DA2237" s="76">
        <f>+CZ2237*34500</f>
        <v>0</v>
      </c>
      <c r="DB2237" s="76"/>
      <c r="DC2237" s="76">
        <f>+DB2237*25000</f>
        <v>0</v>
      </c>
      <c r="DD2237" s="219"/>
      <c r="DE2237" s="219"/>
      <c r="DF2237" s="166"/>
      <c r="DG2237" s="116"/>
      <c r="DH2237" s="117"/>
      <c r="DI2237" s="24"/>
      <c r="DJ2237" s="24"/>
      <c r="DK2237" s="24"/>
      <c r="DL2237" s="24"/>
      <c r="DM2237" s="24"/>
      <c r="DN2237" s="24"/>
      <c r="DO2237" s="24"/>
      <c r="DP2237" s="24"/>
      <c r="DQ2237" s="24"/>
      <c r="DR2237" s="24"/>
      <c r="DS2237" s="24"/>
      <c r="DT2237" s="24"/>
      <c r="DU2237" s="24"/>
    </row>
    <row r="2238" spans="1:125" s="8" customFormat="1" ht="24" x14ac:dyDescent="0.2">
      <c r="A2238" s="226">
        <v>41456</v>
      </c>
      <c r="B2238" s="60" t="s">
        <v>2894</v>
      </c>
      <c r="C2238" s="55" t="s">
        <v>2702</v>
      </c>
      <c r="D2238" s="55" t="s">
        <v>2882</v>
      </c>
      <c r="E2238" s="75" t="str">
        <f>VLOOKUP(B2238&amp;C2238,Divipola!$C$2:$F$1138,4,FALSE)</f>
        <v>05088</v>
      </c>
      <c r="F2238" s="87"/>
      <c r="G2238" s="87"/>
      <c r="H2238" s="87"/>
      <c r="I2238" s="87">
        <v>10</v>
      </c>
      <c r="J2238" s="87">
        <v>2</v>
      </c>
      <c r="K2238" s="87"/>
      <c r="L2238" s="87">
        <v>2</v>
      </c>
      <c r="M2238" s="87"/>
      <c r="N2238" s="87"/>
      <c r="O2238" s="87"/>
      <c r="P2238" s="87"/>
      <c r="Q2238" s="87"/>
      <c r="R2238" s="87"/>
      <c r="S2238" s="87"/>
      <c r="T2238" s="87"/>
      <c r="U2238" s="88"/>
      <c r="V2238" s="89"/>
      <c r="W2238" s="96">
        <v>0</v>
      </c>
      <c r="X2238" s="71">
        <f>CU2238</f>
        <v>0</v>
      </c>
      <c r="Y2238" s="71">
        <f>CY2238</f>
        <v>0</v>
      </c>
      <c r="Z2238" s="71">
        <f>DA2238+DC2238+DE2238</f>
        <v>0</v>
      </c>
      <c r="AA2238" s="71">
        <f>CW2238</f>
        <v>0</v>
      </c>
      <c r="AB2238" s="71"/>
      <c r="AC2238" s="71">
        <v>0</v>
      </c>
      <c r="AD2238" s="71">
        <f>W2238+X2238+Y2238+Z2238+AA2238+AB2238+AC2238</f>
        <v>0</v>
      </c>
      <c r="AE2238" s="72">
        <v>0</v>
      </c>
      <c r="AF2238" s="5"/>
      <c r="AG2238" s="6"/>
      <c r="AH2238" s="27" t="s">
        <v>3392</v>
      </c>
      <c r="AI2238" s="44" t="s">
        <v>3393</v>
      </c>
      <c r="AJ2238" s="26"/>
      <c r="AK2238" s="5"/>
      <c r="AL2238" s="82" t="s">
        <v>5105</v>
      </c>
      <c r="AM2238" s="76"/>
      <c r="AN2238" s="76"/>
      <c r="AO2238" s="76"/>
      <c r="AP2238" s="76"/>
      <c r="AQ2238" s="76"/>
      <c r="AR2238" s="76"/>
      <c r="AS2238" s="76"/>
      <c r="AT2238" s="76"/>
      <c r="AU2238" s="76"/>
      <c r="AV2238" s="76"/>
      <c r="AW2238" s="76"/>
      <c r="AX2238" s="76">
        <f>+AW2238*600000</f>
        <v>0</v>
      </c>
      <c r="AY2238" s="76"/>
      <c r="AZ2238" s="76">
        <f>+AY2238*70000</f>
        <v>0</v>
      </c>
      <c r="BA2238" s="76"/>
      <c r="BB2238" s="76"/>
      <c r="BC2238" s="76"/>
      <c r="BD2238" s="76">
        <f>+BC2238*30000</f>
        <v>0</v>
      </c>
      <c r="BE2238" s="76"/>
      <c r="BF2238" s="76"/>
      <c r="BG2238" s="76"/>
      <c r="BH2238" s="76"/>
      <c r="BI2238" s="76"/>
      <c r="BJ2238" s="76"/>
      <c r="BK2238" s="76"/>
      <c r="BL2238" s="76">
        <f>+BK2238*31500</f>
        <v>0</v>
      </c>
      <c r="BM2238" s="76"/>
      <c r="BN2238" s="76"/>
      <c r="BO2238" s="76"/>
      <c r="BP2238" s="76"/>
      <c r="BQ2238" s="76"/>
      <c r="BR2238" s="76"/>
      <c r="BS2238" s="76"/>
      <c r="BT2238" s="76"/>
      <c r="BU2238" s="76"/>
      <c r="BV2238" s="76"/>
      <c r="BW2238" s="76"/>
      <c r="BX2238" s="76"/>
      <c r="BY2238" s="76"/>
      <c r="BZ2238" s="76"/>
      <c r="CA2238" s="76"/>
      <c r="CB2238" s="76"/>
      <c r="CC2238" s="76"/>
      <c r="CD2238" s="76"/>
      <c r="CE2238" s="76"/>
      <c r="CF2238" s="76">
        <f>+CE2238*28000</f>
        <v>0</v>
      </c>
      <c r="CG2238" s="76"/>
      <c r="CH2238" s="76">
        <f>+CG2238*22500</f>
        <v>0</v>
      </c>
      <c r="CI2238" s="76"/>
      <c r="CJ2238" s="76">
        <f>+CI2238*26000</f>
        <v>0</v>
      </c>
      <c r="CK2238" s="76"/>
      <c r="CL2238" s="76"/>
      <c r="CM2238" s="76"/>
      <c r="CN2238" s="76">
        <f>+CM2238*22000</f>
        <v>0</v>
      </c>
      <c r="CO2238" s="76"/>
      <c r="CP2238" s="76">
        <f>+CO2238*46000</f>
        <v>0</v>
      </c>
      <c r="CQ2238" s="76"/>
      <c r="CR2238" s="76">
        <f>+CQ2238*49000</f>
        <v>0</v>
      </c>
      <c r="CS2238" s="76"/>
      <c r="CT2238" s="76"/>
      <c r="CU2238" s="56">
        <f>AN2238+AP2238+AR2238+AT2238+AV2238+AX2238+AZ2238+BB2238+BD2238+BF2238+BH2238+BJ2238+BL2238+BN2238+BP2238+BR2238+BT2238+BV2238+BX2238+BZ2238+CB2238+CD2238+CF2238+CH2238+CJ2238+CL2238+CN2238+CP2238+CR2238+CT2238</f>
        <v>0</v>
      </c>
      <c r="CV2238" s="76"/>
      <c r="CW2238" s="76">
        <f>+CV2238*1100</f>
        <v>0</v>
      </c>
      <c r="CX2238" s="76"/>
      <c r="CY2238" s="76">
        <f>+CX2238*106250</f>
        <v>0</v>
      </c>
      <c r="CZ2238" s="76"/>
      <c r="DA2238" s="76">
        <f>+CZ2238*34500</f>
        <v>0</v>
      </c>
      <c r="DB2238" s="76"/>
      <c r="DC2238" s="76">
        <f>+DB2238*25000</f>
        <v>0</v>
      </c>
      <c r="DD2238" s="219"/>
      <c r="DE2238" s="219"/>
      <c r="DF2238" s="166"/>
      <c r="DG2238" s="116"/>
      <c r="DH2238" s="117"/>
      <c r="DI2238" s="24"/>
      <c r="DJ2238" s="24"/>
      <c r="DK2238" s="24"/>
      <c r="DL2238" s="24"/>
      <c r="DM2238" s="24"/>
      <c r="DN2238" s="24"/>
      <c r="DO2238" s="24"/>
      <c r="DP2238" s="24"/>
      <c r="DQ2238" s="24"/>
      <c r="DR2238" s="24"/>
      <c r="DS2238" s="24"/>
      <c r="DT2238" s="24"/>
      <c r="DU2238" s="24"/>
    </row>
    <row r="2239" spans="1:125" s="8" customFormat="1" ht="60" x14ac:dyDescent="0.2">
      <c r="A2239" s="226">
        <v>41456</v>
      </c>
      <c r="B2239" s="225" t="s">
        <v>2881</v>
      </c>
      <c r="C2239" s="227" t="s">
        <v>2767</v>
      </c>
      <c r="D2239" s="227" t="s">
        <v>2882</v>
      </c>
      <c r="E2239" s="75" t="str">
        <f>VLOOKUP(B2239&amp;C2239,Divipola!$C$2:$F$1138,4,FALSE)</f>
        <v>08001</v>
      </c>
      <c r="F2239" s="87"/>
      <c r="G2239" s="87">
        <v>5</v>
      </c>
      <c r="H2239" s="87"/>
      <c r="I2239" s="87">
        <v>145</v>
      </c>
      <c r="J2239" s="87">
        <v>29</v>
      </c>
      <c r="K2239" s="87"/>
      <c r="L2239" s="87">
        <v>29</v>
      </c>
      <c r="M2239" s="87"/>
      <c r="N2239" s="87"/>
      <c r="O2239" s="87"/>
      <c r="P2239" s="87"/>
      <c r="Q2239" s="87"/>
      <c r="R2239" s="87"/>
      <c r="S2239" s="87"/>
      <c r="T2239" s="87"/>
      <c r="U2239" s="88"/>
      <c r="V2239" s="89"/>
      <c r="W2239" s="96">
        <v>0</v>
      </c>
      <c r="X2239" s="71">
        <f>CU2239</f>
        <v>0</v>
      </c>
      <c r="Y2239" s="71">
        <f>CY2239</f>
        <v>0</v>
      </c>
      <c r="Z2239" s="71">
        <f>DA2239+DC2239+DE2239</f>
        <v>0</v>
      </c>
      <c r="AA2239" s="71">
        <f>CW2239</f>
        <v>0</v>
      </c>
      <c r="AB2239" s="71"/>
      <c r="AC2239" s="71">
        <v>0</v>
      </c>
      <c r="AD2239" s="71">
        <f>W2239+X2239+Y2239+Z2239+AA2239+AB2239+AC2239</f>
        <v>0</v>
      </c>
      <c r="AE2239" s="72">
        <v>0</v>
      </c>
      <c r="AF2239" s="5"/>
      <c r="AG2239" s="6"/>
      <c r="AH2239" s="27" t="s">
        <v>3392</v>
      </c>
      <c r="AI2239" s="44" t="s">
        <v>3393</v>
      </c>
      <c r="AJ2239" s="26"/>
      <c r="AK2239" s="5"/>
      <c r="AL2239" s="82" t="s">
        <v>5095</v>
      </c>
      <c r="AM2239" s="76"/>
      <c r="AN2239" s="76"/>
      <c r="AO2239" s="76"/>
      <c r="AP2239" s="76"/>
      <c r="AQ2239" s="76"/>
      <c r="AR2239" s="76"/>
      <c r="AS2239" s="76"/>
      <c r="AT2239" s="76"/>
      <c r="AU2239" s="76"/>
      <c r="AV2239" s="76"/>
      <c r="AW2239" s="76"/>
      <c r="AX2239" s="76">
        <f>+AW2239*600000</f>
        <v>0</v>
      </c>
      <c r="AY2239" s="76"/>
      <c r="AZ2239" s="76">
        <f>+AY2239*70000</f>
        <v>0</v>
      </c>
      <c r="BA2239" s="76"/>
      <c r="BB2239" s="76"/>
      <c r="BC2239" s="76"/>
      <c r="BD2239" s="76">
        <f>+BC2239*30000</f>
        <v>0</v>
      </c>
      <c r="BE2239" s="76"/>
      <c r="BF2239" s="76"/>
      <c r="BG2239" s="76"/>
      <c r="BH2239" s="76"/>
      <c r="BI2239" s="76"/>
      <c r="BJ2239" s="76"/>
      <c r="BK2239" s="76"/>
      <c r="BL2239" s="76">
        <f>+BK2239*31500</f>
        <v>0</v>
      </c>
      <c r="BM2239" s="76"/>
      <c r="BN2239" s="76"/>
      <c r="BO2239" s="76"/>
      <c r="BP2239" s="76"/>
      <c r="BQ2239" s="76"/>
      <c r="BR2239" s="76"/>
      <c r="BS2239" s="76"/>
      <c r="BT2239" s="76"/>
      <c r="BU2239" s="76"/>
      <c r="BV2239" s="76"/>
      <c r="BW2239" s="76"/>
      <c r="BX2239" s="76"/>
      <c r="BY2239" s="76"/>
      <c r="BZ2239" s="76"/>
      <c r="CA2239" s="76"/>
      <c r="CB2239" s="76"/>
      <c r="CC2239" s="76"/>
      <c r="CD2239" s="76"/>
      <c r="CE2239" s="76"/>
      <c r="CF2239" s="76">
        <f>+CE2239*28000</f>
        <v>0</v>
      </c>
      <c r="CG2239" s="76"/>
      <c r="CH2239" s="76">
        <f>+CG2239*22500</f>
        <v>0</v>
      </c>
      <c r="CI2239" s="76"/>
      <c r="CJ2239" s="76">
        <f>+CI2239*26000</f>
        <v>0</v>
      </c>
      <c r="CK2239" s="76"/>
      <c r="CL2239" s="76"/>
      <c r="CM2239" s="76"/>
      <c r="CN2239" s="76">
        <f>+CM2239*22000</f>
        <v>0</v>
      </c>
      <c r="CO2239" s="76"/>
      <c r="CP2239" s="76">
        <f>+CO2239*46000</f>
        <v>0</v>
      </c>
      <c r="CQ2239" s="76"/>
      <c r="CR2239" s="76">
        <f>+CQ2239*49000</f>
        <v>0</v>
      </c>
      <c r="CS2239" s="76"/>
      <c r="CT2239" s="76"/>
      <c r="CU2239" s="56">
        <f>AN2239+AP2239+AR2239+AT2239+AV2239+AX2239+AZ2239+BB2239+BD2239+BF2239+BH2239+BJ2239+BL2239+BN2239+BP2239+BR2239+BT2239+BV2239+BX2239+BZ2239+CB2239+CD2239+CF2239+CH2239+CJ2239+CL2239+CN2239+CP2239+CR2239+CT2239</f>
        <v>0</v>
      </c>
      <c r="CV2239" s="76"/>
      <c r="CW2239" s="76">
        <f>+CV2239*1100</f>
        <v>0</v>
      </c>
      <c r="CX2239" s="76"/>
      <c r="CY2239" s="76">
        <f>+CX2239*106250</f>
        <v>0</v>
      </c>
      <c r="CZ2239" s="76"/>
      <c r="DA2239" s="76">
        <f>+CZ2239*34500</f>
        <v>0</v>
      </c>
      <c r="DB2239" s="76"/>
      <c r="DC2239" s="76">
        <f>+DB2239*25000</f>
        <v>0</v>
      </c>
      <c r="DD2239" s="219"/>
      <c r="DE2239" s="219"/>
      <c r="DF2239" s="166"/>
      <c r="DG2239" s="116"/>
      <c r="DH2239" s="117"/>
      <c r="DI2239" s="24"/>
      <c r="DJ2239" s="24"/>
      <c r="DK2239" s="24"/>
      <c r="DL2239" s="24"/>
      <c r="DM2239" s="24"/>
      <c r="DN2239" s="24"/>
      <c r="DO2239" s="24"/>
      <c r="DP2239" s="24"/>
      <c r="DQ2239" s="24"/>
      <c r="DR2239" s="24"/>
      <c r="DS2239" s="24"/>
      <c r="DT2239" s="24"/>
      <c r="DU2239" s="24"/>
    </row>
    <row r="2240" spans="1:125" s="8" customFormat="1" ht="48" x14ac:dyDescent="0.2">
      <c r="A2240" s="226">
        <v>41456</v>
      </c>
      <c r="B2240" s="225" t="s">
        <v>2778</v>
      </c>
      <c r="C2240" s="227" t="s">
        <v>2212</v>
      </c>
      <c r="D2240" s="354" t="s">
        <v>4391</v>
      </c>
      <c r="E2240" s="75" t="str">
        <f>VLOOKUP(B2240&amp;C2240,Divipola!$C$2:$F$1138,4,FALSE)</f>
        <v>85250</v>
      </c>
      <c r="F2240" s="87">
        <v>1</v>
      </c>
      <c r="G2240" s="87"/>
      <c r="H2240" s="87"/>
      <c r="I2240" s="87"/>
      <c r="J2240" s="87"/>
      <c r="K2240" s="87"/>
      <c r="L2240" s="87"/>
      <c r="M2240" s="87"/>
      <c r="N2240" s="87"/>
      <c r="O2240" s="87"/>
      <c r="P2240" s="87"/>
      <c r="Q2240" s="87"/>
      <c r="R2240" s="87"/>
      <c r="S2240" s="87"/>
      <c r="T2240" s="87"/>
      <c r="U2240" s="88"/>
      <c r="V2240" s="89"/>
      <c r="W2240" s="96">
        <v>0</v>
      </c>
      <c r="X2240" s="71">
        <f>CU2240</f>
        <v>0</v>
      </c>
      <c r="Y2240" s="71">
        <f>CY2240</f>
        <v>0</v>
      </c>
      <c r="Z2240" s="71">
        <f>DA2240+DC2240+DE2240</f>
        <v>0</v>
      </c>
      <c r="AA2240" s="71">
        <f>CW2240</f>
        <v>0</v>
      </c>
      <c r="AB2240" s="71"/>
      <c r="AC2240" s="71">
        <v>0</v>
      </c>
      <c r="AD2240" s="71">
        <f>W2240+X2240+Y2240+Z2240+AA2240+AB2240+AC2240</f>
        <v>0</v>
      </c>
      <c r="AE2240" s="72">
        <v>0</v>
      </c>
      <c r="AF2240" s="5"/>
      <c r="AG2240" s="6"/>
      <c r="AH2240" s="27" t="s">
        <v>3392</v>
      </c>
      <c r="AI2240" s="44" t="s">
        <v>3393</v>
      </c>
      <c r="AJ2240" s="26"/>
      <c r="AK2240" s="5"/>
      <c r="AL2240" s="82" t="s">
        <v>5091</v>
      </c>
      <c r="AM2240" s="76"/>
      <c r="AN2240" s="76"/>
      <c r="AO2240" s="76"/>
      <c r="AP2240" s="76"/>
      <c r="AQ2240" s="76"/>
      <c r="AR2240" s="76"/>
      <c r="AS2240" s="76"/>
      <c r="AT2240" s="76"/>
      <c r="AU2240" s="76"/>
      <c r="AV2240" s="76"/>
      <c r="AW2240" s="76"/>
      <c r="AX2240" s="76">
        <f>+AW2240*600000</f>
        <v>0</v>
      </c>
      <c r="AY2240" s="76"/>
      <c r="AZ2240" s="76">
        <f>+AY2240*70000</f>
        <v>0</v>
      </c>
      <c r="BA2240" s="76"/>
      <c r="BB2240" s="76"/>
      <c r="BC2240" s="76"/>
      <c r="BD2240" s="76">
        <f>+BC2240*30000</f>
        <v>0</v>
      </c>
      <c r="BE2240" s="76"/>
      <c r="BF2240" s="76"/>
      <c r="BG2240" s="76"/>
      <c r="BH2240" s="76"/>
      <c r="BI2240" s="76"/>
      <c r="BJ2240" s="76"/>
      <c r="BK2240" s="76"/>
      <c r="BL2240" s="76">
        <f>+BK2240*31500</f>
        <v>0</v>
      </c>
      <c r="BM2240" s="76"/>
      <c r="BN2240" s="76"/>
      <c r="BO2240" s="76"/>
      <c r="BP2240" s="76"/>
      <c r="BQ2240" s="76"/>
      <c r="BR2240" s="76"/>
      <c r="BS2240" s="76"/>
      <c r="BT2240" s="76"/>
      <c r="BU2240" s="76"/>
      <c r="BV2240" s="76"/>
      <c r="BW2240" s="76"/>
      <c r="BX2240" s="76"/>
      <c r="BY2240" s="76"/>
      <c r="BZ2240" s="76"/>
      <c r="CA2240" s="76"/>
      <c r="CB2240" s="76"/>
      <c r="CC2240" s="76"/>
      <c r="CD2240" s="76"/>
      <c r="CE2240" s="76"/>
      <c r="CF2240" s="76">
        <f>+CE2240*28000</f>
        <v>0</v>
      </c>
      <c r="CG2240" s="76"/>
      <c r="CH2240" s="76">
        <f>+CG2240*22500</f>
        <v>0</v>
      </c>
      <c r="CI2240" s="76"/>
      <c r="CJ2240" s="76">
        <f>+CI2240*26000</f>
        <v>0</v>
      </c>
      <c r="CK2240" s="76"/>
      <c r="CL2240" s="76"/>
      <c r="CM2240" s="76"/>
      <c r="CN2240" s="76">
        <f>+CM2240*22000</f>
        <v>0</v>
      </c>
      <c r="CO2240" s="76"/>
      <c r="CP2240" s="76">
        <f>+CO2240*46000</f>
        <v>0</v>
      </c>
      <c r="CQ2240" s="76"/>
      <c r="CR2240" s="76">
        <f>+CQ2240*49000</f>
        <v>0</v>
      </c>
      <c r="CS2240" s="76"/>
      <c r="CT2240" s="76"/>
      <c r="CU2240" s="56">
        <f>AN2240+AP2240+AR2240+AT2240+AV2240+AX2240+AZ2240+BB2240+BD2240+BF2240+BH2240+BJ2240+BL2240+BN2240+BP2240+BR2240+BT2240+BV2240+BX2240+BZ2240+CB2240+CD2240+CF2240+CH2240+CJ2240+CL2240+CN2240+CP2240+CR2240+CT2240</f>
        <v>0</v>
      </c>
      <c r="CV2240" s="76"/>
      <c r="CW2240" s="76">
        <f>+CV2240*1100</f>
        <v>0</v>
      </c>
      <c r="CX2240" s="76"/>
      <c r="CY2240" s="76">
        <f>+CX2240*106250</f>
        <v>0</v>
      </c>
      <c r="CZ2240" s="76"/>
      <c r="DA2240" s="76">
        <f>+CZ2240*34500</f>
        <v>0</v>
      </c>
      <c r="DB2240" s="76"/>
      <c r="DC2240" s="76">
        <f>+DB2240*25000</f>
        <v>0</v>
      </c>
      <c r="DD2240" s="219"/>
      <c r="DE2240" s="219"/>
      <c r="DF2240" s="166"/>
      <c r="DG2240" s="116"/>
      <c r="DH2240" s="117"/>
      <c r="DI2240" s="24"/>
      <c r="DJ2240" s="24"/>
      <c r="DK2240" s="24"/>
      <c r="DL2240" s="24"/>
      <c r="DM2240" s="24"/>
      <c r="DN2240" s="24"/>
      <c r="DO2240" s="24"/>
      <c r="DP2240" s="24"/>
      <c r="DQ2240" s="24"/>
      <c r="DR2240" s="24"/>
      <c r="DS2240" s="24"/>
      <c r="DT2240" s="24"/>
      <c r="DU2240" s="24"/>
    </row>
    <row r="2241" spans="1:125" s="8" customFormat="1" ht="84" x14ac:dyDescent="0.2">
      <c r="A2241" s="353">
        <v>41456</v>
      </c>
      <c r="B2241" s="352" t="s">
        <v>2855</v>
      </c>
      <c r="C2241" s="354" t="s">
        <v>929</v>
      </c>
      <c r="D2241" s="354" t="s">
        <v>2882</v>
      </c>
      <c r="E2241" s="75" t="str">
        <f>VLOOKUP(B2241&amp;C2241,Divipola!$C$2:$F$1138,4,FALSE)</f>
        <v>20570</v>
      </c>
      <c r="F2241" s="87"/>
      <c r="G2241" s="87"/>
      <c r="H2241" s="87"/>
      <c r="I2241" s="87">
        <v>15</v>
      </c>
      <c r="J2241" s="87">
        <v>3</v>
      </c>
      <c r="K2241" s="87"/>
      <c r="L2241" s="87">
        <v>3</v>
      </c>
      <c r="M2241" s="87"/>
      <c r="N2241" s="87"/>
      <c r="O2241" s="87"/>
      <c r="P2241" s="87"/>
      <c r="Q2241" s="87"/>
      <c r="R2241" s="87"/>
      <c r="S2241" s="87"/>
      <c r="T2241" s="87"/>
      <c r="U2241" s="88"/>
      <c r="V2241" s="89"/>
      <c r="W2241" s="96">
        <v>0</v>
      </c>
      <c r="X2241" s="71">
        <f>CU2241</f>
        <v>0</v>
      </c>
      <c r="Y2241" s="71">
        <f>CY2241</f>
        <v>0</v>
      </c>
      <c r="Z2241" s="71">
        <f>DA2241+DC2241+DE2241</f>
        <v>0</v>
      </c>
      <c r="AA2241" s="71">
        <f>CW2241</f>
        <v>0</v>
      </c>
      <c r="AB2241" s="71"/>
      <c r="AC2241" s="71">
        <v>0</v>
      </c>
      <c r="AD2241" s="71">
        <f>W2241+X2241+Y2241+Z2241+AA2241+AB2241+AC2241</f>
        <v>0</v>
      </c>
      <c r="AE2241" s="72">
        <v>0</v>
      </c>
      <c r="AF2241" s="5"/>
      <c r="AG2241" s="6"/>
      <c r="AH2241" s="27" t="s">
        <v>3392</v>
      </c>
      <c r="AI2241" s="44" t="s">
        <v>3393</v>
      </c>
      <c r="AJ2241" s="26"/>
      <c r="AK2241" s="5"/>
      <c r="AL2241" s="82" t="s">
        <v>5098</v>
      </c>
      <c r="AM2241" s="76"/>
      <c r="AN2241" s="76"/>
      <c r="AO2241" s="76"/>
      <c r="AP2241" s="76"/>
      <c r="AQ2241" s="76"/>
      <c r="AR2241" s="76"/>
      <c r="AS2241" s="76"/>
      <c r="AT2241" s="76"/>
      <c r="AU2241" s="76"/>
      <c r="AV2241" s="76"/>
      <c r="AW2241" s="76"/>
      <c r="AX2241" s="76">
        <f>+AW2241*600000</f>
        <v>0</v>
      </c>
      <c r="AY2241" s="76"/>
      <c r="AZ2241" s="76">
        <f>+AY2241*70000</f>
        <v>0</v>
      </c>
      <c r="BA2241" s="76"/>
      <c r="BB2241" s="76"/>
      <c r="BC2241" s="76"/>
      <c r="BD2241" s="76">
        <f>+BC2241*30000</f>
        <v>0</v>
      </c>
      <c r="BE2241" s="76"/>
      <c r="BF2241" s="76"/>
      <c r="BG2241" s="76"/>
      <c r="BH2241" s="76"/>
      <c r="BI2241" s="76"/>
      <c r="BJ2241" s="76"/>
      <c r="BK2241" s="76"/>
      <c r="BL2241" s="76">
        <f>+BK2241*31500</f>
        <v>0</v>
      </c>
      <c r="BM2241" s="76"/>
      <c r="BN2241" s="76"/>
      <c r="BO2241" s="76"/>
      <c r="BP2241" s="76"/>
      <c r="BQ2241" s="76"/>
      <c r="BR2241" s="76"/>
      <c r="BS2241" s="76"/>
      <c r="BT2241" s="76"/>
      <c r="BU2241" s="76"/>
      <c r="BV2241" s="76"/>
      <c r="BW2241" s="76"/>
      <c r="BX2241" s="76"/>
      <c r="BY2241" s="76"/>
      <c r="BZ2241" s="76"/>
      <c r="CA2241" s="76"/>
      <c r="CB2241" s="76"/>
      <c r="CC2241" s="76"/>
      <c r="CD2241" s="76"/>
      <c r="CE2241" s="76"/>
      <c r="CF2241" s="76">
        <f>+CE2241*28000</f>
        <v>0</v>
      </c>
      <c r="CG2241" s="76"/>
      <c r="CH2241" s="76">
        <f>+CG2241*22500</f>
        <v>0</v>
      </c>
      <c r="CI2241" s="76"/>
      <c r="CJ2241" s="76">
        <f>+CI2241*26000</f>
        <v>0</v>
      </c>
      <c r="CK2241" s="76"/>
      <c r="CL2241" s="76"/>
      <c r="CM2241" s="76"/>
      <c r="CN2241" s="76">
        <f>+CM2241*22000</f>
        <v>0</v>
      </c>
      <c r="CO2241" s="76"/>
      <c r="CP2241" s="76">
        <f>+CO2241*46000</f>
        <v>0</v>
      </c>
      <c r="CQ2241" s="76"/>
      <c r="CR2241" s="76">
        <f>+CQ2241*49000</f>
        <v>0</v>
      </c>
      <c r="CS2241" s="76"/>
      <c r="CT2241" s="76"/>
      <c r="CU2241" s="56">
        <f>AN2241+AP2241+AR2241+AT2241+AV2241+AX2241+AZ2241+BB2241+BD2241+BF2241+BH2241+BJ2241+BL2241+BN2241+BP2241+BR2241+BT2241+BV2241+BX2241+BZ2241+CB2241+CD2241+CF2241+CH2241+CJ2241+CL2241+CN2241+CP2241+CR2241+CT2241</f>
        <v>0</v>
      </c>
      <c r="CV2241" s="76"/>
      <c r="CW2241" s="76">
        <f>+CV2241*1100</f>
        <v>0</v>
      </c>
      <c r="CX2241" s="76"/>
      <c r="CY2241" s="76">
        <f>+CX2241*106250</f>
        <v>0</v>
      </c>
      <c r="CZ2241" s="76"/>
      <c r="DA2241" s="76">
        <f>+CZ2241*34500</f>
        <v>0</v>
      </c>
      <c r="DB2241" s="76"/>
      <c r="DC2241" s="76">
        <f>+DB2241*25000</f>
        <v>0</v>
      </c>
      <c r="DD2241" s="219"/>
      <c r="DE2241" s="219"/>
      <c r="DF2241" s="166"/>
      <c r="DG2241" s="116"/>
      <c r="DH2241" s="117"/>
      <c r="DI2241" s="24"/>
      <c r="DJ2241" s="24"/>
      <c r="DK2241" s="24"/>
      <c r="DL2241" s="24"/>
      <c r="DM2241" s="24"/>
      <c r="DN2241" s="24"/>
      <c r="DO2241" s="24"/>
      <c r="DP2241" s="24"/>
      <c r="DQ2241" s="24"/>
      <c r="DR2241" s="24"/>
      <c r="DS2241" s="24"/>
      <c r="DT2241" s="24"/>
      <c r="DU2241" s="24"/>
    </row>
    <row r="2242" spans="1:125" s="8" customFormat="1" ht="72" x14ac:dyDescent="0.2">
      <c r="A2242" s="353">
        <v>41456</v>
      </c>
      <c r="B2242" s="352" t="s">
        <v>2772</v>
      </c>
      <c r="C2242" s="354" t="s">
        <v>2158</v>
      </c>
      <c r="D2242" s="354" t="s">
        <v>2849</v>
      </c>
      <c r="E2242" s="75" t="str">
        <f>VLOOKUP(B2242&amp;C2242,Divipola!$C$2:$F$1138,4,FALSE)</f>
        <v>25899</v>
      </c>
      <c r="F2242" s="87">
        <v>2</v>
      </c>
      <c r="G2242" s="87">
        <v>24</v>
      </c>
      <c r="H2242" s="87"/>
      <c r="I2242" s="87">
        <v>26</v>
      </c>
      <c r="J2242" s="87"/>
      <c r="K2242" s="87"/>
      <c r="L2242" s="87"/>
      <c r="M2242" s="87"/>
      <c r="N2242" s="87"/>
      <c r="O2242" s="87"/>
      <c r="P2242" s="87"/>
      <c r="Q2242" s="87"/>
      <c r="R2242" s="87"/>
      <c r="S2242" s="87"/>
      <c r="T2242" s="87"/>
      <c r="U2242" s="88"/>
      <c r="V2242" s="89"/>
      <c r="W2242" s="96">
        <v>0</v>
      </c>
      <c r="X2242" s="71">
        <f>CU2242</f>
        <v>0</v>
      </c>
      <c r="Y2242" s="71">
        <f>CY2242</f>
        <v>0</v>
      </c>
      <c r="Z2242" s="71">
        <f>DA2242+DC2242+DE2242</f>
        <v>0</v>
      </c>
      <c r="AA2242" s="71">
        <f>CW2242</f>
        <v>0</v>
      </c>
      <c r="AB2242" s="71"/>
      <c r="AC2242" s="71">
        <v>0</v>
      </c>
      <c r="AD2242" s="71">
        <f>W2242+X2242+Y2242+Z2242+AA2242+AB2242+AC2242</f>
        <v>0</v>
      </c>
      <c r="AE2242" s="72">
        <v>0</v>
      </c>
      <c r="AF2242" s="5"/>
      <c r="AG2242" s="6"/>
      <c r="AH2242" s="27" t="s">
        <v>3392</v>
      </c>
      <c r="AI2242" s="44" t="s">
        <v>3393</v>
      </c>
      <c r="AJ2242" s="26"/>
      <c r="AK2242" s="5"/>
      <c r="AL2242" s="82" t="s">
        <v>5092</v>
      </c>
      <c r="AM2242" s="76"/>
      <c r="AN2242" s="76"/>
      <c r="AO2242" s="76"/>
      <c r="AP2242" s="76"/>
      <c r="AQ2242" s="76"/>
      <c r="AR2242" s="76"/>
      <c r="AS2242" s="76"/>
      <c r="AT2242" s="76"/>
      <c r="AU2242" s="76"/>
      <c r="AV2242" s="76"/>
      <c r="AW2242" s="76"/>
      <c r="AX2242" s="76">
        <f>+AW2242*600000</f>
        <v>0</v>
      </c>
      <c r="AY2242" s="76"/>
      <c r="AZ2242" s="76">
        <f>+AY2242*70000</f>
        <v>0</v>
      </c>
      <c r="BA2242" s="76"/>
      <c r="BB2242" s="76"/>
      <c r="BC2242" s="76"/>
      <c r="BD2242" s="76">
        <f>+BC2242*30000</f>
        <v>0</v>
      </c>
      <c r="BE2242" s="76"/>
      <c r="BF2242" s="76"/>
      <c r="BG2242" s="76"/>
      <c r="BH2242" s="76"/>
      <c r="BI2242" s="76"/>
      <c r="BJ2242" s="76"/>
      <c r="BK2242" s="76"/>
      <c r="BL2242" s="76">
        <f>+BK2242*31500</f>
        <v>0</v>
      </c>
      <c r="BM2242" s="76"/>
      <c r="BN2242" s="76"/>
      <c r="BO2242" s="76"/>
      <c r="BP2242" s="76"/>
      <c r="BQ2242" s="76"/>
      <c r="BR2242" s="76"/>
      <c r="BS2242" s="76"/>
      <c r="BT2242" s="76"/>
      <c r="BU2242" s="76"/>
      <c r="BV2242" s="76"/>
      <c r="BW2242" s="76"/>
      <c r="BX2242" s="76"/>
      <c r="BY2242" s="76"/>
      <c r="BZ2242" s="76"/>
      <c r="CA2242" s="76"/>
      <c r="CB2242" s="76"/>
      <c r="CC2242" s="76"/>
      <c r="CD2242" s="76"/>
      <c r="CE2242" s="76"/>
      <c r="CF2242" s="76">
        <f>+CE2242*28000</f>
        <v>0</v>
      </c>
      <c r="CG2242" s="76"/>
      <c r="CH2242" s="76">
        <f>+CG2242*22500</f>
        <v>0</v>
      </c>
      <c r="CI2242" s="76"/>
      <c r="CJ2242" s="76">
        <f>+CI2242*26000</f>
        <v>0</v>
      </c>
      <c r="CK2242" s="76"/>
      <c r="CL2242" s="76"/>
      <c r="CM2242" s="76"/>
      <c r="CN2242" s="76">
        <f>+CM2242*22000</f>
        <v>0</v>
      </c>
      <c r="CO2242" s="76"/>
      <c r="CP2242" s="76">
        <f>+CO2242*46000</f>
        <v>0</v>
      </c>
      <c r="CQ2242" s="76"/>
      <c r="CR2242" s="76">
        <f>+CQ2242*49000</f>
        <v>0</v>
      </c>
      <c r="CS2242" s="76"/>
      <c r="CT2242" s="76"/>
      <c r="CU2242" s="56">
        <f>AN2242+AP2242+AR2242+AT2242+AV2242+AX2242+AZ2242+BB2242+BD2242+BF2242+BH2242+BJ2242+BL2242+BN2242+BP2242+BR2242+BT2242+BV2242+BX2242+BZ2242+CB2242+CD2242+CF2242+CH2242+CJ2242+CL2242+CN2242+CP2242+CR2242+CT2242</f>
        <v>0</v>
      </c>
      <c r="CV2242" s="76"/>
      <c r="CW2242" s="76">
        <f>+CV2242*1100</f>
        <v>0</v>
      </c>
      <c r="CX2242" s="76"/>
      <c r="CY2242" s="76">
        <f>+CX2242*106250</f>
        <v>0</v>
      </c>
      <c r="CZ2242" s="76"/>
      <c r="DA2242" s="76">
        <f>+CZ2242*34500</f>
        <v>0</v>
      </c>
      <c r="DB2242" s="76"/>
      <c r="DC2242" s="76">
        <f>+DB2242*25000</f>
        <v>0</v>
      </c>
      <c r="DD2242" s="219"/>
      <c r="DE2242" s="219"/>
      <c r="DF2242" s="166"/>
      <c r="DG2242" s="116"/>
      <c r="DH2242" s="117"/>
      <c r="DI2242" s="24"/>
      <c r="DJ2242" s="24"/>
      <c r="DK2242" s="24"/>
      <c r="DL2242" s="24"/>
      <c r="DM2242" s="24"/>
      <c r="DN2242" s="24"/>
      <c r="DO2242" s="24"/>
      <c r="DP2242" s="24"/>
      <c r="DQ2242" s="24"/>
      <c r="DR2242" s="24"/>
      <c r="DS2242" s="24"/>
      <c r="DT2242" s="24"/>
      <c r="DU2242" s="24"/>
    </row>
    <row r="2243" spans="1:125" s="8" customFormat="1" ht="48" x14ac:dyDescent="0.2">
      <c r="A2243" s="226">
        <v>41456</v>
      </c>
      <c r="B2243" s="208" t="s">
        <v>2774</v>
      </c>
      <c r="C2243" s="227" t="s">
        <v>2216</v>
      </c>
      <c r="D2243" s="227" t="s">
        <v>3051</v>
      </c>
      <c r="E2243" s="75" t="str">
        <f>VLOOKUP(B2243&amp;C2243,Divipola!$C$2:$F$1138,4,FALSE)</f>
        <v>66075</v>
      </c>
      <c r="F2243" s="87"/>
      <c r="G2243" s="87"/>
      <c r="H2243" s="87"/>
      <c r="I2243" s="87">
        <v>25</v>
      </c>
      <c r="J2243" s="87">
        <v>5</v>
      </c>
      <c r="K2243" s="87"/>
      <c r="L2243" s="87">
        <v>5</v>
      </c>
      <c r="M2243" s="87"/>
      <c r="N2243" s="87"/>
      <c r="O2243" s="87"/>
      <c r="P2243" s="87"/>
      <c r="Q2243" s="87"/>
      <c r="R2243" s="87"/>
      <c r="S2243" s="87"/>
      <c r="T2243" s="87"/>
      <c r="U2243" s="88"/>
      <c r="V2243" s="89"/>
      <c r="W2243" s="96">
        <v>0</v>
      </c>
      <c r="X2243" s="71">
        <f>CU2243</f>
        <v>0</v>
      </c>
      <c r="Y2243" s="71">
        <f>CY2243</f>
        <v>0</v>
      </c>
      <c r="Z2243" s="71">
        <f>DA2243+DC2243+DE2243</f>
        <v>0</v>
      </c>
      <c r="AA2243" s="71">
        <f>CW2243</f>
        <v>0</v>
      </c>
      <c r="AB2243" s="71"/>
      <c r="AC2243" s="71">
        <v>0</v>
      </c>
      <c r="AD2243" s="71">
        <f>W2243+X2243+Y2243+Z2243+AA2243+AB2243+AC2243</f>
        <v>0</v>
      </c>
      <c r="AE2243" s="72">
        <v>0</v>
      </c>
      <c r="AF2243" s="5"/>
      <c r="AG2243" s="6"/>
      <c r="AH2243" s="27" t="s">
        <v>3392</v>
      </c>
      <c r="AI2243" s="44" t="s">
        <v>3393</v>
      </c>
      <c r="AJ2243" s="26"/>
      <c r="AK2243" s="5"/>
      <c r="AL2243" s="82" t="s">
        <v>5103</v>
      </c>
      <c r="AM2243" s="76"/>
      <c r="AN2243" s="76"/>
      <c r="AO2243" s="76"/>
      <c r="AP2243" s="76"/>
      <c r="AQ2243" s="76"/>
      <c r="AR2243" s="76"/>
      <c r="AS2243" s="76"/>
      <c r="AT2243" s="76"/>
      <c r="AU2243" s="76"/>
      <c r="AV2243" s="76"/>
      <c r="AW2243" s="76"/>
      <c r="AX2243" s="76">
        <f>+AW2243*600000</f>
        <v>0</v>
      </c>
      <c r="AY2243" s="76"/>
      <c r="AZ2243" s="76">
        <f>+AY2243*70000</f>
        <v>0</v>
      </c>
      <c r="BA2243" s="76"/>
      <c r="BB2243" s="76"/>
      <c r="BC2243" s="76"/>
      <c r="BD2243" s="76">
        <f>+BC2243*30000</f>
        <v>0</v>
      </c>
      <c r="BE2243" s="76"/>
      <c r="BF2243" s="76"/>
      <c r="BG2243" s="76"/>
      <c r="BH2243" s="76"/>
      <c r="BI2243" s="76"/>
      <c r="BJ2243" s="76"/>
      <c r="BK2243" s="76"/>
      <c r="BL2243" s="76">
        <f>+BK2243*31500</f>
        <v>0</v>
      </c>
      <c r="BM2243" s="76"/>
      <c r="BN2243" s="76"/>
      <c r="BO2243" s="76"/>
      <c r="BP2243" s="76"/>
      <c r="BQ2243" s="76"/>
      <c r="BR2243" s="76"/>
      <c r="BS2243" s="76"/>
      <c r="BT2243" s="76"/>
      <c r="BU2243" s="76"/>
      <c r="BV2243" s="76"/>
      <c r="BW2243" s="76"/>
      <c r="BX2243" s="76"/>
      <c r="BY2243" s="76"/>
      <c r="BZ2243" s="76"/>
      <c r="CA2243" s="76"/>
      <c r="CB2243" s="76"/>
      <c r="CC2243" s="76"/>
      <c r="CD2243" s="76"/>
      <c r="CE2243" s="76"/>
      <c r="CF2243" s="76">
        <f>+CE2243*28000</f>
        <v>0</v>
      </c>
      <c r="CG2243" s="76"/>
      <c r="CH2243" s="76">
        <f>+CG2243*22500</f>
        <v>0</v>
      </c>
      <c r="CI2243" s="76"/>
      <c r="CJ2243" s="76">
        <f>+CI2243*26000</f>
        <v>0</v>
      </c>
      <c r="CK2243" s="76"/>
      <c r="CL2243" s="76"/>
      <c r="CM2243" s="76"/>
      <c r="CN2243" s="76">
        <f>+CM2243*22000</f>
        <v>0</v>
      </c>
      <c r="CO2243" s="76"/>
      <c r="CP2243" s="76">
        <f>+CO2243*46000</f>
        <v>0</v>
      </c>
      <c r="CQ2243" s="76"/>
      <c r="CR2243" s="76">
        <f>+CQ2243*49000</f>
        <v>0</v>
      </c>
      <c r="CS2243" s="76"/>
      <c r="CT2243" s="76"/>
      <c r="CU2243" s="56">
        <f>AN2243+AP2243+AR2243+AT2243+AV2243+AX2243+AZ2243+BB2243+BD2243+BF2243+BH2243+BJ2243+BL2243+BN2243+BP2243+BR2243+BT2243+BV2243+BX2243+BZ2243+CB2243+CD2243+CF2243+CH2243+CJ2243+CL2243+CN2243+CP2243+CR2243+CT2243</f>
        <v>0</v>
      </c>
      <c r="CV2243" s="76"/>
      <c r="CW2243" s="76">
        <f>+CV2243*1100</f>
        <v>0</v>
      </c>
      <c r="CX2243" s="76"/>
      <c r="CY2243" s="76">
        <f>+CX2243*106250</f>
        <v>0</v>
      </c>
      <c r="CZ2243" s="76"/>
      <c r="DA2243" s="76">
        <f>+CZ2243*34500</f>
        <v>0</v>
      </c>
      <c r="DB2243" s="76"/>
      <c r="DC2243" s="76">
        <f>+DB2243*25000</f>
        <v>0</v>
      </c>
      <c r="DD2243" s="219"/>
      <c r="DE2243" s="219"/>
      <c r="DF2243" s="166"/>
      <c r="DG2243" s="116"/>
      <c r="DH2243" s="117"/>
      <c r="DI2243" s="24"/>
      <c r="DJ2243" s="24"/>
      <c r="DK2243" s="24"/>
      <c r="DL2243" s="24"/>
      <c r="DM2243" s="24"/>
      <c r="DN2243" s="24"/>
      <c r="DO2243" s="24"/>
      <c r="DP2243" s="24"/>
      <c r="DQ2243" s="24"/>
      <c r="DR2243" s="24"/>
      <c r="DS2243" s="24"/>
      <c r="DT2243" s="24"/>
      <c r="DU2243" s="24"/>
    </row>
    <row r="2244" spans="1:125" s="8" customFormat="1" ht="48" x14ac:dyDescent="0.2">
      <c r="A2244" s="353">
        <v>41456</v>
      </c>
      <c r="B2244" s="352" t="s">
        <v>2774</v>
      </c>
      <c r="C2244" s="354" t="s">
        <v>2216</v>
      </c>
      <c r="D2244" s="354" t="s">
        <v>2882</v>
      </c>
      <c r="E2244" s="75" t="str">
        <f>VLOOKUP(B2244&amp;C2244,Divipola!$C$2:$F$1138,4,FALSE)</f>
        <v>66075</v>
      </c>
      <c r="F2244" s="87"/>
      <c r="G2244" s="87"/>
      <c r="H2244" s="87"/>
      <c r="I2244" s="87">
        <v>40</v>
      </c>
      <c r="J2244" s="87">
        <v>8</v>
      </c>
      <c r="K2244" s="87"/>
      <c r="L2244" s="87">
        <v>8</v>
      </c>
      <c r="M2244" s="87"/>
      <c r="N2244" s="87"/>
      <c r="O2244" s="87"/>
      <c r="P2244" s="87"/>
      <c r="Q2244" s="87"/>
      <c r="R2244" s="87"/>
      <c r="S2244" s="87"/>
      <c r="T2244" s="87"/>
      <c r="U2244" s="88"/>
      <c r="V2244" s="89"/>
      <c r="W2244" s="96">
        <v>0</v>
      </c>
      <c r="X2244" s="71">
        <f>CU2244</f>
        <v>0</v>
      </c>
      <c r="Y2244" s="71">
        <f>CY2244</f>
        <v>0</v>
      </c>
      <c r="Z2244" s="71">
        <f>DA2244+DC2244+DE2244</f>
        <v>0</v>
      </c>
      <c r="AA2244" s="71">
        <f>CW2244</f>
        <v>0</v>
      </c>
      <c r="AB2244" s="71"/>
      <c r="AC2244" s="71">
        <v>0</v>
      </c>
      <c r="AD2244" s="71">
        <f>W2244+X2244+Y2244+Z2244+AA2244+AB2244+AC2244</f>
        <v>0</v>
      </c>
      <c r="AE2244" s="72">
        <v>0</v>
      </c>
      <c r="AF2244" s="5"/>
      <c r="AG2244" s="6"/>
      <c r="AH2244" s="27" t="s">
        <v>3392</v>
      </c>
      <c r="AI2244" s="44" t="s">
        <v>3393</v>
      </c>
      <c r="AJ2244" s="26"/>
      <c r="AK2244" s="5"/>
      <c r="AL2244" s="82" t="s">
        <v>5096</v>
      </c>
      <c r="AM2244" s="76"/>
      <c r="AN2244" s="76"/>
      <c r="AO2244" s="76"/>
      <c r="AP2244" s="76"/>
      <c r="AQ2244" s="76"/>
      <c r="AR2244" s="76"/>
      <c r="AS2244" s="76"/>
      <c r="AT2244" s="76"/>
      <c r="AU2244" s="76"/>
      <c r="AV2244" s="76"/>
      <c r="AW2244" s="76"/>
      <c r="AX2244" s="76">
        <f>+AW2244*600000</f>
        <v>0</v>
      </c>
      <c r="AY2244" s="76"/>
      <c r="AZ2244" s="76">
        <f>+AY2244*70000</f>
        <v>0</v>
      </c>
      <c r="BA2244" s="76"/>
      <c r="BB2244" s="76"/>
      <c r="BC2244" s="76"/>
      <c r="BD2244" s="76">
        <f>+BC2244*30000</f>
        <v>0</v>
      </c>
      <c r="BE2244" s="76"/>
      <c r="BF2244" s="76"/>
      <c r="BG2244" s="76"/>
      <c r="BH2244" s="76"/>
      <c r="BI2244" s="76"/>
      <c r="BJ2244" s="76"/>
      <c r="BK2244" s="76"/>
      <c r="BL2244" s="76">
        <f>+BK2244*31500</f>
        <v>0</v>
      </c>
      <c r="BM2244" s="76"/>
      <c r="BN2244" s="76"/>
      <c r="BO2244" s="76"/>
      <c r="BP2244" s="76"/>
      <c r="BQ2244" s="76"/>
      <c r="BR2244" s="76"/>
      <c r="BS2244" s="76"/>
      <c r="BT2244" s="76"/>
      <c r="BU2244" s="76"/>
      <c r="BV2244" s="76"/>
      <c r="BW2244" s="76"/>
      <c r="BX2244" s="76"/>
      <c r="BY2244" s="76"/>
      <c r="BZ2244" s="76"/>
      <c r="CA2244" s="76"/>
      <c r="CB2244" s="76"/>
      <c r="CC2244" s="76"/>
      <c r="CD2244" s="76"/>
      <c r="CE2244" s="76"/>
      <c r="CF2244" s="76">
        <f>+CE2244*28000</f>
        <v>0</v>
      </c>
      <c r="CG2244" s="76"/>
      <c r="CH2244" s="76">
        <f>+CG2244*22500</f>
        <v>0</v>
      </c>
      <c r="CI2244" s="76"/>
      <c r="CJ2244" s="76">
        <f>+CI2244*26000</f>
        <v>0</v>
      </c>
      <c r="CK2244" s="76"/>
      <c r="CL2244" s="76"/>
      <c r="CM2244" s="76"/>
      <c r="CN2244" s="76">
        <f>+CM2244*22000</f>
        <v>0</v>
      </c>
      <c r="CO2244" s="76"/>
      <c r="CP2244" s="76">
        <f>+CO2244*46000</f>
        <v>0</v>
      </c>
      <c r="CQ2244" s="76"/>
      <c r="CR2244" s="76">
        <f>+CQ2244*49000</f>
        <v>0</v>
      </c>
      <c r="CS2244" s="76"/>
      <c r="CT2244" s="76"/>
      <c r="CU2244" s="56">
        <f>AN2244+AP2244+AR2244+AT2244+AV2244+AX2244+AZ2244+BB2244+BD2244+BF2244+BH2244+BJ2244+BL2244+BN2244+BP2244+BR2244+BT2244+BV2244+BX2244+BZ2244+CB2244+CD2244+CF2244+CH2244+CJ2244+CL2244+CN2244+CP2244+CR2244+CT2244</f>
        <v>0</v>
      </c>
      <c r="CV2244" s="76"/>
      <c r="CW2244" s="76">
        <f>+CV2244*1100</f>
        <v>0</v>
      </c>
      <c r="CX2244" s="76"/>
      <c r="CY2244" s="76">
        <f>+CX2244*106250</f>
        <v>0</v>
      </c>
      <c r="CZ2244" s="76"/>
      <c r="DA2244" s="76">
        <f>+CZ2244*34500</f>
        <v>0</v>
      </c>
      <c r="DB2244" s="76"/>
      <c r="DC2244" s="76">
        <f>+DB2244*25000</f>
        <v>0</v>
      </c>
      <c r="DD2244" s="219"/>
      <c r="DE2244" s="219"/>
      <c r="DF2244" s="166"/>
      <c r="DG2244" s="116"/>
      <c r="DH2244" s="117"/>
      <c r="DI2244" s="24"/>
      <c r="DJ2244" s="24"/>
      <c r="DK2244" s="24"/>
      <c r="DL2244" s="24"/>
      <c r="DM2244" s="24"/>
      <c r="DN2244" s="24"/>
      <c r="DO2244" s="24"/>
      <c r="DP2244" s="24"/>
      <c r="DQ2244" s="24"/>
      <c r="DR2244" s="24"/>
      <c r="DS2244" s="24"/>
      <c r="DT2244" s="24"/>
      <c r="DU2244" s="24"/>
    </row>
    <row r="2245" spans="1:125" s="8" customFormat="1" ht="36" x14ac:dyDescent="0.2">
      <c r="A2245" s="353">
        <v>41456</v>
      </c>
      <c r="B2245" s="352" t="s">
        <v>2774</v>
      </c>
      <c r="C2245" s="354" t="s">
        <v>2073</v>
      </c>
      <c r="D2245" s="354" t="s">
        <v>2882</v>
      </c>
      <c r="E2245" s="75" t="str">
        <f>VLOOKUP(B2245&amp;C2245,Divipola!$C$2:$F$1138,4,FALSE)</f>
        <v>66383</v>
      </c>
      <c r="F2245" s="87"/>
      <c r="G2245" s="87"/>
      <c r="H2245" s="87"/>
      <c r="I2245" s="87">
        <v>3</v>
      </c>
      <c r="J2245" s="87">
        <v>1</v>
      </c>
      <c r="K2245" s="87"/>
      <c r="L2245" s="87">
        <v>1</v>
      </c>
      <c r="M2245" s="87"/>
      <c r="N2245" s="87"/>
      <c r="O2245" s="87"/>
      <c r="P2245" s="87"/>
      <c r="Q2245" s="87"/>
      <c r="R2245" s="87"/>
      <c r="S2245" s="87"/>
      <c r="T2245" s="87"/>
      <c r="U2245" s="88"/>
      <c r="V2245" s="89"/>
      <c r="W2245" s="96">
        <v>0</v>
      </c>
      <c r="X2245" s="71">
        <f>CU2245</f>
        <v>0</v>
      </c>
      <c r="Y2245" s="71">
        <f>CY2245</f>
        <v>0</v>
      </c>
      <c r="Z2245" s="71">
        <f>DA2245+DC2245+DE2245</f>
        <v>0</v>
      </c>
      <c r="AA2245" s="71">
        <f>CW2245</f>
        <v>0</v>
      </c>
      <c r="AB2245" s="71"/>
      <c r="AC2245" s="71">
        <v>0</v>
      </c>
      <c r="AD2245" s="71">
        <f>W2245+X2245+Y2245+Z2245+AA2245+AB2245+AC2245</f>
        <v>0</v>
      </c>
      <c r="AE2245" s="72">
        <v>0</v>
      </c>
      <c r="AF2245" s="5"/>
      <c r="AG2245" s="6"/>
      <c r="AH2245" s="27" t="s">
        <v>3392</v>
      </c>
      <c r="AI2245" s="44" t="s">
        <v>3393</v>
      </c>
      <c r="AJ2245" s="26"/>
      <c r="AK2245" s="5"/>
      <c r="AL2245" s="82" t="s">
        <v>5114</v>
      </c>
      <c r="AM2245" s="76"/>
      <c r="AN2245" s="76"/>
      <c r="AO2245" s="76"/>
      <c r="AP2245" s="76"/>
      <c r="AQ2245" s="76"/>
      <c r="AR2245" s="76"/>
      <c r="AS2245" s="76"/>
      <c r="AT2245" s="76"/>
      <c r="AU2245" s="76"/>
      <c r="AV2245" s="76"/>
      <c r="AW2245" s="76"/>
      <c r="AX2245" s="76">
        <f>+AW2245*600000</f>
        <v>0</v>
      </c>
      <c r="AY2245" s="76"/>
      <c r="AZ2245" s="76">
        <f>+AY2245*70000</f>
        <v>0</v>
      </c>
      <c r="BA2245" s="76"/>
      <c r="BB2245" s="76"/>
      <c r="BC2245" s="76"/>
      <c r="BD2245" s="76">
        <f>+BC2245*30000</f>
        <v>0</v>
      </c>
      <c r="BE2245" s="76"/>
      <c r="BF2245" s="76"/>
      <c r="BG2245" s="76"/>
      <c r="BH2245" s="76"/>
      <c r="BI2245" s="76"/>
      <c r="BJ2245" s="76"/>
      <c r="BK2245" s="76"/>
      <c r="BL2245" s="76">
        <f>+BK2245*31500</f>
        <v>0</v>
      </c>
      <c r="BM2245" s="76"/>
      <c r="BN2245" s="76"/>
      <c r="BO2245" s="76"/>
      <c r="BP2245" s="76"/>
      <c r="BQ2245" s="76"/>
      <c r="BR2245" s="76"/>
      <c r="BS2245" s="76"/>
      <c r="BT2245" s="76"/>
      <c r="BU2245" s="76"/>
      <c r="BV2245" s="76"/>
      <c r="BW2245" s="76"/>
      <c r="BX2245" s="76"/>
      <c r="BY2245" s="76"/>
      <c r="BZ2245" s="76"/>
      <c r="CA2245" s="76"/>
      <c r="CB2245" s="76"/>
      <c r="CC2245" s="76"/>
      <c r="CD2245" s="76"/>
      <c r="CE2245" s="76"/>
      <c r="CF2245" s="76">
        <f>+CE2245*28000</f>
        <v>0</v>
      </c>
      <c r="CG2245" s="76"/>
      <c r="CH2245" s="76">
        <f>+CG2245*22500</f>
        <v>0</v>
      </c>
      <c r="CI2245" s="76"/>
      <c r="CJ2245" s="76">
        <f>+CI2245*26000</f>
        <v>0</v>
      </c>
      <c r="CK2245" s="76"/>
      <c r="CL2245" s="76"/>
      <c r="CM2245" s="76"/>
      <c r="CN2245" s="76">
        <f>+CM2245*22000</f>
        <v>0</v>
      </c>
      <c r="CO2245" s="76"/>
      <c r="CP2245" s="76">
        <f>+CO2245*46000</f>
        <v>0</v>
      </c>
      <c r="CQ2245" s="76"/>
      <c r="CR2245" s="76">
        <f>+CQ2245*49000</f>
        <v>0</v>
      </c>
      <c r="CS2245" s="76"/>
      <c r="CT2245" s="76"/>
      <c r="CU2245" s="56">
        <f>AN2245+AP2245+AR2245+AT2245+AV2245+AX2245+AZ2245+BB2245+BD2245+BF2245+BH2245+BJ2245+BL2245+BN2245+BP2245+BR2245+BT2245+BV2245+BX2245+BZ2245+CB2245+CD2245+CF2245+CH2245+CJ2245+CL2245+CN2245+CP2245+CR2245+CT2245</f>
        <v>0</v>
      </c>
      <c r="CV2245" s="76"/>
      <c r="CW2245" s="76">
        <f>+CV2245*1100</f>
        <v>0</v>
      </c>
      <c r="CX2245" s="76"/>
      <c r="CY2245" s="76">
        <f>+CX2245*106250</f>
        <v>0</v>
      </c>
      <c r="CZ2245" s="76"/>
      <c r="DA2245" s="76">
        <f>+CZ2245*34500</f>
        <v>0</v>
      </c>
      <c r="DB2245" s="76"/>
      <c r="DC2245" s="76">
        <f>+DB2245*25000</f>
        <v>0</v>
      </c>
      <c r="DD2245" s="219"/>
      <c r="DE2245" s="219"/>
      <c r="DF2245" s="166"/>
      <c r="DG2245" s="116"/>
      <c r="DH2245" s="117"/>
      <c r="DI2245" s="24"/>
      <c r="DJ2245" s="24"/>
      <c r="DK2245" s="24"/>
      <c r="DL2245" s="24"/>
      <c r="DM2245" s="24"/>
      <c r="DN2245" s="24"/>
      <c r="DO2245" s="24"/>
      <c r="DP2245" s="24"/>
      <c r="DQ2245" s="24"/>
      <c r="DR2245" s="24"/>
      <c r="DS2245" s="24"/>
      <c r="DT2245" s="24"/>
      <c r="DU2245" s="24"/>
    </row>
    <row r="2246" spans="1:125" s="8" customFormat="1" ht="48" x14ac:dyDescent="0.2">
      <c r="A2246" s="226">
        <v>41456</v>
      </c>
      <c r="B2246" s="208" t="s">
        <v>2774</v>
      </c>
      <c r="C2246" s="354" t="s">
        <v>2752</v>
      </c>
      <c r="D2246" s="227" t="s">
        <v>3051</v>
      </c>
      <c r="E2246" s="75" t="str">
        <f>VLOOKUP(B2246&amp;C2246,Divipola!$C$2:$F$1138,4,FALSE)</f>
        <v>66687</v>
      </c>
      <c r="F2246" s="87"/>
      <c r="G2246" s="87"/>
      <c r="H2246" s="87"/>
      <c r="I2246" s="87">
        <v>15</v>
      </c>
      <c r="J2246" s="87">
        <v>3</v>
      </c>
      <c r="K2246" s="87"/>
      <c r="L2246" s="87">
        <v>3</v>
      </c>
      <c r="M2246" s="87"/>
      <c r="N2246" s="87"/>
      <c r="O2246" s="87"/>
      <c r="P2246" s="87"/>
      <c r="Q2246" s="87"/>
      <c r="R2246" s="87"/>
      <c r="S2246" s="87"/>
      <c r="T2246" s="87"/>
      <c r="U2246" s="88"/>
      <c r="V2246" s="89"/>
      <c r="W2246" s="96">
        <v>0</v>
      </c>
      <c r="X2246" s="71">
        <f>CU2246</f>
        <v>0</v>
      </c>
      <c r="Y2246" s="71">
        <f>CY2246</f>
        <v>0</v>
      </c>
      <c r="Z2246" s="71">
        <f>DA2246+DC2246+DE2246</f>
        <v>0</v>
      </c>
      <c r="AA2246" s="71">
        <f>CW2246</f>
        <v>0</v>
      </c>
      <c r="AB2246" s="71"/>
      <c r="AC2246" s="71">
        <v>0</v>
      </c>
      <c r="AD2246" s="71">
        <f>W2246+X2246+Y2246+Z2246+AA2246+AB2246+AC2246</f>
        <v>0</v>
      </c>
      <c r="AE2246" s="72">
        <v>0</v>
      </c>
      <c r="AF2246" s="5"/>
      <c r="AG2246" s="6"/>
      <c r="AH2246" s="27" t="s">
        <v>3392</v>
      </c>
      <c r="AI2246" s="44" t="s">
        <v>3393</v>
      </c>
      <c r="AJ2246" s="26"/>
      <c r="AK2246" s="5"/>
      <c r="AL2246" s="82" t="s">
        <v>5104</v>
      </c>
      <c r="AM2246" s="76"/>
      <c r="AN2246" s="76"/>
      <c r="AO2246" s="76"/>
      <c r="AP2246" s="76"/>
      <c r="AQ2246" s="76"/>
      <c r="AR2246" s="76"/>
      <c r="AS2246" s="76"/>
      <c r="AT2246" s="76"/>
      <c r="AU2246" s="76"/>
      <c r="AV2246" s="76"/>
      <c r="AW2246" s="76"/>
      <c r="AX2246" s="76">
        <f>+AW2246*600000</f>
        <v>0</v>
      </c>
      <c r="AY2246" s="76"/>
      <c r="AZ2246" s="76">
        <f>+AY2246*70000</f>
        <v>0</v>
      </c>
      <c r="BA2246" s="76"/>
      <c r="BB2246" s="76"/>
      <c r="BC2246" s="76"/>
      <c r="BD2246" s="76">
        <f>+BC2246*30000</f>
        <v>0</v>
      </c>
      <c r="BE2246" s="76"/>
      <c r="BF2246" s="76"/>
      <c r="BG2246" s="76"/>
      <c r="BH2246" s="76"/>
      <c r="BI2246" s="76"/>
      <c r="BJ2246" s="76"/>
      <c r="BK2246" s="76"/>
      <c r="BL2246" s="76">
        <f>+BK2246*31500</f>
        <v>0</v>
      </c>
      <c r="BM2246" s="76"/>
      <c r="BN2246" s="76"/>
      <c r="BO2246" s="76"/>
      <c r="BP2246" s="76"/>
      <c r="BQ2246" s="76"/>
      <c r="BR2246" s="76"/>
      <c r="BS2246" s="76"/>
      <c r="BT2246" s="76"/>
      <c r="BU2246" s="76"/>
      <c r="BV2246" s="76"/>
      <c r="BW2246" s="76"/>
      <c r="BX2246" s="76"/>
      <c r="BY2246" s="76"/>
      <c r="BZ2246" s="76"/>
      <c r="CA2246" s="76"/>
      <c r="CB2246" s="76"/>
      <c r="CC2246" s="76"/>
      <c r="CD2246" s="76"/>
      <c r="CE2246" s="76"/>
      <c r="CF2246" s="76">
        <f>+CE2246*28000</f>
        <v>0</v>
      </c>
      <c r="CG2246" s="76"/>
      <c r="CH2246" s="76">
        <f>+CG2246*22500</f>
        <v>0</v>
      </c>
      <c r="CI2246" s="76"/>
      <c r="CJ2246" s="76">
        <f>+CI2246*26000</f>
        <v>0</v>
      </c>
      <c r="CK2246" s="76"/>
      <c r="CL2246" s="76"/>
      <c r="CM2246" s="76"/>
      <c r="CN2246" s="76">
        <f>+CM2246*22000</f>
        <v>0</v>
      </c>
      <c r="CO2246" s="76"/>
      <c r="CP2246" s="76">
        <f>+CO2246*46000</f>
        <v>0</v>
      </c>
      <c r="CQ2246" s="76"/>
      <c r="CR2246" s="76">
        <f>+CQ2246*49000</f>
        <v>0</v>
      </c>
      <c r="CS2246" s="76"/>
      <c r="CT2246" s="76"/>
      <c r="CU2246" s="56">
        <f>AN2246+AP2246+AR2246+AT2246+AV2246+AX2246+AZ2246+BB2246+BD2246+BF2246+BH2246+BJ2246+BL2246+BN2246+BP2246+BR2246+BT2246+BV2246+BX2246+BZ2246+CB2246+CD2246+CF2246+CH2246+CJ2246+CL2246+CN2246+CP2246+CR2246+CT2246</f>
        <v>0</v>
      </c>
      <c r="CV2246" s="76"/>
      <c r="CW2246" s="76">
        <f>+CV2246*1100</f>
        <v>0</v>
      </c>
      <c r="CX2246" s="76"/>
      <c r="CY2246" s="76">
        <f>+CX2246*106250</f>
        <v>0</v>
      </c>
      <c r="CZ2246" s="76"/>
      <c r="DA2246" s="76">
        <f>+CZ2246*34500</f>
        <v>0</v>
      </c>
      <c r="DB2246" s="76"/>
      <c r="DC2246" s="76">
        <f>+DB2246*25000</f>
        <v>0</v>
      </c>
      <c r="DD2246" s="219"/>
      <c r="DE2246" s="219"/>
      <c r="DF2246" s="166"/>
      <c r="DG2246" s="116"/>
      <c r="DH2246" s="117"/>
      <c r="DI2246" s="24"/>
      <c r="DJ2246" s="24"/>
      <c r="DK2246" s="24"/>
      <c r="DL2246" s="24"/>
      <c r="DM2246" s="24"/>
      <c r="DN2246" s="24"/>
      <c r="DO2246" s="24"/>
      <c r="DP2246" s="24"/>
      <c r="DQ2246" s="24"/>
      <c r="DR2246" s="24"/>
      <c r="DS2246" s="24"/>
      <c r="DT2246" s="24"/>
      <c r="DU2246" s="24"/>
    </row>
    <row r="2247" spans="1:125" s="8" customFormat="1" ht="60" x14ac:dyDescent="0.2">
      <c r="A2247" s="353">
        <v>41456</v>
      </c>
      <c r="B2247" s="352" t="s">
        <v>2848</v>
      </c>
      <c r="C2247" s="354" t="s">
        <v>2755</v>
      </c>
      <c r="D2247" s="354" t="s">
        <v>4391</v>
      </c>
      <c r="E2247" s="75" t="str">
        <f>VLOOKUP(B2247&amp;C2247,Divipola!$C$2:$F$1138,4,FALSE)</f>
        <v>73001</v>
      </c>
      <c r="F2247" s="87"/>
      <c r="G2247" s="87"/>
      <c r="H2247" s="87">
        <v>1</v>
      </c>
      <c r="I2247" s="87"/>
      <c r="J2247" s="87"/>
      <c r="K2247" s="87"/>
      <c r="L2247" s="87"/>
      <c r="M2247" s="87"/>
      <c r="N2247" s="87"/>
      <c r="O2247" s="87"/>
      <c r="P2247" s="87"/>
      <c r="Q2247" s="87"/>
      <c r="R2247" s="87"/>
      <c r="S2247" s="87"/>
      <c r="T2247" s="87"/>
      <c r="U2247" s="88"/>
      <c r="V2247" s="89"/>
      <c r="W2247" s="96">
        <v>0</v>
      </c>
      <c r="X2247" s="71">
        <f>CU2247</f>
        <v>0</v>
      </c>
      <c r="Y2247" s="71">
        <f>CY2247</f>
        <v>0</v>
      </c>
      <c r="Z2247" s="71">
        <f>DA2247+DC2247+DE2247</f>
        <v>0</v>
      </c>
      <c r="AA2247" s="71">
        <f>CW2247</f>
        <v>0</v>
      </c>
      <c r="AB2247" s="71"/>
      <c r="AC2247" s="71">
        <v>0</v>
      </c>
      <c r="AD2247" s="71">
        <f>W2247+X2247+Y2247+Z2247+AA2247+AB2247+AC2247</f>
        <v>0</v>
      </c>
      <c r="AE2247" s="72">
        <v>0</v>
      </c>
      <c r="AF2247" s="5"/>
      <c r="AG2247" s="6"/>
      <c r="AH2247" s="27" t="s">
        <v>3392</v>
      </c>
      <c r="AI2247" s="44" t="s">
        <v>3393</v>
      </c>
      <c r="AJ2247" s="26"/>
      <c r="AK2247" s="5"/>
      <c r="AL2247" s="82" t="s">
        <v>5093</v>
      </c>
      <c r="AM2247" s="76"/>
      <c r="AN2247" s="76"/>
      <c r="AO2247" s="76"/>
      <c r="AP2247" s="76"/>
      <c r="AQ2247" s="76"/>
      <c r="AR2247" s="76"/>
      <c r="AS2247" s="76"/>
      <c r="AT2247" s="76"/>
      <c r="AU2247" s="76"/>
      <c r="AV2247" s="76"/>
      <c r="AW2247" s="76"/>
      <c r="AX2247" s="76">
        <f>+AW2247*600000</f>
        <v>0</v>
      </c>
      <c r="AY2247" s="76"/>
      <c r="AZ2247" s="76">
        <f>+AY2247*70000</f>
        <v>0</v>
      </c>
      <c r="BA2247" s="76"/>
      <c r="BB2247" s="76"/>
      <c r="BC2247" s="76"/>
      <c r="BD2247" s="76">
        <f>+BC2247*30000</f>
        <v>0</v>
      </c>
      <c r="BE2247" s="76"/>
      <c r="BF2247" s="76"/>
      <c r="BG2247" s="76"/>
      <c r="BH2247" s="76"/>
      <c r="BI2247" s="76"/>
      <c r="BJ2247" s="76"/>
      <c r="BK2247" s="76"/>
      <c r="BL2247" s="76">
        <f>+BK2247*31500</f>
        <v>0</v>
      </c>
      <c r="BM2247" s="76"/>
      <c r="BN2247" s="76"/>
      <c r="BO2247" s="76"/>
      <c r="BP2247" s="76"/>
      <c r="BQ2247" s="76"/>
      <c r="BR2247" s="76"/>
      <c r="BS2247" s="76"/>
      <c r="BT2247" s="76"/>
      <c r="BU2247" s="76"/>
      <c r="BV2247" s="76"/>
      <c r="BW2247" s="76"/>
      <c r="BX2247" s="76"/>
      <c r="BY2247" s="76"/>
      <c r="BZ2247" s="76"/>
      <c r="CA2247" s="76"/>
      <c r="CB2247" s="76"/>
      <c r="CC2247" s="76"/>
      <c r="CD2247" s="76"/>
      <c r="CE2247" s="76"/>
      <c r="CF2247" s="76">
        <f>+CE2247*28000</f>
        <v>0</v>
      </c>
      <c r="CG2247" s="76"/>
      <c r="CH2247" s="76">
        <f>+CG2247*22500</f>
        <v>0</v>
      </c>
      <c r="CI2247" s="76"/>
      <c r="CJ2247" s="76">
        <f>+CI2247*26000</f>
        <v>0</v>
      </c>
      <c r="CK2247" s="76"/>
      <c r="CL2247" s="76"/>
      <c r="CM2247" s="76"/>
      <c r="CN2247" s="76">
        <f>+CM2247*22000</f>
        <v>0</v>
      </c>
      <c r="CO2247" s="76"/>
      <c r="CP2247" s="76">
        <f>+CO2247*46000</f>
        <v>0</v>
      </c>
      <c r="CQ2247" s="76"/>
      <c r="CR2247" s="76">
        <f>+CQ2247*49000</f>
        <v>0</v>
      </c>
      <c r="CS2247" s="76"/>
      <c r="CT2247" s="76"/>
      <c r="CU2247" s="56">
        <f>AN2247+AP2247+AR2247+AT2247+AV2247+AX2247+AZ2247+BB2247+BD2247+BF2247+BH2247+BJ2247+BL2247+BN2247+BP2247+BR2247+BT2247+BV2247+BX2247+BZ2247+CB2247+CD2247+CF2247+CH2247+CJ2247+CL2247+CN2247+CP2247+CR2247+CT2247</f>
        <v>0</v>
      </c>
      <c r="CV2247" s="76"/>
      <c r="CW2247" s="76">
        <f>+CV2247*1100</f>
        <v>0</v>
      </c>
      <c r="CX2247" s="76"/>
      <c r="CY2247" s="76">
        <f>+CX2247*106250</f>
        <v>0</v>
      </c>
      <c r="CZ2247" s="76"/>
      <c r="DA2247" s="76">
        <f>+CZ2247*34500</f>
        <v>0</v>
      </c>
      <c r="DB2247" s="76"/>
      <c r="DC2247" s="76">
        <f>+DB2247*25000</f>
        <v>0</v>
      </c>
      <c r="DD2247" s="219"/>
      <c r="DE2247" s="219"/>
      <c r="DF2247" s="166"/>
      <c r="DG2247" s="116"/>
      <c r="DH2247" s="117"/>
      <c r="DI2247" s="24"/>
      <c r="DJ2247" s="24"/>
      <c r="DK2247" s="24"/>
      <c r="DL2247" s="24"/>
      <c r="DM2247" s="24"/>
      <c r="DN2247" s="24"/>
      <c r="DO2247" s="24"/>
      <c r="DP2247" s="24"/>
      <c r="DQ2247" s="24"/>
      <c r="DR2247" s="24"/>
      <c r="DS2247" s="24"/>
      <c r="DT2247" s="24"/>
      <c r="DU2247" s="24"/>
    </row>
    <row r="2248" spans="1:125" s="8" customFormat="1" ht="48" x14ac:dyDescent="0.2">
      <c r="A2248" s="226">
        <v>41456</v>
      </c>
      <c r="B2248" s="225" t="s">
        <v>2848</v>
      </c>
      <c r="C2248" s="227" t="s">
        <v>2755</v>
      </c>
      <c r="D2248" s="354" t="s">
        <v>3088</v>
      </c>
      <c r="E2248" s="75" t="str">
        <f>VLOOKUP(B2248&amp;C2248,Divipola!$C$2:$F$1138,4,FALSE)</f>
        <v>73001</v>
      </c>
      <c r="F2248" s="87"/>
      <c r="G2248" s="87"/>
      <c r="H2248" s="87"/>
      <c r="I2248" s="87"/>
      <c r="J2248" s="87"/>
      <c r="K2248" s="87"/>
      <c r="L2248" s="87"/>
      <c r="M2248" s="87">
        <v>1</v>
      </c>
      <c r="N2248" s="87"/>
      <c r="O2248" s="87"/>
      <c r="P2248" s="87"/>
      <c r="Q2248" s="87"/>
      <c r="R2248" s="87"/>
      <c r="S2248" s="87"/>
      <c r="T2248" s="87"/>
      <c r="U2248" s="88"/>
      <c r="V2248" s="89"/>
      <c r="W2248" s="96">
        <v>0</v>
      </c>
      <c r="X2248" s="71">
        <f>CU2248</f>
        <v>0</v>
      </c>
      <c r="Y2248" s="71">
        <f>CY2248</f>
        <v>0</v>
      </c>
      <c r="Z2248" s="71">
        <f>DA2248+DC2248+DE2248</f>
        <v>0</v>
      </c>
      <c r="AA2248" s="71">
        <f>CW2248</f>
        <v>0</v>
      </c>
      <c r="AB2248" s="71"/>
      <c r="AC2248" s="71">
        <v>0</v>
      </c>
      <c r="AD2248" s="71">
        <f>W2248+X2248+Y2248+Z2248+AA2248+AB2248+AC2248</f>
        <v>0</v>
      </c>
      <c r="AE2248" s="72">
        <v>0</v>
      </c>
      <c r="AF2248" s="5"/>
      <c r="AG2248" s="6"/>
      <c r="AH2248" s="27" t="s">
        <v>3392</v>
      </c>
      <c r="AI2248" s="44" t="s">
        <v>3393</v>
      </c>
      <c r="AJ2248" s="26"/>
      <c r="AK2248" s="5"/>
      <c r="AL2248" s="82" t="s">
        <v>5094</v>
      </c>
      <c r="AM2248" s="76"/>
      <c r="AN2248" s="76"/>
      <c r="AO2248" s="76"/>
      <c r="AP2248" s="76"/>
      <c r="AQ2248" s="76"/>
      <c r="AR2248" s="76"/>
      <c r="AS2248" s="76"/>
      <c r="AT2248" s="76"/>
      <c r="AU2248" s="76"/>
      <c r="AV2248" s="76"/>
      <c r="AW2248" s="76"/>
      <c r="AX2248" s="76">
        <f>+AW2248*600000</f>
        <v>0</v>
      </c>
      <c r="AY2248" s="76"/>
      <c r="AZ2248" s="76">
        <f>+AY2248*70000</f>
        <v>0</v>
      </c>
      <c r="BA2248" s="76"/>
      <c r="BB2248" s="76"/>
      <c r="BC2248" s="76"/>
      <c r="BD2248" s="76">
        <f>+BC2248*30000</f>
        <v>0</v>
      </c>
      <c r="BE2248" s="76"/>
      <c r="BF2248" s="76"/>
      <c r="BG2248" s="76"/>
      <c r="BH2248" s="76"/>
      <c r="BI2248" s="76"/>
      <c r="BJ2248" s="76"/>
      <c r="BK2248" s="76"/>
      <c r="BL2248" s="76">
        <f>+BK2248*31500</f>
        <v>0</v>
      </c>
      <c r="BM2248" s="76"/>
      <c r="BN2248" s="76"/>
      <c r="BO2248" s="76"/>
      <c r="BP2248" s="76"/>
      <c r="BQ2248" s="76"/>
      <c r="BR2248" s="76"/>
      <c r="BS2248" s="76"/>
      <c r="BT2248" s="76"/>
      <c r="BU2248" s="76"/>
      <c r="BV2248" s="76"/>
      <c r="BW2248" s="76"/>
      <c r="BX2248" s="76"/>
      <c r="BY2248" s="76"/>
      <c r="BZ2248" s="76"/>
      <c r="CA2248" s="76"/>
      <c r="CB2248" s="76"/>
      <c r="CC2248" s="76"/>
      <c r="CD2248" s="76"/>
      <c r="CE2248" s="76"/>
      <c r="CF2248" s="76">
        <f>+CE2248*28000</f>
        <v>0</v>
      </c>
      <c r="CG2248" s="76"/>
      <c r="CH2248" s="76">
        <f>+CG2248*22500</f>
        <v>0</v>
      </c>
      <c r="CI2248" s="76"/>
      <c r="CJ2248" s="76">
        <f>+CI2248*26000</f>
        <v>0</v>
      </c>
      <c r="CK2248" s="76"/>
      <c r="CL2248" s="76"/>
      <c r="CM2248" s="76"/>
      <c r="CN2248" s="76">
        <f>+CM2248*22000</f>
        <v>0</v>
      </c>
      <c r="CO2248" s="76"/>
      <c r="CP2248" s="76">
        <f>+CO2248*46000</f>
        <v>0</v>
      </c>
      <c r="CQ2248" s="76"/>
      <c r="CR2248" s="76">
        <f>+CQ2248*49000</f>
        <v>0</v>
      </c>
      <c r="CS2248" s="76"/>
      <c r="CT2248" s="76"/>
      <c r="CU2248" s="56">
        <f>AN2248+AP2248+AR2248+AT2248+AV2248+AX2248+AZ2248+BB2248+BD2248+BF2248+BH2248+BJ2248+BL2248+BN2248+BP2248+BR2248+BT2248+BV2248+BX2248+BZ2248+CB2248+CD2248+CF2248+CH2248+CJ2248+CL2248+CN2248+CP2248+CR2248+CT2248</f>
        <v>0</v>
      </c>
      <c r="CV2248" s="76"/>
      <c r="CW2248" s="76">
        <f>+CV2248*1100</f>
        <v>0</v>
      </c>
      <c r="CX2248" s="76"/>
      <c r="CY2248" s="76">
        <f>+CX2248*106250</f>
        <v>0</v>
      </c>
      <c r="CZ2248" s="76"/>
      <c r="DA2248" s="76">
        <f>+CZ2248*34500</f>
        <v>0</v>
      </c>
      <c r="DB2248" s="76"/>
      <c r="DC2248" s="76">
        <f>+DB2248*25000</f>
        <v>0</v>
      </c>
      <c r="DD2248" s="219"/>
      <c r="DE2248" s="219"/>
      <c r="DF2248" s="166"/>
      <c r="DG2248" s="116"/>
      <c r="DH2248" s="117"/>
      <c r="DI2248" s="24"/>
      <c r="DJ2248" s="24"/>
      <c r="DK2248" s="24"/>
      <c r="DL2248" s="24"/>
      <c r="DM2248" s="24"/>
      <c r="DN2248" s="24"/>
      <c r="DO2248" s="24"/>
      <c r="DP2248" s="24"/>
      <c r="DQ2248" s="24"/>
      <c r="DR2248" s="24"/>
      <c r="DS2248" s="24"/>
      <c r="DT2248" s="24"/>
      <c r="DU2248" s="24"/>
    </row>
    <row r="2249" spans="1:125" s="8" customFormat="1" ht="48" x14ac:dyDescent="0.2">
      <c r="A2249" s="353">
        <v>41457</v>
      </c>
      <c r="B2249" s="352" t="s">
        <v>2894</v>
      </c>
      <c r="C2249" s="354" t="s">
        <v>2471</v>
      </c>
      <c r="D2249" s="354" t="s">
        <v>2849</v>
      </c>
      <c r="E2249" s="75" t="str">
        <f>VLOOKUP(B2249&amp;C2249,Divipola!$C$2:$F$1138,4,FALSE)</f>
        <v>05347</v>
      </c>
      <c r="F2249" s="87">
        <v>1</v>
      </c>
      <c r="G2249" s="87">
        <v>1</v>
      </c>
      <c r="H2249" s="87"/>
      <c r="I2249" s="87">
        <v>2</v>
      </c>
      <c r="J2249" s="87"/>
      <c r="K2249" s="87"/>
      <c r="L2249" s="87"/>
      <c r="M2249" s="87"/>
      <c r="N2249" s="87"/>
      <c r="O2249" s="87"/>
      <c r="P2249" s="87"/>
      <c r="Q2249" s="87"/>
      <c r="R2249" s="87"/>
      <c r="S2249" s="87"/>
      <c r="T2249" s="87"/>
      <c r="U2249" s="88"/>
      <c r="V2249" s="89"/>
      <c r="W2249" s="96">
        <v>0</v>
      </c>
      <c r="X2249" s="71">
        <f>CU2249</f>
        <v>0</v>
      </c>
      <c r="Y2249" s="71">
        <f>CY2249</f>
        <v>0</v>
      </c>
      <c r="Z2249" s="71">
        <f>DA2249+DC2249+DE2249</f>
        <v>0</v>
      </c>
      <c r="AA2249" s="71">
        <f>CW2249</f>
        <v>0</v>
      </c>
      <c r="AB2249" s="71"/>
      <c r="AC2249" s="71">
        <v>0</v>
      </c>
      <c r="AD2249" s="71">
        <f>W2249+X2249+Y2249+Z2249+AA2249+AB2249+AC2249</f>
        <v>0</v>
      </c>
      <c r="AE2249" s="72">
        <v>0</v>
      </c>
      <c r="AF2249" s="5"/>
      <c r="AG2249" s="6"/>
      <c r="AH2249" s="27" t="s">
        <v>3392</v>
      </c>
      <c r="AI2249" s="44" t="s">
        <v>3393</v>
      </c>
      <c r="AJ2249" s="26"/>
      <c r="AK2249" s="5"/>
      <c r="AL2249" s="82" t="s">
        <v>5100</v>
      </c>
      <c r="AM2249" s="76"/>
      <c r="AN2249" s="76"/>
      <c r="AO2249" s="76"/>
      <c r="AP2249" s="76"/>
      <c r="AQ2249" s="76"/>
      <c r="AR2249" s="76"/>
      <c r="AS2249" s="76"/>
      <c r="AT2249" s="76"/>
      <c r="AU2249" s="76"/>
      <c r="AV2249" s="76"/>
      <c r="AW2249" s="76"/>
      <c r="AX2249" s="76">
        <f>+AW2249*600000</f>
        <v>0</v>
      </c>
      <c r="AY2249" s="76"/>
      <c r="AZ2249" s="76">
        <f>+AY2249*70000</f>
        <v>0</v>
      </c>
      <c r="BA2249" s="76"/>
      <c r="BB2249" s="76"/>
      <c r="BC2249" s="76"/>
      <c r="BD2249" s="76">
        <f>+BC2249*30000</f>
        <v>0</v>
      </c>
      <c r="BE2249" s="76"/>
      <c r="BF2249" s="76"/>
      <c r="BG2249" s="76"/>
      <c r="BH2249" s="76"/>
      <c r="BI2249" s="76"/>
      <c r="BJ2249" s="76"/>
      <c r="BK2249" s="76"/>
      <c r="BL2249" s="76">
        <f>+BK2249*31500</f>
        <v>0</v>
      </c>
      <c r="BM2249" s="76"/>
      <c r="BN2249" s="76"/>
      <c r="BO2249" s="76"/>
      <c r="BP2249" s="76"/>
      <c r="BQ2249" s="76"/>
      <c r="BR2249" s="76"/>
      <c r="BS2249" s="76"/>
      <c r="BT2249" s="76"/>
      <c r="BU2249" s="76"/>
      <c r="BV2249" s="76"/>
      <c r="BW2249" s="76"/>
      <c r="BX2249" s="76"/>
      <c r="BY2249" s="76"/>
      <c r="BZ2249" s="76"/>
      <c r="CA2249" s="76"/>
      <c r="CB2249" s="76"/>
      <c r="CC2249" s="76"/>
      <c r="CD2249" s="76"/>
      <c r="CE2249" s="76"/>
      <c r="CF2249" s="76">
        <f>+CE2249*28000</f>
        <v>0</v>
      </c>
      <c r="CG2249" s="76"/>
      <c r="CH2249" s="76">
        <f>+CG2249*22500</f>
        <v>0</v>
      </c>
      <c r="CI2249" s="76"/>
      <c r="CJ2249" s="76">
        <f>+CI2249*26000</f>
        <v>0</v>
      </c>
      <c r="CK2249" s="76"/>
      <c r="CL2249" s="76"/>
      <c r="CM2249" s="76"/>
      <c r="CN2249" s="76">
        <f>+CM2249*22000</f>
        <v>0</v>
      </c>
      <c r="CO2249" s="76"/>
      <c r="CP2249" s="76">
        <f>+CO2249*46000</f>
        <v>0</v>
      </c>
      <c r="CQ2249" s="76"/>
      <c r="CR2249" s="76">
        <f>+CQ2249*49000</f>
        <v>0</v>
      </c>
      <c r="CS2249" s="76"/>
      <c r="CT2249" s="76"/>
      <c r="CU2249" s="56">
        <f>AN2249+AP2249+AR2249+AT2249+AV2249+AX2249+AZ2249+BB2249+BD2249+BF2249+BH2249+BJ2249+BL2249+BN2249+BP2249+BR2249+BT2249+BV2249+BX2249+BZ2249+CB2249+CD2249+CF2249+CH2249+CJ2249+CL2249+CN2249+CP2249+CR2249+CT2249</f>
        <v>0</v>
      </c>
      <c r="CV2249" s="76"/>
      <c r="CW2249" s="76">
        <f>+CV2249*1100</f>
        <v>0</v>
      </c>
      <c r="CX2249" s="76"/>
      <c r="CY2249" s="76">
        <f>+CX2249*106250</f>
        <v>0</v>
      </c>
      <c r="CZ2249" s="76"/>
      <c r="DA2249" s="76">
        <f>+CZ2249*34500</f>
        <v>0</v>
      </c>
      <c r="DB2249" s="76"/>
      <c r="DC2249" s="76">
        <f>+DB2249*25000</f>
        <v>0</v>
      </c>
      <c r="DD2249" s="219"/>
      <c r="DE2249" s="219"/>
      <c r="DF2249" s="166"/>
      <c r="DG2249" s="116"/>
      <c r="DH2249" s="117"/>
      <c r="DI2249" s="24"/>
      <c r="DJ2249" s="24"/>
      <c r="DK2249" s="24"/>
      <c r="DL2249" s="24"/>
      <c r="DM2249" s="24"/>
      <c r="DN2249" s="24"/>
      <c r="DO2249" s="24"/>
      <c r="DP2249" s="24"/>
      <c r="DQ2249" s="24"/>
      <c r="DR2249" s="24"/>
      <c r="DS2249" s="24"/>
      <c r="DT2249" s="24"/>
      <c r="DU2249" s="24"/>
    </row>
    <row r="2250" spans="1:125" s="8" customFormat="1" ht="36" x14ac:dyDescent="0.2">
      <c r="A2250" s="226">
        <v>41457</v>
      </c>
      <c r="B2250" s="225" t="s">
        <v>2700</v>
      </c>
      <c r="C2250" s="227" t="s">
        <v>1704</v>
      </c>
      <c r="D2250" s="354" t="s">
        <v>3635</v>
      </c>
      <c r="E2250" s="75" t="str">
        <f>VLOOKUP(B2250&amp;C2250,Divipola!$C$2:$F$1138,4,FALSE)</f>
        <v>15516</v>
      </c>
      <c r="F2250" s="87">
        <v>1</v>
      </c>
      <c r="G2250" s="87"/>
      <c r="H2250" s="87"/>
      <c r="I2250" s="87"/>
      <c r="J2250" s="87"/>
      <c r="K2250" s="87"/>
      <c r="L2250" s="87"/>
      <c r="M2250" s="87"/>
      <c r="N2250" s="87"/>
      <c r="O2250" s="87"/>
      <c r="P2250" s="87"/>
      <c r="Q2250" s="87"/>
      <c r="R2250" s="87"/>
      <c r="S2250" s="87"/>
      <c r="T2250" s="87"/>
      <c r="U2250" s="88"/>
      <c r="V2250" s="89"/>
      <c r="W2250" s="96">
        <v>0</v>
      </c>
      <c r="X2250" s="71">
        <f>CU2250</f>
        <v>0</v>
      </c>
      <c r="Y2250" s="71">
        <f>CY2250</f>
        <v>0</v>
      </c>
      <c r="Z2250" s="71">
        <f>DA2250+DC2250+DE2250</f>
        <v>0</v>
      </c>
      <c r="AA2250" s="71">
        <f>CW2250</f>
        <v>0</v>
      </c>
      <c r="AB2250" s="71"/>
      <c r="AC2250" s="71">
        <v>0</v>
      </c>
      <c r="AD2250" s="71">
        <f>W2250+X2250+Y2250+Z2250+AA2250+AB2250+AC2250</f>
        <v>0</v>
      </c>
      <c r="AE2250" s="72">
        <v>0</v>
      </c>
      <c r="AF2250" s="5"/>
      <c r="AG2250" s="6"/>
      <c r="AH2250" s="27" t="s">
        <v>3392</v>
      </c>
      <c r="AI2250" s="44" t="s">
        <v>3393</v>
      </c>
      <c r="AJ2250" s="26"/>
      <c r="AK2250" s="5"/>
      <c r="AL2250" s="82" t="s">
        <v>5121</v>
      </c>
      <c r="AM2250" s="76"/>
      <c r="AN2250" s="76"/>
      <c r="AO2250" s="76"/>
      <c r="AP2250" s="76"/>
      <c r="AQ2250" s="76"/>
      <c r="AR2250" s="76"/>
      <c r="AS2250" s="76"/>
      <c r="AT2250" s="76"/>
      <c r="AU2250" s="76"/>
      <c r="AV2250" s="76"/>
      <c r="AW2250" s="76"/>
      <c r="AX2250" s="76">
        <f>+AW2250*600000</f>
        <v>0</v>
      </c>
      <c r="AY2250" s="76"/>
      <c r="AZ2250" s="76">
        <f>+AY2250*70000</f>
        <v>0</v>
      </c>
      <c r="BA2250" s="76"/>
      <c r="BB2250" s="76"/>
      <c r="BC2250" s="76"/>
      <c r="BD2250" s="76">
        <f>+BC2250*30000</f>
        <v>0</v>
      </c>
      <c r="BE2250" s="76"/>
      <c r="BF2250" s="76"/>
      <c r="BG2250" s="76"/>
      <c r="BH2250" s="76"/>
      <c r="BI2250" s="76"/>
      <c r="BJ2250" s="76"/>
      <c r="BK2250" s="76"/>
      <c r="BL2250" s="76">
        <f>+BK2250*31500</f>
        <v>0</v>
      </c>
      <c r="BM2250" s="76"/>
      <c r="BN2250" s="76"/>
      <c r="BO2250" s="76"/>
      <c r="BP2250" s="76"/>
      <c r="BQ2250" s="76"/>
      <c r="BR2250" s="76"/>
      <c r="BS2250" s="76"/>
      <c r="BT2250" s="76"/>
      <c r="BU2250" s="76"/>
      <c r="BV2250" s="76"/>
      <c r="BW2250" s="76"/>
      <c r="BX2250" s="76"/>
      <c r="BY2250" s="76"/>
      <c r="BZ2250" s="76"/>
      <c r="CA2250" s="76"/>
      <c r="CB2250" s="76"/>
      <c r="CC2250" s="76"/>
      <c r="CD2250" s="76"/>
      <c r="CE2250" s="76"/>
      <c r="CF2250" s="76">
        <f>+CE2250*28000</f>
        <v>0</v>
      </c>
      <c r="CG2250" s="76"/>
      <c r="CH2250" s="76">
        <f>+CG2250*22500</f>
        <v>0</v>
      </c>
      <c r="CI2250" s="76"/>
      <c r="CJ2250" s="76">
        <f>+CI2250*26000</f>
        <v>0</v>
      </c>
      <c r="CK2250" s="76"/>
      <c r="CL2250" s="76"/>
      <c r="CM2250" s="76"/>
      <c r="CN2250" s="76">
        <f>+CM2250*22000</f>
        <v>0</v>
      </c>
      <c r="CO2250" s="76"/>
      <c r="CP2250" s="76">
        <f>+CO2250*46000</f>
        <v>0</v>
      </c>
      <c r="CQ2250" s="76"/>
      <c r="CR2250" s="76">
        <f>+CQ2250*49000</f>
        <v>0</v>
      </c>
      <c r="CS2250" s="76"/>
      <c r="CT2250" s="76"/>
      <c r="CU2250" s="56">
        <f>AN2250+AP2250+AR2250+AT2250+AV2250+AX2250+AZ2250+BB2250+BD2250+BF2250+BH2250+BJ2250+BL2250+BN2250+BP2250+BR2250+BT2250+BV2250+BX2250+BZ2250+CB2250+CD2250+CF2250+CH2250+CJ2250+CL2250+CN2250+CP2250+CR2250+CT2250</f>
        <v>0</v>
      </c>
      <c r="CV2250" s="76"/>
      <c r="CW2250" s="76">
        <f>+CV2250*1100</f>
        <v>0</v>
      </c>
      <c r="CX2250" s="76"/>
      <c r="CY2250" s="76">
        <f>+CX2250*106250</f>
        <v>0</v>
      </c>
      <c r="CZ2250" s="76"/>
      <c r="DA2250" s="76">
        <f>+CZ2250*34500</f>
        <v>0</v>
      </c>
      <c r="DB2250" s="76"/>
      <c r="DC2250" s="76">
        <f>+DB2250*25000</f>
        <v>0</v>
      </c>
      <c r="DD2250" s="219"/>
      <c r="DE2250" s="219"/>
      <c r="DF2250" s="166"/>
      <c r="DG2250" s="116"/>
      <c r="DH2250" s="117"/>
      <c r="DI2250" s="24"/>
      <c r="DJ2250" s="24"/>
      <c r="DK2250" s="24"/>
      <c r="DL2250" s="24"/>
      <c r="DM2250" s="24"/>
      <c r="DN2250" s="24"/>
      <c r="DO2250" s="24"/>
      <c r="DP2250" s="24"/>
      <c r="DQ2250" s="24"/>
      <c r="DR2250" s="24"/>
      <c r="DS2250" s="24"/>
      <c r="DT2250" s="24"/>
      <c r="DU2250" s="24"/>
    </row>
    <row r="2251" spans="1:125" s="8" customFormat="1" ht="60" x14ac:dyDescent="0.2">
      <c r="A2251" s="353">
        <v>41457</v>
      </c>
      <c r="B2251" s="352" t="s">
        <v>2778</v>
      </c>
      <c r="C2251" s="354" t="s">
        <v>1344</v>
      </c>
      <c r="D2251" s="354" t="s">
        <v>4391</v>
      </c>
      <c r="E2251" s="75" t="str">
        <f>VLOOKUP(B2251&amp;C2251,Divipola!$C$2:$F$1138,4,FALSE)</f>
        <v>85001</v>
      </c>
      <c r="F2251" s="87"/>
      <c r="G2251" s="87"/>
      <c r="H2251" s="87">
        <v>1</v>
      </c>
      <c r="I2251" s="87"/>
      <c r="J2251" s="87"/>
      <c r="K2251" s="87"/>
      <c r="L2251" s="87"/>
      <c r="M2251" s="87"/>
      <c r="N2251" s="87"/>
      <c r="O2251" s="87"/>
      <c r="P2251" s="87"/>
      <c r="Q2251" s="87"/>
      <c r="R2251" s="87"/>
      <c r="S2251" s="87"/>
      <c r="T2251" s="87"/>
      <c r="U2251" s="88"/>
      <c r="V2251" s="89"/>
      <c r="W2251" s="96">
        <v>0</v>
      </c>
      <c r="X2251" s="71">
        <f>CU2251</f>
        <v>0</v>
      </c>
      <c r="Y2251" s="71">
        <f>CY2251</f>
        <v>0</v>
      </c>
      <c r="Z2251" s="71">
        <f>DA2251+DC2251+DE2251</f>
        <v>0</v>
      </c>
      <c r="AA2251" s="71">
        <f>CW2251</f>
        <v>0</v>
      </c>
      <c r="AB2251" s="71"/>
      <c r="AC2251" s="71">
        <v>0</v>
      </c>
      <c r="AD2251" s="71">
        <f>W2251+X2251+Y2251+Z2251+AA2251+AB2251+AC2251</f>
        <v>0</v>
      </c>
      <c r="AE2251" s="72">
        <v>0</v>
      </c>
      <c r="AF2251" s="5"/>
      <c r="AG2251" s="6"/>
      <c r="AH2251" s="27" t="s">
        <v>3392</v>
      </c>
      <c r="AI2251" s="44" t="s">
        <v>3393</v>
      </c>
      <c r="AJ2251" s="26"/>
      <c r="AK2251" s="5"/>
      <c r="AL2251" s="82" t="s">
        <v>5113</v>
      </c>
      <c r="AM2251" s="76"/>
      <c r="AN2251" s="76"/>
      <c r="AO2251" s="76"/>
      <c r="AP2251" s="76"/>
      <c r="AQ2251" s="76"/>
      <c r="AR2251" s="76"/>
      <c r="AS2251" s="76"/>
      <c r="AT2251" s="76"/>
      <c r="AU2251" s="76"/>
      <c r="AV2251" s="76"/>
      <c r="AW2251" s="76"/>
      <c r="AX2251" s="76">
        <f>+AW2251*600000</f>
        <v>0</v>
      </c>
      <c r="AY2251" s="76"/>
      <c r="AZ2251" s="76">
        <f>+AY2251*70000</f>
        <v>0</v>
      </c>
      <c r="BA2251" s="76"/>
      <c r="BB2251" s="76"/>
      <c r="BC2251" s="76"/>
      <c r="BD2251" s="76">
        <f>+BC2251*30000</f>
        <v>0</v>
      </c>
      <c r="BE2251" s="76"/>
      <c r="BF2251" s="76"/>
      <c r="BG2251" s="76"/>
      <c r="BH2251" s="76"/>
      <c r="BI2251" s="76"/>
      <c r="BJ2251" s="76"/>
      <c r="BK2251" s="76"/>
      <c r="BL2251" s="76">
        <f>+BK2251*31500</f>
        <v>0</v>
      </c>
      <c r="BM2251" s="76"/>
      <c r="BN2251" s="76"/>
      <c r="BO2251" s="76"/>
      <c r="BP2251" s="76"/>
      <c r="BQ2251" s="76"/>
      <c r="BR2251" s="76"/>
      <c r="BS2251" s="76"/>
      <c r="BT2251" s="76"/>
      <c r="BU2251" s="76"/>
      <c r="BV2251" s="76"/>
      <c r="BW2251" s="76"/>
      <c r="BX2251" s="76"/>
      <c r="BY2251" s="76"/>
      <c r="BZ2251" s="76"/>
      <c r="CA2251" s="76"/>
      <c r="CB2251" s="76"/>
      <c r="CC2251" s="76"/>
      <c r="CD2251" s="76"/>
      <c r="CE2251" s="76"/>
      <c r="CF2251" s="76">
        <f>+CE2251*28000</f>
        <v>0</v>
      </c>
      <c r="CG2251" s="76"/>
      <c r="CH2251" s="76">
        <f>+CG2251*22500</f>
        <v>0</v>
      </c>
      <c r="CI2251" s="76"/>
      <c r="CJ2251" s="76">
        <f>+CI2251*26000</f>
        <v>0</v>
      </c>
      <c r="CK2251" s="76"/>
      <c r="CL2251" s="76"/>
      <c r="CM2251" s="76"/>
      <c r="CN2251" s="76">
        <f>+CM2251*22000</f>
        <v>0</v>
      </c>
      <c r="CO2251" s="76"/>
      <c r="CP2251" s="76">
        <f>+CO2251*46000</f>
        <v>0</v>
      </c>
      <c r="CQ2251" s="76"/>
      <c r="CR2251" s="76">
        <f>+CQ2251*49000</f>
        <v>0</v>
      </c>
      <c r="CS2251" s="76"/>
      <c r="CT2251" s="76"/>
      <c r="CU2251" s="56">
        <f>AN2251+AP2251+AR2251+AT2251+AV2251+AX2251+AZ2251+BB2251+BD2251+BF2251+BH2251+BJ2251+BL2251+BN2251+BP2251+BR2251+BT2251+BV2251+BX2251+BZ2251+CB2251+CD2251+CF2251+CH2251+CJ2251+CL2251+CN2251+CP2251+CR2251+CT2251</f>
        <v>0</v>
      </c>
      <c r="CV2251" s="76"/>
      <c r="CW2251" s="76">
        <f>+CV2251*1100</f>
        <v>0</v>
      </c>
      <c r="CX2251" s="76"/>
      <c r="CY2251" s="76">
        <f>+CX2251*106250</f>
        <v>0</v>
      </c>
      <c r="CZ2251" s="76"/>
      <c r="DA2251" s="76">
        <f>+CZ2251*34500</f>
        <v>0</v>
      </c>
      <c r="DB2251" s="76"/>
      <c r="DC2251" s="76">
        <f>+DB2251*25000</f>
        <v>0</v>
      </c>
      <c r="DD2251" s="219"/>
      <c r="DE2251" s="219"/>
      <c r="DF2251" s="166"/>
      <c r="DG2251" s="116"/>
      <c r="DH2251" s="117"/>
      <c r="DI2251" s="24"/>
      <c r="DJ2251" s="24"/>
      <c r="DK2251" s="24"/>
      <c r="DL2251" s="24"/>
      <c r="DM2251" s="24"/>
      <c r="DN2251" s="24"/>
      <c r="DO2251" s="24"/>
      <c r="DP2251" s="24"/>
      <c r="DQ2251" s="24"/>
      <c r="DR2251" s="24"/>
      <c r="DS2251" s="24"/>
      <c r="DT2251" s="24"/>
      <c r="DU2251" s="24"/>
    </row>
    <row r="2252" spans="1:125" s="8" customFormat="1" ht="60" x14ac:dyDescent="0.2">
      <c r="A2252" s="226">
        <v>41457</v>
      </c>
      <c r="B2252" s="208" t="s">
        <v>2772</v>
      </c>
      <c r="C2252" s="354" t="s">
        <v>2156</v>
      </c>
      <c r="D2252" s="354" t="s">
        <v>2849</v>
      </c>
      <c r="E2252" s="75" t="str">
        <f>VLOOKUP(B2252&amp;C2252,Divipola!$C$2:$F$1138,4,FALSE)</f>
        <v>25878</v>
      </c>
      <c r="F2252" s="87">
        <v>3</v>
      </c>
      <c r="G2252" s="87">
        <v>8</v>
      </c>
      <c r="H2252" s="87"/>
      <c r="I2252" s="87"/>
      <c r="J2252" s="87"/>
      <c r="K2252" s="87"/>
      <c r="L2252" s="87"/>
      <c r="M2252" s="87"/>
      <c r="N2252" s="87"/>
      <c r="O2252" s="87"/>
      <c r="P2252" s="87"/>
      <c r="Q2252" s="87"/>
      <c r="R2252" s="87"/>
      <c r="S2252" s="87"/>
      <c r="T2252" s="87"/>
      <c r="U2252" s="88"/>
      <c r="V2252" s="89"/>
      <c r="W2252" s="96">
        <v>0</v>
      </c>
      <c r="X2252" s="71">
        <f>CU2252</f>
        <v>0</v>
      </c>
      <c r="Y2252" s="71">
        <f>CY2252</f>
        <v>0</v>
      </c>
      <c r="Z2252" s="71">
        <f>DA2252+DC2252+DE2252</f>
        <v>0</v>
      </c>
      <c r="AA2252" s="71">
        <f>CW2252</f>
        <v>0</v>
      </c>
      <c r="AB2252" s="71"/>
      <c r="AC2252" s="71">
        <v>0</v>
      </c>
      <c r="AD2252" s="71">
        <f>W2252+X2252+Y2252+Z2252+AA2252+AB2252+AC2252</f>
        <v>0</v>
      </c>
      <c r="AE2252" s="72">
        <v>0</v>
      </c>
      <c r="AF2252" s="5"/>
      <c r="AG2252" s="6"/>
      <c r="AH2252" s="27" t="s">
        <v>3392</v>
      </c>
      <c r="AI2252" s="44" t="s">
        <v>3393</v>
      </c>
      <c r="AJ2252" s="26"/>
      <c r="AK2252" s="5"/>
      <c r="AL2252" s="82" t="s">
        <v>5101</v>
      </c>
      <c r="AM2252" s="76"/>
      <c r="AN2252" s="76"/>
      <c r="AO2252" s="76"/>
      <c r="AP2252" s="76"/>
      <c r="AQ2252" s="76"/>
      <c r="AR2252" s="76"/>
      <c r="AS2252" s="76"/>
      <c r="AT2252" s="76"/>
      <c r="AU2252" s="76"/>
      <c r="AV2252" s="76"/>
      <c r="AW2252" s="76"/>
      <c r="AX2252" s="76">
        <f>+AW2252*600000</f>
        <v>0</v>
      </c>
      <c r="AY2252" s="76"/>
      <c r="AZ2252" s="76">
        <f>+AY2252*70000</f>
        <v>0</v>
      </c>
      <c r="BA2252" s="76"/>
      <c r="BB2252" s="76"/>
      <c r="BC2252" s="76"/>
      <c r="BD2252" s="76">
        <f>+BC2252*30000</f>
        <v>0</v>
      </c>
      <c r="BE2252" s="76"/>
      <c r="BF2252" s="76"/>
      <c r="BG2252" s="76"/>
      <c r="BH2252" s="76"/>
      <c r="BI2252" s="76"/>
      <c r="BJ2252" s="76"/>
      <c r="BK2252" s="76"/>
      <c r="BL2252" s="76">
        <f>+BK2252*31500</f>
        <v>0</v>
      </c>
      <c r="BM2252" s="76"/>
      <c r="BN2252" s="76"/>
      <c r="BO2252" s="76"/>
      <c r="BP2252" s="76"/>
      <c r="BQ2252" s="76"/>
      <c r="BR2252" s="76"/>
      <c r="BS2252" s="76"/>
      <c r="BT2252" s="76"/>
      <c r="BU2252" s="76"/>
      <c r="BV2252" s="76"/>
      <c r="BW2252" s="76"/>
      <c r="BX2252" s="76"/>
      <c r="BY2252" s="76"/>
      <c r="BZ2252" s="76"/>
      <c r="CA2252" s="76"/>
      <c r="CB2252" s="76"/>
      <c r="CC2252" s="76"/>
      <c r="CD2252" s="76"/>
      <c r="CE2252" s="76"/>
      <c r="CF2252" s="76">
        <f>+CE2252*28000</f>
        <v>0</v>
      </c>
      <c r="CG2252" s="76"/>
      <c r="CH2252" s="76">
        <f>+CG2252*22500</f>
        <v>0</v>
      </c>
      <c r="CI2252" s="76"/>
      <c r="CJ2252" s="76">
        <f>+CI2252*26000</f>
        <v>0</v>
      </c>
      <c r="CK2252" s="76"/>
      <c r="CL2252" s="76"/>
      <c r="CM2252" s="76"/>
      <c r="CN2252" s="76">
        <f>+CM2252*22000</f>
        <v>0</v>
      </c>
      <c r="CO2252" s="76"/>
      <c r="CP2252" s="76">
        <f>+CO2252*46000</f>
        <v>0</v>
      </c>
      <c r="CQ2252" s="76"/>
      <c r="CR2252" s="76">
        <f>+CQ2252*49000</f>
        <v>0</v>
      </c>
      <c r="CS2252" s="76"/>
      <c r="CT2252" s="76"/>
      <c r="CU2252" s="56">
        <f>AN2252+AP2252+AR2252+AT2252+AV2252+AX2252+AZ2252+BB2252+BD2252+BF2252+BH2252+BJ2252+BL2252+BN2252+BP2252+BR2252+BT2252+BV2252+BX2252+BZ2252+CB2252+CD2252+CF2252+CH2252+CJ2252+CL2252+CN2252+CP2252+CR2252+CT2252</f>
        <v>0</v>
      </c>
      <c r="CV2252" s="76"/>
      <c r="CW2252" s="76">
        <f>+CV2252*1100</f>
        <v>0</v>
      </c>
      <c r="CX2252" s="76"/>
      <c r="CY2252" s="76">
        <f>+CX2252*106250</f>
        <v>0</v>
      </c>
      <c r="CZ2252" s="76"/>
      <c r="DA2252" s="76">
        <f>+CZ2252*34500</f>
        <v>0</v>
      </c>
      <c r="DB2252" s="76"/>
      <c r="DC2252" s="76">
        <f>+DB2252*25000</f>
        <v>0</v>
      </c>
      <c r="DD2252" s="219"/>
      <c r="DE2252" s="219"/>
      <c r="DF2252" s="166"/>
      <c r="DG2252" s="116"/>
      <c r="DH2252" s="117"/>
      <c r="DI2252" s="24"/>
      <c r="DJ2252" s="24"/>
      <c r="DK2252" s="24"/>
      <c r="DL2252" s="24"/>
      <c r="DM2252" s="24"/>
      <c r="DN2252" s="24"/>
      <c r="DO2252" s="24"/>
      <c r="DP2252" s="24"/>
      <c r="DQ2252" s="24"/>
      <c r="DR2252" s="24"/>
      <c r="DS2252" s="24"/>
      <c r="DT2252" s="24"/>
      <c r="DU2252" s="24"/>
    </row>
    <row r="2253" spans="1:125" s="8" customFormat="1" ht="156" x14ac:dyDescent="0.2">
      <c r="A2253" s="226">
        <v>41457</v>
      </c>
      <c r="B2253" s="78" t="s">
        <v>2880</v>
      </c>
      <c r="C2253" s="75" t="s">
        <v>2797</v>
      </c>
      <c r="D2253" s="75" t="s">
        <v>2859</v>
      </c>
      <c r="E2253" s="75" t="str">
        <f>VLOOKUP(B2253&amp;C2253,Divipola!$C$2:$F$1138,4,FALSE)</f>
        <v>54498</v>
      </c>
      <c r="F2253" s="87"/>
      <c r="G2253" s="87"/>
      <c r="H2253" s="87"/>
      <c r="I2253" s="87">
        <v>30</v>
      </c>
      <c r="J2253" s="87">
        <v>6</v>
      </c>
      <c r="K2253" s="87"/>
      <c r="L2253" s="87">
        <v>6</v>
      </c>
      <c r="M2253" s="87"/>
      <c r="N2253" s="87"/>
      <c r="O2253" s="87"/>
      <c r="P2253" s="87"/>
      <c r="Q2253" s="87"/>
      <c r="R2253" s="87"/>
      <c r="S2253" s="87"/>
      <c r="T2253" s="87"/>
      <c r="U2253" s="88"/>
      <c r="V2253" s="89">
        <v>25</v>
      </c>
      <c r="W2253" s="96">
        <v>0</v>
      </c>
      <c r="X2253" s="71">
        <f>CU2253</f>
        <v>0</v>
      </c>
      <c r="Y2253" s="71">
        <f>CY2253</f>
        <v>0</v>
      </c>
      <c r="Z2253" s="71">
        <f>DA2253+DC2253+DE2253</f>
        <v>0</v>
      </c>
      <c r="AA2253" s="71">
        <f>CW2253</f>
        <v>0</v>
      </c>
      <c r="AB2253" s="71"/>
      <c r="AC2253" s="71">
        <v>0</v>
      </c>
      <c r="AD2253" s="71">
        <f>W2253+X2253+Y2253+Z2253+AA2253+AB2253+AC2253</f>
        <v>0</v>
      </c>
      <c r="AE2253" s="72">
        <v>0</v>
      </c>
      <c r="AF2253" s="5"/>
      <c r="AG2253" s="6"/>
      <c r="AH2253" s="27" t="s">
        <v>3392</v>
      </c>
      <c r="AI2253" s="44" t="s">
        <v>3393</v>
      </c>
      <c r="AJ2253" s="26"/>
      <c r="AK2253" s="5"/>
      <c r="AL2253" s="82" t="s">
        <v>5102</v>
      </c>
      <c r="AM2253" s="76"/>
      <c r="AN2253" s="76"/>
      <c r="AO2253" s="76"/>
      <c r="AP2253" s="76"/>
      <c r="AQ2253" s="76"/>
      <c r="AR2253" s="76"/>
      <c r="AS2253" s="76"/>
      <c r="AT2253" s="76"/>
      <c r="AU2253" s="76"/>
      <c r="AV2253" s="76"/>
      <c r="AW2253" s="76"/>
      <c r="AX2253" s="76">
        <f>+AW2253*600000</f>
        <v>0</v>
      </c>
      <c r="AY2253" s="76"/>
      <c r="AZ2253" s="76">
        <f>+AY2253*70000</f>
        <v>0</v>
      </c>
      <c r="BA2253" s="76"/>
      <c r="BB2253" s="76"/>
      <c r="BC2253" s="76"/>
      <c r="BD2253" s="76">
        <f>+BC2253*30000</f>
        <v>0</v>
      </c>
      <c r="BE2253" s="76"/>
      <c r="BF2253" s="76"/>
      <c r="BG2253" s="76"/>
      <c r="BH2253" s="76"/>
      <c r="BI2253" s="76"/>
      <c r="BJ2253" s="76"/>
      <c r="BK2253" s="76"/>
      <c r="BL2253" s="76">
        <f>+BK2253*31500</f>
        <v>0</v>
      </c>
      <c r="BM2253" s="76"/>
      <c r="BN2253" s="76"/>
      <c r="BO2253" s="76"/>
      <c r="BP2253" s="76"/>
      <c r="BQ2253" s="76"/>
      <c r="BR2253" s="76"/>
      <c r="BS2253" s="76"/>
      <c r="BT2253" s="76"/>
      <c r="BU2253" s="76"/>
      <c r="BV2253" s="76"/>
      <c r="BW2253" s="76"/>
      <c r="BX2253" s="76"/>
      <c r="BY2253" s="76"/>
      <c r="BZ2253" s="76"/>
      <c r="CA2253" s="76"/>
      <c r="CB2253" s="76"/>
      <c r="CC2253" s="76"/>
      <c r="CD2253" s="76"/>
      <c r="CE2253" s="76"/>
      <c r="CF2253" s="76">
        <f>+CE2253*28000</f>
        <v>0</v>
      </c>
      <c r="CG2253" s="76"/>
      <c r="CH2253" s="76">
        <f>+CG2253*22500</f>
        <v>0</v>
      </c>
      <c r="CI2253" s="76"/>
      <c r="CJ2253" s="76">
        <f>+CI2253*26000</f>
        <v>0</v>
      </c>
      <c r="CK2253" s="76"/>
      <c r="CL2253" s="76"/>
      <c r="CM2253" s="76"/>
      <c r="CN2253" s="76">
        <f>+CM2253*22000</f>
        <v>0</v>
      </c>
      <c r="CO2253" s="76"/>
      <c r="CP2253" s="76">
        <f>+CO2253*46000</f>
        <v>0</v>
      </c>
      <c r="CQ2253" s="76"/>
      <c r="CR2253" s="76">
        <f>+CQ2253*49000</f>
        <v>0</v>
      </c>
      <c r="CS2253" s="76"/>
      <c r="CT2253" s="76"/>
      <c r="CU2253" s="56">
        <f>AN2253+AP2253+AR2253+AT2253+AV2253+AX2253+AZ2253+BB2253+BD2253+BF2253+BH2253+BJ2253+BL2253+BN2253+BP2253+BR2253+BT2253+BV2253+BX2253+BZ2253+CB2253+CD2253+CF2253+CH2253+CJ2253+CL2253+CN2253+CP2253+CR2253+CT2253</f>
        <v>0</v>
      </c>
      <c r="CV2253" s="76"/>
      <c r="CW2253" s="76">
        <f>+CV2253*1100</f>
        <v>0</v>
      </c>
      <c r="CX2253" s="76"/>
      <c r="CY2253" s="76">
        <f>+CX2253*106250</f>
        <v>0</v>
      </c>
      <c r="CZ2253" s="76"/>
      <c r="DA2253" s="76">
        <f>+CZ2253*34500</f>
        <v>0</v>
      </c>
      <c r="DB2253" s="76"/>
      <c r="DC2253" s="76">
        <f>+DB2253*25000</f>
        <v>0</v>
      </c>
      <c r="DD2253" s="219"/>
      <c r="DE2253" s="219"/>
      <c r="DF2253" s="166"/>
      <c r="DG2253" s="116"/>
      <c r="DH2253" s="117"/>
      <c r="DI2253" s="24"/>
      <c r="DJ2253" s="24"/>
      <c r="DK2253" s="24"/>
      <c r="DL2253" s="24"/>
      <c r="DM2253" s="24"/>
      <c r="DN2253" s="24"/>
      <c r="DO2253" s="24"/>
      <c r="DP2253" s="24"/>
      <c r="DQ2253" s="24"/>
      <c r="DR2253" s="24"/>
      <c r="DS2253" s="24"/>
      <c r="DT2253" s="24"/>
      <c r="DU2253" s="24"/>
    </row>
    <row r="2254" spans="1:125" s="8" customFormat="1" ht="36" x14ac:dyDescent="0.2">
      <c r="A2254" s="353">
        <v>41457</v>
      </c>
      <c r="B2254" s="352" t="s">
        <v>2860</v>
      </c>
      <c r="C2254" s="354" t="s">
        <v>2078</v>
      </c>
      <c r="D2254" s="354" t="s">
        <v>2882</v>
      </c>
      <c r="E2254" s="75" t="str">
        <f>VLOOKUP(B2254&amp;C2254,Divipola!$C$2:$F$1138,4,FALSE)</f>
        <v>63190</v>
      </c>
      <c r="F2254" s="87"/>
      <c r="G2254" s="87"/>
      <c r="H2254" s="87"/>
      <c r="I2254" s="87">
        <v>10</v>
      </c>
      <c r="J2254" s="87">
        <v>2</v>
      </c>
      <c r="K2254" s="87"/>
      <c r="L2254" s="87">
        <v>2</v>
      </c>
      <c r="M2254" s="87"/>
      <c r="N2254" s="87"/>
      <c r="O2254" s="87"/>
      <c r="P2254" s="87"/>
      <c r="Q2254" s="87"/>
      <c r="R2254" s="87"/>
      <c r="S2254" s="87"/>
      <c r="T2254" s="87"/>
      <c r="U2254" s="88"/>
      <c r="V2254" s="89"/>
      <c r="W2254" s="96">
        <v>0</v>
      </c>
      <c r="X2254" s="71">
        <f>CU2254</f>
        <v>0</v>
      </c>
      <c r="Y2254" s="71">
        <f>CY2254</f>
        <v>0</v>
      </c>
      <c r="Z2254" s="71">
        <f>DA2254+DC2254+DE2254</f>
        <v>0</v>
      </c>
      <c r="AA2254" s="71">
        <f>CW2254</f>
        <v>0</v>
      </c>
      <c r="AB2254" s="71"/>
      <c r="AC2254" s="71">
        <v>0</v>
      </c>
      <c r="AD2254" s="71">
        <f>W2254+X2254+Y2254+Z2254+AA2254+AB2254+AC2254</f>
        <v>0</v>
      </c>
      <c r="AE2254" s="72">
        <v>0</v>
      </c>
      <c r="AF2254" s="5"/>
      <c r="AG2254" s="6"/>
      <c r="AH2254" s="27" t="s">
        <v>3392</v>
      </c>
      <c r="AI2254" s="44" t="s">
        <v>3393</v>
      </c>
      <c r="AJ2254" s="26"/>
      <c r="AK2254" s="5"/>
      <c r="AL2254" s="82" t="s">
        <v>5109</v>
      </c>
      <c r="AM2254" s="76"/>
      <c r="AN2254" s="76"/>
      <c r="AO2254" s="76"/>
      <c r="AP2254" s="76"/>
      <c r="AQ2254" s="76"/>
      <c r="AR2254" s="76"/>
      <c r="AS2254" s="76"/>
      <c r="AT2254" s="76"/>
      <c r="AU2254" s="76"/>
      <c r="AV2254" s="76"/>
      <c r="AW2254" s="76"/>
      <c r="AX2254" s="76">
        <f>+AW2254*600000</f>
        <v>0</v>
      </c>
      <c r="AY2254" s="76"/>
      <c r="AZ2254" s="76">
        <f>+AY2254*70000</f>
        <v>0</v>
      </c>
      <c r="BA2254" s="76"/>
      <c r="BB2254" s="76"/>
      <c r="BC2254" s="76"/>
      <c r="BD2254" s="76">
        <f>+BC2254*30000</f>
        <v>0</v>
      </c>
      <c r="BE2254" s="76"/>
      <c r="BF2254" s="76"/>
      <c r="BG2254" s="76"/>
      <c r="BH2254" s="76"/>
      <c r="BI2254" s="76"/>
      <c r="BJ2254" s="76"/>
      <c r="BK2254" s="76"/>
      <c r="BL2254" s="76">
        <f>+BK2254*31500</f>
        <v>0</v>
      </c>
      <c r="BM2254" s="76"/>
      <c r="BN2254" s="76"/>
      <c r="BO2254" s="76"/>
      <c r="BP2254" s="76"/>
      <c r="BQ2254" s="76"/>
      <c r="BR2254" s="76"/>
      <c r="BS2254" s="76"/>
      <c r="BT2254" s="76"/>
      <c r="BU2254" s="76"/>
      <c r="BV2254" s="76"/>
      <c r="BW2254" s="76"/>
      <c r="BX2254" s="76"/>
      <c r="BY2254" s="76"/>
      <c r="BZ2254" s="76"/>
      <c r="CA2254" s="76"/>
      <c r="CB2254" s="76"/>
      <c r="CC2254" s="76"/>
      <c r="CD2254" s="76"/>
      <c r="CE2254" s="76"/>
      <c r="CF2254" s="76">
        <f>+CE2254*28000</f>
        <v>0</v>
      </c>
      <c r="CG2254" s="76"/>
      <c r="CH2254" s="76">
        <f>+CG2254*22500</f>
        <v>0</v>
      </c>
      <c r="CI2254" s="76"/>
      <c r="CJ2254" s="76">
        <f>+CI2254*26000</f>
        <v>0</v>
      </c>
      <c r="CK2254" s="76"/>
      <c r="CL2254" s="76"/>
      <c r="CM2254" s="76"/>
      <c r="CN2254" s="76">
        <f>+CM2254*22000</f>
        <v>0</v>
      </c>
      <c r="CO2254" s="76"/>
      <c r="CP2254" s="76">
        <f>+CO2254*46000</f>
        <v>0</v>
      </c>
      <c r="CQ2254" s="76"/>
      <c r="CR2254" s="76">
        <f>+CQ2254*49000</f>
        <v>0</v>
      </c>
      <c r="CS2254" s="76"/>
      <c r="CT2254" s="76"/>
      <c r="CU2254" s="56">
        <f>AN2254+AP2254+AR2254+AT2254+AV2254+AX2254+AZ2254+BB2254+BD2254+BF2254+BH2254+BJ2254+BL2254+BN2254+BP2254+BR2254+BT2254+BV2254+BX2254+BZ2254+CB2254+CD2254+CF2254+CH2254+CJ2254+CL2254+CN2254+CP2254+CR2254+CT2254</f>
        <v>0</v>
      </c>
      <c r="CV2254" s="76"/>
      <c r="CW2254" s="76">
        <f>+CV2254*1100</f>
        <v>0</v>
      </c>
      <c r="CX2254" s="76"/>
      <c r="CY2254" s="76">
        <f>+CX2254*106250</f>
        <v>0</v>
      </c>
      <c r="CZ2254" s="76"/>
      <c r="DA2254" s="76">
        <f>+CZ2254*34500</f>
        <v>0</v>
      </c>
      <c r="DB2254" s="76"/>
      <c r="DC2254" s="76">
        <f>+DB2254*25000</f>
        <v>0</v>
      </c>
      <c r="DD2254" s="219"/>
      <c r="DE2254" s="219"/>
      <c r="DF2254" s="166"/>
      <c r="DG2254" s="116"/>
      <c r="DH2254" s="117"/>
      <c r="DI2254" s="24"/>
      <c r="DJ2254" s="24"/>
      <c r="DK2254" s="24"/>
      <c r="DL2254" s="24"/>
      <c r="DM2254" s="24"/>
      <c r="DN2254" s="24"/>
      <c r="DO2254" s="24"/>
      <c r="DP2254" s="24"/>
      <c r="DQ2254" s="24"/>
      <c r="DR2254" s="24"/>
      <c r="DS2254" s="24"/>
      <c r="DT2254" s="24"/>
      <c r="DU2254" s="24"/>
    </row>
    <row r="2255" spans="1:125" s="8" customFormat="1" ht="84" x14ac:dyDescent="0.2">
      <c r="A2255" s="226">
        <v>41457</v>
      </c>
      <c r="B2255" s="352" t="s">
        <v>2847</v>
      </c>
      <c r="C2255" s="354" t="s">
        <v>2814</v>
      </c>
      <c r="D2255" s="354" t="s">
        <v>2846</v>
      </c>
      <c r="E2255" s="75" t="str">
        <f>VLOOKUP(B2255&amp;C2255,Divipola!$C$2:$F$1138,4,FALSE)</f>
        <v>68307</v>
      </c>
      <c r="F2255" s="87"/>
      <c r="G2255" s="87"/>
      <c r="H2255" s="87"/>
      <c r="I2255" s="87"/>
      <c r="J2255" s="87"/>
      <c r="K2255" s="87"/>
      <c r="L2255" s="87"/>
      <c r="M2255" s="87"/>
      <c r="N2255" s="87"/>
      <c r="O2255" s="87"/>
      <c r="P2255" s="87"/>
      <c r="Q2255" s="87"/>
      <c r="R2255" s="87"/>
      <c r="S2255" s="87"/>
      <c r="T2255" s="87"/>
      <c r="U2255" s="88">
        <v>1</v>
      </c>
      <c r="V2255" s="89"/>
      <c r="W2255" s="96">
        <v>0</v>
      </c>
      <c r="X2255" s="71">
        <f>CU2255</f>
        <v>0</v>
      </c>
      <c r="Y2255" s="71">
        <f>CY2255</f>
        <v>0</v>
      </c>
      <c r="Z2255" s="71">
        <f>DA2255+DC2255+DE2255</f>
        <v>0</v>
      </c>
      <c r="AA2255" s="71">
        <f>CW2255</f>
        <v>0</v>
      </c>
      <c r="AB2255" s="71"/>
      <c r="AC2255" s="71">
        <v>0</v>
      </c>
      <c r="AD2255" s="71">
        <f>W2255+X2255+Y2255+Z2255+AA2255+AB2255+AC2255</f>
        <v>0</v>
      </c>
      <c r="AE2255" s="72">
        <v>0</v>
      </c>
      <c r="AF2255" s="5"/>
      <c r="AG2255" s="6"/>
      <c r="AH2255" s="27" t="s">
        <v>3392</v>
      </c>
      <c r="AI2255" s="44" t="s">
        <v>3393</v>
      </c>
      <c r="AJ2255" s="26"/>
      <c r="AK2255" s="5"/>
      <c r="AL2255" s="82" t="s">
        <v>5112</v>
      </c>
      <c r="AM2255" s="76"/>
      <c r="AN2255" s="76"/>
      <c r="AO2255" s="76"/>
      <c r="AP2255" s="76"/>
      <c r="AQ2255" s="76"/>
      <c r="AR2255" s="76"/>
      <c r="AS2255" s="76"/>
      <c r="AT2255" s="76"/>
      <c r="AU2255" s="76"/>
      <c r="AV2255" s="76"/>
      <c r="AW2255" s="76"/>
      <c r="AX2255" s="76">
        <f>+AW2255*600000</f>
        <v>0</v>
      </c>
      <c r="AY2255" s="76"/>
      <c r="AZ2255" s="76">
        <f>+AY2255*70000</f>
        <v>0</v>
      </c>
      <c r="BA2255" s="76"/>
      <c r="BB2255" s="76"/>
      <c r="BC2255" s="76"/>
      <c r="BD2255" s="76">
        <f>+BC2255*30000</f>
        <v>0</v>
      </c>
      <c r="BE2255" s="76"/>
      <c r="BF2255" s="76"/>
      <c r="BG2255" s="76"/>
      <c r="BH2255" s="76"/>
      <c r="BI2255" s="76"/>
      <c r="BJ2255" s="76"/>
      <c r="BK2255" s="76"/>
      <c r="BL2255" s="76">
        <f>+BK2255*31500</f>
        <v>0</v>
      </c>
      <c r="BM2255" s="76"/>
      <c r="BN2255" s="76"/>
      <c r="BO2255" s="76"/>
      <c r="BP2255" s="76"/>
      <c r="BQ2255" s="76"/>
      <c r="BR2255" s="76"/>
      <c r="BS2255" s="76"/>
      <c r="BT2255" s="76"/>
      <c r="BU2255" s="76"/>
      <c r="BV2255" s="76"/>
      <c r="BW2255" s="76"/>
      <c r="BX2255" s="76"/>
      <c r="BY2255" s="76"/>
      <c r="BZ2255" s="76"/>
      <c r="CA2255" s="76"/>
      <c r="CB2255" s="76"/>
      <c r="CC2255" s="76"/>
      <c r="CD2255" s="76"/>
      <c r="CE2255" s="76"/>
      <c r="CF2255" s="76">
        <f>+CE2255*28000</f>
        <v>0</v>
      </c>
      <c r="CG2255" s="76"/>
      <c r="CH2255" s="76">
        <f>+CG2255*22500</f>
        <v>0</v>
      </c>
      <c r="CI2255" s="76"/>
      <c r="CJ2255" s="76">
        <f>+CI2255*26000</f>
        <v>0</v>
      </c>
      <c r="CK2255" s="76"/>
      <c r="CL2255" s="76"/>
      <c r="CM2255" s="76"/>
      <c r="CN2255" s="76">
        <f>+CM2255*22000</f>
        <v>0</v>
      </c>
      <c r="CO2255" s="76"/>
      <c r="CP2255" s="76">
        <f>+CO2255*46000</f>
        <v>0</v>
      </c>
      <c r="CQ2255" s="76"/>
      <c r="CR2255" s="76">
        <f>+CQ2255*49000</f>
        <v>0</v>
      </c>
      <c r="CS2255" s="76"/>
      <c r="CT2255" s="76"/>
      <c r="CU2255" s="56">
        <f>AN2255+AP2255+AR2255+AT2255+AV2255+AX2255+AZ2255+BB2255+BD2255+BF2255+BH2255+BJ2255+BL2255+BN2255+BP2255+BR2255+BT2255+BV2255+BX2255+BZ2255+CB2255+CD2255+CF2255+CH2255+CJ2255+CL2255+CN2255+CP2255+CR2255+CT2255</f>
        <v>0</v>
      </c>
      <c r="CV2255" s="76"/>
      <c r="CW2255" s="76">
        <f>+CV2255*1100</f>
        <v>0</v>
      </c>
      <c r="CX2255" s="76"/>
      <c r="CY2255" s="76">
        <f>+CX2255*106250</f>
        <v>0</v>
      </c>
      <c r="CZ2255" s="76"/>
      <c r="DA2255" s="76">
        <f>+CZ2255*34500</f>
        <v>0</v>
      </c>
      <c r="DB2255" s="76"/>
      <c r="DC2255" s="76">
        <f>+DB2255*25000</f>
        <v>0</v>
      </c>
      <c r="DD2255" s="219"/>
      <c r="DE2255" s="219"/>
      <c r="DF2255" s="166"/>
      <c r="DG2255" s="116"/>
      <c r="DH2255" s="117"/>
      <c r="DI2255" s="24"/>
      <c r="DJ2255" s="24"/>
      <c r="DK2255" s="24"/>
      <c r="DL2255" s="24"/>
      <c r="DM2255" s="24"/>
      <c r="DN2255" s="24"/>
      <c r="DO2255" s="24"/>
      <c r="DP2255" s="24"/>
      <c r="DQ2255" s="24"/>
      <c r="DR2255" s="24"/>
      <c r="DS2255" s="24"/>
      <c r="DT2255" s="24"/>
      <c r="DU2255" s="24"/>
    </row>
    <row r="2256" spans="1:125" s="8" customFormat="1" ht="72" x14ac:dyDescent="0.2">
      <c r="A2256" s="226">
        <v>41457</v>
      </c>
      <c r="B2256" s="60" t="s">
        <v>2848</v>
      </c>
      <c r="C2256" s="55" t="s">
        <v>2755</v>
      </c>
      <c r="D2256" s="55" t="s">
        <v>3088</v>
      </c>
      <c r="E2256" s="75" t="str">
        <f>VLOOKUP(B2256&amp;C2256,Divipola!$C$2:$F$1138,4,FALSE)</f>
        <v>73001</v>
      </c>
      <c r="F2256" s="87"/>
      <c r="G2256" s="87"/>
      <c r="H2256" s="87"/>
      <c r="I2256" s="87">
        <v>5</v>
      </c>
      <c r="J2256" s="87">
        <v>1</v>
      </c>
      <c r="K2256" s="87">
        <v>1</v>
      </c>
      <c r="L2256" s="87"/>
      <c r="M2256" s="87"/>
      <c r="N2256" s="87"/>
      <c r="O2256" s="87"/>
      <c r="P2256" s="87"/>
      <c r="Q2256" s="87"/>
      <c r="R2256" s="87"/>
      <c r="S2256" s="87"/>
      <c r="T2256" s="87"/>
      <c r="U2256" s="88"/>
      <c r="V2256" s="89"/>
      <c r="W2256" s="96">
        <v>0</v>
      </c>
      <c r="X2256" s="71">
        <f>CU2256</f>
        <v>0</v>
      </c>
      <c r="Y2256" s="71">
        <f>CY2256</f>
        <v>0</v>
      </c>
      <c r="Z2256" s="71">
        <f>DA2256+DC2256+DE2256</f>
        <v>0</v>
      </c>
      <c r="AA2256" s="71">
        <f>CW2256</f>
        <v>0</v>
      </c>
      <c r="AB2256" s="71"/>
      <c r="AC2256" s="71">
        <v>0</v>
      </c>
      <c r="AD2256" s="71">
        <f>W2256+X2256+Y2256+Z2256+AA2256+AB2256+AC2256</f>
        <v>0</v>
      </c>
      <c r="AE2256" s="72">
        <v>0</v>
      </c>
      <c r="AF2256" s="5"/>
      <c r="AG2256" s="6"/>
      <c r="AH2256" s="27" t="s">
        <v>3392</v>
      </c>
      <c r="AI2256" s="44" t="s">
        <v>3393</v>
      </c>
      <c r="AJ2256" s="26"/>
      <c r="AK2256" s="5"/>
      <c r="AL2256" s="82" t="s">
        <v>5110</v>
      </c>
      <c r="AM2256" s="76"/>
      <c r="AN2256" s="76"/>
      <c r="AO2256" s="76"/>
      <c r="AP2256" s="76"/>
      <c r="AQ2256" s="76"/>
      <c r="AR2256" s="76"/>
      <c r="AS2256" s="76"/>
      <c r="AT2256" s="76"/>
      <c r="AU2256" s="76"/>
      <c r="AV2256" s="76"/>
      <c r="AW2256" s="76"/>
      <c r="AX2256" s="76">
        <f>+AW2256*600000</f>
        <v>0</v>
      </c>
      <c r="AY2256" s="76"/>
      <c r="AZ2256" s="76">
        <f>+AY2256*70000</f>
        <v>0</v>
      </c>
      <c r="BA2256" s="76"/>
      <c r="BB2256" s="76"/>
      <c r="BC2256" s="76"/>
      <c r="BD2256" s="76">
        <f>+BC2256*30000</f>
        <v>0</v>
      </c>
      <c r="BE2256" s="76"/>
      <c r="BF2256" s="76"/>
      <c r="BG2256" s="76"/>
      <c r="BH2256" s="76"/>
      <c r="BI2256" s="76"/>
      <c r="BJ2256" s="76"/>
      <c r="BK2256" s="76"/>
      <c r="BL2256" s="76">
        <f>+BK2256*31500</f>
        <v>0</v>
      </c>
      <c r="BM2256" s="76"/>
      <c r="BN2256" s="76"/>
      <c r="BO2256" s="76"/>
      <c r="BP2256" s="76"/>
      <c r="BQ2256" s="76"/>
      <c r="BR2256" s="76"/>
      <c r="BS2256" s="76"/>
      <c r="BT2256" s="76"/>
      <c r="BU2256" s="76"/>
      <c r="BV2256" s="76"/>
      <c r="BW2256" s="76"/>
      <c r="BX2256" s="76"/>
      <c r="BY2256" s="76"/>
      <c r="BZ2256" s="76"/>
      <c r="CA2256" s="76"/>
      <c r="CB2256" s="76"/>
      <c r="CC2256" s="76"/>
      <c r="CD2256" s="76"/>
      <c r="CE2256" s="76"/>
      <c r="CF2256" s="76">
        <f>+CE2256*28000</f>
        <v>0</v>
      </c>
      <c r="CG2256" s="76"/>
      <c r="CH2256" s="76">
        <f>+CG2256*22500</f>
        <v>0</v>
      </c>
      <c r="CI2256" s="76"/>
      <c r="CJ2256" s="76">
        <f>+CI2256*26000</f>
        <v>0</v>
      </c>
      <c r="CK2256" s="76"/>
      <c r="CL2256" s="76"/>
      <c r="CM2256" s="76"/>
      <c r="CN2256" s="76">
        <f>+CM2256*22000</f>
        <v>0</v>
      </c>
      <c r="CO2256" s="76"/>
      <c r="CP2256" s="76">
        <f>+CO2256*46000</f>
        <v>0</v>
      </c>
      <c r="CQ2256" s="76"/>
      <c r="CR2256" s="76">
        <f>+CQ2256*49000</f>
        <v>0</v>
      </c>
      <c r="CS2256" s="76"/>
      <c r="CT2256" s="76"/>
      <c r="CU2256" s="56">
        <f>AN2256+AP2256+AR2256+AT2256+AV2256+AX2256+AZ2256+BB2256+BD2256+BF2256+BH2256+BJ2256+BL2256+BN2256+BP2256+BR2256+BT2256+BV2256+BX2256+BZ2256+CB2256+CD2256+CF2256+CH2256+CJ2256+CL2256+CN2256+CP2256+CR2256+CT2256</f>
        <v>0</v>
      </c>
      <c r="CV2256" s="76"/>
      <c r="CW2256" s="76">
        <f>+CV2256*1100</f>
        <v>0</v>
      </c>
      <c r="CX2256" s="76"/>
      <c r="CY2256" s="76">
        <f>+CX2256*106250</f>
        <v>0</v>
      </c>
      <c r="CZ2256" s="76"/>
      <c r="DA2256" s="76">
        <f>+CZ2256*34500</f>
        <v>0</v>
      </c>
      <c r="DB2256" s="76"/>
      <c r="DC2256" s="76">
        <f>+DB2256*25000</f>
        <v>0</v>
      </c>
      <c r="DD2256" s="219"/>
      <c r="DE2256" s="219"/>
      <c r="DF2256" s="166"/>
      <c r="DG2256" s="116"/>
      <c r="DH2256" s="117"/>
      <c r="DI2256" s="24"/>
      <c r="DJ2256" s="24"/>
      <c r="DK2256" s="24"/>
      <c r="DL2256" s="24"/>
      <c r="DM2256" s="24"/>
      <c r="DN2256" s="24"/>
      <c r="DO2256" s="24"/>
      <c r="DP2256" s="24"/>
      <c r="DQ2256" s="24"/>
      <c r="DR2256" s="24"/>
      <c r="DS2256" s="24"/>
      <c r="DT2256" s="24"/>
      <c r="DU2256" s="24"/>
    </row>
    <row r="2257" spans="1:125" s="8" customFormat="1" ht="72" x14ac:dyDescent="0.2">
      <c r="A2257" s="226">
        <v>41457</v>
      </c>
      <c r="B2257" s="225" t="s">
        <v>2848</v>
      </c>
      <c r="C2257" s="227" t="s">
        <v>2034</v>
      </c>
      <c r="D2257" s="227" t="s">
        <v>2849</v>
      </c>
      <c r="E2257" s="75" t="str">
        <f>VLOOKUP(B2257&amp;C2257,Divipola!$C$2:$F$1138,4,FALSE)</f>
        <v>73449</v>
      </c>
      <c r="F2257" s="87">
        <v>4</v>
      </c>
      <c r="G2257" s="87">
        <v>1</v>
      </c>
      <c r="H2257" s="87"/>
      <c r="I2257" s="87">
        <v>5</v>
      </c>
      <c r="J2257" s="87"/>
      <c r="K2257" s="87"/>
      <c r="L2257" s="87"/>
      <c r="M2257" s="87"/>
      <c r="N2257" s="87"/>
      <c r="O2257" s="87"/>
      <c r="P2257" s="87"/>
      <c r="Q2257" s="87"/>
      <c r="R2257" s="87"/>
      <c r="S2257" s="87"/>
      <c r="T2257" s="87"/>
      <c r="U2257" s="88"/>
      <c r="V2257" s="89"/>
      <c r="W2257" s="96">
        <v>0</v>
      </c>
      <c r="X2257" s="71">
        <f>CU2257</f>
        <v>0</v>
      </c>
      <c r="Y2257" s="71">
        <f>CY2257</f>
        <v>0</v>
      </c>
      <c r="Z2257" s="71">
        <f>DA2257+DC2257+DE2257</f>
        <v>0</v>
      </c>
      <c r="AA2257" s="71">
        <f>CW2257</f>
        <v>0</v>
      </c>
      <c r="AB2257" s="71"/>
      <c r="AC2257" s="71">
        <v>0</v>
      </c>
      <c r="AD2257" s="71">
        <f>W2257+X2257+Y2257+Z2257+AA2257+AB2257+AC2257</f>
        <v>0</v>
      </c>
      <c r="AE2257" s="72">
        <v>0</v>
      </c>
      <c r="AF2257" s="5"/>
      <c r="AG2257" s="6"/>
      <c r="AH2257" s="27" t="s">
        <v>3392</v>
      </c>
      <c r="AI2257" s="44" t="s">
        <v>3393</v>
      </c>
      <c r="AJ2257" s="26"/>
      <c r="AK2257" s="5"/>
      <c r="AL2257" s="82" t="s">
        <v>5097</v>
      </c>
      <c r="AM2257" s="76"/>
      <c r="AN2257" s="76"/>
      <c r="AO2257" s="76"/>
      <c r="AP2257" s="76"/>
      <c r="AQ2257" s="76"/>
      <c r="AR2257" s="76"/>
      <c r="AS2257" s="76"/>
      <c r="AT2257" s="76"/>
      <c r="AU2257" s="76"/>
      <c r="AV2257" s="76"/>
      <c r="AW2257" s="76"/>
      <c r="AX2257" s="76">
        <f>+AW2257*600000</f>
        <v>0</v>
      </c>
      <c r="AY2257" s="76"/>
      <c r="AZ2257" s="76">
        <f>+AY2257*70000</f>
        <v>0</v>
      </c>
      <c r="BA2257" s="76"/>
      <c r="BB2257" s="76"/>
      <c r="BC2257" s="76"/>
      <c r="BD2257" s="76">
        <f>+BC2257*30000</f>
        <v>0</v>
      </c>
      <c r="BE2257" s="76"/>
      <c r="BF2257" s="76"/>
      <c r="BG2257" s="76"/>
      <c r="BH2257" s="76"/>
      <c r="BI2257" s="76"/>
      <c r="BJ2257" s="76"/>
      <c r="BK2257" s="76"/>
      <c r="BL2257" s="76">
        <f>+BK2257*31500</f>
        <v>0</v>
      </c>
      <c r="BM2257" s="76"/>
      <c r="BN2257" s="76"/>
      <c r="BO2257" s="76"/>
      <c r="BP2257" s="76"/>
      <c r="BQ2257" s="76"/>
      <c r="BR2257" s="76"/>
      <c r="BS2257" s="76"/>
      <c r="BT2257" s="76"/>
      <c r="BU2257" s="76"/>
      <c r="BV2257" s="76"/>
      <c r="BW2257" s="76"/>
      <c r="BX2257" s="76"/>
      <c r="BY2257" s="76"/>
      <c r="BZ2257" s="76"/>
      <c r="CA2257" s="76"/>
      <c r="CB2257" s="76"/>
      <c r="CC2257" s="76"/>
      <c r="CD2257" s="76"/>
      <c r="CE2257" s="76"/>
      <c r="CF2257" s="76">
        <f>+CE2257*28000</f>
        <v>0</v>
      </c>
      <c r="CG2257" s="76"/>
      <c r="CH2257" s="76">
        <f>+CG2257*22500</f>
        <v>0</v>
      </c>
      <c r="CI2257" s="76"/>
      <c r="CJ2257" s="76">
        <f>+CI2257*26000</f>
        <v>0</v>
      </c>
      <c r="CK2257" s="76"/>
      <c r="CL2257" s="76"/>
      <c r="CM2257" s="76"/>
      <c r="CN2257" s="76">
        <f>+CM2257*22000</f>
        <v>0</v>
      </c>
      <c r="CO2257" s="76"/>
      <c r="CP2257" s="76">
        <f>+CO2257*46000</f>
        <v>0</v>
      </c>
      <c r="CQ2257" s="76"/>
      <c r="CR2257" s="76">
        <f>+CQ2257*49000</f>
        <v>0</v>
      </c>
      <c r="CS2257" s="76"/>
      <c r="CT2257" s="76"/>
      <c r="CU2257" s="56">
        <f>AN2257+AP2257+AR2257+AT2257+AV2257+AX2257+AZ2257+BB2257+BD2257+BF2257+BH2257+BJ2257+BL2257+BN2257+BP2257+BR2257+BT2257+BV2257+BX2257+BZ2257+CB2257+CD2257+CF2257+CH2257+CJ2257+CL2257+CN2257+CP2257+CR2257+CT2257</f>
        <v>0</v>
      </c>
      <c r="CV2257" s="76"/>
      <c r="CW2257" s="76">
        <f>+CV2257*1100</f>
        <v>0</v>
      </c>
      <c r="CX2257" s="76"/>
      <c r="CY2257" s="76">
        <f>+CX2257*106250</f>
        <v>0</v>
      </c>
      <c r="CZ2257" s="76"/>
      <c r="DA2257" s="76">
        <f>+CZ2257*34500</f>
        <v>0</v>
      </c>
      <c r="DB2257" s="76"/>
      <c r="DC2257" s="76">
        <f>+DB2257*25000</f>
        <v>0</v>
      </c>
      <c r="DD2257" s="219"/>
      <c r="DE2257" s="219"/>
      <c r="DF2257" s="166"/>
      <c r="DG2257" s="116"/>
      <c r="DH2257" s="117"/>
      <c r="DI2257" s="24"/>
      <c r="DJ2257" s="24"/>
      <c r="DK2257" s="24"/>
      <c r="DL2257" s="24"/>
      <c r="DM2257" s="24"/>
      <c r="DN2257" s="24"/>
      <c r="DO2257" s="24"/>
      <c r="DP2257" s="24"/>
      <c r="DQ2257" s="24"/>
      <c r="DR2257" s="24"/>
      <c r="DS2257" s="24"/>
      <c r="DT2257" s="24"/>
      <c r="DU2257" s="24"/>
    </row>
    <row r="2258" spans="1:125" s="8" customFormat="1" ht="60" x14ac:dyDescent="0.2">
      <c r="A2258" s="353">
        <v>41457</v>
      </c>
      <c r="B2258" s="352" t="s">
        <v>2848</v>
      </c>
      <c r="C2258" s="354" t="s">
        <v>1383</v>
      </c>
      <c r="D2258" s="354" t="s">
        <v>2849</v>
      </c>
      <c r="E2258" s="75" t="str">
        <f>VLOOKUP(B2258&amp;C2258,Divipola!$C$2:$F$1138,4,FALSE)</f>
        <v>73483</v>
      </c>
      <c r="F2258" s="87">
        <v>1</v>
      </c>
      <c r="G2258" s="87">
        <v>16</v>
      </c>
      <c r="H2258" s="87"/>
      <c r="I2258" s="87">
        <v>17</v>
      </c>
      <c r="J2258" s="87"/>
      <c r="K2258" s="87"/>
      <c r="L2258" s="87"/>
      <c r="M2258" s="87"/>
      <c r="N2258" s="87"/>
      <c r="O2258" s="87"/>
      <c r="P2258" s="87"/>
      <c r="Q2258" s="87"/>
      <c r="R2258" s="87"/>
      <c r="S2258" s="87"/>
      <c r="T2258" s="87"/>
      <c r="U2258" s="88"/>
      <c r="V2258" s="89"/>
      <c r="W2258" s="96">
        <v>0</v>
      </c>
      <c r="X2258" s="71">
        <f>CU2258</f>
        <v>0</v>
      </c>
      <c r="Y2258" s="71">
        <f>CY2258</f>
        <v>0</v>
      </c>
      <c r="Z2258" s="71">
        <f>DA2258+DC2258+DE2258</f>
        <v>0</v>
      </c>
      <c r="AA2258" s="71">
        <f>CW2258</f>
        <v>0</v>
      </c>
      <c r="AB2258" s="71"/>
      <c r="AC2258" s="71">
        <v>0</v>
      </c>
      <c r="AD2258" s="71">
        <f>W2258+X2258+Y2258+Z2258+AA2258+AB2258+AC2258</f>
        <v>0</v>
      </c>
      <c r="AE2258" s="72">
        <v>0</v>
      </c>
      <c r="AF2258" s="5"/>
      <c r="AG2258" s="6"/>
      <c r="AH2258" s="27" t="s">
        <v>3392</v>
      </c>
      <c r="AI2258" s="44" t="s">
        <v>3393</v>
      </c>
      <c r="AJ2258" s="26"/>
      <c r="AK2258" s="5"/>
      <c r="AL2258" s="82" t="s">
        <v>5111</v>
      </c>
      <c r="AM2258" s="76"/>
      <c r="AN2258" s="76"/>
      <c r="AO2258" s="76"/>
      <c r="AP2258" s="76"/>
      <c r="AQ2258" s="76"/>
      <c r="AR2258" s="76"/>
      <c r="AS2258" s="76"/>
      <c r="AT2258" s="76"/>
      <c r="AU2258" s="76"/>
      <c r="AV2258" s="76"/>
      <c r="AW2258" s="76"/>
      <c r="AX2258" s="76">
        <f>+AW2258*600000</f>
        <v>0</v>
      </c>
      <c r="AY2258" s="76"/>
      <c r="AZ2258" s="76">
        <f>+AY2258*70000</f>
        <v>0</v>
      </c>
      <c r="BA2258" s="76"/>
      <c r="BB2258" s="76"/>
      <c r="BC2258" s="76"/>
      <c r="BD2258" s="76">
        <f>+BC2258*30000</f>
        <v>0</v>
      </c>
      <c r="BE2258" s="76"/>
      <c r="BF2258" s="76"/>
      <c r="BG2258" s="76"/>
      <c r="BH2258" s="76"/>
      <c r="BI2258" s="76"/>
      <c r="BJ2258" s="76"/>
      <c r="BK2258" s="76"/>
      <c r="BL2258" s="76">
        <f>+BK2258*31500</f>
        <v>0</v>
      </c>
      <c r="BM2258" s="76"/>
      <c r="BN2258" s="76"/>
      <c r="BO2258" s="76"/>
      <c r="BP2258" s="76"/>
      <c r="BQ2258" s="76"/>
      <c r="BR2258" s="76"/>
      <c r="BS2258" s="76"/>
      <c r="BT2258" s="76"/>
      <c r="BU2258" s="76"/>
      <c r="BV2258" s="76"/>
      <c r="BW2258" s="76"/>
      <c r="BX2258" s="76"/>
      <c r="BY2258" s="76"/>
      <c r="BZ2258" s="76"/>
      <c r="CA2258" s="76"/>
      <c r="CB2258" s="76"/>
      <c r="CC2258" s="76"/>
      <c r="CD2258" s="76"/>
      <c r="CE2258" s="76"/>
      <c r="CF2258" s="76">
        <f>+CE2258*28000</f>
        <v>0</v>
      </c>
      <c r="CG2258" s="76"/>
      <c r="CH2258" s="76">
        <f>+CG2258*22500</f>
        <v>0</v>
      </c>
      <c r="CI2258" s="76"/>
      <c r="CJ2258" s="76">
        <f>+CI2258*26000</f>
        <v>0</v>
      </c>
      <c r="CK2258" s="76"/>
      <c r="CL2258" s="76"/>
      <c r="CM2258" s="76"/>
      <c r="CN2258" s="76">
        <f>+CM2258*22000</f>
        <v>0</v>
      </c>
      <c r="CO2258" s="76"/>
      <c r="CP2258" s="76">
        <f>+CO2258*46000</f>
        <v>0</v>
      </c>
      <c r="CQ2258" s="76"/>
      <c r="CR2258" s="76">
        <f>+CQ2258*49000</f>
        <v>0</v>
      </c>
      <c r="CS2258" s="76"/>
      <c r="CT2258" s="76"/>
      <c r="CU2258" s="56">
        <f>AN2258+AP2258+AR2258+AT2258+AV2258+AX2258+AZ2258+BB2258+BD2258+BF2258+BH2258+BJ2258+BL2258+BN2258+BP2258+BR2258+BT2258+BV2258+BX2258+BZ2258+CB2258+CD2258+CF2258+CH2258+CJ2258+CL2258+CN2258+CP2258+CR2258+CT2258</f>
        <v>0</v>
      </c>
      <c r="CV2258" s="76"/>
      <c r="CW2258" s="76">
        <f>+CV2258*1100</f>
        <v>0</v>
      </c>
      <c r="CX2258" s="76"/>
      <c r="CY2258" s="76">
        <f>+CX2258*106250</f>
        <v>0</v>
      </c>
      <c r="CZ2258" s="76"/>
      <c r="DA2258" s="76">
        <f>+CZ2258*34500</f>
        <v>0</v>
      </c>
      <c r="DB2258" s="76"/>
      <c r="DC2258" s="76">
        <f>+DB2258*25000</f>
        <v>0</v>
      </c>
      <c r="DD2258" s="219"/>
      <c r="DE2258" s="219"/>
      <c r="DF2258" s="166"/>
      <c r="DG2258" s="116"/>
      <c r="DH2258" s="117"/>
      <c r="DI2258" s="24"/>
      <c r="DJ2258" s="24"/>
      <c r="DK2258" s="24"/>
      <c r="DL2258" s="24"/>
      <c r="DM2258" s="24"/>
      <c r="DN2258" s="24"/>
      <c r="DO2258" s="24"/>
      <c r="DP2258" s="24"/>
      <c r="DQ2258" s="24"/>
      <c r="DR2258" s="24"/>
      <c r="DS2258" s="24"/>
      <c r="DT2258" s="24"/>
      <c r="DU2258" s="24"/>
    </row>
    <row r="2259" spans="1:125" s="8" customFormat="1" ht="84" x14ac:dyDescent="0.2">
      <c r="A2259" s="353">
        <v>41458</v>
      </c>
      <c r="B2259" s="78" t="s">
        <v>2036</v>
      </c>
      <c r="C2259" s="75" t="s">
        <v>2036</v>
      </c>
      <c r="D2259" s="75" t="s">
        <v>4391</v>
      </c>
      <c r="E2259" s="75" t="str">
        <f>VLOOKUP(B2259&amp;C2259,Divipola!$C$2:$F$1138,4,FALSE)</f>
        <v>81001</v>
      </c>
      <c r="F2259" s="87">
        <v>1</v>
      </c>
      <c r="G2259" s="87"/>
      <c r="H2259" s="87">
        <v>5</v>
      </c>
      <c r="I2259" s="87">
        <v>6</v>
      </c>
      <c r="J2259" s="87"/>
      <c r="K2259" s="87"/>
      <c r="L2259" s="87"/>
      <c r="M2259" s="87"/>
      <c r="N2259" s="87"/>
      <c r="O2259" s="87"/>
      <c r="P2259" s="87"/>
      <c r="Q2259" s="87"/>
      <c r="R2259" s="87"/>
      <c r="S2259" s="87"/>
      <c r="T2259" s="87"/>
      <c r="U2259" s="88"/>
      <c r="V2259" s="89"/>
      <c r="W2259" s="96">
        <v>0</v>
      </c>
      <c r="X2259" s="71">
        <f>CU2259</f>
        <v>0</v>
      </c>
      <c r="Y2259" s="71">
        <f>CY2259</f>
        <v>0</v>
      </c>
      <c r="Z2259" s="71">
        <f>DA2259+DC2259+DE2259</f>
        <v>0</v>
      </c>
      <c r="AA2259" s="71">
        <f>CW2259</f>
        <v>0</v>
      </c>
      <c r="AB2259" s="71"/>
      <c r="AC2259" s="71">
        <v>0</v>
      </c>
      <c r="AD2259" s="71">
        <f>W2259+X2259+Y2259+Z2259+AA2259+AB2259+AC2259</f>
        <v>0</v>
      </c>
      <c r="AE2259" s="72">
        <v>0</v>
      </c>
      <c r="AF2259" s="5"/>
      <c r="AG2259" s="6"/>
      <c r="AH2259" s="27" t="s">
        <v>3392</v>
      </c>
      <c r="AI2259" s="44" t="s">
        <v>3393</v>
      </c>
      <c r="AJ2259" s="26"/>
      <c r="AK2259" s="5"/>
      <c r="AL2259" s="82" t="s">
        <v>5127</v>
      </c>
      <c r="AM2259" s="76"/>
      <c r="AN2259" s="76"/>
      <c r="AO2259" s="76"/>
      <c r="AP2259" s="76"/>
      <c r="AQ2259" s="76"/>
      <c r="AR2259" s="76"/>
      <c r="AS2259" s="76"/>
      <c r="AT2259" s="76"/>
      <c r="AU2259" s="76"/>
      <c r="AV2259" s="76"/>
      <c r="AW2259" s="76"/>
      <c r="AX2259" s="76">
        <f>+AW2259*600000</f>
        <v>0</v>
      </c>
      <c r="AY2259" s="76"/>
      <c r="AZ2259" s="76">
        <f>+AY2259*70000</f>
        <v>0</v>
      </c>
      <c r="BA2259" s="76"/>
      <c r="BB2259" s="76"/>
      <c r="BC2259" s="76"/>
      <c r="BD2259" s="76">
        <f>+BC2259*30000</f>
        <v>0</v>
      </c>
      <c r="BE2259" s="76"/>
      <c r="BF2259" s="76"/>
      <c r="BG2259" s="76"/>
      <c r="BH2259" s="76"/>
      <c r="BI2259" s="76"/>
      <c r="BJ2259" s="76"/>
      <c r="BK2259" s="76"/>
      <c r="BL2259" s="76">
        <f>+BK2259*31500</f>
        <v>0</v>
      </c>
      <c r="BM2259" s="76"/>
      <c r="BN2259" s="76"/>
      <c r="BO2259" s="76"/>
      <c r="BP2259" s="76"/>
      <c r="BQ2259" s="76"/>
      <c r="BR2259" s="76"/>
      <c r="BS2259" s="76"/>
      <c r="BT2259" s="76"/>
      <c r="BU2259" s="76"/>
      <c r="BV2259" s="76"/>
      <c r="BW2259" s="76"/>
      <c r="BX2259" s="76"/>
      <c r="BY2259" s="76"/>
      <c r="BZ2259" s="76"/>
      <c r="CA2259" s="76"/>
      <c r="CB2259" s="76"/>
      <c r="CC2259" s="76"/>
      <c r="CD2259" s="76"/>
      <c r="CE2259" s="76"/>
      <c r="CF2259" s="76">
        <f>+CE2259*28000</f>
        <v>0</v>
      </c>
      <c r="CG2259" s="76"/>
      <c r="CH2259" s="76">
        <f>+CG2259*22500</f>
        <v>0</v>
      </c>
      <c r="CI2259" s="76"/>
      <c r="CJ2259" s="76">
        <f>+CI2259*26000</f>
        <v>0</v>
      </c>
      <c r="CK2259" s="76"/>
      <c r="CL2259" s="76"/>
      <c r="CM2259" s="76"/>
      <c r="CN2259" s="76">
        <f>+CM2259*22000</f>
        <v>0</v>
      </c>
      <c r="CO2259" s="76"/>
      <c r="CP2259" s="76">
        <f>+CO2259*46000</f>
        <v>0</v>
      </c>
      <c r="CQ2259" s="76"/>
      <c r="CR2259" s="76">
        <f>+CQ2259*49000</f>
        <v>0</v>
      </c>
      <c r="CS2259" s="76"/>
      <c r="CT2259" s="76"/>
      <c r="CU2259" s="56">
        <f>AN2259+AP2259+AR2259+AT2259+AV2259+AX2259+AZ2259+BB2259+BD2259+BF2259+BH2259+BJ2259+BL2259+BN2259+BP2259+BR2259+BT2259+BV2259+BX2259+BZ2259+CB2259+CD2259+CF2259+CH2259+CJ2259+CL2259+CN2259+CP2259+CR2259+CT2259</f>
        <v>0</v>
      </c>
      <c r="CV2259" s="76"/>
      <c r="CW2259" s="76">
        <f>+CV2259*1100</f>
        <v>0</v>
      </c>
      <c r="CX2259" s="76"/>
      <c r="CY2259" s="76">
        <f>+CX2259*106250</f>
        <v>0</v>
      </c>
      <c r="CZ2259" s="76"/>
      <c r="DA2259" s="76">
        <f>+CZ2259*34500</f>
        <v>0</v>
      </c>
      <c r="DB2259" s="76"/>
      <c r="DC2259" s="76">
        <f>+DB2259*25000</f>
        <v>0</v>
      </c>
      <c r="DD2259" s="219"/>
      <c r="DE2259" s="219"/>
      <c r="DF2259" s="166"/>
      <c r="DG2259" s="116"/>
      <c r="DH2259" s="117"/>
      <c r="DI2259" s="24"/>
      <c r="DJ2259" s="24"/>
      <c r="DK2259" s="24"/>
      <c r="DL2259" s="24"/>
      <c r="DM2259" s="24"/>
      <c r="DN2259" s="24"/>
      <c r="DO2259" s="24"/>
      <c r="DP2259" s="24"/>
      <c r="DQ2259" s="24"/>
      <c r="DR2259" s="24"/>
      <c r="DS2259" s="24"/>
      <c r="DT2259" s="24"/>
      <c r="DU2259" s="24"/>
    </row>
    <row r="2260" spans="1:125" s="8" customFormat="1" ht="36" x14ac:dyDescent="0.2">
      <c r="A2260" s="226">
        <v>41458</v>
      </c>
      <c r="B2260" s="352" t="s">
        <v>2700</v>
      </c>
      <c r="C2260" s="227" t="s">
        <v>1698</v>
      </c>
      <c r="D2260" s="354" t="s">
        <v>4391</v>
      </c>
      <c r="E2260" s="75" t="str">
        <f>VLOOKUP(B2260&amp;C2260,Divipola!$C$2:$F$1138,4,FALSE)</f>
        <v>15176</v>
      </c>
      <c r="F2260" s="163">
        <v>1</v>
      </c>
      <c r="G2260" s="163"/>
      <c r="H2260" s="163"/>
      <c r="I2260" s="163"/>
      <c r="J2260" s="163"/>
      <c r="K2260" s="163"/>
      <c r="L2260" s="163"/>
      <c r="M2260" s="163"/>
      <c r="N2260" s="163"/>
      <c r="O2260" s="163"/>
      <c r="P2260" s="163"/>
      <c r="Q2260" s="163"/>
      <c r="R2260" s="163"/>
      <c r="S2260" s="163"/>
      <c r="T2260" s="163"/>
      <c r="U2260" s="163"/>
      <c r="V2260" s="134"/>
      <c r="W2260" s="96">
        <v>0</v>
      </c>
      <c r="X2260" s="71">
        <f>CU2260</f>
        <v>0</v>
      </c>
      <c r="Y2260" s="71">
        <f>CY2260</f>
        <v>0</v>
      </c>
      <c r="Z2260" s="71">
        <f>DA2260+DC2260+DE2260</f>
        <v>0</v>
      </c>
      <c r="AA2260" s="71">
        <f>CW2260</f>
        <v>0</v>
      </c>
      <c r="AB2260" s="71"/>
      <c r="AC2260" s="71">
        <v>0</v>
      </c>
      <c r="AD2260" s="71">
        <f>W2260+X2260+Y2260+Z2260+AA2260+AB2260+AC2260</f>
        <v>0</v>
      </c>
      <c r="AE2260" s="72">
        <v>0</v>
      </c>
      <c r="AF2260" s="5"/>
      <c r="AG2260" s="6"/>
      <c r="AH2260" s="27" t="s">
        <v>3392</v>
      </c>
      <c r="AI2260" s="44" t="s">
        <v>3393</v>
      </c>
      <c r="AJ2260" s="26"/>
      <c r="AK2260" s="5"/>
      <c r="AL2260" s="82" t="s">
        <v>5123</v>
      </c>
      <c r="AM2260" s="76"/>
      <c r="AN2260" s="76"/>
      <c r="AO2260" s="76"/>
      <c r="AP2260" s="76"/>
      <c r="AQ2260" s="76"/>
      <c r="AR2260" s="76"/>
      <c r="AS2260" s="76"/>
      <c r="AT2260" s="76"/>
      <c r="AU2260" s="76"/>
      <c r="AV2260" s="76"/>
      <c r="AW2260" s="76"/>
      <c r="AX2260" s="76">
        <f>+AW2260*600000</f>
        <v>0</v>
      </c>
      <c r="AY2260" s="76"/>
      <c r="AZ2260" s="76">
        <f>+AY2260*70000</f>
        <v>0</v>
      </c>
      <c r="BA2260" s="76"/>
      <c r="BB2260" s="76"/>
      <c r="BC2260" s="76"/>
      <c r="BD2260" s="76">
        <f>+BC2260*30000</f>
        <v>0</v>
      </c>
      <c r="BE2260" s="76"/>
      <c r="BF2260" s="76"/>
      <c r="BG2260" s="76"/>
      <c r="BH2260" s="76"/>
      <c r="BI2260" s="76"/>
      <c r="BJ2260" s="76"/>
      <c r="BK2260" s="76"/>
      <c r="BL2260" s="76">
        <f>+BK2260*31500</f>
        <v>0</v>
      </c>
      <c r="BM2260" s="76"/>
      <c r="BN2260" s="76"/>
      <c r="BO2260" s="76"/>
      <c r="BP2260" s="76"/>
      <c r="BQ2260" s="76"/>
      <c r="BR2260" s="76"/>
      <c r="BS2260" s="76"/>
      <c r="BT2260" s="76"/>
      <c r="BU2260" s="76"/>
      <c r="BV2260" s="76"/>
      <c r="BW2260" s="76"/>
      <c r="BX2260" s="76"/>
      <c r="BY2260" s="76"/>
      <c r="BZ2260" s="76"/>
      <c r="CA2260" s="76"/>
      <c r="CB2260" s="76"/>
      <c r="CC2260" s="76"/>
      <c r="CD2260" s="76"/>
      <c r="CE2260" s="76"/>
      <c r="CF2260" s="76">
        <f>+CE2260*28000</f>
        <v>0</v>
      </c>
      <c r="CG2260" s="76"/>
      <c r="CH2260" s="76">
        <f>+CG2260*22500</f>
        <v>0</v>
      </c>
      <c r="CI2260" s="76"/>
      <c r="CJ2260" s="76">
        <f>+CI2260*26000</f>
        <v>0</v>
      </c>
      <c r="CK2260" s="76"/>
      <c r="CL2260" s="76"/>
      <c r="CM2260" s="76"/>
      <c r="CN2260" s="76">
        <f>+CM2260*22000</f>
        <v>0</v>
      </c>
      <c r="CO2260" s="76"/>
      <c r="CP2260" s="76">
        <f>+CO2260*46000</f>
        <v>0</v>
      </c>
      <c r="CQ2260" s="76"/>
      <c r="CR2260" s="76">
        <f>+CQ2260*49000</f>
        <v>0</v>
      </c>
      <c r="CS2260" s="76"/>
      <c r="CT2260" s="76"/>
      <c r="CU2260" s="56">
        <f>AN2260+AP2260+AR2260+AT2260+AV2260+AX2260+AZ2260+BB2260+BD2260+BF2260+BH2260+BJ2260+BL2260+BN2260+BP2260+BR2260+BT2260+BV2260+BX2260+BZ2260+CB2260+CD2260+CF2260+CH2260+CJ2260+CL2260+CN2260+CP2260+CR2260+CT2260</f>
        <v>0</v>
      </c>
      <c r="CV2260" s="76"/>
      <c r="CW2260" s="76">
        <f>+CV2260*1100</f>
        <v>0</v>
      </c>
      <c r="CX2260" s="76"/>
      <c r="CY2260" s="76">
        <f>+CX2260*106250</f>
        <v>0</v>
      </c>
      <c r="CZ2260" s="76"/>
      <c r="DA2260" s="76">
        <f>+CZ2260*34500</f>
        <v>0</v>
      </c>
      <c r="DB2260" s="76"/>
      <c r="DC2260" s="76">
        <f>+DB2260*25000</f>
        <v>0</v>
      </c>
      <c r="DD2260" s="219"/>
      <c r="DE2260" s="219"/>
      <c r="DF2260" s="166"/>
      <c r="DG2260" s="116"/>
      <c r="DH2260" s="117"/>
      <c r="DI2260" s="24"/>
      <c r="DJ2260" s="24"/>
      <c r="DK2260" s="24"/>
      <c r="DL2260" s="24"/>
      <c r="DM2260" s="24"/>
      <c r="DN2260" s="24"/>
      <c r="DO2260" s="24"/>
      <c r="DP2260" s="24"/>
      <c r="DQ2260" s="24"/>
      <c r="DR2260" s="24"/>
      <c r="DS2260" s="24"/>
      <c r="DT2260" s="24"/>
      <c r="DU2260" s="24"/>
    </row>
    <row r="2261" spans="1:125" s="8" customFormat="1" ht="72" x14ac:dyDescent="0.2">
      <c r="A2261" s="353">
        <v>41458</v>
      </c>
      <c r="B2261" s="208" t="s">
        <v>2854</v>
      </c>
      <c r="C2261" s="354" t="s">
        <v>2698</v>
      </c>
      <c r="D2261" s="354" t="s">
        <v>3635</v>
      </c>
      <c r="E2261" s="75" t="str">
        <f>VLOOKUP(B2261&amp;C2261,Divipola!$C$2:$F$1138,4,FALSE)</f>
        <v>19780</v>
      </c>
      <c r="F2261" s="87"/>
      <c r="G2261" s="87"/>
      <c r="H2261" s="87">
        <v>1</v>
      </c>
      <c r="I2261" s="87">
        <v>1</v>
      </c>
      <c r="J2261" s="87"/>
      <c r="K2261" s="87"/>
      <c r="L2261" s="87"/>
      <c r="M2261" s="87"/>
      <c r="N2261" s="87"/>
      <c r="O2261" s="87"/>
      <c r="P2261" s="87"/>
      <c r="Q2261" s="87"/>
      <c r="R2261" s="87"/>
      <c r="S2261" s="87"/>
      <c r="T2261" s="87"/>
      <c r="U2261" s="88"/>
      <c r="V2261" s="89"/>
      <c r="W2261" s="96">
        <v>0</v>
      </c>
      <c r="X2261" s="71">
        <f>CU2261</f>
        <v>0</v>
      </c>
      <c r="Y2261" s="71">
        <f>CY2261</f>
        <v>0</v>
      </c>
      <c r="Z2261" s="71">
        <f>DA2261+DC2261+DE2261</f>
        <v>0</v>
      </c>
      <c r="AA2261" s="71">
        <f>CW2261</f>
        <v>0</v>
      </c>
      <c r="AB2261" s="71"/>
      <c r="AC2261" s="71">
        <v>0</v>
      </c>
      <c r="AD2261" s="71">
        <f>W2261+X2261+Y2261+Z2261+AA2261+AB2261+AC2261</f>
        <v>0</v>
      </c>
      <c r="AE2261" s="72">
        <v>0</v>
      </c>
      <c r="AF2261" s="5"/>
      <c r="AG2261" s="6"/>
      <c r="AH2261" s="27" t="s">
        <v>3392</v>
      </c>
      <c r="AI2261" s="44" t="s">
        <v>3393</v>
      </c>
      <c r="AJ2261" s="26"/>
      <c r="AK2261" s="5"/>
      <c r="AL2261" s="82" t="s">
        <v>5115</v>
      </c>
      <c r="AM2261" s="76"/>
      <c r="AN2261" s="76"/>
      <c r="AO2261" s="76"/>
      <c r="AP2261" s="76"/>
      <c r="AQ2261" s="76"/>
      <c r="AR2261" s="76"/>
      <c r="AS2261" s="76"/>
      <c r="AT2261" s="76"/>
      <c r="AU2261" s="76"/>
      <c r="AV2261" s="76"/>
      <c r="AW2261" s="76"/>
      <c r="AX2261" s="76">
        <f>+AW2261*600000</f>
        <v>0</v>
      </c>
      <c r="AY2261" s="76"/>
      <c r="AZ2261" s="76">
        <f>+AY2261*70000</f>
        <v>0</v>
      </c>
      <c r="BA2261" s="76"/>
      <c r="BB2261" s="76"/>
      <c r="BC2261" s="76"/>
      <c r="BD2261" s="76">
        <f>+BC2261*30000</f>
        <v>0</v>
      </c>
      <c r="BE2261" s="76"/>
      <c r="BF2261" s="76"/>
      <c r="BG2261" s="76"/>
      <c r="BH2261" s="76"/>
      <c r="BI2261" s="76"/>
      <c r="BJ2261" s="76"/>
      <c r="BK2261" s="76"/>
      <c r="BL2261" s="76">
        <f>+BK2261*31500</f>
        <v>0</v>
      </c>
      <c r="BM2261" s="76"/>
      <c r="BN2261" s="76"/>
      <c r="BO2261" s="76"/>
      <c r="BP2261" s="76"/>
      <c r="BQ2261" s="76"/>
      <c r="BR2261" s="76"/>
      <c r="BS2261" s="76"/>
      <c r="BT2261" s="76"/>
      <c r="BU2261" s="76"/>
      <c r="BV2261" s="76"/>
      <c r="BW2261" s="76"/>
      <c r="BX2261" s="76"/>
      <c r="BY2261" s="76"/>
      <c r="BZ2261" s="76"/>
      <c r="CA2261" s="76"/>
      <c r="CB2261" s="76"/>
      <c r="CC2261" s="76"/>
      <c r="CD2261" s="76"/>
      <c r="CE2261" s="76"/>
      <c r="CF2261" s="76">
        <f>+CE2261*28000</f>
        <v>0</v>
      </c>
      <c r="CG2261" s="76"/>
      <c r="CH2261" s="76">
        <f>+CG2261*22500</f>
        <v>0</v>
      </c>
      <c r="CI2261" s="76"/>
      <c r="CJ2261" s="76">
        <f>+CI2261*26000</f>
        <v>0</v>
      </c>
      <c r="CK2261" s="76"/>
      <c r="CL2261" s="76"/>
      <c r="CM2261" s="76"/>
      <c r="CN2261" s="76">
        <f>+CM2261*22000</f>
        <v>0</v>
      </c>
      <c r="CO2261" s="76"/>
      <c r="CP2261" s="76">
        <f>+CO2261*46000</f>
        <v>0</v>
      </c>
      <c r="CQ2261" s="76"/>
      <c r="CR2261" s="76">
        <f>+CQ2261*49000</f>
        <v>0</v>
      </c>
      <c r="CS2261" s="76"/>
      <c r="CT2261" s="76"/>
      <c r="CU2261" s="56">
        <f>AN2261+AP2261+AR2261+AT2261+AV2261+AX2261+AZ2261+BB2261+BD2261+BF2261+BH2261+BJ2261+BL2261+BN2261+BP2261+BR2261+BT2261+BV2261+BX2261+BZ2261+CB2261+CD2261+CF2261+CH2261+CJ2261+CL2261+CN2261+CP2261+CR2261+CT2261</f>
        <v>0</v>
      </c>
      <c r="CV2261" s="76"/>
      <c r="CW2261" s="76">
        <f>+CV2261*1100</f>
        <v>0</v>
      </c>
      <c r="CX2261" s="76"/>
      <c r="CY2261" s="76">
        <f>+CX2261*106250</f>
        <v>0</v>
      </c>
      <c r="CZ2261" s="76"/>
      <c r="DA2261" s="76">
        <f>+CZ2261*34500</f>
        <v>0</v>
      </c>
      <c r="DB2261" s="76"/>
      <c r="DC2261" s="76">
        <f>+DB2261*25000</f>
        <v>0</v>
      </c>
      <c r="DD2261" s="219"/>
      <c r="DE2261" s="219"/>
      <c r="DF2261" s="166"/>
      <c r="DG2261" s="116"/>
      <c r="DH2261" s="117"/>
      <c r="DI2261" s="24"/>
      <c r="DJ2261" s="24"/>
      <c r="DK2261" s="24"/>
      <c r="DL2261" s="24"/>
      <c r="DM2261" s="24"/>
      <c r="DN2261" s="24"/>
      <c r="DO2261" s="24"/>
      <c r="DP2261" s="24"/>
      <c r="DQ2261" s="24"/>
      <c r="DR2261" s="24"/>
      <c r="DS2261" s="24"/>
      <c r="DT2261" s="24"/>
      <c r="DU2261" s="24"/>
    </row>
    <row r="2262" spans="1:125" s="8" customFormat="1" ht="84" x14ac:dyDescent="0.2">
      <c r="A2262" s="77">
        <v>41458</v>
      </c>
      <c r="B2262" s="78" t="s">
        <v>2811</v>
      </c>
      <c r="C2262" s="75" t="s">
        <v>142</v>
      </c>
      <c r="D2262" s="75" t="s">
        <v>3051</v>
      </c>
      <c r="E2262" s="75" t="str">
        <f>VLOOKUP(B2262&amp;C2262,Divipola!$C$2:$F$1138,4,FALSE)</f>
        <v>52240</v>
      </c>
      <c r="F2262" s="163"/>
      <c r="G2262" s="163"/>
      <c r="H2262" s="163"/>
      <c r="I2262" s="163"/>
      <c r="J2262" s="163"/>
      <c r="K2262" s="163"/>
      <c r="L2262" s="163"/>
      <c r="M2262" s="163"/>
      <c r="N2262" s="163"/>
      <c r="O2262" s="163"/>
      <c r="P2262" s="163"/>
      <c r="Q2262" s="163"/>
      <c r="R2262" s="163"/>
      <c r="S2262" s="163"/>
      <c r="T2262" s="163"/>
      <c r="U2262" s="163"/>
      <c r="V2262" s="134"/>
      <c r="W2262" s="96">
        <f>28350000+450000</f>
        <v>28800000</v>
      </c>
      <c r="X2262" s="71">
        <f>CU2262</f>
        <v>0</v>
      </c>
      <c r="Y2262" s="71">
        <f>CY2262</f>
        <v>0</v>
      </c>
      <c r="Z2262" s="71">
        <f>DA2262+DC2262+DE2262</f>
        <v>0</v>
      </c>
      <c r="AA2262" s="71">
        <f>CW2262</f>
        <v>0</v>
      </c>
      <c r="AB2262" s="71"/>
      <c r="AC2262" s="71">
        <v>0</v>
      </c>
      <c r="AD2262" s="71">
        <f>W2262+X2262+Y2262+Z2262+AA2262+AB2262+AC2262</f>
        <v>28800000</v>
      </c>
      <c r="AE2262" s="72">
        <v>0</v>
      </c>
      <c r="AF2262" s="5"/>
      <c r="AG2262" s="6"/>
      <c r="AH2262" s="27" t="s">
        <v>3390</v>
      </c>
      <c r="AI2262" s="44" t="s">
        <v>3391</v>
      </c>
      <c r="AJ2262" s="26"/>
      <c r="AK2262" s="5"/>
      <c r="AL2262" s="82" t="s">
        <v>5328</v>
      </c>
      <c r="AM2262" s="76"/>
      <c r="AN2262" s="76"/>
      <c r="AO2262" s="76"/>
      <c r="AP2262" s="76"/>
      <c r="AQ2262" s="76"/>
      <c r="AR2262" s="76"/>
      <c r="AS2262" s="76"/>
      <c r="AT2262" s="76"/>
      <c r="AU2262" s="76"/>
      <c r="AV2262" s="76"/>
      <c r="AW2262" s="76"/>
      <c r="AX2262" s="76">
        <f>+AW2262*600000</f>
        <v>0</v>
      </c>
      <c r="AY2262" s="76"/>
      <c r="AZ2262" s="76">
        <f>+AY2262*70000</f>
        <v>0</v>
      </c>
      <c r="BA2262" s="76"/>
      <c r="BB2262" s="76"/>
      <c r="BC2262" s="76"/>
      <c r="BD2262" s="76">
        <f>+BC2262*30000</f>
        <v>0</v>
      </c>
      <c r="BE2262" s="76"/>
      <c r="BF2262" s="76"/>
      <c r="BG2262" s="76"/>
      <c r="BH2262" s="76"/>
      <c r="BI2262" s="76"/>
      <c r="BJ2262" s="76"/>
      <c r="BK2262" s="76"/>
      <c r="BL2262" s="76">
        <f>+BK2262*31500</f>
        <v>0</v>
      </c>
      <c r="BM2262" s="76"/>
      <c r="BN2262" s="76"/>
      <c r="BO2262" s="76"/>
      <c r="BP2262" s="76"/>
      <c r="BQ2262" s="76"/>
      <c r="BR2262" s="76"/>
      <c r="BS2262" s="76"/>
      <c r="BT2262" s="76"/>
      <c r="BU2262" s="76"/>
      <c r="BV2262" s="76"/>
      <c r="BW2262" s="76"/>
      <c r="BX2262" s="76"/>
      <c r="BY2262" s="76"/>
      <c r="BZ2262" s="76"/>
      <c r="CA2262" s="76"/>
      <c r="CB2262" s="76"/>
      <c r="CC2262" s="76"/>
      <c r="CD2262" s="76"/>
      <c r="CE2262" s="76"/>
      <c r="CF2262" s="76">
        <f>+CE2262*28000</f>
        <v>0</v>
      </c>
      <c r="CG2262" s="76"/>
      <c r="CH2262" s="76">
        <f>+CG2262*22500</f>
        <v>0</v>
      </c>
      <c r="CI2262" s="76"/>
      <c r="CJ2262" s="76">
        <f>+CI2262*26000</f>
        <v>0</v>
      </c>
      <c r="CK2262" s="76"/>
      <c r="CL2262" s="76"/>
      <c r="CM2262" s="76"/>
      <c r="CN2262" s="76">
        <f>+CM2262*22000</f>
        <v>0</v>
      </c>
      <c r="CO2262" s="76"/>
      <c r="CP2262" s="76">
        <f>+CO2262*46000</f>
        <v>0</v>
      </c>
      <c r="CQ2262" s="76"/>
      <c r="CR2262" s="76">
        <f>+CQ2262*49000</f>
        <v>0</v>
      </c>
      <c r="CS2262" s="76"/>
      <c r="CT2262" s="76"/>
      <c r="CU2262" s="56">
        <f>AN2262+AP2262+AR2262+AT2262+AV2262+AX2262+AZ2262+BB2262+BD2262+BF2262+BH2262+BJ2262+BL2262+BN2262+BP2262+BR2262+BT2262+BV2262+BX2262+BZ2262+CB2262+CD2262+CF2262+CH2262+CJ2262+CL2262+CN2262+CP2262+CR2262+CT2262</f>
        <v>0</v>
      </c>
      <c r="CV2262" s="76"/>
      <c r="CW2262" s="76">
        <f>+CV2262*1100</f>
        <v>0</v>
      </c>
      <c r="CX2262" s="76"/>
      <c r="CY2262" s="76">
        <f>+CX2262*106250</f>
        <v>0</v>
      </c>
      <c r="CZ2262" s="76"/>
      <c r="DA2262" s="76">
        <f>+CZ2262*34500</f>
        <v>0</v>
      </c>
      <c r="DB2262" s="76"/>
      <c r="DC2262" s="76">
        <f>+DB2262*25000</f>
        <v>0</v>
      </c>
      <c r="DD2262" s="219"/>
      <c r="DE2262" s="219"/>
      <c r="DF2262" s="166"/>
      <c r="DG2262" s="116"/>
      <c r="DH2262" s="117"/>
      <c r="DI2262" s="24"/>
      <c r="DJ2262" s="24"/>
      <c r="DK2262" s="24"/>
      <c r="DL2262" s="24"/>
      <c r="DM2262" s="24"/>
      <c r="DN2262" s="24"/>
      <c r="DO2262" s="24"/>
      <c r="DP2262" s="24"/>
      <c r="DQ2262" s="24"/>
      <c r="DR2262" s="24"/>
      <c r="DS2262" s="24"/>
      <c r="DT2262" s="24"/>
      <c r="DU2262" s="24"/>
    </row>
    <row r="2263" spans="1:125" s="8" customFormat="1" ht="36" x14ac:dyDescent="0.2">
      <c r="A2263" s="226">
        <v>41458</v>
      </c>
      <c r="B2263" s="225" t="s">
        <v>2880</v>
      </c>
      <c r="C2263" s="227" t="s">
        <v>2797</v>
      </c>
      <c r="D2263" s="227" t="s">
        <v>2846</v>
      </c>
      <c r="E2263" s="75" t="str">
        <f>VLOOKUP(B2263&amp;C2263,Divipola!$C$2:$F$1138,4,FALSE)</f>
        <v>54498</v>
      </c>
      <c r="F2263" s="87"/>
      <c r="G2263" s="87"/>
      <c r="H2263" s="87"/>
      <c r="I2263" s="87">
        <v>5</v>
      </c>
      <c r="J2263" s="87">
        <v>1</v>
      </c>
      <c r="K2263" s="87">
        <v>1</v>
      </c>
      <c r="L2263" s="87"/>
      <c r="M2263" s="87"/>
      <c r="N2263" s="87"/>
      <c r="O2263" s="87"/>
      <c r="P2263" s="87"/>
      <c r="Q2263" s="87"/>
      <c r="R2263" s="87"/>
      <c r="S2263" s="87"/>
      <c r="T2263" s="87"/>
      <c r="U2263" s="88">
        <v>50</v>
      </c>
      <c r="V2263" s="89"/>
      <c r="W2263" s="96">
        <v>0</v>
      </c>
      <c r="X2263" s="71">
        <f>CU2263</f>
        <v>0</v>
      </c>
      <c r="Y2263" s="71">
        <f>CY2263</f>
        <v>0</v>
      </c>
      <c r="Z2263" s="71">
        <f>DA2263+DC2263+DE2263</f>
        <v>0</v>
      </c>
      <c r="AA2263" s="71">
        <f>CW2263</f>
        <v>0</v>
      </c>
      <c r="AB2263" s="71"/>
      <c r="AC2263" s="71">
        <v>0</v>
      </c>
      <c r="AD2263" s="71">
        <f>W2263+X2263+Y2263+Z2263+AA2263+AB2263+AC2263</f>
        <v>0</v>
      </c>
      <c r="AE2263" s="72">
        <v>0</v>
      </c>
      <c r="AF2263" s="5"/>
      <c r="AG2263" s="6"/>
      <c r="AH2263" s="27" t="s">
        <v>3392</v>
      </c>
      <c r="AI2263" s="44" t="s">
        <v>3393</v>
      </c>
      <c r="AJ2263" s="26"/>
      <c r="AK2263" s="5"/>
      <c r="AL2263" s="82" t="s">
        <v>5130</v>
      </c>
      <c r="AM2263" s="76"/>
      <c r="AN2263" s="76"/>
      <c r="AO2263" s="76"/>
      <c r="AP2263" s="76"/>
      <c r="AQ2263" s="76"/>
      <c r="AR2263" s="76"/>
      <c r="AS2263" s="76"/>
      <c r="AT2263" s="76"/>
      <c r="AU2263" s="76"/>
      <c r="AV2263" s="76"/>
      <c r="AW2263" s="76"/>
      <c r="AX2263" s="76">
        <f>+AW2263*600000</f>
        <v>0</v>
      </c>
      <c r="AY2263" s="76"/>
      <c r="AZ2263" s="76">
        <f>+AY2263*70000</f>
        <v>0</v>
      </c>
      <c r="BA2263" s="76"/>
      <c r="BB2263" s="76"/>
      <c r="BC2263" s="76"/>
      <c r="BD2263" s="76">
        <f>+BC2263*30000</f>
        <v>0</v>
      </c>
      <c r="BE2263" s="76"/>
      <c r="BF2263" s="76"/>
      <c r="BG2263" s="76"/>
      <c r="BH2263" s="76"/>
      <c r="BI2263" s="76"/>
      <c r="BJ2263" s="76"/>
      <c r="BK2263" s="76"/>
      <c r="BL2263" s="76">
        <f>+BK2263*31500</f>
        <v>0</v>
      </c>
      <c r="BM2263" s="76"/>
      <c r="BN2263" s="76"/>
      <c r="BO2263" s="76"/>
      <c r="BP2263" s="76"/>
      <c r="BQ2263" s="76"/>
      <c r="BR2263" s="76"/>
      <c r="BS2263" s="76"/>
      <c r="BT2263" s="76"/>
      <c r="BU2263" s="76"/>
      <c r="BV2263" s="76"/>
      <c r="BW2263" s="76"/>
      <c r="BX2263" s="76"/>
      <c r="BY2263" s="76"/>
      <c r="BZ2263" s="76"/>
      <c r="CA2263" s="76"/>
      <c r="CB2263" s="76"/>
      <c r="CC2263" s="76"/>
      <c r="CD2263" s="76"/>
      <c r="CE2263" s="76"/>
      <c r="CF2263" s="76">
        <f>+CE2263*28000</f>
        <v>0</v>
      </c>
      <c r="CG2263" s="76"/>
      <c r="CH2263" s="76">
        <f>+CG2263*22500</f>
        <v>0</v>
      </c>
      <c r="CI2263" s="76"/>
      <c r="CJ2263" s="76">
        <f>+CI2263*26000</f>
        <v>0</v>
      </c>
      <c r="CK2263" s="76"/>
      <c r="CL2263" s="76"/>
      <c r="CM2263" s="76"/>
      <c r="CN2263" s="76">
        <f>+CM2263*22000</f>
        <v>0</v>
      </c>
      <c r="CO2263" s="76"/>
      <c r="CP2263" s="76">
        <f>+CO2263*46000</f>
        <v>0</v>
      </c>
      <c r="CQ2263" s="76"/>
      <c r="CR2263" s="76">
        <f>+CQ2263*49000</f>
        <v>0</v>
      </c>
      <c r="CS2263" s="76"/>
      <c r="CT2263" s="76"/>
      <c r="CU2263" s="56">
        <f>AN2263+AP2263+AR2263+AT2263+AV2263+AX2263+AZ2263+BB2263+BD2263+BF2263+BH2263+BJ2263+BL2263+BN2263+BP2263+BR2263+BT2263+BV2263+BX2263+BZ2263+CB2263+CD2263+CF2263+CH2263+CJ2263+CL2263+CN2263+CP2263+CR2263+CT2263</f>
        <v>0</v>
      </c>
      <c r="CV2263" s="76"/>
      <c r="CW2263" s="76">
        <f>+CV2263*1100</f>
        <v>0</v>
      </c>
      <c r="CX2263" s="76"/>
      <c r="CY2263" s="76">
        <f>+CX2263*106250</f>
        <v>0</v>
      </c>
      <c r="CZ2263" s="76"/>
      <c r="DA2263" s="76">
        <f>+CZ2263*34500</f>
        <v>0</v>
      </c>
      <c r="DB2263" s="76"/>
      <c r="DC2263" s="76">
        <f>+DB2263*25000</f>
        <v>0</v>
      </c>
      <c r="DD2263" s="219"/>
      <c r="DE2263" s="219"/>
      <c r="DF2263" s="166"/>
      <c r="DG2263" s="116"/>
      <c r="DH2263" s="117"/>
      <c r="DI2263" s="24"/>
      <c r="DJ2263" s="24"/>
      <c r="DK2263" s="24"/>
      <c r="DL2263" s="24"/>
      <c r="DM2263" s="24"/>
      <c r="DN2263" s="24"/>
      <c r="DO2263" s="24"/>
      <c r="DP2263" s="24"/>
      <c r="DQ2263" s="24"/>
      <c r="DR2263" s="24"/>
      <c r="DS2263" s="24"/>
      <c r="DT2263" s="24"/>
      <c r="DU2263" s="24"/>
    </row>
    <row r="2264" spans="1:125" s="8" customFormat="1" ht="36" x14ac:dyDescent="0.2">
      <c r="A2264" s="353">
        <v>41458</v>
      </c>
      <c r="B2264" s="352" t="s">
        <v>1764</v>
      </c>
      <c r="C2264" s="354" t="s">
        <v>1764</v>
      </c>
      <c r="D2264" s="354" t="s">
        <v>2846</v>
      </c>
      <c r="E2264" s="353" t="str">
        <f>VLOOKUP(B2264&amp;C2264,Divipola!$C$2:$F$1138,4,FALSE)</f>
        <v>88001</v>
      </c>
      <c r="F2264" s="87"/>
      <c r="G2264" s="87"/>
      <c r="H2264" s="87"/>
      <c r="I2264" s="87"/>
      <c r="J2264" s="87"/>
      <c r="K2264" s="87"/>
      <c r="L2264" s="87"/>
      <c r="M2264" s="87"/>
      <c r="N2264" s="87"/>
      <c r="O2264" s="87"/>
      <c r="P2264" s="87"/>
      <c r="Q2264" s="87"/>
      <c r="R2264" s="87"/>
      <c r="S2264" s="87"/>
      <c r="T2264" s="87"/>
      <c r="U2264" s="88"/>
      <c r="V2264" s="89"/>
      <c r="W2264" s="96">
        <v>0</v>
      </c>
      <c r="X2264" s="71">
        <f>CU2264</f>
        <v>0</v>
      </c>
      <c r="Y2264" s="71">
        <f>CY2264</f>
        <v>0</v>
      </c>
      <c r="Z2264" s="71">
        <f>DA2264+DC2264+DE2264</f>
        <v>0</v>
      </c>
      <c r="AA2264" s="71">
        <f>CW2264</f>
        <v>0</v>
      </c>
      <c r="AB2264" s="71"/>
      <c r="AC2264" s="71">
        <v>0</v>
      </c>
      <c r="AD2264" s="71">
        <f>W2264+X2264+Y2264+Z2264+AA2264+AB2264+AC2264</f>
        <v>0</v>
      </c>
      <c r="AE2264" s="72">
        <v>0</v>
      </c>
      <c r="AF2264" s="5"/>
      <c r="AG2264" s="6"/>
      <c r="AH2264" s="27"/>
      <c r="AI2264" s="44"/>
      <c r="AJ2264" s="26"/>
      <c r="AK2264" s="5"/>
      <c r="AL2264" s="82" t="s">
        <v>5495</v>
      </c>
      <c r="AM2264" s="76"/>
      <c r="AN2264" s="76"/>
      <c r="AO2264" s="76"/>
      <c r="AP2264" s="76"/>
      <c r="AQ2264" s="76"/>
      <c r="AR2264" s="76"/>
      <c r="AS2264" s="76"/>
      <c r="AT2264" s="76"/>
      <c r="AU2264" s="76"/>
      <c r="AV2264" s="76"/>
      <c r="AW2264" s="76"/>
      <c r="AX2264" s="76">
        <f>+AW2264*600000</f>
        <v>0</v>
      </c>
      <c r="AY2264" s="76"/>
      <c r="AZ2264" s="76">
        <f>+AY2264*70000</f>
        <v>0</v>
      </c>
      <c r="BA2264" s="76"/>
      <c r="BB2264" s="76"/>
      <c r="BC2264" s="76"/>
      <c r="BD2264" s="76">
        <f>+BC2264*30000</f>
        <v>0</v>
      </c>
      <c r="BE2264" s="76"/>
      <c r="BF2264" s="76"/>
      <c r="BG2264" s="76"/>
      <c r="BH2264" s="76"/>
      <c r="BI2264" s="76"/>
      <c r="BJ2264" s="76"/>
      <c r="BK2264" s="76"/>
      <c r="BL2264" s="76">
        <f>+BK2264*31500</f>
        <v>0</v>
      </c>
      <c r="BM2264" s="76"/>
      <c r="BN2264" s="76"/>
      <c r="BO2264" s="76"/>
      <c r="BP2264" s="76"/>
      <c r="BQ2264" s="76"/>
      <c r="BR2264" s="76"/>
      <c r="BS2264" s="76"/>
      <c r="BT2264" s="76"/>
      <c r="BU2264" s="76"/>
      <c r="BV2264" s="76"/>
      <c r="BW2264" s="76"/>
      <c r="BX2264" s="76"/>
      <c r="BY2264" s="76"/>
      <c r="BZ2264" s="76"/>
      <c r="CA2264" s="76"/>
      <c r="CB2264" s="76"/>
      <c r="CC2264" s="76"/>
      <c r="CD2264" s="76"/>
      <c r="CE2264" s="76"/>
      <c r="CF2264" s="76">
        <f>+CE2264*28000</f>
        <v>0</v>
      </c>
      <c r="CG2264" s="76"/>
      <c r="CH2264" s="76">
        <f>+CG2264*22500</f>
        <v>0</v>
      </c>
      <c r="CI2264" s="76"/>
      <c r="CJ2264" s="76">
        <f>+CI2264*26000</f>
        <v>0</v>
      </c>
      <c r="CK2264" s="76"/>
      <c r="CL2264" s="76"/>
      <c r="CM2264" s="76"/>
      <c r="CN2264" s="76">
        <f>+CM2264*22000</f>
        <v>0</v>
      </c>
      <c r="CO2264" s="76"/>
      <c r="CP2264" s="76">
        <f>+CO2264*46000</f>
        <v>0</v>
      </c>
      <c r="CQ2264" s="76"/>
      <c r="CR2264" s="76">
        <f>+CQ2264*49000</f>
        <v>0</v>
      </c>
      <c r="CS2264" s="76"/>
      <c r="CT2264" s="76"/>
      <c r="CU2264" s="56">
        <f>AN2264+AP2264+AR2264+AT2264+AV2264+AX2264+AZ2264+BB2264+BD2264+BF2264+BH2264+BJ2264+BL2264+BN2264+BP2264+BR2264+BT2264+BV2264+BX2264+BZ2264+CB2264+CD2264+CF2264+CH2264+CJ2264+CL2264+CN2264+CP2264+CR2264+CT2264</f>
        <v>0</v>
      </c>
      <c r="CV2264" s="76"/>
      <c r="CW2264" s="76">
        <f>+CV2264*1100</f>
        <v>0</v>
      </c>
      <c r="CX2264" s="76"/>
      <c r="CY2264" s="76">
        <f>+CX2264*106250</f>
        <v>0</v>
      </c>
      <c r="CZ2264" s="76"/>
      <c r="DA2264" s="76">
        <f>+CZ2264*34500</f>
        <v>0</v>
      </c>
      <c r="DB2264" s="76"/>
      <c r="DC2264" s="76">
        <f>+DB2264*25000</f>
        <v>0</v>
      </c>
      <c r="DD2264" s="219"/>
      <c r="DE2264" s="219"/>
      <c r="DF2264" s="166"/>
      <c r="DG2264" s="116"/>
      <c r="DH2264" s="117"/>
      <c r="DI2264" s="24"/>
      <c r="DJ2264" s="24"/>
      <c r="DK2264" s="24"/>
      <c r="DL2264" s="24"/>
      <c r="DM2264" s="24"/>
      <c r="DN2264" s="24"/>
      <c r="DO2264" s="24"/>
      <c r="DP2264" s="24"/>
      <c r="DQ2264" s="24"/>
      <c r="DR2264" s="24"/>
      <c r="DS2264" s="24"/>
      <c r="DT2264" s="24"/>
      <c r="DU2264" s="24"/>
    </row>
    <row r="2265" spans="1:125" s="8" customFormat="1" ht="96" x14ac:dyDescent="0.2">
      <c r="A2265" s="77">
        <v>41458</v>
      </c>
      <c r="B2265" s="78" t="s">
        <v>2847</v>
      </c>
      <c r="C2265" s="75" t="s">
        <v>480</v>
      </c>
      <c r="D2265" s="75" t="s">
        <v>2882</v>
      </c>
      <c r="E2265" s="353" t="str">
        <f>VLOOKUP(B2265&amp;C2265,Divipola!$C$2:$F$1138,4,FALSE)</f>
        <v>68820</v>
      </c>
      <c r="F2265" s="61"/>
      <c r="G2265" s="61"/>
      <c r="H2265" s="61"/>
      <c r="I2265" s="61">
        <v>1000</v>
      </c>
      <c r="J2265" s="61">
        <v>200</v>
      </c>
      <c r="K2265" s="61"/>
      <c r="L2265" s="61">
        <v>200</v>
      </c>
      <c r="M2265" s="61"/>
      <c r="N2265" s="61"/>
      <c r="O2265" s="61"/>
      <c r="P2265" s="61"/>
      <c r="Q2265" s="61"/>
      <c r="R2265" s="61"/>
      <c r="S2265" s="61"/>
      <c r="T2265" s="61"/>
      <c r="U2265" s="61"/>
      <c r="V2265" s="7"/>
      <c r="W2265" s="96">
        <v>0</v>
      </c>
      <c r="X2265" s="71">
        <f>CU2265</f>
        <v>57598871.999999993</v>
      </c>
      <c r="Y2265" s="71">
        <f>CY2265</f>
        <v>15937500</v>
      </c>
      <c r="Z2265" s="71">
        <f>DA2265+DC2265+DE2265</f>
        <v>9799912</v>
      </c>
      <c r="AA2265" s="71">
        <f>CW2265</f>
        <v>0</v>
      </c>
      <c r="AB2265" s="71"/>
      <c r="AC2265" s="71">
        <v>0</v>
      </c>
      <c r="AD2265" s="71">
        <f>W2265+X2265+Y2265+Z2265+AA2265+AB2265+AC2265</f>
        <v>83336284</v>
      </c>
      <c r="AE2265" s="72">
        <v>0</v>
      </c>
      <c r="AF2265" s="5"/>
      <c r="AG2265" s="6"/>
      <c r="AH2265" s="27"/>
      <c r="AI2265" s="44"/>
      <c r="AJ2265" s="26"/>
      <c r="AK2265" s="5"/>
      <c r="AL2265" s="9" t="s">
        <v>5654</v>
      </c>
      <c r="AM2265" s="76"/>
      <c r="AN2265" s="76"/>
      <c r="AO2265" s="76"/>
      <c r="AP2265" s="76"/>
      <c r="AQ2265" s="76"/>
      <c r="AR2265" s="76"/>
      <c r="AS2265" s="76"/>
      <c r="AT2265" s="76"/>
      <c r="AU2265" s="76"/>
      <c r="AV2265" s="76"/>
      <c r="AW2265" s="76"/>
      <c r="AX2265" s="76">
        <f>+AW2265*600000</f>
        <v>0</v>
      </c>
      <c r="AY2265" s="86">
        <v>600</v>
      </c>
      <c r="AZ2265" s="86">
        <f>+AY2265*69999.04</f>
        <v>41999423.999999993</v>
      </c>
      <c r="BA2265" s="76"/>
      <c r="BB2265" s="76"/>
      <c r="BC2265" s="76"/>
      <c r="BD2265" s="76">
        <f>+BC2265*30000</f>
        <v>0</v>
      </c>
      <c r="BE2265" s="76"/>
      <c r="BF2265" s="76"/>
      <c r="BG2265" s="76"/>
      <c r="BH2265" s="76"/>
      <c r="BI2265" s="76"/>
      <c r="BJ2265" s="76"/>
      <c r="BK2265" s="76"/>
      <c r="BL2265" s="76">
        <f>+BK2265*31500</f>
        <v>0</v>
      </c>
      <c r="BM2265" s="76"/>
      <c r="BN2265" s="76"/>
      <c r="BO2265" s="76"/>
      <c r="BP2265" s="76"/>
      <c r="BQ2265" s="76"/>
      <c r="BR2265" s="76"/>
      <c r="BS2265" s="76"/>
      <c r="BT2265" s="76"/>
      <c r="BU2265" s="76"/>
      <c r="BV2265" s="76"/>
      <c r="BW2265" s="76"/>
      <c r="BX2265" s="76"/>
      <c r="BY2265" s="76"/>
      <c r="BZ2265" s="76"/>
      <c r="CA2265" s="76"/>
      <c r="CB2265" s="76"/>
      <c r="CC2265" s="76"/>
      <c r="CD2265" s="76"/>
      <c r="CE2265" s="76"/>
      <c r="CF2265" s="76">
        <f>+CE2265*28000</f>
        <v>0</v>
      </c>
      <c r="CG2265" s="76"/>
      <c r="CH2265" s="76">
        <f>+CG2265*22500</f>
        <v>0</v>
      </c>
      <c r="CI2265" s="86">
        <v>600</v>
      </c>
      <c r="CJ2265" s="86">
        <f>+CI2265*25999.08</f>
        <v>15599448.000000002</v>
      </c>
      <c r="CK2265" s="76"/>
      <c r="CL2265" s="76"/>
      <c r="CM2265" s="76"/>
      <c r="CN2265" s="76">
        <f>+CM2265*22000</f>
        <v>0</v>
      </c>
      <c r="CO2265" s="76"/>
      <c r="CP2265" s="76">
        <f>+CO2265*46000</f>
        <v>0</v>
      </c>
      <c r="CQ2265" s="76"/>
      <c r="CR2265" s="76">
        <f>+CQ2265*49000</f>
        <v>0</v>
      </c>
      <c r="CS2265" s="76"/>
      <c r="CT2265" s="76"/>
      <c r="CU2265" s="56">
        <f>AN2265+AP2265+AR2265+AT2265+AV2265+AX2265+AZ2265+BB2265+BD2265+BF2265+BH2265+BJ2265+BL2265+BN2265+BP2265+BR2265+BT2265+BV2265+BX2265+BZ2265+CB2265+CD2265+CF2265+CH2265+CJ2265+CL2265+CN2265+CP2265+CR2265+CT2265</f>
        <v>57598871.999999993</v>
      </c>
      <c r="CV2265" s="76"/>
      <c r="CW2265" s="76">
        <f>+CV2265*1100</f>
        <v>0</v>
      </c>
      <c r="CX2265" s="86">
        <v>150</v>
      </c>
      <c r="CY2265" s="86">
        <f>+CX2265*106250</f>
        <v>15937500</v>
      </c>
      <c r="CZ2265" s="76"/>
      <c r="DA2265" s="76">
        <f>+CZ2265*34500</f>
        <v>0</v>
      </c>
      <c r="DB2265" s="86">
        <v>200</v>
      </c>
      <c r="DC2265" s="86">
        <f>200*48999.56</f>
        <v>9799912</v>
      </c>
      <c r="DD2265" s="219"/>
      <c r="DE2265" s="219"/>
      <c r="DF2265" s="166"/>
      <c r="DG2265" s="134" t="s">
        <v>6226</v>
      </c>
      <c r="DH2265" s="117"/>
      <c r="DI2265" s="24"/>
      <c r="DJ2265" s="24"/>
      <c r="DK2265" s="24"/>
      <c r="DL2265" s="24"/>
      <c r="DM2265" s="24"/>
      <c r="DN2265" s="24"/>
      <c r="DO2265" s="24"/>
      <c r="DP2265" s="24"/>
      <c r="DQ2265" s="24"/>
      <c r="DR2265" s="24"/>
      <c r="DS2265" s="24"/>
      <c r="DT2265" s="24"/>
      <c r="DU2265" s="24"/>
    </row>
    <row r="2266" spans="1:125" s="8" customFormat="1" ht="72" x14ac:dyDescent="0.2">
      <c r="A2266" s="226">
        <v>41459</v>
      </c>
      <c r="B2266" s="225" t="s">
        <v>2894</v>
      </c>
      <c r="C2266" s="227" t="s">
        <v>2648</v>
      </c>
      <c r="D2266" s="227" t="s">
        <v>3051</v>
      </c>
      <c r="E2266" s="75" t="str">
        <f>VLOOKUP(B2266&amp;C2266,Divipola!$C$2:$F$1138,4,FALSE)</f>
        <v>05895</v>
      </c>
      <c r="F2266" s="87"/>
      <c r="G2266" s="87"/>
      <c r="H2266" s="87"/>
      <c r="I2266" s="87">
        <v>1160</v>
      </c>
      <c r="J2266" s="87">
        <v>232</v>
      </c>
      <c r="K2266" s="87"/>
      <c r="L2266" s="87">
        <v>232</v>
      </c>
      <c r="M2266" s="87"/>
      <c r="N2266" s="87"/>
      <c r="O2266" s="87"/>
      <c r="P2266" s="87"/>
      <c r="Q2266" s="87"/>
      <c r="R2266" s="87"/>
      <c r="S2266" s="87"/>
      <c r="T2266" s="87"/>
      <c r="U2266" s="88"/>
      <c r="V2266" s="89"/>
      <c r="W2266" s="96">
        <v>0</v>
      </c>
      <c r="X2266" s="71">
        <f>CU2266</f>
        <v>0</v>
      </c>
      <c r="Y2266" s="71">
        <f>CY2266</f>
        <v>0</v>
      </c>
      <c r="Z2266" s="71">
        <f>DA2266+DC2266+DE2266</f>
        <v>0</v>
      </c>
      <c r="AA2266" s="71">
        <f>CW2266</f>
        <v>0</v>
      </c>
      <c r="AB2266" s="71"/>
      <c r="AC2266" s="71">
        <v>0</v>
      </c>
      <c r="AD2266" s="71">
        <f>W2266+X2266+Y2266+Z2266+AA2266+AB2266+AC2266</f>
        <v>0</v>
      </c>
      <c r="AE2266" s="72">
        <v>0</v>
      </c>
      <c r="AF2266" s="5"/>
      <c r="AG2266" s="6"/>
      <c r="AH2266" s="27" t="s">
        <v>3392</v>
      </c>
      <c r="AI2266" s="44" t="s">
        <v>3393</v>
      </c>
      <c r="AJ2266" s="26"/>
      <c r="AK2266" s="5"/>
      <c r="AL2266" s="82" t="s">
        <v>5119</v>
      </c>
      <c r="AM2266" s="76"/>
      <c r="AN2266" s="76"/>
      <c r="AO2266" s="76"/>
      <c r="AP2266" s="76"/>
      <c r="AQ2266" s="76"/>
      <c r="AR2266" s="76"/>
      <c r="AS2266" s="76"/>
      <c r="AT2266" s="76"/>
      <c r="AU2266" s="76"/>
      <c r="AV2266" s="76"/>
      <c r="AW2266" s="76"/>
      <c r="AX2266" s="76">
        <f>+AW2266*600000</f>
        <v>0</v>
      </c>
      <c r="AY2266" s="76"/>
      <c r="AZ2266" s="76">
        <f>+AY2266*70000</f>
        <v>0</v>
      </c>
      <c r="BA2266" s="76"/>
      <c r="BB2266" s="76"/>
      <c r="BC2266" s="76"/>
      <c r="BD2266" s="76">
        <f>+BC2266*30000</f>
        <v>0</v>
      </c>
      <c r="BE2266" s="76"/>
      <c r="BF2266" s="76"/>
      <c r="BG2266" s="76"/>
      <c r="BH2266" s="76"/>
      <c r="BI2266" s="76"/>
      <c r="BJ2266" s="76"/>
      <c r="BK2266" s="76"/>
      <c r="BL2266" s="76">
        <f>+BK2266*31500</f>
        <v>0</v>
      </c>
      <c r="BM2266" s="76"/>
      <c r="BN2266" s="76"/>
      <c r="BO2266" s="76"/>
      <c r="BP2266" s="76"/>
      <c r="BQ2266" s="76"/>
      <c r="BR2266" s="76"/>
      <c r="BS2266" s="76"/>
      <c r="BT2266" s="76"/>
      <c r="BU2266" s="76"/>
      <c r="BV2266" s="76"/>
      <c r="BW2266" s="76"/>
      <c r="BX2266" s="76"/>
      <c r="BY2266" s="76"/>
      <c r="BZ2266" s="76"/>
      <c r="CA2266" s="76"/>
      <c r="CB2266" s="76"/>
      <c r="CC2266" s="76"/>
      <c r="CD2266" s="76"/>
      <c r="CE2266" s="76"/>
      <c r="CF2266" s="76">
        <f>+CE2266*28000</f>
        <v>0</v>
      </c>
      <c r="CG2266" s="76"/>
      <c r="CH2266" s="76">
        <f>+CG2266*22500</f>
        <v>0</v>
      </c>
      <c r="CI2266" s="76"/>
      <c r="CJ2266" s="76">
        <f>+CI2266*26000</f>
        <v>0</v>
      </c>
      <c r="CK2266" s="76"/>
      <c r="CL2266" s="76"/>
      <c r="CM2266" s="76"/>
      <c r="CN2266" s="76">
        <f>+CM2266*22000</f>
        <v>0</v>
      </c>
      <c r="CO2266" s="76"/>
      <c r="CP2266" s="76">
        <f>+CO2266*46000</f>
        <v>0</v>
      </c>
      <c r="CQ2266" s="76"/>
      <c r="CR2266" s="76">
        <f>+CQ2266*49000</f>
        <v>0</v>
      </c>
      <c r="CS2266" s="76"/>
      <c r="CT2266" s="76"/>
      <c r="CU2266" s="56">
        <f>AN2266+AP2266+AR2266+AT2266+AV2266+AX2266+AZ2266+BB2266+BD2266+BF2266+BH2266+BJ2266+BL2266+BN2266+BP2266+BR2266+BT2266+BV2266+BX2266+BZ2266+CB2266+CD2266+CF2266+CH2266+CJ2266+CL2266+CN2266+CP2266+CR2266+CT2266</f>
        <v>0</v>
      </c>
      <c r="CV2266" s="76"/>
      <c r="CW2266" s="76">
        <f>+CV2266*1100</f>
        <v>0</v>
      </c>
      <c r="CX2266" s="76"/>
      <c r="CY2266" s="76">
        <f>+CX2266*106250</f>
        <v>0</v>
      </c>
      <c r="CZ2266" s="76"/>
      <c r="DA2266" s="76">
        <f>+CZ2266*34500</f>
        <v>0</v>
      </c>
      <c r="DB2266" s="76"/>
      <c r="DC2266" s="76">
        <f>+DB2266*25000</f>
        <v>0</v>
      </c>
      <c r="DD2266" s="219"/>
      <c r="DE2266" s="219"/>
      <c r="DF2266" s="166"/>
      <c r="DG2266" s="116"/>
      <c r="DH2266" s="117"/>
      <c r="DI2266" s="24"/>
      <c r="DJ2266" s="24"/>
      <c r="DK2266" s="24"/>
      <c r="DL2266" s="24"/>
      <c r="DM2266" s="24"/>
      <c r="DN2266" s="24"/>
      <c r="DO2266" s="24"/>
      <c r="DP2266" s="24"/>
      <c r="DQ2266" s="24"/>
      <c r="DR2266" s="24"/>
      <c r="DS2266" s="24"/>
      <c r="DT2266" s="24"/>
      <c r="DU2266" s="24"/>
    </row>
    <row r="2267" spans="1:125" s="8" customFormat="1" ht="48" x14ac:dyDescent="0.2">
      <c r="A2267" s="353">
        <v>41459</v>
      </c>
      <c r="B2267" s="352" t="s">
        <v>2700</v>
      </c>
      <c r="C2267" s="354" t="s">
        <v>2108</v>
      </c>
      <c r="D2267" s="354" t="s">
        <v>2846</v>
      </c>
      <c r="E2267" s="75" t="str">
        <f>VLOOKUP(B2267&amp;C2267,Divipola!$C$2:$F$1138,4,FALSE)</f>
        <v>15804</v>
      </c>
      <c r="F2267" s="87"/>
      <c r="G2267" s="87"/>
      <c r="H2267" s="87"/>
      <c r="I2267" s="87"/>
      <c r="J2267" s="87"/>
      <c r="K2267" s="87"/>
      <c r="L2267" s="87"/>
      <c r="M2267" s="87"/>
      <c r="N2267" s="87"/>
      <c r="O2267" s="87"/>
      <c r="P2267" s="87"/>
      <c r="Q2267" s="87"/>
      <c r="R2267" s="87"/>
      <c r="S2267" s="87"/>
      <c r="T2267" s="87"/>
      <c r="U2267" s="88">
        <v>1</v>
      </c>
      <c r="V2267" s="89"/>
      <c r="W2267" s="96">
        <v>0</v>
      </c>
      <c r="X2267" s="71">
        <f>CU2267</f>
        <v>0</v>
      </c>
      <c r="Y2267" s="71">
        <f>CY2267</f>
        <v>0</v>
      </c>
      <c r="Z2267" s="71">
        <f>DA2267+DC2267+DE2267</f>
        <v>0</v>
      </c>
      <c r="AA2267" s="71">
        <f>CW2267</f>
        <v>0</v>
      </c>
      <c r="AB2267" s="71"/>
      <c r="AC2267" s="71">
        <v>0</v>
      </c>
      <c r="AD2267" s="71">
        <f>W2267+X2267+Y2267+Z2267+AA2267+AB2267+AC2267</f>
        <v>0</v>
      </c>
      <c r="AE2267" s="72">
        <v>0</v>
      </c>
      <c r="AF2267" s="5"/>
      <c r="AG2267" s="6"/>
      <c r="AH2267" s="27" t="s">
        <v>3392</v>
      </c>
      <c r="AI2267" s="44" t="s">
        <v>3393</v>
      </c>
      <c r="AJ2267" s="26"/>
      <c r="AK2267" s="5"/>
      <c r="AL2267" s="82" t="s">
        <v>5129</v>
      </c>
      <c r="AM2267" s="76"/>
      <c r="AN2267" s="76"/>
      <c r="AO2267" s="76"/>
      <c r="AP2267" s="76"/>
      <c r="AQ2267" s="76"/>
      <c r="AR2267" s="76"/>
      <c r="AS2267" s="76"/>
      <c r="AT2267" s="76"/>
      <c r="AU2267" s="76"/>
      <c r="AV2267" s="76"/>
      <c r="AW2267" s="76"/>
      <c r="AX2267" s="76">
        <f>+AW2267*600000</f>
        <v>0</v>
      </c>
      <c r="AY2267" s="76"/>
      <c r="AZ2267" s="76">
        <f>+AY2267*70000</f>
        <v>0</v>
      </c>
      <c r="BA2267" s="76"/>
      <c r="BB2267" s="76"/>
      <c r="BC2267" s="76"/>
      <c r="BD2267" s="76">
        <f>+BC2267*30000</f>
        <v>0</v>
      </c>
      <c r="BE2267" s="76"/>
      <c r="BF2267" s="76"/>
      <c r="BG2267" s="76"/>
      <c r="BH2267" s="76"/>
      <c r="BI2267" s="76"/>
      <c r="BJ2267" s="76"/>
      <c r="BK2267" s="76"/>
      <c r="BL2267" s="76">
        <f>+BK2267*31500</f>
        <v>0</v>
      </c>
      <c r="BM2267" s="76"/>
      <c r="BN2267" s="76"/>
      <c r="BO2267" s="76"/>
      <c r="BP2267" s="76"/>
      <c r="BQ2267" s="76"/>
      <c r="BR2267" s="76"/>
      <c r="BS2267" s="76"/>
      <c r="BT2267" s="76"/>
      <c r="BU2267" s="76"/>
      <c r="BV2267" s="76"/>
      <c r="BW2267" s="76"/>
      <c r="BX2267" s="76"/>
      <c r="BY2267" s="76"/>
      <c r="BZ2267" s="76"/>
      <c r="CA2267" s="76"/>
      <c r="CB2267" s="76"/>
      <c r="CC2267" s="76"/>
      <c r="CD2267" s="76"/>
      <c r="CE2267" s="76"/>
      <c r="CF2267" s="76">
        <f>+CE2267*28000</f>
        <v>0</v>
      </c>
      <c r="CG2267" s="76"/>
      <c r="CH2267" s="76">
        <f>+CG2267*22500</f>
        <v>0</v>
      </c>
      <c r="CI2267" s="76"/>
      <c r="CJ2267" s="76">
        <f>+CI2267*26000</f>
        <v>0</v>
      </c>
      <c r="CK2267" s="76"/>
      <c r="CL2267" s="76"/>
      <c r="CM2267" s="76"/>
      <c r="CN2267" s="76">
        <f>+CM2267*22000</f>
        <v>0</v>
      </c>
      <c r="CO2267" s="76"/>
      <c r="CP2267" s="76">
        <f>+CO2267*46000</f>
        <v>0</v>
      </c>
      <c r="CQ2267" s="76"/>
      <c r="CR2267" s="76">
        <f>+CQ2267*49000</f>
        <v>0</v>
      </c>
      <c r="CS2267" s="76"/>
      <c r="CT2267" s="76"/>
      <c r="CU2267" s="56">
        <f>AN2267+AP2267+AR2267+AT2267+AV2267+AX2267+AZ2267+BB2267+BD2267+BF2267+BH2267+BJ2267+BL2267+BN2267+BP2267+BR2267+BT2267+BV2267+BX2267+BZ2267+CB2267+CD2267+CF2267+CH2267+CJ2267+CL2267+CN2267+CP2267+CR2267+CT2267</f>
        <v>0</v>
      </c>
      <c r="CV2267" s="76"/>
      <c r="CW2267" s="76">
        <f>+CV2267*1100</f>
        <v>0</v>
      </c>
      <c r="CX2267" s="76"/>
      <c r="CY2267" s="76">
        <f>+CX2267*106250</f>
        <v>0</v>
      </c>
      <c r="CZ2267" s="76"/>
      <c r="DA2267" s="76">
        <f>+CZ2267*34500</f>
        <v>0</v>
      </c>
      <c r="DB2267" s="76"/>
      <c r="DC2267" s="76">
        <f>+DB2267*25000</f>
        <v>0</v>
      </c>
      <c r="DD2267" s="219"/>
      <c r="DE2267" s="219"/>
      <c r="DF2267" s="166"/>
      <c r="DG2267" s="116"/>
      <c r="DH2267" s="117"/>
      <c r="DI2267" s="24"/>
      <c r="DJ2267" s="24"/>
      <c r="DK2267" s="24"/>
      <c r="DL2267" s="24"/>
      <c r="DM2267" s="24"/>
      <c r="DN2267" s="24"/>
      <c r="DO2267" s="24"/>
      <c r="DP2267" s="24"/>
      <c r="DQ2267" s="24"/>
      <c r="DR2267" s="24"/>
      <c r="DS2267" s="24"/>
      <c r="DT2267" s="24"/>
      <c r="DU2267" s="24"/>
    </row>
    <row r="2268" spans="1:125" s="8" customFormat="1" ht="72" x14ac:dyDescent="0.2">
      <c r="A2268" s="226">
        <v>41459</v>
      </c>
      <c r="B2268" s="225" t="s">
        <v>2854</v>
      </c>
      <c r="C2268" s="227" t="s">
        <v>2093</v>
      </c>
      <c r="D2268" s="354" t="s">
        <v>2882</v>
      </c>
      <c r="E2268" s="75" t="str">
        <f>VLOOKUP(B2268&amp;C2268,Divipola!$C$2:$F$1138,4,FALSE)</f>
        <v>19455</v>
      </c>
      <c r="F2268" s="87"/>
      <c r="G2268" s="87"/>
      <c r="H2268" s="87"/>
      <c r="I2268" s="87">
        <v>15</v>
      </c>
      <c r="J2268" s="87">
        <v>3</v>
      </c>
      <c r="K2268" s="87"/>
      <c r="L2268" s="87">
        <v>3</v>
      </c>
      <c r="M2268" s="87"/>
      <c r="N2268" s="87"/>
      <c r="O2268" s="87"/>
      <c r="P2268" s="87"/>
      <c r="Q2268" s="87"/>
      <c r="R2268" s="87">
        <v>1</v>
      </c>
      <c r="S2268" s="87"/>
      <c r="T2268" s="87"/>
      <c r="U2268" s="88"/>
      <c r="V2268" s="89"/>
      <c r="W2268" s="96">
        <v>0</v>
      </c>
      <c r="X2268" s="71">
        <f>CU2268</f>
        <v>0</v>
      </c>
      <c r="Y2268" s="71">
        <f>CY2268</f>
        <v>0</v>
      </c>
      <c r="Z2268" s="71">
        <f>DA2268+DC2268+DE2268</f>
        <v>0</v>
      </c>
      <c r="AA2268" s="71">
        <f>CW2268</f>
        <v>0</v>
      </c>
      <c r="AB2268" s="71"/>
      <c r="AC2268" s="71">
        <v>0</v>
      </c>
      <c r="AD2268" s="71">
        <f>W2268+X2268+Y2268+Z2268+AA2268+AB2268+AC2268</f>
        <v>0</v>
      </c>
      <c r="AE2268" s="72">
        <v>0</v>
      </c>
      <c r="AF2268" s="5"/>
      <c r="AG2268" s="6"/>
      <c r="AH2268" s="27" t="s">
        <v>3392</v>
      </c>
      <c r="AI2268" s="44" t="s">
        <v>3393</v>
      </c>
      <c r="AJ2268" s="26"/>
      <c r="AK2268" s="5"/>
      <c r="AL2268" s="82" t="s">
        <v>5118</v>
      </c>
      <c r="AM2268" s="76"/>
      <c r="AN2268" s="76"/>
      <c r="AO2268" s="76"/>
      <c r="AP2268" s="76"/>
      <c r="AQ2268" s="76"/>
      <c r="AR2268" s="76"/>
      <c r="AS2268" s="76"/>
      <c r="AT2268" s="76"/>
      <c r="AU2268" s="76"/>
      <c r="AV2268" s="76"/>
      <c r="AW2268" s="76"/>
      <c r="AX2268" s="76">
        <f>+AW2268*600000</f>
        <v>0</v>
      </c>
      <c r="AY2268" s="76"/>
      <c r="AZ2268" s="76">
        <f>+AY2268*70000</f>
        <v>0</v>
      </c>
      <c r="BA2268" s="76"/>
      <c r="BB2268" s="76"/>
      <c r="BC2268" s="76"/>
      <c r="BD2268" s="76">
        <f>+BC2268*30000</f>
        <v>0</v>
      </c>
      <c r="BE2268" s="76"/>
      <c r="BF2268" s="76"/>
      <c r="BG2268" s="76"/>
      <c r="BH2268" s="76"/>
      <c r="BI2268" s="76"/>
      <c r="BJ2268" s="76"/>
      <c r="BK2268" s="76"/>
      <c r="BL2268" s="76">
        <f>+BK2268*31500</f>
        <v>0</v>
      </c>
      <c r="BM2268" s="76"/>
      <c r="BN2268" s="76"/>
      <c r="BO2268" s="76"/>
      <c r="BP2268" s="76"/>
      <c r="BQ2268" s="76"/>
      <c r="BR2268" s="76"/>
      <c r="BS2268" s="76"/>
      <c r="BT2268" s="76"/>
      <c r="BU2268" s="76"/>
      <c r="BV2268" s="76"/>
      <c r="BW2268" s="76"/>
      <c r="BX2268" s="76"/>
      <c r="BY2268" s="76"/>
      <c r="BZ2268" s="76"/>
      <c r="CA2268" s="76"/>
      <c r="CB2268" s="76"/>
      <c r="CC2268" s="76"/>
      <c r="CD2268" s="76"/>
      <c r="CE2268" s="76"/>
      <c r="CF2268" s="76">
        <f>+CE2268*28000</f>
        <v>0</v>
      </c>
      <c r="CG2268" s="76"/>
      <c r="CH2268" s="76">
        <f>+CG2268*22500</f>
        <v>0</v>
      </c>
      <c r="CI2268" s="76"/>
      <c r="CJ2268" s="76">
        <f>+CI2268*26000</f>
        <v>0</v>
      </c>
      <c r="CK2268" s="76"/>
      <c r="CL2268" s="76"/>
      <c r="CM2268" s="76"/>
      <c r="CN2268" s="76">
        <f>+CM2268*22000</f>
        <v>0</v>
      </c>
      <c r="CO2268" s="76"/>
      <c r="CP2268" s="76">
        <f>+CO2268*46000</f>
        <v>0</v>
      </c>
      <c r="CQ2268" s="76"/>
      <c r="CR2268" s="76">
        <f>+CQ2268*49000</f>
        <v>0</v>
      </c>
      <c r="CS2268" s="76"/>
      <c r="CT2268" s="76"/>
      <c r="CU2268" s="56">
        <f>AN2268+AP2268+AR2268+AT2268+AV2268+AX2268+AZ2268+BB2268+BD2268+BF2268+BH2268+BJ2268+BL2268+BN2268+BP2268+BR2268+BT2268+BV2268+BX2268+BZ2268+CB2268+CD2268+CF2268+CH2268+CJ2268+CL2268+CN2268+CP2268+CR2268+CT2268</f>
        <v>0</v>
      </c>
      <c r="CV2268" s="76"/>
      <c r="CW2268" s="76">
        <f>+CV2268*1100</f>
        <v>0</v>
      </c>
      <c r="CX2268" s="76"/>
      <c r="CY2268" s="76">
        <f>+CX2268*106250</f>
        <v>0</v>
      </c>
      <c r="CZ2268" s="76"/>
      <c r="DA2268" s="76">
        <f>+CZ2268*34500</f>
        <v>0</v>
      </c>
      <c r="DB2268" s="76"/>
      <c r="DC2268" s="76">
        <f>+DB2268*25000</f>
        <v>0</v>
      </c>
      <c r="DD2268" s="219"/>
      <c r="DE2268" s="219"/>
      <c r="DF2268" s="166"/>
      <c r="DG2268" s="116"/>
      <c r="DH2268" s="117"/>
      <c r="DI2268" s="24"/>
      <c r="DJ2268" s="24"/>
      <c r="DK2268" s="24"/>
      <c r="DL2268" s="24"/>
      <c r="DM2268" s="24"/>
      <c r="DN2268" s="24"/>
      <c r="DO2268" s="24"/>
      <c r="DP2268" s="24"/>
      <c r="DQ2268" s="24"/>
      <c r="DR2268" s="24"/>
      <c r="DS2268" s="24"/>
      <c r="DT2268" s="24"/>
      <c r="DU2268" s="24"/>
    </row>
    <row r="2269" spans="1:125" s="8" customFormat="1" ht="36" x14ac:dyDescent="0.2">
      <c r="A2269" s="353">
        <v>41459</v>
      </c>
      <c r="B2269" s="352" t="s">
        <v>2854</v>
      </c>
      <c r="C2269" s="227" t="s">
        <v>2731</v>
      </c>
      <c r="D2269" s="354" t="s">
        <v>2882</v>
      </c>
      <c r="E2269" s="75" t="str">
        <f>VLOOKUP(B2269&amp;C2269,Divipola!$C$2:$F$1138,4,FALSE)</f>
        <v>19001</v>
      </c>
      <c r="F2269" s="87"/>
      <c r="G2269" s="87"/>
      <c r="H2269" s="87"/>
      <c r="I2269" s="87"/>
      <c r="J2269" s="87"/>
      <c r="K2269" s="87"/>
      <c r="L2269" s="87"/>
      <c r="M2269" s="87"/>
      <c r="N2269" s="87"/>
      <c r="O2269" s="87"/>
      <c r="P2269" s="87"/>
      <c r="Q2269" s="87"/>
      <c r="R2269" s="87"/>
      <c r="S2269" s="87"/>
      <c r="T2269" s="87"/>
      <c r="U2269" s="88"/>
      <c r="V2269" s="89"/>
      <c r="W2269" s="96">
        <v>0</v>
      </c>
      <c r="X2269" s="71">
        <f>CU2269</f>
        <v>0</v>
      </c>
      <c r="Y2269" s="71">
        <f>CY2269</f>
        <v>0</v>
      </c>
      <c r="Z2269" s="71">
        <f>DA2269+DC2269+DE2269</f>
        <v>0</v>
      </c>
      <c r="AA2269" s="71">
        <f>CW2269</f>
        <v>0</v>
      </c>
      <c r="AB2269" s="71"/>
      <c r="AC2269" s="71">
        <v>0</v>
      </c>
      <c r="AD2269" s="71">
        <f>W2269+X2269+Y2269+Z2269+AA2269+AB2269+AC2269</f>
        <v>0</v>
      </c>
      <c r="AE2269" s="72">
        <v>0</v>
      </c>
      <c r="AF2269" s="5"/>
      <c r="AG2269" s="6"/>
      <c r="AH2269" s="27" t="s">
        <v>3392</v>
      </c>
      <c r="AI2269" s="44" t="s">
        <v>3393</v>
      </c>
      <c r="AJ2269" s="26"/>
      <c r="AK2269" s="5"/>
      <c r="AL2269" s="82" t="s">
        <v>5122</v>
      </c>
      <c r="AM2269" s="76"/>
      <c r="AN2269" s="76"/>
      <c r="AO2269" s="76"/>
      <c r="AP2269" s="76"/>
      <c r="AQ2269" s="76"/>
      <c r="AR2269" s="76"/>
      <c r="AS2269" s="76"/>
      <c r="AT2269" s="76"/>
      <c r="AU2269" s="76"/>
      <c r="AV2269" s="76"/>
      <c r="AW2269" s="76"/>
      <c r="AX2269" s="76">
        <f>+AW2269*600000</f>
        <v>0</v>
      </c>
      <c r="AY2269" s="76"/>
      <c r="AZ2269" s="76">
        <f>+AY2269*70000</f>
        <v>0</v>
      </c>
      <c r="BA2269" s="76"/>
      <c r="BB2269" s="76"/>
      <c r="BC2269" s="76"/>
      <c r="BD2269" s="76">
        <f>+BC2269*30000</f>
        <v>0</v>
      </c>
      <c r="BE2269" s="76"/>
      <c r="BF2269" s="76"/>
      <c r="BG2269" s="76"/>
      <c r="BH2269" s="76"/>
      <c r="BI2269" s="76"/>
      <c r="BJ2269" s="76"/>
      <c r="BK2269" s="76"/>
      <c r="BL2269" s="76">
        <f>+BK2269*31500</f>
        <v>0</v>
      </c>
      <c r="BM2269" s="76"/>
      <c r="BN2269" s="76"/>
      <c r="BO2269" s="76"/>
      <c r="BP2269" s="76"/>
      <c r="BQ2269" s="76"/>
      <c r="BR2269" s="76"/>
      <c r="BS2269" s="76"/>
      <c r="BT2269" s="76"/>
      <c r="BU2269" s="76"/>
      <c r="BV2269" s="76"/>
      <c r="BW2269" s="76"/>
      <c r="BX2269" s="76"/>
      <c r="BY2269" s="76"/>
      <c r="BZ2269" s="76"/>
      <c r="CA2269" s="76"/>
      <c r="CB2269" s="76"/>
      <c r="CC2269" s="76"/>
      <c r="CD2269" s="76"/>
      <c r="CE2269" s="76"/>
      <c r="CF2269" s="76">
        <f>+CE2269*28000</f>
        <v>0</v>
      </c>
      <c r="CG2269" s="76"/>
      <c r="CH2269" s="76">
        <f>+CG2269*22500</f>
        <v>0</v>
      </c>
      <c r="CI2269" s="76"/>
      <c r="CJ2269" s="76">
        <f>+CI2269*26000</f>
        <v>0</v>
      </c>
      <c r="CK2269" s="76"/>
      <c r="CL2269" s="76"/>
      <c r="CM2269" s="76"/>
      <c r="CN2269" s="76">
        <f>+CM2269*22000</f>
        <v>0</v>
      </c>
      <c r="CO2269" s="76"/>
      <c r="CP2269" s="76">
        <f>+CO2269*46000</f>
        <v>0</v>
      </c>
      <c r="CQ2269" s="76"/>
      <c r="CR2269" s="76">
        <f>+CQ2269*49000</f>
        <v>0</v>
      </c>
      <c r="CS2269" s="76"/>
      <c r="CT2269" s="76"/>
      <c r="CU2269" s="56">
        <f>AN2269+AP2269+AR2269+AT2269+AV2269+AX2269+AZ2269+BB2269+BD2269+BF2269+BH2269+BJ2269+BL2269+BN2269+BP2269+BR2269+BT2269+BV2269+BX2269+BZ2269+CB2269+CD2269+CF2269+CH2269+CJ2269+CL2269+CN2269+CP2269+CR2269+CT2269</f>
        <v>0</v>
      </c>
      <c r="CV2269" s="76"/>
      <c r="CW2269" s="76">
        <f>+CV2269*1100</f>
        <v>0</v>
      </c>
      <c r="CX2269" s="76"/>
      <c r="CY2269" s="76">
        <f>+CX2269*106250</f>
        <v>0</v>
      </c>
      <c r="CZ2269" s="76"/>
      <c r="DA2269" s="76">
        <f>+CZ2269*34500</f>
        <v>0</v>
      </c>
      <c r="DB2269" s="76"/>
      <c r="DC2269" s="76">
        <f>+DB2269*25000</f>
        <v>0</v>
      </c>
      <c r="DD2269" s="219"/>
      <c r="DE2269" s="219"/>
      <c r="DF2269" s="166"/>
      <c r="DG2269" s="116"/>
      <c r="DH2269" s="117"/>
      <c r="DI2269" s="24"/>
      <c r="DJ2269" s="24"/>
      <c r="DK2269" s="24"/>
      <c r="DL2269" s="24"/>
      <c r="DM2269" s="24"/>
      <c r="DN2269" s="24"/>
      <c r="DO2269" s="24"/>
      <c r="DP2269" s="24"/>
      <c r="DQ2269" s="24"/>
      <c r="DR2269" s="24"/>
      <c r="DS2269" s="24"/>
      <c r="DT2269" s="24"/>
      <c r="DU2269" s="24"/>
    </row>
    <row r="2270" spans="1:125" s="8" customFormat="1" ht="144" x14ac:dyDescent="0.2">
      <c r="A2270" s="77">
        <v>41459</v>
      </c>
      <c r="B2270" s="208" t="s">
        <v>2906</v>
      </c>
      <c r="C2270" s="227" t="s">
        <v>450</v>
      </c>
      <c r="D2270" s="354" t="s">
        <v>3504</v>
      </c>
      <c r="E2270" s="75" t="str">
        <f>VLOOKUP(B2270&amp;C2270,Divipola!$C$2:$F$1138,4,FALSE)</f>
        <v>47555</v>
      </c>
      <c r="F2270" s="87"/>
      <c r="G2270" s="87"/>
      <c r="H2270" s="87"/>
      <c r="I2270" s="87">
        <v>5</v>
      </c>
      <c r="J2270" s="87">
        <v>1</v>
      </c>
      <c r="K2270" s="87">
        <v>1</v>
      </c>
      <c r="L2270" s="87"/>
      <c r="M2270" s="87"/>
      <c r="N2270" s="87"/>
      <c r="O2270" s="87"/>
      <c r="P2270" s="87"/>
      <c r="Q2270" s="87"/>
      <c r="R2270" s="87"/>
      <c r="S2270" s="87"/>
      <c r="T2270" s="87"/>
      <c r="U2270" s="88"/>
      <c r="V2270" s="89">
        <v>1</v>
      </c>
      <c r="W2270" s="96">
        <v>0</v>
      </c>
      <c r="X2270" s="71">
        <f>CU2270</f>
        <v>0</v>
      </c>
      <c r="Y2270" s="71">
        <f>CY2270</f>
        <v>0</v>
      </c>
      <c r="Z2270" s="71">
        <f>DA2270+DC2270+DE2270</f>
        <v>0</v>
      </c>
      <c r="AA2270" s="71">
        <f>CW2270</f>
        <v>0</v>
      </c>
      <c r="AB2270" s="71"/>
      <c r="AC2270" s="71">
        <v>0</v>
      </c>
      <c r="AD2270" s="71">
        <f>W2270+X2270+Y2270+Z2270+AA2270+AB2270+AC2270</f>
        <v>0</v>
      </c>
      <c r="AE2270" s="72">
        <v>0</v>
      </c>
      <c r="AF2270" s="5"/>
      <c r="AG2270" s="6"/>
      <c r="AH2270" s="27" t="s">
        <v>3392</v>
      </c>
      <c r="AI2270" s="44" t="s">
        <v>3393</v>
      </c>
      <c r="AJ2270" s="26"/>
      <c r="AK2270" s="5"/>
      <c r="AL2270" s="82" t="s">
        <v>5125</v>
      </c>
      <c r="AM2270" s="76"/>
      <c r="AN2270" s="76"/>
      <c r="AO2270" s="76"/>
      <c r="AP2270" s="76"/>
      <c r="AQ2270" s="76"/>
      <c r="AR2270" s="76"/>
      <c r="AS2270" s="76"/>
      <c r="AT2270" s="76"/>
      <c r="AU2270" s="76"/>
      <c r="AV2270" s="76"/>
      <c r="AW2270" s="76"/>
      <c r="AX2270" s="76">
        <f>+AW2270*600000</f>
        <v>0</v>
      </c>
      <c r="AY2270" s="76"/>
      <c r="AZ2270" s="76">
        <f>+AY2270*70000</f>
        <v>0</v>
      </c>
      <c r="BA2270" s="76"/>
      <c r="BB2270" s="76"/>
      <c r="BC2270" s="76"/>
      <c r="BD2270" s="76">
        <f>+BC2270*30000</f>
        <v>0</v>
      </c>
      <c r="BE2270" s="76"/>
      <c r="BF2270" s="76"/>
      <c r="BG2270" s="76"/>
      <c r="BH2270" s="76"/>
      <c r="BI2270" s="76"/>
      <c r="BJ2270" s="76"/>
      <c r="BK2270" s="76"/>
      <c r="BL2270" s="76">
        <f>+BK2270*31500</f>
        <v>0</v>
      </c>
      <c r="BM2270" s="76"/>
      <c r="BN2270" s="76"/>
      <c r="BO2270" s="76"/>
      <c r="BP2270" s="76"/>
      <c r="BQ2270" s="76"/>
      <c r="BR2270" s="76"/>
      <c r="BS2270" s="76"/>
      <c r="BT2270" s="76"/>
      <c r="BU2270" s="76"/>
      <c r="BV2270" s="76"/>
      <c r="BW2270" s="76"/>
      <c r="BX2270" s="76"/>
      <c r="BY2270" s="76"/>
      <c r="BZ2270" s="76"/>
      <c r="CA2270" s="76"/>
      <c r="CB2270" s="76"/>
      <c r="CC2270" s="76"/>
      <c r="CD2270" s="76"/>
      <c r="CE2270" s="76"/>
      <c r="CF2270" s="76">
        <f>+CE2270*28000</f>
        <v>0</v>
      </c>
      <c r="CG2270" s="76"/>
      <c r="CH2270" s="76">
        <f>+CG2270*22500</f>
        <v>0</v>
      </c>
      <c r="CI2270" s="76"/>
      <c r="CJ2270" s="76">
        <f>+CI2270*26000</f>
        <v>0</v>
      </c>
      <c r="CK2270" s="76"/>
      <c r="CL2270" s="76"/>
      <c r="CM2270" s="76"/>
      <c r="CN2270" s="76">
        <f>+CM2270*22000</f>
        <v>0</v>
      </c>
      <c r="CO2270" s="76"/>
      <c r="CP2270" s="76">
        <f>+CO2270*46000</f>
        <v>0</v>
      </c>
      <c r="CQ2270" s="76"/>
      <c r="CR2270" s="76">
        <f>+CQ2270*49000</f>
        <v>0</v>
      </c>
      <c r="CS2270" s="76"/>
      <c r="CT2270" s="76"/>
      <c r="CU2270" s="56">
        <f>AN2270+AP2270+AR2270+AT2270+AV2270+AX2270+AZ2270+BB2270+BD2270+BF2270+BH2270+BJ2270+BL2270+BN2270+BP2270+BR2270+BT2270+BV2270+BX2270+BZ2270+CB2270+CD2270+CF2270+CH2270+CJ2270+CL2270+CN2270+CP2270+CR2270+CT2270</f>
        <v>0</v>
      </c>
      <c r="CV2270" s="76"/>
      <c r="CW2270" s="76">
        <f>+CV2270*1100</f>
        <v>0</v>
      </c>
      <c r="CX2270" s="76"/>
      <c r="CY2270" s="76">
        <f>+CX2270*106250</f>
        <v>0</v>
      </c>
      <c r="CZ2270" s="76"/>
      <c r="DA2270" s="76">
        <f>+CZ2270*34500</f>
        <v>0</v>
      </c>
      <c r="DB2270" s="76"/>
      <c r="DC2270" s="76">
        <f>+DB2270*25000</f>
        <v>0</v>
      </c>
      <c r="DD2270" s="219"/>
      <c r="DE2270" s="219"/>
      <c r="DF2270" s="166"/>
      <c r="DG2270" s="116"/>
      <c r="DH2270" s="117"/>
      <c r="DI2270" s="24"/>
      <c r="DJ2270" s="24"/>
      <c r="DK2270" s="24"/>
      <c r="DL2270" s="24"/>
      <c r="DM2270" s="24"/>
      <c r="DN2270" s="24"/>
      <c r="DO2270" s="24"/>
      <c r="DP2270" s="24"/>
      <c r="DQ2270" s="24"/>
      <c r="DR2270" s="24"/>
      <c r="DS2270" s="24"/>
      <c r="DT2270" s="24"/>
      <c r="DU2270" s="24"/>
    </row>
    <row r="2271" spans="1:125" s="8" customFormat="1" ht="36" x14ac:dyDescent="0.2">
      <c r="A2271" s="353">
        <v>41459</v>
      </c>
      <c r="B2271" s="352" t="s">
        <v>2880</v>
      </c>
      <c r="C2271" s="354" t="s">
        <v>1356</v>
      </c>
      <c r="D2271" s="354" t="s">
        <v>3635</v>
      </c>
      <c r="E2271" s="75" t="str">
        <f>VLOOKUP(B2271&amp;C2271,Divipola!$C$2:$F$1138,4,FALSE)</f>
        <v>54261</v>
      </c>
      <c r="F2271" s="87">
        <v>1</v>
      </c>
      <c r="G2271" s="87"/>
      <c r="H2271" s="87"/>
      <c r="I2271" s="87"/>
      <c r="J2271" s="87"/>
      <c r="K2271" s="87"/>
      <c r="L2271" s="87"/>
      <c r="M2271" s="87"/>
      <c r="N2271" s="87"/>
      <c r="O2271" s="87"/>
      <c r="P2271" s="87"/>
      <c r="Q2271" s="87"/>
      <c r="R2271" s="87"/>
      <c r="S2271" s="87"/>
      <c r="T2271" s="87"/>
      <c r="U2271" s="88"/>
      <c r="V2271" s="89"/>
      <c r="W2271" s="96">
        <v>0</v>
      </c>
      <c r="X2271" s="71">
        <f>CU2271</f>
        <v>0</v>
      </c>
      <c r="Y2271" s="71">
        <f>CY2271</f>
        <v>0</v>
      </c>
      <c r="Z2271" s="71">
        <f>DA2271+DC2271+DE2271</f>
        <v>0</v>
      </c>
      <c r="AA2271" s="71">
        <f>CW2271</f>
        <v>0</v>
      </c>
      <c r="AB2271" s="71"/>
      <c r="AC2271" s="71">
        <v>0</v>
      </c>
      <c r="AD2271" s="71">
        <f>W2271+X2271+Y2271+Z2271+AA2271+AB2271+AC2271</f>
        <v>0</v>
      </c>
      <c r="AE2271" s="72">
        <v>0</v>
      </c>
      <c r="AF2271" s="5"/>
      <c r="AG2271" s="6"/>
      <c r="AH2271" s="27" t="s">
        <v>3392</v>
      </c>
      <c r="AI2271" s="44" t="s">
        <v>3393</v>
      </c>
      <c r="AJ2271" s="26"/>
      <c r="AK2271" s="5"/>
      <c r="AL2271" s="82" t="s">
        <v>5131</v>
      </c>
      <c r="AM2271" s="76"/>
      <c r="AN2271" s="76"/>
      <c r="AO2271" s="76"/>
      <c r="AP2271" s="76"/>
      <c r="AQ2271" s="76"/>
      <c r="AR2271" s="76"/>
      <c r="AS2271" s="76"/>
      <c r="AT2271" s="76"/>
      <c r="AU2271" s="76"/>
      <c r="AV2271" s="76"/>
      <c r="AW2271" s="76"/>
      <c r="AX2271" s="76">
        <f>+AW2271*600000</f>
        <v>0</v>
      </c>
      <c r="AY2271" s="76"/>
      <c r="AZ2271" s="76">
        <f>+AY2271*70000</f>
        <v>0</v>
      </c>
      <c r="BA2271" s="76"/>
      <c r="BB2271" s="76"/>
      <c r="BC2271" s="76"/>
      <c r="BD2271" s="76">
        <f>+BC2271*30000</f>
        <v>0</v>
      </c>
      <c r="BE2271" s="76"/>
      <c r="BF2271" s="76"/>
      <c r="BG2271" s="76"/>
      <c r="BH2271" s="76"/>
      <c r="BI2271" s="76"/>
      <c r="BJ2271" s="76"/>
      <c r="BK2271" s="76"/>
      <c r="BL2271" s="76">
        <f>+BK2271*31500</f>
        <v>0</v>
      </c>
      <c r="BM2271" s="76"/>
      <c r="BN2271" s="76"/>
      <c r="BO2271" s="76"/>
      <c r="BP2271" s="76"/>
      <c r="BQ2271" s="76"/>
      <c r="BR2271" s="76"/>
      <c r="BS2271" s="76"/>
      <c r="BT2271" s="76"/>
      <c r="BU2271" s="76"/>
      <c r="BV2271" s="76"/>
      <c r="BW2271" s="76"/>
      <c r="BX2271" s="76"/>
      <c r="BY2271" s="76"/>
      <c r="BZ2271" s="76"/>
      <c r="CA2271" s="76"/>
      <c r="CB2271" s="76"/>
      <c r="CC2271" s="76"/>
      <c r="CD2271" s="76"/>
      <c r="CE2271" s="76"/>
      <c r="CF2271" s="76">
        <f>+CE2271*28000</f>
        <v>0</v>
      </c>
      <c r="CG2271" s="76"/>
      <c r="CH2271" s="76">
        <f>+CG2271*22500</f>
        <v>0</v>
      </c>
      <c r="CI2271" s="76"/>
      <c r="CJ2271" s="76">
        <f>+CI2271*26000</f>
        <v>0</v>
      </c>
      <c r="CK2271" s="76"/>
      <c r="CL2271" s="76"/>
      <c r="CM2271" s="76"/>
      <c r="CN2271" s="76">
        <f>+CM2271*22000</f>
        <v>0</v>
      </c>
      <c r="CO2271" s="76"/>
      <c r="CP2271" s="76">
        <f>+CO2271*46000</f>
        <v>0</v>
      </c>
      <c r="CQ2271" s="76"/>
      <c r="CR2271" s="76">
        <f>+CQ2271*49000</f>
        <v>0</v>
      </c>
      <c r="CS2271" s="76"/>
      <c r="CT2271" s="76"/>
      <c r="CU2271" s="56">
        <f>AN2271+AP2271+AR2271+AT2271+AV2271+AX2271+AZ2271+BB2271+BD2271+BF2271+BH2271+BJ2271+BL2271+BN2271+BP2271+BR2271+BT2271+BV2271+BX2271+BZ2271+CB2271+CD2271+CF2271+CH2271+CJ2271+CL2271+CN2271+CP2271+CR2271+CT2271</f>
        <v>0</v>
      </c>
      <c r="CV2271" s="76"/>
      <c r="CW2271" s="76">
        <f>+CV2271*1100</f>
        <v>0</v>
      </c>
      <c r="CX2271" s="76"/>
      <c r="CY2271" s="76">
        <f>+CX2271*106250</f>
        <v>0</v>
      </c>
      <c r="CZ2271" s="76"/>
      <c r="DA2271" s="76">
        <f>+CZ2271*34500</f>
        <v>0</v>
      </c>
      <c r="DB2271" s="76"/>
      <c r="DC2271" s="76">
        <f>+DB2271*25000</f>
        <v>0</v>
      </c>
      <c r="DD2271" s="219"/>
      <c r="DE2271" s="219"/>
      <c r="DF2271" s="166"/>
      <c r="DG2271" s="116"/>
      <c r="DH2271" s="117"/>
      <c r="DI2271" s="24"/>
      <c r="DJ2271" s="24"/>
      <c r="DK2271" s="24"/>
      <c r="DL2271" s="24"/>
      <c r="DM2271" s="24"/>
      <c r="DN2271" s="24"/>
      <c r="DO2271" s="24"/>
      <c r="DP2271" s="24"/>
      <c r="DQ2271" s="24"/>
      <c r="DR2271" s="24"/>
      <c r="DS2271" s="24"/>
      <c r="DT2271" s="24"/>
      <c r="DU2271" s="24"/>
    </row>
    <row r="2272" spans="1:125" s="8" customFormat="1" ht="72" x14ac:dyDescent="0.2">
      <c r="A2272" s="97">
        <v>41459</v>
      </c>
      <c r="B2272" s="60" t="s">
        <v>3131</v>
      </c>
      <c r="C2272" s="55" t="s">
        <v>2281</v>
      </c>
      <c r="D2272" s="55" t="s">
        <v>3051</v>
      </c>
      <c r="E2272" s="75" t="str">
        <f>VLOOKUP(B2272&amp;C2272,Divipola!$C$2:$F$1138,4,FALSE)</f>
        <v>86885</v>
      </c>
      <c r="F2272" s="87"/>
      <c r="G2272" s="87"/>
      <c r="H2272" s="87"/>
      <c r="I2272" s="87">
        <v>50</v>
      </c>
      <c r="J2272" s="87">
        <v>10</v>
      </c>
      <c r="K2272" s="87"/>
      <c r="L2272" s="87">
        <v>10</v>
      </c>
      <c r="M2272" s="87"/>
      <c r="N2272" s="87"/>
      <c r="O2272" s="87"/>
      <c r="P2272" s="87"/>
      <c r="Q2272" s="87"/>
      <c r="R2272" s="87"/>
      <c r="S2272" s="87"/>
      <c r="T2272" s="87"/>
      <c r="U2272" s="88"/>
      <c r="V2272" s="89"/>
      <c r="W2272" s="96">
        <v>0</v>
      </c>
      <c r="X2272" s="71">
        <f>CU2272</f>
        <v>0</v>
      </c>
      <c r="Y2272" s="71">
        <f>CY2272</f>
        <v>0</v>
      </c>
      <c r="Z2272" s="71">
        <f>DA2272+DC2272+DE2272</f>
        <v>0</v>
      </c>
      <c r="AA2272" s="71">
        <f>CW2272</f>
        <v>0</v>
      </c>
      <c r="AB2272" s="71"/>
      <c r="AC2272" s="71">
        <v>0</v>
      </c>
      <c r="AD2272" s="71">
        <f>W2272+X2272+Y2272+Z2272+AA2272+AB2272+AC2272</f>
        <v>0</v>
      </c>
      <c r="AE2272" s="72">
        <v>0</v>
      </c>
      <c r="AF2272" s="5"/>
      <c r="AG2272" s="6"/>
      <c r="AH2272" s="27" t="s">
        <v>3392</v>
      </c>
      <c r="AI2272" s="44" t="s">
        <v>3393</v>
      </c>
      <c r="AJ2272" s="26"/>
      <c r="AK2272" s="5"/>
      <c r="AL2272" s="82" t="s">
        <v>5120</v>
      </c>
      <c r="AM2272" s="76"/>
      <c r="AN2272" s="76"/>
      <c r="AO2272" s="76"/>
      <c r="AP2272" s="76"/>
      <c r="AQ2272" s="76"/>
      <c r="AR2272" s="76"/>
      <c r="AS2272" s="76"/>
      <c r="AT2272" s="76"/>
      <c r="AU2272" s="76"/>
      <c r="AV2272" s="76"/>
      <c r="AW2272" s="76"/>
      <c r="AX2272" s="76">
        <f>+AW2272*600000</f>
        <v>0</v>
      </c>
      <c r="AY2272" s="76"/>
      <c r="AZ2272" s="76">
        <f>+AY2272*70000</f>
        <v>0</v>
      </c>
      <c r="BA2272" s="76"/>
      <c r="BB2272" s="76"/>
      <c r="BC2272" s="76"/>
      <c r="BD2272" s="76">
        <f>+BC2272*30000</f>
        <v>0</v>
      </c>
      <c r="BE2272" s="76"/>
      <c r="BF2272" s="76"/>
      <c r="BG2272" s="76"/>
      <c r="BH2272" s="76"/>
      <c r="BI2272" s="76"/>
      <c r="BJ2272" s="76"/>
      <c r="BK2272" s="76"/>
      <c r="BL2272" s="76">
        <f>+BK2272*31500</f>
        <v>0</v>
      </c>
      <c r="BM2272" s="76"/>
      <c r="BN2272" s="76"/>
      <c r="BO2272" s="76"/>
      <c r="BP2272" s="76"/>
      <c r="BQ2272" s="76"/>
      <c r="BR2272" s="76"/>
      <c r="BS2272" s="76"/>
      <c r="BT2272" s="76"/>
      <c r="BU2272" s="76"/>
      <c r="BV2272" s="76"/>
      <c r="BW2272" s="76"/>
      <c r="BX2272" s="76"/>
      <c r="BY2272" s="76"/>
      <c r="BZ2272" s="76"/>
      <c r="CA2272" s="76"/>
      <c r="CB2272" s="76"/>
      <c r="CC2272" s="76"/>
      <c r="CD2272" s="76"/>
      <c r="CE2272" s="76"/>
      <c r="CF2272" s="76">
        <f>+CE2272*28000</f>
        <v>0</v>
      </c>
      <c r="CG2272" s="76"/>
      <c r="CH2272" s="76">
        <f>+CG2272*22500</f>
        <v>0</v>
      </c>
      <c r="CI2272" s="76"/>
      <c r="CJ2272" s="76">
        <f>+CI2272*26000</f>
        <v>0</v>
      </c>
      <c r="CK2272" s="76"/>
      <c r="CL2272" s="76"/>
      <c r="CM2272" s="76"/>
      <c r="CN2272" s="76">
        <f>+CM2272*22000</f>
        <v>0</v>
      </c>
      <c r="CO2272" s="76"/>
      <c r="CP2272" s="76">
        <f>+CO2272*46000</f>
        <v>0</v>
      </c>
      <c r="CQ2272" s="76"/>
      <c r="CR2272" s="76">
        <f>+CQ2272*49000</f>
        <v>0</v>
      </c>
      <c r="CS2272" s="76"/>
      <c r="CT2272" s="76"/>
      <c r="CU2272" s="56">
        <f>AN2272+AP2272+AR2272+AT2272+AV2272+AX2272+AZ2272+BB2272+BD2272+BF2272+BH2272+BJ2272+BL2272+BN2272+BP2272+BR2272+BT2272+BV2272+BX2272+BZ2272+CB2272+CD2272+CF2272+CH2272+CJ2272+CL2272+CN2272+CP2272+CR2272+CT2272</f>
        <v>0</v>
      </c>
      <c r="CV2272" s="76"/>
      <c r="CW2272" s="76">
        <f>+CV2272*1100</f>
        <v>0</v>
      </c>
      <c r="CX2272" s="76"/>
      <c r="CY2272" s="76">
        <f>+CX2272*106250</f>
        <v>0</v>
      </c>
      <c r="CZ2272" s="76"/>
      <c r="DA2272" s="76">
        <f>+CZ2272*34500</f>
        <v>0</v>
      </c>
      <c r="DB2272" s="76"/>
      <c r="DC2272" s="76">
        <f>+DB2272*25000</f>
        <v>0</v>
      </c>
      <c r="DD2272" s="219"/>
      <c r="DE2272" s="219"/>
      <c r="DF2272" s="166"/>
      <c r="DG2272" s="116"/>
      <c r="DH2272" s="117"/>
      <c r="DI2272" s="24"/>
      <c r="DJ2272" s="24"/>
      <c r="DK2272" s="24"/>
      <c r="DL2272" s="24"/>
      <c r="DM2272" s="24"/>
      <c r="DN2272" s="24"/>
      <c r="DO2272" s="24"/>
      <c r="DP2272" s="24"/>
      <c r="DQ2272" s="24"/>
      <c r="DR2272" s="24"/>
      <c r="DS2272" s="24"/>
      <c r="DT2272" s="24"/>
      <c r="DU2272" s="24"/>
    </row>
    <row r="2273" spans="1:125" s="8" customFormat="1" ht="24" x14ac:dyDescent="0.2">
      <c r="A2273" s="226">
        <v>41459</v>
      </c>
      <c r="B2273" s="60" t="s">
        <v>2860</v>
      </c>
      <c r="C2273" s="55" t="s">
        <v>2776</v>
      </c>
      <c r="D2273" s="55" t="s">
        <v>3017</v>
      </c>
      <c r="E2273" s="75" t="str">
        <f>VLOOKUP(B2273&amp;C2273,Divipola!$C$2:$F$1138,4,FALSE)</f>
        <v>63001</v>
      </c>
      <c r="F2273" s="87"/>
      <c r="G2273" s="87"/>
      <c r="H2273" s="87"/>
      <c r="I2273" s="87">
        <v>3</v>
      </c>
      <c r="J2273" s="87">
        <v>1</v>
      </c>
      <c r="K2273" s="87"/>
      <c r="L2273" s="87">
        <v>1</v>
      </c>
      <c r="M2273" s="87"/>
      <c r="N2273" s="87"/>
      <c r="O2273" s="87"/>
      <c r="P2273" s="87"/>
      <c r="Q2273" s="87"/>
      <c r="R2273" s="87"/>
      <c r="S2273" s="87"/>
      <c r="T2273" s="87"/>
      <c r="U2273" s="88"/>
      <c r="V2273" s="89"/>
      <c r="W2273" s="96">
        <v>0</v>
      </c>
      <c r="X2273" s="71">
        <f>CU2273</f>
        <v>0</v>
      </c>
      <c r="Y2273" s="71">
        <f>CY2273</f>
        <v>0</v>
      </c>
      <c r="Z2273" s="71">
        <f>DA2273+DC2273+DE2273</f>
        <v>0</v>
      </c>
      <c r="AA2273" s="71">
        <f>CW2273</f>
        <v>0</v>
      </c>
      <c r="AB2273" s="71"/>
      <c r="AC2273" s="71">
        <v>0</v>
      </c>
      <c r="AD2273" s="71">
        <f>W2273+X2273+Y2273+Z2273+AA2273+AB2273+AC2273</f>
        <v>0</v>
      </c>
      <c r="AE2273" s="72">
        <v>0</v>
      </c>
      <c r="AF2273" s="5"/>
      <c r="AG2273" s="6"/>
      <c r="AH2273" s="27" t="s">
        <v>3392</v>
      </c>
      <c r="AI2273" s="44" t="s">
        <v>3393</v>
      </c>
      <c r="AJ2273" s="26"/>
      <c r="AK2273" s="5"/>
      <c r="AL2273" s="82" t="s">
        <v>5128</v>
      </c>
      <c r="AM2273" s="76"/>
      <c r="AN2273" s="76"/>
      <c r="AO2273" s="76"/>
      <c r="AP2273" s="76"/>
      <c r="AQ2273" s="76"/>
      <c r="AR2273" s="76"/>
      <c r="AS2273" s="76"/>
      <c r="AT2273" s="76"/>
      <c r="AU2273" s="76"/>
      <c r="AV2273" s="76"/>
      <c r="AW2273" s="76"/>
      <c r="AX2273" s="76">
        <f>+AW2273*600000</f>
        <v>0</v>
      </c>
      <c r="AY2273" s="76"/>
      <c r="AZ2273" s="76">
        <f>+AY2273*70000</f>
        <v>0</v>
      </c>
      <c r="BA2273" s="76"/>
      <c r="BB2273" s="76"/>
      <c r="BC2273" s="76"/>
      <c r="BD2273" s="76">
        <f>+BC2273*30000</f>
        <v>0</v>
      </c>
      <c r="BE2273" s="76"/>
      <c r="BF2273" s="76"/>
      <c r="BG2273" s="76"/>
      <c r="BH2273" s="76"/>
      <c r="BI2273" s="76"/>
      <c r="BJ2273" s="76"/>
      <c r="BK2273" s="76"/>
      <c r="BL2273" s="76">
        <f>+BK2273*31500</f>
        <v>0</v>
      </c>
      <c r="BM2273" s="76"/>
      <c r="BN2273" s="76"/>
      <c r="BO2273" s="76"/>
      <c r="BP2273" s="76"/>
      <c r="BQ2273" s="76"/>
      <c r="BR2273" s="76"/>
      <c r="BS2273" s="76"/>
      <c r="BT2273" s="76"/>
      <c r="BU2273" s="76"/>
      <c r="BV2273" s="76"/>
      <c r="BW2273" s="76"/>
      <c r="BX2273" s="76"/>
      <c r="BY2273" s="76"/>
      <c r="BZ2273" s="76"/>
      <c r="CA2273" s="76"/>
      <c r="CB2273" s="76"/>
      <c r="CC2273" s="76"/>
      <c r="CD2273" s="76"/>
      <c r="CE2273" s="76"/>
      <c r="CF2273" s="76">
        <f>+CE2273*28000</f>
        <v>0</v>
      </c>
      <c r="CG2273" s="76"/>
      <c r="CH2273" s="76">
        <f>+CG2273*22500</f>
        <v>0</v>
      </c>
      <c r="CI2273" s="76"/>
      <c r="CJ2273" s="76">
        <f>+CI2273*26000</f>
        <v>0</v>
      </c>
      <c r="CK2273" s="76"/>
      <c r="CL2273" s="76"/>
      <c r="CM2273" s="76"/>
      <c r="CN2273" s="76">
        <f>+CM2273*22000</f>
        <v>0</v>
      </c>
      <c r="CO2273" s="76"/>
      <c r="CP2273" s="76">
        <f>+CO2273*46000</f>
        <v>0</v>
      </c>
      <c r="CQ2273" s="76"/>
      <c r="CR2273" s="76">
        <f>+CQ2273*49000</f>
        <v>0</v>
      </c>
      <c r="CS2273" s="76"/>
      <c r="CT2273" s="76"/>
      <c r="CU2273" s="56">
        <f>AN2273+AP2273+AR2273+AT2273+AV2273+AX2273+AZ2273+BB2273+BD2273+BF2273+BH2273+BJ2273+BL2273+BN2273+BP2273+BR2273+BT2273+BV2273+BX2273+BZ2273+CB2273+CD2273+CF2273+CH2273+CJ2273+CL2273+CN2273+CP2273+CR2273+CT2273</f>
        <v>0</v>
      </c>
      <c r="CV2273" s="76"/>
      <c r="CW2273" s="76">
        <f>+CV2273*1100</f>
        <v>0</v>
      </c>
      <c r="CX2273" s="76"/>
      <c r="CY2273" s="76">
        <f>+CX2273*106250</f>
        <v>0</v>
      </c>
      <c r="CZ2273" s="76"/>
      <c r="DA2273" s="76">
        <f>+CZ2273*34500</f>
        <v>0</v>
      </c>
      <c r="DB2273" s="76"/>
      <c r="DC2273" s="76">
        <f>+DB2273*25000</f>
        <v>0</v>
      </c>
      <c r="DD2273" s="219"/>
      <c r="DE2273" s="219"/>
      <c r="DF2273" s="166"/>
      <c r="DG2273" s="116"/>
      <c r="DH2273" s="117"/>
      <c r="DI2273" s="24"/>
      <c r="DJ2273" s="24"/>
      <c r="DK2273" s="24"/>
      <c r="DL2273" s="24"/>
      <c r="DM2273" s="24"/>
      <c r="DN2273" s="24"/>
      <c r="DO2273" s="24"/>
      <c r="DP2273" s="24"/>
      <c r="DQ2273" s="24"/>
      <c r="DR2273" s="24"/>
      <c r="DS2273" s="24"/>
      <c r="DT2273" s="24"/>
      <c r="DU2273" s="24"/>
    </row>
    <row r="2274" spans="1:125" s="8" customFormat="1" ht="108" x14ac:dyDescent="0.2">
      <c r="A2274" s="353">
        <v>41459</v>
      </c>
      <c r="B2274" s="352" t="s">
        <v>2847</v>
      </c>
      <c r="C2274" s="354" t="s">
        <v>2165</v>
      </c>
      <c r="D2274" s="354" t="s">
        <v>2859</v>
      </c>
      <c r="E2274" s="75" t="str">
        <f>VLOOKUP(B2274&amp;C2274,Divipola!$C$2:$F$1138,4,FALSE)</f>
        <v>68655</v>
      </c>
      <c r="F2274" s="87"/>
      <c r="G2274" s="87"/>
      <c r="H2274" s="87"/>
      <c r="I2274" s="87">
        <v>5</v>
      </c>
      <c r="J2274" s="87">
        <v>1</v>
      </c>
      <c r="K2274" s="87"/>
      <c r="L2274" s="87">
        <v>1</v>
      </c>
      <c r="M2274" s="87"/>
      <c r="N2274" s="87"/>
      <c r="O2274" s="87"/>
      <c r="P2274" s="87"/>
      <c r="Q2274" s="87"/>
      <c r="R2274" s="87"/>
      <c r="S2274" s="87"/>
      <c r="T2274" s="87"/>
      <c r="U2274" s="88"/>
      <c r="V2274" s="89"/>
      <c r="W2274" s="96">
        <v>0</v>
      </c>
      <c r="X2274" s="71">
        <f>CU2274</f>
        <v>0</v>
      </c>
      <c r="Y2274" s="71">
        <f>CY2274</f>
        <v>0</v>
      </c>
      <c r="Z2274" s="71">
        <f>DA2274+DC2274+DE2274</f>
        <v>0</v>
      </c>
      <c r="AA2274" s="71">
        <f>CW2274</f>
        <v>0</v>
      </c>
      <c r="AB2274" s="71"/>
      <c r="AC2274" s="71">
        <v>0</v>
      </c>
      <c r="AD2274" s="71">
        <f>W2274+X2274+Y2274+Z2274+AA2274+AB2274+AC2274</f>
        <v>0</v>
      </c>
      <c r="AE2274" s="72">
        <v>0</v>
      </c>
      <c r="AF2274" s="5"/>
      <c r="AG2274" s="6"/>
      <c r="AH2274" s="27" t="s">
        <v>3392</v>
      </c>
      <c r="AI2274" s="44" t="s">
        <v>3393</v>
      </c>
      <c r="AJ2274" s="26"/>
      <c r="AK2274" s="5"/>
      <c r="AL2274" s="82" t="s">
        <v>5135</v>
      </c>
      <c r="AM2274" s="76"/>
      <c r="AN2274" s="76"/>
      <c r="AO2274" s="76"/>
      <c r="AP2274" s="76"/>
      <c r="AQ2274" s="76"/>
      <c r="AR2274" s="76"/>
      <c r="AS2274" s="76"/>
      <c r="AT2274" s="76"/>
      <c r="AU2274" s="76"/>
      <c r="AV2274" s="76"/>
      <c r="AW2274" s="76"/>
      <c r="AX2274" s="76">
        <f>+AW2274*600000</f>
        <v>0</v>
      </c>
      <c r="AY2274" s="76"/>
      <c r="AZ2274" s="76">
        <f>+AY2274*70000</f>
        <v>0</v>
      </c>
      <c r="BA2274" s="76"/>
      <c r="BB2274" s="76"/>
      <c r="BC2274" s="76"/>
      <c r="BD2274" s="76">
        <f>+BC2274*30000</f>
        <v>0</v>
      </c>
      <c r="BE2274" s="76"/>
      <c r="BF2274" s="76"/>
      <c r="BG2274" s="76"/>
      <c r="BH2274" s="76"/>
      <c r="BI2274" s="76"/>
      <c r="BJ2274" s="76"/>
      <c r="BK2274" s="76"/>
      <c r="BL2274" s="76">
        <f>+BK2274*31500</f>
        <v>0</v>
      </c>
      <c r="BM2274" s="76"/>
      <c r="BN2274" s="76"/>
      <c r="BO2274" s="76"/>
      <c r="BP2274" s="76"/>
      <c r="BQ2274" s="76"/>
      <c r="BR2274" s="76"/>
      <c r="BS2274" s="76"/>
      <c r="BT2274" s="76"/>
      <c r="BU2274" s="76"/>
      <c r="BV2274" s="76"/>
      <c r="BW2274" s="76"/>
      <c r="BX2274" s="76"/>
      <c r="BY2274" s="76"/>
      <c r="BZ2274" s="76"/>
      <c r="CA2274" s="76"/>
      <c r="CB2274" s="76"/>
      <c r="CC2274" s="76"/>
      <c r="CD2274" s="76"/>
      <c r="CE2274" s="76"/>
      <c r="CF2274" s="76">
        <f>+CE2274*28000</f>
        <v>0</v>
      </c>
      <c r="CG2274" s="76"/>
      <c r="CH2274" s="76">
        <f>+CG2274*22500</f>
        <v>0</v>
      </c>
      <c r="CI2274" s="76"/>
      <c r="CJ2274" s="76">
        <f>+CI2274*26000</f>
        <v>0</v>
      </c>
      <c r="CK2274" s="76"/>
      <c r="CL2274" s="76"/>
      <c r="CM2274" s="76"/>
      <c r="CN2274" s="76">
        <f>+CM2274*22000</f>
        <v>0</v>
      </c>
      <c r="CO2274" s="76"/>
      <c r="CP2274" s="76">
        <f>+CO2274*46000</f>
        <v>0</v>
      </c>
      <c r="CQ2274" s="76"/>
      <c r="CR2274" s="76">
        <f>+CQ2274*49000</f>
        <v>0</v>
      </c>
      <c r="CS2274" s="76"/>
      <c r="CT2274" s="76"/>
      <c r="CU2274" s="56">
        <f>AN2274+AP2274+AR2274+AT2274+AV2274+AX2274+AZ2274+BB2274+BD2274+BF2274+BH2274+BJ2274+BL2274+BN2274+BP2274+BR2274+BT2274+BV2274+BX2274+BZ2274+CB2274+CD2274+CF2274+CH2274+CJ2274+CL2274+CN2274+CP2274+CR2274+CT2274</f>
        <v>0</v>
      </c>
      <c r="CV2274" s="76"/>
      <c r="CW2274" s="76">
        <f>+CV2274*1100</f>
        <v>0</v>
      </c>
      <c r="CX2274" s="76"/>
      <c r="CY2274" s="76">
        <f>+CX2274*106250</f>
        <v>0</v>
      </c>
      <c r="CZ2274" s="76"/>
      <c r="DA2274" s="76">
        <f>+CZ2274*34500</f>
        <v>0</v>
      </c>
      <c r="DB2274" s="76"/>
      <c r="DC2274" s="76">
        <f>+DB2274*25000</f>
        <v>0</v>
      </c>
      <c r="DD2274" s="219"/>
      <c r="DE2274" s="219"/>
      <c r="DF2274" s="166"/>
      <c r="DG2274" s="116"/>
      <c r="DH2274" s="117"/>
      <c r="DI2274" s="24"/>
      <c r="DJ2274" s="24"/>
      <c r="DK2274" s="24"/>
      <c r="DL2274" s="24"/>
      <c r="DM2274" s="24"/>
      <c r="DN2274" s="24"/>
      <c r="DO2274" s="24"/>
      <c r="DP2274" s="24"/>
      <c r="DQ2274" s="24"/>
      <c r="DR2274" s="24"/>
      <c r="DS2274" s="24"/>
      <c r="DT2274" s="24"/>
      <c r="DU2274" s="24"/>
    </row>
    <row r="2275" spans="1:125" s="8" customFormat="1" ht="60" x14ac:dyDescent="0.2">
      <c r="A2275" s="353">
        <v>41459</v>
      </c>
      <c r="B2275" s="208" t="s">
        <v>2848</v>
      </c>
      <c r="C2275" s="208" t="s">
        <v>1859</v>
      </c>
      <c r="D2275" s="208" t="s">
        <v>2882</v>
      </c>
      <c r="E2275" s="75" t="str">
        <f>VLOOKUP(B2275&amp;C2275,Divipola!$C$2:$F$1138,4,FALSE)</f>
        <v>73043</v>
      </c>
      <c r="F2275" s="87"/>
      <c r="G2275" s="87"/>
      <c r="H2275" s="87"/>
      <c r="I2275" s="87">
        <v>95</v>
      </c>
      <c r="J2275" s="87">
        <v>19</v>
      </c>
      <c r="K2275" s="87"/>
      <c r="L2275" s="87">
        <v>19</v>
      </c>
      <c r="M2275" s="87"/>
      <c r="N2275" s="87"/>
      <c r="O2275" s="87"/>
      <c r="P2275" s="87"/>
      <c r="Q2275" s="87"/>
      <c r="R2275" s="87"/>
      <c r="S2275" s="87"/>
      <c r="T2275" s="87"/>
      <c r="U2275" s="88"/>
      <c r="V2275" s="89"/>
      <c r="W2275" s="96">
        <v>0</v>
      </c>
      <c r="X2275" s="71">
        <f>CU2275</f>
        <v>1959982.4</v>
      </c>
      <c r="Y2275" s="71">
        <f>CY2275</f>
        <v>4205500</v>
      </c>
      <c r="Z2275" s="71">
        <f>DA2275+DC2275+DE2275</f>
        <v>19073824.32</v>
      </c>
      <c r="AA2275" s="71">
        <f>CW2275</f>
        <v>0</v>
      </c>
      <c r="AB2275" s="71"/>
      <c r="AC2275" s="71">
        <v>0</v>
      </c>
      <c r="AD2275" s="71">
        <f>W2275+X2275+Y2275+Z2275+AA2275+AB2275+AC2275</f>
        <v>25239306.719999999</v>
      </c>
      <c r="AE2275" s="72">
        <v>0</v>
      </c>
      <c r="AF2275" s="5"/>
      <c r="AG2275" s="6"/>
      <c r="AH2275" s="27" t="s">
        <v>3392</v>
      </c>
      <c r="AI2275" s="44" t="s">
        <v>3393</v>
      </c>
      <c r="AJ2275" s="26"/>
      <c r="AK2275" s="5"/>
      <c r="AL2275" s="82" t="s">
        <v>6325</v>
      </c>
      <c r="AM2275" s="76"/>
      <c r="AN2275" s="76"/>
      <c r="AO2275" s="76"/>
      <c r="AP2275" s="76"/>
      <c r="AQ2275" s="76"/>
      <c r="AR2275" s="76"/>
      <c r="AS2275" s="76"/>
      <c r="AT2275" s="76"/>
      <c r="AU2275" s="76"/>
      <c r="AV2275" s="76"/>
      <c r="AW2275" s="76"/>
      <c r="AX2275" s="76">
        <f>+AW2275*600000</f>
        <v>0</v>
      </c>
      <c r="AY2275" s="76"/>
      <c r="AZ2275" s="76">
        <f>+AY2275*70000</f>
        <v>0</v>
      </c>
      <c r="BA2275" s="76"/>
      <c r="BB2275" s="76"/>
      <c r="BC2275" s="76"/>
      <c r="BD2275" s="76">
        <f>+BC2275*30000</f>
        <v>0</v>
      </c>
      <c r="BE2275" s="76"/>
      <c r="BF2275" s="76"/>
      <c r="BG2275" s="76"/>
      <c r="BH2275" s="76"/>
      <c r="BI2275" s="76"/>
      <c r="BJ2275" s="76"/>
      <c r="BK2275" s="76"/>
      <c r="BL2275" s="76">
        <f>+BK2275*31500</f>
        <v>0</v>
      </c>
      <c r="BM2275" s="76"/>
      <c r="BN2275" s="76"/>
      <c r="BO2275" s="76"/>
      <c r="BP2275" s="76"/>
      <c r="BQ2275" s="76"/>
      <c r="BR2275" s="76"/>
      <c r="BS2275" s="76"/>
      <c r="BT2275" s="76"/>
      <c r="BU2275" s="76"/>
      <c r="BV2275" s="76"/>
      <c r="BW2275" s="76"/>
      <c r="BX2275" s="76"/>
      <c r="BY2275" s="76"/>
      <c r="BZ2275" s="76"/>
      <c r="CA2275" s="76"/>
      <c r="CB2275" s="76"/>
      <c r="CC2275" s="76"/>
      <c r="CD2275" s="76"/>
      <c r="CE2275" s="76"/>
      <c r="CF2275" s="76">
        <f>+CE2275*28000</f>
        <v>0</v>
      </c>
      <c r="CG2275" s="76"/>
      <c r="CH2275" s="76">
        <f>+CG2275*22500</f>
        <v>0</v>
      </c>
      <c r="CI2275" s="76"/>
      <c r="CJ2275" s="76">
        <f>+CI2275*26000</f>
        <v>0</v>
      </c>
      <c r="CK2275" s="76"/>
      <c r="CL2275" s="76"/>
      <c r="CM2275" s="76"/>
      <c r="CN2275" s="76">
        <f>+CM2275*22000</f>
        <v>0</v>
      </c>
      <c r="CO2275" s="76"/>
      <c r="CP2275" s="76">
        <f>+CO2275*46000</f>
        <v>0</v>
      </c>
      <c r="CQ2275" s="86">
        <v>40</v>
      </c>
      <c r="CR2275" s="86">
        <f>+CQ2275*48999.56</f>
        <v>1959982.4</v>
      </c>
      <c r="CS2275" s="76"/>
      <c r="CT2275" s="76"/>
      <c r="CU2275" s="56">
        <f>AN2275+AP2275+AR2275+AT2275+AV2275+AX2275+AZ2275+BB2275+BD2275+BF2275+BH2275+BJ2275+BL2275+BN2275+BP2275+BR2275+BT2275+BV2275+BX2275+BZ2275+CB2275+CD2275+CF2275+CH2275+CJ2275+CL2275+CN2275+CP2275+CR2275+CT2275</f>
        <v>1959982.4</v>
      </c>
      <c r="CV2275" s="76"/>
      <c r="CW2275" s="76">
        <f>+CV2275*1100</f>
        <v>0</v>
      </c>
      <c r="CX2275" s="86">
        <v>40</v>
      </c>
      <c r="CY2275" s="86">
        <f>+CX2275*105137.5</f>
        <v>4205500</v>
      </c>
      <c r="CZ2275" s="86">
        <v>80</v>
      </c>
      <c r="DA2275" s="86">
        <f>+CZ2275*34449.68</f>
        <v>2755974.4</v>
      </c>
      <c r="DB2275" s="86">
        <v>300</v>
      </c>
      <c r="DC2275" s="86">
        <f>+DB2275*31999.76+1950*199.52</f>
        <v>9988992</v>
      </c>
      <c r="DD2275" s="358" t="s">
        <v>6416</v>
      </c>
      <c r="DE2275" s="318">
        <f>200*22999.32+19*90999.68</f>
        <v>6328857.9199999999</v>
      </c>
      <c r="DF2275" s="166"/>
      <c r="DG2275" s="134" t="s">
        <v>6938</v>
      </c>
      <c r="DH2275" s="117"/>
      <c r="DI2275" s="24"/>
      <c r="DJ2275" s="24"/>
      <c r="DK2275" s="24"/>
      <c r="DL2275" s="24"/>
      <c r="DM2275" s="24"/>
      <c r="DN2275" s="24"/>
      <c r="DO2275" s="24"/>
      <c r="DP2275" s="24"/>
      <c r="DQ2275" s="24"/>
      <c r="DR2275" s="24"/>
      <c r="DS2275" s="24"/>
      <c r="DT2275" s="24"/>
      <c r="DU2275" s="24"/>
    </row>
    <row r="2276" spans="1:125" s="8" customFormat="1" ht="180" x14ac:dyDescent="0.2">
      <c r="A2276" s="353">
        <v>41459</v>
      </c>
      <c r="B2276" s="352" t="s">
        <v>2848</v>
      </c>
      <c r="C2276" s="354" t="s">
        <v>2755</v>
      </c>
      <c r="D2276" s="354" t="s">
        <v>2859</v>
      </c>
      <c r="E2276" s="75" t="str">
        <f>VLOOKUP(B2276&amp;C2276,Divipola!$C$2:$F$1138,4,FALSE)</f>
        <v>73001</v>
      </c>
      <c r="F2276" s="87"/>
      <c r="G2276" s="87">
        <v>2</v>
      </c>
      <c r="H2276" s="87"/>
      <c r="I2276" s="87">
        <v>20</v>
      </c>
      <c r="J2276" s="87">
        <v>4</v>
      </c>
      <c r="K2276" s="87"/>
      <c r="L2276" s="87">
        <v>4</v>
      </c>
      <c r="M2276" s="87"/>
      <c r="N2276" s="87"/>
      <c r="O2276" s="87"/>
      <c r="P2276" s="87"/>
      <c r="Q2276" s="87"/>
      <c r="R2276" s="87"/>
      <c r="S2276" s="87"/>
      <c r="T2276" s="87"/>
      <c r="U2276" s="88"/>
      <c r="V2276" s="89"/>
      <c r="W2276" s="96">
        <v>0</v>
      </c>
      <c r="X2276" s="71">
        <f>CU2276</f>
        <v>0</v>
      </c>
      <c r="Y2276" s="71">
        <f>CY2276</f>
        <v>0</v>
      </c>
      <c r="Z2276" s="71">
        <f>DA2276+DC2276+DE2276</f>
        <v>0</v>
      </c>
      <c r="AA2276" s="71">
        <f>CW2276</f>
        <v>0</v>
      </c>
      <c r="AB2276" s="71"/>
      <c r="AC2276" s="71">
        <v>0</v>
      </c>
      <c r="AD2276" s="71">
        <f>W2276+X2276+Y2276+Z2276+AA2276+AB2276+AC2276</f>
        <v>0</v>
      </c>
      <c r="AE2276" s="72">
        <v>0</v>
      </c>
      <c r="AF2276" s="5"/>
      <c r="AG2276" s="6"/>
      <c r="AH2276" s="27" t="s">
        <v>3392</v>
      </c>
      <c r="AI2276" s="44" t="s">
        <v>3393</v>
      </c>
      <c r="AJ2276" s="26"/>
      <c r="AK2276" s="5"/>
      <c r="AL2276" s="82" t="s">
        <v>5117</v>
      </c>
      <c r="AM2276" s="76"/>
      <c r="AN2276" s="76"/>
      <c r="AO2276" s="76"/>
      <c r="AP2276" s="76"/>
      <c r="AQ2276" s="76"/>
      <c r="AR2276" s="76"/>
      <c r="AS2276" s="76"/>
      <c r="AT2276" s="76"/>
      <c r="AU2276" s="76"/>
      <c r="AV2276" s="76"/>
      <c r="AW2276" s="76"/>
      <c r="AX2276" s="76">
        <f>+AW2276*600000</f>
        <v>0</v>
      </c>
      <c r="AY2276" s="76"/>
      <c r="AZ2276" s="76">
        <f>+AY2276*70000</f>
        <v>0</v>
      </c>
      <c r="BA2276" s="76"/>
      <c r="BB2276" s="76"/>
      <c r="BC2276" s="76"/>
      <c r="BD2276" s="76">
        <f>+BC2276*30000</f>
        <v>0</v>
      </c>
      <c r="BE2276" s="76"/>
      <c r="BF2276" s="76"/>
      <c r="BG2276" s="76"/>
      <c r="BH2276" s="76"/>
      <c r="BI2276" s="76"/>
      <c r="BJ2276" s="76"/>
      <c r="BK2276" s="76"/>
      <c r="BL2276" s="76">
        <f>+BK2276*31500</f>
        <v>0</v>
      </c>
      <c r="BM2276" s="76"/>
      <c r="BN2276" s="76"/>
      <c r="BO2276" s="76"/>
      <c r="BP2276" s="76"/>
      <c r="BQ2276" s="76"/>
      <c r="BR2276" s="76"/>
      <c r="BS2276" s="76"/>
      <c r="BT2276" s="76"/>
      <c r="BU2276" s="76"/>
      <c r="BV2276" s="76"/>
      <c r="BW2276" s="76"/>
      <c r="BX2276" s="76"/>
      <c r="BY2276" s="76"/>
      <c r="BZ2276" s="76"/>
      <c r="CA2276" s="76"/>
      <c r="CB2276" s="76"/>
      <c r="CC2276" s="76"/>
      <c r="CD2276" s="76"/>
      <c r="CE2276" s="76"/>
      <c r="CF2276" s="76">
        <f>+CE2276*28000</f>
        <v>0</v>
      </c>
      <c r="CG2276" s="76"/>
      <c r="CH2276" s="76">
        <f>+CG2276*22500</f>
        <v>0</v>
      </c>
      <c r="CI2276" s="76"/>
      <c r="CJ2276" s="76">
        <f>+CI2276*26000</f>
        <v>0</v>
      </c>
      <c r="CK2276" s="76"/>
      <c r="CL2276" s="76"/>
      <c r="CM2276" s="76"/>
      <c r="CN2276" s="76">
        <f>+CM2276*22000</f>
        <v>0</v>
      </c>
      <c r="CO2276" s="76"/>
      <c r="CP2276" s="76">
        <f>+CO2276*46000</f>
        <v>0</v>
      </c>
      <c r="CQ2276" s="76"/>
      <c r="CR2276" s="76">
        <f>+CQ2276*49000</f>
        <v>0</v>
      </c>
      <c r="CS2276" s="76"/>
      <c r="CT2276" s="76"/>
      <c r="CU2276" s="56">
        <f>AN2276+AP2276+AR2276+AT2276+AV2276+AX2276+AZ2276+BB2276+BD2276+BF2276+BH2276+BJ2276+BL2276+BN2276+BP2276+BR2276+BT2276+BV2276+BX2276+BZ2276+CB2276+CD2276+CF2276+CH2276+CJ2276+CL2276+CN2276+CP2276+CR2276+CT2276</f>
        <v>0</v>
      </c>
      <c r="CV2276" s="76"/>
      <c r="CW2276" s="76">
        <f>+CV2276*1100</f>
        <v>0</v>
      </c>
      <c r="CX2276" s="76"/>
      <c r="CY2276" s="76">
        <f>+CX2276*106250</f>
        <v>0</v>
      </c>
      <c r="CZ2276" s="76"/>
      <c r="DA2276" s="76">
        <f>+CZ2276*34500</f>
        <v>0</v>
      </c>
      <c r="DB2276" s="76"/>
      <c r="DC2276" s="76">
        <f>+DB2276*25000</f>
        <v>0</v>
      </c>
      <c r="DD2276" s="219"/>
      <c r="DE2276" s="219"/>
      <c r="DF2276" s="166"/>
      <c r="DG2276" s="116"/>
      <c r="DH2276" s="117"/>
      <c r="DI2276" s="24"/>
      <c r="DJ2276" s="24"/>
      <c r="DK2276" s="24"/>
      <c r="DL2276" s="24"/>
      <c r="DM2276" s="24"/>
      <c r="DN2276" s="24"/>
      <c r="DO2276" s="24"/>
      <c r="DP2276" s="24"/>
      <c r="DQ2276" s="24"/>
      <c r="DR2276" s="24"/>
      <c r="DS2276" s="24"/>
      <c r="DT2276" s="24"/>
      <c r="DU2276" s="24"/>
    </row>
    <row r="2277" spans="1:125" s="8" customFormat="1" ht="72" x14ac:dyDescent="0.2">
      <c r="A2277" s="353">
        <v>41460</v>
      </c>
      <c r="B2277" s="78" t="s">
        <v>2087</v>
      </c>
      <c r="C2277" s="75" t="s">
        <v>798</v>
      </c>
      <c r="D2277" s="75" t="s">
        <v>3051</v>
      </c>
      <c r="E2277" s="75" t="str">
        <f>VLOOKUP(B2277&amp;C2277,Divipola!$C$2:$F$1138,4,FALSE)</f>
        <v>18256</v>
      </c>
      <c r="F2277" s="87"/>
      <c r="G2277" s="87"/>
      <c r="H2277" s="87"/>
      <c r="I2277" s="87"/>
      <c r="J2277" s="87"/>
      <c r="K2277" s="87"/>
      <c r="L2277" s="87"/>
      <c r="M2277" s="87"/>
      <c r="N2277" s="87"/>
      <c r="O2277" s="87"/>
      <c r="P2277" s="87"/>
      <c r="Q2277" s="87"/>
      <c r="R2277" s="87"/>
      <c r="S2277" s="87"/>
      <c r="T2277" s="87"/>
      <c r="U2277" s="88">
        <v>25</v>
      </c>
      <c r="V2277" s="89"/>
      <c r="W2277" s="96">
        <v>0</v>
      </c>
      <c r="X2277" s="71">
        <f>CU2277</f>
        <v>0</v>
      </c>
      <c r="Y2277" s="71">
        <f>CY2277</f>
        <v>0</v>
      </c>
      <c r="Z2277" s="71">
        <f>DA2277+DC2277+DE2277</f>
        <v>0</v>
      </c>
      <c r="AA2277" s="71">
        <f>CW2277</f>
        <v>0</v>
      </c>
      <c r="AB2277" s="71"/>
      <c r="AC2277" s="71">
        <v>0</v>
      </c>
      <c r="AD2277" s="71">
        <f>W2277+X2277+Y2277+Z2277+AA2277+AB2277+AC2277</f>
        <v>0</v>
      </c>
      <c r="AE2277" s="72">
        <v>0</v>
      </c>
      <c r="AF2277" s="5"/>
      <c r="AG2277" s="6"/>
      <c r="AH2277" s="27" t="s">
        <v>3392</v>
      </c>
      <c r="AI2277" s="44" t="s">
        <v>3393</v>
      </c>
      <c r="AJ2277" s="26"/>
      <c r="AK2277" s="5"/>
      <c r="AL2277" s="82" t="s">
        <v>5126</v>
      </c>
      <c r="AM2277" s="76"/>
      <c r="AN2277" s="76"/>
      <c r="AO2277" s="76"/>
      <c r="AP2277" s="76"/>
      <c r="AQ2277" s="76"/>
      <c r="AR2277" s="76"/>
      <c r="AS2277" s="76"/>
      <c r="AT2277" s="76"/>
      <c r="AU2277" s="76"/>
      <c r="AV2277" s="76"/>
      <c r="AW2277" s="76"/>
      <c r="AX2277" s="76">
        <f>+AW2277*600000</f>
        <v>0</v>
      </c>
      <c r="AY2277" s="76"/>
      <c r="AZ2277" s="76">
        <f>+AY2277*70000</f>
        <v>0</v>
      </c>
      <c r="BA2277" s="76"/>
      <c r="BB2277" s="76"/>
      <c r="BC2277" s="76"/>
      <c r="BD2277" s="76">
        <f>+BC2277*30000</f>
        <v>0</v>
      </c>
      <c r="BE2277" s="76"/>
      <c r="BF2277" s="76"/>
      <c r="BG2277" s="76"/>
      <c r="BH2277" s="76"/>
      <c r="BI2277" s="76"/>
      <c r="BJ2277" s="76"/>
      <c r="BK2277" s="76"/>
      <c r="BL2277" s="76">
        <f>+BK2277*31500</f>
        <v>0</v>
      </c>
      <c r="BM2277" s="76"/>
      <c r="BN2277" s="76"/>
      <c r="BO2277" s="76"/>
      <c r="BP2277" s="76"/>
      <c r="BQ2277" s="76"/>
      <c r="BR2277" s="76"/>
      <c r="BS2277" s="76"/>
      <c r="BT2277" s="76"/>
      <c r="BU2277" s="76"/>
      <c r="BV2277" s="76"/>
      <c r="BW2277" s="76"/>
      <c r="BX2277" s="76"/>
      <c r="BY2277" s="76"/>
      <c r="BZ2277" s="76"/>
      <c r="CA2277" s="76"/>
      <c r="CB2277" s="76"/>
      <c r="CC2277" s="76"/>
      <c r="CD2277" s="76"/>
      <c r="CE2277" s="76"/>
      <c r="CF2277" s="76">
        <f>+CE2277*28000</f>
        <v>0</v>
      </c>
      <c r="CG2277" s="76"/>
      <c r="CH2277" s="76">
        <f>+CG2277*22500</f>
        <v>0</v>
      </c>
      <c r="CI2277" s="76"/>
      <c r="CJ2277" s="76">
        <f>+CI2277*26000</f>
        <v>0</v>
      </c>
      <c r="CK2277" s="76"/>
      <c r="CL2277" s="76"/>
      <c r="CM2277" s="76"/>
      <c r="CN2277" s="76">
        <f>+CM2277*22000</f>
        <v>0</v>
      </c>
      <c r="CO2277" s="76"/>
      <c r="CP2277" s="76">
        <f>+CO2277*46000</f>
        <v>0</v>
      </c>
      <c r="CQ2277" s="76"/>
      <c r="CR2277" s="76">
        <f>+CQ2277*49000</f>
        <v>0</v>
      </c>
      <c r="CS2277" s="76"/>
      <c r="CT2277" s="76"/>
      <c r="CU2277" s="56">
        <f>AN2277+AP2277+AR2277+AT2277+AV2277+AX2277+AZ2277+BB2277+BD2277+BF2277+BH2277+BJ2277+BL2277+BN2277+BP2277+BR2277+BT2277+BV2277+BX2277+BZ2277+CB2277+CD2277+CF2277+CH2277+CJ2277+CL2277+CN2277+CP2277+CR2277+CT2277</f>
        <v>0</v>
      </c>
      <c r="CV2277" s="76"/>
      <c r="CW2277" s="76">
        <f>+CV2277*1100</f>
        <v>0</v>
      </c>
      <c r="CX2277" s="76"/>
      <c r="CY2277" s="76">
        <f>+CX2277*106250</f>
        <v>0</v>
      </c>
      <c r="CZ2277" s="76"/>
      <c r="DA2277" s="76">
        <f>+CZ2277*34500</f>
        <v>0</v>
      </c>
      <c r="DB2277" s="76"/>
      <c r="DC2277" s="76">
        <f>+DB2277*25000</f>
        <v>0</v>
      </c>
      <c r="DD2277" s="219"/>
      <c r="DE2277" s="219"/>
      <c r="DF2277" s="166"/>
      <c r="DG2277" s="116"/>
      <c r="DH2277" s="117"/>
      <c r="DI2277" s="24"/>
      <c r="DJ2277" s="24"/>
      <c r="DK2277" s="24"/>
      <c r="DL2277" s="24"/>
      <c r="DM2277" s="24"/>
      <c r="DN2277" s="24"/>
      <c r="DO2277" s="24"/>
      <c r="DP2277" s="24"/>
      <c r="DQ2277" s="24"/>
      <c r="DR2277" s="24"/>
      <c r="DS2277" s="24"/>
      <c r="DT2277" s="24"/>
      <c r="DU2277" s="24"/>
    </row>
    <row r="2278" spans="1:125" s="8" customFormat="1" ht="84" x14ac:dyDescent="0.2">
      <c r="A2278" s="77">
        <v>41461</v>
      </c>
      <c r="B2278" s="225" t="s">
        <v>2772</v>
      </c>
      <c r="C2278" s="227" t="s">
        <v>1115</v>
      </c>
      <c r="D2278" s="354" t="s">
        <v>2846</v>
      </c>
      <c r="E2278" s="75" t="str">
        <f>VLOOKUP(B2278&amp;C2278,Divipola!$C$2:$F$1138,4,FALSE)</f>
        <v>25473</v>
      </c>
      <c r="F2278" s="87"/>
      <c r="G2278" s="87"/>
      <c r="H2278" s="87"/>
      <c r="I2278" s="87"/>
      <c r="J2278" s="87"/>
      <c r="K2278" s="87"/>
      <c r="L2278" s="87"/>
      <c r="M2278" s="87"/>
      <c r="N2278" s="87"/>
      <c r="O2278" s="87"/>
      <c r="P2278" s="87"/>
      <c r="Q2278" s="87"/>
      <c r="R2278" s="87"/>
      <c r="S2278" s="87"/>
      <c r="T2278" s="87"/>
      <c r="U2278" s="88">
        <v>5</v>
      </c>
      <c r="V2278" s="89"/>
      <c r="W2278" s="96">
        <v>0</v>
      </c>
      <c r="X2278" s="71">
        <f>CU2278</f>
        <v>0</v>
      </c>
      <c r="Y2278" s="71">
        <f>CY2278</f>
        <v>0</v>
      </c>
      <c r="Z2278" s="71">
        <f>DA2278+DC2278+DE2278</f>
        <v>0</v>
      </c>
      <c r="AA2278" s="71">
        <f>CW2278</f>
        <v>0</v>
      </c>
      <c r="AB2278" s="71"/>
      <c r="AC2278" s="71">
        <v>0</v>
      </c>
      <c r="AD2278" s="71">
        <f>W2278+X2278+Y2278+Z2278+AA2278+AB2278+AC2278</f>
        <v>0</v>
      </c>
      <c r="AE2278" s="72">
        <v>0</v>
      </c>
      <c r="AF2278" s="5"/>
      <c r="AG2278" s="6"/>
      <c r="AH2278" s="27" t="s">
        <v>3392</v>
      </c>
      <c r="AI2278" s="44" t="s">
        <v>3393</v>
      </c>
      <c r="AJ2278" s="26"/>
      <c r="AK2278" s="5"/>
      <c r="AL2278" s="82" t="s">
        <v>5144</v>
      </c>
      <c r="AM2278" s="76"/>
      <c r="AN2278" s="76"/>
      <c r="AO2278" s="76"/>
      <c r="AP2278" s="76"/>
      <c r="AQ2278" s="76"/>
      <c r="AR2278" s="76"/>
      <c r="AS2278" s="76"/>
      <c r="AT2278" s="76"/>
      <c r="AU2278" s="76"/>
      <c r="AV2278" s="76"/>
      <c r="AW2278" s="76"/>
      <c r="AX2278" s="76">
        <f>+AW2278*600000</f>
        <v>0</v>
      </c>
      <c r="AY2278" s="76"/>
      <c r="AZ2278" s="76">
        <f>+AY2278*70000</f>
        <v>0</v>
      </c>
      <c r="BA2278" s="76"/>
      <c r="BB2278" s="76"/>
      <c r="BC2278" s="76"/>
      <c r="BD2278" s="76">
        <f>+BC2278*30000</f>
        <v>0</v>
      </c>
      <c r="BE2278" s="76"/>
      <c r="BF2278" s="76"/>
      <c r="BG2278" s="76"/>
      <c r="BH2278" s="76"/>
      <c r="BI2278" s="76"/>
      <c r="BJ2278" s="76"/>
      <c r="BK2278" s="76"/>
      <c r="BL2278" s="76">
        <f>+BK2278*31500</f>
        <v>0</v>
      </c>
      <c r="BM2278" s="76"/>
      <c r="BN2278" s="76"/>
      <c r="BO2278" s="76"/>
      <c r="BP2278" s="76"/>
      <c r="BQ2278" s="76"/>
      <c r="BR2278" s="76"/>
      <c r="BS2278" s="76"/>
      <c r="BT2278" s="76"/>
      <c r="BU2278" s="76"/>
      <c r="BV2278" s="76"/>
      <c r="BW2278" s="76"/>
      <c r="BX2278" s="76"/>
      <c r="BY2278" s="76"/>
      <c r="BZ2278" s="76"/>
      <c r="CA2278" s="76"/>
      <c r="CB2278" s="76"/>
      <c r="CC2278" s="76"/>
      <c r="CD2278" s="76"/>
      <c r="CE2278" s="76"/>
      <c r="CF2278" s="76">
        <f>+CE2278*28000</f>
        <v>0</v>
      </c>
      <c r="CG2278" s="76"/>
      <c r="CH2278" s="76">
        <f>+CG2278*22500</f>
        <v>0</v>
      </c>
      <c r="CI2278" s="76"/>
      <c r="CJ2278" s="76">
        <f>+CI2278*26000</f>
        <v>0</v>
      </c>
      <c r="CK2278" s="76"/>
      <c r="CL2278" s="76"/>
      <c r="CM2278" s="76"/>
      <c r="CN2278" s="76">
        <f>+CM2278*22000</f>
        <v>0</v>
      </c>
      <c r="CO2278" s="76"/>
      <c r="CP2278" s="76">
        <f>+CO2278*46000</f>
        <v>0</v>
      </c>
      <c r="CQ2278" s="76"/>
      <c r="CR2278" s="76">
        <f>+CQ2278*49000</f>
        <v>0</v>
      </c>
      <c r="CS2278" s="76"/>
      <c r="CT2278" s="76"/>
      <c r="CU2278" s="56">
        <f>AN2278+AP2278+AR2278+AT2278+AV2278+AX2278+AZ2278+BB2278+BD2278+BF2278+BH2278+BJ2278+BL2278+BN2278+BP2278+BR2278+BT2278+BV2278+BX2278+BZ2278+CB2278+CD2278+CF2278+CH2278+CJ2278+CL2278+CN2278+CP2278+CR2278+CT2278</f>
        <v>0</v>
      </c>
      <c r="CV2278" s="76"/>
      <c r="CW2278" s="76">
        <f>+CV2278*1100</f>
        <v>0</v>
      </c>
      <c r="CX2278" s="76"/>
      <c r="CY2278" s="76">
        <f>+CX2278*106250</f>
        <v>0</v>
      </c>
      <c r="CZ2278" s="76"/>
      <c r="DA2278" s="76">
        <f>+CZ2278*34500</f>
        <v>0</v>
      </c>
      <c r="DB2278" s="76"/>
      <c r="DC2278" s="76">
        <f>+DB2278*25000</f>
        <v>0</v>
      </c>
      <c r="DD2278" s="219"/>
      <c r="DE2278" s="219"/>
      <c r="DF2278" s="166"/>
      <c r="DG2278" s="116"/>
      <c r="DH2278" s="117"/>
      <c r="DI2278" s="24"/>
      <c r="DJ2278" s="24"/>
      <c r="DK2278" s="24"/>
      <c r="DL2278" s="24"/>
      <c r="DM2278" s="24"/>
      <c r="DN2278" s="24"/>
      <c r="DO2278" s="24"/>
      <c r="DP2278" s="24"/>
      <c r="DQ2278" s="24"/>
      <c r="DR2278" s="24"/>
      <c r="DS2278" s="24"/>
      <c r="DT2278" s="24"/>
      <c r="DU2278" s="24"/>
    </row>
    <row r="2279" spans="1:125" s="8" customFormat="1" ht="48" x14ac:dyDescent="0.2">
      <c r="A2279" s="353">
        <v>41461</v>
      </c>
      <c r="B2279" s="352" t="s">
        <v>2291</v>
      </c>
      <c r="C2279" s="354" t="s">
        <v>2292</v>
      </c>
      <c r="D2279" s="354" t="s">
        <v>4391</v>
      </c>
      <c r="E2279" s="75" t="str">
        <f>VLOOKUP(B2279&amp;C2279,Divipola!$C$2:$F$1138,4,FALSE)</f>
        <v>94001</v>
      </c>
      <c r="F2279" s="87">
        <v>1</v>
      </c>
      <c r="G2279" s="87"/>
      <c r="H2279" s="87"/>
      <c r="I2279" s="87"/>
      <c r="J2279" s="87"/>
      <c r="K2279" s="87"/>
      <c r="L2279" s="87"/>
      <c r="M2279" s="87"/>
      <c r="N2279" s="87"/>
      <c r="O2279" s="87"/>
      <c r="P2279" s="87"/>
      <c r="Q2279" s="87"/>
      <c r="R2279" s="87"/>
      <c r="S2279" s="87"/>
      <c r="T2279" s="87"/>
      <c r="U2279" s="88"/>
      <c r="V2279" s="89"/>
      <c r="W2279" s="96">
        <v>0</v>
      </c>
      <c r="X2279" s="71">
        <f>CU2279</f>
        <v>0</v>
      </c>
      <c r="Y2279" s="71">
        <f>CY2279</f>
        <v>0</v>
      </c>
      <c r="Z2279" s="71">
        <f>DA2279+DC2279+DE2279</f>
        <v>0</v>
      </c>
      <c r="AA2279" s="71">
        <f>CW2279</f>
        <v>0</v>
      </c>
      <c r="AB2279" s="71"/>
      <c r="AC2279" s="71">
        <v>0</v>
      </c>
      <c r="AD2279" s="71">
        <f>W2279+X2279+Y2279+Z2279+AA2279+AB2279+AC2279</f>
        <v>0</v>
      </c>
      <c r="AE2279" s="72">
        <v>0</v>
      </c>
      <c r="AF2279" s="5"/>
      <c r="AG2279" s="6"/>
      <c r="AH2279" s="27" t="s">
        <v>3392</v>
      </c>
      <c r="AI2279" s="44" t="s">
        <v>3393</v>
      </c>
      <c r="AJ2279" s="26"/>
      <c r="AK2279" s="5"/>
      <c r="AL2279" s="82" t="s">
        <v>5134</v>
      </c>
      <c r="AM2279" s="76"/>
      <c r="AN2279" s="76"/>
      <c r="AO2279" s="76"/>
      <c r="AP2279" s="76"/>
      <c r="AQ2279" s="76"/>
      <c r="AR2279" s="76"/>
      <c r="AS2279" s="76"/>
      <c r="AT2279" s="76"/>
      <c r="AU2279" s="76"/>
      <c r="AV2279" s="76"/>
      <c r="AW2279" s="76"/>
      <c r="AX2279" s="76">
        <f>+AW2279*600000</f>
        <v>0</v>
      </c>
      <c r="AY2279" s="76"/>
      <c r="AZ2279" s="76">
        <f>+AY2279*70000</f>
        <v>0</v>
      </c>
      <c r="BA2279" s="76"/>
      <c r="BB2279" s="76"/>
      <c r="BC2279" s="76"/>
      <c r="BD2279" s="76">
        <f>+BC2279*30000</f>
        <v>0</v>
      </c>
      <c r="BE2279" s="76"/>
      <c r="BF2279" s="76"/>
      <c r="BG2279" s="76"/>
      <c r="BH2279" s="76"/>
      <c r="BI2279" s="76"/>
      <c r="BJ2279" s="76"/>
      <c r="BK2279" s="76"/>
      <c r="BL2279" s="76">
        <f>+BK2279*31500</f>
        <v>0</v>
      </c>
      <c r="BM2279" s="76"/>
      <c r="BN2279" s="76"/>
      <c r="BO2279" s="76"/>
      <c r="BP2279" s="76"/>
      <c r="BQ2279" s="76"/>
      <c r="BR2279" s="76"/>
      <c r="BS2279" s="76"/>
      <c r="BT2279" s="76"/>
      <c r="BU2279" s="76"/>
      <c r="BV2279" s="76"/>
      <c r="BW2279" s="76"/>
      <c r="BX2279" s="76"/>
      <c r="BY2279" s="76"/>
      <c r="BZ2279" s="76"/>
      <c r="CA2279" s="76"/>
      <c r="CB2279" s="76"/>
      <c r="CC2279" s="76"/>
      <c r="CD2279" s="76"/>
      <c r="CE2279" s="76"/>
      <c r="CF2279" s="76">
        <f>+CE2279*28000</f>
        <v>0</v>
      </c>
      <c r="CG2279" s="76"/>
      <c r="CH2279" s="76">
        <f>+CG2279*22500</f>
        <v>0</v>
      </c>
      <c r="CI2279" s="76"/>
      <c r="CJ2279" s="76">
        <f>+CI2279*26000</f>
        <v>0</v>
      </c>
      <c r="CK2279" s="76"/>
      <c r="CL2279" s="76"/>
      <c r="CM2279" s="76"/>
      <c r="CN2279" s="76">
        <f>+CM2279*22000</f>
        <v>0</v>
      </c>
      <c r="CO2279" s="76"/>
      <c r="CP2279" s="76">
        <f>+CO2279*46000</f>
        <v>0</v>
      </c>
      <c r="CQ2279" s="76"/>
      <c r="CR2279" s="76">
        <f>+CQ2279*49000</f>
        <v>0</v>
      </c>
      <c r="CS2279" s="76"/>
      <c r="CT2279" s="76"/>
      <c r="CU2279" s="56">
        <f>AN2279+AP2279+AR2279+AT2279+AV2279+AX2279+AZ2279+BB2279+BD2279+BF2279+BH2279+BJ2279+BL2279+BN2279+BP2279+BR2279+BT2279+BV2279+BX2279+BZ2279+CB2279+CD2279+CF2279+CH2279+CJ2279+CL2279+CN2279+CP2279+CR2279+CT2279</f>
        <v>0</v>
      </c>
      <c r="CV2279" s="76"/>
      <c r="CW2279" s="76">
        <f>+CV2279*1100</f>
        <v>0</v>
      </c>
      <c r="CX2279" s="76"/>
      <c r="CY2279" s="76">
        <f>+CX2279*106250</f>
        <v>0</v>
      </c>
      <c r="CZ2279" s="76"/>
      <c r="DA2279" s="76">
        <f>+CZ2279*34500</f>
        <v>0</v>
      </c>
      <c r="DB2279" s="76"/>
      <c r="DC2279" s="76">
        <f>+DB2279*25000</f>
        <v>0</v>
      </c>
      <c r="DD2279" s="219"/>
      <c r="DE2279" s="219"/>
      <c r="DF2279" s="166"/>
      <c r="DG2279" s="116"/>
      <c r="DH2279" s="117"/>
      <c r="DI2279" s="24"/>
      <c r="DJ2279" s="24"/>
      <c r="DK2279" s="24"/>
      <c r="DL2279" s="24"/>
      <c r="DM2279" s="24"/>
      <c r="DN2279" s="24"/>
      <c r="DO2279" s="24"/>
      <c r="DP2279" s="24"/>
      <c r="DQ2279" s="24"/>
      <c r="DR2279" s="24"/>
      <c r="DS2279" s="24"/>
      <c r="DT2279" s="24"/>
      <c r="DU2279" s="24"/>
    </row>
    <row r="2280" spans="1:125" s="8" customFormat="1" ht="48" x14ac:dyDescent="0.2">
      <c r="A2280" s="226">
        <v>41461</v>
      </c>
      <c r="B2280" s="225" t="s">
        <v>2661</v>
      </c>
      <c r="C2280" s="227" t="s">
        <v>2169</v>
      </c>
      <c r="D2280" s="227" t="s">
        <v>2846</v>
      </c>
      <c r="E2280" s="75" t="str">
        <f>VLOOKUP(B2280&amp;C2280,Divipola!$C$2:$F$1138,4,FALSE)</f>
        <v>41001</v>
      </c>
      <c r="F2280" s="87"/>
      <c r="G2280" s="87"/>
      <c r="H2280" s="87"/>
      <c r="I2280" s="87"/>
      <c r="J2280" s="87"/>
      <c r="K2280" s="87"/>
      <c r="L2280" s="87"/>
      <c r="M2280" s="87"/>
      <c r="N2280" s="87"/>
      <c r="O2280" s="87"/>
      <c r="P2280" s="87"/>
      <c r="Q2280" s="87"/>
      <c r="R2280" s="87"/>
      <c r="S2280" s="87"/>
      <c r="T2280" s="87"/>
      <c r="U2280" s="88">
        <v>1</v>
      </c>
      <c r="V2280" s="89"/>
      <c r="W2280" s="96">
        <v>0</v>
      </c>
      <c r="X2280" s="71">
        <f>CU2280</f>
        <v>0</v>
      </c>
      <c r="Y2280" s="71">
        <f>CY2280</f>
        <v>0</v>
      </c>
      <c r="Z2280" s="71">
        <f>DA2280+DC2280+DE2280</f>
        <v>0</v>
      </c>
      <c r="AA2280" s="71">
        <f>CW2280</f>
        <v>0</v>
      </c>
      <c r="AB2280" s="71"/>
      <c r="AC2280" s="71">
        <v>0</v>
      </c>
      <c r="AD2280" s="71">
        <f>W2280+X2280+Y2280+Z2280+AA2280+AB2280+AC2280</f>
        <v>0</v>
      </c>
      <c r="AE2280" s="72">
        <v>0</v>
      </c>
      <c r="AF2280" s="5"/>
      <c r="AG2280" s="6"/>
      <c r="AH2280" s="27" t="s">
        <v>3392</v>
      </c>
      <c r="AI2280" s="44" t="s">
        <v>3393</v>
      </c>
      <c r="AJ2280" s="26"/>
      <c r="AK2280" s="5"/>
      <c r="AL2280" s="82" t="s">
        <v>5133</v>
      </c>
      <c r="AM2280" s="76"/>
      <c r="AN2280" s="76"/>
      <c r="AO2280" s="76"/>
      <c r="AP2280" s="76"/>
      <c r="AQ2280" s="76"/>
      <c r="AR2280" s="76"/>
      <c r="AS2280" s="76"/>
      <c r="AT2280" s="76"/>
      <c r="AU2280" s="76"/>
      <c r="AV2280" s="76"/>
      <c r="AW2280" s="76"/>
      <c r="AX2280" s="76">
        <f>+AW2280*600000</f>
        <v>0</v>
      </c>
      <c r="AY2280" s="76"/>
      <c r="AZ2280" s="76">
        <f>+AY2280*70000</f>
        <v>0</v>
      </c>
      <c r="BA2280" s="76"/>
      <c r="BB2280" s="76"/>
      <c r="BC2280" s="76"/>
      <c r="BD2280" s="76">
        <f>+BC2280*30000</f>
        <v>0</v>
      </c>
      <c r="BE2280" s="76"/>
      <c r="BF2280" s="76"/>
      <c r="BG2280" s="76"/>
      <c r="BH2280" s="76"/>
      <c r="BI2280" s="76"/>
      <c r="BJ2280" s="76"/>
      <c r="BK2280" s="76"/>
      <c r="BL2280" s="76">
        <f>+BK2280*31500</f>
        <v>0</v>
      </c>
      <c r="BM2280" s="76"/>
      <c r="BN2280" s="76"/>
      <c r="BO2280" s="76"/>
      <c r="BP2280" s="76"/>
      <c r="BQ2280" s="76"/>
      <c r="BR2280" s="76"/>
      <c r="BS2280" s="76"/>
      <c r="BT2280" s="76"/>
      <c r="BU2280" s="76"/>
      <c r="BV2280" s="76"/>
      <c r="BW2280" s="76"/>
      <c r="BX2280" s="76"/>
      <c r="BY2280" s="76"/>
      <c r="BZ2280" s="76"/>
      <c r="CA2280" s="76"/>
      <c r="CB2280" s="76"/>
      <c r="CC2280" s="76"/>
      <c r="CD2280" s="76"/>
      <c r="CE2280" s="76"/>
      <c r="CF2280" s="76">
        <f>+CE2280*28000</f>
        <v>0</v>
      </c>
      <c r="CG2280" s="76"/>
      <c r="CH2280" s="76">
        <f>+CG2280*22500</f>
        <v>0</v>
      </c>
      <c r="CI2280" s="76"/>
      <c r="CJ2280" s="76">
        <f>+CI2280*26000</f>
        <v>0</v>
      </c>
      <c r="CK2280" s="76"/>
      <c r="CL2280" s="76"/>
      <c r="CM2280" s="76"/>
      <c r="CN2280" s="76">
        <f>+CM2280*22000</f>
        <v>0</v>
      </c>
      <c r="CO2280" s="76"/>
      <c r="CP2280" s="76">
        <f>+CO2280*46000</f>
        <v>0</v>
      </c>
      <c r="CQ2280" s="76"/>
      <c r="CR2280" s="76">
        <f>+CQ2280*49000</f>
        <v>0</v>
      </c>
      <c r="CS2280" s="76"/>
      <c r="CT2280" s="76"/>
      <c r="CU2280" s="56">
        <f>AN2280+AP2280+AR2280+AT2280+AV2280+AX2280+AZ2280+BB2280+BD2280+BF2280+BH2280+BJ2280+BL2280+BN2280+BP2280+BR2280+BT2280+BV2280+BX2280+BZ2280+CB2280+CD2280+CF2280+CH2280+CJ2280+CL2280+CN2280+CP2280+CR2280+CT2280</f>
        <v>0</v>
      </c>
      <c r="CV2280" s="76"/>
      <c r="CW2280" s="76">
        <f>+CV2280*1100</f>
        <v>0</v>
      </c>
      <c r="CX2280" s="76"/>
      <c r="CY2280" s="76">
        <f>+CX2280*106250</f>
        <v>0</v>
      </c>
      <c r="CZ2280" s="76"/>
      <c r="DA2280" s="76">
        <f>+CZ2280*34500</f>
        <v>0</v>
      </c>
      <c r="DB2280" s="76"/>
      <c r="DC2280" s="76">
        <f>+DB2280*25000</f>
        <v>0</v>
      </c>
      <c r="DD2280" s="219"/>
      <c r="DE2280" s="219"/>
      <c r="DF2280" s="166"/>
      <c r="DG2280" s="116"/>
      <c r="DH2280" s="117"/>
      <c r="DI2280" s="24"/>
      <c r="DJ2280" s="24"/>
      <c r="DK2280" s="24"/>
      <c r="DL2280" s="24"/>
      <c r="DM2280" s="24"/>
      <c r="DN2280" s="24"/>
      <c r="DO2280" s="24"/>
      <c r="DP2280" s="24"/>
      <c r="DQ2280" s="24"/>
      <c r="DR2280" s="24"/>
      <c r="DS2280" s="24"/>
      <c r="DT2280" s="24"/>
      <c r="DU2280" s="24"/>
    </row>
    <row r="2281" spans="1:125" s="8" customFormat="1" ht="72" x14ac:dyDescent="0.2">
      <c r="A2281" s="226">
        <v>41461</v>
      </c>
      <c r="B2281" s="225" t="s">
        <v>2848</v>
      </c>
      <c r="C2281" s="227" t="s">
        <v>1393</v>
      </c>
      <c r="D2281" s="354" t="s">
        <v>2846</v>
      </c>
      <c r="E2281" s="75" t="str">
        <f>VLOOKUP(B2281&amp;C2281,Divipola!$C$2:$F$1138,4,FALSE)</f>
        <v>73168</v>
      </c>
      <c r="F2281" s="87"/>
      <c r="G2281" s="87"/>
      <c r="H2281" s="87"/>
      <c r="I2281" s="87"/>
      <c r="J2281" s="87"/>
      <c r="K2281" s="87"/>
      <c r="L2281" s="87"/>
      <c r="M2281" s="87"/>
      <c r="N2281" s="87"/>
      <c r="O2281" s="87"/>
      <c r="P2281" s="87"/>
      <c r="Q2281" s="87"/>
      <c r="R2281" s="87"/>
      <c r="S2281" s="87"/>
      <c r="T2281" s="87"/>
      <c r="U2281" s="88">
        <v>3</v>
      </c>
      <c r="V2281" s="89"/>
      <c r="W2281" s="96">
        <v>0</v>
      </c>
      <c r="X2281" s="71">
        <f>CU2281</f>
        <v>0</v>
      </c>
      <c r="Y2281" s="71">
        <f>CY2281</f>
        <v>0</v>
      </c>
      <c r="Z2281" s="71">
        <f>DA2281+DC2281+DE2281</f>
        <v>0</v>
      </c>
      <c r="AA2281" s="71">
        <f>CW2281</f>
        <v>0</v>
      </c>
      <c r="AB2281" s="71"/>
      <c r="AC2281" s="71">
        <v>0</v>
      </c>
      <c r="AD2281" s="71">
        <f>W2281+X2281+Y2281+Z2281+AA2281+AB2281+AC2281</f>
        <v>0</v>
      </c>
      <c r="AE2281" s="72">
        <v>0</v>
      </c>
      <c r="AF2281" s="5"/>
      <c r="AG2281" s="6"/>
      <c r="AH2281" s="27" t="s">
        <v>3392</v>
      </c>
      <c r="AI2281" s="44" t="s">
        <v>3393</v>
      </c>
      <c r="AJ2281" s="26"/>
      <c r="AK2281" s="5"/>
      <c r="AL2281" s="82" t="s">
        <v>5136</v>
      </c>
      <c r="AM2281" s="76"/>
      <c r="AN2281" s="76"/>
      <c r="AO2281" s="76"/>
      <c r="AP2281" s="76"/>
      <c r="AQ2281" s="76"/>
      <c r="AR2281" s="76"/>
      <c r="AS2281" s="76"/>
      <c r="AT2281" s="76"/>
      <c r="AU2281" s="76"/>
      <c r="AV2281" s="76"/>
      <c r="AW2281" s="76"/>
      <c r="AX2281" s="76">
        <f>+AW2281*600000</f>
        <v>0</v>
      </c>
      <c r="AY2281" s="76"/>
      <c r="AZ2281" s="76">
        <f>+AY2281*70000</f>
        <v>0</v>
      </c>
      <c r="BA2281" s="76"/>
      <c r="BB2281" s="76"/>
      <c r="BC2281" s="76"/>
      <c r="BD2281" s="76">
        <f>+BC2281*30000</f>
        <v>0</v>
      </c>
      <c r="BE2281" s="76"/>
      <c r="BF2281" s="76"/>
      <c r="BG2281" s="76"/>
      <c r="BH2281" s="76"/>
      <c r="BI2281" s="76"/>
      <c r="BJ2281" s="76"/>
      <c r="BK2281" s="76"/>
      <c r="BL2281" s="76">
        <f>+BK2281*31500</f>
        <v>0</v>
      </c>
      <c r="BM2281" s="76"/>
      <c r="BN2281" s="76"/>
      <c r="BO2281" s="76"/>
      <c r="BP2281" s="76"/>
      <c r="BQ2281" s="76"/>
      <c r="BR2281" s="76"/>
      <c r="BS2281" s="76"/>
      <c r="BT2281" s="76"/>
      <c r="BU2281" s="76"/>
      <c r="BV2281" s="76"/>
      <c r="BW2281" s="76"/>
      <c r="BX2281" s="76"/>
      <c r="BY2281" s="76"/>
      <c r="BZ2281" s="76"/>
      <c r="CA2281" s="76"/>
      <c r="CB2281" s="76"/>
      <c r="CC2281" s="76"/>
      <c r="CD2281" s="76"/>
      <c r="CE2281" s="76"/>
      <c r="CF2281" s="76">
        <f>+CE2281*28000</f>
        <v>0</v>
      </c>
      <c r="CG2281" s="76"/>
      <c r="CH2281" s="76">
        <f>+CG2281*22500</f>
        <v>0</v>
      </c>
      <c r="CI2281" s="76"/>
      <c r="CJ2281" s="76">
        <f>+CI2281*26000</f>
        <v>0</v>
      </c>
      <c r="CK2281" s="76"/>
      <c r="CL2281" s="76"/>
      <c r="CM2281" s="76"/>
      <c r="CN2281" s="76">
        <f>+CM2281*22000</f>
        <v>0</v>
      </c>
      <c r="CO2281" s="76"/>
      <c r="CP2281" s="76">
        <f>+CO2281*46000</f>
        <v>0</v>
      </c>
      <c r="CQ2281" s="76"/>
      <c r="CR2281" s="76">
        <f>+CQ2281*49000</f>
        <v>0</v>
      </c>
      <c r="CS2281" s="76"/>
      <c r="CT2281" s="76"/>
      <c r="CU2281" s="56">
        <f>AN2281+AP2281+AR2281+AT2281+AV2281+AX2281+AZ2281+BB2281+BD2281+BF2281+BH2281+BJ2281+BL2281+BN2281+BP2281+BR2281+BT2281+BV2281+BX2281+BZ2281+CB2281+CD2281+CF2281+CH2281+CJ2281+CL2281+CN2281+CP2281+CR2281+CT2281</f>
        <v>0</v>
      </c>
      <c r="CV2281" s="76"/>
      <c r="CW2281" s="76">
        <f>+CV2281*1100</f>
        <v>0</v>
      </c>
      <c r="CX2281" s="76"/>
      <c r="CY2281" s="76">
        <f>+CX2281*106250</f>
        <v>0</v>
      </c>
      <c r="CZ2281" s="76"/>
      <c r="DA2281" s="76">
        <f>+CZ2281*34500</f>
        <v>0</v>
      </c>
      <c r="DB2281" s="76"/>
      <c r="DC2281" s="76">
        <f>+DB2281*25000</f>
        <v>0</v>
      </c>
      <c r="DD2281" s="219"/>
      <c r="DE2281" s="219"/>
      <c r="DF2281" s="166"/>
      <c r="DG2281" s="116"/>
      <c r="DH2281" s="117"/>
      <c r="DI2281" s="24"/>
      <c r="DJ2281" s="24"/>
      <c r="DK2281" s="24"/>
      <c r="DL2281" s="24"/>
      <c r="DM2281" s="24"/>
      <c r="DN2281" s="24"/>
      <c r="DO2281" s="24"/>
      <c r="DP2281" s="24"/>
      <c r="DQ2281" s="24"/>
      <c r="DR2281" s="24"/>
      <c r="DS2281" s="24"/>
      <c r="DT2281" s="24"/>
      <c r="DU2281" s="24"/>
    </row>
    <row r="2282" spans="1:125" s="8" customFormat="1" ht="60" x14ac:dyDescent="0.2">
      <c r="A2282" s="226">
        <v>41461</v>
      </c>
      <c r="B2282" s="225" t="s">
        <v>2848</v>
      </c>
      <c r="C2282" s="227" t="s">
        <v>2077</v>
      </c>
      <c r="D2282" s="354" t="s">
        <v>2849</v>
      </c>
      <c r="E2282" s="75" t="str">
        <f>VLOOKUP(B2282&amp;C2282,Divipola!$C$2:$F$1138,4,FALSE)</f>
        <v>73411</v>
      </c>
      <c r="F2282" s="87">
        <v>3</v>
      </c>
      <c r="G2282" s="87">
        <v>25</v>
      </c>
      <c r="H2282" s="87"/>
      <c r="I2282" s="87">
        <v>25</v>
      </c>
      <c r="J2282" s="87"/>
      <c r="K2282" s="87"/>
      <c r="L2282" s="87"/>
      <c r="M2282" s="87"/>
      <c r="N2282" s="87"/>
      <c r="O2282" s="87"/>
      <c r="P2282" s="87"/>
      <c r="Q2282" s="87"/>
      <c r="R2282" s="87"/>
      <c r="S2282" s="87"/>
      <c r="T2282" s="87"/>
      <c r="U2282" s="88"/>
      <c r="V2282" s="89"/>
      <c r="W2282" s="96">
        <v>0</v>
      </c>
      <c r="X2282" s="71">
        <f>CU2282</f>
        <v>0</v>
      </c>
      <c r="Y2282" s="71">
        <f>CY2282</f>
        <v>0</v>
      </c>
      <c r="Z2282" s="71">
        <f>DA2282+DC2282+DE2282</f>
        <v>0</v>
      </c>
      <c r="AA2282" s="71">
        <f>CW2282</f>
        <v>0</v>
      </c>
      <c r="AB2282" s="71"/>
      <c r="AC2282" s="71">
        <v>0</v>
      </c>
      <c r="AD2282" s="71">
        <f>W2282+X2282+Y2282+Z2282+AA2282+AB2282+AC2282</f>
        <v>0</v>
      </c>
      <c r="AE2282" s="72">
        <v>0</v>
      </c>
      <c r="AF2282" s="5"/>
      <c r="AG2282" s="6"/>
      <c r="AH2282" s="27" t="s">
        <v>3392</v>
      </c>
      <c r="AI2282" s="44" t="s">
        <v>3393</v>
      </c>
      <c r="AJ2282" s="26"/>
      <c r="AK2282" s="5"/>
      <c r="AL2282" s="82" t="s">
        <v>5132</v>
      </c>
      <c r="AM2282" s="76"/>
      <c r="AN2282" s="76"/>
      <c r="AO2282" s="76"/>
      <c r="AP2282" s="76"/>
      <c r="AQ2282" s="76"/>
      <c r="AR2282" s="76"/>
      <c r="AS2282" s="76"/>
      <c r="AT2282" s="76"/>
      <c r="AU2282" s="76"/>
      <c r="AV2282" s="76"/>
      <c r="AW2282" s="76"/>
      <c r="AX2282" s="76">
        <f>+AW2282*600000</f>
        <v>0</v>
      </c>
      <c r="AY2282" s="76"/>
      <c r="AZ2282" s="76">
        <f>+AY2282*70000</f>
        <v>0</v>
      </c>
      <c r="BA2282" s="76"/>
      <c r="BB2282" s="76"/>
      <c r="BC2282" s="76"/>
      <c r="BD2282" s="76">
        <f>+BC2282*30000</f>
        <v>0</v>
      </c>
      <c r="BE2282" s="76"/>
      <c r="BF2282" s="76"/>
      <c r="BG2282" s="76"/>
      <c r="BH2282" s="76"/>
      <c r="BI2282" s="76"/>
      <c r="BJ2282" s="76"/>
      <c r="BK2282" s="76"/>
      <c r="BL2282" s="76">
        <f>+BK2282*31500</f>
        <v>0</v>
      </c>
      <c r="BM2282" s="76"/>
      <c r="BN2282" s="76"/>
      <c r="BO2282" s="76"/>
      <c r="BP2282" s="76"/>
      <c r="BQ2282" s="76"/>
      <c r="BR2282" s="76"/>
      <c r="BS2282" s="76"/>
      <c r="BT2282" s="76"/>
      <c r="BU2282" s="76"/>
      <c r="BV2282" s="76"/>
      <c r="BW2282" s="76"/>
      <c r="BX2282" s="76"/>
      <c r="BY2282" s="76"/>
      <c r="BZ2282" s="76"/>
      <c r="CA2282" s="76"/>
      <c r="CB2282" s="76"/>
      <c r="CC2282" s="76"/>
      <c r="CD2282" s="76"/>
      <c r="CE2282" s="76"/>
      <c r="CF2282" s="76">
        <f>+CE2282*28000</f>
        <v>0</v>
      </c>
      <c r="CG2282" s="76"/>
      <c r="CH2282" s="76">
        <f>+CG2282*22500</f>
        <v>0</v>
      </c>
      <c r="CI2282" s="76"/>
      <c r="CJ2282" s="76">
        <f>+CI2282*26000</f>
        <v>0</v>
      </c>
      <c r="CK2282" s="76"/>
      <c r="CL2282" s="76"/>
      <c r="CM2282" s="76"/>
      <c r="CN2282" s="76">
        <f>+CM2282*22000</f>
        <v>0</v>
      </c>
      <c r="CO2282" s="76"/>
      <c r="CP2282" s="76">
        <f>+CO2282*46000</f>
        <v>0</v>
      </c>
      <c r="CQ2282" s="76"/>
      <c r="CR2282" s="76">
        <f>+CQ2282*49000</f>
        <v>0</v>
      </c>
      <c r="CS2282" s="76"/>
      <c r="CT2282" s="76"/>
      <c r="CU2282" s="56">
        <f>AN2282+AP2282+AR2282+AT2282+AV2282+AX2282+AZ2282+BB2282+BD2282+BF2282+BH2282+BJ2282+BL2282+BN2282+BP2282+BR2282+BT2282+BV2282+BX2282+BZ2282+CB2282+CD2282+CF2282+CH2282+CJ2282+CL2282+CN2282+CP2282+CR2282+CT2282</f>
        <v>0</v>
      </c>
      <c r="CV2282" s="76"/>
      <c r="CW2282" s="76">
        <f>+CV2282*1100</f>
        <v>0</v>
      </c>
      <c r="CX2282" s="76"/>
      <c r="CY2282" s="76">
        <f>+CX2282*106250</f>
        <v>0</v>
      </c>
      <c r="CZ2282" s="76"/>
      <c r="DA2282" s="76">
        <f>+CZ2282*34500</f>
        <v>0</v>
      </c>
      <c r="DB2282" s="76"/>
      <c r="DC2282" s="76">
        <f>+DB2282*25000</f>
        <v>0</v>
      </c>
      <c r="DD2282" s="219"/>
      <c r="DE2282" s="219"/>
      <c r="DF2282" s="166"/>
      <c r="DG2282" s="116"/>
      <c r="DH2282" s="117"/>
      <c r="DI2282" s="24"/>
      <c r="DJ2282" s="24"/>
      <c r="DK2282" s="24"/>
      <c r="DL2282" s="24"/>
      <c r="DM2282" s="24"/>
      <c r="DN2282" s="24"/>
      <c r="DO2282" s="24"/>
      <c r="DP2282" s="24"/>
      <c r="DQ2282" s="24"/>
      <c r="DR2282" s="24"/>
      <c r="DS2282" s="24"/>
      <c r="DT2282" s="24"/>
      <c r="DU2282" s="24"/>
    </row>
    <row r="2283" spans="1:125" s="8" customFormat="1" ht="132" x14ac:dyDescent="0.2">
      <c r="A2283" s="226">
        <v>41462</v>
      </c>
      <c r="B2283" s="352" t="s">
        <v>2881</v>
      </c>
      <c r="C2283" s="354" t="s">
        <v>1407</v>
      </c>
      <c r="D2283" s="354" t="s">
        <v>2859</v>
      </c>
      <c r="E2283" s="75" t="str">
        <f>VLOOKUP(B2283&amp;C2283,Divipola!$C$2:$F$1138,4,FALSE)</f>
        <v>08372</v>
      </c>
      <c r="F2283" s="163"/>
      <c r="G2283" s="163"/>
      <c r="H2283" s="163"/>
      <c r="I2283" s="163"/>
      <c r="J2283" s="163"/>
      <c r="K2283" s="163"/>
      <c r="L2283" s="163"/>
      <c r="M2283" s="163"/>
      <c r="N2283" s="163"/>
      <c r="O2283" s="163"/>
      <c r="P2283" s="163"/>
      <c r="Q2283" s="163"/>
      <c r="R2283" s="163"/>
      <c r="S2283" s="163">
        <v>1</v>
      </c>
      <c r="T2283" s="163"/>
      <c r="U2283" s="163"/>
      <c r="V2283" s="134"/>
      <c r="W2283" s="96">
        <v>0</v>
      </c>
      <c r="X2283" s="71">
        <f>CU2283</f>
        <v>0</v>
      </c>
      <c r="Y2283" s="71">
        <f>CY2283</f>
        <v>0</v>
      </c>
      <c r="Z2283" s="71">
        <f>DA2283+DC2283+DE2283</f>
        <v>0</v>
      </c>
      <c r="AA2283" s="71">
        <f>CW2283</f>
        <v>0</v>
      </c>
      <c r="AB2283" s="71"/>
      <c r="AC2283" s="71">
        <v>0</v>
      </c>
      <c r="AD2283" s="71">
        <f>W2283+X2283+Y2283+Z2283+AA2283+AB2283+AC2283</f>
        <v>0</v>
      </c>
      <c r="AE2283" s="72">
        <v>0</v>
      </c>
      <c r="AF2283" s="5"/>
      <c r="AG2283" s="6"/>
      <c r="AH2283" s="27" t="s">
        <v>3392</v>
      </c>
      <c r="AI2283" s="44" t="s">
        <v>3393</v>
      </c>
      <c r="AJ2283" s="26"/>
      <c r="AK2283" s="5"/>
      <c r="AL2283" s="82" t="s">
        <v>5138</v>
      </c>
      <c r="AM2283" s="76"/>
      <c r="AN2283" s="76"/>
      <c r="AO2283" s="76"/>
      <c r="AP2283" s="76"/>
      <c r="AQ2283" s="76"/>
      <c r="AR2283" s="76"/>
      <c r="AS2283" s="76"/>
      <c r="AT2283" s="76"/>
      <c r="AU2283" s="76"/>
      <c r="AV2283" s="76"/>
      <c r="AW2283" s="76"/>
      <c r="AX2283" s="76">
        <f>+AW2283*600000</f>
        <v>0</v>
      </c>
      <c r="AY2283" s="76"/>
      <c r="AZ2283" s="76">
        <f>+AY2283*70000</f>
        <v>0</v>
      </c>
      <c r="BA2283" s="76"/>
      <c r="BB2283" s="76"/>
      <c r="BC2283" s="76"/>
      <c r="BD2283" s="76">
        <f>+BC2283*30000</f>
        <v>0</v>
      </c>
      <c r="BE2283" s="76"/>
      <c r="BF2283" s="76"/>
      <c r="BG2283" s="76"/>
      <c r="BH2283" s="76"/>
      <c r="BI2283" s="76"/>
      <c r="BJ2283" s="76"/>
      <c r="BK2283" s="76"/>
      <c r="BL2283" s="76">
        <f>+BK2283*31500</f>
        <v>0</v>
      </c>
      <c r="BM2283" s="76"/>
      <c r="BN2283" s="76"/>
      <c r="BO2283" s="76"/>
      <c r="BP2283" s="76"/>
      <c r="BQ2283" s="76"/>
      <c r="BR2283" s="76"/>
      <c r="BS2283" s="76"/>
      <c r="BT2283" s="76"/>
      <c r="BU2283" s="76"/>
      <c r="BV2283" s="76"/>
      <c r="BW2283" s="76"/>
      <c r="BX2283" s="76"/>
      <c r="BY2283" s="76"/>
      <c r="BZ2283" s="76"/>
      <c r="CA2283" s="76"/>
      <c r="CB2283" s="76"/>
      <c r="CC2283" s="76"/>
      <c r="CD2283" s="76"/>
      <c r="CE2283" s="76"/>
      <c r="CF2283" s="76">
        <f>+CE2283*28000</f>
        <v>0</v>
      </c>
      <c r="CG2283" s="76"/>
      <c r="CH2283" s="76">
        <f>+CG2283*22500</f>
        <v>0</v>
      </c>
      <c r="CI2283" s="76"/>
      <c r="CJ2283" s="76">
        <f>+CI2283*26000</f>
        <v>0</v>
      </c>
      <c r="CK2283" s="76"/>
      <c r="CL2283" s="76"/>
      <c r="CM2283" s="76"/>
      <c r="CN2283" s="76">
        <f>+CM2283*22000</f>
        <v>0</v>
      </c>
      <c r="CO2283" s="76"/>
      <c r="CP2283" s="76">
        <f>+CO2283*46000</f>
        <v>0</v>
      </c>
      <c r="CQ2283" s="76"/>
      <c r="CR2283" s="76">
        <f>+CQ2283*49000</f>
        <v>0</v>
      </c>
      <c r="CS2283" s="76"/>
      <c r="CT2283" s="76"/>
      <c r="CU2283" s="56">
        <f>AN2283+AP2283+AR2283+AT2283+AV2283+AX2283+AZ2283+BB2283+BD2283+BF2283+BH2283+BJ2283+BL2283+BN2283+BP2283+BR2283+BT2283+BV2283+BX2283+BZ2283+CB2283+CD2283+CF2283+CH2283+CJ2283+CL2283+CN2283+CP2283+CR2283+CT2283</f>
        <v>0</v>
      </c>
      <c r="CV2283" s="76"/>
      <c r="CW2283" s="76">
        <f>+CV2283*1100</f>
        <v>0</v>
      </c>
      <c r="CX2283" s="76"/>
      <c r="CY2283" s="76">
        <f>+CX2283*106250</f>
        <v>0</v>
      </c>
      <c r="CZ2283" s="76"/>
      <c r="DA2283" s="76">
        <f>+CZ2283*34500</f>
        <v>0</v>
      </c>
      <c r="DB2283" s="76"/>
      <c r="DC2283" s="76">
        <f>+DB2283*25000</f>
        <v>0</v>
      </c>
      <c r="DD2283" s="219"/>
      <c r="DE2283" s="219"/>
      <c r="DF2283" s="166"/>
      <c r="DG2283" s="116"/>
      <c r="DH2283" s="117"/>
      <c r="DI2283" s="24"/>
      <c r="DJ2283" s="24"/>
      <c r="DK2283" s="24"/>
      <c r="DL2283" s="24"/>
      <c r="DM2283" s="24"/>
      <c r="DN2283" s="24"/>
      <c r="DO2283" s="24"/>
      <c r="DP2283" s="24"/>
      <c r="DQ2283" s="24"/>
      <c r="DR2283" s="24"/>
      <c r="DS2283" s="24"/>
      <c r="DT2283" s="24"/>
      <c r="DU2283" s="24"/>
    </row>
    <row r="2284" spans="1:125" s="8" customFormat="1" ht="36" x14ac:dyDescent="0.2">
      <c r="A2284" s="353">
        <v>41462</v>
      </c>
      <c r="B2284" s="78" t="s">
        <v>2700</v>
      </c>
      <c r="C2284" s="75" t="s">
        <v>1705</v>
      </c>
      <c r="D2284" s="75" t="s">
        <v>2882</v>
      </c>
      <c r="E2284" s="75" t="str">
        <f>VLOOKUP(B2284&amp;C2284,Divipola!$C$2:$F$1138,4,FALSE)</f>
        <v>15572</v>
      </c>
      <c r="F2284" s="87"/>
      <c r="G2284" s="87"/>
      <c r="H2284" s="87"/>
      <c r="I2284" s="87">
        <v>250</v>
      </c>
      <c r="J2284" s="87">
        <v>50</v>
      </c>
      <c r="K2284" s="87"/>
      <c r="L2284" s="87">
        <v>50</v>
      </c>
      <c r="M2284" s="87"/>
      <c r="N2284" s="87"/>
      <c r="O2284" s="87"/>
      <c r="P2284" s="87"/>
      <c r="Q2284" s="87"/>
      <c r="R2284" s="87"/>
      <c r="S2284" s="87"/>
      <c r="T2284" s="87"/>
      <c r="U2284" s="88"/>
      <c r="V2284" s="89"/>
      <c r="W2284" s="96">
        <v>0</v>
      </c>
      <c r="X2284" s="71">
        <f>CU2284</f>
        <v>0</v>
      </c>
      <c r="Y2284" s="71">
        <f>CY2284</f>
        <v>0</v>
      </c>
      <c r="Z2284" s="71">
        <f>DA2284+DC2284+DE2284</f>
        <v>0</v>
      </c>
      <c r="AA2284" s="71">
        <f>CW2284</f>
        <v>0</v>
      </c>
      <c r="AB2284" s="71"/>
      <c r="AC2284" s="71">
        <v>0</v>
      </c>
      <c r="AD2284" s="71">
        <f>W2284+X2284+Y2284+Z2284+AA2284+AB2284+AC2284</f>
        <v>0</v>
      </c>
      <c r="AE2284" s="72">
        <v>0</v>
      </c>
      <c r="AF2284" s="5"/>
      <c r="AG2284" s="6"/>
      <c r="AH2284" s="27" t="s">
        <v>3392</v>
      </c>
      <c r="AI2284" s="44" t="s">
        <v>3393</v>
      </c>
      <c r="AJ2284" s="26"/>
      <c r="AK2284" s="5"/>
      <c r="AL2284" s="82" t="s">
        <v>5146</v>
      </c>
      <c r="AM2284" s="76"/>
      <c r="AN2284" s="76"/>
      <c r="AO2284" s="76"/>
      <c r="AP2284" s="76"/>
      <c r="AQ2284" s="76"/>
      <c r="AR2284" s="76"/>
      <c r="AS2284" s="76"/>
      <c r="AT2284" s="76"/>
      <c r="AU2284" s="76"/>
      <c r="AV2284" s="76"/>
      <c r="AW2284" s="76"/>
      <c r="AX2284" s="76">
        <f>+AW2284*600000</f>
        <v>0</v>
      </c>
      <c r="AY2284" s="76"/>
      <c r="AZ2284" s="76">
        <f>+AY2284*70000</f>
        <v>0</v>
      </c>
      <c r="BA2284" s="76"/>
      <c r="BB2284" s="76"/>
      <c r="BC2284" s="76"/>
      <c r="BD2284" s="76">
        <f>+BC2284*30000</f>
        <v>0</v>
      </c>
      <c r="BE2284" s="76"/>
      <c r="BF2284" s="76"/>
      <c r="BG2284" s="76"/>
      <c r="BH2284" s="76"/>
      <c r="BI2284" s="76"/>
      <c r="BJ2284" s="76"/>
      <c r="BK2284" s="76"/>
      <c r="BL2284" s="76">
        <f>+BK2284*31500</f>
        <v>0</v>
      </c>
      <c r="BM2284" s="76"/>
      <c r="BN2284" s="76"/>
      <c r="BO2284" s="76"/>
      <c r="BP2284" s="76"/>
      <c r="BQ2284" s="76"/>
      <c r="BR2284" s="76"/>
      <c r="BS2284" s="76"/>
      <c r="BT2284" s="76"/>
      <c r="BU2284" s="76"/>
      <c r="BV2284" s="76"/>
      <c r="BW2284" s="76"/>
      <c r="BX2284" s="76"/>
      <c r="BY2284" s="76"/>
      <c r="BZ2284" s="76"/>
      <c r="CA2284" s="76"/>
      <c r="CB2284" s="76"/>
      <c r="CC2284" s="76"/>
      <c r="CD2284" s="76"/>
      <c r="CE2284" s="76"/>
      <c r="CF2284" s="76">
        <f>+CE2284*28000</f>
        <v>0</v>
      </c>
      <c r="CG2284" s="76"/>
      <c r="CH2284" s="76">
        <f>+CG2284*22500</f>
        <v>0</v>
      </c>
      <c r="CI2284" s="76"/>
      <c r="CJ2284" s="76">
        <f>+CI2284*26000</f>
        <v>0</v>
      </c>
      <c r="CK2284" s="76"/>
      <c r="CL2284" s="76"/>
      <c r="CM2284" s="76"/>
      <c r="CN2284" s="76">
        <f>+CM2284*22000</f>
        <v>0</v>
      </c>
      <c r="CO2284" s="76"/>
      <c r="CP2284" s="76">
        <f>+CO2284*46000</f>
        <v>0</v>
      </c>
      <c r="CQ2284" s="76"/>
      <c r="CR2284" s="76">
        <f>+CQ2284*49000</f>
        <v>0</v>
      </c>
      <c r="CS2284" s="76"/>
      <c r="CT2284" s="76"/>
      <c r="CU2284" s="56">
        <f>AN2284+AP2284+AR2284+AT2284+AV2284+AX2284+AZ2284+BB2284+BD2284+BF2284+BH2284+BJ2284+BL2284+BN2284+BP2284+BR2284+BT2284+BV2284+BX2284+BZ2284+CB2284+CD2284+CF2284+CH2284+CJ2284+CL2284+CN2284+CP2284+CR2284+CT2284</f>
        <v>0</v>
      </c>
      <c r="CV2284" s="76"/>
      <c r="CW2284" s="76">
        <f>+CV2284*1100</f>
        <v>0</v>
      </c>
      <c r="CX2284" s="76"/>
      <c r="CY2284" s="76">
        <f>+CX2284*106250</f>
        <v>0</v>
      </c>
      <c r="CZ2284" s="76"/>
      <c r="DA2284" s="76">
        <f>+CZ2284*34500</f>
        <v>0</v>
      </c>
      <c r="DB2284" s="76"/>
      <c r="DC2284" s="76">
        <f>+DB2284*25000</f>
        <v>0</v>
      </c>
      <c r="DD2284" s="219"/>
      <c r="DE2284" s="219"/>
      <c r="DF2284" s="166"/>
      <c r="DG2284" s="116"/>
      <c r="DH2284" s="117"/>
      <c r="DI2284" s="24"/>
      <c r="DJ2284" s="24"/>
      <c r="DK2284" s="24"/>
      <c r="DL2284" s="24"/>
      <c r="DM2284" s="24"/>
      <c r="DN2284" s="24"/>
      <c r="DO2284" s="24"/>
      <c r="DP2284" s="24"/>
      <c r="DQ2284" s="24"/>
      <c r="DR2284" s="24"/>
      <c r="DS2284" s="24"/>
      <c r="DT2284" s="24"/>
      <c r="DU2284" s="24"/>
    </row>
    <row r="2285" spans="1:125" s="8" customFormat="1" ht="48" x14ac:dyDescent="0.2">
      <c r="A2285" s="353">
        <v>41462</v>
      </c>
      <c r="B2285" s="352" t="s">
        <v>2854</v>
      </c>
      <c r="C2285" s="227" t="s">
        <v>881</v>
      </c>
      <c r="D2285" s="354" t="s">
        <v>2859</v>
      </c>
      <c r="E2285" s="75" t="str">
        <f>VLOOKUP(B2285&amp;C2285,Divipola!$C$2:$F$1138,4,FALSE)</f>
        <v>19809</v>
      </c>
      <c r="F2285" s="163"/>
      <c r="G2285" s="163"/>
      <c r="H2285" s="163"/>
      <c r="I2285" s="163">
        <v>25</v>
      </c>
      <c r="J2285" s="163">
        <v>5</v>
      </c>
      <c r="K2285" s="163">
        <v>5</v>
      </c>
      <c r="L2285" s="163"/>
      <c r="M2285" s="163"/>
      <c r="N2285" s="163"/>
      <c r="O2285" s="163"/>
      <c r="P2285" s="163"/>
      <c r="Q2285" s="163"/>
      <c r="R2285" s="163"/>
      <c r="S2285" s="163"/>
      <c r="T2285" s="163"/>
      <c r="U2285" s="163"/>
      <c r="V2285" s="134"/>
      <c r="W2285" s="96">
        <v>0</v>
      </c>
      <c r="X2285" s="71">
        <f>CU2285</f>
        <v>0</v>
      </c>
      <c r="Y2285" s="71">
        <f>CY2285</f>
        <v>0</v>
      </c>
      <c r="Z2285" s="71">
        <f>DA2285+DC2285+DE2285</f>
        <v>0</v>
      </c>
      <c r="AA2285" s="71">
        <f>CW2285</f>
        <v>0</v>
      </c>
      <c r="AB2285" s="71"/>
      <c r="AC2285" s="71">
        <v>0</v>
      </c>
      <c r="AD2285" s="71">
        <f>W2285+X2285+Y2285+Z2285+AA2285+AB2285+AC2285</f>
        <v>0</v>
      </c>
      <c r="AE2285" s="72">
        <v>0</v>
      </c>
      <c r="AF2285" s="5"/>
      <c r="AG2285" s="6"/>
      <c r="AH2285" s="27" t="s">
        <v>3392</v>
      </c>
      <c r="AI2285" s="44" t="s">
        <v>3393</v>
      </c>
      <c r="AJ2285" s="26"/>
      <c r="AK2285" s="5"/>
      <c r="AL2285" s="82" t="s">
        <v>5139</v>
      </c>
      <c r="AM2285" s="76"/>
      <c r="AN2285" s="76"/>
      <c r="AO2285" s="76"/>
      <c r="AP2285" s="76"/>
      <c r="AQ2285" s="76"/>
      <c r="AR2285" s="76"/>
      <c r="AS2285" s="76"/>
      <c r="AT2285" s="76"/>
      <c r="AU2285" s="76"/>
      <c r="AV2285" s="76"/>
      <c r="AW2285" s="76"/>
      <c r="AX2285" s="76">
        <f>+AW2285*600000</f>
        <v>0</v>
      </c>
      <c r="AY2285" s="76"/>
      <c r="AZ2285" s="76">
        <f>+AY2285*70000</f>
        <v>0</v>
      </c>
      <c r="BA2285" s="76"/>
      <c r="BB2285" s="76"/>
      <c r="BC2285" s="76"/>
      <c r="BD2285" s="76">
        <f>+BC2285*30000</f>
        <v>0</v>
      </c>
      <c r="BE2285" s="76"/>
      <c r="BF2285" s="76"/>
      <c r="BG2285" s="76"/>
      <c r="BH2285" s="76"/>
      <c r="BI2285" s="76"/>
      <c r="BJ2285" s="76"/>
      <c r="BK2285" s="76"/>
      <c r="BL2285" s="76">
        <f>+BK2285*31500</f>
        <v>0</v>
      </c>
      <c r="BM2285" s="76"/>
      <c r="BN2285" s="76"/>
      <c r="BO2285" s="76"/>
      <c r="BP2285" s="76"/>
      <c r="BQ2285" s="76"/>
      <c r="BR2285" s="76"/>
      <c r="BS2285" s="76"/>
      <c r="BT2285" s="76"/>
      <c r="BU2285" s="76"/>
      <c r="BV2285" s="76"/>
      <c r="BW2285" s="76"/>
      <c r="BX2285" s="76"/>
      <c r="BY2285" s="76"/>
      <c r="BZ2285" s="76"/>
      <c r="CA2285" s="76"/>
      <c r="CB2285" s="76"/>
      <c r="CC2285" s="76"/>
      <c r="CD2285" s="76"/>
      <c r="CE2285" s="76"/>
      <c r="CF2285" s="76">
        <f>+CE2285*28000</f>
        <v>0</v>
      </c>
      <c r="CG2285" s="76"/>
      <c r="CH2285" s="76">
        <f>+CG2285*22500</f>
        <v>0</v>
      </c>
      <c r="CI2285" s="76"/>
      <c r="CJ2285" s="76">
        <f>+CI2285*26000</f>
        <v>0</v>
      </c>
      <c r="CK2285" s="76"/>
      <c r="CL2285" s="76"/>
      <c r="CM2285" s="76"/>
      <c r="CN2285" s="76">
        <f>+CM2285*22000</f>
        <v>0</v>
      </c>
      <c r="CO2285" s="76"/>
      <c r="CP2285" s="76">
        <f>+CO2285*46000</f>
        <v>0</v>
      </c>
      <c r="CQ2285" s="76"/>
      <c r="CR2285" s="76">
        <f>+CQ2285*49000</f>
        <v>0</v>
      </c>
      <c r="CS2285" s="76"/>
      <c r="CT2285" s="76"/>
      <c r="CU2285" s="56">
        <f>AN2285+AP2285+AR2285+AT2285+AV2285+AX2285+AZ2285+BB2285+BD2285+BF2285+BH2285+BJ2285+BL2285+BN2285+BP2285+BR2285+BT2285+BV2285+BX2285+BZ2285+CB2285+CD2285+CF2285+CH2285+CJ2285+CL2285+CN2285+CP2285+CR2285+CT2285</f>
        <v>0</v>
      </c>
      <c r="CV2285" s="76"/>
      <c r="CW2285" s="76">
        <f>+CV2285*1100</f>
        <v>0</v>
      </c>
      <c r="CX2285" s="76"/>
      <c r="CY2285" s="76">
        <f>+CX2285*106250</f>
        <v>0</v>
      </c>
      <c r="CZ2285" s="76"/>
      <c r="DA2285" s="76">
        <f>+CZ2285*34500</f>
        <v>0</v>
      </c>
      <c r="DB2285" s="76"/>
      <c r="DC2285" s="76">
        <f>+DB2285*25000</f>
        <v>0</v>
      </c>
      <c r="DD2285" s="219"/>
      <c r="DE2285" s="219"/>
      <c r="DF2285" s="166"/>
      <c r="DG2285" s="116"/>
      <c r="DH2285" s="117"/>
      <c r="DI2285" s="24"/>
      <c r="DJ2285" s="24"/>
      <c r="DK2285" s="24"/>
      <c r="DL2285" s="24"/>
      <c r="DM2285" s="24"/>
      <c r="DN2285" s="24"/>
      <c r="DO2285" s="24"/>
      <c r="DP2285" s="24"/>
      <c r="DQ2285" s="24"/>
      <c r="DR2285" s="24"/>
      <c r="DS2285" s="24"/>
      <c r="DT2285" s="24"/>
      <c r="DU2285" s="24"/>
    </row>
    <row r="2286" spans="1:125" s="8" customFormat="1" ht="36" x14ac:dyDescent="0.2">
      <c r="A2286" s="353">
        <v>41462</v>
      </c>
      <c r="B2286" s="208" t="s">
        <v>2855</v>
      </c>
      <c r="C2286" s="227" t="s">
        <v>919</v>
      </c>
      <c r="D2286" s="227" t="s">
        <v>2882</v>
      </c>
      <c r="E2286" s="75" t="str">
        <f>VLOOKUP(B2286&amp;C2286,Divipola!$C$2:$F$1138,4,FALSE)</f>
        <v>20400</v>
      </c>
      <c r="F2286" s="87"/>
      <c r="G2286" s="87"/>
      <c r="H2286" s="87"/>
      <c r="I2286" s="87">
        <v>30</v>
      </c>
      <c r="J2286" s="87">
        <v>6</v>
      </c>
      <c r="K2286" s="87"/>
      <c r="L2286" s="87">
        <v>6</v>
      </c>
      <c r="M2286" s="87"/>
      <c r="N2286" s="87"/>
      <c r="O2286" s="87"/>
      <c r="P2286" s="87"/>
      <c r="Q2286" s="87"/>
      <c r="R2286" s="87"/>
      <c r="S2286" s="87"/>
      <c r="T2286" s="87"/>
      <c r="U2286" s="88"/>
      <c r="V2286" s="89"/>
      <c r="W2286" s="96">
        <v>0</v>
      </c>
      <c r="X2286" s="71">
        <f>CU2286</f>
        <v>0</v>
      </c>
      <c r="Y2286" s="71">
        <f>CY2286</f>
        <v>0</v>
      </c>
      <c r="Z2286" s="71">
        <f>DA2286+DC2286+DE2286</f>
        <v>0</v>
      </c>
      <c r="AA2286" s="71">
        <f>CW2286</f>
        <v>0</v>
      </c>
      <c r="AB2286" s="71"/>
      <c r="AC2286" s="71">
        <v>0</v>
      </c>
      <c r="AD2286" s="71">
        <f>W2286+X2286+Y2286+Z2286+AA2286+AB2286+AC2286</f>
        <v>0</v>
      </c>
      <c r="AE2286" s="72">
        <v>0</v>
      </c>
      <c r="AF2286" s="5"/>
      <c r="AG2286" s="6"/>
      <c r="AH2286" s="27" t="s">
        <v>3392</v>
      </c>
      <c r="AI2286" s="44" t="s">
        <v>3393</v>
      </c>
      <c r="AJ2286" s="26"/>
      <c r="AK2286" s="5"/>
      <c r="AL2286" s="82" t="s">
        <v>5147</v>
      </c>
      <c r="AM2286" s="76"/>
      <c r="AN2286" s="76"/>
      <c r="AO2286" s="76"/>
      <c r="AP2286" s="76"/>
      <c r="AQ2286" s="76"/>
      <c r="AR2286" s="76"/>
      <c r="AS2286" s="76"/>
      <c r="AT2286" s="76"/>
      <c r="AU2286" s="76"/>
      <c r="AV2286" s="76"/>
      <c r="AW2286" s="76"/>
      <c r="AX2286" s="76">
        <f>+AW2286*600000</f>
        <v>0</v>
      </c>
      <c r="AY2286" s="76"/>
      <c r="AZ2286" s="76">
        <f>+AY2286*70000</f>
        <v>0</v>
      </c>
      <c r="BA2286" s="76"/>
      <c r="BB2286" s="76"/>
      <c r="BC2286" s="76"/>
      <c r="BD2286" s="76">
        <f>+BC2286*30000</f>
        <v>0</v>
      </c>
      <c r="BE2286" s="76"/>
      <c r="BF2286" s="76"/>
      <c r="BG2286" s="76"/>
      <c r="BH2286" s="76"/>
      <c r="BI2286" s="76"/>
      <c r="BJ2286" s="76"/>
      <c r="BK2286" s="76"/>
      <c r="BL2286" s="76">
        <f>+BK2286*31500</f>
        <v>0</v>
      </c>
      <c r="BM2286" s="76"/>
      <c r="BN2286" s="76"/>
      <c r="BO2286" s="76"/>
      <c r="BP2286" s="76"/>
      <c r="BQ2286" s="76"/>
      <c r="BR2286" s="76"/>
      <c r="BS2286" s="76"/>
      <c r="BT2286" s="76"/>
      <c r="BU2286" s="76"/>
      <c r="BV2286" s="76"/>
      <c r="BW2286" s="76"/>
      <c r="BX2286" s="76"/>
      <c r="BY2286" s="76"/>
      <c r="BZ2286" s="76"/>
      <c r="CA2286" s="76"/>
      <c r="CB2286" s="76"/>
      <c r="CC2286" s="76"/>
      <c r="CD2286" s="76"/>
      <c r="CE2286" s="76"/>
      <c r="CF2286" s="76">
        <f>+CE2286*28000</f>
        <v>0</v>
      </c>
      <c r="CG2286" s="76"/>
      <c r="CH2286" s="76">
        <f>+CG2286*22500</f>
        <v>0</v>
      </c>
      <c r="CI2286" s="76"/>
      <c r="CJ2286" s="76">
        <f>+CI2286*26000</f>
        <v>0</v>
      </c>
      <c r="CK2286" s="76"/>
      <c r="CL2286" s="76"/>
      <c r="CM2286" s="76"/>
      <c r="CN2286" s="76">
        <f>+CM2286*22000</f>
        <v>0</v>
      </c>
      <c r="CO2286" s="76"/>
      <c r="CP2286" s="76">
        <f>+CO2286*46000</f>
        <v>0</v>
      </c>
      <c r="CQ2286" s="76"/>
      <c r="CR2286" s="76">
        <f>+CQ2286*49000</f>
        <v>0</v>
      </c>
      <c r="CS2286" s="76"/>
      <c r="CT2286" s="76"/>
      <c r="CU2286" s="56">
        <f>AN2286+AP2286+AR2286+AT2286+AV2286+AX2286+AZ2286+BB2286+BD2286+BF2286+BH2286+BJ2286+BL2286+BN2286+BP2286+BR2286+BT2286+BV2286+BX2286+BZ2286+CB2286+CD2286+CF2286+CH2286+CJ2286+CL2286+CN2286+CP2286+CR2286+CT2286</f>
        <v>0</v>
      </c>
      <c r="CV2286" s="76"/>
      <c r="CW2286" s="76">
        <f>+CV2286*1100</f>
        <v>0</v>
      </c>
      <c r="CX2286" s="76"/>
      <c r="CY2286" s="76">
        <f>+CX2286*106250</f>
        <v>0</v>
      </c>
      <c r="CZ2286" s="76"/>
      <c r="DA2286" s="76">
        <f>+CZ2286*34500</f>
        <v>0</v>
      </c>
      <c r="DB2286" s="76"/>
      <c r="DC2286" s="76">
        <f>+DB2286*25000</f>
        <v>0</v>
      </c>
      <c r="DD2286" s="219"/>
      <c r="DE2286" s="219"/>
      <c r="DF2286" s="166"/>
      <c r="DG2286" s="116"/>
      <c r="DH2286" s="117"/>
      <c r="DI2286" s="24"/>
      <c r="DJ2286" s="24"/>
      <c r="DK2286" s="24"/>
      <c r="DL2286" s="24"/>
      <c r="DM2286" s="24"/>
      <c r="DN2286" s="24"/>
      <c r="DO2286" s="24"/>
      <c r="DP2286" s="24"/>
      <c r="DQ2286" s="24"/>
      <c r="DR2286" s="24"/>
      <c r="DS2286" s="24"/>
      <c r="DT2286" s="24"/>
      <c r="DU2286" s="24"/>
    </row>
    <row r="2287" spans="1:125" s="8" customFormat="1" ht="144" x14ac:dyDescent="0.2">
      <c r="A2287" s="226">
        <v>41462</v>
      </c>
      <c r="B2287" s="225" t="s">
        <v>2772</v>
      </c>
      <c r="C2287" s="227" t="s">
        <v>497</v>
      </c>
      <c r="D2287" s="227" t="s">
        <v>2882</v>
      </c>
      <c r="E2287" s="75" t="str">
        <f>VLOOKUP(B2287&amp;C2287,Divipola!$C$2:$F$1138,4,FALSE)</f>
        <v>25518</v>
      </c>
      <c r="F2287" s="87"/>
      <c r="G2287" s="87"/>
      <c r="H2287" s="87"/>
      <c r="I2287" s="87">
        <v>270</v>
      </c>
      <c r="J2287" s="87">
        <v>56</v>
      </c>
      <c r="K2287" s="87"/>
      <c r="L2287" s="87">
        <v>56</v>
      </c>
      <c r="M2287" s="87">
        <v>1</v>
      </c>
      <c r="N2287" s="87"/>
      <c r="O2287" s="87"/>
      <c r="P2287" s="87"/>
      <c r="Q2287" s="87"/>
      <c r="R2287" s="87">
        <v>1</v>
      </c>
      <c r="S2287" s="87">
        <v>1</v>
      </c>
      <c r="T2287" s="87">
        <v>2</v>
      </c>
      <c r="U2287" s="88">
        <v>6</v>
      </c>
      <c r="V2287" s="89"/>
      <c r="W2287" s="96">
        <v>0</v>
      </c>
      <c r="X2287" s="71">
        <f>CU2287</f>
        <v>0</v>
      </c>
      <c r="Y2287" s="71">
        <f>CY2287</f>
        <v>0</v>
      </c>
      <c r="Z2287" s="71">
        <f>DA2287+DC2287+DE2287</f>
        <v>0</v>
      </c>
      <c r="AA2287" s="71">
        <f>CW2287</f>
        <v>0</v>
      </c>
      <c r="AB2287" s="71"/>
      <c r="AC2287" s="71">
        <v>0</v>
      </c>
      <c r="AD2287" s="71">
        <f>W2287+X2287+Y2287+Z2287+AA2287+AB2287+AC2287</f>
        <v>0</v>
      </c>
      <c r="AE2287" s="72">
        <v>0</v>
      </c>
      <c r="AF2287" s="5"/>
      <c r="AG2287" s="6"/>
      <c r="AH2287" s="27"/>
      <c r="AI2287" s="44"/>
      <c r="AJ2287" s="26"/>
      <c r="AK2287" s="5"/>
      <c r="AL2287" s="82" t="s">
        <v>5184</v>
      </c>
      <c r="AM2287" s="76"/>
      <c r="AN2287" s="76"/>
      <c r="AO2287" s="76"/>
      <c r="AP2287" s="76"/>
      <c r="AQ2287" s="76"/>
      <c r="AR2287" s="76"/>
      <c r="AS2287" s="76"/>
      <c r="AT2287" s="76"/>
      <c r="AU2287" s="76"/>
      <c r="AV2287" s="76"/>
      <c r="AW2287" s="76"/>
      <c r="AX2287" s="76">
        <f>+AW2287*600000</f>
        <v>0</v>
      </c>
      <c r="AY2287" s="76"/>
      <c r="AZ2287" s="76">
        <f>+AY2287*70000</f>
        <v>0</v>
      </c>
      <c r="BA2287" s="76"/>
      <c r="BB2287" s="76"/>
      <c r="BC2287" s="76"/>
      <c r="BD2287" s="76">
        <f>+BC2287*30000</f>
        <v>0</v>
      </c>
      <c r="BE2287" s="76"/>
      <c r="BF2287" s="76"/>
      <c r="BG2287" s="76"/>
      <c r="BH2287" s="76"/>
      <c r="BI2287" s="76"/>
      <c r="BJ2287" s="76"/>
      <c r="BK2287" s="76"/>
      <c r="BL2287" s="76">
        <f>+BK2287*31500</f>
        <v>0</v>
      </c>
      <c r="BM2287" s="76"/>
      <c r="BN2287" s="76"/>
      <c r="BO2287" s="76"/>
      <c r="BP2287" s="76"/>
      <c r="BQ2287" s="76"/>
      <c r="BR2287" s="76"/>
      <c r="BS2287" s="76"/>
      <c r="BT2287" s="76"/>
      <c r="BU2287" s="76"/>
      <c r="BV2287" s="76"/>
      <c r="BW2287" s="76"/>
      <c r="BX2287" s="76"/>
      <c r="BY2287" s="76"/>
      <c r="BZ2287" s="76"/>
      <c r="CA2287" s="76"/>
      <c r="CB2287" s="76"/>
      <c r="CC2287" s="76"/>
      <c r="CD2287" s="76"/>
      <c r="CE2287" s="76"/>
      <c r="CF2287" s="76">
        <f>+CE2287*28000</f>
        <v>0</v>
      </c>
      <c r="CG2287" s="76"/>
      <c r="CH2287" s="76">
        <f>+CG2287*22500</f>
        <v>0</v>
      </c>
      <c r="CI2287" s="76"/>
      <c r="CJ2287" s="76">
        <f>+CI2287*26000</f>
        <v>0</v>
      </c>
      <c r="CK2287" s="76"/>
      <c r="CL2287" s="76"/>
      <c r="CM2287" s="76"/>
      <c r="CN2287" s="76">
        <f>+CM2287*22000</f>
        <v>0</v>
      </c>
      <c r="CO2287" s="76"/>
      <c r="CP2287" s="76">
        <f>+CO2287*46000</f>
        <v>0</v>
      </c>
      <c r="CQ2287" s="76"/>
      <c r="CR2287" s="76">
        <f>+CQ2287*49000</f>
        <v>0</v>
      </c>
      <c r="CS2287" s="76"/>
      <c r="CT2287" s="76"/>
      <c r="CU2287" s="56">
        <f>AN2287+AP2287+AR2287+AT2287+AV2287+AX2287+AZ2287+BB2287+BD2287+BF2287+BH2287+BJ2287+BL2287+BN2287+BP2287+BR2287+BT2287+BV2287+BX2287+BZ2287+CB2287+CD2287+CF2287+CH2287+CJ2287+CL2287+CN2287+CP2287+CR2287+CT2287</f>
        <v>0</v>
      </c>
      <c r="CV2287" s="76"/>
      <c r="CW2287" s="76">
        <f>+CV2287*1100</f>
        <v>0</v>
      </c>
      <c r="CX2287" s="76"/>
      <c r="CY2287" s="76">
        <f>+CX2287*106250</f>
        <v>0</v>
      </c>
      <c r="CZ2287" s="76"/>
      <c r="DA2287" s="76">
        <f>+CZ2287*34500</f>
        <v>0</v>
      </c>
      <c r="DB2287" s="76"/>
      <c r="DC2287" s="76">
        <f>+DB2287*25000</f>
        <v>0</v>
      </c>
      <c r="DD2287" s="219"/>
      <c r="DE2287" s="219"/>
      <c r="DF2287" s="166"/>
      <c r="DG2287" s="116"/>
      <c r="DH2287" s="117"/>
      <c r="DI2287" s="24"/>
      <c r="DJ2287" s="24"/>
      <c r="DK2287" s="24"/>
      <c r="DL2287" s="24"/>
      <c r="DM2287" s="24"/>
      <c r="DN2287" s="24"/>
      <c r="DO2287" s="24"/>
      <c r="DP2287" s="24"/>
      <c r="DQ2287" s="24"/>
      <c r="DR2287" s="24"/>
      <c r="DS2287" s="24"/>
      <c r="DT2287" s="24"/>
      <c r="DU2287" s="24"/>
    </row>
    <row r="2288" spans="1:125" s="8" customFormat="1" ht="240" x14ac:dyDescent="0.2">
      <c r="A2288" s="226">
        <v>41462</v>
      </c>
      <c r="B2288" s="352" t="s">
        <v>2847</v>
      </c>
      <c r="C2288" s="354" t="s">
        <v>342</v>
      </c>
      <c r="D2288" s="354" t="s">
        <v>2882</v>
      </c>
      <c r="E2288" s="75" t="str">
        <f>VLOOKUP(B2288&amp;C2288,Divipola!$C$2:$F$1138,4,FALSE)</f>
        <v>68245</v>
      </c>
      <c r="F2288" s="87"/>
      <c r="G2288" s="87"/>
      <c r="H2288" s="87"/>
      <c r="I2288" s="87">
        <v>100</v>
      </c>
      <c r="J2288" s="87">
        <v>20</v>
      </c>
      <c r="K2288" s="87"/>
      <c r="L2288" s="87">
        <v>20</v>
      </c>
      <c r="M2288" s="87"/>
      <c r="N2288" s="87"/>
      <c r="O2288" s="87"/>
      <c r="P2288" s="87"/>
      <c r="Q2288" s="87"/>
      <c r="R2288" s="87"/>
      <c r="S2288" s="87">
        <v>1</v>
      </c>
      <c r="T2288" s="87">
        <v>2</v>
      </c>
      <c r="U2288" s="88"/>
      <c r="V2288" s="89">
        <v>5</v>
      </c>
      <c r="W2288" s="96">
        <v>0</v>
      </c>
      <c r="X2288" s="71">
        <f>CU2288</f>
        <v>0</v>
      </c>
      <c r="Y2288" s="71">
        <f>CY2288</f>
        <v>0</v>
      </c>
      <c r="Z2288" s="71">
        <f>DA2288+DC2288+DE2288</f>
        <v>0</v>
      </c>
      <c r="AA2288" s="71">
        <f>CW2288</f>
        <v>0</v>
      </c>
      <c r="AB2288" s="71"/>
      <c r="AC2288" s="71">
        <v>0</v>
      </c>
      <c r="AD2288" s="71">
        <f>W2288+X2288+Y2288+Z2288+AA2288+AB2288+AC2288</f>
        <v>0</v>
      </c>
      <c r="AE2288" s="72">
        <v>0</v>
      </c>
      <c r="AF2288" s="5"/>
      <c r="AG2288" s="6"/>
      <c r="AH2288" s="27" t="s">
        <v>3392</v>
      </c>
      <c r="AI2288" s="44" t="s">
        <v>3393</v>
      </c>
      <c r="AJ2288" s="26"/>
      <c r="AK2288" s="5"/>
      <c r="AL2288" s="82" t="s">
        <v>5149</v>
      </c>
      <c r="AM2288" s="76"/>
      <c r="AN2288" s="76"/>
      <c r="AO2288" s="76"/>
      <c r="AP2288" s="76"/>
      <c r="AQ2288" s="76"/>
      <c r="AR2288" s="76"/>
      <c r="AS2288" s="76"/>
      <c r="AT2288" s="76"/>
      <c r="AU2288" s="76"/>
      <c r="AV2288" s="76"/>
      <c r="AW2288" s="76"/>
      <c r="AX2288" s="76">
        <f>+AW2288*600000</f>
        <v>0</v>
      </c>
      <c r="AY2288" s="76"/>
      <c r="AZ2288" s="76">
        <f>+AY2288*70000</f>
        <v>0</v>
      </c>
      <c r="BA2288" s="76"/>
      <c r="BB2288" s="76"/>
      <c r="BC2288" s="76"/>
      <c r="BD2288" s="76">
        <f>+BC2288*30000</f>
        <v>0</v>
      </c>
      <c r="BE2288" s="76"/>
      <c r="BF2288" s="76"/>
      <c r="BG2288" s="76"/>
      <c r="BH2288" s="76"/>
      <c r="BI2288" s="76"/>
      <c r="BJ2288" s="76"/>
      <c r="BK2288" s="76"/>
      <c r="BL2288" s="76">
        <f>+BK2288*31500</f>
        <v>0</v>
      </c>
      <c r="BM2288" s="76"/>
      <c r="BN2288" s="76"/>
      <c r="BO2288" s="76"/>
      <c r="BP2288" s="76"/>
      <c r="BQ2288" s="76"/>
      <c r="BR2288" s="76"/>
      <c r="BS2288" s="76"/>
      <c r="BT2288" s="76"/>
      <c r="BU2288" s="76"/>
      <c r="BV2288" s="76"/>
      <c r="BW2288" s="76"/>
      <c r="BX2288" s="76"/>
      <c r="BY2288" s="76"/>
      <c r="BZ2288" s="76"/>
      <c r="CA2288" s="76"/>
      <c r="CB2288" s="76"/>
      <c r="CC2288" s="76"/>
      <c r="CD2288" s="76"/>
      <c r="CE2288" s="76"/>
      <c r="CF2288" s="76">
        <f>+CE2288*28000</f>
        <v>0</v>
      </c>
      <c r="CG2288" s="76"/>
      <c r="CH2288" s="76">
        <f>+CG2288*22500</f>
        <v>0</v>
      </c>
      <c r="CI2288" s="76"/>
      <c r="CJ2288" s="76">
        <f>+CI2288*26000</f>
        <v>0</v>
      </c>
      <c r="CK2288" s="76"/>
      <c r="CL2288" s="76"/>
      <c r="CM2288" s="76"/>
      <c r="CN2288" s="76">
        <f>+CM2288*22000</f>
        <v>0</v>
      </c>
      <c r="CO2288" s="76"/>
      <c r="CP2288" s="76">
        <f>+CO2288*46000</f>
        <v>0</v>
      </c>
      <c r="CQ2288" s="76"/>
      <c r="CR2288" s="76">
        <f>+CQ2288*49000</f>
        <v>0</v>
      </c>
      <c r="CS2288" s="76"/>
      <c r="CT2288" s="76"/>
      <c r="CU2288" s="56">
        <f>AN2288+AP2288+AR2288+AT2288+AV2288+AX2288+AZ2288+BB2288+BD2288+BF2288+BH2288+BJ2288+BL2288+BN2288+BP2288+BR2288+BT2288+BV2288+BX2288+BZ2288+CB2288+CD2288+CF2288+CH2288+CJ2288+CL2288+CN2288+CP2288+CR2288+CT2288</f>
        <v>0</v>
      </c>
      <c r="CV2288" s="76"/>
      <c r="CW2288" s="76">
        <f>+CV2288*1100</f>
        <v>0</v>
      </c>
      <c r="CX2288" s="76"/>
      <c r="CY2288" s="76">
        <f>+CX2288*106250</f>
        <v>0</v>
      </c>
      <c r="CZ2288" s="76"/>
      <c r="DA2288" s="76">
        <f>+CZ2288*34500</f>
        <v>0</v>
      </c>
      <c r="DB2288" s="76"/>
      <c r="DC2288" s="76">
        <f>+DB2288*25000</f>
        <v>0</v>
      </c>
      <c r="DD2288" s="219"/>
      <c r="DE2288" s="219"/>
      <c r="DF2288" s="166"/>
      <c r="DG2288" s="116"/>
      <c r="DH2288" s="117"/>
      <c r="DI2288" s="24"/>
      <c r="DJ2288" s="24"/>
      <c r="DK2288" s="24"/>
      <c r="DL2288" s="24"/>
      <c r="DM2288" s="24"/>
      <c r="DN2288" s="24"/>
      <c r="DO2288" s="24"/>
      <c r="DP2288" s="24"/>
      <c r="DQ2288" s="24"/>
      <c r="DR2288" s="24"/>
      <c r="DS2288" s="24"/>
      <c r="DT2288" s="24"/>
      <c r="DU2288" s="24"/>
    </row>
    <row r="2289" spans="1:125" s="8" customFormat="1" ht="48" x14ac:dyDescent="0.2">
      <c r="A2289" s="226">
        <v>41462</v>
      </c>
      <c r="B2289" s="60" t="s">
        <v>2848</v>
      </c>
      <c r="C2289" s="55" t="s">
        <v>2077</v>
      </c>
      <c r="D2289" s="55" t="s">
        <v>3088</v>
      </c>
      <c r="E2289" s="75" t="str">
        <f>VLOOKUP(B2289&amp;C2289,Divipola!$C$2:$F$1138,4,FALSE)</f>
        <v>73411</v>
      </c>
      <c r="F2289" s="163"/>
      <c r="G2289" s="163"/>
      <c r="H2289" s="163"/>
      <c r="I2289" s="163"/>
      <c r="J2289" s="163"/>
      <c r="K2289" s="163"/>
      <c r="L2289" s="163"/>
      <c r="M2289" s="163"/>
      <c r="N2289" s="163"/>
      <c r="O2289" s="163"/>
      <c r="P2289" s="163"/>
      <c r="Q2289" s="163"/>
      <c r="R2289" s="163"/>
      <c r="S2289" s="163"/>
      <c r="T2289" s="163"/>
      <c r="U2289" s="163"/>
      <c r="V2289" s="134"/>
      <c r="W2289" s="96">
        <v>0</v>
      </c>
      <c r="X2289" s="71">
        <f>CU2289</f>
        <v>0</v>
      </c>
      <c r="Y2289" s="71">
        <f>CY2289</f>
        <v>0</v>
      </c>
      <c r="Z2289" s="71">
        <f>DA2289+DC2289+DE2289</f>
        <v>0</v>
      </c>
      <c r="AA2289" s="71">
        <f>CW2289</f>
        <v>0</v>
      </c>
      <c r="AB2289" s="71"/>
      <c r="AC2289" s="71">
        <v>0</v>
      </c>
      <c r="AD2289" s="71">
        <f>W2289+X2289+Y2289+Z2289+AA2289+AB2289+AC2289</f>
        <v>0</v>
      </c>
      <c r="AE2289" s="72">
        <v>0</v>
      </c>
      <c r="AF2289" s="5"/>
      <c r="AG2289" s="6"/>
      <c r="AH2289" s="27" t="s">
        <v>3392</v>
      </c>
      <c r="AI2289" s="44" t="s">
        <v>3393</v>
      </c>
      <c r="AJ2289" s="26"/>
      <c r="AK2289" s="5"/>
      <c r="AL2289" s="82" t="s">
        <v>5137</v>
      </c>
      <c r="AM2289" s="76"/>
      <c r="AN2289" s="76"/>
      <c r="AO2289" s="76"/>
      <c r="AP2289" s="76"/>
      <c r="AQ2289" s="76"/>
      <c r="AR2289" s="76"/>
      <c r="AS2289" s="76"/>
      <c r="AT2289" s="76"/>
      <c r="AU2289" s="76"/>
      <c r="AV2289" s="76"/>
      <c r="AW2289" s="76"/>
      <c r="AX2289" s="76">
        <f>+AW2289*600000</f>
        <v>0</v>
      </c>
      <c r="AY2289" s="76"/>
      <c r="AZ2289" s="76">
        <f>+AY2289*70000</f>
        <v>0</v>
      </c>
      <c r="BA2289" s="76"/>
      <c r="BB2289" s="76"/>
      <c r="BC2289" s="76"/>
      <c r="BD2289" s="76">
        <f>+BC2289*30000</f>
        <v>0</v>
      </c>
      <c r="BE2289" s="76"/>
      <c r="BF2289" s="76"/>
      <c r="BG2289" s="76"/>
      <c r="BH2289" s="76"/>
      <c r="BI2289" s="76"/>
      <c r="BJ2289" s="76"/>
      <c r="BK2289" s="76"/>
      <c r="BL2289" s="76">
        <f>+BK2289*31500</f>
        <v>0</v>
      </c>
      <c r="BM2289" s="76"/>
      <c r="BN2289" s="76"/>
      <c r="BO2289" s="76"/>
      <c r="BP2289" s="76"/>
      <c r="BQ2289" s="76"/>
      <c r="BR2289" s="76"/>
      <c r="BS2289" s="76"/>
      <c r="BT2289" s="76"/>
      <c r="BU2289" s="76"/>
      <c r="BV2289" s="76"/>
      <c r="BW2289" s="76"/>
      <c r="BX2289" s="76"/>
      <c r="BY2289" s="76"/>
      <c r="BZ2289" s="76"/>
      <c r="CA2289" s="76"/>
      <c r="CB2289" s="76"/>
      <c r="CC2289" s="76"/>
      <c r="CD2289" s="76"/>
      <c r="CE2289" s="76"/>
      <c r="CF2289" s="76">
        <f>+CE2289*28000</f>
        <v>0</v>
      </c>
      <c r="CG2289" s="76"/>
      <c r="CH2289" s="76">
        <f>+CG2289*22500</f>
        <v>0</v>
      </c>
      <c r="CI2289" s="76"/>
      <c r="CJ2289" s="76">
        <f>+CI2289*26000</f>
        <v>0</v>
      </c>
      <c r="CK2289" s="76"/>
      <c r="CL2289" s="76"/>
      <c r="CM2289" s="76"/>
      <c r="CN2289" s="76">
        <f>+CM2289*22000</f>
        <v>0</v>
      </c>
      <c r="CO2289" s="76"/>
      <c r="CP2289" s="76">
        <f>+CO2289*46000</f>
        <v>0</v>
      </c>
      <c r="CQ2289" s="76"/>
      <c r="CR2289" s="76">
        <f>+CQ2289*49000</f>
        <v>0</v>
      </c>
      <c r="CS2289" s="76"/>
      <c r="CT2289" s="76"/>
      <c r="CU2289" s="56">
        <f>AN2289+AP2289+AR2289+AT2289+AV2289+AX2289+AZ2289+BB2289+BD2289+BF2289+BH2289+BJ2289+BL2289+BN2289+BP2289+BR2289+BT2289+BV2289+BX2289+BZ2289+CB2289+CD2289+CF2289+CH2289+CJ2289+CL2289+CN2289+CP2289+CR2289+CT2289</f>
        <v>0</v>
      </c>
      <c r="CV2289" s="76"/>
      <c r="CW2289" s="76">
        <f>+CV2289*1100</f>
        <v>0</v>
      </c>
      <c r="CX2289" s="76"/>
      <c r="CY2289" s="76">
        <f>+CX2289*106250</f>
        <v>0</v>
      </c>
      <c r="CZ2289" s="76"/>
      <c r="DA2289" s="76">
        <f>+CZ2289*34500</f>
        <v>0</v>
      </c>
      <c r="DB2289" s="76"/>
      <c r="DC2289" s="76">
        <f>+DB2289*25000</f>
        <v>0</v>
      </c>
      <c r="DD2289" s="219"/>
      <c r="DE2289" s="219"/>
      <c r="DF2289" s="166"/>
      <c r="DG2289" s="116"/>
      <c r="DH2289" s="117"/>
      <c r="DI2289" s="24"/>
      <c r="DJ2289" s="24"/>
      <c r="DK2289" s="24"/>
      <c r="DL2289" s="24"/>
      <c r="DM2289" s="24"/>
      <c r="DN2289" s="24"/>
      <c r="DO2289" s="24"/>
      <c r="DP2289" s="24"/>
      <c r="DQ2289" s="24"/>
      <c r="DR2289" s="24"/>
      <c r="DS2289" s="24"/>
      <c r="DT2289" s="24"/>
      <c r="DU2289" s="24"/>
    </row>
    <row r="2290" spans="1:125" s="8" customFormat="1" ht="60" x14ac:dyDescent="0.2">
      <c r="A2290" s="226">
        <v>41463</v>
      </c>
      <c r="B2290" s="225" t="s">
        <v>2661</v>
      </c>
      <c r="C2290" s="227" t="s">
        <v>1368</v>
      </c>
      <c r="D2290" s="354" t="s">
        <v>3088</v>
      </c>
      <c r="E2290" s="75" t="str">
        <f>VLOOKUP(B2290&amp;C2290,Divipola!$C$2:$F$1138,4,FALSE)</f>
        <v>41770</v>
      </c>
      <c r="F2290" s="87">
        <v>4</v>
      </c>
      <c r="G2290" s="87">
        <v>3</v>
      </c>
      <c r="H2290" s="87"/>
      <c r="I2290" s="87"/>
      <c r="J2290" s="87"/>
      <c r="K2290" s="87"/>
      <c r="L2290" s="87"/>
      <c r="M2290" s="87"/>
      <c r="N2290" s="87"/>
      <c r="O2290" s="87"/>
      <c r="P2290" s="87"/>
      <c r="Q2290" s="87"/>
      <c r="R2290" s="87"/>
      <c r="S2290" s="87"/>
      <c r="T2290" s="87"/>
      <c r="U2290" s="88"/>
      <c r="V2290" s="89"/>
      <c r="W2290" s="96">
        <v>0</v>
      </c>
      <c r="X2290" s="71">
        <f>CU2290</f>
        <v>0</v>
      </c>
      <c r="Y2290" s="71">
        <f>CY2290</f>
        <v>0</v>
      </c>
      <c r="Z2290" s="71">
        <f>DA2290+DC2290+DE2290</f>
        <v>0</v>
      </c>
      <c r="AA2290" s="71">
        <f>CW2290</f>
        <v>0</v>
      </c>
      <c r="AB2290" s="71"/>
      <c r="AC2290" s="71">
        <v>0</v>
      </c>
      <c r="AD2290" s="71">
        <f>W2290+X2290+Y2290+Z2290+AA2290+AB2290+AC2290</f>
        <v>0</v>
      </c>
      <c r="AE2290" s="72">
        <v>0</v>
      </c>
      <c r="AF2290" s="5"/>
      <c r="AG2290" s="6"/>
      <c r="AH2290" s="27" t="s">
        <v>3392</v>
      </c>
      <c r="AI2290" s="44" t="s">
        <v>3393</v>
      </c>
      <c r="AJ2290" s="26"/>
      <c r="AK2290" s="5"/>
      <c r="AL2290" s="82" t="s">
        <v>5145</v>
      </c>
      <c r="AM2290" s="76"/>
      <c r="AN2290" s="76"/>
      <c r="AO2290" s="76"/>
      <c r="AP2290" s="76"/>
      <c r="AQ2290" s="76"/>
      <c r="AR2290" s="76"/>
      <c r="AS2290" s="76"/>
      <c r="AT2290" s="76"/>
      <c r="AU2290" s="76"/>
      <c r="AV2290" s="76"/>
      <c r="AW2290" s="76"/>
      <c r="AX2290" s="76">
        <f>+AW2290*600000</f>
        <v>0</v>
      </c>
      <c r="AY2290" s="76"/>
      <c r="AZ2290" s="76">
        <f>+AY2290*70000</f>
        <v>0</v>
      </c>
      <c r="BA2290" s="76"/>
      <c r="BB2290" s="76"/>
      <c r="BC2290" s="76"/>
      <c r="BD2290" s="76">
        <f>+BC2290*30000</f>
        <v>0</v>
      </c>
      <c r="BE2290" s="76"/>
      <c r="BF2290" s="76"/>
      <c r="BG2290" s="76"/>
      <c r="BH2290" s="76"/>
      <c r="BI2290" s="76"/>
      <c r="BJ2290" s="76"/>
      <c r="BK2290" s="76"/>
      <c r="BL2290" s="76">
        <f>+BK2290*31500</f>
        <v>0</v>
      </c>
      <c r="BM2290" s="76"/>
      <c r="BN2290" s="76"/>
      <c r="BO2290" s="76"/>
      <c r="BP2290" s="76"/>
      <c r="BQ2290" s="76"/>
      <c r="BR2290" s="76"/>
      <c r="BS2290" s="76"/>
      <c r="BT2290" s="76"/>
      <c r="BU2290" s="76"/>
      <c r="BV2290" s="76"/>
      <c r="BW2290" s="76"/>
      <c r="BX2290" s="76"/>
      <c r="BY2290" s="76"/>
      <c r="BZ2290" s="76"/>
      <c r="CA2290" s="76"/>
      <c r="CB2290" s="76"/>
      <c r="CC2290" s="76"/>
      <c r="CD2290" s="76"/>
      <c r="CE2290" s="76"/>
      <c r="CF2290" s="76">
        <f>+CE2290*28000</f>
        <v>0</v>
      </c>
      <c r="CG2290" s="76"/>
      <c r="CH2290" s="76">
        <f>+CG2290*22500</f>
        <v>0</v>
      </c>
      <c r="CI2290" s="76"/>
      <c r="CJ2290" s="76">
        <f>+CI2290*26000</f>
        <v>0</v>
      </c>
      <c r="CK2290" s="76"/>
      <c r="CL2290" s="76"/>
      <c r="CM2290" s="76"/>
      <c r="CN2290" s="76">
        <f>+CM2290*22000</f>
        <v>0</v>
      </c>
      <c r="CO2290" s="76"/>
      <c r="CP2290" s="76">
        <f>+CO2290*46000</f>
        <v>0</v>
      </c>
      <c r="CQ2290" s="76"/>
      <c r="CR2290" s="76">
        <f>+CQ2290*49000</f>
        <v>0</v>
      </c>
      <c r="CS2290" s="76"/>
      <c r="CT2290" s="76"/>
      <c r="CU2290" s="56">
        <f>AN2290+AP2290+AR2290+AT2290+AV2290+AX2290+AZ2290+BB2290+BD2290+BF2290+BH2290+BJ2290+BL2290+BN2290+BP2290+BR2290+BT2290+BV2290+BX2290+BZ2290+CB2290+CD2290+CF2290+CH2290+CJ2290+CL2290+CN2290+CP2290+CR2290+CT2290</f>
        <v>0</v>
      </c>
      <c r="CV2290" s="76"/>
      <c r="CW2290" s="76">
        <f>+CV2290*1100</f>
        <v>0</v>
      </c>
      <c r="CX2290" s="76"/>
      <c r="CY2290" s="76">
        <f>+CX2290*106250</f>
        <v>0</v>
      </c>
      <c r="CZ2290" s="76"/>
      <c r="DA2290" s="76">
        <f>+CZ2290*34500</f>
        <v>0</v>
      </c>
      <c r="DB2290" s="76"/>
      <c r="DC2290" s="76">
        <f>+DB2290*25000</f>
        <v>0</v>
      </c>
      <c r="DD2290" s="219"/>
      <c r="DE2290" s="219"/>
      <c r="DF2290" s="166"/>
      <c r="DG2290" s="116"/>
      <c r="DH2290" s="117"/>
      <c r="DI2290" s="24"/>
      <c r="DJ2290" s="24"/>
      <c r="DK2290" s="24"/>
      <c r="DL2290" s="24"/>
      <c r="DM2290" s="24"/>
      <c r="DN2290" s="24"/>
      <c r="DO2290" s="24"/>
      <c r="DP2290" s="24"/>
      <c r="DQ2290" s="24"/>
      <c r="DR2290" s="24"/>
      <c r="DS2290" s="24"/>
      <c r="DT2290" s="24"/>
      <c r="DU2290" s="24"/>
    </row>
    <row r="2291" spans="1:125" s="8" customFormat="1" ht="48" x14ac:dyDescent="0.2">
      <c r="A2291" s="226">
        <v>41463</v>
      </c>
      <c r="B2291" s="352" t="s">
        <v>2811</v>
      </c>
      <c r="C2291" s="354" t="s">
        <v>477</v>
      </c>
      <c r="D2291" s="354" t="s">
        <v>2859</v>
      </c>
      <c r="E2291" s="75" t="str">
        <f>VLOOKUP(B2291&amp;C2291,Divipola!$C$2:$F$1138,4,FALSE)</f>
        <v>52621</v>
      </c>
      <c r="F2291" s="87">
        <v>1</v>
      </c>
      <c r="G2291" s="87">
        <v>2</v>
      </c>
      <c r="H2291" s="87"/>
      <c r="I2291" s="87">
        <v>8</v>
      </c>
      <c r="J2291" s="87">
        <v>1</v>
      </c>
      <c r="K2291" s="87"/>
      <c r="L2291" s="87">
        <v>1</v>
      </c>
      <c r="M2291" s="87"/>
      <c r="N2291" s="87"/>
      <c r="O2291" s="87"/>
      <c r="P2291" s="87"/>
      <c r="Q2291" s="87"/>
      <c r="R2291" s="87"/>
      <c r="S2291" s="87"/>
      <c r="T2291" s="87"/>
      <c r="U2291" s="88"/>
      <c r="V2291" s="89"/>
      <c r="W2291" s="96">
        <v>0</v>
      </c>
      <c r="X2291" s="71">
        <f>CU2291</f>
        <v>0</v>
      </c>
      <c r="Y2291" s="71">
        <f>CY2291</f>
        <v>0</v>
      </c>
      <c r="Z2291" s="71">
        <f>DA2291+DC2291+DE2291</f>
        <v>0</v>
      </c>
      <c r="AA2291" s="71">
        <f>CW2291</f>
        <v>0</v>
      </c>
      <c r="AB2291" s="71"/>
      <c r="AC2291" s="71">
        <v>0</v>
      </c>
      <c r="AD2291" s="71">
        <f>W2291+X2291+Y2291+Z2291+AA2291+AB2291+AC2291</f>
        <v>0</v>
      </c>
      <c r="AE2291" s="72">
        <v>0</v>
      </c>
      <c r="AF2291" s="5"/>
      <c r="AG2291" s="6"/>
      <c r="AH2291" s="27" t="s">
        <v>3392</v>
      </c>
      <c r="AI2291" s="44" t="s">
        <v>3393</v>
      </c>
      <c r="AJ2291" s="26"/>
      <c r="AK2291" s="5"/>
      <c r="AL2291" s="82" t="s">
        <v>5160</v>
      </c>
      <c r="AM2291" s="76"/>
      <c r="AN2291" s="76"/>
      <c r="AO2291" s="76"/>
      <c r="AP2291" s="76"/>
      <c r="AQ2291" s="76"/>
      <c r="AR2291" s="76"/>
      <c r="AS2291" s="76"/>
      <c r="AT2291" s="76"/>
      <c r="AU2291" s="76"/>
      <c r="AV2291" s="76"/>
      <c r="AW2291" s="76"/>
      <c r="AX2291" s="76">
        <f>+AW2291*600000</f>
        <v>0</v>
      </c>
      <c r="AY2291" s="76"/>
      <c r="AZ2291" s="76">
        <f>+AY2291*70000</f>
        <v>0</v>
      </c>
      <c r="BA2291" s="76"/>
      <c r="BB2291" s="76"/>
      <c r="BC2291" s="76"/>
      <c r="BD2291" s="76">
        <f>+BC2291*30000</f>
        <v>0</v>
      </c>
      <c r="BE2291" s="76"/>
      <c r="BF2291" s="76"/>
      <c r="BG2291" s="76"/>
      <c r="BH2291" s="76"/>
      <c r="BI2291" s="76"/>
      <c r="BJ2291" s="76"/>
      <c r="BK2291" s="76"/>
      <c r="BL2291" s="76">
        <f>+BK2291*31500</f>
        <v>0</v>
      </c>
      <c r="BM2291" s="76"/>
      <c r="BN2291" s="76"/>
      <c r="BO2291" s="76"/>
      <c r="BP2291" s="76"/>
      <c r="BQ2291" s="76"/>
      <c r="BR2291" s="76"/>
      <c r="BS2291" s="76"/>
      <c r="BT2291" s="76"/>
      <c r="BU2291" s="76"/>
      <c r="BV2291" s="76"/>
      <c r="BW2291" s="76"/>
      <c r="BX2291" s="76"/>
      <c r="BY2291" s="76"/>
      <c r="BZ2291" s="76"/>
      <c r="CA2291" s="76"/>
      <c r="CB2291" s="76"/>
      <c r="CC2291" s="76"/>
      <c r="CD2291" s="76"/>
      <c r="CE2291" s="76"/>
      <c r="CF2291" s="76">
        <f>+CE2291*28000</f>
        <v>0</v>
      </c>
      <c r="CG2291" s="76"/>
      <c r="CH2291" s="76">
        <f>+CG2291*22500</f>
        <v>0</v>
      </c>
      <c r="CI2291" s="76"/>
      <c r="CJ2291" s="76">
        <f>+CI2291*26000</f>
        <v>0</v>
      </c>
      <c r="CK2291" s="76"/>
      <c r="CL2291" s="76"/>
      <c r="CM2291" s="76"/>
      <c r="CN2291" s="76">
        <f>+CM2291*22000</f>
        <v>0</v>
      </c>
      <c r="CO2291" s="76"/>
      <c r="CP2291" s="76">
        <f>+CO2291*46000</f>
        <v>0</v>
      </c>
      <c r="CQ2291" s="76"/>
      <c r="CR2291" s="76">
        <f>+CQ2291*49000</f>
        <v>0</v>
      </c>
      <c r="CS2291" s="76"/>
      <c r="CT2291" s="76"/>
      <c r="CU2291" s="56">
        <f>AN2291+AP2291+AR2291+AT2291+AV2291+AX2291+AZ2291+BB2291+BD2291+BF2291+BH2291+BJ2291+BL2291+BN2291+BP2291+BR2291+BT2291+BV2291+BX2291+BZ2291+CB2291+CD2291+CF2291+CH2291+CJ2291+CL2291+CN2291+CP2291+CR2291+CT2291</f>
        <v>0</v>
      </c>
      <c r="CV2291" s="76"/>
      <c r="CW2291" s="76">
        <f>+CV2291*1100</f>
        <v>0</v>
      </c>
      <c r="CX2291" s="76"/>
      <c r="CY2291" s="76">
        <f>+CX2291*106250</f>
        <v>0</v>
      </c>
      <c r="CZ2291" s="76"/>
      <c r="DA2291" s="76">
        <f>+CZ2291*34500</f>
        <v>0</v>
      </c>
      <c r="DB2291" s="76"/>
      <c r="DC2291" s="76">
        <f>+DB2291*25000</f>
        <v>0</v>
      </c>
      <c r="DD2291" s="219"/>
      <c r="DE2291" s="219"/>
      <c r="DF2291" s="166"/>
      <c r="DG2291" s="116"/>
      <c r="DH2291" s="117"/>
      <c r="DI2291" s="24"/>
      <c r="DJ2291" s="24"/>
      <c r="DK2291" s="24"/>
      <c r="DL2291" s="24"/>
      <c r="DM2291" s="24"/>
      <c r="DN2291" s="24"/>
      <c r="DO2291" s="24"/>
      <c r="DP2291" s="24"/>
      <c r="DQ2291" s="24"/>
      <c r="DR2291" s="24"/>
      <c r="DS2291" s="24"/>
      <c r="DT2291" s="24"/>
      <c r="DU2291" s="24"/>
    </row>
    <row r="2292" spans="1:125" s="8" customFormat="1" ht="24" x14ac:dyDescent="0.2">
      <c r="A2292" s="353">
        <v>41463</v>
      </c>
      <c r="B2292" s="60" t="s">
        <v>1764</v>
      </c>
      <c r="C2292" s="55" t="s">
        <v>1764</v>
      </c>
      <c r="D2292" s="55" t="s">
        <v>2859</v>
      </c>
      <c r="E2292" s="75" t="str">
        <f>VLOOKUP(B2292&amp;C2292,Divipola!$C$2:$F$1138,4,FALSE)</f>
        <v>88001</v>
      </c>
      <c r="F2292" s="87"/>
      <c r="G2292" s="87"/>
      <c r="H2292" s="87"/>
      <c r="I2292" s="87">
        <v>10</v>
      </c>
      <c r="J2292" s="87">
        <v>2</v>
      </c>
      <c r="K2292" s="87"/>
      <c r="L2292" s="87">
        <v>1</v>
      </c>
      <c r="M2292" s="87"/>
      <c r="N2292" s="87"/>
      <c r="O2292" s="87"/>
      <c r="P2292" s="87"/>
      <c r="Q2292" s="87"/>
      <c r="R2292" s="87"/>
      <c r="S2292" s="87"/>
      <c r="T2292" s="87"/>
      <c r="U2292" s="88"/>
      <c r="V2292" s="89"/>
      <c r="W2292" s="96">
        <v>0</v>
      </c>
      <c r="X2292" s="71">
        <f>CU2292</f>
        <v>0</v>
      </c>
      <c r="Y2292" s="71">
        <f>CY2292</f>
        <v>0</v>
      </c>
      <c r="Z2292" s="71">
        <f>DA2292+DC2292+DE2292</f>
        <v>0</v>
      </c>
      <c r="AA2292" s="71">
        <f>CW2292</f>
        <v>0</v>
      </c>
      <c r="AB2292" s="71"/>
      <c r="AC2292" s="71">
        <v>0</v>
      </c>
      <c r="AD2292" s="71">
        <f>W2292+X2292+Y2292+Z2292+AA2292+AB2292+AC2292</f>
        <v>0</v>
      </c>
      <c r="AE2292" s="72">
        <v>0</v>
      </c>
      <c r="AF2292" s="5"/>
      <c r="AG2292" s="6"/>
      <c r="AH2292" s="27" t="s">
        <v>3392</v>
      </c>
      <c r="AI2292" s="44" t="s">
        <v>3393</v>
      </c>
      <c r="AJ2292" s="26"/>
      <c r="AK2292" s="5"/>
      <c r="AL2292" s="82" t="s">
        <v>5148</v>
      </c>
      <c r="AM2292" s="76"/>
      <c r="AN2292" s="76"/>
      <c r="AO2292" s="76"/>
      <c r="AP2292" s="76"/>
      <c r="AQ2292" s="76"/>
      <c r="AR2292" s="76"/>
      <c r="AS2292" s="76"/>
      <c r="AT2292" s="76"/>
      <c r="AU2292" s="76"/>
      <c r="AV2292" s="76"/>
      <c r="AW2292" s="76"/>
      <c r="AX2292" s="76">
        <f>+AW2292*600000</f>
        <v>0</v>
      </c>
      <c r="AY2292" s="76"/>
      <c r="AZ2292" s="76">
        <f>+AY2292*70000</f>
        <v>0</v>
      </c>
      <c r="BA2292" s="76"/>
      <c r="BB2292" s="76"/>
      <c r="BC2292" s="76"/>
      <c r="BD2292" s="76">
        <f>+BC2292*30000</f>
        <v>0</v>
      </c>
      <c r="BE2292" s="76"/>
      <c r="BF2292" s="76"/>
      <c r="BG2292" s="76"/>
      <c r="BH2292" s="76"/>
      <c r="BI2292" s="76"/>
      <c r="BJ2292" s="76"/>
      <c r="BK2292" s="76"/>
      <c r="BL2292" s="76">
        <f>+BK2292*31500</f>
        <v>0</v>
      </c>
      <c r="BM2292" s="76"/>
      <c r="BN2292" s="76"/>
      <c r="BO2292" s="76"/>
      <c r="BP2292" s="76"/>
      <c r="BQ2292" s="76"/>
      <c r="BR2292" s="76"/>
      <c r="BS2292" s="76"/>
      <c r="BT2292" s="76"/>
      <c r="BU2292" s="76"/>
      <c r="BV2292" s="76"/>
      <c r="BW2292" s="76"/>
      <c r="BX2292" s="76"/>
      <c r="BY2292" s="76"/>
      <c r="BZ2292" s="76"/>
      <c r="CA2292" s="76"/>
      <c r="CB2292" s="76"/>
      <c r="CC2292" s="76"/>
      <c r="CD2292" s="76"/>
      <c r="CE2292" s="76"/>
      <c r="CF2292" s="76">
        <f>+CE2292*28000</f>
        <v>0</v>
      </c>
      <c r="CG2292" s="76"/>
      <c r="CH2292" s="76">
        <f>+CG2292*22500</f>
        <v>0</v>
      </c>
      <c r="CI2292" s="76"/>
      <c r="CJ2292" s="76">
        <f>+CI2292*26000</f>
        <v>0</v>
      </c>
      <c r="CK2292" s="76"/>
      <c r="CL2292" s="76"/>
      <c r="CM2292" s="76"/>
      <c r="CN2292" s="76">
        <f>+CM2292*22000</f>
        <v>0</v>
      </c>
      <c r="CO2292" s="76"/>
      <c r="CP2292" s="76">
        <f>+CO2292*46000</f>
        <v>0</v>
      </c>
      <c r="CQ2292" s="76"/>
      <c r="CR2292" s="76">
        <f>+CQ2292*49000</f>
        <v>0</v>
      </c>
      <c r="CS2292" s="76"/>
      <c r="CT2292" s="76"/>
      <c r="CU2292" s="56">
        <f>AN2292+AP2292+AR2292+AT2292+AV2292+AX2292+AZ2292+BB2292+BD2292+BF2292+BH2292+BJ2292+BL2292+BN2292+BP2292+BR2292+BT2292+BV2292+BX2292+BZ2292+CB2292+CD2292+CF2292+CH2292+CJ2292+CL2292+CN2292+CP2292+CR2292+CT2292</f>
        <v>0</v>
      </c>
      <c r="CV2292" s="76"/>
      <c r="CW2292" s="76">
        <f>+CV2292*1100</f>
        <v>0</v>
      </c>
      <c r="CX2292" s="76"/>
      <c r="CY2292" s="76">
        <f>+CX2292*106250</f>
        <v>0</v>
      </c>
      <c r="CZ2292" s="76"/>
      <c r="DA2292" s="76">
        <f>+CZ2292*34500</f>
        <v>0</v>
      </c>
      <c r="DB2292" s="76"/>
      <c r="DC2292" s="76">
        <f>+DB2292*25000</f>
        <v>0</v>
      </c>
      <c r="DD2292" s="219"/>
      <c r="DE2292" s="219"/>
      <c r="DF2292" s="166"/>
      <c r="DG2292" s="116"/>
      <c r="DH2292" s="117"/>
      <c r="DI2292" s="24"/>
      <c r="DJ2292" s="24"/>
      <c r="DK2292" s="24"/>
      <c r="DL2292" s="24"/>
      <c r="DM2292" s="24"/>
      <c r="DN2292" s="24"/>
      <c r="DO2292" s="24"/>
      <c r="DP2292" s="24"/>
      <c r="DQ2292" s="24"/>
      <c r="DR2292" s="24"/>
      <c r="DS2292" s="24"/>
      <c r="DT2292" s="24"/>
      <c r="DU2292" s="24"/>
    </row>
    <row r="2293" spans="1:125" s="8" customFormat="1" ht="72" x14ac:dyDescent="0.2">
      <c r="A2293" s="77">
        <v>41463</v>
      </c>
      <c r="B2293" s="78" t="s">
        <v>2847</v>
      </c>
      <c r="C2293" s="75" t="s">
        <v>2673</v>
      </c>
      <c r="D2293" s="75" t="s">
        <v>2846</v>
      </c>
      <c r="E2293" s="75" t="str">
        <f>VLOOKUP(B2293&amp;C2293,Divipola!$C$2:$F$1138,4,FALSE)</f>
        <v>68001</v>
      </c>
      <c r="F2293" s="87"/>
      <c r="G2293" s="87"/>
      <c r="H2293" s="87"/>
      <c r="I2293" s="87"/>
      <c r="J2293" s="87"/>
      <c r="K2293" s="87"/>
      <c r="L2293" s="87"/>
      <c r="M2293" s="87"/>
      <c r="N2293" s="87"/>
      <c r="O2293" s="87"/>
      <c r="P2293" s="87"/>
      <c r="Q2293" s="87"/>
      <c r="R2293" s="87"/>
      <c r="S2293" s="87"/>
      <c r="T2293" s="87"/>
      <c r="U2293" s="88">
        <v>0.5</v>
      </c>
      <c r="V2293" s="89"/>
      <c r="W2293" s="96">
        <v>0</v>
      </c>
      <c r="X2293" s="71">
        <f>CU2293</f>
        <v>0</v>
      </c>
      <c r="Y2293" s="71">
        <f>CY2293</f>
        <v>0</v>
      </c>
      <c r="Z2293" s="71">
        <f>DA2293+DC2293+DE2293</f>
        <v>0</v>
      </c>
      <c r="AA2293" s="71">
        <f>CW2293</f>
        <v>0</v>
      </c>
      <c r="AB2293" s="71"/>
      <c r="AC2293" s="71">
        <v>0</v>
      </c>
      <c r="AD2293" s="71">
        <f>W2293+X2293+Y2293+Z2293+AA2293+AB2293+AC2293</f>
        <v>0</v>
      </c>
      <c r="AE2293" s="72">
        <v>0</v>
      </c>
      <c r="AF2293" s="5"/>
      <c r="AG2293" s="6"/>
      <c r="AH2293" s="27" t="s">
        <v>3392</v>
      </c>
      <c r="AI2293" s="44" t="s">
        <v>3393</v>
      </c>
      <c r="AJ2293" s="26"/>
      <c r="AK2293" s="5"/>
      <c r="AL2293" s="82" t="s">
        <v>5142</v>
      </c>
      <c r="AM2293" s="76"/>
      <c r="AN2293" s="76"/>
      <c r="AO2293" s="76"/>
      <c r="AP2293" s="76"/>
      <c r="AQ2293" s="76"/>
      <c r="AR2293" s="76"/>
      <c r="AS2293" s="76"/>
      <c r="AT2293" s="76"/>
      <c r="AU2293" s="76"/>
      <c r="AV2293" s="76"/>
      <c r="AW2293" s="76"/>
      <c r="AX2293" s="76">
        <f>+AW2293*600000</f>
        <v>0</v>
      </c>
      <c r="AY2293" s="76"/>
      <c r="AZ2293" s="76">
        <f>+AY2293*70000</f>
        <v>0</v>
      </c>
      <c r="BA2293" s="76"/>
      <c r="BB2293" s="76"/>
      <c r="BC2293" s="76"/>
      <c r="BD2293" s="76">
        <f>+BC2293*30000</f>
        <v>0</v>
      </c>
      <c r="BE2293" s="76"/>
      <c r="BF2293" s="76"/>
      <c r="BG2293" s="76"/>
      <c r="BH2293" s="76"/>
      <c r="BI2293" s="76"/>
      <c r="BJ2293" s="76"/>
      <c r="BK2293" s="76"/>
      <c r="BL2293" s="76">
        <f>+BK2293*31500</f>
        <v>0</v>
      </c>
      <c r="BM2293" s="76"/>
      <c r="BN2293" s="76"/>
      <c r="BO2293" s="76"/>
      <c r="BP2293" s="76"/>
      <c r="BQ2293" s="76"/>
      <c r="BR2293" s="76"/>
      <c r="BS2293" s="76"/>
      <c r="BT2293" s="76"/>
      <c r="BU2293" s="76"/>
      <c r="BV2293" s="76"/>
      <c r="BW2293" s="76"/>
      <c r="BX2293" s="76"/>
      <c r="BY2293" s="76"/>
      <c r="BZ2293" s="76"/>
      <c r="CA2293" s="76"/>
      <c r="CB2293" s="76"/>
      <c r="CC2293" s="76"/>
      <c r="CD2293" s="76"/>
      <c r="CE2293" s="76"/>
      <c r="CF2293" s="76">
        <f>+CE2293*28000</f>
        <v>0</v>
      </c>
      <c r="CG2293" s="76"/>
      <c r="CH2293" s="76">
        <f>+CG2293*22500</f>
        <v>0</v>
      </c>
      <c r="CI2293" s="76"/>
      <c r="CJ2293" s="76">
        <f>+CI2293*26000</f>
        <v>0</v>
      </c>
      <c r="CK2293" s="76"/>
      <c r="CL2293" s="76"/>
      <c r="CM2293" s="76"/>
      <c r="CN2293" s="76">
        <f>+CM2293*22000</f>
        <v>0</v>
      </c>
      <c r="CO2293" s="76"/>
      <c r="CP2293" s="76">
        <f>+CO2293*46000</f>
        <v>0</v>
      </c>
      <c r="CQ2293" s="76"/>
      <c r="CR2293" s="76">
        <f>+CQ2293*49000</f>
        <v>0</v>
      </c>
      <c r="CS2293" s="76"/>
      <c r="CT2293" s="76"/>
      <c r="CU2293" s="56">
        <f>AN2293+AP2293+AR2293+AT2293+AV2293+AX2293+AZ2293+BB2293+BD2293+BF2293+BH2293+BJ2293+BL2293+BN2293+BP2293+BR2293+BT2293+BV2293+BX2293+BZ2293+CB2293+CD2293+CF2293+CH2293+CJ2293+CL2293+CN2293+CP2293+CR2293+CT2293</f>
        <v>0</v>
      </c>
      <c r="CV2293" s="76"/>
      <c r="CW2293" s="76">
        <f>+CV2293*1100</f>
        <v>0</v>
      </c>
      <c r="CX2293" s="76"/>
      <c r="CY2293" s="76">
        <f>+CX2293*106250</f>
        <v>0</v>
      </c>
      <c r="CZ2293" s="76"/>
      <c r="DA2293" s="76">
        <f>+CZ2293*34500</f>
        <v>0</v>
      </c>
      <c r="DB2293" s="76"/>
      <c r="DC2293" s="76">
        <f>+DB2293*25000</f>
        <v>0</v>
      </c>
      <c r="DD2293" s="219"/>
      <c r="DE2293" s="219"/>
      <c r="DF2293" s="166"/>
      <c r="DG2293" s="116"/>
      <c r="DH2293" s="117"/>
      <c r="DI2293" s="24"/>
      <c r="DJ2293" s="24"/>
      <c r="DK2293" s="24"/>
      <c r="DL2293" s="24"/>
      <c r="DM2293" s="24"/>
      <c r="DN2293" s="24"/>
      <c r="DO2293" s="24"/>
      <c r="DP2293" s="24"/>
      <c r="DQ2293" s="24"/>
      <c r="DR2293" s="24"/>
      <c r="DS2293" s="24"/>
      <c r="DT2293" s="24"/>
      <c r="DU2293" s="24"/>
    </row>
    <row r="2294" spans="1:125" s="8" customFormat="1" ht="60" x14ac:dyDescent="0.2">
      <c r="A2294" s="353">
        <v>41463</v>
      </c>
      <c r="B2294" s="352" t="s">
        <v>2847</v>
      </c>
      <c r="C2294" s="354" t="s">
        <v>2814</v>
      </c>
      <c r="D2294" s="354" t="s">
        <v>2846</v>
      </c>
      <c r="E2294" s="75" t="str">
        <f>VLOOKUP(B2294&amp;C2294,Divipola!$C$2:$F$1138,4,FALSE)</f>
        <v>68307</v>
      </c>
      <c r="F2294" s="87"/>
      <c r="G2294" s="87"/>
      <c r="H2294" s="87"/>
      <c r="I2294" s="87"/>
      <c r="J2294" s="87"/>
      <c r="K2294" s="87"/>
      <c r="L2294" s="87"/>
      <c r="M2294" s="87"/>
      <c r="N2294" s="87"/>
      <c r="O2294" s="87"/>
      <c r="P2294" s="87"/>
      <c r="Q2294" s="87"/>
      <c r="R2294" s="87"/>
      <c r="S2294" s="87"/>
      <c r="T2294" s="87"/>
      <c r="U2294" s="88">
        <v>5</v>
      </c>
      <c r="V2294" s="89"/>
      <c r="W2294" s="96">
        <v>0</v>
      </c>
      <c r="X2294" s="71">
        <f>CU2294</f>
        <v>0</v>
      </c>
      <c r="Y2294" s="71">
        <f>CY2294</f>
        <v>0</v>
      </c>
      <c r="Z2294" s="71">
        <f>DA2294+DC2294+DE2294</f>
        <v>0</v>
      </c>
      <c r="AA2294" s="71">
        <f>CW2294</f>
        <v>0</v>
      </c>
      <c r="AB2294" s="71"/>
      <c r="AC2294" s="71">
        <v>0</v>
      </c>
      <c r="AD2294" s="71">
        <f>W2294+X2294+Y2294+Z2294+AA2294+AB2294+AC2294</f>
        <v>0</v>
      </c>
      <c r="AE2294" s="72">
        <v>0</v>
      </c>
      <c r="AF2294" s="5"/>
      <c r="AG2294" s="6"/>
      <c r="AH2294" s="27" t="s">
        <v>3392</v>
      </c>
      <c r="AI2294" s="44" t="s">
        <v>3393</v>
      </c>
      <c r="AJ2294" s="26"/>
      <c r="AK2294" s="5"/>
      <c r="AL2294" s="82" t="s">
        <v>5143</v>
      </c>
      <c r="AM2294" s="76"/>
      <c r="AN2294" s="76"/>
      <c r="AO2294" s="76"/>
      <c r="AP2294" s="76"/>
      <c r="AQ2294" s="76"/>
      <c r="AR2294" s="76"/>
      <c r="AS2294" s="76"/>
      <c r="AT2294" s="76"/>
      <c r="AU2294" s="76"/>
      <c r="AV2294" s="76"/>
      <c r="AW2294" s="76"/>
      <c r="AX2294" s="76">
        <f>+AW2294*600000</f>
        <v>0</v>
      </c>
      <c r="AY2294" s="76"/>
      <c r="AZ2294" s="76">
        <f>+AY2294*70000</f>
        <v>0</v>
      </c>
      <c r="BA2294" s="76"/>
      <c r="BB2294" s="76"/>
      <c r="BC2294" s="76"/>
      <c r="BD2294" s="76">
        <f>+BC2294*30000</f>
        <v>0</v>
      </c>
      <c r="BE2294" s="76"/>
      <c r="BF2294" s="76"/>
      <c r="BG2294" s="76"/>
      <c r="BH2294" s="76"/>
      <c r="BI2294" s="76"/>
      <c r="BJ2294" s="76"/>
      <c r="BK2294" s="76"/>
      <c r="BL2294" s="76">
        <f>+BK2294*31500</f>
        <v>0</v>
      </c>
      <c r="BM2294" s="76"/>
      <c r="BN2294" s="76"/>
      <c r="BO2294" s="76"/>
      <c r="BP2294" s="76"/>
      <c r="BQ2294" s="76"/>
      <c r="BR2294" s="76"/>
      <c r="BS2294" s="76"/>
      <c r="BT2294" s="76"/>
      <c r="BU2294" s="76"/>
      <c r="BV2294" s="76"/>
      <c r="BW2294" s="76"/>
      <c r="BX2294" s="76"/>
      <c r="BY2294" s="76"/>
      <c r="BZ2294" s="76"/>
      <c r="CA2294" s="76"/>
      <c r="CB2294" s="76"/>
      <c r="CC2294" s="76"/>
      <c r="CD2294" s="76"/>
      <c r="CE2294" s="76"/>
      <c r="CF2294" s="76">
        <f>+CE2294*28000</f>
        <v>0</v>
      </c>
      <c r="CG2294" s="76"/>
      <c r="CH2294" s="76">
        <f>+CG2294*22500</f>
        <v>0</v>
      </c>
      <c r="CI2294" s="76"/>
      <c r="CJ2294" s="76">
        <f>+CI2294*26000</f>
        <v>0</v>
      </c>
      <c r="CK2294" s="76"/>
      <c r="CL2294" s="76"/>
      <c r="CM2294" s="76"/>
      <c r="CN2294" s="76">
        <f>+CM2294*22000</f>
        <v>0</v>
      </c>
      <c r="CO2294" s="76"/>
      <c r="CP2294" s="76">
        <f>+CO2294*46000</f>
        <v>0</v>
      </c>
      <c r="CQ2294" s="76"/>
      <c r="CR2294" s="76">
        <f>+CQ2294*49000</f>
        <v>0</v>
      </c>
      <c r="CS2294" s="76"/>
      <c r="CT2294" s="76"/>
      <c r="CU2294" s="56">
        <f>AN2294+AP2294+AR2294+AT2294+AV2294+AX2294+AZ2294+BB2294+BD2294+BF2294+BH2294+BJ2294+BL2294+BN2294+BP2294+BR2294+BT2294+BV2294+BX2294+BZ2294+CB2294+CD2294+CF2294+CH2294+CJ2294+CL2294+CN2294+CP2294+CR2294+CT2294</f>
        <v>0</v>
      </c>
      <c r="CV2294" s="76"/>
      <c r="CW2294" s="76">
        <f>+CV2294*1100</f>
        <v>0</v>
      </c>
      <c r="CX2294" s="76"/>
      <c r="CY2294" s="76">
        <f>+CX2294*106250</f>
        <v>0</v>
      </c>
      <c r="CZ2294" s="76"/>
      <c r="DA2294" s="76">
        <f>+CZ2294*34500</f>
        <v>0</v>
      </c>
      <c r="DB2294" s="76"/>
      <c r="DC2294" s="76">
        <f>+DB2294*25000</f>
        <v>0</v>
      </c>
      <c r="DD2294" s="219"/>
      <c r="DE2294" s="219"/>
      <c r="DF2294" s="166"/>
      <c r="DG2294" s="116"/>
      <c r="DH2294" s="117"/>
      <c r="DI2294" s="24"/>
      <c r="DJ2294" s="24"/>
      <c r="DK2294" s="24"/>
      <c r="DL2294" s="24"/>
      <c r="DM2294" s="24"/>
      <c r="DN2294" s="24"/>
      <c r="DO2294" s="24"/>
      <c r="DP2294" s="24"/>
      <c r="DQ2294" s="24"/>
      <c r="DR2294" s="24"/>
      <c r="DS2294" s="24"/>
      <c r="DT2294" s="24"/>
      <c r="DU2294" s="24"/>
    </row>
    <row r="2295" spans="1:125" s="8" customFormat="1" ht="96" x14ac:dyDescent="0.2">
      <c r="A2295" s="226">
        <v>41463</v>
      </c>
      <c r="B2295" s="60" t="s">
        <v>2848</v>
      </c>
      <c r="C2295" s="55" t="s">
        <v>1392</v>
      </c>
      <c r="D2295" s="55" t="s">
        <v>2882</v>
      </c>
      <c r="E2295" s="75" t="str">
        <f>VLOOKUP(B2295&amp;C2295,Divipola!$C$2:$F$1138,4,FALSE)</f>
        <v>73520</v>
      </c>
      <c r="F2295" s="87"/>
      <c r="G2295" s="87"/>
      <c r="H2295" s="87"/>
      <c r="I2295" s="87">
        <v>60</v>
      </c>
      <c r="J2295" s="87">
        <v>12</v>
      </c>
      <c r="K2295" s="87"/>
      <c r="L2295" s="87">
        <v>12</v>
      </c>
      <c r="M2295" s="87"/>
      <c r="N2295" s="87"/>
      <c r="O2295" s="87"/>
      <c r="P2295" s="87"/>
      <c r="Q2295" s="87"/>
      <c r="R2295" s="87"/>
      <c r="S2295" s="87"/>
      <c r="T2295" s="87"/>
      <c r="U2295" s="88"/>
      <c r="V2295" s="89"/>
      <c r="W2295" s="96">
        <v>0</v>
      </c>
      <c r="X2295" s="71">
        <f>CU2295</f>
        <v>0</v>
      </c>
      <c r="Y2295" s="71">
        <f>CY2295</f>
        <v>1487500</v>
      </c>
      <c r="Z2295" s="71">
        <f>DA2295+DC2295+DE2295</f>
        <v>11474650.4</v>
      </c>
      <c r="AA2295" s="71">
        <f>CW2295</f>
        <v>0</v>
      </c>
      <c r="AB2295" s="71"/>
      <c r="AC2295" s="71">
        <v>0</v>
      </c>
      <c r="AD2295" s="71">
        <f>W2295+X2295+Y2295+Z2295+AA2295+AB2295+AC2295</f>
        <v>12962150.4</v>
      </c>
      <c r="AE2295" s="72">
        <v>0</v>
      </c>
      <c r="AF2295" s="5"/>
      <c r="AG2295" s="6"/>
      <c r="AH2295" s="27" t="s">
        <v>3392</v>
      </c>
      <c r="AI2295" s="44" t="s">
        <v>3393</v>
      </c>
      <c r="AJ2295" s="26"/>
      <c r="AK2295" s="5"/>
      <c r="AL2295" s="82" t="s">
        <v>5159</v>
      </c>
      <c r="AM2295" s="76"/>
      <c r="AN2295" s="76"/>
      <c r="AO2295" s="76"/>
      <c r="AP2295" s="76"/>
      <c r="AQ2295" s="76"/>
      <c r="AR2295" s="76"/>
      <c r="AS2295" s="76"/>
      <c r="AT2295" s="76"/>
      <c r="AU2295" s="76"/>
      <c r="AV2295" s="76"/>
      <c r="AW2295" s="76"/>
      <c r="AX2295" s="76">
        <f>+AW2295*600000</f>
        <v>0</v>
      </c>
      <c r="AY2295" s="76"/>
      <c r="AZ2295" s="76">
        <f>+AY2295*70000</f>
        <v>0</v>
      </c>
      <c r="BA2295" s="76"/>
      <c r="BB2295" s="76"/>
      <c r="BC2295" s="76"/>
      <c r="BD2295" s="76">
        <f>+BC2295*30000</f>
        <v>0</v>
      </c>
      <c r="BE2295" s="76"/>
      <c r="BF2295" s="76"/>
      <c r="BG2295" s="76"/>
      <c r="BH2295" s="76"/>
      <c r="BI2295" s="76"/>
      <c r="BJ2295" s="76"/>
      <c r="BK2295" s="76"/>
      <c r="BL2295" s="76">
        <f>+BK2295*31500</f>
        <v>0</v>
      </c>
      <c r="BM2295" s="76"/>
      <c r="BN2295" s="76"/>
      <c r="BO2295" s="76"/>
      <c r="BP2295" s="76"/>
      <c r="BQ2295" s="76"/>
      <c r="BR2295" s="76"/>
      <c r="BS2295" s="76"/>
      <c r="BT2295" s="76"/>
      <c r="BU2295" s="76"/>
      <c r="BV2295" s="76"/>
      <c r="BW2295" s="76"/>
      <c r="BX2295" s="76"/>
      <c r="BY2295" s="76"/>
      <c r="BZ2295" s="76"/>
      <c r="CA2295" s="76"/>
      <c r="CB2295" s="76"/>
      <c r="CC2295" s="76"/>
      <c r="CD2295" s="76"/>
      <c r="CE2295" s="76"/>
      <c r="CF2295" s="76">
        <f>+CE2295*28000</f>
        <v>0</v>
      </c>
      <c r="CG2295" s="76"/>
      <c r="CH2295" s="76">
        <f>+CG2295*22500</f>
        <v>0</v>
      </c>
      <c r="CI2295" s="76"/>
      <c r="CJ2295" s="76">
        <f>+CI2295*26000</f>
        <v>0</v>
      </c>
      <c r="CK2295" s="76"/>
      <c r="CL2295" s="76"/>
      <c r="CM2295" s="76"/>
      <c r="CN2295" s="76">
        <f>+CM2295*22000</f>
        <v>0</v>
      </c>
      <c r="CO2295" s="76"/>
      <c r="CP2295" s="76">
        <f>+CO2295*46000</f>
        <v>0</v>
      </c>
      <c r="CQ2295" s="76"/>
      <c r="CR2295" s="76">
        <f>+CQ2295*49000</f>
        <v>0</v>
      </c>
      <c r="CS2295" s="76"/>
      <c r="CT2295" s="76"/>
      <c r="CU2295" s="56">
        <f>AN2295+AP2295+AR2295+AT2295+AV2295+AX2295+AZ2295+BB2295+BD2295+BF2295+BH2295+BJ2295+BL2295+BN2295+BP2295+BR2295+BT2295+BV2295+BX2295+BZ2295+CB2295+CD2295+CF2295+CH2295+CJ2295+CL2295+CN2295+CP2295+CR2295+CT2295</f>
        <v>0</v>
      </c>
      <c r="CV2295" s="76"/>
      <c r="CW2295" s="76">
        <f>+CV2295*1100</f>
        <v>0</v>
      </c>
      <c r="CX2295" s="86">
        <v>14</v>
      </c>
      <c r="CY2295" s="86">
        <f>+CX2295*106250</f>
        <v>1487500</v>
      </c>
      <c r="CZ2295" s="76"/>
      <c r="DA2295" s="76">
        <f>+CZ2295*34500</f>
        <v>0</v>
      </c>
      <c r="DB2295" s="86">
        <v>300</v>
      </c>
      <c r="DC2295" s="86">
        <f>+DB2295*32000.92+1350*199.52</f>
        <v>9869628</v>
      </c>
      <c r="DD2295" s="358" t="s">
        <v>6421</v>
      </c>
      <c r="DE2295" s="318">
        <f>50*23000.48+5*90999.68</f>
        <v>1605022.4</v>
      </c>
      <c r="DF2295" s="166"/>
      <c r="DG2295" s="134" t="s">
        <v>6975</v>
      </c>
      <c r="DH2295" s="117"/>
      <c r="DI2295" s="24"/>
      <c r="DJ2295" s="24"/>
      <c r="DK2295" s="24"/>
      <c r="DL2295" s="24"/>
      <c r="DM2295" s="24"/>
      <c r="DN2295" s="24"/>
      <c r="DO2295" s="24"/>
      <c r="DP2295" s="24"/>
      <c r="DQ2295" s="24"/>
      <c r="DR2295" s="24"/>
      <c r="DS2295" s="24"/>
      <c r="DT2295" s="24"/>
      <c r="DU2295" s="24"/>
    </row>
    <row r="2296" spans="1:125" s="8" customFormat="1" ht="72" x14ac:dyDescent="0.2">
      <c r="A2296" s="353">
        <v>41464</v>
      </c>
      <c r="B2296" s="225" t="s">
        <v>2196</v>
      </c>
      <c r="C2296" s="227" t="s">
        <v>1340</v>
      </c>
      <c r="D2296" s="354" t="s">
        <v>2882</v>
      </c>
      <c r="E2296" s="75" t="str">
        <f>VLOOKUP(B2296&amp;C2296,Divipola!$C$2:$F$1138,4,FALSE)</f>
        <v>17433</v>
      </c>
      <c r="F2296" s="87"/>
      <c r="G2296" s="87"/>
      <c r="H2296" s="87"/>
      <c r="I2296" s="87">
        <v>220</v>
      </c>
      <c r="J2296" s="87">
        <v>44</v>
      </c>
      <c r="K2296" s="87">
        <v>4</v>
      </c>
      <c r="L2296" s="87">
        <v>40</v>
      </c>
      <c r="M2296" s="87"/>
      <c r="N2296" s="87"/>
      <c r="O2296" s="87"/>
      <c r="P2296" s="87"/>
      <c r="Q2296" s="87"/>
      <c r="R2296" s="87"/>
      <c r="S2296" s="87"/>
      <c r="T2296" s="87"/>
      <c r="U2296" s="88"/>
      <c r="V2296" s="89"/>
      <c r="W2296" s="96">
        <v>0</v>
      </c>
      <c r="X2296" s="71">
        <f>CU2296</f>
        <v>0</v>
      </c>
      <c r="Y2296" s="71">
        <f>CY2296</f>
        <v>0</v>
      </c>
      <c r="Z2296" s="71">
        <f>DA2296+DC2296+DE2296</f>
        <v>0</v>
      </c>
      <c r="AA2296" s="71">
        <f>CW2296</f>
        <v>0</v>
      </c>
      <c r="AB2296" s="71"/>
      <c r="AC2296" s="71">
        <v>0</v>
      </c>
      <c r="AD2296" s="71">
        <f>W2296+X2296+Y2296+Z2296+AA2296+AB2296+AC2296</f>
        <v>0</v>
      </c>
      <c r="AE2296" s="72">
        <v>0</v>
      </c>
      <c r="AF2296" s="5"/>
      <c r="AG2296" s="6"/>
      <c r="AH2296" s="27" t="s">
        <v>3392</v>
      </c>
      <c r="AI2296" s="44" t="s">
        <v>3393</v>
      </c>
      <c r="AJ2296" s="26"/>
      <c r="AK2296" s="5"/>
      <c r="AL2296" s="82" t="s">
        <v>5167</v>
      </c>
      <c r="AM2296" s="76"/>
      <c r="AN2296" s="76"/>
      <c r="AO2296" s="76"/>
      <c r="AP2296" s="76"/>
      <c r="AQ2296" s="76"/>
      <c r="AR2296" s="76"/>
      <c r="AS2296" s="76"/>
      <c r="AT2296" s="76"/>
      <c r="AU2296" s="76"/>
      <c r="AV2296" s="76"/>
      <c r="AW2296" s="76"/>
      <c r="AX2296" s="76">
        <f>+AW2296*600000</f>
        <v>0</v>
      </c>
      <c r="AY2296" s="76"/>
      <c r="AZ2296" s="76">
        <f>+AY2296*70000</f>
        <v>0</v>
      </c>
      <c r="BA2296" s="76"/>
      <c r="BB2296" s="76"/>
      <c r="BC2296" s="76"/>
      <c r="BD2296" s="76">
        <f>+BC2296*30000</f>
        <v>0</v>
      </c>
      <c r="BE2296" s="76"/>
      <c r="BF2296" s="76"/>
      <c r="BG2296" s="76"/>
      <c r="BH2296" s="76"/>
      <c r="BI2296" s="76"/>
      <c r="BJ2296" s="76"/>
      <c r="BK2296" s="76"/>
      <c r="BL2296" s="76">
        <f>+BK2296*31500</f>
        <v>0</v>
      </c>
      <c r="BM2296" s="76"/>
      <c r="BN2296" s="76"/>
      <c r="BO2296" s="76"/>
      <c r="BP2296" s="76"/>
      <c r="BQ2296" s="76"/>
      <c r="BR2296" s="76"/>
      <c r="BS2296" s="76"/>
      <c r="BT2296" s="76"/>
      <c r="BU2296" s="76"/>
      <c r="BV2296" s="76"/>
      <c r="BW2296" s="76"/>
      <c r="BX2296" s="76"/>
      <c r="BY2296" s="76"/>
      <c r="BZ2296" s="76"/>
      <c r="CA2296" s="76"/>
      <c r="CB2296" s="76"/>
      <c r="CC2296" s="76"/>
      <c r="CD2296" s="76"/>
      <c r="CE2296" s="76"/>
      <c r="CF2296" s="76">
        <f>+CE2296*28000</f>
        <v>0</v>
      </c>
      <c r="CG2296" s="76"/>
      <c r="CH2296" s="76">
        <f>+CG2296*22500</f>
        <v>0</v>
      </c>
      <c r="CI2296" s="76"/>
      <c r="CJ2296" s="76">
        <f>+CI2296*26000</f>
        <v>0</v>
      </c>
      <c r="CK2296" s="76"/>
      <c r="CL2296" s="76"/>
      <c r="CM2296" s="76"/>
      <c r="CN2296" s="76">
        <f>+CM2296*22000</f>
        <v>0</v>
      </c>
      <c r="CO2296" s="76"/>
      <c r="CP2296" s="76">
        <f>+CO2296*46000</f>
        <v>0</v>
      </c>
      <c r="CQ2296" s="76"/>
      <c r="CR2296" s="76">
        <f>+CQ2296*49000</f>
        <v>0</v>
      </c>
      <c r="CS2296" s="76"/>
      <c r="CT2296" s="76"/>
      <c r="CU2296" s="56">
        <f>AN2296+AP2296+AR2296+AT2296+AV2296+AX2296+AZ2296+BB2296+BD2296+BF2296+BH2296+BJ2296+BL2296+BN2296+BP2296+BR2296+BT2296+BV2296+BX2296+BZ2296+CB2296+CD2296+CF2296+CH2296+CJ2296+CL2296+CN2296+CP2296+CR2296+CT2296</f>
        <v>0</v>
      </c>
      <c r="CV2296" s="76"/>
      <c r="CW2296" s="76">
        <f>+CV2296*1100</f>
        <v>0</v>
      </c>
      <c r="CX2296" s="76"/>
      <c r="CY2296" s="76">
        <f>+CX2296*106250</f>
        <v>0</v>
      </c>
      <c r="CZ2296" s="76"/>
      <c r="DA2296" s="76">
        <f>+CZ2296*34500</f>
        <v>0</v>
      </c>
      <c r="DB2296" s="76"/>
      <c r="DC2296" s="76">
        <f>+DB2296*25000</f>
        <v>0</v>
      </c>
      <c r="DD2296" s="219"/>
      <c r="DE2296" s="219"/>
      <c r="DF2296" s="166"/>
      <c r="DG2296" s="116"/>
      <c r="DH2296" s="117"/>
      <c r="DI2296" s="24"/>
      <c r="DJ2296" s="24"/>
      <c r="DK2296" s="24"/>
      <c r="DL2296" s="24"/>
      <c r="DM2296" s="24"/>
      <c r="DN2296" s="24"/>
      <c r="DO2296" s="24"/>
      <c r="DP2296" s="24"/>
      <c r="DQ2296" s="24"/>
      <c r="DR2296" s="24"/>
      <c r="DS2296" s="24"/>
      <c r="DT2296" s="24"/>
      <c r="DU2296" s="24"/>
    </row>
    <row r="2297" spans="1:125" s="8" customFormat="1" ht="36" x14ac:dyDescent="0.2">
      <c r="A2297" s="226">
        <v>41464</v>
      </c>
      <c r="B2297" s="225" t="s">
        <v>2196</v>
      </c>
      <c r="C2297" s="227" t="s">
        <v>764</v>
      </c>
      <c r="D2297" s="354" t="s">
        <v>2882</v>
      </c>
      <c r="E2297" s="75" t="str">
        <f>VLOOKUP(B2297&amp;C2297,Divipola!$C$2:$F$1138,4,FALSE)</f>
        <v>17541</v>
      </c>
      <c r="F2297" s="87"/>
      <c r="G2297" s="87"/>
      <c r="H2297" s="87"/>
      <c r="I2297" s="87">
        <v>25</v>
      </c>
      <c r="J2297" s="87">
        <v>5</v>
      </c>
      <c r="K2297" s="87"/>
      <c r="L2297" s="87">
        <v>5</v>
      </c>
      <c r="M2297" s="87"/>
      <c r="N2297" s="87"/>
      <c r="O2297" s="87"/>
      <c r="P2297" s="87"/>
      <c r="Q2297" s="87"/>
      <c r="R2297" s="87"/>
      <c r="S2297" s="87"/>
      <c r="T2297" s="87"/>
      <c r="U2297" s="88"/>
      <c r="V2297" s="89"/>
      <c r="W2297" s="96">
        <v>0</v>
      </c>
      <c r="X2297" s="71">
        <f>CU2297</f>
        <v>0</v>
      </c>
      <c r="Y2297" s="71">
        <f>CY2297</f>
        <v>0</v>
      </c>
      <c r="Z2297" s="71">
        <f>DA2297+DC2297+DE2297</f>
        <v>0</v>
      </c>
      <c r="AA2297" s="71">
        <f>CW2297</f>
        <v>0</v>
      </c>
      <c r="AB2297" s="71"/>
      <c r="AC2297" s="71">
        <v>0</v>
      </c>
      <c r="AD2297" s="71">
        <f>W2297+X2297+Y2297+Z2297+AA2297+AB2297+AC2297</f>
        <v>0</v>
      </c>
      <c r="AE2297" s="72">
        <v>0</v>
      </c>
      <c r="AF2297" s="5"/>
      <c r="AG2297" s="6"/>
      <c r="AH2297" s="27" t="s">
        <v>3392</v>
      </c>
      <c r="AI2297" s="44" t="s">
        <v>3393</v>
      </c>
      <c r="AJ2297" s="26"/>
      <c r="AK2297" s="5"/>
      <c r="AL2297" s="82" t="s">
        <v>5154</v>
      </c>
      <c r="AM2297" s="76"/>
      <c r="AN2297" s="76"/>
      <c r="AO2297" s="76"/>
      <c r="AP2297" s="76"/>
      <c r="AQ2297" s="76"/>
      <c r="AR2297" s="76"/>
      <c r="AS2297" s="76"/>
      <c r="AT2297" s="76"/>
      <c r="AU2297" s="76"/>
      <c r="AV2297" s="76"/>
      <c r="AW2297" s="76"/>
      <c r="AX2297" s="76">
        <f>+AW2297*600000</f>
        <v>0</v>
      </c>
      <c r="AY2297" s="76"/>
      <c r="AZ2297" s="76">
        <f>+AY2297*70000</f>
        <v>0</v>
      </c>
      <c r="BA2297" s="76"/>
      <c r="BB2297" s="76"/>
      <c r="BC2297" s="76"/>
      <c r="BD2297" s="76">
        <f>+BC2297*30000</f>
        <v>0</v>
      </c>
      <c r="BE2297" s="76"/>
      <c r="BF2297" s="76"/>
      <c r="BG2297" s="76"/>
      <c r="BH2297" s="76"/>
      <c r="BI2297" s="76"/>
      <c r="BJ2297" s="76"/>
      <c r="BK2297" s="76"/>
      <c r="BL2297" s="76">
        <f>+BK2297*31500</f>
        <v>0</v>
      </c>
      <c r="BM2297" s="76"/>
      <c r="BN2297" s="76"/>
      <c r="BO2297" s="76"/>
      <c r="BP2297" s="76"/>
      <c r="BQ2297" s="76"/>
      <c r="BR2297" s="76"/>
      <c r="BS2297" s="76"/>
      <c r="BT2297" s="76"/>
      <c r="BU2297" s="76"/>
      <c r="BV2297" s="76"/>
      <c r="BW2297" s="76"/>
      <c r="BX2297" s="76"/>
      <c r="BY2297" s="76"/>
      <c r="BZ2297" s="76"/>
      <c r="CA2297" s="76"/>
      <c r="CB2297" s="76"/>
      <c r="CC2297" s="76"/>
      <c r="CD2297" s="76"/>
      <c r="CE2297" s="76"/>
      <c r="CF2297" s="76">
        <f>+CE2297*28000</f>
        <v>0</v>
      </c>
      <c r="CG2297" s="76"/>
      <c r="CH2297" s="76">
        <f>+CG2297*22500</f>
        <v>0</v>
      </c>
      <c r="CI2297" s="76"/>
      <c r="CJ2297" s="76">
        <f>+CI2297*26000</f>
        <v>0</v>
      </c>
      <c r="CK2297" s="76"/>
      <c r="CL2297" s="76"/>
      <c r="CM2297" s="76"/>
      <c r="CN2297" s="76">
        <f>+CM2297*22000</f>
        <v>0</v>
      </c>
      <c r="CO2297" s="76"/>
      <c r="CP2297" s="76">
        <f>+CO2297*46000</f>
        <v>0</v>
      </c>
      <c r="CQ2297" s="76"/>
      <c r="CR2297" s="76">
        <f>+CQ2297*49000</f>
        <v>0</v>
      </c>
      <c r="CS2297" s="76"/>
      <c r="CT2297" s="76"/>
      <c r="CU2297" s="56">
        <f>AN2297+AP2297+AR2297+AT2297+AV2297+AX2297+AZ2297+BB2297+BD2297+BF2297+BH2297+BJ2297+BL2297+BN2297+BP2297+BR2297+BT2297+BV2297+BX2297+BZ2297+CB2297+CD2297+CF2297+CH2297+CJ2297+CL2297+CN2297+CP2297+CR2297+CT2297</f>
        <v>0</v>
      </c>
      <c r="CV2297" s="76"/>
      <c r="CW2297" s="76">
        <f>+CV2297*1100</f>
        <v>0</v>
      </c>
      <c r="CX2297" s="76"/>
      <c r="CY2297" s="76">
        <f>+CX2297*106250</f>
        <v>0</v>
      </c>
      <c r="CZ2297" s="76"/>
      <c r="DA2297" s="76">
        <f>+CZ2297*34500</f>
        <v>0</v>
      </c>
      <c r="DB2297" s="76"/>
      <c r="DC2297" s="76">
        <f>+DB2297*25000</f>
        <v>0</v>
      </c>
      <c r="DD2297" s="219"/>
      <c r="DE2297" s="219"/>
      <c r="DF2297" s="166"/>
      <c r="DG2297" s="116"/>
      <c r="DH2297" s="117"/>
      <c r="DI2297" s="24"/>
      <c r="DJ2297" s="24"/>
      <c r="DK2297" s="24"/>
      <c r="DL2297" s="24"/>
      <c r="DM2297" s="24"/>
      <c r="DN2297" s="24"/>
      <c r="DO2297" s="24"/>
      <c r="DP2297" s="24"/>
      <c r="DQ2297" s="24"/>
      <c r="DR2297" s="24"/>
      <c r="DS2297" s="24"/>
      <c r="DT2297" s="24"/>
      <c r="DU2297" s="24"/>
    </row>
    <row r="2298" spans="1:125" s="8" customFormat="1" ht="120" x14ac:dyDescent="0.2">
      <c r="A2298" s="226">
        <v>41464</v>
      </c>
      <c r="B2298" s="225" t="s">
        <v>2778</v>
      </c>
      <c r="C2298" s="227" t="s">
        <v>2212</v>
      </c>
      <c r="D2298" s="227" t="s">
        <v>3051</v>
      </c>
      <c r="E2298" s="75" t="str">
        <f>VLOOKUP(B2298&amp;C2298,Divipola!$C$2:$F$1138,4,FALSE)</f>
        <v>85250</v>
      </c>
      <c r="F2298" s="87"/>
      <c r="G2298" s="87"/>
      <c r="H2298" s="87"/>
      <c r="I2298" s="87">
        <v>60</v>
      </c>
      <c r="J2298" s="87">
        <v>12</v>
      </c>
      <c r="K2298" s="87"/>
      <c r="L2298" s="87">
        <v>12</v>
      </c>
      <c r="M2298" s="87"/>
      <c r="N2298" s="87"/>
      <c r="O2298" s="87"/>
      <c r="P2298" s="87"/>
      <c r="Q2298" s="87"/>
      <c r="R2298" s="87"/>
      <c r="S2298" s="87"/>
      <c r="T2298" s="87"/>
      <c r="U2298" s="88"/>
      <c r="V2298" s="89"/>
      <c r="W2298" s="96">
        <v>0</v>
      </c>
      <c r="X2298" s="71">
        <f>CU2298</f>
        <v>0</v>
      </c>
      <c r="Y2298" s="71">
        <f>CY2298</f>
        <v>0</v>
      </c>
      <c r="Z2298" s="71">
        <f>DA2298+DC2298+DE2298</f>
        <v>0</v>
      </c>
      <c r="AA2298" s="71">
        <f>CW2298</f>
        <v>0</v>
      </c>
      <c r="AB2298" s="71"/>
      <c r="AC2298" s="71">
        <v>0</v>
      </c>
      <c r="AD2298" s="71">
        <f>W2298+X2298+Y2298+Z2298+AA2298+AB2298+AC2298</f>
        <v>0</v>
      </c>
      <c r="AE2298" s="72">
        <v>0</v>
      </c>
      <c r="AF2298" s="5"/>
      <c r="AG2298" s="6"/>
      <c r="AH2298" s="27" t="s">
        <v>3392</v>
      </c>
      <c r="AI2298" s="44" t="s">
        <v>3393</v>
      </c>
      <c r="AJ2298" s="26"/>
      <c r="AK2298" s="5"/>
      <c r="AL2298" s="82" t="s">
        <v>5166</v>
      </c>
      <c r="AM2298" s="76"/>
      <c r="AN2298" s="76"/>
      <c r="AO2298" s="76"/>
      <c r="AP2298" s="76"/>
      <c r="AQ2298" s="76"/>
      <c r="AR2298" s="76"/>
      <c r="AS2298" s="76"/>
      <c r="AT2298" s="76"/>
      <c r="AU2298" s="76"/>
      <c r="AV2298" s="76"/>
      <c r="AW2298" s="76"/>
      <c r="AX2298" s="76">
        <f>+AW2298*600000</f>
        <v>0</v>
      </c>
      <c r="AY2298" s="76"/>
      <c r="AZ2298" s="76">
        <f>+AY2298*70000</f>
        <v>0</v>
      </c>
      <c r="BA2298" s="76"/>
      <c r="BB2298" s="76"/>
      <c r="BC2298" s="76"/>
      <c r="BD2298" s="76">
        <f>+BC2298*30000</f>
        <v>0</v>
      </c>
      <c r="BE2298" s="76"/>
      <c r="BF2298" s="76"/>
      <c r="BG2298" s="76"/>
      <c r="BH2298" s="76"/>
      <c r="BI2298" s="76"/>
      <c r="BJ2298" s="76"/>
      <c r="BK2298" s="76"/>
      <c r="BL2298" s="76">
        <f>+BK2298*31500</f>
        <v>0</v>
      </c>
      <c r="BM2298" s="76"/>
      <c r="BN2298" s="76"/>
      <c r="BO2298" s="76"/>
      <c r="BP2298" s="76"/>
      <c r="BQ2298" s="76"/>
      <c r="BR2298" s="76"/>
      <c r="BS2298" s="76"/>
      <c r="BT2298" s="76"/>
      <c r="BU2298" s="76"/>
      <c r="BV2298" s="76"/>
      <c r="BW2298" s="76"/>
      <c r="BX2298" s="76"/>
      <c r="BY2298" s="76"/>
      <c r="BZ2298" s="76"/>
      <c r="CA2298" s="76"/>
      <c r="CB2298" s="76"/>
      <c r="CC2298" s="76"/>
      <c r="CD2298" s="76"/>
      <c r="CE2298" s="76"/>
      <c r="CF2298" s="76">
        <f>+CE2298*28000</f>
        <v>0</v>
      </c>
      <c r="CG2298" s="76"/>
      <c r="CH2298" s="76">
        <f>+CG2298*22500</f>
        <v>0</v>
      </c>
      <c r="CI2298" s="76"/>
      <c r="CJ2298" s="76">
        <f>+CI2298*26000</f>
        <v>0</v>
      </c>
      <c r="CK2298" s="76"/>
      <c r="CL2298" s="76"/>
      <c r="CM2298" s="76"/>
      <c r="CN2298" s="76">
        <f>+CM2298*22000</f>
        <v>0</v>
      </c>
      <c r="CO2298" s="76"/>
      <c r="CP2298" s="76">
        <f>+CO2298*46000</f>
        <v>0</v>
      </c>
      <c r="CQ2298" s="76"/>
      <c r="CR2298" s="76">
        <f>+CQ2298*49000</f>
        <v>0</v>
      </c>
      <c r="CS2298" s="76"/>
      <c r="CT2298" s="76"/>
      <c r="CU2298" s="56">
        <f>AN2298+AP2298+AR2298+AT2298+AV2298+AX2298+AZ2298+BB2298+BD2298+BF2298+BH2298+BJ2298+BL2298+BN2298+BP2298+BR2298+BT2298+BV2298+BX2298+BZ2298+CB2298+CD2298+CF2298+CH2298+CJ2298+CL2298+CN2298+CP2298+CR2298+CT2298</f>
        <v>0</v>
      </c>
      <c r="CV2298" s="76"/>
      <c r="CW2298" s="76">
        <f>+CV2298*1100</f>
        <v>0</v>
      </c>
      <c r="CX2298" s="76"/>
      <c r="CY2298" s="76">
        <f>+CX2298*106250</f>
        <v>0</v>
      </c>
      <c r="CZ2298" s="76"/>
      <c r="DA2298" s="76">
        <f>+CZ2298*34500</f>
        <v>0</v>
      </c>
      <c r="DB2298" s="76"/>
      <c r="DC2298" s="76">
        <f>+DB2298*25000</f>
        <v>0</v>
      </c>
      <c r="DD2298" s="219"/>
      <c r="DE2298" s="219"/>
      <c r="DF2298" s="166"/>
      <c r="DG2298" s="116"/>
      <c r="DH2298" s="117"/>
      <c r="DI2298" s="24"/>
      <c r="DJ2298" s="24"/>
      <c r="DK2298" s="24"/>
      <c r="DL2298" s="24"/>
      <c r="DM2298" s="24"/>
      <c r="DN2298" s="24"/>
      <c r="DO2298" s="24"/>
      <c r="DP2298" s="24"/>
      <c r="DQ2298" s="24"/>
      <c r="DR2298" s="24"/>
      <c r="DS2298" s="24"/>
      <c r="DT2298" s="24"/>
      <c r="DU2298" s="24"/>
    </row>
    <row r="2299" spans="1:125" s="8" customFormat="1" ht="60" x14ac:dyDescent="0.2">
      <c r="A2299" s="353">
        <v>41464</v>
      </c>
      <c r="B2299" s="352" t="s">
        <v>2854</v>
      </c>
      <c r="C2299" s="354" t="s">
        <v>844</v>
      </c>
      <c r="D2299" s="354" t="s">
        <v>3635</v>
      </c>
      <c r="E2299" s="75" t="str">
        <f>VLOOKUP(B2299&amp;C2299,Divipola!$C$2:$F$1138,4,FALSE)</f>
        <v>19392</v>
      </c>
      <c r="F2299" s="87"/>
      <c r="G2299" s="87">
        <v>2</v>
      </c>
      <c r="H2299" s="87"/>
      <c r="I2299" s="87"/>
      <c r="J2299" s="87"/>
      <c r="K2299" s="87"/>
      <c r="L2299" s="87"/>
      <c r="M2299" s="87"/>
      <c r="N2299" s="87"/>
      <c r="O2299" s="87"/>
      <c r="P2299" s="87"/>
      <c r="Q2299" s="87"/>
      <c r="R2299" s="87"/>
      <c r="S2299" s="87"/>
      <c r="T2299" s="87"/>
      <c r="U2299" s="88"/>
      <c r="V2299" s="89"/>
      <c r="W2299" s="96">
        <v>0</v>
      </c>
      <c r="X2299" s="71">
        <f>CU2299</f>
        <v>0</v>
      </c>
      <c r="Y2299" s="71">
        <f>CY2299</f>
        <v>0</v>
      </c>
      <c r="Z2299" s="71">
        <f>DA2299+DC2299+DE2299</f>
        <v>0</v>
      </c>
      <c r="AA2299" s="71">
        <f>CW2299</f>
        <v>0</v>
      </c>
      <c r="AB2299" s="71"/>
      <c r="AC2299" s="71">
        <v>0</v>
      </c>
      <c r="AD2299" s="71">
        <f>W2299+X2299+Y2299+Z2299+AA2299+AB2299+AC2299</f>
        <v>0</v>
      </c>
      <c r="AE2299" s="72">
        <v>0</v>
      </c>
      <c r="AF2299" s="5"/>
      <c r="AG2299" s="6"/>
      <c r="AH2299" s="27" t="s">
        <v>3392</v>
      </c>
      <c r="AI2299" s="44" t="s">
        <v>3393</v>
      </c>
      <c r="AJ2299" s="26"/>
      <c r="AK2299" s="5"/>
      <c r="AL2299" s="82" t="s">
        <v>5158</v>
      </c>
      <c r="AM2299" s="76"/>
      <c r="AN2299" s="76"/>
      <c r="AO2299" s="76"/>
      <c r="AP2299" s="76"/>
      <c r="AQ2299" s="76"/>
      <c r="AR2299" s="76"/>
      <c r="AS2299" s="76"/>
      <c r="AT2299" s="76"/>
      <c r="AU2299" s="76"/>
      <c r="AV2299" s="76"/>
      <c r="AW2299" s="76"/>
      <c r="AX2299" s="76">
        <f>+AW2299*600000</f>
        <v>0</v>
      </c>
      <c r="AY2299" s="76"/>
      <c r="AZ2299" s="76">
        <f>+AY2299*70000</f>
        <v>0</v>
      </c>
      <c r="BA2299" s="76"/>
      <c r="BB2299" s="76"/>
      <c r="BC2299" s="76"/>
      <c r="BD2299" s="76">
        <f>+BC2299*30000</f>
        <v>0</v>
      </c>
      <c r="BE2299" s="76"/>
      <c r="BF2299" s="76"/>
      <c r="BG2299" s="76"/>
      <c r="BH2299" s="76"/>
      <c r="BI2299" s="76"/>
      <c r="BJ2299" s="76"/>
      <c r="BK2299" s="76"/>
      <c r="BL2299" s="76">
        <f>+BK2299*31500</f>
        <v>0</v>
      </c>
      <c r="BM2299" s="76"/>
      <c r="BN2299" s="76"/>
      <c r="BO2299" s="76"/>
      <c r="BP2299" s="76"/>
      <c r="BQ2299" s="76"/>
      <c r="BR2299" s="76"/>
      <c r="BS2299" s="76"/>
      <c r="BT2299" s="76"/>
      <c r="BU2299" s="76"/>
      <c r="BV2299" s="76"/>
      <c r="BW2299" s="76"/>
      <c r="BX2299" s="76"/>
      <c r="BY2299" s="76"/>
      <c r="BZ2299" s="76"/>
      <c r="CA2299" s="76"/>
      <c r="CB2299" s="76"/>
      <c r="CC2299" s="76"/>
      <c r="CD2299" s="76"/>
      <c r="CE2299" s="76"/>
      <c r="CF2299" s="76">
        <f>+CE2299*28000</f>
        <v>0</v>
      </c>
      <c r="CG2299" s="76"/>
      <c r="CH2299" s="76">
        <f>+CG2299*22500</f>
        <v>0</v>
      </c>
      <c r="CI2299" s="76"/>
      <c r="CJ2299" s="76">
        <f>+CI2299*26000</f>
        <v>0</v>
      </c>
      <c r="CK2299" s="76"/>
      <c r="CL2299" s="76"/>
      <c r="CM2299" s="76"/>
      <c r="CN2299" s="76">
        <f>+CM2299*22000</f>
        <v>0</v>
      </c>
      <c r="CO2299" s="76"/>
      <c r="CP2299" s="76">
        <f>+CO2299*46000</f>
        <v>0</v>
      </c>
      <c r="CQ2299" s="76"/>
      <c r="CR2299" s="76">
        <f>+CQ2299*49000</f>
        <v>0</v>
      </c>
      <c r="CS2299" s="76"/>
      <c r="CT2299" s="76"/>
      <c r="CU2299" s="56">
        <f>AN2299+AP2299+AR2299+AT2299+AV2299+AX2299+AZ2299+BB2299+BD2299+BF2299+BH2299+BJ2299+BL2299+BN2299+BP2299+BR2299+BT2299+BV2299+BX2299+BZ2299+CB2299+CD2299+CF2299+CH2299+CJ2299+CL2299+CN2299+CP2299+CR2299+CT2299</f>
        <v>0</v>
      </c>
      <c r="CV2299" s="76"/>
      <c r="CW2299" s="76">
        <f>+CV2299*1100</f>
        <v>0</v>
      </c>
      <c r="CX2299" s="76"/>
      <c r="CY2299" s="76">
        <f>+CX2299*106250</f>
        <v>0</v>
      </c>
      <c r="CZ2299" s="76"/>
      <c r="DA2299" s="76">
        <f>+CZ2299*34500</f>
        <v>0</v>
      </c>
      <c r="DB2299" s="76"/>
      <c r="DC2299" s="76">
        <f>+DB2299*25000</f>
        <v>0</v>
      </c>
      <c r="DD2299" s="219"/>
      <c r="DE2299" s="219"/>
      <c r="DF2299" s="166"/>
      <c r="DG2299" s="116"/>
      <c r="DH2299" s="117"/>
      <c r="DI2299" s="24"/>
      <c r="DJ2299" s="24"/>
      <c r="DK2299" s="24"/>
      <c r="DL2299" s="24"/>
      <c r="DM2299" s="24"/>
      <c r="DN2299" s="24"/>
      <c r="DO2299" s="24"/>
      <c r="DP2299" s="24"/>
      <c r="DQ2299" s="24"/>
      <c r="DR2299" s="24"/>
      <c r="DS2299" s="24"/>
      <c r="DT2299" s="24"/>
      <c r="DU2299" s="24"/>
    </row>
    <row r="2300" spans="1:125" s="8" customFormat="1" ht="132" x14ac:dyDescent="0.2">
      <c r="A2300" s="77">
        <v>41464</v>
      </c>
      <c r="B2300" s="60" t="s">
        <v>2854</v>
      </c>
      <c r="C2300" s="55" t="s">
        <v>860</v>
      </c>
      <c r="D2300" s="55" t="s">
        <v>2859</v>
      </c>
      <c r="E2300" s="75" t="str">
        <f>VLOOKUP(B2300&amp;C2300,Divipola!$C$2:$F$1138,4,FALSE)</f>
        <v>19573</v>
      </c>
      <c r="F2300" s="87"/>
      <c r="G2300" s="87"/>
      <c r="H2300" s="87"/>
      <c r="I2300" s="87">
        <v>5</v>
      </c>
      <c r="J2300" s="87">
        <v>1</v>
      </c>
      <c r="K2300" s="87">
        <v>1</v>
      </c>
      <c r="L2300" s="87"/>
      <c r="M2300" s="87"/>
      <c r="N2300" s="87"/>
      <c r="O2300" s="87"/>
      <c r="P2300" s="87"/>
      <c r="Q2300" s="87"/>
      <c r="R2300" s="87"/>
      <c r="S2300" s="87"/>
      <c r="T2300" s="87"/>
      <c r="U2300" s="88"/>
      <c r="V2300" s="89"/>
      <c r="W2300" s="96">
        <v>0</v>
      </c>
      <c r="X2300" s="71">
        <f>CU2300</f>
        <v>0</v>
      </c>
      <c r="Y2300" s="71">
        <f>CY2300</f>
        <v>0</v>
      </c>
      <c r="Z2300" s="71">
        <f>DA2300+DC2300+DE2300</f>
        <v>0</v>
      </c>
      <c r="AA2300" s="71">
        <f>CW2300</f>
        <v>0</v>
      </c>
      <c r="AB2300" s="71"/>
      <c r="AC2300" s="71">
        <v>0</v>
      </c>
      <c r="AD2300" s="71">
        <f>W2300+X2300+Y2300+Z2300+AA2300+AB2300+AC2300</f>
        <v>0</v>
      </c>
      <c r="AE2300" s="72">
        <v>0</v>
      </c>
      <c r="AF2300" s="5"/>
      <c r="AG2300" s="6"/>
      <c r="AH2300" s="27" t="s">
        <v>3392</v>
      </c>
      <c r="AI2300" s="44" t="s">
        <v>3393</v>
      </c>
      <c r="AJ2300" s="26"/>
      <c r="AK2300" s="5"/>
      <c r="AL2300" s="82" t="s">
        <v>5170</v>
      </c>
      <c r="AM2300" s="76"/>
      <c r="AN2300" s="76"/>
      <c r="AO2300" s="76"/>
      <c r="AP2300" s="76"/>
      <c r="AQ2300" s="76"/>
      <c r="AR2300" s="76"/>
      <c r="AS2300" s="76"/>
      <c r="AT2300" s="76"/>
      <c r="AU2300" s="76"/>
      <c r="AV2300" s="76"/>
      <c r="AW2300" s="76"/>
      <c r="AX2300" s="76">
        <f>+AW2300*600000</f>
        <v>0</v>
      </c>
      <c r="AY2300" s="76"/>
      <c r="AZ2300" s="76">
        <f>+AY2300*70000</f>
        <v>0</v>
      </c>
      <c r="BA2300" s="76"/>
      <c r="BB2300" s="76"/>
      <c r="BC2300" s="76"/>
      <c r="BD2300" s="76">
        <f>+BC2300*30000</f>
        <v>0</v>
      </c>
      <c r="BE2300" s="76"/>
      <c r="BF2300" s="76"/>
      <c r="BG2300" s="76"/>
      <c r="BH2300" s="76"/>
      <c r="BI2300" s="76"/>
      <c r="BJ2300" s="76"/>
      <c r="BK2300" s="76"/>
      <c r="BL2300" s="76">
        <f>+BK2300*31500</f>
        <v>0</v>
      </c>
      <c r="BM2300" s="76"/>
      <c r="BN2300" s="76"/>
      <c r="BO2300" s="76"/>
      <c r="BP2300" s="76"/>
      <c r="BQ2300" s="76"/>
      <c r="BR2300" s="76"/>
      <c r="BS2300" s="76"/>
      <c r="BT2300" s="76"/>
      <c r="BU2300" s="76"/>
      <c r="BV2300" s="76"/>
      <c r="BW2300" s="76"/>
      <c r="BX2300" s="76"/>
      <c r="BY2300" s="76"/>
      <c r="BZ2300" s="76"/>
      <c r="CA2300" s="76"/>
      <c r="CB2300" s="76"/>
      <c r="CC2300" s="76"/>
      <c r="CD2300" s="76"/>
      <c r="CE2300" s="76"/>
      <c r="CF2300" s="76">
        <f>+CE2300*28000</f>
        <v>0</v>
      </c>
      <c r="CG2300" s="76"/>
      <c r="CH2300" s="76">
        <f>+CG2300*22500</f>
        <v>0</v>
      </c>
      <c r="CI2300" s="76"/>
      <c r="CJ2300" s="76">
        <f>+CI2300*26000</f>
        <v>0</v>
      </c>
      <c r="CK2300" s="76"/>
      <c r="CL2300" s="76"/>
      <c r="CM2300" s="76"/>
      <c r="CN2300" s="76">
        <f>+CM2300*22000</f>
        <v>0</v>
      </c>
      <c r="CO2300" s="76"/>
      <c r="CP2300" s="76">
        <f>+CO2300*46000</f>
        <v>0</v>
      </c>
      <c r="CQ2300" s="76"/>
      <c r="CR2300" s="76">
        <f>+CQ2300*49000</f>
        <v>0</v>
      </c>
      <c r="CS2300" s="76"/>
      <c r="CT2300" s="76"/>
      <c r="CU2300" s="56">
        <f>AN2300+AP2300+AR2300+AT2300+AV2300+AX2300+AZ2300+BB2300+BD2300+BF2300+BH2300+BJ2300+BL2300+BN2300+BP2300+BR2300+BT2300+BV2300+BX2300+BZ2300+CB2300+CD2300+CF2300+CH2300+CJ2300+CL2300+CN2300+CP2300+CR2300+CT2300</f>
        <v>0</v>
      </c>
      <c r="CV2300" s="76"/>
      <c r="CW2300" s="76">
        <f>+CV2300*1100</f>
        <v>0</v>
      </c>
      <c r="CX2300" s="76"/>
      <c r="CY2300" s="76">
        <f>+CX2300*106250</f>
        <v>0</v>
      </c>
      <c r="CZ2300" s="76"/>
      <c r="DA2300" s="76">
        <f>+CZ2300*34500</f>
        <v>0</v>
      </c>
      <c r="DB2300" s="76"/>
      <c r="DC2300" s="76">
        <f>+DB2300*25000</f>
        <v>0</v>
      </c>
      <c r="DD2300" s="219"/>
      <c r="DE2300" s="219"/>
      <c r="DF2300" s="166"/>
      <c r="DG2300" s="116"/>
      <c r="DH2300" s="117"/>
      <c r="DI2300" s="24"/>
      <c r="DJ2300" s="24"/>
      <c r="DK2300" s="24"/>
      <c r="DL2300" s="24"/>
      <c r="DM2300" s="24"/>
      <c r="DN2300" s="24"/>
      <c r="DO2300" s="24"/>
      <c r="DP2300" s="24"/>
      <c r="DQ2300" s="24"/>
      <c r="DR2300" s="24"/>
      <c r="DS2300" s="24"/>
      <c r="DT2300" s="24"/>
      <c r="DU2300" s="24"/>
    </row>
    <row r="2301" spans="1:125" s="8" customFormat="1" ht="48" x14ac:dyDescent="0.2">
      <c r="A2301" s="226">
        <v>41464</v>
      </c>
      <c r="B2301" s="225" t="s">
        <v>2852</v>
      </c>
      <c r="C2301" s="227" t="s">
        <v>1327</v>
      </c>
      <c r="D2301" s="354" t="s">
        <v>3088</v>
      </c>
      <c r="E2301" s="75" t="str">
        <f>VLOOKUP(B2301&amp;C2301,Divipola!$C$2:$F$1138,4,FALSE)</f>
        <v>27001</v>
      </c>
      <c r="F2301" s="87"/>
      <c r="G2301" s="87"/>
      <c r="H2301" s="87"/>
      <c r="I2301" s="87">
        <v>14</v>
      </c>
      <c r="J2301" s="87">
        <v>2</v>
      </c>
      <c r="K2301" s="87">
        <v>1</v>
      </c>
      <c r="L2301" s="87">
        <v>1</v>
      </c>
      <c r="M2301" s="87"/>
      <c r="N2301" s="87"/>
      <c r="O2301" s="87"/>
      <c r="P2301" s="87"/>
      <c r="Q2301" s="87"/>
      <c r="R2301" s="87"/>
      <c r="S2301" s="87"/>
      <c r="T2301" s="87"/>
      <c r="U2301" s="88"/>
      <c r="V2301" s="89"/>
      <c r="W2301" s="96">
        <v>0</v>
      </c>
      <c r="X2301" s="71">
        <f>CU2301</f>
        <v>0</v>
      </c>
      <c r="Y2301" s="71">
        <f>CY2301</f>
        <v>0</v>
      </c>
      <c r="Z2301" s="71">
        <f>DA2301+DC2301+DE2301</f>
        <v>0</v>
      </c>
      <c r="AA2301" s="71">
        <f>CW2301</f>
        <v>0</v>
      </c>
      <c r="AB2301" s="71"/>
      <c r="AC2301" s="71">
        <v>0</v>
      </c>
      <c r="AD2301" s="71">
        <f>W2301+X2301+Y2301+Z2301+AA2301+AB2301+AC2301</f>
        <v>0</v>
      </c>
      <c r="AE2301" s="72">
        <v>0</v>
      </c>
      <c r="AF2301" s="5"/>
      <c r="AG2301" s="6"/>
      <c r="AH2301" s="27"/>
      <c r="AI2301" s="44"/>
      <c r="AJ2301" s="26"/>
      <c r="AK2301" s="5"/>
      <c r="AL2301" s="82" t="s">
        <v>5199</v>
      </c>
      <c r="AM2301" s="76"/>
      <c r="AN2301" s="76"/>
      <c r="AO2301" s="76"/>
      <c r="AP2301" s="76"/>
      <c r="AQ2301" s="76"/>
      <c r="AR2301" s="76"/>
      <c r="AS2301" s="76"/>
      <c r="AT2301" s="76"/>
      <c r="AU2301" s="76"/>
      <c r="AV2301" s="76"/>
      <c r="AW2301" s="76"/>
      <c r="AX2301" s="76">
        <f>+AW2301*600000</f>
        <v>0</v>
      </c>
      <c r="AY2301" s="76"/>
      <c r="AZ2301" s="76">
        <f>+AY2301*70000</f>
        <v>0</v>
      </c>
      <c r="BA2301" s="76"/>
      <c r="BB2301" s="76"/>
      <c r="BC2301" s="76"/>
      <c r="BD2301" s="76">
        <f>+BC2301*30000</f>
        <v>0</v>
      </c>
      <c r="BE2301" s="76"/>
      <c r="BF2301" s="76"/>
      <c r="BG2301" s="76"/>
      <c r="BH2301" s="76"/>
      <c r="BI2301" s="76"/>
      <c r="BJ2301" s="76"/>
      <c r="BK2301" s="76"/>
      <c r="BL2301" s="76">
        <f>+BK2301*31500</f>
        <v>0</v>
      </c>
      <c r="BM2301" s="76"/>
      <c r="BN2301" s="76"/>
      <c r="BO2301" s="76"/>
      <c r="BP2301" s="76"/>
      <c r="BQ2301" s="76"/>
      <c r="BR2301" s="76"/>
      <c r="BS2301" s="76"/>
      <c r="BT2301" s="76"/>
      <c r="BU2301" s="76"/>
      <c r="BV2301" s="76"/>
      <c r="BW2301" s="76"/>
      <c r="BX2301" s="76"/>
      <c r="BY2301" s="76"/>
      <c r="BZ2301" s="76"/>
      <c r="CA2301" s="76"/>
      <c r="CB2301" s="76"/>
      <c r="CC2301" s="76"/>
      <c r="CD2301" s="76"/>
      <c r="CE2301" s="76"/>
      <c r="CF2301" s="76">
        <f>+CE2301*28000</f>
        <v>0</v>
      </c>
      <c r="CG2301" s="76"/>
      <c r="CH2301" s="76">
        <f>+CG2301*22500</f>
        <v>0</v>
      </c>
      <c r="CI2301" s="76"/>
      <c r="CJ2301" s="76">
        <f>+CI2301*26000</f>
        <v>0</v>
      </c>
      <c r="CK2301" s="76"/>
      <c r="CL2301" s="76"/>
      <c r="CM2301" s="76"/>
      <c r="CN2301" s="76">
        <f>+CM2301*22000</f>
        <v>0</v>
      </c>
      <c r="CO2301" s="76"/>
      <c r="CP2301" s="76">
        <f>+CO2301*46000</f>
        <v>0</v>
      </c>
      <c r="CQ2301" s="76"/>
      <c r="CR2301" s="76">
        <f>+CQ2301*49000</f>
        <v>0</v>
      </c>
      <c r="CS2301" s="76"/>
      <c r="CT2301" s="76"/>
      <c r="CU2301" s="56">
        <f>AN2301+AP2301+AR2301+AT2301+AV2301+AX2301+AZ2301+BB2301+BD2301+BF2301+BH2301+BJ2301+BL2301+BN2301+BP2301+BR2301+BT2301+BV2301+BX2301+BZ2301+CB2301+CD2301+CF2301+CH2301+CJ2301+CL2301+CN2301+CP2301+CR2301+CT2301</f>
        <v>0</v>
      </c>
      <c r="CV2301" s="76"/>
      <c r="CW2301" s="76">
        <f>+CV2301*1100</f>
        <v>0</v>
      </c>
      <c r="CX2301" s="76"/>
      <c r="CY2301" s="76">
        <f>+CX2301*106250</f>
        <v>0</v>
      </c>
      <c r="CZ2301" s="76"/>
      <c r="DA2301" s="76">
        <f>+CZ2301*34500</f>
        <v>0</v>
      </c>
      <c r="DB2301" s="76"/>
      <c r="DC2301" s="76">
        <f>+DB2301*25000</f>
        <v>0</v>
      </c>
      <c r="DD2301" s="219"/>
      <c r="DE2301" s="219"/>
      <c r="DF2301" s="166"/>
      <c r="DG2301" s="116"/>
      <c r="DH2301" s="117"/>
      <c r="DI2301" s="24"/>
      <c r="DJ2301" s="24"/>
      <c r="DK2301" s="24"/>
      <c r="DL2301" s="24"/>
      <c r="DM2301" s="24"/>
      <c r="DN2301" s="24"/>
      <c r="DO2301" s="24"/>
      <c r="DP2301" s="24"/>
      <c r="DQ2301" s="24"/>
      <c r="DR2301" s="24"/>
      <c r="DS2301" s="24"/>
      <c r="DT2301" s="24"/>
      <c r="DU2301" s="24"/>
    </row>
    <row r="2302" spans="1:125" s="8" customFormat="1" ht="84" x14ac:dyDescent="0.2">
      <c r="A2302" s="226">
        <v>41464</v>
      </c>
      <c r="B2302" s="352" t="s">
        <v>2880</v>
      </c>
      <c r="C2302" s="354" t="s">
        <v>2202</v>
      </c>
      <c r="D2302" s="354" t="s">
        <v>3504</v>
      </c>
      <c r="E2302" s="75" t="str">
        <f>VLOOKUP(B2302&amp;C2302,Divipola!$C$2:$F$1138,4,FALSE)</f>
        <v>54800</v>
      </c>
      <c r="F2302" s="87">
        <v>5</v>
      </c>
      <c r="G2302" s="87"/>
      <c r="H2302" s="87"/>
      <c r="I2302" s="87"/>
      <c r="J2302" s="87"/>
      <c r="K2302" s="87"/>
      <c r="L2302" s="87"/>
      <c r="M2302" s="87"/>
      <c r="N2302" s="87"/>
      <c r="O2302" s="87"/>
      <c r="P2302" s="87"/>
      <c r="Q2302" s="87"/>
      <c r="R2302" s="87"/>
      <c r="S2302" s="87"/>
      <c r="T2302" s="87"/>
      <c r="U2302" s="88"/>
      <c r="V2302" s="89"/>
      <c r="W2302" s="96">
        <v>0</v>
      </c>
      <c r="X2302" s="71">
        <f>CU2302</f>
        <v>0</v>
      </c>
      <c r="Y2302" s="71">
        <f>CY2302</f>
        <v>0</v>
      </c>
      <c r="Z2302" s="71">
        <f>DA2302+DC2302+DE2302</f>
        <v>0</v>
      </c>
      <c r="AA2302" s="71">
        <f>CW2302</f>
        <v>0</v>
      </c>
      <c r="AB2302" s="71"/>
      <c r="AC2302" s="71">
        <v>0</v>
      </c>
      <c r="AD2302" s="71">
        <f>W2302+X2302+Y2302+Z2302+AA2302+AB2302+AC2302</f>
        <v>0</v>
      </c>
      <c r="AE2302" s="72">
        <v>0</v>
      </c>
      <c r="AF2302" s="5"/>
      <c r="AG2302" s="6"/>
      <c r="AH2302" s="27" t="s">
        <v>3392</v>
      </c>
      <c r="AI2302" s="44" t="s">
        <v>3393</v>
      </c>
      <c r="AJ2302" s="26"/>
      <c r="AK2302" s="5"/>
      <c r="AL2302" s="82" t="s">
        <v>5155</v>
      </c>
      <c r="AM2302" s="76"/>
      <c r="AN2302" s="76"/>
      <c r="AO2302" s="76"/>
      <c r="AP2302" s="76"/>
      <c r="AQ2302" s="76"/>
      <c r="AR2302" s="76"/>
      <c r="AS2302" s="76"/>
      <c r="AT2302" s="76"/>
      <c r="AU2302" s="76"/>
      <c r="AV2302" s="76"/>
      <c r="AW2302" s="76"/>
      <c r="AX2302" s="76">
        <f>+AW2302*600000</f>
        <v>0</v>
      </c>
      <c r="AY2302" s="76"/>
      <c r="AZ2302" s="76">
        <f>+AY2302*70000</f>
        <v>0</v>
      </c>
      <c r="BA2302" s="76"/>
      <c r="BB2302" s="76"/>
      <c r="BC2302" s="76"/>
      <c r="BD2302" s="76">
        <f>+BC2302*30000</f>
        <v>0</v>
      </c>
      <c r="BE2302" s="76"/>
      <c r="BF2302" s="76"/>
      <c r="BG2302" s="76"/>
      <c r="BH2302" s="76"/>
      <c r="BI2302" s="76"/>
      <c r="BJ2302" s="76"/>
      <c r="BK2302" s="76"/>
      <c r="BL2302" s="76">
        <f>+BK2302*31500</f>
        <v>0</v>
      </c>
      <c r="BM2302" s="76"/>
      <c r="BN2302" s="76"/>
      <c r="BO2302" s="76"/>
      <c r="BP2302" s="76"/>
      <c r="BQ2302" s="76"/>
      <c r="BR2302" s="76"/>
      <c r="BS2302" s="76"/>
      <c r="BT2302" s="76"/>
      <c r="BU2302" s="76"/>
      <c r="BV2302" s="76"/>
      <c r="BW2302" s="76"/>
      <c r="BX2302" s="76"/>
      <c r="BY2302" s="76"/>
      <c r="BZ2302" s="76"/>
      <c r="CA2302" s="76"/>
      <c r="CB2302" s="76"/>
      <c r="CC2302" s="76"/>
      <c r="CD2302" s="76"/>
      <c r="CE2302" s="76"/>
      <c r="CF2302" s="76">
        <f>+CE2302*28000</f>
        <v>0</v>
      </c>
      <c r="CG2302" s="76"/>
      <c r="CH2302" s="76">
        <f>+CG2302*22500</f>
        <v>0</v>
      </c>
      <c r="CI2302" s="76"/>
      <c r="CJ2302" s="76">
        <f>+CI2302*26000</f>
        <v>0</v>
      </c>
      <c r="CK2302" s="76"/>
      <c r="CL2302" s="76"/>
      <c r="CM2302" s="76"/>
      <c r="CN2302" s="76">
        <f>+CM2302*22000</f>
        <v>0</v>
      </c>
      <c r="CO2302" s="76"/>
      <c r="CP2302" s="76">
        <f>+CO2302*46000</f>
        <v>0</v>
      </c>
      <c r="CQ2302" s="76"/>
      <c r="CR2302" s="76">
        <f>+CQ2302*49000</f>
        <v>0</v>
      </c>
      <c r="CS2302" s="76"/>
      <c r="CT2302" s="76"/>
      <c r="CU2302" s="56">
        <f>AN2302+AP2302+AR2302+AT2302+AV2302+AX2302+AZ2302+BB2302+BD2302+BF2302+BH2302+BJ2302+BL2302+BN2302+BP2302+BR2302+BT2302+BV2302+BX2302+BZ2302+CB2302+CD2302+CF2302+CH2302+CJ2302+CL2302+CN2302+CP2302+CR2302+CT2302</f>
        <v>0</v>
      </c>
      <c r="CV2302" s="76"/>
      <c r="CW2302" s="76">
        <f>+CV2302*1100</f>
        <v>0</v>
      </c>
      <c r="CX2302" s="76"/>
      <c r="CY2302" s="76">
        <f>+CX2302*106250</f>
        <v>0</v>
      </c>
      <c r="CZ2302" s="76"/>
      <c r="DA2302" s="76">
        <f>+CZ2302*34500</f>
        <v>0</v>
      </c>
      <c r="DB2302" s="76"/>
      <c r="DC2302" s="76">
        <f>+DB2302*25000</f>
        <v>0</v>
      </c>
      <c r="DD2302" s="219"/>
      <c r="DE2302" s="219"/>
      <c r="DF2302" s="166"/>
      <c r="DG2302" s="116"/>
      <c r="DH2302" s="117"/>
      <c r="DI2302" s="24"/>
      <c r="DJ2302" s="24"/>
      <c r="DK2302" s="24"/>
      <c r="DL2302" s="24"/>
      <c r="DM2302" s="24"/>
      <c r="DN2302" s="24"/>
      <c r="DO2302" s="24"/>
      <c r="DP2302" s="24"/>
      <c r="DQ2302" s="24"/>
      <c r="DR2302" s="24"/>
      <c r="DS2302" s="24"/>
      <c r="DT2302" s="24"/>
      <c r="DU2302" s="24"/>
    </row>
    <row r="2303" spans="1:125" s="8" customFormat="1" ht="96" x14ac:dyDescent="0.2">
      <c r="A2303" s="226">
        <v>41464</v>
      </c>
      <c r="B2303" s="225" t="s">
        <v>3131</v>
      </c>
      <c r="C2303" s="227" t="s">
        <v>2279</v>
      </c>
      <c r="D2303" s="227" t="s">
        <v>3463</v>
      </c>
      <c r="E2303" s="75" t="str">
        <f>VLOOKUP(B2303&amp;C2303,Divipola!$C$2:$F$1138,4,FALSE)</f>
        <v>86865</v>
      </c>
      <c r="F2303" s="87"/>
      <c r="G2303" s="87"/>
      <c r="H2303" s="87">
        <v>2</v>
      </c>
      <c r="I2303" s="87"/>
      <c r="J2303" s="87"/>
      <c r="K2303" s="87"/>
      <c r="L2303" s="87"/>
      <c r="M2303" s="87"/>
      <c r="N2303" s="87"/>
      <c r="O2303" s="87"/>
      <c r="P2303" s="87"/>
      <c r="Q2303" s="87"/>
      <c r="R2303" s="87"/>
      <c r="S2303" s="87"/>
      <c r="T2303" s="87"/>
      <c r="U2303" s="88"/>
      <c r="V2303" s="89"/>
      <c r="W2303" s="96">
        <v>0</v>
      </c>
      <c r="X2303" s="71">
        <f>CU2303</f>
        <v>0</v>
      </c>
      <c r="Y2303" s="71">
        <f>CY2303</f>
        <v>0</v>
      </c>
      <c r="Z2303" s="71">
        <f>DA2303+DC2303+DE2303</f>
        <v>0</v>
      </c>
      <c r="AA2303" s="71">
        <f>CW2303</f>
        <v>0</v>
      </c>
      <c r="AB2303" s="71"/>
      <c r="AC2303" s="71">
        <v>0</v>
      </c>
      <c r="AD2303" s="71">
        <f>W2303+X2303+Y2303+Z2303+AA2303+AB2303+AC2303</f>
        <v>0</v>
      </c>
      <c r="AE2303" s="72">
        <v>0</v>
      </c>
      <c r="AF2303" s="5"/>
      <c r="AG2303" s="6"/>
      <c r="AH2303" s="27"/>
      <c r="AI2303" s="44"/>
      <c r="AJ2303" s="26"/>
      <c r="AK2303" s="5"/>
      <c r="AL2303" s="82" t="s">
        <v>5187</v>
      </c>
      <c r="AM2303" s="76"/>
      <c r="AN2303" s="76"/>
      <c r="AO2303" s="76"/>
      <c r="AP2303" s="76"/>
      <c r="AQ2303" s="76"/>
      <c r="AR2303" s="76"/>
      <c r="AS2303" s="76"/>
      <c r="AT2303" s="76"/>
      <c r="AU2303" s="76"/>
      <c r="AV2303" s="76"/>
      <c r="AW2303" s="76"/>
      <c r="AX2303" s="76">
        <f>+AW2303*600000</f>
        <v>0</v>
      </c>
      <c r="AY2303" s="76"/>
      <c r="AZ2303" s="76">
        <f>+AY2303*70000</f>
        <v>0</v>
      </c>
      <c r="BA2303" s="76"/>
      <c r="BB2303" s="76"/>
      <c r="BC2303" s="76"/>
      <c r="BD2303" s="76">
        <f>+BC2303*30000</f>
        <v>0</v>
      </c>
      <c r="BE2303" s="76"/>
      <c r="BF2303" s="76"/>
      <c r="BG2303" s="76"/>
      <c r="BH2303" s="76"/>
      <c r="BI2303" s="76"/>
      <c r="BJ2303" s="76"/>
      <c r="BK2303" s="76"/>
      <c r="BL2303" s="76">
        <f>+BK2303*31500</f>
        <v>0</v>
      </c>
      <c r="BM2303" s="76"/>
      <c r="BN2303" s="76"/>
      <c r="BO2303" s="76"/>
      <c r="BP2303" s="76"/>
      <c r="BQ2303" s="76"/>
      <c r="BR2303" s="76"/>
      <c r="BS2303" s="76"/>
      <c r="BT2303" s="76"/>
      <c r="BU2303" s="76"/>
      <c r="BV2303" s="76"/>
      <c r="BW2303" s="76"/>
      <c r="BX2303" s="76"/>
      <c r="BY2303" s="76"/>
      <c r="BZ2303" s="76"/>
      <c r="CA2303" s="76"/>
      <c r="CB2303" s="76"/>
      <c r="CC2303" s="76"/>
      <c r="CD2303" s="76"/>
      <c r="CE2303" s="76"/>
      <c r="CF2303" s="76">
        <f>+CE2303*28000</f>
        <v>0</v>
      </c>
      <c r="CG2303" s="76"/>
      <c r="CH2303" s="76">
        <f>+CG2303*22500</f>
        <v>0</v>
      </c>
      <c r="CI2303" s="76"/>
      <c r="CJ2303" s="76">
        <f>+CI2303*26000</f>
        <v>0</v>
      </c>
      <c r="CK2303" s="76"/>
      <c r="CL2303" s="76"/>
      <c r="CM2303" s="76"/>
      <c r="CN2303" s="76">
        <f>+CM2303*22000</f>
        <v>0</v>
      </c>
      <c r="CO2303" s="76"/>
      <c r="CP2303" s="76">
        <f>+CO2303*46000</f>
        <v>0</v>
      </c>
      <c r="CQ2303" s="76"/>
      <c r="CR2303" s="76">
        <f>+CQ2303*49000</f>
        <v>0</v>
      </c>
      <c r="CS2303" s="76"/>
      <c r="CT2303" s="76"/>
      <c r="CU2303" s="56">
        <f>AN2303+AP2303+AR2303+AT2303+AV2303+AX2303+AZ2303+BB2303+BD2303+BF2303+BH2303+BJ2303+BL2303+BN2303+BP2303+BR2303+BT2303+BV2303+BX2303+BZ2303+CB2303+CD2303+CF2303+CH2303+CJ2303+CL2303+CN2303+CP2303+CR2303+CT2303</f>
        <v>0</v>
      </c>
      <c r="CV2303" s="76"/>
      <c r="CW2303" s="76">
        <f>+CV2303*1100</f>
        <v>0</v>
      </c>
      <c r="CX2303" s="76"/>
      <c r="CY2303" s="76">
        <f>+CX2303*106250</f>
        <v>0</v>
      </c>
      <c r="CZ2303" s="76"/>
      <c r="DA2303" s="76">
        <f>+CZ2303*34500</f>
        <v>0</v>
      </c>
      <c r="DB2303" s="76"/>
      <c r="DC2303" s="76">
        <f>+DB2303*25000</f>
        <v>0</v>
      </c>
      <c r="DD2303" s="219"/>
      <c r="DE2303" s="219"/>
      <c r="DF2303" s="166"/>
      <c r="DG2303" s="116"/>
      <c r="DH2303" s="117"/>
      <c r="DI2303" s="24"/>
      <c r="DJ2303" s="24"/>
      <c r="DK2303" s="24"/>
      <c r="DL2303" s="24"/>
      <c r="DM2303" s="24"/>
      <c r="DN2303" s="24"/>
      <c r="DO2303" s="24"/>
      <c r="DP2303" s="24"/>
      <c r="DQ2303" s="24"/>
      <c r="DR2303" s="24"/>
      <c r="DS2303" s="24"/>
      <c r="DT2303" s="24"/>
      <c r="DU2303" s="24"/>
    </row>
    <row r="2304" spans="1:125" s="8" customFormat="1" ht="48" x14ac:dyDescent="0.2">
      <c r="A2304" s="226">
        <v>41464</v>
      </c>
      <c r="B2304" s="225" t="s">
        <v>2848</v>
      </c>
      <c r="C2304" s="227" t="s">
        <v>2214</v>
      </c>
      <c r="D2304" s="227" t="s">
        <v>2882</v>
      </c>
      <c r="E2304" s="75" t="str">
        <f>VLOOKUP(B2304&amp;C2304,Divipola!$C$2:$F$1138,4,FALSE)</f>
        <v>73283</v>
      </c>
      <c r="F2304" s="87"/>
      <c r="G2304" s="87"/>
      <c r="H2304" s="87"/>
      <c r="I2304" s="87">
        <v>75</v>
      </c>
      <c r="J2304" s="87">
        <v>15</v>
      </c>
      <c r="K2304" s="87"/>
      <c r="L2304" s="87">
        <v>15</v>
      </c>
      <c r="M2304" s="87"/>
      <c r="N2304" s="87"/>
      <c r="O2304" s="87"/>
      <c r="P2304" s="87"/>
      <c r="Q2304" s="87"/>
      <c r="R2304" s="87"/>
      <c r="S2304" s="87"/>
      <c r="T2304" s="87"/>
      <c r="U2304" s="88"/>
      <c r="V2304" s="89"/>
      <c r="W2304" s="96">
        <v>0</v>
      </c>
      <c r="X2304" s="71">
        <f>CU2304</f>
        <v>0</v>
      </c>
      <c r="Y2304" s="71">
        <f>CY2304</f>
        <v>0</v>
      </c>
      <c r="Z2304" s="71">
        <f>DA2304+DC2304+DE2304</f>
        <v>0</v>
      </c>
      <c r="AA2304" s="71">
        <f>CW2304</f>
        <v>0</v>
      </c>
      <c r="AB2304" s="71"/>
      <c r="AC2304" s="71">
        <v>0</v>
      </c>
      <c r="AD2304" s="71">
        <f>W2304+X2304+Y2304+Z2304+AA2304+AB2304+AC2304</f>
        <v>0</v>
      </c>
      <c r="AE2304" s="72">
        <v>0</v>
      </c>
      <c r="AF2304" s="5"/>
      <c r="AG2304" s="6"/>
      <c r="AH2304" s="27" t="s">
        <v>3392</v>
      </c>
      <c r="AI2304" s="44" t="s">
        <v>3393</v>
      </c>
      <c r="AJ2304" s="26"/>
      <c r="AK2304" s="5"/>
      <c r="AL2304" s="82" t="s">
        <v>5162</v>
      </c>
      <c r="AM2304" s="76"/>
      <c r="AN2304" s="76"/>
      <c r="AO2304" s="76"/>
      <c r="AP2304" s="76"/>
      <c r="AQ2304" s="76"/>
      <c r="AR2304" s="76"/>
      <c r="AS2304" s="76"/>
      <c r="AT2304" s="76"/>
      <c r="AU2304" s="76"/>
      <c r="AV2304" s="76"/>
      <c r="AW2304" s="76"/>
      <c r="AX2304" s="76">
        <f>+AW2304*600000</f>
        <v>0</v>
      </c>
      <c r="AY2304" s="76"/>
      <c r="AZ2304" s="76">
        <f>+AY2304*70000</f>
        <v>0</v>
      </c>
      <c r="BA2304" s="76"/>
      <c r="BB2304" s="76"/>
      <c r="BC2304" s="76"/>
      <c r="BD2304" s="76">
        <f>+BC2304*30000</f>
        <v>0</v>
      </c>
      <c r="BE2304" s="76"/>
      <c r="BF2304" s="76"/>
      <c r="BG2304" s="76"/>
      <c r="BH2304" s="76"/>
      <c r="BI2304" s="76"/>
      <c r="BJ2304" s="76"/>
      <c r="BK2304" s="76"/>
      <c r="BL2304" s="76">
        <f>+BK2304*31500</f>
        <v>0</v>
      </c>
      <c r="BM2304" s="76"/>
      <c r="BN2304" s="76"/>
      <c r="BO2304" s="76"/>
      <c r="BP2304" s="76"/>
      <c r="BQ2304" s="76"/>
      <c r="BR2304" s="76"/>
      <c r="BS2304" s="76"/>
      <c r="BT2304" s="76"/>
      <c r="BU2304" s="76"/>
      <c r="BV2304" s="76"/>
      <c r="BW2304" s="76"/>
      <c r="BX2304" s="76"/>
      <c r="BY2304" s="76"/>
      <c r="BZ2304" s="76"/>
      <c r="CA2304" s="76"/>
      <c r="CB2304" s="76"/>
      <c r="CC2304" s="76"/>
      <c r="CD2304" s="76"/>
      <c r="CE2304" s="76"/>
      <c r="CF2304" s="76">
        <f>+CE2304*28000</f>
        <v>0</v>
      </c>
      <c r="CG2304" s="76"/>
      <c r="CH2304" s="76">
        <f>+CG2304*22500</f>
        <v>0</v>
      </c>
      <c r="CI2304" s="76"/>
      <c r="CJ2304" s="76">
        <f>+CI2304*26000</f>
        <v>0</v>
      </c>
      <c r="CK2304" s="76"/>
      <c r="CL2304" s="76"/>
      <c r="CM2304" s="76"/>
      <c r="CN2304" s="76">
        <f>+CM2304*22000</f>
        <v>0</v>
      </c>
      <c r="CO2304" s="76"/>
      <c r="CP2304" s="76">
        <f>+CO2304*46000</f>
        <v>0</v>
      </c>
      <c r="CQ2304" s="76"/>
      <c r="CR2304" s="76">
        <f>+CQ2304*49000</f>
        <v>0</v>
      </c>
      <c r="CS2304" s="76"/>
      <c r="CT2304" s="76"/>
      <c r="CU2304" s="56">
        <f>AN2304+AP2304+AR2304+AT2304+AV2304+AX2304+AZ2304+BB2304+BD2304+BF2304+BH2304+BJ2304+BL2304+BN2304+BP2304+BR2304+BT2304+BV2304+BX2304+BZ2304+CB2304+CD2304+CF2304+CH2304+CJ2304+CL2304+CN2304+CP2304+CR2304+CT2304</f>
        <v>0</v>
      </c>
      <c r="CV2304" s="76"/>
      <c r="CW2304" s="76">
        <f>+CV2304*1100</f>
        <v>0</v>
      </c>
      <c r="CX2304" s="76"/>
      <c r="CY2304" s="76">
        <f>+CX2304*106250</f>
        <v>0</v>
      </c>
      <c r="CZ2304" s="76"/>
      <c r="DA2304" s="76">
        <f>+CZ2304*34500</f>
        <v>0</v>
      </c>
      <c r="DB2304" s="76"/>
      <c r="DC2304" s="76">
        <f>+DB2304*25000</f>
        <v>0</v>
      </c>
      <c r="DD2304" s="219"/>
      <c r="DE2304" s="219"/>
      <c r="DF2304" s="166"/>
      <c r="DG2304" s="116"/>
      <c r="DH2304" s="117"/>
      <c r="DI2304" s="24"/>
      <c r="DJ2304" s="24"/>
      <c r="DK2304" s="24"/>
      <c r="DL2304" s="24"/>
      <c r="DM2304" s="24"/>
      <c r="DN2304" s="24"/>
      <c r="DO2304" s="24"/>
      <c r="DP2304" s="24"/>
      <c r="DQ2304" s="24"/>
      <c r="DR2304" s="24"/>
      <c r="DS2304" s="24"/>
      <c r="DT2304" s="24"/>
      <c r="DU2304" s="24"/>
    </row>
    <row r="2305" spans="1:125" s="8" customFormat="1" ht="48" x14ac:dyDescent="0.2">
      <c r="A2305" s="353">
        <v>41464</v>
      </c>
      <c r="B2305" s="225" t="s">
        <v>2848</v>
      </c>
      <c r="C2305" s="227" t="s">
        <v>2191</v>
      </c>
      <c r="D2305" s="354" t="s">
        <v>2846</v>
      </c>
      <c r="E2305" s="75" t="str">
        <f>VLOOKUP(B2305&amp;C2305,Divipola!$C$2:$F$1138,4,FALSE)</f>
        <v>73319</v>
      </c>
      <c r="F2305" s="87"/>
      <c r="G2305" s="87"/>
      <c r="H2305" s="87"/>
      <c r="I2305" s="87"/>
      <c r="J2305" s="87"/>
      <c r="K2305" s="87"/>
      <c r="L2305" s="87"/>
      <c r="M2305" s="87"/>
      <c r="N2305" s="87"/>
      <c r="O2305" s="87"/>
      <c r="P2305" s="87"/>
      <c r="Q2305" s="87"/>
      <c r="R2305" s="87"/>
      <c r="S2305" s="87"/>
      <c r="T2305" s="87"/>
      <c r="U2305" s="88"/>
      <c r="V2305" s="89"/>
      <c r="W2305" s="96">
        <v>0</v>
      </c>
      <c r="X2305" s="71">
        <f>CU2305</f>
        <v>0</v>
      </c>
      <c r="Y2305" s="71">
        <f>CY2305</f>
        <v>0</v>
      </c>
      <c r="Z2305" s="71">
        <f>DA2305+DC2305+DE2305</f>
        <v>0</v>
      </c>
      <c r="AA2305" s="71">
        <f>CW2305</f>
        <v>0</v>
      </c>
      <c r="AB2305" s="71"/>
      <c r="AC2305" s="71">
        <v>0</v>
      </c>
      <c r="AD2305" s="71">
        <f>W2305+X2305+Y2305+Z2305+AA2305+AB2305+AC2305</f>
        <v>0</v>
      </c>
      <c r="AE2305" s="72">
        <v>0</v>
      </c>
      <c r="AF2305" s="5"/>
      <c r="AG2305" s="6"/>
      <c r="AH2305" s="27" t="s">
        <v>3392</v>
      </c>
      <c r="AI2305" s="44" t="s">
        <v>3393</v>
      </c>
      <c r="AJ2305" s="26"/>
      <c r="AK2305" s="5"/>
      <c r="AL2305" s="82" t="s">
        <v>5161</v>
      </c>
      <c r="AM2305" s="76"/>
      <c r="AN2305" s="76"/>
      <c r="AO2305" s="76"/>
      <c r="AP2305" s="76"/>
      <c r="AQ2305" s="76"/>
      <c r="AR2305" s="76"/>
      <c r="AS2305" s="76"/>
      <c r="AT2305" s="76"/>
      <c r="AU2305" s="76"/>
      <c r="AV2305" s="76"/>
      <c r="AW2305" s="76"/>
      <c r="AX2305" s="76">
        <f>+AW2305*600000</f>
        <v>0</v>
      </c>
      <c r="AY2305" s="76"/>
      <c r="AZ2305" s="76">
        <f>+AY2305*70000</f>
        <v>0</v>
      </c>
      <c r="BA2305" s="76"/>
      <c r="BB2305" s="76"/>
      <c r="BC2305" s="76"/>
      <c r="BD2305" s="76">
        <f>+BC2305*30000</f>
        <v>0</v>
      </c>
      <c r="BE2305" s="76"/>
      <c r="BF2305" s="76"/>
      <c r="BG2305" s="76"/>
      <c r="BH2305" s="76"/>
      <c r="BI2305" s="76"/>
      <c r="BJ2305" s="76"/>
      <c r="BK2305" s="76"/>
      <c r="BL2305" s="76">
        <f>+BK2305*31500</f>
        <v>0</v>
      </c>
      <c r="BM2305" s="76"/>
      <c r="BN2305" s="76"/>
      <c r="BO2305" s="76"/>
      <c r="BP2305" s="76"/>
      <c r="BQ2305" s="76"/>
      <c r="BR2305" s="76"/>
      <c r="BS2305" s="76"/>
      <c r="BT2305" s="76"/>
      <c r="BU2305" s="76"/>
      <c r="BV2305" s="76"/>
      <c r="BW2305" s="76"/>
      <c r="BX2305" s="76"/>
      <c r="BY2305" s="76"/>
      <c r="BZ2305" s="76"/>
      <c r="CA2305" s="76"/>
      <c r="CB2305" s="76"/>
      <c r="CC2305" s="76"/>
      <c r="CD2305" s="76"/>
      <c r="CE2305" s="76"/>
      <c r="CF2305" s="76">
        <f>+CE2305*28000</f>
        <v>0</v>
      </c>
      <c r="CG2305" s="76"/>
      <c r="CH2305" s="76">
        <f>+CG2305*22500</f>
        <v>0</v>
      </c>
      <c r="CI2305" s="76"/>
      <c r="CJ2305" s="76">
        <f>+CI2305*26000</f>
        <v>0</v>
      </c>
      <c r="CK2305" s="76"/>
      <c r="CL2305" s="76"/>
      <c r="CM2305" s="76"/>
      <c r="CN2305" s="76">
        <f>+CM2305*22000</f>
        <v>0</v>
      </c>
      <c r="CO2305" s="76"/>
      <c r="CP2305" s="76">
        <f>+CO2305*46000</f>
        <v>0</v>
      </c>
      <c r="CQ2305" s="76"/>
      <c r="CR2305" s="76">
        <f>+CQ2305*49000</f>
        <v>0</v>
      </c>
      <c r="CS2305" s="76"/>
      <c r="CT2305" s="76"/>
      <c r="CU2305" s="56">
        <f>AN2305+AP2305+AR2305+AT2305+AV2305+AX2305+AZ2305+BB2305+BD2305+BF2305+BH2305+BJ2305+BL2305+BN2305+BP2305+BR2305+BT2305+BV2305+BX2305+BZ2305+CB2305+CD2305+CF2305+CH2305+CJ2305+CL2305+CN2305+CP2305+CR2305+CT2305</f>
        <v>0</v>
      </c>
      <c r="CV2305" s="76"/>
      <c r="CW2305" s="76">
        <f>+CV2305*1100</f>
        <v>0</v>
      </c>
      <c r="CX2305" s="76"/>
      <c r="CY2305" s="76">
        <f>+CX2305*106250</f>
        <v>0</v>
      </c>
      <c r="CZ2305" s="76"/>
      <c r="DA2305" s="76">
        <f>+CZ2305*34500</f>
        <v>0</v>
      </c>
      <c r="DB2305" s="76"/>
      <c r="DC2305" s="76">
        <f>+DB2305*25000</f>
        <v>0</v>
      </c>
      <c r="DD2305" s="219"/>
      <c r="DE2305" s="219"/>
      <c r="DF2305" s="166"/>
      <c r="DG2305" s="116"/>
      <c r="DH2305" s="117"/>
      <c r="DI2305" s="24"/>
      <c r="DJ2305" s="24"/>
      <c r="DK2305" s="24"/>
      <c r="DL2305" s="24"/>
      <c r="DM2305" s="24"/>
      <c r="DN2305" s="24"/>
      <c r="DO2305" s="24"/>
      <c r="DP2305" s="24"/>
      <c r="DQ2305" s="24"/>
      <c r="DR2305" s="24"/>
      <c r="DS2305" s="24"/>
      <c r="DT2305" s="24"/>
      <c r="DU2305" s="24"/>
    </row>
    <row r="2306" spans="1:125" s="8" customFormat="1" ht="24" x14ac:dyDescent="0.2">
      <c r="A2306" s="353">
        <v>41465</v>
      </c>
      <c r="B2306" s="352" t="s">
        <v>2881</v>
      </c>
      <c r="C2306" s="354" t="s">
        <v>2547</v>
      </c>
      <c r="D2306" s="354" t="s">
        <v>2882</v>
      </c>
      <c r="E2306" s="75" t="str">
        <f>VLOOKUP(B2306&amp;C2306,Divipola!$C$2:$F$1138,4,FALSE)</f>
        <v>08638</v>
      </c>
      <c r="F2306" s="163"/>
      <c r="G2306" s="163"/>
      <c r="H2306" s="163"/>
      <c r="I2306" s="163"/>
      <c r="J2306" s="163"/>
      <c r="K2306" s="163"/>
      <c r="L2306" s="163"/>
      <c r="M2306" s="163"/>
      <c r="N2306" s="163"/>
      <c r="O2306" s="163"/>
      <c r="P2306" s="163"/>
      <c r="Q2306" s="163"/>
      <c r="R2306" s="163"/>
      <c r="S2306" s="163"/>
      <c r="T2306" s="163"/>
      <c r="U2306" s="163"/>
      <c r="V2306" s="134"/>
      <c r="W2306" s="96">
        <v>0</v>
      </c>
      <c r="X2306" s="71">
        <f>CU2306</f>
        <v>0</v>
      </c>
      <c r="Y2306" s="71">
        <f>CY2306</f>
        <v>0</v>
      </c>
      <c r="Z2306" s="71">
        <f>DA2306+DC2306+DE2306</f>
        <v>787339734</v>
      </c>
      <c r="AA2306" s="71">
        <f>CW2306</f>
        <v>0</v>
      </c>
      <c r="AB2306" s="71"/>
      <c r="AC2306" s="71">
        <v>0</v>
      </c>
      <c r="AD2306" s="71">
        <f>W2306+X2306+Y2306+Z2306+AA2306+AB2306+AC2306</f>
        <v>787339734</v>
      </c>
      <c r="AE2306" s="72">
        <v>0</v>
      </c>
      <c r="AF2306" s="5"/>
      <c r="AG2306" s="6"/>
      <c r="AH2306" s="27"/>
      <c r="AI2306" s="44"/>
      <c r="AJ2306" s="26"/>
      <c r="AK2306" s="5"/>
      <c r="AL2306" s="82"/>
      <c r="AM2306" s="76"/>
      <c r="AN2306" s="76"/>
      <c r="AO2306" s="76"/>
      <c r="AP2306" s="76"/>
      <c r="AQ2306" s="76"/>
      <c r="AR2306" s="76"/>
      <c r="AS2306" s="76"/>
      <c r="AT2306" s="76"/>
      <c r="AU2306" s="76"/>
      <c r="AV2306" s="76"/>
      <c r="AW2306" s="76"/>
      <c r="AX2306" s="76">
        <f>+AW2306*600000</f>
        <v>0</v>
      </c>
      <c r="AY2306" s="76"/>
      <c r="AZ2306" s="76">
        <f>+AY2306*70000</f>
        <v>0</v>
      </c>
      <c r="BA2306" s="76"/>
      <c r="BB2306" s="76"/>
      <c r="BC2306" s="76"/>
      <c r="BD2306" s="76">
        <f>+BC2306*30000</f>
        <v>0</v>
      </c>
      <c r="BE2306" s="76"/>
      <c r="BF2306" s="76"/>
      <c r="BG2306" s="76"/>
      <c r="BH2306" s="76"/>
      <c r="BI2306" s="76"/>
      <c r="BJ2306" s="76"/>
      <c r="BK2306" s="76"/>
      <c r="BL2306" s="76">
        <f>+BK2306*31500</f>
        <v>0</v>
      </c>
      <c r="BM2306" s="76"/>
      <c r="BN2306" s="76"/>
      <c r="BO2306" s="76"/>
      <c r="BP2306" s="76"/>
      <c r="BQ2306" s="76"/>
      <c r="BR2306" s="76"/>
      <c r="BS2306" s="76"/>
      <c r="BT2306" s="76"/>
      <c r="BU2306" s="76"/>
      <c r="BV2306" s="76"/>
      <c r="BW2306" s="76"/>
      <c r="BX2306" s="76"/>
      <c r="BY2306" s="76"/>
      <c r="BZ2306" s="76"/>
      <c r="CA2306" s="76"/>
      <c r="CB2306" s="76"/>
      <c r="CC2306" s="76"/>
      <c r="CD2306" s="76"/>
      <c r="CE2306" s="76"/>
      <c r="CF2306" s="76">
        <f>+CE2306*28000</f>
        <v>0</v>
      </c>
      <c r="CG2306" s="76"/>
      <c r="CH2306" s="76">
        <f>+CG2306*22500</f>
        <v>0</v>
      </c>
      <c r="CI2306" s="76"/>
      <c r="CJ2306" s="76">
        <f>+CI2306*26000</f>
        <v>0</v>
      </c>
      <c r="CK2306" s="76"/>
      <c r="CL2306" s="76"/>
      <c r="CM2306" s="76"/>
      <c r="CN2306" s="76">
        <f>+CM2306*22000</f>
        <v>0</v>
      </c>
      <c r="CO2306" s="76"/>
      <c r="CP2306" s="76">
        <f>+CO2306*46000</f>
        <v>0</v>
      </c>
      <c r="CQ2306" s="76"/>
      <c r="CR2306" s="76">
        <f>+CQ2306*49000</f>
        <v>0</v>
      </c>
      <c r="CS2306" s="76"/>
      <c r="CT2306" s="76"/>
      <c r="CU2306" s="56">
        <f>AN2306+AP2306+AR2306+AT2306+AV2306+AX2306+AZ2306+BB2306+BD2306+BF2306+BH2306+BJ2306+BL2306+BN2306+BP2306+BR2306+BT2306+BV2306+BX2306+BZ2306+CB2306+CD2306+CF2306+CH2306+CJ2306+CL2306+CN2306+CP2306+CR2306+CT2306</f>
        <v>0</v>
      </c>
      <c r="CV2306" s="76"/>
      <c r="CW2306" s="76">
        <f>+CV2306*1100</f>
        <v>0</v>
      </c>
      <c r="CX2306" s="76"/>
      <c r="CY2306" s="76">
        <f>+CX2306*106250</f>
        <v>0</v>
      </c>
      <c r="CZ2306" s="76"/>
      <c r="DA2306" s="76">
        <f>+CZ2306*34500</f>
        <v>0</v>
      </c>
      <c r="DB2306" s="76"/>
      <c r="DC2306" s="76">
        <f>+DB2306*25000</f>
        <v>0</v>
      </c>
      <c r="DD2306" s="222" t="s">
        <v>6537</v>
      </c>
      <c r="DE2306" s="309">
        <v>787339734</v>
      </c>
      <c r="DF2306" s="166"/>
      <c r="DG2306" s="134" t="s">
        <v>6536</v>
      </c>
      <c r="DH2306" s="117"/>
      <c r="DI2306" s="24"/>
      <c r="DJ2306" s="24"/>
      <c r="DK2306" s="24"/>
      <c r="DL2306" s="24"/>
      <c r="DM2306" s="24"/>
      <c r="DN2306" s="24"/>
      <c r="DO2306" s="24"/>
      <c r="DP2306" s="24"/>
      <c r="DQ2306" s="24"/>
      <c r="DR2306" s="24"/>
      <c r="DS2306" s="24"/>
      <c r="DT2306" s="24"/>
      <c r="DU2306" s="24"/>
    </row>
    <row r="2307" spans="1:125" s="8" customFormat="1" ht="192" x14ac:dyDescent="0.2">
      <c r="A2307" s="97">
        <v>41465</v>
      </c>
      <c r="B2307" s="60" t="s">
        <v>529</v>
      </c>
      <c r="C2307" s="55" t="s">
        <v>529</v>
      </c>
      <c r="D2307" s="55" t="s">
        <v>2849</v>
      </c>
      <c r="E2307" s="75" t="str">
        <f>VLOOKUP(B2307&amp;C2307,Divipola!$C$2:$F$1138,4,FALSE)</f>
        <v>11001</v>
      </c>
      <c r="F2307" s="87">
        <v>3</v>
      </c>
      <c r="G2307" s="87">
        <v>19</v>
      </c>
      <c r="H2307" s="87"/>
      <c r="I2307" s="87"/>
      <c r="J2307" s="87"/>
      <c r="K2307" s="87"/>
      <c r="L2307" s="87"/>
      <c r="M2307" s="87"/>
      <c r="N2307" s="87"/>
      <c r="O2307" s="87"/>
      <c r="P2307" s="87"/>
      <c r="Q2307" s="87"/>
      <c r="R2307" s="87"/>
      <c r="S2307" s="87"/>
      <c r="T2307" s="87"/>
      <c r="U2307" s="88"/>
      <c r="V2307" s="89"/>
      <c r="W2307" s="96">
        <v>0</v>
      </c>
      <c r="X2307" s="71">
        <f>CU2307</f>
        <v>0</v>
      </c>
      <c r="Y2307" s="71">
        <f>CY2307</f>
        <v>0</v>
      </c>
      <c r="Z2307" s="71">
        <f>DA2307+DC2307+DE2307</f>
        <v>0</v>
      </c>
      <c r="AA2307" s="71">
        <f>CW2307</f>
        <v>0</v>
      </c>
      <c r="AB2307" s="71"/>
      <c r="AC2307" s="71">
        <v>0</v>
      </c>
      <c r="AD2307" s="71">
        <f>W2307+X2307+Y2307+Z2307+AA2307+AB2307+AC2307</f>
        <v>0</v>
      </c>
      <c r="AE2307" s="72">
        <v>0</v>
      </c>
      <c r="AF2307" s="5"/>
      <c r="AG2307" s="6"/>
      <c r="AH2307" s="27"/>
      <c r="AI2307" s="44"/>
      <c r="AJ2307" s="26"/>
      <c r="AK2307" s="5"/>
      <c r="AL2307" s="82" t="s">
        <v>5183</v>
      </c>
      <c r="AM2307" s="76"/>
      <c r="AN2307" s="76"/>
      <c r="AO2307" s="76"/>
      <c r="AP2307" s="76"/>
      <c r="AQ2307" s="76"/>
      <c r="AR2307" s="76"/>
      <c r="AS2307" s="76"/>
      <c r="AT2307" s="76"/>
      <c r="AU2307" s="76"/>
      <c r="AV2307" s="76"/>
      <c r="AW2307" s="76"/>
      <c r="AX2307" s="76">
        <f>+AW2307*600000</f>
        <v>0</v>
      </c>
      <c r="AY2307" s="76"/>
      <c r="AZ2307" s="76">
        <f>+AY2307*70000</f>
        <v>0</v>
      </c>
      <c r="BA2307" s="76"/>
      <c r="BB2307" s="76"/>
      <c r="BC2307" s="76"/>
      <c r="BD2307" s="76">
        <f>+BC2307*30000</f>
        <v>0</v>
      </c>
      <c r="BE2307" s="76"/>
      <c r="BF2307" s="76"/>
      <c r="BG2307" s="76"/>
      <c r="BH2307" s="76"/>
      <c r="BI2307" s="76"/>
      <c r="BJ2307" s="76"/>
      <c r="BK2307" s="76"/>
      <c r="BL2307" s="76">
        <f>+BK2307*31500</f>
        <v>0</v>
      </c>
      <c r="BM2307" s="76"/>
      <c r="BN2307" s="76"/>
      <c r="BO2307" s="76"/>
      <c r="BP2307" s="76"/>
      <c r="BQ2307" s="76"/>
      <c r="BR2307" s="76"/>
      <c r="BS2307" s="76"/>
      <c r="BT2307" s="76"/>
      <c r="BU2307" s="76"/>
      <c r="BV2307" s="76"/>
      <c r="BW2307" s="76"/>
      <c r="BX2307" s="76"/>
      <c r="BY2307" s="76"/>
      <c r="BZ2307" s="76"/>
      <c r="CA2307" s="76"/>
      <c r="CB2307" s="76"/>
      <c r="CC2307" s="76"/>
      <c r="CD2307" s="76"/>
      <c r="CE2307" s="76"/>
      <c r="CF2307" s="76">
        <f>+CE2307*28000</f>
        <v>0</v>
      </c>
      <c r="CG2307" s="76"/>
      <c r="CH2307" s="76">
        <f>+CG2307*22500</f>
        <v>0</v>
      </c>
      <c r="CI2307" s="76"/>
      <c r="CJ2307" s="76">
        <f>+CI2307*26000</f>
        <v>0</v>
      </c>
      <c r="CK2307" s="76"/>
      <c r="CL2307" s="76"/>
      <c r="CM2307" s="76"/>
      <c r="CN2307" s="76">
        <f>+CM2307*22000</f>
        <v>0</v>
      </c>
      <c r="CO2307" s="76"/>
      <c r="CP2307" s="76">
        <f>+CO2307*46000</f>
        <v>0</v>
      </c>
      <c r="CQ2307" s="76"/>
      <c r="CR2307" s="76">
        <f>+CQ2307*49000</f>
        <v>0</v>
      </c>
      <c r="CS2307" s="76"/>
      <c r="CT2307" s="76"/>
      <c r="CU2307" s="56">
        <f>AN2307+AP2307+AR2307+AT2307+AV2307+AX2307+AZ2307+BB2307+BD2307+BF2307+BH2307+BJ2307+BL2307+BN2307+BP2307+BR2307+BT2307+BV2307+BX2307+BZ2307+CB2307+CD2307+CF2307+CH2307+CJ2307+CL2307+CN2307+CP2307+CR2307+CT2307</f>
        <v>0</v>
      </c>
      <c r="CV2307" s="76"/>
      <c r="CW2307" s="76">
        <f>+CV2307*1100</f>
        <v>0</v>
      </c>
      <c r="CX2307" s="76"/>
      <c r="CY2307" s="76">
        <f>+CX2307*106250</f>
        <v>0</v>
      </c>
      <c r="CZ2307" s="76"/>
      <c r="DA2307" s="76">
        <f>+CZ2307*34500</f>
        <v>0</v>
      </c>
      <c r="DB2307" s="76"/>
      <c r="DC2307" s="76">
        <f>+DB2307*25000</f>
        <v>0</v>
      </c>
      <c r="DD2307" s="219"/>
      <c r="DE2307" s="219"/>
      <c r="DF2307" s="166"/>
      <c r="DG2307" s="116"/>
      <c r="DH2307" s="117"/>
      <c r="DI2307" s="24"/>
      <c r="DJ2307" s="24"/>
      <c r="DK2307" s="24"/>
      <c r="DL2307" s="24"/>
      <c r="DM2307" s="24"/>
      <c r="DN2307" s="24"/>
      <c r="DO2307" s="24"/>
      <c r="DP2307" s="24"/>
      <c r="DQ2307" s="24"/>
      <c r="DR2307" s="24"/>
      <c r="DS2307" s="24"/>
      <c r="DT2307" s="24"/>
      <c r="DU2307" s="24"/>
    </row>
    <row r="2308" spans="1:125" s="8" customFormat="1" ht="60" x14ac:dyDescent="0.2">
      <c r="A2308" s="226">
        <v>41465</v>
      </c>
      <c r="B2308" s="352" t="s">
        <v>2700</v>
      </c>
      <c r="C2308" s="227" t="s">
        <v>704</v>
      </c>
      <c r="D2308" s="227" t="s">
        <v>2849</v>
      </c>
      <c r="E2308" s="75" t="str">
        <f>VLOOKUP(B2308&amp;C2308,Divipola!$C$2:$F$1138,4,FALSE)</f>
        <v>15810</v>
      </c>
      <c r="F2308" s="87">
        <v>2</v>
      </c>
      <c r="G2308" s="87">
        <v>8</v>
      </c>
      <c r="H2308" s="87"/>
      <c r="I2308" s="87"/>
      <c r="J2308" s="87"/>
      <c r="K2308" s="87"/>
      <c r="L2308" s="87"/>
      <c r="M2308" s="87"/>
      <c r="N2308" s="87"/>
      <c r="O2308" s="87"/>
      <c r="P2308" s="87"/>
      <c r="Q2308" s="87"/>
      <c r="R2308" s="87"/>
      <c r="S2308" s="87"/>
      <c r="T2308" s="87"/>
      <c r="U2308" s="88"/>
      <c r="V2308" s="89"/>
      <c r="W2308" s="96">
        <v>0</v>
      </c>
      <c r="X2308" s="71">
        <f>CU2308</f>
        <v>0</v>
      </c>
      <c r="Y2308" s="71">
        <f>CY2308</f>
        <v>0</v>
      </c>
      <c r="Z2308" s="71">
        <f>DA2308+DC2308+DE2308</f>
        <v>0</v>
      </c>
      <c r="AA2308" s="71">
        <f>CW2308</f>
        <v>0</v>
      </c>
      <c r="AB2308" s="71"/>
      <c r="AC2308" s="71">
        <v>0</v>
      </c>
      <c r="AD2308" s="71">
        <f>W2308+X2308+Y2308+Z2308+AA2308+AB2308+AC2308</f>
        <v>0</v>
      </c>
      <c r="AE2308" s="72">
        <v>0</v>
      </c>
      <c r="AF2308" s="5"/>
      <c r="AG2308" s="6"/>
      <c r="AH2308" s="27" t="s">
        <v>3392</v>
      </c>
      <c r="AI2308" s="44" t="s">
        <v>3393</v>
      </c>
      <c r="AJ2308" s="26"/>
      <c r="AK2308" s="5"/>
      <c r="AL2308" s="82" t="s">
        <v>5169</v>
      </c>
      <c r="AM2308" s="76"/>
      <c r="AN2308" s="76"/>
      <c r="AO2308" s="76"/>
      <c r="AP2308" s="76"/>
      <c r="AQ2308" s="76"/>
      <c r="AR2308" s="76"/>
      <c r="AS2308" s="76"/>
      <c r="AT2308" s="76"/>
      <c r="AU2308" s="76"/>
      <c r="AV2308" s="76"/>
      <c r="AW2308" s="76"/>
      <c r="AX2308" s="76">
        <f>+AW2308*600000</f>
        <v>0</v>
      </c>
      <c r="AY2308" s="76"/>
      <c r="AZ2308" s="76">
        <f>+AY2308*70000</f>
        <v>0</v>
      </c>
      <c r="BA2308" s="76"/>
      <c r="BB2308" s="76"/>
      <c r="BC2308" s="76"/>
      <c r="BD2308" s="76">
        <f>+BC2308*30000</f>
        <v>0</v>
      </c>
      <c r="BE2308" s="76"/>
      <c r="BF2308" s="76"/>
      <c r="BG2308" s="76"/>
      <c r="BH2308" s="76"/>
      <c r="BI2308" s="76"/>
      <c r="BJ2308" s="76"/>
      <c r="BK2308" s="76"/>
      <c r="BL2308" s="76">
        <f>+BK2308*31500</f>
        <v>0</v>
      </c>
      <c r="BM2308" s="76"/>
      <c r="BN2308" s="76"/>
      <c r="BO2308" s="76"/>
      <c r="BP2308" s="76"/>
      <c r="BQ2308" s="76"/>
      <c r="BR2308" s="76"/>
      <c r="BS2308" s="76"/>
      <c r="BT2308" s="76"/>
      <c r="BU2308" s="76"/>
      <c r="BV2308" s="76"/>
      <c r="BW2308" s="76"/>
      <c r="BX2308" s="76"/>
      <c r="BY2308" s="76"/>
      <c r="BZ2308" s="76"/>
      <c r="CA2308" s="76"/>
      <c r="CB2308" s="76"/>
      <c r="CC2308" s="76"/>
      <c r="CD2308" s="76"/>
      <c r="CE2308" s="76"/>
      <c r="CF2308" s="76">
        <f>+CE2308*28000</f>
        <v>0</v>
      </c>
      <c r="CG2308" s="76"/>
      <c r="CH2308" s="76">
        <f>+CG2308*22500</f>
        <v>0</v>
      </c>
      <c r="CI2308" s="76"/>
      <c r="CJ2308" s="76">
        <f>+CI2308*26000</f>
        <v>0</v>
      </c>
      <c r="CK2308" s="76"/>
      <c r="CL2308" s="76"/>
      <c r="CM2308" s="76"/>
      <c r="CN2308" s="76">
        <f>+CM2308*22000</f>
        <v>0</v>
      </c>
      <c r="CO2308" s="76"/>
      <c r="CP2308" s="76">
        <f>+CO2308*46000</f>
        <v>0</v>
      </c>
      <c r="CQ2308" s="76"/>
      <c r="CR2308" s="76">
        <f>+CQ2308*49000</f>
        <v>0</v>
      </c>
      <c r="CS2308" s="76"/>
      <c r="CT2308" s="76"/>
      <c r="CU2308" s="56">
        <f>AN2308+AP2308+AR2308+AT2308+AV2308+AX2308+AZ2308+BB2308+BD2308+BF2308+BH2308+BJ2308+BL2308+BN2308+BP2308+BR2308+BT2308+BV2308+BX2308+BZ2308+CB2308+CD2308+CF2308+CH2308+CJ2308+CL2308+CN2308+CP2308+CR2308+CT2308</f>
        <v>0</v>
      </c>
      <c r="CV2308" s="76"/>
      <c r="CW2308" s="76">
        <f>+CV2308*1100</f>
        <v>0</v>
      </c>
      <c r="CX2308" s="76"/>
      <c r="CY2308" s="76">
        <f>+CX2308*106250</f>
        <v>0</v>
      </c>
      <c r="CZ2308" s="76"/>
      <c r="DA2308" s="76">
        <f>+CZ2308*34500</f>
        <v>0</v>
      </c>
      <c r="DB2308" s="76"/>
      <c r="DC2308" s="76">
        <f>+DB2308*25000</f>
        <v>0</v>
      </c>
      <c r="DD2308" s="219"/>
      <c r="DE2308" s="219"/>
      <c r="DF2308" s="166"/>
      <c r="DG2308" s="116"/>
      <c r="DH2308" s="117"/>
      <c r="DI2308" s="24"/>
      <c r="DJ2308" s="24"/>
      <c r="DK2308" s="24"/>
      <c r="DL2308" s="24"/>
      <c r="DM2308" s="24"/>
      <c r="DN2308" s="24"/>
      <c r="DO2308" s="24"/>
      <c r="DP2308" s="24"/>
      <c r="DQ2308" s="24"/>
      <c r="DR2308" s="24"/>
      <c r="DS2308" s="24"/>
      <c r="DT2308" s="24"/>
      <c r="DU2308" s="24"/>
    </row>
    <row r="2309" spans="1:125" s="8" customFormat="1" ht="84" x14ac:dyDescent="0.2">
      <c r="A2309" s="226">
        <v>41465</v>
      </c>
      <c r="B2309" s="208" t="s">
        <v>2855</v>
      </c>
      <c r="C2309" s="227" t="s">
        <v>503</v>
      </c>
      <c r="D2309" s="227" t="s">
        <v>2882</v>
      </c>
      <c r="E2309" s="75" t="str">
        <f>VLOOKUP(B2309&amp;C2309,Divipola!$C$2:$F$1138,4,FALSE)</f>
        <v>20175</v>
      </c>
      <c r="F2309" s="87"/>
      <c r="G2309" s="87"/>
      <c r="H2309" s="87"/>
      <c r="I2309" s="87">
        <v>60</v>
      </c>
      <c r="J2309" s="87">
        <v>12</v>
      </c>
      <c r="K2309" s="87"/>
      <c r="L2309" s="87">
        <v>12</v>
      </c>
      <c r="M2309" s="87"/>
      <c r="N2309" s="87"/>
      <c r="O2309" s="87"/>
      <c r="P2309" s="87"/>
      <c r="Q2309" s="87"/>
      <c r="R2309" s="87"/>
      <c r="S2309" s="87">
        <v>2</v>
      </c>
      <c r="T2309" s="87"/>
      <c r="U2309" s="88"/>
      <c r="V2309" s="89"/>
      <c r="W2309" s="96">
        <v>0</v>
      </c>
      <c r="X2309" s="71">
        <f>CU2309</f>
        <v>0</v>
      </c>
      <c r="Y2309" s="71">
        <f>CY2309</f>
        <v>0</v>
      </c>
      <c r="Z2309" s="71">
        <f>DA2309+DC2309+DE2309</f>
        <v>0</v>
      </c>
      <c r="AA2309" s="71">
        <f>CW2309</f>
        <v>0</v>
      </c>
      <c r="AB2309" s="71"/>
      <c r="AC2309" s="71">
        <v>0</v>
      </c>
      <c r="AD2309" s="71">
        <f>W2309+X2309+Y2309+Z2309+AA2309+AB2309+AC2309</f>
        <v>0</v>
      </c>
      <c r="AE2309" s="72">
        <v>0</v>
      </c>
      <c r="AF2309" s="5"/>
      <c r="AG2309" s="6"/>
      <c r="AH2309" s="27"/>
      <c r="AI2309" s="44"/>
      <c r="AJ2309" s="26"/>
      <c r="AK2309" s="5"/>
      <c r="AL2309" s="82" t="s">
        <v>5204</v>
      </c>
      <c r="AM2309" s="76"/>
      <c r="AN2309" s="76"/>
      <c r="AO2309" s="76"/>
      <c r="AP2309" s="76"/>
      <c r="AQ2309" s="76"/>
      <c r="AR2309" s="76"/>
      <c r="AS2309" s="76"/>
      <c r="AT2309" s="76"/>
      <c r="AU2309" s="76"/>
      <c r="AV2309" s="76"/>
      <c r="AW2309" s="76"/>
      <c r="AX2309" s="76">
        <f>+AW2309*600000</f>
        <v>0</v>
      </c>
      <c r="AY2309" s="76"/>
      <c r="AZ2309" s="76">
        <f>+AY2309*70000</f>
        <v>0</v>
      </c>
      <c r="BA2309" s="76"/>
      <c r="BB2309" s="76"/>
      <c r="BC2309" s="76"/>
      <c r="BD2309" s="76">
        <f>+BC2309*30000</f>
        <v>0</v>
      </c>
      <c r="BE2309" s="76"/>
      <c r="BF2309" s="76"/>
      <c r="BG2309" s="76"/>
      <c r="BH2309" s="76"/>
      <c r="BI2309" s="76"/>
      <c r="BJ2309" s="76"/>
      <c r="BK2309" s="76"/>
      <c r="BL2309" s="76">
        <f>+BK2309*31500</f>
        <v>0</v>
      </c>
      <c r="BM2309" s="76"/>
      <c r="BN2309" s="76"/>
      <c r="BO2309" s="76"/>
      <c r="BP2309" s="76"/>
      <c r="BQ2309" s="76"/>
      <c r="BR2309" s="76"/>
      <c r="BS2309" s="76"/>
      <c r="BT2309" s="76"/>
      <c r="BU2309" s="76"/>
      <c r="BV2309" s="76"/>
      <c r="BW2309" s="76"/>
      <c r="BX2309" s="76"/>
      <c r="BY2309" s="76"/>
      <c r="BZ2309" s="76"/>
      <c r="CA2309" s="76"/>
      <c r="CB2309" s="76"/>
      <c r="CC2309" s="76"/>
      <c r="CD2309" s="76"/>
      <c r="CE2309" s="76"/>
      <c r="CF2309" s="76">
        <f>+CE2309*28000</f>
        <v>0</v>
      </c>
      <c r="CG2309" s="76"/>
      <c r="CH2309" s="76">
        <f>+CG2309*22500</f>
        <v>0</v>
      </c>
      <c r="CI2309" s="76"/>
      <c r="CJ2309" s="76">
        <f>+CI2309*26000</f>
        <v>0</v>
      </c>
      <c r="CK2309" s="76"/>
      <c r="CL2309" s="76"/>
      <c r="CM2309" s="76"/>
      <c r="CN2309" s="76">
        <f>+CM2309*22000</f>
        <v>0</v>
      </c>
      <c r="CO2309" s="76"/>
      <c r="CP2309" s="76">
        <f>+CO2309*46000</f>
        <v>0</v>
      </c>
      <c r="CQ2309" s="76"/>
      <c r="CR2309" s="76">
        <f>+CQ2309*49000</f>
        <v>0</v>
      </c>
      <c r="CS2309" s="76"/>
      <c r="CT2309" s="76"/>
      <c r="CU2309" s="56">
        <f>AN2309+AP2309+AR2309+AT2309+AV2309+AX2309+AZ2309+BB2309+BD2309+BF2309+BH2309+BJ2309+BL2309+BN2309+BP2309+BR2309+BT2309+BV2309+BX2309+BZ2309+CB2309+CD2309+CF2309+CH2309+CJ2309+CL2309+CN2309+CP2309+CR2309+CT2309</f>
        <v>0</v>
      </c>
      <c r="CV2309" s="76"/>
      <c r="CW2309" s="76">
        <f>+CV2309*1100</f>
        <v>0</v>
      </c>
      <c r="CX2309" s="76"/>
      <c r="CY2309" s="76">
        <f>+CX2309*106250</f>
        <v>0</v>
      </c>
      <c r="CZ2309" s="76"/>
      <c r="DA2309" s="76">
        <f>+CZ2309*34500</f>
        <v>0</v>
      </c>
      <c r="DB2309" s="76"/>
      <c r="DC2309" s="76">
        <f>+DB2309*25000</f>
        <v>0</v>
      </c>
      <c r="DD2309" s="219"/>
      <c r="DE2309" s="219"/>
      <c r="DF2309" s="166"/>
      <c r="DG2309" s="116"/>
      <c r="DH2309" s="117"/>
      <c r="DI2309" s="24"/>
      <c r="DJ2309" s="24"/>
      <c r="DK2309" s="24"/>
      <c r="DL2309" s="24"/>
      <c r="DM2309" s="24"/>
      <c r="DN2309" s="24"/>
      <c r="DO2309" s="24"/>
      <c r="DP2309" s="24"/>
      <c r="DQ2309" s="24"/>
      <c r="DR2309" s="24"/>
      <c r="DS2309" s="24"/>
      <c r="DT2309" s="24"/>
      <c r="DU2309" s="24"/>
    </row>
    <row r="2310" spans="1:125" s="8" customFormat="1" ht="48" x14ac:dyDescent="0.2">
      <c r="A2310" s="226">
        <v>41465</v>
      </c>
      <c r="B2310" s="352" t="s">
        <v>2855</v>
      </c>
      <c r="C2310" s="354" t="s">
        <v>907</v>
      </c>
      <c r="D2310" s="354" t="s">
        <v>2859</v>
      </c>
      <c r="E2310" s="75" t="str">
        <f>VLOOKUP(B2310&amp;C2310,Divipola!$C$2:$F$1138,4,FALSE)</f>
        <v>20228</v>
      </c>
      <c r="F2310" s="87"/>
      <c r="G2310" s="87"/>
      <c r="H2310" s="87"/>
      <c r="I2310" s="87">
        <v>5</v>
      </c>
      <c r="J2310" s="87">
        <v>1</v>
      </c>
      <c r="K2310" s="87">
        <v>1</v>
      </c>
      <c r="L2310" s="87"/>
      <c r="M2310" s="87"/>
      <c r="N2310" s="87"/>
      <c r="O2310" s="87"/>
      <c r="P2310" s="87"/>
      <c r="Q2310" s="87"/>
      <c r="R2310" s="87"/>
      <c r="S2310" s="87"/>
      <c r="T2310" s="87"/>
      <c r="U2310" s="88"/>
      <c r="V2310" s="89"/>
      <c r="W2310" s="96">
        <v>0</v>
      </c>
      <c r="X2310" s="71">
        <f>CU2310</f>
        <v>0</v>
      </c>
      <c r="Y2310" s="71">
        <f>CY2310</f>
        <v>0</v>
      </c>
      <c r="Z2310" s="71">
        <f>DA2310+DC2310+DE2310</f>
        <v>0</v>
      </c>
      <c r="AA2310" s="71">
        <f>CW2310</f>
        <v>0</v>
      </c>
      <c r="AB2310" s="71"/>
      <c r="AC2310" s="71">
        <v>0</v>
      </c>
      <c r="AD2310" s="71">
        <f>W2310+X2310+Y2310+Z2310+AA2310+AB2310+AC2310</f>
        <v>0</v>
      </c>
      <c r="AE2310" s="72">
        <v>0</v>
      </c>
      <c r="AF2310" s="5"/>
      <c r="AG2310" s="6"/>
      <c r="AH2310" s="27" t="s">
        <v>3392</v>
      </c>
      <c r="AI2310" s="44" t="s">
        <v>3393</v>
      </c>
      <c r="AJ2310" s="26"/>
      <c r="AK2310" s="5"/>
      <c r="AL2310" s="82" t="s">
        <v>5168</v>
      </c>
      <c r="AM2310" s="76"/>
      <c r="AN2310" s="76"/>
      <c r="AO2310" s="76"/>
      <c r="AP2310" s="76"/>
      <c r="AQ2310" s="76"/>
      <c r="AR2310" s="76"/>
      <c r="AS2310" s="76"/>
      <c r="AT2310" s="76"/>
      <c r="AU2310" s="76"/>
      <c r="AV2310" s="76"/>
      <c r="AW2310" s="76"/>
      <c r="AX2310" s="76">
        <f>+AW2310*600000</f>
        <v>0</v>
      </c>
      <c r="AY2310" s="76"/>
      <c r="AZ2310" s="76">
        <f>+AY2310*70000</f>
        <v>0</v>
      </c>
      <c r="BA2310" s="76"/>
      <c r="BB2310" s="76"/>
      <c r="BC2310" s="76"/>
      <c r="BD2310" s="76">
        <f>+BC2310*30000</f>
        <v>0</v>
      </c>
      <c r="BE2310" s="76"/>
      <c r="BF2310" s="76"/>
      <c r="BG2310" s="76"/>
      <c r="BH2310" s="76"/>
      <c r="BI2310" s="76"/>
      <c r="BJ2310" s="76"/>
      <c r="BK2310" s="76"/>
      <c r="BL2310" s="76">
        <f>+BK2310*31500</f>
        <v>0</v>
      </c>
      <c r="BM2310" s="76"/>
      <c r="BN2310" s="76"/>
      <c r="BO2310" s="76"/>
      <c r="BP2310" s="76"/>
      <c r="BQ2310" s="76"/>
      <c r="BR2310" s="76"/>
      <c r="BS2310" s="76"/>
      <c r="BT2310" s="76"/>
      <c r="BU2310" s="76"/>
      <c r="BV2310" s="76"/>
      <c r="BW2310" s="76"/>
      <c r="BX2310" s="76"/>
      <c r="BY2310" s="76"/>
      <c r="BZ2310" s="76"/>
      <c r="CA2310" s="76"/>
      <c r="CB2310" s="76"/>
      <c r="CC2310" s="76"/>
      <c r="CD2310" s="76"/>
      <c r="CE2310" s="76"/>
      <c r="CF2310" s="76">
        <f>+CE2310*28000</f>
        <v>0</v>
      </c>
      <c r="CG2310" s="76"/>
      <c r="CH2310" s="76">
        <f>+CG2310*22500</f>
        <v>0</v>
      </c>
      <c r="CI2310" s="76"/>
      <c r="CJ2310" s="76">
        <f>+CI2310*26000</f>
        <v>0</v>
      </c>
      <c r="CK2310" s="76"/>
      <c r="CL2310" s="76"/>
      <c r="CM2310" s="76"/>
      <c r="CN2310" s="76">
        <f>+CM2310*22000</f>
        <v>0</v>
      </c>
      <c r="CO2310" s="76"/>
      <c r="CP2310" s="76">
        <f>+CO2310*46000</f>
        <v>0</v>
      </c>
      <c r="CQ2310" s="76"/>
      <c r="CR2310" s="76">
        <f>+CQ2310*49000</f>
        <v>0</v>
      </c>
      <c r="CS2310" s="76"/>
      <c r="CT2310" s="76"/>
      <c r="CU2310" s="56">
        <f>AN2310+AP2310+AR2310+AT2310+AV2310+AX2310+AZ2310+BB2310+BD2310+BF2310+BH2310+BJ2310+BL2310+BN2310+BP2310+BR2310+BT2310+BV2310+BX2310+BZ2310+CB2310+CD2310+CF2310+CH2310+CJ2310+CL2310+CN2310+CP2310+CR2310+CT2310</f>
        <v>0</v>
      </c>
      <c r="CV2310" s="76"/>
      <c r="CW2310" s="76">
        <f>+CV2310*1100</f>
        <v>0</v>
      </c>
      <c r="CX2310" s="76"/>
      <c r="CY2310" s="76">
        <f>+CX2310*106250</f>
        <v>0</v>
      </c>
      <c r="CZ2310" s="76"/>
      <c r="DA2310" s="76">
        <f>+CZ2310*34500</f>
        <v>0</v>
      </c>
      <c r="DB2310" s="76"/>
      <c r="DC2310" s="76">
        <f>+DB2310*25000</f>
        <v>0</v>
      </c>
      <c r="DD2310" s="219"/>
      <c r="DE2310" s="219"/>
      <c r="DF2310" s="166"/>
      <c r="DG2310" s="116"/>
      <c r="DH2310" s="117"/>
      <c r="DI2310" s="24"/>
      <c r="DJ2310" s="24"/>
      <c r="DK2310" s="24"/>
      <c r="DL2310" s="24"/>
      <c r="DM2310" s="24"/>
      <c r="DN2310" s="24"/>
      <c r="DO2310" s="24"/>
      <c r="DP2310" s="24"/>
      <c r="DQ2310" s="24"/>
      <c r="DR2310" s="24"/>
      <c r="DS2310" s="24"/>
      <c r="DT2310" s="24"/>
      <c r="DU2310" s="24"/>
    </row>
    <row r="2311" spans="1:125" s="8" customFormat="1" ht="36" x14ac:dyDescent="0.2">
      <c r="A2311" s="226">
        <v>41465</v>
      </c>
      <c r="B2311" s="60" t="s">
        <v>2906</v>
      </c>
      <c r="C2311" s="55" t="s">
        <v>461</v>
      </c>
      <c r="D2311" s="55" t="s">
        <v>2882</v>
      </c>
      <c r="E2311" s="75" t="str">
        <f>VLOOKUP(B2311&amp;C2311,Divipola!$C$2:$F$1138,4,FALSE)</f>
        <v>47692</v>
      </c>
      <c r="F2311" s="87"/>
      <c r="G2311" s="87"/>
      <c r="H2311" s="87"/>
      <c r="I2311" s="87">
        <v>10</v>
      </c>
      <c r="J2311" s="87">
        <v>2</v>
      </c>
      <c r="K2311" s="87"/>
      <c r="L2311" s="87">
        <v>2</v>
      </c>
      <c r="M2311" s="87"/>
      <c r="N2311" s="87"/>
      <c r="O2311" s="87"/>
      <c r="P2311" s="87"/>
      <c r="Q2311" s="87"/>
      <c r="R2311" s="87"/>
      <c r="S2311" s="87"/>
      <c r="T2311" s="87"/>
      <c r="U2311" s="88"/>
      <c r="V2311" s="89"/>
      <c r="W2311" s="96">
        <v>0</v>
      </c>
      <c r="X2311" s="71">
        <f>CU2311</f>
        <v>0</v>
      </c>
      <c r="Y2311" s="71">
        <f>CY2311</f>
        <v>0</v>
      </c>
      <c r="Z2311" s="71">
        <f>DA2311+DC2311+DE2311</f>
        <v>0</v>
      </c>
      <c r="AA2311" s="71">
        <f>CW2311</f>
        <v>0</v>
      </c>
      <c r="AB2311" s="71"/>
      <c r="AC2311" s="71">
        <v>0</v>
      </c>
      <c r="AD2311" s="71">
        <f>W2311+X2311+Y2311+Z2311+AA2311+AB2311+AC2311</f>
        <v>0</v>
      </c>
      <c r="AE2311" s="72">
        <v>0</v>
      </c>
      <c r="AF2311" s="5"/>
      <c r="AG2311" s="6"/>
      <c r="AH2311" s="27"/>
      <c r="AI2311" s="44"/>
      <c r="AJ2311" s="26"/>
      <c r="AK2311" s="5"/>
      <c r="AL2311" s="82" t="s">
        <v>5196</v>
      </c>
      <c r="AM2311" s="76"/>
      <c r="AN2311" s="76"/>
      <c r="AO2311" s="76"/>
      <c r="AP2311" s="76"/>
      <c r="AQ2311" s="76"/>
      <c r="AR2311" s="76"/>
      <c r="AS2311" s="76"/>
      <c r="AT2311" s="76"/>
      <c r="AU2311" s="76"/>
      <c r="AV2311" s="76"/>
      <c r="AW2311" s="76"/>
      <c r="AX2311" s="76">
        <f>+AW2311*600000</f>
        <v>0</v>
      </c>
      <c r="AY2311" s="76"/>
      <c r="AZ2311" s="76">
        <f>+AY2311*70000</f>
        <v>0</v>
      </c>
      <c r="BA2311" s="76"/>
      <c r="BB2311" s="76"/>
      <c r="BC2311" s="76"/>
      <c r="BD2311" s="76">
        <f>+BC2311*30000</f>
        <v>0</v>
      </c>
      <c r="BE2311" s="76"/>
      <c r="BF2311" s="76"/>
      <c r="BG2311" s="76"/>
      <c r="BH2311" s="76"/>
      <c r="BI2311" s="76"/>
      <c r="BJ2311" s="76"/>
      <c r="BK2311" s="76"/>
      <c r="BL2311" s="76">
        <f>+BK2311*31500</f>
        <v>0</v>
      </c>
      <c r="BM2311" s="76"/>
      <c r="BN2311" s="76"/>
      <c r="BO2311" s="76"/>
      <c r="BP2311" s="76"/>
      <c r="BQ2311" s="76"/>
      <c r="BR2311" s="76"/>
      <c r="BS2311" s="76"/>
      <c r="BT2311" s="76"/>
      <c r="BU2311" s="76"/>
      <c r="BV2311" s="76"/>
      <c r="BW2311" s="76"/>
      <c r="BX2311" s="76"/>
      <c r="BY2311" s="76"/>
      <c r="BZ2311" s="76"/>
      <c r="CA2311" s="76"/>
      <c r="CB2311" s="76"/>
      <c r="CC2311" s="76"/>
      <c r="CD2311" s="76"/>
      <c r="CE2311" s="76"/>
      <c r="CF2311" s="76">
        <f>+CE2311*28000</f>
        <v>0</v>
      </c>
      <c r="CG2311" s="76"/>
      <c r="CH2311" s="76">
        <f>+CG2311*22500</f>
        <v>0</v>
      </c>
      <c r="CI2311" s="76"/>
      <c r="CJ2311" s="76">
        <f>+CI2311*26000</f>
        <v>0</v>
      </c>
      <c r="CK2311" s="76"/>
      <c r="CL2311" s="76"/>
      <c r="CM2311" s="76"/>
      <c r="CN2311" s="76">
        <f>+CM2311*22000</f>
        <v>0</v>
      </c>
      <c r="CO2311" s="76"/>
      <c r="CP2311" s="76">
        <f>+CO2311*46000</f>
        <v>0</v>
      </c>
      <c r="CQ2311" s="76"/>
      <c r="CR2311" s="76">
        <f>+CQ2311*49000</f>
        <v>0</v>
      </c>
      <c r="CS2311" s="76"/>
      <c r="CT2311" s="76"/>
      <c r="CU2311" s="56">
        <f>AN2311+AP2311+AR2311+AT2311+AV2311+AX2311+AZ2311+BB2311+BD2311+BF2311+BH2311+BJ2311+BL2311+BN2311+BP2311+BR2311+BT2311+BV2311+BX2311+BZ2311+CB2311+CD2311+CF2311+CH2311+CJ2311+CL2311+CN2311+CP2311+CR2311+CT2311</f>
        <v>0</v>
      </c>
      <c r="CV2311" s="76"/>
      <c r="CW2311" s="76">
        <f>+CV2311*1100</f>
        <v>0</v>
      </c>
      <c r="CX2311" s="76"/>
      <c r="CY2311" s="76">
        <f>+CX2311*106250</f>
        <v>0</v>
      </c>
      <c r="CZ2311" s="76"/>
      <c r="DA2311" s="76">
        <f>+CZ2311*34500</f>
        <v>0</v>
      </c>
      <c r="DB2311" s="76"/>
      <c r="DC2311" s="76">
        <f>+DB2311*25000</f>
        <v>0</v>
      </c>
      <c r="DD2311" s="219"/>
      <c r="DE2311" s="219"/>
      <c r="DF2311" s="166"/>
      <c r="DG2311" s="116"/>
      <c r="DH2311" s="117"/>
      <c r="DI2311" s="24"/>
      <c r="DJ2311" s="24"/>
      <c r="DK2311" s="24"/>
      <c r="DL2311" s="24"/>
      <c r="DM2311" s="24"/>
      <c r="DN2311" s="24"/>
      <c r="DO2311" s="24"/>
      <c r="DP2311" s="24"/>
      <c r="DQ2311" s="24"/>
      <c r="DR2311" s="24"/>
      <c r="DS2311" s="24"/>
      <c r="DT2311" s="24"/>
      <c r="DU2311" s="24"/>
    </row>
    <row r="2312" spans="1:125" s="8" customFormat="1" ht="36" x14ac:dyDescent="0.2">
      <c r="A2312" s="353">
        <v>41465</v>
      </c>
      <c r="B2312" s="352" t="s">
        <v>2860</v>
      </c>
      <c r="C2312" s="354" t="s">
        <v>2776</v>
      </c>
      <c r="D2312" s="354" t="s">
        <v>2859</v>
      </c>
      <c r="E2312" s="75" t="str">
        <f>VLOOKUP(B2312&amp;C2312,Divipola!$C$2:$F$1138,4,FALSE)</f>
        <v>63001</v>
      </c>
      <c r="F2312" s="87"/>
      <c r="G2312" s="87"/>
      <c r="H2312" s="87"/>
      <c r="I2312" s="87">
        <v>5</v>
      </c>
      <c r="J2312" s="87">
        <v>1</v>
      </c>
      <c r="K2312" s="87"/>
      <c r="L2312" s="87">
        <v>1</v>
      </c>
      <c r="M2312" s="87"/>
      <c r="N2312" s="87"/>
      <c r="O2312" s="87"/>
      <c r="P2312" s="87"/>
      <c r="Q2312" s="87"/>
      <c r="R2312" s="87"/>
      <c r="S2312" s="87"/>
      <c r="T2312" s="87"/>
      <c r="U2312" s="88"/>
      <c r="V2312" s="89"/>
      <c r="W2312" s="96">
        <v>0</v>
      </c>
      <c r="X2312" s="71">
        <f>CU2312</f>
        <v>0</v>
      </c>
      <c r="Y2312" s="71">
        <f>CY2312</f>
        <v>0</v>
      </c>
      <c r="Z2312" s="71">
        <f>DA2312+DC2312+DE2312</f>
        <v>0</v>
      </c>
      <c r="AA2312" s="71">
        <f>CW2312</f>
        <v>0</v>
      </c>
      <c r="AB2312" s="71"/>
      <c r="AC2312" s="71">
        <v>0</v>
      </c>
      <c r="AD2312" s="71">
        <f>W2312+X2312+Y2312+Z2312+AA2312+AB2312+AC2312</f>
        <v>0</v>
      </c>
      <c r="AE2312" s="72">
        <v>0</v>
      </c>
      <c r="AF2312" s="5"/>
      <c r="AG2312" s="6"/>
      <c r="AH2312" s="27"/>
      <c r="AI2312" s="44"/>
      <c r="AJ2312" s="26"/>
      <c r="AK2312" s="5"/>
      <c r="AL2312" s="82" t="s">
        <v>5185</v>
      </c>
      <c r="AM2312" s="76"/>
      <c r="AN2312" s="76"/>
      <c r="AO2312" s="76"/>
      <c r="AP2312" s="76"/>
      <c r="AQ2312" s="76"/>
      <c r="AR2312" s="76"/>
      <c r="AS2312" s="76"/>
      <c r="AT2312" s="76"/>
      <c r="AU2312" s="76"/>
      <c r="AV2312" s="76"/>
      <c r="AW2312" s="76"/>
      <c r="AX2312" s="76">
        <f>+AW2312*600000</f>
        <v>0</v>
      </c>
      <c r="AY2312" s="76"/>
      <c r="AZ2312" s="76">
        <f>+AY2312*70000</f>
        <v>0</v>
      </c>
      <c r="BA2312" s="76"/>
      <c r="BB2312" s="76"/>
      <c r="BC2312" s="76"/>
      <c r="BD2312" s="76">
        <f>+BC2312*30000</f>
        <v>0</v>
      </c>
      <c r="BE2312" s="76"/>
      <c r="BF2312" s="76"/>
      <c r="BG2312" s="76"/>
      <c r="BH2312" s="76"/>
      <c r="BI2312" s="76"/>
      <c r="BJ2312" s="76"/>
      <c r="BK2312" s="76"/>
      <c r="BL2312" s="76">
        <f>+BK2312*31500</f>
        <v>0</v>
      </c>
      <c r="BM2312" s="76"/>
      <c r="BN2312" s="76"/>
      <c r="BO2312" s="76"/>
      <c r="BP2312" s="76"/>
      <c r="BQ2312" s="76"/>
      <c r="BR2312" s="76"/>
      <c r="BS2312" s="76"/>
      <c r="BT2312" s="76"/>
      <c r="BU2312" s="76"/>
      <c r="BV2312" s="76"/>
      <c r="BW2312" s="76"/>
      <c r="BX2312" s="76"/>
      <c r="BY2312" s="76"/>
      <c r="BZ2312" s="76"/>
      <c r="CA2312" s="76"/>
      <c r="CB2312" s="76"/>
      <c r="CC2312" s="76"/>
      <c r="CD2312" s="76"/>
      <c r="CE2312" s="76"/>
      <c r="CF2312" s="76">
        <f>+CE2312*28000</f>
        <v>0</v>
      </c>
      <c r="CG2312" s="76"/>
      <c r="CH2312" s="76">
        <f>+CG2312*22500</f>
        <v>0</v>
      </c>
      <c r="CI2312" s="76"/>
      <c r="CJ2312" s="76">
        <f>+CI2312*26000</f>
        <v>0</v>
      </c>
      <c r="CK2312" s="76"/>
      <c r="CL2312" s="76"/>
      <c r="CM2312" s="76"/>
      <c r="CN2312" s="76">
        <f>+CM2312*22000</f>
        <v>0</v>
      </c>
      <c r="CO2312" s="76"/>
      <c r="CP2312" s="76">
        <f>+CO2312*46000</f>
        <v>0</v>
      </c>
      <c r="CQ2312" s="76"/>
      <c r="CR2312" s="76">
        <f>+CQ2312*49000</f>
        <v>0</v>
      </c>
      <c r="CS2312" s="76"/>
      <c r="CT2312" s="76"/>
      <c r="CU2312" s="56">
        <f>AN2312+AP2312+AR2312+AT2312+AV2312+AX2312+AZ2312+BB2312+BD2312+BF2312+BH2312+BJ2312+BL2312+BN2312+BP2312+BR2312+BT2312+BV2312+BX2312+BZ2312+CB2312+CD2312+CF2312+CH2312+CJ2312+CL2312+CN2312+CP2312+CR2312+CT2312</f>
        <v>0</v>
      </c>
      <c r="CV2312" s="76"/>
      <c r="CW2312" s="76">
        <f>+CV2312*1100</f>
        <v>0</v>
      </c>
      <c r="CX2312" s="76"/>
      <c r="CY2312" s="76">
        <f>+CX2312*106250</f>
        <v>0</v>
      </c>
      <c r="CZ2312" s="76"/>
      <c r="DA2312" s="76">
        <f>+CZ2312*34500</f>
        <v>0</v>
      </c>
      <c r="DB2312" s="76"/>
      <c r="DC2312" s="76">
        <f>+DB2312*25000</f>
        <v>0</v>
      </c>
      <c r="DD2312" s="219"/>
      <c r="DE2312" s="219"/>
      <c r="DF2312" s="166"/>
      <c r="DG2312" s="116"/>
      <c r="DH2312" s="117"/>
      <c r="DI2312" s="24"/>
      <c r="DJ2312" s="24"/>
      <c r="DK2312" s="24"/>
      <c r="DL2312" s="24"/>
      <c r="DM2312" s="24"/>
      <c r="DN2312" s="24"/>
      <c r="DO2312" s="24"/>
      <c r="DP2312" s="24"/>
      <c r="DQ2312" s="24"/>
      <c r="DR2312" s="24"/>
      <c r="DS2312" s="24"/>
      <c r="DT2312" s="24"/>
      <c r="DU2312" s="24"/>
    </row>
    <row r="2313" spans="1:125" s="8" customFormat="1" ht="72" x14ac:dyDescent="0.2">
      <c r="A2313" s="353">
        <v>41465</v>
      </c>
      <c r="B2313" s="225" t="s">
        <v>2860</v>
      </c>
      <c r="C2313" s="227" t="s">
        <v>2776</v>
      </c>
      <c r="D2313" s="354" t="s">
        <v>2859</v>
      </c>
      <c r="E2313" s="75" t="str">
        <f>VLOOKUP(B2313&amp;C2313,Divipola!$C$2:$F$1138,4,FALSE)</f>
        <v>63001</v>
      </c>
      <c r="F2313" s="87"/>
      <c r="G2313" s="87">
        <v>2</v>
      </c>
      <c r="H2313" s="87"/>
      <c r="I2313" s="87">
        <v>2</v>
      </c>
      <c r="J2313" s="87">
        <v>1</v>
      </c>
      <c r="K2313" s="87"/>
      <c r="L2313" s="87">
        <v>1</v>
      </c>
      <c r="M2313" s="87"/>
      <c r="N2313" s="87"/>
      <c r="O2313" s="87"/>
      <c r="P2313" s="87"/>
      <c r="Q2313" s="87"/>
      <c r="R2313" s="87"/>
      <c r="S2313" s="87"/>
      <c r="T2313" s="87"/>
      <c r="U2313" s="88"/>
      <c r="V2313" s="89"/>
      <c r="W2313" s="96">
        <v>0</v>
      </c>
      <c r="X2313" s="71">
        <f>CU2313</f>
        <v>0</v>
      </c>
      <c r="Y2313" s="71">
        <f>CY2313</f>
        <v>0</v>
      </c>
      <c r="Z2313" s="71">
        <f>DA2313+DC2313+DE2313</f>
        <v>0</v>
      </c>
      <c r="AA2313" s="71">
        <f>CW2313</f>
        <v>0</v>
      </c>
      <c r="AB2313" s="71"/>
      <c r="AC2313" s="71">
        <v>0</v>
      </c>
      <c r="AD2313" s="71">
        <f>W2313+X2313+Y2313+Z2313+AA2313+AB2313+AC2313</f>
        <v>0</v>
      </c>
      <c r="AE2313" s="72">
        <v>0</v>
      </c>
      <c r="AF2313" s="5"/>
      <c r="AG2313" s="6"/>
      <c r="AH2313" s="27"/>
      <c r="AI2313" s="44"/>
      <c r="AJ2313" s="26"/>
      <c r="AK2313" s="5"/>
      <c r="AL2313" s="82" t="s">
        <v>5188</v>
      </c>
      <c r="AM2313" s="76"/>
      <c r="AN2313" s="76"/>
      <c r="AO2313" s="76"/>
      <c r="AP2313" s="76"/>
      <c r="AQ2313" s="76"/>
      <c r="AR2313" s="76"/>
      <c r="AS2313" s="76"/>
      <c r="AT2313" s="76"/>
      <c r="AU2313" s="76"/>
      <c r="AV2313" s="76"/>
      <c r="AW2313" s="76"/>
      <c r="AX2313" s="76">
        <f>+AW2313*600000</f>
        <v>0</v>
      </c>
      <c r="AY2313" s="76"/>
      <c r="AZ2313" s="76">
        <f>+AY2313*70000</f>
        <v>0</v>
      </c>
      <c r="BA2313" s="76"/>
      <c r="BB2313" s="76"/>
      <c r="BC2313" s="76"/>
      <c r="BD2313" s="76">
        <f>+BC2313*30000</f>
        <v>0</v>
      </c>
      <c r="BE2313" s="76"/>
      <c r="BF2313" s="76"/>
      <c r="BG2313" s="76"/>
      <c r="BH2313" s="76"/>
      <c r="BI2313" s="76"/>
      <c r="BJ2313" s="76"/>
      <c r="BK2313" s="76"/>
      <c r="BL2313" s="76">
        <f>+BK2313*31500</f>
        <v>0</v>
      </c>
      <c r="BM2313" s="76"/>
      <c r="BN2313" s="76"/>
      <c r="BO2313" s="76"/>
      <c r="BP2313" s="76"/>
      <c r="BQ2313" s="76"/>
      <c r="BR2313" s="76"/>
      <c r="BS2313" s="76"/>
      <c r="BT2313" s="76"/>
      <c r="BU2313" s="76"/>
      <c r="BV2313" s="76"/>
      <c r="BW2313" s="76"/>
      <c r="BX2313" s="76"/>
      <c r="BY2313" s="76"/>
      <c r="BZ2313" s="76"/>
      <c r="CA2313" s="76"/>
      <c r="CB2313" s="76"/>
      <c r="CC2313" s="76"/>
      <c r="CD2313" s="76"/>
      <c r="CE2313" s="76"/>
      <c r="CF2313" s="76">
        <f>+CE2313*28000</f>
        <v>0</v>
      </c>
      <c r="CG2313" s="76"/>
      <c r="CH2313" s="76">
        <f>+CG2313*22500</f>
        <v>0</v>
      </c>
      <c r="CI2313" s="76"/>
      <c r="CJ2313" s="76">
        <f>+CI2313*26000</f>
        <v>0</v>
      </c>
      <c r="CK2313" s="76"/>
      <c r="CL2313" s="76"/>
      <c r="CM2313" s="76"/>
      <c r="CN2313" s="76">
        <f>+CM2313*22000</f>
        <v>0</v>
      </c>
      <c r="CO2313" s="76"/>
      <c r="CP2313" s="76">
        <f>+CO2313*46000</f>
        <v>0</v>
      </c>
      <c r="CQ2313" s="76"/>
      <c r="CR2313" s="76">
        <f>+CQ2313*49000</f>
        <v>0</v>
      </c>
      <c r="CS2313" s="76"/>
      <c r="CT2313" s="76"/>
      <c r="CU2313" s="56">
        <f>AN2313+AP2313+AR2313+AT2313+AV2313+AX2313+AZ2313+BB2313+BD2313+BF2313+BH2313+BJ2313+BL2313+BN2313+BP2313+BR2313+BT2313+BV2313+BX2313+BZ2313+CB2313+CD2313+CF2313+CH2313+CJ2313+CL2313+CN2313+CP2313+CR2313+CT2313</f>
        <v>0</v>
      </c>
      <c r="CV2313" s="76"/>
      <c r="CW2313" s="76">
        <f>+CV2313*1100</f>
        <v>0</v>
      </c>
      <c r="CX2313" s="76"/>
      <c r="CY2313" s="76">
        <f>+CX2313*106250</f>
        <v>0</v>
      </c>
      <c r="CZ2313" s="76"/>
      <c r="DA2313" s="76">
        <f>+CZ2313*34500</f>
        <v>0</v>
      </c>
      <c r="DB2313" s="76"/>
      <c r="DC2313" s="76">
        <f>+DB2313*25000</f>
        <v>0</v>
      </c>
      <c r="DD2313" s="219"/>
      <c r="DE2313" s="219"/>
      <c r="DF2313" s="166"/>
      <c r="DG2313" s="116"/>
      <c r="DH2313" s="117"/>
      <c r="DI2313" s="24"/>
      <c r="DJ2313" s="24"/>
      <c r="DK2313" s="24"/>
      <c r="DL2313" s="24"/>
      <c r="DM2313" s="24"/>
      <c r="DN2313" s="24"/>
      <c r="DO2313" s="24"/>
      <c r="DP2313" s="24"/>
      <c r="DQ2313" s="24"/>
      <c r="DR2313" s="24"/>
      <c r="DS2313" s="24"/>
      <c r="DT2313" s="24"/>
      <c r="DU2313" s="24"/>
    </row>
    <row r="2314" spans="1:125" s="8" customFormat="1" ht="48" x14ac:dyDescent="0.2">
      <c r="A2314" s="226">
        <v>41465</v>
      </c>
      <c r="B2314" s="225" t="s">
        <v>2774</v>
      </c>
      <c r="C2314" s="227" t="s">
        <v>2745</v>
      </c>
      <c r="D2314" s="354" t="s">
        <v>2882</v>
      </c>
      <c r="E2314" s="75" t="str">
        <f>VLOOKUP(B2314&amp;C2314,Divipola!$C$2:$F$1138,4,FALSE)</f>
        <v>66318</v>
      </c>
      <c r="F2314" s="87"/>
      <c r="G2314" s="87"/>
      <c r="H2314" s="87"/>
      <c r="I2314" s="87">
        <v>125</v>
      </c>
      <c r="J2314" s="87">
        <v>25</v>
      </c>
      <c r="K2314" s="87"/>
      <c r="L2314" s="87">
        <v>25</v>
      </c>
      <c r="M2314" s="87"/>
      <c r="N2314" s="87"/>
      <c r="O2314" s="87"/>
      <c r="P2314" s="87"/>
      <c r="Q2314" s="87"/>
      <c r="R2314" s="87"/>
      <c r="S2314" s="87"/>
      <c r="T2314" s="87"/>
      <c r="U2314" s="88"/>
      <c r="V2314" s="89"/>
      <c r="W2314" s="96">
        <v>0</v>
      </c>
      <c r="X2314" s="71">
        <f>CU2314</f>
        <v>0</v>
      </c>
      <c r="Y2314" s="71">
        <f>CY2314</f>
        <v>0</v>
      </c>
      <c r="Z2314" s="71">
        <f>DA2314+DC2314+DE2314</f>
        <v>0</v>
      </c>
      <c r="AA2314" s="71">
        <f>CW2314</f>
        <v>0</v>
      </c>
      <c r="AB2314" s="71"/>
      <c r="AC2314" s="71">
        <v>0</v>
      </c>
      <c r="AD2314" s="71">
        <f>W2314+X2314+Y2314+Z2314+AA2314+AB2314+AC2314</f>
        <v>0</v>
      </c>
      <c r="AE2314" s="72">
        <v>0</v>
      </c>
      <c r="AF2314" s="5"/>
      <c r="AG2314" s="6"/>
      <c r="AH2314" s="27"/>
      <c r="AI2314" s="44"/>
      <c r="AJ2314" s="26"/>
      <c r="AK2314" s="5"/>
      <c r="AL2314" s="82" t="s">
        <v>5186</v>
      </c>
      <c r="AM2314" s="76"/>
      <c r="AN2314" s="76"/>
      <c r="AO2314" s="76"/>
      <c r="AP2314" s="76"/>
      <c r="AQ2314" s="76"/>
      <c r="AR2314" s="76"/>
      <c r="AS2314" s="76"/>
      <c r="AT2314" s="76"/>
      <c r="AU2314" s="76"/>
      <c r="AV2314" s="76"/>
      <c r="AW2314" s="76"/>
      <c r="AX2314" s="76">
        <f>+AW2314*600000</f>
        <v>0</v>
      </c>
      <c r="AY2314" s="76"/>
      <c r="AZ2314" s="76">
        <f>+AY2314*70000</f>
        <v>0</v>
      </c>
      <c r="BA2314" s="76"/>
      <c r="BB2314" s="76"/>
      <c r="BC2314" s="76"/>
      <c r="BD2314" s="76">
        <f>+BC2314*30000</f>
        <v>0</v>
      </c>
      <c r="BE2314" s="76"/>
      <c r="BF2314" s="76"/>
      <c r="BG2314" s="76"/>
      <c r="BH2314" s="76"/>
      <c r="BI2314" s="76"/>
      <c r="BJ2314" s="76"/>
      <c r="BK2314" s="76"/>
      <c r="BL2314" s="76">
        <f>+BK2314*31500</f>
        <v>0</v>
      </c>
      <c r="BM2314" s="76"/>
      <c r="BN2314" s="76"/>
      <c r="BO2314" s="76"/>
      <c r="BP2314" s="76"/>
      <c r="BQ2314" s="76"/>
      <c r="BR2314" s="76"/>
      <c r="BS2314" s="76"/>
      <c r="BT2314" s="76"/>
      <c r="BU2314" s="76"/>
      <c r="BV2314" s="76"/>
      <c r="BW2314" s="76"/>
      <c r="BX2314" s="76"/>
      <c r="BY2314" s="76"/>
      <c r="BZ2314" s="76"/>
      <c r="CA2314" s="76"/>
      <c r="CB2314" s="76"/>
      <c r="CC2314" s="76"/>
      <c r="CD2314" s="76"/>
      <c r="CE2314" s="76"/>
      <c r="CF2314" s="76">
        <f>+CE2314*28000</f>
        <v>0</v>
      </c>
      <c r="CG2314" s="76"/>
      <c r="CH2314" s="76">
        <f>+CG2314*22500</f>
        <v>0</v>
      </c>
      <c r="CI2314" s="76"/>
      <c r="CJ2314" s="76">
        <f>+CI2314*26000</f>
        <v>0</v>
      </c>
      <c r="CK2314" s="76"/>
      <c r="CL2314" s="76"/>
      <c r="CM2314" s="76"/>
      <c r="CN2314" s="76">
        <f>+CM2314*22000</f>
        <v>0</v>
      </c>
      <c r="CO2314" s="76"/>
      <c r="CP2314" s="76">
        <f>+CO2314*46000</f>
        <v>0</v>
      </c>
      <c r="CQ2314" s="76"/>
      <c r="CR2314" s="76">
        <f>+CQ2314*49000</f>
        <v>0</v>
      </c>
      <c r="CS2314" s="76"/>
      <c r="CT2314" s="76"/>
      <c r="CU2314" s="56">
        <f>AN2314+AP2314+AR2314+AT2314+AV2314+AX2314+AZ2314+BB2314+BD2314+BF2314+BH2314+BJ2314+BL2314+BN2314+BP2314+BR2314+BT2314+BV2314+BX2314+BZ2314+CB2314+CD2314+CF2314+CH2314+CJ2314+CL2314+CN2314+CP2314+CR2314+CT2314</f>
        <v>0</v>
      </c>
      <c r="CV2314" s="76"/>
      <c r="CW2314" s="76">
        <f>+CV2314*1100</f>
        <v>0</v>
      </c>
      <c r="CX2314" s="76"/>
      <c r="CY2314" s="76">
        <f>+CX2314*106250</f>
        <v>0</v>
      </c>
      <c r="CZ2314" s="76"/>
      <c r="DA2314" s="76">
        <f>+CZ2314*34500</f>
        <v>0</v>
      </c>
      <c r="DB2314" s="76"/>
      <c r="DC2314" s="76">
        <f>+DB2314*25000</f>
        <v>0</v>
      </c>
      <c r="DD2314" s="219"/>
      <c r="DE2314" s="219"/>
      <c r="DF2314" s="166"/>
      <c r="DG2314" s="116"/>
      <c r="DH2314" s="117"/>
      <c r="DI2314" s="24"/>
      <c r="DJ2314" s="24"/>
      <c r="DK2314" s="24"/>
      <c r="DL2314" s="24"/>
      <c r="DM2314" s="24"/>
      <c r="DN2314" s="24"/>
      <c r="DO2314" s="24"/>
      <c r="DP2314" s="24"/>
      <c r="DQ2314" s="24"/>
      <c r="DR2314" s="24"/>
      <c r="DS2314" s="24"/>
      <c r="DT2314" s="24"/>
      <c r="DU2314" s="24"/>
    </row>
    <row r="2315" spans="1:125" s="8" customFormat="1" ht="132" x14ac:dyDescent="0.2">
      <c r="A2315" s="226">
        <v>41465</v>
      </c>
      <c r="B2315" s="225" t="s">
        <v>2774</v>
      </c>
      <c r="C2315" s="227" t="s">
        <v>2790</v>
      </c>
      <c r="D2315" s="354" t="s">
        <v>2882</v>
      </c>
      <c r="E2315" s="75" t="str">
        <f>VLOOKUP(B2315&amp;C2315,Divipola!$C$2:$F$1138,4,FALSE)</f>
        <v>66682</v>
      </c>
      <c r="F2315" s="87"/>
      <c r="G2315" s="87"/>
      <c r="H2315" s="87"/>
      <c r="I2315" s="87">
        <v>150</v>
      </c>
      <c r="J2315" s="87">
        <v>30</v>
      </c>
      <c r="K2315" s="87"/>
      <c r="L2315" s="87">
        <v>30</v>
      </c>
      <c r="M2315" s="87"/>
      <c r="N2315" s="87"/>
      <c r="O2315" s="87"/>
      <c r="P2315" s="87"/>
      <c r="Q2315" s="87"/>
      <c r="R2315" s="87"/>
      <c r="S2315" s="87"/>
      <c r="T2315" s="87"/>
      <c r="U2315" s="88"/>
      <c r="V2315" s="89"/>
      <c r="W2315" s="96">
        <v>0</v>
      </c>
      <c r="X2315" s="71">
        <f>CU2315</f>
        <v>0</v>
      </c>
      <c r="Y2315" s="71">
        <f>CY2315</f>
        <v>0</v>
      </c>
      <c r="Z2315" s="71">
        <f>DA2315+DC2315+DE2315</f>
        <v>0</v>
      </c>
      <c r="AA2315" s="71">
        <f>CW2315</f>
        <v>0</v>
      </c>
      <c r="AB2315" s="71"/>
      <c r="AC2315" s="71">
        <v>0</v>
      </c>
      <c r="AD2315" s="71">
        <f>W2315+X2315+Y2315+Z2315+AA2315+AB2315+AC2315</f>
        <v>0</v>
      </c>
      <c r="AE2315" s="72">
        <v>0</v>
      </c>
      <c r="AF2315" s="5"/>
      <c r="AG2315" s="6"/>
      <c r="AH2315" s="27"/>
      <c r="AI2315" s="44"/>
      <c r="AJ2315" s="26"/>
      <c r="AK2315" s="5"/>
      <c r="AL2315" s="82" t="s">
        <v>5190</v>
      </c>
      <c r="AM2315" s="76"/>
      <c r="AN2315" s="76"/>
      <c r="AO2315" s="76"/>
      <c r="AP2315" s="76"/>
      <c r="AQ2315" s="76"/>
      <c r="AR2315" s="76"/>
      <c r="AS2315" s="76"/>
      <c r="AT2315" s="76"/>
      <c r="AU2315" s="76"/>
      <c r="AV2315" s="76"/>
      <c r="AW2315" s="76"/>
      <c r="AX2315" s="76">
        <f>+AW2315*600000</f>
        <v>0</v>
      </c>
      <c r="AY2315" s="76"/>
      <c r="AZ2315" s="76">
        <f>+AY2315*70000</f>
        <v>0</v>
      </c>
      <c r="BA2315" s="76"/>
      <c r="BB2315" s="76"/>
      <c r="BC2315" s="76"/>
      <c r="BD2315" s="76">
        <f>+BC2315*30000</f>
        <v>0</v>
      </c>
      <c r="BE2315" s="76"/>
      <c r="BF2315" s="76"/>
      <c r="BG2315" s="76"/>
      <c r="BH2315" s="76"/>
      <c r="BI2315" s="76"/>
      <c r="BJ2315" s="76"/>
      <c r="BK2315" s="76"/>
      <c r="BL2315" s="76">
        <f>+BK2315*31500</f>
        <v>0</v>
      </c>
      <c r="BM2315" s="76"/>
      <c r="BN2315" s="76"/>
      <c r="BO2315" s="76"/>
      <c r="BP2315" s="76"/>
      <c r="BQ2315" s="76"/>
      <c r="BR2315" s="76"/>
      <c r="BS2315" s="76"/>
      <c r="BT2315" s="76"/>
      <c r="BU2315" s="76"/>
      <c r="BV2315" s="76"/>
      <c r="BW2315" s="76"/>
      <c r="BX2315" s="76"/>
      <c r="BY2315" s="76"/>
      <c r="BZ2315" s="76"/>
      <c r="CA2315" s="76"/>
      <c r="CB2315" s="76"/>
      <c r="CC2315" s="76"/>
      <c r="CD2315" s="76"/>
      <c r="CE2315" s="76"/>
      <c r="CF2315" s="76">
        <f>+CE2315*28000</f>
        <v>0</v>
      </c>
      <c r="CG2315" s="76"/>
      <c r="CH2315" s="76">
        <f>+CG2315*22500</f>
        <v>0</v>
      </c>
      <c r="CI2315" s="76"/>
      <c r="CJ2315" s="76">
        <f>+CI2315*26000</f>
        <v>0</v>
      </c>
      <c r="CK2315" s="76"/>
      <c r="CL2315" s="76"/>
      <c r="CM2315" s="76"/>
      <c r="CN2315" s="76">
        <f>+CM2315*22000</f>
        <v>0</v>
      </c>
      <c r="CO2315" s="76"/>
      <c r="CP2315" s="76">
        <f>+CO2315*46000</f>
        <v>0</v>
      </c>
      <c r="CQ2315" s="76"/>
      <c r="CR2315" s="76">
        <f>+CQ2315*49000</f>
        <v>0</v>
      </c>
      <c r="CS2315" s="76"/>
      <c r="CT2315" s="76"/>
      <c r="CU2315" s="56">
        <f>AN2315+AP2315+AR2315+AT2315+AV2315+AX2315+AZ2315+BB2315+BD2315+BF2315+BH2315+BJ2315+BL2315+BN2315+BP2315+BR2315+BT2315+BV2315+BX2315+BZ2315+CB2315+CD2315+CF2315+CH2315+CJ2315+CL2315+CN2315+CP2315+CR2315+CT2315</f>
        <v>0</v>
      </c>
      <c r="CV2315" s="76"/>
      <c r="CW2315" s="76">
        <f>+CV2315*1100</f>
        <v>0</v>
      </c>
      <c r="CX2315" s="76"/>
      <c r="CY2315" s="76">
        <f>+CX2315*106250</f>
        <v>0</v>
      </c>
      <c r="CZ2315" s="76"/>
      <c r="DA2315" s="76">
        <f>+CZ2315*34500</f>
        <v>0</v>
      </c>
      <c r="DB2315" s="76"/>
      <c r="DC2315" s="76">
        <f>+DB2315*25000</f>
        <v>0</v>
      </c>
      <c r="DD2315" s="219"/>
      <c r="DE2315" s="219"/>
      <c r="DF2315" s="166"/>
      <c r="DG2315" s="116"/>
      <c r="DH2315" s="117"/>
      <c r="DI2315" s="24"/>
      <c r="DJ2315" s="24"/>
      <c r="DK2315" s="24"/>
      <c r="DL2315" s="24"/>
      <c r="DM2315" s="24"/>
      <c r="DN2315" s="24"/>
      <c r="DO2315" s="24"/>
      <c r="DP2315" s="24"/>
      <c r="DQ2315" s="24"/>
      <c r="DR2315" s="24"/>
      <c r="DS2315" s="24"/>
      <c r="DT2315" s="24"/>
      <c r="DU2315" s="24"/>
    </row>
    <row r="2316" spans="1:125" s="8" customFormat="1" ht="96" x14ac:dyDescent="0.2">
      <c r="A2316" s="226">
        <v>41466</v>
      </c>
      <c r="B2316" s="225" t="s">
        <v>2894</v>
      </c>
      <c r="C2316" s="227" t="s">
        <v>2032</v>
      </c>
      <c r="D2316" s="227" t="s">
        <v>2846</v>
      </c>
      <c r="E2316" s="75" t="str">
        <f>VLOOKUP(B2316&amp;C2316,Divipola!$C$2:$F$1138,4,FALSE)</f>
        <v>05001</v>
      </c>
      <c r="F2316" s="87"/>
      <c r="G2316" s="87"/>
      <c r="H2316" s="87"/>
      <c r="I2316" s="87"/>
      <c r="J2316" s="87"/>
      <c r="K2316" s="87"/>
      <c r="L2316" s="87"/>
      <c r="M2316" s="87"/>
      <c r="N2316" s="87"/>
      <c r="O2316" s="87"/>
      <c r="P2316" s="87"/>
      <c r="Q2316" s="87"/>
      <c r="R2316" s="87"/>
      <c r="S2316" s="87"/>
      <c r="T2316" s="87"/>
      <c r="U2316" s="88">
        <v>6</v>
      </c>
      <c r="V2316" s="89"/>
      <c r="W2316" s="96">
        <v>0</v>
      </c>
      <c r="X2316" s="71">
        <f>CU2316</f>
        <v>0</v>
      </c>
      <c r="Y2316" s="71">
        <f>CY2316</f>
        <v>0</v>
      </c>
      <c r="Z2316" s="71">
        <f>DA2316+DC2316+DE2316</f>
        <v>0</v>
      </c>
      <c r="AA2316" s="71">
        <f>CW2316</f>
        <v>0</v>
      </c>
      <c r="AB2316" s="71"/>
      <c r="AC2316" s="71">
        <v>0</v>
      </c>
      <c r="AD2316" s="71">
        <f>W2316+X2316+Y2316+Z2316+AA2316+AB2316+AC2316</f>
        <v>0</v>
      </c>
      <c r="AE2316" s="72">
        <v>0</v>
      </c>
      <c r="AF2316" s="5"/>
      <c r="AG2316" s="6"/>
      <c r="AH2316" s="27"/>
      <c r="AI2316" s="44"/>
      <c r="AJ2316" s="26"/>
      <c r="AK2316" s="5"/>
      <c r="AL2316" s="82" t="s">
        <v>5197</v>
      </c>
      <c r="AM2316" s="76"/>
      <c r="AN2316" s="76"/>
      <c r="AO2316" s="76"/>
      <c r="AP2316" s="76"/>
      <c r="AQ2316" s="76"/>
      <c r="AR2316" s="76"/>
      <c r="AS2316" s="76"/>
      <c r="AT2316" s="76"/>
      <c r="AU2316" s="76"/>
      <c r="AV2316" s="76"/>
      <c r="AW2316" s="76"/>
      <c r="AX2316" s="76">
        <f>+AW2316*600000</f>
        <v>0</v>
      </c>
      <c r="AY2316" s="76"/>
      <c r="AZ2316" s="76">
        <f>+AY2316*70000</f>
        <v>0</v>
      </c>
      <c r="BA2316" s="76"/>
      <c r="BB2316" s="76"/>
      <c r="BC2316" s="76"/>
      <c r="BD2316" s="76">
        <f>+BC2316*30000</f>
        <v>0</v>
      </c>
      <c r="BE2316" s="76"/>
      <c r="BF2316" s="76"/>
      <c r="BG2316" s="76"/>
      <c r="BH2316" s="76"/>
      <c r="BI2316" s="76"/>
      <c r="BJ2316" s="76"/>
      <c r="BK2316" s="76"/>
      <c r="BL2316" s="76">
        <f>+BK2316*31500</f>
        <v>0</v>
      </c>
      <c r="BM2316" s="76"/>
      <c r="BN2316" s="76"/>
      <c r="BO2316" s="76"/>
      <c r="BP2316" s="76"/>
      <c r="BQ2316" s="76"/>
      <c r="BR2316" s="76"/>
      <c r="BS2316" s="76"/>
      <c r="BT2316" s="76"/>
      <c r="BU2316" s="76"/>
      <c r="BV2316" s="76"/>
      <c r="BW2316" s="76"/>
      <c r="BX2316" s="76"/>
      <c r="BY2316" s="76"/>
      <c r="BZ2316" s="76"/>
      <c r="CA2316" s="76"/>
      <c r="CB2316" s="76"/>
      <c r="CC2316" s="76"/>
      <c r="CD2316" s="76"/>
      <c r="CE2316" s="76"/>
      <c r="CF2316" s="76">
        <f>+CE2316*28000</f>
        <v>0</v>
      </c>
      <c r="CG2316" s="76"/>
      <c r="CH2316" s="76">
        <f>+CG2316*22500</f>
        <v>0</v>
      </c>
      <c r="CI2316" s="76"/>
      <c r="CJ2316" s="76">
        <f>+CI2316*26000</f>
        <v>0</v>
      </c>
      <c r="CK2316" s="76"/>
      <c r="CL2316" s="76"/>
      <c r="CM2316" s="76"/>
      <c r="CN2316" s="76">
        <f>+CM2316*22000</f>
        <v>0</v>
      </c>
      <c r="CO2316" s="76"/>
      <c r="CP2316" s="76">
        <f>+CO2316*46000</f>
        <v>0</v>
      </c>
      <c r="CQ2316" s="76"/>
      <c r="CR2316" s="76">
        <f>+CQ2316*49000</f>
        <v>0</v>
      </c>
      <c r="CS2316" s="76"/>
      <c r="CT2316" s="76"/>
      <c r="CU2316" s="56">
        <f>AN2316+AP2316+AR2316+AT2316+AV2316+AX2316+AZ2316+BB2316+BD2316+BF2316+BH2316+BJ2316+BL2316+BN2316+BP2316+BR2316+BT2316+BV2316+BX2316+BZ2316+CB2316+CD2316+CF2316+CH2316+CJ2316+CL2316+CN2316+CP2316+CR2316+CT2316</f>
        <v>0</v>
      </c>
      <c r="CV2316" s="76"/>
      <c r="CW2316" s="76">
        <f>+CV2316*1100</f>
        <v>0</v>
      </c>
      <c r="CX2316" s="76"/>
      <c r="CY2316" s="76">
        <f>+CX2316*106250</f>
        <v>0</v>
      </c>
      <c r="CZ2316" s="76"/>
      <c r="DA2316" s="76">
        <f>+CZ2316*34500</f>
        <v>0</v>
      </c>
      <c r="DB2316" s="76"/>
      <c r="DC2316" s="76">
        <f>+DB2316*25000</f>
        <v>0</v>
      </c>
      <c r="DD2316" s="219"/>
      <c r="DE2316" s="219"/>
      <c r="DF2316" s="166"/>
      <c r="DG2316" s="116"/>
      <c r="DH2316" s="117"/>
      <c r="DI2316" s="24"/>
      <c r="DJ2316" s="24"/>
      <c r="DK2316" s="24"/>
      <c r="DL2316" s="24"/>
      <c r="DM2316" s="24"/>
      <c r="DN2316" s="24"/>
      <c r="DO2316" s="24"/>
      <c r="DP2316" s="24"/>
      <c r="DQ2316" s="24"/>
      <c r="DR2316" s="24"/>
      <c r="DS2316" s="24"/>
      <c r="DT2316" s="24"/>
      <c r="DU2316" s="24"/>
    </row>
    <row r="2317" spans="1:125" s="8" customFormat="1" ht="48" x14ac:dyDescent="0.2">
      <c r="A2317" s="226">
        <v>41466</v>
      </c>
      <c r="B2317" s="225" t="s">
        <v>2087</v>
      </c>
      <c r="C2317" s="227" t="s">
        <v>790</v>
      </c>
      <c r="D2317" s="354" t="s">
        <v>3205</v>
      </c>
      <c r="E2317" s="75" t="str">
        <f>VLOOKUP(B2317&amp;C2317,Divipola!$C$2:$F$1138,4,FALSE)</f>
        <v>18150</v>
      </c>
      <c r="F2317" s="87"/>
      <c r="G2317" s="87"/>
      <c r="H2317" s="87"/>
      <c r="I2317" s="87"/>
      <c r="J2317" s="87"/>
      <c r="K2317" s="87"/>
      <c r="L2317" s="87"/>
      <c r="M2317" s="87"/>
      <c r="N2317" s="87">
        <v>1</v>
      </c>
      <c r="O2317" s="87"/>
      <c r="P2317" s="87"/>
      <c r="Q2317" s="87"/>
      <c r="R2317" s="87"/>
      <c r="S2317" s="87"/>
      <c r="T2317" s="87"/>
      <c r="U2317" s="88"/>
      <c r="V2317" s="89"/>
      <c r="W2317" s="96">
        <v>0</v>
      </c>
      <c r="X2317" s="71">
        <f>CU2317</f>
        <v>0</v>
      </c>
      <c r="Y2317" s="71">
        <f>CY2317</f>
        <v>0</v>
      </c>
      <c r="Z2317" s="71">
        <f>DA2317+DC2317+DE2317</f>
        <v>0</v>
      </c>
      <c r="AA2317" s="71">
        <f>CW2317</f>
        <v>0</v>
      </c>
      <c r="AB2317" s="71"/>
      <c r="AC2317" s="71">
        <v>0</v>
      </c>
      <c r="AD2317" s="71">
        <f>W2317+X2317+Y2317+Z2317+AA2317+AB2317+AC2317</f>
        <v>0</v>
      </c>
      <c r="AE2317" s="72">
        <v>0</v>
      </c>
      <c r="AF2317" s="5"/>
      <c r="AG2317" s="6"/>
      <c r="AH2317" s="27"/>
      <c r="AI2317" s="44"/>
      <c r="AJ2317" s="26"/>
      <c r="AK2317" s="5"/>
      <c r="AL2317" s="82" t="s">
        <v>5194</v>
      </c>
      <c r="AM2317" s="76"/>
      <c r="AN2317" s="76"/>
      <c r="AO2317" s="76"/>
      <c r="AP2317" s="76"/>
      <c r="AQ2317" s="76"/>
      <c r="AR2317" s="76"/>
      <c r="AS2317" s="76"/>
      <c r="AT2317" s="76"/>
      <c r="AU2317" s="76"/>
      <c r="AV2317" s="76"/>
      <c r="AW2317" s="76"/>
      <c r="AX2317" s="76">
        <f>+AW2317*600000</f>
        <v>0</v>
      </c>
      <c r="AY2317" s="76"/>
      <c r="AZ2317" s="76">
        <f>+AY2317*70000</f>
        <v>0</v>
      </c>
      <c r="BA2317" s="76"/>
      <c r="BB2317" s="76"/>
      <c r="BC2317" s="76"/>
      <c r="BD2317" s="76">
        <f>+BC2317*30000</f>
        <v>0</v>
      </c>
      <c r="BE2317" s="76"/>
      <c r="BF2317" s="76"/>
      <c r="BG2317" s="76"/>
      <c r="BH2317" s="76"/>
      <c r="BI2317" s="76"/>
      <c r="BJ2317" s="76"/>
      <c r="BK2317" s="76"/>
      <c r="BL2317" s="76">
        <f>+BK2317*31500</f>
        <v>0</v>
      </c>
      <c r="BM2317" s="76"/>
      <c r="BN2317" s="76"/>
      <c r="BO2317" s="76"/>
      <c r="BP2317" s="76"/>
      <c r="BQ2317" s="76"/>
      <c r="BR2317" s="76"/>
      <c r="BS2317" s="76"/>
      <c r="BT2317" s="76"/>
      <c r="BU2317" s="76"/>
      <c r="BV2317" s="76"/>
      <c r="BW2317" s="76"/>
      <c r="BX2317" s="76"/>
      <c r="BY2317" s="76"/>
      <c r="BZ2317" s="76"/>
      <c r="CA2317" s="76"/>
      <c r="CB2317" s="76"/>
      <c r="CC2317" s="76"/>
      <c r="CD2317" s="76"/>
      <c r="CE2317" s="76"/>
      <c r="CF2317" s="76">
        <f>+CE2317*28000</f>
        <v>0</v>
      </c>
      <c r="CG2317" s="76"/>
      <c r="CH2317" s="76">
        <f>+CG2317*22500</f>
        <v>0</v>
      </c>
      <c r="CI2317" s="76"/>
      <c r="CJ2317" s="76">
        <f>+CI2317*26000</f>
        <v>0</v>
      </c>
      <c r="CK2317" s="76"/>
      <c r="CL2317" s="76"/>
      <c r="CM2317" s="76"/>
      <c r="CN2317" s="76">
        <f>+CM2317*22000</f>
        <v>0</v>
      </c>
      <c r="CO2317" s="76"/>
      <c r="CP2317" s="76">
        <f>+CO2317*46000</f>
        <v>0</v>
      </c>
      <c r="CQ2317" s="76"/>
      <c r="CR2317" s="76">
        <f>+CQ2317*49000</f>
        <v>0</v>
      </c>
      <c r="CS2317" s="76"/>
      <c r="CT2317" s="76"/>
      <c r="CU2317" s="56">
        <f>AN2317+AP2317+AR2317+AT2317+AV2317+AX2317+AZ2317+BB2317+BD2317+BF2317+BH2317+BJ2317+BL2317+BN2317+BP2317+BR2317+BT2317+BV2317+BX2317+BZ2317+CB2317+CD2317+CF2317+CH2317+CJ2317+CL2317+CN2317+CP2317+CR2317+CT2317</f>
        <v>0</v>
      </c>
      <c r="CV2317" s="76"/>
      <c r="CW2317" s="76">
        <f>+CV2317*1100</f>
        <v>0</v>
      </c>
      <c r="CX2317" s="76"/>
      <c r="CY2317" s="76">
        <f>+CX2317*106250</f>
        <v>0</v>
      </c>
      <c r="CZ2317" s="76"/>
      <c r="DA2317" s="76">
        <f>+CZ2317*34500</f>
        <v>0</v>
      </c>
      <c r="DB2317" s="76"/>
      <c r="DC2317" s="76">
        <f>+DB2317*25000</f>
        <v>0</v>
      </c>
      <c r="DD2317" s="219"/>
      <c r="DE2317" s="219"/>
      <c r="DF2317" s="166"/>
      <c r="DG2317" s="116"/>
      <c r="DH2317" s="117"/>
      <c r="DI2317" s="24"/>
      <c r="DJ2317" s="24"/>
      <c r="DK2317" s="24"/>
      <c r="DL2317" s="24"/>
      <c r="DM2317" s="24"/>
      <c r="DN2317" s="24"/>
      <c r="DO2317" s="24"/>
      <c r="DP2317" s="24"/>
      <c r="DQ2317" s="24"/>
      <c r="DR2317" s="24"/>
      <c r="DS2317" s="24"/>
      <c r="DT2317" s="24"/>
      <c r="DU2317" s="24"/>
    </row>
    <row r="2318" spans="1:125" s="8" customFormat="1" ht="72" x14ac:dyDescent="0.2">
      <c r="A2318" s="353">
        <v>41466</v>
      </c>
      <c r="B2318" s="352" t="s">
        <v>2778</v>
      </c>
      <c r="C2318" s="354" t="s">
        <v>1271</v>
      </c>
      <c r="D2318" s="354" t="s">
        <v>3051</v>
      </c>
      <c r="E2318" s="75" t="str">
        <f>VLOOKUP(B2318&amp;C2318,Divipola!$C$2:$F$1138,4,FALSE)</f>
        <v>85410</v>
      </c>
      <c r="F2318" s="87"/>
      <c r="G2318" s="87"/>
      <c r="H2318" s="87"/>
      <c r="I2318" s="87">
        <v>300</v>
      </c>
      <c r="J2318" s="87">
        <v>60</v>
      </c>
      <c r="K2318" s="87"/>
      <c r="L2318" s="87">
        <v>60</v>
      </c>
      <c r="M2318" s="87"/>
      <c r="N2318" s="87"/>
      <c r="O2318" s="87"/>
      <c r="P2318" s="87"/>
      <c r="Q2318" s="87"/>
      <c r="R2318" s="87"/>
      <c r="S2318" s="87"/>
      <c r="T2318" s="87"/>
      <c r="U2318" s="88"/>
      <c r="V2318" s="89"/>
      <c r="W2318" s="96">
        <v>0</v>
      </c>
      <c r="X2318" s="71">
        <f>CU2318</f>
        <v>0</v>
      </c>
      <c r="Y2318" s="71">
        <f>CY2318</f>
        <v>0</v>
      </c>
      <c r="Z2318" s="71">
        <f>DA2318+DC2318+DE2318</f>
        <v>0</v>
      </c>
      <c r="AA2318" s="71">
        <f>CW2318</f>
        <v>0</v>
      </c>
      <c r="AB2318" s="71"/>
      <c r="AC2318" s="71">
        <v>0</v>
      </c>
      <c r="AD2318" s="71">
        <f>W2318+X2318+Y2318+Z2318+AA2318+AB2318+AC2318</f>
        <v>0</v>
      </c>
      <c r="AE2318" s="72">
        <v>0</v>
      </c>
      <c r="AF2318" s="5"/>
      <c r="AG2318" s="6"/>
      <c r="AH2318" s="27"/>
      <c r="AI2318" s="44"/>
      <c r="AJ2318" s="26"/>
      <c r="AK2318" s="5"/>
      <c r="AL2318" s="82" t="s">
        <v>5195</v>
      </c>
      <c r="AM2318" s="76"/>
      <c r="AN2318" s="76"/>
      <c r="AO2318" s="76"/>
      <c r="AP2318" s="76"/>
      <c r="AQ2318" s="76"/>
      <c r="AR2318" s="76"/>
      <c r="AS2318" s="76"/>
      <c r="AT2318" s="76"/>
      <c r="AU2318" s="76"/>
      <c r="AV2318" s="76"/>
      <c r="AW2318" s="76"/>
      <c r="AX2318" s="76">
        <f>+AW2318*600000</f>
        <v>0</v>
      </c>
      <c r="AY2318" s="76"/>
      <c r="AZ2318" s="76">
        <f>+AY2318*70000</f>
        <v>0</v>
      </c>
      <c r="BA2318" s="76"/>
      <c r="BB2318" s="76"/>
      <c r="BC2318" s="76"/>
      <c r="BD2318" s="76">
        <f>+BC2318*30000</f>
        <v>0</v>
      </c>
      <c r="BE2318" s="76"/>
      <c r="BF2318" s="76"/>
      <c r="BG2318" s="76"/>
      <c r="BH2318" s="76"/>
      <c r="BI2318" s="76"/>
      <c r="BJ2318" s="76"/>
      <c r="BK2318" s="76"/>
      <c r="BL2318" s="76">
        <f>+BK2318*31500</f>
        <v>0</v>
      </c>
      <c r="BM2318" s="76"/>
      <c r="BN2318" s="76"/>
      <c r="BO2318" s="76"/>
      <c r="BP2318" s="76"/>
      <c r="BQ2318" s="76"/>
      <c r="BR2318" s="76"/>
      <c r="BS2318" s="76"/>
      <c r="BT2318" s="76"/>
      <c r="BU2318" s="76"/>
      <c r="BV2318" s="76"/>
      <c r="BW2318" s="76"/>
      <c r="BX2318" s="76"/>
      <c r="BY2318" s="76"/>
      <c r="BZ2318" s="76"/>
      <c r="CA2318" s="76"/>
      <c r="CB2318" s="76"/>
      <c r="CC2318" s="76"/>
      <c r="CD2318" s="76"/>
      <c r="CE2318" s="76"/>
      <c r="CF2318" s="76">
        <f>+CE2318*28000</f>
        <v>0</v>
      </c>
      <c r="CG2318" s="76"/>
      <c r="CH2318" s="76">
        <f>+CG2318*22500</f>
        <v>0</v>
      </c>
      <c r="CI2318" s="76"/>
      <c r="CJ2318" s="76">
        <f>+CI2318*26000</f>
        <v>0</v>
      </c>
      <c r="CK2318" s="76"/>
      <c r="CL2318" s="76"/>
      <c r="CM2318" s="76"/>
      <c r="CN2318" s="76">
        <f>+CM2318*22000</f>
        <v>0</v>
      </c>
      <c r="CO2318" s="76"/>
      <c r="CP2318" s="76">
        <f>+CO2318*46000</f>
        <v>0</v>
      </c>
      <c r="CQ2318" s="76"/>
      <c r="CR2318" s="76">
        <f>+CQ2318*49000</f>
        <v>0</v>
      </c>
      <c r="CS2318" s="76"/>
      <c r="CT2318" s="76"/>
      <c r="CU2318" s="56">
        <f>AN2318+AP2318+AR2318+AT2318+AV2318+AX2318+AZ2318+BB2318+BD2318+BF2318+BH2318+BJ2318+BL2318+BN2318+BP2318+BR2318+BT2318+BV2318+BX2318+BZ2318+CB2318+CD2318+CF2318+CH2318+CJ2318+CL2318+CN2318+CP2318+CR2318+CT2318</f>
        <v>0</v>
      </c>
      <c r="CV2318" s="76"/>
      <c r="CW2318" s="76">
        <f>+CV2318*1100</f>
        <v>0</v>
      </c>
      <c r="CX2318" s="76"/>
      <c r="CY2318" s="76">
        <f>+CX2318*106250</f>
        <v>0</v>
      </c>
      <c r="CZ2318" s="76"/>
      <c r="DA2318" s="76">
        <f>+CZ2318*34500</f>
        <v>0</v>
      </c>
      <c r="DB2318" s="76"/>
      <c r="DC2318" s="76">
        <f>+DB2318*25000</f>
        <v>0</v>
      </c>
      <c r="DD2318" s="219"/>
      <c r="DE2318" s="219"/>
      <c r="DF2318" s="166"/>
      <c r="DG2318" s="116"/>
      <c r="DH2318" s="117"/>
      <c r="DI2318" s="24"/>
      <c r="DJ2318" s="24"/>
      <c r="DK2318" s="24"/>
      <c r="DL2318" s="24"/>
      <c r="DM2318" s="24"/>
      <c r="DN2318" s="24"/>
      <c r="DO2318" s="24"/>
      <c r="DP2318" s="24"/>
      <c r="DQ2318" s="24"/>
      <c r="DR2318" s="24"/>
      <c r="DS2318" s="24"/>
      <c r="DT2318" s="24"/>
      <c r="DU2318" s="24"/>
    </row>
    <row r="2319" spans="1:125" s="8" customFormat="1" ht="144" x14ac:dyDescent="0.2">
      <c r="A2319" s="77">
        <v>41466</v>
      </c>
      <c r="B2319" s="78" t="s">
        <v>2852</v>
      </c>
      <c r="C2319" s="75" t="s">
        <v>2773</v>
      </c>
      <c r="D2319" s="75" t="s">
        <v>3051</v>
      </c>
      <c r="E2319" s="75">
        <f>VLOOKUP(B2319&amp;C2319,Divipola!$C$2:$F$1138,4,FALSE)</f>
        <v>27</v>
      </c>
      <c r="F2319" s="163"/>
      <c r="G2319" s="163"/>
      <c r="H2319" s="163"/>
      <c r="I2319" s="163"/>
      <c r="J2319" s="163"/>
      <c r="K2319" s="163"/>
      <c r="L2319" s="163"/>
      <c r="M2319" s="163"/>
      <c r="N2319" s="163"/>
      <c r="O2319" s="163"/>
      <c r="P2319" s="163"/>
      <c r="Q2319" s="163"/>
      <c r="R2319" s="163"/>
      <c r="S2319" s="163"/>
      <c r="T2319" s="163"/>
      <c r="U2319" s="163"/>
      <c r="V2319" s="134"/>
      <c r="W2319" s="96">
        <v>0</v>
      </c>
      <c r="X2319" s="71">
        <f>CU2319</f>
        <v>0</v>
      </c>
      <c r="Y2319" s="71">
        <f>CY2319</f>
        <v>0</v>
      </c>
      <c r="Z2319" s="71">
        <f>DA2319+DC2319+DE2319</f>
        <v>0</v>
      </c>
      <c r="AA2319" s="71">
        <f>CW2319</f>
        <v>0</v>
      </c>
      <c r="AB2319" s="71"/>
      <c r="AC2319" s="71">
        <v>396239298</v>
      </c>
      <c r="AD2319" s="71">
        <f>W2319+X2319+Y2319+Z2319+AA2319+AB2319+AC2319</f>
        <v>396239298</v>
      </c>
      <c r="AE2319" s="72">
        <v>0</v>
      </c>
      <c r="AF2319" s="5"/>
      <c r="AG2319" s="6"/>
      <c r="AH2319" s="27" t="s">
        <v>3390</v>
      </c>
      <c r="AI2319" s="44" t="s">
        <v>3391</v>
      </c>
      <c r="AJ2319" s="26"/>
      <c r="AK2319" s="5"/>
      <c r="AL2319" s="82" t="s">
        <v>5180</v>
      </c>
      <c r="AM2319" s="76"/>
      <c r="AN2319" s="76"/>
      <c r="AO2319" s="76"/>
      <c r="AP2319" s="76"/>
      <c r="AQ2319" s="76"/>
      <c r="AR2319" s="76"/>
      <c r="AS2319" s="76"/>
      <c r="AT2319" s="76"/>
      <c r="AU2319" s="76"/>
      <c r="AV2319" s="76"/>
      <c r="AW2319" s="76"/>
      <c r="AX2319" s="76">
        <f>+AW2319*600000</f>
        <v>0</v>
      </c>
      <c r="AY2319" s="76"/>
      <c r="AZ2319" s="76">
        <f>+AY2319*70000</f>
        <v>0</v>
      </c>
      <c r="BA2319" s="76"/>
      <c r="BB2319" s="76"/>
      <c r="BC2319" s="76"/>
      <c r="BD2319" s="76">
        <f>+BC2319*30000</f>
        <v>0</v>
      </c>
      <c r="BE2319" s="76"/>
      <c r="BF2319" s="76"/>
      <c r="BG2319" s="76"/>
      <c r="BH2319" s="76"/>
      <c r="BI2319" s="76"/>
      <c r="BJ2319" s="76"/>
      <c r="BK2319" s="76"/>
      <c r="BL2319" s="76">
        <f>+BK2319*31500</f>
        <v>0</v>
      </c>
      <c r="BM2319" s="76"/>
      <c r="BN2319" s="76"/>
      <c r="BO2319" s="76"/>
      <c r="BP2319" s="76"/>
      <c r="BQ2319" s="76"/>
      <c r="BR2319" s="76"/>
      <c r="BS2319" s="76"/>
      <c r="BT2319" s="76"/>
      <c r="BU2319" s="76"/>
      <c r="BV2319" s="76"/>
      <c r="BW2319" s="76"/>
      <c r="BX2319" s="76"/>
      <c r="BY2319" s="76"/>
      <c r="BZ2319" s="76"/>
      <c r="CA2319" s="76"/>
      <c r="CB2319" s="76"/>
      <c r="CC2319" s="76"/>
      <c r="CD2319" s="76"/>
      <c r="CE2319" s="76"/>
      <c r="CF2319" s="76">
        <f>+CE2319*28000</f>
        <v>0</v>
      </c>
      <c r="CG2319" s="76"/>
      <c r="CH2319" s="76">
        <f>+CG2319*22500</f>
        <v>0</v>
      </c>
      <c r="CI2319" s="76"/>
      <c r="CJ2319" s="76">
        <f>+CI2319*26000</f>
        <v>0</v>
      </c>
      <c r="CK2319" s="76"/>
      <c r="CL2319" s="76"/>
      <c r="CM2319" s="76"/>
      <c r="CN2319" s="76">
        <f>+CM2319*22000</f>
        <v>0</v>
      </c>
      <c r="CO2319" s="76"/>
      <c r="CP2319" s="76">
        <f>+CO2319*46000</f>
        <v>0</v>
      </c>
      <c r="CQ2319" s="76"/>
      <c r="CR2319" s="76">
        <f>+CQ2319*49000</f>
        <v>0</v>
      </c>
      <c r="CS2319" s="76"/>
      <c r="CT2319" s="76"/>
      <c r="CU2319" s="56">
        <f>AN2319+AP2319+AR2319+AT2319+AV2319+AX2319+AZ2319+BB2319+BD2319+BF2319+BH2319+BJ2319+BL2319+BN2319+BP2319+BR2319+BT2319+BV2319+BX2319+BZ2319+CB2319+CD2319+CF2319+CH2319+CJ2319+CL2319+CN2319+CP2319+CR2319+CT2319</f>
        <v>0</v>
      </c>
      <c r="CV2319" s="76"/>
      <c r="CW2319" s="76">
        <f>+CV2319*1100</f>
        <v>0</v>
      </c>
      <c r="CX2319" s="76"/>
      <c r="CY2319" s="76">
        <f>+CX2319*106250</f>
        <v>0</v>
      </c>
      <c r="CZ2319" s="76"/>
      <c r="DA2319" s="76">
        <f>+CZ2319*34500</f>
        <v>0</v>
      </c>
      <c r="DB2319" s="76"/>
      <c r="DC2319" s="76">
        <f>+DB2319*25000</f>
        <v>0</v>
      </c>
      <c r="DD2319" s="219"/>
      <c r="DE2319" s="219"/>
      <c r="DF2319" s="166"/>
      <c r="DG2319" s="116"/>
      <c r="DH2319" s="117"/>
      <c r="DI2319" s="24"/>
      <c r="DJ2319" s="24"/>
      <c r="DK2319" s="24"/>
      <c r="DL2319" s="24"/>
      <c r="DM2319" s="24"/>
      <c r="DN2319" s="24"/>
      <c r="DO2319" s="24"/>
      <c r="DP2319" s="24"/>
      <c r="DQ2319" s="24"/>
      <c r="DR2319" s="24"/>
      <c r="DS2319" s="24"/>
      <c r="DT2319" s="24"/>
      <c r="DU2319" s="24"/>
    </row>
    <row r="2320" spans="1:125" s="8" customFormat="1" ht="96" x14ac:dyDescent="0.2">
      <c r="A2320" s="353">
        <v>41466</v>
      </c>
      <c r="B2320" s="208" t="s">
        <v>2772</v>
      </c>
      <c r="C2320" s="354" t="s">
        <v>1337</v>
      </c>
      <c r="D2320" s="354" t="s">
        <v>3635</v>
      </c>
      <c r="E2320" s="75" t="str">
        <f>VLOOKUP(B2320&amp;C2320,Divipola!$C$2:$F$1138,4,FALSE)</f>
        <v>25407</v>
      </c>
      <c r="F2320" s="87">
        <v>1</v>
      </c>
      <c r="G2320" s="87"/>
      <c r="H2320" s="87"/>
      <c r="I2320" s="87">
        <v>1</v>
      </c>
      <c r="J2320" s="87"/>
      <c r="K2320" s="87"/>
      <c r="L2320" s="87"/>
      <c r="M2320" s="87"/>
      <c r="N2320" s="87"/>
      <c r="O2320" s="87"/>
      <c r="P2320" s="87"/>
      <c r="Q2320" s="87"/>
      <c r="R2320" s="87"/>
      <c r="S2320" s="87"/>
      <c r="T2320" s="87"/>
      <c r="U2320" s="88"/>
      <c r="V2320" s="89"/>
      <c r="W2320" s="96">
        <v>0</v>
      </c>
      <c r="X2320" s="71">
        <f>CU2320</f>
        <v>0</v>
      </c>
      <c r="Y2320" s="71">
        <f>CY2320</f>
        <v>0</v>
      </c>
      <c r="Z2320" s="71">
        <f>DA2320+DC2320+DE2320</f>
        <v>0</v>
      </c>
      <c r="AA2320" s="71">
        <f>CW2320</f>
        <v>0</v>
      </c>
      <c r="AB2320" s="71"/>
      <c r="AC2320" s="71">
        <v>0</v>
      </c>
      <c r="AD2320" s="71">
        <f>W2320+X2320+Y2320+Z2320+AA2320+AB2320+AC2320</f>
        <v>0</v>
      </c>
      <c r="AE2320" s="72">
        <v>0</v>
      </c>
      <c r="AF2320" s="5"/>
      <c r="AG2320" s="6"/>
      <c r="AH2320" s="27"/>
      <c r="AI2320" s="44"/>
      <c r="AJ2320" s="26"/>
      <c r="AK2320" s="5"/>
      <c r="AL2320" s="82" t="s">
        <v>5202</v>
      </c>
      <c r="AM2320" s="76"/>
      <c r="AN2320" s="76"/>
      <c r="AO2320" s="76"/>
      <c r="AP2320" s="76"/>
      <c r="AQ2320" s="76"/>
      <c r="AR2320" s="76"/>
      <c r="AS2320" s="76"/>
      <c r="AT2320" s="76"/>
      <c r="AU2320" s="76"/>
      <c r="AV2320" s="76"/>
      <c r="AW2320" s="76"/>
      <c r="AX2320" s="76">
        <f>+AW2320*600000</f>
        <v>0</v>
      </c>
      <c r="AY2320" s="76"/>
      <c r="AZ2320" s="76">
        <f>+AY2320*70000</f>
        <v>0</v>
      </c>
      <c r="BA2320" s="76"/>
      <c r="BB2320" s="76"/>
      <c r="BC2320" s="76"/>
      <c r="BD2320" s="76">
        <f>+BC2320*30000</f>
        <v>0</v>
      </c>
      <c r="BE2320" s="76"/>
      <c r="BF2320" s="76"/>
      <c r="BG2320" s="76"/>
      <c r="BH2320" s="76"/>
      <c r="BI2320" s="76"/>
      <c r="BJ2320" s="76"/>
      <c r="BK2320" s="76"/>
      <c r="BL2320" s="76">
        <f>+BK2320*31500</f>
        <v>0</v>
      </c>
      <c r="BM2320" s="76"/>
      <c r="BN2320" s="76"/>
      <c r="BO2320" s="76"/>
      <c r="BP2320" s="76"/>
      <c r="BQ2320" s="76"/>
      <c r="BR2320" s="76"/>
      <c r="BS2320" s="76"/>
      <c r="BT2320" s="76"/>
      <c r="BU2320" s="76"/>
      <c r="BV2320" s="76"/>
      <c r="BW2320" s="76"/>
      <c r="BX2320" s="76"/>
      <c r="BY2320" s="76"/>
      <c r="BZ2320" s="76"/>
      <c r="CA2320" s="76"/>
      <c r="CB2320" s="76"/>
      <c r="CC2320" s="76"/>
      <c r="CD2320" s="76"/>
      <c r="CE2320" s="76"/>
      <c r="CF2320" s="76">
        <f>+CE2320*28000</f>
        <v>0</v>
      </c>
      <c r="CG2320" s="76"/>
      <c r="CH2320" s="76">
        <f>+CG2320*22500</f>
        <v>0</v>
      </c>
      <c r="CI2320" s="76"/>
      <c r="CJ2320" s="76">
        <f>+CI2320*26000</f>
        <v>0</v>
      </c>
      <c r="CK2320" s="76"/>
      <c r="CL2320" s="76"/>
      <c r="CM2320" s="76"/>
      <c r="CN2320" s="76">
        <f>+CM2320*22000</f>
        <v>0</v>
      </c>
      <c r="CO2320" s="76"/>
      <c r="CP2320" s="76">
        <f>+CO2320*46000</f>
        <v>0</v>
      </c>
      <c r="CQ2320" s="76"/>
      <c r="CR2320" s="76">
        <f>+CQ2320*49000</f>
        <v>0</v>
      </c>
      <c r="CS2320" s="76"/>
      <c r="CT2320" s="76"/>
      <c r="CU2320" s="56">
        <f>AN2320+AP2320+AR2320+AT2320+AV2320+AX2320+AZ2320+BB2320+BD2320+BF2320+BH2320+BJ2320+BL2320+BN2320+BP2320+BR2320+BT2320+BV2320+BX2320+BZ2320+CB2320+CD2320+CF2320+CH2320+CJ2320+CL2320+CN2320+CP2320+CR2320+CT2320</f>
        <v>0</v>
      </c>
      <c r="CV2320" s="76"/>
      <c r="CW2320" s="76">
        <f>+CV2320*1100</f>
        <v>0</v>
      </c>
      <c r="CX2320" s="76"/>
      <c r="CY2320" s="76">
        <f>+CX2320*106250</f>
        <v>0</v>
      </c>
      <c r="CZ2320" s="76"/>
      <c r="DA2320" s="76">
        <f>+CZ2320*34500</f>
        <v>0</v>
      </c>
      <c r="DB2320" s="76"/>
      <c r="DC2320" s="76">
        <f>+DB2320*25000</f>
        <v>0</v>
      </c>
      <c r="DD2320" s="219"/>
      <c r="DE2320" s="219"/>
      <c r="DF2320" s="166"/>
      <c r="DG2320" s="116"/>
      <c r="DH2320" s="117"/>
      <c r="DI2320" s="24"/>
      <c r="DJ2320" s="24"/>
      <c r="DK2320" s="24"/>
      <c r="DL2320" s="24"/>
      <c r="DM2320" s="24"/>
      <c r="DN2320" s="24"/>
      <c r="DO2320" s="24"/>
      <c r="DP2320" s="24"/>
      <c r="DQ2320" s="24"/>
      <c r="DR2320" s="24"/>
      <c r="DS2320" s="24"/>
      <c r="DT2320" s="24"/>
      <c r="DU2320" s="24"/>
    </row>
    <row r="2321" spans="1:125" s="8" customFormat="1" ht="108" x14ac:dyDescent="0.2">
      <c r="A2321" s="77">
        <v>41466</v>
      </c>
      <c r="B2321" s="77" t="s">
        <v>3136</v>
      </c>
      <c r="C2321" s="77" t="s">
        <v>2204</v>
      </c>
      <c r="D2321" s="77" t="s">
        <v>2882</v>
      </c>
      <c r="E2321" s="75" t="str">
        <f>VLOOKUP(B2321&amp;C2321,Divipola!$C$2:$F$1138,4,FALSE)</f>
        <v>44001</v>
      </c>
      <c r="F2321" s="87"/>
      <c r="G2321" s="87"/>
      <c r="H2321" s="87"/>
      <c r="I2321" s="87">
        <v>200</v>
      </c>
      <c r="J2321" s="87">
        <v>40</v>
      </c>
      <c r="K2321" s="87"/>
      <c r="L2321" s="87">
        <v>40</v>
      </c>
      <c r="M2321" s="87"/>
      <c r="N2321" s="87"/>
      <c r="O2321" s="87"/>
      <c r="P2321" s="87"/>
      <c r="Q2321" s="87"/>
      <c r="R2321" s="87"/>
      <c r="S2321" s="87">
        <v>1</v>
      </c>
      <c r="T2321" s="87"/>
      <c r="U2321" s="88"/>
      <c r="V2321" s="89"/>
      <c r="W2321" s="96">
        <v>0</v>
      </c>
      <c r="X2321" s="71">
        <v>0</v>
      </c>
      <c r="Y2321" s="71">
        <v>0</v>
      </c>
      <c r="Z2321" s="71">
        <v>0</v>
      </c>
      <c r="AA2321" s="71">
        <v>0</v>
      </c>
      <c r="AB2321" s="71"/>
      <c r="AC2321" s="71">
        <v>0</v>
      </c>
      <c r="AD2321" s="71">
        <v>0</v>
      </c>
      <c r="AE2321" s="5"/>
      <c r="AF2321" s="6"/>
      <c r="AG2321" s="27"/>
      <c r="AH2321" s="44"/>
      <c r="AI2321" s="26"/>
      <c r="AJ2321" s="5"/>
      <c r="AK2321" s="9"/>
      <c r="AL2321" s="82" t="s">
        <v>5226</v>
      </c>
      <c r="AM2321" s="76"/>
      <c r="AN2321" s="76"/>
      <c r="AO2321" s="76"/>
      <c r="AP2321" s="76"/>
      <c r="AQ2321" s="76"/>
      <c r="AR2321" s="76"/>
      <c r="AS2321" s="76"/>
      <c r="AT2321" s="76"/>
      <c r="AU2321" s="76"/>
      <c r="AV2321" s="76"/>
      <c r="AW2321" s="76"/>
      <c r="AX2321" s="76">
        <f>+AW2321*600000</f>
        <v>0</v>
      </c>
      <c r="AY2321" s="76"/>
      <c r="AZ2321" s="76">
        <f>+AY2321*70000</f>
        <v>0</v>
      </c>
      <c r="BA2321" s="76"/>
      <c r="BB2321" s="76"/>
      <c r="BC2321" s="76"/>
      <c r="BD2321" s="76">
        <f>+BC2321*30000</f>
        <v>0</v>
      </c>
      <c r="BE2321" s="76"/>
      <c r="BF2321" s="76"/>
      <c r="BG2321" s="76"/>
      <c r="BH2321" s="76"/>
      <c r="BI2321" s="76"/>
      <c r="BJ2321" s="76"/>
      <c r="BK2321" s="76"/>
      <c r="BL2321" s="76">
        <f>+BK2321*31500</f>
        <v>0</v>
      </c>
      <c r="BM2321" s="76"/>
      <c r="BN2321" s="76"/>
      <c r="BO2321" s="76"/>
      <c r="BP2321" s="76"/>
      <c r="BQ2321" s="76"/>
      <c r="BR2321" s="76"/>
      <c r="BS2321" s="76"/>
      <c r="BT2321" s="76"/>
      <c r="BU2321" s="76"/>
      <c r="BV2321" s="76"/>
      <c r="BW2321" s="76"/>
      <c r="BX2321" s="76"/>
      <c r="BY2321" s="76"/>
      <c r="BZ2321" s="76"/>
      <c r="CA2321" s="76"/>
      <c r="CB2321" s="76"/>
      <c r="CC2321" s="76"/>
      <c r="CD2321" s="76"/>
      <c r="CE2321" s="76"/>
      <c r="CF2321" s="76">
        <f>+CE2321*28000</f>
        <v>0</v>
      </c>
      <c r="CG2321" s="76"/>
      <c r="CH2321" s="76">
        <f>+CG2321*22500</f>
        <v>0</v>
      </c>
      <c r="CI2321" s="76"/>
      <c r="CJ2321" s="76">
        <f>+CI2321*26000</f>
        <v>0</v>
      </c>
      <c r="CK2321" s="76"/>
      <c r="CL2321" s="76"/>
      <c r="CM2321" s="76"/>
      <c r="CN2321" s="76">
        <f>+CM2321*22000</f>
        <v>0</v>
      </c>
      <c r="CO2321" s="76"/>
      <c r="CP2321" s="76">
        <f>+CO2321*46000</f>
        <v>0</v>
      </c>
      <c r="CQ2321" s="76"/>
      <c r="CR2321" s="76">
        <f>+CQ2321*49000</f>
        <v>0</v>
      </c>
      <c r="CS2321" s="76"/>
      <c r="CT2321" s="76"/>
      <c r="CU2321" s="56">
        <f>AN2321+AP2321+AR2321+AT2321+AV2321+AX2321+AZ2321+BB2321+BD2321+BF2321+BH2321+BJ2321+BL2321+BN2321+BP2321+BR2321+BT2321+BV2321+BX2321+BZ2321+CB2321+CD2321+CF2321+CH2321+CJ2321+CL2321+CN2321+CP2321+CR2321+CT2321</f>
        <v>0</v>
      </c>
      <c r="CV2321" s="76"/>
      <c r="CW2321" s="76">
        <f>+CV2321*1100</f>
        <v>0</v>
      </c>
      <c r="CX2321" s="76"/>
      <c r="CY2321" s="76">
        <f>+CX2321*106250</f>
        <v>0</v>
      </c>
      <c r="CZ2321" s="76"/>
      <c r="DA2321" s="76">
        <f>+CZ2321*34500</f>
        <v>0</v>
      </c>
      <c r="DB2321" s="76"/>
      <c r="DC2321" s="76">
        <f>+DB2321*25000</f>
        <v>0</v>
      </c>
      <c r="DD2321" s="219"/>
      <c r="DE2321" s="219"/>
      <c r="DF2321" s="166"/>
      <c r="DG2321" s="116"/>
      <c r="DH2321" s="117"/>
      <c r="DI2321" s="24"/>
      <c r="DJ2321" s="24"/>
      <c r="DK2321" s="24"/>
      <c r="DL2321" s="24"/>
      <c r="DM2321" s="24"/>
      <c r="DN2321" s="24"/>
      <c r="DO2321" s="24"/>
      <c r="DP2321" s="24"/>
      <c r="DQ2321" s="24"/>
      <c r="DR2321" s="24"/>
      <c r="DS2321" s="24"/>
      <c r="DT2321" s="24"/>
      <c r="DU2321" s="24"/>
    </row>
    <row r="2322" spans="1:125" s="8" customFormat="1" ht="60" x14ac:dyDescent="0.2">
      <c r="A2322" s="353">
        <v>41466</v>
      </c>
      <c r="B2322" s="352" t="s">
        <v>1326</v>
      </c>
      <c r="C2322" s="354" t="s">
        <v>1326</v>
      </c>
      <c r="D2322" s="354" t="s">
        <v>2882</v>
      </c>
      <c r="E2322" s="75" t="str">
        <f>VLOOKUP(B2322&amp;C2322,Divipola!$C$2:$F$1138,4,FALSE)</f>
        <v>70771</v>
      </c>
      <c r="F2322" s="87"/>
      <c r="G2322" s="87"/>
      <c r="H2322" s="87"/>
      <c r="I2322" s="87">
        <v>35</v>
      </c>
      <c r="J2322" s="87">
        <v>5</v>
      </c>
      <c r="K2322" s="87"/>
      <c r="L2322" s="87">
        <v>5</v>
      </c>
      <c r="M2322" s="87"/>
      <c r="N2322" s="87"/>
      <c r="O2322" s="87"/>
      <c r="P2322" s="87"/>
      <c r="Q2322" s="87"/>
      <c r="R2322" s="87"/>
      <c r="S2322" s="87"/>
      <c r="T2322" s="87"/>
      <c r="U2322" s="88"/>
      <c r="V2322" s="89"/>
      <c r="W2322" s="96">
        <v>0</v>
      </c>
      <c r="X2322" s="71">
        <f>CU2322</f>
        <v>0</v>
      </c>
      <c r="Y2322" s="71">
        <f>CY2322</f>
        <v>0</v>
      </c>
      <c r="Z2322" s="71">
        <f>DA2322+DC2322+DE2322</f>
        <v>0</v>
      </c>
      <c r="AA2322" s="71">
        <f>CW2322</f>
        <v>0</v>
      </c>
      <c r="AB2322" s="71"/>
      <c r="AC2322" s="71">
        <v>0</v>
      </c>
      <c r="AD2322" s="71">
        <f>W2322+X2322+Y2322+Z2322+AA2322+AB2322+AC2322</f>
        <v>0</v>
      </c>
      <c r="AE2322" s="72">
        <v>0</v>
      </c>
      <c r="AF2322" s="5"/>
      <c r="AG2322" s="6"/>
      <c r="AH2322" s="27"/>
      <c r="AI2322" s="44"/>
      <c r="AJ2322" s="26"/>
      <c r="AK2322" s="5"/>
      <c r="AL2322" s="82" t="s">
        <v>5198</v>
      </c>
      <c r="AM2322" s="76"/>
      <c r="AN2322" s="76"/>
      <c r="AO2322" s="76"/>
      <c r="AP2322" s="76"/>
      <c r="AQ2322" s="76"/>
      <c r="AR2322" s="76"/>
      <c r="AS2322" s="76"/>
      <c r="AT2322" s="76"/>
      <c r="AU2322" s="76"/>
      <c r="AV2322" s="76"/>
      <c r="AW2322" s="76"/>
      <c r="AX2322" s="76">
        <f>+AW2322*600000</f>
        <v>0</v>
      </c>
      <c r="AY2322" s="76"/>
      <c r="AZ2322" s="76">
        <f>+AY2322*70000</f>
        <v>0</v>
      </c>
      <c r="BA2322" s="76"/>
      <c r="BB2322" s="76"/>
      <c r="BC2322" s="76"/>
      <c r="BD2322" s="76">
        <f>+BC2322*30000</f>
        <v>0</v>
      </c>
      <c r="BE2322" s="76"/>
      <c r="BF2322" s="76"/>
      <c r="BG2322" s="76"/>
      <c r="BH2322" s="76"/>
      <c r="BI2322" s="76"/>
      <c r="BJ2322" s="76"/>
      <c r="BK2322" s="76"/>
      <c r="BL2322" s="76">
        <f>+BK2322*31500</f>
        <v>0</v>
      </c>
      <c r="BM2322" s="76"/>
      <c r="BN2322" s="76"/>
      <c r="BO2322" s="76"/>
      <c r="BP2322" s="76"/>
      <c r="BQ2322" s="76"/>
      <c r="BR2322" s="76"/>
      <c r="BS2322" s="76"/>
      <c r="BT2322" s="76"/>
      <c r="BU2322" s="76"/>
      <c r="BV2322" s="76"/>
      <c r="BW2322" s="76"/>
      <c r="BX2322" s="76"/>
      <c r="BY2322" s="76"/>
      <c r="BZ2322" s="76"/>
      <c r="CA2322" s="76"/>
      <c r="CB2322" s="76"/>
      <c r="CC2322" s="76"/>
      <c r="CD2322" s="76"/>
      <c r="CE2322" s="76"/>
      <c r="CF2322" s="76">
        <f>+CE2322*28000</f>
        <v>0</v>
      </c>
      <c r="CG2322" s="76"/>
      <c r="CH2322" s="76">
        <f>+CG2322*22500</f>
        <v>0</v>
      </c>
      <c r="CI2322" s="76"/>
      <c r="CJ2322" s="76">
        <f>+CI2322*26000</f>
        <v>0</v>
      </c>
      <c r="CK2322" s="76"/>
      <c r="CL2322" s="76"/>
      <c r="CM2322" s="76"/>
      <c r="CN2322" s="76">
        <f>+CM2322*22000</f>
        <v>0</v>
      </c>
      <c r="CO2322" s="76"/>
      <c r="CP2322" s="76">
        <f>+CO2322*46000</f>
        <v>0</v>
      </c>
      <c r="CQ2322" s="76"/>
      <c r="CR2322" s="76">
        <f>+CQ2322*49000</f>
        <v>0</v>
      </c>
      <c r="CS2322" s="76"/>
      <c r="CT2322" s="76"/>
      <c r="CU2322" s="56">
        <f>AN2322+AP2322+AR2322+AT2322+AV2322+AX2322+AZ2322+BB2322+BD2322+BF2322+BH2322+BJ2322+BL2322+BN2322+BP2322+BR2322+BT2322+BV2322+BX2322+BZ2322+CB2322+CD2322+CF2322+CH2322+CJ2322+CL2322+CN2322+CP2322+CR2322+CT2322</f>
        <v>0</v>
      </c>
      <c r="CV2322" s="76"/>
      <c r="CW2322" s="76">
        <f>+CV2322*1100</f>
        <v>0</v>
      </c>
      <c r="CX2322" s="76"/>
      <c r="CY2322" s="76">
        <f>+CX2322*106250</f>
        <v>0</v>
      </c>
      <c r="CZ2322" s="76"/>
      <c r="DA2322" s="76">
        <f>+CZ2322*34500</f>
        <v>0</v>
      </c>
      <c r="DB2322" s="76"/>
      <c r="DC2322" s="76">
        <f>+DB2322*25000</f>
        <v>0</v>
      </c>
      <c r="DD2322" s="219"/>
      <c r="DE2322" s="219"/>
      <c r="DF2322" s="166"/>
      <c r="DG2322" s="116"/>
      <c r="DH2322" s="117"/>
      <c r="DI2322" s="24"/>
      <c r="DJ2322" s="24"/>
      <c r="DK2322" s="24"/>
      <c r="DL2322" s="24"/>
      <c r="DM2322" s="24"/>
      <c r="DN2322" s="24"/>
      <c r="DO2322" s="24"/>
      <c r="DP2322" s="24"/>
      <c r="DQ2322" s="24"/>
      <c r="DR2322" s="24"/>
      <c r="DS2322" s="24"/>
      <c r="DT2322" s="24"/>
      <c r="DU2322" s="24"/>
    </row>
    <row r="2323" spans="1:125" s="8" customFormat="1" ht="96" x14ac:dyDescent="0.2">
      <c r="A2323" s="226">
        <v>41466</v>
      </c>
      <c r="B2323" s="225" t="s">
        <v>2848</v>
      </c>
      <c r="C2323" s="227" t="s">
        <v>2755</v>
      </c>
      <c r="D2323" s="354" t="s">
        <v>4391</v>
      </c>
      <c r="E2323" s="75" t="str">
        <f>VLOOKUP(B2323&amp;C2323,Divipola!$C$2:$F$1138,4,FALSE)</f>
        <v>73001</v>
      </c>
      <c r="F2323" s="87">
        <v>1</v>
      </c>
      <c r="G2323" s="87"/>
      <c r="H2323" s="87"/>
      <c r="I2323" s="87"/>
      <c r="J2323" s="87"/>
      <c r="K2323" s="87"/>
      <c r="L2323" s="87"/>
      <c r="M2323" s="87"/>
      <c r="N2323" s="87"/>
      <c r="O2323" s="87"/>
      <c r="P2323" s="87"/>
      <c r="Q2323" s="87"/>
      <c r="R2323" s="87"/>
      <c r="S2323" s="87"/>
      <c r="T2323" s="87"/>
      <c r="U2323" s="88"/>
      <c r="V2323" s="89"/>
      <c r="W2323" s="96">
        <v>0</v>
      </c>
      <c r="X2323" s="71">
        <f>CU2323</f>
        <v>0</v>
      </c>
      <c r="Y2323" s="71">
        <f>CY2323</f>
        <v>0</v>
      </c>
      <c r="Z2323" s="71">
        <f>DA2323+DC2323+DE2323</f>
        <v>0</v>
      </c>
      <c r="AA2323" s="71">
        <f>CW2323</f>
        <v>0</v>
      </c>
      <c r="AB2323" s="71"/>
      <c r="AC2323" s="71">
        <v>0</v>
      </c>
      <c r="AD2323" s="71">
        <f>W2323+X2323+Y2323+Z2323+AA2323+AB2323+AC2323</f>
        <v>0</v>
      </c>
      <c r="AE2323" s="72">
        <v>0</v>
      </c>
      <c r="AF2323" s="5"/>
      <c r="AG2323" s="6"/>
      <c r="AH2323" s="27"/>
      <c r="AI2323" s="44"/>
      <c r="AJ2323" s="26"/>
      <c r="AK2323" s="5"/>
      <c r="AL2323" s="82" t="s">
        <v>5189</v>
      </c>
      <c r="AM2323" s="76"/>
      <c r="AN2323" s="76"/>
      <c r="AO2323" s="76"/>
      <c r="AP2323" s="76"/>
      <c r="AQ2323" s="76"/>
      <c r="AR2323" s="76"/>
      <c r="AS2323" s="76"/>
      <c r="AT2323" s="76"/>
      <c r="AU2323" s="76"/>
      <c r="AV2323" s="76"/>
      <c r="AW2323" s="76"/>
      <c r="AX2323" s="76">
        <f>+AW2323*600000</f>
        <v>0</v>
      </c>
      <c r="AY2323" s="76"/>
      <c r="AZ2323" s="76">
        <f>+AY2323*70000</f>
        <v>0</v>
      </c>
      <c r="BA2323" s="76"/>
      <c r="BB2323" s="76"/>
      <c r="BC2323" s="76"/>
      <c r="BD2323" s="76">
        <f>+BC2323*30000</f>
        <v>0</v>
      </c>
      <c r="BE2323" s="76"/>
      <c r="BF2323" s="76"/>
      <c r="BG2323" s="76"/>
      <c r="BH2323" s="76"/>
      <c r="BI2323" s="76"/>
      <c r="BJ2323" s="76"/>
      <c r="BK2323" s="76"/>
      <c r="BL2323" s="76">
        <f>+BK2323*31500</f>
        <v>0</v>
      </c>
      <c r="BM2323" s="76"/>
      <c r="BN2323" s="76"/>
      <c r="BO2323" s="76"/>
      <c r="BP2323" s="76"/>
      <c r="BQ2323" s="76"/>
      <c r="BR2323" s="76"/>
      <c r="BS2323" s="76"/>
      <c r="BT2323" s="76"/>
      <c r="BU2323" s="76"/>
      <c r="BV2323" s="76"/>
      <c r="BW2323" s="76"/>
      <c r="BX2323" s="76"/>
      <c r="BY2323" s="76"/>
      <c r="BZ2323" s="76"/>
      <c r="CA2323" s="76"/>
      <c r="CB2323" s="76"/>
      <c r="CC2323" s="76"/>
      <c r="CD2323" s="76"/>
      <c r="CE2323" s="76"/>
      <c r="CF2323" s="76">
        <f>+CE2323*28000</f>
        <v>0</v>
      </c>
      <c r="CG2323" s="76"/>
      <c r="CH2323" s="76">
        <f>+CG2323*22500</f>
        <v>0</v>
      </c>
      <c r="CI2323" s="76"/>
      <c r="CJ2323" s="76">
        <f>+CI2323*26000</f>
        <v>0</v>
      </c>
      <c r="CK2323" s="76"/>
      <c r="CL2323" s="76"/>
      <c r="CM2323" s="76"/>
      <c r="CN2323" s="76">
        <f>+CM2323*22000</f>
        <v>0</v>
      </c>
      <c r="CO2323" s="76"/>
      <c r="CP2323" s="76">
        <f>+CO2323*46000</f>
        <v>0</v>
      </c>
      <c r="CQ2323" s="76"/>
      <c r="CR2323" s="76">
        <f>+CQ2323*49000</f>
        <v>0</v>
      </c>
      <c r="CS2323" s="76"/>
      <c r="CT2323" s="76"/>
      <c r="CU2323" s="56">
        <f>AN2323+AP2323+AR2323+AT2323+AV2323+AX2323+AZ2323+BB2323+BD2323+BF2323+BH2323+BJ2323+BL2323+BN2323+BP2323+BR2323+BT2323+BV2323+BX2323+BZ2323+CB2323+CD2323+CF2323+CH2323+CJ2323+CL2323+CN2323+CP2323+CR2323+CT2323</f>
        <v>0</v>
      </c>
      <c r="CV2323" s="76"/>
      <c r="CW2323" s="76">
        <f>+CV2323*1100</f>
        <v>0</v>
      </c>
      <c r="CX2323" s="76"/>
      <c r="CY2323" s="76">
        <f>+CX2323*106250</f>
        <v>0</v>
      </c>
      <c r="CZ2323" s="76"/>
      <c r="DA2323" s="76">
        <f>+CZ2323*34500</f>
        <v>0</v>
      </c>
      <c r="DB2323" s="76"/>
      <c r="DC2323" s="76">
        <f>+DB2323*25000</f>
        <v>0</v>
      </c>
      <c r="DD2323" s="219"/>
      <c r="DE2323" s="219"/>
      <c r="DF2323" s="166"/>
      <c r="DG2323" s="116"/>
      <c r="DH2323" s="117"/>
      <c r="DI2323" s="24"/>
      <c r="DJ2323" s="24"/>
      <c r="DK2323" s="24"/>
      <c r="DL2323" s="24"/>
      <c r="DM2323" s="24"/>
      <c r="DN2323" s="24"/>
      <c r="DO2323" s="24"/>
      <c r="DP2323" s="24"/>
      <c r="DQ2323" s="24"/>
      <c r="DR2323" s="24"/>
      <c r="DS2323" s="24"/>
      <c r="DT2323" s="24"/>
      <c r="DU2323" s="24"/>
    </row>
    <row r="2324" spans="1:125" s="8" customFormat="1" ht="108" x14ac:dyDescent="0.2">
      <c r="A2324" s="353">
        <v>41466</v>
      </c>
      <c r="B2324" s="352" t="s">
        <v>2851</v>
      </c>
      <c r="C2324" s="354" t="s">
        <v>2668</v>
      </c>
      <c r="D2324" s="354" t="s">
        <v>2859</v>
      </c>
      <c r="E2324" s="75" t="str">
        <f>VLOOKUP(B2324&amp;C2324,Divipola!$C$2:$F$1138,4,FALSE)</f>
        <v>76520</v>
      </c>
      <c r="F2324" s="87"/>
      <c r="G2324" s="87"/>
      <c r="H2324" s="87"/>
      <c r="I2324" s="87">
        <v>5</v>
      </c>
      <c r="J2324" s="87">
        <v>1</v>
      </c>
      <c r="K2324" s="87"/>
      <c r="L2324" s="87">
        <v>1</v>
      </c>
      <c r="M2324" s="87"/>
      <c r="N2324" s="87"/>
      <c r="O2324" s="87"/>
      <c r="P2324" s="87"/>
      <c r="Q2324" s="87"/>
      <c r="R2324" s="87"/>
      <c r="S2324" s="87"/>
      <c r="T2324" s="87"/>
      <c r="U2324" s="88"/>
      <c r="V2324" s="89"/>
      <c r="W2324" s="96">
        <v>0</v>
      </c>
      <c r="X2324" s="71">
        <f>CU2324</f>
        <v>0</v>
      </c>
      <c r="Y2324" s="71">
        <f>CY2324</f>
        <v>0</v>
      </c>
      <c r="Z2324" s="71">
        <f>DA2324+DC2324+DE2324</f>
        <v>0</v>
      </c>
      <c r="AA2324" s="71">
        <f>CW2324</f>
        <v>0</v>
      </c>
      <c r="AB2324" s="71"/>
      <c r="AC2324" s="71">
        <v>0</v>
      </c>
      <c r="AD2324" s="71">
        <f>W2324+X2324+Y2324+Z2324+AA2324+AB2324+AC2324</f>
        <v>0</v>
      </c>
      <c r="AE2324" s="72">
        <v>0</v>
      </c>
      <c r="AF2324" s="5"/>
      <c r="AG2324" s="6"/>
      <c r="AH2324" s="27"/>
      <c r="AI2324" s="44"/>
      <c r="AJ2324" s="26"/>
      <c r="AK2324" s="5"/>
      <c r="AL2324" s="82" t="s">
        <v>5200</v>
      </c>
      <c r="AM2324" s="76"/>
      <c r="AN2324" s="76"/>
      <c r="AO2324" s="76"/>
      <c r="AP2324" s="76"/>
      <c r="AQ2324" s="76"/>
      <c r="AR2324" s="76"/>
      <c r="AS2324" s="76"/>
      <c r="AT2324" s="76"/>
      <c r="AU2324" s="76"/>
      <c r="AV2324" s="76"/>
      <c r="AW2324" s="76"/>
      <c r="AX2324" s="76">
        <f>+AW2324*600000</f>
        <v>0</v>
      </c>
      <c r="AY2324" s="76"/>
      <c r="AZ2324" s="76">
        <f>+AY2324*70000</f>
        <v>0</v>
      </c>
      <c r="BA2324" s="76"/>
      <c r="BB2324" s="76"/>
      <c r="BC2324" s="76"/>
      <c r="BD2324" s="76">
        <f>+BC2324*30000</f>
        <v>0</v>
      </c>
      <c r="BE2324" s="76"/>
      <c r="BF2324" s="76"/>
      <c r="BG2324" s="76"/>
      <c r="BH2324" s="76"/>
      <c r="BI2324" s="76"/>
      <c r="BJ2324" s="76"/>
      <c r="BK2324" s="76"/>
      <c r="BL2324" s="76">
        <f>+BK2324*31500</f>
        <v>0</v>
      </c>
      <c r="BM2324" s="76"/>
      <c r="BN2324" s="76"/>
      <c r="BO2324" s="76"/>
      <c r="BP2324" s="76"/>
      <c r="BQ2324" s="76"/>
      <c r="BR2324" s="76"/>
      <c r="BS2324" s="76"/>
      <c r="BT2324" s="76"/>
      <c r="BU2324" s="76"/>
      <c r="BV2324" s="76"/>
      <c r="BW2324" s="76"/>
      <c r="BX2324" s="76"/>
      <c r="BY2324" s="76"/>
      <c r="BZ2324" s="76"/>
      <c r="CA2324" s="76"/>
      <c r="CB2324" s="76"/>
      <c r="CC2324" s="76"/>
      <c r="CD2324" s="76"/>
      <c r="CE2324" s="76"/>
      <c r="CF2324" s="76">
        <f>+CE2324*28000</f>
        <v>0</v>
      </c>
      <c r="CG2324" s="76"/>
      <c r="CH2324" s="76">
        <f>+CG2324*22500</f>
        <v>0</v>
      </c>
      <c r="CI2324" s="76"/>
      <c r="CJ2324" s="76">
        <f>+CI2324*26000</f>
        <v>0</v>
      </c>
      <c r="CK2324" s="76"/>
      <c r="CL2324" s="76"/>
      <c r="CM2324" s="76"/>
      <c r="CN2324" s="76">
        <f>+CM2324*22000</f>
        <v>0</v>
      </c>
      <c r="CO2324" s="76"/>
      <c r="CP2324" s="76">
        <f>+CO2324*46000</f>
        <v>0</v>
      </c>
      <c r="CQ2324" s="76"/>
      <c r="CR2324" s="76">
        <f>+CQ2324*49000</f>
        <v>0</v>
      </c>
      <c r="CS2324" s="76"/>
      <c r="CT2324" s="76"/>
      <c r="CU2324" s="56">
        <f>AN2324+AP2324+AR2324+AT2324+AV2324+AX2324+AZ2324+BB2324+BD2324+BF2324+BH2324+BJ2324+BL2324+BN2324+BP2324+BR2324+BT2324+BV2324+BX2324+BZ2324+CB2324+CD2324+CF2324+CH2324+CJ2324+CL2324+CN2324+CP2324+CR2324+CT2324</f>
        <v>0</v>
      </c>
      <c r="CV2324" s="76"/>
      <c r="CW2324" s="76">
        <f>+CV2324*1100</f>
        <v>0</v>
      </c>
      <c r="CX2324" s="76"/>
      <c r="CY2324" s="76">
        <f>+CX2324*106250</f>
        <v>0</v>
      </c>
      <c r="CZ2324" s="76"/>
      <c r="DA2324" s="76">
        <f>+CZ2324*34500</f>
        <v>0</v>
      </c>
      <c r="DB2324" s="76"/>
      <c r="DC2324" s="76">
        <f>+DB2324*25000</f>
        <v>0</v>
      </c>
      <c r="DD2324" s="219"/>
      <c r="DE2324" s="219"/>
      <c r="DF2324" s="166"/>
      <c r="DG2324" s="116"/>
      <c r="DH2324" s="117"/>
      <c r="DI2324" s="24"/>
      <c r="DJ2324" s="24"/>
      <c r="DK2324" s="24"/>
      <c r="DL2324" s="24"/>
      <c r="DM2324" s="24"/>
      <c r="DN2324" s="24"/>
      <c r="DO2324" s="24"/>
      <c r="DP2324" s="24"/>
      <c r="DQ2324" s="24"/>
      <c r="DR2324" s="24"/>
      <c r="DS2324" s="24"/>
      <c r="DT2324" s="24"/>
      <c r="DU2324" s="24"/>
    </row>
    <row r="2325" spans="1:125" s="8" customFormat="1" ht="48" x14ac:dyDescent="0.2">
      <c r="A2325" s="97">
        <v>41467</v>
      </c>
      <c r="B2325" s="60" t="s">
        <v>2852</v>
      </c>
      <c r="C2325" s="55" t="s">
        <v>2837</v>
      </c>
      <c r="D2325" s="55" t="s">
        <v>2859</v>
      </c>
      <c r="E2325" s="75" t="str">
        <f>VLOOKUP(B2325&amp;C2325,Divipola!$C$2:$F$1138,4,FALSE)</f>
        <v>27361</v>
      </c>
      <c r="F2325" s="87"/>
      <c r="G2325" s="87"/>
      <c r="H2325" s="87"/>
      <c r="I2325" s="87">
        <v>6</v>
      </c>
      <c r="J2325" s="87">
        <v>1</v>
      </c>
      <c r="K2325" s="87">
        <v>1</v>
      </c>
      <c r="L2325" s="87"/>
      <c r="M2325" s="87"/>
      <c r="N2325" s="87"/>
      <c r="O2325" s="87"/>
      <c r="P2325" s="87"/>
      <c r="Q2325" s="87"/>
      <c r="R2325" s="87"/>
      <c r="S2325" s="87"/>
      <c r="T2325" s="87"/>
      <c r="U2325" s="88"/>
      <c r="V2325" s="89"/>
      <c r="W2325" s="96">
        <v>0</v>
      </c>
      <c r="X2325" s="71">
        <f>CU2325</f>
        <v>0</v>
      </c>
      <c r="Y2325" s="71">
        <f>CY2325</f>
        <v>0</v>
      </c>
      <c r="Z2325" s="71">
        <f>DA2325+DC2325+DE2325</f>
        <v>0</v>
      </c>
      <c r="AA2325" s="71">
        <f>CW2325</f>
        <v>0</v>
      </c>
      <c r="AB2325" s="71"/>
      <c r="AC2325" s="71">
        <v>0</v>
      </c>
      <c r="AD2325" s="71">
        <f>W2325+X2325+Y2325+Z2325+AA2325+AB2325+AC2325</f>
        <v>0</v>
      </c>
      <c r="AE2325" s="72">
        <v>0</v>
      </c>
      <c r="AF2325" s="5"/>
      <c r="AG2325" s="6"/>
      <c r="AH2325" s="27"/>
      <c r="AI2325" s="44"/>
      <c r="AJ2325" s="26"/>
      <c r="AK2325" s="5"/>
      <c r="AL2325" s="82" t="s">
        <v>5206</v>
      </c>
      <c r="AM2325" s="76"/>
      <c r="AN2325" s="76"/>
      <c r="AO2325" s="76"/>
      <c r="AP2325" s="76"/>
      <c r="AQ2325" s="76"/>
      <c r="AR2325" s="76"/>
      <c r="AS2325" s="76"/>
      <c r="AT2325" s="76"/>
      <c r="AU2325" s="76"/>
      <c r="AV2325" s="76"/>
      <c r="AW2325" s="76"/>
      <c r="AX2325" s="76">
        <f>+AW2325*600000</f>
        <v>0</v>
      </c>
      <c r="AY2325" s="76"/>
      <c r="AZ2325" s="76">
        <f>+AY2325*70000</f>
        <v>0</v>
      </c>
      <c r="BA2325" s="76"/>
      <c r="BB2325" s="76"/>
      <c r="BC2325" s="76"/>
      <c r="BD2325" s="76">
        <f>+BC2325*30000</f>
        <v>0</v>
      </c>
      <c r="BE2325" s="76"/>
      <c r="BF2325" s="76"/>
      <c r="BG2325" s="76"/>
      <c r="BH2325" s="76"/>
      <c r="BI2325" s="76"/>
      <c r="BJ2325" s="76"/>
      <c r="BK2325" s="76"/>
      <c r="BL2325" s="76">
        <f>+BK2325*31500</f>
        <v>0</v>
      </c>
      <c r="BM2325" s="76"/>
      <c r="BN2325" s="76"/>
      <c r="BO2325" s="76"/>
      <c r="BP2325" s="76"/>
      <c r="BQ2325" s="76"/>
      <c r="BR2325" s="76"/>
      <c r="BS2325" s="76"/>
      <c r="BT2325" s="76"/>
      <c r="BU2325" s="76"/>
      <c r="BV2325" s="76"/>
      <c r="BW2325" s="76"/>
      <c r="BX2325" s="76"/>
      <c r="BY2325" s="76"/>
      <c r="BZ2325" s="76"/>
      <c r="CA2325" s="76"/>
      <c r="CB2325" s="76"/>
      <c r="CC2325" s="76"/>
      <c r="CD2325" s="76"/>
      <c r="CE2325" s="76"/>
      <c r="CF2325" s="76">
        <f>+CE2325*28000</f>
        <v>0</v>
      </c>
      <c r="CG2325" s="76"/>
      <c r="CH2325" s="76">
        <f>+CG2325*22500</f>
        <v>0</v>
      </c>
      <c r="CI2325" s="76"/>
      <c r="CJ2325" s="76">
        <f>+CI2325*26000</f>
        <v>0</v>
      </c>
      <c r="CK2325" s="76"/>
      <c r="CL2325" s="76"/>
      <c r="CM2325" s="76"/>
      <c r="CN2325" s="76">
        <f>+CM2325*22000</f>
        <v>0</v>
      </c>
      <c r="CO2325" s="76"/>
      <c r="CP2325" s="76">
        <f>+CO2325*46000</f>
        <v>0</v>
      </c>
      <c r="CQ2325" s="76"/>
      <c r="CR2325" s="76">
        <f>+CQ2325*49000</f>
        <v>0</v>
      </c>
      <c r="CS2325" s="76"/>
      <c r="CT2325" s="76"/>
      <c r="CU2325" s="56">
        <f>AN2325+AP2325+AR2325+AT2325+AV2325+AX2325+AZ2325+BB2325+BD2325+BF2325+BH2325+BJ2325+BL2325+BN2325+BP2325+BR2325+BT2325+BV2325+BX2325+BZ2325+CB2325+CD2325+CF2325+CH2325+CJ2325+CL2325+CN2325+CP2325+CR2325+CT2325</f>
        <v>0</v>
      </c>
      <c r="CV2325" s="76"/>
      <c r="CW2325" s="76">
        <f>+CV2325*1100</f>
        <v>0</v>
      </c>
      <c r="CX2325" s="76"/>
      <c r="CY2325" s="76">
        <f>+CX2325*106250</f>
        <v>0</v>
      </c>
      <c r="CZ2325" s="76"/>
      <c r="DA2325" s="76">
        <f>+CZ2325*34500</f>
        <v>0</v>
      </c>
      <c r="DB2325" s="76"/>
      <c r="DC2325" s="76">
        <f>+DB2325*25000</f>
        <v>0</v>
      </c>
      <c r="DD2325" s="219"/>
      <c r="DE2325" s="219"/>
      <c r="DF2325" s="166"/>
      <c r="DG2325" s="116"/>
      <c r="DH2325" s="117"/>
      <c r="DI2325" s="24"/>
      <c r="DJ2325" s="24"/>
      <c r="DK2325" s="24"/>
      <c r="DL2325" s="24"/>
      <c r="DM2325" s="24"/>
      <c r="DN2325" s="24"/>
      <c r="DO2325" s="24"/>
      <c r="DP2325" s="24"/>
      <c r="DQ2325" s="24"/>
      <c r="DR2325" s="24"/>
      <c r="DS2325" s="24"/>
      <c r="DT2325" s="24"/>
      <c r="DU2325" s="24"/>
    </row>
    <row r="2326" spans="1:125" s="8" customFormat="1" ht="84" x14ac:dyDescent="0.2">
      <c r="A2326" s="226">
        <v>41467</v>
      </c>
      <c r="B2326" s="78" t="s">
        <v>2772</v>
      </c>
      <c r="C2326" s="75" t="s">
        <v>1394</v>
      </c>
      <c r="D2326" s="75" t="s">
        <v>3051</v>
      </c>
      <c r="E2326" s="75" t="str">
        <f>VLOOKUP(B2326&amp;C2326,Divipola!$C$2:$F$1138,4,FALSE)</f>
        <v>25297</v>
      </c>
      <c r="F2326" s="87"/>
      <c r="G2326" s="87"/>
      <c r="H2326" s="87"/>
      <c r="I2326" s="87">
        <v>5</v>
      </c>
      <c r="J2326" s="87">
        <v>1</v>
      </c>
      <c r="K2326" s="87"/>
      <c r="L2326" s="87">
        <v>1</v>
      </c>
      <c r="M2326" s="87"/>
      <c r="N2326" s="87"/>
      <c r="O2326" s="87"/>
      <c r="P2326" s="87"/>
      <c r="Q2326" s="87"/>
      <c r="R2326" s="87"/>
      <c r="S2326" s="87"/>
      <c r="T2326" s="87"/>
      <c r="U2326" s="88"/>
      <c r="V2326" s="89"/>
      <c r="W2326" s="96">
        <v>0</v>
      </c>
      <c r="X2326" s="71">
        <f>CU2326</f>
        <v>0</v>
      </c>
      <c r="Y2326" s="71">
        <f>CY2326</f>
        <v>0</v>
      </c>
      <c r="Z2326" s="71">
        <f>DA2326+DC2326+DE2326</f>
        <v>0</v>
      </c>
      <c r="AA2326" s="71">
        <f>CW2326</f>
        <v>0</v>
      </c>
      <c r="AB2326" s="71"/>
      <c r="AC2326" s="71">
        <v>0</v>
      </c>
      <c r="AD2326" s="71">
        <f>W2326+X2326+Y2326+Z2326+AA2326+AB2326+AC2326</f>
        <v>0</v>
      </c>
      <c r="AE2326" s="72">
        <v>0</v>
      </c>
      <c r="AF2326" s="5"/>
      <c r="AG2326" s="6"/>
      <c r="AH2326" s="27"/>
      <c r="AI2326" s="44"/>
      <c r="AJ2326" s="26"/>
      <c r="AK2326" s="5"/>
      <c r="AL2326" s="82" t="s">
        <v>5203</v>
      </c>
      <c r="AM2326" s="76"/>
      <c r="AN2326" s="76"/>
      <c r="AO2326" s="76"/>
      <c r="AP2326" s="76"/>
      <c r="AQ2326" s="76"/>
      <c r="AR2326" s="76"/>
      <c r="AS2326" s="76"/>
      <c r="AT2326" s="76"/>
      <c r="AU2326" s="76"/>
      <c r="AV2326" s="76"/>
      <c r="AW2326" s="76"/>
      <c r="AX2326" s="76">
        <f>+AW2326*600000</f>
        <v>0</v>
      </c>
      <c r="AY2326" s="76"/>
      <c r="AZ2326" s="76">
        <f>+AY2326*70000</f>
        <v>0</v>
      </c>
      <c r="BA2326" s="76"/>
      <c r="BB2326" s="76"/>
      <c r="BC2326" s="76"/>
      <c r="BD2326" s="76">
        <f>+BC2326*30000</f>
        <v>0</v>
      </c>
      <c r="BE2326" s="76"/>
      <c r="BF2326" s="76"/>
      <c r="BG2326" s="76"/>
      <c r="BH2326" s="76"/>
      <c r="BI2326" s="76"/>
      <c r="BJ2326" s="76"/>
      <c r="BK2326" s="76"/>
      <c r="BL2326" s="76">
        <f>+BK2326*31500</f>
        <v>0</v>
      </c>
      <c r="BM2326" s="76"/>
      <c r="BN2326" s="76"/>
      <c r="BO2326" s="76"/>
      <c r="BP2326" s="76"/>
      <c r="BQ2326" s="76"/>
      <c r="BR2326" s="76"/>
      <c r="BS2326" s="76"/>
      <c r="BT2326" s="76"/>
      <c r="BU2326" s="76"/>
      <c r="BV2326" s="76"/>
      <c r="BW2326" s="76"/>
      <c r="BX2326" s="76"/>
      <c r="BY2326" s="76"/>
      <c r="BZ2326" s="76"/>
      <c r="CA2326" s="76"/>
      <c r="CB2326" s="76"/>
      <c r="CC2326" s="76"/>
      <c r="CD2326" s="76"/>
      <c r="CE2326" s="76"/>
      <c r="CF2326" s="76">
        <f>+CE2326*28000</f>
        <v>0</v>
      </c>
      <c r="CG2326" s="76"/>
      <c r="CH2326" s="76">
        <f>+CG2326*22500</f>
        <v>0</v>
      </c>
      <c r="CI2326" s="76"/>
      <c r="CJ2326" s="76">
        <f>+CI2326*26000</f>
        <v>0</v>
      </c>
      <c r="CK2326" s="76"/>
      <c r="CL2326" s="76"/>
      <c r="CM2326" s="76"/>
      <c r="CN2326" s="76">
        <f>+CM2326*22000</f>
        <v>0</v>
      </c>
      <c r="CO2326" s="76"/>
      <c r="CP2326" s="76">
        <f>+CO2326*46000</f>
        <v>0</v>
      </c>
      <c r="CQ2326" s="76"/>
      <c r="CR2326" s="76">
        <f>+CQ2326*49000</f>
        <v>0</v>
      </c>
      <c r="CS2326" s="76"/>
      <c r="CT2326" s="76"/>
      <c r="CU2326" s="56">
        <f>AN2326+AP2326+AR2326+AT2326+AV2326+AX2326+AZ2326+BB2326+BD2326+BF2326+BH2326+BJ2326+BL2326+BN2326+BP2326+BR2326+BT2326+BV2326+BX2326+BZ2326+CB2326+CD2326+CF2326+CH2326+CJ2326+CL2326+CN2326+CP2326+CR2326+CT2326</f>
        <v>0</v>
      </c>
      <c r="CV2326" s="76"/>
      <c r="CW2326" s="76">
        <f>+CV2326*1100</f>
        <v>0</v>
      </c>
      <c r="CX2326" s="76"/>
      <c r="CY2326" s="76">
        <f>+CX2326*106250</f>
        <v>0</v>
      </c>
      <c r="CZ2326" s="76"/>
      <c r="DA2326" s="76">
        <f>+CZ2326*34500</f>
        <v>0</v>
      </c>
      <c r="DB2326" s="76"/>
      <c r="DC2326" s="76">
        <f>+DB2326*25000</f>
        <v>0</v>
      </c>
      <c r="DD2326" s="219"/>
      <c r="DE2326" s="219"/>
      <c r="DF2326" s="166"/>
      <c r="DG2326" s="116"/>
      <c r="DH2326" s="117"/>
      <c r="DI2326" s="24"/>
      <c r="DJ2326" s="24"/>
      <c r="DK2326" s="24"/>
      <c r="DL2326" s="24"/>
      <c r="DM2326" s="24"/>
      <c r="DN2326" s="24"/>
      <c r="DO2326" s="24"/>
      <c r="DP2326" s="24"/>
      <c r="DQ2326" s="24"/>
      <c r="DR2326" s="24"/>
      <c r="DS2326" s="24"/>
      <c r="DT2326" s="24"/>
      <c r="DU2326" s="24"/>
    </row>
    <row r="2327" spans="1:125" s="8" customFormat="1" ht="108" x14ac:dyDescent="0.2">
      <c r="A2327" s="353">
        <v>41467</v>
      </c>
      <c r="B2327" s="225" t="s">
        <v>2847</v>
      </c>
      <c r="C2327" s="227" t="s">
        <v>1731</v>
      </c>
      <c r="D2327" s="227" t="s">
        <v>3088</v>
      </c>
      <c r="E2327" s="75" t="str">
        <f>VLOOKUP(B2327&amp;C2327,Divipola!$C$2:$F$1138,4,FALSE)</f>
        <v>68425</v>
      </c>
      <c r="F2327" s="87"/>
      <c r="G2327" s="87"/>
      <c r="H2327" s="87"/>
      <c r="I2327" s="87">
        <v>10</v>
      </c>
      <c r="J2327" s="87">
        <v>2</v>
      </c>
      <c r="K2327" s="87"/>
      <c r="L2327" s="87">
        <v>2</v>
      </c>
      <c r="M2327" s="87"/>
      <c r="N2327" s="87"/>
      <c r="O2327" s="87"/>
      <c r="P2327" s="87"/>
      <c r="Q2327" s="87"/>
      <c r="R2327" s="87"/>
      <c r="S2327" s="87"/>
      <c r="T2327" s="87"/>
      <c r="U2327" s="88"/>
      <c r="V2327" s="89"/>
      <c r="W2327" s="96">
        <v>0</v>
      </c>
      <c r="X2327" s="71">
        <f>CU2327</f>
        <v>0</v>
      </c>
      <c r="Y2327" s="71">
        <f>CY2327</f>
        <v>0</v>
      </c>
      <c r="Z2327" s="71">
        <f>DA2327+DC2327+DE2327</f>
        <v>0</v>
      </c>
      <c r="AA2327" s="71">
        <f>CW2327</f>
        <v>0</v>
      </c>
      <c r="AB2327" s="71"/>
      <c r="AC2327" s="71">
        <v>0</v>
      </c>
      <c r="AD2327" s="71">
        <f>W2327+X2327+Y2327+Z2327+AA2327+AB2327+AC2327</f>
        <v>0</v>
      </c>
      <c r="AE2327" s="72">
        <v>0</v>
      </c>
      <c r="AF2327" s="5"/>
      <c r="AG2327" s="6"/>
      <c r="AH2327" s="27"/>
      <c r="AI2327" s="44"/>
      <c r="AJ2327" s="26"/>
      <c r="AK2327" s="5"/>
      <c r="AL2327" s="82" t="s">
        <v>5201</v>
      </c>
      <c r="AM2327" s="76"/>
      <c r="AN2327" s="76"/>
      <c r="AO2327" s="76"/>
      <c r="AP2327" s="76"/>
      <c r="AQ2327" s="76"/>
      <c r="AR2327" s="76"/>
      <c r="AS2327" s="76"/>
      <c r="AT2327" s="76"/>
      <c r="AU2327" s="76"/>
      <c r="AV2327" s="76"/>
      <c r="AW2327" s="76"/>
      <c r="AX2327" s="76">
        <f>+AW2327*600000</f>
        <v>0</v>
      </c>
      <c r="AY2327" s="76"/>
      <c r="AZ2327" s="76">
        <f>+AY2327*70000</f>
        <v>0</v>
      </c>
      <c r="BA2327" s="76"/>
      <c r="BB2327" s="76"/>
      <c r="BC2327" s="76"/>
      <c r="BD2327" s="76">
        <f>+BC2327*30000</f>
        <v>0</v>
      </c>
      <c r="BE2327" s="76"/>
      <c r="BF2327" s="76"/>
      <c r="BG2327" s="76"/>
      <c r="BH2327" s="76"/>
      <c r="BI2327" s="76"/>
      <c r="BJ2327" s="76"/>
      <c r="BK2327" s="76"/>
      <c r="BL2327" s="76">
        <f>+BK2327*31500</f>
        <v>0</v>
      </c>
      <c r="BM2327" s="76"/>
      <c r="BN2327" s="76"/>
      <c r="BO2327" s="76"/>
      <c r="BP2327" s="76"/>
      <c r="BQ2327" s="76"/>
      <c r="BR2327" s="76"/>
      <c r="BS2327" s="76"/>
      <c r="BT2327" s="76"/>
      <c r="BU2327" s="76"/>
      <c r="BV2327" s="76"/>
      <c r="BW2327" s="76"/>
      <c r="BX2327" s="76"/>
      <c r="BY2327" s="76"/>
      <c r="BZ2327" s="76"/>
      <c r="CA2327" s="76"/>
      <c r="CB2327" s="76"/>
      <c r="CC2327" s="76"/>
      <c r="CD2327" s="76"/>
      <c r="CE2327" s="76"/>
      <c r="CF2327" s="76">
        <f>+CE2327*28000</f>
        <v>0</v>
      </c>
      <c r="CG2327" s="76"/>
      <c r="CH2327" s="76">
        <f>+CG2327*22500</f>
        <v>0</v>
      </c>
      <c r="CI2327" s="76"/>
      <c r="CJ2327" s="76">
        <f>+CI2327*26000</f>
        <v>0</v>
      </c>
      <c r="CK2327" s="76"/>
      <c r="CL2327" s="76"/>
      <c r="CM2327" s="76"/>
      <c r="CN2327" s="76">
        <f>+CM2327*22000</f>
        <v>0</v>
      </c>
      <c r="CO2327" s="76"/>
      <c r="CP2327" s="76">
        <f>+CO2327*46000</f>
        <v>0</v>
      </c>
      <c r="CQ2327" s="76"/>
      <c r="CR2327" s="76">
        <f>+CQ2327*49000</f>
        <v>0</v>
      </c>
      <c r="CS2327" s="76"/>
      <c r="CT2327" s="76"/>
      <c r="CU2327" s="56">
        <f>AN2327+AP2327+AR2327+AT2327+AV2327+AX2327+AZ2327+BB2327+BD2327+BF2327+BH2327+BJ2327+BL2327+BN2327+BP2327+BR2327+BT2327+BV2327+BX2327+BZ2327+CB2327+CD2327+CF2327+CH2327+CJ2327+CL2327+CN2327+CP2327+CR2327+CT2327</f>
        <v>0</v>
      </c>
      <c r="CV2327" s="76"/>
      <c r="CW2327" s="76">
        <f>+CV2327*1100</f>
        <v>0</v>
      </c>
      <c r="CX2327" s="76"/>
      <c r="CY2327" s="76">
        <f>+CX2327*106250</f>
        <v>0</v>
      </c>
      <c r="CZ2327" s="76"/>
      <c r="DA2327" s="76">
        <f>+CZ2327*34500</f>
        <v>0</v>
      </c>
      <c r="DB2327" s="76"/>
      <c r="DC2327" s="76">
        <f>+DB2327*25000</f>
        <v>0</v>
      </c>
      <c r="DD2327" s="219"/>
      <c r="DE2327" s="219"/>
      <c r="DF2327" s="166"/>
      <c r="DG2327" s="116"/>
      <c r="DH2327" s="117"/>
      <c r="DI2327" s="24"/>
      <c r="DJ2327" s="24"/>
      <c r="DK2327" s="24"/>
      <c r="DL2327" s="24"/>
      <c r="DM2327" s="24"/>
      <c r="DN2327" s="24"/>
      <c r="DO2327" s="24"/>
      <c r="DP2327" s="24"/>
      <c r="DQ2327" s="24"/>
      <c r="DR2327" s="24"/>
      <c r="DS2327" s="24"/>
      <c r="DT2327" s="24"/>
      <c r="DU2327" s="24"/>
    </row>
    <row r="2328" spans="1:125" s="8" customFormat="1" ht="48" x14ac:dyDescent="0.2">
      <c r="A2328" s="353">
        <v>41468</v>
      </c>
      <c r="B2328" s="352" t="s">
        <v>2894</v>
      </c>
      <c r="C2328" s="354" t="s">
        <v>2355</v>
      </c>
      <c r="D2328" s="354" t="s">
        <v>2859</v>
      </c>
      <c r="E2328" s="75" t="str">
        <f>VLOOKUP(B2328&amp;C2328,Divipola!$C$2:$F$1138,4,FALSE)</f>
        <v>05045</v>
      </c>
      <c r="F2328" s="87"/>
      <c r="G2328" s="87"/>
      <c r="H2328" s="87"/>
      <c r="I2328" s="87"/>
      <c r="J2328" s="87"/>
      <c r="K2328" s="87"/>
      <c r="L2328" s="87"/>
      <c r="M2328" s="87"/>
      <c r="N2328" s="87"/>
      <c r="O2328" s="87"/>
      <c r="P2328" s="87"/>
      <c r="Q2328" s="87"/>
      <c r="R2328" s="87"/>
      <c r="S2328" s="87"/>
      <c r="T2328" s="87"/>
      <c r="U2328" s="88"/>
      <c r="V2328" s="89"/>
      <c r="W2328" s="96">
        <v>0</v>
      </c>
      <c r="X2328" s="71">
        <f>CU2328</f>
        <v>0</v>
      </c>
      <c r="Y2328" s="71">
        <f>CY2328</f>
        <v>0</v>
      </c>
      <c r="Z2328" s="71">
        <f>DA2328+DC2328+DE2328</f>
        <v>0</v>
      </c>
      <c r="AA2328" s="71">
        <f>CW2328</f>
        <v>0</v>
      </c>
      <c r="AB2328" s="71"/>
      <c r="AC2328" s="71">
        <v>0</v>
      </c>
      <c r="AD2328" s="71">
        <f>W2328+X2328+Y2328+Z2328+AA2328+AB2328+AC2328</f>
        <v>0</v>
      </c>
      <c r="AE2328" s="72">
        <v>0</v>
      </c>
      <c r="AF2328" s="5"/>
      <c r="AG2328" s="6"/>
      <c r="AH2328" s="27"/>
      <c r="AI2328" s="44"/>
      <c r="AJ2328" s="26"/>
      <c r="AK2328" s="5"/>
      <c r="AL2328" s="82" t="s">
        <v>5210</v>
      </c>
      <c r="AM2328" s="76"/>
      <c r="AN2328" s="76"/>
      <c r="AO2328" s="76"/>
      <c r="AP2328" s="76"/>
      <c r="AQ2328" s="76"/>
      <c r="AR2328" s="76"/>
      <c r="AS2328" s="76"/>
      <c r="AT2328" s="76"/>
      <c r="AU2328" s="76"/>
      <c r="AV2328" s="76"/>
      <c r="AW2328" s="76"/>
      <c r="AX2328" s="76">
        <f>+AW2328*600000</f>
        <v>0</v>
      </c>
      <c r="AY2328" s="76"/>
      <c r="AZ2328" s="76">
        <f>+AY2328*70000</f>
        <v>0</v>
      </c>
      <c r="BA2328" s="76"/>
      <c r="BB2328" s="76"/>
      <c r="BC2328" s="76"/>
      <c r="BD2328" s="76">
        <f>+BC2328*30000</f>
        <v>0</v>
      </c>
      <c r="BE2328" s="76"/>
      <c r="BF2328" s="76"/>
      <c r="BG2328" s="76"/>
      <c r="BH2328" s="76"/>
      <c r="BI2328" s="76"/>
      <c r="BJ2328" s="76"/>
      <c r="BK2328" s="76"/>
      <c r="BL2328" s="76">
        <f>+BK2328*31500</f>
        <v>0</v>
      </c>
      <c r="BM2328" s="76"/>
      <c r="BN2328" s="76"/>
      <c r="BO2328" s="76"/>
      <c r="BP2328" s="76"/>
      <c r="BQ2328" s="76"/>
      <c r="BR2328" s="76"/>
      <c r="BS2328" s="76"/>
      <c r="BT2328" s="76"/>
      <c r="BU2328" s="76"/>
      <c r="BV2328" s="76"/>
      <c r="BW2328" s="76"/>
      <c r="BX2328" s="76"/>
      <c r="BY2328" s="76"/>
      <c r="BZ2328" s="76"/>
      <c r="CA2328" s="76"/>
      <c r="CB2328" s="76"/>
      <c r="CC2328" s="76"/>
      <c r="CD2328" s="76"/>
      <c r="CE2328" s="76"/>
      <c r="CF2328" s="76">
        <f>+CE2328*28000</f>
        <v>0</v>
      </c>
      <c r="CG2328" s="76"/>
      <c r="CH2328" s="76">
        <f>+CG2328*22500</f>
        <v>0</v>
      </c>
      <c r="CI2328" s="76"/>
      <c r="CJ2328" s="76">
        <f>+CI2328*26000</f>
        <v>0</v>
      </c>
      <c r="CK2328" s="76"/>
      <c r="CL2328" s="76"/>
      <c r="CM2328" s="76"/>
      <c r="CN2328" s="76">
        <f>+CM2328*22000</f>
        <v>0</v>
      </c>
      <c r="CO2328" s="76"/>
      <c r="CP2328" s="76">
        <f>+CO2328*46000</f>
        <v>0</v>
      </c>
      <c r="CQ2328" s="76"/>
      <c r="CR2328" s="76">
        <f>+CQ2328*49000</f>
        <v>0</v>
      </c>
      <c r="CS2328" s="76"/>
      <c r="CT2328" s="76"/>
      <c r="CU2328" s="56">
        <f>AN2328+AP2328+AR2328+AT2328+AV2328+AX2328+AZ2328+BB2328+BD2328+BF2328+BH2328+BJ2328+BL2328+BN2328+BP2328+BR2328+BT2328+BV2328+BX2328+BZ2328+CB2328+CD2328+CF2328+CH2328+CJ2328+CL2328+CN2328+CP2328+CR2328+CT2328</f>
        <v>0</v>
      </c>
      <c r="CV2328" s="76"/>
      <c r="CW2328" s="76">
        <f>+CV2328*1100</f>
        <v>0</v>
      </c>
      <c r="CX2328" s="76"/>
      <c r="CY2328" s="76">
        <f>+CX2328*106250</f>
        <v>0</v>
      </c>
      <c r="CZ2328" s="76"/>
      <c r="DA2328" s="76">
        <f>+CZ2328*34500</f>
        <v>0</v>
      </c>
      <c r="DB2328" s="76"/>
      <c r="DC2328" s="76">
        <f>+DB2328*25000</f>
        <v>0</v>
      </c>
      <c r="DD2328" s="219"/>
      <c r="DE2328" s="219"/>
      <c r="DF2328" s="166"/>
      <c r="DG2328" s="116"/>
      <c r="DH2328" s="117"/>
      <c r="DI2328" s="24"/>
      <c r="DJ2328" s="24"/>
      <c r="DK2328" s="24"/>
      <c r="DL2328" s="24"/>
      <c r="DM2328" s="24"/>
      <c r="DN2328" s="24"/>
      <c r="DO2328" s="24"/>
      <c r="DP2328" s="24"/>
      <c r="DQ2328" s="24"/>
      <c r="DR2328" s="24"/>
      <c r="DS2328" s="24"/>
      <c r="DT2328" s="24"/>
      <c r="DU2328" s="24"/>
    </row>
    <row r="2329" spans="1:125" s="8" customFormat="1" ht="48" x14ac:dyDescent="0.2">
      <c r="A2329" s="353">
        <v>41468</v>
      </c>
      <c r="B2329" s="352" t="s">
        <v>2894</v>
      </c>
      <c r="C2329" s="354" t="s">
        <v>2007</v>
      </c>
      <c r="D2329" s="354" t="s">
        <v>3088</v>
      </c>
      <c r="E2329" s="75" t="str">
        <f>VLOOKUP(B2329&amp;C2329,Divipola!$C$2:$F$1138,4,FALSE)</f>
        <v>05541</v>
      </c>
      <c r="F2329" s="87"/>
      <c r="G2329" s="87"/>
      <c r="H2329" s="87"/>
      <c r="I2329" s="87">
        <v>24</v>
      </c>
      <c r="J2329" s="87">
        <v>6</v>
      </c>
      <c r="K2329" s="87">
        <v>2</v>
      </c>
      <c r="L2329" s="87">
        <v>4</v>
      </c>
      <c r="M2329" s="87"/>
      <c r="N2329" s="87"/>
      <c r="O2329" s="87"/>
      <c r="P2329" s="87"/>
      <c r="Q2329" s="87"/>
      <c r="R2329" s="87"/>
      <c r="S2329" s="87"/>
      <c r="T2329" s="87"/>
      <c r="U2329" s="88"/>
      <c r="V2329" s="89"/>
      <c r="W2329" s="96">
        <v>0</v>
      </c>
      <c r="X2329" s="71">
        <f>CU2329</f>
        <v>0</v>
      </c>
      <c r="Y2329" s="71">
        <f>CY2329</f>
        <v>0</v>
      </c>
      <c r="Z2329" s="71">
        <f>DA2329+DC2329+DE2329</f>
        <v>0</v>
      </c>
      <c r="AA2329" s="71">
        <f>CW2329</f>
        <v>0</v>
      </c>
      <c r="AB2329" s="71"/>
      <c r="AC2329" s="71">
        <v>0</v>
      </c>
      <c r="AD2329" s="71">
        <f>W2329+X2329+Y2329+Z2329+AA2329+AB2329+AC2329</f>
        <v>0</v>
      </c>
      <c r="AE2329" s="72">
        <v>0</v>
      </c>
      <c r="AF2329" s="5"/>
      <c r="AG2329" s="6"/>
      <c r="AH2329" s="27"/>
      <c r="AI2329" s="44"/>
      <c r="AJ2329" s="26"/>
      <c r="AK2329" s="5"/>
      <c r="AL2329" s="82" t="s">
        <v>5215</v>
      </c>
      <c r="AM2329" s="76"/>
      <c r="AN2329" s="76"/>
      <c r="AO2329" s="76"/>
      <c r="AP2329" s="76"/>
      <c r="AQ2329" s="76"/>
      <c r="AR2329" s="76"/>
      <c r="AS2329" s="76"/>
      <c r="AT2329" s="76"/>
      <c r="AU2329" s="76"/>
      <c r="AV2329" s="76"/>
      <c r="AW2329" s="76"/>
      <c r="AX2329" s="76">
        <f>+AW2329*600000</f>
        <v>0</v>
      </c>
      <c r="AY2329" s="76"/>
      <c r="AZ2329" s="76">
        <f>+AY2329*70000</f>
        <v>0</v>
      </c>
      <c r="BA2329" s="76"/>
      <c r="BB2329" s="76"/>
      <c r="BC2329" s="76"/>
      <c r="BD2329" s="76">
        <f>+BC2329*30000</f>
        <v>0</v>
      </c>
      <c r="BE2329" s="76"/>
      <c r="BF2329" s="76"/>
      <c r="BG2329" s="76"/>
      <c r="BH2329" s="76"/>
      <c r="BI2329" s="76"/>
      <c r="BJ2329" s="76"/>
      <c r="BK2329" s="76"/>
      <c r="BL2329" s="76">
        <f>+BK2329*31500</f>
        <v>0</v>
      </c>
      <c r="BM2329" s="76"/>
      <c r="BN2329" s="76"/>
      <c r="BO2329" s="76"/>
      <c r="BP2329" s="76"/>
      <c r="BQ2329" s="76"/>
      <c r="BR2329" s="76"/>
      <c r="BS2329" s="76"/>
      <c r="BT2329" s="76"/>
      <c r="BU2329" s="76"/>
      <c r="BV2329" s="76"/>
      <c r="BW2329" s="76"/>
      <c r="BX2329" s="76"/>
      <c r="BY2329" s="76"/>
      <c r="BZ2329" s="76"/>
      <c r="CA2329" s="76"/>
      <c r="CB2329" s="76"/>
      <c r="CC2329" s="76"/>
      <c r="CD2329" s="76"/>
      <c r="CE2329" s="76"/>
      <c r="CF2329" s="76">
        <f>+CE2329*28000</f>
        <v>0</v>
      </c>
      <c r="CG2329" s="76"/>
      <c r="CH2329" s="76">
        <f>+CG2329*22500</f>
        <v>0</v>
      </c>
      <c r="CI2329" s="76"/>
      <c r="CJ2329" s="76">
        <f>+CI2329*26000</f>
        <v>0</v>
      </c>
      <c r="CK2329" s="76"/>
      <c r="CL2329" s="76"/>
      <c r="CM2329" s="76"/>
      <c r="CN2329" s="76">
        <f>+CM2329*22000</f>
        <v>0</v>
      </c>
      <c r="CO2329" s="76"/>
      <c r="CP2329" s="76">
        <f>+CO2329*46000</f>
        <v>0</v>
      </c>
      <c r="CQ2329" s="76"/>
      <c r="CR2329" s="76">
        <f>+CQ2329*49000</f>
        <v>0</v>
      </c>
      <c r="CS2329" s="76"/>
      <c r="CT2329" s="76"/>
      <c r="CU2329" s="56">
        <f>AN2329+AP2329+AR2329+AT2329+AV2329+AX2329+AZ2329+BB2329+BD2329+BF2329+BH2329+BJ2329+BL2329+BN2329+BP2329+BR2329+BT2329+BV2329+BX2329+BZ2329+CB2329+CD2329+CF2329+CH2329+CJ2329+CL2329+CN2329+CP2329+CR2329+CT2329</f>
        <v>0</v>
      </c>
      <c r="CV2329" s="76"/>
      <c r="CW2329" s="76">
        <f>+CV2329*1100</f>
        <v>0</v>
      </c>
      <c r="CX2329" s="76"/>
      <c r="CY2329" s="76">
        <f>+CX2329*106250</f>
        <v>0</v>
      </c>
      <c r="CZ2329" s="76"/>
      <c r="DA2329" s="76">
        <f>+CZ2329*34500</f>
        <v>0</v>
      </c>
      <c r="DB2329" s="76"/>
      <c r="DC2329" s="76">
        <f>+DB2329*25000</f>
        <v>0</v>
      </c>
      <c r="DD2329" s="219"/>
      <c r="DE2329" s="219"/>
      <c r="DF2329" s="166"/>
      <c r="DG2329" s="116"/>
      <c r="DH2329" s="117"/>
      <c r="DI2329" s="24"/>
      <c r="DJ2329" s="24"/>
      <c r="DK2329" s="24"/>
      <c r="DL2329" s="24"/>
      <c r="DM2329" s="24"/>
      <c r="DN2329" s="24"/>
      <c r="DO2329" s="24"/>
      <c r="DP2329" s="24"/>
      <c r="DQ2329" s="24"/>
      <c r="DR2329" s="24"/>
      <c r="DS2329" s="24"/>
      <c r="DT2329" s="24"/>
      <c r="DU2329" s="24"/>
    </row>
    <row r="2330" spans="1:125" s="8" customFormat="1" ht="48" x14ac:dyDescent="0.2">
      <c r="A2330" s="353">
        <v>41468</v>
      </c>
      <c r="B2330" s="352" t="s">
        <v>2700</v>
      </c>
      <c r="C2330" s="354" t="s">
        <v>1564</v>
      </c>
      <c r="D2330" s="354" t="s">
        <v>3088</v>
      </c>
      <c r="E2330" s="75" t="str">
        <f>VLOOKUP(B2330&amp;C2330,Divipola!$C$2:$F$1138,4,FALSE)</f>
        <v>15047</v>
      </c>
      <c r="F2330" s="87"/>
      <c r="G2330" s="87"/>
      <c r="H2330" s="87"/>
      <c r="I2330" s="87"/>
      <c r="J2330" s="87"/>
      <c r="K2330" s="87"/>
      <c r="L2330" s="87"/>
      <c r="M2330" s="87">
        <v>1</v>
      </c>
      <c r="N2330" s="87"/>
      <c r="O2330" s="87"/>
      <c r="P2330" s="87"/>
      <c r="Q2330" s="87"/>
      <c r="R2330" s="87"/>
      <c r="S2330" s="87"/>
      <c r="T2330" s="87"/>
      <c r="U2330" s="88"/>
      <c r="V2330" s="89"/>
      <c r="W2330" s="96">
        <v>0</v>
      </c>
      <c r="X2330" s="71">
        <f>CU2330</f>
        <v>0</v>
      </c>
      <c r="Y2330" s="71">
        <f>CY2330</f>
        <v>0</v>
      </c>
      <c r="Z2330" s="71">
        <f>DA2330+DC2330+DE2330</f>
        <v>0</v>
      </c>
      <c r="AA2330" s="71">
        <f>CW2330</f>
        <v>0</v>
      </c>
      <c r="AB2330" s="71"/>
      <c r="AC2330" s="71">
        <v>0</v>
      </c>
      <c r="AD2330" s="71">
        <f>W2330+X2330+Y2330+Z2330+AA2330+AB2330+AC2330</f>
        <v>0</v>
      </c>
      <c r="AE2330" s="72">
        <v>0</v>
      </c>
      <c r="AF2330" s="5"/>
      <c r="AG2330" s="6"/>
      <c r="AH2330" s="27"/>
      <c r="AI2330" s="44"/>
      <c r="AJ2330" s="26"/>
      <c r="AK2330" s="5"/>
      <c r="AL2330" s="82" t="s">
        <v>5251</v>
      </c>
      <c r="AM2330" s="76"/>
      <c r="AN2330" s="76"/>
      <c r="AO2330" s="76"/>
      <c r="AP2330" s="76"/>
      <c r="AQ2330" s="76"/>
      <c r="AR2330" s="76"/>
      <c r="AS2330" s="76"/>
      <c r="AT2330" s="76"/>
      <c r="AU2330" s="76"/>
      <c r="AV2330" s="76"/>
      <c r="AW2330" s="76"/>
      <c r="AX2330" s="76">
        <f>+AW2330*600000</f>
        <v>0</v>
      </c>
      <c r="AY2330" s="76"/>
      <c r="AZ2330" s="76">
        <f>+AY2330*70000</f>
        <v>0</v>
      </c>
      <c r="BA2330" s="76"/>
      <c r="BB2330" s="76"/>
      <c r="BC2330" s="76"/>
      <c r="BD2330" s="76">
        <f>+BC2330*30000</f>
        <v>0</v>
      </c>
      <c r="BE2330" s="76"/>
      <c r="BF2330" s="76"/>
      <c r="BG2330" s="76"/>
      <c r="BH2330" s="76"/>
      <c r="BI2330" s="76"/>
      <c r="BJ2330" s="76"/>
      <c r="BK2330" s="76"/>
      <c r="BL2330" s="76">
        <f>+BK2330*31500</f>
        <v>0</v>
      </c>
      <c r="BM2330" s="76"/>
      <c r="BN2330" s="76"/>
      <c r="BO2330" s="76"/>
      <c r="BP2330" s="76"/>
      <c r="BQ2330" s="76"/>
      <c r="BR2330" s="76"/>
      <c r="BS2330" s="76"/>
      <c r="BT2330" s="76"/>
      <c r="BU2330" s="76"/>
      <c r="BV2330" s="76"/>
      <c r="BW2330" s="76"/>
      <c r="BX2330" s="76"/>
      <c r="BY2330" s="76"/>
      <c r="BZ2330" s="76"/>
      <c r="CA2330" s="76"/>
      <c r="CB2330" s="76"/>
      <c r="CC2330" s="76"/>
      <c r="CD2330" s="76"/>
      <c r="CE2330" s="76"/>
      <c r="CF2330" s="76">
        <f>+CE2330*28000</f>
        <v>0</v>
      </c>
      <c r="CG2330" s="76"/>
      <c r="CH2330" s="76">
        <f>+CG2330*22500</f>
        <v>0</v>
      </c>
      <c r="CI2330" s="76"/>
      <c r="CJ2330" s="76">
        <f>+CI2330*26000</f>
        <v>0</v>
      </c>
      <c r="CK2330" s="76"/>
      <c r="CL2330" s="76"/>
      <c r="CM2330" s="76"/>
      <c r="CN2330" s="76">
        <f>+CM2330*22000</f>
        <v>0</v>
      </c>
      <c r="CO2330" s="76"/>
      <c r="CP2330" s="76">
        <f>+CO2330*46000</f>
        <v>0</v>
      </c>
      <c r="CQ2330" s="76"/>
      <c r="CR2330" s="76">
        <f>+CQ2330*49000</f>
        <v>0</v>
      </c>
      <c r="CS2330" s="76"/>
      <c r="CT2330" s="76"/>
      <c r="CU2330" s="56">
        <f>AN2330+AP2330+AR2330+AT2330+AV2330+AX2330+AZ2330+BB2330+BD2330+BF2330+BH2330+BJ2330+BL2330+BN2330+BP2330+BR2330+BT2330+BV2330+BX2330+BZ2330+CB2330+CD2330+CF2330+CH2330+CJ2330+CL2330+CN2330+CP2330+CR2330+CT2330</f>
        <v>0</v>
      </c>
      <c r="CV2330" s="76"/>
      <c r="CW2330" s="76">
        <f>+CV2330*1100</f>
        <v>0</v>
      </c>
      <c r="CX2330" s="76"/>
      <c r="CY2330" s="76">
        <f>+CX2330*106250</f>
        <v>0</v>
      </c>
      <c r="CZ2330" s="76"/>
      <c r="DA2330" s="76">
        <f>+CZ2330*34500</f>
        <v>0</v>
      </c>
      <c r="DB2330" s="76"/>
      <c r="DC2330" s="76">
        <f>+DB2330*25000</f>
        <v>0</v>
      </c>
      <c r="DD2330" s="219"/>
      <c r="DE2330" s="219"/>
      <c r="DF2330" s="166"/>
      <c r="DG2330" s="116"/>
      <c r="DH2330" s="117"/>
      <c r="DI2330" s="24"/>
      <c r="DJ2330" s="24"/>
      <c r="DK2330" s="24"/>
      <c r="DL2330" s="24"/>
      <c r="DM2330" s="24"/>
      <c r="DN2330" s="24"/>
      <c r="DO2330" s="24"/>
      <c r="DP2330" s="24"/>
      <c r="DQ2330" s="24"/>
      <c r="DR2330" s="24"/>
      <c r="DS2330" s="24"/>
      <c r="DT2330" s="24"/>
      <c r="DU2330" s="24"/>
    </row>
    <row r="2331" spans="1:125" s="8" customFormat="1" ht="96" x14ac:dyDescent="0.2">
      <c r="A2331" s="353">
        <v>41468</v>
      </c>
      <c r="B2331" s="352" t="s">
        <v>2700</v>
      </c>
      <c r="C2331" s="354" t="s">
        <v>1564</v>
      </c>
      <c r="D2331" s="354" t="s">
        <v>3051</v>
      </c>
      <c r="E2331" s="75" t="str">
        <f>VLOOKUP(B2331&amp;C2331,Divipola!$C$2:$F$1138,4,FALSE)</f>
        <v>15047</v>
      </c>
      <c r="F2331" s="87"/>
      <c r="G2331" s="87"/>
      <c r="H2331" s="87"/>
      <c r="I2331" s="87">
        <v>2</v>
      </c>
      <c r="J2331" s="87">
        <v>1</v>
      </c>
      <c r="K2331" s="87">
        <v>1</v>
      </c>
      <c r="L2331" s="87"/>
      <c r="M2331" s="87"/>
      <c r="N2331" s="87"/>
      <c r="O2331" s="87"/>
      <c r="P2331" s="87"/>
      <c r="Q2331" s="87"/>
      <c r="R2331" s="87"/>
      <c r="S2331" s="87"/>
      <c r="T2331" s="87"/>
      <c r="U2331" s="88"/>
      <c r="V2331" s="89"/>
      <c r="W2331" s="96">
        <v>0</v>
      </c>
      <c r="X2331" s="71">
        <f>CU2331</f>
        <v>0</v>
      </c>
      <c r="Y2331" s="71">
        <f>CY2331</f>
        <v>0</v>
      </c>
      <c r="Z2331" s="71">
        <f>DA2331+DC2331+DE2331</f>
        <v>0</v>
      </c>
      <c r="AA2331" s="71">
        <f>CW2331</f>
        <v>0</v>
      </c>
      <c r="AB2331" s="71"/>
      <c r="AC2331" s="71">
        <v>0</v>
      </c>
      <c r="AD2331" s="71">
        <f>W2331+X2331+Y2331+Z2331+AA2331+AB2331+AC2331</f>
        <v>0</v>
      </c>
      <c r="AE2331" s="72">
        <v>0</v>
      </c>
      <c r="AF2331" s="5"/>
      <c r="AG2331" s="6"/>
      <c r="AH2331" s="27"/>
      <c r="AI2331" s="44"/>
      <c r="AJ2331" s="26"/>
      <c r="AK2331" s="5"/>
      <c r="AL2331" s="82" t="s">
        <v>5252</v>
      </c>
      <c r="AM2331" s="76"/>
      <c r="AN2331" s="76"/>
      <c r="AO2331" s="76"/>
      <c r="AP2331" s="76"/>
      <c r="AQ2331" s="76"/>
      <c r="AR2331" s="76"/>
      <c r="AS2331" s="76"/>
      <c r="AT2331" s="76"/>
      <c r="AU2331" s="76"/>
      <c r="AV2331" s="76"/>
      <c r="AW2331" s="76"/>
      <c r="AX2331" s="76">
        <f>+AW2331*600000</f>
        <v>0</v>
      </c>
      <c r="AY2331" s="76"/>
      <c r="AZ2331" s="76">
        <f>+AY2331*70000</f>
        <v>0</v>
      </c>
      <c r="BA2331" s="76"/>
      <c r="BB2331" s="76"/>
      <c r="BC2331" s="76"/>
      <c r="BD2331" s="76">
        <f>+BC2331*30000</f>
        <v>0</v>
      </c>
      <c r="BE2331" s="76"/>
      <c r="BF2331" s="76"/>
      <c r="BG2331" s="76"/>
      <c r="BH2331" s="76"/>
      <c r="BI2331" s="76"/>
      <c r="BJ2331" s="76"/>
      <c r="BK2331" s="76"/>
      <c r="BL2331" s="76">
        <f>+BK2331*31500</f>
        <v>0</v>
      </c>
      <c r="BM2331" s="76"/>
      <c r="BN2331" s="76"/>
      <c r="BO2331" s="76"/>
      <c r="BP2331" s="76"/>
      <c r="BQ2331" s="76"/>
      <c r="BR2331" s="76"/>
      <c r="BS2331" s="76"/>
      <c r="BT2331" s="76"/>
      <c r="BU2331" s="76"/>
      <c r="BV2331" s="76"/>
      <c r="BW2331" s="76"/>
      <c r="BX2331" s="76"/>
      <c r="BY2331" s="76"/>
      <c r="BZ2331" s="76"/>
      <c r="CA2331" s="76"/>
      <c r="CB2331" s="76"/>
      <c r="CC2331" s="76"/>
      <c r="CD2331" s="76"/>
      <c r="CE2331" s="76"/>
      <c r="CF2331" s="76">
        <f>+CE2331*28000</f>
        <v>0</v>
      </c>
      <c r="CG2331" s="76"/>
      <c r="CH2331" s="76">
        <f>+CG2331*22500</f>
        <v>0</v>
      </c>
      <c r="CI2331" s="76"/>
      <c r="CJ2331" s="76">
        <f>+CI2331*26000</f>
        <v>0</v>
      </c>
      <c r="CK2331" s="76"/>
      <c r="CL2331" s="76"/>
      <c r="CM2331" s="76"/>
      <c r="CN2331" s="76">
        <f>+CM2331*22000</f>
        <v>0</v>
      </c>
      <c r="CO2331" s="76"/>
      <c r="CP2331" s="76">
        <f>+CO2331*46000</f>
        <v>0</v>
      </c>
      <c r="CQ2331" s="76"/>
      <c r="CR2331" s="76">
        <f>+CQ2331*49000</f>
        <v>0</v>
      </c>
      <c r="CS2331" s="76"/>
      <c r="CT2331" s="76"/>
      <c r="CU2331" s="56">
        <f>AN2331+AP2331+AR2331+AT2331+AV2331+AX2331+AZ2331+BB2331+BD2331+BF2331+BH2331+BJ2331+BL2331+BN2331+BP2331+BR2331+BT2331+BV2331+BX2331+BZ2331+CB2331+CD2331+CF2331+CH2331+CJ2331+CL2331+CN2331+CP2331+CR2331+CT2331</f>
        <v>0</v>
      </c>
      <c r="CV2331" s="76"/>
      <c r="CW2331" s="76">
        <f>+CV2331*1100</f>
        <v>0</v>
      </c>
      <c r="CX2331" s="76"/>
      <c r="CY2331" s="76">
        <f>+CX2331*106250</f>
        <v>0</v>
      </c>
      <c r="CZ2331" s="76"/>
      <c r="DA2331" s="76">
        <f>+CZ2331*34500</f>
        <v>0</v>
      </c>
      <c r="DB2331" s="76"/>
      <c r="DC2331" s="76">
        <f>+DB2331*25000</f>
        <v>0</v>
      </c>
      <c r="DD2331" s="219"/>
      <c r="DE2331" s="219"/>
      <c r="DF2331" s="166"/>
      <c r="DG2331" s="116"/>
      <c r="DH2331" s="117"/>
      <c r="DI2331" s="24"/>
      <c r="DJ2331" s="24"/>
      <c r="DK2331" s="24"/>
      <c r="DL2331" s="24"/>
      <c r="DM2331" s="24"/>
      <c r="DN2331" s="24"/>
      <c r="DO2331" s="24"/>
      <c r="DP2331" s="24"/>
      <c r="DQ2331" s="24"/>
      <c r="DR2331" s="24"/>
      <c r="DS2331" s="24"/>
      <c r="DT2331" s="24"/>
      <c r="DU2331" s="24"/>
    </row>
    <row r="2332" spans="1:125" s="8" customFormat="1" ht="60" x14ac:dyDescent="0.2">
      <c r="A2332" s="353">
        <v>41468</v>
      </c>
      <c r="B2332" s="352" t="s">
        <v>2700</v>
      </c>
      <c r="C2332" s="354" t="s">
        <v>614</v>
      </c>
      <c r="D2332" s="354" t="s">
        <v>2846</v>
      </c>
      <c r="E2332" s="75" t="str">
        <f>VLOOKUP(B2332&amp;C2332,Divipola!$C$2:$F$1138,4,FALSE)</f>
        <v>15542</v>
      </c>
      <c r="F2332" s="87"/>
      <c r="G2332" s="87"/>
      <c r="H2332" s="87"/>
      <c r="I2332" s="87"/>
      <c r="J2332" s="87"/>
      <c r="K2332" s="87"/>
      <c r="L2332" s="87"/>
      <c r="M2332" s="87"/>
      <c r="N2332" s="87"/>
      <c r="O2332" s="87"/>
      <c r="P2332" s="87"/>
      <c r="Q2332" s="87"/>
      <c r="R2332" s="87"/>
      <c r="S2332" s="87"/>
      <c r="T2332" s="87"/>
      <c r="U2332" s="88">
        <v>5</v>
      </c>
      <c r="V2332" s="89"/>
      <c r="W2332" s="96">
        <v>0</v>
      </c>
      <c r="X2332" s="71">
        <f>CU2332</f>
        <v>0</v>
      </c>
      <c r="Y2332" s="71">
        <f>CY2332</f>
        <v>0</v>
      </c>
      <c r="Z2332" s="71">
        <f>DA2332+DC2332+DE2332</f>
        <v>0</v>
      </c>
      <c r="AA2332" s="71">
        <f>CW2332</f>
        <v>0</v>
      </c>
      <c r="AB2332" s="71"/>
      <c r="AC2332" s="71">
        <v>0</v>
      </c>
      <c r="AD2332" s="71">
        <f>W2332+X2332+Y2332+Z2332+AA2332+AB2332+AC2332</f>
        <v>0</v>
      </c>
      <c r="AE2332" s="72">
        <v>0</v>
      </c>
      <c r="AF2332" s="5"/>
      <c r="AG2332" s="6"/>
      <c r="AH2332" s="27"/>
      <c r="AI2332" s="44"/>
      <c r="AJ2332" s="26"/>
      <c r="AK2332" s="5"/>
      <c r="AL2332" s="82" t="s">
        <v>5250</v>
      </c>
      <c r="AM2332" s="76"/>
      <c r="AN2332" s="76"/>
      <c r="AO2332" s="76"/>
      <c r="AP2332" s="76"/>
      <c r="AQ2332" s="76"/>
      <c r="AR2332" s="76"/>
      <c r="AS2332" s="76"/>
      <c r="AT2332" s="76"/>
      <c r="AU2332" s="76"/>
      <c r="AV2332" s="76"/>
      <c r="AW2332" s="76"/>
      <c r="AX2332" s="76">
        <f>+AW2332*600000</f>
        <v>0</v>
      </c>
      <c r="AY2332" s="76"/>
      <c r="AZ2332" s="76">
        <f>+AY2332*70000</f>
        <v>0</v>
      </c>
      <c r="BA2332" s="76"/>
      <c r="BB2332" s="76"/>
      <c r="BC2332" s="76"/>
      <c r="BD2332" s="76">
        <f>+BC2332*30000</f>
        <v>0</v>
      </c>
      <c r="BE2332" s="76"/>
      <c r="BF2332" s="76"/>
      <c r="BG2332" s="76"/>
      <c r="BH2332" s="76"/>
      <c r="BI2332" s="76"/>
      <c r="BJ2332" s="76"/>
      <c r="BK2332" s="76"/>
      <c r="BL2332" s="76">
        <f>+BK2332*31500</f>
        <v>0</v>
      </c>
      <c r="BM2332" s="76"/>
      <c r="BN2332" s="76"/>
      <c r="BO2332" s="76"/>
      <c r="BP2332" s="76"/>
      <c r="BQ2332" s="76"/>
      <c r="BR2332" s="76"/>
      <c r="BS2332" s="76"/>
      <c r="BT2332" s="76"/>
      <c r="BU2332" s="76"/>
      <c r="BV2332" s="76"/>
      <c r="BW2332" s="76"/>
      <c r="BX2332" s="76"/>
      <c r="BY2332" s="76"/>
      <c r="BZ2332" s="76"/>
      <c r="CA2332" s="76"/>
      <c r="CB2332" s="76"/>
      <c r="CC2332" s="76"/>
      <c r="CD2332" s="76"/>
      <c r="CE2332" s="76"/>
      <c r="CF2332" s="76">
        <f>+CE2332*28000</f>
        <v>0</v>
      </c>
      <c r="CG2332" s="76"/>
      <c r="CH2332" s="76">
        <f>+CG2332*22500</f>
        <v>0</v>
      </c>
      <c r="CI2332" s="76"/>
      <c r="CJ2332" s="76">
        <f>+CI2332*26000</f>
        <v>0</v>
      </c>
      <c r="CK2332" s="76"/>
      <c r="CL2332" s="76"/>
      <c r="CM2332" s="76"/>
      <c r="CN2332" s="76">
        <f>+CM2332*22000</f>
        <v>0</v>
      </c>
      <c r="CO2332" s="76"/>
      <c r="CP2332" s="76">
        <f>+CO2332*46000</f>
        <v>0</v>
      </c>
      <c r="CQ2332" s="76"/>
      <c r="CR2332" s="76">
        <f>+CQ2332*49000</f>
        <v>0</v>
      </c>
      <c r="CS2332" s="76"/>
      <c r="CT2332" s="76"/>
      <c r="CU2332" s="56">
        <f>AN2332+AP2332+AR2332+AT2332+AV2332+AX2332+AZ2332+BB2332+BD2332+BF2332+BH2332+BJ2332+BL2332+BN2332+BP2332+BR2332+BT2332+BV2332+BX2332+BZ2332+CB2332+CD2332+CF2332+CH2332+CJ2332+CL2332+CN2332+CP2332+CR2332+CT2332</f>
        <v>0</v>
      </c>
      <c r="CV2332" s="76"/>
      <c r="CW2332" s="76">
        <f>+CV2332*1100</f>
        <v>0</v>
      </c>
      <c r="CX2332" s="76"/>
      <c r="CY2332" s="76">
        <f>+CX2332*106250</f>
        <v>0</v>
      </c>
      <c r="CZ2332" s="76"/>
      <c r="DA2332" s="76">
        <f>+CZ2332*34500</f>
        <v>0</v>
      </c>
      <c r="DB2332" s="76"/>
      <c r="DC2332" s="76">
        <f>+DB2332*25000</f>
        <v>0</v>
      </c>
      <c r="DD2332" s="219"/>
      <c r="DE2332" s="219"/>
      <c r="DF2332" s="166"/>
      <c r="DG2332" s="116"/>
      <c r="DH2332" s="117"/>
      <c r="DI2332" s="24"/>
      <c r="DJ2332" s="24"/>
      <c r="DK2332" s="24"/>
      <c r="DL2332" s="24"/>
      <c r="DM2332" s="24"/>
      <c r="DN2332" s="24"/>
      <c r="DO2332" s="24"/>
      <c r="DP2332" s="24"/>
      <c r="DQ2332" s="24"/>
      <c r="DR2332" s="24"/>
      <c r="DS2332" s="24"/>
      <c r="DT2332" s="24"/>
      <c r="DU2332" s="24"/>
    </row>
    <row r="2333" spans="1:125" s="8" customFormat="1" ht="36" x14ac:dyDescent="0.2">
      <c r="A2333" s="97">
        <v>41468</v>
      </c>
      <c r="B2333" s="97" t="s">
        <v>2855</v>
      </c>
      <c r="C2333" s="97" t="s">
        <v>2168</v>
      </c>
      <c r="D2333" s="97" t="s">
        <v>2882</v>
      </c>
      <c r="E2333" s="75" t="str">
        <f>VLOOKUP(B2333&amp;C2333,Divipola!$C$2:$F$1138,4,FALSE)</f>
        <v>20001</v>
      </c>
      <c r="F2333" s="87"/>
      <c r="G2333" s="87"/>
      <c r="H2333" s="87"/>
      <c r="I2333" s="87">
        <v>10</v>
      </c>
      <c r="J2333" s="87">
        <v>2</v>
      </c>
      <c r="K2333" s="87"/>
      <c r="L2333" s="87">
        <v>2</v>
      </c>
      <c r="M2333" s="87"/>
      <c r="N2333" s="87"/>
      <c r="O2333" s="87"/>
      <c r="P2333" s="87"/>
      <c r="Q2333" s="87"/>
      <c r="R2333" s="87"/>
      <c r="S2333" s="87"/>
      <c r="T2333" s="87"/>
      <c r="U2333" s="88"/>
      <c r="V2333" s="89"/>
      <c r="W2333" s="96">
        <v>0</v>
      </c>
      <c r="X2333" s="71">
        <v>0</v>
      </c>
      <c r="Y2333" s="71">
        <v>0</v>
      </c>
      <c r="Z2333" s="71">
        <v>0</v>
      </c>
      <c r="AA2333" s="71">
        <v>0</v>
      </c>
      <c r="AB2333" s="71"/>
      <c r="AC2333" s="71">
        <v>0</v>
      </c>
      <c r="AD2333" s="71">
        <v>0</v>
      </c>
      <c r="AE2333" s="5"/>
      <c r="AF2333" s="6"/>
      <c r="AG2333" s="27"/>
      <c r="AH2333" s="44"/>
      <c r="AI2333" s="26"/>
      <c r="AJ2333" s="5"/>
      <c r="AK2333" s="9"/>
      <c r="AL2333" s="82" t="s">
        <v>5231</v>
      </c>
      <c r="AM2333" s="76"/>
      <c r="AN2333" s="76"/>
      <c r="AO2333" s="76"/>
      <c r="AP2333" s="76"/>
      <c r="AQ2333" s="76"/>
      <c r="AR2333" s="76"/>
      <c r="AS2333" s="76"/>
      <c r="AT2333" s="76"/>
      <c r="AU2333" s="76"/>
      <c r="AV2333" s="76"/>
      <c r="AW2333" s="76"/>
      <c r="AX2333" s="76">
        <f>+AW2333*600000</f>
        <v>0</v>
      </c>
      <c r="AY2333" s="76"/>
      <c r="AZ2333" s="76">
        <f>+AY2333*70000</f>
        <v>0</v>
      </c>
      <c r="BA2333" s="76"/>
      <c r="BB2333" s="76"/>
      <c r="BC2333" s="76"/>
      <c r="BD2333" s="76">
        <f>+BC2333*30000</f>
        <v>0</v>
      </c>
      <c r="BE2333" s="76"/>
      <c r="BF2333" s="76"/>
      <c r="BG2333" s="76"/>
      <c r="BH2333" s="76"/>
      <c r="BI2333" s="76"/>
      <c r="BJ2333" s="76"/>
      <c r="BK2333" s="76"/>
      <c r="BL2333" s="76">
        <f>+BK2333*31500</f>
        <v>0</v>
      </c>
      <c r="BM2333" s="76"/>
      <c r="BN2333" s="76"/>
      <c r="BO2333" s="76"/>
      <c r="BP2333" s="76"/>
      <c r="BQ2333" s="76"/>
      <c r="BR2333" s="76"/>
      <c r="BS2333" s="76"/>
      <c r="BT2333" s="76"/>
      <c r="BU2333" s="76"/>
      <c r="BV2333" s="76"/>
      <c r="BW2333" s="76"/>
      <c r="BX2333" s="76"/>
      <c r="BY2333" s="76"/>
      <c r="BZ2333" s="76"/>
      <c r="CA2333" s="76"/>
      <c r="CB2333" s="76"/>
      <c r="CC2333" s="76"/>
      <c r="CD2333" s="76"/>
      <c r="CE2333" s="76"/>
      <c r="CF2333" s="76">
        <f>+CE2333*28000</f>
        <v>0</v>
      </c>
      <c r="CG2333" s="76"/>
      <c r="CH2333" s="76">
        <f>+CG2333*22500</f>
        <v>0</v>
      </c>
      <c r="CI2333" s="76"/>
      <c r="CJ2333" s="76">
        <f>+CI2333*26000</f>
        <v>0</v>
      </c>
      <c r="CK2333" s="76"/>
      <c r="CL2333" s="76"/>
      <c r="CM2333" s="76"/>
      <c r="CN2333" s="76">
        <f>+CM2333*22000</f>
        <v>0</v>
      </c>
      <c r="CO2333" s="76"/>
      <c r="CP2333" s="76">
        <f>+CO2333*46000</f>
        <v>0</v>
      </c>
      <c r="CQ2333" s="76"/>
      <c r="CR2333" s="76">
        <f>+CQ2333*49000</f>
        <v>0</v>
      </c>
      <c r="CS2333" s="76"/>
      <c r="CT2333" s="76"/>
      <c r="CU2333" s="56">
        <f>AN2333+AP2333+AR2333+AT2333+AV2333+AX2333+AZ2333+BB2333+BD2333+BF2333+BH2333+BJ2333+BL2333+BN2333+BP2333+BR2333+BT2333+BV2333+BX2333+BZ2333+CB2333+CD2333+CF2333+CH2333+CJ2333+CL2333+CN2333+CP2333+CR2333+CT2333</f>
        <v>0</v>
      </c>
      <c r="CV2333" s="76"/>
      <c r="CW2333" s="76">
        <f>+CV2333*1100</f>
        <v>0</v>
      </c>
      <c r="CX2333" s="76"/>
      <c r="CY2333" s="76">
        <f>+CX2333*106250</f>
        <v>0</v>
      </c>
      <c r="CZ2333" s="76"/>
      <c r="DA2333" s="76">
        <f>+CZ2333*34500</f>
        <v>0</v>
      </c>
      <c r="DB2333" s="76"/>
      <c r="DC2333" s="76">
        <f>+DB2333*25000</f>
        <v>0</v>
      </c>
      <c r="DD2333" s="219"/>
      <c r="DE2333" s="219"/>
      <c r="DF2333" s="166"/>
      <c r="DG2333" s="116"/>
      <c r="DH2333" s="117"/>
      <c r="DI2333" s="24"/>
      <c r="DJ2333" s="24"/>
      <c r="DK2333" s="24"/>
      <c r="DL2333" s="24"/>
      <c r="DM2333" s="24"/>
      <c r="DN2333" s="24"/>
      <c r="DO2333" s="24"/>
      <c r="DP2333" s="24"/>
      <c r="DQ2333" s="24"/>
      <c r="DR2333" s="24"/>
      <c r="DS2333" s="24"/>
      <c r="DT2333" s="24"/>
      <c r="DU2333" s="24"/>
    </row>
    <row r="2334" spans="1:125" s="8" customFormat="1" ht="48" x14ac:dyDescent="0.2">
      <c r="A2334" s="226">
        <v>41468</v>
      </c>
      <c r="B2334" s="225" t="s">
        <v>2291</v>
      </c>
      <c r="C2334" s="227" t="s">
        <v>2292</v>
      </c>
      <c r="D2334" s="227" t="s">
        <v>2849</v>
      </c>
      <c r="E2334" s="75" t="str">
        <f>VLOOKUP(B2334&amp;C2334,Divipola!$C$2:$F$1138,4,FALSE)</f>
        <v>94001</v>
      </c>
      <c r="F2334" s="87">
        <v>1</v>
      </c>
      <c r="G2334" s="87"/>
      <c r="H2334" s="87"/>
      <c r="I2334" s="87"/>
      <c r="J2334" s="87"/>
      <c r="K2334" s="87"/>
      <c r="L2334" s="87"/>
      <c r="M2334" s="87"/>
      <c r="N2334" s="87"/>
      <c r="O2334" s="87"/>
      <c r="P2334" s="87"/>
      <c r="Q2334" s="87"/>
      <c r="R2334" s="87"/>
      <c r="S2334" s="87"/>
      <c r="T2334" s="87"/>
      <c r="U2334" s="88"/>
      <c r="V2334" s="89"/>
      <c r="W2334" s="96">
        <v>0</v>
      </c>
      <c r="X2334" s="71">
        <f>CU2334</f>
        <v>0</v>
      </c>
      <c r="Y2334" s="71">
        <f>CY2334</f>
        <v>0</v>
      </c>
      <c r="Z2334" s="71">
        <f>DA2334+DC2334+DE2334</f>
        <v>0</v>
      </c>
      <c r="AA2334" s="71">
        <f>CW2334</f>
        <v>0</v>
      </c>
      <c r="AB2334" s="71"/>
      <c r="AC2334" s="71">
        <v>0</v>
      </c>
      <c r="AD2334" s="71">
        <f>W2334+X2334+Y2334+Z2334+AA2334+AB2334+AC2334</f>
        <v>0</v>
      </c>
      <c r="AE2334" s="72">
        <v>0</v>
      </c>
      <c r="AF2334" s="5"/>
      <c r="AG2334" s="6"/>
      <c r="AH2334" s="27"/>
      <c r="AI2334" s="44"/>
      <c r="AJ2334" s="26"/>
      <c r="AK2334" s="5"/>
      <c r="AL2334" s="82" t="s">
        <v>5209</v>
      </c>
      <c r="AM2334" s="76"/>
      <c r="AN2334" s="76"/>
      <c r="AO2334" s="76"/>
      <c r="AP2334" s="76"/>
      <c r="AQ2334" s="76"/>
      <c r="AR2334" s="76"/>
      <c r="AS2334" s="76"/>
      <c r="AT2334" s="76"/>
      <c r="AU2334" s="76"/>
      <c r="AV2334" s="76"/>
      <c r="AW2334" s="76"/>
      <c r="AX2334" s="76">
        <f>+AW2334*600000</f>
        <v>0</v>
      </c>
      <c r="AY2334" s="76"/>
      <c r="AZ2334" s="76">
        <f>+AY2334*70000</f>
        <v>0</v>
      </c>
      <c r="BA2334" s="76"/>
      <c r="BB2334" s="76"/>
      <c r="BC2334" s="76"/>
      <c r="BD2334" s="76">
        <f>+BC2334*30000</f>
        <v>0</v>
      </c>
      <c r="BE2334" s="76"/>
      <c r="BF2334" s="76"/>
      <c r="BG2334" s="76"/>
      <c r="BH2334" s="76"/>
      <c r="BI2334" s="76"/>
      <c r="BJ2334" s="76"/>
      <c r="BK2334" s="76"/>
      <c r="BL2334" s="76">
        <f>+BK2334*31500</f>
        <v>0</v>
      </c>
      <c r="BM2334" s="76"/>
      <c r="BN2334" s="76"/>
      <c r="BO2334" s="76"/>
      <c r="BP2334" s="76"/>
      <c r="BQ2334" s="76"/>
      <c r="BR2334" s="76"/>
      <c r="BS2334" s="76"/>
      <c r="BT2334" s="76"/>
      <c r="BU2334" s="76"/>
      <c r="BV2334" s="76"/>
      <c r="BW2334" s="76"/>
      <c r="BX2334" s="76"/>
      <c r="BY2334" s="76"/>
      <c r="BZ2334" s="76"/>
      <c r="CA2334" s="76"/>
      <c r="CB2334" s="76"/>
      <c r="CC2334" s="76"/>
      <c r="CD2334" s="76"/>
      <c r="CE2334" s="76"/>
      <c r="CF2334" s="76">
        <f>+CE2334*28000</f>
        <v>0</v>
      </c>
      <c r="CG2334" s="76"/>
      <c r="CH2334" s="76">
        <f>+CG2334*22500</f>
        <v>0</v>
      </c>
      <c r="CI2334" s="76"/>
      <c r="CJ2334" s="76">
        <f>+CI2334*26000</f>
        <v>0</v>
      </c>
      <c r="CK2334" s="76"/>
      <c r="CL2334" s="76"/>
      <c r="CM2334" s="76"/>
      <c r="CN2334" s="76">
        <f>+CM2334*22000</f>
        <v>0</v>
      </c>
      <c r="CO2334" s="76"/>
      <c r="CP2334" s="76">
        <f>+CO2334*46000</f>
        <v>0</v>
      </c>
      <c r="CQ2334" s="76"/>
      <c r="CR2334" s="76">
        <f>+CQ2334*49000</f>
        <v>0</v>
      </c>
      <c r="CS2334" s="76"/>
      <c r="CT2334" s="76"/>
      <c r="CU2334" s="56">
        <f>AN2334+AP2334+AR2334+AT2334+AV2334+AX2334+AZ2334+BB2334+BD2334+BF2334+BH2334+BJ2334+BL2334+BN2334+BP2334+BR2334+BT2334+BV2334+BX2334+BZ2334+CB2334+CD2334+CF2334+CH2334+CJ2334+CL2334+CN2334+CP2334+CR2334+CT2334</f>
        <v>0</v>
      </c>
      <c r="CV2334" s="76"/>
      <c r="CW2334" s="76">
        <f>+CV2334*1100</f>
        <v>0</v>
      </c>
      <c r="CX2334" s="76"/>
      <c r="CY2334" s="76">
        <f>+CX2334*106250</f>
        <v>0</v>
      </c>
      <c r="CZ2334" s="76"/>
      <c r="DA2334" s="76">
        <f>+CZ2334*34500</f>
        <v>0</v>
      </c>
      <c r="DB2334" s="76"/>
      <c r="DC2334" s="76">
        <f>+DB2334*25000</f>
        <v>0</v>
      </c>
      <c r="DD2334" s="219"/>
      <c r="DE2334" s="219"/>
      <c r="DF2334" s="166"/>
      <c r="DG2334" s="116"/>
      <c r="DH2334" s="117"/>
      <c r="DI2334" s="24"/>
      <c r="DJ2334" s="24"/>
      <c r="DK2334" s="24"/>
      <c r="DL2334" s="24"/>
      <c r="DM2334" s="24"/>
      <c r="DN2334" s="24"/>
      <c r="DO2334" s="24"/>
      <c r="DP2334" s="24"/>
      <c r="DQ2334" s="24"/>
      <c r="DR2334" s="24"/>
      <c r="DS2334" s="24"/>
      <c r="DT2334" s="24"/>
      <c r="DU2334" s="24"/>
    </row>
    <row r="2335" spans="1:125" s="8" customFormat="1" ht="84" x14ac:dyDescent="0.2">
      <c r="A2335" s="226">
        <v>41468</v>
      </c>
      <c r="B2335" s="352" t="s">
        <v>2880</v>
      </c>
      <c r="C2335" s="354" t="s">
        <v>2677</v>
      </c>
      <c r="D2335" s="354" t="s">
        <v>2846</v>
      </c>
      <c r="E2335" s="75" t="str">
        <f>VLOOKUP(B2335&amp;C2335,Divipola!$C$2:$F$1138,4,FALSE)</f>
        <v>54109</v>
      </c>
      <c r="F2335" s="87"/>
      <c r="G2335" s="87"/>
      <c r="H2335" s="87"/>
      <c r="I2335" s="87"/>
      <c r="J2335" s="87"/>
      <c r="K2335" s="87"/>
      <c r="L2335" s="87"/>
      <c r="M2335" s="87"/>
      <c r="N2335" s="87"/>
      <c r="O2335" s="87"/>
      <c r="P2335" s="87"/>
      <c r="Q2335" s="87"/>
      <c r="R2335" s="87"/>
      <c r="S2335" s="87"/>
      <c r="T2335" s="87"/>
      <c r="U2335" s="88">
        <v>30</v>
      </c>
      <c r="V2335" s="89"/>
      <c r="W2335" s="96">
        <v>0</v>
      </c>
      <c r="X2335" s="71">
        <f>CU2335</f>
        <v>0</v>
      </c>
      <c r="Y2335" s="71">
        <f>CY2335</f>
        <v>0</v>
      </c>
      <c r="Z2335" s="71">
        <f>DA2335+DC2335+DE2335</f>
        <v>0</v>
      </c>
      <c r="AA2335" s="71">
        <f>CW2335</f>
        <v>0</v>
      </c>
      <c r="AB2335" s="71"/>
      <c r="AC2335" s="71">
        <v>0</v>
      </c>
      <c r="AD2335" s="71">
        <f>W2335+X2335+Y2335+Z2335+AA2335+AB2335+AC2335</f>
        <v>0</v>
      </c>
      <c r="AE2335" s="72">
        <v>0</v>
      </c>
      <c r="AF2335" s="5"/>
      <c r="AG2335" s="6"/>
      <c r="AH2335" s="27"/>
      <c r="AI2335" s="44"/>
      <c r="AJ2335" s="26"/>
      <c r="AK2335" s="5"/>
      <c r="AL2335" s="82" t="s">
        <v>5207</v>
      </c>
      <c r="AM2335" s="76"/>
      <c r="AN2335" s="76"/>
      <c r="AO2335" s="76"/>
      <c r="AP2335" s="76"/>
      <c r="AQ2335" s="76"/>
      <c r="AR2335" s="76"/>
      <c r="AS2335" s="76"/>
      <c r="AT2335" s="76"/>
      <c r="AU2335" s="76"/>
      <c r="AV2335" s="76"/>
      <c r="AW2335" s="76"/>
      <c r="AX2335" s="76">
        <f>+AW2335*600000</f>
        <v>0</v>
      </c>
      <c r="AY2335" s="76"/>
      <c r="AZ2335" s="76">
        <f>+AY2335*70000</f>
        <v>0</v>
      </c>
      <c r="BA2335" s="76"/>
      <c r="BB2335" s="76"/>
      <c r="BC2335" s="76"/>
      <c r="BD2335" s="76">
        <f>+BC2335*30000</f>
        <v>0</v>
      </c>
      <c r="BE2335" s="76"/>
      <c r="BF2335" s="76"/>
      <c r="BG2335" s="76"/>
      <c r="BH2335" s="76"/>
      <c r="BI2335" s="76"/>
      <c r="BJ2335" s="76"/>
      <c r="BK2335" s="76"/>
      <c r="BL2335" s="76">
        <f>+BK2335*31500</f>
        <v>0</v>
      </c>
      <c r="BM2335" s="76"/>
      <c r="BN2335" s="76"/>
      <c r="BO2335" s="76"/>
      <c r="BP2335" s="76"/>
      <c r="BQ2335" s="76"/>
      <c r="BR2335" s="76"/>
      <c r="BS2335" s="76"/>
      <c r="BT2335" s="76"/>
      <c r="BU2335" s="76"/>
      <c r="BV2335" s="76"/>
      <c r="BW2335" s="76"/>
      <c r="BX2335" s="76"/>
      <c r="BY2335" s="76"/>
      <c r="BZ2335" s="76"/>
      <c r="CA2335" s="76"/>
      <c r="CB2335" s="76"/>
      <c r="CC2335" s="76"/>
      <c r="CD2335" s="76"/>
      <c r="CE2335" s="76"/>
      <c r="CF2335" s="76">
        <f>+CE2335*28000</f>
        <v>0</v>
      </c>
      <c r="CG2335" s="76"/>
      <c r="CH2335" s="76">
        <f>+CG2335*22500</f>
        <v>0</v>
      </c>
      <c r="CI2335" s="76"/>
      <c r="CJ2335" s="76">
        <f>+CI2335*26000</f>
        <v>0</v>
      </c>
      <c r="CK2335" s="76"/>
      <c r="CL2335" s="76"/>
      <c r="CM2335" s="76"/>
      <c r="CN2335" s="76">
        <f>+CM2335*22000</f>
        <v>0</v>
      </c>
      <c r="CO2335" s="76"/>
      <c r="CP2335" s="76">
        <f>+CO2335*46000</f>
        <v>0</v>
      </c>
      <c r="CQ2335" s="76"/>
      <c r="CR2335" s="76">
        <f>+CQ2335*49000</f>
        <v>0</v>
      </c>
      <c r="CS2335" s="76"/>
      <c r="CT2335" s="76"/>
      <c r="CU2335" s="56">
        <f>AN2335+AP2335+AR2335+AT2335+AV2335+AX2335+AZ2335+BB2335+BD2335+BF2335+BH2335+BJ2335+BL2335+BN2335+BP2335+BR2335+BT2335+BV2335+BX2335+BZ2335+CB2335+CD2335+CF2335+CH2335+CJ2335+CL2335+CN2335+CP2335+CR2335+CT2335</f>
        <v>0</v>
      </c>
      <c r="CV2335" s="76"/>
      <c r="CW2335" s="76">
        <f>+CV2335*1100</f>
        <v>0</v>
      </c>
      <c r="CX2335" s="76"/>
      <c r="CY2335" s="76">
        <f>+CX2335*106250</f>
        <v>0</v>
      </c>
      <c r="CZ2335" s="76"/>
      <c r="DA2335" s="76">
        <f>+CZ2335*34500</f>
        <v>0</v>
      </c>
      <c r="DB2335" s="76"/>
      <c r="DC2335" s="76">
        <f>+DB2335*25000</f>
        <v>0</v>
      </c>
      <c r="DD2335" s="219"/>
      <c r="DE2335" s="219"/>
      <c r="DF2335" s="166"/>
      <c r="DG2335" s="116"/>
      <c r="DH2335" s="117"/>
      <c r="DI2335" s="24"/>
      <c r="DJ2335" s="24"/>
      <c r="DK2335" s="24"/>
      <c r="DL2335" s="24"/>
      <c r="DM2335" s="24"/>
      <c r="DN2335" s="24"/>
      <c r="DO2335" s="24"/>
      <c r="DP2335" s="24"/>
      <c r="DQ2335" s="24"/>
      <c r="DR2335" s="24"/>
      <c r="DS2335" s="24"/>
      <c r="DT2335" s="24"/>
      <c r="DU2335" s="24"/>
    </row>
    <row r="2336" spans="1:125" s="8" customFormat="1" ht="48" x14ac:dyDescent="0.2">
      <c r="A2336" s="226">
        <v>41468</v>
      </c>
      <c r="B2336" s="353" t="s">
        <v>2880</v>
      </c>
      <c r="C2336" s="353" t="s">
        <v>2121</v>
      </c>
      <c r="D2336" s="353" t="s">
        <v>2846</v>
      </c>
      <c r="E2336" s="75" t="str">
        <f>VLOOKUP(B2336&amp;C2336,Divipola!$C$2:$F$1138,4,FALSE)</f>
        <v>54172</v>
      </c>
      <c r="F2336" s="87"/>
      <c r="G2336" s="87"/>
      <c r="H2336" s="87"/>
      <c r="I2336" s="87"/>
      <c r="J2336" s="87"/>
      <c r="K2336" s="87"/>
      <c r="L2336" s="87"/>
      <c r="M2336" s="87"/>
      <c r="N2336" s="87"/>
      <c r="O2336" s="87"/>
      <c r="P2336" s="87"/>
      <c r="Q2336" s="87"/>
      <c r="R2336" s="87"/>
      <c r="S2336" s="87"/>
      <c r="T2336" s="87"/>
      <c r="U2336" s="88">
        <v>30</v>
      </c>
      <c r="V2336" s="89"/>
      <c r="W2336" s="96">
        <v>0</v>
      </c>
      <c r="X2336" s="71">
        <v>0</v>
      </c>
      <c r="Y2336" s="71">
        <v>0</v>
      </c>
      <c r="Z2336" s="71">
        <v>0</v>
      </c>
      <c r="AA2336" s="71">
        <v>0</v>
      </c>
      <c r="AB2336" s="71"/>
      <c r="AC2336" s="71">
        <v>0</v>
      </c>
      <c r="AD2336" s="71">
        <v>0</v>
      </c>
      <c r="AE2336" s="5"/>
      <c r="AF2336" s="6"/>
      <c r="AG2336" s="27"/>
      <c r="AH2336" s="44"/>
      <c r="AI2336" s="26"/>
      <c r="AJ2336" s="5"/>
      <c r="AK2336" s="9"/>
      <c r="AL2336" s="82" t="s">
        <v>5225</v>
      </c>
      <c r="AM2336" s="76"/>
      <c r="AN2336" s="76"/>
      <c r="AO2336" s="76"/>
      <c r="AP2336" s="76"/>
      <c r="AQ2336" s="76"/>
      <c r="AR2336" s="76"/>
      <c r="AS2336" s="76"/>
      <c r="AT2336" s="76"/>
      <c r="AU2336" s="76"/>
      <c r="AV2336" s="76"/>
      <c r="AW2336" s="76"/>
      <c r="AX2336" s="76">
        <f>+AW2336*600000</f>
        <v>0</v>
      </c>
      <c r="AY2336" s="76"/>
      <c r="AZ2336" s="76">
        <f>+AY2336*70000</f>
        <v>0</v>
      </c>
      <c r="BA2336" s="76"/>
      <c r="BB2336" s="76"/>
      <c r="BC2336" s="76"/>
      <c r="BD2336" s="76">
        <f>+BC2336*30000</f>
        <v>0</v>
      </c>
      <c r="BE2336" s="76"/>
      <c r="BF2336" s="76"/>
      <c r="BG2336" s="76"/>
      <c r="BH2336" s="76"/>
      <c r="BI2336" s="76"/>
      <c r="BJ2336" s="76"/>
      <c r="BK2336" s="76"/>
      <c r="BL2336" s="76">
        <f>+BK2336*31500</f>
        <v>0</v>
      </c>
      <c r="BM2336" s="76"/>
      <c r="BN2336" s="76"/>
      <c r="BO2336" s="76"/>
      <c r="BP2336" s="76"/>
      <c r="BQ2336" s="76"/>
      <c r="BR2336" s="76"/>
      <c r="BS2336" s="76"/>
      <c r="BT2336" s="76"/>
      <c r="BU2336" s="76"/>
      <c r="BV2336" s="76"/>
      <c r="BW2336" s="76"/>
      <c r="BX2336" s="76"/>
      <c r="BY2336" s="76"/>
      <c r="BZ2336" s="76"/>
      <c r="CA2336" s="76"/>
      <c r="CB2336" s="76"/>
      <c r="CC2336" s="76"/>
      <c r="CD2336" s="76"/>
      <c r="CE2336" s="76"/>
      <c r="CF2336" s="76">
        <f>+CE2336*28000</f>
        <v>0</v>
      </c>
      <c r="CG2336" s="76"/>
      <c r="CH2336" s="76">
        <f>+CG2336*22500</f>
        <v>0</v>
      </c>
      <c r="CI2336" s="76"/>
      <c r="CJ2336" s="76">
        <f>+CI2336*26000</f>
        <v>0</v>
      </c>
      <c r="CK2336" s="76"/>
      <c r="CL2336" s="76"/>
      <c r="CM2336" s="76"/>
      <c r="CN2336" s="76">
        <f>+CM2336*22000</f>
        <v>0</v>
      </c>
      <c r="CO2336" s="76"/>
      <c r="CP2336" s="76">
        <f>+CO2336*46000</f>
        <v>0</v>
      </c>
      <c r="CQ2336" s="76"/>
      <c r="CR2336" s="76">
        <f>+CQ2336*49000</f>
        <v>0</v>
      </c>
      <c r="CS2336" s="76"/>
      <c r="CT2336" s="76"/>
      <c r="CU2336" s="56">
        <f>AN2336+AP2336+AR2336+AT2336+AV2336+AX2336+AZ2336+BB2336+BD2336+BF2336+BH2336+BJ2336+BL2336+BN2336+BP2336+BR2336+BT2336+BV2336+BX2336+BZ2336+CB2336+CD2336+CF2336+CH2336+CJ2336+CL2336+CN2336+CP2336+CR2336+CT2336</f>
        <v>0</v>
      </c>
      <c r="CV2336" s="76"/>
      <c r="CW2336" s="76">
        <f>+CV2336*1100</f>
        <v>0</v>
      </c>
      <c r="CX2336" s="76"/>
      <c r="CY2336" s="76">
        <f>+CX2336*106250</f>
        <v>0</v>
      </c>
      <c r="CZ2336" s="76"/>
      <c r="DA2336" s="76">
        <f>+CZ2336*34500</f>
        <v>0</v>
      </c>
      <c r="DB2336" s="76"/>
      <c r="DC2336" s="76">
        <f>+DB2336*25000</f>
        <v>0</v>
      </c>
      <c r="DD2336" s="219"/>
      <c r="DE2336" s="219"/>
      <c r="DF2336" s="166"/>
      <c r="DG2336" s="116"/>
      <c r="DH2336" s="117"/>
      <c r="DI2336" s="24"/>
      <c r="DJ2336" s="24"/>
      <c r="DK2336" s="24"/>
      <c r="DL2336" s="24"/>
      <c r="DM2336" s="24"/>
      <c r="DN2336" s="24"/>
      <c r="DO2336" s="24"/>
      <c r="DP2336" s="24"/>
      <c r="DQ2336" s="24"/>
      <c r="DR2336" s="24"/>
      <c r="DS2336" s="24"/>
      <c r="DT2336" s="24"/>
      <c r="DU2336" s="24"/>
    </row>
    <row r="2337" spans="1:125" s="8" customFormat="1" ht="72" x14ac:dyDescent="0.2">
      <c r="A2337" s="226">
        <v>41468</v>
      </c>
      <c r="B2337" s="177" t="s">
        <v>2880</v>
      </c>
      <c r="C2337" s="288" t="s">
        <v>1349</v>
      </c>
      <c r="D2337" s="288" t="s">
        <v>2846</v>
      </c>
      <c r="E2337" s="75" t="str">
        <f>VLOOKUP(B2337&amp;C2337,Divipola!$C$2:$F$1138,4,FALSE)</f>
        <v>54660</v>
      </c>
      <c r="F2337" s="87"/>
      <c r="G2337" s="87"/>
      <c r="H2337" s="87"/>
      <c r="I2337" s="87"/>
      <c r="J2337" s="87"/>
      <c r="K2337" s="87"/>
      <c r="L2337" s="87"/>
      <c r="M2337" s="87"/>
      <c r="N2337" s="87"/>
      <c r="O2337" s="87"/>
      <c r="P2337" s="87"/>
      <c r="Q2337" s="87"/>
      <c r="R2337" s="87"/>
      <c r="S2337" s="87"/>
      <c r="T2337" s="87"/>
      <c r="U2337" s="88">
        <v>9</v>
      </c>
      <c r="V2337" s="89"/>
      <c r="W2337" s="96">
        <v>0</v>
      </c>
      <c r="X2337" s="71">
        <f>CU2337</f>
        <v>0</v>
      </c>
      <c r="Y2337" s="71">
        <f>CY2337</f>
        <v>0</v>
      </c>
      <c r="Z2337" s="71">
        <f>DA2337+DC2337+DE2337</f>
        <v>0</v>
      </c>
      <c r="AA2337" s="71">
        <f>CW2337</f>
        <v>0</v>
      </c>
      <c r="AB2337" s="71"/>
      <c r="AC2337" s="71">
        <v>0</v>
      </c>
      <c r="AD2337" s="71">
        <f>W2337+X2337+Y2337+Z2337+AA2337+AB2337+AC2337</f>
        <v>0</v>
      </c>
      <c r="AE2337" s="72">
        <v>0</v>
      </c>
      <c r="AF2337" s="5"/>
      <c r="AG2337" s="6"/>
      <c r="AH2337" s="27"/>
      <c r="AI2337" s="44"/>
      <c r="AJ2337" s="26"/>
      <c r="AK2337" s="5"/>
      <c r="AL2337" s="82" t="s">
        <v>5249</v>
      </c>
      <c r="AM2337" s="76"/>
      <c r="AN2337" s="76"/>
      <c r="AO2337" s="76"/>
      <c r="AP2337" s="76"/>
      <c r="AQ2337" s="76"/>
      <c r="AR2337" s="76"/>
      <c r="AS2337" s="76"/>
      <c r="AT2337" s="76"/>
      <c r="AU2337" s="76"/>
      <c r="AV2337" s="76"/>
      <c r="AW2337" s="76"/>
      <c r="AX2337" s="76">
        <f>+AW2337*600000</f>
        <v>0</v>
      </c>
      <c r="AY2337" s="76"/>
      <c r="AZ2337" s="76">
        <f>+AY2337*70000</f>
        <v>0</v>
      </c>
      <c r="BA2337" s="76"/>
      <c r="BB2337" s="76"/>
      <c r="BC2337" s="76"/>
      <c r="BD2337" s="76">
        <f>+BC2337*30000</f>
        <v>0</v>
      </c>
      <c r="BE2337" s="76"/>
      <c r="BF2337" s="76"/>
      <c r="BG2337" s="76"/>
      <c r="BH2337" s="76"/>
      <c r="BI2337" s="76"/>
      <c r="BJ2337" s="76"/>
      <c r="BK2337" s="76"/>
      <c r="BL2337" s="76">
        <f>+BK2337*31500</f>
        <v>0</v>
      </c>
      <c r="BM2337" s="76"/>
      <c r="BN2337" s="76"/>
      <c r="BO2337" s="76"/>
      <c r="BP2337" s="76"/>
      <c r="BQ2337" s="76"/>
      <c r="BR2337" s="76"/>
      <c r="BS2337" s="76"/>
      <c r="BT2337" s="76"/>
      <c r="BU2337" s="76"/>
      <c r="BV2337" s="76"/>
      <c r="BW2337" s="76"/>
      <c r="BX2337" s="76"/>
      <c r="BY2337" s="76"/>
      <c r="BZ2337" s="76"/>
      <c r="CA2337" s="76"/>
      <c r="CB2337" s="76"/>
      <c r="CC2337" s="76"/>
      <c r="CD2337" s="76"/>
      <c r="CE2337" s="76"/>
      <c r="CF2337" s="76">
        <f>+CE2337*28000</f>
        <v>0</v>
      </c>
      <c r="CG2337" s="76"/>
      <c r="CH2337" s="76">
        <f>+CG2337*22500</f>
        <v>0</v>
      </c>
      <c r="CI2337" s="76"/>
      <c r="CJ2337" s="76">
        <f>+CI2337*26000</f>
        <v>0</v>
      </c>
      <c r="CK2337" s="76"/>
      <c r="CL2337" s="76"/>
      <c r="CM2337" s="76"/>
      <c r="CN2337" s="76">
        <f>+CM2337*22000</f>
        <v>0</v>
      </c>
      <c r="CO2337" s="76"/>
      <c r="CP2337" s="76">
        <f>+CO2337*46000</f>
        <v>0</v>
      </c>
      <c r="CQ2337" s="76"/>
      <c r="CR2337" s="76">
        <f>+CQ2337*49000</f>
        <v>0</v>
      </c>
      <c r="CS2337" s="76"/>
      <c r="CT2337" s="76"/>
      <c r="CU2337" s="56">
        <f>AN2337+AP2337+AR2337+AT2337+AV2337+AX2337+AZ2337+BB2337+BD2337+BF2337+BH2337+BJ2337+BL2337+BN2337+BP2337+BR2337+BT2337+BV2337+BX2337+BZ2337+CB2337+CD2337+CF2337+CH2337+CJ2337+CL2337+CN2337+CP2337+CR2337+CT2337</f>
        <v>0</v>
      </c>
      <c r="CV2337" s="76"/>
      <c r="CW2337" s="76">
        <f>+CV2337*1100</f>
        <v>0</v>
      </c>
      <c r="CX2337" s="76"/>
      <c r="CY2337" s="76">
        <f>+CX2337*106250</f>
        <v>0</v>
      </c>
      <c r="CZ2337" s="76"/>
      <c r="DA2337" s="76">
        <f>+CZ2337*34500</f>
        <v>0</v>
      </c>
      <c r="DB2337" s="76"/>
      <c r="DC2337" s="76">
        <f>+DB2337*25000</f>
        <v>0</v>
      </c>
      <c r="DD2337" s="219"/>
      <c r="DE2337" s="219"/>
      <c r="DF2337" s="166"/>
      <c r="DG2337" s="116"/>
      <c r="DH2337" s="117"/>
      <c r="DI2337" s="24"/>
      <c r="DJ2337" s="24"/>
      <c r="DK2337" s="24"/>
      <c r="DL2337" s="24"/>
      <c r="DM2337" s="24"/>
      <c r="DN2337" s="24"/>
      <c r="DO2337" s="24"/>
      <c r="DP2337" s="24"/>
      <c r="DQ2337" s="24"/>
      <c r="DR2337" s="24"/>
      <c r="DS2337" s="24"/>
      <c r="DT2337" s="24"/>
      <c r="DU2337" s="24"/>
    </row>
    <row r="2338" spans="1:125" s="8" customFormat="1" ht="36" x14ac:dyDescent="0.2">
      <c r="A2338" s="353">
        <v>41468</v>
      </c>
      <c r="B2338" s="352" t="s">
        <v>2860</v>
      </c>
      <c r="C2338" s="354" t="s">
        <v>2776</v>
      </c>
      <c r="D2338" s="354" t="s">
        <v>3088</v>
      </c>
      <c r="E2338" s="75" t="str">
        <f>VLOOKUP(B2338&amp;C2338,Divipola!$C$2:$F$1138,4,FALSE)</f>
        <v>63001</v>
      </c>
      <c r="F2338" s="87"/>
      <c r="G2338" s="87"/>
      <c r="H2338" s="87"/>
      <c r="I2338" s="87">
        <v>4</v>
      </c>
      <c r="J2338" s="87">
        <v>1</v>
      </c>
      <c r="K2338" s="87"/>
      <c r="L2338" s="87">
        <v>1</v>
      </c>
      <c r="M2338" s="87"/>
      <c r="N2338" s="87"/>
      <c r="O2338" s="87"/>
      <c r="P2338" s="87"/>
      <c r="Q2338" s="87"/>
      <c r="R2338" s="87"/>
      <c r="S2338" s="87"/>
      <c r="T2338" s="87"/>
      <c r="U2338" s="88"/>
      <c r="V2338" s="89"/>
      <c r="W2338" s="96">
        <v>0</v>
      </c>
      <c r="X2338" s="71">
        <f>CU2338</f>
        <v>0</v>
      </c>
      <c r="Y2338" s="71">
        <f>CY2338</f>
        <v>0</v>
      </c>
      <c r="Z2338" s="71">
        <f>DA2338+DC2338+DE2338</f>
        <v>0</v>
      </c>
      <c r="AA2338" s="71">
        <f>CW2338</f>
        <v>0</v>
      </c>
      <c r="AB2338" s="71"/>
      <c r="AC2338" s="71">
        <v>0</v>
      </c>
      <c r="AD2338" s="71">
        <f>W2338+X2338+Y2338+Z2338+AA2338+AB2338+AC2338</f>
        <v>0</v>
      </c>
      <c r="AE2338" s="72">
        <v>0</v>
      </c>
      <c r="AF2338" s="5"/>
      <c r="AG2338" s="6"/>
      <c r="AH2338" s="27"/>
      <c r="AI2338" s="44"/>
      <c r="AJ2338" s="26"/>
      <c r="AK2338" s="5"/>
      <c r="AL2338" s="82" t="s">
        <v>5258</v>
      </c>
      <c r="AM2338" s="76"/>
      <c r="AN2338" s="76"/>
      <c r="AO2338" s="76"/>
      <c r="AP2338" s="76"/>
      <c r="AQ2338" s="76"/>
      <c r="AR2338" s="76"/>
      <c r="AS2338" s="76"/>
      <c r="AT2338" s="76"/>
      <c r="AU2338" s="76"/>
      <c r="AV2338" s="76"/>
      <c r="AW2338" s="76"/>
      <c r="AX2338" s="76">
        <f>+AW2338*600000</f>
        <v>0</v>
      </c>
      <c r="AY2338" s="76"/>
      <c r="AZ2338" s="76">
        <f>+AY2338*70000</f>
        <v>0</v>
      </c>
      <c r="BA2338" s="76"/>
      <c r="BB2338" s="76"/>
      <c r="BC2338" s="76"/>
      <c r="BD2338" s="76">
        <f>+BC2338*30000</f>
        <v>0</v>
      </c>
      <c r="BE2338" s="76"/>
      <c r="BF2338" s="76"/>
      <c r="BG2338" s="76"/>
      <c r="BH2338" s="76"/>
      <c r="BI2338" s="76"/>
      <c r="BJ2338" s="76"/>
      <c r="BK2338" s="76"/>
      <c r="BL2338" s="76">
        <f>+BK2338*31500</f>
        <v>0</v>
      </c>
      <c r="BM2338" s="76"/>
      <c r="BN2338" s="76"/>
      <c r="BO2338" s="76"/>
      <c r="BP2338" s="76"/>
      <c r="BQ2338" s="76"/>
      <c r="BR2338" s="76"/>
      <c r="BS2338" s="76"/>
      <c r="BT2338" s="76"/>
      <c r="BU2338" s="76"/>
      <c r="BV2338" s="76"/>
      <c r="BW2338" s="76"/>
      <c r="BX2338" s="76"/>
      <c r="BY2338" s="76"/>
      <c r="BZ2338" s="76"/>
      <c r="CA2338" s="76"/>
      <c r="CB2338" s="76"/>
      <c r="CC2338" s="76"/>
      <c r="CD2338" s="76"/>
      <c r="CE2338" s="76"/>
      <c r="CF2338" s="76">
        <f>+CE2338*28000</f>
        <v>0</v>
      </c>
      <c r="CG2338" s="76"/>
      <c r="CH2338" s="76">
        <f>+CG2338*22500</f>
        <v>0</v>
      </c>
      <c r="CI2338" s="76"/>
      <c r="CJ2338" s="76">
        <f>+CI2338*26000</f>
        <v>0</v>
      </c>
      <c r="CK2338" s="76"/>
      <c r="CL2338" s="76"/>
      <c r="CM2338" s="76"/>
      <c r="CN2338" s="76">
        <f>+CM2338*22000</f>
        <v>0</v>
      </c>
      <c r="CO2338" s="76"/>
      <c r="CP2338" s="76">
        <f>+CO2338*46000</f>
        <v>0</v>
      </c>
      <c r="CQ2338" s="76"/>
      <c r="CR2338" s="76">
        <f>+CQ2338*49000</f>
        <v>0</v>
      </c>
      <c r="CS2338" s="76"/>
      <c r="CT2338" s="76"/>
      <c r="CU2338" s="56">
        <f>AN2338+AP2338+AR2338+AT2338+AV2338+AX2338+AZ2338+BB2338+BD2338+BF2338+BH2338+BJ2338+BL2338+BN2338+BP2338+BR2338+BT2338+BV2338+BX2338+BZ2338+CB2338+CD2338+CF2338+CH2338+CJ2338+CL2338+CN2338+CP2338+CR2338+CT2338</f>
        <v>0</v>
      </c>
      <c r="CV2338" s="76"/>
      <c r="CW2338" s="76">
        <f>+CV2338*1100</f>
        <v>0</v>
      </c>
      <c r="CX2338" s="76"/>
      <c r="CY2338" s="76">
        <f>+CX2338*106250</f>
        <v>0</v>
      </c>
      <c r="CZ2338" s="76"/>
      <c r="DA2338" s="76">
        <f>+CZ2338*34500</f>
        <v>0</v>
      </c>
      <c r="DB2338" s="76"/>
      <c r="DC2338" s="76">
        <f>+DB2338*25000</f>
        <v>0</v>
      </c>
      <c r="DD2338" s="219"/>
      <c r="DE2338" s="219"/>
      <c r="DF2338" s="166"/>
      <c r="DG2338" s="116"/>
      <c r="DH2338" s="117"/>
      <c r="DI2338" s="24"/>
      <c r="DJ2338" s="24"/>
      <c r="DK2338" s="24"/>
      <c r="DL2338" s="24"/>
      <c r="DM2338" s="24"/>
      <c r="DN2338" s="24"/>
      <c r="DO2338" s="24"/>
      <c r="DP2338" s="24"/>
      <c r="DQ2338" s="24"/>
      <c r="DR2338" s="24"/>
      <c r="DS2338" s="24"/>
      <c r="DT2338" s="24"/>
      <c r="DU2338" s="24"/>
    </row>
    <row r="2339" spans="1:125" s="8" customFormat="1" ht="72" x14ac:dyDescent="0.2">
      <c r="A2339" s="353">
        <v>41468</v>
      </c>
      <c r="B2339" s="352" t="s">
        <v>2848</v>
      </c>
      <c r="C2339" s="354" t="s">
        <v>1872</v>
      </c>
      <c r="D2339" s="354" t="s">
        <v>2849</v>
      </c>
      <c r="E2339" s="75" t="str">
        <f>VLOOKUP(B2339&amp;C2339,Divipola!$C$2:$F$1138,4,FALSE)</f>
        <v>73268</v>
      </c>
      <c r="F2339" s="87">
        <v>2</v>
      </c>
      <c r="G2339" s="87"/>
      <c r="H2339" s="87"/>
      <c r="I2339" s="87"/>
      <c r="J2339" s="87"/>
      <c r="K2339" s="87"/>
      <c r="L2339" s="87"/>
      <c r="M2339" s="87"/>
      <c r="N2339" s="87"/>
      <c r="O2339" s="87"/>
      <c r="P2339" s="87"/>
      <c r="Q2339" s="87"/>
      <c r="R2339" s="87"/>
      <c r="S2339" s="87"/>
      <c r="T2339" s="87"/>
      <c r="U2339" s="88"/>
      <c r="V2339" s="89"/>
      <c r="W2339" s="96">
        <v>0</v>
      </c>
      <c r="X2339" s="71">
        <f>CU2339</f>
        <v>0</v>
      </c>
      <c r="Y2339" s="71">
        <f>CY2339</f>
        <v>0</v>
      </c>
      <c r="Z2339" s="71">
        <f>DA2339+DC2339+DE2339</f>
        <v>0</v>
      </c>
      <c r="AA2339" s="71">
        <f>CW2339</f>
        <v>0</v>
      </c>
      <c r="AB2339" s="71"/>
      <c r="AC2339" s="71">
        <v>0</v>
      </c>
      <c r="AD2339" s="71">
        <f>W2339+X2339+Y2339+Z2339+AA2339+AB2339+AC2339</f>
        <v>0</v>
      </c>
      <c r="AE2339" s="72">
        <v>0</v>
      </c>
      <c r="AF2339" s="5"/>
      <c r="AG2339" s="6"/>
      <c r="AH2339" s="27"/>
      <c r="AI2339" s="44"/>
      <c r="AJ2339" s="26"/>
      <c r="AK2339" s="5"/>
      <c r="AL2339" s="82" t="s">
        <v>5208</v>
      </c>
      <c r="AM2339" s="76"/>
      <c r="AN2339" s="76"/>
      <c r="AO2339" s="76"/>
      <c r="AP2339" s="76"/>
      <c r="AQ2339" s="76"/>
      <c r="AR2339" s="76"/>
      <c r="AS2339" s="76"/>
      <c r="AT2339" s="76"/>
      <c r="AU2339" s="76"/>
      <c r="AV2339" s="76"/>
      <c r="AW2339" s="76"/>
      <c r="AX2339" s="76">
        <f>+AW2339*600000</f>
        <v>0</v>
      </c>
      <c r="AY2339" s="76"/>
      <c r="AZ2339" s="76">
        <f>+AY2339*70000</f>
        <v>0</v>
      </c>
      <c r="BA2339" s="76"/>
      <c r="BB2339" s="76"/>
      <c r="BC2339" s="76"/>
      <c r="BD2339" s="76">
        <f>+BC2339*30000</f>
        <v>0</v>
      </c>
      <c r="BE2339" s="76"/>
      <c r="BF2339" s="76"/>
      <c r="BG2339" s="76"/>
      <c r="BH2339" s="76"/>
      <c r="BI2339" s="76"/>
      <c r="BJ2339" s="76"/>
      <c r="BK2339" s="76"/>
      <c r="BL2339" s="76">
        <f>+BK2339*31500</f>
        <v>0</v>
      </c>
      <c r="BM2339" s="76"/>
      <c r="BN2339" s="76"/>
      <c r="BO2339" s="76"/>
      <c r="BP2339" s="76"/>
      <c r="BQ2339" s="76"/>
      <c r="BR2339" s="76"/>
      <c r="BS2339" s="76"/>
      <c r="BT2339" s="76"/>
      <c r="BU2339" s="76"/>
      <c r="BV2339" s="76"/>
      <c r="BW2339" s="76"/>
      <c r="BX2339" s="76"/>
      <c r="BY2339" s="76"/>
      <c r="BZ2339" s="76"/>
      <c r="CA2339" s="76"/>
      <c r="CB2339" s="76"/>
      <c r="CC2339" s="76"/>
      <c r="CD2339" s="76"/>
      <c r="CE2339" s="76"/>
      <c r="CF2339" s="76">
        <f>+CE2339*28000</f>
        <v>0</v>
      </c>
      <c r="CG2339" s="76"/>
      <c r="CH2339" s="76">
        <f>+CG2339*22500</f>
        <v>0</v>
      </c>
      <c r="CI2339" s="76"/>
      <c r="CJ2339" s="76">
        <f>+CI2339*26000</f>
        <v>0</v>
      </c>
      <c r="CK2339" s="76"/>
      <c r="CL2339" s="76"/>
      <c r="CM2339" s="76"/>
      <c r="CN2339" s="76">
        <f>+CM2339*22000</f>
        <v>0</v>
      </c>
      <c r="CO2339" s="76"/>
      <c r="CP2339" s="76">
        <f>+CO2339*46000</f>
        <v>0</v>
      </c>
      <c r="CQ2339" s="76"/>
      <c r="CR2339" s="76">
        <f>+CQ2339*49000</f>
        <v>0</v>
      </c>
      <c r="CS2339" s="76"/>
      <c r="CT2339" s="76"/>
      <c r="CU2339" s="56">
        <f>AN2339+AP2339+AR2339+AT2339+AV2339+AX2339+AZ2339+BB2339+BD2339+BF2339+BH2339+BJ2339+BL2339+BN2339+BP2339+BR2339+BT2339+BV2339+BX2339+BZ2339+CB2339+CD2339+CF2339+CH2339+CJ2339+CL2339+CN2339+CP2339+CR2339+CT2339</f>
        <v>0</v>
      </c>
      <c r="CV2339" s="76"/>
      <c r="CW2339" s="76">
        <f>+CV2339*1100</f>
        <v>0</v>
      </c>
      <c r="CX2339" s="76"/>
      <c r="CY2339" s="76">
        <f>+CX2339*106250</f>
        <v>0</v>
      </c>
      <c r="CZ2339" s="76"/>
      <c r="DA2339" s="76">
        <f>+CZ2339*34500</f>
        <v>0</v>
      </c>
      <c r="DB2339" s="76"/>
      <c r="DC2339" s="76">
        <f>+DB2339*25000</f>
        <v>0</v>
      </c>
      <c r="DD2339" s="219"/>
      <c r="DE2339" s="219"/>
      <c r="DF2339" s="166"/>
      <c r="DG2339" s="116"/>
      <c r="DH2339" s="117"/>
      <c r="DI2339" s="24"/>
      <c r="DJ2339" s="24"/>
      <c r="DK2339" s="24"/>
      <c r="DL2339" s="24"/>
      <c r="DM2339" s="24"/>
      <c r="DN2339" s="24"/>
      <c r="DO2339" s="24"/>
      <c r="DP2339" s="24"/>
      <c r="DQ2339" s="24"/>
      <c r="DR2339" s="24"/>
      <c r="DS2339" s="24"/>
      <c r="DT2339" s="24"/>
      <c r="DU2339" s="24"/>
    </row>
    <row r="2340" spans="1:125" s="8" customFormat="1" ht="72" x14ac:dyDescent="0.2">
      <c r="A2340" s="226">
        <v>41468</v>
      </c>
      <c r="B2340" s="225" t="s">
        <v>2848</v>
      </c>
      <c r="C2340" s="227" t="s">
        <v>1910</v>
      </c>
      <c r="D2340" s="354" t="s">
        <v>3017</v>
      </c>
      <c r="E2340" s="75" t="str">
        <f>VLOOKUP(B2340&amp;C2340,Divipola!$C$2:$F$1138,4,FALSE)</f>
        <v>73671</v>
      </c>
      <c r="F2340" s="87"/>
      <c r="G2340" s="87"/>
      <c r="H2340" s="87"/>
      <c r="I2340" s="87">
        <v>3</v>
      </c>
      <c r="J2340" s="87"/>
      <c r="K2340" s="87"/>
      <c r="L2340" s="87"/>
      <c r="M2340" s="87"/>
      <c r="N2340" s="87"/>
      <c r="O2340" s="87"/>
      <c r="P2340" s="87"/>
      <c r="Q2340" s="87"/>
      <c r="R2340" s="87"/>
      <c r="S2340" s="87"/>
      <c r="T2340" s="87"/>
      <c r="U2340" s="88"/>
      <c r="V2340" s="89">
        <v>1</v>
      </c>
      <c r="W2340" s="96">
        <v>0</v>
      </c>
      <c r="X2340" s="71">
        <f>CU2340</f>
        <v>0</v>
      </c>
      <c r="Y2340" s="71">
        <f>CY2340</f>
        <v>0</v>
      </c>
      <c r="Z2340" s="71">
        <f>DA2340+DC2340+DE2340</f>
        <v>0</v>
      </c>
      <c r="AA2340" s="71">
        <f>CW2340</f>
        <v>0</v>
      </c>
      <c r="AB2340" s="71"/>
      <c r="AC2340" s="71">
        <v>0</v>
      </c>
      <c r="AD2340" s="71">
        <f>W2340+X2340+Y2340+Z2340+AA2340+AB2340+AC2340</f>
        <v>0</v>
      </c>
      <c r="AE2340" s="72">
        <v>0</v>
      </c>
      <c r="AF2340" s="5"/>
      <c r="AG2340" s="6"/>
      <c r="AH2340" s="27"/>
      <c r="AI2340" s="44"/>
      <c r="AJ2340" s="26"/>
      <c r="AK2340" s="5"/>
      <c r="AL2340" s="82" t="s">
        <v>5205</v>
      </c>
      <c r="AM2340" s="76"/>
      <c r="AN2340" s="76"/>
      <c r="AO2340" s="76"/>
      <c r="AP2340" s="76"/>
      <c r="AQ2340" s="76"/>
      <c r="AR2340" s="76"/>
      <c r="AS2340" s="76"/>
      <c r="AT2340" s="76"/>
      <c r="AU2340" s="76"/>
      <c r="AV2340" s="76"/>
      <c r="AW2340" s="76"/>
      <c r="AX2340" s="76">
        <f>+AW2340*600000</f>
        <v>0</v>
      </c>
      <c r="AY2340" s="76"/>
      <c r="AZ2340" s="76">
        <f>+AY2340*70000</f>
        <v>0</v>
      </c>
      <c r="BA2340" s="76"/>
      <c r="BB2340" s="76"/>
      <c r="BC2340" s="76"/>
      <c r="BD2340" s="76">
        <f>+BC2340*30000</f>
        <v>0</v>
      </c>
      <c r="BE2340" s="76"/>
      <c r="BF2340" s="76"/>
      <c r="BG2340" s="76"/>
      <c r="BH2340" s="76"/>
      <c r="BI2340" s="76"/>
      <c r="BJ2340" s="76"/>
      <c r="BK2340" s="76"/>
      <c r="BL2340" s="76">
        <f>+BK2340*31500</f>
        <v>0</v>
      </c>
      <c r="BM2340" s="76"/>
      <c r="BN2340" s="76"/>
      <c r="BO2340" s="76"/>
      <c r="BP2340" s="76"/>
      <c r="BQ2340" s="76"/>
      <c r="BR2340" s="76"/>
      <c r="BS2340" s="76"/>
      <c r="BT2340" s="76"/>
      <c r="BU2340" s="76"/>
      <c r="BV2340" s="76"/>
      <c r="BW2340" s="76"/>
      <c r="BX2340" s="76"/>
      <c r="BY2340" s="76"/>
      <c r="BZ2340" s="76"/>
      <c r="CA2340" s="76"/>
      <c r="CB2340" s="76"/>
      <c r="CC2340" s="76"/>
      <c r="CD2340" s="76"/>
      <c r="CE2340" s="76"/>
      <c r="CF2340" s="76">
        <f>+CE2340*28000</f>
        <v>0</v>
      </c>
      <c r="CG2340" s="76"/>
      <c r="CH2340" s="76">
        <f>+CG2340*22500</f>
        <v>0</v>
      </c>
      <c r="CI2340" s="76"/>
      <c r="CJ2340" s="76">
        <f>+CI2340*26000</f>
        <v>0</v>
      </c>
      <c r="CK2340" s="76"/>
      <c r="CL2340" s="76"/>
      <c r="CM2340" s="76"/>
      <c r="CN2340" s="76">
        <f>+CM2340*22000</f>
        <v>0</v>
      </c>
      <c r="CO2340" s="76"/>
      <c r="CP2340" s="76">
        <f>+CO2340*46000</f>
        <v>0</v>
      </c>
      <c r="CQ2340" s="76"/>
      <c r="CR2340" s="76">
        <f>+CQ2340*49000</f>
        <v>0</v>
      </c>
      <c r="CS2340" s="76"/>
      <c r="CT2340" s="76"/>
      <c r="CU2340" s="56">
        <f>AN2340+AP2340+AR2340+AT2340+AV2340+AX2340+AZ2340+BB2340+BD2340+BF2340+BH2340+BJ2340+BL2340+BN2340+BP2340+BR2340+BT2340+BV2340+BX2340+BZ2340+CB2340+CD2340+CF2340+CH2340+CJ2340+CL2340+CN2340+CP2340+CR2340+CT2340</f>
        <v>0</v>
      </c>
      <c r="CV2340" s="76"/>
      <c r="CW2340" s="76">
        <f>+CV2340*1100</f>
        <v>0</v>
      </c>
      <c r="CX2340" s="76"/>
      <c r="CY2340" s="76">
        <f>+CX2340*106250</f>
        <v>0</v>
      </c>
      <c r="CZ2340" s="76"/>
      <c r="DA2340" s="76">
        <f>+CZ2340*34500</f>
        <v>0</v>
      </c>
      <c r="DB2340" s="76"/>
      <c r="DC2340" s="76">
        <f>+DB2340*25000</f>
        <v>0</v>
      </c>
      <c r="DD2340" s="219"/>
      <c r="DE2340" s="219"/>
      <c r="DF2340" s="166"/>
      <c r="DG2340" s="116"/>
      <c r="DH2340" s="117"/>
      <c r="DI2340" s="24"/>
      <c r="DJ2340" s="24"/>
      <c r="DK2340" s="24"/>
      <c r="DL2340" s="24"/>
      <c r="DM2340" s="24"/>
      <c r="DN2340" s="24"/>
      <c r="DO2340" s="24"/>
      <c r="DP2340" s="24"/>
      <c r="DQ2340" s="24"/>
      <c r="DR2340" s="24"/>
      <c r="DS2340" s="24"/>
      <c r="DT2340" s="24"/>
      <c r="DU2340" s="24"/>
    </row>
    <row r="2341" spans="1:125" s="8" customFormat="1" ht="48" x14ac:dyDescent="0.2">
      <c r="A2341" s="226">
        <v>41468</v>
      </c>
      <c r="B2341" s="225" t="s">
        <v>2851</v>
      </c>
      <c r="C2341" s="227" t="s">
        <v>1686</v>
      </c>
      <c r="D2341" s="354" t="s">
        <v>2846</v>
      </c>
      <c r="E2341" s="75" t="str">
        <f>VLOOKUP(B2341&amp;C2341,Divipola!$C$2:$F$1138,4,FALSE)</f>
        <v>76001</v>
      </c>
      <c r="F2341" s="87"/>
      <c r="G2341" s="87"/>
      <c r="H2341" s="87"/>
      <c r="I2341" s="87"/>
      <c r="J2341" s="87"/>
      <c r="K2341" s="87"/>
      <c r="L2341" s="87"/>
      <c r="M2341" s="87"/>
      <c r="N2341" s="87"/>
      <c r="O2341" s="87"/>
      <c r="P2341" s="87"/>
      <c r="Q2341" s="87"/>
      <c r="R2341" s="87"/>
      <c r="S2341" s="87"/>
      <c r="T2341" s="87"/>
      <c r="U2341" s="138">
        <v>0.5</v>
      </c>
      <c r="V2341" s="89"/>
      <c r="W2341" s="96">
        <v>0</v>
      </c>
      <c r="X2341" s="71">
        <f>CU2341</f>
        <v>0</v>
      </c>
      <c r="Y2341" s="71">
        <f>CY2341</f>
        <v>0</v>
      </c>
      <c r="Z2341" s="71">
        <f>DA2341+DC2341+DE2341</f>
        <v>0</v>
      </c>
      <c r="AA2341" s="71">
        <f>CW2341</f>
        <v>0</v>
      </c>
      <c r="AB2341" s="71"/>
      <c r="AC2341" s="71">
        <v>0</v>
      </c>
      <c r="AD2341" s="71">
        <f>W2341+X2341+Y2341+Z2341+AA2341+AB2341+AC2341</f>
        <v>0</v>
      </c>
      <c r="AE2341" s="72">
        <v>0</v>
      </c>
      <c r="AF2341" s="5"/>
      <c r="AG2341" s="6"/>
      <c r="AH2341" s="27"/>
      <c r="AI2341" s="44"/>
      <c r="AJ2341" s="26"/>
      <c r="AK2341" s="5"/>
      <c r="AL2341" s="82" t="s">
        <v>5212</v>
      </c>
      <c r="AM2341" s="76"/>
      <c r="AN2341" s="76"/>
      <c r="AO2341" s="76"/>
      <c r="AP2341" s="76"/>
      <c r="AQ2341" s="76"/>
      <c r="AR2341" s="76"/>
      <c r="AS2341" s="76"/>
      <c r="AT2341" s="76"/>
      <c r="AU2341" s="76"/>
      <c r="AV2341" s="76"/>
      <c r="AW2341" s="76"/>
      <c r="AX2341" s="76">
        <f>+AW2341*600000</f>
        <v>0</v>
      </c>
      <c r="AY2341" s="76"/>
      <c r="AZ2341" s="76">
        <f>+AY2341*70000</f>
        <v>0</v>
      </c>
      <c r="BA2341" s="76"/>
      <c r="BB2341" s="76"/>
      <c r="BC2341" s="76"/>
      <c r="BD2341" s="76">
        <f>+BC2341*30000</f>
        <v>0</v>
      </c>
      <c r="BE2341" s="76"/>
      <c r="BF2341" s="76"/>
      <c r="BG2341" s="76"/>
      <c r="BH2341" s="76"/>
      <c r="BI2341" s="76"/>
      <c r="BJ2341" s="76"/>
      <c r="BK2341" s="76"/>
      <c r="BL2341" s="76">
        <f>+BK2341*31500</f>
        <v>0</v>
      </c>
      <c r="BM2341" s="76"/>
      <c r="BN2341" s="76"/>
      <c r="BO2341" s="76"/>
      <c r="BP2341" s="76"/>
      <c r="BQ2341" s="76"/>
      <c r="BR2341" s="76"/>
      <c r="BS2341" s="76"/>
      <c r="BT2341" s="76"/>
      <c r="BU2341" s="76"/>
      <c r="BV2341" s="76"/>
      <c r="BW2341" s="76"/>
      <c r="BX2341" s="76"/>
      <c r="BY2341" s="76"/>
      <c r="BZ2341" s="76"/>
      <c r="CA2341" s="76"/>
      <c r="CB2341" s="76"/>
      <c r="CC2341" s="76"/>
      <c r="CD2341" s="76"/>
      <c r="CE2341" s="76"/>
      <c r="CF2341" s="76">
        <f>+CE2341*28000</f>
        <v>0</v>
      </c>
      <c r="CG2341" s="76"/>
      <c r="CH2341" s="76">
        <f>+CG2341*22500</f>
        <v>0</v>
      </c>
      <c r="CI2341" s="76"/>
      <c r="CJ2341" s="76">
        <f>+CI2341*26000</f>
        <v>0</v>
      </c>
      <c r="CK2341" s="76"/>
      <c r="CL2341" s="76"/>
      <c r="CM2341" s="76"/>
      <c r="CN2341" s="76">
        <f>+CM2341*22000</f>
        <v>0</v>
      </c>
      <c r="CO2341" s="76"/>
      <c r="CP2341" s="76">
        <f>+CO2341*46000</f>
        <v>0</v>
      </c>
      <c r="CQ2341" s="76"/>
      <c r="CR2341" s="76">
        <f>+CQ2341*49000</f>
        <v>0</v>
      </c>
      <c r="CS2341" s="76"/>
      <c r="CT2341" s="76"/>
      <c r="CU2341" s="56">
        <f>AN2341+AP2341+AR2341+AT2341+AV2341+AX2341+AZ2341+BB2341+BD2341+BF2341+BH2341+BJ2341+BL2341+BN2341+BP2341+BR2341+BT2341+BV2341+BX2341+BZ2341+CB2341+CD2341+CF2341+CH2341+CJ2341+CL2341+CN2341+CP2341+CR2341+CT2341</f>
        <v>0</v>
      </c>
      <c r="CV2341" s="76"/>
      <c r="CW2341" s="76">
        <f>+CV2341*1100</f>
        <v>0</v>
      </c>
      <c r="CX2341" s="76"/>
      <c r="CY2341" s="76">
        <f>+CX2341*106250</f>
        <v>0</v>
      </c>
      <c r="CZ2341" s="76"/>
      <c r="DA2341" s="76">
        <f>+CZ2341*34500</f>
        <v>0</v>
      </c>
      <c r="DB2341" s="76"/>
      <c r="DC2341" s="76">
        <f>+DB2341*25000</f>
        <v>0</v>
      </c>
      <c r="DD2341" s="219"/>
      <c r="DE2341" s="219"/>
      <c r="DF2341" s="166"/>
      <c r="DG2341" s="116"/>
      <c r="DH2341" s="117"/>
      <c r="DI2341" s="24"/>
      <c r="DJ2341" s="24"/>
      <c r="DK2341" s="24"/>
      <c r="DL2341" s="24"/>
      <c r="DM2341" s="24"/>
      <c r="DN2341" s="24"/>
      <c r="DO2341" s="24"/>
      <c r="DP2341" s="24"/>
      <c r="DQ2341" s="24"/>
      <c r="DR2341" s="24"/>
      <c r="DS2341" s="24"/>
      <c r="DT2341" s="24"/>
      <c r="DU2341" s="24"/>
    </row>
    <row r="2342" spans="1:125" s="8" customFormat="1" ht="48" x14ac:dyDescent="0.2">
      <c r="A2342" s="353">
        <v>41469</v>
      </c>
      <c r="B2342" s="352" t="s">
        <v>2700</v>
      </c>
      <c r="C2342" s="354" t="s">
        <v>716</v>
      </c>
      <c r="D2342" s="354" t="s">
        <v>2846</v>
      </c>
      <c r="E2342" s="75" t="str">
        <f>VLOOKUP(B2342&amp;C2342,Divipola!$C$2:$F$1138,4,FALSE)</f>
        <v>15822</v>
      </c>
      <c r="F2342" s="87"/>
      <c r="G2342" s="87"/>
      <c r="H2342" s="87"/>
      <c r="I2342" s="87"/>
      <c r="J2342" s="87"/>
      <c r="K2342" s="87"/>
      <c r="L2342" s="87"/>
      <c r="M2342" s="87"/>
      <c r="N2342" s="87"/>
      <c r="O2342" s="87"/>
      <c r="P2342" s="87"/>
      <c r="Q2342" s="87"/>
      <c r="R2342" s="87"/>
      <c r="S2342" s="87"/>
      <c r="T2342" s="87"/>
      <c r="U2342" s="88"/>
      <c r="V2342" s="89"/>
      <c r="W2342" s="96">
        <v>0</v>
      </c>
      <c r="X2342" s="71">
        <f>CU2342</f>
        <v>0</v>
      </c>
      <c r="Y2342" s="71">
        <f>CY2342</f>
        <v>0</v>
      </c>
      <c r="Z2342" s="71">
        <f>DA2342+DC2342+DE2342</f>
        <v>0</v>
      </c>
      <c r="AA2342" s="71">
        <f>CW2342</f>
        <v>0</v>
      </c>
      <c r="AB2342" s="71"/>
      <c r="AC2342" s="71">
        <v>0</v>
      </c>
      <c r="AD2342" s="71">
        <f>W2342+X2342+Y2342+Z2342+AA2342+AB2342+AC2342</f>
        <v>0</v>
      </c>
      <c r="AE2342" s="72">
        <v>0</v>
      </c>
      <c r="AF2342" s="5"/>
      <c r="AG2342" s="6"/>
      <c r="AH2342" s="27"/>
      <c r="AI2342" s="44"/>
      <c r="AJ2342" s="26"/>
      <c r="AK2342" s="5"/>
      <c r="AL2342" s="82" t="s">
        <v>5216</v>
      </c>
      <c r="AM2342" s="76"/>
      <c r="AN2342" s="76"/>
      <c r="AO2342" s="76"/>
      <c r="AP2342" s="76"/>
      <c r="AQ2342" s="76"/>
      <c r="AR2342" s="76"/>
      <c r="AS2342" s="76"/>
      <c r="AT2342" s="76"/>
      <c r="AU2342" s="76"/>
      <c r="AV2342" s="76"/>
      <c r="AW2342" s="76"/>
      <c r="AX2342" s="76">
        <f>+AW2342*600000</f>
        <v>0</v>
      </c>
      <c r="AY2342" s="76"/>
      <c r="AZ2342" s="76">
        <f>+AY2342*70000</f>
        <v>0</v>
      </c>
      <c r="BA2342" s="76"/>
      <c r="BB2342" s="76"/>
      <c r="BC2342" s="76"/>
      <c r="BD2342" s="76">
        <f>+BC2342*30000</f>
        <v>0</v>
      </c>
      <c r="BE2342" s="76"/>
      <c r="BF2342" s="76"/>
      <c r="BG2342" s="76"/>
      <c r="BH2342" s="76"/>
      <c r="BI2342" s="76"/>
      <c r="BJ2342" s="76"/>
      <c r="BK2342" s="76"/>
      <c r="BL2342" s="76">
        <f>+BK2342*31500</f>
        <v>0</v>
      </c>
      <c r="BM2342" s="76"/>
      <c r="BN2342" s="76"/>
      <c r="BO2342" s="76"/>
      <c r="BP2342" s="76"/>
      <c r="BQ2342" s="76"/>
      <c r="BR2342" s="76"/>
      <c r="BS2342" s="76"/>
      <c r="BT2342" s="76"/>
      <c r="BU2342" s="76"/>
      <c r="BV2342" s="76"/>
      <c r="BW2342" s="76"/>
      <c r="BX2342" s="76"/>
      <c r="BY2342" s="76"/>
      <c r="BZ2342" s="76"/>
      <c r="CA2342" s="76"/>
      <c r="CB2342" s="76"/>
      <c r="CC2342" s="76"/>
      <c r="CD2342" s="76"/>
      <c r="CE2342" s="76"/>
      <c r="CF2342" s="76">
        <f>+CE2342*28000</f>
        <v>0</v>
      </c>
      <c r="CG2342" s="76"/>
      <c r="CH2342" s="76">
        <f>+CG2342*22500</f>
        <v>0</v>
      </c>
      <c r="CI2342" s="76"/>
      <c r="CJ2342" s="76">
        <f>+CI2342*26000</f>
        <v>0</v>
      </c>
      <c r="CK2342" s="76"/>
      <c r="CL2342" s="76"/>
      <c r="CM2342" s="76"/>
      <c r="CN2342" s="76">
        <f>+CM2342*22000</f>
        <v>0</v>
      </c>
      <c r="CO2342" s="76"/>
      <c r="CP2342" s="76">
        <f>+CO2342*46000</f>
        <v>0</v>
      </c>
      <c r="CQ2342" s="76"/>
      <c r="CR2342" s="76">
        <f>+CQ2342*49000</f>
        <v>0</v>
      </c>
      <c r="CS2342" s="76"/>
      <c r="CT2342" s="76"/>
      <c r="CU2342" s="56">
        <f>AN2342+AP2342+AR2342+AT2342+AV2342+AX2342+AZ2342+BB2342+BD2342+BF2342+BH2342+BJ2342+BL2342+BN2342+BP2342+BR2342+BT2342+BV2342+BX2342+BZ2342+CB2342+CD2342+CF2342+CH2342+CJ2342+CL2342+CN2342+CP2342+CR2342+CT2342</f>
        <v>0</v>
      </c>
      <c r="CV2342" s="76"/>
      <c r="CW2342" s="76">
        <f>+CV2342*1100</f>
        <v>0</v>
      </c>
      <c r="CX2342" s="76"/>
      <c r="CY2342" s="76">
        <f>+CX2342*106250</f>
        <v>0</v>
      </c>
      <c r="CZ2342" s="76"/>
      <c r="DA2342" s="76">
        <f>+CZ2342*34500</f>
        <v>0</v>
      </c>
      <c r="DB2342" s="76"/>
      <c r="DC2342" s="76">
        <f>+DB2342*25000</f>
        <v>0</v>
      </c>
      <c r="DD2342" s="219"/>
      <c r="DE2342" s="219"/>
      <c r="DF2342" s="166"/>
      <c r="DG2342" s="116"/>
      <c r="DH2342" s="117"/>
      <c r="DI2342" s="24"/>
      <c r="DJ2342" s="24"/>
      <c r="DK2342" s="24"/>
      <c r="DL2342" s="24"/>
      <c r="DM2342" s="24"/>
      <c r="DN2342" s="24"/>
      <c r="DO2342" s="24"/>
      <c r="DP2342" s="24"/>
      <c r="DQ2342" s="24"/>
      <c r="DR2342" s="24"/>
      <c r="DS2342" s="24"/>
      <c r="DT2342" s="24"/>
      <c r="DU2342" s="24"/>
    </row>
    <row r="2343" spans="1:125" s="8" customFormat="1" ht="24" x14ac:dyDescent="0.2">
      <c r="A2343" s="77">
        <v>41469</v>
      </c>
      <c r="B2343" s="78" t="s">
        <v>2852</v>
      </c>
      <c r="C2343" s="75" t="s">
        <v>1241</v>
      </c>
      <c r="D2343" s="75" t="s">
        <v>2882</v>
      </c>
      <c r="E2343" s="296" t="str">
        <f>VLOOKUP(B2343&amp;C2343,Divipola!$C$2:$F$1138,4,FALSE)</f>
        <v>27425</v>
      </c>
      <c r="F2343" s="61"/>
      <c r="G2343" s="61"/>
      <c r="H2343" s="61"/>
      <c r="I2343" s="61">
        <v>385</v>
      </c>
      <c r="J2343" s="61">
        <v>77</v>
      </c>
      <c r="K2343" s="61">
        <v>16</v>
      </c>
      <c r="L2343" s="61">
        <v>51</v>
      </c>
      <c r="M2343" s="61"/>
      <c r="N2343" s="61"/>
      <c r="O2343" s="61"/>
      <c r="P2343" s="61"/>
      <c r="Q2343" s="61"/>
      <c r="R2343" s="61"/>
      <c r="S2343" s="61"/>
      <c r="T2343" s="61"/>
      <c r="U2343" s="61"/>
      <c r="V2343" s="7"/>
      <c r="W2343" s="96">
        <v>0</v>
      </c>
      <c r="X2343" s="71">
        <f>CU2343</f>
        <v>0</v>
      </c>
      <c r="Y2343" s="71">
        <f>CY2343</f>
        <v>0</v>
      </c>
      <c r="Z2343" s="71">
        <f>DA2343+DC2343+DE2343</f>
        <v>0</v>
      </c>
      <c r="AA2343" s="71">
        <f>CW2343</f>
        <v>0</v>
      </c>
      <c r="AB2343" s="71"/>
      <c r="AC2343" s="71">
        <v>0</v>
      </c>
      <c r="AD2343" s="71">
        <f>W2343+X2343+Y2343+Z2343+AA2343+AB2343+AC2343</f>
        <v>0</v>
      </c>
      <c r="AE2343" s="72">
        <v>0</v>
      </c>
      <c r="AF2343" s="5"/>
      <c r="AG2343" s="6"/>
      <c r="AH2343" s="27"/>
      <c r="AI2343" s="44"/>
      <c r="AJ2343" s="26"/>
      <c r="AK2343" s="5"/>
      <c r="AL2343" s="9" t="s">
        <v>5842</v>
      </c>
      <c r="AM2343" s="76"/>
      <c r="AN2343" s="76"/>
      <c r="AO2343" s="76"/>
      <c r="AP2343" s="76"/>
      <c r="AQ2343" s="76"/>
      <c r="AR2343" s="76"/>
      <c r="AS2343" s="76"/>
      <c r="AT2343" s="76"/>
      <c r="AU2343" s="76"/>
      <c r="AV2343" s="76"/>
      <c r="AW2343" s="76"/>
      <c r="AX2343" s="76">
        <f>+AW2343*600000</f>
        <v>0</v>
      </c>
      <c r="AY2343" s="76"/>
      <c r="AZ2343" s="76">
        <f>+AY2343*70000</f>
        <v>0</v>
      </c>
      <c r="BA2343" s="76"/>
      <c r="BB2343" s="76"/>
      <c r="BC2343" s="76"/>
      <c r="BD2343" s="76">
        <f>+BC2343*30000</f>
        <v>0</v>
      </c>
      <c r="BE2343" s="76"/>
      <c r="BF2343" s="76"/>
      <c r="BG2343" s="76"/>
      <c r="BH2343" s="76"/>
      <c r="BI2343" s="76"/>
      <c r="BJ2343" s="76"/>
      <c r="BK2343" s="76"/>
      <c r="BL2343" s="76">
        <f>+BK2343*31500</f>
        <v>0</v>
      </c>
      <c r="BM2343" s="76"/>
      <c r="BN2343" s="76"/>
      <c r="BO2343" s="76"/>
      <c r="BP2343" s="76"/>
      <c r="BQ2343" s="76"/>
      <c r="BR2343" s="76"/>
      <c r="BS2343" s="76"/>
      <c r="BT2343" s="76"/>
      <c r="BU2343" s="76"/>
      <c r="BV2343" s="76"/>
      <c r="BW2343" s="76"/>
      <c r="BX2343" s="76"/>
      <c r="BY2343" s="76"/>
      <c r="BZ2343" s="76"/>
      <c r="CA2343" s="76"/>
      <c r="CB2343" s="76"/>
      <c r="CC2343" s="76"/>
      <c r="CD2343" s="76"/>
      <c r="CE2343" s="76"/>
      <c r="CF2343" s="76">
        <f>+CE2343*28000</f>
        <v>0</v>
      </c>
      <c r="CG2343" s="76"/>
      <c r="CH2343" s="76">
        <f>+CG2343*22500</f>
        <v>0</v>
      </c>
      <c r="CI2343" s="76"/>
      <c r="CJ2343" s="76">
        <f>+CI2343*26000</f>
        <v>0</v>
      </c>
      <c r="CK2343" s="76"/>
      <c r="CL2343" s="76"/>
      <c r="CM2343" s="76"/>
      <c r="CN2343" s="76">
        <f>+CM2343*22000</f>
        <v>0</v>
      </c>
      <c r="CO2343" s="76"/>
      <c r="CP2343" s="76">
        <f>+CO2343*46000</f>
        <v>0</v>
      </c>
      <c r="CQ2343" s="76"/>
      <c r="CR2343" s="76">
        <f>+CQ2343*49000</f>
        <v>0</v>
      </c>
      <c r="CS2343" s="76"/>
      <c r="CT2343" s="76"/>
      <c r="CU2343" s="56">
        <f>AN2343+AP2343+AR2343+AT2343+AV2343+AX2343+AZ2343+BB2343+BD2343+BF2343+BH2343+BJ2343+BL2343+BN2343+BP2343+BR2343+BT2343+BV2343+BX2343+BZ2343+CB2343+CD2343+CF2343+CH2343+CJ2343+CL2343+CN2343+CP2343+CR2343+CT2343</f>
        <v>0</v>
      </c>
      <c r="CV2343" s="76"/>
      <c r="CW2343" s="76">
        <f>+CV2343*1100</f>
        <v>0</v>
      </c>
      <c r="CX2343" s="76"/>
      <c r="CY2343" s="76">
        <f>+CX2343*106250</f>
        <v>0</v>
      </c>
      <c r="CZ2343" s="76"/>
      <c r="DA2343" s="76">
        <f>+CZ2343*34500</f>
        <v>0</v>
      </c>
      <c r="DB2343" s="76"/>
      <c r="DC2343" s="76">
        <f>+DB2343*25000</f>
        <v>0</v>
      </c>
      <c r="DD2343" s="219"/>
      <c r="DE2343" s="219"/>
      <c r="DF2343" s="166"/>
      <c r="DG2343" s="116"/>
      <c r="DH2343" s="117"/>
      <c r="DI2343" s="24"/>
      <c r="DJ2343" s="24"/>
      <c r="DK2343" s="24"/>
      <c r="DL2343" s="24"/>
      <c r="DM2343" s="24"/>
      <c r="DN2343" s="24"/>
      <c r="DO2343" s="24"/>
      <c r="DP2343" s="24"/>
      <c r="DQ2343" s="24"/>
      <c r="DR2343" s="24"/>
      <c r="DS2343" s="24"/>
      <c r="DT2343" s="24"/>
      <c r="DU2343" s="24"/>
    </row>
    <row r="2344" spans="1:125" s="8" customFormat="1" ht="48" x14ac:dyDescent="0.2">
      <c r="A2344" s="353">
        <v>41469</v>
      </c>
      <c r="B2344" s="352" t="s">
        <v>2661</v>
      </c>
      <c r="C2344" s="354" t="s">
        <v>2169</v>
      </c>
      <c r="D2344" s="354" t="s">
        <v>2846</v>
      </c>
      <c r="E2344" s="75" t="str">
        <f>VLOOKUP(B2344&amp;C2344,Divipola!$C$2:$F$1138,4,FALSE)</f>
        <v>41001</v>
      </c>
      <c r="F2344" s="87"/>
      <c r="G2344" s="87"/>
      <c r="H2344" s="87"/>
      <c r="I2344" s="87"/>
      <c r="J2344" s="87"/>
      <c r="K2344" s="87"/>
      <c r="L2344" s="87"/>
      <c r="M2344" s="87"/>
      <c r="N2344" s="87"/>
      <c r="O2344" s="87"/>
      <c r="P2344" s="87"/>
      <c r="Q2344" s="87"/>
      <c r="R2344" s="87"/>
      <c r="S2344" s="87"/>
      <c r="T2344" s="87"/>
      <c r="U2344" s="88">
        <v>4</v>
      </c>
      <c r="V2344" s="89"/>
      <c r="W2344" s="96">
        <v>0</v>
      </c>
      <c r="X2344" s="71">
        <f>CU2344</f>
        <v>0</v>
      </c>
      <c r="Y2344" s="71">
        <f>CY2344</f>
        <v>0</v>
      </c>
      <c r="Z2344" s="71">
        <f>DA2344+DC2344+DE2344</f>
        <v>0</v>
      </c>
      <c r="AA2344" s="71">
        <f>CW2344</f>
        <v>0</v>
      </c>
      <c r="AB2344" s="71"/>
      <c r="AC2344" s="71">
        <v>0</v>
      </c>
      <c r="AD2344" s="71">
        <f>W2344+X2344+Y2344+Z2344+AA2344+AB2344+AC2344</f>
        <v>0</v>
      </c>
      <c r="AE2344" s="72">
        <v>0</v>
      </c>
      <c r="AF2344" s="5"/>
      <c r="AG2344" s="6"/>
      <c r="AH2344" s="27"/>
      <c r="AI2344" s="44"/>
      <c r="AJ2344" s="26"/>
      <c r="AK2344" s="5"/>
      <c r="AL2344" s="82" t="s">
        <v>5213</v>
      </c>
      <c r="AM2344" s="76"/>
      <c r="AN2344" s="76"/>
      <c r="AO2344" s="76"/>
      <c r="AP2344" s="76"/>
      <c r="AQ2344" s="76"/>
      <c r="AR2344" s="76"/>
      <c r="AS2344" s="76"/>
      <c r="AT2344" s="76"/>
      <c r="AU2344" s="76"/>
      <c r="AV2344" s="76"/>
      <c r="AW2344" s="76"/>
      <c r="AX2344" s="76">
        <f>+AW2344*600000</f>
        <v>0</v>
      </c>
      <c r="AY2344" s="76"/>
      <c r="AZ2344" s="76">
        <f>+AY2344*70000</f>
        <v>0</v>
      </c>
      <c r="BA2344" s="76"/>
      <c r="BB2344" s="76"/>
      <c r="BC2344" s="76"/>
      <c r="BD2344" s="76">
        <f>+BC2344*30000</f>
        <v>0</v>
      </c>
      <c r="BE2344" s="76"/>
      <c r="BF2344" s="76"/>
      <c r="BG2344" s="76"/>
      <c r="BH2344" s="76"/>
      <c r="BI2344" s="76"/>
      <c r="BJ2344" s="76"/>
      <c r="BK2344" s="76"/>
      <c r="BL2344" s="76">
        <f>+BK2344*31500</f>
        <v>0</v>
      </c>
      <c r="BM2344" s="76"/>
      <c r="BN2344" s="76"/>
      <c r="BO2344" s="76"/>
      <c r="BP2344" s="76"/>
      <c r="BQ2344" s="76"/>
      <c r="BR2344" s="76"/>
      <c r="BS2344" s="76"/>
      <c r="BT2344" s="76"/>
      <c r="BU2344" s="76"/>
      <c r="BV2344" s="76"/>
      <c r="BW2344" s="76"/>
      <c r="BX2344" s="76"/>
      <c r="BY2344" s="76"/>
      <c r="BZ2344" s="76"/>
      <c r="CA2344" s="76"/>
      <c r="CB2344" s="76"/>
      <c r="CC2344" s="76"/>
      <c r="CD2344" s="76"/>
      <c r="CE2344" s="76"/>
      <c r="CF2344" s="76">
        <f>+CE2344*28000</f>
        <v>0</v>
      </c>
      <c r="CG2344" s="76"/>
      <c r="CH2344" s="76">
        <f>+CG2344*22500</f>
        <v>0</v>
      </c>
      <c r="CI2344" s="76"/>
      <c r="CJ2344" s="76">
        <f>+CI2344*26000</f>
        <v>0</v>
      </c>
      <c r="CK2344" s="76"/>
      <c r="CL2344" s="76"/>
      <c r="CM2344" s="76"/>
      <c r="CN2344" s="76">
        <f>+CM2344*22000</f>
        <v>0</v>
      </c>
      <c r="CO2344" s="76"/>
      <c r="CP2344" s="76">
        <f>+CO2344*46000</f>
        <v>0</v>
      </c>
      <c r="CQ2344" s="76"/>
      <c r="CR2344" s="76">
        <f>+CQ2344*49000</f>
        <v>0</v>
      </c>
      <c r="CS2344" s="76"/>
      <c r="CT2344" s="76"/>
      <c r="CU2344" s="56">
        <f>AN2344+AP2344+AR2344+AT2344+AV2344+AX2344+AZ2344+BB2344+BD2344+BF2344+BH2344+BJ2344+BL2344+BN2344+BP2344+BR2344+BT2344+BV2344+BX2344+BZ2344+CB2344+CD2344+CF2344+CH2344+CJ2344+CL2344+CN2344+CP2344+CR2344+CT2344</f>
        <v>0</v>
      </c>
      <c r="CV2344" s="76"/>
      <c r="CW2344" s="76">
        <f>+CV2344*1100</f>
        <v>0</v>
      </c>
      <c r="CX2344" s="76"/>
      <c r="CY2344" s="76">
        <f>+CX2344*106250</f>
        <v>0</v>
      </c>
      <c r="CZ2344" s="76"/>
      <c r="DA2344" s="76">
        <f>+CZ2344*34500</f>
        <v>0</v>
      </c>
      <c r="DB2344" s="76"/>
      <c r="DC2344" s="76">
        <f>+DB2344*25000</f>
        <v>0</v>
      </c>
      <c r="DD2344" s="219"/>
      <c r="DE2344" s="219"/>
      <c r="DF2344" s="166"/>
      <c r="DG2344" s="116"/>
      <c r="DH2344" s="117"/>
      <c r="DI2344" s="24"/>
      <c r="DJ2344" s="24"/>
      <c r="DK2344" s="24"/>
      <c r="DL2344" s="24"/>
      <c r="DM2344" s="24"/>
      <c r="DN2344" s="24"/>
      <c r="DO2344" s="24"/>
      <c r="DP2344" s="24"/>
      <c r="DQ2344" s="24"/>
      <c r="DR2344" s="24"/>
      <c r="DS2344" s="24"/>
      <c r="DT2344" s="24"/>
      <c r="DU2344" s="24"/>
    </row>
    <row r="2345" spans="1:125" s="8" customFormat="1" ht="36" x14ac:dyDescent="0.2">
      <c r="A2345" s="97">
        <v>41469</v>
      </c>
      <c r="B2345" s="60" t="s">
        <v>2661</v>
      </c>
      <c r="C2345" s="55" t="s">
        <v>2</v>
      </c>
      <c r="D2345" s="55" t="s">
        <v>2846</v>
      </c>
      <c r="E2345" s="75" t="str">
        <f>VLOOKUP(B2345&amp;C2345,Divipola!$C$2:$F$1138,4,FALSE)</f>
        <v>41524</v>
      </c>
      <c r="F2345" s="87"/>
      <c r="G2345" s="87"/>
      <c r="H2345" s="87"/>
      <c r="I2345" s="87"/>
      <c r="J2345" s="87"/>
      <c r="K2345" s="87"/>
      <c r="L2345" s="87"/>
      <c r="M2345" s="87"/>
      <c r="N2345" s="87"/>
      <c r="O2345" s="87"/>
      <c r="P2345" s="87"/>
      <c r="Q2345" s="87"/>
      <c r="R2345" s="87"/>
      <c r="S2345" s="87"/>
      <c r="T2345" s="87"/>
      <c r="U2345" s="88">
        <v>1</v>
      </c>
      <c r="V2345" s="89"/>
      <c r="W2345" s="96">
        <v>0</v>
      </c>
      <c r="X2345" s="71">
        <f>CU2345</f>
        <v>0</v>
      </c>
      <c r="Y2345" s="71">
        <f>CY2345</f>
        <v>0</v>
      </c>
      <c r="Z2345" s="71">
        <f>DA2345+DC2345+DE2345</f>
        <v>0</v>
      </c>
      <c r="AA2345" s="71">
        <f>CW2345</f>
        <v>0</v>
      </c>
      <c r="AB2345" s="71"/>
      <c r="AC2345" s="71">
        <v>0</v>
      </c>
      <c r="AD2345" s="71">
        <f>W2345+X2345+Y2345+Z2345+AA2345+AB2345+AC2345</f>
        <v>0</v>
      </c>
      <c r="AE2345" s="72">
        <v>0</v>
      </c>
      <c r="AF2345" s="5"/>
      <c r="AG2345" s="6"/>
      <c r="AH2345" s="27"/>
      <c r="AI2345" s="44"/>
      <c r="AJ2345" s="26"/>
      <c r="AK2345" s="5"/>
      <c r="AL2345" s="82" t="s">
        <v>5214</v>
      </c>
      <c r="AM2345" s="76"/>
      <c r="AN2345" s="76"/>
      <c r="AO2345" s="76"/>
      <c r="AP2345" s="76"/>
      <c r="AQ2345" s="76"/>
      <c r="AR2345" s="76"/>
      <c r="AS2345" s="76"/>
      <c r="AT2345" s="76"/>
      <c r="AU2345" s="76"/>
      <c r="AV2345" s="76"/>
      <c r="AW2345" s="76"/>
      <c r="AX2345" s="76">
        <f>+AW2345*600000</f>
        <v>0</v>
      </c>
      <c r="AY2345" s="76"/>
      <c r="AZ2345" s="76">
        <f>+AY2345*70000</f>
        <v>0</v>
      </c>
      <c r="BA2345" s="76"/>
      <c r="BB2345" s="76"/>
      <c r="BC2345" s="76"/>
      <c r="BD2345" s="76">
        <f>+BC2345*30000</f>
        <v>0</v>
      </c>
      <c r="BE2345" s="76"/>
      <c r="BF2345" s="76"/>
      <c r="BG2345" s="76"/>
      <c r="BH2345" s="76"/>
      <c r="BI2345" s="76"/>
      <c r="BJ2345" s="76"/>
      <c r="BK2345" s="76"/>
      <c r="BL2345" s="76">
        <f>+BK2345*31500</f>
        <v>0</v>
      </c>
      <c r="BM2345" s="76"/>
      <c r="BN2345" s="76"/>
      <c r="BO2345" s="76"/>
      <c r="BP2345" s="76"/>
      <c r="BQ2345" s="76"/>
      <c r="BR2345" s="76"/>
      <c r="BS2345" s="76"/>
      <c r="BT2345" s="76"/>
      <c r="BU2345" s="76"/>
      <c r="BV2345" s="76"/>
      <c r="BW2345" s="76"/>
      <c r="BX2345" s="76"/>
      <c r="BY2345" s="76"/>
      <c r="BZ2345" s="76"/>
      <c r="CA2345" s="76"/>
      <c r="CB2345" s="76"/>
      <c r="CC2345" s="76"/>
      <c r="CD2345" s="76"/>
      <c r="CE2345" s="76"/>
      <c r="CF2345" s="76">
        <f>+CE2345*28000</f>
        <v>0</v>
      </c>
      <c r="CG2345" s="76"/>
      <c r="CH2345" s="76">
        <f>+CG2345*22500</f>
        <v>0</v>
      </c>
      <c r="CI2345" s="76"/>
      <c r="CJ2345" s="76">
        <f>+CI2345*26000</f>
        <v>0</v>
      </c>
      <c r="CK2345" s="76"/>
      <c r="CL2345" s="76"/>
      <c r="CM2345" s="76"/>
      <c r="CN2345" s="76">
        <f>+CM2345*22000</f>
        <v>0</v>
      </c>
      <c r="CO2345" s="76"/>
      <c r="CP2345" s="76">
        <f>+CO2345*46000</f>
        <v>0</v>
      </c>
      <c r="CQ2345" s="76"/>
      <c r="CR2345" s="76">
        <f>+CQ2345*49000</f>
        <v>0</v>
      </c>
      <c r="CS2345" s="76"/>
      <c r="CT2345" s="76"/>
      <c r="CU2345" s="56">
        <f>AN2345+AP2345+AR2345+AT2345+AV2345+AX2345+AZ2345+BB2345+BD2345+BF2345+BH2345+BJ2345+BL2345+BN2345+BP2345+BR2345+BT2345+BV2345+BX2345+BZ2345+CB2345+CD2345+CF2345+CH2345+CJ2345+CL2345+CN2345+CP2345+CR2345+CT2345</f>
        <v>0</v>
      </c>
      <c r="CV2345" s="76"/>
      <c r="CW2345" s="76">
        <f>+CV2345*1100</f>
        <v>0</v>
      </c>
      <c r="CX2345" s="76"/>
      <c r="CY2345" s="76">
        <f>+CX2345*106250</f>
        <v>0</v>
      </c>
      <c r="CZ2345" s="76"/>
      <c r="DA2345" s="76">
        <f>+CZ2345*34500</f>
        <v>0</v>
      </c>
      <c r="DB2345" s="76"/>
      <c r="DC2345" s="76">
        <f>+DB2345*25000</f>
        <v>0</v>
      </c>
      <c r="DD2345" s="219"/>
      <c r="DE2345" s="219"/>
      <c r="DF2345" s="166"/>
      <c r="DG2345" s="116"/>
      <c r="DH2345" s="117"/>
      <c r="DI2345" s="24"/>
      <c r="DJ2345" s="24"/>
      <c r="DK2345" s="24"/>
      <c r="DL2345" s="24"/>
      <c r="DM2345" s="24"/>
      <c r="DN2345" s="24"/>
      <c r="DO2345" s="24"/>
      <c r="DP2345" s="24"/>
      <c r="DQ2345" s="24"/>
      <c r="DR2345" s="24"/>
      <c r="DS2345" s="24"/>
      <c r="DT2345" s="24"/>
      <c r="DU2345" s="24"/>
    </row>
    <row r="2346" spans="1:125" s="8" customFormat="1" ht="48" x14ac:dyDescent="0.2">
      <c r="A2346" s="77">
        <v>41469</v>
      </c>
      <c r="B2346" s="78" t="s">
        <v>2848</v>
      </c>
      <c r="C2346" s="75" t="s">
        <v>1902</v>
      </c>
      <c r="D2346" s="75" t="s">
        <v>2849</v>
      </c>
      <c r="E2346" s="75" t="str">
        <f>VLOOKUP(B2346&amp;C2346,Divipola!$C$2:$F$1138,4,FALSE)</f>
        <v>73616</v>
      </c>
      <c r="F2346" s="87">
        <v>1</v>
      </c>
      <c r="G2346" s="87"/>
      <c r="H2346" s="87"/>
      <c r="I2346" s="87"/>
      <c r="J2346" s="87"/>
      <c r="K2346" s="87"/>
      <c r="L2346" s="87"/>
      <c r="M2346" s="87"/>
      <c r="N2346" s="87"/>
      <c r="O2346" s="87"/>
      <c r="P2346" s="87"/>
      <c r="Q2346" s="87"/>
      <c r="R2346" s="87"/>
      <c r="S2346" s="87"/>
      <c r="T2346" s="87"/>
      <c r="U2346" s="88"/>
      <c r="V2346" s="89"/>
      <c r="W2346" s="96">
        <v>0</v>
      </c>
      <c r="X2346" s="71">
        <f>CU2346</f>
        <v>0</v>
      </c>
      <c r="Y2346" s="71">
        <f>CY2346</f>
        <v>0</v>
      </c>
      <c r="Z2346" s="71">
        <f>DA2346+DC2346+DE2346</f>
        <v>0</v>
      </c>
      <c r="AA2346" s="71">
        <f>CW2346</f>
        <v>0</v>
      </c>
      <c r="AB2346" s="71"/>
      <c r="AC2346" s="71">
        <v>0</v>
      </c>
      <c r="AD2346" s="71">
        <f>W2346+X2346+Y2346+Z2346+AA2346+AB2346+AC2346</f>
        <v>0</v>
      </c>
      <c r="AE2346" s="72">
        <v>0</v>
      </c>
      <c r="AF2346" s="5"/>
      <c r="AG2346" s="6"/>
      <c r="AH2346" s="27"/>
      <c r="AI2346" s="44"/>
      <c r="AJ2346" s="26"/>
      <c r="AK2346" s="5"/>
      <c r="AL2346" s="82" t="s">
        <v>5211</v>
      </c>
      <c r="AM2346" s="76"/>
      <c r="AN2346" s="76"/>
      <c r="AO2346" s="76"/>
      <c r="AP2346" s="76"/>
      <c r="AQ2346" s="76"/>
      <c r="AR2346" s="76"/>
      <c r="AS2346" s="76"/>
      <c r="AT2346" s="76"/>
      <c r="AU2346" s="76"/>
      <c r="AV2346" s="76"/>
      <c r="AW2346" s="76"/>
      <c r="AX2346" s="76">
        <f>+AW2346*600000</f>
        <v>0</v>
      </c>
      <c r="AY2346" s="76"/>
      <c r="AZ2346" s="76">
        <f>+AY2346*70000</f>
        <v>0</v>
      </c>
      <c r="BA2346" s="76"/>
      <c r="BB2346" s="76"/>
      <c r="BC2346" s="76"/>
      <c r="BD2346" s="76">
        <f>+BC2346*30000</f>
        <v>0</v>
      </c>
      <c r="BE2346" s="76"/>
      <c r="BF2346" s="76"/>
      <c r="BG2346" s="76"/>
      <c r="BH2346" s="76"/>
      <c r="BI2346" s="76"/>
      <c r="BJ2346" s="76"/>
      <c r="BK2346" s="76"/>
      <c r="BL2346" s="76">
        <f>+BK2346*31500</f>
        <v>0</v>
      </c>
      <c r="BM2346" s="76"/>
      <c r="BN2346" s="76"/>
      <c r="BO2346" s="76"/>
      <c r="BP2346" s="76"/>
      <c r="BQ2346" s="76"/>
      <c r="BR2346" s="76"/>
      <c r="BS2346" s="76"/>
      <c r="BT2346" s="76"/>
      <c r="BU2346" s="76"/>
      <c r="BV2346" s="76"/>
      <c r="BW2346" s="76"/>
      <c r="BX2346" s="76"/>
      <c r="BY2346" s="76"/>
      <c r="BZ2346" s="76"/>
      <c r="CA2346" s="76"/>
      <c r="CB2346" s="76"/>
      <c r="CC2346" s="76"/>
      <c r="CD2346" s="76"/>
      <c r="CE2346" s="76"/>
      <c r="CF2346" s="76">
        <f>+CE2346*28000</f>
        <v>0</v>
      </c>
      <c r="CG2346" s="76"/>
      <c r="CH2346" s="76">
        <f>+CG2346*22500</f>
        <v>0</v>
      </c>
      <c r="CI2346" s="76"/>
      <c r="CJ2346" s="76">
        <f>+CI2346*26000</f>
        <v>0</v>
      </c>
      <c r="CK2346" s="76"/>
      <c r="CL2346" s="76"/>
      <c r="CM2346" s="76"/>
      <c r="CN2346" s="76">
        <f>+CM2346*22000</f>
        <v>0</v>
      </c>
      <c r="CO2346" s="76"/>
      <c r="CP2346" s="76">
        <f>+CO2346*46000</f>
        <v>0</v>
      </c>
      <c r="CQ2346" s="76"/>
      <c r="CR2346" s="76">
        <f>+CQ2346*49000</f>
        <v>0</v>
      </c>
      <c r="CS2346" s="76"/>
      <c r="CT2346" s="76"/>
      <c r="CU2346" s="56">
        <f>AN2346+AP2346+AR2346+AT2346+AV2346+AX2346+AZ2346+BB2346+BD2346+BF2346+BH2346+BJ2346+BL2346+BN2346+BP2346+BR2346+BT2346+BV2346+BX2346+BZ2346+CB2346+CD2346+CF2346+CH2346+CJ2346+CL2346+CN2346+CP2346+CR2346+CT2346</f>
        <v>0</v>
      </c>
      <c r="CV2346" s="76"/>
      <c r="CW2346" s="76">
        <f>+CV2346*1100</f>
        <v>0</v>
      </c>
      <c r="CX2346" s="76"/>
      <c r="CY2346" s="76">
        <f>+CX2346*106250</f>
        <v>0</v>
      </c>
      <c r="CZ2346" s="76"/>
      <c r="DA2346" s="76">
        <f>+CZ2346*34500</f>
        <v>0</v>
      </c>
      <c r="DB2346" s="76"/>
      <c r="DC2346" s="76">
        <f>+DB2346*25000</f>
        <v>0</v>
      </c>
      <c r="DD2346" s="219"/>
      <c r="DE2346" s="219"/>
      <c r="DF2346" s="166"/>
      <c r="DG2346" s="116"/>
      <c r="DH2346" s="117"/>
      <c r="DI2346" s="24"/>
      <c r="DJ2346" s="24"/>
      <c r="DK2346" s="24"/>
      <c r="DL2346" s="24"/>
      <c r="DM2346" s="24"/>
      <c r="DN2346" s="24"/>
      <c r="DO2346" s="24"/>
      <c r="DP2346" s="24"/>
      <c r="DQ2346" s="24"/>
      <c r="DR2346" s="24"/>
      <c r="DS2346" s="24"/>
      <c r="DT2346" s="24"/>
      <c r="DU2346" s="24"/>
    </row>
    <row r="2347" spans="1:125" s="8" customFormat="1" ht="72" x14ac:dyDescent="0.2">
      <c r="A2347" s="353">
        <v>41469</v>
      </c>
      <c r="B2347" s="352" t="s">
        <v>2851</v>
      </c>
      <c r="C2347" s="354" t="s">
        <v>2668</v>
      </c>
      <c r="D2347" s="354" t="s">
        <v>2846</v>
      </c>
      <c r="E2347" s="75" t="str">
        <f>VLOOKUP(B2347&amp;C2347,Divipola!$C$2:$F$1138,4,FALSE)</f>
        <v>76520</v>
      </c>
      <c r="F2347" s="87"/>
      <c r="G2347" s="87"/>
      <c r="H2347" s="87"/>
      <c r="I2347" s="87"/>
      <c r="J2347" s="87"/>
      <c r="K2347" s="87"/>
      <c r="L2347" s="87"/>
      <c r="M2347" s="87"/>
      <c r="N2347" s="87"/>
      <c r="O2347" s="87"/>
      <c r="P2347" s="87"/>
      <c r="Q2347" s="87"/>
      <c r="R2347" s="87"/>
      <c r="S2347" s="87"/>
      <c r="T2347" s="87"/>
      <c r="U2347" s="88"/>
      <c r="V2347" s="89"/>
      <c r="W2347" s="96">
        <v>0</v>
      </c>
      <c r="X2347" s="71">
        <f>CU2347</f>
        <v>0</v>
      </c>
      <c r="Y2347" s="71">
        <f>CY2347</f>
        <v>0</v>
      </c>
      <c r="Z2347" s="71">
        <f>DA2347+DC2347+DE2347</f>
        <v>0</v>
      </c>
      <c r="AA2347" s="71">
        <f>CW2347</f>
        <v>0</v>
      </c>
      <c r="AB2347" s="71"/>
      <c r="AC2347" s="71">
        <v>0</v>
      </c>
      <c r="AD2347" s="71">
        <f>W2347+X2347+Y2347+Z2347+AA2347+AB2347+AC2347</f>
        <v>0</v>
      </c>
      <c r="AE2347" s="72">
        <v>0</v>
      </c>
      <c r="AF2347" s="5"/>
      <c r="AG2347" s="6"/>
      <c r="AH2347" s="27"/>
      <c r="AI2347" s="44"/>
      <c r="AJ2347" s="26"/>
      <c r="AK2347" s="5"/>
      <c r="AL2347" s="82" t="s">
        <v>5217</v>
      </c>
      <c r="AM2347" s="76"/>
      <c r="AN2347" s="76"/>
      <c r="AO2347" s="76"/>
      <c r="AP2347" s="76"/>
      <c r="AQ2347" s="76"/>
      <c r="AR2347" s="76"/>
      <c r="AS2347" s="76"/>
      <c r="AT2347" s="76"/>
      <c r="AU2347" s="76"/>
      <c r="AV2347" s="76"/>
      <c r="AW2347" s="76"/>
      <c r="AX2347" s="76">
        <f>+AW2347*600000</f>
        <v>0</v>
      </c>
      <c r="AY2347" s="76"/>
      <c r="AZ2347" s="76">
        <f>+AY2347*70000</f>
        <v>0</v>
      </c>
      <c r="BA2347" s="76"/>
      <c r="BB2347" s="76"/>
      <c r="BC2347" s="76"/>
      <c r="BD2347" s="76">
        <f>+BC2347*30000</f>
        <v>0</v>
      </c>
      <c r="BE2347" s="76"/>
      <c r="BF2347" s="76"/>
      <c r="BG2347" s="76"/>
      <c r="BH2347" s="76"/>
      <c r="BI2347" s="76"/>
      <c r="BJ2347" s="76"/>
      <c r="BK2347" s="76"/>
      <c r="BL2347" s="76">
        <f>+BK2347*31500</f>
        <v>0</v>
      </c>
      <c r="BM2347" s="76"/>
      <c r="BN2347" s="76"/>
      <c r="BO2347" s="76"/>
      <c r="BP2347" s="76"/>
      <c r="BQ2347" s="76"/>
      <c r="BR2347" s="76"/>
      <c r="BS2347" s="76"/>
      <c r="BT2347" s="76"/>
      <c r="BU2347" s="76"/>
      <c r="BV2347" s="76"/>
      <c r="BW2347" s="76"/>
      <c r="BX2347" s="76"/>
      <c r="BY2347" s="76"/>
      <c r="BZ2347" s="76"/>
      <c r="CA2347" s="76"/>
      <c r="CB2347" s="76"/>
      <c r="CC2347" s="76"/>
      <c r="CD2347" s="76"/>
      <c r="CE2347" s="76"/>
      <c r="CF2347" s="76">
        <f>+CE2347*28000</f>
        <v>0</v>
      </c>
      <c r="CG2347" s="76"/>
      <c r="CH2347" s="76">
        <f>+CG2347*22500</f>
        <v>0</v>
      </c>
      <c r="CI2347" s="76"/>
      <c r="CJ2347" s="76">
        <f>+CI2347*26000</f>
        <v>0</v>
      </c>
      <c r="CK2347" s="76"/>
      <c r="CL2347" s="76"/>
      <c r="CM2347" s="76"/>
      <c r="CN2347" s="76">
        <f>+CM2347*22000</f>
        <v>0</v>
      </c>
      <c r="CO2347" s="76"/>
      <c r="CP2347" s="76">
        <f>+CO2347*46000</f>
        <v>0</v>
      </c>
      <c r="CQ2347" s="76"/>
      <c r="CR2347" s="76">
        <f>+CQ2347*49000</f>
        <v>0</v>
      </c>
      <c r="CS2347" s="76"/>
      <c r="CT2347" s="76"/>
      <c r="CU2347" s="56">
        <f>AN2347+AP2347+AR2347+AT2347+AV2347+AX2347+AZ2347+BB2347+BD2347+BF2347+BH2347+BJ2347+BL2347+BN2347+BP2347+BR2347+BT2347+BV2347+BX2347+BZ2347+CB2347+CD2347+CF2347+CH2347+CJ2347+CL2347+CN2347+CP2347+CR2347+CT2347</f>
        <v>0</v>
      </c>
      <c r="CV2347" s="76"/>
      <c r="CW2347" s="76">
        <f>+CV2347*1100</f>
        <v>0</v>
      </c>
      <c r="CX2347" s="76"/>
      <c r="CY2347" s="76">
        <f>+CX2347*106250</f>
        <v>0</v>
      </c>
      <c r="CZ2347" s="76"/>
      <c r="DA2347" s="76">
        <f>+CZ2347*34500</f>
        <v>0</v>
      </c>
      <c r="DB2347" s="76"/>
      <c r="DC2347" s="76">
        <f>+DB2347*25000</f>
        <v>0</v>
      </c>
      <c r="DD2347" s="219"/>
      <c r="DE2347" s="219"/>
      <c r="DF2347" s="166"/>
      <c r="DG2347" s="116"/>
      <c r="DH2347" s="117"/>
      <c r="DI2347" s="24"/>
      <c r="DJ2347" s="24"/>
      <c r="DK2347" s="24"/>
      <c r="DL2347" s="24"/>
      <c r="DM2347" s="24"/>
      <c r="DN2347" s="24"/>
      <c r="DO2347" s="24"/>
      <c r="DP2347" s="24"/>
      <c r="DQ2347" s="24"/>
      <c r="DR2347" s="24"/>
      <c r="DS2347" s="24"/>
      <c r="DT2347" s="24"/>
      <c r="DU2347" s="24"/>
    </row>
    <row r="2348" spans="1:125" s="8" customFormat="1" ht="48" x14ac:dyDescent="0.2">
      <c r="A2348" s="353">
        <v>41470</v>
      </c>
      <c r="B2348" s="353" t="s">
        <v>2087</v>
      </c>
      <c r="C2348" s="353" t="s">
        <v>2692</v>
      </c>
      <c r="D2348" s="353" t="s">
        <v>3088</v>
      </c>
      <c r="E2348" s="75" t="str">
        <f>VLOOKUP(B2348&amp;C2348,Divipola!$C$2:$F$1138,4,FALSE)</f>
        <v>18001</v>
      </c>
      <c r="F2348" s="87"/>
      <c r="G2348" s="87"/>
      <c r="H2348" s="87"/>
      <c r="I2348" s="87"/>
      <c r="J2348" s="87"/>
      <c r="K2348" s="87"/>
      <c r="L2348" s="87"/>
      <c r="M2348" s="87">
        <v>1</v>
      </c>
      <c r="N2348" s="87"/>
      <c r="O2348" s="87"/>
      <c r="P2348" s="87"/>
      <c r="Q2348" s="87"/>
      <c r="R2348" s="87"/>
      <c r="S2348" s="87"/>
      <c r="T2348" s="87"/>
      <c r="U2348" s="88"/>
      <c r="V2348" s="89"/>
      <c r="W2348" s="96">
        <v>0</v>
      </c>
      <c r="X2348" s="71">
        <v>0</v>
      </c>
      <c r="Y2348" s="71">
        <v>0</v>
      </c>
      <c r="Z2348" s="71">
        <v>0</v>
      </c>
      <c r="AA2348" s="71">
        <v>0</v>
      </c>
      <c r="AB2348" s="71"/>
      <c r="AC2348" s="71">
        <v>0</v>
      </c>
      <c r="AD2348" s="71">
        <v>0</v>
      </c>
      <c r="AE2348" s="5"/>
      <c r="AF2348" s="6"/>
      <c r="AG2348" s="27"/>
      <c r="AH2348" s="44"/>
      <c r="AI2348" s="26"/>
      <c r="AJ2348" s="5"/>
      <c r="AK2348" s="9"/>
      <c r="AL2348" s="82" t="s">
        <v>5223</v>
      </c>
      <c r="AM2348" s="76"/>
      <c r="AN2348" s="76"/>
      <c r="AO2348" s="76"/>
      <c r="AP2348" s="76"/>
      <c r="AQ2348" s="76"/>
      <c r="AR2348" s="76"/>
      <c r="AS2348" s="76"/>
      <c r="AT2348" s="76"/>
      <c r="AU2348" s="76"/>
      <c r="AV2348" s="76"/>
      <c r="AW2348" s="76"/>
      <c r="AX2348" s="76">
        <f>+AW2348*600000</f>
        <v>0</v>
      </c>
      <c r="AY2348" s="76"/>
      <c r="AZ2348" s="76">
        <f>+AY2348*70000</f>
        <v>0</v>
      </c>
      <c r="BA2348" s="76"/>
      <c r="BB2348" s="76"/>
      <c r="BC2348" s="76"/>
      <c r="BD2348" s="76">
        <f>+BC2348*30000</f>
        <v>0</v>
      </c>
      <c r="BE2348" s="76"/>
      <c r="BF2348" s="76"/>
      <c r="BG2348" s="76"/>
      <c r="BH2348" s="76"/>
      <c r="BI2348" s="76"/>
      <c r="BJ2348" s="76"/>
      <c r="BK2348" s="76"/>
      <c r="BL2348" s="76">
        <f>+BK2348*31500</f>
        <v>0</v>
      </c>
      <c r="BM2348" s="76"/>
      <c r="BN2348" s="76"/>
      <c r="BO2348" s="76"/>
      <c r="BP2348" s="76"/>
      <c r="BQ2348" s="76"/>
      <c r="BR2348" s="76"/>
      <c r="BS2348" s="76"/>
      <c r="BT2348" s="76"/>
      <c r="BU2348" s="76"/>
      <c r="BV2348" s="76"/>
      <c r="BW2348" s="76"/>
      <c r="BX2348" s="76"/>
      <c r="BY2348" s="76"/>
      <c r="BZ2348" s="76"/>
      <c r="CA2348" s="76"/>
      <c r="CB2348" s="76"/>
      <c r="CC2348" s="76"/>
      <c r="CD2348" s="76"/>
      <c r="CE2348" s="76"/>
      <c r="CF2348" s="76">
        <f>+CE2348*28000</f>
        <v>0</v>
      </c>
      <c r="CG2348" s="76"/>
      <c r="CH2348" s="76">
        <f>+CG2348*22500</f>
        <v>0</v>
      </c>
      <c r="CI2348" s="76"/>
      <c r="CJ2348" s="76">
        <f>+CI2348*26000</f>
        <v>0</v>
      </c>
      <c r="CK2348" s="76"/>
      <c r="CL2348" s="76"/>
      <c r="CM2348" s="76"/>
      <c r="CN2348" s="76">
        <f>+CM2348*22000</f>
        <v>0</v>
      </c>
      <c r="CO2348" s="76"/>
      <c r="CP2348" s="76">
        <f>+CO2348*46000</f>
        <v>0</v>
      </c>
      <c r="CQ2348" s="76"/>
      <c r="CR2348" s="76">
        <f>+CQ2348*49000</f>
        <v>0</v>
      </c>
      <c r="CS2348" s="76"/>
      <c r="CT2348" s="76"/>
      <c r="CU2348" s="56">
        <f>AN2348+AP2348+AR2348+AT2348+AV2348+AX2348+AZ2348+BB2348+BD2348+BF2348+BH2348+BJ2348+BL2348+BN2348+BP2348+BR2348+BT2348+BV2348+BX2348+BZ2348+CB2348+CD2348+CF2348+CH2348+CJ2348+CL2348+CN2348+CP2348+CR2348+CT2348</f>
        <v>0</v>
      </c>
      <c r="CV2348" s="76"/>
      <c r="CW2348" s="76">
        <f>+CV2348*1100</f>
        <v>0</v>
      </c>
      <c r="CX2348" s="76"/>
      <c r="CY2348" s="76">
        <f>+CX2348*106250</f>
        <v>0</v>
      </c>
      <c r="CZ2348" s="76"/>
      <c r="DA2348" s="76">
        <f>+CZ2348*34500</f>
        <v>0</v>
      </c>
      <c r="DB2348" s="76"/>
      <c r="DC2348" s="76">
        <f>+DB2348*25000</f>
        <v>0</v>
      </c>
      <c r="DD2348" s="219"/>
      <c r="DE2348" s="219"/>
      <c r="DF2348" s="166"/>
      <c r="DG2348" s="116"/>
      <c r="DH2348" s="117"/>
      <c r="DI2348" s="24"/>
      <c r="DJ2348" s="24"/>
      <c r="DK2348" s="24"/>
      <c r="DL2348" s="24"/>
      <c r="DM2348" s="24"/>
      <c r="DN2348" s="24"/>
      <c r="DO2348" s="24"/>
      <c r="DP2348" s="24"/>
      <c r="DQ2348" s="24"/>
      <c r="DR2348" s="24"/>
      <c r="DS2348" s="24"/>
      <c r="DT2348" s="24"/>
      <c r="DU2348" s="24"/>
    </row>
    <row r="2349" spans="1:125" s="8" customFormat="1" ht="180" x14ac:dyDescent="0.2">
      <c r="A2349" s="77">
        <v>41470</v>
      </c>
      <c r="B2349" s="77" t="s">
        <v>2778</v>
      </c>
      <c r="C2349" s="77" t="s">
        <v>2194</v>
      </c>
      <c r="D2349" s="77" t="s">
        <v>3051</v>
      </c>
      <c r="E2349" s="75" t="str">
        <f>VLOOKUP(B2349&amp;C2349,Divipola!$C$2:$F$1138,4,FALSE)</f>
        <v>85010</v>
      </c>
      <c r="F2349" s="87"/>
      <c r="G2349" s="87"/>
      <c r="H2349" s="87"/>
      <c r="I2349" s="87">
        <v>20</v>
      </c>
      <c r="J2349" s="87">
        <v>4</v>
      </c>
      <c r="K2349" s="87"/>
      <c r="L2349" s="87">
        <v>4</v>
      </c>
      <c r="M2349" s="87"/>
      <c r="N2349" s="87"/>
      <c r="O2349" s="87"/>
      <c r="P2349" s="87"/>
      <c r="Q2349" s="87"/>
      <c r="R2349" s="87"/>
      <c r="S2349" s="87"/>
      <c r="T2349" s="87"/>
      <c r="U2349" s="88">
        <v>2</v>
      </c>
      <c r="V2349" s="89"/>
      <c r="W2349" s="96">
        <v>0</v>
      </c>
      <c r="X2349" s="71">
        <v>0</v>
      </c>
      <c r="Y2349" s="71">
        <v>0</v>
      </c>
      <c r="Z2349" s="71">
        <v>0</v>
      </c>
      <c r="AA2349" s="71">
        <v>0</v>
      </c>
      <c r="AB2349" s="71"/>
      <c r="AC2349" s="71">
        <v>0</v>
      </c>
      <c r="AD2349" s="71">
        <v>0</v>
      </c>
      <c r="AE2349" s="5"/>
      <c r="AF2349" s="6"/>
      <c r="AG2349" s="27"/>
      <c r="AH2349" s="44"/>
      <c r="AI2349" s="26"/>
      <c r="AJ2349" s="5"/>
      <c r="AK2349" s="9"/>
      <c r="AL2349" s="82" t="s">
        <v>5255</v>
      </c>
      <c r="AM2349" s="76"/>
      <c r="AN2349" s="76"/>
      <c r="AO2349" s="76"/>
      <c r="AP2349" s="76"/>
      <c r="AQ2349" s="76"/>
      <c r="AR2349" s="76"/>
      <c r="AS2349" s="76"/>
      <c r="AT2349" s="76"/>
      <c r="AU2349" s="76"/>
      <c r="AV2349" s="76"/>
      <c r="AW2349" s="76"/>
      <c r="AX2349" s="76">
        <f>+AW2349*600000</f>
        <v>0</v>
      </c>
      <c r="AY2349" s="76"/>
      <c r="AZ2349" s="76">
        <f>+AY2349*70000</f>
        <v>0</v>
      </c>
      <c r="BA2349" s="76"/>
      <c r="BB2349" s="76"/>
      <c r="BC2349" s="76"/>
      <c r="BD2349" s="76">
        <f>+BC2349*30000</f>
        <v>0</v>
      </c>
      <c r="BE2349" s="76"/>
      <c r="BF2349" s="76"/>
      <c r="BG2349" s="76"/>
      <c r="BH2349" s="76"/>
      <c r="BI2349" s="76"/>
      <c r="BJ2349" s="76"/>
      <c r="BK2349" s="76"/>
      <c r="BL2349" s="76">
        <f>+BK2349*31500</f>
        <v>0</v>
      </c>
      <c r="BM2349" s="76"/>
      <c r="BN2349" s="76"/>
      <c r="BO2349" s="76"/>
      <c r="BP2349" s="76"/>
      <c r="BQ2349" s="76"/>
      <c r="BR2349" s="76"/>
      <c r="BS2349" s="76"/>
      <c r="BT2349" s="76"/>
      <c r="BU2349" s="76"/>
      <c r="BV2349" s="76"/>
      <c r="BW2349" s="76"/>
      <c r="BX2349" s="76"/>
      <c r="BY2349" s="76"/>
      <c r="BZ2349" s="76"/>
      <c r="CA2349" s="76"/>
      <c r="CB2349" s="76"/>
      <c r="CC2349" s="76"/>
      <c r="CD2349" s="76"/>
      <c r="CE2349" s="76"/>
      <c r="CF2349" s="76">
        <f>+CE2349*28000</f>
        <v>0</v>
      </c>
      <c r="CG2349" s="76"/>
      <c r="CH2349" s="76">
        <f>+CG2349*22500</f>
        <v>0</v>
      </c>
      <c r="CI2349" s="76"/>
      <c r="CJ2349" s="76">
        <f>+CI2349*26000</f>
        <v>0</v>
      </c>
      <c r="CK2349" s="76"/>
      <c r="CL2349" s="76"/>
      <c r="CM2349" s="76"/>
      <c r="CN2349" s="76">
        <f>+CM2349*22000</f>
        <v>0</v>
      </c>
      <c r="CO2349" s="76"/>
      <c r="CP2349" s="76">
        <f>+CO2349*46000</f>
        <v>0</v>
      </c>
      <c r="CQ2349" s="76"/>
      <c r="CR2349" s="76">
        <f>+CQ2349*49000</f>
        <v>0</v>
      </c>
      <c r="CS2349" s="76"/>
      <c r="CT2349" s="76"/>
      <c r="CU2349" s="56">
        <f>AN2349+AP2349+AR2349+AT2349+AV2349+AX2349+AZ2349+BB2349+BD2349+BF2349+BH2349+BJ2349+BL2349+BN2349+BP2349+BR2349+BT2349+BV2349+BX2349+BZ2349+CB2349+CD2349+CF2349+CH2349+CJ2349+CL2349+CN2349+CP2349+CR2349+CT2349</f>
        <v>0</v>
      </c>
      <c r="CV2349" s="76"/>
      <c r="CW2349" s="76">
        <f>+CV2349*1100</f>
        <v>0</v>
      </c>
      <c r="CX2349" s="76"/>
      <c r="CY2349" s="76">
        <f>+CX2349*106250</f>
        <v>0</v>
      </c>
      <c r="CZ2349" s="76"/>
      <c r="DA2349" s="76">
        <f>+CZ2349*34500</f>
        <v>0</v>
      </c>
      <c r="DB2349" s="76"/>
      <c r="DC2349" s="76">
        <f>+DB2349*25000</f>
        <v>0</v>
      </c>
      <c r="DD2349" s="219"/>
      <c r="DE2349" s="219"/>
      <c r="DF2349" s="166"/>
      <c r="DG2349" s="116"/>
      <c r="DH2349" s="117"/>
      <c r="DI2349" s="24"/>
      <c r="DJ2349" s="24"/>
      <c r="DK2349" s="24"/>
      <c r="DL2349" s="24"/>
      <c r="DM2349" s="24"/>
      <c r="DN2349" s="24"/>
      <c r="DO2349" s="24"/>
      <c r="DP2349" s="24"/>
      <c r="DQ2349" s="24"/>
      <c r="DR2349" s="24"/>
      <c r="DS2349" s="24"/>
      <c r="DT2349" s="24"/>
      <c r="DU2349" s="24"/>
    </row>
    <row r="2350" spans="1:125" s="8" customFormat="1" ht="108" x14ac:dyDescent="0.2">
      <c r="A2350" s="226">
        <v>41470</v>
      </c>
      <c r="B2350" s="353" t="s">
        <v>2778</v>
      </c>
      <c r="C2350" s="353" t="s">
        <v>1344</v>
      </c>
      <c r="D2350" s="353" t="s">
        <v>3051</v>
      </c>
      <c r="E2350" s="75" t="str">
        <f>VLOOKUP(B2350&amp;C2350,Divipola!$C$2:$F$1138,4,FALSE)</f>
        <v>85001</v>
      </c>
      <c r="F2350" s="87"/>
      <c r="G2350" s="87"/>
      <c r="H2350" s="87"/>
      <c r="I2350" s="87">
        <v>15</v>
      </c>
      <c r="J2350" s="87">
        <v>3</v>
      </c>
      <c r="K2350" s="87"/>
      <c r="L2350" s="87">
        <v>3</v>
      </c>
      <c r="M2350" s="87"/>
      <c r="N2350" s="87"/>
      <c r="O2350" s="87"/>
      <c r="P2350" s="87"/>
      <c r="Q2350" s="87"/>
      <c r="R2350" s="87"/>
      <c r="S2350" s="87"/>
      <c r="T2350" s="87"/>
      <c r="U2350" s="224"/>
      <c r="V2350" s="89"/>
      <c r="W2350" s="96">
        <v>0</v>
      </c>
      <c r="X2350" s="71">
        <f>CU2350</f>
        <v>0</v>
      </c>
      <c r="Y2350" s="71">
        <f>CY2350</f>
        <v>0</v>
      </c>
      <c r="Z2350" s="71">
        <f>DA2350+DC2350+DE2350</f>
        <v>0</v>
      </c>
      <c r="AA2350" s="71">
        <f>CW2350</f>
        <v>0</v>
      </c>
      <c r="AB2350" s="71"/>
      <c r="AC2350" s="71">
        <v>0</v>
      </c>
      <c r="AD2350" s="71">
        <f>W2350+X2350+Y2350+Z2350+AA2350+AB2350+AC2350</f>
        <v>0</v>
      </c>
      <c r="AE2350" s="72">
        <v>0</v>
      </c>
      <c r="AF2350" s="5"/>
      <c r="AG2350" s="6"/>
      <c r="AH2350" s="27"/>
      <c r="AI2350" s="44"/>
      <c r="AJ2350" s="26"/>
      <c r="AK2350" s="5"/>
      <c r="AL2350" s="82" t="s">
        <v>5220</v>
      </c>
      <c r="AM2350" s="76"/>
      <c r="AN2350" s="76"/>
      <c r="AO2350" s="76"/>
      <c r="AP2350" s="76"/>
      <c r="AQ2350" s="76"/>
      <c r="AR2350" s="76"/>
      <c r="AS2350" s="76"/>
      <c r="AT2350" s="76"/>
      <c r="AU2350" s="76"/>
      <c r="AV2350" s="76"/>
      <c r="AW2350" s="76"/>
      <c r="AX2350" s="76">
        <f>+AW2350*600000</f>
        <v>0</v>
      </c>
      <c r="AY2350" s="76"/>
      <c r="AZ2350" s="76">
        <f>+AY2350*70000</f>
        <v>0</v>
      </c>
      <c r="BA2350" s="76"/>
      <c r="BB2350" s="76"/>
      <c r="BC2350" s="76"/>
      <c r="BD2350" s="76">
        <f>+BC2350*30000</f>
        <v>0</v>
      </c>
      <c r="BE2350" s="76"/>
      <c r="BF2350" s="76"/>
      <c r="BG2350" s="76"/>
      <c r="BH2350" s="76"/>
      <c r="BI2350" s="76"/>
      <c r="BJ2350" s="76"/>
      <c r="BK2350" s="76"/>
      <c r="BL2350" s="76">
        <f>+BK2350*31500</f>
        <v>0</v>
      </c>
      <c r="BM2350" s="76"/>
      <c r="BN2350" s="76"/>
      <c r="BO2350" s="76"/>
      <c r="BP2350" s="76"/>
      <c r="BQ2350" s="76"/>
      <c r="BR2350" s="76"/>
      <c r="BS2350" s="76"/>
      <c r="BT2350" s="76"/>
      <c r="BU2350" s="76"/>
      <c r="BV2350" s="76"/>
      <c r="BW2350" s="76"/>
      <c r="BX2350" s="76"/>
      <c r="BY2350" s="76"/>
      <c r="BZ2350" s="76"/>
      <c r="CA2350" s="76"/>
      <c r="CB2350" s="76"/>
      <c r="CC2350" s="76"/>
      <c r="CD2350" s="76"/>
      <c r="CE2350" s="76"/>
      <c r="CF2350" s="76">
        <f>+CE2350*28000</f>
        <v>0</v>
      </c>
      <c r="CG2350" s="76"/>
      <c r="CH2350" s="76">
        <f>+CG2350*22500</f>
        <v>0</v>
      </c>
      <c r="CI2350" s="76"/>
      <c r="CJ2350" s="76">
        <f>+CI2350*26000</f>
        <v>0</v>
      </c>
      <c r="CK2350" s="76"/>
      <c r="CL2350" s="76"/>
      <c r="CM2350" s="76"/>
      <c r="CN2350" s="76">
        <f>+CM2350*22000</f>
        <v>0</v>
      </c>
      <c r="CO2350" s="76"/>
      <c r="CP2350" s="76">
        <f>+CO2350*46000</f>
        <v>0</v>
      </c>
      <c r="CQ2350" s="76"/>
      <c r="CR2350" s="76">
        <f>+CQ2350*49000</f>
        <v>0</v>
      </c>
      <c r="CS2350" s="76"/>
      <c r="CT2350" s="76"/>
      <c r="CU2350" s="56">
        <f>AN2350+AP2350+AR2350+AT2350+AV2350+AX2350+AZ2350+BB2350+BD2350+BF2350+BH2350+BJ2350+BL2350+BN2350+BP2350+BR2350+BT2350+BV2350+BX2350+BZ2350+CB2350+CD2350+CF2350+CH2350+CJ2350+CL2350+CN2350+CP2350+CR2350+CT2350</f>
        <v>0</v>
      </c>
      <c r="CV2350" s="76"/>
      <c r="CW2350" s="76">
        <f>+CV2350*1100</f>
        <v>0</v>
      </c>
      <c r="CX2350" s="76"/>
      <c r="CY2350" s="76">
        <f>+CX2350*106250</f>
        <v>0</v>
      </c>
      <c r="CZ2350" s="76"/>
      <c r="DA2350" s="76">
        <f>+CZ2350*34500</f>
        <v>0</v>
      </c>
      <c r="DB2350" s="76"/>
      <c r="DC2350" s="76">
        <f>+DB2350*25000</f>
        <v>0</v>
      </c>
      <c r="DD2350" s="219"/>
      <c r="DE2350" s="219"/>
      <c r="DF2350" s="166"/>
      <c r="DG2350" s="116"/>
      <c r="DH2350" s="117"/>
      <c r="DI2350" s="24"/>
      <c r="DJ2350" s="24"/>
      <c r="DK2350" s="24"/>
      <c r="DL2350" s="24"/>
      <c r="DM2350" s="24"/>
      <c r="DN2350" s="24"/>
      <c r="DO2350" s="24"/>
      <c r="DP2350" s="24"/>
      <c r="DQ2350" s="24"/>
      <c r="DR2350" s="24"/>
      <c r="DS2350" s="24"/>
      <c r="DT2350" s="24"/>
      <c r="DU2350" s="24"/>
    </row>
    <row r="2351" spans="1:125" s="8" customFormat="1" ht="96.75" x14ac:dyDescent="0.2">
      <c r="A2351" s="353">
        <v>41470</v>
      </c>
      <c r="B2351" s="352" t="s">
        <v>2772</v>
      </c>
      <c r="C2351" s="354" t="s">
        <v>1334</v>
      </c>
      <c r="D2351" s="354" t="s">
        <v>2846</v>
      </c>
      <c r="E2351" s="75" t="str">
        <f>VLOOKUP(B2351&amp;C2351,Divipola!$C$2:$F$1138,4,FALSE)</f>
        <v>25317</v>
      </c>
      <c r="F2351" s="87"/>
      <c r="G2351" s="87"/>
      <c r="H2351" s="87"/>
      <c r="I2351" s="87"/>
      <c r="J2351" s="87"/>
      <c r="K2351" s="87"/>
      <c r="L2351" s="87"/>
      <c r="M2351" s="87"/>
      <c r="N2351" s="87"/>
      <c r="O2351" s="87"/>
      <c r="P2351" s="87"/>
      <c r="Q2351" s="87"/>
      <c r="R2351" s="87"/>
      <c r="S2351" s="87"/>
      <c r="T2351" s="87"/>
      <c r="U2351" s="88">
        <v>7</v>
      </c>
      <c r="V2351" s="89"/>
      <c r="W2351" s="96">
        <v>0</v>
      </c>
      <c r="X2351" s="71">
        <v>0</v>
      </c>
      <c r="Y2351" s="71">
        <v>0</v>
      </c>
      <c r="Z2351" s="71">
        <v>0</v>
      </c>
      <c r="AA2351" s="71">
        <v>0</v>
      </c>
      <c r="AB2351" s="71"/>
      <c r="AC2351" s="71">
        <v>0</v>
      </c>
      <c r="AD2351" s="71">
        <v>0</v>
      </c>
      <c r="AE2351" s="5"/>
      <c r="AF2351" s="6"/>
      <c r="AG2351" s="27"/>
      <c r="AH2351" s="44"/>
      <c r="AI2351" s="26"/>
      <c r="AJ2351" s="5"/>
      <c r="AK2351" s="9"/>
      <c r="AL2351" s="82" t="s">
        <v>5222</v>
      </c>
      <c r="AM2351" s="76"/>
      <c r="AN2351" s="76"/>
      <c r="AO2351" s="76"/>
      <c r="AP2351" s="76"/>
      <c r="AQ2351" s="76"/>
      <c r="AR2351" s="76"/>
      <c r="AS2351" s="76"/>
      <c r="AT2351" s="76"/>
      <c r="AU2351" s="76"/>
      <c r="AV2351" s="76"/>
      <c r="AW2351" s="76"/>
      <c r="AX2351" s="76">
        <f>+AW2351*600000</f>
        <v>0</v>
      </c>
      <c r="AY2351" s="76"/>
      <c r="AZ2351" s="76">
        <f>+AY2351*70000</f>
        <v>0</v>
      </c>
      <c r="BA2351" s="76"/>
      <c r="BB2351" s="76"/>
      <c r="BC2351" s="76"/>
      <c r="BD2351" s="76">
        <f>+BC2351*30000</f>
        <v>0</v>
      </c>
      <c r="BE2351" s="76"/>
      <c r="BF2351" s="76"/>
      <c r="BG2351" s="76"/>
      <c r="BH2351" s="76"/>
      <c r="BI2351" s="76"/>
      <c r="BJ2351" s="76"/>
      <c r="BK2351" s="76"/>
      <c r="BL2351" s="76">
        <f>+BK2351*31500</f>
        <v>0</v>
      </c>
      <c r="BM2351" s="76"/>
      <c r="BN2351" s="76"/>
      <c r="BO2351" s="76"/>
      <c r="BP2351" s="76"/>
      <c r="BQ2351" s="76"/>
      <c r="BR2351" s="76"/>
      <c r="BS2351" s="76"/>
      <c r="BT2351" s="76"/>
      <c r="BU2351" s="76"/>
      <c r="BV2351" s="76"/>
      <c r="BW2351" s="76"/>
      <c r="BX2351" s="76"/>
      <c r="BY2351" s="76"/>
      <c r="BZ2351" s="76"/>
      <c r="CA2351" s="76"/>
      <c r="CB2351" s="76"/>
      <c r="CC2351" s="76"/>
      <c r="CD2351" s="76"/>
      <c r="CE2351" s="76"/>
      <c r="CF2351" s="76">
        <f>+CE2351*28000</f>
        <v>0</v>
      </c>
      <c r="CG2351" s="76"/>
      <c r="CH2351" s="76">
        <f>+CG2351*22500</f>
        <v>0</v>
      </c>
      <c r="CI2351" s="76"/>
      <c r="CJ2351" s="76">
        <f>+CI2351*26000</f>
        <v>0</v>
      </c>
      <c r="CK2351" s="76"/>
      <c r="CL2351" s="76"/>
      <c r="CM2351" s="76"/>
      <c r="CN2351" s="76">
        <f>+CM2351*22000</f>
        <v>0</v>
      </c>
      <c r="CO2351" s="76"/>
      <c r="CP2351" s="76">
        <f>+CO2351*46000</f>
        <v>0</v>
      </c>
      <c r="CQ2351" s="76"/>
      <c r="CR2351" s="76">
        <f>+CQ2351*49000</f>
        <v>0</v>
      </c>
      <c r="CS2351" s="76"/>
      <c r="CT2351" s="76"/>
      <c r="CU2351" s="56">
        <f>AN2351+AP2351+AR2351+AT2351+AV2351+AX2351+AZ2351+BB2351+BD2351+BF2351+BH2351+BJ2351+BL2351+BN2351+BP2351+BR2351+BT2351+BV2351+BX2351+BZ2351+CB2351+CD2351+CF2351+CH2351+CJ2351+CL2351+CN2351+CP2351+CR2351+CT2351</f>
        <v>0</v>
      </c>
      <c r="CV2351" s="76"/>
      <c r="CW2351" s="76">
        <f>+CV2351*1100</f>
        <v>0</v>
      </c>
      <c r="CX2351" s="76"/>
      <c r="CY2351" s="76">
        <f>+CX2351*106250</f>
        <v>0</v>
      </c>
      <c r="CZ2351" s="76"/>
      <c r="DA2351" s="76">
        <f>+CZ2351*34500</f>
        <v>0</v>
      </c>
      <c r="DB2351" s="76"/>
      <c r="DC2351" s="76">
        <f>+DB2351*25000</f>
        <v>0</v>
      </c>
      <c r="DD2351" s="219"/>
      <c r="DE2351" s="219"/>
      <c r="DF2351" s="166"/>
      <c r="DG2351" s="116"/>
      <c r="DH2351" s="117"/>
      <c r="DI2351" s="24"/>
      <c r="DJ2351" s="24"/>
      <c r="DK2351" s="24"/>
      <c r="DL2351" s="24"/>
      <c r="DM2351" s="24"/>
      <c r="DN2351" s="24"/>
      <c r="DO2351" s="24"/>
      <c r="DP2351" s="24"/>
      <c r="DQ2351" s="24"/>
      <c r="DR2351" s="24"/>
      <c r="DS2351" s="24"/>
      <c r="DT2351" s="24"/>
      <c r="DU2351" s="24"/>
    </row>
    <row r="2352" spans="1:125" s="8" customFormat="1" ht="36" x14ac:dyDescent="0.2">
      <c r="A2352" s="77">
        <v>41470</v>
      </c>
      <c r="B2352" s="78" t="s">
        <v>3136</v>
      </c>
      <c r="C2352" s="75" t="s">
        <v>394</v>
      </c>
      <c r="D2352" s="75" t="s">
        <v>2882</v>
      </c>
      <c r="E2352" s="353" t="str">
        <f>VLOOKUP(B2352&amp;C2352,Divipola!$C$2:$F$1138,4,FALSE)</f>
        <v>44110</v>
      </c>
      <c r="F2352" s="163"/>
      <c r="G2352" s="163"/>
      <c r="H2352" s="163"/>
      <c r="I2352" s="163">
        <f>30*5</f>
        <v>150</v>
      </c>
      <c r="J2352" s="163">
        <v>30</v>
      </c>
      <c r="K2352" s="163"/>
      <c r="L2352" s="163">
        <v>30</v>
      </c>
      <c r="M2352" s="163"/>
      <c r="N2352" s="163"/>
      <c r="O2352" s="163"/>
      <c r="P2352" s="163"/>
      <c r="Q2352" s="163"/>
      <c r="R2352" s="163"/>
      <c r="S2352" s="163">
        <v>2</v>
      </c>
      <c r="T2352" s="163"/>
      <c r="U2352" s="163"/>
      <c r="V2352" s="134"/>
      <c r="W2352" s="96">
        <v>0</v>
      </c>
      <c r="X2352" s="71">
        <f>CU2352</f>
        <v>1379994</v>
      </c>
      <c r="Y2352" s="71">
        <f>CY2352</f>
        <v>0</v>
      </c>
      <c r="Z2352" s="71">
        <f>DA2352+DC2352+DE2352</f>
        <v>27337841.039999999</v>
      </c>
      <c r="AA2352" s="71">
        <f>CW2352</f>
        <v>0</v>
      </c>
      <c r="AB2352" s="71"/>
      <c r="AC2352" s="71">
        <v>0</v>
      </c>
      <c r="AD2352" s="71">
        <f>W2352+X2352+Y2352+Z2352+AA2352+AB2352+AC2352</f>
        <v>28717835.039999999</v>
      </c>
      <c r="AE2352" s="72">
        <v>0</v>
      </c>
      <c r="AF2352" s="5"/>
      <c r="AG2352" s="6"/>
      <c r="AH2352" s="27"/>
      <c r="AI2352" s="44"/>
      <c r="AJ2352" s="26"/>
      <c r="AK2352" s="5"/>
      <c r="AL2352" s="82" t="s">
        <v>5456</v>
      </c>
      <c r="AM2352" s="240"/>
      <c r="AN2352" s="240"/>
      <c r="AO2352" s="240"/>
      <c r="AP2352" s="240"/>
      <c r="AQ2352" s="240"/>
      <c r="AR2352" s="240"/>
      <c r="AS2352" s="240"/>
      <c r="AT2352" s="240"/>
      <c r="AU2352" s="240"/>
      <c r="AV2352" s="240"/>
      <c r="AW2352" s="240"/>
      <c r="AX2352" s="240">
        <f>+AW2352*600000</f>
        <v>0</v>
      </c>
      <c r="AY2352" s="240"/>
      <c r="AZ2352" s="240">
        <f>+AY2352*70000</f>
        <v>0</v>
      </c>
      <c r="BA2352" s="240"/>
      <c r="BB2352" s="240"/>
      <c r="BC2352" s="240"/>
      <c r="BD2352" s="240">
        <f>+BC2352*30000</f>
        <v>0</v>
      </c>
      <c r="BE2352" s="240"/>
      <c r="BF2352" s="240"/>
      <c r="BG2352" s="240"/>
      <c r="BH2352" s="240"/>
      <c r="BI2352" s="240"/>
      <c r="BJ2352" s="240"/>
      <c r="BK2352" s="240"/>
      <c r="BL2352" s="240">
        <f>+BK2352*31500</f>
        <v>0</v>
      </c>
      <c r="BM2352" s="240"/>
      <c r="BN2352" s="240"/>
      <c r="BO2352" s="240"/>
      <c r="BP2352" s="240"/>
      <c r="BQ2352" s="240"/>
      <c r="BR2352" s="240"/>
      <c r="BS2352" s="240"/>
      <c r="BT2352" s="240"/>
      <c r="BU2352" s="240"/>
      <c r="BV2352" s="240"/>
      <c r="BW2352" s="240"/>
      <c r="BX2352" s="240"/>
      <c r="BY2352" s="240"/>
      <c r="BZ2352" s="240"/>
      <c r="CA2352" s="240"/>
      <c r="CB2352" s="240"/>
      <c r="CC2352" s="240"/>
      <c r="CD2352" s="240"/>
      <c r="CE2352" s="240"/>
      <c r="CF2352" s="240">
        <f>+CE2352*28000</f>
        <v>0</v>
      </c>
      <c r="CG2352" s="240"/>
      <c r="CH2352" s="240">
        <f>+CG2352*22500</f>
        <v>0</v>
      </c>
      <c r="CI2352" s="240"/>
      <c r="CJ2352" s="240">
        <f>+CI2352*26000</f>
        <v>0</v>
      </c>
      <c r="CK2352" s="240"/>
      <c r="CL2352" s="240"/>
      <c r="CM2352" s="240"/>
      <c r="CN2352" s="240">
        <f>+CM2352*22000</f>
        <v>0</v>
      </c>
      <c r="CO2352" s="312">
        <v>30</v>
      </c>
      <c r="CP2352" s="312">
        <f>+CO2352*45999.8</f>
        <v>1379994</v>
      </c>
      <c r="CQ2352" s="240"/>
      <c r="CR2352" s="240">
        <f>+CQ2352*49000</f>
        <v>0</v>
      </c>
      <c r="CS2352" s="240"/>
      <c r="CT2352" s="240"/>
      <c r="CU2352" s="241">
        <f>AN2352+AP2352+AR2352+AT2352+AV2352+AX2352+AZ2352+BB2352+BD2352+BF2352+BH2352+BJ2352+BL2352+BN2352+BP2352+BR2352+BT2352+BV2352+BX2352+BZ2352+CB2352+CD2352+CF2352+CH2352+CJ2352+CL2352+CN2352+CP2352+CR2352+CT2352</f>
        <v>1379994</v>
      </c>
      <c r="CV2352" s="240"/>
      <c r="CW2352" s="240">
        <f>+CV2352*1100</f>
        <v>0</v>
      </c>
      <c r="CX2352" s="240"/>
      <c r="CY2352" s="240">
        <f>+CX2352*106250</f>
        <v>0</v>
      </c>
      <c r="CZ2352" s="312">
        <v>60</v>
      </c>
      <c r="DA2352" s="312">
        <f>+CZ2352*34499.56</f>
        <v>2069973.5999999999</v>
      </c>
      <c r="DB2352" s="312">
        <v>551</v>
      </c>
      <c r="DC2352" s="312">
        <f>160*31999.76+340*40999.04+26*30999.84+5*21248.88+20*39799.6</f>
        <v>20767867.439999998</v>
      </c>
      <c r="DD2352" s="313" t="s">
        <v>5989</v>
      </c>
      <c r="DE2352" s="314">
        <f>3000*1500</f>
        <v>4500000</v>
      </c>
      <c r="DF2352" s="243"/>
      <c r="DG2352" s="253" t="s">
        <v>5990</v>
      </c>
      <c r="DH2352" s="254"/>
      <c r="DI2352" s="24"/>
      <c r="DJ2352" s="24"/>
      <c r="DK2352" s="24"/>
      <c r="DL2352" s="24"/>
      <c r="DM2352" s="24"/>
      <c r="DN2352" s="24"/>
      <c r="DO2352" s="24"/>
      <c r="DP2352" s="24"/>
      <c r="DQ2352" s="24"/>
      <c r="DR2352" s="24"/>
      <c r="DS2352" s="24"/>
      <c r="DT2352" s="24"/>
      <c r="DU2352" s="24"/>
    </row>
    <row r="2353" spans="1:125" s="8" customFormat="1" ht="72" x14ac:dyDescent="0.2">
      <c r="A2353" s="353">
        <v>41470</v>
      </c>
      <c r="B2353" s="353" t="s">
        <v>506</v>
      </c>
      <c r="C2353" s="353" t="s">
        <v>1697</v>
      </c>
      <c r="D2353" s="353" t="s">
        <v>3051</v>
      </c>
      <c r="E2353" s="75" t="str">
        <f>VLOOKUP(B2353&amp;C2353,Divipola!$C$2:$F$1138,4,FALSE)</f>
        <v>50001</v>
      </c>
      <c r="F2353" s="87"/>
      <c r="G2353" s="87"/>
      <c r="H2353" s="87"/>
      <c r="I2353" s="87">
        <v>15</v>
      </c>
      <c r="J2353" s="87">
        <v>3</v>
      </c>
      <c r="K2353" s="87"/>
      <c r="L2353" s="87">
        <v>3</v>
      </c>
      <c r="M2353" s="87"/>
      <c r="N2353" s="87"/>
      <c r="O2353" s="87"/>
      <c r="P2353" s="87"/>
      <c r="Q2353" s="87"/>
      <c r="R2353" s="87"/>
      <c r="S2353" s="87"/>
      <c r="T2353" s="87"/>
      <c r="U2353" s="88"/>
      <c r="V2353" s="89"/>
      <c r="W2353" s="96">
        <v>0</v>
      </c>
      <c r="X2353" s="71">
        <v>0</v>
      </c>
      <c r="Y2353" s="71">
        <v>0</v>
      </c>
      <c r="Z2353" s="71">
        <v>0</v>
      </c>
      <c r="AA2353" s="71">
        <v>0</v>
      </c>
      <c r="AB2353" s="71"/>
      <c r="AC2353" s="71">
        <v>0</v>
      </c>
      <c r="AD2353" s="71">
        <v>0</v>
      </c>
      <c r="AE2353" s="5"/>
      <c r="AF2353" s="6"/>
      <c r="AG2353" s="27"/>
      <c r="AH2353" s="44"/>
      <c r="AI2353" s="26"/>
      <c r="AJ2353" s="5"/>
      <c r="AK2353" s="9"/>
      <c r="AL2353" s="82" t="s">
        <v>5227</v>
      </c>
      <c r="AM2353" s="76"/>
      <c r="AN2353" s="76"/>
      <c r="AO2353" s="76"/>
      <c r="AP2353" s="76"/>
      <c r="AQ2353" s="76"/>
      <c r="AR2353" s="76"/>
      <c r="AS2353" s="76"/>
      <c r="AT2353" s="76"/>
      <c r="AU2353" s="76"/>
      <c r="AV2353" s="76"/>
      <c r="AW2353" s="76"/>
      <c r="AX2353" s="76">
        <f>+AW2353*600000</f>
        <v>0</v>
      </c>
      <c r="AY2353" s="76"/>
      <c r="AZ2353" s="76">
        <f>+AY2353*70000</f>
        <v>0</v>
      </c>
      <c r="BA2353" s="76"/>
      <c r="BB2353" s="76"/>
      <c r="BC2353" s="76"/>
      <c r="BD2353" s="76">
        <f>+BC2353*30000</f>
        <v>0</v>
      </c>
      <c r="BE2353" s="76"/>
      <c r="BF2353" s="76"/>
      <c r="BG2353" s="76"/>
      <c r="BH2353" s="76"/>
      <c r="BI2353" s="76"/>
      <c r="BJ2353" s="76"/>
      <c r="BK2353" s="76"/>
      <c r="BL2353" s="76">
        <f>+BK2353*31500</f>
        <v>0</v>
      </c>
      <c r="BM2353" s="76"/>
      <c r="BN2353" s="76"/>
      <c r="BO2353" s="76"/>
      <c r="BP2353" s="76"/>
      <c r="BQ2353" s="76"/>
      <c r="BR2353" s="76"/>
      <c r="BS2353" s="76"/>
      <c r="BT2353" s="76"/>
      <c r="BU2353" s="76"/>
      <c r="BV2353" s="76"/>
      <c r="BW2353" s="76"/>
      <c r="BX2353" s="76"/>
      <c r="BY2353" s="76"/>
      <c r="BZ2353" s="76"/>
      <c r="CA2353" s="76"/>
      <c r="CB2353" s="76"/>
      <c r="CC2353" s="76"/>
      <c r="CD2353" s="76"/>
      <c r="CE2353" s="76"/>
      <c r="CF2353" s="76">
        <f>+CE2353*28000</f>
        <v>0</v>
      </c>
      <c r="CG2353" s="76"/>
      <c r="CH2353" s="76">
        <f>+CG2353*22500</f>
        <v>0</v>
      </c>
      <c r="CI2353" s="76"/>
      <c r="CJ2353" s="76">
        <f>+CI2353*26000</f>
        <v>0</v>
      </c>
      <c r="CK2353" s="76"/>
      <c r="CL2353" s="76"/>
      <c r="CM2353" s="76"/>
      <c r="CN2353" s="76">
        <f>+CM2353*22000</f>
        <v>0</v>
      </c>
      <c r="CO2353" s="76"/>
      <c r="CP2353" s="76">
        <f>+CO2353*46000</f>
        <v>0</v>
      </c>
      <c r="CQ2353" s="76"/>
      <c r="CR2353" s="76">
        <f>+CQ2353*49000</f>
        <v>0</v>
      </c>
      <c r="CS2353" s="76"/>
      <c r="CT2353" s="76"/>
      <c r="CU2353" s="56">
        <f>AN2353+AP2353+AR2353+AT2353+AV2353+AX2353+AZ2353+BB2353+BD2353+BF2353+BH2353+BJ2353+BL2353+BN2353+BP2353+BR2353+BT2353+BV2353+BX2353+BZ2353+CB2353+CD2353+CF2353+CH2353+CJ2353+CL2353+CN2353+CP2353+CR2353+CT2353</f>
        <v>0</v>
      </c>
      <c r="CV2353" s="76"/>
      <c r="CW2353" s="76">
        <f>+CV2353*1100</f>
        <v>0</v>
      </c>
      <c r="CX2353" s="76"/>
      <c r="CY2353" s="76">
        <f>+CX2353*106250</f>
        <v>0</v>
      </c>
      <c r="CZ2353" s="76"/>
      <c r="DA2353" s="76">
        <f>+CZ2353*34500</f>
        <v>0</v>
      </c>
      <c r="DB2353" s="76"/>
      <c r="DC2353" s="76">
        <f>+DB2353*25000</f>
        <v>0</v>
      </c>
      <c r="DD2353" s="219"/>
      <c r="DE2353" s="219"/>
      <c r="DF2353" s="166"/>
      <c r="DG2353" s="116"/>
      <c r="DH2353" s="117"/>
      <c r="DI2353" s="24"/>
      <c r="DJ2353" s="24"/>
      <c r="DK2353" s="24"/>
      <c r="DL2353" s="24"/>
      <c r="DM2353" s="24"/>
      <c r="DN2353" s="24"/>
      <c r="DO2353" s="24"/>
      <c r="DP2353" s="24"/>
      <c r="DQ2353" s="24"/>
      <c r="DR2353" s="24"/>
      <c r="DS2353" s="24"/>
      <c r="DT2353" s="24"/>
      <c r="DU2353" s="24"/>
    </row>
    <row r="2354" spans="1:125" s="8" customFormat="1" ht="240" x14ac:dyDescent="0.2">
      <c r="A2354" s="77">
        <v>41470</v>
      </c>
      <c r="B2354" s="352" t="s">
        <v>2880</v>
      </c>
      <c r="C2354" s="354" t="s">
        <v>241</v>
      </c>
      <c r="D2354" s="97" t="s">
        <v>3088</v>
      </c>
      <c r="E2354" s="75" t="str">
        <f>VLOOKUP(B2354&amp;C2354,Divipola!$C$2:$F$1138,4,FALSE)</f>
        <v>54313</v>
      </c>
      <c r="F2354" s="87"/>
      <c r="G2354" s="87"/>
      <c r="H2354" s="87"/>
      <c r="I2354" s="87">
        <v>15</v>
      </c>
      <c r="J2354" s="87">
        <v>2</v>
      </c>
      <c r="K2354" s="87"/>
      <c r="L2354" s="87">
        <v>2</v>
      </c>
      <c r="M2354" s="87"/>
      <c r="N2354" s="87"/>
      <c r="O2354" s="87"/>
      <c r="P2354" s="87"/>
      <c r="Q2354" s="87"/>
      <c r="R2354" s="87"/>
      <c r="S2354" s="87"/>
      <c r="T2354" s="87"/>
      <c r="U2354" s="88"/>
      <c r="V2354" s="89"/>
      <c r="W2354" s="96">
        <v>0</v>
      </c>
      <c r="X2354" s="71">
        <f>CU2354</f>
        <v>0</v>
      </c>
      <c r="Y2354" s="71">
        <f>CY2354</f>
        <v>0</v>
      </c>
      <c r="Z2354" s="71">
        <f>DA2354+DC2354+DE2354</f>
        <v>0</v>
      </c>
      <c r="AA2354" s="71">
        <f>CW2354</f>
        <v>0</v>
      </c>
      <c r="AB2354" s="71"/>
      <c r="AC2354" s="71">
        <v>0</v>
      </c>
      <c r="AD2354" s="71">
        <f>W2354+X2354+Y2354+Z2354+AA2354+AB2354+AC2354</f>
        <v>0</v>
      </c>
      <c r="AE2354" s="5"/>
      <c r="AF2354" s="6"/>
      <c r="AG2354" s="27"/>
      <c r="AH2354" s="44"/>
      <c r="AI2354" s="26"/>
      <c r="AJ2354" s="5"/>
      <c r="AK2354" s="9"/>
      <c r="AL2354" s="82" t="s">
        <v>5224</v>
      </c>
      <c r="AM2354" s="76"/>
      <c r="AN2354" s="76"/>
      <c r="AO2354" s="76"/>
      <c r="AP2354" s="76"/>
      <c r="AQ2354" s="76"/>
      <c r="AR2354" s="76"/>
      <c r="AS2354" s="76"/>
      <c r="AT2354" s="76"/>
      <c r="AU2354" s="76"/>
      <c r="AV2354" s="76"/>
      <c r="AW2354" s="76"/>
      <c r="AX2354" s="76">
        <f>+AW2354*600000</f>
        <v>0</v>
      </c>
      <c r="AY2354" s="76"/>
      <c r="AZ2354" s="76">
        <f>+AY2354*70000</f>
        <v>0</v>
      </c>
      <c r="BA2354" s="76"/>
      <c r="BB2354" s="76"/>
      <c r="BC2354" s="76"/>
      <c r="BD2354" s="76">
        <f>+BC2354*30000</f>
        <v>0</v>
      </c>
      <c r="BE2354" s="76"/>
      <c r="BF2354" s="76"/>
      <c r="BG2354" s="76"/>
      <c r="BH2354" s="76"/>
      <c r="BI2354" s="76"/>
      <c r="BJ2354" s="76"/>
      <c r="BK2354" s="76"/>
      <c r="BL2354" s="76">
        <f>+BK2354*31500</f>
        <v>0</v>
      </c>
      <c r="BM2354" s="76"/>
      <c r="BN2354" s="76"/>
      <c r="BO2354" s="76"/>
      <c r="BP2354" s="76"/>
      <c r="BQ2354" s="76"/>
      <c r="BR2354" s="76"/>
      <c r="BS2354" s="76"/>
      <c r="BT2354" s="76"/>
      <c r="BU2354" s="76"/>
      <c r="BV2354" s="76"/>
      <c r="BW2354" s="76"/>
      <c r="BX2354" s="76"/>
      <c r="BY2354" s="76"/>
      <c r="BZ2354" s="76"/>
      <c r="CA2354" s="76"/>
      <c r="CB2354" s="76"/>
      <c r="CC2354" s="76"/>
      <c r="CD2354" s="76"/>
      <c r="CE2354" s="76"/>
      <c r="CF2354" s="76">
        <f>+CE2354*28000</f>
        <v>0</v>
      </c>
      <c r="CG2354" s="76"/>
      <c r="CH2354" s="76">
        <f>+CG2354*22500</f>
        <v>0</v>
      </c>
      <c r="CI2354" s="76"/>
      <c r="CJ2354" s="76">
        <f>+CI2354*26000</f>
        <v>0</v>
      </c>
      <c r="CK2354" s="76"/>
      <c r="CL2354" s="76"/>
      <c r="CM2354" s="76"/>
      <c r="CN2354" s="76">
        <f>+CM2354*22000</f>
        <v>0</v>
      </c>
      <c r="CO2354" s="76"/>
      <c r="CP2354" s="76">
        <f>+CO2354*46000</f>
        <v>0</v>
      </c>
      <c r="CQ2354" s="76"/>
      <c r="CR2354" s="76">
        <f>+CQ2354*49000</f>
        <v>0</v>
      </c>
      <c r="CS2354" s="76"/>
      <c r="CT2354" s="76"/>
      <c r="CU2354" s="56">
        <f>AN2354+AP2354+AR2354+AT2354+AV2354+AX2354+AZ2354+BB2354+BD2354+BF2354+BH2354+BJ2354+BL2354+BN2354+BP2354+BR2354+BT2354+BV2354+BX2354+BZ2354+CB2354+CD2354+CF2354+CH2354+CJ2354+CL2354+CN2354+CP2354+CR2354+CT2354</f>
        <v>0</v>
      </c>
      <c r="CV2354" s="76"/>
      <c r="CW2354" s="76">
        <f>+CV2354*1100</f>
        <v>0</v>
      </c>
      <c r="CX2354" s="76"/>
      <c r="CY2354" s="76">
        <f>+CX2354*106250</f>
        <v>0</v>
      </c>
      <c r="CZ2354" s="76"/>
      <c r="DA2354" s="76">
        <f>+CZ2354*34500</f>
        <v>0</v>
      </c>
      <c r="DB2354" s="76"/>
      <c r="DC2354" s="76">
        <f>+DB2354*25000</f>
        <v>0</v>
      </c>
      <c r="DD2354" s="219"/>
      <c r="DE2354" s="219"/>
      <c r="DF2354" s="166"/>
      <c r="DG2354" s="116"/>
      <c r="DH2354" s="117"/>
      <c r="DI2354" s="24"/>
      <c r="DJ2354" s="24"/>
      <c r="DK2354" s="24"/>
      <c r="DL2354" s="24"/>
      <c r="DM2354" s="24"/>
      <c r="DN2354" s="24"/>
      <c r="DO2354" s="24"/>
      <c r="DP2354" s="24"/>
      <c r="DQ2354" s="24"/>
      <c r="DR2354" s="24"/>
      <c r="DS2354" s="24"/>
      <c r="DT2354" s="24"/>
      <c r="DU2354" s="24"/>
    </row>
    <row r="2355" spans="1:125" s="8" customFormat="1" ht="24" x14ac:dyDescent="0.2">
      <c r="A2355" s="77">
        <v>41470</v>
      </c>
      <c r="B2355" s="78" t="s">
        <v>2880</v>
      </c>
      <c r="C2355" s="75" t="s">
        <v>241</v>
      </c>
      <c r="D2355" s="75" t="s">
        <v>3088</v>
      </c>
      <c r="E2355" s="75" t="str">
        <f>VLOOKUP(B2355&amp;C2355,Divipola!$C$2:$F$1138,4,FALSE)</f>
        <v>54313</v>
      </c>
      <c r="F2355" s="87"/>
      <c r="G2355" s="87"/>
      <c r="H2355" s="87"/>
      <c r="I2355" s="87"/>
      <c r="J2355" s="87"/>
      <c r="K2355" s="87"/>
      <c r="L2355" s="87"/>
      <c r="M2355" s="87"/>
      <c r="N2355" s="87"/>
      <c r="O2355" s="87"/>
      <c r="P2355" s="87"/>
      <c r="Q2355" s="87"/>
      <c r="R2355" s="87"/>
      <c r="S2355" s="87"/>
      <c r="T2355" s="87"/>
      <c r="U2355" s="88"/>
      <c r="V2355" s="89"/>
      <c r="W2355" s="96">
        <v>0</v>
      </c>
      <c r="X2355" s="71">
        <f>CU2355</f>
        <v>0</v>
      </c>
      <c r="Y2355" s="71">
        <f>CY2355</f>
        <v>163485000</v>
      </c>
      <c r="Z2355" s="71">
        <f>DA2355+DC2355+DE2355</f>
        <v>0</v>
      </c>
      <c r="AA2355" s="71">
        <f>CW2355</f>
        <v>0</v>
      </c>
      <c r="AB2355" s="71"/>
      <c r="AC2355" s="71">
        <v>0</v>
      </c>
      <c r="AD2355" s="71">
        <f>W2355+X2355+Y2355+Z2355+AA2355+AB2355+AC2355</f>
        <v>163485000</v>
      </c>
      <c r="AE2355" s="5"/>
      <c r="AF2355" s="6"/>
      <c r="AG2355" s="27"/>
      <c r="AH2355" s="27" t="s">
        <v>3390</v>
      </c>
      <c r="AI2355" s="44" t="s">
        <v>3391</v>
      </c>
      <c r="AJ2355" s="5"/>
      <c r="AK2355" s="9"/>
      <c r="AL2355" s="82" t="s">
        <v>3089</v>
      </c>
      <c r="AM2355" s="76"/>
      <c r="AN2355" s="76"/>
      <c r="AO2355" s="76"/>
      <c r="AP2355" s="76"/>
      <c r="AQ2355" s="76"/>
      <c r="AR2355" s="76"/>
      <c r="AS2355" s="76"/>
      <c r="AT2355" s="76"/>
      <c r="AU2355" s="76"/>
      <c r="AV2355" s="76"/>
      <c r="AW2355" s="76"/>
      <c r="AX2355" s="76">
        <f>+AW2355*600000</f>
        <v>0</v>
      </c>
      <c r="AY2355" s="76"/>
      <c r="AZ2355" s="76">
        <f>+AY2355*70000</f>
        <v>0</v>
      </c>
      <c r="BA2355" s="76"/>
      <c r="BB2355" s="76"/>
      <c r="BC2355" s="76"/>
      <c r="BD2355" s="76">
        <f>+BC2355*30000</f>
        <v>0</v>
      </c>
      <c r="BE2355" s="76"/>
      <c r="BF2355" s="76"/>
      <c r="BG2355" s="76"/>
      <c r="BH2355" s="76"/>
      <c r="BI2355" s="76"/>
      <c r="BJ2355" s="76"/>
      <c r="BK2355" s="76"/>
      <c r="BL2355" s="76">
        <f>+BK2355*31500</f>
        <v>0</v>
      </c>
      <c r="BM2355" s="76"/>
      <c r="BN2355" s="76"/>
      <c r="BO2355" s="76"/>
      <c r="BP2355" s="76"/>
      <c r="BQ2355" s="76"/>
      <c r="BR2355" s="76"/>
      <c r="BS2355" s="76"/>
      <c r="BT2355" s="76"/>
      <c r="BU2355" s="76"/>
      <c r="BV2355" s="76"/>
      <c r="BW2355" s="76"/>
      <c r="BX2355" s="76"/>
      <c r="BY2355" s="76"/>
      <c r="BZ2355" s="76"/>
      <c r="CA2355" s="76"/>
      <c r="CB2355" s="76"/>
      <c r="CC2355" s="76"/>
      <c r="CD2355" s="76"/>
      <c r="CE2355" s="76"/>
      <c r="CF2355" s="76">
        <f>+CE2355*28000</f>
        <v>0</v>
      </c>
      <c r="CG2355" s="76"/>
      <c r="CH2355" s="76">
        <f>+CG2355*22500</f>
        <v>0</v>
      </c>
      <c r="CI2355" s="76"/>
      <c r="CJ2355" s="76">
        <f>+CI2355*26000</f>
        <v>0</v>
      </c>
      <c r="CK2355" s="76"/>
      <c r="CL2355" s="76"/>
      <c r="CM2355" s="76"/>
      <c r="CN2355" s="76">
        <f>+CM2355*22000</f>
        <v>0</v>
      </c>
      <c r="CO2355" s="76"/>
      <c r="CP2355" s="76">
        <f>+CO2355*46000</f>
        <v>0</v>
      </c>
      <c r="CQ2355" s="76"/>
      <c r="CR2355" s="76">
        <f>+CQ2355*49000</f>
        <v>0</v>
      </c>
      <c r="CS2355" s="76"/>
      <c r="CT2355" s="76"/>
      <c r="CU2355" s="56">
        <f>AN2355+AP2355+AR2355+AT2355+AV2355+AX2355+AZ2355+BB2355+BD2355+BF2355+BH2355+BJ2355+BL2355+BN2355+BP2355+BR2355+BT2355+BV2355+BX2355+BZ2355+CB2355+CD2355+CF2355+CH2355+CJ2355+CL2355+CN2355+CP2355+CR2355+CT2355</f>
        <v>0</v>
      </c>
      <c r="CV2355" s="76"/>
      <c r="CW2355" s="76">
        <f>+CV2355*1100</f>
        <v>0</v>
      </c>
      <c r="CX2355" s="86">
        <v>1557</v>
      </c>
      <c r="CY2355" s="86">
        <f>+CX2355*105000</f>
        <v>163485000</v>
      </c>
      <c r="CZ2355" s="76"/>
      <c r="DA2355" s="76">
        <f>+CZ2355*34500</f>
        <v>0</v>
      </c>
      <c r="DB2355" s="76"/>
      <c r="DC2355" s="76">
        <f>+DB2355*25000</f>
        <v>0</v>
      </c>
      <c r="DD2355" s="219"/>
      <c r="DE2355" s="219"/>
      <c r="DF2355" s="166"/>
      <c r="DG2355" s="134" t="s">
        <v>5874</v>
      </c>
      <c r="DH2355" s="117"/>
      <c r="DI2355" s="24"/>
      <c r="DJ2355" s="24"/>
      <c r="DK2355" s="24"/>
      <c r="DL2355" s="24"/>
      <c r="DM2355" s="24"/>
      <c r="DN2355" s="24"/>
      <c r="DO2355" s="24"/>
      <c r="DP2355" s="24"/>
      <c r="DQ2355" s="24"/>
      <c r="DR2355" s="24"/>
      <c r="DS2355" s="24"/>
      <c r="DT2355" s="24"/>
      <c r="DU2355" s="24"/>
    </row>
    <row r="2356" spans="1:125" s="8" customFormat="1" ht="160.5" customHeight="1" x14ac:dyDescent="0.2">
      <c r="A2356" s="77">
        <v>41470</v>
      </c>
      <c r="B2356" s="77" t="s">
        <v>2848</v>
      </c>
      <c r="C2356" s="77" t="s">
        <v>2698</v>
      </c>
      <c r="D2356" s="77" t="s">
        <v>2846</v>
      </c>
      <c r="E2356" s="75" t="str">
        <f>VLOOKUP(B2356&amp;C2356,Divipola!$C$2:$F$1138,4,FALSE)</f>
        <v>73770</v>
      </c>
      <c r="F2356" s="87"/>
      <c r="G2356" s="87"/>
      <c r="H2356" s="87"/>
      <c r="I2356" s="87"/>
      <c r="J2356" s="87"/>
      <c r="K2356" s="87"/>
      <c r="L2356" s="87"/>
      <c r="M2356" s="87"/>
      <c r="N2356" s="87"/>
      <c r="O2356" s="87"/>
      <c r="P2356" s="87"/>
      <c r="Q2356" s="87"/>
      <c r="R2356" s="87"/>
      <c r="S2356" s="87"/>
      <c r="T2356" s="87"/>
      <c r="U2356" s="88"/>
      <c r="V2356" s="89"/>
      <c r="W2356" s="96">
        <v>0</v>
      </c>
      <c r="X2356" s="71">
        <v>0</v>
      </c>
      <c r="Y2356" s="71">
        <v>0</v>
      </c>
      <c r="Z2356" s="71">
        <v>0</v>
      </c>
      <c r="AA2356" s="71">
        <v>0</v>
      </c>
      <c r="AB2356" s="71"/>
      <c r="AC2356" s="71">
        <v>0</v>
      </c>
      <c r="AD2356" s="71">
        <v>0</v>
      </c>
      <c r="AE2356" s="5"/>
      <c r="AF2356" s="6"/>
      <c r="AG2356" s="27"/>
      <c r="AH2356" s="44"/>
      <c r="AI2356" s="26"/>
      <c r="AJ2356" s="5"/>
      <c r="AK2356" s="9"/>
      <c r="AL2356" s="82" t="s">
        <v>5267</v>
      </c>
      <c r="AM2356" s="76"/>
      <c r="AN2356" s="76"/>
      <c r="AO2356" s="76"/>
      <c r="AP2356" s="76"/>
      <c r="AQ2356" s="76"/>
      <c r="AR2356" s="76"/>
      <c r="AS2356" s="76"/>
      <c r="AT2356" s="76"/>
      <c r="AU2356" s="76"/>
      <c r="AV2356" s="76"/>
      <c r="AW2356" s="76"/>
      <c r="AX2356" s="76">
        <f>+AW2356*600000</f>
        <v>0</v>
      </c>
      <c r="AY2356" s="76"/>
      <c r="AZ2356" s="76">
        <f>+AY2356*70000</f>
        <v>0</v>
      </c>
      <c r="BA2356" s="76"/>
      <c r="BB2356" s="76"/>
      <c r="BC2356" s="76"/>
      <c r="BD2356" s="76">
        <f>+BC2356*30000</f>
        <v>0</v>
      </c>
      <c r="BE2356" s="76"/>
      <c r="BF2356" s="76"/>
      <c r="BG2356" s="76"/>
      <c r="BH2356" s="76"/>
      <c r="BI2356" s="76"/>
      <c r="BJ2356" s="76"/>
      <c r="BK2356" s="76"/>
      <c r="BL2356" s="76">
        <f>+BK2356*31500</f>
        <v>0</v>
      </c>
      <c r="BM2356" s="76"/>
      <c r="BN2356" s="76"/>
      <c r="BO2356" s="76"/>
      <c r="BP2356" s="76"/>
      <c r="BQ2356" s="76"/>
      <c r="BR2356" s="76"/>
      <c r="BS2356" s="76"/>
      <c r="BT2356" s="76"/>
      <c r="BU2356" s="76"/>
      <c r="BV2356" s="76"/>
      <c r="BW2356" s="76"/>
      <c r="BX2356" s="76"/>
      <c r="BY2356" s="76"/>
      <c r="BZ2356" s="76"/>
      <c r="CA2356" s="76"/>
      <c r="CB2356" s="76"/>
      <c r="CC2356" s="76"/>
      <c r="CD2356" s="76"/>
      <c r="CE2356" s="76"/>
      <c r="CF2356" s="76">
        <f>+CE2356*28000</f>
        <v>0</v>
      </c>
      <c r="CG2356" s="76"/>
      <c r="CH2356" s="76">
        <f>+CG2356*22500</f>
        <v>0</v>
      </c>
      <c r="CI2356" s="76"/>
      <c r="CJ2356" s="76">
        <f>+CI2356*26000</f>
        <v>0</v>
      </c>
      <c r="CK2356" s="76"/>
      <c r="CL2356" s="76"/>
      <c r="CM2356" s="76"/>
      <c r="CN2356" s="76">
        <f>+CM2356*22000</f>
        <v>0</v>
      </c>
      <c r="CO2356" s="76"/>
      <c r="CP2356" s="76">
        <f>+CO2356*46000</f>
        <v>0</v>
      </c>
      <c r="CQ2356" s="76"/>
      <c r="CR2356" s="76">
        <f>+CQ2356*49000</f>
        <v>0</v>
      </c>
      <c r="CS2356" s="76"/>
      <c r="CT2356" s="76"/>
      <c r="CU2356" s="56">
        <f>AN2356+AP2356+AR2356+AT2356+AV2356+AX2356+AZ2356+BB2356+BD2356+BF2356+BH2356+BJ2356+BL2356+BN2356+BP2356+BR2356+BT2356+BV2356+BX2356+BZ2356+CB2356+CD2356+CF2356+CH2356+CJ2356+CL2356+CN2356+CP2356+CR2356+CT2356</f>
        <v>0</v>
      </c>
      <c r="CV2356" s="76"/>
      <c r="CW2356" s="76">
        <f>+CV2356*1100</f>
        <v>0</v>
      </c>
      <c r="CX2356" s="76"/>
      <c r="CY2356" s="76">
        <f>+CX2356*106250</f>
        <v>0</v>
      </c>
      <c r="CZ2356" s="76"/>
      <c r="DA2356" s="76">
        <f>+CZ2356*34500</f>
        <v>0</v>
      </c>
      <c r="DB2356" s="76"/>
      <c r="DC2356" s="76">
        <f>+DB2356*25000</f>
        <v>0</v>
      </c>
      <c r="DD2356" s="219"/>
      <c r="DE2356" s="219"/>
      <c r="DF2356" s="166"/>
      <c r="DG2356" s="116"/>
      <c r="DH2356" s="117"/>
      <c r="DI2356" s="24"/>
      <c r="DJ2356" s="24"/>
      <c r="DK2356" s="24"/>
      <c r="DL2356" s="24"/>
      <c r="DM2356" s="24"/>
      <c r="DN2356" s="24"/>
      <c r="DO2356" s="24"/>
      <c r="DP2356" s="24"/>
      <c r="DQ2356" s="24"/>
      <c r="DR2356" s="24"/>
      <c r="DS2356" s="24"/>
      <c r="DT2356" s="24"/>
      <c r="DU2356" s="24"/>
    </row>
    <row r="2357" spans="1:125" s="246" customFormat="1" ht="48" x14ac:dyDescent="0.2">
      <c r="A2357" s="77">
        <v>41471</v>
      </c>
      <c r="B2357" s="77" t="s">
        <v>2894</v>
      </c>
      <c r="C2357" s="77" t="s">
        <v>2352</v>
      </c>
      <c r="D2357" s="97" t="s">
        <v>3463</v>
      </c>
      <c r="E2357" s="75" t="str">
        <f>VLOOKUP(B2357&amp;C2357,Divipola!$C$2:$F$1138,4,FALSE)</f>
        <v>05044</v>
      </c>
      <c r="F2357" s="87"/>
      <c r="G2357" s="87"/>
      <c r="H2357" s="87"/>
      <c r="I2357" s="87"/>
      <c r="J2357" s="87"/>
      <c r="K2357" s="87"/>
      <c r="L2357" s="87"/>
      <c r="M2357" s="87"/>
      <c r="N2357" s="87"/>
      <c r="O2357" s="87"/>
      <c r="P2357" s="87"/>
      <c r="Q2357" s="87"/>
      <c r="R2357" s="87"/>
      <c r="S2357" s="87"/>
      <c r="T2357" s="87"/>
      <c r="U2357" s="88">
        <v>2</v>
      </c>
      <c r="V2357" s="89"/>
      <c r="W2357" s="96">
        <v>0</v>
      </c>
      <c r="X2357" s="71">
        <f>CU2357</f>
        <v>0</v>
      </c>
      <c r="Y2357" s="71">
        <f>CY2357</f>
        <v>0</v>
      </c>
      <c r="Z2357" s="71">
        <f>DA2357+DC2357+DE2357</f>
        <v>0</v>
      </c>
      <c r="AA2357" s="71">
        <f>CW2357</f>
        <v>0</v>
      </c>
      <c r="AB2357" s="71"/>
      <c r="AC2357" s="71">
        <v>0</v>
      </c>
      <c r="AD2357" s="71">
        <f>W2357+X2357+Y2357+Z2357+AA2357+AB2357+AC2357</f>
        <v>0</v>
      </c>
      <c r="AE2357" s="5"/>
      <c r="AF2357" s="6"/>
      <c r="AG2357" s="27"/>
      <c r="AH2357" s="44"/>
      <c r="AI2357" s="26"/>
      <c r="AJ2357" s="5"/>
      <c r="AK2357" s="9"/>
      <c r="AL2357" s="82" t="s">
        <v>5233</v>
      </c>
      <c r="AM2357" s="76"/>
      <c r="AN2357" s="76"/>
      <c r="AO2357" s="76"/>
      <c r="AP2357" s="76"/>
      <c r="AQ2357" s="76"/>
      <c r="AR2357" s="76"/>
      <c r="AS2357" s="76"/>
      <c r="AT2357" s="76"/>
      <c r="AU2357" s="76"/>
      <c r="AV2357" s="76"/>
      <c r="AW2357" s="76"/>
      <c r="AX2357" s="76">
        <f>+AW2357*600000</f>
        <v>0</v>
      </c>
      <c r="AY2357" s="76"/>
      <c r="AZ2357" s="76">
        <f>+AY2357*70000</f>
        <v>0</v>
      </c>
      <c r="BA2357" s="76"/>
      <c r="BB2357" s="76"/>
      <c r="BC2357" s="76"/>
      <c r="BD2357" s="76">
        <f>+BC2357*30000</f>
        <v>0</v>
      </c>
      <c r="BE2357" s="76"/>
      <c r="BF2357" s="76"/>
      <c r="BG2357" s="76"/>
      <c r="BH2357" s="76"/>
      <c r="BI2357" s="76"/>
      <c r="BJ2357" s="76"/>
      <c r="BK2357" s="76"/>
      <c r="BL2357" s="76">
        <f>+BK2357*31500</f>
        <v>0</v>
      </c>
      <c r="BM2357" s="76"/>
      <c r="BN2357" s="76"/>
      <c r="BO2357" s="76"/>
      <c r="BP2357" s="76"/>
      <c r="BQ2357" s="76"/>
      <c r="BR2357" s="76"/>
      <c r="BS2357" s="76"/>
      <c r="BT2357" s="76"/>
      <c r="BU2357" s="76"/>
      <c r="BV2357" s="76"/>
      <c r="BW2357" s="76"/>
      <c r="BX2357" s="76"/>
      <c r="BY2357" s="76"/>
      <c r="BZ2357" s="76"/>
      <c r="CA2357" s="76"/>
      <c r="CB2357" s="76"/>
      <c r="CC2357" s="76"/>
      <c r="CD2357" s="76"/>
      <c r="CE2357" s="76"/>
      <c r="CF2357" s="76">
        <f>+CE2357*28000</f>
        <v>0</v>
      </c>
      <c r="CG2357" s="76"/>
      <c r="CH2357" s="76">
        <f>+CG2357*22500</f>
        <v>0</v>
      </c>
      <c r="CI2357" s="76"/>
      <c r="CJ2357" s="76">
        <f>+CI2357*26000</f>
        <v>0</v>
      </c>
      <c r="CK2357" s="76"/>
      <c r="CL2357" s="76"/>
      <c r="CM2357" s="76"/>
      <c r="CN2357" s="76">
        <f>+CM2357*22000</f>
        <v>0</v>
      </c>
      <c r="CO2357" s="76"/>
      <c r="CP2357" s="76">
        <f>+CO2357*46000</f>
        <v>0</v>
      </c>
      <c r="CQ2357" s="76"/>
      <c r="CR2357" s="76">
        <f>+CQ2357*49000</f>
        <v>0</v>
      </c>
      <c r="CS2357" s="76"/>
      <c r="CT2357" s="76"/>
      <c r="CU2357" s="56">
        <f>AN2357+AP2357+AR2357+AT2357+AV2357+AX2357+AZ2357+BB2357+BD2357+BF2357+BH2357+BJ2357+BL2357+BN2357+BP2357+BR2357+BT2357+BV2357+BX2357+BZ2357+CB2357+CD2357+CF2357+CH2357+CJ2357+CL2357+CN2357+CP2357+CR2357+CT2357</f>
        <v>0</v>
      </c>
      <c r="CV2357" s="76"/>
      <c r="CW2357" s="76">
        <f>+CV2357*1100</f>
        <v>0</v>
      </c>
      <c r="CX2357" s="76"/>
      <c r="CY2357" s="76">
        <f>+CX2357*106250</f>
        <v>0</v>
      </c>
      <c r="CZ2357" s="76"/>
      <c r="DA2357" s="76">
        <f>+CZ2357*34500</f>
        <v>0</v>
      </c>
      <c r="DB2357" s="76"/>
      <c r="DC2357" s="76">
        <f>+DB2357*25000</f>
        <v>0</v>
      </c>
      <c r="DD2357" s="219"/>
      <c r="DE2357" s="219"/>
      <c r="DF2357" s="166"/>
      <c r="DG2357" s="116"/>
      <c r="DH2357" s="117"/>
      <c r="DI2357" s="245"/>
      <c r="DJ2357" s="245"/>
      <c r="DK2357" s="245"/>
      <c r="DL2357" s="245"/>
      <c r="DM2357" s="245"/>
      <c r="DN2357" s="245"/>
      <c r="DO2357" s="245"/>
      <c r="DP2357" s="245"/>
      <c r="DQ2357" s="245"/>
      <c r="DR2357" s="245"/>
      <c r="DS2357" s="245"/>
      <c r="DT2357" s="245"/>
      <c r="DU2357" s="245"/>
    </row>
    <row r="2358" spans="1:125" s="8" customFormat="1" ht="72" x14ac:dyDescent="0.2">
      <c r="A2358" s="77">
        <v>41471</v>
      </c>
      <c r="B2358" s="77" t="s">
        <v>2894</v>
      </c>
      <c r="C2358" s="77" t="s">
        <v>2119</v>
      </c>
      <c r="D2358" s="77" t="s">
        <v>2849</v>
      </c>
      <c r="E2358" s="75" t="str">
        <f>VLOOKUP(B2358&amp;C2358,Divipola!$C$2:$F$1138,4,FALSE)</f>
        <v>05380</v>
      </c>
      <c r="F2358" s="87">
        <v>1</v>
      </c>
      <c r="G2358" s="87"/>
      <c r="H2358" s="87">
        <v>1</v>
      </c>
      <c r="I2358" s="87"/>
      <c r="J2358" s="87"/>
      <c r="K2358" s="87"/>
      <c r="L2358" s="87"/>
      <c r="M2358" s="87"/>
      <c r="N2358" s="87"/>
      <c r="O2358" s="87"/>
      <c r="P2358" s="87"/>
      <c r="Q2358" s="87"/>
      <c r="R2358" s="87"/>
      <c r="S2358" s="87"/>
      <c r="T2358" s="87"/>
      <c r="U2358" s="88"/>
      <c r="V2358" s="89"/>
      <c r="W2358" s="96">
        <v>0</v>
      </c>
      <c r="X2358" s="71">
        <f>CU2358</f>
        <v>0</v>
      </c>
      <c r="Y2358" s="71">
        <f>CY2358</f>
        <v>0</v>
      </c>
      <c r="Z2358" s="71">
        <f>DA2358+DC2358+DE2358</f>
        <v>0</v>
      </c>
      <c r="AA2358" s="71">
        <f>CW2358</f>
        <v>0</v>
      </c>
      <c r="AB2358" s="71"/>
      <c r="AC2358" s="71">
        <v>0</v>
      </c>
      <c r="AD2358" s="71">
        <f>W2358+X2358+Y2358+Z2358+AA2358+AB2358+AC2358</f>
        <v>0</v>
      </c>
      <c r="AE2358" s="5"/>
      <c r="AF2358" s="6"/>
      <c r="AG2358" s="27"/>
      <c r="AH2358" s="44"/>
      <c r="AI2358" s="26"/>
      <c r="AJ2358" s="5"/>
      <c r="AK2358" s="9"/>
      <c r="AL2358" s="82" t="s">
        <v>5232</v>
      </c>
      <c r="AM2358" s="76"/>
      <c r="AN2358" s="76"/>
      <c r="AO2358" s="76"/>
      <c r="AP2358" s="76"/>
      <c r="AQ2358" s="76"/>
      <c r="AR2358" s="76"/>
      <c r="AS2358" s="76"/>
      <c r="AT2358" s="76"/>
      <c r="AU2358" s="76"/>
      <c r="AV2358" s="76"/>
      <c r="AW2358" s="76"/>
      <c r="AX2358" s="76">
        <f>+AW2358*600000</f>
        <v>0</v>
      </c>
      <c r="AY2358" s="76"/>
      <c r="AZ2358" s="76">
        <f>+AY2358*70000</f>
        <v>0</v>
      </c>
      <c r="BA2358" s="76"/>
      <c r="BB2358" s="76"/>
      <c r="BC2358" s="76"/>
      <c r="BD2358" s="76">
        <f>+BC2358*30000</f>
        <v>0</v>
      </c>
      <c r="BE2358" s="76"/>
      <c r="BF2358" s="76"/>
      <c r="BG2358" s="76"/>
      <c r="BH2358" s="76"/>
      <c r="BI2358" s="76"/>
      <c r="BJ2358" s="76"/>
      <c r="BK2358" s="76"/>
      <c r="BL2358" s="76">
        <f>+BK2358*31500</f>
        <v>0</v>
      </c>
      <c r="BM2358" s="76"/>
      <c r="BN2358" s="76"/>
      <c r="BO2358" s="76"/>
      <c r="BP2358" s="76"/>
      <c r="BQ2358" s="76"/>
      <c r="BR2358" s="76"/>
      <c r="BS2358" s="76"/>
      <c r="BT2358" s="76"/>
      <c r="BU2358" s="76"/>
      <c r="BV2358" s="76"/>
      <c r="BW2358" s="76"/>
      <c r="BX2358" s="76"/>
      <c r="BY2358" s="76"/>
      <c r="BZ2358" s="76"/>
      <c r="CA2358" s="76"/>
      <c r="CB2358" s="76"/>
      <c r="CC2358" s="76"/>
      <c r="CD2358" s="76"/>
      <c r="CE2358" s="76"/>
      <c r="CF2358" s="76">
        <f>+CE2358*28000</f>
        <v>0</v>
      </c>
      <c r="CG2358" s="76"/>
      <c r="CH2358" s="76">
        <f>+CG2358*22500</f>
        <v>0</v>
      </c>
      <c r="CI2358" s="76"/>
      <c r="CJ2358" s="76">
        <f>+CI2358*26000</f>
        <v>0</v>
      </c>
      <c r="CK2358" s="76"/>
      <c r="CL2358" s="76"/>
      <c r="CM2358" s="76"/>
      <c r="CN2358" s="76">
        <f>+CM2358*22000</f>
        <v>0</v>
      </c>
      <c r="CO2358" s="76"/>
      <c r="CP2358" s="76">
        <f>+CO2358*46000</f>
        <v>0</v>
      </c>
      <c r="CQ2358" s="76"/>
      <c r="CR2358" s="76">
        <f>+CQ2358*49000</f>
        <v>0</v>
      </c>
      <c r="CS2358" s="76"/>
      <c r="CT2358" s="76"/>
      <c r="CU2358" s="56">
        <f>AN2358+AP2358+AR2358+AT2358+AV2358+AX2358+AZ2358+BB2358+BD2358+BF2358+BH2358+BJ2358+BL2358+BN2358+BP2358+BR2358+BT2358+BV2358+BX2358+BZ2358+CB2358+CD2358+CF2358+CH2358+CJ2358+CL2358+CN2358+CP2358+CR2358+CT2358</f>
        <v>0</v>
      </c>
      <c r="CV2358" s="76"/>
      <c r="CW2358" s="76">
        <f>+CV2358*1100</f>
        <v>0</v>
      </c>
      <c r="CX2358" s="76"/>
      <c r="CY2358" s="76">
        <f>+CX2358*106250</f>
        <v>0</v>
      </c>
      <c r="CZ2358" s="76"/>
      <c r="DA2358" s="76">
        <f>+CZ2358*34500</f>
        <v>0</v>
      </c>
      <c r="DB2358" s="76"/>
      <c r="DC2358" s="76">
        <f>+DB2358*25000</f>
        <v>0</v>
      </c>
      <c r="DD2358" s="219"/>
      <c r="DE2358" s="219"/>
      <c r="DF2358" s="166"/>
      <c r="DG2358" s="116"/>
      <c r="DH2358" s="117"/>
      <c r="DI2358" s="24"/>
      <c r="DJ2358" s="24"/>
      <c r="DK2358" s="24"/>
      <c r="DL2358" s="24"/>
      <c r="DM2358" s="24"/>
      <c r="DN2358" s="24"/>
      <c r="DO2358" s="24"/>
      <c r="DP2358" s="24"/>
      <c r="DQ2358" s="24"/>
      <c r="DR2358" s="24"/>
      <c r="DS2358" s="24"/>
      <c r="DT2358" s="24"/>
      <c r="DU2358" s="24"/>
    </row>
    <row r="2359" spans="1:125" s="8" customFormat="1" ht="48" x14ac:dyDescent="0.2">
      <c r="A2359" s="228">
        <v>41471</v>
      </c>
      <c r="B2359" s="229" t="s">
        <v>2881</v>
      </c>
      <c r="C2359" s="230" t="s">
        <v>2756</v>
      </c>
      <c r="D2359" s="230" t="s">
        <v>2882</v>
      </c>
      <c r="E2359" s="228" t="str">
        <f>VLOOKUP(B2359&amp;C2359,Divipola!$C$2:$F$1138,4,FALSE)</f>
        <v>08137</v>
      </c>
      <c r="F2359" s="232"/>
      <c r="G2359" s="232"/>
      <c r="H2359" s="232"/>
      <c r="I2359" s="232">
        <f>80*5</f>
        <v>400</v>
      </c>
      <c r="J2359" s="232">
        <v>80</v>
      </c>
      <c r="K2359" s="232"/>
      <c r="L2359" s="232">
        <v>80</v>
      </c>
      <c r="M2359" s="232"/>
      <c r="N2359" s="232"/>
      <c r="O2359" s="232"/>
      <c r="P2359" s="232"/>
      <c r="Q2359" s="232"/>
      <c r="R2359" s="232"/>
      <c r="S2359" s="232"/>
      <c r="T2359" s="232"/>
      <c r="U2359" s="233"/>
      <c r="V2359" s="234"/>
      <c r="W2359" s="271">
        <v>0</v>
      </c>
      <c r="X2359" s="269">
        <f>CU2359</f>
        <v>0</v>
      </c>
      <c r="Y2359" s="269">
        <f>CY2359</f>
        <v>0</v>
      </c>
      <c r="Z2359" s="269">
        <f>DA2359+DC2359+DE2359</f>
        <v>20255984.960000001</v>
      </c>
      <c r="AA2359" s="269">
        <f>CW2359</f>
        <v>0</v>
      </c>
      <c r="AB2359" s="269"/>
      <c r="AC2359" s="269">
        <v>0</v>
      </c>
      <c r="AD2359" s="269">
        <f>W2359+X2359+Y2359+Z2359+AA2359+AB2359+AC2359</f>
        <v>20255984.960000001</v>
      </c>
      <c r="AE2359" s="270">
        <v>0</v>
      </c>
      <c r="AF2359" s="235"/>
      <c r="AG2359" s="236"/>
      <c r="AH2359" s="237"/>
      <c r="AI2359" s="238"/>
      <c r="AJ2359" s="239"/>
      <c r="AK2359" s="235"/>
      <c r="AL2359" s="82" t="s">
        <v>6488</v>
      </c>
      <c r="AM2359" s="240"/>
      <c r="AN2359" s="240"/>
      <c r="AO2359" s="240"/>
      <c r="AP2359" s="240"/>
      <c r="AQ2359" s="240"/>
      <c r="AR2359" s="240"/>
      <c r="AS2359" s="240"/>
      <c r="AT2359" s="240"/>
      <c r="AU2359" s="240"/>
      <c r="AV2359" s="240"/>
      <c r="AW2359" s="240"/>
      <c r="AX2359" s="240">
        <f>+AW2359*600000</f>
        <v>0</v>
      </c>
      <c r="AY2359" s="240"/>
      <c r="AZ2359" s="240">
        <f>+AY2359*70000</f>
        <v>0</v>
      </c>
      <c r="BA2359" s="240"/>
      <c r="BB2359" s="240"/>
      <c r="BC2359" s="240"/>
      <c r="BD2359" s="240">
        <f>+BC2359*30000</f>
        <v>0</v>
      </c>
      <c r="BE2359" s="240"/>
      <c r="BF2359" s="240"/>
      <c r="BG2359" s="240"/>
      <c r="BH2359" s="240"/>
      <c r="BI2359" s="240"/>
      <c r="BJ2359" s="240"/>
      <c r="BK2359" s="240"/>
      <c r="BL2359" s="240">
        <f>+BK2359*31500</f>
        <v>0</v>
      </c>
      <c r="BM2359" s="240"/>
      <c r="BN2359" s="240"/>
      <c r="BO2359" s="240"/>
      <c r="BP2359" s="240"/>
      <c r="BQ2359" s="240"/>
      <c r="BR2359" s="240"/>
      <c r="BS2359" s="240"/>
      <c r="BT2359" s="240"/>
      <c r="BU2359" s="240"/>
      <c r="BV2359" s="240"/>
      <c r="BW2359" s="240"/>
      <c r="BX2359" s="240"/>
      <c r="BY2359" s="240"/>
      <c r="BZ2359" s="240"/>
      <c r="CA2359" s="240"/>
      <c r="CB2359" s="240"/>
      <c r="CC2359" s="240"/>
      <c r="CD2359" s="240"/>
      <c r="CE2359" s="240"/>
      <c r="CF2359" s="240">
        <f>+CE2359*28000</f>
        <v>0</v>
      </c>
      <c r="CG2359" s="240"/>
      <c r="CH2359" s="240">
        <f>+CG2359*22500</f>
        <v>0</v>
      </c>
      <c r="CI2359" s="240"/>
      <c r="CJ2359" s="240">
        <f>+CI2359*26000</f>
        <v>0</v>
      </c>
      <c r="CK2359" s="240"/>
      <c r="CL2359" s="240"/>
      <c r="CM2359" s="240"/>
      <c r="CN2359" s="240">
        <f>+CM2359*22000</f>
        <v>0</v>
      </c>
      <c r="CO2359" s="240"/>
      <c r="CP2359" s="240">
        <f>+CO2359*46000</f>
        <v>0</v>
      </c>
      <c r="CQ2359" s="240"/>
      <c r="CR2359" s="240">
        <f>+CQ2359*49000</f>
        <v>0</v>
      </c>
      <c r="CS2359" s="240"/>
      <c r="CT2359" s="240"/>
      <c r="CU2359" s="241">
        <f>AN2359+AP2359+AR2359+AT2359+AV2359+AX2359+AZ2359+BB2359+BD2359+BF2359+BH2359+BJ2359+BL2359+BN2359+BP2359+BR2359+BT2359+BV2359+BX2359+BZ2359+CB2359+CD2359+CF2359+CH2359+CJ2359+CL2359+CN2359+CP2359+CR2359+CT2359</f>
        <v>0</v>
      </c>
      <c r="CV2359" s="240"/>
      <c r="CW2359" s="240">
        <f>+CV2359*1100</f>
        <v>0</v>
      </c>
      <c r="CX2359" s="240"/>
      <c r="CY2359" s="240">
        <f>+CX2359*106250</f>
        <v>0</v>
      </c>
      <c r="CZ2359" s="312">
        <v>80</v>
      </c>
      <c r="DA2359" s="312">
        <f>+CZ2359*33640</f>
        <v>2691200</v>
      </c>
      <c r="DB2359" s="312">
        <v>625</v>
      </c>
      <c r="DC2359" s="312">
        <f>82*13862+160*16852.48+147*25282.2+107*33645.8+68*22628.12+61*32248</f>
        <v>14655504.959999999</v>
      </c>
      <c r="DD2359" s="314" t="s">
        <v>6489</v>
      </c>
      <c r="DE2359" s="314">
        <f>1520*1914</f>
        <v>2909280</v>
      </c>
      <c r="DF2359" s="243"/>
      <c r="DG2359" s="253" t="s">
        <v>6490</v>
      </c>
      <c r="DH2359" s="244"/>
      <c r="DI2359" s="24"/>
      <c r="DJ2359" s="24"/>
      <c r="DK2359" s="24"/>
      <c r="DL2359" s="24"/>
      <c r="DM2359" s="24"/>
      <c r="DN2359" s="24"/>
      <c r="DO2359" s="24"/>
      <c r="DP2359" s="24"/>
      <c r="DQ2359" s="24"/>
      <c r="DR2359" s="24"/>
      <c r="DS2359" s="24"/>
      <c r="DT2359" s="24"/>
      <c r="DU2359" s="24"/>
    </row>
    <row r="2360" spans="1:125" s="8" customFormat="1" ht="72" x14ac:dyDescent="0.2">
      <c r="A2360" s="97">
        <v>41471</v>
      </c>
      <c r="B2360" s="97" t="s">
        <v>529</v>
      </c>
      <c r="C2360" s="97" t="s">
        <v>529</v>
      </c>
      <c r="D2360" s="353" t="s">
        <v>2859</v>
      </c>
      <c r="E2360" s="75" t="str">
        <f>VLOOKUP(B2360&amp;C2360,Divipola!$C$2:$F$1138,4,FALSE)</f>
        <v>11001</v>
      </c>
      <c r="F2360" s="87"/>
      <c r="G2360" s="87"/>
      <c r="H2360" s="87"/>
      <c r="I2360" s="87"/>
      <c r="J2360" s="87"/>
      <c r="K2360" s="87"/>
      <c r="L2360" s="87"/>
      <c r="M2360" s="87"/>
      <c r="N2360" s="87"/>
      <c r="O2360" s="87"/>
      <c r="P2360" s="87"/>
      <c r="Q2360" s="87"/>
      <c r="R2360" s="87"/>
      <c r="S2360" s="87"/>
      <c r="T2360" s="87"/>
      <c r="U2360" s="88">
        <v>5</v>
      </c>
      <c r="V2360" s="89"/>
      <c r="W2360" s="96">
        <v>0</v>
      </c>
      <c r="X2360" s="71">
        <f>CU2360</f>
        <v>0</v>
      </c>
      <c r="Y2360" s="71">
        <f>CY2360</f>
        <v>0</v>
      </c>
      <c r="Z2360" s="71">
        <f>DA2360+DC2360+DE2360</f>
        <v>0</v>
      </c>
      <c r="AA2360" s="71">
        <f>CW2360</f>
        <v>0</v>
      </c>
      <c r="AB2360" s="71"/>
      <c r="AC2360" s="71">
        <v>0</v>
      </c>
      <c r="AD2360" s="71">
        <f>W2360+X2360+Y2360+Z2360+AA2360+AB2360+AC2360</f>
        <v>0</v>
      </c>
      <c r="AE2360" s="5"/>
      <c r="AF2360" s="6"/>
      <c r="AG2360" s="27"/>
      <c r="AH2360" s="44"/>
      <c r="AI2360" s="26"/>
      <c r="AJ2360" s="5"/>
      <c r="AK2360" s="9"/>
      <c r="AL2360" s="82" t="s">
        <v>5228</v>
      </c>
      <c r="AM2360" s="76"/>
      <c r="AN2360" s="76"/>
      <c r="AO2360" s="76"/>
      <c r="AP2360" s="76"/>
      <c r="AQ2360" s="76"/>
      <c r="AR2360" s="76"/>
      <c r="AS2360" s="76"/>
      <c r="AT2360" s="76"/>
      <c r="AU2360" s="76"/>
      <c r="AV2360" s="76"/>
      <c r="AW2360" s="76"/>
      <c r="AX2360" s="76">
        <f>+AW2360*600000</f>
        <v>0</v>
      </c>
      <c r="AY2360" s="76"/>
      <c r="AZ2360" s="76">
        <f>+AY2360*70000</f>
        <v>0</v>
      </c>
      <c r="BA2360" s="76"/>
      <c r="BB2360" s="76"/>
      <c r="BC2360" s="76"/>
      <c r="BD2360" s="76">
        <f>+BC2360*30000</f>
        <v>0</v>
      </c>
      <c r="BE2360" s="76"/>
      <c r="BF2360" s="76"/>
      <c r="BG2360" s="76"/>
      <c r="BH2360" s="76"/>
      <c r="BI2360" s="76"/>
      <c r="BJ2360" s="76"/>
      <c r="BK2360" s="76"/>
      <c r="BL2360" s="76">
        <f>+BK2360*31500</f>
        <v>0</v>
      </c>
      <c r="BM2360" s="76"/>
      <c r="BN2360" s="76"/>
      <c r="BO2360" s="76"/>
      <c r="BP2360" s="76"/>
      <c r="BQ2360" s="76"/>
      <c r="BR2360" s="76"/>
      <c r="BS2360" s="76"/>
      <c r="BT2360" s="76"/>
      <c r="BU2360" s="76"/>
      <c r="BV2360" s="76"/>
      <c r="BW2360" s="76"/>
      <c r="BX2360" s="76"/>
      <c r="BY2360" s="76"/>
      <c r="BZ2360" s="76"/>
      <c r="CA2360" s="76"/>
      <c r="CB2360" s="76"/>
      <c r="CC2360" s="76"/>
      <c r="CD2360" s="76"/>
      <c r="CE2360" s="76"/>
      <c r="CF2360" s="76">
        <f>+CE2360*28000</f>
        <v>0</v>
      </c>
      <c r="CG2360" s="76"/>
      <c r="CH2360" s="76">
        <f>+CG2360*22500</f>
        <v>0</v>
      </c>
      <c r="CI2360" s="76"/>
      <c r="CJ2360" s="76">
        <f>+CI2360*26000</f>
        <v>0</v>
      </c>
      <c r="CK2360" s="76"/>
      <c r="CL2360" s="76"/>
      <c r="CM2360" s="76"/>
      <c r="CN2360" s="76">
        <f>+CM2360*22000</f>
        <v>0</v>
      </c>
      <c r="CO2360" s="76"/>
      <c r="CP2360" s="76">
        <f>+CO2360*46000</f>
        <v>0</v>
      </c>
      <c r="CQ2360" s="76"/>
      <c r="CR2360" s="76">
        <f>+CQ2360*49000</f>
        <v>0</v>
      </c>
      <c r="CS2360" s="76"/>
      <c r="CT2360" s="76"/>
      <c r="CU2360" s="56">
        <f>AN2360+AP2360+AR2360+AT2360+AV2360+AX2360+AZ2360+BB2360+BD2360+BF2360+BH2360+BJ2360+BL2360+BN2360+BP2360+BR2360+BT2360+BV2360+BX2360+BZ2360+CB2360+CD2360+CF2360+CH2360+CJ2360+CL2360+CN2360+CP2360+CR2360+CT2360</f>
        <v>0</v>
      </c>
      <c r="CV2360" s="76"/>
      <c r="CW2360" s="76">
        <f>+CV2360*1100</f>
        <v>0</v>
      </c>
      <c r="CX2360" s="76"/>
      <c r="CY2360" s="76">
        <f>+CX2360*106250</f>
        <v>0</v>
      </c>
      <c r="CZ2360" s="76"/>
      <c r="DA2360" s="76">
        <f>+CZ2360*34500</f>
        <v>0</v>
      </c>
      <c r="DB2360" s="76"/>
      <c r="DC2360" s="76">
        <f>+DB2360*25000</f>
        <v>0</v>
      </c>
      <c r="DD2360" s="219"/>
      <c r="DE2360" s="219"/>
      <c r="DF2360" s="166"/>
      <c r="DG2360" s="116"/>
      <c r="DH2360" s="117"/>
      <c r="DI2360" s="24"/>
      <c r="DJ2360" s="24"/>
      <c r="DK2360" s="24"/>
      <c r="DL2360" s="24"/>
      <c r="DM2360" s="24"/>
      <c r="DN2360" s="24"/>
      <c r="DO2360" s="24"/>
      <c r="DP2360" s="24"/>
      <c r="DQ2360" s="24"/>
      <c r="DR2360" s="24"/>
      <c r="DS2360" s="24"/>
      <c r="DT2360" s="24"/>
      <c r="DU2360" s="24"/>
    </row>
    <row r="2361" spans="1:125" s="8" customFormat="1" ht="168" x14ac:dyDescent="0.2">
      <c r="A2361" s="228">
        <v>41471</v>
      </c>
      <c r="B2361" s="229" t="s">
        <v>2778</v>
      </c>
      <c r="C2361" s="230" t="s">
        <v>1343</v>
      </c>
      <c r="D2361" s="230" t="s">
        <v>3051</v>
      </c>
      <c r="E2361" s="353" t="str">
        <f>VLOOKUP(B2361&amp;C2361,Divipola!$C$2:$F$1138,4,FALSE)</f>
        <v>85139</v>
      </c>
      <c r="F2361" s="87"/>
      <c r="G2361" s="87"/>
      <c r="H2361" s="87"/>
      <c r="I2361" s="87">
        <v>2150</v>
      </c>
      <c r="J2361" s="87">
        <v>430</v>
      </c>
      <c r="K2361" s="87"/>
      <c r="L2361" s="87">
        <v>430</v>
      </c>
      <c r="M2361" s="87"/>
      <c r="N2361" s="87"/>
      <c r="O2361" s="87"/>
      <c r="P2361" s="87"/>
      <c r="Q2361" s="87"/>
      <c r="R2361" s="87"/>
      <c r="S2361" s="87"/>
      <c r="T2361" s="87"/>
      <c r="U2361" s="88"/>
      <c r="V2361" s="89"/>
      <c r="W2361" s="96">
        <v>0</v>
      </c>
      <c r="X2361" s="71">
        <f>CU2361</f>
        <v>73099140</v>
      </c>
      <c r="Y2361" s="71">
        <f>CY2361</f>
        <v>45435210.399999999</v>
      </c>
      <c r="Z2361" s="71">
        <f>DA2361+DC2361+DE2361</f>
        <v>0</v>
      </c>
      <c r="AA2361" s="71">
        <f>CW2361</f>
        <v>0</v>
      </c>
      <c r="AB2361" s="71"/>
      <c r="AC2361" s="71">
        <v>0</v>
      </c>
      <c r="AD2361" s="71">
        <f>W2361+X2361+Y2361+Z2361+AA2361+AB2361+AC2361</f>
        <v>118534350.40000001</v>
      </c>
      <c r="AE2361" s="72">
        <v>0</v>
      </c>
      <c r="AF2361" s="5"/>
      <c r="AG2361" s="6"/>
      <c r="AH2361" s="27"/>
      <c r="AI2361" s="44"/>
      <c r="AJ2361" s="26"/>
      <c r="AK2361" s="5"/>
      <c r="AL2361" s="82" t="s">
        <v>5437</v>
      </c>
      <c r="AM2361" s="76"/>
      <c r="AN2361" s="76"/>
      <c r="AO2361" s="76"/>
      <c r="AP2361" s="76"/>
      <c r="AQ2361" s="76"/>
      <c r="AR2361" s="76"/>
      <c r="AS2361" s="76"/>
      <c r="AT2361" s="76"/>
      <c r="AU2361" s="76"/>
      <c r="AV2361" s="76"/>
      <c r="AW2361" s="76"/>
      <c r="AX2361" s="76">
        <f>+AW2361*600000</f>
        <v>0</v>
      </c>
      <c r="AY2361" s="86">
        <v>430</v>
      </c>
      <c r="AZ2361" s="86">
        <f>+AY2361*70000.2</f>
        <v>30100086</v>
      </c>
      <c r="BA2361" s="76"/>
      <c r="BB2361" s="76"/>
      <c r="BC2361" s="76"/>
      <c r="BD2361" s="76">
        <f>+BC2361*30000</f>
        <v>0</v>
      </c>
      <c r="BE2361" s="76"/>
      <c r="BF2361" s="76"/>
      <c r="BG2361" s="76"/>
      <c r="BH2361" s="76"/>
      <c r="BI2361" s="76"/>
      <c r="BJ2361" s="76"/>
      <c r="BK2361" s="76"/>
      <c r="BL2361" s="76">
        <f>+BK2361*31500</f>
        <v>0</v>
      </c>
      <c r="BM2361" s="76"/>
      <c r="BN2361" s="76"/>
      <c r="BO2361" s="76"/>
      <c r="BP2361" s="76"/>
      <c r="BQ2361" s="76"/>
      <c r="BR2361" s="76"/>
      <c r="BS2361" s="76"/>
      <c r="BT2361" s="76"/>
      <c r="BU2361" s="76"/>
      <c r="BV2361" s="76"/>
      <c r="BW2361" s="76"/>
      <c r="BX2361" s="76"/>
      <c r="BY2361" s="76"/>
      <c r="BZ2361" s="76"/>
      <c r="CA2361" s="76"/>
      <c r="CB2361" s="76"/>
      <c r="CC2361" s="76"/>
      <c r="CD2361" s="76"/>
      <c r="CE2361" s="76"/>
      <c r="CF2361" s="76">
        <f>+CE2361*28000</f>
        <v>0</v>
      </c>
      <c r="CG2361" s="76"/>
      <c r="CH2361" s="76">
        <f>+CG2361*22500</f>
        <v>0</v>
      </c>
      <c r="CI2361" s="76"/>
      <c r="CJ2361" s="76">
        <f>+CI2361*26000</f>
        <v>0</v>
      </c>
      <c r="CK2361" s="76"/>
      <c r="CL2361" s="76"/>
      <c r="CM2361" s="76"/>
      <c r="CN2361" s="76">
        <f>+CM2361*22000</f>
        <v>0</v>
      </c>
      <c r="CO2361" s="86">
        <v>430</v>
      </c>
      <c r="CP2361" s="86">
        <f>+CO2361*45999.8</f>
        <v>19779914</v>
      </c>
      <c r="CQ2361" s="86">
        <v>430</v>
      </c>
      <c r="CR2361" s="86">
        <f>+CQ2361*53998</f>
        <v>23219140</v>
      </c>
      <c r="CS2361" s="76"/>
      <c r="CT2361" s="76"/>
      <c r="CU2361" s="56">
        <f>AN2361+AP2361+AR2361+AT2361+AV2361+AX2361+AZ2361+BB2361+BD2361+BF2361+BH2361+BJ2361+BL2361+BN2361+BP2361+BR2361+BT2361+BV2361+BX2361+BZ2361+CB2361+CD2361+CF2361+CH2361+CJ2361+CL2361+CN2361+CP2361+CR2361+CT2361</f>
        <v>73099140</v>
      </c>
      <c r="CV2361" s="76"/>
      <c r="CW2361" s="76">
        <f>+CV2361*1100</f>
        <v>0</v>
      </c>
      <c r="CX2361" s="86">
        <v>430</v>
      </c>
      <c r="CY2361" s="86">
        <f>+CX2361*105663.28</f>
        <v>45435210.399999999</v>
      </c>
      <c r="CZ2361" s="76"/>
      <c r="DA2361" s="76">
        <f>+CZ2361*34500</f>
        <v>0</v>
      </c>
      <c r="DB2361" s="76"/>
      <c r="DC2361" s="76">
        <f>+DB2361*25000</f>
        <v>0</v>
      </c>
      <c r="DD2361" s="219"/>
      <c r="DE2361" s="219"/>
      <c r="DF2361" s="166"/>
      <c r="DG2361" s="134" t="s">
        <v>5983</v>
      </c>
      <c r="DH2361" s="117"/>
      <c r="DI2361" s="24"/>
      <c r="DJ2361" s="24"/>
      <c r="DK2361" s="24"/>
      <c r="DL2361" s="24"/>
      <c r="DM2361" s="24"/>
      <c r="DN2361" s="24"/>
      <c r="DO2361" s="24"/>
      <c r="DP2361" s="24"/>
      <c r="DQ2361" s="24"/>
      <c r="DR2361" s="24"/>
      <c r="DS2361" s="24"/>
      <c r="DT2361" s="24"/>
      <c r="DU2361" s="24"/>
    </row>
    <row r="2362" spans="1:125" s="8" customFormat="1" ht="48" x14ac:dyDescent="0.2">
      <c r="A2362" s="77">
        <v>41471</v>
      </c>
      <c r="B2362" s="78" t="s">
        <v>2778</v>
      </c>
      <c r="C2362" s="78" t="s">
        <v>2195</v>
      </c>
      <c r="D2362" s="77" t="s">
        <v>2846</v>
      </c>
      <c r="E2362" s="75" t="str">
        <f>VLOOKUP(B2362&amp;C2362,Divipola!$C$2:$F$1138,4,FALSE)</f>
        <v>85430</v>
      </c>
      <c r="F2362" s="87"/>
      <c r="G2362" s="87"/>
      <c r="H2362" s="87">
        <v>1</v>
      </c>
      <c r="I2362" s="87"/>
      <c r="J2362" s="87"/>
      <c r="K2362" s="87"/>
      <c r="L2362" s="87"/>
      <c r="M2362" s="87"/>
      <c r="N2362" s="87"/>
      <c r="O2362" s="87"/>
      <c r="P2362" s="87"/>
      <c r="Q2362" s="87"/>
      <c r="R2362" s="87"/>
      <c r="S2362" s="87"/>
      <c r="T2362" s="87"/>
      <c r="U2362" s="88"/>
      <c r="V2362" s="89"/>
      <c r="W2362" s="96">
        <v>0</v>
      </c>
      <c r="X2362" s="71">
        <f>CU2362</f>
        <v>0</v>
      </c>
      <c r="Y2362" s="71">
        <f>CY2362</f>
        <v>0</v>
      </c>
      <c r="Z2362" s="71">
        <f>DA2362+DC2362+DE2362</f>
        <v>0</v>
      </c>
      <c r="AA2362" s="71">
        <f>CW2362</f>
        <v>0</v>
      </c>
      <c r="AB2362" s="71"/>
      <c r="AC2362" s="71">
        <v>0</v>
      </c>
      <c r="AD2362" s="71">
        <f>W2362+X2362+Y2362+Z2362+AA2362+AB2362+AC2362</f>
        <v>0</v>
      </c>
      <c r="AE2362" s="5"/>
      <c r="AF2362" s="6"/>
      <c r="AG2362" s="27"/>
      <c r="AH2362" s="44"/>
      <c r="AI2362" s="26"/>
      <c r="AJ2362" s="5"/>
      <c r="AK2362" s="9"/>
      <c r="AL2362" s="82" t="s">
        <v>5230</v>
      </c>
      <c r="AM2362" s="76"/>
      <c r="AN2362" s="76"/>
      <c r="AO2362" s="76"/>
      <c r="AP2362" s="76"/>
      <c r="AQ2362" s="76"/>
      <c r="AR2362" s="76"/>
      <c r="AS2362" s="76"/>
      <c r="AT2362" s="76"/>
      <c r="AU2362" s="76"/>
      <c r="AV2362" s="76"/>
      <c r="AW2362" s="76"/>
      <c r="AX2362" s="76">
        <f>+AW2362*600000</f>
        <v>0</v>
      </c>
      <c r="AY2362" s="76"/>
      <c r="AZ2362" s="76">
        <f>+AY2362*70000</f>
        <v>0</v>
      </c>
      <c r="BA2362" s="76"/>
      <c r="BB2362" s="76"/>
      <c r="BC2362" s="76"/>
      <c r="BD2362" s="76">
        <f>+BC2362*30000</f>
        <v>0</v>
      </c>
      <c r="BE2362" s="76"/>
      <c r="BF2362" s="76"/>
      <c r="BG2362" s="76"/>
      <c r="BH2362" s="76"/>
      <c r="BI2362" s="76"/>
      <c r="BJ2362" s="76"/>
      <c r="BK2362" s="76"/>
      <c r="BL2362" s="76">
        <f>+BK2362*31500</f>
        <v>0</v>
      </c>
      <c r="BM2362" s="76"/>
      <c r="BN2362" s="76"/>
      <c r="BO2362" s="76"/>
      <c r="BP2362" s="76"/>
      <c r="BQ2362" s="76"/>
      <c r="BR2362" s="76"/>
      <c r="BS2362" s="76"/>
      <c r="BT2362" s="76"/>
      <c r="BU2362" s="76"/>
      <c r="BV2362" s="76"/>
      <c r="BW2362" s="76"/>
      <c r="BX2362" s="76"/>
      <c r="BY2362" s="76"/>
      <c r="BZ2362" s="76"/>
      <c r="CA2362" s="76"/>
      <c r="CB2362" s="76"/>
      <c r="CC2362" s="76"/>
      <c r="CD2362" s="76"/>
      <c r="CE2362" s="76"/>
      <c r="CF2362" s="76">
        <f>+CE2362*28000</f>
        <v>0</v>
      </c>
      <c r="CG2362" s="76"/>
      <c r="CH2362" s="76">
        <f>+CG2362*22500</f>
        <v>0</v>
      </c>
      <c r="CI2362" s="76"/>
      <c r="CJ2362" s="76">
        <f>+CI2362*26000</f>
        <v>0</v>
      </c>
      <c r="CK2362" s="76"/>
      <c r="CL2362" s="76"/>
      <c r="CM2362" s="76"/>
      <c r="CN2362" s="76">
        <f>+CM2362*22000</f>
        <v>0</v>
      </c>
      <c r="CO2362" s="76"/>
      <c r="CP2362" s="76">
        <f>+CO2362*46000</f>
        <v>0</v>
      </c>
      <c r="CQ2362" s="76"/>
      <c r="CR2362" s="76">
        <f>+CQ2362*49000</f>
        <v>0</v>
      </c>
      <c r="CS2362" s="76"/>
      <c r="CT2362" s="76"/>
      <c r="CU2362" s="56">
        <f>AN2362+AP2362+AR2362+AT2362+AV2362+AX2362+AZ2362+BB2362+BD2362+BF2362+BH2362+BJ2362+BL2362+BN2362+BP2362+BR2362+BT2362+BV2362+BX2362+BZ2362+CB2362+CD2362+CF2362+CH2362+CJ2362+CL2362+CN2362+CP2362+CR2362+CT2362</f>
        <v>0</v>
      </c>
      <c r="CV2362" s="76"/>
      <c r="CW2362" s="76">
        <f>+CV2362*1100</f>
        <v>0</v>
      </c>
      <c r="CX2362" s="76"/>
      <c r="CY2362" s="76">
        <f>+CX2362*106250</f>
        <v>0</v>
      </c>
      <c r="CZ2362" s="76"/>
      <c r="DA2362" s="76">
        <f>+CZ2362*34500</f>
        <v>0</v>
      </c>
      <c r="DB2362" s="76"/>
      <c r="DC2362" s="76">
        <f>+DB2362*25000</f>
        <v>0</v>
      </c>
      <c r="DD2362" s="219"/>
      <c r="DE2362" s="219"/>
      <c r="DF2362" s="166"/>
      <c r="DG2362" s="116"/>
      <c r="DH2362" s="117"/>
      <c r="DI2362" s="24"/>
      <c r="DJ2362" s="24"/>
      <c r="DK2362" s="24"/>
      <c r="DL2362" s="24"/>
      <c r="DM2362" s="24"/>
      <c r="DN2362" s="24"/>
      <c r="DO2362" s="24"/>
      <c r="DP2362" s="24"/>
      <c r="DQ2362" s="24"/>
      <c r="DR2362" s="24"/>
      <c r="DS2362" s="24"/>
      <c r="DT2362" s="24"/>
      <c r="DU2362" s="24"/>
    </row>
    <row r="2363" spans="1:125" s="8" customFormat="1" ht="60" x14ac:dyDescent="0.2">
      <c r="A2363" s="353">
        <v>41471</v>
      </c>
      <c r="B2363" s="352" t="s">
        <v>2854</v>
      </c>
      <c r="C2363" s="354" t="s">
        <v>2803</v>
      </c>
      <c r="D2363" s="354" t="s">
        <v>2882</v>
      </c>
      <c r="E2363" s="75" t="str">
        <f>VLOOKUP(B2363&amp;C2363,Divipola!$C$2:$F$1138,4,FALSE)</f>
        <v>19533</v>
      </c>
      <c r="F2363" s="87"/>
      <c r="G2363" s="87"/>
      <c r="H2363" s="87"/>
      <c r="I2363" s="87">
        <v>9</v>
      </c>
      <c r="J2363" s="87">
        <v>1</v>
      </c>
      <c r="K2363" s="87">
        <v>1</v>
      </c>
      <c r="L2363" s="87"/>
      <c r="M2363" s="87"/>
      <c r="N2363" s="87"/>
      <c r="O2363" s="87"/>
      <c r="P2363" s="87"/>
      <c r="Q2363" s="87"/>
      <c r="R2363" s="87"/>
      <c r="S2363" s="87"/>
      <c r="T2363" s="87"/>
      <c r="U2363" s="88"/>
      <c r="V2363" s="89"/>
      <c r="W2363" s="96">
        <v>0</v>
      </c>
      <c r="X2363" s="71">
        <f>CU2363</f>
        <v>0</v>
      </c>
      <c r="Y2363" s="71">
        <f>CY2363</f>
        <v>0</v>
      </c>
      <c r="Z2363" s="71">
        <f>DA2363+DC2363+DE2363</f>
        <v>0</v>
      </c>
      <c r="AA2363" s="71">
        <f>CW2363</f>
        <v>0</v>
      </c>
      <c r="AB2363" s="71"/>
      <c r="AC2363" s="71">
        <v>0</v>
      </c>
      <c r="AD2363" s="71">
        <f>W2363+X2363+Y2363+Z2363+AA2363+AB2363+AC2363</f>
        <v>0</v>
      </c>
      <c r="AE2363" s="72">
        <v>0</v>
      </c>
      <c r="AF2363" s="5"/>
      <c r="AG2363" s="6"/>
      <c r="AH2363" s="27"/>
      <c r="AI2363" s="44"/>
      <c r="AJ2363" s="26"/>
      <c r="AK2363" s="5"/>
      <c r="AL2363" s="82" t="s">
        <v>5239</v>
      </c>
      <c r="AM2363" s="76"/>
      <c r="AN2363" s="76"/>
      <c r="AO2363" s="76"/>
      <c r="AP2363" s="76"/>
      <c r="AQ2363" s="76"/>
      <c r="AR2363" s="76"/>
      <c r="AS2363" s="76"/>
      <c r="AT2363" s="76"/>
      <c r="AU2363" s="76"/>
      <c r="AV2363" s="76"/>
      <c r="AW2363" s="76"/>
      <c r="AX2363" s="76">
        <f>+AW2363*600000</f>
        <v>0</v>
      </c>
      <c r="AY2363" s="76"/>
      <c r="AZ2363" s="76">
        <f>+AY2363*70000</f>
        <v>0</v>
      </c>
      <c r="BA2363" s="76"/>
      <c r="BB2363" s="76"/>
      <c r="BC2363" s="76"/>
      <c r="BD2363" s="76">
        <f>+BC2363*30000</f>
        <v>0</v>
      </c>
      <c r="BE2363" s="76"/>
      <c r="BF2363" s="76"/>
      <c r="BG2363" s="76"/>
      <c r="BH2363" s="76"/>
      <c r="BI2363" s="76"/>
      <c r="BJ2363" s="76"/>
      <c r="BK2363" s="76"/>
      <c r="BL2363" s="76">
        <f>+BK2363*31500</f>
        <v>0</v>
      </c>
      <c r="BM2363" s="76"/>
      <c r="BN2363" s="76"/>
      <c r="BO2363" s="76"/>
      <c r="BP2363" s="76"/>
      <c r="BQ2363" s="76"/>
      <c r="BR2363" s="76"/>
      <c r="BS2363" s="76"/>
      <c r="BT2363" s="76"/>
      <c r="BU2363" s="76"/>
      <c r="BV2363" s="76"/>
      <c r="BW2363" s="76"/>
      <c r="BX2363" s="76"/>
      <c r="BY2363" s="76"/>
      <c r="BZ2363" s="76"/>
      <c r="CA2363" s="76"/>
      <c r="CB2363" s="76"/>
      <c r="CC2363" s="76"/>
      <c r="CD2363" s="76"/>
      <c r="CE2363" s="76"/>
      <c r="CF2363" s="76">
        <f>+CE2363*28000</f>
        <v>0</v>
      </c>
      <c r="CG2363" s="76"/>
      <c r="CH2363" s="76">
        <f>+CG2363*22500</f>
        <v>0</v>
      </c>
      <c r="CI2363" s="76"/>
      <c r="CJ2363" s="76">
        <f>+CI2363*26000</f>
        <v>0</v>
      </c>
      <c r="CK2363" s="76"/>
      <c r="CL2363" s="76"/>
      <c r="CM2363" s="76"/>
      <c r="CN2363" s="76">
        <f>+CM2363*22000</f>
        <v>0</v>
      </c>
      <c r="CO2363" s="76"/>
      <c r="CP2363" s="76">
        <f>+CO2363*46000</f>
        <v>0</v>
      </c>
      <c r="CQ2363" s="76"/>
      <c r="CR2363" s="76">
        <f>+CQ2363*49000</f>
        <v>0</v>
      </c>
      <c r="CS2363" s="76"/>
      <c r="CT2363" s="76"/>
      <c r="CU2363" s="56">
        <f>AN2363+AP2363+AR2363+AT2363+AV2363+AX2363+AZ2363+BB2363+BD2363+BF2363+BH2363+BJ2363+BL2363+BN2363+BP2363+BR2363+BT2363+BV2363+BX2363+BZ2363+CB2363+CD2363+CF2363+CH2363+CJ2363+CL2363+CN2363+CP2363+CR2363+CT2363</f>
        <v>0</v>
      </c>
      <c r="CV2363" s="76"/>
      <c r="CW2363" s="76">
        <f>+CV2363*1100</f>
        <v>0</v>
      </c>
      <c r="CX2363" s="76"/>
      <c r="CY2363" s="76">
        <f>+CX2363*106250</f>
        <v>0</v>
      </c>
      <c r="CZ2363" s="76"/>
      <c r="DA2363" s="76">
        <f>+CZ2363*34500</f>
        <v>0</v>
      </c>
      <c r="DB2363" s="76"/>
      <c r="DC2363" s="76">
        <f>+DB2363*25000</f>
        <v>0</v>
      </c>
      <c r="DD2363" s="219"/>
      <c r="DE2363" s="219"/>
      <c r="DF2363" s="166"/>
      <c r="DG2363" s="116"/>
      <c r="DH2363" s="117"/>
      <c r="DI2363" s="24"/>
      <c r="DJ2363" s="24"/>
      <c r="DK2363" s="24"/>
      <c r="DL2363" s="24"/>
      <c r="DM2363" s="24"/>
      <c r="DN2363" s="24"/>
      <c r="DO2363" s="24"/>
      <c r="DP2363" s="24"/>
      <c r="DQ2363" s="24"/>
      <c r="DR2363" s="24"/>
      <c r="DS2363" s="24"/>
      <c r="DT2363" s="24"/>
      <c r="DU2363" s="24"/>
    </row>
    <row r="2364" spans="1:125" s="8" customFormat="1" ht="60" x14ac:dyDescent="0.2">
      <c r="A2364" s="226">
        <v>41471</v>
      </c>
      <c r="B2364" s="353" t="s">
        <v>2661</v>
      </c>
      <c r="C2364" s="353" t="s">
        <v>2169</v>
      </c>
      <c r="D2364" s="77" t="s">
        <v>2846</v>
      </c>
      <c r="E2364" s="75" t="str">
        <f>VLOOKUP(B2364&amp;C2364,Divipola!$C$2:$F$1138,4,FALSE)</f>
        <v>41001</v>
      </c>
      <c r="F2364" s="87"/>
      <c r="G2364" s="87"/>
      <c r="H2364" s="87"/>
      <c r="I2364" s="87">
        <v>4000</v>
      </c>
      <c r="J2364" s="87">
        <v>800</v>
      </c>
      <c r="K2364" s="87"/>
      <c r="L2364" s="87">
        <v>800</v>
      </c>
      <c r="M2364" s="87"/>
      <c r="N2364" s="87"/>
      <c r="O2364" s="87"/>
      <c r="P2364" s="87"/>
      <c r="Q2364" s="87"/>
      <c r="R2364" s="87"/>
      <c r="S2364" s="87"/>
      <c r="T2364" s="87"/>
      <c r="U2364" s="88"/>
      <c r="V2364" s="89"/>
      <c r="W2364" s="96">
        <v>0</v>
      </c>
      <c r="X2364" s="71">
        <f>CU2364</f>
        <v>0</v>
      </c>
      <c r="Y2364" s="71">
        <f>CY2364</f>
        <v>0</v>
      </c>
      <c r="Z2364" s="71">
        <f>DA2364+DC2364+DE2364</f>
        <v>0</v>
      </c>
      <c r="AA2364" s="71">
        <f>CW2364</f>
        <v>0</v>
      </c>
      <c r="AB2364" s="71"/>
      <c r="AC2364" s="71">
        <v>0</v>
      </c>
      <c r="AD2364" s="71">
        <f>W2364+X2364+Y2364+Z2364+AA2364+AB2364+AC2364</f>
        <v>0</v>
      </c>
      <c r="AE2364" s="5"/>
      <c r="AF2364" s="6"/>
      <c r="AG2364" s="27"/>
      <c r="AH2364" s="44"/>
      <c r="AI2364" s="26"/>
      <c r="AJ2364" s="5"/>
      <c r="AK2364" s="9"/>
      <c r="AL2364" s="82" t="s">
        <v>5229</v>
      </c>
      <c r="AM2364" s="76"/>
      <c r="AN2364" s="76"/>
      <c r="AO2364" s="76"/>
      <c r="AP2364" s="76"/>
      <c r="AQ2364" s="76"/>
      <c r="AR2364" s="76"/>
      <c r="AS2364" s="76"/>
      <c r="AT2364" s="76"/>
      <c r="AU2364" s="76"/>
      <c r="AV2364" s="76"/>
      <c r="AW2364" s="76"/>
      <c r="AX2364" s="76">
        <f>+AW2364*600000</f>
        <v>0</v>
      </c>
      <c r="AY2364" s="76"/>
      <c r="AZ2364" s="76">
        <f>+AY2364*70000</f>
        <v>0</v>
      </c>
      <c r="BA2364" s="76"/>
      <c r="BB2364" s="76"/>
      <c r="BC2364" s="76"/>
      <c r="BD2364" s="76">
        <f>+BC2364*30000</f>
        <v>0</v>
      </c>
      <c r="BE2364" s="76"/>
      <c r="BF2364" s="76"/>
      <c r="BG2364" s="76"/>
      <c r="BH2364" s="76"/>
      <c r="BI2364" s="76"/>
      <c r="BJ2364" s="76"/>
      <c r="BK2364" s="76"/>
      <c r="BL2364" s="76">
        <f>+BK2364*31500</f>
        <v>0</v>
      </c>
      <c r="BM2364" s="76"/>
      <c r="BN2364" s="76"/>
      <c r="BO2364" s="76"/>
      <c r="BP2364" s="76"/>
      <c r="BQ2364" s="76"/>
      <c r="BR2364" s="76"/>
      <c r="BS2364" s="76"/>
      <c r="BT2364" s="76"/>
      <c r="BU2364" s="76"/>
      <c r="BV2364" s="76"/>
      <c r="BW2364" s="76"/>
      <c r="BX2364" s="76"/>
      <c r="BY2364" s="76"/>
      <c r="BZ2364" s="76"/>
      <c r="CA2364" s="76"/>
      <c r="CB2364" s="76"/>
      <c r="CC2364" s="76"/>
      <c r="CD2364" s="76"/>
      <c r="CE2364" s="76"/>
      <c r="CF2364" s="76">
        <f>+CE2364*28000</f>
        <v>0</v>
      </c>
      <c r="CG2364" s="76"/>
      <c r="CH2364" s="76">
        <f>+CG2364*22500</f>
        <v>0</v>
      </c>
      <c r="CI2364" s="76"/>
      <c r="CJ2364" s="76">
        <f>+CI2364*26000</f>
        <v>0</v>
      </c>
      <c r="CK2364" s="76"/>
      <c r="CL2364" s="76"/>
      <c r="CM2364" s="76"/>
      <c r="CN2364" s="76">
        <f>+CM2364*22000</f>
        <v>0</v>
      </c>
      <c r="CO2364" s="76"/>
      <c r="CP2364" s="76">
        <f>+CO2364*46000</f>
        <v>0</v>
      </c>
      <c r="CQ2364" s="76"/>
      <c r="CR2364" s="76">
        <f>+CQ2364*49000</f>
        <v>0</v>
      </c>
      <c r="CS2364" s="76"/>
      <c r="CT2364" s="76"/>
      <c r="CU2364" s="56">
        <f>AN2364+AP2364+AR2364+AT2364+AV2364+AX2364+AZ2364+BB2364+BD2364+BF2364+BH2364+BJ2364+BL2364+BN2364+BP2364+BR2364+BT2364+BV2364+BX2364+BZ2364+CB2364+CD2364+CF2364+CH2364+CJ2364+CL2364+CN2364+CP2364+CR2364+CT2364</f>
        <v>0</v>
      </c>
      <c r="CV2364" s="76"/>
      <c r="CW2364" s="76">
        <f>+CV2364*1100</f>
        <v>0</v>
      </c>
      <c r="CX2364" s="76"/>
      <c r="CY2364" s="76">
        <f>+CX2364*106250</f>
        <v>0</v>
      </c>
      <c r="CZ2364" s="76"/>
      <c r="DA2364" s="76">
        <f>+CZ2364*34500</f>
        <v>0</v>
      </c>
      <c r="DB2364" s="76"/>
      <c r="DC2364" s="76">
        <f>+DB2364*25000</f>
        <v>0</v>
      </c>
      <c r="DD2364" s="219"/>
      <c r="DE2364" s="219"/>
      <c r="DF2364" s="166"/>
      <c r="DG2364" s="116"/>
      <c r="DH2364" s="117"/>
      <c r="DI2364" s="24"/>
      <c r="DJ2364" s="24"/>
      <c r="DK2364" s="24"/>
      <c r="DL2364" s="24"/>
      <c r="DM2364" s="24"/>
      <c r="DN2364" s="24"/>
      <c r="DO2364" s="24"/>
      <c r="DP2364" s="24"/>
      <c r="DQ2364" s="24"/>
      <c r="DR2364" s="24"/>
      <c r="DS2364" s="24"/>
      <c r="DT2364" s="24"/>
      <c r="DU2364" s="24"/>
    </row>
    <row r="2365" spans="1:125" s="8" customFormat="1" ht="48" x14ac:dyDescent="0.2">
      <c r="A2365" s="353">
        <v>41471</v>
      </c>
      <c r="B2365" s="353" t="s">
        <v>2661</v>
      </c>
      <c r="C2365" s="353" t="s">
        <v>2169</v>
      </c>
      <c r="D2365" s="77" t="s">
        <v>2882</v>
      </c>
      <c r="E2365" s="75" t="str">
        <f>VLOOKUP(B2365&amp;C2365,Divipola!$C$2:$F$1138,4,FALSE)</f>
        <v>41001</v>
      </c>
      <c r="F2365" s="87"/>
      <c r="G2365" s="87"/>
      <c r="H2365" s="87"/>
      <c r="I2365" s="87"/>
      <c r="J2365" s="87"/>
      <c r="K2365" s="87"/>
      <c r="L2365" s="87"/>
      <c r="M2365" s="87"/>
      <c r="N2365" s="87"/>
      <c r="O2365" s="87"/>
      <c r="P2365" s="87"/>
      <c r="Q2365" s="87"/>
      <c r="R2365" s="87"/>
      <c r="S2365" s="87"/>
      <c r="T2365" s="87"/>
      <c r="U2365" s="88">
        <v>0.5</v>
      </c>
      <c r="V2365" s="89"/>
      <c r="W2365" s="96">
        <v>0</v>
      </c>
      <c r="X2365" s="71">
        <f>CU2365</f>
        <v>0</v>
      </c>
      <c r="Y2365" s="71">
        <f>CY2365</f>
        <v>0</v>
      </c>
      <c r="Z2365" s="71">
        <f>DA2365+DC2365+DE2365</f>
        <v>0</v>
      </c>
      <c r="AA2365" s="71">
        <f>CW2365</f>
        <v>0</v>
      </c>
      <c r="AB2365" s="71"/>
      <c r="AC2365" s="71">
        <v>0</v>
      </c>
      <c r="AD2365" s="71">
        <f>W2365+X2365+Y2365+Z2365+AA2365+AB2365+AC2365</f>
        <v>0</v>
      </c>
      <c r="AE2365" s="5"/>
      <c r="AF2365" s="6"/>
      <c r="AG2365" s="27"/>
      <c r="AH2365" s="44"/>
      <c r="AI2365" s="26"/>
      <c r="AJ2365" s="5"/>
      <c r="AK2365" s="9"/>
      <c r="AL2365" s="82" t="s">
        <v>5235</v>
      </c>
      <c r="AM2365" s="76"/>
      <c r="AN2365" s="76"/>
      <c r="AO2365" s="76"/>
      <c r="AP2365" s="76"/>
      <c r="AQ2365" s="76"/>
      <c r="AR2365" s="76"/>
      <c r="AS2365" s="76"/>
      <c r="AT2365" s="76"/>
      <c r="AU2365" s="76"/>
      <c r="AV2365" s="76"/>
      <c r="AW2365" s="76"/>
      <c r="AX2365" s="76">
        <f>+AW2365*600000</f>
        <v>0</v>
      </c>
      <c r="AY2365" s="76"/>
      <c r="AZ2365" s="76">
        <f>+AY2365*70000</f>
        <v>0</v>
      </c>
      <c r="BA2365" s="76"/>
      <c r="BB2365" s="76"/>
      <c r="BC2365" s="76"/>
      <c r="BD2365" s="76">
        <f>+BC2365*30000</f>
        <v>0</v>
      </c>
      <c r="BE2365" s="76"/>
      <c r="BF2365" s="76"/>
      <c r="BG2365" s="76"/>
      <c r="BH2365" s="76"/>
      <c r="BI2365" s="76"/>
      <c r="BJ2365" s="76"/>
      <c r="BK2365" s="76"/>
      <c r="BL2365" s="76">
        <f>+BK2365*31500</f>
        <v>0</v>
      </c>
      <c r="BM2365" s="76"/>
      <c r="BN2365" s="76"/>
      <c r="BO2365" s="76"/>
      <c r="BP2365" s="76"/>
      <c r="BQ2365" s="76"/>
      <c r="BR2365" s="76"/>
      <c r="BS2365" s="76"/>
      <c r="BT2365" s="76"/>
      <c r="BU2365" s="76"/>
      <c r="BV2365" s="76"/>
      <c r="BW2365" s="76"/>
      <c r="BX2365" s="76"/>
      <c r="BY2365" s="76"/>
      <c r="BZ2365" s="76"/>
      <c r="CA2365" s="76"/>
      <c r="CB2365" s="76"/>
      <c r="CC2365" s="76"/>
      <c r="CD2365" s="76"/>
      <c r="CE2365" s="76"/>
      <c r="CF2365" s="76">
        <f>+CE2365*28000</f>
        <v>0</v>
      </c>
      <c r="CG2365" s="76"/>
      <c r="CH2365" s="76">
        <f>+CG2365*22500</f>
        <v>0</v>
      </c>
      <c r="CI2365" s="76"/>
      <c r="CJ2365" s="76">
        <f>+CI2365*26000</f>
        <v>0</v>
      </c>
      <c r="CK2365" s="76"/>
      <c r="CL2365" s="76"/>
      <c r="CM2365" s="76"/>
      <c r="CN2365" s="76">
        <f>+CM2365*22000</f>
        <v>0</v>
      </c>
      <c r="CO2365" s="76"/>
      <c r="CP2365" s="76">
        <f>+CO2365*46000</f>
        <v>0</v>
      </c>
      <c r="CQ2365" s="76"/>
      <c r="CR2365" s="76">
        <f>+CQ2365*49000</f>
        <v>0</v>
      </c>
      <c r="CS2365" s="76"/>
      <c r="CT2365" s="76"/>
      <c r="CU2365" s="56">
        <f>AN2365+AP2365+AR2365+AT2365+AV2365+AX2365+AZ2365+BB2365+BD2365+BF2365+BH2365+BJ2365+BL2365+BN2365+BP2365+BR2365+BT2365+BV2365+BX2365+BZ2365+CB2365+CD2365+CF2365+CH2365+CJ2365+CL2365+CN2365+CP2365+CR2365+CT2365</f>
        <v>0</v>
      </c>
      <c r="CV2365" s="76"/>
      <c r="CW2365" s="76">
        <f>+CV2365*1100</f>
        <v>0</v>
      </c>
      <c r="CX2365" s="76"/>
      <c r="CY2365" s="76">
        <f>+CX2365*106250</f>
        <v>0</v>
      </c>
      <c r="CZ2365" s="76"/>
      <c r="DA2365" s="76">
        <f>+CZ2365*34500</f>
        <v>0</v>
      </c>
      <c r="DB2365" s="76"/>
      <c r="DC2365" s="76">
        <f>+DB2365*25000</f>
        <v>0</v>
      </c>
      <c r="DD2365" s="219"/>
      <c r="DE2365" s="219"/>
      <c r="DF2365" s="166"/>
      <c r="DG2365" s="116"/>
      <c r="DH2365" s="117"/>
      <c r="DI2365" s="24"/>
      <c r="DJ2365" s="24"/>
      <c r="DK2365" s="24"/>
      <c r="DL2365" s="24"/>
      <c r="DM2365" s="24"/>
      <c r="DN2365" s="24"/>
      <c r="DO2365" s="24"/>
      <c r="DP2365" s="24"/>
      <c r="DQ2365" s="24"/>
      <c r="DR2365" s="24"/>
      <c r="DS2365" s="24"/>
      <c r="DT2365" s="24"/>
      <c r="DU2365" s="24"/>
    </row>
    <row r="2366" spans="1:125" s="246" customFormat="1" ht="48" x14ac:dyDescent="0.2">
      <c r="A2366" s="97">
        <v>41471</v>
      </c>
      <c r="B2366" s="97" t="s">
        <v>2661</v>
      </c>
      <c r="C2366" s="97" t="s">
        <v>5</v>
      </c>
      <c r="D2366" s="353" t="s">
        <v>2846</v>
      </c>
      <c r="E2366" s="75" t="str">
        <f>VLOOKUP(B2366&amp;C2366,Divipola!$C$2:$F$1138,4,FALSE)</f>
        <v>41503</v>
      </c>
      <c r="F2366" s="87"/>
      <c r="G2366" s="87"/>
      <c r="H2366" s="87"/>
      <c r="I2366" s="87">
        <v>30</v>
      </c>
      <c r="J2366" s="87">
        <v>6</v>
      </c>
      <c r="K2366" s="87"/>
      <c r="L2366" s="87">
        <v>6</v>
      </c>
      <c r="M2366" s="87"/>
      <c r="N2366" s="87"/>
      <c r="O2366" s="87"/>
      <c r="P2366" s="87"/>
      <c r="Q2366" s="87"/>
      <c r="R2366" s="87"/>
      <c r="S2366" s="87"/>
      <c r="T2366" s="87"/>
      <c r="U2366" s="88"/>
      <c r="V2366" s="89"/>
      <c r="W2366" s="96">
        <v>0</v>
      </c>
      <c r="X2366" s="71">
        <f>CU2366</f>
        <v>0</v>
      </c>
      <c r="Y2366" s="71">
        <f>CY2366</f>
        <v>0</v>
      </c>
      <c r="Z2366" s="71">
        <f>DA2366+DC2366+DE2366</f>
        <v>0</v>
      </c>
      <c r="AA2366" s="71">
        <f>CW2366</f>
        <v>0</v>
      </c>
      <c r="AB2366" s="71"/>
      <c r="AC2366" s="71">
        <v>0</v>
      </c>
      <c r="AD2366" s="71">
        <f>W2366+X2366+Y2366+Z2366+AA2366+AB2366+AC2366</f>
        <v>0</v>
      </c>
      <c r="AE2366" s="5"/>
      <c r="AF2366" s="6"/>
      <c r="AG2366" s="27"/>
      <c r="AH2366" s="44"/>
      <c r="AI2366" s="26"/>
      <c r="AJ2366" s="5"/>
      <c r="AK2366" s="9"/>
      <c r="AL2366" s="82" t="s">
        <v>5234</v>
      </c>
      <c r="AM2366" s="76"/>
      <c r="AN2366" s="76"/>
      <c r="AO2366" s="76"/>
      <c r="AP2366" s="76"/>
      <c r="AQ2366" s="76"/>
      <c r="AR2366" s="76"/>
      <c r="AS2366" s="76"/>
      <c r="AT2366" s="76"/>
      <c r="AU2366" s="76"/>
      <c r="AV2366" s="76"/>
      <c r="AW2366" s="76"/>
      <c r="AX2366" s="76">
        <f>+AW2366*600000</f>
        <v>0</v>
      </c>
      <c r="AY2366" s="76"/>
      <c r="AZ2366" s="76">
        <f>+AY2366*70000</f>
        <v>0</v>
      </c>
      <c r="BA2366" s="76"/>
      <c r="BB2366" s="76"/>
      <c r="BC2366" s="76"/>
      <c r="BD2366" s="76">
        <f>+BC2366*30000</f>
        <v>0</v>
      </c>
      <c r="BE2366" s="76"/>
      <c r="BF2366" s="76"/>
      <c r="BG2366" s="76"/>
      <c r="BH2366" s="76"/>
      <c r="BI2366" s="76"/>
      <c r="BJ2366" s="76"/>
      <c r="BK2366" s="76"/>
      <c r="BL2366" s="76">
        <f>+BK2366*31500</f>
        <v>0</v>
      </c>
      <c r="BM2366" s="76"/>
      <c r="BN2366" s="76"/>
      <c r="BO2366" s="76"/>
      <c r="BP2366" s="76"/>
      <c r="BQ2366" s="76"/>
      <c r="BR2366" s="76"/>
      <c r="BS2366" s="76"/>
      <c r="BT2366" s="76"/>
      <c r="BU2366" s="76"/>
      <c r="BV2366" s="76"/>
      <c r="BW2366" s="76"/>
      <c r="BX2366" s="76"/>
      <c r="BY2366" s="76"/>
      <c r="BZ2366" s="76"/>
      <c r="CA2366" s="76"/>
      <c r="CB2366" s="76"/>
      <c r="CC2366" s="76"/>
      <c r="CD2366" s="76"/>
      <c r="CE2366" s="76"/>
      <c r="CF2366" s="76">
        <f>+CE2366*28000</f>
        <v>0</v>
      </c>
      <c r="CG2366" s="76"/>
      <c r="CH2366" s="76">
        <f>+CG2366*22500</f>
        <v>0</v>
      </c>
      <c r="CI2366" s="76"/>
      <c r="CJ2366" s="76">
        <f>+CI2366*26000</f>
        <v>0</v>
      </c>
      <c r="CK2366" s="76"/>
      <c r="CL2366" s="76"/>
      <c r="CM2366" s="76"/>
      <c r="CN2366" s="76">
        <f>+CM2366*22000</f>
        <v>0</v>
      </c>
      <c r="CO2366" s="76"/>
      <c r="CP2366" s="76">
        <f>+CO2366*46000</f>
        <v>0</v>
      </c>
      <c r="CQ2366" s="76"/>
      <c r="CR2366" s="76">
        <f>+CQ2366*49000</f>
        <v>0</v>
      </c>
      <c r="CS2366" s="76"/>
      <c r="CT2366" s="76"/>
      <c r="CU2366" s="56">
        <f>AN2366+AP2366+AR2366+AT2366+AV2366+AX2366+AZ2366+BB2366+BD2366+BF2366+BH2366+BJ2366+BL2366+BN2366+BP2366+BR2366+BT2366+BV2366+BX2366+BZ2366+CB2366+CD2366+CF2366+CH2366+CJ2366+CL2366+CN2366+CP2366+CR2366+CT2366</f>
        <v>0</v>
      </c>
      <c r="CV2366" s="76"/>
      <c r="CW2366" s="76">
        <f>+CV2366*1100</f>
        <v>0</v>
      </c>
      <c r="CX2366" s="76"/>
      <c r="CY2366" s="76">
        <f>+CX2366*106250</f>
        <v>0</v>
      </c>
      <c r="CZ2366" s="76"/>
      <c r="DA2366" s="76">
        <f>+CZ2366*34500</f>
        <v>0</v>
      </c>
      <c r="DB2366" s="76"/>
      <c r="DC2366" s="76">
        <f>+DB2366*25000</f>
        <v>0</v>
      </c>
      <c r="DD2366" s="219"/>
      <c r="DE2366" s="219"/>
      <c r="DF2366" s="166"/>
      <c r="DG2366" s="116"/>
      <c r="DH2366" s="117"/>
      <c r="DI2366" s="245"/>
      <c r="DJ2366" s="245"/>
      <c r="DK2366" s="245"/>
      <c r="DL2366" s="245"/>
      <c r="DM2366" s="245"/>
      <c r="DN2366" s="245"/>
      <c r="DO2366" s="245"/>
      <c r="DP2366" s="245"/>
      <c r="DQ2366" s="245"/>
      <c r="DR2366" s="245"/>
      <c r="DS2366" s="245"/>
      <c r="DT2366" s="245"/>
      <c r="DU2366" s="245"/>
    </row>
    <row r="2367" spans="1:125" s="8" customFormat="1" ht="120" x14ac:dyDescent="0.2">
      <c r="A2367" s="353">
        <v>41471</v>
      </c>
      <c r="B2367" s="352" t="s">
        <v>3136</v>
      </c>
      <c r="C2367" s="354" t="s">
        <v>394</v>
      </c>
      <c r="D2367" s="55" t="s">
        <v>2859</v>
      </c>
      <c r="E2367" s="75" t="str">
        <f>VLOOKUP(B2367&amp;C2367,Divipola!$C$2:$F$1138,4,FALSE)</f>
        <v>44110</v>
      </c>
      <c r="F2367" s="87"/>
      <c r="G2367" s="87"/>
      <c r="H2367" s="87"/>
      <c r="I2367" s="87"/>
      <c r="J2367" s="87"/>
      <c r="K2367" s="87"/>
      <c r="L2367" s="87"/>
      <c r="M2367" s="87"/>
      <c r="N2367" s="87"/>
      <c r="O2367" s="87"/>
      <c r="P2367" s="87"/>
      <c r="Q2367" s="87"/>
      <c r="R2367" s="87"/>
      <c r="S2367" s="87"/>
      <c r="T2367" s="87"/>
      <c r="U2367" s="88"/>
      <c r="V2367" s="89"/>
      <c r="W2367" s="96">
        <v>0</v>
      </c>
      <c r="X2367" s="71">
        <f>CU2367</f>
        <v>0</v>
      </c>
      <c r="Y2367" s="71">
        <f>CY2367</f>
        <v>0</v>
      </c>
      <c r="Z2367" s="71">
        <f>DA2367+DC2367+DE2367</f>
        <v>0</v>
      </c>
      <c r="AA2367" s="71">
        <f>CW2367</f>
        <v>0</v>
      </c>
      <c r="AB2367" s="71"/>
      <c r="AC2367" s="71">
        <v>0</v>
      </c>
      <c r="AD2367" s="71">
        <f>W2367+X2367+Y2367+Z2367+AA2367+AB2367+AC2367</f>
        <v>0</v>
      </c>
      <c r="AE2367" s="72">
        <v>0</v>
      </c>
      <c r="AF2367" s="5"/>
      <c r="AG2367" s="6"/>
      <c r="AH2367" s="27"/>
      <c r="AI2367" s="44"/>
      <c r="AJ2367" s="26"/>
      <c r="AK2367" s="5"/>
      <c r="AL2367" s="82" t="s">
        <v>5238</v>
      </c>
      <c r="AM2367" s="76"/>
      <c r="AN2367" s="76"/>
      <c r="AO2367" s="76"/>
      <c r="AP2367" s="76"/>
      <c r="AQ2367" s="76"/>
      <c r="AR2367" s="76"/>
      <c r="AS2367" s="76"/>
      <c r="AT2367" s="76"/>
      <c r="AU2367" s="76"/>
      <c r="AV2367" s="76"/>
      <c r="AW2367" s="76"/>
      <c r="AX2367" s="76">
        <f>+AW2367*600000</f>
        <v>0</v>
      </c>
      <c r="AY2367" s="76"/>
      <c r="AZ2367" s="76">
        <f>+AY2367*70000</f>
        <v>0</v>
      </c>
      <c r="BA2367" s="76"/>
      <c r="BB2367" s="76"/>
      <c r="BC2367" s="76"/>
      <c r="BD2367" s="76">
        <f>+BC2367*30000</f>
        <v>0</v>
      </c>
      <c r="BE2367" s="76"/>
      <c r="BF2367" s="76"/>
      <c r="BG2367" s="76"/>
      <c r="BH2367" s="76"/>
      <c r="BI2367" s="76"/>
      <c r="BJ2367" s="76"/>
      <c r="BK2367" s="76"/>
      <c r="BL2367" s="76">
        <f>+BK2367*31500</f>
        <v>0</v>
      </c>
      <c r="BM2367" s="76"/>
      <c r="BN2367" s="76"/>
      <c r="BO2367" s="76"/>
      <c r="BP2367" s="76"/>
      <c r="BQ2367" s="76"/>
      <c r="BR2367" s="76"/>
      <c r="BS2367" s="76"/>
      <c r="BT2367" s="76"/>
      <c r="BU2367" s="76"/>
      <c r="BV2367" s="76"/>
      <c r="BW2367" s="76"/>
      <c r="BX2367" s="76"/>
      <c r="BY2367" s="76"/>
      <c r="BZ2367" s="76"/>
      <c r="CA2367" s="76"/>
      <c r="CB2367" s="76"/>
      <c r="CC2367" s="76"/>
      <c r="CD2367" s="76"/>
      <c r="CE2367" s="76"/>
      <c r="CF2367" s="76">
        <f>+CE2367*28000</f>
        <v>0</v>
      </c>
      <c r="CG2367" s="76"/>
      <c r="CH2367" s="76">
        <f>+CG2367*22500</f>
        <v>0</v>
      </c>
      <c r="CI2367" s="76"/>
      <c r="CJ2367" s="76">
        <f>+CI2367*26000</f>
        <v>0</v>
      </c>
      <c r="CK2367" s="76"/>
      <c r="CL2367" s="76"/>
      <c r="CM2367" s="76"/>
      <c r="CN2367" s="76">
        <f>+CM2367*22000</f>
        <v>0</v>
      </c>
      <c r="CO2367" s="76"/>
      <c r="CP2367" s="76">
        <f>+CO2367*46000</f>
        <v>0</v>
      </c>
      <c r="CQ2367" s="76"/>
      <c r="CR2367" s="76">
        <f>+CQ2367*49000</f>
        <v>0</v>
      </c>
      <c r="CS2367" s="76"/>
      <c r="CT2367" s="76"/>
      <c r="CU2367" s="56">
        <f>AN2367+AP2367+AR2367+AT2367+AV2367+AX2367+AZ2367+BB2367+BD2367+BF2367+BH2367+BJ2367+BL2367+BN2367+BP2367+BR2367+BT2367+BV2367+BX2367+BZ2367+CB2367+CD2367+CF2367+CH2367+CJ2367+CL2367+CN2367+CP2367+CR2367+CT2367</f>
        <v>0</v>
      </c>
      <c r="CV2367" s="76"/>
      <c r="CW2367" s="76">
        <f>+CV2367*1100</f>
        <v>0</v>
      </c>
      <c r="CX2367" s="76"/>
      <c r="CY2367" s="76">
        <f>+CX2367*106250</f>
        <v>0</v>
      </c>
      <c r="CZ2367" s="76"/>
      <c r="DA2367" s="76">
        <f>+CZ2367*34500</f>
        <v>0</v>
      </c>
      <c r="DB2367" s="76"/>
      <c r="DC2367" s="76">
        <f>+DB2367*25000</f>
        <v>0</v>
      </c>
      <c r="DD2367" s="219"/>
      <c r="DE2367" s="219"/>
      <c r="DF2367" s="166"/>
      <c r="DG2367" s="116"/>
      <c r="DH2367" s="117"/>
      <c r="DI2367" s="24"/>
      <c r="DJ2367" s="24"/>
      <c r="DK2367" s="24"/>
      <c r="DL2367" s="24"/>
      <c r="DM2367" s="24"/>
      <c r="DN2367" s="24"/>
      <c r="DO2367" s="24"/>
      <c r="DP2367" s="24"/>
      <c r="DQ2367" s="24"/>
      <c r="DR2367" s="24"/>
      <c r="DS2367" s="24"/>
      <c r="DT2367" s="24"/>
      <c r="DU2367" s="24"/>
    </row>
    <row r="2368" spans="1:125" s="8" customFormat="1" ht="72" x14ac:dyDescent="0.2">
      <c r="A2368" s="77">
        <v>41471</v>
      </c>
      <c r="B2368" s="77" t="s">
        <v>2880</v>
      </c>
      <c r="C2368" s="77" t="s">
        <v>2666</v>
      </c>
      <c r="D2368" s="77" t="s">
        <v>2846</v>
      </c>
      <c r="E2368" s="75" t="str">
        <f>VLOOKUP(B2368&amp;C2368,Divipola!$C$2:$F$1138,4,FALSE)</f>
        <v>54099</v>
      </c>
      <c r="F2368" s="87"/>
      <c r="G2368" s="87"/>
      <c r="H2368" s="87"/>
      <c r="I2368" s="87"/>
      <c r="J2368" s="87"/>
      <c r="K2368" s="87"/>
      <c r="L2368" s="87"/>
      <c r="M2368" s="87"/>
      <c r="N2368" s="87"/>
      <c r="O2368" s="87"/>
      <c r="P2368" s="87"/>
      <c r="Q2368" s="87"/>
      <c r="R2368" s="87"/>
      <c r="S2368" s="87"/>
      <c r="T2368" s="87"/>
      <c r="U2368" s="88">
        <v>10</v>
      </c>
      <c r="V2368" s="89"/>
      <c r="W2368" s="96">
        <v>0</v>
      </c>
      <c r="X2368" s="71">
        <f>CU2368</f>
        <v>0</v>
      </c>
      <c r="Y2368" s="71">
        <f>CY2368</f>
        <v>0</v>
      </c>
      <c r="Z2368" s="71">
        <f>DA2368+DC2368+DE2368</f>
        <v>0</v>
      </c>
      <c r="AA2368" s="71">
        <f>CW2368</f>
        <v>0</v>
      </c>
      <c r="AB2368" s="71"/>
      <c r="AC2368" s="71">
        <v>0</v>
      </c>
      <c r="AD2368" s="71">
        <f>W2368+X2368+Y2368+Z2368+AA2368+AB2368+AC2368</f>
        <v>0</v>
      </c>
      <c r="AE2368" s="72">
        <v>0</v>
      </c>
      <c r="AF2368" s="5"/>
      <c r="AG2368" s="6"/>
      <c r="AH2368" s="27"/>
      <c r="AI2368" s="44"/>
      <c r="AJ2368" s="26"/>
      <c r="AK2368" s="5"/>
      <c r="AL2368" s="82" t="s">
        <v>5236</v>
      </c>
      <c r="AM2368" s="76"/>
      <c r="AN2368" s="76"/>
      <c r="AO2368" s="76"/>
      <c r="AP2368" s="76"/>
      <c r="AQ2368" s="76"/>
      <c r="AR2368" s="76"/>
      <c r="AS2368" s="76"/>
      <c r="AT2368" s="76"/>
      <c r="AU2368" s="76"/>
      <c r="AV2368" s="76"/>
      <c r="AW2368" s="76"/>
      <c r="AX2368" s="76">
        <f>+AW2368*600000</f>
        <v>0</v>
      </c>
      <c r="AY2368" s="76"/>
      <c r="AZ2368" s="76">
        <f>+AY2368*70000</f>
        <v>0</v>
      </c>
      <c r="BA2368" s="76"/>
      <c r="BB2368" s="76"/>
      <c r="BC2368" s="76"/>
      <c r="BD2368" s="76">
        <f>+BC2368*30000</f>
        <v>0</v>
      </c>
      <c r="BE2368" s="76"/>
      <c r="BF2368" s="76"/>
      <c r="BG2368" s="76"/>
      <c r="BH2368" s="76"/>
      <c r="BI2368" s="76"/>
      <c r="BJ2368" s="76"/>
      <c r="BK2368" s="76"/>
      <c r="BL2368" s="76">
        <f>+BK2368*31500</f>
        <v>0</v>
      </c>
      <c r="BM2368" s="76"/>
      <c r="BN2368" s="76"/>
      <c r="BO2368" s="76"/>
      <c r="BP2368" s="76"/>
      <c r="BQ2368" s="76"/>
      <c r="BR2368" s="76"/>
      <c r="BS2368" s="76"/>
      <c r="BT2368" s="76"/>
      <c r="BU2368" s="76"/>
      <c r="BV2368" s="76"/>
      <c r="BW2368" s="76"/>
      <c r="BX2368" s="76"/>
      <c r="BY2368" s="76"/>
      <c r="BZ2368" s="76"/>
      <c r="CA2368" s="76"/>
      <c r="CB2368" s="76"/>
      <c r="CC2368" s="76"/>
      <c r="CD2368" s="76"/>
      <c r="CE2368" s="76"/>
      <c r="CF2368" s="76">
        <f>+CE2368*28000</f>
        <v>0</v>
      </c>
      <c r="CG2368" s="76"/>
      <c r="CH2368" s="76">
        <f>+CG2368*22500</f>
        <v>0</v>
      </c>
      <c r="CI2368" s="76"/>
      <c r="CJ2368" s="76">
        <f>+CI2368*26000</f>
        <v>0</v>
      </c>
      <c r="CK2368" s="76"/>
      <c r="CL2368" s="76"/>
      <c r="CM2368" s="76"/>
      <c r="CN2368" s="76">
        <f>+CM2368*22000</f>
        <v>0</v>
      </c>
      <c r="CO2368" s="76"/>
      <c r="CP2368" s="76">
        <f>+CO2368*46000</f>
        <v>0</v>
      </c>
      <c r="CQ2368" s="76"/>
      <c r="CR2368" s="76">
        <f>+CQ2368*49000</f>
        <v>0</v>
      </c>
      <c r="CS2368" s="76"/>
      <c r="CT2368" s="76"/>
      <c r="CU2368" s="56">
        <f>AN2368+AP2368+AR2368+AT2368+AV2368+AX2368+AZ2368+BB2368+BD2368+BF2368+BH2368+BJ2368+BL2368+BN2368+BP2368+BR2368+BT2368+BV2368+BX2368+BZ2368+CB2368+CD2368+CF2368+CH2368+CJ2368+CL2368+CN2368+CP2368+CR2368+CT2368</f>
        <v>0</v>
      </c>
      <c r="CV2368" s="76"/>
      <c r="CW2368" s="76">
        <f>+CV2368*1100</f>
        <v>0</v>
      </c>
      <c r="CX2368" s="76"/>
      <c r="CY2368" s="76">
        <f>+CX2368*106250</f>
        <v>0</v>
      </c>
      <c r="CZ2368" s="76"/>
      <c r="DA2368" s="76">
        <f>+CZ2368*34500</f>
        <v>0</v>
      </c>
      <c r="DB2368" s="76"/>
      <c r="DC2368" s="76">
        <f>+DB2368*25000</f>
        <v>0</v>
      </c>
      <c r="DD2368" s="219"/>
      <c r="DE2368" s="219"/>
      <c r="DF2368" s="166"/>
      <c r="DG2368" s="116"/>
      <c r="DH2368" s="117"/>
      <c r="DI2368" s="24"/>
      <c r="DJ2368" s="24"/>
      <c r="DK2368" s="24"/>
      <c r="DL2368" s="24"/>
      <c r="DM2368" s="24"/>
      <c r="DN2368" s="24"/>
      <c r="DO2368" s="24"/>
      <c r="DP2368" s="24"/>
      <c r="DQ2368" s="24"/>
      <c r="DR2368" s="24"/>
      <c r="DS2368" s="24"/>
      <c r="DT2368" s="24"/>
      <c r="DU2368" s="24"/>
    </row>
    <row r="2369" spans="1:125" s="8" customFormat="1" ht="84" x14ac:dyDescent="0.2">
      <c r="A2369" s="77">
        <v>41471</v>
      </c>
      <c r="B2369" s="77" t="s">
        <v>2847</v>
      </c>
      <c r="C2369" s="77" t="s">
        <v>1737</v>
      </c>
      <c r="D2369" s="354" t="s">
        <v>3051</v>
      </c>
      <c r="E2369" s="75" t="str">
        <f>VLOOKUP(B2369&amp;C2369,Divipola!$C$2:$F$1138,4,FALSE)</f>
        <v>68464</v>
      </c>
      <c r="F2369" s="87"/>
      <c r="G2369" s="87"/>
      <c r="H2369" s="87"/>
      <c r="I2369" s="87">
        <v>110</v>
      </c>
      <c r="J2369" s="87">
        <v>22</v>
      </c>
      <c r="K2369" s="87"/>
      <c r="L2369" s="87">
        <v>22</v>
      </c>
      <c r="M2369" s="87"/>
      <c r="N2369" s="87"/>
      <c r="O2369" s="87"/>
      <c r="P2369" s="87"/>
      <c r="Q2369" s="87"/>
      <c r="R2369" s="87"/>
      <c r="S2369" s="87">
        <v>1</v>
      </c>
      <c r="T2369" s="87"/>
      <c r="U2369" s="88"/>
      <c r="V2369" s="89"/>
      <c r="W2369" s="96">
        <v>0</v>
      </c>
      <c r="X2369" s="71">
        <f>CU2369</f>
        <v>0</v>
      </c>
      <c r="Y2369" s="71">
        <f>CY2369</f>
        <v>0</v>
      </c>
      <c r="Z2369" s="71">
        <f>DA2369+DC2369+DE2369</f>
        <v>0</v>
      </c>
      <c r="AA2369" s="71">
        <f>CW2369</f>
        <v>0</v>
      </c>
      <c r="AB2369" s="71"/>
      <c r="AC2369" s="71">
        <v>0</v>
      </c>
      <c r="AD2369" s="71">
        <f>W2369+X2369+Y2369+Z2369+AA2369+AB2369+AC2369</f>
        <v>0</v>
      </c>
      <c r="AE2369" s="72">
        <v>0</v>
      </c>
      <c r="AF2369" s="5"/>
      <c r="AG2369" s="6"/>
      <c r="AH2369" s="27"/>
      <c r="AI2369" s="44"/>
      <c r="AJ2369" s="26"/>
      <c r="AK2369" s="5"/>
      <c r="AL2369" s="82" t="s">
        <v>5248</v>
      </c>
      <c r="AM2369" s="76"/>
      <c r="AN2369" s="76"/>
      <c r="AO2369" s="76"/>
      <c r="AP2369" s="76"/>
      <c r="AQ2369" s="76"/>
      <c r="AR2369" s="76"/>
      <c r="AS2369" s="76"/>
      <c r="AT2369" s="76"/>
      <c r="AU2369" s="76"/>
      <c r="AV2369" s="76"/>
      <c r="AW2369" s="76"/>
      <c r="AX2369" s="76">
        <f>+AW2369*600000</f>
        <v>0</v>
      </c>
      <c r="AY2369" s="76"/>
      <c r="AZ2369" s="76">
        <f>+AY2369*70000</f>
        <v>0</v>
      </c>
      <c r="BA2369" s="76"/>
      <c r="BB2369" s="76"/>
      <c r="BC2369" s="76"/>
      <c r="BD2369" s="76">
        <f>+BC2369*30000</f>
        <v>0</v>
      </c>
      <c r="BE2369" s="76"/>
      <c r="BF2369" s="76"/>
      <c r="BG2369" s="76"/>
      <c r="BH2369" s="76"/>
      <c r="BI2369" s="76"/>
      <c r="BJ2369" s="76"/>
      <c r="BK2369" s="76"/>
      <c r="BL2369" s="76">
        <f>+BK2369*31500</f>
        <v>0</v>
      </c>
      <c r="BM2369" s="76"/>
      <c r="BN2369" s="76"/>
      <c r="BO2369" s="76"/>
      <c r="BP2369" s="76"/>
      <c r="BQ2369" s="76"/>
      <c r="BR2369" s="76"/>
      <c r="BS2369" s="76"/>
      <c r="BT2369" s="76"/>
      <c r="BU2369" s="76"/>
      <c r="BV2369" s="76"/>
      <c r="BW2369" s="76"/>
      <c r="BX2369" s="76"/>
      <c r="BY2369" s="76"/>
      <c r="BZ2369" s="76"/>
      <c r="CA2369" s="76"/>
      <c r="CB2369" s="76"/>
      <c r="CC2369" s="76"/>
      <c r="CD2369" s="76"/>
      <c r="CE2369" s="76"/>
      <c r="CF2369" s="76">
        <f>+CE2369*28000</f>
        <v>0</v>
      </c>
      <c r="CG2369" s="76"/>
      <c r="CH2369" s="76">
        <f>+CG2369*22500</f>
        <v>0</v>
      </c>
      <c r="CI2369" s="76"/>
      <c r="CJ2369" s="76">
        <f>+CI2369*26000</f>
        <v>0</v>
      </c>
      <c r="CK2369" s="76"/>
      <c r="CL2369" s="76"/>
      <c r="CM2369" s="76"/>
      <c r="CN2369" s="76">
        <f>+CM2369*22000</f>
        <v>0</v>
      </c>
      <c r="CO2369" s="76"/>
      <c r="CP2369" s="76">
        <f>+CO2369*46000</f>
        <v>0</v>
      </c>
      <c r="CQ2369" s="76"/>
      <c r="CR2369" s="76">
        <f>+CQ2369*49000</f>
        <v>0</v>
      </c>
      <c r="CS2369" s="76"/>
      <c r="CT2369" s="76"/>
      <c r="CU2369" s="56">
        <f>AN2369+AP2369+AR2369+AT2369+AV2369+AX2369+AZ2369+BB2369+BD2369+BF2369+BH2369+BJ2369+BL2369+BN2369+BP2369+BR2369+BT2369+BV2369+BX2369+BZ2369+CB2369+CD2369+CF2369+CH2369+CJ2369+CL2369+CN2369+CP2369+CR2369+CT2369</f>
        <v>0</v>
      </c>
      <c r="CV2369" s="76"/>
      <c r="CW2369" s="76">
        <f>+CV2369*1100</f>
        <v>0</v>
      </c>
      <c r="CX2369" s="76"/>
      <c r="CY2369" s="76">
        <f>+CX2369*106250</f>
        <v>0</v>
      </c>
      <c r="CZ2369" s="76"/>
      <c r="DA2369" s="76">
        <f>+CZ2369*34500</f>
        <v>0</v>
      </c>
      <c r="DB2369" s="76"/>
      <c r="DC2369" s="76">
        <f>+DB2369*25000</f>
        <v>0</v>
      </c>
      <c r="DD2369" s="219"/>
      <c r="DE2369" s="219"/>
      <c r="DF2369" s="166"/>
      <c r="DG2369" s="116"/>
      <c r="DH2369" s="117"/>
      <c r="DI2369" s="24"/>
      <c r="DJ2369" s="24"/>
      <c r="DK2369" s="24"/>
      <c r="DL2369" s="24"/>
      <c r="DM2369" s="24"/>
      <c r="DN2369" s="24"/>
      <c r="DO2369" s="24"/>
      <c r="DP2369" s="24"/>
      <c r="DQ2369" s="24"/>
      <c r="DR2369" s="24"/>
      <c r="DS2369" s="24"/>
      <c r="DT2369" s="24"/>
      <c r="DU2369" s="24"/>
    </row>
    <row r="2370" spans="1:125" s="8" customFormat="1" ht="156" x14ac:dyDescent="0.2">
      <c r="A2370" s="77">
        <v>41471</v>
      </c>
      <c r="B2370" s="77" t="s">
        <v>2848</v>
      </c>
      <c r="C2370" s="77" t="s">
        <v>484</v>
      </c>
      <c r="D2370" s="77" t="s">
        <v>2846</v>
      </c>
      <c r="E2370" s="75" t="str">
        <f>VLOOKUP(B2370&amp;C2370,Divipola!$C$2:$F$1138,4,FALSE)</f>
        <v>73347</v>
      </c>
      <c r="F2370" s="87"/>
      <c r="G2370" s="87"/>
      <c r="H2370" s="87"/>
      <c r="I2370" s="87">
        <v>700</v>
      </c>
      <c r="J2370" s="87">
        <v>140</v>
      </c>
      <c r="K2370" s="87"/>
      <c r="L2370" s="87">
        <v>140</v>
      </c>
      <c r="M2370" s="87"/>
      <c r="N2370" s="87"/>
      <c r="O2370" s="87"/>
      <c r="P2370" s="87"/>
      <c r="Q2370" s="87"/>
      <c r="R2370" s="87"/>
      <c r="S2370" s="87">
        <v>1</v>
      </c>
      <c r="T2370" s="87"/>
      <c r="U2370" s="88"/>
      <c r="V2370" s="89"/>
      <c r="W2370" s="96">
        <v>0</v>
      </c>
      <c r="X2370" s="71">
        <f>CU2370</f>
        <v>0</v>
      </c>
      <c r="Y2370" s="71">
        <f>CY2370</f>
        <v>0</v>
      </c>
      <c r="Z2370" s="71">
        <f>DA2370+DC2370+DE2370</f>
        <v>0</v>
      </c>
      <c r="AA2370" s="71">
        <f>CW2370</f>
        <v>0</v>
      </c>
      <c r="AB2370" s="71"/>
      <c r="AC2370" s="71">
        <v>0</v>
      </c>
      <c r="AD2370" s="71">
        <f>W2370+X2370+Y2370+Z2370+AA2370+AB2370+AC2370</f>
        <v>0</v>
      </c>
      <c r="AE2370" s="72">
        <v>0</v>
      </c>
      <c r="AF2370" s="5"/>
      <c r="AG2370" s="6"/>
      <c r="AH2370" s="27"/>
      <c r="AI2370" s="44"/>
      <c r="AJ2370" s="26"/>
      <c r="AK2370" s="5"/>
      <c r="AL2370" s="82" t="s">
        <v>5256</v>
      </c>
      <c r="AM2370" s="76"/>
      <c r="AN2370" s="76"/>
      <c r="AO2370" s="76"/>
      <c r="AP2370" s="76"/>
      <c r="AQ2370" s="76"/>
      <c r="AR2370" s="76"/>
      <c r="AS2370" s="76"/>
      <c r="AT2370" s="76"/>
      <c r="AU2370" s="76"/>
      <c r="AV2370" s="76"/>
      <c r="AW2370" s="76"/>
      <c r="AX2370" s="76">
        <f>+AW2370*600000</f>
        <v>0</v>
      </c>
      <c r="AY2370" s="76"/>
      <c r="AZ2370" s="76">
        <f>+AY2370*70000</f>
        <v>0</v>
      </c>
      <c r="BA2370" s="76"/>
      <c r="BB2370" s="76"/>
      <c r="BC2370" s="76"/>
      <c r="BD2370" s="76">
        <f>+BC2370*30000</f>
        <v>0</v>
      </c>
      <c r="BE2370" s="76"/>
      <c r="BF2370" s="76"/>
      <c r="BG2370" s="76"/>
      <c r="BH2370" s="76"/>
      <c r="BI2370" s="76"/>
      <c r="BJ2370" s="76"/>
      <c r="BK2370" s="76"/>
      <c r="BL2370" s="76">
        <f>+BK2370*31500</f>
        <v>0</v>
      </c>
      <c r="BM2370" s="76"/>
      <c r="BN2370" s="76"/>
      <c r="BO2370" s="76"/>
      <c r="BP2370" s="76"/>
      <c r="BQ2370" s="76"/>
      <c r="BR2370" s="76"/>
      <c r="BS2370" s="76"/>
      <c r="BT2370" s="76"/>
      <c r="BU2370" s="76"/>
      <c r="BV2370" s="76"/>
      <c r="BW2370" s="76"/>
      <c r="BX2370" s="76"/>
      <c r="BY2370" s="76"/>
      <c r="BZ2370" s="76"/>
      <c r="CA2370" s="76"/>
      <c r="CB2370" s="76"/>
      <c r="CC2370" s="76"/>
      <c r="CD2370" s="76"/>
      <c r="CE2370" s="76"/>
      <c r="CF2370" s="76">
        <f>+CE2370*28000</f>
        <v>0</v>
      </c>
      <c r="CG2370" s="76"/>
      <c r="CH2370" s="76">
        <f>+CG2370*22500</f>
        <v>0</v>
      </c>
      <c r="CI2370" s="76"/>
      <c r="CJ2370" s="76">
        <f>+CI2370*26000</f>
        <v>0</v>
      </c>
      <c r="CK2370" s="76"/>
      <c r="CL2370" s="76"/>
      <c r="CM2370" s="76"/>
      <c r="CN2370" s="76">
        <f>+CM2370*22000</f>
        <v>0</v>
      </c>
      <c r="CO2370" s="76"/>
      <c r="CP2370" s="76">
        <f>+CO2370*46000</f>
        <v>0</v>
      </c>
      <c r="CQ2370" s="76"/>
      <c r="CR2370" s="76">
        <f>+CQ2370*49000</f>
        <v>0</v>
      </c>
      <c r="CS2370" s="76"/>
      <c r="CT2370" s="76"/>
      <c r="CU2370" s="56">
        <f>AN2370+AP2370+AR2370+AT2370+AV2370+AX2370+AZ2370+BB2370+BD2370+BF2370+BH2370+BJ2370+BL2370+BN2370+BP2370+BR2370+BT2370+BV2370+BX2370+BZ2370+CB2370+CD2370+CF2370+CH2370+CJ2370+CL2370+CN2370+CP2370+CR2370+CT2370</f>
        <v>0</v>
      </c>
      <c r="CV2370" s="76"/>
      <c r="CW2370" s="76">
        <f>+CV2370*1100</f>
        <v>0</v>
      </c>
      <c r="CX2370" s="76"/>
      <c r="CY2370" s="76">
        <f>+CX2370*106250</f>
        <v>0</v>
      </c>
      <c r="CZ2370" s="76"/>
      <c r="DA2370" s="76">
        <f>+CZ2370*34500</f>
        <v>0</v>
      </c>
      <c r="DB2370" s="76"/>
      <c r="DC2370" s="76">
        <f>+DB2370*25000</f>
        <v>0</v>
      </c>
      <c r="DD2370" s="219"/>
      <c r="DE2370" s="219"/>
      <c r="DF2370" s="166"/>
      <c r="DG2370" s="116"/>
      <c r="DH2370" s="117"/>
      <c r="DI2370" s="24"/>
      <c r="DJ2370" s="24"/>
      <c r="DK2370" s="24"/>
      <c r="DL2370" s="24"/>
      <c r="DM2370" s="24"/>
      <c r="DN2370" s="24"/>
      <c r="DO2370" s="24"/>
      <c r="DP2370" s="24"/>
      <c r="DQ2370" s="24"/>
      <c r="DR2370" s="24"/>
      <c r="DS2370" s="24"/>
      <c r="DT2370" s="24"/>
      <c r="DU2370" s="24"/>
    </row>
    <row r="2371" spans="1:125" s="8" customFormat="1" ht="48" x14ac:dyDescent="0.2">
      <c r="A2371" s="226">
        <v>41472</v>
      </c>
      <c r="B2371" s="225" t="s">
        <v>2881</v>
      </c>
      <c r="C2371" s="227" t="s">
        <v>2756</v>
      </c>
      <c r="D2371" s="354" t="s">
        <v>2859</v>
      </c>
      <c r="E2371" s="75" t="str">
        <f>VLOOKUP(B2371&amp;C2371,Divipola!$C$2:$F$1138,4,FALSE)</f>
        <v>08137</v>
      </c>
      <c r="F2371" s="87"/>
      <c r="G2371" s="87"/>
      <c r="H2371" s="87"/>
      <c r="I2371" s="87"/>
      <c r="J2371" s="87"/>
      <c r="K2371" s="87"/>
      <c r="L2371" s="87"/>
      <c r="M2371" s="87"/>
      <c r="N2371" s="87"/>
      <c r="O2371" s="87"/>
      <c r="P2371" s="87"/>
      <c r="Q2371" s="87"/>
      <c r="R2371" s="87"/>
      <c r="S2371" s="87"/>
      <c r="T2371" s="87"/>
      <c r="U2371" s="88"/>
      <c r="V2371" s="89"/>
      <c r="W2371" s="96">
        <v>0</v>
      </c>
      <c r="X2371" s="71">
        <f>CU2371</f>
        <v>0</v>
      </c>
      <c r="Y2371" s="71">
        <f>CY2371</f>
        <v>0</v>
      </c>
      <c r="Z2371" s="71">
        <f>DA2371+DC2371+DE2371</f>
        <v>0</v>
      </c>
      <c r="AA2371" s="71">
        <f>CW2371</f>
        <v>0</v>
      </c>
      <c r="AB2371" s="71"/>
      <c r="AC2371" s="71">
        <v>0</v>
      </c>
      <c r="AD2371" s="71">
        <f>W2371+X2371+Y2371+Z2371+AA2371+AB2371+AC2371</f>
        <v>0</v>
      </c>
      <c r="AE2371" s="72">
        <v>0</v>
      </c>
      <c r="AF2371" s="5"/>
      <c r="AG2371" s="6"/>
      <c r="AH2371" s="27"/>
      <c r="AI2371" s="44"/>
      <c r="AJ2371" s="26"/>
      <c r="AK2371" s="5"/>
      <c r="AL2371" s="82" t="s">
        <v>5243</v>
      </c>
      <c r="AM2371" s="76"/>
      <c r="AN2371" s="76"/>
      <c r="AO2371" s="76"/>
      <c r="AP2371" s="76"/>
      <c r="AQ2371" s="76"/>
      <c r="AR2371" s="76"/>
      <c r="AS2371" s="76"/>
      <c r="AT2371" s="76"/>
      <c r="AU2371" s="76"/>
      <c r="AV2371" s="76"/>
      <c r="AW2371" s="76"/>
      <c r="AX2371" s="76">
        <f>+AW2371*600000</f>
        <v>0</v>
      </c>
      <c r="AY2371" s="76"/>
      <c r="AZ2371" s="76">
        <f>+AY2371*70000</f>
        <v>0</v>
      </c>
      <c r="BA2371" s="76"/>
      <c r="BB2371" s="76"/>
      <c r="BC2371" s="76"/>
      <c r="BD2371" s="76">
        <f>+BC2371*30000</f>
        <v>0</v>
      </c>
      <c r="BE2371" s="76"/>
      <c r="BF2371" s="76"/>
      <c r="BG2371" s="76"/>
      <c r="BH2371" s="76"/>
      <c r="BI2371" s="76"/>
      <c r="BJ2371" s="76"/>
      <c r="BK2371" s="76"/>
      <c r="BL2371" s="76">
        <f>+BK2371*31500</f>
        <v>0</v>
      </c>
      <c r="BM2371" s="76"/>
      <c r="BN2371" s="76"/>
      <c r="BO2371" s="76"/>
      <c r="BP2371" s="76"/>
      <c r="BQ2371" s="76"/>
      <c r="BR2371" s="76"/>
      <c r="BS2371" s="76"/>
      <c r="BT2371" s="76"/>
      <c r="BU2371" s="76"/>
      <c r="BV2371" s="76"/>
      <c r="BW2371" s="76"/>
      <c r="BX2371" s="76"/>
      <c r="BY2371" s="76"/>
      <c r="BZ2371" s="76"/>
      <c r="CA2371" s="76"/>
      <c r="CB2371" s="76"/>
      <c r="CC2371" s="76"/>
      <c r="CD2371" s="76"/>
      <c r="CE2371" s="76"/>
      <c r="CF2371" s="76">
        <f>+CE2371*28000</f>
        <v>0</v>
      </c>
      <c r="CG2371" s="76"/>
      <c r="CH2371" s="76">
        <f>+CG2371*22500</f>
        <v>0</v>
      </c>
      <c r="CI2371" s="76"/>
      <c r="CJ2371" s="76">
        <f>+CI2371*26000</f>
        <v>0</v>
      </c>
      <c r="CK2371" s="76"/>
      <c r="CL2371" s="76"/>
      <c r="CM2371" s="76"/>
      <c r="CN2371" s="76">
        <f>+CM2371*22000</f>
        <v>0</v>
      </c>
      <c r="CO2371" s="76"/>
      <c r="CP2371" s="76">
        <f>+CO2371*46000</f>
        <v>0</v>
      </c>
      <c r="CQ2371" s="76"/>
      <c r="CR2371" s="76">
        <f>+CQ2371*49000</f>
        <v>0</v>
      </c>
      <c r="CS2371" s="76"/>
      <c r="CT2371" s="76"/>
      <c r="CU2371" s="56">
        <f>AN2371+AP2371+AR2371+AT2371+AV2371+AX2371+AZ2371+BB2371+BD2371+BF2371+BH2371+BJ2371+BL2371+BN2371+BP2371+BR2371+BT2371+BV2371+BX2371+BZ2371+CB2371+CD2371+CF2371+CH2371+CJ2371+CL2371+CN2371+CP2371+CR2371+CT2371</f>
        <v>0</v>
      </c>
      <c r="CV2371" s="76"/>
      <c r="CW2371" s="76">
        <f>+CV2371*1100</f>
        <v>0</v>
      </c>
      <c r="CX2371" s="76"/>
      <c r="CY2371" s="76">
        <f>+CX2371*106250</f>
        <v>0</v>
      </c>
      <c r="CZ2371" s="76"/>
      <c r="DA2371" s="76">
        <f>+CZ2371*34500</f>
        <v>0</v>
      </c>
      <c r="DB2371" s="76"/>
      <c r="DC2371" s="76">
        <f>+DB2371*25000</f>
        <v>0</v>
      </c>
      <c r="DD2371" s="219"/>
      <c r="DE2371" s="219"/>
      <c r="DF2371" s="166"/>
      <c r="DG2371" s="116"/>
      <c r="DH2371" s="117"/>
      <c r="DI2371" s="24"/>
      <c r="DJ2371" s="24"/>
      <c r="DK2371" s="24"/>
      <c r="DL2371" s="24"/>
      <c r="DM2371" s="24"/>
      <c r="DN2371" s="24"/>
      <c r="DO2371" s="24"/>
      <c r="DP2371" s="24"/>
      <c r="DQ2371" s="24"/>
      <c r="DR2371" s="24"/>
      <c r="DS2371" s="24"/>
      <c r="DT2371" s="24"/>
      <c r="DU2371" s="24"/>
    </row>
    <row r="2372" spans="1:125" s="8" customFormat="1" ht="36" x14ac:dyDescent="0.2">
      <c r="A2372" s="353">
        <v>41472</v>
      </c>
      <c r="B2372" s="352" t="s">
        <v>2854</v>
      </c>
      <c r="C2372" s="354" t="s">
        <v>862</v>
      </c>
      <c r="D2372" s="227" t="s">
        <v>2882</v>
      </c>
      <c r="E2372" s="75" t="str">
        <f>VLOOKUP(B2372&amp;C2372,Divipola!$C$2:$F$1138,4,FALSE)</f>
        <v>19585</v>
      </c>
      <c r="F2372" s="87"/>
      <c r="G2372" s="87">
        <v>1</v>
      </c>
      <c r="H2372" s="87"/>
      <c r="I2372" s="87"/>
      <c r="J2372" s="87"/>
      <c r="K2372" s="87"/>
      <c r="L2372" s="87"/>
      <c r="M2372" s="87"/>
      <c r="N2372" s="87"/>
      <c r="O2372" s="87"/>
      <c r="P2372" s="87"/>
      <c r="Q2372" s="87"/>
      <c r="R2372" s="87"/>
      <c r="S2372" s="87"/>
      <c r="T2372" s="87"/>
      <c r="U2372" s="88"/>
      <c r="V2372" s="89"/>
      <c r="W2372" s="96">
        <v>0</v>
      </c>
      <c r="X2372" s="71">
        <f>CU2372</f>
        <v>0</v>
      </c>
      <c r="Y2372" s="71">
        <f>CY2372</f>
        <v>0</v>
      </c>
      <c r="Z2372" s="71">
        <f>DA2372+DC2372+DE2372</f>
        <v>0</v>
      </c>
      <c r="AA2372" s="71">
        <f>CW2372</f>
        <v>0</v>
      </c>
      <c r="AB2372" s="71"/>
      <c r="AC2372" s="71">
        <v>0</v>
      </c>
      <c r="AD2372" s="71">
        <f>W2372+X2372+Y2372+Z2372+AA2372+AB2372+AC2372</f>
        <v>0</v>
      </c>
      <c r="AE2372" s="72">
        <v>0</v>
      </c>
      <c r="AF2372" s="5"/>
      <c r="AG2372" s="6"/>
      <c r="AH2372" s="27"/>
      <c r="AI2372" s="44"/>
      <c r="AJ2372" s="26"/>
      <c r="AK2372" s="5"/>
      <c r="AL2372" s="82" t="s">
        <v>5242</v>
      </c>
      <c r="AM2372" s="76"/>
      <c r="AN2372" s="76"/>
      <c r="AO2372" s="76"/>
      <c r="AP2372" s="76"/>
      <c r="AQ2372" s="76"/>
      <c r="AR2372" s="76"/>
      <c r="AS2372" s="76"/>
      <c r="AT2372" s="76"/>
      <c r="AU2372" s="76"/>
      <c r="AV2372" s="76"/>
      <c r="AW2372" s="76"/>
      <c r="AX2372" s="76">
        <f>+AW2372*600000</f>
        <v>0</v>
      </c>
      <c r="AY2372" s="76"/>
      <c r="AZ2372" s="76">
        <f>+AY2372*70000</f>
        <v>0</v>
      </c>
      <c r="BA2372" s="76"/>
      <c r="BB2372" s="76"/>
      <c r="BC2372" s="76"/>
      <c r="BD2372" s="76">
        <f>+BC2372*30000</f>
        <v>0</v>
      </c>
      <c r="BE2372" s="76"/>
      <c r="BF2372" s="76"/>
      <c r="BG2372" s="76"/>
      <c r="BH2372" s="76"/>
      <c r="BI2372" s="76"/>
      <c r="BJ2372" s="76"/>
      <c r="BK2372" s="76"/>
      <c r="BL2372" s="76">
        <f>+BK2372*31500</f>
        <v>0</v>
      </c>
      <c r="BM2372" s="76"/>
      <c r="BN2372" s="76"/>
      <c r="BO2372" s="76"/>
      <c r="BP2372" s="76"/>
      <c r="BQ2372" s="76"/>
      <c r="BR2372" s="76"/>
      <c r="BS2372" s="76"/>
      <c r="BT2372" s="76"/>
      <c r="BU2372" s="76"/>
      <c r="BV2372" s="76"/>
      <c r="BW2372" s="76"/>
      <c r="BX2372" s="76"/>
      <c r="BY2372" s="76"/>
      <c r="BZ2372" s="76"/>
      <c r="CA2372" s="76"/>
      <c r="CB2372" s="76"/>
      <c r="CC2372" s="76"/>
      <c r="CD2372" s="76"/>
      <c r="CE2372" s="76"/>
      <c r="CF2372" s="76">
        <f>+CE2372*28000</f>
        <v>0</v>
      </c>
      <c r="CG2372" s="76"/>
      <c r="CH2372" s="76">
        <f>+CG2372*22500</f>
        <v>0</v>
      </c>
      <c r="CI2372" s="76"/>
      <c r="CJ2372" s="76">
        <f>+CI2372*26000</f>
        <v>0</v>
      </c>
      <c r="CK2372" s="76"/>
      <c r="CL2372" s="76"/>
      <c r="CM2372" s="76"/>
      <c r="CN2372" s="76">
        <f>+CM2372*22000</f>
        <v>0</v>
      </c>
      <c r="CO2372" s="76"/>
      <c r="CP2372" s="76">
        <f>+CO2372*46000</f>
        <v>0</v>
      </c>
      <c r="CQ2372" s="76"/>
      <c r="CR2372" s="76">
        <f>+CQ2372*49000</f>
        <v>0</v>
      </c>
      <c r="CS2372" s="76"/>
      <c r="CT2372" s="76"/>
      <c r="CU2372" s="56">
        <f>AN2372+AP2372+AR2372+AT2372+AV2372+AX2372+AZ2372+BB2372+BD2372+BF2372+BH2372+BJ2372+BL2372+BN2372+BP2372+BR2372+BT2372+BV2372+BX2372+BZ2372+CB2372+CD2372+CF2372+CH2372+CJ2372+CL2372+CN2372+CP2372+CR2372+CT2372</f>
        <v>0</v>
      </c>
      <c r="CV2372" s="76"/>
      <c r="CW2372" s="76">
        <f>+CV2372*1100</f>
        <v>0</v>
      </c>
      <c r="CX2372" s="76"/>
      <c r="CY2372" s="76">
        <f>+CX2372*106250</f>
        <v>0</v>
      </c>
      <c r="CZ2372" s="76"/>
      <c r="DA2372" s="76">
        <f>+CZ2372*34500</f>
        <v>0</v>
      </c>
      <c r="DB2372" s="76"/>
      <c r="DC2372" s="76">
        <f>+DB2372*25000</f>
        <v>0</v>
      </c>
      <c r="DD2372" s="219"/>
      <c r="DE2372" s="219"/>
      <c r="DF2372" s="166"/>
      <c r="DG2372" s="116"/>
      <c r="DH2372" s="117"/>
      <c r="DI2372" s="24"/>
      <c r="DJ2372" s="24"/>
      <c r="DK2372" s="24"/>
      <c r="DL2372" s="24"/>
      <c r="DM2372" s="24"/>
      <c r="DN2372" s="24"/>
      <c r="DO2372" s="24"/>
      <c r="DP2372" s="24"/>
      <c r="DQ2372" s="24"/>
      <c r="DR2372" s="24"/>
      <c r="DS2372" s="24"/>
      <c r="DT2372" s="24"/>
      <c r="DU2372" s="24"/>
    </row>
    <row r="2373" spans="1:125" s="8" customFormat="1" ht="36" x14ac:dyDescent="0.2">
      <c r="A2373" s="97">
        <v>41472</v>
      </c>
      <c r="B2373" s="60" t="s">
        <v>2854</v>
      </c>
      <c r="C2373" s="55" t="s">
        <v>2769</v>
      </c>
      <c r="D2373" s="227" t="s">
        <v>3051</v>
      </c>
      <c r="E2373" s="75" t="str">
        <f>VLOOKUP(B2373&amp;C2373,Divipola!$C$2:$F$1138,4,FALSE)</f>
        <v>19824</v>
      </c>
      <c r="F2373" s="87"/>
      <c r="G2373" s="87"/>
      <c r="H2373" s="87"/>
      <c r="I2373" s="87">
        <v>5</v>
      </c>
      <c r="J2373" s="87">
        <v>1</v>
      </c>
      <c r="K2373" s="87">
        <v>1</v>
      </c>
      <c r="L2373" s="87"/>
      <c r="M2373" s="87"/>
      <c r="N2373" s="87"/>
      <c r="O2373" s="87"/>
      <c r="P2373" s="87"/>
      <c r="Q2373" s="87"/>
      <c r="R2373" s="87"/>
      <c r="S2373" s="87"/>
      <c r="T2373" s="87"/>
      <c r="U2373" s="88"/>
      <c r="V2373" s="89"/>
      <c r="W2373" s="96">
        <v>0</v>
      </c>
      <c r="X2373" s="71">
        <f>CU2373</f>
        <v>0</v>
      </c>
      <c r="Y2373" s="71">
        <f>CY2373</f>
        <v>0</v>
      </c>
      <c r="Z2373" s="71">
        <f>DA2373+DC2373+DE2373</f>
        <v>0</v>
      </c>
      <c r="AA2373" s="71">
        <f>CW2373</f>
        <v>0</v>
      </c>
      <c r="AB2373" s="71"/>
      <c r="AC2373" s="71">
        <v>0</v>
      </c>
      <c r="AD2373" s="71">
        <f>W2373+X2373+Y2373+Z2373+AA2373+AB2373+AC2373</f>
        <v>0</v>
      </c>
      <c r="AE2373" s="72">
        <v>0</v>
      </c>
      <c r="AF2373" s="5"/>
      <c r="AG2373" s="6"/>
      <c r="AH2373" s="27"/>
      <c r="AI2373" s="44"/>
      <c r="AJ2373" s="26"/>
      <c r="AK2373" s="5"/>
      <c r="AL2373" s="82" t="s">
        <v>5241</v>
      </c>
      <c r="AM2373" s="76"/>
      <c r="AN2373" s="76"/>
      <c r="AO2373" s="76"/>
      <c r="AP2373" s="76"/>
      <c r="AQ2373" s="76"/>
      <c r="AR2373" s="76"/>
      <c r="AS2373" s="76"/>
      <c r="AT2373" s="76"/>
      <c r="AU2373" s="76"/>
      <c r="AV2373" s="76"/>
      <c r="AW2373" s="76"/>
      <c r="AX2373" s="76">
        <f>+AW2373*600000</f>
        <v>0</v>
      </c>
      <c r="AY2373" s="76"/>
      <c r="AZ2373" s="76">
        <f>+AY2373*70000</f>
        <v>0</v>
      </c>
      <c r="BA2373" s="76"/>
      <c r="BB2373" s="76"/>
      <c r="BC2373" s="76"/>
      <c r="BD2373" s="76">
        <f>+BC2373*30000</f>
        <v>0</v>
      </c>
      <c r="BE2373" s="76"/>
      <c r="BF2373" s="76"/>
      <c r="BG2373" s="76"/>
      <c r="BH2373" s="76"/>
      <c r="BI2373" s="76"/>
      <c r="BJ2373" s="76"/>
      <c r="BK2373" s="76"/>
      <c r="BL2373" s="76">
        <f>+BK2373*31500</f>
        <v>0</v>
      </c>
      <c r="BM2373" s="76"/>
      <c r="BN2373" s="76"/>
      <c r="BO2373" s="76"/>
      <c r="BP2373" s="76"/>
      <c r="BQ2373" s="76"/>
      <c r="BR2373" s="76"/>
      <c r="BS2373" s="76"/>
      <c r="BT2373" s="76"/>
      <c r="BU2373" s="76"/>
      <c r="BV2373" s="76"/>
      <c r="BW2373" s="76"/>
      <c r="BX2373" s="76"/>
      <c r="BY2373" s="76"/>
      <c r="BZ2373" s="76"/>
      <c r="CA2373" s="76"/>
      <c r="CB2373" s="76"/>
      <c r="CC2373" s="76"/>
      <c r="CD2373" s="76"/>
      <c r="CE2373" s="76"/>
      <c r="CF2373" s="76">
        <f>+CE2373*28000</f>
        <v>0</v>
      </c>
      <c r="CG2373" s="76"/>
      <c r="CH2373" s="76">
        <f>+CG2373*22500</f>
        <v>0</v>
      </c>
      <c r="CI2373" s="76"/>
      <c r="CJ2373" s="76">
        <f>+CI2373*26000</f>
        <v>0</v>
      </c>
      <c r="CK2373" s="76"/>
      <c r="CL2373" s="76"/>
      <c r="CM2373" s="76"/>
      <c r="CN2373" s="76">
        <f>+CM2373*22000</f>
        <v>0</v>
      </c>
      <c r="CO2373" s="76"/>
      <c r="CP2373" s="76">
        <f>+CO2373*46000</f>
        <v>0</v>
      </c>
      <c r="CQ2373" s="76"/>
      <c r="CR2373" s="76">
        <f>+CQ2373*49000</f>
        <v>0</v>
      </c>
      <c r="CS2373" s="76"/>
      <c r="CT2373" s="76"/>
      <c r="CU2373" s="56">
        <f>AN2373+AP2373+AR2373+AT2373+AV2373+AX2373+AZ2373+BB2373+BD2373+BF2373+BH2373+BJ2373+BL2373+BN2373+BP2373+BR2373+BT2373+BV2373+BX2373+BZ2373+CB2373+CD2373+CF2373+CH2373+CJ2373+CL2373+CN2373+CP2373+CR2373+CT2373</f>
        <v>0</v>
      </c>
      <c r="CV2373" s="76"/>
      <c r="CW2373" s="76">
        <f>+CV2373*1100</f>
        <v>0</v>
      </c>
      <c r="CX2373" s="76"/>
      <c r="CY2373" s="76">
        <f>+CX2373*106250</f>
        <v>0</v>
      </c>
      <c r="CZ2373" s="76"/>
      <c r="DA2373" s="76">
        <f>+CZ2373*34500</f>
        <v>0</v>
      </c>
      <c r="DB2373" s="76"/>
      <c r="DC2373" s="76">
        <f>+DB2373*25000</f>
        <v>0</v>
      </c>
      <c r="DD2373" s="219"/>
      <c r="DE2373" s="219"/>
      <c r="DF2373" s="166"/>
      <c r="DG2373" s="116"/>
      <c r="DH2373" s="117"/>
      <c r="DI2373" s="24"/>
      <c r="DJ2373" s="24"/>
      <c r="DK2373" s="24"/>
      <c r="DL2373" s="24"/>
      <c r="DM2373" s="24"/>
      <c r="DN2373" s="24"/>
      <c r="DO2373" s="24"/>
      <c r="DP2373" s="24"/>
      <c r="DQ2373" s="24"/>
      <c r="DR2373" s="24"/>
      <c r="DS2373" s="24"/>
      <c r="DT2373" s="24"/>
      <c r="DU2373" s="24"/>
    </row>
    <row r="2374" spans="1:125" s="8" customFormat="1" ht="60" x14ac:dyDescent="0.2">
      <c r="A2374" s="353">
        <v>41472</v>
      </c>
      <c r="B2374" s="225" t="s">
        <v>2852</v>
      </c>
      <c r="C2374" s="227" t="s">
        <v>1241</v>
      </c>
      <c r="D2374" s="227" t="s">
        <v>2846</v>
      </c>
      <c r="E2374" s="75" t="str">
        <f>VLOOKUP(B2374&amp;C2374,Divipola!$C$2:$F$1138,4,FALSE)</f>
        <v>27425</v>
      </c>
      <c r="F2374" s="87"/>
      <c r="G2374" s="87"/>
      <c r="H2374" s="87"/>
      <c r="I2374" s="87">
        <v>370</v>
      </c>
      <c r="J2374" s="87">
        <v>74</v>
      </c>
      <c r="K2374" s="87">
        <v>1</v>
      </c>
      <c r="L2374" s="87">
        <v>73</v>
      </c>
      <c r="M2374" s="87"/>
      <c r="N2374" s="87"/>
      <c r="O2374" s="87"/>
      <c r="P2374" s="87"/>
      <c r="Q2374" s="87"/>
      <c r="R2374" s="87"/>
      <c r="S2374" s="87"/>
      <c r="T2374" s="87"/>
      <c r="U2374" s="88">
        <v>200</v>
      </c>
      <c r="V2374" s="89"/>
      <c r="W2374" s="96">
        <v>0</v>
      </c>
      <c r="X2374" s="71">
        <f>CU2374</f>
        <v>0</v>
      </c>
      <c r="Y2374" s="71">
        <f>CY2374</f>
        <v>0</v>
      </c>
      <c r="Z2374" s="71">
        <f>DA2374+DC2374+DE2374</f>
        <v>0</v>
      </c>
      <c r="AA2374" s="71">
        <f>CW2374</f>
        <v>0</v>
      </c>
      <c r="AB2374" s="71"/>
      <c r="AC2374" s="71">
        <v>0</v>
      </c>
      <c r="AD2374" s="71">
        <f>W2374+X2374+Y2374+Z2374+AA2374+AB2374+AC2374</f>
        <v>0</v>
      </c>
      <c r="AE2374" s="72">
        <v>0</v>
      </c>
      <c r="AF2374" s="5"/>
      <c r="AG2374" s="6"/>
      <c r="AH2374" s="27"/>
      <c r="AI2374" s="44"/>
      <c r="AJ2374" s="26"/>
      <c r="AK2374" s="5"/>
      <c r="AL2374" s="82" t="s">
        <v>5247</v>
      </c>
      <c r="AM2374" s="76"/>
      <c r="AN2374" s="76"/>
      <c r="AO2374" s="76"/>
      <c r="AP2374" s="76"/>
      <c r="AQ2374" s="76"/>
      <c r="AR2374" s="76"/>
      <c r="AS2374" s="76"/>
      <c r="AT2374" s="76"/>
      <c r="AU2374" s="76"/>
      <c r="AV2374" s="76"/>
      <c r="AW2374" s="76"/>
      <c r="AX2374" s="76">
        <f>+AW2374*600000</f>
        <v>0</v>
      </c>
      <c r="AY2374" s="76"/>
      <c r="AZ2374" s="76">
        <f>+AY2374*70000</f>
        <v>0</v>
      </c>
      <c r="BA2374" s="76"/>
      <c r="BB2374" s="76"/>
      <c r="BC2374" s="76"/>
      <c r="BD2374" s="76">
        <f>+BC2374*30000</f>
        <v>0</v>
      </c>
      <c r="BE2374" s="76"/>
      <c r="BF2374" s="76"/>
      <c r="BG2374" s="76"/>
      <c r="BH2374" s="76"/>
      <c r="BI2374" s="76"/>
      <c r="BJ2374" s="76"/>
      <c r="BK2374" s="76"/>
      <c r="BL2374" s="76">
        <f>+BK2374*31500</f>
        <v>0</v>
      </c>
      <c r="BM2374" s="76"/>
      <c r="BN2374" s="76"/>
      <c r="BO2374" s="76"/>
      <c r="BP2374" s="76"/>
      <c r="BQ2374" s="76"/>
      <c r="BR2374" s="76"/>
      <c r="BS2374" s="76"/>
      <c r="BT2374" s="76"/>
      <c r="BU2374" s="76"/>
      <c r="BV2374" s="76"/>
      <c r="BW2374" s="76"/>
      <c r="BX2374" s="76"/>
      <c r="BY2374" s="76"/>
      <c r="BZ2374" s="76"/>
      <c r="CA2374" s="76"/>
      <c r="CB2374" s="76"/>
      <c r="CC2374" s="76"/>
      <c r="CD2374" s="76"/>
      <c r="CE2374" s="76"/>
      <c r="CF2374" s="76">
        <f>+CE2374*28000</f>
        <v>0</v>
      </c>
      <c r="CG2374" s="76"/>
      <c r="CH2374" s="76">
        <f>+CG2374*22500</f>
        <v>0</v>
      </c>
      <c r="CI2374" s="76"/>
      <c r="CJ2374" s="76">
        <f>+CI2374*26000</f>
        <v>0</v>
      </c>
      <c r="CK2374" s="76"/>
      <c r="CL2374" s="76"/>
      <c r="CM2374" s="76"/>
      <c r="CN2374" s="76">
        <f>+CM2374*22000</f>
        <v>0</v>
      </c>
      <c r="CO2374" s="76"/>
      <c r="CP2374" s="76">
        <f>+CO2374*46000</f>
        <v>0</v>
      </c>
      <c r="CQ2374" s="76"/>
      <c r="CR2374" s="76">
        <f>+CQ2374*49000</f>
        <v>0</v>
      </c>
      <c r="CS2374" s="76"/>
      <c r="CT2374" s="76"/>
      <c r="CU2374" s="56">
        <f>AN2374+AP2374+AR2374+AT2374+AV2374+AX2374+AZ2374+BB2374+BD2374+BF2374+BH2374+BJ2374+BL2374+BN2374+BP2374+BR2374+BT2374+BV2374+BX2374+BZ2374+CB2374+CD2374+CF2374+CH2374+CJ2374+CL2374+CN2374+CP2374+CR2374+CT2374</f>
        <v>0</v>
      </c>
      <c r="CV2374" s="76"/>
      <c r="CW2374" s="76">
        <f>+CV2374*1100</f>
        <v>0</v>
      </c>
      <c r="CX2374" s="76"/>
      <c r="CY2374" s="76">
        <f>+CX2374*106250</f>
        <v>0</v>
      </c>
      <c r="CZ2374" s="76"/>
      <c r="DA2374" s="76">
        <f>+CZ2374*34500</f>
        <v>0</v>
      </c>
      <c r="DB2374" s="76"/>
      <c r="DC2374" s="76">
        <f>+DB2374*25000</f>
        <v>0</v>
      </c>
      <c r="DD2374" s="219"/>
      <c r="DE2374" s="219"/>
      <c r="DF2374" s="166"/>
      <c r="DG2374" s="116"/>
      <c r="DH2374" s="117"/>
      <c r="DI2374" s="24"/>
      <c r="DJ2374" s="24"/>
      <c r="DK2374" s="24"/>
      <c r="DL2374" s="24"/>
      <c r="DM2374" s="24"/>
      <c r="DN2374" s="24"/>
      <c r="DO2374" s="24"/>
      <c r="DP2374" s="24"/>
      <c r="DQ2374" s="24"/>
      <c r="DR2374" s="24"/>
      <c r="DS2374" s="24"/>
      <c r="DT2374" s="24"/>
      <c r="DU2374" s="24"/>
    </row>
    <row r="2375" spans="1:125" s="8" customFormat="1" ht="36" x14ac:dyDescent="0.2">
      <c r="A2375" s="353">
        <v>41472</v>
      </c>
      <c r="B2375" s="352" t="s">
        <v>2661</v>
      </c>
      <c r="C2375" s="354" t="s">
        <v>1351</v>
      </c>
      <c r="D2375" s="354" t="s">
        <v>3051</v>
      </c>
      <c r="E2375" s="75" t="str">
        <f>VLOOKUP(B2375&amp;C2375,Divipola!$C$2:$F$1138,4,FALSE)</f>
        <v>41551</v>
      </c>
      <c r="F2375" s="87"/>
      <c r="G2375" s="87"/>
      <c r="H2375" s="87"/>
      <c r="I2375" s="87"/>
      <c r="J2375" s="87"/>
      <c r="K2375" s="87"/>
      <c r="L2375" s="87"/>
      <c r="M2375" s="87"/>
      <c r="N2375" s="87"/>
      <c r="O2375" s="87"/>
      <c r="P2375" s="87"/>
      <c r="Q2375" s="87"/>
      <c r="R2375" s="87"/>
      <c r="S2375" s="87"/>
      <c r="T2375" s="87"/>
      <c r="U2375" s="88"/>
      <c r="V2375" s="89"/>
      <c r="W2375" s="96">
        <v>0</v>
      </c>
      <c r="X2375" s="71">
        <f>CU2375</f>
        <v>0</v>
      </c>
      <c r="Y2375" s="71">
        <f>CY2375</f>
        <v>0</v>
      </c>
      <c r="Z2375" s="71">
        <f>DA2375+DC2375+DE2375</f>
        <v>0</v>
      </c>
      <c r="AA2375" s="71">
        <f>CW2375</f>
        <v>0</v>
      </c>
      <c r="AB2375" s="71"/>
      <c r="AC2375" s="71">
        <v>0</v>
      </c>
      <c r="AD2375" s="71">
        <f>W2375+X2375+Y2375+Z2375+AA2375+AB2375+AC2375</f>
        <v>0</v>
      </c>
      <c r="AE2375" s="72">
        <v>0</v>
      </c>
      <c r="AF2375" s="5"/>
      <c r="AG2375" s="6"/>
      <c r="AH2375" s="27"/>
      <c r="AI2375" s="44"/>
      <c r="AJ2375" s="26"/>
      <c r="AK2375" s="5"/>
      <c r="AL2375" s="82" t="s">
        <v>5245</v>
      </c>
      <c r="AM2375" s="76"/>
      <c r="AN2375" s="76"/>
      <c r="AO2375" s="76"/>
      <c r="AP2375" s="76"/>
      <c r="AQ2375" s="76"/>
      <c r="AR2375" s="76"/>
      <c r="AS2375" s="76"/>
      <c r="AT2375" s="76"/>
      <c r="AU2375" s="76"/>
      <c r="AV2375" s="76"/>
      <c r="AW2375" s="76"/>
      <c r="AX2375" s="76">
        <f>+AW2375*600000</f>
        <v>0</v>
      </c>
      <c r="AY2375" s="76"/>
      <c r="AZ2375" s="76">
        <f>+AY2375*70000</f>
        <v>0</v>
      </c>
      <c r="BA2375" s="76"/>
      <c r="BB2375" s="76"/>
      <c r="BC2375" s="76"/>
      <c r="BD2375" s="76">
        <f>+BC2375*30000</f>
        <v>0</v>
      </c>
      <c r="BE2375" s="76"/>
      <c r="BF2375" s="76"/>
      <c r="BG2375" s="76"/>
      <c r="BH2375" s="76"/>
      <c r="BI2375" s="76"/>
      <c r="BJ2375" s="76"/>
      <c r="BK2375" s="76"/>
      <c r="BL2375" s="76">
        <f>+BK2375*31500</f>
        <v>0</v>
      </c>
      <c r="BM2375" s="76"/>
      <c r="BN2375" s="76"/>
      <c r="BO2375" s="76"/>
      <c r="BP2375" s="76"/>
      <c r="BQ2375" s="76"/>
      <c r="BR2375" s="76"/>
      <c r="BS2375" s="76"/>
      <c r="BT2375" s="76"/>
      <c r="BU2375" s="76"/>
      <c r="BV2375" s="76"/>
      <c r="BW2375" s="76"/>
      <c r="BX2375" s="76"/>
      <c r="BY2375" s="76"/>
      <c r="BZ2375" s="76"/>
      <c r="CA2375" s="76"/>
      <c r="CB2375" s="76"/>
      <c r="CC2375" s="76"/>
      <c r="CD2375" s="76"/>
      <c r="CE2375" s="76"/>
      <c r="CF2375" s="76">
        <f>+CE2375*28000</f>
        <v>0</v>
      </c>
      <c r="CG2375" s="76"/>
      <c r="CH2375" s="76">
        <f>+CG2375*22500</f>
        <v>0</v>
      </c>
      <c r="CI2375" s="76"/>
      <c r="CJ2375" s="76">
        <f>+CI2375*26000</f>
        <v>0</v>
      </c>
      <c r="CK2375" s="76"/>
      <c r="CL2375" s="76"/>
      <c r="CM2375" s="76"/>
      <c r="CN2375" s="76">
        <f>+CM2375*22000</f>
        <v>0</v>
      </c>
      <c r="CO2375" s="76"/>
      <c r="CP2375" s="76">
        <f>+CO2375*46000</f>
        <v>0</v>
      </c>
      <c r="CQ2375" s="76"/>
      <c r="CR2375" s="76">
        <f>+CQ2375*49000</f>
        <v>0</v>
      </c>
      <c r="CS2375" s="76"/>
      <c r="CT2375" s="76"/>
      <c r="CU2375" s="56">
        <f>AN2375+AP2375+AR2375+AT2375+AV2375+AX2375+AZ2375+BB2375+BD2375+BF2375+BH2375+BJ2375+BL2375+BN2375+BP2375+BR2375+BT2375+BV2375+BX2375+BZ2375+CB2375+CD2375+CF2375+CH2375+CJ2375+CL2375+CN2375+CP2375+CR2375+CT2375</f>
        <v>0</v>
      </c>
      <c r="CV2375" s="76"/>
      <c r="CW2375" s="76">
        <f>+CV2375*1100</f>
        <v>0</v>
      </c>
      <c r="CX2375" s="76"/>
      <c r="CY2375" s="76">
        <f>+CX2375*106250</f>
        <v>0</v>
      </c>
      <c r="CZ2375" s="76"/>
      <c r="DA2375" s="76">
        <f>+CZ2375*34500</f>
        <v>0</v>
      </c>
      <c r="DB2375" s="76"/>
      <c r="DC2375" s="76">
        <f>+DB2375*25000</f>
        <v>0</v>
      </c>
      <c r="DD2375" s="219"/>
      <c r="DE2375" s="219"/>
      <c r="DF2375" s="166"/>
      <c r="DG2375" s="116"/>
      <c r="DH2375" s="117"/>
      <c r="DI2375" s="24"/>
      <c r="DJ2375" s="24"/>
      <c r="DK2375" s="24"/>
      <c r="DL2375" s="24"/>
      <c r="DM2375" s="24"/>
      <c r="DN2375" s="24"/>
      <c r="DO2375" s="24"/>
      <c r="DP2375" s="24"/>
      <c r="DQ2375" s="24"/>
      <c r="DR2375" s="24"/>
      <c r="DS2375" s="24"/>
      <c r="DT2375" s="24"/>
      <c r="DU2375" s="24"/>
    </row>
    <row r="2376" spans="1:125" s="8" customFormat="1" ht="180" x14ac:dyDescent="0.2">
      <c r="A2376" s="353">
        <v>41472</v>
      </c>
      <c r="B2376" s="353" t="s">
        <v>3131</v>
      </c>
      <c r="C2376" s="353" t="s">
        <v>2747</v>
      </c>
      <c r="D2376" s="75" t="s">
        <v>3051</v>
      </c>
      <c r="E2376" s="75" t="str">
        <f>VLOOKUP(B2376&amp;C2376,Divipola!$C$2:$F$1138,4,FALSE)</f>
        <v>86001</v>
      </c>
      <c r="F2376" s="87"/>
      <c r="G2376" s="87"/>
      <c r="H2376" s="87"/>
      <c r="I2376" s="87">
        <v>40</v>
      </c>
      <c r="J2376" s="87">
        <v>8</v>
      </c>
      <c r="K2376" s="87"/>
      <c r="L2376" s="87"/>
      <c r="M2376" s="87"/>
      <c r="N2376" s="87"/>
      <c r="O2376" s="87"/>
      <c r="P2376" s="87"/>
      <c r="Q2376" s="87"/>
      <c r="R2376" s="87"/>
      <c r="S2376" s="87"/>
      <c r="T2376" s="87"/>
      <c r="U2376" s="88"/>
      <c r="V2376" s="89"/>
      <c r="W2376" s="96">
        <v>0</v>
      </c>
      <c r="X2376" s="71">
        <f>CU2376</f>
        <v>2898000</v>
      </c>
      <c r="Y2376" s="71">
        <f>CY2376</f>
        <v>6615000</v>
      </c>
      <c r="Z2376" s="71">
        <f>DA2376+DC2376+DE2376</f>
        <v>0</v>
      </c>
      <c r="AA2376" s="71">
        <f>CW2376</f>
        <v>0</v>
      </c>
      <c r="AB2376" s="71"/>
      <c r="AC2376" s="71">
        <v>0</v>
      </c>
      <c r="AD2376" s="71">
        <f>W2376+X2376+Y2376+Z2376+AA2376+AB2376+AC2376</f>
        <v>9513000</v>
      </c>
      <c r="AE2376" s="72">
        <v>0</v>
      </c>
      <c r="AF2376" s="5"/>
      <c r="AG2376" s="6"/>
      <c r="AH2376" s="27" t="s">
        <v>3390</v>
      </c>
      <c r="AI2376" s="44" t="s">
        <v>3391</v>
      </c>
      <c r="AJ2376" s="26"/>
      <c r="AK2376" s="5"/>
      <c r="AL2376" s="82" t="s">
        <v>5287</v>
      </c>
      <c r="AM2376" s="76"/>
      <c r="AN2376" s="76"/>
      <c r="AO2376" s="76"/>
      <c r="AP2376" s="76"/>
      <c r="AQ2376" s="76"/>
      <c r="AR2376" s="76"/>
      <c r="AS2376" s="76"/>
      <c r="AT2376" s="76"/>
      <c r="AU2376" s="76"/>
      <c r="AV2376" s="76"/>
      <c r="AW2376" s="76"/>
      <c r="AX2376" s="76">
        <f>+AW2376*600000</f>
        <v>0</v>
      </c>
      <c r="AY2376" s="76"/>
      <c r="AZ2376" s="76">
        <f>+AY2376*70000</f>
        <v>0</v>
      </c>
      <c r="BA2376" s="76"/>
      <c r="BB2376" s="76"/>
      <c r="BC2376" s="76"/>
      <c r="BD2376" s="76">
        <f>+BC2376*30000</f>
        <v>0</v>
      </c>
      <c r="BE2376" s="76"/>
      <c r="BF2376" s="76"/>
      <c r="BG2376" s="76"/>
      <c r="BH2376" s="76"/>
      <c r="BI2376" s="76"/>
      <c r="BJ2376" s="76"/>
      <c r="BK2376" s="76"/>
      <c r="BL2376" s="76">
        <f>+BK2376*31500</f>
        <v>0</v>
      </c>
      <c r="BM2376" s="76"/>
      <c r="BN2376" s="76"/>
      <c r="BO2376" s="76"/>
      <c r="BP2376" s="76"/>
      <c r="BQ2376" s="76"/>
      <c r="BR2376" s="76"/>
      <c r="BS2376" s="76"/>
      <c r="BT2376" s="76"/>
      <c r="BU2376" s="76"/>
      <c r="BV2376" s="76"/>
      <c r="BW2376" s="76"/>
      <c r="BX2376" s="76"/>
      <c r="BY2376" s="76"/>
      <c r="BZ2376" s="76"/>
      <c r="CA2376" s="76"/>
      <c r="CB2376" s="76"/>
      <c r="CC2376" s="76"/>
      <c r="CD2376" s="76"/>
      <c r="CE2376" s="76"/>
      <c r="CF2376" s="76">
        <f>+CE2376*28000</f>
        <v>0</v>
      </c>
      <c r="CG2376" s="76"/>
      <c r="CH2376" s="76">
        <f>+CG2376*22500</f>
        <v>0</v>
      </c>
      <c r="CI2376" s="76"/>
      <c r="CJ2376" s="76">
        <f>+CI2376*26000</f>
        <v>0</v>
      </c>
      <c r="CK2376" s="76"/>
      <c r="CL2376" s="76"/>
      <c r="CM2376" s="76"/>
      <c r="CN2376" s="76">
        <f>+CM2376*22000</f>
        <v>0</v>
      </c>
      <c r="CO2376" s="86">
        <v>63</v>
      </c>
      <c r="CP2376" s="86">
        <f>+CO2376*46000</f>
        <v>2898000</v>
      </c>
      <c r="CQ2376" s="76"/>
      <c r="CR2376" s="76">
        <f>+CQ2376*49000</f>
        <v>0</v>
      </c>
      <c r="CS2376" s="76"/>
      <c r="CT2376" s="76"/>
      <c r="CU2376" s="56">
        <f>AN2376+AP2376+AR2376+AT2376+AV2376+AX2376+AZ2376+BB2376+BD2376+BF2376+BH2376+BJ2376+BL2376+BN2376+BP2376+BR2376+BT2376+BV2376+BX2376+BZ2376+CB2376+CD2376+CF2376+CH2376+CJ2376+CL2376+CN2376+CP2376+CR2376+CT2376</f>
        <v>2898000</v>
      </c>
      <c r="CV2376" s="76"/>
      <c r="CW2376" s="76">
        <f>+CV2376*1100</f>
        <v>0</v>
      </c>
      <c r="CX2376" s="86">
        <v>63</v>
      </c>
      <c r="CY2376" s="86">
        <f>+CX2376*105000</f>
        <v>6615000</v>
      </c>
      <c r="CZ2376" s="76"/>
      <c r="DA2376" s="76">
        <f>+CZ2376*34500</f>
        <v>0</v>
      </c>
      <c r="DB2376" s="76"/>
      <c r="DC2376" s="76">
        <f>+DB2376*25000</f>
        <v>0</v>
      </c>
      <c r="DD2376" s="219"/>
      <c r="DE2376" s="219"/>
      <c r="DF2376" s="166"/>
      <c r="DG2376" s="134" t="s">
        <v>6039</v>
      </c>
      <c r="DH2376" s="117"/>
      <c r="DI2376" s="24"/>
      <c r="DJ2376" s="24"/>
      <c r="DK2376" s="24"/>
      <c r="DL2376" s="24"/>
      <c r="DM2376" s="24"/>
      <c r="DN2376" s="24"/>
      <c r="DO2376" s="24"/>
      <c r="DP2376" s="24"/>
      <c r="DQ2376" s="24"/>
      <c r="DR2376" s="24"/>
      <c r="DS2376" s="24"/>
      <c r="DT2376" s="24"/>
      <c r="DU2376" s="24"/>
    </row>
    <row r="2377" spans="1:125" s="8" customFormat="1" x14ac:dyDescent="0.2">
      <c r="A2377" s="77">
        <v>41472</v>
      </c>
      <c r="B2377" s="78" t="s">
        <v>3131</v>
      </c>
      <c r="C2377" s="75" t="s">
        <v>2689</v>
      </c>
      <c r="D2377" s="75" t="s">
        <v>3051</v>
      </c>
      <c r="E2377" s="353" t="str">
        <f>VLOOKUP(B2377&amp;C2377,Divipola!$C$2:$F$1138,4,FALSE)</f>
        <v>86320</v>
      </c>
      <c r="F2377" s="61"/>
      <c r="G2377" s="61"/>
      <c r="H2377" s="61"/>
      <c r="I2377" s="61"/>
      <c r="J2377" s="61"/>
      <c r="K2377" s="61"/>
      <c r="L2377" s="61"/>
      <c r="M2377" s="61"/>
      <c r="N2377" s="61"/>
      <c r="O2377" s="61"/>
      <c r="P2377" s="61"/>
      <c r="Q2377" s="61"/>
      <c r="R2377" s="61"/>
      <c r="S2377" s="61"/>
      <c r="T2377" s="61"/>
      <c r="U2377" s="61"/>
      <c r="V2377" s="7"/>
      <c r="W2377" s="96">
        <v>0</v>
      </c>
      <c r="X2377" s="71">
        <f>CU2377</f>
        <v>218156328</v>
      </c>
      <c r="Y2377" s="71">
        <f>CY2377</f>
        <v>94671468</v>
      </c>
      <c r="Z2377" s="71">
        <f>DA2377+DC2377+DE2377</f>
        <v>0</v>
      </c>
      <c r="AA2377" s="71">
        <f>CW2377</f>
        <v>0</v>
      </c>
      <c r="AB2377" s="71"/>
      <c r="AC2377" s="71">
        <v>0</v>
      </c>
      <c r="AD2377" s="71">
        <f>W2377+X2377+Y2377+Z2377+AA2377+AB2377+AC2377</f>
        <v>312827796</v>
      </c>
      <c r="AE2377" s="72">
        <v>0</v>
      </c>
      <c r="AF2377" s="5"/>
      <c r="AG2377" s="6"/>
      <c r="AH2377" s="27"/>
      <c r="AI2377" s="44"/>
      <c r="AJ2377" s="26"/>
      <c r="AK2377" s="5"/>
      <c r="AL2377" s="9"/>
      <c r="AM2377" s="76"/>
      <c r="AN2377" s="76"/>
      <c r="AO2377" s="76"/>
      <c r="AP2377" s="76"/>
      <c r="AQ2377" s="76"/>
      <c r="AR2377" s="76"/>
      <c r="AS2377" s="76"/>
      <c r="AT2377" s="76"/>
      <c r="AU2377" s="76"/>
      <c r="AV2377" s="76"/>
      <c r="AW2377" s="76"/>
      <c r="AX2377" s="76">
        <f>+AW2377*600000</f>
        <v>0</v>
      </c>
      <c r="AY2377" s="86">
        <v>900</v>
      </c>
      <c r="AZ2377" s="86">
        <f>+AY2377*69999.04</f>
        <v>62999135.999999993</v>
      </c>
      <c r="BA2377" s="76"/>
      <c r="BB2377" s="76"/>
      <c r="BC2377" s="76"/>
      <c r="BD2377" s="76">
        <f>+BC2377*30000</f>
        <v>0</v>
      </c>
      <c r="BE2377" s="76"/>
      <c r="BF2377" s="76"/>
      <c r="BG2377" s="76"/>
      <c r="BH2377" s="76"/>
      <c r="BI2377" s="76"/>
      <c r="BJ2377" s="76"/>
      <c r="BK2377" s="76"/>
      <c r="BL2377" s="76">
        <f>+BK2377*31500</f>
        <v>0</v>
      </c>
      <c r="BM2377" s="76"/>
      <c r="BN2377" s="76"/>
      <c r="BO2377" s="76"/>
      <c r="BP2377" s="76"/>
      <c r="BQ2377" s="76"/>
      <c r="BR2377" s="76"/>
      <c r="BS2377" s="76"/>
      <c r="BT2377" s="76"/>
      <c r="BU2377" s="76"/>
      <c r="BV2377" s="76"/>
      <c r="BW2377" s="76"/>
      <c r="BX2377" s="76"/>
      <c r="BY2377" s="76"/>
      <c r="BZ2377" s="76"/>
      <c r="CA2377" s="76"/>
      <c r="CB2377" s="76"/>
      <c r="CC2377" s="76"/>
      <c r="CD2377" s="76"/>
      <c r="CE2377" s="76"/>
      <c r="CF2377" s="76">
        <f>+CE2377*28000</f>
        <v>0</v>
      </c>
      <c r="CG2377" s="76"/>
      <c r="CH2377" s="76">
        <f>+CG2377*22500</f>
        <v>0</v>
      </c>
      <c r="CI2377" s="86">
        <v>1800</v>
      </c>
      <c r="CJ2377" s="86">
        <f>+CI2377*25999.08</f>
        <v>46798344</v>
      </c>
      <c r="CK2377" s="76"/>
      <c r="CL2377" s="76"/>
      <c r="CM2377" s="86">
        <v>900</v>
      </c>
      <c r="CN2377" s="86">
        <f>+CM2377*25399.36</f>
        <v>22859424</v>
      </c>
      <c r="CO2377" s="86">
        <v>900</v>
      </c>
      <c r="CP2377" s="86">
        <f>+CO2377*45999.8</f>
        <v>41399820</v>
      </c>
      <c r="CQ2377" s="86">
        <v>900</v>
      </c>
      <c r="CR2377" s="86">
        <f>+CQ2377*48999.56</f>
        <v>44099604</v>
      </c>
      <c r="CS2377" s="76"/>
      <c r="CT2377" s="76"/>
      <c r="CU2377" s="56">
        <f>AN2377+AP2377+AR2377+AT2377+AV2377+AX2377+AZ2377+BB2377+BD2377+BF2377+BH2377+BJ2377+BL2377+BN2377+BP2377+BR2377+BT2377+BV2377+BX2377+BZ2377+CB2377+CD2377+CF2377+CH2377+CJ2377+CL2377+CN2377+CP2377+CR2377+CT2377</f>
        <v>218156328</v>
      </c>
      <c r="CV2377" s="76"/>
      <c r="CW2377" s="76">
        <f>+CV2377*1100</f>
        <v>0</v>
      </c>
      <c r="CX2377" s="86">
        <v>900</v>
      </c>
      <c r="CY2377" s="86">
        <f>+CX2377*105190.52</f>
        <v>94671468</v>
      </c>
      <c r="CZ2377" s="76"/>
      <c r="DA2377" s="76">
        <f>+CZ2377*34500</f>
        <v>0</v>
      </c>
      <c r="DB2377" s="76"/>
      <c r="DC2377" s="76">
        <f>+DB2377*25000</f>
        <v>0</v>
      </c>
      <c r="DD2377" s="219"/>
      <c r="DE2377" s="219"/>
      <c r="DF2377" s="166"/>
      <c r="DG2377" s="134" t="s">
        <v>6036</v>
      </c>
      <c r="DH2377" s="117"/>
      <c r="DI2377" s="24"/>
      <c r="DJ2377" s="24"/>
      <c r="DK2377" s="24"/>
      <c r="DL2377" s="24"/>
      <c r="DM2377" s="24"/>
      <c r="DN2377" s="24"/>
      <c r="DO2377" s="24"/>
      <c r="DP2377" s="24"/>
      <c r="DQ2377" s="24"/>
      <c r="DR2377" s="24"/>
      <c r="DS2377" s="24"/>
      <c r="DT2377" s="24"/>
      <c r="DU2377" s="24"/>
    </row>
    <row r="2378" spans="1:125" s="8" customFormat="1" ht="84" x14ac:dyDescent="0.2">
      <c r="A2378" s="248">
        <v>41472</v>
      </c>
      <c r="B2378" s="229" t="s">
        <v>3131</v>
      </c>
      <c r="C2378" s="230" t="s">
        <v>2264</v>
      </c>
      <c r="D2378" s="230" t="s">
        <v>3051</v>
      </c>
      <c r="E2378" s="353" t="str">
        <f>VLOOKUP(B2378&amp;C2378,Divipola!$C$2:$F$1138,4,FALSE)</f>
        <v>86568</v>
      </c>
      <c r="F2378" s="87"/>
      <c r="G2378" s="87"/>
      <c r="H2378" s="87">
        <v>2</v>
      </c>
      <c r="I2378" s="87">
        <v>1790</v>
      </c>
      <c r="J2378" s="87">
        <v>358</v>
      </c>
      <c r="K2378" s="87">
        <v>6</v>
      </c>
      <c r="L2378" s="87">
        <v>93</v>
      </c>
      <c r="M2378" s="87">
        <v>1</v>
      </c>
      <c r="N2378" s="87"/>
      <c r="O2378" s="87"/>
      <c r="P2378" s="87"/>
      <c r="Q2378" s="87"/>
      <c r="R2378" s="87"/>
      <c r="S2378" s="87"/>
      <c r="T2378" s="87"/>
      <c r="U2378" s="88">
        <v>2431</v>
      </c>
      <c r="V2378" s="89"/>
      <c r="W2378" s="96">
        <v>0</v>
      </c>
      <c r="X2378" s="71">
        <f>CU2378</f>
        <v>196000000</v>
      </c>
      <c r="Y2378" s="71">
        <f>CY2378</f>
        <v>211100000</v>
      </c>
      <c r="Z2378" s="71">
        <f>DA2378+DC2378+DE2378</f>
        <v>0</v>
      </c>
      <c r="AA2378" s="71">
        <f>CW2378</f>
        <v>0</v>
      </c>
      <c r="AB2378" s="71"/>
      <c r="AC2378" s="71">
        <v>0</v>
      </c>
      <c r="AD2378" s="71">
        <f>W2378+X2378+Y2378+Z2378+AA2378+AB2378+AC2378</f>
        <v>407100000</v>
      </c>
      <c r="AE2378" s="72">
        <v>0</v>
      </c>
      <c r="AF2378" s="5"/>
      <c r="AG2378" s="6"/>
      <c r="AH2378" s="27" t="s">
        <v>3390</v>
      </c>
      <c r="AI2378" s="44" t="s">
        <v>3391</v>
      </c>
      <c r="AJ2378" s="26"/>
      <c r="AK2378" s="5" t="s">
        <v>5404</v>
      </c>
      <c r="AL2378" s="82" t="s">
        <v>5402</v>
      </c>
      <c r="AM2378" s="76"/>
      <c r="AN2378" s="76"/>
      <c r="AO2378" s="76"/>
      <c r="AP2378" s="76"/>
      <c r="AQ2378" s="76"/>
      <c r="AR2378" s="76"/>
      <c r="AS2378" s="76"/>
      <c r="AT2378" s="76"/>
      <c r="AU2378" s="76"/>
      <c r="AV2378" s="76"/>
      <c r="AW2378" s="76"/>
      <c r="AX2378" s="76">
        <f>+AW2378*600000</f>
        <v>0</v>
      </c>
      <c r="AY2378" s="76"/>
      <c r="AZ2378" s="76">
        <f>+AY2378*70000</f>
        <v>0</v>
      </c>
      <c r="BA2378" s="76"/>
      <c r="BB2378" s="76"/>
      <c r="BC2378" s="76"/>
      <c r="BD2378" s="76">
        <f>+BC2378*30000</f>
        <v>0</v>
      </c>
      <c r="BE2378" s="76"/>
      <c r="BF2378" s="76"/>
      <c r="BG2378" s="76"/>
      <c r="BH2378" s="76"/>
      <c r="BI2378" s="76"/>
      <c r="BJ2378" s="76"/>
      <c r="BK2378" s="76"/>
      <c r="BL2378" s="76">
        <f>+BK2378*31500</f>
        <v>0</v>
      </c>
      <c r="BM2378" s="76"/>
      <c r="BN2378" s="76"/>
      <c r="BO2378" s="76"/>
      <c r="BP2378" s="76"/>
      <c r="BQ2378" s="76"/>
      <c r="BR2378" s="76"/>
      <c r="BS2378" s="76"/>
      <c r="BT2378" s="76"/>
      <c r="BU2378" s="76"/>
      <c r="BV2378" s="76"/>
      <c r="BW2378" s="76"/>
      <c r="BX2378" s="76"/>
      <c r="BY2378" s="76"/>
      <c r="BZ2378" s="76"/>
      <c r="CA2378" s="76"/>
      <c r="CB2378" s="76"/>
      <c r="CC2378" s="76"/>
      <c r="CD2378" s="76"/>
      <c r="CE2378" s="76"/>
      <c r="CF2378" s="76">
        <f>+CE2378*28000</f>
        <v>0</v>
      </c>
      <c r="CG2378" s="76"/>
      <c r="CH2378" s="76">
        <f>+CG2378*22500</f>
        <v>0</v>
      </c>
      <c r="CI2378" s="76"/>
      <c r="CJ2378" s="76">
        <f>+CI2378*26000</f>
        <v>0</v>
      </c>
      <c r="CK2378" s="76"/>
      <c r="CL2378" s="76"/>
      <c r="CM2378" s="76"/>
      <c r="CN2378" s="76">
        <f>+CM2378*22000</f>
        <v>0</v>
      </c>
      <c r="CO2378" s="86">
        <v>2000</v>
      </c>
      <c r="CP2378" s="86">
        <f>+CO2378*46000</f>
        <v>92000000</v>
      </c>
      <c r="CQ2378" s="86">
        <v>2000</v>
      </c>
      <c r="CR2378" s="86">
        <f>+CQ2378*52000</f>
        <v>104000000</v>
      </c>
      <c r="CS2378" s="76"/>
      <c r="CT2378" s="76"/>
      <c r="CU2378" s="56">
        <f>AN2378+AP2378+AR2378+AT2378+AV2378+AX2378+AZ2378+BB2378+BD2378+BF2378+BH2378+BJ2378+BL2378+BN2378+BP2378+BR2378+BT2378+BV2378+BX2378+BZ2378+CB2378+CD2378+CF2378+CH2378+CJ2378+CL2378+CN2378+CP2378+CR2378+CT2378</f>
        <v>196000000</v>
      </c>
      <c r="CV2378" s="76"/>
      <c r="CW2378" s="76">
        <f>+CV2378*1100</f>
        <v>0</v>
      </c>
      <c r="CX2378" s="86">
        <v>2000</v>
      </c>
      <c r="CY2378" s="86">
        <f>+CX2378*105550</f>
        <v>211100000</v>
      </c>
      <c r="CZ2378" s="76"/>
      <c r="DA2378" s="76">
        <f>+CZ2378*34500</f>
        <v>0</v>
      </c>
      <c r="DB2378" s="76"/>
      <c r="DC2378" s="76">
        <f>+DB2378*25000</f>
        <v>0</v>
      </c>
      <c r="DD2378" s="219"/>
      <c r="DE2378" s="219"/>
      <c r="DF2378" s="166"/>
      <c r="DG2378" s="134" t="s">
        <v>5986</v>
      </c>
      <c r="DH2378" s="117"/>
      <c r="DI2378" s="24"/>
      <c r="DJ2378" s="24"/>
      <c r="DK2378" s="24"/>
      <c r="DL2378" s="24"/>
      <c r="DM2378" s="24"/>
      <c r="DN2378" s="24"/>
      <c r="DO2378" s="24"/>
      <c r="DP2378" s="24"/>
      <c r="DQ2378" s="24"/>
      <c r="DR2378" s="24"/>
      <c r="DS2378" s="24"/>
      <c r="DT2378" s="24"/>
      <c r="DU2378" s="24"/>
    </row>
    <row r="2379" spans="1:125" s="8" customFormat="1" ht="96" x14ac:dyDescent="0.2">
      <c r="A2379" s="353">
        <v>41472</v>
      </c>
      <c r="B2379" s="60" t="s">
        <v>3131</v>
      </c>
      <c r="C2379" s="55" t="s">
        <v>2267</v>
      </c>
      <c r="D2379" s="354" t="s">
        <v>3051</v>
      </c>
      <c r="E2379" s="75" t="str">
        <f>VLOOKUP(B2379&amp;C2379,Divipola!$C$2:$F$1138,4,FALSE)</f>
        <v>86569</v>
      </c>
      <c r="F2379" s="258"/>
      <c r="G2379" s="258"/>
      <c r="H2379" s="258"/>
      <c r="I2379" s="258">
        <v>1550</v>
      </c>
      <c r="J2379" s="258">
        <v>348</v>
      </c>
      <c r="K2379" s="258"/>
      <c r="L2379" s="258"/>
      <c r="M2379" s="258"/>
      <c r="N2379" s="258"/>
      <c r="O2379" s="258"/>
      <c r="P2379" s="258"/>
      <c r="Q2379" s="258"/>
      <c r="R2379" s="258"/>
      <c r="S2379" s="258"/>
      <c r="T2379" s="258"/>
      <c r="U2379" s="259">
        <v>655</v>
      </c>
      <c r="V2379" s="260"/>
      <c r="W2379" s="96">
        <v>0</v>
      </c>
      <c r="X2379" s="71">
        <f>CU2379</f>
        <v>507600000</v>
      </c>
      <c r="Y2379" s="71">
        <f>CY2379</f>
        <v>225177104</v>
      </c>
      <c r="Z2379" s="71">
        <f>DA2379+DC2379+DE2379</f>
        <v>33795440</v>
      </c>
      <c r="AA2379" s="71">
        <f>CW2379</f>
        <v>0</v>
      </c>
      <c r="AB2379" s="71">
        <v>39125000</v>
      </c>
      <c r="AC2379" s="71">
        <v>0</v>
      </c>
      <c r="AD2379" s="71">
        <f>W2379+X2379+Y2379+Z2379+AA2379+AB2379+AC2379</f>
        <v>805697544</v>
      </c>
      <c r="AE2379" s="72">
        <v>0</v>
      </c>
      <c r="AF2379" s="5"/>
      <c r="AG2379" s="6"/>
      <c r="AH2379" s="27"/>
      <c r="AI2379" s="44"/>
      <c r="AJ2379" s="26"/>
      <c r="AK2379" s="5"/>
      <c r="AL2379" s="82" t="s">
        <v>5314</v>
      </c>
      <c r="AM2379" s="76"/>
      <c r="AN2379" s="76"/>
      <c r="AO2379" s="76"/>
      <c r="AP2379" s="76"/>
      <c r="AQ2379" s="76"/>
      <c r="AR2379" s="76"/>
      <c r="AS2379" s="76"/>
      <c r="AT2379" s="76"/>
      <c r="AU2379" s="76"/>
      <c r="AV2379" s="76"/>
      <c r="AW2379" s="76"/>
      <c r="AX2379" s="76">
        <f>+AW2379*600000</f>
        <v>0</v>
      </c>
      <c r="AY2379" s="86">
        <v>3600</v>
      </c>
      <c r="AZ2379" s="86">
        <f>+AY2379*70000</f>
        <v>252000000</v>
      </c>
      <c r="BA2379" s="76"/>
      <c r="BB2379" s="76"/>
      <c r="BC2379" s="76"/>
      <c r="BD2379" s="76">
        <f>+BC2379*30000</f>
        <v>0</v>
      </c>
      <c r="BE2379" s="76"/>
      <c r="BF2379" s="76"/>
      <c r="BG2379" s="76"/>
      <c r="BH2379" s="76"/>
      <c r="BI2379" s="76"/>
      <c r="BJ2379" s="76"/>
      <c r="BK2379" s="76"/>
      <c r="BL2379" s="76">
        <f>+BK2379*31500</f>
        <v>0</v>
      </c>
      <c r="BM2379" s="76"/>
      <c r="BN2379" s="76"/>
      <c r="BO2379" s="76"/>
      <c r="BP2379" s="76"/>
      <c r="BQ2379" s="76"/>
      <c r="BR2379" s="76"/>
      <c r="BS2379" s="76"/>
      <c r="BT2379" s="76"/>
      <c r="BU2379" s="76"/>
      <c r="BV2379" s="76"/>
      <c r="BW2379" s="76"/>
      <c r="BX2379" s="76"/>
      <c r="BY2379" s="76"/>
      <c r="BZ2379" s="76"/>
      <c r="CA2379" s="76"/>
      <c r="CB2379" s="76"/>
      <c r="CC2379" s="76"/>
      <c r="CD2379" s="76"/>
      <c r="CE2379" s="76"/>
      <c r="CF2379" s="76">
        <f>+CE2379*28000</f>
        <v>0</v>
      </c>
      <c r="CG2379" s="76"/>
      <c r="CH2379" s="76">
        <f>+CG2379*22500</f>
        <v>0</v>
      </c>
      <c r="CI2379" s="86">
        <v>3600</v>
      </c>
      <c r="CJ2379" s="86">
        <f>+CI2379*26000</f>
        <v>93600000</v>
      </c>
      <c r="CK2379" s="76"/>
      <c r="CL2379" s="76"/>
      <c r="CM2379" s="86">
        <v>3600</v>
      </c>
      <c r="CN2379" s="86">
        <f>+CM2379*22000</f>
        <v>79200000</v>
      </c>
      <c r="CO2379" s="86">
        <v>1800</v>
      </c>
      <c r="CP2379" s="86">
        <f>+CO2379*46000</f>
        <v>82800000</v>
      </c>
      <c r="CQ2379" s="76"/>
      <c r="CR2379" s="76">
        <f>+CQ2379*49000</f>
        <v>0</v>
      </c>
      <c r="CS2379" s="76"/>
      <c r="CT2379" s="76"/>
      <c r="CU2379" s="56">
        <f>AN2379+AP2379+AR2379+AT2379+AV2379+AX2379+AZ2379+BB2379+BD2379+BF2379+BH2379+BJ2379+BL2379+BN2379+BP2379+BR2379+BT2379+BV2379+BX2379+BZ2379+CB2379+CD2379+CF2379+CH2379+CJ2379+CL2379+CN2379+CP2379+CR2379+CT2379</f>
        <v>507600000</v>
      </c>
      <c r="CV2379" s="76"/>
      <c r="CW2379" s="76">
        <f>+CV2379*1100</f>
        <v>0</v>
      </c>
      <c r="CX2379" s="86">
        <f>344+1800</f>
        <v>2144</v>
      </c>
      <c r="CY2379" s="86">
        <f>344*105166+1800*105000</f>
        <v>225177104</v>
      </c>
      <c r="CZ2379" s="76"/>
      <c r="DA2379" s="76">
        <f>+CZ2379*34500</f>
        <v>0</v>
      </c>
      <c r="DB2379" s="86">
        <v>1000</v>
      </c>
      <c r="DC2379" s="86">
        <f>+DB2379*31999.76+9000*199.52</f>
        <v>33795440</v>
      </c>
      <c r="DD2379" s="219"/>
      <c r="DE2379" s="219"/>
      <c r="DF2379" s="166"/>
      <c r="DG2379" s="192" t="s">
        <v>6063</v>
      </c>
      <c r="DH2379" s="117"/>
      <c r="DI2379" s="24"/>
      <c r="DJ2379" s="24"/>
      <c r="DK2379" s="24"/>
      <c r="DL2379" s="24"/>
      <c r="DM2379" s="24"/>
      <c r="DN2379" s="24"/>
      <c r="DO2379" s="24"/>
      <c r="DP2379" s="24"/>
      <c r="DQ2379" s="24"/>
      <c r="DR2379" s="24"/>
      <c r="DS2379" s="24"/>
      <c r="DT2379" s="24"/>
      <c r="DU2379" s="24"/>
    </row>
    <row r="2380" spans="1:125" s="8" customFormat="1" ht="108" x14ac:dyDescent="0.2">
      <c r="A2380" s="248">
        <v>41472</v>
      </c>
      <c r="B2380" s="229" t="s">
        <v>3131</v>
      </c>
      <c r="C2380" s="230" t="s">
        <v>2270</v>
      </c>
      <c r="D2380" s="230" t="s">
        <v>3051</v>
      </c>
      <c r="E2380" s="353" t="str">
        <f>VLOOKUP(B2380&amp;C2380,Divipola!$C$2:$F$1138,4,FALSE)</f>
        <v>86571</v>
      </c>
      <c r="F2380" s="87">
        <v>1</v>
      </c>
      <c r="G2380" s="87"/>
      <c r="H2380" s="87"/>
      <c r="I2380" s="87">
        <v>12500</v>
      </c>
      <c r="J2380" s="87">
        <v>2500</v>
      </c>
      <c r="K2380" s="87">
        <v>50</v>
      </c>
      <c r="L2380" s="87"/>
      <c r="M2380" s="87"/>
      <c r="N2380" s="87"/>
      <c r="O2380" s="87"/>
      <c r="P2380" s="87"/>
      <c r="Q2380" s="87"/>
      <c r="R2380" s="87"/>
      <c r="S2380" s="87"/>
      <c r="T2380" s="87"/>
      <c r="U2380" s="88"/>
      <c r="V2380" s="89"/>
      <c r="W2380" s="96">
        <v>0</v>
      </c>
      <c r="X2380" s="71">
        <f>CU2380</f>
        <v>242800000</v>
      </c>
      <c r="Y2380" s="71">
        <f>CY2380</f>
        <v>401396600</v>
      </c>
      <c r="Z2380" s="71">
        <f>DA2380+DC2380+DE2380</f>
        <v>80890880</v>
      </c>
      <c r="AA2380" s="71">
        <f>CW2380</f>
        <v>0</v>
      </c>
      <c r="AB2380" s="71">
        <v>100000000</v>
      </c>
      <c r="AC2380" s="71">
        <v>0</v>
      </c>
      <c r="AD2380" s="71">
        <f>W2380+X2380+Y2380+Z2380+AA2380+AB2380+AC2380</f>
        <v>825087480</v>
      </c>
      <c r="AE2380" s="72">
        <v>0</v>
      </c>
      <c r="AF2380" s="5"/>
      <c r="AG2380" s="6"/>
      <c r="AH2380" s="27"/>
      <c r="AI2380" s="44"/>
      <c r="AJ2380" s="26"/>
      <c r="AK2380" s="5"/>
      <c r="AL2380" s="82" t="s">
        <v>5315</v>
      </c>
      <c r="AM2380" s="76"/>
      <c r="AN2380" s="76"/>
      <c r="AO2380" s="76"/>
      <c r="AP2380" s="76"/>
      <c r="AQ2380" s="76"/>
      <c r="AR2380" s="76"/>
      <c r="AS2380" s="76"/>
      <c r="AT2380" s="76"/>
      <c r="AU2380" s="76"/>
      <c r="AV2380" s="76"/>
      <c r="AW2380" s="76"/>
      <c r="AX2380" s="76">
        <f>+AW2380*600000</f>
        <v>0</v>
      </c>
      <c r="AY2380" s="86">
        <v>500</v>
      </c>
      <c r="AZ2380" s="86">
        <f>+AY2380*70000</f>
        <v>35000000</v>
      </c>
      <c r="BA2380" s="76"/>
      <c r="BB2380" s="76"/>
      <c r="BC2380" s="76"/>
      <c r="BD2380" s="76">
        <f>+BC2380*30000</f>
        <v>0</v>
      </c>
      <c r="BE2380" s="76"/>
      <c r="BF2380" s="76"/>
      <c r="BG2380" s="76"/>
      <c r="BH2380" s="76"/>
      <c r="BI2380" s="76"/>
      <c r="BJ2380" s="76"/>
      <c r="BK2380" s="76"/>
      <c r="BL2380" s="76">
        <f>+BK2380*31500</f>
        <v>0</v>
      </c>
      <c r="BM2380" s="76"/>
      <c r="BN2380" s="76"/>
      <c r="BO2380" s="76"/>
      <c r="BP2380" s="76"/>
      <c r="BQ2380" s="76"/>
      <c r="BR2380" s="76"/>
      <c r="BS2380" s="76"/>
      <c r="BT2380" s="76"/>
      <c r="BU2380" s="76"/>
      <c r="BV2380" s="76"/>
      <c r="BW2380" s="76"/>
      <c r="BX2380" s="76"/>
      <c r="BY2380" s="76"/>
      <c r="BZ2380" s="76"/>
      <c r="CA2380" s="76"/>
      <c r="CB2380" s="76"/>
      <c r="CC2380" s="76"/>
      <c r="CD2380" s="76"/>
      <c r="CE2380" s="76"/>
      <c r="CF2380" s="76">
        <f>+CE2380*28000</f>
        <v>0</v>
      </c>
      <c r="CG2380" s="76"/>
      <c r="CH2380" s="76">
        <f>+CG2380*22500</f>
        <v>0</v>
      </c>
      <c r="CI2380" s="86">
        <v>2624</v>
      </c>
      <c r="CJ2380" s="86">
        <f>+CI2380*26000</f>
        <v>68224000</v>
      </c>
      <c r="CK2380" s="76"/>
      <c r="CL2380" s="76"/>
      <c r="CM2380" s="86">
        <v>500</v>
      </c>
      <c r="CN2380" s="86">
        <f>+CM2380*22000</f>
        <v>11000000</v>
      </c>
      <c r="CO2380" s="86">
        <v>1312</v>
      </c>
      <c r="CP2380" s="86">
        <f>+CO2380*46000</f>
        <v>60352000</v>
      </c>
      <c r="CQ2380" s="86">
        <v>1312</v>
      </c>
      <c r="CR2380" s="86">
        <f>+CQ2380*52000</f>
        <v>68224000</v>
      </c>
      <c r="CS2380" s="76"/>
      <c r="CT2380" s="76"/>
      <c r="CU2380" s="56">
        <f>AN2380+AP2380+AR2380+AT2380+AV2380+AX2380+AZ2380+BB2380+BD2380+BF2380+BH2380+BJ2380+BL2380+BN2380+BP2380+BR2380+BT2380+BV2380+BX2380+BZ2380+CB2380+CD2380+CF2380+CH2380+CJ2380+CL2380+CN2380+CP2380+CR2380+CT2380</f>
        <v>242800000</v>
      </c>
      <c r="CV2380" s="76"/>
      <c r="CW2380" s="76">
        <f>+CV2380*1100</f>
        <v>0</v>
      </c>
      <c r="CX2380" s="86">
        <f>2500+1312</f>
        <v>3812</v>
      </c>
      <c r="CY2380" s="86">
        <f>1312*105550+2500*105166</f>
        <v>401396600</v>
      </c>
      <c r="CZ2380" s="76"/>
      <c r="DA2380" s="76">
        <f>+CZ2380*34500</f>
        <v>0</v>
      </c>
      <c r="DB2380" s="86">
        <v>2000</v>
      </c>
      <c r="DC2380" s="86">
        <f>+DB2380*31999.76+18000*199.52</f>
        <v>67590880</v>
      </c>
      <c r="DD2380" s="313" t="s">
        <v>5599</v>
      </c>
      <c r="DE2380" s="314">
        <f>50*266000</f>
        <v>13300000</v>
      </c>
      <c r="DF2380" s="166"/>
      <c r="DG2380" s="192" t="s">
        <v>6064</v>
      </c>
      <c r="DH2380" s="117"/>
      <c r="DI2380" s="24"/>
      <c r="DJ2380" s="24"/>
      <c r="DK2380" s="24"/>
      <c r="DL2380" s="24"/>
      <c r="DM2380" s="24"/>
      <c r="DN2380" s="24"/>
      <c r="DO2380" s="24"/>
      <c r="DP2380" s="24"/>
      <c r="DQ2380" s="24"/>
      <c r="DR2380" s="24"/>
      <c r="DS2380" s="24"/>
      <c r="DT2380" s="24"/>
      <c r="DU2380" s="24"/>
    </row>
    <row r="2381" spans="1:125" s="8" customFormat="1" ht="24" x14ac:dyDescent="0.2">
      <c r="A2381" s="97">
        <v>41472</v>
      </c>
      <c r="B2381" s="352" t="s">
        <v>3131</v>
      </c>
      <c r="C2381" s="354" t="s">
        <v>525</v>
      </c>
      <c r="D2381" s="354" t="s">
        <v>2882</v>
      </c>
      <c r="E2381" s="75" t="str">
        <f>VLOOKUP(B2381&amp;C2381,Divipola!$C$2:$F$1138,4,FALSE)</f>
        <v>86757</v>
      </c>
      <c r="F2381" s="87"/>
      <c r="G2381" s="87"/>
      <c r="H2381" s="87"/>
      <c r="I2381" s="87">
        <v>100</v>
      </c>
      <c r="J2381" s="87">
        <v>20</v>
      </c>
      <c r="K2381" s="87"/>
      <c r="L2381" s="87">
        <v>20</v>
      </c>
      <c r="M2381" s="87"/>
      <c r="N2381" s="87"/>
      <c r="O2381" s="87"/>
      <c r="P2381" s="87"/>
      <c r="Q2381" s="87"/>
      <c r="R2381" s="87"/>
      <c r="S2381" s="87"/>
      <c r="T2381" s="87"/>
      <c r="U2381" s="88"/>
      <c r="V2381" s="89"/>
      <c r="W2381" s="96">
        <v>0</v>
      </c>
      <c r="X2381" s="71">
        <f>CU2381</f>
        <v>0</v>
      </c>
      <c r="Y2381" s="71">
        <f>CY2381</f>
        <v>0</v>
      </c>
      <c r="Z2381" s="71">
        <f>DA2381+DC2381+DE2381</f>
        <v>0</v>
      </c>
      <c r="AA2381" s="71">
        <f>CW2381</f>
        <v>0</v>
      </c>
      <c r="AB2381" s="71"/>
      <c r="AC2381" s="71">
        <v>0</v>
      </c>
      <c r="AD2381" s="71">
        <f>W2381+X2381+Y2381+Z2381+AA2381+AB2381+AC2381</f>
        <v>0</v>
      </c>
      <c r="AE2381" s="72">
        <v>0</v>
      </c>
      <c r="AF2381" s="5"/>
      <c r="AG2381" s="6"/>
      <c r="AH2381" s="27"/>
      <c r="AI2381" s="44"/>
      <c r="AJ2381" s="26"/>
      <c r="AK2381" s="5"/>
      <c r="AL2381" s="82" t="s">
        <v>5246</v>
      </c>
      <c r="AM2381" s="76"/>
      <c r="AN2381" s="76"/>
      <c r="AO2381" s="76"/>
      <c r="AP2381" s="76"/>
      <c r="AQ2381" s="76"/>
      <c r="AR2381" s="76"/>
      <c r="AS2381" s="76"/>
      <c r="AT2381" s="76"/>
      <c r="AU2381" s="76"/>
      <c r="AV2381" s="76"/>
      <c r="AW2381" s="76"/>
      <c r="AX2381" s="76">
        <f>+AW2381*600000</f>
        <v>0</v>
      </c>
      <c r="AY2381" s="76"/>
      <c r="AZ2381" s="76">
        <f>+AY2381*70000</f>
        <v>0</v>
      </c>
      <c r="BA2381" s="76"/>
      <c r="BB2381" s="76"/>
      <c r="BC2381" s="76"/>
      <c r="BD2381" s="76">
        <f>+BC2381*30000</f>
        <v>0</v>
      </c>
      <c r="BE2381" s="76"/>
      <c r="BF2381" s="76"/>
      <c r="BG2381" s="76"/>
      <c r="BH2381" s="76"/>
      <c r="BI2381" s="76"/>
      <c r="BJ2381" s="76"/>
      <c r="BK2381" s="76"/>
      <c r="BL2381" s="76">
        <f>+BK2381*31500</f>
        <v>0</v>
      </c>
      <c r="BM2381" s="76"/>
      <c r="BN2381" s="76"/>
      <c r="BO2381" s="76"/>
      <c r="BP2381" s="76"/>
      <c r="BQ2381" s="76"/>
      <c r="BR2381" s="76"/>
      <c r="BS2381" s="76"/>
      <c r="BT2381" s="76"/>
      <c r="BU2381" s="76"/>
      <c r="BV2381" s="76"/>
      <c r="BW2381" s="76"/>
      <c r="BX2381" s="76"/>
      <c r="BY2381" s="76"/>
      <c r="BZ2381" s="76"/>
      <c r="CA2381" s="76"/>
      <c r="CB2381" s="76"/>
      <c r="CC2381" s="76"/>
      <c r="CD2381" s="76"/>
      <c r="CE2381" s="76"/>
      <c r="CF2381" s="76">
        <f>+CE2381*28000</f>
        <v>0</v>
      </c>
      <c r="CG2381" s="76"/>
      <c r="CH2381" s="76">
        <f>+CG2381*22500</f>
        <v>0</v>
      </c>
      <c r="CI2381" s="76"/>
      <c r="CJ2381" s="76">
        <f>+CI2381*26000</f>
        <v>0</v>
      </c>
      <c r="CK2381" s="76"/>
      <c r="CL2381" s="76"/>
      <c r="CM2381" s="76"/>
      <c r="CN2381" s="76">
        <f>+CM2381*22000</f>
        <v>0</v>
      </c>
      <c r="CO2381" s="76"/>
      <c r="CP2381" s="76">
        <f>+CO2381*46000</f>
        <v>0</v>
      </c>
      <c r="CQ2381" s="76"/>
      <c r="CR2381" s="76">
        <f>+CQ2381*49000</f>
        <v>0</v>
      </c>
      <c r="CS2381" s="76"/>
      <c r="CT2381" s="76"/>
      <c r="CU2381" s="56">
        <f>AN2381+AP2381+AR2381+AT2381+AV2381+AX2381+AZ2381+BB2381+BD2381+BF2381+BH2381+BJ2381+BL2381+BN2381+BP2381+BR2381+BT2381+BV2381+BX2381+BZ2381+CB2381+CD2381+CF2381+CH2381+CJ2381+CL2381+CN2381+CP2381+CR2381+CT2381</f>
        <v>0</v>
      </c>
      <c r="CV2381" s="76"/>
      <c r="CW2381" s="76">
        <f>+CV2381*1100</f>
        <v>0</v>
      </c>
      <c r="CX2381" s="76"/>
      <c r="CY2381" s="76">
        <f>+CX2381*106250</f>
        <v>0</v>
      </c>
      <c r="CZ2381" s="76"/>
      <c r="DA2381" s="76">
        <f>+CZ2381*34500</f>
        <v>0</v>
      </c>
      <c r="DB2381" s="76"/>
      <c r="DC2381" s="76">
        <f>+DB2381*25000</f>
        <v>0</v>
      </c>
      <c r="DD2381" s="219"/>
      <c r="DE2381" s="219"/>
      <c r="DF2381" s="166"/>
      <c r="DG2381" s="116"/>
      <c r="DH2381" s="117"/>
      <c r="DI2381" s="24"/>
      <c r="DJ2381" s="24"/>
      <c r="DK2381" s="24"/>
      <c r="DL2381" s="24"/>
      <c r="DM2381" s="24"/>
      <c r="DN2381" s="24"/>
      <c r="DO2381" s="24"/>
      <c r="DP2381" s="24"/>
      <c r="DQ2381" s="24"/>
      <c r="DR2381" s="24"/>
      <c r="DS2381" s="24"/>
      <c r="DT2381" s="24"/>
      <c r="DU2381" s="24"/>
    </row>
    <row r="2382" spans="1:125" s="8" customFormat="1" ht="84" x14ac:dyDescent="0.2">
      <c r="A2382" s="248">
        <v>41472</v>
      </c>
      <c r="B2382" s="229" t="s">
        <v>3131</v>
      </c>
      <c r="C2382" s="231" t="s">
        <v>2281</v>
      </c>
      <c r="D2382" s="231" t="s">
        <v>3051</v>
      </c>
      <c r="E2382" s="353" t="str">
        <f>VLOOKUP(B2382&amp;C2382,Divipola!$C$2:$F$1138,4,FALSE)</f>
        <v>86885</v>
      </c>
      <c r="F2382" s="87"/>
      <c r="G2382" s="87"/>
      <c r="H2382" s="87"/>
      <c r="I2382" s="87">
        <v>625</v>
      </c>
      <c r="J2382" s="87">
        <v>147</v>
      </c>
      <c r="K2382" s="87">
        <v>12</v>
      </c>
      <c r="L2382" s="87">
        <v>43</v>
      </c>
      <c r="M2382" s="87">
        <v>1</v>
      </c>
      <c r="N2382" s="87"/>
      <c r="O2382" s="87"/>
      <c r="P2382" s="87"/>
      <c r="Q2382" s="87"/>
      <c r="R2382" s="87"/>
      <c r="S2382" s="87"/>
      <c r="T2382" s="87"/>
      <c r="U2382" s="88">
        <v>643</v>
      </c>
      <c r="V2382" s="89"/>
      <c r="W2382" s="96">
        <v>0</v>
      </c>
      <c r="X2382" s="71">
        <f>CU2382</f>
        <v>34545000</v>
      </c>
      <c r="Y2382" s="71">
        <f>CY2382</f>
        <v>15435000</v>
      </c>
      <c r="Z2382" s="71">
        <f>DA2382+DC2382+DE2382</f>
        <v>0</v>
      </c>
      <c r="AA2382" s="71">
        <f>CW2382</f>
        <v>0</v>
      </c>
      <c r="AB2382" s="71"/>
      <c r="AC2382" s="71">
        <v>0</v>
      </c>
      <c r="AD2382" s="71">
        <f>W2382+X2382+Y2382+Z2382+AA2382+AB2382+AC2382</f>
        <v>49980000</v>
      </c>
      <c r="AE2382" s="72">
        <v>0</v>
      </c>
      <c r="AF2382" s="5"/>
      <c r="AG2382" s="6"/>
      <c r="AH2382" s="27"/>
      <c r="AI2382" s="44"/>
      <c r="AJ2382" s="26"/>
      <c r="AK2382" s="5"/>
      <c r="AL2382" s="82" t="s">
        <v>5288</v>
      </c>
      <c r="AM2382" s="76"/>
      <c r="AN2382" s="76"/>
      <c r="AO2382" s="76"/>
      <c r="AP2382" s="76"/>
      <c r="AQ2382" s="76"/>
      <c r="AR2382" s="76"/>
      <c r="AS2382" s="76"/>
      <c r="AT2382" s="76"/>
      <c r="AU2382" s="76"/>
      <c r="AV2382" s="76"/>
      <c r="AW2382" s="76"/>
      <c r="AX2382" s="76">
        <f>+AW2382*600000</f>
        <v>0</v>
      </c>
      <c r="AY2382" s="86">
        <v>294</v>
      </c>
      <c r="AZ2382" s="86">
        <f>+AY2382*70000</f>
        <v>20580000</v>
      </c>
      <c r="BA2382" s="76"/>
      <c r="BB2382" s="76"/>
      <c r="BC2382" s="76"/>
      <c r="BD2382" s="76">
        <f>+BC2382*30000</f>
        <v>0</v>
      </c>
      <c r="BE2382" s="76"/>
      <c r="BF2382" s="76"/>
      <c r="BG2382" s="76"/>
      <c r="BH2382" s="76"/>
      <c r="BI2382" s="76"/>
      <c r="BJ2382" s="76"/>
      <c r="BK2382" s="76"/>
      <c r="BL2382" s="76">
        <f>+BK2382*31500</f>
        <v>0</v>
      </c>
      <c r="BM2382" s="76"/>
      <c r="BN2382" s="76"/>
      <c r="BO2382" s="76"/>
      <c r="BP2382" s="76"/>
      <c r="BQ2382" s="76"/>
      <c r="BR2382" s="76"/>
      <c r="BS2382" s="76"/>
      <c r="BT2382" s="76"/>
      <c r="BU2382" s="76"/>
      <c r="BV2382" s="76"/>
      <c r="BW2382" s="76"/>
      <c r="BX2382" s="76"/>
      <c r="BY2382" s="76"/>
      <c r="BZ2382" s="76"/>
      <c r="CA2382" s="76"/>
      <c r="CB2382" s="76"/>
      <c r="CC2382" s="76"/>
      <c r="CD2382" s="76"/>
      <c r="CE2382" s="76"/>
      <c r="CF2382" s="76">
        <f>+CE2382*28000</f>
        <v>0</v>
      </c>
      <c r="CG2382" s="76"/>
      <c r="CH2382" s="76">
        <f>+CG2382*22500</f>
        <v>0</v>
      </c>
      <c r="CI2382" s="76"/>
      <c r="CJ2382" s="76">
        <f>+CI2382*26000</f>
        <v>0</v>
      </c>
      <c r="CK2382" s="76"/>
      <c r="CL2382" s="76"/>
      <c r="CM2382" s="76"/>
      <c r="CN2382" s="76">
        <f>+CM2382*22000</f>
        <v>0</v>
      </c>
      <c r="CO2382" s="86">
        <v>147</v>
      </c>
      <c r="CP2382" s="86">
        <f>+CO2382*46000</f>
        <v>6762000</v>
      </c>
      <c r="CQ2382" s="86">
        <v>147</v>
      </c>
      <c r="CR2382" s="86">
        <f>+CQ2382*49000</f>
        <v>7203000</v>
      </c>
      <c r="CS2382" s="76"/>
      <c r="CT2382" s="76"/>
      <c r="CU2382" s="56">
        <f>AN2382+AP2382+AR2382+AT2382+AV2382+AX2382+AZ2382+BB2382+BD2382+BF2382+BH2382+BJ2382+BL2382+BN2382+BP2382+BR2382+BT2382+BV2382+BX2382+BZ2382+CB2382+CD2382+CF2382+CH2382+CJ2382+CL2382+CN2382+CP2382+CR2382+CT2382</f>
        <v>34545000</v>
      </c>
      <c r="CV2382" s="76"/>
      <c r="CW2382" s="76">
        <f>+CV2382*1100</f>
        <v>0</v>
      </c>
      <c r="CX2382" s="86">
        <v>147</v>
      </c>
      <c r="CY2382" s="86">
        <f>+CX2382*105000</f>
        <v>15435000</v>
      </c>
      <c r="CZ2382" s="76"/>
      <c r="DA2382" s="76">
        <f>+CZ2382*34500</f>
        <v>0</v>
      </c>
      <c r="DB2382" s="76"/>
      <c r="DC2382" s="76">
        <f>+DB2382*25000</f>
        <v>0</v>
      </c>
      <c r="DD2382" s="219"/>
      <c r="DE2382" s="219"/>
      <c r="DF2382" s="166"/>
      <c r="DG2382" s="134" t="s">
        <v>6039</v>
      </c>
      <c r="DH2382" s="117"/>
      <c r="DI2382" s="24"/>
      <c r="DJ2382" s="24"/>
      <c r="DK2382" s="24"/>
      <c r="DL2382" s="24"/>
      <c r="DM2382" s="24"/>
      <c r="DN2382" s="24"/>
      <c r="DO2382" s="24"/>
      <c r="DP2382" s="24"/>
      <c r="DQ2382" s="24"/>
      <c r="DR2382" s="24"/>
      <c r="DS2382" s="24"/>
      <c r="DT2382" s="24"/>
      <c r="DU2382" s="24"/>
    </row>
    <row r="2383" spans="1:125" s="8" customFormat="1" ht="36" x14ac:dyDescent="0.2">
      <c r="A2383" s="353">
        <v>41472</v>
      </c>
      <c r="B2383" s="352" t="s">
        <v>2860</v>
      </c>
      <c r="C2383" s="354" t="s">
        <v>2768</v>
      </c>
      <c r="D2383" s="354" t="s">
        <v>2859</v>
      </c>
      <c r="E2383" s="75" t="str">
        <f>VLOOKUP(B2383&amp;C2383,Divipola!$C$2:$F$1138,4,FALSE)</f>
        <v>63401</v>
      </c>
      <c r="F2383" s="87"/>
      <c r="G2383" s="87"/>
      <c r="H2383" s="87"/>
      <c r="I2383" s="87"/>
      <c r="J2383" s="87"/>
      <c r="K2383" s="87"/>
      <c r="L2383" s="87"/>
      <c r="M2383" s="87"/>
      <c r="N2383" s="87"/>
      <c r="O2383" s="87"/>
      <c r="P2383" s="87"/>
      <c r="Q2383" s="87"/>
      <c r="R2383" s="87"/>
      <c r="S2383" s="87"/>
      <c r="T2383" s="87"/>
      <c r="U2383" s="88"/>
      <c r="V2383" s="89"/>
      <c r="W2383" s="96">
        <v>0</v>
      </c>
      <c r="X2383" s="71">
        <f>CU2383</f>
        <v>0</v>
      </c>
      <c r="Y2383" s="71">
        <f>CY2383</f>
        <v>0</v>
      </c>
      <c r="Z2383" s="71">
        <f>DA2383+DC2383+DE2383</f>
        <v>0</v>
      </c>
      <c r="AA2383" s="71">
        <f>CW2383</f>
        <v>0</v>
      </c>
      <c r="AB2383" s="71"/>
      <c r="AC2383" s="71">
        <v>0</v>
      </c>
      <c r="AD2383" s="71">
        <f>W2383+X2383+Y2383+Z2383+AA2383+AB2383+AC2383</f>
        <v>0</v>
      </c>
      <c r="AE2383" s="72">
        <v>0</v>
      </c>
      <c r="AF2383" s="5"/>
      <c r="AG2383" s="6"/>
      <c r="AH2383" s="27"/>
      <c r="AI2383" s="44"/>
      <c r="AJ2383" s="26"/>
      <c r="AK2383" s="5"/>
      <c r="AL2383" s="82" t="s">
        <v>5244</v>
      </c>
      <c r="AM2383" s="76"/>
      <c r="AN2383" s="76"/>
      <c r="AO2383" s="76"/>
      <c r="AP2383" s="76"/>
      <c r="AQ2383" s="76"/>
      <c r="AR2383" s="76"/>
      <c r="AS2383" s="76"/>
      <c r="AT2383" s="76"/>
      <c r="AU2383" s="76"/>
      <c r="AV2383" s="76"/>
      <c r="AW2383" s="76"/>
      <c r="AX2383" s="76">
        <f>+AW2383*600000</f>
        <v>0</v>
      </c>
      <c r="AY2383" s="76"/>
      <c r="AZ2383" s="76">
        <f>+AY2383*70000</f>
        <v>0</v>
      </c>
      <c r="BA2383" s="76"/>
      <c r="BB2383" s="76"/>
      <c r="BC2383" s="76"/>
      <c r="BD2383" s="76">
        <f>+BC2383*30000</f>
        <v>0</v>
      </c>
      <c r="BE2383" s="76"/>
      <c r="BF2383" s="76"/>
      <c r="BG2383" s="76"/>
      <c r="BH2383" s="76"/>
      <c r="BI2383" s="76"/>
      <c r="BJ2383" s="76"/>
      <c r="BK2383" s="76"/>
      <c r="BL2383" s="76">
        <f>+BK2383*31500</f>
        <v>0</v>
      </c>
      <c r="BM2383" s="76"/>
      <c r="BN2383" s="76"/>
      <c r="BO2383" s="76"/>
      <c r="BP2383" s="76"/>
      <c r="BQ2383" s="76"/>
      <c r="BR2383" s="76"/>
      <c r="BS2383" s="76"/>
      <c r="BT2383" s="76"/>
      <c r="BU2383" s="76"/>
      <c r="BV2383" s="76"/>
      <c r="BW2383" s="76"/>
      <c r="BX2383" s="76"/>
      <c r="BY2383" s="76"/>
      <c r="BZ2383" s="76"/>
      <c r="CA2383" s="76"/>
      <c r="CB2383" s="76"/>
      <c r="CC2383" s="76"/>
      <c r="CD2383" s="76"/>
      <c r="CE2383" s="76"/>
      <c r="CF2383" s="76">
        <f>+CE2383*28000</f>
        <v>0</v>
      </c>
      <c r="CG2383" s="76"/>
      <c r="CH2383" s="76">
        <f>+CG2383*22500</f>
        <v>0</v>
      </c>
      <c r="CI2383" s="76"/>
      <c r="CJ2383" s="76">
        <f>+CI2383*26000</f>
        <v>0</v>
      </c>
      <c r="CK2383" s="76"/>
      <c r="CL2383" s="76"/>
      <c r="CM2383" s="76"/>
      <c r="CN2383" s="76">
        <f>+CM2383*22000</f>
        <v>0</v>
      </c>
      <c r="CO2383" s="76"/>
      <c r="CP2383" s="76">
        <f>+CO2383*46000</f>
        <v>0</v>
      </c>
      <c r="CQ2383" s="76"/>
      <c r="CR2383" s="76">
        <f>+CQ2383*49000</f>
        <v>0</v>
      </c>
      <c r="CS2383" s="76"/>
      <c r="CT2383" s="76"/>
      <c r="CU2383" s="56">
        <f>AN2383+AP2383+AR2383+AT2383+AV2383+AX2383+AZ2383+BB2383+BD2383+BF2383+BH2383+BJ2383+BL2383+BN2383+BP2383+BR2383+BT2383+BV2383+BX2383+BZ2383+CB2383+CD2383+CF2383+CH2383+CJ2383+CL2383+CN2383+CP2383+CR2383+CT2383</f>
        <v>0</v>
      </c>
      <c r="CV2383" s="76"/>
      <c r="CW2383" s="76">
        <f>+CV2383*1100</f>
        <v>0</v>
      </c>
      <c r="CX2383" s="76"/>
      <c r="CY2383" s="76">
        <f>+CX2383*106250</f>
        <v>0</v>
      </c>
      <c r="CZ2383" s="76"/>
      <c r="DA2383" s="76">
        <f>+CZ2383*34500</f>
        <v>0</v>
      </c>
      <c r="DB2383" s="76"/>
      <c r="DC2383" s="76">
        <f>+DB2383*25000</f>
        <v>0</v>
      </c>
      <c r="DD2383" s="219"/>
      <c r="DE2383" s="219"/>
      <c r="DF2383" s="166"/>
      <c r="DG2383" s="116"/>
      <c r="DH2383" s="117"/>
      <c r="DI2383" s="24"/>
      <c r="DJ2383" s="24"/>
      <c r="DK2383" s="24"/>
      <c r="DL2383" s="24"/>
      <c r="DM2383" s="24"/>
      <c r="DN2383" s="24"/>
      <c r="DO2383" s="24"/>
      <c r="DP2383" s="24"/>
      <c r="DQ2383" s="24"/>
      <c r="DR2383" s="24"/>
      <c r="DS2383" s="24"/>
      <c r="DT2383" s="24"/>
      <c r="DU2383" s="24"/>
    </row>
    <row r="2384" spans="1:125" s="8" customFormat="1" ht="48" x14ac:dyDescent="0.2">
      <c r="A2384" s="353">
        <v>41473</v>
      </c>
      <c r="B2384" s="353" t="s">
        <v>529</v>
      </c>
      <c r="C2384" s="353" t="s">
        <v>529</v>
      </c>
      <c r="D2384" s="353" t="s">
        <v>2859</v>
      </c>
      <c r="E2384" s="353" t="str">
        <f>VLOOKUP(B2384&amp;C2384,Divipola!$C$2:$F$1138,4,FALSE)</f>
        <v>11001</v>
      </c>
      <c r="F2384" s="87">
        <v>2</v>
      </c>
      <c r="G2384" s="87"/>
      <c r="H2384" s="87"/>
      <c r="I2384" s="87">
        <v>6</v>
      </c>
      <c r="J2384" s="87">
        <v>1</v>
      </c>
      <c r="K2384" s="87">
        <v>1</v>
      </c>
      <c r="L2384" s="87"/>
      <c r="M2384" s="87"/>
      <c r="N2384" s="87"/>
      <c r="O2384" s="87"/>
      <c r="P2384" s="87"/>
      <c r="Q2384" s="87"/>
      <c r="R2384" s="87"/>
      <c r="S2384" s="87"/>
      <c r="T2384" s="87"/>
      <c r="U2384" s="88"/>
      <c r="V2384" s="89"/>
      <c r="W2384" s="96">
        <v>0</v>
      </c>
      <c r="X2384" s="71">
        <f>CU2384</f>
        <v>0</v>
      </c>
      <c r="Y2384" s="71">
        <f>CY2384</f>
        <v>0</v>
      </c>
      <c r="Z2384" s="71">
        <f>DA2384+DC2384+DE2384</f>
        <v>0</v>
      </c>
      <c r="AA2384" s="71">
        <f>CW2384</f>
        <v>0</v>
      </c>
      <c r="AB2384" s="71"/>
      <c r="AC2384" s="71">
        <v>0</v>
      </c>
      <c r="AD2384" s="71">
        <f>W2384+X2384+Y2384+Z2384+AA2384+AB2384+AC2384</f>
        <v>0</v>
      </c>
      <c r="AE2384" s="72">
        <v>0</v>
      </c>
      <c r="AF2384" s="5"/>
      <c r="AG2384" s="6"/>
      <c r="AH2384" s="27"/>
      <c r="AI2384" s="44"/>
      <c r="AJ2384" s="26"/>
      <c r="AK2384" s="5"/>
      <c r="AL2384" s="82" t="s">
        <v>5275</v>
      </c>
      <c r="AM2384" s="76"/>
      <c r="AN2384" s="76"/>
      <c r="AO2384" s="76"/>
      <c r="AP2384" s="76"/>
      <c r="AQ2384" s="76"/>
      <c r="AR2384" s="76"/>
      <c r="AS2384" s="76"/>
      <c r="AT2384" s="76"/>
      <c r="AU2384" s="76"/>
      <c r="AV2384" s="76"/>
      <c r="AW2384" s="76"/>
      <c r="AX2384" s="76">
        <f>+AW2384*600000</f>
        <v>0</v>
      </c>
      <c r="AY2384" s="76"/>
      <c r="AZ2384" s="76">
        <f>+AY2384*70000</f>
        <v>0</v>
      </c>
      <c r="BA2384" s="76"/>
      <c r="BB2384" s="76"/>
      <c r="BC2384" s="76"/>
      <c r="BD2384" s="76">
        <f>+BC2384*30000</f>
        <v>0</v>
      </c>
      <c r="BE2384" s="76"/>
      <c r="BF2384" s="76"/>
      <c r="BG2384" s="76"/>
      <c r="BH2384" s="76"/>
      <c r="BI2384" s="76"/>
      <c r="BJ2384" s="76"/>
      <c r="BK2384" s="76"/>
      <c r="BL2384" s="76">
        <f>+BK2384*31500</f>
        <v>0</v>
      </c>
      <c r="BM2384" s="76"/>
      <c r="BN2384" s="76"/>
      <c r="BO2384" s="76"/>
      <c r="BP2384" s="76"/>
      <c r="BQ2384" s="76"/>
      <c r="BR2384" s="76"/>
      <c r="BS2384" s="76"/>
      <c r="BT2384" s="76"/>
      <c r="BU2384" s="76"/>
      <c r="BV2384" s="76"/>
      <c r="BW2384" s="76"/>
      <c r="BX2384" s="76"/>
      <c r="BY2384" s="76"/>
      <c r="BZ2384" s="76"/>
      <c r="CA2384" s="76"/>
      <c r="CB2384" s="76"/>
      <c r="CC2384" s="76"/>
      <c r="CD2384" s="76"/>
      <c r="CE2384" s="76"/>
      <c r="CF2384" s="76">
        <f>+CE2384*28000</f>
        <v>0</v>
      </c>
      <c r="CG2384" s="76"/>
      <c r="CH2384" s="76">
        <f>+CG2384*22500</f>
        <v>0</v>
      </c>
      <c r="CI2384" s="76"/>
      <c r="CJ2384" s="76">
        <f>+CI2384*26000</f>
        <v>0</v>
      </c>
      <c r="CK2384" s="76"/>
      <c r="CL2384" s="76"/>
      <c r="CM2384" s="76"/>
      <c r="CN2384" s="76">
        <f>+CM2384*22000</f>
        <v>0</v>
      </c>
      <c r="CO2384" s="76"/>
      <c r="CP2384" s="76">
        <f>+CO2384*46000</f>
        <v>0</v>
      </c>
      <c r="CQ2384" s="76"/>
      <c r="CR2384" s="76">
        <f>+CQ2384*49000</f>
        <v>0</v>
      </c>
      <c r="CS2384" s="76"/>
      <c r="CT2384" s="76"/>
      <c r="CU2384" s="56">
        <f>AN2384+AP2384+AR2384+AT2384+AV2384+AX2384+AZ2384+BB2384+BD2384+BF2384+BH2384+BJ2384+BL2384+BN2384+BP2384+BR2384+BT2384+BV2384+BX2384+BZ2384+CB2384+CD2384+CF2384+CH2384+CJ2384+CL2384+CN2384+CP2384+CR2384+CT2384</f>
        <v>0</v>
      </c>
      <c r="CV2384" s="76"/>
      <c r="CW2384" s="76">
        <f>+CV2384*1100</f>
        <v>0</v>
      </c>
      <c r="CX2384" s="76"/>
      <c r="CY2384" s="76">
        <f>+CX2384*106250</f>
        <v>0</v>
      </c>
      <c r="CZ2384" s="76"/>
      <c r="DA2384" s="76">
        <f>+CZ2384*34500</f>
        <v>0</v>
      </c>
      <c r="DB2384" s="76"/>
      <c r="DC2384" s="76">
        <f>+DB2384*25000</f>
        <v>0</v>
      </c>
      <c r="DD2384" s="219"/>
      <c r="DE2384" s="219"/>
      <c r="DF2384" s="166"/>
      <c r="DG2384" s="116"/>
      <c r="DH2384" s="117"/>
      <c r="DI2384" s="24"/>
      <c r="DJ2384" s="24"/>
      <c r="DK2384" s="24"/>
      <c r="DL2384" s="24"/>
      <c r="DM2384" s="24"/>
      <c r="DN2384" s="24"/>
      <c r="DO2384" s="24"/>
      <c r="DP2384" s="24"/>
      <c r="DQ2384" s="24"/>
      <c r="DR2384" s="24"/>
      <c r="DS2384" s="24"/>
      <c r="DT2384" s="24"/>
      <c r="DU2384" s="24"/>
    </row>
    <row r="2385" spans="1:125" s="8" customFormat="1" ht="48" x14ac:dyDescent="0.2">
      <c r="A2385" s="226">
        <v>41473</v>
      </c>
      <c r="B2385" s="352" t="s">
        <v>2700</v>
      </c>
      <c r="C2385" s="354" t="s">
        <v>2217</v>
      </c>
      <c r="D2385" s="354" t="s">
        <v>2849</v>
      </c>
      <c r="E2385" s="353" t="str">
        <f>VLOOKUP(B2385&amp;C2385,Divipola!$C$2:$F$1138,4,FALSE)</f>
        <v>15469</v>
      </c>
      <c r="F2385" s="87">
        <v>1</v>
      </c>
      <c r="G2385" s="87"/>
      <c r="H2385" s="87"/>
      <c r="I2385" s="87"/>
      <c r="J2385" s="87"/>
      <c r="K2385" s="87"/>
      <c r="L2385" s="87"/>
      <c r="M2385" s="87"/>
      <c r="N2385" s="87"/>
      <c r="O2385" s="87"/>
      <c r="P2385" s="87"/>
      <c r="Q2385" s="87"/>
      <c r="R2385" s="87"/>
      <c r="S2385" s="87"/>
      <c r="T2385" s="87"/>
      <c r="U2385" s="88"/>
      <c r="V2385" s="89"/>
      <c r="W2385" s="96">
        <v>0</v>
      </c>
      <c r="X2385" s="71">
        <f>CU2385</f>
        <v>0</v>
      </c>
      <c r="Y2385" s="71">
        <f>CY2385</f>
        <v>0</v>
      </c>
      <c r="Z2385" s="71">
        <f>DA2385+DC2385+DE2385</f>
        <v>0</v>
      </c>
      <c r="AA2385" s="71">
        <f>CW2385</f>
        <v>0</v>
      </c>
      <c r="AB2385" s="71"/>
      <c r="AC2385" s="71">
        <v>0</v>
      </c>
      <c r="AD2385" s="71">
        <f>W2385+X2385+Y2385+Z2385+AA2385+AB2385+AC2385</f>
        <v>0</v>
      </c>
      <c r="AE2385" s="72">
        <v>0</v>
      </c>
      <c r="AF2385" s="5"/>
      <c r="AG2385" s="6"/>
      <c r="AH2385" s="27"/>
      <c r="AI2385" s="44"/>
      <c r="AJ2385" s="26"/>
      <c r="AK2385" s="5"/>
      <c r="AL2385" s="82" t="s">
        <v>5281</v>
      </c>
      <c r="AM2385" s="76"/>
      <c r="AN2385" s="76"/>
      <c r="AO2385" s="76"/>
      <c r="AP2385" s="76"/>
      <c r="AQ2385" s="76"/>
      <c r="AR2385" s="76"/>
      <c r="AS2385" s="76"/>
      <c r="AT2385" s="76"/>
      <c r="AU2385" s="76"/>
      <c r="AV2385" s="76"/>
      <c r="AW2385" s="76"/>
      <c r="AX2385" s="76">
        <f>+AW2385*600000</f>
        <v>0</v>
      </c>
      <c r="AY2385" s="76"/>
      <c r="AZ2385" s="76">
        <f>+AY2385*70000</f>
        <v>0</v>
      </c>
      <c r="BA2385" s="76"/>
      <c r="BB2385" s="76"/>
      <c r="BC2385" s="76"/>
      <c r="BD2385" s="76">
        <f>+BC2385*30000</f>
        <v>0</v>
      </c>
      <c r="BE2385" s="76"/>
      <c r="BF2385" s="76"/>
      <c r="BG2385" s="76"/>
      <c r="BH2385" s="76"/>
      <c r="BI2385" s="76"/>
      <c r="BJ2385" s="76"/>
      <c r="BK2385" s="76"/>
      <c r="BL2385" s="76">
        <f>+BK2385*31500</f>
        <v>0</v>
      </c>
      <c r="BM2385" s="76"/>
      <c r="BN2385" s="76"/>
      <c r="BO2385" s="76"/>
      <c r="BP2385" s="76"/>
      <c r="BQ2385" s="76"/>
      <c r="BR2385" s="76"/>
      <c r="BS2385" s="76"/>
      <c r="BT2385" s="76"/>
      <c r="BU2385" s="76"/>
      <c r="BV2385" s="76"/>
      <c r="BW2385" s="76"/>
      <c r="BX2385" s="76"/>
      <c r="BY2385" s="76"/>
      <c r="BZ2385" s="76"/>
      <c r="CA2385" s="76"/>
      <c r="CB2385" s="76"/>
      <c r="CC2385" s="76"/>
      <c r="CD2385" s="76"/>
      <c r="CE2385" s="76"/>
      <c r="CF2385" s="76">
        <f>+CE2385*28000</f>
        <v>0</v>
      </c>
      <c r="CG2385" s="76"/>
      <c r="CH2385" s="76">
        <f>+CG2385*22500</f>
        <v>0</v>
      </c>
      <c r="CI2385" s="76"/>
      <c r="CJ2385" s="76">
        <f>+CI2385*26000</f>
        <v>0</v>
      </c>
      <c r="CK2385" s="76"/>
      <c r="CL2385" s="76"/>
      <c r="CM2385" s="76"/>
      <c r="CN2385" s="76">
        <f>+CM2385*22000</f>
        <v>0</v>
      </c>
      <c r="CO2385" s="76"/>
      <c r="CP2385" s="76">
        <f>+CO2385*46000</f>
        <v>0</v>
      </c>
      <c r="CQ2385" s="76"/>
      <c r="CR2385" s="76">
        <f>+CQ2385*49000</f>
        <v>0</v>
      </c>
      <c r="CS2385" s="76"/>
      <c r="CT2385" s="76"/>
      <c r="CU2385" s="56">
        <f>AN2385+AP2385+AR2385+AT2385+AV2385+AX2385+AZ2385+BB2385+BD2385+BF2385+BH2385+BJ2385+BL2385+BN2385+BP2385+BR2385+BT2385+BV2385+BX2385+BZ2385+CB2385+CD2385+CF2385+CH2385+CJ2385+CL2385+CN2385+CP2385+CR2385+CT2385</f>
        <v>0</v>
      </c>
      <c r="CV2385" s="76"/>
      <c r="CW2385" s="76">
        <f>+CV2385*1100</f>
        <v>0</v>
      </c>
      <c r="CX2385" s="76"/>
      <c r="CY2385" s="76">
        <f>+CX2385*106250</f>
        <v>0</v>
      </c>
      <c r="CZ2385" s="76"/>
      <c r="DA2385" s="76">
        <f>+CZ2385*34500</f>
        <v>0</v>
      </c>
      <c r="DB2385" s="76"/>
      <c r="DC2385" s="76">
        <f>+DB2385*25000</f>
        <v>0</v>
      </c>
      <c r="DD2385" s="219"/>
      <c r="DE2385" s="219"/>
      <c r="DF2385" s="166"/>
      <c r="DG2385" s="116"/>
      <c r="DH2385" s="117"/>
      <c r="DI2385" s="24"/>
      <c r="DJ2385" s="24"/>
      <c r="DK2385" s="24"/>
      <c r="DL2385" s="24"/>
      <c r="DM2385" s="24"/>
      <c r="DN2385" s="24"/>
      <c r="DO2385" s="24"/>
      <c r="DP2385" s="24"/>
      <c r="DQ2385" s="24"/>
      <c r="DR2385" s="24"/>
      <c r="DS2385" s="24"/>
      <c r="DT2385" s="24"/>
      <c r="DU2385" s="24"/>
    </row>
    <row r="2386" spans="1:125" s="8" customFormat="1" ht="72" x14ac:dyDescent="0.2">
      <c r="A2386" s="353">
        <v>41473</v>
      </c>
      <c r="B2386" s="353" t="s">
        <v>2700</v>
      </c>
      <c r="C2386" s="353" t="s">
        <v>1375</v>
      </c>
      <c r="D2386" s="353" t="s">
        <v>3088</v>
      </c>
      <c r="E2386" s="353" t="str">
        <f>VLOOKUP(B2386&amp;C2386,Divipola!$C$2:$F$1138,4,FALSE)</f>
        <v>15759</v>
      </c>
      <c r="F2386" s="87"/>
      <c r="G2386" s="87"/>
      <c r="H2386" s="87"/>
      <c r="I2386" s="87">
        <v>5</v>
      </c>
      <c r="J2386" s="87">
        <v>1</v>
      </c>
      <c r="K2386" s="87">
        <v>1</v>
      </c>
      <c r="L2386" s="87"/>
      <c r="M2386" s="87"/>
      <c r="N2386" s="87"/>
      <c r="O2386" s="87"/>
      <c r="P2386" s="87"/>
      <c r="Q2386" s="87"/>
      <c r="R2386" s="87"/>
      <c r="S2386" s="87"/>
      <c r="T2386" s="87"/>
      <c r="U2386" s="88"/>
      <c r="V2386" s="89"/>
      <c r="W2386" s="96">
        <v>0</v>
      </c>
      <c r="X2386" s="71">
        <f>CU2386</f>
        <v>0</v>
      </c>
      <c r="Y2386" s="71">
        <f>CY2386</f>
        <v>0</v>
      </c>
      <c r="Z2386" s="71">
        <f>DA2386+DC2386+DE2386</f>
        <v>0</v>
      </c>
      <c r="AA2386" s="71">
        <f>CW2386</f>
        <v>0</v>
      </c>
      <c r="AB2386" s="71"/>
      <c r="AC2386" s="71">
        <v>0</v>
      </c>
      <c r="AD2386" s="71">
        <f>W2386+X2386+Y2386+Z2386+AA2386+AB2386+AC2386</f>
        <v>0</v>
      </c>
      <c r="AE2386" s="72">
        <v>0</v>
      </c>
      <c r="AF2386" s="5"/>
      <c r="AG2386" s="6"/>
      <c r="AH2386" s="27"/>
      <c r="AI2386" s="44"/>
      <c r="AJ2386" s="26"/>
      <c r="AK2386" s="5"/>
      <c r="AL2386" s="82" t="s">
        <v>5260</v>
      </c>
      <c r="AM2386" s="76"/>
      <c r="AN2386" s="76"/>
      <c r="AO2386" s="76"/>
      <c r="AP2386" s="76"/>
      <c r="AQ2386" s="76"/>
      <c r="AR2386" s="76"/>
      <c r="AS2386" s="76"/>
      <c r="AT2386" s="76"/>
      <c r="AU2386" s="76"/>
      <c r="AV2386" s="76"/>
      <c r="AW2386" s="76"/>
      <c r="AX2386" s="76">
        <f>+AW2386*600000</f>
        <v>0</v>
      </c>
      <c r="AY2386" s="76"/>
      <c r="AZ2386" s="76">
        <f>+AY2386*70000</f>
        <v>0</v>
      </c>
      <c r="BA2386" s="76"/>
      <c r="BB2386" s="76"/>
      <c r="BC2386" s="76"/>
      <c r="BD2386" s="76">
        <f>+BC2386*30000</f>
        <v>0</v>
      </c>
      <c r="BE2386" s="76"/>
      <c r="BF2386" s="76"/>
      <c r="BG2386" s="76"/>
      <c r="BH2386" s="76"/>
      <c r="BI2386" s="76"/>
      <c r="BJ2386" s="76"/>
      <c r="BK2386" s="76"/>
      <c r="BL2386" s="76">
        <f>+BK2386*31500</f>
        <v>0</v>
      </c>
      <c r="BM2386" s="76"/>
      <c r="BN2386" s="76"/>
      <c r="BO2386" s="76"/>
      <c r="BP2386" s="76"/>
      <c r="BQ2386" s="76"/>
      <c r="BR2386" s="76"/>
      <c r="BS2386" s="76"/>
      <c r="BT2386" s="76"/>
      <c r="BU2386" s="76"/>
      <c r="BV2386" s="76"/>
      <c r="BW2386" s="76"/>
      <c r="BX2386" s="76"/>
      <c r="BY2386" s="76"/>
      <c r="BZ2386" s="76"/>
      <c r="CA2386" s="76"/>
      <c r="CB2386" s="76"/>
      <c r="CC2386" s="76"/>
      <c r="CD2386" s="76"/>
      <c r="CE2386" s="76"/>
      <c r="CF2386" s="76">
        <f>+CE2386*28000</f>
        <v>0</v>
      </c>
      <c r="CG2386" s="76"/>
      <c r="CH2386" s="76">
        <f>+CG2386*22500</f>
        <v>0</v>
      </c>
      <c r="CI2386" s="76"/>
      <c r="CJ2386" s="76">
        <f>+CI2386*26000</f>
        <v>0</v>
      </c>
      <c r="CK2386" s="76"/>
      <c r="CL2386" s="76"/>
      <c r="CM2386" s="76"/>
      <c r="CN2386" s="76">
        <f>+CM2386*22000</f>
        <v>0</v>
      </c>
      <c r="CO2386" s="76"/>
      <c r="CP2386" s="76">
        <f>+CO2386*46000</f>
        <v>0</v>
      </c>
      <c r="CQ2386" s="76"/>
      <c r="CR2386" s="76">
        <f>+CQ2386*49000</f>
        <v>0</v>
      </c>
      <c r="CS2386" s="76"/>
      <c r="CT2386" s="76"/>
      <c r="CU2386" s="56">
        <f>AN2386+AP2386+AR2386+AT2386+AV2386+AX2386+AZ2386+BB2386+BD2386+BF2386+BH2386+BJ2386+BL2386+BN2386+BP2386+BR2386+BT2386+BV2386+BX2386+BZ2386+CB2386+CD2386+CF2386+CH2386+CJ2386+CL2386+CN2386+CP2386+CR2386+CT2386</f>
        <v>0</v>
      </c>
      <c r="CV2386" s="76"/>
      <c r="CW2386" s="76">
        <f>+CV2386*1100</f>
        <v>0</v>
      </c>
      <c r="CX2386" s="76"/>
      <c r="CY2386" s="76">
        <f>+CX2386*106250</f>
        <v>0</v>
      </c>
      <c r="CZ2386" s="76"/>
      <c r="DA2386" s="76">
        <f>+CZ2386*34500</f>
        <v>0</v>
      </c>
      <c r="DB2386" s="76"/>
      <c r="DC2386" s="76">
        <f>+DB2386*25000</f>
        <v>0</v>
      </c>
      <c r="DD2386" s="219"/>
      <c r="DE2386" s="219"/>
      <c r="DF2386" s="166"/>
      <c r="DG2386" s="116"/>
      <c r="DH2386" s="117"/>
      <c r="DI2386" s="24"/>
      <c r="DJ2386" s="24"/>
      <c r="DK2386" s="24"/>
      <c r="DL2386" s="24"/>
      <c r="DM2386" s="24"/>
      <c r="DN2386" s="24"/>
      <c r="DO2386" s="24"/>
      <c r="DP2386" s="24"/>
      <c r="DQ2386" s="24"/>
      <c r="DR2386" s="24"/>
      <c r="DS2386" s="24"/>
      <c r="DT2386" s="24"/>
      <c r="DU2386" s="24"/>
    </row>
    <row r="2387" spans="1:125" s="8" customFormat="1" ht="72" x14ac:dyDescent="0.2">
      <c r="A2387" s="77">
        <v>41473</v>
      </c>
      <c r="B2387" s="78" t="s">
        <v>2087</v>
      </c>
      <c r="C2387" s="75" t="s">
        <v>2692</v>
      </c>
      <c r="D2387" s="354" t="s">
        <v>2859</v>
      </c>
      <c r="E2387" s="75" t="str">
        <f>VLOOKUP(B2387&amp;C2387,Divipola!$C$2:$F$1138,4,FALSE)</f>
        <v>18001</v>
      </c>
      <c r="F2387" s="87"/>
      <c r="G2387" s="87"/>
      <c r="H2387" s="87"/>
      <c r="I2387" s="87">
        <v>5</v>
      </c>
      <c r="J2387" s="87">
        <v>1</v>
      </c>
      <c r="K2387" s="87">
        <v>1</v>
      </c>
      <c r="L2387" s="87"/>
      <c r="M2387" s="87"/>
      <c r="N2387" s="87"/>
      <c r="O2387" s="87"/>
      <c r="P2387" s="87"/>
      <c r="Q2387" s="87"/>
      <c r="R2387" s="87"/>
      <c r="S2387" s="87"/>
      <c r="T2387" s="87"/>
      <c r="U2387" s="88"/>
      <c r="V2387" s="89"/>
      <c r="W2387" s="96">
        <v>0</v>
      </c>
      <c r="X2387" s="71">
        <f>CU2387</f>
        <v>0</v>
      </c>
      <c r="Y2387" s="71">
        <f>CY2387</f>
        <v>0</v>
      </c>
      <c r="Z2387" s="71">
        <f>DA2387+DC2387+DE2387</f>
        <v>0</v>
      </c>
      <c r="AA2387" s="71">
        <f>CW2387</f>
        <v>0</v>
      </c>
      <c r="AB2387" s="71"/>
      <c r="AC2387" s="71">
        <v>0</v>
      </c>
      <c r="AD2387" s="71">
        <f>W2387+X2387+Y2387+Z2387+AA2387+AB2387+AC2387</f>
        <v>0</v>
      </c>
      <c r="AE2387" s="72">
        <v>0</v>
      </c>
      <c r="AF2387" s="5"/>
      <c r="AG2387" s="6"/>
      <c r="AH2387" s="27"/>
      <c r="AI2387" s="44"/>
      <c r="AJ2387" s="26"/>
      <c r="AK2387" s="5"/>
      <c r="AL2387" s="82" t="s">
        <v>5259</v>
      </c>
      <c r="AM2387" s="76"/>
      <c r="AN2387" s="76"/>
      <c r="AO2387" s="76"/>
      <c r="AP2387" s="76"/>
      <c r="AQ2387" s="76"/>
      <c r="AR2387" s="76"/>
      <c r="AS2387" s="76"/>
      <c r="AT2387" s="76"/>
      <c r="AU2387" s="76"/>
      <c r="AV2387" s="76"/>
      <c r="AW2387" s="76"/>
      <c r="AX2387" s="76">
        <f>+AW2387*600000</f>
        <v>0</v>
      </c>
      <c r="AY2387" s="76"/>
      <c r="AZ2387" s="76">
        <f>+AY2387*70000</f>
        <v>0</v>
      </c>
      <c r="BA2387" s="76"/>
      <c r="BB2387" s="76"/>
      <c r="BC2387" s="76"/>
      <c r="BD2387" s="76">
        <f>+BC2387*30000</f>
        <v>0</v>
      </c>
      <c r="BE2387" s="76"/>
      <c r="BF2387" s="76"/>
      <c r="BG2387" s="76"/>
      <c r="BH2387" s="76"/>
      <c r="BI2387" s="76"/>
      <c r="BJ2387" s="76"/>
      <c r="BK2387" s="76"/>
      <c r="BL2387" s="76">
        <f>+BK2387*31500</f>
        <v>0</v>
      </c>
      <c r="BM2387" s="76"/>
      <c r="BN2387" s="76"/>
      <c r="BO2387" s="76"/>
      <c r="BP2387" s="76"/>
      <c r="BQ2387" s="76"/>
      <c r="BR2387" s="76"/>
      <c r="BS2387" s="76"/>
      <c r="BT2387" s="76"/>
      <c r="BU2387" s="76"/>
      <c r="BV2387" s="76"/>
      <c r="BW2387" s="76"/>
      <c r="BX2387" s="76"/>
      <c r="BY2387" s="76"/>
      <c r="BZ2387" s="76"/>
      <c r="CA2387" s="76"/>
      <c r="CB2387" s="76"/>
      <c r="CC2387" s="76"/>
      <c r="CD2387" s="76"/>
      <c r="CE2387" s="76"/>
      <c r="CF2387" s="76">
        <f>+CE2387*28000</f>
        <v>0</v>
      </c>
      <c r="CG2387" s="76"/>
      <c r="CH2387" s="76">
        <f>+CG2387*22500</f>
        <v>0</v>
      </c>
      <c r="CI2387" s="76"/>
      <c r="CJ2387" s="76">
        <f>+CI2387*26000</f>
        <v>0</v>
      </c>
      <c r="CK2387" s="76"/>
      <c r="CL2387" s="76"/>
      <c r="CM2387" s="76"/>
      <c r="CN2387" s="76">
        <f>+CM2387*22000</f>
        <v>0</v>
      </c>
      <c r="CO2387" s="76"/>
      <c r="CP2387" s="76">
        <f>+CO2387*46000</f>
        <v>0</v>
      </c>
      <c r="CQ2387" s="76"/>
      <c r="CR2387" s="76">
        <f>+CQ2387*49000</f>
        <v>0</v>
      </c>
      <c r="CS2387" s="76"/>
      <c r="CT2387" s="76"/>
      <c r="CU2387" s="56">
        <f>AN2387+AP2387+AR2387+AT2387+AV2387+AX2387+AZ2387+BB2387+BD2387+BF2387+BH2387+BJ2387+BL2387+BN2387+BP2387+BR2387+BT2387+BV2387+BX2387+BZ2387+CB2387+CD2387+CF2387+CH2387+CJ2387+CL2387+CN2387+CP2387+CR2387+CT2387</f>
        <v>0</v>
      </c>
      <c r="CV2387" s="76"/>
      <c r="CW2387" s="76">
        <f>+CV2387*1100</f>
        <v>0</v>
      </c>
      <c r="CX2387" s="76"/>
      <c r="CY2387" s="76">
        <f>+CX2387*106250</f>
        <v>0</v>
      </c>
      <c r="CZ2387" s="76"/>
      <c r="DA2387" s="76">
        <f>+CZ2387*34500</f>
        <v>0</v>
      </c>
      <c r="DB2387" s="76"/>
      <c r="DC2387" s="76">
        <f>+DB2387*25000</f>
        <v>0</v>
      </c>
      <c r="DD2387" s="219"/>
      <c r="DE2387" s="219"/>
      <c r="DF2387" s="166"/>
      <c r="DG2387" s="116"/>
      <c r="DH2387" s="117"/>
      <c r="DI2387" s="24"/>
      <c r="DJ2387" s="24"/>
      <c r="DK2387" s="24"/>
      <c r="DL2387" s="24"/>
      <c r="DM2387" s="24"/>
      <c r="DN2387" s="24"/>
      <c r="DO2387" s="24"/>
      <c r="DP2387" s="24"/>
      <c r="DQ2387" s="24"/>
      <c r="DR2387" s="24"/>
      <c r="DS2387" s="24"/>
      <c r="DT2387" s="24"/>
      <c r="DU2387" s="24"/>
    </row>
    <row r="2388" spans="1:125" s="8" customFormat="1" ht="36" x14ac:dyDescent="0.2">
      <c r="A2388" s="77">
        <v>41473</v>
      </c>
      <c r="B2388" s="77" t="s">
        <v>2778</v>
      </c>
      <c r="C2388" s="77" t="s">
        <v>2195</v>
      </c>
      <c r="D2388" s="77" t="s">
        <v>3051</v>
      </c>
      <c r="E2388" s="353" t="str">
        <f>VLOOKUP(B2388&amp;C2388,Divipola!$C$2:$F$1138,4,FALSE)</f>
        <v>85430</v>
      </c>
      <c r="F2388" s="87"/>
      <c r="G2388" s="87"/>
      <c r="H2388" s="87"/>
      <c r="I2388" s="87">
        <v>120</v>
      </c>
      <c r="J2388" s="87">
        <v>32</v>
      </c>
      <c r="K2388" s="87"/>
      <c r="L2388" s="87">
        <v>32</v>
      </c>
      <c r="M2388" s="87"/>
      <c r="N2388" s="87"/>
      <c r="O2388" s="87"/>
      <c r="P2388" s="87"/>
      <c r="Q2388" s="87"/>
      <c r="R2388" s="87"/>
      <c r="S2388" s="87"/>
      <c r="T2388" s="87"/>
      <c r="U2388" s="88">
        <v>30</v>
      </c>
      <c r="V2388" s="89"/>
      <c r="W2388" s="96">
        <v>0</v>
      </c>
      <c r="X2388" s="71">
        <f>CU2388</f>
        <v>0</v>
      </c>
      <c r="Y2388" s="71">
        <f>CY2388</f>
        <v>0</v>
      </c>
      <c r="Z2388" s="71">
        <f>DA2388+DC2388+DE2388</f>
        <v>0</v>
      </c>
      <c r="AA2388" s="71">
        <f>CW2388</f>
        <v>0</v>
      </c>
      <c r="AB2388" s="71"/>
      <c r="AC2388" s="71">
        <v>0</v>
      </c>
      <c r="AD2388" s="71">
        <f>W2388+X2388+Y2388+Z2388+AA2388+AB2388+AC2388</f>
        <v>0</v>
      </c>
      <c r="AE2388" s="72">
        <v>0</v>
      </c>
      <c r="AF2388" s="5"/>
      <c r="AG2388" s="6"/>
      <c r="AH2388" s="27"/>
      <c r="AI2388" s="44"/>
      <c r="AJ2388" s="26"/>
      <c r="AK2388" s="5"/>
      <c r="AL2388" s="82" t="s">
        <v>5279</v>
      </c>
      <c r="AM2388" s="76"/>
      <c r="AN2388" s="76"/>
      <c r="AO2388" s="76"/>
      <c r="AP2388" s="76"/>
      <c r="AQ2388" s="76"/>
      <c r="AR2388" s="76"/>
      <c r="AS2388" s="76"/>
      <c r="AT2388" s="76"/>
      <c r="AU2388" s="76"/>
      <c r="AV2388" s="76"/>
      <c r="AW2388" s="76"/>
      <c r="AX2388" s="76">
        <f>+AW2388*600000</f>
        <v>0</v>
      </c>
      <c r="AY2388" s="76"/>
      <c r="AZ2388" s="76">
        <f>+AY2388*70000</f>
        <v>0</v>
      </c>
      <c r="BA2388" s="76"/>
      <c r="BB2388" s="76"/>
      <c r="BC2388" s="76"/>
      <c r="BD2388" s="76">
        <f>+BC2388*30000</f>
        <v>0</v>
      </c>
      <c r="BE2388" s="76"/>
      <c r="BF2388" s="76"/>
      <c r="BG2388" s="76"/>
      <c r="BH2388" s="76"/>
      <c r="BI2388" s="76"/>
      <c r="BJ2388" s="76"/>
      <c r="BK2388" s="76"/>
      <c r="BL2388" s="76">
        <f>+BK2388*31500</f>
        <v>0</v>
      </c>
      <c r="BM2388" s="76"/>
      <c r="BN2388" s="76"/>
      <c r="BO2388" s="76"/>
      <c r="BP2388" s="76"/>
      <c r="BQ2388" s="76"/>
      <c r="BR2388" s="76"/>
      <c r="BS2388" s="76"/>
      <c r="BT2388" s="76"/>
      <c r="BU2388" s="76"/>
      <c r="BV2388" s="76"/>
      <c r="BW2388" s="76"/>
      <c r="BX2388" s="76"/>
      <c r="BY2388" s="76"/>
      <c r="BZ2388" s="76"/>
      <c r="CA2388" s="76"/>
      <c r="CB2388" s="76"/>
      <c r="CC2388" s="76"/>
      <c r="CD2388" s="76"/>
      <c r="CE2388" s="76"/>
      <c r="CF2388" s="76">
        <f>+CE2388*28000</f>
        <v>0</v>
      </c>
      <c r="CG2388" s="76"/>
      <c r="CH2388" s="76">
        <f>+CG2388*22500</f>
        <v>0</v>
      </c>
      <c r="CI2388" s="76"/>
      <c r="CJ2388" s="76">
        <f>+CI2388*26000</f>
        <v>0</v>
      </c>
      <c r="CK2388" s="76"/>
      <c r="CL2388" s="76"/>
      <c r="CM2388" s="76"/>
      <c r="CN2388" s="76">
        <f>+CM2388*22000</f>
        <v>0</v>
      </c>
      <c r="CO2388" s="76"/>
      <c r="CP2388" s="76">
        <f>+CO2388*46000</f>
        <v>0</v>
      </c>
      <c r="CQ2388" s="76"/>
      <c r="CR2388" s="76">
        <f>+CQ2388*49000</f>
        <v>0</v>
      </c>
      <c r="CS2388" s="76"/>
      <c r="CT2388" s="76"/>
      <c r="CU2388" s="56">
        <f>AN2388+AP2388+AR2388+AT2388+AV2388+AX2388+AZ2388+BB2388+BD2388+BF2388+BH2388+BJ2388+BL2388+BN2388+BP2388+BR2388+BT2388+BV2388+BX2388+BZ2388+CB2388+CD2388+CF2388+CH2388+CJ2388+CL2388+CN2388+CP2388+CR2388+CT2388</f>
        <v>0</v>
      </c>
      <c r="CV2388" s="76"/>
      <c r="CW2388" s="76">
        <f>+CV2388*1100</f>
        <v>0</v>
      </c>
      <c r="CX2388" s="76"/>
      <c r="CY2388" s="76">
        <f>+CX2388*106250</f>
        <v>0</v>
      </c>
      <c r="CZ2388" s="76"/>
      <c r="DA2388" s="76">
        <f>+CZ2388*34500</f>
        <v>0</v>
      </c>
      <c r="DB2388" s="76"/>
      <c r="DC2388" s="76">
        <f>+DB2388*25000</f>
        <v>0</v>
      </c>
      <c r="DD2388" s="219"/>
      <c r="DE2388" s="219"/>
      <c r="DF2388" s="166"/>
      <c r="DG2388" s="116"/>
      <c r="DH2388" s="117"/>
      <c r="DI2388" s="24"/>
      <c r="DJ2388" s="24"/>
      <c r="DK2388" s="24"/>
      <c r="DL2388" s="24"/>
      <c r="DM2388" s="24"/>
      <c r="DN2388" s="24"/>
      <c r="DO2388" s="24"/>
      <c r="DP2388" s="24"/>
      <c r="DQ2388" s="24"/>
      <c r="DR2388" s="24"/>
      <c r="DS2388" s="24"/>
      <c r="DT2388" s="24"/>
      <c r="DU2388" s="24"/>
    </row>
    <row r="2389" spans="1:125" s="8" customFormat="1" ht="60" x14ac:dyDescent="0.2">
      <c r="A2389" s="353">
        <v>41473</v>
      </c>
      <c r="B2389" s="352" t="s">
        <v>2854</v>
      </c>
      <c r="C2389" s="354" t="s">
        <v>867</v>
      </c>
      <c r="D2389" s="354" t="s">
        <v>3205</v>
      </c>
      <c r="E2389" s="353" t="str">
        <f>VLOOKUP(B2389&amp;C2389,Divipola!$C$2:$F$1138,4,FALSE)</f>
        <v>19693</v>
      </c>
      <c r="F2389" s="87"/>
      <c r="G2389" s="87"/>
      <c r="H2389" s="87"/>
      <c r="I2389" s="87"/>
      <c r="J2389" s="87"/>
      <c r="K2389" s="87"/>
      <c r="L2389" s="87"/>
      <c r="M2389" s="87"/>
      <c r="N2389" s="87"/>
      <c r="O2389" s="87">
        <v>3</v>
      </c>
      <c r="P2389" s="87"/>
      <c r="Q2389" s="87"/>
      <c r="R2389" s="87"/>
      <c r="S2389" s="87"/>
      <c r="T2389" s="87"/>
      <c r="U2389" s="88"/>
      <c r="V2389" s="89"/>
      <c r="W2389" s="96">
        <v>0</v>
      </c>
      <c r="X2389" s="71">
        <f>CU2389</f>
        <v>0</v>
      </c>
      <c r="Y2389" s="71">
        <f>CY2389</f>
        <v>0</v>
      </c>
      <c r="Z2389" s="71">
        <f>DA2389+DC2389+DE2389</f>
        <v>0</v>
      </c>
      <c r="AA2389" s="71">
        <f>CW2389</f>
        <v>0</v>
      </c>
      <c r="AB2389" s="71"/>
      <c r="AC2389" s="71">
        <v>0</v>
      </c>
      <c r="AD2389" s="71">
        <f>W2389+X2389+Y2389+Z2389+AA2389+AB2389+AC2389</f>
        <v>0</v>
      </c>
      <c r="AE2389" s="72">
        <v>0</v>
      </c>
      <c r="AF2389" s="5"/>
      <c r="AG2389" s="6"/>
      <c r="AH2389" s="27"/>
      <c r="AI2389" s="44"/>
      <c r="AJ2389" s="26"/>
      <c r="AK2389" s="5"/>
      <c r="AL2389" s="82" t="s">
        <v>5268</v>
      </c>
      <c r="AM2389" s="76"/>
      <c r="AN2389" s="76"/>
      <c r="AO2389" s="76"/>
      <c r="AP2389" s="76"/>
      <c r="AQ2389" s="76"/>
      <c r="AR2389" s="76"/>
      <c r="AS2389" s="76"/>
      <c r="AT2389" s="76"/>
      <c r="AU2389" s="76"/>
      <c r="AV2389" s="76"/>
      <c r="AW2389" s="76"/>
      <c r="AX2389" s="76">
        <f>+AW2389*600000</f>
        <v>0</v>
      </c>
      <c r="AY2389" s="76"/>
      <c r="AZ2389" s="76">
        <f>+AY2389*70000</f>
        <v>0</v>
      </c>
      <c r="BA2389" s="76"/>
      <c r="BB2389" s="76"/>
      <c r="BC2389" s="76"/>
      <c r="BD2389" s="76">
        <f>+BC2389*30000</f>
        <v>0</v>
      </c>
      <c r="BE2389" s="76"/>
      <c r="BF2389" s="76"/>
      <c r="BG2389" s="76"/>
      <c r="BH2389" s="76"/>
      <c r="BI2389" s="76"/>
      <c r="BJ2389" s="76"/>
      <c r="BK2389" s="76"/>
      <c r="BL2389" s="76">
        <f>+BK2389*31500</f>
        <v>0</v>
      </c>
      <c r="BM2389" s="76"/>
      <c r="BN2389" s="76"/>
      <c r="BO2389" s="76"/>
      <c r="BP2389" s="76"/>
      <c r="BQ2389" s="76"/>
      <c r="BR2389" s="76"/>
      <c r="BS2389" s="76"/>
      <c r="BT2389" s="76"/>
      <c r="BU2389" s="76"/>
      <c r="BV2389" s="76"/>
      <c r="BW2389" s="76"/>
      <c r="BX2389" s="76"/>
      <c r="BY2389" s="76"/>
      <c r="BZ2389" s="76"/>
      <c r="CA2389" s="76"/>
      <c r="CB2389" s="76"/>
      <c r="CC2389" s="76"/>
      <c r="CD2389" s="76"/>
      <c r="CE2389" s="76"/>
      <c r="CF2389" s="76">
        <f>+CE2389*28000</f>
        <v>0</v>
      </c>
      <c r="CG2389" s="76"/>
      <c r="CH2389" s="76">
        <f>+CG2389*22500</f>
        <v>0</v>
      </c>
      <c r="CI2389" s="76"/>
      <c r="CJ2389" s="76">
        <f>+CI2389*26000</f>
        <v>0</v>
      </c>
      <c r="CK2389" s="76"/>
      <c r="CL2389" s="76"/>
      <c r="CM2389" s="76"/>
      <c r="CN2389" s="76">
        <f>+CM2389*22000</f>
        <v>0</v>
      </c>
      <c r="CO2389" s="76"/>
      <c r="CP2389" s="76">
        <f>+CO2389*46000</f>
        <v>0</v>
      </c>
      <c r="CQ2389" s="76"/>
      <c r="CR2389" s="76">
        <f>+CQ2389*49000</f>
        <v>0</v>
      </c>
      <c r="CS2389" s="76"/>
      <c r="CT2389" s="76"/>
      <c r="CU2389" s="56">
        <f>AN2389+AP2389+AR2389+AT2389+AV2389+AX2389+AZ2389+BB2389+BD2389+BF2389+BH2389+BJ2389+BL2389+BN2389+BP2389+BR2389+BT2389+BV2389+BX2389+BZ2389+CB2389+CD2389+CF2389+CH2389+CJ2389+CL2389+CN2389+CP2389+CR2389+CT2389</f>
        <v>0</v>
      </c>
      <c r="CV2389" s="76"/>
      <c r="CW2389" s="76">
        <f>+CV2389*1100</f>
        <v>0</v>
      </c>
      <c r="CX2389" s="76"/>
      <c r="CY2389" s="76">
        <f>+CX2389*106250</f>
        <v>0</v>
      </c>
      <c r="CZ2389" s="76"/>
      <c r="DA2389" s="76">
        <f>+CZ2389*34500</f>
        <v>0</v>
      </c>
      <c r="DB2389" s="76"/>
      <c r="DC2389" s="76">
        <f>+DB2389*25000</f>
        <v>0</v>
      </c>
      <c r="DD2389" s="219"/>
      <c r="DE2389" s="219"/>
      <c r="DF2389" s="166"/>
      <c r="DG2389" s="116"/>
      <c r="DH2389" s="117"/>
      <c r="DI2389" s="24"/>
      <c r="DJ2389" s="24"/>
      <c r="DK2389" s="24"/>
      <c r="DL2389" s="24"/>
      <c r="DM2389" s="24"/>
      <c r="DN2389" s="24"/>
      <c r="DO2389" s="24"/>
      <c r="DP2389" s="24"/>
      <c r="DQ2389" s="24"/>
      <c r="DR2389" s="24"/>
      <c r="DS2389" s="24"/>
      <c r="DT2389" s="24"/>
      <c r="DU2389" s="24"/>
    </row>
    <row r="2390" spans="1:125" s="8" customFormat="1" ht="120" x14ac:dyDescent="0.2">
      <c r="A2390" s="353">
        <v>41473</v>
      </c>
      <c r="B2390" s="353" t="s">
        <v>2854</v>
      </c>
      <c r="C2390" s="353" t="s">
        <v>2678</v>
      </c>
      <c r="D2390" s="353" t="s">
        <v>3088</v>
      </c>
      <c r="E2390" s="353" t="str">
        <f>VLOOKUP(B2390&amp;C2390,Divipola!$C$2:$F$1138,4,FALSE)</f>
        <v>19701</v>
      </c>
      <c r="F2390" s="87"/>
      <c r="G2390" s="87"/>
      <c r="H2390" s="87"/>
      <c r="I2390" s="87">
        <v>270</v>
      </c>
      <c r="J2390" s="87">
        <v>54</v>
      </c>
      <c r="K2390" s="87"/>
      <c r="L2390" s="87">
        <v>13</v>
      </c>
      <c r="M2390" s="87"/>
      <c r="N2390" s="87"/>
      <c r="O2390" s="87"/>
      <c r="P2390" s="87"/>
      <c r="Q2390" s="87"/>
      <c r="R2390" s="87"/>
      <c r="S2390" s="87"/>
      <c r="T2390" s="87"/>
      <c r="U2390" s="88"/>
      <c r="V2390" s="89"/>
      <c r="W2390" s="96">
        <v>0</v>
      </c>
      <c r="X2390" s="71">
        <f>CU2390</f>
        <v>0</v>
      </c>
      <c r="Y2390" s="71">
        <f>CY2390</f>
        <v>0</v>
      </c>
      <c r="Z2390" s="71">
        <f>DA2390+DC2390+DE2390</f>
        <v>0</v>
      </c>
      <c r="AA2390" s="71">
        <f>CW2390</f>
        <v>0</v>
      </c>
      <c r="AB2390" s="71"/>
      <c r="AC2390" s="71">
        <v>0</v>
      </c>
      <c r="AD2390" s="71">
        <f>W2390+X2390+Y2390+Z2390+AA2390+AB2390+AC2390</f>
        <v>0</v>
      </c>
      <c r="AE2390" s="72">
        <v>0</v>
      </c>
      <c r="AF2390" s="5"/>
      <c r="AG2390" s="6"/>
      <c r="AH2390" s="27"/>
      <c r="AI2390" s="44"/>
      <c r="AJ2390" s="26"/>
      <c r="AK2390" s="5"/>
      <c r="AL2390" s="82" t="s">
        <v>5265</v>
      </c>
      <c r="AM2390" s="76"/>
      <c r="AN2390" s="76"/>
      <c r="AO2390" s="76"/>
      <c r="AP2390" s="76"/>
      <c r="AQ2390" s="76"/>
      <c r="AR2390" s="76"/>
      <c r="AS2390" s="76"/>
      <c r="AT2390" s="76"/>
      <c r="AU2390" s="76"/>
      <c r="AV2390" s="76"/>
      <c r="AW2390" s="76"/>
      <c r="AX2390" s="76">
        <f>+AW2390*600000</f>
        <v>0</v>
      </c>
      <c r="AY2390" s="76"/>
      <c r="AZ2390" s="76">
        <f>+AY2390*70000</f>
        <v>0</v>
      </c>
      <c r="BA2390" s="76"/>
      <c r="BB2390" s="76"/>
      <c r="BC2390" s="76"/>
      <c r="BD2390" s="76">
        <f>+BC2390*30000</f>
        <v>0</v>
      </c>
      <c r="BE2390" s="76"/>
      <c r="BF2390" s="76"/>
      <c r="BG2390" s="76"/>
      <c r="BH2390" s="76"/>
      <c r="BI2390" s="76"/>
      <c r="BJ2390" s="76"/>
      <c r="BK2390" s="76"/>
      <c r="BL2390" s="76">
        <f>+BK2390*31500</f>
        <v>0</v>
      </c>
      <c r="BM2390" s="76"/>
      <c r="BN2390" s="76"/>
      <c r="BO2390" s="76"/>
      <c r="BP2390" s="76"/>
      <c r="BQ2390" s="76"/>
      <c r="BR2390" s="76"/>
      <c r="BS2390" s="76"/>
      <c r="BT2390" s="76"/>
      <c r="BU2390" s="76"/>
      <c r="BV2390" s="76"/>
      <c r="BW2390" s="76"/>
      <c r="BX2390" s="76"/>
      <c r="BY2390" s="76"/>
      <c r="BZ2390" s="76"/>
      <c r="CA2390" s="76"/>
      <c r="CB2390" s="76"/>
      <c r="CC2390" s="76"/>
      <c r="CD2390" s="76"/>
      <c r="CE2390" s="76"/>
      <c r="CF2390" s="76">
        <f>+CE2390*28000</f>
        <v>0</v>
      </c>
      <c r="CG2390" s="76"/>
      <c r="CH2390" s="76">
        <f>+CG2390*22500</f>
        <v>0</v>
      </c>
      <c r="CI2390" s="76"/>
      <c r="CJ2390" s="76">
        <f>+CI2390*26000</f>
        <v>0</v>
      </c>
      <c r="CK2390" s="76"/>
      <c r="CL2390" s="76"/>
      <c r="CM2390" s="76"/>
      <c r="CN2390" s="76">
        <f>+CM2390*22000</f>
        <v>0</v>
      </c>
      <c r="CO2390" s="76"/>
      <c r="CP2390" s="76">
        <f>+CO2390*46000</f>
        <v>0</v>
      </c>
      <c r="CQ2390" s="76"/>
      <c r="CR2390" s="76">
        <f>+CQ2390*49000</f>
        <v>0</v>
      </c>
      <c r="CS2390" s="76"/>
      <c r="CT2390" s="76"/>
      <c r="CU2390" s="56">
        <f>AN2390+AP2390+AR2390+AT2390+AV2390+AX2390+AZ2390+BB2390+BD2390+BF2390+BH2390+BJ2390+BL2390+BN2390+BP2390+BR2390+BT2390+BV2390+BX2390+BZ2390+CB2390+CD2390+CF2390+CH2390+CJ2390+CL2390+CN2390+CP2390+CR2390+CT2390</f>
        <v>0</v>
      </c>
      <c r="CV2390" s="76"/>
      <c r="CW2390" s="76">
        <f>+CV2390*1100</f>
        <v>0</v>
      </c>
      <c r="CX2390" s="76"/>
      <c r="CY2390" s="76">
        <f>+CX2390*106250</f>
        <v>0</v>
      </c>
      <c r="CZ2390" s="76"/>
      <c r="DA2390" s="76">
        <f>+CZ2390*34500</f>
        <v>0</v>
      </c>
      <c r="DB2390" s="76"/>
      <c r="DC2390" s="76">
        <f>+DB2390*25000</f>
        <v>0</v>
      </c>
      <c r="DD2390" s="219"/>
      <c r="DE2390" s="219"/>
      <c r="DF2390" s="166"/>
      <c r="DG2390" s="116"/>
      <c r="DH2390" s="117"/>
      <c r="DI2390" s="24"/>
      <c r="DJ2390" s="24"/>
      <c r="DK2390" s="24"/>
      <c r="DL2390" s="24"/>
      <c r="DM2390" s="24"/>
      <c r="DN2390" s="24"/>
      <c r="DO2390" s="24"/>
      <c r="DP2390" s="24"/>
      <c r="DQ2390" s="24"/>
      <c r="DR2390" s="24"/>
      <c r="DS2390" s="24"/>
      <c r="DT2390" s="24"/>
      <c r="DU2390" s="24"/>
    </row>
    <row r="2391" spans="1:125" s="8" customFormat="1" ht="192" x14ac:dyDescent="0.2">
      <c r="A2391" s="264">
        <v>41473</v>
      </c>
      <c r="B2391" s="265" t="s">
        <v>2772</v>
      </c>
      <c r="C2391" s="266" t="s">
        <v>1389</v>
      </c>
      <c r="D2391" s="266" t="s">
        <v>3088</v>
      </c>
      <c r="E2391" s="353" t="str">
        <f>VLOOKUP(B2391&amp;C2391,Divipola!$C$2:$F$1138,4,FALSE)</f>
        <v>25335</v>
      </c>
      <c r="F2391" s="87"/>
      <c r="G2391" s="87"/>
      <c r="H2391" s="87"/>
      <c r="I2391" s="87">
        <v>240</v>
      </c>
      <c r="J2391" s="87">
        <v>58</v>
      </c>
      <c r="K2391" s="87">
        <v>7</v>
      </c>
      <c r="L2391" s="87">
        <v>20</v>
      </c>
      <c r="M2391" s="87"/>
      <c r="N2391" s="87"/>
      <c r="O2391" s="87"/>
      <c r="P2391" s="87"/>
      <c r="Q2391" s="87"/>
      <c r="R2391" s="87"/>
      <c r="S2391" s="87"/>
      <c r="T2391" s="87"/>
      <c r="U2391" s="88"/>
      <c r="V2391" s="89"/>
      <c r="W2391" s="96">
        <v>32550000</v>
      </c>
      <c r="X2391" s="71">
        <f>CU2391</f>
        <v>0</v>
      </c>
      <c r="Y2391" s="71">
        <f>CY2391</f>
        <v>0</v>
      </c>
      <c r="Z2391" s="71">
        <f>DA2391+DC2391+DE2391</f>
        <v>0</v>
      </c>
      <c r="AA2391" s="71">
        <f>CW2391</f>
        <v>0</v>
      </c>
      <c r="AB2391" s="71"/>
      <c r="AC2391" s="71">
        <v>0</v>
      </c>
      <c r="AD2391" s="71">
        <f>W2391+X2391+Y2391+Z2391+AA2391+AB2391+AC2391</f>
        <v>32550000</v>
      </c>
      <c r="AE2391" s="72">
        <v>0</v>
      </c>
      <c r="AF2391" s="5"/>
      <c r="AG2391" s="6"/>
      <c r="AH2391" s="27"/>
      <c r="AI2391" s="44"/>
      <c r="AJ2391" s="26"/>
      <c r="AK2391" s="5"/>
      <c r="AL2391" s="82" t="s">
        <v>5736</v>
      </c>
      <c r="AM2391" s="76"/>
      <c r="AN2391" s="76"/>
      <c r="AO2391" s="76"/>
      <c r="AP2391" s="76"/>
      <c r="AQ2391" s="76"/>
      <c r="AR2391" s="76"/>
      <c r="AS2391" s="76"/>
      <c r="AT2391" s="76"/>
      <c r="AU2391" s="76"/>
      <c r="AV2391" s="76"/>
      <c r="AW2391" s="76"/>
      <c r="AX2391" s="76">
        <f>+AW2391*600000</f>
        <v>0</v>
      </c>
      <c r="AY2391" s="76"/>
      <c r="AZ2391" s="76">
        <f>+AY2391*70000</f>
        <v>0</v>
      </c>
      <c r="BA2391" s="76"/>
      <c r="BB2391" s="76"/>
      <c r="BC2391" s="76"/>
      <c r="BD2391" s="76">
        <f>+BC2391*30000</f>
        <v>0</v>
      </c>
      <c r="BE2391" s="76"/>
      <c r="BF2391" s="76"/>
      <c r="BG2391" s="76"/>
      <c r="BH2391" s="76"/>
      <c r="BI2391" s="76"/>
      <c r="BJ2391" s="76"/>
      <c r="BK2391" s="76"/>
      <c r="BL2391" s="76">
        <f>+BK2391*31500</f>
        <v>0</v>
      </c>
      <c r="BM2391" s="76"/>
      <c r="BN2391" s="76"/>
      <c r="BO2391" s="76"/>
      <c r="BP2391" s="76"/>
      <c r="BQ2391" s="76"/>
      <c r="BR2391" s="76"/>
      <c r="BS2391" s="76"/>
      <c r="BT2391" s="76"/>
      <c r="BU2391" s="76"/>
      <c r="BV2391" s="76"/>
      <c r="BW2391" s="76"/>
      <c r="BX2391" s="76"/>
      <c r="BY2391" s="76"/>
      <c r="BZ2391" s="76"/>
      <c r="CA2391" s="76"/>
      <c r="CB2391" s="76"/>
      <c r="CC2391" s="76"/>
      <c r="CD2391" s="76"/>
      <c r="CE2391" s="76"/>
      <c r="CF2391" s="76">
        <f>+CE2391*28000</f>
        <v>0</v>
      </c>
      <c r="CG2391" s="76"/>
      <c r="CH2391" s="76">
        <f>+CG2391*22500</f>
        <v>0</v>
      </c>
      <c r="CI2391" s="76"/>
      <c r="CJ2391" s="76">
        <f>+CI2391*26000</f>
        <v>0</v>
      </c>
      <c r="CK2391" s="76"/>
      <c r="CL2391" s="76"/>
      <c r="CM2391" s="76"/>
      <c r="CN2391" s="76">
        <f>+CM2391*22000</f>
        <v>0</v>
      </c>
      <c r="CO2391" s="76"/>
      <c r="CP2391" s="76">
        <f>+CO2391*46000</f>
        <v>0</v>
      </c>
      <c r="CQ2391" s="76"/>
      <c r="CR2391" s="76">
        <f>+CQ2391*49000</f>
        <v>0</v>
      </c>
      <c r="CS2391" s="76"/>
      <c r="CT2391" s="76"/>
      <c r="CU2391" s="56">
        <f>AN2391+AP2391+AR2391+AT2391+AV2391+AX2391+AZ2391+BB2391+BD2391+BF2391+BH2391+BJ2391+BL2391+BN2391+BP2391+BR2391+BT2391+BV2391+BX2391+BZ2391+CB2391+CD2391+CF2391+CH2391+CJ2391+CL2391+CN2391+CP2391+CR2391+CT2391</f>
        <v>0</v>
      </c>
      <c r="CV2391" s="76"/>
      <c r="CW2391" s="76">
        <f>+CV2391*1100</f>
        <v>0</v>
      </c>
      <c r="CX2391" s="76"/>
      <c r="CY2391" s="76">
        <f>+CX2391*106250</f>
        <v>0</v>
      </c>
      <c r="CZ2391" s="76"/>
      <c r="DA2391" s="76">
        <f>+CZ2391*34500</f>
        <v>0</v>
      </c>
      <c r="DB2391" s="76"/>
      <c r="DC2391" s="76">
        <f>+DB2391*25000</f>
        <v>0</v>
      </c>
      <c r="DD2391" s="219"/>
      <c r="DE2391" s="219"/>
      <c r="DF2391" s="166"/>
      <c r="DG2391" s="116"/>
      <c r="DH2391" s="117"/>
      <c r="DI2391" s="24"/>
      <c r="DJ2391" s="24"/>
      <c r="DK2391" s="24"/>
      <c r="DL2391" s="24"/>
      <c r="DM2391" s="24"/>
      <c r="DN2391" s="24"/>
      <c r="DO2391" s="24"/>
      <c r="DP2391" s="24"/>
      <c r="DQ2391" s="24"/>
      <c r="DR2391" s="24"/>
      <c r="DS2391" s="24"/>
      <c r="DT2391" s="24"/>
      <c r="DU2391" s="24"/>
    </row>
    <row r="2392" spans="1:125" s="246" customFormat="1" ht="132" x14ac:dyDescent="0.2">
      <c r="A2392" s="353">
        <v>41473</v>
      </c>
      <c r="B2392" s="262" t="s">
        <v>2661</v>
      </c>
      <c r="C2392" s="263" t="s">
        <v>1368</v>
      </c>
      <c r="D2392" s="263" t="s">
        <v>3088</v>
      </c>
      <c r="E2392" s="353" t="str">
        <f>VLOOKUP(B2392&amp;C2392,Divipola!$C$2:$F$1138,4,FALSE)</f>
        <v>41770</v>
      </c>
      <c r="F2392" s="87">
        <v>4</v>
      </c>
      <c r="G2392" s="87">
        <v>14</v>
      </c>
      <c r="H2392" s="87"/>
      <c r="I2392" s="87">
        <v>18</v>
      </c>
      <c r="J2392" s="87"/>
      <c r="K2392" s="87"/>
      <c r="L2392" s="87"/>
      <c r="M2392" s="87">
        <v>1</v>
      </c>
      <c r="N2392" s="87"/>
      <c r="O2392" s="87"/>
      <c r="P2392" s="87"/>
      <c r="Q2392" s="87"/>
      <c r="R2392" s="87"/>
      <c r="S2392" s="87"/>
      <c r="T2392" s="87"/>
      <c r="U2392" s="88"/>
      <c r="V2392" s="260">
        <v>6</v>
      </c>
      <c r="W2392" s="96">
        <v>0</v>
      </c>
      <c r="X2392" s="71">
        <f>CU2392</f>
        <v>0</v>
      </c>
      <c r="Y2392" s="71">
        <f>CY2392</f>
        <v>0</v>
      </c>
      <c r="Z2392" s="71">
        <f>DA2392+DC2392+DE2392</f>
        <v>0</v>
      </c>
      <c r="AA2392" s="71">
        <f>CW2392</f>
        <v>0</v>
      </c>
      <c r="AB2392" s="71"/>
      <c r="AC2392" s="71">
        <v>0</v>
      </c>
      <c r="AD2392" s="71">
        <f>W2392+X2392+Y2392+Z2392+AA2392+AB2392+AC2392</f>
        <v>0</v>
      </c>
      <c r="AE2392" s="72">
        <v>0</v>
      </c>
      <c r="AF2392" s="5"/>
      <c r="AG2392" s="6"/>
      <c r="AH2392" s="27"/>
      <c r="AI2392" s="44"/>
      <c r="AJ2392" s="26"/>
      <c r="AK2392" s="5"/>
      <c r="AL2392" s="82" t="s">
        <v>5280</v>
      </c>
      <c r="AM2392" s="76"/>
      <c r="AN2392" s="76"/>
      <c r="AO2392" s="76"/>
      <c r="AP2392" s="76"/>
      <c r="AQ2392" s="76"/>
      <c r="AR2392" s="76"/>
      <c r="AS2392" s="76"/>
      <c r="AT2392" s="76"/>
      <c r="AU2392" s="76"/>
      <c r="AV2392" s="76"/>
      <c r="AW2392" s="76"/>
      <c r="AX2392" s="76">
        <f>+AW2392*600000</f>
        <v>0</v>
      </c>
      <c r="AY2392" s="76"/>
      <c r="AZ2392" s="76">
        <f>+AY2392*70000</f>
        <v>0</v>
      </c>
      <c r="BA2392" s="76"/>
      <c r="BB2392" s="76"/>
      <c r="BC2392" s="76"/>
      <c r="BD2392" s="76">
        <f>+BC2392*30000</f>
        <v>0</v>
      </c>
      <c r="BE2392" s="76"/>
      <c r="BF2392" s="76"/>
      <c r="BG2392" s="76"/>
      <c r="BH2392" s="76"/>
      <c r="BI2392" s="76"/>
      <c r="BJ2392" s="76"/>
      <c r="BK2392" s="76"/>
      <c r="BL2392" s="76">
        <f>+BK2392*31500</f>
        <v>0</v>
      </c>
      <c r="BM2392" s="76"/>
      <c r="BN2392" s="76"/>
      <c r="BO2392" s="76"/>
      <c r="BP2392" s="76"/>
      <c r="BQ2392" s="76"/>
      <c r="BR2392" s="76"/>
      <c r="BS2392" s="76"/>
      <c r="BT2392" s="76"/>
      <c r="BU2392" s="76"/>
      <c r="BV2392" s="76"/>
      <c r="BW2392" s="76"/>
      <c r="BX2392" s="76"/>
      <c r="BY2392" s="76"/>
      <c r="BZ2392" s="76"/>
      <c r="CA2392" s="76"/>
      <c r="CB2392" s="76"/>
      <c r="CC2392" s="76"/>
      <c r="CD2392" s="76"/>
      <c r="CE2392" s="76"/>
      <c r="CF2392" s="76">
        <f>+CE2392*28000</f>
        <v>0</v>
      </c>
      <c r="CG2392" s="76"/>
      <c r="CH2392" s="76">
        <f>+CG2392*22500</f>
        <v>0</v>
      </c>
      <c r="CI2392" s="76"/>
      <c r="CJ2392" s="76">
        <f>+CI2392*26000</f>
        <v>0</v>
      </c>
      <c r="CK2392" s="76"/>
      <c r="CL2392" s="76"/>
      <c r="CM2392" s="76"/>
      <c r="CN2392" s="76">
        <f>+CM2392*22000</f>
        <v>0</v>
      </c>
      <c r="CO2392" s="76"/>
      <c r="CP2392" s="76">
        <f>+CO2392*46000</f>
        <v>0</v>
      </c>
      <c r="CQ2392" s="76"/>
      <c r="CR2392" s="76">
        <f>+CQ2392*49000</f>
        <v>0</v>
      </c>
      <c r="CS2392" s="76"/>
      <c r="CT2392" s="76"/>
      <c r="CU2392" s="56">
        <f>AN2392+AP2392+AR2392+AT2392+AV2392+AX2392+AZ2392+BB2392+BD2392+BF2392+BH2392+BJ2392+BL2392+BN2392+BP2392+BR2392+BT2392+BV2392+BX2392+BZ2392+CB2392+CD2392+CF2392+CH2392+CJ2392+CL2392+CN2392+CP2392+CR2392+CT2392</f>
        <v>0</v>
      </c>
      <c r="CV2392" s="76"/>
      <c r="CW2392" s="76">
        <f>+CV2392*1100</f>
        <v>0</v>
      </c>
      <c r="CX2392" s="76"/>
      <c r="CY2392" s="76">
        <f>+CX2392*106250</f>
        <v>0</v>
      </c>
      <c r="CZ2392" s="76"/>
      <c r="DA2392" s="76">
        <f>+CZ2392*34500</f>
        <v>0</v>
      </c>
      <c r="DB2392" s="76"/>
      <c r="DC2392" s="76">
        <f>+DB2392*25000</f>
        <v>0</v>
      </c>
      <c r="DD2392" s="219"/>
      <c r="DE2392" s="219"/>
      <c r="DF2392" s="166"/>
      <c r="DG2392" s="116"/>
      <c r="DH2392" s="117"/>
      <c r="DI2392" s="245"/>
      <c r="DJ2392" s="245"/>
      <c r="DK2392" s="245"/>
      <c r="DL2392" s="245"/>
      <c r="DM2392" s="245"/>
      <c r="DN2392" s="245"/>
      <c r="DO2392" s="245"/>
      <c r="DP2392" s="245"/>
      <c r="DQ2392" s="245"/>
      <c r="DR2392" s="245"/>
      <c r="DS2392" s="245"/>
      <c r="DT2392" s="245"/>
      <c r="DU2392" s="245"/>
    </row>
    <row r="2393" spans="1:125" s="8" customFormat="1" ht="72" x14ac:dyDescent="0.2">
      <c r="A2393" s="226">
        <v>41473</v>
      </c>
      <c r="B2393" s="353" t="s">
        <v>2811</v>
      </c>
      <c r="C2393" s="353" t="s">
        <v>2131</v>
      </c>
      <c r="D2393" s="353" t="s">
        <v>3088</v>
      </c>
      <c r="E2393" s="353" t="str">
        <f>VLOOKUP(B2393&amp;C2393,Divipola!$C$2:$F$1138,4,FALSE)</f>
        <v>52001</v>
      </c>
      <c r="F2393" s="87"/>
      <c r="G2393" s="87"/>
      <c r="H2393" s="87"/>
      <c r="I2393" s="87">
        <v>10</v>
      </c>
      <c r="J2393" s="87">
        <v>2</v>
      </c>
      <c r="K2393" s="87"/>
      <c r="L2393" s="87">
        <v>2</v>
      </c>
      <c r="M2393" s="87"/>
      <c r="N2393" s="87"/>
      <c r="O2393" s="87"/>
      <c r="P2393" s="87"/>
      <c r="Q2393" s="87"/>
      <c r="R2393" s="87"/>
      <c r="S2393" s="87"/>
      <c r="T2393" s="87"/>
      <c r="U2393" s="88"/>
      <c r="V2393" s="89"/>
      <c r="W2393" s="96">
        <v>0</v>
      </c>
      <c r="X2393" s="71">
        <f>CU2393</f>
        <v>0</v>
      </c>
      <c r="Y2393" s="71">
        <f>CY2393</f>
        <v>0</v>
      </c>
      <c r="Z2393" s="71">
        <f>DA2393+DC2393+DE2393</f>
        <v>0</v>
      </c>
      <c r="AA2393" s="71">
        <f>CW2393</f>
        <v>0</v>
      </c>
      <c r="AB2393" s="71"/>
      <c r="AC2393" s="71">
        <v>0</v>
      </c>
      <c r="AD2393" s="71">
        <f>W2393+X2393+Y2393+Z2393+AA2393+AB2393+AC2393</f>
        <v>0</v>
      </c>
      <c r="AE2393" s="72">
        <v>0</v>
      </c>
      <c r="AF2393" s="5"/>
      <c r="AG2393" s="6"/>
      <c r="AH2393" s="27"/>
      <c r="AI2393" s="44"/>
      <c r="AJ2393" s="26"/>
      <c r="AK2393" s="5"/>
      <c r="AL2393" s="82" t="s">
        <v>5266</v>
      </c>
      <c r="AM2393" s="76"/>
      <c r="AN2393" s="76"/>
      <c r="AO2393" s="76"/>
      <c r="AP2393" s="76"/>
      <c r="AQ2393" s="76"/>
      <c r="AR2393" s="76"/>
      <c r="AS2393" s="76"/>
      <c r="AT2393" s="76"/>
      <c r="AU2393" s="76"/>
      <c r="AV2393" s="76"/>
      <c r="AW2393" s="76"/>
      <c r="AX2393" s="76">
        <f>+AW2393*600000</f>
        <v>0</v>
      </c>
      <c r="AY2393" s="76"/>
      <c r="AZ2393" s="76">
        <f>+AY2393*70000</f>
        <v>0</v>
      </c>
      <c r="BA2393" s="76"/>
      <c r="BB2393" s="76"/>
      <c r="BC2393" s="76"/>
      <c r="BD2393" s="76">
        <f>+BC2393*30000</f>
        <v>0</v>
      </c>
      <c r="BE2393" s="76"/>
      <c r="BF2393" s="76"/>
      <c r="BG2393" s="76"/>
      <c r="BH2393" s="76"/>
      <c r="BI2393" s="76"/>
      <c r="BJ2393" s="76"/>
      <c r="BK2393" s="76"/>
      <c r="BL2393" s="76">
        <f>+BK2393*31500</f>
        <v>0</v>
      </c>
      <c r="BM2393" s="76"/>
      <c r="BN2393" s="76"/>
      <c r="BO2393" s="76"/>
      <c r="BP2393" s="76"/>
      <c r="BQ2393" s="76"/>
      <c r="BR2393" s="76"/>
      <c r="BS2393" s="76"/>
      <c r="BT2393" s="76"/>
      <c r="BU2393" s="76"/>
      <c r="BV2393" s="76"/>
      <c r="BW2393" s="76"/>
      <c r="BX2393" s="76"/>
      <c r="BY2393" s="76"/>
      <c r="BZ2393" s="76"/>
      <c r="CA2393" s="76"/>
      <c r="CB2393" s="76"/>
      <c r="CC2393" s="76"/>
      <c r="CD2393" s="76"/>
      <c r="CE2393" s="76"/>
      <c r="CF2393" s="76">
        <f>+CE2393*28000</f>
        <v>0</v>
      </c>
      <c r="CG2393" s="76"/>
      <c r="CH2393" s="76">
        <f>+CG2393*22500</f>
        <v>0</v>
      </c>
      <c r="CI2393" s="76"/>
      <c r="CJ2393" s="76">
        <f>+CI2393*26000</f>
        <v>0</v>
      </c>
      <c r="CK2393" s="76"/>
      <c r="CL2393" s="76"/>
      <c r="CM2393" s="76"/>
      <c r="CN2393" s="76">
        <f>+CM2393*22000</f>
        <v>0</v>
      </c>
      <c r="CO2393" s="76"/>
      <c r="CP2393" s="76">
        <f>+CO2393*46000</f>
        <v>0</v>
      </c>
      <c r="CQ2393" s="76"/>
      <c r="CR2393" s="76">
        <f>+CQ2393*49000</f>
        <v>0</v>
      </c>
      <c r="CS2393" s="76"/>
      <c r="CT2393" s="76"/>
      <c r="CU2393" s="56">
        <f>AN2393+AP2393+AR2393+AT2393+AV2393+AX2393+AZ2393+BB2393+BD2393+BF2393+BH2393+BJ2393+BL2393+BN2393+BP2393+BR2393+BT2393+BV2393+BX2393+BZ2393+CB2393+CD2393+CF2393+CH2393+CJ2393+CL2393+CN2393+CP2393+CR2393+CT2393</f>
        <v>0</v>
      </c>
      <c r="CV2393" s="76"/>
      <c r="CW2393" s="76">
        <f>+CV2393*1100</f>
        <v>0</v>
      </c>
      <c r="CX2393" s="76"/>
      <c r="CY2393" s="76">
        <f>+CX2393*106250</f>
        <v>0</v>
      </c>
      <c r="CZ2393" s="76"/>
      <c r="DA2393" s="76">
        <f>+CZ2393*34500</f>
        <v>0</v>
      </c>
      <c r="DB2393" s="76"/>
      <c r="DC2393" s="76">
        <f>+DB2393*25000</f>
        <v>0</v>
      </c>
      <c r="DD2393" s="219"/>
      <c r="DE2393" s="219"/>
      <c r="DF2393" s="166"/>
      <c r="DG2393" s="116"/>
      <c r="DH2393" s="117"/>
      <c r="DI2393" s="24"/>
      <c r="DJ2393" s="24"/>
      <c r="DK2393" s="24"/>
      <c r="DL2393" s="24"/>
      <c r="DM2393" s="24"/>
      <c r="DN2393" s="24"/>
      <c r="DO2393" s="24"/>
      <c r="DP2393" s="24"/>
      <c r="DQ2393" s="24"/>
      <c r="DR2393" s="24"/>
      <c r="DS2393" s="24"/>
      <c r="DT2393" s="24"/>
      <c r="DU2393" s="24"/>
    </row>
    <row r="2394" spans="1:125" s="8" customFormat="1" ht="144" x14ac:dyDescent="0.2">
      <c r="A2394" s="226">
        <v>41474</v>
      </c>
      <c r="B2394" s="352" t="s">
        <v>2881</v>
      </c>
      <c r="C2394" s="354" t="s">
        <v>1410</v>
      </c>
      <c r="D2394" s="354" t="s">
        <v>2882</v>
      </c>
      <c r="E2394" s="353" t="str">
        <f>VLOOKUP(B2394&amp;C2394,Divipola!$C$2:$F$1138,4,FALSE)</f>
        <v>08421</v>
      </c>
      <c r="F2394" s="87"/>
      <c r="G2394" s="87">
        <v>3</v>
      </c>
      <c r="H2394" s="87"/>
      <c r="I2394" s="87">
        <f>67*5</f>
        <v>335</v>
      </c>
      <c r="J2394" s="87">
        <v>67</v>
      </c>
      <c r="K2394" s="87"/>
      <c r="L2394" s="87">
        <v>67</v>
      </c>
      <c r="M2394" s="87"/>
      <c r="N2394" s="87"/>
      <c r="O2394" s="87"/>
      <c r="P2394" s="87"/>
      <c r="Q2394" s="87"/>
      <c r="R2394" s="87"/>
      <c r="S2394" s="87"/>
      <c r="T2394" s="87"/>
      <c r="U2394" s="88"/>
      <c r="V2394" s="89"/>
      <c r="W2394" s="96">
        <v>0</v>
      </c>
      <c r="X2394" s="71">
        <f>CU2394</f>
        <v>0</v>
      </c>
      <c r="Y2394" s="71">
        <f>CY2394</f>
        <v>0</v>
      </c>
      <c r="Z2394" s="71">
        <f>DA2394+DC2394+DE2394</f>
        <v>16853413.800000001</v>
      </c>
      <c r="AA2394" s="71">
        <f>CW2394</f>
        <v>0</v>
      </c>
      <c r="AB2394" s="71"/>
      <c r="AC2394" s="71">
        <v>0</v>
      </c>
      <c r="AD2394" s="71">
        <f>W2394+X2394+Y2394+Z2394+AA2394+AB2394+AC2394</f>
        <v>16853413.800000001</v>
      </c>
      <c r="AE2394" s="72"/>
      <c r="AF2394" s="5"/>
      <c r="AG2394" s="6"/>
      <c r="AH2394" s="27"/>
      <c r="AI2394" s="44"/>
      <c r="AJ2394" s="26"/>
      <c r="AK2394" s="5"/>
      <c r="AL2394" s="82" t="s">
        <v>5319</v>
      </c>
      <c r="AM2394" s="76"/>
      <c r="AN2394" s="76"/>
      <c r="AO2394" s="76"/>
      <c r="AP2394" s="76"/>
      <c r="AQ2394" s="76"/>
      <c r="AR2394" s="76"/>
      <c r="AS2394" s="76"/>
      <c r="AT2394" s="76"/>
      <c r="AU2394" s="76"/>
      <c r="AV2394" s="76"/>
      <c r="AW2394" s="76"/>
      <c r="AX2394" s="76">
        <f>+AW2394*600000</f>
        <v>0</v>
      </c>
      <c r="AY2394" s="76"/>
      <c r="AZ2394" s="76">
        <f>+AY2394*70000</f>
        <v>0</v>
      </c>
      <c r="BA2394" s="76"/>
      <c r="BB2394" s="76"/>
      <c r="BC2394" s="76"/>
      <c r="BD2394" s="76">
        <f>+BC2394*30000</f>
        <v>0</v>
      </c>
      <c r="BE2394" s="76"/>
      <c r="BF2394" s="76"/>
      <c r="BG2394" s="76"/>
      <c r="BH2394" s="76"/>
      <c r="BI2394" s="76"/>
      <c r="BJ2394" s="76"/>
      <c r="BK2394" s="76"/>
      <c r="BL2394" s="76">
        <f>+BK2394*31500</f>
        <v>0</v>
      </c>
      <c r="BM2394" s="76"/>
      <c r="BN2394" s="76"/>
      <c r="BO2394" s="76"/>
      <c r="BP2394" s="76"/>
      <c r="BQ2394" s="76"/>
      <c r="BR2394" s="76"/>
      <c r="BS2394" s="76"/>
      <c r="BT2394" s="76"/>
      <c r="BU2394" s="76"/>
      <c r="BV2394" s="76"/>
      <c r="BW2394" s="76"/>
      <c r="BX2394" s="76"/>
      <c r="BY2394" s="76"/>
      <c r="BZ2394" s="76"/>
      <c r="CA2394" s="76"/>
      <c r="CB2394" s="76"/>
      <c r="CC2394" s="76"/>
      <c r="CD2394" s="76"/>
      <c r="CE2394" s="76"/>
      <c r="CF2394" s="76">
        <f>+CE2394*28000</f>
        <v>0</v>
      </c>
      <c r="CG2394" s="76"/>
      <c r="CH2394" s="76">
        <f>+CG2394*22500</f>
        <v>0</v>
      </c>
      <c r="CI2394" s="76"/>
      <c r="CJ2394" s="76">
        <f>+CI2394*26000</f>
        <v>0</v>
      </c>
      <c r="CK2394" s="76"/>
      <c r="CL2394" s="76"/>
      <c r="CM2394" s="76"/>
      <c r="CN2394" s="76">
        <f>+CM2394*22000</f>
        <v>0</v>
      </c>
      <c r="CO2394" s="76"/>
      <c r="CP2394" s="76">
        <f>+CO2394*46000</f>
        <v>0</v>
      </c>
      <c r="CQ2394" s="76"/>
      <c r="CR2394" s="76">
        <f>+CQ2394*49000</f>
        <v>0</v>
      </c>
      <c r="CS2394" s="76"/>
      <c r="CT2394" s="76"/>
      <c r="CU2394" s="56">
        <f>AN2394+AP2394+AR2394+AT2394+AV2394+AX2394+AZ2394+BB2394+BD2394+BF2394+BH2394+BJ2394+BL2394+BN2394+BP2394+BR2394+BT2394+BV2394+BX2394+BZ2394+CB2394+CD2394+CF2394+CH2394+CJ2394+CL2394+CN2394+CP2394+CR2394+CT2394</f>
        <v>0</v>
      </c>
      <c r="CV2394" s="76"/>
      <c r="CW2394" s="76">
        <f>+CV2394*1100</f>
        <v>0</v>
      </c>
      <c r="CX2394" s="76"/>
      <c r="CY2394" s="76">
        <f>+CX2394*106250</f>
        <v>0</v>
      </c>
      <c r="CZ2394" s="76"/>
      <c r="DA2394" s="76">
        <f>+CZ2394*34500</f>
        <v>0</v>
      </c>
      <c r="DB2394" s="86">
        <v>660</v>
      </c>
      <c r="DC2394" s="86">
        <f>162*25282.2+229*33645.8+110*22628.12+159*16124</f>
        <v>16853413.800000001</v>
      </c>
      <c r="DD2394" s="219"/>
      <c r="DE2394" s="219"/>
      <c r="DF2394" s="166"/>
      <c r="DG2394" s="134" t="s">
        <v>6490</v>
      </c>
      <c r="DH2394" s="117"/>
      <c r="DI2394" s="24"/>
      <c r="DJ2394" s="24"/>
      <c r="DK2394" s="24"/>
      <c r="DL2394" s="24"/>
      <c r="DM2394" s="24"/>
      <c r="DN2394" s="24"/>
      <c r="DO2394" s="24"/>
      <c r="DP2394" s="24"/>
      <c r="DQ2394" s="24"/>
      <c r="DR2394" s="24"/>
      <c r="DS2394" s="24"/>
      <c r="DT2394" s="24"/>
      <c r="DU2394" s="24"/>
    </row>
    <row r="2395" spans="1:125" s="8" customFormat="1" ht="61.5" customHeight="1" x14ac:dyDescent="0.2">
      <c r="A2395" s="226">
        <v>41474</v>
      </c>
      <c r="B2395" s="353" t="s">
        <v>2087</v>
      </c>
      <c r="C2395" s="353" t="s">
        <v>2088</v>
      </c>
      <c r="D2395" s="353" t="s">
        <v>3051</v>
      </c>
      <c r="E2395" s="353" t="str">
        <f>VLOOKUP(B2395&amp;C2395,Divipola!$C$2:$F$1138,4,FALSE)</f>
        <v>18205</v>
      </c>
      <c r="F2395" s="87"/>
      <c r="G2395" s="87"/>
      <c r="H2395" s="87"/>
      <c r="I2395" s="87">
        <v>720</v>
      </c>
      <c r="J2395" s="87">
        <v>188</v>
      </c>
      <c r="K2395" s="87">
        <v>1</v>
      </c>
      <c r="L2395" s="87">
        <v>184</v>
      </c>
      <c r="M2395" s="87"/>
      <c r="N2395" s="87"/>
      <c r="O2395" s="87">
        <v>22</v>
      </c>
      <c r="P2395" s="87"/>
      <c r="Q2395" s="87"/>
      <c r="R2395" s="87"/>
      <c r="S2395" s="87">
        <v>9</v>
      </c>
      <c r="T2395" s="87"/>
      <c r="U2395" s="88">
        <v>2497</v>
      </c>
      <c r="V2395" s="89"/>
      <c r="W2395" s="96">
        <v>0</v>
      </c>
      <c r="X2395" s="71">
        <f>CU2395</f>
        <v>65915279.719999999</v>
      </c>
      <c r="Y2395" s="71">
        <f>CY2395</f>
        <v>43548875.280000001</v>
      </c>
      <c r="Z2395" s="71">
        <f>DA2395+DC2395+DE2395</f>
        <v>21403682</v>
      </c>
      <c r="AA2395" s="71">
        <f>CW2395</f>
        <v>0</v>
      </c>
      <c r="AB2395" s="71"/>
      <c r="AC2395" s="71">
        <v>0</v>
      </c>
      <c r="AD2395" s="71">
        <f>W2395+X2395+Y2395+Z2395+AA2395+AB2395+AC2395</f>
        <v>130867837</v>
      </c>
      <c r="AE2395" s="72"/>
      <c r="AF2395" s="5"/>
      <c r="AG2395" s="6"/>
      <c r="AH2395" s="27"/>
      <c r="AI2395" s="44"/>
      <c r="AJ2395" s="26"/>
      <c r="AK2395" s="5"/>
      <c r="AL2395" s="82" t="s">
        <v>5294</v>
      </c>
      <c r="AM2395" s="76"/>
      <c r="AN2395" s="76"/>
      <c r="AO2395" s="76"/>
      <c r="AP2395" s="76"/>
      <c r="AQ2395" s="76"/>
      <c r="AR2395" s="76"/>
      <c r="AS2395" s="76"/>
      <c r="AT2395" s="76"/>
      <c r="AU2395" s="76"/>
      <c r="AV2395" s="76"/>
      <c r="AW2395" s="76"/>
      <c r="AX2395" s="76">
        <f>+AW2395*600000</f>
        <v>0</v>
      </c>
      <c r="AY2395" s="86">
        <v>320</v>
      </c>
      <c r="AZ2395" s="86">
        <f>+AY2395*69999.04</f>
        <v>22399692.799999997</v>
      </c>
      <c r="BA2395" s="76"/>
      <c r="BB2395" s="76"/>
      <c r="BC2395" s="76"/>
      <c r="BD2395" s="76">
        <f>+BC2395*30000</f>
        <v>0</v>
      </c>
      <c r="BE2395" s="76"/>
      <c r="BF2395" s="76"/>
      <c r="BG2395" s="76"/>
      <c r="BH2395" s="76"/>
      <c r="BI2395" s="76"/>
      <c r="BJ2395" s="76"/>
      <c r="BK2395" s="76"/>
      <c r="BL2395" s="76">
        <f>+BK2395*31500</f>
        <v>0</v>
      </c>
      <c r="BM2395" s="76"/>
      <c r="BN2395" s="76"/>
      <c r="BO2395" s="76"/>
      <c r="BP2395" s="76"/>
      <c r="BQ2395" s="76"/>
      <c r="BR2395" s="76"/>
      <c r="BS2395" s="76"/>
      <c r="BT2395" s="76"/>
      <c r="BU2395" s="76"/>
      <c r="BV2395" s="76"/>
      <c r="BW2395" s="76"/>
      <c r="BX2395" s="76"/>
      <c r="BY2395" s="76"/>
      <c r="BZ2395" s="76"/>
      <c r="CA2395" s="76"/>
      <c r="CB2395" s="76"/>
      <c r="CC2395" s="76"/>
      <c r="CD2395" s="76"/>
      <c r="CE2395" s="76"/>
      <c r="CF2395" s="76">
        <f>+CE2395*28000</f>
        <v>0</v>
      </c>
      <c r="CG2395" s="76"/>
      <c r="CH2395" s="76">
        <f>+CG2395*22500</f>
        <v>0</v>
      </c>
      <c r="CI2395" s="86">
        <v>161</v>
      </c>
      <c r="CJ2395" s="86">
        <f>+CI2395*25999.08</f>
        <v>4185851.8800000004</v>
      </c>
      <c r="CK2395" s="76"/>
      <c r="CL2395" s="76"/>
      <c r="CM2395" s="76"/>
      <c r="CN2395" s="76">
        <f>+CM2395*22000</f>
        <v>0</v>
      </c>
      <c r="CO2395" s="86">
        <v>414</v>
      </c>
      <c r="CP2395" s="86">
        <f>+CO2395*45999.8</f>
        <v>19043917.200000003</v>
      </c>
      <c r="CQ2395" s="86">
        <v>414</v>
      </c>
      <c r="CR2395" s="86">
        <f>+CQ2395*48999.56</f>
        <v>20285817.84</v>
      </c>
      <c r="CS2395" s="76"/>
      <c r="CT2395" s="76"/>
      <c r="CU2395" s="56">
        <f>AN2395+AP2395+AR2395+AT2395+AV2395+AX2395+AZ2395+BB2395+BD2395+BF2395+BH2395+BJ2395+BL2395+BN2395+BP2395+BR2395+BT2395+BV2395+BX2395+BZ2395+CB2395+CD2395+CF2395+CH2395+CJ2395+CL2395+CN2395+CP2395+CR2395+CT2395</f>
        <v>65915279.719999999</v>
      </c>
      <c r="CV2395" s="76"/>
      <c r="CW2395" s="76">
        <f>+CV2395*1100</f>
        <v>0</v>
      </c>
      <c r="CX2395" s="86">
        <v>414</v>
      </c>
      <c r="CY2395" s="86">
        <f>+CX2395*105190.52</f>
        <v>43548875.280000001</v>
      </c>
      <c r="CZ2395" s="86">
        <v>50</v>
      </c>
      <c r="DA2395" s="86">
        <f>+CZ2395*34499.56</f>
        <v>1724978</v>
      </c>
      <c r="DB2395" s="86">
        <v>600</v>
      </c>
      <c r="DC2395" s="86">
        <f>+DB2395*31999.76+2400*199.52</f>
        <v>19678704</v>
      </c>
      <c r="DD2395" s="219"/>
      <c r="DE2395" s="219"/>
      <c r="DF2395" s="166"/>
      <c r="DG2395" s="134" t="s">
        <v>6036</v>
      </c>
      <c r="DH2395" s="155"/>
      <c r="DI2395" s="24"/>
      <c r="DJ2395" s="24"/>
      <c r="DK2395" s="24"/>
      <c r="DL2395" s="24"/>
      <c r="DM2395" s="24"/>
      <c r="DN2395" s="24"/>
      <c r="DO2395" s="24"/>
      <c r="DP2395" s="24"/>
      <c r="DQ2395" s="24"/>
      <c r="DR2395" s="24"/>
      <c r="DS2395" s="24"/>
      <c r="DT2395" s="24"/>
      <c r="DU2395" s="24"/>
    </row>
    <row r="2396" spans="1:125" s="8" customFormat="1" ht="60" x14ac:dyDescent="0.2">
      <c r="A2396" s="353">
        <v>41474</v>
      </c>
      <c r="B2396" s="353" t="s">
        <v>2778</v>
      </c>
      <c r="C2396" s="353" t="s">
        <v>2129</v>
      </c>
      <c r="D2396" s="353" t="s">
        <v>3051</v>
      </c>
      <c r="E2396" s="353" t="str">
        <f>VLOOKUP(B2396&amp;C2396,Divipola!$C$2:$F$1138,4,FALSE)</f>
        <v>85225</v>
      </c>
      <c r="F2396" s="87"/>
      <c r="G2396" s="87"/>
      <c r="H2396" s="87"/>
      <c r="I2396" s="87">
        <v>430</v>
      </c>
      <c r="J2396" s="87">
        <v>86</v>
      </c>
      <c r="K2396" s="87"/>
      <c r="L2396" s="87">
        <v>86</v>
      </c>
      <c r="M2396" s="87"/>
      <c r="N2396" s="87"/>
      <c r="O2396" s="87"/>
      <c r="P2396" s="87"/>
      <c r="Q2396" s="87"/>
      <c r="R2396" s="87"/>
      <c r="S2396" s="87"/>
      <c r="T2396" s="87"/>
      <c r="U2396" s="88"/>
      <c r="V2396" s="89"/>
      <c r="W2396" s="96">
        <v>0</v>
      </c>
      <c r="X2396" s="71">
        <f>CU2396</f>
        <v>4262961.72</v>
      </c>
      <c r="Y2396" s="71">
        <f>CY2396</f>
        <v>9192705.3599999994</v>
      </c>
      <c r="Z2396" s="71">
        <f>DA2396+DC2396+DE2396</f>
        <v>0</v>
      </c>
      <c r="AA2396" s="71">
        <f>CW2396</f>
        <v>0</v>
      </c>
      <c r="AB2396" s="71"/>
      <c r="AC2396" s="71">
        <v>0</v>
      </c>
      <c r="AD2396" s="71">
        <f>W2396+X2396+Y2396+Z2396+AA2396+AB2396+AC2396</f>
        <v>13455667.079999998</v>
      </c>
      <c r="AE2396" s="72">
        <v>0</v>
      </c>
      <c r="AF2396" s="5"/>
      <c r="AG2396" s="6"/>
      <c r="AH2396" s="27"/>
      <c r="AI2396" s="44"/>
      <c r="AJ2396" s="26"/>
      <c r="AK2396" s="5"/>
      <c r="AL2396" s="82" t="s">
        <v>5274</v>
      </c>
      <c r="AM2396" s="76"/>
      <c r="AN2396" s="76"/>
      <c r="AO2396" s="76"/>
      <c r="AP2396" s="76"/>
      <c r="AQ2396" s="76"/>
      <c r="AR2396" s="76"/>
      <c r="AS2396" s="76"/>
      <c r="AT2396" s="76"/>
      <c r="AU2396" s="76"/>
      <c r="AV2396" s="76"/>
      <c r="AW2396" s="76"/>
      <c r="AX2396" s="76">
        <f>+AW2396*600000</f>
        <v>0</v>
      </c>
      <c r="AY2396" s="76"/>
      <c r="AZ2396" s="76">
        <f>+AY2396*70000</f>
        <v>0</v>
      </c>
      <c r="BA2396" s="76"/>
      <c r="BB2396" s="76"/>
      <c r="BC2396" s="76"/>
      <c r="BD2396" s="76">
        <f>+BC2396*30000</f>
        <v>0</v>
      </c>
      <c r="BE2396" s="76"/>
      <c r="BF2396" s="76"/>
      <c r="BG2396" s="76"/>
      <c r="BH2396" s="76"/>
      <c r="BI2396" s="76"/>
      <c r="BJ2396" s="76"/>
      <c r="BK2396" s="76"/>
      <c r="BL2396" s="76">
        <f>+BK2396*31500</f>
        <v>0</v>
      </c>
      <c r="BM2396" s="76"/>
      <c r="BN2396" s="76"/>
      <c r="BO2396" s="76"/>
      <c r="BP2396" s="76"/>
      <c r="BQ2396" s="76"/>
      <c r="BR2396" s="76"/>
      <c r="BS2396" s="76"/>
      <c r="BT2396" s="76"/>
      <c r="BU2396" s="76"/>
      <c r="BV2396" s="76"/>
      <c r="BW2396" s="76"/>
      <c r="BX2396" s="76"/>
      <c r="BY2396" s="76"/>
      <c r="BZ2396" s="76"/>
      <c r="CA2396" s="76"/>
      <c r="CB2396" s="76"/>
      <c r="CC2396" s="76"/>
      <c r="CD2396" s="76"/>
      <c r="CE2396" s="76"/>
      <c r="CF2396" s="76">
        <f>+CE2396*28000</f>
        <v>0</v>
      </c>
      <c r="CG2396" s="76"/>
      <c r="CH2396" s="76">
        <f>+CG2396*22500</f>
        <v>0</v>
      </c>
      <c r="CI2396" s="76"/>
      <c r="CJ2396" s="76">
        <f>+CI2396*26000</f>
        <v>0</v>
      </c>
      <c r="CK2396" s="76"/>
      <c r="CL2396" s="76"/>
      <c r="CM2396" s="76"/>
      <c r="CN2396" s="76">
        <f>+CM2396*22000</f>
        <v>0</v>
      </c>
      <c r="CO2396" s="76"/>
      <c r="CP2396" s="76">
        <f>+CO2396*46000</f>
        <v>0</v>
      </c>
      <c r="CQ2396" s="86">
        <v>87</v>
      </c>
      <c r="CR2396" s="86">
        <f>+CQ2396*48999.56</f>
        <v>4262961.72</v>
      </c>
      <c r="CS2396" s="76"/>
      <c r="CT2396" s="76"/>
      <c r="CU2396" s="56">
        <f>AN2396+AP2396+AR2396+AT2396+AV2396+AX2396+AZ2396+BB2396+BD2396+BF2396+BH2396+BJ2396+BL2396+BN2396+BP2396+BR2396+BT2396+BV2396+BX2396+BZ2396+CB2396+CD2396+CF2396+CH2396+CJ2396+CL2396+CN2396+CP2396+CR2396+CT2396</f>
        <v>4262961.72</v>
      </c>
      <c r="CV2396" s="76"/>
      <c r="CW2396" s="76">
        <f>+CV2396*1100</f>
        <v>0</v>
      </c>
      <c r="CX2396" s="86">
        <v>87</v>
      </c>
      <c r="CY2396" s="86">
        <f>+CX2396*105663.28</f>
        <v>9192705.3599999994</v>
      </c>
      <c r="CZ2396" s="76"/>
      <c r="DA2396" s="76">
        <f>+CZ2396*34500</f>
        <v>0</v>
      </c>
      <c r="DB2396" s="76"/>
      <c r="DC2396" s="76">
        <f>+DB2396*25000</f>
        <v>0</v>
      </c>
      <c r="DD2396" s="219"/>
      <c r="DE2396" s="219"/>
      <c r="DF2396" s="166"/>
      <c r="DG2396" s="134" t="s">
        <v>6919</v>
      </c>
      <c r="DH2396" s="117"/>
      <c r="DI2396" s="24"/>
      <c r="DJ2396" s="24"/>
      <c r="DK2396" s="24"/>
      <c r="DL2396" s="24"/>
      <c r="DM2396" s="24"/>
      <c r="DN2396" s="24"/>
      <c r="DO2396" s="24"/>
      <c r="DP2396" s="24"/>
      <c r="DQ2396" s="24"/>
      <c r="DR2396" s="24"/>
      <c r="DS2396" s="24"/>
      <c r="DT2396" s="24"/>
      <c r="DU2396" s="24"/>
    </row>
    <row r="2397" spans="1:125" s="8" customFormat="1" ht="72" x14ac:dyDescent="0.2">
      <c r="A2397" s="226">
        <v>41474</v>
      </c>
      <c r="B2397" s="352" t="s">
        <v>2778</v>
      </c>
      <c r="C2397" s="354" t="s">
        <v>2779</v>
      </c>
      <c r="D2397" s="354" t="s">
        <v>3051</v>
      </c>
      <c r="E2397" s="353" t="str">
        <f>VLOOKUP(B2397&amp;C2397,Divipola!$C$2:$F$1138,4,FALSE)</f>
        <v>85230</v>
      </c>
      <c r="F2397" s="87"/>
      <c r="G2397" s="87"/>
      <c r="H2397" s="87"/>
      <c r="I2397" s="87"/>
      <c r="J2397" s="87"/>
      <c r="K2397" s="87"/>
      <c r="L2397" s="87"/>
      <c r="M2397" s="87"/>
      <c r="N2397" s="87"/>
      <c r="O2397" s="87"/>
      <c r="P2397" s="87"/>
      <c r="Q2397" s="87"/>
      <c r="R2397" s="87"/>
      <c r="S2397" s="87"/>
      <c r="T2397" s="87"/>
      <c r="U2397" s="88"/>
      <c r="V2397" s="89"/>
      <c r="W2397" s="96">
        <v>0</v>
      </c>
      <c r="X2397" s="71">
        <f>CU2397</f>
        <v>0</v>
      </c>
      <c r="Y2397" s="71">
        <f>CY2397</f>
        <v>0</v>
      </c>
      <c r="Z2397" s="71">
        <f>DA2397+DC2397+DE2397</f>
        <v>0</v>
      </c>
      <c r="AA2397" s="71">
        <f>CW2397</f>
        <v>0</v>
      </c>
      <c r="AB2397" s="71"/>
      <c r="AC2397" s="71">
        <v>0</v>
      </c>
      <c r="AD2397" s="71">
        <f>W2397+X2397+Y2397+Z2397+AA2397+AB2397+AC2397</f>
        <v>0</v>
      </c>
      <c r="AE2397" s="72"/>
      <c r="AF2397" s="5"/>
      <c r="AG2397" s="6"/>
      <c r="AH2397" s="27"/>
      <c r="AI2397" s="44"/>
      <c r="AJ2397" s="26"/>
      <c r="AK2397" s="5"/>
      <c r="AL2397" s="82" t="s">
        <v>5282</v>
      </c>
      <c r="AM2397" s="76"/>
      <c r="AN2397" s="76"/>
      <c r="AO2397" s="76"/>
      <c r="AP2397" s="76"/>
      <c r="AQ2397" s="76"/>
      <c r="AR2397" s="76"/>
      <c r="AS2397" s="76"/>
      <c r="AT2397" s="76"/>
      <c r="AU2397" s="76"/>
      <c r="AV2397" s="76"/>
      <c r="AW2397" s="76"/>
      <c r="AX2397" s="76">
        <f>+AW2397*600000</f>
        <v>0</v>
      </c>
      <c r="AY2397" s="76"/>
      <c r="AZ2397" s="76">
        <f>+AY2397*70000</f>
        <v>0</v>
      </c>
      <c r="BA2397" s="76"/>
      <c r="BB2397" s="76"/>
      <c r="BC2397" s="76"/>
      <c r="BD2397" s="76">
        <f>+BC2397*30000</f>
        <v>0</v>
      </c>
      <c r="BE2397" s="76"/>
      <c r="BF2397" s="76"/>
      <c r="BG2397" s="76"/>
      <c r="BH2397" s="76"/>
      <c r="BI2397" s="76"/>
      <c r="BJ2397" s="76"/>
      <c r="BK2397" s="76"/>
      <c r="BL2397" s="76">
        <f>+BK2397*31500</f>
        <v>0</v>
      </c>
      <c r="BM2397" s="76"/>
      <c r="BN2397" s="76"/>
      <c r="BO2397" s="76"/>
      <c r="BP2397" s="76"/>
      <c r="BQ2397" s="76"/>
      <c r="BR2397" s="76"/>
      <c r="BS2397" s="76"/>
      <c r="BT2397" s="76"/>
      <c r="BU2397" s="76"/>
      <c r="BV2397" s="76"/>
      <c r="BW2397" s="76"/>
      <c r="BX2397" s="76"/>
      <c r="BY2397" s="76"/>
      <c r="BZ2397" s="76"/>
      <c r="CA2397" s="76"/>
      <c r="CB2397" s="76"/>
      <c r="CC2397" s="76"/>
      <c r="CD2397" s="76"/>
      <c r="CE2397" s="76"/>
      <c r="CF2397" s="76">
        <f>+CE2397*28000</f>
        <v>0</v>
      </c>
      <c r="CG2397" s="76"/>
      <c r="CH2397" s="76">
        <f>+CG2397*22500</f>
        <v>0</v>
      </c>
      <c r="CI2397" s="76"/>
      <c r="CJ2397" s="76">
        <f>+CI2397*26000</f>
        <v>0</v>
      </c>
      <c r="CK2397" s="76"/>
      <c r="CL2397" s="76"/>
      <c r="CM2397" s="76"/>
      <c r="CN2397" s="76">
        <f>+CM2397*22000</f>
        <v>0</v>
      </c>
      <c r="CO2397" s="76"/>
      <c r="CP2397" s="76">
        <f>+CO2397*46000</f>
        <v>0</v>
      </c>
      <c r="CQ2397" s="76"/>
      <c r="CR2397" s="76">
        <f>+CQ2397*49000</f>
        <v>0</v>
      </c>
      <c r="CS2397" s="76"/>
      <c r="CT2397" s="76"/>
      <c r="CU2397" s="56">
        <f>AN2397+AP2397+AR2397+AT2397+AV2397+AX2397+AZ2397+BB2397+BD2397+BF2397+BH2397+BJ2397+BL2397+BN2397+BP2397+BR2397+BT2397+BV2397+BX2397+BZ2397+CB2397+CD2397+CF2397+CH2397+CJ2397+CL2397+CN2397+CP2397+CR2397+CT2397</f>
        <v>0</v>
      </c>
      <c r="CV2397" s="76"/>
      <c r="CW2397" s="76">
        <f>+CV2397*1100</f>
        <v>0</v>
      </c>
      <c r="CX2397" s="76"/>
      <c r="CY2397" s="76">
        <f>+CX2397*106250</f>
        <v>0</v>
      </c>
      <c r="CZ2397" s="76"/>
      <c r="DA2397" s="76">
        <f>+CZ2397*34500</f>
        <v>0</v>
      </c>
      <c r="DB2397" s="76"/>
      <c r="DC2397" s="76">
        <f>+DB2397*25000</f>
        <v>0</v>
      </c>
      <c r="DD2397" s="219"/>
      <c r="DE2397" s="219"/>
      <c r="DF2397" s="166"/>
      <c r="DG2397" s="116"/>
      <c r="DH2397" s="117"/>
      <c r="DI2397" s="24"/>
      <c r="DJ2397" s="24"/>
      <c r="DK2397" s="24"/>
      <c r="DL2397" s="24"/>
      <c r="DM2397" s="24"/>
      <c r="DN2397" s="24"/>
      <c r="DO2397" s="24"/>
      <c r="DP2397" s="24"/>
      <c r="DQ2397" s="24"/>
      <c r="DR2397" s="24"/>
      <c r="DS2397" s="24"/>
      <c r="DT2397" s="24"/>
      <c r="DU2397" s="24"/>
    </row>
    <row r="2398" spans="1:125" s="246" customFormat="1" ht="60" x14ac:dyDescent="0.2">
      <c r="A2398" s="226">
        <v>41474</v>
      </c>
      <c r="B2398" s="353" t="s">
        <v>2860</v>
      </c>
      <c r="C2398" s="353" t="s">
        <v>2776</v>
      </c>
      <c r="D2398" s="353" t="s">
        <v>2859</v>
      </c>
      <c r="E2398" s="353" t="str">
        <f>VLOOKUP(B2398&amp;C2398,Divipola!$C$2:$F$1138,4,FALSE)</f>
        <v>63001</v>
      </c>
      <c r="F2398" s="87"/>
      <c r="G2398" s="87"/>
      <c r="H2398" s="87"/>
      <c r="I2398" s="87">
        <v>10</v>
      </c>
      <c r="J2398" s="87">
        <v>2</v>
      </c>
      <c r="K2398" s="87"/>
      <c r="L2398" s="87">
        <v>1</v>
      </c>
      <c r="M2398" s="87"/>
      <c r="N2398" s="87"/>
      <c r="O2398" s="87"/>
      <c r="P2398" s="87"/>
      <c r="Q2398" s="87"/>
      <c r="R2398" s="87"/>
      <c r="S2398" s="87"/>
      <c r="T2398" s="87"/>
      <c r="U2398" s="88"/>
      <c r="V2398" s="134"/>
      <c r="W2398" s="96">
        <v>0</v>
      </c>
      <c r="X2398" s="71">
        <f>CU2398</f>
        <v>0</v>
      </c>
      <c r="Y2398" s="71">
        <f>CY2398</f>
        <v>0</v>
      </c>
      <c r="Z2398" s="71">
        <f>DA2398+DC2398+DE2398</f>
        <v>0</v>
      </c>
      <c r="AA2398" s="71">
        <f>CW2398</f>
        <v>0</v>
      </c>
      <c r="AB2398" s="71"/>
      <c r="AC2398" s="71">
        <v>0</v>
      </c>
      <c r="AD2398" s="71">
        <f>W2398+X2398+Y2398+Z2398+AA2398+AB2398+AC2398</f>
        <v>0</v>
      </c>
      <c r="AE2398" s="72"/>
      <c r="AF2398" s="5"/>
      <c r="AG2398" s="6"/>
      <c r="AH2398" s="27"/>
      <c r="AI2398" s="44"/>
      <c r="AJ2398" s="26"/>
      <c r="AK2398" s="5"/>
      <c r="AL2398" s="82" t="s">
        <v>5278</v>
      </c>
      <c r="AM2398" s="76"/>
      <c r="AN2398" s="76"/>
      <c r="AO2398" s="76"/>
      <c r="AP2398" s="76"/>
      <c r="AQ2398" s="76"/>
      <c r="AR2398" s="76"/>
      <c r="AS2398" s="76"/>
      <c r="AT2398" s="76"/>
      <c r="AU2398" s="76"/>
      <c r="AV2398" s="76"/>
      <c r="AW2398" s="76"/>
      <c r="AX2398" s="76">
        <f>+AW2398*600000</f>
        <v>0</v>
      </c>
      <c r="AY2398" s="76"/>
      <c r="AZ2398" s="76">
        <f>+AY2398*70000</f>
        <v>0</v>
      </c>
      <c r="BA2398" s="76"/>
      <c r="BB2398" s="76"/>
      <c r="BC2398" s="76"/>
      <c r="BD2398" s="76">
        <f>+BC2398*30000</f>
        <v>0</v>
      </c>
      <c r="BE2398" s="76"/>
      <c r="BF2398" s="76"/>
      <c r="BG2398" s="76"/>
      <c r="BH2398" s="76"/>
      <c r="BI2398" s="76"/>
      <c r="BJ2398" s="76"/>
      <c r="BK2398" s="76"/>
      <c r="BL2398" s="76">
        <f>+BK2398*31500</f>
        <v>0</v>
      </c>
      <c r="BM2398" s="76"/>
      <c r="BN2398" s="76"/>
      <c r="BO2398" s="76"/>
      <c r="BP2398" s="76"/>
      <c r="BQ2398" s="76"/>
      <c r="BR2398" s="76"/>
      <c r="BS2398" s="76"/>
      <c r="BT2398" s="76"/>
      <c r="BU2398" s="76"/>
      <c r="BV2398" s="76"/>
      <c r="BW2398" s="76"/>
      <c r="BX2398" s="76"/>
      <c r="BY2398" s="76"/>
      <c r="BZ2398" s="76"/>
      <c r="CA2398" s="76"/>
      <c r="CB2398" s="76"/>
      <c r="CC2398" s="76"/>
      <c r="CD2398" s="76"/>
      <c r="CE2398" s="76"/>
      <c r="CF2398" s="76">
        <f>+CE2398*28000</f>
        <v>0</v>
      </c>
      <c r="CG2398" s="76"/>
      <c r="CH2398" s="76">
        <f>+CG2398*22500</f>
        <v>0</v>
      </c>
      <c r="CI2398" s="76"/>
      <c r="CJ2398" s="76">
        <f>+CI2398*26000</f>
        <v>0</v>
      </c>
      <c r="CK2398" s="76"/>
      <c r="CL2398" s="76"/>
      <c r="CM2398" s="76"/>
      <c r="CN2398" s="76">
        <f>+CM2398*22000</f>
        <v>0</v>
      </c>
      <c r="CO2398" s="76"/>
      <c r="CP2398" s="76">
        <f>+CO2398*46000</f>
        <v>0</v>
      </c>
      <c r="CQ2398" s="76"/>
      <c r="CR2398" s="76">
        <f>+CQ2398*49000</f>
        <v>0</v>
      </c>
      <c r="CS2398" s="76"/>
      <c r="CT2398" s="76"/>
      <c r="CU2398" s="56">
        <f>AN2398+AP2398+AR2398+AT2398+AV2398+AX2398+AZ2398+BB2398+BD2398+BF2398+BH2398+BJ2398+BL2398+BN2398+BP2398+BR2398+BT2398+BV2398+BX2398+BZ2398+CB2398+CD2398+CF2398+CH2398+CJ2398+CL2398+CN2398+CP2398+CR2398+CT2398</f>
        <v>0</v>
      </c>
      <c r="CV2398" s="76"/>
      <c r="CW2398" s="76">
        <f>+CV2398*1100</f>
        <v>0</v>
      </c>
      <c r="CX2398" s="76"/>
      <c r="CY2398" s="76">
        <f>+CX2398*106250</f>
        <v>0</v>
      </c>
      <c r="CZ2398" s="76"/>
      <c r="DA2398" s="76">
        <f>+CZ2398*34500</f>
        <v>0</v>
      </c>
      <c r="DB2398" s="76"/>
      <c r="DC2398" s="76">
        <f>+DB2398*25000</f>
        <v>0</v>
      </c>
      <c r="DD2398" s="219"/>
      <c r="DE2398" s="219"/>
      <c r="DF2398" s="166"/>
      <c r="DG2398" s="116"/>
      <c r="DH2398" s="117"/>
      <c r="DI2398" s="245"/>
      <c r="DJ2398" s="245"/>
      <c r="DK2398" s="245"/>
      <c r="DL2398" s="245"/>
      <c r="DM2398" s="245"/>
      <c r="DN2398" s="245"/>
      <c r="DO2398" s="245"/>
      <c r="DP2398" s="245"/>
      <c r="DQ2398" s="245"/>
      <c r="DR2398" s="245"/>
      <c r="DS2398" s="245"/>
      <c r="DT2398" s="245"/>
      <c r="DU2398" s="245"/>
    </row>
    <row r="2399" spans="1:125" s="8" customFormat="1" ht="108" x14ac:dyDescent="0.2">
      <c r="A2399" s="353">
        <v>41474</v>
      </c>
      <c r="B2399" s="353" t="s">
        <v>2860</v>
      </c>
      <c r="C2399" s="353" t="s">
        <v>2776</v>
      </c>
      <c r="D2399" s="353" t="s">
        <v>2859</v>
      </c>
      <c r="E2399" s="353" t="str">
        <f>VLOOKUP(B2399&amp;C2399,Divipola!$C$2:$F$1138,4,FALSE)</f>
        <v>63001</v>
      </c>
      <c r="F2399" s="87"/>
      <c r="G2399" s="87"/>
      <c r="H2399" s="87"/>
      <c r="I2399" s="87">
        <v>1</v>
      </c>
      <c r="J2399" s="87">
        <v>1</v>
      </c>
      <c r="K2399" s="87"/>
      <c r="L2399" s="87"/>
      <c r="M2399" s="87"/>
      <c r="N2399" s="87"/>
      <c r="O2399" s="87"/>
      <c r="P2399" s="87"/>
      <c r="Q2399" s="87"/>
      <c r="R2399" s="87"/>
      <c r="S2399" s="87"/>
      <c r="T2399" s="88"/>
      <c r="U2399" s="88"/>
      <c r="V2399" s="89"/>
      <c r="W2399" s="96">
        <v>0</v>
      </c>
      <c r="X2399" s="71">
        <f>CU2399</f>
        <v>0</v>
      </c>
      <c r="Y2399" s="71">
        <f>CY2399</f>
        <v>0</v>
      </c>
      <c r="Z2399" s="71">
        <f>DA2399+DC2399+DE2399</f>
        <v>0</v>
      </c>
      <c r="AA2399" s="71">
        <f>CW2399</f>
        <v>0</v>
      </c>
      <c r="AB2399" s="71"/>
      <c r="AC2399" s="71">
        <v>0</v>
      </c>
      <c r="AD2399" s="71">
        <f>W2399+X2399+Y2399+Z2399+AA2399+AB2399+AC2399</f>
        <v>0</v>
      </c>
      <c r="AE2399" s="72"/>
      <c r="AF2399" s="5"/>
      <c r="AG2399" s="6"/>
      <c r="AH2399" s="27"/>
      <c r="AI2399" s="44"/>
      <c r="AJ2399" s="26"/>
      <c r="AK2399" s="5"/>
      <c r="AL2399" s="82" t="s">
        <v>5269</v>
      </c>
      <c r="AM2399" s="76"/>
      <c r="AN2399" s="76"/>
      <c r="AO2399" s="76"/>
      <c r="AP2399" s="76"/>
      <c r="AQ2399" s="76"/>
      <c r="AR2399" s="76"/>
      <c r="AS2399" s="76"/>
      <c r="AT2399" s="76"/>
      <c r="AU2399" s="76"/>
      <c r="AV2399" s="76"/>
      <c r="AW2399" s="76"/>
      <c r="AX2399" s="76">
        <f>+AW2399*600000</f>
        <v>0</v>
      </c>
      <c r="AY2399" s="76"/>
      <c r="AZ2399" s="76">
        <f>+AY2399*70000</f>
        <v>0</v>
      </c>
      <c r="BA2399" s="76"/>
      <c r="BB2399" s="76"/>
      <c r="BC2399" s="76"/>
      <c r="BD2399" s="76">
        <f>+BC2399*30000</f>
        <v>0</v>
      </c>
      <c r="BE2399" s="76"/>
      <c r="BF2399" s="76"/>
      <c r="BG2399" s="76"/>
      <c r="BH2399" s="76"/>
      <c r="BI2399" s="76"/>
      <c r="BJ2399" s="76"/>
      <c r="BK2399" s="76"/>
      <c r="BL2399" s="76">
        <f>+BK2399*31500</f>
        <v>0</v>
      </c>
      <c r="BM2399" s="76"/>
      <c r="BN2399" s="76"/>
      <c r="BO2399" s="76"/>
      <c r="BP2399" s="76"/>
      <c r="BQ2399" s="76"/>
      <c r="BR2399" s="76"/>
      <c r="BS2399" s="76"/>
      <c r="BT2399" s="76"/>
      <c r="BU2399" s="76"/>
      <c r="BV2399" s="76"/>
      <c r="BW2399" s="76"/>
      <c r="BX2399" s="76"/>
      <c r="BY2399" s="76"/>
      <c r="BZ2399" s="76"/>
      <c r="CA2399" s="76"/>
      <c r="CB2399" s="76"/>
      <c r="CC2399" s="76"/>
      <c r="CD2399" s="76"/>
      <c r="CE2399" s="76"/>
      <c r="CF2399" s="76">
        <f>+CE2399*28000</f>
        <v>0</v>
      </c>
      <c r="CG2399" s="76"/>
      <c r="CH2399" s="76">
        <f>+CG2399*22500</f>
        <v>0</v>
      </c>
      <c r="CI2399" s="76"/>
      <c r="CJ2399" s="76">
        <f>+CI2399*26000</f>
        <v>0</v>
      </c>
      <c r="CK2399" s="76"/>
      <c r="CL2399" s="76"/>
      <c r="CM2399" s="76"/>
      <c r="CN2399" s="76">
        <f>+CM2399*22000</f>
        <v>0</v>
      </c>
      <c r="CO2399" s="76"/>
      <c r="CP2399" s="76">
        <f>+CO2399*46000</f>
        <v>0</v>
      </c>
      <c r="CQ2399" s="76"/>
      <c r="CR2399" s="76">
        <f>+CQ2399*49000</f>
        <v>0</v>
      </c>
      <c r="CS2399" s="76"/>
      <c r="CT2399" s="76"/>
      <c r="CU2399" s="56">
        <f>AN2399+AP2399+AR2399+AT2399+AV2399+AX2399+AZ2399+BB2399+BD2399+BF2399+BH2399+BJ2399+BL2399+BN2399+BP2399+BR2399+BT2399+BV2399+BX2399+BZ2399+CB2399+CD2399+CF2399+CH2399+CJ2399+CL2399+CN2399+CP2399+CR2399+CT2399</f>
        <v>0</v>
      </c>
      <c r="CV2399" s="76"/>
      <c r="CW2399" s="76">
        <f>+CV2399*1100</f>
        <v>0</v>
      </c>
      <c r="CX2399" s="76"/>
      <c r="CY2399" s="76">
        <f>+CX2399*106250</f>
        <v>0</v>
      </c>
      <c r="CZ2399" s="76"/>
      <c r="DA2399" s="76">
        <f>+CZ2399*34500</f>
        <v>0</v>
      </c>
      <c r="DB2399" s="76"/>
      <c r="DC2399" s="76">
        <f>+DB2399*25000</f>
        <v>0</v>
      </c>
      <c r="DD2399" s="219"/>
      <c r="DE2399" s="219"/>
      <c r="DF2399" s="166"/>
      <c r="DG2399" s="116"/>
      <c r="DH2399" s="117"/>
      <c r="DI2399" s="24"/>
      <c r="DJ2399" s="24"/>
      <c r="DK2399" s="24"/>
      <c r="DL2399" s="24"/>
      <c r="DM2399" s="24"/>
      <c r="DN2399" s="24"/>
      <c r="DO2399" s="24"/>
      <c r="DP2399" s="24"/>
      <c r="DQ2399" s="24"/>
      <c r="DR2399" s="24"/>
      <c r="DS2399" s="24"/>
      <c r="DT2399" s="24"/>
      <c r="DU2399" s="24"/>
    </row>
    <row r="2400" spans="1:125" s="8" customFormat="1" ht="84" x14ac:dyDescent="0.2">
      <c r="A2400" s="353">
        <v>41474</v>
      </c>
      <c r="B2400" s="353" t="s">
        <v>2860</v>
      </c>
      <c r="C2400" s="353" t="s">
        <v>2776</v>
      </c>
      <c r="D2400" s="353" t="s">
        <v>2846</v>
      </c>
      <c r="E2400" s="353" t="str">
        <f>VLOOKUP(B2400&amp;C2400,Divipola!$C$2:$F$1138,4,FALSE)</f>
        <v>63001</v>
      </c>
      <c r="F2400" s="87"/>
      <c r="G2400" s="87"/>
      <c r="H2400" s="87"/>
      <c r="I2400" s="87">
        <v>120</v>
      </c>
      <c r="J2400" s="87">
        <v>32</v>
      </c>
      <c r="K2400" s="87"/>
      <c r="L2400" s="87">
        <v>32</v>
      </c>
      <c r="M2400" s="87"/>
      <c r="N2400" s="87"/>
      <c r="O2400" s="87"/>
      <c r="P2400" s="87"/>
      <c r="Q2400" s="87"/>
      <c r="R2400" s="87"/>
      <c r="S2400" s="87"/>
      <c r="T2400" s="87"/>
      <c r="U2400" s="88">
        <v>30</v>
      </c>
      <c r="V2400" s="89"/>
      <c r="W2400" s="96">
        <v>0</v>
      </c>
      <c r="X2400" s="71">
        <f>CU2400</f>
        <v>0</v>
      </c>
      <c r="Y2400" s="71">
        <f>CY2400</f>
        <v>0</v>
      </c>
      <c r="Z2400" s="71">
        <f>DA2400+DC2400+DE2400</f>
        <v>0</v>
      </c>
      <c r="AA2400" s="71">
        <f>CW2400</f>
        <v>0</v>
      </c>
      <c r="AB2400" s="71"/>
      <c r="AC2400" s="71">
        <v>0</v>
      </c>
      <c r="AD2400" s="71">
        <f>W2400+X2400+Y2400+Z2400+AA2400+AB2400+AC2400</f>
        <v>0</v>
      </c>
      <c r="AE2400" s="72">
        <v>0</v>
      </c>
      <c r="AF2400" s="5"/>
      <c r="AG2400" s="6"/>
      <c r="AH2400" s="27"/>
      <c r="AI2400" s="44"/>
      <c r="AJ2400" s="26"/>
      <c r="AK2400" s="5"/>
      <c r="AL2400" s="82" t="s">
        <v>5261</v>
      </c>
      <c r="AM2400" s="76"/>
      <c r="AN2400" s="76"/>
      <c r="AO2400" s="76"/>
      <c r="AP2400" s="76"/>
      <c r="AQ2400" s="76"/>
      <c r="AR2400" s="76"/>
      <c r="AS2400" s="76"/>
      <c r="AT2400" s="76"/>
      <c r="AU2400" s="76"/>
      <c r="AV2400" s="76"/>
      <c r="AW2400" s="76"/>
      <c r="AX2400" s="76">
        <f>+AW2400*600000</f>
        <v>0</v>
      </c>
      <c r="AY2400" s="76"/>
      <c r="AZ2400" s="76">
        <f>+AY2400*70000</f>
        <v>0</v>
      </c>
      <c r="BA2400" s="76"/>
      <c r="BB2400" s="76"/>
      <c r="BC2400" s="76"/>
      <c r="BD2400" s="76">
        <f>+BC2400*30000</f>
        <v>0</v>
      </c>
      <c r="BE2400" s="76"/>
      <c r="BF2400" s="76"/>
      <c r="BG2400" s="76"/>
      <c r="BH2400" s="76"/>
      <c r="BI2400" s="76"/>
      <c r="BJ2400" s="76"/>
      <c r="BK2400" s="76"/>
      <c r="BL2400" s="76">
        <f>+BK2400*31500</f>
        <v>0</v>
      </c>
      <c r="BM2400" s="76"/>
      <c r="BN2400" s="76"/>
      <c r="BO2400" s="76"/>
      <c r="BP2400" s="76"/>
      <c r="BQ2400" s="76"/>
      <c r="BR2400" s="76"/>
      <c r="BS2400" s="76"/>
      <c r="BT2400" s="76"/>
      <c r="BU2400" s="76"/>
      <c r="BV2400" s="76"/>
      <c r="BW2400" s="76"/>
      <c r="BX2400" s="76"/>
      <c r="BY2400" s="76"/>
      <c r="BZ2400" s="76"/>
      <c r="CA2400" s="76"/>
      <c r="CB2400" s="76"/>
      <c r="CC2400" s="76"/>
      <c r="CD2400" s="76"/>
      <c r="CE2400" s="76"/>
      <c r="CF2400" s="76">
        <f>+CE2400*28000</f>
        <v>0</v>
      </c>
      <c r="CG2400" s="76"/>
      <c r="CH2400" s="76">
        <f>+CG2400*22500</f>
        <v>0</v>
      </c>
      <c r="CI2400" s="76"/>
      <c r="CJ2400" s="76">
        <f>+CI2400*26000</f>
        <v>0</v>
      </c>
      <c r="CK2400" s="76"/>
      <c r="CL2400" s="76"/>
      <c r="CM2400" s="76"/>
      <c r="CN2400" s="76">
        <f>+CM2400*22000</f>
        <v>0</v>
      </c>
      <c r="CO2400" s="76"/>
      <c r="CP2400" s="76">
        <f>+CO2400*46000</f>
        <v>0</v>
      </c>
      <c r="CQ2400" s="76"/>
      <c r="CR2400" s="76">
        <f>+CQ2400*49000</f>
        <v>0</v>
      </c>
      <c r="CS2400" s="76"/>
      <c r="CT2400" s="76"/>
      <c r="CU2400" s="56">
        <f>AN2400+AP2400+AR2400+AT2400+AV2400+AX2400+AZ2400+BB2400+BD2400+BF2400+BH2400+BJ2400+BL2400+BN2400+BP2400+BR2400+BT2400+BV2400+BX2400+BZ2400+CB2400+CD2400+CF2400+CH2400+CJ2400+CL2400+CN2400+CP2400+CR2400+CT2400</f>
        <v>0</v>
      </c>
      <c r="CV2400" s="76"/>
      <c r="CW2400" s="76">
        <f>+CV2400*1100</f>
        <v>0</v>
      </c>
      <c r="CX2400" s="76"/>
      <c r="CY2400" s="76">
        <f>+CX2400*106250</f>
        <v>0</v>
      </c>
      <c r="CZ2400" s="76"/>
      <c r="DA2400" s="76">
        <f>+CZ2400*34500</f>
        <v>0</v>
      </c>
      <c r="DB2400" s="76"/>
      <c r="DC2400" s="76">
        <f>+DB2400*25000</f>
        <v>0</v>
      </c>
      <c r="DD2400" s="219"/>
      <c r="DE2400" s="219"/>
      <c r="DF2400" s="166"/>
      <c r="DG2400" s="116"/>
      <c r="DH2400" s="117"/>
      <c r="DI2400" s="24"/>
      <c r="DJ2400" s="24"/>
      <c r="DK2400" s="24"/>
      <c r="DL2400" s="24"/>
      <c r="DM2400" s="24"/>
      <c r="DN2400" s="24"/>
      <c r="DO2400" s="24"/>
      <c r="DP2400" s="24"/>
      <c r="DQ2400" s="24"/>
      <c r="DR2400" s="24"/>
      <c r="DS2400" s="24"/>
      <c r="DT2400" s="24"/>
      <c r="DU2400" s="24"/>
    </row>
    <row r="2401" spans="1:125" s="8" customFormat="1" ht="72" x14ac:dyDescent="0.2">
      <c r="A2401" s="353">
        <v>41474</v>
      </c>
      <c r="B2401" s="353" t="s">
        <v>2847</v>
      </c>
      <c r="C2401" s="353" t="s">
        <v>2673</v>
      </c>
      <c r="D2401" s="353" t="s">
        <v>2859</v>
      </c>
      <c r="E2401" s="353" t="str">
        <f>VLOOKUP(B2401&amp;C2401,Divipola!$C$2:$F$1138,4,FALSE)</f>
        <v>68001</v>
      </c>
      <c r="F2401" s="87"/>
      <c r="G2401" s="87"/>
      <c r="H2401" s="87"/>
      <c r="I2401" s="87"/>
      <c r="J2401" s="87"/>
      <c r="K2401" s="87"/>
      <c r="L2401" s="87"/>
      <c r="M2401" s="87"/>
      <c r="N2401" s="87"/>
      <c r="O2401" s="87"/>
      <c r="P2401" s="87"/>
      <c r="Q2401" s="87"/>
      <c r="R2401" s="87"/>
      <c r="S2401" s="88"/>
      <c r="T2401" s="87"/>
      <c r="U2401" s="88">
        <v>2</v>
      </c>
      <c r="V2401" s="89">
        <v>6</v>
      </c>
      <c r="W2401" s="96">
        <v>0</v>
      </c>
      <c r="X2401" s="71">
        <f>CU2401</f>
        <v>0</v>
      </c>
      <c r="Y2401" s="71">
        <f>CY2401</f>
        <v>0</v>
      </c>
      <c r="Z2401" s="71">
        <f>DA2401+DC2401+DE2401</f>
        <v>0</v>
      </c>
      <c r="AA2401" s="71">
        <f>CW2401</f>
        <v>0</v>
      </c>
      <c r="AB2401" s="71"/>
      <c r="AC2401" s="71">
        <v>0</v>
      </c>
      <c r="AD2401" s="71">
        <f>W2401+X2401+Y2401+Z2401+AA2401+AB2401+AC2401</f>
        <v>0</v>
      </c>
      <c r="AE2401" s="72">
        <v>0</v>
      </c>
      <c r="AF2401" s="5"/>
      <c r="AG2401" s="6"/>
      <c r="AH2401" s="27"/>
      <c r="AI2401" s="44"/>
      <c r="AJ2401" s="26"/>
      <c r="AK2401" s="5"/>
      <c r="AL2401" s="82" t="s">
        <v>5272</v>
      </c>
      <c r="AM2401" s="76"/>
      <c r="AN2401" s="76"/>
      <c r="AO2401" s="76"/>
      <c r="AP2401" s="76"/>
      <c r="AQ2401" s="76"/>
      <c r="AR2401" s="76"/>
      <c r="AS2401" s="76"/>
      <c r="AT2401" s="76"/>
      <c r="AU2401" s="76"/>
      <c r="AV2401" s="76"/>
      <c r="AW2401" s="76"/>
      <c r="AX2401" s="76">
        <f>+AW2401*600000</f>
        <v>0</v>
      </c>
      <c r="AY2401" s="76"/>
      <c r="AZ2401" s="76">
        <f>+AY2401*70000</f>
        <v>0</v>
      </c>
      <c r="BA2401" s="76"/>
      <c r="BB2401" s="76"/>
      <c r="BC2401" s="76"/>
      <c r="BD2401" s="76">
        <f>+BC2401*30000</f>
        <v>0</v>
      </c>
      <c r="BE2401" s="76"/>
      <c r="BF2401" s="76"/>
      <c r="BG2401" s="76"/>
      <c r="BH2401" s="76"/>
      <c r="BI2401" s="76"/>
      <c r="BJ2401" s="76"/>
      <c r="BK2401" s="76"/>
      <c r="BL2401" s="76">
        <f>+BK2401*31500</f>
        <v>0</v>
      </c>
      <c r="BM2401" s="76"/>
      <c r="BN2401" s="76"/>
      <c r="BO2401" s="76"/>
      <c r="BP2401" s="76"/>
      <c r="BQ2401" s="76"/>
      <c r="BR2401" s="76"/>
      <c r="BS2401" s="76"/>
      <c r="BT2401" s="76"/>
      <c r="BU2401" s="76"/>
      <c r="BV2401" s="76"/>
      <c r="BW2401" s="76"/>
      <c r="BX2401" s="76"/>
      <c r="BY2401" s="76"/>
      <c r="BZ2401" s="76"/>
      <c r="CA2401" s="76"/>
      <c r="CB2401" s="76"/>
      <c r="CC2401" s="76"/>
      <c r="CD2401" s="76"/>
      <c r="CE2401" s="76"/>
      <c r="CF2401" s="76">
        <f>+CE2401*28000</f>
        <v>0</v>
      </c>
      <c r="CG2401" s="76"/>
      <c r="CH2401" s="76">
        <f>+CG2401*22500</f>
        <v>0</v>
      </c>
      <c r="CI2401" s="76"/>
      <c r="CJ2401" s="76">
        <f>+CI2401*26000</f>
        <v>0</v>
      </c>
      <c r="CK2401" s="76"/>
      <c r="CL2401" s="76"/>
      <c r="CM2401" s="76"/>
      <c r="CN2401" s="76">
        <f>+CM2401*22000</f>
        <v>0</v>
      </c>
      <c r="CO2401" s="76"/>
      <c r="CP2401" s="76">
        <f>+CO2401*46000</f>
        <v>0</v>
      </c>
      <c r="CQ2401" s="76"/>
      <c r="CR2401" s="76">
        <f>+CQ2401*49000</f>
        <v>0</v>
      </c>
      <c r="CS2401" s="76"/>
      <c r="CT2401" s="76"/>
      <c r="CU2401" s="56">
        <f>AN2401+AP2401+AR2401+AT2401+AV2401+AX2401+AZ2401+BB2401+BD2401+BF2401+BH2401+BJ2401+BL2401+BN2401+BP2401+BR2401+BT2401+BV2401+BX2401+BZ2401+CB2401+CD2401+CF2401+CH2401+CJ2401+CL2401+CN2401+CP2401+CR2401+CT2401</f>
        <v>0</v>
      </c>
      <c r="CV2401" s="76"/>
      <c r="CW2401" s="76">
        <f>+CV2401*1100</f>
        <v>0</v>
      </c>
      <c r="CX2401" s="76"/>
      <c r="CY2401" s="76">
        <f>+CX2401*106250</f>
        <v>0</v>
      </c>
      <c r="CZ2401" s="76"/>
      <c r="DA2401" s="76">
        <f>+CZ2401*34500</f>
        <v>0</v>
      </c>
      <c r="DB2401" s="76"/>
      <c r="DC2401" s="76">
        <f>+DB2401*25000</f>
        <v>0</v>
      </c>
      <c r="DD2401" s="219"/>
      <c r="DE2401" s="219"/>
      <c r="DF2401" s="166"/>
      <c r="DG2401" s="116"/>
      <c r="DH2401" s="117"/>
      <c r="DI2401" s="24"/>
      <c r="DJ2401" s="24"/>
      <c r="DK2401" s="24"/>
      <c r="DL2401" s="24"/>
      <c r="DM2401" s="24"/>
      <c r="DN2401" s="24"/>
      <c r="DO2401" s="24"/>
      <c r="DP2401" s="24"/>
      <c r="DQ2401" s="24"/>
      <c r="DR2401" s="24"/>
      <c r="DS2401" s="24"/>
      <c r="DT2401" s="24"/>
      <c r="DU2401" s="24"/>
    </row>
    <row r="2402" spans="1:125" s="8" customFormat="1" ht="72" x14ac:dyDescent="0.2">
      <c r="A2402" s="353">
        <v>41474</v>
      </c>
      <c r="B2402" s="353" t="s">
        <v>2847</v>
      </c>
      <c r="C2402" s="353" t="s">
        <v>2673</v>
      </c>
      <c r="D2402" s="353" t="s">
        <v>2859</v>
      </c>
      <c r="E2402" s="353" t="str">
        <f>VLOOKUP(B2402&amp;C2402,Divipola!$C$2:$F$1138,4,FALSE)</f>
        <v>68001</v>
      </c>
      <c r="F2402" s="87"/>
      <c r="G2402" s="87"/>
      <c r="H2402" s="87"/>
      <c r="I2402" s="87">
        <v>5</v>
      </c>
      <c r="J2402" s="87">
        <v>1</v>
      </c>
      <c r="K2402" s="87">
        <v>1</v>
      </c>
      <c r="L2402" s="87"/>
      <c r="M2402" s="87"/>
      <c r="N2402" s="87"/>
      <c r="O2402" s="87"/>
      <c r="P2402" s="87"/>
      <c r="Q2402" s="87"/>
      <c r="R2402" s="87"/>
      <c r="S2402" s="87"/>
      <c r="T2402" s="87"/>
      <c r="U2402" s="88"/>
      <c r="V2402" s="89"/>
      <c r="W2402" s="96">
        <v>0</v>
      </c>
      <c r="X2402" s="71">
        <f>CU2402</f>
        <v>0</v>
      </c>
      <c r="Y2402" s="71">
        <f>CY2402</f>
        <v>0</v>
      </c>
      <c r="Z2402" s="71">
        <f>DA2402+DC2402+DE2402</f>
        <v>0</v>
      </c>
      <c r="AA2402" s="71">
        <f>CW2402</f>
        <v>0</v>
      </c>
      <c r="AB2402" s="71"/>
      <c r="AC2402" s="71">
        <v>0</v>
      </c>
      <c r="AD2402" s="71">
        <f>W2402+X2402+Y2402+Z2402+AA2402+AB2402+AC2402</f>
        <v>0</v>
      </c>
      <c r="AE2402" s="72">
        <v>0</v>
      </c>
      <c r="AF2402" s="5"/>
      <c r="AG2402" s="6"/>
      <c r="AH2402" s="27"/>
      <c r="AI2402" s="44"/>
      <c r="AJ2402" s="26"/>
      <c r="AK2402" s="5"/>
      <c r="AL2402" s="82" t="s">
        <v>5271</v>
      </c>
      <c r="AM2402" s="76"/>
      <c r="AN2402" s="76"/>
      <c r="AO2402" s="76"/>
      <c r="AP2402" s="76"/>
      <c r="AQ2402" s="76"/>
      <c r="AR2402" s="76"/>
      <c r="AS2402" s="76"/>
      <c r="AT2402" s="76"/>
      <c r="AU2402" s="76"/>
      <c r="AV2402" s="76"/>
      <c r="AW2402" s="76"/>
      <c r="AX2402" s="76">
        <f>+AW2402*600000</f>
        <v>0</v>
      </c>
      <c r="AY2402" s="76"/>
      <c r="AZ2402" s="76">
        <f>+AY2402*70000</f>
        <v>0</v>
      </c>
      <c r="BA2402" s="76"/>
      <c r="BB2402" s="76"/>
      <c r="BC2402" s="76"/>
      <c r="BD2402" s="76">
        <f>+BC2402*30000</f>
        <v>0</v>
      </c>
      <c r="BE2402" s="76"/>
      <c r="BF2402" s="76"/>
      <c r="BG2402" s="76"/>
      <c r="BH2402" s="76"/>
      <c r="BI2402" s="76"/>
      <c r="BJ2402" s="76"/>
      <c r="BK2402" s="76"/>
      <c r="BL2402" s="76">
        <f>+BK2402*31500</f>
        <v>0</v>
      </c>
      <c r="BM2402" s="76"/>
      <c r="BN2402" s="76"/>
      <c r="BO2402" s="76"/>
      <c r="BP2402" s="76"/>
      <c r="BQ2402" s="76"/>
      <c r="BR2402" s="76"/>
      <c r="BS2402" s="76"/>
      <c r="BT2402" s="76"/>
      <c r="BU2402" s="76"/>
      <c r="BV2402" s="76"/>
      <c r="BW2402" s="76"/>
      <c r="BX2402" s="76"/>
      <c r="BY2402" s="76"/>
      <c r="BZ2402" s="76"/>
      <c r="CA2402" s="76"/>
      <c r="CB2402" s="76"/>
      <c r="CC2402" s="76"/>
      <c r="CD2402" s="76"/>
      <c r="CE2402" s="76"/>
      <c r="CF2402" s="76">
        <f>+CE2402*28000</f>
        <v>0</v>
      </c>
      <c r="CG2402" s="76"/>
      <c r="CH2402" s="76">
        <f>+CG2402*22500</f>
        <v>0</v>
      </c>
      <c r="CI2402" s="76"/>
      <c r="CJ2402" s="76">
        <f>+CI2402*26000</f>
        <v>0</v>
      </c>
      <c r="CK2402" s="76"/>
      <c r="CL2402" s="76"/>
      <c r="CM2402" s="76"/>
      <c r="CN2402" s="76">
        <f>+CM2402*22000</f>
        <v>0</v>
      </c>
      <c r="CO2402" s="76"/>
      <c r="CP2402" s="76">
        <f>+CO2402*46000</f>
        <v>0</v>
      </c>
      <c r="CQ2402" s="76"/>
      <c r="CR2402" s="76">
        <f>+CQ2402*49000</f>
        <v>0</v>
      </c>
      <c r="CS2402" s="76"/>
      <c r="CT2402" s="76"/>
      <c r="CU2402" s="56">
        <f>AN2402+AP2402+AR2402+AT2402+AV2402+AX2402+AZ2402+BB2402+BD2402+BF2402+BH2402+BJ2402+BL2402+BN2402+BP2402+BR2402+BT2402+BV2402+BX2402+BZ2402+CB2402+CD2402+CF2402+CH2402+CJ2402+CL2402+CN2402+CP2402+CR2402+CT2402</f>
        <v>0</v>
      </c>
      <c r="CV2402" s="76"/>
      <c r="CW2402" s="76">
        <f>+CV2402*1100</f>
        <v>0</v>
      </c>
      <c r="CX2402" s="76"/>
      <c r="CY2402" s="76">
        <f>+CX2402*106250</f>
        <v>0</v>
      </c>
      <c r="CZ2402" s="76"/>
      <c r="DA2402" s="76">
        <f>+CZ2402*34500</f>
        <v>0</v>
      </c>
      <c r="DB2402" s="76"/>
      <c r="DC2402" s="76">
        <f>+DB2402*25000</f>
        <v>0</v>
      </c>
      <c r="DD2402" s="219"/>
      <c r="DE2402" s="219"/>
      <c r="DF2402" s="166"/>
      <c r="DG2402" s="116"/>
      <c r="DH2402" s="117"/>
      <c r="DI2402" s="24"/>
      <c r="DJ2402" s="24"/>
      <c r="DK2402" s="24"/>
      <c r="DL2402" s="24"/>
      <c r="DM2402" s="24"/>
      <c r="DN2402" s="24"/>
      <c r="DO2402" s="24"/>
      <c r="DP2402" s="24"/>
      <c r="DQ2402" s="24"/>
      <c r="DR2402" s="24"/>
      <c r="DS2402" s="24"/>
      <c r="DT2402" s="24"/>
      <c r="DU2402" s="24"/>
    </row>
    <row r="2403" spans="1:125" s="8" customFormat="1" ht="72" x14ac:dyDescent="0.2">
      <c r="A2403" s="226">
        <v>41474</v>
      </c>
      <c r="B2403" s="353" t="s">
        <v>2847</v>
      </c>
      <c r="C2403" s="353" t="s">
        <v>2673</v>
      </c>
      <c r="D2403" s="353" t="s">
        <v>2859</v>
      </c>
      <c r="E2403" s="353" t="str">
        <f>VLOOKUP(B2403&amp;C2403,Divipola!$C$2:$F$1138,4,FALSE)</f>
        <v>68001</v>
      </c>
      <c r="F2403" s="87"/>
      <c r="G2403" s="87"/>
      <c r="H2403" s="87"/>
      <c r="I2403" s="87">
        <v>5</v>
      </c>
      <c r="J2403" s="87">
        <v>1</v>
      </c>
      <c r="K2403" s="87">
        <v>1</v>
      </c>
      <c r="L2403" s="87"/>
      <c r="M2403" s="87"/>
      <c r="N2403" s="87"/>
      <c r="O2403" s="87"/>
      <c r="P2403" s="87"/>
      <c r="Q2403" s="87"/>
      <c r="R2403" s="87"/>
      <c r="S2403" s="87"/>
      <c r="T2403" s="87"/>
      <c r="U2403" s="88"/>
      <c r="V2403" s="89"/>
      <c r="W2403" s="96">
        <v>0</v>
      </c>
      <c r="X2403" s="71">
        <f>CU2403</f>
        <v>0</v>
      </c>
      <c r="Y2403" s="71">
        <f>CY2403</f>
        <v>0</v>
      </c>
      <c r="Z2403" s="71">
        <f>DA2403+DC2403+DE2403</f>
        <v>0</v>
      </c>
      <c r="AA2403" s="71">
        <f>CW2403</f>
        <v>0</v>
      </c>
      <c r="AB2403" s="71"/>
      <c r="AC2403" s="71">
        <v>0</v>
      </c>
      <c r="AD2403" s="71">
        <f>W2403+X2403+Y2403+Z2403+AA2403+AB2403+AC2403</f>
        <v>0</v>
      </c>
      <c r="AE2403" s="72"/>
      <c r="AF2403" s="5"/>
      <c r="AG2403" s="6"/>
      <c r="AH2403" s="27"/>
      <c r="AI2403" s="44"/>
      <c r="AJ2403" s="26"/>
      <c r="AK2403" s="5"/>
      <c r="AL2403" s="82" t="s">
        <v>5273</v>
      </c>
      <c r="AM2403" s="76"/>
      <c r="AN2403" s="76"/>
      <c r="AO2403" s="76"/>
      <c r="AP2403" s="76"/>
      <c r="AQ2403" s="76"/>
      <c r="AR2403" s="76"/>
      <c r="AS2403" s="76"/>
      <c r="AT2403" s="76"/>
      <c r="AU2403" s="76"/>
      <c r="AV2403" s="76"/>
      <c r="AW2403" s="76"/>
      <c r="AX2403" s="76">
        <f>+AW2403*600000</f>
        <v>0</v>
      </c>
      <c r="AY2403" s="76"/>
      <c r="AZ2403" s="76">
        <f>+AY2403*70000</f>
        <v>0</v>
      </c>
      <c r="BA2403" s="76"/>
      <c r="BB2403" s="76"/>
      <c r="BC2403" s="76"/>
      <c r="BD2403" s="76">
        <f>+BC2403*30000</f>
        <v>0</v>
      </c>
      <c r="BE2403" s="76"/>
      <c r="BF2403" s="76"/>
      <c r="BG2403" s="76"/>
      <c r="BH2403" s="76"/>
      <c r="BI2403" s="76"/>
      <c r="BJ2403" s="76"/>
      <c r="BK2403" s="76"/>
      <c r="BL2403" s="76">
        <f>+BK2403*31500</f>
        <v>0</v>
      </c>
      <c r="BM2403" s="76"/>
      <c r="BN2403" s="76"/>
      <c r="BO2403" s="76"/>
      <c r="BP2403" s="76"/>
      <c r="BQ2403" s="76"/>
      <c r="BR2403" s="76"/>
      <c r="BS2403" s="76"/>
      <c r="BT2403" s="76"/>
      <c r="BU2403" s="76"/>
      <c r="BV2403" s="76"/>
      <c r="BW2403" s="76"/>
      <c r="BX2403" s="76"/>
      <c r="BY2403" s="76"/>
      <c r="BZ2403" s="76"/>
      <c r="CA2403" s="76"/>
      <c r="CB2403" s="76"/>
      <c r="CC2403" s="76"/>
      <c r="CD2403" s="76"/>
      <c r="CE2403" s="76"/>
      <c r="CF2403" s="76">
        <f>+CE2403*28000</f>
        <v>0</v>
      </c>
      <c r="CG2403" s="76"/>
      <c r="CH2403" s="76">
        <f>+CG2403*22500</f>
        <v>0</v>
      </c>
      <c r="CI2403" s="76"/>
      <c r="CJ2403" s="76">
        <f>+CI2403*26000</f>
        <v>0</v>
      </c>
      <c r="CK2403" s="76"/>
      <c r="CL2403" s="76"/>
      <c r="CM2403" s="76"/>
      <c r="CN2403" s="76">
        <f>+CM2403*22000</f>
        <v>0</v>
      </c>
      <c r="CO2403" s="76"/>
      <c r="CP2403" s="76">
        <f>+CO2403*46000</f>
        <v>0</v>
      </c>
      <c r="CQ2403" s="76"/>
      <c r="CR2403" s="76">
        <f>+CQ2403*49000</f>
        <v>0</v>
      </c>
      <c r="CS2403" s="76"/>
      <c r="CT2403" s="76"/>
      <c r="CU2403" s="56">
        <f>AN2403+AP2403+AR2403+AT2403+AV2403+AX2403+AZ2403+BB2403+BD2403+BF2403+BH2403+BJ2403+BL2403+BN2403+BP2403+BR2403+BT2403+BV2403+BX2403+BZ2403+CB2403+CD2403+CF2403+CH2403+CJ2403+CL2403+CN2403+CP2403+CR2403+CT2403</f>
        <v>0</v>
      </c>
      <c r="CV2403" s="76"/>
      <c r="CW2403" s="76">
        <f>+CV2403*1100</f>
        <v>0</v>
      </c>
      <c r="CX2403" s="76"/>
      <c r="CY2403" s="76">
        <f>+CX2403*106250</f>
        <v>0</v>
      </c>
      <c r="CZ2403" s="76"/>
      <c r="DA2403" s="76">
        <f>+CZ2403*34500</f>
        <v>0</v>
      </c>
      <c r="DB2403" s="76"/>
      <c r="DC2403" s="76">
        <f>+DB2403*25000</f>
        <v>0</v>
      </c>
      <c r="DD2403" s="219"/>
      <c r="DE2403" s="219"/>
      <c r="DF2403" s="166"/>
      <c r="DG2403" s="116"/>
      <c r="DH2403" s="117"/>
      <c r="DI2403" s="24"/>
      <c r="DJ2403" s="24"/>
      <c r="DK2403" s="24"/>
      <c r="DL2403" s="24"/>
      <c r="DM2403" s="24"/>
      <c r="DN2403" s="24"/>
      <c r="DO2403" s="24"/>
      <c r="DP2403" s="24"/>
      <c r="DQ2403" s="24"/>
      <c r="DR2403" s="24"/>
      <c r="DS2403" s="24"/>
      <c r="DT2403" s="24"/>
      <c r="DU2403" s="24"/>
    </row>
    <row r="2404" spans="1:125" s="8" customFormat="1" ht="72" x14ac:dyDescent="0.2">
      <c r="A2404" s="226">
        <v>41474</v>
      </c>
      <c r="B2404" s="353" t="s">
        <v>2847</v>
      </c>
      <c r="C2404" s="353" t="s">
        <v>2673</v>
      </c>
      <c r="D2404" s="353" t="s">
        <v>2846</v>
      </c>
      <c r="E2404" s="353" t="str">
        <f>VLOOKUP(B2404&amp;C2404,Divipola!$C$2:$F$1138,4,FALSE)</f>
        <v>68001</v>
      </c>
      <c r="F2404" s="87"/>
      <c r="G2404" s="87"/>
      <c r="H2404" s="87"/>
      <c r="I2404" s="87"/>
      <c r="J2404" s="87"/>
      <c r="K2404" s="87"/>
      <c r="L2404" s="87"/>
      <c r="M2404" s="87"/>
      <c r="N2404" s="87"/>
      <c r="O2404" s="87"/>
      <c r="P2404" s="87"/>
      <c r="Q2404" s="87"/>
      <c r="R2404" s="87"/>
      <c r="S2404" s="87"/>
      <c r="T2404" s="87"/>
      <c r="U2404" s="88" t="s">
        <v>5257</v>
      </c>
      <c r="V2404" s="134"/>
      <c r="W2404" s="96">
        <v>0</v>
      </c>
      <c r="X2404" s="71">
        <f>CU2404</f>
        <v>0</v>
      </c>
      <c r="Y2404" s="71">
        <f>CY2404</f>
        <v>0</v>
      </c>
      <c r="Z2404" s="71">
        <f>DA2404+DC2404+DE2404</f>
        <v>0</v>
      </c>
      <c r="AA2404" s="71">
        <f>CW2404</f>
        <v>0</v>
      </c>
      <c r="AB2404" s="71"/>
      <c r="AC2404" s="71">
        <v>0</v>
      </c>
      <c r="AD2404" s="71">
        <f>W2404+X2404+Y2404+Z2404+AA2404+AB2404+AC2404</f>
        <v>0</v>
      </c>
      <c r="AE2404" s="72"/>
      <c r="AF2404" s="5"/>
      <c r="AG2404" s="6"/>
      <c r="AH2404" s="27"/>
      <c r="AI2404" s="44"/>
      <c r="AJ2404" s="26"/>
      <c r="AK2404" s="5"/>
      <c r="AL2404" s="82" t="s">
        <v>5270</v>
      </c>
      <c r="AM2404" s="76"/>
      <c r="AN2404" s="76"/>
      <c r="AO2404" s="76"/>
      <c r="AP2404" s="76"/>
      <c r="AQ2404" s="76"/>
      <c r="AR2404" s="76"/>
      <c r="AS2404" s="76"/>
      <c r="AT2404" s="76"/>
      <c r="AU2404" s="76"/>
      <c r="AV2404" s="76"/>
      <c r="AW2404" s="76"/>
      <c r="AX2404" s="76">
        <f>+AW2404*600000</f>
        <v>0</v>
      </c>
      <c r="AY2404" s="76"/>
      <c r="AZ2404" s="76">
        <f>+AY2404*70000</f>
        <v>0</v>
      </c>
      <c r="BA2404" s="76"/>
      <c r="BB2404" s="76"/>
      <c r="BC2404" s="76"/>
      <c r="BD2404" s="76">
        <f>+BC2404*30000</f>
        <v>0</v>
      </c>
      <c r="BE2404" s="76"/>
      <c r="BF2404" s="76"/>
      <c r="BG2404" s="76"/>
      <c r="BH2404" s="76"/>
      <c r="BI2404" s="76"/>
      <c r="BJ2404" s="76"/>
      <c r="BK2404" s="76"/>
      <c r="BL2404" s="76">
        <f>+BK2404*31500</f>
        <v>0</v>
      </c>
      <c r="BM2404" s="76"/>
      <c r="BN2404" s="76"/>
      <c r="BO2404" s="76"/>
      <c r="BP2404" s="76"/>
      <c r="BQ2404" s="76"/>
      <c r="BR2404" s="76"/>
      <c r="BS2404" s="76"/>
      <c r="BT2404" s="76"/>
      <c r="BU2404" s="76"/>
      <c r="BV2404" s="76"/>
      <c r="BW2404" s="76"/>
      <c r="BX2404" s="76"/>
      <c r="BY2404" s="76"/>
      <c r="BZ2404" s="76"/>
      <c r="CA2404" s="76"/>
      <c r="CB2404" s="76"/>
      <c r="CC2404" s="76"/>
      <c r="CD2404" s="76"/>
      <c r="CE2404" s="76"/>
      <c r="CF2404" s="76">
        <f>+CE2404*28000</f>
        <v>0</v>
      </c>
      <c r="CG2404" s="76"/>
      <c r="CH2404" s="76">
        <f>+CG2404*22500</f>
        <v>0</v>
      </c>
      <c r="CI2404" s="76"/>
      <c r="CJ2404" s="76">
        <f>+CI2404*26000</f>
        <v>0</v>
      </c>
      <c r="CK2404" s="76"/>
      <c r="CL2404" s="76"/>
      <c r="CM2404" s="76"/>
      <c r="CN2404" s="76">
        <f>+CM2404*22000</f>
        <v>0</v>
      </c>
      <c r="CO2404" s="76"/>
      <c r="CP2404" s="76">
        <f>+CO2404*46000</f>
        <v>0</v>
      </c>
      <c r="CQ2404" s="76"/>
      <c r="CR2404" s="76">
        <f>+CQ2404*49000</f>
        <v>0</v>
      </c>
      <c r="CS2404" s="76"/>
      <c r="CT2404" s="76"/>
      <c r="CU2404" s="56">
        <f>AN2404+AP2404+AR2404+AT2404+AV2404+AX2404+AZ2404+BB2404+BD2404+BF2404+BH2404+BJ2404+BL2404+BN2404+BP2404+BR2404+BT2404+BV2404+BX2404+BZ2404+CB2404+CD2404+CF2404+CH2404+CJ2404+CL2404+CN2404+CP2404+CR2404+CT2404</f>
        <v>0</v>
      </c>
      <c r="CV2404" s="76"/>
      <c r="CW2404" s="76">
        <f>+CV2404*1100</f>
        <v>0</v>
      </c>
      <c r="CX2404" s="76"/>
      <c r="CY2404" s="76">
        <f>+CX2404*106250</f>
        <v>0</v>
      </c>
      <c r="CZ2404" s="76"/>
      <c r="DA2404" s="76">
        <f>+CZ2404*34500</f>
        <v>0</v>
      </c>
      <c r="DB2404" s="76"/>
      <c r="DC2404" s="76">
        <f>+DB2404*25000</f>
        <v>0</v>
      </c>
      <c r="DD2404" s="219"/>
      <c r="DE2404" s="219"/>
      <c r="DF2404" s="166"/>
      <c r="DG2404" s="116"/>
      <c r="DH2404" s="117"/>
      <c r="DI2404" s="24"/>
      <c r="DJ2404" s="24"/>
      <c r="DK2404" s="24"/>
      <c r="DL2404" s="24"/>
      <c r="DM2404" s="24"/>
      <c r="DN2404" s="24"/>
      <c r="DO2404" s="24"/>
      <c r="DP2404" s="24"/>
      <c r="DQ2404" s="24"/>
      <c r="DR2404" s="24"/>
      <c r="DS2404" s="24"/>
      <c r="DT2404" s="24"/>
      <c r="DU2404" s="24"/>
    </row>
    <row r="2405" spans="1:125" s="8" customFormat="1" ht="48" x14ac:dyDescent="0.2">
      <c r="A2405" s="353">
        <v>41474</v>
      </c>
      <c r="B2405" s="353" t="s">
        <v>1326</v>
      </c>
      <c r="C2405" s="353" t="s">
        <v>2710</v>
      </c>
      <c r="D2405" s="353" t="s">
        <v>2882</v>
      </c>
      <c r="E2405" s="353" t="str">
        <f>VLOOKUP(B2405&amp;C2405,Divipola!$C$2:$F$1138,4,FALSE)</f>
        <v>70124</v>
      </c>
      <c r="F2405" s="87"/>
      <c r="G2405" s="87"/>
      <c r="H2405" s="87"/>
      <c r="I2405" s="87">
        <v>30</v>
      </c>
      <c r="J2405" s="87">
        <v>6</v>
      </c>
      <c r="K2405" s="87"/>
      <c r="L2405" s="87">
        <v>6</v>
      </c>
      <c r="M2405" s="87"/>
      <c r="N2405" s="87"/>
      <c r="O2405" s="87"/>
      <c r="P2405" s="87"/>
      <c r="Q2405" s="87"/>
      <c r="R2405" s="87"/>
      <c r="S2405" s="87"/>
      <c r="T2405" s="87"/>
      <c r="U2405" s="88"/>
      <c r="V2405" s="89"/>
      <c r="W2405" s="96">
        <v>0</v>
      </c>
      <c r="X2405" s="71">
        <f>CU2405</f>
        <v>0</v>
      </c>
      <c r="Y2405" s="71">
        <f>CY2405</f>
        <v>0</v>
      </c>
      <c r="Z2405" s="71">
        <f>DA2405+DC2405+DE2405</f>
        <v>0</v>
      </c>
      <c r="AA2405" s="71">
        <f>CW2405</f>
        <v>0</v>
      </c>
      <c r="AB2405" s="71"/>
      <c r="AC2405" s="71">
        <v>0</v>
      </c>
      <c r="AD2405" s="71">
        <f>W2405+X2405+Y2405+Z2405+AA2405+AB2405+AC2405</f>
        <v>0</v>
      </c>
      <c r="AE2405" s="72"/>
      <c r="AF2405" s="5"/>
      <c r="AG2405" s="6"/>
      <c r="AH2405" s="27"/>
      <c r="AI2405" s="44"/>
      <c r="AJ2405" s="26"/>
      <c r="AK2405" s="5"/>
      <c r="AL2405" s="82" t="s">
        <v>5277</v>
      </c>
      <c r="AM2405" s="76"/>
      <c r="AN2405" s="76"/>
      <c r="AO2405" s="76"/>
      <c r="AP2405" s="76"/>
      <c r="AQ2405" s="76"/>
      <c r="AR2405" s="76"/>
      <c r="AS2405" s="76"/>
      <c r="AT2405" s="76"/>
      <c r="AU2405" s="76"/>
      <c r="AV2405" s="76"/>
      <c r="AW2405" s="76"/>
      <c r="AX2405" s="76">
        <f>+AW2405*600000</f>
        <v>0</v>
      </c>
      <c r="AY2405" s="76"/>
      <c r="AZ2405" s="76">
        <f>+AY2405*70000</f>
        <v>0</v>
      </c>
      <c r="BA2405" s="76"/>
      <c r="BB2405" s="76"/>
      <c r="BC2405" s="76"/>
      <c r="BD2405" s="76">
        <f>+BC2405*30000</f>
        <v>0</v>
      </c>
      <c r="BE2405" s="76"/>
      <c r="BF2405" s="76"/>
      <c r="BG2405" s="76"/>
      <c r="BH2405" s="76"/>
      <c r="BI2405" s="76"/>
      <c r="BJ2405" s="76"/>
      <c r="BK2405" s="76"/>
      <c r="BL2405" s="76">
        <f>+BK2405*31500</f>
        <v>0</v>
      </c>
      <c r="BM2405" s="76"/>
      <c r="BN2405" s="76"/>
      <c r="BO2405" s="76"/>
      <c r="BP2405" s="76"/>
      <c r="BQ2405" s="76"/>
      <c r="BR2405" s="76"/>
      <c r="BS2405" s="76"/>
      <c r="BT2405" s="76"/>
      <c r="BU2405" s="76"/>
      <c r="BV2405" s="76"/>
      <c r="BW2405" s="76"/>
      <c r="BX2405" s="76"/>
      <c r="BY2405" s="76"/>
      <c r="BZ2405" s="76"/>
      <c r="CA2405" s="76"/>
      <c r="CB2405" s="76"/>
      <c r="CC2405" s="76"/>
      <c r="CD2405" s="76"/>
      <c r="CE2405" s="76"/>
      <c r="CF2405" s="76">
        <f>+CE2405*28000</f>
        <v>0</v>
      </c>
      <c r="CG2405" s="76"/>
      <c r="CH2405" s="76">
        <f>+CG2405*22500</f>
        <v>0</v>
      </c>
      <c r="CI2405" s="76"/>
      <c r="CJ2405" s="76">
        <f>+CI2405*26000</f>
        <v>0</v>
      </c>
      <c r="CK2405" s="76"/>
      <c r="CL2405" s="76"/>
      <c r="CM2405" s="76"/>
      <c r="CN2405" s="76">
        <f>+CM2405*22000</f>
        <v>0</v>
      </c>
      <c r="CO2405" s="76"/>
      <c r="CP2405" s="76">
        <f>+CO2405*46000</f>
        <v>0</v>
      </c>
      <c r="CQ2405" s="76"/>
      <c r="CR2405" s="76">
        <f>+CQ2405*49000</f>
        <v>0</v>
      </c>
      <c r="CS2405" s="76"/>
      <c r="CT2405" s="76"/>
      <c r="CU2405" s="56">
        <f>AN2405+AP2405+AR2405+AT2405+AV2405+AX2405+AZ2405+BB2405+BD2405+BF2405+BH2405+BJ2405+BL2405+BN2405+BP2405+BR2405+BT2405+BV2405+BX2405+BZ2405+CB2405+CD2405+CF2405+CH2405+CJ2405+CL2405+CN2405+CP2405+CR2405+CT2405</f>
        <v>0</v>
      </c>
      <c r="CV2405" s="76"/>
      <c r="CW2405" s="76">
        <f>+CV2405*1100</f>
        <v>0</v>
      </c>
      <c r="CX2405" s="76"/>
      <c r="CY2405" s="76">
        <f>+CX2405*106250</f>
        <v>0</v>
      </c>
      <c r="CZ2405" s="76"/>
      <c r="DA2405" s="76">
        <f>+CZ2405*34500</f>
        <v>0</v>
      </c>
      <c r="DB2405" s="76"/>
      <c r="DC2405" s="76">
        <f>+DB2405*25000</f>
        <v>0</v>
      </c>
      <c r="DD2405" s="219"/>
      <c r="DE2405" s="219"/>
      <c r="DF2405" s="166"/>
      <c r="DG2405" s="116"/>
      <c r="DH2405" s="117"/>
      <c r="DI2405" s="24"/>
      <c r="DJ2405" s="24"/>
      <c r="DK2405" s="24"/>
      <c r="DL2405" s="24"/>
      <c r="DM2405" s="24"/>
      <c r="DN2405" s="24"/>
      <c r="DO2405" s="24"/>
      <c r="DP2405" s="24"/>
      <c r="DQ2405" s="24"/>
      <c r="DR2405" s="24"/>
      <c r="DS2405" s="24"/>
      <c r="DT2405" s="24"/>
      <c r="DU2405" s="24"/>
    </row>
    <row r="2406" spans="1:125" s="8" customFormat="1" x14ac:dyDescent="0.2">
      <c r="A2406" s="248">
        <v>41474</v>
      </c>
      <c r="B2406" s="249" t="s">
        <v>1326</v>
      </c>
      <c r="C2406" s="231" t="s">
        <v>2711</v>
      </c>
      <c r="D2406" s="231" t="s">
        <v>2882</v>
      </c>
      <c r="E2406" s="228" t="str">
        <f>VLOOKUP(B2406&amp;C2406,Divipola!$C$2:$F$1138,4,FALSE)</f>
        <v>70678</v>
      </c>
      <c r="F2406" s="256"/>
      <c r="G2406" s="256"/>
      <c r="H2406" s="256"/>
      <c r="I2406" s="256">
        <f>85*5</f>
        <v>425</v>
      </c>
      <c r="J2406" s="256">
        <v>85</v>
      </c>
      <c r="K2406" s="256"/>
      <c r="L2406" s="256">
        <v>85</v>
      </c>
      <c r="M2406" s="256"/>
      <c r="N2406" s="256"/>
      <c r="O2406" s="256"/>
      <c r="P2406" s="256"/>
      <c r="Q2406" s="256"/>
      <c r="R2406" s="256"/>
      <c r="S2406" s="256"/>
      <c r="T2406" s="256"/>
      <c r="U2406" s="256"/>
      <c r="V2406" s="253"/>
      <c r="W2406" s="271">
        <v>0</v>
      </c>
      <c r="X2406" s="269">
        <f>CU2406</f>
        <v>0</v>
      </c>
      <c r="Y2406" s="269">
        <f>CY2406</f>
        <v>0</v>
      </c>
      <c r="Z2406" s="269">
        <f>DA2406+DC2406+DE2406</f>
        <v>61121500</v>
      </c>
      <c r="AA2406" s="269">
        <f>CW2406</f>
        <v>0</v>
      </c>
      <c r="AB2406" s="269"/>
      <c r="AC2406" s="269">
        <v>0</v>
      </c>
      <c r="AD2406" s="269">
        <f>W2406+X2406+Y2406+Z2406+AA2406+AB2406+AC2406</f>
        <v>61121500</v>
      </c>
      <c r="AE2406" s="270">
        <v>0</v>
      </c>
      <c r="AF2406" s="235"/>
      <c r="AG2406" s="236"/>
      <c r="AH2406" s="237"/>
      <c r="AI2406" s="238"/>
      <c r="AJ2406" s="239"/>
      <c r="AK2406" s="235"/>
      <c r="AL2406" s="82" t="s">
        <v>5412</v>
      </c>
      <c r="AM2406" s="240"/>
      <c r="AN2406" s="240"/>
      <c r="AO2406" s="240"/>
      <c r="AP2406" s="240"/>
      <c r="AQ2406" s="240"/>
      <c r="AR2406" s="240"/>
      <c r="AS2406" s="240"/>
      <c r="AT2406" s="240"/>
      <c r="AU2406" s="240"/>
      <c r="AV2406" s="240"/>
      <c r="AW2406" s="240"/>
      <c r="AX2406" s="240">
        <f>+AW2406*600000</f>
        <v>0</v>
      </c>
      <c r="AY2406" s="240"/>
      <c r="AZ2406" s="240">
        <f>+AY2406*70000</f>
        <v>0</v>
      </c>
      <c r="BA2406" s="240"/>
      <c r="BB2406" s="240"/>
      <c r="BC2406" s="240"/>
      <c r="BD2406" s="240">
        <f>+BC2406*30000</f>
        <v>0</v>
      </c>
      <c r="BE2406" s="240"/>
      <c r="BF2406" s="240"/>
      <c r="BG2406" s="240"/>
      <c r="BH2406" s="240"/>
      <c r="BI2406" s="240"/>
      <c r="BJ2406" s="240"/>
      <c r="BK2406" s="240"/>
      <c r="BL2406" s="240">
        <f>+BK2406*31500</f>
        <v>0</v>
      </c>
      <c r="BM2406" s="240"/>
      <c r="BN2406" s="240"/>
      <c r="BO2406" s="240"/>
      <c r="BP2406" s="240"/>
      <c r="BQ2406" s="240"/>
      <c r="BR2406" s="240"/>
      <c r="BS2406" s="240"/>
      <c r="BT2406" s="240"/>
      <c r="BU2406" s="240"/>
      <c r="BV2406" s="240"/>
      <c r="BW2406" s="240"/>
      <c r="BX2406" s="240"/>
      <c r="BY2406" s="240"/>
      <c r="BZ2406" s="240"/>
      <c r="CA2406" s="240"/>
      <c r="CB2406" s="240"/>
      <c r="CC2406" s="240"/>
      <c r="CD2406" s="240"/>
      <c r="CE2406" s="240"/>
      <c r="CF2406" s="240">
        <f>+CE2406*28000</f>
        <v>0</v>
      </c>
      <c r="CG2406" s="240"/>
      <c r="CH2406" s="240">
        <f>+CG2406*22500</f>
        <v>0</v>
      </c>
      <c r="CI2406" s="240"/>
      <c r="CJ2406" s="240">
        <f>+CI2406*26000</f>
        <v>0</v>
      </c>
      <c r="CK2406" s="240"/>
      <c r="CL2406" s="240"/>
      <c r="CM2406" s="240"/>
      <c r="CN2406" s="240">
        <f>+CM2406*22000</f>
        <v>0</v>
      </c>
      <c r="CO2406" s="240"/>
      <c r="CP2406" s="240">
        <f>+CO2406*46000</f>
        <v>0</v>
      </c>
      <c r="CQ2406" s="240"/>
      <c r="CR2406" s="240">
        <f>+CQ2406*49000</f>
        <v>0</v>
      </c>
      <c r="CS2406" s="240"/>
      <c r="CT2406" s="240"/>
      <c r="CU2406" s="241">
        <f>AN2406+AP2406+AR2406+AT2406+AV2406+AX2406+AZ2406+BB2406+BD2406+BF2406+BH2406+BJ2406+BL2406+BN2406+BP2406+BR2406+BT2406+BV2406+BX2406+BZ2406+CB2406+CD2406+CF2406+CH2406+CJ2406+CL2406+CN2406+CP2406+CR2406+CT2406</f>
        <v>0</v>
      </c>
      <c r="CV2406" s="240"/>
      <c r="CW2406" s="240">
        <f>+CV2406*1100</f>
        <v>0</v>
      </c>
      <c r="CX2406" s="240"/>
      <c r="CY2406" s="240">
        <f>+CX2406*106250</f>
        <v>0</v>
      </c>
      <c r="CZ2406" s="312">
        <v>89</v>
      </c>
      <c r="DA2406" s="312">
        <f>+CZ2406*29500</f>
        <v>2625500</v>
      </c>
      <c r="DB2406" s="312">
        <v>1660</v>
      </c>
      <c r="DC2406" s="312">
        <f>1300*32000+7800*200+360*41000+1440*400</f>
        <v>58496000</v>
      </c>
      <c r="DD2406" s="242"/>
      <c r="DE2406" s="242"/>
      <c r="DF2406" s="243"/>
      <c r="DG2406" s="253" t="s">
        <v>5987</v>
      </c>
      <c r="DH2406" s="244"/>
      <c r="DI2406" s="24"/>
      <c r="DJ2406" s="24"/>
      <c r="DK2406" s="24"/>
      <c r="DL2406" s="24"/>
      <c r="DM2406" s="24"/>
      <c r="DN2406" s="24"/>
      <c r="DO2406" s="24"/>
      <c r="DP2406" s="24"/>
      <c r="DQ2406" s="24"/>
      <c r="DR2406" s="24"/>
      <c r="DS2406" s="24"/>
      <c r="DT2406" s="24"/>
      <c r="DU2406" s="24"/>
    </row>
    <row r="2407" spans="1:125" s="8" customFormat="1" x14ac:dyDescent="0.2">
      <c r="A2407" s="77">
        <v>41474</v>
      </c>
      <c r="B2407" s="78" t="s">
        <v>1326</v>
      </c>
      <c r="C2407" s="75" t="s">
        <v>2159</v>
      </c>
      <c r="D2407" s="75" t="s">
        <v>2882</v>
      </c>
      <c r="E2407" s="353" t="str">
        <f>VLOOKUP(B2407&amp;C2407,Divipola!$C$2:$F$1138,4,FALSE)</f>
        <v>70717</v>
      </c>
      <c r="F2407" s="163"/>
      <c r="G2407" s="163"/>
      <c r="H2407" s="163"/>
      <c r="I2407" s="163">
        <f>40*5</f>
        <v>200</v>
      </c>
      <c r="J2407" s="163">
        <v>40</v>
      </c>
      <c r="K2407" s="163"/>
      <c r="L2407" s="163">
        <v>40</v>
      </c>
      <c r="M2407" s="163"/>
      <c r="N2407" s="163"/>
      <c r="O2407" s="163"/>
      <c r="P2407" s="163"/>
      <c r="Q2407" s="163"/>
      <c r="R2407" s="163"/>
      <c r="S2407" s="163"/>
      <c r="T2407" s="163"/>
      <c r="U2407" s="163"/>
      <c r="V2407" s="134"/>
      <c r="W2407" s="96">
        <v>0</v>
      </c>
      <c r="X2407" s="71">
        <f>CU2407</f>
        <v>0</v>
      </c>
      <c r="Y2407" s="71">
        <f>CY2407</f>
        <v>0</v>
      </c>
      <c r="Z2407" s="71">
        <f>DA2407+DC2407+DE2407</f>
        <v>0</v>
      </c>
      <c r="AA2407" s="71">
        <f>CW2407</f>
        <v>0</v>
      </c>
      <c r="AB2407" s="71"/>
      <c r="AC2407" s="71">
        <v>0</v>
      </c>
      <c r="AD2407" s="71">
        <f>W2407+X2407+Y2407+Z2407+AA2407+AB2407+AC2407</f>
        <v>0</v>
      </c>
      <c r="AE2407" s="72">
        <v>0</v>
      </c>
      <c r="AF2407" s="5"/>
      <c r="AG2407" s="6"/>
      <c r="AH2407" s="27"/>
      <c r="AI2407" s="44"/>
      <c r="AJ2407" s="26"/>
      <c r="AK2407" s="5"/>
      <c r="AL2407" s="82" t="s">
        <v>5411</v>
      </c>
      <c r="AM2407" s="76"/>
      <c r="AN2407" s="76"/>
      <c r="AO2407" s="76"/>
      <c r="AP2407" s="76"/>
      <c r="AQ2407" s="76"/>
      <c r="AR2407" s="76"/>
      <c r="AS2407" s="76"/>
      <c r="AT2407" s="76"/>
      <c r="AU2407" s="76"/>
      <c r="AV2407" s="76"/>
      <c r="AW2407" s="76"/>
      <c r="AX2407" s="76">
        <f>+AW2407*600000</f>
        <v>0</v>
      </c>
      <c r="AY2407" s="76"/>
      <c r="AZ2407" s="76">
        <f>+AY2407*70000</f>
        <v>0</v>
      </c>
      <c r="BA2407" s="76"/>
      <c r="BB2407" s="76"/>
      <c r="BC2407" s="76"/>
      <c r="BD2407" s="76">
        <f>+BC2407*30000</f>
        <v>0</v>
      </c>
      <c r="BE2407" s="76"/>
      <c r="BF2407" s="76"/>
      <c r="BG2407" s="76"/>
      <c r="BH2407" s="76"/>
      <c r="BI2407" s="76"/>
      <c r="BJ2407" s="76"/>
      <c r="BK2407" s="76"/>
      <c r="BL2407" s="76">
        <f>+BK2407*31500</f>
        <v>0</v>
      </c>
      <c r="BM2407" s="76"/>
      <c r="BN2407" s="76"/>
      <c r="BO2407" s="76"/>
      <c r="BP2407" s="76"/>
      <c r="BQ2407" s="76"/>
      <c r="BR2407" s="76"/>
      <c r="BS2407" s="76"/>
      <c r="BT2407" s="76"/>
      <c r="BU2407" s="76"/>
      <c r="BV2407" s="76"/>
      <c r="BW2407" s="76"/>
      <c r="BX2407" s="76"/>
      <c r="BY2407" s="76"/>
      <c r="BZ2407" s="76"/>
      <c r="CA2407" s="76"/>
      <c r="CB2407" s="76"/>
      <c r="CC2407" s="76"/>
      <c r="CD2407" s="76"/>
      <c r="CE2407" s="76"/>
      <c r="CF2407" s="76">
        <f>+CE2407*28000</f>
        <v>0</v>
      </c>
      <c r="CG2407" s="76"/>
      <c r="CH2407" s="76">
        <f>+CG2407*22500</f>
        <v>0</v>
      </c>
      <c r="CI2407" s="76"/>
      <c r="CJ2407" s="76">
        <f>+CI2407*26000</f>
        <v>0</v>
      </c>
      <c r="CK2407" s="76"/>
      <c r="CL2407" s="76"/>
      <c r="CM2407" s="76"/>
      <c r="CN2407" s="76">
        <f>+CM2407*22000</f>
        <v>0</v>
      </c>
      <c r="CO2407" s="76"/>
      <c r="CP2407" s="76">
        <f>+CO2407*46000</f>
        <v>0</v>
      </c>
      <c r="CQ2407" s="76"/>
      <c r="CR2407" s="76">
        <f>+CQ2407*49000</f>
        <v>0</v>
      </c>
      <c r="CS2407" s="76"/>
      <c r="CT2407" s="76"/>
      <c r="CU2407" s="56">
        <f>AN2407+AP2407+AR2407+AT2407+AV2407+AX2407+AZ2407+BB2407+BD2407+BF2407+BH2407+BJ2407+BL2407+BN2407+BP2407+BR2407+BT2407+BV2407+BX2407+BZ2407+CB2407+CD2407+CF2407+CH2407+CJ2407+CL2407+CN2407+CP2407+CR2407+CT2407</f>
        <v>0</v>
      </c>
      <c r="CV2407" s="76"/>
      <c r="CW2407" s="76">
        <f>+CV2407*1100</f>
        <v>0</v>
      </c>
      <c r="CX2407" s="76"/>
      <c r="CY2407" s="76">
        <f>+CX2407*106250</f>
        <v>0</v>
      </c>
      <c r="CZ2407" s="76"/>
      <c r="DA2407" s="76">
        <f>+CZ2407*34500</f>
        <v>0</v>
      </c>
      <c r="DB2407" s="76"/>
      <c r="DC2407" s="76">
        <f>+DB2407*25000</f>
        <v>0</v>
      </c>
      <c r="DD2407" s="219"/>
      <c r="DE2407" s="219"/>
      <c r="DF2407" s="166"/>
      <c r="DG2407" s="116"/>
      <c r="DH2407" s="117"/>
      <c r="DI2407" s="24"/>
      <c r="DJ2407" s="24"/>
      <c r="DK2407" s="24"/>
      <c r="DL2407" s="24"/>
      <c r="DM2407" s="24"/>
      <c r="DN2407" s="24"/>
      <c r="DO2407" s="24"/>
      <c r="DP2407" s="24"/>
      <c r="DQ2407" s="24"/>
      <c r="DR2407" s="24"/>
      <c r="DS2407" s="24"/>
      <c r="DT2407" s="24"/>
      <c r="DU2407" s="24"/>
    </row>
    <row r="2408" spans="1:125" s="8" customFormat="1" ht="72" x14ac:dyDescent="0.2">
      <c r="A2408" s="228">
        <v>41474</v>
      </c>
      <c r="B2408" s="228" t="s">
        <v>1326</v>
      </c>
      <c r="C2408" s="228" t="s">
        <v>1326</v>
      </c>
      <c r="D2408" s="228" t="s">
        <v>2882</v>
      </c>
      <c r="E2408" s="228" t="str">
        <f>VLOOKUP(B2408&amp;C2408,Divipola!$C$2:$F$1138,4,FALSE)</f>
        <v>70771</v>
      </c>
      <c r="F2408" s="232"/>
      <c r="G2408" s="232"/>
      <c r="H2408" s="232"/>
      <c r="I2408" s="232">
        <v>460</v>
      </c>
      <c r="J2408" s="232">
        <v>92</v>
      </c>
      <c r="K2408" s="232">
        <v>1</v>
      </c>
      <c r="L2408" s="232">
        <v>91</v>
      </c>
      <c r="M2408" s="232"/>
      <c r="N2408" s="232"/>
      <c r="O2408" s="232"/>
      <c r="P2408" s="232"/>
      <c r="Q2408" s="232"/>
      <c r="R2408" s="232"/>
      <c r="S2408" s="232"/>
      <c r="T2408" s="232"/>
      <c r="U2408" s="233"/>
      <c r="V2408" s="234"/>
      <c r="W2408" s="271">
        <v>0</v>
      </c>
      <c r="X2408" s="269">
        <f>CU2408</f>
        <v>0</v>
      </c>
      <c r="Y2408" s="269">
        <f>CY2408</f>
        <v>0</v>
      </c>
      <c r="Z2408" s="269">
        <f>DA2408+DC2408+DE2408</f>
        <v>224942700</v>
      </c>
      <c r="AA2408" s="269">
        <f>CW2408</f>
        <v>0</v>
      </c>
      <c r="AB2408" s="269"/>
      <c r="AC2408" s="269">
        <v>0</v>
      </c>
      <c r="AD2408" s="269">
        <f>W2408+X2408+Y2408+Z2408+AA2408+AB2408+AC2408</f>
        <v>224942700</v>
      </c>
      <c r="AE2408" s="270"/>
      <c r="AF2408" s="235"/>
      <c r="AG2408" s="236"/>
      <c r="AH2408" s="237"/>
      <c r="AI2408" s="238"/>
      <c r="AJ2408" s="239"/>
      <c r="AK2408" s="235"/>
      <c r="AL2408" s="82" t="s">
        <v>5276</v>
      </c>
      <c r="AM2408" s="240"/>
      <c r="AN2408" s="240"/>
      <c r="AO2408" s="240"/>
      <c r="AP2408" s="240"/>
      <c r="AQ2408" s="240"/>
      <c r="AR2408" s="240"/>
      <c r="AS2408" s="240"/>
      <c r="AT2408" s="240"/>
      <c r="AU2408" s="240"/>
      <c r="AV2408" s="240"/>
      <c r="AW2408" s="240"/>
      <c r="AX2408" s="240">
        <f>+AW2408*600000</f>
        <v>0</v>
      </c>
      <c r="AY2408" s="240"/>
      <c r="AZ2408" s="240">
        <f>+AY2408*70000</f>
        <v>0</v>
      </c>
      <c r="BA2408" s="240"/>
      <c r="BB2408" s="240"/>
      <c r="BC2408" s="240"/>
      <c r="BD2408" s="240">
        <f>+BC2408*30000</f>
        <v>0</v>
      </c>
      <c r="BE2408" s="240"/>
      <c r="BF2408" s="240"/>
      <c r="BG2408" s="240"/>
      <c r="BH2408" s="240"/>
      <c r="BI2408" s="240"/>
      <c r="BJ2408" s="240"/>
      <c r="BK2408" s="240"/>
      <c r="BL2408" s="240">
        <f>+BK2408*31500</f>
        <v>0</v>
      </c>
      <c r="BM2408" s="240"/>
      <c r="BN2408" s="240"/>
      <c r="BO2408" s="240"/>
      <c r="BP2408" s="240"/>
      <c r="BQ2408" s="240"/>
      <c r="BR2408" s="240"/>
      <c r="BS2408" s="240"/>
      <c r="BT2408" s="240"/>
      <c r="BU2408" s="240"/>
      <c r="BV2408" s="240"/>
      <c r="BW2408" s="240"/>
      <c r="BX2408" s="240"/>
      <c r="BY2408" s="240"/>
      <c r="BZ2408" s="240"/>
      <c r="CA2408" s="240"/>
      <c r="CB2408" s="240"/>
      <c r="CC2408" s="240"/>
      <c r="CD2408" s="240"/>
      <c r="CE2408" s="240"/>
      <c r="CF2408" s="240">
        <f>+CE2408*28000</f>
        <v>0</v>
      </c>
      <c r="CG2408" s="240"/>
      <c r="CH2408" s="240">
        <f>+CG2408*22500</f>
        <v>0</v>
      </c>
      <c r="CI2408" s="240"/>
      <c r="CJ2408" s="240">
        <f>+CI2408*26000</f>
        <v>0</v>
      </c>
      <c r="CK2408" s="240"/>
      <c r="CL2408" s="240"/>
      <c r="CM2408" s="240"/>
      <c r="CN2408" s="240">
        <f>+CM2408*22000</f>
        <v>0</v>
      </c>
      <c r="CO2408" s="240"/>
      <c r="CP2408" s="240">
        <f>+CO2408*46000</f>
        <v>0</v>
      </c>
      <c r="CQ2408" s="240"/>
      <c r="CR2408" s="240">
        <f>+CQ2408*49000</f>
        <v>0</v>
      </c>
      <c r="CS2408" s="240"/>
      <c r="CT2408" s="240"/>
      <c r="CU2408" s="241">
        <f>AN2408+AP2408+AR2408+AT2408+AV2408+AX2408+AZ2408+BB2408+BD2408+BF2408+BH2408+BJ2408+BL2408+BN2408+BP2408+BR2408+BT2408+BV2408+BX2408+BZ2408+CB2408+CD2408+CF2408+CH2408+CJ2408+CL2408+CN2408+CP2408+CR2408+CT2408</f>
        <v>0</v>
      </c>
      <c r="CV2408" s="240"/>
      <c r="CW2408" s="240">
        <f>+CV2408*1100</f>
        <v>0</v>
      </c>
      <c r="CX2408" s="240"/>
      <c r="CY2408" s="240">
        <f>+CX2408*106250</f>
        <v>0</v>
      </c>
      <c r="CZ2408" s="312">
        <v>198</v>
      </c>
      <c r="DA2408" s="312">
        <f>+CZ2408*29500</f>
        <v>5841000</v>
      </c>
      <c r="DB2408" s="312">
        <v>6518</v>
      </c>
      <c r="DC2408" s="312">
        <f>+DB2408*32000+26076*200</f>
        <v>213791200</v>
      </c>
      <c r="DD2408" s="314" t="s">
        <v>5515</v>
      </c>
      <c r="DE2408" s="314">
        <f>247*21500</f>
        <v>5310500</v>
      </c>
      <c r="DF2408" s="243"/>
      <c r="DG2408" s="253" t="s">
        <v>5985</v>
      </c>
      <c r="DH2408" s="244"/>
      <c r="DI2408" s="24"/>
      <c r="DJ2408" s="24"/>
      <c r="DK2408" s="24"/>
      <c r="DL2408" s="24"/>
      <c r="DM2408" s="24"/>
      <c r="DN2408" s="24"/>
      <c r="DO2408" s="24"/>
      <c r="DP2408" s="24"/>
      <c r="DQ2408" s="24"/>
      <c r="DR2408" s="24"/>
      <c r="DS2408" s="24"/>
      <c r="DT2408" s="24"/>
      <c r="DU2408" s="24"/>
    </row>
    <row r="2409" spans="1:125" s="8" customFormat="1" ht="84" x14ac:dyDescent="0.2">
      <c r="A2409" s="353">
        <v>41474</v>
      </c>
      <c r="B2409" s="352" t="s">
        <v>2848</v>
      </c>
      <c r="C2409" s="354" t="s">
        <v>1884</v>
      </c>
      <c r="D2409" s="354" t="s">
        <v>3088</v>
      </c>
      <c r="E2409" s="353" t="str">
        <f>VLOOKUP(B2409&amp;C2409,Divipola!$C$2:$F$1138,4,FALSE)</f>
        <v>73408</v>
      </c>
      <c r="F2409" s="87"/>
      <c r="G2409" s="87"/>
      <c r="H2409" s="87"/>
      <c r="I2409" s="87"/>
      <c r="J2409" s="87"/>
      <c r="K2409" s="87"/>
      <c r="L2409" s="87"/>
      <c r="M2409" s="87"/>
      <c r="N2409" s="87"/>
      <c r="O2409" s="87"/>
      <c r="P2409" s="87"/>
      <c r="Q2409" s="87"/>
      <c r="R2409" s="87"/>
      <c r="S2409" s="87"/>
      <c r="T2409" s="87"/>
      <c r="U2409" s="88"/>
      <c r="V2409" s="89"/>
      <c r="W2409" s="96">
        <v>0</v>
      </c>
      <c r="X2409" s="71">
        <f>CU2409</f>
        <v>0</v>
      </c>
      <c r="Y2409" s="71">
        <f>CY2409</f>
        <v>0</v>
      </c>
      <c r="Z2409" s="71">
        <f>DA2409+DC2409+DE2409</f>
        <v>0</v>
      </c>
      <c r="AA2409" s="71">
        <f>CW2409</f>
        <v>0</v>
      </c>
      <c r="AB2409" s="71"/>
      <c r="AC2409" s="71">
        <v>0</v>
      </c>
      <c r="AD2409" s="71">
        <f>W2409+X2409+Y2409+Z2409+AA2409+AB2409+AC2409</f>
        <v>0</v>
      </c>
      <c r="AE2409" s="72"/>
      <c r="AF2409" s="5"/>
      <c r="AG2409" s="6"/>
      <c r="AH2409" s="27"/>
      <c r="AI2409" s="44"/>
      <c r="AJ2409" s="26"/>
      <c r="AK2409" s="5"/>
      <c r="AL2409" s="82" t="s">
        <v>5283</v>
      </c>
      <c r="AM2409" s="76"/>
      <c r="AN2409" s="76"/>
      <c r="AO2409" s="76"/>
      <c r="AP2409" s="76"/>
      <c r="AQ2409" s="76"/>
      <c r="AR2409" s="76"/>
      <c r="AS2409" s="76"/>
      <c r="AT2409" s="76"/>
      <c r="AU2409" s="76"/>
      <c r="AV2409" s="76"/>
      <c r="AW2409" s="76"/>
      <c r="AX2409" s="76">
        <f>+AW2409*600000</f>
        <v>0</v>
      </c>
      <c r="AY2409" s="76"/>
      <c r="AZ2409" s="76">
        <f>+AY2409*70000</f>
        <v>0</v>
      </c>
      <c r="BA2409" s="76"/>
      <c r="BB2409" s="76"/>
      <c r="BC2409" s="76"/>
      <c r="BD2409" s="76">
        <f>+BC2409*30000</f>
        <v>0</v>
      </c>
      <c r="BE2409" s="76"/>
      <c r="BF2409" s="76"/>
      <c r="BG2409" s="76"/>
      <c r="BH2409" s="76"/>
      <c r="BI2409" s="76"/>
      <c r="BJ2409" s="76"/>
      <c r="BK2409" s="76"/>
      <c r="BL2409" s="76">
        <f>+BK2409*31500</f>
        <v>0</v>
      </c>
      <c r="BM2409" s="76"/>
      <c r="BN2409" s="76"/>
      <c r="BO2409" s="76"/>
      <c r="BP2409" s="76"/>
      <c r="BQ2409" s="76"/>
      <c r="BR2409" s="76"/>
      <c r="BS2409" s="76"/>
      <c r="BT2409" s="76"/>
      <c r="BU2409" s="76"/>
      <c r="BV2409" s="76"/>
      <c r="BW2409" s="76"/>
      <c r="BX2409" s="76"/>
      <c r="BY2409" s="76"/>
      <c r="BZ2409" s="76"/>
      <c r="CA2409" s="76"/>
      <c r="CB2409" s="76"/>
      <c r="CC2409" s="76"/>
      <c r="CD2409" s="76"/>
      <c r="CE2409" s="76"/>
      <c r="CF2409" s="76">
        <f>+CE2409*28000</f>
        <v>0</v>
      </c>
      <c r="CG2409" s="76"/>
      <c r="CH2409" s="76">
        <f>+CG2409*22500</f>
        <v>0</v>
      </c>
      <c r="CI2409" s="76"/>
      <c r="CJ2409" s="76">
        <f>+CI2409*26000</f>
        <v>0</v>
      </c>
      <c r="CK2409" s="76"/>
      <c r="CL2409" s="76"/>
      <c r="CM2409" s="76"/>
      <c r="CN2409" s="76">
        <f>+CM2409*22000</f>
        <v>0</v>
      </c>
      <c r="CO2409" s="76"/>
      <c r="CP2409" s="76">
        <f>+CO2409*46000</f>
        <v>0</v>
      </c>
      <c r="CQ2409" s="76"/>
      <c r="CR2409" s="76">
        <f>+CQ2409*49000</f>
        <v>0</v>
      </c>
      <c r="CS2409" s="76"/>
      <c r="CT2409" s="76"/>
      <c r="CU2409" s="56">
        <f>AN2409+AP2409+AR2409+AT2409+AV2409+AX2409+AZ2409+BB2409+BD2409+BF2409+BH2409+BJ2409+BL2409+BN2409+BP2409+BR2409+BT2409+BV2409+BX2409+BZ2409+CB2409+CD2409+CF2409+CH2409+CJ2409+CL2409+CN2409+CP2409+CR2409+CT2409</f>
        <v>0</v>
      </c>
      <c r="CV2409" s="76"/>
      <c r="CW2409" s="76">
        <f>+CV2409*1100</f>
        <v>0</v>
      </c>
      <c r="CX2409" s="76"/>
      <c r="CY2409" s="76">
        <f>+CX2409*106250</f>
        <v>0</v>
      </c>
      <c r="CZ2409" s="76"/>
      <c r="DA2409" s="76">
        <f>+CZ2409*34500</f>
        <v>0</v>
      </c>
      <c r="DB2409" s="76"/>
      <c r="DC2409" s="76">
        <f>+DB2409*25000</f>
        <v>0</v>
      </c>
      <c r="DD2409" s="219"/>
      <c r="DE2409" s="219"/>
      <c r="DF2409" s="166"/>
      <c r="DG2409" s="116"/>
      <c r="DH2409" s="117"/>
      <c r="DI2409" s="24"/>
      <c r="DJ2409" s="24"/>
      <c r="DK2409" s="24"/>
      <c r="DL2409" s="24"/>
      <c r="DM2409" s="24"/>
      <c r="DN2409" s="24"/>
      <c r="DO2409" s="24"/>
      <c r="DP2409" s="24"/>
      <c r="DQ2409" s="24"/>
      <c r="DR2409" s="24"/>
      <c r="DS2409" s="24"/>
      <c r="DT2409" s="24"/>
      <c r="DU2409" s="24"/>
    </row>
    <row r="2410" spans="1:125" s="8" customFormat="1" ht="84" x14ac:dyDescent="0.2">
      <c r="A2410" s="77">
        <v>41475</v>
      </c>
      <c r="B2410" s="352" t="s">
        <v>2087</v>
      </c>
      <c r="C2410" s="354" t="s">
        <v>1352</v>
      </c>
      <c r="D2410" s="354" t="s">
        <v>3051</v>
      </c>
      <c r="E2410" s="353" t="str">
        <f>VLOOKUP(B2410&amp;C2410,Divipola!$C$2:$F$1138,4,FALSE)</f>
        <v>18785</v>
      </c>
      <c r="F2410" s="87"/>
      <c r="G2410" s="87"/>
      <c r="H2410" s="87"/>
      <c r="I2410" s="87">
        <f>2100+160</f>
        <v>2260</v>
      </c>
      <c r="J2410" s="87">
        <f>420+32</f>
        <v>452</v>
      </c>
      <c r="K2410" s="87"/>
      <c r="L2410" s="87"/>
      <c r="M2410" s="87"/>
      <c r="N2410" s="87"/>
      <c r="O2410" s="87">
        <v>5</v>
      </c>
      <c r="P2410" s="87"/>
      <c r="Q2410" s="87"/>
      <c r="R2410" s="87"/>
      <c r="S2410" s="87">
        <v>7</v>
      </c>
      <c r="T2410" s="87"/>
      <c r="U2410" s="88">
        <f>82+23+120+42</f>
        <v>267</v>
      </c>
      <c r="V2410" s="89"/>
      <c r="W2410" s="96">
        <v>0</v>
      </c>
      <c r="X2410" s="71">
        <f>CU2410</f>
        <v>106218842.88</v>
      </c>
      <c r="Y2410" s="71">
        <f>CY2410</f>
        <v>47546115.039999999</v>
      </c>
      <c r="Z2410" s="71">
        <f>DA2410+DC2410+DE2410</f>
        <v>56325308</v>
      </c>
      <c r="AA2410" s="71">
        <f>CW2410</f>
        <v>0</v>
      </c>
      <c r="AB2410" s="71"/>
      <c r="AC2410" s="71">
        <v>0</v>
      </c>
      <c r="AD2410" s="71">
        <f>W2410+X2410+Y2410+Z2410+AA2410+AB2410+AC2410</f>
        <v>210090265.91999999</v>
      </c>
      <c r="AE2410" s="72"/>
      <c r="AF2410" s="5"/>
      <c r="AG2410" s="6"/>
      <c r="AH2410" s="27"/>
      <c r="AI2410" s="44"/>
      <c r="AJ2410" s="26"/>
      <c r="AK2410" s="5"/>
      <c r="AL2410" s="82" t="s">
        <v>5289</v>
      </c>
      <c r="AM2410" s="76"/>
      <c r="AN2410" s="76"/>
      <c r="AO2410" s="76"/>
      <c r="AP2410" s="76"/>
      <c r="AQ2410" s="76"/>
      <c r="AR2410" s="76"/>
      <c r="AS2410" s="76"/>
      <c r="AT2410" s="76"/>
      <c r="AU2410" s="76"/>
      <c r="AV2410" s="76"/>
      <c r="AW2410" s="76"/>
      <c r="AX2410" s="76">
        <f>+AW2410*600000</f>
        <v>0</v>
      </c>
      <c r="AY2410" s="86">
        <v>904</v>
      </c>
      <c r="AZ2410" s="86">
        <f>+AY2410*69999.04</f>
        <v>63279132.159999996</v>
      </c>
      <c r="BA2410" s="76"/>
      <c r="BB2410" s="76"/>
      <c r="BC2410" s="76"/>
      <c r="BD2410" s="76">
        <f>+BC2410*30000</f>
        <v>0</v>
      </c>
      <c r="BE2410" s="76"/>
      <c r="BF2410" s="76"/>
      <c r="BG2410" s="76"/>
      <c r="BH2410" s="76"/>
      <c r="BI2410" s="76"/>
      <c r="BJ2410" s="76"/>
      <c r="BK2410" s="76"/>
      <c r="BL2410" s="76">
        <f>+BK2410*31500</f>
        <v>0</v>
      </c>
      <c r="BM2410" s="76"/>
      <c r="BN2410" s="76"/>
      <c r="BO2410" s="76"/>
      <c r="BP2410" s="76"/>
      <c r="BQ2410" s="76"/>
      <c r="BR2410" s="76"/>
      <c r="BS2410" s="76"/>
      <c r="BT2410" s="76"/>
      <c r="BU2410" s="76"/>
      <c r="BV2410" s="76"/>
      <c r="BW2410" s="76"/>
      <c r="BX2410" s="76"/>
      <c r="BY2410" s="76"/>
      <c r="BZ2410" s="76"/>
      <c r="CA2410" s="76"/>
      <c r="CB2410" s="76"/>
      <c r="CC2410" s="76"/>
      <c r="CD2410" s="76"/>
      <c r="CE2410" s="76"/>
      <c r="CF2410" s="76">
        <f>+CE2410*28000</f>
        <v>0</v>
      </c>
      <c r="CG2410" s="76"/>
      <c r="CH2410" s="76">
        <f>+CG2410*22500</f>
        <v>0</v>
      </c>
      <c r="CI2410" s="76"/>
      <c r="CJ2410" s="76">
        <f>+CI2410*26000</f>
        <v>0</v>
      </c>
      <c r="CK2410" s="76"/>
      <c r="CL2410" s="76"/>
      <c r="CM2410" s="76"/>
      <c r="CN2410" s="76">
        <f>+CM2410*22000</f>
        <v>0</v>
      </c>
      <c r="CO2410" s="86">
        <v>452</v>
      </c>
      <c r="CP2410" s="86">
        <f>+CO2410*45999.8</f>
        <v>20791909.600000001</v>
      </c>
      <c r="CQ2410" s="86">
        <v>452</v>
      </c>
      <c r="CR2410" s="86">
        <f>+CQ2410*48999.56</f>
        <v>22147801.119999997</v>
      </c>
      <c r="CS2410" s="76"/>
      <c r="CT2410" s="76"/>
      <c r="CU2410" s="56">
        <f>AN2410+AP2410+AR2410+AT2410+AV2410+AX2410+AZ2410+BB2410+BD2410+BF2410+BH2410+BJ2410+BL2410+BN2410+BP2410+BR2410+BT2410+BV2410+BX2410+BZ2410+CB2410+CD2410+CF2410+CH2410+CJ2410+CL2410+CN2410+CP2410+CR2410+CT2410</f>
        <v>106218842.88</v>
      </c>
      <c r="CV2410" s="76"/>
      <c r="CW2410" s="76">
        <f>+CV2410*1100</f>
        <v>0</v>
      </c>
      <c r="CX2410" s="86">
        <v>452</v>
      </c>
      <c r="CY2410" s="86">
        <f>+CX2410*105190.52</f>
        <v>47546115.039999999</v>
      </c>
      <c r="CZ2410" s="86">
        <v>100</v>
      </c>
      <c r="DA2410" s="86">
        <f>+CZ2410*34499.56</f>
        <v>3449956</v>
      </c>
      <c r="DB2410" s="86">
        <v>1500</v>
      </c>
      <c r="DC2410" s="86">
        <f>+DB2410*31999.76+6000*199.52</f>
        <v>49196760</v>
      </c>
      <c r="DD2410" s="223" t="s">
        <v>5512</v>
      </c>
      <c r="DE2410" s="223">
        <f>1600*2299.12</f>
        <v>3678592</v>
      </c>
      <c r="DF2410" s="166"/>
      <c r="DG2410" s="134" t="s">
        <v>6036</v>
      </c>
      <c r="DH2410" s="155"/>
      <c r="DI2410" s="24"/>
      <c r="DJ2410" s="24"/>
      <c r="DK2410" s="24"/>
      <c r="DL2410" s="24"/>
      <c r="DM2410" s="24"/>
      <c r="DN2410" s="24"/>
      <c r="DO2410" s="24"/>
      <c r="DP2410" s="24"/>
      <c r="DQ2410" s="24"/>
      <c r="DR2410" s="24"/>
      <c r="DS2410" s="24"/>
      <c r="DT2410" s="24"/>
      <c r="DU2410" s="24"/>
    </row>
    <row r="2411" spans="1:125" s="8" customFormat="1" ht="36" x14ac:dyDescent="0.2">
      <c r="A2411" s="353">
        <v>41475</v>
      </c>
      <c r="B2411" s="60" t="s">
        <v>2855</v>
      </c>
      <c r="C2411" s="55" t="s">
        <v>2168</v>
      </c>
      <c r="D2411" s="55" t="s">
        <v>2859</v>
      </c>
      <c r="E2411" s="353" t="str">
        <f>VLOOKUP(B2411&amp;C2411,Divipola!$C$2:$F$1138,4,FALSE)</f>
        <v>20001</v>
      </c>
      <c r="F2411" s="87"/>
      <c r="G2411" s="87"/>
      <c r="H2411" s="87"/>
      <c r="I2411" s="87">
        <v>5</v>
      </c>
      <c r="J2411" s="87">
        <v>1</v>
      </c>
      <c r="K2411" s="87"/>
      <c r="L2411" s="87">
        <v>1</v>
      </c>
      <c r="M2411" s="87"/>
      <c r="N2411" s="87"/>
      <c r="O2411" s="87"/>
      <c r="P2411" s="87"/>
      <c r="Q2411" s="87"/>
      <c r="R2411" s="87"/>
      <c r="S2411" s="87"/>
      <c r="T2411" s="87"/>
      <c r="U2411" s="88"/>
      <c r="V2411" s="89"/>
      <c r="W2411" s="96">
        <v>0</v>
      </c>
      <c r="X2411" s="71">
        <f>CU2411</f>
        <v>0</v>
      </c>
      <c r="Y2411" s="71">
        <f>CY2411</f>
        <v>0</v>
      </c>
      <c r="Z2411" s="71">
        <f>DA2411+DC2411+DE2411</f>
        <v>0</v>
      </c>
      <c r="AA2411" s="71">
        <f>CW2411</f>
        <v>0</v>
      </c>
      <c r="AB2411" s="71"/>
      <c r="AC2411" s="71">
        <v>0</v>
      </c>
      <c r="AD2411" s="71">
        <f>W2411+X2411+Y2411+Z2411+AA2411+AB2411+AC2411</f>
        <v>0</v>
      </c>
      <c r="AE2411" s="72"/>
      <c r="AF2411" s="5"/>
      <c r="AG2411" s="6"/>
      <c r="AH2411" s="27"/>
      <c r="AI2411" s="44"/>
      <c r="AJ2411" s="26"/>
      <c r="AK2411" s="5"/>
      <c r="AL2411" s="82" t="s">
        <v>5284</v>
      </c>
      <c r="AM2411" s="76"/>
      <c r="AN2411" s="76"/>
      <c r="AO2411" s="76"/>
      <c r="AP2411" s="76"/>
      <c r="AQ2411" s="76"/>
      <c r="AR2411" s="76"/>
      <c r="AS2411" s="76"/>
      <c r="AT2411" s="76"/>
      <c r="AU2411" s="76"/>
      <c r="AV2411" s="76"/>
      <c r="AW2411" s="76"/>
      <c r="AX2411" s="76">
        <f>+AW2411*600000</f>
        <v>0</v>
      </c>
      <c r="AY2411" s="76"/>
      <c r="AZ2411" s="76">
        <f>+AY2411*70000</f>
        <v>0</v>
      </c>
      <c r="BA2411" s="76"/>
      <c r="BB2411" s="76"/>
      <c r="BC2411" s="76"/>
      <c r="BD2411" s="76">
        <f>+BC2411*30000</f>
        <v>0</v>
      </c>
      <c r="BE2411" s="76"/>
      <c r="BF2411" s="76"/>
      <c r="BG2411" s="76"/>
      <c r="BH2411" s="76"/>
      <c r="BI2411" s="76"/>
      <c r="BJ2411" s="76"/>
      <c r="BK2411" s="76"/>
      <c r="BL2411" s="76">
        <f>+BK2411*31500</f>
        <v>0</v>
      </c>
      <c r="BM2411" s="76"/>
      <c r="BN2411" s="76"/>
      <c r="BO2411" s="76"/>
      <c r="BP2411" s="76"/>
      <c r="BQ2411" s="76"/>
      <c r="BR2411" s="76"/>
      <c r="BS2411" s="76"/>
      <c r="BT2411" s="76"/>
      <c r="BU2411" s="76"/>
      <c r="BV2411" s="76"/>
      <c r="BW2411" s="76"/>
      <c r="BX2411" s="76"/>
      <c r="BY2411" s="76"/>
      <c r="BZ2411" s="76"/>
      <c r="CA2411" s="76"/>
      <c r="CB2411" s="76"/>
      <c r="CC2411" s="76"/>
      <c r="CD2411" s="76"/>
      <c r="CE2411" s="76"/>
      <c r="CF2411" s="76">
        <f>+CE2411*28000</f>
        <v>0</v>
      </c>
      <c r="CG2411" s="76"/>
      <c r="CH2411" s="76">
        <f>+CG2411*22500</f>
        <v>0</v>
      </c>
      <c r="CI2411" s="76"/>
      <c r="CJ2411" s="76">
        <f>+CI2411*26000</f>
        <v>0</v>
      </c>
      <c r="CK2411" s="76"/>
      <c r="CL2411" s="76"/>
      <c r="CM2411" s="76"/>
      <c r="CN2411" s="76">
        <f>+CM2411*22000</f>
        <v>0</v>
      </c>
      <c r="CO2411" s="76"/>
      <c r="CP2411" s="76">
        <f>+CO2411*46000</f>
        <v>0</v>
      </c>
      <c r="CQ2411" s="76"/>
      <c r="CR2411" s="76">
        <f>+CQ2411*49000</f>
        <v>0</v>
      </c>
      <c r="CS2411" s="76"/>
      <c r="CT2411" s="76"/>
      <c r="CU2411" s="56">
        <f>AN2411+AP2411+AR2411+AT2411+AV2411+AX2411+AZ2411+BB2411+BD2411+BF2411+BH2411+BJ2411+BL2411+BN2411+BP2411+BR2411+BT2411+BV2411+BX2411+BZ2411+CB2411+CD2411+CF2411+CH2411+CJ2411+CL2411+CN2411+CP2411+CR2411+CT2411</f>
        <v>0</v>
      </c>
      <c r="CV2411" s="76"/>
      <c r="CW2411" s="76">
        <f>+CV2411*1100</f>
        <v>0</v>
      </c>
      <c r="CX2411" s="76"/>
      <c r="CY2411" s="76">
        <f>+CX2411*106250</f>
        <v>0</v>
      </c>
      <c r="CZ2411" s="76"/>
      <c r="DA2411" s="76">
        <f>+CZ2411*34500</f>
        <v>0</v>
      </c>
      <c r="DB2411" s="76"/>
      <c r="DC2411" s="76">
        <f>+DB2411*25000</f>
        <v>0</v>
      </c>
      <c r="DD2411" s="219"/>
      <c r="DE2411" s="219"/>
      <c r="DF2411" s="166"/>
      <c r="DG2411" s="116"/>
      <c r="DH2411" s="117"/>
      <c r="DI2411" s="24"/>
      <c r="DJ2411" s="24"/>
      <c r="DK2411" s="24"/>
      <c r="DL2411" s="24"/>
      <c r="DM2411" s="24"/>
      <c r="DN2411" s="24"/>
      <c r="DO2411" s="24"/>
      <c r="DP2411" s="24"/>
      <c r="DQ2411" s="24"/>
      <c r="DR2411" s="24"/>
      <c r="DS2411" s="24"/>
      <c r="DT2411" s="24"/>
      <c r="DU2411" s="24"/>
    </row>
    <row r="2412" spans="1:125" s="8" customFormat="1" ht="60" x14ac:dyDescent="0.2">
      <c r="A2412" s="226">
        <v>41475</v>
      </c>
      <c r="B2412" s="225" t="s">
        <v>3136</v>
      </c>
      <c r="C2412" s="227" t="s">
        <v>389</v>
      </c>
      <c r="D2412" s="354" t="s">
        <v>2846</v>
      </c>
      <c r="E2412" s="353" t="str">
        <f>VLOOKUP(B2412&amp;C2412,Divipola!$C$2:$F$1138,4,FALSE)</f>
        <v>44090</v>
      </c>
      <c r="F2412" s="87"/>
      <c r="G2412" s="87"/>
      <c r="H2412" s="87"/>
      <c r="I2412" s="87"/>
      <c r="J2412" s="87"/>
      <c r="K2412" s="87"/>
      <c r="L2412" s="87"/>
      <c r="M2412" s="87"/>
      <c r="N2412" s="87"/>
      <c r="O2412" s="87"/>
      <c r="P2412" s="87"/>
      <c r="Q2412" s="87"/>
      <c r="R2412" s="87"/>
      <c r="S2412" s="87"/>
      <c r="T2412" s="87"/>
      <c r="U2412" s="88">
        <v>1</v>
      </c>
      <c r="V2412" s="89"/>
      <c r="W2412" s="96">
        <v>0</v>
      </c>
      <c r="X2412" s="71">
        <f>CU2412</f>
        <v>0</v>
      </c>
      <c r="Y2412" s="71">
        <f>CY2412</f>
        <v>0</v>
      </c>
      <c r="Z2412" s="71">
        <f>DA2412+DC2412+DE2412</f>
        <v>0</v>
      </c>
      <c r="AA2412" s="71">
        <f>CW2412</f>
        <v>0</v>
      </c>
      <c r="AB2412" s="71"/>
      <c r="AC2412" s="71">
        <v>0</v>
      </c>
      <c r="AD2412" s="71">
        <f>W2412+X2412+Y2412+Z2412+AA2412+AB2412+AC2412</f>
        <v>0</v>
      </c>
      <c r="AE2412" s="72"/>
      <c r="AF2412" s="5"/>
      <c r="AG2412" s="6"/>
      <c r="AH2412" s="27"/>
      <c r="AI2412" s="44"/>
      <c r="AJ2412" s="26"/>
      <c r="AK2412" s="5"/>
      <c r="AL2412" s="82" t="s">
        <v>5285</v>
      </c>
      <c r="AM2412" s="76"/>
      <c r="AN2412" s="76"/>
      <c r="AO2412" s="76"/>
      <c r="AP2412" s="76"/>
      <c r="AQ2412" s="76"/>
      <c r="AR2412" s="76"/>
      <c r="AS2412" s="76"/>
      <c r="AT2412" s="76"/>
      <c r="AU2412" s="76"/>
      <c r="AV2412" s="76"/>
      <c r="AW2412" s="76"/>
      <c r="AX2412" s="76">
        <f>+AW2412*600000</f>
        <v>0</v>
      </c>
      <c r="AY2412" s="76"/>
      <c r="AZ2412" s="76">
        <f>+AY2412*70000</f>
        <v>0</v>
      </c>
      <c r="BA2412" s="76"/>
      <c r="BB2412" s="76"/>
      <c r="BC2412" s="76"/>
      <c r="BD2412" s="76">
        <f>+BC2412*30000</f>
        <v>0</v>
      </c>
      <c r="BE2412" s="76"/>
      <c r="BF2412" s="76"/>
      <c r="BG2412" s="76"/>
      <c r="BH2412" s="76"/>
      <c r="BI2412" s="76"/>
      <c r="BJ2412" s="76"/>
      <c r="BK2412" s="76"/>
      <c r="BL2412" s="76">
        <f>+BK2412*31500</f>
        <v>0</v>
      </c>
      <c r="BM2412" s="76"/>
      <c r="BN2412" s="76"/>
      <c r="BO2412" s="76"/>
      <c r="BP2412" s="76"/>
      <c r="BQ2412" s="76"/>
      <c r="BR2412" s="76"/>
      <c r="BS2412" s="76"/>
      <c r="BT2412" s="76"/>
      <c r="BU2412" s="76"/>
      <c r="BV2412" s="76"/>
      <c r="BW2412" s="76"/>
      <c r="BX2412" s="76"/>
      <c r="BY2412" s="76"/>
      <c r="BZ2412" s="76"/>
      <c r="CA2412" s="76"/>
      <c r="CB2412" s="76"/>
      <c r="CC2412" s="76"/>
      <c r="CD2412" s="76"/>
      <c r="CE2412" s="76"/>
      <c r="CF2412" s="76">
        <f>+CE2412*28000</f>
        <v>0</v>
      </c>
      <c r="CG2412" s="76"/>
      <c r="CH2412" s="76">
        <f>+CG2412*22500</f>
        <v>0</v>
      </c>
      <c r="CI2412" s="76"/>
      <c r="CJ2412" s="76">
        <f>+CI2412*26000</f>
        <v>0</v>
      </c>
      <c r="CK2412" s="76"/>
      <c r="CL2412" s="76"/>
      <c r="CM2412" s="76"/>
      <c r="CN2412" s="76">
        <f>+CM2412*22000</f>
        <v>0</v>
      </c>
      <c r="CO2412" s="76"/>
      <c r="CP2412" s="76">
        <f>+CO2412*46000</f>
        <v>0</v>
      </c>
      <c r="CQ2412" s="76"/>
      <c r="CR2412" s="76">
        <f>+CQ2412*49000</f>
        <v>0</v>
      </c>
      <c r="CS2412" s="76"/>
      <c r="CT2412" s="76"/>
      <c r="CU2412" s="56">
        <f>AN2412+AP2412+AR2412+AT2412+AV2412+AX2412+AZ2412+BB2412+BD2412+BF2412+BH2412+BJ2412+BL2412+BN2412+BP2412+BR2412+BT2412+BV2412+BX2412+BZ2412+CB2412+CD2412+CF2412+CH2412+CJ2412+CL2412+CN2412+CP2412+CR2412+CT2412</f>
        <v>0</v>
      </c>
      <c r="CV2412" s="76"/>
      <c r="CW2412" s="76">
        <f>+CV2412*1100</f>
        <v>0</v>
      </c>
      <c r="CX2412" s="76"/>
      <c r="CY2412" s="76">
        <f>+CX2412*106250</f>
        <v>0</v>
      </c>
      <c r="CZ2412" s="76"/>
      <c r="DA2412" s="76">
        <f>+CZ2412*34500</f>
        <v>0</v>
      </c>
      <c r="DB2412" s="76"/>
      <c r="DC2412" s="76">
        <f>+DB2412*25000</f>
        <v>0</v>
      </c>
      <c r="DD2412" s="219"/>
      <c r="DE2412" s="219"/>
      <c r="DF2412" s="166"/>
      <c r="DG2412" s="116"/>
      <c r="DH2412" s="117"/>
      <c r="DI2412" s="24"/>
      <c r="DJ2412" s="24"/>
      <c r="DK2412" s="24"/>
      <c r="DL2412" s="24"/>
      <c r="DM2412" s="24"/>
      <c r="DN2412" s="24"/>
      <c r="DO2412" s="24"/>
      <c r="DP2412" s="24"/>
      <c r="DQ2412" s="24"/>
      <c r="DR2412" s="24"/>
      <c r="DS2412" s="24"/>
      <c r="DT2412" s="24"/>
      <c r="DU2412" s="24"/>
    </row>
    <row r="2413" spans="1:125" s="8" customFormat="1" ht="96" x14ac:dyDescent="0.2">
      <c r="A2413" s="353">
        <v>41476</v>
      </c>
      <c r="B2413" s="225" t="s">
        <v>2894</v>
      </c>
      <c r="C2413" s="227" t="s">
        <v>2032</v>
      </c>
      <c r="D2413" s="354" t="s">
        <v>2849</v>
      </c>
      <c r="E2413" s="353" t="str">
        <f>VLOOKUP(B2413&amp;C2413,Divipola!$C$2:$F$1138,4,FALSE)</f>
        <v>05001</v>
      </c>
      <c r="F2413" s="87">
        <v>2</v>
      </c>
      <c r="G2413" s="87">
        <v>1</v>
      </c>
      <c r="H2413" s="87"/>
      <c r="I2413" s="87"/>
      <c r="J2413" s="87"/>
      <c r="K2413" s="87"/>
      <c r="L2413" s="87"/>
      <c r="M2413" s="87"/>
      <c r="N2413" s="87"/>
      <c r="O2413" s="87"/>
      <c r="P2413" s="87"/>
      <c r="Q2413" s="87"/>
      <c r="R2413" s="87"/>
      <c r="S2413" s="87"/>
      <c r="T2413" s="87"/>
      <c r="U2413" s="88"/>
      <c r="V2413" s="89"/>
      <c r="W2413" s="96">
        <v>0</v>
      </c>
      <c r="X2413" s="71">
        <f>CU2413</f>
        <v>0</v>
      </c>
      <c r="Y2413" s="71">
        <f>CY2413</f>
        <v>0</v>
      </c>
      <c r="Z2413" s="71">
        <f>DA2413+DC2413+DE2413</f>
        <v>0</v>
      </c>
      <c r="AA2413" s="71">
        <f>CW2413</f>
        <v>0</v>
      </c>
      <c r="AB2413" s="71"/>
      <c r="AC2413" s="71">
        <v>0</v>
      </c>
      <c r="AD2413" s="71">
        <f>W2413+X2413+Y2413+Z2413+AA2413+AB2413+AC2413</f>
        <v>0</v>
      </c>
      <c r="AE2413" s="72">
        <v>0</v>
      </c>
      <c r="AF2413" s="5"/>
      <c r="AG2413" s="6"/>
      <c r="AH2413" s="27"/>
      <c r="AI2413" s="44"/>
      <c r="AJ2413" s="26"/>
      <c r="AK2413" s="5"/>
      <c r="AL2413" s="82" t="s">
        <v>5293</v>
      </c>
      <c r="AM2413" s="76"/>
      <c r="AN2413" s="76"/>
      <c r="AO2413" s="76"/>
      <c r="AP2413" s="76"/>
      <c r="AQ2413" s="76"/>
      <c r="AR2413" s="76"/>
      <c r="AS2413" s="76"/>
      <c r="AT2413" s="76"/>
      <c r="AU2413" s="76"/>
      <c r="AV2413" s="76"/>
      <c r="AW2413" s="76"/>
      <c r="AX2413" s="76">
        <f>+AW2413*600000</f>
        <v>0</v>
      </c>
      <c r="AY2413" s="76"/>
      <c r="AZ2413" s="76">
        <f>+AY2413*70000</f>
        <v>0</v>
      </c>
      <c r="BA2413" s="76"/>
      <c r="BB2413" s="76"/>
      <c r="BC2413" s="76"/>
      <c r="BD2413" s="76">
        <f>+BC2413*30000</f>
        <v>0</v>
      </c>
      <c r="BE2413" s="76"/>
      <c r="BF2413" s="76"/>
      <c r="BG2413" s="76"/>
      <c r="BH2413" s="76"/>
      <c r="BI2413" s="76"/>
      <c r="BJ2413" s="76"/>
      <c r="BK2413" s="76"/>
      <c r="BL2413" s="76">
        <f>+BK2413*31500</f>
        <v>0</v>
      </c>
      <c r="BM2413" s="76"/>
      <c r="BN2413" s="76"/>
      <c r="BO2413" s="76"/>
      <c r="BP2413" s="76"/>
      <c r="BQ2413" s="76"/>
      <c r="BR2413" s="76"/>
      <c r="BS2413" s="76"/>
      <c r="BT2413" s="76"/>
      <c r="BU2413" s="76"/>
      <c r="BV2413" s="76"/>
      <c r="BW2413" s="76"/>
      <c r="BX2413" s="76"/>
      <c r="BY2413" s="76"/>
      <c r="BZ2413" s="76"/>
      <c r="CA2413" s="76"/>
      <c r="CB2413" s="76"/>
      <c r="CC2413" s="76"/>
      <c r="CD2413" s="76"/>
      <c r="CE2413" s="76"/>
      <c r="CF2413" s="76">
        <f>+CE2413*28000</f>
        <v>0</v>
      </c>
      <c r="CG2413" s="76"/>
      <c r="CH2413" s="76">
        <f>+CG2413*22500</f>
        <v>0</v>
      </c>
      <c r="CI2413" s="76"/>
      <c r="CJ2413" s="76">
        <f>+CI2413*26000</f>
        <v>0</v>
      </c>
      <c r="CK2413" s="76"/>
      <c r="CL2413" s="76"/>
      <c r="CM2413" s="76"/>
      <c r="CN2413" s="76">
        <f>+CM2413*22000</f>
        <v>0</v>
      </c>
      <c r="CO2413" s="76"/>
      <c r="CP2413" s="76">
        <f>+CO2413*46000</f>
        <v>0</v>
      </c>
      <c r="CQ2413" s="76"/>
      <c r="CR2413" s="76">
        <f>+CQ2413*49000</f>
        <v>0</v>
      </c>
      <c r="CS2413" s="76"/>
      <c r="CT2413" s="76"/>
      <c r="CU2413" s="56">
        <f>AN2413+AP2413+AR2413+AT2413+AV2413+AX2413+AZ2413+BB2413+BD2413+BF2413+BH2413+BJ2413+BL2413+BN2413+BP2413+BR2413+BT2413+BV2413+BX2413+BZ2413+CB2413+CD2413+CF2413+CH2413+CJ2413+CL2413+CN2413+CP2413+CR2413+CT2413</f>
        <v>0</v>
      </c>
      <c r="CV2413" s="76"/>
      <c r="CW2413" s="76">
        <f>+CV2413*1100</f>
        <v>0</v>
      </c>
      <c r="CX2413" s="76"/>
      <c r="CY2413" s="76">
        <f>+CX2413*106250</f>
        <v>0</v>
      </c>
      <c r="CZ2413" s="76"/>
      <c r="DA2413" s="76">
        <f>+CZ2413*34500</f>
        <v>0</v>
      </c>
      <c r="DB2413" s="76"/>
      <c r="DC2413" s="76">
        <f>+DB2413*25000</f>
        <v>0</v>
      </c>
      <c r="DD2413" s="219"/>
      <c r="DE2413" s="219"/>
      <c r="DF2413" s="166"/>
      <c r="DG2413" s="116"/>
      <c r="DH2413" s="117"/>
      <c r="DI2413" s="24"/>
      <c r="DJ2413" s="24"/>
      <c r="DK2413" s="24"/>
      <c r="DL2413" s="24"/>
      <c r="DM2413" s="24"/>
      <c r="DN2413" s="24"/>
      <c r="DO2413" s="24"/>
      <c r="DP2413" s="24"/>
      <c r="DQ2413" s="24"/>
      <c r="DR2413" s="24"/>
      <c r="DS2413" s="24"/>
      <c r="DT2413" s="24"/>
      <c r="DU2413" s="24"/>
    </row>
    <row r="2414" spans="1:125" s="8" customFormat="1" ht="84" x14ac:dyDescent="0.2">
      <c r="A2414" s="77">
        <v>41476</v>
      </c>
      <c r="B2414" s="352" t="s">
        <v>2036</v>
      </c>
      <c r="C2414" s="354" t="s">
        <v>2036</v>
      </c>
      <c r="D2414" s="354" t="s">
        <v>3051</v>
      </c>
      <c r="E2414" s="353" t="str">
        <f>VLOOKUP(B2414&amp;C2414,Divipola!$C$2:$F$1138,4,FALSE)</f>
        <v>81001</v>
      </c>
      <c r="F2414" s="87"/>
      <c r="G2414" s="87"/>
      <c r="H2414" s="87"/>
      <c r="I2414" s="87">
        <v>735</v>
      </c>
      <c r="J2414" s="87">
        <v>147</v>
      </c>
      <c r="K2414" s="87"/>
      <c r="L2414" s="87"/>
      <c r="M2414" s="87"/>
      <c r="N2414" s="87"/>
      <c r="O2414" s="87"/>
      <c r="P2414" s="87"/>
      <c r="Q2414" s="87"/>
      <c r="R2414" s="87"/>
      <c r="S2414" s="87"/>
      <c r="T2414" s="87"/>
      <c r="U2414" s="88"/>
      <c r="V2414" s="89"/>
      <c r="W2414" s="96">
        <v>0</v>
      </c>
      <c r="X2414" s="71">
        <f>CU2414</f>
        <v>0</v>
      </c>
      <c r="Y2414" s="71">
        <f>CY2414</f>
        <v>0</v>
      </c>
      <c r="Z2414" s="71">
        <f>DA2414+DC2414+DE2414</f>
        <v>0</v>
      </c>
      <c r="AA2414" s="71">
        <f>CW2414</f>
        <v>0</v>
      </c>
      <c r="AB2414" s="71"/>
      <c r="AC2414" s="71">
        <v>0</v>
      </c>
      <c r="AD2414" s="71">
        <f>W2414+X2414+Y2414+Z2414+AA2414+AB2414+AC2414</f>
        <v>0</v>
      </c>
      <c r="AE2414" s="72">
        <v>0</v>
      </c>
      <c r="AF2414" s="5"/>
      <c r="AG2414" s="6"/>
      <c r="AH2414" s="27"/>
      <c r="AI2414" s="44"/>
      <c r="AJ2414" s="26"/>
      <c r="AK2414" s="5"/>
      <c r="AL2414" s="82" t="s">
        <v>5300</v>
      </c>
      <c r="AM2414" s="76"/>
      <c r="AN2414" s="76"/>
      <c r="AO2414" s="76"/>
      <c r="AP2414" s="76"/>
      <c r="AQ2414" s="76"/>
      <c r="AR2414" s="76"/>
      <c r="AS2414" s="76"/>
      <c r="AT2414" s="76"/>
      <c r="AU2414" s="76"/>
      <c r="AV2414" s="76"/>
      <c r="AW2414" s="76"/>
      <c r="AX2414" s="76">
        <f>+AW2414*600000</f>
        <v>0</v>
      </c>
      <c r="AY2414" s="76"/>
      <c r="AZ2414" s="76">
        <f>+AY2414*70000</f>
        <v>0</v>
      </c>
      <c r="BA2414" s="76"/>
      <c r="BB2414" s="76"/>
      <c r="BC2414" s="76"/>
      <c r="BD2414" s="76">
        <f>+BC2414*30000</f>
        <v>0</v>
      </c>
      <c r="BE2414" s="76"/>
      <c r="BF2414" s="76"/>
      <c r="BG2414" s="76"/>
      <c r="BH2414" s="76"/>
      <c r="BI2414" s="76"/>
      <c r="BJ2414" s="76"/>
      <c r="BK2414" s="76"/>
      <c r="BL2414" s="76">
        <f>+BK2414*31500</f>
        <v>0</v>
      </c>
      <c r="BM2414" s="76"/>
      <c r="BN2414" s="76"/>
      <c r="BO2414" s="76"/>
      <c r="BP2414" s="76"/>
      <c r="BQ2414" s="76"/>
      <c r="BR2414" s="76"/>
      <c r="BS2414" s="76"/>
      <c r="BT2414" s="76"/>
      <c r="BU2414" s="76"/>
      <c r="BV2414" s="76"/>
      <c r="BW2414" s="76"/>
      <c r="BX2414" s="76"/>
      <c r="BY2414" s="76"/>
      <c r="BZ2414" s="76"/>
      <c r="CA2414" s="76"/>
      <c r="CB2414" s="76"/>
      <c r="CC2414" s="76"/>
      <c r="CD2414" s="76"/>
      <c r="CE2414" s="76"/>
      <c r="CF2414" s="76">
        <f>+CE2414*28000</f>
        <v>0</v>
      </c>
      <c r="CG2414" s="76"/>
      <c r="CH2414" s="76">
        <f>+CG2414*22500</f>
        <v>0</v>
      </c>
      <c r="CI2414" s="76"/>
      <c r="CJ2414" s="76">
        <f>+CI2414*26000</f>
        <v>0</v>
      </c>
      <c r="CK2414" s="76"/>
      <c r="CL2414" s="76"/>
      <c r="CM2414" s="76"/>
      <c r="CN2414" s="76">
        <f>+CM2414*22000</f>
        <v>0</v>
      </c>
      <c r="CO2414" s="76"/>
      <c r="CP2414" s="76">
        <f>+CO2414*46000</f>
        <v>0</v>
      </c>
      <c r="CQ2414" s="76"/>
      <c r="CR2414" s="76">
        <f>+CQ2414*49000</f>
        <v>0</v>
      </c>
      <c r="CS2414" s="76"/>
      <c r="CT2414" s="76"/>
      <c r="CU2414" s="56">
        <f>AN2414+AP2414+AR2414+AT2414+AV2414+AX2414+AZ2414+BB2414+BD2414+BF2414+BH2414+BJ2414+BL2414+BN2414+BP2414+BR2414+BT2414+BV2414+BX2414+BZ2414+CB2414+CD2414+CF2414+CH2414+CJ2414+CL2414+CN2414+CP2414+CR2414+CT2414</f>
        <v>0</v>
      </c>
      <c r="CV2414" s="76"/>
      <c r="CW2414" s="76">
        <f>+CV2414*1100</f>
        <v>0</v>
      </c>
      <c r="CX2414" s="76"/>
      <c r="CY2414" s="76">
        <f>+CX2414*106250</f>
        <v>0</v>
      </c>
      <c r="CZ2414" s="76"/>
      <c r="DA2414" s="76">
        <f>+CZ2414*34500</f>
        <v>0</v>
      </c>
      <c r="DB2414" s="76"/>
      <c r="DC2414" s="76">
        <f>+DB2414*25000</f>
        <v>0</v>
      </c>
      <c r="DD2414" s="219"/>
      <c r="DE2414" s="219"/>
      <c r="DF2414" s="166"/>
      <c r="DG2414" s="116"/>
      <c r="DH2414" s="117"/>
      <c r="DI2414" s="24"/>
      <c r="DJ2414" s="24"/>
      <c r="DK2414" s="24"/>
      <c r="DL2414" s="24"/>
      <c r="DM2414" s="24"/>
      <c r="DN2414" s="24"/>
      <c r="DO2414" s="24"/>
      <c r="DP2414" s="24"/>
      <c r="DQ2414" s="24"/>
      <c r="DR2414" s="24"/>
      <c r="DS2414" s="24"/>
      <c r="DT2414" s="24"/>
      <c r="DU2414" s="24"/>
    </row>
    <row r="2415" spans="1:125" s="8" customFormat="1" ht="48" x14ac:dyDescent="0.2">
      <c r="A2415" s="353">
        <v>41476</v>
      </c>
      <c r="B2415" s="352" t="s">
        <v>2700</v>
      </c>
      <c r="C2415" s="354" t="s">
        <v>543</v>
      </c>
      <c r="D2415" s="354" t="s">
        <v>2859</v>
      </c>
      <c r="E2415" s="353" t="str">
        <f>VLOOKUP(B2415&amp;C2415,Divipola!$C$2:$F$1138,4,FALSE)</f>
        <v>15362</v>
      </c>
      <c r="F2415" s="87"/>
      <c r="G2415" s="87"/>
      <c r="H2415" s="87"/>
      <c r="I2415" s="87"/>
      <c r="J2415" s="87"/>
      <c r="K2415" s="87"/>
      <c r="L2415" s="87"/>
      <c r="M2415" s="87"/>
      <c r="N2415" s="87"/>
      <c r="O2415" s="87"/>
      <c r="P2415" s="87"/>
      <c r="Q2415" s="87"/>
      <c r="R2415" s="87"/>
      <c r="S2415" s="87"/>
      <c r="T2415" s="87">
        <v>1</v>
      </c>
      <c r="U2415" s="88"/>
      <c r="V2415" s="89"/>
      <c r="W2415" s="96">
        <v>0</v>
      </c>
      <c r="X2415" s="71">
        <f>CU2415</f>
        <v>0</v>
      </c>
      <c r="Y2415" s="71">
        <f>CY2415</f>
        <v>0</v>
      </c>
      <c r="Z2415" s="71">
        <f>DA2415+DC2415+DE2415</f>
        <v>0</v>
      </c>
      <c r="AA2415" s="71">
        <f>CW2415</f>
        <v>0</v>
      </c>
      <c r="AB2415" s="71"/>
      <c r="AC2415" s="71">
        <v>0</v>
      </c>
      <c r="AD2415" s="71">
        <f>W2415+X2415+Y2415+Z2415+AA2415+AB2415+AC2415</f>
        <v>0</v>
      </c>
      <c r="AE2415" s="72">
        <v>0</v>
      </c>
      <c r="AF2415" s="5"/>
      <c r="AG2415" s="6"/>
      <c r="AH2415" s="27"/>
      <c r="AI2415" s="44"/>
      <c r="AJ2415" s="26"/>
      <c r="AK2415" s="5"/>
      <c r="AL2415" s="82" t="s">
        <v>5292</v>
      </c>
      <c r="AM2415" s="76"/>
      <c r="AN2415" s="76"/>
      <c r="AO2415" s="76"/>
      <c r="AP2415" s="76"/>
      <c r="AQ2415" s="76"/>
      <c r="AR2415" s="76"/>
      <c r="AS2415" s="76"/>
      <c r="AT2415" s="76"/>
      <c r="AU2415" s="76"/>
      <c r="AV2415" s="76"/>
      <c r="AW2415" s="76"/>
      <c r="AX2415" s="76">
        <f>+AW2415*600000</f>
        <v>0</v>
      </c>
      <c r="AY2415" s="76"/>
      <c r="AZ2415" s="76">
        <f>+AY2415*70000</f>
        <v>0</v>
      </c>
      <c r="BA2415" s="76"/>
      <c r="BB2415" s="76"/>
      <c r="BC2415" s="76"/>
      <c r="BD2415" s="76">
        <f>+BC2415*30000</f>
        <v>0</v>
      </c>
      <c r="BE2415" s="76"/>
      <c r="BF2415" s="76"/>
      <c r="BG2415" s="76"/>
      <c r="BH2415" s="76"/>
      <c r="BI2415" s="76"/>
      <c r="BJ2415" s="76"/>
      <c r="BK2415" s="76"/>
      <c r="BL2415" s="76">
        <f>+BK2415*31500</f>
        <v>0</v>
      </c>
      <c r="BM2415" s="76"/>
      <c r="BN2415" s="76"/>
      <c r="BO2415" s="76"/>
      <c r="BP2415" s="76"/>
      <c r="BQ2415" s="76"/>
      <c r="BR2415" s="76"/>
      <c r="BS2415" s="76"/>
      <c r="BT2415" s="76"/>
      <c r="BU2415" s="76"/>
      <c r="BV2415" s="76"/>
      <c r="BW2415" s="76"/>
      <c r="BX2415" s="76"/>
      <c r="BY2415" s="76"/>
      <c r="BZ2415" s="76"/>
      <c r="CA2415" s="76"/>
      <c r="CB2415" s="76"/>
      <c r="CC2415" s="76"/>
      <c r="CD2415" s="76"/>
      <c r="CE2415" s="76"/>
      <c r="CF2415" s="76">
        <f>+CE2415*28000</f>
        <v>0</v>
      </c>
      <c r="CG2415" s="76"/>
      <c r="CH2415" s="76">
        <f>+CG2415*22500</f>
        <v>0</v>
      </c>
      <c r="CI2415" s="76"/>
      <c r="CJ2415" s="76">
        <f>+CI2415*26000</f>
        <v>0</v>
      </c>
      <c r="CK2415" s="76"/>
      <c r="CL2415" s="76"/>
      <c r="CM2415" s="76"/>
      <c r="CN2415" s="76">
        <f>+CM2415*22000</f>
        <v>0</v>
      </c>
      <c r="CO2415" s="76"/>
      <c r="CP2415" s="76">
        <f>+CO2415*46000</f>
        <v>0</v>
      </c>
      <c r="CQ2415" s="76"/>
      <c r="CR2415" s="76">
        <f>+CQ2415*49000</f>
        <v>0</v>
      </c>
      <c r="CS2415" s="76"/>
      <c r="CT2415" s="76"/>
      <c r="CU2415" s="56">
        <f>AN2415+AP2415+AR2415+AT2415+AV2415+AX2415+AZ2415+BB2415+BD2415+BF2415+BH2415+BJ2415+BL2415+BN2415+BP2415+BR2415+BT2415+BV2415+BX2415+BZ2415+CB2415+CD2415+CF2415+CH2415+CJ2415+CL2415+CN2415+CP2415+CR2415+CT2415</f>
        <v>0</v>
      </c>
      <c r="CV2415" s="76"/>
      <c r="CW2415" s="76">
        <f>+CV2415*1100</f>
        <v>0</v>
      </c>
      <c r="CX2415" s="76"/>
      <c r="CY2415" s="76">
        <f>+CX2415*106250</f>
        <v>0</v>
      </c>
      <c r="CZ2415" s="76"/>
      <c r="DA2415" s="76">
        <f>+CZ2415*34500</f>
        <v>0</v>
      </c>
      <c r="DB2415" s="76"/>
      <c r="DC2415" s="76">
        <f>+DB2415*25000</f>
        <v>0</v>
      </c>
      <c r="DD2415" s="219"/>
      <c r="DE2415" s="219"/>
      <c r="DF2415" s="166"/>
      <c r="DG2415" s="116"/>
      <c r="DH2415" s="117"/>
      <c r="DI2415" s="24"/>
      <c r="DJ2415" s="24"/>
      <c r="DK2415" s="24"/>
      <c r="DL2415" s="24"/>
      <c r="DM2415" s="24"/>
      <c r="DN2415" s="24"/>
      <c r="DO2415" s="24"/>
      <c r="DP2415" s="24"/>
      <c r="DQ2415" s="24"/>
      <c r="DR2415" s="24"/>
      <c r="DS2415" s="24"/>
      <c r="DT2415" s="24"/>
      <c r="DU2415" s="24"/>
    </row>
    <row r="2416" spans="1:125" s="8" customFormat="1" ht="72" x14ac:dyDescent="0.2">
      <c r="A2416" s="353">
        <v>41476</v>
      </c>
      <c r="B2416" s="225" t="s">
        <v>2661</v>
      </c>
      <c r="C2416" s="227" t="s">
        <v>2169</v>
      </c>
      <c r="D2416" s="227" t="s">
        <v>2846</v>
      </c>
      <c r="E2416" s="353" t="str">
        <f>VLOOKUP(B2416&amp;C2416,Divipola!$C$2:$F$1138,4,FALSE)</f>
        <v>41001</v>
      </c>
      <c r="F2416" s="87"/>
      <c r="G2416" s="87"/>
      <c r="H2416" s="87"/>
      <c r="I2416" s="87"/>
      <c r="J2416" s="87"/>
      <c r="K2416" s="87"/>
      <c r="L2416" s="87"/>
      <c r="M2416" s="87"/>
      <c r="N2416" s="87"/>
      <c r="O2416" s="87"/>
      <c r="P2416" s="87"/>
      <c r="Q2416" s="87"/>
      <c r="R2416" s="87"/>
      <c r="S2416" s="87"/>
      <c r="T2416" s="87"/>
      <c r="U2416" s="88">
        <v>6</v>
      </c>
      <c r="V2416" s="89"/>
      <c r="W2416" s="96">
        <v>0</v>
      </c>
      <c r="X2416" s="71">
        <f>CU2416</f>
        <v>0</v>
      </c>
      <c r="Y2416" s="71">
        <f>CY2416</f>
        <v>0</v>
      </c>
      <c r="Z2416" s="71">
        <f>DA2416+DC2416+DE2416</f>
        <v>0</v>
      </c>
      <c r="AA2416" s="71">
        <f>CW2416</f>
        <v>0</v>
      </c>
      <c r="AB2416" s="71"/>
      <c r="AC2416" s="71">
        <v>0</v>
      </c>
      <c r="AD2416" s="71">
        <f>W2416+X2416+Y2416+Z2416+AA2416+AB2416+AC2416</f>
        <v>0</v>
      </c>
      <c r="AE2416" s="72">
        <v>0</v>
      </c>
      <c r="AF2416" s="5"/>
      <c r="AG2416" s="6"/>
      <c r="AH2416" s="27"/>
      <c r="AI2416" s="44"/>
      <c r="AJ2416" s="26"/>
      <c r="AK2416" s="5"/>
      <c r="AL2416" s="82" t="s">
        <v>5290</v>
      </c>
      <c r="AM2416" s="76"/>
      <c r="AN2416" s="76"/>
      <c r="AO2416" s="76"/>
      <c r="AP2416" s="76"/>
      <c r="AQ2416" s="76"/>
      <c r="AR2416" s="76"/>
      <c r="AS2416" s="76"/>
      <c r="AT2416" s="76"/>
      <c r="AU2416" s="76"/>
      <c r="AV2416" s="76"/>
      <c r="AW2416" s="76"/>
      <c r="AX2416" s="76">
        <f>+AW2416*600000</f>
        <v>0</v>
      </c>
      <c r="AY2416" s="76"/>
      <c r="AZ2416" s="76">
        <f>+AY2416*70000</f>
        <v>0</v>
      </c>
      <c r="BA2416" s="76"/>
      <c r="BB2416" s="76"/>
      <c r="BC2416" s="76"/>
      <c r="BD2416" s="76">
        <f>+BC2416*30000</f>
        <v>0</v>
      </c>
      <c r="BE2416" s="76"/>
      <c r="BF2416" s="76"/>
      <c r="BG2416" s="76"/>
      <c r="BH2416" s="76"/>
      <c r="BI2416" s="76"/>
      <c r="BJ2416" s="76"/>
      <c r="BK2416" s="76"/>
      <c r="BL2416" s="76">
        <f>+BK2416*31500</f>
        <v>0</v>
      </c>
      <c r="BM2416" s="76"/>
      <c r="BN2416" s="76"/>
      <c r="BO2416" s="76"/>
      <c r="BP2416" s="76"/>
      <c r="BQ2416" s="76"/>
      <c r="BR2416" s="76"/>
      <c r="BS2416" s="76"/>
      <c r="BT2416" s="76"/>
      <c r="BU2416" s="76"/>
      <c r="BV2416" s="76"/>
      <c r="BW2416" s="76"/>
      <c r="BX2416" s="76"/>
      <c r="BY2416" s="76"/>
      <c r="BZ2416" s="76"/>
      <c r="CA2416" s="76"/>
      <c r="CB2416" s="76"/>
      <c r="CC2416" s="76"/>
      <c r="CD2416" s="76"/>
      <c r="CE2416" s="76"/>
      <c r="CF2416" s="76">
        <f>+CE2416*28000</f>
        <v>0</v>
      </c>
      <c r="CG2416" s="76"/>
      <c r="CH2416" s="76">
        <f>+CG2416*22500</f>
        <v>0</v>
      </c>
      <c r="CI2416" s="76"/>
      <c r="CJ2416" s="76">
        <f>+CI2416*26000</f>
        <v>0</v>
      </c>
      <c r="CK2416" s="76"/>
      <c r="CL2416" s="76"/>
      <c r="CM2416" s="76"/>
      <c r="CN2416" s="76">
        <f>+CM2416*22000</f>
        <v>0</v>
      </c>
      <c r="CO2416" s="76"/>
      <c r="CP2416" s="76">
        <f>+CO2416*46000</f>
        <v>0</v>
      </c>
      <c r="CQ2416" s="76"/>
      <c r="CR2416" s="76">
        <f>+CQ2416*49000</f>
        <v>0</v>
      </c>
      <c r="CS2416" s="76"/>
      <c r="CT2416" s="76"/>
      <c r="CU2416" s="56">
        <f>AN2416+AP2416+AR2416+AT2416+AV2416+AX2416+AZ2416+BB2416+BD2416+BF2416+BH2416+BJ2416+BL2416+BN2416+BP2416+BR2416+BT2416+BV2416+BX2416+BZ2416+CB2416+CD2416+CF2416+CH2416+CJ2416+CL2416+CN2416+CP2416+CR2416+CT2416</f>
        <v>0</v>
      </c>
      <c r="CV2416" s="76"/>
      <c r="CW2416" s="76">
        <f>+CV2416*1100</f>
        <v>0</v>
      </c>
      <c r="CX2416" s="76"/>
      <c r="CY2416" s="76">
        <f>+CX2416*106250</f>
        <v>0</v>
      </c>
      <c r="CZ2416" s="76"/>
      <c r="DA2416" s="76">
        <f>+CZ2416*34500</f>
        <v>0</v>
      </c>
      <c r="DB2416" s="76"/>
      <c r="DC2416" s="76">
        <f>+DB2416*25000</f>
        <v>0</v>
      </c>
      <c r="DD2416" s="219"/>
      <c r="DE2416" s="219"/>
      <c r="DF2416" s="166"/>
      <c r="DG2416" s="116"/>
      <c r="DH2416" s="117"/>
      <c r="DI2416" s="24"/>
      <c r="DJ2416" s="24"/>
      <c r="DK2416" s="24"/>
      <c r="DL2416" s="24"/>
      <c r="DM2416" s="24"/>
      <c r="DN2416" s="24"/>
      <c r="DO2416" s="24"/>
      <c r="DP2416" s="24"/>
      <c r="DQ2416" s="24"/>
      <c r="DR2416" s="24"/>
      <c r="DS2416" s="24"/>
      <c r="DT2416" s="24"/>
      <c r="DU2416" s="24"/>
    </row>
    <row r="2417" spans="1:125" s="8" customFormat="1" ht="48" x14ac:dyDescent="0.2">
      <c r="A2417" s="77">
        <v>41476</v>
      </c>
      <c r="B2417" s="352" t="s">
        <v>2880</v>
      </c>
      <c r="C2417" s="354" t="s">
        <v>2732</v>
      </c>
      <c r="D2417" s="354" t="s">
        <v>2936</v>
      </c>
      <c r="E2417" s="353" t="str">
        <f>VLOOKUP(B2417&amp;C2417,Divipola!$C$2:$F$1138,4,FALSE)</f>
        <v>54001</v>
      </c>
      <c r="F2417" s="87">
        <v>1</v>
      </c>
      <c r="G2417" s="87">
        <v>26</v>
      </c>
      <c r="H2417" s="87"/>
      <c r="I2417" s="87">
        <v>27</v>
      </c>
      <c r="J2417" s="87"/>
      <c r="K2417" s="87"/>
      <c r="L2417" s="87"/>
      <c r="M2417" s="87"/>
      <c r="N2417" s="87"/>
      <c r="O2417" s="87"/>
      <c r="P2417" s="87"/>
      <c r="Q2417" s="87"/>
      <c r="R2417" s="87"/>
      <c r="S2417" s="87"/>
      <c r="T2417" s="87"/>
      <c r="U2417" s="88"/>
      <c r="V2417" s="89"/>
      <c r="W2417" s="96">
        <v>0</v>
      </c>
      <c r="X2417" s="71">
        <f>CU2417</f>
        <v>0</v>
      </c>
      <c r="Y2417" s="71">
        <f>CY2417</f>
        <v>0</v>
      </c>
      <c r="Z2417" s="71">
        <f>DA2417+DC2417+DE2417</f>
        <v>0</v>
      </c>
      <c r="AA2417" s="71">
        <f>CW2417</f>
        <v>0</v>
      </c>
      <c r="AB2417" s="71"/>
      <c r="AC2417" s="71">
        <v>0</v>
      </c>
      <c r="AD2417" s="71">
        <f>W2417+X2417+Y2417+Z2417+AA2417+AB2417+AC2417</f>
        <v>0</v>
      </c>
      <c r="AE2417" s="72"/>
      <c r="AF2417" s="5"/>
      <c r="AG2417" s="6"/>
      <c r="AH2417" s="27"/>
      <c r="AI2417" s="44"/>
      <c r="AJ2417" s="26"/>
      <c r="AK2417" s="5"/>
      <c r="AL2417" s="82" t="s">
        <v>5286</v>
      </c>
      <c r="AM2417" s="76"/>
      <c r="AN2417" s="76"/>
      <c r="AO2417" s="76"/>
      <c r="AP2417" s="76"/>
      <c r="AQ2417" s="76"/>
      <c r="AR2417" s="76"/>
      <c r="AS2417" s="76"/>
      <c r="AT2417" s="76"/>
      <c r="AU2417" s="76"/>
      <c r="AV2417" s="76"/>
      <c r="AW2417" s="76"/>
      <c r="AX2417" s="76">
        <f>+AW2417*600000</f>
        <v>0</v>
      </c>
      <c r="AY2417" s="76"/>
      <c r="AZ2417" s="76">
        <f>+AY2417*70000</f>
        <v>0</v>
      </c>
      <c r="BA2417" s="76"/>
      <c r="BB2417" s="76"/>
      <c r="BC2417" s="76"/>
      <c r="BD2417" s="76">
        <f>+BC2417*30000</f>
        <v>0</v>
      </c>
      <c r="BE2417" s="76"/>
      <c r="BF2417" s="76"/>
      <c r="BG2417" s="76"/>
      <c r="BH2417" s="76"/>
      <c r="BI2417" s="76"/>
      <c r="BJ2417" s="76"/>
      <c r="BK2417" s="76"/>
      <c r="BL2417" s="76">
        <f>+BK2417*31500</f>
        <v>0</v>
      </c>
      <c r="BM2417" s="76"/>
      <c r="BN2417" s="76"/>
      <c r="BO2417" s="76"/>
      <c r="BP2417" s="76"/>
      <c r="BQ2417" s="76"/>
      <c r="BR2417" s="76"/>
      <c r="BS2417" s="76"/>
      <c r="BT2417" s="76"/>
      <c r="BU2417" s="76"/>
      <c r="BV2417" s="76"/>
      <c r="BW2417" s="76"/>
      <c r="BX2417" s="76"/>
      <c r="BY2417" s="76"/>
      <c r="BZ2417" s="76"/>
      <c r="CA2417" s="76"/>
      <c r="CB2417" s="76"/>
      <c r="CC2417" s="76"/>
      <c r="CD2417" s="76"/>
      <c r="CE2417" s="76"/>
      <c r="CF2417" s="76">
        <f>+CE2417*28000</f>
        <v>0</v>
      </c>
      <c r="CG2417" s="76"/>
      <c r="CH2417" s="76">
        <f>+CG2417*22500</f>
        <v>0</v>
      </c>
      <c r="CI2417" s="76"/>
      <c r="CJ2417" s="76">
        <f>+CI2417*26000</f>
        <v>0</v>
      </c>
      <c r="CK2417" s="76"/>
      <c r="CL2417" s="76"/>
      <c r="CM2417" s="76"/>
      <c r="CN2417" s="76">
        <f>+CM2417*22000</f>
        <v>0</v>
      </c>
      <c r="CO2417" s="76"/>
      <c r="CP2417" s="76">
        <f>+CO2417*46000</f>
        <v>0</v>
      </c>
      <c r="CQ2417" s="76"/>
      <c r="CR2417" s="76">
        <f>+CQ2417*49000</f>
        <v>0</v>
      </c>
      <c r="CS2417" s="76"/>
      <c r="CT2417" s="76"/>
      <c r="CU2417" s="56">
        <f>AN2417+AP2417+AR2417+AT2417+AV2417+AX2417+AZ2417+BB2417+BD2417+BF2417+BH2417+BJ2417+BL2417+BN2417+BP2417+BR2417+BT2417+BV2417+BX2417+BZ2417+CB2417+CD2417+CF2417+CH2417+CJ2417+CL2417+CN2417+CP2417+CR2417+CT2417</f>
        <v>0</v>
      </c>
      <c r="CV2417" s="76"/>
      <c r="CW2417" s="76">
        <f>+CV2417*1100</f>
        <v>0</v>
      </c>
      <c r="CX2417" s="76"/>
      <c r="CY2417" s="76">
        <f>+CX2417*106250</f>
        <v>0</v>
      </c>
      <c r="CZ2417" s="76"/>
      <c r="DA2417" s="76">
        <f>+CZ2417*34500</f>
        <v>0</v>
      </c>
      <c r="DB2417" s="76"/>
      <c r="DC2417" s="76">
        <f>+DB2417*25000</f>
        <v>0</v>
      </c>
      <c r="DD2417" s="219"/>
      <c r="DE2417" s="219"/>
      <c r="DF2417" s="166"/>
      <c r="DG2417" s="116"/>
      <c r="DH2417" s="117"/>
      <c r="DI2417" s="24"/>
      <c r="DJ2417" s="24"/>
      <c r="DK2417" s="24"/>
      <c r="DL2417" s="24"/>
      <c r="DM2417" s="24"/>
      <c r="DN2417" s="24"/>
      <c r="DO2417" s="24"/>
      <c r="DP2417" s="24"/>
      <c r="DQ2417" s="24"/>
      <c r="DR2417" s="24"/>
      <c r="DS2417" s="24"/>
      <c r="DT2417" s="24"/>
      <c r="DU2417" s="24"/>
    </row>
    <row r="2418" spans="1:125" s="8" customFormat="1" ht="60" x14ac:dyDescent="0.2">
      <c r="A2418" s="353">
        <v>41476</v>
      </c>
      <c r="B2418" s="60" t="s">
        <v>2848</v>
      </c>
      <c r="C2418" s="55" t="s">
        <v>2055</v>
      </c>
      <c r="D2418" s="55" t="s">
        <v>3504</v>
      </c>
      <c r="E2418" s="353" t="str">
        <f>VLOOKUP(B2418&amp;C2418,Divipola!$C$2:$F$1138,4,FALSE)</f>
        <v>73275</v>
      </c>
      <c r="F2418" s="87"/>
      <c r="G2418" s="87">
        <v>2</v>
      </c>
      <c r="H2418" s="87"/>
      <c r="I2418" s="87"/>
      <c r="J2418" s="87"/>
      <c r="K2418" s="87"/>
      <c r="L2418" s="87"/>
      <c r="M2418" s="87"/>
      <c r="N2418" s="87"/>
      <c r="O2418" s="87"/>
      <c r="P2418" s="87"/>
      <c r="Q2418" s="87"/>
      <c r="R2418" s="87"/>
      <c r="S2418" s="87"/>
      <c r="T2418" s="87"/>
      <c r="U2418" s="88"/>
      <c r="V2418" s="89"/>
      <c r="W2418" s="96">
        <v>0</v>
      </c>
      <c r="X2418" s="71">
        <f>CU2418</f>
        <v>0</v>
      </c>
      <c r="Y2418" s="71">
        <f>CY2418</f>
        <v>0</v>
      </c>
      <c r="Z2418" s="71">
        <f>DA2418+DC2418+DE2418</f>
        <v>0</v>
      </c>
      <c r="AA2418" s="71">
        <f>CW2418</f>
        <v>0</v>
      </c>
      <c r="AB2418" s="71"/>
      <c r="AC2418" s="71">
        <v>0</v>
      </c>
      <c r="AD2418" s="71">
        <f>W2418+X2418+Y2418+Z2418+AA2418+AB2418+AC2418</f>
        <v>0</v>
      </c>
      <c r="AE2418" s="72">
        <v>0</v>
      </c>
      <c r="AF2418" s="5"/>
      <c r="AG2418" s="6"/>
      <c r="AH2418" s="27"/>
      <c r="AI2418" s="44"/>
      <c r="AJ2418" s="26"/>
      <c r="AK2418" s="5"/>
      <c r="AL2418" s="82" t="s">
        <v>5291</v>
      </c>
      <c r="AM2418" s="76"/>
      <c r="AN2418" s="76"/>
      <c r="AO2418" s="76"/>
      <c r="AP2418" s="76"/>
      <c r="AQ2418" s="76"/>
      <c r="AR2418" s="76"/>
      <c r="AS2418" s="76"/>
      <c r="AT2418" s="76"/>
      <c r="AU2418" s="76"/>
      <c r="AV2418" s="76"/>
      <c r="AW2418" s="76"/>
      <c r="AX2418" s="76">
        <f>+AW2418*600000</f>
        <v>0</v>
      </c>
      <c r="AY2418" s="76"/>
      <c r="AZ2418" s="76">
        <f>+AY2418*70000</f>
        <v>0</v>
      </c>
      <c r="BA2418" s="76"/>
      <c r="BB2418" s="76"/>
      <c r="BC2418" s="76"/>
      <c r="BD2418" s="76">
        <f>+BC2418*30000</f>
        <v>0</v>
      </c>
      <c r="BE2418" s="76"/>
      <c r="BF2418" s="76"/>
      <c r="BG2418" s="76"/>
      <c r="BH2418" s="76"/>
      <c r="BI2418" s="76"/>
      <c r="BJ2418" s="76"/>
      <c r="BK2418" s="76"/>
      <c r="BL2418" s="76">
        <f>+BK2418*31500</f>
        <v>0</v>
      </c>
      <c r="BM2418" s="76"/>
      <c r="BN2418" s="76"/>
      <c r="BO2418" s="76"/>
      <c r="BP2418" s="76"/>
      <c r="BQ2418" s="76"/>
      <c r="BR2418" s="76"/>
      <c r="BS2418" s="76"/>
      <c r="BT2418" s="76"/>
      <c r="BU2418" s="76"/>
      <c r="BV2418" s="76"/>
      <c r="BW2418" s="76"/>
      <c r="BX2418" s="76"/>
      <c r="BY2418" s="76"/>
      <c r="BZ2418" s="76"/>
      <c r="CA2418" s="76"/>
      <c r="CB2418" s="76"/>
      <c r="CC2418" s="76"/>
      <c r="CD2418" s="76"/>
      <c r="CE2418" s="76"/>
      <c r="CF2418" s="76">
        <f>+CE2418*28000</f>
        <v>0</v>
      </c>
      <c r="CG2418" s="76"/>
      <c r="CH2418" s="76">
        <f>+CG2418*22500</f>
        <v>0</v>
      </c>
      <c r="CI2418" s="76"/>
      <c r="CJ2418" s="76">
        <f>+CI2418*26000</f>
        <v>0</v>
      </c>
      <c r="CK2418" s="76"/>
      <c r="CL2418" s="76"/>
      <c r="CM2418" s="76"/>
      <c r="CN2418" s="76">
        <f>+CM2418*22000</f>
        <v>0</v>
      </c>
      <c r="CO2418" s="76"/>
      <c r="CP2418" s="76">
        <f>+CO2418*46000</f>
        <v>0</v>
      </c>
      <c r="CQ2418" s="76"/>
      <c r="CR2418" s="76">
        <f>+CQ2418*49000</f>
        <v>0</v>
      </c>
      <c r="CS2418" s="76"/>
      <c r="CT2418" s="76"/>
      <c r="CU2418" s="56">
        <f>AN2418+AP2418+AR2418+AT2418+AV2418+AX2418+AZ2418+BB2418+BD2418+BF2418+BH2418+BJ2418+BL2418+BN2418+BP2418+BR2418+BT2418+BV2418+BX2418+BZ2418+CB2418+CD2418+CF2418+CH2418+CJ2418+CL2418+CN2418+CP2418+CR2418+CT2418</f>
        <v>0</v>
      </c>
      <c r="CV2418" s="76"/>
      <c r="CW2418" s="76">
        <f>+CV2418*1100</f>
        <v>0</v>
      </c>
      <c r="CX2418" s="76"/>
      <c r="CY2418" s="76">
        <f>+CX2418*106250</f>
        <v>0</v>
      </c>
      <c r="CZ2418" s="76"/>
      <c r="DA2418" s="76">
        <f>+CZ2418*34500</f>
        <v>0</v>
      </c>
      <c r="DB2418" s="76"/>
      <c r="DC2418" s="76">
        <f>+DB2418*25000</f>
        <v>0</v>
      </c>
      <c r="DD2418" s="219"/>
      <c r="DE2418" s="219"/>
      <c r="DF2418" s="166"/>
      <c r="DG2418" s="116"/>
      <c r="DH2418" s="117"/>
      <c r="DI2418" s="24"/>
      <c r="DJ2418" s="24"/>
      <c r="DK2418" s="24"/>
      <c r="DL2418" s="24"/>
      <c r="DM2418" s="24"/>
      <c r="DN2418" s="24"/>
      <c r="DO2418" s="24"/>
      <c r="DP2418" s="24"/>
      <c r="DQ2418" s="24"/>
      <c r="DR2418" s="24"/>
      <c r="DS2418" s="24"/>
      <c r="DT2418" s="24"/>
      <c r="DU2418" s="24"/>
    </row>
    <row r="2419" spans="1:125" s="8" customFormat="1" ht="36" x14ac:dyDescent="0.2">
      <c r="A2419" s="97">
        <v>41477</v>
      </c>
      <c r="B2419" s="60" t="s">
        <v>2036</v>
      </c>
      <c r="C2419" s="55" t="s">
        <v>1374</v>
      </c>
      <c r="D2419" s="55" t="s">
        <v>3051</v>
      </c>
      <c r="E2419" s="353" t="str">
        <f>VLOOKUP(B2419&amp;C2419,Divipola!$C$2:$F$1138,4,FALSE)</f>
        <v>81065</v>
      </c>
      <c r="F2419" s="87"/>
      <c r="G2419" s="87"/>
      <c r="H2419" s="87"/>
      <c r="I2419" s="87"/>
      <c r="J2419" s="87"/>
      <c r="K2419" s="87"/>
      <c r="L2419" s="87"/>
      <c r="M2419" s="87"/>
      <c r="N2419" s="87"/>
      <c r="O2419" s="87"/>
      <c r="P2419" s="87"/>
      <c r="Q2419" s="87"/>
      <c r="R2419" s="87"/>
      <c r="S2419" s="87"/>
      <c r="T2419" s="87"/>
      <c r="U2419" s="88"/>
      <c r="V2419" s="89"/>
      <c r="W2419" s="96">
        <v>0</v>
      </c>
      <c r="X2419" s="71">
        <f>CU2419</f>
        <v>0</v>
      </c>
      <c r="Y2419" s="71">
        <f>CY2419</f>
        <v>0</v>
      </c>
      <c r="Z2419" s="71">
        <f>DA2419+DC2419+DE2419</f>
        <v>0</v>
      </c>
      <c r="AA2419" s="71">
        <f>CW2419</f>
        <v>0</v>
      </c>
      <c r="AB2419" s="71"/>
      <c r="AC2419" s="71">
        <v>0</v>
      </c>
      <c r="AD2419" s="71">
        <f>W2419+X2419+Y2419+Z2419+AA2419+AB2419+AC2419</f>
        <v>0</v>
      </c>
      <c r="AE2419" s="72">
        <v>0</v>
      </c>
      <c r="AF2419" s="5"/>
      <c r="AG2419" s="6"/>
      <c r="AH2419" s="27"/>
      <c r="AI2419" s="44"/>
      <c r="AJ2419" s="26"/>
      <c r="AK2419" s="5"/>
      <c r="AL2419" s="82" t="s">
        <v>5295</v>
      </c>
      <c r="AM2419" s="76"/>
      <c r="AN2419" s="76"/>
      <c r="AO2419" s="76"/>
      <c r="AP2419" s="76"/>
      <c r="AQ2419" s="76"/>
      <c r="AR2419" s="76"/>
      <c r="AS2419" s="76"/>
      <c r="AT2419" s="76"/>
      <c r="AU2419" s="76"/>
      <c r="AV2419" s="76"/>
      <c r="AW2419" s="76"/>
      <c r="AX2419" s="76">
        <f>+AW2419*600000</f>
        <v>0</v>
      </c>
      <c r="AY2419" s="76"/>
      <c r="AZ2419" s="76">
        <f>+AY2419*70000</f>
        <v>0</v>
      </c>
      <c r="BA2419" s="76"/>
      <c r="BB2419" s="76"/>
      <c r="BC2419" s="76"/>
      <c r="BD2419" s="76">
        <f>+BC2419*30000</f>
        <v>0</v>
      </c>
      <c r="BE2419" s="76"/>
      <c r="BF2419" s="76"/>
      <c r="BG2419" s="76"/>
      <c r="BH2419" s="76"/>
      <c r="BI2419" s="76"/>
      <c r="BJ2419" s="76"/>
      <c r="BK2419" s="76"/>
      <c r="BL2419" s="76">
        <f>+BK2419*31500</f>
        <v>0</v>
      </c>
      <c r="BM2419" s="76"/>
      <c r="BN2419" s="76"/>
      <c r="BO2419" s="76"/>
      <c r="BP2419" s="76"/>
      <c r="BQ2419" s="76"/>
      <c r="BR2419" s="76"/>
      <c r="BS2419" s="76"/>
      <c r="BT2419" s="76"/>
      <c r="BU2419" s="76"/>
      <c r="BV2419" s="76"/>
      <c r="BW2419" s="76"/>
      <c r="BX2419" s="76"/>
      <c r="BY2419" s="76"/>
      <c r="BZ2419" s="76"/>
      <c r="CA2419" s="76"/>
      <c r="CB2419" s="76"/>
      <c r="CC2419" s="76"/>
      <c r="CD2419" s="76"/>
      <c r="CE2419" s="76"/>
      <c r="CF2419" s="76">
        <f>+CE2419*28000</f>
        <v>0</v>
      </c>
      <c r="CG2419" s="76"/>
      <c r="CH2419" s="76">
        <f>+CG2419*22500</f>
        <v>0</v>
      </c>
      <c r="CI2419" s="76"/>
      <c r="CJ2419" s="76">
        <f>+CI2419*26000</f>
        <v>0</v>
      </c>
      <c r="CK2419" s="76"/>
      <c r="CL2419" s="76"/>
      <c r="CM2419" s="76"/>
      <c r="CN2419" s="76">
        <f>+CM2419*22000</f>
        <v>0</v>
      </c>
      <c r="CO2419" s="76"/>
      <c r="CP2419" s="76">
        <f>+CO2419*46000</f>
        <v>0</v>
      </c>
      <c r="CQ2419" s="76"/>
      <c r="CR2419" s="76">
        <f>+CQ2419*49000</f>
        <v>0</v>
      </c>
      <c r="CS2419" s="76"/>
      <c r="CT2419" s="76"/>
      <c r="CU2419" s="56">
        <f>AN2419+AP2419+AR2419+AT2419+AV2419+AX2419+AZ2419+BB2419+BD2419+BF2419+BH2419+BJ2419+BL2419+BN2419+BP2419+BR2419+BT2419+BV2419+BX2419+BZ2419+CB2419+CD2419+CF2419+CH2419+CJ2419+CL2419+CN2419+CP2419+CR2419+CT2419</f>
        <v>0</v>
      </c>
      <c r="CV2419" s="76"/>
      <c r="CW2419" s="76">
        <f>+CV2419*1100</f>
        <v>0</v>
      </c>
      <c r="CX2419" s="76"/>
      <c r="CY2419" s="76">
        <f>+CX2419*106250</f>
        <v>0</v>
      </c>
      <c r="CZ2419" s="76"/>
      <c r="DA2419" s="76">
        <f>+CZ2419*34500</f>
        <v>0</v>
      </c>
      <c r="DB2419" s="76"/>
      <c r="DC2419" s="76">
        <f>+DB2419*25000</f>
        <v>0</v>
      </c>
      <c r="DD2419" s="219"/>
      <c r="DE2419" s="219"/>
      <c r="DF2419" s="166"/>
      <c r="DG2419" s="116"/>
      <c r="DH2419" s="117"/>
      <c r="DI2419" s="24"/>
      <c r="DJ2419" s="24"/>
      <c r="DK2419" s="24"/>
      <c r="DL2419" s="24"/>
      <c r="DM2419" s="24"/>
      <c r="DN2419" s="24"/>
      <c r="DO2419" s="24"/>
      <c r="DP2419" s="24"/>
      <c r="DQ2419" s="24"/>
      <c r="DR2419" s="24"/>
      <c r="DS2419" s="24"/>
      <c r="DT2419" s="24"/>
      <c r="DU2419" s="24"/>
    </row>
    <row r="2420" spans="1:125" s="8" customFormat="1" ht="120" x14ac:dyDescent="0.2">
      <c r="A2420" s="77">
        <v>41477</v>
      </c>
      <c r="B2420" s="78" t="s">
        <v>3136</v>
      </c>
      <c r="C2420" s="75" t="s">
        <v>2204</v>
      </c>
      <c r="D2420" s="75" t="s">
        <v>3051</v>
      </c>
      <c r="E2420" s="353" t="str">
        <f>VLOOKUP(B2420&amp;C2420,Divipola!$C$2:$F$1138,4,FALSE)</f>
        <v>44001</v>
      </c>
      <c r="F2420" s="163"/>
      <c r="G2420" s="163"/>
      <c r="H2420" s="163"/>
      <c r="I2420" s="163"/>
      <c r="J2420" s="163"/>
      <c r="K2420" s="163"/>
      <c r="L2420" s="163"/>
      <c r="M2420" s="163"/>
      <c r="N2420" s="163"/>
      <c r="O2420" s="163"/>
      <c r="P2420" s="163"/>
      <c r="Q2420" s="163"/>
      <c r="R2420" s="163"/>
      <c r="S2420" s="163"/>
      <c r="T2420" s="163"/>
      <c r="U2420" s="163"/>
      <c r="V2420" s="134"/>
      <c r="W2420" s="96">
        <v>0</v>
      </c>
      <c r="X2420" s="71">
        <f>CU2420</f>
        <v>0</v>
      </c>
      <c r="Y2420" s="71">
        <f>CY2420</f>
        <v>0</v>
      </c>
      <c r="Z2420" s="71">
        <f>DA2420+DC2420+DE2420</f>
        <v>0</v>
      </c>
      <c r="AA2420" s="71">
        <f>CW2420</f>
        <v>0</v>
      </c>
      <c r="AB2420" s="71"/>
      <c r="AC2420" s="71">
        <v>594030000</v>
      </c>
      <c r="AD2420" s="71">
        <f>W2420+X2420+Y2420+Z2420+AA2420+AB2420+AC2420</f>
        <v>594030000</v>
      </c>
      <c r="AE2420" s="72">
        <v>0</v>
      </c>
      <c r="AF2420" s="5"/>
      <c r="AG2420" s="6"/>
      <c r="AH2420" s="27"/>
      <c r="AI2420" s="44"/>
      <c r="AJ2420" s="26"/>
      <c r="AK2420" s="5"/>
      <c r="AL2420" s="82" t="s">
        <v>5262</v>
      </c>
      <c r="AM2420" s="76"/>
      <c r="AN2420" s="76"/>
      <c r="AO2420" s="76"/>
      <c r="AP2420" s="76"/>
      <c r="AQ2420" s="76"/>
      <c r="AR2420" s="76"/>
      <c r="AS2420" s="76"/>
      <c r="AT2420" s="76"/>
      <c r="AU2420" s="76"/>
      <c r="AV2420" s="76"/>
      <c r="AW2420" s="76"/>
      <c r="AX2420" s="76">
        <f>+AW2420*600000</f>
        <v>0</v>
      </c>
      <c r="AY2420" s="76"/>
      <c r="AZ2420" s="76">
        <f>+AY2420*70000</f>
        <v>0</v>
      </c>
      <c r="BA2420" s="76"/>
      <c r="BB2420" s="76"/>
      <c r="BC2420" s="76"/>
      <c r="BD2420" s="76">
        <f>+BC2420*30000</f>
        <v>0</v>
      </c>
      <c r="BE2420" s="76"/>
      <c r="BF2420" s="76"/>
      <c r="BG2420" s="76"/>
      <c r="BH2420" s="76"/>
      <c r="BI2420" s="76"/>
      <c r="BJ2420" s="76"/>
      <c r="BK2420" s="76"/>
      <c r="BL2420" s="76">
        <f>+BK2420*31500</f>
        <v>0</v>
      </c>
      <c r="BM2420" s="76"/>
      <c r="BN2420" s="76"/>
      <c r="BO2420" s="76"/>
      <c r="BP2420" s="76"/>
      <c r="BQ2420" s="76"/>
      <c r="BR2420" s="76"/>
      <c r="BS2420" s="76"/>
      <c r="BT2420" s="76"/>
      <c r="BU2420" s="76"/>
      <c r="BV2420" s="76"/>
      <c r="BW2420" s="76"/>
      <c r="BX2420" s="76"/>
      <c r="BY2420" s="76"/>
      <c r="BZ2420" s="76"/>
      <c r="CA2420" s="76"/>
      <c r="CB2420" s="76"/>
      <c r="CC2420" s="76"/>
      <c r="CD2420" s="76"/>
      <c r="CE2420" s="76"/>
      <c r="CF2420" s="76">
        <f>+CE2420*28000</f>
        <v>0</v>
      </c>
      <c r="CG2420" s="76"/>
      <c r="CH2420" s="76">
        <f>+CG2420*22500</f>
        <v>0</v>
      </c>
      <c r="CI2420" s="76"/>
      <c r="CJ2420" s="76">
        <f>+CI2420*26000</f>
        <v>0</v>
      </c>
      <c r="CK2420" s="76"/>
      <c r="CL2420" s="76"/>
      <c r="CM2420" s="76"/>
      <c r="CN2420" s="76">
        <f>+CM2420*22000</f>
        <v>0</v>
      </c>
      <c r="CO2420" s="76"/>
      <c r="CP2420" s="76">
        <f>+CO2420*46000</f>
        <v>0</v>
      </c>
      <c r="CQ2420" s="76"/>
      <c r="CR2420" s="76">
        <f>+CQ2420*49000</f>
        <v>0</v>
      </c>
      <c r="CS2420" s="76"/>
      <c r="CT2420" s="76"/>
      <c r="CU2420" s="56">
        <f>AN2420+AP2420+AR2420+AT2420+AV2420+AX2420+AZ2420+BB2420+BD2420+BF2420+BH2420+BJ2420+BL2420+BN2420+BP2420+BR2420+BT2420+BV2420+BX2420+BZ2420+CB2420+CD2420+CF2420+CH2420+CJ2420+CL2420+CN2420+CP2420+CR2420+CT2420</f>
        <v>0</v>
      </c>
      <c r="CV2420" s="76"/>
      <c r="CW2420" s="76">
        <f>+CV2420*1100</f>
        <v>0</v>
      </c>
      <c r="CX2420" s="76"/>
      <c r="CY2420" s="76">
        <f>+CX2420*106250</f>
        <v>0</v>
      </c>
      <c r="CZ2420" s="76"/>
      <c r="DA2420" s="76">
        <f>+CZ2420*34500</f>
        <v>0</v>
      </c>
      <c r="DB2420" s="76"/>
      <c r="DC2420" s="76">
        <f>+DB2420*25000</f>
        <v>0</v>
      </c>
      <c r="DD2420" s="219"/>
      <c r="DE2420" s="219"/>
      <c r="DF2420" s="164"/>
      <c r="DG2420" s="116"/>
      <c r="DH2420" s="117"/>
      <c r="DI2420" s="24"/>
      <c r="DJ2420" s="24"/>
      <c r="DK2420" s="24"/>
      <c r="DL2420" s="24"/>
      <c r="DM2420" s="24"/>
      <c r="DN2420" s="24"/>
      <c r="DO2420" s="24"/>
      <c r="DP2420" s="24"/>
      <c r="DQ2420" s="24"/>
      <c r="DR2420" s="24"/>
      <c r="DS2420" s="24"/>
      <c r="DT2420" s="24"/>
      <c r="DU2420" s="24"/>
    </row>
    <row r="2421" spans="1:125" s="8" customFormat="1" ht="48" x14ac:dyDescent="0.2">
      <c r="A2421" s="226">
        <v>41477</v>
      </c>
      <c r="B2421" s="225" t="s">
        <v>2906</v>
      </c>
      <c r="C2421" s="227" t="s">
        <v>472</v>
      </c>
      <c r="D2421" s="354" t="s">
        <v>2882</v>
      </c>
      <c r="E2421" s="353" t="str">
        <f>VLOOKUP(B2421&amp;C2421,Divipola!$C$2:$F$1138,4,FALSE)</f>
        <v>47798</v>
      </c>
      <c r="F2421" s="87"/>
      <c r="G2421" s="87"/>
      <c r="H2421" s="87"/>
      <c r="I2421" s="87"/>
      <c r="J2421" s="87"/>
      <c r="K2421" s="87"/>
      <c r="L2421" s="87"/>
      <c r="M2421" s="87"/>
      <c r="N2421" s="87"/>
      <c r="O2421" s="87"/>
      <c r="P2421" s="87"/>
      <c r="Q2421" s="87"/>
      <c r="R2421" s="87"/>
      <c r="S2421" s="87">
        <v>1</v>
      </c>
      <c r="T2421" s="87"/>
      <c r="U2421" s="88"/>
      <c r="V2421" s="89"/>
      <c r="W2421" s="96">
        <v>0</v>
      </c>
      <c r="X2421" s="71">
        <f>CU2421</f>
        <v>0</v>
      </c>
      <c r="Y2421" s="71">
        <f>CY2421</f>
        <v>0</v>
      </c>
      <c r="Z2421" s="71">
        <f>DA2421+DC2421+DE2421</f>
        <v>0</v>
      </c>
      <c r="AA2421" s="71">
        <f>CW2421</f>
        <v>0</v>
      </c>
      <c r="AB2421" s="71"/>
      <c r="AC2421" s="71">
        <v>0</v>
      </c>
      <c r="AD2421" s="71">
        <f>W2421+X2421+Y2421+Z2421+AA2421+AB2421+AC2421</f>
        <v>0</v>
      </c>
      <c r="AE2421" s="72">
        <v>0</v>
      </c>
      <c r="AF2421" s="5"/>
      <c r="AG2421" s="6"/>
      <c r="AH2421" s="27"/>
      <c r="AI2421" s="44"/>
      <c r="AJ2421" s="26"/>
      <c r="AK2421" s="5"/>
      <c r="AL2421" s="82" t="s">
        <v>5296</v>
      </c>
      <c r="AM2421" s="76"/>
      <c r="AN2421" s="76"/>
      <c r="AO2421" s="76"/>
      <c r="AP2421" s="76"/>
      <c r="AQ2421" s="76"/>
      <c r="AR2421" s="76"/>
      <c r="AS2421" s="76"/>
      <c r="AT2421" s="76"/>
      <c r="AU2421" s="76"/>
      <c r="AV2421" s="76"/>
      <c r="AW2421" s="76"/>
      <c r="AX2421" s="76">
        <f>+AW2421*600000</f>
        <v>0</v>
      </c>
      <c r="AY2421" s="76"/>
      <c r="AZ2421" s="76">
        <f>+AY2421*70000</f>
        <v>0</v>
      </c>
      <c r="BA2421" s="76"/>
      <c r="BB2421" s="76"/>
      <c r="BC2421" s="76"/>
      <c r="BD2421" s="76">
        <f>+BC2421*30000</f>
        <v>0</v>
      </c>
      <c r="BE2421" s="76"/>
      <c r="BF2421" s="76"/>
      <c r="BG2421" s="76"/>
      <c r="BH2421" s="76"/>
      <c r="BI2421" s="76"/>
      <c r="BJ2421" s="76"/>
      <c r="BK2421" s="76"/>
      <c r="BL2421" s="76">
        <f>+BK2421*31500</f>
        <v>0</v>
      </c>
      <c r="BM2421" s="76"/>
      <c r="BN2421" s="76"/>
      <c r="BO2421" s="76"/>
      <c r="BP2421" s="76"/>
      <c r="BQ2421" s="76"/>
      <c r="BR2421" s="76"/>
      <c r="BS2421" s="76"/>
      <c r="BT2421" s="76"/>
      <c r="BU2421" s="76"/>
      <c r="BV2421" s="76"/>
      <c r="BW2421" s="76"/>
      <c r="BX2421" s="76"/>
      <c r="BY2421" s="76"/>
      <c r="BZ2421" s="76"/>
      <c r="CA2421" s="76"/>
      <c r="CB2421" s="76"/>
      <c r="CC2421" s="76"/>
      <c r="CD2421" s="76"/>
      <c r="CE2421" s="76"/>
      <c r="CF2421" s="76">
        <f>+CE2421*28000</f>
        <v>0</v>
      </c>
      <c r="CG2421" s="76"/>
      <c r="CH2421" s="76">
        <f>+CG2421*22500</f>
        <v>0</v>
      </c>
      <c r="CI2421" s="76"/>
      <c r="CJ2421" s="76">
        <f>+CI2421*26000</f>
        <v>0</v>
      </c>
      <c r="CK2421" s="76"/>
      <c r="CL2421" s="76"/>
      <c r="CM2421" s="76"/>
      <c r="CN2421" s="76">
        <f>+CM2421*22000</f>
        <v>0</v>
      </c>
      <c r="CO2421" s="76"/>
      <c r="CP2421" s="76">
        <f>+CO2421*46000</f>
        <v>0</v>
      </c>
      <c r="CQ2421" s="76"/>
      <c r="CR2421" s="76">
        <f>+CQ2421*49000</f>
        <v>0</v>
      </c>
      <c r="CS2421" s="76"/>
      <c r="CT2421" s="76"/>
      <c r="CU2421" s="56">
        <f>AN2421+AP2421+AR2421+AT2421+AV2421+AX2421+AZ2421+BB2421+BD2421+BF2421+BH2421+BJ2421+BL2421+BN2421+BP2421+BR2421+BT2421+BV2421+BX2421+BZ2421+CB2421+CD2421+CF2421+CH2421+CJ2421+CL2421+CN2421+CP2421+CR2421+CT2421</f>
        <v>0</v>
      </c>
      <c r="CV2421" s="76"/>
      <c r="CW2421" s="76">
        <f>+CV2421*1100</f>
        <v>0</v>
      </c>
      <c r="CX2421" s="76"/>
      <c r="CY2421" s="76">
        <f>+CX2421*106250</f>
        <v>0</v>
      </c>
      <c r="CZ2421" s="76"/>
      <c r="DA2421" s="76">
        <f>+CZ2421*34500</f>
        <v>0</v>
      </c>
      <c r="DB2421" s="76"/>
      <c r="DC2421" s="76">
        <f>+DB2421*25000</f>
        <v>0</v>
      </c>
      <c r="DD2421" s="219"/>
      <c r="DE2421" s="219"/>
      <c r="DF2421" s="166"/>
      <c r="DG2421" s="116"/>
      <c r="DH2421" s="117"/>
      <c r="DI2421" s="24"/>
      <c r="DJ2421" s="24"/>
      <c r="DK2421" s="24"/>
      <c r="DL2421" s="24"/>
      <c r="DM2421" s="24"/>
      <c r="DN2421" s="24"/>
      <c r="DO2421" s="24"/>
      <c r="DP2421" s="24"/>
      <c r="DQ2421" s="24"/>
      <c r="DR2421" s="24"/>
      <c r="DS2421" s="24"/>
      <c r="DT2421" s="24"/>
      <c r="DU2421" s="24"/>
    </row>
    <row r="2422" spans="1:125" s="8" customFormat="1" ht="36" x14ac:dyDescent="0.2">
      <c r="A2422" s="353">
        <v>41477</v>
      </c>
      <c r="B2422" s="352" t="s">
        <v>2811</v>
      </c>
      <c r="C2422" s="227" t="s">
        <v>211</v>
      </c>
      <c r="D2422" s="354" t="s">
        <v>2846</v>
      </c>
      <c r="E2422" s="353" t="str">
        <f>VLOOKUP(B2422&amp;C2422,Divipola!$C$2:$F$1138,4,FALSE)</f>
        <v>52694</v>
      </c>
      <c r="F2422" s="87"/>
      <c r="G2422" s="87"/>
      <c r="H2422" s="87"/>
      <c r="I2422" s="87"/>
      <c r="J2422" s="87"/>
      <c r="K2422" s="87"/>
      <c r="L2422" s="87"/>
      <c r="M2422" s="87"/>
      <c r="N2422" s="87"/>
      <c r="O2422" s="87"/>
      <c r="P2422" s="87"/>
      <c r="Q2422" s="87"/>
      <c r="R2422" s="87"/>
      <c r="S2422" s="87"/>
      <c r="T2422" s="87"/>
      <c r="U2422" s="88">
        <v>1</v>
      </c>
      <c r="V2422" s="89"/>
      <c r="W2422" s="96">
        <v>0</v>
      </c>
      <c r="X2422" s="71">
        <f>CU2422</f>
        <v>0</v>
      </c>
      <c r="Y2422" s="71">
        <f>CY2422</f>
        <v>0</v>
      </c>
      <c r="Z2422" s="71">
        <f>DA2422+DC2422+DE2422</f>
        <v>0</v>
      </c>
      <c r="AA2422" s="71">
        <f>CW2422</f>
        <v>0</v>
      </c>
      <c r="AB2422" s="71"/>
      <c r="AC2422" s="71">
        <v>0</v>
      </c>
      <c r="AD2422" s="71">
        <f>W2422+X2422+Y2422+Z2422+AA2422+AB2422+AC2422</f>
        <v>0</v>
      </c>
      <c r="AE2422" s="72">
        <v>0</v>
      </c>
      <c r="AF2422" s="5"/>
      <c r="AG2422" s="6"/>
      <c r="AH2422" s="27"/>
      <c r="AI2422" s="44"/>
      <c r="AJ2422" s="26"/>
      <c r="AK2422" s="5"/>
      <c r="AL2422" s="82" t="s">
        <v>5317</v>
      </c>
      <c r="AM2422" s="76"/>
      <c r="AN2422" s="76"/>
      <c r="AO2422" s="76"/>
      <c r="AP2422" s="76"/>
      <c r="AQ2422" s="76"/>
      <c r="AR2422" s="76"/>
      <c r="AS2422" s="76"/>
      <c r="AT2422" s="76"/>
      <c r="AU2422" s="76"/>
      <c r="AV2422" s="76"/>
      <c r="AW2422" s="76"/>
      <c r="AX2422" s="76">
        <f>+AW2422*600000</f>
        <v>0</v>
      </c>
      <c r="AY2422" s="76"/>
      <c r="AZ2422" s="76">
        <f>+AY2422*70000</f>
        <v>0</v>
      </c>
      <c r="BA2422" s="76"/>
      <c r="BB2422" s="76"/>
      <c r="BC2422" s="76"/>
      <c r="BD2422" s="76">
        <f>+BC2422*30000</f>
        <v>0</v>
      </c>
      <c r="BE2422" s="76"/>
      <c r="BF2422" s="76"/>
      <c r="BG2422" s="76"/>
      <c r="BH2422" s="76"/>
      <c r="BI2422" s="76"/>
      <c r="BJ2422" s="76"/>
      <c r="BK2422" s="76"/>
      <c r="BL2422" s="76">
        <f>+BK2422*31500</f>
        <v>0</v>
      </c>
      <c r="BM2422" s="76"/>
      <c r="BN2422" s="76"/>
      <c r="BO2422" s="76"/>
      <c r="BP2422" s="76"/>
      <c r="BQ2422" s="76"/>
      <c r="BR2422" s="76"/>
      <c r="BS2422" s="76"/>
      <c r="BT2422" s="76"/>
      <c r="BU2422" s="76"/>
      <c r="BV2422" s="76"/>
      <c r="BW2422" s="76"/>
      <c r="BX2422" s="76"/>
      <c r="BY2422" s="76"/>
      <c r="BZ2422" s="76"/>
      <c r="CA2422" s="76"/>
      <c r="CB2422" s="76"/>
      <c r="CC2422" s="76"/>
      <c r="CD2422" s="76"/>
      <c r="CE2422" s="76"/>
      <c r="CF2422" s="76">
        <f>+CE2422*28000</f>
        <v>0</v>
      </c>
      <c r="CG2422" s="76"/>
      <c r="CH2422" s="76">
        <f>+CG2422*22500</f>
        <v>0</v>
      </c>
      <c r="CI2422" s="76"/>
      <c r="CJ2422" s="76">
        <f>+CI2422*26000</f>
        <v>0</v>
      </c>
      <c r="CK2422" s="76"/>
      <c r="CL2422" s="76"/>
      <c r="CM2422" s="76"/>
      <c r="CN2422" s="76">
        <f>+CM2422*22000</f>
        <v>0</v>
      </c>
      <c r="CO2422" s="76"/>
      <c r="CP2422" s="76">
        <f>+CO2422*46000</f>
        <v>0</v>
      </c>
      <c r="CQ2422" s="76"/>
      <c r="CR2422" s="76">
        <f>+CQ2422*49000</f>
        <v>0</v>
      </c>
      <c r="CS2422" s="76"/>
      <c r="CT2422" s="76"/>
      <c r="CU2422" s="56">
        <f>AN2422+AP2422+AR2422+AT2422+AV2422+AX2422+AZ2422+BB2422+BD2422+BF2422+BH2422+BJ2422+BL2422+BN2422+BP2422+BR2422+BT2422+BV2422+BX2422+BZ2422+CB2422+CD2422+CF2422+CH2422+CJ2422+CL2422+CN2422+CP2422+CR2422+CT2422</f>
        <v>0</v>
      </c>
      <c r="CV2422" s="76"/>
      <c r="CW2422" s="76">
        <f>+CV2422*1100</f>
        <v>0</v>
      </c>
      <c r="CX2422" s="76"/>
      <c r="CY2422" s="76">
        <f>+CX2422*106250</f>
        <v>0</v>
      </c>
      <c r="CZ2422" s="76"/>
      <c r="DA2422" s="76">
        <f>+CZ2422*34500</f>
        <v>0</v>
      </c>
      <c r="DB2422" s="76"/>
      <c r="DC2422" s="76">
        <f>+DB2422*25000</f>
        <v>0</v>
      </c>
      <c r="DD2422" s="219"/>
      <c r="DE2422" s="219"/>
      <c r="DF2422" s="166"/>
      <c r="DG2422" s="116"/>
      <c r="DH2422" s="117"/>
      <c r="DI2422" s="24"/>
      <c r="DJ2422" s="24"/>
      <c r="DK2422" s="24"/>
      <c r="DL2422" s="24"/>
      <c r="DM2422" s="24"/>
      <c r="DN2422" s="24"/>
      <c r="DO2422" s="24"/>
      <c r="DP2422" s="24"/>
      <c r="DQ2422" s="24"/>
      <c r="DR2422" s="24"/>
      <c r="DS2422" s="24"/>
      <c r="DT2422" s="24"/>
      <c r="DU2422" s="24"/>
    </row>
    <row r="2423" spans="1:125" s="8" customFormat="1" ht="108" x14ac:dyDescent="0.2">
      <c r="A2423" s="353">
        <v>41477</v>
      </c>
      <c r="B2423" s="352" t="s">
        <v>3131</v>
      </c>
      <c r="C2423" s="354" t="s">
        <v>11</v>
      </c>
      <c r="D2423" s="354" t="s">
        <v>3088</v>
      </c>
      <c r="E2423" s="353" t="str">
        <f>VLOOKUP(B2423&amp;C2423,Divipola!$C$2:$F$1138,4,FALSE)</f>
        <v>86573</v>
      </c>
      <c r="F2423" s="87"/>
      <c r="G2423" s="87"/>
      <c r="H2423" s="87"/>
      <c r="I2423" s="87">
        <v>30</v>
      </c>
      <c r="J2423" s="87">
        <v>6</v>
      </c>
      <c r="K2423" s="87">
        <v>5</v>
      </c>
      <c r="L2423" s="87"/>
      <c r="M2423" s="87"/>
      <c r="N2423" s="87"/>
      <c r="O2423" s="87"/>
      <c r="P2423" s="87"/>
      <c r="Q2423" s="87"/>
      <c r="R2423" s="87"/>
      <c r="S2423" s="87"/>
      <c r="T2423" s="87"/>
      <c r="U2423" s="88"/>
      <c r="V2423" s="89"/>
      <c r="W2423" s="96">
        <v>4050000</v>
      </c>
      <c r="X2423" s="71">
        <f>CU2423</f>
        <v>0</v>
      </c>
      <c r="Y2423" s="71">
        <f>CY2423</f>
        <v>0</v>
      </c>
      <c r="Z2423" s="71">
        <f>DA2423+DC2423+DE2423</f>
        <v>0</v>
      </c>
      <c r="AA2423" s="71">
        <f>CW2423</f>
        <v>0</v>
      </c>
      <c r="AB2423" s="71"/>
      <c r="AC2423" s="71">
        <v>0</v>
      </c>
      <c r="AD2423" s="71">
        <f>W2423+X2423+Y2423+Z2423+AA2423+AB2423+AC2423</f>
        <v>4050000</v>
      </c>
      <c r="AE2423" s="72">
        <v>0</v>
      </c>
      <c r="AF2423" s="5"/>
      <c r="AG2423" s="6"/>
      <c r="AH2423" s="27"/>
      <c r="AI2423" s="44"/>
      <c r="AJ2423" s="26"/>
      <c r="AK2423" s="5"/>
      <c r="AL2423" s="82" t="s">
        <v>6344</v>
      </c>
      <c r="AM2423" s="76"/>
      <c r="AN2423" s="76"/>
      <c r="AO2423" s="76"/>
      <c r="AP2423" s="76"/>
      <c r="AQ2423" s="76"/>
      <c r="AR2423" s="76"/>
      <c r="AS2423" s="76"/>
      <c r="AT2423" s="76"/>
      <c r="AU2423" s="76"/>
      <c r="AV2423" s="76"/>
      <c r="AW2423" s="76"/>
      <c r="AX2423" s="76">
        <f>+AW2423*600000</f>
        <v>0</v>
      </c>
      <c r="AY2423" s="76"/>
      <c r="AZ2423" s="76">
        <f>+AY2423*70000</f>
        <v>0</v>
      </c>
      <c r="BA2423" s="76"/>
      <c r="BB2423" s="76"/>
      <c r="BC2423" s="76"/>
      <c r="BD2423" s="76">
        <f>+BC2423*30000</f>
        <v>0</v>
      </c>
      <c r="BE2423" s="76"/>
      <c r="BF2423" s="76"/>
      <c r="BG2423" s="76"/>
      <c r="BH2423" s="76"/>
      <c r="BI2423" s="76"/>
      <c r="BJ2423" s="76"/>
      <c r="BK2423" s="76"/>
      <c r="BL2423" s="76">
        <f>+BK2423*31500</f>
        <v>0</v>
      </c>
      <c r="BM2423" s="76"/>
      <c r="BN2423" s="76"/>
      <c r="BO2423" s="76"/>
      <c r="BP2423" s="76"/>
      <c r="BQ2423" s="76"/>
      <c r="BR2423" s="76"/>
      <c r="BS2423" s="76"/>
      <c r="BT2423" s="76"/>
      <c r="BU2423" s="76"/>
      <c r="BV2423" s="76"/>
      <c r="BW2423" s="76"/>
      <c r="BX2423" s="76"/>
      <c r="BY2423" s="76"/>
      <c r="BZ2423" s="76"/>
      <c r="CA2423" s="76"/>
      <c r="CB2423" s="76"/>
      <c r="CC2423" s="76"/>
      <c r="CD2423" s="76"/>
      <c r="CE2423" s="76"/>
      <c r="CF2423" s="76">
        <f>+CE2423*28000</f>
        <v>0</v>
      </c>
      <c r="CG2423" s="76"/>
      <c r="CH2423" s="76">
        <f>+CG2423*22500</f>
        <v>0</v>
      </c>
      <c r="CI2423" s="76"/>
      <c r="CJ2423" s="76">
        <f>+CI2423*26000</f>
        <v>0</v>
      </c>
      <c r="CK2423" s="76"/>
      <c r="CL2423" s="76"/>
      <c r="CM2423" s="76"/>
      <c r="CN2423" s="76">
        <f>+CM2423*22000</f>
        <v>0</v>
      </c>
      <c r="CO2423" s="76"/>
      <c r="CP2423" s="76">
        <f>+CO2423*46000</f>
        <v>0</v>
      </c>
      <c r="CQ2423" s="76"/>
      <c r="CR2423" s="76">
        <f>+CQ2423*49000</f>
        <v>0</v>
      </c>
      <c r="CS2423" s="76"/>
      <c r="CT2423" s="76"/>
      <c r="CU2423" s="56">
        <f>AN2423+AP2423+AR2423+AT2423+AV2423+AX2423+AZ2423+BB2423+BD2423+BF2423+BH2423+BJ2423+BL2423+BN2423+BP2423+BR2423+BT2423+BV2423+BX2423+BZ2423+CB2423+CD2423+CF2423+CH2423+CJ2423+CL2423+CN2423+CP2423+CR2423+CT2423</f>
        <v>0</v>
      </c>
      <c r="CV2423" s="76"/>
      <c r="CW2423" s="76">
        <f>+CV2423*1100</f>
        <v>0</v>
      </c>
      <c r="CX2423" s="76"/>
      <c r="CY2423" s="76">
        <f>+CX2423*106250</f>
        <v>0</v>
      </c>
      <c r="CZ2423" s="76"/>
      <c r="DA2423" s="76">
        <f>+CZ2423*34500</f>
        <v>0</v>
      </c>
      <c r="DB2423" s="76"/>
      <c r="DC2423" s="76">
        <f>+DB2423*25000</f>
        <v>0</v>
      </c>
      <c r="DD2423" s="219"/>
      <c r="DE2423" s="219"/>
      <c r="DF2423" s="166"/>
      <c r="DG2423" s="116"/>
      <c r="DH2423" s="117"/>
      <c r="DI2423" s="24"/>
      <c r="DJ2423" s="24"/>
      <c r="DK2423" s="24"/>
      <c r="DL2423" s="24"/>
      <c r="DM2423" s="24"/>
      <c r="DN2423" s="24"/>
      <c r="DO2423" s="24"/>
      <c r="DP2423" s="24"/>
      <c r="DQ2423" s="24"/>
      <c r="DR2423" s="24"/>
      <c r="DS2423" s="24"/>
      <c r="DT2423" s="24"/>
      <c r="DU2423" s="24"/>
    </row>
    <row r="2424" spans="1:125" s="8" customFormat="1" ht="132" x14ac:dyDescent="0.2">
      <c r="A2424" s="226">
        <v>41477</v>
      </c>
      <c r="B2424" s="225" t="s">
        <v>3131</v>
      </c>
      <c r="C2424" s="227" t="s">
        <v>11</v>
      </c>
      <c r="D2424" s="354" t="s">
        <v>3051</v>
      </c>
      <c r="E2424" s="353" t="str">
        <f>VLOOKUP(B2424&amp;C2424,Divipola!$C$2:$F$1138,4,FALSE)</f>
        <v>86573</v>
      </c>
      <c r="F2424" s="87"/>
      <c r="G2424" s="87"/>
      <c r="H2424" s="87"/>
      <c r="I2424" s="87">
        <v>1000</v>
      </c>
      <c r="J2424" s="87">
        <v>200</v>
      </c>
      <c r="K2424" s="87"/>
      <c r="L2424" s="87">
        <v>200</v>
      </c>
      <c r="M2424" s="87"/>
      <c r="N2424" s="87"/>
      <c r="O2424" s="87"/>
      <c r="P2424" s="87"/>
      <c r="Q2424" s="87"/>
      <c r="R2424" s="87"/>
      <c r="S2424" s="87"/>
      <c r="T2424" s="87"/>
      <c r="U2424" s="88"/>
      <c r="V2424" s="89"/>
      <c r="W2424" s="96">
        <v>4050000</v>
      </c>
      <c r="X2424" s="71">
        <f>CU2424</f>
        <v>0</v>
      </c>
      <c r="Y2424" s="71">
        <f>CY2424</f>
        <v>0</v>
      </c>
      <c r="Z2424" s="71">
        <f>DA2424+DC2424+DE2424</f>
        <v>0</v>
      </c>
      <c r="AA2424" s="71">
        <f>CW2424</f>
        <v>0</v>
      </c>
      <c r="AB2424" s="71"/>
      <c r="AC2424" s="71">
        <v>0</v>
      </c>
      <c r="AD2424" s="71">
        <f>W2424+X2424+Y2424+Z2424+AA2424+AB2424+AC2424</f>
        <v>4050000</v>
      </c>
      <c r="AE2424" s="72">
        <v>0</v>
      </c>
      <c r="AF2424" s="5"/>
      <c r="AG2424" s="6"/>
      <c r="AH2424" s="27"/>
      <c r="AI2424" s="44"/>
      <c r="AJ2424" s="26"/>
      <c r="AK2424" s="5"/>
      <c r="AL2424" s="82" t="s">
        <v>6931</v>
      </c>
      <c r="AM2424" s="76"/>
      <c r="AN2424" s="76"/>
      <c r="AO2424" s="76"/>
      <c r="AP2424" s="76"/>
      <c r="AQ2424" s="76"/>
      <c r="AR2424" s="76"/>
      <c r="AS2424" s="76"/>
      <c r="AT2424" s="76"/>
      <c r="AU2424" s="76"/>
      <c r="AV2424" s="76"/>
      <c r="AW2424" s="76"/>
      <c r="AX2424" s="76">
        <f>+AW2424*600000</f>
        <v>0</v>
      </c>
      <c r="AY2424" s="76"/>
      <c r="AZ2424" s="76">
        <f>+AY2424*70000</f>
        <v>0</v>
      </c>
      <c r="BA2424" s="76"/>
      <c r="BB2424" s="76"/>
      <c r="BC2424" s="76"/>
      <c r="BD2424" s="76">
        <f>+BC2424*30000</f>
        <v>0</v>
      </c>
      <c r="BE2424" s="76"/>
      <c r="BF2424" s="76"/>
      <c r="BG2424" s="76"/>
      <c r="BH2424" s="76"/>
      <c r="BI2424" s="76"/>
      <c r="BJ2424" s="76"/>
      <c r="BK2424" s="76"/>
      <c r="BL2424" s="76">
        <f>+BK2424*31500</f>
        <v>0</v>
      </c>
      <c r="BM2424" s="76"/>
      <c r="BN2424" s="76"/>
      <c r="BO2424" s="76"/>
      <c r="BP2424" s="76"/>
      <c r="BQ2424" s="76"/>
      <c r="BR2424" s="76"/>
      <c r="BS2424" s="76"/>
      <c r="BT2424" s="76"/>
      <c r="BU2424" s="76"/>
      <c r="BV2424" s="76"/>
      <c r="BW2424" s="76"/>
      <c r="BX2424" s="76"/>
      <c r="BY2424" s="76"/>
      <c r="BZ2424" s="76"/>
      <c r="CA2424" s="76"/>
      <c r="CB2424" s="76"/>
      <c r="CC2424" s="76"/>
      <c r="CD2424" s="76"/>
      <c r="CE2424" s="76"/>
      <c r="CF2424" s="76">
        <f>+CE2424*28000</f>
        <v>0</v>
      </c>
      <c r="CG2424" s="76"/>
      <c r="CH2424" s="76">
        <f>+CG2424*22500</f>
        <v>0</v>
      </c>
      <c r="CI2424" s="76"/>
      <c r="CJ2424" s="76">
        <f>+CI2424*26000</f>
        <v>0</v>
      </c>
      <c r="CK2424" s="76"/>
      <c r="CL2424" s="76"/>
      <c r="CM2424" s="76"/>
      <c r="CN2424" s="76">
        <f>+CM2424*22000</f>
        <v>0</v>
      </c>
      <c r="CO2424" s="76"/>
      <c r="CP2424" s="76">
        <f>+CO2424*46000</f>
        <v>0</v>
      </c>
      <c r="CQ2424" s="76"/>
      <c r="CR2424" s="76">
        <f>+CQ2424*49000</f>
        <v>0</v>
      </c>
      <c r="CS2424" s="76"/>
      <c r="CT2424" s="76"/>
      <c r="CU2424" s="56">
        <f>AN2424+AP2424+AR2424+AT2424+AV2424+AX2424+AZ2424+BB2424+BD2424+BF2424+BH2424+BJ2424+BL2424+BN2424+BP2424+BR2424+BT2424+BV2424+BX2424+BZ2424+CB2424+CD2424+CF2424+CH2424+CJ2424+CL2424+CN2424+CP2424+CR2424+CT2424</f>
        <v>0</v>
      </c>
      <c r="CV2424" s="76"/>
      <c r="CW2424" s="76">
        <f>+CV2424*1100</f>
        <v>0</v>
      </c>
      <c r="CX2424" s="76"/>
      <c r="CY2424" s="76">
        <f>+CX2424*106250</f>
        <v>0</v>
      </c>
      <c r="CZ2424" s="76"/>
      <c r="DA2424" s="76">
        <f>+CZ2424*34500</f>
        <v>0</v>
      </c>
      <c r="DB2424" s="76"/>
      <c r="DC2424" s="76">
        <f>+DB2424*25000</f>
        <v>0</v>
      </c>
      <c r="DD2424" s="219"/>
      <c r="DE2424" s="219"/>
      <c r="DF2424" s="166"/>
      <c r="DG2424" s="116"/>
      <c r="DH2424" s="117"/>
      <c r="DI2424" s="24"/>
      <c r="DJ2424" s="24"/>
      <c r="DK2424" s="24"/>
      <c r="DL2424" s="24"/>
      <c r="DM2424" s="24"/>
      <c r="DN2424" s="24"/>
      <c r="DO2424" s="24"/>
      <c r="DP2424" s="24"/>
      <c r="DQ2424" s="24"/>
      <c r="DR2424" s="24"/>
      <c r="DS2424" s="24"/>
      <c r="DT2424" s="24"/>
      <c r="DU2424" s="24"/>
    </row>
    <row r="2425" spans="1:125" s="8" customFormat="1" ht="156" x14ac:dyDescent="0.2">
      <c r="A2425" s="226">
        <v>41477</v>
      </c>
      <c r="B2425" s="225" t="s">
        <v>2860</v>
      </c>
      <c r="C2425" s="227" t="s">
        <v>2691</v>
      </c>
      <c r="D2425" s="354" t="s">
        <v>3017</v>
      </c>
      <c r="E2425" s="353" t="str">
        <f>VLOOKUP(B2425&amp;C2425,Divipola!$C$2:$F$1138,4,FALSE)</f>
        <v>63690</v>
      </c>
      <c r="F2425" s="87"/>
      <c r="G2425" s="87">
        <v>2</v>
      </c>
      <c r="H2425" s="87"/>
      <c r="I2425" s="87">
        <v>3</v>
      </c>
      <c r="J2425" s="87"/>
      <c r="K2425" s="87"/>
      <c r="L2425" s="87"/>
      <c r="M2425" s="87"/>
      <c r="N2425" s="87"/>
      <c r="O2425" s="87"/>
      <c r="P2425" s="87"/>
      <c r="Q2425" s="87"/>
      <c r="R2425" s="87"/>
      <c r="S2425" s="87"/>
      <c r="T2425" s="87"/>
      <c r="U2425" s="88"/>
      <c r="V2425" s="89"/>
      <c r="W2425" s="96">
        <v>0</v>
      </c>
      <c r="X2425" s="71">
        <f>CU2425</f>
        <v>0</v>
      </c>
      <c r="Y2425" s="71">
        <f>CY2425</f>
        <v>0</v>
      </c>
      <c r="Z2425" s="71">
        <f>DA2425+DC2425+DE2425</f>
        <v>0</v>
      </c>
      <c r="AA2425" s="71">
        <f>CW2425</f>
        <v>0</v>
      </c>
      <c r="AB2425" s="71"/>
      <c r="AC2425" s="71">
        <v>0</v>
      </c>
      <c r="AD2425" s="71">
        <f>W2425+X2425+Y2425+Z2425+AA2425+AB2425+AC2425</f>
        <v>0</v>
      </c>
      <c r="AE2425" s="72">
        <v>0</v>
      </c>
      <c r="AF2425" s="5"/>
      <c r="AG2425" s="6"/>
      <c r="AH2425" s="27"/>
      <c r="AI2425" s="44"/>
      <c r="AJ2425" s="26"/>
      <c r="AK2425" s="5"/>
      <c r="AL2425" s="82" t="s">
        <v>5318</v>
      </c>
      <c r="AM2425" s="76"/>
      <c r="AN2425" s="76"/>
      <c r="AO2425" s="76"/>
      <c r="AP2425" s="76"/>
      <c r="AQ2425" s="76"/>
      <c r="AR2425" s="76"/>
      <c r="AS2425" s="76"/>
      <c r="AT2425" s="76"/>
      <c r="AU2425" s="76"/>
      <c r="AV2425" s="76"/>
      <c r="AW2425" s="76"/>
      <c r="AX2425" s="76">
        <f>+AW2425*600000</f>
        <v>0</v>
      </c>
      <c r="AY2425" s="76"/>
      <c r="AZ2425" s="76">
        <f>+AY2425*70000</f>
        <v>0</v>
      </c>
      <c r="BA2425" s="76"/>
      <c r="BB2425" s="76"/>
      <c r="BC2425" s="76"/>
      <c r="BD2425" s="76">
        <f>+BC2425*30000</f>
        <v>0</v>
      </c>
      <c r="BE2425" s="76"/>
      <c r="BF2425" s="76"/>
      <c r="BG2425" s="76"/>
      <c r="BH2425" s="76"/>
      <c r="BI2425" s="76"/>
      <c r="BJ2425" s="76"/>
      <c r="BK2425" s="76"/>
      <c r="BL2425" s="76">
        <f>+BK2425*31500</f>
        <v>0</v>
      </c>
      <c r="BM2425" s="76"/>
      <c r="BN2425" s="76"/>
      <c r="BO2425" s="76"/>
      <c r="BP2425" s="76"/>
      <c r="BQ2425" s="76"/>
      <c r="BR2425" s="76"/>
      <c r="BS2425" s="76"/>
      <c r="BT2425" s="76"/>
      <c r="BU2425" s="76"/>
      <c r="BV2425" s="76"/>
      <c r="BW2425" s="76"/>
      <c r="BX2425" s="76"/>
      <c r="BY2425" s="76"/>
      <c r="BZ2425" s="76"/>
      <c r="CA2425" s="76"/>
      <c r="CB2425" s="76"/>
      <c r="CC2425" s="76"/>
      <c r="CD2425" s="76"/>
      <c r="CE2425" s="76"/>
      <c r="CF2425" s="76">
        <f>+CE2425*28000</f>
        <v>0</v>
      </c>
      <c r="CG2425" s="76"/>
      <c r="CH2425" s="76">
        <f>+CG2425*22500</f>
        <v>0</v>
      </c>
      <c r="CI2425" s="76"/>
      <c r="CJ2425" s="76">
        <f>+CI2425*26000</f>
        <v>0</v>
      </c>
      <c r="CK2425" s="76"/>
      <c r="CL2425" s="76"/>
      <c r="CM2425" s="76"/>
      <c r="CN2425" s="76">
        <f>+CM2425*22000</f>
        <v>0</v>
      </c>
      <c r="CO2425" s="76"/>
      <c r="CP2425" s="76">
        <f>+CO2425*46000</f>
        <v>0</v>
      </c>
      <c r="CQ2425" s="76"/>
      <c r="CR2425" s="76">
        <f>+CQ2425*49000</f>
        <v>0</v>
      </c>
      <c r="CS2425" s="76"/>
      <c r="CT2425" s="76"/>
      <c r="CU2425" s="56">
        <f>AN2425+AP2425+AR2425+AT2425+AV2425+AX2425+AZ2425+BB2425+BD2425+BF2425+BH2425+BJ2425+BL2425+BN2425+BP2425+BR2425+BT2425+BV2425+BX2425+BZ2425+CB2425+CD2425+CF2425+CH2425+CJ2425+CL2425+CN2425+CP2425+CR2425+CT2425</f>
        <v>0</v>
      </c>
      <c r="CV2425" s="76"/>
      <c r="CW2425" s="76">
        <f>+CV2425*1100</f>
        <v>0</v>
      </c>
      <c r="CX2425" s="76"/>
      <c r="CY2425" s="76">
        <f>+CX2425*106250</f>
        <v>0</v>
      </c>
      <c r="CZ2425" s="76"/>
      <c r="DA2425" s="76">
        <f>+CZ2425*34500</f>
        <v>0</v>
      </c>
      <c r="DB2425" s="76"/>
      <c r="DC2425" s="76">
        <f>+DB2425*25000</f>
        <v>0</v>
      </c>
      <c r="DD2425" s="219"/>
      <c r="DE2425" s="219"/>
      <c r="DF2425" s="166"/>
      <c r="DG2425" s="116"/>
      <c r="DH2425" s="117"/>
      <c r="DI2425" s="24"/>
      <c r="DJ2425" s="24"/>
      <c r="DK2425" s="24"/>
      <c r="DL2425" s="24"/>
      <c r="DM2425" s="24"/>
      <c r="DN2425" s="24"/>
      <c r="DO2425" s="24"/>
      <c r="DP2425" s="24"/>
      <c r="DQ2425" s="24"/>
      <c r="DR2425" s="24"/>
      <c r="DS2425" s="24"/>
      <c r="DT2425" s="24"/>
      <c r="DU2425" s="24"/>
    </row>
    <row r="2426" spans="1:125" s="8" customFormat="1" ht="48" x14ac:dyDescent="0.2">
      <c r="A2426" s="226">
        <v>41477</v>
      </c>
      <c r="B2426" s="225" t="s">
        <v>2774</v>
      </c>
      <c r="C2426" s="227" t="s">
        <v>2752</v>
      </c>
      <c r="D2426" s="227" t="s">
        <v>2846</v>
      </c>
      <c r="E2426" s="353" t="str">
        <f>VLOOKUP(B2426&amp;C2426,Divipola!$C$2:$F$1138,4,FALSE)</f>
        <v>66687</v>
      </c>
      <c r="F2426" s="87"/>
      <c r="G2426" s="87"/>
      <c r="H2426" s="87"/>
      <c r="I2426" s="87"/>
      <c r="J2426" s="87"/>
      <c r="K2426" s="87"/>
      <c r="L2426" s="87"/>
      <c r="M2426" s="87"/>
      <c r="N2426" s="87"/>
      <c r="O2426" s="87"/>
      <c r="P2426" s="87"/>
      <c r="Q2426" s="87"/>
      <c r="R2426" s="87"/>
      <c r="S2426" s="87"/>
      <c r="T2426" s="87"/>
      <c r="U2426" s="88">
        <v>4</v>
      </c>
      <c r="V2426" s="89"/>
      <c r="W2426" s="96">
        <v>0</v>
      </c>
      <c r="X2426" s="71">
        <f>CU2426</f>
        <v>0</v>
      </c>
      <c r="Y2426" s="71">
        <f>CY2426</f>
        <v>0</v>
      </c>
      <c r="Z2426" s="71">
        <f>DA2426+DC2426+DE2426</f>
        <v>0</v>
      </c>
      <c r="AA2426" s="71">
        <f>CW2426</f>
        <v>0</v>
      </c>
      <c r="AB2426" s="71"/>
      <c r="AC2426" s="71">
        <v>0</v>
      </c>
      <c r="AD2426" s="71">
        <f>W2426+X2426+Y2426+Z2426+AA2426+AB2426+AC2426</f>
        <v>0</v>
      </c>
      <c r="AE2426" s="72">
        <v>0</v>
      </c>
      <c r="AF2426" s="5"/>
      <c r="AG2426" s="6"/>
      <c r="AH2426" s="27"/>
      <c r="AI2426" s="44"/>
      <c r="AJ2426" s="26"/>
      <c r="AK2426" s="5"/>
      <c r="AL2426" s="82" t="s">
        <v>5297</v>
      </c>
      <c r="AM2426" s="76"/>
      <c r="AN2426" s="76"/>
      <c r="AO2426" s="76"/>
      <c r="AP2426" s="76"/>
      <c r="AQ2426" s="76"/>
      <c r="AR2426" s="76"/>
      <c r="AS2426" s="76"/>
      <c r="AT2426" s="76"/>
      <c r="AU2426" s="76"/>
      <c r="AV2426" s="76"/>
      <c r="AW2426" s="76"/>
      <c r="AX2426" s="76">
        <f>+AW2426*600000</f>
        <v>0</v>
      </c>
      <c r="AY2426" s="76"/>
      <c r="AZ2426" s="76">
        <f>+AY2426*70000</f>
        <v>0</v>
      </c>
      <c r="BA2426" s="76"/>
      <c r="BB2426" s="76"/>
      <c r="BC2426" s="76"/>
      <c r="BD2426" s="76">
        <f>+BC2426*30000</f>
        <v>0</v>
      </c>
      <c r="BE2426" s="76"/>
      <c r="BF2426" s="76"/>
      <c r="BG2426" s="76"/>
      <c r="BH2426" s="76"/>
      <c r="BI2426" s="76"/>
      <c r="BJ2426" s="76"/>
      <c r="BK2426" s="76"/>
      <c r="BL2426" s="76">
        <f>+BK2426*31500</f>
        <v>0</v>
      </c>
      <c r="BM2426" s="76"/>
      <c r="BN2426" s="76"/>
      <c r="BO2426" s="76"/>
      <c r="BP2426" s="76"/>
      <c r="BQ2426" s="76"/>
      <c r="BR2426" s="76"/>
      <c r="BS2426" s="76"/>
      <c r="BT2426" s="76"/>
      <c r="BU2426" s="76"/>
      <c r="BV2426" s="76"/>
      <c r="BW2426" s="76"/>
      <c r="BX2426" s="76"/>
      <c r="BY2426" s="76"/>
      <c r="BZ2426" s="76"/>
      <c r="CA2426" s="76"/>
      <c r="CB2426" s="76"/>
      <c r="CC2426" s="76"/>
      <c r="CD2426" s="76"/>
      <c r="CE2426" s="76"/>
      <c r="CF2426" s="76">
        <f>+CE2426*28000</f>
        <v>0</v>
      </c>
      <c r="CG2426" s="76"/>
      <c r="CH2426" s="76">
        <f>+CG2426*22500</f>
        <v>0</v>
      </c>
      <c r="CI2426" s="76"/>
      <c r="CJ2426" s="76">
        <f>+CI2426*26000</f>
        <v>0</v>
      </c>
      <c r="CK2426" s="76"/>
      <c r="CL2426" s="76"/>
      <c r="CM2426" s="76"/>
      <c r="CN2426" s="76">
        <f>+CM2426*22000</f>
        <v>0</v>
      </c>
      <c r="CO2426" s="76"/>
      <c r="CP2426" s="76">
        <f>+CO2426*46000</f>
        <v>0</v>
      </c>
      <c r="CQ2426" s="76"/>
      <c r="CR2426" s="76">
        <f>+CQ2426*49000</f>
        <v>0</v>
      </c>
      <c r="CS2426" s="76"/>
      <c r="CT2426" s="76"/>
      <c r="CU2426" s="56">
        <f>AN2426+AP2426+AR2426+AT2426+AV2426+AX2426+AZ2426+BB2426+BD2426+BF2426+BH2426+BJ2426+BL2426+BN2426+BP2426+BR2426+BT2426+BV2426+BX2426+BZ2426+CB2426+CD2426+CF2426+CH2426+CJ2426+CL2426+CN2426+CP2426+CR2426+CT2426</f>
        <v>0</v>
      </c>
      <c r="CV2426" s="76"/>
      <c r="CW2426" s="76">
        <f>+CV2426*1100</f>
        <v>0</v>
      </c>
      <c r="CX2426" s="76"/>
      <c r="CY2426" s="76">
        <f>+CX2426*106250</f>
        <v>0</v>
      </c>
      <c r="CZ2426" s="76"/>
      <c r="DA2426" s="76">
        <f>+CZ2426*34500</f>
        <v>0</v>
      </c>
      <c r="DB2426" s="76"/>
      <c r="DC2426" s="76">
        <f>+DB2426*25000</f>
        <v>0</v>
      </c>
      <c r="DD2426" s="219"/>
      <c r="DE2426" s="219"/>
      <c r="DF2426" s="166"/>
      <c r="DG2426" s="116"/>
      <c r="DH2426" s="117"/>
      <c r="DI2426" s="24"/>
      <c r="DJ2426" s="24"/>
      <c r="DK2426" s="24"/>
      <c r="DL2426" s="24"/>
      <c r="DM2426" s="24"/>
      <c r="DN2426" s="24"/>
      <c r="DO2426" s="24"/>
      <c r="DP2426" s="24"/>
      <c r="DQ2426" s="24"/>
      <c r="DR2426" s="24"/>
      <c r="DS2426" s="24"/>
      <c r="DT2426" s="24"/>
      <c r="DU2426" s="24"/>
    </row>
    <row r="2427" spans="1:125" s="8" customFormat="1" ht="36" x14ac:dyDescent="0.2">
      <c r="A2427" s="226">
        <v>41477</v>
      </c>
      <c r="B2427" s="225" t="s">
        <v>2847</v>
      </c>
      <c r="C2427" s="227" t="s">
        <v>2673</v>
      </c>
      <c r="D2427" s="227" t="s">
        <v>2846</v>
      </c>
      <c r="E2427" s="353" t="str">
        <f>VLOOKUP(B2427&amp;C2427,Divipola!$C$2:$F$1138,4,FALSE)</f>
        <v>68001</v>
      </c>
      <c r="F2427" s="87"/>
      <c r="G2427" s="87"/>
      <c r="H2427" s="87"/>
      <c r="I2427" s="87"/>
      <c r="J2427" s="87"/>
      <c r="K2427" s="87"/>
      <c r="L2427" s="87"/>
      <c r="M2427" s="87"/>
      <c r="N2427" s="87"/>
      <c r="O2427" s="87"/>
      <c r="P2427" s="87"/>
      <c r="Q2427" s="87"/>
      <c r="R2427" s="87"/>
      <c r="S2427" s="87"/>
      <c r="T2427" s="87"/>
      <c r="U2427" s="88"/>
      <c r="V2427" s="89"/>
      <c r="W2427" s="96">
        <v>0</v>
      </c>
      <c r="X2427" s="71">
        <f>CU2427</f>
        <v>0</v>
      </c>
      <c r="Y2427" s="71">
        <f>CY2427</f>
        <v>0</v>
      </c>
      <c r="Z2427" s="71">
        <f>DA2427+DC2427+DE2427</f>
        <v>0</v>
      </c>
      <c r="AA2427" s="71">
        <f>CW2427</f>
        <v>0</v>
      </c>
      <c r="AB2427" s="71"/>
      <c r="AC2427" s="71">
        <v>0</v>
      </c>
      <c r="AD2427" s="71">
        <f>W2427+X2427+Y2427+Z2427+AA2427+AB2427+AC2427</f>
        <v>0</v>
      </c>
      <c r="AE2427" s="72">
        <v>0</v>
      </c>
      <c r="AF2427" s="5"/>
      <c r="AG2427" s="6"/>
      <c r="AH2427" s="27"/>
      <c r="AI2427" s="44"/>
      <c r="AJ2427" s="26"/>
      <c r="AK2427" s="5"/>
      <c r="AL2427" s="82" t="s">
        <v>5299</v>
      </c>
      <c r="AM2427" s="76"/>
      <c r="AN2427" s="76"/>
      <c r="AO2427" s="76"/>
      <c r="AP2427" s="76"/>
      <c r="AQ2427" s="76"/>
      <c r="AR2427" s="76"/>
      <c r="AS2427" s="76"/>
      <c r="AT2427" s="76"/>
      <c r="AU2427" s="76"/>
      <c r="AV2427" s="76"/>
      <c r="AW2427" s="76"/>
      <c r="AX2427" s="76">
        <f>+AW2427*600000</f>
        <v>0</v>
      </c>
      <c r="AY2427" s="76"/>
      <c r="AZ2427" s="76">
        <f>+AY2427*70000</f>
        <v>0</v>
      </c>
      <c r="BA2427" s="76"/>
      <c r="BB2427" s="76"/>
      <c r="BC2427" s="76"/>
      <c r="BD2427" s="76">
        <f>+BC2427*30000</f>
        <v>0</v>
      </c>
      <c r="BE2427" s="76"/>
      <c r="BF2427" s="76"/>
      <c r="BG2427" s="76"/>
      <c r="BH2427" s="76"/>
      <c r="BI2427" s="76"/>
      <c r="BJ2427" s="76"/>
      <c r="BK2427" s="76"/>
      <c r="BL2427" s="76">
        <f>+BK2427*31500</f>
        <v>0</v>
      </c>
      <c r="BM2427" s="76"/>
      <c r="BN2427" s="76"/>
      <c r="BO2427" s="76"/>
      <c r="BP2427" s="76"/>
      <c r="BQ2427" s="76"/>
      <c r="BR2427" s="76"/>
      <c r="BS2427" s="76"/>
      <c r="BT2427" s="76"/>
      <c r="BU2427" s="76"/>
      <c r="BV2427" s="76"/>
      <c r="BW2427" s="76"/>
      <c r="BX2427" s="76"/>
      <c r="BY2427" s="76"/>
      <c r="BZ2427" s="76"/>
      <c r="CA2427" s="76"/>
      <c r="CB2427" s="76"/>
      <c r="CC2427" s="76"/>
      <c r="CD2427" s="76"/>
      <c r="CE2427" s="76"/>
      <c r="CF2427" s="76">
        <f>+CE2427*28000</f>
        <v>0</v>
      </c>
      <c r="CG2427" s="76"/>
      <c r="CH2427" s="76">
        <f>+CG2427*22500</f>
        <v>0</v>
      </c>
      <c r="CI2427" s="76"/>
      <c r="CJ2427" s="76">
        <f>+CI2427*26000</f>
        <v>0</v>
      </c>
      <c r="CK2427" s="76"/>
      <c r="CL2427" s="76"/>
      <c r="CM2427" s="76"/>
      <c r="CN2427" s="76">
        <f>+CM2427*22000</f>
        <v>0</v>
      </c>
      <c r="CO2427" s="76"/>
      <c r="CP2427" s="76">
        <f>+CO2427*46000</f>
        <v>0</v>
      </c>
      <c r="CQ2427" s="76"/>
      <c r="CR2427" s="76">
        <f>+CQ2427*49000</f>
        <v>0</v>
      </c>
      <c r="CS2427" s="76"/>
      <c r="CT2427" s="76"/>
      <c r="CU2427" s="56">
        <f>AN2427+AP2427+AR2427+AT2427+AV2427+AX2427+AZ2427+BB2427+BD2427+BF2427+BH2427+BJ2427+BL2427+BN2427+BP2427+BR2427+BT2427+BV2427+BX2427+BZ2427+CB2427+CD2427+CF2427+CH2427+CJ2427+CL2427+CN2427+CP2427+CR2427+CT2427</f>
        <v>0</v>
      </c>
      <c r="CV2427" s="76"/>
      <c r="CW2427" s="76">
        <f>+CV2427*1100</f>
        <v>0</v>
      </c>
      <c r="CX2427" s="76"/>
      <c r="CY2427" s="76">
        <f>+CX2427*106250</f>
        <v>0</v>
      </c>
      <c r="CZ2427" s="76"/>
      <c r="DA2427" s="76">
        <f>+CZ2427*34500</f>
        <v>0</v>
      </c>
      <c r="DB2427" s="76"/>
      <c r="DC2427" s="76">
        <f>+DB2427*25000</f>
        <v>0</v>
      </c>
      <c r="DD2427" s="219"/>
      <c r="DE2427" s="219"/>
      <c r="DF2427" s="166"/>
      <c r="DG2427" s="116"/>
      <c r="DH2427" s="117"/>
      <c r="DI2427" s="24"/>
      <c r="DJ2427" s="24"/>
      <c r="DK2427" s="24"/>
      <c r="DL2427" s="24"/>
      <c r="DM2427" s="24"/>
      <c r="DN2427" s="24"/>
      <c r="DO2427" s="24"/>
      <c r="DP2427" s="24"/>
      <c r="DQ2427" s="24"/>
      <c r="DR2427" s="24"/>
      <c r="DS2427" s="24"/>
      <c r="DT2427" s="24"/>
      <c r="DU2427" s="24"/>
    </row>
    <row r="2428" spans="1:125" s="8" customFormat="1" ht="36" x14ac:dyDescent="0.2">
      <c r="A2428" s="226">
        <v>41477</v>
      </c>
      <c r="B2428" s="225" t="s">
        <v>2847</v>
      </c>
      <c r="C2428" s="227" t="s">
        <v>2814</v>
      </c>
      <c r="D2428" s="354" t="s">
        <v>2846</v>
      </c>
      <c r="E2428" s="353" t="str">
        <f>VLOOKUP(B2428&amp;C2428,Divipola!$C$2:$F$1138,4,FALSE)</f>
        <v>68307</v>
      </c>
      <c r="F2428" s="87"/>
      <c r="G2428" s="87"/>
      <c r="H2428" s="87"/>
      <c r="I2428" s="87"/>
      <c r="J2428" s="87"/>
      <c r="K2428" s="87"/>
      <c r="L2428" s="87"/>
      <c r="M2428" s="87"/>
      <c r="N2428" s="87"/>
      <c r="O2428" s="87"/>
      <c r="P2428" s="87"/>
      <c r="Q2428" s="87"/>
      <c r="R2428" s="87"/>
      <c r="S2428" s="87"/>
      <c r="T2428" s="87"/>
      <c r="U2428" s="88"/>
      <c r="V2428" s="89"/>
      <c r="W2428" s="96">
        <v>0</v>
      </c>
      <c r="X2428" s="71">
        <f>CU2428</f>
        <v>0</v>
      </c>
      <c r="Y2428" s="71">
        <f>CY2428</f>
        <v>0</v>
      </c>
      <c r="Z2428" s="71">
        <f>DA2428+DC2428+DE2428</f>
        <v>0</v>
      </c>
      <c r="AA2428" s="71">
        <f>CW2428</f>
        <v>0</v>
      </c>
      <c r="AB2428" s="71"/>
      <c r="AC2428" s="71">
        <v>0</v>
      </c>
      <c r="AD2428" s="71">
        <f>W2428+X2428+Y2428+Z2428+AA2428+AB2428+AC2428</f>
        <v>0</v>
      </c>
      <c r="AE2428" s="72">
        <v>0</v>
      </c>
      <c r="AF2428" s="5"/>
      <c r="AG2428" s="6"/>
      <c r="AH2428" s="27"/>
      <c r="AI2428" s="44"/>
      <c r="AJ2428" s="26"/>
      <c r="AK2428" s="5"/>
      <c r="AL2428" s="82" t="s">
        <v>5298</v>
      </c>
      <c r="AM2428" s="76"/>
      <c r="AN2428" s="76"/>
      <c r="AO2428" s="76"/>
      <c r="AP2428" s="76"/>
      <c r="AQ2428" s="76"/>
      <c r="AR2428" s="76"/>
      <c r="AS2428" s="76"/>
      <c r="AT2428" s="76"/>
      <c r="AU2428" s="76"/>
      <c r="AV2428" s="76"/>
      <c r="AW2428" s="76"/>
      <c r="AX2428" s="76">
        <f>+AW2428*600000</f>
        <v>0</v>
      </c>
      <c r="AY2428" s="76"/>
      <c r="AZ2428" s="76">
        <f>+AY2428*70000</f>
        <v>0</v>
      </c>
      <c r="BA2428" s="76"/>
      <c r="BB2428" s="76"/>
      <c r="BC2428" s="76"/>
      <c r="BD2428" s="76">
        <f>+BC2428*30000</f>
        <v>0</v>
      </c>
      <c r="BE2428" s="76"/>
      <c r="BF2428" s="76"/>
      <c r="BG2428" s="76"/>
      <c r="BH2428" s="76"/>
      <c r="BI2428" s="76"/>
      <c r="BJ2428" s="76"/>
      <c r="BK2428" s="76"/>
      <c r="BL2428" s="76">
        <f>+BK2428*31500</f>
        <v>0</v>
      </c>
      <c r="BM2428" s="76"/>
      <c r="BN2428" s="76"/>
      <c r="BO2428" s="76"/>
      <c r="BP2428" s="76"/>
      <c r="BQ2428" s="76"/>
      <c r="BR2428" s="76"/>
      <c r="BS2428" s="76"/>
      <c r="BT2428" s="76"/>
      <c r="BU2428" s="76"/>
      <c r="BV2428" s="76"/>
      <c r="BW2428" s="76"/>
      <c r="BX2428" s="76"/>
      <c r="BY2428" s="76"/>
      <c r="BZ2428" s="76"/>
      <c r="CA2428" s="76"/>
      <c r="CB2428" s="76"/>
      <c r="CC2428" s="76"/>
      <c r="CD2428" s="76"/>
      <c r="CE2428" s="76"/>
      <c r="CF2428" s="76">
        <f>+CE2428*28000</f>
        <v>0</v>
      </c>
      <c r="CG2428" s="76"/>
      <c r="CH2428" s="76">
        <f>+CG2428*22500</f>
        <v>0</v>
      </c>
      <c r="CI2428" s="76"/>
      <c r="CJ2428" s="76">
        <f>+CI2428*26000</f>
        <v>0</v>
      </c>
      <c r="CK2428" s="76"/>
      <c r="CL2428" s="76"/>
      <c r="CM2428" s="76"/>
      <c r="CN2428" s="76">
        <f>+CM2428*22000</f>
        <v>0</v>
      </c>
      <c r="CO2428" s="76"/>
      <c r="CP2428" s="76">
        <f>+CO2428*46000</f>
        <v>0</v>
      </c>
      <c r="CQ2428" s="76"/>
      <c r="CR2428" s="76">
        <f>+CQ2428*49000</f>
        <v>0</v>
      </c>
      <c r="CS2428" s="76"/>
      <c r="CT2428" s="76"/>
      <c r="CU2428" s="56">
        <f>AN2428+AP2428+AR2428+AT2428+AV2428+AX2428+AZ2428+BB2428+BD2428+BF2428+BH2428+BJ2428+BL2428+BN2428+BP2428+BR2428+BT2428+BV2428+BX2428+BZ2428+CB2428+CD2428+CF2428+CH2428+CJ2428+CL2428+CN2428+CP2428+CR2428+CT2428</f>
        <v>0</v>
      </c>
      <c r="CV2428" s="76"/>
      <c r="CW2428" s="76">
        <f>+CV2428*1100</f>
        <v>0</v>
      </c>
      <c r="CX2428" s="76"/>
      <c r="CY2428" s="76">
        <f>+CX2428*106250</f>
        <v>0</v>
      </c>
      <c r="CZ2428" s="76"/>
      <c r="DA2428" s="76">
        <f>+CZ2428*34500</f>
        <v>0</v>
      </c>
      <c r="DB2428" s="76"/>
      <c r="DC2428" s="76">
        <f>+DB2428*25000</f>
        <v>0</v>
      </c>
      <c r="DD2428" s="219"/>
      <c r="DE2428" s="219"/>
      <c r="DF2428" s="166"/>
      <c r="DG2428" s="116"/>
      <c r="DH2428" s="117"/>
      <c r="DI2428" s="24"/>
      <c r="DJ2428" s="24"/>
      <c r="DK2428" s="24"/>
      <c r="DL2428" s="24"/>
      <c r="DM2428" s="24"/>
      <c r="DN2428" s="24"/>
      <c r="DO2428" s="24"/>
      <c r="DP2428" s="24"/>
      <c r="DQ2428" s="24"/>
      <c r="DR2428" s="24"/>
      <c r="DS2428" s="24"/>
      <c r="DT2428" s="24"/>
      <c r="DU2428" s="24"/>
    </row>
    <row r="2429" spans="1:125" s="8" customFormat="1" ht="168" x14ac:dyDescent="0.2">
      <c r="A2429" s="226">
        <v>41478</v>
      </c>
      <c r="B2429" s="225" t="s">
        <v>529</v>
      </c>
      <c r="C2429" s="227" t="s">
        <v>529</v>
      </c>
      <c r="D2429" s="227" t="s">
        <v>2859</v>
      </c>
      <c r="E2429" s="353" t="str">
        <f>VLOOKUP(B2429&amp;C2429,Divipola!$C$2:$F$1138,4,FALSE)</f>
        <v>11001</v>
      </c>
      <c r="F2429" s="87"/>
      <c r="G2429" s="87"/>
      <c r="H2429" s="87"/>
      <c r="I2429" s="87"/>
      <c r="J2429" s="87"/>
      <c r="K2429" s="87"/>
      <c r="L2429" s="87"/>
      <c r="M2429" s="87"/>
      <c r="N2429" s="87"/>
      <c r="O2429" s="87"/>
      <c r="P2429" s="87"/>
      <c r="Q2429" s="87"/>
      <c r="R2429" s="87"/>
      <c r="S2429" s="87"/>
      <c r="T2429" s="87"/>
      <c r="U2429" s="88"/>
      <c r="V2429" s="89"/>
      <c r="W2429" s="96">
        <v>0</v>
      </c>
      <c r="X2429" s="71">
        <f>CU2429</f>
        <v>0</v>
      </c>
      <c r="Y2429" s="71">
        <f>CY2429</f>
        <v>0</v>
      </c>
      <c r="Z2429" s="71">
        <f>DA2429+DC2429+DE2429</f>
        <v>0</v>
      </c>
      <c r="AA2429" s="71">
        <f>CW2429</f>
        <v>0</v>
      </c>
      <c r="AB2429" s="71"/>
      <c r="AC2429" s="71">
        <v>0</v>
      </c>
      <c r="AD2429" s="71">
        <f>W2429+X2429+Y2429+Z2429+AA2429+AB2429+AC2429</f>
        <v>0</v>
      </c>
      <c r="AE2429" s="72">
        <v>0</v>
      </c>
      <c r="AF2429" s="5"/>
      <c r="AG2429" s="6"/>
      <c r="AH2429" s="27"/>
      <c r="AI2429" s="44"/>
      <c r="AJ2429" s="26"/>
      <c r="AK2429" s="5"/>
      <c r="AL2429" s="82" t="s">
        <v>5309</v>
      </c>
      <c r="AM2429" s="76"/>
      <c r="AN2429" s="76"/>
      <c r="AO2429" s="76"/>
      <c r="AP2429" s="76"/>
      <c r="AQ2429" s="76"/>
      <c r="AR2429" s="76"/>
      <c r="AS2429" s="76"/>
      <c r="AT2429" s="76"/>
      <c r="AU2429" s="76"/>
      <c r="AV2429" s="76"/>
      <c r="AW2429" s="76"/>
      <c r="AX2429" s="76">
        <f>+AW2429*600000</f>
        <v>0</v>
      </c>
      <c r="AY2429" s="76"/>
      <c r="AZ2429" s="76">
        <f>+AY2429*70000</f>
        <v>0</v>
      </c>
      <c r="BA2429" s="76"/>
      <c r="BB2429" s="76"/>
      <c r="BC2429" s="76"/>
      <c r="BD2429" s="76">
        <f>+BC2429*30000</f>
        <v>0</v>
      </c>
      <c r="BE2429" s="76"/>
      <c r="BF2429" s="76"/>
      <c r="BG2429" s="76"/>
      <c r="BH2429" s="76"/>
      <c r="BI2429" s="76"/>
      <c r="BJ2429" s="76"/>
      <c r="BK2429" s="76"/>
      <c r="BL2429" s="76">
        <f>+BK2429*31500</f>
        <v>0</v>
      </c>
      <c r="BM2429" s="76"/>
      <c r="BN2429" s="76"/>
      <c r="BO2429" s="76"/>
      <c r="BP2429" s="76"/>
      <c r="BQ2429" s="76"/>
      <c r="BR2429" s="76"/>
      <c r="BS2429" s="76"/>
      <c r="BT2429" s="76"/>
      <c r="BU2429" s="76"/>
      <c r="BV2429" s="76"/>
      <c r="BW2429" s="76"/>
      <c r="BX2429" s="76"/>
      <c r="BY2429" s="76"/>
      <c r="BZ2429" s="76"/>
      <c r="CA2429" s="76"/>
      <c r="CB2429" s="76"/>
      <c r="CC2429" s="76"/>
      <c r="CD2429" s="76"/>
      <c r="CE2429" s="76"/>
      <c r="CF2429" s="76">
        <f>+CE2429*28000</f>
        <v>0</v>
      </c>
      <c r="CG2429" s="76"/>
      <c r="CH2429" s="76">
        <f>+CG2429*22500</f>
        <v>0</v>
      </c>
      <c r="CI2429" s="76"/>
      <c r="CJ2429" s="76">
        <f>+CI2429*26000</f>
        <v>0</v>
      </c>
      <c r="CK2429" s="76"/>
      <c r="CL2429" s="76"/>
      <c r="CM2429" s="76"/>
      <c r="CN2429" s="76">
        <f>+CM2429*22000</f>
        <v>0</v>
      </c>
      <c r="CO2429" s="76"/>
      <c r="CP2429" s="76">
        <f>+CO2429*46000</f>
        <v>0</v>
      </c>
      <c r="CQ2429" s="76"/>
      <c r="CR2429" s="76">
        <f>+CQ2429*49000</f>
        <v>0</v>
      </c>
      <c r="CS2429" s="76"/>
      <c r="CT2429" s="76"/>
      <c r="CU2429" s="56">
        <f>AN2429+AP2429+AR2429+AT2429+AV2429+AX2429+AZ2429+BB2429+BD2429+BF2429+BH2429+BJ2429+BL2429+BN2429+BP2429+BR2429+BT2429+BV2429+BX2429+BZ2429+CB2429+CD2429+CF2429+CH2429+CJ2429+CL2429+CN2429+CP2429+CR2429+CT2429</f>
        <v>0</v>
      </c>
      <c r="CV2429" s="76"/>
      <c r="CW2429" s="76">
        <f>+CV2429*1100</f>
        <v>0</v>
      </c>
      <c r="CX2429" s="76"/>
      <c r="CY2429" s="76">
        <f>+CX2429*106250</f>
        <v>0</v>
      </c>
      <c r="CZ2429" s="76"/>
      <c r="DA2429" s="76">
        <f>+CZ2429*34500</f>
        <v>0</v>
      </c>
      <c r="DB2429" s="76"/>
      <c r="DC2429" s="76">
        <f>+DB2429*25000</f>
        <v>0</v>
      </c>
      <c r="DD2429" s="219"/>
      <c r="DE2429" s="219"/>
      <c r="DF2429" s="166"/>
      <c r="DG2429" s="116"/>
      <c r="DH2429" s="117"/>
      <c r="DI2429" s="24"/>
      <c r="DJ2429" s="24"/>
      <c r="DK2429" s="24"/>
      <c r="DL2429" s="24"/>
      <c r="DM2429" s="24"/>
      <c r="DN2429" s="24"/>
      <c r="DO2429" s="24"/>
      <c r="DP2429" s="24"/>
      <c r="DQ2429" s="24"/>
      <c r="DR2429" s="24"/>
      <c r="DS2429" s="24"/>
      <c r="DT2429" s="24"/>
      <c r="DU2429" s="24"/>
    </row>
    <row r="2430" spans="1:125" s="8" customFormat="1" ht="60" x14ac:dyDescent="0.2">
      <c r="A2430" s="353">
        <v>41478</v>
      </c>
      <c r="B2430" s="352" t="s">
        <v>2718</v>
      </c>
      <c r="C2430" s="354" t="s">
        <v>993</v>
      </c>
      <c r="D2430" s="354" t="s">
        <v>2859</v>
      </c>
      <c r="E2430" s="353" t="str">
        <f>VLOOKUP(B2430&amp;C2430,Divipola!$C$2:$F$1138,4,FALSE)</f>
        <v>23675</v>
      </c>
      <c r="F2430" s="87"/>
      <c r="G2430" s="87"/>
      <c r="H2430" s="87"/>
      <c r="I2430" s="87">
        <v>5</v>
      </c>
      <c r="J2430" s="87">
        <v>1</v>
      </c>
      <c r="K2430" s="87">
        <v>1</v>
      </c>
      <c r="L2430" s="87"/>
      <c r="M2430" s="87"/>
      <c r="N2430" s="87"/>
      <c r="O2430" s="87"/>
      <c r="P2430" s="87"/>
      <c r="Q2430" s="87"/>
      <c r="R2430" s="87"/>
      <c r="S2430" s="87"/>
      <c r="T2430" s="87"/>
      <c r="U2430" s="88"/>
      <c r="V2430" s="89"/>
      <c r="W2430" s="96">
        <v>0</v>
      </c>
      <c r="X2430" s="71">
        <f>CU2430</f>
        <v>0</v>
      </c>
      <c r="Y2430" s="71">
        <f>CY2430</f>
        <v>0</v>
      </c>
      <c r="Z2430" s="71">
        <f>DA2430+DC2430+DE2430</f>
        <v>0</v>
      </c>
      <c r="AA2430" s="71">
        <f>CW2430</f>
        <v>0</v>
      </c>
      <c r="AB2430" s="71"/>
      <c r="AC2430" s="71">
        <v>0</v>
      </c>
      <c r="AD2430" s="71">
        <f>W2430+X2430+Y2430+Z2430+AA2430+AB2430+AC2430</f>
        <v>0</v>
      </c>
      <c r="AE2430" s="72">
        <v>0</v>
      </c>
      <c r="AF2430" s="5"/>
      <c r="AG2430" s="6"/>
      <c r="AH2430" s="27"/>
      <c r="AI2430" s="44"/>
      <c r="AJ2430" s="26"/>
      <c r="AK2430" s="5"/>
      <c r="AL2430" s="82" t="s">
        <v>5308</v>
      </c>
      <c r="AM2430" s="76"/>
      <c r="AN2430" s="76"/>
      <c r="AO2430" s="76"/>
      <c r="AP2430" s="76"/>
      <c r="AQ2430" s="76"/>
      <c r="AR2430" s="76"/>
      <c r="AS2430" s="76"/>
      <c r="AT2430" s="76"/>
      <c r="AU2430" s="76"/>
      <c r="AV2430" s="76"/>
      <c r="AW2430" s="76"/>
      <c r="AX2430" s="76">
        <f>+AW2430*600000</f>
        <v>0</v>
      </c>
      <c r="AY2430" s="76"/>
      <c r="AZ2430" s="76">
        <f>+AY2430*70000</f>
        <v>0</v>
      </c>
      <c r="BA2430" s="76"/>
      <c r="BB2430" s="76"/>
      <c r="BC2430" s="76"/>
      <c r="BD2430" s="76">
        <f>+BC2430*30000</f>
        <v>0</v>
      </c>
      <c r="BE2430" s="76"/>
      <c r="BF2430" s="76"/>
      <c r="BG2430" s="76"/>
      <c r="BH2430" s="76"/>
      <c r="BI2430" s="76"/>
      <c r="BJ2430" s="76"/>
      <c r="BK2430" s="76"/>
      <c r="BL2430" s="76">
        <f>+BK2430*31500</f>
        <v>0</v>
      </c>
      <c r="BM2430" s="76"/>
      <c r="BN2430" s="76"/>
      <c r="BO2430" s="76"/>
      <c r="BP2430" s="76"/>
      <c r="BQ2430" s="76"/>
      <c r="BR2430" s="76"/>
      <c r="BS2430" s="76"/>
      <c r="BT2430" s="76"/>
      <c r="BU2430" s="76"/>
      <c r="BV2430" s="76"/>
      <c r="BW2430" s="76"/>
      <c r="BX2430" s="76"/>
      <c r="BY2430" s="76"/>
      <c r="BZ2430" s="76"/>
      <c r="CA2430" s="76"/>
      <c r="CB2430" s="76"/>
      <c r="CC2430" s="76"/>
      <c r="CD2430" s="76"/>
      <c r="CE2430" s="76"/>
      <c r="CF2430" s="76">
        <f>+CE2430*28000</f>
        <v>0</v>
      </c>
      <c r="CG2430" s="76"/>
      <c r="CH2430" s="76">
        <f>+CG2430*22500</f>
        <v>0</v>
      </c>
      <c r="CI2430" s="76"/>
      <c r="CJ2430" s="76">
        <f>+CI2430*26000</f>
        <v>0</v>
      </c>
      <c r="CK2430" s="76"/>
      <c r="CL2430" s="76"/>
      <c r="CM2430" s="76"/>
      <c r="CN2430" s="76">
        <f>+CM2430*22000</f>
        <v>0</v>
      </c>
      <c r="CO2430" s="76"/>
      <c r="CP2430" s="76">
        <f>+CO2430*46000</f>
        <v>0</v>
      </c>
      <c r="CQ2430" s="76"/>
      <c r="CR2430" s="76">
        <f>+CQ2430*49000</f>
        <v>0</v>
      </c>
      <c r="CS2430" s="76"/>
      <c r="CT2430" s="76"/>
      <c r="CU2430" s="56">
        <f>AN2430+AP2430+AR2430+AT2430+AV2430+AX2430+AZ2430+BB2430+BD2430+BF2430+BH2430+BJ2430+BL2430+BN2430+BP2430+BR2430+BT2430+BV2430+BX2430+BZ2430+CB2430+CD2430+CF2430+CH2430+CJ2430+CL2430+CN2430+CP2430+CR2430+CT2430</f>
        <v>0</v>
      </c>
      <c r="CV2430" s="76"/>
      <c r="CW2430" s="76">
        <f>+CV2430*1100</f>
        <v>0</v>
      </c>
      <c r="CX2430" s="76"/>
      <c r="CY2430" s="76">
        <f>+CX2430*106250</f>
        <v>0</v>
      </c>
      <c r="CZ2430" s="76"/>
      <c r="DA2430" s="76">
        <f>+CZ2430*34500</f>
        <v>0</v>
      </c>
      <c r="DB2430" s="76"/>
      <c r="DC2430" s="76">
        <f>+DB2430*25000</f>
        <v>0</v>
      </c>
      <c r="DD2430" s="219"/>
      <c r="DE2430" s="219"/>
      <c r="DF2430" s="166"/>
      <c r="DG2430" s="116"/>
      <c r="DH2430" s="117"/>
      <c r="DI2430" s="24"/>
      <c r="DJ2430" s="24"/>
      <c r="DK2430" s="24"/>
      <c r="DL2430" s="24"/>
      <c r="DM2430" s="24"/>
      <c r="DN2430" s="24"/>
      <c r="DO2430" s="24"/>
      <c r="DP2430" s="24"/>
      <c r="DQ2430" s="24"/>
      <c r="DR2430" s="24"/>
      <c r="DS2430" s="24"/>
      <c r="DT2430" s="24"/>
      <c r="DU2430" s="24"/>
    </row>
    <row r="2431" spans="1:125" s="8" customFormat="1" ht="141.75" customHeight="1" x14ac:dyDescent="0.2">
      <c r="A2431" s="228">
        <v>41478</v>
      </c>
      <c r="B2431" s="60" t="s">
        <v>2772</v>
      </c>
      <c r="C2431" s="55" t="s">
        <v>1133</v>
      </c>
      <c r="D2431" s="55" t="s">
        <v>2882</v>
      </c>
      <c r="E2431" s="353" t="str">
        <f>VLOOKUP(B2431&amp;C2431,Divipola!$C$2:$F$1138,4,FALSE)</f>
        <v>25535</v>
      </c>
      <c r="F2431" s="87"/>
      <c r="G2431" s="87"/>
      <c r="H2431" s="87"/>
      <c r="I2431" s="87">
        <v>5</v>
      </c>
      <c r="J2431" s="87">
        <v>1</v>
      </c>
      <c r="K2431" s="87"/>
      <c r="L2431" s="87">
        <v>1</v>
      </c>
      <c r="M2431" s="87"/>
      <c r="N2431" s="87"/>
      <c r="O2431" s="87"/>
      <c r="P2431" s="87"/>
      <c r="Q2431" s="87"/>
      <c r="R2431" s="87"/>
      <c r="S2431" s="87"/>
      <c r="T2431" s="87"/>
      <c r="U2431" s="88"/>
      <c r="V2431" s="89"/>
      <c r="W2431" s="96">
        <v>0</v>
      </c>
      <c r="X2431" s="71">
        <f>CU2431</f>
        <v>0</v>
      </c>
      <c r="Y2431" s="71">
        <f>CY2431</f>
        <v>0</v>
      </c>
      <c r="Z2431" s="71">
        <f>DA2431+DC2431+DE2431</f>
        <v>0</v>
      </c>
      <c r="AA2431" s="71">
        <f>CW2431</f>
        <v>0</v>
      </c>
      <c r="AB2431" s="71"/>
      <c r="AC2431" s="71">
        <v>0</v>
      </c>
      <c r="AD2431" s="71">
        <f>W2431+X2431+Y2431+Z2431+AA2431+AB2431+AC2431</f>
        <v>0</v>
      </c>
      <c r="AE2431" s="72">
        <v>0</v>
      </c>
      <c r="AF2431" s="5"/>
      <c r="AG2431" s="6"/>
      <c r="AH2431" s="27"/>
      <c r="AI2431" s="44"/>
      <c r="AJ2431" s="26"/>
      <c r="AK2431" s="5"/>
      <c r="AL2431" s="82" t="s">
        <v>5325</v>
      </c>
      <c r="AM2431" s="76"/>
      <c r="AN2431" s="76"/>
      <c r="AO2431" s="76"/>
      <c r="AP2431" s="76"/>
      <c r="AQ2431" s="76"/>
      <c r="AR2431" s="76"/>
      <c r="AS2431" s="76"/>
      <c r="AT2431" s="76"/>
      <c r="AU2431" s="76"/>
      <c r="AV2431" s="76"/>
      <c r="AW2431" s="76"/>
      <c r="AX2431" s="76">
        <f>+AW2431*600000</f>
        <v>0</v>
      </c>
      <c r="AY2431" s="76"/>
      <c r="AZ2431" s="76">
        <f>+AY2431*70000</f>
        <v>0</v>
      </c>
      <c r="BA2431" s="76"/>
      <c r="BB2431" s="76"/>
      <c r="BC2431" s="76"/>
      <c r="BD2431" s="76">
        <f>+BC2431*30000</f>
        <v>0</v>
      </c>
      <c r="BE2431" s="76"/>
      <c r="BF2431" s="76"/>
      <c r="BG2431" s="76"/>
      <c r="BH2431" s="76"/>
      <c r="BI2431" s="76"/>
      <c r="BJ2431" s="76"/>
      <c r="BK2431" s="76"/>
      <c r="BL2431" s="76">
        <f>+BK2431*31500</f>
        <v>0</v>
      </c>
      <c r="BM2431" s="76"/>
      <c r="BN2431" s="76"/>
      <c r="BO2431" s="76"/>
      <c r="BP2431" s="76"/>
      <c r="BQ2431" s="76"/>
      <c r="BR2431" s="76"/>
      <c r="BS2431" s="76"/>
      <c r="BT2431" s="76"/>
      <c r="BU2431" s="76"/>
      <c r="BV2431" s="76"/>
      <c r="BW2431" s="76"/>
      <c r="BX2431" s="76"/>
      <c r="BY2431" s="76"/>
      <c r="BZ2431" s="76"/>
      <c r="CA2431" s="76"/>
      <c r="CB2431" s="76"/>
      <c r="CC2431" s="76"/>
      <c r="CD2431" s="76"/>
      <c r="CE2431" s="76"/>
      <c r="CF2431" s="76">
        <f>+CE2431*28000</f>
        <v>0</v>
      </c>
      <c r="CG2431" s="76"/>
      <c r="CH2431" s="76">
        <f>+CG2431*22500</f>
        <v>0</v>
      </c>
      <c r="CI2431" s="76"/>
      <c r="CJ2431" s="76">
        <f>+CI2431*26000</f>
        <v>0</v>
      </c>
      <c r="CK2431" s="76"/>
      <c r="CL2431" s="76"/>
      <c r="CM2431" s="76"/>
      <c r="CN2431" s="76">
        <f>+CM2431*22000</f>
        <v>0</v>
      </c>
      <c r="CO2431" s="76"/>
      <c r="CP2431" s="76">
        <f>+CO2431*46000</f>
        <v>0</v>
      </c>
      <c r="CQ2431" s="76"/>
      <c r="CR2431" s="76">
        <f>+CQ2431*49000</f>
        <v>0</v>
      </c>
      <c r="CS2431" s="76"/>
      <c r="CT2431" s="76"/>
      <c r="CU2431" s="56">
        <f>AN2431+AP2431+AR2431+AT2431+AV2431+AX2431+AZ2431+BB2431+BD2431+BF2431+BH2431+BJ2431+BL2431+BN2431+BP2431+BR2431+BT2431+BV2431+BX2431+BZ2431+CB2431+CD2431+CF2431+CH2431+CJ2431+CL2431+CN2431+CP2431+CR2431+CT2431</f>
        <v>0</v>
      </c>
      <c r="CV2431" s="76"/>
      <c r="CW2431" s="76">
        <f>+CV2431*1100</f>
        <v>0</v>
      </c>
      <c r="CX2431" s="76"/>
      <c r="CY2431" s="76">
        <f>+CX2431*106250</f>
        <v>0</v>
      </c>
      <c r="CZ2431" s="76"/>
      <c r="DA2431" s="76">
        <f>+CZ2431*34500</f>
        <v>0</v>
      </c>
      <c r="DB2431" s="76"/>
      <c r="DC2431" s="76">
        <f>+DB2431*25000</f>
        <v>0</v>
      </c>
      <c r="DD2431" s="219"/>
      <c r="DE2431" s="219"/>
      <c r="DF2431" s="166"/>
      <c r="DG2431" s="116"/>
      <c r="DH2431" s="117"/>
      <c r="DI2431" s="24"/>
      <c r="DJ2431" s="24"/>
      <c r="DK2431" s="24"/>
      <c r="DL2431" s="24"/>
      <c r="DM2431" s="24"/>
      <c r="DN2431" s="24"/>
      <c r="DO2431" s="24"/>
      <c r="DP2431" s="24"/>
      <c r="DQ2431" s="24"/>
      <c r="DR2431" s="24"/>
      <c r="DS2431" s="24"/>
      <c r="DT2431" s="24"/>
      <c r="DU2431" s="24"/>
    </row>
    <row r="2432" spans="1:125" s="8" customFormat="1" ht="84" x14ac:dyDescent="0.2">
      <c r="A2432" s="226">
        <v>41478</v>
      </c>
      <c r="B2432" s="225" t="s">
        <v>2774</v>
      </c>
      <c r="C2432" s="227" t="s">
        <v>2216</v>
      </c>
      <c r="D2432" s="354" t="s">
        <v>2882</v>
      </c>
      <c r="E2432" s="353" t="str">
        <f>VLOOKUP(B2432&amp;C2432,Divipola!$C$2:$F$1138,4,FALSE)</f>
        <v>66075</v>
      </c>
      <c r="F2432" s="87"/>
      <c r="G2432" s="87"/>
      <c r="H2432" s="87"/>
      <c r="I2432" s="87">
        <v>5</v>
      </c>
      <c r="J2432" s="87">
        <v>1</v>
      </c>
      <c r="K2432" s="87"/>
      <c r="L2432" s="87">
        <v>1</v>
      </c>
      <c r="M2432" s="87"/>
      <c r="N2432" s="87"/>
      <c r="O2432" s="87"/>
      <c r="P2432" s="87"/>
      <c r="Q2432" s="87"/>
      <c r="R2432" s="87"/>
      <c r="S2432" s="87"/>
      <c r="T2432" s="87"/>
      <c r="U2432" s="88"/>
      <c r="V2432" s="89"/>
      <c r="W2432" s="96">
        <v>0</v>
      </c>
      <c r="X2432" s="71">
        <f>CU2432</f>
        <v>0</v>
      </c>
      <c r="Y2432" s="71">
        <f>CY2432</f>
        <v>0</v>
      </c>
      <c r="Z2432" s="71">
        <f>DA2432+DC2432+DE2432</f>
        <v>0</v>
      </c>
      <c r="AA2432" s="71">
        <f>CW2432</f>
        <v>0</v>
      </c>
      <c r="AB2432" s="71"/>
      <c r="AC2432" s="71">
        <v>0</v>
      </c>
      <c r="AD2432" s="71">
        <f>W2432+X2432+Y2432+Z2432+AA2432+AB2432+AC2432</f>
        <v>0</v>
      </c>
      <c r="AE2432" s="72">
        <v>0</v>
      </c>
      <c r="AF2432" s="5"/>
      <c r="AG2432" s="6"/>
      <c r="AH2432" s="27"/>
      <c r="AI2432" s="44"/>
      <c r="AJ2432" s="26"/>
      <c r="AK2432" s="5"/>
      <c r="AL2432" s="82" t="s">
        <v>5312</v>
      </c>
      <c r="AM2432" s="76"/>
      <c r="AN2432" s="76"/>
      <c r="AO2432" s="76"/>
      <c r="AP2432" s="76"/>
      <c r="AQ2432" s="76"/>
      <c r="AR2432" s="76"/>
      <c r="AS2432" s="76"/>
      <c r="AT2432" s="76"/>
      <c r="AU2432" s="76"/>
      <c r="AV2432" s="76"/>
      <c r="AW2432" s="76"/>
      <c r="AX2432" s="76">
        <f>+AW2432*600000</f>
        <v>0</v>
      </c>
      <c r="AY2432" s="76"/>
      <c r="AZ2432" s="76">
        <f>+AY2432*70000</f>
        <v>0</v>
      </c>
      <c r="BA2432" s="76"/>
      <c r="BB2432" s="76"/>
      <c r="BC2432" s="76"/>
      <c r="BD2432" s="76">
        <f>+BC2432*30000</f>
        <v>0</v>
      </c>
      <c r="BE2432" s="76"/>
      <c r="BF2432" s="76"/>
      <c r="BG2432" s="76"/>
      <c r="BH2432" s="76"/>
      <c r="BI2432" s="76"/>
      <c r="BJ2432" s="76"/>
      <c r="BK2432" s="76"/>
      <c r="BL2432" s="76">
        <f>+BK2432*31500</f>
        <v>0</v>
      </c>
      <c r="BM2432" s="76"/>
      <c r="BN2432" s="76"/>
      <c r="BO2432" s="76"/>
      <c r="BP2432" s="76"/>
      <c r="BQ2432" s="76"/>
      <c r="BR2432" s="76"/>
      <c r="BS2432" s="76"/>
      <c r="BT2432" s="76"/>
      <c r="BU2432" s="76"/>
      <c r="BV2432" s="76"/>
      <c r="BW2432" s="76"/>
      <c r="BX2432" s="76"/>
      <c r="BY2432" s="76"/>
      <c r="BZ2432" s="76"/>
      <c r="CA2432" s="76"/>
      <c r="CB2432" s="76"/>
      <c r="CC2432" s="76"/>
      <c r="CD2432" s="76"/>
      <c r="CE2432" s="76"/>
      <c r="CF2432" s="76">
        <f>+CE2432*28000</f>
        <v>0</v>
      </c>
      <c r="CG2432" s="76"/>
      <c r="CH2432" s="76">
        <f>+CG2432*22500</f>
        <v>0</v>
      </c>
      <c r="CI2432" s="76"/>
      <c r="CJ2432" s="76">
        <f>+CI2432*26000</f>
        <v>0</v>
      </c>
      <c r="CK2432" s="76"/>
      <c r="CL2432" s="76"/>
      <c r="CM2432" s="76"/>
      <c r="CN2432" s="76">
        <f>+CM2432*22000</f>
        <v>0</v>
      </c>
      <c r="CO2432" s="76"/>
      <c r="CP2432" s="76">
        <f>+CO2432*46000</f>
        <v>0</v>
      </c>
      <c r="CQ2432" s="76"/>
      <c r="CR2432" s="76">
        <f>+CQ2432*49000</f>
        <v>0</v>
      </c>
      <c r="CS2432" s="76"/>
      <c r="CT2432" s="76"/>
      <c r="CU2432" s="56">
        <f>AN2432+AP2432+AR2432+AT2432+AV2432+AX2432+AZ2432+BB2432+BD2432+BF2432+BH2432+BJ2432+BL2432+BN2432+BP2432+BR2432+BT2432+BV2432+BX2432+BZ2432+CB2432+CD2432+CF2432+CH2432+CJ2432+CL2432+CN2432+CP2432+CR2432+CT2432</f>
        <v>0</v>
      </c>
      <c r="CV2432" s="76"/>
      <c r="CW2432" s="76">
        <f>+CV2432*1100</f>
        <v>0</v>
      </c>
      <c r="CX2432" s="76"/>
      <c r="CY2432" s="76">
        <f>+CX2432*106250</f>
        <v>0</v>
      </c>
      <c r="CZ2432" s="76"/>
      <c r="DA2432" s="76">
        <f>+CZ2432*34500</f>
        <v>0</v>
      </c>
      <c r="DB2432" s="76"/>
      <c r="DC2432" s="76">
        <f>+DB2432*25000</f>
        <v>0</v>
      </c>
      <c r="DD2432" s="219"/>
      <c r="DE2432" s="219"/>
      <c r="DF2432" s="166"/>
      <c r="DG2432" s="116"/>
      <c r="DH2432" s="117"/>
      <c r="DI2432" s="24"/>
      <c r="DJ2432" s="24"/>
      <c r="DK2432" s="24"/>
      <c r="DL2432" s="24"/>
      <c r="DM2432" s="24"/>
      <c r="DN2432" s="24"/>
      <c r="DO2432" s="24"/>
      <c r="DP2432" s="24"/>
      <c r="DQ2432" s="24"/>
      <c r="DR2432" s="24"/>
      <c r="DS2432" s="24"/>
      <c r="DT2432" s="24"/>
      <c r="DU2432" s="24"/>
    </row>
    <row r="2433" spans="1:125" s="8" customFormat="1" ht="48" x14ac:dyDescent="0.2">
      <c r="A2433" s="226">
        <v>41478</v>
      </c>
      <c r="B2433" s="225" t="s">
        <v>2774</v>
      </c>
      <c r="C2433" s="227" t="s">
        <v>284</v>
      </c>
      <c r="D2433" s="354" t="s">
        <v>3051</v>
      </c>
      <c r="E2433" s="353" t="str">
        <f>VLOOKUP(B2433&amp;C2433,Divipola!$C$2:$F$1138,4,FALSE)</f>
        <v>66170</v>
      </c>
      <c r="F2433" s="87"/>
      <c r="G2433" s="87"/>
      <c r="H2433" s="87"/>
      <c r="I2433" s="87">
        <v>5</v>
      </c>
      <c r="J2433" s="87">
        <v>1</v>
      </c>
      <c r="K2433" s="87"/>
      <c r="L2433" s="87">
        <v>1</v>
      </c>
      <c r="M2433" s="87"/>
      <c r="N2433" s="87"/>
      <c r="O2433" s="87"/>
      <c r="P2433" s="87"/>
      <c r="Q2433" s="87"/>
      <c r="R2433" s="87"/>
      <c r="S2433" s="87"/>
      <c r="T2433" s="87"/>
      <c r="U2433" s="88"/>
      <c r="V2433" s="89"/>
      <c r="W2433" s="96">
        <v>0</v>
      </c>
      <c r="X2433" s="71">
        <f>CU2433</f>
        <v>0</v>
      </c>
      <c r="Y2433" s="71">
        <f>CY2433</f>
        <v>0</v>
      </c>
      <c r="Z2433" s="71">
        <f>DA2433+DC2433+DE2433</f>
        <v>0</v>
      </c>
      <c r="AA2433" s="71">
        <f>CW2433</f>
        <v>0</v>
      </c>
      <c r="AB2433" s="71"/>
      <c r="AC2433" s="71">
        <v>0</v>
      </c>
      <c r="AD2433" s="71">
        <f>W2433+X2433+Y2433+Z2433+AA2433+AB2433+AC2433</f>
        <v>0</v>
      </c>
      <c r="AE2433" s="72">
        <v>0</v>
      </c>
      <c r="AF2433" s="5"/>
      <c r="AG2433" s="6"/>
      <c r="AH2433" s="27"/>
      <c r="AI2433" s="44"/>
      <c r="AJ2433" s="26"/>
      <c r="AK2433" s="5"/>
      <c r="AL2433" s="82" t="s">
        <v>5302</v>
      </c>
      <c r="AM2433" s="76"/>
      <c r="AN2433" s="76"/>
      <c r="AO2433" s="76"/>
      <c r="AP2433" s="76"/>
      <c r="AQ2433" s="76"/>
      <c r="AR2433" s="76"/>
      <c r="AS2433" s="76"/>
      <c r="AT2433" s="76"/>
      <c r="AU2433" s="76"/>
      <c r="AV2433" s="76"/>
      <c r="AW2433" s="76"/>
      <c r="AX2433" s="76">
        <f>+AW2433*600000</f>
        <v>0</v>
      </c>
      <c r="AY2433" s="76"/>
      <c r="AZ2433" s="76">
        <f>+AY2433*70000</f>
        <v>0</v>
      </c>
      <c r="BA2433" s="76"/>
      <c r="BB2433" s="76"/>
      <c r="BC2433" s="76"/>
      <c r="BD2433" s="76">
        <f>+BC2433*30000</f>
        <v>0</v>
      </c>
      <c r="BE2433" s="76"/>
      <c r="BF2433" s="76"/>
      <c r="BG2433" s="76"/>
      <c r="BH2433" s="76"/>
      <c r="BI2433" s="76"/>
      <c r="BJ2433" s="76"/>
      <c r="BK2433" s="76"/>
      <c r="BL2433" s="76">
        <f>+BK2433*31500</f>
        <v>0</v>
      </c>
      <c r="BM2433" s="76"/>
      <c r="BN2433" s="76"/>
      <c r="BO2433" s="76"/>
      <c r="BP2433" s="76"/>
      <c r="BQ2433" s="76"/>
      <c r="BR2433" s="76"/>
      <c r="BS2433" s="76"/>
      <c r="BT2433" s="76"/>
      <c r="BU2433" s="76"/>
      <c r="BV2433" s="76"/>
      <c r="BW2433" s="76"/>
      <c r="BX2433" s="76"/>
      <c r="BY2433" s="76"/>
      <c r="BZ2433" s="76"/>
      <c r="CA2433" s="76"/>
      <c r="CB2433" s="76"/>
      <c r="CC2433" s="76"/>
      <c r="CD2433" s="76"/>
      <c r="CE2433" s="76"/>
      <c r="CF2433" s="76">
        <f>+CE2433*28000</f>
        <v>0</v>
      </c>
      <c r="CG2433" s="76"/>
      <c r="CH2433" s="76">
        <f>+CG2433*22500</f>
        <v>0</v>
      </c>
      <c r="CI2433" s="76"/>
      <c r="CJ2433" s="76">
        <f>+CI2433*26000</f>
        <v>0</v>
      </c>
      <c r="CK2433" s="76"/>
      <c r="CL2433" s="76"/>
      <c r="CM2433" s="76"/>
      <c r="CN2433" s="76">
        <f>+CM2433*22000</f>
        <v>0</v>
      </c>
      <c r="CO2433" s="76"/>
      <c r="CP2433" s="76">
        <f>+CO2433*46000</f>
        <v>0</v>
      </c>
      <c r="CQ2433" s="76"/>
      <c r="CR2433" s="76">
        <f>+CQ2433*49000</f>
        <v>0</v>
      </c>
      <c r="CS2433" s="76"/>
      <c r="CT2433" s="76"/>
      <c r="CU2433" s="56">
        <f>AN2433+AP2433+AR2433+AT2433+AV2433+AX2433+AZ2433+BB2433+BD2433+BF2433+BH2433+BJ2433+BL2433+BN2433+BP2433+BR2433+BT2433+BV2433+BX2433+BZ2433+CB2433+CD2433+CF2433+CH2433+CJ2433+CL2433+CN2433+CP2433+CR2433+CT2433</f>
        <v>0</v>
      </c>
      <c r="CV2433" s="76"/>
      <c r="CW2433" s="76">
        <f>+CV2433*1100</f>
        <v>0</v>
      </c>
      <c r="CX2433" s="76"/>
      <c r="CY2433" s="76">
        <f>+CX2433*106250</f>
        <v>0</v>
      </c>
      <c r="CZ2433" s="76"/>
      <c r="DA2433" s="76">
        <f>+CZ2433*34500</f>
        <v>0</v>
      </c>
      <c r="DB2433" s="76"/>
      <c r="DC2433" s="76">
        <f>+DB2433*25000</f>
        <v>0</v>
      </c>
      <c r="DD2433" s="219"/>
      <c r="DE2433" s="219"/>
      <c r="DF2433" s="166"/>
      <c r="DG2433" s="116"/>
      <c r="DH2433" s="117"/>
      <c r="DI2433" s="24"/>
      <c r="DJ2433" s="24"/>
      <c r="DK2433" s="24"/>
      <c r="DL2433" s="24"/>
      <c r="DM2433" s="24"/>
      <c r="DN2433" s="24"/>
      <c r="DO2433" s="24"/>
      <c r="DP2433" s="24"/>
      <c r="DQ2433" s="24"/>
      <c r="DR2433" s="24"/>
      <c r="DS2433" s="24"/>
      <c r="DT2433" s="24"/>
      <c r="DU2433" s="24"/>
    </row>
    <row r="2434" spans="1:125" s="8" customFormat="1" ht="84" x14ac:dyDescent="0.2">
      <c r="A2434" s="226">
        <v>41478</v>
      </c>
      <c r="B2434" s="225" t="s">
        <v>2774</v>
      </c>
      <c r="C2434" s="227" t="s">
        <v>2106</v>
      </c>
      <c r="D2434" s="354" t="s">
        <v>2882</v>
      </c>
      <c r="E2434" s="353" t="str">
        <f>VLOOKUP(B2434&amp;C2434,Divipola!$C$2:$F$1138,4,FALSE)</f>
        <v>66400</v>
      </c>
      <c r="F2434" s="87"/>
      <c r="G2434" s="87"/>
      <c r="H2434" s="87"/>
      <c r="I2434" s="87">
        <v>22</v>
      </c>
      <c r="J2434" s="87">
        <v>4</v>
      </c>
      <c r="K2434" s="87"/>
      <c r="L2434" s="87">
        <v>1</v>
      </c>
      <c r="M2434" s="87"/>
      <c r="N2434" s="87"/>
      <c r="O2434" s="87"/>
      <c r="P2434" s="87"/>
      <c r="Q2434" s="87"/>
      <c r="R2434" s="87"/>
      <c r="S2434" s="87"/>
      <c r="T2434" s="87"/>
      <c r="U2434" s="88"/>
      <c r="V2434" s="89">
        <v>1</v>
      </c>
      <c r="W2434" s="96">
        <v>0</v>
      </c>
      <c r="X2434" s="71">
        <f>CU2434</f>
        <v>0</v>
      </c>
      <c r="Y2434" s="71">
        <f>CY2434</f>
        <v>0</v>
      </c>
      <c r="Z2434" s="71">
        <f>DA2434+DC2434+DE2434</f>
        <v>0</v>
      </c>
      <c r="AA2434" s="71">
        <f>CW2434</f>
        <v>0</v>
      </c>
      <c r="AB2434" s="71"/>
      <c r="AC2434" s="71">
        <v>0</v>
      </c>
      <c r="AD2434" s="71">
        <f>W2434+X2434+Y2434+Z2434+AA2434+AB2434+AC2434</f>
        <v>0</v>
      </c>
      <c r="AE2434" s="72">
        <v>0</v>
      </c>
      <c r="AF2434" s="5"/>
      <c r="AG2434" s="6"/>
      <c r="AH2434" s="27"/>
      <c r="AI2434" s="44"/>
      <c r="AJ2434" s="26"/>
      <c r="AK2434" s="5"/>
      <c r="AL2434" s="82" t="s">
        <v>5311</v>
      </c>
      <c r="AM2434" s="76"/>
      <c r="AN2434" s="76"/>
      <c r="AO2434" s="76"/>
      <c r="AP2434" s="76"/>
      <c r="AQ2434" s="76"/>
      <c r="AR2434" s="76"/>
      <c r="AS2434" s="76"/>
      <c r="AT2434" s="76"/>
      <c r="AU2434" s="76"/>
      <c r="AV2434" s="76"/>
      <c r="AW2434" s="76"/>
      <c r="AX2434" s="76">
        <f>+AW2434*600000</f>
        <v>0</v>
      </c>
      <c r="AY2434" s="76"/>
      <c r="AZ2434" s="76">
        <f>+AY2434*70000</f>
        <v>0</v>
      </c>
      <c r="BA2434" s="76"/>
      <c r="BB2434" s="76"/>
      <c r="BC2434" s="76"/>
      <c r="BD2434" s="76">
        <f>+BC2434*30000</f>
        <v>0</v>
      </c>
      <c r="BE2434" s="76"/>
      <c r="BF2434" s="76"/>
      <c r="BG2434" s="76"/>
      <c r="BH2434" s="76"/>
      <c r="BI2434" s="76"/>
      <c r="BJ2434" s="76"/>
      <c r="BK2434" s="76"/>
      <c r="BL2434" s="76">
        <f>+BK2434*31500</f>
        <v>0</v>
      </c>
      <c r="BM2434" s="76"/>
      <c r="BN2434" s="76"/>
      <c r="BO2434" s="76"/>
      <c r="BP2434" s="76"/>
      <c r="BQ2434" s="76"/>
      <c r="BR2434" s="76"/>
      <c r="BS2434" s="76"/>
      <c r="BT2434" s="76"/>
      <c r="BU2434" s="76"/>
      <c r="BV2434" s="76"/>
      <c r="BW2434" s="76"/>
      <c r="BX2434" s="76"/>
      <c r="BY2434" s="76"/>
      <c r="BZ2434" s="76"/>
      <c r="CA2434" s="76"/>
      <c r="CB2434" s="76"/>
      <c r="CC2434" s="76"/>
      <c r="CD2434" s="76"/>
      <c r="CE2434" s="76"/>
      <c r="CF2434" s="76">
        <f>+CE2434*28000</f>
        <v>0</v>
      </c>
      <c r="CG2434" s="76"/>
      <c r="CH2434" s="76">
        <f>+CG2434*22500</f>
        <v>0</v>
      </c>
      <c r="CI2434" s="76"/>
      <c r="CJ2434" s="76">
        <f>+CI2434*26000</f>
        <v>0</v>
      </c>
      <c r="CK2434" s="76"/>
      <c r="CL2434" s="76"/>
      <c r="CM2434" s="76"/>
      <c r="CN2434" s="76">
        <f>+CM2434*22000</f>
        <v>0</v>
      </c>
      <c r="CO2434" s="76"/>
      <c r="CP2434" s="76">
        <f>+CO2434*46000</f>
        <v>0</v>
      </c>
      <c r="CQ2434" s="76"/>
      <c r="CR2434" s="76">
        <f>+CQ2434*49000</f>
        <v>0</v>
      </c>
      <c r="CS2434" s="76"/>
      <c r="CT2434" s="76"/>
      <c r="CU2434" s="56">
        <f>AN2434+AP2434+AR2434+AT2434+AV2434+AX2434+AZ2434+BB2434+BD2434+BF2434+BH2434+BJ2434+BL2434+BN2434+BP2434+BR2434+BT2434+BV2434+BX2434+BZ2434+CB2434+CD2434+CF2434+CH2434+CJ2434+CL2434+CN2434+CP2434+CR2434+CT2434</f>
        <v>0</v>
      </c>
      <c r="CV2434" s="76"/>
      <c r="CW2434" s="76">
        <f>+CV2434*1100</f>
        <v>0</v>
      </c>
      <c r="CX2434" s="76"/>
      <c r="CY2434" s="76">
        <f>+CX2434*106250</f>
        <v>0</v>
      </c>
      <c r="CZ2434" s="76"/>
      <c r="DA2434" s="76">
        <f>+CZ2434*34500</f>
        <v>0</v>
      </c>
      <c r="DB2434" s="76"/>
      <c r="DC2434" s="76">
        <f>+DB2434*25000</f>
        <v>0</v>
      </c>
      <c r="DD2434" s="219"/>
      <c r="DE2434" s="219"/>
      <c r="DF2434" s="166"/>
      <c r="DG2434" s="116"/>
      <c r="DH2434" s="117"/>
      <c r="DI2434" s="24"/>
      <c r="DJ2434" s="24"/>
      <c r="DK2434" s="24"/>
      <c r="DL2434" s="24"/>
      <c r="DM2434" s="24"/>
      <c r="DN2434" s="24"/>
      <c r="DO2434" s="24"/>
      <c r="DP2434" s="24"/>
      <c r="DQ2434" s="24"/>
      <c r="DR2434" s="24"/>
      <c r="DS2434" s="24"/>
      <c r="DT2434" s="24"/>
      <c r="DU2434" s="24"/>
    </row>
    <row r="2435" spans="1:125" s="8" customFormat="1" ht="24" x14ac:dyDescent="0.2">
      <c r="A2435" s="226">
        <v>41478</v>
      </c>
      <c r="B2435" s="225" t="s">
        <v>2774</v>
      </c>
      <c r="C2435" s="227" t="s">
        <v>2039</v>
      </c>
      <c r="D2435" s="354" t="s">
        <v>2882</v>
      </c>
      <c r="E2435" s="353" t="str">
        <f>VLOOKUP(B2435&amp;C2435,Divipola!$C$2:$F$1138,4,FALSE)</f>
        <v>66440</v>
      </c>
      <c r="F2435" s="87"/>
      <c r="G2435" s="87"/>
      <c r="H2435" s="87"/>
      <c r="I2435" s="87">
        <v>35</v>
      </c>
      <c r="J2435" s="87">
        <v>7</v>
      </c>
      <c r="K2435" s="87"/>
      <c r="L2435" s="87">
        <v>7</v>
      </c>
      <c r="M2435" s="87"/>
      <c r="N2435" s="87"/>
      <c r="O2435" s="87"/>
      <c r="P2435" s="87"/>
      <c r="Q2435" s="87"/>
      <c r="R2435" s="87"/>
      <c r="S2435" s="87"/>
      <c r="T2435" s="87"/>
      <c r="U2435" s="88"/>
      <c r="V2435" s="89"/>
      <c r="W2435" s="96">
        <v>0</v>
      </c>
      <c r="X2435" s="71">
        <f>CU2435</f>
        <v>0</v>
      </c>
      <c r="Y2435" s="71">
        <f>CY2435</f>
        <v>0</v>
      </c>
      <c r="Z2435" s="71">
        <f>DA2435+DC2435+DE2435</f>
        <v>0</v>
      </c>
      <c r="AA2435" s="71">
        <f>CW2435</f>
        <v>0</v>
      </c>
      <c r="AB2435" s="71"/>
      <c r="AC2435" s="71">
        <v>0</v>
      </c>
      <c r="AD2435" s="71">
        <f>W2435+X2435+Y2435+Z2435+AA2435+AB2435+AC2435</f>
        <v>0</v>
      </c>
      <c r="AE2435" s="72">
        <v>0</v>
      </c>
      <c r="AF2435" s="5"/>
      <c r="AG2435" s="6"/>
      <c r="AH2435" s="27"/>
      <c r="AI2435" s="44"/>
      <c r="AJ2435" s="26"/>
      <c r="AK2435" s="5"/>
      <c r="AL2435" s="82" t="s">
        <v>5313</v>
      </c>
      <c r="AM2435" s="76"/>
      <c r="AN2435" s="76"/>
      <c r="AO2435" s="76"/>
      <c r="AP2435" s="76"/>
      <c r="AQ2435" s="76"/>
      <c r="AR2435" s="76"/>
      <c r="AS2435" s="76"/>
      <c r="AT2435" s="76"/>
      <c r="AU2435" s="76"/>
      <c r="AV2435" s="76"/>
      <c r="AW2435" s="76"/>
      <c r="AX2435" s="76">
        <f>+AW2435*600000</f>
        <v>0</v>
      </c>
      <c r="AY2435" s="76"/>
      <c r="AZ2435" s="76">
        <f>+AY2435*70000</f>
        <v>0</v>
      </c>
      <c r="BA2435" s="76"/>
      <c r="BB2435" s="76"/>
      <c r="BC2435" s="76"/>
      <c r="BD2435" s="76">
        <f>+BC2435*30000</f>
        <v>0</v>
      </c>
      <c r="BE2435" s="76"/>
      <c r="BF2435" s="76"/>
      <c r="BG2435" s="76"/>
      <c r="BH2435" s="76"/>
      <c r="BI2435" s="76"/>
      <c r="BJ2435" s="76"/>
      <c r="BK2435" s="76"/>
      <c r="BL2435" s="76">
        <f>+BK2435*31500</f>
        <v>0</v>
      </c>
      <c r="BM2435" s="76"/>
      <c r="BN2435" s="76"/>
      <c r="BO2435" s="76"/>
      <c r="BP2435" s="76"/>
      <c r="BQ2435" s="76"/>
      <c r="BR2435" s="76"/>
      <c r="BS2435" s="76"/>
      <c r="BT2435" s="76"/>
      <c r="BU2435" s="76"/>
      <c r="BV2435" s="76"/>
      <c r="BW2435" s="76"/>
      <c r="BX2435" s="76"/>
      <c r="BY2435" s="76"/>
      <c r="BZ2435" s="76"/>
      <c r="CA2435" s="76"/>
      <c r="CB2435" s="76"/>
      <c r="CC2435" s="76"/>
      <c r="CD2435" s="76"/>
      <c r="CE2435" s="76"/>
      <c r="CF2435" s="76">
        <f>+CE2435*28000</f>
        <v>0</v>
      </c>
      <c r="CG2435" s="76"/>
      <c r="CH2435" s="76">
        <f>+CG2435*22500</f>
        <v>0</v>
      </c>
      <c r="CI2435" s="76"/>
      <c r="CJ2435" s="76">
        <f>+CI2435*26000</f>
        <v>0</v>
      </c>
      <c r="CK2435" s="76"/>
      <c r="CL2435" s="76"/>
      <c r="CM2435" s="76"/>
      <c r="CN2435" s="76">
        <f>+CM2435*22000</f>
        <v>0</v>
      </c>
      <c r="CO2435" s="76"/>
      <c r="CP2435" s="76">
        <f>+CO2435*46000</f>
        <v>0</v>
      </c>
      <c r="CQ2435" s="76"/>
      <c r="CR2435" s="76">
        <f>+CQ2435*49000</f>
        <v>0</v>
      </c>
      <c r="CS2435" s="76"/>
      <c r="CT2435" s="76"/>
      <c r="CU2435" s="56">
        <f>AN2435+AP2435+AR2435+AT2435+AV2435+AX2435+AZ2435+BB2435+BD2435+BF2435+BH2435+BJ2435+BL2435+BN2435+BP2435+BR2435+BT2435+BV2435+BX2435+BZ2435+CB2435+CD2435+CF2435+CH2435+CJ2435+CL2435+CN2435+CP2435+CR2435+CT2435</f>
        <v>0</v>
      </c>
      <c r="CV2435" s="76"/>
      <c r="CW2435" s="76">
        <f>+CV2435*1100</f>
        <v>0</v>
      </c>
      <c r="CX2435" s="76"/>
      <c r="CY2435" s="76">
        <f>+CX2435*106250</f>
        <v>0</v>
      </c>
      <c r="CZ2435" s="76"/>
      <c r="DA2435" s="76">
        <f>+CZ2435*34500</f>
        <v>0</v>
      </c>
      <c r="DB2435" s="76"/>
      <c r="DC2435" s="76">
        <f>+DB2435*25000</f>
        <v>0</v>
      </c>
      <c r="DD2435" s="219"/>
      <c r="DE2435" s="219"/>
      <c r="DF2435" s="166"/>
      <c r="DG2435" s="116"/>
      <c r="DH2435" s="117"/>
      <c r="DI2435" s="24"/>
      <c r="DJ2435" s="24"/>
      <c r="DK2435" s="24"/>
      <c r="DL2435" s="24"/>
      <c r="DM2435" s="24"/>
      <c r="DN2435" s="24"/>
      <c r="DO2435" s="24"/>
      <c r="DP2435" s="24"/>
      <c r="DQ2435" s="24"/>
      <c r="DR2435" s="24"/>
      <c r="DS2435" s="24"/>
      <c r="DT2435" s="24"/>
      <c r="DU2435" s="24"/>
    </row>
    <row r="2436" spans="1:125" s="8" customFormat="1" ht="48" x14ac:dyDescent="0.2">
      <c r="A2436" s="226">
        <v>41478</v>
      </c>
      <c r="B2436" s="225" t="s">
        <v>2774</v>
      </c>
      <c r="C2436" s="227" t="s">
        <v>2790</v>
      </c>
      <c r="D2436" s="354" t="s">
        <v>3051</v>
      </c>
      <c r="E2436" s="353" t="str">
        <f>VLOOKUP(B2436&amp;C2436,Divipola!$C$2:$F$1138,4,FALSE)</f>
        <v>66682</v>
      </c>
      <c r="F2436" s="87"/>
      <c r="G2436" s="87"/>
      <c r="H2436" s="87"/>
      <c r="I2436" s="87"/>
      <c r="J2436" s="87"/>
      <c r="K2436" s="87"/>
      <c r="L2436" s="87"/>
      <c r="M2436" s="87"/>
      <c r="N2436" s="87"/>
      <c r="O2436" s="87"/>
      <c r="P2436" s="87"/>
      <c r="Q2436" s="87"/>
      <c r="R2436" s="87"/>
      <c r="S2436" s="87"/>
      <c r="T2436" s="87"/>
      <c r="U2436" s="88"/>
      <c r="V2436" s="89"/>
      <c r="W2436" s="96">
        <v>0</v>
      </c>
      <c r="X2436" s="71">
        <f>CU2436</f>
        <v>0</v>
      </c>
      <c r="Y2436" s="71">
        <f>CY2436</f>
        <v>0</v>
      </c>
      <c r="Z2436" s="71">
        <f>DA2436+DC2436+DE2436</f>
        <v>0</v>
      </c>
      <c r="AA2436" s="71">
        <f>CW2436</f>
        <v>0</v>
      </c>
      <c r="AB2436" s="71"/>
      <c r="AC2436" s="71">
        <v>0</v>
      </c>
      <c r="AD2436" s="71">
        <f>W2436+X2436+Y2436+Z2436+AA2436+AB2436+AC2436</f>
        <v>0</v>
      </c>
      <c r="AE2436" s="72">
        <v>0</v>
      </c>
      <c r="AF2436" s="5"/>
      <c r="AG2436" s="6"/>
      <c r="AH2436" s="27"/>
      <c r="AI2436" s="44"/>
      <c r="AJ2436" s="26"/>
      <c r="AK2436" s="5"/>
      <c r="AL2436" s="82" t="s">
        <v>5302</v>
      </c>
      <c r="AM2436" s="76"/>
      <c r="AN2436" s="76"/>
      <c r="AO2436" s="76"/>
      <c r="AP2436" s="76"/>
      <c r="AQ2436" s="76"/>
      <c r="AR2436" s="76"/>
      <c r="AS2436" s="76"/>
      <c r="AT2436" s="76"/>
      <c r="AU2436" s="76"/>
      <c r="AV2436" s="76"/>
      <c r="AW2436" s="76"/>
      <c r="AX2436" s="76">
        <f>+AW2436*600000</f>
        <v>0</v>
      </c>
      <c r="AY2436" s="76"/>
      <c r="AZ2436" s="76">
        <f>+AY2436*70000</f>
        <v>0</v>
      </c>
      <c r="BA2436" s="76"/>
      <c r="BB2436" s="76"/>
      <c r="BC2436" s="76"/>
      <c r="BD2436" s="76">
        <f>+BC2436*30000</f>
        <v>0</v>
      </c>
      <c r="BE2436" s="76"/>
      <c r="BF2436" s="76"/>
      <c r="BG2436" s="76"/>
      <c r="BH2436" s="76"/>
      <c r="BI2436" s="76"/>
      <c r="BJ2436" s="76"/>
      <c r="BK2436" s="76"/>
      <c r="BL2436" s="76">
        <f>+BK2436*31500</f>
        <v>0</v>
      </c>
      <c r="BM2436" s="76"/>
      <c r="BN2436" s="76"/>
      <c r="BO2436" s="76"/>
      <c r="BP2436" s="76"/>
      <c r="BQ2436" s="76"/>
      <c r="BR2436" s="76"/>
      <c r="BS2436" s="76"/>
      <c r="BT2436" s="76"/>
      <c r="BU2436" s="76"/>
      <c r="BV2436" s="76"/>
      <c r="BW2436" s="76"/>
      <c r="BX2436" s="76"/>
      <c r="BY2436" s="76"/>
      <c r="BZ2436" s="76"/>
      <c r="CA2436" s="76"/>
      <c r="CB2436" s="76"/>
      <c r="CC2436" s="76"/>
      <c r="CD2436" s="76"/>
      <c r="CE2436" s="76"/>
      <c r="CF2436" s="76">
        <f>+CE2436*28000</f>
        <v>0</v>
      </c>
      <c r="CG2436" s="76"/>
      <c r="CH2436" s="76">
        <f>+CG2436*22500</f>
        <v>0</v>
      </c>
      <c r="CI2436" s="76"/>
      <c r="CJ2436" s="76">
        <f>+CI2436*26000</f>
        <v>0</v>
      </c>
      <c r="CK2436" s="76"/>
      <c r="CL2436" s="76"/>
      <c r="CM2436" s="76"/>
      <c r="CN2436" s="76">
        <f>+CM2436*22000</f>
        <v>0</v>
      </c>
      <c r="CO2436" s="76"/>
      <c r="CP2436" s="76">
        <f>+CO2436*46000</f>
        <v>0</v>
      </c>
      <c r="CQ2436" s="76"/>
      <c r="CR2436" s="76">
        <f>+CQ2436*49000</f>
        <v>0</v>
      </c>
      <c r="CS2436" s="76"/>
      <c r="CT2436" s="76"/>
      <c r="CU2436" s="56">
        <f>AN2436+AP2436+AR2436+AT2436+AV2436+AX2436+AZ2436+BB2436+BD2436+BF2436+BH2436+BJ2436+BL2436+BN2436+BP2436+BR2436+BT2436+BV2436+BX2436+BZ2436+CB2436+CD2436+CF2436+CH2436+CJ2436+CL2436+CN2436+CP2436+CR2436+CT2436</f>
        <v>0</v>
      </c>
      <c r="CV2436" s="76"/>
      <c r="CW2436" s="76">
        <f>+CV2436*1100</f>
        <v>0</v>
      </c>
      <c r="CX2436" s="76"/>
      <c r="CY2436" s="76">
        <f>+CX2436*106250</f>
        <v>0</v>
      </c>
      <c r="CZ2436" s="76"/>
      <c r="DA2436" s="76">
        <f>+CZ2436*34500</f>
        <v>0</v>
      </c>
      <c r="DB2436" s="76"/>
      <c r="DC2436" s="76">
        <f>+DB2436*25000</f>
        <v>0</v>
      </c>
      <c r="DD2436" s="219"/>
      <c r="DE2436" s="219"/>
      <c r="DF2436" s="166"/>
      <c r="DG2436" s="116"/>
      <c r="DH2436" s="117"/>
      <c r="DI2436" s="24"/>
      <c r="DJ2436" s="24"/>
      <c r="DK2436" s="24"/>
      <c r="DL2436" s="24"/>
      <c r="DM2436" s="24"/>
      <c r="DN2436" s="24"/>
      <c r="DO2436" s="24"/>
      <c r="DP2436" s="24"/>
      <c r="DQ2436" s="24"/>
      <c r="DR2436" s="24"/>
      <c r="DS2436" s="24"/>
      <c r="DT2436" s="24"/>
      <c r="DU2436" s="24"/>
    </row>
    <row r="2437" spans="1:125" s="8" customFormat="1" ht="48" x14ac:dyDescent="0.2">
      <c r="A2437" s="226">
        <v>41478</v>
      </c>
      <c r="B2437" s="225" t="s">
        <v>2847</v>
      </c>
      <c r="C2437" s="227" t="s">
        <v>1751</v>
      </c>
      <c r="D2437" s="354" t="s">
        <v>2882</v>
      </c>
      <c r="E2437" s="353" t="str">
        <f>VLOOKUP(B2437&amp;C2437,Divipola!$C$2:$F$1138,4,FALSE)</f>
        <v>68533</v>
      </c>
      <c r="F2437" s="87"/>
      <c r="G2437" s="87"/>
      <c r="H2437" s="87"/>
      <c r="I2437" s="87"/>
      <c r="J2437" s="87"/>
      <c r="K2437" s="87"/>
      <c r="L2437" s="87"/>
      <c r="M2437" s="87"/>
      <c r="N2437" s="87"/>
      <c r="O2437" s="87"/>
      <c r="P2437" s="87"/>
      <c r="Q2437" s="87"/>
      <c r="R2437" s="87"/>
      <c r="S2437" s="87"/>
      <c r="T2437" s="87"/>
      <c r="U2437" s="88"/>
      <c r="V2437" s="89"/>
      <c r="W2437" s="96">
        <v>0</v>
      </c>
      <c r="X2437" s="71">
        <f>CU2437</f>
        <v>0</v>
      </c>
      <c r="Y2437" s="71">
        <f>CY2437</f>
        <v>0</v>
      </c>
      <c r="Z2437" s="71">
        <f>DA2437+DC2437+DE2437</f>
        <v>0</v>
      </c>
      <c r="AA2437" s="71">
        <f>CW2437</f>
        <v>0</v>
      </c>
      <c r="AB2437" s="71"/>
      <c r="AC2437" s="71">
        <v>0</v>
      </c>
      <c r="AD2437" s="71">
        <f>W2437+X2437+Y2437+Z2437+AA2437+AB2437+AC2437</f>
        <v>0</v>
      </c>
      <c r="AE2437" s="72">
        <v>0</v>
      </c>
      <c r="AF2437" s="5"/>
      <c r="AG2437" s="6"/>
      <c r="AH2437" s="27"/>
      <c r="AI2437" s="44"/>
      <c r="AJ2437" s="26"/>
      <c r="AK2437" s="5"/>
      <c r="AL2437" s="82" t="s">
        <v>5316</v>
      </c>
      <c r="AM2437" s="76"/>
      <c r="AN2437" s="76"/>
      <c r="AO2437" s="76"/>
      <c r="AP2437" s="76"/>
      <c r="AQ2437" s="76"/>
      <c r="AR2437" s="76"/>
      <c r="AS2437" s="76"/>
      <c r="AT2437" s="76"/>
      <c r="AU2437" s="76"/>
      <c r="AV2437" s="76"/>
      <c r="AW2437" s="76"/>
      <c r="AX2437" s="76">
        <f>+AW2437*600000</f>
        <v>0</v>
      </c>
      <c r="AY2437" s="76"/>
      <c r="AZ2437" s="76">
        <f>+AY2437*70000</f>
        <v>0</v>
      </c>
      <c r="BA2437" s="76"/>
      <c r="BB2437" s="76"/>
      <c r="BC2437" s="76"/>
      <c r="BD2437" s="76">
        <f>+BC2437*30000</f>
        <v>0</v>
      </c>
      <c r="BE2437" s="76"/>
      <c r="BF2437" s="76"/>
      <c r="BG2437" s="76"/>
      <c r="BH2437" s="76"/>
      <c r="BI2437" s="76"/>
      <c r="BJ2437" s="76"/>
      <c r="BK2437" s="76"/>
      <c r="BL2437" s="76">
        <f>+BK2437*31500</f>
        <v>0</v>
      </c>
      <c r="BM2437" s="76"/>
      <c r="BN2437" s="76"/>
      <c r="BO2437" s="76"/>
      <c r="BP2437" s="76"/>
      <c r="BQ2437" s="76"/>
      <c r="BR2437" s="76"/>
      <c r="BS2437" s="76"/>
      <c r="BT2437" s="76"/>
      <c r="BU2437" s="76"/>
      <c r="BV2437" s="76"/>
      <c r="BW2437" s="76"/>
      <c r="BX2437" s="76"/>
      <c r="BY2437" s="76"/>
      <c r="BZ2437" s="76"/>
      <c r="CA2437" s="76"/>
      <c r="CB2437" s="76"/>
      <c r="CC2437" s="76"/>
      <c r="CD2437" s="76"/>
      <c r="CE2437" s="76"/>
      <c r="CF2437" s="76">
        <f>+CE2437*28000</f>
        <v>0</v>
      </c>
      <c r="CG2437" s="76"/>
      <c r="CH2437" s="76">
        <f>+CG2437*22500</f>
        <v>0</v>
      </c>
      <c r="CI2437" s="76"/>
      <c r="CJ2437" s="76">
        <f>+CI2437*26000</f>
        <v>0</v>
      </c>
      <c r="CK2437" s="76"/>
      <c r="CL2437" s="76"/>
      <c r="CM2437" s="76"/>
      <c r="CN2437" s="76">
        <f>+CM2437*22000</f>
        <v>0</v>
      </c>
      <c r="CO2437" s="76"/>
      <c r="CP2437" s="76">
        <f>+CO2437*46000</f>
        <v>0</v>
      </c>
      <c r="CQ2437" s="76"/>
      <c r="CR2437" s="76">
        <f>+CQ2437*49000</f>
        <v>0</v>
      </c>
      <c r="CS2437" s="76"/>
      <c r="CT2437" s="76"/>
      <c r="CU2437" s="56">
        <f>AN2437+AP2437+AR2437+AT2437+AV2437+AX2437+AZ2437+BB2437+BD2437+BF2437+BH2437+BJ2437+BL2437+BN2437+BP2437+BR2437+BT2437+BV2437+BX2437+BZ2437+CB2437+CD2437+CF2437+CH2437+CJ2437+CL2437+CN2437+CP2437+CR2437+CT2437</f>
        <v>0</v>
      </c>
      <c r="CV2437" s="76"/>
      <c r="CW2437" s="76">
        <f>+CV2437*1100</f>
        <v>0</v>
      </c>
      <c r="CX2437" s="76"/>
      <c r="CY2437" s="76">
        <f>+CX2437*106250</f>
        <v>0</v>
      </c>
      <c r="CZ2437" s="76"/>
      <c r="DA2437" s="76">
        <f>+CZ2437*34500</f>
        <v>0</v>
      </c>
      <c r="DB2437" s="76"/>
      <c r="DC2437" s="76">
        <f>+DB2437*25000</f>
        <v>0</v>
      </c>
      <c r="DD2437" s="219"/>
      <c r="DE2437" s="219"/>
      <c r="DF2437" s="166"/>
      <c r="DG2437" s="116"/>
      <c r="DH2437" s="117"/>
      <c r="DI2437" s="24"/>
      <c r="DJ2437" s="24"/>
      <c r="DK2437" s="24"/>
      <c r="DL2437" s="24"/>
      <c r="DM2437" s="24"/>
      <c r="DN2437" s="24"/>
      <c r="DO2437" s="24"/>
      <c r="DP2437" s="24"/>
      <c r="DQ2437" s="24"/>
      <c r="DR2437" s="24"/>
      <c r="DS2437" s="24"/>
      <c r="DT2437" s="24"/>
      <c r="DU2437" s="24"/>
    </row>
    <row r="2438" spans="1:125" s="8" customFormat="1" ht="36" x14ac:dyDescent="0.2">
      <c r="A2438" s="226">
        <v>41478</v>
      </c>
      <c r="B2438" s="225" t="s">
        <v>2848</v>
      </c>
      <c r="C2438" s="227" t="s">
        <v>1872</v>
      </c>
      <c r="D2438" s="354" t="s">
        <v>3425</v>
      </c>
      <c r="E2438" s="353" t="str">
        <f>VLOOKUP(B2438&amp;C2438,Divipola!$C$2:$F$1138,4,FALSE)</f>
        <v>73268</v>
      </c>
      <c r="F2438" s="87"/>
      <c r="G2438" s="87"/>
      <c r="H2438" s="87"/>
      <c r="I2438" s="87"/>
      <c r="J2438" s="87"/>
      <c r="K2438" s="87"/>
      <c r="L2438" s="87"/>
      <c r="M2438" s="87"/>
      <c r="N2438" s="87"/>
      <c r="O2438" s="87"/>
      <c r="P2438" s="87"/>
      <c r="Q2438" s="87"/>
      <c r="R2438" s="87"/>
      <c r="S2438" s="87"/>
      <c r="T2438" s="87"/>
      <c r="U2438" s="88"/>
      <c r="V2438" s="89"/>
      <c r="W2438" s="96">
        <v>0</v>
      </c>
      <c r="X2438" s="71">
        <f>CU2438</f>
        <v>0</v>
      </c>
      <c r="Y2438" s="71">
        <f>CY2438</f>
        <v>0</v>
      </c>
      <c r="Z2438" s="71">
        <f>DA2438+DC2438+DE2438</f>
        <v>0</v>
      </c>
      <c r="AA2438" s="71">
        <f>CW2438</f>
        <v>0</v>
      </c>
      <c r="AB2438" s="71"/>
      <c r="AC2438" s="71">
        <v>0</v>
      </c>
      <c r="AD2438" s="71">
        <f>W2438+X2438+Y2438+Z2438+AA2438+AB2438+AC2438</f>
        <v>0</v>
      </c>
      <c r="AE2438" s="72">
        <v>0</v>
      </c>
      <c r="AF2438" s="5"/>
      <c r="AG2438" s="6"/>
      <c r="AH2438" s="27"/>
      <c r="AI2438" s="44"/>
      <c r="AJ2438" s="26"/>
      <c r="AK2438" s="5"/>
      <c r="AL2438" s="82" t="s">
        <v>5306</v>
      </c>
      <c r="AM2438" s="76"/>
      <c r="AN2438" s="76"/>
      <c r="AO2438" s="76"/>
      <c r="AP2438" s="76"/>
      <c r="AQ2438" s="76"/>
      <c r="AR2438" s="76"/>
      <c r="AS2438" s="76"/>
      <c r="AT2438" s="76"/>
      <c r="AU2438" s="76"/>
      <c r="AV2438" s="76"/>
      <c r="AW2438" s="76"/>
      <c r="AX2438" s="76">
        <f>+AW2438*600000</f>
        <v>0</v>
      </c>
      <c r="AY2438" s="76"/>
      <c r="AZ2438" s="76">
        <f>+AY2438*70000</f>
        <v>0</v>
      </c>
      <c r="BA2438" s="76"/>
      <c r="BB2438" s="76"/>
      <c r="BC2438" s="76"/>
      <c r="BD2438" s="76">
        <f>+BC2438*30000</f>
        <v>0</v>
      </c>
      <c r="BE2438" s="76"/>
      <c r="BF2438" s="76"/>
      <c r="BG2438" s="76"/>
      <c r="BH2438" s="76"/>
      <c r="BI2438" s="76"/>
      <c r="BJ2438" s="76"/>
      <c r="BK2438" s="76"/>
      <c r="BL2438" s="76">
        <f>+BK2438*31500</f>
        <v>0</v>
      </c>
      <c r="BM2438" s="76"/>
      <c r="BN2438" s="76"/>
      <c r="BO2438" s="76"/>
      <c r="BP2438" s="76"/>
      <c r="BQ2438" s="76"/>
      <c r="BR2438" s="76"/>
      <c r="BS2438" s="76"/>
      <c r="BT2438" s="76"/>
      <c r="BU2438" s="76"/>
      <c r="BV2438" s="76"/>
      <c r="BW2438" s="76"/>
      <c r="BX2438" s="76"/>
      <c r="BY2438" s="76"/>
      <c r="BZ2438" s="76"/>
      <c r="CA2438" s="76"/>
      <c r="CB2438" s="76"/>
      <c r="CC2438" s="76"/>
      <c r="CD2438" s="76"/>
      <c r="CE2438" s="76"/>
      <c r="CF2438" s="76">
        <f>+CE2438*28000</f>
        <v>0</v>
      </c>
      <c r="CG2438" s="76"/>
      <c r="CH2438" s="76">
        <f>+CG2438*22500</f>
        <v>0</v>
      </c>
      <c r="CI2438" s="76"/>
      <c r="CJ2438" s="76">
        <f>+CI2438*26000</f>
        <v>0</v>
      </c>
      <c r="CK2438" s="76"/>
      <c r="CL2438" s="76"/>
      <c r="CM2438" s="76"/>
      <c r="CN2438" s="76">
        <f>+CM2438*22000</f>
        <v>0</v>
      </c>
      <c r="CO2438" s="76"/>
      <c r="CP2438" s="76">
        <f>+CO2438*46000</f>
        <v>0</v>
      </c>
      <c r="CQ2438" s="76"/>
      <c r="CR2438" s="76">
        <f>+CQ2438*49000</f>
        <v>0</v>
      </c>
      <c r="CS2438" s="76"/>
      <c r="CT2438" s="76"/>
      <c r="CU2438" s="56">
        <f>AN2438+AP2438+AR2438+AT2438+AV2438+AX2438+AZ2438+BB2438+BD2438+BF2438+BH2438+BJ2438+BL2438+BN2438+BP2438+BR2438+BT2438+BV2438+BX2438+BZ2438+CB2438+CD2438+CF2438+CH2438+CJ2438+CL2438+CN2438+CP2438+CR2438+CT2438</f>
        <v>0</v>
      </c>
      <c r="CV2438" s="76"/>
      <c r="CW2438" s="76">
        <f>+CV2438*1100</f>
        <v>0</v>
      </c>
      <c r="CX2438" s="76"/>
      <c r="CY2438" s="76">
        <f>+CX2438*106250</f>
        <v>0</v>
      </c>
      <c r="CZ2438" s="76"/>
      <c r="DA2438" s="76">
        <f>+CZ2438*34500</f>
        <v>0</v>
      </c>
      <c r="DB2438" s="76"/>
      <c r="DC2438" s="76">
        <f>+DB2438*25000</f>
        <v>0</v>
      </c>
      <c r="DD2438" s="219"/>
      <c r="DE2438" s="219"/>
      <c r="DF2438" s="166"/>
      <c r="DG2438" s="116"/>
      <c r="DH2438" s="117"/>
      <c r="DI2438" s="24"/>
      <c r="DJ2438" s="24"/>
      <c r="DK2438" s="24"/>
      <c r="DL2438" s="24"/>
      <c r="DM2438" s="24"/>
      <c r="DN2438" s="24"/>
      <c r="DO2438" s="24"/>
      <c r="DP2438" s="24"/>
      <c r="DQ2438" s="24"/>
      <c r="DR2438" s="24"/>
      <c r="DS2438" s="24"/>
      <c r="DT2438" s="24"/>
      <c r="DU2438" s="24"/>
    </row>
    <row r="2439" spans="1:125" s="8" customFormat="1" ht="84" x14ac:dyDescent="0.2">
      <c r="A2439" s="226">
        <v>41478</v>
      </c>
      <c r="B2439" s="225" t="s">
        <v>2848</v>
      </c>
      <c r="C2439" s="227" t="s">
        <v>2191</v>
      </c>
      <c r="D2439" s="354" t="s">
        <v>2846</v>
      </c>
      <c r="E2439" s="353" t="str">
        <f>VLOOKUP(B2439&amp;C2439,Divipola!$C$2:$F$1138,4,FALSE)</f>
        <v>73319</v>
      </c>
      <c r="F2439" s="87"/>
      <c r="G2439" s="87"/>
      <c r="H2439" s="87"/>
      <c r="I2439" s="87"/>
      <c r="J2439" s="87"/>
      <c r="K2439" s="87"/>
      <c r="L2439" s="87"/>
      <c r="M2439" s="87"/>
      <c r="N2439" s="87"/>
      <c r="O2439" s="87"/>
      <c r="P2439" s="87"/>
      <c r="Q2439" s="87"/>
      <c r="R2439" s="87"/>
      <c r="S2439" s="87"/>
      <c r="T2439" s="87"/>
      <c r="U2439" s="88" t="s">
        <v>5301</v>
      </c>
      <c r="V2439" s="89"/>
      <c r="W2439" s="96">
        <v>0</v>
      </c>
      <c r="X2439" s="71">
        <f>CU2439</f>
        <v>0</v>
      </c>
      <c r="Y2439" s="71">
        <f>CY2439</f>
        <v>0</v>
      </c>
      <c r="Z2439" s="71">
        <f>DA2439+DC2439+DE2439</f>
        <v>0</v>
      </c>
      <c r="AA2439" s="71">
        <f>CW2439</f>
        <v>0</v>
      </c>
      <c r="AB2439" s="71"/>
      <c r="AC2439" s="71">
        <v>0</v>
      </c>
      <c r="AD2439" s="71">
        <f>W2439+X2439+Y2439+Z2439+AA2439+AB2439+AC2439</f>
        <v>0</v>
      </c>
      <c r="AE2439" s="72">
        <v>0</v>
      </c>
      <c r="AF2439" s="5"/>
      <c r="AG2439" s="6"/>
      <c r="AH2439" s="27"/>
      <c r="AI2439" s="44"/>
      <c r="AJ2439" s="26"/>
      <c r="AK2439" s="5"/>
      <c r="AL2439" s="82" t="s">
        <v>5307</v>
      </c>
      <c r="AM2439" s="76"/>
      <c r="AN2439" s="76"/>
      <c r="AO2439" s="76"/>
      <c r="AP2439" s="76"/>
      <c r="AQ2439" s="76"/>
      <c r="AR2439" s="76"/>
      <c r="AS2439" s="76"/>
      <c r="AT2439" s="76"/>
      <c r="AU2439" s="76"/>
      <c r="AV2439" s="76"/>
      <c r="AW2439" s="76"/>
      <c r="AX2439" s="76">
        <f>+AW2439*600000</f>
        <v>0</v>
      </c>
      <c r="AY2439" s="76"/>
      <c r="AZ2439" s="76">
        <f>+AY2439*70000</f>
        <v>0</v>
      </c>
      <c r="BA2439" s="76"/>
      <c r="BB2439" s="76"/>
      <c r="BC2439" s="76"/>
      <c r="BD2439" s="76">
        <f>+BC2439*30000</f>
        <v>0</v>
      </c>
      <c r="BE2439" s="76"/>
      <c r="BF2439" s="76"/>
      <c r="BG2439" s="76"/>
      <c r="BH2439" s="76"/>
      <c r="BI2439" s="76"/>
      <c r="BJ2439" s="76"/>
      <c r="BK2439" s="76"/>
      <c r="BL2439" s="76">
        <f>+BK2439*31500</f>
        <v>0</v>
      </c>
      <c r="BM2439" s="76"/>
      <c r="BN2439" s="76"/>
      <c r="BO2439" s="76"/>
      <c r="BP2439" s="76"/>
      <c r="BQ2439" s="76"/>
      <c r="BR2439" s="76"/>
      <c r="BS2439" s="76"/>
      <c r="BT2439" s="76"/>
      <c r="BU2439" s="76"/>
      <c r="BV2439" s="76"/>
      <c r="BW2439" s="76"/>
      <c r="BX2439" s="76"/>
      <c r="BY2439" s="76"/>
      <c r="BZ2439" s="76"/>
      <c r="CA2439" s="76"/>
      <c r="CB2439" s="76"/>
      <c r="CC2439" s="76"/>
      <c r="CD2439" s="76"/>
      <c r="CE2439" s="76"/>
      <c r="CF2439" s="76">
        <f>+CE2439*28000</f>
        <v>0</v>
      </c>
      <c r="CG2439" s="76"/>
      <c r="CH2439" s="76">
        <f>+CG2439*22500</f>
        <v>0</v>
      </c>
      <c r="CI2439" s="76"/>
      <c r="CJ2439" s="76">
        <f>+CI2439*26000</f>
        <v>0</v>
      </c>
      <c r="CK2439" s="76"/>
      <c r="CL2439" s="76"/>
      <c r="CM2439" s="76"/>
      <c r="CN2439" s="76">
        <f>+CM2439*22000</f>
        <v>0</v>
      </c>
      <c r="CO2439" s="76"/>
      <c r="CP2439" s="76">
        <f>+CO2439*46000</f>
        <v>0</v>
      </c>
      <c r="CQ2439" s="76"/>
      <c r="CR2439" s="76">
        <f>+CQ2439*49000</f>
        <v>0</v>
      </c>
      <c r="CS2439" s="76"/>
      <c r="CT2439" s="76"/>
      <c r="CU2439" s="56">
        <f>AN2439+AP2439+AR2439+AT2439+AV2439+AX2439+AZ2439+BB2439+BD2439+BF2439+BH2439+BJ2439+BL2439+BN2439+BP2439+BR2439+BT2439+BV2439+BX2439+BZ2439+CB2439+CD2439+CF2439+CH2439+CJ2439+CL2439+CN2439+CP2439+CR2439+CT2439</f>
        <v>0</v>
      </c>
      <c r="CV2439" s="76"/>
      <c r="CW2439" s="76">
        <f>+CV2439*1100</f>
        <v>0</v>
      </c>
      <c r="CX2439" s="76"/>
      <c r="CY2439" s="76">
        <f>+CX2439*106250</f>
        <v>0</v>
      </c>
      <c r="CZ2439" s="76"/>
      <c r="DA2439" s="76">
        <f>+CZ2439*34500</f>
        <v>0</v>
      </c>
      <c r="DB2439" s="76"/>
      <c r="DC2439" s="76">
        <f>+DB2439*25000</f>
        <v>0</v>
      </c>
      <c r="DD2439" s="219"/>
      <c r="DE2439" s="219"/>
      <c r="DF2439" s="166"/>
      <c r="DG2439" s="116"/>
      <c r="DH2439" s="117"/>
      <c r="DI2439" s="24"/>
      <c r="DJ2439" s="24"/>
      <c r="DK2439" s="24"/>
      <c r="DL2439" s="24"/>
      <c r="DM2439" s="24"/>
      <c r="DN2439" s="24"/>
      <c r="DO2439" s="24"/>
      <c r="DP2439" s="24"/>
      <c r="DQ2439" s="24"/>
      <c r="DR2439" s="24"/>
      <c r="DS2439" s="24"/>
      <c r="DT2439" s="24"/>
      <c r="DU2439" s="24"/>
    </row>
    <row r="2440" spans="1:125" s="8" customFormat="1" ht="36" x14ac:dyDescent="0.2">
      <c r="A2440" s="353">
        <v>41478</v>
      </c>
      <c r="B2440" s="352" t="s">
        <v>2848</v>
      </c>
      <c r="C2440" s="354" t="s">
        <v>2191</v>
      </c>
      <c r="D2440" s="354" t="s">
        <v>3425</v>
      </c>
      <c r="E2440" s="353" t="str">
        <f>VLOOKUP(B2440&amp;C2440,Divipola!$C$2:$F$1138,4,FALSE)</f>
        <v>73319</v>
      </c>
      <c r="F2440" s="87"/>
      <c r="G2440" s="87"/>
      <c r="H2440" s="87"/>
      <c r="I2440" s="87"/>
      <c r="J2440" s="87"/>
      <c r="K2440" s="87"/>
      <c r="L2440" s="87"/>
      <c r="M2440" s="87"/>
      <c r="N2440" s="87"/>
      <c r="O2440" s="87"/>
      <c r="P2440" s="87"/>
      <c r="Q2440" s="87"/>
      <c r="R2440" s="87"/>
      <c r="S2440" s="87"/>
      <c r="T2440" s="87"/>
      <c r="U2440" s="88"/>
      <c r="V2440" s="89"/>
      <c r="W2440" s="96">
        <v>0</v>
      </c>
      <c r="X2440" s="71">
        <f>CU2440</f>
        <v>0</v>
      </c>
      <c r="Y2440" s="71">
        <f>CY2440</f>
        <v>0</v>
      </c>
      <c r="Z2440" s="71">
        <f>DA2440+DC2440+DE2440</f>
        <v>0</v>
      </c>
      <c r="AA2440" s="71">
        <f>CW2440</f>
        <v>0</v>
      </c>
      <c r="AB2440" s="71"/>
      <c r="AC2440" s="71">
        <v>0</v>
      </c>
      <c r="AD2440" s="71">
        <f>W2440+X2440+Y2440+Z2440+AA2440+AB2440+AC2440</f>
        <v>0</v>
      </c>
      <c r="AE2440" s="72">
        <v>0</v>
      </c>
      <c r="AF2440" s="5"/>
      <c r="AG2440" s="6"/>
      <c r="AH2440" s="27"/>
      <c r="AI2440" s="44"/>
      <c r="AJ2440" s="26"/>
      <c r="AK2440" s="5"/>
      <c r="AL2440" s="82" t="s">
        <v>5305</v>
      </c>
      <c r="AM2440" s="76"/>
      <c r="AN2440" s="76"/>
      <c r="AO2440" s="76"/>
      <c r="AP2440" s="76"/>
      <c r="AQ2440" s="76"/>
      <c r="AR2440" s="76"/>
      <c r="AS2440" s="76"/>
      <c r="AT2440" s="76"/>
      <c r="AU2440" s="76"/>
      <c r="AV2440" s="76"/>
      <c r="AW2440" s="76"/>
      <c r="AX2440" s="76">
        <f>+AW2440*600000</f>
        <v>0</v>
      </c>
      <c r="AY2440" s="76"/>
      <c r="AZ2440" s="76">
        <f>+AY2440*70000</f>
        <v>0</v>
      </c>
      <c r="BA2440" s="76"/>
      <c r="BB2440" s="76"/>
      <c r="BC2440" s="76"/>
      <c r="BD2440" s="76">
        <f>+BC2440*30000</f>
        <v>0</v>
      </c>
      <c r="BE2440" s="76"/>
      <c r="BF2440" s="76"/>
      <c r="BG2440" s="76"/>
      <c r="BH2440" s="76"/>
      <c r="BI2440" s="76"/>
      <c r="BJ2440" s="76"/>
      <c r="BK2440" s="76"/>
      <c r="BL2440" s="76">
        <f>+BK2440*31500</f>
        <v>0</v>
      </c>
      <c r="BM2440" s="76"/>
      <c r="BN2440" s="76"/>
      <c r="BO2440" s="76"/>
      <c r="BP2440" s="76"/>
      <c r="BQ2440" s="76"/>
      <c r="BR2440" s="76"/>
      <c r="BS2440" s="76"/>
      <c r="BT2440" s="76"/>
      <c r="BU2440" s="76"/>
      <c r="BV2440" s="76"/>
      <c r="BW2440" s="76"/>
      <c r="BX2440" s="76"/>
      <c r="BY2440" s="76"/>
      <c r="BZ2440" s="76"/>
      <c r="CA2440" s="76"/>
      <c r="CB2440" s="76"/>
      <c r="CC2440" s="76"/>
      <c r="CD2440" s="76"/>
      <c r="CE2440" s="76"/>
      <c r="CF2440" s="76">
        <f>+CE2440*28000</f>
        <v>0</v>
      </c>
      <c r="CG2440" s="76"/>
      <c r="CH2440" s="76">
        <f>+CG2440*22500</f>
        <v>0</v>
      </c>
      <c r="CI2440" s="76"/>
      <c r="CJ2440" s="76">
        <f>+CI2440*26000</f>
        <v>0</v>
      </c>
      <c r="CK2440" s="76"/>
      <c r="CL2440" s="76"/>
      <c r="CM2440" s="76"/>
      <c r="CN2440" s="76">
        <f>+CM2440*22000</f>
        <v>0</v>
      </c>
      <c r="CO2440" s="76"/>
      <c r="CP2440" s="76">
        <f>+CO2440*46000</f>
        <v>0</v>
      </c>
      <c r="CQ2440" s="76"/>
      <c r="CR2440" s="76">
        <f>+CQ2440*49000</f>
        <v>0</v>
      </c>
      <c r="CS2440" s="76"/>
      <c r="CT2440" s="76"/>
      <c r="CU2440" s="56">
        <f>AN2440+AP2440+AR2440+AT2440+AV2440+AX2440+AZ2440+BB2440+BD2440+BF2440+BH2440+BJ2440+BL2440+BN2440+BP2440+BR2440+BT2440+BV2440+BX2440+BZ2440+CB2440+CD2440+CF2440+CH2440+CJ2440+CL2440+CN2440+CP2440+CR2440+CT2440</f>
        <v>0</v>
      </c>
      <c r="CV2440" s="76"/>
      <c r="CW2440" s="76">
        <f>+CV2440*1100</f>
        <v>0</v>
      </c>
      <c r="CX2440" s="76"/>
      <c r="CY2440" s="76">
        <f>+CX2440*106250</f>
        <v>0</v>
      </c>
      <c r="CZ2440" s="76"/>
      <c r="DA2440" s="76">
        <f>+CZ2440*34500</f>
        <v>0</v>
      </c>
      <c r="DB2440" s="76"/>
      <c r="DC2440" s="76">
        <f>+DB2440*25000</f>
        <v>0</v>
      </c>
      <c r="DD2440" s="219"/>
      <c r="DE2440" s="219"/>
      <c r="DF2440" s="166"/>
      <c r="DG2440" s="116"/>
      <c r="DH2440" s="117"/>
      <c r="DI2440" s="24"/>
      <c r="DJ2440" s="24"/>
      <c r="DK2440" s="24"/>
      <c r="DL2440" s="24"/>
      <c r="DM2440" s="24"/>
      <c r="DN2440" s="24"/>
      <c r="DO2440" s="24"/>
      <c r="DP2440" s="24"/>
      <c r="DQ2440" s="24"/>
      <c r="DR2440" s="24"/>
      <c r="DS2440" s="24"/>
      <c r="DT2440" s="24"/>
      <c r="DU2440" s="24"/>
    </row>
    <row r="2441" spans="1:125" s="8" customFormat="1" ht="48" x14ac:dyDescent="0.2">
      <c r="A2441" s="353">
        <v>41478</v>
      </c>
      <c r="B2441" s="352" t="s">
        <v>2848</v>
      </c>
      <c r="C2441" s="354" t="s">
        <v>2755</v>
      </c>
      <c r="D2441" s="354" t="s">
        <v>3425</v>
      </c>
      <c r="E2441" s="353" t="str">
        <f>VLOOKUP(B2441&amp;C2441,Divipola!$C$2:$F$1138,4,FALSE)</f>
        <v>73001</v>
      </c>
      <c r="F2441" s="87"/>
      <c r="G2441" s="87"/>
      <c r="H2441" s="87"/>
      <c r="I2441" s="87"/>
      <c r="J2441" s="87"/>
      <c r="K2441" s="87"/>
      <c r="L2441" s="87"/>
      <c r="M2441" s="87"/>
      <c r="N2441" s="87"/>
      <c r="O2441" s="87"/>
      <c r="P2441" s="87"/>
      <c r="Q2441" s="87"/>
      <c r="R2441" s="87"/>
      <c r="S2441" s="87"/>
      <c r="T2441" s="87">
        <v>1</v>
      </c>
      <c r="U2441" s="88"/>
      <c r="V2441" s="89"/>
      <c r="W2441" s="96">
        <v>0</v>
      </c>
      <c r="X2441" s="71">
        <f>CU2441</f>
        <v>0</v>
      </c>
      <c r="Y2441" s="71">
        <f>CY2441</f>
        <v>0</v>
      </c>
      <c r="Z2441" s="71">
        <f>DA2441+DC2441+DE2441</f>
        <v>0</v>
      </c>
      <c r="AA2441" s="71">
        <f>CW2441</f>
        <v>0</v>
      </c>
      <c r="AB2441" s="71"/>
      <c r="AC2441" s="71">
        <v>0</v>
      </c>
      <c r="AD2441" s="71">
        <f>W2441+X2441+Y2441+Z2441+AA2441+AB2441+AC2441</f>
        <v>0</v>
      </c>
      <c r="AE2441" s="72">
        <v>0</v>
      </c>
      <c r="AF2441" s="5"/>
      <c r="AG2441" s="6"/>
      <c r="AH2441" s="27"/>
      <c r="AI2441" s="44"/>
      <c r="AJ2441" s="26"/>
      <c r="AK2441" s="5"/>
      <c r="AL2441" s="82" t="s">
        <v>5304</v>
      </c>
      <c r="AM2441" s="76"/>
      <c r="AN2441" s="76"/>
      <c r="AO2441" s="76"/>
      <c r="AP2441" s="76"/>
      <c r="AQ2441" s="76"/>
      <c r="AR2441" s="76"/>
      <c r="AS2441" s="76"/>
      <c r="AT2441" s="76"/>
      <c r="AU2441" s="76"/>
      <c r="AV2441" s="76"/>
      <c r="AW2441" s="76"/>
      <c r="AX2441" s="76">
        <f>+AW2441*600000</f>
        <v>0</v>
      </c>
      <c r="AY2441" s="76"/>
      <c r="AZ2441" s="76">
        <f>+AY2441*70000</f>
        <v>0</v>
      </c>
      <c r="BA2441" s="76"/>
      <c r="BB2441" s="76"/>
      <c r="BC2441" s="76"/>
      <c r="BD2441" s="76">
        <f>+BC2441*30000</f>
        <v>0</v>
      </c>
      <c r="BE2441" s="76"/>
      <c r="BF2441" s="76"/>
      <c r="BG2441" s="76"/>
      <c r="BH2441" s="76"/>
      <c r="BI2441" s="76"/>
      <c r="BJ2441" s="76"/>
      <c r="BK2441" s="76"/>
      <c r="BL2441" s="76">
        <f>+BK2441*31500</f>
        <v>0</v>
      </c>
      <c r="BM2441" s="76"/>
      <c r="BN2441" s="76"/>
      <c r="BO2441" s="76"/>
      <c r="BP2441" s="76"/>
      <c r="BQ2441" s="76"/>
      <c r="BR2441" s="76"/>
      <c r="BS2441" s="76"/>
      <c r="BT2441" s="76"/>
      <c r="BU2441" s="76"/>
      <c r="BV2441" s="76"/>
      <c r="BW2441" s="76"/>
      <c r="BX2441" s="76"/>
      <c r="BY2441" s="76"/>
      <c r="BZ2441" s="76"/>
      <c r="CA2441" s="76"/>
      <c r="CB2441" s="76"/>
      <c r="CC2441" s="76"/>
      <c r="CD2441" s="76"/>
      <c r="CE2441" s="76"/>
      <c r="CF2441" s="76">
        <f>+CE2441*28000</f>
        <v>0</v>
      </c>
      <c r="CG2441" s="76"/>
      <c r="CH2441" s="76">
        <f>+CG2441*22500</f>
        <v>0</v>
      </c>
      <c r="CI2441" s="76"/>
      <c r="CJ2441" s="76">
        <f>+CI2441*26000</f>
        <v>0</v>
      </c>
      <c r="CK2441" s="76"/>
      <c r="CL2441" s="76"/>
      <c r="CM2441" s="76"/>
      <c r="CN2441" s="76">
        <f>+CM2441*22000</f>
        <v>0</v>
      </c>
      <c r="CO2441" s="76"/>
      <c r="CP2441" s="76">
        <f>+CO2441*46000</f>
        <v>0</v>
      </c>
      <c r="CQ2441" s="76"/>
      <c r="CR2441" s="76">
        <f>+CQ2441*49000</f>
        <v>0</v>
      </c>
      <c r="CS2441" s="76"/>
      <c r="CT2441" s="76"/>
      <c r="CU2441" s="56">
        <f>AN2441+AP2441+AR2441+AT2441+AV2441+AX2441+AZ2441+BB2441+BD2441+BF2441+BH2441+BJ2441+BL2441+BN2441+BP2441+BR2441+BT2441+BV2441+BX2441+BZ2441+CB2441+CD2441+CF2441+CH2441+CJ2441+CL2441+CN2441+CP2441+CR2441+CT2441</f>
        <v>0</v>
      </c>
      <c r="CV2441" s="76"/>
      <c r="CW2441" s="76">
        <f>+CV2441*1100</f>
        <v>0</v>
      </c>
      <c r="CX2441" s="76"/>
      <c r="CY2441" s="76">
        <f>+CX2441*106250</f>
        <v>0</v>
      </c>
      <c r="CZ2441" s="76"/>
      <c r="DA2441" s="76">
        <f>+CZ2441*34500</f>
        <v>0</v>
      </c>
      <c r="DB2441" s="76"/>
      <c r="DC2441" s="76">
        <f>+DB2441*25000</f>
        <v>0</v>
      </c>
      <c r="DD2441" s="219"/>
      <c r="DE2441" s="219"/>
      <c r="DF2441" s="166"/>
      <c r="DG2441" s="116"/>
      <c r="DH2441" s="117"/>
      <c r="DI2441" s="24"/>
      <c r="DJ2441" s="24"/>
      <c r="DK2441" s="24"/>
      <c r="DL2441" s="24"/>
      <c r="DM2441" s="24"/>
      <c r="DN2441" s="24"/>
      <c r="DO2441" s="24"/>
      <c r="DP2441" s="24"/>
      <c r="DQ2441" s="24"/>
      <c r="DR2441" s="24"/>
      <c r="DS2441" s="24"/>
      <c r="DT2441" s="24"/>
      <c r="DU2441" s="24"/>
    </row>
    <row r="2442" spans="1:125" s="8" customFormat="1" ht="60" x14ac:dyDescent="0.2">
      <c r="A2442" s="226">
        <v>41478</v>
      </c>
      <c r="B2442" s="225" t="s">
        <v>2848</v>
      </c>
      <c r="C2442" s="227" t="s">
        <v>2034</v>
      </c>
      <c r="D2442" s="354" t="s">
        <v>2859</v>
      </c>
      <c r="E2442" s="353" t="str">
        <f>VLOOKUP(B2442&amp;C2442,Divipola!$C$2:$F$1138,4,FALSE)</f>
        <v>73449</v>
      </c>
      <c r="F2442" s="87"/>
      <c r="G2442" s="87"/>
      <c r="H2442" s="87"/>
      <c r="I2442" s="87">
        <v>5</v>
      </c>
      <c r="J2442" s="87">
        <v>1</v>
      </c>
      <c r="K2442" s="87">
        <v>1</v>
      </c>
      <c r="L2442" s="87"/>
      <c r="M2442" s="87"/>
      <c r="N2442" s="87"/>
      <c r="O2442" s="87"/>
      <c r="P2442" s="87"/>
      <c r="Q2442" s="87"/>
      <c r="R2442" s="87"/>
      <c r="S2442" s="87"/>
      <c r="T2442" s="87"/>
      <c r="U2442" s="88"/>
      <c r="V2442" s="89"/>
      <c r="W2442" s="96">
        <v>0</v>
      </c>
      <c r="X2442" s="71">
        <f>CU2442</f>
        <v>0</v>
      </c>
      <c r="Y2442" s="71">
        <f>CY2442</f>
        <v>0</v>
      </c>
      <c r="Z2442" s="71">
        <f>DA2442+DC2442+DE2442</f>
        <v>0</v>
      </c>
      <c r="AA2442" s="71">
        <f>CW2442</f>
        <v>0</v>
      </c>
      <c r="AB2442" s="71"/>
      <c r="AC2442" s="71">
        <v>0</v>
      </c>
      <c r="AD2442" s="71">
        <f>W2442+X2442+Y2442+Z2442+AA2442+AB2442+AC2442</f>
        <v>0</v>
      </c>
      <c r="AE2442" s="72">
        <v>0</v>
      </c>
      <c r="AF2442" s="5"/>
      <c r="AG2442" s="6"/>
      <c r="AH2442" s="27"/>
      <c r="AI2442" s="44"/>
      <c r="AJ2442" s="26"/>
      <c r="AK2442" s="5"/>
      <c r="AL2442" s="82" t="s">
        <v>5303</v>
      </c>
      <c r="AM2442" s="76"/>
      <c r="AN2442" s="76"/>
      <c r="AO2442" s="76"/>
      <c r="AP2442" s="76"/>
      <c r="AQ2442" s="76"/>
      <c r="AR2442" s="76"/>
      <c r="AS2442" s="76"/>
      <c r="AT2442" s="76"/>
      <c r="AU2442" s="76"/>
      <c r="AV2442" s="76"/>
      <c r="AW2442" s="76"/>
      <c r="AX2442" s="76">
        <f>+AW2442*600000</f>
        <v>0</v>
      </c>
      <c r="AY2442" s="76"/>
      <c r="AZ2442" s="76">
        <f>+AY2442*70000</f>
        <v>0</v>
      </c>
      <c r="BA2442" s="76"/>
      <c r="BB2442" s="76"/>
      <c r="BC2442" s="76"/>
      <c r="BD2442" s="76">
        <f>+BC2442*30000</f>
        <v>0</v>
      </c>
      <c r="BE2442" s="76"/>
      <c r="BF2442" s="76"/>
      <c r="BG2442" s="76"/>
      <c r="BH2442" s="76"/>
      <c r="BI2442" s="76"/>
      <c r="BJ2442" s="76"/>
      <c r="BK2442" s="76"/>
      <c r="BL2442" s="76">
        <f>+BK2442*31500</f>
        <v>0</v>
      </c>
      <c r="BM2442" s="76"/>
      <c r="BN2442" s="76"/>
      <c r="BO2442" s="76"/>
      <c r="BP2442" s="76"/>
      <c r="BQ2442" s="76"/>
      <c r="BR2442" s="76"/>
      <c r="BS2442" s="76"/>
      <c r="BT2442" s="76"/>
      <c r="BU2442" s="76"/>
      <c r="BV2442" s="76"/>
      <c r="BW2442" s="76"/>
      <c r="BX2442" s="76"/>
      <c r="BY2442" s="76"/>
      <c r="BZ2442" s="76"/>
      <c r="CA2442" s="76"/>
      <c r="CB2442" s="76"/>
      <c r="CC2442" s="76"/>
      <c r="CD2442" s="76"/>
      <c r="CE2442" s="76"/>
      <c r="CF2442" s="76">
        <f>+CE2442*28000</f>
        <v>0</v>
      </c>
      <c r="CG2442" s="76"/>
      <c r="CH2442" s="76">
        <f>+CG2442*22500</f>
        <v>0</v>
      </c>
      <c r="CI2442" s="76"/>
      <c r="CJ2442" s="76">
        <f>+CI2442*26000</f>
        <v>0</v>
      </c>
      <c r="CK2442" s="76"/>
      <c r="CL2442" s="76"/>
      <c r="CM2442" s="76"/>
      <c r="CN2442" s="76">
        <f>+CM2442*22000</f>
        <v>0</v>
      </c>
      <c r="CO2442" s="76"/>
      <c r="CP2442" s="76">
        <f>+CO2442*46000</f>
        <v>0</v>
      </c>
      <c r="CQ2442" s="76"/>
      <c r="CR2442" s="76">
        <f>+CQ2442*49000</f>
        <v>0</v>
      </c>
      <c r="CS2442" s="76"/>
      <c r="CT2442" s="76"/>
      <c r="CU2442" s="56">
        <f>AN2442+AP2442+AR2442+AT2442+AV2442+AX2442+AZ2442+BB2442+BD2442+BF2442+BH2442+BJ2442+BL2442+BN2442+BP2442+BR2442+BT2442+BV2442+BX2442+BZ2442+CB2442+CD2442+CF2442+CH2442+CJ2442+CL2442+CN2442+CP2442+CR2442+CT2442</f>
        <v>0</v>
      </c>
      <c r="CV2442" s="76"/>
      <c r="CW2442" s="76">
        <f>+CV2442*1100</f>
        <v>0</v>
      </c>
      <c r="CX2442" s="76"/>
      <c r="CY2442" s="76">
        <f>+CX2442*106250</f>
        <v>0</v>
      </c>
      <c r="CZ2442" s="76"/>
      <c r="DA2442" s="76">
        <f>+CZ2442*34500</f>
        <v>0</v>
      </c>
      <c r="DB2442" s="76"/>
      <c r="DC2442" s="76">
        <f>+DB2442*25000</f>
        <v>0</v>
      </c>
      <c r="DD2442" s="219"/>
      <c r="DE2442" s="219"/>
      <c r="DF2442" s="166"/>
      <c r="DG2442" s="116"/>
      <c r="DH2442" s="117"/>
      <c r="DI2442" s="24"/>
      <c r="DJ2442" s="24"/>
      <c r="DK2442" s="24"/>
      <c r="DL2442" s="24"/>
      <c r="DM2442" s="24"/>
      <c r="DN2442" s="24"/>
      <c r="DO2442" s="24"/>
      <c r="DP2442" s="24"/>
      <c r="DQ2442" s="24"/>
      <c r="DR2442" s="24"/>
      <c r="DS2442" s="24"/>
      <c r="DT2442" s="24"/>
      <c r="DU2442" s="24"/>
    </row>
    <row r="2443" spans="1:125" s="8" customFormat="1" ht="36" x14ac:dyDescent="0.2">
      <c r="A2443" s="353">
        <v>41478</v>
      </c>
      <c r="B2443" s="352" t="s">
        <v>2848</v>
      </c>
      <c r="C2443" s="354" t="s">
        <v>1384</v>
      </c>
      <c r="D2443" s="354" t="s">
        <v>3425</v>
      </c>
      <c r="E2443" s="353" t="str">
        <f>VLOOKUP(B2443&amp;C2443,Divipola!$C$2:$F$1138,4,FALSE)</f>
        <v>73678</v>
      </c>
      <c r="F2443" s="87"/>
      <c r="G2443" s="87"/>
      <c r="H2443" s="87"/>
      <c r="I2443" s="87"/>
      <c r="J2443" s="87"/>
      <c r="K2443" s="87"/>
      <c r="L2443" s="87"/>
      <c r="M2443" s="87"/>
      <c r="N2443" s="87"/>
      <c r="O2443" s="87"/>
      <c r="P2443" s="87"/>
      <c r="Q2443" s="87"/>
      <c r="R2443" s="87"/>
      <c r="S2443" s="87"/>
      <c r="T2443" s="87"/>
      <c r="U2443" s="88"/>
      <c r="V2443" s="89"/>
      <c r="W2443" s="96">
        <v>0</v>
      </c>
      <c r="X2443" s="71">
        <f>CU2443</f>
        <v>0</v>
      </c>
      <c r="Y2443" s="71">
        <f>CY2443</f>
        <v>0</v>
      </c>
      <c r="Z2443" s="71">
        <f>DA2443+DC2443+DE2443</f>
        <v>0</v>
      </c>
      <c r="AA2443" s="71">
        <f>CW2443</f>
        <v>0</v>
      </c>
      <c r="AB2443" s="71"/>
      <c r="AC2443" s="71">
        <v>0</v>
      </c>
      <c r="AD2443" s="71">
        <f>W2443+X2443+Y2443+Z2443+AA2443+AB2443+AC2443</f>
        <v>0</v>
      </c>
      <c r="AE2443" s="72">
        <v>0</v>
      </c>
      <c r="AF2443" s="5"/>
      <c r="AG2443" s="6"/>
      <c r="AH2443" s="27"/>
      <c r="AI2443" s="44"/>
      <c r="AJ2443" s="26"/>
      <c r="AK2443" s="5"/>
      <c r="AL2443" s="82" t="s">
        <v>5305</v>
      </c>
      <c r="AM2443" s="76"/>
      <c r="AN2443" s="76"/>
      <c r="AO2443" s="76"/>
      <c r="AP2443" s="76"/>
      <c r="AQ2443" s="76"/>
      <c r="AR2443" s="76"/>
      <c r="AS2443" s="76"/>
      <c r="AT2443" s="76"/>
      <c r="AU2443" s="76"/>
      <c r="AV2443" s="76"/>
      <c r="AW2443" s="76"/>
      <c r="AX2443" s="76">
        <f>+AW2443*600000</f>
        <v>0</v>
      </c>
      <c r="AY2443" s="76"/>
      <c r="AZ2443" s="76">
        <f>+AY2443*70000</f>
        <v>0</v>
      </c>
      <c r="BA2443" s="76"/>
      <c r="BB2443" s="76"/>
      <c r="BC2443" s="76"/>
      <c r="BD2443" s="76">
        <f>+BC2443*30000</f>
        <v>0</v>
      </c>
      <c r="BE2443" s="76"/>
      <c r="BF2443" s="76"/>
      <c r="BG2443" s="76"/>
      <c r="BH2443" s="76"/>
      <c r="BI2443" s="76"/>
      <c r="BJ2443" s="76"/>
      <c r="BK2443" s="76"/>
      <c r="BL2443" s="76">
        <f>+BK2443*31500</f>
        <v>0</v>
      </c>
      <c r="BM2443" s="76"/>
      <c r="BN2443" s="76"/>
      <c r="BO2443" s="76"/>
      <c r="BP2443" s="76"/>
      <c r="BQ2443" s="76"/>
      <c r="BR2443" s="76"/>
      <c r="BS2443" s="76"/>
      <c r="BT2443" s="76"/>
      <c r="BU2443" s="76"/>
      <c r="BV2443" s="76"/>
      <c r="BW2443" s="76"/>
      <c r="BX2443" s="76"/>
      <c r="BY2443" s="76"/>
      <c r="BZ2443" s="76"/>
      <c r="CA2443" s="76"/>
      <c r="CB2443" s="76"/>
      <c r="CC2443" s="76"/>
      <c r="CD2443" s="76"/>
      <c r="CE2443" s="76"/>
      <c r="CF2443" s="76">
        <f>+CE2443*28000</f>
        <v>0</v>
      </c>
      <c r="CG2443" s="76"/>
      <c r="CH2443" s="76">
        <f>+CG2443*22500</f>
        <v>0</v>
      </c>
      <c r="CI2443" s="76"/>
      <c r="CJ2443" s="76">
        <f>+CI2443*26000</f>
        <v>0</v>
      </c>
      <c r="CK2443" s="76"/>
      <c r="CL2443" s="76"/>
      <c r="CM2443" s="76"/>
      <c r="CN2443" s="76">
        <f>+CM2443*22000</f>
        <v>0</v>
      </c>
      <c r="CO2443" s="76"/>
      <c r="CP2443" s="76">
        <f>+CO2443*46000</f>
        <v>0</v>
      </c>
      <c r="CQ2443" s="76"/>
      <c r="CR2443" s="76">
        <f>+CQ2443*49000</f>
        <v>0</v>
      </c>
      <c r="CS2443" s="76"/>
      <c r="CT2443" s="76"/>
      <c r="CU2443" s="56">
        <f>AN2443+AP2443+AR2443+AT2443+AV2443+AX2443+AZ2443+BB2443+BD2443+BF2443+BH2443+BJ2443+BL2443+BN2443+BP2443+BR2443+BT2443+BV2443+BX2443+BZ2443+CB2443+CD2443+CF2443+CH2443+CJ2443+CL2443+CN2443+CP2443+CR2443+CT2443</f>
        <v>0</v>
      </c>
      <c r="CV2443" s="76"/>
      <c r="CW2443" s="76">
        <f>+CV2443*1100</f>
        <v>0</v>
      </c>
      <c r="CX2443" s="76"/>
      <c r="CY2443" s="76">
        <f>+CX2443*106250</f>
        <v>0</v>
      </c>
      <c r="CZ2443" s="76"/>
      <c r="DA2443" s="76">
        <f>+CZ2443*34500</f>
        <v>0</v>
      </c>
      <c r="DB2443" s="76"/>
      <c r="DC2443" s="76">
        <f>+DB2443*25000</f>
        <v>0</v>
      </c>
      <c r="DD2443" s="219"/>
      <c r="DE2443" s="219"/>
      <c r="DF2443" s="166"/>
      <c r="DG2443" s="116"/>
      <c r="DH2443" s="117"/>
      <c r="DI2443" s="24"/>
      <c r="DJ2443" s="24"/>
      <c r="DK2443" s="24"/>
      <c r="DL2443" s="24"/>
      <c r="DM2443" s="24"/>
      <c r="DN2443" s="24"/>
      <c r="DO2443" s="24"/>
      <c r="DP2443" s="24"/>
      <c r="DQ2443" s="24"/>
      <c r="DR2443" s="24"/>
      <c r="DS2443" s="24"/>
      <c r="DT2443" s="24"/>
      <c r="DU2443" s="24"/>
    </row>
    <row r="2444" spans="1:125" s="8" customFormat="1" ht="60" x14ac:dyDescent="0.2">
      <c r="A2444" s="226">
        <v>41478</v>
      </c>
      <c r="B2444" s="225" t="s">
        <v>2851</v>
      </c>
      <c r="C2444" s="227" t="s">
        <v>2667</v>
      </c>
      <c r="D2444" s="227" t="s">
        <v>2846</v>
      </c>
      <c r="E2444" s="353" t="str">
        <f>VLOOKUP(B2444&amp;C2444,Divipola!$C$2:$F$1138,4,FALSE)</f>
        <v>76364</v>
      </c>
      <c r="F2444" s="87"/>
      <c r="G2444" s="87"/>
      <c r="H2444" s="87"/>
      <c r="I2444" s="87"/>
      <c r="J2444" s="87"/>
      <c r="K2444" s="87"/>
      <c r="L2444" s="87"/>
      <c r="M2444" s="87"/>
      <c r="N2444" s="87"/>
      <c r="O2444" s="87"/>
      <c r="P2444" s="87"/>
      <c r="Q2444" s="87"/>
      <c r="R2444" s="87"/>
      <c r="S2444" s="87"/>
      <c r="T2444" s="87"/>
      <c r="U2444" s="88">
        <v>4</v>
      </c>
      <c r="V2444" s="89"/>
      <c r="W2444" s="96">
        <v>0</v>
      </c>
      <c r="X2444" s="71">
        <f>CU2444</f>
        <v>0</v>
      </c>
      <c r="Y2444" s="71">
        <f>CY2444</f>
        <v>0</v>
      </c>
      <c r="Z2444" s="71">
        <f>DA2444+DC2444+DE2444</f>
        <v>0</v>
      </c>
      <c r="AA2444" s="71">
        <f>CW2444</f>
        <v>0</v>
      </c>
      <c r="AB2444" s="71"/>
      <c r="AC2444" s="71">
        <v>0</v>
      </c>
      <c r="AD2444" s="71">
        <f>W2444+X2444+Y2444+Z2444+AA2444+AB2444+AC2444</f>
        <v>0</v>
      </c>
      <c r="AE2444" s="72">
        <v>0</v>
      </c>
      <c r="AF2444" s="5"/>
      <c r="AG2444" s="6"/>
      <c r="AH2444" s="27"/>
      <c r="AI2444" s="44"/>
      <c r="AJ2444" s="26"/>
      <c r="AK2444" s="5"/>
      <c r="AL2444" s="82" t="s">
        <v>5310</v>
      </c>
      <c r="AM2444" s="76"/>
      <c r="AN2444" s="76"/>
      <c r="AO2444" s="76"/>
      <c r="AP2444" s="76"/>
      <c r="AQ2444" s="76"/>
      <c r="AR2444" s="76"/>
      <c r="AS2444" s="76"/>
      <c r="AT2444" s="76"/>
      <c r="AU2444" s="76"/>
      <c r="AV2444" s="76"/>
      <c r="AW2444" s="76"/>
      <c r="AX2444" s="76">
        <f>+AW2444*600000</f>
        <v>0</v>
      </c>
      <c r="AY2444" s="76"/>
      <c r="AZ2444" s="76">
        <f>+AY2444*70000</f>
        <v>0</v>
      </c>
      <c r="BA2444" s="76"/>
      <c r="BB2444" s="76"/>
      <c r="BC2444" s="76"/>
      <c r="BD2444" s="76">
        <f>+BC2444*30000</f>
        <v>0</v>
      </c>
      <c r="BE2444" s="76"/>
      <c r="BF2444" s="76"/>
      <c r="BG2444" s="76"/>
      <c r="BH2444" s="76"/>
      <c r="BI2444" s="76"/>
      <c r="BJ2444" s="76"/>
      <c r="BK2444" s="76"/>
      <c r="BL2444" s="76">
        <f>+BK2444*31500</f>
        <v>0</v>
      </c>
      <c r="BM2444" s="76"/>
      <c r="BN2444" s="76"/>
      <c r="BO2444" s="76"/>
      <c r="BP2444" s="76"/>
      <c r="BQ2444" s="76"/>
      <c r="BR2444" s="76"/>
      <c r="BS2444" s="76"/>
      <c r="BT2444" s="76"/>
      <c r="BU2444" s="76"/>
      <c r="BV2444" s="76"/>
      <c r="BW2444" s="76"/>
      <c r="BX2444" s="76"/>
      <c r="BY2444" s="76"/>
      <c r="BZ2444" s="76"/>
      <c r="CA2444" s="76"/>
      <c r="CB2444" s="76"/>
      <c r="CC2444" s="76"/>
      <c r="CD2444" s="76"/>
      <c r="CE2444" s="76"/>
      <c r="CF2444" s="76">
        <f>+CE2444*28000</f>
        <v>0</v>
      </c>
      <c r="CG2444" s="76"/>
      <c r="CH2444" s="76">
        <f>+CG2444*22500</f>
        <v>0</v>
      </c>
      <c r="CI2444" s="76"/>
      <c r="CJ2444" s="76">
        <f>+CI2444*26000</f>
        <v>0</v>
      </c>
      <c r="CK2444" s="76"/>
      <c r="CL2444" s="76"/>
      <c r="CM2444" s="76"/>
      <c r="CN2444" s="76">
        <f>+CM2444*22000</f>
        <v>0</v>
      </c>
      <c r="CO2444" s="76"/>
      <c r="CP2444" s="76">
        <f>+CO2444*46000</f>
        <v>0</v>
      </c>
      <c r="CQ2444" s="76"/>
      <c r="CR2444" s="76">
        <f>+CQ2444*49000</f>
        <v>0</v>
      </c>
      <c r="CS2444" s="76"/>
      <c r="CT2444" s="76"/>
      <c r="CU2444" s="56">
        <f>AN2444+AP2444+AR2444+AT2444+AV2444+AX2444+AZ2444+BB2444+BD2444+BF2444+BH2444+BJ2444+BL2444+BN2444+BP2444+BR2444+BT2444+BV2444+BX2444+BZ2444+CB2444+CD2444+CF2444+CH2444+CJ2444+CL2444+CN2444+CP2444+CR2444+CT2444</f>
        <v>0</v>
      </c>
      <c r="CV2444" s="76"/>
      <c r="CW2444" s="76">
        <f>+CV2444*1100</f>
        <v>0</v>
      </c>
      <c r="CX2444" s="76"/>
      <c r="CY2444" s="76">
        <f>+CX2444*106250</f>
        <v>0</v>
      </c>
      <c r="CZ2444" s="76"/>
      <c r="DA2444" s="76">
        <f>+CZ2444*34500</f>
        <v>0</v>
      </c>
      <c r="DB2444" s="76"/>
      <c r="DC2444" s="76">
        <f>+DB2444*25000</f>
        <v>0</v>
      </c>
      <c r="DD2444" s="219"/>
      <c r="DE2444" s="219"/>
      <c r="DF2444" s="166"/>
      <c r="DG2444" s="116"/>
      <c r="DH2444" s="117"/>
      <c r="DI2444" s="24"/>
      <c r="DJ2444" s="24"/>
      <c r="DK2444" s="24"/>
      <c r="DL2444" s="24"/>
      <c r="DM2444" s="24"/>
      <c r="DN2444" s="24"/>
      <c r="DO2444" s="24"/>
      <c r="DP2444" s="24"/>
      <c r="DQ2444" s="24"/>
      <c r="DR2444" s="24"/>
      <c r="DS2444" s="24"/>
      <c r="DT2444" s="24"/>
      <c r="DU2444" s="24"/>
    </row>
    <row r="2445" spans="1:125" s="8" customFormat="1" ht="69.75" customHeight="1" x14ac:dyDescent="0.2">
      <c r="A2445" s="353">
        <v>41479</v>
      </c>
      <c r="B2445" s="352" t="s">
        <v>2894</v>
      </c>
      <c r="C2445" s="354" t="s">
        <v>2695</v>
      </c>
      <c r="D2445" s="354" t="s">
        <v>2846</v>
      </c>
      <c r="E2445" s="353" t="str">
        <f>VLOOKUP(B2445&amp;C2445,Divipola!$C$2:$F$1138,4,FALSE)</f>
        <v>05093</v>
      </c>
      <c r="F2445" s="87"/>
      <c r="G2445" s="87"/>
      <c r="H2445" s="87"/>
      <c r="I2445" s="87"/>
      <c r="J2445" s="87"/>
      <c r="K2445" s="87"/>
      <c r="L2445" s="87"/>
      <c r="M2445" s="87"/>
      <c r="N2445" s="87"/>
      <c r="O2445" s="87"/>
      <c r="P2445" s="87"/>
      <c r="Q2445" s="87"/>
      <c r="R2445" s="87"/>
      <c r="S2445" s="87"/>
      <c r="T2445" s="87"/>
      <c r="U2445" s="88">
        <v>7</v>
      </c>
      <c r="V2445" s="89"/>
      <c r="W2445" s="96">
        <v>0</v>
      </c>
      <c r="X2445" s="71">
        <f>CU2445</f>
        <v>0</v>
      </c>
      <c r="Y2445" s="71">
        <f>CY2445</f>
        <v>0</v>
      </c>
      <c r="Z2445" s="71">
        <f>DA2445+DC2445+DE2445</f>
        <v>0</v>
      </c>
      <c r="AA2445" s="71">
        <f>CW2445</f>
        <v>0</v>
      </c>
      <c r="AB2445" s="71"/>
      <c r="AC2445" s="71">
        <v>0</v>
      </c>
      <c r="AD2445" s="71">
        <f>W2445+X2445+Y2445+Z2445+AA2445+AB2445+AC2445</f>
        <v>0</v>
      </c>
      <c r="AE2445" s="72">
        <v>0</v>
      </c>
      <c r="AF2445" s="5"/>
      <c r="AG2445" s="6"/>
      <c r="AH2445" s="27"/>
      <c r="AI2445" s="44"/>
      <c r="AJ2445" s="26"/>
      <c r="AK2445" s="5"/>
      <c r="AL2445" s="82" t="s">
        <v>5375</v>
      </c>
      <c r="AM2445" s="76"/>
      <c r="AN2445" s="76"/>
      <c r="AO2445" s="76"/>
      <c r="AP2445" s="76"/>
      <c r="AQ2445" s="76"/>
      <c r="AR2445" s="76"/>
      <c r="AS2445" s="76"/>
      <c r="AT2445" s="76"/>
      <c r="AU2445" s="76"/>
      <c r="AV2445" s="76"/>
      <c r="AW2445" s="76"/>
      <c r="AX2445" s="76">
        <f>+AW2445*600000</f>
        <v>0</v>
      </c>
      <c r="AY2445" s="76"/>
      <c r="AZ2445" s="76">
        <f>+AY2445*70000</f>
        <v>0</v>
      </c>
      <c r="BA2445" s="76"/>
      <c r="BB2445" s="76"/>
      <c r="BC2445" s="76"/>
      <c r="BD2445" s="76">
        <f>+BC2445*30000</f>
        <v>0</v>
      </c>
      <c r="BE2445" s="76"/>
      <c r="BF2445" s="76"/>
      <c r="BG2445" s="76"/>
      <c r="BH2445" s="76"/>
      <c r="BI2445" s="76"/>
      <c r="BJ2445" s="76"/>
      <c r="BK2445" s="76"/>
      <c r="BL2445" s="76">
        <f>+BK2445*31500</f>
        <v>0</v>
      </c>
      <c r="BM2445" s="76"/>
      <c r="BN2445" s="76"/>
      <c r="BO2445" s="76"/>
      <c r="BP2445" s="76"/>
      <c r="BQ2445" s="76"/>
      <c r="BR2445" s="76"/>
      <c r="BS2445" s="76"/>
      <c r="BT2445" s="76"/>
      <c r="BU2445" s="76"/>
      <c r="BV2445" s="76"/>
      <c r="BW2445" s="76"/>
      <c r="BX2445" s="76"/>
      <c r="BY2445" s="76"/>
      <c r="BZ2445" s="76"/>
      <c r="CA2445" s="76"/>
      <c r="CB2445" s="76"/>
      <c r="CC2445" s="76"/>
      <c r="CD2445" s="76"/>
      <c r="CE2445" s="76"/>
      <c r="CF2445" s="76">
        <f>+CE2445*28000</f>
        <v>0</v>
      </c>
      <c r="CG2445" s="76"/>
      <c r="CH2445" s="76">
        <f>+CG2445*22500</f>
        <v>0</v>
      </c>
      <c r="CI2445" s="76"/>
      <c r="CJ2445" s="76">
        <f>+CI2445*26000</f>
        <v>0</v>
      </c>
      <c r="CK2445" s="76"/>
      <c r="CL2445" s="76"/>
      <c r="CM2445" s="76"/>
      <c r="CN2445" s="76">
        <f>+CM2445*22000</f>
        <v>0</v>
      </c>
      <c r="CO2445" s="76"/>
      <c r="CP2445" s="76">
        <f>+CO2445*46000</f>
        <v>0</v>
      </c>
      <c r="CQ2445" s="76"/>
      <c r="CR2445" s="76">
        <f>+CQ2445*49000</f>
        <v>0</v>
      </c>
      <c r="CS2445" s="76"/>
      <c r="CT2445" s="76"/>
      <c r="CU2445" s="56">
        <f>AN2445+AP2445+AR2445+AT2445+AV2445+AX2445+AZ2445+BB2445+BD2445+BF2445+BH2445+BJ2445+BL2445+BN2445+BP2445+BR2445+BT2445+BV2445+BX2445+BZ2445+CB2445+CD2445+CF2445+CH2445+CJ2445+CL2445+CN2445+CP2445+CR2445+CT2445</f>
        <v>0</v>
      </c>
      <c r="CV2445" s="76"/>
      <c r="CW2445" s="76">
        <f>+CV2445*1100</f>
        <v>0</v>
      </c>
      <c r="CX2445" s="76"/>
      <c r="CY2445" s="76">
        <f>+CX2445*106250</f>
        <v>0</v>
      </c>
      <c r="CZ2445" s="76"/>
      <c r="DA2445" s="76">
        <f>+CZ2445*34500</f>
        <v>0</v>
      </c>
      <c r="DB2445" s="76"/>
      <c r="DC2445" s="76">
        <f>+DB2445*25000</f>
        <v>0</v>
      </c>
      <c r="DD2445" s="219"/>
      <c r="DE2445" s="219"/>
      <c r="DF2445" s="166"/>
      <c r="DG2445" s="116"/>
      <c r="DH2445" s="117"/>
      <c r="DI2445" s="24"/>
      <c r="DJ2445" s="24"/>
      <c r="DK2445" s="24"/>
      <c r="DL2445" s="24"/>
      <c r="DM2445" s="24"/>
      <c r="DN2445" s="24"/>
      <c r="DO2445" s="24"/>
      <c r="DP2445" s="24"/>
      <c r="DQ2445" s="24"/>
      <c r="DR2445" s="24"/>
      <c r="DS2445" s="24"/>
      <c r="DT2445" s="24"/>
      <c r="DU2445" s="24"/>
    </row>
    <row r="2446" spans="1:125" s="8" customFormat="1" ht="48" customHeight="1" x14ac:dyDescent="0.2">
      <c r="A2446" s="353">
        <v>41479</v>
      </c>
      <c r="B2446" s="352" t="s">
        <v>529</v>
      </c>
      <c r="C2446" s="354" t="s">
        <v>529</v>
      </c>
      <c r="D2446" s="354" t="s">
        <v>2849</v>
      </c>
      <c r="E2446" s="353" t="str">
        <f>VLOOKUP(B2446&amp;C2446,Divipola!$C$2:$F$1138,4,FALSE)</f>
        <v>11001</v>
      </c>
      <c r="F2446" s="87">
        <v>1</v>
      </c>
      <c r="G2446" s="87">
        <v>15</v>
      </c>
      <c r="H2446" s="87"/>
      <c r="I2446" s="87"/>
      <c r="J2446" s="87"/>
      <c r="K2446" s="87"/>
      <c r="L2446" s="87"/>
      <c r="M2446" s="87"/>
      <c r="N2446" s="87"/>
      <c r="O2446" s="87"/>
      <c r="P2446" s="87"/>
      <c r="Q2446" s="87"/>
      <c r="R2446" s="87"/>
      <c r="S2446" s="87"/>
      <c r="T2446" s="87"/>
      <c r="U2446" s="88"/>
      <c r="V2446" s="89"/>
      <c r="W2446" s="96">
        <v>0</v>
      </c>
      <c r="X2446" s="71">
        <f>CU2446</f>
        <v>0</v>
      </c>
      <c r="Y2446" s="71">
        <f>CY2446</f>
        <v>0</v>
      </c>
      <c r="Z2446" s="71">
        <f>DA2446+DC2446+DE2446</f>
        <v>0</v>
      </c>
      <c r="AA2446" s="71">
        <f>CW2446</f>
        <v>0</v>
      </c>
      <c r="AB2446" s="71"/>
      <c r="AC2446" s="71">
        <v>0</v>
      </c>
      <c r="AD2446" s="71">
        <f>W2446+X2446+Y2446+Z2446+AA2446+AB2446+AC2446</f>
        <v>0</v>
      </c>
      <c r="AE2446" s="72">
        <v>0</v>
      </c>
      <c r="AF2446" s="5"/>
      <c r="AG2446" s="6"/>
      <c r="AH2446" s="27"/>
      <c r="AI2446" s="44"/>
      <c r="AJ2446" s="26"/>
      <c r="AK2446" s="5"/>
      <c r="AL2446" s="82" t="s">
        <v>5327</v>
      </c>
      <c r="AM2446" s="76"/>
      <c r="AN2446" s="76"/>
      <c r="AO2446" s="76"/>
      <c r="AP2446" s="76"/>
      <c r="AQ2446" s="76"/>
      <c r="AR2446" s="76"/>
      <c r="AS2446" s="76"/>
      <c r="AT2446" s="76"/>
      <c r="AU2446" s="76"/>
      <c r="AV2446" s="76"/>
      <c r="AW2446" s="76"/>
      <c r="AX2446" s="76">
        <f>+AW2446*600000</f>
        <v>0</v>
      </c>
      <c r="AY2446" s="76"/>
      <c r="AZ2446" s="76">
        <f>+AY2446*70000</f>
        <v>0</v>
      </c>
      <c r="BA2446" s="76"/>
      <c r="BB2446" s="76"/>
      <c r="BC2446" s="76"/>
      <c r="BD2446" s="76">
        <f>+BC2446*30000</f>
        <v>0</v>
      </c>
      <c r="BE2446" s="76"/>
      <c r="BF2446" s="76"/>
      <c r="BG2446" s="76"/>
      <c r="BH2446" s="76"/>
      <c r="BI2446" s="76"/>
      <c r="BJ2446" s="76"/>
      <c r="BK2446" s="76"/>
      <c r="BL2446" s="76">
        <f>+BK2446*31500</f>
        <v>0</v>
      </c>
      <c r="BM2446" s="76"/>
      <c r="BN2446" s="76"/>
      <c r="BO2446" s="76"/>
      <c r="BP2446" s="76"/>
      <c r="BQ2446" s="76"/>
      <c r="BR2446" s="76"/>
      <c r="BS2446" s="76"/>
      <c r="BT2446" s="76"/>
      <c r="BU2446" s="76"/>
      <c r="BV2446" s="76"/>
      <c r="BW2446" s="76"/>
      <c r="BX2446" s="76"/>
      <c r="BY2446" s="76"/>
      <c r="BZ2446" s="76"/>
      <c r="CA2446" s="76"/>
      <c r="CB2446" s="76"/>
      <c r="CC2446" s="76"/>
      <c r="CD2446" s="76"/>
      <c r="CE2446" s="76"/>
      <c r="CF2446" s="76">
        <f>+CE2446*28000</f>
        <v>0</v>
      </c>
      <c r="CG2446" s="76"/>
      <c r="CH2446" s="76">
        <f>+CG2446*22500</f>
        <v>0</v>
      </c>
      <c r="CI2446" s="76"/>
      <c r="CJ2446" s="76">
        <f>+CI2446*26000</f>
        <v>0</v>
      </c>
      <c r="CK2446" s="76"/>
      <c r="CL2446" s="76"/>
      <c r="CM2446" s="76"/>
      <c r="CN2446" s="76">
        <f>+CM2446*22000</f>
        <v>0</v>
      </c>
      <c r="CO2446" s="76"/>
      <c r="CP2446" s="76">
        <f>+CO2446*46000</f>
        <v>0</v>
      </c>
      <c r="CQ2446" s="76"/>
      <c r="CR2446" s="76">
        <f>+CQ2446*49000</f>
        <v>0</v>
      </c>
      <c r="CS2446" s="76"/>
      <c r="CT2446" s="76"/>
      <c r="CU2446" s="56">
        <f>AN2446+AP2446+AR2446+AT2446+AV2446+AX2446+AZ2446+BB2446+BD2446+BF2446+BH2446+BJ2446+BL2446+BN2446+BP2446+BR2446+BT2446+BV2446+BX2446+BZ2446+CB2446+CD2446+CF2446+CH2446+CJ2446+CL2446+CN2446+CP2446+CR2446+CT2446</f>
        <v>0</v>
      </c>
      <c r="CV2446" s="76"/>
      <c r="CW2446" s="76">
        <f>+CV2446*1100</f>
        <v>0</v>
      </c>
      <c r="CX2446" s="76"/>
      <c r="CY2446" s="76">
        <f>+CX2446*106250</f>
        <v>0</v>
      </c>
      <c r="CZ2446" s="76"/>
      <c r="DA2446" s="76">
        <f>+CZ2446*34500</f>
        <v>0</v>
      </c>
      <c r="DB2446" s="76"/>
      <c r="DC2446" s="76">
        <f>+DB2446*25000</f>
        <v>0</v>
      </c>
      <c r="DD2446" s="219"/>
      <c r="DE2446" s="219"/>
      <c r="DF2446" s="166"/>
      <c r="DG2446" s="116"/>
      <c r="DH2446" s="117"/>
      <c r="DI2446" s="24"/>
      <c r="DJ2446" s="24"/>
      <c r="DK2446" s="24"/>
      <c r="DL2446" s="24"/>
      <c r="DM2446" s="24"/>
      <c r="DN2446" s="24"/>
      <c r="DO2446" s="24"/>
      <c r="DP2446" s="24"/>
      <c r="DQ2446" s="24"/>
      <c r="DR2446" s="24"/>
      <c r="DS2446" s="24"/>
      <c r="DT2446" s="24"/>
      <c r="DU2446" s="24"/>
    </row>
    <row r="2447" spans="1:125" s="8" customFormat="1" ht="108" x14ac:dyDescent="0.2">
      <c r="A2447" s="353">
        <v>41479</v>
      </c>
      <c r="B2447" s="352" t="s">
        <v>2772</v>
      </c>
      <c r="C2447" s="354" t="s">
        <v>1168</v>
      </c>
      <c r="D2447" s="354" t="s">
        <v>2846</v>
      </c>
      <c r="E2447" s="353" t="str">
        <f>VLOOKUP(B2447&amp;C2447,Divipola!$C$2:$F$1138,4,FALSE)</f>
        <v>25779</v>
      </c>
      <c r="F2447" s="87"/>
      <c r="G2447" s="87"/>
      <c r="H2447" s="87"/>
      <c r="I2447" s="87"/>
      <c r="J2447" s="87"/>
      <c r="K2447" s="87"/>
      <c r="L2447" s="87"/>
      <c r="M2447" s="87"/>
      <c r="N2447" s="87"/>
      <c r="O2447" s="87"/>
      <c r="P2447" s="87"/>
      <c r="Q2447" s="87"/>
      <c r="R2447" s="87"/>
      <c r="S2447" s="87"/>
      <c r="T2447" s="87"/>
      <c r="U2447" s="88">
        <v>8</v>
      </c>
      <c r="V2447" s="89"/>
      <c r="W2447" s="96">
        <v>0</v>
      </c>
      <c r="X2447" s="71">
        <f>CU2447</f>
        <v>0</v>
      </c>
      <c r="Y2447" s="71">
        <f>CY2447</f>
        <v>0</v>
      </c>
      <c r="Z2447" s="71">
        <f>DA2447+DC2447+DE2447</f>
        <v>0</v>
      </c>
      <c r="AA2447" s="71">
        <f>CW2447</f>
        <v>0</v>
      </c>
      <c r="AB2447" s="71"/>
      <c r="AC2447" s="71">
        <v>0</v>
      </c>
      <c r="AD2447" s="71">
        <f>W2447+X2447+Y2447+Z2447+AA2447+AB2447+AC2447</f>
        <v>0</v>
      </c>
      <c r="AE2447" s="72">
        <v>0</v>
      </c>
      <c r="AF2447" s="5"/>
      <c r="AG2447" s="6"/>
      <c r="AH2447" s="27"/>
      <c r="AI2447" s="44"/>
      <c r="AJ2447" s="26"/>
      <c r="AK2447" s="5"/>
      <c r="AL2447" s="82" t="s">
        <v>5339</v>
      </c>
      <c r="AM2447" s="76"/>
      <c r="AN2447" s="76"/>
      <c r="AO2447" s="76"/>
      <c r="AP2447" s="76"/>
      <c r="AQ2447" s="76"/>
      <c r="AR2447" s="76"/>
      <c r="AS2447" s="76"/>
      <c r="AT2447" s="76"/>
      <c r="AU2447" s="76"/>
      <c r="AV2447" s="76"/>
      <c r="AW2447" s="76"/>
      <c r="AX2447" s="76">
        <f>+AW2447*600000</f>
        <v>0</v>
      </c>
      <c r="AY2447" s="76"/>
      <c r="AZ2447" s="76">
        <f>+AY2447*70000</f>
        <v>0</v>
      </c>
      <c r="BA2447" s="76"/>
      <c r="BB2447" s="76"/>
      <c r="BC2447" s="76"/>
      <c r="BD2447" s="76">
        <f>+BC2447*30000</f>
        <v>0</v>
      </c>
      <c r="BE2447" s="76"/>
      <c r="BF2447" s="76"/>
      <c r="BG2447" s="76"/>
      <c r="BH2447" s="76"/>
      <c r="BI2447" s="76"/>
      <c r="BJ2447" s="76"/>
      <c r="BK2447" s="76"/>
      <c r="BL2447" s="76">
        <f>+BK2447*31500</f>
        <v>0</v>
      </c>
      <c r="BM2447" s="76"/>
      <c r="BN2447" s="76"/>
      <c r="BO2447" s="76"/>
      <c r="BP2447" s="76"/>
      <c r="BQ2447" s="76"/>
      <c r="BR2447" s="76"/>
      <c r="BS2447" s="76"/>
      <c r="BT2447" s="76"/>
      <c r="BU2447" s="76"/>
      <c r="BV2447" s="76"/>
      <c r="BW2447" s="76"/>
      <c r="BX2447" s="76"/>
      <c r="BY2447" s="76"/>
      <c r="BZ2447" s="76"/>
      <c r="CA2447" s="76"/>
      <c r="CB2447" s="76"/>
      <c r="CC2447" s="76"/>
      <c r="CD2447" s="76"/>
      <c r="CE2447" s="76"/>
      <c r="CF2447" s="76">
        <f>+CE2447*28000</f>
        <v>0</v>
      </c>
      <c r="CG2447" s="76"/>
      <c r="CH2447" s="76">
        <f>+CG2447*22500</f>
        <v>0</v>
      </c>
      <c r="CI2447" s="76"/>
      <c r="CJ2447" s="76">
        <f>+CI2447*26000</f>
        <v>0</v>
      </c>
      <c r="CK2447" s="76"/>
      <c r="CL2447" s="76"/>
      <c r="CM2447" s="76"/>
      <c r="CN2447" s="76">
        <f>+CM2447*22000</f>
        <v>0</v>
      </c>
      <c r="CO2447" s="76"/>
      <c r="CP2447" s="76">
        <f>+CO2447*46000</f>
        <v>0</v>
      </c>
      <c r="CQ2447" s="76"/>
      <c r="CR2447" s="76">
        <f>+CQ2447*49000</f>
        <v>0</v>
      </c>
      <c r="CS2447" s="76"/>
      <c r="CT2447" s="76"/>
      <c r="CU2447" s="56">
        <f>AN2447+AP2447+AR2447+AT2447+AV2447+AX2447+AZ2447+BB2447+BD2447+BF2447+BH2447+BJ2447+BL2447+BN2447+BP2447+BR2447+BT2447+BV2447+BX2447+BZ2447+CB2447+CD2447+CF2447+CH2447+CJ2447+CL2447+CN2447+CP2447+CR2447+CT2447</f>
        <v>0</v>
      </c>
      <c r="CV2447" s="76"/>
      <c r="CW2447" s="76">
        <f>+CV2447*1100</f>
        <v>0</v>
      </c>
      <c r="CX2447" s="76"/>
      <c r="CY2447" s="76">
        <f>+CX2447*106250</f>
        <v>0</v>
      </c>
      <c r="CZ2447" s="76"/>
      <c r="DA2447" s="76">
        <f>+CZ2447*34500</f>
        <v>0</v>
      </c>
      <c r="DB2447" s="76"/>
      <c r="DC2447" s="76">
        <f>+DB2447*25000</f>
        <v>0</v>
      </c>
      <c r="DD2447" s="219"/>
      <c r="DE2447" s="219"/>
      <c r="DF2447" s="166"/>
      <c r="DG2447" s="116"/>
      <c r="DH2447" s="117"/>
      <c r="DI2447" s="24"/>
      <c r="DJ2447" s="24"/>
      <c r="DK2447" s="24"/>
      <c r="DL2447" s="24"/>
      <c r="DM2447" s="24"/>
      <c r="DN2447" s="24"/>
      <c r="DO2447" s="24"/>
      <c r="DP2447" s="24"/>
      <c r="DQ2447" s="24"/>
      <c r="DR2447" s="24"/>
      <c r="DS2447" s="24"/>
      <c r="DT2447" s="24"/>
      <c r="DU2447" s="24"/>
    </row>
    <row r="2448" spans="1:125" s="8" customFormat="1" ht="156" x14ac:dyDescent="0.2">
      <c r="A2448" s="226">
        <v>41479</v>
      </c>
      <c r="B2448" s="225" t="s">
        <v>2661</v>
      </c>
      <c r="C2448" s="227" t="s">
        <v>2169</v>
      </c>
      <c r="D2448" s="227" t="s">
        <v>2846</v>
      </c>
      <c r="E2448" s="353" t="str">
        <f>VLOOKUP(B2448&amp;C2448,Divipola!$C$2:$F$1138,4,FALSE)</f>
        <v>41001</v>
      </c>
      <c r="F2448" s="87"/>
      <c r="G2448" s="87"/>
      <c r="H2448" s="87"/>
      <c r="I2448" s="87"/>
      <c r="J2448" s="87"/>
      <c r="K2448" s="87"/>
      <c r="L2448" s="87"/>
      <c r="M2448" s="87"/>
      <c r="N2448" s="87"/>
      <c r="O2448" s="87"/>
      <c r="P2448" s="87"/>
      <c r="Q2448" s="87"/>
      <c r="R2448" s="87"/>
      <c r="S2448" s="87"/>
      <c r="T2448" s="87"/>
      <c r="U2448" s="88">
        <v>12.5</v>
      </c>
      <c r="V2448" s="89"/>
      <c r="W2448" s="96">
        <v>0</v>
      </c>
      <c r="X2448" s="71">
        <f>CU2448</f>
        <v>0</v>
      </c>
      <c r="Y2448" s="71">
        <f>CY2448</f>
        <v>0</v>
      </c>
      <c r="Z2448" s="71">
        <f>DA2448+DC2448+DE2448</f>
        <v>0</v>
      </c>
      <c r="AA2448" s="71">
        <f>CW2448</f>
        <v>0</v>
      </c>
      <c r="AB2448" s="71"/>
      <c r="AC2448" s="71">
        <v>0</v>
      </c>
      <c r="AD2448" s="71">
        <f>W2448+X2448+Y2448+Z2448+AA2448+AB2448+AC2448</f>
        <v>0</v>
      </c>
      <c r="AE2448" s="72">
        <v>0</v>
      </c>
      <c r="AF2448" s="5"/>
      <c r="AG2448" s="6"/>
      <c r="AH2448" s="27"/>
      <c r="AI2448" s="44"/>
      <c r="AJ2448" s="26"/>
      <c r="AK2448" s="5"/>
      <c r="AL2448" s="82" t="s">
        <v>5342</v>
      </c>
      <c r="AM2448" s="76"/>
      <c r="AN2448" s="76"/>
      <c r="AO2448" s="76"/>
      <c r="AP2448" s="76"/>
      <c r="AQ2448" s="76"/>
      <c r="AR2448" s="76"/>
      <c r="AS2448" s="76"/>
      <c r="AT2448" s="76"/>
      <c r="AU2448" s="76"/>
      <c r="AV2448" s="76"/>
      <c r="AW2448" s="76"/>
      <c r="AX2448" s="76">
        <f>+AW2448*600000</f>
        <v>0</v>
      </c>
      <c r="AY2448" s="76"/>
      <c r="AZ2448" s="76">
        <f>+AY2448*70000</f>
        <v>0</v>
      </c>
      <c r="BA2448" s="76"/>
      <c r="BB2448" s="76"/>
      <c r="BC2448" s="76"/>
      <c r="BD2448" s="76">
        <f>+BC2448*30000</f>
        <v>0</v>
      </c>
      <c r="BE2448" s="76"/>
      <c r="BF2448" s="76"/>
      <c r="BG2448" s="76"/>
      <c r="BH2448" s="76"/>
      <c r="BI2448" s="76"/>
      <c r="BJ2448" s="76"/>
      <c r="BK2448" s="76"/>
      <c r="BL2448" s="76">
        <f>+BK2448*31500</f>
        <v>0</v>
      </c>
      <c r="BM2448" s="76"/>
      <c r="BN2448" s="76"/>
      <c r="BO2448" s="76"/>
      <c r="BP2448" s="76"/>
      <c r="BQ2448" s="76"/>
      <c r="BR2448" s="76"/>
      <c r="BS2448" s="76"/>
      <c r="BT2448" s="76"/>
      <c r="BU2448" s="76"/>
      <c r="BV2448" s="76"/>
      <c r="BW2448" s="76"/>
      <c r="BX2448" s="76"/>
      <c r="BY2448" s="76"/>
      <c r="BZ2448" s="76"/>
      <c r="CA2448" s="76"/>
      <c r="CB2448" s="76"/>
      <c r="CC2448" s="76"/>
      <c r="CD2448" s="76"/>
      <c r="CE2448" s="76"/>
      <c r="CF2448" s="76">
        <f>+CE2448*28000</f>
        <v>0</v>
      </c>
      <c r="CG2448" s="76"/>
      <c r="CH2448" s="76">
        <f>+CG2448*22500</f>
        <v>0</v>
      </c>
      <c r="CI2448" s="76"/>
      <c r="CJ2448" s="76">
        <f>+CI2448*26000</f>
        <v>0</v>
      </c>
      <c r="CK2448" s="76"/>
      <c r="CL2448" s="76"/>
      <c r="CM2448" s="76"/>
      <c r="CN2448" s="76">
        <f>+CM2448*22000</f>
        <v>0</v>
      </c>
      <c r="CO2448" s="76"/>
      <c r="CP2448" s="76">
        <f>+CO2448*46000</f>
        <v>0</v>
      </c>
      <c r="CQ2448" s="76"/>
      <c r="CR2448" s="76">
        <f>+CQ2448*49000</f>
        <v>0</v>
      </c>
      <c r="CS2448" s="76"/>
      <c r="CT2448" s="76"/>
      <c r="CU2448" s="56">
        <f>AN2448+AP2448+AR2448+AT2448+AV2448+AX2448+AZ2448+BB2448+BD2448+BF2448+BH2448+BJ2448+BL2448+BN2448+BP2448+BR2448+BT2448+BV2448+BX2448+BZ2448+CB2448+CD2448+CF2448+CH2448+CJ2448+CL2448+CN2448+CP2448+CR2448+CT2448</f>
        <v>0</v>
      </c>
      <c r="CV2448" s="76"/>
      <c r="CW2448" s="76">
        <f>+CV2448*1100</f>
        <v>0</v>
      </c>
      <c r="CX2448" s="76"/>
      <c r="CY2448" s="76">
        <f>+CX2448*106250</f>
        <v>0</v>
      </c>
      <c r="CZ2448" s="76"/>
      <c r="DA2448" s="76">
        <f>+CZ2448*34500</f>
        <v>0</v>
      </c>
      <c r="DB2448" s="76"/>
      <c r="DC2448" s="76">
        <f>+DB2448*25000</f>
        <v>0</v>
      </c>
      <c r="DD2448" s="219"/>
      <c r="DE2448" s="219"/>
      <c r="DF2448" s="166"/>
      <c r="DG2448" s="116"/>
      <c r="DH2448" s="117"/>
      <c r="DI2448" s="24"/>
      <c r="DJ2448" s="24"/>
      <c r="DK2448" s="24"/>
      <c r="DL2448" s="24"/>
      <c r="DM2448" s="24"/>
      <c r="DN2448" s="24"/>
      <c r="DO2448" s="24"/>
      <c r="DP2448" s="24"/>
      <c r="DQ2448" s="24"/>
      <c r="DR2448" s="24"/>
      <c r="DS2448" s="24"/>
      <c r="DT2448" s="24"/>
      <c r="DU2448" s="24"/>
    </row>
    <row r="2449" spans="1:125" s="8" customFormat="1" ht="132" x14ac:dyDescent="0.2">
      <c r="A2449" s="353">
        <v>41479</v>
      </c>
      <c r="B2449" s="352" t="s">
        <v>3136</v>
      </c>
      <c r="C2449" s="354" t="s">
        <v>389</v>
      </c>
      <c r="D2449" s="354" t="s">
        <v>2846</v>
      </c>
      <c r="E2449" s="353" t="str">
        <f>VLOOKUP(B2449&amp;C2449,Divipola!$C$2:$F$1138,4,FALSE)</f>
        <v>44090</v>
      </c>
      <c r="F2449" s="87"/>
      <c r="G2449" s="87"/>
      <c r="H2449" s="87"/>
      <c r="I2449" s="87"/>
      <c r="J2449" s="87"/>
      <c r="K2449" s="87"/>
      <c r="L2449" s="87"/>
      <c r="M2449" s="87"/>
      <c r="N2449" s="87"/>
      <c r="O2449" s="87"/>
      <c r="P2449" s="87"/>
      <c r="Q2449" s="87"/>
      <c r="R2449" s="87"/>
      <c r="S2449" s="87"/>
      <c r="T2449" s="87"/>
      <c r="U2449" s="88">
        <v>50</v>
      </c>
      <c r="V2449" s="89"/>
      <c r="W2449" s="96">
        <v>0</v>
      </c>
      <c r="X2449" s="71">
        <f>CU2449</f>
        <v>0</v>
      </c>
      <c r="Y2449" s="71">
        <f>CY2449</f>
        <v>0</v>
      </c>
      <c r="Z2449" s="71">
        <f>DA2449+DC2449+DE2449</f>
        <v>0</v>
      </c>
      <c r="AA2449" s="71">
        <f>CW2449</f>
        <v>0</v>
      </c>
      <c r="AB2449" s="71"/>
      <c r="AC2449" s="71">
        <v>0</v>
      </c>
      <c r="AD2449" s="71">
        <f>W2449+X2449+Y2449+Z2449+AA2449+AB2449+AC2449</f>
        <v>0</v>
      </c>
      <c r="AE2449" s="72">
        <v>0</v>
      </c>
      <c r="AF2449" s="5"/>
      <c r="AG2449" s="6"/>
      <c r="AH2449" s="27"/>
      <c r="AI2449" s="44"/>
      <c r="AJ2449" s="26"/>
      <c r="AK2449" s="5"/>
      <c r="AL2449" s="82" t="s">
        <v>5373</v>
      </c>
      <c r="AM2449" s="76"/>
      <c r="AN2449" s="76"/>
      <c r="AO2449" s="76"/>
      <c r="AP2449" s="76"/>
      <c r="AQ2449" s="76"/>
      <c r="AR2449" s="76"/>
      <c r="AS2449" s="76"/>
      <c r="AT2449" s="76"/>
      <c r="AU2449" s="76"/>
      <c r="AV2449" s="76"/>
      <c r="AW2449" s="76"/>
      <c r="AX2449" s="76">
        <f>+AW2449*600000</f>
        <v>0</v>
      </c>
      <c r="AY2449" s="76"/>
      <c r="AZ2449" s="76">
        <f>+AY2449*70000</f>
        <v>0</v>
      </c>
      <c r="BA2449" s="76"/>
      <c r="BB2449" s="76"/>
      <c r="BC2449" s="76"/>
      <c r="BD2449" s="76">
        <f>+BC2449*30000</f>
        <v>0</v>
      </c>
      <c r="BE2449" s="76"/>
      <c r="BF2449" s="76"/>
      <c r="BG2449" s="76"/>
      <c r="BH2449" s="76"/>
      <c r="BI2449" s="76"/>
      <c r="BJ2449" s="76"/>
      <c r="BK2449" s="76"/>
      <c r="BL2449" s="76">
        <f>+BK2449*31500</f>
        <v>0</v>
      </c>
      <c r="BM2449" s="76"/>
      <c r="BN2449" s="76"/>
      <c r="BO2449" s="76"/>
      <c r="BP2449" s="76"/>
      <c r="BQ2449" s="76"/>
      <c r="BR2449" s="76"/>
      <c r="BS2449" s="76"/>
      <c r="BT2449" s="76"/>
      <c r="BU2449" s="76"/>
      <c r="BV2449" s="76"/>
      <c r="BW2449" s="76"/>
      <c r="BX2449" s="76"/>
      <c r="BY2449" s="76"/>
      <c r="BZ2449" s="76"/>
      <c r="CA2449" s="76"/>
      <c r="CB2449" s="76"/>
      <c r="CC2449" s="76"/>
      <c r="CD2449" s="76"/>
      <c r="CE2449" s="76"/>
      <c r="CF2449" s="76">
        <f>+CE2449*28000</f>
        <v>0</v>
      </c>
      <c r="CG2449" s="76"/>
      <c r="CH2449" s="76">
        <f>+CG2449*22500</f>
        <v>0</v>
      </c>
      <c r="CI2449" s="76"/>
      <c r="CJ2449" s="76">
        <f>+CI2449*26000</f>
        <v>0</v>
      </c>
      <c r="CK2449" s="76"/>
      <c r="CL2449" s="76"/>
      <c r="CM2449" s="76"/>
      <c r="CN2449" s="76">
        <f>+CM2449*22000</f>
        <v>0</v>
      </c>
      <c r="CO2449" s="76"/>
      <c r="CP2449" s="76">
        <f>+CO2449*46000</f>
        <v>0</v>
      </c>
      <c r="CQ2449" s="76"/>
      <c r="CR2449" s="76">
        <f>+CQ2449*49000</f>
        <v>0</v>
      </c>
      <c r="CS2449" s="76"/>
      <c r="CT2449" s="76"/>
      <c r="CU2449" s="56">
        <f>AN2449+AP2449+AR2449+AT2449+AV2449+AX2449+AZ2449+BB2449+BD2449+BF2449+BH2449+BJ2449+BL2449+BN2449+BP2449+BR2449+BT2449+BV2449+BX2449+BZ2449+CB2449+CD2449+CF2449+CH2449+CJ2449+CL2449+CN2449+CP2449+CR2449+CT2449</f>
        <v>0</v>
      </c>
      <c r="CV2449" s="76"/>
      <c r="CW2449" s="76">
        <f>+CV2449*1100</f>
        <v>0</v>
      </c>
      <c r="CX2449" s="76"/>
      <c r="CY2449" s="76">
        <f>+CX2449*106250</f>
        <v>0</v>
      </c>
      <c r="CZ2449" s="76"/>
      <c r="DA2449" s="76">
        <f>+CZ2449*34500</f>
        <v>0</v>
      </c>
      <c r="DB2449" s="76"/>
      <c r="DC2449" s="76">
        <f>+DB2449*25000</f>
        <v>0</v>
      </c>
      <c r="DD2449" s="219"/>
      <c r="DE2449" s="219"/>
      <c r="DF2449" s="166"/>
      <c r="DG2449" s="116"/>
      <c r="DH2449" s="117"/>
      <c r="DI2449" s="24"/>
      <c r="DJ2449" s="24"/>
      <c r="DK2449" s="24"/>
      <c r="DL2449" s="24"/>
      <c r="DM2449" s="24"/>
      <c r="DN2449" s="24"/>
      <c r="DO2449" s="24"/>
      <c r="DP2449" s="24"/>
      <c r="DQ2449" s="24"/>
      <c r="DR2449" s="24"/>
      <c r="DS2449" s="24"/>
      <c r="DT2449" s="24"/>
      <c r="DU2449" s="24"/>
    </row>
    <row r="2450" spans="1:125" s="8" customFormat="1" ht="96" x14ac:dyDescent="0.2">
      <c r="A2450" s="353">
        <v>41479</v>
      </c>
      <c r="B2450" s="225" t="s">
        <v>2811</v>
      </c>
      <c r="C2450" s="227" t="s">
        <v>519</v>
      </c>
      <c r="D2450" s="354" t="s">
        <v>3088</v>
      </c>
      <c r="E2450" s="353" t="str">
        <f>VLOOKUP(B2450&amp;C2450,Divipola!$C$2:$F$1138,4,FALSE)</f>
        <v>52573</v>
      </c>
      <c r="F2450" s="87"/>
      <c r="G2450" s="87"/>
      <c r="H2450" s="87"/>
      <c r="I2450" s="87"/>
      <c r="J2450" s="87"/>
      <c r="K2450" s="87"/>
      <c r="L2450" s="87"/>
      <c r="M2450" s="87">
        <v>3</v>
      </c>
      <c r="N2450" s="87"/>
      <c r="O2450" s="87"/>
      <c r="P2450" s="87"/>
      <c r="Q2450" s="87"/>
      <c r="R2450" s="87"/>
      <c r="S2450" s="87"/>
      <c r="T2450" s="87"/>
      <c r="U2450" s="88"/>
      <c r="V2450" s="89"/>
      <c r="W2450" s="96">
        <v>0</v>
      </c>
      <c r="X2450" s="71">
        <f>CU2450</f>
        <v>0</v>
      </c>
      <c r="Y2450" s="71">
        <f>CY2450</f>
        <v>0</v>
      </c>
      <c r="Z2450" s="71">
        <f>DA2450+DC2450+DE2450</f>
        <v>0</v>
      </c>
      <c r="AA2450" s="71">
        <f>CW2450</f>
        <v>0</v>
      </c>
      <c r="AB2450" s="71"/>
      <c r="AC2450" s="71">
        <v>0</v>
      </c>
      <c r="AD2450" s="71">
        <f>W2450+X2450+Y2450+Z2450+AA2450+AB2450+AC2450</f>
        <v>0</v>
      </c>
      <c r="AE2450" s="72">
        <v>0</v>
      </c>
      <c r="AF2450" s="5"/>
      <c r="AG2450" s="6"/>
      <c r="AH2450" s="27"/>
      <c r="AI2450" s="44"/>
      <c r="AJ2450" s="26"/>
      <c r="AK2450" s="5"/>
      <c r="AL2450" s="82" t="s">
        <v>5368</v>
      </c>
      <c r="AM2450" s="76"/>
      <c r="AN2450" s="76"/>
      <c r="AO2450" s="76"/>
      <c r="AP2450" s="76"/>
      <c r="AQ2450" s="76"/>
      <c r="AR2450" s="76"/>
      <c r="AS2450" s="76"/>
      <c r="AT2450" s="76"/>
      <c r="AU2450" s="76"/>
      <c r="AV2450" s="76"/>
      <c r="AW2450" s="76"/>
      <c r="AX2450" s="76">
        <f>+AW2450*600000</f>
        <v>0</v>
      </c>
      <c r="AY2450" s="76"/>
      <c r="AZ2450" s="76">
        <f>+AY2450*70000</f>
        <v>0</v>
      </c>
      <c r="BA2450" s="76"/>
      <c r="BB2450" s="76"/>
      <c r="BC2450" s="76"/>
      <c r="BD2450" s="76">
        <f>+BC2450*30000</f>
        <v>0</v>
      </c>
      <c r="BE2450" s="76"/>
      <c r="BF2450" s="76"/>
      <c r="BG2450" s="76"/>
      <c r="BH2450" s="76"/>
      <c r="BI2450" s="76"/>
      <c r="BJ2450" s="76"/>
      <c r="BK2450" s="76"/>
      <c r="BL2450" s="76">
        <f>+BK2450*31500</f>
        <v>0</v>
      </c>
      <c r="BM2450" s="76"/>
      <c r="BN2450" s="76"/>
      <c r="BO2450" s="76"/>
      <c r="BP2450" s="76"/>
      <c r="BQ2450" s="76"/>
      <c r="BR2450" s="76"/>
      <c r="BS2450" s="76"/>
      <c r="BT2450" s="76"/>
      <c r="BU2450" s="76"/>
      <c r="BV2450" s="76"/>
      <c r="BW2450" s="76"/>
      <c r="BX2450" s="76"/>
      <c r="BY2450" s="76"/>
      <c r="BZ2450" s="76"/>
      <c r="CA2450" s="76"/>
      <c r="CB2450" s="76"/>
      <c r="CC2450" s="76"/>
      <c r="CD2450" s="76"/>
      <c r="CE2450" s="76"/>
      <c r="CF2450" s="76">
        <f>+CE2450*28000</f>
        <v>0</v>
      </c>
      <c r="CG2450" s="76"/>
      <c r="CH2450" s="76">
        <f>+CG2450*22500</f>
        <v>0</v>
      </c>
      <c r="CI2450" s="76"/>
      <c r="CJ2450" s="76">
        <f>+CI2450*26000</f>
        <v>0</v>
      </c>
      <c r="CK2450" s="76"/>
      <c r="CL2450" s="76"/>
      <c r="CM2450" s="76"/>
      <c r="CN2450" s="76">
        <f>+CM2450*22000</f>
        <v>0</v>
      </c>
      <c r="CO2450" s="76"/>
      <c r="CP2450" s="76">
        <f>+CO2450*46000</f>
        <v>0</v>
      </c>
      <c r="CQ2450" s="76"/>
      <c r="CR2450" s="76">
        <f>+CQ2450*49000</f>
        <v>0</v>
      </c>
      <c r="CS2450" s="76"/>
      <c r="CT2450" s="76"/>
      <c r="CU2450" s="56">
        <f>AN2450+AP2450+AR2450+AT2450+AV2450+AX2450+AZ2450+BB2450+BD2450+BF2450+BH2450+BJ2450+BL2450+BN2450+BP2450+BR2450+BT2450+BV2450+BX2450+BZ2450+CB2450+CD2450+CF2450+CH2450+CJ2450+CL2450+CN2450+CP2450+CR2450+CT2450</f>
        <v>0</v>
      </c>
      <c r="CV2450" s="76"/>
      <c r="CW2450" s="76">
        <f>+CV2450*1100</f>
        <v>0</v>
      </c>
      <c r="CX2450" s="76"/>
      <c r="CY2450" s="76">
        <f>+CX2450*106250</f>
        <v>0</v>
      </c>
      <c r="CZ2450" s="76"/>
      <c r="DA2450" s="76">
        <f>+CZ2450*34500</f>
        <v>0</v>
      </c>
      <c r="DB2450" s="76"/>
      <c r="DC2450" s="76">
        <f>+DB2450*25000</f>
        <v>0</v>
      </c>
      <c r="DD2450" s="219"/>
      <c r="DE2450" s="219"/>
      <c r="DF2450" s="166"/>
      <c r="DG2450" s="116"/>
      <c r="DH2450" s="117"/>
      <c r="DI2450" s="24"/>
      <c r="DJ2450" s="24"/>
      <c r="DK2450" s="24"/>
      <c r="DL2450" s="24"/>
      <c r="DM2450" s="24"/>
      <c r="DN2450" s="24"/>
      <c r="DO2450" s="24"/>
      <c r="DP2450" s="24"/>
      <c r="DQ2450" s="24"/>
      <c r="DR2450" s="24"/>
      <c r="DS2450" s="24"/>
      <c r="DT2450" s="24"/>
      <c r="DU2450" s="24"/>
    </row>
    <row r="2451" spans="1:125" s="8" customFormat="1" ht="48" x14ac:dyDescent="0.2">
      <c r="A2451" s="353">
        <v>41479</v>
      </c>
      <c r="B2451" s="225" t="s">
        <v>2860</v>
      </c>
      <c r="C2451" s="227" t="s">
        <v>2776</v>
      </c>
      <c r="D2451" s="354" t="s">
        <v>2859</v>
      </c>
      <c r="E2451" s="353" t="str">
        <f>VLOOKUP(B2451&amp;C2451,Divipola!$C$2:$F$1138,4,FALSE)</f>
        <v>63001</v>
      </c>
      <c r="F2451" s="87"/>
      <c r="G2451" s="87"/>
      <c r="H2451" s="87"/>
      <c r="I2451" s="87">
        <v>2</v>
      </c>
      <c r="J2451" s="87">
        <v>1</v>
      </c>
      <c r="K2451" s="87">
        <v>1</v>
      </c>
      <c r="L2451" s="87"/>
      <c r="M2451" s="87"/>
      <c r="N2451" s="87"/>
      <c r="O2451" s="87"/>
      <c r="P2451" s="87"/>
      <c r="Q2451" s="87"/>
      <c r="R2451" s="87"/>
      <c r="S2451" s="87"/>
      <c r="T2451" s="87"/>
      <c r="U2451" s="88"/>
      <c r="V2451" s="89"/>
      <c r="W2451" s="96">
        <v>0</v>
      </c>
      <c r="X2451" s="71">
        <f>CU2451</f>
        <v>0</v>
      </c>
      <c r="Y2451" s="71">
        <f>CY2451</f>
        <v>0</v>
      </c>
      <c r="Z2451" s="71">
        <f>DA2451+DC2451+DE2451</f>
        <v>0</v>
      </c>
      <c r="AA2451" s="71">
        <f>CW2451</f>
        <v>0</v>
      </c>
      <c r="AB2451" s="71"/>
      <c r="AC2451" s="71">
        <v>0</v>
      </c>
      <c r="AD2451" s="71">
        <f>W2451+X2451+Y2451+Z2451+AA2451+AB2451+AC2451</f>
        <v>0</v>
      </c>
      <c r="AE2451" s="72">
        <v>0</v>
      </c>
      <c r="AF2451" s="5"/>
      <c r="AG2451" s="6"/>
      <c r="AH2451" s="27"/>
      <c r="AI2451" s="44"/>
      <c r="AJ2451" s="26"/>
      <c r="AK2451" s="5"/>
      <c r="AL2451" s="82" t="s">
        <v>5326</v>
      </c>
      <c r="AM2451" s="76"/>
      <c r="AN2451" s="76"/>
      <c r="AO2451" s="76"/>
      <c r="AP2451" s="76"/>
      <c r="AQ2451" s="76"/>
      <c r="AR2451" s="76"/>
      <c r="AS2451" s="76"/>
      <c r="AT2451" s="76"/>
      <c r="AU2451" s="76"/>
      <c r="AV2451" s="76"/>
      <c r="AW2451" s="76"/>
      <c r="AX2451" s="76">
        <f>+AW2451*600000</f>
        <v>0</v>
      </c>
      <c r="AY2451" s="76"/>
      <c r="AZ2451" s="76">
        <f>+AY2451*70000</f>
        <v>0</v>
      </c>
      <c r="BA2451" s="76"/>
      <c r="BB2451" s="76"/>
      <c r="BC2451" s="76"/>
      <c r="BD2451" s="76">
        <f>+BC2451*30000</f>
        <v>0</v>
      </c>
      <c r="BE2451" s="76"/>
      <c r="BF2451" s="76"/>
      <c r="BG2451" s="76"/>
      <c r="BH2451" s="76"/>
      <c r="BI2451" s="76"/>
      <c r="BJ2451" s="76"/>
      <c r="BK2451" s="76"/>
      <c r="BL2451" s="76">
        <f>+BK2451*31500</f>
        <v>0</v>
      </c>
      <c r="BM2451" s="76"/>
      <c r="BN2451" s="76"/>
      <c r="BO2451" s="76"/>
      <c r="BP2451" s="76"/>
      <c r="BQ2451" s="76"/>
      <c r="BR2451" s="76"/>
      <c r="BS2451" s="76"/>
      <c r="BT2451" s="76"/>
      <c r="BU2451" s="76"/>
      <c r="BV2451" s="76"/>
      <c r="BW2451" s="76"/>
      <c r="BX2451" s="76"/>
      <c r="BY2451" s="76"/>
      <c r="BZ2451" s="76"/>
      <c r="CA2451" s="76"/>
      <c r="CB2451" s="76"/>
      <c r="CC2451" s="76"/>
      <c r="CD2451" s="76"/>
      <c r="CE2451" s="76"/>
      <c r="CF2451" s="76">
        <f>+CE2451*28000</f>
        <v>0</v>
      </c>
      <c r="CG2451" s="76"/>
      <c r="CH2451" s="76">
        <f>+CG2451*22500</f>
        <v>0</v>
      </c>
      <c r="CI2451" s="76"/>
      <c r="CJ2451" s="76">
        <f>+CI2451*26000</f>
        <v>0</v>
      </c>
      <c r="CK2451" s="76"/>
      <c r="CL2451" s="76"/>
      <c r="CM2451" s="76"/>
      <c r="CN2451" s="76">
        <f>+CM2451*22000</f>
        <v>0</v>
      </c>
      <c r="CO2451" s="76"/>
      <c r="CP2451" s="76">
        <f>+CO2451*46000</f>
        <v>0</v>
      </c>
      <c r="CQ2451" s="76"/>
      <c r="CR2451" s="76">
        <f>+CQ2451*49000</f>
        <v>0</v>
      </c>
      <c r="CS2451" s="76"/>
      <c r="CT2451" s="76"/>
      <c r="CU2451" s="56">
        <f>AN2451+AP2451+AR2451+AT2451+AV2451+AX2451+AZ2451+BB2451+BD2451+BF2451+BH2451+BJ2451+BL2451+BN2451+BP2451+BR2451+BT2451+BV2451+BX2451+BZ2451+CB2451+CD2451+CF2451+CH2451+CJ2451+CL2451+CN2451+CP2451+CR2451+CT2451</f>
        <v>0</v>
      </c>
      <c r="CV2451" s="76"/>
      <c r="CW2451" s="76">
        <f>+CV2451*1100</f>
        <v>0</v>
      </c>
      <c r="CX2451" s="76"/>
      <c r="CY2451" s="76">
        <f>+CX2451*106250</f>
        <v>0</v>
      </c>
      <c r="CZ2451" s="76"/>
      <c r="DA2451" s="76">
        <f>+CZ2451*34500</f>
        <v>0</v>
      </c>
      <c r="DB2451" s="76"/>
      <c r="DC2451" s="76">
        <f>+DB2451*25000</f>
        <v>0</v>
      </c>
      <c r="DD2451" s="219"/>
      <c r="DE2451" s="219"/>
      <c r="DF2451" s="166"/>
      <c r="DG2451" s="116"/>
      <c r="DH2451" s="117"/>
      <c r="DI2451" s="24"/>
      <c r="DJ2451" s="24"/>
      <c r="DK2451" s="24"/>
      <c r="DL2451" s="24"/>
      <c r="DM2451" s="24"/>
      <c r="DN2451" s="24"/>
      <c r="DO2451" s="24"/>
      <c r="DP2451" s="24"/>
      <c r="DQ2451" s="24"/>
      <c r="DR2451" s="24"/>
      <c r="DS2451" s="24"/>
      <c r="DT2451" s="24"/>
      <c r="DU2451" s="24"/>
    </row>
    <row r="2452" spans="1:125" s="8" customFormat="1" ht="61.5" customHeight="1" x14ac:dyDescent="0.2">
      <c r="A2452" s="353">
        <v>41479</v>
      </c>
      <c r="B2452" s="352" t="s">
        <v>2847</v>
      </c>
      <c r="C2452" s="354" t="s">
        <v>2673</v>
      </c>
      <c r="D2452" s="354" t="s">
        <v>2846</v>
      </c>
      <c r="E2452" s="353" t="str">
        <f>VLOOKUP(B2452&amp;C2452,Divipola!$C$2:$F$1138,4,FALSE)</f>
        <v>68001</v>
      </c>
      <c r="F2452" s="87"/>
      <c r="G2452" s="87"/>
      <c r="H2452" s="87"/>
      <c r="I2452" s="87"/>
      <c r="J2452" s="87"/>
      <c r="K2452" s="87"/>
      <c r="L2452" s="87"/>
      <c r="M2452" s="87"/>
      <c r="N2452" s="87"/>
      <c r="O2452" s="87"/>
      <c r="P2452" s="87"/>
      <c r="Q2452" s="87"/>
      <c r="R2452" s="87"/>
      <c r="S2452" s="87"/>
      <c r="T2452" s="87"/>
      <c r="U2452" s="88" t="s">
        <v>5301</v>
      </c>
      <c r="V2452" s="89"/>
      <c r="W2452" s="96">
        <v>0</v>
      </c>
      <c r="X2452" s="71">
        <f>CU2452</f>
        <v>0</v>
      </c>
      <c r="Y2452" s="71">
        <f>CY2452</f>
        <v>0</v>
      </c>
      <c r="Z2452" s="71">
        <f>DA2452+DC2452+DE2452</f>
        <v>0</v>
      </c>
      <c r="AA2452" s="71">
        <f>CW2452</f>
        <v>0</v>
      </c>
      <c r="AB2452" s="71"/>
      <c r="AC2452" s="71">
        <v>0</v>
      </c>
      <c r="AD2452" s="71">
        <f>W2452+X2452+Y2452+Z2452+AA2452+AB2452+AC2452</f>
        <v>0</v>
      </c>
      <c r="AE2452" s="72">
        <v>0</v>
      </c>
      <c r="AF2452" s="5"/>
      <c r="AG2452" s="6"/>
      <c r="AH2452" s="27"/>
      <c r="AI2452" s="44"/>
      <c r="AJ2452" s="26"/>
      <c r="AK2452" s="5"/>
      <c r="AL2452" s="82" t="s">
        <v>5324</v>
      </c>
      <c r="AM2452" s="76"/>
      <c r="AN2452" s="76"/>
      <c r="AO2452" s="76"/>
      <c r="AP2452" s="76"/>
      <c r="AQ2452" s="76"/>
      <c r="AR2452" s="76"/>
      <c r="AS2452" s="76"/>
      <c r="AT2452" s="76"/>
      <c r="AU2452" s="76"/>
      <c r="AV2452" s="76"/>
      <c r="AW2452" s="76"/>
      <c r="AX2452" s="76">
        <f>+AW2452*600000</f>
        <v>0</v>
      </c>
      <c r="AY2452" s="76"/>
      <c r="AZ2452" s="76">
        <f>+AY2452*70000</f>
        <v>0</v>
      </c>
      <c r="BA2452" s="76"/>
      <c r="BB2452" s="76"/>
      <c r="BC2452" s="76"/>
      <c r="BD2452" s="76">
        <f>+BC2452*30000</f>
        <v>0</v>
      </c>
      <c r="BE2452" s="76"/>
      <c r="BF2452" s="76"/>
      <c r="BG2452" s="76"/>
      <c r="BH2452" s="76"/>
      <c r="BI2452" s="76"/>
      <c r="BJ2452" s="76"/>
      <c r="BK2452" s="76"/>
      <c r="BL2452" s="76">
        <f>+BK2452*31500</f>
        <v>0</v>
      </c>
      <c r="BM2452" s="76"/>
      <c r="BN2452" s="76"/>
      <c r="BO2452" s="76"/>
      <c r="BP2452" s="76"/>
      <c r="BQ2452" s="76"/>
      <c r="BR2452" s="76"/>
      <c r="BS2452" s="76"/>
      <c r="BT2452" s="76"/>
      <c r="BU2452" s="76"/>
      <c r="BV2452" s="76"/>
      <c r="BW2452" s="76"/>
      <c r="BX2452" s="76"/>
      <c r="BY2452" s="76"/>
      <c r="BZ2452" s="76"/>
      <c r="CA2452" s="76"/>
      <c r="CB2452" s="76"/>
      <c r="CC2452" s="76"/>
      <c r="CD2452" s="76"/>
      <c r="CE2452" s="76"/>
      <c r="CF2452" s="76">
        <f>+CE2452*28000</f>
        <v>0</v>
      </c>
      <c r="CG2452" s="76"/>
      <c r="CH2452" s="76">
        <f>+CG2452*22500</f>
        <v>0</v>
      </c>
      <c r="CI2452" s="76"/>
      <c r="CJ2452" s="76">
        <f>+CI2452*26000</f>
        <v>0</v>
      </c>
      <c r="CK2452" s="76"/>
      <c r="CL2452" s="76"/>
      <c r="CM2452" s="76"/>
      <c r="CN2452" s="76">
        <f>+CM2452*22000</f>
        <v>0</v>
      </c>
      <c r="CO2452" s="76"/>
      <c r="CP2452" s="76">
        <f>+CO2452*46000</f>
        <v>0</v>
      </c>
      <c r="CQ2452" s="76"/>
      <c r="CR2452" s="76">
        <f>+CQ2452*49000</f>
        <v>0</v>
      </c>
      <c r="CS2452" s="76"/>
      <c r="CT2452" s="76"/>
      <c r="CU2452" s="56">
        <f>AN2452+AP2452+AR2452+AT2452+AV2452+AX2452+AZ2452+BB2452+BD2452+BF2452+BH2452+BJ2452+BL2452+BN2452+BP2452+BR2452+BT2452+BV2452+BX2452+BZ2452+CB2452+CD2452+CF2452+CH2452+CJ2452+CL2452+CN2452+CP2452+CR2452+CT2452</f>
        <v>0</v>
      </c>
      <c r="CV2452" s="76"/>
      <c r="CW2452" s="76">
        <f>+CV2452*1100</f>
        <v>0</v>
      </c>
      <c r="CX2452" s="76"/>
      <c r="CY2452" s="76">
        <f>+CX2452*106250</f>
        <v>0</v>
      </c>
      <c r="CZ2452" s="76"/>
      <c r="DA2452" s="76">
        <f>+CZ2452*34500</f>
        <v>0</v>
      </c>
      <c r="DB2452" s="76"/>
      <c r="DC2452" s="76">
        <f>+DB2452*25000</f>
        <v>0</v>
      </c>
      <c r="DD2452" s="219"/>
      <c r="DE2452" s="219"/>
      <c r="DF2452" s="166"/>
      <c r="DG2452" s="116"/>
      <c r="DH2452" s="117"/>
      <c r="DI2452" s="24"/>
      <c r="DJ2452" s="24"/>
      <c r="DK2452" s="24"/>
      <c r="DL2452" s="24"/>
      <c r="DM2452" s="24"/>
      <c r="DN2452" s="24"/>
      <c r="DO2452" s="24"/>
      <c r="DP2452" s="24"/>
      <c r="DQ2452" s="24"/>
      <c r="DR2452" s="24"/>
      <c r="DS2452" s="24"/>
      <c r="DT2452" s="24"/>
      <c r="DU2452" s="24"/>
    </row>
    <row r="2453" spans="1:125" s="8" customFormat="1" ht="60.75" customHeight="1" x14ac:dyDescent="0.2">
      <c r="A2453" s="97">
        <v>41479</v>
      </c>
      <c r="B2453" s="60" t="s">
        <v>2847</v>
      </c>
      <c r="C2453" s="55" t="s">
        <v>2673</v>
      </c>
      <c r="D2453" s="55" t="s">
        <v>2882</v>
      </c>
      <c r="E2453" s="353" t="str">
        <f>VLOOKUP(B2453&amp;C2453,Divipola!$C$2:$F$1138,4,FALSE)</f>
        <v>68001</v>
      </c>
      <c r="F2453" s="87"/>
      <c r="G2453" s="87"/>
      <c r="H2453" s="87"/>
      <c r="I2453" s="87"/>
      <c r="J2453" s="87"/>
      <c r="K2453" s="87"/>
      <c r="L2453" s="87"/>
      <c r="M2453" s="87"/>
      <c r="N2453" s="87"/>
      <c r="O2453" s="87"/>
      <c r="P2453" s="87"/>
      <c r="Q2453" s="87"/>
      <c r="R2453" s="87"/>
      <c r="S2453" s="87"/>
      <c r="T2453" s="87"/>
      <c r="U2453" s="88"/>
      <c r="V2453" s="89"/>
      <c r="W2453" s="96">
        <v>0</v>
      </c>
      <c r="X2453" s="71">
        <f>CU2453</f>
        <v>0</v>
      </c>
      <c r="Y2453" s="71">
        <f>CY2453</f>
        <v>0</v>
      </c>
      <c r="Z2453" s="71">
        <f>DA2453+DC2453+DE2453</f>
        <v>0</v>
      </c>
      <c r="AA2453" s="71">
        <f>CW2453</f>
        <v>0</v>
      </c>
      <c r="AB2453" s="71"/>
      <c r="AC2453" s="71">
        <v>0</v>
      </c>
      <c r="AD2453" s="71">
        <f>W2453+X2453+Y2453+Z2453+AA2453+AB2453+AC2453</f>
        <v>0</v>
      </c>
      <c r="AE2453" s="72">
        <v>0</v>
      </c>
      <c r="AF2453" s="5"/>
      <c r="AG2453" s="6"/>
      <c r="AH2453" s="27"/>
      <c r="AI2453" s="44"/>
      <c r="AJ2453" s="26"/>
      <c r="AK2453" s="5"/>
      <c r="AL2453" s="82" t="s">
        <v>5323</v>
      </c>
      <c r="AM2453" s="76"/>
      <c r="AN2453" s="76"/>
      <c r="AO2453" s="76"/>
      <c r="AP2453" s="76"/>
      <c r="AQ2453" s="76"/>
      <c r="AR2453" s="76"/>
      <c r="AS2453" s="76"/>
      <c r="AT2453" s="76"/>
      <c r="AU2453" s="76"/>
      <c r="AV2453" s="76"/>
      <c r="AW2453" s="76"/>
      <c r="AX2453" s="76">
        <f>+AW2453*600000</f>
        <v>0</v>
      </c>
      <c r="AY2453" s="76"/>
      <c r="AZ2453" s="76">
        <f>+AY2453*70000</f>
        <v>0</v>
      </c>
      <c r="BA2453" s="76"/>
      <c r="BB2453" s="76"/>
      <c r="BC2453" s="76"/>
      <c r="BD2453" s="76">
        <f>+BC2453*30000</f>
        <v>0</v>
      </c>
      <c r="BE2453" s="76"/>
      <c r="BF2453" s="76"/>
      <c r="BG2453" s="76"/>
      <c r="BH2453" s="76"/>
      <c r="BI2453" s="76"/>
      <c r="BJ2453" s="76"/>
      <c r="BK2453" s="76"/>
      <c r="BL2453" s="76">
        <f>+BK2453*31500</f>
        <v>0</v>
      </c>
      <c r="BM2453" s="76"/>
      <c r="BN2453" s="76"/>
      <c r="BO2453" s="76"/>
      <c r="BP2453" s="76"/>
      <c r="BQ2453" s="76"/>
      <c r="BR2453" s="76"/>
      <c r="BS2453" s="76"/>
      <c r="BT2453" s="76"/>
      <c r="BU2453" s="76"/>
      <c r="BV2453" s="76"/>
      <c r="BW2453" s="76"/>
      <c r="BX2453" s="76"/>
      <c r="BY2453" s="76"/>
      <c r="BZ2453" s="76"/>
      <c r="CA2453" s="76"/>
      <c r="CB2453" s="76"/>
      <c r="CC2453" s="76"/>
      <c r="CD2453" s="76"/>
      <c r="CE2453" s="76"/>
      <c r="CF2453" s="76">
        <f>+CE2453*28000</f>
        <v>0</v>
      </c>
      <c r="CG2453" s="76"/>
      <c r="CH2453" s="76">
        <f>+CG2453*22500</f>
        <v>0</v>
      </c>
      <c r="CI2453" s="76"/>
      <c r="CJ2453" s="76">
        <f>+CI2453*26000</f>
        <v>0</v>
      </c>
      <c r="CK2453" s="76"/>
      <c r="CL2453" s="76"/>
      <c r="CM2453" s="76"/>
      <c r="CN2453" s="76">
        <f>+CM2453*22000</f>
        <v>0</v>
      </c>
      <c r="CO2453" s="76"/>
      <c r="CP2453" s="76">
        <f>+CO2453*46000</f>
        <v>0</v>
      </c>
      <c r="CQ2453" s="76"/>
      <c r="CR2453" s="76">
        <f>+CQ2453*49000</f>
        <v>0</v>
      </c>
      <c r="CS2453" s="76"/>
      <c r="CT2453" s="76"/>
      <c r="CU2453" s="56">
        <f>AN2453+AP2453+AR2453+AT2453+AV2453+AX2453+AZ2453+BB2453+BD2453+BF2453+BH2453+BJ2453+BL2453+BN2453+BP2453+BR2453+BT2453+BV2453+BX2453+BZ2453+CB2453+CD2453+CF2453+CH2453+CJ2453+CL2453+CN2453+CP2453+CR2453+CT2453</f>
        <v>0</v>
      </c>
      <c r="CV2453" s="76"/>
      <c r="CW2453" s="76">
        <f>+CV2453*1100</f>
        <v>0</v>
      </c>
      <c r="CX2453" s="76"/>
      <c r="CY2453" s="76">
        <f>+CX2453*106250</f>
        <v>0</v>
      </c>
      <c r="CZ2453" s="76"/>
      <c r="DA2453" s="76">
        <f>+CZ2453*34500</f>
        <v>0</v>
      </c>
      <c r="DB2453" s="76"/>
      <c r="DC2453" s="76">
        <f>+DB2453*25000</f>
        <v>0</v>
      </c>
      <c r="DD2453" s="219"/>
      <c r="DE2453" s="219"/>
      <c r="DF2453" s="166"/>
      <c r="DG2453" s="116"/>
      <c r="DH2453" s="117"/>
      <c r="DI2453" s="24"/>
      <c r="DJ2453" s="24"/>
      <c r="DK2453" s="24"/>
      <c r="DL2453" s="24"/>
      <c r="DM2453" s="24"/>
      <c r="DN2453" s="24"/>
      <c r="DO2453" s="24"/>
      <c r="DP2453" s="24"/>
      <c r="DQ2453" s="24"/>
      <c r="DR2453" s="24"/>
      <c r="DS2453" s="24"/>
      <c r="DT2453" s="24"/>
      <c r="DU2453" s="24"/>
    </row>
    <row r="2454" spans="1:125" s="8" customFormat="1" ht="48" x14ac:dyDescent="0.2">
      <c r="A2454" s="353">
        <v>41479</v>
      </c>
      <c r="B2454" s="352" t="s">
        <v>1326</v>
      </c>
      <c r="C2454" s="354" t="s">
        <v>1823</v>
      </c>
      <c r="D2454" s="354" t="s">
        <v>2882</v>
      </c>
      <c r="E2454" s="353" t="str">
        <f>VLOOKUP(B2454&amp;C2454,Divipola!$C$2:$F$1138,4,FALSE)</f>
        <v>70429</v>
      </c>
      <c r="F2454" s="87"/>
      <c r="G2454" s="87"/>
      <c r="H2454" s="87"/>
      <c r="I2454" s="87">
        <v>60</v>
      </c>
      <c r="J2454" s="87">
        <v>12</v>
      </c>
      <c r="K2454" s="87">
        <v>1</v>
      </c>
      <c r="L2454" s="87">
        <v>11</v>
      </c>
      <c r="M2454" s="87"/>
      <c r="N2454" s="87"/>
      <c r="O2454" s="87"/>
      <c r="P2454" s="87"/>
      <c r="Q2454" s="87"/>
      <c r="R2454" s="87"/>
      <c r="S2454" s="87"/>
      <c r="T2454" s="87"/>
      <c r="U2454" s="88"/>
      <c r="V2454" s="89"/>
      <c r="W2454" s="96">
        <v>0</v>
      </c>
      <c r="X2454" s="71">
        <f>CU2454</f>
        <v>0</v>
      </c>
      <c r="Y2454" s="71">
        <f>CY2454</f>
        <v>0</v>
      </c>
      <c r="Z2454" s="71">
        <f>DA2454+DC2454+DE2454</f>
        <v>0</v>
      </c>
      <c r="AA2454" s="71">
        <f>CW2454</f>
        <v>0</v>
      </c>
      <c r="AB2454" s="71"/>
      <c r="AC2454" s="71">
        <v>0</v>
      </c>
      <c r="AD2454" s="71">
        <f>W2454+X2454+Y2454+Z2454+AA2454+AB2454+AC2454</f>
        <v>0</v>
      </c>
      <c r="AE2454" s="72">
        <v>0</v>
      </c>
      <c r="AF2454" s="5"/>
      <c r="AG2454" s="6"/>
      <c r="AH2454" s="27"/>
      <c r="AI2454" s="44"/>
      <c r="AJ2454" s="26"/>
      <c r="AK2454" s="5"/>
      <c r="AL2454" s="82" t="s">
        <v>5372</v>
      </c>
      <c r="AM2454" s="76"/>
      <c r="AN2454" s="76"/>
      <c r="AO2454" s="76"/>
      <c r="AP2454" s="76"/>
      <c r="AQ2454" s="76"/>
      <c r="AR2454" s="76"/>
      <c r="AS2454" s="76"/>
      <c r="AT2454" s="76"/>
      <c r="AU2454" s="76"/>
      <c r="AV2454" s="76"/>
      <c r="AW2454" s="76"/>
      <c r="AX2454" s="76">
        <f>+AW2454*600000</f>
        <v>0</v>
      </c>
      <c r="AY2454" s="76"/>
      <c r="AZ2454" s="76">
        <f>+AY2454*70000</f>
        <v>0</v>
      </c>
      <c r="BA2454" s="76"/>
      <c r="BB2454" s="76"/>
      <c r="BC2454" s="76"/>
      <c r="BD2454" s="76">
        <f>+BC2454*30000</f>
        <v>0</v>
      </c>
      <c r="BE2454" s="76"/>
      <c r="BF2454" s="76"/>
      <c r="BG2454" s="76"/>
      <c r="BH2454" s="76"/>
      <c r="BI2454" s="76"/>
      <c r="BJ2454" s="76"/>
      <c r="BK2454" s="76"/>
      <c r="BL2454" s="76">
        <f>+BK2454*31500</f>
        <v>0</v>
      </c>
      <c r="BM2454" s="76"/>
      <c r="BN2454" s="76"/>
      <c r="BO2454" s="76"/>
      <c r="BP2454" s="76"/>
      <c r="BQ2454" s="76"/>
      <c r="BR2454" s="76"/>
      <c r="BS2454" s="76"/>
      <c r="BT2454" s="76"/>
      <c r="BU2454" s="76"/>
      <c r="BV2454" s="76"/>
      <c r="BW2454" s="76"/>
      <c r="BX2454" s="76"/>
      <c r="BY2454" s="76"/>
      <c r="BZ2454" s="76"/>
      <c r="CA2454" s="76"/>
      <c r="CB2454" s="76"/>
      <c r="CC2454" s="76"/>
      <c r="CD2454" s="76"/>
      <c r="CE2454" s="76"/>
      <c r="CF2454" s="76">
        <f>+CE2454*28000</f>
        <v>0</v>
      </c>
      <c r="CG2454" s="76"/>
      <c r="CH2454" s="76">
        <f>+CG2454*22500</f>
        <v>0</v>
      </c>
      <c r="CI2454" s="76"/>
      <c r="CJ2454" s="76">
        <f>+CI2454*26000</f>
        <v>0</v>
      </c>
      <c r="CK2454" s="76"/>
      <c r="CL2454" s="76"/>
      <c r="CM2454" s="76"/>
      <c r="CN2454" s="76">
        <f>+CM2454*22000</f>
        <v>0</v>
      </c>
      <c r="CO2454" s="76"/>
      <c r="CP2454" s="76">
        <f>+CO2454*46000</f>
        <v>0</v>
      </c>
      <c r="CQ2454" s="76"/>
      <c r="CR2454" s="76">
        <f>+CQ2454*49000</f>
        <v>0</v>
      </c>
      <c r="CS2454" s="76"/>
      <c r="CT2454" s="76"/>
      <c r="CU2454" s="56">
        <f>AN2454+AP2454+AR2454+AT2454+AV2454+AX2454+AZ2454+BB2454+BD2454+BF2454+BH2454+BJ2454+BL2454+BN2454+BP2454+BR2454+BT2454+BV2454+BX2454+BZ2454+CB2454+CD2454+CF2454+CH2454+CJ2454+CL2454+CN2454+CP2454+CR2454+CT2454</f>
        <v>0</v>
      </c>
      <c r="CV2454" s="76"/>
      <c r="CW2454" s="76">
        <f>+CV2454*1100</f>
        <v>0</v>
      </c>
      <c r="CX2454" s="76"/>
      <c r="CY2454" s="76">
        <f>+CX2454*106250</f>
        <v>0</v>
      </c>
      <c r="CZ2454" s="76"/>
      <c r="DA2454" s="76">
        <f>+CZ2454*34500</f>
        <v>0</v>
      </c>
      <c r="DB2454" s="76"/>
      <c r="DC2454" s="76">
        <f>+DB2454*25000</f>
        <v>0</v>
      </c>
      <c r="DD2454" s="219"/>
      <c r="DE2454" s="219"/>
      <c r="DF2454" s="166"/>
      <c r="DG2454" s="116"/>
      <c r="DH2454" s="117"/>
      <c r="DI2454" s="24"/>
      <c r="DJ2454" s="24"/>
      <c r="DK2454" s="24"/>
      <c r="DL2454" s="24"/>
      <c r="DM2454" s="24"/>
      <c r="DN2454" s="24"/>
      <c r="DO2454" s="24"/>
      <c r="DP2454" s="24"/>
      <c r="DQ2454" s="24"/>
      <c r="DR2454" s="24"/>
      <c r="DS2454" s="24"/>
      <c r="DT2454" s="24"/>
      <c r="DU2454" s="24"/>
    </row>
    <row r="2455" spans="1:125" s="8" customFormat="1" ht="60" x14ac:dyDescent="0.2">
      <c r="A2455" s="226">
        <v>41480</v>
      </c>
      <c r="B2455" s="225" t="s">
        <v>2881</v>
      </c>
      <c r="C2455" s="227" t="s">
        <v>2767</v>
      </c>
      <c r="D2455" s="227" t="s">
        <v>2859</v>
      </c>
      <c r="E2455" s="353" t="str">
        <f>VLOOKUP(B2455&amp;C2455,Divipola!$C$2:$F$1138,4,FALSE)</f>
        <v>08001</v>
      </c>
      <c r="F2455" s="87"/>
      <c r="G2455" s="87"/>
      <c r="H2455" s="87"/>
      <c r="I2455" s="87"/>
      <c r="J2455" s="87"/>
      <c r="K2455" s="87"/>
      <c r="L2455" s="87"/>
      <c r="M2455" s="87"/>
      <c r="N2455" s="87"/>
      <c r="O2455" s="87"/>
      <c r="P2455" s="87"/>
      <c r="Q2455" s="87"/>
      <c r="R2455" s="87"/>
      <c r="S2455" s="87"/>
      <c r="T2455" s="87">
        <v>1</v>
      </c>
      <c r="U2455" s="88"/>
      <c r="V2455" s="89">
        <v>2</v>
      </c>
      <c r="W2455" s="96">
        <v>0</v>
      </c>
      <c r="X2455" s="71">
        <f>CU2455</f>
        <v>0</v>
      </c>
      <c r="Y2455" s="71">
        <f>CY2455</f>
        <v>0</v>
      </c>
      <c r="Z2455" s="71">
        <f>DA2455+DC2455+DE2455</f>
        <v>0</v>
      </c>
      <c r="AA2455" s="71">
        <f>CW2455</f>
        <v>0</v>
      </c>
      <c r="AB2455" s="71"/>
      <c r="AC2455" s="71">
        <v>0</v>
      </c>
      <c r="AD2455" s="71">
        <f>W2455+X2455+Y2455+Z2455+AA2455+AB2455+AC2455</f>
        <v>0</v>
      </c>
      <c r="AE2455" s="72">
        <v>0</v>
      </c>
      <c r="AF2455" s="5"/>
      <c r="AG2455" s="6"/>
      <c r="AH2455" s="27"/>
      <c r="AI2455" s="44"/>
      <c r="AJ2455" s="26"/>
      <c r="AK2455" s="5"/>
      <c r="AL2455" s="82" t="s">
        <v>5349</v>
      </c>
      <c r="AM2455" s="76"/>
      <c r="AN2455" s="76"/>
      <c r="AO2455" s="76"/>
      <c r="AP2455" s="76"/>
      <c r="AQ2455" s="76"/>
      <c r="AR2455" s="76"/>
      <c r="AS2455" s="76"/>
      <c r="AT2455" s="76"/>
      <c r="AU2455" s="76"/>
      <c r="AV2455" s="76"/>
      <c r="AW2455" s="76"/>
      <c r="AX2455" s="76">
        <f>+AW2455*600000</f>
        <v>0</v>
      </c>
      <c r="AY2455" s="76"/>
      <c r="AZ2455" s="76">
        <f>+AY2455*70000</f>
        <v>0</v>
      </c>
      <c r="BA2455" s="76"/>
      <c r="BB2455" s="76"/>
      <c r="BC2455" s="76"/>
      <c r="BD2455" s="76">
        <f>+BC2455*30000</f>
        <v>0</v>
      </c>
      <c r="BE2455" s="76"/>
      <c r="BF2455" s="76"/>
      <c r="BG2455" s="76"/>
      <c r="BH2455" s="76"/>
      <c r="BI2455" s="76"/>
      <c r="BJ2455" s="76"/>
      <c r="BK2455" s="76"/>
      <c r="BL2455" s="76">
        <f>+BK2455*31500</f>
        <v>0</v>
      </c>
      <c r="BM2455" s="76"/>
      <c r="BN2455" s="76"/>
      <c r="BO2455" s="76"/>
      <c r="BP2455" s="76"/>
      <c r="BQ2455" s="76"/>
      <c r="BR2455" s="76"/>
      <c r="BS2455" s="76"/>
      <c r="BT2455" s="76"/>
      <c r="BU2455" s="76"/>
      <c r="BV2455" s="76"/>
      <c r="BW2455" s="76"/>
      <c r="BX2455" s="76"/>
      <c r="BY2455" s="76"/>
      <c r="BZ2455" s="76"/>
      <c r="CA2455" s="76"/>
      <c r="CB2455" s="76"/>
      <c r="CC2455" s="76"/>
      <c r="CD2455" s="76"/>
      <c r="CE2455" s="76"/>
      <c r="CF2455" s="76">
        <f>+CE2455*28000</f>
        <v>0</v>
      </c>
      <c r="CG2455" s="76"/>
      <c r="CH2455" s="76">
        <f>+CG2455*22500</f>
        <v>0</v>
      </c>
      <c r="CI2455" s="76"/>
      <c r="CJ2455" s="76">
        <f>+CI2455*26000</f>
        <v>0</v>
      </c>
      <c r="CK2455" s="76"/>
      <c r="CL2455" s="76"/>
      <c r="CM2455" s="76"/>
      <c r="CN2455" s="76">
        <f>+CM2455*22000</f>
        <v>0</v>
      </c>
      <c r="CO2455" s="76"/>
      <c r="CP2455" s="76">
        <f>+CO2455*46000</f>
        <v>0</v>
      </c>
      <c r="CQ2455" s="76"/>
      <c r="CR2455" s="76">
        <f>+CQ2455*49000</f>
        <v>0</v>
      </c>
      <c r="CS2455" s="76"/>
      <c r="CT2455" s="76"/>
      <c r="CU2455" s="56">
        <f>AN2455+AP2455+AR2455+AT2455+AV2455+AX2455+AZ2455+BB2455+BD2455+BF2455+BH2455+BJ2455+BL2455+BN2455+BP2455+BR2455+BT2455+BV2455+BX2455+BZ2455+CB2455+CD2455+CF2455+CH2455+CJ2455+CL2455+CN2455+CP2455+CR2455+CT2455</f>
        <v>0</v>
      </c>
      <c r="CV2455" s="76"/>
      <c r="CW2455" s="76">
        <f>+CV2455*1100</f>
        <v>0</v>
      </c>
      <c r="CX2455" s="76"/>
      <c r="CY2455" s="76">
        <f>+CX2455*106250</f>
        <v>0</v>
      </c>
      <c r="CZ2455" s="76"/>
      <c r="DA2455" s="76">
        <f>+CZ2455*34500</f>
        <v>0</v>
      </c>
      <c r="DB2455" s="76"/>
      <c r="DC2455" s="76">
        <f>+DB2455*25000</f>
        <v>0</v>
      </c>
      <c r="DD2455" s="219"/>
      <c r="DE2455" s="219"/>
      <c r="DF2455" s="166"/>
      <c r="DG2455" s="116"/>
      <c r="DH2455" s="117"/>
      <c r="DI2455" s="24"/>
      <c r="DJ2455" s="24"/>
      <c r="DK2455" s="24"/>
      <c r="DL2455" s="24"/>
      <c r="DM2455" s="24"/>
      <c r="DN2455" s="24"/>
      <c r="DO2455" s="24"/>
      <c r="DP2455" s="24"/>
      <c r="DQ2455" s="24"/>
      <c r="DR2455" s="24"/>
      <c r="DS2455" s="24"/>
      <c r="DT2455" s="24"/>
      <c r="DU2455" s="24"/>
    </row>
    <row r="2456" spans="1:125" s="8" customFormat="1" ht="108" x14ac:dyDescent="0.2">
      <c r="A2456" s="353">
        <v>41480</v>
      </c>
      <c r="B2456" s="352" t="s">
        <v>2854</v>
      </c>
      <c r="C2456" s="354" t="s">
        <v>2803</v>
      </c>
      <c r="D2456" s="354" t="s">
        <v>3051</v>
      </c>
      <c r="E2456" s="353" t="str">
        <f>VLOOKUP(B2456&amp;C2456,Divipola!$C$2:$F$1138,4,FALSE)</f>
        <v>19533</v>
      </c>
      <c r="F2456" s="87"/>
      <c r="G2456" s="87"/>
      <c r="H2456" s="87"/>
      <c r="I2456" s="87">
        <v>250</v>
      </c>
      <c r="J2456" s="87">
        <v>50</v>
      </c>
      <c r="K2456" s="87"/>
      <c r="L2456" s="87">
        <v>50</v>
      </c>
      <c r="M2456" s="87"/>
      <c r="N2456" s="87"/>
      <c r="O2456" s="87"/>
      <c r="P2456" s="87"/>
      <c r="Q2456" s="87"/>
      <c r="R2456" s="87"/>
      <c r="S2456" s="87"/>
      <c r="T2456" s="87"/>
      <c r="U2456" s="88"/>
      <c r="V2456" s="89"/>
      <c r="W2456" s="96">
        <v>0</v>
      </c>
      <c r="X2456" s="71">
        <f>CU2456</f>
        <v>0</v>
      </c>
      <c r="Y2456" s="71">
        <f>CY2456</f>
        <v>0</v>
      </c>
      <c r="Z2456" s="71">
        <f>DA2456+DC2456+DE2456</f>
        <v>0</v>
      </c>
      <c r="AA2456" s="71">
        <f>CW2456</f>
        <v>0</v>
      </c>
      <c r="AB2456" s="71"/>
      <c r="AC2456" s="71">
        <v>0</v>
      </c>
      <c r="AD2456" s="71">
        <f>W2456+X2456+Y2456+Z2456+AA2456+AB2456+AC2456</f>
        <v>0</v>
      </c>
      <c r="AE2456" s="72">
        <v>0</v>
      </c>
      <c r="AF2456" s="5"/>
      <c r="AG2456" s="6"/>
      <c r="AH2456" s="27"/>
      <c r="AI2456" s="44"/>
      <c r="AJ2456" s="26"/>
      <c r="AK2456" s="5"/>
      <c r="AL2456" s="82" t="s">
        <v>5347</v>
      </c>
      <c r="AM2456" s="76"/>
      <c r="AN2456" s="76"/>
      <c r="AO2456" s="76"/>
      <c r="AP2456" s="76"/>
      <c r="AQ2456" s="76"/>
      <c r="AR2456" s="76"/>
      <c r="AS2456" s="76"/>
      <c r="AT2456" s="76"/>
      <c r="AU2456" s="76"/>
      <c r="AV2456" s="76"/>
      <c r="AW2456" s="76"/>
      <c r="AX2456" s="76">
        <f>+AW2456*600000</f>
        <v>0</v>
      </c>
      <c r="AY2456" s="76"/>
      <c r="AZ2456" s="76">
        <f>+AY2456*70000</f>
        <v>0</v>
      </c>
      <c r="BA2456" s="76"/>
      <c r="BB2456" s="76"/>
      <c r="BC2456" s="76"/>
      <c r="BD2456" s="76">
        <f>+BC2456*30000</f>
        <v>0</v>
      </c>
      <c r="BE2456" s="76"/>
      <c r="BF2456" s="76"/>
      <c r="BG2456" s="76"/>
      <c r="BH2456" s="76"/>
      <c r="BI2456" s="76"/>
      <c r="BJ2456" s="76"/>
      <c r="BK2456" s="76"/>
      <c r="BL2456" s="76">
        <f>+BK2456*31500</f>
        <v>0</v>
      </c>
      <c r="BM2456" s="76"/>
      <c r="BN2456" s="76"/>
      <c r="BO2456" s="76"/>
      <c r="BP2456" s="76"/>
      <c r="BQ2456" s="76"/>
      <c r="BR2456" s="76"/>
      <c r="BS2456" s="76"/>
      <c r="BT2456" s="76"/>
      <c r="BU2456" s="76"/>
      <c r="BV2456" s="76"/>
      <c r="BW2456" s="76"/>
      <c r="BX2456" s="76"/>
      <c r="BY2456" s="76"/>
      <c r="BZ2456" s="76"/>
      <c r="CA2456" s="76"/>
      <c r="CB2456" s="76"/>
      <c r="CC2456" s="76"/>
      <c r="CD2456" s="76"/>
      <c r="CE2456" s="76"/>
      <c r="CF2456" s="76">
        <f>+CE2456*28000</f>
        <v>0</v>
      </c>
      <c r="CG2456" s="76"/>
      <c r="CH2456" s="76">
        <f>+CG2456*22500</f>
        <v>0</v>
      </c>
      <c r="CI2456" s="76"/>
      <c r="CJ2456" s="76">
        <f>+CI2456*26000</f>
        <v>0</v>
      </c>
      <c r="CK2456" s="76"/>
      <c r="CL2456" s="76"/>
      <c r="CM2456" s="76"/>
      <c r="CN2456" s="76">
        <f>+CM2456*22000</f>
        <v>0</v>
      </c>
      <c r="CO2456" s="76"/>
      <c r="CP2456" s="76">
        <f>+CO2456*46000</f>
        <v>0</v>
      </c>
      <c r="CQ2456" s="76"/>
      <c r="CR2456" s="76">
        <f>+CQ2456*49000</f>
        <v>0</v>
      </c>
      <c r="CS2456" s="76"/>
      <c r="CT2456" s="76"/>
      <c r="CU2456" s="56">
        <f>AN2456+AP2456+AR2456+AT2456+AV2456+AX2456+AZ2456+BB2456+BD2456+BF2456+BH2456+BJ2456+BL2456+BN2456+BP2456+BR2456+BT2456+BV2456+BX2456+BZ2456+CB2456+CD2456+CF2456+CH2456+CJ2456+CL2456+CN2456+CP2456+CR2456+CT2456</f>
        <v>0</v>
      </c>
      <c r="CV2456" s="76"/>
      <c r="CW2456" s="76">
        <f>+CV2456*1100</f>
        <v>0</v>
      </c>
      <c r="CX2456" s="76"/>
      <c r="CY2456" s="76">
        <f>+CX2456*106250</f>
        <v>0</v>
      </c>
      <c r="CZ2456" s="76"/>
      <c r="DA2456" s="76">
        <f>+CZ2456*34500</f>
        <v>0</v>
      </c>
      <c r="DB2456" s="76"/>
      <c r="DC2456" s="76">
        <f>+DB2456*25000</f>
        <v>0</v>
      </c>
      <c r="DD2456" s="219"/>
      <c r="DE2456" s="219"/>
      <c r="DF2456" s="166"/>
      <c r="DG2456" s="116"/>
      <c r="DH2456" s="117"/>
      <c r="DI2456" s="24"/>
      <c r="DJ2456" s="24"/>
      <c r="DK2456" s="24"/>
      <c r="DL2456" s="24"/>
      <c r="DM2456" s="24"/>
      <c r="DN2456" s="24"/>
      <c r="DO2456" s="24"/>
      <c r="DP2456" s="24"/>
      <c r="DQ2456" s="24"/>
      <c r="DR2456" s="24"/>
      <c r="DS2456" s="24"/>
      <c r="DT2456" s="24"/>
      <c r="DU2456" s="24"/>
    </row>
    <row r="2457" spans="1:125" s="8" customFormat="1" ht="60" x14ac:dyDescent="0.2">
      <c r="A2457" s="353">
        <v>41480</v>
      </c>
      <c r="B2457" s="352" t="s">
        <v>2854</v>
      </c>
      <c r="C2457" s="354" t="s">
        <v>875</v>
      </c>
      <c r="D2457" s="354" t="s">
        <v>2859</v>
      </c>
      <c r="E2457" s="353" t="str">
        <f>VLOOKUP(B2457&amp;C2457,Divipola!$C$2:$F$1138,4,FALSE)</f>
        <v>19760</v>
      </c>
      <c r="F2457" s="87"/>
      <c r="G2457" s="87"/>
      <c r="H2457" s="87"/>
      <c r="I2457" s="87">
        <v>5</v>
      </c>
      <c r="J2457" s="87">
        <v>1</v>
      </c>
      <c r="K2457" s="87">
        <v>1</v>
      </c>
      <c r="L2457" s="87"/>
      <c r="M2457" s="87"/>
      <c r="N2457" s="87"/>
      <c r="O2457" s="87"/>
      <c r="P2457" s="87"/>
      <c r="Q2457" s="87"/>
      <c r="R2457" s="87"/>
      <c r="S2457" s="87"/>
      <c r="T2457" s="87"/>
      <c r="U2457" s="88"/>
      <c r="V2457" s="89"/>
      <c r="W2457" s="96">
        <v>0</v>
      </c>
      <c r="X2457" s="71">
        <f>CU2457</f>
        <v>0</v>
      </c>
      <c r="Y2457" s="71">
        <f>CY2457</f>
        <v>0</v>
      </c>
      <c r="Z2457" s="71">
        <f>DA2457+DC2457+DE2457</f>
        <v>0</v>
      </c>
      <c r="AA2457" s="71">
        <f>CW2457</f>
        <v>0</v>
      </c>
      <c r="AB2457" s="71"/>
      <c r="AC2457" s="71">
        <v>0</v>
      </c>
      <c r="AD2457" s="71">
        <f>W2457+X2457+Y2457+Z2457+AA2457+AB2457+AC2457</f>
        <v>0</v>
      </c>
      <c r="AE2457" s="72">
        <v>0</v>
      </c>
      <c r="AF2457" s="5"/>
      <c r="AG2457" s="6"/>
      <c r="AH2457" s="27"/>
      <c r="AI2457" s="44"/>
      <c r="AJ2457" s="26"/>
      <c r="AK2457" s="5"/>
      <c r="AL2457" s="82" t="s">
        <v>5332</v>
      </c>
      <c r="AM2457" s="76"/>
      <c r="AN2457" s="76"/>
      <c r="AO2457" s="76"/>
      <c r="AP2457" s="76"/>
      <c r="AQ2457" s="76"/>
      <c r="AR2457" s="76"/>
      <c r="AS2457" s="76"/>
      <c r="AT2457" s="76"/>
      <c r="AU2457" s="76"/>
      <c r="AV2457" s="76"/>
      <c r="AW2457" s="76"/>
      <c r="AX2457" s="76">
        <f>+AW2457*600000</f>
        <v>0</v>
      </c>
      <c r="AY2457" s="76"/>
      <c r="AZ2457" s="76">
        <f>+AY2457*70000</f>
        <v>0</v>
      </c>
      <c r="BA2457" s="76"/>
      <c r="BB2457" s="76"/>
      <c r="BC2457" s="76"/>
      <c r="BD2457" s="76">
        <f>+BC2457*30000</f>
        <v>0</v>
      </c>
      <c r="BE2457" s="76"/>
      <c r="BF2457" s="76"/>
      <c r="BG2457" s="76"/>
      <c r="BH2457" s="76"/>
      <c r="BI2457" s="76"/>
      <c r="BJ2457" s="76"/>
      <c r="BK2457" s="76"/>
      <c r="BL2457" s="76">
        <f>+BK2457*31500</f>
        <v>0</v>
      </c>
      <c r="BM2457" s="76"/>
      <c r="BN2457" s="76"/>
      <c r="BO2457" s="76"/>
      <c r="BP2457" s="76"/>
      <c r="BQ2457" s="76"/>
      <c r="BR2457" s="76"/>
      <c r="BS2457" s="76"/>
      <c r="BT2457" s="76"/>
      <c r="BU2457" s="76"/>
      <c r="BV2457" s="76"/>
      <c r="BW2457" s="76"/>
      <c r="BX2457" s="76"/>
      <c r="BY2457" s="76"/>
      <c r="BZ2457" s="76"/>
      <c r="CA2457" s="76"/>
      <c r="CB2457" s="76"/>
      <c r="CC2457" s="76"/>
      <c r="CD2457" s="76"/>
      <c r="CE2457" s="76"/>
      <c r="CF2457" s="76">
        <f>+CE2457*28000</f>
        <v>0</v>
      </c>
      <c r="CG2457" s="76"/>
      <c r="CH2457" s="76">
        <f>+CG2457*22500</f>
        <v>0</v>
      </c>
      <c r="CI2457" s="76"/>
      <c r="CJ2457" s="76">
        <f>+CI2457*26000</f>
        <v>0</v>
      </c>
      <c r="CK2457" s="76"/>
      <c r="CL2457" s="76"/>
      <c r="CM2457" s="76"/>
      <c r="CN2457" s="76">
        <f>+CM2457*22000</f>
        <v>0</v>
      </c>
      <c r="CO2457" s="76"/>
      <c r="CP2457" s="76">
        <f>+CO2457*46000</f>
        <v>0</v>
      </c>
      <c r="CQ2457" s="76"/>
      <c r="CR2457" s="76">
        <f>+CQ2457*49000</f>
        <v>0</v>
      </c>
      <c r="CS2457" s="76"/>
      <c r="CT2457" s="76"/>
      <c r="CU2457" s="56">
        <f>AN2457+AP2457+AR2457+AT2457+AV2457+AX2457+AZ2457+BB2457+BD2457+BF2457+BH2457+BJ2457+BL2457+BN2457+BP2457+BR2457+BT2457+BV2457+BX2457+BZ2457+CB2457+CD2457+CF2457+CH2457+CJ2457+CL2457+CN2457+CP2457+CR2457+CT2457</f>
        <v>0</v>
      </c>
      <c r="CV2457" s="76"/>
      <c r="CW2457" s="76">
        <f>+CV2457*1100</f>
        <v>0</v>
      </c>
      <c r="CX2457" s="76"/>
      <c r="CY2457" s="76">
        <f>+CX2457*106250</f>
        <v>0</v>
      </c>
      <c r="CZ2457" s="76"/>
      <c r="DA2457" s="76">
        <f>+CZ2457*34500</f>
        <v>0</v>
      </c>
      <c r="DB2457" s="76"/>
      <c r="DC2457" s="76">
        <f>+DB2457*25000</f>
        <v>0</v>
      </c>
      <c r="DD2457" s="219"/>
      <c r="DE2457" s="219"/>
      <c r="DF2457" s="166"/>
      <c r="DG2457" s="116"/>
      <c r="DH2457" s="117"/>
      <c r="DI2457" s="24"/>
      <c r="DJ2457" s="24"/>
      <c r="DK2457" s="24"/>
      <c r="DL2457" s="24"/>
      <c r="DM2457" s="24"/>
      <c r="DN2457" s="24"/>
      <c r="DO2457" s="24"/>
      <c r="DP2457" s="24"/>
      <c r="DQ2457" s="24"/>
      <c r="DR2457" s="24"/>
      <c r="DS2457" s="24"/>
      <c r="DT2457" s="24"/>
      <c r="DU2457" s="24"/>
    </row>
    <row r="2458" spans="1:125" s="8" customFormat="1" ht="60" x14ac:dyDescent="0.2">
      <c r="A2458" s="353">
        <v>41480</v>
      </c>
      <c r="B2458" s="78" t="s">
        <v>2855</v>
      </c>
      <c r="C2458" s="75" t="s">
        <v>904</v>
      </c>
      <c r="D2458" s="75" t="s">
        <v>2859</v>
      </c>
      <c r="E2458" s="353" t="str">
        <f>VLOOKUP(B2458&amp;C2458,Divipola!$C$2:$F$1138,4,FALSE)</f>
        <v>20178</v>
      </c>
      <c r="F2458" s="87"/>
      <c r="G2458" s="87"/>
      <c r="H2458" s="87"/>
      <c r="I2458" s="87">
        <v>5</v>
      </c>
      <c r="J2458" s="87">
        <v>1</v>
      </c>
      <c r="K2458" s="87">
        <v>1</v>
      </c>
      <c r="L2458" s="87"/>
      <c r="M2458" s="87"/>
      <c r="N2458" s="87"/>
      <c r="O2458" s="87"/>
      <c r="P2458" s="87"/>
      <c r="Q2458" s="87"/>
      <c r="R2458" s="87"/>
      <c r="S2458" s="191"/>
      <c r="T2458" s="87"/>
      <c r="U2458" s="88"/>
      <c r="V2458" s="89"/>
      <c r="W2458" s="96">
        <v>0</v>
      </c>
      <c r="X2458" s="71">
        <f>CU2458</f>
        <v>0</v>
      </c>
      <c r="Y2458" s="71">
        <f>CY2458</f>
        <v>0</v>
      </c>
      <c r="Z2458" s="71">
        <f>DA2458+DC2458+DE2458</f>
        <v>0</v>
      </c>
      <c r="AA2458" s="71">
        <f>CW2458</f>
        <v>0</v>
      </c>
      <c r="AB2458" s="71"/>
      <c r="AC2458" s="71">
        <v>0</v>
      </c>
      <c r="AD2458" s="71">
        <f>W2458+X2458+Y2458+Z2458+AA2458+AB2458+AC2458</f>
        <v>0</v>
      </c>
      <c r="AE2458" s="72">
        <v>0</v>
      </c>
      <c r="AF2458" s="5"/>
      <c r="AG2458" s="6"/>
      <c r="AH2458" s="27"/>
      <c r="AI2458" s="44"/>
      <c r="AJ2458" s="26"/>
      <c r="AK2458" s="5"/>
      <c r="AL2458" s="82" t="s">
        <v>5341</v>
      </c>
      <c r="AM2458" s="76"/>
      <c r="AN2458" s="76"/>
      <c r="AO2458" s="76"/>
      <c r="AP2458" s="76"/>
      <c r="AQ2458" s="76"/>
      <c r="AR2458" s="76"/>
      <c r="AS2458" s="76"/>
      <c r="AT2458" s="76"/>
      <c r="AU2458" s="76"/>
      <c r="AV2458" s="76"/>
      <c r="AW2458" s="76"/>
      <c r="AX2458" s="76">
        <f>+AW2458*600000</f>
        <v>0</v>
      </c>
      <c r="AY2458" s="76"/>
      <c r="AZ2458" s="76">
        <f>+AY2458*70000</f>
        <v>0</v>
      </c>
      <c r="BA2458" s="76"/>
      <c r="BB2458" s="76"/>
      <c r="BC2458" s="76"/>
      <c r="BD2458" s="76">
        <f>+BC2458*30000</f>
        <v>0</v>
      </c>
      <c r="BE2458" s="76"/>
      <c r="BF2458" s="76"/>
      <c r="BG2458" s="76"/>
      <c r="BH2458" s="76"/>
      <c r="BI2458" s="76"/>
      <c r="BJ2458" s="76"/>
      <c r="BK2458" s="76"/>
      <c r="BL2458" s="76">
        <f>+BK2458*31500</f>
        <v>0</v>
      </c>
      <c r="BM2458" s="76"/>
      <c r="BN2458" s="76"/>
      <c r="BO2458" s="76"/>
      <c r="BP2458" s="76"/>
      <c r="BQ2458" s="76"/>
      <c r="BR2458" s="76"/>
      <c r="BS2458" s="76"/>
      <c r="BT2458" s="76"/>
      <c r="BU2458" s="76"/>
      <c r="BV2458" s="76"/>
      <c r="BW2458" s="76"/>
      <c r="BX2458" s="76"/>
      <c r="BY2458" s="76"/>
      <c r="BZ2458" s="76"/>
      <c r="CA2458" s="76"/>
      <c r="CB2458" s="76"/>
      <c r="CC2458" s="76"/>
      <c r="CD2458" s="76"/>
      <c r="CE2458" s="76"/>
      <c r="CF2458" s="76">
        <f>+CE2458*28000</f>
        <v>0</v>
      </c>
      <c r="CG2458" s="76"/>
      <c r="CH2458" s="76">
        <f>+CG2458*22500</f>
        <v>0</v>
      </c>
      <c r="CI2458" s="76"/>
      <c r="CJ2458" s="76">
        <f>+CI2458*26000</f>
        <v>0</v>
      </c>
      <c r="CK2458" s="76"/>
      <c r="CL2458" s="76"/>
      <c r="CM2458" s="76"/>
      <c r="CN2458" s="76">
        <f>+CM2458*22000</f>
        <v>0</v>
      </c>
      <c r="CO2458" s="76"/>
      <c r="CP2458" s="76">
        <f>+CO2458*46000</f>
        <v>0</v>
      </c>
      <c r="CQ2458" s="76"/>
      <c r="CR2458" s="76">
        <f>+CQ2458*49000</f>
        <v>0</v>
      </c>
      <c r="CS2458" s="76"/>
      <c r="CT2458" s="76"/>
      <c r="CU2458" s="56">
        <f>AN2458+AP2458+AR2458+AT2458+AV2458+AX2458+AZ2458+BB2458+BD2458+BF2458+BH2458+BJ2458+BL2458+BN2458+BP2458+BR2458+BT2458+BV2458+BX2458+BZ2458+CB2458+CD2458+CF2458+CH2458+CJ2458+CL2458+CN2458+CP2458+CR2458+CT2458</f>
        <v>0</v>
      </c>
      <c r="CV2458" s="76"/>
      <c r="CW2458" s="76">
        <f>+CV2458*1100</f>
        <v>0</v>
      </c>
      <c r="CX2458" s="76"/>
      <c r="CY2458" s="76">
        <f>+CX2458*106250</f>
        <v>0</v>
      </c>
      <c r="CZ2458" s="76"/>
      <c r="DA2458" s="76">
        <f>+CZ2458*34500</f>
        <v>0</v>
      </c>
      <c r="DB2458" s="76"/>
      <c r="DC2458" s="76">
        <f>+DB2458*25000</f>
        <v>0</v>
      </c>
      <c r="DD2458" s="219"/>
      <c r="DE2458" s="219"/>
      <c r="DF2458" s="166"/>
      <c r="DG2458" s="116"/>
      <c r="DH2458" s="117"/>
      <c r="DI2458" s="24"/>
      <c r="DJ2458" s="24"/>
      <c r="DK2458" s="24"/>
      <c r="DL2458" s="24"/>
      <c r="DM2458" s="24"/>
      <c r="DN2458" s="24"/>
      <c r="DO2458" s="24"/>
      <c r="DP2458" s="24"/>
      <c r="DQ2458" s="24"/>
      <c r="DR2458" s="24"/>
      <c r="DS2458" s="24"/>
      <c r="DT2458" s="24"/>
      <c r="DU2458" s="24"/>
    </row>
    <row r="2459" spans="1:125" s="8" customFormat="1" ht="41.25" customHeight="1" x14ac:dyDescent="0.2">
      <c r="A2459" s="353">
        <v>41480</v>
      </c>
      <c r="B2459" s="78" t="s">
        <v>2772</v>
      </c>
      <c r="C2459" s="75" t="s">
        <v>2167</v>
      </c>
      <c r="D2459" s="75" t="s">
        <v>2859</v>
      </c>
      <c r="E2459" s="353" t="str">
        <f>VLOOKUP(B2459&amp;C2459,Divipola!$C$2:$F$1138,4,FALSE)</f>
        <v>25377</v>
      </c>
      <c r="F2459" s="87"/>
      <c r="G2459" s="87"/>
      <c r="H2459" s="87"/>
      <c r="I2459" s="87"/>
      <c r="J2459" s="87"/>
      <c r="K2459" s="87"/>
      <c r="L2459" s="87"/>
      <c r="M2459" s="87"/>
      <c r="N2459" s="87"/>
      <c r="O2459" s="87"/>
      <c r="P2459" s="87"/>
      <c r="Q2459" s="87"/>
      <c r="R2459" s="87"/>
      <c r="S2459" s="87"/>
      <c r="T2459" s="87"/>
      <c r="U2459" s="88"/>
      <c r="V2459" s="89">
        <v>1</v>
      </c>
      <c r="W2459" s="96">
        <v>0</v>
      </c>
      <c r="X2459" s="71">
        <f>CU2459</f>
        <v>0</v>
      </c>
      <c r="Y2459" s="71">
        <f>CY2459</f>
        <v>0</v>
      </c>
      <c r="Z2459" s="71">
        <f>DA2459+DC2459+DE2459</f>
        <v>0</v>
      </c>
      <c r="AA2459" s="71">
        <f>CW2459</f>
        <v>0</v>
      </c>
      <c r="AB2459" s="71"/>
      <c r="AC2459" s="71">
        <v>0</v>
      </c>
      <c r="AD2459" s="71">
        <f>W2459+X2459+Y2459+Z2459+AA2459+AB2459+AC2459</f>
        <v>0</v>
      </c>
      <c r="AE2459" s="72">
        <v>0</v>
      </c>
      <c r="AF2459" s="5"/>
      <c r="AG2459" s="6"/>
      <c r="AH2459" s="27"/>
      <c r="AI2459" s="44"/>
      <c r="AJ2459" s="26"/>
      <c r="AK2459" s="5"/>
      <c r="AL2459" s="82" t="s">
        <v>5340</v>
      </c>
      <c r="AM2459" s="76"/>
      <c r="AN2459" s="76"/>
      <c r="AO2459" s="76"/>
      <c r="AP2459" s="76"/>
      <c r="AQ2459" s="76"/>
      <c r="AR2459" s="76"/>
      <c r="AS2459" s="76"/>
      <c r="AT2459" s="76"/>
      <c r="AU2459" s="76"/>
      <c r="AV2459" s="76"/>
      <c r="AW2459" s="76"/>
      <c r="AX2459" s="76">
        <f>+AW2459*600000</f>
        <v>0</v>
      </c>
      <c r="AY2459" s="76"/>
      <c r="AZ2459" s="76">
        <f>+AY2459*70000</f>
        <v>0</v>
      </c>
      <c r="BA2459" s="76"/>
      <c r="BB2459" s="76"/>
      <c r="BC2459" s="76"/>
      <c r="BD2459" s="76">
        <f>+BC2459*30000</f>
        <v>0</v>
      </c>
      <c r="BE2459" s="76"/>
      <c r="BF2459" s="76"/>
      <c r="BG2459" s="76"/>
      <c r="BH2459" s="76"/>
      <c r="BI2459" s="76"/>
      <c r="BJ2459" s="76"/>
      <c r="BK2459" s="76"/>
      <c r="BL2459" s="76">
        <f>+BK2459*31500</f>
        <v>0</v>
      </c>
      <c r="BM2459" s="76"/>
      <c r="BN2459" s="76"/>
      <c r="BO2459" s="76"/>
      <c r="BP2459" s="76"/>
      <c r="BQ2459" s="76"/>
      <c r="BR2459" s="76"/>
      <c r="BS2459" s="76"/>
      <c r="BT2459" s="76"/>
      <c r="BU2459" s="76"/>
      <c r="BV2459" s="76"/>
      <c r="BW2459" s="76"/>
      <c r="BX2459" s="76"/>
      <c r="BY2459" s="76"/>
      <c r="BZ2459" s="76"/>
      <c r="CA2459" s="76"/>
      <c r="CB2459" s="76"/>
      <c r="CC2459" s="76"/>
      <c r="CD2459" s="76"/>
      <c r="CE2459" s="76"/>
      <c r="CF2459" s="76">
        <f>+CE2459*28000</f>
        <v>0</v>
      </c>
      <c r="CG2459" s="76"/>
      <c r="CH2459" s="76">
        <f>+CG2459*22500</f>
        <v>0</v>
      </c>
      <c r="CI2459" s="76"/>
      <c r="CJ2459" s="76">
        <f>+CI2459*26000</f>
        <v>0</v>
      </c>
      <c r="CK2459" s="76"/>
      <c r="CL2459" s="76"/>
      <c r="CM2459" s="76"/>
      <c r="CN2459" s="76">
        <f>+CM2459*22000</f>
        <v>0</v>
      </c>
      <c r="CO2459" s="76"/>
      <c r="CP2459" s="76">
        <f>+CO2459*46000</f>
        <v>0</v>
      </c>
      <c r="CQ2459" s="76"/>
      <c r="CR2459" s="76">
        <f>+CQ2459*49000</f>
        <v>0</v>
      </c>
      <c r="CS2459" s="76"/>
      <c r="CT2459" s="76"/>
      <c r="CU2459" s="56">
        <f>AN2459+AP2459+AR2459+AT2459+AV2459+AX2459+AZ2459+BB2459+BD2459+BF2459+BH2459+BJ2459+BL2459+BN2459+BP2459+BR2459+BT2459+BV2459+BX2459+BZ2459+CB2459+CD2459+CF2459+CH2459+CJ2459+CL2459+CN2459+CP2459+CR2459+CT2459</f>
        <v>0</v>
      </c>
      <c r="CV2459" s="76"/>
      <c r="CW2459" s="76">
        <f>+CV2459*1100</f>
        <v>0</v>
      </c>
      <c r="CX2459" s="76"/>
      <c r="CY2459" s="76">
        <f>+CX2459*106250</f>
        <v>0</v>
      </c>
      <c r="CZ2459" s="76"/>
      <c r="DA2459" s="76">
        <f>+CZ2459*34500</f>
        <v>0</v>
      </c>
      <c r="DB2459" s="76"/>
      <c r="DC2459" s="76">
        <f>+DB2459*25000</f>
        <v>0</v>
      </c>
      <c r="DD2459" s="219"/>
      <c r="DE2459" s="219"/>
      <c r="DF2459" s="166"/>
      <c r="DG2459" s="116"/>
      <c r="DH2459" s="117"/>
      <c r="DI2459" s="24"/>
      <c r="DJ2459" s="24"/>
      <c r="DK2459" s="24"/>
      <c r="DL2459" s="24"/>
      <c r="DM2459" s="24"/>
      <c r="DN2459" s="24"/>
      <c r="DO2459" s="24"/>
      <c r="DP2459" s="24"/>
      <c r="DQ2459" s="24"/>
      <c r="DR2459" s="24"/>
      <c r="DS2459" s="24"/>
      <c r="DT2459" s="24"/>
      <c r="DU2459" s="24"/>
    </row>
    <row r="2460" spans="1:125" s="8" customFormat="1" ht="108" x14ac:dyDescent="0.2">
      <c r="A2460" s="77">
        <v>41480</v>
      </c>
      <c r="B2460" s="78" t="s">
        <v>2772</v>
      </c>
      <c r="C2460" s="83" t="s">
        <v>1108</v>
      </c>
      <c r="D2460" s="75" t="s">
        <v>2846</v>
      </c>
      <c r="E2460" s="353" t="str">
        <f>VLOOKUP(B2460&amp;C2460,Divipola!$C$2:$F$1138,4,FALSE)</f>
        <v>25430</v>
      </c>
      <c r="F2460" s="93"/>
      <c r="G2460" s="93"/>
      <c r="H2460" s="93"/>
      <c r="I2460" s="93"/>
      <c r="J2460" s="93"/>
      <c r="K2460" s="93"/>
      <c r="L2460" s="93"/>
      <c r="M2460" s="93"/>
      <c r="N2460" s="93"/>
      <c r="O2460" s="93"/>
      <c r="P2460" s="93"/>
      <c r="Q2460" s="93"/>
      <c r="R2460" s="93"/>
      <c r="S2460" s="93"/>
      <c r="T2460" s="93"/>
      <c r="U2460" s="93" t="s">
        <v>5301</v>
      </c>
      <c r="V2460" s="89"/>
      <c r="W2460" s="96">
        <v>0</v>
      </c>
      <c r="X2460" s="71">
        <f>CU2460</f>
        <v>0</v>
      </c>
      <c r="Y2460" s="71">
        <f>CY2460</f>
        <v>0</v>
      </c>
      <c r="Z2460" s="71">
        <f>DA2460+DC2460+DE2460</f>
        <v>0</v>
      </c>
      <c r="AA2460" s="71">
        <f>CW2460</f>
        <v>0</v>
      </c>
      <c r="AB2460" s="71"/>
      <c r="AC2460" s="71">
        <v>0</v>
      </c>
      <c r="AD2460" s="71">
        <f>W2460+X2460+Y2460+Z2460+AA2460+AB2460+AC2460</f>
        <v>0</v>
      </c>
      <c r="AE2460" s="72">
        <v>0</v>
      </c>
      <c r="AF2460" s="5"/>
      <c r="AG2460" s="6"/>
      <c r="AH2460" s="27"/>
      <c r="AI2460" s="44"/>
      <c r="AJ2460" s="26"/>
      <c r="AK2460" s="5"/>
      <c r="AL2460" s="82" t="s">
        <v>5338</v>
      </c>
      <c r="AM2460" s="76"/>
      <c r="AN2460" s="76"/>
      <c r="AO2460" s="76"/>
      <c r="AP2460" s="76"/>
      <c r="AQ2460" s="76"/>
      <c r="AR2460" s="76"/>
      <c r="AS2460" s="76"/>
      <c r="AT2460" s="76"/>
      <c r="AU2460" s="76"/>
      <c r="AV2460" s="76"/>
      <c r="AW2460" s="76"/>
      <c r="AX2460" s="76">
        <f>+AW2460*600000</f>
        <v>0</v>
      </c>
      <c r="AY2460" s="76"/>
      <c r="AZ2460" s="76">
        <f>+AY2460*70000</f>
        <v>0</v>
      </c>
      <c r="BA2460" s="76"/>
      <c r="BB2460" s="76"/>
      <c r="BC2460" s="76"/>
      <c r="BD2460" s="76">
        <f>+BC2460*30000</f>
        <v>0</v>
      </c>
      <c r="BE2460" s="76"/>
      <c r="BF2460" s="76"/>
      <c r="BG2460" s="76"/>
      <c r="BH2460" s="76"/>
      <c r="BI2460" s="76"/>
      <c r="BJ2460" s="76"/>
      <c r="BK2460" s="76"/>
      <c r="BL2460" s="76">
        <f>+BK2460*31500</f>
        <v>0</v>
      </c>
      <c r="BM2460" s="76"/>
      <c r="BN2460" s="76"/>
      <c r="BO2460" s="76"/>
      <c r="BP2460" s="76"/>
      <c r="BQ2460" s="76"/>
      <c r="BR2460" s="76"/>
      <c r="BS2460" s="76"/>
      <c r="BT2460" s="76"/>
      <c r="BU2460" s="76"/>
      <c r="BV2460" s="76"/>
      <c r="BW2460" s="76"/>
      <c r="BX2460" s="76"/>
      <c r="BY2460" s="76"/>
      <c r="BZ2460" s="76"/>
      <c r="CA2460" s="76"/>
      <c r="CB2460" s="76"/>
      <c r="CC2460" s="76"/>
      <c r="CD2460" s="76"/>
      <c r="CE2460" s="76"/>
      <c r="CF2460" s="76">
        <f>+CE2460*28000</f>
        <v>0</v>
      </c>
      <c r="CG2460" s="76"/>
      <c r="CH2460" s="76">
        <f>+CG2460*22500</f>
        <v>0</v>
      </c>
      <c r="CI2460" s="76"/>
      <c r="CJ2460" s="76">
        <f>+CI2460*26000</f>
        <v>0</v>
      </c>
      <c r="CK2460" s="76"/>
      <c r="CL2460" s="76"/>
      <c r="CM2460" s="76"/>
      <c r="CN2460" s="76">
        <f>+CM2460*22000</f>
        <v>0</v>
      </c>
      <c r="CO2460" s="76"/>
      <c r="CP2460" s="76">
        <f>+CO2460*46000</f>
        <v>0</v>
      </c>
      <c r="CQ2460" s="76"/>
      <c r="CR2460" s="76">
        <f>+CQ2460*49000</f>
        <v>0</v>
      </c>
      <c r="CS2460" s="76"/>
      <c r="CT2460" s="76"/>
      <c r="CU2460" s="56">
        <f>AN2460+AP2460+AR2460+AT2460+AV2460+AX2460+AZ2460+BB2460+BD2460+BF2460+BH2460+BJ2460+BL2460+BN2460+BP2460+BR2460+BT2460+BV2460+BX2460+BZ2460+CB2460+CD2460+CF2460+CH2460+CJ2460+CL2460+CN2460+CP2460+CR2460+CT2460</f>
        <v>0</v>
      </c>
      <c r="CV2460" s="76"/>
      <c r="CW2460" s="76">
        <f>+CV2460*1100</f>
        <v>0</v>
      </c>
      <c r="CX2460" s="76"/>
      <c r="CY2460" s="76">
        <f>+CX2460*106250</f>
        <v>0</v>
      </c>
      <c r="CZ2460" s="76"/>
      <c r="DA2460" s="76">
        <f>+CZ2460*34500</f>
        <v>0</v>
      </c>
      <c r="DB2460" s="76"/>
      <c r="DC2460" s="76">
        <f>+DB2460*25000</f>
        <v>0</v>
      </c>
      <c r="DD2460" s="219"/>
      <c r="DE2460" s="219"/>
      <c r="DF2460" s="166"/>
      <c r="DG2460" s="116"/>
      <c r="DH2460" s="117"/>
      <c r="DI2460" s="24"/>
      <c r="DJ2460" s="24"/>
      <c r="DK2460" s="24"/>
      <c r="DL2460" s="24"/>
      <c r="DM2460" s="24"/>
      <c r="DN2460" s="24"/>
      <c r="DO2460" s="24"/>
      <c r="DP2460" s="24"/>
      <c r="DQ2460" s="24"/>
      <c r="DR2460" s="24"/>
      <c r="DS2460" s="24"/>
      <c r="DT2460" s="24"/>
      <c r="DU2460" s="24"/>
    </row>
    <row r="2461" spans="1:125" s="8" customFormat="1" ht="60" x14ac:dyDescent="0.2">
      <c r="A2461" s="353">
        <v>41480</v>
      </c>
      <c r="B2461" s="352" t="s">
        <v>2661</v>
      </c>
      <c r="C2461" s="354" t="s">
        <v>4</v>
      </c>
      <c r="D2461" s="354" t="s">
        <v>2846</v>
      </c>
      <c r="E2461" s="353" t="str">
        <f>VLOOKUP(B2461&amp;C2461,Divipola!$C$2:$F$1138,4,FALSE)</f>
        <v>41026</v>
      </c>
      <c r="F2461" s="87"/>
      <c r="G2461" s="87"/>
      <c r="H2461" s="87"/>
      <c r="I2461" s="87"/>
      <c r="J2461" s="87"/>
      <c r="K2461" s="87"/>
      <c r="L2461" s="87"/>
      <c r="M2461" s="87"/>
      <c r="N2461" s="87"/>
      <c r="O2461" s="87"/>
      <c r="P2461" s="87"/>
      <c r="Q2461" s="87"/>
      <c r="R2461" s="87"/>
      <c r="S2461" s="87"/>
      <c r="T2461" s="87"/>
      <c r="U2461" s="88">
        <v>0.5</v>
      </c>
      <c r="V2461" s="89"/>
      <c r="W2461" s="96">
        <v>0</v>
      </c>
      <c r="X2461" s="71">
        <f>CU2461</f>
        <v>0</v>
      </c>
      <c r="Y2461" s="71">
        <f>CY2461</f>
        <v>0</v>
      </c>
      <c r="Z2461" s="71">
        <f>DA2461+DC2461+DE2461</f>
        <v>0</v>
      </c>
      <c r="AA2461" s="71">
        <f>CW2461</f>
        <v>0</v>
      </c>
      <c r="AB2461" s="71"/>
      <c r="AC2461" s="71">
        <v>0</v>
      </c>
      <c r="AD2461" s="71">
        <f>W2461+X2461+Y2461+Z2461+AA2461+AB2461+AC2461</f>
        <v>0</v>
      </c>
      <c r="AE2461" s="72">
        <v>0</v>
      </c>
      <c r="AF2461" s="5"/>
      <c r="AG2461" s="6"/>
      <c r="AH2461" s="27"/>
      <c r="AI2461" s="44"/>
      <c r="AJ2461" s="26"/>
      <c r="AK2461" s="5"/>
      <c r="AL2461" s="82" t="s">
        <v>5344</v>
      </c>
      <c r="AM2461" s="76"/>
      <c r="AN2461" s="76"/>
      <c r="AO2461" s="76"/>
      <c r="AP2461" s="76"/>
      <c r="AQ2461" s="76"/>
      <c r="AR2461" s="76"/>
      <c r="AS2461" s="76"/>
      <c r="AT2461" s="76"/>
      <c r="AU2461" s="76"/>
      <c r="AV2461" s="76"/>
      <c r="AW2461" s="76"/>
      <c r="AX2461" s="76">
        <f>+AW2461*600000</f>
        <v>0</v>
      </c>
      <c r="AY2461" s="76"/>
      <c r="AZ2461" s="76">
        <f>+AY2461*70000</f>
        <v>0</v>
      </c>
      <c r="BA2461" s="76"/>
      <c r="BB2461" s="76"/>
      <c r="BC2461" s="76"/>
      <c r="BD2461" s="76">
        <f>+BC2461*30000</f>
        <v>0</v>
      </c>
      <c r="BE2461" s="76"/>
      <c r="BF2461" s="76"/>
      <c r="BG2461" s="76"/>
      <c r="BH2461" s="76"/>
      <c r="BI2461" s="76"/>
      <c r="BJ2461" s="76"/>
      <c r="BK2461" s="76"/>
      <c r="BL2461" s="76">
        <f>+BK2461*31500</f>
        <v>0</v>
      </c>
      <c r="BM2461" s="76"/>
      <c r="BN2461" s="76"/>
      <c r="BO2461" s="76"/>
      <c r="BP2461" s="76"/>
      <c r="BQ2461" s="76"/>
      <c r="BR2461" s="76"/>
      <c r="BS2461" s="76"/>
      <c r="BT2461" s="76"/>
      <c r="BU2461" s="76"/>
      <c r="BV2461" s="76"/>
      <c r="BW2461" s="76"/>
      <c r="BX2461" s="76"/>
      <c r="BY2461" s="76"/>
      <c r="BZ2461" s="76"/>
      <c r="CA2461" s="76"/>
      <c r="CB2461" s="76"/>
      <c r="CC2461" s="76"/>
      <c r="CD2461" s="76"/>
      <c r="CE2461" s="76"/>
      <c r="CF2461" s="76">
        <f>+CE2461*28000</f>
        <v>0</v>
      </c>
      <c r="CG2461" s="76"/>
      <c r="CH2461" s="76">
        <f>+CG2461*22500</f>
        <v>0</v>
      </c>
      <c r="CI2461" s="76"/>
      <c r="CJ2461" s="76">
        <f>+CI2461*26000</f>
        <v>0</v>
      </c>
      <c r="CK2461" s="76"/>
      <c r="CL2461" s="76"/>
      <c r="CM2461" s="76"/>
      <c r="CN2461" s="76">
        <f>+CM2461*22000</f>
        <v>0</v>
      </c>
      <c r="CO2461" s="76"/>
      <c r="CP2461" s="76">
        <f>+CO2461*46000</f>
        <v>0</v>
      </c>
      <c r="CQ2461" s="76"/>
      <c r="CR2461" s="76">
        <f>+CQ2461*49000</f>
        <v>0</v>
      </c>
      <c r="CS2461" s="76"/>
      <c r="CT2461" s="76"/>
      <c r="CU2461" s="56">
        <f>AN2461+AP2461+AR2461+AT2461+AV2461+AX2461+AZ2461+BB2461+BD2461+BF2461+BH2461+BJ2461+BL2461+BN2461+BP2461+BR2461+BT2461+BV2461+BX2461+BZ2461+CB2461+CD2461+CF2461+CH2461+CJ2461+CL2461+CN2461+CP2461+CR2461+CT2461</f>
        <v>0</v>
      </c>
      <c r="CV2461" s="76"/>
      <c r="CW2461" s="76">
        <f>+CV2461*1100</f>
        <v>0</v>
      </c>
      <c r="CX2461" s="76"/>
      <c r="CY2461" s="76">
        <f>+CX2461*106250</f>
        <v>0</v>
      </c>
      <c r="CZ2461" s="76"/>
      <c r="DA2461" s="76">
        <f>+CZ2461*34500</f>
        <v>0</v>
      </c>
      <c r="DB2461" s="76"/>
      <c r="DC2461" s="76">
        <f>+DB2461*25000</f>
        <v>0</v>
      </c>
      <c r="DD2461" s="219"/>
      <c r="DE2461" s="219"/>
      <c r="DF2461" s="166"/>
      <c r="DG2461" s="116"/>
      <c r="DH2461" s="117"/>
      <c r="DI2461" s="24"/>
      <c r="DJ2461" s="24"/>
      <c r="DK2461" s="24"/>
      <c r="DL2461" s="24"/>
      <c r="DM2461" s="24"/>
      <c r="DN2461" s="24"/>
      <c r="DO2461" s="24"/>
      <c r="DP2461" s="24"/>
      <c r="DQ2461" s="24"/>
      <c r="DR2461" s="24"/>
      <c r="DS2461" s="24"/>
      <c r="DT2461" s="24"/>
      <c r="DU2461" s="24"/>
    </row>
    <row r="2462" spans="1:125" s="8" customFormat="1" ht="99.75" customHeight="1" x14ac:dyDescent="0.2">
      <c r="A2462" s="353">
        <v>41480</v>
      </c>
      <c r="B2462" s="352" t="s">
        <v>2661</v>
      </c>
      <c r="C2462" s="354" t="s">
        <v>2082</v>
      </c>
      <c r="D2462" s="354" t="s">
        <v>3017</v>
      </c>
      <c r="E2462" s="353" t="str">
        <f>VLOOKUP(B2462&amp;C2462,Divipola!$C$2:$F$1138,4,FALSE)</f>
        <v>41357</v>
      </c>
      <c r="F2462" s="87">
        <v>5</v>
      </c>
      <c r="G2462" s="87"/>
      <c r="H2462" s="87"/>
      <c r="I2462" s="87">
        <v>5</v>
      </c>
      <c r="J2462" s="87"/>
      <c r="K2462" s="87"/>
      <c r="L2462" s="87"/>
      <c r="M2462" s="87"/>
      <c r="N2462" s="87"/>
      <c r="O2462" s="87"/>
      <c r="P2462" s="87"/>
      <c r="Q2462" s="87"/>
      <c r="R2462" s="87"/>
      <c r="S2462" s="87"/>
      <c r="T2462" s="87"/>
      <c r="U2462" s="88"/>
      <c r="V2462" s="89"/>
      <c r="W2462" s="96">
        <v>0</v>
      </c>
      <c r="X2462" s="71">
        <f>CU2462</f>
        <v>0</v>
      </c>
      <c r="Y2462" s="71">
        <f>CY2462</f>
        <v>0</v>
      </c>
      <c r="Z2462" s="71">
        <f>DA2462+DC2462+DE2462</f>
        <v>0</v>
      </c>
      <c r="AA2462" s="71">
        <f>CW2462</f>
        <v>0</v>
      </c>
      <c r="AB2462" s="71"/>
      <c r="AC2462" s="71">
        <v>0</v>
      </c>
      <c r="AD2462" s="71">
        <f>W2462+X2462+Y2462+Z2462+AA2462+AB2462+AC2462</f>
        <v>0</v>
      </c>
      <c r="AE2462" s="72">
        <v>0</v>
      </c>
      <c r="AF2462" s="5"/>
      <c r="AG2462" s="6"/>
      <c r="AH2462" s="27"/>
      <c r="AI2462" s="44"/>
      <c r="AJ2462" s="26"/>
      <c r="AK2462" s="5"/>
      <c r="AL2462" s="82" t="s">
        <v>5350</v>
      </c>
      <c r="AM2462" s="76"/>
      <c r="AN2462" s="76"/>
      <c r="AO2462" s="76"/>
      <c r="AP2462" s="76"/>
      <c r="AQ2462" s="76"/>
      <c r="AR2462" s="76"/>
      <c r="AS2462" s="76"/>
      <c r="AT2462" s="76"/>
      <c r="AU2462" s="76"/>
      <c r="AV2462" s="76"/>
      <c r="AW2462" s="76"/>
      <c r="AX2462" s="76">
        <f>+AW2462*600000</f>
        <v>0</v>
      </c>
      <c r="AY2462" s="76"/>
      <c r="AZ2462" s="76">
        <f>+AY2462*70000</f>
        <v>0</v>
      </c>
      <c r="BA2462" s="76"/>
      <c r="BB2462" s="76"/>
      <c r="BC2462" s="76"/>
      <c r="BD2462" s="76">
        <f>+BC2462*30000</f>
        <v>0</v>
      </c>
      <c r="BE2462" s="76"/>
      <c r="BF2462" s="76"/>
      <c r="BG2462" s="76"/>
      <c r="BH2462" s="76"/>
      <c r="BI2462" s="76"/>
      <c r="BJ2462" s="76"/>
      <c r="BK2462" s="76"/>
      <c r="BL2462" s="76">
        <f>+BK2462*31500</f>
        <v>0</v>
      </c>
      <c r="BM2462" s="76"/>
      <c r="BN2462" s="76"/>
      <c r="BO2462" s="76"/>
      <c r="BP2462" s="76"/>
      <c r="BQ2462" s="76"/>
      <c r="BR2462" s="76"/>
      <c r="BS2462" s="76"/>
      <c r="BT2462" s="76"/>
      <c r="BU2462" s="76"/>
      <c r="BV2462" s="76"/>
      <c r="BW2462" s="76"/>
      <c r="BX2462" s="76"/>
      <c r="BY2462" s="76"/>
      <c r="BZ2462" s="76"/>
      <c r="CA2462" s="76"/>
      <c r="CB2462" s="76"/>
      <c r="CC2462" s="76"/>
      <c r="CD2462" s="76"/>
      <c r="CE2462" s="76"/>
      <c r="CF2462" s="76">
        <f>+CE2462*28000</f>
        <v>0</v>
      </c>
      <c r="CG2462" s="76"/>
      <c r="CH2462" s="76">
        <f>+CG2462*22500</f>
        <v>0</v>
      </c>
      <c r="CI2462" s="76"/>
      <c r="CJ2462" s="76">
        <f>+CI2462*26000</f>
        <v>0</v>
      </c>
      <c r="CK2462" s="76"/>
      <c r="CL2462" s="76"/>
      <c r="CM2462" s="76"/>
      <c r="CN2462" s="76">
        <f>+CM2462*22000</f>
        <v>0</v>
      </c>
      <c r="CO2462" s="76"/>
      <c r="CP2462" s="76">
        <f>+CO2462*46000</f>
        <v>0</v>
      </c>
      <c r="CQ2462" s="76"/>
      <c r="CR2462" s="76">
        <f>+CQ2462*49000</f>
        <v>0</v>
      </c>
      <c r="CS2462" s="76"/>
      <c r="CT2462" s="76"/>
      <c r="CU2462" s="56">
        <f>AN2462+AP2462+AR2462+AT2462+AV2462+AX2462+AZ2462+BB2462+BD2462+BF2462+BH2462+BJ2462+BL2462+BN2462+BP2462+BR2462+BT2462+BV2462+BX2462+BZ2462+CB2462+CD2462+CF2462+CH2462+CJ2462+CL2462+CN2462+CP2462+CR2462+CT2462</f>
        <v>0</v>
      </c>
      <c r="CV2462" s="76"/>
      <c r="CW2462" s="76">
        <f>+CV2462*1100</f>
        <v>0</v>
      </c>
      <c r="CX2462" s="76"/>
      <c r="CY2462" s="76">
        <f>+CX2462*106250</f>
        <v>0</v>
      </c>
      <c r="CZ2462" s="76"/>
      <c r="DA2462" s="76">
        <f>+CZ2462*34500</f>
        <v>0</v>
      </c>
      <c r="DB2462" s="76"/>
      <c r="DC2462" s="76">
        <f>+DB2462*25000</f>
        <v>0</v>
      </c>
      <c r="DD2462" s="219"/>
      <c r="DE2462" s="219"/>
      <c r="DF2462" s="166"/>
      <c r="DG2462" s="116"/>
      <c r="DH2462" s="117"/>
      <c r="DI2462" s="24"/>
      <c r="DJ2462" s="24"/>
      <c r="DK2462" s="24"/>
      <c r="DL2462" s="24"/>
      <c r="DM2462" s="24"/>
      <c r="DN2462" s="24"/>
      <c r="DO2462" s="24"/>
      <c r="DP2462" s="24"/>
      <c r="DQ2462" s="24"/>
      <c r="DR2462" s="24"/>
      <c r="DS2462" s="24"/>
      <c r="DT2462" s="24"/>
      <c r="DU2462" s="24"/>
    </row>
    <row r="2463" spans="1:125" s="8" customFormat="1" ht="60" x14ac:dyDescent="0.2">
      <c r="A2463" s="353">
        <v>41480</v>
      </c>
      <c r="B2463" s="352" t="s">
        <v>2661</v>
      </c>
      <c r="C2463" s="354" t="s">
        <v>2</v>
      </c>
      <c r="D2463" s="354" t="s">
        <v>2846</v>
      </c>
      <c r="E2463" s="353" t="str">
        <f>VLOOKUP(B2463&amp;C2463,Divipola!$C$2:$F$1138,4,FALSE)</f>
        <v>41524</v>
      </c>
      <c r="F2463" s="87"/>
      <c r="G2463" s="87"/>
      <c r="H2463" s="87"/>
      <c r="I2463" s="87"/>
      <c r="J2463" s="87"/>
      <c r="K2463" s="87"/>
      <c r="L2463" s="87"/>
      <c r="M2463" s="87"/>
      <c r="N2463" s="87"/>
      <c r="O2463" s="87"/>
      <c r="P2463" s="87"/>
      <c r="Q2463" s="87"/>
      <c r="R2463" s="87"/>
      <c r="S2463" s="87"/>
      <c r="T2463" s="87"/>
      <c r="U2463" s="88">
        <v>1</v>
      </c>
      <c r="V2463" s="89"/>
      <c r="W2463" s="96">
        <v>0</v>
      </c>
      <c r="X2463" s="71">
        <f>CU2463</f>
        <v>0</v>
      </c>
      <c r="Y2463" s="71">
        <f>CY2463</f>
        <v>0</v>
      </c>
      <c r="Z2463" s="71">
        <f>DA2463+DC2463+DE2463</f>
        <v>0</v>
      </c>
      <c r="AA2463" s="71">
        <f>CW2463</f>
        <v>0</v>
      </c>
      <c r="AB2463" s="71"/>
      <c r="AC2463" s="71">
        <v>0</v>
      </c>
      <c r="AD2463" s="71">
        <f>W2463+X2463+Y2463+Z2463+AA2463+AB2463+AC2463</f>
        <v>0</v>
      </c>
      <c r="AE2463" s="72">
        <v>0</v>
      </c>
      <c r="AF2463" s="5"/>
      <c r="AG2463" s="6"/>
      <c r="AH2463" s="27"/>
      <c r="AI2463" s="44"/>
      <c r="AJ2463" s="26"/>
      <c r="AK2463" s="5"/>
      <c r="AL2463" s="82" t="s">
        <v>5343</v>
      </c>
      <c r="AM2463" s="76"/>
      <c r="AN2463" s="76"/>
      <c r="AO2463" s="76"/>
      <c r="AP2463" s="76"/>
      <c r="AQ2463" s="76"/>
      <c r="AR2463" s="76"/>
      <c r="AS2463" s="76"/>
      <c r="AT2463" s="76"/>
      <c r="AU2463" s="76"/>
      <c r="AV2463" s="76"/>
      <c r="AW2463" s="76"/>
      <c r="AX2463" s="76">
        <f>+AW2463*600000</f>
        <v>0</v>
      </c>
      <c r="AY2463" s="76"/>
      <c r="AZ2463" s="76">
        <f>+AY2463*70000</f>
        <v>0</v>
      </c>
      <c r="BA2463" s="76"/>
      <c r="BB2463" s="76"/>
      <c r="BC2463" s="76"/>
      <c r="BD2463" s="76">
        <f>+BC2463*30000</f>
        <v>0</v>
      </c>
      <c r="BE2463" s="76"/>
      <c r="BF2463" s="76"/>
      <c r="BG2463" s="76"/>
      <c r="BH2463" s="76"/>
      <c r="BI2463" s="76"/>
      <c r="BJ2463" s="76"/>
      <c r="BK2463" s="76"/>
      <c r="BL2463" s="76">
        <f>+BK2463*31500</f>
        <v>0</v>
      </c>
      <c r="BM2463" s="76"/>
      <c r="BN2463" s="76"/>
      <c r="BO2463" s="76"/>
      <c r="BP2463" s="76"/>
      <c r="BQ2463" s="76"/>
      <c r="BR2463" s="76"/>
      <c r="BS2463" s="76"/>
      <c r="BT2463" s="76"/>
      <c r="BU2463" s="76"/>
      <c r="BV2463" s="76"/>
      <c r="BW2463" s="76"/>
      <c r="BX2463" s="76"/>
      <c r="BY2463" s="76"/>
      <c r="BZ2463" s="76"/>
      <c r="CA2463" s="76"/>
      <c r="CB2463" s="76"/>
      <c r="CC2463" s="76"/>
      <c r="CD2463" s="76"/>
      <c r="CE2463" s="76"/>
      <c r="CF2463" s="76">
        <f>+CE2463*28000</f>
        <v>0</v>
      </c>
      <c r="CG2463" s="76"/>
      <c r="CH2463" s="76">
        <f>+CG2463*22500</f>
        <v>0</v>
      </c>
      <c r="CI2463" s="76"/>
      <c r="CJ2463" s="76">
        <f>+CI2463*26000</f>
        <v>0</v>
      </c>
      <c r="CK2463" s="76"/>
      <c r="CL2463" s="76"/>
      <c r="CM2463" s="76"/>
      <c r="CN2463" s="76">
        <f>+CM2463*22000</f>
        <v>0</v>
      </c>
      <c r="CO2463" s="76"/>
      <c r="CP2463" s="76">
        <f>+CO2463*46000</f>
        <v>0</v>
      </c>
      <c r="CQ2463" s="76"/>
      <c r="CR2463" s="76">
        <f>+CQ2463*49000</f>
        <v>0</v>
      </c>
      <c r="CS2463" s="76"/>
      <c r="CT2463" s="76"/>
      <c r="CU2463" s="56">
        <f>AN2463+AP2463+AR2463+AT2463+AV2463+AX2463+AZ2463+BB2463+BD2463+BF2463+BH2463+BJ2463+BL2463+BN2463+BP2463+BR2463+BT2463+BV2463+BX2463+BZ2463+CB2463+CD2463+CF2463+CH2463+CJ2463+CL2463+CN2463+CP2463+CR2463+CT2463</f>
        <v>0</v>
      </c>
      <c r="CV2463" s="76"/>
      <c r="CW2463" s="76">
        <f>+CV2463*1100</f>
        <v>0</v>
      </c>
      <c r="CX2463" s="76"/>
      <c r="CY2463" s="76">
        <f>+CX2463*106250</f>
        <v>0</v>
      </c>
      <c r="CZ2463" s="76"/>
      <c r="DA2463" s="76">
        <f>+CZ2463*34500</f>
        <v>0</v>
      </c>
      <c r="DB2463" s="76"/>
      <c r="DC2463" s="76">
        <f>+DB2463*25000</f>
        <v>0</v>
      </c>
      <c r="DD2463" s="219"/>
      <c r="DE2463" s="219"/>
      <c r="DF2463" s="166"/>
      <c r="DG2463" s="116"/>
      <c r="DH2463" s="117"/>
      <c r="DI2463" s="24"/>
      <c r="DJ2463" s="24"/>
      <c r="DK2463" s="24"/>
      <c r="DL2463" s="24"/>
      <c r="DM2463" s="24"/>
      <c r="DN2463" s="24"/>
      <c r="DO2463" s="24"/>
      <c r="DP2463" s="24"/>
      <c r="DQ2463" s="24"/>
      <c r="DR2463" s="24"/>
      <c r="DS2463" s="24"/>
      <c r="DT2463" s="24"/>
      <c r="DU2463" s="24"/>
    </row>
    <row r="2464" spans="1:125" s="8" customFormat="1" ht="84" x14ac:dyDescent="0.2">
      <c r="A2464" s="226">
        <v>41480</v>
      </c>
      <c r="B2464" s="225" t="s">
        <v>2811</v>
      </c>
      <c r="C2464" s="227" t="s">
        <v>2131</v>
      </c>
      <c r="D2464" s="354" t="s">
        <v>3051</v>
      </c>
      <c r="E2464" s="353" t="str">
        <f>VLOOKUP(B2464&amp;C2464,Divipola!$C$2:$F$1138,4,FALSE)</f>
        <v>52001</v>
      </c>
      <c r="F2464" s="87"/>
      <c r="G2464" s="87"/>
      <c r="H2464" s="87"/>
      <c r="I2464" s="87">
        <v>120</v>
      </c>
      <c r="J2464" s="87">
        <v>24</v>
      </c>
      <c r="K2464" s="87"/>
      <c r="L2464" s="87">
        <v>24</v>
      </c>
      <c r="M2464" s="87"/>
      <c r="N2464" s="87"/>
      <c r="O2464" s="87"/>
      <c r="P2464" s="87"/>
      <c r="Q2464" s="87"/>
      <c r="R2464" s="87"/>
      <c r="S2464" s="87"/>
      <c r="T2464" s="87"/>
      <c r="U2464" s="88"/>
      <c r="V2464" s="89">
        <v>5</v>
      </c>
      <c r="W2464" s="96">
        <v>0</v>
      </c>
      <c r="X2464" s="71">
        <f>CU2464</f>
        <v>0</v>
      </c>
      <c r="Y2464" s="71">
        <f>CY2464</f>
        <v>0</v>
      </c>
      <c r="Z2464" s="71">
        <f>DA2464+DC2464+DE2464</f>
        <v>0</v>
      </c>
      <c r="AA2464" s="71">
        <f>CW2464</f>
        <v>0</v>
      </c>
      <c r="AB2464" s="71"/>
      <c r="AC2464" s="71">
        <v>0</v>
      </c>
      <c r="AD2464" s="71">
        <f>W2464+X2464+Y2464+Z2464+AA2464+AB2464+AC2464</f>
        <v>0</v>
      </c>
      <c r="AE2464" s="72">
        <v>0</v>
      </c>
      <c r="AF2464" s="5"/>
      <c r="AG2464" s="6"/>
      <c r="AH2464" s="27"/>
      <c r="AI2464" s="44"/>
      <c r="AJ2464" s="26"/>
      <c r="AK2464" s="5"/>
      <c r="AL2464" s="82" t="s">
        <v>5369</v>
      </c>
      <c r="AM2464" s="76"/>
      <c r="AN2464" s="76"/>
      <c r="AO2464" s="76"/>
      <c r="AP2464" s="76"/>
      <c r="AQ2464" s="76"/>
      <c r="AR2464" s="76"/>
      <c r="AS2464" s="76"/>
      <c r="AT2464" s="76"/>
      <c r="AU2464" s="76"/>
      <c r="AV2464" s="76"/>
      <c r="AW2464" s="76"/>
      <c r="AX2464" s="76">
        <f>+AW2464*600000</f>
        <v>0</v>
      </c>
      <c r="AY2464" s="76"/>
      <c r="AZ2464" s="76">
        <f>+AY2464*70000</f>
        <v>0</v>
      </c>
      <c r="BA2464" s="76"/>
      <c r="BB2464" s="76"/>
      <c r="BC2464" s="76"/>
      <c r="BD2464" s="76">
        <f>+BC2464*30000</f>
        <v>0</v>
      </c>
      <c r="BE2464" s="76"/>
      <c r="BF2464" s="76"/>
      <c r="BG2464" s="76"/>
      <c r="BH2464" s="76"/>
      <c r="BI2464" s="76"/>
      <c r="BJ2464" s="76"/>
      <c r="BK2464" s="76"/>
      <c r="BL2464" s="76">
        <f>+BK2464*31500</f>
        <v>0</v>
      </c>
      <c r="BM2464" s="76"/>
      <c r="BN2464" s="76"/>
      <c r="BO2464" s="76"/>
      <c r="BP2464" s="76"/>
      <c r="BQ2464" s="76"/>
      <c r="BR2464" s="76"/>
      <c r="BS2464" s="76"/>
      <c r="BT2464" s="76"/>
      <c r="BU2464" s="76"/>
      <c r="BV2464" s="76"/>
      <c r="BW2464" s="76"/>
      <c r="BX2464" s="76"/>
      <c r="BY2464" s="76"/>
      <c r="BZ2464" s="76"/>
      <c r="CA2464" s="76"/>
      <c r="CB2464" s="76"/>
      <c r="CC2464" s="76"/>
      <c r="CD2464" s="76"/>
      <c r="CE2464" s="76"/>
      <c r="CF2464" s="76">
        <f>+CE2464*28000</f>
        <v>0</v>
      </c>
      <c r="CG2464" s="76"/>
      <c r="CH2464" s="76">
        <f>+CG2464*22500</f>
        <v>0</v>
      </c>
      <c r="CI2464" s="76"/>
      <c r="CJ2464" s="76">
        <f>+CI2464*26000</f>
        <v>0</v>
      </c>
      <c r="CK2464" s="76"/>
      <c r="CL2464" s="76"/>
      <c r="CM2464" s="76"/>
      <c r="CN2464" s="76">
        <f>+CM2464*22000</f>
        <v>0</v>
      </c>
      <c r="CO2464" s="76"/>
      <c r="CP2464" s="76">
        <f>+CO2464*46000</f>
        <v>0</v>
      </c>
      <c r="CQ2464" s="76"/>
      <c r="CR2464" s="76">
        <f>+CQ2464*49000</f>
        <v>0</v>
      </c>
      <c r="CS2464" s="76"/>
      <c r="CT2464" s="76"/>
      <c r="CU2464" s="56">
        <f>AN2464+AP2464+AR2464+AT2464+AV2464+AX2464+AZ2464+BB2464+BD2464+BF2464+BH2464+BJ2464+BL2464+BN2464+BP2464+BR2464+BT2464+BV2464+BX2464+BZ2464+CB2464+CD2464+CF2464+CH2464+CJ2464+CL2464+CN2464+CP2464+CR2464+CT2464</f>
        <v>0</v>
      </c>
      <c r="CV2464" s="76"/>
      <c r="CW2464" s="76">
        <f>+CV2464*1100</f>
        <v>0</v>
      </c>
      <c r="CX2464" s="76"/>
      <c r="CY2464" s="76">
        <f>+CX2464*106250</f>
        <v>0</v>
      </c>
      <c r="CZ2464" s="76"/>
      <c r="DA2464" s="76">
        <f>+CZ2464*34500</f>
        <v>0</v>
      </c>
      <c r="DB2464" s="76"/>
      <c r="DC2464" s="76">
        <f>+DB2464*25000</f>
        <v>0</v>
      </c>
      <c r="DD2464" s="219"/>
      <c r="DE2464" s="219"/>
      <c r="DF2464" s="166"/>
      <c r="DG2464" s="116"/>
      <c r="DH2464" s="117"/>
      <c r="DI2464" s="24"/>
      <c r="DJ2464" s="24"/>
      <c r="DK2464" s="24"/>
      <c r="DL2464" s="24"/>
      <c r="DM2464" s="24"/>
      <c r="DN2464" s="24"/>
      <c r="DO2464" s="24"/>
      <c r="DP2464" s="24"/>
      <c r="DQ2464" s="24"/>
      <c r="DR2464" s="24"/>
      <c r="DS2464" s="24"/>
      <c r="DT2464" s="24"/>
      <c r="DU2464" s="24"/>
    </row>
    <row r="2465" spans="1:125" s="8" customFormat="1" ht="24" x14ac:dyDescent="0.2">
      <c r="A2465" s="353">
        <v>41480</v>
      </c>
      <c r="B2465" s="352" t="s">
        <v>2811</v>
      </c>
      <c r="C2465" s="354" t="s">
        <v>2131</v>
      </c>
      <c r="D2465" s="354" t="s">
        <v>2882</v>
      </c>
      <c r="E2465" s="353" t="str">
        <f>VLOOKUP(B2465&amp;C2465,Divipola!$C$2:$F$1138,4,FALSE)</f>
        <v>52001</v>
      </c>
      <c r="F2465" s="87"/>
      <c r="G2465" s="87"/>
      <c r="H2465" s="87"/>
      <c r="I2465" s="87">
        <v>10</v>
      </c>
      <c r="J2465" s="87">
        <v>2</v>
      </c>
      <c r="K2465" s="87"/>
      <c r="L2465" s="87">
        <v>2</v>
      </c>
      <c r="M2465" s="87"/>
      <c r="N2465" s="87"/>
      <c r="O2465" s="87"/>
      <c r="P2465" s="87"/>
      <c r="Q2465" s="87"/>
      <c r="R2465" s="87"/>
      <c r="S2465" s="87"/>
      <c r="T2465" s="87"/>
      <c r="U2465" s="88"/>
      <c r="V2465" s="89"/>
      <c r="W2465" s="96">
        <v>0</v>
      </c>
      <c r="X2465" s="71">
        <f>CU2465</f>
        <v>0</v>
      </c>
      <c r="Y2465" s="71">
        <f>CY2465</f>
        <v>0</v>
      </c>
      <c r="Z2465" s="71">
        <f>DA2465+DC2465+DE2465</f>
        <v>0</v>
      </c>
      <c r="AA2465" s="71">
        <f>CW2465</f>
        <v>0</v>
      </c>
      <c r="AB2465" s="71"/>
      <c r="AC2465" s="71">
        <v>0</v>
      </c>
      <c r="AD2465" s="71">
        <f>W2465+X2465+Y2465+Z2465+AA2465+AB2465+AC2465</f>
        <v>0</v>
      </c>
      <c r="AE2465" s="72">
        <v>0</v>
      </c>
      <c r="AF2465" s="5"/>
      <c r="AG2465" s="6"/>
      <c r="AH2465" s="27"/>
      <c r="AI2465" s="44"/>
      <c r="AJ2465" s="26"/>
      <c r="AK2465" s="5"/>
      <c r="AL2465" s="82" t="s">
        <v>5345</v>
      </c>
      <c r="AM2465" s="76"/>
      <c r="AN2465" s="76"/>
      <c r="AO2465" s="76"/>
      <c r="AP2465" s="76"/>
      <c r="AQ2465" s="76"/>
      <c r="AR2465" s="76"/>
      <c r="AS2465" s="76"/>
      <c r="AT2465" s="76"/>
      <c r="AU2465" s="76"/>
      <c r="AV2465" s="76"/>
      <c r="AW2465" s="76"/>
      <c r="AX2465" s="76">
        <f>+AW2465*600000</f>
        <v>0</v>
      </c>
      <c r="AY2465" s="76"/>
      <c r="AZ2465" s="76">
        <f>+AY2465*70000</f>
        <v>0</v>
      </c>
      <c r="BA2465" s="76"/>
      <c r="BB2465" s="76"/>
      <c r="BC2465" s="76"/>
      <c r="BD2465" s="76">
        <f>+BC2465*30000</f>
        <v>0</v>
      </c>
      <c r="BE2465" s="76"/>
      <c r="BF2465" s="76"/>
      <c r="BG2465" s="76"/>
      <c r="BH2465" s="76"/>
      <c r="BI2465" s="76"/>
      <c r="BJ2465" s="76"/>
      <c r="BK2465" s="76"/>
      <c r="BL2465" s="76">
        <f>+BK2465*31500</f>
        <v>0</v>
      </c>
      <c r="BM2465" s="76"/>
      <c r="BN2465" s="76"/>
      <c r="BO2465" s="76"/>
      <c r="BP2465" s="76"/>
      <c r="BQ2465" s="76"/>
      <c r="BR2465" s="76"/>
      <c r="BS2465" s="76"/>
      <c r="BT2465" s="76"/>
      <c r="BU2465" s="76"/>
      <c r="BV2465" s="76"/>
      <c r="BW2465" s="76"/>
      <c r="BX2465" s="76"/>
      <c r="BY2465" s="76"/>
      <c r="BZ2465" s="76"/>
      <c r="CA2465" s="76"/>
      <c r="CB2465" s="76"/>
      <c r="CC2465" s="76"/>
      <c r="CD2465" s="76"/>
      <c r="CE2465" s="76"/>
      <c r="CF2465" s="76">
        <f>+CE2465*28000</f>
        <v>0</v>
      </c>
      <c r="CG2465" s="76"/>
      <c r="CH2465" s="76">
        <f>+CG2465*22500</f>
        <v>0</v>
      </c>
      <c r="CI2465" s="76"/>
      <c r="CJ2465" s="76">
        <f>+CI2465*26000</f>
        <v>0</v>
      </c>
      <c r="CK2465" s="76"/>
      <c r="CL2465" s="76"/>
      <c r="CM2465" s="76"/>
      <c r="CN2465" s="76">
        <f>+CM2465*22000</f>
        <v>0</v>
      </c>
      <c r="CO2465" s="76"/>
      <c r="CP2465" s="76">
        <f>+CO2465*46000</f>
        <v>0</v>
      </c>
      <c r="CQ2465" s="76"/>
      <c r="CR2465" s="76">
        <f>+CQ2465*49000</f>
        <v>0</v>
      </c>
      <c r="CS2465" s="76"/>
      <c r="CT2465" s="76"/>
      <c r="CU2465" s="56">
        <f>AN2465+AP2465+AR2465+AT2465+AV2465+AX2465+AZ2465+BB2465+BD2465+BF2465+BH2465+BJ2465+BL2465+BN2465+BP2465+BR2465+BT2465+BV2465+BX2465+BZ2465+CB2465+CD2465+CF2465+CH2465+CJ2465+CL2465+CN2465+CP2465+CR2465+CT2465</f>
        <v>0</v>
      </c>
      <c r="CV2465" s="76"/>
      <c r="CW2465" s="76">
        <f>+CV2465*1100</f>
        <v>0</v>
      </c>
      <c r="CX2465" s="76"/>
      <c r="CY2465" s="76">
        <f>+CX2465*106250</f>
        <v>0</v>
      </c>
      <c r="CZ2465" s="76"/>
      <c r="DA2465" s="76">
        <f>+CZ2465*34500</f>
        <v>0</v>
      </c>
      <c r="DB2465" s="76"/>
      <c r="DC2465" s="76">
        <f>+DB2465*25000</f>
        <v>0</v>
      </c>
      <c r="DD2465" s="219"/>
      <c r="DE2465" s="219"/>
      <c r="DF2465" s="166"/>
      <c r="DG2465" s="116"/>
      <c r="DH2465" s="117"/>
      <c r="DI2465" s="24"/>
      <c r="DJ2465" s="24"/>
      <c r="DK2465" s="24"/>
      <c r="DL2465" s="24"/>
      <c r="DM2465" s="24"/>
      <c r="DN2465" s="24"/>
      <c r="DO2465" s="24"/>
      <c r="DP2465" s="24"/>
      <c r="DQ2465" s="24"/>
      <c r="DR2465" s="24"/>
      <c r="DS2465" s="24"/>
      <c r="DT2465" s="24"/>
      <c r="DU2465" s="24"/>
    </row>
    <row r="2466" spans="1:125" s="8" customFormat="1" ht="48" x14ac:dyDescent="0.2">
      <c r="A2466" s="353">
        <v>41480</v>
      </c>
      <c r="B2466" s="352" t="s">
        <v>2880</v>
      </c>
      <c r="C2466" s="354" t="s">
        <v>499</v>
      </c>
      <c r="D2466" s="354" t="s">
        <v>2846</v>
      </c>
      <c r="E2466" s="353" t="str">
        <f>VLOOKUP(B2466&amp;C2466,Divipola!$C$2:$F$1138,4,FALSE)</f>
        <v>54003</v>
      </c>
      <c r="F2466" s="87"/>
      <c r="G2466" s="87"/>
      <c r="H2466" s="87"/>
      <c r="I2466" s="87"/>
      <c r="J2466" s="87"/>
      <c r="K2466" s="87"/>
      <c r="L2466" s="87"/>
      <c r="M2466" s="87"/>
      <c r="N2466" s="87"/>
      <c r="O2466" s="87"/>
      <c r="P2466" s="87"/>
      <c r="Q2466" s="87"/>
      <c r="R2466" s="87"/>
      <c r="S2466" s="87"/>
      <c r="T2466" s="87"/>
      <c r="U2466" s="88"/>
      <c r="V2466" s="89"/>
      <c r="W2466" s="96">
        <v>0</v>
      </c>
      <c r="X2466" s="71">
        <f>CU2466</f>
        <v>0</v>
      </c>
      <c r="Y2466" s="71">
        <f>CY2466</f>
        <v>0</v>
      </c>
      <c r="Z2466" s="71">
        <f>DA2466+DC2466+DE2466</f>
        <v>0</v>
      </c>
      <c r="AA2466" s="71">
        <f>CW2466</f>
        <v>0</v>
      </c>
      <c r="AB2466" s="71"/>
      <c r="AC2466" s="71">
        <v>0</v>
      </c>
      <c r="AD2466" s="71">
        <f>W2466+X2466+Y2466+Z2466+AA2466+AB2466+AC2466</f>
        <v>0</v>
      </c>
      <c r="AE2466" s="72">
        <v>0</v>
      </c>
      <c r="AF2466" s="5"/>
      <c r="AG2466" s="6"/>
      <c r="AH2466" s="27"/>
      <c r="AI2466" s="44"/>
      <c r="AJ2466" s="26"/>
      <c r="AK2466" s="5"/>
      <c r="AL2466" s="82" t="s">
        <v>5346</v>
      </c>
      <c r="AM2466" s="76"/>
      <c r="AN2466" s="76"/>
      <c r="AO2466" s="76"/>
      <c r="AP2466" s="76"/>
      <c r="AQ2466" s="76"/>
      <c r="AR2466" s="76"/>
      <c r="AS2466" s="76"/>
      <c r="AT2466" s="76"/>
      <c r="AU2466" s="76"/>
      <c r="AV2466" s="76"/>
      <c r="AW2466" s="76"/>
      <c r="AX2466" s="76">
        <f>+AW2466*600000</f>
        <v>0</v>
      </c>
      <c r="AY2466" s="76"/>
      <c r="AZ2466" s="76">
        <f>+AY2466*70000</f>
        <v>0</v>
      </c>
      <c r="BA2466" s="76"/>
      <c r="BB2466" s="76"/>
      <c r="BC2466" s="76"/>
      <c r="BD2466" s="76">
        <f>+BC2466*30000</f>
        <v>0</v>
      </c>
      <c r="BE2466" s="76"/>
      <c r="BF2466" s="76"/>
      <c r="BG2466" s="76"/>
      <c r="BH2466" s="76"/>
      <c r="BI2466" s="76"/>
      <c r="BJ2466" s="76"/>
      <c r="BK2466" s="76"/>
      <c r="BL2466" s="76">
        <f>+BK2466*31500</f>
        <v>0</v>
      </c>
      <c r="BM2466" s="76"/>
      <c r="BN2466" s="76"/>
      <c r="BO2466" s="76"/>
      <c r="BP2466" s="76"/>
      <c r="BQ2466" s="76"/>
      <c r="BR2466" s="76"/>
      <c r="BS2466" s="76"/>
      <c r="BT2466" s="76"/>
      <c r="BU2466" s="76"/>
      <c r="BV2466" s="76"/>
      <c r="BW2466" s="76"/>
      <c r="BX2466" s="76"/>
      <c r="BY2466" s="76"/>
      <c r="BZ2466" s="76"/>
      <c r="CA2466" s="76"/>
      <c r="CB2466" s="76"/>
      <c r="CC2466" s="76"/>
      <c r="CD2466" s="76"/>
      <c r="CE2466" s="76"/>
      <c r="CF2466" s="76">
        <f>+CE2466*28000</f>
        <v>0</v>
      </c>
      <c r="CG2466" s="76"/>
      <c r="CH2466" s="76">
        <f>+CG2466*22500</f>
        <v>0</v>
      </c>
      <c r="CI2466" s="76"/>
      <c r="CJ2466" s="76">
        <f>+CI2466*26000</f>
        <v>0</v>
      </c>
      <c r="CK2466" s="76"/>
      <c r="CL2466" s="76"/>
      <c r="CM2466" s="76"/>
      <c r="CN2466" s="76">
        <f>+CM2466*22000</f>
        <v>0</v>
      </c>
      <c r="CO2466" s="76"/>
      <c r="CP2466" s="76">
        <f>+CO2466*46000</f>
        <v>0</v>
      </c>
      <c r="CQ2466" s="76"/>
      <c r="CR2466" s="76">
        <f>+CQ2466*49000</f>
        <v>0</v>
      </c>
      <c r="CS2466" s="76"/>
      <c r="CT2466" s="76"/>
      <c r="CU2466" s="56">
        <f>AN2466+AP2466+AR2466+AT2466+AV2466+AX2466+AZ2466+BB2466+BD2466+BF2466+BH2466+BJ2466+BL2466+BN2466+BP2466+BR2466+BT2466+BV2466+BX2466+BZ2466+CB2466+CD2466+CF2466+CH2466+CJ2466+CL2466+CN2466+CP2466+CR2466+CT2466</f>
        <v>0</v>
      </c>
      <c r="CV2466" s="76"/>
      <c r="CW2466" s="76">
        <f>+CV2466*1100</f>
        <v>0</v>
      </c>
      <c r="CX2466" s="76"/>
      <c r="CY2466" s="76">
        <f>+CX2466*106250</f>
        <v>0</v>
      </c>
      <c r="CZ2466" s="76"/>
      <c r="DA2466" s="76">
        <f>+CZ2466*34500</f>
        <v>0</v>
      </c>
      <c r="DB2466" s="76"/>
      <c r="DC2466" s="76">
        <f>+DB2466*25000</f>
        <v>0</v>
      </c>
      <c r="DD2466" s="219"/>
      <c r="DE2466" s="219"/>
      <c r="DF2466" s="166"/>
      <c r="DG2466" s="116"/>
      <c r="DH2466" s="117"/>
      <c r="DI2466" s="24"/>
      <c r="DJ2466" s="24"/>
      <c r="DK2466" s="24"/>
      <c r="DL2466" s="24"/>
      <c r="DM2466" s="24"/>
      <c r="DN2466" s="24"/>
      <c r="DO2466" s="24"/>
      <c r="DP2466" s="24"/>
      <c r="DQ2466" s="24"/>
      <c r="DR2466" s="24"/>
      <c r="DS2466" s="24"/>
      <c r="DT2466" s="24"/>
      <c r="DU2466" s="24"/>
    </row>
    <row r="2467" spans="1:125" s="8" customFormat="1" ht="120" x14ac:dyDescent="0.2">
      <c r="A2467" s="97">
        <v>41480</v>
      </c>
      <c r="B2467" s="60" t="s">
        <v>3131</v>
      </c>
      <c r="C2467" s="55" t="s">
        <v>2747</v>
      </c>
      <c r="D2467" s="55" t="s">
        <v>3051</v>
      </c>
      <c r="E2467" s="353" t="str">
        <f>VLOOKUP(B2467&amp;C2467,Divipola!$C$2:$F$1138,4,FALSE)</f>
        <v>86001</v>
      </c>
      <c r="F2467" s="87">
        <v>3</v>
      </c>
      <c r="G2467" s="87"/>
      <c r="H2467" s="87"/>
      <c r="I2467" s="87">
        <v>25</v>
      </c>
      <c r="J2467" s="87">
        <v>5</v>
      </c>
      <c r="K2467" s="87">
        <v>5</v>
      </c>
      <c r="L2467" s="87"/>
      <c r="M2467" s="87"/>
      <c r="N2467" s="87"/>
      <c r="O2467" s="87"/>
      <c r="P2467" s="87"/>
      <c r="Q2467" s="87"/>
      <c r="R2467" s="87"/>
      <c r="S2467" s="87"/>
      <c r="T2467" s="87"/>
      <c r="U2467" s="88"/>
      <c r="V2467" s="89"/>
      <c r="W2467" s="96">
        <v>0</v>
      </c>
      <c r="X2467" s="71">
        <f>CU2467</f>
        <v>0</v>
      </c>
      <c r="Y2467" s="71">
        <f>CY2467</f>
        <v>0</v>
      </c>
      <c r="Z2467" s="71">
        <f>DA2467+DC2467+DE2467</f>
        <v>0</v>
      </c>
      <c r="AA2467" s="71">
        <f>CW2467</f>
        <v>0</v>
      </c>
      <c r="AB2467" s="71"/>
      <c r="AC2467" s="71">
        <v>0</v>
      </c>
      <c r="AD2467" s="71">
        <f>W2467+X2467+Y2467+Z2467+AA2467+AB2467+AC2467</f>
        <v>0</v>
      </c>
      <c r="AE2467" s="72">
        <v>0</v>
      </c>
      <c r="AF2467" s="5"/>
      <c r="AG2467" s="6"/>
      <c r="AH2467" s="27" t="s">
        <v>3390</v>
      </c>
      <c r="AI2467" s="44" t="s">
        <v>3391</v>
      </c>
      <c r="AJ2467" s="26"/>
      <c r="AK2467" s="5"/>
      <c r="AL2467" s="82" t="s">
        <v>5360</v>
      </c>
      <c r="AM2467" s="76"/>
      <c r="AN2467" s="76"/>
      <c r="AO2467" s="76"/>
      <c r="AP2467" s="76"/>
      <c r="AQ2467" s="76"/>
      <c r="AR2467" s="76"/>
      <c r="AS2467" s="76"/>
      <c r="AT2467" s="76"/>
      <c r="AU2467" s="76"/>
      <c r="AV2467" s="76"/>
      <c r="AW2467" s="76"/>
      <c r="AX2467" s="76">
        <f>+AW2467*600000</f>
        <v>0</v>
      </c>
      <c r="AY2467" s="76"/>
      <c r="AZ2467" s="76">
        <f>+AY2467*70000</f>
        <v>0</v>
      </c>
      <c r="BA2467" s="76"/>
      <c r="BB2467" s="76"/>
      <c r="BC2467" s="76"/>
      <c r="BD2467" s="76">
        <f>+BC2467*30000</f>
        <v>0</v>
      </c>
      <c r="BE2467" s="76"/>
      <c r="BF2467" s="76"/>
      <c r="BG2467" s="76"/>
      <c r="BH2467" s="76"/>
      <c r="BI2467" s="76"/>
      <c r="BJ2467" s="76"/>
      <c r="BK2467" s="76"/>
      <c r="BL2467" s="76">
        <f>+BK2467*31500</f>
        <v>0</v>
      </c>
      <c r="BM2467" s="76"/>
      <c r="BN2467" s="76"/>
      <c r="BO2467" s="76"/>
      <c r="BP2467" s="76"/>
      <c r="BQ2467" s="76"/>
      <c r="BR2467" s="76"/>
      <c r="BS2467" s="76"/>
      <c r="BT2467" s="76"/>
      <c r="BU2467" s="76"/>
      <c r="BV2467" s="76"/>
      <c r="BW2467" s="76"/>
      <c r="BX2467" s="76"/>
      <c r="BY2467" s="76"/>
      <c r="BZ2467" s="76"/>
      <c r="CA2467" s="76"/>
      <c r="CB2467" s="76"/>
      <c r="CC2467" s="76"/>
      <c r="CD2467" s="76"/>
      <c r="CE2467" s="76"/>
      <c r="CF2467" s="76">
        <f>+CE2467*28000</f>
        <v>0</v>
      </c>
      <c r="CG2467" s="76"/>
      <c r="CH2467" s="76">
        <f>+CG2467*22500</f>
        <v>0</v>
      </c>
      <c r="CI2467" s="76"/>
      <c r="CJ2467" s="76">
        <f>+CI2467*26000</f>
        <v>0</v>
      </c>
      <c r="CK2467" s="76"/>
      <c r="CL2467" s="76"/>
      <c r="CM2467" s="76"/>
      <c r="CN2467" s="76">
        <f>+CM2467*22000</f>
        <v>0</v>
      </c>
      <c r="CO2467" s="76"/>
      <c r="CP2467" s="76">
        <f>+CO2467*46000</f>
        <v>0</v>
      </c>
      <c r="CQ2467" s="76"/>
      <c r="CR2467" s="76">
        <f>+CQ2467*49000</f>
        <v>0</v>
      </c>
      <c r="CS2467" s="76"/>
      <c r="CT2467" s="76"/>
      <c r="CU2467" s="56">
        <f>AN2467+AP2467+AR2467+AT2467+AV2467+AX2467+AZ2467+BB2467+BD2467+BF2467+BH2467+BJ2467+BL2467+BN2467+BP2467+BR2467+BT2467+BV2467+BX2467+BZ2467+CB2467+CD2467+CF2467+CH2467+CJ2467+CL2467+CN2467+CP2467+CR2467+CT2467</f>
        <v>0</v>
      </c>
      <c r="CV2467" s="76"/>
      <c r="CW2467" s="76">
        <f>+CV2467*1100</f>
        <v>0</v>
      </c>
      <c r="CX2467" s="76"/>
      <c r="CY2467" s="76">
        <f>+CX2467*106250</f>
        <v>0</v>
      </c>
      <c r="CZ2467" s="76"/>
      <c r="DA2467" s="76">
        <f>+CZ2467*34500</f>
        <v>0</v>
      </c>
      <c r="DB2467" s="76"/>
      <c r="DC2467" s="76">
        <f>+DB2467*25000</f>
        <v>0</v>
      </c>
      <c r="DD2467" s="219"/>
      <c r="DE2467" s="219"/>
      <c r="DF2467" s="166"/>
      <c r="DG2467" s="116"/>
      <c r="DH2467" s="117"/>
      <c r="DI2467" s="24"/>
      <c r="DJ2467" s="24"/>
      <c r="DK2467" s="24"/>
      <c r="DL2467" s="24"/>
      <c r="DM2467" s="24"/>
      <c r="DN2467" s="24"/>
      <c r="DO2467" s="24"/>
      <c r="DP2467" s="24"/>
      <c r="DQ2467" s="24"/>
      <c r="DR2467" s="24"/>
      <c r="DS2467" s="24"/>
      <c r="DT2467" s="24"/>
      <c r="DU2467" s="24"/>
    </row>
    <row r="2468" spans="1:125" s="8" customFormat="1" ht="120" x14ac:dyDescent="0.2">
      <c r="A2468" s="226">
        <v>41480</v>
      </c>
      <c r="B2468" s="60" t="s">
        <v>3131</v>
      </c>
      <c r="C2468" s="55" t="s">
        <v>2689</v>
      </c>
      <c r="D2468" s="55" t="s">
        <v>3051</v>
      </c>
      <c r="E2468" s="353" t="str">
        <f>VLOOKUP(B2468&amp;C2468,Divipola!$C$2:$F$1138,4,FALSE)</f>
        <v>86320</v>
      </c>
      <c r="F2468" s="87"/>
      <c r="G2468" s="87"/>
      <c r="H2468" s="87"/>
      <c r="I2468" s="87"/>
      <c r="J2468" s="87"/>
      <c r="K2468" s="87"/>
      <c r="L2468" s="87"/>
      <c r="M2468" s="87"/>
      <c r="N2468" s="87"/>
      <c r="O2468" s="87"/>
      <c r="P2468" s="87"/>
      <c r="Q2468" s="87"/>
      <c r="R2468" s="87"/>
      <c r="S2468" s="87"/>
      <c r="T2468" s="87"/>
      <c r="U2468" s="88"/>
      <c r="V2468" s="89"/>
      <c r="W2468" s="96">
        <v>0</v>
      </c>
      <c r="X2468" s="71">
        <f>CU2468</f>
        <v>0</v>
      </c>
      <c r="Y2468" s="71">
        <f>CY2468</f>
        <v>0</v>
      </c>
      <c r="Z2468" s="71">
        <f>DA2468+DC2468+DE2468</f>
        <v>0</v>
      </c>
      <c r="AA2468" s="71">
        <f>CW2468</f>
        <v>0</v>
      </c>
      <c r="AB2468" s="71"/>
      <c r="AC2468" s="71">
        <v>0</v>
      </c>
      <c r="AD2468" s="71">
        <f>W2468+X2468+Y2468+Z2468+AA2468+AB2468+AC2468</f>
        <v>0</v>
      </c>
      <c r="AE2468" s="72">
        <v>0</v>
      </c>
      <c r="AF2468" s="5"/>
      <c r="AG2468" s="6"/>
      <c r="AH2468" s="27"/>
      <c r="AI2468" s="44"/>
      <c r="AJ2468" s="26"/>
      <c r="AK2468" s="5"/>
      <c r="AL2468" s="82" t="s">
        <v>5348</v>
      </c>
      <c r="AM2468" s="76"/>
      <c r="AN2468" s="76"/>
      <c r="AO2468" s="76"/>
      <c r="AP2468" s="76"/>
      <c r="AQ2468" s="76"/>
      <c r="AR2468" s="76"/>
      <c r="AS2468" s="76"/>
      <c r="AT2468" s="76"/>
      <c r="AU2468" s="76"/>
      <c r="AV2468" s="76"/>
      <c r="AW2468" s="76"/>
      <c r="AX2468" s="76">
        <f>+AW2468*600000</f>
        <v>0</v>
      </c>
      <c r="AY2468" s="76"/>
      <c r="AZ2468" s="76">
        <f>+AY2468*70000</f>
        <v>0</v>
      </c>
      <c r="BA2468" s="76"/>
      <c r="BB2468" s="76"/>
      <c r="BC2468" s="76"/>
      <c r="BD2468" s="76">
        <f>+BC2468*30000</f>
        <v>0</v>
      </c>
      <c r="BE2468" s="76"/>
      <c r="BF2468" s="76"/>
      <c r="BG2468" s="76"/>
      <c r="BH2468" s="76"/>
      <c r="BI2468" s="76"/>
      <c r="BJ2468" s="76"/>
      <c r="BK2468" s="76"/>
      <c r="BL2468" s="76">
        <f>+BK2468*31500</f>
        <v>0</v>
      </c>
      <c r="BM2468" s="76"/>
      <c r="BN2468" s="76"/>
      <c r="BO2468" s="76"/>
      <c r="BP2468" s="76"/>
      <c r="BQ2468" s="76"/>
      <c r="BR2468" s="76"/>
      <c r="BS2468" s="76"/>
      <c r="BT2468" s="76"/>
      <c r="BU2468" s="76"/>
      <c r="BV2468" s="76"/>
      <c r="BW2468" s="76"/>
      <c r="BX2468" s="76"/>
      <c r="BY2468" s="76"/>
      <c r="BZ2468" s="76"/>
      <c r="CA2468" s="76"/>
      <c r="CB2468" s="76"/>
      <c r="CC2468" s="76"/>
      <c r="CD2468" s="76"/>
      <c r="CE2468" s="76"/>
      <c r="CF2468" s="76">
        <f>+CE2468*28000</f>
        <v>0</v>
      </c>
      <c r="CG2468" s="76"/>
      <c r="CH2468" s="76">
        <f>+CG2468*22500</f>
        <v>0</v>
      </c>
      <c r="CI2468" s="76"/>
      <c r="CJ2468" s="76">
        <f>+CI2468*26000</f>
        <v>0</v>
      </c>
      <c r="CK2468" s="76"/>
      <c r="CL2468" s="76"/>
      <c r="CM2468" s="76"/>
      <c r="CN2468" s="76">
        <f>+CM2468*22000</f>
        <v>0</v>
      </c>
      <c r="CO2468" s="76"/>
      <c r="CP2468" s="76">
        <f>+CO2468*46000</f>
        <v>0</v>
      </c>
      <c r="CQ2468" s="76"/>
      <c r="CR2468" s="76">
        <f>+CQ2468*49000</f>
        <v>0</v>
      </c>
      <c r="CS2468" s="76"/>
      <c r="CT2468" s="76"/>
      <c r="CU2468" s="56">
        <f>AN2468+AP2468+AR2468+AT2468+AV2468+AX2468+AZ2468+BB2468+BD2468+BF2468+BH2468+BJ2468+BL2468+BN2468+BP2468+BR2468+BT2468+BV2468+BX2468+BZ2468+CB2468+CD2468+CF2468+CH2468+CJ2468+CL2468+CN2468+CP2468+CR2468+CT2468</f>
        <v>0</v>
      </c>
      <c r="CV2468" s="76"/>
      <c r="CW2468" s="76">
        <f>+CV2468*1100</f>
        <v>0</v>
      </c>
      <c r="CX2468" s="76"/>
      <c r="CY2468" s="76">
        <f>+CX2468*106250</f>
        <v>0</v>
      </c>
      <c r="CZ2468" s="76"/>
      <c r="DA2468" s="76">
        <f>+CZ2468*34500</f>
        <v>0</v>
      </c>
      <c r="DB2468" s="76"/>
      <c r="DC2468" s="76">
        <f>+DB2468*25000</f>
        <v>0</v>
      </c>
      <c r="DD2468" s="219"/>
      <c r="DE2468" s="219"/>
      <c r="DF2468" s="166"/>
      <c r="DG2468" s="116"/>
      <c r="DH2468" s="117"/>
      <c r="DI2468" s="24"/>
      <c r="DJ2468" s="24"/>
      <c r="DK2468" s="24"/>
      <c r="DL2468" s="24"/>
      <c r="DM2468" s="24"/>
      <c r="DN2468" s="24"/>
      <c r="DO2468" s="24"/>
      <c r="DP2468" s="24"/>
      <c r="DQ2468" s="24"/>
      <c r="DR2468" s="24"/>
      <c r="DS2468" s="24"/>
      <c r="DT2468" s="24"/>
      <c r="DU2468" s="24"/>
    </row>
    <row r="2469" spans="1:125" s="8" customFormat="1" ht="252" x14ac:dyDescent="0.2">
      <c r="A2469" s="226">
        <v>41480</v>
      </c>
      <c r="B2469" s="225" t="s">
        <v>3131</v>
      </c>
      <c r="C2469" s="227" t="s">
        <v>2264</v>
      </c>
      <c r="D2469" s="354" t="s">
        <v>3051</v>
      </c>
      <c r="E2469" s="353" t="str">
        <f>VLOOKUP(B2469&amp;C2469,Divipola!$C$2:$F$1138,4,FALSE)</f>
        <v>86568</v>
      </c>
      <c r="F2469" s="87"/>
      <c r="G2469" s="87"/>
      <c r="H2469" s="87"/>
      <c r="I2469" s="87">
        <v>23825</v>
      </c>
      <c r="J2469" s="87">
        <v>4765</v>
      </c>
      <c r="K2469" s="87">
        <v>9</v>
      </c>
      <c r="L2469" s="87">
        <v>93</v>
      </c>
      <c r="M2469" s="87"/>
      <c r="N2469" s="87"/>
      <c r="O2469" s="87">
        <v>152</v>
      </c>
      <c r="P2469" s="87">
        <v>1</v>
      </c>
      <c r="Q2469" s="87">
        <v>3</v>
      </c>
      <c r="R2469" s="87"/>
      <c r="S2469" s="87">
        <v>1</v>
      </c>
      <c r="T2469" s="87"/>
      <c r="U2469" s="88">
        <v>4260</v>
      </c>
      <c r="V2469" s="89"/>
      <c r="W2469" s="96">
        <v>0</v>
      </c>
      <c r="X2469" s="71">
        <f>CU2469</f>
        <v>0</v>
      </c>
      <c r="Y2469" s="71">
        <f>CY2469</f>
        <v>0</v>
      </c>
      <c r="Z2469" s="71">
        <f>DA2469+DC2469+DE2469</f>
        <v>0</v>
      </c>
      <c r="AA2469" s="71">
        <f>CW2469</f>
        <v>0</v>
      </c>
      <c r="AB2469" s="71"/>
      <c r="AC2469" s="71">
        <v>190000000</v>
      </c>
      <c r="AD2469" s="71">
        <f>W2469+X2469+Y2469+Z2469+AA2469+AB2469+AC2469</f>
        <v>190000000</v>
      </c>
      <c r="AE2469" s="72">
        <v>0</v>
      </c>
      <c r="AF2469" s="5"/>
      <c r="AG2469" s="6"/>
      <c r="AH2469" s="27" t="s">
        <v>3390</v>
      </c>
      <c r="AI2469" s="44" t="s">
        <v>3391</v>
      </c>
      <c r="AJ2469" s="26"/>
      <c r="AK2469" s="5"/>
      <c r="AL2469" s="82" t="s">
        <v>5405</v>
      </c>
      <c r="AM2469" s="76"/>
      <c r="AN2469" s="76"/>
      <c r="AO2469" s="76"/>
      <c r="AP2469" s="76"/>
      <c r="AQ2469" s="76"/>
      <c r="AR2469" s="76"/>
      <c r="AS2469" s="76"/>
      <c r="AT2469" s="76"/>
      <c r="AU2469" s="76"/>
      <c r="AV2469" s="76"/>
      <c r="AW2469" s="76"/>
      <c r="AX2469" s="76">
        <f>+AW2469*600000</f>
        <v>0</v>
      </c>
      <c r="AY2469" s="76"/>
      <c r="AZ2469" s="76">
        <f>+AY2469*70000</f>
        <v>0</v>
      </c>
      <c r="BA2469" s="76"/>
      <c r="BB2469" s="76"/>
      <c r="BC2469" s="76"/>
      <c r="BD2469" s="76">
        <f>+BC2469*30000</f>
        <v>0</v>
      </c>
      <c r="BE2469" s="76"/>
      <c r="BF2469" s="76"/>
      <c r="BG2469" s="76"/>
      <c r="BH2469" s="76"/>
      <c r="BI2469" s="76"/>
      <c r="BJ2469" s="76"/>
      <c r="BK2469" s="76"/>
      <c r="BL2469" s="76">
        <f>+BK2469*31500</f>
        <v>0</v>
      </c>
      <c r="BM2469" s="76"/>
      <c r="BN2469" s="76"/>
      <c r="BO2469" s="76"/>
      <c r="BP2469" s="76"/>
      <c r="BQ2469" s="76"/>
      <c r="BR2469" s="76"/>
      <c r="BS2469" s="76"/>
      <c r="BT2469" s="76"/>
      <c r="BU2469" s="76"/>
      <c r="BV2469" s="76"/>
      <c r="BW2469" s="76"/>
      <c r="BX2469" s="76"/>
      <c r="BY2469" s="76"/>
      <c r="BZ2469" s="76"/>
      <c r="CA2469" s="76"/>
      <c r="CB2469" s="76"/>
      <c r="CC2469" s="76"/>
      <c r="CD2469" s="76"/>
      <c r="CE2469" s="76"/>
      <c r="CF2469" s="76">
        <f>+CE2469*28000</f>
        <v>0</v>
      </c>
      <c r="CG2469" s="76"/>
      <c r="CH2469" s="76">
        <f>+CG2469*22500</f>
        <v>0</v>
      </c>
      <c r="CI2469" s="76"/>
      <c r="CJ2469" s="76">
        <f>+CI2469*26000</f>
        <v>0</v>
      </c>
      <c r="CK2469" s="76"/>
      <c r="CL2469" s="76"/>
      <c r="CM2469" s="76"/>
      <c r="CN2469" s="76">
        <f>+CM2469*22000</f>
        <v>0</v>
      </c>
      <c r="CO2469" s="76"/>
      <c r="CP2469" s="76">
        <f>+CO2469*46000</f>
        <v>0</v>
      </c>
      <c r="CQ2469" s="76"/>
      <c r="CR2469" s="76">
        <f>+CQ2469*49000</f>
        <v>0</v>
      </c>
      <c r="CS2469" s="76"/>
      <c r="CT2469" s="76"/>
      <c r="CU2469" s="56">
        <f>AN2469+AP2469+AR2469+AT2469+AV2469+AX2469+AZ2469+BB2469+BD2469+BF2469+BH2469+BJ2469+BL2469+BN2469+BP2469+BR2469+BT2469+BV2469+BX2469+BZ2469+CB2469+CD2469+CF2469+CH2469+CJ2469+CL2469+CN2469+CP2469+CR2469+CT2469</f>
        <v>0</v>
      </c>
      <c r="CV2469" s="76"/>
      <c r="CW2469" s="76">
        <f>+CV2469*1100</f>
        <v>0</v>
      </c>
      <c r="CX2469" s="76"/>
      <c r="CY2469" s="76">
        <f>+CX2469*106250</f>
        <v>0</v>
      </c>
      <c r="CZ2469" s="76"/>
      <c r="DA2469" s="76">
        <f>+CZ2469*34500</f>
        <v>0</v>
      </c>
      <c r="DB2469" s="76"/>
      <c r="DC2469" s="76">
        <f>+DB2469*25000</f>
        <v>0</v>
      </c>
      <c r="DD2469" s="219"/>
      <c r="DE2469" s="219"/>
      <c r="DF2469" s="166"/>
      <c r="DG2469" s="116"/>
      <c r="DH2469" s="117"/>
      <c r="DI2469" s="24"/>
      <c r="DJ2469" s="24"/>
      <c r="DK2469" s="24"/>
      <c r="DL2469" s="24"/>
      <c r="DM2469" s="24"/>
      <c r="DN2469" s="24"/>
      <c r="DO2469" s="24"/>
      <c r="DP2469" s="24"/>
      <c r="DQ2469" s="24"/>
      <c r="DR2469" s="24"/>
      <c r="DS2469" s="24"/>
      <c r="DT2469" s="24"/>
      <c r="DU2469" s="24"/>
    </row>
    <row r="2470" spans="1:125" s="8" customFormat="1" ht="214.5" x14ac:dyDescent="0.2">
      <c r="A2470" s="226">
        <v>41480</v>
      </c>
      <c r="B2470" s="225" t="s">
        <v>3131</v>
      </c>
      <c r="C2470" s="227" t="s">
        <v>2267</v>
      </c>
      <c r="D2470" s="227" t="s">
        <v>3051</v>
      </c>
      <c r="E2470" s="353" t="str">
        <f>VLOOKUP(B2470&amp;C2470,Divipola!$C$2:$F$1138,4,FALSE)</f>
        <v>86569</v>
      </c>
      <c r="F2470" s="87"/>
      <c r="G2470" s="87"/>
      <c r="H2470" s="87"/>
      <c r="I2470" s="87">
        <v>10000</v>
      </c>
      <c r="J2470" s="87">
        <v>2000</v>
      </c>
      <c r="K2470" s="87">
        <v>50</v>
      </c>
      <c r="L2470" s="87">
        <v>70</v>
      </c>
      <c r="M2470" s="87"/>
      <c r="N2470" s="87"/>
      <c r="O2470" s="87"/>
      <c r="P2470" s="87"/>
      <c r="Q2470" s="87"/>
      <c r="R2470" s="87"/>
      <c r="S2470" s="87"/>
      <c r="T2470" s="87"/>
      <c r="U2470" s="88">
        <v>3300</v>
      </c>
      <c r="V2470" s="89"/>
      <c r="W2470" s="96">
        <v>0</v>
      </c>
      <c r="X2470" s="71">
        <f>CU2470</f>
        <v>0</v>
      </c>
      <c r="Y2470" s="71">
        <f>CY2470</f>
        <v>0</v>
      </c>
      <c r="Z2470" s="71">
        <f>DA2470+DC2470+DE2470</f>
        <v>0</v>
      </c>
      <c r="AA2470" s="71">
        <f>CW2470</f>
        <v>0</v>
      </c>
      <c r="AB2470" s="71"/>
      <c r="AC2470" s="71">
        <v>162750000</v>
      </c>
      <c r="AD2470" s="71">
        <f>W2470+X2470+Y2470+Z2470+AA2470+AB2470+AC2470</f>
        <v>162750000</v>
      </c>
      <c r="AE2470" s="72">
        <v>0</v>
      </c>
      <c r="AF2470" s="5"/>
      <c r="AG2470" s="6"/>
      <c r="AH2470" s="27"/>
      <c r="AI2470" s="44"/>
      <c r="AJ2470" s="26"/>
      <c r="AK2470" s="5"/>
      <c r="AL2470" s="82" t="s">
        <v>5484</v>
      </c>
      <c r="AM2470" s="76"/>
      <c r="AN2470" s="76"/>
      <c r="AO2470" s="76"/>
      <c r="AP2470" s="76"/>
      <c r="AQ2470" s="76"/>
      <c r="AR2470" s="76"/>
      <c r="AS2470" s="76"/>
      <c r="AT2470" s="76"/>
      <c r="AU2470" s="76"/>
      <c r="AV2470" s="76"/>
      <c r="AW2470" s="76"/>
      <c r="AX2470" s="76">
        <f>+AW2470*600000</f>
        <v>0</v>
      </c>
      <c r="AY2470" s="76"/>
      <c r="AZ2470" s="76">
        <f>+AY2470*70000</f>
        <v>0</v>
      </c>
      <c r="BA2470" s="76"/>
      <c r="BB2470" s="76"/>
      <c r="BC2470" s="76"/>
      <c r="BD2470" s="76">
        <f>+BC2470*30000</f>
        <v>0</v>
      </c>
      <c r="BE2470" s="76"/>
      <c r="BF2470" s="76"/>
      <c r="BG2470" s="76"/>
      <c r="BH2470" s="76"/>
      <c r="BI2470" s="76"/>
      <c r="BJ2470" s="76"/>
      <c r="BK2470" s="76"/>
      <c r="BL2470" s="76">
        <f>+BK2470*31500</f>
        <v>0</v>
      </c>
      <c r="BM2470" s="76"/>
      <c r="BN2470" s="76"/>
      <c r="BO2470" s="76"/>
      <c r="BP2470" s="76"/>
      <c r="BQ2470" s="76"/>
      <c r="BR2470" s="76"/>
      <c r="BS2470" s="76"/>
      <c r="BT2470" s="76"/>
      <c r="BU2470" s="76"/>
      <c r="BV2470" s="76"/>
      <c r="BW2470" s="76"/>
      <c r="BX2470" s="76"/>
      <c r="BY2470" s="76"/>
      <c r="BZ2470" s="76"/>
      <c r="CA2470" s="76"/>
      <c r="CB2470" s="76"/>
      <c r="CC2470" s="76"/>
      <c r="CD2470" s="76"/>
      <c r="CE2470" s="76"/>
      <c r="CF2470" s="76">
        <f>+CE2470*28000</f>
        <v>0</v>
      </c>
      <c r="CG2470" s="76"/>
      <c r="CH2470" s="76">
        <f>+CG2470*22500</f>
        <v>0</v>
      </c>
      <c r="CI2470" s="76"/>
      <c r="CJ2470" s="76">
        <f>+CI2470*26000</f>
        <v>0</v>
      </c>
      <c r="CK2470" s="76"/>
      <c r="CL2470" s="76"/>
      <c r="CM2470" s="76"/>
      <c r="CN2470" s="76">
        <f>+CM2470*22000</f>
        <v>0</v>
      </c>
      <c r="CO2470" s="76"/>
      <c r="CP2470" s="76">
        <f>+CO2470*46000</f>
        <v>0</v>
      </c>
      <c r="CQ2470" s="76"/>
      <c r="CR2470" s="76">
        <f>+CQ2470*49000</f>
        <v>0</v>
      </c>
      <c r="CS2470" s="76"/>
      <c r="CT2470" s="76"/>
      <c r="CU2470" s="56">
        <f>AN2470+AP2470+AR2470+AT2470+AV2470+AX2470+AZ2470+BB2470+BD2470+BF2470+BH2470+BJ2470+BL2470+BN2470+BP2470+BR2470+BT2470+BV2470+BX2470+BZ2470+CB2470+CD2470+CF2470+CH2470+CJ2470+CL2470+CN2470+CP2470+CR2470+CT2470</f>
        <v>0</v>
      </c>
      <c r="CV2470" s="76"/>
      <c r="CW2470" s="76">
        <f>+CV2470*1100</f>
        <v>0</v>
      </c>
      <c r="CX2470" s="76"/>
      <c r="CY2470" s="76">
        <f>+CX2470*106250</f>
        <v>0</v>
      </c>
      <c r="CZ2470" s="76"/>
      <c r="DA2470" s="76">
        <f>+CZ2470*34500</f>
        <v>0</v>
      </c>
      <c r="DB2470" s="76"/>
      <c r="DC2470" s="76">
        <f>+DB2470*25000</f>
        <v>0</v>
      </c>
      <c r="DD2470" s="219"/>
      <c r="DE2470" s="219"/>
      <c r="DF2470" s="166"/>
      <c r="DG2470" s="116"/>
      <c r="DH2470" s="117"/>
      <c r="DI2470" s="24"/>
      <c r="DJ2470" s="24"/>
      <c r="DK2470" s="24"/>
      <c r="DL2470" s="24"/>
      <c r="DM2470" s="24"/>
      <c r="DN2470" s="24"/>
      <c r="DO2470" s="24"/>
      <c r="DP2470" s="24"/>
      <c r="DQ2470" s="24"/>
      <c r="DR2470" s="24"/>
      <c r="DS2470" s="24"/>
      <c r="DT2470" s="24"/>
      <c r="DU2470" s="24"/>
    </row>
    <row r="2471" spans="1:125" s="8" customFormat="1" ht="324" x14ac:dyDescent="0.2">
      <c r="A2471" s="226">
        <v>41480</v>
      </c>
      <c r="B2471" s="225" t="s">
        <v>3131</v>
      </c>
      <c r="C2471" s="227" t="s">
        <v>2270</v>
      </c>
      <c r="D2471" s="354" t="s">
        <v>3051</v>
      </c>
      <c r="E2471" s="353" t="str">
        <f>VLOOKUP(B2471&amp;C2471,Divipola!$C$2:$F$1138,4,FALSE)</f>
        <v>86571</v>
      </c>
      <c r="F2471" s="87">
        <v>1</v>
      </c>
      <c r="G2471" s="87"/>
      <c r="H2471" s="87"/>
      <c r="I2471" s="87">
        <v>1700</v>
      </c>
      <c r="J2471" s="87">
        <v>580</v>
      </c>
      <c r="K2471" s="87">
        <v>15</v>
      </c>
      <c r="L2471" s="87">
        <v>320</v>
      </c>
      <c r="M2471" s="87"/>
      <c r="N2471" s="87"/>
      <c r="O2471" s="87">
        <v>15</v>
      </c>
      <c r="P2471" s="87">
        <v>1</v>
      </c>
      <c r="Q2471" s="87"/>
      <c r="R2471" s="87">
        <v>2</v>
      </c>
      <c r="S2471" s="87">
        <v>3</v>
      </c>
      <c r="T2471" s="87"/>
      <c r="U2471" s="88">
        <v>1800</v>
      </c>
      <c r="V2471" s="89"/>
      <c r="W2471" s="96">
        <v>0</v>
      </c>
      <c r="X2471" s="71">
        <f>CU2471</f>
        <v>0</v>
      </c>
      <c r="Y2471" s="71">
        <f>CY2471</f>
        <v>0</v>
      </c>
      <c r="Z2471" s="71">
        <f>DA2471+DC2471+DE2471</f>
        <v>0</v>
      </c>
      <c r="AA2471" s="71">
        <f>CW2471</f>
        <v>0</v>
      </c>
      <c r="AB2471" s="71"/>
      <c r="AC2471" s="71">
        <v>200080750</v>
      </c>
      <c r="AD2471" s="71">
        <f>W2471+X2471+Y2471+Z2471+AA2471+AB2471+AC2471</f>
        <v>200080750</v>
      </c>
      <c r="AE2471" s="72">
        <v>0</v>
      </c>
      <c r="AF2471" s="5"/>
      <c r="AG2471" s="6"/>
      <c r="AH2471" s="27"/>
      <c r="AI2471" s="44"/>
      <c r="AJ2471" s="26"/>
      <c r="AK2471" s="5"/>
      <c r="AL2471" s="82" t="s">
        <v>5498</v>
      </c>
      <c r="AM2471" s="76"/>
      <c r="AN2471" s="76"/>
      <c r="AO2471" s="76"/>
      <c r="AP2471" s="76"/>
      <c r="AQ2471" s="76"/>
      <c r="AR2471" s="76"/>
      <c r="AS2471" s="76"/>
      <c r="AT2471" s="76"/>
      <c r="AU2471" s="76"/>
      <c r="AV2471" s="76"/>
      <c r="AW2471" s="76"/>
      <c r="AX2471" s="76">
        <f>+AW2471*600000</f>
        <v>0</v>
      </c>
      <c r="AY2471" s="76"/>
      <c r="AZ2471" s="76">
        <f>+AY2471*70000</f>
        <v>0</v>
      </c>
      <c r="BA2471" s="76"/>
      <c r="BB2471" s="76"/>
      <c r="BC2471" s="76"/>
      <c r="BD2471" s="76">
        <f>+BC2471*30000</f>
        <v>0</v>
      </c>
      <c r="BE2471" s="76"/>
      <c r="BF2471" s="76"/>
      <c r="BG2471" s="76"/>
      <c r="BH2471" s="76"/>
      <c r="BI2471" s="76"/>
      <c r="BJ2471" s="76"/>
      <c r="BK2471" s="76"/>
      <c r="BL2471" s="76">
        <f>+BK2471*31500</f>
        <v>0</v>
      </c>
      <c r="BM2471" s="76"/>
      <c r="BN2471" s="76"/>
      <c r="BO2471" s="76"/>
      <c r="BP2471" s="76"/>
      <c r="BQ2471" s="76"/>
      <c r="BR2471" s="76"/>
      <c r="BS2471" s="76"/>
      <c r="BT2471" s="76"/>
      <c r="BU2471" s="76"/>
      <c r="BV2471" s="76"/>
      <c r="BW2471" s="76"/>
      <c r="BX2471" s="76"/>
      <c r="BY2471" s="76"/>
      <c r="BZ2471" s="76"/>
      <c r="CA2471" s="76"/>
      <c r="CB2471" s="76"/>
      <c r="CC2471" s="76"/>
      <c r="CD2471" s="76"/>
      <c r="CE2471" s="76"/>
      <c r="CF2471" s="76">
        <f>+CE2471*28000</f>
        <v>0</v>
      </c>
      <c r="CG2471" s="76"/>
      <c r="CH2471" s="76">
        <f>+CG2471*22500</f>
        <v>0</v>
      </c>
      <c r="CI2471" s="76"/>
      <c r="CJ2471" s="76">
        <f>+CI2471*26000</f>
        <v>0</v>
      </c>
      <c r="CK2471" s="76"/>
      <c r="CL2471" s="76"/>
      <c r="CM2471" s="76"/>
      <c r="CN2471" s="76">
        <f>+CM2471*22000</f>
        <v>0</v>
      </c>
      <c r="CO2471" s="76"/>
      <c r="CP2471" s="76">
        <f>+CO2471*46000</f>
        <v>0</v>
      </c>
      <c r="CQ2471" s="76"/>
      <c r="CR2471" s="76">
        <f>+CQ2471*49000</f>
        <v>0</v>
      </c>
      <c r="CS2471" s="76"/>
      <c r="CT2471" s="76"/>
      <c r="CU2471" s="56">
        <f>AN2471+AP2471+AR2471+AT2471+AV2471+AX2471+AZ2471+BB2471+BD2471+BF2471+BH2471+BJ2471+BL2471+BN2471+BP2471+BR2471+BT2471+BV2471+BX2471+BZ2471+CB2471+CD2471+CF2471+CH2471+CJ2471+CL2471+CN2471+CP2471+CR2471+CT2471</f>
        <v>0</v>
      </c>
      <c r="CV2471" s="76"/>
      <c r="CW2471" s="76">
        <f>+CV2471*1100</f>
        <v>0</v>
      </c>
      <c r="CX2471" s="76"/>
      <c r="CY2471" s="76">
        <f>+CX2471*106250</f>
        <v>0</v>
      </c>
      <c r="CZ2471" s="76"/>
      <c r="DA2471" s="76">
        <f>+CZ2471*34500</f>
        <v>0</v>
      </c>
      <c r="DB2471" s="76"/>
      <c r="DC2471" s="76">
        <f>+DB2471*25000</f>
        <v>0</v>
      </c>
      <c r="DD2471" s="219"/>
      <c r="DE2471" s="219"/>
      <c r="DF2471" s="166"/>
      <c r="DG2471" s="116"/>
      <c r="DH2471" s="117"/>
      <c r="DI2471" s="24"/>
      <c r="DJ2471" s="24"/>
      <c r="DK2471" s="24"/>
      <c r="DL2471" s="24"/>
      <c r="DM2471" s="24"/>
      <c r="DN2471" s="24"/>
      <c r="DO2471" s="24"/>
      <c r="DP2471" s="24"/>
      <c r="DQ2471" s="24"/>
      <c r="DR2471" s="24"/>
      <c r="DS2471" s="24"/>
      <c r="DT2471" s="24"/>
      <c r="DU2471" s="24"/>
    </row>
    <row r="2472" spans="1:125" s="8" customFormat="1" ht="409.5" x14ac:dyDescent="0.2">
      <c r="A2472" s="353">
        <v>41480</v>
      </c>
      <c r="B2472" s="352" t="s">
        <v>3131</v>
      </c>
      <c r="C2472" s="354" t="s">
        <v>1385</v>
      </c>
      <c r="D2472" s="354" t="s">
        <v>3051</v>
      </c>
      <c r="E2472" s="353" t="str">
        <f>VLOOKUP(B2472&amp;C2472,Divipola!$C$2:$F$1138,4,FALSE)</f>
        <v>86755</v>
      </c>
      <c r="F2472" s="87"/>
      <c r="G2472" s="87"/>
      <c r="H2472" s="87"/>
      <c r="I2472" s="87">
        <v>1000</v>
      </c>
      <c r="J2472" s="87">
        <v>200</v>
      </c>
      <c r="K2472" s="87"/>
      <c r="L2472" s="87">
        <v>22</v>
      </c>
      <c r="M2472" s="87"/>
      <c r="N2472" s="87"/>
      <c r="O2472" s="87">
        <v>1</v>
      </c>
      <c r="P2472" s="87">
        <v>3</v>
      </c>
      <c r="Q2472" s="87"/>
      <c r="R2472" s="87"/>
      <c r="S2472" s="87">
        <v>3</v>
      </c>
      <c r="T2472" s="87"/>
      <c r="U2472" s="88">
        <v>80</v>
      </c>
      <c r="V2472" s="89"/>
      <c r="W2472" s="96">
        <v>0</v>
      </c>
      <c r="X2472" s="71">
        <f>CU2472</f>
        <v>0</v>
      </c>
      <c r="Y2472" s="71">
        <f>CY2472</f>
        <v>0</v>
      </c>
      <c r="Z2472" s="71">
        <f>DA2472+DC2472+DE2472</f>
        <v>0</v>
      </c>
      <c r="AA2472" s="71">
        <f>CW2472</f>
        <v>0</v>
      </c>
      <c r="AB2472" s="71"/>
      <c r="AC2472" s="71">
        <v>0</v>
      </c>
      <c r="AD2472" s="71">
        <f>W2472+X2472+Y2472+Z2472+AA2472+AB2472+AC2472</f>
        <v>0</v>
      </c>
      <c r="AE2472" s="72">
        <v>0</v>
      </c>
      <c r="AF2472" s="5"/>
      <c r="AG2472" s="6"/>
      <c r="AH2472" s="27"/>
      <c r="AI2472" s="44"/>
      <c r="AJ2472" s="26"/>
      <c r="AK2472" s="5"/>
      <c r="AL2472" s="82" t="s">
        <v>5364</v>
      </c>
      <c r="AM2472" s="76"/>
      <c r="AN2472" s="76"/>
      <c r="AO2472" s="76"/>
      <c r="AP2472" s="76"/>
      <c r="AQ2472" s="76"/>
      <c r="AR2472" s="76"/>
      <c r="AS2472" s="76"/>
      <c r="AT2472" s="76"/>
      <c r="AU2472" s="76"/>
      <c r="AV2472" s="76"/>
      <c r="AW2472" s="76"/>
      <c r="AX2472" s="76">
        <f>+AW2472*600000</f>
        <v>0</v>
      </c>
      <c r="AY2472" s="76"/>
      <c r="AZ2472" s="76">
        <f>+AY2472*70000</f>
        <v>0</v>
      </c>
      <c r="BA2472" s="76"/>
      <c r="BB2472" s="76"/>
      <c r="BC2472" s="76"/>
      <c r="BD2472" s="76">
        <f>+BC2472*30000</f>
        <v>0</v>
      </c>
      <c r="BE2472" s="76"/>
      <c r="BF2472" s="76"/>
      <c r="BG2472" s="76"/>
      <c r="BH2472" s="76"/>
      <c r="BI2472" s="76"/>
      <c r="BJ2472" s="76"/>
      <c r="BK2472" s="76"/>
      <c r="BL2472" s="76">
        <f>+BK2472*31500</f>
        <v>0</v>
      </c>
      <c r="BM2472" s="76"/>
      <c r="BN2472" s="76"/>
      <c r="BO2472" s="76"/>
      <c r="BP2472" s="76"/>
      <c r="BQ2472" s="76"/>
      <c r="BR2472" s="76"/>
      <c r="BS2472" s="76"/>
      <c r="BT2472" s="76"/>
      <c r="BU2472" s="76"/>
      <c r="BV2472" s="76"/>
      <c r="BW2472" s="76"/>
      <c r="BX2472" s="76"/>
      <c r="BY2472" s="76"/>
      <c r="BZ2472" s="76"/>
      <c r="CA2472" s="76"/>
      <c r="CB2472" s="76"/>
      <c r="CC2472" s="76"/>
      <c r="CD2472" s="76"/>
      <c r="CE2472" s="76"/>
      <c r="CF2472" s="76">
        <f>+CE2472*28000</f>
        <v>0</v>
      </c>
      <c r="CG2472" s="76"/>
      <c r="CH2472" s="76">
        <f>+CG2472*22500</f>
        <v>0</v>
      </c>
      <c r="CI2472" s="76"/>
      <c r="CJ2472" s="76">
        <f>+CI2472*26000</f>
        <v>0</v>
      </c>
      <c r="CK2472" s="76"/>
      <c r="CL2472" s="76"/>
      <c r="CM2472" s="76"/>
      <c r="CN2472" s="76">
        <f>+CM2472*22000</f>
        <v>0</v>
      </c>
      <c r="CO2472" s="76"/>
      <c r="CP2472" s="76">
        <f>+CO2472*46000</f>
        <v>0</v>
      </c>
      <c r="CQ2472" s="76"/>
      <c r="CR2472" s="76">
        <f>+CQ2472*49000</f>
        <v>0</v>
      </c>
      <c r="CS2472" s="76"/>
      <c r="CT2472" s="76"/>
      <c r="CU2472" s="56">
        <f>AN2472+AP2472+AR2472+AT2472+AV2472+AX2472+AZ2472+BB2472+BD2472+BF2472+BH2472+BJ2472+BL2472+BN2472+BP2472+BR2472+BT2472+BV2472+BX2472+BZ2472+CB2472+CD2472+CF2472+CH2472+CJ2472+CL2472+CN2472+CP2472+CR2472+CT2472</f>
        <v>0</v>
      </c>
      <c r="CV2472" s="76"/>
      <c r="CW2472" s="76">
        <f>+CV2472*1100</f>
        <v>0</v>
      </c>
      <c r="CX2472" s="76"/>
      <c r="CY2472" s="76">
        <f>+CX2472*106250</f>
        <v>0</v>
      </c>
      <c r="CZ2472" s="76"/>
      <c r="DA2472" s="76">
        <f>+CZ2472*34500</f>
        <v>0</v>
      </c>
      <c r="DB2472" s="76"/>
      <c r="DC2472" s="76">
        <f>+DB2472*25000</f>
        <v>0</v>
      </c>
      <c r="DD2472" s="219"/>
      <c r="DE2472" s="219"/>
      <c r="DF2472" s="166"/>
      <c r="DG2472" s="116"/>
      <c r="DH2472" s="117"/>
      <c r="DI2472" s="24"/>
      <c r="DJ2472" s="24"/>
      <c r="DK2472" s="24"/>
      <c r="DL2472" s="24"/>
      <c r="DM2472" s="24"/>
      <c r="DN2472" s="24"/>
      <c r="DO2472" s="24"/>
      <c r="DP2472" s="24"/>
      <c r="DQ2472" s="24"/>
      <c r="DR2472" s="24"/>
      <c r="DS2472" s="24"/>
      <c r="DT2472" s="24"/>
      <c r="DU2472" s="24"/>
    </row>
    <row r="2473" spans="1:125" s="8" customFormat="1" ht="48" x14ac:dyDescent="0.2">
      <c r="A2473" s="228">
        <v>41480</v>
      </c>
      <c r="B2473" s="229" t="s">
        <v>3131</v>
      </c>
      <c r="C2473" s="230" t="s">
        <v>2220</v>
      </c>
      <c r="D2473" s="230" t="s">
        <v>3051</v>
      </c>
      <c r="E2473" s="353" t="str">
        <f>VLOOKUP(B2473&amp;C2473,Divipola!$C$2:$F$1138,4,FALSE)</f>
        <v>86760</v>
      </c>
      <c r="F2473" s="87"/>
      <c r="G2473" s="87"/>
      <c r="H2473" s="87"/>
      <c r="I2473" s="87">
        <v>5</v>
      </c>
      <c r="J2473" s="87">
        <v>1</v>
      </c>
      <c r="K2473" s="87"/>
      <c r="L2473" s="87">
        <v>1</v>
      </c>
      <c r="M2473" s="87"/>
      <c r="N2473" s="87"/>
      <c r="O2473" s="87">
        <v>1</v>
      </c>
      <c r="P2473" s="87"/>
      <c r="Q2473" s="87"/>
      <c r="R2473" s="87"/>
      <c r="S2473" s="87"/>
      <c r="T2473" s="87"/>
      <c r="U2473" s="88"/>
      <c r="V2473" s="89"/>
      <c r="W2473" s="96">
        <v>0</v>
      </c>
      <c r="X2473" s="71">
        <f>CU2473</f>
        <v>0</v>
      </c>
      <c r="Y2473" s="71">
        <f>CY2473</f>
        <v>0</v>
      </c>
      <c r="Z2473" s="71">
        <f>DA2473+DC2473+DE2473</f>
        <v>0</v>
      </c>
      <c r="AA2473" s="71">
        <f>CW2473</f>
        <v>0</v>
      </c>
      <c r="AB2473" s="71"/>
      <c r="AC2473" s="71">
        <v>0</v>
      </c>
      <c r="AD2473" s="71">
        <f>W2473+X2473+Y2473+Z2473+AA2473+AB2473+AC2473</f>
        <v>0</v>
      </c>
      <c r="AE2473" s="72">
        <v>0</v>
      </c>
      <c r="AF2473" s="5"/>
      <c r="AG2473" s="6"/>
      <c r="AH2473" s="27"/>
      <c r="AI2473" s="44"/>
      <c r="AJ2473" s="26"/>
      <c r="AK2473" s="5"/>
      <c r="AL2473" s="82" t="s">
        <v>5363</v>
      </c>
      <c r="AM2473" s="76"/>
      <c r="AN2473" s="76"/>
      <c r="AO2473" s="76"/>
      <c r="AP2473" s="76"/>
      <c r="AQ2473" s="76"/>
      <c r="AR2473" s="76"/>
      <c r="AS2473" s="76"/>
      <c r="AT2473" s="76"/>
      <c r="AU2473" s="76"/>
      <c r="AV2473" s="76"/>
      <c r="AW2473" s="76"/>
      <c r="AX2473" s="76">
        <f>+AW2473*600000</f>
        <v>0</v>
      </c>
      <c r="AY2473" s="76"/>
      <c r="AZ2473" s="76">
        <f>+AY2473*70000</f>
        <v>0</v>
      </c>
      <c r="BA2473" s="76"/>
      <c r="BB2473" s="76"/>
      <c r="BC2473" s="76"/>
      <c r="BD2473" s="76">
        <f>+BC2473*30000</f>
        <v>0</v>
      </c>
      <c r="BE2473" s="76"/>
      <c r="BF2473" s="76"/>
      <c r="BG2473" s="76"/>
      <c r="BH2473" s="76"/>
      <c r="BI2473" s="76"/>
      <c r="BJ2473" s="76"/>
      <c r="BK2473" s="76"/>
      <c r="BL2473" s="76">
        <f>+BK2473*31500</f>
        <v>0</v>
      </c>
      <c r="BM2473" s="76"/>
      <c r="BN2473" s="76"/>
      <c r="BO2473" s="76"/>
      <c r="BP2473" s="76"/>
      <c r="BQ2473" s="76"/>
      <c r="BR2473" s="76"/>
      <c r="BS2473" s="76"/>
      <c r="BT2473" s="76"/>
      <c r="BU2473" s="76"/>
      <c r="BV2473" s="76"/>
      <c r="BW2473" s="76"/>
      <c r="BX2473" s="76"/>
      <c r="BY2473" s="76"/>
      <c r="BZ2473" s="76"/>
      <c r="CA2473" s="76"/>
      <c r="CB2473" s="76"/>
      <c r="CC2473" s="76"/>
      <c r="CD2473" s="76"/>
      <c r="CE2473" s="76"/>
      <c r="CF2473" s="76">
        <f>+CE2473*28000</f>
        <v>0</v>
      </c>
      <c r="CG2473" s="76"/>
      <c r="CH2473" s="76">
        <f>+CG2473*22500</f>
        <v>0</v>
      </c>
      <c r="CI2473" s="76"/>
      <c r="CJ2473" s="76">
        <f>+CI2473*26000</f>
        <v>0</v>
      </c>
      <c r="CK2473" s="76"/>
      <c r="CL2473" s="76"/>
      <c r="CM2473" s="76"/>
      <c r="CN2473" s="76">
        <f>+CM2473*22000</f>
        <v>0</v>
      </c>
      <c r="CO2473" s="76"/>
      <c r="CP2473" s="76">
        <f>+CO2473*46000</f>
        <v>0</v>
      </c>
      <c r="CQ2473" s="76"/>
      <c r="CR2473" s="76">
        <f>+CQ2473*49000</f>
        <v>0</v>
      </c>
      <c r="CS2473" s="76"/>
      <c r="CT2473" s="76"/>
      <c r="CU2473" s="56">
        <f>AN2473+AP2473+AR2473+AT2473+AV2473+AX2473+AZ2473+BB2473+BD2473+BF2473+BH2473+BJ2473+BL2473+BN2473+BP2473+BR2473+BT2473+BV2473+BX2473+BZ2473+CB2473+CD2473+CF2473+CH2473+CJ2473+CL2473+CN2473+CP2473+CR2473+CT2473</f>
        <v>0</v>
      </c>
      <c r="CV2473" s="76"/>
      <c r="CW2473" s="76">
        <f>+CV2473*1100</f>
        <v>0</v>
      </c>
      <c r="CX2473" s="76"/>
      <c r="CY2473" s="76">
        <f>+CX2473*106250</f>
        <v>0</v>
      </c>
      <c r="CZ2473" s="76"/>
      <c r="DA2473" s="76">
        <f>+CZ2473*34500</f>
        <v>0</v>
      </c>
      <c r="DB2473" s="76"/>
      <c r="DC2473" s="76">
        <f>+DB2473*25000</f>
        <v>0</v>
      </c>
      <c r="DD2473" s="219"/>
      <c r="DE2473" s="219"/>
      <c r="DF2473" s="166"/>
      <c r="DG2473" s="116"/>
      <c r="DH2473" s="117"/>
      <c r="DI2473" s="24"/>
      <c r="DJ2473" s="24"/>
      <c r="DK2473" s="24"/>
      <c r="DL2473" s="24"/>
      <c r="DM2473" s="24"/>
      <c r="DN2473" s="24"/>
      <c r="DO2473" s="24"/>
      <c r="DP2473" s="24"/>
      <c r="DQ2473" s="24"/>
      <c r="DR2473" s="24"/>
      <c r="DS2473" s="24"/>
      <c r="DT2473" s="24"/>
      <c r="DU2473" s="24"/>
    </row>
    <row r="2474" spans="1:125" s="8" customFormat="1" ht="72" x14ac:dyDescent="0.2">
      <c r="A2474" s="228">
        <v>41480</v>
      </c>
      <c r="B2474" s="229" t="s">
        <v>3131</v>
      </c>
      <c r="C2474" s="230" t="s">
        <v>2273</v>
      </c>
      <c r="D2474" s="230" t="s">
        <v>3051</v>
      </c>
      <c r="E2474" s="353" t="str">
        <f>VLOOKUP(B2474&amp;C2474,Divipola!$C$2:$F$1138,4,FALSE)</f>
        <v>86749</v>
      </c>
      <c r="F2474" s="87"/>
      <c r="G2474" s="87"/>
      <c r="H2474" s="87"/>
      <c r="I2474" s="87">
        <v>250</v>
      </c>
      <c r="J2474" s="87">
        <v>50</v>
      </c>
      <c r="K2474" s="87"/>
      <c r="L2474" s="87">
        <v>50</v>
      </c>
      <c r="M2474" s="87"/>
      <c r="N2474" s="87"/>
      <c r="O2474" s="87">
        <v>3</v>
      </c>
      <c r="P2474" s="87">
        <v>1</v>
      </c>
      <c r="Q2474" s="87">
        <v>6</v>
      </c>
      <c r="R2474" s="87"/>
      <c r="S2474" s="87"/>
      <c r="T2474" s="87"/>
      <c r="U2474" s="88">
        <v>40</v>
      </c>
      <c r="V2474" s="89"/>
      <c r="W2474" s="96">
        <v>0</v>
      </c>
      <c r="X2474" s="71">
        <f>CU2474</f>
        <v>0</v>
      </c>
      <c r="Y2474" s="71">
        <f>CY2474</f>
        <v>0</v>
      </c>
      <c r="Z2474" s="71">
        <f>DA2474+DC2474+DE2474</f>
        <v>0</v>
      </c>
      <c r="AA2474" s="71">
        <f>CW2474</f>
        <v>0</v>
      </c>
      <c r="AB2474" s="71"/>
      <c r="AC2474" s="71">
        <v>0</v>
      </c>
      <c r="AD2474" s="71">
        <f>W2474+X2474+Y2474+Z2474+AA2474+AB2474+AC2474</f>
        <v>0</v>
      </c>
      <c r="AE2474" s="72">
        <v>0</v>
      </c>
      <c r="AF2474" s="5"/>
      <c r="AG2474" s="6"/>
      <c r="AH2474" s="27"/>
      <c r="AI2474" s="44"/>
      <c r="AJ2474" s="26"/>
      <c r="AK2474" s="5"/>
      <c r="AL2474" s="82" t="s">
        <v>5362</v>
      </c>
      <c r="AM2474" s="76"/>
      <c r="AN2474" s="76"/>
      <c r="AO2474" s="76"/>
      <c r="AP2474" s="76"/>
      <c r="AQ2474" s="76"/>
      <c r="AR2474" s="76"/>
      <c r="AS2474" s="76"/>
      <c r="AT2474" s="76"/>
      <c r="AU2474" s="76"/>
      <c r="AV2474" s="76"/>
      <c r="AW2474" s="76"/>
      <c r="AX2474" s="76">
        <f>+AW2474*600000</f>
        <v>0</v>
      </c>
      <c r="AY2474" s="76"/>
      <c r="AZ2474" s="76">
        <f>+AY2474*70000</f>
        <v>0</v>
      </c>
      <c r="BA2474" s="76"/>
      <c r="BB2474" s="76"/>
      <c r="BC2474" s="76"/>
      <c r="BD2474" s="76">
        <f>+BC2474*30000</f>
        <v>0</v>
      </c>
      <c r="BE2474" s="76"/>
      <c r="BF2474" s="76"/>
      <c r="BG2474" s="76"/>
      <c r="BH2474" s="76"/>
      <c r="BI2474" s="76"/>
      <c r="BJ2474" s="76"/>
      <c r="BK2474" s="76"/>
      <c r="BL2474" s="76">
        <f>+BK2474*31500</f>
        <v>0</v>
      </c>
      <c r="BM2474" s="76"/>
      <c r="BN2474" s="76"/>
      <c r="BO2474" s="76"/>
      <c r="BP2474" s="76"/>
      <c r="BQ2474" s="76"/>
      <c r="BR2474" s="76"/>
      <c r="BS2474" s="76"/>
      <c r="BT2474" s="76"/>
      <c r="BU2474" s="76"/>
      <c r="BV2474" s="76"/>
      <c r="BW2474" s="76"/>
      <c r="BX2474" s="76"/>
      <c r="BY2474" s="76"/>
      <c r="BZ2474" s="76"/>
      <c r="CA2474" s="76"/>
      <c r="CB2474" s="76"/>
      <c r="CC2474" s="76"/>
      <c r="CD2474" s="76"/>
      <c r="CE2474" s="76"/>
      <c r="CF2474" s="76">
        <f>+CE2474*28000</f>
        <v>0</v>
      </c>
      <c r="CG2474" s="76"/>
      <c r="CH2474" s="76">
        <f>+CG2474*22500</f>
        <v>0</v>
      </c>
      <c r="CI2474" s="76"/>
      <c r="CJ2474" s="76">
        <f>+CI2474*26000</f>
        <v>0</v>
      </c>
      <c r="CK2474" s="76"/>
      <c r="CL2474" s="76"/>
      <c r="CM2474" s="76"/>
      <c r="CN2474" s="76">
        <f>+CM2474*22000</f>
        <v>0</v>
      </c>
      <c r="CO2474" s="76"/>
      <c r="CP2474" s="76">
        <f>+CO2474*46000</f>
        <v>0</v>
      </c>
      <c r="CQ2474" s="76"/>
      <c r="CR2474" s="76">
        <f>+CQ2474*49000</f>
        <v>0</v>
      </c>
      <c r="CS2474" s="76"/>
      <c r="CT2474" s="76"/>
      <c r="CU2474" s="56">
        <f>AN2474+AP2474+AR2474+AT2474+AV2474+AX2474+AZ2474+BB2474+BD2474+BF2474+BH2474+BJ2474+BL2474+BN2474+BP2474+BR2474+BT2474+BV2474+BX2474+BZ2474+CB2474+CD2474+CF2474+CH2474+CJ2474+CL2474+CN2474+CP2474+CR2474+CT2474</f>
        <v>0</v>
      </c>
      <c r="CV2474" s="76"/>
      <c r="CW2474" s="76">
        <f>+CV2474*1100</f>
        <v>0</v>
      </c>
      <c r="CX2474" s="76"/>
      <c r="CY2474" s="76">
        <f>+CX2474*106250</f>
        <v>0</v>
      </c>
      <c r="CZ2474" s="76"/>
      <c r="DA2474" s="76">
        <f>+CZ2474*34500</f>
        <v>0</v>
      </c>
      <c r="DB2474" s="76"/>
      <c r="DC2474" s="76">
        <f>+DB2474*25000</f>
        <v>0</v>
      </c>
      <c r="DD2474" s="219"/>
      <c r="DE2474" s="219"/>
      <c r="DF2474" s="166"/>
      <c r="DG2474" s="116"/>
      <c r="DH2474" s="117"/>
      <c r="DI2474" s="24"/>
      <c r="DJ2474" s="24"/>
      <c r="DK2474" s="24"/>
      <c r="DL2474" s="24"/>
      <c r="DM2474" s="24"/>
      <c r="DN2474" s="24"/>
      <c r="DO2474" s="24"/>
      <c r="DP2474" s="24"/>
      <c r="DQ2474" s="24"/>
      <c r="DR2474" s="24"/>
      <c r="DS2474" s="24"/>
      <c r="DT2474" s="24"/>
      <c r="DU2474" s="24"/>
    </row>
    <row r="2475" spans="1:125" s="8" customFormat="1" ht="108" x14ac:dyDescent="0.2">
      <c r="A2475" s="228">
        <v>41480</v>
      </c>
      <c r="B2475" s="229" t="s">
        <v>3131</v>
      </c>
      <c r="C2475" s="230" t="s">
        <v>2281</v>
      </c>
      <c r="D2475" s="230" t="s">
        <v>3051</v>
      </c>
      <c r="E2475" s="353" t="str">
        <f>VLOOKUP(B2475&amp;C2475,Divipola!$C$2:$F$1138,4,FALSE)</f>
        <v>86885</v>
      </c>
      <c r="F2475" s="87"/>
      <c r="G2475" s="87"/>
      <c r="H2475" s="87"/>
      <c r="I2475" s="87">
        <v>846</v>
      </c>
      <c r="J2475" s="87">
        <v>196</v>
      </c>
      <c r="K2475" s="87">
        <v>9</v>
      </c>
      <c r="L2475" s="87">
        <v>33</v>
      </c>
      <c r="M2475" s="87"/>
      <c r="N2475" s="87"/>
      <c r="O2475" s="87">
        <v>3</v>
      </c>
      <c r="P2475" s="87"/>
      <c r="Q2475" s="87"/>
      <c r="R2475" s="87"/>
      <c r="S2475" s="87"/>
      <c r="T2475" s="87"/>
      <c r="U2475" s="88">
        <v>1280</v>
      </c>
      <c r="V2475" s="89"/>
      <c r="W2475" s="96">
        <v>0</v>
      </c>
      <c r="X2475" s="71">
        <f>CU2475</f>
        <v>0</v>
      </c>
      <c r="Y2475" s="71">
        <f>CY2475</f>
        <v>0</v>
      </c>
      <c r="Z2475" s="71">
        <f>DA2475+DC2475+DE2475</f>
        <v>0</v>
      </c>
      <c r="AA2475" s="71">
        <f>CW2475</f>
        <v>0</v>
      </c>
      <c r="AB2475" s="71"/>
      <c r="AC2475" s="71">
        <v>0</v>
      </c>
      <c r="AD2475" s="71">
        <f>W2475+X2475+Y2475+Z2475+AA2475+AB2475+AC2475</f>
        <v>0</v>
      </c>
      <c r="AE2475" s="72">
        <v>0</v>
      </c>
      <c r="AF2475" s="5"/>
      <c r="AG2475" s="6"/>
      <c r="AH2475" s="27"/>
      <c r="AI2475" s="44"/>
      <c r="AJ2475" s="26"/>
      <c r="AK2475" s="5"/>
      <c r="AL2475" s="82" t="s">
        <v>5361</v>
      </c>
      <c r="AM2475" s="76"/>
      <c r="AN2475" s="76"/>
      <c r="AO2475" s="76"/>
      <c r="AP2475" s="76"/>
      <c r="AQ2475" s="76"/>
      <c r="AR2475" s="76"/>
      <c r="AS2475" s="76"/>
      <c r="AT2475" s="76"/>
      <c r="AU2475" s="76"/>
      <c r="AV2475" s="76"/>
      <c r="AW2475" s="76"/>
      <c r="AX2475" s="76">
        <f>+AW2475*600000</f>
        <v>0</v>
      </c>
      <c r="AY2475" s="76"/>
      <c r="AZ2475" s="76">
        <f>+AY2475*70000</f>
        <v>0</v>
      </c>
      <c r="BA2475" s="76"/>
      <c r="BB2475" s="76"/>
      <c r="BC2475" s="76"/>
      <c r="BD2475" s="76">
        <f>+BC2475*30000</f>
        <v>0</v>
      </c>
      <c r="BE2475" s="76"/>
      <c r="BF2475" s="76"/>
      <c r="BG2475" s="76"/>
      <c r="BH2475" s="76"/>
      <c r="BI2475" s="76"/>
      <c r="BJ2475" s="76"/>
      <c r="BK2475" s="76"/>
      <c r="BL2475" s="76">
        <f>+BK2475*31500</f>
        <v>0</v>
      </c>
      <c r="BM2475" s="76"/>
      <c r="BN2475" s="76"/>
      <c r="BO2475" s="76"/>
      <c r="BP2475" s="76"/>
      <c r="BQ2475" s="76"/>
      <c r="BR2475" s="76"/>
      <c r="BS2475" s="76"/>
      <c r="BT2475" s="76"/>
      <c r="BU2475" s="76"/>
      <c r="BV2475" s="76"/>
      <c r="BW2475" s="76"/>
      <c r="BX2475" s="76"/>
      <c r="BY2475" s="76"/>
      <c r="BZ2475" s="76"/>
      <c r="CA2475" s="76"/>
      <c r="CB2475" s="76"/>
      <c r="CC2475" s="76"/>
      <c r="CD2475" s="76"/>
      <c r="CE2475" s="76"/>
      <c r="CF2475" s="76">
        <f>+CE2475*28000</f>
        <v>0</v>
      </c>
      <c r="CG2475" s="76"/>
      <c r="CH2475" s="76">
        <f>+CG2475*22500</f>
        <v>0</v>
      </c>
      <c r="CI2475" s="76"/>
      <c r="CJ2475" s="76">
        <f>+CI2475*26000</f>
        <v>0</v>
      </c>
      <c r="CK2475" s="76"/>
      <c r="CL2475" s="76"/>
      <c r="CM2475" s="76"/>
      <c r="CN2475" s="76">
        <f>+CM2475*22000</f>
        <v>0</v>
      </c>
      <c r="CO2475" s="76"/>
      <c r="CP2475" s="76">
        <f>+CO2475*46000</f>
        <v>0</v>
      </c>
      <c r="CQ2475" s="76"/>
      <c r="CR2475" s="76">
        <f>+CQ2475*49000</f>
        <v>0</v>
      </c>
      <c r="CS2475" s="76"/>
      <c r="CT2475" s="76"/>
      <c r="CU2475" s="56">
        <f>AN2475+AP2475+AR2475+AT2475+AV2475+AX2475+AZ2475+BB2475+BD2475+BF2475+BH2475+BJ2475+BL2475+BN2475+BP2475+BR2475+BT2475+BV2475+BX2475+BZ2475+CB2475+CD2475+CF2475+CH2475+CJ2475+CL2475+CN2475+CP2475+CR2475+CT2475</f>
        <v>0</v>
      </c>
      <c r="CV2475" s="76"/>
      <c r="CW2475" s="76">
        <f>+CV2475*1100</f>
        <v>0</v>
      </c>
      <c r="CX2475" s="76"/>
      <c r="CY2475" s="76">
        <f>+CX2475*106250</f>
        <v>0</v>
      </c>
      <c r="CZ2475" s="76"/>
      <c r="DA2475" s="76">
        <f>+CZ2475*34500</f>
        <v>0</v>
      </c>
      <c r="DB2475" s="76"/>
      <c r="DC2475" s="76">
        <f>+DB2475*25000</f>
        <v>0</v>
      </c>
      <c r="DD2475" s="219"/>
      <c r="DE2475" s="219"/>
      <c r="DF2475" s="166"/>
      <c r="DG2475" s="116"/>
      <c r="DH2475" s="117"/>
      <c r="DI2475" s="24"/>
      <c r="DJ2475" s="24"/>
      <c r="DK2475" s="24"/>
      <c r="DL2475" s="24"/>
      <c r="DM2475" s="24"/>
      <c r="DN2475" s="24"/>
      <c r="DO2475" s="24"/>
      <c r="DP2475" s="24"/>
      <c r="DQ2475" s="24"/>
      <c r="DR2475" s="24"/>
      <c r="DS2475" s="24"/>
      <c r="DT2475" s="24"/>
      <c r="DU2475" s="24"/>
    </row>
    <row r="2476" spans="1:125" s="8" customFormat="1" ht="72" x14ac:dyDescent="0.2">
      <c r="A2476" s="353">
        <v>41480</v>
      </c>
      <c r="B2476" s="352" t="s">
        <v>2847</v>
      </c>
      <c r="C2476" s="354" t="s">
        <v>298</v>
      </c>
      <c r="D2476" s="354" t="s">
        <v>2846</v>
      </c>
      <c r="E2476" s="353" t="str">
        <f>VLOOKUP(B2476&amp;C2476,Divipola!$C$2:$F$1138,4,FALSE)</f>
        <v>68051</v>
      </c>
      <c r="F2476" s="87"/>
      <c r="G2476" s="87"/>
      <c r="H2476" s="87"/>
      <c r="I2476" s="87"/>
      <c r="J2476" s="87"/>
      <c r="K2476" s="87"/>
      <c r="L2476" s="87"/>
      <c r="M2476" s="87"/>
      <c r="N2476" s="87"/>
      <c r="O2476" s="87"/>
      <c r="P2476" s="87"/>
      <c r="Q2476" s="87"/>
      <c r="R2476" s="87"/>
      <c r="S2476" s="87"/>
      <c r="T2476" s="87"/>
      <c r="U2476" s="88">
        <v>4</v>
      </c>
      <c r="V2476" s="89"/>
      <c r="W2476" s="96">
        <v>0</v>
      </c>
      <c r="X2476" s="71">
        <f>CU2476</f>
        <v>0</v>
      </c>
      <c r="Y2476" s="71">
        <f>CY2476</f>
        <v>0</v>
      </c>
      <c r="Z2476" s="71">
        <f>DA2476+DC2476+DE2476</f>
        <v>0</v>
      </c>
      <c r="AA2476" s="71">
        <f>CW2476</f>
        <v>0</v>
      </c>
      <c r="AB2476" s="71"/>
      <c r="AC2476" s="71">
        <v>0</v>
      </c>
      <c r="AD2476" s="71">
        <f>W2476+X2476+Y2476+Z2476+AA2476+AB2476+AC2476</f>
        <v>0</v>
      </c>
      <c r="AE2476" s="72">
        <v>0</v>
      </c>
      <c r="AF2476" s="5"/>
      <c r="AG2476" s="6"/>
      <c r="AH2476" s="27"/>
      <c r="AI2476" s="44"/>
      <c r="AJ2476" s="26"/>
      <c r="AK2476" s="5"/>
      <c r="AL2476" s="82" t="s">
        <v>5335</v>
      </c>
      <c r="AM2476" s="76"/>
      <c r="AN2476" s="76"/>
      <c r="AO2476" s="76"/>
      <c r="AP2476" s="76"/>
      <c r="AQ2476" s="76"/>
      <c r="AR2476" s="76"/>
      <c r="AS2476" s="76"/>
      <c r="AT2476" s="76"/>
      <c r="AU2476" s="76"/>
      <c r="AV2476" s="76"/>
      <c r="AW2476" s="76"/>
      <c r="AX2476" s="76">
        <f>+AW2476*600000</f>
        <v>0</v>
      </c>
      <c r="AY2476" s="76"/>
      <c r="AZ2476" s="76">
        <f>+AY2476*70000</f>
        <v>0</v>
      </c>
      <c r="BA2476" s="76"/>
      <c r="BB2476" s="76"/>
      <c r="BC2476" s="76"/>
      <c r="BD2476" s="76">
        <f>+BC2476*30000</f>
        <v>0</v>
      </c>
      <c r="BE2476" s="76"/>
      <c r="BF2476" s="76"/>
      <c r="BG2476" s="76"/>
      <c r="BH2476" s="76"/>
      <c r="BI2476" s="76"/>
      <c r="BJ2476" s="76"/>
      <c r="BK2476" s="76"/>
      <c r="BL2476" s="76">
        <f>+BK2476*31500</f>
        <v>0</v>
      </c>
      <c r="BM2476" s="76"/>
      <c r="BN2476" s="76"/>
      <c r="BO2476" s="76"/>
      <c r="BP2476" s="76"/>
      <c r="BQ2476" s="76"/>
      <c r="BR2476" s="76"/>
      <c r="BS2476" s="76"/>
      <c r="BT2476" s="76"/>
      <c r="BU2476" s="76"/>
      <c r="BV2476" s="76"/>
      <c r="BW2476" s="76"/>
      <c r="BX2476" s="76"/>
      <c r="BY2476" s="76"/>
      <c r="BZ2476" s="76"/>
      <c r="CA2476" s="76"/>
      <c r="CB2476" s="76"/>
      <c r="CC2476" s="76"/>
      <c r="CD2476" s="76"/>
      <c r="CE2476" s="76"/>
      <c r="CF2476" s="76">
        <f>+CE2476*28000</f>
        <v>0</v>
      </c>
      <c r="CG2476" s="76"/>
      <c r="CH2476" s="76">
        <f>+CG2476*22500</f>
        <v>0</v>
      </c>
      <c r="CI2476" s="76"/>
      <c r="CJ2476" s="76">
        <f>+CI2476*26000</f>
        <v>0</v>
      </c>
      <c r="CK2476" s="76"/>
      <c r="CL2476" s="76"/>
      <c r="CM2476" s="76"/>
      <c r="CN2476" s="76">
        <f>+CM2476*22000</f>
        <v>0</v>
      </c>
      <c r="CO2476" s="76"/>
      <c r="CP2476" s="76">
        <f>+CO2476*46000</f>
        <v>0</v>
      </c>
      <c r="CQ2476" s="76"/>
      <c r="CR2476" s="76">
        <f>+CQ2476*49000</f>
        <v>0</v>
      </c>
      <c r="CS2476" s="76"/>
      <c r="CT2476" s="76"/>
      <c r="CU2476" s="56">
        <f>AN2476+AP2476+AR2476+AT2476+AV2476+AX2476+AZ2476+BB2476+BD2476+BF2476+BH2476+BJ2476+BL2476+BN2476+BP2476+BR2476+BT2476+BV2476+BX2476+BZ2476+CB2476+CD2476+CF2476+CH2476+CJ2476+CL2476+CN2476+CP2476+CR2476+CT2476</f>
        <v>0</v>
      </c>
      <c r="CV2476" s="76"/>
      <c r="CW2476" s="76">
        <f>+CV2476*1100</f>
        <v>0</v>
      </c>
      <c r="CX2476" s="76"/>
      <c r="CY2476" s="76">
        <f>+CX2476*106250</f>
        <v>0</v>
      </c>
      <c r="CZ2476" s="76"/>
      <c r="DA2476" s="76">
        <f>+CZ2476*34500</f>
        <v>0</v>
      </c>
      <c r="DB2476" s="76"/>
      <c r="DC2476" s="76">
        <f>+DB2476*25000</f>
        <v>0</v>
      </c>
      <c r="DD2476" s="219"/>
      <c r="DE2476" s="219"/>
      <c r="DF2476" s="166"/>
      <c r="DG2476" s="116"/>
      <c r="DH2476" s="117"/>
      <c r="DI2476" s="24"/>
      <c r="DJ2476" s="24"/>
      <c r="DK2476" s="24"/>
      <c r="DL2476" s="24"/>
      <c r="DM2476" s="24"/>
      <c r="DN2476" s="24"/>
      <c r="DO2476" s="24"/>
      <c r="DP2476" s="24"/>
      <c r="DQ2476" s="24"/>
      <c r="DR2476" s="24"/>
      <c r="DS2476" s="24"/>
      <c r="DT2476" s="24"/>
      <c r="DU2476" s="24"/>
    </row>
    <row r="2477" spans="1:125" s="8" customFormat="1" ht="72" x14ac:dyDescent="0.2">
      <c r="A2477" s="353">
        <v>41480</v>
      </c>
      <c r="B2477" s="352" t="s">
        <v>2847</v>
      </c>
      <c r="C2477" s="227" t="s">
        <v>2673</v>
      </c>
      <c r="D2477" s="354" t="s">
        <v>2846</v>
      </c>
      <c r="E2477" s="353" t="str">
        <f>VLOOKUP(B2477&amp;C2477,Divipola!$C$2:$F$1138,4,FALSE)</f>
        <v>68001</v>
      </c>
      <c r="F2477" s="87"/>
      <c r="G2477" s="87"/>
      <c r="H2477" s="87"/>
      <c r="I2477" s="87"/>
      <c r="J2477" s="87"/>
      <c r="K2477" s="87"/>
      <c r="L2477" s="87"/>
      <c r="M2477" s="87"/>
      <c r="N2477" s="87"/>
      <c r="O2477" s="87"/>
      <c r="P2477" s="87"/>
      <c r="Q2477" s="87"/>
      <c r="R2477" s="87"/>
      <c r="S2477" s="87"/>
      <c r="T2477" s="87"/>
      <c r="U2477" s="88">
        <v>2</v>
      </c>
      <c r="V2477" s="89"/>
      <c r="W2477" s="96">
        <v>0</v>
      </c>
      <c r="X2477" s="71">
        <f>CU2477</f>
        <v>0</v>
      </c>
      <c r="Y2477" s="71">
        <f>CY2477</f>
        <v>0</v>
      </c>
      <c r="Z2477" s="71">
        <f>DA2477+DC2477+DE2477</f>
        <v>0</v>
      </c>
      <c r="AA2477" s="71">
        <f>CW2477</f>
        <v>0</v>
      </c>
      <c r="AB2477" s="71"/>
      <c r="AC2477" s="71">
        <v>0</v>
      </c>
      <c r="AD2477" s="71">
        <f>W2477+X2477+Y2477+Z2477+AA2477+AB2477+AC2477</f>
        <v>0</v>
      </c>
      <c r="AE2477" s="72">
        <v>0</v>
      </c>
      <c r="AF2477" s="5"/>
      <c r="AG2477" s="6"/>
      <c r="AH2477" s="27"/>
      <c r="AI2477" s="44"/>
      <c r="AJ2477" s="26"/>
      <c r="AK2477" s="5"/>
      <c r="AL2477" s="82" t="s">
        <v>5329</v>
      </c>
      <c r="AM2477" s="76"/>
      <c r="AN2477" s="76"/>
      <c r="AO2477" s="76"/>
      <c r="AP2477" s="76"/>
      <c r="AQ2477" s="76"/>
      <c r="AR2477" s="76"/>
      <c r="AS2477" s="76"/>
      <c r="AT2477" s="76"/>
      <c r="AU2477" s="76"/>
      <c r="AV2477" s="76"/>
      <c r="AW2477" s="76"/>
      <c r="AX2477" s="76">
        <f>+AW2477*600000</f>
        <v>0</v>
      </c>
      <c r="AY2477" s="76"/>
      <c r="AZ2477" s="76">
        <f>+AY2477*70000</f>
        <v>0</v>
      </c>
      <c r="BA2477" s="76"/>
      <c r="BB2477" s="76"/>
      <c r="BC2477" s="76"/>
      <c r="BD2477" s="76">
        <f>+BC2477*30000</f>
        <v>0</v>
      </c>
      <c r="BE2477" s="76"/>
      <c r="BF2477" s="76"/>
      <c r="BG2477" s="76"/>
      <c r="BH2477" s="76"/>
      <c r="BI2477" s="76"/>
      <c r="BJ2477" s="76"/>
      <c r="BK2477" s="76"/>
      <c r="BL2477" s="76">
        <f>+BK2477*31500</f>
        <v>0</v>
      </c>
      <c r="BM2477" s="76"/>
      <c r="BN2477" s="76"/>
      <c r="BO2477" s="76"/>
      <c r="BP2477" s="76"/>
      <c r="BQ2477" s="76"/>
      <c r="BR2477" s="76"/>
      <c r="BS2477" s="76"/>
      <c r="BT2477" s="76"/>
      <c r="BU2477" s="76"/>
      <c r="BV2477" s="76"/>
      <c r="BW2477" s="76"/>
      <c r="BX2477" s="76"/>
      <c r="BY2477" s="76"/>
      <c r="BZ2477" s="76"/>
      <c r="CA2477" s="76"/>
      <c r="CB2477" s="76"/>
      <c r="CC2477" s="76"/>
      <c r="CD2477" s="76"/>
      <c r="CE2477" s="76"/>
      <c r="CF2477" s="76">
        <f>+CE2477*28000</f>
        <v>0</v>
      </c>
      <c r="CG2477" s="76"/>
      <c r="CH2477" s="76">
        <f>+CG2477*22500</f>
        <v>0</v>
      </c>
      <c r="CI2477" s="76"/>
      <c r="CJ2477" s="76">
        <f>+CI2477*26000</f>
        <v>0</v>
      </c>
      <c r="CK2477" s="76"/>
      <c r="CL2477" s="76"/>
      <c r="CM2477" s="76"/>
      <c r="CN2477" s="76">
        <f>+CM2477*22000</f>
        <v>0</v>
      </c>
      <c r="CO2477" s="76"/>
      <c r="CP2477" s="76">
        <f>+CO2477*46000</f>
        <v>0</v>
      </c>
      <c r="CQ2477" s="76"/>
      <c r="CR2477" s="76">
        <f>+CQ2477*49000</f>
        <v>0</v>
      </c>
      <c r="CS2477" s="76"/>
      <c r="CT2477" s="76"/>
      <c r="CU2477" s="56">
        <f>AN2477+AP2477+AR2477+AT2477+AV2477+AX2477+AZ2477+BB2477+BD2477+BF2477+BH2477+BJ2477+BL2477+BN2477+BP2477+BR2477+BT2477+BV2477+BX2477+BZ2477+CB2477+CD2477+CF2477+CH2477+CJ2477+CL2477+CN2477+CP2477+CR2477+CT2477</f>
        <v>0</v>
      </c>
      <c r="CV2477" s="76"/>
      <c r="CW2477" s="76">
        <f>+CV2477*1100</f>
        <v>0</v>
      </c>
      <c r="CX2477" s="76"/>
      <c r="CY2477" s="76">
        <f>+CX2477*106250</f>
        <v>0</v>
      </c>
      <c r="CZ2477" s="76"/>
      <c r="DA2477" s="76">
        <f>+CZ2477*34500</f>
        <v>0</v>
      </c>
      <c r="DB2477" s="76"/>
      <c r="DC2477" s="76">
        <f>+DB2477*25000</f>
        <v>0</v>
      </c>
      <c r="DD2477" s="219"/>
      <c r="DE2477" s="219"/>
      <c r="DF2477" s="166"/>
      <c r="DG2477" s="116"/>
      <c r="DH2477" s="117"/>
      <c r="DI2477" s="24"/>
      <c r="DJ2477" s="24"/>
      <c r="DK2477" s="24"/>
      <c r="DL2477" s="24"/>
      <c r="DM2477" s="24"/>
      <c r="DN2477" s="24"/>
      <c r="DO2477" s="24"/>
      <c r="DP2477" s="24"/>
      <c r="DQ2477" s="24"/>
      <c r="DR2477" s="24"/>
      <c r="DS2477" s="24"/>
      <c r="DT2477" s="24"/>
      <c r="DU2477" s="24"/>
    </row>
    <row r="2478" spans="1:125" s="8" customFormat="1" ht="72" x14ac:dyDescent="0.2">
      <c r="A2478" s="353">
        <v>41480</v>
      </c>
      <c r="B2478" s="352" t="s">
        <v>2847</v>
      </c>
      <c r="C2478" s="354" t="s">
        <v>2673</v>
      </c>
      <c r="D2478" s="354" t="s">
        <v>2846</v>
      </c>
      <c r="E2478" s="353" t="str">
        <f>VLOOKUP(B2478&amp;C2478,Divipola!$C$2:$F$1138,4,FALSE)</f>
        <v>68001</v>
      </c>
      <c r="F2478" s="87"/>
      <c r="G2478" s="87"/>
      <c r="H2478" s="87"/>
      <c r="I2478" s="87"/>
      <c r="J2478" s="87"/>
      <c r="K2478" s="87"/>
      <c r="L2478" s="87"/>
      <c r="M2478" s="87"/>
      <c r="N2478" s="87"/>
      <c r="O2478" s="87"/>
      <c r="P2478" s="87"/>
      <c r="Q2478" s="87"/>
      <c r="R2478" s="87"/>
      <c r="S2478" s="87"/>
      <c r="T2478" s="87"/>
      <c r="U2478" s="88">
        <v>2</v>
      </c>
      <c r="V2478" s="89"/>
      <c r="W2478" s="96">
        <v>0</v>
      </c>
      <c r="X2478" s="71">
        <f>CU2478</f>
        <v>0</v>
      </c>
      <c r="Y2478" s="71">
        <f>CY2478</f>
        <v>0</v>
      </c>
      <c r="Z2478" s="71">
        <f>DA2478+DC2478+DE2478</f>
        <v>0</v>
      </c>
      <c r="AA2478" s="71">
        <f>CW2478</f>
        <v>0</v>
      </c>
      <c r="AB2478" s="71"/>
      <c r="AC2478" s="71">
        <v>0</v>
      </c>
      <c r="AD2478" s="71">
        <f>W2478+X2478+Y2478+Z2478+AA2478+AB2478+AC2478</f>
        <v>0</v>
      </c>
      <c r="AE2478" s="72">
        <v>0</v>
      </c>
      <c r="AF2478" s="5"/>
      <c r="AG2478" s="6"/>
      <c r="AH2478" s="27"/>
      <c r="AI2478" s="44"/>
      <c r="AJ2478" s="26"/>
      <c r="AK2478" s="5"/>
      <c r="AL2478" s="82" t="s">
        <v>5330</v>
      </c>
      <c r="AM2478" s="76"/>
      <c r="AN2478" s="76"/>
      <c r="AO2478" s="76"/>
      <c r="AP2478" s="76"/>
      <c r="AQ2478" s="76"/>
      <c r="AR2478" s="76"/>
      <c r="AS2478" s="76"/>
      <c r="AT2478" s="76"/>
      <c r="AU2478" s="76"/>
      <c r="AV2478" s="76"/>
      <c r="AW2478" s="76"/>
      <c r="AX2478" s="76">
        <f>+AW2478*600000</f>
        <v>0</v>
      </c>
      <c r="AY2478" s="76"/>
      <c r="AZ2478" s="76">
        <f>+AY2478*70000</f>
        <v>0</v>
      </c>
      <c r="BA2478" s="76"/>
      <c r="BB2478" s="76"/>
      <c r="BC2478" s="76"/>
      <c r="BD2478" s="76">
        <f>+BC2478*30000</f>
        <v>0</v>
      </c>
      <c r="BE2478" s="76"/>
      <c r="BF2478" s="76"/>
      <c r="BG2478" s="76"/>
      <c r="BH2478" s="76"/>
      <c r="BI2478" s="76"/>
      <c r="BJ2478" s="76"/>
      <c r="BK2478" s="76"/>
      <c r="BL2478" s="76">
        <f>+BK2478*31500</f>
        <v>0</v>
      </c>
      <c r="BM2478" s="76"/>
      <c r="BN2478" s="76"/>
      <c r="BO2478" s="76"/>
      <c r="BP2478" s="76"/>
      <c r="BQ2478" s="76"/>
      <c r="BR2478" s="76"/>
      <c r="BS2478" s="76"/>
      <c r="BT2478" s="76"/>
      <c r="BU2478" s="76"/>
      <c r="BV2478" s="76"/>
      <c r="BW2478" s="76"/>
      <c r="BX2478" s="76"/>
      <c r="BY2478" s="76"/>
      <c r="BZ2478" s="76"/>
      <c r="CA2478" s="76"/>
      <c r="CB2478" s="76"/>
      <c r="CC2478" s="76"/>
      <c r="CD2478" s="76"/>
      <c r="CE2478" s="76"/>
      <c r="CF2478" s="76">
        <f>+CE2478*28000</f>
        <v>0</v>
      </c>
      <c r="CG2478" s="76"/>
      <c r="CH2478" s="76">
        <f>+CG2478*22500</f>
        <v>0</v>
      </c>
      <c r="CI2478" s="76"/>
      <c r="CJ2478" s="76">
        <f>+CI2478*26000</f>
        <v>0</v>
      </c>
      <c r="CK2478" s="76"/>
      <c r="CL2478" s="76"/>
      <c r="CM2478" s="76"/>
      <c r="CN2478" s="76">
        <f>+CM2478*22000</f>
        <v>0</v>
      </c>
      <c r="CO2478" s="76"/>
      <c r="CP2478" s="76">
        <f>+CO2478*46000</f>
        <v>0</v>
      </c>
      <c r="CQ2478" s="76"/>
      <c r="CR2478" s="76">
        <f>+CQ2478*49000</f>
        <v>0</v>
      </c>
      <c r="CS2478" s="76"/>
      <c r="CT2478" s="76"/>
      <c r="CU2478" s="56">
        <f>AN2478+AP2478+AR2478+AT2478+AV2478+AX2478+AZ2478+BB2478+BD2478+BF2478+BH2478+BJ2478+BL2478+BN2478+BP2478+BR2478+BT2478+BV2478+BX2478+BZ2478+CB2478+CD2478+CF2478+CH2478+CJ2478+CL2478+CN2478+CP2478+CR2478+CT2478</f>
        <v>0</v>
      </c>
      <c r="CV2478" s="76"/>
      <c r="CW2478" s="76">
        <f>+CV2478*1100</f>
        <v>0</v>
      </c>
      <c r="CX2478" s="76"/>
      <c r="CY2478" s="76">
        <f>+CX2478*106250</f>
        <v>0</v>
      </c>
      <c r="CZ2478" s="76"/>
      <c r="DA2478" s="76">
        <f>+CZ2478*34500</f>
        <v>0</v>
      </c>
      <c r="DB2478" s="76"/>
      <c r="DC2478" s="76">
        <f>+DB2478*25000</f>
        <v>0</v>
      </c>
      <c r="DD2478" s="219"/>
      <c r="DE2478" s="219"/>
      <c r="DF2478" s="166"/>
      <c r="DG2478" s="116"/>
      <c r="DH2478" s="117"/>
      <c r="DI2478" s="24"/>
      <c r="DJ2478" s="24"/>
      <c r="DK2478" s="24"/>
      <c r="DL2478" s="24"/>
      <c r="DM2478" s="24"/>
      <c r="DN2478" s="24"/>
      <c r="DO2478" s="24"/>
      <c r="DP2478" s="24"/>
      <c r="DQ2478" s="24"/>
      <c r="DR2478" s="24"/>
      <c r="DS2478" s="24"/>
      <c r="DT2478" s="24"/>
      <c r="DU2478" s="24"/>
    </row>
    <row r="2479" spans="1:125" s="8" customFormat="1" ht="72" x14ac:dyDescent="0.2">
      <c r="A2479" s="226">
        <v>41480</v>
      </c>
      <c r="B2479" s="225" t="s">
        <v>2847</v>
      </c>
      <c r="C2479" s="227" t="s">
        <v>2673</v>
      </c>
      <c r="D2479" s="354" t="s">
        <v>2846</v>
      </c>
      <c r="E2479" s="353" t="str">
        <f>VLOOKUP(B2479&amp;C2479,Divipola!$C$2:$F$1138,4,FALSE)</f>
        <v>68001</v>
      </c>
      <c r="F2479" s="87"/>
      <c r="G2479" s="87"/>
      <c r="H2479" s="87"/>
      <c r="I2479" s="87"/>
      <c r="J2479" s="87"/>
      <c r="K2479" s="87"/>
      <c r="L2479" s="87"/>
      <c r="M2479" s="87"/>
      <c r="N2479" s="87"/>
      <c r="O2479" s="87"/>
      <c r="P2479" s="87"/>
      <c r="Q2479" s="87"/>
      <c r="R2479" s="87"/>
      <c r="S2479" s="87"/>
      <c r="T2479" s="87"/>
      <c r="U2479" s="88">
        <v>2</v>
      </c>
      <c r="V2479" s="89"/>
      <c r="W2479" s="96">
        <v>0</v>
      </c>
      <c r="X2479" s="71">
        <f>CU2479</f>
        <v>0</v>
      </c>
      <c r="Y2479" s="71">
        <f>CY2479</f>
        <v>0</v>
      </c>
      <c r="Z2479" s="71">
        <f>DA2479+DC2479+DE2479</f>
        <v>0</v>
      </c>
      <c r="AA2479" s="71">
        <f>CW2479</f>
        <v>0</v>
      </c>
      <c r="AB2479" s="71"/>
      <c r="AC2479" s="71">
        <v>0</v>
      </c>
      <c r="AD2479" s="71">
        <f>W2479+X2479+Y2479+Z2479+AA2479+AB2479+AC2479</f>
        <v>0</v>
      </c>
      <c r="AE2479" s="72">
        <v>0</v>
      </c>
      <c r="AF2479" s="5"/>
      <c r="AG2479" s="6"/>
      <c r="AH2479" s="27"/>
      <c r="AI2479" s="44"/>
      <c r="AJ2479" s="26"/>
      <c r="AK2479" s="5"/>
      <c r="AL2479" s="82" t="s">
        <v>5331</v>
      </c>
      <c r="AM2479" s="76"/>
      <c r="AN2479" s="76"/>
      <c r="AO2479" s="76"/>
      <c r="AP2479" s="76"/>
      <c r="AQ2479" s="76"/>
      <c r="AR2479" s="76"/>
      <c r="AS2479" s="76"/>
      <c r="AT2479" s="76"/>
      <c r="AU2479" s="76"/>
      <c r="AV2479" s="76"/>
      <c r="AW2479" s="76"/>
      <c r="AX2479" s="76">
        <f>+AW2479*600000</f>
        <v>0</v>
      </c>
      <c r="AY2479" s="76"/>
      <c r="AZ2479" s="76">
        <f>+AY2479*70000</f>
        <v>0</v>
      </c>
      <c r="BA2479" s="76"/>
      <c r="BB2479" s="76"/>
      <c r="BC2479" s="76"/>
      <c r="BD2479" s="76">
        <f>+BC2479*30000</f>
        <v>0</v>
      </c>
      <c r="BE2479" s="76"/>
      <c r="BF2479" s="76"/>
      <c r="BG2479" s="76"/>
      <c r="BH2479" s="76"/>
      <c r="BI2479" s="76"/>
      <c r="BJ2479" s="76"/>
      <c r="BK2479" s="76"/>
      <c r="BL2479" s="76">
        <f>+BK2479*31500</f>
        <v>0</v>
      </c>
      <c r="BM2479" s="76"/>
      <c r="BN2479" s="76"/>
      <c r="BO2479" s="76"/>
      <c r="BP2479" s="76"/>
      <c r="BQ2479" s="76"/>
      <c r="BR2479" s="76"/>
      <c r="BS2479" s="76"/>
      <c r="BT2479" s="76"/>
      <c r="BU2479" s="76"/>
      <c r="BV2479" s="76"/>
      <c r="BW2479" s="76"/>
      <c r="BX2479" s="76"/>
      <c r="BY2479" s="76"/>
      <c r="BZ2479" s="76"/>
      <c r="CA2479" s="76"/>
      <c r="CB2479" s="76"/>
      <c r="CC2479" s="76"/>
      <c r="CD2479" s="76"/>
      <c r="CE2479" s="76"/>
      <c r="CF2479" s="76">
        <f>+CE2479*28000</f>
        <v>0</v>
      </c>
      <c r="CG2479" s="76"/>
      <c r="CH2479" s="76">
        <f>+CG2479*22500</f>
        <v>0</v>
      </c>
      <c r="CI2479" s="76"/>
      <c r="CJ2479" s="76">
        <f>+CI2479*26000</f>
        <v>0</v>
      </c>
      <c r="CK2479" s="76"/>
      <c r="CL2479" s="76"/>
      <c r="CM2479" s="76"/>
      <c r="CN2479" s="76">
        <f>+CM2479*22000</f>
        <v>0</v>
      </c>
      <c r="CO2479" s="76"/>
      <c r="CP2479" s="76">
        <f>+CO2479*46000</f>
        <v>0</v>
      </c>
      <c r="CQ2479" s="76"/>
      <c r="CR2479" s="76">
        <f>+CQ2479*49000</f>
        <v>0</v>
      </c>
      <c r="CS2479" s="76"/>
      <c r="CT2479" s="76"/>
      <c r="CU2479" s="56">
        <f>AN2479+AP2479+AR2479+AT2479+AV2479+AX2479+AZ2479+BB2479+BD2479+BF2479+BH2479+BJ2479+BL2479+BN2479+BP2479+BR2479+BT2479+BV2479+BX2479+BZ2479+CB2479+CD2479+CF2479+CH2479+CJ2479+CL2479+CN2479+CP2479+CR2479+CT2479</f>
        <v>0</v>
      </c>
      <c r="CV2479" s="76"/>
      <c r="CW2479" s="76">
        <f>+CV2479*1100</f>
        <v>0</v>
      </c>
      <c r="CX2479" s="76"/>
      <c r="CY2479" s="76">
        <f>+CX2479*106250</f>
        <v>0</v>
      </c>
      <c r="CZ2479" s="76"/>
      <c r="DA2479" s="76">
        <f>+CZ2479*34500</f>
        <v>0</v>
      </c>
      <c r="DB2479" s="76"/>
      <c r="DC2479" s="76">
        <f>+DB2479*25000</f>
        <v>0</v>
      </c>
      <c r="DD2479" s="219"/>
      <c r="DE2479" s="219"/>
      <c r="DF2479" s="166"/>
      <c r="DG2479" s="116"/>
      <c r="DH2479" s="117"/>
      <c r="DI2479" s="24"/>
      <c r="DJ2479" s="24"/>
      <c r="DK2479" s="24"/>
      <c r="DL2479" s="24"/>
      <c r="DM2479" s="24"/>
      <c r="DN2479" s="24"/>
      <c r="DO2479" s="24"/>
      <c r="DP2479" s="24"/>
      <c r="DQ2479" s="24"/>
      <c r="DR2479" s="24"/>
      <c r="DS2479" s="24"/>
      <c r="DT2479" s="24"/>
      <c r="DU2479" s="24"/>
    </row>
    <row r="2480" spans="1:125" s="8" customFormat="1" ht="72" x14ac:dyDescent="0.2">
      <c r="A2480" s="353">
        <v>41480</v>
      </c>
      <c r="B2480" s="352" t="s">
        <v>2847</v>
      </c>
      <c r="C2480" s="354" t="s">
        <v>2814</v>
      </c>
      <c r="D2480" s="354" t="s">
        <v>2846</v>
      </c>
      <c r="E2480" s="353" t="str">
        <f>VLOOKUP(B2480&amp;C2480,Divipola!$C$2:$F$1138,4,FALSE)</f>
        <v>68307</v>
      </c>
      <c r="F2480" s="87"/>
      <c r="G2480" s="87"/>
      <c r="H2480" s="87"/>
      <c r="I2480" s="87"/>
      <c r="J2480" s="87"/>
      <c r="K2480" s="87"/>
      <c r="L2480" s="87"/>
      <c r="M2480" s="87"/>
      <c r="N2480" s="87"/>
      <c r="O2480" s="87"/>
      <c r="P2480" s="87"/>
      <c r="Q2480" s="87"/>
      <c r="R2480" s="87"/>
      <c r="S2480" s="87"/>
      <c r="T2480" s="87"/>
      <c r="U2480" s="88">
        <v>1</v>
      </c>
      <c r="V2480" s="89"/>
      <c r="W2480" s="96">
        <v>0</v>
      </c>
      <c r="X2480" s="71">
        <f>CU2480</f>
        <v>0</v>
      </c>
      <c r="Y2480" s="71">
        <f>CY2480</f>
        <v>0</v>
      </c>
      <c r="Z2480" s="71">
        <f>DA2480+DC2480+DE2480</f>
        <v>0</v>
      </c>
      <c r="AA2480" s="71">
        <f>CW2480</f>
        <v>0</v>
      </c>
      <c r="AB2480" s="71"/>
      <c r="AC2480" s="71">
        <v>0</v>
      </c>
      <c r="AD2480" s="71">
        <f>W2480+X2480+Y2480+Z2480+AA2480+AB2480+AC2480</f>
        <v>0</v>
      </c>
      <c r="AE2480" s="72">
        <v>0</v>
      </c>
      <c r="AF2480" s="5"/>
      <c r="AG2480" s="6"/>
      <c r="AH2480" s="27"/>
      <c r="AI2480" s="44"/>
      <c r="AJ2480" s="26"/>
      <c r="AK2480" s="5"/>
      <c r="AL2480" s="82" t="s">
        <v>5336</v>
      </c>
      <c r="AM2480" s="76"/>
      <c r="AN2480" s="76"/>
      <c r="AO2480" s="76"/>
      <c r="AP2480" s="76"/>
      <c r="AQ2480" s="76"/>
      <c r="AR2480" s="76"/>
      <c r="AS2480" s="76"/>
      <c r="AT2480" s="76"/>
      <c r="AU2480" s="76"/>
      <c r="AV2480" s="76"/>
      <c r="AW2480" s="76"/>
      <c r="AX2480" s="76">
        <f>+AW2480*600000</f>
        <v>0</v>
      </c>
      <c r="AY2480" s="76"/>
      <c r="AZ2480" s="76">
        <f>+AY2480*70000</f>
        <v>0</v>
      </c>
      <c r="BA2480" s="76"/>
      <c r="BB2480" s="76"/>
      <c r="BC2480" s="76"/>
      <c r="BD2480" s="76">
        <f>+BC2480*30000</f>
        <v>0</v>
      </c>
      <c r="BE2480" s="76"/>
      <c r="BF2480" s="76"/>
      <c r="BG2480" s="76"/>
      <c r="BH2480" s="76"/>
      <c r="BI2480" s="76"/>
      <c r="BJ2480" s="76"/>
      <c r="BK2480" s="76"/>
      <c r="BL2480" s="76">
        <f>+BK2480*31500</f>
        <v>0</v>
      </c>
      <c r="BM2480" s="76"/>
      <c r="BN2480" s="76"/>
      <c r="BO2480" s="76"/>
      <c r="BP2480" s="76"/>
      <c r="BQ2480" s="76"/>
      <c r="BR2480" s="76"/>
      <c r="BS2480" s="76"/>
      <c r="BT2480" s="76"/>
      <c r="BU2480" s="76"/>
      <c r="BV2480" s="76"/>
      <c r="BW2480" s="76"/>
      <c r="BX2480" s="76"/>
      <c r="BY2480" s="76"/>
      <c r="BZ2480" s="76"/>
      <c r="CA2480" s="76"/>
      <c r="CB2480" s="76"/>
      <c r="CC2480" s="76"/>
      <c r="CD2480" s="76"/>
      <c r="CE2480" s="76"/>
      <c r="CF2480" s="76">
        <f>+CE2480*28000</f>
        <v>0</v>
      </c>
      <c r="CG2480" s="76"/>
      <c r="CH2480" s="76">
        <f>+CG2480*22500</f>
        <v>0</v>
      </c>
      <c r="CI2480" s="76"/>
      <c r="CJ2480" s="76">
        <f>+CI2480*26000</f>
        <v>0</v>
      </c>
      <c r="CK2480" s="76"/>
      <c r="CL2480" s="76"/>
      <c r="CM2480" s="76"/>
      <c r="CN2480" s="76">
        <f>+CM2480*22000</f>
        <v>0</v>
      </c>
      <c r="CO2480" s="76"/>
      <c r="CP2480" s="76">
        <f>+CO2480*46000</f>
        <v>0</v>
      </c>
      <c r="CQ2480" s="76"/>
      <c r="CR2480" s="76">
        <f>+CQ2480*49000</f>
        <v>0</v>
      </c>
      <c r="CS2480" s="76"/>
      <c r="CT2480" s="76"/>
      <c r="CU2480" s="56">
        <f>AN2480+AP2480+AR2480+AT2480+AV2480+AX2480+AZ2480+BB2480+BD2480+BF2480+BH2480+BJ2480+BL2480+BN2480+BP2480+BR2480+BT2480+BV2480+BX2480+BZ2480+CB2480+CD2480+CF2480+CH2480+CJ2480+CL2480+CN2480+CP2480+CR2480+CT2480</f>
        <v>0</v>
      </c>
      <c r="CV2480" s="76"/>
      <c r="CW2480" s="76">
        <f>+CV2480*1100</f>
        <v>0</v>
      </c>
      <c r="CX2480" s="76"/>
      <c r="CY2480" s="76">
        <f>+CX2480*106250</f>
        <v>0</v>
      </c>
      <c r="CZ2480" s="76"/>
      <c r="DA2480" s="76">
        <f>+CZ2480*34500</f>
        <v>0</v>
      </c>
      <c r="DB2480" s="76"/>
      <c r="DC2480" s="76">
        <f>+DB2480*25000</f>
        <v>0</v>
      </c>
      <c r="DD2480" s="219"/>
      <c r="DE2480" s="219"/>
      <c r="DF2480" s="166"/>
      <c r="DG2480" s="116"/>
      <c r="DH2480" s="117"/>
      <c r="DI2480" s="24"/>
      <c r="DJ2480" s="24"/>
      <c r="DK2480" s="24"/>
      <c r="DL2480" s="24"/>
      <c r="DM2480" s="24"/>
      <c r="DN2480" s="24"/>
      <c r="DO2480" s="24"/>
      <c r="DP2480" s="24"/>
      <c r="DQ2480" s="24"/>
      <c r="DR2480" s="24"/>
      <c r="DS2480" s="24"/>
      <c r="DT2480" s="24"/>
      <c r="DU2480" s="24"/>
    </row>
    <row r="2481" spans="1:125" s="8" customFormat="1" ht="60" x14ac:dyDescent="0.2">
      <c r="A2481" s="77">
        <v>41480</v>
      </c>
      <c r="B2481" s="78" t="s">
        <v>2847</v>
      </c>
      <c r="C2481" s="75" t="s">
        <v>2814</v>
      </c>
      <c r="D2481" s="75" t="s">
        <v>2882</v>
      </c>
      <c r="E2481" s="353" t="str">
        <f>VLOOKUP(B2481&amp;C2481,Divipola!$C$2:$F$1138,4,FALSE)</f>
        <v>68307</v>
      </c>
      <c r="F2481" s="61"/>
      <c r="G2481" s="61"/>
      <c r="H2481" s="61"/>
      <c r="I2481" s="61">
        <v>150</v>
      </c>
      <c r="J2481" s="61">
        <v>30</v>
      </c>
      <c r="K2481" s="61"/>
      <c r="L2481" s="61">
        <v>30</v>
      </c>
      <c r="M2481" s="61"/>
      <c r="N2481" s="61"/>
      <c r="O2481" s="61"/>
      <c r="P2481" s="61"/>
      <c r="Q2481" s="61"/>
      <c r="R2481" s="61"/>
      <c r="S2481" s="61"/>
      <c r="T2481" s="61"/>
      <c r="U2481" s="61"/>
      <c r="V2481" s="7"/>
      <c r="W2481" s="96">
        <v>0</v>
      </c>
      <c r="X2481" s="71">
        <f>CU2481</f>
        <v>0</v>
      </c>
      <c r="Y2481" s="71">
        <f>CY2481</f>
        <v>0</v>
      </c>
      <c r="Z2481" s="71">
        <f>DA2481+DC2481+DE2481</f>
        <v>0</v>
      </c>
      <c r="AA2481" s="71">
        <f>CW2481</f>
        <v>0</v>
      </c>
      <c r="AB2481" s="71"/>
      <c r="AC2481" s="71">
        <v>0</v>
      </c>
      <c r="AD2481" s="71">
        <f>W2481+X2481+Y2481+Z2481+AA2481+AB2481+AC2481</f>
        <v>0</v>
      </c>
      <c r="AE2481" s="72">
        <v>0</v>
      </c>
      <c r="AF2481" s="5"/>
      <c r="AG2481" s="6"/>
      <c r="AH2481" s="27"/>
      <c r="AI2481" s="44"/>
      <c r="AJ2481" s="26"/>
      <c r="AK2481" s="5"/>
      <c r="AL2481" s="9" t="s">
        <v>5824</v>
      </c>
      <c r="AM2481" s="76"/>
      <c r="AN2481" s="76"/>
      <c r="AO2481" s="76"/>
      <c r="AP2481" s="76"/>
      <c r="AQ2481" s="76"/>
      <c r="AR2481" s="76"/>
      <c r="AS2481" s="76"/>
      <c r="AT2481" s="76"/>
      <c r="AU2481" s="76"/>
      <c r="AV2481" s="76"/>
      <c r="AW2481" s="76"/>
      <c r="AX2481" s="76">
        <f>+AW2481*600000</f>
        <v>0</v>
      </c>
      <c r="AY2481" s="76"/>
      <c r="AZ2481" s="76">
        <f>+AY2481*70000</f>
        <v>0</v>
      </c>
      <c r="BA2481" s="76"/>
      <c r="BB2481" s="76"/>
      <c r="BC2481" s="76"/>
      <c r="BD2481" s="76">
        <f>+BC2481*30000</f>
        <v>0</v>
      </c>
      <c r="BE2481" s="76"/>
      <c r="BF2481" s="76"/>
      <c r="BG2481" s="76"/>
      <c r="BH2481" s="76"/>
      <c r="BI2481" s="76"/>
      <c r="BJ2481" s="76"/>
      <c r="BK2481" s="76"/>
      <c r="BL2481" s="76">
        <f>+BK2481*31500</f>
        <v>0</v>
      </c>
      <c r="BM2481" s="76"/>
      <c r="BN2481" s="76"/>
      <c r="BO2481" s="76"/>
      <c r="BP2481" s="76"/>
      <c r="BQ2481" s="76"/>
      <c r="BR2481" s="76"/>
      <c r="BS2481" s="76"/>
      <c r="BT2481" s="76"/>
      <c r="BU2481" s="76"/>
      <c r="BV2481" s="76"/>
      <c r="BW2481" s="76"/>
      <c r="BX2481" s="76"/>
      <c r="BY2481" s="76"/>
      <c r="BZ2481" s="76"/>
      <c r="CA2481" s="76"/>
      <c r="CB2481" s="76"/>
      <c r="CC2481" s="76"/>
      <c r="CD2481" s="76"/>
      <c r="CE2481" s="76"/>
      <c r="CF2481" s="76">
        <f>+CE2481*28000</f>
        <v>0</v>
      </c>
      <c r="CG2481" s="76"/>
      <c r="CH2481" s="76">
        <f>+CG2481*22500</f>
        <v>0</v>
      </c>
      <c r="CI2481" s="76"/>
      <c r="CJ2481" s="76">
        <f>+CI2481*26000</f>
        <v>0</v>
      </c>
      <c r="CK2481" s="76"/>
      <c r="CL2481" s="76"/>
      <c r="CM2481" s="76"/>
      <c r="CN2481" s="76">
        <f>+CM2481*22000</f>
        <v>0</v>
      </c>
      <c r="CO2481" s="76"/>
      <c r="CP2481" s="76">
        <f>+CO2481*46000</f>
        <v>0</v>
      </c>
      <c r="CQ2481" s="76"/>
      <c r="CR2481" s="76">
        <f>+CQ2481*49000</f>
        <v>0</v>
      </c>
      <c r="CS2481" s="76"/>
      <c r="CT2481" s="76"/>
      <c r="CU2481" s="56">
        <f>AN2481+AP2481+AR2481+AT2481+AV2481+AX2481+AZ2481+BB2481+BD2481+BF2481+BH2481+BJ2481+BL2481+BN2481+BP2481+BR2481+BT2481+BV2481+BX2481+BZ2481+CB2481+CD2481+CF2481+CH2481+CJ2481+CL2481+CN2481+CP2481+CR2481+CT2481</f>
        <v>0</v>
      </c>
      <c r="CV2481" s="76"/>
      <c r="CW2481" s="76">
        <f>+CV2481*1100</f>
        <v>0</v>
      </c>
      <c r="CX2481" s="76"/>
      <c r="CY2481" s="76">
        <f>+CX2481*106250</f>
        <v>0</v>
      </c>
      <c r="CZ2481" s="76"/>
      <c r="DA2481" s="76">
        <f>+CZ2481*34500</f>
        <v>0</v>
      </c>
      <c r="DB2481" s="76"/>
      <c r="DC2481" s="76">
        <f>+DB2481*25000</f>
        <v>0</v>
      </c>
      <c r="DD2481" s="219"/>
      <c r="DE2481" s="219"/>
      <c r="DF2481" s="166"/>
      <c r="DG2481" s="116"/>
      <c r="DH2481" s="117"/>
      <c r="DI2481" s="24"/>
      <c r="DJ2481" s="24"/>
      <c r="DK2481" s="24"/>
      <c r="DL2481" s="24"/>
      <c r="DM2481" s="24"/>
      <c r="DN2481" s="24"/>
      <c r="DO2481" s="24"/>
      <c r="DP2481" s="24"/>
      <c r="DQ2481" s="24"/>
      <c r="DR2481" s="24"/>
      <c r="DS2481" s="24"/>
      <c r="DT2481" s="24"/>
      <c r="DU2481" s="24"/>
    </row>
    <row r="2482" spans="1:125" s="8" customFormat="1" ht="96" x14ac:dyDescent="0.2">
      <c r="A2482" s="353">
        <v>41480</v>
      </c>
      <c r="B2482" s="352" t="s">
        <v>2847</v>
      </c>
      <c r="C2482" s="354" t="s">
        <v>2136</v>
      </c>
      <c r="D2482" s="354" t="s">
        <v>2882</v>
      </c>
      <c r="E2482" s="353" t="str">
        <f>VLOOKUP(B2482&amp;C2482,Divipola!$C$2:$F$1138,4,FALSE)</f>
        <v>68689</v>
      </c>
      <c r="F2482" s="87"/>
      <c r="G2482" s="87"/>
      <c r="H2482" s="87"/>
      <c r="I2482" s="87"/>
      <c r="J2482" s="87"/>
      <c r="K2482" s="87"/>
      <c r="L2482" s="87"/>
      <c r="M2482" s="87"/>
      <c r="N2482" s="87"/>
      <c r="O2482" s="87"/>
      <c r="P2482" s="87"/>
      <c r="Q2482" s="87"/>
      <c r="R2482" s="87"/>
      <c r="S2482" s="87"/>
      <c r="T2482" s="87"/>
      <c r="U2482" s="88"/>
      <c r="V2482" s="89"/>
      <c r="W2482" s="96">
        <v>0</v>
      </c>
      <c r="X2482" s="71">
        <f>CU2482</f>
        <v>0</v>
      </c>
      <c r="Y2482" s="71">
        <f>CY2482</f>
        <v>0</v>
      </c>
      <c r="Z2482" s="71">
        <f>DA2482+DC2482+DE2482</f>
        <v>0</v>
      </c>
      <c r="AA2482" s="71">
        <f>CW2482</f>
        <v>0</v>
      </c>
      <c r="AB2482" s="71"/>
      <c r="AC2482" s="71">
        <v>0</v>
      </c>
      <c r="AD2482" s="71">
        <f>W2482+X2482+Y2482+Z2482+AA2482+AB2482+AC2482</f>
        <v>0</v>
      </c>
      <c r="AE2482" s="72">
        <v>0</v>
      </c>
      <c r="AF2482" s="5"/>
      <c r="AG2482" s="6"/>
      <c r="AH2482" s="27"/>
      <c r="AI2482" s="44"/>
      <c r="AJ2482" s="26"/>
      <c r="AK2482" s="5"/>
      <c r="AL2482" s="82" t="s">
        <v>5337</v>
      </c>
      <c r="AM2482" s="76"/>
      <c r="AN2482" s="76"/>
      <c r="AO2482" s="76"/>
      <c r="AP2482" s="76"/>
      <c r="AQ2482" s="76"/>
      <c r="AR2482" s="76"/>
      <c r="AS2482" s="76"/>
      <c r="AT2482" s="76"/>
      <c r="AU2482" s="76"/>
      <c r="AV2482" s="76"/>
      <c r="AW2482" s="76"/>
      <c r="AX2482" s="76">
        <f>+AW2482*600000</f>
        <v>0</v>
      </c>
      <c r="AY2482" s="76"/>
      <c r="AZ2482" s="76">
        <f>+AY2482*70000</f>
        <v>0</v>
      </c>
      <c r="BA2482" s="76"/>
      <c r="BB2482" s="76"/>
      <c r="BC2482" s="76"/>
      <c r="BD2482" s="76">
        <f>+BC2482*30000</f>
        <v>0</v>
      </c>
      <c r="BE2482" s="76"/>
      <c r="BF2482" s="76"/>
      <c r="BG2482" s="76"/>
      <c r="BH2482" s="76"/>
      <c r="BI2482" s="76"/>
      <c r="BJ2482" s="76"/>
      <c r="BK2482" s="76"/>
      <c r="BL2482" s="76">
        <f>+BK2482*31500</f>
        <v>0</v>
      </c>
      <c r="BM2482" s="76"/>
      <c r="BN2482" s="76"/>
      <c r="BO2482" s="76"/>
      <c r="BP2482" s="76"/>
      <c r="BQ2482" s="76"/>
      <c r="BR2482" s="76"/>
      <c r="BS2482" s="76"/>
      <c r="BT2482" s="76"/>
      <c r="BU2482" s="76"/>
      <c r="BV2482" s="76"/>
      <c r="BW2482" s="76"/>
      <c r="BX2482" s="76"/>
      <c r="BY2482" s="76"/>
      <c r="BZ2482" s="76"/>
      <c r="CA2482" s="76"/>
      <c r="CB2482" s="76"/>
      <c r="CC2482" s="76"/>
      <c r="CD2482" s="76"/>
      <c r="CE2482" s="76"/>
      <c r="CF2482" s="76">
        <f>+CE2482*28000</f>
        <v>0</v>
      </c>
      <c r="CG2482" s="76"/>
      <c r="CH2482" s="76">
        <f>+CG2482*22500</f>
        <v>0</v>
      </c>
      <c r="CI2482" s="76"/>
      <c r="CJ2482" s="76">
        <f>+CI2482*26000</f>
        <v>0</v>
      </c>
      <c r="CK2482" s="76"/>
      <c r="CL2482" s="76"/>
      <c r="CM2482" s="76"/>
      <c r="CN2482" s="76">
        <f>+CM2482*22000</f>
        <v>0</v>
      </c>
      <c r="CO2482" s="76"/>
      <c r="CP2482" s="76">
        <f>+CO2482*46000</f>
        <v>0</v>
      </c>
      <c r="CQ2482" s="76"/>
      <c r="CR2482" s="76">
        <f>+CQ2482*49000</f>
        <v>0</v>
      </c>
      <c r="CS2482" s="76"/>
      <c r="CT2482" s="76"/>
      <c r="CU2482" s="56">
        <f>AN2482+AP2482+AR2482+AT2482+AV2482+AX2482+AZ2482+BB2482+BD2482+BF2482+BH2482+BJ2482+BL2482+BN2482+BP2482+BR2482+BT2482+BV2482+BX2482+BZ2482+CB2482+CD2482+CF2482+CH2482+CJ2482+CL2482+CN2482+CP2482+CR2482+CT2482</f>
        <v>0</v>
      </c>
      <c r="CV2482" s="76"/>
      <c r="CW2482" s="76">
        <f>+CV2482*1100</f>
        <v>0</v>
      </c>
      <c r="CX2482" s="76"/>
      <c r="CY2482" s="76">
        <f>+CX2482*106250</f>
        <v>0</v>
      </c>
      <c r="CZ2482" s="76"/>
      <c r="DA2482" s="76">
        <f>+CZ2482*34500</f>
        <v>0</v>
      </c>
      <c r="DB2482" s="76"/>
      <c r="DC2482" s="76">
        <f>+DB2482*25000</f>
        <v>0</v>
      </c>
      <c r="DD2482" s="219"/>
      <c r="DE2482" s="219"/>
      <c r="DF2482" s="166"/>
      <c r="DG2482" s="116"/>
      <c r="DH2482" s="117"/>
      <c r="DI2482" s="24"/>
      <c r="DJ2482" s="24"/>
      <c r="DK2482" s="24"/>
      <c r="DL2482" s="24"/>
      <c r="DM2482" s="24"/>
      <c r="DN2482" s="24"/>
      <c r="DO2482" s="24"/>
      <c r="DP2482" s="24"/>
      <c r="DQ2482" s="24"/>
      <c r="DR2482" s="24"/>
      <c r="DS2482" s="24"/>
      <c r="DT2482" s="24"/>
      <c r="DU2482" s="24"/>
    </row>
    <row r="2483" spans="1:125" s="8" customFormat="1" ht="72" x14ac:dyDescent="0.2">
      <c r="A2483" s="353">
        <v>41480</v>
      </c>
      <c r="B2483" s="352" t="s">
        <v>2848</v>
      </c>
      <c r="C2483" s="227" t="s">
        <v>2675</v>
      </c>
      <c r="D2483" s="354" t="s">
        <v>2846</v>
      </c>
      <c r="E2483" s="353" t="str">
        <f>VLOOKUP(B2483&amp;C2483,Divipola!$C$2:$F$1138,4,FALSE)</f>
        <v>73349</v>
      </c>
      <c r="F2483" s="87"/>
      <c r="G2483" s="87"/>
      <c r="H2483" s="87"/>
      <c r="I2483" s="87"/>
      <c r="J2483" s="87"/>
      <c r="K2483" s="87"/>
      <c r="L2483" s="87"/>
      <c r="M2483" s="87"/>
      <c r="N2483" s="87"/>
      <c r="O2483" s="87"/>
      <c r="P2483" s="87"/>
      <c r="Q2483" s="87"/>
      <c r="R2483" s="87"/>
      <c r="S2483" s="87"/>
      <c r="T2483" s="87"/>
      <c r="U2483" s="88">
        <v>11</v>
      </c>
      <c r="V2483" s="89"/>
      <c r="W2483" s="96">
        <v>0</v>
      </c>
      <c r="X2483" s="71">
        <f>CU2483</f>
        <v>0</v>
      </c>
      <c r="Y2483" s="71">
        <f>CY2483</f>
        <v>0</v>
      </c>
      <c r="Z2483" s="71">
        <f>DA2483+DC2483+DE2483</f>
        <v>0</v>
      </c>
      <c r="AA2483" s="71">
        <f>CW2483</f>
        <v>0</v>
      </c>
      <c r="AB2483" s="71"/>
      <c r="AC2483" s="71">
        <v>0</v>
      </c>
      <c r="AD2483" s="71">
        <f>W2483+X2483+Y2483+Z2483+AA2483+AB2483+AC2483</f>
        <v>0</v>
      </c>
      <c r="AE2483" s="72">
        <v>0</v>
      </c>
      <c r="AF2483" s="5"/>
      <c r="AG2483" s="6"/>
      <c r="AH2483" s="27"/>
      <c r="AI2483" s="44"/>
      <c r="AJ2483" s="26"/>
      <c r="AK2483" s="5"/>
      <c r="AL2483" s="82" t="s">
        <v>5334</v>
      </c>
      <c r="AM2483" s="76"/>
      <c r="AN2483" s="76"/>
      <c r="AO2483" s="76"/>
      <c r="AP2483" s="76"/>
      <c r="AQ2483" s="76"/>
      <c r="AR2483" s="76"/>
      <c r="AS2483" s="76"/>
      <c r="AT2483" s="76"/>
      <c r="AU2483" s="76"/>
      <c r="AV2483" s="76"/>
      <c r="AW2483" s="76"/>
      <c r="AX2483" s="76">
        <f>+AW2483*600000</f>
        <v>0</v>
      </c>
      <c r="AY2483" s="76"/>
      <c r="AZ2483" s="76">
        <f>+AY2483*70000</f>
        <v>0</v>
      </c>
      <c r="BA2483" s="76"/>
      <c r="BB2483" s="76"/>
      <c r="BC2483" s="76"/>
      <c r="BD2483" s="76">
        <f>+BC2483*30000</f>
        <v>0</v>
      </c>
      <c r="BE2483" s="76"/>
      <c r="BF2483" s="76"/>
      <c r="BG2483" s="76"/>
      <c r="BH2483" s="76"/>
      <c r="BI2483" s="76"/>
      <c r="BJ2483" s="76"/>
      <c r="BK2483" s="76"/>
      <c r="BL2483" s="76">
        <f>+BK2483*31500</f>
        <v>0</v>
      </c>
      <c r="BM2483" s="76"/>
      <c r="BN2483" s="76"/>
      <c r="BO2483" s="76"/>
      <c r="BP2483" s="76"/>
      <c r="BQ2483" s="76"/>
      <c r="BR2483" s="76"/>
      <c r="BS2483" s="76"/>
      <c r="BT2483" s="76"/>
      <c r="BU2483" s="76"/>
      <c r="BV2483" s="76"/>
      <c r="BW2483" s="76"/>
      <c r="BX2483" s="76"/>
      <c r="BY2483" s="76"/>
      <c r="BZ2483" s="76"/>
      <c r="CA2483" s="76"/>
      <c r="CB2483" s="76"/>
      <c r="CC2483" s="76"/>
      <c r="CD2483" s="76"/>
      <c r="CE2483" s="76"/>
      <c r="CF2483" s="76">
        <f>+CE2483*28000</f>
        <v>0</v>
      </c>
      <c r="CG2483" s="76"/>
      <c r="CH2483" s="76">
        <f>+CG2483*22500</f>
        <v>0</v>
      </c>
      <c r="CI2483" s="76"/>
      <c r="CJ2483" s="76">
        <f>+CI2483*26000</f>
        <v>0</v>
      </c>
      <c r="CK2483" s="76"/>
      <c r="CL2483" s="76"/>
      <c r="CM2483" s="76"/>
      <c r="CN2483" s="76">
        <f>+CM2483*22000</f>
        <v>0</v>
      </c>
      <c r="CO2483" s="76"/>
      <c r="CP2483" s="76">
        <f>+CO2483*46000</f>
        <v>0</v>
      </c>
      <c r="CQ2483" s="76"/>
      <c r="CR2483" s="76">
        <f>+CQ2483*49000</f>
        <v>0</v>
      </c>
      <c r="CS2483" s="76"/>
      <c r="CT2483" s="76"/>
      <c r="CU2483" s="56">
        <f>AN2483+AP2483+AR2483+AT2483+AV2483+AX2483+AZ2483+BB2483+BD2483+BF2483+BH2483+BJ2483+BL2483+BN2483+BP2483+BR2483+BT2483+BV2483+BX2483+BZ2483+CB2483+CD2483+CF2483+CH2483+CJ2483+CL2483+CN2483+CP2483+CR2483+CT2483</f>
        <v>0</v>
      </c>
      <c r="CV2483" s="76"/>
      <c r="CW2483" s="76">
        <f>+CV2483*1100</f>
        <v>0</v>
      </c>
      <c r="CX2483" s="76"/>
      <c r="CY2483" s="76">
        <f>+CX2483*106250</f>
        <v>0</v>
      </c>
      <c r="CZ2483" s="76"/>
      <c r="DA2483" s="76">
        <f>+CZ2483*34500</f>
        <v>0</v>
      </c>
      <c r="DB2483" s="76"/>
      <c r="DC2483" s="76">
        <f>+DB2483*25000</f>
        <v>0</v>
      </c>
      <c r="DD2483" s="219"/>
      <c r="DE2483" s="219"/>
      <c r="DF2483" s="166"/>
      <c r="DG2483" s="116"/>
      <c r="DH2483" s="117"/>
      <c r="DI2483" s="24"/>
      <c r="DJ2483" s="24"/>
      <c r="DK2483" s="24"/>
      <c r="DL2483" s="24"/>
      <c r="DM2483" s="24"/>
      <c r="DN2483" s="24"/>
      <c r="DO2483" s="24"/>
      <c r="DP2483" s="24"/>
      <c r="DQ2483" s="24"/>
      <c r="DR2483" s="24"/>
      <c r="DS2483" s="24"/>
      <c r="DT2483" s="24"/>
      <c r="DU2483" s="24"/>
    </row>
    <row r="2484" spans="1:125" s="8" customFormat="1" ht="36" x14ac:dyDescent="0.2">
      <c r="A2484" s="353">
        <v>41480</v>
      </c>
      <c r="B2484" s="352" t="s">
        <v>2848</v>
      </c>
      <c r="C2484" s="354" t="s">
        <v>2755</v>
      </c>
      <c r="D2484" s="354" t="s">
        <v>2846</v>
      </c>
      <c r="E2484" s="353" t="str">
        <f>VLOOKUP(B2484&amp;C2484,Divipola!$C$2:$F$1138,4,FALSE)</f>
        <v>73001</v>
      </c>
      <c r="F2484" s="87"/>
      <c r="G2484" s="87"/>
      <c r="H2484" s="87"/>
      <c r="I2484" s="87"/>
      <c r="J2484" s="87"/>
      <c r="K2484" s="87"/>
      <c r="L2484" s="87"/>
      <c r="M2484" s="87"/>
      <c r="N2484" s="87"/>
      <c r="O2484" s="87"/>
      <c r="P2484" s="87"/>
      <c r="Q2484" s="87"/>
      <c r="R2484" s="87"/>
      <c r="S2484" s="87"/>
      <c r="T2484" s="87"/>
      <c r="U2484" s="88">
        <v>1</v>
      </c>
      <c r="V2484" s="89"/>
      <c r="W2484" s="96">
        <v>0</v>
      </c>
      <c r="X2484" s="71">
        <f>CU2484</f>
        <v>0</v>
      </c>
      <c r="Y2484" s="71">
        <f>CY2484</f>
        <v>0</v>
      </c>
      <c r="Z2484" s="71">
        <f>DA2484+DC2484+DE2484</f>
        <v>0</v>
      </c>
      <c r="AA2484" s="71">
        <f>CW2484</f>
        <v>0</v>
      </c>
      <c r="AB2484" s="71"/>
      <c r="AC2484" s="71">
        <v>0</v>
      </c>
      <c r="AD2484" s="71">
        <f>W2484+X2484+Y2484+Z2484+AA2484+AB2484+AC2484</f>
        <v>0</v>
      </c>
      <c r="AE2484" s="72">
        <v>0</v>
      </c>
      <c r="AF2484" s="5"/>
      <c r="AG2484" s="6"/>
      <c r="AH2484" s="27"/>
      <c r="AI2484" s="44"/>
      <c r="AJ2484" s="26"/>
      <c r="AK2484" s="5"/>
      <c r="AL2484" s="82" t="s">
        <v>5333</v>
      </c>
      <c r="AM2484" s="76"/>
      <c r="AN2484" s="76"/>
      <c r="AO2484" s="76"/>
      <c r="AP2484" s="76"/>
      <c r="AQ2484" s="76"/>
      <c r="AR2484" s="76"/>
      <c r="AS2484" s="76"/>
      <c r="AT2484" s="76"/>
      <c r="AU2484" s="76"/>
      <c r="AV2484" s="76"/>
      <c r="AW2484" s="76"/>
      <c r="AX2484" s="76">
        <f>+AW2484*600000</f>
        <v>0</v>
      </c>
      <c r="AY2484" s="76"/>
      <c r="AZ2484" s="76">
        <f>+AY2484*70000</f>
        <v>0</v>
      </c>
      <c r="BA2484" s="76"/>
      <c r="BB2484" s="76"/>
      <c r="BC2484" s="76"/>
      <c r="BD2484" s="76">
        <f>+BC2484*30000</f>
        <v>0</v>
      </c>
      <c r="BE2484" s="76"/>
      <c r="BF2484" s="76"/>
      <c r="BG2484" s="76"/>
      <c r="BH2484" s="76"/>
      <c r="BI2484" s="76"/>
      <c r="BJ2484" s="76"/>
      <c r="BK2484" s="76"/>
      <c r="BL2484" s="76">
        <f>+BK2484*31500</f>
        <v>0</v>
      </c>
      <c r="BM2484" s="76"/>
      <c r="BN2484" s="76"/>
      <c r="BO2484" s="76"/>
      <c r="BP2484" s="76"/>
      <c r="BQ2484" s="76"/>
      <c r="BR2484" s="76"/>
      <c r="BS2484" s="76"/>
      <c r="BT2484" s="76"/>
      <c r="BU2484" s="76"/>
      <c r="BV2484" s="76"/>
      <c r="BW2484" s="76"/>
      <c r="BX2484" s="76"/>
      <c r="BY2484" s="76"/>
      <c r="BZ2484" s="76"/>
      <c r="CA2484" s="76"/>
      <c r="CB2484" s="76"/>
      <c r="CC2484" s="76"/>
      <c r="CD2484" s="76"/>
      <c r="CE2484" s="76"/>
      <c r="CF2484" s="76">
        <f>+CE2484*28000</f>
        <v>0</v>
      </c>
      <c r="CG2484" s="76"/>
      <c r="CH2484" s="76">
        <f>+CG2484*22500</f>
        <v>0</v>
      </c>
      <c r="CI2484" s="76"/>
      <c r="CJ2484" s="76">
        <f>+CI2484*26000</f>
        <v>0</v>
      </c>
      <c r="CK2484" s="76"/>
      <c r="CL2484" s="76"/>
      <c r="CM2484" s="76"/>
      <c r="CN2484" s="76">
        <f>+CM2484*22000</f>
        <v>0</v>
      </c>
      <c r="CO2484" s="76"/>
      <c r="CP2484" s="76">
        <f>+CO2484*46000</f>
        <v>0</v>
      </c>
      <c r="CQ2484" s="76"/>
      <c r="CR2484" s="76">
        <f>+CQ2484*49000</f>
        <v>0</v>
      </c>
      <c r="CS2484" s="76"/>
      <c r="CT2484" s="76"/>
      <c r="CU2484" s="56">
        <f>AN2484+AP2484+AR2484+AT2484+AV2484+AX2484+AZ2484+BB2484+BD2484+BF2484+BH2484+BJ2484+BL2484+BN2484+BP2484+BR2484+BT2484+BV2484+BX2484+BZ2484+CB2484+CD2484+CF2484+CH2484+CJ2484+CL2484+CN2484+CP2484+CR2484+CT2484</f>
        <v>0</v>
      </c>
      <c r="CV2484" s="76"/>
      <c r="CW2484" s="76">
        <f>+CV2484*1100</f>
        <v>0</v>
      </c>
      <c r="CX2484" s="76"/>
      <c r="CY2484" s="76">
        <f>+CX2484*106250</f>
        <v>0</v>
      </c>
      <c r="CZ2484" s="76"/>
      <c r="DA2484" s="76">
        <f>+CZ2484*34500</f>
        <v>0</v>
      </c>
      <c r="DB2484" s="76"/>
      <c r="DC2484" s="76">
        <f>+DB2484*25000</f>
        <v>0</v>
      </c>
      <c r="DD2484" s="219"/>
      <c r="DE2484" s="219"/>
      <c r="DF2484" s="166"/>
      <c r="DG2484" s="116"/>
      <c r="DH2484" s="117"/>
      <c r="DI2484" s="24"/>
      <c r="DJ2484" s="24"/>
      <c r="DK2484" s="24"/>
      <c r="DL2484" s="24"/>
      <c r="DM2484" s="24"/>
      <c r="DN2484" s="24"/>
      <c r="DO2484" s="24"/>
      <c r="DP2484" s="24"/>
      <c r="DQ2484" s="24"/>
      <c r="DR2484" s="24"/>
      <c r="DS2484" s="24"/>
      <c r="DT2484" s="24"/>
      <c r="DU2484" s="24"/>
    </row>
    <row r="2485" spans="1:125" s="8" customFormat="1" ht="192" x14ac:dyDescent="0.2">
      <c r="A2485" s="353">
        <v>41480</v>
      </c>
      <c r="B2485" s="352" t="s">
        <v>2848</v>
      </c>
      <c r="C2485" s="227" t="s">
        <v>1891</v>
      </c>
      <c r="D2485" s="227" t="s">
        <v>2846</v>
      </c>
      <c r="E2485" s="353" t="str">
        <f>VLOOKUP(B2485&amp;C2485,Divipola!$C$2:$F$1138,4,FALSE)</f>
        <v>73461</v>
      </c>
      <c r="F2485" s="87"/>
      <c r="G2485" s="87"/>
      <c r="H2485" s="87"/>
      <c r="I2485" s="87"/>
      <c r="J2485" s="87"/>
      <c r="K2485" s="87"/>
      <c r="L2485" s="87"/>
      <c r="M2485" s="87"/>
      <c r="N2485" s="87"/>
      <c r="O2485" s="87"/>
      <c r="P2485" s="87"/>
      <c r="Q2485" s="87"/>
      <c r="R2485" s="87"/>
      <c r="S2485" s="87"/>
      <c r="T2485" s="87"/>
      <c r="U2485" s="88"/>
      <c r="V2485" s="89"/>
      <c r="W2485" s="96">
        <v>0</v>
      </c>
      <c r="X2485" s="71">
        <f>CU2485</f>
        <v>0</v>
      </c>
      <c r="Y2485" s="71">
        <f>CY2485</f>
        <v>0</v>
      </c>
      <c r="Z2485" s="71">
        <f>DA2485+DC2485+DE2485</f>
        <v>0</v>
      </c>
      <c r="AA2485" s="71">
        <f>CW2485</f>
        <v>0</v>
      </c>
      <c r="AB2485" s="71"/>
      <c r="AC2485" s="71">
        <v>0</v>
      </c>
      <c r="AD2485" s="71">
        <f>W2485+X2485+Y2485+Z2485+AA2485+AB2485+AC2485</f>
        <v>0</v>
      </c>
      <c r="AE2485" s="72">
        <v>0</v>
      </c>
      <c r="AF2485" s="5"/>
      <c r="AG2485" s="6"/>
      <c r="AH2485" s="27"/>
      <c r="AI2485" s="44"/>
      <c r="AJ2485" s="26"/>
      <c r="AK2485" s="5"/>
      <c r="AL2485" s="82" t="s">
        <v>5351</v>
      </c>
      <c r="AM2485" s="76"/>
      <c r="AN2485" s="76"/>
      <c r="AO2485" s="76"/>
      <c r="AP2485" s="76"/>
      <c r="AQ2485" s="76"/>
      <c r="AR2485" s="76"/>
      <c r="AS2485" s="76"/>
      <c r="AT2485" s="76"/>
      <c r="AU2485" s="76"/>
      <c r="AV2485" s="76"/>
      <c r="AW2485" s="76"/>
      <c r="AX2485" s="76">
        <f>+AW2485*600000</f>
        <v>0</v>
      </c>
      <c r="AY2485" s="76"/>
      <c r="AZ2485" s="76">
        <f>+AY2485*70000</f>
        <v>0</v>
      </c>
      <c r="BA2485" s="76"/>
      <c r="BB2485" s="76"/>
      <c r="BC2485" s="76"/>
      <c r="BD2485" s="76">
        <f>+BC2485*30000</f>
        <v>0</v>
      </c>
      <c r="BE2485" s="76"/>
      <c r="BF2485" s="76"/>
      <c r="BG2485" s="76"/>
      <c r="BH2485" s="76"/>
      <c r="BI2485" s="76"/>
      <c r="BJ2485" s="76"/>
      <c r="BK2485" s="76"/>
      <c r="BL2485" s="76">
        <f>+BK2485*31500</f>
        <v>0</v>
      </c>
      <c r="BM2485" s="76"/>
      <c r="BN2485" s="76"/>
      <c r="BO2485" s="76"/>
      <c r="BP2485" s="76"/>
      <c r="BQ2485" s="76"/>
      <c r="BR2485" s="76"/>
      <c r="BS2485" s="76"/>
      <c r="BT2485" s="76"/>
      <c r="BU2485" s="76"/>
      <c r="BV2485" s="76"/>
      <c r="BW2485" s="76"/>
      <c r="BX2485" s="76"/>
      <c r="BY2485" s="76"/>
      <c r="BZ2485" s="76"/>
      <c r="CA2485" s="76"/>
      <c r="CB2485" s="76"/>
      <c r="CC2485" s="76"/>
      <c r="CD2485" s="76"/>
      <c r="CE2485" s="76"/>
      <c r="CF2485" s="76">
        <f>+CE2485*28000</f>
        <v>0</v>
      </c>
      <c r="CG2485" s="76"/>
      <c r="CH2485" s="76">
        <f>+CG2485*22500</f>
        <v>0</v>
      </c>
      <c r="CI2485" s="76"/>
      <c r="CJ2485" s="76">
        <f>+CI2485*26000</f>
        <v>0</v>
      </c>
      <c r="CK2485" s="76"/>
      <c r="CL2485" s="76"/>
      <c r="CM2485" s="76"/>
      <c r="CN2485" s="76">
        <f>+CM2485*22000</f>
        <v>0</v>
      </c>
      <c r="CO2485" s="76"/>
      <c r="CP2485" s="76">
        <f>+CO2485*46000</f>
        <v>0</v>
      </c>
      <c r="CQ2485" s="76"/>
      <c r="CR2485" s="76">
        <f>+CQ2485*49000</f>
        <v>0</v>
      </c>
      <c r="CS2485" s="76"/>
      <c r="CT2485" s="76"/>
      <c r="CU2485" s="56">
        <f>AN2485+AP2485+AR2485+AT2485+AV2485+AX2485+AZ2485+BB2485+BD2485+BF2485+BH2485+BJ2485+BL2485+BN2485+BP2485+BR2485+BT2485+BV2485+BX2485+BZ2485+CB2485+CD2485+CF2485+CH2485+CJ2485+CL2485+CN2485+CP2485+CR2485+CT2485</f>
        <v>0</v>
      </c>
      <c r="CV2485" s="76"/>
      <c r="CW2485" s="76">
        <f>+CV2485*1100</f>
        <v>0</v>
      </c>
      <c r="CX2485" s="76"/>
      <c r="CY2485" s="76">
        <f>+CX2485*106250</f>
        <v>0</v>
      </c>
      <c r="CZ2485" s="76"/>
      <c r="DA2485" s="76">
        <f>+CZ2485*34500</f>
        <v>0</v>
      </c>
      <c r="DB2485" s="76"/>
      <c r="DC2485" s="76">
        <f>+DB2485*25000</f>
        <v>0</v>
      </c>
      <c r="DD2485" s="219"/>
      <c r="DE2485" s="219"/>
      <c r="DF2485" s="166"/>
      <c r="DG2485" s="116"/>
      <c r="DH2485" s="117"/>
      <c r="DI2485" s="24"/>
      <c r="DJ2485" s="24"/>
      <c r="DK2485" s="24"/>
      <c r="DL2485" s="24"/>
      <c r="DM2485" s="24"/>
      <c r="DN2485" s="24"/>
      <c r="DO2485" s="24"/>
      <c r="DP2485" s="24"/>
      <c r="DQ2485" s="24"/>
      <c r="DR2485" s="24"/>
      <c r="DS2485" s="24"/>
      <c r="DT2485" s="24"/>
      <c r="DU2485" s="24"/>
    </row>
    <row r="2486" spans="1:125" s="8" customFormat="1" ht="96" x14ac:dyDescent="0.2">
      <c r="A2486" s="226">
        <v>41481</v>
      </c>
      <c r="B2486" s="225" t="s">
        <v>2894</v>
      </c>
      <c r="C2486" s="227" t="s">
        <v>2403</v>
      </c>
      <c r="D2486" s="227" t="s">
        <v>3051</v>
      </c>
      <c r="E2486" s="353" t="str">
        <f>VLOOKUP(B2486&amp;C2486,Divipola!$C$2:$F$1138,4,FALSE)</f>
        <v>05147</v>
      </c>
      <c r="F2486" s="87"/>
      <c r="G2486" s="87"/>
      <c r="H2486" s="87"/>
      <c r="I2486" s="87">
        <v>440</v>
      </c>
      <c r="J2486" s="87">
        <v>88</v>
      </c>
      <c r="K2486" s="87"/>
      <c r="L2486" s="87">
        <v>88</v>
      </c>
      <c r="M2486" s="87"/>
      <c r="N2486" s="87"/>
      <c r="O2486" s="87"/>
      <c r="P2486" s="87"/>
      <c r="Q2486" s="87"/>
      <c r="R2486" s="87"/>
      <c r="S2486" s="87"/>
      <c r="T2486" s="87"/>
      <c r="U2486" s="88"/>
      <c r="V2486" s="89"/>
      <c r="W2486" s="96">
        <v>0</v>
      </c>
      <c r="X2486" s="71">
        <f>CU2486</f>
        <v>0</v>
      </c>
      <c r="Y2486" s="71">
        <f>CY2486</f>
        <v>0</v>
      </c>
      <c r="Z2486" s="71">
        <f>DA2486+DC2486+DE2486</f>
        <v>0</v>
      </c>
      <c r="AA2486" s="71">
        <f>CW2486</f>
        <v>0</v>
      </c>
      <c r="AB2486" s="71"/>
      <c r="AC2486" s="71">
        <v>0</v>
      </c>
      <c r="AD2486" s="71">
        <f>W2486+X2486+Y2486+Z2486+AA2486+AB2486+AC2486</f>
        <v>0</v>
      </c>
      <c r="AE2486" s="72">
        <v>0</v>
      </c>
      <c r="AF2486" s="5"/>
      <c r="AG2486" s="6"/>
      <c r="AH2486" s="27"/>
      <c r="AI2486" s="44"/>
      <c r="AJ2486" s="26"/>
      <c r="AK2486" s="5"/>
      <c r="AL2486" s="82" t="s">
        <v>5358</v>
      </c>
      <c r="AM2486" s="76"/>
      <c r="AN2486" s="76"/>
      <c r="AO2486" s="76"/>
      <c r="AP2486" s="76"/>
      <c r="AQ2486" s="76"/>
      <c r="AR2486" s="76"/>
      <c r="AS2486" s="76"/>
      <c r="AT2486" s="76"/>
      <c r="AU2486" s="76"/>
      <c r="AV2486" s="76"/>
      <c r="AW2486" s="76"/>
      <c r="AX2486" s="76">
        <f>+AW2486*600000</f>
        <v>0</v>
      </c>
      <c r="AY2486" s="76"/>
      <c r="AZ2486" s="76">
        <f>+AY2486*70000</f>
        <v>0</v>
      </c>
      <c r="BA2486" s="76"/>
      <c r="BB2486" s="76"/>
      <c r="BC2486" s="76"/>
      <c r="BD2486" s="76">
        <f>+BC2486*30000</f>
        <v>0</v>
      </c>
      <c r="BE2486" s="76"/>
      <c r="BF2486" s="76"/>
      <c r="BG2486" s="76"/>
      <c r="BH2486" s="76"/>
      <c r="BI2486" s="76"/>
      <c r="BJ2486" s="76"/>
      <c r="BK2486" s="76"/>
      <c r="BL2486" s="76">
        <f>+BK2486*31500</f>
        <v>0</v>
      </c>
      <c r="BM2486" s="76"/>
      <c r="BN2486" s="76"/>
      <c r="BO2486" s="76"/>
      <c r="BP2486" s="76"/>
      <c r="BQ2486" s="76"/>
      <c r="BR2486" s="76"/>
      <c r="BS2486" s="76"/>
      <c r="BT2486" s="76"/>
      <c r="BU2486" s="76"/>
      <c r="BV2486" s="76"/>
      <c r="BW2486" s="76"/>
      <c r="BX2486" s="76"/>
      <c r="BY2486" s="76"/>
      <c r="BZ2486" s="76"/>
      <c r="CA2486" s="76"/>
      <c r="CB2486" s="76"/>
      <c r="CC2486" s="76"/>
      <c r="CD2486" s="76"/>
      <c r="CE2486" s="76"/>
      <c r="CF2486" s="76">
        <f>+CE2486*28000</f>
        <v>0</v>
      </c>
      <c r="CG2486" s="76"/>
      <c r="CH2486" s="76">
        <f>+CG2486*22500</f>
        <v>0</v>
      </c>
      <c r="CI2486" s="76"/>
      <c r="CJ2486" s="76">
        <f>+CI2486*26000</f>
        <v>0</v>
      </c>
      <c r="CK2486" s="76"/>
      <c r="CL2486" s="76"/>
      <c r="CM2486" s="76"/>
      <c r="CN2486" s="76">
        <f>+CM2486*22000</f>
        <v>0</v>
      </c>
      <c r="CO2486" s="76"/>
      <c r="CP2486" s="76">
        <f>+CO2486*46000</f>
        <v>0</v>
      </c>
      <c r="CQ2486" s="76"/>
      <c r="CR2486" s="76">
        <f>+CQ2486*49000</f>
        <v>0</v>
      </c>
      <c r="CS2486" s="76"/>
      <c r="CT2486" s="76"/>
      <c r="CU2486" s="56">
        <f>AN2486+AP2486+AR2486+AT2486+AV2486+AX2486+AZ2486+BB2486+BD2486+BF2486+BH2486+BJ2486+BL2486+BN2486+BP2486+BR2486+BT2486+BV2486+BX2486+BZ2486+CB2486+CD2486+CF2486+CH2486+CJ2486+CL2486+CN2486+CP2486+CR2486+CT2486</f>
        <v>0</v>
      </c>
      <c r="CV2486" s="76"/>
      <c r="CW2486" s="76">
        <f>+CV2486*1100</f>
        <v>0</v>
      </c>
      <c r="CX2486" s="76"/>
      <c r="CY2486" s="76">
        <f>+CX2486*106250</f>
        <v>0</v>
      </c>
      <c r="CZ2486" s="76"/>
      <c r="DA2486" s="76">
        <f>+CZ2486*34500</f>
        <v>0</v>
      </c>
      <c r="DB2486" s="76"/>
      <c r="DC2486" s="76">
        <f>+DB2486*25000</f>
        <v>0</v>
      </c>
      <c r="DD2486" s="219"/>
      <c r="DE2486" s="219"/>
      <c r="DF2486" s="166"/>
      <c r="DG2486" s="116"/>
      <c r="DH2486" s="117"/>
      <c r="DI2486" s="24"/>
      <c r="DJ2486" s="24"/>
      <c r="DK2486" s="24"/>
      <c r="DL2486" s="24"/>
      <c r="DM2486" s="24"/>
      <c r="DN2486" s="24"/>
      <c r="DO2486" s="24"/>
      <c r="DP2486" s="24"/>
      <c r="DQ2486" s="24"/>
      <c r="DR2486" s="24"/>
      <c r="DS2486" s="24"/>
      <c r="DT2486" s="24"/>
      <c r="DU2486" s="24"/>
    </row>
    <row r="2487" spans="1:125" s="8" customFormat="1" ht="72" x14ac:dyDescent="0.2">
      <c r="A2487" s="353">
        <v>41481</v>
      </c>
      <c r="B2487" s="352" t="s">
        <v>2087</v>
      </c>
      <c r="C2487" s="354" t="s">
        <v>1341</v>
      </c>
      <c r="D2487" s="354" t="s">
        <v>3051</v>
      </c>
      <c r="E2487" s="353" t="str">
        <f>VLOOKUP(B2487&amp;C2487,Divipola!$C$2:$F$1138,4,FALSE)</f>
        <v>18460</v>
      </c>
      <c r="F2487" s="87"/>
      <c r="G2487" s="87"/>
      <c r="H2487" s="87"/>
      <c r="I2487" s="87">
        <v>680</v>
      </c>
      <c r="J2487" s="87">
        <v>136</v>
      </c>
      <c r="K2487" s="87"/>
      <c r="L2487" s="87">
        <v>136</v>
      </c>
      <c r="M2487" s="87"/>
      <c r="N2487" s="87"/>
      <c r="O2487" s="87"/>
      <c r="P2487" s="87"/>
      <c r="Q2487" s="87"/>
      <c r="R2487" s="87"/>
      <c r="S2487" s="87"/>
      <c r="T2487" s="87"/>
      <c r="U2487" s="88"/>
      <c r="V2487" s="89"/>
      <c r="W2487" s="96">
        <v>0</v>
      </c>
      <c r="X2487" s="71">
        <f>CU2487</f>
        <v>60969247.359999999</v>
      </c>
      <c r="Y2487" s="71">
        <f>CY2487</f>
        <v>28611821.440000001</v>
      </c>
      <c r="Z2487" s="71">
        <f>DA2487+DC2487+DE2487</f>
        <v>67297400</v>
      </c>
      <c r="AA2487" s="71">
        <f>CW2487</f>
        <v>0</v>
      </c>
      <c r="AB2487" s="71"/>
      <c r="AC2487" s="71">
        <v>0</v>
      </c>
      <c r="AD2487" s="71">
        <f>W2487+X2487+Y2487+Z2487+AA2487+AB2487+AC2487</f>
        <v>156878468.80000001</v>
      </c>
      <c r="AE2487" s="72">
        <v>0</v>
      </c>
      <c r="AF2487" s="5"/>
      <c r="AG2487" s="6"/>
      <c r="AH2487" s="27"/>
      <c r="AI2487" s="44"/>
      <c r="AJ2487" s="26"/>
      <c r="AK2487" s="5"/>
      <c r="AL2487" s="82" t="s">
        <v>5727</v>
      </c>
      <c r="AM2487" s="76"/>
      <c r="AN2487" s="76"/>
      <c r="AO2487" s="76"/>
      <c r="AP2487" s="76"/>
      <c r="AQ2487" s="76"/>
      <c r="AR2487" s="76"/>
      <c r="AS2487" s="76"/>
      <c r="AT2487" s="76"/>
      <c r="AU2487" s="76"/>
      <c r="AV2487" s="76"/>
      <c r="AW2487" s="76"/>
      <c r="AX2487" s="76">
        <f>+AW2487*600000</f>
        <v>0</v>
      </c>
      <c r="AY2487" s="86">
        <v>700</v>
      </c>
      <c r="AZ2487" s="86">
        <f>+AY2487*69999.04</f>
        <v>48999327.999999993</v>
      </c>
      <c r="BA2487" s="76"/>
      <c r="BB2487" s="76"/>
      <c r="BC2487" s="76"/>
      <c r="BD2487" s="76">
        <f>+BC2487*30000</f>
        <v>0</v>
      </c>
      <c r="BE2487" s="76"/>
      <c r="BF2487" s="76"/>
      <c r="BG2487" s="76"/>
      <c r="BH2487" s="76"/>
      <c r="BI2487" s="76"/>
      <c r="BJ2487" s="76"/>
      <c r="BK2487" s="76"/>
      <c r="BL2487" s="76">
        <f>+BK2487*31500</f>
        <v>0</v>
      </c>
      <c r="BM2487" s="76"/>
      <c r="BN2487" s="76"/>
      <c r="BO2487" s="76"/>
      <c r="BP2487" s="76"/>
      <c r="BQ2487" s="76"/>
      <c r="BR2487" s="76"/>
      <c r="BS2487" s="76"/>
      <c r="BT2487" s="76"/>
      <c r="BU2487" s="76"/>
      <c r="BV2487" s="76"/>
      <c r="BW2487" s="76"/>
      <c r="BX2487" s="76"/>
      <c r="BY2487" s="76"/>
      <c r="BZ2487" s="76"/>
      <c r="CA2487" s="76"/>
      <c r="CB2487" s="76"/>
      <c r="CC2487" s="76"/>
      <c r="CD2487" s="76"/>
      <c r="CE2487" s="76"/>
      <c r="CF2487" s="76">
        <f>+CE2487*28000</f>
        <v>0</v>
      </c>
      <c r="CG2487" s="76"/>
      <c r="CH2487" s="76">
        <f>+CG2487*22500</f>
        <v>0</v>
      </c>
      <c r="CI2487" s="76"/>
      <c r="CJ2487" s="76">
        <f>+CI2487*26000</f>
        <v>0</v>
      </c>
      <c r="CK2487" s="76"/>
      <c r="CL2487" s="76"/>
      <c r="CM2487" s="76"/>
      <c r="CN2487" s="76">
        <f>+CM2487*22000</f>
        <v>0</v>
      </c>
      <c r="CO2487" s="86">
        <v>126</v>
      </c>
      <c r="CP2487" s="86">
        <f>+CO2487*45999.8</f>
        <v>5795974.8000000007</v>
      </c>
      <c r="CQ2487" s="86">
        <v>126</v>
      </c>
      <c r="CR2487" s="86">
        <f>+CQ2487*48999.56</f>
        <v>6173944.5599999996</v>
      </c>
      <c r="CS2487" s="76"/>
      <c r="CT2487" s="76"/>
      <c r="CU2487" s="56">
        <f>AN2487+AP2487+AR2487+AT2487+AV2487+AX2487+AZ2487+BB2487+BD2487+BF2487+BH2487+BJ2487+BL2487+BN2487+BP2487+BR2487+BT2487+BV2487+BX2487+BZ2487+CB2487+CD2487+CF2487+CH2487+CJ2487+CL2487+CN2487+CP2487+CR2487+CT2487</f>
        <v>60969247.359999999</v>
      </c>
      <c r="CV2487" s="76"/>
      <c r="CW2487" s="76">
        <f>+CV2487*1100</f>
        <v>0</v>
      </c>
      <c r="CX2487" s="86">
        <v>272</v>
      </c>
      <c r="CY2487" s="86">
        <f>+CX2487*105190.52</f>
        <v>28611821.440000001</v>
      </c>
      <c r="CZ2487" s="86">
        <v>1000</v>
      </c>
      <c r="DA2487" s="86">
        <f>+CZ2487*34499.56</f>
        <v>34499560</v>
      </c>
      <c r="DB2487" s="86">
        <v>1000</v>
      </c>
      <c r="DC2487" s="86">
        <f>+DB2487*31999.76+4000*199.52</f>
        <v>32797840</v>
      </c>
      <c r="DD2487" s="219"/>
      <c r="DE2487" s="219"/>
      <c r="DF2487" s="166"/>
      <c r="DG2487" s="134" t="s">
        <v>6015</v>
      </c>
      <c r="DH2487" s="117"/>
      <c r="DI2487" s="24"/>
      <c r="DJ2487" s="24"/>
      <c r="DK2487" s="24"/>
      <c r="DL2487" s="24"/>
      <c r="DM2487" s="24"/>
      <c r="DN2487" s="24"/>
      <c r="DO2487" s="24"/>
      <c r="DP2487" s="24"/>
      <c r="DQ2487" s="24"/>
      <c r="DR2487" s="24"/>
      <c r="DS2487" s="24"/>
      <c r="DT2487" s="24"/>
      <c r="DU2487" s="24"/>
    </row>
    <row r="2488" spans="1:125" s="8" customFormat="1" ht="36" x14ac:dyDescent="0.2">
      <c r="A2488" s="226">
        <v>41481</v>
      </c>
      <c r="B2488" s="60" t="s">
        <v>2087</v>
      </c>
      <c r="C2488" s="55" t="s">
        <v>2626</v>
      </c>
      <c r="D2488" s="55" t="s">
        <v>3051</v>
      </c>
      <c r="E2488" s="353" t="str">
        <f>VLOOKUP(B2488&amp;C2488,Divipola!$C$2:$F$1138,4,FALSE)</f>
        <v>18860</v>
      </c>
      <c r="F2488" s="87"/>
      <c r="G2488" s="87"/>
      <c r="H2488" s="87"/>
      <c r="I2488" s="87"/>
      <c r="J2488" s="87"/>
      <c r="K2488" s="87"/>
      <c r="L2488" s="87"/>
      <c r="M2488" s="87"/>
      <c r="N2488" s="87"/>
      <c r="O2488" s="87"/>
      <c r="P2488" s="87"/>
      <c r="Q2488" s="87"/>
      <c r="R2488" s="87"/>
      <c r="S2488" s="87"/>
      <c r="T2488" s="87"/>
      <c r="U2488" s="88"/>
      <c r="V2488" s="89"/>
      <c r="W2488" s="96">
        <v>0</v>
      </c>
      <c r="X2488" s="71">
        <f>CU2488</f>
        <v>0</v>
      </c>
      <c r="Y2488" s="71">
        <f>CY2488</f>
        <v>0</v>
      </c>
      <c r="Z2488" s="71">
        <f>DA2488+DC2488+DE2488</f>
        <v>0</v>
      </c>
      <c r="AA2488" s="71">
        <f>CW2488</f>
        <v>0</v>
      </c>
      <c r="AB2488" s="71"/>
      <c r="AC2488" s="71">
        <v>0</v>
      </c>
      <c r="AD2488" s="71">
        <f>W2488+X2488+Y2488+Z2488+AA2488+AB2488+AC2488</f>
        <v>0</v>
      </c>
      <c r="AE2488" s="72">
        <v>0</v>
      </c>
      <c r="AF2488" s="5"/>
      <c r="AG2488" s="6"/>
      <c r="AH2488" s="27"/>
      <c r="AI2488" s="44"/>
      <c r="AJ2488" s="26"/>
      <c r="AK2488" s="5"/>
      <c r="AL2488" s="82" t="s">
        <v>5359</v>
      </c>
      <c r="AM2488" s="76"/>
      <c r="AN2488" s="76"/>
      <c r="AO2488" s="76"/>
      <c r="AP2488" s="76"/>
      <c r="AQ2488" s="76"/>
      <c r="AR2488" s="76"/>
      <c r="AS2488" s="76"/>
      <c r="AT2488" s="76"/>
      <c r="AU2488" s="76"/>
      <c r="AV2488" s="76"/>
      <c r="AW2488" s="76"/>
      <c r="AX2488" s="76">
        <f>+AW2488*600000</f>
        <v>0</v>
      </c>
      <c r="AY2488" s="76"/>
      <c r="AZ2488" s="76">
        <f>+AY2488*70000</f>
        <v>0</v>
      </c>
      <c r="BA2488" s="76"/>
      <c r="BB2488" s="76"/>
      <c r="BC2488" s="76"/>
      <c r="BD2488" s="76">
        <f>+BC2488*30000</f>
        <v>0</v>
      </c>
      <c r="BE2488" s="76"/>
      <c r="BF2488" s="76"/>
      <c r="BG2488" s="76"/>
      <c r="BH2488" s="76"/>
      <c r="BI2488" s="76"/>
      <c r="BJ2488" s="76"/>
      <c r="BK2488" s="76"/>
      <c r="BL2488" s="76">
        <f>+BK2488*31500</f>
        <v>0</v>
      </c>
      <c r="BM2488" s="76"/>
      <c r="BN2488" s="76"/>
      <c r="BO2488" s="76"/>
      <c r="BP2488" s="76"/>
      <c r="BQ2488" s="76"/>
      <c r="BR2488" s="76"/>
      <c r="BS2488" s="76"/>
      <c r="BT2488" s="76"/>
      <c r="BU2488" s="76"/>
      <c r="BV2488" s="76"/>
      <c r="BW2488" s="76"/>
      <c r="BX2488" s="76"/>
      <c r="BY2488" s="76"/>
      <c r="BZ2488" s="76"/>
      <c r="CA2488" s="76"/>
      <c r="CB2488" s="76"/>
      <c r="CC2488" s="76"/>
      <c r="CD2488" s="76"/>
      <c r="CE2488" s="76"/>
      <c r="CF2488" s="76">
        <f>+CE2488*28000</f>
        <v>0</v>
      </c>
      <c r="CG2488" s="76"/>
      <c r="CH2488" s="76">
        <f>+CG2488*22500</f>
        <v>0</v>
      </c>
      <c r="CI2488" s="76"/>
      <c r="CJ2488" s="76">
        <f>+CI2488*26000</f>
        <v>0</v>
      </c>
      <c r="CK2488" s="76"/>
      <c r="CL2488" s="76"/>
      <c r="CM2488" s="76"/>
      <c r="CN2488" s="76">
        <f>+CM2488*22000</f>
        <v>0</v>
      </c>
      <c r="CO2488" s="76"/>
      <c r="CP2488" s="76">
        <f>+CO2488*46000</f>
        <v>0</v>
      </c>
      <c r="CQ2488" s="76"/>
      <c r="CR2488" s="76">
        <f>+CQ2488*49000</f>
        <v>0</v>
      </c>
      <c r="CS2488" s="76"/>
      <c r="CT2488" s="76"/>
      <c r="CU2488" s="56">
        <f>AN2488+AP2488+AR2488+AT2488+AV2488+AX2488+AZ2488+BB2488+BD2488+BF2488+BH2488+BJ2488+BL2488+BN2488+BP2488+BR2488+BT2488+BV2488+BX2488+BZ2488+CB2488+CD2488+CF2488+CH2488+CJ2488+CL2488+CN2488+CP2488+CR2488+CT2488</f>
        <v>0</v>
      </c>
      <c r="CV2488" s="76"/>
      <c r="CW2488" s="76">
        <f>+CV2488*1100</f>
        <v>0</v>
      </c>
      <c r="CX2488" s="76"/>
      <c r="CY2488" s="76">
        <f>+CX2488*106250</f>
        <v>0</v>
      </c>
      <c r="CZ2488" s="76"/>
      <c r="DA2488" s="76">
        <f>+CZ2488*34500</f>
        <v>0</v>
      </c>
      <c r="DB2488" s="76"/>
      <c r="DC2488" s="76">
        <f>+DB2488*25000</f>
        <v>0</v>
      </c>
      <c r="DD2488" s="219"/>
      <c r="DE2488" s="219"/>
      <c r="DF2488" s="166"/>
      <c r="DG2488" s="116"/>
      <c r="DH2488" s="117"/>
      <c r="DI2488" s="24"/>
      <c r="DJ2488" s="24"/>
      <c r="DK2488" s="24"/>
      <c r="DL2488" s="24"/>
      <c r="DM2488" s="24"/>
      <c r="DN2488" s="24"/>
      <c r="DO2488" s="24"/>
      <c r="DP2488" s="24"/>
      <c r="DQ2488" s="24"/>
      <c r="DR2488" s="24"/>
      <c r="DS2488" s="24"/>
      <c r="DT2488" s="24"/>
      <c r="DU2488" s="24"/>
    </row>
    <row r="2489" spans="1:125" s="8" customFormat="1" ht="48" x14ac:dyDescent="0.2">
      <c r="A2489" s="353">
        <v>41481</v>
      </c>
      <c r="B2489" s="225" t="s">
        <v>2854</v>
      </c>
      <c r="C2489" s="227" t="s">
        <v>516</v>
      </c>
      <c r="D2489" s="354" t="s">
        <v>2882</v>
      </c>
      <c r="E2489" s="353" t="str">
        <f>VLOOKUP(B2489&amp;C2489,Divipola!$C$2:$F$1138,4,FALSE)</f>
        <v>19418</v>
      </c>
      <c r="F2489" s="87"/>
      <c r="G2489" s="87"/>
      <c r="H2489" s="87"/>
      <c r="I2489" s="87">
        <v>125</v>
      </c>
      <c r="J2489" s="87">
        <v>25</v>
      </c>
      <c r="K2489" s="87"/>
      <c r="L2489" s="87">
        <v>25</v>
      </c>
      <c r="M2489" s="87"/>
      <c r="N2489" s="87"/>
      <c r="O2489" s="87"/>
      <c r="P2489" s="87"/>
      <c r="Q2489" s="87"/>
      <c r="R2489" s="87"/>
      <c r="S2489" s="87"/>
      <c r="T2489" s="87"/>
      <c r="U2489" s="88"/>
      <c r="V2489" s="89"/>
      <c r="W2489" s="96">
        <v>0</v>
      </c>
      <c r="X2489" s="71">
        <f>CU2489</f>
        <v>0</v>
      </c>
      <c r="Y2489" s="71">
        <f>CY2489</f>
        <v>0</v>
      </c>
      <c r="Z2489" s="71">
        <f>DA2489+DC2489+DE2489</f>
        <v>0</v>
      </c>
      <c r="AA2489" s="71">
        <f>CW2489</f>
        <v>0</v>
      </c>
      <c r="AB2489" s="71"/>
      <c r="AC2489" s="71">
        <v>0</v>
      </c>
      <c r="AD2489" s="71">
        <f>W2489+X2489+Y2489+Z2489+AA2489+AB2489+AC2489</f>
        <v>0</v>
      </c>
      <c r="AE2489" s="72">
        <v>0</v>
      </c>
      <c r="AF2489" s="5"/>
      <c r="AG2489" s="6"/>
      <c r="AH2489" s="27"/>
      <c r="AI2489" s="44"/>
      <c r="AJ2489" s="26"/>
      <c r="AK2489" s="5"/>
      <c r="AL2489" s="82" t="s">
        <v>5365</v>
      </c>
      <c r="AM2489" s="76"/>
      <c r="AN2489" s="76"/>
      <c r="AO2489" s="76"/>
      <c r="AP2489" s="76"/>
      <c r="AQ2489" s="76"/>
      <c r="AR2489" s="76"/>
      <c r="AS2489" s="76"/>
      <c r="AT2489" s="76"/>
      <c r="AU2489" s="76"/>
      <c r="AV2489" s="76"/>
      <c r="AW2489" s="76"/>
      <c r="AX2489" s="76">
        <f>+AW2489*600000</f>
        <v>0</v>
      </c>
      <c r="AY2489" s="76"/>
      <c r="AZ2489" s="76">
        <f>+AY2489*70000</f>
        <v>0</v>
      </c>
      <c r="BA2489" s="76"/>
      <c r="BB2489" s="76"/>
      <c r="BC2489" s="76"/>
      <c r="BD2489" s="76">
        <f>+BC2489*30000</f>
        <v>0</v>
      </c>
      <c r="BE2489" s="76"/>
      <c r="BF2489" s="76"/>
      <c r="BG2489" s="76"/>
      <c r="BH2489" s="76"/>
      <c r="BI2489" s="76"/>
      <c r="BJ2489" s="76"/>
      <c r="BK2489" s="76"/>
      <c r="BL2489" s="76">
        <f>+BK2489*31500</f>
        <v>0</v>
      </c>
      <c r="BM2489" s="76"/>
      <c r="BN2489" s="76"/>
      <c r="BO2489" s="76"/>
      <c r="BP2489" s="76"/>
      <c r="BQ2489" s="76"/>
      <c r="BR2489" s="76"/>
      <c r="BS2489" s="76"/>
      <c r="BT2489" s="76"/>
      <c r="BU2489" s="76"/>
      <c r="BV2489" s="76"/>
      <c r="BW2489" s="76"/>
      <c r="BX2489" s="76"/>
      <c r="BY2489" s="76"/>
      <c r="BZ2489" s="76"/>
      <c r="CA2489" s="76"/>
      <c r="CB2489" s="76"/>
      <c r="CC2489" s="76"/>
      <c r="CD2489" s="76"/>
      <c r="CE2489" s="76"/>
      <c r="CF2489" s="76">
        <f>+CE2489*28000</f>
        <v>0</v>
      </c>
      <c r="CG2489" s="76"/>
      <c r="CH2489" s="76">
        <f>+CG2489*22500</f>
        <v>0</v>
      </c>
      <c r="CI2489" s="76"/>
      <c r="CJ2489" s="76">
        <f>+CI2489*26000</f>
        <v>0</v>
      </c>
      <c r="CK2489" s="76"/>
      <c r="CL2489" s="76"/>
      <c r="CM2489" s="76"/>
      <c r="CN2489" s="76">
        <f>+CM2489*22000</f>
        <v>0</v>
      </c>
      <c r="CO2489" s="76"/>
      <c r="CP2489" s="76">
        <f>+CO2489*46000</f>
        <v>0</v>
      </c>
      <c r="CQ2489" s="76"/>
      <c r="CR2489" s="76">
        <f>+CQ2489*49000</f>
        <v>0</v>
      </c>
      <c r="CS2489" s="76"/>
      <c r="CT2489" s="76"/>
      <c r="CU2489" s="56">
        <f>AN2489+AP2489+AR2489+AT2489+AV2489+AX2489+AZ2489+BB2489+BD2489+BF2489+BH2489+BJ2489+BL2489+BN2489+BP2489+BR2489+BT2489+BV2489+BX2489+BZ2489+CB2489+CD2489+CF2489+CH2489+CJ2489+CL2489+CN2489+CP2489+CR2489+CT2489</f>
        <v>0</v>
      </c>
      <c r="CV2489" s="76"/>
      <c r="CW2489" s="76">
        <f>+CV2489*1100</f>
        <v>0</v>
      </c>
      <c r="CX2489" s="76"/>
      <c r="CY2489" s="76">
        <f>+CX2489*106250</f>
        <v>0</v>
      </c>
      <c r="CZ2489" s="76"/>
      <c r="DA2489" s="76">
        <f>+CZ2489*34500</f>
        <v>0</v>
      </c>
      <c r="DB2489" s="76"/>
      <c r="DC2489" s="76">
        <f>+DB2489*25000</f>
        <v>0</v>
      </c>
      <c r="DD2489" s="219"/>
      <c r="DE2489" s="219"/>
      <c r="DF2489" s="166"/>
      <c r="DG2489" s="116"/>
      <c r="DH2489" s="117"/>
      <c r="DI2489" s="24"/>
      <c r="DJ2489" s="24"/>
      <c r="DK2489" s="24"/>
      <c r="DL2489" s="24"/>
      <c r="DM2489" s="24"/>
      <c r="DN2489" s="24"/>
      <c r="DO2489" s="24"/>
      <c r="DP2489" s="24"/>
      <c r="DQ2489" s="24"/>
      <c r="DR2489" s="24"/>
      <c r="DS2489" s="24"/>
      <c r="DT2489" s="24"/>
      <c r="DU2489" s="24"/>
    </row>
    <row r="2490" spans="1:125" s="8" customFormat="1" ht="168" x14ac:dyDescent="0.2">
      <c r="A2490" s="353">
        <v>41481</v>
      </c>
      <c r="B2490" s="225" t="s">
        <v>2852</v>
      </c>
      <c r="C2490" s="227" t="s">
        <v>1248</v>
      </c>
      <c r="D2490" s="354" t="s">
        <v>2882</v>
      </c>
      <c r="E2490" s="353" t="str">
        <f>VLOOKUP(B2490&amp;C2490,Divipola!$C$2:$F$1138,4,FALSE)</f>
        <v>27495</v>
      </c>
      <c r="F2490" s="87"/>
      <c r="G2490" s="87"/>
      <c r="H2490" s="87"/>
      <c r="I2490" s="87">
        <v>580</v>
      </c>
      <c r="J2490" s="87">
        <v>116</v>
      </c>
      <c r="K2490" s="87">
        <v>1</v>
      </c>
      <c r="L2490" s="87">
        <v>115</v>
      </c>
      <c r="M2490" s="87"/>
      <c r="N2490" s="87"/>
      <c r="O2490" s="87"/>
      <c r="P2490" s="87"/>
      <c r="Q2490" s="87">
        <v>1</v>
      </c>
      <c r="R2490" s="87">
        <v>1</v>
      </c>
      <c r="S2490" s="87"/>
      <c r="T2490" s="87"/>
      <c r="U2490" s="88"/>
      <c r="V2490" s="89">
        <v>1</v>
      </c>
      <c r="W2490" s="96">
        <v>0</v>
      </c>
      <c r="X2490" s="71">
        <f>CU2490</f>
        <v>23992000</v>
      </c>
      <c r="Y2490" s="71">
        <f>CY2490</f>
        <v>12180000</v>
      </c>
      <c r="Z2490" s="71">
        <f>DA2490+DC2490+DE2490</f>
        <v>38159500</v>
      </c>
      <c r="AA2490" s="71">
        <f>CW2490</f>
        <v>0</v>
      </c>
      <c r="AB2490" s="71"/>
      <c r="AC2490" s="71">
        <v>0</v>
      </c>
      <c r="AD2490" s="71">
        <f>W2490+X2490+Y2490+Z2490+AA2490+AB2490+AC2490</f>
        <v>74331500</v>
      </c>
      <c r="AE2490" s="72">
        <v>0</v>
      </c>
      <c r="AF2490" s="5"/>
      <c r="AG2490" s="6"/>
      <c r="AH2490" s="27"/>
      <c r="AI2490" s="44"/>
      <c r="AJ2490" s="26"/>
      <c r="AK2490" s="5"/>
      <c r="AL2490" s="82" t="s">
        <v>5557</v>
      </c>
      <c r="AM2490" s="76"/>
      <c r="AN2490" s="76"/>
      <c r="AO2490" s="76"/>
      <c r="AP2490" s="76"/>
      <c r="AQ2490" s="76"/>
      <c r="AR2490" s="76"/>
      <c r="AS2490" s="76"/>
      <c r="AT2490" s="76"/>
      <c r="AU2490" s="76"/>
      <c r="AV2490" s="76"/>
      <c r="AW2490" s="76"/>
      <c r="AX2490" s="76">
        <f>+AW2490*600000</f>
        <v>0</v>
      </c>
      <c r="AY2490" s="86">
        <v>170</v>
      </c>
      <c r="AZ2490" s="86">
        <f>+AY2490*70000</f>
        <v>11900000</v>
      </c>
      <c r="BA2490" s="76"/>
      <c r="BB2490" s="76"/>
      <c r="BC2490" s="76"/>
      <c r="BD2490" s="76">
        <f>+BC2490*30000</f>
        <v>0</v>
      </c>
      <c r="BE2490" s="76"/>
      <c r="BF2490" s="76"/>
      <c r="BG2490" s="76"/>
      <c r="BH2490" s="76"/>
      <c r="BI2490" s="76"/>
      <c r="BJ2490" s="76"/>
      <c r="BK2490" s="76"/>
      <c r="BL2490" s="76">
        <f>+BK2490*31500</f>
        <v>0</v>
      </c>
      <c r="BM2490" s="76"/>
      <c r="BN2490" s="76"/>
      <c r="BO2490" s="76"/>
      <c r="BP2490" s="76"/>
      <c r="BQ2490" s="76"/>
      <c r="BR2490" s="76"/>
      <c r="BS2490" s="76"/>
      <c r="BT2490" s="76"/>
      <c r="BU2490" s="76"/>
      <c r="BV2490" s="76"/>
      <c r="BW2490" s="76"/>
      <c r="BX2490" s="76"/>
      <c r="BY2490" s="76"/>
      <c r="BZ2490" s="76"/>
      <c r="CA2490" s="76"/>
      <c r="CB2490" s="76"/>
      <c r="CC2490" s="76"/>
      <c r="CD2490" s="76"/>
      <c r="CE2490" s="76"/>
      <c r="CF2490" s="76">
        <f>+CE2490*28000</f>
        <v>0</v>
      </c>
      <c r="CG2490" s="76"/>
      <c r="CH2490" s="76">
        <f>+CG2490*22500</f>
        <v>0</v>
      </c>
      <c r="CI2490" s="86">
        <v>116</v>
      </c>
      <c r="CJ2490" s="86">
        <f>+CI2490*26000</f>
        <v>3016000</v>
      </c>
      <c r="CK2490" s="76"/>
      <c r="CL2490" s="76"/>
      <c r="CM2490" s="86">
        <v>170</v>
      </c>
      <c r="CN2490" s="86">
        <f>+CM2490*22000</f>
        <v>3740000</v>
      </c>
      <c r="CO2490" s="86">
        <v>116</v>
      </c>
      <c r="CP2490" s="86">
        <f>+CO2490*46000</f>
        <v>5336000</v>
      </c>
      <c r="CQ2490" s="76"/>
      <c r="CR2490" s="76">
        <f>+CQ2490*49000</f>
        <v>0</v>
      </c>
      <c r="CS2490" s="76"/>
      <c r="CT2490" s="76"/>
      <c r="CU2490" s="56">
        <f>AN2490+AP2490+AR2490+AT2490+AV2490+AX2490+AZ2490+BB2490+BD2490+BF2490+BH2490+BJ2490+BL2490+BN2490+BP2490+BR2490+BT2490+BV2490+BX2490+BZ2490+CB2490+CD2490+CF2490+CH2490+CJ2490+CL2490+CN2490+CP2490+CR2490+CT2490</f>
        <v>23992000</v>
      </c>
      <c r="CV2490" s="76"/>
      <c r="CW2490" s="76">
        <f>+CV2490*1100</f>
        <v>0</v>
      </c>
      <c r="CX2490" s="86">
        <v>116</v>
      </c>
      <c r="CY2490" s="86">
        <f>+CX2490*105000</f>
        <v>12180000</v>
      </c>
      <c r="CZ2490" s="76"/>
      <c r="DA2490" s="76">
        <f>+CZ2490*34500</f>
        <v>0</v>
      </c>
      <c r="DB2490" s="86">
        <v>1670</v>
      </c>
      <c r="DC2490" s="86">
        <f>1670*21250+6680*400</f>
        <v>38159500</v>
      </c>
      <c r="DD2490" s="219"/>
      <c r="DE2490" s="219"/>
      <c r="DF2490" s="166"/>
      <c r="DG2490" s="134" t="s">
        <v>6038</v>
      </c>
      <c r="DH2490" s="117"/>
      <c r="DI2490" s="24"/>
      <c r="DJ2490" s="24"/>
      <c r="DK2490" s="24"/>
      <c r="DL2490" s="24"/>
      <c r="DM2490" s="24"/>
      <c r="DN2490" s="24"/>
      <c r="DO2490" s="24"/>
      <c r="DP2490" s="24"/>
      <c r="DQ2490" s="24"/>
      <c r="DR2490" s="24"/>
      <c r="DS2490" s="24"/>
      <c r="DT2490" s="24"/>
      <c r="DU2490" s="24"/>
    </row>
    <row r="2491" spans="1:125" s="8" customFormat="1" ht="60" x14ac:dyDescent="0.2">
      <c r="A2491" s="97">
        <v>41481</v>
      </c>
      <c r="B2491" s="352" t="s">
        <v>2661</v>
      </c>
      <c r="C2491" s="354" t="s">
        <v>2164</v>
      </c>
      <c r="D2491" s="354" t="s">
        <v>2846</v>
      </c>
      <c r="E2491" s="353" t="str">
        <f>VLOOKUP(B2491&amp;C2491,Divipola!$C$2:$F$1138,4,FALSE)</f>
        <v>41799</v>
      </c>
      <c r="F2491" s="87"/>
      <c r="G2491" s="87"/>
      <c r="H2491" s="87"/>
      <c r="I2491" s="87"/>
      <c r="J2491" s="87"/>
      <c r="K2491" s="87"/>
      <c r="L2491" s="87"/>
      <c r="M2491" s="87"/>
      <c r="N2491" s="87"/>
      <c r="O2491" s="87"/>
      <c r="P2491" s="87"/>
      <c r="Q2491" s="87"/>
      <c r="R2491" s="87"/>
      <c r="S2491" s="87"/>
      <c r="T2491" s="87"/>
      <c r="U2491" s="88">
        <v>50</v>
      </c>
      <c r="V2491" s="89"/>
      <c r="W2491" s="96">
        <v>0</v>
      </c>
      <c r="X2491" s="71">
        <f>CU2491</f>
        <v>0</v>
      </c>
      <c r="Y2491" s="71">
        <f>CY2491</f>
        <v>0</v>
      </c>
      <c r="Z2491" s="71">
        <f>DA2491+DC2491+DE2491</f>
        <v>0</v>
      </c>
      <c r="AA2491" s="71">
        <f>CW2491</f>
        <v>0</v>
      </c>
      <c r="AB2491" s="71"/>
      <c r="AC2491" s="71">
        <v>0</v>
      </c>
      <c r="AD2491" s="71">
        <f>W2491+X2491+Y2491+Z2491+AA2491+AB2491+AC2491</f>
        <v>0</v>
      </c>
      <c r="AE2491" s="72">
        <v>0</v>
      </c>
      <c r="AF2491" s="5"/>
      <c r="AG2491" s="6"/>
      <c r="AH2491" s="27"/>
      <c r="AI2491" s="44"/>
      <c r="AJ2491" s="26"/>
      <c r="AK2491" s="5"/>
      <c r="AL2491" s="82" t="s">
        <v>5383</v>
      </c>
      <c r="AM2491" s="76"/>
      <c r="AN2491" s="76"/>
      <c r="AO2491" s="76"/>
      <c r="AP2491" s="76"/>
      <c r="AQ2491" s="76"/>
      <c r="AR2491" s="76"/>
      <c r="AS2491" s="76"/>
      <c r="AT2491" s="76"/>
      <c r="AU2491" s="76"/>
      <c r="AV2491" s="76"/>
      <c r="AW2491" s="76"/>
      <c r="AX2491" s="76">
        <f>+AW2491*600000</f>
        <v>0</v>
      </c>
      <c r="AY2491" s="76"/>
      <c r="AZ2491" s="76">
        <f>+AY2491*70000</f>
        <v>0</v>
      </c>
      <c r="BA2491" s="76"/>
      <c r="BB2491" s="76"/>
      <c r="BC2491" s="76"/>
      <c r="BD2491" s="76">
        <f>+BC2491*30000</f>
        <v>0</v>
      </c>
      <c r="BE2491" s="76"/>
      <c r="BF2491" s="76"/>
      <c r="BG2491" s="76"/>
      <c r="BH2491" s="76"/>
      <c r="BI2491" s="76"/>
      <c r="BJ2491" s="76"/>
      <c r="BK2491" s="76"/>
      <c r="BL2491" s="76">
        <f>+BK2491*31500</f>
        <v>0</v>
      </c>
      <c r="BM2491" s="76"/>
      <c r="BN2491" s="76"/>
      <c r="BO2491" s="76"/>
      <c r="BP2491" s="76"/>
      <c r="BQ2491" s="76"/>
      <c r="BR2491" s="76"/>
      <c r="BS2491" s="76"/>
      <c r="BT2491" s="76"/>
      <c r="BU2491" s="76"/>
      <c r="BV2491" s="76"/>
      <c r="BW2491" s="76"/>
      <c r="BX2491" s="76"/>
      <c r="BY2491" s="76"/>
      <c r="BZ2491" s="76"/>
      <c r="CA2491" s="76"/>
      <c r="CB2491" s="76"/>
      <c r="CC2491" s="76"/>
      <c r="CD2491" s="76"/>
      <c r="CE2491" s="76"/>
      <c r="CF2491" s="76">
        <f>+CE2491*28000</f>
        <v>0</v>
      </c>
      <c r="CG2491" s="76"/>
      <c r="CH2491" s="76">
        <f>+CG2491*22500</f>
        <v>0</v>
      </c>
      <c r="CI2491" s="76"/>
      <c r="CJ2491" s="76">
        <f>+CI2491*26000</f>
        <v>0</v>
      </c>
      <c r="CK2491" s="76"/>
      <c r="CL2491" s="76"/>
      <c r="CM2491" s="76"/>
      <c r="CN2491" s="76">
        <f>+CM2491*22000</f>
        <v>0</v>
      </c>
      <c r="CO2491" s="76"/>
      <c r="CP2491" s="76">
        <f>+CO2491*46000</f>
        <v>0</v>
      </c>
      <c r="CQ2491" s="76"/>
      <c r="CR2491" s="76">
        <f>+CQ2491*49000</f>
        <v>0</v>
      </c>
      <c r="CS2491" s="76"/>
      <c r="CT2491" s="76"/>
      <c r="CU2491" s="56">
        <f>AN2491+AP2491+AR2491+AT2491+AV2491+AX2491+AZ2491+BB2491+BD2491+BF2491+BH2491+BJ2491+BL2491+BN2491+BP2491+BR2491+BT2491+BV2491+BX2491+BZ2491+CB2491+CD2491+CF2491+CH2491+CJ2491+CL2491+CN2491+CP2491+CR2491+CT2491</f>
        <v>0</v>
      </c>
      <c r="CV2491" s="76"/>
      <c r="CW2491" s="76">
        <f>+CV2491*1100</f>
        <v>0</v>
      </c>
      <c r="CX2491" s="76"/>
      <c r="CY2491" s="76">
        <f>+CX2491*106250</f>
        <v>0</v>
      </c>
      <c r="CZ2491" s="76"/>
      <c r="DA2491" s="76">
        <f>+CZ2491*34500</f>
        <v>0</v>
      </c>
      <c r="DB2491" s="76"/>
      <c r="DC2491" s="76">
        <f>+DB2491*25000</f>
        <v>0</v>
      </c>
      <c r="DD2491" s="219"/>
      <c r="DE2491" s="219"/>
      <c r="DF2491" s="166"/>
      <c r="DG2491" s="116"/>
      <c r="DH2491" s="117"/>
      <c r="DI2491" s="24"/>
      <c r="DJ2491" s="24"/>
      <c r="DK2491" s="24"/>
      <c r="DL2491" s="24"/>
      <c r="DM2491" s="24"/>
      <c r="DN2491" s="24"/>
      <c r="DO2491" s="24"/>
      <c r="DP2491" s="24"/>
      <c r="DQ2491" s="24"/>
      <c r="DR2491" s="24"/>
      <c r="DS2491" s="24"/>
      <c r="DT2491" s="24"/>
      <c r="DU2491" s="24"/>
    </row>
    <row r="2492" spans="1:125" s="8" customFormat="1" ht="48" x14ac:dyDescent="0.2">
      <c r="A2492" s="97">
        <v>41481</v>
      </c>
      <c r="B2492" s="352" t="s">
        <v>2906</v>
      </c>
      <c r="C2492" s="354" t="s">
        <v>443</v>
      </c>
      <c r="D2492" s="354" t="s">
        <v>2882</v>
      </c>
      <c r="E2492" s="353" t="str">
        <f>VLOOKUP(B2492&amp;C2492,Divipola!$C$2:$F$1138,4,FALSE)</f>
        <v>47541</v>
      </c>
      <c r="F2492" s="87"/>
      <c r="G2492" s="87"/>
      <c r="H2492" s="87"/>
      <c r="I2492" s="87"/>
      <c r="J2492" s="87"/>
      <c r="K2492" s="87"/>
      <c r="L2492" s="87"/>
      <c r="M2492" s="87"/>
      <c r="N2492" s="87"/>
      <c r="O2492" s="87"/>
      <c r="P2492" s="87"/>
      <c r="Q2492" s="87"/>
      <c r="R2492" s="87"/>
      <c r="S2492" s="87">
        <v>1</v>
      </c>
      <c r="T2492" s="87"/>
      <c r="U2492" s="88"/>
      <c r="V2492" s="89"/>
      <c r="W2492" s="96">
        <v>0</v>
      </c>
      <c r="X2492" s="71">
        <f>CU2492</f>
        <v>0</v>
      </c>
      <c r="Y2492" s="71">
        <f>CY2492</f>
        <v>0</v>
      </c>
      <c r="Z2492" s="71">
        <f>DA2492+DC2492+DE2492</f>
        <v>0</v>
      </c>
      <c r="AA2492" s="71">
        <f>CW2492</f>
        <v>0</v>
      </c>
      <c r="AB2492" s="71"/>
      <c r="AC2492" s="71">
        <v>0</v>
      </c>
      <c r="AD2492" s="71">
        <f>W2492+X2492+Y2492+Z2492+AA2492+AB2492+AC2492</f>
        <v>0</v>
      </c>
      <c r="AE2492" s="72">
        <v>0</v>
      </c>
      <c r="AF2492" s="5"/>
      <c r="AG2492" s="6"/>
      <c r="AH2492" s="27"/>
      <c r="AI2492" s="44"/>
      <c r="AJ2492" s="26"/>
      <c r="AK2492" s="5"/>
      <c r="AL2492" s="82" t="s">
        <v>5384</v>
      </c>
      <c r="AM2492" s="76"/>
      <c r="AN2492" s="76"/>
      <c r="AO2492" s="76"/>
      <c r="AP2492" s="76"/>
      <c r="AQ2492" s="76"/>
      <c r="AR2492" s="76"/>
      <c r="AS2492" s="76"/>
      <c r="AT2492" s="76"/>
      <c r="AU2492" s="76"/>
      <c r="AV2492" s="76"/>
      <c r="AW2492" s="76"/>
      <c r="AX2492" s="76">
        <f>+AW2492*600000</f>
        <v>0</v>
      </c>
      <c r="AY2492" s="76"/>
      <c r="AZ2492" s="76">
        <f>+AY2492*70000</f>
        <v>0</v>
      </c>
      <c r="BA2492" s="76"/>
      <c r="BB2492" s="76"/>
      <c r="BC2492" s="76"/>
      <c r="BD2492" s="76">
        <f>+BC2492*30000</f>
        <v>0</v>
      </c>
      <c r="BE2492" s="76"/>
      <c r="BF2492" s="76"/>
      <c r="BG2492" s="76"/>
      <c r="BH2492" s="76"/>
      <c r="BI2492" s="76"/>
      <c r="BJ2492" s="76"/>
      <c r="BK2492" s="76"/>
      <c r="BL2492" s="76">
        <f>+BK2492*31500</f>
        <v>0</v>
      </c>
      <c r="BM2492" s="76"/>
      <c r="BN2492" s="76"/>
      <c r="BO2492" s="76"/>
      <c r="BP2492" s="76"/>
      <c r="BQ2492" s="76"/>
      <c r="BR2492" s="76"/>
      <c r="BS2492" s="76"/>
      <c r="BT2492" s="76"/>
      <c r="BU2492" s="76"/>
      <c r="BV2492" s="76"/>
      <c r="BW2492" s="76"/>
      <c r="BX2492" s="76"/>
      <c r="BY2492" s="76"/>
      <c r="BZ2492" s="76"/>
      <c r="CA2492" s="76"/>
      <c r="CB2492" s="76"/>
      <c r="CC2492" s="76"/>
      <c r="CD2492" s="76"/>
      <c r="CE2492" s="76"/>
      <c r="CF2492" s="76">
        <f>+CE2492*28000</f>
        <v>0</v>
      </c>
      <c r="CG2492" s="76"/>
      <c r="CH2492" s="76">
        <f>+CG2492*22500</f>
        <v>0</v>
      </c>
      <c r="CI2492" s="76"/>
      <c r="CJ2492" s="76">
        <f>+CI2492*26000</f>
        <v>0</v>
      </c>
      <c r="CK2492" s="76"/>
      <c r="CL2492" s="76"/>
      <c r="CM2492" s="76"/>
      <c r="CN2492" s="76">
        <f>+CM2492*22000</f>
        <v>0</v>
      </c>
      <c r="CO2492" s="76"/>
      <c r="CP2492" s="76">
        <f>+CO2492*46000</f>
        <v>0</v>
      </c>
      <c r="CQ2492" s="76"/>
      <c r="CR2492" s="76">
        <f>+CQ2492*49000</f>
        <v>0</v>
      </c>
      <c r="CS2492" s="76"/>
      <c r="CT2492" s="76"/>
      <c r="CU2492" s="56">
        <f>AN2492+AP2492+AR2492+AT2492+AV2492+AX2492+AZ2492+BB2492+BD2492+BF2492+BH2492+BJ2492+BL2492+BN2492+BP2492+BR2492+BT2492+BV2492+BX2492+BZ2492+CB2492+CD2492+CF2492+CH2492+CJ2492+CL2492+CN2492+CP2492+CR2492+CT2492</f>
        <v>0</v>
      </c>
      <c r="CV2492" s="76"/>
      <c r="CW2492" s="76">
        <f>+CV2492*1100</f>
        <v>0</v>
      </c>
      <c r="CX2492" s="76"/>
      <c r="CY2492" s="76">
        <f>+CX2492*106250</f>
        <v>0</v>
      </c>
      <c r="CZ2492" s="76"/>
      <c r="DA2492" s="76">
        <f>+CZ2492*34500</f>
        <v>0</v>
      </c>
      <c r="DB2492" s="76"/>
      <c r="DC2492" s="76">
        <f>+DB2492*25000</f>
        <v>0</v>
      </c>
      <c r="DD2492" s="219"/>
      <c r="DE2492" s="219"/>
      <c r="DF2492" s="166"/>
      <c r="DG2492" s="116"/>
      <c r="DH2492" s="117"/>
      <c r="DI2492" s="24"/>
      <c r="DJ2492" s="24"/>
      <c r="DK2492" s="24"/>
      <c r="DL2492" s="24"/>
      <c r="DM2492" s="24"/>
      <c r="DN2492" s="24"/>
      <c r="DO2492" s="24"/>
      <c r="DP2492" s="24"/>
      <c r="DQ2492" s="24"/>
      <c r="DR2492" s="24"/>
      <c r="DS2492" s="24"/>
      <c r="DT2492" s="24"/>
      <c r="DU2492" s="24"/>
    </row>
    <row r="2493" spans="1:125" s="8" customFormat="1" ht="36" x14ac:dyDescent="0.2">
      <c r="A2493" s="353">
        <v>41481</v>
      </c>
      <c r="B2493" s="60" t="s">
        <v>2811</v>
      </c>
      <c r="C2493" s="55" t="s">
        <v>142</v>
      </c>
      <c r="D2493" s="55" t="s">
        <v>2846</v>
      </c>
      <c r="E2493" s="353" t="str">
        <f>VLOOKUP(B2493&amp;C2493,Divipola!$C$2:$F$1138,4,FALSE)</f>
        <v>52240</v>
      </c>
      <c r="F2493" s="87"/>
      <c r="G2493" s="87"/>
      <c r="H2493" s="87"/>
      <c r="I2493" s="87"/>
      <c r="J2493" s="87"/>
      <c r="K2493" s="87"/>
      <c r="L2493" s="87"/>
      <c r="M2493" s="87"/>
      <c r="N2493" s="87"/>
      <c r="O2493" s="87"/>
      <c r="P2493" s="87"/>
      <c r="Q2493" s="87"/>
      <c r="R2493" s="87"/>
      <c r="S2493" s="87"/>
      <c r="T2493" s="87"/>
      <c r="U2493" s="88"/>
      <c r="V2493" s="89"/>
      <c r="W2493" s="96">
        <v>0</v>
      </c>
      <c r="X2493" s="71">
        <f>CU2493</f>
        <v>0</v>
      </c>
      <c r="Y2493" s="71">
        <f>CY2493</f>
        <v>0</v>
      </c>
      <c r="Z2493" s="71">
        <f>DA2493+DC2493+DE2493</f>
        <v>0</v>
      </c>
      <c r="AA2493" s="71">
        <f>CW2493</f>
        <v>0</v>
      </c>
      <c r="AB2493" s="71"/>
      <c r="AC2493" s="71">
        <v>0</v>
      </c>
      <c r="AD2493" s="71">
        <f>W2493+X2493+Y2493+Z2493+AA2493+AB2493+AC2493</f>
        <v>0</v>
      </c>
      <c r="AE2493" s="72">
        <v>0</v>
      </c>
      <c r="AF2493" s="5"/>
      <c r="AG2493" s="6"/>
      <c r="AH2493" s="27"/>
      <c r="AI2493" s="44"/>
      <c r="AJ2493" s="26"/>
      <c r="AK2493" s="5"/>
      <c r="AL2493" s="82" t="s">
        <v>5367</v>
      </c>
      <c r="AM2493" s="76"/>
      <c r="AN2493" s="76"/>
      <c r="AO2493" s="76"/>
      <c r="AP2493" s="76"/>
      <c r="AQ2493" s="76"/>
      <c r="AR2493" s="76"/>
      <c r="AS2493" s="76"/>
      <c r="AT2493" s="76"/>
      <c r="AU2493" s="76"/>
      <c r="AV2493" s="76"/>
      <c r="AW2493" s="76"/>
      <c r="AX2493" s="76">
        <f>+AW2493*600000</f>
        <v>0</v>
      </c>
      <c r="AY2493" s="76"/>
      <c r="AZ2493" s="76">
        <f>+AY2493*70000</f>
        <v>0</v>
      </c>
      <c r="BA2493" s="76"/>
      <c r="BB2493" s="76"/>
      <c r="BC2493" s="76"/>
      <c r="BD2493" s="76">
        <f>+BC2493*30000</f>
        <v>0</v>
      </c>
      <c r="BE2493" s="76"/>
      <c r="BF2493" s="76"/>
      <c r="BG2493" s="76"/>
      <c r="BH2493" s="76"/>
      <c r="BI2493" s="76"/>
      <c r="BJ2493" s="76"/>
      <c r="BK2493" s="76"/>
      <c r="BL2493" s="76">
        <f>+BK2493*31500</f>
        <v>0</v>
      </c>
      <c r="BM2493" s="76"/>
      <c r="BN2493" s="76"/>
      <c r="BO2493" s="76"/>
      <c r="BP2493" s="76"/>
      <c r="BQ2493" s="76"/>
      <c r="BR2493" s="76"/>
      <c r="BS2493" s="76"/>
      <c r="BT2493" s="76"/>
      <c r="BU2493" s="76"/>
      <c r="BV2493" s="76"/>
      <c r="BW2493" s="76"/>
      <c r="BX2493" s="76"/>
      <c r="BY2493" s="76"/>
      <c r="BZ2493" s="76"/>
      <c r="CA2493" s="76"/>
      <c r="CB2493" s="76"/>
      <c r="CC2493" s="76"/>
      <c r="CD2493" s="76"/>
      <c r="CE2493" s="76"/>
      <c r="CF2493" s="76">
        <f>+CE2493*28000</f>
        <v>0</v>
      </c>
      <c r="CG2493" s="76"/>
      <c r="CH2493" s="76">
        <f>+CG2493*22500</f>
        <v>0</v>
      </c>
      <c r="CI2493" s="76"/>
      <c r="CJ2493" s="76">
        <f>+CI2493*26000</f>
        <v>0</v>
      </c>
      <c r="CK2493" s="76"/>
      <c r="CL2493" s="76"/>
      <c r="CM2493" s="76"/>
      <c r="CN2493" s="76">
        <f>+CM2493*22000</f>
        <v>0</v>
      </c>
      <c r="CO2493" s="76"/>
      <c r="CP2493" s="76">
        <f>+CO2493*46000</f>
        <v>0</v>
      </c>
      <c r="CQ2493" s="76"/>
      <c r="CR2493" s="76">
        <f>+CQ2493*49000</f>
        <v>0</v>
      </c>
      <c r="CS2493" s="76"/>
      <c r="CT2493" s="76"/>
      <c r="CU2493" s="56">
        <f>AN2493+AP2493+AR2493+AT2493+AV2493+AX2493+AZ2493+BB2493+BD2493+BF2493+BH2493+BJ2493+BL2493+BN2493+BP2493+BR2493+BT2493+BV2493+BX2493+BZ2493+CB2493+CD2493+CF2493+CH2493+CJ2493+CL2493+CN2493+CP2493+CR2493+CT2493</f>
        <v>0</v>
      </c>
      <c r="CV2493" s="76"/>
      <c r="CW2493" s="76">
        <f>+CV2493*1100</f>
        <v>0</v>
      </c>
      <c r="CX2493" s="76"/>
      <c r="CY2493" s="76">
        <f>+CX2493*106250</f>
        <v>0</v>
      </c>
      <c r="CZ2493" s="76"/>
      <c r="DA2493" s="76">
        <f>+CZ2493*34500</f>
        <v>0</v>
      </c>
      <c r="DB2493" s="76"/>
      <c r="DC2493" s="76">
        <f>+DB2493*25000</f>
        <v>0</v>
      </c>
      <c r="DD2493" s="219"/>
      <c r="DE2493" s="219"/>
      <c r="DF2493" s="166"/>
      <c r="DG2493" s="116"/>
      <c r="DH2493" s="117"/>
      <c r="DI2493" s="24"/>
      <c r="DJ2493" s="24"/>
      <c r="DK2493" s="24"/>
      <c r="DL2493" s="24"/>
      <c r="DM2493" s="24"/>
      <c r="DN2493" s="24"/>
      <c r="DO2493" s="24"/>
      <c r="DP2493" s="24"/>
      <c r="DQ2493" s="24"/>
      <c r="DR2493" s="24"/>
      <c r="DS2493" s="24"/>
      <c r="DT2493" s="24"/>
      <c r="DU2493" s="24"/>
    </row>
    <row r="2494" spans="1:125" s="8" customFormat="1" ht="48" x14ac:dyDescent="0.2">
      <c r="A2494" s="226">
        <v>41481</v>
      </c>
      <c r="B2494" s="225" t="s">
        <v>2811</v>
      </c>
      <c r="C2494" s="227" t="s">
        <v>2131</v>
      </c>
      <c r="D2494" s="354" t="s">
        <v>3088</v>
      </c>
      <c r="E2494" s="353" t="str">
        <f>VLOOKUP(B2494&amp;C2494,Divipola!$C$2:$F$1138,4,FALSE)</f>
        <v>52001</v>
      </c>
      <c r="F2494" s="87"/>
      <c r="G2494" s="87"/>
      <c r="H2494" s="87"/>
      <c r="I2494" s="87">
        <v>5</v>
      </c>
      <c r="J2494" s="87">
        <v>1</v>
      </c>
      <c r="K2494" s="87"/>
      <c r="L2494" s="87">
        <v>1</v>
      </c>
      <c r="M2494" s="87"/>
      <c r="N2494" s="87"/>
      <c r="O2494" s="87"/>
      <c r="P2494" s="87"/>
      <c r="Q2494" s="87"/>
      <c r="R2494" s="87"/>
      <c r="S2494" s="87"/>
      <c r="T2494" s="87"/>
      <c r="U2494" s="88"/>
      <c r="V2494" s="89"/>
      <c r="W2494" s="96">
        <v>0</v>
      </c>
      <c r="X2494" s="71">
        <f>CU2494</f>
        <v>0</v>
      </c>
      <c r="Y2494" s="71">
        <f>CY2494</f>
        <v>0</v>
      </c>
      <c r="Z2494" s="71">
        <f>DA2494+DC2494+DE2494</f>
        <v>0</v>
      </c>
      <c r="AA2494" s="71">
        <f>CW2494</f>
        <v>0</v>
      </c>
      <c r="AB2494" s="71"/>
      <c r="AC2494" s="71">
        <v>0</v>
      </c>
      <c r="AD2494" s="71">
        <f>W2494+X2494+Y2494+Z2494+AA2494+AB2494+AC2494</f>
        <v>0</v>
      </c>
      <c r="AE2494" s="72">
        <v>0</v>
      </c>
      <c r="AF2494" s="5"/>
      <c r="AG2494" s="6"/>
      <c r="AH2494" s="27"/>
      <c r="AI2494" s="44"/>
      <c r="AJ2494" s="26"/>
      <c r="AK2494" s="5"/>
      <c r="AL2494" s="82" t="s">
        <v>5370</v>
      </c>
      <c r="AM2494" s="76"/>
      <c r="AN2494" s="76"/>
      <c r="AO2494" s="76"/>
      <c r="AP2494" s="76"/>
      <c r="AQ2494" s="76"/>
      <c r="AR2494" s="76"/>
      <c r="AS2494" s="76"/>
      <c r="AT2494" s="76"/>
      <c r="AU2494" s="76"/>
      <c r="AV2494" s="76"/>
      <c r="AW2494" s="76"/>
      <c r="AX2494" s="76">
        <f>+AW2494*600000</f>
        <v>0</v>
      </c>
      <c r="AY2494" s="76"/>
      <c r="AZ2494" s="76">
        <f>+AY2494*70000</f>
        <v>0</v>
      </c>
      <c r="BA2494" s="76"/>
      <c r="BB2494" s="76"/>
      <c r="BC2494" s="76"/>
      <c r="BD2494" s="76">
        <f>+BC2494*30000</f>
        <v>0</v>
      </c>
      <c r="BE2494" s="76"/>
      <c r="BF2494" s="76"/>
      <c r="BG2494" s="76"/>
      <c r="BH2494" s="76"/>
      <c r="BI2494" s="76"/>
      <c r="BJ2494" s="76"/>
      <c r="BK2494" s="76"/>
      <c r="BL2494" s="76">
        <f>+BK2494*31500</f>
        <v>0</v>
      </c>
      <c r="BM2494" s="76"/>
      <c r="BN2494" s="76"/>
      <c r="BO2494" s="76"/>
      <c r="BP2494" s="76"/>
      <c r="BQ2494" s="76"/>
      <c r="BR2494" s="76"/>
      <c r="BS2494" s="76"/>
      <c r="BT2494" s="76"/>
      <c r="BU2494" s="76"/>
      <c r="BV2494" s="76"/>
      <c r="BW2494" s="76"/>
      <c r="BX2494" s="76"/>
      <c r="BY2494" s="76"/>
      <c r="BZ2494" s="76"/>
      <c r="CA2494" s="76"/>
      <c r="CB2494" s="76"/>
      <c r="CC2494" s="76"/>
      <c r="CD2494" s="76"/>
      <c r="CE2494" s="76"/>
      <c r="CF2494" s="76">
        <f>+CE2494*28000</f>
        <v>0</v>
      </c>
      <c r="CG2494" s="76"/>
      <c r="CH2494" s="76">
        <f>+CG2494*22500</f>
        <v>0</v>
      </c>
      <c r="CI2494" s="76"/>
      <c r="CJ2494" s="76">
        <f>+CI2494*26000</f>
        <v>0</v>
      </c>
      <c r="CK2494" s="76"/>
      <c r="CL2494" s="76"/>
      <c r="CM2494" s="76"/>
      <c r="CN2494" s="76">
        <f>+CM2494*22000</f>
        <v>0</v>
      </c>
      <c r="CO2494" s="76"/>
      <c r="CP2494" s="76">
        <f>+CO2494*46000</f>
        <v>0</v>
      </c>
      <c r="CQ2494" s="76"/>
      <c r="CR2494" s="76">
        <f>+CQ2494*49000</f>
        <v>0</v>
      </c>
      <c r="CS2494" s="76"/>
      <c r="CT2494" s="76"/>
      <c r="CU2494" s="56">
        <f>AN2494+AP2494+AR2494+AT2494+AV2494+AX2494+AZ2494+BB2494+BD2494+BF2494+BH2494+BJ2494+BL2494+BN2494+BP2494+BR2494+BT2494+BV2494+BX2494+BZ2494+CB2494+CD2494+CF2494+CH2494+CJ2494+CL2494+CN2494+CP2494+CR2494+CT2494</f>
        <v>0</v>
      </c>
      <c r="CV2494" s="76"/>
      <c r="CW2494" s="76">
        <f>+CV2494*1100</f>
        <v>0</v>
      </c>
      <c r="CX2494" s="76"/>
      <c r="CY2494" s="76">
        <f>+CX2494*106250</f>
        <v>0</v>
      </c>
      <c r="CZ2494" s="76"/>
      <c r="DA2494" s="76">
        <f>+CZ2494*34500</f>
        <v>0</v>
      </c>
      <c r="DB2494" s="76"/>
      <c r="DC2494" s="76">
        <f>+DB2494*25000</f>
        <v>0</v>
      </c>
      <c r="DD2494" s="219"/>
      <c r="DE2494" s="219"/>
      <c r="DF2494" s="166"/>
      <c r="DG2494" s="116"/>
      <c r="DH2494" s="117"/>
      <c r="DI2494" s="24"/>
      <c r="DJ2494" s="24"/>
      <c r="DK2494" s="24"/>
      <c r="DL2494" s="24"/>
      <c r="DM2494" s="24"/>
      <c r="DN2494" s="24"/>
      <c r="DO2494" s="24"/>
      <c r="DP2494" s="24"/>
      <c r="DQ2494" s="24"/>
      <c r="DR2494" s="24"/>
      <c r="DS2494" s="24"/>
      <c r="DT2494" s="24"/>
      <c r="DU2494" s="24"/>
    </row>
    <row r="2495" spans="1:125" s="8" customFormat="1" ht="144" x14ac:dyDescent="0.2">
      <c r="A2495" s="226">
        <v>41481</v>
      </c>
      <c r="B2495" s="225" t="s">
        <v>3131</v>
      </c>
      <c r="C2495" s="227" t="s">
        <v>2747</v>
      </c>
      <c r="D2495" s="354" t="s">
        <v>3088</v>
      </c>
      <c r="E2495" s="353" t="str">
        <f>VLOOKUP(B2495&amp;C2495,Divipola!$C$2:$F$1138,4,FALSE)</f>
        <v>86001</v>
      </c>
      <c r="F2495" s="87"/>
      <c r="G2495" s="87"/>
      <c r="H2495" s="87">
        <v>3</v>
      </c>
      <c r="I2495" s="87">
        <v>15</v>
      </c>
      <c r="J2495" s="87">
        <v>3</v>
      </c>
      <c r="K2495" s="87">
        <v>2</v>
      </c>
      <c r="L2495" s="87">
        <v>1</v>
      </c>
      <c r="M2495" s="87"/>
      <c r="N2495" s="87"/>
      <c r="O2495" s="87"/>
      <c r="P2495" s="87"/>
      <c r="Q2495" s="87"/>
      <c r="R2495" s="87"/>
      <c r="S2495" s="87"/>
      <c r="T2495" s="87"/>
      <c r="U2495" s="88"/>
      <c r="V2495" s="89"/>
      <c r="W2495" s="96">
        <v>36000000</v>
      </c>
      <c r="X2495" s="71">
        <f>CU2495</f>
        <v>0</v>
      </c>
      <c r="Y2495" s="71">
        <f>CY2495</f>
        <v>0</v>
      </c>
      <c r="Z2495" s="71">
        <f>DA2495+DC2495+DE2495</f>
        <v>0</v>
      </c>
      <c r="AA2495" s="71">
        <f>CW2495</f>
        <v>0</v>
      </c>
      <c r="AB2495" s="71"/>
      <c r="AC2495" s="71">
        <v>0</v>
      </c>
      <c r="AD2495" s="71">
        <f>W2495+X2495+Y2495+Z2495+AA2495+AB2495+AC2495</f>
        <v>36000000</v>
      </c>
      <c r="AE2495" s="72">
        <v>0</v>
      </c>
      <c r="AF2495" s="5"/>
      <c r="AG2495" s="6"/>
      <c r="AH2495" s="27" t="s">
        <v>3390</v>
      </c>
      <c r="AI2495" s="44" t="s">
        <v>3391</v>
      </c>
      <c r="AJ2495" s="26"/>
      <c r="AK2495" s="5"/>
      <c r="AL2495" s="82" t="s">
        <v>6585</v>
      </c>
      <c r="AM2495" s="76"/>
      <c r="AN2495" s="76"/>
      <c r="AO2495" s="76"/>
      <c r="AP2495" s="76"/>
      <c r="AQ2495" s="76"/>
      <c r="AR2495" s="76"/>
      <c r="AS2495" s="76"/>
      <c r="AT2495" s="76"/>
      <c r="AU2495" s="76"/>
      <c r="AV2495" s="76"/>
      <c r="AW2495" s="76"/>
      <c r="AX2495" s="76">
        <f>+AW2495*600000</f>
        <v>0</v>
      </c>
      <c r="AY2495" s="76"/>
      <c r="AZ2495" s="76">
        <f>+AY2495*70000</f>
        <v>0</v>
      </c>
      <c r="BA2495" s="76"/>
      <c r="BB2495" s="76"/>
      <c r="BC2495" s="76"/>
      <c r="BD2495" s="76">
        <f>+BC2495*30000</f>
        <v>0</v>
      </c>
      <c r="BE2495" s="76"/>
      <c r="BF2495" s="76"/>
      <c r="BG2495" s="76"/>
      <c r="BH2495" s="76"/>
      <c r="BI2495" s="76"/>
      <c r="BJ2495" s="76"/>
      <c r="BK2495" s="76"/>
      <c r="BL2495" s="76">
        <f>+BK2495*31500</f>
        <v>0</v>
      </c>
      <c r="BM2495" s="76"/>
      <c r="BN2495" s="76"/>
      <c r="BO2495" s="76"/>
      <c r="BP2495" s="76"/>
      <c r="BQ2495" s="76"/>
      <c r="BR2495" s="76"/>
      <c r="BS2495" s="76"/>
      <c r="BT2495" s="76"/>
      <c r="BU2495" s="76"/>
      <c r="BV2495" s="76"/>
      <c r="BW2495" s="76"/>
      <c r="BX2495" s="76"/>
      <c r="BY2495" s="76"/>
      <c r="BZ2495" s="76"/>
      <c r="CA2495" s="76"/>
      <c r="CB2495" s="76"/>
      <c r="CC2495" s="76"/>
      <c r="CD2495" s="76"/>
      <c r="CE2495" s="76"/>
      <c r="CF2495" s="76">
        <f>+CE2495*28000</f>
        <v>0</v>
      </c>
      <c r="CG2495" s="76"/>
      <c r="CH2495" s="76">
        <f>+CG2495*22500</f>
        <v>0</v>
      </c>
      <c r="CI2495" s="76"/>
      <c r="CJ2495" s="76">
        <f>+CI2495*26000</f>
        <v>0</v>
      </c>
      <c r="CK2495" s="76"/>
      <c r="CL2495" s="76"/>
      <c r="CM2495" s="76"/>
      <c r="CN2495" s="76">
        <f>+CM2495*22000</f>
        <v>0</v>
      </c>
      <c r="CO2495" s="76"/>
      <c r="CP2495" s="76">
        <f>+CO2495*46000</f>
        <v>0</v>
      </c>
      <c r="CQ2495" s="76"/>
      <c r="CR2495" s="76">
        <f>+CQ2495*49000</f>
        <v>0</v>
      </c>
      <c r="CS2495" s="76"/>
      <c r="CT2495" s="76"/>
      <c r="CU2495" s="56">
        <f>AN2495+AP2495+AR2495+AT2495+AV2495+AX2495+AZ2495+BB2495+BD2495+BF2495+BH2495+BJ2495+BL2495+BN2495+BP2495+BR2495+BT2495+BV2495+BX2495+BZ2495+CB2495+CD2495+CF2495+CH2495+CJ2495+CL2495+CN2495+CP2495+CR2495+CT2495</f>
        <v>0</v>
      </c>
      <c r="CV2495" s="76"/>
      <c r="CW2495" s="76">
        <f>+CV2495*1100</f>
        <v>0</v>
      </c>
      <c r="CX2495" s="76"/>
      <c r="CY2495" s="76">
        <f>+CX2495*106250</f>
        <v>0</v>
      </c>
      <c r="CZ2495" s="76"/>
      <c r="DA2495" s="76">
        <f>+CZ2495*34500</f>
        <v>0</v>
      </c>
      <c r="DB2495" s="76"/>
      <c r="DC2495" s="76">
        <f>+DB2495*25000</f>
        <v>0</v>
      </c>
      <c r="DD2495" s="219"/>
      <c r="DE2495" s="219"/>
      <c r="DF2495" s="166"/>
      <c r="DG2495" s="116"/>
      <c r="DH2495" s="117"/>
      <c r="DI2495" s="24"/>
      <c r="DJ2495" s="24"/>
      <c r="DK2495" s="24"/>
      <c r="DL2495" s="24"/>
      <c r="DM2495" s="24"/>
      <c r="DN2495" s="24"/>
      <c r="DO2495" s="24"/>
      <c r="DP2495" s="24"/>
      <c r="DQ2495" s="24"/>
      <c r="DR2495" s="24"/>
      <c r="DS2495" s="24"/>
      <c r="DT2495" s="24"/>
      <c r="DU2495" s="24"/>
    </row>
    <row r="2496" spans="1:125" s="8" customFormat="1" ht="36" x14ac:dyDescent="0.2">
      <c r="A2496" s="353">
        <v>41481</v>
      </c>
      <c r="B2496" s="352" t="s">
        <v>3131</v>
      </c>
      <c r="C2496" s="354" t="s">
        <v>2279</v>
      </c>
      <c r="D2496" s="354" t="s">
        <v>3051</v>
      </c>
      <c r="E2496" s="353" t="str">
        <f>VLOOKUP(B2496&amp;C2496,Divipola!$C$2:$F$1138,4,FALSE)</f>
        <v>86865</v>
      </c>
      <c r="F2496" s="87"/>
      <c r="G2496" s="87"/>
      <c r="H2496" s="87"/>
      <c r="I2496" s="87">
        <v>900</v>
      </c>
      <c r="J2496" s="87">
        <v>180</v>
      </c>
      <c r="K2496" s="87"/>
      <c r="L2496" s="87">
        <v>180</v>
      </c>
      <c r="M2496" s="87"/>
      <c r="N2496" s="87"/>
      <c r="O2496" s="87"/>
      <c r="P2496" s="87"/>
      <c r="Q2496" s="87"/>
      <c r="R2496" s="87"/>
      <c r="S2496" s="87"/>
      <c r="T2496" s="87"/>
      <c r="U2496" s="88"/>
      <c r="V2496" s="89"/>
      <c r="W2496" s="96">
        <v>0</v>
      </c>
      <c r="X2496" s="71">
        <f>CU2496</f>
        <v>0</v>
      </c>
      <c r="Y2496" s="71">
        <f>CY2496</f>
        <v>0</v>
      </c>
      <c r="Z2496" s="71">
        <f>DA2496+DC2496+DE2496</f>
        <v>0</v>
      </c>
      <c r="AA2496" s="71">
        <f>CW2496</f>
        <v>0</v>
      </c>
      <c r="AB2496" s="71"/>
      <c r="AC2496" s="71">
        <v>0</v>
      </c>
      <c r="AD2496" s="71">
        <f>W2496+X2496+Y2496+Z2496+AA2496+AB2496+AC2496</f>
        <v>0</v>
      </c>
      <c r="AE2496" s="72">
        <v>0</v>
      </c>
      <c r="AF2496" s="5"/>
      <c r="AG2496" s="6"/>
      <c r="AH2496" s="27" t="s">
        <v>3390</v>
      </c>
      <c r="AI2496" s="44" t="s">
        <v>3393</v>
      </c>
      <c r="AJ2496" s="26"/>
      <c r="AK2496" s="5" t="s">
        <v>4242</v>
      </c>
      <c r="AL2496" s="82" t="s">
        <v>5371</v>
      </c>
      <c r="AM2496" s="76"/>
      <c r="AN2496" s="76"/>
      <c r="AO2496" s="76"/>
      <c r="AP2496" s="76"/>
      <c r="AQ2496" s="76"/>
      <c r="AR2496" s="76"/>
      <c r="AS2496" s="76"/>
      <c r="AT2496" s="76"/>
      <c r="AU2496" s="76"/>
      <c r="AV2496" s="76"/>
      <c r="AW2496" s="76"/>
      <c r="AX2496" s="76">
        <f>+AW2496*600000</f>
        <v>0</v>
      </c>
      <c r="AY2496" s="76"/>
      <c r="AZ2496" s="76">
        <f>+AY2496*70000</f>
        <v>0</v>
      </c>
      <c r="BA2496" s="76"/>
      <c r="BB2496" s="76"/>
      <c r="BC2496" s="76"/>
      <c r="BD2496" s="76">
        <f>+BC2496*30000</f>
        <v>0</v>
      </c>
      <c r="BE2496" s="76"/>
      <c r="BF2496" s="76"/>
      <c r="BG2496" s="76"/>
      <c r="BH2496" s="76"/>
      <c r="BI2496" s="76"/>
      <c r="BJ2496" s="76"/>
      <c r="BK2496" s="76"/>
      <c r="BL2496" s="76">
        <f>+BK2496*31500</f>
        <v>0</v>
      </c>
      <c r="BM2496" s="76"/>
      <c r="BN2496" s="76"/>
      <c r="BO2496" s="76"/>
      <c r="BP2496" s="76"/>
      <c r="BQ2496" s="76"/>
      <c r="BR2496" s="76"/>
      <c r="BS2496" s="76"/>
      <c r="BT2496" s="76"/>
      <c r="BU2496" s="76"/>
      <c r="BV2496" s="76"/>
      <c r="BW2496" s="76"/>
      <c r="BX2496" s="76"/>
      <c r="BY2496" s="76"/>
      <c r="BZ2496" s="76"/>
      <c r="CA2496" s="76"/>
      <c r="CB2496" s="76"/>
      <c r="CC2496" s="76"/>
      <c r="CD2496" s="76"/>
      <c r="CE2496" s="76"/>
      <c r="CF2496" s="76">
        <f>+CE2496*28000</f>
        <v>0</v>
      </c>
      <c r="CG2496" s="76"/>
      <c r="CH2496" s="76">
        <f>+CG2496*22500</f>
        <v>0</v>
      </c>
      <c r="CI2496" s="76"/>
      <c r="CJ2496" s="76">
        <f>+CI2496*26000</f>
        <v>0</v>
      </c>
      <c r="CK2496" s="76"/>
      <c r="CL2496" s="76"/>
      <c r="CM2496" s="76"/>
      <c r="CN2496" s="76">
        <f>+CM2496*22000</f>
        <v>0</v>
      </c>
      <c r="CO2496" s="76"/>
      <c r="CP2496" s="76">
        <f>+CO2496*46000</f>
        <v>0</v>
      </c>
      <c r="CQ2496" s="76"/>
      <c r="CR2496" s="76">
        <f>+CQ2496*49000</f>
        <v>0</v>
      </c>
      <c r="CS2496" s="76"/>
      <c r="CT2496" s="76"/>
      <c r="CU2496" s="56">
        <f>AN2496+AP2496+AR2496+AT2496+AV2496+AX2496+AZ2496+BB2496+BD2496+BF2496+BH2496+BJ2496+BL2496+BN2496+BP2496+BR2496+BT2496+BV2496+BX2496+BZ2496+CB2496+CD2496+CF2496+CH2496+CJ2496+CL2496+CN2496+CP2496+CR2496+CT2496</f>
        <v>0</v>
      </c>
      <c r="CV2496" s="76"/>
      <c r="CW2496" s="76">
        <f>+CV2496*1100</f>
        <v>0</v>
      </c>
      <c r="CX2496" s="76"/>
      <c r="CY2496" s="76">
        <f>+CX2496*106250</f>
        <v>0</v>
      </c>
      <c r="CZ2496" s="76"/>
      <c r="DA2496" s="76">
        <f>+CZ2496*34500</f>
        <v>0</v>
      </c>
      <c r="DB2496" s="76"/>
      <c r="DC2496" s="76">
        <f>+DB2496*25000</f>
        <v>0</v>
      </c>
      <c r="DD2496" s="219"/>
      <c r="DE2496" s="219"/>
      <c r="DF2496" s="166"/>
      <c r="DG2496" s="116"/>
      <c r="DH2496" s="117"/>
      <c r="DI2496" s="24"/>
      <c r="DJ2496" s="24"/>
      <c r="DK2496" s="24"/>
      <c r="DL2496" s="24"/>
      <c r="DM2496" s="24"/>
      <c r="DN2496" s="24"/>
      <c r="DO2496" s="24"/>
      <c r="DP2496" s="24"/>
      <c r="DQ2496" s="24"/>
      <c r="DR2496" s="24"/>
      <c r="DS2496" s="24"/>
      <c r="DT2496" s="24"/>
      <c r="DU2496" s="24"/>
    </row>
    <row r="2497" spans="1:125" s="8" customFormat="1" ht="36" x14ac:dyDescent="0.2">
      <c r="A2497" s="97">
        <v>41481</v>
      </c>
      <c r="B2497" s="60" t="s">
        <v>2860</v>
      </c>
      <c r="C2497" s="55" t="s">
        <v>2776</v>
      </c>
      <c r="D2497" s="55" t="s">
        <v>2859</v>
      </c>
      <c r="E2497" s="353" t="str">
        <f>VLOOKUP(B2497&amp;C2497,Divipola!$C$2:$F$1138,4,FALSE)</f>
        <v>63001</v>
      </c>
      <c r="F2497" s="87"/>
      <c r="G2497" s="87"/>
      <c r="H2497" s="87"/>
      <c r="I2497" s="87"/>
      <c r="J2497" s="87"/>
      <c r="K2497" s="87"/>
      <c r="L2497" s="87">
        <v>1</v>
      </c>
      <c r="M2497" s="87"/>
      <c r="N2497" s="87"/>
      <c r="O2497" s="87"/>
      <c r="P2497" s="87"/>
      <c r="Q2497" s="87"/>
      <c r="R2497" s="87"/>
      <c r="S2497" s="87"/>
      <c r="T2497" s="87"/>
      <c r="U2497" s="88"/>
      <c r="V2497" s="89"/>
      <c r="W2497" s="96">
        <v>0</v>
      </c>
      <c r="X2497" s="71">
        <f>CU2497</f>
        <v>0</v>
      </c>
      <c r="Y2497" s="71">
        <f>CY2497</f>
        <v>0</v>
      </c>
      <c r="Z2497" s="71">
        <f>DA2497+DC2497+DE2497</f>
        <v>0</v>
      </c>
      <c r="AA2497" s="71">
        <f>CW2497</f>
        <v>0</v>
      </c>
      <c r="AB2497" s="71"/>
      <c r="AC2497" s="71">
        <v>0</v>
      </c>
      <c r="AD2497" s="71">
        <f>W2497+X2497+Y2497+Z2497+AA2497+AB2497+AC2497</f>
        <v>0</v>
      </c>
      <c r="AE2497" s="72">
        <v>0</v>
      </c>
      <c r="AF2497" s="5"/>
      <c r="AG2497" s="6"/>
      <c r="AH2497" s="27"/>
      <c r="AI2497" s="44"/>
      <c r="AJ2497" s="26"/>
      <c r="AK2497" s="5"/>
      <c r="AL2497" s="82" t="s">
        <v>5355</v>
      </c>
      <c r="AM2497" s="76"/>
      <c r="AN2497" s="76"/>
      <c r="AO2497" s="76"/>
      <c r="AP2497" s="76"/>
      <c r="AQ2497" s="76"/>
      <c r="AR2497" s="76"/>
      <c r="AS2497" s="76"/>
      <c r="AT2497" s="76"/>
      <c r="AU2497" s="76"/>
      <c r="AV2497" s="76"/>
      <c r="AW2497" s="76"/>
      <c r="AX2497" s="76">
        <f>+AW2497*600000</f>
        <v>0</v>
      </c>
      <c r="AY2497" s="76"/>
      <c r="AZ2497" s="76">
        <f>+AY2497*70000</f>
        <v>0</v>
      </c>
      <c r="BA2497" s="76"/>
      <c r="BB2497" s="76"/>
      <c r="BC2497" s="76"/>
      <c r="BD2497" s="76">
        <f>+BC2497*30000</f>
        <v>0</v>
      </c>
      <c r="BE2497" s="76"/>
      <c r="BF2497" s="76"/>
      <c r="BG2497" s="76"/>
      <c r="BH2497" s="76"/>
      <c r="BI2497" s="76"/>
      <c r="BJ2497" s="76"/>
      <c r="BK2497" s="76"/>
      <c r="BL2497" s="76">
        <f>+BK2497*31500</f>
        <v>0</v>
      </c>
      <c r="BM2497" s="76"/>
      <c r="BN2497" s="76"/>
      <c r="BO2497" s="76"/>
      <c r="BP2497" s="76"/>
      <c r="BQ2497" s="76"/>
      <c r="BR2497" s="76"/>
      <c r="BS2497" s="76"/>
      <c r="BT2497" s="76"/>
      <c r="BU2497" s="76"/>
      <c r="BV2497" s="76"/>
      <c r="BW2497" s="76"/>
      <c r="BX2497" s="76"/>
      <c r="BY2497" s="76"/>
      <c r="BZ2497" s="76"/>
      <c r="CA2497" s="76"/>
      <c r="CB2497" s="76"/>
      <c r="CC2497" s="76"/>
      <c r="CD2497" s="76"/>
      <c r="CE2497" s="76"/>
      <c r="CF2497" s="76">
        <f>+CE2497*28000</f>
        <v>0</v>
      </c>
      <c r="CG2497" s="76"/>
      <c r="CH2497" s="76">
        <f>+CG2497*22500</f>
        <v>0</v>
      </c>
      <c r="CI2497" s="76"/>
      <c r="CJ2497" s="76">
        <f>+CI2497*26000</f>
        <v>0</v>
      </c>
      <c r="CK2497" s="76"/>
      <c r="CL2497" s="76"/>
      <c r="CM2497" s="76"/>
      <c r="CN2497" s="76">
        <f>+CM2497*22000</f>
        <v>0</v>
      </c>
      <c r="CO2497" s="76"/>
      <c r="CP2497" s="76">
        <f>+CO2497*46000</f>
        <v>0</v>
      </c>
      <c r="CQ2497" s="76"/>
      <c r="CR2497" s="76">
        <f>+CQ2497*49000</f>
        <v>0</v>
      </c>
      <c r="CS2497" s="76"/>
      <c r="CT2497" s="76"/>
      <c r="CU2497" s="56">
        <f>AN2497+AP2497+AR2497+AT2497+AV2497+AX2497+AZ2497+BB2497+BD2497+BF2497+BH2497+BJ2497+BL2497+BN2497+BP2497+BR2497+BT2497+BV2497+BX2497+BZ2497+CB2497+CD2497+CF2497+CH2497+CJ2497+CL2497+CN2497+CP2497+CR2497+CT2497</f>
        <v>0</v>
      </c>
      <c r="CV2497" s="76"/>
      <c r="CW2497" s="76">
        <f>+CV2497*1100</f>
        <v>0</v>
      </c>
      <c r="CX2497" s="76"/>
      <c r="CY2497" s="76">
        <f>+CX2497*106250</f>
        <v>0</v>
      </c>
      <c r="CZ2497" s="76"/>
      <c r="DA2497" s="76">
        <f>+CZ2497*34500</f>
        <v>0</v>
      </c>
      <c r="DB2497" s="76"/>
      <c r="DC2497" s="76">
        <f>+DB2497*25000</f>
        <v>0</v>
      </c>
      <c r="DD2497" s="219"/>
      <c r="DE2497" s="219"/>
      <c r="DF2497" s="166"/>
      <c r="DG2497" s="116"/>
      <c r="DH2497" s="117"/>
      <c r="DI2497" s="24"/>
      <c r="DJ2497" s="24"/>
      <c r="DK2497" s="24"/>
      <c r="DL2497" s="24"/>
      <c r="DM2497" s="24"/>
      <c r="DN2497" s="24"/>
      <c r="DO2497" s="24"/>
      <c r="DP2497" s="24"/>
      <c r="DQ2497" s="24"/>
      <c r="DR2497" s="24"/>
      <c r="DS2497" s="24"/>
      <c r="DT2497" s="24"/>
      <c r="DU2497" s="24"/>
    </row>
    <row r="2498" spans="1:125" s="8" customFormat="1" ht="36" x14ac:dyDescent="0.2">
      <c r="A2498" s="353">
        <v>41481</v>
      </c>
      <c r="B2498" s="352" t="s">
        <v>2774</v>
      </c>
      <c r="C2498" s="354" t="s">
        <v>2037</v>
      </c>
      <c r="D2498" s="354" t="s">
        <v>2882</v>
      </c>
      <c r="E2498" s="353" t="str">
        <f>VLOOKUP(B2498&amp;C2498,Divipola!$C$2:$F$1138,4,FALSE)</f>
        <v>66045</v>
      </c>
      <c r="F2498" s="87"/>
      <c r="G2498" s="87"/>
      <c r="H2498" s="87"/>
      <c r="I2498" s="87"/>
      <c r="J2498" s="87"/>
      <c r="K2498" s="87"/>
      <c r="L2498" s="87"/>
      <c r="M2498" s="87"/>
      <c r="N2498" s="87"/>
      <c r="O2498" s="87"/>
      <c r="P2498" s="87"/>
      <c r="Q2498" s="87"/>
      <c r="R2498" s="87"/>
      <c r="S2498" s="87"/>
      <c r="T2498" s="87"/>
      <c r="U2498" s="88"/>
      <c r="V2498" s="89"/>
      <c r="W2498" s="96">
        <v>0</v>
      </c>
      <c r="X2498" s="71">
        <f>CU2498</f>
        <v>0</v>
      </c>
      <c r="Y2498" s="71">
        <f>CY2498</f>
        <v>0</v>
      </c>
      <c r="Z2498" s="71">
        <f>DA2498+DC2498+DE2498</f>
        <v>0</v>
      </c>
      <c r="AA2498" s="71">
        <f>CW2498</f>
        <v>0</v>
      </c>
      <c r="AB2498" s="71"/>
      <c r="AC2498" s="71">
        <v>0</v>
      </c>
      <c r="AD2498" s="71">
        <f>W2498+X2498+Y2498+Z2498+AA2498+AB2498+AC2498</f>
        <v>0</v>
      </c>
      <c r="AE2498" s="72">
        <v>0</v>
      </c>
      <c r="AF2498" s="5"/>
      <c r="AG2498" s="6"/>
      <c r="AH2498" s="27"/>
      <c r="AI2498" s="44"/>
      <c r="AJ2498" s="26"/>
      <c r="AK2498" s="5"/>
      <c r="AL2498" s="82" t="s">
        <v>5354</v>
      </c>
      <c r="AM2498" s="76"/>
      <c r="AN2498" s="76"/>
      <c r="AO2498" s="76"/>
      <c r="AP2498" s="76"/>
      <c r="AQ2498" s="76"/>
      <c r="AR2498" s="76"/>
      <c r="AS2498" s="76"/>
      <c r="AT2498" s="76"/>
      <c r="AU2498" s="76"/>
      <c r="AV2498" s="76"/>
      <c r="AW2498" s="76"/>
      <c r="AX2498" s="76">
        <f>+AW2498*600000</f>
        <v>0</v>
      </c>
      <c r="AY2498" s="76"/>
      <c r="AZ2498" s="76">
        <f>+AY2498*70000</f>
        <v>0</v>
      </c>
      <c r="BA2498" s="76"/>
      <c r="BB2498" s="76"/>
      <c r="BC2498" s="76"/>
      <c r="BD2498" s="76">
        <f>+BC2498*30000</f>
        <v>0</v>
      </c>
      <c r="BE2498" s="76"/>
      <c r="BF2498" s="76"/>
      <c r="BG2498" s="76"/>
      <c r="BH2498" s="76"/>
      <c r="BI2498" s="76"/>
      <c r="BJ2498" s="76"/>
      <c r="BK2498" s="76"/>
      <c r="BL2498" s="76">
        <f>+BK2498*31500</f>
        <v>0</v>
      </c>
      <c r="BM2498" s="76"/>
      <c r="BN2498" s="76"/>
      <c r="BO2498" s="76"/>
      <c r="BP2498" s="76"/>
      <c r="BQ2498" s="76"/>
      <c r="BR2498" s="76"/>
      <c r="BS2498" s="76"/>
      <c r="BT2498" s="76"/>
      <c r="BU2498" s="76"/>
      <c r="BV2498" s="76"/>
      <c r="BW2498" s="76"/>
      <c r="BX2498" s="76"/>
      <c r="BY2498" s="76"/>
      <c r="BZ2498" s="76"/>
      <c r="CA2498" s="76"/>
      <c r="CB2498" s="76"/>
      <c r="CC2498" s="76"/>
      <c r="CD2498" s="76"/>
      <c r="CE2498" s="76"/>
      <c r="CF2498" s="76">
        <f>+CE2498*28000</f>
        <v>0</v>
      </c>
      <c r="CG2498" s="76"/>
      <c r="CH2498" s="76">
        <f>+CG2498*22500</f>
        <v>0</v>
      </c>
      <c r="CI2498" s="76"/>
      <c r="CJ2498" s="76">
        <f>+CI2498*26000</f>
        <v>0</v>
      </c>
      <c r="CK2498" s="76"/>
      <c r="CL2498" s="76"/>
      <c r="CM2498" s="76"/>
      <c r="CN2498" s="76">
        <f>+CM2498*22000</f>
        <v>0</v>
      </c>
      <c r="CO2498" s="76"/>
      <c r="CP2498" s="76">
        <f>+CO2498*46000</f>
        <v>0</v>
      </c>
      <c r="CQ2498" s="76"/>
      <c r="CR2498" s="76">
        <f>+CQ2498*49000</f>
        <v>0</v>
      </c>
      <c r="CS2498" s="76"/>
      <c r="CT2498" s="76"/>
      <c r="CU2498" s="56">
        <f>AN2498+AP2498+AR2498+AT2498+AV2498+AX2498+AZ2498+BB2498+BD2498+BF2498+BH2498+BJ2498+BL2498+BN2498+BP2498+BR2498+BT2498+BV2498+BX2498+BZ2498+CB2498+CD2498+CF2498+CH2498+CJ2498+CL2498+CN2498+CP2498+CR2498+CT2498</f>
        <v>0</v>
      </c>
      <c r="CV2498" s="76"/>
      <c r="CW2498" s="76">
        <f>+CV2498*1100</f>
        <v>0</v>
      </c>
      <c r="CX2498" s="76"/>
      <c r="CY2498" s="76">
        <f>+CX2498*106250</f>
        <v>0</v>
      </c>
      <c r="CZ2498" s="76"/>
      <c r="DA2498" s="76">
        <f>+CZ2498*34500</f>
        <v>0</v>
      </c>
      <c r="DB2498" s="76"/>
      <c r="DC2498" s="76">
        <f>+DB2498*25000</f>
        <v>0</v>
      </c>
      <c r="DD2498" s="219"/>
      <c r="DE2498" s="219"/>
      <c r="DF2498" s="166"/>
      <c r="DG2498" s="116"/>
      <c r="DH2498" s="117"/>
      <c r="DI2498" s="24"/>
      <c r="DJ2498" s="24"/>
      <c r="DK2498" s="24"/>
      <c r="DL2498" s="24"/>
      <c r="DM2498" s="24"/>
      <c r="DN2498" s="24"/>
      <c r="DO2498" s="24"/>
      <c r="DP2498" s="24"/>
      <c r="DQ2498" s="24"/>
      <c r="DR2498" s="24"/>
      <c r="DS2498" s="24"/>
      <c r="DT2498" s="24"/>
      <c r="DU2498" s="24"/>
    </row>
    <row r="2499" spans="1:125" s="8" customFormat="1" ht="66" customHeight="1" x14ac:dyDescent="0.2">
      <c r="A2499" s="226">
        <v>41481</v>
      </c>
      <c r="B2499" s="225" t="s">
        <v>2774</v>
      </c>
      <c r="C2499" s="227" t="s">
        <v>2216</v>
      </c>
      <c r="D2499" s="354" t="s">
        <v>2846</v>
      </c>
      <c r="E2499" s="353" t="str">
        <f>VLOOKUP(B2499&amp;C2499,Divipola!$C$2:$F$1138,4,FALSE)</f>
        <v>66075</v>
      </c>
      <c r="F2499" s="87"/>
      <c r="G2499" s="87"/>
      <c r="H2499" s="87"/>
      <c r="I2499" s="87"/>
      <c r="J2499" s="87"/>
      <c r="K2499" s="87"/>
      <c r="L2499" s="87"/>
      <c r="M2499" s="87"/>
      <c r="N2499" s="87"/>
      <c r="O2499" s="87"/>
      <c r="P2499" s="87"/>
      <c r="Q2499" s="87"/>
      <c r="R2499" s="87"/>
      <c r="S2499" s="87"/>
      <c r="T2499" s="87"/>
      <c r="U2499" s="88">
        <v>1</v>
      </c>
      <c r="V2499" s="89"/>
      <c r="W2499" s="96">
        <v>0</v>
      </c>
      <c r="X2499" s="71">
        <f>CU2499</f>
        <v>0</v>
      </c>
      <c r="Y2499" s="71">
        <f>CY2499</f>
        <v>0</v>
      </c>
      <c r="Z2499" s="71">
        <f>DA2499+DC2499+DE2499</f>
        <v>0</v>
      </c>
      <c r="AA2499" s="71">
        <f>CW2499</f>
        <v>0</v>
      </c>
      <c r="AB2499" s="71"/>
      <c r="AC2499" s="71">
        <v>0</v>
      </c>
      <c r="AD2499" s="71">
        <f>W2499+X2499+Y2499+Z2499+AA2499+AB2499+AC2499</f>
        <v>0</v>
      </c>
      <c r="AE2499" s="72">
        <v>0</v>
      </c>
      <c r="AF2499" s="5"/>
      <c r="AG2499" s="6"/>
      <c r="AH2499" s="27"/>
      <c r="AI2499" s="44"/>
      <c r="AJ2499" s="26"/>
      <c r="AK2499" s="5"/>
      <c r="AL2499" s="82" t="s">
        <v>5374</v>
      </c>
      <c r="AM2499" s="76"/>
      <c r="AN2499" s="76"/>
      <c r="AO2499" s="76"/>
      <c r="AP2499" s="76"/>
      <c r="AQ2499" s="76"/>
      <c r="AR2499" s="76"/>
      <c r="AS2499" s="76"/>
      <c r="AT2499" s="76"/>
      <c r="AU2499" s="76"/>
      <c r="AV2499" s="76"/>
      <c r="AW2499" s="76"/>
      <c r="AX2499" s="76">
        <f>+AW2499*600000</f>
        <v>0</v>
      </c>
      <c r="AY2499" s="76"/>
      <c r="AZ2499" s="76">
        <f>+AY2499*70000</f>
        <v>0</v>
      </c>
      <c r="BA2499" s="76"/>
      <c r="BB2499" s="76"/>
      <c r="BC2499" s="76"/>
      <c r="BD2499" s="76">
        <f>+BC2499*30000</f>
        <v>0</v>
      </c>
      <c r="BE2499" s="76"/>
      <c r="BF2499" s="76"/>
      <c r="BG2499" s="76"/>
      <c r="BH2499" s="76"/>
      <c r="BI2499" s="76"/>
      <c r="BJ2499" s="76"/>
      <c r="BK2499" s="76"/>
      <c r="BL2499" s="76">
        <f>+BK2499*31500</f>
        <v>0</v>
      </c>
      <c r="BM2499" s="76"/>
      <c r="BN2499" s="76"/>
      <c r="BO2499" s="76"/>
      <c r="BP2499" s="76"/>
      <c r="BQ2499" s="76"/>
      <c r="BR2499" s="76"/>
      <c r="BS2499" s="76"/>
      <c r="BT2499" s="76"/>
      <c r="BU2499" s="76"/>
      <c r="BV2499" s="76"/>
      <c r="BW2499" s="76"/>
      <c r="BX2499" s="76"/>
      <c r="BY2499" s="76"/>
      <c r="BZ2499" s="76"/>
      <c r="CA2499" s="76"/>
      <c r="CB2499" s="76"/>
      <c r="CC2499" s="76"/>
      <c r="CD2499" s="76"/>
      <c r="CE2499" s="76"/>
      <c r="CF2499" s="76">
        <f>+CE2499*28000</f>
        <v>0</v>
      </c>
      <c r="CG2499" s="76"/>
      <c r="CH2499" s="76">
        <f>+CG2499*22500</f>
        <v>0</v>
      </c>
      <c r="CI2499" s="76"/>
      <c r="CJ2499" s="76">
        <f>+CI2499*26000</f>
        <v>0</v>
      </c>
      <c r="CK2499" s="76"/>
      <c r="CL2499" s="76"/>
      <c r="CM2499" s="76"/>
      <c r="CN2499" s="76">
        <f>+CM2499*22000</f>
        <v>0</v>
      </c>
      <c r="CO2499" s="76"/>
      <c r="CP2499" s="76">
        <f>+CO2499*46000</f>
        <v>0</v>
      </c>
      <c r="CQ2499" s="76"/>
      <c r="CR2499" s="76">
        <f>+CQ2499*49000</f>
        <v>0</v>
      </c>
      <c r="CS2499" s="76"/>
      <c r="CT2499" s="76"/>
      <c r="CU2499" s="56">
        <f>AN2499+AP2499+AR2499+AT2499+AV2499+AX2499+AZ2499+BB2499+BD2499+BF2499+BH2499+BJ2499+BL2499+BN2499+BP2499+BR2499+BT2499+BV2499+BX2499+BZ2499+CB2499+CD2499+CF2499+CH2499+CJ2499+CL2499+CN2499+CP2499+CR2499+CT2499</f>
        <v>0</v>
      </c>
      <c r="CV2499" s="76"/>
      <c r="CW2499" s="76">
        <f>+CV2499*1100</f>
        <v>0</v>
      </c>
      <c r="CX2499" s="76"/>
      <c r="CY2499" s="76">
        <f>+CX2499*106250</f>
        <v>0</v>
      </c>
      <c r="CZ2499" s="76"/>
      <c r="DA2499" s="76">
        <f>+CZ2499*34500</f>
        <v>0</v>
      </c>
      <c r="DB2499" s="76"/>
      <c r="DC2499" s="76">
        <f>+DB2499*25000</f>
        <v>0</v>
      </c>
      <c r="DD2499" s="219"/>
      <c r="DE2499" s="219"/>
      <c r="DF2499" s="166"/>
      <c r="DG2499" s="116"/>
      <c r="DH2499" s="117"/>
      <c r="DI2499" s="24"/>
      <c r="DJ2499" s="24"/>
      <c r="DK2499" s="24"/>
      <c r="DL2499" s="24"/>
      <c r="DM2499" s="24"/>
      <c r="DN2499" s="24"/>
      <c r="DO2499" s="24"/>
      <c r="DP2499" s="24"/>
      <c r="DQ2499" s="24"/>
      <c r="DR2499" s="24"/>
      <c r="DS2499" s="24"/>
      <c r="DT2499" s="24"/>
      <c r="DU2499" s="24"/>
    </row>
    <row r="2500" spans="1:125" s="8" customFormat="1" ht="72" x14ac:dyDescent="0.2">
      <c r="A2500" s="226">
        <v>41481</v>
      </c>
      <c r="B2500" s="225" t="s">
        <v>2774</v>
      </c>
      <c r="C2500" s="227" t="s">
        <v>1256</v>
      </c>
      <c r="D2500" s="354" t="s">
        <v>2882</v>
      </c>
      <c r="E2500" s="353" t="str">
        <f>VLOOKUP(B2500&amp;C2500,Divipola!$C$2:$F$1138,4,FALSE)</f>
        <v>66572</v>
      </c>
      <c r="F2500" s="261"/>
      <c r="G2500" s="87"/>
      <c r="H2500" s="87"/>
      <c r="I2500" s="87"/>
      <c r="J2500" s="87"/>
      <c r="K2500" s="87"/>
      <c r="L2500" s="87"/>
      <c r="M2500" s="87"/>
      <c r="N2500" s="87"/>
      <c r="O2500" s="87"/>
      <c r="P2500" s="87"/>
      <c r="Q2500" s="87"/>
      <c r="R2500" s="87"/>
      <c r="S2500" s="87"/>
      <c r="T2500" s="87"/>
      <c r="U2500" s="88"/>
      <c r="V2500" s="89"/>
      <c r="W2500" s="96">
        <v>0</v>
      </c>
      <c r="X2500" s="71">
        <f>CU2500</f>
        <v>0</v>
      </c>
      <c r="Y2500" s="71">
        <f>CY2500</f>
        <v>0</v>
      </c>
      <c r="Z2500" s="71">
        <f>DA2500+DC2500+DE2500</f>
        <v>0</v>
      </c>
      <c r="AA2500" s="71">
        <f>CW2500</f>
        <v>0</v>
      </c>
      <c r="AB2500" s="71"/>
      <c r="AC2500" s="71">
        <v>0</v>
      </c>
      <c r="AD2500" s="71">
        <f>W2500+X2500+Y2500+Z2500+AA2500+AB2500+AC2500</f>
        <v>0</v>
      </c>
      <c r="AE2500" s="72">
        <v>0</v>
      </c>
      <c r="AF2500" s="5"/>
      <c r="AG2500" s="6"/>
      <c r="AH2500" s="27"/>
      <c r="AI2500" s="44"/>
      <c r="AJ2500" s="26"/>
      <c r="AK2500" s="5"/>
      <c r="AL2500" s="82" t="s">
        <v>5353</v>
      </c>
      <c r="AM2500" s="76"/>
      <c r="AN2500" s="76"/>
      <c r="AO2500" s="76"/>
      <c r="AP2500" s="76"/>
      <c r="AQ2500" s="76"/>
      <c r="AR2500" s="76"/>
      <c r="AS2500" s="76"/>
      <c r="AT2500" s="76"/>
      <c r="AU2500" s="76"/>
      <c r="AV2500" s="76"/>
      <c r="AW2500" s="76"/>
      <c r="AX2500" s="76">
        <f>+AW2500*600000</f>
        <v>0</v>
      </c>
      <c r="AY2500" s="76"/>
      <c r="AZ2500" s="76">
        <f>+AY2500*70000</f>
        <v>0</v>
      </c>
      <c r="BA2500" s="76"/>
      <c r="BB2500" s="76"/>
      <c r="BC2500" s="76"/>
      <c r="BD2500" s="76">
        <f>+BC2500*30000</f>
        <v>0</v>
      </c>
      <c r="BE2500" s="76"/>
      <c r="BF2500" s="76"/>
      <c r="BG2500" s="76"/>
      <c r="BH2500" s="76"/>
      <c r="BI2500" s="76"/>
      <c r="BJ2500" s="76"/>
      <c r="BK2500" s="76"/>
      <c r="BL2500" s="76">
        <f>+BK2500*31500</f>
        <v>0</v>
      </c>
      <c r="BM2500" s="76"/>
      <c r="BN2500" s="76"/>
      <c r="BO2500" s="76"/>
      <c r="BP2500" s="76"/>
      <c r="BQ2500" s="76"/>
      <c r="BR2500" s="76"/>
      <c r="BS2500" s="76"/>
      <c r="BT2500" s="76"/>
      <c r="BU2500" s="76"/>
      <c r="BV2500" s="76"/>
      <c r="BW2500" s="76"/>
      <c r="BX2500" s="76"/>
      <c r="BY2500" s="76"/>
      <c r="BZ2500" s="76"/>
      <c r="CA2500" s="76"/>
      <c r="CB2500" s="76"/>
      <c r="CC2500" s="76"/>
      <c r="CD2500" s="76"/>
      <c r="CE2500" s="76"/>
      <c r="CF2500" s="76">
        <f>+CE2500*28000</f>
        <v>0</v>
      </c>
      <c r="CG2500" s="76"/>
      <c r="CH2500" s="76">
        <f>+CG2500*22500</f>
        <v>0</v>
      </c>
      <c r="CI2500" s="76"/>
      <c r="CJ2500" s="76">
        <f>+CI2500*26000</f>
        <v>0</v>
      </c>
      <c r="CK2500" s="76"/>
      <c r="CL2500" s="76"/>
      <c r="CM2500" s="76"/>
      <c r="CN2500" s="76">
        <f>+CM2500*22000</f>
        <v>0</v>
      </c>
      <c r="CO2500" s="76"/>
      <c r="CP2500" s="76">
        <f>+CO2500*46000</f>
        <v>0</v>
      </c>
      <c r="CQ2500" s="76"/>
      <c r="CR2500" s="76">
        <f>+CQ2500*49000</f>
        <v>0</v>
      </c>
      <c r="CS2500" s="76"/>
      <c r="CT2500" s="76"/>
      <c r="CU2500" s="56">
        <f>AN2500+AP2500+AR2500+AT2500+AV2500+AX2500+AZ2500+BB2500+BD2500+BF2500+BH2500+BJ2500+BL2500+BN2500+BP2500+BR2500+BT2500+BV2500+BX2500+BZ2500+CB2500+CD2500+CF2500+CH2500+CJ2500+CL2500+CN2500+CP2500+CR2500+CT2500</f>
        <v>0</v>
      </c>
      <c r="CV2500" s="76"/>
      <c r="CW2500" s="76">
        <f>+CV2500*1100</f>
        <v>0</v>
      </c>
      <c r="CX2500" s="76"/>
      <c r="CY2500" s="76">
        <f>+CX2500*106250</f>
        <v>0</v>
      </c>
      <c r="CZ2500" s="76"/>
      <c r="DA2500" s="76">
        <f>+CZ2500*34500</f>
        <v>0</v>
      </c>
      <c r="DB2500" s="76"/>
      <c r="DC2500" s="76">
        <f>+DB2500*25000</f>
        <v>0</v>
      </c>
      <c r="DD2500" s="219"/>
      <c r="DE2500" s="219"/>
      <c r="DF2500" s="166"/>
      <c r="DG2500" s="116"/>
      <c r="DH2500" s="117"/>
      <c r="DI2500" s="24"/>
      <c r="DJ2500" s="24"/>
      <c r="DK2500" s="24"/>
      <c r="DL2500" s="24"/>
      <c r="DM2500" s="24"/>
      <c r="DN2500" s="24"/>
      <c r="DO2500" s="24"/>
      <c r="DP2500" s="24"/>
      <c r="DQ2500" s="24"/>
      <c r="DR2500" s="24"/>
      <c r="DS2500" s="24"/>
      <c r="DT2500" s="24"/>
      <c r="DU2500" s="24"/>
    </row>
    <row r="2501" spans="1:125" s="8" customFormat="1" ht="180" x14ac:dyDescent="0.2">
      <c r="A2501" s="353">
        <v>41481</v>
      </c>
      <c r="B2501" s="352" t="s">
        <v>2847</v>
      </c>
      <c r="C2501" s="354" t="s">
        <v>2197</v>
      </c>
      <c r="D2501" s="354" t="s">
        <v>2846</v>
      </c>
      <c r="E2501" s="353" t="str">
        <f>VLOOKUP(B2501&amp;C2501,Divipola!$C$2:$F$1138,4,FALSE)</f>
        <v>68276</v>
      </c>
      <c r="F2501" s="87"/>
      <c r="G2501" s="87"/>
      <c r="H2501" s="87"/>
      <c r="I2501" s="87"/>
      <c r="J2501" s="87"/>
      <c r="K2501" s="87"/>
      <c r="L2501" s="87"/>
      <c r="M2501" s="87"/>
      <c r="N2501" s="87"/>
      <c r="O2501" s="87"/>
      <c r="P2501" s="87"/>
      <c r="Q2501" s="87"/>
      <c r="R2501" s="87"/>
      <c r="S2501" s="87"/>
      <c r="T2501" s="87"/>
      <c r="U2501" s="88">
        <v>10</v>
      </c>
      <c r="V2501" s="89"/>
      <c r="W2501" s="96">
        <v>0</v>
      </c>
      <c r="X2501" s="71">
        <f>CU2501</f>
        <v>0</v>
      </c>
      <c r="Y2501" s="71">
        <f>CY2501</f>
        <v>0</v>
      </c>
      <c r="Z2501" s="71">
        <f>DA2501+DC2501+DE2501</f>
        <v>0</v>
      </c>
      <c r="AA2501" s="71">
        <f>CW2501</f>
        <v>0</v>
      </c>
      <c r="AB2501" s="71"/>
      <c r="AC2501" s="71">
        <v>0</v>
      </c>
      <c r="AD2501" s="71">
        <f>W2501+X2501+Y2501+Z2501+AA2501+AB2501+AC2501</f>
        <v>0</v>
      </c>
      <c r="AE2501" s="72">
        <v>0</v>
      </c>
      <c r="AF2501" s="5"/>
      <c r="AG2501" s="6"/>
      <c r="AH2501" s="27"/>
      <c r="AI2501" s="44"/>
      <c r="AJ2501" s="26"/>
      <c r="AK2501" s="5"/>
      <c r="AL2501" s="82" t="s">
        <v>5356</v>
      </c>
      <c r="AM2501" s="76"/>
      <c r="AN2501" s="76"/>
      <c r="AO2501" s="76"/>
      <c r="AP2501" s="76"/>
      <c r="AQ2501" s="76"/>
      <c r="AR2501" s="76"/>
      <c r="AS2501" s="76"/>
      <c r="AT2501" s="76"/>
      <c r="AU2501" s="76"/>
      <c r="AV2501" s="76"/>
      <c r="AW2501" s="76"/>
      <c r="AX2501" s="76">
        <f>+AW2501*600000</f>
        <v>0</v>
      </c>
      <c r="AY2501" s="76"/>
      <c r="AZ2501" s="76">
        <f>+AY2501*70000</f>
        <v>0</v>
      </c>
      <c r="BA2501" s="76"/>
      <c r="BB2501" s="76"/>
      <c r="BC2501" s="76"/>
      <c r="BD2501" s="76">
        <f>+BC2501*30000</f>
        <v>0</v>
      </c>
      <c r="BE2501" s="76"/>
      <c r="BF2501" s="76"/>
      <c r="BG2501" s="76"/>
      <c r="BH2501" s="76"/>
      <c r="BI2501" s="76"/>
      <c r="BJ2501" s="76"/>
      <c r="BK2501" s="76"/>
      <c r="BL2501" s="76">
        <f>+BK2501*31500</f>
        <v>0</v>
      </c>
      <c r="BM2501" s="76"/>
      <c r="BN2501" s="76"/>
      <c r="BO2501" s="76"/>
      <c r="BP2501" s="76"/>
      <c r="BQ2501" s="76"/>
      <c r="BR2501" s="76"/>
      <c r="BS2501" s="76"/>
      <c r="BT2501" s="76"/>
      <c r="BU2501" s="76"/>
      <c r="BV2501" s="76"/>
      <c r="BW2501" s="76"/>
      <c r="BX2501" s="76"/>
      <c r="BY2501" s="76"/>
      <c r="BZ2501" s="76"/>
      <c r="CA2501" s="76"/>
      <c r="CB2501" s="76"/>
      <c r="CC2501" s="76"/>
      <c r="CD2501" s="76"/>
      <c r="CE2501" s="76"/>
      <c r="CF2501" s="76">
        <f>+CE2501*28000</f>
        <v>0</v>
      </c>
      <c r="CG2501" s="76"/>
      <c r="CH2501" s="76">
        <f>+CG2501*22500</f>
        <v>0</v>
      </c>
      <c r="CI2501" s="76"/>
      <c r="CJ2501" s="76">
        <f>+CI2501*26000</f>
        <v>0</v>
      </c>
      <c r="CK2501" s="76"/>
      <c r="CL2501" s="76"/>
      <c r="CM2501" s="76"/>
      <c r="CN2501" s="76">
        <f>+CM2501*22000</f>
        <v>0</v>
      </c>
      <c r="CO2501" s="76"/>
      <c r="CP2501" s="76">
        <f>+CO2501*46000</f>
        <v>0</v>
      </c>
      <c r="CQ2501" s="76"/>
      <c r="CR2501" s="76">
        <f>+CQ2501*49000</f>
        <v>0</v>
      </c>
      <c r="CS2501" s="76"/>
      <c r="CT2501" s="76"/>
      <c r="CU2501" s="56">
        <f>AN2501+AP2501+AR2501+AT2501+AV2501+AX2501+AZ2501+BB2501+BD2501+BF2501+BH2501+BJ2501+BL2501+BN2501+BP2501+BR2501+BT2501+BV2501+BX2501+BZ2501+CB2501+CD2501+CF2501+CH2501+CJ2501+CL2501+CN2501+CP2501+CR2501+CT2501</f>
        <v>0</v>
      </c>
      <c r="CV2501" s="76"/>
      <c r="CW2501" s="76">
        <f>+CV2501*1100</f>
        <v>0</v>
      </c>
      <c r="CX2501" s="76"/>
      <c r="CY2501" s="76">
        <f>+CX2501*106250</f>
        <v>0</v>
      </c>
      <c r="CZ2501" s="76"/>
      <c r="DA2501" s="76">
        <f>+CZ2501*34500</f>
        <v>0</v>
      </c>
      <c r="DB2501" s="76"/>
      <c r="DC2501" s="76">
        <f>+DB2501*25000</f>
        <v>0</v>
      </c>
      <c r="DD2501" s="219"/>
      <c r="DE2501" s="219"/>
      <c r="DF2501" s="166"/>
      <c r="DG2501" s="116"/>
      <c r="DH2501" s="117"/>
      <c r="DI2501" s="24"/>
      <c r="DJ2501" s="24"/>
      <c r="DK2501" s="24"/>
      <c r="DL2501" s="24"/>
      <c r="DM2501" s="24"/>
      <c r="DN2501" s="24"/>
      <c r="DO2501" s="24"/>
      <c r="DP2501" s="24"/>
      <c r="DQ2501" s="24"/>
      <c r="DR2501" s="24"/>
      <c r="DS2501" s="24"/>
      <c r="DT2501" s="24"/>
      <c r="DU2501" s="24"/>
    </row>
    <row r="2502" spans="1:125" s="8" customFormat="1" ht="108" x14ac:dyDescent="0.2">
      <c r="A2502" s="97">
        <v>41481</v>
      </c>
      <c r="B2502" s="352" t="s">
        <v>2847</v>
      </c>
      <c r="C2502" s="354" t="s">
        <v>1727</v>
      </c>
      <c r="D2502" s="354" t="s">
        <v>2882</v>
      </c>
      <c r="E2502" s="353" t="str">
        <f>VLOOKUP(B2502&amp;C2502,Divipola!$C$2:$F$1138,4,FALSE)</f>
        <v>68406</v>
      </c>
      <c r="F2502" s="87"/>
      <c r="G2502" s="87"/>
      <c r="H2502" s="87"/>
      <c r="I2502" s="87"/>
      <c r="J2502" s="87"/>
      <c r="K2502" s="87"/>
      <c r="L2502" s="87"/>
      <c r="M2502" s="87"/>
      <c r="N2502" s="87"/>
      <c r="O2502" s="87"/>
      <c r="P2502" s="87"/>
      <c r="Q2502" s="87"/>
      <c r="R2502" s="87"/>
      <c r="S2502" s="87"/>
      <c r="T2502" s="87"/>
      <c r="U2502" s="88"/>
      <c r="V2502" s="89"/>
      <c r="W2502" s="96">
        <v>0</v>
      </c>
      <c r="X2502" s="71">
        <f>CU2502</f>
        <v>0</v>
      </c>
      <c r="Y2502" s="71">
        <f>CY2502</f>
        <v>0</v>
      </c>
      <c r="Z2502" s="71">
        <f>DA2502+DC2502+DE2502</f>
        <v>0</v>
      </c>
      <c r="AA2502" s="71">
        <f>CW2502</f>
        <v>0</v>
      </c>
      <c r="AB2502" s="71"/>
      <c r="AC2502" s="71">
        <v>0</v>
      </c>
      <c r="AD2502" s="71">
        <f>W2502+X2502+Y2502+Z2502+AA2502+AB2502+AC2502</f>
        <v>0</v>
      </c>
      <c r="AE2502" s="72">
        <v>0</v>
      </c>
      <c r="AF2502" s="5"/>
      <c r="AG2502" s="6"/>
      <c r="AH2502" s="27"/>
      <c r="AI2502" s="44"/>
      <c r="AJ2502" s="26"/>
      <c r="AK2502" s="5"/>
      <c r="AL2502" s="82" t="s">
        <v>5379</v>
      </c>
      <c r="AM2502" s="76"/>
      <c r="AN2502" s="76"/>
      <c r="AO2502" s="76"/>
      <c r="AP2502" s="76"/>
      <c r="AQ2502" s="76"/>
      <c r="AR2502" s="76"/>
      <c r="AS2502" s="76"/>
      <c r="AT2502" s="76"/>
      <c r="AU2502" s="76"/>
      <c r="AV2502" s="76"/>
      <c r="AW2502" s="76"/>
      <c r="AX2502" s="76">
        <f>+AW2502*600000</f>
        <v>0</v>
      </c>
      <c r="AY2502" s="76"/>
      <c r="AZ2502" s="76">
        <f>+AY2502*70000</f>
        <v>0</v>
      </c>
      <c r="BA2502" s="76"/>
      <c r="BB2502" s="76"/>
      <c r="BC2502" s="76"/>
      <c r="BD2502" s="76">
        <f>+BC2502*30000</f>
        <v>0</v>
      </c>
      <c r="BE2502" s="76"/>
      <c r="BF2502" s="76"/>
      <c r="BG2502" s="76"/>
      <c r="BH2502" s="76"/>
      <c r="BI2502" s="76"/>
      <c r="BJ2502" s="76"/>
      <c r="BK2502" s="76"/>
      <c r="BL2502" s="76">
        <f>+BK2502*31500</f>
        <v>0</v>
      </c>
      <c r="BM2502" s="76"/>
      <c r="BN2502" s="76"/>
      <c r="BO2502" s="76"/>
      <c r="BP2502" s="76"/>
      <c r="BQ2502" s="76"/>
      <c r="BR2502" s="76"/>
      <c r="BS2502" s="76"/>
      <c r="BT2502" s="76"/>
      <c r="BU2502" s="76"/>
      <c r="BV2502" s="76"/>
      <c r="BW2502" s="76"/>
      <c r="BX2502" s="76"/>
      <c r="BY2502" s="76"/>
      <c r="BZ2502" s="76"/>
      <c r="CA2502" s="76"/>
      <c r="CB2502" s="76"/>
      <c r="CC2502" s="76"/>
      <c r="CD2502" s="76"/>
      <c r="CE2502" s="76"/>
      <c r="CF2502" s="76">
        <f>+CE2502*28000</f>
        <v>0</v>
      </c>
      <c r="CG2502" s="76"/>
      <c r="CH2502" s="76">
        <f>+CG2502*22500</f>
        <v>0</v>
      </c>
      <c r="CI2502" s="76"/>
      <c r="CJ2502" s="76">
        <f>+CI2502*26000</f>
        <v>0</v>
      </c>
      <c r="CK2502" s="76"/>
      <c r="CL2502" s="76"/>
      <c r="CM2502" s="76"/>
      <c r="CN2502" s="76">
        <f>+CM2502*22000</f>
        <v>0</v>
      </c>
      <c r="CO2502" s="76"/>
      <c r="CP2502" s="76">
        <f>+CO2502*46000</f>
        <v>0</v>
      </c>
      <c r="CQ2502" s="76"/>
      <c r="CR2502" s="76">
        <f>+CQ2502*49000</f>
        <v>0</v>
      </c>
      <c r="CS2502" s="76"/>
      <c r="CT2502" s="76"/>
      <c r="CU2502" s="56">
        <f>AN2502+AP2502+AR2502+AT2502+AV2502+AX2502+AZ2502+BB2502+BD2502+BF2502+BH2502+BJ2502+BL2502+BN2502+BP2502+BR2502+BT2502+BV2502+BX2502+BZ2502+CB2502+CD2502+CF2502+CH2502+CJ2502+CL2502+CN2502+CP2502+CR2502+CT2502</f>
        <v>0</v>
      </c>
      <c r="CV2502" s="76"/>
      <c r="CW2502" s="76">
        <f>+CV2502*1100</f>
        <v>0</v>
      </c>
      <c r="CX2502" s="76"/>
      <c r="CY2502" s="76">
        <f>+CX2502*106250</f>
        <v>0</v>
      </c>
      <c r="CZ2502" s="76"/>
      <c r="DA2502" s="76">
        <f>+CZ2502*34500</f>
        <v>0</v>
      </c>
      <c r="DB2502" s="76"/>
      <c r="DC2502" s="76">
        <f>+DB2502*25000</f>
        <v>0</v>
      </c>
      <c r="DD2502" s="219"/>
      <c r="DE2502" s="219"/>
      <c r="DF2502" s="166"/>
      <c r="DG2502" s="116"/>
      <c r="DH2502" s="117"/>
      <c r="DI2502" s="24"/>
      <c r="DJ2502" s="24"/>
      <c r="DK2502" s="24"/>
      <c r="DL2502" s="24"/>
      <c r="DM2502" s="24"/>
      <c r="DN2502" s="24"/>
      <c r="DO2502" s="24"/>
      <c r="DP2502" s="24"/>
      <c r="DQ2502" s="24"/>
      <c r="DR2502" s="24"/>
      <c r="DS2502" s="24"/>
      <c r="DT2502" s="24"/>
      <c r="DU2502" s="24"/>
    </row>
    <row r="2503" spans="1:125" s="8" customFormat="1" ht="108" x14ac:dyDescent="0.2">
      <c r="A2503" s="97">
        <v>41481</v>
      </c>
      <c r="B2503" s="352" t="s">
        <v>2847</v>
      </c>
      <c r="C2503" s="354" t="s">
        <v>1737</v>
      </c>
      <c r="D2503" s="354" t="s">
        <v>2882</v>
      </c>
      <c r="E2503" s="353" t="str">
        <f>VLOOKUP(B2503&amp;C2503,Divipola!$C$2:$F$1138,4,FALSE)</f>
        <v>68464</v>
      </c>
      <c r="F2503" s="87"/>
      <c r="G2503" s="87"/>
      <c r="H2503" s="87"/>
      <c r="I2503" s="87"/>
      <c r="J2503" s="87"/>
      <c r="K2503" s="87"/>
      <c r="L2503" s="87"/>
      <c r="M2503" s="87"/>
      <c r="N2503" s="87"/>
      <c r="O2503" s="87"/>
      <c r="P2503" s="87"/>
      <c r="Q2503" s="87"/>
      <c r="R2503" s="87"/>
      <c r="S2503" s="87"/>
      <c r="T2503" s="87">
        <v>3</v>
      </c>
      <c r="U2503" s="88"/>
      <c r="V2503" s="89"/>
      <c r="W2503" s="96">
        <v>0</v>
      </c>
      <c r="X2503" s="71">
        <f>CU2503</f>
        <v>0</v>
      </c>
      <c r="Y2503" s="71">
        <f>CY2503</f>
        <v>0</v>
      </c>
      <c r="Z2503" s="71">
        <f>DA2503+DC2503+DE2503</f>
        <v>0</v>
      </c>
      <c r="AA2503" s="71">
        <f>CW2503</f>
        <v>0</v>
      </c>
      <c r="AB2503" s="71"/>
      <c r="AC2503" s="71">
        <v>0</v>
      </c>
      <c r="AD2503" s="71">
        <f>W2503+X2503+Y2503+Z2503+AA2503+AB2503+AC2503</f>
        <v>0</v>
      </c>
      <c r="AE2503" s="72">
        <v>0</v>
      </c>
      <c r="AF2503" s="5"/>
      <c r="AG2503" s="6"/>
      <c r="AH2503" s="27"/>
      <c r="AI2503" s="44"/>
      <c r="AJ2503" s="26"/>
      <c r="AK2503" s="5"/>
      <c r="AL2503" s="82" t="s">
        <v>5378</v>
      </c>
      <c r="AM2503" s="76"/>
      <c r="AN2503" s="76"/>
      <c r="AO2503" s="76"/>
      <c r="AP2503" s="76"/>
      <c r="AQ2503" s="76"/>
      <c r="AR2503" s="76"/>
      <c r="AS2503" s="76"/>
      <c r="AT2503" s="76"/>
      <c r="AU2503" s="76"/>
      <c r="AV2503" s="76"/>
      <c r="AW2503" s="76"/>
      <c r="AX2503" s="76">
        <f>+AW2503*600000</f>
        <v>0</v>
      </c>
      <c r="AY2503" s="76"/>
      <c r="AZ2503" s="76">
        <f>+AY2503*70000</f>
        <v>0</v>
      </c>
      <c r="BA2503" s="76"/>
      <c r="BB2503" s="76"/>
      <c r="BC2503" s="76"/>
      <c r="BD2503" s="76">
        <f>+BC2503*30000</f>
        <v>0</v>
      </c>
      <c r="BE2503" s="76"/>
      <c r="BF2503" s="76"/>
      <c r="BG2503" s="76"/>
      <c r="BH2503" s="76"/>
      <c r="BI2503" s="76"/>
      <c r="BJ2503" s="76"/>
      <c r="BK2503" s="76"/>
      <c r="BL2503" s="76">
        <f>+BK2503*31500</f>
        <v>0</v>
      </c>
      <c r="BM2503" s="76"/>
      <c r="BN2503" s="76"/>
      <c r="BO2503" s="76"/>
      <c r="BP2503" s="76"/>
      <c r="BQ2503" s="76"/>
      <c r="BR2503" s="76"/>
      <c r="BS2503" s="76"/>
      <c r="BT2503" s="76"/>
      <c r="BU2503" s="76"/>
      <c r="BV2503" s="76"/>
      <c r="BW2503" s="76"/>
      <c r="BX2503" s="76"/>
      <c r="BY2503" s="76"/>
      <c r="BZ2503" s="76"/>
      <c r="CA2503" s="76"/>
      <c r="CB2503" s="76"/>
      <c r="CC2503" s="76"/>
      <c r="CD2503" s="76"/>
      <c r="CE2503" s="76"/>
      <c r="CF2503" s="76">
        <f>+CE2503*28000</f>
        <v>0</v>
      </c>
      <c r="CG2503" s="76"/>
      <c r="CH2503" s="76">
        <f>+CG2503*22500</f>
        <v>0</v>
      </c>
      <c r="CI2503" s="76"/>
      <c r="CJ2503" s="76">
        <f>+CI2503*26000</f>
        <v>0</v>
      </c>
      <c r="CK2503" s="76"/>
      <c r="CL2503" s="76"/>
      <c r="CM2503" s="76"/>
      <c r="CN2503" s="76">
        <f>+CM2503*22000</f>
        <v>0</v>
      </c>
      <c r="CO2503" s="76"/>
      <c r="CP2503" s="76">
        <f>+CO2503*46000</f>
        <v>0</v>
      </c>
      <c r="CQ2503" s="76"/>
      <c r="CR2503" s="76">
        <f>+CQ2503*49000</f>
        <v>0</v>
      </c>
      <c r="CS2503" s="76"/>
      <c r="CT2503" s="76"/>
      <c r="CU2503" s="56">
        <f>AN2503+AP2503+AR2503+AT2503+AV2503+AX2503+AZ2503+BB2503+BD2503+BF2503+BH2503+BJ2503+BL2503+BN2503+BP2503+BR2503+BT2503+BV2503+BX2503+BZ2503+CB2503+CD2503+CF2503+CH2503+CJ2503+CL2503+CN2503+CP2503+CR2503+CT2503</f>
        <v>0</v>
      </c>
      <c r="CV2503" s="76"/>
      <c r="CW2503" s="76">
        <f>+CV2503*1100</f>
        <v>0</v>
      </c>
      <c r="CX2503" s="76"/>
      <c r="CY2503" s="76">
        <f>+CX2503*106250</f>
        <v>0</v>
      </c>
      <c r="CZ2503" s="76"/>
      <c r="DA2503" s="76">
        <f>+CZ2503*34500</f>
        <v>0</v>
      </c>
      <c r="DB2503" s="76"/>
      <c r="DC2503" s="76">
        <f>+DB2503*25000</f>
        <v>0</v>
      </c>
      <c r="DD2503" s="219"/>
      <c r="DE2503" s="219"/>
      <c r="DF2503" s="166"/>
      <c r="DG2503" s="116"/>
      <c r="DH2503" s="117"/>
      <c r="DI2503" s="24"/>
      <c r="DJ2503" s="24"/>
      <c r="DK2503" s="24"/>
      <c r="DL2503" s="24"/>
      <c r="DM2503" s="24"/>
      <c r="DN2503" s="24"/>
      <c r="DO2503" s="24"/>
      <c r="DP2503" s="24"/>
      <c r="DQ2503" s="24"/>
      <c r="DR2503" s="24"/>
      <c r="DS2503" s="24"/>
      <c r="DT2503" s="24"/>
      <c r="DU2503" s="24"/>
    </row>
    <row r="2504" spans="1:125" s="8" customFormat="1" ht="156" x14ac:dyDescent="0.2">
      <c r="A2504" s="226">
        <v>41481</v>
      </c>
      <c r="B2504" s="225" t="s">
        <v>2847</v>
      </c>
      <c r="C2504" s="227" t="s">
        <v>479</v>
      </c>
      <c r="D2504" s="354" t="s">
        <v>2846</v>
      </c>
      <c r="E2504" s="353" t="str">
        <f>VLOOKUP(B2504&amp;C2504,Divipola!$C$2:$F$1138,4,FALSE)</f>
        <v>68547</v>
      </c>
      <c r="F2504" s="87"/>
      <c r="G2504" s="87"/>
      <c r="H2504" s="87"/>
      <c r="I2504" s="87"/>
      <c r="J2504" s="87"/>
      <c r="K2504" s="87"/>
      <c r="L2504" s="87"/>
      <c r="M2504" s="87"/>
      <c r="N2504" s="87"/>
      <c r="O2504" s="87"/>
      <c r="P2504" s="87"/>
      <c r="Q2504" s="87"/>
      <c r="R2504" s="87"/>
      <c r="S2504" s="87"/>
      <c r="T2504" s="87"/>
      <c r="U2504" s="88">
        <v>2</v>
      </c>
      <c r="V2504" s="89"/>
      <c r="W2504" s="96">
        <v>0</v>
      </c>
      <c r="X2504" s="71">
        <f>CU2504</f>
        <v>0</v>
      </c>
      <c r="Y2504" s="71">
        <f>CY2504</f>
        <v>0</v>
      </c>
      <c r="Z2504" s="71">
        <f>DA2504+DC2504+DE2504</f>
        <v>0</v>
      </c>
      <c r="AA2504" s="71">
        <f>CW2504</f>
        <v>0</v>
      </c>
      <c r="AB2504" s="71"/>
      <c r="AC2504" s="71">
        <v>0</v>
      </c>
      <c r="AD2504" s="71">
        <f>W2504+X2504+Y2504+Z2504+AA2504+AB2504+AC2504</f>
        <v>0</v>
      </c>
      <c r="AE2504" s="72">
        <v>0</v>
      </c>
      <c r="AF2504" s="5"/>
      <c r="AG2504" s="6"/>
      <c r="AH2504" s="27"/>
      <c r="AI2504" s="44"/>
      <c r="AJ2504" s="26"/>
      <c r="AK2504" s="5"/>
      <c r="AL2504" s="82" t="s">
        <v>5357</v>
      </c>
      <c r="AM2504" s="76"/>
      <c r="AN2504" s="76"/>
      <c r="AO2504" s="76"/>
      <c r="AP2504" s="76"/>
      <c r="AQ2504" s="76"/>
      <c r="AR2504" s="76"/>
      <c r="AS2504" s="76"/>
      <c r="AT2504" s="76"/>
      <c r="AU2504" s="76"/>
      <c r="AV2504" s="76"/>
      <c r="AW2504" s="76"/>
      <c r="AX2504" s="76">
        <f>+AW2504*600000</f>
        <v>0</v>
      </c>
      <c r="AY2504" s="76"/>
      <c r="AZ2504" s="76">
        <f>+AY2504*70000</f>
        <v>0</v>
      </c>
      <c r="BA2504" s="76"/>
      <c r="BB2504" s="76"/>
      <c r="BC2504" s="76"/>
      <c r="BD2504" s="76">
        <f>+BC2504*30000</f>
        <v>0</v>
      </c>
      <c r="BE2504" s="76"/>
      <c r="BF2504" s="76"/>
      <c r="BG2504" s="76"/>
      <c r="BH2504" s="76"/>
      <c r="BI2504" s="76"/>
      <c r="BJ2504" s="76"/>
      <c r="BK2504" s="76"/>
      <c r="BL2504" s="76">
        <f>+BK2504*31500</f>
        <v>0</v>
      </c>
      <c r="BM2504" s="76"/>
      <c r="BN2504" s="76"/>
      <c r="BO2504" s="76"/>
      <c r="BP2504" s="76"/>
      <c r="BQ2504" s="76"/>
      <c r="BR2504" s="76"/>
      <c r="BS2504" s="76"/>
      <c r="BT2504" s="76"/>
      <c r="BU2504" s="76"/>
      <c r="BV2504" s="76"/>
      <c r="BW2504" s="76"/>
      <c r="BX2504" s="76"/>
      <c r="BY2504" s="76"/>
      <c r="BZ2504" s="76"/>
      <c r="CA2504" s="76"/>
      <c r="CB2504" s="76"/>
      <c r="CC2504" s="76"/>
      <c r="CD2504" s="76"/>
      <c r="CE2504" s="76"/>
      <c r="CF2504" s="76">
        <f>+CE2504*28000</f>
        <v>0</v>
      </c>
      <c r="CG2504" s="76"/>
      <c r="CH2504" s="76">
        <f>+CG2504*22500</f>
        <v>0</v>
      </c>
      <c r="CI2504" s="76"/>
      <c r="CJ2504" s="76">
        <f>+CI2504*26000</f>
        <v>0</v>
      </c>
      <c r="CK2504" s="76"/>
      <c r="CL2504" s="76"/>
      <c r="CM2504" s="76"/>
      <c r="CN2504" s="76">
        <f>+CM2504*22000</f>
        <v>0</v>
      </c>
      <c r="CO2504" s="76"/>
      <c r="CP2504" s="76">
        <f>+CO2504*46000</f>
        <v>0</v>
      </c>
      <c r="CQ2504" s="76"/>
      <c r="CR2504" s="76">
        <f>+CQ2504*49000</f>
        <v>0</v>
      </c>
      <c r="CS2504" s="76"/>
      <c r="CT2504" s="76"/>
      <c r="CU2504" s="56">
        <f>AN2504+AP2504+AR2504+AT2504+AV2504+AX2504+AZ2504+BB2504+BD2504+BF2504+BH2504+BJ2504+BL2504+BN2504+BP2504+BR2504+BT2504+BV2504+BX2504+BZ2504+CB2504+CD2504+CF2504+CH2504+CJ2504+CL2504+CN2504+CP2504+CR2504+CT2504</f>
        <v>0</v>
      </c>
      <c r="CV2504" s="76"/>
      <c r="CW2504" s="76">
        <f>+CV2504*1100</f>
        <v>0</v>
      </c>
      <c r="CX2504" s="76"/>
      <c r="CY2504" s="76">
        <f>+CX2504*106250</f>
        <v>0</v>
      </c>
      <c r="CZ2504" s="76"/>
      <c r="DA2504" s="76">
        <f>+CZ2504*34500</f>
        <v>0</v>
      </c>
      <c r="DB2504" s="76"/>
      <c r="DC2504" s="76">
        <f>+DB2504*25000</f>
        <v>0</v>
      </c>
      <c r="DD2504" s="219"/>
      <c r="DE2504" s="219"/>
      <c r="DF2504" s="166"/>
      <c r="DG2504" s="116"/>
      <c r="DH2504" s="117"/>
      <c r="DI2504" s="24"/>
      <c r="DJ2504" s="24"/>
      <c r="DK2504" s="24"/>
      <c r="DL2504" s="24"/>
      <c r="DM2504" s="24"/>
      <c r="DN2504" s="24"/>
      <c r="DO2504" s="24"/>
      <c r="DP2504" s="24"/>
      <c r="DQ2504" s="24"/>
      <c r="DR2504" s="24"/>
      <c r="DS2504" s="24"/>
      <c r="DT2504" s="24"/>
      <c r="DU2504" s="24"/>
    </row>
    <row r="2505" spans="1:125" s="8" customFormat="1" ht="48" x14ac:dyDescent="0.2">
      <c r="A2505" s="226">
        <v>41481</v>
      </c>
      <c r="B2505" s="225" t="s">
        <v>2851</v>
      </c>
      <c r="C2505" s="227" t="s">
        <v>2057</v>
      </c>
      <c r="D2505" s="227" t="s">
        <v>2846</v>
      </c>
      <c r="E2505" s="353" t="str">
        <f>VLOOKUP(B2505&amp;C2505,Divipola!$C$2:$F$1138,4,FALSE)</f>
        <v>76250</v>
      </c>
      <c r="F2505" s="87"/>
      <c r="G2505" s="87"/>
      <c r="H2505" s="87"/>
      <c r="I2505" s="87"/>
      <c r="J2505" s="87"/>
      <c r="K2505" s="87"/>
      <c r="L2505" s="87"/>
      <c r="M2505" s="87"/>
      <c r="N2505" s="87"/>
      <c r="O2505" s="87"/>
      <c r="P2505" s="87"/>
      <c r="Q2505" s="87"/>
      <c r="R2505" s="87"/>
      <c r="S2505" s="87"/>
      <c r="T2505" s="87"/>
      <c r="U2505" s="88">
        <v>3</v>
      </c>
      <c r="V2505" s="89"/>
      <c r="W2505" s="96">
        <v>0</v>
      </c>
      <c r="X2505" s="71">
        <f>CU2505</f>
        <v>0</v>
      </c>
      <c r="Y2505" s="71">
        <f>CY2505</f>
        <v>0</v>
      </c>
      <c r="Z2505" s="71">
        <f>DA2505+DC2505+DE2505</f>
        <v>0</v>
      </c>
      <c r="AA2505" s="71">
        <f>CW2505</f>
        <v>0</v>
      </c>
      <c r="AB2505" s="71"/>
      <c r="AC2505" s="71">
        <v>0</v>
      </c>
      <c r="AD2505" s="71">
        <f>W2505+X2505+Y2505+Z2505+AA2505+AB2505+AC2505</f>
        <v>0</v>
      </c>
      <c r="AE2505" s="72">
        <v>0</v>
      </c>
      <c r="AF2505" s="5"/>
      <c r="AG2505" s="6"/>
      <c r="AH2505" s="27"/>
      <c r="AI2505" s="44"/>
      <c r="AJ2505" s="26"/>
      <c r="AK2505" s="5"/>
      <c r="AL2505" s="82" t="s">
        <v>5366</v>
      </c>
      <c r="AM2505" s="76"/>
      <c r="AN2505" s="76"/>
      <c r="AO2505" s="76"/>
      <c r="AP2505" s="76"/>
      <c r="AQ2505" s="76"/>
      <c r="AR2505" s="76"/>
      <c r="AS2505" s="76"/>
      <c r="AT2505" s="76"/>
      <c r="AU2505" s="76"/>
      <c r="AV2505" s="76"/>
      <c r="AW2505" s="76"/>
      <c r="AX2505" s="76">
        <f>+AW2505*600000</f>
        <v>0</v>
      </c>
      <c r="AY2505" s="76"/>
      <c r="AZ2505" s="76">
        <f>+AY2505*70000</f>
        <v>0</v>
      </c>
      <c r="BA2505" s="76"/>
      <c r="BB2505" s="76"/>
      <c r="BC2505" s="76"/>
      <c r="BD2505" s="76">
        <f>+BC2505*30000</f>
        <v>0</v>
      </c>
      <c r="BE2505" s="76"/>
      <c r="BF2505" s="76"/>
      <c r="BG2505" s="76"/>
      <c r="BH2505" s="76"/>
      <c r="BI2505" s="76"/>
      <c r="BJ2505" s="76"/>
      <c r="BK2505" s="76"/>
      <c r="BL2505" s="76">
        <f>+BK2505*31500</f>
        <v>0</v>
      </c>
      <c r="BM2505" s="76"/>
      <c r="BN2505" s="76"/>
      <c r="BO2505" s="76"/>
      <c r="BP2505" s="76"/>
      <c r="BQ2505" s="76"/>
      <c r="BR2505" s="76"/>
      <c r="BS2505" s="76"/>
      <c r="BT2505" s="76"/>
      <c r="BU2505" s="76"/>
      <c r="BV2505" s="76"/>
      <c r="BW2505" s="76"/>
      <c r="BX2505" s="76"/>
      <c r="BY2505" s="76"/>
      <c r="BZ2505" s="76"/>
      <c r="CA2505" s="76"/>
      <c r="CB2505" s="76"/>
      <c r="CC2505" s="76"/>
      <c r="CD2505" s="76"/>
      <c r="CE2505" s="76"/>
      <c r="CF2505" s="76">
        <f>+CE2505*28000</f>
        <v>0</v>
      </c>
      <c r="CG2505" s="76"/>
      <c r="CH2505" s="76">
        <f>+CG2505*22500</f>
        <v>0</v>
      </c>
      <c r="CI2505" s="76"/>
      <c r="CJ2505" s="76">
        <f>+CI2505*26000</f>
        <v>0</v>
      </c>
      <c r="CK2505" s="76"/>
      <c r="CL2505" s="76"/>
      <c r="CM2505" s="76"/>
      <c r="CN2505" s="76">
        <f>+CM2505*22000</f>
        <v>0</v>
      </c>
      <c r="CO2505" s="76"/>
      <c r="CP2505" s="76">
        <f>+CO2505*46000</f>
        <v>0</v>
      </c>
      <c r="CQ2505" s="76"/>
      <c r="CR2505" s="76">
        <f>+CQ2505*49000</f>
        <v>0</v>
      </c>
      <c r="CS2505" s="76"/>
      <c r="CT2505" s="76"/>
      <c r="CU2505" s="56">
        <f>AN2505+AP2505+AR2505+AT2505+AV2505+AX2505+AZ2505+BB2505+BD2505+BF2505+BH2505+BJ2505+BL2505+BN2505+BP2505+BR2505+BT2505+BV2505+BX2505+BZ2505+CB2505+CD2505+CF2505+CH2505+CJ2505+CL2505+CN2505+CP2505+CR2505+CT2505</f>
        <v>0</v>
      </c>
      <c r="CV2505" s="76"/>
      <c r="CW2505" s="76">
        <f>+CV2505*1100</f>
        <v>0</v>
      </c>
      <c r="CX2505" s="76"/>
      <c r="CY2505" s="76">
        <f>+CX2505*106250</f>
        <v>0</v>
      </c>
      <c r="CZ2505" s="76"/>
      <c r="DA2505" s="76">
        <f>+CZ2505*34500</f>
        <v>0</v>
      </c>
      <c r="DB2505" s="76"/>
      <c r="DC2505" s="76">
        <f>+DB2505*25000</f>
        <v>0</v>
      </c>
      <c r="DD2505" s="219"/>
      <c r="DE2505" s="219"/>
      <c r="DF2505" s="166"/>
      <c r="DG2505" s="116"/>
      <c r="DH2505" s="117"/>
      <c r="DI2505" s="24"/>
      <c r="DJ2505" s="24"/>
      <c r="DK2505" s="24"/>
      <c r="DL2505" s="24"/>
      <c r="DM2505" s="24"/>
      <c r="DN2505" s="24"/>
      <c r="DO2505" s="24"/>
      <c r="DP2505" s="24"/>
      <c r="DQ2505" s="24"/>
      <c r="DR2505" s="24"/>
      <c r="DS2505" s="24"/>
      <c r="DT2505" s="24"/>
      <c r="DU2505" s="24"/>
    </row>
    <row r="2506" spans="1:125" s="8" customFormat="1" ht="108" x14ac:dyDescent="0.2">
      <c r="A2506" s="353">
        <v>41481</v>
      </c>
      <c r="B2506" s="352" t="s">
        <v>2851</v>
      </c>
      <c r="C2506" s="354" t="s">
        <v>2667</v>
      </c>
      <c r="D2506" s="354" t="s">
        <v>2846</v>
      </c>
      <c r="E2506" s="353" t="str">
        <f>VLOOKUP(B2506&amp;C2506,Divipola!$C$2:$F$1138,4,FALSE)</f>
        <v>76364</v>
      </c>
      <c r="F2506" s="87"/>
      <c r="G2506" s="87"/>
      <c r="H2506" s="87"/>
      <c r="I2506" s="87"/>
      <c r="J2506" s="87"/>
      <c r="K2506" s="87"/>
      <c r="L2506" s="87"/>
      <c r="M2506" s="87"/>
      <c r="N2506" s="87"/>
      <c r="O2506" s="87"/>
      <c r="P2506" s="87"/>
      <c r="Q2506" s="87"/>
      <c r="R2506" s="87"/>
      <c r="S2506" s="87"/>
      <c r="T2506" s="87"/>
      <c r="U2506" s="88">
        <v>20</v>
      </c>
      <c r="V2506" s="89"/>
      <c r="W2506" s="96">
        <v>0</v>
      </c>
      <c r="X2506" s="71">
        <f>CU2506</f>
        <v>0</v>
      </c>
      <c r="Y2506" s="71">
        <f>CY2506</f>
        <v>0</v>
      </c>
      <c r="Z2506" s="71">
        <f>DA2506+DC2506+DE2506</f>
        <v>0</v>
      </c>
      <c r="AA2506" s="71">
        <f>CW2506</f>
        <v>0</v>
      </c>
      <c r="AB2506" s="71"/>
      <c r="AC2506" s="71">
        <v>0</v>
      </c>
      <c r="AD2506" s="71">
        <f>W2506+X2506+Y2506+Z2506+AA2506+AB2506+AC2506</f>
        <v>0</v>
      </c>
      <c r="AE2506" s="72">
        <v>0</v>
      </c>
      <c r="AF2506" s="5"/>
      <c r="AG2506" s="6"/>
      <c r="AH2506" s="27"/>
      <c r="AI2506" s="44"/>
      <c r="AJ2506" s="26"/>
      <c r="AK2506" s="5"/>
      <c r="AL2506" s="82" t="s">
        <v>5382</v>
      </c>
      <c r="AM2506" s="76"/>
      <c r="AN2506" s="76"/>
      <c r="AO2506" s="76"/>
      <c r="AP2506" s="76"/>
      <c r="AQ2506" s="76"/>
      <c r="AR2506" s="76"/>
      <c r="AS2506" s="76"/>
      <c r="AT2506" s="76"/>
      <c r="AU2506" s="76"/>
      <c r="AV2506" s="76"/>
      <c r="AW2506" s="76"/>
      <c r="AX2506" s="76">
        <f>+AW2506*600000</f>
        <v>0</v>
      </c>
      <c r="AY2506" s="76"/>
      <c r="AZ2506" s="76">
        <f>+AY2506*70000</f>
        <v>0</v>
      </c>
      <c r="BA2506" s="76"/>
      <c r="BB2506" s="76"/>
      <c r="BC2506" s="76"/>
      <c r="BD2506" s="76">
        <f>+BC2506*30000</f>
        <v>0</v>
      </c>
      <c r="BE2506" s="76"/>
      <c r="BF2506" s="76"/>
      <c r="BG2506" s="76"/>
      <c r="BH2506" s="76"/>
      <c r="BI2506" s="76"/>
      <c r="BJ2506" s="76"/>
      <c r="BK2506" s="76"/>
      <c r="BL2506" s="76">
        <f>+BK2506*31500</f>
        <v>0</v>
      </c>
      <c r="BM2506" s="76"/>
      <c r="BN2506" s="76"/>
      <c r="BO2506" s="76"/>
      <c r="BP2506" s="76"/>
      <c r="BQ2506" s="76"/>
      <c r="BR2506" s="76"/>
      <c r="BS2506" s="76"/>
      <c r="BT2506" s="76"/>
      <c r="BU2506" s="76"/>
      <c r="BV2506" s="76"/>
      <c r="BW2506" s="76"/>
      <c r="BX2506" s="76"/>
      <c r="BY2506" s="76"/>
      <c r="BZ2506" s="76"/>
      <c r="CA2506" s="76"/>
      <c r="CB2506" s="76"/>
      <c r="CC2506" s="76"/>
      <c r="CD2506" s="76"/>
      <c r="CE2506" s="76"/>
      <c r="CF2506" s="76">
        <f>+CE2506*28000</f>
        <v>0</v>
      </c>
      <c r="CG2506" s="76"/>
      <c r="CH2506" s="76">
        <f>+CG2506*22500</f>
        <v>0</v>
      </c>
      <c r="CI2506" s="76"/>
      <c r="CJ2506" s="76">
        <f>+CI2506*26000</f>
        <v>0</v>
      </c>
      <c r="CK2506" s="76"/>
      <c r="CL2506" s="76"/>
      <c r="CM2506" s="76"/>
      <c r="CN2506" s="76">
        <f>+CM2506*22000</f>
        <v>0</v>
      </c>
      <c r="CO2506" s="76"/>
      <c r="CP2506" s="76">
        <f>+CO2506*46000</f>
        <v>0</v>
      </c>
      <c r="CQ2506" s="76"/>
      <c r="CR2506" s="76">
        <f>+CQ2506*49000</f>
        <v>0</v>
      </c>
      <c r="CS2506" s="76"/>
      <c r="CT2506" s="76"/>
      <c r="CU2506" s="56">
        <f>AN2506+AP2506+AR2506+AT2506+AV2506+AX2506+AZ2506+BB2506+BD2506+BF2506+BH2506+BJ2506+BL2506+BN2506+BP2506+BR2506+BT2506+BV2506+BX2506+BZ2506+CB2506+CD2506+CF2506+CH2506+CJ2506+CL2506+CN2506+CP2506+CR2506+CT2506</f>
        <v>0</v>
      </c>
      <c r="CV2506" s="76"/>
      <c r="CW2506" s="76">
        <f>+CV2506*1100</f>
        <v>0</v>
      </c>
      <c r="CX2506" s="76"/>
      <c r="CY2506" s="76">
        <f>+CX2506*106250</f>
        <v>0</v>
      </c>
      <c r="CZ2506" s="76"/>
      <c r="DA2506" s="76">
        <f>+CZ2506*34500</f>
        <v>0</v>
      </c>
      <c r="DB2506" s="76"/>
      <c r="DC2506" s="76">
        <f>+DB2506*25000</f>
        <v>0</v>
      </c>
      <c r="DD2506" s="219"/>
      <c r="DE2506" s="219"/>
      <c r="DF2506" s="166"/>
      <c r="DG2506" s="116"/>
      <c r="DH2506" s="117"/>
      <c r="DI2506" s="24"/>
      <c r="DJ2506" s="24"/>
      <c r="DK2506" s="24"/>
      <c r="DL2506" s="24"/>
      <c r="DM2506" s="24"/>
      <c r="DN2506" s="24"/>
      <c r="DO2506" s="24"/>
      <c r="DP2506" s="24"/>
      <c r="DQ2506" s="24"/>
      <c r="DR2506" s="24"/>
      <c r="DS2506" s="24"/>
      <c r="DT2506" s="24"/>
      <c r="DU2506" s="24"/>
    </row>
    <row r="2507" spans="1:125" s="8" customFormat="1" ht="60" x14ac:dyDescent="0.2">
      <c r="A2507" s="353">
        <v>41482</v>
      </c>
      <c r="B2507" s="60" t="s">
        <v>2036</v>
      </c>
      <c r="C2507" s="55" t="s">
        <v>2753</v>
      </c>
      <c r="D2507" s="55" t="s">
        <v>2849</v>
      </c>
      <c r="E2507" s="353" t="str">
        <f>VLOOKUP(B2507&amp;C2507,Divipola!$C$2:$F$1138,4,FALSE)</f>
        <v>81736</v>
      </c>
      <c r="F2507" s="87">
        <v>2</v>
      </c>
      <c r="G2507" s="87">
        <v>18</v>
      </c>
      <c r="H2507" s="87"/>
      <c r="I2507" s="87">
        <v>20</v>
      </c>
      <c r="J2507" s="87"/>
      <c r="K2507" s="87"/>
      <c r="L2507" s="87"/>
      <c r="M2507" s="87"/>
      <c r="N2507" s="87"/>
      <c r="O2507" s="87"/>
      <c r="P2507" s="87"/>
      <c r="Q2507" s="87"/>
      <c r="R2507" s="87"/>
      <c r="S2507" s="87"/>
      <c r="T2507" s="87"/>
      <c r="U2507" s="88"/>
      <c r="V2507" s="89">
        <v>1</v>
      </c>
      <c r="W2507" s="96">
        <v>0</v>
      </c>
      <c r="X2507" s="71">
        <f>CU2507</f>
        <v>0</v>
      </c>
      <c r="Y2507" s="71">
        <f>CY2507</f>
        <v>0</v>
      </c>
      <c r="Z2507" s="71">
        <f>DA2507+DC2507+DE2507</f>
        <v>0</v>
      </c>
      <c r="AA2507" s="71">
        <f>CW2507</f>
        <v>0</v>
      </c>
      <c r="AB2507" s="71"/>
      <c r="AC2507" s="71">
        <v>0</v>
      </c>
      <c r="AD2507" s="71">
        <f>W2507+X2507+Y2507+Z2507+AA2507+AB2507+AC2507</f>
        <v>0</v>
      </c>
      <c r="AE2507" s="72">
        <v>0</v>
      </c>
      <c r="AF2507" s="5"/>
      <c r="AG2507" s="6"/>
      <c r="AH2507" s="27"/>
      <c r="AI2507" s="44"/>
      <c r="AJ2507" s="26"/>
      <c r="AK2507" s="5"/>
      <c r="AL2507" s="82" t="s">
        <v>5395</v>
      </c>
      <c r="AM2507" s="76"/>
      <c r="AN2507" s="76"/>
      <c r="AO2507" s="76"/>
      <c r="AP2507" s="76"/>
      <c r="AQ2507" s="76"/>
      <c r="AR2507" s="76"/>
      <c r="AS2507" s="76"/>
      <c r="AT2507" s="76"/>
      <c r="AU2507" s="76"/>
      <c r="AV2507" s="76"/>
      <c r="AW2507" s="76"/>
      <c r="AX2507" s="76">
        <f>+AW2507*600000</f>
        <v>0</v>
      </c>
      <c r="AY2507" s="76"/>
      <c r="AZ2507" s="76">
        <f>+AY2507*70000</f>
        <v>0</v>
      </c>
      <c r="BA2507" s="76"/>
      <c r="BB2507" s="76"/>
      <c r="BC2507" s="76"/>
      <c r="BD2507" s="76">
        <f>+BC2507*30000</f>
        <v>0</v>
      </c>
      <c r="BE2507" s="76"/>
      <c r="BF2507" s="76"/>
      <c r="BG2507" s="76"/>
      <c r="BH2507" s="76"/>
      <c r="BI2507" s="76"/>
      <c r="BJ2507" s="76"/>
      <c r="BK2507" s="76"/>
      <c r="BL2507" s="76">
        <f>+BK2507*31500</f>
        <v>0</v>
      </c>
      <c r="BM2507" s="76"/>
      <c r="BN2507" s="76"/>
      <c r="BO2507" s="76"/>
      <c r="BP2507" s="76"/>
      <c r="BQ2507" s="76"/>
      <c r="BR2507" s="76"/>
      <c r="BS2507" s="76"/>
      <c r="BT2507" s="76"/>
      <c r="BU2507" s="76"/>
      <c r="BV2507" s="76"/>
      <c r="BW2507" s="76"/>
      <c r="BX2507" s="76"/>
      <c r="BY2507" s="76"/>
      <c r="BZ2507" s="76"/>
      <c r="CA2507" s="76"/>
      <c r="CB2507" s="76"/>
      <c r="CC2507" s="76"/>
      <c r="CD2507" s="76"/>
      <c r="CE2507" s="76"/>
      <c r="CF2507" s="76">
        <f>+CE2507*28000</f>
        <v>0</v>
      </c>
      <c r="CG2507" s="76"/>
      <c r="CH2507" s="76">
        <f>+CG2507*22500</f>
        <v>0</v>
      </c>
      <c r="CI2507" s="76"/>
      <c r="CJ2507" s="76">
        <f>+CI2507*26000</f>
        <v>0</v>
      </c>
      <c r="CK2507" s="76"/>
      <c r="CL2507" s="76"/>
      <c r="CM2507" s="76"/>
      <c r="CN2507" s="76">
        <f>+CM2507*22000</f>
        <v>0</v>
      </c>
      <c r="CO2507" s="76"/>
      <c r="CP2507" s="76">
        <f>+CO2507*46000</f>
        <v>0</v>
      </c>
      <c r="CQ2507" s="76"/>
      <c r="CR2507" s="76">
        <f>+CQ2507*49000</f>
        <v>0</v>
      </c>
      <c r="CS2507" s="76"/>
      <c r="CT2507" s="76"/>
      <c r="CU2507" s="56">
        <f>AN2507+AP2507+AR2507+AT2507+AV2507+AX2507+AZ2507+BB2507+BD2507+BF2507+BH2507+BJ2507+BL2507+BN2507+BP2507+BR2507+BT2507+BV2507+BX2507+BZ2507+CB2507+CD2507+CF2507+CH2507+CJ2507+CL2507+CN2507+CP2507+CR2507+CT2507</f>
        <v>0</v>
      </c>
      <c r="CV2507" s="76"/>
      <c r="CW2507" s="76">
        <f>+CV2507*1100</f>
        <v>0</v>
      </c>
      <c r="CX2507" s="76"/>
      <c r="CY2507" s="76">
        <f>+CX2507*106250</f>
        <v>0</v>
      </c>
      <c r="CZ2507" s="76"/>
      <c r="DA2507" s="76">
        <f>+CZ2507*34500</f>
        <v>0</v>
      </c>
      <c r="DB2507" s="76"/>
      <c r="DC2507" s="76">
        <f>+DB2507*25000</f>
        <v>0</v>
      </c>
      <c r="DD2507" s="219"/>
      <c r="DE2507" s="219"/>
      <c r="DF2507" s="166"/>
      <c r="DG2507" s="116"/>
      <c r="DH2507" s="117"/>
      <c r="DI2507" s="24"/>
      <c r="DJ2507" s="24"/>
      <c r="DK2507" s="24"/>
      <c r="DL2507" s="24"/>
      <c r="DM2507" s="24"/>
      <c r="DN2507" s="24"/>
      <c r="DO2507" s="24"/>
      <c r="DP2507" s="24"/>
      <c r="DQ2507" s="24"/>
      <c r="DR2507" s="24"/>
      <c r="DS2507" s="24"/>
      <c r="DT2507" s="24"/>
      <c r="DU2507" s="24"/>
    </row>
    <row r="2508" spans="1:125" s="8" customFormat="1" ht="120" x14ac:dyDescent="0.2">
      <c r="A2508" s="77">
        <v>41482</v>
      </c>
      <c r="B2508" s="352" t="s">
        <v>2700</v>
      </c>
      <c r="C2508" s="354" t="s">
        <v>1625</v>
      </c>
      <c r="D2508" s="354" t="s">
        <v>3051</v>
      </c>
      <c r="E2508" s="353" t="str">
        <f>VLOOKUP(B2508&amp;C2508,Divipola!$C$2:$F$1138,4,FALSE)</f>
        <v>15223</v>
      </c>
      <c r="F2508" s="87">
        <v>2</v>
      </c>
      <c r="G2508" s="87">
        <v>15</v>
      </c>
      <c r="H2508" s="87"/>
      <c r="I2508" s="87">
        <v>17</v>
      </c>
      <c r="J2508" s="87"/>
      <c r="K2508" s="87"/>
      <c r="L2508" s="87"/>
      <c r="M2508" s="87"/>
      <c r="N2508" s="87"/>
      <c r="O2508" s="87"/>
      <c r="P2508" s="87"/>
      <c r="Q2508" s="87"/>
      <c r="R2508" s="87"/>
      <c r="S2508" s="87">
        <v>1</v>
      </c>
      <c r="T2508" s="87"/>
      <c r="U2508" s="88"/>
      <c r="V2508" s="89"/>
      <c r="W2508" s="96">
        <v>0</v>
      </c>
      <c r="X2508" s="71">
        <f>CU2508</f>
        <v>0</v>
      </c>
      <c r="Y2508" s="71">
        <f>CY2508</f>
        <v>0</v>
      </c>
      <c r="Z2508" s="71">
        <f>DA2508+DC2508+DE2508</f>
        <v>0</v>
      </c>
      <c r="AA2508" s="71">
        <f>CW2508</f>
        <v>0</v>
      </c>
      <c r="AB2508" s="71"/>
      <c r="AC2508" s="71">
        <v>0</v>
      </c>
      <c r="AD2508" s="71">
        <f>W2508+X2508+Y2508+Z2508+AA2508+AB2508+AC2508</f>
        <v>0</v>
      </c>
      <c r="AE2508" s="72">
        <v>0</v>
      </c>
      <c r="AF2508" s="5"/>
      <c r="AG2508" s="6"/>
      <c r="AH2508" s="27"/>
      <c r="AI2508" s="44"/>
      <c r="AJ2508" s="26"/>
      <c r="AK2508" s="5"/>
      <c r="AL2508" s="82" t="s">
        <v>5428</v>
      </c>
      <c r="AM2508" s="76"/>
      <c r="AN2508" s="76"/>
      <c r="AO2508" s="76"/>
      <c r="AP2508" s="76"/>
      <c r="AQ2508" s="76"/>
      <c r="AR2508" s="76"/>
      <c r="AS2508" s="76"/>
      <c r="AT2508" s="76"/>
      <c r="AU2508" s="76"/>
      <c r="AV2508" s="76"/>
      <c r="AW2508" s="76"/>
      <c r="AX2508" s="76">
        <f>+AW2508*600000</f>
        <v>0</v>
      </c>
      <c r="AY2508" s="76"/>
      <c r="AZ2508" s="76">
        <f>+AY2508*70000</f>
        <v>0</v>
      </c>
      <c r="BA2508" s="76"/>
      <c r="BB2508" s="76"/>
      <c r="BC2508" s="76"/>
      <c r="BD2508" s="76">
        <f>+BC2508*30000</f>
        <v>0</v>
      </c>
      <c r="BE2508" s="76"/>
      <c r="BF2508" s="76"/>
      <c r="BG2508" s="76"/>
      <c r="BH2508" s="76"/>
      <c r="BI2508" s="76"/>
      <c r="BJ2508" s="76"/>
      <c r="BK2508" s="76"/>
      <c r="BL2508" s="76">
        <f>+BK2508*31500</f>
        <v>0</v>
      </c>
      <c r="BM2508" s="76"/>
      <c r="BN2508" s="76"/>
      <c r="BO2508" s="76"/>
      <c r="BP2508" s="76"/>
      <c r="BQ2508" s="76"/>
      <c r="BR2508" s="76"/>
      <c r="BS2508" s="76"/>
      <c r="BT2508" s="76"/>
      <c r="BU2508" s="76"/>
      <c r="BV2508" s="76"/>
      <c r="BW2508" s="76"/>
      <c r="BX2508" s="76"/>
      <c r="BY2508" s="76"/>
      <c r="BZ2508" s="76"/>
      <c r="CA2508" s="76"/>
      <c r="CB2508" s="76"/>
      <c r="CC2508" s="76"/>
      <c r="CD2508" s="76"/>
      <c r="CE2508" s="76"/>
      <c r="CF2508" s="76">
        <f>+CE2508*28000</f>
        <v>0</v>
      </c>
      <c r="CG2508" s="76"/>
      <c r="CH2508" s="76">
        <f>+CG2508*22500</f>
        <v>0</v>
      </c>
      <c r="CI2508" s="76"/>
      <c r="CJ2508" s="76">
        <f>+CI2508*26000</f>
        <v>0</v>
      </c>
      <c r="CK2508" s="76"/>
      <c r="CL2508" s="76"/>
      <c r="CM2508" s="76"/>
      <c r="CN2508" s="76">
        <f>+CM2508*22000</f>
        <v>0</v>
      </c>
      <c r="CO2508" s="76"/>
      <c r="CP2508" s="76">
        <f>+CO2508*46000</f>
        <v>0</v>
      </c>
      <c r="CQ2508" s="76"/>
      <c r="CR2508" s="76">
        <f>+CQ2508*49000</f>
        <v>0</v>
      </c>
      <c r="CS2508" s="76"/>
      <c r="CT2508" s="76"/>
      <c r="CU2508" s="56">
        <f>AN2508+AP2508+AR2508+AT2508+AV2508+AX2508+AZ2508+BB2508+BD2508+BF2508+BH2508+BJ2508+BL2508+BN2508+BP2508+BR2508+BT2508+BV2508+BX2508+BZ2508+CB2508+CD2508+CF2508+CH2508+CJ2508+CL2508+CN2508+CP2508+CR2508+CT2508</f>
        <v>0</v>
      </c>
      <c r="CV2508" s="76"/>
      <c r="CW2508" s="76">
        <f>+CV2508*1100</f>
        <v>0</v>
      </c>
      <c r="CX2508" s="76"/>
      <c r="CY2508" s="76">
        <f>+CX2508*106250</f>
        <v>0</v>
      </c>
      <c r="CZ2508" s="76"/>
      <c r="DA2508" s="76">
        <f>+CZ2508*34500</f>
        <v>0</v>
      </c>
      <c r="DB2508" s="76"/>
      <c r="DC2508" s="76">
        <f>+DB2508*25000</f>
        <v>0</v>
      </c>
      <c r="DD2508" s="219"/>
      <c r="DE2508" s="219"/>
      <c r="DF2508" s="166"/>
      <c r="DG2508" s="116"/>
      <c r="DH2508" s="117"/>
      <c r="DI2508" s="24"/>
      <c r="DJ2508" s="24"/>
      <c r="DK2508" s="24"/>
      <c r="DL2508" s="24"/>
      <c r="DM2508" s="24"/>
      <c r="DN2508" s="24"/>
      <c r="DO2508" s="24"/>
      <c r="DP2508" s="24"/>
      <c r="DQ2508" s="24"/>
      <c r="DR2508" s="24"/>
      <c r="DS2508" s="24"/>
      <c r="DT2508" s="24"/>
      <c r="DU2508" s="24"/>
    </row>
    <row r="2509" spans="1:125" s="8" customFormat="1" ht="48" x14ac:dyDescent="0.2">
      <c r="A2509" s="353">
        <v>41482</v>
      </c>
      <c r="B2509" s="60" t="s">
        <v>2196</v>
      </c>
      <c r="C2509" s="55" t="s">
        <v>2110</v>
      </c>
      <c r="D2509" s="55" t="s">
        <v>2882</v>
      </c>
      <c r="E2509" s="353" t="str">
        <f>VLOOKUP(B2509&amp;C2509,Divipola!$C$2:$F$1138,4,FALSE)</f>
        <v>17614</v>
      </c>
      <c r="F2509" s="87"/>
      <c r="G2509" s="87"/>
      <c r="H2509" s="87"/>
      <c r="I2509" s="87">
        <v>300</v>
      </c>
      <c r="J2509" s="87">
        <v>60</v>
      </c>
      <c r="K2509" s="87"/>
      <c r="L2509" s="87">
        <v>60</v>
      </c>
      <c r="M2509" s="87"/>
      <c r="N2509" s="87"/>
      <c r="O2509" s="87"/>
      <c r="P2509" s="87"/>
      <c r="Q2509" s="87"/>
      <c r="R2509" s="87"/>
      <c r="S2509" s="87"/>
      <c r="T2509" s="87"/>
      <c r="U2509" s="88"/>
      <c r="V2509" s="89"/>
      <c r="W2509" s="96">
        <v>0</v>
      </c>
      <c r="X2509" s="71">
        <f>CU2509</f>
        <v>0</v>
      </c>
      <c r="Y2509" s="71">
        <f>CY2509</f>
        <v>0</v>
      </c>
      <c r="Z2509" s="71">
        <f>DA2509+DC2509+DE2509</f>
        <v>200569800</v>
      </c>
      <c r="AA2509" s="71">
        <f>CW2509</f>
        <v>0</v>
      </c>
      <c r="AB2509" s="71"/>
      <c r="AC2509" s="71">
        <v>0</v>
      </c>
      <c r="AD2509" s="71">
        <f>W2509+X2509+Y2509+Z2509+AA2509+AB2509+AC2509</f>
        <v>200569800</v>
      </c>
      <c r="AE2509" s="72">
        <v>0</v>
      </c>
      <c r="AF2509" s="5"/>
      <c r="AG2509" s="6"/>
      <c r="AH2509" s="27"/>
      <c r="AI2509" s="44"/>
      <c r="AJ2509" s="26"/>
      <c r="AK2509" s="5"/>
      <c r="AL2509" s="82" t="s">
        <v>5387</v>
      </c>
      <c r="AM2509" s="240"/>
      <c r="AN2509" s="240"/>
      <c r="AO2509" s="240"/>
      <c r="AP2509" s="240"/>
      <c r="AQ2509" s="240"/>
      <c r="AR2509" s="240"/>
      <c r="AS2509" s="240"/>
      <c r="AT2509" s="240"/>
      <c r="AU2509" s="240"/>
      <c r="AV2509" s="240"/>
      <c r="AW2509" s="240"/>
      <c r="AX2509" s="240">
        <f>+AW2509*600000</f>
        <v>0</v>
      </c>
      <c r="AY2509" s="240"/>
      <c r="AZ2509" s="240">
        <f>+AY2509*70000</f>
        <v>0</v>
      </c>
      <c r="BA2509" s="240"/>
      <c r="BB2509" s="240"/>
      <c r="BC2509" s="240"/>
      <c r="BD2509" s="240">
        <f>+BC2509*30000</f>
        <v>0</v>
      </c>
      <c r="BE2509" s="240"/>
      <c r="BF2509" s="240"/>
      <c r="BG2509" s="240"/>
      <c r="BH2509" s="240"/>
      <c r="BI2509" s="240"/>
      <c r="BJ2509" s="240"/>
      <c r="BK2509" s="240"/>
      <c r="BL2509" s="240">
        <f>+BK2509*31500</f>
        <v>0</v>
      </c>
      <c r="BM2509" s="240"/>
      <c r="BN2509" s="240"/>
      <c r="BO2509" s="240"/>
      <c r="BP2509" s="240"/>
      <c r="BQ2509" s="240"/>
      <c r="BR2509" s="240"/>
      <c r="BS2509" s="240"/>
      <c r="BT2509" s="240"/>
      <c r="BU2509" s="240"/>
      <c r="BV2509" s="240"/>
      <c r="BW2509" s="240"/>
      <c r="BX2509" s="240"/>
      <c r="BY2509" s="240"/>
      <c r="BZ2509" s="240"/>
      <c r="CA2509" s="240"/>
      <c r="CB2509" s="240"/>
      <c r="CC2509" s="240"/>
      <c r="CD2509" s="240"/>
      <c r="CE2509" s="240"/>
      <c r="CF2509" s="240">
        <f>+CE2509*28000</f>
        <v>0</v>
      </c>
      <c r="CG2509" s="240"/>
      <c r="CH2509" s="240">
        <f>+CG2509*22500</f>
        <v>0</v>
      </c>
      <c r="CI2509" s="240"/>
      <c r="CJ2509" s="240">
        <f>+CI2509*26000</f>
        <v>0</v>
      </c>
      <c r="CK2509" s="240"/>
      <c r="CL2509" s="240"/>
      <c r="CM2509" s="240"/>
      <c r="CN2509" s="240">
        <f>+CM2509*22000</f>
        <v>0</v>
      </c>
      <c r="CO2509" s="240"/>
      <c r="CP2509" s="240">
        <f>+CO2509*46000</f>
        <v>0</v>
      </c>
      <c r="CQ2509" s="240"/>
      <c r="CR2509" s="240">
        <f>+CQ2509*49000</f>
        <v>0</v>
      </c>
      <c r="CS2509" s="240"/>
      <c r="CT2509" s="240"/>
      <c r="CU2509" s="241">
        <f>AN2509+AP2509+AR2509+AT2509+AV2509+AX2509+AZ2509+BB2509+BD2509+BF2509+BH2509+BJ2509+BL2509+BN2509+BP2509+BR2509+BT2509+BV2509+BX2509+BZ2509+CB2509+CD2509+CF2509+CH2509+CJ2509+CL2509+CN2509+CP2509+CR2509+CT2509</f>
        <v>0</v>
      </c>
      <c r="CV2509" s="240"/>
      <c r="CW2509" s="240">
        <f>+CV2509*1100</f>
        <v>0</v>
      </c>
      <c r="CX2509" s="240"/>
      <c r="CY2509" s="240">
        <f>+CX2509*106250</f>
        <v>0</v>
      </c>
      <c r="CZ2509" s="240"/>
      <c r="DA2509" s="240">
        <f>+CZ2509*34500</f>
        <v>0</v>
      </c>
      <c r="DB2509" s="312">
        <v>2800</v>
      </c>
      <c r="DC2509" s="312">
        <f>500*33512.4+2000*208.8+1800*92510+500*32596+1000*580</f>
        <v>200569800</v>
      </c>
      <c r="DD2509" s="255"/>
      <c r="DE2509" s="242"/>
      <c r="DF2509" s="243"/>
      <c r="DG2509" s="253" t="s">
        <v>6027</v>
      </c>
      <c r="DH2509" s="254"/>
      <c r="DI2509" s="24"/>
      <c r="DJ2509" s="24"/>
      <c r="DK2509" s="24"/>
      <c r="DL2509" s="24"/>
      <c r="DM2509" s="24"/>
      <c r="DN2509" s="24"/>
      <c r="DO2509" s="24"/>
      <c r="DP2509" s="24"/>
      <c r="DQ2509" s="24"/>
      <c r="DR2509" s="24"/>
      <c r="DS2509" s="24"/>
      <c r="DT2509" s="24"/>
      <c r="DU2509" s="24"/>
    </row>
    <row r="2510" spans="1:125" s="8" customFormat="1" ht="84" x14ac:dyDescent="0.2">
      <c r="A2510" s="353">
        <v>41482</v>
      </c>
      <c r="B2510" s="352" t="s">
        <v>2855</v>
      </c>
      <c r="C2510" s="354" t="s">
        <v>924</v>
      </c>
      <c r="D2510" s="354" t="s">
        <v>2882</v>
      </c>
      <c r="E2510" s="353" t="str">
        <f>VLOOKUP(B2510&amp;C2510,Divipola!$C$2:$F$1138,4,FALSE)</f>
        <v>20517</v>
      </c>
      <c r="F2510" s="87"/>
      <c r="G2510" s="87"/>
      <c r="H2510" s="87"/>
      <c r="I2510" s="87">
        <v>30</v>
      </c>
      <c r="J2510" s="87">
        <v>6</v>
      </c>
      <c r="K2510" s="87"/>
      <c r="L2510" s="87">
        <v>6</v>
      </c>
      <c r="M2510" s="87"/>
      <c r="N2510" s="87"/>
      <c r="O2510" s="87"/>
      <c r="P2510" s="87"/>
      <c r="Q2510" s="87"/>
      <c r="R2510" s="87"/>
      <c r="S2510" s="87"/>
      <c r="T2510" s="87"/>
      <c r="U2510" s="88"/>
      <c r="V2510" s="89"/>
      <c r="W2510" s="96">
        <v>0</v>
      </c>
      <c r="X2510" s="71">
        <f>CU2510</f>
        <v>0</v>
      </c>
      <c r="Y2510" s="71">
        <f>CY2510</f>
        <v>0</v>
      </c>
      <c r="Z2510" s="71">
        <f>DA2510+DC2510+DE2510</f>
        <v>0</v>
      </c>
      <c r="AA2510" s="71">
        <f>CW2510</f>
        <v>0</v>
      </c>
      <c r="AB2510" s="71"/>
      <c r="AC2510" s="71">
        <v>0</v>
      </c>
      <c r="AD2510" s="71">
        <f>W2510+X2510+Y2510+Z2510+AA2510+AB2510+AC2510</f>
        <v>0</v>
      </c>
      <c r="AE2510" s="72">
        <v>0</v>
      </c>
      <c r="AF2510" s="5"/>
      <c r="AG2510" s="6"/>
      <c r="AH2510" s="27"/>
      <c r="AI2510" s="44"/>
      <c r="AJ2510" s="26"/>
      <c r="AK2510" s="5"/>
      <c r="AL2510" s="82" t="s">
        <v>5400</v>
      </c>
      <c r="AM2510" s="76"/>
      <c r="AN2510" s="76"/>
      <c r="AO2510" s="76"/>
      <c r="AP2510" s="76"/>
      <c r="AQ2510" s="76"/>
      <c r="AR2510" s="76"/>
      <c r="AS2510" s="76"/>
      <c r="AT2510" s="76"/>
      <c r="AU2510" s="76"/>
      <c r="AV2510" s="76"/>
      <c r="AW2510" s="76"/>
      <c r="AX2510" s="76">
        <f>+AW2510*600000</f>
        <v>0</v>
      </c>
      <c r="AY2510" s="76"/>
      <c r="AZ2510" s="76">
        <f>+AY2510*70000</f>
        <v>0</v>
      </c>
      <c r="BA2510" s="76"/>
      <c r="BB2510" s="76"/>
      <c r="BC2510" s="76"/>
      <c r="BD2510" s="76">
        <f>+BC2510*30000</f>
        <v>0</v>
      </c>
      <c r="BE2510" s="76"/>
      <c r="BF2510" s="76"/>
      <c r="BG2510" s="76"/>
      <c r="BH2510" s="76"/>
      <c r="BI2510" s="76"/>
      <c r="BJ2510" s="76"/>
      <c r="BK2510" s="76"/>
      <c r="BL2510" s="76">
        <f>+BK2510*31500</f>
        <v>0</v>
      </c>
      <c r="BM2510" s="76"/>
      <c r="BN2510" s="76"/>
      <c r="BO2510" s="76"/>
      <c r="BP2510" s="76"/>
      <c r="BQ2510" s="76"/>
      <c r="BR2510" s="76"/>
      <c r="BS2510" s="76"/>
      <c r="BT2510" s="76"/>
      <c r="BU2510" s="76"/>
      <c r="BV2510" s="76"/>
      <c r="BW2510" s="76"/>
      <c r="BX2510" s="76"/>
      <c r="BY2510" s="76"/>
      <c r="BZ2510" s="76"/>
      <c r="CA2510" s="76"/>
      <c r="CB2510" s="76"/>
      <c r="CC2510" s="76"/>
      <c r="CD2510" s="76"/>
      <c r="CE2510" s="76"/>
      <c r="CF2510" s="76">
        <f>+CE2510*28000</f>
        <v>0</v>
      </c>
      <c r="CG2510" s="76"/>
      <c r="CH2510" s="76">
        <f>+CG2510*22500</f>
        <v>0</v>
      </c>
      <c r="CI2510" s="76"/>
      <c r="CJ2510" s="76">
        <f>+CI2510*26000</f>
        <v>0</v>
      </c>
      <c r="CK2510" s="76"/>
      <c r="CL2510" s="76"/>
      <c r="CM2510" s="76"/>
      <c r="CN2510" s="76">
        <f>+CM2510*22000</f>
        <v>0</v>
      </c>
      <c r="CO2510" s="76"/>
      <c r="CP2510" s="76">
        <f>+CO2510*46000</f>
        <v>0</v>
      </c>
      <c r="CQ2510" s="76"/>
      <c r="CR2510" s="76">
        <f>+CQ2510*49000</f>
        <v>0</v>
      </c>
      <c r="CS2510" s="76"/>
      <c r="CT2510" s="76"/>
      <c r="CU2510" s="56">
        <f>AN2510+AP2510+AR2510+AT2510+AV2510+AX2510+AZ2510+BB2510+BD2510+BF2510+BH2510+BJ2510+BL2510+BN2510+BP2510+BR2510+BT2510+BV2510+BX2510+BZ2510+CB2510+CD2510+CF2510+CH2510+CJ2510+CL2510+CN2510+CP2510+CR2510+CT2510</f>
        <v>0</v>
      </c>
      <c r="CV2510" s="76"/>
      <c r="CW2510" s="76">
        <f>+CV2510*1100</f>
        <v>0</v>
      </c>
      <c r="CX2510" s="76"/>
      <c r="CY2510" s="76">
        <f>+CX2510*106250</f>
        <v>0</v>
      </c>
      <c r="CZ2510" s="76"/>
      <c r="DA2510" s="76">
        <f>+CZ2510*34500</f>
        <v>0</v>
      </c>
      <c r="DB2510" s="76"/>
      <c r="DC2510" s="76">
        <f>+DB2510*25000</f>
        <v>0</v>
      </c>
      <c r="DD2510" s="219"/>
      <c r="DE2510" s="219"/>
      <c r="DF2510" s="166"/>
      <c r="DG2510" s="116"/>
      <c r="DH2510" s="117"/>
      <c r="DI2510" s="24"/>
      <c r="DJ2510" s="24"/>
      <c r="DK2510" s="24"/>
      <c r="DL2510" s="24"/>
      <c r="DM2510" s="24"/>
      <c r="DN2510" s="24"/>
      <c r="DO2510" s="24"/>
      <c r="DP2510" s="24"/>
      <c r="DQ2510" s="24"/>
      <c r="DR2510" s="24"/>
      <c r="DS2510" s="24"/>
      <c r="DT2510" s="24"/>
      <c r="DU2510" s="24"/>
    </row>
    <row r="2511" spans="1:125" s="8" customFormat="1" ht="36" x14ac:dyDescent="0.2">
      <c r="A2511" s="97">
        <v>41482</v>
      </c>
      <c r="B2511" s="60" t="s">
        <v>2772</v>
      </c>
      <c r="C2511" s="55" t="s">
        <v>1331</v>
      </c>
      <c r="D2511" s="55" t="s">
        <v>2846</v>
      </c>
      <c r="E2511" s="353" t="str">
        <f>VLOOKUP(B2511&amp;C2511,Divipola!$C$2:$F$1138,4,FALSE)</f>
        <v>25214</v>
      </c>
      <c r="F2511" s="87"/>
      <c r="G2511" s="87"/>
      <c r="H2511" s="87"/>
      <c r="I2511" s="87"/>
      <c r="J2511" s="87"/>
      <c r="K2511" s="87"/>
      <c r="L2511" s="87"/>
      <c r="M2511" s="87"/>
      <c r="N2511" s="87"/>
      <c r="O2511" s="87"/>
      <c r="P2511" s="87"/>
      <c r="Q2511" s="87"/>
      <c r="R2511" s="87"/>
      <c r="S2511" s="87"/>
      <c r="T2511" s="87"/>
      <c r="U2511" s="88"/>
      <c r="V2511" s="89"/>
      <c r="W2511" s="96">
        <v>0</v>
      </c>
      <c r="X2511" s="71">
        <f>CU2511</f>
        <v>0</v>
      </c>
      <c r="Y2511" s="71">
        <f>CY2511</f>
        <v>0</v>
      </c>
      <c r="Z2511" s="71">
        <f>DA2511+DC2511+DE2511</f>
        <v>0</v>
      </c>
      <c r="AA2511" s="71">
        <f>CW2511</f>
        <v>0</v>
      </c>
      <c r="AB2511" s="71"/>
      <c r="AC2511" s="71">
        <v>0</v>
      </c>
      <c r="AD2511" s="71">
        <f>W2511+X2511+Y2511+Z2511+AA2511+AB2511+AC2511</f>
        <v>0</v>
      </c>
      <c r="AE2511" s="72">
        <v>0</v>
      </c>
      <c r="AF2511" s="5"/>
      <c r="AG2511" s="6"/>
      <c r="AH2511" s="27"/>
      <c r="AI2511" s="44"/>
      <c r="AJ2511" s="26"/>
      <c r="AK2511" s="5"/>
      <c r="AL2511" s="82" t="s">
        <v>5376</v>
      </c>
      <c r="AM2511" s="76"/>
      <c r="AN2511" s="76"/>
      <c r="AO2511" s="76"/>
      <c r="AP2511" s="76"/>
      <c r="AQ2511" s="76"/>
      <c r="AR2511" s="76"/>
      <c r="AS2511" s="76"/>
      <c r="AT2511" s="76"/>
      <c r="AU2511" s="76"/>
      <c r="AV2511" s="76"/>
      <c r="AW2511" s="76"/>
      <c r="AX2511" s="76">
        <f>+AW2511*600000</f>
        <v>0</v>
      </c>
      <c r="AY2511" s="76"/>
      <c r="AZ2511" s="76">
        <f>+AY2511*70000</f>
        <v>0</v>
      </c>
      <c r="BA2511" s="76"/>
      <c r="BB2511" s="76"/>
      <c r="BC2511" s="76"/>
      <c r="BD2511" s="76">
        <f>+BC2511*30000</f>
        <v>0</v>
      </c>
      <c r="BE2511" s="76"/>
      <c r="BF2511" s="76"/>
      <c r="BG2511" s="76"/>
      <c r="BH2511" s="76"/>
      <c r="BI2511" s="76"/>
      <c r="BJ2511" s="76"/>
      <c r="BK2511" s="76"/>
      <c r="BL2511" s="76">
        <f>+BK2511*31500</f>
        <v>0</v>
      </c>
      <c r="BM2511" s="76"/>
      <c r="BN2511" s="76"/>
      <c r="BO2511" s="76"/>
      <c r="BP2511" s="76"/>
      <c r="BQ2511" s="76"/>
      <c r="BR2511" s="76"/>
      <c r="BS2511" s="76"/>
      <c r="BT2511" s="76"/>
      <c r="BU2511" s="76"/>
      <c r="BV2511" s="76"/>
      <c r="BW2511" s="76"/>
      <c r="BX2511" s="76"/>
      <c r="BY2511" s="76"/>
      <c r="BZ2511" s="76"/>
      <c r="CA2511" s="76"/>
      <c r="CB2511" s="76"/>
      <c r="CC2511" s="76"/>
      <c r="CD2511" s="76"/>
      <c r="CE2511" s="76"/>
      <c r="CF2511" s="76">
        <f>+CE2511*28000</f>
        <v>0</v>
      </c>
      <c r="CG2511" s="76"/>
      <c r="CH2511" s="76">
        <f>+CG2511*22500</f>
        <v>0</v>
      </c>
      <c r="CI2511" s="76"/>
      <c r="CJ2511" s="76">
        <f>+CI2511*26000</f>
        <v>0</v>
      </c>
      <c r="CK2511" s="76"/>
      <c r="CL2511" s="76"/>
      <c r="CM2511" s="76"/>
      <c r="CN2511" s="76">
        <f>+CM2511*22000</f>
        <v>0</v>
      </c>
      <c r="CO2511" s="76"/>
      <c r="CP2511" s="76">
        <f>+CO2511*46000</f>
        <v>0</v>
      </c>
      <c r="CQ2511" s="76"/>
      <c r="CR2511" s="76">
        <f>+CQ2511*49000</f>
        <v>0</v>
      </c>
      <c r="CS2511" s="76"/>
      <c r="CT2511" s="76"/>
      <c r="CU2511" s="56">
        <f>AN2511+AP2511+AR2511+AT2511+AV2511+AX2511+AZ2511+BB2511+BD2511+BF2511+BH2511+BJ2511+BL2511+BN2511+BP2511+BR2511+BT2511+BV2511+BX2511+BZ2511+CB2511+CD2511+CF2511+CH2511+CJ2511+CL2511+CN2511+CP2511+CR2511+CT2511</f>
        <v>0</v>
      </c>
      <c r="CV2511" s="76"/>
      <c r="CW2511" s="76">
        <f>+CV2511*1100</f>
        <v>0</v>
      </c>
      <c r="CX2511" s="76"/>
      <c r="CY2511" s="76">
        <f>+CX2511*106250</f>
        <v>0</v>
      </c>
      <c r="CZ2511" s="76"/>
      <c r="DA2511" s="76">
        <f>+CZ2511*34500</f>
        <v>0</v>
      </c>
      <c r="DB2511" s="76"/>
      <c r="DC2511" s="76">
        <f>+DB2511*25000</f>
        <v>0</v>
      </c>
      <c r="DD2511" s="219"/>
      <c r="DE2511" s="219"/>
      <c r="DF2511" s="166"/>
      <c r="DG2511" s="116"/>
      <c r="DH2511" s="117"/>
      <c r="DI2511" s="24"/>
      <c r="DJ2511" s="24"/>
      <c r="DK2511" s="24"/>
      <c r="DL2511" s="24"/>
      <c r="DM2511" s="24"/>
      <c r="DN2511" s="24"/>
      <c r="DO2511" s="24"/>
      <c r="DP2511" s="24"/>
      <c r="DQ2511" s="24"/>
      <c r="DR2511" s="24"/>
      <c r="DS2511" s="24"/>
      <c r="DT2511" s="24"/>
      <c r="DU2511" s="24"/>
    </row>
    <row r="2512" spans="1:125" s="8" customFormat="1" ht="48" x14ac:dyDescent="0.2">
      <c r="A2512" s="97">
        <v>41482</v>
      </c>
      <c r="B2512" s="225" t="s">
        <v>2772</v>
      </c>
      <c r="C2512" s="227" t="s">
        <v>1108</v>
      </c>
      <c r="D2512" s="227" t="s">
        <v>2846</v>
      </c>
      <c r="E2512" s="353" t="str">
        <f>VLOOKUP(B2512&amp;C2512,Divipola!$C$2:$F$1138,4,FALSE)</f>
        <v>25430</v>
      </c>
      <c r="F2512" s="87"/>
      <c r="G2512" s="87"/>
      <c r="H2512" s="87"/>
      <c r="I2512" s="87"/>
      <c r="J2512" s="87"/>
      <c r="K2512" s="87"/>
      <c r="L2512" s="87"/>
      <c r="M2512" s="87"/>
      <c r="N2512" s="87"/>
      <c r="O2512" s="87"/>
      <c r="P2512" s="87"/>
      <c r="Q2512" s="87"/>
      <c r="R2512" s="87"/>
      <c r="S2512" s="87"/>
      <c r="T2512" s="87"/>
      <c r="U2512" s="88"/>
      <c r="V2512" s="89"/>
      <c r="W2512" s="96">
        <v>0</v>
      </c>
      <c r="X2512" s="71">
        <f>CU2512</f>
        <v>0</v>
      </c>
      <c r="Y2512" s="71">
        <f>CY2512</f>
        <v>0</v>
      </c>
      <c r="Z2512" s="71">
        <f>DA2512+DC2512+DE2512</f>
        <v>0</v>
      </c>
      <c r="AA2512" s="71">
        <f>CW2512</f>
        <v>0</v>
      </c>
      <c r="AB2512" s="71"/>
      <c r="AC2512" s="71">
        <v>0</v>
      </c>
      <c r="AD2512" s="71">
        <f>W2512+X2512+Y2512+Z2512+AA2512+AB2512+AC2512</f>
        <v>0</v>
      </c>
      <c r="AE2512" s="72">
        <v>0</v>
      </c>
      <c r="AF2512" s="5"/>
      <c r="AG2512" s="6"/>
      <c r="AH2512" s="27"/>
      <c r="AI2512" s="44"/>
      <c r="AJ2512" s="26"/>
      <c r="AK2512" s="5"/>
      <c r="AL2512" s="82" t="s">
        <v>5386</v>
      </c>
      <c r="AM2512" s="76"/>
      <c r="AN2512" s="76"/>
      <c r="AO2512" s="76"/>
      <c r="AP2512" s="76"/>
      <c r="AQ2512" s="76"/>
      <c r="AR2512" s="76"/>
      <c r="AS2512" s="76"/>
      <c r="AT2512" s="76"/>
      <c r="AU2512" s="76"/>
      <c r="AV2512" s="76"/>
      <c r="AW2512" s="76"/>
      <c r="AX2512" s="76">
        <f>+AW2512*600000</f>
        <v>0</v>
      </c>
      <c r="AY2512" s="76"/>
      <c r="AZ2512" s="76">
        <f>+AY2512*70000</f>
        <v>0</v>
      </c>
      <c r="BA2512" s="76"/>
      <c r="BB2512" s="76"/>
      <c r="BC2512" s="76"/>
      <c r="BD2512" s="76">
        <f>+BC2512*30000</f>
        <v>0</v>
      </c>
      <c r="BE2512" s="76"/>
      <c r="BF2512" s="76"/>
      <c r="BG2512" s="76"/>
      <c r="BH2512" s="76"/>
      <c r="BI2512" s="76"/>
      <c r="BJ2512" s="76"/>
      <c r="BK2512" s="76"/>
      <c r="BL2512" s="76">
        <f>+BK2512*31500</f>
        <v>0</v>
      </c>
      <c r="BM2512" s="76"/>
      <c r="BN2512" s="76"/>
      <c r="BO2512" s="76"/>
      <c r="BP2512" s="76"/>
      <c r="BQ2512" s="76"/>
      <c r="BR2512" s="76"/>
      <c r="BS2512" s="76"/>
      <c r="BT2512" s="76"/>
      <c r="BU2512" s="76"/>
      <c r="BV2512" s="76"/>
      <c r="BW2512" s="76"/>
      <c r="BX2512" s="76"/>
      <c r="BY2512" s="76"/>
      <c r="BZ2512" s="76"/>
      <c r="CA2512" s="76"/>
      <c r="CB2512" s="76"/>
      <c r="CC2512" s="76"/>
      <c r="CD2512" s="76"/>
      <c r="CE2512" s="76"/>
      <c r="CF2512" s="76">
        <f>+CE2512*28000</f>
        <v>0</v>
      </c>
      <c r="CG2512" s="76"/>
      <c r="CH2512" s="76">
        <f>+CG2512*22500</f>
        <v>0</v>
      </c>
      <c r="CI2512" s="76"/>
      <c r="CJ2512" s="76">
        <f>+CI2512*26000</f>
        <v>0</v>
      </c>
      <c r="CK2512" s="76"/>
      <c r="CL2512" s="76"/>
      <c r="CM2512" s="76"/>
      <c r="CN2512" s="76">
        <f>+CM2512*22000</f>
        <v>0</v>
      </c>
      <c r="CO2512" s="76"/>
      <c r="CP2512" s="76">
        <f>+CO2512*46000</f>
        <v>0</v>
      </c>
      <c r="CQ2512" s="76"/>
      <c r="CR2512" s="76">
        <f>+CQ2512*49000</f>
        <v>0</v>
      </c>
      <c r="CS2512" s="76"/>
      <c r="CT2512" s="76"/>
      <c r="CU2512" s="56">
        <f>AN2512+AP2512+AR2512+AT2512+AV2512+AX2512+AZ2512+BB2512+BD2512+BF2512+BH2512+BJ2512+BL2512+BN2512+BP2512+BR2512+BT2512+BV2512+BX2512+BZ2512+CB2512+CD2512+CF2512+CH2512+CJ2512+CL2512+CN2512+CP2512+CR2512+CT2512</f>
        <v>0</v>
      </c>
      <c r="CV2512" s="76"/>
      <c r="CW2512" s="76">
        <f>+CV2512*1100</f>
        <v>0</v>
      </c>
      <c r="CX2512" s="76"/>
      <c r="CY2512" s="76">
        <f>+CX2512*106250</f>
        <v>0</v>
      </c>
      <c r="CZ2512" s="76"/>
      <c r="DA2512" s="76">
        <f>+CZ2512*34500</f>
        <v>0</v>
      </c>
      <c r="DB2512" s="76"/>
      <c r="DC2512" s="76">
        <f>+DB2512*25000</f>
        <v>0</v>
      </c>
      <c r="DD2512" s="219"/>
      <c r="DE2512" s="219"/>
      <c r="DF2512" s="166"/>
      <c r="DG2512" s="116"/>
      <c r="DH2512" s="117"/>
      <c r="DI2512" s="24"/>
      <c r="DJ2512" s="24"/>
      <c r="DK2512" s="24"/>
      <c r="DL2512" s="24"/>
      <c r="DM2512" s="24"/>
      <c r="DN2512" s="24"/>
      <c r="DO2512" s="24"/>
      <c r="DP2512" s="24"/>
      <c r="DQ2512" s="24"/>
      <c r="DR2512" s="24"/>
      <c r="DS2512" s="24"/>
      <c r="DT2512" s="24"/>
      <c r="DU2512" s="24"/>
    </row>
    <row r="2513" spans="1:125" s="8" customFormat="1" ht="48" x14ac:dyDescent="0.2">
      <c r="A2513" s="97">
        <v>41482</v>
      </c>
      <c r="B2513" s="352" t="s">
        <v>2772</v>
      </c>
      <c r="C2513" s="354" t="s">
        <v>1120</v>
      </c>
      <c r="D2513" s="354" t="s">
        <v>2846</v>
      </c>
      <c r="E2513" s="353" t="str">
        <f>VLOOKUP(B2513&amp;C2513,Divipola!$C$2:$F$1138,4,FALSE)</f>
        <v>25488</v>
      </c>
      <c r="F2513" s="87"/>
      <c r="G2513" s="87"/>
      <c r="H2513" s="87"/>
      <c r="I2513" s="87"/>
      <c r="J2513" s="87"/>
      <c r="K2513" s="87"/>
      <c r="L2513" s="87"/>
      <c r="M2513" s="87"/>
      <c r="N2513" s="87"/>
      <c r="O2513" s="87"/>
      <c r="P2513" s="87"/>
      <c r="Q2513" s="87"/>
      <c r="R2513" s="87"/>
      <c r="S2513" s="87"/>
      <c r="T2513" s="87"/>
      <c r="U2513" s="88">
        <v>5</v>
      </c>
      <c r="V2513" s="89"/>
      <c r="W2513" s="96">
        <v>0</v>
      </c>
      <c r="X2513" s="71">
        <f>CU2513</f>
        <v>0</v>
      </c>
      <c r="Y2513" s="71">
        <f>CY2513</f>
        <v>0</v>
      </c>
      <c r="Z2513" s="71">
        <f>DA2513+DC2513+DE2513</f>
        <v>0</v>
      </c>
      <c r="AA2513" s="71">
        <f>CW2513</f>
        <v>0</v>
      </c>
      <c r="AB2513" s="71"/>
      <c r="AC2513" s="71">
        <v>0</v>
      </c>
      <c r="AD2513" s="71">
        <f>W2513+X2513+Y2513+Z2513+AA2513+AB2513+AC2513</f>
        <v>0</v>
      </c>
      <c r="AE2513" s="72">
        <v>0</v>
      </c>
      <c r="AF2513" s="5"/>
      <c r="AG2513" s="6"/>
      <c r="AH2513" s="27"/>
      <c r="AI2513" s="44"/>
      <c r="AJ2513" s="26"/>
      <c r="AK2513" s="5"/>
      <c r="AL2513" s="82" t="s">
        <v>5385</v>
      </c>
      <c r="AM2513" s="76"/>
      <c r="AN2513" s="76"/>
      <c r="AO2513" s="76"/>
      <c r="AP2513" s="76"/>
      <c r="AQ2513" s="76"/>
      <c r="AR2513" s="76"/>
      <c r="AS2513" s="76"/>
      <c r="AT2513" s="76"/>
      <c r="AU2513" s="76"/>
      <c r="AV2513" s="76"/>
      <c r="AW2513" s="76"/>
      <c r="AX2513" s="76">
        <f>+AW2513*600000</f>
        <v>0</v>
      </c>
      <c r="AY2513" s="76"/>
      <c r="AZ2513" s="76">
        <f>+AY2513*70000</f>
        <v>0</v>
      </c>
      <c r="BA2513" s="76"/>
      <c r="BB2513" s="76"/>
      <c r="BC2513" s="76"/>
      <c r="BD2513" s="76">
        <f>+BC2513*30000</f>
        <v>0</v>
      </c>
      <c r="BE2513" s="76"/>
      <c r="BF2513" s="76"/>
      <c r="BG2513" s="76"/>
      <c r="BH2513" s="76"/>
      <c r="BI2513" s="76"/>
      <c r="BJ2513" s="76"/>
      <c r="BK2513" s="76"/>
      <c r="BL2513" s="76">
        <f>+BK2513*31500</f>
        <v>0</v>
      </c>
      <c r="BM2513" s="76"/>
      <c r="BN2513" s="76"/>
      <c r="BO2513" s="76"/>
      <c r="BP2513" s="76"/>
      <c r="BQ2513" s="76"/>
      <c r="BR2513" s="76"/>
      <c r="BS2513" s="76"/>
      <c r="BT2513" s="76"/>
      <c r="BU2513" s="76"/>
      <c r="BV2513" s="76"/>
      <c r="BW2513" s="76"/>
      <c r="BX2513" s="76"/>
      <c r="BY2513" s="76"/>
      <c r="BZ2513" s="76"/>
      <c r="CA2513" s="76"/>
      <c r="CB2513" s="76"/>
      <c r="CC2513" s="76"/>
      <c r="CD2513" s="76"/>
      <c r="CE2513" s="76"/>
      <c r="CF2513" s="76">
        <f>+CE2513*28000</f>
        <v>0</v>
      </c>
      <c r="CG2513" s="76"/>
      <c r="CH2513" s="76">
        <f>+CG2513*22500</f>
        <v>0</v>
      </c>
      <c r="CI2513" s="76"/>
      <c r="CJ2513" s="76">
        <f>+CI2513*26000</f>
        <v>0</v>
      </c>
      <c r="CK2513" s="76"/>
      <c r="CL2513" s="76"/>
      <c r="CM2513" s="76"/>
      <c r="CN2513" s="76">
        <f>+CM2513*22000</f>
        <v>0</v>
      </c>
      <c r="CO2513" s="76"/>
      <c r="CP2513" s="76">
        <f>+CO2513*46000</f>
        <v>0</v>
      </c>
      <c r="CQ2513" s="76"/>
      <c r="CR2513" s="76">
        <f>+CQ2513*49000</f>
        <v>0</v>
      </c>
      <c r="CS2513" s="76"/>
      <c r="CT2513" s="76"/>
      <c r="CU2513" s="56">
        <f>AN2513+AP2513+AR2513+AT2513+AV2513+AX2513+AZ2513+BB2513+BD2513+BF2513+BH2513+BJ2513+BL2513+BN2513+BP2513+BR2513+BT2513+BV2513+BX2513+BZ2513+CB2513+CD2513+CF2513+CH2513+CJ2513+CL2513+CN2513+CP2513+CR2513+CT2513</f>
        <v>0</v>
      </c>
      <c r="CV2513" s="76"/>
      <c r="CW2513" s="76">
        <f>+CV2513*1100</f>
        <v>0</v>
      </c>
      <c r="CX2513" s="76"/>
      <c r="CY2513" s="76">
        <f>+CX2513*106250</f>
        <v>0</v>
      </c>
      <c r="CZ2513" s="76"/>
      <c r="DA2513" s="76">
        <f>+CZ2513*34500</f>
        <v>0</v>
      </c>
      <c r="DB2513" s="76"/>
      <c r="DC2513" s="76">
        <f>+DB2513*25000</f>
        <v>0</v>
      </c>
      <c r="DD2513" s="219"/>
      <c r="DE2513" s="219"/>
      <c r="DF2513" s="166"/>
      <c r="DG2513" s="116"/>
      <c r="DH2513" s="117"/>
      <c r="DI2513" s="24"/>
      <c r="DJ2513" s="24"/>
      <c r="DK2513" s="24"/>
      <c r="DL2513" s="24"/>
      <c r="DM2513" s="24"/>
      <c r="DN2513" s="24"/>
      <c r="DO2513" s="24"/>
      <c r="DP2513" s="24"/>
      <c r="DQ2513" s="24"/>
      <c r="DR2513" s="24"/>
      <c r="DS2513" s="24"/>
      <c r="DT2513" s="24"/>
      <c r="DU2513" s="24"/>
    </row>
    <row r="2514" spans="1:125" s="8" customFormat="1" ht="108" x14ac:dyDescent="0.2">
      <c r="A2514" s="97">
        <v>41482</v>
      </c>
      <c r="B2514" s="225" t="s">
        <v>2880</v>
      </c>
      <c r="C2514" s="227" t="s">
        <v>2127</v>
      </c>
      <c r="D2514" s="354" t="s">
        <v>2846</v>
      </c>
      <c r="E2514" s="353" t="str">
        <f>VLOOKUP(B2514&amp;C2514,Divipola!$C$2:$F$1138,4,FALSE)</f>
        <v>54553</v>
      </c>
      <c r="F2514" s="87"/>
      <c r="G2514" s="87"/>
      <c r="H2514" s="87"/>
      <c r="I2514" s="87"/>
      <c r="J2514" s="87"/>
      <c r="K2514" s="87"/>
      <c r="L2514" s="87"/>
      <c r="M2514" s="87"/>
      <c r="N2514" s="87"/>
      <c r="O2514" s="87"/>
      <c r="P2514" s="87"/>
      <c r="Q2514" s="87"/>
      <c r="R2514" s="87"/>
      <c r="S2514" s="87"/>
      <c r="T2514" s="87"/>
      <c r="U2514" s="88">
        <v>9</v>
      </c>
      <c r="V2514" s="89"/>
      <c r="W2514" s="96">
        <v>0</v>
      </c>
      <c r="X2514" s="71">
        <f>CU2514</f>
        <v>0</v>
      </c>
      <c r="Y2514" s="71">
        <f>CY2514</f>
        <v>0</v>
      </c>
      <c r="Z2514" s="71">
        <f>DA2514+DC2514+DE2514</f>
        <v>0</v>
      </c>
      <c r="AA2514" s="71">
        <f>CW2514</f>
        <v>0</v>
      </c>
      <c r="AB2514" s="71"/>
      <c r="AC2514" s="71">
        <v>0</v>
      </c>
      <c r="AD2514" s="71">
        <f>W2514+X2514+Y2514+Z2514+AA2514+AB2514+AC2514</f>
        <v>0</v>
      </c>
      <c r="AE2514" s="72">
        <v>0</v>
      </c>
      <c r="AF2514" s="5"/>
      <c r="AG2514" s="6"/>
      <c r="AH2514" s="27"/>
      <c r="AI2514" s="44"/>
      <c r="AJ2514" s="26"/>
      <c r="AK2514" s="5"/>
      <c r="AL2514" s="82" t="s">
        <v>5396</v>
      </c>
      <c r="AM2514" s="76"/>
      <c r="AN2514" s="76"/>
      <c r="AO2514" s="76"/>
      <c r="AP2514" s="76"/>
      <c r="AQ2514" s="76"/>
      <c r="AR2514" s="76"/>
      <c r="AS2514" s="76"/>
      <c r="AT2514" s="76"/>
      <c r="AU2514" s="76"/>
      <c r="AV2514" s="76"/>
      <c r="AW2514" s="76"/>
      <c r="AX2514" s="76">
        <f>+AW2514*600000</f>
        <v>0</v>
      </c>
      <c r="AY2514" s="76"/>
      <c r="AZ2514" s="76">
        <f>+AY2514*70000</f>
        <v>0</v>
      </c>
      <c r="BA2514" s="76"/>
      <c r="BB2514" s="76"/>
      <c r="BC2514" s="76"/>
      <c r="BD2514" s="76">
        <f>+BC2514*30000</f>
        <v>0</v>
      </c>
      <c r="BE2514" s="76"/>
      <c r="BF2514" s="76"/>
      <c r="BG2514" s="76"/>
      <c r="BH2514" s="76"/>
      <c r="BI2514" s="76"/>
      <c r="BJ2514" s="76"/>
      <c r="BK2514" s="76"/>
      <c r="BL2514" s="76">
        <f>+BK2514*31500</f>
        <v>0</v>
      </c>
      <c r="BM2514" s="76"/>
      <c r="BN2514" s="76"/>
      <c r="BO2514" s="76"/>
      <c r="BP2514" s="76"/>
      <c r="BQ2514" s="76"/>
      <c r="BR2514" s="76"/>
      <c r="BS2514" s="76"/>
      <c r="BT2514" s="76"/>
      <c r="BU2514" s="76"/>
      <c r="BV2514" s="76"/>
      <c r="BW2514" s="76"/>
      <c r="BX2514" s="76"/>
      <c r="BY2514" s="76"/>
      <c r="BZ2514" s="76"/>
      <c r="CA2514" s="76"/>
      <c r="CB2514" s="76"/>
      <c r="CC2514" s="76"/>
      <c r="CD2514" s="76"/>
      <c r="CE2514" s="76"/>
      <c r="CF2514" s="76">
        <f>+CE2514*28000</f>
        <v>0</v>
      </c>
      <c r="CG2514" s="76"/>
      <c r="CH2514" s="76">
        <f>+CG2514*22500</f>
        <v>0</v>
      </c>
      <c r="CI2514" s="76"/>
      <c r="CJ2514" s="76">
        <f>+CI2514*26000</f>
        <v>0</v>
      </c>
      <c r="CK2514" s="76"/>
      <c r="CL2514" s="76"/>
      <c r="CM2514" s="76"/>
      <c r="CN2514" s="76">
        <f>+CM2514*22000</f>
        <v>0</v>
      </c>
      <c r="CO2514" s="76"/>
      <c r="CP2514" s="76">
        <f>+CO2514*46000</f>
        <v>0</v>
      </c>
      <c r="CQ2514" s="76"/>
      <c r="CR2514" s="76">
        <f>+CQ2514*49000</f>
        <v>0</v>
      </c>
      <c r="CS2514" s="76"/>
      <c r="CT2514" s="76"/>
      <c r="CU2514" s="56">
        <f>AN2514+AP2514+AR2514+AT2514+AV2514+AX2514+AZ2514+BB2514+BD2514+BF2514+BH2514+BJ2514+BL2514+BN2514+BP2514+BR2514+BT2514+BV2514+BX2514+BZ2514+CB2514+CD2514+CF2514+CH2514+CJ2514+CL2514+CN2514+CP2514+CR2514+CT2514</f>
        <v>0</v>
      </c>
      <c r="CV2514" s="76"/>
      <c r="CW2514" s="76">
        <f>+CV2514*1100</f>
        <v>0</v>
      </c>
      <c r="CX2514" s="76"/>
      <c r="CY2514" s="76">
        <f>+CX2514*106250</f>
        <v>0</v>
      </c>
      <c r="CZ2514" s="76"/>
      <c r="DA2514" s="76">
        <f>+CZ2514*34500</f>
        <v>0</v>
      </c>
      <c r="DB2514" s="76"/>
      <c r="DC2514" s="76">
        <f>+DB2514*25000</f>
        <v>0</v>
      </c>
      <c r="DD2514" s="219"/>
      <c r="DE2514" s="219"/>
      <c r="DF2514" s="166"/>
      <c r="DG2514" s="116"/>
      <c r="DH2514" s="117"/>
      <c r="DI2514" s="24"/>
      <c r="DJ2514" s="24"/>
      <c r="DK2514" s="24"/>
      <c r="DL2514" s="24"/>
      <c r="DM2514" s="24"/>
      <c r="DN2514" s="24"/>
      <c r="DO2514" s="24"/>
      <c r="DP2514" s="24"/>
      <c r="DQ2514" s="24"/>
      <c r="DR2514" s="24"/>
      <c r="DS2514" s="24"/>
      <c r="DT2514" s="24"/>
      <c r="DU2514" s="24"/>
    </row>
    <row r="2515" spans="1:125" s="8" customFormat="1" ht="60" x14ac:dyDescent="0.2">
      <c r="A2515" s="353">
        <v>41482</v>
      </c>
      <c r="B2515" s="225" t="s">
        <v>2848</v>
      </c>
      <c r="C2515" s="227" t="s">
        <v>1887</v>
      </c>
      <c r="D2515" s="227" t="s">
        <v>2846</v>
      </c>
      <c r="E2515" s="353" t="str">
        <f>VLOOKUP(B2515&amp;C2515,Divipola!$C$2:$F$1138,4,FALSE)</f>
        <v>73443</v>
      </c>
      <c r="F2515" s="87"/>
      <c r="G2515" s="87"/>
      <c r="H2515" s="87"/>
      <c r="I2515" s="87"/>
      <c r="J2515" s="87"/>
      <c r="K2515" s="87"/>
      <c r="L2515" s="87"/>
      <c r="M2515" s="87"/>
      <c r="N2515" s="87"/>
      <c r="O2515" s="87"/>
      <c r="P2515" s="87"/>
      <c r="Q2515" s="87"/>
      <c r="R2515" s="87"/>
      <c r="S2515" s="87"/>
      <c r="T2515" s="87"/>
      <c r="U2515" s="88">
        <v>8</v>
      </c>
      <c r="V2515" s="89"/>
      <c r="W2515" s="96">
        <v>0</v>
      </c>
      <c r="X2515" s="71">
        <f>CU2515</f>
        <v>0</v>
      </c>
      <c r="Y2515" s="71">
        <f>CY2515</f>
        <v>0</v>
      </c>
      <c r="Z2515" s="71">
        <f>DA2515+DC2515+DE2515</f>
        <v>0</v>
      </c>
      <c r="AA2515" s="71">
        <f>CW2515</f>
        <v>0</v>
      </c>
      <c r="AB2515" s="71"/>
      <c r="AC2515" s="71">
        <v>0</v>
      </c>
      <c r="AD2515" s="71">
        <f>W2515+X2515+Y2515+Z2515+AA2515+AB2515+AC2515</f>
        <v>0</v>
      </c>
      <c r="AE2515" s="72">
        <v>0</v>
      </c>
      <c r="AF2515" s="5"/>
      <c r="AG2515" s="6"/>
      <c r="AH2515" s="27"/>
      <c r="AI2515" s="44"/>
      <c r="AJ2515" s="26"/>
      <c r="AK2515" s="5"/>
      <c r="AL2515" s="82" t="s">
        <v>5388</v>
      </c>
      <c r="AM2515" s="76"/>
      <c r="AN2515" s="76"/>
      <c r="AO2515" s="76"/>
      <c r="AP2515" s="76"/>
      <c r="AQ2515" s="76"/>
      <c r="AR2515" s="76"/>
      <c r="AS2515" s="76"/>
      <c r="AT2515" s="76"/>
      <c r="AU2515" s="76"/>
      <c r="AV2515" s="76"/>
      <c r="AW2515" s="76"/>
      <c r="AX2515" s="76">
        <f>+AW2515*600000</f>
        <v>0</v>
      </c>
      <c r="AY2515" s="76"/>
      <c r="AZ2515" s="76">
        <f>+AY2515*70000</f>
        <v>0</v>
      </c>
      <c r="BA2515" s="76"/>
      <c r="BB2515" s="76"/>
      <c r="BC2515" s="76"/>
      <c r="BD2515" s="76">
        <f>+BC2515*30000</f>
        <v>0</v>
      </c>
      <c r="BE2515" s="76"/>
      <c r="BF2515" s="76"/>
      <c r="BG2515" s="76"/>
      <c r="BH2515" s="76"/>
      <c r="BI2515" s="76"/>
      <c r="BJ2515" s="76"/>
      <c r="BK2515" s="76"/>
      <c r="BL2515" s="76">
        <f>+BK2515*31500</f>
        <v>0</v>
      </c>
      <c r="BM2515" s="76"/>
      <c r="BN2515" s="76"/>
      <c r="BO2515" s="76"/>
      <c r="BP2515" s="76"/>
      <c r="BQ2515" s="76"/>
      <c r="BR2515" s="76"/>
      <c r="BS2515" s="76"/>
      <c r="BT2515" s="76"/>
      <c r="BU2515" s="76"/>
      <c r="BV2515" s="76"/>
      <c r="BW2515" s="76"/>
      <c r="BX2515" s="76"/>
      <c r="BY2515" s="76"/>
      <c r="BZ2515" s="76"/>
      <c r="CA2515" s="76"/>
      <c r="CB2515" s="76"/>
      <c r="CC2515" s="76"/>
      <c r="CD2515" s="76"/>
      <c r="CE2515" s="76"/>
      <c r="CF2515" s="76">
        <f>+CE2515*28000</f>
        <v>0</v>
      </c>
      <c r="CG2515" s="76"/>
      <c r="CH2515" s="76">
        <f>+CG2515*22500</f>
        <v>0</v>
      </c>
      <c r="CI2515" s="76"/>
      <c r="CJ2515" s="76">
        <f>+CI2515*26000</f>
        <v>0</v>
      </c>
      <c r="CK2515" s="76"/>
      <c r="CL2515" s="76"/>
      <c r="CM2515" s="76"/>
      <c r="CN2515" s="76">
        <f>+CM2515*22000</f>
        <v>0</v>
      </c>
      <c r="CO2515" s="76"/>
      <c r="CP2515" s="76">
        <f>+CO2515*46000</f>
        <v>0</v>
      </c>
      <c r="CQ2515" s="76"/>
      <c r="CR2515" s="76">
        <f>+CQ2515*49000</f>
        <v>0</v>
      </c>
      <c r="CS2515" s="76"/>
      <c r="CT2515" s="76"/>
      <c r="CU2515" s="56">
        <f>AN2515+AP2515+AR2515+AT2515+AV2515+AX2515+AZ2515+BB2515+BD2515+BF2515+BH2515+BJ2515+BL2515+BN2515+BP2515+BR2515+BT2515+BV2515+BX2515+BZ2515+CB2515+CD2515+CF2515+CH2515+CJ2515+CL2515+CN2515+CP2515+CR2515+CT2515</f>
        <v>0</v>
      </c>
      <c r="CV2515" s="76"/>
      <c r="CW2515" s="76">
        <f>+CV2515*1100</f>
        <v>0</v>
      </c>
      <c r="CX2515" s="76"/>
      <c r="CY2515" s="76">
        <f>+CX2515*106250</f>
        <v>0</v>
      </c>
      <c r="CZ2515" s="76"/>
      <c r="DA2515" s="76">
        <f>+CZ2515*34500</f>
        <v>0</v>
      </c>
      <c r="DB2515" s="76"/>
      <c r="DC2515" s="76">
        <f>+DB2515*25000</f>
        <v>0</v>
      </c>
      <c r="DD2515" s="219"/>
      <c r="DE2515" s="219"/>
      <c r="DF2515" s="166"/>
      <c r="DG2515" s="116"/>
      <c r="DH2515" s="117"/>
      <c r="DI2515" s="24"/>
      <c r="DJ2515" s="24"/>
      <c r="DK2515" s="24"/>
      <c r="DL2515" s="24"/>
      <c r="DM2515" s="24"/>
      <c r="DN2515" s="24"/>
      <c r="DO2515" s="24"/>
      <c r="DP2515" s="24"/>
      <c r="DQ2515" s="24"/>
      <c r="DR2515" s="24"/>
      <c r="DS2515" s="24"/>
      <c r="DT2515" s="24"/>
      <c r="DU2515" s="24"/>
    </row>
    <row r="2516" spans="1:125" s="8" customFormat="1" ht="144" x14ac:dyDescent="0.2">
      <c r="A2516" s="97">
        <v>41482</v>
      </c>
      <c r="B2516" s="225" t="s">
        <v>2848</v>
      </c>
      <c r="C2516" s="227" t="s">
        <v>2034</v>
      </c>
      <c r="D2516" s="227" t="s">
        <v>2846</v>
      </c>
      <c r="E2516" s="353" t="str">
        <f>VLOOKUP(B2516&amp;C2516,Divipola!$C$2:$F$1138,4,FALSE)</f>
        <v>73449</v>
      </c>
      <c r="F2516" s="87"/>
      <c r="G2516" s="87"/>
      <c r="H2516" s="87"/>
      <c r="I2516" s="87"/>
      <c r="J2516" s="87"/>
      <c r="K2516" s="87"/>
      <c r="L2516" s="87"/>
      <c r="M2516" s="87"/>
      <c r="N2516" s="87"/>
      <c r="O2516" s="87"/>
      <c r="P2516" s="87"/>
      <c r="Q2516" s="87"/>
      <c r="R2516" s="87"/>
      <c r="S2516" s="87"/>
      <c r="T2516" s="87"/>
      <c r="U2516" s="88">
        <v>15</v>
      </c>
      <c r="V2516" s="89"/>
      <c r="W2516" s="96">
        <v>0</v>
      </c>
      <c r="X2516" s="71">
        <f>CU2516</f>
        <v>0</v>
      </c>
      <c r="Y2516" s="71">
        <f>CY2516</f>
        <v>0</v>
      </c>
      <c r="Z2516" s="71">
        <f>DA2516+DC2516+DE2516</f>
        <v>0</v>
      </c>
      <c r="AA2516" s="71">
        <f>CW2516</f>
        <v>0</v>
      </c>
      <c r="AB2516" s="71"/>
      <c r="AC2516" s="71">
        <v>0</v>
      </c>
      <c r="AD2516" s="71">
        <f>W2516+X2516+Y2516+Z2516+AA2516+AB2516+AC2516</f>
        <v>0</v>
      </c>
      <c r="AE2516" s="72">
        <v>0</v>
      </c>
      <c r="AF2516" s="5"/>
      <c r="AG2516" s="6"/>
      <c r="AH2516" s="27"/>
      <c r="AI2516" s="44"/>
      <c r="AJ2516" s="26"/>
      <c r="AK2516" s="5"/>
      <c r="AL2516" s="82" t="s">
        <v>5392</v>
      </c>
      <c r="AM2516" s="76"/>
      <c r="AN2516" s="76"/>
      <c r="AO2516" s="76"/>
      <c r="AP2516" s="76"/>
      <c r="AQ2516" s="76"/>
      <c r="AR2516" s="76"/>
      <c r="AS2516" s="76"/>
      <c r="AT2516" s="76"/>
      <c r="AU2516" s="76"/>
      <c r="AV2516" s="76"/>
      <c r="AW2516" s="76"/>
      <c r="AX2516" s="76">
        <f>+AW2516*600000</f>
        <v>0</v>
      </c>
      <c r="AY2516" s="76"/>
      <c r="AZ2516" s="76">
        <f>+AY2516*70000</f>
        <v>0</v>
      </c>
      <c r="BA2516" s="76"/>
      <c r="BB2516" s="76"/>
      <c r="BC2516" s="76"/>
      <c r="BD2516" s="76">
        <f>+BC2516*30000</f>
        <v>0</v>
      </c>
      <c r="BE2516" s="76"/>
      <c r="BF2516" s="76"/>
      <c r="BG2516" s="76"/>
      <c r="BH2516" s="76"/>
      <c r="BI2516" s="76"/>
      <c r="BJ2516" s="76"/>
      <c r="BK2516" s="76"/>
      <c r="BL2516" s="76">
        <f>+BK2516*31500</f>
        <v>0</v>
      </c>
      <c r="BM2516" s="76"/>
      <c r="BN2516" s="76"/>
      <c r="BO2516" s="76"/>
      <c r="BP2516" s="76"/>
      <c r="BQ2516" s="76"/>
      <c r="BR2516" s="76"/>
      <c r="BS2516" s="76"/>
      <c r="BT2516" s="76"/>
      <c r="BU2516" s="76"/>
      <c r="BV2516" s="76"/>
      <c r="BW2516" s="76"/>
      <c r="BX2516" s="76"/>
      <c r="BY2516" s="76"/>
      <c r="BZ2516" s="76"/>
      <c r="CA2516" s="76"/>
      <c r="CB2516" s="76"/>
      <c r="CC2516" s="76"/>
      <c r="CD2516" s="76"/>
      <c r="CE2516" s="76"/>
      <c r="CF2516" s="76">
        <f>+CE2516*28000</f>
        <v>0</v>
      </c>
      <c r="CG2516" s="76"/>
      <c r="CH2516" s="76">
        <f>+CG2516*22500</f>
        <v>0</v>
      </c>
      <c r="CI2516" s="76"/>
      <c r="CJ2516" s="76">
        <f>+CI2516*26000</f>
        <v>0</v>
      </c>
      <c r="CK2516" s="76"/>
      <c r="CL2516" s="76"/>
      <c r="CM2516" s="76"/>
      <c r="CN2516" s="76">
        <f>+CM2516*22000</f>
        <v>0</v>
      </c>
      <c r="CO2516" s="76"/>
      <c r="CP2516" s="76">
        <f>+CO2516*46000</f>
        <v>0</v>
      </c>
      <c r="CQ2516" s="76"/>
      <c r="CR2516" s="76">
        <f>+CQ2516*49000</f>
        <v>0</v>
      </c>
      <c r="CS2516" s="76"/>
      <c r="CT2516" s="76"/>
      <c r="CU2516" s="56">
        <f>AN2516+AP2516+AR2516+AT2516+AV2516+AX2516+AZ2516+BB2516+BD2516+BF2516+BH2516+BJ2516+BL2516+BN2516+BP2516+BR2516+BT2516+BV2516+BX2516+BZ2516+CB2516+CD2516+CF2516+CH2516+CJ2516+CL2516+CN2516+CP2516+CR2516+CT2516</f>
        <v>0</v>
      </c>
      <c r="CV2516" s="76"/>
      <c r="CW2516" s="76">
        <f>+CV2516*1100</f>
        <v>0</v>
      </c>
      <c r="CX2516" s="76"/>
      <c r="CY2516" s="76">
        <f>+CX2516*106250</f>
        <v>0</v>
      </c>
      <c r="CZ2516" s="76"/>
      <c r="DA2516" s="76">
        <f>+CZ2516*34500</f>
        <v>0</v>
      </c>
      <c r="DB2516" s="76"/>
      <c r="DC2516" s="76">
        <f>+DB2516*25000</f>
        <v>0</v>
      </c>
      <c r="DD2516" s="219"/>
      <c r="DE2516" s="219"/>
      <c r="DF2516" s="166"/>
      <c r="DG2516" s="116"/>
      <c r="DH2516" s="117"/>
      <c r="DI2516" s="24"/>
      <c r="DJ2516" s="24"/>
      <c r="DK2516" s="24"/>
      <c r="DL2516" s="24"/>
      <c r="DM2516" s="24"/>
      <c r="DN2516" s="24"/>
      <c r="DO2516" s="24"/>
      <c r="DP2516" s="24"/>
      <c r="DQ2516" s="24"/>
      <c r="DR2516" s="24"/>
      <c r="DS2516" s="24"/>
      <c r="DT2516" s="24"/>
      <c r="DU2516" s="24"/>
    </row>
    <row r="2517" spans="1:125" s="8" customFormat="1" ht="48" x14ac:dyDescent="0.2">
      <c r="A2517" s="97">
        <v>41482</v>
      </c>
      <c r="B2517" s="352" t="s">
        <v>2848</v>
      </c>
      <c r="C2517" s="354" t="s">
        <v>1891</v>
      </c>
      <c r="D2517" s="354" t="s">
        <v>2846</v>
      </c>
      <c r="E2517" s="353" t="str">
        <f>VLOOKUP(B2517&amp;C2517,Divipola!$C$2:$F$1138,4,FALSE)</f>
        <v>73461</v>
      </c>
      <c r="F2517" s="87"/>
      <c r="G2517" s="87"/>
      <c r="H2517" s="87"/>
      <c r="I2517" s="87"/>
      <c r="J2517" s="87"/>
      <c r="K2517" s="87"/>
      <c r="L2517" s="87"/>
      <c r="M2517" s="87"/>
      <c r="N2517" s="87"/>
      <c r="O2517" s="87"/>
      <c r="P2517" s="87"/>
      <c r="Q2517" s="87"/>
      <c r="R2517" s="87"/>
      <c r="S2517" s="87"/>
      <c r="T2517" s="87"/>
      <c r="U2517" s="88"/>
      <c r="V2517" s="89"/>
      <c r="W2517" s="96">
        <v>0</v>
      </c>
      <c r="X2517" s="71">
        <f>CU2517</f>
        <v>0</v>
      </c>
      <c r="Y2517" s="71">
        <f>CY2517</f>
        <v>0</v>
      </c>
      <c r="Z2517" s="71">
        <f>DA2517+DC2517+DE2517</f>
        <v>0</v>
      </c>
      <c r="AA2517" s="71">
        <f>CW2517</f>
        <v>0</v>
      </c>
      <c r="AB2517" s="71"/>
      <c r="AC2517" s="71">
        <v>0</v>
      </c>
      <c r="AD2517" s="71">
        <f>W2517+X2517+Y2517+Z2517+AA2517+AB2517+AC2517</f>
        <v>0</v>
      </c>
      <c r="AE2517" s="72">
        <v>0</v>
      </c>
      <c r="AF2517" s="5"/>
      <c r="AG2517" s="6"/>
      <c r="AH2517" s="27"/>
      <c r="AI2517" s="44"/>
      <c r="AJ2517" s="26"/>
      <c r="AK2517" s="5"/>
      <c r="AL2517" s="82" t="s">
        <v>5377</v>
      </c>
      <c r="AM2517" s="76"/>
      <c r="AN2517" s="76"/>
      <c r="AO2517" s="76"/>
      <c r="AP2517" s="76"/>
      <c r="AQ2517" s="76"/>
      <c r="AR2517" s="76"/>
      <c r="AS2517" s="76"/>
      <c r="AT2517" s="76"/>
      <c r="AU2517" s="76"/>
      <c r="AV2517" s="76"/>
      <c r="AW2517" s="76"/>
      <c r="AX2517" s="76">
        <f>+AW2517*600000</f>
        <v>0</v>
      </c>
      <c r="AY2517" s="76"/>
      <c r="AZ2517" s="76">
        <f>+AY2517*70000</f>
        <v>0</v>
      </c>
      <c r="BA2517" s="76"/>
      <c r="BB2517" s="76"/>
      <c r="BC2517" s="76"/>
      <c r="BD2517" s="76">
        <f>+BC2517*30000</f>
        <v>0</v>
      </c>
      <c r="BE2517" s="76"/>
      <c r="BF2517" s="76"/>
      <c r="BG2517" s="76"/>
      <c r="BH2517" s="76"/>
      <c r="BI2517" s="76"/>
      <c r="BJ2517" s="76"/>
      <c r="BK2517" s="76"/>
      <c r="BL2517" s="76">
        <f>+BK2517*31500</f>
        <v>0</v>
      </c>
      <c r="BM2517" s="76"/>
      <c r="BN2517" s="76"/>
      <c r="BO2517" s="76"/>
      <c r="BP2517" s="76"/>
      <c r="BQ2517" s="76"/>
      <c r="BR2517" s="76"/>
      <c r="BS2517" s="76"/>
      <c r="BT2517" s="76"/>
      <c r="BU2517" s="76"/>
      <c r="BV2517" s="76"/>
      <c r="BW2517" s="76"/>
      <c r="BX2517" s="76"/>
      <c r="BY2517" s="76"/>
      <c r="BZ2517" s="76"/>
      <c r="CA2517" s="76"/>
      <c r="CB2517" s="76"/>
      <c r="CC2517" s="76"/>
      <c r="CD2517" s="76"/>
      <c r="CE2517" s="76"/>
      <c r="CF2517" s="76">
        <f>+CE2517*28000</f>
        <v>0</v>
      </c>
      <c r="CG2517" s="76"/>
      <c r="CH2517" s="76">
        <f>+CG2517*22500</f>
        <v>0</v>
      </c>
      <c r="CI2517" s="76"/>
      <c r="CJ2517" s="76">
        <f>+CI2517*26000</f>
        <v>0</v>
      </c>
      <c r="CK2517" s="76"/>
      <c r="CL2517" s="76"/>
      <c r="CM2517" s="76"/>
      <c r="CN2517" s="76">
        <f>+CM2517*22000</f>
        <v>0</v>
      </c>
      <c r="CO2517" s="76"/>
      <c r="CP2517" s="76">
        <f>+CO2517*46000</f>
        <v>0</v>
      </c>
      <c r="CQ2517" s="76"/>
      <c r="CR2517" s="76">
        <f>+CQ2517*49000</f>
        <v>0</v>
      </c>
      <c r="CS2517" s="76"/>
      <c r="CT2517" s="76"/>
      <c r="CU2517" s="56">
        <f>AN2517+AP2517+AR2517+AT2517+AV2517+AX2517+AZ2517+BB2517+BD2517+BF2517+BH2517+BJ2517+BL2517+BN2517+BP2517+BR2517+BT2517+BV2517+BX2517+BZ2517+CB2517+CD2517+CF2517+CH2517+CJ2517+CL2517+CN2517+CP2517+CR2517+CT2517</f>
        <v>0</v>
      </c>
      <c r="CV2517" s="76"/>
      <c r="CW2517" s="76">
        <f>+CV2517*1100</f>
        <v>0</v>
      </c>
      <c r="CX2517" s="76"/>
      <c r="CY2517" s="76">
        <f>+CX2517*106250</f>
        <v>0</v>
      </c>
      <c r="CZ2517" s="76"/>
      <c r="DA2517" s="76">
        <f>+CZ2517*34500</f>
        <v>0</v>
      </c>
      <c r="DB2517" s="76"/>
      <c r="DC2517" s="76">
        <f>+DB2517*25000</f>
        <v>0</v>
      </c>
      <c r="DD2517" s="219"/>
      <c r="DE2517" s="219"/>
      <c r="DF2517" s="166"/>
      <c r="DG2517" s="116"/>
      <c r="DH2517" s="117"/>
      <c r="DI2517" s="24"/>
      <c r="DJ2517" s="24"/>
      <c r="DK2517" s="24"/>
      <c r="DL2517" s="24"/>
      <c r="DM2517" s="24"/>
      <c r="DN2517" s="24"/>
      <c r="DO2517" s="24"/>
      <c r="DP2517" s="24"/>
      <c r="DQ2517" s="24"/>
      <c r="DR2517" s="24"/>
      <c r="DS2517" s="24"/>
      <c r="DT2517" s="24"/>
      <c r="DU2517" s="24"/>
    </row>
    <row r="2518" spans="1:125" s="8" customFormat="1" ht="84" x14ac:dyDescent="0.2">
      <c r="A2518" s="353">
        <v>41482</v>
      </c>
      <c r="B2518" s="225" t="s">
        <v>2848</v>
      </c>
      <c r="C2518" s="227" t="s">
        <v>1907</v>
      </c>
      <c r="D2518" s="227" t="s">
        <v>2846</v>
      </c>
      <c r="E2518" s="353" t="str">
        <f>VLOOKUP(B2518&amp;C2518,Divipola!$C$2:$F$1138,4,FALSE)</f>
        <v>73624</v>
      </c>
      <c r="F2518" s="87"/>
      <c r="G2518" s="87"/>
      <c r="H2518" s="87"/>
      <c r="I2518" s="87"/>
      <c r="J2518" s="87"/>
      <c r="K2518" s="87"/>
      <c r="L2518" s="87"/>
      <c r="M2518" s="87"/>
      <c r="N2518" s="87"/>
      <c r="O2518" s="87"/>
      <c r="P2518" s="87"/>
      <c r="Q2518" s="87"/>
      <c r="R2518" s="87"/>
      <c r="S2518" s="87"/>
      <c r="T2518" s="87"/>
      <c r="U2518" s="88">
        <v>8</v>
      </c>
      <c r="V2518" s="89"/>
      <c r="W2518" s="96">
        <v>0</v>
      </c>
      <c r="X2518" s="71">
        <f>CU2518</f>
        <v>0</v>
      </c>
      <c r="Y2518" s="71">
        <f>CY2518</f>
        <v>0</v>
      </c>
      <c r="Z2518" s="71">
        <f>DA2518+DC2518+DE2518</f>
        <v>0</v>
      </c>
      <c r="AA2518" s="71">
        <f>CW2518</f>
        <v>0</v>
      </c>
      <c r="AB2518" s="71"/>
      <c r="AC2518" s="71">
        <v>0</v>
      </c>
      <c r="AD2518" s="71">
        <f>W2518+X2518+Y2518+Z2518+AA2518+AB2518+AC2518</f>
        <v>0</v>
      </c>
      <c r="AE2518" s="72">
        <v>0</v>
      </c>
      <c r="AF2518" s="5"/>
      <c r="AG2518" s="6"/>
      <c r="AH2518" s="27"/>
      <c r="AI2518" s="44"/>
      <c r="AJ2518" s="26"/>
      <c r="AK2518" s="5"/>
      <c r="AL2518" s="82" t="s">
        <v>5393</v>
      </c>
      <c r="AM2518" s="76"/>
      <c r="AN2518" s="76"/>
      <c r="AO2518" s="76"/>
      <c r="AP2518" s="76"/>
      <c r="AQ2518" s="76"/>
      <c r="AR2518" s="76"/>
      <c r="AS2518" s="76"/>
      <c r="AT2518" s="76"/>
      <c r="AU2518" s="76"/>
      <c r="AV2518" s="76"/>
      <c r="AW2518" s="76"/>
      <c r="AX2518" s="76">
        <f>+AW2518*600000</f>
        <v>0</v>
      </c>
      <c r="AY2518" s="76"/>
      <c r="AZ2518" s="76">
        <f>+AY2518*70000</f>
        <v>0</v>
      </c>
      <c r="BA2518" s="76"/>
      <c r="BB2518" s="76"/>
      <c r="BC2518" s="76"/>
      <c r="BD2518" s="76">
        <f>+BC2518*30000</f>
        <v>0</v>
      </c>
      <c r="BE2518" s="76"/>
      <c r="BF2518" s="76"/>
      <c r="BG2518" s="76"/>
      <c r="BH2518" s="76"/>
      <c r="BI2518" s="76"/>
      <c r="BJ2518" s="76"/>
      <c r="BK2518" s="76"/>
      <c r="BL2518" s="76">
        <f>+BK2518*31500</f>
        <v>0</v>
      </c>
      <c r="BM2518" s="76"/>
      <c r="BN2518" s="76"/>
      <c r="BO2518" s="76"/>
      <c r="BP2518" s="76"/>
      <c r="BQ2518" s="76"/>
      <c r="BR2518" s="76"/>
      <c r="BS2518" s="76"/>
      <c r="BT2518" s="76"/>
      <c r="BU2518" s="76"/>
      <c r="BV2518" s="76"/>
      <c r="BW2518" s="76"/>
      <c r="BX2518" s="76"/>
      <c r="BY2518" s="76"/>
      <c r="BZ2518" s="76"/>
      <c r="CA2518" s="76"/>
      <c r="CB2518" s="76"/>
      <c r="CC2518" s="76"/>
      <c r="CD2518" s="76"/>
      <c r="CE2518" s="76"/>
      <c r="CF2518" s="76">
        <f>+CE2518*28000</f>
        <v>0</v>
      </c>
      <c r="CG2518" s="76"/>
      <c r="CH2518" s="76">
        <f>+CG2518*22500</f>
        <v>0</v>
      </c>
      <c r="CI2518" s="76"/>
      <c r="CJ2518" s="76">
        <f>+CI2518*26000</f>
        <v>0</v>
      </c>
      <c r="CK2518" s="76"/>
      <c r="CL2518" s="76"/>
      <c r="CM2518" s="76"/>
      <c r="CN2518" s="76">
        <f>+CM2518*22000</f>
        <v>0</v>
      </c>
      <c r="CO2518" s="76"/>
      <c r="CP2518" s="76">
        <f>+CO2518*46000</f>
        <v>0</v>
      </c>
      <c r="CQ2518" s="76"/>
      <c r="CR2518" s="76">
        <f>+CQ2518*49000</f>
        <v>0</v>
      </c>
      <c r="CS2518" s="76"/>
      <c r="CT2518" s="76"/>
      <c r="CU2518" s="56">
        <f>AN2518+AP2518+AR2518+AT2518+AV2518+AX2518+AZ2518+BB2518+BD2518+BF2518+BH2518+BJ2518+BL2518+BN2518+BP2518+BR2518+BT2518+BV2518+BX2518+BZ2518+CB2518+CD2518+CF2518+CH2518+CJ2518+CL2518+CN2518+CP2518+CR2518+CT2518</f>
        <v>0</v>
      </c>
      <c r="CV2518" s="76"/>
      <c r="CW2518" s="76">
        <f>+CV2518*1100</f>
        <v>0</v>
      </c>
      <c r="CX2518" s="76"/>
      <c r="CY2518" s="76">
        <f>+CX2518*106250</f>
        <v>0</v>
      </c>
      <c r="CZ2518" s="76"/>
      <c r="DA2518" s="76">
        <f>+CZ2518*34500</f>
        <v>0</v>
      </c>
      <c r="DB2518" s="76"/>
      <c r="DC2518" s="76">
        <f>+DB2518*25000</f>
        <v>0</v>
      </c>
      <c r="DD2518" s="219"/>
      <c r="DE2518" s="219"/>
      <c r="DF2518" s="166"/>
      <c r="DG2518" s="116"/>
      <c r="DH2518" s="117"/>
      <c r="DI2518" s="24"/>
      <c r="DJ2518" s="24"/>
      <c r="DK2518" s="24"/>
      <c r="DL2518" s="24"/>
      <c r="DM2518" s="24"/>
      <c r="DN2518" s="24"/>
      <c r="DO2518" s="24"/>
      <c r="DP2518" s="24"/>
      <c r="DQ2518" s="24"/>
      <c r="DR2518" s="24"/>
      <c r="DS2518" s="24"/>
      <c r="DT2518" s="24"/>
      <c r="DU2518" s="24"/>
    </row>
    <row r="2519" spans="1:125" s="8" customFormat="1" ht="48" x14ac:dyDescent="0.2">
      <c r="A2519" s="97">
        <v>41482</v>
      </c>
      <c r="B2519" s="225" t="s">
        <v>2851</v>
      </c>
      <c r="C2519" s="227" t="s">
        <v>2064</v>
      </c>
      <c r="D2519" s="227" t="s">
        <v>2846</v>
      </c>
      <c r="E2519" s="353" t="str">
        <f>VLOOKUP(B2519&amp;C2519,Divipola!$C$2:$F$1138,4,FALSE)</f>
        <v>76233</v>
      </c>
      <c r="F2519" s="87"/>
      <c r="G2519" s="87"/>
      <c r="H2519" s="87"/>
      <c r="I2519" s="87"/>
      <c r="J2519" s="87"/>
      <c r="K2519" s="87"/>
      <c r="L2519" s="87"/>
      <c r="M2519" s="87"/>
      <c r="N2519" s="87"/>
      <c r="O2519" s="87"/>
      <c r="P2519" s="87"/>
      <c r="Q2519" s="87"/>
      <c r="R2519" s="87"/>
      <c r="S2519" s="87"/>
      <c r="T2519" s="87"/>
      <c r="U2519" s="88">
        <v>7</v>
      </c>
      <c r="V2519" s="89"/>
      <c r="W2519" s="96">
        <v>0</v>
      </c>
      <c r="X2519" s="71">
        <f>CU2519</f>
        <v>0</v>
      </c>
      <c r="Y2519" s="71">
        <f>CY2519</f>
        <v>0</v>
      </c>
      <c r="Z2519" s="71">
        <f>DA2519+DC2519+DE2519</f>
        <v>0</v>
      </c>
      <c r="AA2519" s="71">
        <f>CW2519</f>
        <v>0</v>
      </c>
      <c r="AB2519" s="71"/>
      <c r="AC2519" s="71">
        <v>0</v>
      </c>
      <c r="AD2519" s="71">
        <f>W2519+X2519+Y2519+Z2519+AA2519+AB2519+AC2519</f>
        <v>0</v>
      </c>
      <c r="AE2519" s="72">
        <v>0</v>
      </c>
      <c r="AF2519" s="5"/>
      <c r="AG2519" s="6"/>
      <c r="AH2519" s="27"/>
      <c r="AI2519" s="44"/>
      <c r="AJ2519" s="26"/>
      <c r="AK2519" s="5"/>
      <c r="AL2519" s="82" t="s">
        <v>5380</v>
      </c>
      <c r="AM2519" s="76"/>
      <c r="AN2519" s="76"/>
      <c r="AO2519" s="76"/>
      <c r="AP2519" s="76"/>
      <c r="AQ2519" s="76"/>
      <c r="AR2519" s="76"/>
      <c r="AS2519" s="76"/>
      <c r="AT2519" s="76"/>
      <c r="AU2519" s="76"/>
      <c r="AV2519" s="76"/>
      <c r="AW2519" s="76"/>
      <c r="AX2519" s="76">
        <f>+AW2519*600000</f>
        <v>0</v>
      </c>
      <c r="AY2519" s="76"/>
      <c r="AZ2519" s="76">
        <f>+AY2519*70000</f>
        <v>0</v>
      </c>
      <c r="BA2519" s="76"/>
      <c r="BB2519" s="76"/>
      <c r="BC2519" s="76"/>
      <c r="BD2519" s="76">
        <f>+BC2519*30000</f>
        <v>0</v>
      </c>
      <c r="BE2519" s="76"/>
      <c r="BF2519" s="76"/>
      <c r="BG2519" s="76"/>
      <c r="BH2519" s="76"/>
      <c r="BI2519" s="76"/>
      <c r="BJ2519" s="76"/>
      <c r="BK2519" s="76"/>
      <c r="BL2519" s="76">
        <f>+BK2519*31500</f>
        <v>0</v>
      </c>
      <c r="BM2519" s="76"/>
      <c r="BN2519" s="76"/>
      <c r="BO2519" s="76"/>
      <c r="BP2519" s="76"/>
      <c r="BQ2519" s="76"/>
      <c r="BR2519" s="76"/>
      <c r="BS2519" s="76"/>
      <c r="BT2519" s="76"/>
      <c r="BU2519" s="76"/>
      <c r="BV2519" s="76"/>
      <c r="BW2519" s="76"/>
      <c r="BX2519" s="76"/>
      <c r="BY2519" s="76"/>
      <c r="BZ2519" s="76"/>
      <c r="CA2519" s="76"/>
      <c r="CB2519" s="76"/>
      <c r="CC2519" s="76"/>
      <c r="CD2519" s="76"/>
      <c r="CE2519" s="76"/>
      <c r="CF2519" s="76">
        <f>+CE2519*28000</f>
        <v>0</v>
      </c>
      <c r="CG2519" s="76"/>
      <c r="CH2519" s="76">
        <f>+CG2519*22500</f>
        <v>0</v>
      </c>
      <c r="CI2519" s="76"/>
      <c r="CJ2519" s="76">
        <f>+CI2519*26000</f>
        <v>0</v>
      </c>
      <c r="CK2519" s="76"/>
      <c r="CL2519" s="76"/>
      <c r="CM2519" s="76"/>
      <c r="CN2519" s="76">
        <f>+CM2519*22000</f>
        <v>0</v>
      </c>
      <c r="CO2519" s="76"/>
      <c r="CP2519" s="76">
        <f>+CO2519*46000</f>
        <v>0</v>
      </c>
      <c r="CQ2519" s="76"/>
      <c r="CR2519" s="76">
        <f>+CQ2519*49000</f>
        <v>0</v>
      </c>
      <c r="CS2519" s="76"/>
      <c r="CT2519" s="76"/>
      <c r="CU2519" s="56">
        <f>AN2519+AP2519+AR2519+AT2519+AV2519+AX2519+AZ2519+BB2519+BD2519+BF2519+BH2519+BJ2519+BL2519+BN2519+BP2519+BR2519+BT2519+BV2519+BX2519+BZ2519+CB2519+CD2519+CF2519+CH2519+CJ2519+CL2519+CN2519+CP2519+CR2519+CT2519</f>
        <v>0</v>
      </c>
      <c r="CV2519" s="76"/>
      <c r="CW2519" s="76">
        <f>+CV2519*1100</f>
        <v>0</v>
      </c>
      <c r="CX2519" s="76"/>
      <c r="CY2519" s="76">
        <f>+CX2519*106250</f>
        <v>0</v>
      </c>
      <c r="CZ2519" s="76"/>
      <c r="DA2519" s="76">
        <f>+CZ2519*34500</f>
        <v>0</v>
      </c>
      <c r="DB2519" s="76"/>
      <c r="DC2519" s="76">
        <f>+DB2519*25000</f>
        <v>0</v>
      </c>
      <c r="DD2519" s="219"/>
      <c r="DE2519" s="219"/>
      <c r="DF2519" s="166"/>
      <c r="DG2519" s="116"/>
      <c r="DH2519" s="117"/>
      <c r="DI2519" s="24"/>
      <c r="DJ2519" s="24"/>
      <c r="DK2519" s="24"/>
      <c r="DL2519" s="24"/>
      <c r="DM2519" s="24"/>
      <c r="DN2519" s="24"/>
      <c r="DO2519" s="24"/>
      <c r="DP2519" s="24"/>
      <c r="DQ2519" s="24"/>
      <c r="DR2519" s="24"/>
      <c r="DS2519" s="24"/>
      <c r="DT2519" s="24"/>
      <c r="DU2519" s="24"/>
    </row>
    <row r="2520" spans="1:125" s="8" customFormat="1" ht="36" x14ac:dyDescent="0.2">
      <c r="A2520" s="97">
        <v>41482</v>
      </c>
      <c r="B2520" s="352" t="s">
        <v>2851</v>
      </c>
      <c r="C2520" s="354" t="s">
        <v>1974</v>
      </c>
      <c r="D2520" s="354" t="s">
        <v>2846</v>
      </c>
      <c r="E2520" s="353" t="str">
        <f>VLOOKUP(B2520&amp;C2520,Divipola!$C$2:$F$1138,4,FALSE)</f>
        <v>76869</v>
      </c>
      <c r="F2520" s="87"/>
      <c r="G2520" s="87"/>
      <c r="H2520" s="87"/>
      <c r="I2520" s="87"/>
      <c r="J2520" s="87"/>
      <c r="K2520" s="87"/>
      <c r="L2520" s="87"/>
      <c r="M2520" s="87"/>
      <c r="N2520" s="87"/>
      <c r="O2520" s="87"/>
      <c r="P2520" s="87"/>
      <c r="Q2520" s="87"/>
      <c r="R2520" s="87"/>
      <c r="S2520" s="87"/>
      <c r="T2520" s="87"/>
      <c r="U2520" s="88">
        <v>2</v>
      </c>
      <c r="V2520" s="89"/>
      <c r="W2520" s="96">
        <v>0</v>
      </c>
      <c r="X2520" s="71">
        <f>CU2520</f>
        <v>0</v>
      </c>
      <c r="Y2520" s="71">
        <f>CY2520</f>
        <v>0</v>
      </c>
      <c r="Z2520" s="71">
        <f>DA2520+DC2520+DE2520</f>
        <v>0</v>
      </c>
      <c r="AA2520" s="71">
        <f>CW2520</f>
        <v>0</v>
      </c>
      <c r="AB2520" s="71"/>
      <c r="AC2520" s="71">
        <v>0</v>
      </c>
      <c r="AD2520" s="71">
        <f>W2520+X2520+Y2520+Z2520+AA2520+AB2520+AC2520</f>
        <v>0</v>
      </c>
      <c r="AE2520" s="72">
        <v>0</v>
      </c>
      <c r="AF2520" s="5"/>
      <c r="AG2520" s="6"/>
      <c r="AH2520" s="27"/>
      <c r="AI2520" s="44"/>
      <c r="AJ2520" s="26"/>
      <c r="AK2520" s="5"/>
      <c r="AL2520" s="82" t="s">
        <v>5381</v>
      </c>
      <c r="AM2520" s="76"/>
      <c r="AN2520" s="76"/>
      <c r="AO2520" s="76"/>
      <c r="AP2520" s="76"/>
      <c r="AQ2520" s="76"/>
      <c r="AR2520" s="76"/>
      <c r="AS2520" s="76"/>
      <c r="AT2520" s="76"/>
      <c r="AU2520" s="76"/>
      <c r="AV2520" s="76"/>
      <c r="AW2520" s="76"/>
      <c r="AX2520" s="76">
        <f>+AW2520*600000</f>
        <v>0</v>
      </c>
      <c r="AY2520" s="76"/>
      <c r="AZ2520" s="76">
        <f>+AY2520*70000</f>
        <v>0</v>
      </c>
      <c r="BA2520" s="76"/>
      <c r="BB2520" s="76"/>
      <c r="BC2520" s="76"/>
      <c r="BD2520" s="76">
        <f>+BC2520*30000</f>
        <v>0</v>
      </c>
      <c r="BE2520" s="76"/>
      <c r="BF2520" s="76"/>
      <c r="BG2520" s="76"/>
      <c r="BH2520" s="76"/>
      <c r="BI2520" s="76"/>
      <c r="BJ2520" s="76"/>
      <c r="BK2520" s="76"/>
      <c r="BL2520" s="76">
        <f>+BK2520*31500</f>
        <v>0</v>
      </c>
      <c r="BM2520" s="76"/>
      <c r="BN2520" s="76"/>
      <c r="BO2520" s="76"/>
      <c r="BP2520" s="76"/>
      <c r="BQ2520" s="76"/>
      <c r="BR2520" s="76"/>
      <c r="BS2520" s="76"/>
      <c r="BT2520" s="76"/>
      <c r="BU2520" s="76"/>
      <c r="BV2520" s="76"/>
      <c r="BW2520" s="76"/>
      <c r="BX2520" s="76"/>
      <c r="BY2520" s="76"/>
      <c r="BZ2520" s="76"/>
      <c r="CA2520" s="76"/>
      <c r="CB2520" s="76"/>
      <c r="CC2520" s="76"/>
      <c r="CD2520" s="76"/>
      <c r="CE2520" s="76"/>
      <c r="CF2520" s="76">
        <f>+CE2520*28000</f>
        <v>0</v>
      </c>
      <c r="CG2520" s="76"/>
      <c r="CH2520" s="76">
        <f>+CG2520*22500</f>
        <v>0</v>
      </c>
      <c r="CI2520" s="76"/>
      <c r="CJ2520" s="76">
        <f>+CI2520*26000</f>
        <v>0</v>
      </c>
      <c r="CK2520" s="76"/>
      <c r="CL2520" s="76"/>
      <c r="CM2520" s="76"/>
      <c r="CN2520" s="76">
        <f>+CM2520*22000</f>
        <v>0</v>
      </c>
      <c r="CO2520" s="76"/>
      <c r="CP2520" s="76">
        <f>+CO2520*46000</f>
        <v>0</v>
      </c>
      <c r="CQ2520" s="76"/>
      <c r="CR2520" s="76">
        <f>+CQ2520*49000</f>
        <v>0</v>
      </c>
      <c r="CS2520" s="76"/>
      <c r="CT2520" s="76"/>
      <c r="CU2520" s="56">
        <f>AN2520+AP2520+AR2520+AT2520+AV2520+AX2520+AZ2520+BB2520+BD2520+BF2520+BH2520+BJ2520+BL2520+BN2520+BP2520+BR2520+BT2520+BV2520+BX2520+BZ2520+CB2520+CD2520+CF2520+CH2520+CJ2520+CL2520+CN2520+CP2520+CR2520+CT2520</f>
        <v>0</v>
      </c>
      <c r="CV2520" s="76"/>
      <c r="CW2520" s="76">
        <f>+CV2520*1100</f>
        <v>0</v>
      </c>
      <c r="CX2520" s="76"/>
      <c r="CY2520" s="76">
        <f>+CX2520*106250</f>
        <v>0</v>
      </c>
      <c r="CZ2520" s="76"/>
      <c r="DA2520" s="76">
        <f>+CZ2520*34500</f>
        <v>0</v>
      </c>
      <c r="DB2520" s="76"/>
      <c r="DC2520" s="76">
        <f>+DB2520*25000</f>
        <v>0</v>
      </c>
      <c r="DD2520" s="219"/>
      <c r="DE2520" s="219"/>
      <c r="DF2520" s="166"/>
      <c r="DG2520" s="116"/>
      <c r="DH2520" s="117"/>
      <c r="DI2520" s="24"/>
      <c r="DJ2520" s="24"/>
      <c r="DK2520" s="24"/>
      <c r="DL2520" s="24"/>
      <c r="DM2520" s="24"/>
      <c r="DN2520" s="24"/>
      <c r="DO2520" s="24"/>
      <c r="DP2520" s="24"/>
      <c r="DQ2520" s="24"/>
      <c r="DR2520" s="24"/>
      <c r="DS2520" s="24"/>
      <c r="DT2520" s="24"/>
      <c r="DU2520" s="24"/>
    </row>
    <row r="2521" spans="1:125" s="8" customFormat="1" ht="96" x14ac:dyDescent="0.2">
      <c r="A2521" s="77">
        <v>41483</v>
      </c>
      <c r="B2521" s="78" t="s">
        <v>2894</v>
      </c>
      <c r="C2521" s="75" t="s">
        <v>2032</v>
      </c>
      <c r="D2521" s="75" t="s">
        <v>2846</v>
      </c>
      <c r="E2521" s="353" t="str">
        <f>VLOOKUP(B2521&amp;C2521,Divipola!$C$2:$F$1138,4,FALSE)</f>
        <v>05001</v>
      </c>
      <c r="F2521" s="87"/>
      <c r="G2521" s="87"/>
      <c r="H2521" s="87"/>
      <c r="I2521" s="87"/>
      <c r="J2521" s="87"/>
      <c r="K2521" s="87"/>
      <c r="L2521" s="87"/>
      <c r="M2521" s="87"/>
      <c r="N2521" s="87"/>
      <c r="O2521" s="87"/>
      <c r="P2521" s="87"/>
      <c r="Q2521" s="87"/>
      <c r="R2521" s="87"/>
      <c r="S2521" s="87"/>
      <c r="T2521" s="87"/>
      <c r="U2521" s="88">
        <v>3</v>
      </c>
      <c r="V2521" s="89"/>
      <c r="W2521" s="96">
        <v>0</v>
      </c>
      <c r="X2521" s="71">
        <f>CU2521</f>
        <v>0</v>
      </c>
      <c r="Y2521" s="71">
        <f>CY2521</f>
        <v>0</v>
      </c>
      <c r="Z2521" s="71">
        <f>DA2521+DC2521+DE2521</f>
        <v>0</v>
      </c>
      <c r="AA2521" s="71">
        <f>CW2521</f>
        <v>0</v>
      </c>
      <c r="AB2521" s="71"/>
      <c r="AC2521" s="71">
        <v>0</v>
      </c>
      <c r="AD2521" s="71">
        <f>W2521+X2521+Y2521+Z2521+AA2521+AB2521+AC2521</f>
        <v>0</v>
      </c>
      <c r="AE2521" s="72">
        <v>0</v>
      </c>
      <c r="AF2521" s="5"/>
      <c r="AG2521" s="6"/>
      <c r="AH2521" s="27"/>
      <c r="AI2521" s="44"/>
      <c r="AJ2521" s="26"/>
      <c r="AK2521" s="5"/>
      <c r="AL2521" s="82" t="s">
        <v>5394</v>
      </c>
      <c r="AM2521" s="76"/>
      <c r="AN2521" s="76"/>
      <c r="AO2521" s="76"/>
      <c r="AP2521" s="76"/>
      <c r="AQ2521" s="76"/>
      <c r="AR2521" s="76"/>
      <c r="AS2521" s="76"/>
      <c r="AT2521" s="76"/>
      <c r="AU2521" s="76"/>
      <c r="AV2521" s="76"/>
      <c r="AW2521" s="76"/>
      <c r="AX2521" s="76">
        <f>+AW2521*600000</f>
        <v>0</v>
      </c>
      <c r="AY2521" s="76"/>
      <c r="AZ2521" s="76">
        <f>+AY2521*70000</f>
        <v>0</v>
      </c>
      <c r="BA2521" s="76"/>
      <c r="BB2521" s="76"/>
      <c r="BC2521" s="76"/>
      <c r="BD2521" s="76">
        <f>+BC2521*30000</f>
        <v>0</v>
      </c>
      <c r="BE2521" s="76"/>
      <c r="BF2521" s="76"/>
      <c r="BG2521" s="76"/>
      <c r="BH2521" s="76"/>
      <c r="BI2521" s="76"/>
      <c r="BJ2521" s="76"/>
      <c r="BK2521" s="76"/>
      <c r="BL2521" s="76">
        <f>+BK2521*31500</f>
        <v>0</v>
      </c>
      <c r="BM2521" s="76"/>
      <c r="BN2521" s="76"/>
      <c r="BO2521" s="76"/>
      <c r="BP2521" s="76"/>
      <c r="BQ2521" s="76"/>
      <c r="BR2521" s="76"/>
      <c r="BS2521" s="76"/>
      <c r="BT2521" s="76"/>
      <c r="BU2521" s="76"/>
      <c r="BV2521" s="76"/>
      <c r="BW2521" s="76"/>
      <c r="BX2521" s="76"/>
      <c r="BY2521" s="76"/>
      <c r="BZ2521" s="76"/>
      <c r="CA2521" s="76"/>
      <c r="CB2521" s="76"/>
      <c r="CC2521" s="76"/>
      <c r="CD2521" s="76"/>
      <c r="CE2521" s="76"/>
      <c r="CF2521" s="76">
        <f>+CE2521*28000</f>
        <v>0</v>
      </c>
      <c r="CG2521" s="76"/>
      <c r="CH2521" s="76">
        <f>+CG2521*22500</f>
        <v>0</v>
      </c>
      <c r="CI2521" s="76"/>
      <c r="CJ2521" s="76">
        <f>+CI2521*26000</f>
        <v>0</v>
      </c>
      <c r="CK2521" s="76"/>
      <c r="CL2521" s="76"/>
      <c r="CM2521" s="76"/>
      <c r="CN2521" s="76">
        <f>+CM2521*22000</f>
        <v>0</v>
      </c>
      <c r="CO2521" s="76"/>
      <c r="CP2521" s="76">
        <f>+CO2521*46000</f>
        <v>0</v>
      </c>
      <c r="CQ2521" s="76"/>
      <c r="CR2521" s="76">
        <f>+CQ2521*49000</f>
        <v>0</v>
      </c>
      <c r="CS2521" s="76"/>
      <c r="CT2521" s="76"/>
      <c r="CU2521" s="56">
        <f>AN2521+AP2521+AR2521+AT2521+AV2521+AX2521+AZ2521+BB2521+BD2521+BF2521+BH2521+BJ2521+BL2521+BN2521+BP2521+BR2521+BT2521+BV2521+BX2521+BZ2521+CB2521+CD2521+CF2521+CH2521+CJ2521+CL2521+CN2521+CP2521+CR2521+CT2521</f>
        <v>0</v>
      </c>
      <c r="CV2521" s="76"/>
      <c r="CW2521" s="76">
        <f>+CV2521*1100</f>
        <v>0</v>
      </c>
      <c r="CX2521" s="76"/>
      <c r="CY2521" s="76">
        <f>+CX2521*106250</f>
        <v>0</v>
      </c>
      <c r="CZ2521" s="76"/>
      <c r="DA2521" s="76">
        <f>+CZ2521*34500</f>
        <v>0</v>
      </c>
      <c r="DB2521" s="76"/>
      <c r="DC2521" s="76">
        <f>+DB2521*25000</f>
        <v>0</v>
      </c>
      <c r="DD2521" s="219"/>
      <c r="DE2521" s="219"/>
      <c r="DF2521" s="166"/>
      <c r="DG2521" s="116"/>
      <c r="DH2521" s="117"/>
      <c r="DI2521" s="24"/>
      <c r="DJ2521" s="24"/>
      <c r="DK2521" s="24"/>
      <c r="DL2521" s="24"/>
      <c r="DM2521" s="24"/>
      <c r="DN2521" s="24"/>
      <c r="DO2521" s="24"/>
      <c r="DP2521" s="24"/>
      <c r="DQ2521" s="24"/>
      <c r="DR2521" s="24"/>
      <c r="DS2521" s="24"/>
      <c r="DT2521" s="24"/>
      <c r="DU2521" s="24"/>
    </row>
    <row r="2522" spans="1:125" s="8" customFormat="1" ht="60" x14ac:dyDescent="0.2">
      <c r="A2522" s="353">
        <v>41483</v>
      </c>
      <c r="B2522" s="352" t="s">
        <v>2772</v>
      </c>
      <c r="C2522" s="354" t="s">
        <v>2132</v>
      </c>
      <c r="D2522" s="354" t="s">
        <v>2846</v>
      </c>
      <c r="E2522" s="353" t="str">
        <f>VLOOKUP(B2522&amp;C2522,Divipola!$C$2:$F$1138,4,FALSE)</f>
        <v>25740</v>
      </c>
      <c r="F2522" s="87"/>
      <c r="G2522" s="87"/>
      <c r="H2522" s="87"/>
      <c r="I2522" s="87"/>
      <c r="J2522" s="87"/>
      <c r="K2522" s="87"/>
      <c r="L2522" s="87"/>
      <c r="M2522" s="87"/>
      <c r="N2522" s="87"/>
      <c r="O2522" s="87"/>
      <c r="P2522" s="87"/>
      <c r="Q2522" s="87"/>
      <c r="R2522" s="87"/>
      <c r="S2522" s="87"/>
      <c r="T2522" s="87"/>
      <c r="U2522" s="88"/>
      <c r="V2522" s="89"/>
      <c r="W2522" s="96">
        <v>0</v>
      </c>
      <c r="X2522" s="71">
        <f>CU2522</f>
        <v>0</v>
      </c>
      <c r="Y2522" s="71">
        <f>CY2522</f>
        <v>0</v>
      </c>
      <c r="Z2522" s="71">
        <f>DA2522+DC2522+DE2522</f>
        <v>0</v>
      </c>
      <c r="AA2522" s="71">
        <f>CW2522</f>
        <v>0</v>
      </c>
      <c r="AB2522" s="71"/>
      <c r="AC2522" s="71">
        <v>0</v>
      </c>
      <c r="AD2522" s="71">
        <f>W2522+X2522+Y2522+Z2522+AA2522+AB2522+AC2522</f>
        <v>0</v>
      </c>
      <c r="AE2522" s="72">
        <v>0</v>
      </c>
      <c r="AF2522" s="5"/>
      <c r="AG2522" s="6"/>
      <c r="AH2522" s="27"/>
      <c r="AI2522" s="44"/>
      <c r="AJ2522" s="26"/>
      <c r="AK2522" s="5"/>
      <c r="AL2522" s="82" t="s">
        <v>5397</v>
      </c>
      <c r="AM2522" s="76"/>
      <c r="AN2522" s="76"/>
      <c r="AO2522" s="76"/>
      <c r="AP2522" s="76"/>
      <c r="AQ2522" s="76"/>
      <c r="AR2522" s="76"/>
      <c r="AS2522" s="76"/>
      <c r="AT2522" s="76"/>
      <c r="AU2522" s="76"/>
      <c r="AV2522" s="76"/>
      <c r="AW2522" s="76"/>
      <c r="AX2522" s="76">
        <f>+AW2522*600000</f>
        <v>0</v>
      </c>
      <c r="AY2522" s="76"/>
      <c r="AZ2522" s="76">
        <f>+AY2522*70000</f>
        <v>0</v>
      </c>
      <c r="BA2522" s="76"/>
      <c r="BB2522" s="76"/>
      <c r="BC2522" s="76"/>
      <c r="BD2522" s="76">
        <f>+BC2522*30000</f>
        <v>0</v>
      </c>
      <c r="BE2522" s="76"/>
      <c r="BF2522" s="76"/>
      <c r="BG2522" s="76"/>
      <c r="BH2522" s="76"/>
      <c r="BI2522" s="76"/>
      <c r="BJ2522" s="76"/>
      <c r="BK2522" s="76"/>
      <c r="BL2522" s="76">
        <f>+BK2522*31500</f>
        <v>0</v>
      </c>
      <c r="BM2522" s="76"/>
      <c r="BN2522" s="76"/>
      <c r="BO2522" s="76"/>
      <c r="BP2522" s="76"/>
      <c r="BQ2522" s="76"/>
      <c r="BR2522" s="76"/>
      <c r="BS2522" s="76"/>
      <c r="BT2522" s="76"/>
      <c r="BU2522" s="76"/>
      <c r="BV2522" s="76"/>
      <c r="BW2522" s="76"/>
      <c r="BX2522" s="76"/>
      <c r="BY2522" s="76"/>
      <c r="BZ2522" s="76"/>
      <c r="CA2522" s="76"/>
      <c r="CB2522" s="76"/>
      <c r="CC2522" s="76"/>
      <c r="CD2522" s="76"/>
      <c r="CE2522" s="76"/>
      <c r="CF2522" s="76">
        <f>+CE2522*28000</f>
        <v>0</v>
      </c>
      <c r="CG2522" s="76"/>
      <c r="CH2522" s="76">
        <f>+CG2522*22500</f>
        <v>0</v>
      </c>
      <c r="CI2522" s="76"/>
      <c r="CJ2522" s="76">
        <f>+CI2522*26000</f>
        <v>0</v>
      </c>
      <c r="CK2522" s="76"/>
      <c r="CL2522" s="76"/>
      <c r="CM2522" s="76"/>
      <c r="CN2522" s="76">
        <f>+CM2522*22000</f>
        <v>0</v>
      </c>
      <c r="CO2522" s="76"/>
      <c r="CP2522" s="76">
        <f>+CO2522*46000</f>
        <v>0</v>
      </c>
      <c r="CQ2522" s="76"/>
      <c r="CR2522" s="76">
        <f>+CQ2522*49000</f>
        <v>0</v>
      </c>
      <c r="CS2522" s="76"/>
      <c r="CT2522" s="76"/>
      <c r="CU2522" s="56">
        <f>AN2522+AP2522+AR2522+AT2522+AV2522+AX2522+AZ2522+BB2522+BD2522+BF2522+BH2522+BJ2522+BL2522+BN2522+BP2522+BR2522+BT2522+BV2522+BX2522+BZ2522+CB2522+CD2522+CF2522+CH2522+CJ2522+CL2522+CN2522+CP2522+CR2522+CT2522</f>
        <v>0</v>
      </c>
      <c r="CV2522" s="76"/>
      <c r="CW2522" s="76">
        <f>+CV2522*1100</f>
        <v>0</v>
      </c>
      <c r="CX2522" s="76"/>
      <c r="CY2522" s="76">
        <f>+CX2522*106250</f>
        <v>0</v>
      </c>
      <c r="CZ2522" s="76"/>
      <c r="DA2522" s="76">
        <f>+CZ2522*34500</f>
        <v>0</v>
      </c>
      <c r="DB2522" s="76"/>
      <c r="DC2522" s="76">
        <f>+DB2522*25000</f>
        <v>0</v>
      </c>
      <c r="DD2522" s="219"/>
      <c r="DE2522" s="219"/>
      <c r="DF2522" s="166"/>
      <c r="DG2522" s="116"/>
      <c r="DH2522" s="117"/>
      <c r="DI2522" s="24"/>
      <c r="DJ2522" s="24"/>
      <c r="DK2522" s="24"/>
      <c r="DL2522" s="24"/>
      <c r="DM2522" s="24"/>
      <c r="DN2522" s="24"/>
      <c r="DO2522" s="24"/>
      <c r="DP2522" s="24"/>
      <c r="DQ2522" s="24"/>
      <c r="DR2522" s="24"/>
      <c r="DS2522" s="24"/>
      <c r="DT2522" s="24"/>
      <c r="DU2522" s="24"/>
    </row>
    <row r="2523" spans="1:125" s="8" customFormat="1" ht="48" x14ac:dyDescent="0.2">
      <c r="A2523" s="353">
        <v>41483</v>
      </c>
      <c r="B2523" s="352" t="s">
        <v>2661</v>
      </c>
      <c r="C2523" s="354" t="s">
        <v>2169</v>
      </c>
      <c r="D2523" s="354" t="s">
        <v>2846</v>
      </c>
      <c r="E2523" s="353" t="str">
        <f>VLOOKUP(B2523&amp;C2523,Divipola!$C$2:$F$1138,4,FALSE)</f>
        <v>41001</v>
      </c>
      <c r="F2523" s="87"/>
      <c r="G2523" s="87"/>
      <c r="H2523" s="87"/>
      <c r="I2523" s="87"/>
      <c r="J2523" s="87"/>
      <c r="K2523" s="87"/>
      <c r="L2523" s="87"/>
      <c r="M2523" s="87"/>
      <c r="N2523" s="87"/>
      <c r="O2523" s="87"/>
      <c r="P2523" s="87"/>
      <c r="Q2523" s="87"/>
      <c r="R2523" s="87"/>
      <c r="S2523" s="87"/>
      <c r="T2523" s="87"/>
      <c r="U2523" s="88">
        <v>1</v>
      </c>
      <c r="V2523" s="89"/>
      <c r="W2523" s="96">
        <v>0</v>
      </c>
      <c r="X2523" s="71">
        <f>CU2523</f>
        <v>0</v>
      </c>
      <c r="Y2523" s="71">
        <f>CY2523</f>
        <v>0</v>
      </c>
      <c r="Z2523" s="71">
        <f>DA2523+DC2523+DE2523</f>
        <v>0</v>
      </c>
      <c r="AA2523" s="71">
        <f>CW2523</f>
        <v>0</v>
      </c>
      <c r="AB2523" s="71"/>
      <c r="AC2523" s="71">
        <v>0</v>
      </c>
      <c r="AD2523" s="71">
        <f>W2523+X2523+Y2523+Z2523+AA2523+AB2523+AC2523</f>
        <v>0</v>
      </c>
      <c r="AE2523" s="72">
        <v>0</v>
      </c>
      <c r="AF2523" s="5"/>
      <c r="AG2523" s="6"/>
      <c r="AH2523" s="27"/>
      <c r="AI2523" s="44"/>
      <c r="AJ2523" s="26"/>
      <c r="AK2523" s="5"/>
      <c r="AL2523" s="82" t="s">
        <v>5399</v>
      </c>
      <c r="AM2523" s="76"/>
      <c r="AN2523" s="76"/>
      <c r="AO2523" s="76"/>
      <c r="AP2523" s="76"/>
      <c r="AQ2523" s="76"/>
      <c r="AR2523" s="76"/>
      <c r="AS2523" s="76"/>
      <c r="AT2523" s="76"/>
      <c r="AU2523" s="76"/>
      <c r="AV2523" s="76"/>
      <c r="AW2523" s="76"/>
      <c r="AX2523" s="76">
        <f>+AW2523*600000</f>
        <v>0</v>
      </c>
      <c r="AY2523" s="76"/>
      <c r="AZ2523" s="76">
        <f>+AY2523*70000</f>
        <v>0</v>
      </c>
      <c r="BA2523" s="76"/>
      <c r="BB2523" s="76"/>
      <c r="BC2523" s="76"/>
      <c r="BD2523" s="76">
        <f>+BC2523*30000</f>
        <v>0</v>
      </c>
      <c r="BE2523" s="76"/>
      <c r="BF2523" s="76"/>
      <c r="BG2523" s="76"/>
      <c r="BH2523" s="76"/>
      <c r="BI2523" s="76"/>
      <c r="BJ2523" s="76"/>
      <c r="BK2523" s="76"/>
      <c r="BL2523" s="76">
        <f>+BK2523*31500</f>
        <v>0</v>
      </c>
      <c r="BM2523" s="76"/>
      <c r="BN2523" s="76"/>
      <c r="BO2523" s="76"/>
      <c r="BP2523" s="76"/>
      <c r="BQ2523" s="76"/>
      <c r="BR2523" s="76"/>
      <c r="BS2523" s="76"/>
      <c r="BT2523" s="76"/>
      <c r="BU2523" s="76"/>
      <c r="BV2523" s="76"/>
      <c r="BW2523" s="76"/>
      <c r="BX2523" s="76"/>
      <c r="BY2523" s="76"/>
      <c r="BZ2523" s="76"/>
      <c r="CA2523" s="76"/>
      <c r="CB2523" s="76"/>
      <c r="CC2523" s="76"/>
      <c r="CD2523" s="76"/>
      <c r="CE2523" s="76"/>
      <c r="CF2523" s="76">
        <f>+CE2523*28000</f>
        <v>0</v>
      </c>
      <c r="CG2523" s="76"/>
      <c r="CH2523" s="76">
        <f>+CG2523*22500</f>
        <v>0</v>
      </c>
      <c r="CI2523" s="76"/>
      <c r="CJ2523" s="76">
        <f>+CI2523*26000</f>
        <v>0</v>
      </c>
      <c r="CK2523" s="76"/>
      <c r="CL2523" s="76"/>
      <c r="CM2523" s="76"/>
      <c r="CN2523" s="76">
        <f>+CM2523*22000</f>
        <v>0</v>
      </c>
      <c r="CO2523" s="76"/>
      <c r="CP2523" s="76">
        <f>+CO2523*46000</f>
        <v>0</v>
      </c>
      <c r="CQ2523" s="76"/>
      <c r="CR2523" s="76">
        <f>+CQ2523*49000</f>
        <v>0</v>
      </c>
      <c r="CS2523" s="76"/>
      <c r="CT2523" s="76"/>
      <c r="CU2523" s="56">
        <f>AN2523+AP2523+AR2523+AT2523+AV2523+AX2523+AZ2523+BB2523+BD2523+BF2523+BH2523+BJ2523+BL2523+BN2523+BP2523+BR2523+BT2523+BV2523+BX2523+BZ2523+CB2523+CD2523+CF2523+CH2523+CJ2523+CL2523+CN2523+CP2523+CR2523+CT2523</f>
        <v>0</v>
      </c>
      <c r="CV2523" s="76"/>
      <c r="CW2523" s="76">
        <f>+CV2523*1100</f>
        <v>0</v>
      </c>
      <c r="CX2523" s="76"/>
      <c r="CY2523" s="76">
        <f>+CX2523*106250</f>
        <v>0</v>
      </c>
      <c r="CZ2523" s="76"/>
      <c r="DA2523" s="76">
        <f>+CZ2523*34500</f>
        <v>0</v>
      </c>
      <c r="DB2523" s="76"/>
      <c r="DC2523" s="76">
        <f>+DB2523*25000</f>
        <v>0</v>
      </c>
      <c r="DD2523" s="219"/>
      <c r="DE2523" s="219"/>
      <c r="DF2523" s="166"/>
      <c r="DG2523" s="116"/>
      <c r="DH2523" s="117"/>
      <c r="DI2523" s="24"/>
      <c r="DJ2523" s="24"/>
      <c r="DK2523" s="24"/>
      <c r="DL2523" s="24"/>
      <c r="DM2523" s="24"/>
      <c r="DN2523" s="24"/>
      <c r="DO2523" s="24"/>
      <c r="DP2523" s="24"/>
      <c r="DQ2523" s="24"/>
      <c r="DR2523" s="24"/>
      <c r="DS2523" s="24"/>
      <c r="DT2523" s="24"/>
      <c r="DU2523" s="24"/>
    </row>
    <row r="2524" spans="1:125" s="8" customFormat="1" ht="156" x14ac:dyDescent="0.2">
      <c r="A2524" s="226">
        <v>41483</v>
      </c>
      <c r="B2524" s="60" t="s">
        <v>2906</v>
      </c>
      <c r="C2524" s="55" t="s">
        <v>2739</v>
      </c>
      <c r="D2524" s="55" t="s">
        <v>2859</v>
      </c>
      <c r="E2524" s="353" t="str">
        <f>VLOOKUP(B2524&amp;C2524,Divipola!$C$2:$F$1138,4,FALSE)</f>
        <v>47001</v>
      </c>
      <c r="F2524" s="87"/>
      <c r="G2524" s="87">
        <v>400</v>
      </c>
      <c r="H2524" s="87"/>
      <c r="I2524" s="87">
        <v>400</v>
      </c>
      <c r="J2524" s="87"/>
      <c r="K2524" s="87"/>
      <c r="L2524" s="87"/>
      <c r="M2524" s="87"/>
      <c r="N2524" s="87"/>
      <c r="O2524" s="87"/>
      <c r="P2524" s="87"/>
      <c r="Q2524" s="87"/>
      <c r="R2524" s="87"/>
      <c r="S2524" s="87"/>
      <c r="T2524" s="87"/>
      <c r="U2524" s="88"/>
      <c r="V2524" s="89">
        <v>1</v>
      </c>
      <c r="W2524" s="96">
        <v>0</v>
      </c>
      <c r="X2524" s="71">
        <f>CU2524</f>
        <v>0</v>
      </c>
      <c r="Y2524" s="71">
        <f>CY2524</f>
        <v>0</v>
      </c>
      <c r="Z2524" s="71">
        <f>DA2524+DC2524+DE2524</f>
        <v>0</v>
      </c>
      <c r="AA2524" s="71">
        <f>CW2524</f>
        <v>0</v>
      </c>
      <c r="AB2524" s="71"/>
      <c r="AC2524" s="71">
        <v>0</v>
      </c>
      <c r="AD2524" s="71">
        <f>W2524+X2524+Y2524+Z2524+AA2524+AB2524+AC2524</f>
        <v>0</v>
      </c>
      <c r="AE2524" s="72">
        <v>0</v>
      </c>
      <c r="AF2524" s="5"/>
      <c r="AG2524" s="6"/>
      <c r="AH2524" s="27"/>
      <c r="AI2524" s="44"/>
      <c r="AJ2524" s="26"/>
      <c r="AK2524" s="5"/>
      <c r="AL2524" s="82" t="s">
        <v>5398</v>
      </c>
      <c r="AM2524" s="76"/>
      <c r="AN2524" s="76"/>
      <c r="AO2524" s="76"/>
      <c r="AP2524" s="76"/>
      <c r="AQ2524" s="76"/>
      <c r="AR2524" s="76"/>
      <c r="AS2524" s="76"/>
      <c r="AT2524" s="76"/>
      <c r="AU2524" s="76"/>
      <c r="AV2524" s="76"/>
      <c r="AW2524" s="76"/>
      <c r="AX2524" s="76">
        <f>+AW2524*600000</f>
        <v>0</v>
      </c>
      <c r="AY2524" s="76"/>
      <c r="AZ2524" s="76">
        <f>+AY2524*70000</f>
        <v>0</v>
      </c>
      <c r="BA2524" s="76"/>
      <c r="BB2524" s="76"/>
      <c r="BC2524" s="76"/>
      <c r="BD2524" s="76">
        <f>+BC2524*30000</f>
        <v>0</v>
      </c>
      <c r="BE2524" s="76"/>
      <c r="BF2524" s="76"/>
      <c r="BG2524" s="76"/>
      <c r="BH2524" s="76"/>
      <c r="BI2524" s="76"/>
      <c r="BJ2524" s="76"/>
      <c r="BK2524" s="76"/>
      <c r="BL2524" s="76">
        <f>+BK2524*31500</f>
        <v>0</v>
      </c>
      <c r="BM2524" s="76"/>
      <c r="BN2524" s="76"/>
      <c r="BO2524" s="76"/>
      <c r="BP2524" s="76"/>
      <c r="BQ2524" s="76"/>
      <c r="BR2524" s="76"/>
      <c r="BS2524" s="76"/>
      <c r="BT2524" s="76"/>
      <c r="BU2524" s="76"/>
      <c r="BV2524" s="76"/>
      <c r="BW2524" s="76"/>
      <c r="BX2524" s="76"/>
      <c r="BY2524" s="76"/>
      <c r="BZ2524" s="76"/>
      <c r="CA2524" s="76"/>
      <c r="CB2524" s="76"/>
      <c r="CC2524" s="76"/>
      <c r="CD2524" s="76"/>
      <c r="CE2524" s="76"/>
      <c r="CF2524" s="76">
        <f>+CE2524*28000</f>
        <v>0</v>
      </c>
      <c r="CG2524" s="76"/>
      <c r="CH2524" s="76">
        <f>+CG2524*22500</f>
        <v>0</v>
      </c>
      <c r="CI2524" s="76"/>
      <c r="CJ2524" s="76">
        <f>+CI2524*26000</f>
        <v>0</v>
      </c>
      <c r="CK2524" s="76"/>
      <c r="CL2524" s="76"/>
      <c r="CM2524" s="76"/>
      <c r="CN2524" s="76">
        <f>+CM2524*22000</f>
        <v>0</v>
      </c>
      <c r="CO2524" s="76"/>
      <c r="CP2524" s="76">
        <f>+CO2524*46000</f>
        <v>0</v>
      </c>
      <c r="CQ2524" s="76"/>
      <c r="CR2524" s="76">
        <f>+CQ2524*49000</f>
        <v>0</v>
      </c>
      <c r="CS2524" s="76"/>
      <c r="CT2524" s="76"/>
      <c r="CU2524" s="56">
        <f>AN2524+AP2524+AR2524+AT2524+AV2524+AX2524+AZ2524+BB2524+BD2524+BF2524+BH2524+BJ2524+BL2524+BN2524+BP2524+BR2524+BT2524+BV2524+BX2524+BZ2524+CB2524+CD2524+CF2524+CH2524+CJ2524+CL2524+CN2524+CP2524+CR2524+CT2524</f>
        <v>0</v>
      </c>
      <c r="CV2524" s="76"/>
      <c r="CW2524" s="76">
        <f>+CV2524*1100</f>
        <v>0</v>
      </c>
      <c r="CX2524" s="76"/>
      <c r="CY2524" s="76">
        <f>+CX2524*106250</f>
        <v>0</v>
      </c>
      <c r="CZ2524" s="76"/>
      <c r="DA2524" s="76">
        <f>+CZ2524*34500</f>
        <v>0</v>
      </c>
      <c r="DB2524" s="76"/>
      <c r="DC2524" s="76">
        <f>+DB2524*25000</f>
        <v>0</v>
      </c>
      <c r="DD2524" s="219"/>
      <c r="DE2524" s="219"/>
      <c r="DF2524" s="166"/>
      <c r="DG2524" s="116"/>
      <c r="DH2524" s="117"/>
      <c r="DI2524" s="24"/>
      <c r="DJ2524" s="24"/>
      <c r="DK2524" s="24"/>
      <c r="DL2524" s="24"/>
      <c r="DM2524" s="24"/>
      <c r="DN2524" s="24"/>
      <c r="DO2524" s="24"/>
      <c r="DP2524" s="24"/>
      <c r="DQ2524" s="24"/>
      <c r="DR2524" s="24"/>
      <c r="DS2524" s="24"/>
      <c r="DT2524" s="24"/>
      <c r="DU2524" s="24"/>
    </row>
    <row r="2525" spans="1:125" s="8" customFormat="1" ht="120" x14ac:dyDescent="0.2">
      <c r="A2525" s="226">
        <v>41483</v>
      </c>
      <c r="B2525" s="225" t="s">
        <v>2848</v>
      </c>
      <c r="C2525" s="227" t="s">
        <v>2053</v>
      </c>
      <c r="D2525" s="354" t="s">
        <v>2846</v>
      </c>
      <c r="E2525" s="353" t="str">
        <f>VLOOKUP(B2525&amp;C2525,Divipola!$C$2:$F$1138,4,FALSE)</f>
        <v>73026</v>
      </c>
      <c r="F2525" s="87"/>
      <c r="G2525" s="87"/>
      <c r="H2525" s="87"/>
      <c r="I2525" s="87"/>
      <c r="J2525" s="87"/>
      <c r="K2525" s="87"/>
      <c r="L2525" s="87"/>
      <c r="M2525" s="87"/>
      <c r="N2525" s="87"/>
      <c r="O2525" s="87"/>
      <c r="P2525" s="87"/>
      <c r="Q2525" s="87"/>
      <c r="R2525" s="87"/>
      <c r="S2525" s="87"/>
      <c r="T2525" s="87"/>
      <c r="U2525" s="88"/>
      <c r="V2525" s="89"/>
      <c r="W2525" s="96">
        <v>0</v>
      </c>
      <c r="X2525" s="71">
        <f>CU2525</f>
        <v>0</v>
      </c>
      <c r="Y2525" s="71">
        <f>CY2525</f>
        <v>0</v>
      </c>
      <c r="Z2525" s="71">
        <f>DA2525+DC2525+DE2525</f>
        <v>0</v>
      </c>
      <c r="AA2525" s="71">
        <f>CW2525</f>
        <v>0</v>
      </c>
      <c r="AB2525" s="71"/>
      <c r="AC2525" s="71">
        <v>0</v>
      </c>
      <c r="AD2525" s="71">
        <f>W2525+X2525+Y2525+Z2525+AA2525+AB2525+AC2525</f>
        <v>0</v>
      </c>
      <c r="AE2525" s="72">
        <v>0</v>
      </c>
      <c r="AF2525" s="5"/>
      <c r="AG2525" s="6"/>
      <c r="AH2525" s="27"/>
      <c r="AI2525" s="44"/>
      <c r="AJ2525" s="26"/>
      <c r="AK2525" s="5"/>
      <c r="AL2525" s="82" t="s">
        <v>5389</v>
      </c>
      <c r="AM2525" s="76"/>
      <c r="AN2525" s="76"/>
      <c r="AO2525" s="76"/>
      <c r="AP2525" s="76"/>
      <c r="AQ2525" s="76"/>
      <c r="AR2525" s="76"/>
      <c r="AS2525" s="76"/>
      <c r="AT2525" s="76"/>
      <c r="AU2525" s="76"/>
      <c r="AV2525" s="76"/>
      <c r="AW2525" s="76"/>
      <c r="AX2525" s="76">
        <f>+AW2525*600000</f>
        <v>0</v>
      </c>
      <c r="AY2525" s="76"/>
      <c r="AZ2525" s="76">
        <f>+AY2525*70000</f>
        <v>0</v>
      </c>
      <c r="BA2525" s="76"/>
      <c r="BB2525" s="76"/>
      <c r="BC2525" s="76"/>
      <c r="BD2525" s="76">
        <f>+BC2525*30000</f>
        <v>0</v>
      </c>
      <c r="BE2525" s="76"/>
      <c r="BF2525" s="76"/>
      <c r="BG2525" s="76"/>
      <c r="BH2525" s="76"/>
      <c r="BI2525" s="76"/>
      <c r="BJ2525" s="76"/>
      <c r="BK2525" s="76"/>
      <c r="BL2525" s="76">
        <f>+BK2525*31500</f>
        <v>0</v>
      </c>
      <c r="BM2525" s="76"/>
      <c r="BN2525" s="76"/>
      <c r="BO2525" s="76"/>
      <c r="BP2525" s="76"/>
      <c r="BQ2525" s="76"/>
      <c r="BR2525" s="76"/>
      <c r="BS2525" s="76"/>
      <c r="BT2525" s="76"/>
      <c r="BU2525" s="76"/>
      <c r="BV2525" s="76"/>
      <c r="BW2525" s="76"/>
      <c r="BX2525" s="76"/>
      <c r="BY2525" s="76"/>
      <c r="BZ2525" s="76"/>
      <c r="CA2525" s="76"/>
      <c r="CB2525" s="76"/>
      <c r="CC2525" s="76"/>
      <c r="CD2525" s="76"/>
      <c r="CE2525" s="76"/>
      <c r="CF2525" s="76">
        <f>+CE2525*28000</f>
        <v>0</v>
      </c>
      <c r="CG2525" s="76"/>
      <c r="CH2525" s="76">
        <f>+CG2525*22500</f>
        <v>0</v>
      </c>
      <c r="CI2525" s="76"/>
      <c r="CJ2525" s="76">
        <f>+CI2525*26000</f>
        <v>0</v>
      </c>
      <c r="CK2525" s="76"/>
      <c r="CL2525" s="76"/>
      <c r="CM2525" s="76"/>
      <c r="CN2525" s="76">
        <f>+CM2525*22000</f>
        <v>0</v>
      </c>
      <c r="CO2525" s="76"/>
      <c r="CP2525" s="76">
        <f>+CO2525*46000</f>
        <v>0</v>
      </c>
      <c r="CQ2525" s="76"/>
      <c r="CR2525" s="76">
        <f>+CQ2525*49000</f>
        <v>0</v>
      </c>
      <c r="CS2525" s="76"/>
      <c r="CT2525" s="76"/>
      <c r="CU2525" s="56">
        <f>AN2525+AP2525+AR2525+AT2525+AV2525+AX2525+AZ2525+BB2525+BD2525+BF2525+BH2525+BJ2525+BL2525+BN2525+BP2525+BR2525+BT2525+BV2525+BX2525+BZ2525+CB2525+CD2525+CF2525+CH2525+CJ2525+CL2525+CN2525+CP2525+CR2525+CT2525</f>
        <v>0</v>
      </c>
      <c r="CV2525" s="76"/>
      <c r="CW2525" s="76">
        <f>+CV2525*1100</f>
        <v>0</v>
      </c>
      <c r="CX2525" s="76"/>
      <c r="CY2525" s="76">
        <f>+CX2525*106250</f>
        <v>0</v>
      </c>
      <c r="CZ2525" s="76"/>
      <c r="DA2525" s="76">
        <f>+CZ2525*34500</f>
        <v>0</v>
      </c>
      <c r="DB2525" s="76"/>
      <c r="DC2525" s="76">
        <f>+DB2525*25000</f>
        <v>0</v>
      </c>
      <c r="DD2525" s="219"/>
      <c r="DE2525" s="219"/>
      <c r="DF2525" s="166"/>
      <c r="DG2525" s="116"/>
      <c r="DH2525" s="117"/>
      <c r="DI2525" s="24"/>
      <c r="DJ2525" s="24"/>
      <c r="DK2525" s="24"/>
      <c r="DL2525" s="24"/>
      <c r="DM2525" s="24"/>
      <c r="DN2525" s="24"/>
      <c r="DO2525" s="24"/>
      <c r="DP2525" s="24"/>
      <c r="DQ2525" s="24"/>
      <c r="DR2525" s="24"/>
      <c r="DS2525" s="24"/>
      <c r="DT2525" s="24"/>
      <c r="DU2525" s="24"/>
    </row>
    <row r="2526" spans="1:125" s="8" customFormat="1" ht="72" x14ac:dyDescent="0.2">
      <c r="A2526" s="226">
        <v>41483</v>
      </c>
      <c r="B2526" s="225" t="s">
        <v>2848</v>
      </c>
      <c r="C2526" s="227" t="s">
        <v>1872</v>
      </c>
      <c r="D2526" s="227" t="s">
        <v>2846</v>
      </c>
      <c r="E2526" s="353" t="str">
        <f>VLOOKUP(B2526&amp;C2526,Divipola!$C$2:$F$1138,4,FALSE)</f>
        <v>73268</v>
      </c>
      <c r="F2526" s="87"/>
      <c r="G2526" s="87"/>
      <c r="H2526" s="87"/>
      <c r="I2526" s="87"/>
      <c r="J2526" s="87"/>
      <c r="K2526" s="87"/>
      <c r="L2526" s="87"/>
      <c r="M2526" s="87"/>
      <c r="N2526" s="87"/>
      <c r="O2526" s="87"/>
      <c r="P2526" s="87"/>
      <c r="Q2526" s="87"/>
      <c r="R2526" s="87"/>
      <c r="S2526" s="87"/>
      <c r="T2526" s="87"/>
      <c r="U2526" s="88"/>
      <c r="V2526" s="89"/>
      <c r="W2526" s="96">
        <v>0</v>
      </c>
      <c r="X2526" s="71">
        <f>CU2526</f>
        <v>0</v>
      </c>
      <c r="Y2526" s="71">
        <f>CY2526</f>
        <v>0</v>
      </c>
      <c r="Z2526" s="71">
        <f>DA2526+DC2526+DE2526</f>
        <v>0</v>
      </c>
      <c r="AA2526" s="71">
        <f>CW2526</f>
        <v>0</v>
      </c>
      <c r="AB2526" s="71"/>
      <c r="AC2526" s="71">
        <v>0</v>
      </c>
      <c r="AD2526" s="71">
        <f>W2526+X2526+Y2526+Z2526+AA2526+AB2526+AC2526</f>
        <v>0</v>
      </c>
      <c r="AE2526" s="72">
        <v>0</v>
      </c>
      <c r="AF2526" s="5"/>
      <c r="AG2526" s="6"/>
      <c r="AH2526" s="27"/>
      <c r="AI2526" s="44"/>
      <c r="AJ2526" s="26"/>
      <c r="AK2526" s="5"/>
      <c r="AL2526" s="82" t="s">
        <v>5390</v>
      </c>
      <c r="AM2526" s="76"/>
      <c r="AN2526" s="76"/>
      <c r="AO2526" s="76"/>
      <c r="AP2526" s="76"/>
      <c r="AQ2526" s="76"/>
      <c r="AR2526" s="76"/>
      <c r="AS2526" s="76"/>
      <c r="AT2526" s="76"/>
      <c r="AU2526" s="76"/>
      <c r="AV2526" s="76"/>
      <c r="AW2526" s="76"/>
      <c r="AX2526" s="76">
        <f>+AW2526*600000</f>
        <v>0</v>
      </c>
      <c r="AY2526" s="76"/>
      <c r="AZ2526" s="76">
        <f>+AY2526*70000</f>
        <v>0</v>
      </c>
      <c r="BA2526" s="76"/>
      <c r="BB2526" s="76"/>
      <c r="BC2526" s="76"/>
      <c r="BD2526" s="76">
        <f>+BC2526*30000</f>
        <v>0</v>
      </c>
      <c r="BE2526" s="76"/>
      <c r="BF2526" s="76"/>
      <c r="BG2526" s="76"/>
      <c r="BH2526" s="76"/>
      <c r="BI2526" s="76"/>
      <c r="BJ2526" s="76"/>
      <c r="BK2526" s="76"/>
      <c r="BL2526" s="76">
        <f>+BK2526*31500</f>
        <v>0</v>
      </c>
      <c r="BM2526" s="76"/>
      <c r="BN2526" s="76"/>
      <c r="BO2526" s="76"/>
      <c r="BP2526" s="76"/>
      <c r="BQ2526" s="76"/>
      <c r="BR2526" s="76"/>
      <c r="BS2526" s="76"/>
      <c r="BT2526" s="76"/>
      <c r="BU2526" s="76"/>
      <c r="BV2526" s="76"/>
      <c r="BW2526" s="76"/>
      <c r="BX2526" s="76"/>
      <c r="BY2526" s="76"/>
      <c r="BZ2526" s="76"/>
      <c r="CA2526" s="76"/>
      <c r="CB2526" s="76"/>
      <c r="CC2526" s="76"/>
      <c r="CD2526" s="76"/>
      <c r="CE2526" s="76"/>
      <c r="CF2526" s="76">
        <f>+CE2526*28000</f>
        <v>0</v>
      </c>
      <c r="CG2526" s="76"/>
      <c r="CH2526" s="76">
        <f>+CG2526*22500</f>
        <v>0</v>
      </c>
      <c r="CI2526" s="76"/>
      <c r="CJ2526" s="76">
        <f>+CI2526*26000</f>
        <v>0</v>
      </c>
      <c r="CK2526" s="76"/>
      <c r="CL2526" s="76"/>
      <c r="CM2526" s="76"/>
      <c r="CN2526" s="76">
        <f>+CM2526*22000</f>
        <v>0</v>
      </c>
      <c r="CO2526" s="76"/>
      <c r="CP2526" s="76">
        <f>+CO2526*46000</f>
        <v>0</v>
      </c>
      <c r="CQ2526" s="76"/>
      <c r="CR2526" s="76">
        <f>+CQ2526*49000</f>
        <v>0</v>
      </c>
      <c r="CS2526" s="76"/>
      <c r="CT2526" s="76"/>
      <c r="CU2526" s="56">
        <f>AN2526+AP2526+AR2526+AT2526+AV2526+AX2526+AZ2526+BB2526+BD2526+BF2526+BH2526+BJ2526+BL2526+BN2526+BP2526+BR2526+BT2526+BV2526+BX2526+BZ2526+CB2526+CD2526+CF2526+CH2526+CJ2526+CL2526+CN2526+CP2526+CR2526+CT2526</f>
        <v>0</v>
      </c>
      <c r="CV2526" s="76"/>
      <c r="CW2526" s="76">
        <f>+CV2526*1100</f>
        <v>0</v>
      </c>
      <c r="CX2526" s="76"/>
      <c r="CY2526" s="76">
        <f>+CX2526*106250</f>
        <v>0</v>
      </c>
      <c r="CZ2526" s="76"/>
      <c r="DA2526" s="76">
        <f>+CZ2526*34500</f>
        <v>0</v>
      </c>
      <c r="DB2526" s="76"/>
      <c r="DC2526" s="76">
        <f>+DB2526*25000</f>
        <v>0</v>
      </c>
      <c r="DD2526" s="219"/>
      <c r="DE2526" s="219"/>
      <c r="DF2526" s="166"/>
      <c r="DG2526" s="116"/>
      <c r="DH2526" s="117"/>
      <c r="DI2526" s="24"/>
      <c r="DJ2526" s="24"/>
      <c r="DK2526" s="24"/>
      <c r="DL2526" s="24"/>
      <c r="DM2526" s="24"/>
      <c r="DN2526" s="24"/>
      <c r="DO2526" s="24"/>
      <c r="DP2526" s="24"/>
      <c r="DQ2526" s="24"/>
      <c r="DR2526" s="24"/>
      <c r="DS2526" s="24"/>
      <c r="DT2526" s="24"/>
      <c r="DU2526" s="24"/>
    </row>
    <row r="2527" spans="1:125" s="8" customFormat="1" ht="72" x14ac:dyDescent="0.2">
      <c r="A2527" s="353">
        <v>41483</v>
      </c>
      <c r="B2527" s="352" t="s">
        <v>2848</v>
      </c>
      <c r="C2527" s="354" t="s">
        <v>1887</v>
      </c>
      <c r="D2527" s="354" t="s">
        <v>2846</v>
      </c>
      <c r="E2527" s="353" t="str">
        <f>VLOOKUP(B2527&amp;C2527,Divipola!$C$2:$F$1138,4,FALSE)</f>
        <v>73443</v>
      </c>
      <c r="F2527" s="87"/>
      <c r="G2527" s="87"/>
      <c r="H2527" s="87"/>
      <c r="I2527" s="87"/>
      <c r="J2527" s="87"/>
      <c r="K2527" s="87"/>
      <c r="L2527" s="87"/>
      <c r="M2527" s="87"/>
      <c r="N2527" s="87"/>
      <c r="O2527" s="87"/>
      <c r="P2527" s="87"/>
      <c r="Q2527" s="87"/>
      <c r="R2527" s="87"/>
      <c r="S2527" s="87"/>
      <c r="T2527" s="87"/>
      <c r="U2527" s="88">
        <v>0.5</v>
      </c>
      <c r="V2527" s="89"/>
      <c r="W2527" s="96">
        <v>0</v>
      </c>
      <c r="X2527" s="71">
        <f>CU2527</f>
        <v>0</v>
      </c>
      <c r="Y2527" s="71">
        <f>CY2527</f>
        <v>0</v>
      </c>
      <c r="Z2527" s="71">
        <f>DA2527+DC2527+DE2527</f>
        <v>0</v>
      </c>
      <c r="AA2527" s="71">
        <f>CW2527</f>
        <v>0</v>
      </c>
      <c r="AB2527" s="71"/>
      <c r="AC2527" s="71">
        <v>0</v>
      </c>
      <c r="AD2527" s="71">
        <f>W2527+X2527+Y2527+Z2527+AA2527+AB2527+AC2527</f>
        <v>0</v>
      </c>
      <c r="AE2527" s="72">
        <v>0</v>
      </c>
      <c r="AF2527" s="5"/>
      <c r="AG2527" s="6"/>
      <c r="AH2527" s="27"/>
      <c r="AI2527" s="44"/>
      <c r="AJ2527" s="26"/>
      <c r="AK2527" s="5"/>
      <c r="AL2527" s="82" t="s">
        <v>5391</v>
      </c>
      <c r="AM2527" s="76"/>
      <c r="AN2527" s="76"/>
      <c r="AO2527" s="76"/>
      <c r="AP2527" s="76"/>
      <c r="AQ2527" s="76"/>
      <c r="AR2527" s="76"/>
      <c r="AS2527" s="76"/>
      <c r="AT2527" s="76"/>
      <c r="AU2527" s="76"/>
      <c r="AV2527" s="76"/>
      <c r="AW2527" s="76"/>
      <c r="AX2527" s="76">
        <f>+AW2527*600000</f>
        <v>0</v>
      </c>
      <c r="AY2527" s="76"/>
      <c r="AZ2527" s="76">
        <f>+AY2527*70000</f>
        <v>0</v>
      </c>
      <c r="BA2527" s="76"/>
      <c r="BB2527" s="76"/>
      <c r="BC2527" s="76"/>
      <c r="BD2527" s="76">
        <f>+BC2527*30000</f>
        <v>0</v>
      </c>
      <c r="BE2527" s="76"/>
      <c r="BF2527" s="76"/>
      <c r="BG2527" s="76"/>
      <c r="BH2527" s="76"/>
      <c r="BI2527" s="76"/>
      <c r="BJ2527" s="76"/>
      <c r="BK2527" s="76"/>
      <c r="BL2527" s="76">
        <f>+BK2527*31500</f>
        <v>0</v>
      </c>
      <c r="BM2527" s="76"/>
      <c r="BN2527" s="76"/>
      <c r="BO2527" s="76"/>
      <c r="BP2527" s="76"/>
      <c r="BQ2527" s="76"/>
      <c r="BR2527" s="76"/>
      <c r="BS2527" s="76"/>
      <c r="BT2527" s="76"/>
      <c r="BU2527" s="76"/>
      <c r="BV2527" s="76"/>
      <c r="BW2527" s="76"/>
      <c r="BX2527" s="76"/>
      <c r="BY2527" s="76"/>
      <c r="BZ2527" s="76"/>
      <c r="CA2527" s="76"/>
      <c r="CB2527" s="76"/>
      <c r="CC2527" s="76"/>
      <c r="CD2527" s="76"/>
      <c r="CE2527" s="76"/>
      <c r="CF2527" s="76">
        <f>+CE2527*28000</f>
        <v>0</v>
      </c>
      <c r="CG2527" s="76"/>
      <c r="CH2527" s="76">
        <f>+CG2527*22500</f>
        <v>0</v>
      </c>
      <c r="CI2527" s="76"/>
      <c r="CJ2527" s="76">
        <f>+CI2527*26000</f>
        <v>0</v>
      </c>
      <c r="CK2527" s="76"/>
      <c r="CL2527" s="76"/>
      <c r="CM2527" s="76"/>
      <c r="CN2527" s="76">
        <f>+CM2527*22000</f>
        <v>0</v>
      </c>
      <c r="CO2527" s="76"/>
      <c r="CP2527" s="76">
        <f>+CO2527*46000</f>
        <v>0</v>
      </c>
      <c r="CQ2527" s="76"/>
      <c r="CR2527" s="76">
        <f>+CQ2527*49000</f>
        <v>0</v>
      </c>
      <c r="CS2527" s="76"/>
      <c r="CT2527" s="76"/>
      <c r="CU2527" s="56">
        <f>AN2527+AP2527+AR2527+AT2527+AV2527+AX2527+AZ2527+BB2527+BD2527+BF2527+BH2527+BJ2527+BL2527+BN2527+BP2527+BR2527+BT2527+BV2527+BX2527+BZ2527+CB2527+CD2527+CF2527+CH2527+CJ2527+CL2527+CN2527+CP2527+CR2527+CT2527</f>
        <v>0</v>
      </c>
      <c r="CV2527" s="76"/>
      <c r="CW2527" s="76">
        <f>+CV2527*1100</f>
        <v>0</v>
      </c>
      <c r="CX2527" s="76"/>
      <c r="CY2527" s="76">
        <f>+CX2527*106250</f>
        <v>0</v>
      </c>
      <c r="CZ2527" s="76"/>
      <c r="DA2527" s="76">
        <f>+CZ2527*34500</f>
        <v>0</v>
      </c>
      <c r="DB2527" s="76"/>
      <c r="DC2527" s="76">
        <f>+DB2527*25000</f>
        <v>0</v>
      </c>
      <c r="DD2527" s="219"/>
      <c r="DE2527" s="219"/>
      <c r="DF2527" s="166"/>
      <c r="DG2527" s="116"/>
      <c r="DH2527" s="117"/>
      <c r="DI2527" s="24"/>
      <c r="DJ2527" s="24"/>
      <c r="DK2527" s="24"/>
      <c r="DL2527" s="24"/>
      <c r="DM2527" s="24"/>
      <c r="DN2527" s="24"/>
      <c r="DO2527" s="24"/>
      <c r="DP2527" s="24"/>
      <c r="DQ2527" s="24"/>
      <c r="DR2527" s="24"/>
      <c r="DS2527" s="24"/>
      <c r="DT2527" s="24"/>
      <c r="DU2527" s="24"/>
    </row>
    <row r="2528" spans="1:125" s="8" customFormat="1" ht="72" x14ac:dyDescent="0.2">
      <c r="A2528" s="353">
        <v>41483</v>
      </c>
      <c r="B2528" s="352" t="s">
        <v>2848</v>
      </c>
      <c r="C2528" s="354" t="s">
        <v>1338</v>
      </c>
      <c r="D2528" s="354" t="s">
        <v>2849</v>
      </c>
      <c r="E2528" s="353" t="str">
        <f>VLOOKUP(B2528&amp;C2528,Divipola!$C$2:$F$1138,4,FALSE)</f>
        <v>73504</v>
      </c>
      <c r="F2528" s="87">
        <v>1</v>
      </c>
      <c r="G2528" s="87">
        <v>7</v>
      </c>
      <c r="H2528" s="87"/>
      <c r="I2528" s="87">
        <v>8</v>
      </c>
      <c r="J2528" s="87"/>
      <c r="K2528" s="87"/>
      <c r="L2528" s="87"/>
      <c r="M2528" s="87"/>
      <c r="N2528" s="87"/>
      <c r="O2528" s="87"/>
      <c r="P2528" s="87"/>
      <c r="Q2528" s="87"/>
      <c r="R2528" s="87"/>
      <c r="S2528" s="87"/>
      <c r="T2528" s="87"/>
      <c r="U2528" s="88"/>
      <c r="V2528" s="89"/>
      <c r="W2528" s="96">
        <v>0</v>
      </c>
      <c r="X2528" s="71">
        <f>CU2528</f>
        <v>0</v>
      </c>
      <c r="Y2528" s="71">
        <f>CY2528</f>
        <v>0</v>
      </c>
      <c r="Z2528" s="71">
        <f>DA2528+DC2528+DE2528</f>
        <v>0</v>
      </c>
      <c r="AA2528" s="71">
        <f>CW2528</f>
        <v>0</v>
      </c>
      <c r="AB2528" s="71"/>
      <c r="AC2528" s="71">
        <v>0</v>
      </c>
      <c r="AD2528" s="71">
        <f>W2528+X2528+Y2528+Z2528+AA2528+AB2528+AC2528</f>
        <v>0</v>
      </c>
      <c r="AE2528" s="72">
        <v>0</v>
      </c>
      <c r="AF2528" s="5"/>
      <c r="AG2528" s="6"/>
      <c r="AH2528" s="27"/>
      <c r="AI2528" s="44"/>
      <c r="AJ2528" s="26"/>
      <c r="AK2528" s="5"/>
      <c r="AL2528" s="82" t="s">
        <v>5401</v>
      </c>
      <c r="AM2528" s="76"/>
      <c r="AN2528" s="76"/>
      <c r="AO2528" s="76"/>
      <c r="AP2528" s="76"/>
      <c r="AQ2528" s="76"/>
      <c r="AR2528" s="76"/>
      <c r="AS2528" s="76"/>
      <c r="AT2528" s="76"/>
      <c r="AU2528" s="76"/>
      <c r="AV2528" s="76"/>
      <c r="AW2528" s="76"/>
      <c r="AX2528" s="76">
        <f>+AW2528*600000</f>
        <v>0</v>
      </c>
      <c r="AY2528" s="76"/>
      <c r="AZ2528" s="76">
        <f>+AY2528*70000</f>
        <v>0</v>
      </c>
      <c r="BA2528" s="76"/>
      <c r="BB2528" s="76"/>
      <c r="BC2528" s="76"/>
      <c r="BD2528" s="76">
        <f>+BC2528*30000</f>
        <v>0</v>
      </c>
      <c r="BE2528" s="76"/>
      <c r="BF2528" s="76"/>
      <c r="BG2528" s="76"/>
      <c r="BH2528" s="76"/>
      <c r="BI2528" s="76"/>
      <c r="BJ2528" s="76"/>
      <c r="BK2528" s="76"/>
      <c r="BL2528" s="76">
        <f>+BK2528*31500</f>
        <v>0</v>
      </c>
      <c r="BM2528" s="76"/>
      <c r="BN2528" s="76"/>
      <c r="BO2528" s="76"/>
      <c r="BP2528" s="76"/>
      <c r="BQ2528" s="76"/>
      <c r="BR2528" s="76"/>
      <c r="BS2528" s="76"/>
      <c r="BT2528" s="76"/>
      <c r="BU2528" s="76"/>
      <c r="BV2528" s="76"/>
      <c r="BW2528" s="76"/>
      <c r="BX2528" s="76"/>
      <c r="BY2528" s="76"/>
      <c r="BZ2528" s="76"/>
      <c r="CA2528" s="76"/>
      <c r="CB2528" s="76"/>
      <c r="CC2528" s="76"/>
      <c r="CD2528" s="76"/>
      <c r="CE2528" s="76"/>
      <c r="CF2528" s="76">
        <f>+CE2528*28000</f>
        <v>0</v>
      </c>
      <c r="CG2528" s="76"/>
      <c r="CH2528" s="76">
        <f>+CG2528*22500</f>
        <v>0</v>
      </c>
      <c r="CI2528" s="76"/>
      <c r="CJ2528" s="76">
        <f>+CI2528*26000</f>
        <v>0</v>
      </c>
      <c r="CK2528" s="76"/>
      <c r="CL2528" s="76"/>
      <c r="CM2528" s="76"/>
      <c r="CN2528" s="76">
        <f>+CM2528*22000</f>
        <v>0</v>
      </c>
      <c r="CO2528" s="76"/>
      <c r="CP2528" s="76">
        <f>+CO2528*46000</f>
        <v>0</v>
      </c>
      <c r="CQ2528" s="76"/>
      <c r="CR2528" s="76">
        <f>+CQ2528*49000</f>
        <v>0</v>
      </c>
      <c r="CS2528" s="76"/>
      <c r="CT2528" s="76"/>
      <c r="CU2528" s="56">
        <f>AN2528+AP2528+AR2528+AT2528+AV2528+AX2528+AZ2528+BB2528+BD2528+BF2528+BH2528+BJ2528+BL2528+BN2528+BP2528+BR2528+BT2528+BV2528+BX2528+BZ2528+CB2528+CD2528+CF2528+CH2528+CJ2528+CL2528+CN2528+CP2528+CR2528+CT2528</f>
        <v>0</v>
      </c>
      <c r="CV2528" s="76"/>
      <c r="CW2528" s="76">
        <f>+CV2528*1100</f>
        <v>0</v>
      </c>
      <c r="CX2528" s="76"/>
      <c r="CY2528" s="76">
        <f>+CX2528*106250</f>
        <v>0</v>
      </c>
      <c r="CZ2528" s="76"/>
      <c r="DA2528" s="76">
        <f>+CZ2528*34500</f>
        <v>0</v>
      </c>
      <c r="DB2528" s="76"/>
      <c r="DC2528" s="76">
        <f>+DB2528*25000</f>
        <v>0</v>
      </c>
      <c r="DD2528" s="219"/>
      <c r="DE2528" s="219"/>
      <c r="DF2528" s="166"/>
      <c r="DG2528" s="116"/>
      <c r="DH2528" s="117"/>
      <c r="DI2528" s="24"/>
      <c r="DJ2528" s="24"/>
      <c r="DK2528" s="24"/>
      <c r="DL2528" s="24"/>
      <c r="DM2528" s="24"/>
      <c r="DN2528" s="24"/>
      <c r="DO2528" s="24"/>
      <c r="DP2528" s="24"/>
      <c r="DQ2528" s="24"/>
      <c r="DR2528" s="24"/>
      <c r="DS2528" s="24"/>
      <c r="DT2528" s="24"/>
      <c r="DU2528" s="24"/>
    </row>
    <row r="2529" spans="1:125" s="8" customFormat="1" ht="156" x14ac:dyDescent="0.2">
      <c r="A2529" s="353">
        <v>41484</v>
      </c>
      <c r="B2529" s="352" t="s">
        <v>2894</v>
      </c>
      <c r="C2529" s="354" t="s">
        <v>2441</v>
      </c>
      <c r="D2529" s="354" t="s">
        <v>3635</v>
      </c>
      <c r="E2529" s="353" t="str">
        <f>VLOOKUP(B2529&amp;C2529,Divipola!$C$2:$F$1138,4,FALSE)</f>
        <v>05250</v>
      </c>
      <c r="F2529" s="87">
        <v>3</v>
      </c>
      <c r="G2529" s="87">
        <v>9</v>
      </c>
      <c r="H2529" s="87"/>
      <c r="I2529" s="87"/>
      <c r="J2529" s="87"/>
      <c r="K2529" s="87"/>
      <c r="L2529" s="87"/>
      <c r="M2529" s="87"/>
      <c r="N2529" s="87"/>
      <c r="O2529" s="87"/>
      <c r="P2529" s="87"/>
      <c r="Q2529" s="87"/>
      <c r="R2529" s="87"/>
      <c r="S2529" s="87"/>
      <c r="T2529" s="87"/>
      <c r="U2529" s="88"/>
      <c r="V2529" s="89"/>
      <c r="W2529" s="96">
        <v>0</v>
      </c>
      <c r="X2529" s="71">
        <f>CU2529</f>
        <v>0</v>
      </c>
      <c r="Y2529" s="71">
        <f>CY2529</f>
        <v>0</v>
      </c>
      <c r="Z2529" s="71">
        <f>DA2529+DC2529+DE2529</f>
        <v>0</v>
      </c>
      <c r="AA2529" s="71">
        <f>CW2529</f>
        <v>0</v>
      </c>
      <c r="AB2529" s="71"/>
      <c r="AC2529" s="71">
        <v>0</v>
      </c>
      <c r="AD2529" s="71">
        <f>W2529+X2529+Y2529+Z2529+AA2529+AB2529+AC2529</f>
        <v>0</v>
      </c>
      <c r="AE2529" s="72">
        <v>0</v>
      </c>
      <c r="AF2529" s="5"/>
      <c r="AG2529" s="6"/>
      <c r="AH2529" s="27"/>
      <c r="AI2529" s="44"/>
      <c r="AJ2529" s="26"/>
      <c r="AK2529" s="5"/>
      <c r="AL2529" s="82" t="s">
        <v>5418</v>
      </c>
      <c r="AM2529" s="76"/>
      <c r="AN2529" s="76"/>
      <c r="AO2529" s="76"/>
      <c r="AP2529" s="76"/>
      <c r="AQ2529" s="76"/>
      <c r="AR2529" s="76"/>
      <c r="AS2529" s="76"/>
      <c r="AT2529" s="76"/>
      <c r="AU2529" s="76"/>
      <c r="AV2529" s="76"/>
      <c r="AW2529" s="76"/>
      <c r="AX2529" s="76">
        <f>+AW2529*600000</f>
        <v>0</v>
      </c>
      <c r="AY2529" s="76"/>
      <c r="AZ2529" s="76">
        <f>+AY2529*70000</f>
        <v>0</v>
      </c>
      <c r="BA2529" s="76"/>
      <c r="BB2529" s="76"/>
      <c r="BC2529" s="76"/>
      <c r="BD2529" s="76">
        <f>+BC2529*30000</f>
        <v>0</v>
      </c>
      <c r="BE2529" s="76"/>
      <c r="BF2529" s="76"/>
      <c r="BG2529" s="76"/>
      <c r="BH2529" s="76"/>
      <c r="BI2529" s="76"/>
      <c r="BJ2529" s="76"/>
      <c r="BK2529" s="76"/>
      <c r="BL2529" s="76">
        <f>+BK2529*31500</f>
        <v>0</v>
      </c>
      <c r="BM2529" s="76"/>
      <c r="BN2529" s="76"/>
      <c r="BO2529" s="76"/>
      <c r="BP2529" s="76"/>
      <c r="BQ2529" s="76"/>
      <c r="BR2529" s="76"/>
      <c r="BS2529" s="76"/>
      <c r="BT2529" s="76"/>
      <c r="BU2529" s="76"/>
      <c r="BV2529" s="76"/>
      <c r="BW2529" s="76"/>
      <c r="BX2529" s="76"/>
      <c r="BY2529" s="76"/>
      <c r="BZ2529" s="76"/>
      <c r="CA2529" s="76"/>
      <c r="CB2529" s="76"/>
      <c r="CC2529" s="76"/>
      <c r="CD2529" s="76"/>
      <c r="CE2529" s="76"/>
      <c r="CF2529" s="76">
        <f>+CE2529*28000</f>
        <v>0</v>
      </c>
      <c r="CG2529" s="76"/>
      <c r="CH2529" s="76">
        <f>+CG2529*22500</f>
        <v>0</v>
      </c>
      <c r="CI2529" s="76"/>
      <c r="CJ2529" s="76">
        <f>+CI2529*26000</f>
        <v>0</v>
      </c>
      <c r="CK2529" s="76"/>
      <c r="CL2529" s="76"/>
      <c r="CM2529" s="76"/>
      <c r="CN2529" s="76">
        <f>+CM2529*22000</f>
        <v>0</v>
      </c>
      <c r="CO2529" s="76"/>
      <c r="CP2529" s="76">
        <f>+CO2529*46000</f>
        <v>0</v>
      </c>
      <c r="CQ2529" s="76"/>
      <c r="CR2529" s="76">
        <f>+CQ2529*49000</f>
        <v>0</v>
      </c>
      <c r="CS2529" s="76"/>
      <c r="CT2529" s="76"/>
      <c r="CU2529" s="56">
        <f>AN2529+AP2529+AR2529+AT2529+AV2529+AX2529+AZ2529+BB2529+BD2529+BF2529+BH2529+BJ2529+BL2529+BN2529+BP2529+BR2529+BT2529+BV2529+BX2529+BZ2529+CB2529+CD2529+CF2529+CH2529+CJ2529+CL2529+CN2529+CP2529+CR2529+CT2529</f>
        <v>0</v>
      </c>
      <c r="CV2529" s="76"/>
      <c r="CW2529" s="76">
        <f>+CV2529*1100</f>
        <v>0</v>
      </c>
      <c r="CX2529" s="76"/>
      <c r="CY2529" s="76">
        <f>+CX2529*106250</f>
        <v>0</v>
      </c>
      <c r="CZ2529" s="76"/>
      <c r="DA2529" s="76">
        <f>+CZ2529*34500</f>
        <v>0</v>
      </c>
      <c r="DB2529" s="76"/>
      <c r="DC2529" s="76">
        <f>+DB2529*25000</f>
        <v>0</v>
      </c>
      <c r="DD2529" s="219"/>
      <c r="DE2529" s="219"/>
      <c r="DF2529" s="166"/>
      <c r="DG2529" s="116"/>
      <c r="DH2529" s="117"/>
      <c r="DI2529" s="24"/>
      <c r="DJ2529" s="24"/>
      <c r="DK2529" s="24"/>
      <c r="DL2529" s="24"/>
      <c r="DM2529" s="24"/>
      <c r="DN2529" s="24"/>
      <c r="DO2529" s="24"/>
      <c r="DP2529" s="24"/>
      <c r="DQ2529" s="24"/>
      <c r="DR2529" s="24"/>
      <c r="DS2529" s="24"/>
      <c r="DT2529" s="24"/>
      <c r="DU2529" s="24"/>
    </row>
    <row r="2530" spans="1:125" s="8" customFormat="1" ht="36" x14ac:dyDescent="0.2">
      <c r="A2530" s="353">
        <v>41484</v>
      </c>
      <c r="B2530" s="225" t="s">
        <v>2894</v>
      </c>
      <c r="C2530" s="354" t="s">
        <v>2006</v>
      </c>
      <c r="D2530" s="227" t="s">
        <v>2846</v>
      </c>
      <c r="E2530" s="353" t="str">
        <f>VLOOKUP(B2530&amp;C2530,Divipola!$C$2:$F$1138,4,FALSE)</f>
        <v>05360</v>
      </c>
      <c r="F2530" s="87"/>
      <c r="G2530" s="87"/>
      <c r="H2530" s="87"/>
      <c r="I2530" s="87"/>
      <c r="J2530" s="87"/>
      <c r="K2530" s="87"/>
      <c r="L2530" s="87"/>
      <c r="M2530" s="87"/>
      <c r="N2530" s="87"/>
      <c r="O2530" s="87"/>
      <c r="P2530" s="87"/>
      <c r="Q2530" s="87"/>
      <c r="R2530" s="87"/>
      <c r="S2530" s="87"/>
      <c r="T2530" s="87"/>
      <c r="U2530" s="88">
        <v>15</v>
      </c>
      <c r="V2530" s="89"/>
      <c r="W2530" s="96">
        <v>0</v>
      </c>
      <c r="X2530" s="71">
        <f>CU2530</f>
        <v>0</v>
      </c>
      <c r="Y2530" s="71">
        <f>CY2530</f>
        <v>0</v>
      </c>
      <c r="Z2530" s="71">
        <f>DA2530+DC2530+DE2530</f>
        <v>0</v>
      </c>
      <c r="AA2530" s="71">
        <f>CW2530</f>
        <v>0</v>
      </c>
      <c r="AB2530" s="71"/>
      <c r="AC2530" s="71">
        <v>0</v>
      </c>
      <c r="AD2530" s="71">
        <f>W2530+X2530+Y2530+Z2530+AA2530+AB2530+AC2530</f>
        <v>0</v>
      </c>
      <c r="AE2530" s="72">
        <v>0</v>
      </c>
      <c r="AF2530" s="5"/>
      <c r="AG2530" s="6"/>
      <c r="AH2530" s="27"/>
      <c r="AI2530" s="44"/>
      <c r="AJ2530" s="26"/>
      <c r="AK2530" s="5"/>
      <c r="AL2530" s="82" t="s">
        <v>5424</v>
      </c>
      <c r="AM2530" s="76"/>
      <c r="AN2530" s="76"/>
      <c r="AO2530" s="76"/>
      <c r="AP2530" s="76"/>
      <c r="AQ2530" s="76"/>
      <c r="AR2530" s="76"/>
      <c r="AS2530" s="76"/>
      <c r="AT2530" s="76"/>
      <c r="AU2530" s="76"/>
      <c r="AV2530" s="76"/>
      <c r="AW2530" s="76"/>
      <c r="AX2530" s="76">
        <f>+AW2530*600000</f>
        <v>0</v>
      </c>
      <c r="AY2530" s="76"/>
      <c r="AZ2530" s="76">
        <f>+AY2530*70000</f>
        <v>0</v>
      </c>
      <c r="BA2530" s="76"/>
      <c r="BB2530" s="76"/>
      <c r="BC2530" s="76"/>
      <c r="BD2530" s="76">
        <f>+BC2530*30000</f>
        <v>0</v>
      </c>
      <c r="BE2530" s="76"/>
      <c r="BF2530" s="76"/>
      <c r="BG2530" s="76"/>
      <c r="BH2530" s="76"/>
      <c r="BI2530" s="76"/>
      <c r="BJ2530" s="76"/>
      <c r="BK2530" s="76"/>
      <c r="BL2530" s="76">
        <f>+BK2530*31500</f>
        <v>0</v>
      </c>
      <c r="BM2530" s="76"/>
      <c r="BN2530" s="76"/>
      <c r="BO2530" s="76"/>
      <c r="BP2530" s="76"/>
      <c r="BQ2530" s="76"/>
      <c r="BR2530" s="76"/>
      <c r="BS2530" s="76"/>
      <c r="BT2530" s="76"/>
      <c r="BU2530" s="76"/>
      <c r="BV2530" s="76"/>
      <c r="BW2530" s="76"/>
      <c r="BX2530" s="76"/>
      <c r="BY2530" s="76"/>
      <c r="BZ2530" s="76"/>
      <c r="CA2530" s="76"/>
      <c r="CB2530" s="76"/>
      <c r="CC2530" s="76"/>
      <c r="CD2530" s="76"/>
      <c r="CE2530" s="76"/>
      <c r="CF2530" s="76">
        <f>+CE2530*28000</f>
        <v>0</v>
      </c>
      <c r="CG2530" s="76"/>
      <c r="CH2530" s="76">
        <f>+CG2530*22500</f>
        <v>0</v>
      </c>
      <c r="CI2530" s="76"/>
      <c r="CJ2530" s="76">
        <f>+CI2530*26000</f>
        <v>0</v>
      </c>
      <c r="CK2530" s="76"/>
      <c r="CL2530" s="76"/>
      <c r="CM2530" s="76"/>
      <c r="CN2530" s="76">
        <f>+CM2530*22000</f>
        <v>0</v>
      </c>
      <c r="CO2530" s="76"/>
      <c r="CP2530" s="76">
        <f>+CO2530*46000</f>
        <v>0</v>
      </c>
      <c r="CQ2530" s="76"/>
      <c r="CR2530" s="76">
        <f>+CQ2530*49000</f>
        <v>0</v>
      </c>
      <c r="CS2530" s="76"/>
      <c r="CT2530" s="76"/>
      <c r="CU2530" s="56">
        <f>AN2530+AP2530+AR2530+AT2530+AV2530+AX2530+AZ2530+BB2530+BD2530+BF2530+BH2530+BJ2530+BL2530+BN2530+BP2530+BR2530+BT2530+BV2530+BX2530+BZ2530+CB2530+CD2530+CF2530+CH2530+CJ2530+CL2530+CN2530+CP2530+CR2530+CT2530</f>
        <v>0</v>
      </c>
      <c r="CV2530" s="76"/>
      <c r="CW2530" s="76">
        <f>+CV2530*1100</f>
        <v>0</v>
      </c>
      <c r="CX2530" s="76"/>
      <c r="CY2530" s="76">
        <f>+CX2530*106250</f>
        <v>0</v>
      </c>
      <c r="CZ2530" s="76"/>
      <c r="DA2530" s="76">
        <f>+CZ2530*34500</f>
        <v>0</v>
      </c>
      <c r="DB2530" s="76"/>
      <c r="DC2530" s="76">
        <f>+DB2530*25000</f>
        <v>0</v>
      </c>
      <c r="DD2530" s="219"/>
      <c r="DE2530" s="219"/>
      <c r="DF2530" s="166"/>
      <c r="DG2530" s="116"/>
      <c r="DH2530" s="117"/>
      <c r="DI2530" s="24"/>
      <c r="DJ2530" s="24"/>
      <c r="DK2530" s="24"/>
      <c r="DL2530" s="24"/>
      <c r="DM2530" s="24"/>
      <c r="DN2530" s="24"/>
      <c r="DO2530" s="24"/>
      <c r="DP2530" s="24"/>
      <c r="DQ2530" s="24"/>
      <c r="DR2530" s="24"/>
      <c r="DS2530" s="24"/>
      <c r="DT2530" s="24"/>
      <c r="DU2530" s="24"/>
    </row>
    <row r="2531" spans="1:125" s="8" customFormat="1" ht="48" x14ac:dyDescent="0.2">
      <c r="A2531" s="353">
        <v>41484</v>
      </c>
      <c r="B2531" s="225" t="s">
        <v>2894</v>
      </c>
      <c r="C2531" s="354" t="s">
        <v>2032</v>
      </c>
      <c r="D2531" s="227" t="s">
        <v>2846</v>
      </c>
      <c r="E2531" s="353" t="str">
        <f>VLOOKUP(B2531&amp;C2531,Divipola!$C$2:$F$1138,4,FALSE)</f>
        <v>05001</v>
      </c>
      <c r="F2531" s="87"/>
      <c r="G2531" s="87"/>
      <c r="H2531" s="87"/>
      <c r="I2531" s="87"/>
      <c r="J2531" s="87"/>
      <c r="K2531" s="87"/>
      <c r="L2531" s="87"/>
      <c r="M2531" s="87"/>
      <c r="N2531" s="87"/>
      <c r="O2531" s="87"/>
      <c r="P2531" s="87"/>
      <c r="Q2531" s="87"/>
      <c r="R2531" s="87"/>
      <c r="S2531" s="87"/>
      <c r="T2531" s="87"/>
      <c r="U2531" s="88"/>
      <c r="V2531" s="89"/>
      <c r="W2531" s="96">
        <v>0</v>
      </c>
      <c r="X2531" s="71">
        <f>CU2531</f>
        <v>0</v>
      </c>
      <c r="Y2531" s="71">
        <f>CY2531</f>
        <v>0</v>
      </c>
      <c r="Z2531" s="71">
        <f>DA2531+DC2531+DE2531</f>
        <v>0</v>
      </c>
      <c r="AA2531" s="71">
        <f>CW2531</f>
        <v>0</v>
      </c>
      <c r="AB2531" s="71"/>
      <c r="AC2531" s="71">
        <v>0</v>
      </c>
      <c r="AD2531" s="71">
        <f>W2531+X2531+Y2531+Z2531+AA2531+AB2531+AC2531</f>
        <v>0</v>
      </c>
      <c r="AE2531" s="72">
        <v>0</v>
      </c>
      <c r="AF2531" s="5"/>
      <c r="AG2531" s="6"/>
      <c r="AH2531" s="27"/>
      <c r="AI2531" s="44"/>
      <c r="AJ2531" s="26"/>
      <c r="AK2531" s="5"/>
      <c r="AL2531" s="82" t="s">
        <v>5422</v>
      </c>
      <c r="AM2531" s="76"/>
      <c r="AN2531" s="76"/>
      <c r="AO2531" s="76"/>
      <c r="AP2531" s="76"/>
      <c r="AQ2531" s="76"/>
      <c r="AR2531" s="76"/>
      <c r="AS2531" s="76"/>
      <c r="AT2531" s="76"/>
      <c r="AU2531" s="76"/>
      <c r="AV2531" s="76"/>
      <c r="AW2531" s="76"/>
      <c r="AX2531" s="76">
        <f>+AW2531*600000</f>
        <v>0</v>
      </c>
      <c r="AY2531" s="76"/>
      <c r="AZ2531" s="76">
        <f>+AY2531*70000</f>
        <v>0</v>
      </c>
      <c r="BA2531" s="76"/>
      <c r="BB2531" s="76"/>
      <c r="BC2531" s="76"/>
      <c r="BD2531" s="76">
        <f>+BC2531*30000</f>
        <v>0</v>
      </c>
      <c r="BE2531" s="76"/>
      <c r="BF2531" s="76"/>
      <c r="BG2531" s="76"/>
      <c r="BH2531" s="76"/>
      <c r="BI2531" s="76"/>
      <c r="BJ2531" s="76"/>
      <c r="BK2531" s="76"/>
      <c r="BL2531" s="76">
        <f>+BK2531*31500</f>
        <v>0</v>
      </c>
      <c r="BM2531" s="76"/>
      <c r="BN2531" s="76"/>
      <c r="BO2531" s="76"/>
      <c r="BP2531" s="76"/>
      <c r="BQ2531" s="76"/>
      <c r="BR2531" s="76"/>
      <c r="BS2531" s="76"/>
      <c r="BT2531" s="76"/>
      <c r="BU2531" s="76"/>
      <c r="BV2531" s="76"/>
      <c r="BW2531" s="76"/>
      <c r="BX2531" s="76"/>
      <c r="BY2531" s="76"/>
      <c r="BZ2531" s="76"/>
      <c r="CA2531" s="76"/>
      <c r="CB2531" s="76"/>
      <c r="CC2531" s="76"/>
      <c r="CD2531" s="76"/>
      <c r="CE2531" s="76"/>
      <c r="CF2531" s="76">
        <f>+CE2531*28000</f>
        <v>0</v>
      </c>
      <c r="CG2531" s="76"/>
      <c r="CH2531" s="76">
        <f>+CG2531*22500</f>
        <v>0</v>
      </c>
      <c r="CI2531" s="76"/>
      <c r="CJ2531" s="76">
        <f>+CI2531*26000</f>
        <v>0</v>
      </c>
      <c r="CK2531" s="76"/>
      <c r="CL2531" s="76"/>
      <c r="CM2531" s="76"/>
      <c r="CN2531" s="76">
        <f>+CM2531*22000</f>
        <v>0</v>
      </c>
      <c r="CO2531" s="76"/>
      <c r="CP2531" s="76">
        <f>+CO2531*46000</f>
        <v>0</v>
      </c>
      <c r="CQ2531" s="76"/>
      <c r="CR2531" s="76">
        <f>+CQ2531*49000</f>
        <v>0</v>
      </c>
      <c r="CS2531" s="76"/>
      <c r="CT2531" s="76"/>
      <c r="CU2531" s="56">
        <f>AN2531+AP2531+AR2531+AT2531+AV2531+AX2531+AZ2531+BB2531+BD2531+BF2531+BH2531+BJ2531+BL2531+BN2531+BP2531+BR2531+BT2531+BV2531+BX2531+BZ2531+CB2531+CD2531+CF2531+CH2531+CJ2531+CL2531+CN2531+CP2531+CR2531+CT2531</f>
        <v>0</v>
      </c>
      <c r="CV2531" s="76"/>
      <c r="CW2531" s="76">
        <f>+CV2531*1100</f>
        <v>0</v>
      </c>
      <c r="CX2531" s="76"/>
      <c r="CY2531" s="76">
        <f>+CX2531*106250</f>
        <v>0</v>
      </c>
      <c r="CZ2531" s="76"/>
      <c r="DA2531" s="76">
        <f>+CZ2531*34500</f>
        <v>0</v>
      </c>
      <c r="DB2531" s="76"/>
      <c r="DC2531" s="76">
        <f>+DB2531*25000</f>
        <v>0</v>
      </c>
      <c r="DD2531" s="219"/>
      <c r="DE2531" s="219"/>
      <c r="DF2531" s="166"/>
      <c r="DG2531" s="116"/>
      <c r="DH2531" s="117"/>
      <c r="DI2531" s="24"/>
      <c r="DJ2531" s="24"/>
      <c r="DK2531" s="24"/>
      <c r="DL2531" s="24"/>
      <c r="DM2531" s="24"/>
      <c r="DN2531" s="24"/>
      <c r="DO2531" s="24"/>
      <c r="DP2531" s="24"/>
      <c r="DQ2531" s="24"/>
      <c r="DR2531" s="24"/>
      <c r="DS2531" s="24"/>
      <c r="DT2531" s="24"/>
      <c r="DU2531" s="24"/>
    </row>
    <row r="2532" spans="1:125" s="8" customFormat="1" ht="72" x14ac:dyDescent="0.2">
      <c r="A2532" s="226">
        <v>41484</v>
      </c>
      <c r="B2532" s="225" t="s">
        <v>2894</v>
      </c>
      <c r="C2532" s="227" t="s">
        <v>2508</v>
      </c>
      <c r="D2532" s="354" t="s">
        <v>2882</v>
      </c>
      <c r="E2532" s="353" t="str">
        <f>VLOOKUP(B2532&amp;C2532,Divipola!$C$2:$F$1138,4,FALSE)</f>
        <v>05475</v>
      </c>
      <c r="F2532" s="87"/>
      <c r="G2532" s="87"/>
      <c r="H2532" s="87"/>
      <c r="I2532" s="87">
        <v>245</v>
      </c>
      <c r="J2532" s="87">
        <v>49</v>
      </c>
      <c r="K2532" s="87"/>
      <c r="L2532" s="87">
        <v>49</v>
      </c>
      <c r="M2532" s="87"/>
      <c r="N2532" s="87"/>
      <c r="O2532" s="87"/>
      <c r="P2532" s="87"/>
      <c r="Q2532" s="87"/>
      <c r="R2532" s="87"/>
      <c r="S2532" s="87"/>
      <c r="T2532" s="87"/>
      <c r="U2532" s="88"/>
      <c r="V2532" s="89"/>
      <c r="W2532" s="96">
        <v>0</v>
      </c>
      <c r="X2532" s="71">
        <f>CU2532</f>
        <v>0</v>
      </c>
      <c r="Y2532" s="71">
        <f>CY2532</f>
        <v>0</v>
      </c>
      <c r="Z2532" s="71">
        <f>DA2532+DC2532+DE2532</f>
        <v>0</v>
      </c>
      <c r="AA2532" s="71">
        <f>CW2532</f>
        <v>0</v>
      </c>
      <c r="AB2532" s="71"/>
      <c r="AC2532" s="71">
        <v>0</v>
      </c>
      <c r="AD2532" s="71">
        <f>W2532+X2532+Y2532+Z2532+AA2532+AB2532+AC2532</f>
        <v>0</v>
      </c>
      <c r="AE2532" s="72">
        <v>0</v>
      </c>
      <c r="AF2532" s="5"/>
      <c r="AG2532" s="6"/>
      <c r="AH2532" s="27"/>
      <c r="AI2532" s="44"/>
      <c r="AJ2532" s="26"/>
      <c r="AK2532" s="5"/>
      <c r="AL2532" s="82" t="s">
        <v>5419</v>
      </c>
      <c r="AM2532" s="76"/>
      <c r="AN2532" s="76"/>
      <c r="AO2532" s="76"/>
      <c r="AP2532" s="76"/>
      <c r="AQ2532" s="76"/>
      <c r="AR2532" s="76"/>
      <c r="AS2532" s="76"/>
      <c r="AT2532" s="76"/>
      <c r="AU2532" s="76"/>
      <c r="AV2532" s="76"/>
      <c r="AW2532" s="76"/>
      <c r="AX2532" s="76">
        <f>+AW2532*600000</f>
        <v>0</v>
      </c>
      <c r="AY2532" s="76"/>
      <c r="AZ2532" s="76">
        <f>+AY2532*70000</f>
        <v>0</v>
      </c>
      <c r="BA2532" s="76"/>
      <c r="BB2532" s="76"/>
      <c r="BC2532" s="76"/>
      <c r="BD2532" s="76">
        <f>+BC2532*30000</f>
        <v>0</v>
      </c>
      <c r="BE2532" s="76"/>
      <c r="BF2532" s="76"/>
      <c r="BG2532" s="76"/>
      <c r="BH2532" s="76"/>
      <c r="BI2532" s="76"/>
      <c r="BJ2532" s="76"/>
      <c r="BK2532" s="76"/>
      <c r="BL2532" s="76">
        <f>+BK2532*31500</f>
        <v>0</v>
      </c>
      <c r="BM2532" s="76"/>
      <c r="BN2532" s="76"/>
      <c r="BO2532" s="76"/>
      <c r="BP2532" s="76"/>
      <c r="BQ2532" s="76"/>
      <c r="BR2532" s="76"/>
      <c r="BS2532" s="76"/>
      <c r="BT2532" s="76"/>
      <c r="BU2532" s="76"/>
      <c r="BV2532" s="76"/>
      <c r="BW2532" s="76"/>
      <c r="BX2532" s="76"/>
      <c r="BY2532" s="76"/>
      <c r="BZ2532" s="76"/>
      <c r="CA2532" s="76"/>
      <c r="CB2532" s="76"/>
      <c r="CC2532" s="76"/>
      <c r="CD2532" s="76"/>
      <c r="CE2532" s="76"/>
      <c r="CF2532" s="76">
        <f>+CE2532*28000</f>
        <v>0</v>
      </c>
      <c r="CG2532" s="76"/>
      <c r="CH2532" s="76">
        <f>+CG2532*22500</f>
        <v>0</v>
      </c>
      <c r="CI2532" s="76"/>
      <c r="CJ2532" s="76">
        <f>+CI2532*26000</f>
        <v>0</v>
      </c>
      <c r="CK2532" s="76"/>
      <c r="CL2532" s="76"/>
      <c r="CM2532" s="76"/>
      <c r="CN2532" s="76">
        <f>+CM2532*22000</f>
        <v>0</v>
      </c>
      <c r="CO2532" s="76"/>
      <c r="CP2532" s="76">
        <f>+CO2532*46000</f>
        <v>0</v>
      </c>
      <c r="CQ2532" s="76"/>
      <c r="CR2532" s="76">
        <f>+CQ2532*49000</f>
        <v>0</v>
      </c>
      <c r="CS2532" s="76"/>
      <c r="CT2532" s="76"/>
      <c r="CU2532" s="56">
        <f>AN2532+AP2532+AR2532+AT2532+AV2532+AX2532+AZ2532+BB2532+BD2532+BF2532+BH2532+BJ2532+BL2532+BN2532+BP2532+BR2532+BT2532+BV2532+BX2532+BZ2532+CB2532+CD2532+CF2532+CH2532+CJ2532+CL2532+CN2532+CP2532+CR2532+CT2532</f>
        <v>0</v>
      </c>
      <c r="CV2532" s="76"/>
      <c r="CW2532" s="76">
        <f>+CV2532*1100</f>
        <v>0</v>
      </c>
      <c r="CX2532" s="76"/>
      <c r="CY2532" s="76">
        <f>+CX2532*106250</f>
        <v>0</v>
      </c>
      <c r="CZ2532" s="76"/>
      <c r="DA2532" s="76">
        <f>+CZ2532*34500</f>
        <v>0</v>
      </c>
      <c r="DB2532" s="76"/>
      <c r="DC2532" s="76">
        <f>+DB2532*25000</f>
        <v>0</v>
      </c>
      <c r="DD2532" s="219"/>
      <c r="DE2532" s="219"/>
      <c r="DF2532" s="166"/>
      <c r="DG2532" s="116"/>
      <c r="DH2532" s="117"/>
      <c r="DI2532" s="24"/>
      <c r="DJ2532" s="24"/>
      <c r="DK2532" s="24"/>
      <c r="DL2532" s="24"/>
      <c r="DM2532" s="24"/>
      <c r="DN2532" s="24"/>
      <c r="DO2532" s="24"/>
      <c r="DP2532" s="24"/>
      <c r="DQ2532" s="24"/>
      <c r="DR2532" s="24"/>
      <c r="DS2532" s="24"/>
      <c r="DT2532" s="24"/>
      <c r="DU2532" s="24"/>
    </row>
    <row r="2533" spans="1:125" s="8" customFormat="1" ht="72" x14ac:dyDescent="0.2">
      <c r="A2533" s="353">
        <v>41484</v>
      </c>
      <c r="B2533" s="225" t="s">
        <v>2777</v>
      </c>
      <c r="C2533" s="227" t="s">
        <v>2760</v>
      </c>
      <c r="D2533" s="227" t="s">
        <v>2882</v>
      </c>
      <c r="E2533" s="353" t="str">
        <f>VLOOKUP(B2533&amp;C2533,Divipola!$C$2:$F$1138,4,FALSE)</f>
        <v>13430</v>
      </c>
      <c r="F2533" s="87"/>
      <c r="G2533" s="87"/>
      <c r="H2533" s="87"/>
      <c r="I2533" s="87">
        <v>350</v>
      </c>
      <c r="J2533" s="87">
        <v>70</v>
      </c>
      <c r="K2533" s="87"/>
      <c r="L2533" s="87">
        <v>70</v>
      </c>
      <c r="M2533" s="87"/>
      <c r="N2533" s="87"/>
      <c r="O2533" s="87"/>
      <c r="P2533" s="87"/>
      <c r="Q2533" s="87"/>
      <c r="R2533" s="87"/>
      <c r="S2533" s="87"/>
      <c r="T2533" s="87"/>
      <c r="U2533" s="88"/>
      <c r="V2533" s="89"/>
      <c r="W2533" s="96">
        <v>0</v>
      </c>
      <c r="X2533" s="71">
        <f>CU2533</f>
        <v>0</v>
      </c>
      <c r="Y2533" s="71">
        <f>CY2533</f>
        <v>0</v>
      </c>
      <c r="Z2533" s="71">
        <f>DA2533+DC2533+DE2533</f>
        <v>0</v>
      </c>
      <c r="AA2533" s="71">
        <f>CW2533</f>
        <v>0</v>
      </c>
      <c r="AB2533" s="71"/>
      <c r="AC2533" s="71">
        <v>0</v>
      </c>
      <c r="AD2533" s="71">
        <f>W2533+X2533+Y2533+Z2533+AA2533+AB2533+AC2533</f>
        <v>0</v>
      </c>
      <c r="AE2533" s="72">
        <v>0</v>
      </c>
      <c r="AF2533" s="5"/>
      <c r="AG2533" s="6"/>
      <c r="AH2533" s="27"/>
      <c r="AI2533" s="44"/>
      <c r="AJ2533" s="26"/>
      <c r="AK2533" s="5"/>
      <c r="AL2533" s="82" t="s">
        <v>5452</v>
      </c>
      <c r="AM2533" s="76"/>
      <c r="AN2533" s="76"/>
      <c r="AO2533" s="76"/>
      <c r="AP2533" s="76"/>
      <c r="AQ2533" s="76"/>
      <c r="AR2533" s="76"/>
      <c r="AS2533" s="76"/>
      <c r="AT2533" s="76"/>
      <c r="AU2533" s="76"/>
      <c r="AV2533" s="76"/>
      <c r="AW2533" s="76"/>
      <c r="AX2533" s="76">
        <f>+AW2533*600000</f>
        <v>0</v>
      </c>
      <c r="AY2533" s="76"/>
      <c r="AZ2533" s="76">
        <f>+AY2533*70000</f>
        <v>0</v>
      </c>
      <c r="BA2533" s="76"/>
      <c r="BB2533" s="76"/>
      <c r="BC2533" s="76"/>
      <c r="BD2533" s="76">
        <f>+BC2533*30000</f>
        <v>0</v>
      </c>
      <c r="BE2533" s="76"/>
      <c r="BF2533" s="76"/>
      <c r="BG2533" s="76"/>
      <c r="BH2533" s="76"/>
      <c r="BI2533" s="76"/>
      <c r="BJ2533" s="76"/>
      <c r="BK2533" s="76"/>
      <c r="BL2533" s="76">
        <f>+BK2533*31500</f>
        <v>0</v>
      </c>
      <c r="BM2533" s="76"/>
      <c r="BN2533" s="76"/>
      <c r="BO2533" s="76"/>
      <c r="BP2533" s="76"/>
      <c r="BQ2533" s="76"/>
      <c r="BR2533" s="76"/>
      <c r="BS2533" s="76"/>
      <c r="BT2533" s="76"/>
      <c r="BU2533" s="76"/>
      <c r="BV2533" s="76"/>
      <c r="BW2533" s="76"/>
      <c r="BX2533" s="76"/>
      <c r="BY2533" s="76"/>
      <c r="BZ2533" s="76"/>
      <c r="CA2533" s="76"/>
      <c r="CB2533" s="76"/>
      <c r="CC2533" s="76"/>
      <c r="CD2533" s="76"/>
      <c r="CE2533" s="76"/>
      <c r="CF2533" s="76">
        <f>+CE2533*28000</f>
        <v>0</v>
      </c>
      <c r="CG2533" s="76"/>
      <c r="CH2533" s="76">
        <f>+CG2533*22500</f>
        <v>0</v>
      </c>
      <c r="CI2533" s="76"/>
      <c r="CJ2533" s="76">
        <f>+CI2533*26000</f>
        <v>0</v>
      </c>
      <c r="CK2533" s="76"/>
      <c r="CL2533" s="76"/>
      <c r="CM2533" s="76"/>
      <c r="CN2533" s="76">
        <f>+CM2533*22000</f>
        <v>0</v>
      </c>
      <c r="CO2533" s="76"/>
      <c r="CP2533" s="76">
        <f>+CO2533*46000</f>
        <v>0</v>
      </c>
      <c r="CQ2533" s="76"/>
      <c r="CR2533" s="76">
        <f>+CQ2533*49000</f>
        <v>0</v>
      </c>
      <c r="CS2533" s="76"/>
      <c r="CT2533" s="76"/>
      <c r="CU2533" s="56">
        <f>AN2533+AP2533+AR2533+AT2533+AV2533+AX2533+AZ2533+BB2533+BD2533+BF2533+BH2533+BJ2533+BL2533+BN2533+BP2533+BR2533+BT2533+BV2533+BX2533+BZ2533+CB2533+CD2533+CF2533+CH2533+CJ2533+CL2533+CN2533+CP2533+CR2533+CT2533</f>
        <v>0</v>
      </c>
      <c r="CV2533" s="76"/>
      <c r="CW2533" s="76">
        <f>+CV2533*1100</f>
        <v>0</v>
      </c>
      <c r="CX2533" s="76"/>
      <c r="CY2533" s="76">
        <f>+CX2533*106250</f>
        <v>0</v>
      </c>
      <c r="CZ2533" s="76"/>
      <c r="DA2533" s="76">
        <f>+CZ2533*34500</f>
        <v>0</v>
      </c>
      <c r="DB2533" s="76"/>
      <c r="DC2533" s="76">
        <f>+DB2533*25000</f>
        <v>0</v>
      </c>
      <c r="DD2533" s="219"/>
      <c r="DE2533" s="219"/>
      <c r="DF2533" s="166"/>
      <c r="DG2533" s="116"/>
      <c r="DH2533" s="117"/>
      <c r="DI2533" s="24"/>
      <c r="DJ2533" s="24"/>
      <c r="DK2533" s="24"/>
      <c r="DL2533" s="24"/>
      <c r="DM2533" s="24"/>
      <c r="DN2533" s="24"/>
      <c r="DO2533" s="24"/>
      <c r="DP2533" s="24"/>
      <c r="DQ2533" s="24"/>
      <c r="DR2533" s="24"/>
      <c r="DS2533" s="24"/>
      <c r="DT2533" s="24"/>
      <c r="DU2533" s="24"/>
    </row>
    <row r="2534" spans="1:125" s="8" customFormat="1" ht="36" x14ac:dyDescent="0.2">
      <c r="A2534" s="353">
        <v>41484</v>
      </c>
      <c r="B2534" s="352" t="s">
        <v>2777</v>
      </c>
      <c r="C2534" s="354" t="s">
        <v>2008</v>
      </c>
      <c r="D2534" s="354" t="s">
        <v>2882</v>
      </c>
      <c r="E2534" s="353" t="str">
        <f>VLOOKUP(B2534&amp;C2534,Divipola!$C$2:$F$1138,4,FALSE)</f>
        <v>13468</v>
      </c>
      <c r="F2534" s="87"/>
      <c r="G2534" s="87"/>
      <c r="H2534" s="87"/>
      <c r="I2534" s="87"/>
      <c r="J2534" s="87"/>
      <c r="K2534" s="87"/>
      <c r="L2534" s="87"/>
      <c r="M2534" s="87"/>
      <c r="N2534" s="87"/>
      <c r="O2534" s="87"/>
      <c r="P2534" s="87"/>
      <c r="Q2534" s="87"/>
      <c r="R2534" s="87"/>
      <c r="S2534" s="87"/>
      <c r="T2534" s="87"/>
      <c r="U2534" s="88"/>
      <c r="V2534" s="89"/>
      <c r="W2534" s="96">
        <v>0</v>
      </c>
      <c r="X2534" s="71">
        <f>CU2534</f>
        <v>0</v>
      </c>
      <c r="Y2534" s="71">
        <f>CY2534</f>
        <v>0</v>
      </c>
      <c r="Z2534" s="71">
        <f>DA2534+DC2534+DE2534</f>
        <v>0</v>
      </c>
      <c r="AA2534" s="71">
        <f>CW2534</f>
        <v>0</v>
      </c>
      <c r="AB2534" s="71"/>
      <c r="AC2534" s="71">
        <v>0</v>
      </c>
      <c r="AD2534" s="71">
        <f>W2534+X2534+Y2534+Z2534+AA2534+AB2534+AC2534</f>
        <v>0</v>
      </c>
      <c r="AE2534" s="72">
        <v>0</v>
      </c>
      <c r="AF2534" s="5"/>
      <c r="AG2534" s="6"/>
      <c r="AH2534" s="27"/>
      <c r="AI2534" s="44"/>
      <c r="AJ2534" s="26"/>
      <c r="AK2534" s="5"/>
      <c r="AL2534" s="82" t="s">
        <v>5409</v>
      </c>
      <c r="AM2534" s="76"/>
      <c r="AN2534" s="76"/>
      <c r="AO2534" s="76"/>
      <c r="AP2534" s="76"/>
      <c r="AQ2534" s="76"/>
      <c r="AR2534" s="76"/>
      <c r="AS2534" s="76"/>
      <c r="AT2534" s="76"/>
      <c r="AU2534" s="76"/>
      <c r="AV2534" s="76"/>
      <c r="AW2534" s="76"/>
      <c r="AX2534" s="76">
        <f>+AW2534*600000</f>
        <v>0</v>
      </c>
      <c r="AY2534" s="76"/>
      <c r="AZ2534" s="76">
        <f>+AY2534*70000</f>
        <v>0</v>
      </c>
      <c r="BA2534" s="76"/>
      <c r="BB2534" s="76"/>
      <c r="BC2534" s="76"/>
      <c r="BD2534" s="76">
        <f>+BC2534*30000</f>
        <v>0</v>
      </c>
      <c r="BE2534" s="76"/>
      <c r="BF2534" s="76"/>
      <c r="BG2534" s="76"/>
      <c r="BH2534" s="76"/>
      <c r="BI2534" s="76"/>
      <c r="BJ2534" s="76"/>
      <c r="BK2534" s="76"/>
      <c r="BL2534" s="76">
        <f>+BK2534*31500</f>
        <v>0</v>
      </c>
      <c r="BM2534" s="76"/>
      <c r="BN2534" s="76"/>
      <c r="BO2534" s="76"/>
      <c r="BP2534" s="76"/>
      <c r="BQ2534" s="76"/>
      <c r="BR2534" s="76"/>
      <c r="BS2534" s="76"/>
      <c r="BT2534" s="76"/>
      <c r="BU2534" s="76"/>
      <c r="BV2534" s="76"/>
      <c r="BW2534" s="76"/>
      <c r="BX2534" s="76"/>
      <c r="BY2534" s="76"/>
      <c r="BZ2534" s="76"/>
      <c r="CA2534" s="76"/>
      <c r="CB2534" s="76"/>
      <c r="CC2534" s="76"/>
      <c r="CD2534" s="76"/>
      <c r="CE2534" s="76"/>
      <c r="CF2534" s="76">
        <f>+CE2534*28000</f>
        <v>0</v>
      </c>
      <c r="CG2534" s="76"/>
      <c r="CH2534" s="76">
        <f>+CG2534*22500</f>
        <v>0</v>
      </c>
      <c r="CI2534" s="76"/>
      <c r="CJ2534" s="76">
        <f>+CI2534*26000</f>
        <v>0</v>
      </c>
      <c r="CK2534" s="76"/>
      <c r="CL2534" s="76"/>
      <c r="CM2534" s="76"/>
      <c r="CN2534" s="76">
        <f>+CM2534*22000</f>
        <v>0</v>
      </c>
      <c r="CO2534" s="76"/>
      <c r="CP2534" s="76">
        <f>+CO2534*46000</f>
        <v>0</v>
      </c>
      <c r="CQ2534" s="76"/>
      <c r="CR2534" s="76">
        <f>+CQ2534*49000</f>
        <v>0</v>
      </c>
      <c r="CS2534" s="76"/>
      <c r="CT2534" s="76"/>
      <c r="CU2534" s="56">
        <f>AN2534+AP2534+AR2534+AT2534+AV2534+AX2534+AZ2534+BB2534+BD2534+BF2534+BH2534+BJ2534+BL2534+BN2534+BP2534+BR2534+BT2534+BV2534+BX2534+BZ2534+CB2534+CD2534+CF2534+CH2534+CJ2534+CL2534+CN2534+CP2534+CR2534+CT2534</f>
        <v>0</v>
      </c>
      <c r="CV2534" s="76"/>
      <c r="CW2534" s="76">
        <f>+CV2534*1100</f>
        <v>0</v>
      </c>
      <c r="CX2534" s="76"/>
      <c r="CY2534" s="76">
        <f>+CX2534*106250</f>
        <v>0</v>
      </c>
      <c r="CZ2534" s="76"/>
      <c r="DA2534" s="76">
        <f>+CZ2534*34500</f>
        <v>0</v>
      </c>
      <c r="DB2534" s="76"/>
      <c r="DC2534" s="76">
        <f>+DB2534*25000</f>
        <v>0</v>
      </c>
      <c r="DD2534" s="219"/>
      <c r="DE2534" s="219"/>
      <c r="DF2534" s="166"/>
      <c r="DG2534" s="116"/>
      <c r="DH2534" s="117"/>
      <c r="DI2534" s="24"/>
      <c r="DJ2534" s="24"/>
      <c r="DK2534" s="24"/>
      <c r="DL2534" s="24"/>
      <c r="DM2534" s="24"/>
      <c r="DN2534" s="24"/>
      <c r="DO2534" s="24"/>
      <c r="DP2534" s="24"/>
      <c r="DQ2534" s="24"/>
      <c r="DR2534" s="24"/>
      <c r="DS2534" s="24"/>
      <c r="DT2534" s="24"/>
      <c r="DU2534" s="24"/>
    </row>
    <row r="2535" spans="1:125" s="8" customFormat="1" ht="36" x14ac:dyDescent="0.2">
      <c r="A2535" s="353">
        <v>41484</v>
      </c>
      <c r="B2535" s="352" t="s">
        <v>2777</v>
      </c>
      <c r="C2535" s="354" t="s">
        <v>2743</v>
      </c>
      <c r="D2535" s="354" t="s">
        <v>2882</v>
      </c>
      <c r="E2535" s="353" t="str">
        <f>VLOOKUP(B2535&amp;C2535,Divipola!$C$2:$F$1138,4,FALSE)</f>
        <v>13650</v>
      </c>
      <c r="F2535" s="87"/>
      <c r="G2535" s="87"/>
      <c r="H2535" s="87"/>
      <c r="I2535" s="87"/>
      <c r="J2535" s="87"/>
      <c r="K2535" s="87"/>
      <c r="L2535" s="87"/>
      <c r="M2535" s="87"/>
      <c r="N2535" s="87"/>
      <c r="O2535" s="87"/>
      <c r="P2535" s="87"/>
      <c r="Q2535" s="87"/>
      <c r="R2535" s="87"/>
      <c r="S2535" s="87"/>
      <c r="T2535" s="87"/>
      <c r="U2535" s="88"/>
      <c r="V2535" s="89"/>
      <c r="W2535" s="96">
        <v>0</v>
      </c>
      <c r="X2535" s="71">
        <f>CU2535</f>
        <v>0</v>
      </c>
      <c r="Y2535" s="71">
        <f>CY2535</f>
        <v>0</v>
      </c>
      <c r="Z2535" s="71">
        <f>DA2535+DC2535+DE2535</f>
        <v>0</v>
      </c>
      <c r="AA2535" s="71">
        <f>CW2535</f>
        <v>0</v>
      </c>
      <c r="AB2535" s="71"/>
      <c r="AC2535" s="71">
        <v>0</v>
      </c>
      <c r="AD2535" s="71">
        <f>W2535+X2535+Y2535+Z2535+AA2535+AB2535+AC2535</f>
        <v>0</v>
      </c>
      <c r="AE2535" s="72">
        <v>0</v>
      </c>
      <c r="AF2535" s="5"/>
      <c r="AG2535" s="6"/>
      <c r="AH2535" s="27"/>
      <c r="AI2535" s="44"/>
      <c r="AJ2535" s="26"/>
      <c r="AK2535" s="5"/>
      <c r="AL2535" s="82" t="s">
        <v>5409</v>
      </c>
      <c r="AM2535" s="76"/>
      <c r="AN2535" s="76"/>
      <c r="AO2535" s="76"/>
      <c r="AP2535" s="76"/>
      <c r="AQ2535" s="76"/>
      <c r="AR2535" s="76"/>
      <c r="AS2535" s="76"/>
      <c r="AT2535" s="76"/>
      <c r="AU2535" s="76"/>
      <c r="AV2535" s="76"/>
      <c r="AW2535" s="76"/>
      <c r="AX2535" s="76">
        <f>+AW2535*600000</f>
        <v>0</v>
      </c>
      <c r="AY2535" s="76"/>
      <c r="AZ2535" s="76">
        <f>+AY2535*70000</f>
        <v>0</v>
      </c>
      <c r="BA2535" s="76"/>
      <c r="BB2535" s="76"/>
      <c r="BC2535" s="76"/>
      <c r="BD2535" s="76">
        <f>+BC2535*30000</f>
        <v>0</v>
      </c>
      <c r="BE2535" s="76"/>
      <c r="BF2535" s="76"/>
      <c r="BG2535" s="76"/>
      <c r="BH2535" s="76"/>
      <c r="BI2535" s="76"/>
      <c r="BJ2535" s="76"/>
      <c r="BK2535" s="76"/>
      <c r="BL2535" s="76">
        <f>+BK2535*31500</f>
        <v>0</v>
      </c>
      <c r="BM2535" s="76"/>
      <c r="BN2535" s="76"/>
      <c r="BO2535" s="76"/>
      <c r="BP2535" s="76"/>
      <c r="BQ2535" s="76"/>
      <c r="BR2535" s="76"/>
      <c r="BS2535" s="76"/>
      <c r="BT2535" s="76"/>
      <c r="BU2535" s="76"/>
      <c r="BV2535" s="76"/>
      <c r="BW2535" s="76"/>
      <c r="BX2535" s="76"/>
      <c r="BY2535" s="76"/>
      <c r="BZ2535" s="76"/>
      <c r="CA2535" s="76"/>
      <c r="CB2535" s="76"/>
      <c r="CC2535" s="76"/>
      <c r="CD2535" s="76"/>
      <c r="CE2535" s="76"/>
      <c r="CF2535" s="76">
        <f>+CE2535*28000</f>
        <v>0</v>
      </c>
      <c r="CG2535" s="76"/>
      <c r="CH2535" s="76">
        <f>+CG2535*22500</f>
        <v>0</v>
      </c>
      <c r="CI2535" s="76"/>
      <c r="CJ2535" s="76">
        <f>+CI2535*26000</f>
        <v>0</v>
      </c>
      <c r="CK2535" s="76"/>
      <c r="CL2535" s="76"/>
      <c r="CM2535" s="76"/>
      <c r="CN2535" s="76">
        <f>+CM2535*22000</f>
        <v>0</v>
      </c>
      <c r="CO2535" s="76"/>
      <c r="CP2535" s="76">
        <f>+CO2535*46000</f>
        <v>0</v>
      </c>
      <c r="CQ2535" s="76"/>
      <c r="CR2535" s="76">
        <f>+CQ2535*49000</f>
        <v>0</v>
      </c>
      <c r="CS2535" s="76"/>
      <c r="CT2535" s="76"/>
      <c r="CU2535" s="56">
        <f>AN2535+AP2535+AR2535+AT2535+AV2535+AX2535+AZ2535+BB2535+BD2535+BF2535+BH2535+BJ2535+BL2535+BN2535+BP2535+BR2535+BT2535+BV2535+BX2535+BZ2535+CB2535+CD2535+CF2535+CH2535+CJ2535+CL2535+CN2535+CP2535+CR2535+CT2535</f>
        <v>0</v>
      </c>
      <c r="CV2535" s="76"/>
      <c r="CW2535" s="76">
        <f>+CV2535*1100</f>
        <v>0</v>
      </c>
      <c r="CX2535" s="76"/>
      <c r="CY2535" s="76">
        <f>+CX2535*106250</f>
        <v>0</v>
      </c>
      <c r="CZ2535" s="76"/>
      <c r="DA2535" s="76">
        <f>+CZ2535*34500</f>
        <v>0</v>
      </c>
      <c r="DB2535" s="76"/>
      <c r="DC2535" s="76">
        <f>+DB2535*25000</f>
        <v>0</v>
      </c>
      <c r="DD2535" s="219"/>
      <c r="DE2535" s="219"/>
      <c r="DF2535" s="166"/>
      <c r="DG2535" s="116"/>
      <c r="DH2535" s="117"/>
      <c r="DI2535" s="24"/>
      <c r="DJ2535" s="24"/>
      <c r="DK2535" s="24"/>
      <c r="DL2535" s="24"/>
      <c r="DM2535" s="24"/>
      <c r="DN2535" s="24"/>
      <c r="DO2535" s="24"/>
      <c r="DP2535" s="24"/>
      <c r="DQ2535" s="24"/>
      <c r="DR2535" s="24"/>
      <c r="DS2535" s="24"/>
      <c r="DT2535" s="24"/>
      <c r="DU2535" s="24"/>
    </row>
    <row r="2536" spans="1:125" s="8" customFormat="1" ht="264" x14ac:dyDescent="0.2">
      <c r="A2536" s="353">
        <v>41484</v>
      </c>
      <c r="B2536" s="352" t="s">
        <v>2196</v>
      </c>
      <c r="C2536" s="354" t="s">
        <v>2123</v>
      </c>
      <c r="D2536" s="354" t="s">
        <v>2846</v>
      </c>
      <c r="E2536" s="353" t="str">
        <f>VLOOKUP(B2536&amp;C2536,Divipola!$C$2:$F$1138,4,FALSE)</f>
        <v>17662</v>
      </c>
      <c r="F2536" s="87"/>
      <c r="G2536" s="87"/>
      <c r="H2536" s="87"/>
      <c r="I2536" s="87"/>
      <c r="J2536" s="87"/>
      <c r="K2536" s="87"/>
      <c r="L2536" s="87"/>
      <c r="M2536" s="87"/>
      <c r="N2536" s="87"/>
      <c r="O2536" s="87"/>
      <c r="P2536" s="87"/>
      <c r="Q2536" s="87"/>
      <c r="R2536" s="87"/>
      <c r="S2536" s="87"/>
      <c r="T2536" s="87"/>
      <c r="U2536" s="88"/>
      <c r="V2536" s="89">
        <v>30</v>
      </c>
      <c r="W2536" s="96">
        <v>0</v>
      </c>
      <c r="X2536" s="71">
        <f>CU2536</f>
        <v>0</v>
      </c>
      <c r="Y2536" s="71">
        <f>CY2536</f>
        <v>0</v>
      </c>
      <c r="Z2536" s="71">
        <f>DA2536+DC2536+DE2536</f>
        <v>0</v>
      </c>
      <c r="AA2536" s="71">
        <f>CW2536</f>
        <v>0</v>
      </c>
      <c r="AB2536" s="71"/>
      <c r="AC2536" s="71">
        <v>0</v>
      </c>
      <c r="AD2536" s="71">
        <f>W2536+X2536+Y2536+Z2536+AA2536+AB2536+AC2536</f>
        <v>0</v>
      </c>
      <c r="AE2536" s="72">
        <v>0</v>
      </c>
      <c r="AF2536" s="5"/>
      <c r="AG2536" s="6"/>
      <c r="AH2536" s="27"/>
      <c r="AI2536" s="44"/>
      <c r="AJ2536" s="26"/>
      <c r="AK2536" s="5"/>
      <c r="AL2536" s="82" t="s">
        <v>5462</v>
      </c>
      <c r="AM2536" s="76"/>
      <c r="AN2536" s="76"/>
      <c r="AO2536" s="76"/>
      <c r="AP2536" s="76"/>
      <c r="AQ2536" s="76"/>
      <c r="AR2536" s="76"/>
      <c r="AS2536" s="76"/>
      <c r="AT2536" s="76"/>
      <c r="AU2536" s="76"/>
      <c r="AV2536" s="76"/>
      <c r="AW2536" s="76"/>
      <c r="AX2536" s="76">
        <f>+AW2536*600000</f>
        <v>0</v>
      </c>
      <c r="AY2536" s="76"/>
      <c r="AZ2536" s="76">
        <f>+AY2536*70000</f>
        <v>0</v>
      </c>
      <c r="BA2536" s="76"/>
      <c r="BB2536" s="76"/>
      <c r="BC2536" s="76"/>
      <c r="BD2536" s="76">
        <f>+BC2536*30000</f>
        <v>0</v>
      </c>
      <c r="BE2536" s="76"/>
      <c r="BF2536" s="76"/>
      <c r="BG2536" s="76"/>
      <c r="BH2536" s="76"/>
      <c r="BI2536" s="76"/>
      <c r="BJ2536" s="76"/>
      <c r="BK2536" s="76"/>
      <c r="BL2536" s="76">
        <f>+BK2536*31500</f>
        <v>0</v>
      </c>
      <c r="BM2536" s="76"/>
      <c r="BN2536" s="76"/>
      <c r="BO2536" s="76"/>
      <c r="BP2536" s="76"/>
      <c r="BQ2536" s="76"/>
      <c r="BR2536" s="76"/>
      <c r="BS2536" s="76"/>
      <c r="BT2536" s="76"/>
      <c r="BU2536" s="76"/>
      <c r="BV2536" s="76"/>
      <c r="BW2536" s="76"/>
      <c r="BX2536" s="76"/>
      <c r="BY2536" s="76"/>
      <c r="BZ2536" s="76"/>
      <c r="CA2536" s="76"/>
      <c r="CB2536" s="76"/>
      <c r="CC2536" s="76"/>
      <c r="CD2536" s="76"/>
      <c r="CE2536" s="76"/>
      <c r="CF2536" s="76">
        <f>+CE2536*28000</f>
        <v>0</v>
      </c>
      <c r="CG2536" s="76"/>
      <c r="CH2536" s="76">
        <f>+CG2536*22500</f>
        <v>0</v>
      </c>
      <c r="CI2536" s="76"/>
      <c r="CJ2536" s="76">
        <f>+CI2536*26000</f>
        <v>0</v>
      </c>
      <c r="CK2536" s="76"/>
      <c r="CL2536" s="76"/>
      <c r="CM2536" s="76"/>
      <c r="CN2536" s="76">
        <f>+CM2536*22000</f>
        <v>0</v>
      </c>
      <c r="CO2536" s="76"/>
      <c r="CP2536" s="76">
        <f>+CO2536*46000</f>
        <v>0</v>
      </c>
      <c r="CQ2536" s="76"/>
      <c r="CR2536" s="76">
        <f>+CQ2536*49000</f>
        <v>0</v>
      </c>
      <c r="CS2536" s="76"/>
      <c r="CT2536" s="76"/>
      <c r="CU2536" s="56">
        <f>AN2536+AP2536+AR2536+AT2536+AV2536+AX2536+AZ2536+BB2536+BD2536+BF2536+BH2536+BJ2536+BL2536+BN2536+BP2536+BR2536+BT2536+BV2536+BX2536+BZ2536+CB2536+CD2536+CF2536+CH2536+CJ2536+CL2536+CN2536+CP2536+CR2536+CT2536</f>
        <v>0</v>
      </c>
      <c r="CV2536" s="76"/>
      <c r="CW2536" s="76">
        <f>+CV2536*1100</f>
        <v>0</v>
      </c>
      <c r="CX2536" s="76"/>
      <c r="CY2536" s="76">
        <f>+CX2536*106250</f>
        <v>0</v>
      </c>
      <c r="CZ2536" s="76"/>
      <c r="DA2536" s="76">
        <f>+CZ2536*34500</f>
        <v>0</v>
      </c>
      <c r="DB2536" s="76"/>
      <c r="DC2536" s="76">
        <f>+DB2536*25000</f>
        <v>0</v>
      </c>
      <c r="DD2536" s="219"/>
      <c r="DE2536" s="219"/>
      <c r="DF2536" s="166"/>
      <c r="DG2536" s="116"/>
      <c r="DH2536" s="117"/>
      <c r="DI2536" s="24"/>
      <c r="DJ2536" s="24"/>
      <c r="DK2536" s="24"/>
      <c r="DL2536" s="24"/>
      <c r="DM2536" s="24"/>
      <c r="DN2536" s="24"/>
      <c r="DO2536" s="24"/>
      <c r="DP2536" s="24"/>
      <c r="DQ2536" s="24"/>
      <c r="DR2536" s="24"/>
      <c r="DS2536" s="24"/>
      <c r="DT2536" s="24"/>
      <c r="DU2536" s="24"/>
    </row>
    <row r="2537" spans="1:125" s="8" customFormat="1" ht="72" x14ac:dyDescent="0.2">
      <c r="A2537" s="97">
        <v>41484</v>
      </c>
      <c r="B2537" s="60" t="s">
        <v>2854</v>
      </c>
      <c r="C2537" s="55" t="s">
        <v>2769</v>
      </c>
      <c r="D2537" s="55" t="s">
        <v>2882</v>
      </c>
      <c r="E2537" s="353" t="str">
        <f>VLOOKUP(B2537&amp;C2537,Divipola!$C$2:$F$1138,4,FALSE)</f>
        <v>19824</v>
      </c>
      <c r="F2537" s="87"/>
      <c r="G2537" s="87"/>
      <c r="H2537" s="87"/>
      <c r="I2537" s="87">
        <v>100</v>
      </c>
      <c r="J2537" s="87">
        <v>20</v>
      </c>
      <c r="K2537" s="87"/>
      <c r="L2537" s="87">
        <v>20</v>
      </c>
      <c r="M2537" s="87"/>
      <c r="N2537" s="87"/>
      <c r="O2537" s="87"/>
      <c r="P2537" s="87"/>
      <c r="Q2537" s="87"/>
      <c r="R2537" s="87"/>
      <c r="S2537" s="87">
        <v>1</v>
      </c>
      <c r="T2537" s="87"/>
      <c r="U2537" s="88"/>
      <c r="V2537" s="89"/>
      <c r="W2537" s="96">
        <v>0</v>
      </c>
      <c r="X2537" s="71">
        <f>CU2537</f>
        <v>0</v>
      </c>
      <c r="Y2537" s="71">
        <f>CY2537</f>
        <v>0</v>
      </c>
      <c r="Z2537" s="71">
        <f>DA2537+DC2537+DE2537</f>
        <v>0</v>
      </c>
      <c r="AA2537" s="71">
        <f>CW2537</f>
        <v>0</v>
      </c>
      <c r="AB2537" s="71"/>
      <c r="AC2537" s="71">
        <v>0</v>
      </c>
      <c r="AD2537" s="71">
        <f>W2537+X2537+Y2537+Z2537+AA2537+AB2537+AC2537</f>
        <v>0</v>
      </c>
      <c r="AE2537" s="72">
        <v>0</v>
      </c>
      <c r="AF2537" s="5"/>
      <c r="AG2537" s="6"/>
      <c r="AH2537" s="27"/>
      <c r="AI2537" s="44"/>
      <c r="AJ2537" s="26"/>
      <c r="AK2537" s="5"/>
      <c r="AL2537" s="82" t="s">
        <v>5406</v>
      </c>
      <c r="AM2537" s="76"/>
      <c r="AN2537" s="76"/>
      <c r="AO2537" s="76"/>
      <c r="AP2537" s="76"/>
      <c r="AQ2537" s="76"/>
      <c r="AR2537" s="76"/>
      <c r="AS2537" s="76"/>
      <c r="AT2537" s="76"/>
      <c r="AU2537" s="76"/>
      <c r="AV2537" s="76"/>
      <c r="AW2537" s="76"/>
      <c r="AX2537" s="76">
        <f>+AW2537*600000</f>
        <v>0</v>
      </c>
      <c r="AY2537" s="76"/>
      <c r="AZ2537" s="76">
        <f>+AY2537*70000</f>
        <v>0</v>
      </c>
      <c r="BA2537" s="76"/>
      <c r="BB2537" s="76"/>
      <c r="BC2537" s="76"/>
      <c r="BD2537" s="76">
        <f>+BC2537*30000</f>
        <v>0</v>
      </c>
      <c r="BE2537" s="76"/>
      <c r="BF2537" s="76"/>
      <c r="BG2537" s="76"/>
      <c r="BH2537" s="76"/>
      <c r="BI2537" s="76"/>
      <c r="BJ2537" s="76"/>
      <c r="BK2537" s="76"/>
      <c r="BL2537" s="76">
        <f>+BK2537*31500</f>
        <v>0</v>
      </c>
      <c r="BM2537" s="76"/>
      <c r="BN2537" s="76"/>
      <c r="BO2537" s="76"/>
      <c r="BP2537" s="76"/>
      <c r="BQ2537" s="76"/>
      <c r="BR2537" s="76"/>
      <c r="BS2537" s="76"/>
      <c r="BT2537" s="76"/>
      <c r="BU2537" s="76"/>
      <c r="BV2537" s="76"/>
      <c r="BW2537" s="76"/>
      <c r="BX2537" s="76"/>
      <c r="BY2537" s="76"/>
      <c r="BZ2537" s="76"/>
      <c r="CA2537" s="76"/>
      <c r="CB2537" s="76"/>
      <c r="CC2537" s="76"/>
      <c r="CD2537" s="76"/>
      <c r="CE2537" s="76"/>
      <c r="CF2537" s="76">
        <f>+CE2537*28000</f>
        <v>0</v>
      </c>
      <c r="CG2537" s="76"/>
      <c r="CH2537" s="76">
        <f>+CG2537*22500</f>
        <v>0</v>
      </c>
      <c r="CI2537" s="76"/>
      <c r="CJ2537" s="76">
        <f>+CI2537*26000</f>
        <v>0</v>
      </c>
      <c r="CK2537" s="76"/>
      <c r="CL2537" s="76"/>
      <c r="CM2537" s="76"/>
      <c r="CN2537" s="76">
        <f>+CM2537*22000</f>
        <v>0</v>
      </c>
      <c r="CO2537" s="76"/>
      <c r="CP2537" s="76">
        <f>+CO2537*46000</f>
        <v>0</v>
      </c>
      <c r="CQ2537" s="76"/>
      <c r="CR2537" s="76">
        <f>+CQ2537*49000</f>
        <v>0</v>
      </c>
      <c r="CS2537" s="76"/>
      <c r="CT2537" s="76"/>
      <c r="CU2537" s="56">
        <f>AN2537+AP2537+AR2537+AT2537+AV2537+AX2537+AZ2537+BB2537+BD2537+BF2537+BH2537+BJ2537+BL2537+BN2537+BP2537+BR2537+BT2537+BV2537+BX2537+BZ2537+CB2537+CD2537+CF2537+CH2537+CJ2537+CL2537+CN2537+CP2537+CR2537+CT2537</f>
        <v>0</v>
      </c>
      <c r="CV2537" s="76"/>
      <c r="CW2537" s="76">
        <f>+CV2537*1100</f>
        <v>0</v>
      </c>
      <c r="CX2537" s="76"/>
      <c r="CY2537" s="76">
        <f>+CX2537*106250</f>
        <v>0</v>
      </c>
      <c r="CZ2537" s="76"/>
      <c r="DA2537" s="76">
        <f>+CZ2537*34500</f>
        <v>0</v>
      </c>
      <c r="DB2537" s="76"/>
      <c r="DC2537" s="76">
        <f>+DB2537*25000</f>
        <v>0</v>
      </c>
      <c r="DD2537" s="219"/>
      <c r="DE2537" s="219"/>
      <c r="DF2537" s="166"/>
      <c r="DG2537" s="116"/>
      <c r="DH2537" s="117"/>
      <c r="DI2537" s="24"/>
      <c r="DJ2537" s="24"/>
      <c r="DK2537" s="24"/>
      <c r="DL2537" s="24"/>
      <c r="DM2537" s="24"/>
      <c r="DN2537" s="24"/>
      <c r="DO2537" s="24"/>
      <c r="DP2537" s="24"/>
      <c r="DQ2537" s="24"/>
      <c r="DR2537" s="24"/>
      <c r="DS2537" s="24"/>
      <c r="DT2537" s="24"/>
      <c r="DU2537" s="24"/>
    </row>
    <row r="2538" spans="1:125" s="8" customFormat="1" ht="48" x14ac:dyDescent="0.2">
      <c r="A2538" s="353">
        <v>41484</v>
      </c>
      <c r="B2538" s="352" t="s">
        <v>2855</v>
      </c>
      <c r="C2538" s="354" t="s">
        <v>895</v>
      </c>
      <c r="D2538" s="354" t="s">
        <v>3051</v>
      </c>
      <c r="E2538" s="353" t="str">
        <f>VLOOKUP(B2538&amp;C2538,Divipola!$C$2:$F$1138,4,FALSE)</f>
        <v>20032</v>
      </c>
      <c r="F2538" s="87"/>
      <c r="G2538" s="87"/>
      <c r="H2538" s="87"/>
      <c r="I2538" s="87"/>
      <c r="J2538" s="87"/>
      <c r="K2538" s="87"/>
      <c r="L2538" s="87"/>
      <c r="M2538" s="87"/>
      <c r="N2538" s="87"/>
      <c r="O2538" s="87"/>
      <c r="P2538" s="87"/>
      <c r="Q2538" s="87"/>
      <c r="R2538" s="87"/>
      <c r="S2538" s="87"/>
      <c r="T2538" s="87"/>
      <c r="U2538" s="88"/>
      <c r="V2538" s="89"/>
      <c r="W2538" s="96">
        <v>0</v>
      </c>
      <c r="X2538" s="71">
        <f>CU2538</f>
        <v>0</v>
      </c>
      <c r="Y2538" s="71">
        <f>CY2538</f>
        <v>0</v>
      </c>
      <c r="Z2538" s="71">
        <f>DA2538+DC2538+DE2538</f>
        <v>0</v>
      </c>
      <c r="AA2538" s="71">
        <f>CW2538</f>
        <v>0</v>
      </c>
      <c r="AB2538" s="71"/>
      <c r="AC2538" s="71">
        <v>0</v>
      </c>
      <c r="AD2538" s="71">
        <f>W2538+X2538+Y2538+Z2538+AA2538+AB2538+AC2538</f>
        <v>0</v>
      </c>
      <c r="AE2538" s="72">
        <v>0</v>
      </c>
      <c r="AF2538" s="5"/>
      <c r="AG2538" s="6"/>
      <c r="AH2538" s="27"/>
      <c r="AI2538" s="44"/>
      <c r="AJ2538" s="26"/>
      <c r="AK2538" s="5"/>
      <c r="AL2538" s="82" t="s">
        <v>5407</v>
      </c>
      <c r="AM2538" s="76"/>
      <c r="AN2538" s="76"/>
      <c r="AO2538" s="76"/>
      <c r="AP2538" s="76"/>
      <c r="AQ2538" s="76"/>
      <c r="AR2538" s="76"/>
      <c r="AS2538" s="76"/>
      <c r="AT2538" s="76"/>
      <c r="AU2538" s="76"/>
      <c r="AV2538" s="76"/>
      <c r="AW2538" s="76"/>
      <c r="AX2538" s="76">
        <f>+AW2538*600000</f>
        <v>0</v>
      </c>
      <c r="AY2538" s="76"/>
      <c r="AZ2538" s="76">
        <f>+AY2538*70000</f>
        <v>0</v>
      </c>
      <c r="BA2538" s="76"/>
      <c r="BB2538" s="76"/>
      <c r="BC2538" s="76"/>
      <c r="BD2538" s="76">
        <f>+BC2538*30000</f>
        <v>0</v>
      </c>
      <c r="BE2538" s="76"/>
      <c r="BF2538" s="76"/>
      <c r="BG2538" s="76"/>
      <c r="BH2538" s="76"/>
      <c r="BI2538" s="76"/>
      <c r="BJ2538" s="76"/>
      <c r="BK2538" s="76"/>
      <c r="BL2538" s="76">
        <f>+BK2538*31500</f>
        <v>0</v>
      </c>
      <c r="BM2538" s="76"/>
      <c r="BN2538" s="76"/>
      <c r="BO2538" s="76"/>
      <c r="BP2538" s="76"/>
      <c r="BQ2538" s="76"/>
      <c r="BR2538" s="76"/>
      <c r="BS2538" s="76"/>
      <c r="BT2538" s="76"/>
      <c r="BU2538" s="76"/>
      <c r="BV2538" s="76"/>
      <c r="BW2538" s="76"/>
      <c r="BX2538" s="76"/>
      <c r="BY2538" s="76"/>
      <c r="BZ2538" s="76"/>
      <c r="CA2538" s="76"/>
      <c r="CB2538" s="76"/>
      <c r="CC2538" s="76"/>
      <c r="CD2538" s="76"/>
      <c r="CE2538" s="76"/>
      <c r="CF2538" s="76">
        <f>+CE2538*28000</f>
        <v>0</v>
      </c>
      <c r="CG2538" s="76"/>
      <c r="CH2538" s="76">
        <f>+CG2538*22500</f>
        <v>0</v>
      </c>
      <c r="CI2538" s="76"/>
      <c r="CJ2538" s="76">
        <f>+CI2538*26000</f>
        <v>0</v>
      </c>
      <c r="CK2538" s="76"/>
      <c r="CL2538" s="76"/>
      <c r="CM2538" s="76"/>
      <c r="CN2538" s="76">
        <f>+CM2538*22000</f>
        <v>0</v>
      </c>
      <c r="CO2538" s="76"/>
      <c r="CP2538" s="76">
        <f>+CO2538*46000</f>
        <v>0</v>
      </c>
      <c r="CQ2538" s="76"/>
      <c r="CR2538" s="76">
        <f>+CQ2538*49000</f>
        <v>0</v>
      </c>
      <c r="CS2538" s="76"/>
      <c r="CT2538" s="76"/>
      <c r="CU2538" s="56">
        <f>AN2538+AP2538+AR2538+AT2538+AV2538+AX2538+AZ2538+BB2538+BD2538+BF2538+BH2538+BJ2538+BL2538+BN2538+BP2538+BR2538+BT2538+BV2538+BX2538+BZ2538+CB2538+CD2538+CF2538+CH2538+CJ2538+CL2538+CN2538+CP2538+CR2538+CT2538</f>
        <v>0</v>
      </c>
      <c r="CV2538" s="76"/>
      <c r="CW2538" s="76">
        <f>+CV2538*1100</f>
        <v>0</v>
      </c>
      <c r="CX2538" s="76"/>
      <c r="CY2538" s="76">
        <f>+CX2538*106250</f>
        <v>0</v>
      </c>
      <c r="CZ2538" s="76"/>
      <c r="DA2538" s="76">
        <f>+CZ2538*34500</f>
        <v>0</v>
      </c>
      <c r="DB2538" s="76"/>
      <c r="DC2538" s="76">
        <f>+DB2538*25000</f>
        <v>0</v>
      </c>
      <c r="DD2538" s="219"/>
      <c r="DE2538" s="219"/>
      <c r="DF2538" s="166"/>
      <c r="DG2538" s="116"/>
      <c r="DH2538" s="117"/>
      <c r="DI2538" s="24"/>
      <c r="DJ2538" s="24"/>
      <c r="DK2538" s="24"/>
      <c r="DL2538" s="24"/>
      <c r="DM2538" s="24"/>
      <c r="DN2538" s="24"/>
      <c r="DO2538" s="24"/>
      <c r="DP2538" s="24"/>
      <c r="DQ2538" s="24"/>
      <c r="DR2538" s="24"/>
      <c r="DS2538" s="24"/>
      <c r="DT2538" s="24"/>
      <c r="DU2538" s="24"/>
    </row>
    <row r="2539" spans="1:125" s="8" customFormat="1" ht="63" customHeight="1" x14ac:dyDescent="0.2">
      <c r="A2539" s="353">
        <v>41484</v>
      </c>
      <c r="B2539" s="352" t="s">
        <v>2855</v>
      </c>
      <c r="C2539" s="354" t="s">
        <v>897</v>
      </c>
      <c r="D2539" s="354" t="s">
        <v>3051</v>
      </c>
      <c r="E2539" s="353" t="str">
        <f>VLOOKUP(B2539&amp;C2539,Divipola!$C$2:$F$1138,4,FALSE)</f>
        <v>20045</v>
      </c>
      <c r="F2539" s="87"/>
      <c r="G2539" s="87"/>
      <c r="H2539" s="87"/>
      <c r="I2539" s="87">
        <v>75</v>
      </c>
      <c r="J2539" s="87">
        <v>15</v>
      </c>
      <c r="K2539" s="87"/>
      <c r="L2539" s="87">
        <v>15</v>
      </c>
      <c r="M2539" s="87"/>
      <c r="N2539" s="87"/>
      <c r="O2539" s="87"/>
      <c r="P2539" s="87"/>
      <c r="Q2539" s="87"/>
      <c r="R2539" s="87"/>
      <c r="S2539" s="87"/>
      <c r="T2539" s="87"/>
      <c r="U2539" s="88"/>
      <c r="V2539" s="89"/>
      <c r="W2539" s="96">
        <v>0</v>
      </c>
      <c r="X2539" s="71">
        <f>CU2539</f>
        <v>0</v>
      </c>
      <c r="Y2539" s="71">
        <f>CY2539</f>
        <v>0</v>
      </c>
      <c r="Z2539" s="71">
        <f>DA2539+DC2539+DE2539</f>
        <v>0</v>
      </c>
      <c r="AA2539" s="71">
        <f>CW2539</f>
        <v>0</v>
      </c>
      <c r="AB2539" s="71"/>
      <c r="AC2539" s="71">
        <v>0</v>
      </c>
      <c r="AD2539" s="71">
        <f>W2539+X2539+Y2539+Z2539+AA2539+AB2539+AC2539</f>
        <v>0</v>
      </c>
      <c r="AE2539" s="72">
        <v>0</v>
      </c>
      <c r="AF2539" s="5"/>
      <c r="AG2539" s="6"/>
      <c r="AH2539" s="27"/>
      <c r="AI2539" s="44"/>
      <c r="AJ2539" s="26"/>
      <c r="AK2539" s="5"/>
      <c r="AL2539" s="82" t="s">
        <v>5420</v>
      </c>
      <c r="AM2539" s="76"/>
      <c r="AN2539" s="76"/>
      <c r="AO2539" s="76"/>
      <c r="AP2539" s="76"/>
      <c r="AQ2539" s="76"/>
      <c r="AR2539" s="76"/>
      <c r="AS2539" s="76"/>
      <c r="AT2539" s="76"/>
      <c r="AU2539" s="76"/>
      <c r="AV2539" s="76"/>
      <c r="AW2539" s="76"/>
      <c r="AX2539" s="76">
        <f>+AW2539*600000</f>
        <v>0</v>
      </c>
      <c r="AY2539" s="76"/>
      <c r="AZ2539" s="76">
        <f>+AY2539*70000</f>
        <v>0</v>
      </c>
      <c r="BA2539" s="76"/>
      <c r="BB2539" s="76"/>
      <c r="BC2539" s="76"/>
      <c r="BD2539" s="76">
        <f>+BC2539*30000</f>
        <v>0</v>
      </c>
      <c r="BE2539" s="76"/>
      <c r="BF2539" s="76"/>
      <c r="BG2539" s="76"/>
      <c r="BH2539" s="76"/>
      <c r="BI2539" s="76"/>
      <c r="BJ2539" s="76"/>
      <c r="BK2539" s="76"/>
      <c r="BL2539" s="76">
        <f>+BK2539*31500</f>
        <v>0</v>
      </c>
      <c r="BM2539" s="76"/>
      <c r="BN2539" s="76"/>
      <c r="BO2539" s="76"/>
      <c r="BP2539" s="76"/>
      <c r="BQ2539" s="76"/>
      <c r="BR2539" s="76"/>
      <c r="BS2539" s="76"/>
      <c r="BT2539" s="76"/>
      <c r="BU2539" s="76"/>
      <c r="BV2539" s="76"/>
      <c r="BW2539" s="76"/>
      <c r="BX2539" s="76"/>
      <c r="BY2539" s="76"/>
      <c r="BZ2539" s="76"/>
      <c r="CA2539" s="76"/>
      <c r="CB2539" s="76"/>
      <c r="CC2539" s="76"/>
      <c r="CD2539" s="76"/>
      <c r="CE2539" s="76"/>
      <c r="CF2539" s="76">
        <f>+CE2539*28000</f>
        <v>0</v>
      </c>
      <c r="CG2539" s="76"/>
      <c r="CH2539" s="76">
        <f>+CG2539*22500</f>
        <v>0</v>
      </c>
      <c r="CI2539" s="76"/>
      <c r="CJ2539" s="76">
        <f>+CI2539*26000</f>
        <v>0</v>
      </c>
      <c r="CK2539" s="76"/>
      <c r="CL2539" s="76"/>
      <c r="CM2539" s="76"/>
      <c r="CN2539" s="76">
        <f>+CM2539*22000</f>
        <v>0</v>
      </c>
      <c r="CO2539" s="76"/>
      <c r="CP2539" s="76">
        <f>+CO2539*46000</f>
        <v>0</v>
      </c>
      <c r="CQ2539" s="76"/>
      <c r="CR2539" s="76">
        <f>+CQ2539*49000</f>
        <v>0</v>
      </c>
      <c r="CS2539" s="76"/>
      <c r="CT2539" s="76"/>
      <c r="CU2539" s="56">
        <f>AN2539+AP2539+AR2539+AT2539+AV2539+AX2539+AZ2539+BB2539+BD2539+BF2539+BH2539+BJ2539+BL2539+BN2539+BP2539+BR2539+BT2539+BV2539+BX2539+BZ2539+CB2539+CD2539+CF2539+CH2539+CJ2539+CL2539+CN2539+CP2539+CR2539+CT2539</f>
        <v>0</v>
      </c>
      <c r="CV2539" s="76"/>
      <c r="CW2539" s="76">
        <f>+CV2539*1100</f>
        <v>0</v>
      </c>
      <c r="CX2539" s="76"/>
      <c r="CY2539" s="76">
        <f>+CX2539*106250</f>
        <v>0</v>
      </c>
      <c r="CZ2539" s="76"/>
      <c r="DA2539" s="76">
        <f>+CZ2539*34500</f>
        <v>0</v>
      </c>
      <c r="DB2539" s="76"/>
      <c r="DC2539" s="76">
        <f>+DB2539*25000</f>
        <v>0</v>
      </c>
      <c r="DD2539" s="219"/>
      <c r="DE2539" s="219"/>
      <c r="DF2539" s="166"/>
      <c r="DG2539" s="116"/>
      <c r="DH2539" s="117"/>
      <c r="DI2539" s="24"/>
      <c r="DJ2539" s="24"/>
      <c r="DK2539" s="24"/>
      <c r="DL2539" s="24"/>
      <c r="DM2539" s="24"/>
      <c r="DN2539" s="24"/>
      <c r="DO2539" s="24"/>
      <c r="DP2539" s="24"/>
      <c r="DQ2539" s="24"/>
      <c r="DR2539" s="24"/>
      <c r="DS2539" s="24"/>
      <c r="DT2539" s="24"/>
      <c r="DU2539" s="24"/>
    </row>
    <row r="2540" spans="1:125" s="8" customFormat="1" ht="60" x14ac:dyDescent="0.2">
      <c r="A2540" s="248">
        <v>41484</v>
      </c>
      <c r="B2540" s="229" t="s">
        <v>2855</v>
      </c>
      <c r="C2540" s="230" t="s">
        <v>2802</v>
      </c>
      <c r="D2540" s="230" t="s">
        <v>2882</v>
      </c>
      <c r="E2540" s="353" t="str">
        <f>VLOOKUP(B2540&amp;C2540,Divipola!$C$2:$F$1138,4,FALSE)</f>
        <v>20295</v>
      </c>
      <c r="F2540" s="87"/>
      <c r="G2540" s="87"/>
      <c r="H2540" s="87"/>
      <c r="I2540" s="87">
        <v>365</v>
      </c>
      <c r="J2540" s="87">
        <v>73</v>
      </c>
      <c r="K2540" s="87"/>
      <c r="L2540" s="87">
        <v>73</v>
      </c>
      <c r="M2540" s="87"/>
      <c r="N2540" s="87"/>
      <c r="O2540" s="87"/>
      <c r="P2540" s="87"/>
      <c r="Q2540" s="87"/>
      <c r="R2540" s="87">
        <v>1</v>
      </c>
      <c r="S2540" s="87"/>
      <c r="T2540" s="87"/>
      <c r="U2540" s="88"/>
      <c r="V2540" s="89"/>
      <c r="W2540" s="96">
        <v>0</v>
      </c>
      <c r="X2540" s="71">
        <f>CU2540</f>
        <v>0</v>
      </c>
      <c r="Y2540" s="71">
        <f>CY2540</f>
        <v>0</v>
      </c>
      <c r="Z2540" s="71">
        <f>DA2540+DC2540+DE2540</f>
        <v>0</v>
      </c>
      <c r="AA2540" s="71">
        <f>CW2540</f>
        <v>0</v>
      </c>
      <c r="AB2540" s="71"/>
      <c r="AC2540" s="71">
        <v>0</v>
      </c>
      <c r="AD2540" s="71">
        <f>W2540+X2540+Y2540+Z2540+AA2540+AB2540+AC2540</f>
        <v>0</v>
      </c>
      <c r="AE2540" s="72">
        <v>0</v>
      </c>
      <c r="AF2540" s="5"/>
      <c r="AG2540" s="6"/>
      <c r="AH2540" s="27"/>
      <c r="AI2540" s="44"/>
      <c r="AJ2540" s="26"/>
      <c r="AK2540" s="5"/>
      <c r="AL2540" s="82" t="s">
        <v>5473</v>
      </c>
      <c r="AM2540" s="76"/>
      <c r="AN2540" s="76"/>
      <c r="AO2540" s="76"/>
      <c r="AP2540" s="76"/>
      <c r="AQ2540" s="76"/>
      <c r="AR2540" s="76"/>
      <c r="AS2540" s="76"/>
      <c r="AT2540" s="76"/>
      <c r="AU2540" s="76"/>
      <c r="AV2540" s="76"/>
      <c r="AW2540" s="76"/>
      <c r="AX2540" s="76">
        <f>+AW2540*600000</f>
        <v>0</v>
      </c>
      <c r="AY2540" s="76"/>
      <c r="AZ2540" s="76">
        <f>+AY2540*70000</f>
        <v>0</v>
      </c>
      <c r="BA2540" s="76"/>
      <c r="BB2540" s="76"/>
      <c r="BC2540" s="76"/>
      <c r="BD2540" s="76">
        <f>+BC2540*30000</f>
        <v>0</v>
      </c>
      <c r="BE2540" s="76"/>
      <c r="BF2540" s="76"/>
      <c r="BG2540" s="76"/>
      <c r="BH2540" s="76"/>
      <c r="BI2540" s="76"/>
      <c r="BJ2540" s="76"/>
      <c r="BK2540" s="76"/>
      <c r="BL2540" s="76">
        <f>+BK2540*31500</f>
        <v>0</v>
      </c>
      <c r="BM2540" s="76"/>
      <c r="BN2540" s="76"/>
      <c r="BO2540" s="76"/>
      <c r="BP2540" s="76"/>
      <c r="BQ2540" s="76"/>
      <c r="BR2540" s="76"/>
      <c r="BS2540" s="76"/>
      <c r="BT2540" s="76"/>
      <c r="BU2540" s="76"/>
      <c r="BV2540" s="76"/>
      <c r="BW2540" s="76"/>
      <c r="BX2540" s="76"/>
      <c r="BY2540" s="76"/>
      <c r="BZ2540" s="76"/>
      <c r="CA2540" s="76"/>
      <c r="CB2540" s="76"/>
      <c r="CC2540" s="76"/>
      <c r="CD2540" s="76"/>
      <c r="CE2540" s="76"/>
      <c r="CF2540" s="76">
        <f>+CE2540*28000</f>
        <v>0</v>
      </c>
      <c r="CG2540" s="76"/>
      <c r="CH2540" s="76">
        <f>+CG2540*22500</f>
        <v>0</v>
      </c>
      <c r="CI2540" s="76"/>
      <c r="CJ2540" s="76">
        <f>+CI2540*26000</f>
        <v>0</v>
      </c>
      <c r="CK2540" s="76"/>
      <c r="CL2540" s="76"/>
      <c r="CM2540" s="76"/>
      <c r="CN2540" s="76">
        <f>+CM2540*22000</f>
        <v>0</v>
      </c>
      <c r="CO2540" s="76"/>
      <c r="CP2540" s="76">
        <f>+CO2540*46000</f>
        <v>0</v>
      </c>
      <c r="CQ2540" s="76"/>
      <c r="CR2540" s="76">
        <f>+CQ2540*49000</f>
        <v>0</v>
      </c>
      <c r="CS2540" s="76"/>
      <c r="CT2540" s="76"/>
      <c r="CU2540" s="56">
        <f>AN2540+AP2540+AR2540+AT2540+AV2540+AX2540+AZ2540+BB2540+BD2540+BF2540+BH2540+BJ2540+BL2540+BN2540+BP2540+BR2540+BT2540+BV2540+BX2540+BZ2540+CB2540+CD2540+CF2540+CH2540+CJ2540+CL2540+CN2540+CP2540+CR2540+CT2540</f>
        <v>0</v>
      </c>
      <c r="CV2540" s="76"/>
      <c r="CW2540" s="76">
        <f>+CV2540*1100</f>
        <v>0</v>
      </c>
      <c r="CX2540" s="76"/>
      <c r="CY2540" s="76">
        <f>+CX2540*106250</f>
        <v>0</v>
      </c>
      <c r="CZ2540" s="76"/>
      <c r="DA2540" s="76">
        <f>+CZ2540*34500</f>
        <v>0</v>
      </c>
      <c r="DB2540" s="76"/>
      <c r="DC2540" s="76">
        <f>+DB2540*25000</f>
        <v>0</v>
      </c>
      <c r="DD2540" s="219"/>
      <c r="DE2540" s="219"/>
      <c r="DF2540" s="166"/>
      <c r="DG2540" s="116"/>
      <c r="DH2540" s="117"/>
      <c r="DI2540" s="24"/>
      <c r="DJ2540" s="24"/>
      <c r="DK2540" s="24"/>
      <c r="DL2540" s="24"/>
      <c r="DM2540" s="24"/>
      <c r="DN2540" s="24"/>
      <c r="DO2540" s="24"/>
      <c r="DP2540" s="24"/>
      <c r="DQ2540" s="24"/>
      <c r="DR2540" s="24"/>
      <c r="DS2540" s="24"/>
      <c r="DT2540" s="24"/>
      <c r="DU2540" s="24"/>
    </row>
    <row r="2541" spans="1:125" s="8" customFormat="1" ht="60" x14ac:dyDescent="0.2">
      <c r="A2541" s="353">
        <v>41484</v>
      </c>
      <c r="B2541" s="352" t="s">
        <v>2718</v>
      </c>
      <c r="C2541" s="354" t="s">
        <v>970</v>
      </c>
      <c r="D2541" s="354" t="s">
        <v>3051</v>
      </c>
      <c r="E2541" s="353" t="str">
        <f>VLOOKUP(B2541&amp;C2541,Divipola!$C$2:$F$1138,4,FALSE)</f>
        <v>23466</v>
      </c>
      <c r="F2541" s="87"/>
      <c r="G2541" s="87"/>
      <c r="H2541" s="87"/>
      <c r="I2541" s="87"/>
      <c r="J2541" s="87"/>
      <c r="K2541" s="87"/>
      <c r="L2541" s="87"/>
      <c r="M2541" s="87"/>
      <c r="N2541" s="87"/>
      <c r="O2541" s="87"/>
      <c r="P2541" s="87"/>
      <c r="Q2541" s="87"/>
      <c r="R2541" s="87"/>
      <c r="S2541" s="87"/>
      <c r="T2541" s="87"/>
      <c r="U2541" s="88">
        <v>20</v>
      </c>
      <c r="V2541" s="89"/>
      <c r="W2541" s="96">
        <v>0</v>
      </c>
      <c r="X2541" s="71">
        <f>CU2541</f>
        <v>0</v>
      </c>
      <c r="Y2541" s="71">
        <f>CY2541</f>
        <v>0</v>
      </c>
      <c r="Z2541" s="71">
        <f>DA2541+DC2541+DE2541</f>
        <v>0</v>
      </c>
      <c r="AA2541" s="71">
        <f>CW2541</f>
        <v>0</v>
      </c>
      <c r="AB2541" s="71"/>
      <c r="AC2541" s="71">
        <v>0</v>
      </c>
      <c r="AD2541" s="71">
        <f>W2541+X2541+Y2541+Z2541+AA2541+AB2541+AC2541</f>
        <v>0</v>
      </c>
      <c r="AE2541" s="72">
        <v>0</v>
      </c>
      <c r="AF2541" s="5"/>
      <c r="AG2541" s="6"/>
      <c r="AH2541" s="27"/>
      <c r="AI2541" s="44"/>
      <c r="AJ2541" s="26"/>
      <c r="AK2541" s="5"/>
      <c r="AL2541" s="82" t="s">
        <v>5417</v>
      </c>
      <c r="AM2541" s="76"/>
      <c r="AN2541" s="76"/>
      <c r="AO2541" s="76"/>
      <c r="AP2541" s="76"/>
      <c r="AQ2541" s="76"/>
      <c r="AR2541" s="76"/>
      <c r="AS2541" s="76"/>
      <c r="AT2541" s="76"/>
      <c r="AU2541" s="76"/>
      <c r="AV2541" s="76"/>
      <c r="AW2541" s="76"/>
      <c r="AX2541" s="76">
        <f>+AW2541*600000</f>
        <v>0</v>
      </c>
      <c r="AY2541" s="76"/>
      <c r="AZ2541" s="76">
        <f>+AY2541*70000</f>
        <v>0</v>
      </c>
      <c r="BA2541" s="76"/>
      <c r="BB2541" s="76"/>
      <c r="BC2541" s="76"/>
      <c r="BD2541" s="76">
        <f>+BC2541*30000</f>
        <v>0</v>
      </c>
      <c r="BE2541" s="76"/>
      <c r="BF2541" s="76"/>
      <c r="BG2541" s="76"/>
      <c r="BH2541" s="76"/>
      <c r="BI2541" s="76"/>
      <c r="BJ2541" s="76"/>
      <c r="BK2541" s="76"/>
      <c r="BL2541" s="76">
        <f>+BK2541*31500</f>
        <v>0</v>
      </c>
      <c r="BM2541" s="76"/>
      <c r="BN2541" s="76"/>
      <c r="BO2541" s="76"/>
      <c r="BP2541" s="76"/>
      <c r="BQ2541" s="76"/>
      <c r="BR2541" s="76"/>
      <c r="BS2541" s="76"/>
      <c r="BT2541" s="76"/>
      <c r="BU2541" s="76"/>
      <c r="BV2541" s="76"/>
      <c r="BW2541" s="76"/>
      <c r="BX2541" s="76"/>
      <c r="BY2541" s="76"/>
      <c r="BZ2541" s="76"/>
      <c r="CA2541" s="76"/>
      <c r="CB2541" s="76"/>
      <c r="CC2541" s="76"/>
      <c r="CD2541" s="76"/>
      <c r="CE2541" s="76"/>
      <c r="CF2541" s="76">
        <f>+CE2541*28000</f>
        <v>0</v>
      </c>
      <c r="CG2541" s="76"/>
      <c r="CH2541" s="76">
        <f>+CG2541*22500</f>
        <v>0</v>
      </c>
      <c r="CI2541" s="76"/>
      <c r="CJ2541" s="76">
        <f>+CI2541*26000</f>
        <v>0</v>
      </c>
      <c r="CK2541" s="76"/>
      <c r="CL2541" s="76"/>
      <c r="CM2541" s="76"/>
      <c r="CN2541" s="76">
        <f>+CM2541*22000</f>
        <v>0</v>
      </c>
      <c r="CO2541" s="76"/>
      <c r="CP2541" s="76">
        <f>+CO2541*46000</f>
        <v>0</v>
      </c>
      <c r="CQ2541" s="76"/>
      <c r="CR2541" s="76">
        <f>+CQ2541*49000</f>
        <v>0</v>
      </c>
      <c r="CS2541" s="76"/>
      <c r="CT2541" s="76"/>
      <c r="CU2541" s="56">
        <f>AN2541+AP2541+AR2541+AT2541+AV2541+AX2541+AZ2541+BB2541+BD2541+BF2541+BH2541+BJ2541+BL2541+BN2541+BP2541+BR2541+BT2541+BV2541+BX2541+BZ2541+CB2541+CD2541+CF2541+CH2541+CJ2541+CL2541+CN2541+CP2541+CR2541+CT2541</f>
        <v>0</v>
      </c>
      <c r="CV2541" s="76"/>
      <c r="CW2541" s="76">
        <f>+CV2541*1100</f>
        <v>0</v>
      </c>
      <c r="CX2541" s="76"/>
      <c r="CY2541" s="76">
        <f>+CX2541*106250</f>
        <v>0</v>
      </c>
      <c r="CZ2541" s="76"/>
      <c r="DA2541" s="76">
        <f>+CZ2541*34500</f>
        <v>0</v>
      </c>
      <c r="DB2541" s="76"/>
      <c r="DC2541" s="76">
        <f>+DB2541*25000</f>
        <v>0</v>
      </c>
      <c r="DD2541" s="219"/>
      <c r="DE2541" s="219"/>
      <c r="DF2541" s="166"/>
      <c r="DG2541" s="116"/>
      <c r="DH2541" s="117"/>
      <c r="DI2541" s="24"/>
      <c r="DJ2541" s="24"/>
      <c r="DK2541" s="24"/>
      <c r="DL2541" s="24"/>
      <c r="DM2541" s="24"/>
      <c r="DN2541" s="24"/>
      <c r="DO2541" s="24"/>
      <c r="DP2541" s="24"/>
      <c r="DQ2541" s="24"/>
      <c r="DR2541" s="24"/>
      <c r="DS2541" s="24"/>
      <c r="DT2541" s="24"/>
      <c r="DU2541" s="24"/>
    </row>
    <row r="2542" spans="1:125" s="8" customFormat="1" ht="63.75" customHeight="1" x14ac:dyDescent="0.2">
      <c r="A2542" s="353">
        <v>41484</v>
      </c>
      <c r="B2542" s="352" t="s">
        <v>2718</v>
      </c>
      <c r="C2542" s="354" t="s">
        <v>1001</v>
      </c>
      <c r="D2542" s="354" t="s">
        <v>2882</v>
      </c>
      <c r="E2542" s="353" t="str">
        <f>VLOOKUP(B2542&amp;C2542,Divipola!$C$2:$F$1138,4,FALSE)</f>
        <v>23807</v>
      </c>
      <c r="F2542" s="87"/>
      <c r="G2542" s="87"/>
      <c r="H2542" s="87"/>
      <c r="I2542" s="87">
        <v>1430</v>
      </c>
      <c r="J2542" s="87">
        <v>286</v>
      </c>
      <c r="K2542" s="87">
        <v>6</v>
      </c>
      <c r="L2542" s="87"/>
      <c r="M2542" s="87"/>
      <c r="N2542" s="87"/>
      <c r="O2542" s="87"/>
      <c r="P2542" s="87"/>
      <c r="Q2542" s="87"/>
      <c r="R2542" s="87"/>
      <c r="S2542" s="87"/>
      <c r="T2542" s="87"/>
      <c r="U2542" s="88"/>
      <c r="V2542" s="89"/>
      <c r="W2542" s="96">
        <v>0</v>
      </c>
      <c r="X2542" s="71">
        <f>CU2542</f>
        <v>0</v>
      </c>
      <c r="Y2542" s="71">
        <f>CY2542</f>
        <v>0</v>
      </c>
      <c r="Z2542" s="71">
        <f>DA2542+DC2542+DE2542</f>
        <v>0</v>
      </c>
      <c r="AA2542" s="71">
        <f>CW2542</f>
        <v>0</v>
      </c>
      <c r="AB2542" s="71"/>
      <c r="AC2542" s="71">
        <v>0</v>
      </c>
      <c r="AD2542" s="71">
        <f>W2542+X2542+Y2542+Z2542+AA2542+AB2542+AC2542</f>
        <v>0</v>
      </c>
      <c r="AE2542" s="72">
        <v>0</v>
      </c>
      <c r="AF2542" s="5"/>
      <c r="AG2542" s="6"/>
      <c r="AH2542" s="27"/>
      <c r="AI2542" s="44"/>
      <c r="AJ2542" s="26"/>
      <c r="AK2542" s="5"/>
      <c r="AL2542" s="82" t="s">
        <v>5451</v>
      </c>
      <c r="AM2542" s="76"/>
      <c r="AN2542" s="76"/>
      <c r="AO2542" s="76"/>
      <c r="AP2542" s="76"/>
      <c r="AQ2542" s="76"/>
      <c r="AR2542" s="76"/>
      <c r="AS2542" s="76"/>
      <c r="AT2542" s="76"/>
      <c r="AU2542" s="76"/>
      <c r="AV2542" s="76"/>
      <c r="AW2542" s="76"/>
      <c r="AX2542" s="76">
        <f>+AW2542*600000</f>
        <v>0</v>
      </c>
      <c r="AY2542" s="76"/>
      <c r="AZ2542" s="76">
        <f>+AY2542*70000</f>
        <v>0</v>
      </c>
      <c r="BA2542" s="76"/>
      <c r="BB2542" s="76"/>
      <c r="BC2542" s="76"/>
      <c r="BD2542" s="76">
        <f>+BC2542*30000</f>
        <v>0</v>
      </c>
      <c r="BE2542" s="76"/>
      <c r="BF2542" s="76"/>
      <c r="BG2542" s="76"/>
      <c r="BH2542" s="76"/>
      <c r="BI2542" s="76"/>
      <c r="BJ2542" s="76"/>
      <c r="BK2542" s="76"/>
      <c r="BL2542" s="76">
        <f>+BK2542*31500</f>
        <v>0</v>
      </c>
      <c r="BM2542" s="76"/>
      <c r="BN2542" s="76"/>
      <c r="BO2542" s="76"/>
      <c r="BP2542" s="76"/>
      <c r="BQ2542" s="76"/>
      <c r="BR2542" s="76"/>
      <c r="BS2542" s="76"/>
      <c r="BT2542" s="76"/>
      <c r="BU2542" s="76"/>
      <c r="BV2542" s="76"/>
      <c r="BW2542" s="76"/>
      <c r="BX2542" s="76"/>
      <c r="BY2542" s="76"/>
      <c r="BZ2542" s="76"/>
      <c r="CA2542" s="76"/>
      <c r="CB2542" s="76"/>
      <c r="CC2542" s="76"/>
      <c r="CD2542" s="76"/>
      <c r="CE2542" s="76"/>
      <c r="CF2542" s="76">
        <f>+CE2542*28000</f>
        <v>0</v>
      </c>
      <c r="CG2542" s="76"/>
      <c r="CH2542" s="76">
        <f>+CG2542*22500</f>
        <v>0</v>
      </c>
      <c r="CI2542" s="76"/>
      <c r="CJ2542" s="76">
        <f>+CI2542*26000</f>
        <v>0</v>
      </c>
      <c r="CK2542" s="76"/>
      <c r="CL2542" s="76"/>
      <c r="CM2542" s="76"/>
      <c r="CN2542" s="76">
        <f>+CM2542*22000</f>
        <v>0</v>
      </c>
      <c r="CO2542" s="76"/>
      <c r="CP2542" s="76">
        <f>+CO2542*46000</f>
        <v>0</v>
      </c>
      <c r="CQ2542" s="76"/>
      <c r="CR2542" s="76">
        <f>+CQ2542*49000</f>
        <v>0</v>
      </c>
      <c r="CS2542" s="76"/>
      <c r="CT2542" s="76"/>
      <c r="CU2542" s="56">
        <f>AN2542+AP2542+AR2542+AT2542+AV2542+AX2542+AZ2542+BB2542+BD2542+BF2542+BH2542+BJ2542+BL2542+BN2542+BP2542+BR2542+BT2542+BV2542+BX2542+BZ2542+CB2542+CD2542+CF2542+CH2542+CJ2542+CL2542+CN2542+CP2542+CR2542+CT2542</f>
        <v>0</v>
      </c>
      <c r="CV2542" s="76"/>
      <c r="CW2542" s="76">
        <f>+CV2542*1100</f>
        <v>0</v>
      </c>
      <c r="CX2542" s="76"/>
      <c r="CY2542" s="76">
        <f>+CX2542*106250</f>
        <v>0</v>
      </c>
      <c r="CZ2542" s="76"/>
      <c r="DA2542" s="76">
        <f>+CZ2542*34500</f>
        <v>0</v>
      </c>
      <c r="DB2542" s="76"/>
      <c r="DC2542" s="76">
        <f>+DB2542*25000</f>
        <v>0</v>
      </c>
      <c r="DD2542" s="219"/>
      <c r="DE2542" s="219"/>
      <c r="DF2542" s="166"/>
      <c r="DG2542" s="116"/>
      <c r="DH2542" s="117"/>
      <c r="DI2542" s="24"/>
      <c r="DJ2542" s="24"/>
      <c r="DK2542" s="24"/>
      <c r="DL2542" s="24"/>
      <c r="DM2542" s="24"/>
      <c r="DN2542" s="24"/>
      <c r="DO2542" s="24"/>
      <c r="DP2542" s="24"/>
      <c r="DQ2542" s="24"/>
      <c r="DR2542" s="24"/>
      <c r="DS2542" s="24"/>
      <c r="DT2542" s="24"/>
      <c r="DU2542" s="24"/>
    </row>
    <row r="2543" spans="1:125" s="8" customFormat="1" ht="84" x14ac:dyDescent="0.2">
      <c r="A2543" s="226">
        <v>41484</v>
      </c>
      <c r="B2543" s="225" t="s">
        <v>2772</v>
      </c>
      <c r="C2543" s="354" t="s">
        <v>2100</v>
      </c>
      <c r="D2543" s="354" t="s">
        <v>2846</v>
      </c>
      <c r="E2543" s="353" t="str">
        <f>VLOOKUP(B2543&amp;C2543,Divipola!$C$2:$F$1138,4,FALSE)</f>
        <v>25402</v>
      </c>
      <c r="F2543" s="87"/>
      <c r="G2543" s="87"/>
      <c r="H2543" s="87"/>
      <c r="I2543" s="87"/>
      <c r="J2543" s="87"/>
      <c r="K2543" s="87"/>
      <c r="L2543" s="87"/>
      <c r="M2543" s="87"/>
      <c r="N2543" s="87"/>
      <c r="O2543" s="87"/>
      <c r="P2543" s="87"/>
      <c r="Q2543" s="87"/>
      <c r="R2543" s="87"/>
      <c r="S2543" s="87"/>
      <c r="T2543" s="87"/>
      <c r="U2543" s="88">
        <v>5</v>
      </c>
      <c r="V2543" s="89"/>
      <c r="W2543" s="96">
        <v>0</v>
      </c>
      <c r="X2543" s="71">
        <f>CU2543</f>
        <v>0</v>
      </c>
      <c r="Y2543" s="71">
        <f>CY2543</f>
        <v>0</v>
      </c>
      <c r="Z2543" s="71">
        <f>DA2543+DC2543+DE2543</f>
        <v>0</v>
      </c>
      <c r="AA2543" s="71">
        <f>CW2543</f>
        <v>0</v>
      </c>
      <c r="AB2543" s="71"/>
      <c r="AC2543" s="71">
        <v>0</v>
      </c>
      <c r="AD2543" s="71">
        <f>W2543+X2543+Y2543+Z2543+AA2543+AB2543+AC2543</f>
        <v>0</v>
      </c>
      <c r="AE2543" s="72">
        <v>0</v>
      </c>
      <c r="AF2543" s="5"/>
      <c r="AG2543" s="6"/>
      <c r="AH2543" s="27"/>
      <c r="AI2543" s="44"/>
      <c r="AJ2543" s="26"/>
      <c r="AK2543" s="5"/>
      <c r="AL2543" s="82" t="s">
        <v>5431</v>
      </c>
      <c r="AM2543" s="76"/>
      <c r="AN2543" s="76"/>
      <c r="AO2543" s="76"/>
      <c r="AP2543" s="76"/>
      <c r="AQ2543" s="76"/>
      <c r="AR2543" s="76"/>
      <c r="AS2543" s="76"/>
      <c r="AT2543" s="76"/>
      <c r="AU2543" s="76"/>
      <c r="AV2543" s="76"/>
      <c r="AW2543" s="76"/>
      <c r="AX2543" s="76">
        <f>+AW2543*600000</f>
        <v>0</v>
      </c>
      <c r="AY2543" s="76"/>
      <c r="AZ2543" s="76">
        <f>+AY2543*70000</f>
        <v>0</v>
      </c>
      <c r="BA2543" s="76"/>
      <c r="BB2543" s="76"/>
      <c r="BC2543" s="76"/>
      <c r="BD2543" s="76">
        <f>+BC2543*30000</f>
        <v>0</v>
      </c>
      <c r="BE2543" s="76"/>
      <c r="BF2543" s="76"/>
      <c r="BG2543" s="76"/>
      <c r="BH2543" s="76"/>
      <c r="BI2543" s="76"/>
      <c r="BJ2543" s="76"/>
      <c r="BK2543" s="76"/>
      <c r="BL2543" s="76">
        <f>+BK2543*31500</f>
        <v>0</v>
      </c>
      <c r="BM2543" s="76"/>
      <c r="BN2543" s="76"/>
      <c r="BO2543" s="76"/>
      <c r="BP2543" s="76"/>
      <c r="BQ2543" s="76"/>
      <c r="BR2543" s="76"/>
      <c r="BS2543" s="76"/>
      <c r="BT2543" s="76"/>
      <c r="BU2543" s="76"/>
      <c r="BV2543" s="76"/>
      <c r="BW2543" s="76"/>
      <c r="BX2543" s="76"/>
      <c r="BY2543" s="76"/>
      <c r="BZ2543" s="76"/>
      <c r="CA2543" s="76"/>
      <c r="CB2543" s="76"/>
      <c r="CC2543" s="76"/>
      <c r="CD2543" s="76"/>
      <c r="CE2543" s="76"/>
      <c r="CF2543" s="76">
        <f>+CE2543*28000</f>
        <v>0</v>
      </c>
      <c r="CG2543" s="76"/>
      <c r="CH2543" s="76">
        <f>+CG2543*22500</f>
        <v>0</v>
      </c>
      <c r="CI2543" s="76"/>
      <c r="CJ2543" s="76">
        <f>+CI2543*26000</f>
        <v>0</v>
      </c>
      <c r="CK2543" s="76"/>
      <c r="CL2543" s="76"/>
      <c r="CM2543" s="76"/>
      <c r="CN2543" s="76">
        <f>+CM2543*22000</f>
        <v>0</v>
      </c>
      <c r="CO2543" s="76"/>
      <c r="CP2543" s="76">
        <f>+CO2543*46000</f>
        <v>0</v>
      </c>
      <c r="CQ2543" s="76"/>
      <c r="CR2543" s="76">
        <f>+CQ2543*49000</f>
        <v>0</v>
      </c>
      <c r="CS2543" s="76"/>
      <c r="CT2543" s="76"/>
      <c r="CU2543" s="56">
        <f>AN2543+AP2543+AR2543+AT2543+AV2543+AX2543+AZ2543+BB2543+BD2543+BF2543+BH2543+BJ2543+BL2543+BN2543+BP2543+BR2543+BT2543+BV2543+BX2543+BZ2543+CB2543+CD2543+CF2543+CH2543+CJ2543+CL2543+CN2543+CP2543+CR2543+CT2543</f>
        <v>0</v>
      </c>
      <c r="CV2543" s="76"/>
      <c r="CW2543" s="76">
        <f>+CV2543*1100</f>
        <v>0</v>
      </c>
      <c r="CX2543" s="76"/>
      <c r="CY2543" s="76">
        <f>+CX2543*106250</f>
        <v>0</v>
      </c>
      <c r="CZ2543" s="76"/>
      <c r="DA2543" s="76">
        <f>+CZ2543*34500</f>
        <v>0</v>
      </c>
      <c r="DB2543" s="76"/>
      <c r="DC2543" s="76">
        <f>+DB2543*25000</f>
        <v>0</v>
      </c>
      <c r="DD2543" s="219"/>
      <c r="DE2543" s="219"/>
      <c r="DF2543" s="166"/>
      <c r="DG2543" s="116"/>
      <c r="DH2543" s="117"/>
      <c r="DI2543" s="24"/>
      <c r="DJ2543" s="24"/>
      <c r="DK2543" s="24"/>
      <c r="DL2543" s="24"/>
      <c r="DM2543" s="24"/>
      <c r="DN2543" s="24"/>
      <c r="DO2543" s="24"/>
      <c r="DP2543" s="24"/>
      <c r="DQ2543" s="24"/>
      <c r="DR2543" s="24"/>
      <c r="DS2543" s="24"/>
      <c r="DT2543" s="24"/>
      <c r="DU2543" s="24"/>
    </row>
    <row r="2544" spans="1:125" s="8" customFormat="1" ht="48" x14ac:dyDescent="0.2">
      <c r="A2544" s="226">
        <v>41484</v>
      </c>
      <c r="B2544" s="352" t="s">
        <v>2906</v>
      </c>
      <c r="C2544" s="227" t="s">
        <v>439</v>
      </c>
      <c r="D2544" s="354" t="s">
        <v>2882</v>
      </c>
      <c r="E2544" s="353" t="str">
        <f>VLOOKUP(B2544&amp;C2544,Divipola!$C$2:$F$1138,4,FALSE)</f>
        <v>47318</v>
      </c>
      <c r="F2544" s="87"/>
      <c r="G2544" s="87"/>
      <c r="H2544" s="87"/>
      <c r="I2544" s="87"/>
      <c r="J2544" s="87"/>
      <c r="K2544" s="87"/>
      <c r="L2544" s="87"/>
      <c r="M2544" s="87"/>
      <c r="N2544" s="87"/>
      <c r="O2544" s="87"/>
      <c r="P2544" s="87"/>
      <c r="Q2544" s="87"/>
      <c r="R2544" s="87"/>
      <c r="S2544" s="87"/>
      <c r="T2544" s="87"/>
      <c r="U2544" s="88"/>
      <c r="V2544" s="89"/>
      <c r="W2544" s="96">
        <v>0</v>
      </c>
      <c r="X2544" s="71">
        <f>CU2544</f>
        <v>0</v>
      </c>
      <c r="Y2544" s="71">
        <f>CY2544</f>
        <v>0</v>
      </c>
      <c r="Z2544" s="71">
        <f>DA2544+DC2544+DE2544</f>
        <v>0</v>
      </c>
      <c r="AA2544" s="71">
        <f>CW2544</f>
        <v>0</v>
      </c>
      <c r="AB2544" s="71"/>
      <c r="AC2544" s="71">
        <v>0</v>
      </c>
      <c r="AD2544" s="71">
        <f>W2544+X2544+Y2544+Z2544+AA2544+AB2544+AC2544</f>
        <v>0</v>
      </c>
      <c r="AE2544" s="72">
        <v>0</v>
      </c>
      <c r="AF2544" s="5"/>
      <c r="AG2544" s="6"/>
      <c r="AH2544" s="27"/>
      <c r="AI2544" s="44"/>
      <c r="AJ2544" s="26"/>
      <c r="AK2544" s="5"/>
      <c r="AL2544" s="82" t="s">
        <v>5408</v>
      </c>
      <c r="AM2544" s="76"/>
      <c r="AN2544" s="76"/>
      <c r="AO2544" s="76"/>
      <c r="AP2544" s="76"/>
      <c r="AQ2544" s="76"/>
      <c r="AR2544" s="76"/>
      <c r="AS2544" s="76"/>
      <c r="AT2544" s="76"/>
      <c r="AU2544" s="76"/>
      <c r="AV2544" s="76"/>
      <c r="AW2544" s="76"/>
      <c r="AX2544" s="76">
        <f>+AW2544*600000</f>
        <v>0</v>
      </c>
      <c r="AY2544" s="76"/>
      <c r="AZ2544" s="76">
        <f>+AY2544*70000</f>
        <v>0</v>
      </c>
      <c r="BA2544" s="76"/>
      <c r="BB2544" s="76"/>
      <c r="BC2544" s="76"/>
      <c r="BD2544" s="76">
        <f>+BC2544*30000</f>
        <v>0</v>
      </c>
      <c r="BE2544" s="76"/>
      <c r="BF2544" s="76"/>
      <c r="BG2544" s="76"/>
      <c r="BH2544" s="76"/>
      <c r="BI2544" s="76"/>
      <c r="BJ2544" s="76"/>
      <c r="BK2544" s="76"/>
      <c r="BL2544" s="76">
        <f>+BK2544*31500</f>
        <v>0</v>
      </c>
      <c r="BM2544" s="76"/>
      <c r="BN2544" s="76"/>
      <c r="BO2544" s="76"/>
      <c r="BP2544" s="76"/>
      <c r="BQ2544" s="76"/>
      <c r="BR2544" s="76"/>
      <c r="BS2544" s="76"/>
      <c r="BT2544" s="76"/>
      <c r="BU2544" s="76"/>
      <c r="BV2544" s="76"/>
      <c r="BW2544" s="76"/>
      <c r="BX2544" s="76"/>
      <c r="BY2544" s="76"/>
      <c r="BZ2544" s="76"/>
      <c r="CA2544" s="76"/>
      <c r="CB2544" s="76"/>
      <c r="CC2544" s="76"/>
      <c r="CD2544" s="76"/>
      <c r="CE2544" s="76"/>
      <c r="CF2544" s="76">
        <f>+CE2544*28000</f>
        <v>0</v>
      </c>
      <c r="CG2544" s="76"/>
      <c r="CH2544" s="76">
        <f>+CG2544*22500</f>
        <v>0</v>
      </c>
      <c r="CI2544" s="76"/>
      <c r="CJ2544" s="76">
        <f>+CI2544*26000</f>
        <v>0</v>
      </c>
      <c r="CK2544" s="76"/>
      <c r="CL2544" s="76"/>
      <c r="CM2544" s="76"/>
      <c r="CN2544" s="76">
        <f>+CM2544*22000</f>
        <v>0</v>
      </c>
      <c r="CO2544" s="76"/>
      <c r="CP2544" s="76">
        <f>+CO2544*46000</f>
        <v>0</v>
      </c>
      <c r="CQ2544" s="76"/>
      <c r="CR2544" s="76">
        <f>+CQ2544*49000</f>
        <v>0</v>
      </c>
      <c r="CS2544" s="76"/>
      <c r="CT2544" s="76"/>
      <c r="CU2544" s="56">
        <f>AN2544+AP2544+AR2544+AT2544+AV2544+AX2544+AZ2544+BB2544+BD2544+BF2544+BH2544+BJ2544+BL2544+BN2544+BP2544+BR2544+BT2544+BV2544+BX2544+BZ2544+CB2544+CD2544+CF2544+CH2544+CJ2544+CL2544+CN2544+CP2544+CR2544+CT2544</f>
        <v>0</v>
      </c>
      <c r="CV2544" s="76"/>
      <c r="CW2544" s="76">
        <f>+CV2544*1100</f>
        <v>0</v>
      </c>
      <c r="CX2544" s="76"/>
      <c r="CY2544" s="76">
        <f>+CX2544*106250</f>
        <v>0</v>
      </c>
      <c r="CZ2544" s="76"/>
      <c r="DA2544" s="76">
        <f>+CZ2544*34500</f>
        <v>0</v>
      </c>
      <c r="DB2544" s="76"/>
      <c r="DC2544" s="76">
        <f>+DB2544*25000</f>
        <v>0</v>
      </c>
      <c r="DD2544" s="219"/>
      <c r="DE2544" s="219"/>
      <c r="DF2544" s="166"/>
      <c r="DG2544" s="116"/>
      <c r="DH2544" s="117"/>
      <c r="DI2544" s="24"/>
      <c r="DJ2544" s="24"/>
      <c r="DK2544" s="24"/>
      <c r="DL2544" s="24"/>
      <c r="DM2544" s="24"/>
      <c r="DN2544" s="24"/>
      <c r="DO2544" s="24"/>
      <c r="DP2544" s="24"/>
      <c r="DQ2544" s="24"/>
      <c r="DR2544" s="24"/>
      <c r="DS2544" s="24"/>
      <c r="DT2544" s="24"/>
      <c r="DU2544" s="24"/>
    </row>
    <row r="2545" spans="1:125" s="8" customFormat="1" ht="48" x14ac:dyDescent="0.2">
      <c r="A2545" s="353">
        <v>41484</v>
      </c>
      <c r="B2545" s="352" t="s">
        <v>2860</v>
      </c>
      <c r="C2545" s="354" t="s">
        <v>504</v>
      </c>
      <c r="D2545" s="354" t="s">
        <v>2882</v>
      </c>
      <c r="E2545" s="353" t="str">
        <f>VLOOKUP(B2545&amp;C2545,Divipola!$C$2:$F$1138,4,FALSE)</f>
        <v>63302</v>
      </c>
      <c r="F2545" s="87"/>
      <c r="G2545" s="87"/>
      <c r="H2545" s="87"/>
      <c r="I2545" s="87">
        <v>5</v>
      </c>
      <c r="J2545" s="87">
        <v>1</v>
      </c>
      <c r="K2545" s="87"/>
      <c r="L2545" s="87">
        <v>1</v>
      </c>
      <c r="M2545" s="87"/>
      <c r="N2545" s="87"/>
      <c r="O2545" s="87"/>
      <c r="P2545" s="87"/>
      <c r="Q2545" s="87"/>
      <c r="R2545" s="87"/>
      <c r="S2545" s="87"/>
      <c r="T2545" s="87"/>
      <c r="U2545" s="88"/>
      <c r="V2545" s="89"/>
      <c r="W2545" s="96">
        <v>0</v>
      </c>
      <c r="X2545" s="71">
        <f>CU2545</f>
        <v>0</v>
      </c>
      <c r="Y2545" s="71">
        <f>CY2545</f>
        <v>0</v>
      </c>
      <c r="Z2545" s="71">
        <f>DA2545+DC2545+DE2545</f>
        <v>0</v>
      </c>
      <c r="AA2545" s="71">
        <f>CW2545</f>
        <v>0</v>
      </c>
      <c r="AB2545" s="71"/>
      <c r="AC2545" s="71">
        <v>0</v>
      </c>
      <c r="AD2545" s="71">
        <f>W2545+X2545+Y2545+Z2545+AA2545+AB2545+AC2545</f>
        <v>0</v>
      </c>
      <c r="AE2545" s="72">
        <v>0</v>
      </c>
      <c r="AF2545" s="5"/>
      <c r="AG2545" s="6"/>
      <c r="AH2545" s="27"/>
      <c r="AI2545" s="44"/>
      <c r="AJ2545" s="26"/>
      <c r="AK2545" s="5"/>
      <c r="AL2545" s="82" t="s">
        <v>5421</v>
      </c>
      <c r="AM2545" s="76"/>
      <c r="AN2545" s="76"/>
      <c r="AO2545" s="76"/>
      <c r="AP2545" s="76"/>
      <c r="AQ2545" s="76"/>
      <c r="AR2545" s="76"/>
      <c r="AS2545" s="76"/>
      <c r="AT2545" s="76"/>
      <c r="AU2545" s="76"/>
      <c r="AV2545" s="76"/>
      <c r="AW2545" s="76"/>
      <c r="AX2545" s="76">
        <f>+AW2545*600000</f>
        <v>0</v>
      </c>
      <c r="AY2545" s="76"/>
      <c r="AZ2545" s="76">
        <f>+AY2545*70000</f>
        <v>0</v>
      </c>
      <c r="BA2545" s="76"/>
      <c r="BB2545" s="76"/>
      <c r="BC2545" s="76"/>
      <c r="BD2545" s="76">
        <f>+BC2545*30000</f>
        <v>0</v>
      </c>
      <c r="BE2545" s="76"/>
      <c r="BF2545" s="76"/>
      <c r="BG2545" s="76"/>
      <c r="BH2545" s="76"/>
      <c r="BI2545" s="76"/>
      <c r="BJ2545" s="76"/>
      <c r="BK2545" s="76"/>
      <c r="BL2545" s="76">
        <f>+BK2545*31500</f>
        <v>0</v>
      </c>
      <c r="BM2545" s="76"/>
      <c r="BN2545" s="76"/>
      <c r="BO2545" s="76"/>
      <c r="BP2545" s="76"/>
      <c r="BQ2545" s="76"/>
      <c r="BR2545" s="76"/>
      <c r="BS2545" s="76"/>
      <c r="BT2545" s="76"/>
      <c r="BU2545" s="76"/>
      <c r="BV2545" s="76"/>
      <c r="BW2545" s="76"/>
      <c r="BX2545" s="76"/>
      <c r="BY2545" s="76"/>
      <c r="BZ2545" s="76"/>
      <c r="CA2545" s="76"/>
      <c r="CB2545" s="76"/>
      <c r="CC2545" s="76"/>
      <c r="CD2545" s="76"/>
      <c r="CE2545" s="76"/>
      <c r="CF2545" s="76">
        <f>+CE2545*28000</f>
        <v>0</v>
      </c>
      <c r="CG2545" s="76"/>
      <c r="CH2545" s="76">
        <f>+CG2545*22500</f>
        <v>0</v>
      </c>
      <c r="CI2545" s="76"/>
      <c r="CJ2545" s="76">
        <f>+CI2545*26000</f>
        <v>0</v>
      </c>
      <c r="CK2545" s="76"/>
      <c r="CL2545" s="76"/>
      <c r="CM2545" s="76"/>
      <c r="CN2545" s="76">
        <f>+CM2545*22000</f>
        <v>0</v>
      </c>
      <c r="CO2545" s="76"/>
      <c r="CP2545" s="76">
        <f>+CO2545*46000</f>
        <v>0</v>
      </c>
      <c r="CQ2545" s="76"/>
      <c r="CR2545" s="76">
        <f>+CQ2545*49000</f>
        <v>0</v>
      </c>
      <c r="CS2545" s="76"/>
      <c r="CT2545" s="76"/>
      <c r="CU2545" s="56">
        <f>AN2545+AP2545+AR2545+AT2545+AV2545+AX2545+AZ2545+BB2545+BD2545+BF2545+BH2545+BJ2545+BL2545+BN2545+BP2545+BR2545+BT2545+BV2545+BX2545+BZ2545+CB2545+CD2545+CF2545+CH2545+CJ2545+CL2545+CN2545+CP2545+CR2545+CT2545</f>
        <v>0</v>
      </c>
      <c r="CV2545" s="76"/>
      <c r="CW2545" s="76">
        <f>+CV2545*1100</f>
        <v>0</v>
      </c>
      <c r="CX2545" s="76"/>
      <c r="CY2545" s="76">
        <f>+CX2545*106250</f>
        <v>0</v>
      </c>
      <c r="CZ2545" s="76"/>
      <c r="DA2545" s="76">
        <f>+CZ2545*34500</f>
        <v>0</v>
      </c>
      <c r="DB2545" s="76"/>
      <c r="DC2545" s="76">
        <f>+DB2545*25000</f>
        <v>0</v>
      </c>
      <c r="DD2545" s="219"/>
      <c r="DE2545" s="219"/>
      <c r="DF2545" s="166"/>
      <c r="DG2545" s="116"/>
      <c r="DH2545" s="117"/>
      <c r="DI2545" s="24"/>
      <c r="DJ2545" s="24"/>
      <c r="DK2545" s="24"/>
      <c r="DL2545" s="24"/>
      <c r="DM2545" s="24"/>
      <c r="DN2545" s="24"/>
      <c r="DO2545" s="24"/>
      <c r="DP2545" s="24"/>
      <c r="DQ2545" s="24"/>
      <c r="DR2545" s="24"/>
      <c r="DS2545" s="24"/>
      <c r="DT2545" s="24"/>
      <c r="DU2545" s="24"/>
    </row>
    <row r="2546" spans="1:125" s="8" customFormat="1" ht="48" x14ac:dyDescent="0.2">
      <c r="A2546" s="353">
        <v>41484</v>
      </c>
      <c r="B2546" s="352" t="s">
        <v>2774</v>
      </c>
      <c r="C2546" s="354" t="s">
        <v>2037</v>
      </c>
      <c r="D2546" s="354" t="s">
        <v>2846</v>
      </c>
      <c r="E2546" s="353" t="str">
        <f>VLOOKUP(B2546&amp;C2546,Divipola!$C$2:$F$1138,4,FALSE)</f>
        <v>66045</v>
      </c>
      <c r="F2546" s="87"/>
      <c r="G2546" s="87"/>
      <c r="H2546" s="87"/>
      <c r="I2546" s="87"/>
      <c r="J2546" s="87"/>
      <c r="K2546" s="87"/>
      <c r="L2546" s="87"/>
      <c r="M2546" s="87"/>
      <c r="N2546" s="87"/>
      <c r="O2546" s="87"/>
      <c r="P2546" s="87"/>
      <c r="Q2546" s="87"/>
      <c r="R2546" s="87"/>
      <c r="S2546" s="87"/>
      <c r="T2546" s="87"/>
      <c r="U2546" s="88">
        <v>1</v>
      </c>
      <c r="V2546" s="89"/>
      <c r="W2546" s="96">
        <v>0</v>
      </c>
      <c r="X2546" s="71">
        <f>CU2546</f>
        <v>0</v>
      </c>
      <c r="Y2546" s="71">
        <f>CY2546</f>
        <v>0</v>
      </c>
      <c r="Z2546" s="71">
        <f>DA2546+DC2546+DE2546</f>
        <v>0</v>
      </c>
      <c r="AA2546" s="71">
        <f>CW2546</f>
        <v>0</v>
      </c>
      <c r="AB2546" s="71"/>
      <c r="AC2546" s="71">
        <v>0</v>
      </c>
      <c r="AD2546" s="71">
        <f>W2546+X2546+Y2546+Z2546+AA2546+AB2546+AC2546</f>
        <v>0</v>
      </c>
      <c r="AE2546" s="72">
        <v>0</v>
      </c>
      <c r="AF2546" s="5"/>
      <c r="AG2546" s="6"/>
      <c r="AH2546" s="27"/>
      <c r="AI2546" s="44"/>
      <c r="AJ2546" s="26"/>
      <c r="AK2546" s="5"/>
      <c r="AL2546" s="82" t="s">
        <v>5423</v>
      </c>
      <c r="AM2546" s="76"/>
      <c r="AN2546" s="76"/>
      <c r="AO2546" s="76"/>
      <c r="AP2546" s="76"/>
      <c r="AQ2546" s="76"/>
      <c r="AR2546" s="76"/>
      <c r="AS2546" s="76"/>
      <c r="AT2546" s="76"/>
      <c r="AU2546" s="76"/>
      <c r="AV2546" s="76"/>
      <c r="AW2546" s="76"/>
      <c r="AX2546" s="76">
        <f>+AW2546*600000</f>
        <v>0</v>
      </c>
      <c r="AY2546" s="76"/>
      <c r="AZ2546" s="76">
        <f>+AY2546*70000</f>
        <v>0</v>
      </c>
      <c r="BA2546" s="76"/>
      <c r="BB2546" s="76"/>
      <c r="BC2546" s="76"/>
      <c r="BD2546" s="76">
        <f>+BC2546*30000</f>
        <v>0</v>
      </c>
      <c r="BE2546" s="76"/>
      <c r="BF2546" s="76"/>
      <c r="BG2546" s="76"/>
      <c r="BH2546" s="76"/>
      <c r="BI2546" s="76"/>
      <c r="BJ2546" s="76"/>
      <c r="BK2546" s="76"/>
      <c r="BL2546" s="76">
        <f>+BK2546*31500</f>
        <v>0</v>
      </c>
      <c r="BM2546" s="76"/>
      <c r="BN2546" s="76"/>
      <c r="BO2546" s="76"/>
      <c r="BP2546" s="76"/>
      <c r="BQ2546" s="76"/>
      <c r="BR2546" s="76"/>
      <c r="BS2546" s="76"/>
      <c r="BT2546" s="76"/>
      <c r="BU2546" s="76"/>
      <c r="BV2546" s="76"/>
      <c r="BW2546" s="76"/>
      <c r="BX2546" s="76"/>
      <c r="BY2546" s="76"/>
      <c r="BZ2546" s="76"/>
      <c r="CA2546" s="76"/>
      <c r="CB2546" s="76"/>
      <c r="CC2546" s="76"/>
      <c r="CD2546" s="76"/>
      <c r="CE2546" s="76"/>
      <c r="CF2546" s="76">
        <f>+CE2546*28000</f>
        <v>0</v>
      </c>
      <c r="CG2546" s="76"/>
      <c r="CH2546" s="76">
        <f>+CG2546*22500</f>
        <v>0</v>
      </c>
      <c r="CI2546" s="76"/>
      <c r="CJ2546" s="76">
        <f>+CI2546*26000</f>
        <v>0</v>
      </c>
      <c r="CK2546" s="76"/>
      <c r="CL2546" s="76"/>
      <c r="CM2546" s="76"/>
      <c r="CN2546" s="76">
        <f>+CM2546*22000</f>
        <v>0</v>
      </c>
      <c r="CO2546" s="76"/>
      <c r="CP2546" s="76">
        <f>+CO2546*46000</f>
        <v>0</v>
      </c>
      <c r="CQ2546" s="76"/>
      <c r="CR2546" s="76">
        <f>+CQ2546*49000</f>
        <v>0</v>
      </c>
      <c r="CS2546" s="76"/>
      <c r="CT2546" s="76"/>
      <c r="CU2546" s="56">
        <f>AN2546+AP2546+AR2546+AT2546+AV2546+AX2546+AZ2546+BB2546+BD2546+BF2546+BH2546+BJ2546+BL2546+BN2546+BP2546+BR2546+BT2546+BV2546+BX2546+BZ2546+CB2546+CD2546+CF2546+CH2546+CJ2546+CL2546+CN2546+CP2546+CR2546+CT2546</f>
        <v>0</v>
      </c>
      <c r="CV2546" s="76"/>
      <c r="CW2546" s="76">
        <f>+CV2546*1100</f>
        <v>0</v>
      </c>
      <c r="CX2546" s="76"/>
      <c r="CY2546" s="76">
        <f>+CX2546*106250</f>
        <v>0</v>
      </c>
      <c r="CZ2546" s="76"/>
      <c r="DA2546" s="76">
        <f>+CZ2546*34500</f>
        <v>0</v>
      </c>
      <c r="DB2546" s="76"/>
      <c r="DC2546" s="76">
        <f>+DB2546*25000</f>
        <v>0</v>
      </c>
      <c r="DD2546" s="219"/>
      <c r="DE2546" s="219"/>
      <c r="DF2546" s="166"/>
      <c r="DG2546" s="116"/>
      <c r="DH2546" s="117"/>
      <c r="DI2546" s="24"/>
      <c r="DJ2546" s="24"/>
      <c r="DK2546" s="24"/>
      <c r="DL2546" s="24"/>
      <c r="DM2546" s="24"/>
      <c r="DN2546" s="24"/>
      <c r="DO2546" s="24"/>
      <c r="DP2546" s="24"/>
      <c r="DQ2546" s="24"/>
      <c r="DR2546" s="24"/>
      <c r="DS2546" s="24"/>
      <c r="DT2546" s="24"/>
      <c r="DU2546" s="24"/>
    </row>
    <row r="2547" spans="1:125" s="8" customFormat="1" ht="24" x14ac:dyDescent="0.2">
      <c r="A2547" s="97">
        <v>41484</v>
      </c>
      <c r="B2547" s="60" t="s">
        <v>2848</v>
      </c>
      <c r="C2547" s="55" t="s">
        <v>1684</v>
      </c>
      <c r="D2547" s="55" t="s">
        <v>2846</v>
      </c>
      <c r="E2547" s="353" t="str">
        <f>VLOOKUP(B2547&amp;C2547,Divipola!$C$2:$F$1138,4,FALSE)</f>
        <v>73055</v>
      </c>
      <c r="F2547" s="87"/>
      <c r="G2547" s="87"/>
      <c r="H2547" s="87"/>
      <c r="I2547" s="87"/>
      <c r="J2547" s="87"/>
      <c r="K2547" s="87"/>
      <c r="L2547" s="87"/>
      <c r="M2547" s="87"/>
      <c r="N2547" s="87"/>
      <c r="O2547" s="87"/>
      <c r="P2547" s="87"/>
      <c r="Q2547" s="87"/>
      <c r="R2547" s="87"/>
      <c r="S2547" s="87"/>
      <c r="T2547" s="87"/>
      <c r="U2547" s="88"/>
      <c r="V2547" s="89"/>
      <c r="W2547" s="96">
        <v>0</v>
      </c>
      <c r="X2547" s="71">
        <f>CU2547</f>
        <v>0</v>
      </c>
      <c r="Y2547" s="71">
        <f>CY2547</f>
        <v>0</v>
      </c>
      <c r="Z2547" s="71">
        <f>DA2547+DC2547+DE2547</f>
        <v>0</v>
      </c>
      <c r="AA2547" s="71">
        <f>CW2547</f>
        <v>0</v>
      </c>
      <c r="AB2547" s="71"/>
      <c r="AC2547" s="71">
        <v>0</v>
      </c>
      <c r="AD2547" s="71">
        <f>W2547+X2547+Y2547+Z2547+AA2547+AB2547+AC2547</f>
        <v>0</v>
      </c>
      <c r="AE2547" s="72">
        <v>0</v>
      </c>
      <c r="AF2547" s="5"/>
      <c r="AG2547" s="6"/>
      <c r="AH2547" s="27"/>
      <c r="AI2547" s="44"/>
      <c r="AJ2547" s="26"/>
      <c r="AK2547" s="5"/>
      <c r="AL2547" s="82" t="s">
        <v>5414</v>
      </c>
      <c r="AM2547" s="76"/>
      <c r="AN2547" s="76"/>
      <c r="AO2547" s="76"/>
      <c r="AP2547" s="76"/>
      <c r="AQ2547" s="76"/>
      <c r="AR2547" s="76"/>
      <c r="AS2547" s="76"/>
      <c r="AT2547" s="76"/>
      <c r="AU2547" s="76"/>
      <c r="AV2547" s="76"/>
      <c r="AW2547" s="76"/>
      <c r="AX2547" s="76">
        <f>+AW2547*600000</f>
        <v>0</v>
      </c>
      <c r="AY2547" s="76"/>
      <c r="AZ2547" s="76">
        <f>+AY2547*70000</f>
        <v>0</v>
      </c>
      <c r="BA2547" s="76"/>
      <c r="BB2547" s="76"/>
      <c r="BC2547" s="76"/>
      <c r="BD2547" s="76">
        <f>+BC2547*30000</f>
        <v>0</v>
      </c>
      <c r="BE2547" s="76"/>
      <c r="BF2547" s="76"/>
      <c r="BG2547" s="76"/>
      <c r="BH2547" s="76"/>
      <c r="BI2547" s="76"/>
      <c r="BJ2547" s="76"/>
      <c r="BK2547" s="76"/>
      <c r="BL2547" s="76">
        <f>+BK2547*31500</f>
        <v>0</v>
      </c>
      <c r="BM2547" s="76"/>
      <c r="BN2547" s="76"/>
      <c r="BO2547" s="76"/>
      <c r="BP2547" s="76"/>
      <c r="BQ2547" s="76"/>
      <c r="BR2547" s="76"/>
      <c r="BS2547" s="76"/>
      <c r="BT2547" s="76"/>
      <c r="BU2547" s="76"/>
      <c r="BV2547" s="76"/>
      <c r="BW2547" s="76"/>
      <c r="BX2547" s="76"/>
      <c r="BY2547" s="76"/>
      <c r="BZ2547" s="76"/>
      <c r="CA2547" s="76"/>
      <c r="CB2547" s="76"/>
      <c r="CC2547" s="76"/>
      <c r="CD2547" s="76"/>
      <c r="CE2547" s="76"/>
      <c r="CF2547" s="76">
        <f>+CE2547*28000</f>
        <v>0</v>
      </c>
      <c r="CG2547" s="76"/>
      <c r="CH2547" s="76">
        <f>+CG2547*22500</f>
        <v>0</v>
      </c>
      <c r="CI2547" s="76"/>
      <c r="CJ2547" s="76">
        <f>+CI2547*26000</f>
        <v>0</v>
      </c>
      <c r="CK2547" s="76"/>
      <c r="CL2547" s="76"/>
      <c r="CM2547" s="76"/>
      <c r="CN2547" s="76">
        <f>+CM2547*22000</f>
        <v>0</v>
      </c>
      <c r="CO2547" s="76"/>
      <c r="CP2547" s="76">
        <f>+CO2547*46000</f>
        <v>0</v>
      </c>
      <c r="CQ2547" s="76"/>
      <c r="CR2547" s="76">
        <f>+CQ2547*49000</f>
        <v>0</v>
      </c>
      <c r="CS2547" s="76"/>
      <c r="CT2547" s="76"/>
      <c r="CU2547" s="56">
        <f>AN2547+AP2547+AR2547+AT2547+AV2547+AX2547+AZ2547+BB2547+BD2547+BF2547+BH2547+BJ2547+BL2547+BN2547+BP2547+BR2547+BT2547+BV2547+BX2547+BZ2547+CB2547+CD2547+CF2547+CH2547+CJ2547+CL2547+CN2547+CP2547+CR2547+CT2547</f>
        <v>0</v>
      </c>
      <c r="CV2547" s="76"/>
      <c r="CW2547" s="76">
        <f>+CV2547*1100</f>
        <v>0</v>
      </c>
      <c r="CX2547" s="76"/>
      <c r="CY2547" s="76">
        <f>+CX2547*106250</f>
        <v>0</v>
      </c>
      <c r="CZ2547" s="76"/>
      <c r="DA2547" s="76">
        <f>+CZ2547*34500</f>
        <v>0</v>
      </c>
      <c r="DB2547" s="76"/>
      <c r="DC2547" s="76">
        <f>+DB2547*25000</f>
        <v>0</v>
      </c>
      <c r="DD2547" s="219"/>
      <c r="DE2547" s="219"/>
      <c r="DF2547" s="166"/>
      <c r="DG2547" s="116"/>
      <c r="DH2547" s="117"/>
      <c r="DI2547" s="24"/>
      <c r="DJ2547" s="24"/>
      <c r="DK2547" s="24"/>
      <c r="DL2547" s="24"/>
      <c r="DM2547" s="24"/>
      <c r="DN2547" s="24"/>
      <c r="DO2547" s="24"/>
      <c r="DP2547" s="24"/>
      <c r="DQ2547" s="24"/>
      <c r="DR2547" s="24"/>
      <c r="DS2547" s="24"/>
      <c r="DT2547" s="24"/>
      <c r="DU2547" s="24"/>
    </row>
    <row r="2548" spans="1:125" s="8" customFormat="1" ht="36" x14ac:dyDescent="0.2">
      <c r="A2548" s="226">
        <v>41484</v>
      </c>
      <c r="B2548" s="225" t="s">
        <v>2848</v>
      </c>
      <c r="C2548" s="227" t="s">
        <v>2214</v>
      </c>
      <c r="D2548" s="227" t="s">
        <v>2846</v>
      </c>
      <c r="E2548" s="353" t="str">
        <f>VLOOKUP(B2548&amp;C2548,Divipola!$C$2:$F$1138,4,FALSE)</f>
        <v>73283</v>
      </c>
      <c r="F2548" s="87"/>
      <c r="G2548" s="87"/>
      <c r="H2548" s="87"/>
      <c r="I2548" s="87"/>
      <c r="J2548" s="87"/>
      <c r="K2548" s="87"/>
      <c r="L2548" s="87"/>
      <c r="M2548" s="87"/>
      <c r="N2548" s="87"/>
      <c r="O2548" s="87"/>
      <c r="P2548" s="87"/>
      <c r="Q2548" s="87"/>
      <c r="R2548" s="87"/>
      <c r="S2548" s="87"/>
      <c r="T2548" s="87"/>
      <c r="U2548" s="88" t="s">
        <v>5413</v>
      </c>
      <c r="V2548" s="89"/>
      <c r="W2548" s="96">
        <v>0</v>
      </c>
      <c r="X2548" s="71">
        <f>CU2548</f>
        <v>0</v>
      </c>
      <c r="Y2548" s="71">
        <f>CY2548</f>
        <v>0</v>
      </c>
      <c r="Z2548" s="71">
        <f>DA2548+DC2548+DE2548</f>
        <v>0</v>
      </c>
      <c r="AA2548" s="71">
        <f>CW2548</f>
        <v>0</v>
      </c>
      <c r="AB2548" s="71"/>
      <c r="AC2548" s="71">
        <v>0</v>
      </c>
      <c r="AD2548" s="71">
        <f>W2548+X2548+Y2548+Z2548+AA2548+AB2548+AC2548</f>
        <v>0</v>
      </c>
      <c r="AE2548" s="72">
        <v>0</v>
      </c>
      <c r="AF2548" s="5"/>
      <c r="AG2548" s="6"/>
      <c r="AH2548" s="27"/>
      <c r="AI2548" s="44"/>
      <c r="AJ2548" s="26"/>
      <c r="AK2548" s="5"/>
      <c r="AL2548" s="82" t="s">
        <v>5416</v>
      </c>
      <c r="AM2548" s="76"/>
      <c r="AN2548" s="76"/>
      <c r="AO2548" s="76"/>
      <c r="AP2548" s="76"/>
      <c r="AQ2548" s="76"/>
      <c r="AR2548" s="76"/>
      <c r="AS2548" s="76"/>
      <c r="AT2548" s="76"/>
      <c r="AU2548" s="76"/>
      <c r="AV2548" s="76"/>
      <c r="AW2548" s="76"/>
      <c r="AX2548" s="76">
        <f>+AW2548*600000</f>
        <v>0</v>
      </c>
      <c r="AY2548" s="76"/>
      <c r="AZ2548" s="76">
        <f>+AY2548*70000</f>
        <v>0</v>
      </c>
      <c r="BA2548" s="76"/>
      <c r="BB2548" s="76"/>
      <c r="BC2548" s="76"/>
      <c r="BD2548" s="76">
        <f>+BC2548*30000</f>
        <v>0</v>
      </c>
      <c r="BE2548" s="76"/>
      <c r="BF2548" s="76"/>
      <c r="BG2548" s="76"/>
      <c r="BH2548" s="76"/>
      <c r="BI2548" s="76"/>
      <c r="BJ2548" s="76"/>
      <c r="BK2548" s="76"/>
      <c r="BL2548" s="76">
        <f>+BK2548*31500</f>
        <v>0</v>
      </c>
      <c r="BM2548" s="76"/>
      <c r="BN2548" s="76"/>
      <c r="BO2548" s="76"/>
      <c r="BP2548" s="76"/>
      <c r="BQ2548" s="76"/>
      <c r="BR2548" s="76"/>
      <c r="BS2548" s="76"/>
      <c r="BT2548" s="76"/>
      <c r="BU2548" s="76"/>
      <c r="BV2548" s="76"/>
      <c r="BW2548" s="76"/>
      <c r="BX2548" s="76"/>
      <c r="BY2548" s="76"/>
      <c r="BZ2548" s="76"/>
      <c r="CA2548" s="76"/>
      <c r="CB2548" s="76"/>
      <c r="CC2548" s="76"/>
      <c r="CD2548" s="76"/>
      <c r="CE2548" s="76"/>
      <c r="CF2548" s="76">
        <f>+CE2548*28000</f>
        <v>0</v>
      </c>
      <c r="CG2548" s="76"/>
      <c r="CH2548" s="76">
        <f>+CG2548*22500</f>
        <v>0</v>
      </c>
      <c r="CI2548" s="76"/>
      <c r="CJ2548" s="76">
        <f>+CI2548*26000</f>
        <v>0</v>
      </c>
      <c r="CK2548" s="76"/>
      <c r="CL2548" s="76"/>
      <c r="CM2548" s="76"/>
      <c r="CN2548" s="76">
        <f>+CM2548*22000</f>
        <v>0</v>
      </c>
      <c r="CO2548" s="76"/>
      <c r="CP2548" s="76">
        <f>+CO2548*46000</f>
        <v>0</v>
      </c>
      <c r="CQ2548" s="76"/>
      <c r="CR2548" s="76">
        <f>+CQ2548*49000</f>
        <v>0</v>
      </c>
      <c r="CS2548" s="76"/>
      <c r="CT2548" s="76"/>
      <c r="CU2548" s="56">
        <f>AN2548+AP2548+AR2548+AT2548+AV2548+AX2548+AZ2548+BB2548+BD2548+BF2548+BH2548+BJ2548+BL2548+BN2548+BP2548+BR2548+BT2548+BV2548+BX2548+BZ2548+CB2548+CD2548+CF2548+CH2548+CJ2548+CL2548+CN2548+CP2548+CR2548+CT2548</f>
        <v>0</v>
      </c>
      <c r="CV2548" s="76"/>
      <c r="CW2548" s="76">
        <f>+CV2548*1100</f>
        <v>0</v>
      </c>
      <c r="CX2548" s="76"/>
      <c r="CY2548" s="76">
        <f>+CX2548*106250</f>
        <v>0</v>
      </c>
      <c r="CZ2548" s="76"/>
      <c r="DA2548" s="76">
        <f>+CZ2548*34500</f>
        <v>0</v>
      </c>
      <c r="DB2548" s="76"/>
      <c r="DC2548" s="76">
        <f>+DB2548*25000</f>
        <v>0</v>
      </c>
      <c r="DD2548" s="219"/>
      <c r="DE2548" s="219"/>
      <c r="DF2548" s="166"/>
      <c r="DG2548" s="116"/>
      <c r="DH2548" s="117"/>
      <c r="DI2548" s="24"/>
      <c r="DJ2548" s="24"/>
      <c r="DK2548" s="24"/>
      <c r="DL2548" s="24"/>
      <c r="DM2548" s="24"/>
      <c r="DN2548" s="24"/>
      <c r="DO2548" s="24"/>
      <c r="DP2548" s="24"/>
      <c r="DQ2548" s="24"/>
      <c r="DR2548" s="24"/>
      <c r="DS2548" s="24"/>
      <c r="DT2548" s="24"/>
      <c r="DU2548" s="24"/>
    </row>
    <row r="2549" spans="1:125" s="8" customFormat="1" ht="24" x14ac:dyDescent="0.2">
      <c r="A2549" s="353">
        <v>41484</v>
      </c>
      <c r="B2549" s="352" t="s">
        <v>2848</v>
      </c>
      <c r="C2549" s="354" t="s">
        <v>1392</v>
      </c>
      <c r="D2549" s="354" t="s">
        <v>2846</v>
      </c>
      <c r="E2549" s="353" t="str">
        <f>VLOOKUP(B2549&amp;C2549,Divipola!$C$2:$F$1138,4,FALSE)</f>
        <v>73520</v>
      </c>
      <c r="F2549" s="87"/>
      <c r="G2549" s="87"/>
      <c r="H2549" s="87"/>
      <c r="I2549" s="87"/>
      <c r="J2549" s="87"/>
      <c r="K2549" s="87"/>
      <c r="L2549" s="87"/>
      <c r="M2549" s="87"/>
      <c r="N2549" s="87"/>
      <c r="O2549" s="87"/>
      <c r="P2549" s="87"/>
      <c r="Q2549" s="87"/>
      <c r="R2549" s="87"/>
      <c r="S2549" s="87"/>
      <c r="T2549" s="87"/>
      <c r="U2549" s="88"/>
      <c r="V2549" s="89"/>
      <c r="W2549" s="96">
        <v>0</v>
      </c>
      <c r="X2549" s="71">
        <f>CU2549</f>
        <v>0</v>
      </c>
      <c r="Y2549" s="71">
        <f>CY2549</f>
        <v>0</v>
      </c>
      <c r="Z2549" s="71">
        <f>DA2549+DC2549+DE2549</f>
        <v>0</v>
      </c>
      <c r="AA2549" s="71">
        <f>CW2549</f>
        <v>0</v>
      </c>
      <c r="AB2549" s="71"/>
      <c r="AC2549" s="71">
        <v>0</v>
      </c>
      <c r="AD2549" s="71">
        <f>W2549+X2549+Y2549+Z2549+AA2549+AB2549+AC2549</f>
        <v>0</v>
      </c>
      <c r="AE2549" s="72">
        <v>0</v>
      </c>
      <c r="AF2549" s="5"/>
      <c r="AG2549" s="6"/>
      <c r="AH2549" s="27"/>
      <c r="AI2549" s="44"/>
      <c r="AJ2549" s="26"/>
      <c r="AK2549" s="5"/>
      <c r="AL2549" s="82" t="s">
        <v>5415</v>
      </c>
      <c r="AM2549" s="76"/>
      <c r="AN2549" s="76"/>
      <c r="AO2549" s="76"/>
      <c r="AP2549" s="76"/>
      <c r="AQ2549" s="76"/>
      <c r="AR2549" s="76"/>
      <c r="AS2549" s="76"/>
      <c r="AT2549" s="76"/>
      <c r="AU2549" s="76"/>
      <c r="AV2549" s="76"/>
      <c r="AW2549" s="76"/>
      <c r="AX2549" s="76">
        <f>+AW2549*600000</f>
        <v>0</v>
      </c>
      <c r="AY2549" s="76"/>
      <c r="AZ2549" s="76">
        <f>+AY2549*70000</f>
        <v>0</v>
      </c>
      <c r="BA2549" s="76"/>
      <c r="BB2549" s="76"/>
      <c r="BC2549" s="76"/>
      <c r="BD2549" s="76">
        <f>+BC2549*30000</f>
        <v>0</v>
      </c>
      <c r="BE2549" s="76"/>
      <c r="BF2549" s="76"/>
      <c r="BG2549" s="76"/>
      <c r="BH2549" s="76"/>
      <c r="BI2549" s="76"/>
      <c r="BJ2549" s="76"/>
      <c r="BK2549" s="76"/>
      <c r="BL2549" s="76">
        <f>+BK2549*31500</f>
        <v>0</v>
      </c>
      <c r="BM2549" s="76"/>
      <c r="BN2549" s="76"/>
      <c r="BO2549" s="76"/>
      <c r="BP2549" s="76"/>
      <c r="BQ2549" s="76"/>
      <c r="BR2549" s="76"/>
      <c r="BS2549" s="76"/>
      <c r="BT2549" s="76"/>
      <c r="BU2549" s="76"/>
      <c r="BV2549" s="76"/>
      <c r="BW2549" s="76"/>
      <c r="BX2549" s="76"/>
      <c r="BY2549" s="76"/>
      <c r="BZ2549" s="76"/>
      <c r="CA2549" s="76"/>
      <c r="CB2549" s="76"/>
      <c r="CC2549" s="76"/>
      <c r="CD2549" s="76"/>
      <c r="CE2549" s="76"/>
      <c r="CF2549" s="76">
        <f>+CE2549*28000</f>
        <v>0</v>
      </c>
      <c r="CG2549" s="76"/>
      <c r="CH2549" s="76">
        <f>+CG2549*22500</f>
        <v>0</v>
      </c>
      <c r="CI2549" s="76"/>
      <c r="CJ2549" s="76">
        <f>+CI2549*26000</f>
        <v>0</v>
      </c>
      <c r="CK2549" s="76"/>
      <c r="CL2549" s="76"/>
      <c r="CM2549" s="76"/>
      <c r="CN2549" s="76">
        <f>+CM2549*22000</f>
        <v>0</v>
      </c>
      <c r="CO2549" s="76"/>
      <c r="CP2549" s="76">
        <f>+CO2549*46000</f>
        <v>0</v>
      </c>
      <c r="CQ2549" s="76"/>
      <c r="CR2549" s="76">
        <f>+CQ2549*49000</f>
        <v>0</v>
      </c>
      <c r="CS2549" s="76"/>
      <c r="CT2549" s="76"/>
      <c r="CU2549" s="56">
        <f>AN2549+AP2549+AR2549+AT2549+AV2549+AX2549+AZ2549+BB2549+BD2549+BF2549+BH2549+BJ2549+BL2549+BN2549+BP2549+BR2549+BT2549+BV2549+BX2549+BZ2549+CB2549+CD2549+CF2549+CH2549+CJ2549+CL2549+CN2549+CP2549+CR2549+CT2549</f>
        <v>0</v>
      </c>
      <c r="CV2549" s="76"/>
      <c r="CW2549" s="76">
        <f>+CV2549*1100</f>
        <v>0</v>
      </c>
      <c r="CX2549" s="76"/>
      <c r="CY2549" s="76">
        <f>+CX2549*106250</f>
        <v>0</v>
      </c>
      <c r="CZ2549" s="76"/>
      <c r="DA2549" s="76">
        <f>+CZ2549*34500</f>
        <v>0</v>
      </c>
      <c r="DB2549" s="76"/>
      <c r="DC2549" s="76">
        <f>+DB2549*25000</f>
        <v>0</v>
      </c>
      <c r="DD2549" s="219"/>
      <c r="DE2549" s="219"/>
      <c r="DF2549" s="166"/>
      <c r="DG2549" s="116"/>
      <c r="DH2549" s="117"/>
      <c r="DI2549" s="24"/>
      <c r="DJ2549" s="24"/>
      <c r="DK2549" s="24"/>
      <c r="DL2549" s="24"/>
      <c r="DM2549" s="24"/>
      <c r="DN2549" s="24"/>
      <c r="DO2549" s="24"/>
      <c r="DP2549" s="24"/>
      <c r="DQ2549" s="24"/>
      <c r="DR2549" s="24"/>
      <c r="DS2549" s="24"/>
      <c r="DT2549" s="24"/>
      <c r="DU2549" s="24"/>
    </row>
    <row r="2550" spans="1:125" s="8" customFormat="1" ht="48" x14ac:dyDescent="0.2">
      <c r="A2550" s="77">
        <v>41485</v>
      </c>
      <c r="B2550" s="78" t="s">
        <v>2036</v>
      </c>
      <c r="C2550" s="75" t="s">
        <v>1374</v>
      </c>
      <c r="D2550" s="75" t="s">
        <v>3726</v>
      </c>
      <c r="E2550" s="353" t="str">
        <f>VLOOKUP(B2550&amp;C2550,Divipola!$C$2:$F$1138,4,FALSE)</f>
        <v>81065</v>
      </c>
      <c r="F2550" s="87"/>
      <c r="G2550" s="87">
        <v>20</v>
      </c>
      <c r="H2550" s="87"/>
      <c r="I2550" s="87">
        <v>20</v>
      </c>
      <c r="J2550" s="87"/>
      <c r="K2550" s="87"/>
      <c r="L2550" s="87"/>
      <c r="M2550" s="87"/>
      <c r="N2550" s="87"/>
      <c r="O2550" s="87"/>
      <c r="P2550" s="87"/>
      <c r="Q2550" s="87"/>
      <c r="R2550" s="87"/>
      <c r="S2550" s="87"/>
      <c r="T2550" s="87"/>
      <c r="U2550" s="88"/>
      <c r="V2550" s="89"/>
      <c r="W2550" s="96">
        <v>0</v>
      </c>
      <c r="X2550" s="71">
        <f>CU2550</f>
        <v>0</v>
      </c>
      <c r="Y2550" s="71">
        <f>CY2550</f>
        <v>0</v>
      </c>
      <c r="Z2550" s="71">
        <f>DA2550+DC2550+DE2550</f>
        <v>0</v>
      </c>
      <c r="AA2550" s="71">
        <f>CW2550</f>
        <v>0</v>
      </c>
      <c r="AB2550" s="71"/>
      <c r="AC2550" s="71">
        <v>0</v>
      </c>
      <c r="AD2550" s="71">
        <f>W2550+X2550+Y2550+Z2550+AA2550+AB2550+AC2550</f>
        <v>0</v>
      </c>
      <c r="AE2550" s="72">
        <v>0</v>
      </c>
      <c r="AF2550" s="5"/>
      <c r="AG2550" s="6"/>
      <c r="AH2550" s="27"/>
      <c r="AI2550" s="44"/>
      <c r="AJ2550" s="26"/>
      <c r="AK2550" s="5"/>
      <c r="AL2550" s="82" t="s">
        <v>5425</v>
      </c>
      <c r="AM2550" s="76"/>
      <c r="AN2550" s="76"/>
      <c r="AO2550" s="76"/>
      <c r="AP2550" s="76"/>
      <c r="AQ2550" s="76"/>
      <c r="AR2550" s="76"/>
      <c r="AS2550" s="76"/>
      <c r="AT2550" s="76"/>
      <c r="AU2550" s="76"/>
      <c r="AV2550" s="76"/>
      <c r="AW2550" s="76"/>
      <c r="AX2550" s="76">
        <f>+AW2550*600000</f>
        <v>0</v>
      </c>
      <c r="AY2550" s="76"/>
      <c r="AZ2550" s="76">
        <f>+AY2550*70000</f>
        <v>0</v>
      </c>
      <c r="BA2550" s="76"/>
      <c r="BB2550" s="76"/>
      <c r="BC2550" s="76"/>
      <c r="BD2550" s="76">
        <f>+BC2550*30000</f>
        <v>0</v>
      </c>
      <c r="BE2550" s="76"/>
      <c r="BF2550" s="76"/>
      <c r="BG2550" s="76"/>
      <c r="BH2550" s="76"/>
      <c r="BI2550" s="76"/>
      <c r="BJ2550" s="76"/>
      <c r="BK2550" s="76"/>
      <c r="BL2550" s="76">
        <f>+BK2550*31500</f>
        <v>0</v>
      </c>
      <c r="BM2550" s="76"/>
      <c r="BN2550" s="76"/>
      <c r="BO2550" s="76"/>
      <c r="BP2550" s="76"/>
      <c r="BQ2550" s="76"/>
      <c r="BR2550" s="76"/>
      <c r="BS2550" s="76"/>
      <c r="BT2550" s="76"/>
      <c r="BU2550" s="76"/>
      <c r="BV2550" s="76"/>
      <c r="BW2550" s="76"/>
      <c r="BX2550" s="76"/>
      <c r="BY2550" s="76"/>
      <c r="BZ2550" s="76"/>
      <c r="CA2550" s="76"/>
      <c r="CB2550" s="76"/>
      <c r="CC2550" s="76"/>
      <c r="CD2550" s="76"/>
      <c r="CE2550" s="76"/>
      <c r="CF2550" s="76">
        <f>+CE2550*28000</f>
        <v>0</v>
      </c>
      <c r="CG2550" s="76"/>
      <c r="CH2550" s="76">
        <f>+CG2550*22500</f>
        <v>0</v>
      </c>
      <c r="CI2550" s="76"/>
      <c r="CJ2550" s="76">
        <f>+CI2550*26000</f>
        <v>0</v>
      </c>
      <c r="CK2550" s="76"/>
      <c r="CL2550" s="76"/>
      <c r="CM2550" s="76"/>
      <c r="CN2550" s="76">
        <f>+CM2550*22000</f>
        <v>0</v>
      </c>
      <c r="CO2550" s="76"/>
      <c r="CP2550" s="76">
        <f>+CO2550*46000</f>
        <v>0</v>
      </c>
      <c r="CQ2550" s="76"/>
      <c r="CR2550" s="76">
        <f>+CQ2550*49000</f>
        <v>0</v>
      </c>
      <c r="CS2550" s="76"/>
      <c r="CT2550" s="76"/>
      <c r="CU2550" s="56">
        <f>AN2550+AP2550+AR2550+AT2550+AV2550+AX2550+AZ2550+BB2550+BD2550+BF2550+BH2550+BJ2550+BL2550+BN2550+BP2550+BR2550+BT2550+BV2550+BX2550+BZ2550+CB2550+CD2550+CF2550+CH2550+CJ2550+CL2550+CN2550+CP2550+CR2550+CT2550</f>
        <v>0</v>
      </c>
      <c r="CV2550" s="76"/>
      <c r="CW2550" s="76">
        <f>+CV2550*1100</f>
        <v>0</v>
      </c>
      <c r="CX2550" s="76"/>
      <c r="CY2550" s="76">
        <f>+CX2550*106250</f>
        <v>0</v>
      </c>
      <c r="CZ2550" s="76"/>
      <c r="DA2550" s="76">
        <f>+CZ2550*34500</f>
        <v>0</v>
      </c>
      <c r="DB2550" s="76"/>
      <c r="DC2550" s="76">
        <f>+DB2550*25000</f>
        <v>0</v>
      </c>
      <c r="DD2550" s="219"/>
      <c r="DE2550" s="219"/>
      <c r="DF2550" s="166"/>
      <c r="DG2550" s="116"/>
      <c r="DH2550" s="117"/>
      <c r="DI2550" s="24"/>
      <c r="DJ2550" s="24"/>
      <c r="DK2550" s="24"/>
      <c r="DL2550" s="24"/>
      <c r="DM2550" s="24"/>
      <c r="DN2550" s="24"/>
      <c r="DO2550" s="24"/>
      <c r="DP2550" s="24"/>
      <c r="DQ2550" s="24"/>
      <c r="DR2550" s="24"/>
      <c r="DS2550" s="24"/>
      <c r="DT2550" s="24"/>
      <c r="DU2550" s="24"/>
    </row>
    <row r="2551" spans="1:125" s="8" customFormat="1" ht="120" x14ac:dyDescent="0.2">
      <c r="A2551" s="353">
        <v>41485</v>
      </c>
      <c r="B2551" s="352" t="s">
        <v>2036</v>
      </c>
      <c r="C2551" s="354" t="s">
        <v>1374</v>
      </c>
      <c r="D2551" s="354" t="s">
        <v>3051</v>
      </c>
      <c r="E2551" s="353" t="str">
        <f>VLOOKUP(B2551&amp;C2551,Divipola!$C$2:$F$1138,4,FALSE)</f>
        <v>81065</v>
      </c>
      <c r="F2551" s="87"/>
      <c r="G2551" s="87"/>
      <c r="H2551" s="87"/>
      <c r="I2551" s="87">
        <v>1239</v>
      </c>
      <c r="J2551" s="87">
        <v>316</v>
      </c>
      <c r="K2551" s="87">
        <v>12</v>
      </c>
      <c r="L2551" s="87">
        <v>120</v>
      </c>
      <c r="M2551" s="87"/>
      <c r="N2551" s="87"/>
      <c r="O2551" s="87"/>
      <c r="P2551" s="87"/>
      <c r="Q2551" s="87"/>
      <c r="R2551" s="87"/>
      <c r="S2551" s="87"/>
      <c r="T2551" s="87"/>
      <c r="U2551" s="88">
        <v>1500</v>
      </c>
      <c r="V2551" s="89"/>
      <c r="W2551" s="96">
        <v>0</v>
      </c>
      <c r="X2551" s="71">
        <f>CU2551</f>
        <v>0</v>
      </c>
      <c r="Y2551" s="71">
        <f>CY2551</f>
        <v>0</v>
      </c>
      <c r="Z2551" s="71">
        <f>DA2551+DC2551+DE2551</f>
        <v>0</v>
      </c>
      <c r="AA2551" s="71">
        <f>CW2551</f>
        <v>0</v>
      </c>
      <c r="AB2551" s="71"/>
      <c r="AC2551" s="71">
        <v>0</v>
      </c>
      <c r="AD2551" s="71">
        <f>W2551+X2551+Y2551+Z2551+AA2551+AB2551+AC2551</f>
        <v>0</v>
      </c>
      <c r="AE2551" s="72">
        <v>0</v>
      </c>
      <c r="AF2551" s="5"/>
      <c r="AG2551" s="6"/>
      <c r="AH2551" s="27"/>
      <c r="AI2551" s="44"/>
      <c r="AJ2551" s="26"/>
      <c r="AK2551" s="5"/>
      <c r="AL2551" s="82" t="s">
        <v>5450</v>
      </c>
      <c r="AM2551" s="76"/>
      <c r="AN2551" s="76"/>
      <c r="AO2551" s="76"/>
      <c r="AP2551" s="76"/>
      <c r="AQ2551" s="76"/>
      <c r="AR2551" s="76"/>
      <c r="AS2551" s="76"/>
      <c r="AT2551" s="76"/>
      <c r="AU2551" s="76"/>
      <c r="AV2551" s="76"/>
      <c r="AW2551" s="76"/>
      <c r="AX2551" s="76">
        <f>+AW2551*600000</f>
        <v>0</v>
      </c>
      <c r="AY2551" s="76"/>
      <c r="AZ2551" s="76">
        <f>+AY2551*70000</f>
        <v>0</v>
      </c>
      <c r="BA2551" s="76"/>
      <c r="BB2551" s="76"/>
      <c r="BC2551" s="76"/>
      <c r="BD2551" s="76">
        <f>+BC2551*30000</f>
        <v>0</v>
      </c>
      <c r="BE2551" s="76"/>
      <c r="BF2551" s="76"/>
      <c r="BG2551" s="76"/>
      <c r="BH2551" s="76"/>
      <c r="BI2551" s="76"/>
      <c r="BJ2551" s="76"/>
      <c r="BK2551" s="76"/>
      <c r="BL2551" s="76">
        <f>+BK2551*31500</f>
        <v>0</v>
      </c>
      <c r="BM2551" s="76"/>
      <c r="BN2551" s="76"/>
      <c r="BO2551" s="76"/>
      <c r="BP2551" s="76"/>
      <c r="BQ2551" s="76"/>
      <c r="BR2551" s="76"/>
      <c r="BS2551" s="76"/>
      <c r="BT2551" s="76"/>
      <c r="BU2551" s="76"/>
      <c r="BV2551" s="76"/>
      <c r="BW2551" s="76"/>
      <c r="BX2551" s="76"/>
      <c r="BY2551" s="76"/>
      <c r="BZ2551" s="76"/>
      <c r="CA2551" s="76"/>
      <c r="CB2551" s="76"/>
      <c r="CC2551" s="76"/>
      <c r="CD2551" s="76"/>
      <c r="CE2551" s="76"/>
      <c r="CF2551" s="76">
        <f>+CE2551*28000</f>
        <v>0</v>
      </c>
      <c r="CG2551" s="76"/>
      <c r="CH2551" s="76">
        <f>+CG2551*22500</f>
        <v>0</v>
      </c>
      <c r="CI2551" s="76"/>
      <c r="CJ2551" s="76">
        <f>+CI2551*26000</f>
        <v>0</v>
      </c>
      <c r="CK2551" s="76"/>
      <c r="CL2551" s="76"/>
      <c r="CM2551" s="76"/>
      <c r="CN2551" s="76">
        <f>+CM2551*22000</f>
        <v>0</v>
      </c>
      <c r="CO2551" s="76"/>
      <c r="CP2551" s="76">
        <f>+CO2551*46000</f>
        <v>0</v>
      </c>
      <c r="CQ2551" s="76"/>
      <c r="CR2551" s="76">
        <f>+CQ2551*49000</f>
        <v>0</v>
      </c>
      <c r="CS2551" s="76"/>
      <c r="CT2551" s="76"/>
      <c r="CU2551" s="56">
        <f>AN2551+AP2551+AR2551+AT2551+AV2551+AX2551+AZ2551+BB2551+BD2551+BF2551+BH2551+BJ2551+BL2551+BN2551+BP2551+BR2551+BT2551+BV2551+BX2551+BZ2551+CB2551+CD2551+CF2551+CH2551+CJ2551+CL2551+CN2551+CP2551+CR2551+CT2551</f>
        <v>0</v>
      </c>
      <c r="CV2551" s="76"/>
      <c r="CW2551" s="76">
        <f>+CV2551*1100</f>
        <v>0</v>
      </c>
      <c r="CX2551" s="76"/>
      <c r="CY2551" s="76">
        <f>+CX2551*106250</f>
        <v>0</v>
      </c>
      <c r="CZ2551" s="76"/>
      <c r="DA2551" s="76">
        <f>+CZ2551*34500</f>
        <v>0</v>
      </c>
      <c r="DB2551" s="76"/>
      <c r="DC2551" s="76">
        <f>+DB2551*25000</f>
        <v>0</v>
      </c>
      <c r="DD2551" s="219"/>
      <c r="DE2551" s="219"/>
      <c r="DF2551" s="166"/>
      <c r="DG2551" s="116"/>
      <c r="DH2551" s="117"/>
      <c r="DI2551" s="24"/>
      <c r="DJ2551" s="24"/>
      <c r="DK2551" s="24"/>
      <c r="DL2551" s="24"/>
      <c r="DM2551" s="24"/>
      <c r="DN2551" s="24"/>
      <c r="DO2551" s="24"/>
      <c r="DP2551" s="24"/>
      <c r="DQ2551" s="24"/>
      <c r="DR2551" s="24"/>
      <c r="DS2551" s="24"/>
      <c r="DT2551" s="24"/>
      <c r="DU2551" s="24"/>
    </row>
    <row r="2552" spans="1:125" s="8" customFormat="1" ht="84" x14ac:dyDescent="0.2">
      <c r="A2552" s="226">
        <v>41485</v>
      </c>
      <c r="B2552" s="352" t="s">
        <v>2700</v>
      </c>
      <c r="C2552" s="354" t="s">
        <v>1704</v>
      </c>
      <c r="D2552" s="354" t="s">
        <v>2846</v>
      </c>
      <c r="E2552" s="353" t="str">
        <f>VLOOKUP(B2552&amp;C2552,Divipola!$C$2:$F$1138,4,FALSE)</f>
        <v>15516</v>
      </c>
      <c r="F2552" s="87"/>
      <c r="G2552" s="87"/>
      <c r="H2552" s="87"/>
      <c r="I2552" s="87"/>
      <c r="J2552" s="87"/>
      <c r="K2552" s="87"/>
      <c r="L2552" s="87"/>
      <c r="M2552" s="87"/>
      <c r="N2552" s="87"/>
      <c r="O2552" s="87"/>
      <c r="P2552" s="87"/>
      <c r="Q2552" s="87"/>
      <c r="R2552" s="87"/>
      <c r="S2552" s="87"/>
      <c r="T2552" s="87"/>
      <c r="U2552" s="88">
        <v>23</v>
      </c>
      <c r="V2552" s="89"/>
      <c r="W2552" s="96">
        <v>0</v>
      </c>
      <c r="X2552" s="71">
        <f>CU2552</f>
        <v>0</v>
      </c>
      <c r="Y2552" s="71">
        <f>CY2552</f>
        <v>0</v>
      </c>
      <c r="Z2552" s="71">
        <f>DA2552+DC2552+DE2552</f>
        <v>0</v>
      </c>
      <c r="AA2552" s="71">
        <f>CW2552</f>
        <v>0</v>
      </c>
      <c r="AB2552" s="71"/>
      <c r="AC2552" s="71">
        <v>0</v>
      </c>
      <c r="AD2552" s="71">
        <f>W2552+X2552+Y2552+Z2552+AA2552+AB2552+AC2552</f>
        <v>0</v>
      </c>
      <c r="AE2552" s="72">
        <v>0</v>
      </c>
      <c r="AF2552" s="5"/>
      <c r="AG2552" s="6"/>
      <c r="AH2552" s="27"/>
      <c r="AI2552" s="44"/>
      <c r="AJ2552" s="26"/>
      <c r="AK2552" s="5"/>
      <c r="AL2552" s="82" t="s">
        <v>5429</v>
      </c>
      <c r="AM2552" s="76"/>
      <c r="AN2552" s="76"/>
      <c r="AO2552" s="76"/>
      <c r="AP2552" s="76"/>
      <c r="AQ2552" s="76"/>
      <c r="AR2552" s="76"/>
      <c r="AS2552" s="76"/>
      <c r="AT2552" s="76"/>
      <c r="AU2552" s="76"/>
      <c r="AV2552" s="76"/>
      <c r="AW2552" s="76"/>
      <c r="AX2552" s="76">
        <f>+AW2552*600000</f>
        <v>0</v>
      </c>
      <c r="AY2552" s="76"/>
      <c r="AZ2552" s="76">
        <f>+AY2552*70000</f>
        <v>0</v>
      </c>
      <c r="BA2552" s="76"/>
      <c r="BB2552" s="76"/>
      <c r="BC2552" s="76"/>
      <c r="BD2552" s="76">
        <f>+BC2552*30000</f>
        <v>0</v>
      </c>
      <c r="BE2552" s="76"/>
      <c r="BF2552" s="76"/>
      <c r="BG2552" s="76"/>
      <c r="BH2552" s="76"/>
      <c r="BI2552" s="76"/>
      <c r="BJ2552" s="76"/>
      <c r="BK2552" s="76"/>
      <c r="BL2552" s="76">
        <f>+BK2552*31500</f>
        <v>0</v>
      </c>
      <c r="BM2552" s="76"/>
      <c r="BN2552" s="76"/>
      <c r="BO2552" s="76"/>
      <c r="BP2552" s="76"/>
      <c r="BQ2552" s="76"/>
      <c r="BR2552" s="76"/>
      <c r="BS2552" s="76"/>
      <c r="BT2552" s="76"/>
      <c r="BU2552" s="76"/>
      <c r="BV2552" s="76"/>
      <c r="BW2552" s="76"/>
      <c r="BX2552" s="76"/>
      <c r="BY2552" s="76"/>
      <c r="BZ2552" s="76"/>
      <c r="CA2552" s="76"/>
      <c r="CB2552" s="76"/>
      <c r="CC2552" s="76"/>
      <c r="CD2552" s="76"/>
      <c r="CE2552" s="76"/>
      <c r="CF2552" s="76">
        <f>+CE2552*28000</f>
        <v>0</v>
      </c>
      <c r="CG2552" s="76"/>
      <c r="CH2552" s="76">
        <f>+CG2552*22500</f>
        <v>0</v>
      </c>
      <c r="CI2552" s="76"/>
      <c r="CJ2552" s="76">
        <f>+CI2552*26000</f>
        <v>0</v>
      </c>
      <c r="CK2552" s="76"/>
      <c r="CL2552" s="76"/>
      <c r="CM2552" s="76"/>
      <c r="CN2552" s="76">
        <f>+CM2552*22000</f>
        <v>0</v>
      </c>
      <c r="CO2552" s="76"/>
      <c r="CP2552" s="76">
        <f>+CO2552*46000</f>
        <v>0</v>
      </c>
      <c r="CQ2552" s="76"/>
      <c r="CR2552" s="76">
        <f>+CQ2552*49000</f>
        <v>0</v>
      </c>
      <c r="CS2552" s="76"/>
      <c r="CT2552" s="76"/>
      <c r="CU2552" s="56">
        <f>AN2552+AP2552+AR2552+AT2552+AV2552+AX2552+AZ2552+BB2552+BD2552+BF2552+BH2552+BJ2552+BL2552+BN2552+BP2552+BR2552+BT2552+BV2552+BX2552+BZ2552+CB2552+CD2552+CF2552+CH2552+CJ2552+CL2552+CN2552+CP2552+CR2552+CT2552</f>
        <v>0</v>
      </c>
      <c r="CV2552" s="76"/>
      <c r="CW2552" s="76">
        <f>+CV2552*1100</f>
        <v>0</v>
      </c>
      <c r="CX2552" s="76"/>
      <c r="CY2552" s="76">
        <f>+CX2552*106250</f>
        <v>0</v>
      </c>
      <c r="CZ2552" s="76"/>
      <c r="DA2552" s="76">
        <f>+CZ2552*34500</f>
        <v>0</v>
      </c>
      <c r="DB2552" s="76"/>
      <c r="DC2552" s="76">
        <f>+DB2552*25000</f>
        <v>0</v>
      </c>
      <c r="DD2552" s="219"/>
      <c r="DE2552" s="219"/>
      <c r="DF2552" s="166"/>
      <c r="DG2552" s="116"/>
      <c r="DH2552" s="117"/>
      <c r="DI2552" s="24"/>
      <c r="DJ2552" s="24"/>
      <c r="DK2552" s="24"/>
      <c r="DL2552" s="24"/>
      <c r="DM2552" s="24"/>
      <c r="DN2552" s="24"/>
      <c r="DO2552" s="24"/>
      <c r="DP2552" s="24"/>
      <c r="DQ2552" s="24"/>
      <c r="DR2552" s="24"/>
      <c r="DS2552" s="24"/>
      <c r="DT2552" s="24"/>
      <c r="DU2552" s="24"/>
    </row>
    <row r="2553" spans="1:125" s="8" customFormat="1" ht="72" x14ac:dyDescent="0.2">
      <c r="A2553" s="353">
        <v>41485</v>
      </c>
      <c r="B2553" s="60" t="s">
        <v>2700</v>
      </c>
      <c r="C2553" s="55" t="s">
        <v>1375</v>
      </c>
      <c r="D2553" s="55" t="s">
        <v>3088</v>
      </c>
      <c r="E2553" s="353" t="str">
        <f>VLOOKUP(B2553&amp;C2553,Divipola!$C$2:$F$1138,4,FALSE)</f>
        <v>15759</v>
      </c>
      <c r="F2553" s="87">
        <v>1</v>
      </c>
      <c r="G2553" s="87"/>
      <c r="H2553" s="87"/>
      <c r="I2553" s="87"/>
      <c r="J2553" s="87"/>
      <c r="K2553" s="87"/>
      <c r="L2553" s="87"/>
      <c r="M2553" s="87"/>
      <c r="N2553" s="87"/>
      <c r="O2553" s="87"/>
      <c r="P2553" s="87"/>
      <c r="Q2553" s="87"/>
      <c r="R2553" s="87"/>
      <c r="S2553" s="87"/>
      <c r="T2553" s="87"/>
      <c r="U2553" s="88"/>
      <c r="V2553" s="89"/>
      <c r="W2553" s="96">
        <v>0</v>
      </c>
      <c r="X2553" s="71">
        <f>CU2553</f>
        <v>0</v>
      </c>
      <c r="Y2553" s="71">
        <f>CY2553</f>
        <v>0</v>
      </c>
      <c r="Z2553" s="71">
        <f>DA2553+DC2553+DE2553</f>
        <v>0</v>
      </c>
      <c r="AA2553" s="71">
        <f>CW2553</f>
        <v>0</v>
      </c>
      <c r="AB2553" s="71"/>
      <c r="AC2553" s="71">
        <v>0</v>
      </c>
      <c r="AD2553" s="71">
        <f>W2553+X2553+Y2553+Z2553+AA2553+AB2553+AC2553</f>
        <v>0</v>
      </c>
      <c r="AE2553" s="72">
        <v>0</v>
      </c>
      <c r="AF2553" s="5"/>
      <c r="AG2553" s="6"/>
      <c r="AH2553" s="27"/>
      <c r="AI2553" s="44"/>
      <c r="AJ2553" s="26"/>
      <c r="AK2553" s="5"/>
      <c r="AL2553" s="82" t="s">
        <v>5430</v>
      </c>
      <c r="AM2553" s="76"/>
      <c r="AN2553" s="76"/>
      <c r="AO2553" s="76"/>
      <c r="AP2553" s="76"/>
      <c r="AQ2553" s="76"/>
      <c r="AR2553" s="76"/>
      <c r="AS2553" s="76"/>
      <c r="AT2553" s="76"/>
      <c r="AU2553" s="76"/>
      <c r="AV2553" s="76"/>
      <c r="AW2553" s="76"/>
      <c r="AX2553" s="76">
        <f>+AW2553*600000</f>
        <v>0</v>
      </c>
      <c r="AY2553" s="76"/>
      <c r="AZ2553" s="76">
        <f>+AY2553*70000</f>
        <v>0</v>
      </c>
      <c r="BA2553" s="76"/>
      <c r="BB2553" s="76"/>
      <c r="BC2553" s="76"/>
      <c r="BD2553" s="76">
        <f>+BC2553*30000</f>
        <v>0</v>
      </c>
      <c r="BE2553" s="76"/>
      <c r="BF2553" s="76"/>
      <c r="BG2553" s="76"/>
      <c r="BH2553" s="76"/>
      <c r="BI2553" s="76"/>
      <c r="BJ2553" s="76"/>
      <c r="BK2553" s="76"/>
      <c r="BL2553" s="76">
        <f>+BK2553*31500</f>
        <v>0</v>
      </c>
      <c r="BM2553" s="76"/>
      <c r="BN2553" s="76"/>
      <c r="BO2553" s="76"/>
      <c r="BP2553" s="76"/>
      <c r="BQ2553" s="76"/>
      <c r="BR2553" s="76"/>
      <c r="BS2553" s="76"/>
      <c r="BT2553" s="76"/>
      <c r="BU2553" s="76"/>
      <c r="BV2553" s="76"/>
      <c r="BW2553" s="76"/>
      <c r="BX2553" s="76"/>
      <c r="BY2553" s="76"/>
      <c r="BZ2553" s="76"/>
      <c r="CA2553" s="76"/>
      <c r="CB2553" s="76"/>
      <c r="CC2553" s="76"/>
      <c r="CD2553" s="76"/>
      <c r="CE2553" s="76"/>
      <c r="CF2553" s="76">
        <f>+CE2553*28000</f>
        <v>0</v>
      </c>
      <c r="CG2553" s="76"/>
      <c r="CH2553" s="76">
        <f>+CG2553*22500</f>
        <v>0</v>
      </c>
      <c r="CI2553" s="76"/>
      <c r="CJ2553" s="76">
        <f>+CI2553*26000</f>
        <v>0</v>
      </c>
      <c r="CK2553" s="76"/>
      <c r="CL2553" s="76"/>
      <c r="CM2553" s="76"/>
      <c r="CN2553" s="76">
        <f>+CM2553*22000</f>
        <v>0</v>
      </c>
      <c r="CO2553" s="76"/>
      <c r="CP2553" s="76">
        <f>+CO2553*46000</f>
        <v>0</v>
      </c>
      <c r="CQ2553" s="76"/>
      <c r="CR2553" s="76">
        <f>+CQ2553*49000</f>
        <v>0</v>
      </c>
      <c r="CS2553" s="76"/>
      <c r="CT2553" s="76"/>
      <c r="CU2553" s="56">
        <f>AN2553+AP2553+AR2553+AT2553+AV2553+AX2553+AZ2553+BB2553+BD2553+BF2553+BH2553+BJ2553+BL2553+BN2553+BP2553+BR2553+BT2553+BV2553+BX2553+BZ2553+CB2553+CD2553+CF2553+CH2553+CJ2553+CL2553+CN2553+CP2553+CR2553+CT2553</f>
        <v>0</v>
      </c>
      <c r="CV2553" s="76"/>
      <c r="CW2553" s="76">
        <f>+CV2553*1100</f>
        <v>0</v>
      </c>
      <c r="CX2553" s="76"/>
      <c r="CY2553" s="76">
        <f>+CX2553*106250</f>
        <v>0</v>
      </c>
      <c r="CZ2553" s="76"/>
      <c r="DA2553" s="76">
        <f>+CZ2553*34500</f>
        <v>0</v>
      </c>
      <c r="DB2553" s="76"/>
      <c r="DC2553" s="76">
        <f>+DB2553*25000</f>
        <v>0</v>
      </c>
      <c r="DD2553" s="219"/>
      <c r="DE2553" s="219"/>
      <c r="DF2553" s="166"/>
      <c r="DG2553" s="116"/>
      <c r="DH2553" s="117"/>
      <c r="DI2553" s="24"/>
      <c r="DJ2553" s="24"/>
      <c r="DK2553" s="24"/>
      <c r="DL2553" s="24"/>
      <c r="DM2553" s="24"/>
      <c r="DN2553" s="24"/>
      <c r="DO2553" s="24"/>
      <c r="DP2553" s="24"/>
      <c r="DQ2553" s="24"/>
      <c r="DR2553" s="24"/>
      <c r="DS2553" s="24"/>
      <c r="DT2553" s="24"/>
      <c r="DU2553" s="24"/>
    </row>
    <row r="2554" spans="1:125" s="8" customFormat="1" ht="48" x14ac:dyDescent="0.2">
      <c r="A2554" s="77">
        <v>41485</v>
      </c>
      <c r="B2554" s="352" t="s">
        <v>2854</v>
      </c>
      <c r="C2554" s="354" t="s">
        <v>501</v>
      </c>
      <c r="D2554" s="354" t="s">
        <v>2882</v>
      </c>
      <c r="E2554" s="353" t="str">
        <f>VLOOKUP(B2554&amp;C2554,Divipola!$C$2:$F$1138,4,FALSE)</f>
        <v>19256</v>
      </c>
      <c r="F2554" s="87"/>
      <c r="G2554" s="87"/>
      <c r="H2554" s="87"/>
      <c r="I2554" s="87">
        <v>250</v>
      </c>
      <c r="J2554" s="87">
        <v>50</v>
      </c>
      <c r="K2554" s="87">
        <v>50</v>
      </c>
      <c r="L2554" s="87"/>
      <c r="M2554" s="87"/>
      <c r="N2554" s="87"/>
      <c r="O2554" s="87"/>
      <c r="P2554" s="87"/>
      <c r="Q2554" s="87"/>
      <c r="R2554" s="87"/>
      <c r="S2554" s="87">
        <v>1</v>
      </c>
      <c r="T2554" s="87"/>
      <c r="U2554" s="88"/>
      <c r="V2554" s="89">
        <v>42</v>
      </c>
      <c r="W2554" s="96">
        <v>0</v>
      </c>
      <c r="X2554" s="71">
        <f>CU2554</f>
        <v>0</v>
      </c>
      <c r="Y2554" s="71">
        <f>CY2554</f>
        <v>0</v>
      </c>
      <c r="Z2554" s="71">
        <f>DA2554+DC2554+DE2554</f>
        <v>0</v>
      </c>
      <c r="AA2554" s="71">
        <f>CW2554</f>
        <v>0</v>
      </c>
      <c r="AB2554" s="71"/>
      <c r="AC2554" s="71">
        <v>0</v>
      </c>
      <c r="AD2554" s="71">
        <f>W2554+X2554+Y2554+Z2554+AA2554+AB2554+AC2554</f>
        <v>0</v>
      </c>
      <c r="AE2554" s="72">
        <v>0</v>
      </c>
      <c r="AF2554" s="5"/>
      <c r="AG2554" s="6"/>
      <c r="AH2554" s="27"/>
      <c r="AI2554" s="44"/>
      <c r="AJ2554" s="26"/>
      <c r="AK2554" s="5"/>
      <c r="AL2554" s="82" t="s">
        <v>5426</v>
      </c>
      <c r="AM2554" s="76"/>
      <c r="AN2554" s="76"/>
      <c r="AO2554" s="76"/>
      <c r="AP2554" s="76"/>
      <c r="AQ2554" s="76"/>
      <c r="AR2554" s="76"/>
      <c r="AS2554" s="76"/>
      <c r="AT2554" s="76"/>
      <c r="AU2554" s="76"/>
      <c r="AV2554" s="76"/>
      <c r="AW2554" s="76"/>
      <c r="AX2554" s="76">
        <f>+AW2554*600000</f>
        <v>0</v>
      </c>
      <c r="AY2554" s="76"/>
      <c r="AZ2554" s="76">
        <f>+AY2554*70000</f>
        <v>0</v>
      </c>
      <c r="BA2554" s="76"/>
      <c r="BB2554" s="76"/>
      <c r="BC2554" s="76"/>
      <c r="BD2554" s="76">
        <f>+BC2554*30000</f>
        <v>0</v>
      </c>
      <c r="BE2554" s="76"/>
      <c r="BF2554" s="76"/>
      <c r="BG2554" s="76"/>
      <c r="BH2554" s="76"/>
      <c r="BI2554" s="76"/>
      <c r="BJ2554" s="76"/>
      <c r="BK2554" s="76"/>
      <c r="BL2554" s="76">
        <f>+BK2554*31500</f>
        <v>0</v>
      </c>
      <c r="BM2554" s="76"/>
      <c r="BN2554" s="76"/>
      <c r="BO2554" s="76"/>
      <c r="BP2554" s="76"/>
      <c r="BQ2554" s="76"/>
      <c r="BR2554" s="76"/>
      <c r="BS2554" s="76"/>
      <c r="BT2554" s="76"/>
      <c r="BU2554" s="76"/>
      <c r="BV2554" s="76"/>
      <c r="BW2554" s="76"/>
      <c r="BX2554" s="76"/>
      <c r="BY2554" s="76"/>
      <c r="BZ2554" s="76"/>
      <c r="CA2554" s="76"/>
      <c r="CB2554" s="76"/>
      <c r="CC2554" s="76"/>
      <c r="CD2554" s="76"/>
      <c r="CE2554" s="76"/>
      <c r="CF2554" s="76">
        <f>+CE2554*28000</f>
        <v>0</v>
      </c>
      <c r="CG2554" s="76"/>
      <c r="CH2554" s="76">
        <f>+CG2554*22500</f>
        <v>0</v>
      </c>
      <c r="CI2554" s="76"/>
      <c r="CJ2554" s="76">
        <f>+CI2554*26000</f>
        <v>0</v>
      </c>
      <c r="CK2554" s="76"/>
      <c r="CL2554" s="76"/>
      <c r="CM2554" s="76"/>
      <c r="CN2554" s="76">
        <f>+CM2554*22000</f>
        <v>0</v>
      </c>
      <c r="CO2554" s="76"/>
      <c r="CP2554" s="76">
        <f>+CO2554*46000</f>
        <v>0</v>
      </c>
      <c r="CQ2554" s="76"/>
      <c r="CR2554" s="76">
        <f>+CQ2554*49000</f>
        <v>0</v>
      </c>
      <c r="CS2554" s="76"/>
      <c r="CT2554" s="76"/>
      <c r="CU2554" s="56">
        <f>AN2554+AP2554+AR2554+AT2554+AV2554+AX2554+AZ2554+BB2554+BD2554+BF2554+BH2554+BJ2554+BL2554+BN2554+BP2554+BR2554+BT2554+BV2554+BX2554+BZ2554+CB2554+CD2554+CF2554+CH2554+CJ2554+CL2554+CN2554+CP2554+CR2554+CT2554</f>
        <v>0</v>
      </c>
      <c r="CV2554" s="76"/>
      <c r="CW2554" s="76">
        <f>+CV2554*1100</f>
        <v>0</v>
      </c>
      <c r="CX2554" s="76"/>
      <c r="CY2554" s="76">
        <f>+CX2554*106250</f>
        <v>0</v>
      </c>
      <c r="CZ2554" s="76"/>
      <c r="DA2554" s="76">
        <f>+CZ2554*34500</f>
        <v>0</v>
      </c>
      <c r="DB2554" s="76"/>
      <c r="DC2554" s="76">
        <f>+DB2554*25000</f>
        <v>0</v>
      </c>
      <c r="DD2554" s="219"/>
      <c r="DE2554" s="219"/>
      <c r="DF2554" s="166"/>
      <c r="DG2554" s="116"/>
      <c r="DH2554" s="117"/>
      <c r="DI2554" s="24"/>
      <c r="DJ2554" s="24"/>
      <c r="DK2554" s="24"/>
      <c r="DL2554" s="24"/>
      <c r="DM2554" s="24"/>
      <c r="DN2554" s="24"/>
      <c r="DO2554" s="24"/>
      <c r="DP2554" s="24"/>
      <c r="DQ2554" s="24"/>
      <c r="DR2554" s="24"/>
      <c r="DS2554" s="24"/>
      <c r="DT2554" s="24"/>
      <c r="DU2554" s="24"/>
    </row>
    <row r="2555" spans="1:125" s="8" customFormat="1" ht="24" x14ac:dyDescent="0.2">
      <c r="A2555" s="226">
        <v>41485</v>
      </c>
      <c r="B2555" s="225" t="s">
        <v>2855</v>
      </c>
      <c r="C2555" s="227" t="s">
        <v>2717</v>
      </c>
      <c r="D2555" s="227" t="s">
        <v>2882</v>
      </c>
      <c r="E2555" s="353" t="str">
        <f>VLOOKUP(B2555&amp;C2555,Divipola!$C$2:$F$1138,4,FALSE)</f>
        <v>20750</v>
      </c>
      <c r="F2555" s="87"/>
      <c r="G2555" s="87"/>
      <c r="H2555" s="87"/>
      <c r="I2555" s="87"/>
      <c r="J2555" s="87"/>
      <c r="K2555" s="87"/>
      <c r="L2555" s="87"/>
      <c r="M2555" s="87"/>
      <c r="N2555" s="87"/>
      <c r="O2555" s="87"/>
      <c r="P2555" s="87"/>
      <c r="Q2555" s="87"/>
      <c r="R2555" s="87"/>
      <c r="S2555" s="87"/>
      <c r="T2555" s="87"/>
      <c r="U2555" s="88"/>
      <c r="V2555" s="89"/>
      <c r="W2555" s="96">
        <v>0</v>
      </c>
      <c r="X2555" s="71">
        <f>CU2555</f>
        <v>0</v>
      </c>
      <c r="Y2555" s="71">
        <f>CY2555</f>
        <v>0</v>
      </c>
      <c r="Z2555" s="71">
        <f>DA2555+DC2555+DE2555</f>
        <v>0</v>
      </c>
      <c r="AA2555" s="71">
        <f>CW2555</f>
        <v>0</v>
      </c>
      <c r="AB2555" s="71"/>
      <c r="AC2555" s="71">
        <v>0</v>
      </c>
      <c r="AD2555" s="71">
        <f>W2555+X2555+Y2555+Z2555+AA2555+AB2555+AC2555</f>
        <v>0</v>
      </c>
      <c r="AE2555" s="72">
        <v>0</v>
      </c>
      <c r="AF2555" s="5"/>
      <c r="AG2555" s="6"/>
      <c r="AH2555" s="27"/>
      <c r="AI2555" s="44"/>
      <c r="AJ2555" s="26"/>
      <c r="AK2555" s="5"/>
      <c r="AL2555" s="82" t="s">
        <v>5444</v>
      </c>
      <c r="AM2555" s="76"/>
      <c r="AN2555" s="76"/>
      <c r="AO2555" s="76"/>
      <c r="AP2555" s="76"/>
      <c r="AQ2555" s="76"/>
      <c r="AR2555" s="76"/>
      <c r="AS2555" s="76"/>
      <c r="AT2555" s="76"/>
      <c r="AU2555" s="76"/>
      <c r="AV2555" s="76"/>
      <c r="AW2555" s="76"/>
      <c r="AX2555" s="76">
        <f>+AW2555*600000</f>
        <v>0</v>
      </c>
      <c r="AY2555" s="76"/>
      <c r="AZ2555" s="76">
        <f>+AY2555*70000</f>
        <v>0</v>
      </c>
      <c r="BA2555" s="76"/>
      <c r="BB2555" s="76"/>
      <c r="BC2555" s="76"/>
      <c r="BD2555" s="76">
        <f>+BC2555*30000</f>
        <v>0</v>
      </c>
      <c r="BE2555" s="76"/>
      <c r="BF2555" s="76"/>
      <c r="BG2555" s="76"/>
      <c r="BH2555" s="76"/>
      <c r="BI2555" s="76"/>
      <c r="BJ2555" s="76"/>
      <c r="BK2555" s="76"/>
      <c r="BL2555" s="76">
        <f>+BK2555*31500</f>
        <v>0</v>
      </c>
      <c r="BM2555" s="76"/>
      <c r="BN2555" s="76"/>
      <c r="BO2555" s="76"/>
      <c r="BP2555" s="76"/>
      <c r="BQ2555" s="76"/>
      <c r="BR2555" s="76"/>
      <c r="BS2555" s="76"/>
      <c r="BT2555" s="76"/>
      <c r="BU2555" s="76"/>
      <c r="BV2555" s="76"/>
      <c r="BW2555" s="76"/>
      <c r="BX2555" s="76"/>
      <c r="BY2555" s="76"/>
      <c r="BZ2555" s="76"/>
      <c r="CA2555" s="76"/>
      <c r="CB2555" s="76"/>
      <c r="CC2555" s="76"/>
      <c r="CD2555" s="76"/>
      <c r="CE2555" s="76"/>
      <c r="CF2555" s="76">
        <f>+CE2555*28000</f>
        <v>0</v>
      </c>
      <c r="CG2555" s="76"/>
      <c r="CH2555" s="76">
        <f>+CG2555*22500</f>
        <v>0</v>
      </c>
      <c r="CI2555" s="76"/>
      <c r="CJ2555" s="76">
        <f>+CI2555*26000</f>
        <v>0</v>
      </c>
      <c r="CK2555" s="76"/>
      <c r="CL2555" s="76"/>
      <c r="CM2555" s="76"/>
      <c r="CN2555" s="76">
        <f>+CM2555*22000</f>
        <v>0</v>
      </c>
      <c r="CO2555" s="76"/>
      <c r="CP2555" s="76">
        <f>+CO2555*46000</f>
        <v>0</v>
      </c>
      <c r="CQ2555" s="76"/>
      <c r="CR2555" s="76">
        <f>+CQ2555*49000</f>
        <v>0</v>
      </c>
      <c r="CS2555" s="76"/>
      <c r="CT2555" s="76"/>
      <c r="CU2555" s="56">
        <f>AN2555+AP2555+AR2555+AT2555+AV2555+AX2555+AZ2555+BB2555+BD2555+BF2555+BH2555+BJ2555+BL2555+BN2555+BP2555+BR2555+BT2555+BV2555+BX2555+BZ2555+CB2555+CD2555+CF2555+CH2555+CJ2555+CL2555+CN2555+CP2555+CR2555+CT2555</f>
        <v>0</v>
      </c>
      <c r="CV2555" s="76"/>
      <c r="CW2555" s="76">
        <f>+CV2555*1100</f>
        <v>0</v>
      </c>
      <c r="CX2555" s="76"/>
      <c r="CY2555" s="76">
        <f>+CX2555*106250</f>
        <v>0</v>
      </c>
      <c r="CZ2555" s="76"/>
      <c r="DA2555" s="76">
        <f>+CZ2555*34500</f>
        <v>0</v>
      </c>
      <c r="DB2555" s="76"/>
      <c r="DC2555" s="76">
        <f>+DB2555*25000</f>
        <v>0</v>
      </c>
      <c r="DD2555" s="219"/>
      <c r="DE2555" s="219"/>
      <c r="DF2555" s="166"/>
      <c r="DG2555" s="116"/>
      <c r="DH2555" s="117"/>
      <c r="DI2555" s="24"/>
      <c r="DJ2555" s="24"/>
      <c r="DK2555" s="24"/>
      <c r="DL2555" s="24"/>
      <c r="DM2555" s="24"/>
      <c r="DN2555" s="24"/>
      <c r="DO2555" s="24"/>
      <c r="DP2555" s="24"/>
      <c r="DQ2555" s="24"/>
      <c r="DR2555" s="24"/>
      <c r="DS2555" s="24"/>
      <c r="DT2555" s="24"/>
      <c r="DU2555" s="24"/>
    </row>
    <row r="2556" spans="1:125" s="8" customFormat="1" ht="84" x14ac:dyDescent="0.2">
      <c r="A2556" s="226">
        <v>41485</v>
      </c>
      <c r="B2556" s="225" t="s">
        <v>2772</v>
      </c>
      <c r="C2556" s="227" t="s">
        <v>2167</v>
      </c>
      <c r="D2556" s="227" t="s">
        <v>2846</v>
      </c>
      <c r="E2556" s="353" t="str">
        <f>VLOOKUP(B2556&amp;C2556,Divipola!$C$2:$F$1138,4,FALSE)</f>
        <v>25377</v>
      </c>
      <c r="F2556" s="87"/>
      <c r="G2556" s="87"/>
      <c r="H2556" s="87"/>
      <c r="I2556" s="87"/>
      <c r="J2556" s="87"/>
      <c r="K2556" s="87"/>
      <c r="L2556" s="87"/>
      <c r="M2556" s="87"/>
      <c r="N2556" s="87"/>
      <c r="O2556" s="87"/>
      <c r="P2556" s="87"/>
      <c r="Q2556" s="87"/>
      <c r="R2556" s="87"/>
      <c r="S2556" s="87"/>
      <c r="T2556" s="87"/>
      <c r="U2556" s="88">
        <v>1</v>
      </c>
      <c r="V2556" s="89"/>
      <c r="W2556" s="96">
        <v>0</v>
      </c>
      <c r="X2556" s="71">
        <f>CU2556</f>
        <v>0</v>
      </c>
      <c r="Y2556" s="71">
        <f>CY2556</f>
        <v>0</v>
      </c>
      <c r="Z2556" s="71">
        <f>DA2556+DC2556+DE2556</f>
        <v>0</v>
      </c>
      <c r="AA2556" s="71">
        <f>CW2556</f>
        <v>0</v>
      </c>
      <c r="AB2556" s="71"/>
      <c r="AC2556" s="71">
        <v>0</v>
      </c>
      <c r="AD2556" s="71">
        <f>W2556+X2556+Y2556+Z2556+AA2556+AB2556+AC2556</f>
        <v>0</v>
      </c>
      <c r="AE2556" s="72">
        <v>0</v>
      </c>
      <c r="AF2556" s="5"/>
      <c r="AG2556" s="6"/>
      <c r="AH2556" s="27"/>
      <c r="AI2556" s="44"/>
      <c r="AJ2556" s="26"/>
      <c r="AK2556" s="5"/>
      <c r="AL2556" s="82" t="s">
        <v>5448</v>
      </c>
      <c r="AM2556" s="76"/>
      <c r="AN2556" s="76"/>
      <c r="AO2556" s="76"/>
      <c r="AP2556" s="76"/>
      <c r="AQ2556" s="76"/>
      <c r="AR2556" s="76"/>
      <c r="AS2556" s="76"/>
      <c r="AT2556" s="76"/>
      <c r="AU2556" s="76"/>
      <c r="AV2556" s="76"/>
      <c r="AW2556" s="76"/>
      <c r="AX2556" s="76">
        <f>+AW2556*600000</f>
        <v>0</v>
      </c>
      <c r="AY2556" s="76"/>
      <c r="AZ2556" s="76">
        <f>+AY2556*70000</f>
        <v>0</v>
      </c>
      <c r="BA2556" s="76"/>
      <c r="BB2556" s="76"/>
      <c r="BC2556" s="76"/>
      <c r="BD2556" s="76">
        <f>+BC2556*30000</f>
        <v>0</v>
      </c>
      <c r="BE2556" s="76"/>
      <c r="BF2556" s="76"/>
      <c r="BG2556" s="76"/>
      <c r="BH2556" s="76"/>
      <c r="BI2556" s="76"/>
      <c r="BJ2556" s="76"/>
      <c r="BK2556" s="76"/>
      <c r="BL2556" s="76">
        <f>+BK2556*31500</f>
        <v>0</v>
      </c>
      <c r="BM2556" s="76"/>
      <c r="BN2556" s="76"/>
      <c r="BO2556" s="76"/>
      <c r="BP2556" s="76"/>
      <c r="BQ2556" s="76"/>
      <c r="BR2556" s="76"/>
      <c r="BS2556" s="76"/>
      <c r="BT2556" s="76"/>
      <c r="BU2556" s="76"/>
      <c r="BV2556" s="76"/>
      <c r="BW2556" s="76"/>
      <c r="BX2556" s="76"/>
      <c r="BY2556" s="76"/>
      <c r="BZ2556" s="76"/>
      <c r="CA2556" s="76"/>
      <c r="CB2556" s="76"/>
      <c r="CC2556" s="76"/>
      <c r="CD2556" s="76"/>
      <c r="CE2556" s="76"/>
      <c r="CF2556" s="76">
        <f>+CE2556*28000</f>
        <v>0</v>
      </c>
      <c r="CG2556" s="76"/>
      <c r="CH2556" s="76">
        <f>+CG2556*22500</f>
        <v>0</v>
      </c>
      <c r="CI2556" s="76"/>
      <c r="CJ2556" s="76">
        <f>+CI2556*26000</f>
        <v>0</v>
      </c>
      <c r="CK2556" s="76"/>
      <c r="CL2556" s="76"/>
      <c r="CM2556" s="76"/>
      <c r="CN2556" s="76">
        <f>+CM2556*22000</f>
        <v>0</v>
      </c>
      <c r="CO2556" s="76"/>
      <c r="CP2556" s="76">
        <f>+CO2556*46000</f>
        <v>0</v>
      </c>
      <c r="CQ2556" s="76"/>
      <c r="CR2556" s="76">
        <f>+CQ2556*49000</f>
        <v>0</v>
      </c>
      <c r="CS2556" s="76"/>
      <c r="CT2556" s="76"/>
      <c r="CU2556" s="56">
        <f>AN2556+AP2556+AR2556+AT2556+AV2556+AX2556+AZ2556+BB2556+BD2556+BF2556+BH2556+BJ2556+BL2556+BN2556+BP2556+BR2556+BT2556+BV2556+BX2556+BZ2556+CB2556+CD2556+CF2556+CH2556+CJ2556+CL2556+CN2556+CP2556+CR2556+CT2556</f>
        <v>0</v>
      </c>
      <c r="CV2556" s="76"/>
      <c r="CW2556" s="76">
        <f>+CV2556*1100</f>
        <v>0</v>
      </c>
      <c r="CX2556" s="76"/>
      <c r="CY2556" s="76">
        <f>+CX2556*106250</f>
        <v>0</v>
      </c>
      <c r="CZ2556" s="76"/>
      <c r="DA2556" s="76">
        <f>+CZ2556*34500</f>
        <v>0</v>
      </c>
      <c r="DB2556" s="76"/>
      <c r="DC2556" s="76">
        <f>+DB2556*25000</f>
        <v>0</v>
      </c>
      <c r="DD2556" s="219"/>
      <c r="DE2556" s="219"/>
      <c r="DF2556" s="166"/>
      <c r="DG2556" s="116"/>
      <c r="DH2556" s="117"/>
      <c r="DI2556" s="24"/>
      <c r="DJ2556" s="24"/>
      <c r="DK2556" s="24"/>
      <c r="DL2556" s="24"/>
      <c r="DM2556" s="24"/>
      <c r="DN2556" s="24"/>
      <c r="DO2556" s="24"/>
      <c r="DP2556" s="24"/>
      <c r="DQ2556" s="24"/>
      <c r="DR2556" s="24"/>
      <c r="DS2556" s="24"/>
      <c r="DT2556" s="24"/>
      <c r="DU2556" s="24"/>
    </row>
    <row r="2557" spans="1:125" s="8" customFormat="1" ht="120" x14ac:dyDescent="0.2">
      <c r="A2557" s="226">
        <v>41485</v>
      </c>
      <c r="B2557" s="225" t="s">
        <v>2772</v>
      </c>
      <c r="C2557" s="227" t="s">
        <v>2030</v>
      </c>
      <c r="D2557" s="354" t="s">
        <v>2846</v>
      </c>
      <c r="E2557" s="353" t="str">
        <f>VLOOKUP(B2557&amp;C2557,Divipola!$C$2:$F$1138,4,FALSE)</f>
        <v>25754</v>
      </c>
      <c r="F2557" s="87"/>
      <c r="G2557" s="87"/>
      <c r="H2557" s="87"/>
      <c r="I2557" s="87"/>
      <c r="J2557" s="87"/>
      <c r="K2557" s="87"/>
      <c r="L2557" s="87"/>
      <c r="M2557" s="87"/>
      <c r="N2557" s="87"/>
      <c r="O2557" s="87"/>
      <c r="P2557" s="87"/>
      <c r="Q2557" s="87"/>
      <c r="R2557" s="87"/>
      <c r="S2557" s="87"/>
      <c r="T2557" s="87"/>
      <c r="U2557" s="88">
        <v>6</v>
      </c>
      <c r="V2557" s="89"/>
      <c r="W2557" s="96">
        <v>0</v>
      </c>
      <c r="X2557" s="71">
        <f>CU2557</f>
        <v>0</v>
      </c>
      <c r="Y2557" s="71">
        <f>CY2557</f>
        <v>0</v>
      </c>
      <c r="Z2557" s="71">
        <f>DA2557+DC2557+DE2557</f>
        <v>0</v>
      </c>
      <c r="AA2557" s="71">
        <f>CW2557</f>
        <v>0</v>
      </c>
      <c r="AB2557" s="71"/>
      <c r="AC2557" s="71">
        <v>0</v>
      </c>
      <c r="AD2557" s="71">
        <f>W2557+X2557+Y2557+Z2557+AA2557+AB2557+AC2557</f>
        <v>0</v>
      </c>
      <c r="AE2557" s="72">
        <v>0</v>
      </c>
      <c r="AF2557" s="5"/>
      <c r="AG2557" s="6"/>
      <c r="AH2557" s="27"/>
      <c r="AI2557" s="44"/>
      <c r="AJ2557" s="26"/>
      <c r="AK2557" s="5"/>
      <c r="AL2557" s="82" t="s">
        <v>5447</v>
      </c>
      <c r="AM2557" s="76"/>
      <c r="AN2557" s="76"/>
      <c r="AO2557" s="76"/>
      <c r="AP2557" s="76"/>
      <c r="AQ2557" s="76"/>
      <c r="AR2557" s="76"/>
      <c r="AS2557" s="76"/>
      <c r="AT2557" s="76"/>
      <c r="AU2557" s="76"/>
      <c r="AV2557" s="76"/>
      <c r="AW2557" s="76"/>
      <c r="AX2557" s="76">
        <f>+AW2557*600000</f>
        <v>0</v>
      </c>
      <c r="AY2557" s="76"/>
      <c r="AZ2557" s="76">
        <f>+AY2557*70000</f>
        <v>0</v>
      </c>
      <c r="BA2557" s="76"/>
      <c r="BB2557" s="76"/>
      <c r="BC2557" s="76"/>
      <c r="BD2557" s="76">
        <f>+BC2557*30000</f>
        <v>0</v>
      </c>
      <c r="BE2557" s="76"/>
      <c r="BF2557" s="76"/>
      <c r="BG2557" s="76"/>
      <c r="BH2557" s="76"/>
      <c r="BI2557" s="76"/>
      <c r="BJ2557" s="76"/>
      <c r="BK2557" s="76"/>
      <c r="BL2557" s="76">
        <f>+BK2557*31500</f>
        <v>0</v>
      </c>
      <c r="BM2557" s="76"/>
      <c r="BN2557" s="76"/>
      <c r="BO2557" s="76"/>
      <c r="BP2557" s="76"/>
      <c r="BQ2557" s="76"/>
      <c r="BR2557" s="76"/>
      <c r="BS2557" s="76"/>
      <c r="BT2557" s="76"/>
      <c r="BU2557" s="76"/>
      <c r="BV2557" s="76"/>
      <c r="BW2557" s="76"/>
      <c r="BX2557" s="76"/>
      <c r="BY2557" s="76"/>
      <c r="BZ2557" s="76"/>
      <c r="CA2557" s="76"/>
      <c r="CB2557" s="76"/>
      <c r="CC2557" s="76"/>
      <c r="CD2557" s="76"/>
      <c r="CE2557" s="76"/>
      <c r="CF2557" s="76">
        <f>+CE2557*28000</f>
        <v>0</v>
      </c>
      <c r="CG2557" s="76"/>
      <c r="CH2557" s="76">
        <f>+CG2557*22500</f>
        <v>0</v>
      </c>
      <c r="CI2557" s="76"/>
      <c r="CJ2557" s="76">
        <f>+CI2557*26000</f>
        <v>0</v>
      </c>
      <c r="CK2557" s="76"/>
      <c r="CL2557" s="76"/>
      <c r="CM2557" s="76"/>
      <c r="CN2557" s="76">
        <f>+CM2557*22000</f>
        <v>0</v>
      </c>
      <c r="CO2557" s="76"/>
      <c r="CP2557" s="76">
        <f>+CO2557*46000</f>
        <v>0</v>
      </c>
      <c r="CQ2557" s="76"/>
      <c r="CR2557" s="76">
        <f>+CQ2557*49000</f>
        <v>0</v>
      </c>
      <c r="CS2557" s="76"/>
      <c r="CT2557" s="76"/>
      <c r="CU2557" s="56">
        <f>AN2557+AP2557+AR2557+AT2557+AV2557+AX2557+AZ2557+BB2557+BD2557+BF2557+BH2557+BJ2557+BL2557+BN2557+BP2557+BR2557+BT2557+BV2557+BX2557+BZ2557+CB2557+CD2557+CF2557+CH2557+CJ2557+CL2557+CN2557+CP2557+CR2557+CT2557</f>
        <v>0</v>
      </c>
      <c r="CV2557" s="76"/>
      <c r="CW2557" s="76">
        <f>+CV2557*1100</f>
        <v>0</v>
      </c>
      <c r="CX2557" s="76"/>
      <c r="CY2557" s="76">
        <f>+CX2557*106250</f>
        <v>0</v>
      </c>
      <c r="CZ2557" s="76"/>
      <c r="DA2557" s="76">
        <f>+CZ2557*34500</f>
        <v>0</v>
      </c>
      <c r="DB2557" s="76"/>
      <c r="DC2557" s="76">
        <f>+DB2557*25000</f>
        <v>0</v>
      </c>
      <c r="DD2557" s="219"/>
      <c r="DE2557" s="219"/>
      <c r="DF2557" s="166"/>
      <c r="DG2557" s="116"/>
      <c r="DH2557" s="117"/>
      <c r="DI2557" s="24"/>
      <c r="DJ2557" s="24"/>
      <c r="DK2557" s="24"/>
      <c r="DL2557" s="24"/>
      <c r="DM2557" s="24"/>
      <c r="DN2557" s="24"/>
      <c r="DO2557" s="24"/>
      <c r="DP2557" s="24"/>
      <c r="DQ2557" s="24"/>
      <c r="DR2557" s="24"/>
      <c r="DS2557" s="24"/>
      <c r="DT2557" s="24"/>
      <c r="DU2557" s="24"/>
    </row>
    <row r="2558" spans="1:125" s="8" customFormat="1" ht="108" x14ac:dyDescent="0.2">
      <c r="A2558" s="226">
        <v>41485</v>
      </c>
      <c r="B2558" s="225" t="s">
        <v>2772</v>
      </c>
      <c r="C2558" s="227" t="s">
        <v>1168</v>
      </c>
      <c r="D2558" s="227" t="s">
        <v>2846</v>
      </c>
      <c r="E2558" s="353" t="str">
        <f>VLOOKUP(B2558&amp;C2558,Divipola!$C$2:$F$1138,4,FALSE)</f>
        <v>25779</v>
      </c>
      <c r="F2558" s="87"/>
      <c r="G2558" s="87"/>
      <c r="H2558" s="87"/>
      <c r="I2558" s="87"/>
      <c r="J2558" s="87"/>
      <c r="K2558" s="87"/>
      <c r="L2558" s="87"/>
      <c r="M2558" s="87"/>
      <c r="N2558" s="87"/>
      <c r="O2558" s="87"/>
      <c r="P2558" s="87"/>
      <c r="Q2558" s="87"/>
      <c r="R2558" s="87"/>
      <c r="S2558" s="87"/>
      <c r="T2558" s="87"/>
      <c r="U2558" s="88">
        <v>1.5</v>
      </c>
      <c r="V2558" s="89"/>
      <c r="W2558" s="96">
        <v>0</v>
      </c>
      <c r="X2558" s="71">
        <f>CU2558</f>
        <v>0</v>
      </c>
      <c r="Y2558" s="71">
        <f>CY2558</f>
        <v>0</v>
      </c>
      <c r="Z2558" s="71">
        <f>DA2558+DC2558+DE2558</f>
        <v>0</v>
      </c>
      <c r="AA2558" s="71">
        <f>CW2558</f>
        <v>0</v>
      </c>
      <c r="AB2558" s="71"/>
      <c r="AC2558" s="71">
        <v>0</v>
      </c>
      <c r="AD2558" s="71">
        <f>W2558+X2558+Y2558+Z2558+AA2558+AB2558+AC2558</f>
        <v>0</v>
      </c>
      <c r="AE2558" s="72">
        <v>0</v>
      </c>
      <c r="AF2558" s="5"/>
      <c r="AG2558" s="6"/>
      <c r="AH2558" s="27"/>
      <c r="AI2558" s="44"/>
      <c r="AJ2558" s="26"/>
      <c r="AK2558" s="5"/>
      <c r="AL2558" s="82" t="s">
        <v>5449</v>
      </c>
      <c r="AM2558" s="76"/>
      <c r="AN2558" s="76"/>
      <c r="AO2558" s="76"/>
      <c r="AP2558" s="76"/>
      <c r="AQ2558" s="76"/>
      <c r="AR2558" s="76"/>
      <c r="AS2558" s="76"/>
      <c r="AT2558" s="76"/>
      <c r="AU2558" s="76"/>
      <c r="AV2558" s="76"/>
      <c r="AW2558" s="76"/>
      <c r="AX2558" s="76">
        <f>+AW2558*600000</f>
        <v>0</v>
      </c>
      <c r="AY2558" s="76"/>
      <c r="AZ2558" s="76">
        <f>+AY2558*70000</f>
        <v>0</v>
      </c>
      <c r="BA2558" s="76"/>
      <c r="BB2558" s="76"/>
      <c r="BC2558" s="76"/>
      <c r="BD2558" s="76">
        <f>+BC2558*30000</f>
        <v>0</v>
      </c>
      <c r="BE2558" s="76"/>
      <c r="BF2558" s="76"/>
      <c r="BG2558" s="76"/>
      <c r="BH2558" s="76"/>
      <c r="BI2558" s="76"/>
      <c r="BJ2558" s="76"/>
      <c r="BK2558" s="76"/>
      <c r="BL2558" s="76">
        <f>+BK2558*31500</f>
        <v>0</v>
      </c>
      <c r="BM2558" s="76"/>
      <c r="BN2558" s="76"/>
      <c r="BO2558" s="76"/>
      <c r="BP2558" s="76"/>
      <c r="BQ2558" s="76"/>
      <c r="BR2558" s="76"/>
      <c r="BS2558" s="76"/>
      <c r="BT2558" s="76"/>
      <c r="BU2558" s="76"/>
      <c r="BV2558" s="76"/>
      <c r="BW2558" s="76"/>
      <c r="BX2558" s="76"/>
      <c r="BY2558" s="76"/>
      <c r="BZ2558" s="76"/>
      <c r="CA2558" s="76"/>
      <c r="CB2558" s="76"/>
      <c r="CC2558" s="76"/>
      <c r="CD2558" s="76"/>
      <c r="CE2558" s="76"/>
      <c r="CF2558" s="76">
        <f>+CE2558*28000</f>
        <v>0</v>
      </c>
      <c r="CG2558" s="76"/>
      <c r="CH2558" s="76">
        <f>+CG2558*22500</f>
        <v>0</v>
      </c>
      <c r="CI2558" s="76"/>
      <c r="CJ2558" s="76">
        <f>+CI2558*26000</f>
        <v>0</v>
      </c>
      <c r="CK2558" s="76"/>
      <c r="CL2558" s="76"/>
      <c r="CM2558" s="76"/>
      <c r="CN2558" s="76">
        <f>+CM2558*22000</f>
        <v>0</v>
      </c>
      <c r="CO2558" s="76"/>
      <c r="CP2558" s="76">
        <f>+CO2558*46000</f>
        <v>0</v>
      </c>
      <c r="CQ2558" s="76"/>
      <c r="CR2558" s="76">
        <f>+CQ2558*49000</f>
        <v>0</v>
      </c>
      <c r="CS2558" s="76"/>
      <c r="CT2558" s="76"/>
      <c r="CU2558" s="56">
        <f>AN2558+AP2558+AR2558+AT2558+AV2558+AX2558+AZ2558+BB2558+BD2558+BF2558+BH2558+BJ2558+BL2558+BN2558+BP2558+BR2558+BT2558+BV2558+BX2558+BZ2558+CB2558+CD2558+CF2558+CH2558+CJ2558+CL2558+CN2558+CP2558+CR2558+CT2558</f>
        <v>0</v>
      </c>
      <c r="CV2558" s="76"/>
      <c r="CW2558" s="76">
        <f>+CV2558*1100</f>
        <v>0</v>
      </c>
      <c r="CX2558" s="76"/>
      <c r="CY2558" s="76">
        <f>+CX2558*106250</f>
        <v>0</v>
      </c>
      <c r="CZ2558" s="76"/>
      <c r="DA2558" s="76">
        <f>+CZ2558*34500</f>
        <v>0</v>
      </c>
      <c r="DB2558" s="76"/>
      <c r="DC2558" s="76">
        <f>+DB2558*25000</f>
        <v>0</v>
      </c>
      <c r="DD2558" s="219"/>
      <c r="DE2558" s="219"/>
      <c r="DF2558" s="166"/>
      <c r="DG2558" s="116"/>
      <c r="DH2558" s="117"/>
      <c r="DI2558" s="24"/>
      <c r="DJ2558" s="24"/>
      <c r="DK2558" s="24"/>
      <c r="DL2558" s="24"/>
      <c r="DM2558" s="24"/>
      <c r="DN2558" s="24"/>
      <c r="DO2558" s="24"/>
      <c r="DP2558" s="24"/>
      <c r="DQ2558" s="24"/>
      <c r="DR2558" s="24"/>
      <c r="DS2558" s="24"/>
      <c r="DT2558" s="24"/>
      <c r="DU2558" s="24"/>
    </row>
    <row r="2559" spans="1:125" s="8" customFormat="1" ht="72" x14ac:dyDescent="0.2">
      <c r="A2559" s="353">
        <v>41485</v>
      </c>
      <c r="B2559" s="225" t="s">
        <v>2661</v>
      </c>
      <c r="C2559" s="227" t="s">
        <v>2169</v>
      </c>
      <c r="D2559" s="227" t="s">
        <v>2846</v>
      </c>
      <c r="E2559" s="353" t="str">
        <f>VLOOKUP(B2559&amp;C2559,Divipola!$C$2:$F$1138,4,FALSE)</f>
        <v>41001</v>
      </c>
      <c r="F2559" s="87"/>
      <c r="G2559" s="87"/>
      <c r="H2559" s="87"/>
      <c r="I2559" s="87"/>
      <c r="J2559" s="87"/>
      <c r="K2559" s="87"/>
      <c r="L2559" s="87"/>
      <c r="M2559" s="87"/>
      <c r="N2559" s="87"/>
      <c r="O2559" s="87"/>
      <c r="P2559" s="87"/>
      <c r="Q2559" s="87"/>
      <c r="R2559" s="87"/>
      <c r="S2559" s="87"/>
      <c r="T2559" s="87"/>
      <c r="U2559" s="88" t="s">
        <v>5413</v>
      </c>
      <c r="V2559" s="89"/>
      <c r="W2559" s="96">
        <v>0</v>
      </c>
      <c r="X2559" s="71">
        <f>CU2559</f>
        <v>0</v>
      </c>
      <c r="Y2559" s="71">
        <f>CY2559</f>
        <v>0</v>
      </c>
      <c r="Z2559" s="71">
        <f>DA2559+DC2559+DE2559</f>
        <v>0</v>
      </c>
      <c r="AA2559" s="71">
        <f>CW2559</f>
        <v>0</v>
      </c>
      <c r="AB2559" s="71"/>
      <c r="AC2559" s="71">
        <v>0</v>
      </c>
      <c r="AD2559" s="71">
        <f>W2559+X2559+Y2559+Z2559+AA2559+AB2559+AC2559</f>
        <v>0</v>
      </c>
      <c r="AE2559" s="72">
        <v>0</v>
      </c>
      <c r="AF2559" s="5"/>
      <c r="AG2559" s="6"/>
      <c r="AH2559" s="27"/>
      <c r="AI2559" s="44"/>
      <c r="AJ2559" s="26"/>
      <c r="AK2559" s="5"/>
      <c r="AL2559" s="82" t="s">
        <v>5432</v>
      </c>
      <c r="AM2559" s="76"/>
      <c r="AN2559" s="76"/>
      <c r="AO2559" s="76"/>
      <c r="AP2559" s="76"/>
      <c r="AQ2559" s="76"/>
      <c r="AR2559" s="76"/>
      <c r="AS2559" s="76"/>
      <c r="AT2559" s="76"/>
      <c r="AU2559" s="76"/>
      <c r="AV2559" s="76"/>
      <c r="AW2559" s="76"/>
      <c r="AX2559" s="76">
        <f>+AW2559*600000</f>
        <v>0</v>
      </c>
      <c r="AY2559" s="76"/>
      <c r="AZ2559" s="76">
        <f>+AY2559*70000</f>
        <v>0</v>
      </c>
      <c r="BA2559" s="76"/>
      <c r="BB2559" s="76"/>
      <c r="BC2559" s="76"/>
      <c r="BD2559" s="76">
        <f>+BC2559*30000</f>
        <v>0</v>
      </c>
      <c r="BE2559" s="76"/>
      <c r="BF2559" s="76"/>
      <c r="BG2559" s="76"/>
      <c r="BH2559" s="76"/>
      <c r="BI2559" s="76"/>
      <c r="BJ2559" s="76"/>
      <c r="BK2559" s="76"/>
      <c r="BL2559" s="76">
        <f>+BK2559*31500</f>
        <v>0</v>
      </c>
      <c r="BM2559" s="76"/>
      <c r="BN2559" s="76"/>
      <c r="BO2559" s="76"/>
      <c r="BP2559" s="76"/>
      <c r="BQ2559" s="76"/>
      <c r="BR2559" s="76"/>
      <c r="BS2559" s="76"/>
      <c r="BT2559" s="76"/>
      <c r="BU2559" s="76"/>
      <c r="BV2559" s="76"/>
      <c r="BW2559" s="76"/>
      <c r="BX2559" s="76"/>
      <c r="BY2559" s="76"/>
      <c r="BZ2559" s="76"/>
      <c r="CA2559" s="76"/>
      <c r="CB2559" s="76"/>
      <c r="CC2559" s="76"/>
      <c r="CD2559" s="76"/>
      <c r="CE2559" s="76"/>
      <c r="CF2559" s="76">
        <f>+CE2559*28000</f>
        <v>0</v>
      </c>
      <c r="CG2559" s="76"/>
      <c r="CH2559" s="76">
        <f>+CG2559*22500</f>
        <v>0</v>
      </c>
      <c r="CI2559" s="76"/>
      <c r="CJ2559" s="76">
        <f>+CI2559*26000</f>
        <v>0</v>
      </c>
      <c r="CK2559" s="76"/>
      <c r="CL2559" s="76"/>
      <c r="CM2559" s="76"/>
      <c r="CN2559" s="76">
        <f>+CM2559*22000</f>
        <v>0</v>
      </c>
      <c r="CO2559" s="76"/>
      <c r="CP2559" s="76">
        <f>+CO2559*46000</f>
        <v>0</v>
      </c>
      <c r="CQ2559" s="76"/>
      <c r="CR2559" s="76">
        <f>+CQ2559*49000</f>
        <v>0</v>
      </c>
      <c r="CS2559" s="76"/>
      <c r="CT2559" s="76"/>
      <c r="CU2559" s="56">
        <f>AN2559+AP2559+AR2559+AT2559+AV2559+AX2559+AZ2559+BB2559+BD2559+BF2559+BH2559+BJ2559+BL2559+BN2559+BP2559+BR2559+BT2559+BV2559+BX2559+BZ2559+CB2559+CD2559+CF2559+CH2559+CJ2559+CL2559+CN2559+CP2559+CR2559+CT2559</f>
        <v>0</v>
      </c>
      <c r="CV2559" s="76"/>
      <c r="CW2559" s="76">
        <f>+CV2559*1100</f>
        <v>0</v>
      </c>
      <c r="CX2559" s="76"/>
      <c r="CY2559" s="76">
        <f>+CX2559*106250</f>
        <v>0</v>
      </c>
      <c r="CZ2559" s="76"/>
      <c r="DA2559" s="76">
        <f>+CZ2559*34500</f>
        <v>0</v>
      </c>
      <c r="DB2559" s="76"/>
      <c r="DC2559" s="76">
        <f>+DB2559*25000</f>
        <v>0</v>
      </c>
      <c r="DD2559" s="219"/>
      <c r="DE2559" s="219"/>
      <c r="DF2559" s="166"/>
      <c r="DG2559" s="116"/>
      <c r="DH2559" s="117"/>
      <c r="DI2559" s="24"/>
      <c r="DJ2559" s="24"/>
      <c r="DK2559" s="24"/>
      <c r="DL2559" s="24"/>
      <c r="DM2559" s="24"/>
      <c r="DN2559" s="24"/>
      <c r="DO2559" s="24"/>
      <c r="DP2559" s="24"/>
      <c r="DQ2559" s="24"/>
      <c r="DR2559" s="24"/>
      <c r="DS2559" s="24"/>
      <c r="DT2559" s="24"/>
      <c r="DU2559" s="24"/>
    </row>
    <row r="2560" spans="1:125" s="8" customFormat="1" ht="36" x14ac:dyDescent="0.2">
      <c r="A2560" s="77">
        <v>41485</v>
      </c>
      <c r="B2560" s="225" t="s">
        <v>1326</v>
      </c>
      <c r="C2560" s="227" t="s">
        <v>1850</v>
      </c>
      <c r="D2560" s="354" t="s">
        <v>2882</v>
      </c>
      <c r="E2560" s="353" t="str">
        <f>VLOOKUP(B2560&amp;C2560,Divipola!$C$2:$F$1138,4,FALSE)</f>
        <v>70820</v>
      </c>
      <c r="F2560" s="87"/>
      <c r="G2560" s="87"/>
      <c r="H2560" s="87"/>
      <c r="I2560" s="87"/>
      <c r="J2560" s="87"/>
      <c r="K2560" s="87"/>
      <c r="L2560" s="87"/>
      <c r="M2560" s="87"/>
      <c r="N2560" s="87"/>
      <c r="O2560" s="87"/>
      <c r="P2560" s="87"/>
      <c r="Q2560" s="87"/>
      <c r="R2560" s="87"/>
      <c r="S2560" s="87"/>
      <c r="T2560" s="87"/>
      <c r="U2560" s="88"/>
      <c r="V2560" s="89"/>
      <c r="W2560" s="96">
        <v>0</v>
      </c>
      <c r="X2560" s="71">
        <f>CU2560</f>
        <v>0</v>
      </c>
      <c r="Y2560" s="71">
        <f>CY2560</f>
        <v>0</v>
      </c>
      <c r="Z2560" s="71">
        <f>DA2560+DC2560+DE2560</f>
        <v>0</v>
      </c>
      <c r="AA2560" s="71">
        <f>CW2560</f>
        <v>0</v>
      </c>
      <c r="AB2560" s="71"/>
      <c r="AC2560" s="71">
        <v>0</v>
      </c>
      <c r="AD2560" s="71">
        <f>W2560+X2560+Y2560+Z2560+AA2560+AB2560+AC2560</f>
        <v>0</v>
      </c>
      <c r="AE2560" s="72">
        <v>0</v>
      </c>
      <c r="AF2560" s="5"/>
      <c r="AG2560" s="6"/>
      <c r="AH2560" s="27"/>
      <c r="AI2560" s="44"/>
      <c r="AJ2560" s="26"/>
      <c r="AK2560" s="5"/>
      <c r="AL2560" s="82" t="s">
        <v>5427</v>
      </c>
      <c r="AM2560" s="76"/>
      <c r="AN2560" s="76"/>
      <c r="AO2560" s="76"/>
      <c r="AP2560" s="76"/>
      <c r="AQ2560" s="76"/>
      <c r="AR2560" s="76"/>
      <c r="AS2560" s="76"/>
      <c r="AT2560" s="76"/>
      <c r="AU2560" s="76"/>
      <c r="AV2560" s="76"/>
      <c r="AW2560" s="76"/>
      <c r="AX2560" s="76">
        <f>+AW2560*600000</f>
        <v>0</v>
      </c>
      <c r="AY2560" s="76"/>
      <c r="AZ2560" s="76">
        <f>+AY2560*70000</f>
        <v>0</v>
      </c>
      <c r="BA2560" s="76"/>
      <c r="BB2560" s="76"/>
      <c r="BC2560" s="76"/>
      <c r="BD2560" s="76">
        <f>+BC2560*30000</f>
        <v>0</v>
      </c>
      <c r="BE2560" s="76"/>
      <c r="BF2560" s="76"/>
      <c r="BG2560" s="76"/>
      <c r="BH2560" s="76"/>
      <c r="BI2560" s="76"/>
      <c r="BJ2560" s="76"/>
      <c r="BK2560" s="76"/>
      <c r="BL2560" s="76">
        <f>+BK2560*31500</f>
        <v>0</v>
      </c>
      <c r="BM2560" s="76"/>
      <c r="BN2560" s="76"/>
      <c r="BO2560" s="76"/>
      <c r="BP2560" s="76"/>
      <c r="BQ2560" s="76"/>
      <c r="BR2560" s="76"/>
      <c r="BS2560" s="76"/>
      <c r="BT2560" s="76"/>
      <c r="BU2560" s="76"/>
      <c r="BV2560" s="76"/>
      <c r="BW2560" s="76"/>
      <c r="BX2560" s="76"/>
      <c r="BY2560" s="76"/>
      <c r="BZ2560" s="76"/>
      <c r="CA2560" s="76"/>
      <c r="CB2560" s="76"/>
      <c r="CC2560" s="76"/>
      <c r="CD2560" s="76"/>
      <c r="CE2560" s="76"/>
      <c r="CF2560" s="76">
        <f>+CE2560*28000</f>
        <v>0</v>
      </c>
      <c r="CG2560" s="76"/>
      <c r="CH2560" s="76">
        <f>+CG2560*22500</f>
        <v>0</v>
      </c>
      <c r="CI2560" s="76"/>
      <c r="CJ2560" s="76">
        <f>+CI2560*26000</f>
        <v>0</v>
      </c>
      <c r="CK2560" s="76"/>
      <c r="CL2560" s="76"/>
      <c r="CM2560" s="76"/>
      <c r="CN2560" s="76">
        <f>+CM2560*22000</f>
        <v>0</v>
      </c>
      <c r="CO2560" s="76"/>
      <c r="CP2560" s="76">
        <f>+CO2560*46000</f>
        <v>0</v>
      </c>
      <c r="CQ2560" s="76"/>
      <c r="CR2560" s="76">
        <f>+CQ2560*49000</f>
        <v>0</v>
      </c>
      <c r="CS2560" s="76"/>
      <c r="CT2560" s="76"/>
      <c r="CU2560" s="56">
        <f>AN2560+AP2560+AR2560+AT2560+AV2560+AX2560+AZ2560+BB2560+BD2560+BF2560+BH2560+BJ2560+BL2560+BN2560+BP2560+BR2560+BT2560+BV2560+BX2560+BZ2560+CB2560+CD2560+CF2560+CH2560+CJ2560+CL2560+CN2560+CP2560+CR2560+CT2560</f>
        <v>0</v>
      </c>
      <c r="CV2560" s="76"/>
      <c r="CW2560" s="76">
        <f>+CV2560*1100</f>
        <v>0</v>
      </c>
      <c r="CX2560" s="76"/>
      <c r="CY2560" s="76">
        <f>+CX2560*106250</f>
        <v>0</v>
      </c>
      <c r="CZ2560" s="76"/>
      <c r="DA2560" s="76">
        <f>+CZ2560*34500</f>
        <v>0</v>
      </c>
      <c r="DB2560" s="76"/>
      <c r="DC2560" s="76">
        <f>+DB2560*25000</f>
        <v>0</v>
      </c>
      <c r="DD2560" s="219"/>
      <c r="DE2560" s="219"/>
      <c r="DF2560" s="166"/>
      <c r="DG2560" s="116"/>
      <c r="DH2560" s="117"/>
      <c r="DI2560" s="24"/>
      <c r="DJ2560" s="24"/>
      <c r="DK2560" s="24"/>
      <c r="DL2560" s="24"/>
      <c r="DM2560" s="24"/>
      <c r="DN2560" s="24"/>
      <c r="DO2560" s="24"/>
      <c r="DP2560" s="24"/>
      <c r="DQ2560" s="24"/>
      <c r="DR2560" s="24"/>
      <c r="DS2560" s="24"/>
      <c r="DT2560" s="24"/>
      <c r="DU2560" s="24"/>
    </row>
    <row r="2561" spans="1:125" s="8" customFormat="1" ht="48" x14ac:dyDescent="0.2">
      <c r="A2561" s="226">
        <v>41485</v>
      </c>
      <c r="B2561" s="225" t="s">
        <v>2851</v>
      </c>
      <c r="C2561" s="227" t="s">
        <v>2064</v>
      </c>
      <c r="D2561" s="354" t="s">
        <v>2846</v>
      </c>
      <c r="E2561" s="353" t="str">
        <f>VLOOKUP(B2561&amp;C2561,Divipola!$C$2:$F$1138,4,FALSE)</f>
        <v>76233</v>
      </c>
      <c r="F2561" s="87"/>
      <c r="G2561" s="87"/>
      <c r="H2561" s="87"/>
      <c r="I2561" s="87"/>
      <c r="J2561" s="87"/>
      <c r="K2561" s="87"/>
      <c r="L2561" s="87"/>
      <c r="M2561" s="87"/>
      <c r="N2561" s="87"/>
      <c r="O2561" s="87"/>
      <c r="P2561" s="87"/>
      <c r="Q2561" s="87"/>
      <c r="R2561" s="87"/>
      <c r="S2561" s="87"/>
      <c r="T2561" s="87"/>
      <c r="U2561" s="88">
        <v>2</v>
      </c>
      <c r="V2561" s="89"/>
      <c r="W2561" s="96">
        <v>0</v>
      </c>
      <c r="X2561" s="71">
        <f>CU2561</f>
        <v>0</v>
      </c>
      <c r="Y2561" s="71">
        <f>CY2561</f>
        <v>0</v>
      </c>
      <c r="Z2561" s="71">
        <f>DA2561+DC2561+DE2561</f>
        <v>0</v>
      </c>
      <c r="AA2561" s="71">
        <f>CW2561</f>
        <v>0</v>
      </c>
      <c r="AB2561" s="71"/>
      <c r="AC2561" s="71">
        <v>0</v>
      </c>
      <c r="AD2561" s="71">
        <f>W2561+X2561+Y2561+Z2561+AA2561+AB2561+AC2561</f>
        <v>0</v>
      </c>
      <c r="AE2561" s="72">
        <v>0</v>
      </c>
      <c r="AF2561" s="5"/>
      <c r="AG2561" s="6"/>
      <c r="AH2561" s="27"/>
      <c r="AI2561" s="44"/>
      <c r="AJ2561" s="26"/>
      <c r="AK2561" s="5"/>
      <c r="AL2561" s="82" t="s">
        <v>5433</v>
      </c>
      <c r="AM2561" s="76"/>
      <c r="AN2561" s="76"/>
      <c r="AO2561" s="76"/>
      <c r="AP2561" s="76"/>
      <c r="AQ2561" s="76"/>
      <c r="AR2561" s="76"/>
      <c r="AS2561" s="76"/>
      <c r="AT2561" s="76"/>
      <c r="AU2561" s="76"/>
      <c r="AV2561" s="76"/>
      <c r="AW2561" s="76"/>
      <c r="AX2561" s="76">
        <f>+AW2561*600000</f>
        <v>0</v>
      </c>
      <c r="AY2561" s="76"/>
      <c r="AZ2561" s="76">
        <f>+AY2561*70000</f>
        <v>0</v>
      </c>
      <c r="BA2561" s="76"/>
      <c r="BB2561" s="76"/>
      <c r="BC2561" s="76"/>
      <c r="BD2561" s="76">
        <f>+BC2561*30000</f>
        <v>0</v>
      </c>
      <c r="BE2561" s="76"/>
      <c r="BF2561" s="76"/>
      <c r="BG2561" s="76"/>
      <c r="BH2561" s="76"/>
      <c r="BI2561" s="76"/>
      <c r="BJ2561" s="76"/>
      <c r="BK2561" s="76"/>
      <c r="BL2561" s="76">
        <f>+BK2561*31500</f>
        <v>0</v>
      </c>
      <c r="BM2561" s="76"/>
      <c r="BN2561" s="76"/>
      <c r="BO2561" s="76"/>
      <c r="BP2561" s="76"/>
      <c r="BQ2561" s="76"/>
      <c r="BR2561" s="76"/>
      <c r="BS2561" s="76"/>
      <c r="BT2561" s="76"/>
      <c r="BU2561" s="76"/>
      <c r="BV2561" s="76"/>
      <c r="BW2561" s="76"/>
      <c r="BX2561" s="76"/>
      <c r="BY2561" s="76"/>
      <c r="BZ2561" s="76"/>
      <c r="CA2561" s="76"/>
      <c r="CB2561" s="76"/>
      <c r="CC2561" s="76"/>
      <c r="CD2561" s="76"/>
      <c r="CE2561" s="76"/>
      <c r="CF2561" s="76">
        <f>+CE2561*28000</f>
        <v>0</v>
      </c>
      <c r="CG2561" s="76"/>
      <c r="CH2561" s="76">
        <f>+CG2561*22500</f>
        <v>0</v>
      </c>
      <c r="CI2561" s="76"/>
      <c r="CJ2561" s="76">
        <f>+CI2561*26000</f>
        <v>0</v>
      </c>
      <c r="CK2561" s="76"/>
      <c r="CL2561" s="76"/>
      <c r="CM2561" s="76"/>
      <c r="CN2561" s="76">
        <f>+CM2561*22000</f>
        <v>0</v>
      </c>
      <c r="CO2561" s="76"/>
      <c r="CP2561" s="76">
        <f>+CO2561*46000</f>
        <v>0</v>
      </c>
      <c r="CQ2561" s="76"/>
      <c r="CR2561" s="76">
        <f>+CQ2561*49000</f>
        <v>0</v>
      </c>
      <c r="CS2561" s="76"/>
      <c r="CT2561" s="76"/>
      <c r="CU2561" s="56">
        <f>AN2561+AP2561+AR2561+AT2561+AV2561+AX2561+AZ2561+BB2561+BD2561+BF2561+BH2561+BJ2561+BL2561+BN2561+BP2561+BR2561+BT2561+BV2561+BX2561+BZ2561+CB2561+CD2561+CF2561+CH2561+CJ2561+CL2561+CN2561+CP2561+CR2561+CT2561</f>
        <v>0</v>
      </c>
      <c r="CV2561" s="76"/>
      <c r="CW2561" s="76">
        <f>+CV2561*1100</f>
        <v>0</v>
      </c>
      <c r="CX2561" s="76"/>
      <c r="CY2561" s="76">
        <f>+CX2561*106250</f>
        <v>0</v>
      </c>
      <c r="CZ2561" s="76"/>
      <c r="DA2561" s="76">
        <f>+CZ2561*34500</f>
        <v>0</v>
      </c>
      <c r="DB2561" s="76"/>
      <c r="DC2561" s="76">
        <f>+DB2561*25000</f>
        <v>0</v>
      </c>
      <c r="DD2561" s="219"/>
      <c r="DE2561" s="219"/>
      <c r="DF2561" s="166"/>
      <c r="DG2561" s="116"/>
      <c r="DH2561" s="117"/>
      <c r="DI2561" s="24"/>
      <c r="DJ2561" s="24"/>
      <c r="DK2561" s="24"/>
      <c r="DL2561" s="24"/>
      <c r="DM2561" s="24"/>
      <c r="DN2561" s="24"/>
      <c r="DO2561" s="24"/>
      <c r="DP2561" s="24"/>
      <c r="DQ2561" s="24"/>
      <c r="DR2561" s="24"/>
      <c r="DS2561" s="24"/>
      <c r="DT2561" s="24"/>
      <c r="DU2561" s="24"/>
    </row>
    <row r="2562" spans="1:125" s="8" customFormat="1" ht="82.5" customHeight="1" x14ac:dyDescent="0.2">
      <c r="A2562" s="226">
        <v>41485</v>
      </c>
      <c r="B2562" s="225" t="s">
        <v>2851</v>
      </c>
      <c r="C2562" s="227" t="s">
        <v>2685</v>
      </c>
      <c r="D2562" s="227" t="s">
        <v>2846</v>
      </c>
      <c r="E2562" s="353" t="str">
        <f>VLOOKUP(B2562&amp;C2562,Divipola!$C$2:$F$1138,4,FALSE)</f>
        <v>76497</v>
      </c>
      <c r="F2562" s="87"/>
      <c r="G2562" s="87"/>
      <c r="H2562" s="87"/>
      <c r="I2562" s="87"/>
      <c r="J2562" s="87"/>
      <c r="K2562" s="87"/>
      <c r="L2562" s="87"/>
      <c r="M2562" s="87"/>
      <c r="N2562" s="87"/>
      <c r="O2562" s="87"/>
      <c r="P2562" s="87"/>
      <c r="Q2562" s="87"/>
      <c r="R2562" s="87"/>
      <c r="S2562" s="87"/>
      <c r="T2562" s="87"/>
      <c r="U2562" s="88">
        <v>2</v>
      </c>
      <c r="V2562" s="89"/>
      <c r="W2562" s="96">
        <v>0</v>
      </c>
      <c r="X2562" s="71">
        <f>CU2562</f>
        <v>0</v>
      </c>
      <c r="Y2562" s="71">
        <f>CY2562</f>
        <v>0</v>
      </c>
      <c r="Z2562" s="71">
        <f>DA2562+DC2562+DE2562</f>
        <v>0</v>
      </c>
      <c r="AA2562" s="71">
        <f>CW2562</f>
        <v>0</v>
      </c>
      <c r="AB2562" s="71"/>
      <c r="AC2562" s="71">
        <v>0</v>
      </c>
      <c r="AD2562" s="71">
        <f>W2562+X2562+Y2562+Z2562+AA2562+AB2562+AC2562</f>
        <v>0</v>
      </c>
      <c r="AE2562" s="72">
        <v>0</v>
      </c>
      <c r="AF2562" s="5"/>
      <c r="AG2562" s="6"/>
      <c r="AH2562" s="27"/>
      <c r="AI2562" s="44"/>
      <c r="AJ2562" s="26"/>
      <c r="AK2562" s="5"/>
      <c r="AL2562" s="82" t="s">
        <v>5434</v>
      </c>
      <c r="AM2562" s="76"/>
      <c r="AN2562" s="76"/>
      <c r="AO2562" s="76"/>
      <c r="AP2562" s="76"/>
      <c r="AQ2562" s="76"/>
      <c r="AR2562" s="76"/>
      <c r="AS2562" s="76"/>
      <c r="AT2562" s="76"/>
      <c r="AU2562" s="76"/>
      <c r="AV2562" s="76"/>
      <c r="AW2562" s="76"/>
      <c r="AX2562" s="76">
        <f>+AW2562*600000</f>
        <v>0</v>
      </c>
      <c r="AY2562" s="76"/>
      <c r="AZ2562" s="76">
        <f>+AY2562*70000</f>
        <v>0</v>
      </c>
      <c r="BA2562" s="76"/>
      <c r="BB2562" s="76"/>
      <c r="BC2562" s="76"/>
      <c r="BD2562" s="76">
        <f>+BC2562*30000</f>
        <v>0</v>
      </c>
      <c r="BE2562" s="76"/>
      <c r="BF2562" s="76"/>
      <c r="BG2562" s="76"/>
      <c r="BH2562" s="76"/>
      <c r="BI2562" s="76"/>
      <c r="BJ2562" s="76"/>
      <c r="BK2562" s="76"/>
      <c r="BL2562" s="76">
        <f>+BK2562*31500</f>
        <v>0</v>
      </c>
      <c r="BM2562" s="76"/>
      <c r="BN2562" s="76"/>
      <c r="BO2562" s="76"/>
      <c r="BP2562" s="76"/>
      <c r="BQ2562" s="76"/>
      <c r="BR2562" s="76"/>
      <c r="BS2562" s="76"/>
      <c r="BT2562" s="76"/>
      <c r="BU2562" s="76"/>
      <c r="BV2562" s="76"/>
      <c r="BW2562" s="76"/>
      <c r="BX2562" s="76"/>
      <c r="BY2562" s="76"/>
      <c r="BZ2562" s="76"/>
      <c r="CA2562" s="76"/>
      <c r="CB2562" s="76"/>
      <c r="CC2562" s="76"/>
      <c r="CD2562" s="76"/>
      <c r="CE2562" s="76"/>
      <c r="CF2562" s="76">
        <f>+CE2562*28000</f>
        <v>0</v>
      </c>
      <c r="CG2562" s="76"/>
      <c r="CH2562" s="76">
        <f>+CG2562*22500</f>
        <v>0</v>
      </c>
      <c r="CI2562" s="76"/>
      <c r="CJ2562" s="76">
        <f>+CI2562*26000</f>
        <v>0</v>
      </c>
      <c r="CK2562" s="76"/>
      <c r="CL2562" s="76"/>
      <c r="CM2562" s="76"/>
      <c r="CN2562" s="76">
        <f>+CM2562*22000</f>
        <v>0</v>
      </c>
      <c r="CO2562" s="76"/>
      <c r="CP2562" s="76">
        <f>+CO2562*46000</f>
        <v>0</v>
      </c>
      <c r="CQ2562" s="76"/>
      <c r="CR2562" s="76">
        <f>+CQ2562*49000</f>
        <v>0</v>
      </c>
      <c r="CS2562" s="76"/>
      <c r="CT2562" s="76"/>
      <c r="CU2562" s="56">
        <f>AN2562+AP2562+AR2562+AT2562+AV2562+AX2562+AZ2562+BB2562+BD2562+BF2562+BH2562+BJ2562+BL2562+BN2562+BP2562+BR2562+BT2562+BV2562+BX2562+BZ2562+CB2562+CD2562+CF2562+CH2562+CJ2562+CL2562+CN2562+CP2562+CR2562+CT2562</f>
        <v>0</v>
      </c>
      <c r="CV2562" s="76"/>
      <c r="CW2562" s="76">
        <f>+CV2562*1100</f>
        <v>0</v>
      </c>
      <c r="CX2562" s="76"/>
      <c r="CY2562" s="76">
        <f>+CX2562*106250</f>
        <v>0</v>
      </c>
      <c r="CZ2562" s="76"/>
      <c r="DA2562" s="76">
        <f>+CZ2562*34500</f>
        <v>0</v>
      </c>
      <c r="DB2562" s="76"/>
      <c r="DC2562" s="76">
        <f>+DB2562*25000</f>
        <v>0</v>
      </c>
      <c r="DD2562" s="219"/>
      <c r="DE2562" s="219"/>
      <c r="DF2562" s="166"/>
      <c r="DG2562" s="116"/>
      <c r="DH2562" s="117"/>
      <c r="DI2562" s="24"/>
      <c r="DJ2562" s="24"/>
      <c r="DK2562" s="24"/>
      <c r="DL2562" s="24"/>
      <c r="DM2562" s="24"/>
      <c r="DN2562" s="24"/>
      <c r="DO2562" s="24"/>
      <c r="DP2562" s="24"/>
      <c r="DQ2562" s="24"/>
      <c r="DR2562" s="24"/>
      <c r="DS2562" s="24"/>
      <c r="DT2562" s="24"/>
      <c r="DU2562" s="24"/>
    </row>
    <row r="2563" spans="1:125" s="8" customFormat="1" ht="60" x14ac:dyDescent="0.2">
      <c r="A2563" s="353">
        <v>41485</v>
      </c>
      <c r="B2563" s="225" t="s">
        <v>2851</v>
      </c>
      <c r="C2563" s="227" t="s">
        <v>1959</v>
      </c>
      <c r="D2563" s="227" t="s">
        <v>2846</v>
      </c>
      <c r="E2563" s="353" t="str">
        <f>VLOOKUP(B2563&amp;C2563,Divipola!$C$2:$F$1138,4,FALSE)</f>
        <v>76616</v>
      </c>
      <c r="F2563" s="87"/>
      <c r="G2563" s="87"/>
      <c r="H2563" s="87"/>
      <c r="I2563" s="87"/>
      <c r="J2563" s="87"/>
      <c r="K2563" s="87"/>
      <c r="L2563" s="87"/>
      <c r="M2563" s="87"/>
      <c r="N2563" s="87"/>
      <c r="O2563" s="87"/>
      <c r="P2563" s="87"/>
      <c r="Q2563" s="87"/>
      <c r="R2563" s="87"/>
      <c r="S2563" s="87"/>
      <c r="T2563" s="87"/>
      <c r="U2563" s="88">
        <v>2</v>
      </c>
      <c r="V2563" s="89"/>
      <c r="W2563" s="96">
        <v>0</v>
      </c>
      <c r="X2563" s="71">
        <f>CU2563</f>
        <v>0</v>
      </c>
      <c r="Y2563" s="71">
        <f>CY2563</f>
        <v>0</v>
      </c>
      <c r="Z2563" s="71">
        <f>DA2563+DC2563+DE2563</f>
        <v>0</v>
      </c>
      <c r="AA2563" s="71">
        <f>CW2563</f>
        <v>0</v>
      </c>
      <c r="AB2563" s="71"/>
      <c r="AC2563" s="71">
        <v>0</v>
      </c>
      <c r="AD2563" s="71">
        <f>W2563+X2563+Y2563+Z2563+AA2563+AB2563+AC2563</f>
        <v>0</v>
      </c>
      <c r="AE2563" s="72">
        <v>0</v>
      </c>
      <c r="AF2563" s="5"/>
      <c r="AG2563" s="6"/>
      <c r="AH2563" s="27"/>
      <c r="AI2563" s="44"/>
      <c r="AJ2563" s="26"/>
      <c r="AK2563" s="5"/>
      <c r="AL2563" s="82" t="s">
        <v>5435</v>
      </c>
      <c r="AM2563" s="76"/>
      <c r="AN2563" s="76"/>
      <c r="AO2563" s="76"/>
      <c r="AP2563" s="76"/>
      <c r="AQ2563" s="76"/>
      <c r="AR2563" s="76"/>
      <c r="AS2563" s="76"/>
      <c r="AT2563" s="76"/>
      <c r="AU2563" s="76"/>
      <c r="AV2563" s="76"/>
      <c r="AW2563" s="76"/>
      <c r="AX2563" s="76">
        <f>+AW2563*600000</f>
        <v>0</v>
      </c>
      <c r="AY2563" s="76"/>
      <c r="AZ2563" s="76">
        <f>+AY2563*70000</f>
        <v>0</v>
      </c>
      <c r="BA2563" s="76"/>
      <c r="BB2563" s="76"/>
      <c r="BC2563" s="76"/>
      <c r="BD2563" s="76">
        <f>+BC2563*30000</f>
        <v>0</v>
      </c>
      <c r="BE2563" s="76"/>
      <c r="BF2563" s="76"/>
      <c r="BG2563" s="76"/>
      <c r="BH2563" s="76"/>
      <c r="BI2563" s="76"/>
      <c r="BJ2563" s="76"/>
      <c r="BK2563" s="76"/>
      <c r="BL2563" s="76">
        <f>+BK2563*31500</f>
        <v>0</v>
      </c>
      <c r="BM2563" s="76"/>
      <c r="BN2563" s="76"/>
      <c r="BO2563" s="76"/>
      <c r="BP2563" s="76"/>
      <c r="BQ2563" s="76"/>
      <c r="BR2563" s="76"/>
      <c r="BS2563" s="76"/>
      <c r="BT2563" s="76"/>
      <c r="BU2563" s="76"/>
      <c r="BV2563" s="76"/>
      <c r="BW2563" s="76"/>
      <c r="BX2563" s="76"/>
      <c r="BY2563" s="76"/>
      <c r="BZ2563" s="76"/>
      <c r="CA2563" s="76"/>
      <c r="CB2563" s="76"/>
      <c r="CC2563" s="76"/>
      <c r="CD2563" s="76"/>
      <c r="CE2563" s="76"/>
      <c r="CF2563" s="76">
        <f>+CE2563*28000</f>
        <v>0</v>
      </c>
      <c r="CG2563" s="76"/>
      <c r="CH2563" s="76">
        <f>+CG2563*22500</f>
        <v>0</v>
      </c>
      <c r="CI2563" s="76"/>
      <c r="CJ2563" s="76">
        <f>+CI2563*26000</f>
        <v>0</v>
      </c>
      <c r="CK2563" s="76"/>
      <c r="CL2563" s="76"/>
      <c r="CM2563" s="76"/>
      <c r="CN2563" s="76">
        <f>+CM2563*22000</f>
        <v>0</v>
      </c>
      <c r="CO2563" s="76"/>
      <c r="CP2563" s="76">
        <f>+CO2563*46000</f>
        <v>0</v>
      </c>
      <c r="CQ2563" s="76"/>
      <c r="CR2563" s="76">
        <f>+CQ2563*49000</f>
        <v>0</v>
      </c>
      <c r="CS2563" s="76"/>
      <c r="CT2563" s="76"/>
      <c r="CU2563" s="56">
        <f>AN2563+AP2563+AR2563+AT2563+AV2563+AX2563+AZ2563+BB2563+BD2563+BF2563+BH2563+BJ2563+BL2563+BN2563+BP2563+BR2563+BT2563+BV2563+BX2563+BZ2563+CB2563+CD2563+CF2563+CH2563+CJ2563+CL2563+CN2563+CP2563+CR2563+CT2563</f>
        <v>0</v>
      </c>
      <c r="CV2563" s="76"/>
      <c r="CW2563" s="76">
        <f>+CV2563*1100</f>
        <v>0</v>
      </c>
      <c r="CX2563" s="76"/>
      <c r="CY2563" s="76">
        <f>+CX2563*106250</f>
        <v>0</v>
      </c>
      <c r="CZ2563" s="76"/>
      <c r="DA2563" s="76">
        <f>+CZ2563*34500</f>
        <v>0</v>
      </c>
      <c r="DB2563" s="76"/>
      <c r="DC2563" s="76">
        <f>+DB2563*25000</f>
        <v>0</v>
      </c>
      <c r="DD2563" s="219"/>
      <c r="DE2563" s="219"/>
      <c r="DF2563" s="166"/>
      <c r="DG2563" s="116"/>
      <c r="DH2563" s="117"/>
      <c r="DI2563" s="24"/>
      <c r="DJ2563" s="24"/>
      <c r="DK2563" s="24"/>
      <c r="DL2563" s="24"/>
      <c r="DM2563" s="24"/>
      <c r="DN2563" s="24"/>
      <c r="DO2563" s="24"/>
      <c r="DP2563" s="24"/>
      <c r="DQ2563" s="24"/>
      <c r="DR2563" s="24"/>
      <c r="DS2563" s="24"/>
      <c r="DT2563" s="24"/>
      <c r="DU2563" s="24"/>
    </row>
    <row r="2564" spans="1:125" s="8" customFormat="1" ht="60" x14ac:dyDescent="0.2">
      <c r="A2564" s="353">
        <v>41485</v>
      </c>
      <c r="B2564" s="352" t="s">
        <v>2851</v>
      </c>
      <c r="C2564" s="354" t="s">
        <v>2113</v>
      </c>
      <c r="D2564" s="354" t="s">
        <v>2846</v>
      </c>
      <c r="E2564" s="353" t="str">
        <f>VLOOKUP(B2564&amp;C2564,Divipola!$C$2:$F$1138,4,FALSE)</f>
        <v>76892</v>
      </c>
      <c r="F2564" s="87"/>
      <c r="G2564" s="87"/>
      <c r="H2564" s="87"/>
      <c r="I2564" s="87"/>
      <c r="J2564" s="87"/>
      <c r="K2564" s="87"/>
      <c r="L2564" s="87"/>
      <c r="M2564" s="87"/>
      <c r="N2564" s="87"/>
      <c r="O2564" s="87"/>
      <c r="P2564" s="87"/>
      <c r="Q2564" s="87"/>
      <c r="R2564" s="87"/>
      <c r="S2564" s="87"/>
      <c r="T2564" s="87"/>
      <c r="U2564" s="88" t="s">
        <v>5413</v>
      </c>
      <c r="V2564" s="89"/>
      <c r="W2564" s="96">
        <v>0</v>
      </c>
      <c r="X2564" s="71">
        <f>CU2564</f>
        <v>0</v>
      </c>
      <c r="Y2564" s="71">
        <f>CY2564</f>
        <v>0</v>
      </c>
      <c r="Z2564" s="71">
        <f>DA2564+DC2564+DE2564</f>
        <v>0</v>
      </c>
      <c r="AA2564" s="71">
        <f>CW2564</f>
        <v>0</v>
      </c>
      <c r="AB2564" s="71"/>
      <c r="AC2564" s="71">
        <v>0</v>
      </c>
      <c r="AD2564" s="71">
        <f>W2564+X2564+Y2564+Z2564+AA2564+AB2564+AC2564</f>
        <v>0</v>
      </c>
      <c r="AE2564" s="72">
        <v>0</v>
      </c>
      <c r="AF2564" s="5"/>
      <c r="AG2564" s="6"/>
      <c r="AH2564" s="27"/>
      <c r="AI2564" s="44"/>
      <c r="AJ2564" s="26"/>
      <c r="AK2564" s="5"/>
      <c r="AL2564" s="82" t="s">
        <v>5436</v>
      </c>
      <c r="AM2564" s="76"/>
      <c r="AN2564" s="76"/>
      <c r="AO2564" s="76"/>
      <c r="AP2564" s="76"/>
      <c r="AQ2564" s="76"/>
      <c r="AR2564" s="76"/>
      <c r="AS2564" s="76"/>
      <c r="AT2564" s="76"/>
      <c r="AU2564" s="76"/>
      <c r="AV2564" s="76"/>
      <c r="AW2564" s="76"/>
      <c r="AX2564" s="76">
        <f>+AW2564*600000</f>
        <v>0</v>
      </c>
      <c r="AY2564" s="76"/>
      <c r="AZ2564" s="76">
        <f>+AY2564*70000</f>
        <v>0</v>
      </c>
      <c r="BA2564" s="76"/>
      <c r="BB2564" s="76"/>
      <c r="BC2564" s="76"/>
      <c r="BD2564" s="76">
        <f>+BC2564*30000</f>
        <v>0</v>
      </c>
      <c r="BE2564" s="76"/>
      <c r="BF2564" s="76"/>
      <c r="BG2564" s="76"/>
      <c r="BH2564" s="76"/>
      <c r="BI2564" s="76"/>
      <c r="BJ2564" s="76"/>
      <c r="BK2564" s="76"/>
      <c r="BL2564" s="76">
        <f>+BK2564*31500</f>
        <v>0</v>
      </c>
      <c r="BM2564" s="76"/>
      <c r="BN2564" s="76"/>
      <c r="BO2564" s="76"/>
      <c r="BP2564" s="76"/>
      <c r="BQ2564" s="76"/>
      <c r="BR2564" s="76"/>
      <c r="BS2564" s="76"/>
      <c r="BT2564" s="76"/>
      <c r="BU2564" s="76"/>
      <c r="BV2564" s="76"/>
      <c r="BW2564" s="76"/>
      <c r="BX2564" s="76"/>
      <c r="BY2564" s="76"/>
      <c r="BZ2564" s="76"/>
      <c r="CA2564" s="76"/>
      <c r="CB2564" s="76"/>
      <c r="CC2564" s="76"/>
      <c r="CD2564" s="76"/>
      <c r="CE2564" s="76"/>
      <c r="CF2564" s="76">
        <f>+CE2564*28000</f>
        <v>0</v>
      </c>
      <c r="CG2564" s="76"/>
      <c r="CH2564" s="76">
        <f>+CG2564*22500</f>
        <v>0</v>
      </c>
      <c r="CI2564" s="76"/>
      <c r="CJ2564" s="76">
        <f>+CI2564*26000</f>
        <v>0</v>
      </c>
      <c r="CK2564" s="76"/>
      <c r="CL2564" s="76"/>
      <c r="CM2564" s="76"/>
      <c r="CN2564" s="76">
        <f>+CM2564*22000</f>
        <v>0</v>
      </c>
      <c r="CO2564" s="76"/>
      <c r="CP2564" s="76">
        <f>+CO2564*46000</f>
        <v>0</v>
      </c>
      <c r="CQ2564" s="76"/>
      <c r="CR2564" s="76">
        <f>+CQ2564*49000</f>
        <v>0</v>
      </c>
      <c r="CS2564" s="76"/>
      <c r="CT2564" s="76"/>
      <c r="CU2564" s="56">
        <f>AN2564+AP2564+AR2564+AT2564+AV2564+AX2564+AZ2564+BB2564+BD2564+BF2564+BH2564+BJ2564+BL2564+BN2564+BP2564+BR2564+BT2564+BV2564+BX2564+BZ2564+CB2564+CD2564+CF2564+CH2564+CJ2564+CL2564+CN2564+CP2564+CR2564+CT2564</f>
        <v>0</v>
      </c>
      <c r="CV2564" s="76"/>
      <c r="CW2564" s="76">
        <f>+CV2564*1100</f>
        <v>0</v>
      </c>
      <c r="CX2564" s="76"/>
      <c r="CY2564" s="76">
        <f>+CX2564*106250</f>
        <v>0</v>
      </c>
      <c r="CZ2564" s="76"/>
      <c r="DA2564" s="76">
        <f>+CZ2564*34500</f>
        <v>0</v>
      </c>
      <c r="DB2564" s="76"/>
      <c r="DC2564" s="76">
        <f>+DB2564*25000</f>
        <v>0</v>
      </c>
      <c r="DD2564" s="219"/>
      <c r="DE2564" s="219"/>
      <c r="DF2564" s="166"/>
      <c r="DG2564" s="116"/>
      <c r="DH2564" s="117"/>
      <c r="DI2564" s="24"/>
      <c r="DJ2564" s="24"/>
      <c r="DK2564" s="24"/>
      <c r="DL2564" s="24"/>
      <c r="DM2564" s="24"/>
      <c r="DN2564" s="24"/>
      <c r="DO2564" s="24"/>
      <c r="DP2564" s="24"/>
      <c r="DQ2564" s="24"/>
      <c r="DR2564" s="24"/>
      <c r="DS2564" s="24"/>
      <c r="DT2564" s="24"/>
      <c r="DU2564" s="24"/>
    </row>
    <row r="2565" spans="1:125" s="8" customFormat="1" ht="48" x14ac:dyDescent="0.2">
      <c r="A2565" s="77">
        <v>41486</v>
      </c>
      <c r="B2565" s="78" t="s">
        <v>2777</v>
      </c>
      <c r="C2565" s="75" t="s">
        <v>2205</v>
      </c>
      <c r="D2565" s="75" t="s">
        <v>3051</v>
      </c>
      <c r="E2565" s="353" t="str">
        <f>VLOOKUP(B2565&amp;C2565,Divipola!$C$2:$F$1138,4,FALSE)</f>
        <v>13580</v>
      </c>
      <c r="F2565" s="163"/>
      <c r="G2565" s="163"/>
      <c r="H2565" s="163"/>
      <c r="I2565" s="163"/>
      <c r="J2565" s="163"/>
      <c r="K2565" s="163"/>
      <c r="L2565" s="163"/>
      <c r="M2565" s="163"/>
      <c r="N2565" s="163"/>
      <c r="O2565" s="163"/>
      <c r="P2565" s="163"/>
      <c r="Q2565" s="163"/>
      <c r="R2565" s="163"/>
      <c r="S2565" s="163"/>
      <c r="T2565" s="163"/>
      <c r="U2565" s="163"/>
      <c r="V2565" s="134"/>
      <c r="W2565" s="96">
        <v>237600000</v>
      </c>
      <c r="X2565" s="71">
        <f>CU2565</f>
        <v>0</v>
      </c>
      <c r="Y2565" s="71">
        <f>CY2565</f>
        <v>0</v>
      </c>
      <c r="Z2565" s="71">
        <f>DA2565+DC2565+DE2565</f>
        <v>0</v>
      </c>
      <c r="AA2565" s="71">
        <f>CW2565</f>
        <v>0</v>
      </c>
      <c r="AB2565" s="71"/>
      <c r="AC2565" s="71">
        <v>0</v>
      </c>
      <c r="AD2565" s="71">
        <f>W2565+X2565+Y2565+Z2565+AA2565+AB2565+AC2565</f>
        <v>237600000</v>
      </c>
      <c r="AE2565" s="72">
        <v>0</v>
      </c>
      <c r="AF2565" s="5"/>
      <c r="AG2565" s="6"/>
      <c r="AH2565" s="27"/>
      <c r="AI2565" s="44"/>
      <c r="AJ2565" s="26"/>
      <c r="AK2565" s="5"/>
      <c r="AL2565" s="82" t="s">
        <v>5438</v>
      </c>
      <c r="AM2565" s="76"/>
      <c r="AN2565" s="76"/>
      <c r="AO2565" s="76"/>
      <c r="AP2565" s="76"/>
      <c r="AQ2565" s="76"/>
      <c r="AR2565" s="76"/>
      <c r="AS2565" s="76"/>
      <c r="AT2565" s="76"/>
      <c r="AU2565" s="76"/>
      <c r="AV2565" s="76"/>
      <c r="AW2565" s="76"/>
      <c r="AX2565" s="76">
        <f>+AW2565*600000</f>
        <v>0</v>
      </c>
      <c r="AY2565" s="76"/>
      <c r="AZ2565" s="76">
        <f>+AY2565*70000</f>
        <v>0</v>
      </c>
      <c r="BA2565" s="76"/>
      <c r="BB2565" s="76"/>
      <c r="BC2565" s="76"/>
      <c r="BD2565" s="76">
        <f>+BC2565*30000</f>
        <v>0</v>
      </c>
      <c r="BE2565" s="76"/>
      <c r="BF2565" s="76"/>
      <c r="BG2565" s="76"/>
      <c r="BH2565" s="76"/>
      <c r="BI2565" s="76"/>
      <c r="BJ2565" s="76"/>
      <c r="BK2565" s="76"/>
      <c r="BL2565" s="76">
        <f>+BK2565*31500</f>
        <v>0</v>
      </c>
      <c r="BM2565" s="76"/>
      <c r="BN2565" s="76"/>
      <c r="BO2565" s="76"/>
      <c r="BP2565" s="76"/>
      <c r="BQ2565" s="76"/>
      <c r="BR2565" s="76"/>
      <c r="BS2565" s="76"/>
      <c r="BT2565" s="76"/>
      <c r="BU2565" s="76"/>
      <c r="BV2565" s="76"/>
      <c r="BW2565" s="76"/>
      <c r="BX2565" s="76"/>
      <c r="BY2565" s="76"/>
      <c r="BZ2565" s="76"/>
      <c r="CA2565" s="76"/>
      <c r="CB2565" s="76"/>
      <c r="CC2565" s="76"/>
      <c r="CD2565" s="76"/>
      <c r="CE2565" s="76"/>
      <c r="CF2565" s="76">
        <f>+CE2565*28000</f>
        <v>0</v>
      </c>
      <c r="CG2565" s="76"/>
      <c r="CH2565" s="76">
        <f>+CG2565*22500</f>
        <v>0</v>
      </c>
      <c r="CI2565" s="76"/>
      <c r="CJ2565" s="76">
        <f>+CI2565*26000</f>
        <v>0</v>
      </c>
      <c r="CK2565" s="76"/>
      <c r="CL2565" s="76"/>
      <c r="CM2565" s="76"/>
      <c r="CN2565" s="76">
        <f>+CM2565*22000</f>
        <v>0</v>
      </c>
      <c r="CO2565" s="76"/>
      <c r="CP2565" s="76">
        <f>+CO2565*46000</f>
        <v>0</v>
      </c>
      <c r="CQ2565" s="76"/>
      <c r="CR2565" s="76">
        <f>+CQ2565*49000</f>
        <v>0</v>
      </c>
      <c r="CS2565" s="76"/>
      <c r="CT2565" s="76"/>
      <c r="CU2565" s="56">
        <f>AN2565+AP2565+AR2565+AT2565+AV2565+AX2565+AZ2565+BB2565+BD2565+BF2565+BH2565+BJ2565+BL2565+BN2565+BP2565+BR2565+BT2565+BV2565+BX2565+BZ2565+CB2565+CD2565+CF2565+CH2565+CJ2565+CL2565+CN2565+CP2565+CR2565+CT2565</f>
        <v>0</v>
      </c>
      <c r="CV2565" s="76"/>
      <c r="CW2565" s="76">
        <f>+CV2565*1100</f>
        <v>0</v>
      </c>
      <c r="CX2565" s="76"/>
      <c r="CY2565" s="76">
        <f>+CX2565*106250</f>
        <v>0</v>
      </c>
      <c r="CZ2565" s="76"/>
      <c r="DA2565" s="76">
        <f>+CZ2565*34500</f>
        <v>0</v>
      </c>
      <c r="DB2565" s="76"/>
      <c r="DC2565" s="76">
        <f>+DB2565*25000</f>
        <v>0</v>
      </c>
      <c r="DD2565" s="219"/>
      <c r="DE2565" s="219"/>
      <c r="DF2565" s="166"/>
      <c r="DG2565" s="116"/>
      <c r="DH2565" s="117"/>
      <c r="DI2565" s="24"/>
      <c r="DJ2565" s="24"/>
      <c r="DK2565" s="24"/>
      <c r="DL2565" s="24"/>
      <c r="DM2565" s="24"/>
      <c r="DN2565" s="24"/>
      <c r="DO2565" s="24"/>
      <c r="DP2565" s="24"/>
      <c r="DQ2565" s="24"/>
      <c r="DR2565" s="24"/>
      <c r="DS2565" s="24"/>
      <c r="DT2565" s="24"/>
      <c r="DU2565" s="24"/>
    </row>
    <row r="2566" spans="1:125" s="8" customFormat="1" ht="60" x14ac:dyDescent="0.2">
      <c r="A2566" s="353">
        <v>41486</v>
      </c>
      <c r="B2566" s="352" t="s">
        <v>2700</v>
      </c>
      <c r="C2566" s="354" t="s">
        <v>1357</v>
      </c>
      <c r="D2566" s="354" t="s">
        <v>2846</v>
      </c>
      <c r="E2566" s="353" t="str">
        <f>VLOOKUP(B2566&amp;C2566,Divipola!$C$2:$F$1138,4,FALSE)</f>
        <v>15442</v>
      </c>
      <c r="F2566" s="87"/>
      <c r="G2566" s="87"/>
      <c r="H2566" s="87"/>
      <c r="I2566" s="87"/>
      <c r="J2566" s="87"/>
      <c r="K2566" s="87"/>
      <c r="L2566" s="87"/>
      <c r="M2566" s="87"/>
      <c r="N2566" s="87"/>
      <c r="O2566" s="87"/>
      <c r="P2566" s="87"/>
      <c r="Q2566" s="87"/>
      <c r="R2566" s="87"/>
      <c r="S2566" s="87"/>
      <c r="T2566" s="87"/>
      <c r="U2566" s="88">
        <v>10</v>
      </c>
      <c r="V2566" s="89"/>
      <c r="W2566" s="96">
        <v>0</v>
      </c>
      <c r="X2566" s="71">
        <f>CU2566</f>
        <v>0</v>
      </c>
      <c r="Y2566" s="71">
        <f>CY2566</f>
        <v>0</v>
      </c>
      <c r="Z2566" s="71">
        <f>DA2566+DC2566+DE2566</f>
        <v>0</v>
      </c>
      <c r="AA2566" s="71">
        <f>CW2566</f>
        <v>0</v>
      </c>
      <c r="AB2566" s="71"/>
      <c r="AC2566" s="71">
        <v>0</v>
      </c>
      <c r="AD2566" s="71">
        <f>W2566+X2566+Y2566+Z2566+AA2566+AB2566+AC2566</f>
        <v>0</v>
      </c>
      <c r="AE2566" s="72">
        <v>0</v>
      </c>
      <c r="AF2566" s="5"/>
      <c r="AG2566" s="6"/>
      <c r="AH2566" s="27"/>
      <c r="AI2566" s="44"/>
      <c r="AJ2566" s="26"/>
      <c r="AK2566" s="5"/>
      <c r="AL2566" s="82" t="s">
        <v>5440</v>
      </c>
      <c r="AM2566" s="76"/>
      <c r="AN2566" s="76"/>
      <c r="AO2566" s="76"/>
      <c r="AP2566" s="76"/>
      <c r="AQ2566" s="76"/>
      <c r="AR2566" s="76"/>
      <c r="AS2566" s="76"/>
      <c r="AT2566" s="76"/>
      <c r="AU2566" s="76"/>
      <c r="AV2566" s="76"/>
      <c r="AW2566" s="76"/>
      <c r="AX2566" s="76">
        <f>+AW2566*600000</f>
        <v>0</v>
      </c>
      <c r="AY2566" s="76"/>
      <c r="AZ2566" s="76">
        <f>+AY2566*70000</f>
        <v>0</v>
      </c>
      <c r="BA2566" s="76"/>
      <c r="BB2566" s="76"/>
      <c r="BC2566" s="76"/>
      <c r="BD2566" s="76">
        <f>+BC2566*30000</f>
        <v>0</v>
      </c>
      <c r="BE2566" s="76"/>
      <c r="BF2566" s="76"/>
      <c r="BG2566" s="76"/>
      <c r="BH2566" s="76"/>
      <c r="BI2566" s="76"/>
      <c r="BJ2566" s="76"/>
      <c r="BK2566" s="76"/>
      <c r="BL2566" s="76">
        <f>+BK2566*31500</f>
        <v>0</v>
      </c>
      <c r="BM2566" s="76"/>
      <c r="BN2566" s="76"/>
      <c r="BO2566" s="76"/>
      <c r="BP2566" s="76"/>
      <c r="BQ2566" s="76"/>
      <c r="BR2566" s="76"/>
      <c r="BS2566" s="76"/>
      <c r="BT2566" s="76"/>
      <c r="BU2566" s="76"/>
      <c r="BV2566" s="76"/>
      <c r="BW2566" s="76"/>
      <c r="BX2566" s="76"/>
      <c r="BY2566" s="76"/>
      <c r="BZ2566" s="76"/>
      <c r="CA2566" s="76"/>
      <c r="CB2566" s="76"/>
      <c r="CC2566" s="76"/>
      <c r="CD2566" s="76"/>
      <c r="CE2566" s="76"/>
      <c r="CF2566" s="76">
        <f>+CE2566*28000</f>
        <v>0</v>
      </c>
      <c r="CG2566" s="76"/>
      <c r="CH2566" s="76">
        <f>+CG2566*22500</f>
        <v>0</v>
      </c>
      <c r="CI2566" s="76"/>
      <c r="CJ2566" s="76">
        <f>+CI2566*26000</f>
        <v>0</v>
      </c>
      <c r="CK2566" s="76"/>
      <c r="CL2566" s="76"/>
      <c r="CM2566" s="76"/>
      <c r="CN2566" s="76">
        <f>+CM2566*22000</f>
        <v>0</v>
      </c>
      <c r="CO2566" s="76"/>
      <c r="CP2566" s="76">
        <f>+CO2566*46000</f>
        <v>0</v>
      </c>
      <c r="CQ2566" s="76"/>
      <c r="CR2566" s="76">
        <f>+CQ2566*49000</f>
        <v>0</v>
      </c>
      <c r="CS2566" s="76"/>
      <c r="CT2566" s="76"/>
      <c r="CU2566" s="56">
        <f>AN2566+AP2566+AR2566+AT2566+AV2566+AX2566+AZ2566+BB2566+BD2566+BF2566+BH2566+BJ2566+BL2566+BN2566+BP2566+BR2566+BT2566+BV2566+BX2566+BZ2566+CB2566+CD2566+CF2566+CH2566+CJ2566+CL2566+CN2566+CP2566+CR2566+CT2566</f>
        <v>0</v>
      </c>
      <c r="CV2566" s="76"/>
      <c r="CW2566" s="76">
        <f>+CV2566*1100</f>
        <v>0</v>
      </c>
      <c r="CX2566" s="76"/>
      <c r="CY2566" s="76">
        <f>+CX2566*106250</f>
        <v>0</v>
      </c>
      <c r="CZ2566" s="76"/>
      <c r="DA2566" s="76">
        <f>+CZ2566*34500</f>
        <v>0</v>
      </c>
      <c r="DB2566" s="76"/>
      <c r="DC2566" s="76">
        <f>+DB2566*25000</f>
        <v>0</v>
      </c>
      <c r="DD2566" s="219"/>
      <c r="DE2566" s="219"/>
      <c r="DF2566" s="166"/>
      <c r="DG2566" s="116"/>
      <c r="DH2566" s="117"/>
      <c r="DI2566" s="24"/>
      <c r="DJ2566" s="24"/>
      <c r="DK2566" s="24"/>
      <c r="DL2566" s="24"/>
      <c r="DM2566" s="24"/>
      <c r="DN2566" s="24"/>
      <c r="DO2566" s="24"/>
      <c r="DP2566" s="24"/>
      <c r="DQ2566" s="24"/>
      <c r="DR2566" s="24"/>
      <c r="DS2566" s="24"/>
      <c r="DT2566" s="24"/>
      <c r="DU2566" s="24"/>
    </row>
    <row r="2567" spans="1:125" s="8" customFormat="1" ht="36" x14ac:dyDescent="0.2">
      <c r="A2567" s="77">
        <v>41486</v>
      </c>
      <c r="B2567" s="249" t="s">
        <v>2811</v>
      </c>
      <c r="C2567" s="231" t="s">
        <v>147</v>
      </c>
      <c r="D2567" s="231" t="s">
        <v>3088</v>
      </c>
      <c r="E2567" s="353" t="str">
        <f>VLOOKUP(B2567&amp;C2567,Divipola!$C$2:$F$1138,4,FALSE)</f>
        <v>52254</v>
      </c>
      <c r="F2567" s="163"/>
      <c r="G2567" s="163"/>
      <c r="H2567" s="163"/>
      <c r="I2567" s="163"/>
      <c r="J2567" s="163"/>
      <c r="K2567" s="163"/>
      <c r="L2567" s="163"/>
      <c r="M2567" s="163"/>
      <c r="N2567" s="163"/>
      <c r="O2567" s="163"/>
      <c r="P2567" s="163"/>
      <c r="Q2567" s="163"/>
      <c r="R2567" s="163"/>
      <c r="S2567" s="163"/>
      <c r="T2567" s="163"/>
      <c r="U2567" s="163"/>
      <c r="V2567" s="134"/>
      <c r="W2567" s="96">
        <v>0</v>
      </c>
      <c r="X2567" s="71">
        <f>CU2567</f>
        <v>0</v>
      </c>
      <c r="Y2567" s="71">
        <f>CY2567</f>
        <v>0</v>
      </c>
      <c r="Z2567" s="71">
        <f>DA2567+DC2567+DE2567</f>
        <v>102800219.63999999</v>
      </c>
      <c r="AA2567" s="71">
        <f>CW2567</f>
        <v>0</v>
      </c>
      <c r="AB2567" s="71"/>
      <c r="AC2567" s="71">
        <v>0</v>
      </c>
      <c r="AD2567" s="71">
        <f>W2567+X2567+Y2567+Z2567+AA2567+AB2567+AC2567</f>
        <v>102800219.63999999</v>
      </c>
      <c r="AE2567" s="72">
        <v>0</v>
      </c>
      <c r="AF2567" s="5"/>
      <c r="AG2567" s="6"/>
      <c r="AH2567" s="27"/>
      <c r="AI2567" s="44"/>
      <c r="AJ2567" s="26"/>
      <c r="AK2567" s="5"/>
      <c r="AL2567" s="82"/>
      <c r="AM2567" s="76"/>
      <c r="AN2567" s="76"/>
      <c r="AO2567" s="76"/>
      <c r="AP2567" s="76"/>
      <c r="AQ2567" s="76"/>
      <c r="AR2567" s="76"/>
      <c r="AS2567" s="76"/>
      <c r="AT2567" s="76"/>
      <c r="AU2567" s="76"/>
      <c r="AV2567" s="76"/>
      <c r="AW2567" s="76"/>
      <c r="AX2567" s="76">
        <f>+AW2567*600000</f>
        <v>0</v>
      </c>
      <c r="AY2567" s="76"/>
      <c r="AZ2567" s="76">
        <f>+AY2567*70000</f>
        <v>0</v>
      </c>
      <c r="BA2567" s="76"/>
      <c r="BB2567" s="76"/>
      <c r="BC2567" s="76"/>
      <c r="BD2567" s="76">
        <f>+BC2567*30000</f>
        <v>0</v>
      </c>
      <c r="BE2567" s="76"/>
      <c r="BF2567" s="76"/>
      <c r="BG2567" s="76"/>
      <c r="BH2567" s="76"/>
      <c r="BI2567" s="76"/>
      <c r="BJ2567" s="76"/>
      <c r="BK2567" s="76"/>
      <c r="BL2567" s="76">
        <f>+BK2567*31500</f>
        <v>0</v>
      </c>
      <c r="BM2567" s="76"/>
      <c r="BN2567" s="76"/>
      <c r="BO2567" s="76"/>
      <c r="BP2567" s="76"/>
      <c r="BQ2567" s="76"/>
      <c r="BR2567" s="76"/>
      <c r="BS2567" s="76"/>
      <c r="BT2567" s="76"/>
      <c r="BU2567" s="76"/>
      <c r="BV2567" s="76"/>
      <c r="BW2567" s="76"/>
      <c r="BX2567" s="76"/>
      <c r="BY2567" s="76"/>
      <c r="BZ2567" s="76"/>
      <c r="CA2567" s="76"/>
      <c r="CB2567" s="76"/>
      <c r="CC2567" s="76"/>
      <c r="CD2567" s="76"/>
      <c r="CE2567" s="76"/>
      <c r="CF2567" s="76">
        <f>+CE2567*28000</f>
        <v>0</v>
      </c>
      <c r="CG2567" s="76"/>
      <c r="CH2567" s="76">
        <f>+CG2567*22500</f>
        <v>0</v>
      </c>
      <c r="CI2567" s="76"/>
      <c r="CJ2567" s="76">
        <f>+CI2567*26000</f>
        <v>0</v>
      </c>
      <c r="CK2567" s="76"/>
      <c r="CL2567" s="76"/>
      <c r="CM2567" s="76"/>
      <c r="CN2567" s="76">
        <f>+CM2567*22000</f>
        <v>0</v>
      </c>
      <c r="CO2567" s="76"/>
      <c r="CP2567" s="76">
        <f>+CO2567*46000</f>
        <v>0</v>
      </c>
      <c r="CQ2567" s="76"/>
      <c r="CR2567" s="76">
        <f>+CQ2567*49000</f>
        <v>0</v>
      </c>
      <c r="CS2567" s="76"/>
      <c r="CT2567" s="76"/>
      <c r="CU2567" s="56">
        <f>AN2567+AP2567+AR2567+AT2567+AV2567+AX2567+AZ2567+BB2567+BD2567+BF2567+BH2567+BJ2567+BL2567+BN2567+BP2567+BR2567+BT2567+BV2567+BX2567+BZ2567+CB2567+CD2567+CF2567+CH2567+CJ2567+CL2567+CN2567+CP2567+CR2567+CT2567</f>
        <v>0</v>
      </c>
      <c r="CV2567" s="76"/>
      <c r="CW2567" s="76">
        <f>+CV2567*1100</f>
        <v>0</v>
      </c>
      <c r="CX2567" s="76"/>
      <c r="CY2567" s="76">
        <f>+CX2567*106250</f>
        <v>0</v>
      </c>
      <c r="CZ2567" s="86">
        <v>1418</v>
      </c>
      <c r="DA2567" s="86">
        <f>1418*34499.56</f>
        <v>48920376.079999998</v>
      </c>
      <c r="DB2567" s="76"/>
      <c r="DC2567" s="76">
        <f>+DB2567*25000</f>
        <v>0</v>
      </c>
      <c r="DD2567" s="221" t="s">
        <v>6037</v>
      </c>
      <c r="DE2567" s="223">
        <f>9759*5019.32+640*7356.72+187998.88</f>
        <v>53879843.559999995</v>
      </c>
      <c r="DF2567" s="166"/>
      <c r="DG2567" s="134" t="s">
        <v>6036</v>
      </c>
      <c r="DH2567" s="117"/>
      <c r="DI2567" s="24"/>
      <c r="DJ2567" s="24"/>
      <c r="DK2567" s="24"/>
      <c r="DL2567" s="24"/>
      <c r="DM2567" s="24"/>
      <c r="DN2567" s="24"/>
      <c r="DO2567" s="24"/>
      <c r="DP2567" s="24"/>
      <c r="DQ2567" s="24"/>
      <c r="DR2567" s="24"/>
      <c r="DS2567" s="24"/>
      <c r="DT2567" s="24"/>
      <c r="DU2567" s="24"/>
    </row>
    <row r="2568" spans="1:125" s="8" customFormat="1" ht="72" x14ac:dyDescent="0.2">
      <c r="A2568" s="226">
        <v>41486</v>
      </c>
      <c r="B2568" s="225" t="s">
        <v>2860</v>
      </c>
      <c r="C2568" s="227" t="s">
        <v>2776</v>
      </c>
      <c r="D2568" s="227" t="s">
        <v>3017</v>
      </c>
      <c r="E2568" s="353" t="str">
        <f>VLOOKUP(B2568&amp;C2568,Divipola!$C$2:$F$1138,4,FALSE)</f>
        <v>63001</v>
      </c>
      <c r="F2568" s="87"/>
      <c r="G2568" s="87"/>
      <c r="H2568" s="87"/>
      <c r="I2568" s="87">
        <v>5</v>
      </c>
      <c r="J2568" s="87">
        <v>1</v>
      </c>
      <c r="K2568" s="87">
        <v>1</v>
      </c>
      <c r="L2568" s="87"/>
      <c r="M2568" s="87"/>
      <c r="N2568" s="87"/>
      <c r="O2568" s="87"/>
      <c r="P2568" s="87"/>
      <c r="Q2568" s="87"/>
      <c r="R2568" s="87"/>
      <c r="S2568" s="87"/>
      <c r="T2568" s="87"/>
      <c r="U2568" s="88"/>
      <c r="V2568" s="89"/>
      <c r="W2568" s="96">
        <v>0</v>
      </c>
      <c r="X2568" s="71">
        <f>CU2568</f>
        <v>0</v>
      </c>
      <c r="Y2568" s="71">
        <f>CY2568</f>
        <v>0</v>
      </c>
      <c r="Z2568" s="71">
        <f>DA2568+DC2568+DE2568</f>
        <v>0</v>
      </c>
      <c r="AA2568" s="71">
        <f>CW2568</f>
        <v>0</v>
      </c>
      <c r="AB2568" s="71"/>
      <c r="AC2568" s="71">
        <v>0</v>
      </c>
      <c r="AD2568" s="71">
        <f>W2568+X2568+Y2568+Z2568+AA2568+AB2568+AC2568</f>
        <v>0</v>
      </c>
      <c r="AE2568" s="72">
        <v>0</v>
      </c>
      <c r="AF2568" s="5"/>
      <c r="AG2568" s="6"/>
      <c r="AH2568" s="27"/>
      <c r="AI2568" s="44"/>
      <c r="AJ2568" s="26"/>
      <c r="AK2568" s="5"/>
      <c r="AL2568" s="82" t="s">
        <v>5441</v>
      </c>
      <c r="AM2568" s="76"/>
      <c r="AN2568" s="76"/>
      <c r="AO2568" s="76"/>
      <c r="AP2568" s="76"/>
      <c r="AQ2568" s="76"/>
      <c r="AR2568" s="76"/>
      <c r="AS2568" s="76"/>
      <c r="AT2568" s="76"/>
      <c r="AU2568" s="76"/>
      <c r="AV2568" s="76"/>
      <c r="AW2568" s="76"/>
      <c r="AX2568" s="76">
        <f>+AW2568*600000</f>
        <v>0</v>
      </c>
      <c r="AY2568" s="76"/>
      <c r="AZ2568" s="76">
        <f>+AY2568*70000</f>
        <v>0</v>
      </c>
      <c r="BA2568" s="76"/>
      <c r="BB2568" s="76"/>
      <c r="BC2568" s="76"/>
      <c r="BD2568" s="76">
        <f>+BC2568*30000</f>
        <v>0</v>
      </c>
      <c r="BE2568" s="76"/>
      <c r="BF2568" s="76"/>
      <c r="BG2568" s="76"/>
      <c r="BH2568" s="76"/>
      <c r="BI2568" s="76"/>
      <c r="BJ2568" s="76"/>
      <c r="BK2568" s="76"/>
      <c r="BL2568" s="76">
        <f>+BK2568*31500</f>
        <v>0</v>
      </c>
      <c r="BM2568" s="76"/>
      <c r="BN2568" s="76"/>
      <c r="BO2568" s="76"/>
      <c r="BP2568" s="76"/>
      <c r="BQ2568" s="76"/>
      <c r="BR2568" s="76"/>
      <c r="BS2568" s="76"/>
      <c r="BT2568" s="76"/>
      <c r="BU2568" s="76"/>
      <c r="BV2568" s="76"/>
      <c r="BW2568" s="76"/>
      <c r="BX2568" s="76"/>
      <c r="BY2568" s="76"/>
      <c r="BZ2568" s="76"/>
      <c r="CA2568" s="76"/>
      <c r="CB2568" s="76"/>
      <c r="CC2568" s="76"/>
      <c r="CD2568" s="76"/>
      <c r="CE2568" s="76"/>
      <c r="CF2568" s="76">
        <f>+CE2568*28000</f>
        <v>0</v>
      </c>
      <c r="CG2568" s="76"/>
      <c r="CH2568" s="76">
        <f>+CG2568*22500</f>
        <v>0</v>
      </c>
      <c r="CI2568" s="76"/>
      <c r="CJ2568" s="76">
        <f>+CI2568*26000</f>
        <v>0</v>
      </c>
      <c r="CK2568" s="76"/>
      <c r="CL2568" s="76"/>
      <c r="CM2568" s="76"/>
      <c r="CN2568" s="76">
        <f>+CM2568*22000</f>
        <v>0</v>
      </c>
      <c r="CO2568" s="76"/>
      <c r="CP2568" s="76">
        <f>+CO2568*46000</f>
        <v>0</v>
      </c>
      <c r="CQ2568" s="76"/>
      <c r="CR2568" s="76">
        <f>+CQ2568*49000</f>
        <v>0</v>
      </c>
      <c r="CS2568" s="76"/>
      <c r="CT2568" s="76"/>
      <c r="CU2568" s="56">
        <f>AN2568+AP2568+AR2568+AT2568+AV2568+AX2568+AZ2568+BB2568+BD2568+BF2568+BH2568+BJ2568+BL2568+BN2568+BP2568+BR2568+BT2568+BV2568+BX2568+BZ2568+CB2568+CD2568+CF2568+CH2568+CJ2568+CL2568+CN2568+CP2568+CR2568+CT2568</f>
        <v>0</v>
      </c>
      <c r="CV2568" s="76"/>
      <c r="CW2568" s="76">
        <f>+CV2568*1100</f>
        <v>0</v>
      </c>
      <c r="CX2568" s="76"/>
      <c r="CY2568" s="76">
        <f>+CX2568*106250</f>
        <v>0</v>
      </c>
      <c r="CZ2568" s="76"/>
      <c r="DA2568" s="76">
        <f>+CZ2568*34500</f>
        <v>0</v>
      </c>
      <c r="DB2568" s="76"/>
      <c r="DC2568" s="76">
        <f>+DB2568*25000</f>
        <v>0</v>
      </c>
      <c r="DD2568" s="219"/>
      <c r="DE2568" s="219"/>
      <c r="DF2568" s="166"/>
      <c r="DG2568" s="116"/>
      <c r="DH2568" s="117"/>
      <c r="DI2568" s="24"/>
      <c r="DJ2568" s="24"/>
      <c r="DK2568" s="24"/>
      <c r="DL2568" s="24"/>
      <c r="DM2568" s="24"/>
      <c r="DN2568" s="24"/>
      <c r="DO2568" s="24"/>
      <c r="DP2568" s="24"/>
      <c r="DQ2568" s="24"/>
      <c r="DR2568" s="24"/>
      <c r="DS2568" s="24"/>
      <c r="DT2568" s="24"/>
      <c r="DU2568" s="24"/>
    </row>
    <row r="2569" spans="1:125" s="8" customFormat="1" ht="108" x14ac:dyDescent="0.2">
      <c r="A2569" s="353">
        <v>41486</v>
      </c>
      <c r="B2569" s="225" t="s">
        <v>2847</v>
      </c>
      <c r="C2569" s="227" t="s">
        <v>2673</v>
      </c>
      <c r="D2569" s="227" t="s">
        <v>2859</v>
      </c>
      <c r="E2569" s="353" t="str">
        <f>VLOOKUP(B2569&amp;C2569,Divipola!$C$2:$F$1138,4,FALSE)</f>
        <v>68001</v>
      </c>
      <c r="F2569" s="87"/>
      <c r="G2569" s="87"/>
      <c r="H2569" s="87"/>
      <c r="I2569" s="87">
        <v>5</v>
      </c>
      <c r="J2569" s="87">
        <v>1</v>
      </c>
      <c r="K2569" s="87">
        <v>1</v>
      </c>
      <c r="L2569" s="87"/>
      <c r="M2569" s="87"/>
      <c r="N2569" s="87"/>
      <c r="O2569" s="87"/>
      <c r="P2569" s="87"/>
      <c r="Q2569" s="87"/>
      <c r="R2569" s="87"/>
      <c r="S2569" s="87"/>
      <c r="T2569" s="87"/>
      <c r="U2569" s="88"/>
      <c r="V2569" s="89"/>
      <c r="W2569" s="96">
        <v>0</v>
      </c>
      <c r="X2569" s="71">
        <f>CU2569</f>
        <v>0</v>
      </c>
      <c r="Y2569" s="71">
        <f>CY2569</f>
        <v>0</v>
      </c>
      <c r="Z2569" s="71">
        <f>DA2569+DC2569+DE2569</f>
        <v>0</v>
      </c>
      <c r="AA2569" s="71">
        <f>CW2569</f>
        <v>0</v>
      </c>
      <c r="AB2569" s="71"/>
      <c r="AC2569" s="71">
        <v>0</v>
      </c>
      <c r="AD2569" s="71">
        <f>W2569+X2569+Y2569+Z2569+AA2569+AB2569+AC2569</f>
        <v>0</v>
      </c>
      <c r="AE2569" s="72">
        <v>0</v>
      </c>
      <c r="AF2569" s="5"/>
      <c r="AG2569" s="6"/>
      <c r="AH2569" s="27"/>
      <c r="AI2569" s="44"/>
      <c r="AJ2569" s="26"/>
      <c r="AK2569" s="5"/>
      <c r="AL2569" s="82" t="s">
        <v>5439</v>
      </c>
      <c r="AM2569" s="76"/>
      <c r="AN2569" s="76"/>
      <c r="AO2569" s="76"/>
      <c r="AP2569" s="76"/>
      <c r="AQ2569" s="76"/>
      <c r="AR2569" s="76"/>
      <c r="AS2569" s="76"/>
      <c r="AT2569" s="76"/>
      <c r="AU2569" s="76"/>
      <c r="AV2569" s="76"/>
      <c r="AW2569" s="76"/>
      <c r="AX2569" s="76">
        <f>+AW2569*600000</f>
        <v>0</v>
      </c>
      <c r="AY2569" s="76"/>
      <c r="AZ2569" s="76">
        <f>+AY2569*70000</f>
        <v>0</v>
      </c>
      <c r="BA2569" s="76"/>
      <c r="BB2569" s="76"/>
      <c r="BC2569" s="76"/>
      <c r="BD2569" s="76">
        <f>+BC2569*30000</f>
        <v>0</v>
      </c>
      <c r="BE2569" s="76"/>
      <c r="BF2569" s="76"/>
      <c r="BG2569" s="76"/>
      <c r="BH2569" s="76"/>
      <c r="BI2569" s="76"/>
      <c r="BJ2569" s="76"/>
      <c r="BK2569" s="76"/>
      <c r="BL2569" s="76">
        <f>+BK2569*31500</f>
        <v>0</v>
      </c>
      <c r="BM2569" s="76"/>
      <c r="BN2569" s="76"/>
      <c r="BO2569" s="76"/>
      <c r="BP2569" s="76"/>
      <c r="BQ2569" s="76"/>
      <c r="BR2569" s="76"/>
      <c r="BS2569" s="76"/>
      <c r="BT2569" s="76"/>
      <c r="BU2569" s="76"/>
      <c r="BV2569" s="76"/>
      <c r="BW2569" s="76"/>
      <c r="BX2569" s="76"/>
      <c r="BY2569" s="76"/>
      <c r="BZ2569" s="76"/>
      <c r="CA2569" s="76"/>
      <c r="CB2569" s="76"/>
      <c r="CC2569" s="76"/>
      <c r="CD2569" s="76"/>
      <c r="CE2569" s="76"/>
      <c r="CF2569" s="76">
        <f>+CE2569*28000</f>
        <v>0</v>
      </c>
      <c r="CG2569" s="76"/>
      <c r="CH2569" s="76">
        <f>+CG2569*22500</f>
        <v>0</v>
      </c>
      <c r="CI2569" s="76"/>
      <c r="CJ2569" s="76">
        <f>+CI2569*26000</f>
        <v>0</v>
      </c>
      <c r="CK2569" s="76"/>
      <c r="CL2569" s="76"/>
      <c r="CM2569" s="76"/>
      <c r="CN2569" s="76">
        <f>+CM2569*22000</f>
        <v>0</v>
      </c>
      <c r="CO2569" s="76"/>
      <c r="CP2569" s="76">
        <f>+CO2569*46000</f>
        <v>0</v>
      </c>
      <c r="CQ2569" s="76"/>
      <c r="CR2569" s="76">
        <f>+CQ2569*49000</f>
        <v>0</v>
      </c>
      <c r="CS2569" s="76"/>
      <c r="CT2569" s="76"/>
      <c r="CU2569" s="56">
        <f>AN2569+AP2569+AR2569+AT2569+AV2569+AX2569+AZ2569+BB2569+BD2569+BF2569+BH2569+BJ2569+BL2569+BN2569+BP2569+BR2569+BT2569+BV2569+BX2569+BZ2569+CB2569+CD2569+CF2569+CH2569+CJ2569+CL2569+CN2569+CP2569+CR2569+CT2569</f>
        <v>0</v>
      </c>
      <c r="CV2569" s="76"/>
      <c r="CW2569" s="76">
        <f>+CV2569*1100</f>
        <v>0</v>
      </c>
      <c r="CX2569" s="76"/>
      <c r="CY2569" s="76">
        <f>+CX2569*106250</f>
        <v>0</v>
      </c>
      <c r="CZ2569" s="76"/>
      <c r="DA2569" s="76">
        <f>+CZ2569*34500</f>
        <v>0</v>
      </c>
      <c r="DB2569" s="76"/>
      <c r="DC2569" s="76">
        <f>+DB2569*25000</f>
        <v>0</v>
      </c>
      <c r="DD2569" s="219"/>
      <c r="DE2569" s="219"/>
      <c r="DF2569" s="166"/>
      <c r="DG2569" s="116"/>
      <c r="DH2569" s="117"/>
      <c r="DI2569" s="24"/>
      <c r="DJ2569" s="24"/>
      <c r="DK2569" s="24"/>
      <c r="DL2569" s="24"/>
      <c r="DM2569" s="24"/>
      <c r="DN2569" s="24"/>
      <c r="DO2569" s="24"/>
      <c r="DP2569" s="24"/>
      <c r="DQ2569" s="24"/>
      <c r="DR2569" s="24"/>
      <c r="DS2569" s="24"/>
      <c r="DT2569" s="24"/>
      <c r="DU2569" s="24"/>
    </row>
    <row r="2570" spans="1:125" s="8" customFormat="1" ht="48" x14ac:dyDescent="0.2">
      <c r="A2570" s="353">
        <v>41486</v>
      </c>
      <c r="B2570" s="352" t="s">
        <v>2847</v>
      </c>
      <c r="C2570" s="227" t="s">
        <v>479</v>
      </c>
      <c r="D2570" s="354" t="s">
        <v>2846</v>
      </c>
      <c r="E2570" s="353" t="str">
        <f>VLOOKUP(B2570&amp;C2570,Divipola!$C$2:$F$1138,4,FALSE)</f>
        <v>68547</v>
      </c>
      <c r="F2570" s="87"/>
      <c r="G2570" s="87"/>
      <c r="H2570" s="87"/>
      <c r="I2570" s="87"/>
      <c r="J2570" s="87"/>
      <c r="K2570" s="87"/>
      <c r="L2570" s="87"/>
      <c r="M2570" s="87"/>
      <c r="N2570" s="87"/>
      <c r="O2570" s="87"/>
      <c r="P2570" s="87"/>
      <c r="Q2570" s="87"/>
      <c r="R2570" s="87"/>
      <c r="S2570" s="87"/>
      <c r="T2570" s="87"/>
      <c r="U2570" s="88">
        <v>20</v>
      </c>
      <c r="V2570" s="89"/>
      <c r="W2570" s="96">
        <v>0</v>
      </c>
      <c r="X2570" s="71">
        <f>CU2570</f>
        <v>0</v>
      </c>
      <c r="Y2570" s="71">
        <f>CY2570</f>
        <v>0</v>
      </c>
      <c r="Z2570" s="71">
        <f>DA2570+DC2570+DE2570</f>
        <v>0</v>
      </c>
      <c r="AA2570" s="71">
        <f>CW2570</f>
        <v>0</v>
      </c>
      <c r="AB2570" s="71"/>
      <c r="AC2570" s="71">
        <v>0</v>
      </c>
      <c r="AD2570" s="71">
        <f>W2570+X2570+Y2570+Z2570+AA2570+AB2570+AC2570</f>
        <v>0</v>
      </c>
      <c r="AE2570" s="72">
        <v>0</v>
      </c>
      <c r="AF2570" s="5"/>
      <c r="AG2570" s="6"/>
      <c r="AH2570" s="27"/>
      <c r="AI2570" s="44"/>
      <c r="AJ2570" s="26"/>
      <c r="AK2570" s="5"/>
      <c r="AL2570" s="82" t="s">
        <v>5446</v>
      </c>
      <c r="AM2570" s="76"/>
      <c r="AN2570" s="76"/>
      <c r="AO2570" s="76"/>
      <c r="AP2570" s="76"/>
      <c r="AQ2570" s="76"/>
      <c r="AR2570" s="76"/>
      <c r="AS2570" s="76"/>
      <c r="AT2570" s="76"/>
      <c r="AU2570" s="76"/>
      <c r="AV2570" s="76"/>
      <c r="AW2570" s="76"/>
      <c r="AX2570" s="76">
        <f>+AW2570*600000</f>
        <v>0</v>
      </c>
      <c r="AY2570" s="76"/>
      <c r="AZ2570" s="76">
        <f>+AY2570*70000</f>
        <v>0</v>
      </c>
      <c r="BA2570" s="76"/>
      <c r="BB2570" s="76"/>
      <c r="BC2570" s="76"/>
      <c r="BD2570" s="76">
        <f>+BC2570*30000</f>
        <v>0</v>
      </c>
      <c r="BE2570" s="76"/>
      <c r="BF2570" s="76"/>
      <c r="BG2570" s="76"/>
      <c r="BH2570" s="76"/>
      <c r="BI2570" s="76"/>
      <c r="BJ2570" s="76"/>
      <c r="BK2570" s="76"/>
      <c r="BL2570" s="76">
        <f>+BK2570*31500</f>
        <v>0</v>
      </c>
      <c r="BM2570" s="76"/>
      <c r="BN2570" s="76"/>
      <c r="BO2570" s="76"/>
      <c r="BP2570" s="76"/>
      <c r="BQ2570" s="76"/>
      <c r="BR2570" s="76"/>
      <c r="BS2570" s="76"/>
      <c r="BT2570" s="76"/>
      <c r="BU2570" s="76"/>
      <c r="BV2570" s="76"/>
      <c r="BW2570" s="76"/>
      <c r="BX2570" s="76"/>
      <c r="BY2570" s="76"/>
      <c r="BZ2570" s="76"/>
      <c r="CA2570" s="76"/>
      <c r="CB2570" s="76"/>
      <c r="CC2570" s="76"/>
      <c r="CD2570" s="76"/>
      <c r="CE2570" s="76"/>
      <c r="CF2570" s="76">
        <f>+CE2570*28000</f>
        <v>0</v>
      </c>
      <c r="CG2570" s="76"/>
      <c r="CH2570" s="76">
        <f>+CG2570*22500</f>
        <v>0</v>
      </c>
      <c r="CI2570" s="76"/>
      <c r="CJ2570" s="76">
        <f>+CI2570*26000</f>
        <v>0</v>
      </c>
      <c r="CK2570" s="76"/>
      <c r="CL2570" s="76"/>
      <c r="CM2570" s="76"/>
      <c r="CN2570" s="76">
        <f>+CM2570*22000</f>
        <v>0</v>
      </c>
      <c r="CO2570" s="76"/>
      <c r="CP2570" s="76">
        <f>+CO2570*46000</f>
        <v>0</v>
      </c>
      <c r="CQ2570" s="76"/>
      <c r="CR2570" s="76">
        <f>+CQ2570*49000</f>
        <v>0</v>
      </c>
      <c r="CS2570" s="76"/>
      <c r="CT2570" s="76"/>
      <c r="CU2570" s="56">
        <f>AN2570+AP2570+AR2570+AT2570+AV2570+AX2570+AZ2570+BB2570+BD2570+BF2570+BH2570+BJ2570+BL2570+BN2570+BP2570+BR2570+BT2570+BV2570+BX2570+BZ2570+CB2570+CD2570+CF2570+CH2570+CJ2570+CL2570+CN2570+CP2570+CR2570+CT2570</f>
        <v>0</v>
      </c>
      <c r="CV2570" s="76"/>
      <c r="CW2570" s="76">
        <f>+CV2570*1100</f>
        <v>0</v>
      </c>
      <c r="CX2570" s="76"/>
      <c r="CY2570" s="76">
        <f>+CX2570*106250</f>
        <v>0</v>
      </c>
      <c r="CZ2570" s="76"/>
      <c r="DA2570" s="76">
        <f>+CZ2570*34500</f>
        <v>0</v>
      </c>
      <c r="DB2570" s="76"/>
      <c r="DC2570" s="76">
        <f>+DB2570*25000</f>
        <v>0</v>
      </c>
      <c r="DD2570" s="219"/>
      <c r="DE2570" s="219"/>
      <c r="DF2570" s="166"/>
      <c r="DG2570" s="116"/>
      <c r="DH2570" s="117"/>
      <c r="DI2570" s="24"/>
      <c r="DJ2570" s="24"/>
      <c r="DK2570" s="24"/>
      <c r="DL2570" s="24"/>
      <c r="DM2570" s="24"/>
      <c r="DN2570" s="24"/>
      <c r="DO2570" s="24"/>
      <c r="DP2570" s="24"/>
      <c r="DQ2570" s="24"/>
      <c r="DR2570" s="24"/>
      <c r="DS2570" s="24"/>
      <c r="DT2570" s="24"/>
      <c r="DU2570" s="24"/>
    </row>
    <row r="2571" spans="1:125" s="8" customFormat="1" ht="24" x14ac:dyDescent="0.2">
      <c r="A2571" s="353">
        <v>41486</v>
      </c>
      <c r="B2571" s="225" t="s">
        <v>2847</v>
      </c>
      <c r="C2571" s="354" t="s">
        <v>2109</v>
      </c>
      <c r="D2571" s="227" t="s">
        <v>2846</v>
      </c>
      <c r="E2571" s="353" t="str">
        <f>VLOOKUP(B2571&amp;C2571,Divipola!$C$2:$F$1138,4,FALSE)</f>
        <v>68575</v>
      </c>
      <c r="F2571" s="87"/>
      <c r="G2571" s="87"/>
      <c r="H2571" s="87"/>
      <c r="I2571" s="87"/>
      <c r="J2571" s="87"/>
      <c r="K2571" s="87"/>
      <c r="L2571" s="87"/>
      <c r="M2571" s="87"/>
      <c r="N2571" s="87"/>
      <c r="O2571" s="87"/>
      <c r="P2571" s="87"/>
      <c r="Q2571" s="87"/>
      <c r="R2571" s="87"/>
      <c r="S2571" s="87"/>
      <c r="T2571" s="87"/>
      <c r="U2571" s="88"/>
      <c r="V2571" s="89"/>
      <c r="W2571" s="96">
        <v>0</v>
      </c>
      <c r="X2571" s="71">
        <f>CU2571</f>
        <v>0</v>
      </c>
      <c r="Y2571" s="71">
        <f>CY2571</f>
        <v>0</v>
      </c>
      <c r="Z2571" s="71">
        <f>DA2571+DC2571+DE2571</f>
        <v>0</v>
      </c>
      <c r="AA2571" s="71">
        <f>CW2571</f>
        <v>0</v>
      </c>
      <c r="AB2571" s="71"/>
      <c r="AC2571" s="71">
        <v>0</v>
      </c>
      <c r="AD2571" s="71">
        <f>W2571+X2571+Y2571+Z2571+AA2571+AB2571+AC2571</f>
        <v>0</v>
      </c>
      <c r="AE2571" s="72">
        <v>0</v>
      </c>
      <c r="AF2571" s="5"/>
      <c r="AG2571" s="6"/>
      <c r="AH2571" s="27"/>
      <c r="AI2571" s="44"/>
      <c r="AJ2571" s="26"/>
      <c r="AK2571" s="5"/>
      <c r="AL2571" s="82" t="s">
        <v>5445</v>
      </c>
      <c r="AM2571" s="76"/>
      <c r="AN2571" s="76"/>
      <c r="AO2571" s="76"/>
      <c r="AP2571" s="76"/>
      <c r="AQ2571" s="76"/>
      <c r="AR2571" s="76"/>
      <c r="AS2571" s="76"/>
      <c r="AT2571" s="76"/>
      <c r="AU2571" s="76"/>
      <c r="AV2571" s="76"/>
      <c r="AW2571" s="76"/>
      <c r="AX2571" s="76">
        <f>+AW2571*600000</f>
        <v>0</v>
      </c>
      <c r="AY2571" s="76"/>
      <c r="AZ2571" s="76">
        <f>+AY2571*70000</f>
        <v>0</v>
      </c>
      <c r="BA2571" s="76"/>
      <c r="BB2571" s="76"/>
      <c r="BC2571" s="76"/>
      <c r="BD2571" s="76">
        <f>+BC2571*30000</f>
        <v>0</v>
      </c>
      <c r="BE2571" s="76"/>
      <c r="BF2571" s="76"/>
      <c r="BG2571" s="76"/>
      <c r="BH2571" s="76"/>
      <c r="BI2571" s="76"/>
      <c r="BJ2571" s="76"/>
      <c r="BK2571" s="76"/>
      <c r="BL2571" s="76">
        <f>+BK2571*31500</f>
        <v>0</v>
      </c>
      <c r="BM2571" s="76"/>
      <c r="BN2571" s="76"/>
      <c r="BO2571" s="76"/>
      <c r="BP2571" s="76"/>
      <c r="BQ2571" s="76"/>
      <c r="BR2571" s="76"/>
      <c r="BS2571" s="76"/>
      <c r="BT2571" s="76"/>
      <c r="BU2571" s="76"/>
      <c r="BV2571" s="76"/>
      <c r="BW2571" s="76"/>
      <c r="BX2571" s="76"/>
      <c r="BY2571" s="76"/>
      <c r="BZ2571" s="76"/>
      <c r="CA2571" s="76"/>
      <c r="CB2571" s="76"/>
      <c r="CC2571" s="76"/>
      <c r="CD2571" s="76"/>
      <c r="CE2571" s="76"/>
      <c r="CF2571" s="76">
        <f>+CE2571*28000</f>
        <v>0</v>
      </c>
      <c r="CG2571" s="76"/>
      <c r="CH2571" s="76">
        <f>+CG2571*22500</f>
        <v>0</v>
      </c>
      <c r="CI2571" s="76"/>
      <c r="CJ2571" s="76">
        <f>+CI2571*26000</f>
        <v>0</v>
      </c>
      <c r="CK2571" s="76"/>
      <c r="CL2571" s="76"/>
      <c r="CM2571" s="76"/>
      <c r="CN2571" s="76">
        <f>+CM2571*22000</f>
        <v>0</v>
      </c>
      <c r="CO2571" s="76"/>
      <c r="CP2571" s="76">
        <f>+CO2571*46000</f>
        <v>0</v>
      </c>
      <c r="CQ2571" s="76"/>
      <c r="CR2571" s="76">
        <f>+CQ2571*49000</f>
        <v>0</v>
      </c>
      <c r="CS2571" s="76"/>
      <c r="CT2571" s="76"/>
      <c r="CU2571" s="56">
        <f>AN2571+AP2571+AR2571+AT2571+AV2571+AX2571+AZ2571+BB2571+BD2571+BF2571+BH2571+BJ2571+BL2571+BN2571+BP2571+BR2571+BT2571+BV2571+BX2571+BZ2571+CB2571+CD2571+CF2571+CH2571+CJ2571+CL2571+CN2571+CP2571+CR2571+CT2571</f>
        <v>0</v>
      </c>
      <c r="CV2571" s="76"/>
      <c r="CW2571" s="76">
        <f>+CV2571*1100</f>
        <v>0</v>
      </c>
      <c r="CX2571" s="76"/>
      <c r="CY2571" s="76">
        <f>+CX2571*106250</f>
        <v>0</v>
      </c>
      <c r="CZ2571" s="76"/>
      <c r="DA2571" s="76">
        <f>+CZ2571*34500</f>
        <v>0</v>
      </c>
      <c r="DB2571" s="76"/>
      <c r="DC2571" s="76">
        <f>+DB2571*25000</f>
        <v>0</v>
      </c>
      <c r="DD2571" s="219"/>
      <c r="DE2571" s="219"/>
      <c r="DF2571" s="166"/>
      <c r="DG2571" s="116"/>
      <c r="DH2571" s="117"/>
      <c r="DI2571" s="24"/>
      <c r="DJ2571" s="24"/>
      <c r="DK2571" s="24"/>
      <c r="DL2571" s="24"/>
      <c r="DM2571" s="24"/>
      <c r="DN2571" s="24"/>
      <c r="DO2571" s="24"/>
      <c r="DP2571" s="24"/>
      <c r="DQ2571" s="24"/>
      <c r="DR2571" s="24"/>
      <c r="DS2571" s="24"/>
      <c r="DT2571" s="24"/>
      <c r="DU2571" s="24"/>
    </row>
    <row r="2572" spans="1:125" s="8" customFormat="1" ht="168" x14ac:dyDescent="0.2">
      <c r="A2572" s="353">
        <v>41486</v>
      </c>
      <c r="B2572" s="352" t="s">
        <v>2848</v>
      </c>
      <c r="C2572" s="354" t="s">
        <v>2104</v>
      </c>
      <c r="D2572" s="354" t="s">
        <v>2846</v>
      </c>
      <c r="E2572" s="353" t="str">
        <f>VLOOKUP(B2572&amp;C2572,Divipola!$C$2:$F$1138,4,FALSE)</f>
        <v>73563</v>
      </c>
      <c r="F2572" s="87"/>
      <c r="G2572" s="87"/>
      <c r="H2572" s="87"/>
      <c r="I2572" s="87"/>
      <c r="J2572" s="87"/>
      <c r="K2572" s="87"/>
      <c r="L2572" s="87"/>
      <c r="M2572" s="87"/>
      <c r="N2572" s="87"/>
      <c r="O2572" s="87"/>
      <c r="P2572" s="87"/>
      <c r="Q2572" s="87"/>
      <c r="R2572" s="87"/>
      <c r="S2572" s="87"/>
      <c r="T2572" s="87"/>
      <c r="U2572" s="88">
        <v>200</v>
      </c>
      <c r="V2572" s="89"/>
      <c r="W2572" s="96">
        <v>0</v>
      </c>
      <c r="X2572" s="71">
        <f>CU2572</f>
        <v>0</v>
      </c>
      <c r="Y2572" s="71">
        <f>CY2572</f>
        <v>0</v>
      </c>
      <c r="Z2572" s="71">
        <f>DA2572+DC2572+DE2572</f>
        <v>0</v>
      </c>
      <c r="AA2572" s="71">
        <f>CW2572</f>
        <v>0</v>
      </c>
      <c r="AB2572" s="71"/>
      <c r="AC2572" s="71">
        <v>0</v>
      </c>
      <c r="AD2572" s="71">
        <f>W2572+X2572+Y2572+Z2572+AA2572+AB2572+AC2572</f>
        <v>0</v>
      </c>
      <c r="AE2572" s="72">
        <v>0</v>
      </c>
      <c r="AF2572" s="5"/>
      <c r="AG2572" s="6"/>
      <c r="AH2572" s="27"/>
      <c r="AI2572" s="44"/>
      <c r="AJ2572" s="26"/>
      <c r="AK2572" s="5"/>
      <c r="AL2572" s="82" t="s">
        <v>5453</v>
      </c>
      <c r="AM2572" s="76"/>
      <c r="AN2572" s="76"/>
      <c r="AO2572" s="76"/>
      <c r="AP2572" s="76"/>
      <c r="AQ2572" s="76"/>
      <c r="AR2572" s="76"/>
      <c r="AS2572" s="76"/>
      <c r="AT2572" s="76"/>
      <c r="AU2572" s="76"/>
      <c r="AV2572" s="76"/>
      <c r="AW2572" s="76"/>
      <c r="AX2572" s="76">
        <f>+AW2572*600000</f>
        <v>0</v>
      </c>
      <c r="AY2572" s="76"/>
      <c r="AZ2572" s="76">
        <f>+AY2572*70000</f>
        <v>0</v>
      </c>
      <c r="BA2572" s="76"/>
      <c r="BB2572" s="76"/>
      <c r="BC2572" s="76"/>
      <c r="BD2572" s="76">
        <f>+BC2572*30000</f>
        <v>0</v>
      </c>
      <c r="BE2572" s="76"/>
      <c r="BF2572" s="76"/>
      <c r="BG2572" s="76"/>
      <c r="BH2572" s="76"/>
      <c r="BI2572" s="76"/>
      <c r="BJ2572" s="76"/>
      <c r="BK2572" s="76"/>
      <c r="BL2572" s="76">
        <f>+BK2572*31500</f>
        <v>0</v>
      </c>
      <c r="BM2572" s="76"/>
      <c r="BN2572" s="76"/>
      <c r="BO2572" s="76"/>
      <c r="BP2572" s="76"/>
      <c r="BQ2572" s="76"/>
      <c r="BR2572" s="76"/>
      <c r="BS2572" s="76"/>
      <c r="BT2572" s="76"/>
      <c r="BU2572" s="76"/>
      <c r="BV2572" s="76"/>
      <c r="BW2572" s="76"/>
      <c r="BX2572" s="76"/>
      <c r="BY2572" s="76"/>
      <c r="BZ2572" s="76"/>
      <c r="CA2572" s="76"/>
      <c r="CB2572" s="76"/>
      <c r="CC2572" s="76"/>
      <c r="CD2572" s="76"/>
      <c r="CE2572" s="76"/>
      <c r="CF2572" s="76">
        <f>+CE2572*28000</f>
        <v>0</v>
      </c>
      <c r="CG2572" s="76"/>
      <c r="CH2572" s="76">
        <f>+CG2572*22500</f>
        <v>0</v>
      </c>
      <c r="CI2572" s="76"/>
      <c r="CJ2572" s="76">
        <f>+CI2572*26000</f>
        <v>0</v>
      </c>
      <c r="CK2572" s="76"/>
      <c r="CL2572" s="76"/>
      <c r="CM2572" s="76"/>
      <c r="CN2572" s="76">
        <f>+CM2572*22000</f>
        <v>0</v>
      </c>
      <c r="CO2572" s="76"/>
      <c r="CP2572" s="76">
        <f>+CO2572*46000</f>
        <v>0</v>
      </c>
      <c r="CQ2572" s="76"/>
      <c r="CR2572" s="76">
        <f>+CQ2572*49000</f>
        <v>0</v>
      </c>
      <c r="CS2572" s="76"/>
      <c r="CT2572" s="76"/>
      <c r="CU2572" s="56">
        <f>AN2572+AP2572+AR2572+AT2572+AV2572+AX2572+AZ2572+BB2572+BD2572+BF2572+BH2572+BJ2572+BL2572+BN2572+BP2572+BR2572+BT2572+BV2572+BX2572+BZ2572+CB2572+CD2572+CF2572+CH2572+CJ2572+CL2572+CN2572+CP2572+CR2572+CT2572</f>
        <v>0</v>
      </c>
      <c r="CV2572" s="76"/>
      <c r="CW2572" s="76">
        <f>+CV2572*1100</f>
        <v>0</v>
      </c>
      <c r="CX2572" s="76"/>
      <c r="CY2572" s="76">
        <f>+CX2572*106250</f>
        <v>0</v>
      </c>
      <c r="CZ2572" s="76"/>
      <c r="DA2572" s="76">
        <f>+CZ2572*34500</f>
        <v>0</v>
      </c>
      <c r="DB2572" s="76"/>
      <c r="DC2572" s="76">
        <f>+DB2572*25000</f>
        <v>0</v>
      </c>
      <c r="DD2572" s="219"/>
      <c r="DE2572" s="219"/>
      <c r="DF2572" s="166"/>
      <c r="DG2572" s="116"/>
      <c r="DH2572" s="117"/>
      <c r="DI2572" s="24"/>
      <c r="DJ2572" s="24"/>
      <c r="DK2572" s="24"/>
      <c r="DL2572" s="24"/>
      <c r="DM2572" s="24"/>
      <c r="DN2572" s="24"/>
      <c r="DO2572" s="24"/>
      <c r="DP2572" s="24"/>
      <c r="DQ2572" s="24"/>
      <c r="DR2572" s="24"/>
      <c r="DS2572" s="24"/>
      <c r="DT2572" s="24"/>
      <c r="DU2572" s="24"/>
    </row>
    <row r="2573" spans="1:125" s="8" customFormat="1" ht="120" x14ac:dyDescent="0.2">
      <c r="A2573" s="248">
        <v>41486</v>
      </c>
      <c r="B2573" s="249" t="s">
        <v>2848</v>
      </c>
      <c r="C2573" s="231" t="s">
        <v>2211</v>
      </c>
      <c r="D2573" s="231" t="s">
        <v>3726</v>
      </c>
      <c r="E2573" s="353" t="str">
        <f>VLOOKUP(B2573&amp;C2573,Divipola!$C$2:$F$1138,4,FALSE)</f>
        <v>73861</v>
      </c>
      <c r="F2573" s="87"/>
      <c r="G2573" s="87">
        <v>65</v>
      </c>
      <c r="H2573" s="87"/>
      <c r="I2573" s="87">
        <v>65</v>
      </c>
      <c r="J2573" s="87"/>
      <c r="K2573" s="87"/>
      <c r="L2573" s="87"/>
      <c r="M2573" s="87"/>
      <c r="N2573" s="87"/>
      <c r="O2573" s="87"/>
      <c r="P2573" s="87"/>
      <c r="Q2573" s="87"/>
      <c r="R2573" s="87"/>
      <c r="S2573" s="87"/>
      <c r="T2573" s="87"/>
      <c r="U2573" s="88"/>
      <c r="V2573" s="89"/>
      <c r="W2573" s="96">
        <v>0</v>
      </c>
      <c r="X2573" s="71">
        <f>CU2573</f>
        <v>0</v>
      </c>
      <c r="Y2573" s="71">
        <f>CY2573</f>
        <v>0</v>
      </c>
      <c r="Z2573" s="71">
        <f>DA2573+DC2573+DE2573</f>
        <v>0</v>
      </c>
      <c r="AA2573" s="71">
        <f>CW2573</f>
        <v>0</v>
      </c>
      <c r="AB2573" s="71"/>
      <c r="AC2573" s="71">
        <v>0</v>
      </c>
      <c r="AD2573" s="71">
        <f>W2573+X2573+Y2573+Z2573+AA2573+AB2573+AC2573</f>
        <v>0</v>
      </c>
      <c r="AE2573" s="72">
        <v>0</v>
      </c>
      <c r="AF2573" s="5"/>
      <c r="AG2573" s="6"/>
      <c r="AH2573" s="27"/>
      <c r="AI2573" s="44"/>
      <c r="AJ2573" s="26"/>
      <c r="AK2573" s="5"/>
      <c r="AL2573" s="82" t="s">
        <v>5475</v>
      </c>
      <c r="AM2573" s="76"/>
      <c r="AN2573" s="76"/>
      <c r="AO2573" s="76"/>
      <c r="AP2573" s="76"/>
      <c r="AQ2573" s="76"/>
      <c r="AR2573" s="76"/>
      <c r="AS2573" s="76"/>
      <c r="AT2573" s="76"/>
      <c r="AU2573" s="76"/>
      <c r="AV2573" s="76"/>
      <c r="AW2573" s="76"/>
      <c r="AX2573" s="76">
        <f>+AW2573*600000</f>
        <v>0</v>
      </c>
      <c r="AY2573" s="76"/>
      <c r="AZ2573" s="76">
        <f>+AY2573*70000</f>
        <v>0</v>
      </c>
      <c r="BA2573" s="76"/>
      <c r="BB2573" s="76"/>
      <c r="BC2573" s="76"/>
      <c r="BD2573" s="76">
        <f>+BC2573*30000</f>
        <v>0</v>
      </c>
      <c r="BE2573" s="76"/>
      <c r="BF2573" s="76"/>
      <c r="BG2573" s="76"/>
      <c r="BH2573" s="76"/>
      <c r="BI2573" s="76"/>
      <c r="BJ2573" s="76"/>
      <c r="BK2573" s="76"/>
      <c r="BL2573" s="76">
        <f>+BK2573*31500</f>
        <v>0</v>
      </c>
      <c r="BM2573" s="76"/>
      <c r="BN2573" s="76"/>
      <c r="BO2573" s="76"/>
      <c r="BP2573" s="76"/>
      <c r="BQ2573" s="76"/>
      <c r="BR2573" s="76"/>
      <c r="BS2573" s="76"/>
      <c r="BT2573" s="76"/>
      <c r="BU2573" s="76"/>
      <c r="BV2573" s="76"/>
      <c r="BW2573" s="76"/>
      <c r="BX2573" s="76"/>
      <c r="BY2573" s="76"/>
      <c r="BZ2573" s="76"/>
      <c r="CA2573" s="76"/>
      <c r="CB2573" s="76"/>
      <c r="CC2573" s="76"/>
      <c r="CD2573" s="76"/>
      <c r="CE2573" s="76"/>
      <c r="CF2573" s="76">
        <f>+CE2573*28000</f>
        <v>0</v>
      </c>
      <c r="CG2573" s="76"/>
      <c r="CH2573" s="76">
        <f>+CG2573*22500</f>
        <v>0</v>
      </c>
      <c r="CI2573" s="76"/>
      <c r="CJ2573" s="76">
        <f>+CI2573*26000</f>
        <v>0</v>
      </c>
      <c r="CK2573" s="76"/>
      <c r="CL2573" s="76"/>
      <c r="CM2573" s="76"/>
      <c r="CN2573" s="76">
        <f>+CM2573*22000</f>
        <v>0</v>
      </c>
      <c r="CO2573" s="76"/>
      <c r="CP2573" s="76">
        <f>+CO2573*46000</f>
        <v>0</v>
      </c>
      <c r="CQ2573" s="76"/>
      <c r="CR2573" s="76">
        <f>+CQ2573*49000</f>
        <v>0</v>
      </c>
      <c r="CS2573" s="76"/>
      <c r="CT2573" s="76"/>
      <c r="CU2573" s="56">
        <f>AN2573+AP2573+AR2573+AT2573+AV2573+AX2573+AZ2573+BB2573+BD2573+BF2573+BH2573+BJ2573+BL2573+BN2573+BP2573+BR2573+BT2573+BV2573+BX2573+BZ2573+CB2573+CD2573+CF2573+CH2573+CJ2573+CL2573+CN2573+CP2573+CR2573+CT2573</f>
        <v>0</v>
      </c>
      <c r="CV2573" s="76"/>
      <c r="CW2573" s="76">
        <f>+CV2573*1100</f>
        <v>0</v>
      </c>
      <c r="CX2573" s="76"/>
      <c r="CY2573" s="76">
        <f>+CX2573*106250</f>
        <v>0</v>
      </c>
      <c r="CZ2573" s="76"/>
      <c r="DA2573" s="76">
        <f>+CZ2573*34500</f>
        <v>0</v>
      </c>
      <c r="DB2573" s="76"/>
      <c r="DC2573" s="76">
        <f>+DB2573*25000</f>
        <v>0</v>
      </c>
      <c r="DD2573" s="219"/>
      <c r="DE2573" s="219"/>
      <c r="DF2573" s="166"/>
      <c r="DG2573" s="116"/>
      <c r="DH2573" s="117"/>
      <c r="DI2573" s="24"/>
      <c r="DJ2573" s="24"/>
      <c r="DK2573" s="24"/>
      <c r="DL2573" s="24"/>
      <c r="DM2573" s="24"/>
      <c r="DN2573" s="24"/>
      <c r="DO2573" s="24"/>
      <c r="DP2573" s="24"/>
      <c r="DQ2573" s="24"/>
      <c r="DR2573" s="24"/>
      <c r="DS2573" s="24"/>
      <c r="DT2573" s="24"/>
      <c r="DU2573" s="24"/>
    </row>
    <row r="2574" spans="1:125" s="8" customFormat="1" ht="48" x14ac:dyDescent="0.2">
      <c r="A2574" s="97">
        <v>41486</v>
      </c>
      <c r="B2574" s="60" t="s">
        <v>2851</v>
      </c>
      <c r="C2574" s="55" t="s">
        <v>2712</v>
      </c>
      <c r="D2574" s="55" t="s">
        <v>2846</v>
      </c>
      <c r="E2574" s="353" t="str">
        <f>VLOOKUP(B2574&amp;C2574,Divipola!$C$2:$F$1138,4,FALSE)</f>
        <v>76113</v>
      </c>
      <c r="F2574" s="87"/>
      <c r="G2574" s="87"/>
      <c r="H2574" s="87"/>
      <c r="I2574" s="87"/>
      <c r="J2574" s="87"/>
      <c r="K2574" s="87"/>
      <c r="L2574" s="87"/>
      <c r="M2574" s="87"/>
      <c r="N2574" s="87"/>
      <c r="O2574" s="87"/>
      <c r="P2574" s="87"/>
      <c r="Q2574" s="87"/>
      <c r="R2574" s="87"/>
      <c r="S2574" s="87"/>
      <c r="T2574" s="87"/>
      <c r="U2574" s="88"/>
      <c r="V2574" s="89"/>
      <c r="W2574" s="96">
        <v>0</v>
      </c>
      <c r="X2574" s="71">
        <f>CU2574</f>
        <v>0</v>
      </c>
      <c r="Y2574" s="71">
        <f>CY2574</f>
        <v>0</v>
      </c>
      <c r="Z2574" s="71">
        <f>DA2574+DC2574+DE2574</f>
        <v>0</v>
      </c>
      <c r="AA2574" s="71">
        <f>CW2574</f>
        <v>0</v>
      </c>
      <c r="AB2574" s="71"/>
      <c r="AC2574" s="71">
        <v>0</v>
      </c>
      <c r="AD2574" s="71">
        <f>W2574+X2574+Y2574+Z2574+AA2574+AB2574+AC2574</f>
        <v>0</v>
      </c>
      <c r="AE2574" s="72">
        <v>0</v>
      </c>
      <c r="AF2574" s="5"/>
      <c r="AG2574" s="6"/>
      <c r="AH2574" s="27"/>
      <c r="AI2574" s="44"/>
      <c r="AJ2574" s="26"/>
      <c r="AK2574" s="5"/>
      <c r="AL2574" s="82" t="s">
        <v>5442</v>
      </c>
      <c r="AM2574" s="76"/>
      <c r="AN2574" s="76"/>
      <c r="AO2574" s="76"/>
      <c r="AP2574" s="76"/>
      <c r="AQ2574" s="76"/>
      <c r="AR2574" s="76"/>
      <c r="AS2574" s="76"/>
      <c r="AT2574" s="76"/>
      <c r="AU2574" s="76"/>
      <c r="AV2574" s="76"/>
      <c r="AW2574" s="76"/>
      <c r="AX2574" s="76">
        <f>+AW2574*600000</f>
        <v>0</v>
      </c>
      <c r="AY2574" s="76"/>
      <c r="AZ2574" s="76">
        <f>+AY2574*70000</f>
        <v>0</v>
      </c>
      <c r="BA2574" s="76"/>
      <c r="BB2574" s="76"/>
      <c r="BC2574" s="76"/>
      <c r="BD2574" s="76">
        <f>+BC2574*30000</f>
        <v>0</v>
      </c>
      <c r="BE2574" s="76"/>
      <c r="BF2574" s="76"/>
      <c r="BG2574" s="76"/>
      <c r="BH2574" s="76"/>
      <c r="BI2574" s="76"/>
      <c r="BJ2574" s="76"/>
      <c r="BK2574" s="76"/>
      <c r="BL2574" s="76">
        <f>+BK2574*31500</f>
        <v>0</v>
      </c>
      <c r="BM2574" s="76"/>
      <c r="BN2574" s="76"/>
      <c r="BO2574" s="76"/>
      <c r="BP2574" s="76"/>
      <c r="BQ2574" s="76"/>
      <c r="BR2574" s="76"/>
      <c r="BS2574" s="76"/>
      <c r="BT2574" s="76"/>
      <c r="BU2574" s="76"/>
      <c r="BV2574" s="76"/>
      <c r="BW2574" s="76"/>
      <c r="BX2574" s="76"/>
      <c r="BY2574" s="76"/>
      <c r="BZ2574" s="76"/>
      <c r="CA2574" s="76"/>
      <c r="CB2574" s="76"/>
      <c r="CC2574" s="76"/>
      <c r="CD2574" s="76"/>
      <c r="CE2574" s="76"/>
      <c r="CF2574" s="76">
        <f>+CE2574*28000</f>
        <v>0</v>
      </c>
      <c r="CG2574" s="76"/>
      <c r="CH2574" s="76">
        <f>+CG2574*22500</f>
        <v>0</v>
      </c>
      <c r="CI2574" s="76"/>
      <c r="CJ2574" s="76">
        <f>+CI2574*26000</f>
        <v>0</v>
      </c>
      <c r="CK2574" s="76"/>
      <c r="CL2574" s="76"/>
      <c r="CM2574" s="76"/>
      <c r="CN2574" s="76">
        <f>+CM2574*22000</f>
        <v>0</v>
      </c>
      <c r="CO2574" s="76"/>
      <c r="CP2574" s="76">
        <f>+CO2574*46000</f>
        <v>0</v>
      </c>
      <c r="CQ2574" s="76"/>
      <c r="CR2574" s="76">
        <f>+CQ2574*49000</f>
        <v>0</v>
      </c>
      <c r="CS2574" s="76"/>
      <c r="CT2574" s="76"/>
      <c r="CU2574" s="56">
        <f>AN2574+AP2574+AR2574+AT2574+AV2574+AX2574+AZ2574+BB2574+BD2574+BF2574+BH2574+BJ2574+BL2574+BN2574+BP2574+BR2574+BT2574+BV2574+BX2574+BZ2574+CB2574+CD2574+CF2574+CH2574+CJ2574+CL2574+CN2574+CP2574+CR2574+CT2574</f>
        <v>0</v>
      </c>
      <c r="CV2574" s="76"/>
      <c r="CW2574" s="76">
        <f>+CV2574*1100</f>
        <v>0</v>
      </c>
      <c r="CX2574" s="76"/>
      <c r="CY2574" s="76">
        <f>+CX2574*106250</f>
        <v>0</v>
      </c>
      <c r="CZ2574" s="76"/>
      <c r="DA2574" s="76">
        <f>+CZ2574*34500</f>
        <v>0</v>
      </c>
      <c r="DB2574" s="76"/>
      <c r="DC2574" s="76">
        <f>+DB2574*25000</f>
        <v>0</v>
      </c>
      <c r="DD2574" s="219"/>
      <c r="DE2574" s="219"/>
      <c r="DF2574" s="166"/>
      <c r="DG2574" s="116"/>
      <c r="DH2574" s="117"/>
      <c r="DI2574" s="24"/>
      <c r="DJ2574" s="24"/>
      <c r="DK2574" s="24"/>
      <c r="DL2574" s="24"/>
      <c r="DM2574" s="24"/>
      <c r="DN2574" s="24"/>
      <c r="DO2574" s="24"/>
      <c r="DP2574" s="24"/>
      <c r="DQ2574" s="24"/>
      <c r="DR2574" s="24"/>
      <c r="DS2574" s="24"/>
      <c r="DT2574" s="24"/>
      <c r="DU2574" s="24"/>
    </row>
    <row r="2575" spans="1:125" s="8" customFormat="1" ht="48" x14ac:dyDescent="0.2">
      <c r="A2575" s="353">
        <v>41486</v>
      </c>
      <c r="B2575" s="225" t="s">
        <v>2851</v>
      </c>
      <c r="C2575" s="227" t="s">
        <v>2667</v>
      </c>
      <c r="D2575" s="354" t="s">
        <v>2846</v>
      </c>
      <c r="E2575" s="353" t="str">
        <f>VLOOKUP(B2575&amp;C2575,Divipola!$C$2:$F$1138,4,FALSE)</f>
        <v>76364</v>
      </c>
      <c r="F2575" s="87"/>
      <c r="G2575" s="87"/>
      <c r="H2575" s="87"/>
      <c r="I2575" s="87"/>
      <c r="J2575" s="87"/>
      <c r="K2575" s="87"/>
      <c r="L2575" s="87"/>
      <c r="M2575" s="87"/>
      <c r="N2575" s="87"/>
      <c r="O2575" s="87"/>
      <c r="P2575" s="87"/>
      <c r="Q2575" s="87"/>
      <c r="R2575" s="87"/>
      <c r="S2575" s="87"/>
      <c r="T2575" s="87"/>
      <c r="U2575" s="88"/>
      <c r="V2575" s="89"/>
      <c r="W2575" s="96">
        <v>0</v>
      </c>
      <c r="X2575" s="71">
        <f>CU2575</f>
        <v>0</v>
      </c>
      <c r="Y2575" s="71">
        <f>CY2575</f>
        <v>0</v>
      </c>
      <c r="Z2575" s="71">
        <f>DA2575+DC2575+DE2575</f>
        <v>0</v>
      </c>
      <c r="AA2575" s="71">
        <f>CW2575</f>
        <v>0</v>
      </c>
      <c r="AB2575" s="71"/>
      <c r="AC2575" s="71">
        <v>0</v>
      </c>
      <c r="AD2575" s="71">
        <f>W2575+X2575+Y2575+Z2575+AA2575+AB2575+AC2575</f>
        <v>0</v>
      </c>
      <c r="AE2575" s="72">
        <v>0</v>
      </c>
      <c r="AF2575" s="5"/>
      <c r="AG2575" s="6"/>
      <c r="AH2575" s="27"/>
      <c r="AI2575" s="44"/>
      <c r="AJ2575" s="26"/>
      <c r="AK2575" s="5"/>
      <c r="AL2575" s="82" t="s">
        <v>5443</v>
      </c>
      <c r="AM2575" s="76"/>
      <c r="AN2575" s="76"/>
      <c r="AO2575" s="76"/>
      <c r="AP2575" s="76"/>
      <c r="AQ2575" s="76"/>
      <c r="AR2575" s="76"/>
      <c r="AS2575" s="76"/>
      <c r="AT2575" s="76"/>
      <c r="AU2575" s="76"/>
      <c r="AV2575" s="76"/>
      <c r="AW2575" s="76"/>
      <c r="AX2575" s="76">
        <f>+AW2575*600000</f>
        <v>0</v>
      </c>
      <c r="AY2575" s="76"/>
      <c r="AZ2575" s="76">
        <f>+AY2575*70000</f>
        <v>0</v>
      </c>
      <c r="BA2575" s="76"/>
      <c r="BB2575" s="76"/>
      <c r="BC2575" s="76"/>
      <c r="BD2575" s="76">
        <f>+BC2575*30000</f>
        <v>0</v>
      </c>
      <c r="BE2575" s="76"/>
      <c r="BF2575" s="76"/>
      <c r="BG2575" s="76"/>
      <c r="BH2575" s="76"/>
      <c r="BI2575" s="76"/>
      <c r="BJ2575" s="76"/>
      <c r="BK2575" s="76"/>
      <c r="BL2575" s="76">
        <f>+BK2575*31500</f>
        <v>0</v>
      </c>
      <c r="BM2575" s="76"/>
      <c r="BN2575" s="76"/>
      <c r="BO2575" s="76"/>
      <c r="BP2575" s="76"/>
      <c r="BQ2575" s="76"/>
      <c r="BR2575" s="76"/>
      <c r="BS2575" s="76"/>
      <c r="BT2575" s="76"/>
      <c r="BU2575" s="76"/>
      <c r="BV2575" s="76"/>
      <c r="BW2575" s="76"/>
      <c r="BX2575" s="76"/>
      <c r="BY2575" s="76"/>
      <c r="BZ2575" s="76"/>
      <c r="CA2575" s="76"/>
      <c r="CB2575" s="76"/>
      <c r="CC2575" s="76"/>
      <c r="CD2575" s="76"/>
      <c r="CE2575" s="76"/>
      <c r="CF2575" s="76">
        <f>+CE2575*28000</f>
        <v>0</v>
      </c>
      <c r="CG2575" s="76"/>
      <c r="CH2575" s="76">
        <f>+CG2575*22500</f>
        <v>0</v>
      </c>
      <c r="CI2575" s="76"/>
      <c r="CJ2575" s="76">
        <f>+CI2575*26000</f>
        <v>0</v>
      </c>
      <c r="CK2575" s="76"/>
      <c r="CL2575" s="76"/>
      <c r="CM2575" s="76"/>
      <c r="CN2575" s="76">
        <f>+CM2575*22000</f>
        <v>0</v>
      </c>
      <c r="CO2575" s="76"/>
      <c r="CP2575" s="76">
        <f>+CO2575*46000</f>
        <v>0</v>
      </c>
      <c r="CQ2575" s="76"/>
      <c r="CR2575" s="76">
        <f>+CQ2575*49000</f>
        <v>0</v>
      </c>
      <c r="CS2575" s="76"/>
      <c r="CT2575" s="76"/>
      <c r="CU2575" s="56">
        <f>AN2575+AP2575+AR2575+AT2575+AV2575+AX2575+AZ2575+BB2575+BD2575+BF2575+BH2575+BJ2575+BL2575+BN2575+BP2575+BR2575+BT2575+BV2575+BX2575+BZ2575+CB2575+CD2575+CF2575+CH2575+CJ2575+CL2575+CN2575+CP2575+CR2575+CT2575</f>
        <v>0</v>
      </c>
      <c r="CV2575" s="76"/>
      <c r="CW2575" s="76">
        <f>+CV2575*1100</f>
        <v>0</v>
      </c>
      <c r="CX2575" s="76"/>
      <c r="CY2575" s="76">
        <f>+CX2575*106250</f>
        <v>0</v>
      </c>
      <c r="CZ2575" s="76"/>
      <c r="DA2575" s="76">
        <f>+CZ2575*34500</f>
        <v>0</v>
      </c>
      <c r="DB2575" s="76"/>
      <c r="DC2575" s="76">
        <f>+DB2575*25000</f>
        <v>0</v>
      </c>
      <c r="DD2575" s="219"/>
      <c r="DE2575" s="219"/>
      <c r="DF2575" s="166"/>
      <c r="DG2575" s="116"/>
      <c r="DH2575" s="117"/>
      <c r="DI2575" s="24"/>
      <c r="DJ2575" s="24"/>
      <c r="DK2575" s="24"/>
      <c r="DL2575" s="24"/>
      <c r="DM2575" s="24"/>
      <c r="DN2575" s="24"/>
      <c r="DO2575" s="24"/>
      <c r="DP2575" s="24"/>
      <c r="DQ2575" s="24"/>
      <c r="DR2575" s="24"/>
      <c r="DS2575" s="24"/>
      <c r="DT2575" s="24"/>
      <c r="DU2575" s="24"/>
    </row>
    <row r="2576" spans="1:125" s="8" customFormat="1" ht="60" x14ac:dyDescent="0.2">
      <c r="A2576" s="77">
        <v>41487</v>
      </c>
      <c r="B2576" s="352" t="s">
        <v>2881</v>
      </c>
      <c r="C2576" s="354" t="s">
        <v>1413</v>
      </c>
      <c r="D2576" s="354" t="s">
        <v>3051</v>
      </c>
      <c r="E2576" s="353" t="str">
        <f>VLOOKUP(B2576&amp;C2576,Divipola!$C$2:$F$1138,4,FALSE)</f>
        <v>08433</v>
      </c>
      <c r="F2576" s="87"/>
      <c r="G2576" s="87"/>
      <c r="H2576" s="87"/>
      <c r="I2576" s="87">
        <v>75</v>
      </c>
      <c r="J2576" s="87">
        <v>15</v>
      </c>
      <c r="K2576" s="87"/>
      <c r="L2576" s="87"/>
      <c r="M2576" s="87"/>
      <c r="N2576" s="87"/>
      <c r="O2576" s="87"/>
      <c r="P2576" s="87"/>
      <c r="Q2576" s="87"/>
      <c r="R2576" s="87"/>
      <c r="S2576" s="87"/>
      <c r="T2576" s="87"/>
      <c r="U2576" s="88"/>
      <c r="V2576" s="89"/>
      <c r="W2576" s="96">
        <v>0</v>
      </c>
      <c r="X2576" s="71">
        <f>CU2576</f>
        <v>0</v>
      </c>
      <c r="Y2576" s="71">
        <f>CY2576</f>
        <v>0</v>
      </c>
      <c r="Z2576" s="71">
        <f>DA2576+DC2576+DE2576</f>
        <v>0</v>
      </c>
      <c r="AA2576" s="71">
        <f>CW2576</f>
        <v>0</v>
      </c>
      <c r="AB2576" s="71"/>
      <c r="AC2576" s="71">
        <v>0</v>
      </c>
      <c r="AD2576" s="71">
        <f>W2576+X2576+Y2576+Z2576+AA2576+AB2576+AC2576</f>
        <v>0</v>
      </c>
      <c r="AE2576" s="72">
        <v>0</v>
      </c>
      <c r="AF2576" s="5"/>
      <c r="AG2576" s="6"/>
      <c r="AH2576" s="27"/>
      <c r="AI2576" s="44"/>
      <c r="AJ2576" s="26"/>
      <c r="AK2576" s="5"/>
      <c r="AL2576" s="82" t="s">
        <v>5471</v>
      </c>
      <c r="AM2576" s="76"/>
      <c r="AN2576" s="76"/>
      <c r="AO2576" s="76"/>
      <c r="AP2576" s="76"/>
      <c r="AQ2576" s="76"/>
      <c r="AR2576" s="76"/>
      <c r="AS2576" s="76"/>
      <c r="AT2576" s="76"/>
      <c r="AU2576" s="76"/>
      <c r="AV2576" s="76"/>
      <c r="AW2576" s="76"/>
      <c r="AX2576" s="76">
        <f>+AW2576*600000</f>
        <v>0</v>
      </c>
      <c r="AY2576" s="76"/>
      <c r="AZ2576" s="76">
        <f>+AY2576*70000</f>
        <v>0</v>
      </c>
      <c r="BA2576" s="76"/>
      <c r="BB2576" s="76"/>
      <c r="BC2576" s="76"/>
      <c r="BD2576" s="76">
        <f>+BC2576*30000</f>
        <v>0</v>
      </c>
      <c r="BE2576" s="76"/>
      <c r="BF2576" s="76"/>
      <c r="BG2576" s="76"/>
      <c r="BH2576" s="76"/>
      <c r="BI2576" s="76"/>
      <c r="BJ2576" s="76"/>
      <c r="BK2576" s="76"/>
      <c r="BL2576" s="76">
        <f>+BK2576*31500</f>
        <v>0</v>
      </c>
      <c r="BM2576" s="76"/>
      <c r="BN2576" s="76"/>
      <c r="BO2576" s="76"/>
      <c r="BP2576" s="76"/>
      <c r="BQ2576" s="76"/>
      <c r="BR2576" s="76"/>
      <c r="BS2576" s="76"/>
      <c r="BT2576" s="76"/>
      <c r="BU2576" s="76"/>
      <c r="BV2576" s="76"/>
      <c r="BW2576" s="76"/>
      <c r="BX2576" s="76"/>
      <c r="BY2576" s="76"/>
      <c r="BZ2576" s="76"/>
      <c r="CA2576" s="76"/>
      <c r="CB2576" s="76"/>
      <c r="CC2576" s="76"/>
      <c r="CD2576" s="76"/>
      <c r="CE2576" s="76"/>
      <c r="CF2576" s="76">
        <f>+CE2576*28000</f>
        <v>0</v>
      </c>
      <c r="CG2576" s="76"/>
      <c r="CH2576" s="76">
        <f>+CG2576*22500</f>
        <v>0</v>
      </c>
      <c r="CI2576" s="76"/>
      <c r="CJ2576" s="76">
        <f>+CI2576*26000</f>
        <v>0</v>
      </c>
      <c r="CK2576" s="76"/>
      <c r="CL2576" s="76"/>
      <c r="CM2576" s="76"/>
      <c r="CN2576" s="76">
        <f>+CM2576*22000</f>
        <v>0</v>
      </c>
      <c r="CO2576" s="76"/>
      <c r="CP2576" s="76">
        <f>+CO2576*46000</f>
        <v>0</v>
      </c>
      <c r="CQ2576" s="76"/>
      <c r="CR2576" s="76">
        <f>+CQ2576*49000</f>
        <v>0</v>
      </c>
      <c r="CS2576" s="76"/>
      <c r="CT2576" s="76"/>
      <c r="CU2576" s="56">
        <f>AN2576+AP2576+AR2576+AT2576+AV2576+AX2576+AZ2576+BB2576+BD2576+BF2576+BH2576+BJ2576+BL2576+BN2576+BP2576+BR2576+BT2576+BV2576+BX2576+BZ2576+CB2576+CD2576+CF2576+CH2576+CJ2576+CL2576+CN2576+CP2576+CR2576+CT2576</f>
        <v>0</v>
      </c>
      <c r="CV2576" s="76"/>
      <c r="CW2576" s="76">
        <f>+CV2576*1100</f>
        <v>0</v>
      </c>
      <c r="CX2576" s="76"/>
      <c r="CY2576" s="76">
        <f>+CX2576*106250</f>
        <v>0</v>
      </c>
      <c r="CZ2576" s="76"/>
      <c r="DA2576" s="76">
        <f>+CZ2576*34500</f>
        <v>0</v>
      </c>
      <c r="DB2576" s="76"/>
      <c r="DC2576" s="76">
        <f>+DB2576*25000</f>
        <v>0</v>
      </c>
      <c r="DD2576" s="219"/>
      <c r="DE2576" s="219"/>
      <c r="DF2576" s="166"/>
      <c r="DG2576" s="116"/>
      <c r="DH2576" s="117"/>
      <c r="DI2576" s="24"/>
      <c r="DJ2576" s="24"/>
      <c r="DK2576" s="24"/>
      <c r="DL2576" s="24"/>
      <c r="DM2576" s="24"/>
      <c r="DN2576" s="24"/>
      <c r="DO2576" s="24"/>
      <c r="DP2576" s="24"/>
      <c r="DQ2576" s="24"/>
      <c r="DR2576" s="24"/>
      <c r="DS2576" s="24"/>
      <c r="DT2576" s="24"/>
      <c r="DU2576" s="24"/>
    </row>
    <row r="2577" spans="1:125" s="8" customFormat="1" ht="24" x14ac:dyDescent="0.2">
      <c r="A2577" s="77">
        <v>41487</v>
      </c>
      <c r="B2577" s="225" t="s">
        <v>2881</v>
      </c>
      <c r="C2577" s="227" t="s">
        <v>2547</v>
      </c>
      <c r="D2577" s="227" t="s">
        <v>2882</v>
      </c>
      <c r="E2577" s="353" t="str">
        <f>VLOOKUP(B2577&amp;C2577,Divipola!$C$2:$F$1138,4,FALSE)</f>
        <v>08638</v>
      </c>
      <c r="F2577" s="87"/>
      <c r="G2577" s="87"/>
      <c r="H2577" s="87"/>
      <c r="I2577" s="87">
        <v>20</v>
      </c>
      <c r="J2577" s="87">
        <v>4</v>
      </c>
      <c r="K2577" s="87"/>
      <c r="L2577" s="87">
        <v>4</v>
      </c>
      <c r="M2577" s="87"/>
      <c r="N2577" s="87"/>
      <c r="O2577" s="87"/>
      <c r="P2577" s="87"/>
      <c r="Q2577" s="87"/>
      <c r="R2577" s="87"/>
      <c r="S2577" s="87"/>
      <c r="T2577" s="87"/>
      <c r="U2577" s="88"/>
      <c r="V2577" s="89"/>
      <c r="W2577" s="96">
        <v>0</v>
      </c>
      <c r="X2577" s="71">
        <f>CU2577</f>
        <v>0</v>
      </c>
      <c r="Y2577" s="71">
        <f>CY2577</f>
        <v>0</v>
      </c>
      <c r="Z2577" s="71">
        <f>DA2577+DC2577+DE2577</f>
        <v>0</v>
      </c>
      <c r="AA2577" s="71">
        <f>CW2577</f>
        <v>0</v>
      </c>
      <c r="AB2577" s="71"/>
      <c r="AC2577" s="71">
        <v>0</v>
      </c>
      <c r="AD2577" s="71">
        <f>W2577+X2577+Y2577+Z2577+AA2577+AB2577+AC2577</f>
        <v>0</v>
      </c>
      <c r="AE2577" s="72">
        <v>0</v>
      </c>
      <c r="AF2577" s="5"/>
      <c r="AG2577" s="6"/>
      <c r="AH2577" s="27"/>
      <c r="AI2577" s="44"/>
      <c r="AJ2577" s="26"/>
      <c r="AK2577" s="5"/>
      <c r="AL2577" s="82" t="s">
        <v>5472</v>
      </c>
      <c r="AM2577" s="76"/>
      <c r="AN2577" s="76"/>
      <c r="AO2577" s="76"/>
      <c r="AP2577" s="76"/>
      <c r="AQ2577" s="76"/>
      <c r="AR2577" s="76"/>
      <c r="AS2577" s="76"/>
      <c r="AT2577" s="76"/>
      <c r="AU2577" s="76"/>
      <c r="AV2577" s="76"/>
      <c r="AW2577" s="76"/>
      <c r="AX2577" s="76">
        <f>+AW2577*600000</f>
        <v>0</v>
      </c>
      <c r="AY2577" s="76"/>
      <c r="AZ2577" s="76">
        <f>+AY2577*70000</f>
        <v>0</v>
      </c>
      <c r="BA2577" s="76"/>
      <c r="BB2577" s="76"/>
      <c r="BC2577" s="76"/>
      <c r="BD2577" s="76">
        <f>+BC2577*30000</f>
        <v>0</v>
      </c>
      <c r="BE2577" s="76"/>
      <c r="BF2577" s="76"/>
      <c r="BG2577" s="76"/>
      <c r="BH2577" s="76"/>
      <c r="BI2577" s="76"/>
      <c r="BJ2577" s="76"/>
      <c r="BK2577" s="76"/>
      <c r="BL2577" s="76">
        <f>+BK2577*31500</f>
        <v>0</v>
      </c>
      <c r="BM2577" s="76"/>
      <c r="BN2577" s="76"/>
      <c r="BO2577" s="76"/>
      <c r="BP2577" s="76"/>
      <c r="BQ2577" s="76"/>
      <c r="BR2577" s="76"/>
      <c r="BS2577" s="76"/>
      <c r="BT2577" s="76"/>
      <c r="BU2577" s="76"/>
      <c r="BV2577" s="76"/>
      <c r="BW2577" s="76"/>
      <c r="BX2577" s="76"/>
      <c r="BY2577" s="76"/>
      <c r="BZ2577" s="76"/>
      <c r="CA2577" s="76"/>
      <c r="CB2577" s="76"/>
      <c r="CC2577" s="76"/>
      <c r="CD2577" s="76"/>
      <c r="CE2577" s="76"/>
      <c r="CF2577" s="76">
        <f>+CE2577*28000</f>
        <v>0</v>
      </c>
      <c r="CG2577" s="76"/>
      <c r="CH2577" s="76">
        <f>+CG2577*22500</f>
        <v>0</v>
      </c>
      <c r="CI2577" s="76"/>
      <c r="CJ2577" s="76">
        <f>+CI2577*26000</f>
        <v>0</v>
      </c>
      <c r="CK2577" s="76"/>
      <c r="CL2577" s="76"/>
      <c r="CM2577" s="76"/>
      <c r="CN2577" s="76">
        <f>+CM2577*22000</f>
        <v>0</v>
      </c>
      <c r="CO2577" s="76"/>
      <c r="CP2577" s="76">
        <f>+CO2577*46000</f>
        <v>0</v>
      </c>
      <c r="CQ2577" s="76"/>
      <c r="CR2577" s="76">
        <f>+CQ2577*49000</f>
        <v>0</v>
      </c>
      <c r="CS2577" s="76"/>
      <c r="CT2577" s="76"/>
      <c r="CU2577" s="56">
        <f>AN2577+AP2577+AR2577+AT2577+AV2577+AX2577+AZ2577+BB2577+BD2577+BF2577+BH2577+BJ2577+BL2577+BN2577+BP2577+BR2577+BT2577+BV2577+BX2577+BZ2577+CB2577+CD2577+CF2577+CH2577+CJ2577+CL2577+CN2577+CP2577+CR2577+CT2577</f>
        <v>0</v>
      </c>
      <c r="CV2577" s="76"/>
      <c r="CW2577" s="76">
        <f>+CV2577*1100</f>
        <v>0</v>
      </c>
      <c r="CX2577" s="76"/>
      <c r="CY2577" s="76">
        <f>+CX2577*106250</f>
        <v>0</v>
      </c>
      <c r="CZ2577" s="76"/>
      <c r="DA2577" s="76">
        <f>+CZ2577*34500</f>
        <v>0</v>
      </c>
      <c r="DB2577" s="76"/>
      <c r="DC2577" s="76">
        <f>+DB2577*25000</f>
        <v>0</v>
      </c>
      <c r="DD2577" s="219"/>
      <c r="DE2577" s="219"/>
      <c r="DF2577" s="166"/>
      <c r="DG2577" s="116"/>
      <c r="DH2577" s="117"/>
      <c r="DI2577" s="24"/>
      <c r="DJ2577" s="24"/>
      <c r="DK2577" s="24"/>
      <c r="DL2577" s="24"/>
      <c r="DM2577" s="24"/>
      <c r="DN2577" s="24"/>
      <c r="DO2577" s="24"/>
      <c r="DP2577" s="24"/>
      <c r="DQ2577" s="24"/>
      <c r="DR2577" s="24"/>
      <c r="DS2577" s="24"/>
      <c r="DT2577" s="24"/>
      <c r="DU2577" s="24"/>
    </row>
    <row r="2578" spans="1:125" s="8" customFormat="1" ht="72" x14ac:dyDescent="0.2">
      <c r="A2578" s="77">
        <v>41487</v>
      </c>
      <c r="B2578" s="352" t="s">
        <v>2881</v>
      </c>
      <c r="C2578" s="354" t="s">
        <v>2680</v>
      </c>
      <c r="D2578" s="354" t="s">
        <v>3051</v>
      </c>
      <c r="E2578" s="353" t="str">
        <f>VLOOKUP(B2578&amp;C2578,Divipola!$C$2:$F$1138,4,FALSE)</f>
        <v>08758</v>
      </c>
      <c r="F2578" s="87"/>
      <c r="G2578" s="87"/>
      <c r="H2578" s="87"/>
      <c r="I2578" s="87">
        <v>300</v>
      </c>
      <c r="J2578" s="87">
        <v>60</v>
      </c>
      <c r="K2578" s="87"/>
      <c r="L2578" s="87">
        <v>60</v>
      </c>
      <c r="M2578" s="87"/>
      <c r="N2578" s="87"/>
      <c r="O2578" s="87"/>
      <c r="P2578" s="87"/>
      <c r="Q2578" s="87"/>
      <c r="R2578" s="87"/>
      <c r="S2578" s="87"/>
      <c r="T2578" s="87"/>
      <c r="U2578" s="88"/>
      <c r="V2578" s="89"/>
      <c r="W2578" s="96">
        <v>0</v>
      </c>
      <c r="X2578" s="71">
        <f>CU2578</f>
        <v>98233770.599999994</v>
      </c>
      <c r="Y2578" s="71">
        <f>CY2578</f>
        <v>51005510</v>
      </c>
      <c r="Z2578" s="71">
        <f>DA2578+DC2578+DE2578</f>
        <v>24630092.080000002</v>
      </c>
      <c r="AA2578" s="71">
        <f>CW2578</f>
        <v>54984000</v>
      </c>
      <c r="AB2578" s="71"/>
      <c r="AC2578" s="71">
        <v>0</v>
      </c>
      <c r="AD2578" s="71">
        <f>W2578+X2578+Y2578+Z2578+AA2578+AB2578+AC2578</f>
        <v>228853372.68000001</v>
      </c>
      <c r="AE2578" s="72">
        <v>0</v>
      </c>
      <c r="AF2578" s="5"/>
      <c r="AG2578" s="6"/>
      <c r="AH2578" s="27"/>
      <c r="AI2578" s="44"/>
      <c r="AJ2578" s="26"/>
      <c r="AK2578" s="5"/>
      <c r="AL2578" s="82" t="s">
        <v>5470</v>
      </c>
      <c r="AM2578" s="240"/>
      <c r="AN2578" s="240"/>
      <c r="AO2578" s="240"/>
      <c r="AP2578" s="240"/>
      <c r="AQ2578" s="240"/>
      <c r="AR2578" s="240"/>
      <c r="AS2578" s="240"/>
      <c r="AT2578" s="240"/>
      <c r="AU2578" s="240"/>
      <c r="AV2578" s="240"/>
      <c r="AW2578" s="240"/>
      <c r="AX2578" s="240">
        <f>+AW2578*600000</f>
        <v>0</v>
      </c>
      <c r="AY2578" s="312">
        <v>485</v>
      </c>
      <c r="AZ2578" s="312">
        <f>+AY2578*69999.04</f>
        <v>33949534.399999999</v>
      </c>
      <c r="BA2578" s="240"/>
      <c r="BB2578" s="240"/>
      <c r="BC2578" s="240"/>
      <c r="BD2578" s="240">
        <f>+BC2578*30000</f>
        <v>0</v>
      </c>
      <c r="BE2578" s="240"/>
      <c r="BF2578" s="240"/>
      <c r="BG2578" s="240"/>
      <c r="BH2578" s="240"/>
      <c r="BI2578" s="240"/>
      <c r="BJ2578" s="240"/>
      <c r="BK2578" s="240"/>
      <c r="BL2578" s="240">
        <f>+BK2578*31500</f>
        <v>0</v>
      </c>
      <c r="BM2578" s="240"/>
      <c r="BN2578" s="240"/>
      <c r="BO2578" s="240"/>
      <c r="BP2578" s="240"/>
      <c r="BQ2578" s="240"/>
      <c r="BR2578" s="240"/>
      <c r="BS2578" s="240"/>
      <c r="BT2578" s="240"/>
      <c r="BU2578" s="240"/>
      <c r="BV2578" s="240"/>
      <c r="BW2578" s="240"/>
      <c r="BX2578" s="240"/>
      <c r="BY2578" s="312">
        <v>10</v>
      </c>
      <c r="BZ2578" s="312">
        <f>BY2578*559999.28</f>
        <v>5599992.8000000007</v>
      </c>
      <c r="CA2578" s="240"/>
      <c r="CB2578" s="240"/>
      <c r="CC2578" s="240"/>
      <c r="CD2578" s="240"/>
      <c r="CE2578" s="240"/>
      <c r="CF2578" s="240">
        <f>+CE2578*28000</f>
        <v>0</v>
      </c>
      <c r="CG2578" s="240"/>
      <c r="CH2578" s="240">
        <f>+CG2578*22500</f>
        <v>0</v>
      </c>
      <c r="CI2578" s="312">
        <v>485</v>
      </c>
      <c r="CJ2578" s="312">
        <f>+CI2578*25999.08</f>
        <v>12609553.800000001</v>
      </c>
      <c r="CK2578" s="240"/>
      <c r="CL2578" s="240"/>
      <c r="CM2578" s="240"/>
      <c r="CN2578" s="240">
        <f>+CM2578*22000</f>
        <v>0</v>
      </c>
      <c r="CO2578" s="312">
        <v>485</v>
      </c>
      <c r="CP2578" s="312">
        <f>+CO2578*45999.8</f>
        <v>22309903</v>
      </c>
      <c r="CQ2578" s="312">
        <v>485</v>
      </c>
      <c r="CR2578" s="312">
        <f>+CQ2578*48999.56</f>
        <v>23764786.599999998</v>
      </c>
      <c r="CS2578" s="240"/>
      <c r="CT2578" s="240"/>
      <c r="CU2578" s="241">
        <f>AN2578+AP2578+AR2578+AT2578+AV2578+AX2578+AZ2578+BB2578+BD2578+BF2578+BH2578+BJ2578+BL2578+BN2578+BP2578+BR2578+BT2578+BV2578+BX2578+BZ2578+CB2578+CD2578+CF2578+CH2578+CJ2578+CL2578+CN2578+CP2578+CR2578+CT2578</f>
        <v>98233770.599999994</v>
      </c>
      <c r="CV2578" s="312">
        <v>50000</v>
      </c>
      <c r="CW2578" s="312">
        <f>+CV2578*1099.68</f>
        <v>54984000</v>
      </c>
      <c r="CX2578" s="312">
        <v>485</v>
      </c>
      <c r="CY2578" s="312">
        <f>+CX2578*105166</f>
        <v>51005510</v>
      </c>
      <c r="CZ2578" s="240"/>
      <c r="DA2578" s="240">
        <f>+CZ2578*34500</f>
        <v>0</v>
      </c>
      <c r="DB2578" s="312">
        <v>606</v>
      </c>
      <c r="DC2578" s="312">
        <f>130*40999.04+160*30999.84+110*21248.88+126*60499.8+80*39799.6+2394*199.52+1600*448.92</f>
        <v>24630092.080000002</v>
      </c>
      <c r="DD2578" s="242"/>
      <c r="DE2578" s="242"/>
      <c r="DF2578" s="243"/>
      <c r="DG2578" s="320" t="s">
        <v>6029</v>
      </c>
      <c r="DH2578" s="254"/>
      <c r="DI2578" s="24"/>
      <c r="DJ2578" s="24"/>
      <c r="DK2578" s="24"/>
      <c r="DL2578" s="24"/>
      <c r="DM2578" s="24"/>
      <c r="DN2578" s="24"/>
      <c r="DO2578" s="24"/>
      <c r="DP2578" s="24"/>
      <c r="DQ2578" s="24"/>
      <c r="DR2578" s="24"/>
      <c r="DS2578" s="24"/>
      <c r="DT2578" s="24"/>
      <c r="DU2578" s="24"/>
    </row>
    <row r="2579" spans="1:125" s="8" customFormat="1" ht="36" x14ac:dyDescent="0.2">
      <c r="A2579" s="226">
        <v>41487</v>
      </c>
      <c r="B2579" s="60" t="s">
        <v>2700</v>
      </c>
      <c r="C2579" s="55" t="s">
        <v>560</v>
      </c>
      <c r="D2579" s="55" t="s">
        <v>2846</v>
      </c>
      <c r="E2579" s="353" t="str">
        <f>VLOOKUP(B2579&amp;C2579,Divipola!$C$2:$F$1138,4,FALSE)</f>
        <v>15407</v>
      </c>
      <c r="F2579" s="87"/>
      <c r="G2579" s="87"/>
      <c r="H2579" s="87"/>
      <c r="I2579" s="87"/>
      <c r="J2579" s="87"/>
      <c r="K2579" s="87"/>
      <c r="L2579" s="87"/>
      <c r="M2579" s="87"/>
      <c r="N2579" s="87"/>
      <c r="O2579" s="87"/>
      <c r="P2579" s="87"/>
      <c r="Q2579" s="87"/>
      <c r="R2579" s="87"/>
      <c r="S2579" s="87"/>
      <c r="T2579" s="87"/>
      <c r="U2579" s="88">
        <v>12</v>
      </c>
      <c r="V2579" s="89"/>
      <c r="W2579" s="96">
        <v>0</v>
      </c>
      <c r="X2579" s="71">
        <f>CU2579</f>
        <v>0</v>
      </c>
      <c r="Y2579" s="71">
        <f>CY2579</f>
        <v>0</v>
      </c>
      <c r="Z2579" s="71">
        <f>DA2579+DC2579+DE2579</f>
        <v>0</v>
      </c>
      <c r="AA2579" s="71">
        <f>CW2579</f>
        <v>0</v>
      </c>
      <c r="AB2579" s="71"/>
      <c r="AC2579" s="71">
        <v>0</v>
      </c>
      <c r="AD2579" s="71">
        <f>W2579+X2579+Y2579+Z2579+AA2579+AB2579+AC2579</f>
        <v>0</v>
      </c>
      <c r="AE2579" s="72">
        <v>0</v>
      </c>
      <c r="AF2579" s="5"/>
      <c r="AG2579" s="6"/>
      <c r="AH2579" s="27"/>
      <c r="AI2579" s="44"/>
      <c r="AJ2579" s="26"/>
      <c r="AK2579" s="5"/>
      <c r="AL2579" s="82" t="s">
        <v>5468</v>
      </c>
      <c r="AM2579" s="76"/>
      <c r="AN2579" s="76"/>
      <c r="AO2579" s="76"/>
      <c r="AP2579" s="76"/>
      <c r="AQ2579" s="76"/>
      <c r="AR2579" s="76"/>
      <c r="AS2579" s="76"/>
      <c r="AT2579" s="76"/>
      <c r="AU2579" s="76"/>
      <c r="AV2579" s="76"/>
      <c r="AW2579" s="76"/>
      <c r="AX2579" s="76">
        <f>+AW2579*600000</f>
        <v>0</v>
      </c>
      <c r="AY2579" s="76"/>
      <c r="AZ2579" s="76">
        <f>+AY2579*70000</f>
        <v>0</v>
      </c>
      <c r="BA2579" s="76"/>
      <c r="BB2579" s="76"/>
      <c r="BC2579" s="76"/>
      <c r="BD2579" s="76">
        <f>+BC2579*30000</f>
        <v>0</v>
      </c>
      <c r="BE2579" s="76"/>
      <c r="BF2579" s="76"/>
      <c r="BG2579" s="76"/>
      <c r="BH2579" s="76"/>
      <c r="BI2579" s="76"/>
      <c r="BJ2579" s="76"/>
      <c r="BK2579" s="76"/>
      <c r="BL2579" s="76">
        <f>+BK2579*31500</f>
        <v>0</v>
      </c>
      <c r="BM2579" s="76"/>
      <c r="BN2579" s="76"/>
      <c r="BO2579" s="76"/>
      <c r="BP2579" s="76"/>
      <c r="BQ2579" s="76"/>
      <c r="BR2579" s="76"/>
      <c r="BS2579" s="76"/>
      <c r="BT2579" s="76"/>
      <c r="BU2579" s="76"/>
      <c r="BV2579" s="76"/>
      <c r="BW2579" s="76"/>
      <c r="BX2579" s="76"/>
      <c r="BY2579" s="76"/>
      <c r="BZ2579" s="76"/>
      <c r="CA2579" s="76"/>
      <c r="CB2579" s="76"/>
      <c r="CC2579" s="76"/>
      <c r="CD2579" s="76"/>
      <c r="CE2579" s="76"/>
      <c r="CF2579" s="76">
        <f>+CE2579*28000</f>
        <v>0</v>
      </c>
      <c r="CG2579" s="76"/>
      <c r="CH2579" s="76">
        <f>+CG2579*22500</f>
        <v>0</v>
      </c>
      <c r="CI2579" s="76"/>
      <c r="CJ2579" s="76">
        <f>+CI2579*26000</f>
        <v>0</v>
      </c>
      <c r="CK2579" s="76"/>
      <c r="CL2579" s="76"/>
      <c r="CM2579" s="76"/>
      <c r="CN2579" s="76">
        <f>+CM2579*22000</f>
        <v>0</v>
      </c>
      <c r="CO2579" s="76"/>
      <c r="CP2579" s="76">
        <f>+CO2579*46000</f>
        <v>0</v>
      </c>
      <c r="CQ2579" s="76"/>
      <c r="CR2579" s="76">
        <f>+CQ2579*49000</f>
        <v>0</v>
      </c>
      <c r="CS2579" s="76"/>
      <c r="CT2579" s="76"/>
      <c r="CU2579" s="56">
        <f>AN2579+AP2579+AR2579+AT2579+AV2579+AX2579+AZ2579+BB2579+BD2579+BF2579+BH2579+BJ2579+BL2579+BN2579+BP2579+BR2579+BT2579+BV2579+BX2579+BZ2579+CB2579+CD2579+CF2579+CH2579+CJ2579+CL2579+CN2579+CP2579+CR2579+CT2579</f>
        <v>0</v>
      </c>
      <c r="CV2579" s="76"/>
      <c r="CW2579" s="76">
        <f>+CV2579*1100</f>
        <v>0</v>
      </c>
      <c r="CX2579" s="76"/>
      <c r="CY2579" s="76">
        <f>+CX2579*106250</f>
        <v>0</v>
      </c>
      <c r="CZ2579" s="76"/>
      <c r="DA2579" s="76">
        <f>+CZ2579*34500</f>
        <v>0</v>
      </c>
      <c r="DB2579" s="76"/>
      <c r="DC2579" s="76">
        <f>+DB2579*25000</f>
        <v>0</v>
      </c>
      <c r="DD2579" s="219"/>
      <c r="DE2579" s="219"/>
      <c r="DF2579" s="166"/>
      <c r="DG2579" s="116"/>
      <c r="DH2579" s="117"/>
      <c r="DI2579" s="24"/>
      <c r="DJ2579" s="24"/>
      <c r="DK2579" s="24"/>
      <c r="DL2579" s="24"/>
      <c r="DM2579" s="24"/>
      <c r="DN2579" s="24"/>
      <c r="DO2579" s="24"/>
      <c r="DP2579" s="24"/>
      <c r="DQ2579" s="24"/>
      <c r="DR2579" s="24"/>
      <c r="DS2579" s="24"/>
      <c r="DT2579" s="24"/>
      <c r="DU2579" s="24"/>
    </row>
    <row r="2580" spans="1:125" s="8" customFormat="1" ht="48" x14ac:dyDescent="0.2">
      <c r="A2580" s="226">
        <v>41487</v>
      </c>
      <c r="B2580" s="225" t="s">
        <v>2854</v>
      </c>
      <c r="C2580" s="227" t="s">
        <v>1377</v>
      </c>
      <c r="D2580" s="354" t="s">
        <v>3088</v>
      </c>
      <c r="E2580" s="353" t="str">
        <f>VLOOKUP(B2580&amp;C2580,Divipola!$C$2:$F$1138,4,FALSE)</f>
        <v>19318</v>
      </c>
      <c r="F2580" s="87"/>
      <c r="G2580" s="87"/>
      <c r="H2580" s="87"/>
      <c r="I2580" s="87">
        <v>3</v>
      </c>
      <c r="J2580" s="87"/>
      <c r="K2580" s="87"/>
      <c r="L2580" s="87"/>
      <c r="M2580" s="87"/>
      <c r="N2580" s="87"/>
      <c r="O2580" s="87"/>
      <c r="P2580" s="87"/>
      <c r="Q2580" s="87"/>
      <c r="R2580" s="87"/>
      <c r="S2580" s="87"/>
      <c r="T2580" s="87"/>
      <c r="U2580" s="88"/>
      <c r="V2580" s="89"/>
      <c r="W2580" s="96">
        <v>0</v>
      </c>
      <c r="X2580" s="71">
        <f>CU2580</f>
        <v>0</v>
      </c>
      <c r="Y2580" s="71">
        <f>CY2580</f>
        <v>0</v>
      </c>
      <c r="Z2580" s="71">
        <f>DA2580+DC2580+DE2580</f>
        <v>0</v>
      </c>
      <c r="AA2580" s="71">
        <f>CW2580</f>
        <v>0</v>
      </c>
      <c r="AB2580" s="71"/>
      <c r="AC2580" s="71">
        <v>0</v>
      </c>
      <c r="AD2580" s="71">
        <f>W2580+X2580+Y2580+Z2580+AA2580+AB2580+AC2580</f>
        <v>0</v>
      </c>
      <c r="AE2580" s="72">
        <v>0</v>
      </c>
      <c r="AF2580" s="5"/>
      <c r="AG2580" s="6"/>
      <c r="AH2580" s="27"/>
      <c r="AI2580" s="44"/>
      <c r="AJ2580" s="26"/>
      <c r="AK2580" s="5"/>
      <c r="AL2580" s="82" t="s">
        <v>5465</v>
      </c>
      <c r="AM2580" s="76"/>
      <c r="AN2580" s="76"/>
      <c r="AO2580" s="76"/>
      <c r="AP2580" s="76"/>
      <c r="AQ2580" s="76"/>
      <c r="AR2580" s="76"/>
      <c r="AS2580" s="76"/>
      <c r="AT2580" s="76"/>
      <c r="AU2580" s="76"/>
      <c r="AV2580" s="76"/>
      <c r="AW2580" s="76"/>
      <c r="AX2580" s="76">
        <f>+AW2580*600000</f>
        <v>0</v>
      </c>
      <c r="AY2580" s="76"/>
      <c r="AZ2580" s="76">
        <f>+AY2580*70000</f>
        <v>0</v>
      </c>
      <c r="BA2580" s="76"/>
      <c r="BB2580" s="76"/>
      <c r="BC2580" s="76"/>
      <c r="BD2580" s="76">
        <f>+BC2580*30000</f>
        <v>0</v>
      </c>
      <c r="BE2580" s="76"/>
      <c r="BF2580" s="76"/>
      <c r="BG2580" s="76"/>
      <c r="BH2580" s="76"/>
      <c r="BI2580" s="76"/>
      <c r="BJ2580" s="76"/>
      <c r="BK2580" s="76"/>
      <c r="BL2580" s="76">
        <f>+BK2580*31500</f>
        <v>0</v>
      </c>
      <c r="BM2580" s="76"/>
      <c r="BN2580" s="76"/>
      <c r="BO2580" s="76"/>
      <c r="BP2580" s="76"/>
      <c r="BQ2580" s="76"/>
      <c r="BR2580" s="76"/>
      <c r="BS2580" s="76"/>
      <c r="BT2580" s="76"/>
      <c r="BU2580" s="76"/>
      <c r="BV2580" s="76"/>
      <c r="BW2580" s="76"/>
      <c r="BX2580" s="76"/>
      <c r="BY2580" s="76"/>
      <c r="BZ2580" s="76"/>
      <c r="CA2580" s="76"/>
      <c r="CB2580" s="76"/>
      <c r="CC2580" s="76"/>
      <c r="CD2580" s="76"/>
      <c r="CE2580" s="76"/>
      <c r="CF2580" s="76">
        <f>+CE2580*28000</f>
        <v>0</v>
      </c>
      <c r="CG2580" s="76"/>
      <c r="CH2580" s="76">
        <f>+CG2580*22500</f>
        <v>0</v>
      </c>
      <c r="CI2580" s="76"/>
      <c r="CJ2580" s="76">
        <f>+CI2580*26000</f>
        <v>0</v>
      </c>
      <c r="CK2580" s="76"/>
      <c r="CL2580" s="76"/>
      <c r="CM2580" s="76"/>
      <c r="CN2580" s="76">
        <f>+CM2580*22000</f>
        <v>0</v>
      </c>
      <c r="CO2580" s="76"/>
      <c r="CP2580" s="76">
        <f>+CO2580*46000</f>
        <v>0</v>
      </c>
      <c r="CQ2580" s="76"/>
      <c r="CR2580" s="76">
        <f>+CQ2580*49000</f>
        <v>0</v>
      </c>
      <c r="CS2580" s="76"/>
      <c r="CT2580" s="76"/>
      <c r="CU2580" s="56">
        <f>AN2580+AP2580+AR2580+AT2580+AV2580+AX2580+AZ2580+BB2580+BD2580+BF2580+BH2580+BJ2580+BL2580+BN2580+BP2580+BR2580+BT2580+BV2580+BX2580+BZ2580+CB2580+CD2580+CF2580+CH2580+CJ2580+CL2580+CN2580+CP2580+CR2580+CT2580</f>
        <v>0</v>
      </c>
      <c r="CV2580" s="76"/>
      <c r="CW2580" s="76">
        <f>+CV2580*1100</f>
        <v>0</v>
      </c>
      <c r="CX2580" s="76"/>
      <c r="CY2580" s="76">
        <f>+CX2580*106250</f>
        <v>0</v>
      </c>
      <c r="CZ2580" s="76"/>
      <c r="DA2580" s="76">
        <f>+CZ2580*34500</f>
        <v>0</v>
      </c>
      <c r="DB2580" s="76"/>
      <c r="DC2580" s="76">
        <f>+DB2580*25000</f>
        <v>0</v>
      </c>
      <c r="DD2580" s="219"/>
      <c r="DE2580" s="219"/>
      <c r="DF2580" s="166"/>
      <c r="DG2580" s="116"/>
      <c r="DH2580" s="117"/>
      <c r="DI2580" s="24"/>
      <c r="DJ2580" s="24"/>
      <c r="DK2580" s="24"/>
      <c r="DL2580" s="24"/>
      <c r="DM2580" s="24"/>
      <c r="DN2580" s="24"/>
      <c r="DO2580" s="24"/>
      <c r="DP2580" s="24"/>
      <c r="DQ2580" s="24"/>
      <c r="DR2580" s="24"/>
      <c r="DS2580" s="24"/>
      <c r="DT2580" s="24"/>
      <c r="DU2580" s="24"/>
    </row>
    <row r="2581" spans="1:125" s="8" customFormat="1" ht="48" x14ac:dyDescent="0.2">
      <c r="A2581" s="353">
        <v>41487</v>
      </c>
      <c r="B2581" s="352" t="s">
        <v>2852</v>
      </c>
      <c r="C2581" s="354" t="s">
        <v>2784</v>
      </c>
      <c r="D2581" s="354" t="s">
        <v>3051</v>
      </c>
      <c r="E2581" s="353" t="str">
        <f>VLOOKUP(B2581&amp;C2581,Divipola!$C$2:$F$1138,4,FALSE)</f>
        <v>27025</v>
      </c>
      <c r="F2581" s="87"/>
      <c r="G2581" s="87"/>
      <c r="H2581" s="87"/>
      <c r="I2581" s="87"/>
      <c r="J2581" s="87"/>
      <c r="K2581" s="87"/>
      <c r="L2581" s="87"/>
      <c r="M2581" s="87"/>
      <c r="N2581" s="87"/>
      <c r="O2581" s="87"/>
      <c r="P2581" s="87"/>
      <c r="Q2581" s="87"/>
      <c r="R2581" s="87"/>
      <c r="S2581" s="87"/>
      <c r="T2581" s="87"/>
      <c r="U2581" s="88"/>
      <c r="V2581" s="89"/>
      <c r="W2581" s="96">
        <v>0</v>
      </c>
      <c r="X2581" s="71">
        <f>CU2581</f>
        <v>0</v>
      </c>
      <c r="Y2581" s="71">
        <f>CY2581</f>
        <v>0</v>
      </c>
      <c r="Z2581" s="71">
        <f>DA2581+DC2581+DE2581</f>
        <v>0</v>
      </c>
      <c r="AA2581" s="71">
        <f>CW2581</f>
        <v>0</v>
      </c>
      <c r="AB2581" s="71"/>
      <c r="AC2581" s="71">
        <v>0</v>
      </c>
      <c r="AD2581" s="71">
        <f>W2581+X2581+Y2581+Z2581+AA2581+AB2581+AC2581</f>
        <v>0</v>
      </c>
      <c r="AE2581" s="72">
        <v>0</v>
      </c>
      <c r="AF2581" s="5"/>
      <c r="AG2581" s="6"/>
      <c r="AH2581" s="27"/>
      <c r="AI2581" s="44"/>
      <c r="AJ2581" s="26"/>
      <c r="AK2581" s="5"/>
      <c r="AL2581" s="82" t="s">
        <v>5464</v>
      </c>
      <c r="AM2581" s="76"/>
      <c r="AN2581" s="76"/>
      <c r="AO2581" s="76"/>
      <c r="AP2581" s="76"/>
      <c r="AQ2581" s="76"/>
      <c r="AR2581" s="76"/>
      <c r="AS2581" s="76"/>
      <c r="AT2581" s="76"/>
      <c r="AU2581" s="76"/>
      <c r="AV2581" s="76"/>
      <c r="AW2581" s="76"/>
      <c r="AX2581" s="76">
        <f>+AW2581*600000</f>
        <v>0</v>
      </c>
      <c r="AY2581" s="76"/>
      <c r="AZ2581" s="76">
        <f>+AY2581*70000</f>
        <v>0</v>
      </c>
      <c r="BA2581" s="76"/>
      <c r="BB2581" s="76"/>
      <c r="BC2581" s="76"/>
      <c r="BD2581" s="76">
        <f>+BC2581*30000</f>
        <v>0</v>
      </c>
      <c r="BE2581" s="76"/>
      <c r="BF2581" s="76"/>
      <c r="BG2581" s="76"/>
      <c r="BH2581" s="76"/>
      <c r="BI2581" s="76"/>
      <c r="BJ2581" s="76"/>
      <c r="BK2581" s="76"/>
      <c r="BL2581" s="76">
        <f>+BK2581*31500</f>
        <v>0</v>
      </c>
      <c r="BM2581" s="76"/>
      <c r="BN2581" s="76"/>
      <c r="BO2581" s="76"/>
      <c r="BP2581" s="76"/>
      <c r="BQ2581" s="76"/>
      <c r="BR2581" s="76"/>
      <c r="BS2581" s="76"/>
      <c r="BT2581" s="76"/>
      <c r="BU2581" s="76"/>
      <c r="BV2581" s="76"/>
      <c r="BW2581" s="76"/>
      <c r="BX2581" s="76"/>
      <c r="BY2581" s="76"/>
      <c r="BZ2581" s="76"/>
      <c r="CA2581" s="76"/>
      <c r="CB2581" s="76"/>
      <c r="CC2581" s="76"/>
      <c r="CD2581" s="76"/>
      <c r="CE2581" s="76"/>
      <c r="CF2581" s="76">
        <f>+CE2581*28000</f>
        <v>0</v>
      </c>
      <c r="CG2581" s="76"/>
      <c r="CH2581" s="76">
        <f>+CG2581*22500</f>
        <v>0</v>
      </c>
      <c r="CI2581" s="76"/>
      <c r="CJ2581" s="76">
        <f>+CI2581*26000</f>
        <v>0</v>
      </c>
      <c r="CK2581" s="76"/>
      <c r="CL2581" s="76"/>
      <c r="CM2581" s="76"/>
      <c r="CN2581" s="76">
        <f>+CM2581*22000</f>
        <v>0</v>
      </c>
      <c r="CO2581" s="76"/>
      <c r="CP2581" s="76">
        <f>+CO2581*46000</f>
        <v>0</v>
      </c>
      <c r="CQ2581" s="76"/>
      <c r="CR2581" s="76">
        <f>+CQ2581*49000</f>
        <v>0</v>
      </c>
      <c r="CS2581" s="76"/>
      <c r="CT2581" s="76"/>
      <c r="CU2581" s="56">
        <f>AN2581+AP2581+AR2581+AT2581+AV2581+AX2581+AZ2581+BB2581+BD2581+BF2581+BH2581+BJ2581+BL2581+BN2581+BP2581+BR2581+BT2581+BV2581+BX2581+BZ2581+CB2581+CD2581+CF2581+CH2581+CJ2581+CL2581+CN2581+CP2581+CR2581+CT2581</f>
        <v>0</v>
      </c>
      <c r="CV2581" s="76"/>
      <c r="CW2581" s="76">
        <f>+CV2581*1100</f>
        <v>0</v>
      </c>
      <c r="CX2581" s="76"/>
      <c r="CY2581" s="76">
        <f>+CX2581*106250</f>
        <v>0</v>
      </c>
      <c r="CZ2581" s="76"/>
      <c r="DA2581" s="76">
        <f>+CZ2581*34500</f>
        <v>0</v>
      </c>
      <c r="DB2581" s="76"/>
      <c r="DC2581" s="76">
        <f>+DB2581*25000</f>
        <v>0</v>
      </c>
      <c r="DD2581" s="219"/>
      <c r="DE2581" s="219"/>
      <c r="DF2581" s="166"/>
      <c r="DG2581" s="116"/>
      <c r="DH2581" s="117"/>
      <c r="DI2581" s="24"/>
      <c r="DJ2581" s="24"/>
      <c r="DK2581" s="24"/>
      <c r="DL2581" s="24"/>
      <c r="DM2581" s="24"/>
      <c r="DN2581" s="24"/>
      <c r="DO2581" s="24"/>
      <c r="DP2581" s="24"/>
      <c r="DQ2581" s="24"/>
      <c r="DR2581" s="24"/>
      <c r="DS2581" s="24"/>
      <c r="DT2581" s="24"/>
      <c r="DU2581" s="24"/>
    </row>
    <row r="2582" spans="1:125" s="8" customFormat="1" ht="96" x14ac:dyDescent="0.2">
      <c r="A2582" s="77">
        <v>41487</v>
      </c>
      <c r="B2582" s="225" t="s">
        <v>2772</v>
      </c>
      <c r="C2582" s="227" t="s">
        <v>2100</v>
      </c>
      <c r="D2582" s="354" t="s">
        <v>2846</v>
      </c>
      <c r="E2582" s="353" t="str">
        <f>VLOOKUP(B2582&amp;C2582,Divipola!$C$2:$F$1138,4,FALSE)</f>
        <v>25402</v>
      </c>
      <c r="F2582" s="87"/>
      <c r="G2582" s="87"/>
      <c r="H2582" s="87"/>
      <c r="I2582" s="87"/>
      <c r="J2582" s="87"/>
      <c r="K2582" s="87"/>
      <c r="L2582" s="87"/>
      <c r="M2582" s="87"/>
      <c r="N2582" s="87"/>
      <c r="O2582" s="87"/>
      <c r="P2582" s="87"/>
      <c r="Q2582" s="87"/>
      <c r="R2582" s="87"/>
      <c r="S2582" s="87"/>
      <c r="T2582" s="87"/>
      <c r="U2582" s="88">
        <v>1</v>
      </c>
      <c r="V2582" s="89"/>
      <c r="W2582" s="96">
        <v>0</v>
      </c>
      <c r="X2582" s="71">
        <f>CU2582</f>
        <v>0</v>
      </c>
      <c r="Y2582" s="71">
        <f>CY2582</f>
        <v>0</v>
      </c>
      <c r="Z2582" s="71">
        <f>DA2582+DC2582+DE2582</f>
        <v>0</v>
      </c>
      <c r="AA2582" s="71">
        <f>CW2582</f>
        <v>0</v>
      </c>
      <c r="AB2582" s="71"/>
      <c r="AC2582" s="71">
        <v>0</v>
      </c>
      <c r="AD2582" s="71">
        <f>W2582+X2582+Y2582+Z2582+AA2582+AB2582+AC2582</f>
        <v>0</v>
      </c>
      <c r="AE2582" s="72">
        <v>0</v>
      </c>
      <c r="AF2582" s="5"/>
      <c r="AG2582" s="6"/>
      <c r="AH2582" s="27"/>
      <c r="AI2582" s="44"/>
      <c r="AJ2582" s="26"/>
      <c r="AK2582" s="5"/>
      <c r="AL2582" s="82" t="s">
        <v>5469</v>
      </c>
      <c r="AM2582" s="76"/>
      <c r="AN2582" s="76"/>
      <c r="AO2582" s="76"/>
      <c r="AP2582" s="76"/>
      <c r="AQ2582" s="76"/>
      <c r="AR2582" s="76"/>
      <c r="AS2582" s="76"/>
      <c r="AT2582" s="76"/>
      <c r="AU2582" s="76"/>
      <c r="AV2582" s="76"/>
      <c r="AW2582" s="76"/>
      <c r="AX2582" s="76">
        <f>+AW2582*600000</f>
        <v>0</v>
      </c>
      <c r="AY2582" s="76"/>
      <c r="AZ2582" s="76">
        <f>+AY2582*70000</f>
        <v>0</v>
      </c>
      <c r="BA2582" s="76"/>
      <c r="BB2582" s="76"/>
      <c r="BC2582" s="76"/>
      <c r="BD2582" s="76">
        <f>+BC2582*30000</f>
        <v>0</v>
      </c>
      <c r="BE2582" s="76"/>
      <c r="BF2582" s="76"/>
      <c r="BG2582" s="76"/>
      <c r="BH2582" s="76"/>
      <c r="BI2582" s="76"/>
      <c r="BJ2582" s="76"/>
      <c r="BK2582" s="76"/>
      <c r="BL2582" s="76">
        <f>+BK2582*31500</f>
        <v>0</v>
      </c>
      <c r="BM2582" s="76"/>
      <c r="BN2582" s="76"/>
      <c r="BO2582" s="76"/>
      <c r="BP2582" s="76"/>
      <c r="BQ2582" s="76"/>
      <c r="BR2582" s="76"/>
      <c r="BS2582" s="76"/>
      <c r="BT2582" s="76"/>
      <c r="BU2582" s="76"/>
      <c r="BV2582" s="76"/>
      <c r="BW2582" s="76"/>
      <c r="BX2582" s="76"/>
      <c r="BY2582" s="76"/>
      <c r="BZ2582" s="76"/>
      <c r="CA2582" s="76"/>
      <c r="CB2582" s="76"/>
      <c r="CC2582" s="76"/>
      <c r="CD2582" s="76"/>
      <c r="CE2582" s="76"/>
      <c r="CF2582" s="76">
        <f>+CE2582*28000</f>
        <v>0</v>
      </c>
      <c r="CG2582" s="76"/>
      <c r="CH2582" s="76">
        <f>+CG2582*22500</f>
        <v>0</v>
      </c>
      <c r="CI2582" s="76"/>
      <c r="CJ2582" s="76">
        <f>+CI2582*26000</f>
        <v>0</v>
      </c>
      <c r="CK2582" s="76"/>
      <c r="CL2582" s="76"/>
      <c r="CM2582" s="76"/>
      <c r="CN2582" s="76">
        <f>+CM2582*22000</f>
        <v>0</v>
      </c>
      <c r="CO2582" s="76"/>
      <c r="CP2582" s="76">
        <f>+CO2582*46000</f>
        <v>0</v>
      </c>
      <c r="CQ2582" s="76"/>
      <c r="CR2582" s="76">
        <f>+CQ2582*49000</f>
        <v>0</v>
      </c>
      <c r="CS2582" s="76"/>
      <c r="CT2582" s="76"/>
      <c r="CU2582" s="56">
        <f>AN2582+AP2582+AR2582+AT2582+AV2582+AX2582+AZ2582+BB2582+BD2582+BF2582+BH2582+BJ2582+BL2582+BN2582+BP2582+BR2582+BT2582+BV2582+BX2582+BZ2582+CB2582+CD2582+CF2582+CH2582+CJ2582+CL2582+CN2582+CP2582+CR2582+CT2582</f>
        <v>0</v>
      </c>
      <c r="CV2582" s="76"/>
      <c r="CW2582" s="76">
        <f>+CV2582*1100</f>
        <v>0</v>
      </c>
      <c r="CX2582" s="76"/>
      <c r="CY2582" s="76">
        <f>+CX2582*106250</f>
        <v>0</v>
      </c>
      <c r="CZ2582" s="76"/>
      <c r="DA2582" s="76">
        <f>+CZ2582*34500</f>
        <v>0</v>
      </c>
      <c r="DB2582" s="76"/>
      <c r="DC2582" s="76">
        <f>+DB2582*25000</f>
        <v>0</v>
      </c>
      <c r="DD2582" s="219"/>
      <c r="DE2582" s="219"/>
      <c r="DF2582" s="166"/>
      <c r="DG2582" s="116"/>
      <c r="DH2582" s="117"/>
      <c r="DI2582" s="24"/>
      <c r="DJ2582" s="24"/>
      <c r="DK2582" s="24"/>
      <c r="DL2582" s="24"/>
      <c r="DM2582" s="24"/>
      <c r="DN2582" s="24"/>
      <c r="DO2582" s="24"/>
      <c r="DP2582" s="24"/>
      <c r="DQ2582" s="24"/>
      <c r="DR2582" s="24"/>
      <c r="DS2582" s="24"/>
      <c r="DT2582" s="24"/>
      <c r="DU2582" s="24"/>
    </row>
    <row r="2583" spans="1:125" s="8" customFormat="1" ht="36" x14ac:dyDescent="0.2">
      <c r="A2583" s="226">
        <v>41487</v>
      </c>
      <c r="B2583" s="225" t="s">
        <v>2661</v>
      </c>
      <c r="C2583" s="227" t="s">
        <v>2838</v>
      </c>
      <c r="D2583" s="354" t="s">
        <v>2846</v>
      </c>
      <c r="E2583" s="353" t="str">
        <f>VLOOKUP(B2583&amp;C2583,Divipola!$C$2:$F$1138,4,FALSE)</f>
        <v>41132</v>
      </c>
      <c r="F2583" s="87"/>
      <c r="G2583" s="87"/>
      <c r="H2583" s="87"/>
      <c r="I2583" s="87"/>
      <c r="J2583" s="87"/>
      <c r="K2583" s="87"/>
      <c r="L2583" s="87"/>
      <c r="M2583" s="87"/>
      <c r="N2583" s="87"/>
      <c r="O2583" s="87"/>
      <c r="P2583" s="87"/>
      <c r="Q2583" s="87"/>
      <c r="R2583" s="87"/>
      <c r="S2583" s="87"/>
      <c r="T2583" s="87"/>
      <c r="U2583" s="88">
        <v>1</v>
      </c>
      <c r="V2583" s="89"/>
      <c r="W2583" s="96">
        <v>0</v>
      </c>
      <c r="X2583" s="71">
        <f>CU2583</f>
        <v>0</v>
      </c>
      <c r="Y2583" s="71">
        <f>CY2583</f>
        <v>0</v>
      </c>
      <c r="Z2583" s="71">
        <f>DA2583+DC2583+DE2583</f>
        <v>0</v>
      </c>
      <c r="AA2583" s="71">
        <f>CW2583</f>
        <v>0</v>
      </c>
      <c r="AB2583" s="71"/>
      <c r="AC2583" s="71">
        <v>0</v>
      </c>
      <c r="AD2583" s="71">
        <f>W2583+X2583+Y2583+Z2583+AA2583+AB2583+AC2583</f>
        <v>0</v>
      </c>
      <c r="AE2583" s="72">
        <v>0</v>
      </c>
      <c r="AF2583" s="5"/>
      <c r="AG2583" s="6"/>
      <c r="AH2583" s="27"/>
      <c r="AI2583" s="44"/>
      <c r="AJ2583" s="26"/>
      <c r="AK2583" s="5"/>
      <c r="AL2583" s="82" t="s">
        <v>5478</v>
      </c>
      <c r="AM2583" s="76"/>
      <c r="AN2583" s="76"/>
      <c r="AO2583" s="76"/>
      <c r="AP2583" s="76"/>
      <c r="AQ2583" s="76"/>
      <c r="AR2583" s="76"/>
      <c r="AS2583" s="76"/>
      <c r="AT2583" s="76"/>
      <c r="AU2583" s="76"/>
      <c r="AV2583" s="76"/>
      <c r="AW2583" s="76"/>
      <c r="AX2583" s="76">
        <f>+AW2583*600000</f>
        <v>0</v>
      </c>
      <c r="AY2583" s="76"/>
      <c r="AZ2583" s="76">
        <f>+AY2583*70000</f>
        <v>0</v>
      </c>
      <c r="BA2583" s="76"/>
      <c r="BB2583" s="76"/>
      <c r="BC2583" s="76"/>
      <c r="BD2583" s="76">
        <f>+BC2583*30000</f>
        <v>0</v>
      </c>
      <c r="BE2583" s="76"/>
      <c r="BF2583" s="76"/>
      <c r="BG2583" s="76"/>
      <c r="BH2583" s="76"/>
      <c r="BI2583" s="76"/>
      <c r="BJ2583" s="76"/>
      <c r="BK2583" s="76"/>
      <c r="BL2583" s="76">
        <f>+BK2583*31500</f>
        <v>0</v>
      </c>
      <c r="BM2583" s="76"/>
      <c r="BN2583" s="76"/>
      <c r="BO2583" s="76"/>
      <c r="BP2583" s="76"/>
      <c r="BQ2583" s="76"/>
      <c r="BR2583" s="76"/>
      <c r="BS2583" s="76"/>
      <c r="BT2583" s="76"/>
      <c r="BU2583" s="76"/>
      <c r="BV2583" s="76"/>
      <c r="BW2583" s="76"/>
      <c r="BX2583" s="76"/>
      <c r="BY2583" s="76"/>
      <c r="BZ2583" s="76"/>
      <c r="CA2583" s="76"/>
      <c r="CB2583" s="76"/>
      <c r="CC2583" s="76"/>
      <c r="CD2583" s="76"/>
      <c r="CE2583" s="76"/>
      <c r="CF2583" s="76">
        <f>+CE2583*28000</f>
        <v>0</v>
      </c>
      <c r="CG2583" s="76"/>
      <c r="CH2583" s="76">
        <f>+CG2583*22500</f>
        <v>0</v>
      </c>
      <c r="CI2583" s="76"/>
      <c r="CJ2583" s="76">
        <f>+CI2583*26000</f>
        <v>0</v>
      </c>
      <c r="CK2583" s="76"/>
      <c r="CL2583" s="76"/>
      <c r="CM2583" s="76"/>
      <c r="CN2583" s="76">
        <f>+CM2583*22000</f>
        <v>0</v>
      </c>
      <c r="CO2583" s="76"/>
      <c r="CP2583" s="76">
        <f>+CO2583*46000</f>
        <v>0</v>
      </c>
      <c r="CQ2583" s="76"/>
      <c r="CR2583" s="76">
        <f>+CQ2583*49000</f>
        <v>0</v>
      </c>
      <c r="CS2583" s="76"/>
      <c r="CT2583" s="76"/>
      <c r="CU2583" s="56">
        <f>AN2583+AP2583+AR2583+AT2583+AV2583+AX2583+AZ2583+BB2583+BD2583+BF2583+BH2583+BJ2583+BL2583+BN2583+BP2583+BR2583+BT2583+BV2583+BX2583+BZ2583+CB2583+CD2583+CF2583+CH2583+CJ2583+CL2583+CN2583+CP2583+CR2583+CT2583</f>
        <v>0</v>
      </c>
      <c r="CV2583" s="76"/>
      <c r="CW2583" s="76">
        <f>+CV2583*1100</f>
        <v>0</v>
      </c>
      <c r="CX2583" s="76"/>
      <c r="CY2583" s="76">
        <f>+CX2583*106250</f>
        <v>0</v>
      </c>
      <c r="CZ2583" s="76"/>
      <c r="DA2583" s="76">
        <f>+CZ2583*34500</f>
        <v>0</v>
      </c>
      <c r="DB2583" s="76"/>
      <c r="DC2583" s="76">
        <f>+DB2583*25000</f>
        <v>0</v>
      </c>
      <c r="DD2583" s="219"/>
      <c r="DE2583" s="219"/>
      <c r="DF2583" s="166"/>
      <c r="DG2583" s="116"/>
      <c r="DH2583" s="117"/>
      <c r="DI2583" s="24"/>
      <c r="DJ2583" s="24"/>
      <c r="DK2583" s="24"/>
      <c r="DL2583" s="24"/>
      <c r="DM2583" s="24"/>
      <c r="DN2583" s="24"/>
      <c r="DO2583" s="24"/>
      <c r="DP2583" s="24"/>
      <c r="DQ2583" s="24"/>
      <c r="DR2583" s="24"/>
      <c r="DS2583" s="24"/>
      <c r="DT2583" s="24"/>
      <c r="DU2583" s="24"/>
    </row>
    <row r="2584" spans="1:125" s="8" customFormat="1" ht="48" x14ac:dyDescent="0.2">
      <c r="A2584" s="353">
        <v>41487</v>
      </c>
      <c r="B2584" s="352" t="s">
        <v>2661</v>
      </c>
      <c r="C2584" s="354" t="s">
        <v>2169</v>
      </c>
      <c r="D2584" s="354" t="s">
        <v>2846</v>
      </c>
      <c r="E2584" s="353" t="str">
        <f>VLOOKUP(B2584&amp;C2584,Divipola!$C$2:$F$1138,4,FALSE)</f>
        <v>41001</v>
      </c>
      <c r="F2584" s="87"/>
      <c r="G2584" s="87"/>
      <c r="H2584" s="87"/>
      <c r="I2584" s="87"/>
      <c r="J2584" s="87"/>
      <c r="K2584" s="87"/>
      <c r="L2584" s="87"/>
      <c r="M2584" s="87"/>
      <c r="N2584" s="87"/>
      <c r="O2584" s="87"/>
      <c r="P2584" s="87"/>
      <c r="Q2584" s="87"/>
      <c r="R2584" s="87"/>
      <c r="S2584" s="87"/>
      <c r="T2584" s="87"/>
      <c r="U2584" s="88">
        <v>2</v>
      </c>
      <c r="V2584" s="89"/>
      <c r="W2584" s="96">
        <v>0</v>
      </c>
      <c r="X2584" s="71">
        <f>CU2584</f>
        <v>0</v>
      </c>
      <c r="Y2584" s="71">
        <f>CY2584</f>
        <v>0</v>
      </c>
      <c r="Z2584" s="71">
        <f>DA2584+DC2584+DE2584</f>
        <v>0</v>
      </c>
      <c r="AA2584" s="71">
        <f>CW2584</f>
        <v>0</v>
      </c>
      <c r="AB2584" s="71"/>
      <c r="AC2584" s="71">
        <v>0</v>
      </c>
      <c r="AD2584" s="71">
        <f>W2584+X2584+Y2584+Z2584+AA2584+AB2584+AC2584</f>
        <v>0</v>
      </c>
      <c r="AE2584" s="72">
        <v>0</v>
      </c>
      <c r="AF2584" s="5"/>
      <c r="AG2584" s="6"/>
      <c r="AH2584" s="27"/>
      <c r="AI2584" s="44"/>
      <c r="AJ2584" s="26"/>
      <c r="AK2584" s="5"/>
      <c r="AL2584" s="82" t="s">
        <v>5477</v>
      </c>
      <c r="AM2584" s="76"/>
      <c r="AN2584" s="76"/>
      <c r="AO2584" s="76"/>
      <c r="AP2584" s="76"/>
      <c r="AQ2584" s="76"/>
      <c r="AR2584" s="76"/>
      <c r="AS2584" s="76"/>
      <c r="AT2584" s="76"/>
      <c r="AU2584" s="76"/>
      <c r="AV2584" s="76"/>
      <c r="AW2584" s="76"/>
      <c r="AX2584" s="76">
        <f>+AW2584*600000</f>
        <v>0</v>
      </c>
      <c r="AY2584" s="76"/>
      <c r="AZ2584" s="76">
        <f>+AY2584*70000</f>
        <v>0</v>
      </c>
      <c r="BA2584" s="76"/>
      <c r="BB2584" s="76"/>
      <c r="BC2584" s="76"/>
      <c r="BD2584" s="76">
        <f>+BC2584*30000</f>
        <v>0</v>
      </c>
      <c r="BE2584" s="76"/>
      <c r="BF2584" s="76"/>
      <c r="BG2584" s="76"/>
      <c r="BH2584" s="76"/>
      <c r="BI2584" s="76"/>
      <c r="BJ2584" s="76"/>
      <c r="BK2584" s="76"/>
      <c r="BL2584" s="76">
        <f>+BK2584*31500</f>
        <v>0</v>
      </c>
      <c r="BM2584" s="76"/>
      <c r="BN2584" s="76"/>
      <c r="BO2584" s="76"/>
      <c r="BP2584" s="76"/>
      <c r="BQ2584" s="76"/>
      <c r="BR2584" s="76"/>
      <c r="BS2584" s="76"/>
      <c r="BT2584" s="76"/>
      <c r="BU2584" s="76"/>
      <c r="BV2584" s="76"/>
      <c r="BW2584" s="76"/>
      <c r="BX2584" s="76"/>
      <c r="BY2584" s="76"/>
      <c r="BZ2584" s="76"/>
      <c r="CA2584" s="76"/>
      <c r="CB2584" s="76"/>
      <c r="CC2584" s="76"/>
      <c r="CD2584" s="76"/>
      <c r="CE2584" s="76"/>
      <c r="CF2584" s="76">
        <f>+CE2584*28000</f>
        <v>0</v>
      </c>
      <c r="CG2584" s="76"/>
      <c r="CH2584" s="76">
        <f>+CG2584*22500</f>
        <v>0</v>
      </c>
      <c r="CI2584" s="76"/>
      <c r="CJ2584" s="76">
        <f>+CI2584*26000</f>
        <v>0</v>
      </c>
      <c r="CK2584" s="76"/>
      <c r="CL2584" s="76"/>
      <c r="CM2584" s="76"/>
      <c r="CN2584" s="76">
        <f>+CM2584*22000</f>
        <v>0</v>
      </c>
      <c r="CO2584" s="76"/>
      <c r="CP2584" s="76">
        <f>+CO2584*46000</f>
        <v>0</v>
      </c>
      <c r="CQ2584" s="76"/>
      <c r="CR2584" s="76">
        <f>+CQ2584*49000</f>
        <v>0</v>
      </c>
      <c r="CS2584" s="76"/>
      <c r="CT2584" s="76"/>
      <c r="CU2584" s="56">
        <f>AN2584+AP2584+AR2584+AT2584+AV2584+AX2584+AZ2584+BB2584+BD2584+BF2584+BH2584+BJ2584+BL2584+BN2584+BP2584+BR2584+BT2584+BV2584+BX2584+BZ2584+CB2584+CD2584+CF2584+CH2584+CJ2584+CL2584+CN2584+CP2584+CR2584+CT2584</f>
        <v>0</v>
      </c>
      <c r="CV2584" s="76"/>
      <c r="CW2584" s="76">
        <f>+CV2584*1100</f>
        <v>0</v>
      </c>
      <c r="CX2584" s="76"/>
      <c r="CY2584" s="76">
        <f>+CX2584*106250</f>
        <v>0</v>
      </c>
      <c r="CZ2584" s="76"/>
      <c r="DA2584" s="76">
        <f>+CZ2584*34500</f>
        <v>0</v>
      </c>
      <c r="DB2584" s="76"/>
      <c r="DC2584" s="76">
        <f>+DB2584*25000</f>
        <v>0</v>
      </c>
      <c r="DD2584" s="219"/>
      <c r="DE2584" s="219"/>
      <c r="DF2584" s="166"/>
      <c r="DG2584" s="116"/>
      <c r="DH2584" s="117"/>
      <c r="DI2584" s="24"/>
      <c r="DJ2584" s="24"/>
      <c r="DK2584" s="24"/>
      <c r="DL2584" s="24"/>
      <c r="DM2584" s="24"/>
      <c r="DN2584" s="24"/>
      <c r="DO2584" s="24"/>
      <c r="DP2584" s="24"/>
      <c r="DQ2584" s="24"/>
      <c r="DR2584" s="24"/>
      <c r="DS2584" s="24"/>
      <c r="DT2584" s="24"/>
      <c r="DU2584" s="24"/>
    </row>
    <row r="2585" spans="1:125" s="8" customFormat="1" ht="36" x14ac:dyDescent="0.2">
      <c r="A2585" s="77">
        <v>41487</v>
      </c>
      <c r="B2585" s="352" t="s">
        <v>2661</v>
      </c>
      <c r="C2585" s="354" t="s">
        <v>2</v>
      </c>
      <c r="D2585" s="354" t="s">
        <v>2846</v>
      </c>
      <c r="E2585" s="353" t="str">
        <f>VLOOKUP(B2585&amp;C2585,Divipola!$C$2:$F$1138,4,FALSE)</f>
        <v>41524</v>
      </c>
      <c r="F2585" s="87"/>
      <c r="G2585" s="87"/>
      <c r="H2585" s="87"/>
      <c r="I2585" s="87"/>
      <c r="J2585" s="87"/>
      <c r="K2585" s="87"/>
      <c r="L2585" s="87"/>
      <c r="M2585" s="87"/>
      <c r="N2585" s="87"/>
      <c r="O2585" s="87"/>
      <c r="P2585" s="87"/>
      <c r="Q2585" s="87"/>
      <c r="R2585" s="87"/>
      <c r="S2585" s="87"/>
      <c r="T2585" s="87"/>
      <c r="U2585" s="88">
        <v>1</v>
      </c>
      <c r="V2585" s="89"/>
      <c r="W2585" s="96">
        <v>0</v>
      </c>
      <c r="X2585" s="71">
        <f>CU2585</f>
        <v>0</v>
      </c>
      <c r="Y2585" s="71">
        <f>CY2585</f>
        <v>0</v>
      </c>
      <c r="Z2585" s="71">
        <f>DA2585+DC2585+DE2585</f>
        <v>0</v>
      </c>
      <c r="AA2585" s="71">
        <f>CW2585</f>
        <v>0</v>
      </c>
      <c r="AB2585" s="71"/>
      <c r="AC2585" s="71">
        <v>0</v>
      </c>
      <c r="AD2585" s="71">
        <f>W2585+X2585+Y2585+Z2585+AA2585+AB2585+AC2585</f>
        <v>0</v>
      </c>
      <c r="AE2585" s="72">
        <v>0</v>
      </c>
      <c r="AF2585" s="5"/>
      <c r="AG2585" s="6"/>
      <c r="AH2585" s="27"/>
      <c r="AI2585" s="44"/>
      <c r="AJ2585" s="26"/>
      <c r="AK2585" s="5"/>
      <c r="AL2585" s="82" t="s">
        <v>5467</v>
      </c>
      <c r="AM2585" s="76"/>
      <c r="AN2585" s="76"/>
      <c r="AO2585" s="76"/>
      <c r="AP2585" s="76"/>
      <c r="AQ2585" s="76"/>
      <c r="AR2585" s="76"/>
      <c r="AS2585" s="76"/>
      <c r="AT2585" s="76"/>
      <c r="AU2585" s="76"/>
      <c r="AV2585" s="76"/>
      <c r="AW2585" s="76"/>
      <c r="AX2585" s="76">
        <f>+AW2585*600000</f>
        <v>0</v>
      </c>
      <c r="AY2585" s="76"/>
      <c r="AZ2585" s="76">
        <f>+AY2585*70000</f>
        <v>0</v>
      </c>
      <c r="BA2585" s="76"/>
      <c r="BB2585" s="76"/>
      <c r="BC2585" s="76"/>
      <c r="BD2585" s="76">
        <f>+BC2585*30000</f>
        <v>0</v>
      </c>
      <c r="BE2585" s="76"/>
      <c r="BF2585" s="76"/>
      <c r="BG2585" s="76"/>
      <c r="BH2585" s="76"/>
      <c r="BI2585" s="76"/>
      <c r="BJ2585" s="76"/>
      <c r="BK2585" s="76"/>
      <c r="BL2585" s="76">
        <f>+BK2585*31500</f>
        <v>0</v>
      </c>
      <c r="BM2585" s="76"/>
      <c r="BN2585" s="76"/>
      <c r="BO2585" s="76"/>
      <c r="BP2585" s="76"/>
      <c r="BQ2585" s="76"/>
      <c r="BR2585" s="76"/>
      <c r="BS2585" s="76"/>
      <c r="BT2585" s="76"/>
      <c r="BU2585" s="76"/>
      <c r="BV2585" s="76"/>
      <c r="BW2585" s="76"/>
      <c r="BX2585" s="76"/>
      <c r="BY2585" s="76"/>
      <c r="BZ2585" s="76"/>
      <c r="CA2585" s="76"/>
      <c r="CB2585" s="76"/>
      <c r="CC2585" s="76"/>
      <c r="CD2585" s="76"/>
      <c r="CE2585" s="76"/>
      <c r="CF2585" s="76">
        <f>+CE2585*28000</f>
        <v>0</v>
      </c>
      <c r="CG2585" s="76"/>
      <c r="CH2585" s="76">
        <f>+CG2585*22500</f>
        <v>0</v>
      </c>
      <c r="CI2585" s="76"/>
      <c r="CJ2585" s="76">
        <f>+CI2585*26000</f>
        <v>0</v>
      </c>
      <c r="CK2585" s="76"/>
      <c r="CL2585" s="76"/>
      <c r="CM2585" s="76"/>
      <c r="CN2585" s="76">
        <f>+CM2585*22000</f>
        <v>0</v>
      </c>
      <c r="CO2585" s="76"/>
      <c r="CP2585" s="76">
        <f>+CO2585*46000</f>
        <v>0</v>
      </c>
      <c r="CQ2585" s="76"/>
      <c r="CR2585" s="76">
        <f>+CQ2585*49000</f>
        <v>0</v>
      </c>
      <c r="CS2585" s="76"/>
      <c r="CT2585" s="76"/>
      <c r="CU2585" s="56">
        <f>AN2585+AP2585+AR2585+AT2585+AV2585+AX2585+AZ2585+BB2585+BD2585+BF2585+BH2585+BJ2585+BL2585+BN2585+BP2585+BR2585+BT2585+BV2585+BX2585+BZ2585+CB2585+CD2585+CF2585+CH2585+CJ2585+CL2585+CN2585+CP2585+CR2585+CT2585</f>
        <v>0</v>
      </c>
      <c r="CV2585" s="76"/>
      <c r="CW2585" s="76">
        <f>+CV2585*1100</f>
        <v>0</v>
      </c>
      <c r="CX2585" s="76"/>
      <c r="CY2585" s="76">
        <f>+CX2585*106250</f>
        <v>0</v>
      </c>
      <c r="CZ2585" s="76"/>
      <c r="DA2585" s="76">
        <f>+CZ2585*34500</f>
        <v>0</v>
      </c>
      <c r="DB2585" s="76"/>
      <c r="DC2585" s="76">
        <f>+DB2585*25000</f>
        <v>0</v>
      </c>
      <c r="DD2585" s="219"/>
      <c r="DE2585" s="219"/>
      <c r="DF2585" s="166"/>
      <c r="DG2585" s="116"/>
      <c r="DH2585" s="117"/>
      <c r="DI2585" s="24"/>
      <c r="DJ2585" s="24"/>
      <c r="DK2585" s="24"/>
      <c r="DL2585" s="24"/>
      <c r="DM2585" s="24"/>
      <c r="DN2585" s="24"/>
      <c r="DO2585" s="24"/>
      <c r="DP2585" s="24"/>
      <c r="DQ2585" s="24"/>
      <c r="DR2585" s="24"/>
      <c r="DS2585" s="24"/>
      <c r="DT2585" s="24"/>
      <c r="DU2585" s="24"/>
    </row>
    <row r="2586" spans="1:125" s="8" customFormat="1" ht="24" x14ac:dyDescent="0.2">
      <c r="A2586" s="353">
        <v>41487</v>
      </c>
      <c r="B2586" s="225" t="s">
        <v>2661</v>
      </c>
      <c r="C2586" s="227" t="s">
        <v>366</v>
      </c>
      <c r="D2586" s="354" t="s">
        <v>2846</v>
      </c>
      <c r="E2586" s="353" t="str">
        <f>VLOOKUP(B2586&amp;C2586,Divipola!$C$2:$F$1138,4,FALSE)</f>
        <v>41548</v>
      </c>
      <c r="F2586" s="87"/>
      <c r="G2586" s="87"/>
      <c r="H2586" s="87"/>
      <c r="I2586" s="87"/>
      <c r="J2586" s="87"/>
      <c r="K2586" s="87"/>
      <c r="L2586" s="87"/>
      <c r="M2586" s="87"/>
      <c r="N2586" s="87"/>
      <c r="O2586" s="87"/>
      <c r="P2586" s="87"/>
      <c r="Q2586" s="87"/>
      <c r="R2586" s="87"/>
      <c r="S2586" s="87"/>
      <c r="T2586" s="87"/>
      <c r="U2586" s="88" t="s">
        <v>5413</v>
      </c>
      <c r="V2586" s="89"/>
      <c r="W2586" s="96">
        <v>0</v>
      </c>
      <c r="X2586" s="71">
        <f>CU2586</f>
        <v>0</v>
      </c>
      <c r="Y2586" s="71">
        <f>CY2586</f>
        <v>0</v>
      </c>
      <c r="Z2586" s="71">
        <f>DA2586+DC2586+DE2586</f>
        <v>0</v>
      </c>
      <c r="AA2586" s="71">
        <f>CW2586</f>
        <v>0</v>
      </c>
      <c r="AB2586" s="71"/>
      <c r="AC2586" s="71">
        <v>0</v>
      </c>
      <c r="AD2586" s="71">
        <f>W2586+X2586+Y2586+Z2586+AA2586+AB2586+AC2586</f>
        <v>0</v>
      </c>
      <c r="AE2586" s="72">
        <v>0</v>
      </c>
      <c r="AF2586" s="5"/>
      <c r="AG2586" s="6"/>
      <c r="AH2586" s="27"/>
      <c r="AI2586" s="44"/>
      <c r="AJ2586" s="26"/>
      <c r="AK2586" s="5"/>
      <c r="AL2586" s="82" t="s">
        <v>5466</v>
      </c>
      <c r="AM2586" s="76"/>
      <c r="AN2586" s="76"/>
      <c r="AO2586" s="76"/>
      <c r="AP2586" s="76"/>
      <c r="AQ2586" s="76"/>
      <c r="AR2586" s="76"/>
      <c r="AS2586" s="76"/>
      <c r="AT2586" s="76"/>
      <c r="AU2586" s="76"/>
      <c r="AV2586" s="76"/>
      <c r="AW2586" s="76"/>
      <c r="AX2586" s="76">
        <f>+AW2586*600000</f>
        <v>0</v>
      </c>
      <c r="AY2586" s="76"/>
      <c r="AZ2586" s="76">
        <f>+AY2586*70000</f>
        <v>0</v>
      </c>
      <c r="BA2586" s="76"/>
      <c r="BB2586" s="76"/>
      <c r="BC2586" s="76"/>
      <c r="BD2586" s="76">
        <f>+BC2586*30000</f>
        <v>0</v>
      </c>
      <c r="BE2586" s="76"/>
      <c r="BF2586" s="76"/>
      <c r="BG2586" s="76"/>
      <c r="BH2586" s="76"/>
      <c r="BI2586" s="76"/>
      <c r="BJ2586" s="76"/>
      <c r="BK2586" s="76"/>
      <c r="BL2586" s="76">
        <f>+BK2586*31500</f>
        <v>0</v>
      </c>
      <c r="BM2586" s="76"/>
      <c r="BN2586" s="76"/>
      <c r="BO2586" s="76"/>
      <c r="BP2586" s="76"/>
      <c r="BQ2586" s="76"/>
      <c r="BR2586" s="76"/>
      <c r="BS2586" s="76"/>
      <c r="BT2586" s="76"/>
      <c r="BU2586" s="76"/>
      <c r="BV2586" s="76"/>
      <c r="BW2586" s="76"/>
      <c r="BX2586" s="76"/>
      <c r="BY2586" s="76"/>
      <c r="BZ2586" s="76"/>
      <c r="CA2586" s="76"/>
      <c r="CB2586" s="76"/>
      <c r="CC2586" s="76"/>
      <c r="CD2586" s="76"/>
      <c r="CE2586" s="76"/>
      <c r="CF2586" s="76">
        <f>+CE2586*28000</f>
        <v>0</v>
      </c>
      <c r="CG2586" s="76"/>
      <c r="CH2586" s="76">
        <f>+CG2586*22500</f>
        <v>0</v>
      </c>
      <c r="CI2586" s="76"/>
      <c r="CJ2586" s="76">
        <f>+CI2586*26000</f>
        <v>0</v>
      </c>
      <c r="CK2586" s="76"/>
      <c r="CL2586" s="76"/>
      <c r="CM2586" s="76"/>
      <c r="CN2586" s="76">
        <f>+CM2586*22000</f>
        <v>0</v>
      </c>
      <c r="CO2586" s="76"/>
      <c r="CP2586" s="76">
        <f>+CO2586*46000</f>
        <v>0</v>
      </c>
      <c r="CQ2586" s="76"/>
      <c r="CR2586" s="76">
        <f>+CQ2586*49000</f>
        <v>0</v>
      </c>
      <c r="CS2586" s="76"/>
      <c r="CT2586" s="76"/>
      <c r="CU2586" s="56">
        <f>AN2586+AP2586+AR2586+AT2586+AV2586+AX2586+AZ2586+BB2586+BD2586+BF2586+BH2586+BJ2586+BL2586+BN2586+BP2586+BR2586+BT2586+BV2586+BX2586+BZ2586+CB2586+CD2586+CF2586+CH2586+CJ2586+CL2586+CN2586+CP2586+CR2586+CT2586</f>
        <v>0</v>
      </c>
      <c r="CV2586" s="76"/>
      <c r="CW2586" s="76">
        <f>+CV2586*1100</f>
        <v>0</v>
      </c>
      <c r="CX2586" s="76"/>
      <c r="CY2586" s="76">
        <f>+CX2586*106250</f>
        <v>0</v>
      </c>
      <c r="CZ2586" s="76"/>
      <c r="DA2586" s="76">
        <f>+CZ2586*34500</f>
        <v>0</v>
      </c>
      <c r="DB2586" s="76"/>
      <c r="DC2586" s="76">
        <f>+DB2586*25000</f>
        <v>0</v>
      </c>
      <c r="DD2586" s="219"/>
      <c r="DE2586" s="219"/>
      <c r="DF2586" s="166"/>
      <c r="DG2586" s="116"/>
      <c r="DH2586" s="117"/>
      <c r="DI2586" s="24"/>
      <c r="DJ2586" s="24"/>
      <c r="DK2586" s="24"/>
      <c r="DL2586" s="24"/>
      <c r="DM2586" s="24"/>
      <c r="DN2586" s="24"/>
      <c r="DO2586" s="24"/>
      <c r="DP2586" s="24"/>
      <c r="DQ2586" s="24"/>
      <c r="DR2586" s="24"/>
      <c r="DS2586" s="24"/>
      <c r="DT2586" s="24"/>
      <c r="DU2586" s="24"/>
    </row>
    <row r="2587" spans="1:125" s="8" customFormat="1" ht="60" x14ac:dyDescent="0.2">
      <c r="A2587" s="77">
        <v>41487</v>
      </c>
      <c r="B2587" s="225" t="s">
        <v>2906</v>
      </c>
      <c r="C2587" s="227" t="s">
        <v>429</v>
      </c>
      <c r="D2587" s="354" t="s">
        <v>2882</v>
      </c>
      <c r="E2587" s="353" t="str">
        <f>VLOOKUP(B2587&amp;C2587,Divipola!$C$2:$F$1138,4,FALSE)</f>
        <v>47189</v>
      </c>
      <c r="F2587" s="87"/>
      <c r="G2587" s="87"/>
      <c r="H2587" s="87"/>
      <c r="I2587" s="87">
        <v>340</v>
      </c>
      <c r="J2587" s="87">
        <v>68</v>
      </c>
      <c r="K2587" s="87">
        <v>3</v>
      </c>
      <c r="L2587" s="87">
        <v>65</v>
      </c>
      <c r="M2587" s="87"/>
      <c r="N2587" s="87"/>
      <c r="O2587" s="87"/>
      <c r="P2587" s="87"/>
      <c r="Q2587" s="87"/>
      <c r="R2587" s="87"/>
      <c r="S2587" s="87"/>
      <c r="T2587" s="87"/>
      <c r="U2587" s="88"/>
      <c r="V2587" s="89"/>
      <c r="W2587" s="96">
        <v>0</v>
      </c>
      <c r="X2587" s="71">
        <f>CU2587</f>
        <v>0</v>
      </c>
      <c r="Y2587" s="71">
        <f>CY2587</f>
        <v>0</v>
      </c>
      <c r="Z2587" s="71">
        <f>DA2587+DC2587+DE2587</f>
        <v>0</v>
      </c>
      <c r="AA2587" s="71">
        <f>CW2587</f>
        <v>0</v>
      </c>
      <c r="AB2587" s="71"/>
      <c r="AC2587" s="71">
        <v>0</v>
      </c>
      <c r="AD2587" s="71">
        <f>W2587+X2587+Y2587+Z2587+AA2587+AB2587+AC2587</f>
        <v>0</v>
      </c>
      <c r="AE2587" s="72">
        <v>0</v>
      </c>
      <c r="AF2587" s="5"/>
      <c r="AG2587" s="6"/>
      <c r="AH2587" s="27"/>
      <c r="AI2587" s="44"/>
      <c r="AJ2587" s="26"/>
      <c r="AK2587" s="5"/>
      <c r="AL2587" s="82" t="s">
        <v>5474</v>
      </c>
      <c r="AM2587" s="76"/>
      <c r="AN2587" s="76"/>
      <c r="AO2587" s="76"/>
      <c r="AP2587" s="76"/>
      <c r="AQ2587" s="76"/>
      <c r="AR2587" s="76"/>
      <c r="AS2587" s="76"/>
      <c r="AT2587" s="76"/>
      <c r="AU2587" s="76"/>
      <c r="AV2587" s="76"/>
      <c r="AW2587" s="76"/>
      <c r="AX2587" s="76">
        <f>+AW2587*600000</f>
        <v>0</v>
      </c>
      <c r="AY2587" s="76"/>
      <c r="AZ2587" s="76">
        <f>+AY2587*70000</f>
        <v>0</v>
      </c>
      <c r="BA2587" s="76"/>
      <c r="BB2587" s="76"/>
      <c r="BC2587" s="76"/>
      <c r="BD2587" s="76">
        <f>+BC2587*30000</f>
        <v>0</v>
      </c>
      <c r="BE2587" s="76"/>
      <c r="BF2587" s="76"/>
      <c r="BG2587" s="76"/>
      <c r="BH2587" s="76"/>
      <c r="BI2587" s="76"/>
      <c r="BJ2587" s="76"/>
      <c r="BK2587" s="76"/>
      <c r="BL2587" s="76">
        <f>+BK2587*31500</f>
        <v>0</v>
      </c>
      <c r="BM2587" s="76"/>
      <c r="BN2587" s="76"/>
      <c r="BO2587" s="76"/>
      <c r="BP2587" s="76"/>
      <c r="BQ2587" s="76"/>
      <c r="BR2587" s="76"/>
      <c r="BS2587" s="76"/>
      <c r="BT2587" s="76"/>
      <c r="BU2587" s="76"/>
      <c r="BV2587" s="76"/>
      <c r="BW2587" s="76"/>
      <c r="BX2587" s="76"/>
      <c r="BY2587" s="76"/>
      <c r="BZ2587" s="76"/>
      <c r="CA2587" s="76"/>
      <c r="CB2587" s="76"/>
      <c r="CC2587" s="76"/>
      <c r="CD2587" s="76"/>
      <c r="CE2587" s="76"/>
      <c r="CF2587" s="76">
        <f>+CE2587*28000</f>
        <v>0</v>
      </c>
      <c r="CG2587" s="76"/>
      <c r="CH2587" s="76">
        <f>+CG2587*22500</f>
        <v>0</v>
      </c>
      <c r="CI2587" s="76"/>
      <c r="CJ2587" s="76">
        <f>+CI2587*26000</f>
        <v>0</v>
      </c>
      <c r="CK2587" s="76"/>
      <c r="CL2587" s="76"/>
      <c r="CM2587" s="76"/>
      <c r="CN2587" s="76">
        <f>+CM2587*22000</f>
        <v>0</v>
      </c>
      <c r="CO2587" s="76"/>
      <c r="CP2587" s="76">
        <f>+CO2587*46000</f>
        <v>0</v>
      </c>
      <c r="CQ2587" s="76"/>
      <c r="CR2587" s="76">
        <f>+CQ2587*49000</f>
        <v>0</v>
      </c>
      <c r="CS2587" s="76"/>
      <c r="CT2587" s="76"/>
      <c r="CU2587" s="56">
        <f>AN2587+AP2587+AR2587+AT2587+AV2587+AX2587+AZ2587+BB2587+BD2587+BF2587+BH2587+BJ2587+BL2587+BN2587+BP2587+BR2587+BT2587+BV2587+BX2587+BZ2587+CB2587+CD2587+CF2587+CH2587+CJ2587+CL2587+CN2587+CP2587+CR2587+CT2587</f>
        <v>0</v>
      </c>
      <c r="CV2587" s="76"/>
      <c r="CW2587" s="76">
        <f>+CV2587*1100</f>
        <v>0</v>
      </c>
      <c r="CX2587" s="76"/>
      <c r="CY2587" s="76">
        <f>+CX2587*106250</f>
        <v>0</v>
      </c>
      <c r="CZ2587" s="76"/>
      <c r="DA2587" s="76">
        <f>+CZ2587*34500</f>
        <v>0</v>
      </c>
      <c r="DB2587" s="76"/>
      <c r="DC2587" s="76">
        <f>+DB2587*25000</f>
        <v>0</v>
      </c>
      <c r="DD2587" s="219"/>
      <c r="DE2587" s="219"/>
      <c r="DF2587" s="166"/>
      <c r="DG2587" s="116"/>
      <c r="DH2587" s="117"/>
      <c r="DI2587" s="24"/>
      <c r="DJ2587" s="24"/>
      <c r="DK2587" s="24"/>
      <c r="DL2587" s="24"/>
      <c r="DM2587" s="24"/>
      <c r="DN2587" s="24"/>
      <c r="DO2587" s="24"/>
      <c r="DP2587" s="24"/>
      <c r="DQ2587" s="24"/>
      <c r="DR2587" s="24"/>
      <c r="DS2587" s="24"/>
      <c r="DT2587" s="24"/>
      <c r="DU2587" s="24"/>
    </row>
    <row r="2588" spans="1:125" s="8" customFormat="1" ht="96" x14ac:dyDescent="0.2">
      <c r="A2588" s="226">
        <v>41487</v>
      </c>
      <c r="B2588" s="225" t="s">
        <v>3131</v>
      </c>
      <c r="C2588" s="227" t="s">
        <v>2747</v>
      </c>
      <c r="D2588" s="354" t="s">
        <v>3051</v>
      </c>
      <c r="E2588" s="353" t="str">
        <f>VLOOKUP(B2588&amp;C2588,Divipola!$C$2:$F$1138,4,FALSE)</f>
        <v>86001</v>
      </c>
      <c r="F2588" s="87"/>
      <c r="G2588" s="87"/>
      <c r="H2588" s="87"/>
      <c r="I2588" s="87">
        <v>60</v>
      </c>
      <c r="J2588" s="87">
        <v>11</v>
      </c>
      <c r="K2588" s="87"/>
      <c r="L2588" s="87"/>
      <c r="M2588" s="87"/>
      <c r="N2588" s="87"/>
      <c r="O2588" s="87"/>
      <c r="P2588" s="87"/>
      <c r="Q2588" s="87"/>
      <c r="R2588" s="87"/>
      <c r="S2588" s="87"/>
      <c r="T2588" s="87"/>
      <c r="U2588" s="88"/>
      <c r="V2588" s="89"/>
      <c r="W2588" s="96">
        <v>0</v>
      </c>
      <c r="X2588" s="71">
        <f>CU2588</f>
        <v>0</v>
      </c>
      <c r="Y2588" s="71">
        <f>CY2588</f>
        <v>0</v>
      </c>
      <c r="Z2588" s="71">
        <f>DA2588+DC2588+DE2588</f>
        <v>0</v>
      </c>
      <c r="AA2588" s="71">
        <f>CW2588</f>
        <v>0</v>
      </c>
      <c r="AB2588" s="71"/>
      <c r="AC2588" s="71">
        <v>0</v>
      </c>
      <c r="AD2588" s="71">
        <f>W2588+X2588+Y2588+Z2588+AA2588+AB2588+AC2588</f>
        <v>0</v>
      </c>
      <c r="AE2588" s="72">
        <v>0</v>
      </c>
      <c r="AF2588" s="5"/>
      <c r="AG2588" s="6"/>
      <c r="AH2588" s="27"/>
      <c r="AI2588" s="44"/>
      <c r="AJ2588" s="26"/>
      <c r="AK2588" s="5"/>
      <c r="AL2588" s="82" t="s">
        <v>5455</v>
      </c>
      <c r="AM2588" s="76"/>
      <c r="AN2588" s="76"/>
      <c r="AO2588" s="76"/>
      <c r="AP2588" s="76"/>
      <c r="AQ2588" s="76"/>
      <c r="AR2588" s="76"/>
      <c r="AS2588" s="76"/>
      <c r="AT2588" s="76"/>
      <c r="AU2588" s="76"/>
      <c r="AV2588" s="76"/>
      <c r="AW2588" s="76"/>
      <c r="AX2588" s="76">
        <f>+AW2588*600000</f>
        <v>0</v>
      </c>
      <c r="AY2588" s="76"/>
      <c r="AZ2588" s="76">
        <f>+AY2588*70000</f>
        <v>0</v>
      </c>
      <c r="BA2588" s="76"/>
      <c r="BB2588" s="76"/>
      <c r="BC2588" s="76"/>
      <c r="BD2588" s="76">
        <f>+BC2588*30000</f>
        <v>0</v>
      </c>
      <c r="BE2588" s="76"/>
      <c r="BF2588" s="76"/>
      <c r="BG2588" s="76"/>
      <c r="BH2588" s="76"/>
      <c r="BI2588" s="76"/>
      <c r="BJ2588" s="76"/>
      <c r="BK2588" s="76"/>
      <c r="BL2588" s="76">
        <f>+BK2588*31500</f>
        <v>0</v>
      </c>
      <c r="BM2588" s="76"/>
      <c r="BN2588" s="76"/>
      <c r="BO2588" s="76"/>
      <c r="BP2588" s="76"/>
      <c r="BQ2588" s="76"/>
      <c r="BR2588" s="76"/>
      <c r="BS2588" s="76"/>
      <c r="BT2588" s="76"/>
      <c r="BU2588" s="76"/>
      <c r="BV2588" s="76"/>
      <c r="BW2588" s="76"/>
      <c r="BX2588" s="76"/>
      <c r="BY2588" s="76"/>
      <c r="BZ2588" s="76"/>
      <c r="CA2588" s="76"/>
      <c r="CB2588" s="76"/>
      <c r="CC2588" s="76"/>
      <c r="CD2588" s="76"/>
      <c r="CE2588" s="76"/>
      <c r="CF2588" s="76">
        <f>+CE2588*28000</f>
        <v>0</v>
      </c>
      <c r="CG2588" s="76"/>
      <c r="CH2588" s="76">
        <f>+CG2588*22500</f>
        <v>0</v>
      </c>
      <c r="CI2588" s="76"/>
      <c r="CJ2588" s="76">
        <f>+CI2588*26000</f>
        <v>0</v>
      </c>
      <c r="CK2588" s="76"/>
      <c r="CL2588" s="76"/>
      <c r="CM2588" s="76"/>
      <c r="CN2588" s="76">
        <f>+CM2588*22000</f>
        <v>0</v>
      </c>
      <c r="CO2588" s="76"/>
      <c r="CP2588" s="76">
        <f>+CO2588*46000</f>
        <v>0</v>
      </c>
      <c r="CQ2588" s="76"/>
      <c r="CR2588" s="76">
        <f>+CQ2588*49000</f>
        <v>0</v>
      </c>
      <c r="CS2588" s="76"/>
      <c r="CT2588" s="76"/>
      <c r="CU2588" s="56">
        <f>AN2588+AP2588+AR2588+AT2588+AV2588+AX2588+AZ2588+BB2588+BD2588+BF2588+BH2588+BJ2588+BL2588+BN2588+BP2588+BR2588+BT2588+BV2588+BX2588+BZ2588+CB2588+CD2588+CF2588+CH2588+CJ2588+CL2588+CN2588+CP2588+CR2588+CT2588</f>
        <v>0</v>
      </c>
      <c r="CV2588" s="76"/>
      <c r="CW2588" s="76">
        <f>+CV2588*1100</f>
        <v>0</v>
      </c>
      <c r="CX2588" s="76"/>
      <c r="CY2588" s="76">
        <f>+CX2588*106250</f>
        <v>0</v>
      </c>
      <c r="CZ2588" s="76"/>
      <c r="DA2588" s="76">
        <f>+CZ2588*34500</f>
        <v>0</v>
      </c>
      <c r="DB2588" s="76"/>
      <c r="DC2588" s="76">
        <f>+DB2588*25000</f>
        <v>0</v>
      </c>
      <c r="DD2588" s="219"/>
      <c r="DE2588" s="219"/>
      <c r="DF2588" s="166"/>
      <c r="DG2588" s="116"/>
      <c r="DH2588" s="117"/>
      <c r="DI2588" s="24"/>
      <c r="DJ2588" s="24"/>
      <c r="DK2588" s="24"/>
      <c r="DL2588" s="24"/>
      <c r="DM2588" s="24"/>
      <c r="DN2588" s="24"/>
      <c r="DO2588" s="24"/>
      <c r="DP2588" s="24"/>
      <c r="DQ2588" s="24"/>
      <c r="DR2588" s="24"/>
      <c r="DS2588" s="24"/>
      <c r="DT2588" s="24"/>
      <c r="DU2588" s="24"/>
    </row>
    <row r="2589" spans="1:125" s="8" customFormat="1" ht="96" x14ac:dyDescent="0.2">
      <c r="A2589" s="226">
        <v>41487</v>
      </c>
      <c r="B2589" s="225" t="s">
        <v>3131</v>
      </c>
      <c r="C2589" s="227" t="s">
        <v>2281</v>
      </c>
      <c r="D2589" s="227" t="s">
        <v>3051</v>
      </c>
      <c r="E2589" s="353" t="str">
        <f>VLOOKUP(B2589&amp;C2589,Divipola!$C$2:$F$1138,4,FALSE)</f>
        <v>86885</v>
      </c>
      <c r="F2589" s="87"/>
      <c r="G2589" s="87"/>
      <c r="H2589" s="87"/>
      <c r="I2589" s="87">
        <v>50</v>
      </c>
      <c r="J2589" s="87">
        <v>13</v>
      </c>
      <c r="K2589" s="87"/>
      <c r="L2589" s="87"/>
      <c r="M2589" s="87"/>
      <c r="N2589" s="87"/>
      <c r="O2589" s="87"/>
      <c r="P2589" s="87"/>
      <c r="Q2589" s="87"/>
      <c r="R2589" s="87"/>
      <c r="S2589" s="87"/>
      <c r="T2589" s="87"/>
      <c r="U2589" s="88"/>
      <c r="V2589" s="89"/>
      <c r="W2589" s="96">
        <v>0</v>
      </c>
      <c r="X2589" s="71">
        <f>CU2589</f>
        <v>0</v>
      </c>
      <c r="Y2589" s="71">
        <f>CY2589</f>
        <v>0</v>
      </c>
      <c r="Z2589" s="71">
        <f>DA2589+DC2589+DE2589</f>
        <v>0</v>
      </c>
      <c r="AA2589" s="71">
        <f>CW2589</f>
        <v>0</v>
      </c>
      <c r="AB2589" s="71"/>
      <c r="AC2589" s="71">
        <v>0</v>
      </c>
      <c r="AD2589" s="71">
        <f>W2589+X2589+Y2589+Z2589+AA2589+AB2589+AC2589</f>
        <v>0</v>
      </c>
      <c r="AE2589" s="72">
        <v>0</v>
      </c>
      <c r="AF2589" s="5"/>
      <c r="AG2589" s="6"/>
      <c r="AH2589" s="27"/>
      <c r="AI2589" s="44"/>
      <c r="AJ2589" s="26"/>
      <c r="AK2589" s="5"/>
      <c r="AL2589" s="82" t="s">
        <v>5454</v>
      </c>
      <c r="AM2589" s="76"/>
      <c r="AN2589" s="76"/>
      <c r="AO2589" s="76"/>
      <c r="AP2589" s="76"/>
      <c r="AQ2589" s="76"/>
      <c r="AR2589" s="76"/>
      <c r="AS2589" s="76"/>
      <c r="AT2589" s="76"/>
      <c r="AU2589" s="76"/>
      <c r="AV2589" s="76"/>
      <c r="AW2589" s="76"/>
      <c r="AX2589" s="76">
        <f>+AW2589*600000</f>
        <v>0</v>
      </c>
      <c r="AY2589" s="76"/>
      <c r="AZ2589" s="76">
        <f>+AY2589*70000</f>
        <v>0</v>
      </c>
      <c r="BA2589" s="76"/>
      <c r="BB2589" s="76"/>
      <c r="BC2589" s="76"/>
      <c r="BD2589" s="76">
        <f>+BC2589*30000</f>
        <v>0</v>
      </c>
      <c r="BE2589" s="76"/>
      <c r="BF2589" s="76"/>
      <c r="BG2589" s="76"/>
      <c r="BH2589" s="76"/>
      <c r="BI2589" s="76"/>
      <c r="BJ2589" s="76"/>
      <c r="BK2589" s="76"/>
      <c r="BL2589" s="76">
        <f>+BK2589*31500</f>
        <v>0</v>
      </c>
      <c r="BM2589" s="76"/>
      <c r="BN2589" s="76"/>
      <c r="BO2589" s="76"/>
      <c r="BP2589" s="76"/>
      <c r="BQ2589" s="76"/>
      <c r="BR2589" s="76"/>
      <c r="BS2589" s="76"/>
      <c r="BT2589" s="76"/>
      <c r="BU2589" s="76"/>
      <c r="BV2589" s="76"/>
      <c r="BW2589" s="76"/>
      <c r="BX2589" s="76"/>
      <c r="BY2589" s="76"/>
      <c r="BZ2589" s="76"/>
      <c r="CA2589" s="76"/>
      <c r="CB2589" s="76"/>
      <c r="CC2589" s="76"/>
      <c r="CD2589" s="76"/>
      <c r="CE2589" s="76"/>
      <c r="CF2589" s="76">
        <f>+CE2589*28000</f>
        <v>0</v>
      </c>
      <c r="CG2589" s="76"/>
      <c r="CH2589" s="76">
        <f>+CG2589*22500</f>
        <v>0</v>
      </c>
      <c r="CI2589" s="76"/>
      <c r="CJ2589" s="76">
        <f>+CI2589*26000</f>
        <v>0</v>
      </c>
      <c r="CK2589" s="76"/>
      <c r="CL2589" s="76"/>
      <c r="CM2589" s="76"/>
      <c r="CN2589" s="76">
        <f>+CM2589*22000</f>
        <v>0</v>
      </c>
      <c r="CO2589" s="76"/>
      <c r="CP2589" s="76">
        <f>+CO2589*46000</f>
        <v>0</v>
      </c>
      <c r="CQ2589" s="76"/>
      <c r="CR2589" s="76">
        <f>+CQ2589*49000</f>
        <v>0</v>
      </c>
      <c r="CS2589" s="76"/>
      <c r="CT2589" s="76"/>
      <c r="CU2589" s="56">
        <f>AN2589+AP2589+AR2589+AT2589+AV2589+AX2589+AZ2589+BB2589+BD2589+BF2589+BH2589+BJ2589+BL2589+BN2589+BP2589+BR2589+BT2589+BV2589+BX2589+BZ2589+CB2589+CD2589+CF2589+CH2589+CJ2589+CL2589+CN2589+CP2589+CR2589+CT2589</f>
        <v>0</v>
      </c>
      <c r="CV2589" s="76"/>
      <c r="CW2589" s="76">
        <f>+CV2589*1100</f>
        <v>0</v>
      </c>
      <c r="CX2589" s="76"/>
      <c r="CY2589" s="76">
        <f>+CX2589*106250</f>
        <v>0</v>
      </c>
      <c r="CZ2589" s="76"/>
      <c r="DA2589" s="76">
        <f>+CZ2589*34500</f>
        <v>0</v>
      </c>
      <c r="DB2589" s="76"/>
      <c r="DC2589" s="76">
        <f>+DB2589*25000</f>
        <v>0</v>
      </c>
      <c r="DD2589" s="219"/>
      <c r="DE2589" s="219"/>
      <c r="DF2589" s="166"/>
      <c r="DG2589" s="116"/>
      <c r="DH2589" s="117"/>
      <c r="DI2589" s="24"/>
      <c r="DJ2589" s="24"/>
      <c r="DK2589" s="24"/>
      <c r="DL2589" s="24"/>
      <c r="DM2589" s="24"/>
      <c r="DN2589" s="24"/>
      <c r="DO2589" s="24"/>
      <c r="DP2589" s="24"/>
      <c r="DQ2589" s="24"/>
      <c r="DR2589" s="24"/>
      <c r="DS2589" s="24"/>
      <c r="DT2589" s="24"/>
      <c r="DU2589" s="24"/>
    </row>
    <row r="2590" spans="1:125" s="8" customFormat="1" ht="36" x14ac:dyDescent="0.2">
      <c r="A2590" s="353">
        <v>41487</v>
      </c>
      <c r="B2590" s="352" t="s">
        <v>2848</v>
      </c>
      <c r="C2590" s="354" t="s">
        <v>2055</v>
      </c>
      <c r="D2590" s="354" t="s">
        <v>2846</v>
      </c>
      <c r="E2590" s="353" t="str">
        <f>VLOOKUP(B2590&amp;C2590,Divipola!$C$2:$F$1138,4,FALSE)</f>
        <v>73275</v>
      </c>
      <c r="F2590" s="87"/>
      <c r="G2590" s="87"/>
      <c r="H2590" s="87"/>
      <c r="I2590" s="87"/>
      <c r="J2590" s="87"/>
      <c r="K2590" s="87"/>
      <c r="L2590" s="87"/>
      <c r="M2590" s="87"/>
      <c r="N2590" s="87"/>
      <c r="O2590" s="87"/>
      <c r="P2590" s="87"/>
      <c r="Q2590" s="87"/>
      <c r="R2590" s="87"/>
      <c r="S2590" s="87"/>
      <c r="T2590" s="87"/>
      <c r="U2590" s="88">
        <v>1</v>
      </c>
      <c r="V2590" s="89"/>
      <c r="W2590" s="96">
        <v>0</v>
      </c>
      <c r="X2590" s="71">
        <f>CU2590</f>
        <v>0</v>
      </c>
      <c r="Y2590" s="71">
        <f>CY2590</f>
        <v>0</v>
      </c>
      <c r="Z2590" s="71">
        <f>DA2590+DC2590+DE2590</f>
        <v>0</v>
      </c>
      <c r="AA2590" s="71">
        <f>CW2590</f>
        <v>0</v>
      </c>
      <c r="AB2590" s="71"/>
      <c r="AC2590" s="71">
        <v>0</v>
      </c>
      <c r="AD2590" s="71">
        <f>W2590+X2590+Y2590+Z2590+AA2590+AB2590+AC2590</f>
        <v>0</v>
      </c>
      <c r="AE2590" s="72">
        <v>0</v>
      </c>
      <c r="AF2590" s="5"/>
      <c r="AG2590" s="6"/>
      <c r="AH2590" s="27"/>
      <c r="AI2590" s="44"/>
      <c r="AJ2590" s="26"/>
      <c r="AK2590" s="5"/>
      <c r="AL2590" s="82" t="s">
        <v>5463</v>
      </c>
      <c r="AM2590" s="76"/>
      <c r="AN2590" s="76"/>
      <c r="AO2590" s="76"/>
      <c r="AP2590" s="76"/>
      <c r="AQ2590" s="76"/>
      <c r="AR2590" s="76"/>
      <c r="AS2590" s="76"/>
      <c r="AT2590" s="76"/>
      <c r="AU2590" s="76"/>
      <c r="AV2590" s="76"/>
      <c r="AW2590" s="76"/>
      <c r="AX2590" s="76">
        <f>+AW2590*600000</f>
        <v>0</v>
      </c>
      <c r="AY2590" s="76"/>
      <c r="AZ2590" s="76">
        <f>+AY2590*70000</f>
        <v>0</v>
      </c>
      <c r="BA2590" s="76"/>
      <c r="BB2590" s="76"/>
      <c r="BC2590" s="76"/>
      <c r="BD2590" s="76">
        <f>+BC2590*30000</f>
        <v>0</v>
      </c>
      <c r="BE2590" s="76"/>
      <c r="BF2590" s="76"/>
      <c r="BG2590" s="76"/>
      <c r="BH2590" s="76"/>
      <c r="BI2590" s="76"/>
      <c r="BJ2590" s="76"/>
      <c r="BK2590" s="76"/>
      <c r="BL2590" s="76">
        <f>+BK2590*31500</f>
        <v>0</v>
      </c>
      <c r="BM2590" s="76"/>
      <c r="BN2590" s="76"/>
      <c r="BO2590" s="76"/>
      <c r="BP2590" s="76"/>
      <c r="BQ2590" s="76"/>
      <c r="BR2590" s="76"/>
      <c r="BS2590" s="76"/>
      <c r="BT2590" s="76"/>
      <c r="BU2590" s="76"/>
      <c r="BV2590" s="76"/>
      <c r="BW2590" s="76"/>
      <c r="BX2590" s="76"/>
      <c r="BY2590" s="76"/>
      <c r="BZ2590" s="76"/>
      <c r="CA2590" s="76"/>
      <c r="CB2590" s="76"/>
      <c r="CC2590" s="76"/>
      <c r="CD2590" s="76"/>
      <c r="CE2590" s="76"/>
      <c r="CF2590" s="76">
        <f>+CE2590*28000</f>
        <v>0</v>
      </c>
      <c r="CG2590" s="76"/>
      <c r="CH2590" s="76">
        <f>+CG2590*22500</f>
        <v>0</v>
      </c>
      <c r="CI2590" s="76"/>
      <c r="CJ2590" s="76">
        <f>+CI2590*26000</f>
        <v>0</v>
      </c>
      <c r="CK2590" s="76"/>
      <c r="CL2590" s="76"/>
      <c r="CM2590" s="76"/>
      <c r="CN2590" s="76">
        <f>+CM2590*22000</f>
        <v>0</v>
      </c>
      <c r="CO2590" s="76"/>
      <c r="CP2590" s="76">
        <f>+CO2590*46000</f>
        <v>0</v>
      </c>
      <c r="CQ2590" s="76"/>
      <c r="CR2590" s="76">
        <f>+CQ2590*49000</f>
        <v>0</v>
      </c>
      <c r="CS2590" s="76"/>
      <c r="CT2590" s="76"/>
      <c r="CU2590" s="56">
        <f>AN2590+AP2590+AR2590+AT2590+AV2590+AX2590+AZ2590+BB2590+BD2590+BF2590+BH2590+BJ2590+BL2590+BN2590+BP2590+BR2590+BT2590+BV2590+BX2590+BZ2590+CB2590+CD2590+CF2590+CH2590+CJ2590+CL2590+CN2590+CP2590+CR2590+CT2590</f>
        <v>0</v>
      </c>
      <c r="CV2590" s="76"/>
      <c r="CW2590" s="76">
        <f>+CV2590*1100</f>
        <v>0</v>
      </c>
      <c r="CX2590" s="76"/>
      <c r="CY2590" s="76">
        <f>+CX2590*106250</f>
        <v>0</v>
      </c>
      <c r="CZ2590" s="76"/>
      <c r="DA2590" s="76">
        <f>+CZ2590*34500</f>
        <v>0</v>
      </c>
      <c r="DB2590" s="76"/>
      <c r="DC2590" s="76">
        <f>+DB2590*25000</f>
        <v>0</v>
      </c>
      <c r="DD2590" s="219"/>
      <c r="DE2590" s="219"/>
      <c r="DF2590" s="166"/>
      <c r="DG2590" s="116"/>
      <c r="DH2590" s="117"/>
      <c r="DI2590" s="24"/>
      <c r="DJ2590" s="24"/>
      <c r="DK2590" s="24"/>
      <c r="DL2590" s="24"/>
      <c r="DM2590" s="24"/>
      <c r="DN2590" s="24"/>
      <c r="DO2590" s="24"/>
      <c r="DP2590" s="24"/>
      <c r="DQ2590" s="24"/>
      <c r="DR2590" s="24"/>
      <c r="DS2590" s="24"/>
      <c r="DT2590" s="24"/>
      <c r="DU2590" s="24"/>
    </row>
    <row r="2591" spans="1:125" s="8" customFormat="1" ht="36" x14ac:dyDescent="0.2">
      <c r="A2591" s="77">
        <v>41487</v>
      </c>
      <c r="B2591" s="78" t="s">
        <v>2848</v>
      </c>
      <c r="C2591" s="75" t="s">
        <v>2191</v>
      </c>
      <c r="D2591" s="75" t="s">
        <v>2846</v>
      </c>
      <c r="E2591" s="353" t="str">
        <f>VLOOKUP(B2591&amp;C2591,Divipola!$C$2:$F$1138,4,FALSE)</f>
        <v>73319</v>
      </c>
      <c r="F2591" s="87"/>
      <c r="G2591" s="87"/>
      <c r="H2591" s="87"/>
      <c r="I2591" s="87"/>
      <c r="J2591" s="87"/>
      <c r="K2591" s="87"/>
      <c r="L2591" s="87"/>
      <c r="M2591" s="87"/>
      <c r="N2591" s="87"/>
      <c r="O2591" s="87"/>
      <c r="P2591" s="87"/>
      <c r="Q2591" s="87"/>
      <c r="R2591" s="87"/>
      <c r="S2591" s="87"/>
      <c r="T2591" s="87"/>
      <c r="U2591" s="88">
        <v>1</v>
      </c>
      <c r="V2591" s="89"/>
      <c r="W2591" s="96">
        <v>0</v>
      </c>
      <c r="X2591" s="71">
        <f>CU2591</f>
        <v>0</v>
      </c>
      <c r="Y2591" s="71">
        <f>CY2591</f>
        <v>0</v>
      </c>
      <c r="Z2591" s="71">
        <f>DA2591+DC2591+DE2591</f>
        <v>0</v>
      </c>
      <c r="AA2591" s="71">
        <f>CW2591</f>
        <v>0</v>
      </c>
      <c r="AB2591" s="71"/>
      <c r="AC2591" s="71">
        <v>0</v>
      </c>
      <c r="AD2591" s="71">
        <f>W2591+X2591+Y2591+Z2591+AA2591+AB2591+AC2591</f>
        <v>0</v>
      </c>
      <c r="AE2591" s="72">
        <v>0</v>
      </c>
      <c r="AF2591" s="5"/>
      <c r="AG2591" s="6"/>
      <c r="AH2591" s="27"/>
      <c r="AI2591" s="44"/>
      <c r="AJ2591" s="26"/>
      <c r="AK2591" s="5"/>
      <c r="AL2591" s="82" t="s">
        <v>5476</v>
      </c>
      <c r="AM2591" s="76"/>
      <c r="AN2591" s="76"/>
      <c r="AO2591" s="76"/>
      <c r="AP2591" s="76"/>
      <c r="AQ2591" s="76"/>
      <c r="AR2591" s="76"/>
      <c r="AS2591" s="76"/>
      <c r="AT2591" s="76"/>
      <c r="AU2591" s="76"/>
      <c r="AV2591" s="76"/>
      <c r="AW2591" s="76"/>
      <c r="AX2591" s="76">
        <f>+AW2591*600000</f>
        <v>0</v>
      </c>
      <c r="AY2591" s="76"/>
      <c r="AZ2591" s="76">
        <f>+AY2591*70000</f>
        <v>0</v>
      </c>
      <c r="BA2591" s="76"/>
      <c r="BB2591" s="76"/>
      <c r="BC2591" s="76"/>
      <c r="BD2591" s="76">
        <f>+BC2591*30000</f>
        <v>0</v>
      </c>
      <c r="BE2591" s="76"/>
      <c r="BF2591" s="76"/>
      <c r="BG2591" s="76"/>
      <c r="BH2591" s="76"/>
      <c r="BI2591" s="76"/>
      <c r="BJ2591" s="76"/>
      <c r="BK2591" s="76"/>
      <c r="BL2591" s="76">
        <f>+BK2591*31500</f>
        <v>0</v>
      </c>
      <c r="BM2591" s="76"/>
      <c r="BN2591" s="76"/>
      <c r="BO2591" s="76"/>
      <c r="BP2591" s="76"/>
      <c r="BQ2591" s="76"/>
      <c r="BR2591" s="76"/>
      <c r="BS2591" s="76"/>
      <c r="BT2591" s="76"/>
      <c r="BU2591" s="76"/>
      <c r="BV2591" s="76"/>
      <c r="BW2591" s="76"/>
      <c r="BX2591" s="76"/>
      <c r="BY2591" s="76"/>
      <c r="BZ2591" s="76"/>
      <c r="CA2591" s="76"/>
      <c r="CB2591" s="76"/>
      <c r="CC2591" s="76"/>
      <c r="CD2591" s="76"/>
      <c r="CE2591" s="76"/>
      <c r="CF2591" s="76">
        <f>+CE2591*28000</f>
        <v>0</v>
      </c>
      <c r="CG2591" s="76"/>
      <c r="CH2591" s="76">
        <f>+CG2591*22500</f>
        <v>0</v>
      </c>
      <c r="CI2591" s="76"/>
      <c r="CJ2591" s="76">
        <f>+CI2591*26000</f>
        <v>0</v>
      </c>
      <c r="CK2591" s="76"/>
      <c r="CL2591" s="76"/>
      <c r="CM2591" s="76"/>
      <c r="CN2591" s="76">
        <f>+CM2591*22000</f>
        <v>0</v>
      </c>
      <c r="CO2591" s="76"/>
      <c r="CP2591" s="76">
        <f>+CO2591*46000</f>
        <v>0</v>
      </c>
      <c r="CQ2591" s="76"/>
      <c r="CR2591" s="76">
        <f>+CQ2591*49000</f>
        <v>0</v>
      </c>
      <c r="CS2591" s="76"/>
      <c r="CT2591" s="76"/>
      <c r="CU2591" s="56">
        <f>AN2591+AP2591+AR2591+AT2591+AV2591+AX2591+AZ2591+BB2591+BD2591+BF2591+BH2591+BJ2591+BL2591+BN2591+BP2591+BR2591+BT2591+BV2591+BX2591+BZ2591+CB2591+CD2591+CF2591+CH2591+CJ2591+CL2591+CN2591+CP2591+CR2591+CT2591</f>
        <v>0</v>
      </c>
      <c r="CV2591" s="76"/>
      <c r="CW2591" s="76">
        <f>+CV2591*1100</f>
        <v>0</v>
      </c>
      <c r="CX2591" s="76"/>
      <c r="CY2591" s="76">
        <f>+CX2591*106250</f>
        <v>0</v>
      </c>
      <c r="CZ2591" s="76"/>
      <c r="DA2591" s="76">
        <f>+CZ2591*34500</f>
        <v>0</v>
      </c>
      <c r="DB2591" s="76"/>
      <c r="DC2591" s="76">
        <f>+DB2591*25000</f>
        <v>0</v>
      </c>
      <c r="DD2591" s="219"/>
      <c r="DE2591" s="219"/>
      <c r="DF2591" s="166"/>
      <c r="DG2591" s="116"/>
      <c r="DH2591" s="117"/>
      <c r="DI2591" s="24"/>
      <c r="DJ2591" s="24"/>
      <c r="DK2591" s="24"/>
      <c r="DL2591" s="24"/>
      <c r="DM2591" s="24"/>
      <c r="DN2591" s="24"/>
      <c r="DO2591" s="24"/>
      <c r="DP2591" s="24"/>
      <c r="DQ2591" s="24"/>
      <c r="DR2591" s="24"/>
      <c r="DS2591" s="24"/>
      <c r="DT2591" s="24"/>
      <c r="DU2591" s="24"/>
    </row>
    <row r="2592" spans="1:125" s="8" customFormat="1" ht="39.75" customHeight="1" x14ac:dyDescent="0.2">
      <c r="A2592" s="77">
        <v>41488</v>
      </c>
      <c r="B2592" s="78" t="s">
        <v>2854</v>
      </c>
      <c r="C2592" s="75" t="s">
        <v>514</v>
      </c>
      <c r="D2592" s="75" t="s">
        <v>2882</v>
      </c>
      <c r="E2592" s="353" t="str">
        <f>VLOOKUP(B2592&amp;C2592,Divipola!$C$2:$F$1138,4,FALSE)</f>
        <v>19821</v>
      </c>
      <c r="F2592" s="87"/>
      <c r="G2592" s="87"/>
      <c r="H2592" s="87"/>
      <c r="I2592" s="87"/>
      <c r="J2592" s="87"/>
      <c r="K2592" s="87"/>
      <c r="L2592" s="87">
        <v>3</v>
      </c>
      <c r="M2592" s="87"/>
      <c r="N2592" s="87"/>
      <c r="O2592" s="87"/>
      <c r="P2592" s="87"/>
      <c r="Q2592" s="87"/>
      <c r="R2592" s="87"/>
      <c r="S2592" s="87">
        <v>1</v>
      </c>
      <c r="T2592" s="87"/>
      <c r="U2592" s="88"/>
      <c r="V2592" s="89"/>
      <c r="W2592" s="96">
        <v>0</v>
      </c>
      <c r="X2592" s="71">
        <f>CU2592</f>
        <v>0</v>
      </c>
      <c r="Y2592" s="71">
        <f>CY2592</f>
        <v>0</v>
      </c>
      <c r="Z2592" s="71">
        <f>DA2592+DC2592+DE2592</f>
        <v>0</v>
      </c>
      <c r="AA2592" s="71">
        <f>CW2592</f>
        <v>0</v>
      </c>
      <c r="AB2592" s="71"/>
      <c r="AC2592" s="71">
        <v>0</v>
      </c>
      <c r="AD2592" s="71">
        <f>W2592+X2592+Y2592+Z2592+AA2592+AB2592+AC2592</f>
        <v>0</v>
      </c>
      <c r="AE2592" s="72">
        <v>0</v>
      </c>
      <c r="AF2592" s="5"/>
      <c r="AG2592" s="6"/>
      <c r="AH2592" s="27"/>
      <c r="AI2592" s="44"/>
      <c r="AJ2592" s="26"/>
      <c r="AK2592" s="5"/>
      <c r="AL2592" s="82" t="s">
        <v>5485</v>
      </c>
      <c r="AM2592" s="76"/>
      <c r="AN2592" s="76"/>
      <c r="AO2592" s="76"/>
      <c r="AP2592" s="76"/>
      <c r="AQ2592" s="76"/>
      <c r="AR2592" s="76"/>
      <c r="AS2592" s="76"/>
      <c r="AT2592" s="76"/>
      <c r="AU2592" s="76"/>
      <c r="AV2592" s="76"/>
      <c r="AW2592" s="76"/>
      <c r="AX2592" s="76">
        <f>+AW2592*600000</f>
        <v>0</v>
      </c>
      <c r="AY2592" s="76"/>
      <c r="AZ2592" s="76">
        <f>+AY2592*70000</f>
        <v>0</v>
      </c>
      <c r="BA2592" s="76"/>
      <c r="BB2592" s="76"/>
      <c r="BC2592" s="76"/>
      <c r="BD2592" s="76">
        <f>+BC2592*30000</f>
        <v>0</v>
      </c>
      <c r="BE2592" s="76"/>
      <c r="BF2592" s="76"/>
      <c r="BG2592" s="76"/>
      <c r="BH2592" s="76"/>
      <c r="BI2592" s="76"/>
      <c r="BJ2592" s="76"/>
      <c r="BK2592" s="76"/>
      <c r="BL2592" s="76">
        <f>+BK2592*31500</f>
        <v>0</v>
      </c>
      <c r="BM2592" s="76"/>
      <c r="BN2592" s="76"/>
      <c r="BO2592" s="76"/>
      <c r="BP2592" s="76"/>
      <c r="BQ2592" s="76"/>
      <c r="BR2592" s="76"/>
      <c r="BS2592" s="76"/>
      <c r="BT2592" s="76"/>
      <c r="BU2592" s="76"/>
      <c r="BV2592" s="76"/>
      <c r="BW2592" s="76"/>
      <c r="BX2592" s="76"/>
      <c r="BY2592" s="76"/>
      <c r="BZ2592" s="76"/>
      <c r="CA2592" s="76"/>
      <c r="CB2592" s="76"/>
      <c r="CC2592" s="76"/>
      <c r="CD2592" s="76"/>
      <c r="CE2592" s="76"/>
      <c r="CF2592" s="76">
        <f>+CE2592*28000</f>
        <v>0</v>
      </c>
      <c r="CG2592" s="76"/>
      <c r="CH2592" s="76">
        <f>+CG2592*22500</f>
        <v>0</v>
      </c>
      <c r="CI2592" s="76"/>
      <c r="CJ2592" s="76">
        <f>+CI2592*26000</f>
        <v>0</v>
      </c>
      <c r="CK2592" s="76"/>
      <c r="CL2592" s="76"/>
      <c r="CM2592" s="76"/>
      <c r="CN2592" s="76">
        <f>+CM2592*22000</f>
        <v>0</v>
      </c>
      <c r="CO2592" s="76"/>
      <c r="CP2592" s="76">
        <f>+CO2592*46000</f>
        <v>0</v>
      </c>
      <c r="CQ2592" s="76"/>
      <c r="CR2592" s="76">
        <f>+CQ2592*49000</f>
        <v>0</v>
      </c>
      <c r="CS2592" s="76"/>
      <c r="CT2592" s="76"/>
      <c r="CU2592" s="56">
        <f>AN2592+AP2592+AR2592+AT2592+AV2592+AX2592+AZ2592+BB2592+BD2592+BF2592+BH2592+BJ2592+BL2592+BN2592+BP2592+BR2592+BT2592+BV2592+BX2592+BZ2592+CB2592+CD2592+CF2592+CH2592+CJ2592+CL2592+CN2592+CP2592+CR2592+CT2592</f>
        <v>0</v>
      </c>
      <c r="CV2592" s="76"/>
      <c r="CW2592" s="76">
        <f>+CV2592*1100</f>
        <v>0</v>
      </c>
      <c r="CX2592" s="76"/>
      <c r="CY2592" s="76">
        <f>+CX2592*106250</f>
        <v>0</v>
      </c>
      <c r="CZ2592" s="76"/>
      <c r="DA2592" s="76">
        <f>+CZ2592*34500</f>
        <v>0</v>
      </c>
      <c r="DB2592" s="76"/>
      <c r="DC2592" s="76">
        <f>+DB2592*25000</f>
        <v>0</v>
      </c>
      <c r="DD2592" s="219"/>
      <c r="DE2592" s="219"/>
      <c r="DF2592" s="166"/>
      <c r="DG2592" s="116"/>
      <c r="DH2592" s="117"/>
      <c r="DI2592" s="24"/>
      <c r="DJ2592" s="24"/>
      <c r="DK2592" s="24"/>
      <c r="DL2592" s="24"/>
      <c r="DM2592" s="24"/>
      <c r="DN2592" s="24"/>
      <c r="DO2592" s="24"/>
      <c r="DP2592" s="24"/>
      <c r="DQ2592" s="24"/>
      <c r="DR2592" s="24"/>
      <c r="DS2592" s="24"/>
      <c r="DT2592" s="24"/>
      <c r="DU2592" s="24"/>
    </row>
    <row r="2593" spans="1:125" s="8" customFormat="1" ht="76.5" customHeight="1" x14ac:dyDescent="0.2">
      <c r="A2593" s="77">
        <v>41488</v>
      </c>
      <c r="B2593" s="78" t="s">
        <v>2880</v>
      </c>
      <c r="C2593" s="75" t="s">
        <v>6</v>
      </c>
      <c r="D2593" s="75" t="s">
        <v>3088</v>
      </c>
      <c r="E2593" s="353" t="str">
        <f>VLOOKUP(B2593&amp;C2593,Divipola!$C$2:$F$1138,4,FALSE)</f>
        <v>54125</v>
      </c>
      <c r="F2593" s="87"/>
      <c r="G2593" s="87"/>
      <c r="H2593" s="87"/>
      <c r="I2593" s="87">
        <v>30</v>
      </c>
      <c r="J2593" s="87">
        <v>6</v>
      </c>
      <c r="K2593" s="87"/>
      <c r="L2593" s="87">
        <v>6</v>
      </c>
      <c r="M2593" s="87"/>
      <c r="N2593" s="87"/>
      <c r="O2593" s="87"/>
      <c r="P2593" s="87"/>
      <c r="Q2593" s="87"/>
      <c r="R2593" s="87"/>
      <c r="S2593" s="87"/>
      <c r="T2593" s="87"/>
      <c r="U2593" s="88"/>
      <c r="V2593" s="89"/>
      <c r="W2593" s="96">
        <v>0</v>
      </c>
      <c r="X2593" s="71">
        <f>CU2593</f>
        <v>0</v>
      </c>
      <c r="Y2593" s="71">
        <f>CY2593</f>
        <v>0</v>
      </c>
      <c r="Z2593" s="71">
        <f>DA2593+DC2593+DE2593</f>
        <v>0</v>
      </c>
      <c r="AA2593" s="71">
        <f>CW2593</f>
        <v>0</v>
      </c>
      <c r="AB2593" s="71"/>
      <c r="AC2593" s="71">
        <v>0</v>
      </c>
      <c r="AD2593" s="71">
        <f>W2593+X2593+Y2593+Z2593+AA2593+AB2593+AC2593</f>
        <v>0</v>
      </c>
      <c r="AE2593" s="72">
        <v>0</v>
      </c>
      <c r="AF2593" s="5"/>
      <c r="AG2593" s="6"/>
      <c r="AH2593" s="27"/>
      <c r="AI2593" s="44"/>
      <c r="AJ2593" s="26"/>
      <c r="AK2593" s="5"/>
      <c r="AL2593" s="82" t="s">
        <v>5506</v>
      </c>
      <c r="AM2593" s="76"/>
      <c r="AN2593" s="76"/>
      <c r="AO2593" s="76"/>
      <c r="AP2593" s="76"/>
      <c r="AQ2593" s="76"/>
      <c r="AR2593" s="76"/>
      <c r="AS2593" s="76"/>
      <c r="AT2593" s="76"/>
      <c r="AU2593" s="76"/>
      <c r="AV2593" s="76"/>
      <c r="AW2593" s="76"/>
      <c r="AX2593" s="76">
        <f>+AW2593*600000</f>
        <v>0</v>
      </c>
      <c r="AY2593" s="76"/>
      <c r="AZ2593" s="76">
        <f>+AY2593*70000</f>
        <v>0</v>
      </c>
      <c r="BA2593" s="76"/>
      <c r="BB2593" s="76"/>
      <c r="BC2593" s="76"/>
      <c r="BD2593" s="76">
        <f>+BC2593*30000</f>
        <v>0</v>
      </c>
      <c r="BE2593" s="76"/>
      <c r="BF2593" s="76"/>
      <c r="BG2593" s="76"/>
      <c r="BH2593" s="76"/>
      <c r="BI2593" s="76"/>
      <c r="BJ2593" s="76"/>
      <c r="BK2593" s="76"/>
      <c r="BL2593" s="76">
        <f>+BK2593*31500</f>
        <v>0</v>
      </c>
      <c r="BM2593" s="76"/>
      <c r="BN2593" s="76"/>
      <c r="BO2593" s="76"/>
      <c r="BP2593" s="76"/>
      <c r="BQ2593" s="76"/>
      <c r="BR2593" s="76"/>
      <c r="BS2593" s="76"/>
      <c r="BT2593" s="76"/>
      <c r="BU2593" s="76"/>
      <c r="BV2593" s="76"/>
      <c r="BW2593" s="76"/>
      <c r="BX2593" s="76"/>
      <c r="BY2593" s="76"/>
      <c r="BZ2593" s="76"/>
      <c r="CA2593" s="76"/>
      <c r="CB2593" s="76"/>
      <c r="CC2593" s="76"/>
      <c r="CD2593" s="76"/>
      <c r="CE2593" s="76"/>
      <c r="CF2593" s="76">
        <f>+CE2593*28000</f>
        <v>0</v>
      </c>
      <c r="CG2593" s="76"/>
      <c r="CH2593" s="76">
        <f>+CG2593*22500</f>
        <v>0</v>
      </c>
      <c r="CI2593" s="76"/>
      <c r="CJ2593" s="76">
        <f>+CI2593*26000</f>
        <v>0</v>
      </c>
      <c r="CK2593" s="76"/>
      <c r="CL2593" s="76"/>
      <c r="CM2593" s="76"/>
      <c r="CN2593" s="76">
        <f>+CM2593*22000</f>
        <v>0</v>
      </c>
      <c r="CO2593" s="76"/>
      <c r="CP2593" s="76">
        <f>+CO2593*46000</f>
        <v>0</v>
      </c>
      <c r="CQ2593" s="76"/>
      <c r="CR2593" s="76">
        <f>+CQ2593*49000</f>
        <v>0</v>
      </c>
      <c r="CS2593" s="76"/>
      <c r="CT2593" s="76"/>
      <c r="CU2593" s="56">
        <f>AN2593+AP2593+AR2593+AT2593+AV2593+AX2593+AZ2593+BB2593+BD2593+BF2593+BH2593+BJ2593+BL2593+BN2593+BP2593+BR2593+BT2593+BV2593+BX2593+BZ2593+CB2593+CD2593+CF2593+CH2593+CJ2593+CL2593+CN2593+CP2593+CR2593+CT2593</f>
        <v>0</v>
      </c>
      <c r="CV2593" s="76"/>
      <c r="CW2593" s="76">
        <f>+CV2593*1100</f>
        <v>0</v>
      </c>
      <c r="CX2593" s="76"/>
      <c r="CY2593" s="76">
        <f>+CX2593*106250</f>
        <v>0</v>
      </c>
      <c r="CZ2593" s="76"/>
      <c r="DA2593" s="76">
        <f>+CZ2593*34500</f>
        <v>0</v>
      </c>
      <c r="DB2593" s="76"/>
      <c r="DC2593" s="76">
        <f>+DB2593*25000</f>
        <v>0</v>
      </c>
      <c r="DD2593" s="219"/>
      <c r="DE2593" s="219"/>
      <c r="DF2593" s="166"/>
      <c r="DG2593" s="116"/>
      <c r="DH2593" s="117"/>
      <c r="DI2593" s="24"/>
      <c r="DJ2593" s="24"/>
      <c r="DK2593" s="24"/>
      <c r="DL2593" s="24"/>
      <c r="DM2593" s="24"/>
      <c r="DN2593" s="24"/>
      <c r="DO2593" s="24"/>
      <c r="DP2593" s="24"/>
      <c r="DQ2593" s="24"/>
      <c r="DR2593" s="24"/>
      <c r="DS2593" s="24"/>
      <c r="DT2593" s="24"/>
      <c r="DU2593" s="24"/>
    </row>
    <row r="2594" spans="1:125" s="8" customFormat="1" ht="48" x14ac:dyDescent="0.2">
      <c r="A2594" s="353">
        <v>41488</v>
      </c>
      <c r="B2594" s="352" t="s">
        <v>2860</v>
      </c>
      <c r="C2594" s="354" t="s">
        <v>2691</v>
      </c>
      <c r="D2594" s="354" t="s">
        <v>2846</v>
      </c>
      <c r="E2594" s="353" t="str">
        <f>VLOOKUP(B2594&amp;C2594,Divipola!$C$2:$F$1138,4,FALSE)</f>
        <v>63690</v>
      </c>
      <c r="F2594" s="87"/>
      <c r="G2594" s="87"/>
      <c r="H2594" s="87"/>
      <c r="I2594" s="87"/>
      <c r="J2594" s="87"/>
      <c r="K2594" s="87"/>
      <c r="L2594" s="87"/>
      <c r="M2594" s="87"/>
      <c r="N2594" s="87"/>
      <c r="O2594" s="87"/>
      <c r="P2594" s="87"/>
      <c r="Q2594" s="87"/>
      <c r="R2594" s="87"/>
      <c r="S2594" s="87"/>
      <c r="T2594" s="87"/>
      <c r="U2594" s="88">
        <v>10</v>
      </c>
      <c r="V2594" s="89"/>
      <c r="W2594" s="96">
        <v>0</v>
      </c>
      <c r="X2594" s="71">
        <f>CU2594</f>
        <v>0</v>
      </c>
      <c r="Y2594" s="71">
        <f>CY2594</f>
        <v>0</v>
      </c>
      <c r="Z2594" s="71">
        <f>DA2594+DC2594+DE2594</f>
        <v>0</v>
      </c>
      <c r="AA2594" s="71">
        <f>CW2594</f>
        <v>0</v>
      </c>
      <c r="AB2594" s="71"/>
      <c r="AC2594" s="71">
        <v>0</v>
      </c>
      <c r="AD2594" s="71">
        <f>W2594+X2594+Y2594+Z2594+AA2594+AB2594+AC2594</f>
        <v>0</v>
      </c>
      <c r="AE2594" s="72">
        <v>0</v>
      </c>
      <c r="AF2594" s="5"/>
      <c r="AG2594" s="6"/>
      <c r="AH2594" s="27"/>
      <c r="AI2594" s="44"/>
      <c r="AJ2594" s="26"/>
      <c r="AK2594" s="5"/>
      <c r="AL2594" s="82" t="s">
        <v>5491</v>
      </c>
      <c r="AM2594" s="76"/>
      <c r="AN2594" s="76"/>
      <c r="AO2594" s="76"/>
      <c r="AP2594" s="76"/>
      <c r="AQ2594" s="76"/>
      <c r="AR2594" s="76"/>
      <c r="AS2594" s="76"/>
      <c r="AT2594" s="76"/>
      <c r="AU2594" s="76"/>
      <c r="AV2594" s="76"/>
      <c r="AW2594" s="76"/>
      <c r="AX2594" s="76">
        <f>+AW2594*600000</f>
        <v>0</v>
      </c>
      <c r="AY2594" s="76"/>
      <c r="AZ2594" s="76">
        <f>+AY2594*70000</f>
        <v>0</v>
      </c>
      <c r="BA2594" s="76"/>
      <c r="BB2594" s="76"/>
      <c r="BC2594" s="76"/>
      <c r="BD2594" s="76">
        <f>+BC2594*30000</f>
        <v>0</v>
      </c>
      <c r="BE2594" s="76"/>
      <c r="BF2594" s="76"/>
      <c r="BG2594" s="76"/>
      <c r="BH2594" s="76"/>
      <c r="BI2594" s="76"/>
      <c r="BJ2594" s="76"/>
      <c r="BK2594" s="76"/>
      <c r="BL2594" s="76">
        <f>+BK2594*31500</f>
        <v>0</v>
      </c>
      <c r="BM2594" s="76"/>
      <c r="BN2594" s="76"/>
      <c r="BO2594" s="76"/>
      <c r="BP2594" s="76"/>
      <c r="BQ2594" s="76"/>
      <c r="BR2594" s="76"/>
      <c r="BS2594" s="76"/>
      <c r="BT2594" s="76"/>
      <c r="BU2594" s="76"/>
      <c r="BV2594" s="76"/>
      <c r="BW2594" s="76"/>
      <c r="BX2594" s="76"/>
      <c r="BY2594" s="76"/>
      <c r="BZ2594" s="76"/>
      <c r="CA2594" s="76"/>
      <c r="CB2594" s="76"/>
      <c r="CC2594" s="76"/>
      <c r="CD2594" s="76"/>
      <c r="CE2594" s="76"/>
      <c r="CF2594" s="76">
        <f>+CE2594*28000</f>
        <v>0</v>
      </c>
      <c r="CG2594" s="76"/>
      <c r="CH2594" s="76">
        <f>+CG2594*22500</f>
        <v>0</v>
      </c>
      <c r="CI2594" s="76"/>
      <c r="CJ2594" s="76">
        <f>+CI2594*26000</f>
        <v>0</v>
      </c>
      <c r="CK2594" s="76"/>
      <c r="CL2594" s="76"/>
      <c r="CM2594" s="76"/>
      <c r="CN2594" s="76">
        <f>+CM2594*22000</f>
        <v>0</v>
      </c>
      <c r="CO2594" s="76"/>
      <c r="CP2594" s="76">
        <f>+CO2594*46000</f>
        <v>0</v>
      </c>
      <c r="CQ2594" s="76"/>
      <c r="CR2594" s="76">
        <f>+CQ2594*49000</f>
        <v>0</v>
      </c>
      <c r="CS2594" s="76"/>
      <c r="CT2594" s="76"/>
      <c r="CU2594" s="56">
        <f>AN2594+AP2594+AR2594+AT2594+AV2594+AX2594+AZ2594+BB2594+BD2594+BF2594+BH2594+BJ2594+BL2594+BN2594+BP2594+BR2594+BT2594+BV2594+BX2594+BZ2594+CB2594+CD2594+CF2594+CH2594+CJ2594+CL2594+CN2594+CP2594+CR2594+CT2594</f>
        <v>0</v>
      </c>
      <c r="CV2594" s="76"/>
      <c r="CW2594" s="76">
        <f>+CV2594*1100</f>
        <v>0</v>
      </c>
      <c r="CX2594" s="76"/>
      <c r="CY2594" s="76">
        <f>+CX2594*106250</f>
        <v>0</v>
      </c>
      <c r="CZ2594" s="76"/>
      <c r="DA2594" s="76">
        <f>+CZ2594*34500</f>
        <v>0</v>
      </c>
      <c r="DB2594" s="76"/>
      <c r="DC2594" s="76">
        <f>+DB2594*25000</f>
        <v>0</v>
      </c>
      <c r="DD2594" s="219"/>
      <c r="DE2594" s="219"/>
      <c r="DF2594" s="166"/>
      <c r="DG2594" s="116"/>
      <c r="DH2594" s="117"/>
      <c r="DI2594" s="24"/>
      <c r="DJ2594" s="24"/>
      <c r="DK2594" s="24"/>
      <c r="DL2594" s="24"/>
      <c r="DM2594" s="24"/>
      <c r="DN2594" s="24"/>
      <c r="DO2594" s="24"/>
      <c r="DP2594" s="24"/>
      <c r="DQ2594" s="24"/>
      <c r="DR2594" s="24"/>
      <c r="DS2594" s="24"/>
      <c r="DT2594" s="24"/>
      <c r="DU2594" s="24"/>
    </row>
    <row r="2595" spans="1:125" s="8" customFormat="1" ht="48" x14ac:dyDescent="0.2">
      <c r="A2595" s="226">
        <v>41488</v>
      </c>
      <c r="B2595" s="225" t="s">
        <v>2774</v>
      </c>
      <c r="C2595" s="227" t="s">
        <v>2216</v>
      </c>
      <c r="D2595" s="227" t="s">
        <v>2846</v>
      </c>
      <c r="E2595" s="353" t="str">
        <f>VLOOKUP(B2595&amp;C2595,Divipola!$C$2:$F$1138,4,FALSE)</f>
        <v>66075</v>
      </c>
      <c r="F2595" s="87"/>
      <c r="G2595" s="87"/>
      <c r="H2595" s="87"/>
      <c r="I2595" s="87"/>
      <c r="J2595" s="87"/>
      <c r="K2595" s="87"/>
      <c r="L2595" s="87"/>
      <c r="M2595" s="87"/>
      <c r="N2595" s="87"/>
      <c r="O2595" s="87"/>
      <c r="P2595" s="87"/>
      <c r="Q2595" s="87"/>
      <c r="R2595" s="87"/>
      <c r="S2595" s="87"/>
      <c r="T2595" s="87"/>
      <c r="U2595" s="88">
        <v>1</v>
      </c>
      <c r="V2595" s="89"/>
      <c r="W2595" s="96">
        <v>0</v>
      </c>
      <c r="X2595" s="71">
        <f>CU2595</f>
        <v>0</v>
      </c>
      <c r="Y2595" s="71">
        <f>CY2595</f>
        <v>0</v>
      </c>
      <c r="Z2595" s="71">
        <f>DA2595+DC2595+DE2595</f>
        <v>0</v>
      </c>
      <c r="AA2595" s="71">
        <f>CW2595</f>
        <v>0</v>
      </c>
      <c r="AB2595" s="71"/>
      <c r="AC2595" s="71">
        <v>0</v>
      </c>
      <c r="AD2595" s="71">
        <f>W2595+X2595+Y2595+Z2595+AA2595+AB2595+AC2595</f>
        <v>0</v>
      </c>
      <c r="AE2595" s="72">
        <v>0</v>
      </c>
      <c r="AF2595" s="5"/>
      <c r="AG2595" s="6"/>
      <c r="AH2595" s="27"/>
      <c r="AI2595" s="44"/>
      <c r="AJ2595" s="26"/>
      <c r="AK2595" s="5"/>
      <c r="AL2595" s="82" t="s">
        <v>5509</v>
      </c>
      <c r="AM2595" s="76"/>
      <c r="AN2595" s="76"/>
      <c r="AO2595" s="76"/>
      <c r="AP2595" s="76"/>
      <c r="AQ2595" s="76"/>
      <c r="AR2595" s="76"/>
      <c r="AS2595" s="76"/>
      <c r="AT2595" s="76"/>
      <c r="AU2595" s="76"/>
      <c r="AV2595" s="76"/>
      <c r="AW2595" s="76"/>
      <c r="AX2595" s="76">
        <f>+AW2595*600000</f>
        <v>0</v>
      </c>
      <c r="AY2595" s="76"/>
      <c r="AZ2595" s="76">
        <f>+AY2595*70000</f>
        <v>0</v>
      </c>
      <c r="BA2595" s="76"/>
      <c r="BB2595" s="76"/>
      <c r="BC2595" s="76"/>
      <c r="BD2595" s="76">
        <f>+BC2595*30000</f>
        <v>0</v>
      </c>
      <c r="BE2595" s="76"/>
      <c r="BF2595" s="76"/>
      <c r="BG2595" s="76"/>
      <c r="BH2595" s="76"/>
      <c r="BI2595" s="76"/>
      <c r="BJ2595" s="76"/>
      <c r="BK2595" s="76"/>
      <c r="BL2595" s="76">
        <f>+BK2595*31500</f>
        <v>0</v>
      </c>
      <c r="BM2595" s="76"/>
      <c r="BN2595" s="76"/>
      <c r="BO2595" s="76"/>
      <c r="BP2595" s="76"/>
      <c r="BQ2595" s="76"/>
      <c r="BR2595" s="76"/>
      <c r="BS2595" s="76"/>
      <c r="BT2595" s="76"/>
      <c r="BU2595" s="76"/>
      <c r="BV2595" s="76"/>
      <c r="BW2595" s="76"/>
      <c r="BX2595" s="76"/>
      <c r="BY2595" s="76"/>
      <c r="BZ2595" s="76"/>
      <c r="CA2595" s="76"/>
      <c r="CB2595" s="76"/>
      <c r="CC2595" s="76"/>
      <c r="CD2595" s="76"/>
      <c r="CE2595" s="76"/>
      <c r="CF2595" s="76">
        <f>+CE2595*28000</f>
        <v>0</v>
      </c>
      <c r="CG2595" s="76"/>
      <c r="CH2595" s="76">
        <f>+CG2595*22500</f>
        <v>0</v>
      </c>
      <c r="CI2595" s="76"/>
      <c r="CJ2595" s="76">
        <f>+CI2595*26000</f>
        <v>0</v>
      </c>
      <c r="CK2595" s="76"/>
      <c r="CL2595" s="76"/>
      <c r="CM2595" s="76"/>
      <c r="CN2595" s="76">
        <f>+CM2595*22000</f>
        <v>0</v>
      </c>
      <c r="CO2595" s="76"/>
      <c r="CP2595" s="76">
        <f>+CO2595*46000</f>
        <v>0</v>
      </c>
      <c r="CQ2595" s="76"/>
      <c r="CR2595" s="76">
        <f>+CQ2595*49000</f>
        <v>0</v>
      </c>
      <c r="CS2595" s="76"/>
      <c r="CT2595" s="76"/>
      <c r="CU2595" s="56">
        <f>AN2595+AP2595+AR2595+AT2595+AV2595+AX2595+AZ2595+BB2595+BD2595+BF2595+BH2595+BJ2595+BL2595+BN2595+BP2595+BR2595+BT2595+BV2595+BX2595+BZ2595+CB2595+CD2595+CF2595+CH2595+CJ2595+CL2595+CN2595+CP2595+CR2595+CT2595</f>
        <v>0</v>
      </c>
      <c r="CV2595" s="76"/>
      <c r="CW2595" s="76">
        <f>+CV2595*1100</f>
        <v>0</v>
      </c>
      <c r="CX2595" s="76"/>
      <c r="CY2595" s="76">
        <f>+CX2595*106250</f>
        <v>0</v>
      </c>
      <c r="CZ2595" s="76"/>
      <c r="DA2595" s="76">
        <f>+CZ2595*34500</f>
        <v>0</v>
      </c>
      <c r="DB2595" s="76"/>
      <c r="DC2595" s="76">
        <f>+DB2595*25000</f>
        <v>0</v>
      </c>
      <c r="DD2595" s="219"/>
      <c r="DE2595" s="219"/>
      <c r="DF2595" s="166"/>
      <c r="DG2595" s="116"/>
      <c r="DH2595" s="117"/>
      <c r="DI2595" s="24"/>
      <c r="DJ2595" s="24"/>
      <c r="DK2595" s="24"/>
      <c r="DL2595" s="24"/>
      <c r="DM2595" s="24"/>
      <c r="DN2595" s="24"/>
      <c r="DO2595" s="24"/>
      <c r="DP2595" s="24"/>
      <c r="DQ2595" s="24"/>
      <c r="DR2595" s="24"/>
      <c r="DS2595" s="24"/>
      <c r="DT2595" s="24"/>
      <c r="DU2595" s="24"/>
    </row>
    <row r="2596" spans="1:125" s="8" customFormat="1" ht="48" x14ac:dyDescent="0.2">
      <c r="A2596" s="226">
        <v>41488</v>
      </c>
      <c r="B2596" s="225" t="s">
        <v>2774</v>
      </c>
      <c r="C2596" s="227" t="s">
        <v>1347</v>
      </c>
      <c r="D2596" s="354" t="s">
        <v>2859</v>
      </c>
      <c r="E2596" s="353" t="str">
        <f>VLOOKUP(B2596&amp;C2596,Divipola!$C$2:$F$1138,4,FALSE)</f>
        <v>66001</v>
      </c>
      <c r="F2596" s="87"/>
      <c r="G2596" s="87"/>
      <c r="H2596" s="87"/>
      <c r="I2596" s="87"/>
      <c r="J2596" s="87"/>
      <c r="K2596" s="87"/>
      <c r="L2596" s="87"/>
      <c r="M2596" s="87"/>
      <c r="N2596" s="87"/>
      <c r="O2596" s="87"/>
      <c r="P2596" s="87"/>
      <c r="Q2596" s="87"/>
      <c r="R2596" s="87"/>
      <c r="S2596" s="87"/>
      <c r="T2596" s="87"/>
      <c r="U2596" s="88"/>
      <c r="V2596" s="89">
        <v>2</v>
      </c>
      <c r="W2596" s="96">
        <v>0</v>
      </c>
      <c r="X2596" s="71">
        <f>CU2596</f>
        <v>0</v>
      </c>
      <c r="Y2596" s="71">
        <f>CY2596</f>
        <v>0</v>
      </c>
      <c r="Z2596" s="71">
        <f>DA2596+DC2596+DE2596</f>
        <v>0</v>
      </c>
      <c r="AA2596" s="71">
        <f>CW2596</f>
        <v>0</v>
      </c>
      <c r="AB2596" s="71"/>
      <c r="AC2596" s="71">
        <v>0</v>
      </c>
      <c r="AD2596" s="71">
        <f>W2596+X2596+Y2596+Z2596+AA2596+AB2596+AC2596</f>
        <v>0</v>
      </c>
      <c r="AE2596" s="72">
        <v>0</v>
      </c>
      <c r="AF2596" s="5"/>
      <c r="AG2596" s="6"/>
      <c r="AH2596" s="27"/>
      <c r="AI2596" s="44"/>
      <c r="AJ2596" s="26"/>
      <c r="AK2596" s="5"/>
      <c r="AL2596" s="82" t="s">
        <v>5496</v>
      </c>
      <c r="AM2596" s="76"/>
      <c r="AN2596" s="76"/>
      <c r="AO2596" s="76"/>
      <c r="AP2596" s="76"/>
      <c r="AQ2596" s="76"/>
      <c r="AR2596" s="76"/>
      <c r="AS2596" s="76"/>
      <c r="AT2596" s="76"/>
      <c r="AU2596" s="76"/>
      <c r="AV2596" s="76"/>
      <c r="AW2596" s="76"/>
      <c r="AX2596" s="76">
        <f>+AW2596*600000</f>
        <v>0</v>
      </c>
      <c r="AY2596" s="76"/>
      <c r="AZ2596" s="76">
        <f>+AY2596*70000</f>
        <v>0</v>
      </c>
      <c r="BA2596" s="76"/>
      <c r="BB2596" s="76"/>
      <c r="BC2596" s="76"/>
      <c r="BD2596" s="76">
        <f>+BC2596*30000</f>
        <v>0</v>
      </c>
      <c r="BE2596" s="76"/>
      <c r="BF2596" s="76"/>
      <c r="BG2596" s="76"/>
      <c r="BH2596" s="76"/>
      <c r="BI2596" s="76"/>
      <c r="BJ2596" s="76"/>
      <c r="BK2596" s="76"/>
      <c r="BL2596" s="76">
        <f>+BK2596*31500</f>
        <v>0</v>
      </c>
      <c r="BM2596" s="76"/>
      <c r="BN2596" s="76"/>
      <c r="BO2596" s="76"/>
      <c r="BP2596" s="76"/>
      <c r="BQ2596" s="76"/>
      <c r="BR2596" s="76"/>
      <c r="BS2596" s="76"/>
      <c r="BT2596" s="76"/>
      <c r="BU2596" s="76"/>
      <c r="BV2596" s="76"/>
      <c r="BW2596" s="76"/>
      <c r="BX2596" s="76"/>
      <c r="BY2596" s="76"/>
      <c r="BZ2596" s="76"/>
      <c r="CA2596" s="76"/>
      <c r="CB2596" s="76"/>
      <c r="CC2596" s="76"/>
      <c r="CD2596" s="76"/>
      <c r="CE2596" s="76"/>
      <c r="CF2596" s="76">
        <f>+CE2596*28000</f>
        <v>0</v>
      </c>
      <c r="CG2596" s="76"/>
      <c r="CH2596" s="76">
        <f>+CG2596*22500</f>
        <v>0</v>
      </c>
      <c r="CI2596" s="76"/>
      <c r="CJ2596" s="76">
        <f>+CI2596*26000</f>
        <v>0</v>
      </c>
      <c r="CK2596" s="76"/>
      <c r="CL2596" s="76"/>
      <c r="CM2596" s="76"/>
      <c r="CN2596" s="76">
        <f>+CM2596*22000</f>
        <v>0</v>
      </c>
      <c r="CO2596" s="76"/>
      <c r="CP2596" s="76">
        <f>+CO2596*46000</f>
        <v>0</v>
      </c>
      <c r="CQ2596" s="76"/>
      <c r="CR2596" s="76">
        <f>+CQ2596*49000</f>
        <v>0</v>
      </c>
      <c r="CS2596" s="76"/>
      <c r="CT2596" s="76"/>
      <c r="CU2596" s="56">
        <f>AN2596+AP2596+AR2596+AT2596+AV2596+AX2596+AZ2596+BB2596+BD2596+BF2596+BH2596+BJ2596+BL2596+BN2596+BP2596+BR2596+BT2596+BV2596+BX2596+BZ2596+CB2596+CD2596+CF2596+CH2596+CJ2596+CL2596+CN2596+CP2596+CR2596+CT2596</f>
        <v>0</v>
      </c>
      <c r="CV2596" s="76"/>
      <c r="CW2596" s="76">
        <f>+CV2596*1100</f>
        <v>0</v>
      </c>
      <c r="CX2596" s="76"/>
      <c r="CY2596" s="76">
        <f>+CX2596*106250</f>
        <v>0</v>
      </c>
      <c r="CZ2596" s="76"/>
      <c r="DA2596" s="76">
        <f>+CZ2596*34500</f>
        <v>0</v>
      </c>
      <c r="DB2596" s="76"/>
      <c r="DC2596" s="76">
        <f>+DB2596*25000</f>
        <v>0</v>
      </c>
      <c r="DD2596" s="219"/>
      <c r="DE2596" s="219"/>
      <c r="DF2596" s="166"/>
      <c r="DG2596" s="116"/>
      <c r="DH2596" s="117"/>
      <c r="DI2596" s="24"/>
      <c r="DJ2596" s="24"/>
      <c r="DK2596" s="24"/>
      <c r="DL2596" s="24"/>
      <c r="DM2596" s="24"/>
      <c r="DN2596" s="24"/>
      <c r="DO2596" s="24"/>
      <c r="DP2596" s="24"/>
      <c r="DQ2596" s="24"/>
      <c r="DR2596" s="24"/>
      <c r="DS2596" s="24"/>
      <c r="DT2596" s="24"/>
      <c r="DU2596" s="24"/>
    </row>
    <row r="2597" spans="1:125" s="8" customFormat="1" ht="48" x14ac:dyDescent="0.2">
      <c r="A2597" s="226">
        <v>41488</v>
      </c>
      <c r="B2597" s="352" t="s">
        <v>1764</v>
      </c>
      <c r="C2597" s="354" t="s">
        <v>1764</v>
      </c>
      <c r="D2597" s="354" t="s">
        <v>2882</v>
      </c>
      <c r="E2597" s="353" t="str">
        <f>VLOOKUP(B2597&amp;C2597,Divipola!$C$2:$F$1138,4,FALSE)</f>
        <v>88001</v>
      </c>
      <c r="F2597" s="87"/>
      <c r="G2597" s="87"/>
      <c r="H2597" s="87"/>
      <c r="I2597" s="87">
        <v>40</v>
      </c>
      <c r="J2597" s="87">
        <v>8</v>
      </c>
      <c r="K2597" s="87"/>
      <c r="L2597" s="87">
        <v>8</v>
      </c>
      <c r="M2597" s="87"/>
      <c r="N2597" s="87"/>
      <c r="O2597" s="87"/>
      <c r="P2597" s="87"/>
      <c r="Q2597" s="87"/>
      <c r="R2597" s="87"/>
      <c r="S2597" s="87"/>
      <c r="T2597" s="87"/>
      <c r="U2597" s="88"/>
      <c r="V2597" s="89">
        <v>1</v>
      </c>
      <c r="W2597" s="96">
        <v>0</v>
      </c>
      <c r="X2597" s="71">
        <f>CU2597</f>
        <v>0</v>
      </c>
      <c r="Y2597" s="71">
        <f>CY2597</f>
        <v>0</v>
      </c>
      <c r="Z2597" s="71">
        <f>DA2597+DC2597+DE2597</f>
        <v>0</v>
      </c>
      <c r="AA2597" s="71">
        <f>CW2597</f>
        <v>0</v>
      </c>
      <c r="AB2597" s="71"/>
      <c r="AC2597" s="71">
        <v>0</v>
      </c>
      <c r="AD2597" s="71">
        <f>W2597+X2597+Y2597+Z2597+AA2597+AB2597+AC2597</f>
        <v>0</v>
      </c>
      <c r="AE2597" s="72">
        <v>0</v>
      </c>
      <c r="AF2597" s="5"/>
      <c r="AG2597" s="6"/>
      <c r="AH2597" s="27"/>
      <c r="AI2597" s="44"/>
      <c r="AJ2597" s="26"/>
      <c r="AK2597" s="5"/>
      <c r="AL2597" s="82" t="s">
        <v>5494</v>
      </c>
      <c r="AM2597" s="76"/>
      <c r="AN2597" s="76"/>
      <c r="AO2597" s="76"/>
      <c r="AP2597" s="76"/>
      <c r="AQ2597" s="76"/>
      <c r="AR2597" s="76"/>
      <c r="AS2597" s="76"/>
      <c r="AT2597" s="76"/>
      <c r="AU2597" s="76"/>
      <c r="AV2597" s="76"/>
      <c r="AW2597" s="76"/>
      <c r="AX2597" s="76">
        <f>+AW2597*600000</f>
        <v>0</v>
      </c>
      <c r="AY2597" s="76"/>
      <c r="AZ2597" s="76">
        <f>+AY2597*70000</f>
        <v>0</v>
      </c>
      <c r="BA2597" s="76"/>
      <c r="BB2597" s="76"/>
      <c r="BC2597" s="76"/>
      <c r="BD2597" s="76">
        <f>+BC2597*30000</f>
        <v>0</v>
      </c>
      <c r="BE2597" s="76"/>
      <c r="BF2597" s="76"/>
      <c r="BG2597" s="76"/>
      <c r="BH2597" s="76"/>
      <c r="BI2597" s="76"/>
      <c r="BJ2597" s="76"/>
      <c r="BK2597" s="76"/>
      <c r="BL2597" s="76">
        <f>+BK2597*31500</f>
        <v>0</v>
      </c>
      <c r="BM2597" s="76"/>
      <c r="BN2597" s="76"/>
      <c r="BO2597" s="76"/>
      <c r="BP2597" s="76"/>
      <c r="BQ2597" s="76"/>
      <c r="BR2597" s="76"/>
      <c r="BS2597" s="76"/>
      <c r="BT2597" s="76"/>
      <c r="BU2597" s="76"/>
      <c r="BV2597" s="76"/>
      <c r="BW2597" s="76"/>
      <c r="BX2597" s="76"/>
      <c r="BY2597" s="76"/>
      <c r="BZ2597" s="76"/>
      <c r="CA2597" s="76"/>
      <c r="CB2597" s="76"/>
      <c r="CC2597" s="76"/>
      <c r="CD2597" s="76"/>
      <c r="CE2597" s="76"/>
      <c r="CF2597" s="76">
        <f>+CE2597*28000</f>
        <v>0</v>
      </c>
      <c r="CG2597" s="76"/>
      <c r="CH2597" s="76">
        <f>+CG2597*22500</f>
        <v>0</v>
      </c>
      <c r="CI2597" s="76"/>
      <c r="CJ2597" s="76">
        <f>+CI2597*26000</f>
        <v>0</v>
      </c>
      <c r="CK2597" s="76"/>
      <c r="CL2597" s="76"/>
      <c r="CM2597" s="76"/>
      <c r="CN2597" s="76">
        <f>+CM2597*22000</f>
        <v>0</v>
      </c>
      <c r="CO2597" s="76"/>
      <c r="CP2597" s="76">
        <f>+CO2597*46000</f>
        <v>0</v>
      </c>
      <c r="CQ2597" s="76"/>
      <c r="CR2597" s="76">
        <f>+CQ2597*49000</f>
        <v>0</v>
      </c>
      <c r="CS2597" s="76"/>
      <c r="CT2597" s="76"/>
      <c r="CU2597" s="56">
        <f>AN2597+AP2597+AR2597+AT2597+AV2597+AX2597+AZ2597+BB2597+BD2597+BF2597+BH2597+BJ2597+BL2597+BN2597+BP2597+BR2597+BT2597+BV2597+BX2597+BZ2597+CB2597+CD2597+CF2597+CH2597+CJ2597+CL2597+CN2597+CP2597+CR2597+CT2597</f>
        <v>0</v>
      </c>
      <c r="CV2597" s="76"/>
      <c r="CW2597" s="76">
        <f>+CV2597*1100</f>
        <v>0</v>
      </c>
      <c r="CX2597" s="76"/>
      <c r="CY2597" s="76">
        <f>+CX2597*106250</f>
        <v>0</v>
      </c>
      <c r="CZ2597" s="76"/>
      <c r="DA2597" s="76">
        <f>+CZ2597*34500</f>
        <v>0</v>
      </c>
      <c r="DB2597" s="76"/>
      <c r="DC2597" s="76">
        <f>+DB2597*25000</f>
        <v>0</v>
      </c>
      <c r="DD2597" s="219"/>
      <c r="DE2597" s="219"/>
      <c r="DF2597" s="166"/>
      <c r="DG2597" s="116"/>
      <c r="DH2597" s="117"/>
      <c r="DI2597" s="24"/>
      <c r="DJ2597" s="24"/>
      <c r="DK2597" s="24"/>
      <c r="DL2597" s="24"/>
      <c r="DM2597" s="24"/>
      <c r="DN2597" s="24"/>
      <c r="DO2597" s="24"/>
      <c r="DP2597" s="24"/>
      <c r="DQ2597" s="24"/>
      <c r="DR2597" s="24"/>
      <c r="DS2597" s="24"/>
      <c r="DT2597" s="24"/>
      <c r="DU2597" s="24"/>
    </row>
    <row r="2598" spans="1:125" s="8" customFormat="1" ht="96" x14ac:dyDescent="0.2">
      <c r="A2598" s="353">
        <v>41488</v>
      </c>
      <c r="B2598" s="352" t="s">
        <v>2847</v>
      </c>
      <c r="C2598" s="354" t="s">
        <v>2673</v>
      </c>
      <c r="D2598" s="354" t="s">
        <v>3051</v>
      </c>
      <c r="E2598" s="353" t="str">
        <f>VLOOKUP(B2598&amp;C2598,Divipola!$C$2:$F$1138,4,FALSE)</f>
        <v>68001</v>
      </c>
      <c r="F2598" s="87"/>
      <c r="G2598" s="87"/>
      <c r="H2598" s="87"/>
      <c r="I2598" s="87"/>
      <c r="J2598" s="87"/>
      <c r="K2598" s="87"/>
      <c r="L2598" s="87"/>
      <c r="M2598" s="87"/>
      <c r="N2598" s="87"/>
      <c r="O2598" s="87"/>
      <c r="P2598" s="87"/>
      <c r="Q2598" s="87"/>
      <c r="R2598" s="87"/>
      <c r="S2598" s="87"/>
      <c r="T2598" s="87"/>
      <c r="U2598" s="88"/>
      <c r="V2598" s="89"/>
      <c r="W2598" s="96">
        <v>0</v>
      </c>
      <c r="X2598" s="71">
        <f>CU2598</f>
        <v>0</v>
      </c>
      <c r="Y2598" s="71">
        <f>CY2598</f>
        <v>0</v>
      </c>
      <c r="Z2598" s="71">
        <f>DA2598+DC2598+DE2598</f>
        <v>0</v>
      </c>
      <c r="AA2598" s="71">
        <f>CW2598</f>
        <v>0</v>
      </c>
      <c r="AB2598" s="71"/>
      <c r="AC2598" s="71">
        <v>0</v>
      </c>
      <c r="AD2598" s="71">
        <f>W2598+X2598+Y2598+Z2598+AA2598+AB2598+AC2598</f>
        <v>0</v>
      </c>
      <c r="AE2598" s="72">
        <v>0</v>
      </c>
      <c r="AF2598" s="5"/>
      <c r="AG2598" s="6"/>
      <c r="AH2598" s="27"/>
      <c r="AI2598" s="44"/>
      <c r="AJ2598" s="26"/>
      <c r="AK2598" s="5"/>
      <c r="AL2598" s="82" t="s">
        <v>5487</v>
      </c>
      <c r="AM2598" s="76"/>
      <c r="AN2598" s="76"/>
      <c r="AO2598" s="76"/>
      <c r="AP2598" s="76"/>
      <c r="AQ2598" s="76"/>
      <c r="AR2598" s="76"/>
      <c r="AS2598" s="76"/>
      <c r="AT2598" s="76"/>
      <c r="AU2598" s="76"/>
      <c r="AV2598" s="76"/>
      <c r="AW2598" s="76"/>
      <c r="AX2598" s="76">
        <f>+AW2598*600000</f>
        <v>0</v>
      </c>
      <c r="AY2598" s="76"/>
      <c r="AZ2598" s="76">
        <f>+AY2598*70000</f>
        <v>0</v>
      </c>
      <c r="BA2598" s="76"/>
      <c r="BB2598" s="76"/>
      <c r="BC2598" s="76"/>
      <c r="BD2598" s="76">
        <f>+BC2598*30000</f>
        <v>0</v>
      </c>
      <c r="BE2598" s="76"/>
      <c r="BF2598" s="76"/>
      <c r="BG2598" s="76"/>
      <c r="BH2598" s="76"/>
      <c r="BI2598" s="76"/>
      <c r="BJ2598" s="76"/>
      <c r="BK2598" s="76"/>
      <c r="BL2598" s="76">
        <f>+BK2598*31500</f>
        <v>0</v>
      </c>
      <c r="BM2598" s="76"/>
      <c r="BN2598" s="76"/>
      <c r="BO2598" s="76"/>
      <c r="BP2598" s="76"/>
      <c r="BQ2598" s="76"/>
      <c r="BR2598" s="76"/>
      <c r="BS2598" s="76"/>
      <c r="BT2598" s="76"/>
      <c r="BU2598" s="76"/>
      <c r="BV2598" s="76"/>
      <c r="BW2598" s="76"/>
      <c r="BX2598" s="76"/>
      <c r="BY2598" s="76"/>
      <c r="BZ2598" s="76"/>
      <c r="CA2598" s="76"/>
      <c r="CB2598" s="76"/>
      <c r="CC2598" s="76"/>
      <c r="CD2598" s="76"/>
      <c r="CE2598" s="76"/>
      <c r="CF2598" s="76">
        <f>+CE2598*28000</f>
        <v>0</v>
      </c>
      <c r="CG2598" s="76"/>
      <c r="CH2598" s="76">
        <f>+CG2598*22500</f>
        <v>0</v>
      </c>
      <c r="CI2598" s="76"/>
      <c r="CJ2598" s="76">
        <f>+CI2598*26000</f>
        <v>0</v>
      </c>
      <c r="CK2598" s="76"/>
      <c r="CL2598" s="76"/>
      <c r="CM2598" s="76"/>
      <c r="CN2598" s="76">
        <f>+CM2598*22000</f>
        <v>0</v>
      </c>
      <c r="CO2598" s="76"/>
      <c r="CP2598" s="76">
        <f>+CO2598*46000</f>
        <v>0</v>
      </c>
      <c r="CQ2598" s="76"/>
      <c r="CR2598" s="76">
        <f>+CQ2598*49000</f>
        <v>0</v>
      </c>
      <c r="CS2598" s="76"/>
      <c r="CT2598" s="76"/>
      <c r="CU2598" s="56">
        <f>AN2598+AP2598+AR2598+AT2598+AV2598+AX2598+AZ2598+BB2598+BD2598+BF2598+BH2598+BJ2598+BL2598+BN2598+BP2598+BR2598+BT2598+BV2598+BX2598+BZ2598+CB2598+CD2598+CF2598+CH2598+CJ2598+CL2598+CN2598+CP2598+CR2598+CT2598</f>
        <v>0</v>
      </c>
      <c r="CV2598" s="76"/>
      <c r="CW2598" s="76">
        <f>+CV2598*1100</f>
        <v>0</v>
      </c>
      <c r="CX2598" s="76"/>
      <c r="CY2598" s="76">
        <f>+CX2598*106250</f>
        <v>0</v>
      </c>
      <c r="CZ2598" s="76"/>
      <c r="DA2598" s="76">
        <f>+CZ2598*34500</f>
        <v>0</v>
      </c>
      <c r="DB2598" s="76"/>
      <c r="DC2598" s="76">
        <f>+DB2598*25000</f>
        <v>0</v>
      </c>
      <c r="DD2598" s="219"/>
      <c r="DE2598" s="219"/>
      <c r="DF2598" s="166"/>
      <c r="DG2598" s="116"/>
      <c r="DH2598" s="117"/>
      <c r="DI2598" s="24"/>
      <c r="DJ2598" s="24"/>
      <c r="DK2598" s="24"/>
      <c r="DL2598" s="24"/>
      <c r="DM2598" s="24"/>
      <c r="DN2598" s="24"/>
      <c r="DO2598" s="24"/>
      <c r="DP2598" s="24"/>
      <c r="DQ2598" s="24"/>
      <c r="DR2598" s="24"/>
      <c r="DS2598" s="24"/>
      <c r="DT2598" s="24"/>
      <c r="DU2598" s="24"/>
    </row>
    <row r="2599" spans="1:125" s="8" customFormat="1" ht="84" x14ac:dyDescent="0.2">
      <c r="A2599" s="226">
        <v>41488</v>
      </c>
      <c r="B2599" s="225" t="s">
        <v>2847</v>
      </c>
      <c r="C2599" s="227" t="s">
        <v>2197</v>
      </c>
      <c r="D2599" s="227" t="s">
        <v>2846</v>
      </c>
      <c r="E2599" s="353" t="str">
        <f>VLOOKUP(B2599&amp;C2599,Divipola!$C$2:$F$1138,4,FALSE)</f>
        <v>68276</v>
      </c>
      <c r="F2599" s="87"/>
      <c r="G2599" s="87"/>
      <c r="H2599" s="87"/>
      <c r="I2599" s="87"/>
      <c r="J2599" s="87"/>
      <c r="K2599" s="87"/>
      <c r="L2599" s="87"/>
      <c r="M2599" s="87"/>
      <c r="N2599" s="87"/>
      <c r="O2599" s="87"/>
      <c r="P2599" s="87"/>
      <c r="Q2599" s="87"/>
      <c r="R2599" s="87"/>
      <c r="S2599" s="87"/>
      <c r="T2599" s="87"/>
      <c r="U2599" s="88">
        <v>0.1</v>
      </c>
      <c r="V2599" s="89"/>
      <c r="W2599" s="96">
        <v>0</v>
      </c>
      <c r="X2599" s="71">
        <f>CU2599</f>
        <v>0</v>
      </c>
      <c r="Y2599" s="71">
        <f>CY2599</f>
        <v>0</v>
      </c>
      <c r="Z2599" s="71">
        <f>DA2599+DC2599+DE2599</f>
        <v>0</v>
      </c>
      <c r="AA2599" s="71">
        <f>CW2599</f>
        <v>0</v>
      </c>
      <c r="AB2599" s="71"/>
      <c r="AC2599" s="71">
        <v>0</v>
      </c>
      <c r="AD2599" s="71">
        <f>W2599+X2599+Y2599+Z2599+AA2599+AB2599+AC2599</f>
        <v>0</v>
      </c>
      <c r="AE2599" s="72">
        <v>0</v>
      </c>
      <c r="AF2599" s="5"/>
      <c r="AG2599" s="6"/>
      <c r="AH2599" s="27"/>
      <c r="AI2599" s="44"/>
      <c r="AJ2599" s="26"/>
      <c r="AK2599" s="5"/>
      <c r="AL2599" s="82" t="s">
        <v>5486</v>
      </c>
      <c r="AM2599" s="76"/>
      <c r="AN2599" s="76"/>
      <c r="AO2599" s="76"/>
      <c r="AP2599" s="76"/>
      <c r="AQ2599" s="76"/>
      <c r="AR2599" s="76"/>
      <c r="AS2599" s="76"/>
      <c r="AT2599" s="76"/>
      <c r="AU2599" s="76"/>
      <c r="AV2599" s="76"/>
      <c r="AW2599" s="76"/>
      <c r="AX2599" s="76">
        <f>+AW2599*600000</f>
        <v>0</v>
      </c>
      <c r="AY2599" s="76"/>
      <c r="AZ2599" s="76">
        <f>+AY2599*70000</f>
        <v>0</v>
      </c>
      <c r="BA2599" s="76"/>
      <c r="BB2599" s="76"/>
      <c r="BC2599" s="76"/>
      <c r="BD2599" s="76">
        <f>+BC2599*30000</f>
        <v>0</v>
      </c>
      <c r="BE2599" s="76"/>
      <c r="BF2599" s="76"/>
      <c r="BG2599" s="76"/>
      <c r="BH2599" s="76"/>
      <c r="BI2599" s="76"/>
      <c r="BJ2599" s="76"/>
      <c r="BK2599" s="76"/>
      <c r="BL2599" s="76">
        <f>+BK2599*31500</f>
        <v>0</v>
      </c>
      <c r="BM2599" s="76"/>
      <c r="BN2599" s="76"/>
      <c r="BO2599" s="76"/>
      <c r="BP2599" s="76"/>
      <c r="BQ2599" s="76"/>
      <c r="BR2599" s="76"/>
      <c r="BS2599" s="76"/>
      <c r="BT2599" s="76"/>
      <c r="BU2599" s="76"/>
      <c r="BV2599" s="76"/>
      <c r="BW2599" s="76"/>
      <c r="BX2599" s="76"/>
      <c r="BY2599" s="76"/>
      <c r="BZ2599" s="76"/>
      <c r="CA2599" s="76"/>
      <c r="CB2599" s="76"/>
      <c r="CC2599" s="76"/>
      <c r="CD2599" s="76"/>
      <c r="CE2599" s="76"/>
      <c r="CF2599" s="76">
        <f>+CE2599*28000</f>
        <v>0</v>
      </c>
      <c r="CG2599" s="76"/>
      <c r="CH2599" s="76">
        <f>+CG2599*22500</f>
        <v>0</v>
      </c>
      <c r="CI2599" s="76"/>
      <c r="CJ2599" s="76">
        <f>+CI2599*26000</f>
        <v>0</v>
      </c>
      <c r="CK2599" s="76"/>
      <c r="CL2599" s="76"/>
      <c r="CM2599" s="76"/>
      <c r="CN2599" s="76">
        <f>+CM2599*22000</f>
        <v>0</v>
      </c>
      <c r="CO2599" s="76"/>
      <c r="CP2599" s="76">
        <f>+CO2599*46000</f>
        <v>0</v>
      </c>
      <c r="CQ2599" s="76"/>
      <c r="CR2599" s="76">
        <f>+CQ2599*49000</f>
        <v>0</v>
      </c>
      <c r="CS2599" s="76"/>
      <c r="CT2599" s="76"/>
      <c r="CU2599" s="56">
        <f>AN2599+AP2599+AR2599+AT2599+AV2599+AX2599+AZ2599+BB2599+BD2599+BF2599+BH2599+BJ2599+BL2599+BN2599+BP2599+BR2599+BT2599+BV2599+BX2599+BZ2599+CB2599+CD2599+CF2599+CH2599+CJ2599+CL2599+CN2599+CP2599+CR2599+CT2599</f>
        <v>0</v>
      </c>
      <c r="CV2599" s="76"/>
      <c r="CW2599" s="76">
        <f>+CV2599*1100</f>
        <v>0</v>
      </c>
      <c r="CX2599" s="76"/>
      <c r="CY2599" s="76">
        <f>+CX2599*106250</f>
        <v>0</v>
      </c>
      <c r="CZ2599" s="76"/>
      <c r="DA2599" s="76">
        <f>+CZ2599*34500</f>
        <v>0</v>
      </c>
      <c r="DB2599" s="76"/>
      <c r="DC2599" s="76">
        <f>+DB2599*25000</f>
        <v>0</v>
      </c>
      <c r="DD2599" s="219"/>
      <c r="DE2599" s="219"/>
      <c r="DF2599" s="166"/>
      <c r="DG2599" s="116"/>
      <c r="DH2599" s="117"/>
      <c r="DI2599" s="24"/>
      <c r="DJ2599" s="24"/>
      <c r="DK2599" s="24"/>
      <c r="DL2599" s="24"/>
      <c r="DM2599" s="24"/>
      <c r="DN2599" s="24"/>
      <c r="DO2599" s="24"/>
      <c r="DP2599" s="24"/>
      <c r="DQ2599" s="24"/>
      <c r="DR2599" s="24"/>
      <c r="DS2599" s="24"/>
      <c r="DT2599" s="24"/>
      <c r="DU2599" s="24"/>
    </row>
    <row r="2600" spans="1:125" s="8" customFormat="1" ht="180" x14ac:dyDescent="0.2">
      <c r="A2600" s="353">
        <v>41488</v>
      </c>
      <c r="B2600" s="352" t="s">
        <v>2848</v>
      </c>
      <c r="C2600" s="354" t="s">
        <v>2077</v>
      </c>
      <c r="D2600" s="354" t="s">
        <v>3726</v>
      </c>
      <c r="E2600" s="353" t="str">
        <f>VLOOKUP(B2600&amp;C2600,Divipola!$C$2:$F$1138,4,FALSE)</f>
        <v>73411</v>
      </c>
      <c r="F2600" s="87"/>
      <c r="G2600" s="87"/>
      <c r="H2600" s="87"/>
      <c r="I2600" s="87"/>
      <c r="J2600" s="87"/>
      <c r="K2600" s="87"/>
      <c r="L2600" s="87"/>
      <c r="M2600" s="87"/>
      <c r="N2600" s="87"/>
      <c r="O2600" s="87"/>
      <c r="P2600" s="87"/>
      <c r="Q2600" s="87"/>
      <c r="R2600" s="87"/>
      <c r="S2600" s="87"/>
      <c r="T2600" s="87"/>
      <c r="U2600" s="88"/>
      <c r="V2600" s="89"/>
      <c r="W2600" s="96">
        <v>0</v>
      </c>
      <c r="X2600" s="71">
        <f>CU2600</f>
        <v>0</v>
      </c>
      <c r="Y2600" s="71">
        <f>CY2600</f>
        <v>0</v>
      </c>
      <c r="Z2600" s="71">
        <f>DA2600+DC2600+DE2600</f>
        <v>0</v>
      </c>
      <c r="AA2600" s="71">
        <f>CW2600</f>
        <v>0</v>
      </c>
      <c r="AB2600" s="71"/>
      <c r="AC2600" s="71">
        <v>0</v>
      </c>
      <c r="AD2600" s="71">
        <f>W2600+X2600+Y2600+Z2600+AA2600+AB2600+AC2600</f>
        <v>0</v>
      </c>
      <c r="AE2600" s="72">
        <v>0</v>
      </c>
      <c r="AF2600" s="5"/>
      <c r="AG2600" s="6"/>
      <c r="AH2600" s="27"/>
      <c r="AI2600" s="44"/>
      <c r="AJ2600" s="26"/>
      <c r="AK2600" s="5"/>
      <c r="AL2600" s="82" t="s">
        <v>5488</v>
      </c>
      <c r="AM2600" s="76"/>
      <c r="AN2600" s="76"/>
      <c r="AO2600" s="76"/>
      <c r="AP2600" s="76"/>
      <c r="AQ2600" s="76"/>
      <c r="AR2600" s="76"/>
      <c r="AS2600" s="76"/>
      <c r="AT2600" s="76"/>
      <c r="AU2600" s="76"/>
      <c r="AV2600" s="76"/>
      <c r="AW2600" s="76"/>
      <c r="AX2600" s="76">
        <f>+AW2600*600000</f>
        <v>0</v>
      </c>
      <c r="AY2600" s="76"/>
      <c r="AZ2600" s="76">
        <f>+AY2600*70000</f>
        <v>0</v>
      </c>
      <c r="BA2600" s="76"/>
      <c r="BB2600" s="76"/>
      <c r="BC2600" s="76"/>
      <c r="BD2600" s="76">
        <f>+BC2600*30000</f>
        <v>0</v>
      </c>
      <c r="BE2600" s="76"/>
      <c r="BF2600" s="76"/>
      <c r="BG2600" s="76"/>
      <c r="BH2600" s="76"/>
      <c r="BI2600" s="76"/>
      <c r="BJ2600" s="76"/>
      <c r="BK2600" s="76"/>
      <c r="BL2600" s="76">
        <f>+BK2600*31500</f>
        <v>0</v>
      </c>
      <c r="BM2600" s="76"/>
      <c r="BN2600" s="76"/>
      <c r="BO2600" s="76"/>
      <c r="BP2600" s="76"/>
      <c r="BQ2600" s="76"/>
      <c r="BR2600" s="76"/>
      <c r="BS2600" s="76"/>
      <c r="BT2600" s="76"/>
      <c r="BU2600" s="76"/>
      <c r="BV2600" s="76"/>
      <c r="BW2600" s="76"/>
      <c r="BX2600" s="76"/>
      <c r="BY2600" s="76"/>
      <c r="BZ2600" s="76"/>
      <c r="CA2600" s="76"/>
      <c r="CB2600" s="76"/>
      <c r="CC2600" s="76"/>
      <c r="CD2600" s="76"/>
      <c r="CE2600" s="76"/>
      <c r="CF2600" s="76">
        <f>+CE2600*28000</f>
        <v>0</v>
      </c>
      <c r="CG2600" s="76"/>
      <c r="CH2600" s="76">
        <f>+CG2600*22500</f>
        <v>0</v>
      </c>
      <c r="CI2600" s="76"/>
      <c r="CJ2600" s="76">
        <f>+CI2600*26000</f>
        <v>0</v>
      </c>
      <c r="CK2600" s="76"/>
      <c r="CL2600" s="76"/>
      <c r="CM2600" s="76"/>
      <c r="CN2600" s="76">
        <f>+CM2600*22000</f>
        <v>0</v>
      </c>
      <c r="CO2600" s="76"/>
      <c r="CP2600" s="76">
        <f>+CO2600*46000</f>
        <v>0</v>
      </c>
      <c r="CQ2600" s="76"/>
      <c r="CR2600" s="76">
        <f>+CQ2600*49000</f>
        <v>0</v>
      </c>
      <c r="CS2600" s="76"/>
      <c r="CT2600" s="76"/>
      <c r="CU2600" s="56">
        <f>AN2600+AP2600+AR2600+AT2600+AV2600+AX2600+AZ2600+BB2600+BD2600+BF2600+BH2600+BJ2600+BL2600+BN2600+BP2600+BR2600+BT2600+BV2600+BX2600+BZ2600+CB2600+CD2600+CF2600+CH2600+CJ2600+CL2600+CN2600+CP2600+CR2600+CT2600</f>
        <v>0</v>
      </c>
      <c r="CV2600" s="76"/>
      <c r="CW2600" s="76">
        <f>+CV2600*1100</f>
        <v>0</v>
      </c>
      <c r="CX2600" s="76"/>
      <c r="CY2600" s="76">
        <f>+CX2600*106250</f>
        <v>0</v>
      </c>
      <c r="CZ2600" s="76"/>
      <c r="DA2600" s="76">
        <f>+CZ2600*34500</f>
        <v>0</v>
      </c>
      <c r="DB2600" s="76"/>
      <c r="DC2600" s="76">
        <f>+DB2600*25000</f>
        <v>0</v>
      </c>
      <c r="DD2600" s="219"/>
      <c r="DE2600" s="219"/>
      <c r="DF2600" s="166"/>
      <c r="DG2600" s="116"/>
      <c r="DH2600" s="117"/>
      <c r="DI2600" s="24"/>
      <c r="DJ2600" s="24"/>
      <c r="DK2600" s="24"/>
      <c r="DL2600" s="24"/>
      <c r="DM2600" s="24"/>
      <c r="DN2600" s="24"/>
      <c r="DO2600" s="24"/>
      <c r="DP2600" s="24"/>
      <c r="DQ2600" s="24"/>
      <c r="DR2600" s="24"/>
      <c r="DS2600" s="24"/>
      <c r="DT2600" s="24"/>
      <c r="DU2600" s="24"/>
    </row>
    <row r="2601" spans="1:125" s="8" customFormat="1" ht="36" x14ac:dyDescent="0.2">
      <c r="A2601" s="77">
        <v>41488</v>
      </c>
      <c r="B2601" s="78" t="s">
        <v>2848</v>
      </c>
      <c r="C2601" s="75" t="s">
        <v>2077</v>
      </c>
      <c r="D2601" s="75" t="s">
        <v>2846</v>
      </c>
      <c r="E2601" s="353" t="str">
        <f>VLOOKUP(B2601&amp;C2601,Divipola!$C$2:$F$1138,4,FALSE)</f>
        <v>73411</v>
      </c>
      <c r="F2601" s="87"/>
      <c r="G2601" s="87"/>
      <c r="H2601" s="87"/>
      <c r="I2601" s="87"/>
      <c r="J2601" s="87"/>
      <c r="K2601" s="87"/>
      <c r="L2601" s="87"/>
      <c r="M2601" s="87"/>
      <c r="N2601" s="87"/>
      <c r="O2601" s="87"/>
      <c r="P2601" s="87"/>
      <c r="Q2601" s="87"/>
      <c r="R2601" s="87"/>
      <c r="S2601" s="87"/>
      <c r="T2601" s="87"/>
      <c r="U2601" s="88">
        <v>2</v>
      </c>
      <c r="V2601" s="89"/>
      <c r="W2601" s="96">
        <v>0</v>
      </c>
      <c r="X2601" s="71">
        <f>CU2601</f>
        <v>0</v>
      </c>
      <c r="Y2601" s="71">
        <f>CY2601</f>
        <v>0</v>
      </c>
      <c r="Z2601" s="71">
        <f>DA2601+DC2601+DE2601</f>
        <v>0</v>
      </c>
      <c r="AA2601" s="71">
        <f>CW2601</f>
        <v>0</v>
      </c>
      <c r="AB2601" s="71"/>
      <c r="AC2601" s="71">
        <v>0</v>
      </c>
      <c r="AD2601" s="71">
        <f>W2601+X2601+Y2601+Z2601+AA2601+AB2601+AC2601</f>
        <v>0</v>
      </c>
      <c r="AE2601" s="72">
        <v>0</v>
      </c>
      <c r="AF2601" s="5"/>
      <c r="AG2601" s="6"/>
      <c r="AH2601" s="27"/>
      <c r="AI2601" s="44"/>
      <c r="AJ2601" s="26"/>
      <c r="AK2601" s="5"/>
      <c r="AL2601" s="82" t="s">
        <v>5489</v>
      </c>
      <c r="AM2601" s="76"/>
      <c r="AN2601" s="76"/>
      <c r="AO2601" s="76"/>
      <c r="AP2601" s="76"/>
      <c r="AQ2601" s="76"/>
      <c r="AR2601" s="76"/>
      <c r="AS2601" s="76"/>
      <c r="AT2601" s="76"/>
      <c r="AU2601" s="76"/>
      <c r="AV2601" s="76"/>
      <c r="AW2601" s="76"/>
      <c r="AX2601" s="76">
        <f>+AW2601*600000</f>
        <v>0</v>
      </c>
      <c r="AY2601" s="76"/>
      <c r="AZ2601" s="76">
        <f>+AY2601*70000</f>
        <v>0</v>
      </c>
      <c r="BA2601" s="76"/>
      <c r="BB2601" s="76"/>
      <c r="BC2601" s="76"/>
      <c r="BD2601" s="76">
        <f>+BC2601*30000</f>
        <v>0</v>
      </c>
      <c r="BE2601" s="76"/>
      <c r="BF2601" s="76"/>
      <c r="BG2601" s="76"/>
      <c r="BH2601" s="76"/>
      <c r="BI2601" s="76"/>
      <c r="BJ2601" s="76"/>
      <c r="BK2601" s="76"/>
      <c r="BL2601" s="76">
        <f>+BK2601*31500</f>
        <v>0</v>
      </c>
      <c r="BM2601" s="76"/>
      <c r="BN2601" s="76"/>
      <c r="BO2601" s="76"/>
      <c r="BP2601" s="76"/>
      <c r="BQ2601" s="76"/>
      <c r="BR2601" s="76"/>
      <c r="BS2601" s="76"/>
      <c r="BT2601" s="76"/>
      <c r="BU2601" s="76"/>
      <c r="BV2601" s="76"/>
      <c r="BW2601" s="76"/>
      <c r="BX2601" s="76"/>
      <c r="BY2601" s="76"/>
      <c r="BZ2601" s="76"/>
      <c r="CA2601" s="76"/>
      <c r="CB2601" s="76"/>
      <c r="CC2601" s="76"/>
      <c r="CD2601" s="76"/>
      <c r="CE2601" s="76"/>
      <c r="CF2601" s="76">
        <f>+CE2601*28000</f>
        <v>0</v>
      </c>
      <c r="CG2601" s="76"/>
      <c r="CH2601" s="76">
        <f>+CG2601*22500</f>
        <v>0</v>
      </c>
      <c r="CI2601" s="76"/>
      <c r="CJ2601" s="76">
        <f>+CI2601*26000</f>
        <v>0</v>
      </c>
      <c r="CK2601" s="76"/>
      <c r="CL2601" s="76"/>
      <c r="CM2601" s="76"/>
      <c r="CN2601" s="76">
        <f>+CM2601*22000</f>
        <v>0</v>
      </c>
      <c r="CO2601" s="76"/>
      <c r="CP2601" s="76">
        <f>+CO2601*46000</f>
        <v>0</v>
      </c>
      <c r="CQ2601" s="76"/>
      <c r="CR2601" s="76">
        <f>+CQ2601*49000</f>
        <v>0</v>
      </c>
      <c r="CS2601" s="76"/>
      <c r="CT2601" s="76"/>
      <c r="CU2601" s="56">
        <f>AN2601+AP2601+AR2601+AT2601+AV2601+AX2601+AZ2601+BB2601+BD2601+BF2601+BH2601+BJ2601+BL2601+BN2601+BP2601+BR2601+BT2601+BV2601+BX2601+BZ2601+CB2601+CD2601+CF2601+CH2601+CJ2601+CL2601+CN2601+CP2601+CR2601+CT2601</f>
        <v>0</v>
      </c>
      <c r="CV2601" s="76"/>
      <c r="CW2601" s="76">
        <f>+CV2601*1100</f>
        <v>0</v>
      </c>
      <c r="CX2601" s="76"/>
      <c r="CY2601" s="76">
        <f>+CX2601*106250</f>
        <v>0</v>
      </c>
      <c r="CZ2601" s="76"/>
      <c r="DA2601" s="76">
        <f>+CZ2601*34500</f>
        <v>0</v>
      </c>
      <c r="DB2601" s="76"/>
      <c r="DC2601" s="76">
        <f>+DB2601*25000</f>
        <v>0</v>
      </c>
      <c r="DD2601" s="219"/>
      <c r="DE2601" s="219"/>
      <c r="DF2601" s="166"/>
      <c r="DG2601" s="116"/>
      <c r="DH2601" s="117"/>
      <c r="DI2601" s="24"/>
      <c r="DJ2601" s="24"/>
      <c r="DK2601" s="24"/>
      <c r="DL2601" s="24"/>
      <c r="DM2601" s="24"/>
      <c r="DN2601" s="24"/>
      <c r="DO2601" s="24"/>
      <c r="DP2601" s="24"/>
      <c r="DQ2601" s="24"/>
      <c r="DR2601" s="24"/>
      <c r="DS2601" s="24"/>
      <c r="DT2601" s="24"/>
      <c r="DU2601" s="24"/>
    </row>
    <row r="2602" spans="1:125" s="8" customFormat="1" ht="60" x14ac:dyDescent="0.2">
      <c r="A2602" s="226">
        <v>41488</v>
      </c>
      <c r="B2602" s="352" t="s">
        <v>2848</v>
      </c>
      <c r="C2602" s="354" t="s">
        <v>2104</v>
      </c>
      <c r="D2602" s="354" t="s">
        <v>2846</v>
      </c>
      <c r="E2602" s="353" t="str">
        <f>VLOOKUP(B2602&amp;C2602,Divipola!$C$2:$F$1138,4,FALSE)</f>
        <v>73563</v>
      </c>
      <c r="F2602" s="87"/>
      <c r="G2602" s="87"/>
      <c r="H2602" s="87"/>
      <c r="I2602" s="87"/>
      <c r="J2602" s="87"/>
      <c r="K2602" s="87"/>
      <c r="L2602" s="87"/>
      <c r="M2602" s="87"/>
      <c r="N2602" s="87"/>
      <c r="O2602" s="87"/>
      <c r="P2602" s="87"/>
      <c r="Q2602" s="87"/>
      <c r="R2602" s="87"/>
      <c r="S2602" s="87"/>
      <c r="T2602" s="87"/>
      <c r="U2602" s="88">
        <v>120</v>
      </c>
      <c r="V2602" s="89"/>
      <c r="W2602" s="96">
        <v>0</v>
      </c>
      <c r="X2602" s="71">
        <f>CU2602</f>
        <v>0</v>
      </c>
      <c r="Y2602" s="71">
        <f>CY2602</f>
        <v>0</v>
      </c>
      <c r="Z2602" s="71">
        <f>DA2602+DC2602+DE2602</f>
        <v>0</v>
      </c>
      <c r="AA2602" s="71">
        <f>CW2602</f>
        <v>0</v>
      </c>
      <c r="AB2602" s="71"/>
      <c r="AC2602" s="71">
        <v>0</v>
      </c>
      <c r="AD2602" s="71">
        <f>W2602+X2602+Y2602+Z2602+AA2602+AB2602+AC2602</f>
        <v>0</v>
      </c>
      <c r="AE2602" s="72">
        <v>0</v>
      </c>
      <c r="AF2602" s="5"/>
      <c r="AG2602" s="6"/>
      <c r="AH2602" s="27"/>
      <c r="AI2602" s="44"/>
      <c r="AJ2602" s="26"/>
      <c r="AK2602" s="5"/>
      <c r="AL2602" s="82" t="s">
        <v>5490</v>
      </c>
      <c r="AM2602" s="76"/>
      <c r="AN2602" s="76"/>
      <c r="AO2602" s="76"/>
      <c r="AP2602" s="76"/>
      <c r="AQ2602" s="76"/>
      <c r="AR2602" s="76"/>
      <c r="AS2602" s="76"/>
      <c r="AT2602" s="76"/>
      <c r="AU2602" s="76"/>
      <c r="AV2602" s="76"/>
      <c r="AW2602" s="76"/>
      <c r="AX2602" s="76">
        <f>+AW2602*600000</f>
        <v>0</v>
      </c>
      <c r="AY2602" s="76"/>
      <c r="AZ2602" s="76">
        <f>+AY2602*70000</f>
        <v>0</v>
      </c>
      <c r="BA2602" s="76"/>
      <c r="BB2602" s="76"/>
      <c r="BC2602" s="76"/>
      <c r="BD2602" s="76">
        <f>+BC2602*30000</f>
        <v>0</v>
      </c>
      <c r="BE2602" s="76"/>
      <c r="BF2602" s="76"/>
      <c r="BG2602" s="76"/>
      <c r="BH2602" s="76"/>
      <c r="BI2602" s="76"/>
      <c r="BJ2602" s="76"/>
      <c r="BK2602" s="76"/>
      <c r="BL2602" s="76">
        <f>+BK2602*31500</f>
        <v>0</v>
      </c>
      <c r="BM2602" s="76"/>
      <c r="BN2602" s="76"/>
      <c r="BO2602" s="76"/>
      <c r="BP2602" s="76"/>
      <c r="BQ2602" s="76"/>
      <c r="BR2602" s="76"/>
      <c r="BS2602" s="76"/>
      <c r="BT2602" s="76"/>
      <c r="BU2602" s="76"/>
      <c r="BV2602" s="76"/>
      <c r="BW2602" s="76"/>
      <c r="BX2602" s="76"/>
      <c r="BY2602" s="76"/>
      <c r="BZ2602" s="76"/>
      <c r="CA2602" s="76"/>
      <c r="CB2602" s="76"/>
      <c r="CC2602" s="76"/>
      <c r="CD2602" s="76"/>
      <c r="CE2602" s="76"/>
      <c r="CF2602" s="76">
        <f>+CE2602*28000</f>
        <v>0</v>
      </c>
      <c r="CG2602" s="76"/>
      <c r="CH2602" s="76">
        <f>+CG2602*22500</f>
        <v>0</v>
      </c>
      <c r="CI2602" s="76"/>
      <c r="CJ2602" s="76">
        <f>+CI2602*26000</f>
        <v>0</v>
      </c>
      <c r="CK2602" s="76"/>
      <c r="CL2602" s="76"/>
      <c r="CM2602" s="76"/>
      <c r="CN2602" s="76">
        <f>+CM2602*22000</f>
        <v>0</v>
      </c>
      <c r="CO2602" s="76"/>
      <c r="CP2602" s="76">
        <f>+CO2602*46000</f>
        <v>0</v>
      </c>
      <c r="CQ2602" s="76"/>
      <c r="CR2602" s="76">
        <f>+CQ2602*49000</f>
        <v>0</v>
      </c>
      <c r="CS2602" s="76"/>
      <c r="CT2602" s="76"/>
      <c r="CU2602" s="56">
        <f>AN2602+AP2602+AR2602+AT2602+AV2602+AX2602+AZ2602+BB2602+BD2602+BF2602+BH2602+BJ2602+BL2602+BN2602+BP2602+BR2602+BT2602+BV2602+BX2602+BZ2602+CB2602+CD2602+CF2602+CH2602+CJ2602+CL2602+CN2602+CP2602+CR2602+CT2602</f>
        <v>0</v>
      </c>
      <c r="CV2602" s="76"/>
      <c r="CW2602" s="76">
        <f>+CV2602*1100</f>
        <v>0</v>
      </c>
      <c r="CX2602" s="76"/>
      <c r="CY2602" s="76">
        <f>+CX2602*106250</f>
        <v>0</v>
      </c>
      <c r="CZ2602" s="76"/>
      <c r="DA2602" s="76">
        <f>+CZ2602*34500</f>
        <v>0</v>
      </c>
      <c r="DB2602" s="76"/>
      <c r="DC2602" s="76">
        <f>+DB2602*25000</f>
        <v>0</v>
      </c>
      <c r="DD2602" s="219"/>
      <c r="DE2602" s="219"/>
      <c r="DF2602" s="166"/>
      <c r="DG2602" s="116"/>
      <c r="DH2602" s="117"/>
      <c r="DI2602" s="24"/>
      <c r="DJ2602" s="24"/>
      <c r="DK2602" s="24"/>
      <c r="DL2602" s="24"/>
      <c r="DM2602" s="24"/>
      <c r="DN2602" s="24"/>
      <c r="DO2602" s="24"/>
      <c r="DP2602" s="24"/>
      <c r="DQ2602" s="24"/>
      <c r="DR2602" s="24"/>
      <c r="DS2602" s="24"/>
      <c r="DT2602" s="24"/>
      <c r="DU2602" s="24"/>
    </row>
    <row r="2603" spans="1:125" s="8" customFormat="1" ht="38.25" customHeight="1" x14ac:dyDescent="0.2">
      <c r="A2603" s="77">
        <v>41488</v>
      </c>
      <c r="B2603" s="78" t="s">
        <v>2854</v>
      </c>
      <c r="C2603" s="75" t="s">
        <v>831</v>
      </c>
      <c r="D2603" s="75" t="s">
        <v>2882</v>
      </c>
      <c r="E2603" s="75" t="str">
        <f>VLOOKUP(B2603&amp;C2603,Divipola!$C$2:$F$1138,4,FALSE)</f>
        <v>19137</v>
      </c>
      <c r="F2603" s="61"/>
      <c r="G2603" s="61"/>
      <c r="H2603" s="61"/>
      <c r="I2603" s="61">
        <v>410</v>
      </c>
      <c r="J2603" s="61">
        <v>82</v>
      </c>
      <c r="K2603" s="61"/>
      <c r="L2603" s="61">
        <v>82</v>
      </c>
      <c r="M2603" s="61"/>
      <c r="N2603" s="61"/>
      <c r="O2603" s="61"/>
      <c r="P2603" s="61"/>
      <c r="Q2603" s="61"/>
      <c r="R2603" s="61"/>
      <c r="S2603" s="61">
        <v>4</v>
      </c>
      <c r="T2603" s="61"/>
      <c r="U2603" s="61"/>
      <c r="V2603" s="7"/>
      <c r="W2603" s="96">
        <v>0</v>
      </c>
      <c r="X2603" s="71">
        <f>CU2603</f>
        <v>0</v>
      </c>
      <c r="Y2603" s="71">
        <f>CY2603</f>
        <v>0</v>
      </c>
      <c r="Z2603" s="71">
        <f>DA2603+DC2603+DE2603</f>
        <v>0</v>
      </c>
      <c r="AA2603" s="71">
        <f>CW2603</f>
        <v>0</v>
      </c>
      <c r="AB2603" s="71"/>
      <c r="AC2603" s="71">
        <v>0</v>
      </c>
      <c r="AD2603" s="71">
        <f>W2603+X2603+Y2603+Z2603+AA2603+AB2603+AC2603</f>
        <v>0</v>
      </c>
      <c r="AE2603" s="72">
        <v>0</v>
      </c>
      <c r="AF2603" s="5"/>
      <c r="AG2603" s="6"/>
      <c r="AH2603" s="27"/>
      <c r="AI2603" s="44"/>
      <c r="AJ2603" s="26"/>
      <c r="AK2603" s="5"/>
      <c r="AL2603" s="9" t="s">
        <v>6744</v>
      </c>
      <c r="AM2603" s="76"/>
      <c r="AN2603" s="76"/>
      <c r="AO2603" s="76"/>
      <c r="AP2603" s="76"/>
      <c r="AQ2603" s="76"/>
      <c r="AR2603" s="76"/>
      <c r="AS2603" s="76"/>
      <c r="AT2603" s="76"/>
      <c r="AU2603" s="76"/>
      <c r="AV2603" s="76"/>
      <c r="AW2603" s="76"/>
      <c r="AX2603" s="76">
        <f>+AW2603*600000</f>
        <v>0</v>
      </c>
      <c r="AY2603" s="76"/>
      <c r="AZ2603" s="76">
        <f>+AY2603*70000</f>
        <v>0</v>
      </c>
      <c r="BA2603" s="76"/>
      <c r="BB2603" s="76"/>
      <c r="BC2603" s="76"/>
      <c r="BD2603" s="76">
        <f>+BC2603*30000</f>
        <v>0</v>
      </c>
      <c r="BE2603" s="76"/>
      <c r="BF2603" s="76"/>
      <c r="BG2603" s="76"/>
      <c r="BH2603" s="76"/>
      <c r="BI2603" s="76"/>
      <c r="BJ2603" s="76"/>
      <c r="BK2603" s="76"/>
      <c r="BL2603" s="76">
        <f>+BK2603*31500</f>
        <v>0</v>
      </c>
      <c r="BM2603" s="76"/>
      <c r="BN2603" s="76"/>
      <c r="BO2603" s="76"/>
      <c r="BP2603" s="76"/>
      <c r="BQ2603" s="76"/>
      <c r="BR2603" s="76"/>
      <c r="BS2603" s="76"/>
      <c r="BT2603" s="76"/>
      <c r="BU2603" s="76"/>
      <c r="BV2603" s="76"/>
      <c r="BW2603" s="76"/>
      <c r="BX2603" s="76"/>
      <c r="BY2603" s="76"/>
      <c r="BZ2603" s="76"/>
      <c r="CA2603" s="76"/>
      <c r="CB2603" s="76"/>
      <c r="CC2603" s="76"/>
      <c r="CD2603" s="76"/>
      <c r="CE2603" s="76"/>
      <c r="CF2603" s="76">
        <f>+CE2603*28000</f>
        <v>0</v>
      </c>
      <c r="CG2603" s="76"/>
      <c r="CH2603" s="76">
        <f>+CG2603*22500</f>
        <v>0</v>
      </c>
      <c r="CI2603" s="76"/>
      <c r="CJ2603" s="76">
        <f>+CI2603*26000</f>
        <v>0</v>
      </c>
      <c r="CK2603" s="76"/>
      <c r="CL2603" s="76"/>
      <c r="CM2603" s="76"/>
      <c r="CN2603" s="76">
        <f>+CM2603*22000</f>
        <v>0</v>
      </c>
      <c r="CO2603" s="76"/>
      <c r="CP2603" s="76">
        <f>+CO2603*46000</f>
        <v>0</v>
      </c>
      <c r="CQ2603" s="76"/>
      <c r="CR2603" s="76">
        <f>+CQ2603*49000</f>
        <v>0</v>
      </c>
      <c r="CS2603" s="76"/>
      <c r="CT2603" s="76"/>
      <c r="CU2603" s="56">
        <f>AN2603+AP2603+AR2603+AT2603+AV2603+AX2603+AZ2603+BB2603+BD2603+BF2603+BH2603+BJ2603+BL2603+BN2603+BP2603+BR2603+BT2603+BV2603+BX2603+BZ2603+CB2603+CD2603+CF2603+CH2603+CJ2603+CL2603+CN2603+CP2603+CR2603+CT2603</f>
        <v>0</v>
      </c>
      <c r="CV2603" s="76"/>
      <c r="CW2603" s="76">
        <f>+CV2603*1100</f>
        <v>0</v>
      </c>
      <c r="CX2603" s="76"/>
      <c r="CY2603" s="76">
        <f>+CX2603*106250</f>
        <v>0</v>
      </c>
      <c r="CZ2603" s="76"/>
      <c r="DA2603" s="76">
        <f>+CZ2603*34500</f>
        <v>0</v>
      </c>
      <c r="DB2603" s="76"/>
      <c r="DC2603" s="76">
        <f>+DB2603*25000</f>
        <v>0</v>
      </c>
      <c r="DD2603" s="219"/>
      <c r="DE2603" s="219"/>
      <c r="DF2603" s="166"/>
      <c r="DG2603" s="116"/>
      <c r="DH2603" s="117"/>
      <c r="DI2603" s="24"/>
      <c r="DJ2603" s="24"/>
      <c r="DK2603" s="24"/>
      <c r="DL2603" s="24"/>
      <c r="DM2603" s="24"/>
      <c r="DN2603" s="24"/>
      <c r="DO2603" s="24"/>
      <c r="DP2603" s="24"/>
      <c r="DQ2603" s="24"/>
      <c r="DR2603" s="24"/>
      <c r="DS2603" s="24"/>
      <c r="DT2603" s="24"/>
      <c r="DU2603" s="24"/>
    </row>
    <row r="2604" spans="1:125" s="8" customFormat="1" ht="48" x14ac:dyDescent="0.2">
      <c r="A2604" s="353">
        <v>41489</v>
      </c>
      <c r="B2604" s="352" t="s">
        <v>2894</v>
      </c>
      <c r="C2604" s="354" t="s">
        <v>2593</v>
      </c>
      <c r="D2604" s="354" t="s">
        <v>3088</v>
      </c>
      <c r="E2604" s="353" t="str">
        <f>VLOOKUP(B2604&amp;C2604,Divipola!$C$2:$F$1138,4,FALSE)</f>
        <v>05697</v>
      </c>
      <c r="F2604" s="87"/>
      <c r="G2604" s="87"/>
      <c r="H2604" s="87"/>
      <c r="I2604" s="87">
        <v>10</v>
      </c>
      <c r="J2604" s="87">
        <v>2</v>
      </c>
      <c r="K2604" s="87"/>
      <c r="L2604" s="87">
        <v>2</v>
      </c>
      <c r="M2604" s="87"/>
      <c r="N2604" s="87"/>
      <c r="O2604" s="87"/>
      <c r="P2604" s="87"/>
      <c r="Q2604" s="87"/>
      <c r="R2604" s="87"/>
      <c r="S2604" s="87"/>
      <c r="T2604" s="87"/>
      <c r="U2604" s="88"/>
      <c r="V2604" s="89"/>
      <c r="W2604" s="96">
        <v>0</v>
      </c>
      <c r="X2604" s="71">
        <f>CU2604</f>
        <v>0</v>
      </c>
      <c r="Y2604" s="71">
        <f>CY2604</f>
        <v>0</v>
      </c>
      <c r="Z2604" s="71">
        <f>DA2604+DC2604+DE2604</f>
        <v>0</v>
      </c>
      <c r="AA2604" s="71">
        <f>CW2604</f>
        <v>0</v>
      </c>
      <c r="AB2604" s="71"/>
      <c r="AC2604" s="71">
        <v>0</v>
      </c>
      <c r="AD2604" s="71">
        <f>W2604+X2604+Y2604+Z2604+AA2604+AB2604+AC2604</f>
        <v>0</v>
      </c>
      <c r="AE2604" s="72">
        <v>0</v>
      </c>
      <c r="AF2604" s="5"/>
      <c r="AG2604" s="6"/>
      <c r="AH2604" s="27"/>
      <c r="AI2604" s="44"/>
      <c r="AJ2604" s="26"/>
      <c r="AK2604" s="5"/>
      <c r="AL2604" s="82" t="s">
        <v>5503</v>
      </c>
      <c r="AM2604" s="76"/>
      <c r="AN2604" s="76"/>
      <c r="AO2604" s="76"/>
      <c r="AP2604" s="76"/>
      <c r="AQ2604" s="76"/>
      <c r="AR2604" s="76"/>
      <c r="AS2604" s="76"/>
      <c r="AT2604" s="76"/>
      <c r="AU2604" s="76"/>
      <c r="AV2604" s="76"/>
      <c r="AW2604" s="76"/>
      <c r="AX2604" s="76">
        <f>+AW2604*600000</f>
        <v>0</v>
      </c>
      <c r="AY2604" s="76"/>
      <c r="AZ2604" s="76">
        <f>+AY2604*70000</f>
        <v>0</v>
      </c>
      <c r="BA2604" s="76"/>
      <c r="BB2604" s="76"/>
      <c r="BC2604" s="76"/>
      <c r="BD2604" s="76">
        <f>+BC2604*30000</f>
        <v>0</v>
      </c>
      <c r="BE2604" s="76"/>
      <c r="BF2604" s="76"/>
      <c r="BG2604" s="76"/>
      <c r="BH2604" s="76"/>
      <c r="BI2604" s="76"/>
      <c r="BJ2604" s="76"/>
      <c r="BK2604" s="76"/>
      <c r="BL2604" s="76">
        <f>+BK2604*31500</f>
        <v>0</v>
      </c>
      <c r="BM2604" s="76"/>
      <c r="BN2604" s="76"/>
      <c r="BO2604" s="76"/>
      <c r="BP2604" s="76"/>
      <c r="BQ2604" s="76"/>
      <c r="BR2604" s="76"/>
      <c r="BS2604" s="76"/>
      <c r="BT2604" s="76"/>
      <c r="BU2604" s="76"/>
      <c r="BV2604" s="76"/>
      <c r="BW2604" s="76"/>
      <c r="BX2604" s="76"/>
      <c r="BY2604" s="76"/>
      <c r="BZ2604" s="76"/>
      <c r="CA2604" s="76"/>
      <c r="CB2604" s="76"/>
      <c r="CC2604" s="76"/>
      <c r="CD2604" s="76"/>
      <c r="CE2604" s="76"/>
      <c r="CF2604" s="76">
        <f>+CE2604*28000</f>
        <v>0</v>
      </c>
      <c r="CG2604" s="76"/>
      <c r="CH2604" s="76">
        <f>+CG2604*22500</f>
        <v>0</v>
      </c>
      <c r="CI2604" s="76"/>
      <c r="CJ2604" s="76">
        <f>+CI2604*26000</f>
        <v>0</v>
      </c>
      <c r="CK2604" s="76"/>
      <c r="CL2604" s="76"/>
      <c r="CM2604" s="76"/>
      <c r="CN2604" s="76">
        <f>+CM2604*22000</f>
        <v>0</v>
      </c>
      <c r="CO2604" s="76"/>
      <c r="CP2604" s="76">
        <f>+CO2604*46000</f>
        <v>0</v>
      </c>
      <c r="CQ2604" s="76"/>
      <c r="CR2604" s="76">
        <f>+CQ2604*49000</f>
        <v>0</v>
      </c>
      <c r="CS2604" s="76"/>
      <c r="CT2604" s="76"/>
      <c r="CU2604" s="56">
        <f>AN2604+AP2604+AR2604+AT2604+AV2604+AX2604+AZ2604+BB2604+BD2604+BF2604+BH2604+BJ2604+BL2604+BN2604+BP2604+BR2604+BT2604+BV2604+BX2604+BZ2604+CB2604+CD2604+CF2604+CH2604+CJ2604+CL2604+CN2604+CP2604+CR2604+CT2604</f>
        <v>0</v>
      </c>
      <c r="CV2604" s="76"/>
      <c r="CW2604" s="76">
        <f>+CV2604*1100</f>
        <v>0</v>
      </c>
      <c r="CX2604" s="76"/>
      <c r="CY2604" s="76">
        <f>+CX2604*106250</f>
        <v>0</v>
      </c>
      <c r="CZ2604" s="76"/>
      <c r="DA2604" s="76">
        <f>+CZ2604*34500</f>
        <v>0</v>
      </c>
      <c r="DB2604" s="76"/>
      <c r="DC2604" s="76">
        <f>+DB2604*25000</f>
        <v>0</v>
      </c>
      <c r="DD2604" s="219"/>
      <c r="DE2604" s="219"/>
      <c r="DF2604" s="166"/>
      <c r="DG2604" s="116"/>
      <c r="DH2604" s="117"/>
      <c r="DI2604" s="24"/>
      <c r="DJ2604" s="24"/>
      <c r="DK2604" s="24"/>
      <c r="DL2604" s="24"/>
      <c r="DM2604" s="24"/>
      <c r="DN2604" s="24"/>
      <c r="DO2604" s="24"/>
      <c r="DP2604" s="24"/>
      <c r="DQ2604" s="24"/>
      <c r="DR2604" s="24"/>
      <c r="DS2604" s="24"/>
      <c r="DT2604" s="24"/>
      <c r="DU2604" s="24"/>
    </row>
    <row r="2605" spans="1:125" s="8" customFormat="1" ht="48" x14ac:dyDescent="0.2">
      <c r="A2605" s="353">
        <v>41489</v>
      </c>
      <c r="B2605" s="352" t="s">
        <v>2894</v>
      </c>
      <c r="C2605" s="354" t="s">
        <v>2491</v>
      </c>
      <c r="D2605" s="354" t="s">
        <v>2846</v>
      </c>
      <c r="E2605" s="353" t="str">
        <f>VLOOKUP(B2605&amp;C2605,Divipola!$C$2:$F$1138,4,FALSE)</f>
        <v>05390</v>
      </c>
      <c r="F2605" s="87"/>
      <c r="G2605" s="87"/>
      <c r="H2605" s="87"/>
      <c r="I2605" s="87"/>
      <c r="J2605" s="87"/>
      <c r="K2605" s="87"/>
      <c r="L2605" s="87"/>
      <c r="M2605" s="87"/>
      <c r="N2605" s="87"/>
      <c r="O2605" s="87"/>
      <c r="P2605" s="87"/>
      <c r="Q2605" s="87"/>
      <c r="R2605" s="87"/>
      <c r="S2605" s="87"/>
      <c r="T2605" s="87"/>
      <c r="U2605" s="88">
        <v>5</v>
      </c>
      <c r="V2605" s="89"/>
      <c r="W2605" s="96">
        <v>0</v>
      </c>
      <c r="X2605" s="71">
        <f>CU2605</f>
        <v>0</v>
      </c>
      <c r="Y2605" s="71">
        <f>CY2605</f>
        <v>0</v>
      </c>
      <c r="Z2605" s="71">
        <f>DA2605+DC2605+DE2605</f>
        <v>0</v>
      </c>
      <c r="AA2605" s="71">
        <f>CW2605</f>
        <v>0</v>
      </c>
      <c r="AB2605" s="71"/>
      <c r="AC2605" s="71">
        <v>0</v>
      </c>
      <c r="AD2605" s="71">
        <f>W2605+X2605+Y2605+Z2605+AA2605+AB2605+AC2605</f>
        <v>0</v>
      </c>
      <c r="AE2605" s="72">
        <v>0</v>
      </c>
      <c r="AF2605" s="5"/>
      <c r="AG2605" s="6"/>
      <c r="AH2605" s="27"/>
      <c r="AI2605" s="44"/>
      <c r="AJ2605" s="26"/>
      <c r="AK2605" s="5"/>
      <c r="AL2605" s="82" t="s">
        <v>5504</v>
      </c>
      <c r="AM2605" s="76"/>
      <c r="AN2605" s="76"/>
      <c r="AO2605" s="76"/>
      <c r="AP2605" s="76"/>
      <c r="AQ2605" s="76"/>
      <c r="AR2605" s="76"/>
      <c r="AS2605" s="76"/>
      <c r="AT2605" s="76"/>
      <c r="AU2605" s="76"/>
      <c r="AV2605" s="76"/>
      <c r="AW2605" s="76"/>
      <c r="AX2605" s="76">
        <f>+AW2605*600000</f>
        <v>0</v>
      </c>
      <c r="AY2605" s="76"/>
      <c r="AZ2605" s="76">
        <f>+AY2605*70000</f>
        <v>0</v>
      </c>
      <c r="BA2605" s="76"/>
      <c r="BB2605" s="76"/>
      <c r="BC2605" s="76"/>
      <c r="BD2605" s="76">
        <f>+BC2605*30000</f>
        <v>0</v>
      </c>
      <c r="BE2605" s="76"/>
      <c r="BF2605" s="76"/>
      <c r="BG2605" s="76"/>
      <c r="BH2605" s="76"/>
      <c r="BI2605" s="76"/>
      <c r="BJ2605" s="76"/>
      <c r="BK2605" s="76"/>
      <c r="BL2605" s="76">
        <f>+BK2605*31500</f>
        <v>0</v>
      </c>
      <c r="BM2605" s="76"/>
      <c r="BN2605" s="76"/>
      <c r="BO2605" s="76"/>
      <c r="BP2605" s="76"/>
      <c r="BQ2605" s="76"/>
      <c r="BR2605" s="76"/>
      <c r="BS2605" s="76"/>
      <c r="BT2605" s="76"/>
      <c r="BU2605" s="76"/>
      <c r="BV2605" s="76"/>
      <c r="BW2605" s="76"/>
      <c r="BX2605" s="76"/>
      <c r="BY2605" s="76"/>
      <c r="BZ2605" s="76"/>
      <c r="CA2605" s="76"/>
      <c r="CB2605" s="76"/>
      <c r="CC2605" s="76"/>
      <c r="CD2605" s="76"/>
      <c r="CE2605" s="76"/>
      <c r="CF2605" s="76">
        <f>+CE2605*28000</f>
        <v>0</v>
      </c>
      <c r="CG2605" s="76"/>
      <c r="CH2605" s="76">
        <f>+CG2605*22500</f>
        <v>0</v>
      </c>
      <c r="CI2605" s="76"/>
      <c r="CJ2605" s="76">
        <f>+CI2605*26000</f>
        <v>0</v>
      </c>
      <c r="CK2605" s="76"/>
      <c r="CL2605" s="76"/>
      <c r="CM2605" s="76"/>
      <c r="CN2605" s="76">
        <f>+CM2605*22000</f>
        <v>0</v>
      </c>
      <c r="CO2605" s="76"/>
      <c r="CP2605" s="76">
        <f>+CO2605*46000</f>
        <v>0</v>
      </c>
      <c r="CQ2605" s="76"/>
      <c r="CR2605" s="76">
        <f>+CQ2605*49000</f>
        <v>0</v>
      </c>
      <c r="CS2605" s="76"/>
      <c r="CT2605" s="76"/>
      <c r="CU2605" s="56">
        <f>AN2605+AP2605+AR2605+AT2605+AV2605+AX2605+AZ2605+BB2605+BD2605+BF2605+BH2605+BJ2605+BL2605+BN2605+BP2605+BR2605+BT2605+BV2605+BX2605+BZ2605+CB2605+CD2605+CF2605+CH2605+CJ2605+CL2605+CN2605+CP2605+CR2605+CT2605</f>
        <v>0</v>
      </c>
      <c r="CV2605" s="76"/>
      <c r="CW2605" s="76">
        <f>+CV2605*1100</f>
        <v>0</v>
      </c>
      <c r="CX2605" s="76"/>
      <c r="CY2605" s="76">
        <f>+CX2605*106250</f>
        <v>0</v>
      </c>
      <c r="CZ2605" s="76"/>
      <c r="DA2605" s="76">
        <f>+CZ2605*34500</f>
        <v>0</v>
      </c>
      <c r="DB2605" s="76"/>
      <c r="DC2605" s="76">
        <f>+DB2605*25000</f>
        <v>0</v>
      </c>
      <c r="DD2605" s="219"/>
      <c r="DE2605" s="219"/>
      <c r="DF2605" s="166"/>
      <c r="DG2605" s="116"/>
      <c r="DH2605" s="117"/>
      <c r="DI2605" s="24"/>
      <c r="DJ2605" s="24"/>
      <c r="DK2605" s="24"/>
      <c r="DL2605" s="24"/>
      <c r="DM2605" s="24"/>
      <c r="DN2605" s="24"/>
      <c r="DO2605" s="24"/>
      <c r="DP2605" s="24"/>
      <c r="DQ2605" s="24"/>
      <c r="DR2605" s="24"/>
      <c r="DS2605" s="24"/>
      <c r="DT2605" s="24"/>
      <c r="DU2605" s="24"/>
    </row>
    <row r="2606" spans="1:125" s="8" customFormat="1" ht="72" x14ac:dyDescent="0.2">
      <c r="A2606" s="77">
        <v>41489</v>
      </c>
      <c r="B2606" s="78" t="s">
        <v>2777</v>
      </c>
      <c r="C2606" s="75" t="s">
        <v>1513</v>
      </c>
      <c r="D2606" s="75" t="s">
        <v>2882</v>
      </c>
      <c r="E2606" s="353" t="str">
        <f>VLOOKUP(B2606&amp;C2606,Divipola!$C$2:$F$1138,4,FALSE)</f>
        <v>13620</v>
      </c>
      <c r="F2606" s="87"/>
      <c r="G2606" s="87"/>
      <c r="H2606" s="87"/>
      <c r="I2606" s="87">
        <v>2685</v>
      </c>
      <c r="J2606" s="87">
        <v>537</v>
      </c>
      <c r="K2606" s="87"/>
      <c r="L2606" s="87">
        <v>537</v>
      </c>
      <c r="M2606" s="87"/>
      <c r="N2606" s="87"/>
      <c r="O2606" s="87"/>
      <c r="P2606" s="87"/>
      <c r="Q2606" s="87"/>
      <c r="R2606" s="87"/>
      <c r="S2606" s="87"/>
      <c r="T2606" s="87"/>
      <c r="U2606" s="88"/>
      <c r="V2606" s="89"/>
      <c r="W2606" s="96">
        <v>0</v>
      </c>
      <c r="X2606" s="71">
        <f>CU2606</f>
        <v>0</v>
      </c>
      <c r="Y2606" s="71">
        <f>CY2606</f>
        <v>0</v>
      </c>
      <c r="Z2606" s="71">
        <f>DA2606+DC2606+DE2606</f>
        <v>0</v>
      </c>
      <c r="AA2606" s="71">
        <f>CW2606</f>
        <v>0</v>
      </c>
      <c r="AB2606" s="71"/>
      <c r="AC2606" s="71">
        <v>0</v>
      </c>
      <c r="AD2606" s="71">
        <f>W2606+X2606+Y2606+Z2606+AA2606+AB2606+AC2606</f>
        <v>0</v>
      </c>
      <c r="AE2606" s="72">
        <v>0</v>
      </c>
      <c r="AF2606" s="5"/>
      <c r="AG2606" s="6"/>
      <c r="AH2606" s="27"/>
      <c r="AI2606" s="44"/>
      <c r="AJ2606" s="26"/>
      <c r="AK2606" s="5"/>
      <c r="AL2606" s="82" t="s">
        <v>5610</v>
      </c>
      <c r="AM2606" s="76"/>
      <c r="AN2606" s="76"/>
      <c r="AO2606" s="76"/>
      <c r="AP2606" s="76"/>
      <c r="AQ2606" s="76"/>
      <c r="AR2606" s="76"/>
      <c r="AS2606" s="76"/>
      <c r="AT2606" s="76"/>
      <c r="AU2606" s="76"/>
      <c r="AV2606" s="76"/>
      <c r="AW2606" s="76"/>
      <c r="AX2606" s="76">
        <f>+AW2606*600000</f>
        <v>0</v>
      </c>
      <c r="AY2606" s="76"/>
      <c r="AZ2606" s="76">
        <f>+AY2606*70000</f>
        <v>0</v>
      </c>
      <c r="BA2606" s="76"/>
      <c r="BB2606" s="76"/>
      <c r="BC2606" s="76"/>
      <c r="BD2606" s="76">
        <f>+BC2606*30000</f>
        <v>0</v>
      </c>
      <c r="BE2606" s="76"/>
      <c r="BF2606" s="76"/>
      <c r="BG2606" s="76"/>
      <c r="BH2606" s="76"/>
      <c r="BI2606" s="76"/>
      <c r="BJ2606" s="76"/>
      <c r="BK2606" s="76"/>
      <c r="BL2606" s="76">
        <f>+BK2606*31500</f>
        <v>0</v>
      </c>
      <c r="BM2606" s="76"/>
      <c r="BN2606" s="76"/>
      <c r="BO2606" s="76"/>
      <c r="BP2606" s="76"/>
      <c r="BQ2606" s="76"/>
      <c r="BR2606" s="76"/>
      <c r="BS2606" s="76"/>
      <c r="BT2606" s="76"/>
      <c r="BU2606" s="76"/>
      <c r="BV2606" s="76"/>
      <c r="BW2606" s="76"/>
      <c r="BX2606" s="76"/>
      <c r="BY2606" s="76"/>
      <c r="BZ2606" s="76"/>
      <c r="CA2606" s="76"/>
      <c r="CB2606" s="76"/>
      <c r="CC2606" s="76"/>
      <c r="CD2606" s="76"/>
      <c r="CE2606" s="76"/>
      <c r="CF2606" s="76">
        <f>+CE2606*28000</f>
        <v>0</v>
      </c>
      <c r="CG2606" s="76"/>
      <c r="CH2606" s="76">
        <f>+CG2606*22500</f>
        <v>0</v>
      </c>
      <c r="CI2606" s="76"/>
      <c r="CJ2606" s="76">
        <f>+CI2606*26000</f>
        <v>0</v>
      </c>
      <c r="CK2606" s="76"/>
      <c r="CL2606" s="76"/>
      <c r="CM2606" s="76"/>
      <c r="CN2606" s="76">
        <f>+CM2606*22000</f>
        <v>0</v>
      </c>
      <c r="CO2606" s="76"/>
      <c r="CP2606" s="76">
        <f>+CO2606*46000</f>
        <v>0</v>
      </c>
      <c r="CQ2606" s="76"/>
      <c r="CR2606" s="76">
        <f>+CQ2606*49000</f>
        <v>0</v>
      </c>
      <c r="CS2606" s="76"/>
      <c r="CT2606" s="76"/>
      <c r="CU2606" s="56">
        <f>AN2606+AP2606+AR2606+AT2606+AV2606+AX2606+AZ2606+BB2606+BD2606+BF2606+BH2606+BJ2606+BL2606+BN2606+BP2606+BR2606+BT2606+BV2606+BX2606+BZ2606+CB2606+CD2606+CF2606+CH2606+CJ2606+CL2606+CN2606+CP2606+CR2606+CT2606</f>
        <v>0</v>
      </c>
      <c r="CV2606" s="76"/>
      <c r="CW2606" s="76">
        <f>+CV2606*1100</f>
        <v>0</v>
      </c>
      <c r="CX2606" s="76"/>
      <c r="CY2606" s="76">
        <f>+CX2606*106250</f>
        <v>0</v>
      </c>
      <c r="CZ2606" s="76"/>
      <c r="DA2606" s="76">
        <f>+CZ2606*34500</f>
        <v>0</v>
      </c>
      <c r="DB2606" s="76"/>
      <c r="DC2606" s="76">
        <f>+DB2606*25000</f>
        <v>0</v>
      </c>
      <c r="DD2606" s="219"/>
      <c r="DE2606" s="219"/>
      <c r="DF2606" s="166"/>
      <c r="DG2606" s="116"/>
      <c r="DH2606" s="117"/>
      <c r="DI2606" s="24"/>
      <c r="DJ2606" s="24"/>
      <c r="DK2606" s="24"/>
      <c r="DL2606" s="24"/>
      <c r="DM2606" s="24"/>
      <c r="DN2606" s="24"/>
      <c r="DO2606" s="24"/>
      <c r="DP2606" s="24"/>
      <c r="DQ2606" s="24"/>
      <c r="DR2606" s="24"/>
      <c r="DS2606" s="24"/>
      <c r="DT2606" s="24"/>
      <c r="DU2606" s="24"/>
    </row>
    <row r="2607" spans="1:125" s="8" customFormat="1" ht="108" x14ac:dyDescent="0.2">
      <c r="A2607" s="77">
        <v>41489</v>
      </c>
      <c r="B2607" s="78" t="s">
        <v>2196</v>
      </c>
      <c r="C2607" s="75" t="s">
        <v>749</v>
      </c>
      <c r="D2607" s="75" t="s">
        <v>2849</v>
      </c>
      <c r="E2607" s="353" t="str">
        <f>VLOOKUP(B2607&amp;C2607,Divipola!$C$2:$F$1138,4,FALSE)</f>
        <v>17442</v>
      </c>
      <c r="F2607" s="87"/>
      <c r="G2607" s="87">
        <v>1</v>
      </c>
      <c r="H2607" s="87">
        <v>1</v>
      </c>
      <c r="I2607" s="87"/>
      <c r="J2607" s="87"/>
      <c r="K2607" s="87"/>
      <c r="L2607" s="87"/>
      <c r="M2607" s="87"/>
      <c r="N2607" s="87"/>
      <c r="O2607" s="87"/>
      <c r="P2607" s="87"/>
      <c r="Q2607" s="87"/>
      <c r="R2607" s="87"/>
      <c r="S2607" s="87"/>
      <c r="T2607" s="87"/>
      <c r="U2607" s="88"/>
      <c r="V2607" s="89"/>
      <c r="W2607" s="96">
        <v>0</v>
      </c>
      <c r="X2607" s="71">
        <f>CU2607</f>
        <v>0</v>
      </c>
      <c r="Y2607" s="71">
        <f>CY2607</f>
        <v>0</v>
      </c>
      <c r="Z2607" s="71">
        <f>DA2607+DC2607+DE2607</f>
        <v>0</v>
      </c>
      <c r="AA2607" s="71">
        <f>CW2607</f>
        <v>0</v>
      </c>
      <c r="AB2607" s="71"/>
      <c r="AC2607" s="71">
        <v>0</v>
      </c>
      <c r="AD2607" s="71">
        <f>W2607+X2607+Y2607+Z2607+AA2607+AB2607+AC2607</f>
        <v>0</v>
      </c>
      <c r="AE2607" s="72">
        <v>0</v>
      </c>
      <c r="AF2607" s="5"/>
      <c r="AG2607" s="6"/>
      <c r="AH2607" s="27"/>
      <c r="AI2607" s="44"/>
      <c r="AJ2607" s="26"/>
      <c r="AK2607" s="5"/>
      <c r="AL2607" s="82" t="s">
        <v>5492</v>
      </c>
      <c r="AM2607" s="76"/>
      <c r="AN2607" s="76"/>
      <c r="AO2607" s="76"/>
      <c r="AP2607" s="76"/>
      <c r="AQ2607" s="76"/>
      <c r="AR2607" s="76"/>
      <c r="AS2607" s="76"/>
      <c r="AT2607" s="76"/>
      <c r="AU2607" s="76"/>
      <c r="AV2607" s="76"/>
      <c r="AW2607" s="76"/>
      <c r="AX2607" s="76">
        <f>+AW2607*600000</f>
        <v>0</v>
      </c>
      <c r="AY2607" s="76"/>
      <c r="AZ2607" s="76">
        <f>+AY2607*70000</f>
        <v>0</v>
      </c>
      <c r="BA2607" s="76"/>
      <c r="BB2607" s="76"/>
      <c r="BC2607" s="76"/>
      <c r="BD2607" s="76">
        <f>+BC2607*30000</f>
        <v>0</v>
      </c>
      <c r="BE2607" s="76"/>
      <c r="BF2607" s="76"/>
      <c r="BG2607" s="76"/>
      <c r="BH2607" s="76"/>
      <c r="BI2607" s="76"/>
      <c r="BJ2607" s="76"/>
      <c r="BK2607" s="76"/>
      <c r="BL2607" s="76">
        <f>+BK2607*31500</f>
        <v>0</v>
      </c>
      <c r="BM2607" s="76"/>
      <c r="BN2607" s="76"/>
      <c r="BO2607" s="76"/>
      <c r="BP2607" s="76"/>
      <c r="BQ2607" s="76"/>
      <c r="BR2607" s="76"/>
      <c r="BS2607" s="76"/>
      <c r="BT2607" s="76"/>
      <c r="BU2607" s="76"/>
      <c r="BV2607" s="76"/>
      <c r="BW2607" s="76"/>
      <c r="BX2607" s="76"/>
      <c r="BY2607" s="76"/>
      <c r="BZ2607" s="76"/>
      <c r="CA2607" s="76"/>
      <c r="CB2607" s="76"/>
      <c r="CC2607" s="76"/>
      <c r="CD2607" s="76"/>
      <c r="CE2607" s="76"/>
      <c r="CF2607" s="76">
        <f>+CE2607*28000</f>
        <v>0</v>
      </c>
      <c r="CG2607" s="76"/>
      <c r="CH2607" s="76">
        <f>+CG2607*22500</f>
        <v>0</v>
      </c>
      <c r="CI2607" s="76"/>
      <c r="CJ2607" s="76">
        <f>+CI2607*26000</f>
        <v>0</v>
      </c>
      <c r="CK2607" s="76"/>
      <c r="CL2607" s="76"/>
      <c r="CM2607" s="76"/>
      <c r="CN2607" s="76">
        <f>+CM2607*22000</f>
        <v>0</v>
      </c>
      <c r="CO2607" s="76"/>
      <c r="CP2607" s="76">
        <f>+CO2607*46000</f>
        <v>0</v>
      </c>
      <c r="CQ2607" s="76"/>
      <c r="CR2607" s="76">
        <f>+CQ2607*49000</f>
        <v>0</v>
      </c>
      <c r="CS2607" s="76"/>
      <c r="CT2607" s="76"/>
      <c r="CU2607" s="56">
        <f>AN2607+AP2607+AR2607+AT2607+AV2607+AX2607+AZ2607+BB2607+BD2607+BF2607+BH2607+BJ2607+BL2607+BN2607+BP2607+BR2607+BT2607+BV2607+BX2607+BZ2607+CB2607+CD2607+CF2607+CH2607+CJ2607+CL2607+CN2607+CP2607+CR2607+CT2607</f>
        <v>0</v>
      </c>
      <c r="CV2607" s="76"/>
      <c r="CW2607" s="76">
        <f>+CV2607*1100</f>
        <v>0</v>
      </c>
      <c r="CX2607" s="76"/>
      <c r="CY2607" s="76">
        <f>+CX2607*106250</f>
        <v>0</v>
      </c>
      <c r="CZ2607" s="76"/>
      <c r="DA2607" s="76">
        <f>+CZ2607*34500</f>
        <v>0</v>
      </c>
      <c r="DB2607" s="76"/>
      <c r="DC2607" s="76">
        <f>+DB2607*25000</f>
        <v>0</v>
      </c>
      <c r="DD2607" s="219"/>
      <c r="DE2607" s="219"/>
      <c r="DF2607" s="166"/>
      <c r="DG2607" s="116"/>
      <c r="DH2607" s="117"/>
      <c r="DI2607" s="24"/>
      <c r="DJ2607" s="24"/>
      <c r="DK2607" s="24"/>
      <c r="DL2607" s="24"/>
      <c r="DM2607" s="24"/>
      <c r="DN2607" s="24"/>
      <c r="DO2607" s="24"/>
      <c r="DP2607" s="24"/>
      <c r="DQ2607" s="24"/>
      <c r="DR2607" s="24"/>
      <c r="DS2607" s="24"/>
      <c r="DT2607" s="24"/>
      <c r="DU2607" s="24"/>
    </row>
    <row r="2608" spans="1:125" s="8" customFormat="1" ht="132" x14ac:dyDescent="0.2">
      <c r="A2608" s="353">
        <v>41489</v>
      </c>
      <c r="B2608" s="352" t="s">
        <v>1695</v>
      </c>
      <c r="C2608" s="354" t="s">
        <v>1696</v>
      </c>
      <c r="D2608" s="354" t="s">
        <v>3051</v>
      </c>
      <c r="E2608" s="353" t="str">
        <f>VLOOKUP(B2608&amp;C2608,Divipola!$C$2:$F$1138,4,FALSE)</f>
        <v>95001</v>
      </c>
      <c r="F2608" s="87"/>
      <c r="G2608" s="87"/>
      <c r="H2608" s="87"/>
      <c r="I2608" s="87">
        <f>549*5</f>
        <v>2745</v>
      </c>
      <c r="J2608" s="87">
        <v>549</v>
      </c>
      <c r="K2608" s="87"/>
      <c r="L2608" s="87">
        <v>2</v>
      </c>
      <c r="M2608" s="87"/>
      <c r="N2608" s="87"/>
      <c r="O2608" s="87"/>
      <c r="P2608" s="87"/>
      <c r="Q2608" s="87"/>
      <c r="R2608" s="87"/>
      <c r="S2608" s="87"/>
      <c r="T2608" s="87"/>
      <c r="U2608" s="88">
        <v>20</v>
      </c>
      <c r="V2608" s="89"/>
      <c r="W2608" s="96">
        <v>0</v>
      </c>
      <c r="X2608" s="71">
        <f>CU2608</f>
        <v>18400000</v>
      </c>
      <c r="Y2608" s="71">
        <f>CY2608</f>
        <v>42500000</v>
      </c>
      <c r="Z2608" s="71">
        <f>DA2608+DC2608+DE2608</f>
        <v>0</v>
      </c>
      <c r="AA2608" s="71">
        <f>CW2608</f>
        <v>5500000</v>
      </c>
      <c r="AB2608" s="71"/>
      <c r="AC2608" s="71">
        <v>0</v>
      </c>
      <c r="AD2608" s="71">
        <f>W2608+X2608+Y2608+Z2608+AA2608+AB2608+AC2608</f>
        <v>66400000</v>
      </c>
      <c r="AE2608" s="72">
        <v>0</v>
      </c>
      <c r="AF2608" s="5"/>
      <c r="AG2608" s="6"/>
      <c r="AH2608" s="27"/>
      <c r="AI2608" s="44"/>
      <c r="AJ2608" s="26"/>
      <c r="AK2608" s="5"/>
      <c r="AL2608" s="82" t="s">
        <v>5896</v>
      </c>
      <c r="AM2608" s="76"/>
      <c r="AN2608" s="76"/>
      <c r="AO2608" s="76"/>
      <c r="AP2608" s="76"/>
      <c r="AQ2608" s="76"/>
      <c r="AR2608" s="76"/>
      <c r="AS2608" s="76"/>
      <c r="AT2608" s="76"/>
      <c r="AU2608" s="76"/>
      <c r="AV2608" s="76"/>
      <c r="AW2608" s="76"/>
      <c r="AX2608" s="76">
        <f>+AW2608*600000</f>
        <v>0</v>
      </c>
      <c r="AY2608" s="76"/>
      <c r="AZ2608" s="76">
        <f>+AY2608*70000</f>
        <v>0</v>
      </c>
      <c r="BA2608" s="76"/>
      <c r="BB2608" s="76"/>
      <c r="BC2608" s="76"/>
      <c r="BD2608" s="76">
        <f>+BC2608*30000</f>
        <v>0</v>
      </c>
      <c r="BE2608" s="76"/>
      <c r="BF2608" s="76"/>
      <c r="BG2608" s="76"/>
      <c r="BH2608" s="76"/>
      <c r="BI2608" s="76"/>
      <c r="BJ2608" s="76"/>
      <c r="BK2608" s="76"/>
      <c r="BL2608" s="76">
        <f>+BK2608*31500</f>
        <v>0</v>
      </c>
      <c r="BM2608" s="76"/>
      <c r="BN2608" s="76"/>
      <c r="BO2608" s="76"/>
      <c r="BP2608" s="76"/>
      <c r="BQ2608" s="76"/>
      <c r="BR2608" s="76"/>
      <c r="BS2608" s="76"/>
      <c r="BT2608" s="76"/>
      <c r="BU2608" s="76"/>
      <c r="BV2608" s="76"/>
      <c r="BW2608" s="76"/>
      <c r="BX2608" s="76"/>
      <c r="BY2608" s="76"/>
      <c r="BZ2608" s="76"/>
      <c r="CA2608" s="76"/>
      <c r="CB2608" s="76"/>
      <c r="CC2608" s="76"/>
      <c r="CD2608" s="76"/>
      <c r="CE2608" s="76"/>
      <c r="CF2608" s="76">
        <f>+CE2608*28000</f>
        <v>0</v>
      </c>
      <c r="CG2608" s="76"/>
      <c r="CH2608" s="76">
        <f>+CG2608*22500</f>
        <v>0</v>
      </c>
      <c r="CI2608" s="76"/>
      <c r="CJ2608" s="76">
        <f>+CI2608*26000</f>
        <v>0</v>
      </c>
      <c r="CK2608" s="76"/>
      <c r="CL2608" s="76"/>
      <c r="CM2608" s="76"/>
      <c r="CN2608" s="76">
        <f>+CM2608*22000</f>
        <v>0</v>
      </c>
      <c r="CO2608" s="76">
        <v>400</v>
      </c>
      <c r="CP2608" s="76">
        <f>+CO2608*46000</f>
        <v>18400000</v>
      </c>
      <c r="CQ2608" s="76"/>
      <c r="CR2608" s="76">
        <f>+CQ2608*49000</f>
        <v>0</v>
      </c>
      <c r="CS2608" s="76"/>
      <c r="CT2608" s="76"/>
      <c r="CU2608" s="56">
        <f>AN2608+AP2608+AR2608+AT2608+AV2608+AX2608+AZ2608+BB2608+BD2608+BF2608+BH2608+BJ2608+BL2608+BN2608+BP2608+BR2608+BT2608+BV2608+BX2608+BZ2608+CB2608+CD2608+CF2608+CH2608+CJ2608+CL2608+CN2608+CP2608+CR2608+CT2608</f>
        <v>18400000</v>
      </c>
      <c r="CV2608" s="76">
        <v>5000</v>
      </c>
      <c r="CW2608" s="76">
        <f>+CV2608*1100</f>
        <v>5500000</v>
      </c>
      <c r="CX2608" s="76">
        <v>400</v>
      </c>
      <c r="CY2608" s="76">
        <f>+CX2608*106250</f>
        <v>42500000</v>
      </c>
      <c r="CZ2608" s="76"/>
      <c r="DA2608" s="76">
        <f>+CZ2608*34500</f>
        <v>0</v>
      </c>
      <c r="DB2608" s="76"/>
      <c r="DC2608" s="76">
        <f>+DB2608*25000</f>
        <v>0</v>
      </c>
      <c r="DD2608" s="219"/>
      <c r="DE2608" s="219"/>
      <c r="DF2608" s="166"/>
      <c r="DG2608" s="116"/>
      <c r="DH2608" s="117"/>
      <c r="DI2608" s="24"/>
      <c r="DJ2608" s="24"/>
      <c r="DK2608" s="24"/>
      <c r="DL2608" s="24"/>
      <c r="DM2608" s="24"/>
      <c r="DN2608" s="24"/>
      <c r="DO2608" s="24"/>
      <c r="DP2608" s="24"/>
      <c r="DQ2608" s="24"/>
      <c r="DR2608" s="24"/>
      <c r="DS2608" s="24"/>
      <c r="DT2608" s="24"/>
      <c r="DU2608" s="24"/>
    </row>
    <row r="2609" spans="1:125" s="8" customFormat="1" ht="84" x14ac:dyDescent="0.2">
      <c r="A2609" s="97">
        <v>41489</v>
      </c>
      <c r="B2609" s="60" t="s">
        <v>3136</v>
      </c>
      <c r="C2609" s="55" t="s">
        <v>389</v>
      </c>
      <c r="D2609" s="55" t="s">
        <v>2846</v>
      </c>
      <c r="E2609" s="353" t="str">
        <f>VLOOKUP(B2609&amp;C2609,Divipola!$C$2:$F$1138,4,FALSE)</f>
        <v>44090</v>
      </c>
      <c r="F2609" s="87"/>
      <c r="G2609" s="87"/>
      <c r="H2609" s="87"/>
      <c r="I2609" s="87"/>
      <c r="J2609" s="87"/>
      <c r="K2609" s="87"/>
      <c r="L2609" s="87"/>
      <c r="M2609" s="87"/>
      <c r="N2609" s="87"/>
      <c r="O2609" s="87"/>
      <c r="P2609" s="87"/>
      <c r="Q2609" s="87"/>
      <c r="R2609" s="87"/>
      <c r="S2609" s="87"/>
      <c r="T2609" s="87"/>
      <c r="U2609" s="88">
        <v>100</v>
      </c>
      <c r="V2609" s="89"/>
      <c r="W2609" s="96">
        <v>0</v>
      </c>
      <c r="X2609" s="71">
        <f>CU2609</f>
        <v>0</v>
      </c>
      <c r="Y2609" s="71">
        <f>CY2609</f>
        <v>0</v>
      </c>
      <c r="Z2609" s="71">
        <f>DA2609+DC2609+DE2609</f>
        <v>0</v>
      </c>
      <c r="AA2609" s="71">
        <f>CW2609</f>
        <v>0</v>
      </c>
      <c r="AB2609" s="71"/>
      <c r="AC2609" s="71">
        <v>0</v>
      </c>
      <c r="AD2609" s="71">
        <f>W2609+X2609+Y2609+Z2609+AA2609+AB2609+AC2609</f>
        <v>0</v>
      </c>
      <c r="AE2609" s="72">
        <v>0</v>
      </c>
      <c r="AF2609" s="5"/>
      <c r="AG2609" s="6"/>
      <c r="AH2609" s="27"/>
      <c r="AI2609" s="44"/>
      <c r="AJ2609" s="26"/>
      <c r="AK2609" s="5"/>
      <c r="AL2609" s="82" t="s">
        <v>5507</v>
      </c>
      <c r="AM2609" s="76"/>
      <c r="AN2609" s="76"/>
      <c r="AO2609" s="76"/>
      <c r="AP2609" s="76"/>
      <c r="AQ2609" s="76"/>
      <c r="AR2609" s="76"/>
      <c r="AS2609" s="76"/>
      <c r="AT2609" s="76"/>
      <c r="AU2609" s="76"/>
      <c r="AV2609" s="76"/>
      <c r="AW2609" s="76"/>
      <c r="AX2609" s="76">
        <f>+AW2609*600000</f>
        <v>0</v>
      </c>
      <c r="AY2609" s="76"/>
      <c r="AZ2609" s="76">
        <f>+AY2609*70000</f>
        <v>0</v>
      </c>
      <c r="BA2609" s="76"/>
      <c r="BB2609" s="76"/>
      <c r="BC2609" s="76"/>
      <c r="BD2609" s="76">
        <f>+BC2609*30000</f>
        <v>0</v>
      </c>
      <c r="BE2609" s="76"/>
      <c r="BF2609" s="76"/>
      <c r="BG2609" s="76"/>
      <c r="BH2609" s="76"/>
      <c r="BI2609" s="76"/>
      <c r="BJ2609" s="76"/>
      <c r="BK2609" s="76"/>
      <c r="BL2609" s="76">
        <f>+BK2609*31500</f>
        <v>0</v>
      </c>
      <c r="BM2609" s="76"/>
      <c r="BN2609" s="76"/>
      <c r="BO2609" s="76"/>
      <c r="BP2609" s="76"/>
      <c r="BQ2609" s="76"/>
      <c r="BR2609" s="76"/>
      <c r="BS2609" s="76"/>
      <c r="BT2609" s="76"/>
      <c r="BU2609" s="76"/>
      <c r="BV2609" s="76"/>
      <c r="BW2609" s="76"/>
      <c r="BX2609" s="76"/>
      <c r="BY2609" s="76"/>
      <c r="BZ2609" s="76"/>
      <c r="CA2609" s="76"/>
      <c r="CB2609" s="76"/>
      <c r="CC2609" s="76"/>
      <c r="CD2609" s="76"/>
      <c r="CE2609" s="76"/>
      <c r="CF2609" s="76">
        <f>+CE2609*28000</f>
        <v>0</v>
      </c>
      <c r="CG2609" s="76"/>
      <c r="CH2609" s="76">
        <f>+CG2609*22500</f>
        <v>0</v>
      </c>
      <c r="CI2609" s="76"/>
      <c r="CJ2609" s="76">
        <f>+CI2609*26000</f>
        <v>0</v>
      </c>
      <c r="CK2609" s="76"/>
      <c r="CL2609" s="76"/>
      <c r="CM2609" s="76"/>
      <c r="CN2609" s="76">
        <f>+CM2609*22000</f>
        <v>0</v>
      </c>
      <c r="CO2609" s="76"/>
      <c r="CP2609" s="76">
        <f>+CO2609*46000</f>
        <v>0</v>
      </c>
      <c r="CQ2609" s="76"/>
      <c r="CR2609" s="76">
        <f>+CQ2609*49000</f>
        <v>0</v>
      </c>
      <c r="CS2609" s="76"/>
      <c r="CT2609" s="76"/>
      <c r="CU2609" s="56">
        <f>AN2609+AP2609+AR2609+AT2609+AV2609+AX2609+AZ2609+BB2609+BD2609+BF2609+BH2609+BJ2609+BL2609+BN2609+BP2609+BR2609+BT2609+BV2609+BX2609+BZ2609+CB2609+CD2609+CF2609+CH2609+CJ2609+CL2609+CN2609+CP2609+CR2609+CT2609</f>
        <v>0</v>
      </c>
      <c r="CV2609" s="76"/>
      <c r="CW2609" s="76">
        <f>+CV2609*1100</f>
        <v>0</v>
      </c>
      <c r="CX2609" s="76"/>
      <c r="CY2609" s="76">
        <f>+CX2609*106250</f>
        <v>0</v>
      </c>
      <c r="CZ2609" s="76"/>
      <c r="DA2609" s="76">
        <f>+CZ2609*34500</f>
        <v>0</v>
      </c>
      <c r="DB2609" s="76"/>
      <c r="DC2609" s="76">
        <f>+DB2609*25000</f>
        <v>0</v>
      </c>
      <c r="DD2609" s="219"/>
      <c r="DE2609" s="219"/>
      <c r="DF2609" s="166"/>
      <c r="DG2609" s="116"/>
      <c r="DH2609" s="117"/>
      <c r="DI2609" s="24"/>
      <c r="DJ2609" s="24"/>
      <c r="DK2609" s="24"/>
      <c r="DL2609" s="24"/>
      <c r="DM2609" s="24"/>
      <c r="DN2609" s="24"/>
      <c r="DO2609" s="24"/>
      <c r="DP2609" s="24"/>
      <c r="DQ2609" s="24"/>
      <c r="DR2609" s="24"/>
      <c r="DS2609" s="24"/>
      <c r="DT2609" s="24"/>
      <c r="DU2609" s="24"/>
    </row>
    <row r="2610" spans="1:125" s="8" customFormat="1" ht="72" x14ac:dyDescent="0.2">
      <c r="A2610" s="353">
        <v>41489</v>
      </c>
      <c r="B2610" s="352" t="s">
        <v>2811</v>
      </c>
      <c r="C2610" s="354" t="s">
        <v>519</v>
      </c>
      <c r="D2610" s="354" t="s">
        <v>3088</v>
      </c>
      <c r="E2610" s="353" t="str">
        <f>VLOOKUP(B2610&amp;C2610,Divipola!$C$2:$F$1138,4,FALSE)</f>
        <v>52573</v>
      </c>
      <c r="F2610" s="87"/>
      <c r="G2610" s="87"/>
      <c r="H2610" s="87"/>
      <c r="I2610" s="87"/>
      <c r="J2610" s="87"/>
      <c r="K2610" s="87"/>
      <c r="L2610" s="87"/>
      <c r="M2610" s="87">
        <v>1</v>
      </c>
      <c r="N2610" s="87"/>
      <c r="O2610" s="87"/>
      <c r="P2610" s="87"/>
      <c r="Q2610" s="87"/>
      <c r="R2610" s="87"/>
      <c r="S2610" s="87"/>
      <c r="T2610" s="87"/>
      <c r="U2610" s="88"/>
      <c r="V2610" s="89"/>
      <c r="W2610" s="96">
        <v>0</v>
      </c>
      <c r="X2610" s="71">
        <f>CU2610</f>
        <v>0</v>
      </c>
      <c r="Y2610" s="71">
        <f>CY2610</f>
        <v>0</v>
      </c>
      <c r="Z2610" s="71">
        <f>DA2610+DC2610+DE2610</f>
        <v>0</v>
      </c>
      <c r="AA2610" s="71">
        <f>CW2610</f>
        <v>0</v>
      </c>
      <c r="AB2610" s="71"/>
      <c r="AC2610" s="71">
        <v>0</v>
      </c>
      <c r="AD2610" s="71">
        <f>W2610+X2610+Y2610+Z2610+AA2610+AB2610+AC2610</f>
        <v>0</v>
      </c>
      <c r="AE2610" s="72">
        <v>0</v>
      </c>
      <c r="AF2610" s="5"/>
      <c r="AG2610" s="6"/>
      <c r="AH2610" s="27"/>
      <c r="AI2610" s="44"/>
      <c r="AJ2610" s="26"/>
      <c r="AK2610" s="5"/>
      <c r="AL2610" s="82" t="s">
        <v>5493</v>
      </c>
      <c r="AM2610" s="76"/>
      <c r="AN2610" s="76"/>
      <c r="AO2610" s="76"/>
      <c r="AP2610" s="76"/>
      <c r="AQ2610" s="76"/>
      <c r="AR2610" s="76"/>
      <c r="AS2610" s="76"/>
      <c r="AT2610" s="76"/>
      <c r="AU2610" s="76"/>
      <c r="AV2610" s="76"/>
      <c r="AW2610" s="76"/>
      <c r="AX2610" s="76">
        <f>+AW2610*600000</f>
        <v>0</v>
      </c>
      <c r="AY2610" s="76"/>
      <c r="AZ2610" s="76">
        <f>+AY2610*70000</f>
        <v>0</v>
      </c>
      <c r="BA2610" s="76"/>
      <c r="BB2610" s="76"/>
      <c r="BC2610" s="76"/>
      <c r="BD2610" s="76">
        <f>+BC2610*30000</f>
        <v>0</v>
      </c>
      <c r="BE2610" s="76"/>
      <c r="BF2610" s="76"/>
      <c r="BG2610" s="76"/>
      <c r="BH2610" s="76"/>
      <c r="BI2610" s="76"/>
      <c r="BJ2610" s="76"/>
      <c r="BK2610" s="76"/>
      <c r="BL2610" s="76">
        <f>+BK2610*31500</f>
        <v>0</v>
      </c>
      <c r="BM2610" s="76"/>
      <c r="BN2610" s="76"/>
      <c r="BO2610" s="76"/>
      <c r="BP2610" s="76"/>
      <c r="BQ2610" s="76"/>
      <c r="BR2610" s="76"/>
      <c r="BS2610" s="76"/>
      <c r="BT2610" s="76"/>
      <c r="BU2610" s="76"/>
      <c r="BV2610" s="76"/>
      <c r="BW2610" s="76"/>
      <c r="BX2610" s="76"/>
      <c r="BY2610" s="76"/>
      <c r="BZ2610" s="76"/>
      <c r="CA2610" s="76"/>
      <c r="CB2610" s="76"/>
      <c r="CC2610" s="76"/>
      <c r="CD2610" s="76"/>
      <c r="CE2610" s="76"/>
      <c r="CF2610" s="76">
        <f>+CE2610*28000</f>
        <v>0</v>
      </c>
      <c r="CG2610" s="76"/>
      <c r="CH2610" s="76">
        <f>+CG2610*22500</f>
        <v>0</v>
      </c>
      <c r="CI2610" s="76"/>
      <c r="CJ2610" s="76">
        <f>+CI2610*26000</f>
        <v>0</v>
      </c>
      <c r="CK2610" s="76"/>
      <c r="CL2610" s="76"/>
      <c r="CM2610" s="76"/>
      <c r="CN2610" s="76">
        <f>+CM2610*22000</f>
        <v>0</v>
      </c>
      <c r="CO2610" s="76"/>
      <c r="CP2610" s="76">
        <f>+CO2610*46000</f>
        <v>0</v>
      </c>
      <c r="CQ2610" s="76"/>
      <c r="CR2610" s="76">
        <f>+CQ2610*49000</f>
        <v>0</v>
      </c>
      <c r="CS2610" s="76"/>
      <c r="CT2610" s="76"/>
      <c r="CU2610" s="56">
        <f>AN2610+AP2610+AR2610+AT2610+AV2610+AX2610+AZ2610+BB2610+BD2610+BF2610+BH2610+BJ2610+BL2610+BN2610+BP2610+BR2610+BT2610+BV2610+BX2610+BZ2610+CB2610+CD2610+CF2610+CH2610+CJ2610+CL2610+CN2610+CP2610+CR2610+CT2610</f>
        <v>0</v>
      </c>
      <c r="CV2610" s="76"/>
      <c r="CW2610" s="76">
        <f>+CV2610*1100</f>
        <v>0</v>
      </c>
      <c r="CX2610" s="76"/>
      <c r="CY2610" s="76">
        <f>+CX2610*106250</f>
        <v>0</v>
      </c>
      <c r="CZ2610" s="76"/>
      <c r="DA2610" s="76">
        <f>+CZ2610*34500</f>
        <v>0</v>
      </c>
      <c r="DB2610" s="76"/>
      <c r="DC2610" s="76">
        <f>+DB2610*25000</f>
        <v>0</v>
      </c>
      <c r="DD2610" s="219"/>
      <c r="DE2610" s="219"/>
      <c r="DF2610" s="166"/>
      <c r="DG2610" s="116"/>
      <c r="DH2610" s="117"/>
      <c r="DI2610" s="24"/>
      <c r="DJ2610" s="24"/>
      <c r="DK2610" s="24"/>
      <c r="DL2610" s="24"/>
      <c r="DM2610" s="24"/>
      <c r="DN2610" s="24"/>
      <c r="DO2610" s="24"/>
      <c r="DP2610" s="24"/>
      <c r="DQ2610" s="24"/>
      <c r="DR2610" s="24"/>
      <c r="DS2610" s="24"/>
      <c r="DT2610" s="24"/>
      <c r="DU2610" s="24"/>
    </row>
    <row r="2611" spans="1:125" s="8" customFormat="1" ht="108" x14ac:dyDescent="0.2">
      <c r="A2611" s="353">
        <v>41489</v>
      </c>
      <c r="B2611" s="352" t="s">
        <v>2880</v>
      </c>
      <c r="C2611" s="354" t="s">
        <v>499</v>
      </c>
      <c r="D2611" s="354" t="s">
        <v>2846</v>
      </c>
      <c r="E2611" s="353" t="str">
        <f>VLOOKUP(B2611&amp;C2611,Divipola!$C$2:$F$1138,4,FALSE)</f>
        <v>54003</v>
      </c>
      <c r="F2611" s="87"/>
      <c r="G2611" s="87"/>
      <c r="H2611" s="87"/>
      <c r="I2611" s="87"/>
      <c r="J2611" s="87"/>
      <c r="K2611" s="87"/>
      <c r="L2611" s="87"/>
      <c r="M2611" s="87"/>
      <c r="N2611" s="87"/>
      <c r="O2611" s="87"/>
      <c r="P2611" s="87"/>
      <c r="Q2611" s="87"/>
      <c r="R2611" s="87"/>
      <c r="S2611" s="87"/>
      <c r="T2611" s="87"/>
      <c r="U2611" s="88">
        <v>200</v>
      </c>
      <c r="V2611" s="89"/>
      <c r="W2611" s="96">
        <v>0</v>
      </c>
      <c r="X2611" s="71">
        <f>CU2611</f>
        <v>0</v>
      </c>
      <c r="Y2611" s="71">
        <f>CY2611</f>
        <v>0</v>
      </c>
      <c r="Z2611" s="71">
        <f>DA2611+DC2611+DE2611</f>
        <v>0</v>
      </c>
      <c r="AA2611" s="71">
        <f>CW2611</f>
        <v>0</v>
      </c>
      <c r="AB2611" s="71"/>
      <c r="AC2611" s="71">
        <v>0</v>
      </c>
      <c r="AD2611" s="71">
        <f>W2611+X2611+Y2611+Z2611+AA2611+AB2611+AC2611</f>
        <v>0</v>
      </c>
      <c r="AE2611" s="72">
        <v>0</v>
      </c>
      <c r="AF2611" s="5"/>
      <c r="AG2611" s="6"/>
      <c r="AH2611" s="27"/>
      <c r="AI2611" s="44"/>
      <c r="AJ2611" s="26"/>
      <c r="AK2611" s="5"/>
      <c r="AL2611" s="82" t="s">
        <v>5549</v>
      </c>
      <c r="AM2611" s="76"/>
      <c r="AN2611" s="76"/>
      <c r="AO2611" s="76"/>
      <c r="AP2611" s="76"/>
      <c r="AQ2611" s="76"/>
      <c r="AR2611" s="76"/>
      <c r="AS2611" s="76"/>
      <c r="AT2611" s="76"/>
      <c r="AU2611" s="76"/>
      <c r="AV2611" s="76"/>
      <c r="AW2611" s="76"/>
      <c r="AX2611" s="76">
        <f>+AW2611*600000</f>
        <v>0</v>
      </c>
      <c r="AY2611" s="76"/>
      <c r="AZ2611" s="76">
        <f>+AY2611*70000</f>
        <v>0</v>
      </c>
      <c r="BA2611" s="76"/>
      <c r="BB2611" s="76"/>
      <c r="BC2611" s="76"/>
      <c r="BD2611" s="76">
        <f>+BC2611*30000</f>
        <v>0</v>
      </c>
      <c r="BE2611" s="76"/>
      <c r="BF2611" s="76"/>
      <c r="BG2611" s="76"/>
      <c r="BH2611" s="76"/>
      <c r="BI2611" s="76"/>
      <c r="BJ2611" s="76"/>
      <c r="BK2611" s="76"/>
      <c r="BL2611" s="76">
        <f>+BK2611*31500</f>
        <v>0</v>
      </c>
      <c r="BM2611" s="76"/>
      <c r="BN2611" s="76"/>
      <c r="BO2611" s="76"/>
      <c r="BP2611" s="76"/>
      <c r="BQ2611" s="76"/>
      <c r="BR2611" s="76"/>
      <c r="BS2611" s="76"/>
      <c r="BT2611" s="76"/>
      <c r="BU2611" s="76"/>
      <c r="BV2611" s="76"/>
      <c r="BW2611" s="76"/>
      <c r="BX2611" s="76"/>
      <c r="BY2611" s="76"/>
      <c r="BZ2611" s="76"/>
      <c r="CA2611" s="76"/>
      <c r="CB2611" s="76"/>
      <c r="CC2611" s="76"/>
      <c r="CD2611" s="76"/>
      <c r="CE2611" s="76"/>
      <c r="CF2611" s="76">
        <f>+CE2611*28000</f>
        <v>0</v>
      </c>
      <c r="CG2611" s="76"/>
      <c r="CH2611" s="76">
        <f>+CG2611*22500</f>
        <v>0</v>
      </c>
      <c r="CI2611" s="76"/>
      <c r="CJ2611" s="76">
        <f>+CI2611*26000</f>
        <v>0</v>
      </c>
      <c r="CK2611" s="76"/>
      <c r="CL2611" s="76"/>
      <c r="CM2611" s="76"/>
      <c r="CN2611" s="76">
        <f>+CM2611*22000</f>
        <v>0</v>
      </c>
      <c r="CO2611" s="76"/>
      <c r="CP2611" s="76">
        <f>+CO2611*46000</f>
        <v>0</v>
      </c>
      <c r="CQ2611" s="76"/>
      <c r="CR2611" s="76">
        <f>+CQ2611*49000</f>
        <v>0</v>
      </c>
      <c r="CS2611" s="76"/>
      <c r="CT2611" s="76"/>
      <c r="CU2611" s="56">
        <f>AN2611+AP2611+AR2611+AT2611+AV2611+AX2611+AZ2611+BB2611+BD2611+BF2611+BH2611+BJ2611+BL2611+BN2611+BP2611+BR2611+BT2611+BV2611+BX2611+BZ2611+CB2611+CD2611+CF2611+CH2611+CJ2611+CL2611+CN2611+CP2611+CR2611+CT2611</f>
        <v>0</v>
      </c>
      <c r="CV2611" s="76"/>
      <c r="CW2611" s="76">
        <f>+CV2611*1100</f>
        <v>0</v>
      </c>
      <c r="CX2611" s="76"/>
      <c r="CY2611" s="76">
        <f>+CX2611*106250</f>
        <v>0</v>
      </c>
      <c r="CZ2611" s="76"/>
      <c r="DA2611" s="76">
        <f>+CZ2611*34500</f>
        <v>0</v>
      </c>
      <c r="DB2611" s="76"/>
      <c r="DC2611" s="76">
        <f>+DB2611*25000</f>
        <v>0</v>
      </c>
      <c r="DD2611" s="219"/>
      <c r="DE2611" s="219"/>
      <c r="DF2611" s="166"/>
      <c r="DG2611" s="116"/>
      <c r="DH2611" s="117"/>
      <c r="DI2611" s="24"/>
      <c r="DJ2611" s="24"/>
      <c r="DK2611" s="24"/>
      <c r="DL2611" s="24"/>
      <c r="DM2611" s="24"/>
      <c r="DN2611" s="24"/>
      <c r="DO2611" s="24"/>
      <c r="DP2611" s="24"/>
      <c r="DQ2611" s="24"/>
      <c r="DR2611" s="24"/>
      <c r="DS2611" s="24"/>
      <c r="DT2611" s="24"/>
      <c r="DU2611" s="24"/>
    </row>
    <row r="2612" spans="1:125" s="8" customFormat="1" ht="48" x14ac:dyDescent="0.2">
      <c r="A2612" s="353">
        <v>41489</v>
      </c>
      <c r="B2612" s="352" t="s">
        <v>2860</v>
      </c>
      <c r="C2612" s="227" t="s">
        <v>2198</v>
      </c>
      <c r="D2612" s="227" t="s">
        <v>2882</v>
      </c>
      <c r="E2612" s="353" t="str">
        <f>VLOOKUP(B2612&amp;C2612,Divipola!$C$2:$F$1138,4,FALSE)</f>
        <v>63130</v>
      </c>
      <c r="F2612" s="87"/>
      <c r="G2612" s="87"/>
      <c r="H2612" s="87"/>
      <c r="I2612" s="87">
        <v>5</v>
      </c>
      <c r="J2612" s="87">
        <v>1</v>
      </c>
      <c r="K2612" s="87"/>
      <c r="L2612" s="87">
        <v>1</v>
      </c>
      <c r="M2612" s="87"/>
      <c r="N2612" s="87"/>
      <c r="O2612" s="87"/>
      <c r="P2612" s="87"/>
      <c r="Q2612" s="87"/>
      <c r="R2612" s="87"/>
      <c r="S2612" s="87"/>
      <c r="T2612" s="87"/>
      <c r="U2612" s="88"/>
      <c r="V2612" s="89"/>
      <c r="W2612" s="96">
        <v>0</v>
      </c>
      <c r="X2612" s="71">
        <f>CU2612</f>
        <v>0</v>
      </c>
      <c r="Y2612" s="71">
        <f>CY2612</f>
        <v>0</v>
      </c>
      <c r="Z2612" s="71">
        <f>DA2612+DC2612+DE2612</f>
        <v>0</v>
      </c>
      <c r="AA2612" s="71">
        <f>CW2612</f>
        <v>0</v>
      </c>
      <c r="AB2612" s="71"/>
      <c r="AC2612" s="71">
        <v>0</v>
      </c>
      <c r="AD2612" s="71">
        <f>W2612+X2612+Y2612+Z2612+AA2612+AB2612+AC2612</f>
        <v>0</v>
      </c>
      <c r="AE2612" s="72">
        <v>0</v>
      </c>
      <c r="AF2612" s="5"/>
      <c r="AG2612" s="6"/>
      <c r="AH2612" s="27"/>
      <c r="AI2612" s="44"/>
      <c r="AJ2612" s="26"/>
      <c r="AK2612" s="5"/>
      <c r="AL2612" s="82" t="s">
        <v>5497</v>
      </c>
      <c r="AM2612" s="76"/>
      <c r="AN2612" s="76"/>
      <c r="AO2612" s="76"/>
      <c r="AP2612" s="76"/>
      <c r="AQ2612" s="76"/>
      <c r="AR2612" s="76"/>
      <c r="AS2612" s="76"/>
      <c r="AT2612" s="76"/>
      <c r="AU2612" s="76"/>
      <c r="AV2612" s="76"/>
      <c r="AW2612" s="76"/>
      <c r="AX2612" s="76">
        <f>+AW2612*600000</f>
        <v>0</v>
      </c>
      <c r="AY2612" s="76"/>
      <c r="AZ2612" s="76">
        <f>+AY2612*70000</f>
        <v>0</v>
      </c>
      <c r="BA2612" s="76"/>
      <c r="BB2612" s="76"/>
      <c r="BC2612" s="76"/>
      <c r="BD2612" s="76">
        <f>+BC2612*30000</f>
        <v>0</v>
      </c>
      <c r="BE2612" s="76"/>
      <c r="BF2612" s="76"/>
      <c r="BG2612" s="76"/>
      <c r="BH2612" s="76"/>
      <c r="BI2612" s="76"/>
      <c r="BJ2612" s="76"/>
      <c r="BK2612" s="76"/>
      <c r="BL2612" s="76">
        <f>+BK2612*31500</f>
        <v>0</v>
      </c>
      <c r="BM2612" s="76"/>
      <c r="BN2612" s="76"/>
      <c r="BO2612" s="76"/>
      <c r="BP2612" s="76"/>
      <c r="BQ2612" s="76"/>
      <c r="BR2612" s="76"/>
      <c r="BS2612" s="76"/>
      <c r="BT2612" s="76"/>
      <c r="BU2612" s="76"/>
      <c r="BV2612" s="76"/>
      <c r="BW2612" s="76"/>
      <c r="BX2612" s="76"/>
      <c r="BY2612" s="76"/>
      <c r="BZ2612" s="76"/>
      <c r="CA2612" s="76"/>
      <c r="CB2612" s="76"/>
      <c r="CC2612" s="76"/>
      <c r="CD2612" s="76"/>
      <c r="CE2612" s="76"/>
      <c r="CF2612" s="76">
        <f>+CE2612*28000</f>
        <v>0</v>
      </c>
      <c r="CG2612" s="76"/>
      <c r="CH2612" s="76">
        <f>+CG2612*22500</f>
        <v>0</v>
      </c>
      <c r="CI2612" s="76"/>
      <c r="CJ2612" s="76">
        <f>+CI2612*26000</f>
        <v>0</v>
      </c>
      <c r="CK2612" s="76"/>
      <c r="CL2612" s="76"/>
      <c r="CM2612" s="76"/>
      <c r="CN2612" s="76">
        <f>+CM2612*22000</f>
        <v>0</v>
      </c>
      <c r="CO2612" s="76"/>
      <c r="CP2612" s="76">
        <f>+CO2612*46000</f>
        <v>0</v>
      </c>
      <c r="CQ2612" s="76"/>
      <c r="CR2612" s="76">
        <f>+CQ2612*49000</f>
        <v>0</v>
      </c>
      <c r="CS2612" s="76"/>
      <c r="CT2612" s="76"/>
      <c r="CU2612" s="56">
        <f>AN2612+AP2612+AR2612+AT2612+AV2612+AX2612+AZ2612+BB2612+BD2612+BF2612+BH2612+BJ2612+BL2612+BN2612+BP2612+BR2612+BT2612+BV2612+BX2612+BZ2612+CB2612+CD2612+CF2612+CH2612+CJ2612+CL2612+CN2612+CP2612+CR2612+CT2612</f>
        <v>0</v>
      </c>
      <c r="CV2612" s="76"/>
      <c r="CW2612" s="76">
        <f>+CV2612*1100</f>
        <v>0</v>
      </c>
      <c r="CX2612" s="76"/>
      <c r="CY2612" s="76">
        <f>+CX2612*106250</f>
        <v>0</v>
      </c>
      <c r="CZ2612" s="76"/>
      <c r="DA2612" s="76">
        <f>+CZ2612*34500</f>
        <v>0</v>
      </c>
      <c r="DB2612" s="76"/>
      <c r="DC2612" s="76">
        <f>+DB2612*25000</f>
        <v>0</v>
      </c>
      <c r="DD2612" s="219"/>
      <c r="DE2612" s="219"/>
      <c r="DF2612" s="166"/>
      <c r="DG2612" s="116"/>
      <c r="DH2612" s="117"/>
      <c r="DI2612" s="24"/>
      <c r="DJ2612" s="24"/>
      <c r="DK2612" s="24"/>
      <c r="DL2612" s="24"/>
      <c r="DM2612" s="24"/>
      <c r="DN2612" s="24"/>
      <c r="DO2612" s="24"/>
      <c r="DP2612" s="24"/>
      <c r="DQ2612" s="24"/>
      <c r="DR2612" s="24"/>
      <c r="DS2612" s="24"/>
      <c r="DT2612" s="24"/>
      <c r="DU2612" s="24"/>
    </row>
    <row r="2613" spans="1:125" s="8" customFormat="1" ht="180.75" x14ac:dyDescent="0.2">
      <c r="A2613" s="77">
        <v>41489</v>
      </c>
      <c r="B2613" s="352" t="s">
        <v>2848</v>
      </c>
      <c r="C2613" s="354" t="s">
        <v>2128</v>
      </c>
      <c r="D2613" s="354" t="s">
        <v>3726</v>
      </c>
      <c r="E2613" s="353" t="str">
        <f>VLOOKUP(B2613&amp;C2613,Divipola!$C$2:$F$1138,4,FALSE)</f>
        <v>73124</v>
      </c>
      <c r="F2613" s="87"/>
      <c r="G2613" s="87"/>
      <c r="H2613" s="87"/>
      <c r="I2613" s="87"/>
      <c r="J2613" s="87"/>
      <c r="K2613" s="87"/>
      <c r="L2613" s="87"/>
      <c r="M2613" s="87"/>
      <c r="N2613" s="87"/>
      <c r="O2613" s="87"/>
      <c r="P2613" s="87"/>
      <c r="Q2613" s="87"/>
      <c r="R2613" s="87"/>
      <c r="S2613" s="87"/>
      <c r="T2613" s="87"/>
      <c r="U2613" s="88"/>
      <c r="V2613" s="89">
        <v>500</v>
      </c>
      <c r="W2613" s="96">
        <v>0</v>
      </c>
      <c r="X2613" s="71">
        <f>CU2613</f>
        <v>0</v>
      </c>
      <c r="Y2613" s="71">
        <f>CY2613</f>
        <v>0</v>
      </c>
      <c r="Z2613" s="71">
        <f>DA2613+DC2613+DE2613</f>
        <v>0</v>
      </c>
      <c r="AA2613" s="71">
        <f>CW2613</f>
        <v>0</v>
      </c>
      <c r="AB2613" s="71"/>
      <c r="AC2613" s="71">
        <v>0</v>
      </c>
      <c r="AD2613" s="71">
        <f>W2613+X2613+Y2613+Z2613+AA2613+AB2613+AC2613</f>
        <v>0</v>
      </c>
      <c r="AE2613" s="72">
        <v>0</v>
      </c>
      <c r="AF2613" s="5"/>
      <c r="AG2613" s="6"/>
      <c r="AH2613" s="27"/>
      <c r="AI2613" s="44"/>
      <c r="AJ2613" s="26"/>
      <c r="AK2613" s="5"/>
      <c r="AL2613" s="82" t="s">
        <v>5499</v>
      </c>
      <c r="AM2613" s="76"/>
      <c r="AN2613" s="76"/>
      <c r="AO2613" s="76"/>
      <c r="AP2613" s="76"/>
      <c r="AQ2613" s="76"/>
      <c r="AR2613" s="76"/>
      <c r="AS2613" s="76"/>
      <c r="AT2613" s="76"/>
      <c r="AU2613" s="76"/>
      <c r="AV2613" s="76"/>
      <c r="AW2613" s="76"/>
      <c r="AX2613" s="76">
        <f>+AW2613*600000</f>
        <v>0</v>
      </c>
      <c r="AY2613" s="76"/>
      <c r="AZ2613" s="76">
        <f>+AY2613*70000</f>
        <v>0</v>
      </c>
      <c r="BA2613" s="76"/>
      <c r="BB2613" s="76"/>
      <c r="BC2613" s="76"/>
      <c r="BD2613" s="76">
        <f>+BC2613*30000</f>
        <v>0</v>
      </c>
      <c r="BE2613" s="76"/>
      <c r="BF2613" s="76"/>
      <c r="BG2613" s="76"/>
      <c r="BH2613" s="76"/>
      <c r="BI2613" s="76"/>
      <c r="BJ2613" s="76"/>
      <c r="BK2613" s="76"/>
      <c r="BL2613" s="76">
        <f>+BK2613*31500</f>
        <v>0</v>
      </c>
      <c r="BM2613" s="76"/>
      <c r="BN2613" s="76"/>
      <c r="BO2613" s="76"/>
      <c r="BP2613" s="76"/>
      <c r="BQ2613" s="76"/>
      <c r="BR2613" s="76"/>
      <c r="BS2613" s="76"/>
      <c r="BT2613" s="76"/>
      <c r="BU2613" s="76"/>
      <c r="BV2613" s="76"/>
      <c r="BW2613" s="76"/>
      <c r="BX2613" s="76"/>
      <c r="BY2613" s="76"/>
      <c r="BZ2613" s="76"/>
      <c r="CA2613" s="76"/>
      <c r="CB2613" s="76"/>
      <c r="CC2613" s="76"/>
      <c r="CD2613" s="76"/>
      <c r="CE2613" s="76"/>
      <c r="CF2613" s="76">
        <f>+CE2613*28000</f>
        <v>0</v>
      </c>
      <c r="CG2613" s="76"/>
      <c r="CH2613" s="76">
        <f>+CG2613*22500</f>
        <v>0</v>
      </c>
      <c r="CI2613" s="76"/>
      <c r="CJ2613" s="76">
        <f>+CI2613*26000</f>
        <v>0</v>
      </c>
      <c r="CK2613" s="76"/>
      <c r="CL2613" s="76"/>
      <c r="CM2613" s="76"/>
      <c r="CN2613" s="76">
        <f>+CM2613*22000</f>
        <v>0</v>
      </c>
      <c r="CO2613" s="76"/>
      <c r="CP2613" s="76">
        <f>+CO2613*46000</f>
        <v>0</v>
      </c>
      <c r="CQ2613" s="76"/>
      <c r="CR2613" s="76">
        <f>+CQ2613*49000</f>
        <v>0</v>
      </c>
      <c r="CS2613" s="76"/>
      <c r="CT2613" s="76"/>
      <c r="CU2613" s="56">
        <f>AN2613+AP2613+AR2613+AT2613+AV2613+AX2613+AZ2613+BB2613+BD2613+BF2613+BH2613+BJ2613+BL2613+BN2613+BP2613+BR2613+BT2613+BV2613+BX2613+BZ2613+CB2613+CD2613+CF2613+CH2613+CJ2613+CL2613+CN2613+CP2613+CR2613+CT2613</f>
        <v>0</v>
      </c>
      <c r="CV2613" s="76"/>
      <c r="CW2613" s="76">
        <f>+CV2613*1100</f>
        <v>0</v>
      </c>
      <c r="CX2613" s="76"/>
      <c r="CY2613" s="76">
        <f>+CX2613*106250</f>
        <v>0</v>
      </c>
      <c r="CZ2613" s="76"/>
      <c r="DA2613" s="76">
        <f>+CZ2613*34500</f>
        <v>0</v>
      </c>
      <c r="DB2613" s="76"/>
      <c r="DC2613" s="76">
        <f>+DB2613*25000</f>
        <v>0</v>
      </c>
      <c r="DD2613" s="219"/>
      <c r="DE2613" s="219"/>
      <c r="DF2613" s="166"/>
      <c r="DG2613" s="116"/>
      <c r="DH2613" s="117"/>
      <c r="DI2613" s="24"/>
      <c r="DJ2613" s="24"/>
      <c r="DK2613" s="24"/>
      <c r="DL2613" s="24"/>
      <c r="DM2613" s="24"/>
      <c r="DN2613" s="24"/>
      <c r="DO2613" s="24"/>
      <c r="DP2613" s="24"/>
      <c r="DQ2613" s="24"/>
      <c r="DR2613" s="24"/>
      <c r="DS2613" s="24"/>
      <c r="DT2613" s="24"/>
      <c r="DU2613" s="24"/>
    </row>
    <row r="2614" spans="1:125" s="8" customFormat="1" ht="48" x14ac:dyDescent="0.2">
      <c r="A2614" s="226">
        <v>41489</v>
      </c>
      <c r="B2614" s="352" t="s">
        <v>2851</v>
      </c>
      <c r="C2614" s="227" t="s">
        <v>1937</v>
      </c>
      <c r="D2614" s="354" t="s">
        <v>2846</v>
      </c>
      <c r="E2614" s="353" t="str">
        <f>VLOOKUP(B2614&amp;C2614,Divipola!$C$2:$F$1138,4,FALSE)</f>
        <v>76122</v>
      </c>
      <c r="F2614" s="87"/>
      <c r="G2614" s="87"/>
      <c r="H2614" s="87"/>
      <c r="I2614" s="87"/>
      <c r="J2614" s="87"/>
      <c r="K2614" s="87"/>
      <c r="L2614" s="87"/>
      <c r="M2614" s="87"/>
      <c r="N2614" s="87"/>
      <c r="O2614" s="87"/>
      <c r="P2614" s="87"/>
      <c r="Q2614" s="87"/>
      <c r="R2614" s="87"/>
      <c r="S2614" s="87"/>
      <c r="T2614" s="87"/>
      <c r="U2614" s="88">
        <v>16</v>
      </c>
      <c r="V2614" s="89"/>
      <c r="W2614" s="96">
        <v>0</v>
      </c>
      <c r="X2614" s="71">
        <f>CU2614</f>
        <v>0</v>
      </c>
      <c r="Y2614" s="71">
        <f>CY2614</f>
        <v>0</v>
      </c>
      <c r="Z2614" s="71">
        <f>DA2614+DC2614+DE2614</f>
        <v>0</v>
      </c>
      <c r="AA2614" s="71">
        <f>CW2614</f>
        <v>0</v>
      </c>
      <c r="AB2614" s="71"/>
      <c r="AC2614" s="71">
        <v>0</v>
      </c>
      <c r="AD2614" s="71">
        <f>W2614+X2614+Y2614+Z2614+AA2614+AB2614+AC2614</f>
        <v>0</v>
      </c>
      <c r="AE2614" s="72">
        <v>0</v>
      </c>
      <c r="AF2614" s="5"/>
      <c r="AG2614" s="6"/>
      <c r="AH2614" s="27"/>
      <c r="AI2614" s="44"/>
      <c r="AJ2614" s="26"/>
      <c r="AK2614" s="5"/>
      <c r="AL2614" s="82" t="s">
        <v>5502</v>
      </c>
      <c r="AM2614" s="76"/>
      <c r="AN2614" s="76"/>
      <c r="AO2614" s="76"/>
      <c r="AP2614" s="76"/>
      <c r="AQ2614" s="76"/>
      <c r="AR2614" s="76"/>
      <c r="AS2614" s="76"/>
      <c r="AT2614" s="76"/>
      <c r="AU2614" s="76"/>
      <c r="AV2614" s="76"/>
      <c r="AW2614" s="76"/>
      <c r="AX2614" s="76">
        <f>+AW2614*600000</f>
        <v>0</v>
      </c>
      <c r="AY2614" s="76"/>
      <c r="AZ2614" s="76">
        <f>+AY2614*70000</f>
        <v>0</v>
      </c>
      <c r="BA2614" s="76"/>
      <c r="BB2614" s="76"/>
      <c r="BC2614" s="76"/>
      <c r="BD2614" s="76">
        <f>+BC2614*30000</f>
        <v>0</v>
      </c>
      <c r="BE2614" s="76"/>
      <c r="BF2614" s="76"/>
      <c r="BG2614" s="76"/>
      <c r="BH2614" s="76"/>
      <c r="BI2614" s="76"/>
      <c r="BJ2614" s="76"/>
      <c r="BK2614" s="76"/>
      <c r="BL2614" s="76">
        <f>+BK2614*31500</f>
        <v>0</v>
      </c>
      <c r="BM2614" s="76"/>
      <c r="BN2614" s="76"/>
      <c r="BO2614" s="76"/>
      <c r="BP2614" s="76"/>
      <c r="BQ2614" s="76"/>
      <c r="BR2614" s="76"/>
      <c r="BS2614" s="76"/>
      <c r="BT2614" s="76"/>
      <c r="BU2614" s="76"/>
      <c r="BV2614" s="76"/>
      <c r="BW2614" s="76"/>
      <c r="BX2614" s="76"/>
      <c r="BY2614" s="76"/>
      <c r="BZ2614" s="76"/>
      <c r="CA2614" s="76"/>
      <c r="CB2614" s="76"/>
      <c r="CC2614" s="76"/>
      <c r="CD2614" s="76"/>
      <c r="CE2614" s="76"/>
      <c r="CF2614" s="76">
        <f>+CE2614*28000</f>
        <v>0</v>
      </c>
      <c r="CG2614" s="76"/>
      <c r="CH2614" s="76">
        <f>+CG2614*22500</f>
        <v>0</v>
      </c>
      <c r="CI2614" s="76"/>
      <c r="CJ2614" s="76">
        <f>+CI2614*26000</f>
        <v>0</v>
      </c>
      <c r="CK2614" s="76"/>
      <c r="CL2614" s="76"/>
      <c r="CM2614" s="76"/>
      <c r="CN2614" s="76">
        <f>+CM2614*22000</f>
        <v>0</v>
      </c>
      <c r="CO2614" s="76"/>
      <c r="CP2614" s="76">
        <f>+CO2614*46000</f>
        <v>0</v>
      </c>
      <c r="CQ2614" s="76"/>
      <c r="CR2614" s="76">
        <f>+CQ2614*49000</f>
        <v>0</v>
      </c>
      <c r="CS2614" s="76"/>
      <c r="CT2614" s="76"/>
      <c r="CU2614" s="56">
        <f>AN2614+AP2614+AR2614+AT2614+AV2614+AX2614+AZ2614+BB2614+BD2614+BF2614+BH2614+BJ2614+BL2614+BN2614+BP2614+BR2614+BT2614+BV2614+BX2614+BZ2614+CB2614+CD2614+CF2614+CH2614+CJ2614+CL2614+CN2614+CP2614+CR2614+CT2614</f>
        <v>0</v>
      </c>
      <c r="CV2614" s="76"/>
      <c r="CW2614" s="76">
        <f>+CV2614*1100</f>
        <v>0</v>
      </c>
      <c r="CX2614" s="76"/>
      <c r="CY2614" s="76">
        <f>+CX2614*106250</f>
        <v>0</v>
      </c>
      <c r="CZ2614" s="76"/>
      <c r="DA2614" s="76">
        <f>+CZ2614*34500</f>
        <v>0</v>
      </c>
      <c r="DB2614" s="76"/>
      <c r="DC2614" s="76">
        <f>+DB2614*25000</f>
        <v>0</v>
      </c>
      <c r="DD2614" s="219"/>
      <c r="DE2614" s="219"/>
      <c r="DF2614" s="166"/>
      <c r="DG2614" s="116"/>
      <c r="DH2614" s="117"/>
      <c r="DI2614" s="24"/>
      <c r="DJ2614" s="24"/>
      <c r="DK2614" s="24"/>
      <c r="DL2614" s="24"/>
      <c r="DM2614" s="24"/>
      <c r="DN2614" s="24"/>
      <c r="DO2614" s="24"/>
      <c r="DP2614" s="24"/>
      <c r="DQ2614" s="24"/>
      <c r="DR2614" s="24"/>
      <c r="DS2614" s="24"/>
      <c r="DT2614" s="24"/>
      <c r="DU2614" s="24"/>
    </row>
    <row r="2615" spans="1:125" s="8" customFormat="1" ht="132" x14ac:dyDescent="0.2">
      <c r="A2615" s="226">
        <v>41489</v>
      </c>
      <c r="B2615" s="352" t="s">
        <v>2851</v>
      </c>
      <c r="C2615" s="227" t="s">
        <v>1686</v>
      </c>
      <c r="D2615" s="354" t="s">
        <v>2846</v>
      </c>
      <c r="E2615" s="353" t="str">
        <f>VLOOKUP(B2615&amp;C2615,Divipola!$C$2:$F$1138,4,FALSE)</f>
        <v>76001</v>
      </c>
      <c r="F2615" s="87"/>
      <c r="G2615" s="87"/>
      <c r="H2615" s="87"/>
      <c r="I2615" s="87"/>
      <c r="J2615" s="87"/>
      <c r="K2615" s="87"/>
      <c r="L2615" s="87"/>
      <c r="M2615" s="87"/>
      <c r="N2615" s="87"/>
      <c r="O2615" s="87"/>
      <c r="P2615" s="87"/>
      <c r="Q2615" s="87"/>
      <c r="R2615" s="87"/>
      <c r="S2615" s="87"/>
      <c r="T2615" s="87"/>
      <c r="U2615" s="88">
        <v>12</v>
      </c>
      <c r="V2615" s="89"/>
      <c r="W2615" s="96">
        <v>0</v>
      </c>
      <c r="X2615" s="71">
        <f>CU2615</f>
        <v>0</v>
      </c>
      <c r="Y2615" s="71">
        <f>CY2615</f>
        <v>0</v>
      </c>
      <c r="Z2615" s="71">
        <f>DA2615+DC2615+DE2615</f>
        <v>0</v>
      </c>
      <c r="AA2615" s="71">
        <f>CW2615</f>
        <v>0</v>
      </c>
      <c r="AB2615" s="71"/>
      <c r="AC2615" s="71">
        <v>0</v>
      </c>
      <c r="AD2615" s="71">
        <f>W2615+X2615+Y2615+Z2615+AA2615+AB2615+AC2615</f>
        <v>0</v>
      </c>
      <c r="AE2615" s="72">
        <v>0</v>
      </c>
      <c r="AF2615" s="5"/>
      <c r="AG2615" s="6"/>
      <c r="AH2615" s="27"/>
      <c r="AI2615" s="44"/>
      <c r="AJ2615" s="26"/>
      <c r="AK2615" s="5"/>
      <c r="AL2615" s="82" t="s">
        <v>5500</v>
      </c>
      <c r="AM2615" s="76"/>
      <c r="AN2615" s="76"/>
      <c r="AO2615" s="76"/>
      <c r="AP2615" s="76"/>
      <c r="AQ2615" s="76"/>
      <c r="AR2615" s="76"/>
      <c r="AS2615" s="76"/>
      <c r="AT2615" s="76"/>
      <c r="AU2615" s="76"/>
      <c r="AV2615" s="76"/>
      <c r="AW2615" s="76"/>
      <c r="AX2615" s="76">
        <f>+AW2615*600000</f>
        <v>0</v>
      </c>
      <c r="AY2615" s="76"/>
      <c r="AZ2615" s="76">
        <f>+AY2615*70000</f>
        <v>0</v>
      </c>
      <c r="BA2615" s="76"/>
      <c r="BB2615" s="76"/>
      <c r="BC2615" s="76"/>
      <c r="BD2615" s="76">
        <f>+BC2615*30000</f>
        <v>0</v>
      </c>
      <c r="BE2615" s="76"/>
      <c r="BF2615" s="76"/>
      <c r="BG2615" s="76"/>
      <c r="BH2615" s="76"/>
      <c r="BI2615" s="76"/>
      <c r="BJ2615" s="76"/>
      <c r="BK2615" s="76"/>
      <c r="BL2615" s="76">
        <f>+BK2615*31500</f>
        <v>0</v>
      </c>
      <c r="BM2615" s="76"/>
      <c r="BN2615" s="76"/>
      <c r="BO2615" s="76"/>
      <c r="BP2615" s="76"/>
      <c r="BQ2615" s="76"/>
      <c r="BR2615" s="76"/>
      <c r="BS2615" s="76"/>
      <c r="BT2615" s="76"/>
      <c r="BU2615" s="76"/>
      <c r="BV2615" s="76"/>
      <c r="BW2615" s="76"/>
      <c r="BX2615" s="76"/>
      <c r="BY2615" s="76"/>
      <c r="BZ2615" s="76"/>
      <c r="CA2615" s="76"/>
      <c r="CB2615" s="76"/>
      <c r="CC2615" s="76"/>
      <c r="CD2615" s="76"/>
      <c r="CE2615" s="76"/>
      <c r="CF2615" s="76">
        <f>+CE2615*28000</f>
        <v>0</v>
      </c>
      <c r="CG2615" s="76"/>
      <c r="CH2615" s="76">
        <f>+CG2615*22500</f>
        <v>0</v>
      </c>
      <c r="CI2615" s="76"/>
      <c r="CJ2615" s="76">
        <f>+CI2615*26000</f>
        <v>0</v>
      </c>
      <c r="CK2615" s="76"/>
      <c r="CL2615" s="76"/>
      <c r="CM2615" s="76"/>
      <c r="CN2615" s="76">
        <f>+CM2615*22000</f>
        <v>0</v>
      </c>
      <c r="CO2615" s="76"/>
      <c r="CP2615" s="76">
        <f>+CO2615*46000</f>
        <v>0</v>
      </c>
      <c r="CQ2615" s="76"/>
      <c r="CR2615" s="76">
        <f>+CQ2615*49000</f>
        <v>0</v>
      </c>
      <c r="CS2615" s="76"/>
      <c r="CT2615" s="76"/>
      <c r="CU2615" s="56">
        <f>AN2615+AP2615+AR2615+AT2615+AV2615+AX2615+AZ2615+BB2615+BD2615+BF2615+BH2615+BJ2615+BL2615+BN2615+BP2615+BR2615+BT2615+BV2615+BX2615+BZ2615+CB2615+CD2615+CF2615+CH2615+CJ2615+CL2615+CN2615+CP2615+CR2615+CT2615</f>
        <v>0</v>
      </c>
      <c r="CV2615" s="76"/>
      <c r="CW2615" s="76">
        <f>+CV2615*1100</f>
        <v>0</v>
      </c>
      <c r="CX2615" s="76"/>
      <c r="CY2615" s="76">
        <f>+CX2615*106250</f>
        <v>0</v>
      </c>
      <c r="CZ2615" s="76"/>
      <c r="DA2615" s="76">
        <f>+CZ2615*34500</f>
        <v>0</v>
      </c>
      <c r="DB2615" s="76"/>
      <c r="DC2615" s="76">
        <f>+DB2615*25000</f>
        <v>0</v>
      </c>
      <c r="DD2615" s="219"/>
      <c r="DE2615" s="219"/>
      <c r="DF2615" s="166"/>
      <c r="DG2615" s="116"/>
      <c r="DH2615" s="117"/>
      <c r="DI2615" s="24"/>
      <c r="DJ2615" s="24"/>
      <c r="DK2615" s="24"/>
      <c r="DL2615" s="24"/>
      <c r="DM2615" s="24"/>
      <c r="DN2615" s="24"/>
      <c r="DO2615" s="24"/>
      <c r="DP2615" s="24"/>
      <c r="DQ2615" s="24"/>
      <c r="DR2615" s="24"/>
      <c r="DS2615" s="24"/>
      <c r="DT2615" s="24"/>
      <c r="DU2615" s="24"/>
    </row>
    <row r="2616" spans="1:125" s="8" customFormat="1" ht="48" x14ac:dyDescent="0.2">
      <c r="A2616" s="226">
        <v>41489</v>
      </c>
      <c r="B2616" s="352" t="s">
        <v>2851</v>
      </c>
      <c r="C2616" s="227" t="s">
        <v>2704</v>
      </c>
      <c r="D2616" s="354" t="s">
        <v>2846</v>
      </c>
      <c r="E2616" s="353" t="str">
        <f>VLOOKUP(B2616&amp;C2616,Divipola!$C$2:$F$1138,4,FALSE)</f>
        <v>76243</v>
      </c>
      <c r="F2616" s="87"/>
      <c r="G2616" s="87"/>
      <c r="H2616" s="87"/>
      <c r="I2616" s="87"/>
      <c r="J2616" s="87"/>
      <c r="K2616" s="87"/>
      <c r="L2616" s="87"/>
      <c r="M2616" s="87"/>
      <c r="N2616" s="87"/>
      <c r="O2616" s="87"/>
      <c r="P2616" s="87"/>
      <c r="Q2616" s="87"/>
      <c r="R2616" s="87"/>
      <c r="S2616" s="87"/>
      <c r="T2616" s="87"/>
      <c r="U2616" s="88">
        <v>8</v>
      </c>
      <c r="V2616" s="89"/>
      <c r="W2616" s="96">
        <v>0</v>
      </c>
      <c r="X2616" s="71">
        <f>CU2616</f>
        <v>0</v>
      </c>
      <c r="Y2616" s="71">
        <f>CY2616</f>
        <v>0</v>
      </c>
      <c r="Z2616" s="71">
        <f>DA2616+DC2616+DE2616</f>
        <v>0</v>
      </c>
      <c r="AA2616" s="71">
        <f>CW2616</f>
        <v>0</v>
      </c>
      <c r="AB2616" s="71"/>
      <c r="AC2616" s="71">
        <v>0</v>
      </c>
      <c r="AD2616" s="71">
        <f>W2616+X2616+Y2616+Z2616+AA2616+AB2616+AC2616</f>
        <v>0</v>
      </c>
      <c r="AE2616" s="72">
        <v>0</v>
      </c>
      <c r="AF2616" s="5"/>
      <c r="AG2616" s="6"/>
      <c r="AH2616" s="27"/>
      <c r="AI2616" s="44"/>
      <c r="AJ2616" s="26"/>
      <c r="AK2616" s="5"/>
      <c r="AL2616" s="82" t="s">
        <v>5501</v>
      </c>
      <c r="AM2616" s="76"/>
      <c r="AN2616" s="76"/>
      <c r="AO2616" s="76"/>
      <c r="AP2616" s="76"/>
      <c r="AQ2616" s="76"/>
      <c r="AR2616" s="76"/>
      <c r="AS2616" s="76"/>
      <c r="AT2616" s="76"/>
      <c r="AU2616" s="76"/>
      <c r="AV2616" s="76"/>
      <c r="AW2616" s="76"/>
      <c r="AX2616" s="76">
        <f>+AW2616*600000</f>
        <v>0</v>
      </c>
      <c r="AY2616" s="76"/>
      <c r="AZ2616" s="76">
        <f>+AY2616*70000</f>
        <v>0</v>
      </c>
      <c r="BA2616" s="76"/>
      <c r="BB2616" s="76"/>
      <c r="BC2616" s="76"/>
      <c r="BD2616" s="76">
        <f>+BC2616*30000</f>
        <v>0</v>
      </c>
      <c r="BE2616" s="76"/>
      <c r="BF2616" s="76"/>
      <c r="BG2616" s="76"/>
      <c r="BH2616" s="76"/>
      <c r="BI2616" s="76"/>
      <c r="BJ2616" s="76"/>
      <c r="BK2616" s="76"/>
      <c r="BL2616" s="76">
        <f>+BK2616*31500</f>
        <v>0</v>
      </c>
      <c r="BM2616" s="76"/>
      <c r="BN2616" s="76"/>
      <c r="BO2616" s="76"/>
      <c r="BP2616" s="76"/>
      <c r="BQ2616" s="76"/>
      <c r="BR2616" s="76"/>
      <c r="BS2616" s="76"/>
      <c r="BT2616" s="76"/>
      <c r="BU2616" s="76"/>
      <c r="BV2616" s="76"/>
      <c r="BW2616" s="76"/>
      <c r="BX2616" s="76"/>
      <c r="BY2616" s="76"/>
      <c r="BZ2616" s="76"/>
      <c r="CA2616" s="76"/>
      <c r="CB2616" s="76"/>
      <c r="CC2616" s="76"/>
      <c r="CD2616" s="76"/>
      <c r="CE2616" s="76"/>
      <c r="CF2616" s="76">
        <f>+CE2616*28000</f>
        <v>0</v>
      </c>
      <c r="CG2616" s="76"/>
      <c r="CH2616" s="76">
        <f>+CG2616*22500</f>
        <v>0</v>
      </c>
      <c r="CI2616" s="76"/>
      <c r="CJ2616" s="76">
        <f>+CI2616*26000</f>
        <v>0</v>
      </c>
      <c r="CK2616" s="76"/>
      <c r="CL2616" s="76"/>
      <c r="CM2616" s="76"/>
      <c r="CN2616" s="76">
        <f>+CM2616*22000</f>
        <v>0</v>
      </c>
      <c r="CO2616" s="76"/>
      <c r="CP2616" s="76">
        <f>+CO2616*46000</f>
        <v>0</v>
      </c>
      <c r="CQ2616" s="76"/>
      <c r="CR2616" s="76">
        <f>+CQ2616*49000</f>
        <v>0</v>
      </c>
      <c r="CS2616" s="76"/>
      <c r="CT2616" s="76"/>
      <c r="CU2616" s="56">
        <f>AN2616+AP2616+AR2616+AT2616+AV2616+AX2616+AZ2616+BB2616+BD2616+BF2616+BH2616+BJ2616+BL2616+BN2616+BP2616+BR2616+BT2616+BV2616+BX2616+BZ2616+CB2616+CD2616+CF2616+CH2616+CJ2616+CL2616+CN2616+CP2616+CR2616+CT2616</f>
        <v>0</v>
      </c>
      <c r="CV2616" s="76"/>
      <c r="CW2616" s="76">
        <f>+CV2616*1100</f>
        <v>0</v>
      </c>
      <c r="CX2616" s="76"/>
      <c r="CY2616" s="76">
        <f>+CX2616*106250</f>
        <v>0</v>
      </c>
      <c r="CZ2616" s="76"/>
      <c r="DA2616" s="76">
        <f>+CZ2616*34500</f>
        <v>0</v>
      </c>
      <c r="DB2616" s="76"/>
      <c r="DC2616" s="76">
        <f>+DB2616*25000</f>
        <v>0</v>
      </c>
      <c r="DD2616" s="219"/>
      <c r="DE2616" s="219"/>
      <c r="DF2616" s="166"/>
      <c r="DG2616" s="116"/>
      <c r="DH2616" s="117"/>
      <c r="DI2616" s="24"/>
      <c r="DJ2616" s="24"/>
      <c r="DK2616" s="24"/>
      <c r="DL2616" s="24"/>
      <c r="DM2616" s="24"/>
      <c r="DN2616" s="24"/>
      <c r="DO2616" s="24"/>
      <c r="DP2616" s="24"/>
      <c r="DQ2616" s="24"/>
      <c r="DR2616" s="24"/>
      <c r="DS2616" s="24"/>
      <c r="DT2616" s="24"/>
      <c r="DU2616" s="24"/>
    </row>
    <row r="2617" spans="1:125" s="8" customFormat="1" ht="48" x14ac:dyDescent="0.2">
      <c r="A2617" s="353">
        <v>41490</v>
      </c>
      <c r="B2617" s="352" t="s">
        <v>2772</v>
      </c>
      <c r="C2617" s="354" t="s">
        <v>1156</v>
      </c>
      <c r="D2617" s="354" t="s">
        <v>2849</v>
      </c>
      <c r="E2617" s="353" t="str">
        <f>VLOOKUP(B2617&amp;C2617,Divipola!$C$2:$F$1138,4,FALSE)</f>
        <v>25743</v>
      </c>
      <c r="F2617" s="87">
        <v>2</v>
      </c>
      <c r="G2617" s="87"/>
      <c r="H2617" s="87"/>
      <c r="I2617" s="87"/>
      <c r="J2617" s="87"/>
      <c r="K2617" s="87"/>
      <c r="L2617" s="87"/>
      <c r="M2617" s="87"/>
      <c r="N2617" s="87"/>
      <c r="O2617" s="87"/>
      <c r="P2617" s="87"/>
      <c r="Q2617" s="87"/>
      <c r="R2617" s="87"/>
      <c r="S2617" s="87"/>
      <c r="T2617" s="87"/>
      <c r="U2617" s="88"/>
      <c r="V2617" s="89"/>
      <c r="W2617" s="96">
        <v>0</v>
      </c>
      <c r="X2617" s="71">
        <f>CU2617</f>
        <v>0</v>
      </c>
      <c r="Y2617" s="71">
        <f>CY2617</f>
        <v>0</v>
      </c>
      <c r="Z2617" s="71">
        <f>DA2617+DC2617+DE2617</f>
        <v>0</v>
      </c>
      <c r="AA2617" s="71">
        <f>CW2617</f>
        <v>0</v>
      </c>
      <c r="AB2617" s="71"/>
      <c r="AC2617" s="71">
        <v>0</v>
      </c>
      <c r="AD2617" s="71">
        <f>W2617+X2617+Y2617+Z2617+AA2617+AB2617+AC2617</f>
        <v>0</v>
      </c>
      <c r="AE2617" s="72">
        <v>0</v>
      </c>
      <c r="AF2617" s="5"/>
      <c r="AG2617" s="6"/>
      <c r="AH2617" s="27"/>
      <c r="AI2617" s="44"/>
      <c r="AJ2617" s="26"/>
      <c r="AK2617" s="5"/>
      <c r="AL2617" s="82" t="s">
        <v>5505</v>
      </c>
      <c r="AM2617" s="76"/>
      <c r="AN2617" s="76"/>
      <c r="AO2617" s="76"/>
      <c r="AP2617" s="76"/>
      <c r="AQ2617" s="76"/>
      <c r="AR2617" s="76"/>
      <c r="AS2617" s="76"/>
      <c r="AT2617" s="76"/>
      <c r="AU2617" s="76"/>
      <c r="AV2617" s="76"/>
      <c r="AW2617" s="76"/>
      <c r="AX2617" s="76">
        <f>+AW2617*600000</f>
        <v>0</v>
      </c>
      <c r="AY2617" s="76"/>
      <c r="AZ2617" s="76">
        <f>+AY2617*70000</f>
        <v>0</v>
      </c>
      <c r="BA2617" s="76"/>
      <c r="BB2617" s="76"/>
      <c r="BC2617" s="76"/>
      <c r="BD2617" s="76">
        <f>+BC2617*30000</f>
        <v>0</v>
      </c>
      <c r="BE2617" s="76"/>
      <c r="BF2617" s="76"/>
      <c r="BG2617" s="76"/>
      <c r="BH2617" s="76"/>
      <c r="BI2617" s="76"/>
      <c r="BJ2617" s="76"/>
      <c r="BK2617" s="76"/>
      <c r="BL2617" s="76">
        <f>+BK2617*31500</f>
        <v>0</v>
      </c>
      <c r="BM2617" s="76"/>
      <c r="BN2617" s="76"/>
      <c r="BO2617" s="76"/>
      <c r="BP2617" s="76"/>
      <c r="BQ2617" s="76"/>
      <c r="BR2617" s="76"/>
      <c r="BS2617" s="76"/>
      <c r="BT2617" s="76"/>
      <c r="BU2617" s="76"/>
      <c r="BV2617" s="76"/>
      <c r="BW2617" s="76"/>
      <c r="BX2617" s="76"/>
      <c r="BY2617" s="76"/>
      <c r="BZ2617" s="76"/>
      <c r="CA2617" s="76"/>
      <c r="CB2617" s="76"/>
      <c r="CC2617" s="76"/>
      <c r="CD2617" s="76"/>
      <c r="CE2617" s="76"/>
      <c r="CF2617" s="76">
        <f>+CE2617*28000</f>
        <v>0</v>
      </c>
      <c r="CG2617" s="76"/>
      <c r="CH2617" s="76">
        <f>+CG2617*22500</f>
        <v>0</v>
      </c>
      <c r="CI2617" s="76"/>
      <c r="CJ2617" s="76">
        <f>+CI2617*26000</f>
        <v>0</v>
      </c>
      <c r="CK2617" s="76"/>
      <c r="CL2617" s="76"/>
      <c r="CM2617" s="76"/>
      <c r="CN2617" s="76">
        <f>+CM2617*22000</f>
        <v>0</v>
      </c>
      <c r="CO2617" s="76"/>
      <c r="CP2617" s="76">
        <f>+CO2617*46000</f>
        <v>0</v>
      </c>
      <c r="CQ2617" s="76"/>
      <c r="CR2617" s="76">
        <f>+CQ2617*49000</f>
        <v>0</v>
      </c>
      <c r="CS2617" s="76"/>
      <c r="CT2617" s="76"/>
      <c r="CU2617" s="56">
        <f>AN2617+AP2617+AR2617+AT2617+AV2617+AX2617+AZ2617+BB2617+BD2617+BF2617+BH2617+BJ2617+BL2617+BN2617+BP2617+BR2617+BT2617+BV2617+BX2617+BZ2617+CB2617+CD2617+CF2617+CH2617+CJ2617+CL2617+CN2617+CP2617+CR2617+CT2617</f>
        <v>0</v>
      </c>
      <c r="CV2617" s="76"/>
      <c r="CW2617" s="76">
        <f>+CV2617*1100</f>
        <v>0</v>
      </c>
      <c r="CX2617" s="76"/>
      <c r="CY2617" s="76">
        <f>+CX2617*106250</f>
        <v>0</v>
      </c>
      <c r="CZ2617" s="76"/>
      <c r="DA2617" s="76">
        <f>+CZ2617*34500</f>
        <v>0</v>
      </c>
      <c r="DB2617" s="76"/>
      <c r="DC2617" s="76">
        <f>+DB2617*25000</f>
        <v>0</v>
      </c>
      <c r="DD2617" s="219"/>
      <c r="DE2617" s="219"/>
      <c r="DF2617" s="166"/>
      <c r="DG2617" s="116"/>
      <c r="DH2617" s="117"/>
      <c r="DI2617" s="24"/>
      <c r="DJ2617" s="24"/>
      <c r="DK2617" s="24"/>
      <c r="DL2617" s="24"/>
      <c r="DM2617" s="24"/>
      <c r="DN2617" s="24"/>
      <c r="DO2617" s="24"/>
      <c r="DP2617" s="24"/>
      <c r="DQ2617" s="24"/>
      <c r="DR2617" s="24"/>
      <c r="DS2617" s="24"/>
      <c r="DT2617" s="24"/>
      <c r="DU2617" s="24"/>
    </row>
    <row r="2618" spans="1:125" s="8" customFormat="1" ht="96" x14ac:dyDescent="0.2">
      <c r="A2618" s="353">
        <v>41490</v>
      </c>
      <c r="B2618" s="352" t="s">
        <v>2772</v>
      </c>
      <c r="C2618" s="354" t="s">
        <v>2834</v>
      </c>
      <c r="D2618" s="354" t="s">
        <v>2846</v>
      </c>
      <c r="E2618" s="353" t="str">
        <f>VLOOKUP(B2618&amp;C2618,Divipola!$C$2:$F$1138,4,FALSE)</f>
        <v>25851</v>
      </c>
      <c r="F2618" s="87"/>
      <c r="G2618" s="87"/>
      <c r="H2618" s="87"/>
      <c r="I2618" s="87"/>
      <c r="J2618" s="87"/>
      <c r="K2618" s="87"/>
      <c r="L2618" s="87"/>
      <c r="M2618" s="87"/>
      <c r="N2618" s="87"/>
      <c r="O2618" s="87"/>
      <c r="P2618" s="87"/>
      <c r="Q2618" s="87"/>
      <c r="R2618" s="87"/>
      <c r="S2618" s="87"/>
      <c r="T2618" s="87"/>
      <c r="U2618" s="88">
        <v>10</v>
      </c>
      <c r="V2618" s="89"/>
      <c r="W2618" s="96">
        <v>0</v>
      </c>
      <c r="X2618" s="71">
        <f>CU2618</f>
        <v>0</v>
      </c>
      <c r="Y2618" s="71">
        <f>CY2618</f>
        <v>0</v>
      </c>
      <c r="Z2618" s="71">
        <f>DA2618+DC2618+DE2618</f>
        <v>0</v>
      </c>
      <c r="AA2618" s="71">
        <f>CW2618</f>
        <v>0</v>
      </c>
      <c r="AB2618" s="71"/>
      <c r="AC2618" s="71">
        <v>0</v>
      </c>
      <c r="AD2618" s="71">
        <f>W2618+X2618+Y2618+Z2618+AA2618+AB2618+AC2618</f>
        <v>0</v>
      </c>
      <c r="AE2618" s="72">
        <v>0</v>
      </c>
      <c r="AF2618" s="5"/>
      <c r="AG2618" s="6"/>
      <c r="AH2618" s="27"/>
      <c r="AI2618" s="44"/>
      <c r="AJ2618" s="26"/>
      <c r="AK2618" s="5"/>
      <c r="AL2618" s="82" t="s">
        <v>5538</v>
      </c>
      <c r="AM2618" s="76"/>
      <c r="AN2618" s="76"/>
      <c r="AO2618" s="76"/>
      <c r="AP2618" s="76"/>
      <c r="AQ2618" s="76"/>
      <c r="AR2618" s="76"/>
      <c r="AS2618" s="76"/>
      <c r="AT2618" s="76"/>
      <c r="AU2618" s="76"/>
      <c r="AV2618" s="76"/>
      <c r="AW2618" s="76"/>
      <c r="AX2618" s="76">
        <f>+AW2618*600000</f>
        <v>0</v>
      </c>
      <c r="AY2618" s="76"/>
      <c r="AZ2618" s="76">
        <f>+AY2618*70000</f>
        <v>0</v>
      </c>
      <c r="BA2618" s="76"/>
      <c r="BB2618" s="76"/>
      <c r="BC2618" s="76"/>
      <c r="BD2618" s="76">
        <f>+BC2618*30000</f>
        <v>0</v>
      </c>
      <c r="BE2618" s="76"/>
      <c r="BF2618" s="76"/>
      <c r="BG2618" s="76"/>
      <c r="BH2618" s="76"/>
      <c r="BI2618" s="76"/>
      <c r="BJ2618" s="76"/>
      <c r="BK2618" s="76"/>
      <c r="BL2618" s="76">
        <f>+BK2618*31500</f>
        <v>0</v>
      </c>
      <c r="BM2618" s="76"/>
      <c r="BN2618" s="76"/>
      <c r="BO2618" s="76"/>
      <c r="BP2618" s="76"/>
      <c r="BQ2618" s="76"/>
      <c r="BR2618" s="76"/>
      <c r="BS2618" s="76"/>
      <c r="BT2618" s="76"/>
      <c r="BU2618" s="76"/>
      <c r="BV2618" s="76"/>
      <c r="BW2618" s="76"/>
      <c r="BX2618" s="76"/>
      <c r="BY2618" s="76"/>
      <c r="BZ2618" s="76"/>
      <c r="CA2618" s="76"/>
      <c r="CB2618" s="76"/>
      <c r="CC2618" s="76"/>
      <c r="CD2618" s="76"/>
      <c r="CE2618" s="76"/>
      <c r="CF2618" s="76">
        <f>+CE2618*28000</f>
        <v>0</v>
      </c>
      <c r="CG2618" s="76"/>
      <c r="CH2618" s="76">
        <f>+CG2618*22500</f>
        <v>0</v>
      </c>
      <c r="CI2618" s="76"/>
      <c r="CJ2618" s="76">
        <f>+CI2618*26000</f>
        <v>0</v>
      </c>
      <c r="CK2618" s="76"/>
      <c r="CL2618" s="76"/>
      <c r="CM2618" s="76"/>
      <c r="CN2618" s="76">
        <f>+CM2618*22000</f>
        <v>0</v>
      </c>
      <c r="CO2618" s="76"/>
      <c r="CP2618" s="76">
        <f>+CO2618*46000</f>
        <v>0</v>
      </c>
      <c r="CQ2618" s="76"/>
      <c r="CR2618" s="76">
        <f>+CQ2618*49000</f>
        <v>0</v>
      </c>
      <c r="CS2618" s="76"/>
      <c r="CT2618" s="76"/>
      <c r="CU2618" s="56">
        <f>AN2618+AP2618+AR2618+AT2618+AV2618+AX2618+AZ2618+BB2618+BD2618+BF2618+BH2618+BJ2618+BL2618+BN2618+BP2618+BR2618+BT2618+BV2618+BX2618+BZ2618+CB2618+CD2618+CF2618+CH2618+CJ2618+CL2618+CN2618+CP2618+CR2618+CT2618</f>
        <v>0</v>
      </c>
      <c r="CV2618" s="76"/>
      <c r="CW2618" s="76">
        <f>+CV2618*1100</f>
        <v>0</v>
      </c>
      <c r="CX2618" s="76"/>
      <c r="CY2618" s="76">
        <f>+CX2618*106250</f>
        <v>0</v>
      </c>
      <c r="CZ2618" s="76"/>
      <c r="DA2618" s="76">
        <f>+CZ2618*34500</f>
        <v>0</v>
      </c>
      <c r="DB2618" s="76"/>
      <c r="DC2618" s="76">
        <f>+DB2618*25000</f>
        <v>0</v>
      </c>
      <c r="DD2618" s="219"/>
      <c r="DE2618" s="219"/>
      <c r="DF2618" s="166"/>
      <c r="DG2618" s="116"/>
      <c r="DH2618" s="117"/>
      <c r="DI2618" s="24"/>
      <c r="DJ2618" s="24"/>
      <c r="DK2618" s="24"/>
      <c r="DL2618" s="24"/>
      <c r="DM2618" s="24"/>
      <c r="DN2618" s="24"/>
      <c r="DO2618" s="24"/>
      <c r="DP2618" s="24"/>
      <c r="DQ2618" s="24"/>
      <c r="DR2618" s="24"/>
      <c r="DS2618" s="24"/>
      <c r="DT2618" s="24"/>
      <c r="DU2618" s="24"/>
    </row>
    <row r="2619" spans="1:125" s="8" customFormat="1" ht="144" x14ac:dyDescent="0.2">
      <c r="A2619" s="353">
        <v>41490</v>
      </c>
      <c r="B2619" s="352" t="s">
        <v>2291</v>
      </c>
      <c r="C2619" s="354" t="s">
        <v>2292</v>
      </c>
      <c r="D2619" s="354" t="s">
        <v>3088</v>
      </c>
      <c r="E2619" s="353" t="str">
        <f>VLOOKUP(B2619&amp;C2619,Divipola!$C$2:$F$1138,4,FALSE)</f>
        <v>94001</v>
      </c>
      <c r="F2619" s="87"/>
      <c r="G2619" s="87"/>
      <c r="H2619" s="87"/>
      <c r="I2619" s="87">
        <v>5</v>
      </c>
      <c r="J2619" s="87"/>
      <c r="K2619" s="87"/>
      <c r="L2619" s="87">
        <v>1</v>
      </c>
      <c r="M2619" s="87"/>
      <c r="N2619" s="87"/>
      <c r="O2619" s="87"/>
      <c r="P2619" s="87"/>
      <c r="Q2619" s="87"/>
      <c r="R2619" s="87"/>
      <c r="S2619" s="87">
        <v>1</v>
      </c>
      <c r="T2619" s="87"/>
      <c r="U2619" s="88"/>
      <c r="V2619" s="89"/>
      <c r="W2619" s="96">
        <v>0</v>
      </c>
      <c r="X2619" s="71">
        <f>CU2619</f>
        <v>0</v>
      </c>
      <c r="Y2619" s="71">
        <f>CY2619</f>
        <v>0</v>
      </c>
      <c r="Z2619" s="71">
        <f>DA2619+DC2619+DE2619</f>
        <v>0</v>
      </c>
      <c r="AA2619" s="71">
        <f>CW2619</f>
        <v>0</v>
      </c>
      <c r="AB2619" s="71"/>
      <c r="AC2619" s="71">
        <v>0</v>
      </c>
      <c r="AD2619" s="71">
        <f>W2619+X2619+Y2619+Z2619+AA2619+AB2619+AC2619</f>
        <v>0</v>
      </c>
      <c r="AE2619" s="72">
        <v>0</v>
      </c>
      <c r="AF2619" s="5"/>
      <c r="AG2619" s="6"/>
      <c r="AH2619" s="27"/>
      <c r="AI2619" s="44"/>
      <c r="AJ2619" s="26"/>
      <c r="AK2619" s="5"/>
      <c r="AL2619" s="82" t="s">
        <v>5508</v>
      </c>
      <c r="AM2619" s="76"/>
      <c r="AN2619" s="76"/>
      <c r="AO2619" s="76"/>
      <c r="AP2619" s="76"/>
      <c r="AQ2619" s="76"/>
      <c r="AR2619" s="76"/>
      <c r="AS2619" s="76"/>
      <c r="AT2619" s="76"/>
      <c r="AU2619" s="76"/>
      <c r="AV2619" s="76"/>
      <c r="AW2619" s="76"/>
      <c r="AX2619" s="76">
        <f>+AW2619*600000</f>
        <v>0</v>
      </c>
      <c r="AY2619" s="76"/>
      <c r="AZ2619" s="76">
        <f>+AY2619*70000</f>
        <v>0</v>
      </c>
      <c r="BA2619" s="76"/>
      <c r="BB2619" s="76"/>
      <c r="BC2619" s="76"/>
      <c r="BD2619" s="76">
        <f>+BC2619*30000</f>
        <v>0</v>
      </c>
      <c r="BE2619" s="76"/>
      <c r="BF2619" s="76"/>
      <c r="BG2619" s="76"/>
      <c r="BH2619" s="76"/>
      <c r="BI2619" s="76"/>
      <c r="BJ2619" s="76"/>
      <c r="BK2619" s="76"/>
      <c r="BL2619" s="76">
        <f>+BK2619*31500</f>
        <v>0</v>
      </c>
      <c r="BM2619" s="76"/>
      <c r="BN2619" s="76"/>
      <c r="BO2619" s="76"/>
      <c r="BP2619" s="76"/>
      <c r="BQ2619" s="76"/>
      <c r="BR2619" s="76"/>
      <c r="BS2619" s="76"/>
      <c r="BT2619" s="76"/>
      <c r="BU2619" s="76"/>
      <c r="BV2619" s="76"/>
      <c r="BW2619" s="76"/>
      <c r="BX2619" s="76"/>
      <c r="BY2619" s="76"/>
      <c r="BZ2619" s="76"/>
      <c r="CA2619" s="76"/>
      <c r="CB2619" s="76"/>
      <c r="CC2619" s="76"/>
      <c r="CD2619" s="76"/>
      <c r="CE2619" s="76"/>
      <c r="CF2619" s="76">
        <f>+CE2619*28000</f>
        <v>0</v>
      </c>
      <c r="CG2619" s="76"/>
      <c r="CH2619" s="76">
        <f>+CG2619*22500</f>
        <v>0</v>
      </c>
      <c r="CI2619" s="76"/>
      <c r="CJ2619" s="76">
        <f>+CI2619*26000</f>
        <v>0</v>
      </c>
      <c r="CK2619" s="76"/>
      <c r="CL2619" s="76"/>
      <c r="CM2619" s="76"/>
      <c r="CN2619" s="76">
        <f>+CM2619*22000</f>
        <v>0</v>
      </c>
      <c r="CO2619" s="76"/>
      <c r="CP2619" s="76">
        <f>+CO2619*46000</f>
        <v>0</v>
      </c>
      <c r="CQ2619" s="76"/>
      <c r="CR2619" s="76">
        <f>+CQ2619*49000</f>
        <v>0</v>
      </c>
      <c r="CS2619" s="76"/>
      <c r="CT2619" s="76"/>
      <c r="CU2619" s="56">
        <f>AN2619+AP2619+AR2619+AT2619+AV2619+AX2619+AZ2619+BB2619+BD2619+BF2619+BH2619+BJ2619+BL2619+BN2619+BP2619+BR2619+BT2619+BV2619+BX2619+BZ2619+CB2619+CD2619+CF2619+CH2619+CJ2619+CL2619+CN2619+CP2619+CR2619+CT2619</f>
        <v>0</v>
      </c>
      <c r="CV2619" s="76"/>
      <c r="CW2619" s="76">
        <f>+CV2619*1100</f>
        <v>0</v>
      </c>
      <c r="CX2619" s="76"/>
      <c r="CY2619" s="76">
        <f>+CX2619*106250</f>
        <v>0</v>
      </c>
      <c r="CZ2619" s="76"/>
      <c r="DA2619" s="76">
        <f>+CZ2619*34500</f>
        <v>0</v>
      </c>
      <c r="DB2619" s="76"/>
      <c r="DC2619" s="76">
        <f>+DB2619*25000</f>
        <v>0</v>
      </c>
      <c r="DD2619" s="219"/>
      <c r="DE2619" s="219"/>
      <c r="DF2619" s="166"/>
      <c r="DG2619" s="116"/>
      <c r="DH2619" s="117"/>
      <c r="DI2619" s="24"/>
      <c r="DJ2619" s="24"/>
      <c r="DK2619" s="24"/>
      <c r="DL2619" s="24"/>
      <c r="DM2619" s="24"/>
      <c r="DN2619" s="24"/>
      <c r="DO2619" s="24"/>
      <c r="DP2619" s="24"/>
      <c r="DQ2619" s="24"/>
      <c r="DR2619" s="24"/>
      <c r="DS2619" s="24"/>
      <c r="DT2619" s="24"/>
      <c r="DU2619" s="24"/>
    </row>
    <row r="2620" spans="1:125" s="8" customFormat="1" ht="48" x14ac:dyDescent="0.2">
      <c r="A2620" s="77">
        <v>41490</v>
      </c>
      <c r="B2620" s="78" t="s">
        <v>3136</v>
      </c>
      <c r="C2620" s="75" t="s">
        <v>389</v>
      </c>
      <c r="D2620" s="75" t="s">
        <v>2846</v>
      </c>
      <c r="E2620" s="353" t="str">
        <f>VLOOKUP(B2620&amp;C2620,Divipola!$C$2:$F$1138,4,FALSE)</f>
        <v>44090</v>
      </c>
      <c r="F2620" s="87"/>
      <c r="G2620" s="87"/>
      <c r="H2620" s="87"/>
      <c r="I2620" s="87"/>
      <c r="J2620" s="87"/>
      <c r="K2620" s="87"/>
      <c r="L2620" s="87"/>
      <c r="M2620" s="87"/>
      <c r="N2620" s="87"/>
      <c r="O2620" s="87"/>
      <c r="P2620" s="87"/>
      <c r="Q2620" s="87"/>
      <c r="R2620" s="87"/>
      <c r="S2620" s="87"/>
      <c r="T2620" s="87"/>
      <c r="U2620" s="88"/>
      <c r="V2620" s="89"/>
      <c r="W2620" s="96">
        <v>0</v>
      </c>
      <c r="X2620" s="71">
        <f>CU2620</f>
        <v>0</v>
      </c>
      <c r="Y2620" s="71">
        <f>CY2620</f>
        <v>0</v>
      </c>
      <c r="Z2620" s="71">
        <f>DA2620+DC2620+DE2620</f>
        <v>0</v>
      </c>
      <c r="AA2620" s="71">
        <f>CW2620</f>
        <v>0</v>
      </c>
      <c r="AB2620" s="71"/>
      <c r="AC2620" s="71">
        <v>0</v>
      </c>
      <c r="AD2620" s="71">
        <f>W2620+X2620+Y2620+Z2620+AA2620+AB2620+AC2620</f>
        <v>0</v>
      </c>
      <c r="AE2620" s="72">
        <v>0</v>
      </c>
      <c r="AF2620" s="5"/>
      <c r="AG2620" s="6"/>
      <c r="AH2620" s="27"/>
      <c r="AI2620" s="44"/>
      <c r="AJ2620" s="26"/>
      <c r="AK2620" s="5"/>
      <c r="AL2620" s="82" t="s">
        <v>5510</v>
      </c>
      <c r="AM2620" s="76"/>
      <c r="AN2620" s="76"/>
      <c r="AO2620" s="76"/>
      <c r="AP2620" s="76"/>
      <c r="AQ2620" s="76"/>
      <c r="AR2620" s="76"/>
      <c r="AS2620" s="76"/>
      <c r="AT2620" s="76"/>
      <c r="AU2620" s="76"/>
      <c r="AV2620" s="76"/>
      <c r="AW2620" s="76"/>
      <c r="AX2620" s="76">
        <f>+AW2620*600000</f>
        <v>0</v>
      </c>
      <c r="AY2620" s="76"/>
      <c r="AZ2620" s="76">
        <f>+AY2620*70000</f>
        <v>0</v>
      </c>
      <c r="BA2620" s="76"/>
      <c r="BB2620" s="76"/>
      <c r="BC2620" s="76"/>
      <c r="BD2620" s="76">
        <f>+BC2620*30000</f>
        <v>0</v>
      </c>
      <c r="BE2620" s="76"/>
      <c r="BF2620" s="76"/>
      <c r="BG2620" s="76"/>
      <c r="BH2620" s="76"/>
      <c r="BI2620" s="76"/>
      <c r="BJ2620" s="76"/>
      <c r="BK2620" s="76"/>
      <c r="BL2620" s="76">
        <f>+BK2620*31500</f>
        <v>0</v>
      </c>
      <c r="BM2620" s="76"/>
      <c r="BN2620" s="76"/>
      <c r="BO2620" s="76"/>
      <c r="BP2620" s="76"/>
      <c r="BQ2620" s="76"/>
      <c r="BR2620" s="76"/>
      <c r="BS2620" s="76"/>
      <c r="BT2620" s="76"/>
      <c r="BU2620" s="76"/>
      <c r="BV2620" s="76"/>
      <c r="BW2620" s="76"/>
      <c r="BX2620" s="76"/>
      <c r="BY2620" s="76"/>
      <c r="BZ2620" s="76"/>
      <c r="CA2620" s="76"/>
      <c r="CB2620" s="76"/>
      <c r="CC2620" s="76"/>
      <c r="CD2620" s="76"/>
      <c r="CE2620" s="76"/>
      <c r="CF2620" s="76">
        <f>+CE2620*28000</f>
        <v>0</v>
      </c>
      <c r="CG2620" s="76"/>
      <c r="CH2620" s="76">
        <f>+CG2620*22500</f>
        <v>0</v>
      </c>
      <c r="CI2620" s="76"/>
      <c r="CJ2620" s="76">
        <f>+CI2620*26000</f>
        <v>0</v>
      </c>
      <c r="CK2620" s="76"/>
      <c r="CL2620" s="76"/>
      <c r="CM2620" s="76"/>
      <c r="CN2620" s="76">
        <f>+CM2620*22000</f>
        <v>0</v>
      </c>
      <c r="CO2620" s="76"/>
      <c r="CP2620" s="76">
        <f>+CO2620*46000</f>
        <v>0</v>
      </c>
      <c r="CQ2620" s="76"/>
      <c r="CR2620" s="76">
        <f>+CQ2620*49000</f>
        <v>0</v>
      </c>
      <c r="CS2620" s="76"/>
      <c r="CT2620" s="76"/>
      <c r="CU2620" s="56">
        <f>AN2620+AP2620+AR2620+AT2620+AV2620+AX2620+AZ2620+BB2620+BD2620+BF2620+BH2620+BJ2620+BL2620+BN2620+BP2620+BR2620+BT2620+BV2620+BX2620+BZ2620+CB2620+CD2620+CF2620+CH2620+CJ2620+CL2620+CN2620+CP2620+CR2620+CT2620</f>
        <v>0</v>
      </c>
      <c r="CV2620" s="76"/>
      <c r="CW2620" s="76">
        <f>+CV2620*1100</f>
        <v>0</v>
      </c>
      <c r="CX2620" s="76"/>
      <c r="CY2620" s="76">
        <f>+CX2620*106250</f>
        <v>0</v>
      </c>
      <c r="CZ2620" s="76"/>
      <c r="DA2620" s="76">
        <f>+CZ2620*34500</f>
        <v>0</v>
      </c>
      <c r="DB2620" s="76"/>
      <c r="DC2620" s="76">
        <f>+DB2620*25000</f>
        <v>0</v>
      </c>
      <c r="DD2620" s="219"/>
      <c r="DE2620" s="219"/>
      <c r="DF2620" s="166"/>
      <c r="DG2620" s="116"/>
      <c r="DH2620" s="117"/>
      <c r="DI2620" s="24"/>
      <c r="DJ2620" s="24"/>
      <c r="DK2620" s="24"/>
      <c r="DL2620" s="24"/>
      <c r="DM2620" s="24"/>
      <c r="DN2620" s="24"/>
      <c r="DO2620" s="24"/>
      <c r="DP2620" s="24"/>
      <c r="DQ2620" s="24"/>
      <c r="DR2620" s="24"/>
      <c r="DS2620" s="24"/>
      <c r="DT2620" s="24"/>
      <c r="DU2620" s="24"/>
    </row>
    <row r="2621" spans="1:125" s="8" customFormat="1" ht="84" x14ac:dyDescent="0.2">
      <c r="A2621" s="77">
        <v>41490</v>
      </c>
      <c r="B2621" s="352" t="s">
        <v>2848</v>
      </c>
      <c r="C2621" s="227" t="s">
        <v>2791</v>
      </c>
      <c r="D2621" s="354" t="s">
        <v>2846</v>
      </c>
      <c r="E2621" s="353" t="str">
        <f>VLOOKUP(B2621&amp;C2621,Divipola!$C$2:$F$1138,4,FALSE)</f>
        <v>73585</v>
      </c>
      <c r="F2621" s="87"/>
      <c r="G2621" s="87"/>
      <c r="H2621" s="87"/>
      <c r="I2621" s="87"/>
      <c r="J2621" s="87"/>
      <c r="K2621" s="87"/>
      <c r="L2621" s="87"/>
      <c r="M2621" s="87"/>
      <c r="N2621" s="87"/>
      <c r="O2621" s="87"/>
      <c r="P2621" s="87"/>
      <c r="Q2621" s="87"/>
      <c r="R2621" s="87"/>
      <c r="S2621" s="87"/>
      <c r="T2621" s="87"/>
      <c r="U2621" s="88">
        <v>15</v>
      </c>
      <c r="V2621" s="89"/>
      <c r="W2621" s="96">
        <v>0</v>
      </c>
      <c r="X2621" s="71">
        <f>CU2621</f>
        <v>0</v>
      </c>
      <c r="Y2621" s="71">
        <f>CY2621</f>
        <v>0</v>
      </c>
      <c r="Z2621" s="71">
        <f>DA2621+DC2621+DE2621</f>
        <v>0</v>
      </c>
      <c r="AA2621" s="71">
        <f>CW2621</f>
        <v>0</v>
      </c>
      <c r="AB2621" s="71"/>
      <c r="AC2621" s="71">
        <v>0</v>
      </c>
      <c r="AD2621" s="71">
        <f>W2621+X2621+Y2621+Z2621+AA2621+AB2621+AC2621</f>
        <v>0</v>
      </c>
      <c r="AE2621" s="72">
        <v>0</v>
      </c>
      <c r="AF2621" s="5"/>
      <c r="AG2621" s="6"/>
      <c r="AH2621" s="27"/>
      <c r="AI2621" s="44"/>
      <c r="AJ2621" s="26"/>
      <c r="AK2621" s="5"/>
      <c r="AL2621" s="82" t="s">
        <v>5511</v>
      </c>
      <c r="AM2621" s="76"/>
      <c r="AN2621" s="76"/>
      <c r="AO2621" s="76"/>
      <c r="AP2621" s="76"/>
      <c r="AQ2621" s="76"/>
      <c r="AR2621" s="76"/>
      <c r="AS2621" s="76"/>
      <c r="AT2621" s="76"/>
      <c r="AU2621" s="76"/>
      <c r="AV2621" s="76"/>
      <c r="AW2621" s="76"/>
      <c r="AX2621" s="76">
        <f>+AW2621*600000</f>
        <v>0</v>
      </c>
      <c r="AY2621" s="76"/>
      <c r="AZ2621" s="76">
        <f>+AY2621*70000</f>
        <v>0</v>
      </c>
      <c r="BA2621" s="76"/>
      <c r="BB2621" s="76"/>
      <c r="BC2621" s="76"/>
      <c r="BD2621" s="76">
        <f>+BC2621*30000</f>
        <v>0</v>
      </c>
      <c r="BE2621" s="76"/>
      <c r="BF2621" s="76"/>
      <c r="BG2621" s="76"/>
      <c r="BH2621" s="76"/>
      <c r="BI2621" s="76"/>
      <c r="BJ2621" s="76"/>
      <c r="BK2621" s="76"/>
      <c r="BL2621" s="76">
        <f>+BK2621*31500</f>
        <v>0</v>
      </c>
      <c r="BM2621" s="76"/>
      <c r="BN2621" s="76"/>
      <c r="BO2621" s="76"/>
      <c r="BP2621" s="76"/>
      <c r="BQ2621" s="76"/>
      <c r="BR2621" s="76"/>
      <c r="BS2621" s="76"/>
      <c r="BT2621" s="76"/>
      <c r="BU2621" s="76"/>
      <c r="BV2621" s="76"/>
      <c r="BW2621" s="76"/>
      <c r="BX2621" s="76"/>
      <c r="BY2621" s="76"/>
      <c r="BZ2621" s="76"/>
      <c r="CA2621" s="76"/>
      <c r="CB2621" s="76"/>
      <c r="CC2621" s="76"/>
      <c r="CD2621" s="76"/>
      <c r="CE2621" s="76"/>
      <c r="CF2621" s="76">
        <f>+CE2621*28000</f>
        <v>0</v>
      </c>
      <c r="CG2621" s="76"/>
      <c r="CH2621" s="76">
        <f>+CG2621*22500</f>
        <v>0</v>
      </c>
      <c r="CI2621" s="76"/>
      <c r="CJ2621" s="76">
        <f>+CI2621*26000</f>
        <v>0</v>
      </c>
      <c r="CK2621" s="76"/>
      <c r="CL2621" s="76"/>
      <c r="CM2621" s="76"/>
      <c r="CN2621" s="76">
        <f>+CM2621*22000</f>
        <v>0</v>
      </c>
      <c r="CO2621" s="76"/>
      <c r="CP2621" s="76">
        <f>+CO2621*46000</f>
        <v>0</v>
      </c>
      <c r="CQ2621" s="76"/>
      <c r="CR2621" s="76">
        <f>+CQ2621*49000</f>
        <v>0</v>
      </c>
      <c r="CS2621" s="76"/>
      <c r="CT2621" s="76"/>
      <c r="CU2621" s="56">
        <f>AN2621+AP2621+AR2621+AT2621+AV2621+AX2621+AZ2621+BB2621+BD2621+BF2621+BH2621+BJ2621+BL2621+BN2621+BP2621+BR2621+BT2621+BV2621+BX2621+BZ2621+CB2621+CD2621+CF2621+CH2621+CJ2621+CL2621+CN2621+CP2621+CR2621+CT2621</f>
        <v>0</v>
      </c>
      <c r="CV2621" s="76"/>
      <c r="CW2621" s="76">
        <f>+CV2621*1100</f>
        <v>0</v>
      </c>
      <c r="CX2621" s="76"/>
      <c r="CY2621" s="76">
        <f>+CX2621*106250</f>
        <v>0</v>
      </c>
      <c r="CZ2621" s="76"/>
      <c r="DA2621" s="76">
        <f>+CZ2621*34500</f>
        <v>0</v>
      </c>
      <c r="DB2621" s="76"/>
      <c r="DC2621" s="76">
        <f>+DB2621*25000</f>
        <v>0</v>
      </c>
      <c r="DD2621" s="219"/>
      <c r="DE2621" s="219"/>
      <c r="DF2621" s="166"/>
      <c r="DG2621" s="116"/>
      <c r="DH2621" s="117"/>
      <c r="DI2621" s="24"/>
      <c r="DJ2621" s="24"/>
      <c r="DK2621" s="24"/>
      <c r="DL2621" s="24"/>
      <c r="DM2621" s="24"/>
      <c r="DN2621" s="24"/>
      <c r="DO2621" s="24"/>
      <c r="DP2621" s="24"/>
      <c r="DQ2621" s="24"/>
      <c r="DR2621" s="24"/>
      <c r="DS2621" s="24"/>
      <c r="DT2621" s="24"/>
      <c r="DU2621" s="24"/>
    </row>
    <row r="2622" spans="1:125" s="8" customFormat="1" ht="60" x14ac:dyDescent="0.2">
      <c r="A2622" s="77">
        <v>41491</v>
      </c>
      <c r="B2622" s="352" t="s">
        <v>2855</v>
      </c>
      <c r="C2622" s="227" t="s">
        <v>2168</v>
      </c>
      <c r="D2622" s="354" t="s">
        <v>2846</v>
      </c>
      <c r="E2622" s="353" t="str">
        <f>VLOOKUP(B2622&amp;C2622,Divipola!$C$2:$F$1138,4,FALSE)</f>
        <v>20001</v>
      </c>
      <c r="F2622" s="87"/>
      <c r="G2622" s="87"/>
      <c r="H2622" s="87"/>
      <c r="I2622" s="87"/>
      <c r="J2622" s="87"/>
      <c r="K2622" s="87"/>
      <c r="L2622" s="87"/>
      <c r="M2622" s="87"/>
      <c r="N2622" s="87"/>
      <c r="O2622" s="87"/>
      <c r="P2622" s="87"/>
      <c r="Q2622" s="87"/>
      <c r="R2622" s="87"/>
      <c r="S2622" s="87"/>
      <c r="T2622" s="87"/>
      <c r="U2622" s="88"/>
      <c r="V2622" s="89"/>
      <c r="W2622" s="96">
        <v>0</v>
      </c>
      <c r="X2622" s="71">
        <f>CU2622</f>
        <v>0</v>
      </c>
      <c r="Y2622" s="71">
        <f>CY2622</f>
        <v>0</v>
      </c>
      <c r="Z2622" s="71">
        <f>DA2622+DC2622+DE2622</f>
        <v>0</v>
      </c>
      <c r="AA2622" s="71">
        <f>CW2622</f>
        <v>0</v>
      </c>
      <c r="AB2622" s="71"/>
      <c r="AC2622" s="71">
        <v>0</v>
      </c>
      <c r="AD2622" s="71">
        <f>W2622+X2622+Y2622+Z2622+AA2622+AB2622+AC2622</f>
        <v>0</v>
      </c>
      <c r="AE2622" s="72">
        <v>0</v>
      </c>
      <c r="AF2622" s="5"/>
      <c r="AG2622" s="6"/>
      <c r="AH2622" s="27"/>
      <c r="AI2622" s="44"/>
      <c r="AJ2622" s="26"/>
      <c r="AK2622" s="5"/>
      <c r="AL2622" s="82" t="s">
        <v>5522</v>
      </c>
      <c r="AM2622" s="76"/>
      <c r="AN2622" s="76"/>
      <c r="AO2622" s="76"/>
      <c r="AP2622" s="76"/>
      <c r="AQ2622" s="76"/>
      <c r="AR2622" s="76"/>
      <c r="AS2622" s="76"/>
      <c r="AT2622" s="76"/>
      <c r="AU2622" s="76"/>
      <c r="AV2622" s="76"/>
      <c r="AW2622" s="76"/>
      <c r="AX2622" s="76">
        <f>+AW2622*600000</f>
        <v>0</v>
      </c>
      <c r="AY2622" s="76"/>
      <c r="AZ2622" s="76">
        <f>+AY2622*70000</f>
        <v>0</v>
      </c>
      <c r="BA2622" s="76"/>
      <c r="BB2622" s="76"/>
      <c r="BC2622" s="76"/>
      <c r="BD2622" s="76">
        <f>+BC2622*30000</f>
        <v>0</v>
      </c>
      <c r="BE2622" s="76"/>
      <c r="BF2622" s="76"/>
      <c r="BG2622" s="76"/>
      <c r="BH2622" s="76"/>
      <c r="BI2622" s="76"/>
      <c r="BJ2622" s="76"/>
      <c r="BK2622" s="76"/>
      <c r="BL2622" s="76">
        <f>+BK2622*31500</f>
        <v>0</v>
      </c>
      <c r="BM2622" s="76"/>
      <c r="BN2622" s="76"/>
      <c r="BO2622" s="76"/>
      <c r="BP2622" s="76"/>
      <c r="BQ2622" s="76"/>
      <c r="BR2622" s="76"/>
      <c r="BS2622" s="76"/>
      <c r="BT2622" s="76"/>
      <c r="BU2622" s="76"/>
      <c r="BV2622" s="76"/>
      <c r="BW2622" s="76"/>
      <c r="BX2622" s="76"/>
      <c r="BY2622" s="76"/>
      <c r="BZ2622" s="76"/>
      <c r="CA2622" s="76"/>
      <c r="CB2622" s="76"/>
      <c r="CC2622" s="76"/>
      <c r="CD2622" s="76"/>
      <c r="CE2622" s="76"/>
      <c r="CF2622" s="76">
        <f>+CE2622*28000</f>
        <v>0</v>
      </c>
      <c r="CG2622" s="76"/>
      <c r="CH2622" s="76">
        <f>+CG2622*22500</f>
        <v>0</v>
      </c>
      <c r="CI2622" s="76"/>
      <c r="CJ2622" s="76">
        <f>+CI2622*26000</f>
        <v>0</v>
      </c>
      <c r="CK2622" s="76"/>
      <c r="CL2622" s="76"/>
      <c r="CM2622" s="76"/>
      <c r="CN2622" s="76">
        <f>+CM2622*22000</f>
        <v>0</v>
      </c>
      <c r="CO2622" s="76"/>
      <c r="CP2622" s="76">
        <f>+CO2622*46000</f>
        <v>0</v>
      </c>
      <c r="CQ2622" s="76"/>
      <c r="CR2622" s="76">
        <f>+CQ2622*49000</f>
        <v>0</v>
      </c>
      <c r="CS2622" s="76"/>
      <c r="CT2622" s="76"/>
      <c r="CU2622" s="56">
        <f>AN2622+AP2622+AR2622+AT2622+AV2622+AX2622+AZ2622+BB2622+BD2622+BF2622+BH2622+BJ2622+BL2622+BN2622+BP2622+BR2622+BT2622+BV2622+BX2622+BZ2622+CB2622+CD2622+CF2622+CH2622+CJ2622+CL2622+CN2622+CP2622+CR2622+CT2622</f>
        <v>0</v>
      </c>
      <c r="CV2622" s="76"/>
      <c r="CW2622" s="76">
        <f>+CV2622*1100</f>
        <v>0</v>
      </c>
      <c r="CX2622" s="76"/>
      <c r="CY2622" s="76">
        <f>+CX2622*106250</f>
        <v>0</v>
      </c>
      <c r="CZ2622" s="76"/>
      <c r="DA2622" s="76">
        <f>+CZ2622*34500</f>
        <v>0</v>
      </c>
      <c r="DB2622" s="76"/>
      <c r="DC2622" s="76">
        <f>+DB2622*25000</f>
        <v>0</v>
      </c>
      <c r="DD2622" s="219"/>
      <c r="DE2622" s="219"/>
      <c r="DF2622" s="166"/>
      <c r="DG2622" s="116"/>
      <c r="DH2622" s="117"/>
      <c r="DI2622" s="24"/>
      <c r="DJ2622" s="24"/>
      <c r="DK2622" s="24"/>
      <c r="DL2622" s="24"/>
      <c r="DM2622" s="24"/>
      <c r="DN2622" s="24"/>
      <c r="DO2622" s="24"/>
      <c r="DP2622" s="24"/>
      <c r="DQ2622" s="24"/>
      <c r="DR2622" s="24"/>
      <c r="DS2622" s="24"/>
      <c r="DT2622" s="24"/>
      <c r="DU2622" s="24"/>
    </row>
    <row r="2623" spans="1:125" s="8" customFormat="1" ht="60" x14ac:dyDescent="0.2">
      <c r="A2623" s="77">
        <v>41491</v>
      </c>
      <c r="B2623" s="352" t="s">
        <v>2772</v>
      </c>
      <c r="C2623" s="354" t="s">
        <v>2672</v>
      </c>
      <c r="D2623" s="354" t="s">
        <v>2849</v>
      </c>
      <c r="E2623" s="353" t="str">
        <f>VLOOKUP(B2623&amp;C2623,Divipola!$C$2:$F$1138,4,FALSE)</f>
        <v>25290</v>
      </c>
      <c r="F2623" s="87">
        <v>3</v>
      </c>
      <c r="G2623" s="87"/>
      <c r="H2623" s="87"/>
      <c r="I2623" s="87">
        <v>3</v>
      </c>
      <c r="J2623" s="87"/>
      <c r="K2623" s="87"/>
      <c r="L2623" s="87"/>
      <c r="M2623" s="87"/>
      <c r="N2623" s="87"/>
      <c r="O2623" s="87"/>
      <c r="P2623" s="87"/>
      <c r="Q2623" s="87"/>
      <c r="R2623" s="87"/>
      <c r="S2623" s="87"/>
      <c r="T2623" s="87"/>
      <c r="U2623" s="88"/>
      <c r="V2623" s="89"/>
      <c r="W2623" s="96">
        <v>0</v>
      </c>
      <c r="X2623" s="71">
        <f>CU2623</f>
        <v>0</v>
      </c>
      <c r="Y2623" s="71">
        <f>CY2623</f>
        <v>0</v>
      </c>
      <c r="Z2623" s="71">
        <f>DA2623+DC2623+DE2623</f>
        <v>0</v>
      </c>
      <c r="AA2623" s="71">
        <f>CW2623</f>
        <v>0</v>
      </c>
      <c r="AB2623" s="71"/>
      <c r="AC2623" s="71">
        <v>0</v>
      </c>
      <c r="AD2623" s="71">
        <f>W2623+X2623+Y2623+Z2623+AA2623+AB2623+AC2623</f>
        <v>0</v>
      </c>
      <c r="AE2623" s="72">
        <v>0</v>
      </c>
      <c r="AF2623" s="5"/>
      <c r="AG2623" s="6"/>
      <c r="AH2623" s="27"/>
      <c r="AI2623" s="44"/>
      <c r="AJ2623" s="26"/>
      <c r="AK2623" s="5"/>
      <c r="AL2623" s="82" t="s">
        <v>5523</v>
      </c>
      <c r="AM2623" s="76"/>
      <c r="AN2623" s="76"/>
      <c r="AO2623" s="76"/>
      <c r="AP2623" s="76"/>
      <c r="AQ2623" s="76"/>
      <c r="AR2623" s="76"/>
      <c r="AS2623" s="76"/>
      <c r="AT2623" s="76"/>
      <c r="AU2623" s="76"/>
      <c r="AV2623" s="76"/>
      <c r="AW2623" s="76"/>
      <c r="AX2623" s="76">
        <f>+AW2623*600000</f>
        <v>0</v>
      </c>
      <c r="AY2623" s="76"/>
      <c r="AZ2623" s="76">
        <f>+AY2623*70000</f>
        <v>0</v>
      </c>
      <c r="BA2623" s="76"/>
      <c r="BB2623" s="76"/>
      <c r="BC2623" s="76"/>
      <c r="BD2623" s="76">
        <f>+BC2623*30000</f>
        <v>0</v>
      </c>
      <c r="BE2623" s="76"/>
      <c r="BF2623" s="76"/>
      <c r="BG2623" s="76"/>
      <c r="BH2623" s="76"/>
      <c r="BI2623" s="76"/>
      <c r="BJ2623" s="76"/>
      <c r="BK2623" s="76"/>
      <c r="BL2623" s="76">
        <f>+BK2623*31500</f>
        <v>0</v>
      </c>
      <c r="BM2623" s="76"/>
      <c r="BN2623" s="76"/>
      <c r="BO2623" s="76"/>
      <c r="BP2623" s="76"/>
      <c r="BQ2623" s="76"/>
      <c r="BR2623" s="76"/>
      <c r="BS2623" s="76"/>
      <c r="BT2623" s="76"/>
      <c r="BU2623" s="76"/>
      <c r="BV2623" s="76"/>
      <c r="BW2623" s="76"/>
      <c r="BX2623" s="76"/>
      <c r="BY2623" s="76"/>
      <c r="BZ2623" s="76"/>
      <c r="CA2623" s="76"/>
      <c r="CB2623" s="76"/>
      <c r="CC2623" s="76"/>
      <c r="CD2623" s="76"/>
      <c r="CE2623" s="76"/>
      <c r="CF2623" s="76">
        <f>+CE2623*28000</f>
        <v>0</v>
      </c>
      <c r="CG2623" s="76"/>
      <c r="CH2623" s="76">
        <f>+CG2623*22500</f>
        <v>0</v>
      </c>
      <c r="CI2623" s="76"/>
      <c r="CJ2623" s="76">
        <f>+CI2623*26000</f>
        <v>0</v>
      </c>
      <c r="CK2623" s="76"/>
      <c r="CL2623" s="76"/>
      <c r="CM2623" s="76"/>
      <c r="CN2623" s="76">
        <f>+CM2623*22000</f>
        <v>0</v>
      </c>
      <c r="CO2623" s="76"/>
      <c r="CP2623" s="76">
        <f>+CO2623*46000</f>
        <v>0</v>
      </c>
      <c r="CQ2623" s="76"/>
      <c r="CR2623" s="76">
        <f>+CQ2623*49000</f>
        <v>0</v>
      </c>
      <c r="CS2623" s="76"/>
      <c r="CT2623" s="76"/>
      <c r="CU2623" s="56">
        <f>AN2623+AP2623+AR2623+AT2623+AV2623+AX2623+AZ2623+BB2623+BD2623+BF2623+BH2623+BJ2623+BL2623+BN2623+BP2623+BR2623+BT2623+BV2623+BX2623+BZ2623+CB2623+CD2623+CF2623+CH2623+CJ2623+CL2623+CN2623+CP2623+CR2623+CT2623</f>
        <v>0</v>
      </c>
      <c r="CV2623" s="76"/>
      <c r="CW2623" s="76">
        <f>+CV2623*1100</f>
        <v>0</v>
      </c>
      <c r="CX2623" s="76"/>
      <c r="CY2623" s="76">
        <f>+CX2623*106250</f>
        <v>0</v>
      </c>
      <c r="CZ2623" s="76"/>
      <c r="DA2623" s="76">
        <f>+CZ2623*34500</f>
        <v>0</v>
      </c>
      <c r="DB2623" s="76"/>
      <c r="DC2623" s="76">
        <f>+DB2623*25000</f>
        <v>0</v>
      </c>
      <c r="DD2623" s="219"/>
      <c r="DE2623" s="219"/>
      <c r="DF2623" s="166"/>
      <c r="DG2623" s="116"/>
      <c r="DH2623" s="117"/>
      <c r="DI2623" s="24"/>
      <c r="DJ2623" s="24"/>
      <c r="DK2623" s="24"/>
      <c r="DL2623" s="24"/>
      <c r="DM2623" s="24"/>
      <c r="DN2623" s="24"/>
      <c r="DO2623" s="24"/>
      <c r="DP2623" s="24"/>
      <c r="DQ2623" s="24"/>
      <c r="DR2623" s="24"/>
      <c r="DS2623" s="24"/>
      <c r="DT2623" s="24"/>
      <c r="DU2623" s="24"/>
    </row>
    <row r="2624" spans="1:125" s="8" customFormat="1" ht="96" x14ac:dyDescent="0.2">
      <c r="A2624" s="77">
        <v>41491</v>
      </c>
      <c r="B2624" s="352" t="s">
        <v>2860</v>
      </c>
      <c r="C2624" s="354" t="s">
        <v>2173</v>
      </c>
      <c r="D2624" s="354" t="s">
        <v>2882</v>
      </c>
      <c r="E2624" s="353" t="str">
        <f>VLOOKUP(B2624&amp;C2624,Divipola!$C$2:$F$1138,4,FALSE)</f>
        <v>63470</v>
      </c>
      <c r="F2624" s="87"/>
      <c r="G2624" s="87"/>
      <c r="H2624" s="87"/>
      <c r="I2624" s="87">
        <v>216</v>
      </c>
      <c r="J2624" s="87">
        <v>66</v>
      </c>
      <c r="K2624" s="87"/>
      <c r="L2624" s="87">
        <v>66</v>
      </c>
      <c r="M2624" s="87"/>
      <c r="N2624" s="87"/>
      <c r="O2624" s="87"/>
      <c r="P2624" s="87"/>
      <c r="Q2624" s="87"/>
      <c r="R2624" s="87"/>
      <c r="S2624" s="87"/>
      <c r="T2624" s="87"/>
      <c r="U2624" s="88"/>
      <c r="V2624" s="89"/>
      <c r="W2624" s="96">
        <v>0</v>
      </c>
      <c r="X2624" s="71">
        <f>CU2624</f>
        <v>0</v>
      </c>
      <c r="Y2624" s="71">
        <f>CY2624</f>
        <v>0</v>
      </c>
      <c r="Z2624" s="71">
        <f>DA2624+DC2624+DE2624</f>
        <v>0</v>
      </c>
      <c r="AA2624" s="71">
        <f>CW2624</f>
        <v>0</v>
      </c>
      <c r="AB2624" s="71"/>
      <c r="AC2624" s="71">
        <v>0</v>
      </c>
      <c r="AD2624" s="71">
        <f>W2624+X2624+Y2624+Z2624+AA2624+AB2624+AC2624</f>
        <v>0</v>
      </c>
      <c r="AE2624" s="72">
        <v>0</v>
      </c>
      <c r="AF2624" s="5"/>
      <c r="AG2624" s="6"/>
      <c r="AH2624" s="27"/>
      <c r="AI2624" s="44"/>
      <c r="AJ2624" s="26"/>
      <c r="AK2624" s="5"/>
      <c r="AL2624" s="82" t="s">
        <v>5521</v>
      </c>
      <c r="AM2624" s="76"/>
      <c r="AN2624" s="76"/>
      <c r="AO2624" s="76"/>
      <c r="AP2624" s="76"/>
      <c r="AQ2624" s="76"/>
      <c r="AR2624" s="76"/>
      <c r="AS2624" s="76"/>
      <c r="AT2624" s="76"/>
      <c r="AU2624" s="76"/>
      <c r="AV2624" s="76"/>
      <c r="AW2624" s="76"/>
      <c r="AX2624" s="76">
        <f>+AW2624*600000</f>
        <v>0</v>
      </c>
      <c r="AY2624" s="76"/>
      <c r="AZ2624" s="76">
        <f>+AY2624*70000</f>
        <v>0</v>
      </c>
      <c r="BA2624" s="76"/>
      <c r="BB2624" s="76"/>
      <c r="BC2624" s="76"/>
      <c r="BD2624" s="76">
        <f>+BC2624*30000</f>
        <v>0</v>
      </c>
      <c r="BE2624" s="76"/>
      <c r="BF2624" s="76"/>
      <c r="BG2624" s="76"/>
      <c r="BH2624" s="76"/>
      <c r="BI2624" s="76"/>
      <c r="BJ2624" s="76"/>
      <c r="BK2624" s="76"/>
      <c r="BL2624" s="76">
        <f>+BK2624*31500</f>
        <v>0</v>
      </c>
      <c r="BM2624" s="76"/>
      <c r="BN2624" s="76"/>
      <c r="BO2624" s="76"/>
      <c r="BP2624" s="76"/>
      <c r="BQ2624" s="76"/>
      <c r="BR2624" s="76"/>
      <c r="BS2624" s="76"/>
      <c r="BT2624" s="76"/>
      <c r="BU2624" s="76"/>
      <c r="BV2624" s="76"/>
      <c r="BW2624" s="76"/>
      <c r="BX2624" s="76"/>
      <c r="BY2624" s="76"/>
      <c r="BZ2624" s="76"/>
      <c r="CA2624" s="76"/>
      <c r="CB2624" s="76"/>
      <c r="CC2624" s="76"/>
      <c r="CD2624" s="76"/>
      <c r="CE2624" s="76"/>
      <c r="CF2624" s="76">
        <f>+CE2624*28000</f>
        <v>0</v>
      </c>
      <c r="CG2624" s="76"/>
      <c r="CH2624" s="76">
        <f>+CG2624*22500</f>
        <v>0</v>
      </c>
      <c r="CI2624" s="76"/>
      <c r="CJ2624" s="76">
        <f>+CI2624*26000</f>
        <v>0</v>
      </c>
      <c r="CK2624" s="76"/>
      <c r="CL2624" s="76"/>
      <c r="CM2624" s="76"/>
      <c r="CN2624" s="76">
        <f>+CM2624*22000</f>
        <v>0</v>
      </c>
      <c r="CO2624" s="76"/>
      <c r="CP2624" s="76">
        <f>+CO2624*46000</f>
        <v>0</v>
      </c>
      <c r="CQ2624" s="76"/>
      <c r="CR2624" s="76">
        <f>+CQ2624*49000</f>
        <v>0</v>
      </c>
      <c r="CS2624" s="76"/>
      <c r="CT2624" s="76"/>
      <c r="CU2624" s="56">
        <f>AN2624+AP2624+AR2624+AT2624+AV2624+AX2624+AZ2624+BB2624+BD2624+BF2624+BH2624+BJ2624+BL2624+BN2624+BP2624+BR2624+BT2624+BV2624+BX2624+BZ2624+CB2624+CD2624+CF2624+CH2624+CJ2624+CL2624+CN2624+CP2624+CR2624+CT2624</f>
        <v>0</v>
      </c>
      <c r="CV2624" s="76"/>
      <c r="CW2624" s="76">
        <f>+CV2624*1100</f>
        <v>0</v>
      </c>
      <c r="CX2624" s="76"/>
      <c r="CY2624" s="76">
        <f>+CX2624*106250</f>
        <v>0</v>
      </c>
      <c r="CZ2624" s="76"/>
      <c r="DA2624" s="76">
        <f>+CZ2624*34500</f>
        <v>0</v>
      </c>
      <c r="DB2624" s="76"/>
      <c r="DC2624" s="76">
        <f>+DB2624*25000</f>
        <v>0</v>
      </c>
      <c r="DD2624" s="219"/>
      <c r="DE2624" s="219"/>
      <c r="DF2624" s="166"/>
      <c r="DG2624" s="116"/>
      <c r="DH2624" s="117"/>
      <c r="DI2624" s="24"/>
      <c r="DJ2624" s="24"/>
      <c r="DK2624" s="24"/>
      <c r="DL2624" s="24"/>
      <c r="DM2624" s="24"/>
      <c r="DN2624" s="24"/>
      <c r="DO2624" s="24"/>
      <c r="DP2624" s="24"/>
      <c r="DQ2624" s="24"/>
      <c r="DR2624" s="24"/>
      <c r="DS2624" s="24"/>
      <c r="DT2624" s="24"/>
      <c r="DU2624" s="24"/>
    </row>
    <row r="2625" spans="1:125" s="8" customFormat="1" ht="48" x14ac:dyDescent="0.2">
      <c r="A2625" s="353">
        <v>41491</v>
      </c>
      <c r="B2625" s="352" t="s">
        <v>2774</v>
      </c>
      <c r="C2625" s="227" t="s">
        <v>2216</v>
      </c>
      <c r="D2625" s="354" t="s">
        <v>2846</v>
      </c>
      <c r="E2625" s="353" t="str">
        <f>VLOOKUP(B2625&amp;C2625,Divipola!$C$2:$F$1138,4,FALSE)</f>
        <v>66075</v>
      </c>
      <c r="F2625" s="87"/>
      <c r="G2625" s="87"/>
      <c r="H2625" s="87"/>
      <c r="I2625" s="87"/>
      <c r="J2625" s="87"/>
      <c r="K2625" s="87"/>
      <c r="L2625" s="87"/>
      <c r="M2625" s="87"/>
      <c r="N2625" s="87"/>
      <c r="O2625" s="87"/>
      <c r="P2625" s="87"/>
      <c r="Q2625" s="87"/>
      <c r="R2625" s="87"/>
      <c r="S2625" s="87"/>
      <c r="T2625" s="87"/>
      <c r="U2625" s="88">
        <v>1</v>
      </c>
      <c r="V2625" s="89"/>
      <c r="W2625" s="96">
        <v>0</v>
      </c>
      <c r="X2625" s="71">
        <f>CU2625</f>
        <v>0</v>
      </c>
      <c r="Y2625" s="71">
        <f>CY2625</f>
        <v>0</v>
      </c>
      <c r="Z2625" s="71">
        <f>DA2625+DC2625+DE2625</f>
        <v>0</v>
      </c>
      <c r="AA2625" s="71">
        <f>CW2625</f>
        <v>0</v>
      </c>
      <c r="AB2625" s="71"/>
      <c r="AC2625" s="71">
        <v>0</v>
      </c>
      <c r="AD2625" s="71">
        <f>W2625+X2625+Y2625+Z2625+AA2625+AB2625+AC2625</f>
        <v>0</v>
      </c>
      <c r="AE2625" s="72">
        <v>0</v>
      </c>
      <c r="AF2625" s="5"/>
      <c r="AG2625" s="6"/>
      <c r="AH2625" s="27"/>
      <c r="AI2625" s="44"/>
      <c r="AJ2625" s="26"/>
      <c r="AK2625" s="5"/>
      <c r="AL2625" s="82" t="s">
        <v>5550</v>
      </c>
      <c r="AM2625" s="76"/>
      <c r="AN2625" s="76"/>
      <c r="AO2625" s="76"/>
      <c r="AP2625" s="76"/>
      <c r="AQ2625" s="76"/>
      <c r="AR2625" s="76"/>
      <c r="AS2625" s="76"/>
      <c r="AT2625" s="76"/>
      <c r="AU2625" s="76"/>
      <c r="AV2625" s="76"/>
      <c r="AW2625" s="76"/>
      <c r="AX2625" s="76">
        <f>+AW2625*600000</f>
        <v>0</v>
      </c>
      <c r="AY2625" s="76"/>
      <c r="AZ2625" s="76">
        <f>+AY2625*70000</f>
        <v>0</v>
      </c>
      <c r="BA2625" s="76"/>
      <c r="BB2625" s="76"/>
      <c r="BC2625" s="76"/>
      <c r="BD2625" s="76">
        <f>+BC2625*30000</f>
        <v>0</v>
      </c>
      <c r="BE2625" s="76"/>
      <c r="BF2625" s="76"/>
      <c r="BG2625" s="76"/>
      <c r="BH2625" s="76"/>
      <c r="BI2625" s="76"/>
      <c r="BJ2625" s="76"/>
      <c r="BK2625" s="76"/>
      <c r="BL2625" s="76">
        <f>+BK2625*31500</f>
        <v>0</v>
      </c>
      <c r="BM2625" s="76"/>
      <c r="BN2625" s="76"/>
      <c r="BO2625" s="76"/>
      <c r="BP2625" s="76"/>
      <c r="BQ2625" s="76"/>
      <c r="BR2625" s="76"/>
      <c r="BS2625" s="76"/>
      <c r="BT2625" s="76"/>
      <c r="BU2625" s="76"/>
      <c r="BV2625" s="76"/>
      <c r="BW2625" s="76"/>
      <c r="BX2625" s="76"/>
      <c r="BY2625" s="76"/>
      <c r="BZ2625" s="76"/>
      <c r="CA2625" s="76"/>
      <c r="CB2625" s="76"/>
      <c r="CC2625" s="76"/>
      <c r="CD2625" s="76"/>
      <c r="CE2625" s="76"/>
      <c r="CF2625" s="76">
        <f>+CE2625*28000</f>
        <v>0</v>
      </c>
      <c r="CG2625" s="76"/>
      <c r="CH2625" s="76">
        <f>+CG2625*22500</f>
        <v>0</v>
      </c>
      <c r="CI2625" s="76"/>
      <c r="CJ2625" s="76">
        <f>+CI2625*26000</f>
        <v>0</v>
      </c>
      <c r="CK2625" s="76"/>
      <c r="CL2625" s="76"/>
      <c r="CM2625" s="76"/>
      <c r="CN2625" s="76">
        <f>+CM2625*22000</f>
        <v>0</v>
      </c>
      <c r="CO2625" s="76"/>
      <c r="CP2625" s="76">
        <f>+CO2625*46000</f>
        <v>0</v>
      </c>
      <c r="CQ2625" s="76"/>
      <c r="CR2625" s="76">
        <f>+CQ2625*49000</f>
        <v>0</v>
      </c>
      <c r="CS2625" s="76"/>
      <c r="CT2625" s="76"/>
      <c r="CU2625" s="56">
        <f>AN2625+AP2625+AR2625+AT2625+AV2625+AX2625+AZ2625+BB2625+BD2625+BF2625+BH2625+BJ2625+BL2625+BN2625+BP2625+BR2625+BT2625+BV2625+BX2625+BZ2625+CB2625+CD2625+CF2625+CH2625+CJ2625+CL2625+CN2625+CP2625+CR2625+CT2625</f>
        <v>0</v>
      </c>
      <c r="CV2625" s="76"/>
      <c r="CW2625" s="76">
        <f>+CV2625*1100</f>
        <v>0</v>
      </c>
      <c r="CX2625" s="76"/>
      <c r="CY2625" s="76">
        <f>+CX2625*106250</f>
        <v>0</v>
      </c>
      <c r="CZ2625" s="76"/>
      <c r="DA2625" s="76">
        <f>+CZ2625*34500</f>
        <v>0</v>
      </c>
      <c r="DB2625" s="76"/>
      <c r="DC2625" s="76">
        <f>+DB2625*25000</f>
        <v>0</v>
      </c>
      <c r="DD2625" s="219"/>
      <c r="DE2625" s="219"/>
      <c r="DF2625" s="166"/>
      <c r="DG2625" s="116"/>
      <c r="DH2625" s="117"/>
      <c r="DI2625" s="24"/>
      <c r="DJ2625" s="24"/>
      <c r="DK2625" s="24"/>
      <c r="DL2625" s="24"/>
      <c r="DM2625" s="24"/>
      <c r="DN2625" s="24"/>
      <c r="DO2625" s="24"/>
      <c r="DP2625" s="24"/>
      <c r="DQ2625" s="24"/>
      <c r="DR2625" s="24"/>
      <c r="DS2625" s="24"/>
      <c r="DT2625" s="24"/>
      <c r="DU2625" s="24"/>
    </row>
    <row r="2626" spans="1:125" s="8" customFormat="1" ht="60" x14ac:dyDescent="0.2">
      <c r="A2626" s="353">
        <v>41491</v>
      </c>
      <c r="B2626" s="352" t="s">
        <v>2774</v>
      </c>
      <c r="C2626" s="354" t="s">
        <v>1370</v>
      </c>
      <c r="D2626" s="354" t="s">
        <v>2859</v>
      </c>
      <c r="E2626" s="353" t="str">
        <f>VLOOKUP(B2626&amp;C2626,Divipola!$C$2:$F$1138,4,FALSE)</f>
        <v>66594</v>
      </c>
      <c r="F2626" s="87"/>
      <c r="G2626" s="87"/>
      <c r="H2626" s="87"/>
      <c r="I2626" s="87">
        <v>5</v>
      </c>
      <c r="J2626" s="87">
        <v>1</v>
      </c>
      <c r="K2626" s="87">
        <v>1</v>
      </c>
      <c r="L2626" s="87"/>
      <c r="M2626" s="87"/>
      <c r="N2626" s="87"/>
      <c r="O2626" s="87"/>
      <c r="P2626" s="87"/>
      <c r="Q2626" s="87"/>
      <c r="R2626" s="87"/>
      <c r="S2626" s="87"/>
      <c r="T2626" s="87"/>
      <c r="U2626" s="88"/>
      <c r="V2626" s="89"/>
      <c r="W2626" s="96">
        <v>0</v>
      </c>
      <c r="X2626" s="71">
        <f>CU2626</f>
        <v>0</v>
      </c>
      <c r="Y2626" s="71">
        <f>CY2626</f>
        <v>0</v>
      </c>
      <c r="Z2626" s="71">
        <f>DA2626+DC2626+DE2626</f>
        <v>0</v>
      </c>
      <c r="AA2626" s="71">
        <f>CW2626</f>
        <v>0</v>
      </c>
      <c r="AB2626" s="71"/>
      <c r="AC2626" s="71">
        <v>0</v>
      </c>
      <c r="AD2626" s="71">
        <f>W2626+X2626+Y2626+Z2626+AA2626+AB2626+AC2626</f>
        <v>0</v>
      </c>
      <c r="AE2626" s="72">
        <v>0</v>
      </c>
      <c r="AF2626" s="5"/>
      <c r="AG2626" s="6"/>
      <c r="AH2626" s="27"/>
      <c r="AI2626" s="44"/>
      <c r="AJ2626" s="26"/>
      <c r="AK2626" s="5"/>
      <c r="AL2626" s="82" t="s">
        <v>5551</v>
      </c>
      <c r="AM2626" s="76"/>
      <c r="AN2626" s="76"/>
      <c r="AO2626" s="76"/>
      <c r="AP2626" s="76"/>
      <c r="AQ2626" s="76"/>
      <c r="AR2626" s="76"/>
      <c r="AS2626" s="76"/>
      <c r="AT2626" s="76"/>
      <c r="AU2626" s="76"/>
      <c r="AV2626" s="76"/>
      <c r="AW2626" s="76"/>
      <c r="AX2626" s="76">
        <f>+AW2626*600000</f>
        <v>0</v>
      </c>
      <c r="AY2626" s="76"/>
      <c r="AZ2626" s="76">
        <f>+AY2626*70000</f>
        <v>0</v>
      </c>
      <c r="BA2626" s="76"/>
      <c r="BB2626" s="76"/>
      <c r="BC2626" s="76"/>
      <c r="BD2626" s="76">
        <f>+BC2626*30000</f>
        <v>0</v>
      </c>
      <c r="BE2626" s="76"/>
      <c r="BF2626" s="76"/>
      <c r="BG2626" s="76"/>
      <c r="BH2626" s="76"/>
      <c r="BI2626" s="76"/>
      <c r="BJ2626" s="76"/>
      <c r="BK2626" s="76"/>
      <c r="BL2626" s="76">
        <f>+BK2626*31500</f>
        <v>0</v>
      </c>
      <c r="BM2626" s="76"/>
      <c r="BN2626" s="76"/>
      <c r="BO2626" s="76"/>
      <c r="BP2626" s="76"/>
      <c r="BQ2626" s="76"/>
      <c r="BR2626" s="76"/>
      <c r="BS2626" s="76"/>
      <c r="BT2626" s="76"/>
      <c r="BU2626" s="76"/>
      <c r="BV2626" s="76"/>
      <c r="BW2626" s="76"/>
      <c r="BX2626" s="76"/>
      <c r="BY2626" s="76"/>
      <c r="BZ2626" s="76"/>
      <c r="CA2626" s="76"/>
      <c r="CB2626" s="76"/>
      <c r="CC2626" s="76"/>
      <c r="CD2626" s="76"/>
      <c r="CE2626" s="76"/>
      <c r="CF2626" s="76">
        <f>+CE2626*28000</f>
        <v>0</v>
      </c>
      <c r="CG2626" s="76"/>
      <c r="CH2626" s="76">
        <f>+CG2626*22500</f>
        <v>0</v>
      </c>
      <c r="CI2626" s="76"/>
      <c r="CJ2626" s="76">
        <f>+CI2626*26000</f>
        <v>0</v>
      </c>
      <c r="CK2626" s="76"/>
      <c r="CL2626" s="76"/>
      <c r="CM2626" s="76"/>
      <c r="CN2626" s="76">
        <f>+CM2626*22000</f>
        <v>0</v>
      </c>
      <c r="CO2626" s="76"/>
      <c r="CP2626" s="76">
        <f>+CO2626*46000</f>
        <v>0</v>
      </c>
      <c r="CQ2626" s="76"/>
      <c r="CR2626" s="76">
        <f>+CQ2626*49000</f>
        <v>0</v>
      </c>
      <c r="CS2626" s="76"/>
      <c r="CT2626" s="76"/>
      <c r="CU2626" s="56">
        <f>AN2626+AP2626+AR2626+AT2626+AV2626+AX2626+AZ2626+BB2626+BD2626+BF2626+BH2626+BJ2626+BL2626+BN2626+BP2626+BR2626+BT2626+BV2626+BX2626+BZ2626+CB2626+CD2626+CF2626+CH2626+CJ2626+CL2626+CN2626+CP2626+CR2626+CT2626</f>
        <v>0</v>
      </c>
      <c r="CV2626" s="76"/>
      <c r="CW2626" s="76">
        <f>+CV2626*1100</f>
        <v>0</v>
      </c>
      <c r="CX2626" s="76"/>
      <c r="CY2626" s="76">
        <f>+CX2626*106250</f>
        <v>0</v>
      </c>
      <c r="CZ2626" s="76"/>
      <c r="DA2626" s="76">
        <f>+CZ2626*34500</f>
        <v>0</v>
      </c>
      <c r="DB2626" s="76"/>
      <c r="DC2626" s="76">
        <f>+DB2626*25000</f>
        <v>0</v>
      </c>
      <c r="DD2626" s="219"/>
      <c r="DE2626" s="219"/>
      <c r="DF2626" s="166"/>
      <c r="DG2626" s="116"/>
      <c r="DH2626" s="117"/>
      <c r="DI2626" s="24"/>
      <c r="DJ2626" s="24"/>
      <c r="DK2626" s="24"/>
      <c r="DL2626" s="24"/>
      <c r="DM2626" s="24"/>
      <c r="DN2626" s="24"/>
      <c r="DO2626" s="24"/>
      <c r="DP2626" s="24"/>
      <c r="DQ2626" s="24"/>
      <c r="DR2626" s="24"/>
      <c r="DS2626" s="24"/>
      <c r="DT2626" s="24"/>
      <c r="DU2626" s="24"/>
    </row>
    <row r="2627" spans="1:125" s="8" customFormat="1" ht="180" x14ac:dyDescent="0.2">
      <c r="A2627" s="77">
        <v>41491</v>
      </c>
      <c r="B2627" s="352" t="s">
        <v>2847</v>
      </c>
      <c r="C2627" s="354" t="s">
        <v>355</v>
      </c>
      <c r="D2627" s="354" t="s">
        <v>2846</v>
      </c>
      <c r="E2627" s="353" t="str">
        <f>VLOOKUP(B2627&amp;C2627,Divipola!$C$2:$F$1138,4,FALSE)</f>
        <v>68296</v>
      </c>
      <c r="F2627" s="87"/>
      <c r="G2627" s="87"/>
      <c r="H2627" s="87"/>
      <c r="I2627" s="87"/>
      <c r="J2627" s="87"/>
      <c r="K2627" s="87"/>
      <c r="L2627" s="87"/>
      <c r="M2627" s="87"/>
      <c r="N2627" s="87"/>
      <c r="O2627" s="87"/>
      <c r="P2627" s="87"/>
      <c r="Q2627" s="87"/>
      <c r="R2627" s="87"/>
      <c r="S2627" s="87"/>
      <c r="T2627" s="87"/>
      <c r="U2627" s="88">
        <v>16</v>
      </c>
      <c r="V2627" s="89"/>
      <c r="W2627" s="96">
        <v>0</v>
      </c>
      <c r="X2627" s="71">
        <f>CU2627</f>
        <v>0</v>
      </c>
      <c r="Y2627" s="71">
        <f>CY2627</f>
        <v>0</v>
      </c>
      <c r="Z2627" s="71">
        <f>DA2627+DC2627+DE2627</f>
        <v>0</v>
      </c>
      <c r="AA2627" s="71">
        <f>CW2627</f>
        <v>0</v>
      </c>
      <c r="AB2627" s="71"/>
      <c r="AC2627" s="71">
        <v>0</v>
      </c>
      <c r="AD2627" s="71">
        <f>W2627+X2627+Y2627+Z2627+AA2627+AB2627+AC2627</f>
        <v>0</v>
      </c>
      <c r="AE2627" s="72">
        <v>0</v>
      </c>
      <c r="AF2627" s="5"/>
      <c r="AG2627" s="6"/>
      <c r="AH2627" s="27"/>
      <c r="AI2627" s="44"/>
      <c r="AJ2627" s="26"/>
      <c r="AK2627" s="5"/>
      <c r="AL2627" s="82" t="s">
        <v>5546</v>
      </c>
      <c r="AM2627" s="76"/>
      <c r="AN2627" s="76"/>
      <c r="AO2627" s="76"/>
      <c r="AP2627" s="76"/>
      <c r="AQ2627" s="76"/>
      <c r="AR2627" s="76"/>
      <c r="AS2627" s="76"/>
      <c r="AT2627" s="76"/>
      <c r="AU2627" s="76"/>
      <c r="AV2627" s="76"/>
      <c r="AW2627" s="76"/>
      <c r="AX2627" s="76">
        <f>+AW2627*600000</f>
        <v>0</v>
      </c>
      <c r="AY2627" s="76"/>
      <c r="AZ2627" s="76">
        <f>+AY2627*70000</f>
        <v>0</v>
      </c>
      <c r="BA2627" s="76"/>
      <c r="BB2627" s="76"/>
      <c r="BC2627" s="76"/>
      <c r="BD2627" s="76">
        <f>+BC2627*30000</f>
        <v>0</v>
      </c>
      <c r="BE2627" s="76"/>
      <c r="BF2627" s="76"/>
      <c r="BG2627" s="76"/>
      <c r="BH2627" s="76"/>
      <c r="BI2627" s="76"/>
      <c r="BJ2627" s="76"/>
      <c r="BK2627" s="76"/>
      <c r="BL2627" s="76">
        <f>+BK2627*31500</f>
        <v>0</v>
      </c>
      <c r="BM2627" s="76"/>
      <c r="BN2627" s="76"/>
      <c r="BO2627" s="76"/>
      <c r="BP2627" s="76"/>
      <c r="BQ2627" s="76"/>
      <c r="BR2627" s="76"/>
      <c r="BS2627" s="76"/>
      <c r="BT2627" s="76"/>
      <c r="BU2627" s="76"/>
      <c r="BV2627" s="76"/>
      <c r="BW2627" s="76"/>
      <c r="BX2627" s="76"/>
      <c r="BY2627" s="76"/>
      <c r="BZ2627" s="76"/>
      <c r="CA2627" s="76"/>
      <c r="CB2627" s="76"/>
      <c r="CC2627" s="76"/>
      <c r="CD2627" s="76"/>
      <c r="CE2627" s="76"/>
      <c r="CF2627" s="76">
        <f>+CE2627*28000</f>
        <v>0</v>
      </c>
      <c r="CG2627" s="76"/>
      <c r="CH2627" s="76">
        <f>+CG2627*22500</f>
        <v>0</v>
      </c>
      <c r="CI2627" s="76"/>
      <c r="CJ2627" s="76">
        <f>+CI2627*26000</f>
        <v>0</v>
      </c>
      <c r="CK2627" s="76"/>
      <c r="CL2627" s="76"/>
      <c r="CM2627" s="76"/>
      <c r="CN2627" s="76">
        <f>+CM2627*22000</f>
        <v>0</v>
      </c>
      <c r="CO2627" s="76"/>
      <c r="CP2627" s="76">
        <f>+CO2627*46000</f>
        <v>0</v>
      </c>
      <c r="CQ2627" s="76"/>
      <c r="CR2627" s="76">
        <f>+CQ2627*49000</f>
        <v>0</v>
      </c>
      <c r="CS2627" s="76"/>
      <c r="CT2627" s="76"/>
      <c r="CU2627" s="56">
        <f>AN2627+AP2627+AR2627+AT2627+AV2627+AX2627+AZ2627+BB2627+BD2627+BF2627+BH2627+BJ2627+BL2627+BN2627+BP2627+BR2627+BT2627+BV2627+BX2627+BZ2627+CB2627+CD2627+CF2627+CH2627+CJ2627+CL2627+CN2627+CP2627+CR2627+CT2627</f>
        <v>0</v>
      </c>
      <c r="CV2627" s="76"/>
      <c r="CW2627" s="76">
        <f>+CV2627*1100</f>
        <v>0</v>
      </c>
      <c r="CX2627" s="76"/>
      <c r="CY2627" s="76">
        <f>+CX2627*106250</f>
        <v>0</v>
      </c>
      <c r="CZ2627" s="76"/>
      <c r="DA2627" s="76">
        <f>+CZ2627*34500</f>
        <v>0</v>
      </c>
      <c r="DB2627" s="76"/>
      <c r="DC2627" s="76">
        <f>+DB2627*25000</f>
        <v>0</v>
      </c>
      <c r="DD2627" s="219"/>
      <c r="DE2627" s="219"/>
      <c r="DF2627" s="166"/>
      <c r="DG2627" s="116"/>
      <c r="DH2627" s="117"/>
      <c r="DI2627" s="24"/>
      <c r="DJ2627" s="24"/>
      <c r="DK2627" s="24"/>
      <c r="DL2627" s="24"/>
      <c r="DM2627" s="24"/>
      <c r="DN2627" s="24"/>
      <c r="DO2627" s="24"/>
      <c r="DP2627" s="24"/>
      <c r="DQ2627" s="24"/>
      <c r="DR2627" s="24"/>
      <c r="DS2627" s="24"/>
      <c r="DT2627" s="24"/>
      <c r="DU2627" s="24"/>
    </row>
    <row r="2628" spans="1:125" s="8" customFormat="1" ht="96" x14ac:dyDescent="0.2">
      <c r="A2628" s="353">
        <v>41491</v>
      </c>
      <c r="B2628" s="352" t="s">
        <v>2847</v>
      </c>
      <c r="C2628" s="354" t="s">
        <v>1742</v>
      </c>
      <c r="D2628" s="354" t="s">
        <v>2859</v>
      </c>
      <c r="E2628" s="353" t="str">
        <f>VLOOKUP(B2628&amp;C2628,Divipola!$C$2:$F$1138,4,FALSE)</f>
        <v>68500</v>
      </c>
      <c r="F2628" s="163"/>
      <c r="G2628" s="163"/>
      <c r="H2628" s="163"/>
      <c r="I2628" s="163"/>
      <c r="J2628" s="163"/>
      <c r="K2628" s="163"/>
      <c r="L2628" s="163"/>
      <c r="M2628" s="163"/>
      <c r="N2628" s="163"/>
      <c r="O2628" s="163"/>
      <c r="P2628" s="163"/>
      <c r="Q2628" s="163"/>
      <c r="R2628" s="163"/>
      <c r="S2628" s="163"/>
      <c r="T2628" s="163"/>
      <c r="U2628" s="89" t="s">
        <v>5518</v>
      </c>
      <c r="V2628" s="134"/>
      <c r="W2628" s="96">
        <v>0</v>
      </c>
      <c r="X2628" s="71">
        <f>CU2628</f>
        <v>0</v>
      </c>
      <c r="Y2628" s="71">
        <f>CY2628</f>
        <v>0</v>
      </c>
      <c r="Z2628" s="71">
        <f>DA2628+DC2628+DE2628</f>
        <v>0</v>
      </c>
      <c r="AA2628" s="71">
        <f>CW2628</f>
        <v>0</v>
      </c>
      <c r="AB2628" s="71"/>
      <c r="AC2628" s="71">
        <v>0</v>
      </c>
      <c r="AD2628" s="71">
        <f>W2628+X2628+Y2628+Z2628+AA2628+AB2628+AC2628</f>
        <v>0</v>
      </c>
      <c r="AE2628" s="72">
        <v>0</v>
      </c>
      <c r="AF2628" s="5"/>
      <c r="AG2628" s="6"/>
      <c r="AH2628" s="27"/>
      <c r="AI2628" s="44"/>
      <c r="AJ2628" s="26"/>
      <c r="AK2628" s="5"/>
      <c r="AL2628" s="82" t="s">
        <v>5517</v>
      </c>
      <c r="AM2628" s="76"/>
      <c r="AN2628" s="76"/>
      <c r="AO2628" s="76"/>
      <c r="AP2628" s="76"/>
      <c r="AQ2628" s="76"/>
      <c r="AR2628" s="76"/>
      <c r="AS2628" s="76"/>
      <c r="AT2628" s="76"/>
      <c r="AU2628" s="76"/>
      <c r="AV2628" s="76"/>
      <c r="AW2628" s="76"/>
      <c r="AX2628" s="76">
        <f>+AW2628*600000</f>
        <v>0</v>
      </c>
      <c r="AY2628" s="76"/>
      <c r="AZ2628" s="76">
        <f>+AY2628*70000</f>
        <v>0</v>
      </c>
      <c r="BA2628" s="76"/>
      <c r="BB2628" s="76"/>
      <c r="BC2628" s="76"/>
      <c r="BD2628" s="76">
        <f>+BC2628*30000</f>
        <v>0</v>
      </c>
      <c r="BE2628" s="76"/>
      <c r="BF2628" s="76"/>
      <c r="BG2628" s="76"/>
      <c r="BH2628" s="76"/>
      <c r="BI2628" s="76"/>
      <c r="BJ2628" s="76"/>
      <c r="BK2628" s="76"/>
      <c r="BL2628" s="76">
        <f>+BK2628*31500</f>
        <v>0</v>
      </c>
      <c r="BM2628" s="76"/>
      <c r="BN2628" s="76"/>
      <c r="BO2628" s="76"/>
      <c r="BP2628" s="76"/>
      <c r="BQ2628" s="76"/>
      <c r="BR2628" s="76"/>
      <c r="BS2628" s="76"/>
      <c r="BT2628" s="76"/>
      <c r="BU2628" s="76"/>
      <c r="BV2628" s="76"/>
      <c r="BW2628" s="76"/>
      <c r="BX2628" s="76"/>
      <c r="BY2628" s="76"/>
      <c r="BZ2628" s="76"/>
      <c r="CA2628" s="76"/>
      <c r="CB2628" s="76"/>
      <c r="CC2628" s="76"/>
      <c r="CD2628" s="76"/>
      <c r="CE2628" s="76"/>
      <c r="CF2628" s="76">
        <f>+CE2628*28000</f>
        <v>0</v>
      </c>
      <c r="CG2628" s="76"/>
      <c r="CH2628" s="76">
        <f>+CG2628*22500</f>
        <v>0</v>
      </c>
      <c r="CI2628" s="76"/>
      <c r="CJ2628" s="76">
        <f>+CI2628*26000</f>
        <v>0</v>
      </c>
      <c r="CK2628" s="76"/>
      <c r="CL2628" s="76"/>
      <c r="CM2628" s="76"/>
      <c r="CN2628" s="76">
        <f>+CM2628*22000</f>
        <v>0</v>
      </c>
      <c r="CO2628" s="76"/>
      <c r="CP2628" s="76">
        <f>+CO2628*46000</f>
        <v>0</v>
      </c>
      <c r="CQ2628" s="76"/>
      <c r="CR2628" s="76">
        <f>+CQ2628*49000</f>
        <v>0</v>
      </c>
      <c r="CS2628" s="76"/>
      <c r="CT2628" s="76"/>
      <c r="CU2628" s="56">
        <f>AN2628+AP2628+AR2628+AT2628+AV2628+AX2628+AZ2628+BB2628+BD2628+BF2628+BH2628+BJ2628+BL2628+BN2628+BP2628+BR2628+BT2628+BV2628+BX2628+BZ2628+CB2628+CD2628+CF2628+CH2628+CJ2628+CL2628+CN2628+CP2628+CR2628+CT2628</f>
        <v>0</v>
      </c>
      <c r="CV2628" s="76"/>
      <c r="CW2628" s="76">
        <f>+CV2628*1100</f>
        <v>0</v>
      </c>
      <c r="CX2628" s="76"/>
      <c r="CY2628" s="76">
        <f>+CX2628*106250</f>
        <v>0</v>
      </c>
      <c r="CZ2628" s="76"/>
      <c r="DA2628" s="76">
        <f>+CZ2628*34500</f>
        <v>0</v>
      </c>
      <c r="DB2628" s="76"/>
      <c r="DC2628" s="76">
        <f>+DB2628*25000</f>
        <v>0</v>
      </c>
      <c r="DD2628" s="219"/>
      <c r="DE2628" s="219"/>
      <c r="DF2628" s="166"/>
      <c r="DG2628" s="116"/>
      <c r="DH2628" s="117"/>
      <c r="DI2628" s="24"/>
      <c r="DJ2628" s="24"/>
      <c r="DK2628" s="24"/>
      <c r="DL2628" s="24"/>
      <c r="DM2628" s="24"/>
      <c r="DN2628" s="24"/>
      <c r="DO2628" s="24"/>
      <c r="DP2628" s="24"/>
      <c r="DQ2628" s="24"/>
      <c r="DR2628" s="24"/>
      <c r="DS2628" s="24"/>
      <c r="DT2628" s="24"/>
      <c r="DU2628" s="24"/>
    </row>
    <row r="2629" spans="1:125" s="8" customFormat="1" ht="84" x14ac:dyDescent="0.2">
      <c r="A2629" s="77">
        <v>41491</v>
      </c>
      <c r="B2629" s="78" t="s">
        <v>2847</v>
      </c>
      <c r="C2629" s="75" t="s">
        <v>1745</v>
      </c>
      <c r="D2629" s="267" t="s">
        <v>2846</v>
      </c>
      <c r="E2629" s="353" t="str">
        <f>VLOOKUP(B2629&amp;C2629,Divipola!$C$2:$F$1138,4,FALSE)</f>
        <v>68502</v>
      </c>
      <c r="F2629" s="163"/>
      <c r="G2629" s="163"/>
      <c r="H2629" s="163"/>
      <c r="I2629" s="163"/>
      <c r="J2629" s="163"/>
      <c r="K2629" s="163"/>
      <c r="L2629" s="163"/>
      <c r="M2629" s="163"/>
      <c r="N2629" s="163"/>
      <c r="O2629" s="163"/>
      <c r="P2629" s="163"/>
      <c r="Q2629" s="163"/>
      <c r="R2629" s="163"/>
      <c r="S2629" s="163"/>
      <c r="T2629" s="163"/>
      <c r="U2629" s="163">
        <v>3</v>
      </c>
      <c r="V2629" s="134"/>
      <c r="W2629" s="96">
        <v>0</v>
      </c>
      <c r="X2629" s="71">
        <f>CU2629</f>
        <v>0</v>
      </c>
      <c r="Y2629" s="71">
        <f>CY2629</f>
        <v>0</v>
      </c>
      <c r="Z2629" s="71">
        <f>DA2629+DC2629+DE2629</f>
        <v>0</v>
      </c>
      <c r="AA2629" s="71">
        <f>CW2629</f>
        <v>0</v>
      </c>
      <c r="AB2629" s="71"/>
      <c r="AC2629" s="71">
        <v>0</v>
      </c>
      <c r="AD2629" s="71">
        <f>W2629+X2629+Y2629+Z2629+AA2629+AB2629+AC2629</f>
        <v>0</v>
      </c>
      <c r="AE2629" s="72">
        <v>0</v>
      </c>
      <c r="AF2629" s="5"/>
      <c r="AG2629" s="6"/>
      <c r="AH2629" s="27"/>
      <c r="AI2629" s="44"/>
      <c r="AJ2629" s="26"/>
      <c r="AK2629" s="5"/>
      <c r="AL2629" s="82" t="s">
        <v>5516</v>
      </c>
      <c r="AM2629" s="76"/>
      <c r="AN2629" s="76"/>
      <c r="AO2629" s="76"/>
      <c r="AP2629" s="76"/>
      <c r="AQ2629" s="76"/>
      <c r="AR2629" s="76"/>
      <c r="AS2629" s="76"/>
      <c r="AT2629" s="76"/>
      <c r="AU2629" s="76"/>
      <c r="AV2629" s="76"/>
      <c r="AW2629" s="76"/>
      <c r="AX2629" s="76">
        <f>+AW2629*600000</f>
        <v>0</v>
      </c>
      <c r="AY2629" s="76"/>
      <c r="AZ2629" s="76">
        <f>+AY2629*70000</f>
        <v>0</v>
      </c>
      <c r="BA2629" s="76"/>
      <c r="BB2629" s="76"/>
      <c r="BC2629" s="76"/>
      <c r="BD2629" s="76">
        <f>+BC2629*30000</f>
        <v>0</v>
      </c>
      <c r="BE2629" s="76"/>
      <c r="BF2629" s="76"/>
      <c r="BG2629" s="76"/>
      <c r="BH2629" s="76"/>
      <c r="BI2629" s="76"/>
      <c r="BJ2629" s="76"/>
      <c r="BK2629" s="76"/>
      <c r="BL2629" s="76">
        <f>+BK2629*31500</f>
        <v>0</v>
      </c>
      <c r="BM2629" s="76"/>
      <c r="BN2629" s="76"/>
      <c r="BO2629" s="76"/>
      <c r="BP2629" s="76"/>
      <c r="BQ2629" s="76"/>
      <c r="BR2629" s="76"/>
      <c r="BS2629" s="76"/>
      <c r="BT2629" s="76"/>
      <c r="BU2629" s="76"/>
      <c r="BV2629" s="76"/>
      <c r="BW2629" s="76"/>
      <c r="BX2629" s="76"/>
      <c r="BY2629" s="76"/>
      <c r="BZ2629" s="76"/>
      <c r="CA2629" s="76"/>
      <c r="CB2629" s="76"/>
      <c r="CC2629" s="76"/>
      <c r="CD2629" s="76"/>
      <c r="CE2629" s="76"/>
      <c r="CF2629" s="76">
        <f>+CE2629*28000</f>
        <v>0</v>
      </c>
      <c r="CG2629" s="76"/>
      <c r="CH2629" s="76">
        <f>+CG2629*22500</f>
        <v>0</v>
      </c>
      <c r="CI2629" s="76"/>
      <c r="CJ2629" s="76">
        <f>+CI2629*26000</f>
        <v>0</v>
      </c>
      <c r="CK2629" s="76"/>
      <c r="CL2629" s="76"/>
      <c r="CM2629" s="76"/>
      <c r="CN2629" s="76">
        <f>+CM2629*22000</f>
        <v>0</v>
      </c>
      <c r="CO2629" s="76"/>
      <c r="CP2629" s="76">
        <f>+CO2629*46000</f>
        <v>0</v>
      </c>
      <c r="CQ2629" s="76"/>
      <c r="CR2629" s="76">
        <f>+CQ2629*49000</f>
        <v>0</v>
      </c>
      <c r="CS2629" s="76"/>
      <c r="CT2629" s="76"/>
      <c r="CU2629" s="56">
        <f>AN2629+AP2629+AR2629+AT2629+AV2629+AX2629+AZ2629+BB2629+BD2629+BF2629+BH2629+BJ2629+BL2629+BN2629+BP2629+BR2629+BT2629+BV2629+BX2629+BZ2629+CB2629+CD2629+CF2629+CH2629+CJ2629+CL2629+CN2629+CP2629+CR2629+CT2629</f>
        <v>0</v>
      </c>
      <c r="CV2629" s="76"/>
      <c r="CW2629" s="76">
        <f>+CV2629*1100</f>
        <v>0</v>
      </c>
      <c r="CX2629" s="76"/>
      <c r="CY2629" s="76">
        <f>+CX2629*106250</f>
        <v>0</v>
      </c>
      <c r="CZ2629" s="76"/>
      <c r="DA2629" s="76">
        <f>+CZ2629*34500</f>
        <v>0</v>
      </c>
      <c r="DB2629" s="76"/>
      <c r="DC2629" s="76">
        <f>+DB2629*25000</f>
        <v>0</v>
      </c>
      <c r="DD2629" s="219"/>
      <c r="DE2629" s="219"/>
      <c r="DF2629" s="166"/>
      <c r="DG2629" s="116"/>
      <c r="DH2629" s="117"/>
      <c r="DI2629" s="24"/>
      <c r="DJ2629" s="24"/>
      <c r="DK2629" s="24"/>
      <c r="DL2629" s="24"/>
      <c r="DM2629" s="24"/>
      <c r="DN2629" s="24"/>
      <c r="DO2629" s="24"/>
      <c r="DP2629" s="24"/>
      <c r="DQ2629" s="24"/>
      <c r="DR2629" s="24"/>
      <c r="DS2629" s="24"/>
      <c r="DT2629" s="24"/>
      <c r="DU2629" s="24"/>
    </row>
    <row r="2630" spans="1:125" s="8" customFormat="1" ht="48" x14ac:dyDescent="0.2">
      <c r="A2630" s="77">
        <v>41491</v>
      </c>
      <c r="B2630" s="78" t="s">
        <v>2848</v>
      </c>
      <c r="C2630" s="75" t="s">
        <v>2755</v>
      </c>
      <c r="D2630" s="75" t="s">
        <v>2846</v>
      </c>
      <c r="E2630" s="353" t="str">
        <f>VLOOKUP(B2630&amp;C2630,Divipola!$C$2:$F$1138,4,FALSE)</f>
        <v>73001</v>
      </c>
      <c r="F2630" s="87"/>
      <c r="G2630" s="87"/>
      <c r="H2630" s="87"/>
      <c r="I2630" s="87"/>
      <c r="J2630" s="87"/>
      <c r="K2630" s="87"/>
      <c r="L2630" s="87"/>
      <c r="M2630" s="87"/>
      <c r="N2630" s="87"/>
      <c r="O2630" s="87"/>
      <c r="P2630" s="87"/>
      <c r="Q2630" s="87"/>
      <c r="R2630" s="87"/>
      <c r="S2630" s="87"/>
      <c r="T2630" s="87"/>
      <c r="U2630" s="88"/>
      <c r="V2630" s="89"/>
      <c r="W2630" s="96">
        <v>0</v>
      </c>
      <c r="X2630" s="71">
        <f>CU2630</f>
        <v>0</v>
      </c>
      <c r="Y2630" s="71">
        <f>CY2630</f>
        <v>0</v>
      </c>
      <c r="Z2630" s="71">
        <f>DA2630+DC2630+DE2630</f>
        <v>0</v>
      </c>
      <c r="AA2630" s="71">
        <f>CW2630</f>
        <v>0</v>
      </c>
      <c r="AB2630" s="71"/>
      <c r="AC2630" s="71">
        <v>0</v>
      </c>
      <c r="AD2630" s="71">
        <f>W2630+X2630+Y2630+Z2630+AA2630+AB2630+AC2630</f>
        <v>0</v>
      </c>
      <c r="AE2630" s="72">
        <v>0</v>
      </c>
      <c r="AF2630" s="5"/>
      <c r="AG2630" s="6"/>
      <c r="AH2630" s="27"/>
      <c r="AI2630" s="44"/>
      <c r="AJ2630" s="26"/>
      <c r="AK2630" s="5"/>
      <c r="AL2630" s="82" t="s">
        <v>5519</v>
      </c>
      <c r="AM2630" s="76"/>
      <c r="AN2630" s="76"/>
      <c r="AO2630" s="76"/>
      <c r="AP2630" s="76"/>
      <c r="AQ2630" s="76"/>
      <c r="AR2630" s="76"/>
      <c r="AS2630" s="76"/>
      <c r="AT2630" s="76"/>
      <c r="AU2630" s="76"/>
      <c r="AV2630" s="76"/>
      <c r="AW2630" s="76"/>
      <c r="AX2630" s="76">
        <f>+AW2630*600000</f>
        <v>0</v>
      </c>
      <c r="AY2630" s="76"/>
      <c r="AZ2630" s="76">
        <f>+AY2630*70000</f>
        <v>0</v>
      </c>
      <c r="BA2630" s="76"/>
      <c r="BB2630" s="76"/>
      <c r="BC2630" s="76"/>
      <c r="BD2630" s="76">
        <f>+BC2630*30000</f>
        <v>0</v>
      </c>
      <c r="BE2630" s="76"/>
      <c r="BF2630" s="76"/>
      <c r="BG2630" s="76"/>
      <c r="BH2630" s="76"/>
      <c r="BI2630" s="76"/>
      <c r="BJ2630" s="76"/>
      <c r="BK2630" s="76"/>
      <c r="BL2630" s="76">
        <f>+BK2630*31500</f>
        <v>0</v>
      </c>
      <c r="BM2630" s="76"/>
      <c r="BN2630" s="76"/>
      <c r="BO2630" s="76"/>
      <c r="BP2630" s="76"/>
      <c r="BQ2630" s="76"/>
      <c r="BR2630" s="76"/>
      <c r="BS2630" s="76"/>
      <c r="BT2630" s="76"/>
      <c r="BU2630" s="76"/>
      <c r="BV2630" s="76"/>
      <c r="BW2630" s="76"/>
      <c r="BX2630" s="76"/>
      <c r="BY2630" s="76"/>
      <c r="BZ2630" s="76"/>
      <c r="CA2630" s="76"/>
      <c r="CB2630" s="76"/>
      <c r="CC2630" s="76"/>
      <c r="CD2630" s="76"/>
      <c r="CE2630" s="76"/>
      <c r="CF2630" s="76">
        <f>+CE2630*28000</f>
        <v>0</v>
      </c>
      <c r="CG2630" s="76"/>
      <c r="CH2630" s="76">
        <f>+CG2630*22500</f>
        <v>0</v>
      </c>
      <c r="CI2630" s="76"/>
      <c r="CJ2630" s="76">
        <f>+CI2630*26000</f>
        <v>0</v>
      </c>
      <c r="CK2630" s="76"/>
      <c r="CL2630" s="76"/>
      <c r="CM2630" s="76"/>
      <c r="CN2630" s="76">
        <f>+CM2630*22000</f>
        <v>0</v>
      </c>
      <c r="CO2630" s="76"/>
      <c r="CP2630" s="76">
        <f>+CO2630*46000</f>
        <v>0</v>
      </c>
      <c r="CQ2630" s="76"/>
      <c r="CR2630" s="76">
        <f>+CQ2630*49000</f>
        <v>0</v>
      </c>
      <c r="CS2630" s="76"/>
      <c r="CT2630" s="76"/>
      <c r="CU2630" s="56">
        <f>AN2630+AP2630+AR2630+AT2630+AV2630+AX2630+AZ2630+BB2630+BD2630+BF2630+BH2630+BJ2630+BL2630+BN2630+BP2630+BR2630+BT2630+BV2630+BX2630+BZ2630+CB2630+CD2630+CF2630+CH2630+CJ2630+CL2630+CN2630+CP2630+CR2630+CT2630</f>
        <v>0</v>
      </c>
      <c r="CV2630" s="76"/>
      <c r="CW2630" s="76">
        <f>+CV2630*1100</f>
        <v>0</v>
      </c>
      <c r="CX2630" s="76"/>
      <c r="CY2630" s="76">
        <f>+CX2630*106250</f>
        <v>0</v>
      </c>
      <c r="CZ2630" s="76"/>
      <c r="DA2630" s="76">
        <f>+CZ2630*34500</f>
        <v>0</v>
      </c>
      <c r="DB2630" s="76"/>
      <c r="DC2630" s="76">
        <f>+DB2630*25000</f>
        <v>0</v>
      </c>
      <c r="DD2630" s="219"/>
      <c r="DE2630" s="219"/>
      <c r="DF2630" s="166"/>
      <c r="DG2630" s="116"/>
      <c r="DH2630" s="117"/>
      <c r="DI2630" s="24"/>
      <c r="DJ2630" s="24"/>
      <c r="DK2630" s="24"/>
      <c r="DL2630" s="24"/>
      <c r="DM2630" s="24"/>
      <c r="DN2630" s="24"/>
      <c r="DO2630" s="24"/>
      <c r="DP2630" s="24"/>
      <c r="DQ2630" s="24"/>
      <c r="DR2630" s="24"/>
      <c r="DS2630" s="24"/>
      <c r="DT2630" s="24"/>
      <c r="DU2630" s="24"/>
    </row>
    <row r="2631" spans="1:125" s="8" customFormat="1" ht="84" x14ac:dyDescent="0.2">
      <c r="A2631" s="77">
        <v>41491</v>
      </c>
      <c r="B2631" s="352" t="s">
        <v>2848</v>
      </c>
      <c r="C2631" s="354" t="s">
        <v>2077</v>
      </c>
      <c r="D2631" s="354" t="s">
        <v>2142</v>
      </c>
      <c r="E2631" s="353" t="str">
        <f>VLOOKUP(B2631&amp;C2631,Divipola!$C$2:$F$1138,4,FALSE)</f>
        <v>73411</v>
      </c>
      <c r="F2631" s="87">
        <v>1</v>
      </c>
      <c r="G2631" s="87">
        <v>1</v>
      </c>
      <c r="H2631" s="87"/>
      <c r="I2631" s="87"/>
      <c r="J2631" s="87"/>
      <c r="K2631" s="87"/>
      <c r="L2631" s="87"/>
      <c r="M2631" s="87"/>
      <c r="N2631" s="87"/>
      <c r="O2631" s="87"/>
      <c r="P2631" s="87"/>
      <c r="Q2631" s="87"/>
      <c r="R2631" s="87"/>
      <c r="S2631" s="87"/>
      <c r="T2631" s="87"/>
      <c r="U2631" s="88"/>
      <c r="V2631" s="89"/>
      <c r="W2631" s="96">
        <v>0</v>
      </c>
      <c r="X2631" s="71">
        <f>CU2631</f>
        <v>0</v>
      </c>
      <c r="Y2631" s="71">
        <f>CY2631</f>
        <v>0</v>
      </c>
      <c r="Z2631" s="71">
        <f>DA2631+DC2631+DE2631</f>
        <v>0</v>
      </c>
      <c r="AA2631" s="71">
        <f>CW2631</f>
        <v>0</v>
      </c>
      <c r="AB2631" s="71"/>
      <c r="AC2631" s="71">
        <v>0</v>
      </c>
      <c r="AD2631" s="71">
        <f>W2631+X2631+Y2631+Z2631+AA2631+AB2631+AC2631</f>
        <v>0</v>
      </c>
      <c r="AE2631" s="72">
        <v>0</v>
      </c>
      <c r="AF2631" s="5"/>
      <c r="AG2631" s="6"/>
      <c r="AH2631" s="27"/>
      <c r="AI2631" s="44"/>
      <c r="AJ2631" s="26"/>
      <c r="AK2631" s="5"/>
      <c r="AL2631" s="82" t="s">
        <v>5524</v>
      </c>
      <c r="AM2631" s="76"/>
      <c r="AN2631" s="76"/>
      <c r="AO2631" s="76"/>
      <c r="AP2631" s="76"/>
      <c r="AQ2631" s="76"/>
      <c r="AR2631" s="76"/>
      <c r="AS2631" s="76"/>
      <c r="AT2631" s="76"/>
      <c r="AU2631" s="76"/>
      <c r="AV2631" s="76"/>
      <c r="AW2631" s="76"/>
      <c r="AX2631" s="76">
        <f>+AW2631*600000</f>
        <v>0</v>
      </c>
      <c r="AY2631" s="76"/>
      <c r="AZ2631" s="76">
        <f>+AY2631*70000</f>
        <v>0</v>
      </c>
      <c r="BA2631" s="76"/>
      <c r="BB2631" s="76"/>
      <c r="BC2631" s="76"/>
      <c r="BD2631" s="76">
        <f>+BC2631*30000</f>
        <v>0</v>
      </c>
      <c r="BE2631" s="76"/>
      <c r="BF2631" s="76"/>
      <c r="BG2631" s="76"/>
      <c r="BH2631" s="76"/>
      <c r="BI2631" s="76"/>
      <c r="BJ2631" s="76"/>
      <c r="BK2631" s="76"/>
      <c r="BL2631" s="76">
        <f>+BK2631*31500</f>
        <v>0</v>
      </c>
      <c r="BM2631" s="76"/>
      <c r="BN2631" s="76"/>
      <c r="BO2631" s="76"/>
      <c r="BP2631" s="76"/>
      <c r="BQ2631" s="76"/>
      <c r="BR2631" s="76"/>
      <c r="BS2631" s="76"/>
      <c r="BT2631" s="76"/>
      <c r="BU2631" s="76"/>
      <c r="BV2631" s="76"/>
      <c r="BW2631" s="76"/>
      <c r="BX2631" s="76"/>
      <c r="BY2631" s="76"/>
      <c r="BZ2631" s="76"/>
      <c r="CA2631" s="76"/>
      <c r="CB2631" s="76"/>
      <c r="CC2631" s="76"/>
      <c r="CD2631" s="76"/>
      <c r="CE2631" s="76"/>
      <c r="CF2631" s="76">
        <f>+CE2631*28000</f>
        <v>0</v>
      </c>
      <c r="CG2631" s="76"/>
      <c r="CH2631" s="76">
        <f>+CG2631*22500</f>
        <v>0</v>
      </c>
      <c r="CI2631" s="76"/>
      <c r="CJ2631" s="76">
        <f>+CI2631*26000</f>
        <v>0</v>
      </c>
      <c r="CK2631" s="76"/>
      <c r="CL2631" s="76"/>
      <c r="CM2631" s="76"/>
      <c r="CN2631" s="76">
        <f>+CM2631*22000</f>
        <v>0</v>
      </c>
      <c r="CO2631" s="76"/>
      <c r="CP2631" s="76">
        <f>+CO2631*46000</f>
        <v>0</v>
      </c>
      <c r="CQ2631" s="76"/>
      <c r="CR2631" s="76">
        <f>+CQ2631*49000</f>
        <v>0</v>
      </c>
      <c r="CS2631" s="76"/>
      <c r="CT2631" s="76"/>
      <c r="CU2631" s="56">
        <f>AN2631+AP2631+AR2631+AT2631+AV2631+AX2631+AZ2631+BB2631+BD2631+BF2631+BH2631+BJ2631+BL2631+BN2631+BP2631+BR2631+BT2631+BV2631+BX2631+BZ2631+CB2631+CD2631+CF2631+CH2631+CJ2631+CL2631+CN2631+CP2631+CR2631+CT2631</f>
        <v>0</v>
      </c>
      <c r="CV2631" s="76"/>
      <c r="CW2631" s="76">
        <f>+CV2631*1100</f>
        <v>0</v>
      </c>
      <c r="CX2631" s="76"/>
      <c r="CY2631" s="76">
        <f>+CX2631*106250</f>
        <v>0</v>
      </c>
      <c r="CZ2631" s="76"/>
      <c r="DA2631" s="76">
        <f>+CZ2631*34500</f>
        <v>0</v>
      </c>
      <c r="DB2631" s="76"/>
      <c r="DC2631" s="76">
        <f>+DB2631*25000</f>
        <v>0</v>
      </c>
      <c r="DD2631" s="219"/>
      <c r="DE2631" s="219"/>
      <c r="DF2631" s="166"/>
      <c r="DG2631" s="116"/>
      <c r="DH2631" s="117"/>
      <c r="DI2631" s="24"/>
      <c r="DJ2631" s="24"/>
      <c r="DK2631" s="24"/>
      <c r="DL2631" s="24"/>
      <c r="DM2631" s="24"/>
      <c r="DN2631" s="24"/>
      <c r="DO2631" s="24"/>
      <c r="DP2631" s="24"/>
      <c r="DQ2631" s="24"/>
      <c r="DR2631" s="24"/>
      <c r="DS2631" s="24"/>
      <c r="DT2631" s="24"/>
      <c r="DU2631" s="24"/>
    </row>
    <row r="2632" spans="1:125" s="8" customFormat="1" ht="60" x14ac:dyDescent="0.2">
      <c r="A2632" s="77">
        <v>41491</v>
      </c>
      <c r="B2632" s="352" t="s">
        <v>2851</v>
      </c>
      <c r="C2632" s="354" t="s">
        <v>2159</v>
      </c>
      <c r="D2632" s="354" t="s">
        <v>2846</v>
      </c>
      <c r="E2632" s="353" t="str">
        <f>VLOOKUP(B2632&amp;C2632,Divipola!$C$2:$F$1138,4,FALSE)</f>
        <v>76670</v>
      </c>
      <c r="F2632" s="87"/>
      <c r="G2632" s="87"/>
      <c r="H2632" s="87"/>
      <c r="I2632" s="87"/>
      <c r="J2632" s="87"/>
      <c r="K2632" s="87"/>
      <c r="L2632" s="87"/>
      <c r="M2632" s="87"/>
      <c r="N2632" s="87"/>
      <c r="O2632" s="87"/>
      <c r="P2632" s="87"/>
      <c r="Q2632" s="87"/>
      <c r="R2632" s="87"/>
      <c r="S2632" s="87"/>
      <c r="T2632" s="87"/>
      <c r="U2632" s="88">
        <v>6</v>
      </c>
      <c r="V2632" s="89"/>
      <c r="W2632" s="96">
        <v>0</v>
      </c>
      <c r="X2632" s="71">
        <f>CU2632</f>
        <v>0</v>
      </c>
      <c r="Y2632" s="71">
        <f>CY2632</f>
        <v>0</v>
      </c>
      <c r="Z2632" s="71">
        <f>DA2632+DC2632+DE2632</f>
        <v>0</v>
      </c>
      <c r="AA2632" s="71">
        <f>CW2632</f>
        <v>0</v>
      </c>
      <c r="AB2632" s="71"/>
      <c r="AC2632" s="71">
        <v>0</v>
      </c>
      <c r="AD2632" s="71">
        <f>W2632+X2632+Y2632+Z2632+AA2632+AB2632+AC2632</f>
        <v>0</v>
      </c>
      <c r="AE2632" s="72">
        <v>0</v>
      </c>
      <c r="AF2632" s="5"/>
      <c r="AG2632" s="6"/>
      <c r="AH2632" s="27"/>
      <c r="AI2632" s="44"/>
      <c r="AJ2632" s="26"/>
      <c r="AK2632" s="5"/>
      <c r="AL2632" s="82" t="s">
        <v>5520</v>
      </c>
      <c r="AM2632" s="76"/>
      <c r="AN2632" s="76"/>
      <c r="AO2632" s="76"/>
      <c r="AP2632" s="76"/>
      <c r="AQ2632" s="76"/>
      <c r="AR2632" s="76"/>
      <c r="AS2632" s="76"/>
      <c r="AT2632" s="76"/>
      <c r="AU2632" s="76"/>
      <c r="AV2632" s="76"/>
      <c r="AW2632" s="76"/>
      <c r="AX2632" s="76">
        <f>+AW2632*600000</f>
        <v>0</v>
      </c>
      <c r="AY2632" s="76"/>
      <c r="AZ2632" s="76">
        <f>+AY2632*70000</f>
        <v>0</v>
      </c>
      <c r="BA2632" s="76"/>
      <c r="BB2632" s="76"/>
      <c r="BC2632" s="76"/>
      <c r="BD2632" s="76">
        <f>+BC2632*30000</f>
        <v>0</v>
      </c>
      <c r="BE2632" s="76"/>
      <c r="BF2632" s="76"/>
      <c r="BG2632" s="76"/>
      <c r="BH2632" s="76"/>
      <c r="BI2632" s="76"/>
      <c r="BJ2632" s="76"/>
      <c r="BK2632" s="76"/>
      <c r="BL2632" s="76">
        <f>+BK2632*31500</f>
        <v>0</v>
      </c>
      <c r="BM2632" s="76"/>
      <c r="BN2632" s="76"/>
      <c r="BO2632" s="76"/>
      <c r="BP2632" s="76"/>
      <c r="BQ2632" s="76"/>
      <c r="BR2632" s="76"/>
      <c r="BS2632" s="76"/>
      <c r="BT2632" s="76"/>
      <c r="BU2632" s="76"/>
      <c r="BV2632" s="76"/>
      <c r="BW2632" s="76"/>
      <c r="BX2632" s="76"/>
      <c r="BY2632" s="76"/>
      <c r="BZ2632" s="76"/>
      <c r="CA2632" s="76"/>
      <c r="CB2632" s="76"/>
      <c r="CC2632" s="76"/>
      <c r="CD2632" s="76"/>
      <c r="CE2632" s="76"/>
      <c r="CF2632" s="76">
        <f>+CE2632*28000</f>
        <v>0</v>
      </c>
      <c r="CG2632" s="76"/>
      <c r="CH2632" s="76">
        <f>+CG2632*22500</f>
        <v>0</v>
      </c>
      <c r="CI2632" s="76"/>
      <c r="CJ2632" s="76">
        <f>+CI2632*26000</f>
        <v>0</v>
      </c>
      <c r="CK2632" s="76"/>
      <c r="CL2632" s="76"/>
      <c r="CM2632" s="76"/>
      <c r="CN2632" s="76">
        <f>+CM2632*22000</f>
        <v>0</v>
      </c>
      <c r="CO2632" s="76"/>
      <c r="CP2632" s="76">
        <f>+CO2632*46000</f>
        <v>0</v>
      </c>
      <c r="CQ2632" s="76"/>
      <c r="CR2632" s="76">
        <f>+CQ2632*49000</f>
        <v>0</v>
      </c>
      <c r="CS2632" s="76"/>
      <c r="CT2632" s="76"/>
      <c r="CU2632" s="56">
        <f>AN2632+AP2632+AR2632+AT2632+AV2632+AX2632+AZ2632+BB2632+BD2632+BF2632+BH2632+BJ2632+BL2632+BN2632+BP2632+BR2632+BT2632+BV2632+BX2632+BZ2632+CB2632+CD2632+CF2632+CH2632+CJ2632+CL2632+CN2632+CP2632+CR2632+CT2632</f>
        <v>0</v>
      </c>
      <c r="CV2632" s="76"/>
      <c r="CW2632" s="76">
        <f>+CV2632*1100</f>
        <v>0</v>
      </c>
      <c r="CX2632" s="76"/>
      <c r="CY2632" s="76">
        <f>+CX2632*106250</f>
        <v>0</v>
      </c>
      <c r="CZ2632" s="76"/>
      <c r="DA2632" s="76">
        <f>+CZ2632*34500</f>
        <v>0</v>
      </c>
      <c r="DB2632" s="76"/>
      <c r="DC2632" s="76">
        <f>+DB2632*25000</f>
        <v>0</v>
      </c>
      <c r="DD2632" s="219"/>
      <c r="DE2632" s="219"/>
      <c r="DF2632" s="166"/>
      <c r="DG2632" s="116"/>
      <c r="DH2632" s="117"/>
      <c r="DI2632" s="24"/>
      <c r="DJ2632" s="24"/>
      <c r="DK2632" s="24"/>
      <c r="DL2632" s="24"/>
      <c r="DM2632" s="24"/>
      <c r="DN2632" s="24"/>
      <c r="DO2632" s="24"/>
      <c r="DP2632" s="24"/>
      <c r="DQ2632" s="24"/>
      <c r="DR2632" s="24"/>
      <c r="DS2632" s="24"/>
      <c r="DT2632" s="24"/>
      <c r="DU2632" s="24"/>
    </row>
    <row r="2633" spans="1:125" s="8" customFormat="1" ht="60" x14ac:dyDescent="0.2">
      <c r="A2633" s="353">
        <v>41492</v>
      </c>
      <c r="B2633" s="352" t="s">
        <v>2700</v>
      </c>
      <c r="C2633" s="354" t="s">
        <v>1698</v>
      </c>
      <c r="D2633" s="354" t="s">
        <v>2846</v>
      </c>
      <c r="E2633" s="353" t="str">
        <f>VLOOKUP(B2633&amp;C2633,Divipola!$C$2:$F$1138,4,FALSE)</f>
        <v>15176</v>
      </c>
      <c r="F2633" s="87"/>
      <c r="G2633" s="87"/>
      <c r="H2633" s="87"/>
      <c r="I2633" s="87"/>
      <c r="J2633" s="87"/>
      <c r="K2633" s="87"/>
      <c r="L2633" s="87"/>
      <c r="M2633" s="87"/>
      <c r="N2633" s="87"/>
      <c r="O2633" s="87"/>
      <c r="P2633" s="87"/>
      <c r="Q2633" s="87"/>
      <c r="R2633" s="87"/>
      <c r="S2633" s="87"/>
      <c r="T2633" s="87"/>
      <c r="U2633" s="88">
        <v>1.5</v>
      </c>
      <c r="V2633" s="89"/>
      <c r="W2633" s="96">
        <v>0</v>
      </c>
      <c r="X2633" s="71">
        <f>CU2633</f>
        <v>0</v>
      </c>
      <c r="Y2633" s="71">
        <f>CY2633</f>
        <v>0</v>
      </c>
      <c r="Z2633" s="71">
        <f>DA2633+DC2633+DE2633</f>
        <v>0</v>
      </c>
      <c r="AA2633" s="71">
        <f>CW2633</f>
        <v>0</v>
      </c>
      <c r="AB2633" s="71"/>
      <c r="AC2633" s="71">
        <v>0</v>
      </c>
      <c r="AD2633" s="71">
        <f>W2633+X2633+Y2633+Z2633+AA2633+AB2633+AC2633</f>
        <v>0</v>
      </c>
      <c r="AE2633" s="72">
        <v>0</v>
      </c>
      <c r="AF2633" s="5"/>
      <c r="AG2633" s="6"/>
      <c r="AH2633" s="27"/>
      <c r="AI2633" s="44"/>
      <c r="AJ2633" s="26"/>
      <c r="AK2633" s="5"/>
      <c r="AL2633" s="82" t="s">
        <v>5530</v>
      </c>
      <c r="AM2633" s="76"/>
      <c r="AN2633" s="76"/>
      <c r="AO2633" s="76"/>
      <c r="AP2633" s="76"/>
      <c r="AQ2633" s="76"/>
      <c r="AR2633" s="76"/>
      <c r="AS2633" s="76"/>
      <c r="AT2633" s="76"/>
      <c r="AU2633" s="76"/>
      <c r="AV2633" s="76"/>
      <c r="AW2633" s="76"/>
      <c r="AX2633" s="76">
        <f>+AW2633*600000</f>
        <v>0</v>
      </c>
      <c r="AY2633" s="76"/>
      <c r="AZ2633" s="76">
        <f>+AY2633*70000</f>
        <v>0</v>
      </c>
      <c r="BA2633" s="76"/>
      <c r="BB2633" s="76"/>
      <c r="BC2633" s="76"/>
      <c r="BD2633" s="76">
        <f>+BC2633*30000</f>
        <v>0</v>
      </c>
      <c r="BE2633" s="76"/>
      <c r="BF2633" s="76"/>
      <c r="BG2633" s="76"/>
      <c r="BH2633" s="76"/>
      <c r="BI2633" s="76"/>
      <c r="BJ2633" s="76"/>
      <c r="BK2633" s="76"/>
      <c r="BL2633" s="76">
        <f>+BK2633*31500</f>
        <v>0</v>
      </c>
      <c r="BM2633" s="76"/>
      <c r="BN2633" s="76"/>
      <c r="BO2633" s="76"/>
      <c r="BP2633" s="76"/>
      <c r="BQ2633" s="76"/>
      <c r="BR2633" s="76"/>
      <c r="BS2633" s="76"/>
      <c r="BT2633" s="76"/>
      <c r="BU2633" s="76"/>
      <c r="BV2633" s="76"/>
      <c r="BW2633" s="76"/>
      <c r="BX2633" s="76"/>
      <c r="BY2633" s="76"/>
      <c r="BZ2633" s="76"/>
      <c r="CA2633" s="76"/>
      <c r="CB2633" s="76"/>
      <c r="CC2633" s="76"/>
      <c r="CD2633" s="76"/>
      <c r="CE2633" s="76"/>
      <c r="CF2633" s="76">
        <f>+CE2633*28000</f>
        <v>0</v>
      </c>
      <c r="CG2633" s="76"/>
      <c r="CH2633" s="76">
        <f>+CG2633*22500</f>
        <v>0</v>
      </c>
      <c r="CI2633" s="76"/>
      <c r="CJ2633" s="76">
        <f>+CI2633*26000</f>
        <v>0</v>
      </c>
      <c r="CK2633" s="76"/>
      <c r="CL2633" s="76"/>
      <c r="CM2633" s="76"/>
      <c r="CN2633" s="76">
        <f>+CM2633*22000</f>
        <v>0</v>
      </c>
      <c r="CO2633" s="76"/>
      <c r="CP2633" s="76">
        <f>+CO2633*46000</f>
        <v>0</v>
      </c>
      <c r="CQ2633" s="76"/>
      <c r="CR2633" s="76">
        <f>+CQ2633*49000</f>
        <v>0</v>
      </c>
      <c r="CS2633" s="76"/>
      <c r="CT2633" s="76"/>
      <c r="CU2633" s="56">
        <f>AN2633+AP2633+AR2633+AT2633+AV2633+AX2633+AZ2633+BB2633+BD2633+BF2633+BH2633+BJ2633+BL2633+BN2633+BP2633+BR2633+BT2633+BV2633+BX2633+BZ2633+CB2633+CD2633+CF2633+CH2633+CJ2633+CL2633+CN2633+CP2633+CR2633+CT2633</f>
        <v>0</v>
      </c>
      <c r="CV2633" s="76"/>
      <c r="CW2633" s="76">
        <f>+CV2633*1100</f>
        <v>0</v>
      </c>
      <c r="CX2633" s="76"/>
      <c r="CY2633" s="76">
        <f>+CX2633*106250</f>
        <v>0</v>
      </c>
      <c r="CZ2633" s="76"/>
      <c r="DA2633" s="76">
        <f>+CZ2633*34500</f>
        <v>0</v>
      </c>
      <c r="DB2633" s="76"/>
      <c r="DC2633" s="76">
        <f>+DB2633*25000</f>
        <v>0</v>
      </c>
      <c r="DD2633" s="219"/>
      <c r="DE2633" s="219"/>
      <c r="DF2633" s="166"/>
      <c r="DG2633" s="116"/>
      <c r="DH2633" s="117"/>
      <c r="DI2633" s="24"/>
      <c r="DJ2633" s="24"/>
      <c r="DK2633" s="24"/>
      <c r="DL2633" s="24"/>
      <c r="DM2633" s="24"/>
      <c r="DN2633" s="24"/>
      <c r="DO2633" s="24"/>
      <c r="DP2633" s="24"/>
      <c r="DQ2633" s="24"/>
      <c r="DR2633" s="24"/>
      <c r="DS2633" s="24"/>
      <c r="DT2633" s="24"/>
      <c r="DU2633" s="24"/>
    </row>
    <row r="2634" spans="1:125" s="8" customFormat="1" ht="48" x14ac:dyDescent="0.2">
      <c r="A2634" s="77">
        <v>41492</v>
      </c>
      <c r="B2634" s="78" t="s">
        <v>2700</v>
      </c>
      <c r="C2634" s="75" t="s">
        <v>10</v>
      </c>
      <c r="D2634" s="75" t="s">
        <v>2846</v>
      </c>
      <c r="E2634" s="353" t="str">
        <f>VLOOKUP(B2634&amp;C2634,Divipola!$C$2:$F$1138,4,FALSE)</f>
        <v>15212</v>
      </c>
      <c r="F2634" s="87"/>
      <c r="G2634" s="87"/>
      <c r="H2634" s="87"/>
      <c r="I2634" s="87"/>
      <c r="J2634" s="87"/>
      <c r="K2634" s="87"/>
      <c r="L2634" s="87"/>
      <c r="M2634" s="87"/>
      <c r="N2634" s="87"/>
      <c r="O2634" s="87"/>
      <c r="P2634" s="87"/>
      <c r="Q2634" s="87"/>
      <c r="R2634" s="87"/>
      <c r="S2634" s="87"/>
      <c r="T2634" s="87"/>
      <c r="U2634" s="88"/>
      <c r="V2634" s="89"/>
      <c r="W2634" s="96">
        <v>0</v>
      </c>
      <c r="X2634" s="71">
        <f>CU2634</f>
        <v>0</v>
      </c>
      <c r="Y2634" s="71">
        <f>CY2634</f>
        <v>0</v>
      </c>
      <c r="Z2634" s="71">
        <f>DA2634+DC2634+DE2634</f>
        <v>0</v>
      </c>
      <c r="AA2634" s="71">
        <f>CW2634</f>
        <v>0</v>
      </c>
      <c r="AB2634" s="71"/>
      <c r="AC2634" s="71">
        <v>0</v>
      </c>
      <c r="AD2634" s="71">
        <f>W2634+X2634+Y2634+Z2634+AA2634+AB2634+AC2634</f>
        <v>0</v>
      </c>
      <c r="AE2634" s="72">
        <v>0</v>
      </c>
      <c r="AF2634" s="5"/>
      <c r="AG2634" s="6"/>
      <c r="AH2634" s="27"/>
      <c r="AI2634" s="44"/>
      <c r="AJ2634" s="26"/>
      <c r="AK2634" s="5"/>
      <c r="AL2634" s="82" t="s">
        <v>5542</v>
      </c>
      <c r="AM2634" s="76"/>
      <c r="AN2634" s="76"/>
      <c r="AO2634" s="76"/>
      <c r="AP2634" s="76"/>
      <c r="AQ2634" s="76"/>
      <c r="AR2634" s="76"/>
      <c r="AS2634" s="76"/>
      <c r="AT2634" s="76"/>
      <c r="AU2634" s="76"/>
      <c r="AV2634" s="76"/>
      <c r="AW2634" s="76"/>
      <c r="AX2634" s="76">
        <f>+AW2634*600000</f>
        <v>0</v>
      </c>
      <c r="AY2634" s="76"/>
      <c r="AZ2634" s="76">
        <f>+AY2634*70000</f>
        <v>0</v>
      </c>
      <c r="BA2634" s="76"/>
      <c r="BB2634" s="76"/>
      <c r="BC2634" s="76"/>
      <c r="BD2634" s="76">
        <f>+BC2634*30000</f>
        <v>0</v>
      </c>
      <c r="BE2634" s="76"/>
      <c r="BF2634" s="76"/>
      <c r="BG2634" s="76"/>
      <c r="BH2634" s="76"/>
      <c r="BI2634" s="76"/>
      <c r="BJ2634" s="76"/>
      <c r="BK2634" s="76"/>
      <c r="BL2634" s="76">
        <f>+BK2634*31500</f>
        <v>0</v>
      </c>
      <c r="BM2634" s="76"/>
      <c r="BN2634" s="76"/>
      <c r="BO2634" s="76"/>
      <c r="BP2634" s="76"/>
      <c r="BQ2634" s="76"/>
      <c r="BR2634" s="76"/>
      <c r="BS2634" s="76"/>
      <c r="BT2634" s="76"/>
      <c r="BU2634" s="76"/>
      <c r="BV2634" s="76"/>
      <c r="BW2634" s="76"/>
      <c r="BX2634" s="76"/>
      <c r="BY2634" s="76"/>
      <c r="BZ2634" s="76"/>
      <c r="CA2634" s="76"/>
      <c r="CB2634" s="76"/>
      <c r="CC2634" s="76"/>
      <c r="CD2634" s="76"/>
      <c r="CE2634" s="76"/>
      <c r="CF2634" s="76">
        <f>+CE2634*28000</f>
        <v>0</v>
      </c>
      <c r="CG2634" s="76"/>
      <c r="CH2634" s="76">
        <f>+CG2634*22500</f>
        <v>0</v>
      </c>
      <c r="CI2634" s="76"/>
      <c r="CJ2634" s="76">
        <f>+CI2634*26000</f>
        <v>0</v>
      </c>
      <c r="CK2634" s="76"/>
      <c r="CL2634" s="76"/>
      <c r="CM2634" s="76"/>
      <c r="CN2634" s="76">
        <f>+CM2634*22000</f>
        <v>0</v>
      </c>
      <c r="CO2634" s="76"/>
      <c r="CP2634" s="76">
        <f>+CO2634*46000</f>
        <v>0</v>
      </c>
      <c r="CQ2634" s="76"/>
      <c r="CR2634" s="76">
        <f>+CQ2634*49000</f>
        <v>0</v>
      </c>
      <c r="CS2634" s="76"/>
      <c r="CT2634" s="76"/>
      <c r="CU2634" s="56">
        <f>AN2634+AP2634+AR2634+AT2634+AV2634+AX2634+AZ2634+BB2634+BD2634+BF2634+BH2634+BJ2634+BL2634+BN2634+BP2634+BR2634+BT2634+BV2634+BX2634+BZ2634+CB2634+CD2634+CF2634+CH2634+CJ2634+CL2634+CN2634+CP2634+CR2634+CT2634</f>
        <v>0</v>
      </c>
      <c r="CV2634" s="76"/>
      <c r="CW2634" s="76">
        <f>+CV2634*1100</f>
        <v>0</v>
      </c>
      <c r="CX2634" s="76"/>
      <c r="CY2634" s="76">
        <f>+CX2634*106250</f>
        <v>0</v>
      </c>
      <c r="CZ2634" s="76"/>
      <c r="DA2634" s="76">
        <f>+CZ2634*34500</f>
        <v>0</v>
      </c>
      <c r="DB2634" s="76"/>
      <c r="DC2634" s="76">
        <f>+DB2634*25000</f>
        <v>0</v>
      </c>
      <c r="DD2634" s="219"/>
      <c r="DE2634" s="219"/>
      <c r="DF2634" s="166"/>
      <c r="DG2634" s="116"/>
      <c r="DH2634" s="117"/>
      <c r="DI2634" s="24"/>
      <c r="DJ2634" s="24"/>
      <c r="DK2634" s="24"/>
      <c r="DL2634" s="24"/>
      <c r="DM2634" s="24"/>
      <c r="DN2634" s="24"/>
      <c r="DO2634" s="24"/>
      <c r="DP2634" s="24"/>
      <c r="DQ2634" s="24"/>
      <c r="DR2634" s="24"/>
      <c r="DS2634" s="24"/>
      <c r="DT2634" s="24"/>
      <c r="DU2634" s="24"/>
    </row>
    <row r="2635" spans="1:125" s="8" customFormat="1" ht="36" x14ac:dyDescent="0.2">
      <c r="A2635" s="353">
        <v>41492</v>
      </c>
      <c r="B2635" s="352" t="s">
        <v>2700</v>
      </c>
      <c r="C2635" s="354" t="s">
        <v>1704</v>
      </c>
      <c r="D2635" s="354" t="s">
        <v>2846</v>
      </c>
      <c r="E2635" s="353" t="str">
        <f>VLOOKUP(B2635&amp;C2635,Divipola!$C$2:$F$1138,4,FALSE)</f>
        <v>15516</v>
      </c>
      <c r="F2635" s="87"/>
      <c r="G2635" s="87"/>
      <c r="H2635" s="87"/>
      <c r="I2635" s="87"/>
      <c r="J2635" s="87"/>
      <c r="K2635" s="87"/>
      <c r="L2635" s="87"/>
      <c r="M2635" s="87"/>
      <c r="N2635" s="87"/>
      <c r="O2635" s="87"/>
      <c r="P2635" s="87"/>
      <c r="Q2635" s="87"/>
      <c r="R2635" s="87"/>
      <c r="S2635" s="87"/>
      <c r="T2635" s="87"/>
      <c r="U2635" s="88">
        <v>12</v>
      </c>
      <c r="V2635" s="89"/>
      <c r="W2635" s="96">
        <v>0</v>
      </c>
      <c r="X2635" s="71">
        <f>CU2635</f>
        <v>0</v>
      </c>
      <c r="Y2635" s="71">
        <f>CY2635</f>
        <v>0</v>
      </c>
      <c r="Z2635" s="71">
        <f>DA2635+DC2635+DE2635</f>
        <v>0</v>
      </c>
      <c r="AA2635" s="71">
        <f>CW2635</f>
        <v>0</v>
      </c>
      <c r="AB2635" s="71"/>
      <c r="AC2635" s="71">
        <v>0</v>
      </c>
      <c r="AD2635" s="71">
        <f>W2635+X2635+Y2635+Z2635+AA2635+AB2635+AC2635</f>
        <v>0</v>
      </c>
      <c r="AE2635" s="72">
        <v>0</v>
      </c>
      <c r="AF2635" s="5"/>
      <c r="AG2635" s="6"/>
      <c r="AH2635" s="27"/>
      <c r="AI2635" s="44"/>
      <c r="AJ2635" s="26"/>
      <c r="AK2635" s="5"/>
      <c r="AL2635" s="82" t="s">
        <v>5571</v>
      </c>
      <c r="AM2635" s="76"/>
      <c r="AN2635" s="76"/>
      <c r="AO2635" s="76"/>
      <c r="AP2635" s="76"/>
      <c r="AQ2635" s="76"/>
      <c r="AR2635" s="76"/>
      <c r="AS2635" s="76"/>
      <c r="AT2635" s="76"/>
      <c r="AU2635" s="76"/>
      <c r="AV2635" s="76"/>
      <c r="AW2635" s="76"/>
      <c r="AX2635" s="76">
        <f>+AW2635*600000</f>
        <v>0</v>
      </c>
      <c r="AY2635" s="76"/>
      <c r="AZ2635" s="76">
        <f>+AY2635*70000</f>
        <v>0</v>
      </c>
      <c r="BA2635" s="76"/>
      <c r="BB2635" s="76"/>
      <c r="BC2635" s="76"/>
      <c r="BD2635" s="76">
        <f>+BC2635*30000</f>
        <v>0</v>
      </c>
      <c r="BE2635" s="76"/>
      <c r="BF2635" s="76"/>
      <c r="BG2635" s="76"/>
      <c r="BH2635" s="76"/>
      <c r="BI2635" s="76"/>
      <c r="BJ2635" s="76"/>
      <c r="BK2635" s="76"/>
      <c r="BL2635" s="76">
        <f>+BK2635*31500</f>
        <v>0</v>
      </c>
      <c r="BM2635" s="76"/>
      <c r="BN2635" s="76"/>
      <c r="BO2635" s="76"/>
      <c r="BP2635" s="76"/>
      <c r="BQ2635" s="76"/>
      <c r="BR2635" s="76"/>
      <c r="BS2635" s="76"/>
      <c r="BT2635" s="76"/>
      <c r="BU2635" s="76"/>
      <c r="BV2635" s="76"/>
      <c r="BW2635" s="76"/>
      <c r="BX2635" s="76"/>
      <c r="BY2635" s="76"/>
      <c r="BZ2635" s="76"/>
      <c r="CA2635" s="76"/>
      <c r="CB2635" s="76"/>
      <c r="CC2635" s="76"/>
      <c r="CD2635" s="76"/>
      <c r="CE2635" s="76"/>
      <c r="CF2635" s="76">
        <f>+CE2635*28000</f>
        <v>0</v>
      </c>
      <c r="CG2635" s="76"/>
      <c r="CH2635" s="76">
        <f>+CG2635*22500</f>
        <v>0</v>
      </c>
      <c r="CI2635" s="76"/>
      <c r="CJ2635" s="76">
        <f>+CI2635*26000</f>
        <v>0</v>
      </c>
      <c r="CK2635" s="76"/>
      <c r="CL2635" s="76"/>
      <c r="CM2635" s="76"/>
      <c r="CN2635" s="76">
        <f>+CM2635*22000</f>
        <v>0</v>
      </c>
      <c r="CO2635" s="76"/>
      <c r="CP2635" s="76">
        <f>+CO2635*46000</f>
        <v>0</v>
      </c>
      <c r="CQ2635" s="76"/>
      <c r="CR2635" s="76">
        <f>+CQ2635*49000</f>
        <v>0</v>
      </c>
      <c r="CS2635" s="76"/>
      <c r="CT2635" s="76"/>
      <c r="CU2635" s="56">
        <f>AN2635+AP2635+AR2635+AT2635+AV2635+AX2635+AZ2635+BB2635+BD2635+BF2635+BH2635+BJ2635+BL2635+BN2635+BP2635+BR2635+BT2635+BV2635+BX2635+BZ2635+CB2635+CD2635+CF2635+CH2635+CJ2635+CL2635+CN2635+CP2635+CR2635+CT2635</f>
        <v>0</v>
      </c>
      <c r="CV2635" s="76"/>
      <c r="CW2635" s="76">
        <f>+CV2635*1100</f>
        <v>0</v>
      </c>
      <c r="CX2635" s="76"/>
      <c r="CY2635" s="76">
        <f>+CX2635*106250</f>
        <v>0</v>
      </c>
      <c r="CZ2635" s="76"/>
      <c r="DA2635" s="76">
        <f>+CZ2635*34500</f>
        <v>0</v>
      </c>
      <c r="DB2635" s="76"/>
      <c r="DC2635" s="76">
        <f>+DB2635*25000</f>
        <v>0</v>
      </c>
      <c r="DD2635" s="219"/>
      <c r="DE2635" s="219"/>
      <c r="DF2635" s="166"/>
      <c r="DG2635" s="116"/>
      <c r="DH2635" s="117"/>
      <c r="DI2635" s="24"/>
      <c r="DJ2635" s="24"/>
      <c r="DK2635" s="24"/>
      <c r="DL2635" s="24"/>
      <c r="DM2635" s="24"/>
      <c r="DN2635" s="24"/>
      <c r="DO2635" s="24"/>
      <c r="DP2635" s="24"/>
      <c r="DQ2635" s="24"/>
      <c r="DR2635" s="24"/>
      <c r="DS2635" s="24"/>
      <c r="DT2635" s="24"/>
      <c r="DU2635" s="24"/>
    </row>
    <row r="2636" spans="1:125" s="8" customFormat="1" ht="60" x14ac:dyDescent="0.2">
      <c r="A2636" s="226">
        <v>41492</v>
      </c>
      <c r="B2636" s="352" t="s">
        <v>2700</v>
      </c>
      <c r="C2636" s="227" t="s">
        <v>2813</v>
      </c>
      <c r="D2636" s="354" t="s">
        <v>2846</v>
      </c>
      <c r="E2636" s="353" t="str">
        <f>VLOOKUP(B2636&amp;C2636,Divipola!$C$2:$F$1138,4,FALSE)</f>
        <v>15600</v>
      </c>
      <c r="F2636" s="87"/>
      <c r="G2636" s="87"/>
      <c r="H2636" s="87"/>
      <c r="I2636" s="87"/>
      <c r="J2636" s="87"/>
      <c r="K2636" s="87"/>
      <c r="L2636" s="87"/>
      <c r="M2636" s="87"/>
      <c r="N2636" s="87"/>
      <c r="O2636" s="87"/>
      <c r="P2636" s="87"/>
      <c r="Q2636" s="87"/>
      <c r="R2636" s="87"/>
      <c r="S2636" s="87"/>
      <c r="T2636" s="87"/>
      <c r="U2636" s="88">
        <v>2</v>
      </c>
      <c r="V2636" s="89"/>
      <c r="W2636" s="96">
        <v>0</v>
      </c>
      <c r="X2636" s="71">
        <f>CU2636</f>
        <v>0</v>
      </c>
      <c r="Y2636" s="71">
        <f>CY2636</f>
        <v>0</v>
      </c>
      <c r="Z2636" s="71">
        <f>DA2636+DC2636+DE2636</f>
        <v>0</v>
      </c>
      <c r="AA2636" s="71">
        <f>CW2636</f>
        <v>0</v>
      </c>
      <c r="AB2636" s="71"/>
      <c r="AC2636" s="71">
        <v>0</v>
      </c>
      <c r="AD2636" s="71">
        <f>W2636+X2636+Y2636+Z2636+AA2636+AB2636+AC2636</f>
        <v>0</v>
      </c>
      <c r="AE2636" s="72">
        <v>0</v>
      </c>
      <c r="AF2636" s="5"/>
      <c r="AG2636" s="6"/>
      <c r="AH2636" s="27"/>
      <c r="AI2636" s="44"/>
      <c r="AJ2636" s="26"/>
      <c r="AK2636" s="5"/>
      <c r="AL2636" s="82" t="s">
        <v>5531</v>
      </c>
      <c r="AM2636" s="76"/>
      <c r="AN2636" s="76"/>
      <c r="AO2636" s="76"/>
      <c r="AP2636" s="76"/>
      <c r="AQ2636" s="76"/>
      <c r="AR2636" s="76"/>
      <c r="AS2636" s="76"/>
      <c r="AT2636" s="76"/>
      <c r="AU2636" s="76"/>
      <c r="AV2636" s="76"/>
      <c r="AW2636" s="76"/>
      <c r="AX2636" s="76">
        <f>+AW2636*600000</f>
        <v>0</v>
      </c>
      <c r="AY2636" s="76"/>
      <c r="AZ2636" s="76">
        <f>+AY2636*70000</f>
        <v>0</v>
      </c>
      <c r="BA2636" s="76"/>
      <c r="BB2636" s="76"/>
      <c r="BC2636" s="76"/>
      <c r="BD2636" s="76">
        <f>+BC2636*30000</f>
        <v>0</v>
      </c>
      <c r="BE2636" s="76"/>
      <c r="BF2636" s="76"/>
      <c r="BG2636" s="76"/>
      <c r="BH2636" s="76"/>
      <c r="BI2636" s="76"/>
      <c r="BJ2636" s="76"/>
      <c r="BK2636" s="76"/>
      <c r="BL2636" s="76">
        <f>+BK2636*31500</f>
        <v>0</v>
      </c>
      <c r="BM2636" s="76"/>
      <c r="BN2636" s="76"/>
      <c r="BO2636" s="76"/>
      <c r="BP2636" s="76"/>
      <c r="BQ2636" s="76"/>
      <c r="BR2636" s="76"/>
      <c r="BS2636" s="76"/>
      <c r="BT2636" s="76"/>
      <c r="BU2636" s="76"/>
      <c r="BV2636" s="76"/>
      <c r="BW2636" s="76"/>
      <c r="BX2636" s="76"/>
      <c r="BY2636" s="76"/>
      <c r="BZ2636" s="76"/>
      <c r="CA2636" s="76"/>
      <c r="CB2636" s="76"/>
      <c r="CC2636" s="76"/>
      <c r="CD2636" s="76"/>
      <c r="CE2636" s="76"/>
      <c r="CF2636" s="76">
        <f>+CE2636*28000</f>
        <v>0</v>
      </c>
      <c r="CG2636" s="76"/>
      <c r="CH2636" s="76">
        <f>+CG2636*22500</f>
        <v>0</v>
      </c>
      <c r="CI2636" s="76"/>
      <c r="CJ2636" s="76">
        <f>+CI2636*26000</f>
        <v>0</v>
      </c>
      <c r="CK2636" s="76"/>
      <c r="CL2636" s="76"/>
      <c r="CM2636" s="76"/>
      <c r="CN2636" s="76">
        <f>+CM2636*22000</f>
        <v>0</v>
      </c>
      <c r="CO2636" s="76"/>
      <c r="CP2636" s="76">
        <f>+CO2636*46000</f>
        <v>0</v>
      </c>
      <c r="CQ2636" s="76"/>
      <c r="CR2636" s="76">
        <f>+CQ2636*49000</f>
        <v>0</v>
      </c>
      <c r="CS2636" s="76"/>
      <c r="CT2636" s="76"/>
      <c r="CU2636" s="56">
        <f>AN2636+AP2636+AR2636+AT2636+AV2636+AX2636+AZ2636+BB2636+BD2636+BF2636+BH2636+BJ2636+BL2636+BN2636+BP2636+BR2636+BT2636+BV2636+BX2636+BZ2636+CB2636+CD2636+CF2636+CH2636+CJ2636+CL2636+CN2636+CP2636+CR2636+CT2636</f>
        <v>0</v>
      </c>
      <c r="CV2636" s="76"/>
      <c r="CW2636" s="76">
        <f>+CV2636*1100</f>
        <v>0</v>
      </c>
      <c r="CX2636" s="76"/>
      <c r="CY2636" s="76">
        <f>+CX2636*106250</f>
        <v>0</v>
      </c>
      <c r="CZ2636" s="76"/>
      <c r="DA2636" s="76">
        <f>+CZ2636*34500</f>
        <v>0</v>
      </c>
      <c r="DB2636" s="76"/>
      <c r="DC2636" s="76">
        <f>+DB2636*25000</f>
        <v>0</v>
      </c>
      <c r="DD2636" s="219"/>
      <c r="DE2636" s="219"/>
      <c r="DF2636" s="166"/>
      <c r="DG2636" s="116"/>
      <c r="DH2636" s="117"/>
      <c r="DI2636" s="24"/>
      <c r="DJ2636" s="24"/>
      <c r="DK2636" s="24"/>
      <c r="DL2636" s="24"/>
      <c r="DM2636" s="24"/>
      <c r="DN2636" s="24"/>
      <c r="DO2636" s="24"/>
      <c r="DP2636" s="24"/>
      <c r="DQ2636" s="24"/>
      <c r="DR2636" s="24"/>
      <c r="DS2636" s="24"/>
      <c r="DT2636" s="24"/>
      <c r="DU2636" s="24"/>
    </row>
    <row r="2637" spans="1:125" s="8" customFormat="1" ht="60" x14ac:dyDescent="0.2">
      <c r="A2637" s="353">
        <v>41492</v>
      </c>
      <c r="B2637" s="352" t="s">
        <v>2700</v>
      </c>
      <c r="C2637" s="354" t="s">
        <v>1708</v>
      </c>
      <c r="D2637" s="354" t="s">
        <v>2846</v>
      </c>
      <c r="E2637" s="353" t="str">
        <f>VLOOKUP(B2637&amp;C2637,Divipola!$C$2:$F$1138,4,FALSE)</f>
        <v>15676</v>
      </c>
      <c r="F2637" s="87"/>
      <c r="G2637" s="87"/>
      <c r="H2637" s="87"/>
      <c r="I2637" s="87"/>
      <c r="J2637" s="87"/>
      <c r="K2637" s="87"/>
      <c r="L2637" s="87"/>
      <c r="M2637" s="87"/>
      <c r="N2637" s="87"/>
      <c r="O2637" s="87"/>
      <c r="P2637" s="87"/>
      <c r="Q2637" s="87"/>
      <c r="R2637" s="87"/>
      <c r="S2637" s="87"/>
      <c r="T2637" s="87"/>
      <c r="U2637" s="88">
        <v>3</v>
      </c>
      <c r="V2637" s="89"/>
      <c r="W2637" s="96">
        <v>0</v>
      </c>
      <c r="X2637" s="71">
        <f>CU2637</f>
        <v>0</v>
      </c>
      <c r="Y2637" s="71">
        <f>CY2637</f>
        <v>0</v>
      </c>
      <c r="Z2637" s="71">
        <f>DA2637+DC2637+DE2637</f>
        <v>0</v>
      </c>
      <c r="AA2637" s="71">
        <f>CW2637</f>
        <v>0</v>
      </c>
      <c r="AB2637" s="71"/>
      <c r="AC2637" s="71">
        <v>0</v>
      </c>
      <c r="AD2637" s="71">
        <f>W2637+X2637+Y2637+Z2637+AA2637+AB2637+AC2637</f>
        <v>0</v>
      </c>
      <c r="AE2637" s="72">
        <v>0</v>
      </c>
      <c r="AF2637" s="5"/>
      <c r="AG2637" s="6"/>
      <c r="AH2637" s="27"/>
      <c r="AI2637" s="44"/>
      <c r="AJ2637" s="26"/>
      <c r="AK2637" s="5"/>
      <c r="AL2637" s="82" t="s">
        <v>5532</v>
      </c>
      <c r="AM2637" s="76"/>
      <c r="AN2637" s="76"/>
      <c r="AO2637" s="76"/>
      <c r="AP2637" s="76"/>
      <c r="AQ2637" s="76"/>
      <c r="AR2637" s="76"/>
      <c r="AS2637" s="76"/>
      <c r="AT2637" s="76"/>
      <c r="AU2637" s="76"/>
      <c r="AV2637" s="76"/>
      <c r="AW2637" s="76"/>
      <c r="AX2637" s="76">
        <f>+AW2637*600000</f>
        <v>0</v>
      </c>
      <c r="AY2637" s="76"/>
      <c r="AZ2637" s="76">
        <f>+AY2637*70000</f>
        <v>0</v>
      </c>
      <c r="BA2637" s="76"/>
      <c r="BB2637" s="76"/>
      <c r="BC2637" s="76"/>
      <c r="BD2637" s="76">
        <f>+BC2637*30000</f>
        <v>0</v>
      </c>
      <c r="BE2637" s="76"/>
      <c r="BF2637" s="76"/>
      <c r="BG2637" s="76"/>
      <c r="BH2637" s="76"/>
      <c r="BI2637" s="76"/>
      <c r="BJ2637" s="76"/>
      <c r="BK2637" s="76"/>
      <c r="BL2637" s="76">
        <f>+BK2637*31500</f>
        <v>0</v>
      </c>
      <c r="BM2637" s="76"/>
      <c r="BN2637" s="76"/>
      <c r="BO2637" s="76"/>
      <c r="BP2637" s="76"/>
      <c r="BQ2637" s="76"/>
      <c r="BR2637" s="76"/>
      <c r="BS2637" s="76"/>
      <c r="BT2637" s="76"/>
      <c r="BU2637" s="76"/>
      <c r="BV2637" s="76"/>
      <c r="BW2637" s="76"/>
      <c r="BX2637" s="76"/>
      <c r="BY2637" s="76"/>
      <c r="BZ2637" s="76"/>
      <c r="CA2637" s="76"/>
      <c r="CB2637" s="76"/>
      <c r="CC2637" s="76"/>
      <c r="CD2637" s="76"/>
      <c r="CE2637" s="76"/>
      <c r="CF2637" s="76">
        <f>+CE2637*28000</f>
        <v>0</v>
      </c>
      <c r="CG2637" s="76"/>
      <c r="CH2637" s="76">
        <f>+CG2637*22500</f>
        <v>0</v>
      </c>
      <c r="CI2637" s="76"/>
      <c r="CJ2637" s="76">
        <f>+CI2637*26000</f>
        <v>0</v>
      </c>
      <c r="CK2637" s="76"/>
      <c r="CL2637" s="76"/>
      <c r="CM2637" s="76"/>
      <c r="CN2637" s="76">
        <f>+CM2637*22000</f>
        <v>0</v>
      </c>
      <c r="CO2637" s="76"/>
      <c r="CP2637" s="76">
        <f>+CO2637*46000</f>
        <v>0</v>
      </c>
      <c r="CQ2637" s="76"/>
      <c r="CR2637" s="76">
        <f>+CQ2637*49000</f>
        <v>0</v>
      </c>
      <c r="CS2637" s="76"/>
      <c r="CT2637" s="76"/>
      <c r="CU2637" s="56">
        <f>AN2637+AP2637+AR2637+AT2637+AV2637+AX2637+AZ2637+BB2637+BD2637+BF2637+BH2637+BJ2637+BL2637+BN2637+BP2637+BR2637+BT2637+BV2637+BX2637+BZ2637+CB2637+CD2637+CF2637+CH2637+CJ2637+CL2637+CN2637+CP2637+CR2637+CT2637</f>
        <v>0</v>
      </c>
      <c r="CV2637" s="76"/>
      <c r="CW2637" s="76">
        <f>+CV2637*1100</f>
        <v>0</v>
      </c>
      <c r="CX2637" s="76"/>
      <c r="CY2637" s="76">
        <f>+CX2637*106250</f>
        <v>0</v>
      </c>
      <c r="CZ2637" s="76"/>
      <c r="DA2637" s="76">
        <f>+CZ2637*34500</f>
        <v>0</v>
      </c>
      <c r="DB2637" s="76"/>
      <c r="DC2637" s="76">
        <f>+DB2637*25000</f>
        <v>0</v>
      </c>
      <c r="DD2637" s="219"/>
      <c r="DE2637" s="219"/>
      <c r="DF2637" s="166"/>
      <c r="DG2637" s="116"/>
      <c r="DH2637" s="117"/>
      <c r="DI2637" s="24"/>
      <c r="DJ2637" s="24"/>
      <c r="DK2637" s="24"/>
      <c r="DL2637" s="24"/>
      <c r="DM2637" s="24"/>
      <c r="DN2637" s="24"/>
      <c r="DO2637" s="24"/>
      <c r="DP2637" s="24"/>
      <c r="DQ2637" s="24"/>
      <c r="DR2637" s="24"/>
      <c r="DS2637" s="24"/>
      <c r="DT2637" s="24"/>
      <c r="DU2637" s="24"/>
    </row>
    <row r="2638" spans="1:125" s="8" customFormat="1" ht="36" x14ac:dyDescent="0.2">
      <c r="A2638" s="353">
        <v>41492</v>
      </c>
      <c r="B2638" s="225" t="s">
        <v>2700</v>
      </c>
      <c r="C2638" s="227" t="s">
        <v>685</v>
      </c>
      <c r="D2638" s="227" t="s">
        <v>2846</v>
      </c>
      <c r="E2638" s="353" t="str">
        <f>VLOOKUP(B2638&amp;C2638,Divipola!$C$2:$F$1138,4,FALSE)</f>
        <v>15774</v>
      </c>
      <c r="F2638" s="87"/>
      <c r="G2638" s="87"/>
      <c r="H2638" s="87"/>
      <c r="I2638" s="87"/>
      <c r="J2638" s="87"/>
      <c r="K2638" s="87"/>
      <c r="L2638" s="87"/>
      <c r="M2638" s="87"/>
      <c r="N2638" s="87"/>
      <c r="O2638" s="87"/>
      <c r="P2638" s="87"/>
      <c r="Q2638" s="87"/>
      <c r="R2638" s="87"/>
      <c r="S2638" s="87"/>
      <c r="T2638" s="87"/>
      <c r="U2638" s="88">
        <v>40</v>
      </c>
      <c r="V2638" s="89"/>
      <c r="W2638" s="96">
        <v>0</v>
      </c>
      <c r="X2638" s="71">
        <f>CU2638</f>
        <v>0</v>
      </c>
      <c r="Y2638" s="71">
        <f>CY2638</f>
        <v>0</v>
      </c>
      <c r="Z2638" s="71">
        <f>DA2638+DC2638+DE2638</f>
        <v>0</v>
      </c>
      <c r="AA2638" s="71">
        <f>CW2638</f>
        <v>0</v>
      </c>
      <c r="AB2638" s="71"/>
      <c r="AC2638" s="71">
        <v>0</v>
      </c>
      <c r="AD2638" s="71">
        <f>W2638+X2638+Y2638+Z2638+AA2638+AB2638+AC2638</f>
        <v>0</v>
      </c>
      <c r="AE2638" s="72">
        <v>0</v>
      </c>
      <c r="AF2638" s="5"/>
      <c r="AG2638" s="6"/>
      <c r="AH2638" s="27"/>
      <c r="AI2638" s="44"/>
      <c r="AJ2638" s="26"/>
      <c r="AK2638" s="5"/>
      <c r="AL2638" s="82" t="s">
        <v>5570</v>
      </c>
      <c r="AM2638" s="76"/>
      <c r="AN2638" s="76"/>
      <c r="AO2638" s="76"/>
      <c r="AP2638" s="76"/>
      <c r="AQ2638" s="76"/>
      <c r="AR2638" s="76"/>
      <c r="AS2638" s="76"/>
      <c r="AT2638" s="76"/>
      <c r="AU2638" s="76"/>
      <c r="AV2638" s="76"/>
      <c r="AW2638" s="76"/>
      <c r="AX2638" s="76">
        <f>+AW2638*600000</f>
        <v>0</v>
      </c>
      <c r="AY2638" s="76"/>
      <c r="AZ2638" s="76">
        <f>+AY2638*70000</f>
        <v>0</v>
      </c>
      <c r="BA2638" s="76"/>
      <c r="BB2638" s="76"/>
      <c r="BC2638" s="76"/>
      <c r="BD2638" s="76">
        <f>+BC2638*30000</f>
        <v>0</v>
      </c>
      <c r="BE2638" s="76"/>
      <c r="BF2638" s="76"/>
      <c r="BG2638" s="76"/>
      <c r="BH2638" s="76"/>
      <c r="BI2638" s="76"/>
      <c r="BJ2638" s="76"/>
      <c r="BK2638" s="76"/>
      <c r="BL2638" s="76">
        <f>+BK2638*31500</f>
        <v>0</v>
      </c>
      <c r="BM2638" s="76"/>
      <c r="BN2638" s="76"/>
      <c r="BO2638" s="76"/>
      <c r="BP2638" s="76"/>
      <c r="BQ2638" s="76"/>
      <c r="BR2638" s="76"/>
      <c r="BS2638" s="76"/>
      <c r="BT2638" s="76"/>
      <c r="BU2638" s="76"/>
      <c r="BV2638" s="76"/>
      <c r="BW2638" s="76"/>
      <c r="BX2638" s="76"/>
      <c r="BY2638" s="76"/>
      <c r="BZ2638" s="76"/>
      <c r="CA2638" s="76"/>
      <c r="CB2638" s="76"/>
      <c r="CC2638" s="76"/>
      <c r="CD2638" s="76"/>
      <c r="CE2638" s="76"/>
      <c r="CF2638" s="76">
        <f>+CE2638*28000</f>
        <v>0</v>
      </c>
      <c r="CG2638" s="76"/>
      <c r="CH2638" s="76">
        <f>+CG2638*22500</f>
        <v>0</v>
      </c>
      <c r="CI2638" s="76"/>
      <c r="CJ2638" s="76">
        <f>+CI2638*26000</f>
        <v>0</v>
      </c>
      <c r="CK2638" s="76"/>
      <c r="CL2638" s="76"/>
      <c r="CM2638" s="76"/>
      <c r="CN2638" s="76">
        <f>+CM2638*22000</f>
        <v>0</v>
      </c>
      <c r="CO2638" s="76"/>
      <c r="CP2638" s="76">
        <f>+CO2638*46000</f>
        <v>0</v>
      </c>
      <c r="CQ2638" s="76"/>
      <c r="CR2638" s="76">
        <f>+CQ2638*49000</f>
        <v>0</v>
      </c>
      <c r="CS2638" s="76"/>
      <c r="CT2638" s="76"/>
      <c r="CU2638" s="56">
        <f>AN2638+AP2638+AR2638+AT2638+AV2638+AX2638+AZ2638+BB2638+BD2638+BF2638+BH2638+BJ2638+BL2638+BN2638+BP2638+BR2638+BT2638+BV2638+BX2638+BZ2638+CB2638+CD2638+CF2638+CH2638+CJ2638+CL2638+CN2638+CP2638+CR2638+CT2638</f>
        <v>0</v>
      </c>
      <c r="CV2638" s="76"/>
      <c r="CW2638" s="76">
        <f>+CV2638*1100</f>
        <v>0</v>
      </c>
      <c r="CX2638" s="76"/>
      <c r="CY2638" s="76">
        <f>+CX2638*106250</f>
        <v>0</v>
      </c>
      <c r="CZ2638" s="76"/>
      <c r="DA2638" s="76">
        <f>+CZ2638*34500</f>
        <v>0</v>
      </c>
      <c r="DB2638" s="76"/>
      <c r="DC2638" s="76">
        <f>+DB2638*25000</f>
        <v>0</v>
      </c>
      <c r="DD2638" s="219"/>
      <c r="DE2638" s="219"/>
      <c r="DF2638" s="166"/>
      <c r="DG2638" s="116"/>
      <c r="DH2638" s="117"/>
      <c r="DI2638" s="24"/>
      <c r="DJ2638" s="24"/>
      <c r="DK2638" s="24"/>
      <c r="DL2638" s="24"/>
      <c r="DM2638" s="24"/>
      <c r="DN2638" s="24"/>
      <c r="DO2638" s="24"/>
      <c r="DP2638" s="24"/>
      <c r="DQ2638" s="24"/>
      <c r="DR2638" s="24"/>
      <c r="DS2638" s="24"/>
      <c r="DT2638" s="24"/>
      <c r="DU2638" s="24"/>
    </row>
    <row r="2639" spans="1:125" s="8" customFormat="1" ht="48" x14ac:dyDescent="0.2">
      <c r="A2639" s="353">
        <v>41492</v>
      </c>
      <c r="B2639" s="225" t="s">
        <v>2854</v>
      </c>
      <c r="C2639" s="227" t="s">
        <v>2738</v>
      </c>
      <c r="D2639" s="354" t="s">
        <v>2846</v>
      </c>
      <c r="E2639" s="353" t="str">
        <f>VLOOKUP(B2639&amp;C2639,Divipola!$C$2:$F$1138,4,FALSE)</f>
        <v>19473</v>
      </c>
      <c r="F2639" s="87"/>
      <c r="G2639" s="87"/>
      <c r="H2639" s="87"/>
      <c r="I2639" s="87"/>
      <c r="J2639" s="87"/>
      <c r="K2639" s="87"/>
      <c r="L2639" s="87"/>
      <c r="M2639" s="87"/>
      <c r="N2639" s="87"/>
      <c r="O2639" s="87"/>
      <c r="P2639" s="87"/>
      <c r="Q2639" s="87"/>
      <c r="R2639" s="87"/>
      <c r="S2639" s="87"/>
      <c r="T2639" s="87"/>
      <c r="U2639" s="88">
        <v>1</v>
      </c>
      <c r="V2639" s="89"/>
      <c r="W2639" s="96">
        <v>0</v>
      </c>
      <c r="X2639" s="71">
        <f>CU2639</f>
        <v>0</v>
      </c>
      <c r="Y2639" s="71">
        <f>CY2639</f>
        <v>0</v>
      </c>
      <c r="Z2639" s="71">
        <f>DA2639+DC2639+DE2639</f>
        <v>0</v>
      </c>
      <c r="AA2639" s="71">
        <f>CW2639</f>
        <v>0</v>
      </c>
      <c r="AB2639" s="71"/>
      <c r="AC2639" s="71">
        <v>0</v>
      </c>
      <c r="AD2639" s="71">
        <f>W2639+X2639+Y2639+Z2639+AA2639+AB2639+AC2639</f>
        <v>0</v>
      </c>
      <c r="AE2639" s="72">
        <v>0</v>
      </c>
      <c r="AF2639" s="5"/>
      <c r="AG2639" s="6"/>
      <c r="AH2639" s="27"/>
      <c r="AI2639" s="44"/>
      <c r="AJ2639" s="26"/>
      <c r="AK2639" s="5"/>
      <c r="AL2639" s="82" t="s">
        <v>5539</v>
      </c>
      <c r="AM2639" s="76"/>
      <c r="AN2639" s="76"/>
      <c r="AO2639" s="76"/>
      <c r="AP2639" s="76"/>
      <c r="AQ2639" s="76"/>
      <c r="AR2639" s="76"/>
      <c r="AS2639" s="76"/>
      <c r="AT2639" s="76"/>
      <c r="AU2639" s="76"/>
      <c r="AV2639" s="76"/>
      <c r="AW2639" s="76"/>
      <c r="AX2639" s="76">
        <f>+AW2639*600000</f>
        <v>0</v>
      </c>
      <c r="AY2639" s="76"/>
      <c r="AZ2639" s="76">
        <f>+AY2639*70000</f>
        <v>0</v>
      </c>
      <c r="BA2639" s="76"/>
      <c r="BB2639" s="76"/>
      <c r="BC2639" s="76"/>
      <c r="BD2639" s="76">
        <f>+BC2639*30000</f>
        <v>0</v>
      </c>
      <c r="BE2639" s="76"/>
      <c r="BF2639" s="76"/>
      <c r="BG2639" s="76"/>
      <c r="BH2639" s="76"/>
      <c r="BI2639" s="76"/>
      <c r="BJ2639" s="76"/>
      <c r="BK2639" s="76"/>
      <c r="BL2639" s="76">
        <f>+BK2639*31500</f>
        <v>0</v>
      </c>
      <c r="BM2639" s="76"/>
      <c r="BN2639" s="76"/>
      <c r="BO2639" s="76"/>
      <c r="BP2639" s="76"/>
      <c r="BQ2639" s="76"/>
      <c r="BR2639" s="76"/>
      <c r="BS2639" s="76"/>
      <c r="BT2639" s="76"/>
      <c r="BU2639" s="76"/>
      <c r="BV2639" s="76"/>
      <c r="BW2639" s="76"/>
      <c r="BX2639" s="76"/>
      <c r="BY2639" s="76"/>
      <c r="BZ2639" s="76"/>
      <c r="CA2639" s="76"/>
      <c r="CB2639" s="76"/>
      <c r="CC2639" s="76"/>
      <c r="CD2639" s="76"/>
      <c r="CE2639" s="76"/>
      <c r="CF2639" s="76">
        <f>+CE2639*28000</f>
        <v>0</v>
      </c>
      <c r="CG2639" s="76"/>
      <c r="CH2639" s="76">
        <f>+CG2639*22500</f>
        <v>0</v>
      </c>
      <c r="CI2639" s="76"/>
      <c r="CJ2639" s="76">
        <f>+CI2639*26000</f>
        <v>0</v>
      </c>
      <c r="CK2639" s="76"/>
      <c r="CL2639" s="76"/>
      <c r="CM2639" s="76"/>
      <c r="CN2639" s="76">
        <f>+CM2639*22000</f>
        <v>0</v>
      </c>
      <c r="CO2639" s="76"/>
      <c r="CP2639" s="76">
        <f>+CO2639*46000</f>
        <v>0</v>
      </c>
      <c r="CQ2639" s="76"/>
      <c r="CR2639" s="76">
        <f>+CQ2639*49000</f>
        <v>0</v>
      </c>
      <c r="CS2639" s="76"/>
      <c r="CT2639" s="76"/>
      <c r="CU2639" s="56">
        <f>AN2639+AP2639+AR2639+AT2639+AV2639+AX2639+AZ2639+BB2639+BD2639+BF2639+BH2639+BJ2639+BL2639+BN2639+BP2639+BR2639+BT2639+BV2639+BX2639+BZ2639+CB2639+CD2639+CF2639+CH2639+CJ2639+CL2639+CN2639+CP2639+CR2639+CT2639</f>
        <v>0</v>
      </c>
      <c r="CV2639" s="76"/>
      <c r="CW2639" s="76">
        <f>+CV2639*1100</f>
        <v>0</v>
      </c>
      <c r="CX2639" s="76"/>
      <c r="CY2639" s="76">
        <f>+CX2639*106250</f>
        <v>0</v>
      </c>
      <c r="CZ2639" s="76"/>
      <c r="DA2639" s="76">
        <f>+CZ2639*34500</f>
        <v>0</v>
      </c>
      <c r="DB2639" s="76"/>
      <c r="DC2639" s="76">
        <f>+DB2639*25000</f>
        <v>0</v>
      </c>
      <c r="DD2639" s="219"/>
      <c r="DE2639" s="219"/>
      <c r="DF2639" s="166"/>
      <c r="DG2639" s="116"/>
      <c r="DH2639" s="117"/>
      <c r="DI2639" s="24"/>
      <c r="DJ2639" s="24"/>
      <c r="DK2639" s="24"/>
      <c r="DL2639" s="24"/>
      <c r="DM2639" s="24"/>
      <c r="DN2639" s="24"/>
      <c r="DO2639" s="24"/>
      <c r="DP2639" s="24"/>
      <c r="DQ2639" s="24"/>
      <c r="DR2639" s="24"/>
      <c r="DS2639" s="24"/>
      <c r="DT2639" s="24"/>
      <c r="DU2639" s="24"/>
    </row>
    <row r="2640" spans="1:125" s="8" customFormat="1" ht="60" x14ac:dyDescent="0.2">
      <c r="A2640" s="353">
        <v>41492</v>
      </c>
      <c r="B2640" s="352" t="s">
        <v>2854</v>
      </c>
      <c r="C2640" s="354" t="s">
        <v>2731</v>
      </c>
      <c r="D2640" s="354" t="s">
        <v>2846</v>
      </c>
      <c r="E2640" s="353" t="str">
        <f>VLOOKUP(B2640&amp;C2640,Divipola!$C$2:$F$1138,4,FALSE)</f>
        <v>19001</v>
      </c>
      <c r="F2640" s="87"/>
      <c r="G2640" s="87"/>
      <c r="H2640" s="87"/>
      <c r="I2640" s="87"/>
      <c r="J2640" s="87"/>
      <c r="K2640" s="87"/>
      <c r="L2640" s="87"/>
      <c r="M2640" s="87"/>
      <c r="N2640" s="87"/>
      <c r="O2640" s="87"/>
      <c r="P2640" s="87"/>
      <c r="Q2640" s="87"/>
      <c r="R2640" s="87"/>
      <c r="S2640" s="87"/>
      <c r="T2640" s="87"/>
      <c r="U2640" s="88">
        <v>40</v>
      </c>
      <c r="V2640" s="89"/>
      <c r="W2640" s="96">
        <v>0</v>
      </c>
      <c r="X2640" s="71">
        <f>CU2640</f>
        <v>0</v>
      </c>
      <c r="Y2640" s="71">
        <f>CY2640</f>
        <v>0</v>
      </c>
      <c r="Z2640" s="71">
        <f>DA2640+DC2640+DE2640</f>
        <v>0</v>
      </c>
      <c r="AA2640" s="71">
        <f>CW2640</f>
        <v>0</v>
      </c>
      <c r="AB2640" s="71"/>
      <c r="AC2640" s="71">
        <v>0</v>
      </c>
      <c r="AD2640" s="71">
        <f>W2640+X2640+Y2640+Z2640+AA2640+AB2640+AC2640</f>
        <v>0</v>
      </c>
      <c r="AE2640" s="72">
        <v>0</v>
      </c>
      <c r="AF2640" s="5"/>
      <c r="AG2640" s="6"/>
      <c r="AH2640" s="27"/>
      <c r="AI2640" s="44"/>
      <c r="AJ2640" s="26"/>
      <c r="AK2640" s="5"/>
      <c r="AL2640" s="82" t="s">
        <v>5540</v>
      </c>
      <c r="AM2640" s="76"/>
      <c r="AN2640" s="76"/>
      <c r="AO2640" s="76"/>
      <c r="AP2640" s="76"/>
      <c r="AQ2640" s="76"/>
      <c r="AR2640" s="76"/>
      <c r="AS2640" s="76"/>
      <c r="AT2640" s="76"/>
      <c r="AU2640" s="76"/>
      <c r="AV2640" s="76"/>
      <c r="AW2640" s="76"/>
      <c r="AX2640" s="76">
        <f>+AW2640*600000</f>
        <v>0</v>
      </c>
      <c r="AY2640" s="76"/>
      <c r="AZ2640" s="76">
        <f>+AY2640*70000</f>
        <v>0</v>
      </c>
      <c r="BA2640" s="76"/>
      <c r="BB2640" s="76"/>
      <c r="BC2640" s="76"/>
      <c r="BD2640" s="76">
        <f>+BC2640*30000</f>
        <v>0</v>
      </c>
      <c r="BE2640" s="76"/>
      <c r="BF2640" s="76"/>
      <c r="BG2640" s="76"/>
      <c r="BH2640" s="76"/>
      <c r="BI2640" s="76"/>
      <c r="BJ2640" s="76"/>
      <c r="BK2640" s="76"/>
      <c r="BL2640" s="76">
        <f>+BK2640*31500</f>
        <v>0</v>
      </c>
      <c r="BM2640" s="76"/>
      <c r="BN2640" s="76"/>
      <c r="BO2640" s="76"/>
      <c r="BP2640" s="76"/>
      <c r="BQ2640" s="76"/>
      <c r="BR2640" s="76"/>
      <c r="BS2640" s="76"/>
      <c r="BT2640" s="76"/>
      <c r="BU2640" s="76"/>
      <c r="BV2640" s="76"/>
      <c r="BW2640" s="76"/>
      <c r="BX2640" s="76"/>
      <c r="BY2640" s="76"/>
      <c r="BZ2640" s="76"/>
      <c r="CA2640" s="76"/>
      <c r="CB2640" s="76"/>
      <c r="CC2640" s="76"/>
      <c r="CD2640" s="76"/>
      <c r="CE2640" s="76"/>
      <c r="CF2640" s="76">
        <f>+CE2640*28000</f>
        <v>0</v>
      </c>
      <c r="CG2640" s="76"/>
      <c r="CH2640" s="76">
        <f>+CG2640*22500</f>
        <v>0</v>
      </c>
      <c r="CI2640" s="76"/>
      <c r="CJ2640" s="76">
        <f>+CI2640*26000</f>
        <v>0</v>
      </c>
      <c r="CK2640" s="76"/>
      <c r="CL2640" s="76"/>
      <c r="CM2640" s="76"/>
      <c r="CN2640" s="76">
        <f>+CM2640*22000</f>
        <v>0</v>
      </c>
      <c r="CO2640" s="76"/>
      <c r="CP2640" s="76">
        <f>+CO2640*46000</f>
        <v>0</v>
      </c>
      <c r="CQ2640" s="76"/>
      <c r="CR2640" s="76">
        <f>+CQ2640*49000</f>
        <v>0</v>
      </c>
      <c r="CS2640" s="76"/>
      <c r="CT2640" s="76"/>
      <c r="CU2640" s="56">
        <f>AN2640+AP2640+AR2640+AT2640+AV2640+AX2640+AZ2640+BB2640+BD2640+BF2640+BH2640+BJ2640+BL2640+BN2640+BP2640+BR2640+BT2640+BV2640+BX2640+BZ2640+CB2640+CD2640+CF2640+CH2640+CJ2640+CL2640+CN2640+CP2640+CR2640+CT2640</f>
        <v>0</v>
      </c>
      <c r="CV2640" s="76"/>
      <c r="CW2640" s="76">
        <f>+CV2640*1100</f>
        <v>0</v>
      </c>
      <c r="CX2640" s="76"/>
      <c r="CY2640" s="76">
        <f>+CX2640*106250</f>
        <v>0</v>
      </c>
      <c r="CZ2640" s="76"/>
      <c r="DA2640" s="76">
        <f>+CZ2640*34500</f>
        <v>0</v>
      </c>
      <c r="DB2640" s="76"/>
      <c r="DC2640" s="76">
        <f>+DB2640*25000</f>
        <v>0</v>
      </c>
      <c r="DD2640" s="219"/>
      <c r="DE2640" s="219"/>
      <c r="DF2640" s="166"/>
      <c r="DG2640" s="116"/>
      <c r="DH2640" s="117"/>
      <c r="DI2640" s="24"/>
      <c r="DJ2640" s="24"/>
      <c r="DK2640" s="24"/>
      <c r="DL2640" s="24"/>
      <c r="DM2640" s="24"/>
      <c r="DN2640" s="24"/>
      <c r="DO2640" s="24"/>
      <c r="DP2640" s="24"/>
      <c r="DQ2640" s="24"/>
      <c r="DR2640" s="24"/>
      <c r="DS2640" s="24"/>
      <c r="DT2640" s="24"/>
      <c r="DU2640" s="24"/>
    </row>
    <row r="2641" spans="1:125" s="8" customFormat="1" ht="96" x14ac:dyDescent="0.2">
      <c r="A2641" s="353">
        <v>41492</v>
      </c>
      <c r="B2641" s="352" t="s">
        <v>2772</v>
      </c>
      <c r="C2641" s="227" t="s">
        <v>2132</v>
      </c>
      <c r="D2641" s="354" t="s">
        <v>2846</v>
      </c>
      <c r="E2641" s="353" t="str">
        <f>VLOOKUP(B2641&amp;C2641,Divipola!$C$2:$F$1138,4,FALSE)</f>
        <v>25740</v>
      </c>
      <c r="F2641" s="87"/>
      <c r="G2641" s="87"/>
      <c r="H2641" s="87"/>
      <c r="I2641" s="87"/>
      <c r="J2641" s="87"/>
      <c r="K2641" s="87"/>
      <c r="L2641" s="87"/>
      <c r="M2641" s="87"/>
      <c r="N2641" s="87"/>
      <c r="O2641" s="87"/>
      <c r="P2641" s="87"/>
      <c r="Q2641" s="87"/>
      <c r="R2641" s="87"/>
      <c r="S2641" s="87"/>
      <c r="T2641" s="87"/>
      <c r="U2641" s="88"/>
      <c r="V2641" s="89"/>
      <c r="W2641" s="96">
        <v>0</v>
      </c>
      <c r="X2641" s="71">
        <f>CU2641</f>
        <v>0</v>
      </c>
      <c r="Y2641" s="71">
        <f>CY2641</f>
        <v>0</v>
      </c>
      <c r="Z2641" s="71">
        <f>DA2641+DC2641+DE2641</f>
        <v>0</v>
      </c>
      <c r="AA2641" s="71">
        <f>CW2641</f>
        <v>0</v>
      </c>
      <c r="AB2641" s="71"/>
      <c r="AC2641" s="71">
        <v>0</v>
      </c>
      <c r="AD2641" s="71">
        <f>W2641+X2641+Y2641+Z2641+AA2641+AB2641+AC2641</f>
        <v>0</v>
      </c>
      <c r="AE2641" s="72">
        <v>0</v>
      </c>
      <c r="AF2641" s="5"/>
      <c r="AG2641" s="6"/>
      <c r="AH2641" s="27"/>
      <c r="AI2641" s="44"/>
      <c r="AJ2641" s="26"/>
      <c r="AK2641" s="5"/>
      <c r="AL2641" s="82" t="s">
        <v>5536</v>
      </c>
      <c r="AM2641" s="76"/>
      <c r="AN2641" s="76"/>
      <c r="AO2641" s="76"/>
      <c r="AP2641" s="76"/>
      <c r="AQ2641" s="76"/>
      <c r="AR2641" s="76"/>
      <c r="AS2641" s="76"/>
      <c r="AT2641" s="76"/>
      <c r="AU2641" s="76"/>
      <c r="AV2641" s="76"/>
      <c r="AW2641" s="76"/>
      <c r="AX2641" s="76">
        <f>+AW2641*600000</f>
        <v>0</v>
      </c>
      <c r="AY2641" s="76"/>
      <c r="AZ2641" s="76">
        <f>+AY2641*70000</f>
        <v>0</v>
      </c>
      <c r="BA2641" s="76"/>
      <c r="BB2641" s="76"/>
      <c r="BC2641" s="76"/>
      <c r="BD2641" s="76">
        <f>+BC2641*30000</f>
        <v>0</v>
      </c>
      <c r="BE2641" s="76"/>
      <c r="BF2641" s="76"/>
      <c r="BG2641" s="76"/>
      <c r="BH2641" s="76"/>
      <c r="BI2641" s="76"/>
      <c r="BJ2641" s="76"/>
      <c r="BK2641" s="76"/>
      <c r="BL2641" s="76">
        <f>+BK2641*31500</f>
        <v>0</v>
      </c>
      <c r="BM2641" s="76"/>
      <c r="BN2641" s="76"/>
      <c r="BO2641" s="76"/>
      <c r="BP2641" s="76"/>
      <c r="BQ2641" s="76"/>
      <c r="BR2641" s="76"/>
      <c r="BS2641" s="76"/>
      <c r="BT2641" s="76"/>
      <c r="BU2641" s="76"/>
      <c r="BV2641" s="76"/>
      <c r="BW2641" s="76"/>
      <c r="BX2641" s="76"/>
      <c r="BY2641" s="76"/>
      <c r="BZ2641" s="76"/>
      <c r="CA2641" s="76"/>
      <c r="CB2641" s="76"/>
      <c r="CC2641" s="76"/>
      <c r="CD2641" s="76"/>
      <c r="CE2641" s="76"/>
      <c r="CF2641" s="76">
        <f>+CE2641*28000</f>
        <v>0</v>
      </c>
      <c r="CG2641" s="76"/>
      <c r="CH2641" s="76">
        <f>+CG2641*22500</f>
        <v>0</v>
      </c>
      <c r="CI2641" s="76"/>
      <c r="CJ2641" s="76">
        <f>+CI2641*26000</f>
        <v>0</v>
      </c>
      <c r="CK2641" s="76"/>
      <c r="CL2641" s="76"/>
      <c r="CM2641" s="76"/>
      <c r="CN2641" s="76">
        <f>+CM2641*22000</f>
        <v>0</v>
      </c>
      <c r="CO2641" s="76"/>
      <c r="CP2641" s="76">
        <f>+CO2641*46000</f>
        <v>0</v>
      </c>
      <c r="CQ2641" s="76"/>
      <c r="CR2641" s="76">
        <f>+CQ2641*49000</f>
        <v>0</v>
      </c>
      <c r="CS2641" s="76"/>
      <c r="CT2641" s="76"/>
      <c r="CU2641" s="56">
        <f>AN2641+AP2641+AR2641+AT2641+AV2641+AX2641+AZ2641+BB2641+BD2641+BF2641+BH2641+BJ2641+BL2641+BN2641+BP2641+BR2641+BT2641+BV2641+BX2641+BZ2641+CB2641+CD2641+CF2641+CH2641+CJ2641+CL2641+CN2641+CP2641+CR2641+CT2641</f>
        <v>0</v>
      </c>
      <c r="CV2641" s="76"/>
      <c r="CW2641" s="76">
        <f>+CV2641*1100</f>
        <v>0</v>
      </c>
      <c r="CX2641" s="76"/>
      <c r="CY2641" s="76">
        <f>+CX2641*106250</f>
        <v>0</v>
      </c>
      <c r="CZ2641" s="76"/>
      <c r="DA2641" s="76">
        <f>+CZ2641*34500</f>
        <v>0</v>
      </c>
      <c r="DB2641" s="76"/>
      <c r="DC2641" s="76">
        <f>+DB2641*25000</f>
        <v>0</v>
      </c>
      <c r="DD2641" s="219"/>
      <c r="DE2641" s="219"/>
      <c r="DF2641" s="166"/>
      <c r="DG2641" s="116"/>
      <c r="DH2641" s="117"/>
      <c r="DI2641" s="24"/>
      <c r="DJ2641" s="24"/>
      <c r="DK2641" s="24"/>
      <c r="DL2641" s="24"/>
      <c r="DM2641" s="24"/>
      <c r="DN2641" s="24"/>
      <c r="DO2641" s="24"/>
      <c r="DP2641" s="24"/>
      <c r="DQ2641" s="24"/>
      <c r="DR2641" s="24"/>
      <c r="DS2641" s="24"/>
      <c r="DT2641" s="24"/>
      <c r="DU2641" s="24"/>
    </row>
    <row r="2642" spans="1:125" s="8" customFormat="1" ht="108" x14ac:dyDescent="0.2">
      <c r="A2642" s="353">
        <v>41492</v>
      </c>
      <c r="B2642" s="352" t="s">
        <v>2772</v>
      </c>
      <c r="C2642" s="227" t="s">
        <v>2664</v>
      </c>
      <c r="D2642" s="354" t="s">
        <v>2846</v>
      </c>
      <c r="E2642" s="353" t="str">
        <f>VLOOKUP(B2642&amp;C2642,Divipola!$C$2:$F$1138,4,FALSE)</f>
        <v>25815</v>
      </c>
      <c r="F2642" s="87"/>
      <c r="G2642" s="87"/>
      <c r="H2642" s="87"/>
      <c r="I2642" s="87"/>
      <c r="J2642" s="87"/>
      <c r="K2642" s="87"/>
      <c r="L2642" s="87"/>
      <c r="M2642" s="87"/>
      <c r="N2642" s="87"/>
      <c r="O2642" s="87"/>
      <c r="P2642" s="87"/>
      <c r="Q2642" s="87"/>
      <c r="R2642" s="87"/>
      <c r="S2642" s="87"/>
      <c r="T2642" s="87"/>
      <c r="U2642" s="88">
        <v>2</v>
      </c>
      <c r="V2642" s="89"/>
      <c r="W2642" s="96">
        <v>0</v>
      </c>
      <c r="X2642" s="71">
        <f>CU2642</f>
        <v>0</v>
      </c>
      <c r="Y2642" s="71">
        <f>CY2642</f>
        <v>0</v>
      </c>
      <c r="Z2642" s="71">
        <f>DA2642+DC2642+DE2642</f>
        <v>0</v>
      </c>
      <c r="AA2642" s="71">
        <f>CW2642</f>
        <v>0</v>
      </c>
      <c r="AB2642" s="71"/>
      <c r="AC2642" s="71">
        <v>0</v>
      </c>
      <c r="AD2642" s="71">
        <f>W2642+X2642+Y2642+Z2642+AA2642+AB2642+AC2642</f>
        <v>0</v>
      </c>
      <c r="AE2642" s="72">
        <v>0</v>
      </c>
      <c r="AF2642" s="5"/>
      <c r="AG2642" s="6"/>
      <c r="AH2642" s="27"/>
      <c r="AI2642" s="44"/>
      <c r="AJ2642" s="26"/>
      <c r="AK2642" s="5"/>
      <c r="AL2642" s="82" t="s">
        <v>5537</v>
      </c>
      <c r="AM2642" s="76"/>
      <c r="AN2642" s="76"/>
      <c r="AO2642" s="76"/>
      <c r="AP2642" s="76"/>
      <c r="AQ2642" s="76"/>
      <c r="AR2642" s="76"/>
      <c r="AS2642" s="76"/>
      <c r="AT2642" s="76"/>
      <c r="AU2642" s="76"/>
      <c r="AV2642" s="76"/>
      <c r="AW2642" s="76"/>
      <c r="AX2642" s="76">
        <f>+AW2642*600000</f>
        <v>0</v>
      </c>
      <c r="AY2642" s="76"/>
      <c r="AZ2642" s="76">
        <f>+AY2642*70000</f>
        <v>0</v>
      </c>
      <c r="BA2642" s="76"/>
      <c r="BB2642" s="76"/>
      <c r="BC2642" s="76"/>
      <c r="BD2642" s="76">
        <f>+BC2642*30000</f>
        <v>0</v>
      </c>
      <c r="BE2642" s="76"/>
      <c r="BF2642" s="76"/>
      <c r="BG2642" s="76"/>
      <c r="BH2642" s="76"/>
      <c r="BI2642" s="76"/>
      <c r="BJ2642" s="76"/>
      <c r="BK2642" s="76"/>
      <c r="BL2642" s="76">
        <f>+BK2642*31500</f>
        <v>0</v>
      </c>
      <c r="BM2642" s="76"/>
      <c r="BN2642" s="76"/>
      <c r="BO2642" s="76"/>
      <c r="BP2642" s="76"/>
      <c r="BQ2642" s="76"/>
      <c r="BR2642" s="76"/>
      <c r="BS2642" s="76"/>
      <c r="BT2642" s="76"/>
      <c r="BU2642" s="76"/>
      <c r="BV2642" s="76"/>
      <c r="BW2642" s="76"/>
      <c r="BX2642" s="76"/>
      <c r="BY2642" s="76"/>
      <c r="BZ2642" s="76"/>
      <c r="CA2642" s="76"/>
      <c r="CB2642" s="76"/>
      <c r="CC2642" s="76"/>
      <c r="CD2642" s="76"/>
      <c r="CE2642" s="76"/>
      <c r="CF2642" s="76">
        <f>+CE2642*28000</f>
        <v>0</v>
      </c>
      <c r="CG2642" s="76"/>
      <c r="CH2642" s="76">
        <f>+CG2642*22500</f>
        <v>0</v>
      </c>
      <c r="CI2642" s="76"/>
      <c r="CJ2642" s="76">
        <f>+CI2642*26000</f>
        <v>0</v>
      </c>
      <c r="CK2642" s="76"/>
      <c r="CL2642" s="76"/>
      <c r="CM2642" s="76"/>
      <c r="CN2642" s="76">
        <f>+CM2642*22000</f>
        <v>0</v>
      </c>
      <c r="CO2642" s="76"/>
      <c r="CP2642" s="76">
        <f>+CO2642*46000</f>
        <v>0</v>
      </c>
      <c r="CQ2642" s="76"/>
      <c r="CR2642" s="76">
        <f>+CQ2642*49000</f>
        <v>0</v>
      </c>
      <c r="CS2642" s="76"/>
      <c r="CT2642" s="76"/>
      <c r="CU2642" s="56">
        <f>AN2642+AP2642+AR2642+AT2642+AV2642+AX2642+AZ2642+BB2642+BD2642+BF2642+BH2642+BJ2642+BL2642+BN2642+BP2642+BR2642+BT2642+BV2642+BX2642+BZ2642+CB2642+CD2642+CF2642+CH2642+CJ2642+CL2642+CN2642+CP2642+CR2642+CT2642</f>
        <v>0</v>
      </c>
      <c r="CV2642" s="76"/>
      <c r="CW2642" s="76">
        <f>+CV2642*1100</f>
        <v>0</v>
      </c>
      <c r="CX2642" s="76"/>
      <c r="CY2642" s="76">
        <f>+CX2642*106250</f>
        <v>0</v>
      </c>
      <c r="CZ2642" s="76"/>
      <c r="DA2642" s="76">
        <f>+CZ2642*34500</f>
        <v>0</v>
      </c>
      <c r="DB2642" s="76"/>
      <c r="DC2642" s="76">
        <f>+DB2642*25000</f>
        <v>0</v>
      </c>
      <c r="DD2642" s="219"/>
      <c r="DE2642" s="219"/>
      <c r="DF2642" s="166"/>
      <c r="DG2642" s="116"/>
      <c r="DH2642" s="117"/>
      <c r="DI2642" s="24"/>
      <c r="DJ2642" s="24"/>
      <c r="DK2642" s="24"/>
      <c r="DL2642" s="24"/>
      <c r="DM2642" s="24"/>
      <c r="DN2642" s="24"/>
      <c r="DO2642" s="24"/>
      <c r="DP2642" s="24"/>
      <c r="DQ2642" s="24"/>
      <c r="DR2642" s="24"/>
      <c r="DS2642" s="24"/>
      <c r="DT2642" s="24"/>
      <c r="DU2642" s="24"/>
    </row>
    <row r="2643" spans="1:125" s="8" customFormat="1" ht="48" x14ac:dyDescent="0.2">
      <c r="A2643" s="353">
        <v>41492</v>
      </c>
      <c r="B2643" s="352" t="s">
        <v>2661</v>
      </c>
      <c r="C2643" s="354" t="s">
        <v>2150</v>
      </c>
      <c r="D2643" s="354" t="s">
        <v>2846</v>
      </c>
      <c r="E2643" s="353" t="str">
        <f>VLOOKUP(B2643&amp;C2643,Divipola!$C$2:$F$1138,4,FALSE)</f>
        <v>41016</v>
      </c>
      <c r="F2643" s="87"/>
      <c r="G2643" s="87"/>
      <c r="H2643" s="87"/>
      <c r="I2643" s="87"/>
      <c r="J2643" s="87"/>
      <c r="K2643" s="87"/>
      <c r="L2643" s="87"/>
      <c r="M2643" s="87"/>
      <c r="N2643" s="87"/>
      <c r="O2643" s="87"/>
      <c r="P2643" s="87"/>
      <c r="Q2643" s="87"/>
      <c r="R2643" s="87"/>
      <c r="S2643" s="87"/>
      <c r="T2643" s="87"/>
      <c r="U2643" s="88">
        <v>1</v>
      </c>
      <c r="V2643" s="89"/>
      <c r="W2643" s="96">
        <v>0</v>
      </c>
      <c r="X2643" s="71">
        <f>CU2643</f>
        <v>0</v>
      </c>
      <c r="Y2643" s="71">
        <f>CY2643</f>
        <v>0</v>
      </c>
      <c r="Z2643" s="71">
        <f>DA2643+DC2643+DE2643</f>
        <v>0</v>
      </c>
      <c r="AA2643" s="71">
        <f>CW2643</f>
        <v>0</v>
      </c>
      <c r="AB2643" s="71"/>
      <c r="AC2643" s="71">
        <v>0</v>
      </c>
      <c r="AD2643" s="71">
        <f>W2643+X2643+Y2643+Z2643+AA2643+AB2643+AC2643</f>
        <v>0</v>
      </c>
      <c r="AE2643" s="72">
        <v>0</v>
      </c>
      <c r="AF2643" s="5"/>
      <c r="AG2643" s="6"/>
      <c r="AH2643" s="27"/>
      <c r="AI2643" s="44"/>
      <c r="AJ2643" s="26"/>
      <c r="AK2643" s="5"/>
      <c r="AL2643" s="82" t="s">
        <v>5535</v>
      </c>
      <c r="AM2643" s="76"/>
      <c r="AN2643" s="76"/>
      <c r="AO2643" s="76"/>
      <c r="AP2643" s="76"/>
      <c r="AQ2643" s="76"/>
      <c r="AR2643" s="76"/>
      <c r="AS2643" s="76"/>
      <c r="AT2643" s="76"/>
      <c r="AU2643" s="76"/>
      <c r="AV2643" s="76"/>
      <c r="AW2643" s="76"/>
      <c r="AX2643" s="76">
        <f>+AW2643*600000</f>
        <v>0</v>
      </c>
      <c r="AY2643" s="76"/>
      <c r="AZ2643" s="76">
        <f>+AY2643*70000</f>
        <v>0</v>
      </c>
      <c r="BA2643" s="76"/>
      <c r="BB2643" s="76"/>
      <c r="BC2643" s="76"/>
      <c r="BD2643" s="76">
        <f>+BC2643*30000</f>
        <v>0</v>
      </c>
      <c r="BE2643" s="76"/>
      <c r="BF2643" s="76"/>
      <c r="BG2643" s="76"/>
      <c r="BH2643" s="76"/>
      <c r="BI2643" s="76"/>
      <c r="BJ2643" s="76"/>
      <c r="BK2643" s="76"/>
      <c r="BL2643" s="76">
        <f>+BK2643*31500</f>
        <v>0</v>
      </c>
      <c r="BM2643" s="76"/>
      <c r="BN2643" s="76"/>
      <c r="BO2643" s="76"/>
      <c r="BP2643" s="76"/>
      <c r="BQ2643" s="76"/>
      <c r="BR2643" s="76"/>
      <c r="BS2643" s="76"/>
      <c r="BT2643" s="76"/>
      <c r="BU2643" s="76"/>
      <c r="BV2643" s="76"/>
      <c r="BW2643" s="76"/>
      <c r="BX2643" s="76"/>
      <c r="BY2643" s="76"/>
      <c r="BZ2643" s="76"/>
      <c r="CA2643" s="76"/>
      <c r="CB2643" s="76"/>
      <c r="CC2643" s="76"/>
      <c r="CD2643" s="76"/>
      <c r="CE2643" s="76"/>
      <c r="CF2643" s="76">
        <f>+CE2643*28000</f>
        <v>0</v>
      </c>
      <c r="CG2643" s="76"/>
      <c r="CH2643" s="76">
        <f>+CG2643*22500</f>
        <v>0</v>
      </c>
      <c r="CI2643" s="76"/>
      <c r="CJ2643" s="76">
        <f>+CI2643*26000</f>
        <v>0</v>
      </c>
      <c r="CK2643" s="76"/>
      <c r="CL2643" s="76"/>
      <c r="CM2643" s="76"/>
      <c r="CN2643" s="76">
        <f>+CM2643*22000</f>
        <v>0</v>
      </c>
      <c r="CO2643" s="76"/>
      <c r="CP2643" s="76">
        <f>+CO2643*46000</f>
        <v>0</v>
      </c>
      <c r="CQ2643" s="76"/>
      <c r="CR2643" s="76">
        <f>+CQ2643*49000</f>
        <v>0</v>
      </c>
      <c r="CS2643" s="76"/>
      <c r="CT2643" s="76"/>
      <c r="CU2643" s="56">
        <f>AN2643+AP2643+AR2643+AT2643+AV2643+AX2643+AZ2643+BB2643+BD2643+BF2643+BH2643+BJ2643+BL2643+BN2643+BP2643+BR2643+BT2643+BV2643+BX2643+BZ2643+CB2643+CD2643+CF2643+CH2643+CJ2643+CL2643+CN2643+CP2643+CR2643+CT2643</f>
        <v>0</v>
      </c>
      <c r="CV2643" s="76"/>
      <c r="CW2643" s="76">
        <f>+CV2643*1100</f>
        <v>0</v>
      </c>
      <c r="CX2643" s="76"/>
      <c r="CY2643" s="76">
        <f>+CX2643*106250</f>
        <v>0</v>
      </c>
      <c r="CZ2643" s="76"/>
      <c r="DA2643" s="76">
        <f>+CZ2643*34500</f>
        <v>0</v>
      </c>
      <c r="DB2643" s="76"/>
      <c r="DC2643" s="76">
        <f>+DB2643*25000</f>
        <v>0</v>
      </c>
      <c r="DD2643" s="219"/>
      <c r="DE2643" s="219"/>
      <c r="DF2643" s="166"/>
      <c r="DG2643" s="116"/>
      <c r="DH2643" s="117"/>
      <c r="DI2643" s="24"/>
      <c r="DJ2643" s="24"/>
      <c r="DK2643" s="24"/>
      <c r="DL2643" s="24"/>
      <c r="DM2643" s="24"/>
      <c r="DN2643" s="24"/>
      <c r="DO2643" s="24"/>
      <c r="DP2643" s="24"/>
      <c r="DQ2643" s="24"/>
      <c r="DR2643" s="24"/>
      <c r="DS2643" s="24"/>
      <c r="DT2643" s="24"/>
      <c r="DU2643" s="24"/>
    </row>
    <row r="2644" spans="1:125" s="8" customFormat="1" ht="48" x14ac:dyDescent="0.2">
      <c r="A2644" s="353">
        <v>41492</v>
      </c>
      <c r="B2644" s="352" t="s">
        <v>2661</v>
      </c>
      <c r="C2644" s="354" t="s">
        <v>2</v>
      </c>
      <c r="D2644" s="354" t="s">
        <v>2846</v>
      </c>
      <c r="E2644" s="353" t="str">
        <f>VLOOKUP(B2644&amp;C2644,Divipola!$C$2:$F$1138,4,FALSE)</f>
        <v>41524</v>
      </c>
      <c r="F2644" s="87"/>
      <c r="G2644" s="87"/>
      <c r="H2644" s="87"/>
      <c r="I2644" s="87"/>
      <c r="J2644" s="87"/>
      <c r="K2644" s="87"/>
      <c r="L2644" s="87"/>
      <c r="M2644" s="87"/>
      <c r="N2644" s="87"/>
      <c r="O2644" s="87"/>
      <c r="P2644" s="87"/>
      <c r="Q2644" s="87"/>
      <c r="R2644" s="87"/>
      <c r="S2644" s="87"/>
      <c r="T2644" s="87"/>
      <c r="U2644" s="88">
        <v>3</v>
      </c>
      <c r="V2644" s="89"/>
      <c r="W2644" s="96">
        <v>0</v>
      </c>
      <c r="X2644" s="71">
        <f>CU2644</f>
        <v>0</v>
      </c>
      <c r="Y2644" s="71">
        <f>CY2644</f>
        <v>0</v>
      </c>
      <c r="Z2644" s="71">
        <f>DA2644+DC2644+DE2644</f>
        <v>0</v>
      </c>
      <c r="AA2644" s="71">
        <f>CW2644</f>
        <v>0</v>
      </c>
      <c r="AB2644" s="71"/>
      <c r="AC2644" s="71">
        <v>0</v>
      </c>
      <c r="AD2644" s="71">
        <f>W2644+X2644+Y2644+Z2644+AA2644+AB2644+AC2644</f>
        <v>0</v>
      </c>
      <c r="AE2644" s="72">
        <v>0</v>
      </c>
      <c r="AF2644" s="5"/>
      <c r="AG2644" s="6"/>
      <c r="AH2644" s="27"/>
      <c r="AI2644" s="44"/>
      <c r="AJ2644" s="26"/>
      <c r="AK2644" s="5"/>
      <c r="AL2644" s="82" t="s">
        <v>5533</v>
      </c>
      <c r="AM2644" s="76"/>
      <c r="AN2644" s="76"/>
      <c r="AO2644" s="76"/>
      <c r="AP2644" s="76"/>
      <c r="AQ2644" s="76"/>
      <c r="AR2644" s="76"/>
      <c r="AS2644" s="76"/>
      <c r="AT2644" s="76"/>
      <c r="AU2644" s="76"/>
      <c r="AV2644" s="76"/>
      <c r="AW2644" s="76"/>
      <c r="AX2644" s="76">
        <f>+AW2644*600000</f>
        <v>0</v>
      </c>
      <c r="AY2644" s="76"/>
      <c r="AZ2644" s="76">
        <f>+AY2644*70000</f>
        <v>0</v>
      </c>
      <c r="BA2644" s="76"/>
      <c r="BB2644" s="76"/>
      <c r="BC2644" s="76"/>
      <c r="BD2644" s="76">
        <f>+BC2644*30000</f>
        <v>0</v>
      </c>
      <c r="BE2644" s="76"/>
      <c r="BF2644" s="76"/>
      <c r="BG2644" s="76"/>
      <c r="BH2644" s="76"/>
      <c r="BI2644" s="76"/>
      <c r="BJ2644" s="76"/>
      <c r="BK2644" s="76"/>
      <c r="BL2644" s="76">
        <f>+BK2644*31500</f>
        <v>0</v>
      </c>
      <c r="BM2644" s="76"/>
      <c r="BN2644" s="76"/>
      <c r="BO2644" s="76"/>
      <c r="BP2644" s="76"/>
      <c r="BQ2644" s="76"/>
      <c r="BR2644" s="76"/>
      <c r="BS2644" s="76"/>
      <c r="BT2644" s="76"/>
      <c r="BU2644" s="76"/>
      <c r="BV2644" s="76"/>
      <c r="BW2644" s="76"/>
      <c r="BX2644" s="76"/>
      <c r="BY2644" s="76"/>
      <c r="BZ2644" s="76"/>
      <c r="CA2644" s="76"/>
      <c r="CB2644" s="76"/>
      <c r="CC2644" s="76"/>
      <c r="CD2644" s="76"/>
      <c r="CE2644" s="76"/>
      <c r="CF2644" s="76">
        <f>+CE2644*28000</f>
        <v>0</v>
      </c>
      <c r="CG2644" s="76"/>
      <c r="CH2644" s="76">
        <f>+CG2644*22500</f>
        <v>0</v>
      </c>
      <c r="CI2644" s="76"/>
      <c r="CJ2644" s="76">
        <f>+CI2644*26000</f>
        <v>0</v>
      </c>
      <c r="CK2644" s="76"/>
      <c r="CL2644" s="76"/>
      <c r="CM2644" s="76"/>
      <c r="CN2644" s="76">
        <f>+CM2644*22000</f>
        <v>0</v>
      </c>
      <c r="CO2644" s="76"/>
      <c r="CP2644" s="76">
        <f>+CO2644*46000</f>
        <v>0</v>
      </c>
      <c r="CQ2644" s="76"/>
      <c r="CR2644" s="76">
        <f>+CQ2644*49000</f>
        <v>0</v>
      </c>
      <c r="CS2644" s="76"/>
      <c r="CT2644" s="76"/>
      <c r="CU2644" s="56">
        <f>AN2644+AP2644+AR2644+AT2644+AV2644+AX2644+AZ2644+BB2644+BD2644+BF2644+BH2644+BJ2644+BL2644+BN2644+BP2644+BR2644+BT2644+BV2644+BX2644+BZ2644+CB2644+CD2644+CF2644+CH2644+CJ2644+CL2644+CN2644+CP2644+CR2644+CT2644</f>
        <v>0</v>
      </c>
      <c r="CV2644" s="76"/>
      <c r="CW2644" s="76">
        <f>+CV2644*1100</f>
        <v>0</v>
      </c>
      <c r="CX2644" s="76"/>
      <c r="CY2644" s="76">
        <f>+CX2644*106250</f>
        <v>0</v>
      </c>
      <c r="CZ2644" s="76"/>
      <c r="DA2644" s="76">
        <f>+CZ2644*34500</f>
        <v>0</v>
      </c>
      <c r="DB2644" s="76"/>
      <c r="DC2644" s="76">
        <f>+DB2644*25000</f>
        <v>0</v>
      </c>
      <c r="DD2644" s="219"/>
      <c r="DE2644" s="219"/>
      <c r="DF2644" s="166"/>
      <c r="DG2644" s="116"/>
      <c r="DH2644" s="117"/>
      <c r="DI2644" s="24"/>
      <c r="DJ2644" s="24"/>
      <c r="DK2644" s="24"/>
      <c r="DL2644" s="24"/>
      <c r="DM2644" s="24"/>
      <c r="DN2644" s="24"/>
      <c r="DO2644" s="24"/>
      <c r="DP2644" s="24"/>
      <c r="DQ2644" s="24"/>
      <c r="DR2644" s="24"/>
      <c r="DS2644" s="24"/>
      <c r="DT2644" s="24"/>
      <c r="DU2644" s="24"/>
    </row>
    <row r="2645" spans="1:125" s="8" customFormat="1" ht="36" x14ac:dyDescent="0.2">
      <c r="A2645" s="97">
        <v>41492</v>
      </c>
      <c r="B2645" s="60" t="s">
        <v>2661</v>
      </c>
      <c r="C2645" s="55" t="s">
        <v>2</v>
      </c>
      <c r="D2645" s="55" t="s">
        <v>2846</v>
      </c>
      <c r="E2645" s="353" t="str">
        <f>VLOOKUP(B2645&amp;C2645,Divipola!$C$2:$F$1138,4,FALSE)</f>
        <v>41524</v>
      </c>
      <c r="F2645" s="87"/>
      <c r="G2645" s="87"/>
      <c r="H2645" s="87"/>
      <c r="I2645" s="87"/>
      <c r="J2645" s="87"/>
      <c r="K2645" s="87"/>
      <c r="L2645" s="87"/>
      <c r="M2645" s="87"/>
      <c r="N2645" s="87"/>
      <c r="O2645" s="87"/>
      <c r="P2645" s="87"/>
      <c r="Q2645" s="87"/>
      <c r="R2645" s="87"/>
      <c r="S2645" s="87"/>
      <c r="T2645" s="87"/>
      <c r="U2645" s="88">
        <v>20</v>
      </c>
      <c r="V2645" s="89"/>
      <c r="W2645" s="96">
        <v>0</v>
      </c>
      <c r="X2645" s="71">
        <f>CU2645</f>
        <v>0</v>
      </c>
      <c r="Y2645" s="71">
        <f>CY2645</f>
        <v>0</v>
      </c>
      <c r="Z2645" s="71">
        <f>DA2645+DC2645+DE2645</f>
        <v>0</v>
      </c>
      <c r="AA2645" s="71">
        <f>CW2645</f>
        <v>0</v>
      </c>
      <c r="AB2645" s="71"/>
      <c r="AC2645" s="71">
        <v>0</v>
      </c>
      <c r="AD2645" s="71">
        <f>W2645+X2645+Y2645+Z2645+AA2645+AB2645+AC2645</f>
        <v>0</v>
      </c>
      <c r="AE2645" s="72">
        <v>0</v>
      </c>
      <c r="AF2645" s="5"/>
      <c r="AG2645" s="6"/>
      <c r="AH2645" s="27"/>
      <c r="AI2645" s="44"/>
      <c r="AJ2645" s="26"/>
      <c r="AK2645" s="5"/>
      <c r="AL2645" s="82" t="s">
        <v>5534</v>
      </c>
      <c r="AM2645" s="76"/>
      <c r="AN2645" s="76"/>
      <c r="AO2645" s="76"/>
      <c r="AP2645" s="76"/>
      <c r="AQ2645" s="76"/>
      <c r="AR2645" s="76"/>
      <c r="AS2645" s="76"/>
      <c r="AT2645" s="76"/>
      <c r="AU2645" s="76"/>
      <c r="AV2645" s="76"/>
      <c r="AW2645" s="76"/>
      <c r="AX2645" s="76">
        <f>+AW2645*600000</f>
        <v>0</v>
      </c>
      <c r="AY2645" s="76"/>
      <c r="AZ2645" s="76">
        <f>+AY2645*70000</f>
        <v>0</v>
      </c>
      <c r="BA2645" s="76"/>
      <c r="BB2645" s="76"/>
      <c r="BC2645" s="76"/>
      <c r="BD2645" s="76">
        <f>+BC2645*30000</f>
        <v>0</v>
      </c>
      <c r="BE2645" s="76"/>
      <c r="BF2645" s="76"/>
      <c r="BG2645" s="76"/>
      <c r="BH2645" s="76"/>
      <c r="BI2645" s="76"/>
      <c r="BJ2645" s="76"/>
      <c r="BK2645" s="76"/>
      <c r="BL2645" s="76">
        <f>+BK2645*31500</f>
        <v>0</v>
      </c>
      <c r="BM2645" s="76"/>
      <c r="BN2645" s="76"/>
      <c r="BO2645" s="76"/>
      <c r="BP2645" s="76"/>
      <c r="BQ2645" s="76"/>
      <c r="BR2645" s="76"/>
      <c r="BS2645" s="76"/>
      <c r="BT2645" s="76"/>
      <c r="BU2645" s="76"/>
      <c r="BV2645" s="76"/>
      <c r="BW2645" s="76"/>
      <c r="BX2645" s="76"/>
      <c r="BY2645" s="76"/>
      <c r="BZ2645" s="76"/>
      <c r="CA2645" s="76"/>
      <c r="CB2645" s="76"/>
      <c r="CC2645" s="76"/>
      <c r="CD2645" s="76"/>
      <c r="CE2645" s="76"/>
      <c r="CF2645" s="76">
        <f>+CE2645*28000</f>
        <v>0</v>
      </c>
      <c r="CG2645" s="76"/>
      <c r="CH2645" s="76">
        <f>+CG2645*22500</f>
        <v>0</v>
      </c>
      <c r="CI2645" s="76"/>
      <c r="CJ2645" s="76">
        <f>+CI2645*26000</f>
        <v>0</v>
      </c>
      <c r="CK2645" s="76"/>
      <c r="CL2645" s="76"/>
      <c r="CM2645" s="76"/>
      <c r="CN2645" s="76">
        <f>+CM2645*22000</f>
        <v>0</v>
      </c>
      <c r="CO2645" s="76"/>
      <c r="CP2645" s="76">
        <f>+CO2645*46000</f>
        <v>0</v>
      </c>
      <c r="CQ2645" s="76"/>
      <c r="CR2645" s="76">
        <f>+CQ2645*49000</f>
        <v>0</v>
      </c>
      <c r="CS2645" s="76"/>
      <c r="CT2645" s="76"/>
      <c r="CU2645" s="56">
        <f>AN2645+AP2645+AR2645+AT2645+AV2645+AX2645+AZ2645+BB2645+BD2645+BF2645+BH2645+BJ2645+BL2645+BN2645+BP2645+BR2645+BT2645+BV2645+BX2645+BZ2645+CB2645+CD2645+CF2645+CH2645+CJ2645+CL2645+CN2645+CP2645+CR2645+CT2645</f>
        <v>0</v>
      </c>
      <c r="CV2645" s="76"/>
      <c r="CW2645" s="76">
        <f>+CV2645*1100</f>
        <v>0</v>
      </c>
      <c r="CX2645" s="76"/>
      <c r="CY2645" s="76">
        <f>+CX2645*106250</f>
        <v>0</v>
      </c>
      <c r="CZ2645" s="76"/>
      <c r="DA2645" s="76">
        <f>+CZ2645*34500</f>
        <v>0</v>
      </c>
      <c r="DB2645" s="76"/>
      <c r="DC2645" s="76">
        <f>+DB2645*25000</f>
        <v>0</v>
      </c>
      <c r="DD2645" s="219"/>
      <c r="DE2645" s="219"/>
      <c r="DF2645" s="166"/>
      <c r="DG2645" s="116"/>
      <c r="DH2645" s="117"/>
      <c r="DI2645" s="24"/>
      <c r="DJ2645" s="24"/>
      <c r="DK2645" s="24"/>
      <c r="DL2645" s="24"/>
      <c r="DM2645" s="24"/>
      <c r="DN2645" s="24"/>
      <c r="DO2645" s="24"/>
      <c r="DP2645" s="24"/>
      <c r="DQ2645" s="24"/>
      <c r="DR2645" s="24"/>
      <c r="DS2645" s="24"/>
      <c r="DT2645" s="24"/>
      <c r="DU2645" s="24"/>
    </row>
    <row r="2646" spans="1:125" s="8" customFormat="1" ht="156" x14ac:dyDescent="0.2">
      <c r="A2646" s="353">
        <v>41492</v>
      </c>
      <c r="B2646" s="352" t="s">
        <v>2880</v>
      </c>
      <c r="C2646" s="354" t="s">
        <v>2732</v>
      </c>
      <c r="D2646" s="354" t="s">
        <v>2859</v>
      </c>
      <c r="E2646" s="353" t="str">
        <f>VLOOKUP(B2646&amp;C2646,Divipola!$C$2:$F$1138,4,FALSE)</f>
        <v>54001</v>
      </c>
      <c r="F2646" s="87"/>
      <c r="G2646" s="87"/>
      <c r="H2646" s="87"/>
      <c r="I2646" s="87"/>
      <c r="J2646" s="87"/>
      <c r="K2646" s="87"/>
      <c r="L2646" s="87">
        <v>1</v>
      </c>
      <c r="M2646" s="87"/>
      <c r="N2646" s="87"/>
      <c r="O2646" s="87"/>
      <c r="P2646" s="87"/>
      <c r="Q2646" s="87"/>
      <c r="R2646" s="87"/>
      <c r="S2646" s="87"/>
      <c r="T2646" s="87"/>
      <c r="U2646" s="88"/>
      <c r="V2646" s="89"/>
      <c r="W2646" s="96">
        <v>0</v>
      </c>
      <c r="X2646" s="71">
        <f>CU2646</f>
        <v>0</v>
      </c>
      <c r="Y2646" s="71">
        <f>CY2646</f>
        <v>0</v>
      </c>
      <c r="Z2646" s="71">
        <f>DA2646+DC2646+DE2646</f>
        <v>0</v>
      </c>
      <c r="AA2646" s="71">
        <f>CW2646</f>
        <v>0</v>
      </c>
      <c r="AB2646" s="71"/>
      <c r="AC2646" s="71">
        <v>0</v>
      </c>
      <c r="AD2646" s="71">
        <f>W2646+X2646+Y2646+Z2646+AA2646+AB2646+AC2646</f>
        <v>0</v>
      </c>
      <c r="AE2646" s="72">
        <v>0</v>
      </c>
      <c r="AF2646" s="5"/>
      <c r="AG2646" s="6"/>
      <c r="AH2646" s="27"/>
      <c r="AI2646" s="44"/>
      <c r="AJ2646" s="26"/>
      <c r="AK2646" s="5"/>
      <c r="AL2646" s="82" t="s">
        <v>5529</v>
      </c>
      <c r="AM2646" s="76"/>
      <c r="AN2646" s="76"/>
      <c r="AO2646" s="76"/>
      <c r="AP2646" s="76"/>
      <c r="AQ2646" s="76"/>
      <c r="AR2646" s="76"/>
      <c r="AS2646" s="76"/>
      <c r="AT2646" s="76"/>
      <c r="AU2646" s="76"/>
      <c r="AV2646" s="76"/>
      <c r="AW2646" s="76"/>
      <c r="AX2646" s="76">
        <f>+AW2646*600000</f>
        <v>0</v>
      </c>
      <c r="AY2646" s="76"/>
      <c r="AZ2646" s="76">
        <f>+AY2646*70000</f>
        <v>0</v>
      </c>
      <c r="BA2646" s="76"/>
      <c r="BB2646" s="76"/>
      <c r="BC2646" s="76"/>
      <c r="BD2646" s="76">
        <f>+BC2646*30000</f>
        <v>0</v>
      </c>
      <c r="BE2646" s="76"/>
      <c r="BF2646" s="76"/>
      <c r="BG2646" s="76"/>
      <c r="BH2646" s="76"/>
      <c r="BI2646" s="76"/>
      <c r="BJ2646" s="76"/>
      <c r="BK2646" s="76"/>
      <c r="BL2646" s="76">
        <f>+BK2646*31500</f>
        <v>0</v>
      </c>
      <c r="BM2646" s="76"/>
      <c r="BN2646" s="76"/>
      <c r="BO2646" s="76"/>
      <c r="BP2646" s="76"/>
      <c r="BQ2646" s="76"/>
      <c r="BR2646" s="76"/>
      <c r="BS2646" s="76"/>
      <c r="BT2646" s="76"/>
      <c r="BU2646" s="76"/>
      <c r="BV2646" s="76"/>
      <c r="BW2646" s="76"/>
      <c r="BX2646" s="76"/>
      <c r="BY2646" s="76"/>
      <c r="BZ2646" s="76"/>
      <c r="CA2646" s="76"/>
      <c r="CB2646" s="76"/>
      <c r="CC2646" s="76"/>
      <c r="CD2646" s="76"/>
      <c r="CE2646" s="76"/>
      <c r="CF2646" s="76">
        <f>+CE2646*28000</f>
        <v>0</v>
      </c>
      <c r="CG2646" s="76"/>
      <c r="CH2646" s="76">
        <f>+CG2646*22500</f>
        <v>0</v>
      </c>
      <c r="CI2646" s="76"/>
      <c r="CJ2646" s="76">
        <f>+CI2646*26000</f>
        <v>0</v>
      </c>
      <c r="CK2646" s="76"/>
      <c r="CL2646" s="76"/>
      <c r="CM2646" s="76"/>
      <c r="CN2646" s="76">
        <f>+CM2646*22000</f>
        <v>0</v>
      </c>
      <c r="CO2646" s="76"/>
      <c r="CP2646" s="76">
        <f>+CO2646*46000</f>
        <v>0</v>
      </c>
      <c r="CQ2646" s="76"/>
      <c r="CR2646" s="76">
        <f>+CQ2646*49000</f>
        <v>0</v>
      </c>
      <c r="CS2646" s="76"/>
      <c r="CT2646" s="76"/>
      <c r="CU2646" s="56">
        <f>AN2646+AP2646+AR2646+AT2646+AV2646+AX2646+AZ2646+BB2646+BD2646+BF2646+BH2646+BJ2646+BL2646+BN2646+BP2646+BR2646+BT2646+BV2646+BX2646+BZ2646+CB2646+CD2646+CF2646+CH2646+CJ2646+CL2646+CN2646+CP2646+CR2646+CT2646</f>
        <v>0</v>
      </c>
      <c r="CV2646" s="76"/>
      <c r="CW2646" s="76">
        <f>+CV2646*1100</f>
        <v>0</v>
      </c>
      <c r="CX2646" s="76"/>
      <c r="CY2646" s="76">
        <f>+CX2646*106250</f>
        <v>0</v>
      </c>
      <c r="CZ2646" s="76"/>
      <c r="DA2646" s="76">
        <f>+CZ2646*34500</f>
        <v>0</v>
      </c>
      <c r="DB2646" s="76"/>
      <c r="DC2646" s="76">
        <f>+DB2646*25000</f>
        <v>0</v>
      </c>
      <c r="DD2646" s="219"/>
      <c r="DE2646" s="219"/>
      <c r="DF2646" s="166"/>
      <c r="DG2646" s="116"/>
      <c r="DH2646" s="117"/>
      <c r="DI2646" s="24"/>
      <c r="DJ2646" s="24"/>
      <c r="DK2646" s="24"/>
      <c r="DL2646" s="24"/>
      <c r="DM2646" s="24"/>
      <c r="DN2646" s="24"/>
      <c r="DO2646" s="24"/>
      <c r="DP2646" s="24"/>
      <c r="DQ2646" s="24"/>
      <c r="DR2646" s="24"/>
      <c r="DS2646" s="24"/>
      <c r="DT2646" s="24"/>
      <c r="DU2646" s="24"/>
    </row>
    <row r="2647" spans="1:125" s="8" customFormat="1" ht="48" x14ac:dyDescent="0.2">
      <c r="A2647" s="353">
        <v>41492</v>
      </c>
      <c r="B2647" s="352" t="s">
        <v>2860</v>
      </c>
      <c r="C2647" s="354" t="s">
        <v>2776</v>
      </c>
      <c r="D2647" s="354" t="s">
        <v>2846</v>
      </c>
      <c r="E2647" s="353" t="str">
        <f>VLOOKUP(B2647&amp;C2647,Divipola!$C$2:$F$1138,4,FALSE)</f>
        <v>63001</v>
      </c>
      <c r="F2647" s="87"/>
      <c r="G2647" s="87"/>
      <c r="H2647" s="87"/>
      <c r="I2647" s="87"/>
      <c r="J2647" s="87"/>
      <c r="K2647" s="87"/>
      <c r="L2647" s="87"/>
      <c r="M2647" s="87"/>
      <c r="N2647" s="87"/>
      <c r="O2647" s="87"/>
      <c r="P2647" s="87"/>
      <c r="Q2647" s="87"/>
      <c r="R2647" s="87"/>
      <c r="S2647" s="87"/>
      <c r="T2647" s="87"/>
      <c r="U2647" s="88"/>
      <c r="V2647" s="89"/>
      <c r="W2647" s="96">
        <v>0</v>
      </c>
      <c r="X2647" s="71">
        <f>CU2647</f>
        <v>0</v>
      </c>
      <c r="Y2647" s="71">
        <f>CY2647</f>
        <v>0</v>
      </c>
      <c r="Z2647" s="71">
        <f>DA2647+DC2647+DE2647</f>
        <v>0</v>
      </c>
      <c r="AA2647" s="71">
        <f>CW2647</f>
        <v>0</v>
      </c>
      <c r="AB2647" s="71"/>
      <c r="AC2647" s="71">
        <v>0</v>
      </c>
      <c r="AD2647" s="71">
        <f>W2647+X2647+Y2647+Z2647+AA2647+AB2647+AC2647</f>
        <v>0</v>
      </c>
      <c r="AE2647" s="72">
        <v>0</v>
      </c>
      <c r="AF2647" s="5"/>
      <c r="AG2647" s="6"/>
      <c r="AH2647" s="27"/>
      <c r="AI2647" s="44"/>
      <c r="AJ2647" s="26"/>
      <c r="AK2647" s="5"/>
      <c r="AL2647" s="82" t="s">
        <v>5541</v>
      </c>
      <c r="AM2647" s="76"/>
      <c r="AN2647" s="76"/>
      <c r="AO2647" s="76"/>
      <c r="AP2647" s="76"/>
      <c r="AQ2647" s="76"/>
      <c r="AR2647" s="76"/>
      <c r="AS2647" s="76"/>
      <c r="AT2647" s="76"/>
      <c r="AU2647" s="76"/>
      <c r="AV2647" s="76"/>
      <c r="AW2647" s="76"/>
      <c r="AX2647" s="76">
        <f>+AW2647*600000</f>
        <v>0</v>
      </c>
      <c r="AY2647" s="76"/>
      <c r="AZ2647" s="76">
        <f>+AY2647*70000</f>
        <v>0</v>
      </c>
      <c r="BA2647" s="76"/>
      <c r="BB2647" s="76"/>
      <c r="BC2647" s="76"/>
      <c r="BD2647" s="76">
        <f>+BC2647*30000</f>
        <v>0</v>
      </c>
      <c r="BE2647" s="76"/>
      <c r="BF2647" s="76"/>
      <c r="BG2647" s="76"/>
      <c r="BH2647" s="76"/>
      <c r="BI2647" s="76"/>
      <c r="BJ2647" s="76"/>
      <c r="BK2647" s="76"/>
      <c r="BL2647" s="76">
        <f>+BK2647*31500</f>
        <v>0</v>
      </c>
      <c r="BM2647" s="76"/>
      <c r="BN2647" s="76"/>
      <c r="BO2647" s="76"/>
      <c r="BP2647" s="76"/>
      <c r="BQ2647" s="76"/>
      <c r="BR2647" s="76"/>
      <c r="BS2647" s="76"/>
      <c r="BT2647" s="76"/>
      <c r="BU2647" s="76"/>
      <c r="BV2647" s="76"/>
      <c r="BW2647" s="76"/>
      <c r="BX2647" s="76"/>
      <c r="BY2647" s="76"/>
      <c r="BZ2647" s="76"/>
      <c r="CA2647" s="76"/>
      <c r="CB2647" s="76"/>
      <c r="CC2647" s="76"/>
      <c r="CD2647" s="76"/>
      <c r="CE2647" s="76"/>
      <c r="CF2647" s="76">
        <f>+CE2647*28000</f>
        <v>0</v>
      </c>
      <c r="CG2647" s="76"/>
      <c r="CH2647" s="76">
        <f>+CG2647*22500</f>
        <v>0</v>
      </c>
      <c r="CI2647" s="76"/>
      <c r="CJ2647" s="76">
        <f>+CI2647*26000</f>
        <v>0</v>
      </c>
      <c r="CK2647" s="76"/>
      <c r="CL2647" s="76"/>
      <c r="CM2647" s="76"/>
      <c r="CN2647" s="76">
        <f>+CM2647*22000</f>
        <v>0</v>
      </c>
      <c r="CO2647" s="76"/>
      <c r="CP2647" s="76">
        <f>+CO2647*46000</f>
        <v>0</v>
      </c>
      <c r="CQ2647" s="76"/>
      <c r="CR2647" s="76">
        <f>+CQ2647*49000</f>
        <v>0</v>
      </c>
      <c r="CS2647" s="76"/>
      <c r="CT2647" s="76"/>
      <c r="CU2647" s="56">
        <f>AN2647+AP2647+AR2647+AT2647+AV2647+AX2647+AZ2647+BB2647+BD2647+BF2647+BH2647+BJ2647+BL2647+BN2647+BP2647+BR2647+BT2647+BV2647+BX2647+BZ2647+CB2647+CD2647+CF2647+CH2647+CJ2647+CL2647+CN2647+CP2647+CR2647+CT2647</f>
        <v>0</v>
      </c>
      <c r="CV2647" s="76"/>
      <c r="CW2647" s="76">
        <f>+CV2647*1100</f>
        <v>0</v>
      </c>
      <c r="CX2647" s="76"/>
      <c r="CY2647" s="76">
        <f>+CX2647*106250</f>
        <v>0</v>
      </c>
      <c r="CZ2647" s="76"/>
      <c r="DA2647" s="76">
        <f>+CZ2647*34500</f>
        <v>0</v>
      </c>
      <c r="DB2647" s="76"/>
      <c r="DC2647" s="76">
        <f>+DB2647*25000</f>
        <v>0</v>
      </c>
      <c r="DD2647" s="219"/>
      <c r="DE2647" s="219"/>
      <c r="DF2647" s="166"/>
      <c r="DG2647" s="116"/>
      <c r="DH2647" s="117"/>
      <c r="DI2647" s="24"/>
      <c r="DJ2647" s="24"/>
      <c r="DK2647" s="24"/>
      <c r="DL2647" s="24"/>
      <c r="DM2647" s="24"/>
      <c r="DN2647" s="24"/>
      <c r="DO2647" s="24"/>
      <c r="DP2647" s="24"/>
      <c r="DQ2647" s="24"/>
      <c r="DR2647" s="24"/>
      <c r="DS2647" s="24"/>
      <c r="DT2647" s="24"/>
      <c r="DU2647" s="24"/>
    </row>
    <row r="2648" spans="1:125" s="8" customFormat="1" ht="84" x14ac:dyDescent="0.2">
      <c r="A2648" s="353">
        <v>41492</v>
      </c>
      <c r="B2648" s="352" t="s">
        <v>2847</v>
      </c>
      <c r="C2648" s="354" t="s">
        <v>2673</v>
      </c>
      <c r="D2648" s="354" t="s">
        <v>2846</v>
      </c>
      <c r="E2648" s="353" t="str">
        <f>VLOOKUP(B2648&amp;C2648,Divipola!$C$2:$F$1138,4,FALSE)</f>
        <v>68001</v>
      </c>
      <c r="F2648" s="87"/>
      <c r="G2648" s="87"/>
      <c r="H2648" s="87"/>
      <c r="I2648" s="87"/>
      <c r="J2648" s="87"/>
      <c r="K2648" s="87"/>
      <c r="L2648" s="87"/>
      <c r="M2648" s="87"/>
      <c r="N2648" s="87"/>
      <c r="O2648" s="87"/>
      <c r="P2648" s="87"/>
      <c r="Q2648" s="87"/>
      <c r="R2648" s="87"/>
      <c r="S2648" s="87"/>
      <c r="T2648" s="87"/>
      <c r="U2648" s="88"/>
      <c r="V2648" s="89"/>
      <c r="W2648" s="96">
        <v>0</v>
      </c>
      <c r="X2648" s="71">
        <f>CU2648</f>
        <v>0</v>
      </c>
      <c r="Y2648" s="71">
        <f>CY2648</f>
        <v>0</v>
      </c>
      <c r="Z2648" s="71">
        <f>DA2648+DC2648+DE2648</f>
        <v>0</v>
      </c>
      <c r="AA2648" s="71">
        <f>CW2648</f>
        <v>0</v>
      </c>
      <c r="AB2648" s="71"/>
      <c r="AC2648" s="71">
        <v>0</v>
      </c>
      <c r="AD2648" s="71">
        <f>W2648+X2648+Y2648+Z2648+AA2648+AB2648+AC2648</f>
        <v>0</v>
      </c>
      <c r="AE2648" s="72">
        <v>0</v>
      </c>
      <c r="AF2648" s="5"/>
      <c r="AG2648" s="6"/>
      <c r="AH2648" s="27"/>
      <c r="AI2648" s="44"/>
      <c r="AJ2648" s="26"/>
      <c r="AK2648" s="5"/>
      <c r="AL2648" s="82" t="s">
        <v>5526</v>
      </c>
      <c r="AM2648" s="76"/>
      <c r="AN2648" s="76"/>
      <c r="AO2648" s="76"/>
      <c r="AP2648" s="76"/>
      <c r="AQ2648" s="76"/>
      <c r="AR2648" s="76"/>
      <c r="AS2648" s="76"/>
      <c r="AT2648" s="76"/>
      <c r="AU2648" s="76"/>
      <c r="AV2648" s="76"/>
      <c r="AW2648" s="76"/>
      <c r="AX2648" s="76">
        <f>+AW2648*600000</f>
        <v>0</v>
      </c>
      <c r="AY2648" s="76"/>
      <c r="AZ2648" s="76">
        <f>+AY2648*70000</f>
        <v>0</v>
      </c>
      <c r="BA2648" s="76"/>
      <c r="BB2648" s="76"/>
      <c r="BC2648" s="76"/>
      <c r="BD2648" s="76">
        <f>+BC2648*30000</f>
        <v>0</v>
      </c>
      <c r="BE2648" s="76"/>
      <c r="BF2648" s="76"/>
      <c r="BG2648" s="76"/>
      <c r="BH2648" s="76"/>
      <c r="BI2648" s="76"/>
      <c r="BJ2648" s="76"/>
      <c r="BK2648" s="76"/>
      <c r="BL2648" s="76">
        <f>+BK2648*31500</f>
        <v>0</v>
      </c>
      <c r="BM2648" s="76"/>
      <c r="BN2648" s="76"/>
      <c r="BO2648" s="76"/>
      <c r="BP2648" s="76"/>
      <c r="BQ2648" s="76"/>
      <c r="BR2648" s="76"/>
      <c r="BS2648" s="76"/>
      <c r="BT2648" s="76"/>
      <c r="BU2648" s="76"/>
      <c r="BV2648" s="76"/>
      <c r="BW2648" s="76"/>
      <c r="BX2648" s="76"/>
      <c r="BY2648" s="76"/>
      <c r="BZ2648" s="76"/>
      <c r="CA2648" s="76"/>
      <c r="CB2648" s="76"/>
      <c r="CC2648" s="76"/>
      <c r="CD2648" s="76"/>
      <c r="CE2648" s="76"/>
      <c r="CF2648" s="76">
        <f>+CE2648*28000</f>
        <v>0</v>
      </c>
      <c r="CG2648" s="76"/>
      <c r="CH2648" s="76">
        <f>+CG2648*22500</f>
        <v>0</v>
      </c>
      <c r="CI2648" s="76"/>
      <c r="CJ2648" s="76">
        <f>+CI2648*26000</f>
        <v>0</v>
      </c>
      <c r="CK2648" s="76"/>
      <c r="CL2648" s="76"/>
      <c r="CM2648" s="76"/>
      <c r="CN2648" s="76">
        <f>+CM2648*22000</f>
        <v>0</v>
      </c>
      <c r="CO2648" s="76"/>
      <c r="CP2648" s="76">
        <f>+CO2648*46000</f>
        <v>0</v>
      </c>
      <c r="CQ2648" s="76"/>
      <c r="CR2648" s="76">
        <f>+CQ2648*49000</f>
        <v>0</v>
      </c>
      <c r="CS2648" s="76"/>
      <c r="CT2648" s="76"/>
      <c r="CU2648" s="56">
        <f>AN2648+AP2648+AR2648+AT2648+AV2648+AX2648+AZ2648+BB2648+BD2648+BF2648+BH2648+BJ2648+BL2648+BN2648+BP2648+BR2648+BT2648+BV2648+BX2648+BZ2648+CB2648+CD2648+CF2648+CH2648+CJ2648+CL2648+CN2648+CP2648+CR2648+CT2648</f>
        <v>0</v>
      </c>
      <c r="CV2648" s="76"/>
      <c r="CW2648" s="76">
        <f>+CV2648*1100</f>
        <v>0</v>
      </c>
      <c r="CX2648" s="76"/>
      <c r="CY2648" s="76">
        <f>+CX2648*106250</f>
        <v>0</v>
      </c>
      <c r="CZ2648" s="76"/>
      <c r="DA2648" s="76">
        <f>+CZ2648*34500</f>
        <v>0</v>
      </c>
      <c r="DB2648" s="76"/>
      <c r="DC2648" s="76">
        <f>+DB2648*25000</f>
        <v>0</v>
      </c>
      <c r="DD2648" s="219"/>
      <c r="DE2648" s="219"/>
      <c r="DF2648" s="166"/>
      <c r="DG2648" s="116"/>
      <c r="DH2648" s="117"/>
      <c r="DI2648" s="24"/>
      <c r="DJ2648" s="24"/>
      <c r="DK2648" s="24"/>
      <c r="DL2648" s="24"/>
      <c r="DM2648" s="24"/>
      <c r="DN2648" s="24"/>
      <c r="DO2648" s="24"/>
      <c r="DP2648" s="24"/>
      <c r="DQ2648" s="24"/>
      <c r="DR2648" s="24"/>
      <c r="DS2648" s="24"/>
      <c r="DT2648" s="24"/>
      <c r="DU2648" s="24"/>
    </row>
    <row r="2649" spans="1:125" s="8" customFormat="1" ht="72.75" x14ac:dyDescent="0.2">
      <c r="A2649" s="77">
        <v>41492</v>
      </c>
      <c r="B2649" s="78" t="s">
        <v>2847</v>
      </c>
      <c r="C2649" s="75" t="s">
        <v>355</v>
      </c>
      <c r="D2649" s="75" t="s">
        <v>2846</v>
      </c>
      <c r="E2649" s="353" t="str">
        <f>VLOOKUP(B2649&amp;C2649,Divipola!$C$2:$F$1138,4,FALSE)</f>
        <v>68296</v>
      </c>
      <c r="F2649" s="87"/>
      <c r="G2649" s="87"/>
      <c r="H2649" s="87"/>
      <c r="I2649" s="87"/>
      <c r="J2649" s="87"/>
      <c r="K2649" s="87"/>
      <c r="L2649" s="87"/>
      <c r="M2649" s="87"/>
      <c r="N2649" s="87"/>
      <c r="O2649" s="87"/>
      <c r="P2649" s="87"/>
      <c r="Q2649" s="87"/>
      <c r="R2649" s="87"/>
      <c r="S2649" s="87"/>
      <c r="T2649" s="87"/>
      <c r="U2649" s="88">
        <v>1</v>
      </c>
      <c r="V2649" s="89"/>
      <c r="W2649" s="96">
        <v>0</v>
      </c>
      <c r="X2649" s="71">
        <f>CU2649</f>
        <v>0</v>
      </c>
      <c r="Y2649" s="71">
        <f>CY2649</f>
        <v>0</v>
      </c>
      <c r="Z2649" s="71">
        <f>DA2649+DC2649+DE2649</f>
        <v>0</v>
      </c>
      <c r="AA2649" s="71">
        <f>CW2649</f>
        <v>0</v>
      </c>
      <c r="AB2649" s="71"/>
      <c r="AC2649" s="71">
        <v>0</v>
      </c>
      <c r="AD2649" s="71">
        <f>W2649+X2649+Y2649+Z2649+AA2649+AB2649+AC2649</f>
        <v>0</v>
      </c>
      <c r="AE2649" s="72">
        <v>0</v>
      </c>
      <c r="AF2649" s="5"/>
      <c r="AG2649" s="6"/>
      <c r="AH2649" s="27"/>
      <c r="AI2649" s="44"/>
      <c r="AJ2649" s="26"/>
      <c r="AK2649" s="5"/>
      <c r="AL2649" s="82" t="s">
        <v>5525</v>
      </c>
      <c r="AM2649" s="76"/>
      <c r="AN2649" s="76"/>
      <c r="AO2649" s="76"/>
      <c r="AP2649" s="76"/>
      <c r="AQ2649" s="76"/>
      <c r="AR2649" s="76"/>
      <c r="AS2649" s="76"/>
      <c r="AT2649" s="76"/>
      <c r="AU2649" s="76"/>
      <c r="AV2649" s="76"/>
      <c r="AW2649" s="76"/>
      <c r="AX2649" s="76">
        <f>+AW2649*600000</f>
        <v>0</v>
      </c>
      <c r="AY2649" s="76"/>
      <c r="AZ2649" s="76">
        <f>+AY2649*70000</f>
        <v>0</v>
      </c>
      <c r="BA2649" s="76"/>
      <c r="BB2649" s="76"/>
      <c r="BC2649" s="76"/>
      <c r="BD2649" s="76">
        <f>+BC2649*30000</f>
        <v>0</v>
      </c>
      <c r="BE2649" s="76"/>
      <c r="BF2649" s="76"/>
      <c r="BG2649" s="76"/>
      <c r="BH2649" s="76"/>
      <c r="BI2649" s="76"/>
      <c r="BJ2649" s="76"/>
      <c r="BK2649" s="76"/>
      <c r="BL2649" s="76">
        <f>+BK2649*31500</f>
        <v>0</v>
      </c>
      <c r="BM2649" s="76"/>
      <c r="BN2649" s="76"/>
      <c r="BO2649" s="76"/>
      <c r="BP2649" s="76"/>
      <c r="BQ2649" s="76"/>
      <c r="BR2649" s="76"/>
      <c r="BS2649" s="76"/>
      <c r="BT2649" s="76"/>
      <c r="BU2649" s="76"/>
      <c r="BV2649" s="76"/>
      <c r="BW2649" s="76"/>
      <c r="BX2649" s="76"/>
      <c r="BY2649" s="76"/>
      <c r="BZ2649" s="76"/>
      <c r="CA2649" s="76"/>
      <c r="CB2649" s="76"/>
      <c r="CC2649" s="76"/>
      <c r="CD2649" s="76"/>
      <c r="CE2649" s="76"/>
      <c r="CF2649" s="76">
        <f>+CE2649*28000</f>
        <v>0</v>
      </c>
      <c r="CG2649" s="76"/>
      <c r="CH2649" s="76">
        <f>+CG2649*22500</f>
        <v>0</v>
      </c>
      <c r="CI2649" s="76"/>
      <c r="CJ2649" s="76">
        <f>+CI2649*26000</f>
        <v>0</v>
      </c>
      <c r="CK2649" s="76"/>
      <c r="CL2649" s="76"/>
      <c r="CM2649" s="76"/>
      <c r="CN2649" s="76">
        <f>+CM2649*22000</f>
        <v>0</v>
      </c>
      <c r="CO2649" s="76"/>
      <c r="CP2649" s="76">
        <f>+CO2649*46000</f>
        <v>0</v>
      </c>
      <c r="CQ2649" s="76"/>
      <c r="CR2649" s="76">
        <f>+CQ2649*49000</f>
        <v>0</v>
      </c>
      <c r="CS2649" s="76"/>
      <c r="CT2649" s="76"/>
      <c r="CU2649" s="56">
        <f>AN2649+AP2649+AR2649+AT2649+AV2649+AX2649+AZ2649+BB2649+BD2649+BF2649+BH2649+BJ2649+BL2649+BN2649+BP2649+BR2649+BT2649+BV2649+BX2649+BZ2649+CB2649+CD2649+CF2649+CH2649+CJ2649+CL2649+CN2649+CP2649+CR2649+CT2649</f>
        <v>0</v>
      </c>
      <c r="CV2649" s="76"/>
      <c r="CW2649" s="76">
        <f>+CV2649*1100</f>
        <v>0</v>
      </c>
      <c r="CX2649" s="76"/>
      <c r="CY2649" s="76">
        <f>+CX2649*106250</f>
        <v>0</v>
      </c>
      <c r="CZ2649" s="76"/>
      <c r="DA2649" s="76">
        <f>+CZ2649*34500</f>
        <v>0</v>
      </c>
      <c r="DB2649" s="76"/>
      <c r="DC2649" s="76">
        <f>+DB2649*25000</f>
        <v>0</v>
      </c>
      <c r="DD2649" s="219"/>
      <c r="DE2649" s="219"/>
      <c r="DF2649" s="166"/>
      <c r="DG2649" s="116"/>
      <c r="DH2649" s="117"/>
      <c r="DI2649" s="24"/>
      <c r="DJ2649" s="24"/>
      <c r="DK2649" s="24"/>
      <c r="DL2649" s="24"/>
      <c r="DM2649" s="24"/>
      <c r="DN2649" s="24"/>
      <c r="DO2649" s="24"/>
      <c r="DP2649" s="24"/>
      <c r="DQ2649" s="24"/>
      <c r="DR2649" s="24"/>
      <c r="DS2649" s="24"/>
      <c r="DT2649" s="24"/>
      <c r="DU2649" s="24"/>
    </row>
    <row r="2650" spans="1:125" s="8" customFormat="1" ht="120" x14ac:dyDescent="0.2">
      <c r="A2650" s="353">
        <v>41492</v>
      </c>
      <c r="B2650" s="352" t="s">
        <v>2847</v>
      </c>
      <c r="C2650" s="227" t="s">
        <v>479</v>
      </c>
      <c r="D2650" s="354" t="s">
        <v>2882</v>
      </c>
      <c r="E2650" s="353" t="str">
        <f>VLOOKUP(B2650&amp;C2650,Divipola!$C$2:$F$1138,4,FALSE)</f>
        <v>68547</v>
      </c>
      <c r="F2650" s="87"/>
      <c r="G2650" s="87"/>
      <c r="H2650" s="87"/>
      <c r="I2650" s="87">
        <v>35</v>
      </c>
      <c r="J2650" s="87">
        <v>7</v>
      </c>
      <c r="K2650" s="87"/>
      <c r="L2650" s="87">
        <v>7</v>
      </c>
      <c r="M2650" s="87"/>
      <c r="N2650" s="87"/>
      <c r="O2650" s="87"/>
      <c r="P2650" s="87"/>
      <c r="Q2650" s="87"/>
      <c r="R2650" s="87"/>
      <c r="S2650" s="87"/>
      <c r="T2650" s="87"/>
      <c r="U2650" s="88"/>
      <c r="V2650" s="89"/>
      <c r="W2650" s="96">
        <v>0</v>
      </c>
      <c r="X2650" s="71">
        <f>CU2650</f>
        <v>0</v>
      </c>
      <c r="Y2650" s="71">
        <f>CY2650</f>
        <v>0</v>
      </c>
      <c r="Z2650" s="71">
        <f>DA2650+DC2650+DE2650</f>
        <v>0</v>
      </c>
      <c r="AA2650" s="71">
        <f>CW2650</f>
        <v>0</v>
      </c>
      <c r="AB2650" s="71"/>
      <c r="AC2650" s="71">
        <v>0</v>
      </c>
      <c r="AD2650" s="71">
        <f>W2650+X2650+Y2650+Z2650+AA2650+AB2650+AC2650</f>
        <v>0</v>
      </c>
      <c r="AE2650" s="72">
        <v>0</v>
      </c>
      <c r="AF2650" s="5"/>
      <c r="AG2650" s="6"/>
      <c r="AH2650" s="27"/>
      <c r="AI2650" s="44"/>
      <c r="AJ2650" s="26"/>
      <c r="AK2650" s="5"/>
      <c r="AL2650" s="82" t="s">
        <v>5527</v>
      </c>
      <c r="AM2650" s="76"/>
      <c r="AN2650" s="76"/>
      <c r="AO2650" s="76"/>
      <c r="AP2650" s="76"/>
      <c r="AQ2650" s="76"/>
      <c r="AR2650" s="76"/>
      <c r="AS2650" s="76"/>
      <c r="AT2650" s="76"/>
      <c r="AU2650" s="76"/>
      <c r="AV2650" s="76"/>
      <c r="AW2650" s="76"/>
      <c r="AX2650" s="76">
        <f>+AW2650*600000</f>
        <v>0</v>
      </c>
      <c r="AY2650" s="76"/>
      <c r="AZ2650" s="76">
        <f>+AY2650*70000</f>
        <v>0</v>
      </c>
      <c r="BA2650" s="76"/>
      <c r="BB2650" s="76"/>
      <c r="BC2650" s="76"/>
      <c r="BD2650" s="76">
        <f>+BC2650*30000</f>
        <v>0</v>
      </c>
      <c r="BE2650" s="76"/>
      <c r="BF2650" s="76"/>
      <c r="BG2650" s="76"/>
      <c r="BH2650" s="76"/>
      <c r="BI2650" s="76"/>
      <c r="BJ2650" s="76"/>
      <c r="BK2650" s="76"/>
      <c r="BL2650" s="76">
        <f>+BK2650*31500</f>
        <v>0</v>
      </c>
      <c r="BM2650" s="76"/>
      <c r="BN2650" s="76"/>
      <c r="BO2650" s="76"/>
      <c r="BP2650" s="76"/>
      <c r="BQ2650" s="76"/>
      <c r="BR2650" s="76"/>
      <c r="BS2650" s="76"/>
      <c r="BT2650" s="76"/>
      <c r="BU2650" s="76"/>
      <c r="BV2650" s="76"/>
      <c r="BW2650" s="76"/>
      <c r="BX2650" s="76"/>
      <c r="BY2650" s="76"/>
      <c r="BZ2650" s="76"/>
      <c r="CA2650" s="76"/>
      <c r="CB2650" s="76"/>
      <c r="CC2650" s="76"/>
      <c r="CD2650" s="76"/>
      <c r="CE2650" s="76"/>
      <c r="CF2650" s="76">
        <f>+CE2650*28000</f>
        <v>0</v>
      </c>
      <c r="CG2650" s="76"/>
      <c r="CH2650" s="76">
        <f>+CG2650*22500</f>
        <v>0</v>
      </c>
      <c r="CI2650" s="76"/>
      <c r="CJ2650" s="76">
        <f>+CI2650*26000</f>
        <v>0</v>
      </c>
      <c r="CK2650" s="76"/>
      <c r="CL2650" s="76"/>
      <c r="CM2650" s="76"/>
      <c r="CN2650" s="76">
        <f>+CM2650*22000</f>
        <v>0</v>
      </c>
      <c r="CO2650" s="76"/>
      <c r="CP2650" s="76">
        <f>+CO2650*46000</f>
        <v>0</v>
      </c>
      <c r="CQ2650" s="76"/>
      <c r="CR2650" s="76">
        <f>+CQ2650*49000</f>
        <v>0</v>
      </c>
      <c r="CS2650" s="76"/>
      <c r="CT2650" s="76"/>
      <c r="CU2650" s="56">
        <f>AN2650+AP2650+AR2650+AT2650+AV2650+AX2650+AZ2650+BB2650+BD2650+BF2650+BH2650+BJ2650+BL2650+BN2650+BP2650+BR2650+BT2650+BV2650+BX2650+BZ2650+CB2650+CD2650+CF2650+CH2650+CJ2650+CL2650+CN2650+CP2650+CR2650+CT2650</f>
        <v>0</v>
      </c>
      <c r="CV2650" s="76"/>
      <c r="CW2650" s="76">
        <f>+CV2650*1100</f>
        <v>0</v>
      </c>
      <c r="CX2650" s="76"/>
      <c r="CY2650" s="76">
        <f>+CX2650*106250</f>
        <v>0</v>
      </c>
      <c r="CZ2650" s="76"/>
      <c r="DA2650" s="76">
        <f>+CZ2650*34500</f>
        <v>0</v>
      </c>
      <c r="DB2650" s="76"/>
      <c r="DC2650" s="76">
        <f>+DB2650*25000</f>
        <v>0</v>
      </c>
      <c r="DD2650" s="219"/>
      <c r="DE2650" s="219"/>
      <c r="DF2650" s="166"/>
      <c r="DG2650" s="116"/>
      <c r="DH2650" s="117"/>
      <c r="DI2650" s="24"/>
      <c r="DJ2650" s="24"/>
      <c r="DK2650" s="24"/>
      <c r="DL2650" s="24"/>
      <c r="DM2650" s="24"/>
      <c r="DN2650" s="24"/>
      <c r="DO2650" s="24"/>
      <c r="DP2650" s="24"/>
      <c r="DQ2650" s="24"/>
      <c r="DR2650" s="24"/>
      <c r="DS2650" s="24"/>
      <c r="DT2650" s="24"/>
      <c r="DU2650" s="24"/>
    </row>
    <row r="2651" spans="1:125" s="8" customFormat="1" ht="168" x14ac:dyDescent="0.2">
      <c r="A2651" s="353">
        <v>41492</v>
      </c>
      <c r="B2651" s="352" t="s">
        <v>2847</v>
      </c>
      <c r="C2651" s="227" t="s">
        <v>1794</v>
      </c>
      <c r="D2651" s="354" t="s">
        <v>4391</v>
      </c>
      <c r="E2651" s="353" t="str">
        <f>VLOOKUP(B2651&amp;C2651,Divipola!$C$2:$F$1138,4,FALSE)</f>
        <v>68895</v>
      </c>
      <c r="F2651" s="87"/>
      <c r="G2651" s="87"/>
      <c r="H2651" s="87">
        <v>1</v>
      </c>
      <c r="I2651" s="87"/>
      <c r="J2651" s="87"/>
      <c r="K2651" s="87"/>
      <c r="L2651" s="87"/>
      <c r="M2651" s="87"/>
      <c r="N2651" s="87"/>
      <c r="O2651" s="87"/>
      <c r="P2651" s="87"/>
      <c r="Q2651" s="87"/>
      <c r="R2651" s="87"/>
      <c r="S2651" s="87"/>
      <c r="T2651" s="87"/>
      <c r="U2651" s="88"/>
      <c r="V2651" s="89"/>
      <c r="W2651" s="96">
        <v>0</v>
      </c>
      <c r="X2651" s="71">
        <f>CU2651</f>
        <v>0</v>
      </c>
      <c r="Y2651" s="71">
        <f>CY2651</f>
        <v>0</v>
      </c>
      <c r="Z2651" s="71">
        <f>DA2651+DC2651+DE2651</f>
        <v>0</v>
      </c>
      <c r="AA2651" s="71">
        <f>CW2651</f>
        <v>0</v>
      </c>
      <c r="AB2651" s="71"/>
      <c r="AC2651" s="71">
        <v>0</v>
      </c>
      <c r="AD2651" s="71">
        <f>W2651+X2651+Y2651+Z2651+AA2651+AB2651+AC2651</f>
        <v>0</v>
      </c>
      <c r="AE2651" s="72">
        <v>0</v>
      </c>
      <c r="AF2651" s="5"/>
      <c r="AG2651" s="6"/>
      <c r="AH2651" s="27"/>
      <c r="AI2651" s="44"/>
      <c r="AJ2651" s="26"/>
      <c r="AK2651" s="5"/>
      <c r="AL2651" s="82" t="s">
        <v>5528</v>
      </c>
      <c r="AM2651" s="76"/>
      <c r="AN2651" s="76"/>
      <c r="AO2651" s="76"/>
      <c r="AP2651" s="76"/>
      <c r="AQ2651" s="76"/>
      <c r="AR2651" s="76"/>
      <c r="AS2651" s="76"/>
      <c r="AT2651" s="76"/>
      <c r="AU2651" s="76"/>
      <c r="AV2651" s="76"/>
      <c r="AW2651" s="76"/>
      <c r="AX2651" s="76">
        <f>+AW2651*600000</f>
        <v>0</v>
      </c>
      <c r="AY2651" s="76"/>
      <c r="AZ2651" s="76">
        <f>+AY2651*70000</f>
        <v>0</v>
      </c>
      <c r="BA2651" s="76"/>
      <c r="BB2651" s="76"/>
      <c r="BC2651" s="76"/>
      <c r="BD2651" s="76">
        <f>+BC2651*30000</f>
        <v>0</v>
      </c>
      <c r="BE2651" s="76"/>
      <c r="BF2651" s="76"/>
      <c r="BG2651" s="76"/>
      <c r="BH2651" s="76"/>
      <c r="BI2651" s="76"/>
      <c r="BJ2651" s="76"/>
      <c r="BK2651" s="76"/>
      <c r="BL2651" s="76">
        <f>+BK2651*31500</f>
        <v>0</v>
      </c>
      <c r="BM2651" s="76"/>
      <c r="BN2651" s="76"/>
      <c r="BO2651" s="76"/>
      <c r="BP2651" s="76"/>
      <c r="BQ2651" s="76"/>
      <c r="BR2651" s="76"/>
      <c r="BS2651" s="76"/>
      <c r="BT2651" s="76"/>
      <c r="BU2651" s="76"/>
      <c r="BV2651" s="76"/>
      <c r="BW2651" s="76"/>
      <c r="BX2651" s="76"/>
      <c r="BY2651" s="76"/>
      <c r="BZ2651" s="76"/>
      <c r="CA2651" s="76"/>
      <c r="CB2651" s="76"/>
      <c r="CC2651" s="76"/>
      <c r="CD2651" s="76"/>
      <c r="CE2651" s="76"/>
      <c r="CF2651" s="76">
        <f>+CE2651*28000</f>
        <v>0</v>
      </c>
      <c r="CG2651" s="76"/>
      <c r="CH2651" s="76">
        <f>+CG2651*22500</f>
        <v>0</v>
      </c>
      <c r="CI2651" s="76"/>
      <c r="CJ2651" s="76">
        <f>+CI2651*26000</f>
        <v>0</v>
      </c>
      <c r="CK2651" s="76"/>
      <c r="CL2651" s="76"/>
      <c r="CM2651" s="76"/>
      <c r="CN2651" s="76">
        <f>+CM2651*22000</f>
        <v>0</v>
      </c>
      <c r="CO2651" s="76"/>
      <c r="CP2651" s="76">
        <f>+CO2651*46000</f>
        <v>0</v>
      </c>
      <c r="CQ2651" s="76"/>
      <c r="CR2651" s="76">
        <f>+CQ2651*49000</f>
        <v>0</v>
      </c>
      <c r="CS2651" s="76"/>
      <c r="CT2651" s="76"/>
      <c r="CU2651" s="56">
        <f>AN2651+AP2651+AR2651+AT2651+AV2651+AX2651+AZ2651+BB2651+BD2651+BF2651+BH2651+BJ2651+BL2651+BN2651+BP2651+BR2651+BT2651+BV2651+BX2651+BZ2651+CB2651+CD2651+CF2651+CH2651+CJ2651+CL2651+CN2651+CP2651+CR2651+CT2651</f>
        <v>0</v>
      </c>
      <c r="CV2651" s="76"/>
      <c r="CW2651" s="76">
        <f>+CV2651*1100</f>
        <v>0</v>
      </c>
      <c r="CX2651" s="76"/>
      <c r="CY2651" s="76">
        <f>+CX2651*106250</f>
        <v>0</v>
      </c>
      <c r="CZ2651" s="76"/>
      <c r="DA2651" s="76">
        <f>+CZ2651*34500</f>
        <v>0</v>
      </c>
      <c r="DB2651" s="76"/>
      <c r="DC2651" s="76">
        <f>+DB2651*25000</f>
        <v>0</v>
      </c>
      <c r="DD2651" s="219"/>
      <c r="DE2651" s="219"/>
      <c r="DF2651" s="166"/>
      <c r="DG2651" s="116"/>
      <c r="DH2651" s="117"/>
      <c r="DI2651" s="24"/>
      <c r="DJ2651" s="24"/>
      <c r="DK2651" s="24"/>
      <c r="DL2651" s="24"/>
      <c r="DM2651" s="24"/>
      <c r="DN2651" s="24"/>
      <c r="DO2651" s="24"/>
      <c r="DP2651" s="24"/>
      <c r="DQ2651" s="24"/>
      <c r="DR2651" s="24"/>
      <c r="DS2651" s="24"/>
      <c r="DT2651" s="24"/>
      <c r="DU2651" s="24"/>
    </row>
    <row r="2652" spans="1:125" s="8" customFormat="1" ht="60" x14ac:dyDescent="0.2">
      <c r="A2652" s="77">
        <v>41492</v>
      </c>
      <c r="B2652" s="352" t="s">
        <v>2848</v>
      </c>
      <c r="C2652" s="354" t="s">
        <v>1383</v>
      </c>
      <c r="D2652" s="354" t="s">
        <v>2859</v>
      </c>
      <c r="E2652" s="353" t="str">
        <f>VLOOKUP(B2652&amp;C2652,Divipola!$C$2:$F$1138,4,FALSE)</f>
        <v>73483</v>
      </c>
      <c r="F2652" s="87"/>
      <c r="G2652" s="87"/>
      <c r="H2652" s="87"/>
      <c r="I2652" s="87">
        <v>6</v>
      </c>
      <c r="J2652" s="87">
        <v>1</v>
      </c>
      <c r="K2652" s="87"/>
      <c r="L2652" s="87">
        <v>1</v>
      </c>
      <c r="M2652" s="87"/>
      <c r="N2652" s="87"/>
      <c r="O2652" s="87"/>
      <c r="P2652" s="87"/>
      <c r="Q2652" s="87"/>
      <c r="R2652" s="87"/>
      <c r="S2652" s="87"/>
      <c r="T2652" s="87"/>
      <c r="U2652" s="88"/>
      <c r="V2652" s="89"/>
      <c r="W2652" s="96">
        <v>0</v>
      </c>
      <c r="X2652" s="71">
        <f>CU2652</f>
        <v>0</v>
      </c>
      <c r="Y2652" s="71">
        <f>CY2652</f>
        <v>0</v>
      </c>
      <c r="Z2652" s="71">
        <f>DA2652+DC2652+DE2652</f>
        <v>0</v>
      </c>
      <c r="AA2652" s="71">
        <f>CW2652</f>
        <v>0</v>
      </c>
      <c r="AB2652" s="71"/>
      <c r="AC2652" s="71">
        <v>0</v>
      </c>
      <c r="AD2652" s="71">
        <f>W2652+X2652+Y2652+Z2652+AA2652+AB2652+AC2652</f>
        <v>0</v>
      </c>
      <c r="AE2652" s="72">
        <v>0</v>
      </c>
      <c r="AF2652" s="5"/>
      <c r="AG2652" s="6"/>
      <c r="AH2652" s="27"/>
      <c r="AI2652" s="44"/>
      <c r="AJ2652" s="26"/>
      <c r="AK2652" s="5"/>
      <c r="AL2652" s="82" t="s">
        <v>5543</v>
      </c>
      <c r="AM2652" s="76"/>
      <c r="AN2652" s="76"/>
      <c r="AO2652" s="76"/>
      <c r="AP2652" s="76"/>
      <c r="AQ2652" s="76"/>
      <c r="AR2652" s="76"/>
      <c r="AS2652" s="76"/>
      <c r="AT2652" s="76"/>
      <c r="AU2652" s="76"/>
      <c r="AV2652" s="76"/>
      <c r="AW2652" s="76"/>
      <c r="AX2652" s="76">
        <f>+AW2652*600000</f>
        <v>0</v>
      </c>
      <c r="AY2652" s="76"/>
      <c r="AZ2652" s="76">
        <f>+AY2652*70000</f>
        <v>0</v>
      </c>
      <c r="BA2652" s="76"/>
      <c r="BB2652" s="76"/>
      <c r="BC2652" s="76"/>
      <c r="BD2652" s="76">
        <f>+BC2652*30000</f>
        <v>0</v>
      </c>
      <c r="BE2652" s="76"/>
      <c r="BF2652" s="76"/>
      <c r="BG2652" s="76"/>
      <c r="BH2652" s="76"/>
      <c r="BI2652" s="76"/>
      <c r="BJ2652" s="76"/>
      <c r="BK2652" s="76"/>
      <c r="BL2652" s="76">
        <f>+BK2652*31500</f>
        <v>0</v>
      </c>
      <c r="BM2652" s="76"/>
      <c r="BN2652" s="76"/>
      <c r="BO2652" s="76"/>
      <c r="BP2652" s="76"/>
      <c r="BQ2652" s="76"/>
      <c r="BR2652" s="76"/>
      <c r="BS2652" s="76"/>
      <c r="BT2652" s="76"/>
      <c r="BU2652" s="76"/>
      <c r="BV2652" s="76"/>
      <c r="BW2652" s="76"/>
      <c r="BX2652" s="76"/>
      <c r="BY2652" s="76"/>
      <c r="BZ2652" s="76"/>
      <c r="CA2652" s="76"/>
      <c r="CB2652" s="76"/>
      <c r="CC2652" s="76"/>
      <c r="CD2652" s="76"/>
      <c r="CE2652" s="76"/>
      <c r="CF2652" s="76">
        <f>+CE2652*28000</f>
        <v>0</v>
      </c>
      <c r="CG2652" s="76"/>
      <c r="CH2652" s="76">
        <f>+CG2652*22500</f>
        <v>0</v>
      </c>
      <c r="CI2652" s="76"/>
      <c r="CJ2652" s="76">
        <f>+CI2652*26000</f>
        <v>0</v>
      </c>
      <c r="CK2652" s="76"/>
      <c r="CL2652" s="76"/>
      <c r="CM2652" s="76"/>
      <c r="CN2652" s="76">
        <f>+CM2652*22000</f>
        <v>0</v>
      </c>
      <c r="CO2652" s="76"/>
      <c r="CP2652" s="76">
        <f>+CO2652*46000</f>
        <v>0</v>
      </c>
      <c r="CQ2652" s="76"/>
      <c r="CR2652" s="76">
        <f>+CQ2652*49000</f>
        <v>0</v>
      </c>
      <c r="CS2652" s="76"/>
      <c r="CT2652" s="76"/>
      <c r="CU2652" s="56">
        <f>AN2652+AP2652+AR2652+AT2652+AV2652+AX2652+AZ2652+BB2652+BD2652+BF2652+BH2652+BJ2652+BL2652+BN2652+BP2652+BR2652+BT2652+BV2652+BX2652+BZ2652+CB2652+CD2652+CF2652+CH2652+CJ2652+CL2652+CN2652+CP2652+CR2652+CT2652</f>
        <v>0</v>
      </c>
      <c r="CV2652" s="76"/>
      <c r="CW2652" s="76">
        <f>+CV2652*1100</f>
        <v>0</v>
      </c>
      <c r="CX2652" s="76"/>
      <c r="CY2652" s="76">
        <f>+CX2652*106250</f>
        <v>0</v>
      </c>
      <c r="CZ2652" s="76"/>
      <c r="DA2652" s="76">
        <f>+CZ2652*34500</f>
        <v>0</v>
      </c>
      <c r="DB2652" s="76"/>
      <c r="DC2652" s="76">
        <f>+DB2652*25000</f>
        <v>0</v>
      </c>
      <c r="DD2652" s="219"/>
      <c r="DE2652" s="219"/>
      <c r="DF2652" s="166"/>
      <c r="DG2652" s="116"/>
      <c r="DH2652" s="117"/>
      <c r="DI2652" s="24"/>
      <c r="DJ2652" s="24"/>
      <c r="DK2652" s="24"/>
      <c r="DL2652" s="24"/>
      <c r="DM2652" s="24"/>
      <c r="DN2652" s="24"/>
      <c r="DO2652" s="24"/>
      <c r="DP2652" s="24"/>
      <c r="DQ2652" s="24"/>
      <c r="DR2652" s="24"/>
      <c r="DS2652" s="24"/>
      <c r="DT2652" s="24"/>
      <c r="DU2652" s="24"/>
    </row>
    <row r="2653" spans="1:125" s="8" customFormat="1" ht="72" x14ac:dyDescent="0.2">
      <c r="A2653" s="77">
        <v>41492</v>
      </c>
      <c r="B2653" s="352" t="s">
        <v>2848</v>
      </c>
      <c r="C2653" s="354" t="s">
        <v>2104</v>
      </c>
      <c r="D2653" s="354" t="s">
        <v>2859</v>
      </c>
      <c r="E2653" s="353" t="str">
        <f>VLOOKUP(B2653&amp;C2653,Divipola!$C$2:$F$1138,4,FALSE)</f>
        <v>73563</v>
      </c>
      <c r="F2653" s="87"/>
      <c r="G2653" s="87"/>
      <c r="H2653" s="87"/>
      <c r="I2653" s="87">
        <v>1</v>
      </c>
      <c r="J2653" s="87"/>
      <c r="K2653" s="87">
        <v>1</v>
      </c>
      <c r="L2653" s="87"/>
      <c r="M2653" s="87"/>
      <c r="N2653" s="87"/>
      <c r="O2653" s="87"/>
      <c r="P2653" s="87"/>
      <c r="Q2653" s="87"/>
      <c r="R2653" s="87"/>
      <c r="S2653" s="87"/>
      <c r="T2653" s="87"/>
      <c r="U2653" s="88"/>
      <c r="V2653" s="89"/>
      <c r="W2653" s="96">
        <v>0</v>
      </c>
      <c r="X2653" s="71">
        <f>CU2653</f>
        <v>0</v>
      </c>
      <c r="Y2653" s="71">
        <f>CY2653</f>
        <v>0</v>
      </c>
      <c r="Z2653" s="71">
        <f>DA2653+DC2653+DE2653</f>
        <v>0</v>
      </c>
      <c r="AA2653" s="71">
        <f>CW2653</f>
        <v>0</v>
      </c>
      <c r="AB2653" s="71"/>
      <c r="AC2653" s="71">
        <v>0</v>
      </c>
      <c r="AD2653" s="71">
        <f>W2653+X2653+Y2653+Z2653+AA2653+AB2653+AC2653</f>
        <v>0</v>
      </c>
      <c r="AE2653" s="72">
        <v>0</v>
      </c>
      <c r="AF2653" s="5"/>
      <c r="AG2653" s="6"/>
      <c r="AH2653" s="27"/>
      <c r="AI2653" s="44"/>
      <c r="AJ2653" s="26"/>
      <c r="AK2653" s="5"/>
      <c r="AL2653" s="82" t="s">
        <v>5544</v>
      </c>
      <c r="AM2653" s="76"/>
      <c r="AN2653" s="76"/>
      <c r="AO2653" s="76"/>
      <c r="AP2653" s="76"/>
      <c r="AQ2653" s="76"/>
      <c r="AR2653" s="76"/>
      <c r="AS2653" s="76"/>
      <c r="AT2653" s="76"/>
      <c r="AU2653" s="76"/>
      <c r="AV2653" s="76"/>
      <c r="AW2653" s="76"/>
      <c r="AX2653" s="76">
        <f>+AW2653*600000</f>
        <v>0</v>
      </c>
      <c r="AY2653" s="76"/>
      <c r="AZ2653" s="76">
        <f>+AY2653*70000</f>
        <v>0</v>
      </c>
      <c r="BA2653" s="76"/>
      <c r="BB2653" s="76"/>
      <c r="BC2653" s="76"/>
      <c r="BD2653" s="76">
        <f>+BC2653*30000</f>
        <v>0</v>
      </c>
      <c r="BE2653" s="76"/>
      <c r="BF2653" s="76"/>
      <c r="BG2653" s="76"/>
      <c r="BH2653" s="76"/>
      <c r="BI2653" s="76"/>
      <c r="BJ2653" s="76"/>
      <c r="BK2653" s="76"/>
      <c r="BL2653" s="76">
        <f>+BK2653*31500</f>
        <v>0</v>
      </c>
      <c r="BM2653" s="76"/>
      <c r="BN2653" s="76"/>
      <c r="BO2653" s="76"/>
      <c r="BP2653" s="76"/>
      <c r="BQ2653" s="76"/>
      <c r="BR2653" s="76"/>
      <c r="BS2653" s="76"/>
      <c r="BT2653" s="76"/>
      <c r="BU2653" s="76"/>
      <c r="BV2653" s="76"/>
      <c r="BW2653" s="76"/>
      <c r="BX2653" s="76"/>
      <c r="BY2653" s="76"/>
      <c r="BZ2653" s="76"/>
      <c r="CA2653" s="76"/>
      <c r="CB2653" s="76"/>
      <c r="CC2653" s="76"/>
      <c r="CD2653" s="76"/>
      <c r="CE2653" s="76"/>
      <c r="CF2653" s="76">
        <f>+CE2653*28000</f>
        <v>0</v>
      </c>
      <c r="CG2653" s="76"/>
      <c r="CH2653" s="76">
        <f>+CG2653*22500</f>
        <v>0</v>
      </c>
      <c r="CI2653" s="76"/>
      <c r="CJ2653" s="76">
        <f>+CI2653*26000</f>
        <v>0</v>
      </c>
      <c r="CK2653" s="76"/>
      <c r="CL2653" s="76"/>
      <c r="CM2653" s="76"/>
      <c r="CN2653" s="76">
        <f>+CM2653*22000</f>
        <v>0</v>
      </c>
      <c r="CO2653" s="76"/>
      <c r="CP2653" s="76">
        <f>+CO2653*46000</f>
        <v>0</v>
      </c>
      <c r="CQ2653" s="76"/>
      <c r="CR2653" s="76">
        <f>+CQ2653*49000</f>
        <v>0</v>
      </c>
      <c r="CS2653" s="76"/>
      <c r="CT2653" s="76"/>
      <c r="CU2653" s="56">
        <f>AN2653+AP2653+AR2653+AT2653+AV2653+AX2653+AZ2653+BB2653+BD2653+BF2653+BH2653+BJ2653+BL2653+BN2653+BP2653+BR2653+BT2653+BV2653+BX2653+BZ2653+CB2653+CD2653+CF2653+CH2653+CJ2653+CL2653+CN2653+CP2653+CR2653+CT2653</f>
        <v>0</v>
      </c>
      <c r="CV2653" s="76"/>
      <c r="CW2653" s="76">
        <f>+CV2653*1100</f>
        <v>0</v>
      </c>
      <c r="CX2653" s="76"/>
      <c r="CY2653" s="76">
        <f>+CX2653*106250</f>
        <v>0</v>
      </c>
      <c r="CZ2653" s="76"/>
      <c r="DA2653" s="76">
        <f>+CZ2653*34500</f>
        <v>0</v>
      </c>
      <c r="DB2653" s="76"/>
      <c r="DC2653" s="76">
        <f>+DB2653*25000</f>
        <v>0</v>
      </c>
      <c r="DD2653" s="219"/>
      <c r="DE2653" s="219"/>
      <c r="DF2653" s="166"/>
      <c r="DG2653" s="116"/>
      <c r="DH2653" s="117"/>
      <c r="DI2653" s="24"/>
      <c r="DJ2653" s="24"/>
      <c r="DK2653" s="24"/>
      <c r="DL2653" s="24"/>
      <c r="DM2653" s="24"/>
      <c r="DN2653" s="24"/>
      <c r="DO2653" s="24"/>
      <c r="DP2653" s="24"/>
      <c r="DQ2653" s="24"/>
      <c r="DR2653" s="24"/>
      <c r="DS2653" s="24"/>
      <c r="DT2653" s="24"/>
      <c r="DU2653" s="24"/>
    </row>
    <row r="2654" spans="1:125" s="8" customFormat="1" ht="84" x14ac:dyDescent="0.2">
      <c r="A2654" s="77">
        <v>41492</v>
      </c>
      <c r="B2654" s="78" t="s">
        <v>2851</v>
      </c>
      <c r="C2654" s="75" t="s">
        <v>2135</v>
      </c>
      <c r="D2654" s="75" t="s">
        <v>2882</v>
      </c>
      <c r="E2654" s="296" t="str">
        <f>VLOOKUP(B2654&amp;C2654,Divipola!$C$2:$F$1138,4,FALSE)</f>
        <v>76834</v>
      </c>
      <c r="F2654" s="61"/>
      <c r="G2654" s="61"/>
      <c r="H2654" s="61"/>
      <c r="I2654" s="61">
        <v>425</v>
      </c>
      <c r="J2654" s="61">
        <v>85</v>
      </c>
      <c r="K2654" s="61"/>
      <c r="L2654" s="61">
        <v>85</v>
      </c>
      <c r="M2654" s="61"/>
      <c r="N2654" s="61"/>
      <c r="O2654" s="61"/>
      <c r="P2654" s="61"/>
      <c r="Q2654" s="61"/>
      <c r="R2654" s="61"/>
      <c r="S2654" s="61"/>
      <c r="T2654" s="61"/>
      <c r="U2654" s="61"/>
      <c r="V2654" s="7"/>
      <c r="W2654" s="96">
        <v>0</v>
      </c>
      <c r="X2654" s="71">
        <f>CU2654</f>
        <v>0</v>
      </c>
      <c r="Y2654" s="71">
        <f>CY2654</f>
        <v>0</v>
      </c>
      <c r="Z2654" s="71">
        <f>DA2654+DC2654+DE2654</f>
        <v>0</v>
      </c>
      <c r="AA2654" s="71">
        <f>CW2654</f>
        <v>0</v>
      </c>
      <c r="AB2654" s="71"/>
      <c r="AC2654" s="71">
        <v>0</v>
      </c>
      <c r="AD2654" s="71">
        <f>W2654+X2654+Y2654+Z2654+AA2654+AB2654+AC2654</f>
        <v>0</v>
      </c>
      <c r="AE2654" s="72">
        <v>0</v>
      </c>
      <c r="AF2654" s="5"/>
      <c r="AG2654" s="6"/>
      <c r="AH2654" s="27" t="s">
        <v>3390</v>
      </c>
      <c r="AI2654" s="44" t="s">
        <v>3393</v>
      </c>
      <c r="AJ2654" s="26"/>
      <c r="AK2654" s="5" t="s">
        <v>6258</v>
      </c>
      <c r="AL2654" s="9" t="s">
        <v>5933</v>
      </c>
      <c r="AM2654" s="76"/>
      <c r="AN2654" s="76"/>
      <c r="AO2654" s="76"/>
      <c r="AP2654" s="76"/>
      <c r="AQ2654" s="76"/>
      <c r="AR2654" s="76"/>
      <c r="AS2654" s="76"/>
      <c r="AT2654" s="76"/>
      <c r="AU2654" s="76"/>
      <c r="AV2654" s="76"/>
      <c r="AW2654" s="76"/>
      <c r="AX2654" s="76">
        <f>+AW2654*600000</f>
        <v>0</v>
      </c>
      <c r="AY2654" s="76"/>
      <c r="AZ2654" s="76">
        <f>+AY2654*70000</f>
        <v>0</v>
      </c>
      <c r="BA2654" s="76"/>
      <c r="BB2654" s="76"/>
      <c r="BC2654" s="76"/>
      <c r="BD2654" s="76">
        <f>+BC2654*30000</f>
        <v>0</v>
      </c>
      <c r="BE2654" s="76"/>
      <c r="BF2654" s="76"/>
      <c r="BG2654" s="76"/>
      <c r="BH2654" s="76"/>
      <c r="BI2654" s="76"/>
      <c r="BJ2654" s="76"/>
      <c r="BK2654" s="76"/>
      <c r="BL2654" s="76">
        <f>+BK2654*31500</f>
        <v>0</v>
      </c>
      <c r="BM2654" s="76"/>
      <c r="BN2654" s="76"/>
      <c r="BO2654" s="76"/>
      <c r="BP2654" s="76"/>
      <c r="BQ2654" s="76"/>
      <c r="BR2654" s="76"/>
      <c r="BS2654" s="76"/>
      <c r="BT2654" s="76"/>
      <c r="BU2654" s="76"/>
      <c r="BV2654" s="76"/>
      <c r="BW2654" s="76"/>
      <c r="BX2654" s="76"/>
      <c r="BY2654" s="76"/>
      <c r="BZ2654" s="76"/>
      <c r="CA2654" s="76"/>
      <c r="CB2654" s="76"/>
      <c r="CC2654" s="76"/>
      <c r="CD2654" s="76"/>
      <c r="CE2654" s="76"/>
      <c r="CF2654" s="76">
        <f>+CE2654*28000</f>
        <v>0</v>
      </c>
      <c r="CG2654" s="76"/>
      <c r="CH2654" s="76">
        <f>+CG2654*22500</f>
        <v>0</v>
      </c>
      <c r="CI2654" s="76"/>
      <c r="CJ2654" s="76">
        <f>+CI2654*26000</f>
        <v>0</v>
      </c>
      <c r="CK2654" s="76"/>
      <c r="CL2654" s="76"/>
      <c r="CM2654" s="76"/>
      <c r="CN2654" s="76">
        <f>+CM2654*22000</f>
        <v>0</v>
      </c>
      <c r="CO2654" s="76"/>
      <c r="CP2654" s="76">
        <f>+CO2654*46000</f>
        <v>0</v>
      </c>
      <c r="CQ2654" s="76"/>
      <c r="CR2654" s="76">
        <f>+CQ2654*49000</f>
        <v>0</v>
      </c>
      <c r="CS2654" s="76"/>
      <c r="CT2654" s="76"/>
      <c r="CU2654" s="56">
        <f>AN2654+AP2654+AR2654+AT2654+AV2654+AX2654+AZ2654+BB2654+BD2654+BF2654+BH2654+BJ2654+BL2654+BN2654+BP2654+BR2654+BT2654+BV2654+BX2654+BZ2654+CB2654+CD2654+CF2654+CH2654+CJ2654+CL2654+CN2654+CP2654+CR2654+CT2654</f>
        <v>0</v>
      </c>
      <c r="CV2654" s="76"/>
      <c r="CW2654" s="76">
        <f>+CV2654*1100</f>
        <v>0</v>
      </c>
      <c r="CX2654" s="76"/>
      <c r="CY2654" s="76">
        <f>+CX2654*106250</f>
        <v>0</v>
      </c>
      <c r="CZ2654" s="76"/>
      <c r="DA2654" s="76">
        <f>+CZ2654*34500</f>
        <v>0</v>
      </c>
      <c r="DB2654" s="76"/>
      <c r="DC2654" s="76">
        <f>+DB2654*25000</f>
        <v>0</v>
      </c>
      <c r="DD2654" s="219"/>
      <c r="DE2654" s="219"/>
      <c r="DF2654" s="166"/>
      <c r="DG2654" s="116"/>
      <c r="DH2654" s="117"/>
      <c r="DI2654" s="24"/>
      <c r="DJ2654" s="24"/>
      <c r="DK2654" s="24"/>
      <c r="DL2654" s="24"/>
      <c r="DM2654" s="24"/>
      <c r="DN2654" s="24"/>
      <c r="DO2654" s="24"/>
      <c r="DP2654" s="24"/>
      <c r="DQ2654" s="24"/>
      <c r="DR2654" s="24"/>
      <c r="DS2654" s="24"/>
      <c r="DT2654" s="24"/>
      <c r="DU2654" s="24"/>
    </row>
    <row r="2655" spans="1:125" s="8" customFormat="1" ht="60" x14ac:dyDescent="0.2">
      <c r="A2655" s="77">
        <v>41493</v>
      </c>
      <c r="B2655" s="352" t="s">
        <v>2196</v>
      </c>
      <c r="C2655" s="354" t="s">
        <v>764</v>
      </c>
      <c r="D2655" s="354" t="s">
        <v>2882</v>
      </c>
      <c r="E2655" s="353" t="str">
        <f>VLOOKUP(B2655&amp;C2655,Divipola!$C$2:$F$1138,4,FALSE)</f>
        <v>17541</v>
      </c>
      <c r="F2655" s="87"/>
      <c r="G2655" s="87"/>
      <c r="H2655" s="87"/>
      <c r="I2655" s="87">
        <v>225</v>
      </c>
      <c r="J2655" s="87">
        <v>45</v>
      </c>
      <c r="K2655" s="87">
        <v>5</v>
      </c>
      <c r="L2655" s="87">
        <v>40</v>
      </c>
      <c r="M2655" s="87"/>
      <c r="N2655" s="87"/>
      <c r="O2655" s="87"/>
      <c r="P2655" s="87"/>
      <c r="Q2655" s="87"/>
      <c r="R2655" s="87"/>
      <c r="S2655" s="87"/>
      <c r="T2655" s="87"/>
      <c r="U2655" s="88"/>
      <c r="V2655" s="89"/>
      <c r="W2655" s="96">
        <v>0</v>
      </c>
      <c r="X2655" s="71">
        <f>CU2655</f>
        <v>25622000</v>
      </c>
      <c r="Y2655" s="71">
        <f>CY2655</f>
        <v>8221785</v>
      </c>
      <c r="Z2655" s="71">
        <f>DA2655+DC2655+DE2655</f>
        <v>90620000</v>
      </c>
      <c r="AA2655" s="71">
        <f>CW2655</f>
        <v>0</v>
      </c>
      <c r="AB2655" s="71"/>
      <c r="AC2655" s="71">
        <v>0</v>
      </c>
      <c r="AD2655" s="71">
        <f>W2655+X2655+Y2655+Z2655+AA2655+AB2655+AC2655</f>
        <v>124463785</v>
      </c>
      <c r="AE2655" s="72">
        <v>0</v>
      </c>
      <c r="AF2655" s="5"/>
      <c r="AG2655" s="6"/>
      <c r="AH2655" s="27"/>
      <c r="AI2655" s="44"/>
      <c r="AJ2655" s="26"/>
      <c r="AK2655" s="5"/>
      <c r="AL2655" s="82" t="s">
        <v>5547</v>
      </c>
      <c r="AM2655" s="76"/>
      <c r="AN2655" s="76"/>
      <c r="AO2655" s="76"/>
      <c r="AP2655" s="76"/>
      <c r="AQ2655" s="76"/>
      <c r="AR2655" s="76"/>
      <c r="AS2655" s="76"/>
      <c r="AT2655" s="76"/>
      <c r="AU2655" s="76"/>
      <c r="AV2655" s="76"/>
      <c r="AW2655" s="76"/>
      <c r="AX2655" s="76">
        <f>+AW2655*600000</f>
        <v>0</v>
      </c>
      <c r="AY2655" s="86">
        <v>200</v>
      </c>
      <c r="AZ2655" s="86">
        <f>+AY2655*70000</f>
        <v>14000000</v>
      </c>
      <c r="BA2655" s="76"/>
      <c r="BB2655" s="76"/>
      <c r="BC2655" s="76"/>
      <c r="BD2655" s="76">
        <f>+BC2655*30000</f>
        <v>0</v>
      </c>
      <c r="BE2655" s="76"/>
      <c r="BF2655" s="76"/>
      <c r="BG2655" s="76"/>
      <c r="BH2655" s="76"/>
      <c r="BI2655" s="76"/>
      <c r="BJ2655" s="76"/>
      <c r="BK2655" s="76"/>
      <c r="BL2655" s="76">
        <f>+BK2655*31500</f>
        <v>0</v>
      </c>
      <c r="BM2655" s="76"/>
      <c r="BN2655" s="76"/>
      <c r="BO2655" s="76"/>
      <c r="BP2655" s="76"/>
      <c r="BQ2655" s="76"/>
      <c r="BR2655" s="76"/>
      <c r="BS2655" s="76"/>
      <c r="BT2655" s="76"/>
      <c r="BU2655" s="76"/>
      <c r="BV2655" s="76"/>
      <c r="BW2655" s="76"/>
      <c r="BX2655" s="76"/>
      <c r="BY2655" s="76"/>
      <c r="BZ2655" s="76"/>
      <c r="CA2655" s="76"/>
      <c r="CB2655" s="76"/>
      <c r="CC2655" s="76"/>
      <c r="CD2655" s="76"/>
      <c r="CE2655" s="76"/>
      <c r="CF2655" s="76">
        <f>+CE2655*28000</f>
        <v>0</v>
      </c>
      <c r="CG2655" s="76"/>
      <c r="CH2655" s="76">
        <f>+CG2655*22500</f>
        <v>0</v>
      </c>
      <c r="CI2655" s="86">
        <v>300</v>
      </c>
      <c r="CJ2655" s="86">
        <f>+CI2655*26000</f>
        <v>7800000</v>
      </c>
      <c r="CK2655" s="76"/>
      <c r="CL2655" s="76"/>
      <c r="CM2655" s="76"/>
      <c r="CN2655" s="76">
        <f>+CM2655*22000</f>
        <v>0</v>
      </c>
      <c r="CO2655" s="76"/>
      <c r="CP2655" s="76">
        <f>+CO2655*46000</f>
        <v>0</v>
      </c>
      <c r="CQ2655" s="86">
        <v>78</v>
      </c>
      <c r="CR2655" s="86">
        <f>+CQ2655*49000</f>
        <v>3822000</v>
      </c>
      <c r="CS2655" s="76"/>
      <c r="CT2655" s="76"/>
      <c r="CU2655" s="56">
        <f>AN2655+AP2655+AR2655+AT2655+AV2655+AX2655+AZ2655+BB2655+BD2655+BF2655+BH2655+BJ2655+BL2655+BN2655+BP2655+BR2655+BT2655+BV2655+BX2655+BZ2655+CB2655+CD2655+CF2655+CH2655+CJ2655+CL2655+CN2655+CP2655+CR2655+CT2655</f>
        <v>25622000</v>
      </c>
      <c r="CV2655" s="76"/>
      <c r="CW2655" s="76">
        <f>+CV2655*1100</f>
        <v>0</v>
      </c>
      <c r="CX2655" s="86">
        <v>78</v>
      </c>
      <c r="CY2655" s="86">
        <f>+CX2655*105407.5</f>
        <v>8221785</v>
      </c>
      <c r="CZ2655" s="86">
        <v>800</v>
      </c>
      <c r="DA2655" s="86">
        <f>+CZ2655*34000</f>
        <v>27200000</v>
      </c>
      <c r="DB2655" s="86">
        <f>1200+100</f>
        <v>1300</v>
      </c>
      <c r="DC2655" s="86">
        <f>1200*32000+7200*200+100*49000+700*400</f>
        <v>45020000</v>
      </c>
      <c r="DD2655" s="317" t="s">
        <v>6013</v>
      </c>
      <c r="DE2655" s="318">
        <f>8000*2300</f>
        <v>18400000</v>
      </c>
      <c r="DF2655" s="166"/>
      <c r="DG2655" s="134" t="s">
        <v>6014</v>
      </c>
      <c r="DH2655" s="117"/>
      <c r="DI2655" s="24"/>
      <c r="DJ2655" s="24"/>
      <c r="DK2655" s="24"/>
      <c r="DL2655" s="24"/>
      <c r="DM2655" s="24"/>
      <c r="DN2655" s="24"/>
      <c r="DO2655" s="24"/>
      <c r="DP2655" s="24"/>
      <c r="DQ2655" s="24"/>
      <c r="DR2655" s="24"/>
      <c r="DS2655" s="24"/>
      <c r="DT2655" s="24"/>
      <c r="DU2655" s="24"/>
    </row>
    <row r="2656" spans="1:125" s="8" customFormat="1" ht="72" x14ac:dyDescent="0.2">
      <c r="A2656" s="353">
        <v>41493</v>
      </c>
      <c r="B2656" s="352" t="s">
        <v>2852</v>
      </c>
      <c r="C2656" s="354" t="s">
        <v>502</v>
      </c>
      <c r="D2656" s="354" t="s">
        <v>3051</v>
      </c>
      <c r="E2656" s="353" t="str">
        <f>VLOOKUP(B2656&amp;C2656,Divipola!$C$2:$F$1138,4,FALSE)</f>
        <v>27006</v>
      </c>
      <c r="F2656" s="87"/>
      <c r="G2656" s="87"/>
      <c r="H2656" s="87"/>
      <c r="I2656" s="87">
        <v>255</v>
      </c>
      <c r="J2656" s="87">
        <v>51</v>
      </c>
      <c r="K2656" s="87"/>
      <c r="L2656" s="87">
        <v>51</v>
      </c>
      <c r="M2656" s="87"/>
      <c r="N2656" s="87"/>
      <c r="O2656" s="87"/>
      <c r="P2656" s="87"/>
      <c r="Q2656" s="87"/>
      <c r="R2656" s="87"/>
      <c r="S2656" s="87">
        <v>5</v>
      </c>
      <c r="T2656" s="87"/>
      <c r="U2656" s="88"/>
      <c r="V2656" s="89"/>
      <c r="W2656" s="96">
        <v>0</v>
      </c>
      <c r="X2656" s="71">
        <f>CU2656</f>
        <v>17523000</v>
      </c>
      <c r="Y2656" s="71">
        <f>CY2656</f>
        <v>5985000</v>
      </c>
      <c r="Z2656" s="71">
        <f>DA2656+DC2656+DE2656</f>
        <v>24260000</v>
      </c>
      <c r="AA2656" s="71">
        <f>CW2656</f>
        <v>0</v>
      </c>
      <c r="AB2656" s="71"/>
      <c r="AC2656" s="71">
        <v>0</v>
      </c>
      <c r="AD2656" s="71">
        <f>W2656+X2656+Y2656+Z2656+AA2656+AB2656+AC2656</f>
        <v>47768000</v>
      </c>
      <c r="AE2656" s="72">
        <v>0</v>
      </c>
      <c r="AF2656" s="5"/>
      <c r="AG2656" s="6"/>
      <c r="AH2656" s="27"/>
      <c r="AI2656" s="44"/>
      <c r="AJ2656" s="26"/>
      <c r="AK2656" s="5"/>
      <c r="AL2656" s="82" t="s">
        <v>5567</v>
      </c>
      <c r="AM2656" s="76"/>
      <c r="AN2656" s="76"/>
      <c r="AO2656" s="76"/>
      <c r="AP2656" s="76"/>
      <c r="AQ2656" s="76"/>
      <c r="AR2656" s="76"/>
      <c r="AS2656" s="76"/>
      <c r="AT2656" s="76"/>
      <c r="AU2656" s="76"/>
      <c r="AV2656" s="76"/>
      <c r="AW2656" s="76"/>
      <c r="AX2656" s="76">
        <f>+AW2656*600000</f>
        <v>0</v>
      </c>
      <c r="AY2656" s="86">
        <v>100</v>
      </c>
      <c r="AZ2656" s="86">
        <f>+AY2656*70000</f>
        <v>7000000</v>
      </c>
      <c r="BA2656" s="76"/>
      <c r="BB2656" s="76"/>
      <c r="BC2656" s="76"/>
      <c r="BD2656" s="76">
        <f>+BC2656*30000</f>
        <v>0</v>
      </c>
      <c r="BE2656" s="76"/>
      <c r="BF2656" s="76"/>
      <c r="BG2656" s="76"/>
      <c r="BH2656" s="76"/>
      <c r="BI2656" s="76"/>
      <c r="BJ2656" s="76"/>
      <c r="BK2656" s="76"/>
      <c r="BL2656" s="76">
        <f>+BK2656*31500</f>
        <v>0</v>
      </c>
      <c r="BM2656" s="76"/>
      <c r="BN2656" s="76"/>
      <c r="BO2656" s="76"/>
      <c r="BP2656" s="76"/>
      <c r="BQ2656" s="76"/>
      <c r="BR2656" s="76"/>
      <c r="BS2656" s="76"/>
      <c r="BT2656" s="76"/>
      <c r="BU2656" s="76"/>
      <c r="BV2656" s="76"/>
      <c r="BW2656" s="76"/>
      <c r="BX2656" s="76"/>
      <c r="BY2656" s="76"/>
      <c r="BZ2656" s="76"/>
      <c r="CA2656" s="76"/>
      <c r="CB2656" s="76"/>
      <c r="CC2656" s="76"/>
      <c r="CD2656" s="76"/>
      <c r="CE2656" s="76"/>
      <c r="CF2656" s="76">
        <f>+CE2656*28000</f>
        <v>0</v>
      </c>
      <c r="CG2656" s="76"/>
      <c r="CH2656" s="76">
        <f>+CG2656*22500</f>
        <v>0</v>
      </c>
      <c r="CI2656" s="86">
        <v>100</v>
      </c>
      <c r="CJ2656" s="86">
        <f>+CI2656*26000</f>
        <v>2600000</v>
      </c>
      <c r="CK2656" s="76"/>
      <c r="CL2656" s="76"/>
      <c r="CM2656" s="86">
        <v>114</v>
      </c>
      <c r="CN2656" s="86">
        <f>+CM2656*22000</f>
        <v>2508000</v>
      </c>
      <c r="CO2656" s="86">
        <v>57</v>
      </c>
      <c r="CP2656" s="86">
        <f>+CO2656*46000</f>
        <v>2622000</v>
      </c>
      <c r="CQ2656" s="86">
        <v>57</v>
      </c>
      <c r="CR2656" s="86">
        <f>+CQ2656*49000</f>
        <v>2793000</v>
      </c>
      <c r="CS2656" s="76"/>
      <c r="CT2656" s="76"/>
      <c r="CU2656" s="56">
        <f>AN2656+AP2656+AR2656+AT2656+AV2656+AX2656+AZ2656+BB2656+BD2656+BF2656+BH2656+BJ2656+BL2656+BN2656+BP2656+BR2656+BT2656+BV2656+BX2656+BZ2656+CB2656+CD2656+CF2656+CH2656+CJ2656+CL2656+CN2656+CP2656+CR2656+CT2656</f>
        <v>17523000</v>
      </c>
      <c r="CV2656" s="76"/>
      <c r="CW2656" s="76">
        <f>+CV2656*1100</f>
        <v>0</v>
      </c>
      <c r="CX2656" s="86">
        <v>57</v>
      </c>
      <c r="CY2656" s="86">
        <f>+CX2656*105000</f>
        <v>5985000</v>
      </c>
      <c r="CZ2656" s="86">
        <v>100</v>
      </c>
      <c r="DA2656" s="86">
        <f>+CZ2656*34000</f>
        <v>3400000</v>
      </c>
      <c r="DB2656" s="86">
        <f>500+100</f>
        <v>600</v>
      </c>
      <c r="DC2656" s="86">
        <f>500*32000+3000*200+100*41000+400*400</f>
        <v>20860000</v>
      </c>
      <c r="DD2656" s="219"/>
      <c r="DE2656" s="219"/>
      <c r="DF2656" s="166"/>
      <c r="DG2656" s="134" t="s">
        <v>6038</v>
      </c>
      <c r="DH2656" s="117"/>
      <c r="DI2656" s="24"/>
      <c r="DJ2656" s="24"/>
      <c r="DK2656" s="24"/>
      <c r="DL2656" s="24"/>
      <c r="DM2656" s="24"/>
      <c r="DN2656" s="24"/>
      <c r="DO2656" s="24"/>
      <c r="DP2656" s="24"/>
      <c r="DQ2656" s="24"/>
      <c r="DR2656" s="24"/>
      <c r="DS2656" s="24"/>
      <c r="DT2656" s="24"/>
      <c r="DU2656" s="24"/>
    </row>
    <row r="2657" spans="1:125" s="8" customFormat="1" ht="48" x14ac:dyDescent="0.2">
      <c r="A2657" s="77">
        <v>41493</v>
      </c>
      <c r="B2657" s="78" t="s">
        <v>2661</v>
      </c>
      <c r="C2657" s="75" t="s">
        <v>2838</v>
      </c>
      <c r="D2657" s="75" t="s">
        <v>2846</v>
      </c>
      <c r="E2657" s="353" t="str">
        <f>VLOOKUP(B2657&amp;C2657,Divipola!$C$2:$F$1138,4,FALSE)</f>
        <v>41132</v>
      </c>
      <c r="F2657" s="87"/>
      <c r="G2657" s="87"/>
      <c r="H2657" s="87"/>
      <c r="I2657" s="87"/>
      <c r="J2657" s="87"/>
      <c r="K2657" s="87"/>
      <c r="L2657" s="87"/>
      <c r="M2657" s="87"/>
      <c r="N2657" s="87"/>
      <c r="O2657" s="87"/>
      <c r="P2657" s="87"/>
      <c r="Q2657" s="87"/>
      <c r="R2657" s="87"/>
      <c r="S2657" s="87"/>
      <c r="T2657" s="87"/>
      <c r="U2657" s="88">
        <v>1</v>
      </c>
      <c r="V2657" s="89"/>
      <c r="W2657" s="96">
        <v>0</v>
      </c>
      <c r="X2657" s="71">
        <f>CU2657</f>
        <v>0</v>
      </c>
      <c r="Y2657" s="71">
        <f>CY2657</f>
        <v>0</v>
      </c>
      <c r="Z2657" s="71">
        <f>DA2657+DC2657+DE2657</f>
        <v>0</v>
      </c>
      <c r="AA2657" s="71">
        <f>CW2657</f>
        <v>0</v>
      </c>
      <c r="AB2657" s="71"/>
      <c r="AC2657" s="71">
        <v>0</v>
      </c>
      <c r="AD2657" s="71">
        <f>W2657+X2657+Y2657+Z2657+AA2657+AB2657+AC2657</f>
        <v>0</v>
      </c>
      <c r="AE2657" s="72">
        <v>0</v>
      </c>
      <c r="AF2657" s="5"/>
      <c r="AG2657" s="6"/>
      <c r="AH2657" s="27"/>
      <c r="AI2657" s="44"/>
      <c r="AJ2657" s="26"/>
      <c r="AK2657" s="5"/>
      <c r="AL2657" s="82" t="s">
        <v>5548</v>
      </c>
      <c r="AM2657" s="76"/>
      <c r="AN2657" s="76"/>
      <c r="AO2657" s="76"/>
      <c r="AP2657" s="76"/>
      <c r="AQ2657" s="76"/>
      <c r="AR2657" s="76"/>
      <c r="AS2657" s="76"/>
      <c r="AT2657" s="76"/>
      <c r="AU2657" s="76"/>
      <c r="AV2657" s="76"/>
      <c r="AW2657" s="76"/>
      <c r="AX2657" s="76">
        <f>+AW2657*600000</f>
        <v>0</v>
      </c>
      <c r="AY2657" s="76"/>
      <c r="AZ2657" s="76">
        <f>+AY2657*70000</f>
        <v>0</v>
      </c>
      <c r="BA2657" s="76"/>
      <c r="BB2657" s="76"/>
      <c r="BC2657" s="76"/>
      <c r="BD2657" s="76">
        <f>+BC2657*30000</f>
        <v>0</v>
      </c>
      <c r="BE2657" s="76"/>
      <c r="BF2657" s="76"/>
      <c r="BG2657" s="76"/>
      <c r="BH2657" s="76"/>
      <c r="BI2657" s="76"/>
      <c r="BJ2657" s="76"/>
      <c r="BK2657" s="76"/>
      <c r="BL2657" s="76">
        <f>+BK2657*31500</f>
        <v>0</v>
      </c>
      <c r="BM2657" s="76"/>
      <c r="BN2657" s="76"/>
      <c r="BO2657" s="76"/>
      <c r="BP2657" s="76"/>
      <c r="BQ2657" s="76"/>
      <c r="BR2657" s="76"/>
      <c r="BS2657" s="76"/>
      <c r="BT2657" s="76"/>
      <c r="BU2657" s="76"/>
      <c r="BV2657" s="76"/>
      <c r="BW2657" s="76"/>
      <c r="BX2657" s="76"/>
      <c r="BY2657" s="76"/>
      <c r="BZ2657" s="76"/>
      <c r="CA2657" s="76"/>
      <c r="CB2657" s="76"/>
      <c r="CC2657" s="76"/>
      <c r="CD2657" s="76"/>
      <c r="CE2657" s="76"/>
      <c r="CF2657" s="76">
        <f>+CE2657*28000</f>
        <v>0</v>
      </c>
      <c r="CG2657" s="76"/>
      <c r="CH2657" s="76">
        <f>+CG2657*22500</f>
        <v>0</v>
      </c>
      <c r="CI2657" s="76"/>
      <c r="CJ2657" s="76">
        <f>+CI2657*26000</f>
        <v>0</v>
      </c>
      <c r="CK2657" s="76"/>
      <c r="CL2657" s="76"/>
      <c r="CM2657" s="76"/>
      <c r="CN2657" s="76">
        <f>+CM2657*22000</f>
        <v>0</v>
      </c>
      <c r="CO2657" s="76"/>
      <c r="CP2657" s="76">
        <f>+CO2657*46000</f>
        <v>0</v>
      </c>
      <c r="CQ2657" s="76"/>
      <c r="CR2657" s="76">
        <f>+CQ2657*49000</f>
        <v>0</v>
      </c>
      <c r="CS2657" s="76"/>
      <c r="CT2657" s="76"/>
      <c r="CU2657" s="56">
        <f>AN2657+AP2657+AR2657+AT2657+AV2657+AX2657+AZ2657+BB2657+BD2657+BF2657+BH2657+BJ2657+BL2657+BN2657+BP2657+BR2657+BT2657+BV2657+BX2657+BZ2657+CB2657+CD2657+CF2657+CH2657+CJ2657+CL2657+CN2657+CP2657+CR2657+CT2657</f>
        <v>0</v>
      </c>
      <c r="CV2657" s="76"/>
      <c r="CW2657" s="76">
        <f>+CV2657*1100</f>
        <v>0</v>
      </c>
      <c r="CX2657" s="76"/>
      <c r="CY2657" s="76">
        <f>+CX2657*106250</f>
        <v>0</v>
      </c>
      <c r="CZ2657" s="76"/>
      <c r="DA2657" s="76">
        <f>+CZ2657*34500</f>
        <v>0</v>
      </c>
      <c r="DB2657" s="76"/>
      <c r="DC2657" s="76">
        <f>+DB2657*25000</f>
        <v>0</v>
      </c>
      <c r="DD2657" s="219"/>
      <c r="DE2657" s="219"/>
      <c r="DF2657" s="166"/>
      <c r="DG2657" s="116"/>
      <c r="DH2657" s="117"/>
      <c r="DI2657" s="24"/>
      <c r="DJ2657" s="24"/>
      <c r="DK2657" s="24"/>
      <c r="DL2657" s="24"/>
      <c r="DM2657" s="24"/>
      <c r="DN2657" s="24"/>
      <c r="DO2657" s="24"/>
      <c r="DP2657" s="24"/>
      <c r="DQ2657" s="24"/>
      <c r="DR2657" s="24"/>
      <c r="DS2657" s="24"/>
      <c r="DT2657" s="24"/>
      <c r="DU2657" s="24"/>
    </row>
    <row r="2658" spans="1:125" s="8" customFormat="1" ht="36" x14ac:dyDescent="0.2">
      <c r="A2658" s="353">
        <v>41493</v>
      </c>
      <c r="B2658" s="352" t="s">
        <v>3136</v>
      </c>
      <c r="C2658" s="354" t="s">
        <v>403</v>
      </c>
      <c r="D2658" s="354" t="s">
        <v>2859</v>
      </c>
      <c r="E2658" s="353" t="str">
        <f>VLOOKUP(B2658&amp;C2658,Divipola!$C$2:$F$1138,4,FALSE)</f>
        <v>44430</v>
      </c>
      <c r="F2658" s="87"/>
      <c r="G2658" s="87">
        <v>3</v>
      </c>
      <c r="H2658" s="87"/>
      <c r="I2658" s="87"/>
      <c r="J2658" s="87"/>
      <c r="K2658" s="87"/>
      <c r="L2658" s="87"/>
      <c r="M2658" s="87"/>
      <c r="N2658" s="87"/>
      <c r="O2658" s="87"/>
      <c r="P2658" s="87"/>
      <c r="Q2658" s="87"/>
      <c r="R2658" s="87"/>
      <c r="S2658" s="87"/>
      <c r="T2658" s="87"/>
      <c r="U2658" s="88"/>
      <c r="V2658" s="89">
        <v>3</v>
      </c>
      <c r="W2658" s="96">
        <v>0</v>
      </c>
      <c r="X2658" s="71">
        <f>CU2658</f>
        <v>0</v>
      </c>
      <c r="Y2658" s="71">
        <f>CY2658</f>
        <v>0</v>
      </c>
      <c r="Z2658" s="71">
        <f>DA2658+DC2658+DE2658</f>
        <v>0</v>
      </c>
      <c r="AA2658" s="71">
        <f>CW2658</f>
        <v>0</v>
      </c>
      <c r="AB2658" s="71"/>
      <c r="AC2658" s="71">
        <v>0</v>
      </c>
      <c r="AD2658" s="71">
        <f>W2658+X2658+Y2658+Z2658+AA2658+AB2658+AC2658</f>
        <v>0</v>
      </c>
      <c r="AE2658" s="72">
        <v>0</v>
      </c>
      <c r="AF2658" s="5"/>
      <c r="AG2658" s="6"/>
      <c r="AH2658" s="27"/>
      <c r="AI2658" s="44"/>
      <c r="AJ2658" s="26"/>
      <c r="AK2658" s="5"/>
      <c r="AL2658" s="82" t="s">
        <v>5552</v>
      </c>
      <c r="AM2658" s="76"/>
      <c r="AN2658" s="76"/>
      <c r="AO2658" s="76"/>
      <c r="AP2658" s="76"/>
      <c r="AQ2658" s="76"/>
      <c r="AR2658" s="76"/>
      <c r="AS2658" s="76"/>
      <c r="AT2658" s="76"/>
      <c r="AU2658" s="76"/>
      <c r="AV2658" s="76"/>
      <c r="AW2658" s="76"/>
      <c r="AX2658" s="76">
        <f>+AW2658*600000</f>
        <v>0</v>
      </c>
      <c r="AY2658" s="76"/>
      <c r="AZ2658" s="76">
        <f>+AY2658*70000</f>
        <v>0</v>
      </c>
      <c r="BA2658" s="76"/>
      <c r="BB2658" s="76"/>
      <c r="BC2658" s="76"/>
      <c r="BD2658" s="76">
        <f>+BC2658*30000</f>
        <v>0</v>
      </c>
      <c r="BE2658" s="76"/>
      <c r="BF2658" s="76"/>
      <c r="BG2658" s="76"/>
      <c r="BH2658" s="76"/>
      <c r="BI2658" s="76"/>
      <c r="BJ2658" s="76"/>
      <c r="BK2658" s="76"/>
      <c r="BL2658" s="76">
        <f>+BK2658*31500</f>
        <v>0</v>
      </c>
      <c r="BM2658" s="76"/>
      <c r="BN2658" s="76"/>
      <c r="BO2658" s="76"/>
      <c r="BP2658" s="76"/>
      <c r="BQ2658" s="76"/>
      <c r="BR2658" s="76"/>
      <c r="BS2658" s="76"/>
      <c r="BT2658" s="76"/>
      <c r="BU2658" s="76"/>
      <c r="BV2658" s="76"/>
      <c r="BW2658" s="76"/>
      <c r="BX2658" s="76"/>
      <c r="BY2658" s="76"/>
      <c r="BZ2658" s="76"/>
      <c r="CA2658" s="76"/>
      <c r="CB2658" s="76"/>
      <c r="CC2658" s="76"/>
      <c r="CD2658" s="76"/>
      <c r="CE2658" s="76"/>
      <c r="CF2658" s="76">
        <f>+CE2658*28000</f>
        <v>0</v>
      </c>
      <c r="CG2658" s="76"/>
      <c r="CH2658" s="76">
        <f>+CG2658*22500</f>
        <v>0</v>
      </c>
      <c r="CI2658" s="76"/>
      <c r="CJ2658" s="76">
        <f>+CI2658*26000</f>
        <v>0</v>
      </c>
      <c r="CK2658" s="76"/>
      <c r="CL2658" s="76"/>
      <c r="CM2658" s="76"/>
      <c r="CN2658" s="76">
        <f>+CM2658*22000</f>
        <v>0</v>
      </c>
      <c r="CO2658" s="76"/>
      <c r="CP2658" s="76">
        <f>+CO2658*46000</f>
        <v>0</v>
      </c>
      <c r="CQ2658" s="76"/>
      <c r="CR2658" s="76">
        <f>+CQ2658*49000</f>
        <v>0</v>
      </c>
      <c r="CS2658" s="76"/>
      <c r="CT2658" s="76"/>
      <c r="CU2658" s="56">
        <f>AN2658+AP2658+AR2658+AT2658+AV2658+AX2658+AZ2658+BB2658+BD2658+BF2658+BH2658+BJ2658+BL2658+BN2658+BP2658+BR2658+BT2658+BV2658+BX2658+BZ2658+CB2658+CD2658+CF2658+CH2658+CJ2658+CL2658+CN2658+CP2658+CR2658+CT2658</f>
        <v>0</v>
      </c>
      <c r="CV2658" s="76"/>
      <c r="CW2658" s="76">
        <f>+CV2658*1100</f>
        <v>0</v>
      </c>
      <c r="CX2658" s="76"/>
      <c r="CY2658" s="76">
        <f>+CX2658*106250</f>
        <v>0</v>
      </c>
      <c r="CZ2658" s="76"/>
      <c r="DA2658" s="76">
        <f>+CZ2658*34500</f>
        <v>0</v>
      </c>
      <c r="DB2658" s="76"/>
      <c r="DC2658" s="76">
        <f>+DB2658*25000</f>
        <v>0</v>
      </c>
      <c r="DD2658" s="219"/>
      <c r="DE2658" s="219"/>
      <c r="DF2658" s="166"/>
      <c r="DG2658" s="116"/>
      <c r="DH2658" s="117"/>
      <c r="DI2658" s="24"/>
      <c r="DJ2658" s="24"/>
      <c r="DK2658" s="24"/>
      <c r="DL2658" s="24"/>
      <c r="DM2658" s="24"/>
      <c r="DN2658" s="24"/>
      <c r="DO2658" s="24"/>
      <c r="DP2658" s="24"/>
      <c r="DQ2658" s="24"/>
      <c r="DR2658" s="24"/>
      <c r="DS2658" s="24"/>
      <c r="DT2658" s="24"/>
      <c r="DU2658" s="24"/>
    </row>
    <row r="2659" spans="1:125" s="8" customFormat="1" ht="48" x14ac:dyDescent="0.2">
      <c r="A2659" s="77">
        <v>41493</v>
      </c>
      <c r="B2659" s="78" t="s">
        <v>2774</v>
      </c>
      <c r="C2659" s="75" t="s">
        <v>2790</v>
      </c>
      <c r="D2659" s="75" t="s">
        <v>3088</v>
      </c>
      <c r="E2659" s="353" t="str">
        <f>VLOOKUP(B2659&amp;C2659,Divipola!$C$2:$F$1138,4,FALSE)</f>
        <v>66682</v>
      </c>
      <c r="F2659" s="87"/>
      <c r="G2659" s="87"/>
      <c r="H2659" s="87"/>
      <c r="I2659" s="87">
        <v>11</v>
      </c>
      <c r="J2659" s="87">
        <v>1</v>
      </c>
      <c r="K2659" s="87">
        <v>1</v>
      </c>
      <c r="L2659" s="87"/>
      <c r="M2659" s="87"/>
      <c r="N2659" s="87"/>
      <c r="O2659" s="87"/>
      <c r="P2659" s="87"/>
      <c r="Q2659" s="87"/>
      <c r="R2659" s="87"/>
      <c r="S2659" s="87"/>
      <c r="T2659" s="87"/>
      <c r="U2659" s="88"/>
      <c r="V2659" s="89"/>
      <c r="W2659" s="96">
        <v>0</v>
      </c>
      <c r="X2659" s="71">
        <f>CU2659</f>
        <v>0</v>
      </c>
      <c r="Y2659" s="71">
        <f>CY2659</f>
        <v>0</v>
      </c>
      <c r="Z2659" s="71">
        <f>DA2659+DC2659+DE2659</f>
        <v>0</v>
      </c>
      <c r="AA2659" s="71">
        <f>CW2659</f>
        <v>0</v>
      </c>
      <c r="AB2659" s="71"/>
      <c r="AC2659" s="71">
        <v>0</v>
      </c>
      <c r="AD2659" s="71">
        <f>W2659+X2659+Y2659+Z2659+AA2659+AB2659+AC2659</f>
        <v>0</v>
      </c>
      <c r="AE2659" s="72">
        <v>0</v>
      </c>
      <c r="AF2659" s="5"/>
      <c r="AG2659" s="6"/>
      <c r="AH2659" s="27"/>
      <c r="AI2659" s="44"/>
      <c r="AJ2659" s="26"/>
      <c r="AK2659" s="5"/>
      <c r="AL2659" s="82" t="s">
        <v>5545</v>
      </c>
      <c r="AM2659" s="76"/>
      <c r="AN2659" s="76"/>
      <c r="AO2659" s="76"/>
      <c r="AP2659" s="76"/>
      <c r="AQ2659" s="76"/>
      <c r="AR2659" s="76"/>
      <c r="AS2659" s="76"/>
      <c r="AT2659" s="76"/>
      <c r="AU2659" s="76"/>
      <c r="AV2659" s="76"/>
      <c r="AW2659" s="76"/>
      <c r="AX2659" s="76">
        <f>+AW2659*600000</f>
        <v>0</v>
      </c>
      <c r="AY2659" s="76"/>
      <c r="AZ2659" s="76">
        <f>+AY2659*70000</f>
        <v>0</v>
      </c>
      <c r="BA2659" s="76"/>
      <c r="BB2659" s="76"/>
      <c r="BC2659" s="76"/>
      <c r="BD2659" s="76">
        <f>+BC2659*30000</f>
        <v>0</v>
      </c>
      <c r="BE2659" s="76"/>
      <c r="BF2659" s="76"/>
      <c r="BG2659" s="76"/>
      <c r="BH2659" s="76"/>
      <c r="BI2659" s="76"/>
      <c r="BJ2659" s="76"/>
      <c r="BK2659" s="76"/>
      <c r="BL2659" s="76">
        <f>+BK2659*31500</f>
        <v>0</v>
      </c>
      <c r="BM2659" s="76"/>
      <c r="BN2659" s="76"/>
      <c r="BO2659" s="76"/>
      <c r="BP2659" s="76"/>
      <c r="BQ2659" s="76"/>
      <c r="BR2659" s="76"/>
      <c r="BS2659" s="76"/>
      <c r="BT2659" s="76"/>
      <c r="BU2659" s="76"/>
      <c r="BV2659" s="76"/>
      <c r="BW2659" s="76"/>
      <c r="BX2659" s="76"/>
      <c r="BY2659" s="76"/>
      <c r="BZ2659" s="76"/>
      <c r="CA2659" s="76"/>
      <c r="CB2659" s="76"/>
      <c r="CC2659" s="76"/>
      <c r="CD2659" s="76"/>
      <c r="CE2659" s="76"/>
      <c r="CF2659" s="76">
        <f>+CE2659*28000</f>
        <v>0</v>
      </c>
      <c r="CG2659" s="76"/>
      <c r="CH2659" s="76">
        <f>+CG2659*22500</f>
        <v>0</v>
      </c>
      <c r="CI2659" s="76"/>
      <c r="CJ2659" s="76">
        <f>+CI2659*26000</f>
        <v>0</v>
      </c>
      <c r="CK2659" s="76"/>
      <c r="CL2659" s="76"/>
      <c r="CM2659" s="76"/>
      <c r="CN2659" s="76">
        <f>+CM2659*22000</f>
        <v>0</v>
      </c>
      <c r="CO2659" s="76"/>
      <c r="CP2659" s="76">
        <f>+CO2659*46000</f>
        <v>0</v>
      </c>
      <c r="CQ2659" s="76"/>
      <c r="CR2659" s="76">
        <f>+CQ2659*49000</f>
        <v>0</v>
      </c>
      <c r="CS2659" s="76"/>
      <c r="CT2659" s="76"/>
      <c r="CU2659" s="56">
        <f>AN2659+AP2659+AR2659+AT2659+AV2659+AX2659+AZ2659+BB2659+BD2659+BF2659+BH2659+BJ2659+BL2659+BN2659+BP2659+BR2659+BT2659+BV2659+BX2659+BZ2659+CB2659+CD2659+CF2659+CH2659+CJ2659+CL2659+CN2659+CP2659+CR2659+CT2659</f>
        <v>0</v>
      </c>
      <c r="CV2659" s="76"/>
      <c r="CW2659" s="76">
        <f>+CV2659*1100</f>
        <v>0</v>
      </c>
      <c r="CX2659" s="76"/>
      <c r="CY2659" s="76">
        <f>+CX2659*106250</f>
        <v>0</v>
      </c>
      <c r="CZ2659" s="76"/>
      <c r="DA2659" s="76">
        <f>+CZ2659*34500</f>
        <v>0</v>
      </c>
      <c r="DB2659" s="76"/>
      <c r="DC2659" s="76">
        <f>+DB2659*25000</f>
        <v>0</v>
      </c>
      <c r="DD2659" s="219"/>
      <c r="DE2659" s="219"/>
      <c r="DF2659" s="166"/>
      <c r="DG2659" s="116"/>
      <c r="DH2659" s="117"/>
      <c r="DI2659" s="24"/>
      <c r="DJ2659" s="24"/>
      <c r="DK2659" s="24"/>
      <c r="DL2659" s="24"/>
      <c r="DM2659" s="24"/>
      <c r="DN2659" s="24"/>
      <c r="DO2659" s="24"/>
      <c r="DP2659" s="24"/>
      <c r="DQ2659" s="24"/>
      <c r="DR2659" s="24"/>
      <c r="DS2659" s="24"/>
      <c r="DT2659" s="24"/>
      <c r="DU2659" s="24"/>
    </row>
    <row r="2660" spans="1:125" s="8" customFormat="1" ht="60" x14ac:dyDescent="0.2">
      <c r="A2660" s="353">
        <v>41494</v>
      </c>
      <c r="B2660" s="225" t="s">
        <v>2778</v>
      </c>
      <c r="C2660" s="227" t="s">
        <v>2212</v>
      </c>
      <c r="D2660" s="227" t="s">
        <v>3051</v>
      </c>
      <c r="E2660" s="353" t="str">
        <f>VLOOKUP(B2660&amp;C2660,Divipola!$C$2:$F$1138,4,FALSE)</f>
        <v>85250</v>
      </c>
      <c r="F2660" s="87"/>
      <c r="G2660" s="87"/>
      <c r="H2660" s="87"/>
      <c r="I2660" s="87"/>
      <c r="J2660" s="87"/>
      <c r="K2660" s="87"/>
      <c r="L2660" s="87"/>
      <c r="M2660" s="87"/>
      <c r="N2660" s="87"/>
      <c r="O2660" s="87"/>
      <c r="P2660" s="87"/>
      <c r="Q2660" s="87"/>
      <c r="R2660" s="87"/>
      <c r="S2660" s="87"/>
      <c r="T2660" s="87"/>
      <c r="U2660" s="88"/>
      <c r="V2660" s="89"/>
      <c r="W2660" s="96">
        <v>0</v>
      </c>
      <c r="X2660" s="71">
        <f>CU2660</f>
        <v>0</v>
      </c>
      <c r="Y2660" s="71">
        <f>CY2660</f>
        <v>0</v>
      </c>
      <c r="Z2660" s="71">
        <f>DA2660+DC2660+DE2660</f>
        <v>0</v>
      </c>
      <c r="AA2660" s="71">
        <f>CW2660</f>
        <v>0</v>
      </c>
      <c r="AB2660" s="71"/>
      <c r="AC2660" s="71">
        <v>0</v>
      </c>
      <c r="AD2660" s="71">
        <f>W2660+X2660+Y2660+Z2660+AA2660+AB2660+AC2660</f>
        <v>0</v>
      </c>
      <c r="AE2660" s="72">
        <v>0</v>
      </c>
      <c r="AF2660" s="5"/>
      <c r="AG2660" s="6"/>
      <c r="AH2660" s="27"/>
      <c r="AI2660" s="44"/>
      <c r="AJ2660" s="26"/>
      <c r="AK2660" s="5"/>
      <c r="AL2660" s="82" t="s">
        <v>5554</v>
      </c>
      <c r="AM2660" s="76"/>
      <c r="AN2660" s="76"/>
      <c r="AO2660" s="76"/>
      <c r="AP2660" s="76"/>
      <c r="AQ2660" s="76"/>
      <c r="AR2660" s="76"/>
      <c r="AS2660" s="76"/>
      <c r="AT2660" s="76"/>
      <c r="AU2660" s="76"/>
      <c r="AV2660" s="76"/>
      <c r="AW2660" s="76"/>
      <c r="AX2660" s="76">
        <f>+AW2660*600000</f>
        <v>0</v>
      </c>
      <c r="AY2660" s="76"/>
      <c r="AZ2660" s="76">
        <f>+AY2660*70000</f>
        <v>0</v>
      </c>
      <c r="BA2660" s="76"/>
      <c r="BB2660" s="76"/>
      <c r="BC2660" s="76"/>
      <c r="BD2660" s="76">
        <f>+BC2660*30000</f>
        <v>0</v>
      </c>
      <c r="BE2660" s="76"/>
      <c r="BF2660" s="76"/>
      <c r="BG2660" s="76"/>
      <c r="BH2660" s="76"/>
      <c r="BI2660" s="76"/>
      <c r="BJ2660" s="76"/>
      <c r="BK2660" s="76"/>
      <c r="BL2660" s="76">
        <f>+BK2660*31500</f>
        <v>0</v>
      </c>
      <c r="BM2660" s="76"/>
      <c r="BN2660" s="76"/>
      <c r="BO2660" s="76"/>
      <c r="BP2660" s="76"/>
      <c r="BQ2660" s="76"/>
      <c r="BR2660" s="76"/>
      <c r="BS2660" s="76"/>
      <c r="BT2660" s="76"/>
      <c r="BU2660" s="76"/>
      <c r="BV2660" s="76"/>
      <c r="BW2660" s="76"/>
      <c r="BX2660" s="76"/>
      <c r="BY2660" s="76"/>
      <c r="BZ2660" s="76"/>
      <c r="CA2660" s="76"/>
      <c r="CB2660" s="76"/>
      <c r="CC2660" s="76"/>
      <c r="CD2660" s="76"/>
      <c r="CE2660" s="76"/>
      <c r="CF2660" s="76">
        <f>+CE2660*28000</f>
        <v>0</v>
      </c>
      <c r="CG2660" s="76"/>
      <c r="CH2660" s="76">
        <f>+CG2660*22500</f>
        <v>0</v>
      </c>
      <c r="CI2660" s="76"/>
      <c r="CJ2660" s="76">
        <f>+CI2660*26000</f>
        <v>0</v>
      </c>
      <c r="CK2660" s="76"/>
      <c r="CL2660" s="76"/>
      <c r="CM2660" s="76"/>
      <c r="CN2660" s="76">
        <f>+CM2660*22000</f>
        <v>0</v>
      </c>
      <c r="CO2660" s="76"/>
      <c r="CP2660" s="76">
        <f>+CO2660*46000</f>
        <v>0</v>
      </c>
      <c r="CQ2660" s="76"/>
      <c r="CR2660" s="76">
        <f>+CQ2660*49000</f>
        <v>0</v>
      </c>
      <c r="CS2660" s="76"/>
      <c r="CT2660" s="76"/>
      <c r="CU2660" s="56">
        <f>AN2660+AP2660+AR2660+AT2660+AV2660+AX2660+AZ2660+BB2660+BD2660+BF2660+BH2660+BJ2660+BL2660+BN2660+BP2660+BR2660+BT2660+BV2660+BX2660+BZ2660+CB2660+CD2660+CF2660+CH2660+CJ2660+CL2660+CN2660+CP2660+CR2660+CT2660</f>
        <v>0</v>
      </c>
      <c r="CV2660" s="76"/>
      <c r="CW2660" s="76">
        <f>+CV2660*1100</f>
        <v>0</v>
      </c>
      <c r="CX2660" s="76"/>
      <c r="CY2660" s="76">
        <f>+CX2660*106250</f>
        <v>0</v>
      </c>
      <c r="CZ2660" s="76"/>
      <c r="DA2660" s="76">
        <f>+CZ2660*34500</f>
        <v>0</v>
      </c>
      <c r="DB2660" s="76"/>
      <c r="DC2660" s="76">
        <f>+DB2660*25000</f>
        <v>0</v>
      </c>
      <c r="DD2660" s="219"/>
      <c r="DE2660" s="219"/>
      <c r="DF2660" s="166"/>
      <c r="DG2660" s="116"/>
      <c r="DH2660" s="117"/>
      <c r="DI2660" s="24"/>
      <c r="DJ2660" s="24"/>
      <c r="DK2660" s="24"/>
      <c r="DL2660" s="24"/>
      <c r="DM2660" s="24"/>
      <c r="DN2660" s="24"/>
      <c r="DO2660" s="24"/>
      <c r="DP2660" s="24"/>
      <c r="DQ2660" s="24"/>
      <c r="DR2660" s="24"/>
      <c r="DS2660" s="24"/>
      <c r="DT2660" s="24"/>
      <c r="DU2660" s="24"/>
    </row>
    <row r="2661" spans="1:125" s="8" customFormat="1" ht="72" x14ac:dyDescent="0.2">
      <c r="A2661" s="353">
        <v>41494</v>
      </c>
      <c r="B2661" s="352" t="s">
        <v>2778</v>
      </c>
      <c r="C2661" s="354" t="s">
        <v>1342</v>
      </c>
      <c r="D2661" s="354" t="s">
        <v>3051</v>
      </c>
      <c r="E2661" s="353" t="str">
        <f>VLOOKUP(B2661&amp;C2661,Divipola!$C$2:$F$1138,4,FALSE)</f>
        <v>85263</v>
      </c>
      <c r="F2661" s="87"/>
      <c r="G2661" s="87"/>
      <c r="H2661" s="87"/>
      <c r="I2661" s="87">
        <f>62*5</f>
        <v>310</v>
      </c>
      <c r="J2661" s="87">
        <v>62</v>
      </c>
      <c r="K2661" s="87"/>
      <c r="L2661" s="87"/>
      <c r="M2661" s="87"/>
      <c r="N2661" s="87"/>
      <c r="O2661" s="87"/>
      <c r="P2661" s="87"/>
      <c r="Q2661" s="87"/>
      <c r="R2661" s="87"/>
      <c r="S2661" s="87"/>
      <c r="T2661" s="87"/>
      <c r="U2661" s="88"/>
      <c r="V2661" s="89"/>
      <c r="W2661" s="96">
        <v>0</v>
      </c>
      <c r="X2661" s="71">
        <f>CU2661</f>
        <v>11842000</v>
      </c>
      <c r="Y2661" s="71">
        <f>CY2661</f>
        <v>6587500</v>
      </c>
      <c r="Z2661" s="71">
        <f>DA2661+DC2661+DE2661</f>
        <v>0</v>
      </c>
      <c r="AA2661" s="71">
        <f>CW2661</f>
        <v>0</v>
      </c>
      <c r="AB2661" s="71"/>
      <c r="AC2661" s="71">
        <v>0</v>
      </c>
      <c r="AD2661" s="71">
        <f>W2661+X2661+Y2661+Z2661+AA2661+AB2661+AC2661</f>
        <v>18429500</v>
      </c>
      <c r="AE2661" s="72">
        <v>0</v>
      </c>
      <c r="AF2661" s="5"/>
      <c r="AG2661" s="6"/>
      <c r="AH2661" s="27"/>
      <c r="AI2661" s="44"/>
      <c r="AJ2661" s="26"/>
      <c r="AK2661" s="5"/>
      <c r="AL2661" s="82" t="s">
        <v>5898</v>
      </c>
      <c r="AM2661" s="76"/>
      <c r="AN2661" s="76"/>
      <c r="AO2661" s="76"/>
      <c r="AP2661" s="76"/>
      <c r="AQ2661" s="76"/>
      <c r="AR2661" s="76"/>
      <c r="AS2661" s="76"/>
      <c r="AT2661" s="76"/>
      <c r="AU2661" s="76"/>
      <c r="AV2661" s="76"/>
      <c r="AW2661" s="76"/>
      <c r="AX2661" s="76">
        <f>+AW2661*600000</f>
        <v>0</v>
      </c>
      <c r="AY2661" s="76">
        <v>62</v>
      </c>
      <c r="AZ2661" s="76">
        <f>+AY2661*70000</f>
        <v>4340000</v>
      </c>
      <c r="BA2661" s="76"/>
      <c r="BB2661" s="76"/>
      <c r="BC2661" s="76"/>
      <c r="BD2661" s="76">
        <f>+BC2661*30000</f>
        <v>0</v>
      </c>
      <c r="BE2661" s="76"/>
      <c r="BF2661" s="76"/>
      <c r="BG2661" s="76"/>
      <c r="BH2661" s="76"/>
      <c r="BI2661" s="76"/>
      <c r="BJ2661" s="76"/>
      <c r="BK2661" s="76"/>
      <c r="BL2661" s="76">
        <f>+BK2661*31500</f>
        <v>0</v>
      </c>
      <c r="BM2661" s="76"/>
      <c r="BN2661" s="76"/>
      <c r="BO2661" s="76"/>
      <c r="BP2661" s="76"/>
      <c r="BQ2661" s="76"/>
      <c r="BR2661" s="76"/>
      <c r="BS2661" s="76"/>
      <c r="BT2661" s="76"/>
      <c r="BU2661" s="76"/>
      <c r="BV2661" s="76"/>
      <c r="BW2661" s="76"/>
      <c r="BX2661" s="76"/>
      <c r="BY2661" s="76"/>
      <c r="BZ2661" s="76"/>
      <c r="CA2661" s="76"/>
      <c r="CB2661" s="76"/>
      <c r="CC2661" s="76"/>
      <c r="CD2661" s="76"/>
      <c r="CE2661" s="76"/>
      <c r="CF2661" s="76">
        <f>+CE2661*28000</f>
        <v>0</v>
      </c>
      <c r="CG2661" s="76"/>
      <c r="CH2661" s="76">
        <f>+CG2661*22500</f>
        <v>0</v>
      </c>
      <c r="CI2661" s="76">
        <v>62</v>
      </c>
      <c r="CJ2661" s="76">
        <f>+CI2661*26000</f>
        <v>1612000</v>
      </c>
      <c r="CK2661" s="76"/>
      <c r="CL2661" s="76"/>
      <c r="CM2661" s="76"/>
      <c r="CN2661" s="76">
        <f>+CM2661*22000</f>
        <v>0</v>
      </c>
      <c r="CO2661" s="76">
        <v>62</v>
      </c>
      <c r="CP2661" s="76">
        <f>+CO2661*46000</f>
        <v>2852000</v>
      </c>
      <c r="CQ2661" s="76">
        <v>62</v>
      </c>
      <c r="CR2661" s="76">
        <f>+CQ2661*49000</f>
        <v>3038000</v>
      </c>
      <c r="CS2661" s="76"/>
      <c r="CT2661" s="76"/>
      <c r="CU2661" s="56">
        <f>AN2661+AP2661+AR2661+AT2661+AV2661+AX2661+AZ2661+BB2661+BD2661+BF2661+BH2661+BJ2661+BL2661+BN2661+BP2661+BR2661+BT2661+BV2661+BX2661+BZ2661+CB2661+CD2661+CF2661+CH2661+CJ2661+CL2661+CN2661+CP2661+CR2661+CT2661</f>
        <v>11842000</v>
      </c>
      <c r="CV2661" s="76"/>
      <c r="CW2661" s="76">
        <f>+CV2661*1100</f>
        <v>0</v>
      </c>
      <c r="CX2661" s="76">
        <v>62</v>
      </c>
      <c r="CY2661" s="76">
        <f>+CX2661*106250</f>
        <v>6587500</v>
      </c>
      <c r="CZ2661" s="76"/>
      <c r="DA2661" s="76">
        <f>+CZ2661*34500</f>
        <v>0</v>
      </c>
      <c r="DB2661" s="76"/>
      <c r="DC2661" s="76">
        <f>+DB2661*25000</f>
        <v>0</v>
      </c>
      <c r="DD2661" s="219"/>
      <c r="DE2661" s="219"/>
      <c r="DF2661" s="166"/>
      <c r="DG2661" s="116"/>
      <c r="DH2661" s="117"/>
      <c r="DI2661" s="24"/>
      <c r="DJ2661" s="24"/>
      <c r="DK2661" s="24"/>
      <c r="DL2661" s="24"/>
      <c r="DM2661" s="24"/>
      <c r="DN2661" s="24"/>
      <c r="DO2661" s="24"/>
      <c r="DP2661" s="24"/>
      <c r="DQ2661" s="24"/>
      <c r="DR2661" s="24"/>
      <c r="DS2661" s="24"/>
      <c r="DT2661" s="24"/>
      <c r="DU2661" s="24"/>
    </row>
    <row r="2662" spans="1:125" s="8" customFormat="1" ht="180" x14ac:dyDescent="0.2">
      <c r="A2662" s="353">
        <v>41494</v>
      </c>
      <c r="B2662" s="352" t="s">
        <v>2854</v>
      </c>
      <c r="C2662" s="354" t="s">
        <v>2093</v>
      </c>
      <c r="D2662" s="354" t="s">
        <v>3051</v>
      </c>
      <c r="E2662" s="353" t="str">
        <f>VLOOKUP(B2662&amp;C2662,Divipola!$C$2:$F$1138,4,FALSE)</f>
        <v>19455</v>
      </c>
      <c r="F2662" s="87"/>
      <c r="G2662" s="87"/>
      <c r="H2662" s="87"/>
      <c r="I2662" s="87">
        <v>95</v>
      </c>
      <c r="J2662" s="87">
        <v>19</v>
      </c>
      <c r="K2662" s="87"/>
      <c r="L2662" s="87">
        <v>19</v>
      </c>
      <c r="M2662" s="87"/>
      <c r="N2662" s="87"/>
      <c r="O2662" s="87"/>
      <c r="P2662" s="87"/>
      <c r="Q2662" s="87"/>
      <c r="R2662" s="87"/>
      <c r="S2662" s="87">
        <v>1</v>
      </c>
      <c r="T2662" s="87"/>
      <c r="U2662" s="88"/>
      <c r="V2662" s="89"/>
      <c r="W2662" s="96">
        <v>0</v>
      </c>
      <c r="X2662" s="71">
        <f>CU2662</f>
        <v>0</v>
      </c>
      <c r="Y2662" s="71">
        <f>CY2662</f>
        <v>0</v>
      </c>
      <c r="Z2662" s="71">
        <f>DA2662+DC2662+DE2662</f>
        <v>0</v>
      </c>
      <c r="AA2662" s="71">
        <f>CW2662</f>
        <v>0</v>
      </c>
      <c r="AB2662" s="71"/>
      <c r="AC2662" s="71">
        <v>0</v>
      </c>
      <c r="AD2662" s="71">
        <f>W2662+X2662+Y2662+Z2662+AA2662+AB2662+AC2662</f>
        <v>0</v>
      </c>
      <c r="AE2662" s="72">
        <v>0</v>
      </c>
      <c r="AF2662" s="5"/>
      <c r="AG2662" s="6"/>
      <c r="AH2662" s="27"/>
      <c r="AI2662" s="44"/>
      <c r="AJ2662" s="26"/>
      <c r="AK2662" s="5"/>
      <c r="AL2662" s="82" t="s">
        <v>5556</v>
      </c>
      <c r="AM2662" s="76"/>
      <c r="AN2662" s="76"/>
      <c r="AO2662" s="76"/>
      <c r="AP2662" s="76"/>
      <c r="AQ2662" s="76"/>
      <c r="AR2662" s="76"/>
      <c r="AS2662" s="76"/>
      <c r="AT2662" s="76"/>
      <c r="AU2662" s="76"/>
      <c r="AV2662" s="76"/>
      <c r="AW2662" s="76"/>
      <c r="AX2662" s="76">
        <f>+AW2662*600000</f>
        <v>0</v>
      </c>
      <c r="AY2662" s="76"/>
      <c r="AZ2662" s="76">
        <f>+AY2662*70000</f>
        <v>0</v>
      </c>
      <c r="BA2662" s="76"/>
      <c r="BB2662" s="76"/>
      <c r="BC2662" s="76"/>
      <c r="BD2662" s="76">
        <f>+BC2662*30000</f>
        <v>0</v>
      </c>
      <c r="BE2662" s="76"/>
      <c r="BF2662" s="76"/>
      <c r="BG2662" s="76"/>
      <c r="BH2662" s="76"/>
      <c r="BI2662" s="76"/>
      <c r="BJ2662" s="76"/>
      <c r="BK2662" s="76"/>
      <c r="BL2662" s="76">
        <f>+BK2662*31500</f>
        <v>0</v>
      </c>
      <c r="BM2662" s="76"/>
      <c r="BN2662" s="76"/>
      <c r="BO2662" s="76"/>
      <c r="BP2662" s="76"/>
      <c r="BQ2662" s="76"/>
      <c r="BR2662" s="76"/>
      <c r="BS2662" s="76"/>
      <c r="BT2662" s="76"/>
      <c r="BU2662" s="76"/>
      <c r="BV2662" s="76"/>
      <c r="BW2662" s="76"/>
      <c r="BX2662" s="76"/>
      <c r="BY2662" s="76"/>
      <c r="BZ2662" s="76"/>
      <c r="CA2662" s="76"/>
      <c r="CB2662" s="76"/>
      <c r="CC2662" s="76"/>
      <c r="CD2662" s="76"/>
      <c r="CE2662" s="76"/>
      <c r="CF2662" s="76">
        <f>+CE2662*28000</f>
        <v>0</v>
      </c>
      <c r="CG2662" s="76"/>
      <c r="CH2662" s="76">
        <f>+CG2662*22500</f>
        <v>0</v>
      </c>
      <c r="CI2662" s="76"/>
      <c r="CJ2662" s="76">
        <f>+CI2662*26000</f>
        <v>0</v>
      </c>
      <c r="CK2662" s="76"/>
      <c r="CL2662" s="76"/>
      <c r="CM2662" s="76"/>
      <c r="CN2662" s="76">
        <f>+CM2662*22000</f>
        <v>0</v>
      </c>
      <c r="CO2662" s="76"/>
      <c r="CP2662" s="76">
        <f>+CO2662*46000</f>
        <v>0</v>
      </c>
      <c r="CQ2662" s="76"/>
      <c r="CR2662" s="76">
        <f>+CQ2662*49000</f>
        <v>0</v>
      </c>
      <c r="CS2662" s="76"/>
      <c r="CT2662" s="76"/>
      <c r="CU2662" s="56">
        <f>AN2662+AP2662+AR2662+AT2662+AV2662+AX2662+AZ2662+BB2662+BD2662+BF2662+BH2662+BJ2662+BL2662+BN2662+BP2662+BR2662+BT2662+BV2662+BX2662+BZ2662+CB2662+CD2662+CF2662+CH2662+CJ2662+CL2662+CN2662+CP2662+CR2662+CT2662</f>
        <v>0</v>
      </c>
      <c r="CV2662" s="76"/>
      <c r="CW2662" s="76">
        <f>+CV2662*1100</f>
        <v>0</v>
      </c>
      <c r="CX2662" s="76"/>
      <c r="CY2662" s="76">
        <f>+CX2662*106250</f>
        <v>0</v>
      </c>
      <c r="CZ2662" s="76"/>
      <c r="DA2662" s="76">
        <f>+CZ2662*34500</f>
        <v>0</v>
      </c>
      <c r="DB2662" s="76"/>
      <c r="DC2662" s="76">
        <f>+DB2662*25000</f>
        <v>0</v>
      </c>
      <c r="DD2662" s="219"/>
      <c r="DE2662" s="219"/>
      <c r="DF2662" s="166"/>
      <c r="DG2662" s="116"/>
      <c r="DH2662" s="117"/>
      <c r="DI2662" s="24"/>
      <c r="DJ2662" s="24"/>
      <c r="DK2662" s="24"/>
      <c r="DL2662" s="24"/>
      <c r="DM2662" s="24"/>
      <c r="DN2662" s="24"/>
      <c r="DO2662" s="24"/>
      <c r="DP2662" s="24"/>
      <c r="DQ2662" s="24"/>
      <c r="DR2662" s="24"/>
      <c r="DS2662" s="24"/>
      <c r="DT2662" s="24"/>
      <c r="DU2662" s="24"/>
    </row>
    <row r="2663" spans="1:125" s="8" customFormat="1" ht="24" x14ac:dyDescent="0.2">
      <c r="A2663" s="77">
        <v>41494</v>
      </c>
      <c r="B2663" s="352" t="s">
        <v>2855</v>
      </c>
      <c r="C2663" s="354" t="s">
        <v>904</v>
      </c>
      <c r="D2663" s="354" t="s">
        <v>2882</v>
      </c>
      <c r="E2663" s="353" t="str">
        <f>VLOOKUP(B2663&amp;C2663,Divipola!$C$2:$F$1138,4,FALSE)</f>
        <v>20178</v>
      </c>
      <c r="F2663" s="87"/>
      <c r="G2663" s="87"/>
      <c r="H2663" s="87"/>
      <c r="I2663" s="87">
        <v>55</v>
      </c>
      <c r="J2663" s="87">
        <v>11</v>
      </c>
      <c r="K2663" s="87"/>
      <c r="L2663" s="87">
        <v>11</v>
      </c>
      <c r="M2663" s="87"/>
      <c r="N2663" s="87"/>
      <c r="O2663" s="87"/>
      <c r="P2663" s="87"/>
      <c r="Q2663" s="87"/>
      <c r="R2663" s="87"/>
      <c r="S2663" s="87"/>
      <c r="T2663" s="87"/>
      <c r="U2663" s="88"/>
      <c r="V2663" s="89"/>
      <c r="W2663" s="96">
        <v>0</v>
      </c>
      <c r="X2663" s="71">
        <f>CU2663</f>
        <v>0</v>
      </c>
      <c r="Y2663" s="71">
        <f>CY2663</f>
        <v>0</v>
      </c>
      <c r="Z2663" s="71">
        <f>DA2663+DC2663+DE2663</f>
        <v>0</v>
      </c>
      <c r="AA2663" s="71">
        <f>CW2663</f>
        <v>0</v>
      </c>
      <c r="AB2663" s="71"/>
      <c r="AC2663" s="71">
        <v>0</v>
      </c>
      <c r="AD2663" s="71">
        <f>W2663+X2663+Y2663+Z2663+AA2663+AB2663+AC2663</f>
        <v>0</v>
      </c>
      <c r="AE2663" s="72">
        <v>0</v>
      </c>
      <c r="AF2663" s="5"/>
      <c r="AG2663" s="6"/>
      <c r="AH2663" s="27"/>
      <c r="AI2663" s="44"/>
      <c r="AJ2663" s="26"/>
      <c r="AK2663" s="5"/>
      <c r="AL2663" s="82" t="s">
        <v>5559</v>
      </c>
      <c r="AM2663" s="76"/>
      <c r="AN2663" s="76"/>
      <c r="AO2663" s="76"/>
      <c r="AP2663" s="76"/>
      <c r="AQ2663" s="76"/>
      <c r="AR2663" s="76"/>
      <c r="AS2663" s="76"/>
      <c r="AT2663" s="76"/>
      <c r="AU2663" s="76"/>
      <c r="AV2663" s="76"/>
      <c r="AW2663" s="76"/>
      <c r="AX2663" s="76">
        <f>+AW2663*600000</f>
        <v>0</v>
      </c>
      <c r="AY2663" s="76"/>
      <c r="AZ2663" s="76">
        <f>+AY2663*70000</f>
        <v>0</v>
      </c>
      <c r="BA2663" s="76"/>
      <c r="BB2663" s="76"/>
      <c r="BC2663" s="76"/>
      <c r="BD2663" s="76">
        <f>+BC2663*30000</f>
        <v>0</v>
      </c>
      <c r="BE2663" s="76"/>
      <c r="BF2663" s="76"/>
      <c r="BG2663" s="76"/>
      <c r="BH2663" s="76"/>
      <c r="BI2663" s="76"/>
      <c r="BJ2663" s="76"/>
      <c r="BK2663" s="76"/>
      <c r="BL2663" s="76">
        <f>+BK2663*31500</f>
        <v>0</v>
      </c>
      <c r="BM2663" s="76"/>
      <c r="BN2663" s="76"/>
      <c r="BO2663" s="76"/>
      <c r="BP2663" s="76"/>
      <c r="BQ2663" s="76"/>
      <c r="BR2663" s="76"/>
      <c r="BS2663" s="76"/>
      <c r="BT2663" s="76"/>
      <c r="BU2663" s="76"/>
      <c r="BV2663" s="76"/>
      <c r="BW2663" s="76"/>
      <c r="BX2663" s="76"/>
      <c r="BY2663" s="76"/>
      <c r="BZ2663" s="76"/>
      <c r="CA2663" s="76"/>
      <c r="CB2663" s="76"/>
      <c r="CC2663" s="76"/>
      <c r="CD2663" s="76"/>
      <c r="CE2663" s="76"/>
      <c r="CF2663" s="76">
        <f>+CE2663*28000</f>
        <v>0</v>
      </c>
      <c r="CG2663" s="76"/>
      <c r="CH2663" s="76">
        <f>+CG2663*22500</f>
        <v>0</v>
      </c>
      <c r="CI2663" s="76"/>
      <c r="CJ2663" s="76">
        <f>+CI2663*26000</f>
        <v>0</v>
      </c>
      <c r="CK2663" s="76"/>
      <c r="CL2663" s="76"/>
      <c r="CM2663" s="76"/>
      <c r="CN2663" s="76">
        <f>+CM2663*22000</f>
        <v>0</v>
      </c>
      <c r="CO2663" s="76"/>
      <c r="CP2663" s="76">
        <f>+CO2663*46000</f>
        <v>0</v>
      </c>
      <c r="CQ2663" s="76"/>
      <c r="CR2663" s="76">
        <f>+CQ2663*49000</f>
        <v>0</v>
      </c>
      <c r="CS2663" s="76"/>
      <c r="CT2663" s="76"/>
      <c r="CU2663" s="56">
        <f>AN2663+AP2663+AR2663+AT2663+AV2663+AX2663+AZ2663+BB2663+BD2663+BF2663+BH2663+BJ2663+BL2663+BN2663+BP2663+BR2663+BT2663+BV2663+BX2663+BZ2663+CB2663+CD2663+CF2663+CH2663+CJ2663+CL2663+CN2663+CP2663+CR2663+CT2663</f>
        <v>0</v>
      </c>
      <c r="CV2663" s="76"/>
      <c r="CW2663" s="76">
        <f>+CV2663*1100</f>
        <v>0</v>
      </c>
      <c r="CX2663" s="76"/>
      <c r="CY2663" s="76">
        <f>+CX2663*106250</f>
        <v>0</v>
      </c>
      <c r="CZ2663" s="76"/>
      <c r="DA2663" s="76">
        <f>+CZ2663*34500</f>
        <v>0</v>
      </c>
      <c r="DB2663" s="76"/>
      <c r="DC2663" s="76">
        <f>+DB2663*25000</f>
        <v>0</v>
      </c>
      <c r="DD2663" s="219"/>
      <c r="DE2663" s="219"/>
      <c r="DF2663" s="166"/>
      <c r="DG2663" s="116"/>
      <c r="DH2663" s="117"/>
      <c r="DI2663" s="24"/>
      <c r="DJ2663" s="24"/>
      <c r="DK2663" s="24"/>
      <c r="DL2663" s="24"/>
      <c r="DM2663" s="24"/>
      <c r="DN2663" s="24"/>
      <c r="DO2663" s="24"/>
      <c r="DP2663" s="24"/>
      <c r="DQ2663" s="24"/>
      <c r="DR2663" s="24"/>
      <c r="DS2663" s="24"/>
      <c r="DT2663" s="24"/>
      <c r="DU2663" s="24"/>
    </row>
    <row r="2664" spans="1:125" s="8" customFormat="1" ht="36" x14ac:dyDescent="0.2">
      <c r="A2664" s="77">
        <v>41494</v>
      </c>
      <c r="B2664" s="352" t="s">
        <v>2906</v>
      </c>
      <c r="C2664" s="354" t="s">
        <v>443</v>
      </c>
      <c r="D2664" s="354" t="s">
        <v>2882</v>
      </c>
      <c r="E2664" s="353" t="str">
        <f>VLOOKUP(B2664&amp;C2664,Divipola!$C$2:$F$1138,4,FALSE)</f>
        <v>47541</v>
      </c>
      <c r="F2664" s="87"/>
      <c r="G2664" s="87"/>
      <c r="H2664" s="87"/>
      <c r="I2664" s="87">
        <v>175</v>
      </c>
      <c r="J2664" s="87">
        <v>35</v>
      </c>
      <c r="K2664" s="87"/>
      <c r="L2664" s="87">
        <v>35</v>
      </c>
      <c r="M2664" s="87"/>
      <c r="N2664" s="87"/>
      <c r="O2664" s="87"/>
      <c r="P2664" s="87"/>
      <c r="Q2664" s="87"/>
      <c r="R2664" s="87"/>
      <c r="S2664" s="87"/>
      <c r="T2664" s="87"/>
      <c r="U2664" s="88"/>
      <c r="V2664" s="89"/>
      <c r="W2664" s="96">
        <v>0</v>
      </c>
      <c r="X2664" s="71">
        <f>CU2664</f>
        <v>0</v>
      </c>
      <c r="Y2664" s="71">
        <f>CY2664</f>
        <v>0</v>
      </c>
      <c r="Z2664" s="71">
        <f>DA2664+DC2664+DE2664</f>
        <v>0</v>
      </c>
      <c r="AA2664" s="71">
        <f>CW2664</f>
        <v>0</v>
      </c>
      <c r="AB2664" s="71"/>
      <c r="AC2664" s="71">
        <v>0</v>
      </c>
      <c r="AD2664" s="71">
        <f>W2664+X2664+Y2664+Z2664+AA2664+AB2664+AC2664</f>
        <v>0</v>
      </c>
      <c r="AE2664" s="72">
        <v>0</v>
      </c>
      <c r="AF2664" s="5"/>
      <c r="AG2664" s="6"/>
      <c r="AH2664" s="27"/>
      <c r="AI2664" s="44"/>
      <c r="AJ2664" s="26"/>
      <c r="AK2664" s="5"/>
      <c r="AL2664" s="82" t="s">
        <v>5558</v>
      </c>
      <c r="AM2664" s="76"/>
      <c r="AN2664" s="76"/>
      <c r="AO2664" s="76"/>
      <c r="AP2664" s="76"/>
      <c r="AQ2664" s="76"/>
      <c r="AR2664" s="76"/>
      <c r="AS2664" s="76"/>
      <c r="AT2664" s="76"/>
      <c r="AU2664" s="76"/>
      <c r="AV2664" s="76"/>
      <c r="AW2664" s="76"/>
      <c r="AX2664" s="76">
        <f>+AW2664*600000</f>
        <v>0</v>
      </c>
      <c r="AY2664" s="76"/>
      <c r="AZ2664" s="76">
        <f>+AY2664*70000</f>
        <v>0</v>
      </c>
      <c r="BA2664" s="76"/>
      <c r="BB2664" s="76"/>
      <c r="BC2664" s="76"/>
      <c r="BD2664" s="76">
        <f>+BC2664*30000</f>
        <v>0</v>
      </c>
      <c r="BE2664" s="76"/>
      <c r="BF2664" s="76"/>
      <c r="BG2664" s="76"/>
      <c r="BH2664" s="76"/>
      <c r="BI2664" s="76"/>
      <c r="BJ2664" s="76"/>
      <c r="BK2664" s="76"/>
      <c r="BL2664" s="76">
        <f>+BK2664*31500</f>
        <v>0</v>
      </c>
      <c r="BM2664" s="76"/>
      <c r="BN2664" s="76"/>
      <c r="BO2664" s="76"/>
      <c r="BP2664" s="76"/>
      <c r="BQ2664" s="76"/>
      <c r="BR2664" s="76"/>
      <c r="BS2664" s="76"/>
      <c r="BT2664" s="76"/>
      <c r="BU2664" s="76"/>
      <c r="BV2664" s="76"/>
      <c r="BW2664" s="76"/>
      <c r="BX2664" s="76"/>
      <c r="BY2664" s="76"/>
      <c r="BZ2664" s="76"/>
      <c r="CA2664" s="76"/>
      <c r="CB2664" s="76"/>
      <c r="CC2664" s="76"/>
      <c r="CD2664" s="76"/>
      <c r="CE2664" s="76"/>
      <c r="CF2664" s="76">
        <f>+CE2664*28000</f>
        <v>0</v>
      </c>
      <c r="CG2664" s="76"/>
      <c r="CH2664" s="76">
        <f>+CG2664*22500</f>
        <v>0</v>
      </c>
      <c r="CI2664" s="76"/>
      <c r="CJ2664" s="76">
        <f>+CI2664*26000</f>
        <v>0</v>
      </c>
      <c r="CK2664" s="76"/>
      <c r="CL2664" s="76"/>
      <c r="CM2664" s="76"/>
      <c r="CN2664" s="76">
        <f>+CM2664*22000</f>
        <v>0</v>
      </c>
      <c r="CO2664" s="76"/>
      <c r="CP2664" s="76">
        <f>+CO2664*46000</f>
        <v>0</v>
      </c>
      <c r="CQ2664" s="76"/>
      <c r="CR2664" s="76">
        <f>+CQ2664*49000</f>
        <v>0</v>
      </c>
      <c r="CS2664" s="76"/>
      <c r="CT2664" s="76"/>
      <c r="CU2664" s="56">
        <f>AN2664+AP2664+AR2664+AT2664+AV2664+AX2664+AZ2664+BB2664+BD2664+BF2664+BH2664+BJ2664+BL2664+BN2664+BP2664+BR2664+BT2664+BV2664+BX2664+BZ2664+CB2664+CD2664+CF2664+CH2664+CJ2664+CL2664+CN2664+CP2664+CR2664+CT2664</f>
        <v>0</v>
      </c>
      <c r="CV2664" s="76"/>
      <c r="CW2664" s="76">
        <f>+CV2664*1100</f>
        <v>0</v>
      </c>
      <c r="CX2664" s="76"/>
      <c r="CY2664" s="76">
        <f>+CX2664*106250</f>
        <v>0</v>
      </c>
      <c r="CZ2664" s="76"/>
      <c r="DA2664" s="76">
        <f>+CZ2664*34500</f>
        <v>0</v>
      </c>
      <c r="DB2664" s="76"/>
      <c r="DC2664" s="76">
        <f>+DB2664*25000</f>
        <v>0</v>
      </c>
      <c r="DD2664" s="219"/>
      <c r="DE2664" s="219"/>
      <c r="DF2664" s="166"/>
      <c r="DG2664" s="116"/>
      <c r="DH2664" s="117"/>
      <c r="DI2664" s="24"/>
      <c r="DJ2664" s="24"/>
      <c r="DK2664" s="24"/>
      <c r="DL2664" s="24"/>
      <c r="DM2664" s="24"/>
      <c r="DN2664" s="24"/>
      <c r="DO2664" s="24"/>
      <c r="DP2664" s="24"/>
      <c r="DQ2664" s="24"/>
      <c r="DR2664" s="24"/>
      <c r="DS2664" s="24"/>
      <c r="DT2664" s="24"/>
      <c r="DU2664" s="24"/>
    </row>
    <row r="2665" spans="1:125" s="8" customFormat="1" ht="96" x14ac:dyDescent="0.2">
      <c r="A2665" s="77">
        <v>41494</v>
      </c>
      <c r="B2665" s="352" t="s">
        <v>2880</v>
      </c>
      <c r="C2665" s="354" t="s">
        <v>2732</v>
      </c>
      <c r="D2665" s="354" t="s">
        <v>2882</v>
      </c>
      <c r="E2665" s="353" t="str">
        <f>VLOOKUP(B2665&amp;C2665,Divipola!$C$2:$F$1138,4,FALSE)</f>
        <v>54001</v>
      </c>
      <c r="F2665" s="87"/>
      <c r="G2665" s="87"/>
      <c r="H2665" s="87"/>
      <c r="I2665" s="87"/>
      <c r="J2665" s="87"/>
      <c r="K2665" s="87"/>
      <c r="L2665" s="87"/>
      <c r="M2665" s="87"/>
      <c r="N2665" s="87"/>
      <c r="O2665" s="87"/>
      <c r="P2665" s="87"/>
      <c r="Q2665" s="87"/>
      <c r="R2665" s="87"/>
      <c r="S2665" s="87"/>
      <c r="T2665" s="87"/>
      <c r="U2665" s="88"/>
      <c r="V2665" s="89"/>
      <c r="W2665" s="96">
        <v>0</v>
      </c>
      <c r="X2665" s="71">
        <f>CU2665</f>
        <v>0</v>
      </c>
      <c r="Y2665" s="71">
        <f>CY2665</f>
        <v>0</v>
      </c>
      <c r="Z2665" s="71">
        <f>DA2665+DC2665+DE2665</f>
        <v>0</v>
      </c>
      <c r="AA2665" s="71">
        <f>CW2665</f>
        <v>0</v>
      </c>
      <c r="AB2665" s="71"/>
      <c r="AC2665" s="71">
        <v>0</v>
      </c>
      <c r="AD2665" s="71">
        <f>W2665+X2665+Y2665+Z2665+AA2665+AB2665+AC2665</f>
        <v>0</v>
      </c>
      <c r="AE2665" s="72">
        <v>0</v>
      </c>
      <c r="AF2665" s="5"/>
      <c r="AG2665" s="6"/>
      <c r="AH2665" s="27"/>
      <c r="AI2665" s="44"/>
      <c r="AJ2665" s="26"/>
      <c r="AK2665" s="5"/>
      <c r="AL2665" s="82" t="s">
        <v>5555</v>
      </c>
      <c r="AM2665" s="76"/>
      <c r="AN2665" s="76"/>
      <c r="AO2665" s="76"/>
      <c r="AP2665" s="76"/>
      <c r="AQ2665" s="76"/>
      <c r="AR2665" s="76"/>
      <c r="AS2665" s="76"/>
      <c r="AT2665" s="76"/>
      <c r="AU2665" s="76"/>
      <c r="AV2665" s="76"/>
      <c r="AW2665" s="76"/>
      <c r="AX2665" s="76">
        <f>+AW2665*600000</f>
        <v>0</v>
      </c>
      <c r="AY2665" s="76"/>
      <c r="AZ2665" s="76">
        <f>+AY2665*70000</f>
        <v>0</v>
      </c>
      <c r="BA2665" s="76"/>
      <c r="BB2665" s="76"/>
      <c r="BC2665" s="76"/>
      <c r="BD2665" s="76">
        <f>+BC2665*30000</f>
        <v>0</v>
      </c>
      <c r="BE2665" s="76"/>
      <c r="BF2665" s="76"/>
      <c r="BG2665" s="76"/>
      <c r="BH2665" s="76"/>
      <c r="BI2665" s="76"/>
      <c r="BJ2665" s="76"/>
      <c r="BK2665" s="76"/>
      <c r="BL2665" s="76">
        <f>+BK2665*31500</f>
        <v>0</v>
      </c>
      <c r="BM2665" s="76"/>
      <c r="BN2665" s="76"/>
      <c r="BO2665" s="76"/>
      <c r="BP2665" s="76"/>
      <c r="BQ2665" s="76"/>
      <c r="BR2665" s="76"/>
      <c r="BS2665" s="76"/>
      <c r="BT2665" s="76"/>
      <c r="BU2665" s="76"/>
      <c r="BV2665" s="76"/>
      <c r="BW2665" s="76"/>
      <c r="BX2665" s="76"/>
      <c r="BY2665" s="76"/>
      <c r="BZ2665" s="76"/>
      <c r="CA2665" s="76"/>
      <c r="CB2665" s="76"/>
      <c r="CC2665" s="76"/>
      <c r="CD2665" s="76"/>
      <c r="CE2665" s="76"/>
      <c r="CF2665" s="76">
        <f>+CE2665*28000</f>
        <v>0</v>
      </c>
      <c r="CG2665" s="76"/>
      <c r="CH2665" s="76">
        <f>+CG2665*22500</f>
        <v>0</v>
      </c>
      <c r="CI2665" s="76"/>
      <c r="CJ2665" s="76">
        <f>+CI2665*26000</f>
        <v>0</v>
      </c>
      <c r="CK2665" s="76"/>
      <c r="CL2665" s="76"/>
      <c r="CM2665" s="76"/>
      <c r="CN2665" s="76">
        <f>+CM2665*22000</f>
        <v>0</v>
      </c>
      <c r="CO2665" s="76"/>
      <c r="CP2665" s="76">
        <f>+CO2665*46000</f>
        <v>0</v>
      </c>
      <c r="CQ2665" s="76"/>
      <c r="CR2665" s="76">
        <f>+CQ2665*49000</f>
        <v>0</v>
      </c>
      <c r="CS2665" s="76"/>
      <c r="CT2665" s="76"/>
      <c r="CU2665" s="56">
        <f>AN2665+AP2665+AR2665+AT2665+AV2665+AX2665+AZ2665+BB2665+BD2665+BF2665+BH2665+BJ2665+BL2665+BN2665+BP2665+BR2665+BT2665+BV2665+BX2665+BZ2665+CB2665+CD2665+CF2665+CH2665+CJ2665+CL2665+CN2665+CP2665+CR2665+CT2665</f>
        <v>0</v>
      </c>
      <c r="CV2665" s="76"/>
      <c r="CW2665" s="76">
        <f>+CV2665*1100</f>
        <v>0</v>
      </c>
      <c r="CX2665" s="76"/>
      <c r="CY2665" s="76">
        <f>+CX2665*106250</f>
        <v>0</v>
      </c>
      <c r="CZ2665" s="76"/>
      <c r="DA2665" s="76">
        <f>+CZ2665*34500</f>
        <v>0</v>
      </c>
      <c r="DB2665" s="76"/>
      <c r="DC2665" s="76">
        <f>+DB2665*25000</f>
        <v>0</v>
      </c>
      <c r="DD2665" s="219"/>
      <c r="DE2665" s="219"/>
      <c r="DF2665" s="166"/>
      <c r="DG2665" s="116"/>
      <c r="DH2665" s="117"/>
      <c r="DI2665" s="24"/>
      <c r="DJ2665" s="24"/>
      <c r="DK2665" s="24"/>
      <c r="DL2665" s="24"/>
      <c r="DM2665" s="24"/>
      <c r="DN2665" s="24"/>
      <c r="DO2665" s="24"/>
      <c r="DP2665" s="24"/>
      <c r="DQ2665" s="24"/>
      <c r="DR2665" s="24"/>
      <c r="DS2665" s="24"/>
      <c r="DT2665" s="24"/>
      <c r="DU2665" s="24"/>
    </row>
    <row r="2666" spans="1:125" s="8" customFormat="1" ht="60" x14ac:dyDescent="0.2">
      <c r="A2666" s="353">
        <v>41494</v>
      </c>
      <c r="B2666" s="352" t="s">
        <v>1326</v>
      </c>
      <c r="C2666" s="354" t="s">
        <v>1828</v>
      </c>
      <c r="D2666" s="354" t="s">
        <v>2882</v>
      </c>
      <c r="E2666" s="353" t="str">
        <f>VLOOKUP(B2666&amp;C2666,Divipola!$C$2:$F$1138,4,FALSE)</f>
        <v>70508</v>
      </c>
      <c r="F2666" s="87"/>
      <c r="G2666" s="87"/>
      <c r="H2666" s="87"/>
      <c r="I2666" s="87">
        <v>10</v>
      </c>
      <c r="J2666" s="87">
        <v>2</v>
      </c>
      <c r="K2666" s="87"/>
      <c r="L2666" s="87">
        <v>2</v>
      </c>
      <c r="M2666" s="87"/>
      <c r="N2666" s="87"/>
      <c r="O2666" s="87"/>
      <c r="P2666" s="87"/>
      <c r="Q2666" s="87"/>
      <c r="R2666" s="87"/>
      <c r="S2666" s="87"/>
      <c r="T2666" s="87"/>
      <c r="U2666" s="88"/>
      <c r="V2666" s="89"/>
      <c r="W2666" s="96">
        <v>0</v>
      </c>
      <c r="X2666" s="71">
        <f>CU2666</f>
        <v>0</v>
      </c>
      <c r="Y2666" s="71">
        <f>CY2666</f>
        <v>0</v>
      </c>
      <c r="Z2666" s="71">
        <f>DA2666+DC2666+DE2666</f>
        <v>0</v>
      </c>
      <c r="AA2666" s="71">
        <f>CW2666</f>
        <v>0</v>
      </c>
      <c r="AB2666" s="71"/>
      <c r="AC2666" s="71">
        <v>0</v>
      </c>
      <c r="AD2666" s="71">
        <f>W2666+X2666+Y2666+Z2666+AA2666+AB2666+AC2666</f>
        <v>0</v>
      </c>
      <c r="AE2666" s="72">
        <v>0</v>
      </c>
      <c r="AF2666" s="5"/>
      <c r="AG2666" s="6"/>
      <c r="AH2666" s="27"/>
      <c r="AI2666" s="44"/>
      <c r="AJ2666" s="26"/>
      <c r="AK2666" s="5"/>
      <c r="AL2666" s="82" t="s">
        <v>5569</v>
      </c>
      <c r="AM2666" s="76"/>
      <c r="AN2666" s="76"/>
      <c r="AO2666" s="76"/>
      <c r="AP2666" s="76"/>
      <c r="AQ2666" s="76"/>
      <c r="AR2666" s="76"/>
      <c r="AS2666" s="76"/>
      <c r="AT2666" s="76"/>
      <c r="AU2666" s="76"/>
      <c r="AV2666" s="76"/>
      <c r="AW2666" s="76"/>
      <c r="AX2666" s="76">
        <f>+AW2666*600000</f>
        <v>0</v>
      </c>
      <c r="AY2666" s="76"/>
      <c r="AZ2666" s="76">
        <f>+AY2666*70000</f>
        <v>0</v>
      </c>
      <c r="BA2666" s="76"/>
      <c r="BB2666" s="76"/>
      <c r="BC2666" s="76"/>
      <c r="BD2666" s="76">
        <f>+BC2666*30000</f>
        <v>0</v>
      </c>
      <c r="BE2666" s="76"/>
      <c r="BF2666" s="76"/>
      <c r="BG2666" s="76"/>
      <c r="BH2666" s="76"/>
      <c r="BI2666" s="76"/>
      <c r="BJ2666" s="76"/>
      <c r="BK2666" s="76"/>
      <c r="BL2666" s="76">
        <f>+BK2666*31500</f>
        <v>0</v>
      </c>
      <c r="BM2666" s="76"/>
      <c r="BN2666" s="76"/>
      <c r="BO2666" s="76"/>
      <c r="BP2666" s="76"/>
      <c r="BQ2666" s="76"/>
      <c r="BR2666" s="76"/>
      <c r="BS2666" s="76"/>
      <c r="BT2666" s="76"/>
      <c r="BU2666" s="76"/>
      <c r="BV2666" s="76"/>
      <c r="BW2666" s="76"/>
      <c r="BX2666" s="76"/>
      <c r="BY2666" s="76"/>
      <c r="BZ2666" s="76"/>
      <c r="CA2666" s="76"/>
      <c r="CB2666" s="76"/>
      <c r="CC2666" s="76"/>
      <c r="CD2666" s="76"/>
      <c r="CE2666" s="76"/>
      <c r="CF2666" s="76">
        <f>+CE2666*28000</f>
        <v>0</v>
      </c>
      <c r="CG2666" s="76"/>
      <c r="CH2666" s="76">
        <f>+CG2666*22500</f>
        <v>0</v>
      </c>
      <c r="CI2666" s="76"/>
      <c r="CJ2666" s="76">
        <f>+CI2666*26000</f>
        <v>0</v>
      </c>
      <c r="CK2666" s="76"/>
      <c r="CL2666" s="76"/>
      <c r="CM2666" s="76"/>
      <c r="CN2666" s="76">
        <f>+CM2666*22000</f>
        <v>0</v>
      </c>
      <c r="CO2666" s="76"/>
      <c r="CP2666" s="76">
        <f>+CO2666*46000</f>
        <v>0</v>
      </c>
      <c r="CQ2666" s="76"/>
      <c r="CR2666" s="76">
        <f>+CQ2666*49000</f>
        <v>0</v>
      </c>
      <c r="CS2666" s="76"/>
      <c r="CT2666" s="76"/>
      <c r="CU2666" s="56">
        <f>AN2666+AP2666+AR2666+AT2666+AV2666+AX2666+AZ2666+BB2666+BD2666+BF2666+BH2666+BJ2666+BL2666+BN2666+BP2666+BR2666+BT2666+BV2666+BX2666+BZ2666+CB2666+CD2666+CF2666+CH2666+CJ2666+CL2666+CN2666+CP2666+CR2666+CT2666</f>
        <v>0</v>
      </c>
      <c r="CV2666" s="76"/>
      <c r="CW2666" s="76">
        <f>+CV2666*1100</f>
        <v>0</v>
      </c>
      <c r="CX2666" s="76"/>
      <c r="CY2666" s="76">
        <f>+CX2666*106250</f>
        <v>0</v>
      </c>
      <c r="CZ2666" s="76"/>
      <c r="DA2666" s="76">
        <f>+CZ2666*34500</f>
        <v>0</v>
      </c>
      <c r="DB2666" s="76"/>
      <c r="DC2666" s="76">
        <f>+DB2666*25000</f>
        <v>0</v>
      </c>
      <c r="DD2666" s="219"/>
      <c r="DE2666" s="219"/>
      <c r="DF2666" s="166"/>
      <c r="DG2666" s="116"/>
      <c r="DH2666" s="117"/>
      <c r="DI2666" s="24"/>
      <c r="DJ2666" s="24"/>
      <c r="DK2666" s="24"/>
      <c r="DL2666" s="24"/>
      <c r="DM2666" s="24"/>
      <c r="DN2666" s="24"/>
      <c r="DO2666" s="24"/>
      <c r="DP2666" s="24"/>
      <c r="DQ2666" s="24"/>
      <c r="DR2666" s="24"/>
      <c r="DS2666" s="24"/>
      <c r="DT2666" s="24"/>
      <c r="DU2666" s="24"/>
    </row>
    <row r="2667" spans="1:125" s="8" customFormat="1" ht="72" x14ac:dyDescent="0.2">
      <c r="A2667" s="77">
        <v>41494</v>
      </c>
      <c r="B2667" s="78" t="s">
        <v>2300</v>
      </c>
      <c r="C2667" s="75" t="s">
        <v>2301</v>
      </c>
      <c r="D2667" s="75" t="s">
        <v>2142</v>
      </c>
      <c r="E2667" s="353" t="str">
        <f>VLOOKUP(B2667&amp;C2667,Divipola!$C$2:$F$1138,4,FALSE)</f>
        <v>97001</v>
      </c>
      <c r="F2667" s="87"/>
      <c r="G2667" s="87"/>
      <c r="H2667" s="87"/>
      <c r="I2667" s="87">
        <v>20</v>
      </c>
      <c r="J2667" s="87">
        <v>4</v>
      </c>
      <c r="K2667" s="87"/>
      <c r="L2667" s="87">
        <v>4</v>
      </c>
      <c r="M2667" s="87"/>
      <c r="N2667" s="87"/>
      <c r="O2667" s="87"/>
      <c r="P2667" s="87"/>
      <c r="Q2667" s="87"/>
      <c r="R2667" s="87"/>
      <c r="S2667" s="87"/>
      <c r="T2667" s="87"/>
      <c r="U2667" s="88"/>
      <c r="V2667" s="89"/>
      <c r="W2667" s="96">
        <v>0</v>
      </c>
      <c r="X2667" s="71">
        <f>CU2667</f>
        <v>0</v>
      </c>
      <c r="Y2667" s="71">
        <f>CY2667</f>
        <v>0</v>
      </c>
      <c r="Z2667" s="71">
        <f>DA2667+DC2667+DE2667</f>
        <v>0</v>
      </c>
      <c r="AA2667" s="71">
        <f>CW2667</f>
        <v>0</v>
      </c>
      <c r="AB2667" s="71"/>
      <c r="AC2667" s="71">
        <v>0</v>
      </c>
      <c r="AD2667" s="71">
        <f>W2667+X2667+Y2667+Z2667+AA2667+AB2667+AC2667</f>
        <v>0</v>
      </c>
      <c r="AE2667" s="72">
        <v>0</v>
      </c>
      <c r="AF2667" s="5"/>
      <c r="AG2667" s="6"/>
      <c r="AH2667" s="27"/>
      <c r="AI2667" s="44"/>
      <c r="AJ2667" s="26"/>
      <c r="AK2667" s="5"/>
      <c r="AL2667" s="82" t="s">
        <v>5553</v>
      </c>
      <c r="AM2667" s="76"/>
      <c r="AN2667" s="76"/>
      <c r="AO2667" s="76"/>
      <c r="AP2667" s="76"/>
      <c r="AQ2667" s="76"/>
      <c r="AR2667" s="76"/>
      <c r="AS2667" s="76"/>
      <c r="AT2667" s="76"/>
      <c r="AU2667" s="76"/>
      <c r="AV2667" s="76"/>
      <c r="AW2667" s="76"/>
      <c r="AX2667" s="76">
        <f>+AW2667*600000</f>
        <v>0</v>
      </c>
      <c r="AY2667" s="76"/>
      <c r="AZ2667" s="76">
        <f>+AY2667*70000</f>
        <v>0</v>
      </c>
      <c r="BA2667" s="76"/>
      <c r="BB2667" s="76"/>
      <c r="BC2667" s="76"/>
      <c r="BD2667" s="76">
        <f>+BC2667*30000</f>
        <v>0</v>
      </c>
      <c r="BE2667" s="76"/>
      <c r="BF2667" s="76"/>
      <c r="BG2667" s="76"/>
      <c r="BH2667" s="76"/>
      <c r="BI2667" s="76"/>
      <c r="BJ2667" s="76"/>
      <c r="BK2667" s="76"/>
      <c r="BL2667" s="76">
        <f>+BK2667*31500</f>
        <v>0</v>
      </c>
      <c r="BM2667" s="76"/>
      <c r="BN2667" s="76"/>
      <c r="BO2667" s="76"/>
      <c r="BP2667" s="76"/>
      <c r="BQ2667" s="76"/>
      <c r="BR2667" s="76"/>
      <c r="BS2667" s="76"/>
      <c r="BT2667" s="76"/>
      <c r="BU2667" s="76"/>
      <c r="BV2667" s="76"/>
      <c r="BW2667" s="76"/>
      <c r="BX2667" s="76"/>
      <c r="BY2667" s="76"/>
      <c r="BZ2667" s="76"/>
      <c r="CA2667" s="76"/>
      <c r="CB2667" s="76"/>
      <c r="CC2667" s="76"/>
      <c r="CD2667" s="76"/>
      <c r="CE2667" s="76"/>
      <c r="CF2667" s="76">
        <f>+CE2667*28000</f>
        <v>0</v>
      </c>
      <c r="CG2667" s="76"/>
      <c r="CH2667" s="76">
        <f>+CG2667*22500</f>
        <v>0</v>
      </c>
      <c r="CI2667" s="76"/>
      <c r="CJ2667" s="76">
        <f>+CI2667*26000</f>
        <v>0</v>
      </c>
      <c r="CK2667" s="76"/>
      <c r="CL2667" s="76"/>
      <c r="CM2667" s="76"/>
      <c r="CN2667" s="76">
        <f>+CM2667*22000</f>
        <v>0</v>
      </c>
      <c r="CO2667" s="76"/>
      <c r="CP2667" s="76">
        <f>+CO2667*46000</f>
        <v>0</v>
      </c>
      <c r="CQ2667" s="76"/>
      <c r="CR2667" s="76">
        <f>+CQ2667*49000</f>
        <v>0</v>
      </c>
      <c r="CS2667" s="76"/>
      <c r="CT2667" s="76"/>
      <c r="CU2667" s="56">
        <f>AN2667+AP2667+AR2667+AT2667+AV2667+AX2667+AZ2667+BB2667+BD2667+BF2667+BH2667+BJ2667+BL2667+BN2667+BP2667+BR2667+BT2667+BV2667+BX2667+BZ2667+CB2667+CD2667+CF2667+CH2667+CJ2667+CL2667+CN2667+CP2667+CR2667+CT2667</f>
        <v>0</v>
      </c>
      <c r="CV2667" s="76"/>
      <c r="CW2667" s="76">
        <f>+CV2667*1100</f>
        <v>0</v>
      </c>
      <c r="CX2667" s="76"/>
      <c r="CY2667" s="76">
        <f>+CX2667*106250</f>
        <v>0</v>
      </c>
      <c r="CZ2667" s="76"/>
      <c r="DA2667" s="76">
        <f>+CZ2667*34500</f>
        <v>0</v>
      </c>
      <c r="DB2667" s="76"/>
      <c r="DC2667" s="76">
        <f>+DB2667*25000</f>
        <v>0</v>
      </c>
      <c r="DD2667" s="219"/>
      <c r="DE2667" s="219"/>
      <c r="DF2667" s="166"/>
      <c r="DG2667" s="116"/>
      <c r="DH2667" s="117"/>
      <c r="DI2667" s="24"/>
      <c r="DJ2667" s="24"/>
      <c r="DK2667" s="24"/>
      <c r="DL2667" s="24"/>
      <c r="DM2667" s="24"/>
      <c r="DN2667" s="24"/>
      <c r="DO2667" s="24"/>
      <c r="DP2667" s="24"/>
      <c r="DQ2667" s="24"/>
      <c r="DR2667" s="24"/>
      <c r="DS2667" s="24"/>
      <c r="DT2667" s="24"/>
      <c r="DU2667" s="24"/>
    </row>
    <row r="2668" spans="1:125" s="8" customFormat="1" ht="48" x14ac:dyDescent="0.2">
      <c r="A2668" s="353">
        <v>41495</v>
      </c>
      <c r="B2668" s="352" t="s">
        <v>2881</v>
      </c>
      <c r="C2668" s="354" t="s">
        <v>1413</v>
      </c>
      <c r="D2668" s="354" t="s">
        <v>2882</v>
      </c>
      <c r="E2668" s="353" t="str">
        <f>VLOOKUP(B2668&amp;C2668,Divipola!$C$2:$F$1138,4,FALSE)</f>
        <v>08433</v>
      </c>
      <c r="F2668" s="87"/>
      <c r="G2668" s="87"/>
      <c r="H2668" s="87"/>
      <c r="I2668" s="87">
        <v>25</v>
      </c>
      <c r="J2668" s="87">
        <v>5</v>
      </c>
      <c r="K2668" s="87"/>
      <c r="L2668" s="87">
        <v>5</v>
      </c>
      <c r="M2668" s="87"/>
      <c r="N2668" s="87"/>
      <c r="O2668" s="87"/>
      <c r="P2668" s="87"/>
      <c r="Q2668" s="87"/>
      <c r="R2668" s="87"/>
      <c r="S2668" s="87"/>
      <c r="T2668" s="87">
        <v>1</v>
      </c>
      <c r="U2668" s="88"/>
      <c r="V2668" s="89"/>
      <c r="W2668" s="96">
        <v>0</v>
      </c>
      <c r="X2668" s="71">
        <f>CU2668</f>
        <v>0</v>
      </c>
      <c r="Y2668" s="71">
        <f>CY2668</f>
        <v>0</v>
      </c>
      <c r="Z2668" s="71">
        <f>DA2668+DC2668+DE2668</f>
        <v>0</v>
      </c>
      <c r="AA2668" s="71">
        <f>CW2668</f>
        <v>0</v>
      </c>
      <c r="AB2668" s="71"/>
      <c r="AC2668" s="71">
        <v>0</v>
      </c>
      <c r="AD2668" s="71">
        <f>W2668+X2668+Y2668+Z2668+AA2668+AB2668+AC2668</f>
        <v>0</v>
      </c>
      <c r="AE2668" s="72">
        <v>0</v>
      </c>
      <c r="AF2668" s="5"/>
      <c r="AG2668" s="6"/>
      <c r="AH2668" s="27"/>
      <c r="AI2668" s="44"/>
      <c r="AJ2668" s="26"/>
      <c r="AK2668" s="5"/>
      <c r="AL2668" s="82" t="s">
        <v>5561</v>
      </c>
      <c r="AM2668" s="76"/>
      <c r="AN2668" s="76"/>
      <c r="AO2668" s="76"/>
      <c r="AP2668" s="76"/>
      <c r="AQ2668" s="76"/>
      <c r="AR2668" s="76"/>
      <c r="AS2668" s="76"/>
      <c r="AT2668" s="76"/>
      <c r="AU2668" s="76"/>
      <c r="AV2668" s="76"/>
      <c r="AW2668" s="76"/>
      <c r="AX2668" s="76">
        <f>+AW2668*600000</f>
        <v>0</v>
      </c>
      <c r="AY2668" s="76"/>
      <c r="AZ2668" s="76">
        <f>+AY2668*70000</f>
        <v>0</v>
      </c>
      <c r="BA2668" s="76"/>
      <c r="BB2668" s="76"/>
      <c r="BC2668" s="76"/>
      <c r="BD2668" s="76">
        <f>+BC2668*30000</f>
        <v>0</v>
      </c>
      <c r="BE2668" s="76"/>
      <c r="BF2668" s="76"/>
      <c r="BG2668" s="76"/>
      <c r="BH2668" s="76"/>
      <c r="BI2668" s="76"/>
      <c r="BJ2668" s="76"/>
      <c r="BK2668" s="76"/>
      <c r="BL2668" s="76">
        <f>+BK2668*31500</f>
        <v>0</v>
      </c>
      <c r="BM2668" s="76"/>
      <c r="BN2668" s="76"/>
      <c r="BO2668" s="76"/>
      <c r="BP2668" s="76"/>
      <c r="BQ2668" s="76"/>
      <c r="BR2668" s="76"/>
      <c r="BS2668" s="76"/>
      <c r="BT2668" s="76"/>
      <c r="BU2668" s="76"/>
      <c r="BV2668" s="76"/>
      <c r="BW2668" s="76"/>
      <c r="BX2668" s="76"/>
      <c r="BY2668" s="76"/>
      <c r="BZ2668" s="76"/>
      <c r="CA2668" s="76"/>
      <c r="CB2668" s="76"/>
      <c r="CC2668" s="76"/>
      <c r="CD2668" s="76"/>
      <c r="CE2668" s="76"/>
      <c r="CF2668" s="76">
        <f>+CE2668*28000</f>
        <v>0</v>
      </c>
      <c r="CG2668" s="76"/>
      <c r="CH2668" s="76">
        <f>+CG2668*22500</f>
        <v>0</v>
      </c>
      <c r="CI2668" s="76"/>
      <c r="CJ2668" s="76">
        <f>+CI2668*26000</f>
        <v>0</v>
      </c>
      <c r="CK2668" s="76"/>
      <c r="CL2668" s="76"/>
      <c r="CM2668" s="76"/>
      <c r="CN2668" s="76">
        <f>+CM2668*22000</f>
        <v>0</v>
      </c>
      <c r="CO2668" s="76"/>
      <c r="CP2668" s="76">
        <f>+CO2668*46000</f>
        <v>0</v>
      </c>
      <c r="CQ2668" s="76"/>
      <c r="CR2668" s="76">
        <f>+CQ2668*49000</f>
        <v>0</v>
      </c>
      <c r="CS2668" s="76"/>
      <c r="CT2668" s="76"/>
      <c r="CU2668" s="56">
        <f>AN2668+AP2668+AR2668+AT2668+AV2668+AX2668+AZ2668+BB2668+BD2668+BF2668+BH2668+BJ2668+BL2668+BN2668+BP2668+BR2668+BT2668+BV2668+BX2668+BZ2668+CB2668+CD2668+CF2668+CH2668+CJ2668+CL2668+CN2668+CP2668+CR2668+CT2668</f>
        <v>0</v>
      </c>
      <c r="CV2668" s="76"/>
      <c r="CW2668" s="76">
        <f>+CV2668*1100</f>
        <v>0</v>
      </c>
      <c r="CX2668" s="76"/>
      <c r="CY2668" s="76">
        <f>+CX2668*106250</f>
        <v>0</v>
      </c>
      <c r="CZ2668" s="76"/>
      <c r="DA2668" s="76">
        <f>+CZ2668*34500</f>
        <v>0</v>
      </c>
      <c r="DB2668" s="76"/>
      <c r="DC2668" s="76">
        <f>+DB2668*25000</f>
        <v>0</v>
      </c>
      <c r="DD2668" s="219"/>
      <c r="DE2668" s="219"/>
      <c r="DF2668" s="166"/>
      <c r="DG2668" s="116"/>
      <c r="DH2668" s="117"/>
      <c r="DI2668" s="24"/>
      <c r="DJ2668" s="24"/>
      <c r="DK2668" s="24"/>
      <c r="DL2668" s="24"/>
      <c r="DM2668" s="24"/>
      <c r="DN2668" s="24"/>
      <c r="DO2668" s="24"/>
      <c r="DP2668" s="24"/>
      <c r="DQ2668" s="24"/>
      <c r="DR2668" s="24"/>
      <c r="DS2668" s="24"/>
      <c r="DT2668" s="24"/>
      <c r="DU2668" s="24"/>
    </row>
    <row r="2669" spans="1:125" s="8" customFormat="1" ht="84" x14ac:dyDescent="0.2">
      <c r="A2669" s="77">
        <v>41495</v>
      </c>
      <c r="B2669" s="78" t="s">
        <v>2881</v>
      </c>
      <c r="C2669" s="75" t="s">
        <v>2680</v>
      </c>
      <c r="D2669" s="75" t="s">
        <v>3051</v>
      </c>
      <c r="E2669" s="353" t="str">
        <f>VLOOKUP(B2669&amp;C2669,Divipola!$C$2:$F$1138,4,FALSE)</f>
        <v>08758</v>
      </c>
      <c r="F2669" s="87"/>
      <c r="G2669" s="87"/>
      <c r="H2669" s="87"/>
      <c r="I2669" s="87">
        <v>25</v>
      </c>
      <c r="J2669" s="87">
        <v>5</v>
      </c>
      <c r="K2669" s="87"/>
      <c r="L2669" s="87">
        <v>5</v>
      </c>
      <c r="M2669" s="87"/>
      <c r="N2669" s="87"/>
      <c r="O2669" s="87"/>
      <c r="P2669" s="87"/>
      <c r="Q2669" s="87"/>
      <c r="R2669" s="87"/>
      <c r="S2669" s="87"/>
      <c r="T2669" s="87"/>
      <c r="U2669" s="88"/>
      <c r="V2669" s="89"/>
      <c r="W2669" s="96">
        <v>0</v>
      </c>
      <c r="X2669" s="71">
        <f>CU2669</f>
        <v>0</v>
      </c>
      <c r="Y2669" s="71">
        <f>CY2669</f>
        <v>0</v>
      </c>
      <c r="Z2669" s="71">
        <f>DA2669+DC2669+DE2669</f>
        <v>0</v>
      </c>
      <c r="AA2669" s="71">
        <f>CW2669</f>
        <v>0</v>
      </c>
      <c r="AB2669" s="71"/>
      <c r="AC2669" s="71">
        <v>0</v>
      </c>
      <c r="AD2669" s="71">
        <f>W2669+X2669+Y2669+Z2669+AA2669+AB2669+AC2669</f>
        <v>0</v>
      </c>
      <c r="AE2669" s="72">
        <v>0</v>
      </c>
      <c r="AF2669" s="5"/>
      <c r="AG2669" s="6"/>
      <c r="AH2669" s="27"/>
      <c r="AI2669" s="44"/>
      <c r="AJ2669" s="26"/>
      <c r="AK2669" s="5"/>
      <c r="AL2669" s="82" t="s">
        <v>5560</v>
      </c>
      <c r="AM2669" s="76"/>
      <c r="AN2669" s="76"/>
      <c r="AO2669" s="76"/>
      <c r="AP2669" s="76"/>
      <c r="AQ2669" s="76"/>
      <c r="AR2669" s="76"/>
      <c r="AS2669" s="76"/>
      <c r="AT2669" s="76"/>
      <c r="AU2669" s="76"/>
      <c r="AV2669" s="76"/>
      <c r="AW2669" s="76"/>
      <c r="AX2669" s="76">
        <f>+AW2669*600000</f>
        <v>0</v>
      </c>
      <c r="AY2669" s="76"/>
      <c r="AZ2669" s="76">
        <f>+AY2669*70000</f>
        <v>0</v>
      </c>
      <c r="BA2669" s="76"/>
      <c r="BB2669" s="76"/>
      <c r="BC2669" s="76"/>
      <c r="BD2669" s="76">
        <f>+BC2669*30000</f>
        <v>0</v>
      </c>
      <c r="BE2669" s="76"/>
      <c r="BF2669" s="76"/>
      <c r="BG2669" s="76"/>
      <c r="BH2669" s="76"/>
      <c r="BI2669" s="76"/>
      <c r="BJ2669" s="76"/>
      <c r="BK2669" s="76"/>
      <c r="BL2669" s="76">
        <f>+BK2669*31500</f>
        <v>0</v>
      </c>
      <c r="BM2669" s="76"/>
      <c r="BN2669" s="76"/>
      <c r="BO2669" s="76"/>
      <c r="BP2669" s="76"/>
      <c r="BQ2669" s="76"/>
      <c r="BR2669" s="76"/>
      <c r="BS2669" s="76"/>
      <c r="BT2669" s="76"/>
      <c r="BU2669" s="76"/>
      <c r="BV2669" s="76"/>
      <c r="BW2669" s="76"/>
      <c r="BX2669" s="76"/>
      <c r="BY2669" s="76"/>
      <c r="BZ2669" s="76"/>
      <c r="CA2669" s="76"/>
      <c r="CB2669" s="76"/>
      <c r="CC2669" s="76"/>
      <c r="CD2669" s="76"/>
      <c r="CE2669" s="76"/>
      <c r="CF2669" s="76">
        <f>+CE2669*28000</f>
        <v>0</v>
      </c>
      <c r="CG2669" s="76"/>
      <c r="CH2669" s="76">
        <f>+CG2669*22500</f>
        <v>0</v>
      </c>
      <c r="CI2669" s="76"/>
      <c r="CJ2669" s="76">
        <f>+CI2669*26000</f>
        <v>0</v>
      </c>
      <c r="CK2669" s="76"/>
      <c r="CL2669" s="76"/>
      <c r="CM2669" s="76"/>
      <c r="CN2669" s="76">
        <f>+CM2669*22000</f>
        <v>0</v>
      </c>
      <c r="CO2669" s="76"/>
      <c r="CP2669" s="76">
        <f>+CO2669*46000</f>
        <v>0</v>
      </c>
      <c r="CQ2669" s="76"/>
      <c r="CR2669" s="76">
        <f>+CQ2669*49000</f>
        <v>0</v>
      </c>
      <c r="CS2669" s="76"/>
      <c r="CT2669" s="76"/>
      <c r="CU2669" s="56">
        <f>AN2669+AP2669+AR2669+AT2669+AV2669+AX2669+AZ2669+BB2669+BD2669+BF2669+BH2669+BJ2669+BL2669+BN2669+BP2669+BR2669+BT2669+BV2669+BX2669+BZ2669+CB2669+CD2669+CF2669+CH2669+CJ2669+CL2669+CN2669+CP2669+CR2669+CT2669</f>
        <v>0</v>
      </c>
      <c r="CV2669" s="76"/>
      <c r="CW2669" s="76">
        <f>+CV2669*1100</f>
        <v>0</v>
      </c>
      <c r="CX2669" s="76"/>
      <c r="CY2669" s="76">
        <f>+CX2669*106250</f>
        <v>0</v>
      </c>
      <c r="CZ2669" s="76"/>
      <c r="DA2669" s="76">
        <f>+CZ2669*34500</f>
        <v>0</v>
      </c>
      <c r="DB2669" s="76"/>
      <c r="DC2669" s="76">
        <f>+DB2669*25000</f>
        <v>0</v>
      </c>
      <c r="DD2669" s="219"/>
      <c r="DE2669" s="219"/>
      <c r="DF2669" s="166"/>
      <c r="DG2669" s="116"/>
      <c r="DH2669" s="117"/>
      <c r="DI2669" s="24"/>
      <c r="DJ2669" s="24"/>
      <c r="DK2669" s="24"/>
      <c r="DL2669" s="24"/>
      <c r="DM2669" s="24"/>
      <c r="DN2669" s="24"/>
      <c r="DO2669" s="24"/>
      <c r="DP2669" s="24"/>
      <c r="DQ2669" s="24"/>
      <c r="DR2669" s="24"/>
      <c r="DS2669" s="24"/>
      <c r="DT2669" s="24"/>
      <c r="DU2669" s="24"/>
    </row>
    <row r="2670" spans="1:125" s="8" customFormat="1" ht="60" x14ac:dyDescent="0.2">
      <c r="A2670" s="77">
        <v>41495</v>
      </c>
      <c r="B2670" s="78" t="s">
        <v>529</v>
      </c>
      <c r="C2670" s="78" t="s">
        <v>529</v>
      </c>
      <c r="D2670" s="75" t="s">
        <v>4391</v>
      </c>
      <c r="E2670" s="353" t="str">
        <f>VLOOKUP(B2670&amp;C2670,Divipola!$C$2:$F$1138,4,FALSE)</f>
        <v>11001</v>
      </c>
      <c r="F2670" s="61">
        <v>1</v>
      </c>
      <c r="G2670" s="61"/>
      <c r="H2670" s="61"/>
      <c r="I2670" s="61"/>
      <c r="J2670" s="61"/>
      <c r="K2670" s="61"/>
      <c r="L2670" s="61"/>
      <c r="M2670" s="61"/>
      <c r="N2670" s="61"/>
      <c r="O2670" s="61"/>
      <c r="P2670" s="61"/>
      <c r="Q2670" s="61"/>
      <c r="R2670" s="61"/>
      <c r="S2670" s="61"/>
      <c r="T2670" s="61"/>
      <c r="U2670" s="61"/>
      <c r="V2670" s="7"/>
      <c r="W2670" s="96">
        <v>0</v>
      </c>
      <c r="X2670" s="71">
        <f>CU2670</f>
        <v>0</v>
      </c>
      <c r="Y2670" s="71">
        <f>CY2670</f>
        <v>0</v>
      </c>
      <c r="Z2670" s="71">
        <f>DA2670+DC2670+DE2670</f>
        <v>0</v>
      </c>
      <c r="AA2670" s="71">
        <f>CW2670</f>
        <v>0</v>
      </c>
      <c r="AB2670" s="71"/>
      <c r="AC2670" s="71">
        <v>0</v>
      </c>
      <c r="AD2670" s="71">
        <f>W2670+X2670+Y2670+Z2670+AA2670+AB2670+AC2670</f>
        <v>0</v>
      </c>
      <c r="AE2670" s="72">
        <v>0</v>
      </c>
      <c r="AF2670" s="5"/>
      <c r="AG2670" s="6"/>
      <c r="AH2670" s="27"/>
      <c r="AI2670" s="44"/>
      <c r="AJ2670" s="26"/>
      <c r="AK2670" s="5"/>
      <c r="AL2670" s="82" t="s">
        <v>5572</v>
      </c>
      <c r="AM2670" s="76"/>
      <c r="AN2670" s="76"/>
      <c r="AO2670" s="76"/>
      <c r="AP2670" s="76"/>
      <c r="AQ2670" s="76"/>
      <c r="AR2670" s="76"/>
      <c r="AS2670" s="76"/>
      <c r="AT2670" s="76"/>
      <c r="AU2670" s="76"/>
      <c r="AV2670" s="76"/>
      <c r="AW2670" s="76"/>
      <c r="AX2670" s="76">
        <f>+AW2670*600000</f>
        <v>0</v>
      </c>
      <c r="AY2670" s="76"/>
      <c r="AZ2670" s="76">
        <f>+AY2670*70000</f>
        <v>0</v>
      </c>
      <c r="BA2670" s="76"/>
      <c r="BB2670" s="76"/>
      <c r="BC2670" s="76"/>
      <c r="BD2670" s="76">
        <f>+BC2670*30000</f>
        <v>0</v>
      </c>
      <c r="BE2670" s="76"/>
      <c r="BF2670" s="76"/>
      <c r="BG2670" s="76"/>
      <c r="BH2670" s="76"/>
      <c r="BI2670" s="76"/>
      <c r="BJ2670" s="76"/>
      <c r="BK2670" s="76"/>
      <c r="BL2670" s="76">
        <f>+BK2670*31500</f>
        <v>0</v>
      </c>
      <c r="BM2670" s="76"/>
      <c r="BN2670" s="76"/>
      <c r="BO2670" s="76"/>
      <c r="BP2670" s="76"/>
      <c r="BQ2670" s="76"/>
      <c r="BR2670" s="76"/>
      <c r="BS2670" s="76"/>
      <c r="BT2670" s="76"/>
      <c r="BU2670" s="76"/>
      <c r="BV2670" s="76"/>
      <c r="BW2670" s="76"/>
      <c r="BX2670" s="76"/>
      <c r="BY2670" s="76"/>
      <c r="BZ2670" s="76"/>
      <c r="CA2670" s="76"/>
      <c r="CB2670" s="76"/>
      <c r="CC2670" s="76"/>
      <c r="CD2670" s="76"/>
      <c r="CE2670" s="76"/>
      <c r="CF2670" s="76">
        <f>+CE2670*28000</f>
        <v>0</v>
      </c>
      <c r="CG2670" s="76"/>
      <c r="CH2670" s="76">
        <f>+CG2670*22500</f>
        <v>0</v>
      </c>
      <c r="CI2670" s="76"/>
      <c r="CJ2670" s="76">
        <f>+CI2670*26000</f>
        <v>0</v>
      </c>
      <c r="CK2670" s="76"/>
      <c r="CL2670" s="76"/>
      <c r="CM2670" s="76"/>
      <c r="CN2670" s="76">
        <f>+CM2670*22000</f>
        <v>0</v>
      </c>
      <c r="CO2670" s="76"/>
      <c r="CP2670" s="76">
        <f>+CO2670*46000</f>
        <v>0</v>
      </c>
      <c r="CQ2670" s="76"/>
      <c r="CR2670" s="76">
        <f>+CQ2670*49000</f>
        <v>0</v>
      </c>
      <c r="CS2670" s="76"/>
      <c r="CT2670" s="76"/>
      <c r="CU2670" s="56">
        <f>AN2670+AP2670+AR2670+AT2670+AV2670+AX2670+AZ2670+BB2670+BD2670+BF2670+BH2670+BJ2670+BL2670+BN2670+BP2670+BR2670+BT2670+BV2670+BX2670+BZ2670+CB2670+CD2670+CF2670+CH2670+CJ2670+CL2670+CN2670+CP2670+CR2670+CT2670</f>
        <v>0</v>
      </c>
      <c r="CV2670" s="76"/>
      <c r="CW2670" s="76">
        <f>+CV2670*1100</f>
        <v>0</v>
      </c>
      <c r="CX2670" s="76"/>
      <c r="CY2670" s="76">
        <f>+CX2670*106250</f>
        <v>0</v>
      </c>
      <c r="CZ2670" s="76"/>
      <c r="DA2670" s="76">
        <f>+CZ2670*34500</f>
        <v>0</v>
      </c>
      <c r="DB2670" s="76"/>
      <c r="DC2670" s="76">
        <f>+DB2670*25000</f>
        <v>0</v>
      </c>
      <c r="DD2670" s="219"/>
      <c r="DE2670" s="219"/>
      <c r="DF2670" s="166"/>
      <c r="DG2670" s="116"/>
      <c r="DH2670" s="117"/>
      <c r="DI2670" s="24"/>
      <c r="DJ2670" s="24"/>
      <c r="DK2670" s="24"/>
      <c r="DL2670" s="24"/>
      <c r="DM2670" s="24"/>
      <c r="DN2670" s="24"/>
      <c r="DO2670" s="24"/>
      <c r="DP2670" s="24"/>
      <c r="DQ2670" s="24"/>
      <c r="DR2670" s="24"/>
      <c r="DS2670" s="24"/>
      <c r="DT2670" s="24"/>
      <c r="DU2670" s="24"/>
    </row>
    <row r="2671" spans="1:125" s="8" customFormat="1" ht="60" x14ac:dyDescent="0.2">
      <c r="A2671" s="77">
        <v>41495</v>
      </c>
      <c r="B2671" s="352" t="s">
        <v>2772</v>
      </c>
      <c r="C2671" s="354" t="s">
        <v>1120</v>
      </c>
      <c r="D2671" s="354" t="s">
        <v>2846</v>
      </c>
      <c r="E2671" s="353" t="str">
        <f>VLOOKUP(B2671&amp;C2671,Divipola!$C$2:$F$1138,4,FALSE)</f>
        <v>25488</v>
      </c>
      <c r="F2671" s="87"/>
      <c r="G2671" s="87"/>
      <c r="H2671" s="87"/>
      <c r="I2671" s="87"/>
      <c r="J2671" s="87"/>
      <c r="K2671" s="87"/>
      <c r="L2671" s="87"/>
      <c r="M2671" s="87"/>
      <c r="N2671" s="87"/>
      <c r="O2671" s="87"/>
      <c r="P2671" s="87"/>
      <c r="Q2671" s="87"/>
      <c r="R2671" s="87"/>
      <c r="S2671" s="87"/>
      <c r="T2671" s="87"/>
      <c r="U2671" s="88">
        <v>2</v>
      </c>
      <c r="V2671" s="89"/>
      <c r="W2671" s="96">
        <v>0</v>
      </c>
      <c r="X2671" s="71">
        <f>CU2671</f>
        <v>0</v>
      </c>
      <c r="Y2671" s="71">
        <f>CY2671</f>
        <v>0</v>
      </c>
      <c r="Z2671" s="71">
        <f>DA2671+DC2671+DE2671</f>
        <v>0</v>
      </c>
      <c r="AA2671" s="71">
        <f>CW2671</f>
        <v>0</v>
      </c>
      <c r="AB2671" s="71"/>
      <c r="AC2671" s="71">
        <v>0</v>
      </c>
      <c r="AD2671" s="71">
        <f>W2671+X2671+Y2671+Z2671+AA2671+AB2671+AC2671</f>
        <v>0</v>
      </c>
      <c r="AE2671" s="72">
        <v>0</v>
      </c>
      <c r="AF2671" s="5"/>
      <c r="AG2671" s="6"/>
      <c r="AH2671" s="27"/>
      <c r="AI2671" s="44"/>
      <c r="AJ2671" s="26"/>
      <c r="AK2671" s="5"/>
      <c r="AL2671" s="82" t="s">
        <v>5579</v>
      </c>
      <c r="AM2671" s="76"/>
      <c r="AN2671" s="76"/>
      <c r="AO2671" s="76"/>
      <c r="AP2671" s="76"/>
      <c r="AQ2671" s="76"/>
      <c r="AR2671" s="76"/>
      <c r="AS2671" s="76"/>
      <c r="AT2671" s="76"/>
      <c r="AU2671" s="76"/>
      <c r="AV2671" s="76"/>
      <c r="AW2671" s="76"/>
      <c r="AX2671" s="76">
        <f>+AW2671*600000</f>
        <v>0</v>
      </c>
      <c r="AY2671" s="76"/>
      <c r="AZ2671" s="76">
        <f>+AY2671*70000</f>
        <v>0</v>
      </c>
      <c r="BA2671" s="76"/>
      <c r="BB2671" s="76"/>
      <c r="BC2671" s="76"/>
      <c r="BD2671" s="76">
        <f>+BC2671*30000</f>
        <v>0</v>
      </c>
      <c r="BE2671" s="76"/>
      <c r="BF2671" s="76"/>
      <c r="BG2671" s="76"/>
      <c r="BH2671" s="76"/>
      <c r="BI2671" s="76"/>
      <c r="BJ2671" s="76"/>
      <c r="BK2671" s="76"/>
      <c r="BL2671" s="76">
        <f>+BK2671*31500</f>
        <v>0</v>
      </c>
      <c r="BM2671" s="76"/>
      <c r="BN2671" s="76"/>
      <c r="BO2671" s="76"/>
      <c r="BP2671" s="76"/>
      <c r="BQ2671" s="76"/>
      <c r="BR2671" s="76"/>
      <c r="BS2671" s="76"/>
      <c r="BT2671" s="76"/>
      <c r="BU2671" s="76"/>
      <c r="BV2671" s="76"/>
      <c r="BW2671" s="76"/>
      <c r="BX2671" s="76"/>
      <c r="BY2671" s="76"/>
      <c r="BZ2671" s="76"/>
      <c r="CA2671" s="76"/>
      <c r="CB2671" s="76"/>
      <c r="CC2671" s="76"/>
      <c r="CD2671" s="76"/>
      <c r="CE2671" s="76"/>
      <c r="CF2671" s="76">
        <f>+CE2671*28000</f>
        <v>0</v>
      </c>
      <c r="CG2671" s="76"/>
      <c r="CH2671" s="76">
        <f>+CG2671*22500</f>
        <v>0</v>
      </c>
      <c r="CI2671" s="76"/>
      <c r="CJ2671" s="76">
        <f>+CI2671*26000</f>
        <v>0</v>
      </c>
      <c r="CK2671" s="76"/>
      <c r="CL2671" s="76"/>
      <c r="CM2671" s="76"/>
      <c r="CN2671" s="76">
        <f>+CM2671*22000</f>
        <v>0</v>
      </c>
      <c r="CO2671" s="76"/>
      <c r="CP2671" s="76">
        <f>+CO2671*46000</f>
        <v>0</v>
      </c>
      <c r="CQ2671" s="76"/>
      <c r="CR2671" s="76">
        <f>+CQ2671*49000</f>
        <v>0</v>
      </c>
      <c r="CS2671" s="76"/>
      <c r="CT2671" s="76"/>
      <c r="CU2671" s="56">
        <f>AN2671+AP2671+AR2671+AT2671+AV2671+AX2671+AZ2671+BB2671+BD2671+BF2671+BH2671+BJ2671+BL2671+BN2671+BP2671+BR2671+BT2671+BV2671+BX2671+BZ2671+CB2671+CD2671+CF2671+CH2671+CJ2671+CL2671+CN2671+CP2671+CR2671+CT2671</f>
        <v>0</v>
      </c>
      <c r="CV2671" s="76"/>
      <c r="CW2671" s="76">
        <f>+CV2671*1100</f>
        <v>0</v>
      </c>
      <c r="CX2671" s="76"/>
      <c r="CY2671" s="76">
        <f>+CX2671*106250</f>
        <v>0</v>
      </c>
      <c r="CZ2671" s="76"/>
      <c r="DA2671" s="76">
        <f>+CZ2671*34500</f>
        <v>0</v>
      </c>
      <c r="DB2671" s="76"/>
      <c r="DC2671" s="76">
        <f>+DB2671*25000</f>
        <v>0</v>
      </c>
      <c r="DD2671" s="219"/>
      <c r="DE2671" s="219"/>
      <c r="DF2671" s="166"/>
      <c r="DG2671" s="116"/>
      <c r="DH2671" s="117"/>
      <c r="DI2671" s="24"/>
      <c r="DJ2671" s="24"/>
      <c r="DK2671" s="24"/>
      <c r="DL2671" s="24"/>
      <c r="DM2671" s="24"/>
      <c r="DN2671" s="24"/>
      <c r="DO2671" s="24"/>
      <c r="DP2671" s="24"/>
      <c r="DQ2671" s="24"/>
      <c r="DR2671" s="24"/>
      <c r="DS2671" s="24"/>
      <c r="DT2671" s="24"/>
      <c r="DU2671" s="24"/>
    </row>
    <row r="2672" spans="1:125" s="8" customFormat="1" ht="36" x14ac:dyDescent="0.2">
      <c r="A2672" s="353">
        <v>41495</v>
      </c>
      <c r="B2672" s="352" t="s">
        <v>2860</v>
      </c>
      <c r="C2672" s="354" t="s">
        <v>2776</v>
      </c>
      <c r="D2672" s="354" t="s">
        <v>2859</v>
      </c>
      <c r="E2672" s="353" t="str">
        <f>VLOOKUP(B2672&amp;C2672,Divipola!$C$2:$F$1138,4,FALSE)</f>
        <v>63001</v>
      </c>
      <c r="F2672" s="87"/>
      <c r="G2672" s="87"/>
      <c r="H2672" s="87"/>
      <c r="I2672" s="87">
        <v>3</v>
      </c>
      <c r="J2672" s="87">
        <v>1</v>
      </c>
      <c r="K2672" s="87"/>
      <c r="L2672" s="87">
        <v>1</v>
      </c>
      <c r="M2672" s="87"/>
      <c r="N2672" s="87"/>
      <c r="O2672" s="87"/>
      <c r="P2672" s="87"/>
      <c r="Q2672" s="87"/>
      <c r="R2672" s="87"/>
      <c r="S2672" s="87"/>
      <c r="T2672" s="87"/>
      <c r="U2672" s="88"/>
      <c r="V2672" s="89"/>
      <c r="W2672" s="96">
        <v>0</v>
      </c>
      <c r="X2672" s="71">
        <f>CU2672</f>
        <v>0</v>
      </c>
      <c r="Y2672" s="71">
        <f>CY2672</f>
        <v>0</v>
      </c>
      <c r="Z2672" s="71">
        <f>DA2672+DC2672+DE2672</f>
        <v>0</v>
      </c>
      <c r="AA2672" s="71">
        <f>CW2672</f>
        <v>0</v>
      </c>
      <c r="AB2672" s="71"/>
      <c r="AC2672" s="71">
        <v>0</v>
      </c>
      <c r="AD2672" s="71">
        <f>W2672+X2672+Y2672+Z2672+AA2672+AB2672+AC2672</f>
        <v>0</v>
      </c>
      <c r="AE2672" s="72">
        <v>0</v>
      </c>
      <c r="AF2672" s="5"/>
      <c r="AG2672" s="6"/>
      <c r="AH2672" s="27"/>
      <c r="AI2672" s="44"/>
      <c r="AJ2672" s="26"/>
      <c r="AK2672" s="5"/>
      <c r="AL2672" s="82" t="s">
        <v>5568</v>
      </c>
      <c r="AM2672" s="76"/>
      <c r="AN2672" s="76"/>
      <c r="AO2672" s="76"/>
      <c r="AP2672" s="76"/>
      <c r="AQ2672" s="76"/>
      <c r="AR2672" s="76"/>
      <c r="AS2672" s="76"/>
      <c r="AT2672" s="76"/>
      <c r="AU2672" s="76"/>
      <c r="AV2672" s="76"/>
      <c r="AW2672" s="76"/>
      <c r="AX2672" s="76">
        <f>+AW2672*600000</f>
        <v>0</v>
      </c>
      <c r="AY2672" s="76"/>
      <c r="AZ2672" s="76">
        <f>+AY2672*70000</f>
        <v>0</v>
      </c>
      <c r="BA2672" s="76"/>
      <c r="BB2672" s="76"/>
      <c r="BC2672" s="76"/>
      <c r="BD2672" s="76">
        <f>+BC2672*30000</f>
        <v>0</v>
      </c>
      <c r="BE2672" s="76"/>
      <c r="BF2672" s="76"/>
      <c r="BG2672" s="76"/>
      <c r="BH2672" s="76"/>
      <c r="BI2672" s="76"/>
      <c r="BJ2672" s="76"/>
      <c r="BK2672" s="76"/>
      <c r="BL2672" s="76">
        <f>+BK2672*31500</f>
        <v>0</v>
      </c>
      <c r="BM2672" s="76"/>
      <c r="BN2672" s="76"/>
      <c r="BO2672" s="76"/>
      <c r="BP2672" s="76"/>
      <c r="BQ2672" s="76"/>
      <c r="BR2672" s="76"/>
      <c r="BS2672" s="76"/>
      <c r="BT2672" s="76"/>
      <c r="BU2672" s="76"/>
      <c r="BV2672" s="76"/>
      <c r="BW2672" s="76"/>
      <c r="BX2672" s="76"/>
      <c r="BY2672" s="76"/>
      <c r="BZ2672" s="76"/>
      <c r="CA2672" s="76"/>
      <c r="CB2672" s="76"/>
      <c r="CC2672" s="76"/>
      <c r="CD2672" s="76"/>
      <c r="CE2672" s="76"/>
      <c r="CF2672" s="76">
        <f>+CE2672*28000</f>
        <v>0</v>
      </c>
      <c r="CG2672" s="76"/>
      <c r="CH2672" s="76">
        <f>+CG2672*22500</f>
        <v>0</v>
      </c>
      <c r="CI2672" s="76"/>
      <c r="CJ2672" s="76">
        <f>+CI2672*26000</f>
        <v>0</v>
      </c>
      <c r="CK2672" s="76"/>
      <c r="CL2672" s="76"/>
      <c r="CM2672" s="76"/>
      <c r="CN2672" s="76">
        <f>+CM2672*22000</f>
        <v>0</v>
      </c>
      <c r="CO2672" s="76"/>
      <c r="CP2672" s="76">
        <f>+CO2672*46000</f>
        <v>0</v>
      </c>
      <c r="CQ2672" s="76"/>
      <c r="CR2672" s="76">
        <f>+CQ2672*49000</f>
        <v>0</v>
      </c>
      <c r="CS2672" s="76"/>
      <c r="CT2672" s="76"/>
      <c r="CU2672" s="56">
        <f>AN2672+AP2672+AR2672+AT2672+AV2672+AX2672+AZ2672+BB2672+BD2672+BF2672+BH2672+BJ2672+BL2672+BN2672+BP2672+BR2672+BT2672+BV2672+BX2672+BZ2672+CB2672+CD2672+CF2672+CH2672+CJ2672+CL2672+CN2672+CP2672+CR2672+CT2672</f>
        <v>0</v>
      </c>
      <c r="CV2672" s="76"/>
      <c r="CW2672" s="76">
        <f>+CV2672*1100</f>
        <v>0</v>
      </c>
      <c r="CX2672" s="76"/>
      <c r="CY2672" s="76">
        <f>+CX2672*106250</f>
        <v>0</v>
      </c>
      <c r="CZ2672" s="76"/>
      <c r="DA2672" s="76">
        <f>+CZ2672*34500</f>
        <v>0</v>
      </c>
      <c r="DB2672" s="76"/>
      <c r="DC2672" s="76">
        <f>+DB2672*25000</f>
        <v>0</v>
      </c>
      <c r="DD2672" s="219"/>
      <c r="DE2672" s="219"/>
      <c r="DF2672" s="166"/>
      <c r="DG2672" s="116"/>
      <c r="DH2672" s="117"/>
      <c r="DI2672" s="24"/>
      <c r="DJ2672" s="24"/>
      <c r="DK2672" s="24"/>
      <c r="DL2672" s="24"/>
      <c r="DM2672" s="24"/>
      <c r="DN2672" s="24"/>
      <c r="DO2672" s="24"/>
      <c r="DP2672" s="24"/>
      <c r="DQ2672" s="24"/>
      <c r="DR2672" s="24"/>
      <c r="DS2672" s="24"/>
      <c r="DT2672" s="24"/>
      <c r="DU2672" s="24"/>
    </row>
    <row r="2673" spans="1:125" s="8" customFormat="1" ht="36" x14ac:dyDescent="0.2">
      <c r="A2673" s="353">
        <v>41495</v>
      </c>
      <c r="B2673" s="352" t="s">
        <v>2774</v>
      </c>
      <c r="C2673" s="354" t="s">
        <v>1347</v>
      </c>
      <c r="D2673" s="354" t="s">
        <v>3017</v>
      </c>
      <c r="E2673" s="226" t="str">
        <f>VLOOKUP(B2673&amp;C2673,Divipola!$C$2:$F$1138,4,FALSE)</f>
        <v>66001</v>
      </c>
      <c r="F2673" s="87"/>
      <c r="G2673" s="87"/>
      <c r="H2673" s="87"/>
      <c r="I2673" s="87">
        <v>5</v>
      </c>
      <c r="J2673" s="87">
        <v>1</v>
      </c>
      <c r="K2673" s="87">
        <v>1</v>
      </c>
      <c r="L2673" s="87"/>
      <c r="M2673" s="87"/>
      <c r="N2673" s="87"/>
      <c r="O2673" s="87"/>
      <c r="P2673" s="87"/>
      <c r="Q2673" s="87"/>
      <c r="R2673" s="87"/>
      <c r="S2673" s="87"/>
      <c r="T2673" s="87"/>
      <c r="U2673" s="88"/>
      <c r="V2673" s="89"/>
      <c r="W2673" s="96">
        <v>0</v>
      </c>
      <c r="X2673" s="71">
        <f>CU2673</f>
        <v>0</v>
      </c>
      <c r="Y2673" s="71">
        <f>CY2673</f>
        <v>0</v>
      </c>
      <c r="Z2673" s="71">
        <f>DA2673+DC2673+DE2673</f>
        <v>0</v>
      </c>
      <c r="AA2673" s="71">
        <f>CW2673</f>
        <v>0</v>
      </c>
      <c r="AB2673" s="71"/>
      <c r="AC2673" s="71">
        <v>0</v>
      </c>
      <c r="AD2673" s="71">
        <f>W2673+X2673+Y2673+Z2673+AA2673+AB2673+AC2673</f>
        <v>0</v>
      </c>
      <c r="AE2673" s="72">
        <v>0</v>
      </c>
      <c r="AF2673" s="5"/>
      <c r="AG2673" s="6"/>
      <c r="AH2673" s="27"/>
      <c r="AI2673" s="44"/>
      <c r="AJ2673" s="26"/>
      <c r="AK2673" s="5"/>
      <c r="AL2673" s="82" t="s">
        <v>5562</v>
      </c>
      <c r="AM2673" s="76"/>
      <c r="AN2673" s="76"/>
      <c r="AO2673" s="76"/>
      <c r="AP2673" s="76"/>
      <c r="AQ2673" s="76"/>
      <c r="AR2673" s="76"/>
      <c r="AS2673" s="76"/>
      <c r="AT2673" s="76"/>
      <c r="AU2673" s="76"/>
      <c r="AV2673" s="76"/>
      <c r="AW2673" s="76"/>
      <c r="AX2673" s="76">
        <f>+AW2673*600000</f>
        <v>0</v>
      </c>
      <c r="AY2673" s="76"/>
      <c r="AZ2673" s="76">
        <f>+AY2673*70000</f>
        <v>0</v>
      </c>
      <c r="BA2673" s="76"/>
      <c r="BB2673" s="76"/>
      <c r="BC2673" s="76"/>
      <c r="BD2673" s="76">
        <f>+BC2673*30000</f>
        <v>0</v>
      </c>
      <c r="BE2673" s="76"/>
      <c r="BF2673" s="76"/>
      <c r="BG2673" s="76"/>
      <c r="BH2673" s="76"/>
      <c r="BI2673" s="76"/>
      <c r="BJ2673" s="76"/>
      <c r="BK2673" s="76"/>
      <c r="BL2673" s="76">
        <f>+BK2673*31500</f>
        <v>0</v>
      </c>
      <c r="BM2673" s="76"/>
      <c r="BN2673" s="76"/>
      <c r="BO2673" s="76"/>
      <c r="BP2673" s="76"/>
      <c r="BQ2673" s="76"/>
      <c r="BR2673" s="76"/>
      <c r="BS2673" s="76"/>
      <c r="BT2673" s="76"/>
      <c r="BU2673" s="76"/>
      <c r="BV2673" s="76"/>
      <c r="BW2673" s="76"/>
      <c r="BX2673" s="76"/>
      <c r="BY2673" s="76"/>
      <c r="BZ2673" s="76"/>
      <c r="CA2673" s="76"/>
      <c r="CB2673" s="76"/>
      <c r="CC2673" s="76"/>
      <c r="CD2673" s="76"/>
      <c r="CE2673" s="76"/>
      <c r="CF2673" s="76">
        <f>+CE2673*28000</f>
        <v>0</v>
      </c>
      <c r="CG2673" s="76"/>
      <c r="CH2673" s="76">
        <f>+CG2673*22500</f>
        <v>0</v>
      </c>
      <c r="CI2673" s="76"/>
      <c r="CJ2673" s="76">
        <f>+CI2673*26000</f>
        <v>0</v>
      </c>
      <c r="CK2673" s="76"/>
      <c r="CL2673" s="76"/>
      <c r="CM2673" s="76"/>
      <c r="CN2673" s="76">
        <f>+CM2673*22000</f>
        <v>0</v>
      </c>
      <c r="CO2673" s="76"/>
      <c r="CP2673" s="76">
        <f>+CO2673*46000</f>
        <v>0</v>
      </c>
      <c r="CQ2673" s="76"/>
      <c r="CR2673" s="76">
        <f>+CQ2673*49000</f>
        <v>0</v>
      </c>
      <c r="CS2673" s="76"/>
      <c r="CT2673" s="76"/>
      <c r="CU2673" s="56">
        <f>AN2673+AP2673+AR2673+AT2673+AV2673+AX2673+AZ2673+BB2673+BD2673+BF2673+BH2673+BJ2673+BL2673+BN2673+BP2673+BR2673+BT2673+BV2673+BX2673+BZ2673+CB2673+CD2673+CF2673+CH2673+CJ2673+CL2673+CN2673+CP2673+CR2673+CT2673</f>
        <v>0</v>
      </c>
      <c r="CV2673" s="76"/>
      <c r="CW2673" s="76">
        <f>+CV2673*1100</f>
        <v>0</v>
      </c>
      <c r="CX2673" s="76"/>
      <c r="CY2673" s="76">
        <f>+CX2673*106250</f>
        <v>0</v>
      </c>
      <c r="CZ2673" s="76"/>
      <c r="DA2673" s="76">
        <f>+CZ2673*34500</f>
        <v>0</v>
      </c>
      <c r="DB2673" s="76"/>
      <c r="DC2673" s="76">
        <f>+DB2673*25000</f>
        <v>0</v>
      </c>
      <c r="DD2673" s="219"/>
      <c r="DE2673" s="219"/>
      <c r="DF2673" s="166"/>
      <c r="DG2673" s="116"/>
      <c r="DH2673" s="117"/>
      <c r="DI2673" s="24"/>
      <c r="DJ2673" s="24"/>
      <c r="DK2673" s="24"/>
      <c r="DL2673" s="24"/>
      <c r="DM2673" s="24"/>
      <c r="DN2673" s="24"/>
      <c r="DO2673" s="24"/>
      <c r="DP2673" s="24"/>
      <c r="DQ2673" s="24"/>
      <c r="DR2673" s="24"/>
      <c r="DS2673" s="24"/>
      <c r="DT2673" s="24"/>
      <c r="DU2673" s="24"/>
    </row>
    <row r="2674" spans="1:125" s="8" customFormat="1" ht="96" x14ac:dyDescent="0.2">
      <c r="A2674" s="353">
        <v>41495</v>
      </c>
      <c r="B2674" s="352" t="s">
        <v>2847</v>
      </c>
      <c r="C2674" s="354" t="s">
        <v>2109</v>
      </c>
      <c r="D2674" s="354" t="s">
        <v>2882</v>
      </c>
      <c r="E2674" s="353" t="str">
        <f>VLOOKUP(B2674&amp;C2674,Divipola!$C$2:$F$1138,4,FALSE)</f>
        <v>68575</v>
      </c>
      <c r="F2674" s="87"/>
      <c r="G2674" s="87"/>
      <c r="H2674" s="87"/>
      <c r="I2674" s="87">
        <v>50</v>
      </c>
      <c r="J2674" s="87">
        <v>10</v>
      </c>
      <c r="K2674" s="87"/>
      <c r="L2674" s="87">
        <v>10</v>
      </c>
      <c r="M2674" s="87"/>
      <c r="N2674" s="87"/>
      <c r="O2674" s="87"/>
      <c r="P2674" s="87"/>
      <c r="Q2674" s="87"/>
      <c r="R2674" s="87"/>
      <c r="S2674" s="87"/>
      <c r="T2674" s="87">
        <v>1</v>
      </c>
      <c r="U2674" s="88"/>
      <c r="V2674" s="89"/>
      <c r="W2674" s="96">
        <v>0</v>
      </c>
      <c r="X2674" s="71">
        <f>CU2674</f>
        <v>0</v>
      </c>
      <c r="Y2674" s="71">
        <f>CY2674</f>
        <v>0</v>
      </c>
      <c r="Z2674" s="71">
        <f>DA2674+DC2674+DE2674</f>
        <v>0</v>
      </c>
      <c r="AA2674" s="71">
        <f>CW2674</f>
        <v>0</v>
      </c>
      <c r="AB2674" s="71"/>
      <c r="AC2674" s="71">
        <v>0</v>
      </c>
      <c r="AD2674" s="71">
        <f>W2674+X2674+Y2674+Z2674+AA2674+AB2674+AC2674</f>
        <v>0</v>
      </c>
      <c r="AE2674" s="72">
        <v>0</v>
      </c>
      <c r="AF2674" s="5"/>
      <c r="AG2674" s="6"/>
      <c r="AH2674" s="27"/>
      <c r="AI2674" s="44"/>
      <c r="AJ2674" s="26"/>
      <c r="AK2674" s="5"/>
      <c r="AL2674" s="82" t="s">
        <v>5564</v>
      </c>
      <c r="AM2674" s="76"/>
      <c r="AN2674" s="76"/>
      <c r="AO2674" s="76"/>
      <c r="AP2674" s="76"/>
      <c r="AQ2674" s="76"/>
      <c r="AR2674" s="76"/>
      <c r="AS2674" s="76"/>
      <c r="AT2674" s="76"/>
      <c r="AU2674" s="76"/>
      <c r="AV2674" s="76"/>
      <c r="AW2674" s="76"/>
      <c r="AX2674" s="76">
        <f>+AW2674*600000</f>
        <v>0</v>
      </c>
      <c r="AY2674" s="76"/>
      <c r="AZ2674" s="76">
        <f>+AY2674*70000</f>
        <v>0</v>
      </c>
      <c r="BA2674" s="76"/>
      <c r="BB2674" s="76"/>
      <c r="BC2674" s="76"/>
      <c r="BD2674" s="76">
        <f>+BC2674*30000</f>
        <v>0</v>
      </c>
      <c r="BE2674" s="76"/>
      <c r="BF2674" s="76"/>
      <c r="BG2674" s="76"/>
      <c r="BH2674" s="76"/>
      <c r="BI2674" s="76"/>
      <c r="BJ2674" s="76"/>
      <c r="BK2674" s="76"/>
      <c r="BL2674" s="76">
        <f>+BK2674*31500</f>
        <v>0</v>
      </c>
      <c r="BM2674" s="76"/>
      <c r="BN2674" s="76"/>
      <c r="BO2674" s="76"/>
      <c r="BP2674" s="76"/>
      <c r="BQ2674" s="76"/>
      <c r="BR2674" s="76"/>
      <c r="BS2674" s="76"/>
      <c r="BT2674" s="76"/>
      <c r="BU2674" s="76"/>
      <c r="BV2674" s="76"/>
      <c r="BW2674" s="76"/>
      <c r="BX2674" s="76"/>
      <c r="BY2674" s="76"/>
      <c r="BZ2674" s="76"/>
      <c r="CA2674" s="76"/>
      <c r="CB2674" s="76"/>
      <c r="CC2674" s="76"/>
      <c r="CD2674" s="76"/>
      <c r="CE2674" s="76"/>
      <c r="CF2674" s="76">
        <f>+CE2674*28000</f>
        <v>0</v>
      </c>
      <c r="CG2674" s="76"/>
      <c r="CH2674" s="76">
        <f>+CG2674*22500</f>
        <v>0</v>
      </c>
      <c r="CI2674" s="76"/>
      <c r="CJ2674" s="76">
        <f>+CI2674*26000</f>
        <v>0</v>
      </c>
      <c r="CK2674" s="76"/>
      <c r="CL2674" s="76"/>
      <c r="CM2674" s="76"/>
      <c r="CN2674" s="76">
        <f>+CM2674*22000</f>
        <v>0</v>
      </c>
      <c r="CO2674" s="76"/>
      <c r="CP2674" s="76">
        <f>+CO2674*46000</f>
        <v>0</v>
      </c>
      <c r="CQ2674" s="76"/>
      <c r="CR2674" s="76">
        <f>+CQ2674*49000</f>
        <v>0</v>
      </c>
      <c r="CS2674" s="76"/>
      <c r="CT2674" s="76"/>
      <c r="CU2674" s="56">
        <f>AN2674+AP2674+AR2674+AT2674+AV2674+AX2674+AZ2674+BB2674+BD2674+BF2674+BH2674+BJ2674+BL2674+BN2674+BP2674+BR2674+BT2674+BV2674+BX2674+BZ2674+CB2674+CD2674+CF2674+CH2674+CJ2674+CL2674+CN2674+CP2674+CR2674+CT2674</f>
        <v>0</v>
      </c>
      <c r="CV2674" s="76"/>
      <c r="CW2674" s="76">
        <f>+CV2674*1100</f>
        <v>0</v>
      </c>
      <c r="CX2674" s="76"/>
      <c r="CY2674" s="76">
        <f>+CX2674*106250</f>
        <v>0</v>
      </c>
      <c r="CZ2674" s="76"/>
      <c r="DA2674" s="76">
        <f>+CZ2674*34500</f>
        <v>0</v>
      </c>
      <c r="DB2674" s="76"/>
      <c r="DC2674" s="76">
        <f>+DB2674*25000</f>
        <v>0</v>
      </c>
      <c r="DD2674" s="219"/>
      <c r="DE2674" s="219"/>
      <c r="DF2674" s="166"/>
      <c r="DG2674" s="116"/>
      <c r="DH2674" s="117"/>
      <c r="DI2674" s="24"/>
      <c r="DJ2674" s="24"/>
      <c r="DK2674" s="24"/>
      <c r="DL2674" s="24"/>
      <c r="DM2674" s="24"/>
      <c r="DN2674" s="24"/>
      <c r="DO2674" s="24"/>
      <c r="DP2674" s="24"/>
      <c r="DQ2674" s="24"/>
      <c r="DR2674" s="24"/>
      <c r="DS2674" s="24"/>
      <c r="DT2674" s="24"/>
      <c r="DU2674" s="24"/>
    </row>
    <row r="2675" spans="1:125" s="8" customFormat="1" ht="72" x14ac:dyDescent="0.2">
      <c r="A2675" s="77">
        <v>41495</v>
      </c>
      <c r="B2675" s="78" t="s">
        <v>2847</v>
      </c>
      <c r="C2675" s="75" t="s">
        <v>1768</v>
      </c>
      <c r="D2675" s="75" t="s">
        <v>3051</v>
      </c>
      <c r="E2675" s="353" t="str">
        <f>VLOOKUP(B2675&amp;C2675,Divipola!$C$2:$F$1138,4,FALSE)</f>
        <v>68679</v>
      </c>
      <c r="F2675" s="87"/>
      <c r="G2675" s="87"/>
      <c r="H2675" s="87"/>
      <c r="I2675" s="87">
        <v>15</v>
      </c>
      <c r="J2675" s="87">
        <v>3</v>
      </c>
      <c r="K2675" s="87"/>
      <c r="L2675" s="87">
        <v>3</v>
      </c>
      <c r="M2675" s="87"/>
      <c r="N2675" s="87"/>
      <c r="O2675" s="87"/>
      <c r="P2675" s="87"/>
      <c r="Q2675" s="87"/>
      <c r="R2675" s="87"/>
      <c r="S2675" s="87"/>
      <c r="T2675" s="87"/>
      <c r="U2675" s="88"/>
      <c r="V2675" s="89"/>
      <c r="W2675" s="96">
        <v>0</v>
      </c>
      <c r="X2675" s="71">
        <f>CU2675</f>
        <v>0</v>
      </c>
      <c r="Y2675" s="71">
        <f>CY2675</f>
        <v>0</v>
      </c>
      <c r="Z2675" s="71">
        <f>DA2675+DC2675+DE2675</f>
        <v>0</v>
      </c>
      <c r="AA2675" s="71">
        <f>CW2675</f>
        <v>0</v>
      </c>
      <c r="AB2675" s="71"/>
      <c r="AC2675" s="71">
        <v>0</v>
      </c>
      <c r="AD2675" s="71">
        <f>W2675+X2675+Y2675+Z2675+AA2675+AB2675+AC2675</f>
        <v>0</v>
      </c>
      <c r="AE2675" s="72">
        <v>0</v>
      </c>
      <c r="AF2675" s="5"/>
      <c r="AG2675" s="6"/>
      <c r="AH2675" s="27"/>
      <c r="AI2675" s="44"/>
      <c r="AJ2675" s="26"/>
      <c r="AK2675" s="5"/>
      <c r="AL2675" s="268" t="s">
        <v>5575</v>
      </c>
      <c r="AM2675" s="76"/>
      <c r="AN2675" s="76"/>
      <c r="AO2675" s="76"/>
      <c r="AP2675" s="76"/>
      <c r="AQ2675" s="76"/>
      <c r="AR2675" s="76"/>
      <c r="AS2675" s="76"/>
      <c r="AT2675" s="76"/>
      <c r="AU2675" s="76"/>
      <c r="AV2675" s="76"/>
      <c r="AW2675" s="76"/>
      <c r="AX2675" s="76">
        <f>+AW2675*600000</f>
        <v>0</v>
      </c>
      <c r="AY2675" s="76"/>
      <c r="AZ2675" s="76">
        <f>+AY2675*70000</f>
        <v>0</v>
      </c>
      <c r="BA2675" s="76"/>
      <c r="BB2675" s="76"/>
      <c r="BC2675" s="76"/>
      <c r="BD2675" s="76">
        <f>+BC2675*30000</f>
        <v>0</v>
      </c>
      <c r="BE2675" s="76"/>
      <c r="BF2675" s="76"/>
      <c r="BG2675" s="76"/>
      <c r="BH2675" s="76"/>
      <c r="BI2675" s="76"/>
      <c r="BJ2675" s="76"/>
      <c r="BK2675" s="76"/>
      <c r="BL2675" s="76">
        <f>+BK2675*31500</f>
        <v>0</v>
      </c>
      <c r="BM2675" s="76"/>
      <c r="BN2675" s="76"/>
      <c r="BO2675" s="76"/>
      <c r="BP2675" s="76"/>
      <c r="BQ2675" s="76"/>
      <c r="BR2675" s="76"/>
      <c r="BS2675" s="76"/>
      <c r="BT2675" s="76"/>
      <c r="BU2675" s="76"/>
      <c r="BV2675" s="76"/>
      <c r="BW2675" s="76"/>
      <c r="BX2675" s="76"/>
      <c r="BY2675" s="76"/>
      <c r="BZ2675" s="76"/>
      <c r="CA2675" s="76"/>
      <c r="CB2675" s="76"/>
      <c r="CC2675" s="76"/>
      <c r="CD2675" s="76"/>
      <c r="CE2675" s="76"/>
      <c r="CF2675" s="76">
        <f>+CE2675*28000</f>
        <v>0</v>
      </c>
      <c r="CG2675" s="76"/>
      <c r="CH2675" s="76">
        <f>+CG2675*22500</f>
        <v>0</v>
      </c>
      <c r="CI2675" s="76"/>
      <c r="CJ2675" s="76">
        <f>+CI2675*26000</f>
        <v>0</v>
      </c>
      <c r="CK2675" s="76"/>
      <c r="CL2675" s="76"/>
      <c r="CM2675" s="76"/>
      <c r="CN2675" s="76">
        <f>+CM2675*22000</f>
        <v>0</v>
      </c>
      <c r="CO2675" s="76"/>
      <c r="CP2675" s="76">
        <f>+CO2675*46000</f>
        <v>0</v>
      </c>
      <c r="CQ2675" s="76"/>
      <c r="CR2675" s="76">
        <f>+CQ2675*49000</f>
        <v>0</v>
      </c>
      <c r="CS2675" s="76"/>
      <c r="CT2675" s="76"/>
      <c r="CU2675" s="56">
        <f>AN2675+AP2675+AR2675+AT2675+AV2675+AX2675+AZ2675+BB2675+BD2675+BF2675+BH2675+BJ2675+BL2675+BN2675+BP2675+BR2675+BT2675+BV2675+BX2675+BZ2675+CB2675+CD2675+CF2675+CH2675+CJ2675+CL2675+CN2675+CP2675+CR2675+CT2675</f>
        <v>0</v>
      </c>
      <c r="CV2675" s="76"/>
      <c r="CW2675" s="76">
        <f>+CV2675*1100</f>
        <v>0</v>
      </c>
      <c r="CX2675" s="76"/>
      <c r="CY2675" s="76">
        <f>+CX2675*106250</f>
        <v>0</v>
      </c>
      <c r="CZ2675" s="76"/>
      <c r="DA2675" s="76">
        <f>+CZ2675*34500</f>
        <v>0</v>
      </c>
      <c r="DB2675" s="76"/>
      <c r="DC2675" s="76">
        <f>+DB2675*25000</f>
        <v>0</v>
      </c>
      <c r="DD2675" s="219"/>
      <c r="DE2675" s="219"/>
      <c r="DF2675" s="166"/>
      <c r="DG2675" s="116"/>
      <c r="DH2675" s="117"/>
      <c r="DI2675" s="24"/>
      <c r="DJ2675" s="24"/>
      <c r="DK2675" s="24"/>
      <c r="DL2675" s="24"/>
      <c r="DM2675" s="24"/>
      <c r="DN2675" s="24"/>
      <c r="DO2675" s="24"/>
      <c r="DP2675" s="24"/>
      <c r="DQ2675" s="24"/>
      <c r="DR2675" s="24"/>
      <c r="DS2675" s="24"/>
      <c r="DT2675" s="24"/>
      <c r="DU2675" s="24"/>
    </row>
    <row r="2676" spans="1:125" s="8" customFormat="1" ht="72" x14ac:dyDescent="0.2">
      <c r="A2676" s="353">
        <v>41495</v>
      </c>
      <c r="B2676" s="352" t="s">
        <v>2848</v>
      </c>
      <c r="C2676" s="354" t="s">
        <v>2034</v>
      </c>
      <c r="D2676" s="354" t="s">
        <v>2846</v>
      </c>
      <c r="E2676" s="353" t="str">
        <f>VLOOKUP(B2676&amp;C2676,Divipola!$C$2:$F$1138,4,FALSE)</f>
        <v>73449</v>
      </c>
      <c r="F2676" s="87"/>
      <c r="G2676" s="87"/>
      <c r="H2676" s="87"/>
      <c r="I2676" s="87"/>
      <c r="J2676" s="87"/>
      <c r="K2676" s="87"/>
      <c r="L2676" s="87"/>
      <c r="M2676" s="87"/>
      <c r="N2676" s="87"/>
      <c r="O2676" s="87"/>
      <c r="P2676" s="87"/>
      <c r="Q2676" s="87"/>
      <c r="R2676" s="87"/>
      <c r="S2676" s="87"/>
      <c r="T2676" s="87"/>
      <c r="U2676" s="88">
        <v>1</v>
      </c>
      <c r="V2676" s="89"/>
      <c r="W2676" s="96">
        <v>0</v>
      </c>
      <c r="X2676" s="71">
        <f>CU2676</f>
        <v>0</v>
      </c>
      <c r="Y2676" s="71">
        <f>CY2676</f>
        <v>0</v>
      </c>
      <c r="Z2676" s="71">
        <f>DA2676+DC2676+DE2676</f>
        <v>0</v>
      </c>
      <c r="AA2676" s="71">
        <f>CW2676</f>
        <v>0</v>
      </c>
      <c r="AB2676" s="71"/>
      <c r="AC2676" s="71">
        <v>0</v>
      </c>
      <c r="AD2676" s="71">
        <f>W2676+X2676+Y2676+Z2676+AA2676+AB2676+AC2676</f>
        <v>0</v>
      </c>
      <c r="AE2676" s="72">
        <v>0</v>
      </c>
      <c r="AF2676" s="5"/>
      <c r="AG2676" s="6"/>
      <c r="AH2676" s="27"/>
      <c r="AI2676" s="44"/>
      <c r="AJ2676" s="26"/>
      <c r="AK2676" s="5"/>
      <c r="AL2676" s="82" t="s">
        <v>5563</v>
      </c>
      <c r="AM2676" s="76"/>
      <c r="AN2676" s="76"/>
      <c r="AO2676" s="76"/>
      <c r="AP2676" s="76"/>
      <c r="AQ2676" s="76"/>
      <c r="AR2676" s="76"/>
      <c r="AS2676" s="76"/>
      <c r="AT2676" s="76"/>
      <c r="AU2676" s="76"/>
      <c r="AV2676" s="76"/>
      <c r="AW2676" s="76"/>
      <c r="AX2676" s="76">
        <f>+AW2676*600000</f>
        <v>0</v>
      </c>
      <c r="AY2676" s="76"/>
      <c r="AZ2676" s="76">
        <f>+AY2676*70000</f>
        <v>0</v>
      </c>
      <c r="BA2676" s="76"/>
      <c r="BB2676" s="76"/>
      <c r="BC2676" s="76"/>
      <c r="BD2676" s="76">
        <f>+BC2676*30000</f>
        <v>0</v>
      </c>
      <c r="BE2676" s="76"/>
      <c r="BF2676" s="76"/>
      <c r="BG2676" s="76"/>
      <c r="BH2676" s="76"/>
      <c r="BI2676" s="76"/>
      <c r="BJ2676" s="76"/>
      <c r="BK2676" s="76"/>
      <c r="BL2676" s="76">
        <f>+BK2676*31500</f>
        <v>0</v>
      </c>
      <c r="BM2676" s="76"/>
      <c r="BN2676" s="76"/>
      <c r="BO2676" s="76"/>
      <c r="BP2676" s="76"/>
      <c r="BQ2676" s="76"/>
      <c r="BR2676" s="76"/>
      <c r="BS2676" s="76"/>
      <c r="BT2676" s="76"/>
      <c r="BU2676" s="76"/>
      <c r="BV2676" s="76"/>
      <c r="BW2676" s="76"/>
      <c r="BX2676" s="76"/>
      <c r="BY2676" s="76"/>
      <c r="BZ2676" s="76"/>
      <c r="CA2676" s="76"/>
      <c r="CB2676" s="76"/>
      <c r="CC2676" s="76"/>
      <c r="CD2676" s="76"/>
      <c r="CE2676" s="76"/>
      <c r="CF2676" s="76">
        <f>+CE2676*28000</f>
        <v>0</v>
      </c>
      <c r="CG2676" s="76"/>
      <c r="CH2676" s="76">
        <f>+CG2676*22500</f>
        <v>0</v>
      </c>
      <c r="CI2676" s="76"/>
      <c r="CJ2676" s="76">
        <f>+CI2676*26000</f>
        <v>0</v>
      </c>
      <c r="CK2676" s="76"/>
      <c r="CL2676" s="76"/>
      <c r="CM2676" s="76"/>
      <c r="CN2676" s="76">
        <f>+CM2676*22000</f>
        <v>0</v>
      </c>
      <c r="CO2676" s="76"/>
      <c r="CP2676" s="76">
        <f>+CO2676*46000</f>
        <v>0</v>
      </c>
      <c r="CQ2676" s="76"/>
      <c r="CR2676" s="76">
        <f>+CQ2676*49000</f>
        <v>0</v>
      </c>
      <c r="CS2676" s="76"/>
      <c r="CT2676" s="76"/>
      <c r="CU2676" s="56">
        <f>AN2676+AP2676+AR2676+AT2676+AV2676+AX2676+AZ2676+BB2676+BD2676+BF2676+BH2676+BJ2676+BL2676+BN2676+BP2676+BR2676+BT2676+BV2676+BX2676+BZ2676+CB2676+CD2676+CF2676+CH2676+CJ2676+CL2676+CN2676+CP2676+CR2676+CT2676</f>
        <v>0</v>
      </c>
      <c r="CV2676" s="76"/>
      <c r="CW2676" s="76">
        <f>+CV2676*1100</f>
        <v>0</v>
      </c>
      <c r="CX2676" s="76"/>
      <c r="CY2676" s="76">
        <f>+CX2676*106250</f>
        <v>0</v>
      </c>
      <c r="CZ2676" s="76"/>
      <c r="DA2676" s="76">
        <f>+CZ2676*34500</f>
        <v>0</v>
      </c>
      <c r="DB2676" s="76"/>
      <c r="DC2676" s="76">
        <f>+DB2676*25000</f>
        <v>0</v>
      </c>
      <c r="DD2676" s="219"/>
      <c r="DE2676" s="219"/>
      <c r="DF2676" s="166"/>
      <c r="DG2676" s="116"/>
      <c r="DH2676" s="117"/>
      <c r="DI2676" s="24"/>
      <c r="DJ2676" s="24"/>
      <c r="DK2676" s="24"/>
      <c r="DL2676" s="24"/>
      <c r="DM2676" s="24"/>
      <c r="DN2676" s="24"/>
      <c r="DO2676" s="24"/>
      <c r="DP2676" s="24"/>
      <c r="DQ2676" s="24"/>
      <c r="DR2676" s="24"/>
      <c r="DS2676" s="24"/>
      <c r="DT2676" s="24"/>
      <c r="DU2676" s="24"/>
    </row>
    <row r="2677" spans="1:125" s="8" customFormat="1" ht="60" x14ac:dyDescent="0.2">
      <c r="A2677" s="77">
        <v>41495</v>
      </c>
      <c r="B2677" s="352" t="s">
        <v>2848</v>
      </c>
      <c r="C2677" s="354" t="s">
        <v>2104</v>
      </c>
      <c r="D2677" s="354" t="s">
        <v>2859</v>
      </c>
      <c r="E2677" s="353" t="str">
        <f>VLOOKUP(B2677&amp;C2677,Divipola!$C$2:$F$1138,4,FALSE)</f>
        <v>73563</v>
      </c>
      <c r="F2677" s="87"/>
      <c r="G2677" s="87"/>
      <c r="H2677" s="87"/>
      <c r="I2677" s="87">
        <v>5</v>
      </c>
      <c r="J2677" s="87">
        <v>1</v>
      </c>
      <c r="K2677" s="87">
        <v>1</v>
      </c>
      <c r="L2677" s="87"/>
      <c r="M2677" s="87"/>
      <c r="N2677" s="87"/>
      <c r="O2677" s="87"/>
      <c r="P2677" s="87"/>
      <c r="Q2677" s="87"/>
      <c r="R2677" s="87"/>
      <c r="S2677" s="87"/>
      <c r="T2677" s="87"/>
      <c r="U2677" s="88"/>
      <c r="V2677" s="89"/>
      <c r="W2677" s="96">
        <v>0</v>
      </c>
      <c r="X2677" s="71">
        <f>CU2677</f>
        <v>0</v>
      </c>
      <c r="Y2677" s="71">
        <f>CY2677</f>
        <v>0</v>
      </c>
      <c r="Z2677" s="71">
        <f>DA2677+DC2677+DE2677</f>
        <v>0</v>
      </c>
      <c r="AA2677" s="71">
        <f>CW2677</f>
        <v>0</v>
      </c>
      <c r="AB2677" s="71"/>
      <c r="AC2677" s="71">
        <v>0</v>
      </c>
      <c r="AD2677" s="71">
        <f>W2677+X2677+Y2677+Z2677+AA2677+AB2677+AC2677</f>
        <v>0</v>
      </c>
      <c r="AE2677" s="72">
        <v>0</v>
      </c>
      <c r="AF2677" s="5"/>
      <c r="AG2677" s="6"/>
      <c r="AH2677" s="27"/>
      <c r="AI2677" s="44"/>
      <c r="AJ2677" s="26"/>
      <c r="AK2677" s="5"/>
      <c r="AL2677" s="82" t="s">
        <v>5565</v>
      </c>
      <c r="AM2677" s="76"/>
      <c r="AN2677" s="76"/>
      <c r="AO2677" s="76"/>
      <c r="AP2677" s="76"/>
      <c r="AQ2677" s="76"/>
      <c r="AR2677" s="76"/>
      <c r="AS2677" s="76"/>
      <c r="AT2677" s="76"/>
      <c r="AU2677" s="76"/>
      <c r="AV2677" s="76"/>
      <c r="AW2677" s="76"/>
      <c r="AX2677" s="76">
        <f>+AW2677*600000</f>
        <v>0</v>
      </c>
      <c r="AY2677" s="76"/>
      <c r="AZ2677" s="76">
        <f>+AY2677*70000</f>
        <v>0</v>
      </c>
      <c r="BA2677" s="76"/>
      <c r="BB2677" s="76"/>
      <c r="BC2677" s="76"/>
      <c r="BD2677" s="76">
        <f>+BC2677*30000</f>
        <v>0</v>
      </c>
      <c r="BE2677" s="76"/>
      <c r="BF2677" s="76"/>
      <c r="BG2677" s="76"/>
      <c r="BH2677" s="76"/>
      <c r="BI2677" s="76"/>
      <c r="BJ2677" s="76"/>
      <c r="BK2677" s="76"/>
      <c r="BL2677" s="76">
        <f>+BK2677*31500</f>
        <v>0</v>
      </c>
      <c r="BM2677" s="76"/>
      <c r="BN2677" s="76"/>
      <c r="BO2677" s="76"/>
      <c r="BP2677" s="76"/>
      <c r="BQ2677" s="76"/>
      <c r="BR2677" s="76"/>
      <c r="BS2677" s="76"/>
      <c r="BT2677" s="76"/>
      <c r="BU2677" s="76"/>
      <c r="BV2677" s="76"/>
      <c r="BW2677" s="76"/>
      <c r="BX2677" s="76"/>
      <c r="BY2677" s="76"/>
      <c r="BZ2677" s="76"/>
      <c r="CA2677" s="76"/>
      <c r="CB2677" s="76"/>
      <c r="CC2677" s="76"/>
      <c r="CD2677" s="76"/>
      <c r="CE2677" s="76"/>
      <c r="CF2677" s="76">
        <f>+CE2677*28000</f>
        <v>0</v>
      </c>
      <c r="CG2677" s="76"/>
      <c r="CH2677" s="76">
        <f>+CG2677*22500</f>
        <v>0</v>
      </c>
      <c r="CI2677" s="76"/>
      <c r="CJ2677" s="76">
        <f>+CI2677*26000</f>
        <v>0</v>
      </c>
      <c r="CK2677" s="76"/>
      <c r="CL2677" s="76"/>
      <c r="CM2677" s="76"/>
      <c r="CN2677" s="76">
        <f>+CM2677*22000</f>
        <v>0</v>
      </c>
      <c r="CO2677" s="76"/>
      <c r="CP2677" s="76">
        <f>+CO2677*46000</f>
        <v>0</v>
      </c>
      <c r="CQ2677" s="76"/>
      <c r="CR2677" s="76">
        <f>+CQ2677*49000</f>
        <v>0</v>
      </c>
      <c r="CS2677" s="76"/>
      <c r="CT2677" s="76"/>
      <c r="CU2677" s="56">
        <f>AN2677+AP2677+AR2677+AT2677+AV2677+AX2677+AZ2677+BB2677+BD2677+BF2677+BH2677+BJ2677+BL2677+BN2677+BP2677+BR2677+BT2677+BV2677+BX2677+BZ2677+CB2677+CD2677+CF2677+CH2677+CJ2677+CL2677+CN2677+CP2677+CR2677+CT2677</f>
        <v>0</v>
      </c>
      <c r="CV2677" s="76"/>
      <c r="CW2677" s="76">
        <f>+CV2677*1100</f>
        <v>0</v>
      </c>
      <c r="CX2677" s="76"/>
      <c r="CY2677" s="76">
        <f>+CX2677*106250</f>
        <v>0</v>
      </c>
      <c r="CZ2677" s="76"/>
      <c r="DA2677" s="76">
        <f>+CZ2677*34500</f>
        <v>0</v>
      </c>
      <c r="DB2677" s="76"/>
      <c r="DC2677" s="76">
        <f>+DB2677*25000</f>
        <v>0</v>
      </c>
      <c r="DD2677" s="219"/>
      <c r="DE2677" s="219"/>
      <c r="DF2677" s="166"/>
      <c r="DG2677" s="116"/>
      <c r="DH2677" s="117"/>
      <c r="DI2677" s="24"/>
      <c r="DJ2677" s="24"/>
      <c r="DK2677" s="24"/>
      <c r="DL2677" s="24"/>
      <c r="DM2677" s="24"/>
      <c r="DN2677" s="24"/>
      <c r="DO2677" s="24"/>
      <c r="DP2677" s="24"/>
      <c r="DQ2677" s="24"/>
      <c r="DR2677" s="24"/>
      <c r="DS2677" s="24"/>
      <c r="DT2677" s="24"/>
      <c r="DU2677" s="24"/>
    </row>
    <row r="2678" spans="1:125" s="8" customFormat="1" ht="24" x14ac:dyDescent="0.2">
      <c r="A2678" s="353">
        <v>41495</v>
      </c>
      <c r="B2678" s="352" t="s">
        <v>2848</v>
      </c>
      <c r="C2678" s="354" t="s">
        <v>1907</v>
      </c>
      <c r="D2678" s="354" t="s">
        <v>2846</v>
      </c>
      <c r="E2678" s="353" t="str">
        <f>VLOOKUP(B2678&amp;C2678,Divipola!$C$2:$F$1138,4,FALSE)</f>
        <v>73624</v>
      </c>
      <c r="F2678" s="87"/>
      <c r="G2678" s="87"/>
      <c r="H2678" s="87"/>
      <c r="I2678" s="87"/>
      <c r="J2678" s="87"/>
      <c r="K2678" s="87"/>
      <c r="L2678" s="87"/>
      <c r="M2678" s="87"/>
      <c r="N2678" s="87"/>
      <c r="O2678" s="87"/>
      <c r="P2678" s="87"/>
      <c r="Q2678" s="87"/>
      <c r="R2678" s="87"/>
      <c r="S2678" s="87"/>
      <c r="T2678" s="87"/>
      <c r="U2678" s="88">
        <v>0.5</v>
      </c>
      <c r="V2678" s="89"/>
      <c r="W2678" s="96">
        <v>0</v>
      </c>
      <c r="X2678" s="71">
        <f>CU2678</f>
        <v>0</v>
      </c>
      <c r="Y2678" s="71">
        <f>CY2678</f>
        <v>0</v>
      </c>
      <c r="Z2678" s="71">
        <f>DA2678+DC2678+DE2678</f>
        <v>0</v>
      </c>
      <c r="AA2678" s="71">
        <f>CW2678</f>
        <v>0</v>
      </c>
      <c r="AB2678" s="71"/>
      <c r="AC2678" s="71">
        <v>0</v>
      </c>
      <c r="AD2678" s="71">
        <f>W2678+X2678+Y2678+Z2678+AA2678+AB2678+AC2678</f>
        <v>0</v>
      </c>
      <c r="AE2678" s="72">
        <v>0</v>
      </c>
      <c r="AF2678" s="5"/>
      <c r="AG2678" s="6"/>
      <c r="AH2678" s="27"/>
      <c r="AI2678" s="44"/>
      <c r="AJ2678" s="26"/>
      <c r="AK2678" s="5"/>
      <c r="AL2678" s="82" t="s">
        <v>5566</v>
      </c>
      <c r="AM2678" s="76"/>
      <c r="AN2678" s="76"/>
      <c r="AO2678" s="76"/>
      <c r="AP2678" s="76"/>
      <c r="AQ2678" s="76"/>
      <c r="AR2678" s="76"/>
      <c r="AS2678" s="76"/>
      <c r="AT2678" s="76"/>
      <c r="AU2678" s="76"/>
      <c r="AV2678" s="76"/>
      <c r="AW2678" s="76"/>
      <c r="AX2678" s="76">
        <f>+AW2678*600000</f>
        <v>0</v>
      </c>
      <c r="AY2678" s="76"/>
      <c r="AZ2678" s="76">
        <f>+AY2678*70000</f>
        <v>0</v>
      </c>
      <c r="BA2678" s="76"/>
      <c r="BB2678" s="76"/>
      <c r="BC2678" s="76"/>
      <c r="BD2678" s="76">
        <f>+BC2678*30000</f>
        <v>0</v>
      </c>
      <c r="BE2678" s="76"/>
      <c r="BF2678" s="76"/>
      <c r="BG2678" s="76"/>
      <c r="BH2678" s="76"/>
      <c r="BI2678" s="76"/>
      <c r="BJ2678" s="76"/>
      <c r="BK2678" s="76"/>
      <c r="BL2678" s="76">
        <f>+BK2678*31500</f>
        <v>0</v>
      </c>
      <c r="BM2678" s="76"/>
      <c r="BN2678" s="76"/>
      <c r="BO2678" s="76"/>
      <c r="BP2678" s="76"/>
      <c r="BQ2678" s="76"/>
      <c r="BR2678" s="76"/>
      <c r="BS2678" s="76"/>
      <c r="BT2678" s="76"/>
      <c r="BU2678" s="76"/>
      <c r="BV2678" s="76"/>
      <c r="BW2678" s="76"/>
      <c r="BX2678" s="76"/>
      <c r="BY2678" s="76"/>
      <c r="BZ2678" s="76"/>
      <c r="CA2678" s="76"/>
      <c r="CB2678" s="76"/>
      <c r="CC2678" s="76"/>
      <c r="CD2678" s="76"/>
      <c r="CE2678" s="76"/>
      <c r="CF2678" s="76">
        <f>+CE2678*28000</f>
        <v>0</v>
      </c>
      <c r="CG2678" s="76"/>
      <c r="CH2678" s="76">
        <f>+CG2678*22500</f>
        <v>0</v>
      </c>
      <c r="CI2678" s="76"/>
      <c r="CJ2678" s="76">
        <f>+CI2678*26000</f>
        <v>0</v>
      </c>
      <c r="CK2678" s="76"/>
      <c r="CL2678" s="76"/>
      <c r="CM2678" s="76"/>
      <c r="CN2678" s="76">
        <f>+CM2678*22000</f>
        <v>0</v>
      </c>
      <c r="CO2678" s="76"/>
      <c r="CP2678" s="76">
        <f>+CO2678*46000</f>
        <v>0</v>
      </c>
      <c r="CQ2678" s="76"/>
      <c r="CR2678" s="76">
        <f>+CQ2678*49000</f>
        <v>0</v>
      </c>
      <c r="CS2678" s="76"/>
      <c r="CT2678" s="76"/>
      <c r="CU2678" s="56">
        <f>AN2678+AP2678+AR2678+AT2678+AV2678+AX2678+AZ2678+BB2678+BD2678+BF2678+BH2678+BJ2678+BL2678+BN2678+BP2678+BR2678+BT2678+BV2678+BX2678+BZ2678+CB2678+CD2678+CF2678+CH2678+CJ2678+CL2678+CN2678+CP2678+CR2678+CT2678</f>
        <v>0</v>
      </c>
      <c r="CV2678" s="76"/>
      <c r="CW2678" s="76">
        <f>+CV2678*1100</f>
        <v>0</v>
      </c>
      <c r="CX2678" s="76"/>
      <c r="CY2678" s="76">
        <f>+CX2678*106250</f>
        <v>0</v>
      </c>
      <c r="CZ2678" s="76"/>
      <c r="DA2678" s="76">
        <f>+CZ2678*34500</f>
        <v>0</v>
      </c>
      <c r="DB2678" s="76"/>
      <c r="DC2678" s="76">
        <f>+DB2678*25000</f>
        <v>0</v>
      </c>
      <c r="DD2678" s="219"/>
      <c r="DE2678" s="219"/>
      <c r="DF2678" s="166"/>
      <c r="DG2678" s="116"/>
      <c r="DH2678" s="117"/>
      <c r="DI2678" s="24"/>
      <c r="DJ2678" s="24"/>
      <c r="DK2678" s="24"/>
      <c r="DL2678" s="24"/>
      <c r="DM2678" s="24"/>
      <c r="DN2678" s="24"/>
      <c r="DO2678" s="24"/>
      <c r="DP2678" s="24"/>
      <c r="DQ2678" s="24"/>
      <c r="DR2678" s="24"/>
      <c r="DS2678" s="24"/>
      <c r="DT2678" s="24"/>
      <c r="DU2678" s="24"/>
    </row>
    <row r="2679" spans="1:125" s="8" customFormat="1" ht="72" x14ac:dyDescent="0.2">
      <c r="A2679" s="77">
        <v>41496</v>
      </c>
      <c r="B2679" s="78" t="s">
        <v>2894</v>
      </c>
      <c r="C2679" s="75" t="s">
        <v>2032</v>
      </c>
      <c r="D2679" s="75" t="s">
        <v>3088</v>
      </c>
      <c r="E2679" s="353" t="str">
        <f>VLOOKUP(B2679&amp;C2679,Divipola!$C$2:$F$1138,4,FALSE)</f>
        <v>05001</v>
      </c>
      <c r="F2679" s="87"/>
      <c r="G2679" s="87"/>
      <c r="H2679" s="87"/>
      <c r="I2679" s="87">
        <v>35</v>
      </c>
      <c r="J2679" s="87">
        <v>9</v>
      </c>
      <c r="K2679" s="87"/>
      <c r="L2679" s="87">
        <v>9</v>
      </c>
      <c r="M2679" s="87"/>
      <c r="N2679" s="87"/>
      <c r="O2679" s="87"/>
      <c r="P2679" s="87"/>
      <c r="Q2679" s="87"/>
      <c r="R2679" s="87"/>
      <c r="S2679" s="87"/>
      <c r="T2679" s="87"/>
      <c r="U2679" s="88"/>
      <c r="V2679" s="89"/>
      <c r="W2679" s="96">
        <v>0</v>
      </c>
      <c r="X2679" s="71">
        <f>CU2679</f>
        <v>0</v>
      </c>
      <c r="Y2679" s="71">
        <f>CY2679</f>
        <v>0</v>
      </c>
      <c r="Z2679" s="71">
        <f>DA2679+DC2679+DE2679</f>
        <v>0</v>
      </c>
      <c r="AA2679" s="71">
        <f>CW2679</f>
        <v>0</v>
      </c>
      <c r="AB2679" s="71"/>
      <c r="AC2679" s="71">
        <v>0</v>
      </c>
      <c r="AD2679" s="71">
        <f>W2679+X2679+Y2679+Z2679+AA2679+AB2679+AC2679</f>
        <v>0</v>
      </c>
      <c r="AE2679" s="72">
        <v>0</v>
      </c>
      <c r="AF2679" s="5"/>
      <c r="AG2679" s="6"/>
      <c r="AH2679" s="27"/>
      <c r="AI2679" s="44"/>
      <c r="AJ2679" s="26"/>
      <c r="AK2679" s="5"/>
      <c r="AL2679" s="268" t="s">
        <v>5578</v>
      </c>
      <c r="AM2679" s="76"/>
      <c r="AN2679" s="76"/>
      <c r="AO2679" s="76"/>
      <c r="AP2679" s="76"/>
      <c r="AQ2679" s="76"/>
      <c r="AR2679" s="76"/>
      <c r="AS2679" s="76"/>
      <c r="AT2679" s="76"/>
      <c r="AU2679" s="76"/>
      <c r="AV2679" s="76"/>
      <c r="AW2679" s="76"/>
      <c r="AX2679" s="76">
        <f>+AW2679*600000</f>
        <v>0</v>
      </c>
      <c r="AY2679" s="76"/>
      <c r="AZ2679" s="76">
        <f>+AY2679*70000</f>
        <v>0</v>
      </c>
      <c r="BA2679" s="76"/>
      <c r="BB2679" s="76"/>
      <c r="BC2679" s="76"/>
      <c r="BD2679" s="76">
        <f>+BC2679*30000</f>
        <v>0</v>
      </c>
      <c r="BE2679" s="76"/>
      <c r="BF2679" s="76"/>
      <c r="BG2679" s="76"/>
      <c r="BH2679" s="76"/>
      <c r="BI2679" s="76"/>
      <c r="BJ2679" s="76"/>
      <c r="BK2679" s="76"/>
      <c r="BL2679" s="76">
        <f>+BK2679*31500</f>
        <v>0</v>
      </c>
      <c r="BM2679" s="76"/>
      <c r="BN2679" s="76"/>
      <c r="BO2679" s="76"/>
      <c r="BP2679" s="76"/>
      <c r="BQ2679" s="76"/>
      <c r="BR2679" s="76"/>
      <c r="BS2679" s="76"/>
      <c r="BT2679" s="76"/>
      <c r="BU2679" s="76"/>
      <c r="BV2679" s="76"/>
      <c r="BW2679" s="76"/>
      <c r="BX2679" s="76"/>
      <c r="BY2679" s="76"/>
      <c r="BZ2679" s="76"/>
      <c r="CA2679" s="76"/>
      <c r="CB2679" s="76"/>
      <c r="CC2679" s="76"/>
      <c r="CD2679" s="76"/>
      <c r="CE2679" s="76"/>
      <c r="CF2679" s="76">
        <f>+CE2679*28000</f>
        <v>0</v>
      </c>
      <c r="CG2679" s="76"/>
      <c r="CH2679" s="76">
        <f>+CG2679*22500</f>
        <v>0</v>
      </c>
      <c r="CI2679" s="76"/>
      <c r="CJ2679" s="76">
        <f>+CI2679*26000</f>
        <v>0</v>
      </c>
      <c r="CK2679" s="76"/>
      <c r="CL2679" s="76"/>
      <c r="CM2679" s="76"/>
      <c r="CN2679" s="76">
        <f>+CM2679*22000</f>
        <v>0</v>
      </c>
      <c r="CO2679" s="76"/>
      <c r="CP2679" s="76">
        <f>+CO2679*46000</f>
        <v>0</v>
      </c>
      <c r="CQ2679" s="76"/>
      <c r="CR2679" s="76">
        <f>+CQ2679*49000</f>
        <v>0</v>
      </c>
      <c r="CS2679" s="76"/>
      <c r="CT2679" s="76"/>
      <c r="CU2679" s="56">
        <f>AN2679+AP2679+AR2679+AT2679+AV2679+AX2679+AZ2679+BB2679+BD2679+BF2679+BH2679+BJ2679+BL2679+BN2679+BP2679+BR2679+BT2679+BV2679+BX2679+BZ2679+CB2679+CD2679+CF2679+CH2679+CJ2679+CL2679+CN2679+CP2679+CR2679+CT2679</f>
        <v>0</v>
      </c>
      <c r="CV2679" s="76"/>
      <c r="CW2679" s="76">
        <f>+CV2679*1100</f>
        <v>0</v>
      </c>
      <c r="CX2679" s="76"/>
      <c r="CY2679" s="76">
        <f>+CX2679*106250</f>
        <v>0</v>
      </c>
      <c r="CZ2679" s="76"/>
      <c r="DA2679" s="76">
        <f>+CZ2679*34500</f>
        <v>0</v>
      </c>
      <c r="DB2679" s="76"/>
      <c r="DC2679" s="76">
        <f>+DB2679*25000</f>
        <v>0</v>
      </c>
      <c r="DD2679" s="219"/>
      <c r="DE2679" s="219"/>
      <c r="DF2679" s="166"/>
      <c r="DG2679" s="116"/>
      <c r="DH2679" s="117"/>
      <c r="DI2679" s="24"/>
      <c r="DJ2679" s="24"/>
      <c r="DK2679" s="24"/>
      <c r="DL2679" s="24"/>
      <c r="DM2679" s="24"/>
      <c r="DN2679" s="24"/>
      <c r="DO2679" s="24"/>
      <c r="DP2679" s="24"/>
      <c r="DQ2679" s="24"/>
      <c r="DR2679" s="24"/>
      <c r="DS2679" s="24"/>
      <c r="DT2679" s="24"/>
      <c r="DU2679" s="24"/>
    </row>
    <row r="2680" spans="1:125" s="8" customFormat="1" ht="48" x14ac:dyDescent="0.2">
      <c r="A2680" s="77">
        <v>41496</v>
      </c>
      <c r="B2680" s="78" t="s">
        <v>2700</v>
      </c>
      <c r="C2680" s="75" t="s">
        <v>1595</v>
      </c>
      <c r="D2680" s="75" t="s">
        <v>3017</v>
      </c>
      <c r="E2680" s="353" t="str">
        <f>VLOOKUP(B2680&amp;C2680,Divipola!$C$2:$F$1138,4,FALSE)</f>
        <v>15172</v>
      </c>
      <c r="F2680" s="87"/>
      <c r="G2680" s="87"/>
      <c r="H2680" s="87"/>
      <c r="I2680" s="87"/>
      <c r="J2680" s="87"/>
      <c r="K2680" s="87"/>
      <c r="L2680" s="87"/>
      <c r="M2680" s="87"/>
      <c r="N2680" s="87">
        <v>1</v>
      </c>
      <c r="O2680" s="87"/>
      <c r="P2680" s="87"/>
      <c r="Q2680" s="87"/>
      <c r="R2680" s="87"/>
      <c r="S2680" s="87"/>
      <c r="T2680" s="87"/>
      <c r="U2680" s="88"/>
      <c r="V2680" s="89"/>
      <c r="W2680" s="96">
        <v>0</v>
      </c>
      <c r="X2680" s="71">
        <f>CU2680</f>
        <v>0</v>
      </c>
      <c r="Y2680" s="71">
        <f>CY2680</f>
        <v>0</v>
      </c>
      <c r="Z2680" s="71">
        <f>DA2680+DC2680+DE2680</f>
        <v>0</v>
      </c>
      <c r="AA2680" s="71">
        <f>CW2680</f>
        <v>0</v>
      </c>
      <c r="AB2680" s="71"/>
      <c r="AC2680" s="71">
        <v>0</v>
      </c>
      <c r="AD2680" s="71">
        <f>W2680+X2680+Y2680+Z2680+AA2680+AB2680+AC2680</f>
        <v>0</v>
      </c>
      <c r="AE2680" s="72">
        <v>0</v>
      </c>
      <c r="AF2680" s="5"/>
      <c r="AG2680" s="6"/>
      <c r="AH2680" s="27"/>
      <c r="AI2680" s="44"/>
      <c r="AJ2680" s="26"/>
      <c r="AK2680" s="5"/>
      <c r="AL2680" s="268" t="s">
        <v>5573</v>
      </c>
      <c r="AM2680" s="76"/>
      <c r="AN2680" s="76"/>
      <c r="AO2680" s="76"/>
      <c r="AP2680" s="76"/>
      <c r="AQ2680" s="76"/>
      <c r="AR2680" s="76"/>
      <c r="AS2680" s="76"/>
      <c r="AT2680" s="76"/>
      <c r="AU2680" s="76"/>
      <c r="AV2680" s="76"/>
      <c r="AW2680" s="76"/>
      <c r="AX2680" s="76">
        <f>+AW2680*600000</f>
        <v>0</v>
      </c>
      <c r="AY2680" s="76"/>
      <c r="AZ2680" s="76">
        <f>+AY2680*70000</f>
        <v>0</v>
      </c>
      <c r="BA2680" s="76"/>
      <c r="BB2680" s="76"/>
      <c r="BC2680" s="76"/>
      <c r="BD2680" s="76">
        <f>+BC2680*30000</f>
        <v>0</v>
      </c>
      <c r="BE2680" s="76"/>
      <c r="BF2680" s="76"/>
      <c r="BG2680" s="76"/>
      <c r="BH2680" s="76"/>
      <c r="BI2680" s="76"/>
      <c r="BJ2680" s="76"/>
      <c r="BK2680" s="76"/>
      <c r="BL2680" s="76">
        <f>+BK2680*31500</f>
        <v>0</v>
      </c>
      <c r="BM2680" s="76"/>
      <c r="BN2680" s="76"/>
      <c r="BO2680" s="76"/>
      <c r="BP2680" s="76"/>
      <c r="BQ2680" s="76"/>
      <c r="BR2680" s="76"/>
      <c r="BS2680" s="76"/>
      <c r="BT2680" s="76"/>
      <c r="BU2680" s="76"/>
      <c r="BV2680" s="76"/>
      <c r="BW2680" s="76"/>
      <c r="BX2680" s="76"/>
      <c r="BY2680" s="76"/>
      <c r="BZ2680" s="76"/>
      <c r="CA2680" s="76"/>
      <c r="CB2680" s="76"/>
      <c r="CC2680" s="76"/>
      <c r="CD2680" s="76"/>
      <c r="CE2680" s="76"/>
      <c r="CF2680" s="76">
        <f>+CE2680*28000</f>
        <v>0</v>
      </c>
      <c r="CG2680" s="76"/>
      <c r="CH2680" s="76">
        <f>+CG2680*22500</f>
        <v>0</v>
      </c>
      <c r="CI2680" s="76"/>
      <c r="CJ2680" s="76">
        <f>+CI2680*26000</f>
        <v>0</v>
      </c>
      <c r="CK2680" s="76"/>
      <c r="CL2680" s="76"/>
      <c r="CM2680" s="76"/>
      <c r="CN2680" s="76">
        <f>+CM2680*22000</f>
        <v>0</v>
      </c>
      <c r="CO2680" s="76"/>
      <c r="CP2680" s="76">
        <f>+CO2680*46000</f>
        <v>0</v>
      </c>
      <c r="CQ2680" s="76"/>
      <c r="CR2680" s="76">
        <f>+CQ2680*49000</f>
        <v>0</v>
      </c>
      <c r="CS2680" s="76"/>
      <c r="CT2680" s="76"/>
      <c r="CU2680" s="56">
        <f>AN2680+AP2680+AR2680+AT2680+AV2680+AX2680+AZ2680+BB2680+BD2680+BF2680+BH2680+BJ2680+BL2680+BN2680+BP2680+BR2680+BT2680+BV2680+BX2680+BZ2680+CB2680+CD2680+CF2680+CH2680+CJ2680+CL2680+CN2680+CP2680+CR2680+CT2680</f>
        <v>0</v>
      </c>
      <c r="CV2680" s="76"/>
      <c r="CW2680" s="76">
        <f>+CV2680*1100</f>
        <v>0</v>
      </c>
      <c r="CX2680" s="76"/>
      <c r="CY2680" s="76">
        <f>+CX2680*106250</f>
        <v>0</v>
      </c>
      <c r="CZ2680" s="76"/>
      <c r="DA2680" s="76">
        <f>+CZ2680*34500</f>
        <v>0</v>
      </c>
      <c r="DB2680" s="76"/>
      <c r="DC2680" s="76">
        <f>+DB2680*25000</f>
        <v>0</v>
      </c>
      <c r="DD2680" s="219"/>
      <c r="DE2680" s="219"/>
      <c r="DF2680" s="166"/>
      <c r="DG2680" s="116"/>
      <c r="DH2680" s="117"/>
      <c r="DI2680" s="24"/>
      <c r="DJ2680" s="24"/>
      <c r="DK2680" s="24"/>
      <c r="DL2680" s="24"/>
      <c r="DM2680" s="24"/>
      <c r="DN2680" s="24"/>
      <c r="DO2680" s="24"/>
      <c r="DP2680" s="24"/>
      <c r="DQ2680" s="24"/>
      <c r="DR2680" s="24"/>
      <c r="DS2680" s="24"/>
      <c r="DT2680" s="24"/>
      <c r="DU2680" s="24"/>
    </row>
    <row r="2681" spans="1:125" s="8" customFormat="1" ht="60" x14ac:dyDescent="0.2">
      <c r="A2681" s="353">
        <v>41496</v>
      </c>
      <c r="B2681" s="208" t="s">
        <v>2700</v>
      </c>
      <c r="C2681" s="227" t="s">
        <v>676</v>
      </c>
      <c r="D2681" s="227" t="s">
        <v>2846</v>
      </c>
      <c r="E2681" s="353" t="str">
        <f>VLOOKUP(B2681&amp;C2681,Divipola!$C$2:$F$1138,4,FALSE)</f>
        <v>15762</v>
      </c>
      <c r="F2681" s="61"/>
      <c r="G2681" s="61"/>
      <c r="H2681" s="61"/>
      <c r="I2681" s="61"/>
      <c r="J2681" s="61"/>
      <c r="K2681" s="61"/>
      <c r="L2681" s="61"/>
      <c r="M2681" s="61"/>
      <c r="N2681" s="61"/>
      <c r="O2681" s="61"/>
      <c r="P2681" s="61"/>
      <c r="Q2681" s="61"/>
      <c r="R2681" s="61"/>
      <c r="S2681" s="61"/>
      <c r="T2681" s="61"/>
      <c r="U2681" s="61">
        <v>3</v>
      </c>
      <c r="V2681" s="7"/>
      <c r="W2681" s="96">
        <v>0</v>
      </c>
      <c r="X2681" s="71">
        <f>CU2681</f>
        <v>0</v>
      </c>
      <c r="Y2681" s="71">
        <f>CY2681</f>
        <v>0</v>
      </c>
      <c r="Z2681" s="71">
        <f>DA2681+DC2681+DE2681</f>
        <v>0</v>
      </c>
      <c r="AA2681" s="71">
        <f>CW2681</f>
        <v>0</v>
      </c>
      <c r="AB2681" s="71"/>
      <c r="AC2681" s="71">
        <v>0</v>
      </c>
      <c r="AD2681" s="71">
        <f>W2681+X2681+Y2681+Z2681+AA2681+AB2681+AC2681</f>
        <v>0</v>
      </c>
      <c r="AE2681" s="72">
        <v>0</v>
      </c>
      <c r="AF2681" s="5"/>
      <c r="AG2681" s="6"/>
      <c r="AH2681" s="27"/>
      <c r="AI2681" s="44"/>
      <c r="AJ2681" s="26"/>
      <c r="AK2681" s="5"/>
      <c r="AL2681" s="82" t="s">
        <v>5577</v>
      </c>
      <c r="AM2681" s="76"/>
      <c r="AN2681" s="76"/>
      <c r="AO2681" s="76"/>
      <c r="AP2681" s="76"/>
      <c r="AQ2681" s="76"/>
      <c r="AR2681" s="76"/>
      <c r="AS2681" s="76"/>
      <c r="AT2681" s="76"/>
      <c r="AU2681" s="76"/>
      <c r="AV2681" s="76"/>
      <c r="AW2681" s="76"/>
      <c r="AX2681" s="76">
        <f>+AW2681*600000</f>
        <v>0</v>
      </c>
      <c r="AY2681" s="76"/>
      <c r="AZ2681" s="76">
        <f>+AY2681*70000</f>
        <v>0</v>
      </c>
      <c r="BA2681" s="76"/>
      <c r="BB2681" s="76"/>
      <c r="BC2681" s="76"/>
      <c r="BD2681" s="76">
        <f>+BC2681*30000</f>
        <v>0</v>
      </c>
      <c r="BE2681" s="76"/>
      <c r="BF2681" s="76"/>
      <c r="BG2681" s="76"/>
      <c r="BH2681" s="76"/>
      <c r="BI2681" s="76"/>
      <c r="BJ2681" s="76"/>
      <c r="BK2681" s="76"/>
      <c r="BL2681" s="76">
        <f>+BK2681*31500</f>
        <v>0</v>
      </c>
      <c r="BM2681" s="76"/>
      <c r="BN2681" s="76"/>
      <c r="BO2681" s="76"/>
      <c r="BP2681" s="76"/>
      <c r="BQ2681" s="76"/>
      <c r="BR2681" s="76"/>
      <c r="BS2681" s="76"/>
      <c r="BT2681" s="76"/>
      <c r="BU2681" s="76"/>
      <c r="BV2681" s="76"/>
      <c r="BW2681" s="76"/>
      <c r="BX2681" s="76"/>
      <c r="BY2681" s="76"/>
      <c r="BZ2681" s="76"/>
      <c r="CA2681" s="76"/>
      <c r="CB2681" s="76"/>
      <c r="CC2681" s="76"/>
      <c r="CD2681" s="76"/>
      <c r="CE2681" s="76"/>
      <c r="CF2681" s="76">
        <f>+CE2681*28000</f>
        <v>0</v>
      </c>
      <c r="CG2681" s="76"/>
      <c r="CH2681" s="76">
        <f>+CG2681*22500</f>
        <v>0</v>
      </c>
      <c r="CI2681" s="76"/>
      <c r="CJ2681" s="76">
        <f>+CI2681*26000</f>
        <v>0</v>
      </c>
      <c r="CK2681" s="76"/>
      <c r="CL2681" s="76"/>
      <c r="CM2681" s="76"/>
      <c r="CN2681" s="76">
        <f>+CM2681*22000</f>
        <v>0</v>
      </c>
      <c r="CO2681" s="76"/>
      <c r="CP2681" s="76">
        <f>+CO2681*46000</f>
        <v>0</v>
      </c>
      <c r="CQ2681" s="76"/>
      <c r="CR2681" s="76">
        <f>+CQ2681*49000</f>
        <v>0</v>
      </c>
      <c r="CS2681" s="76"/>
      <c r="CT2681" s="76"/>
      <c r="CU2681" s="56">
        <f>AN2681+AP2681+AR2681+AT2681+AV2681+AX2681+AZ2681+BB2681+BD2681+BF2681+BH2681+BJ2681+BL2681+BN2681+BP2681+BR2681+BT2681+BV2681+BX2681+BZ2681+CB2681+CD2681+CF2681+CH2681+CJ2681+CL2681+CN2681+CP2681+CR2681+CT2681</f>
        <v>0</v>
      </c>
      <c r="CV2681" s="76"/>
      <c r="CW2681" s="76">
        <f>+CV2681*1100</f>
        <v>0</v>
      </c>
      <c r="CX2681" s="76"/>
      <c r="CY2681" s="76">
        <f>+CX2681*106250</f>
        <v>0</v>
      </c>
      <c r="CZ2681" s="76"/>
      <c r="DA2681" s="76">
        <f>+CZ2681*34500</f>
        <v>0</v>
      </c>
      <c r="DB2681" s="76"/>
      <c r="DC2681" s="76">
        <f>+DB2681*25000</f>
        <v>0</v>
      </c>
      <c r="DD2681" s="219"/>
      <c r="DE2681" s="219"/>
      <c r="DF2681" s="166"/>
      <c r="DG2681" s="116"/>
      <c r="DH2681" s="117"/>
      <c r="DI2681" s="24"/>
      <c r="DJ2681" s="24"/>
      <c r="DK2681" s="24"/>
      <c r="DL2681" s="24"/>
      <c r="DM2681" s="24"/>
      <c r="DN2681" s="24"/>
      <c r="DO2681" s="24"/>
      <c r="DP2681" s="24"/>
      <c r="DQ2681" s="24"/>
      <c r="DR2681" s="24"/>
      <c r="DS2681" s="24"/>
      <c r="DT2681" s="24"/>
      <c r="DU2681" s="24"/>
    </row>
    <row r="2682" spans="1:125" s="8" customFormat="1" ht="72" x14ac:dyDescent="0.2">
      <c r="A2682" s="77">
        <v>41496</v>
      </c>
      <c r="B2682" s="225" t="s">
        <v>2700</v>
      </c>
      <c r="C2682" s="227" t="s">
        <v>2108</v>
      </c>
      <c r="D2682" s="227" t="s">
        <v>3051</v>
      </c>
      <c r="E2682" s="353" t="str">
        <f>VLOOKUP(B2682&amp;C2682,Divipola!$C$2:$F$1138,4,FALSE)</f>
        <v>15804</v>
      </c>
      <c r="F2682" s="87"/>
      <c r="G2682" s="87"/>
      <c r="H2682" s="87"/>
      <c r="I2682" s="87">
        <v>20</v>
      </c>
      <c r="J2682" s="87">
        <v>3</v>
      </c>
      <c r="K2682" s="87"/>
      <c r="L2682" s="87">
        <v>3</v>
      </c>
      <c r="M2682" s="87"/>
      <c r="N2682" s="87"/>
      <c r="O2682" s="87"/>
      <c r="P2682" s="87"/>
      <c r="Q2682" s="87"/>
      <c r="R2682" s="87"/>
      <c r="S2682" s="87"/>
      <c r="T2682" s="87"/>
      <c r="U2682" s="88">
        <v>3</v>
      </c>
      <c r="V2682" s="89"/>
      <c r="W2682" s="96">
        <v>0</v>
      </c>
      <c r="X2682" s="71">
        <f>CU2682</f>
        <v>0</v>
      </c>
      <c r="Y2682" s="71">
        <f>CY2682</f>
        <v>0</v>
      </c>
      <c r="Z2682" s="71">
        <f>DA2682+DC2682+DE2682</f>
        <v>0</v>
      </c>
      <c r="AA2682" s="71">
        <f>CW2682</f>
        <v>0</v>
      </c>
      <c r="AB2682" s="71"/>
      <c r="AC2682" s="71">
        <v>0</v>
      </c>
      <c r="AD2682" s="71">
        <f>W2682+X2682+Y2682+Z2682+AA2682+AB2682+AC2682</f>
        <v>0</v>
      </c>
      <c r="AE2682" s="72">
        <v>0</v>
      </c>
      <c r="AF2682" s="5"/>
      <c r="AG2682" s="6"/>
      <c r="AH2682" s="27"/>
      <c r="AI2682" s="44"/>
      <c r="AJ2682" s="26"/>
      <c r="AK2682" s="5"/>
      <c r="AL2682" s="82" t="s">
        <v>5580</v>
      </c>
      <c r="AM2682" s="76"/>
      <c r="AN2682" s="76"/>
      <c r="AO2682" s="76"/>
      <c r="AP2682" s="76"/>
      <c r="AQ2682" s="76"/>
      <c r="AR2682" s="76"/>
      <c r="AS2682" s="76"/>
      <c r="AT2682" s="76"/>
      <c r="AU2682" s="76"/>
      <c r="AV2682" s="76"/>
      <c r="AW2682" s="76"/>
      <c r="AX2682" s="76">
        <f>+AW2682*600000</f>
        <v>0</v>
      </c>
      <c r="AY2682" s="76"/>
      <c r="AZ2682" s="76">
        <f>+AY2682*70000</f>
        <v>0</v>
      </c>
      <c r="BA2682" s="76"/>
      <c r="BB2682" s="76"/>
      <c r="BC2682" s="76"/>
      <c r="BD2682" s="76">
        <f>+BC2682*30000</f>
        <v>0</v>
      </c>
      <c r="BE2682" s="76"/>
      <c r="BF2682" s="76"/>
      <c r="BG2682" s="76"/>
      <c r="BH2682" s="76"/>
      <c r="BI2682" s="76"/>
      <c r="BJ2682" s="76"/>
      <c r="BK2682" s="76"/>
      <c r="BL2682" s="76">
        <f>+BK2682*31500</f>
        <v>0</v>
      </c>
      <c r="BM2682" s="76"/>
      <c r="BN2682" s="76"/>
      <c r="BO2682" s="76"/>
      <c r="BP2682" s="76"/>
      <c r="BQ2682" s="76"/>
      <c r="BR2682" s="76"/>
      <c r="BS2682" s="76"/>
      <c r="BT2682" s="76"/>
      <c r="BU2682" s="76"/>
      <c r="BV2682" s="76"/>
      <c r="BW2682" s="76"/>
      <c r="BX2682" s="76"/>
      <c r="BY2682" s="76"/>
      <c r="BZ2682" s="76"/>
      <c r="CA2682" s="76"/>
      <c r="CB2682" s="76"/>
      <c r="CC2682" s="76"/>
      <c r="CD2682" s="76"/>
      <c r="CE2682" s="76"/>
      <c r="CF2682" s="76">
        <f>+CE2682*28000</f>
        <v>0</v>
      </c>
      <c r="CG2682" s="76"/>
      <c r="CH2682" s="76">
        <f>+CG2682*22500</f>
        <v>0</v>
      </c>
      <c r="CI2682" s="76"/>
      <c r="CJ2682" s="76">
        <f>+CI2682*26000</f>
        <v>0</v>
      </c>
      <c r="CK2682" s="76"/>
      <c r="CL2682" s="76"/>
      <c r="CM2682" s="76"/>
      <c r="CN2682" s="76">
        <f>+CM2682*22000</f>
        <v>0</v>
      </c>
      <c r="CO2682" s="76"/>
      <c r="CP2682" s="76">
        <f>+CO2682*46000</f>
        <v>0</v>
      </c>
      <c r="CQ2682" s="76"/>
      <c r="CR2682" s="76">
        <f>+CQ2682*49000</f>
        <v>0</v>
      </c>
      <c r="CS2682" s="76"/>
      <c r="CT2682" s="76"/>
      <c r="CU2682" s="56">
        <f>AN2682+AP2682+AR2682+AT2682+AV2682+AX2682+AZ2682+BB2682+BD2682+BF2682+BH2682+BJ2682+BL2682+BN2682+BP2682+BR2682+BT2682+BV2682+BX2682+BZ2682+CB2682+CD2682+CF2682+CH2682+CJ2682+CL2682+CN2682+CP2682+CR2682+CT2682</f>
        <v>0</v>
      </c>
      <c r="CV2682" s="76"/>
      <c r="CW2682" s="76">
        <f>+CV2682*1100</f>
        <v>0</v>
      </c>
      <c r="CX2682" s="76"/>
      <c r="CY2682" s="76">
        <f>+CX2682*106250</f>
        <v>0</v>
      </c>
      <c r="CZ2682" s="76"/>
      <c r="DA2682" s="76">
        <f>+CZ2682*34500</f>
        <v>0</v>
      </c>
      <c r="DB2682" s="76"/>
      <c r="DC2682" s="76">
        <f>+DB2682*25000</f>
        <v>0</v>
      </c>
      <c r="DD2682" s="219"/>
      <c r="DE2682" s="219"/>
      <c r="DF2682" s="166"/>
      <c r="DG2682" s="116"/>
      <c r="DH2682" s="117"/>
      <c r="DI2682" s="24"/>
      <c r="DJ2682" s="24"/>
      <c r="DK2682" s="24"/>
      <c r="DL2682" s="24"/>
      <c r="DM2682" s="24"/>
      <c r="DN2682" s="24"/>
      <c r="DO2682" s="24"/>
      <c r="DP2682" s="24"/>
      <c r="DQ2682" s="24"/>
      <c r="DR2682" s="24"/>
      <c r="DS2682" s="24"/>
      <c r="DT2682" s="24"/>
      <c r="DU2682" s="24"/>
    </row>
    <row r="2683" spans="1:125" s="8" customFormat="1" ht="24" x14ac:dyDescent="0.2">
      <c r="A2683" s="77">
        <v>41496</v>
      </c>
      <c r="B2683" s="352" t="s">
        <v>2854</v>
      </c>
      <c r="C2683" s="354" t="s">
        <v>2731</v>
      </c>
      <c r="D2683" s="354" t="s">
        <v>2882</v>
      </c>
      <c r="E2683" s="353" t="str">
        <f>VLOOKUP(B2683&amp;C2683,Divipola!$C$2:$F$1138,4,FALSE)</f>
        <v>19001</v>
      </c>
      <c r="F2683" s="87"/>
      <c r="G2683" s="87"/>
      <c r="H2683" s="87"/>
      <c r="I2683" s="87">
        <v>60</v>
      </c>
      <c r="J2683" s="87">
        <v>12</v>
      </c>
      <c r="K2683" s="87"/>
      <c r="L2683" s="87">
        <v>12</v>
      </c>
      <c r="M2683" s="87"/>
      <c r="N2683" s="87"/>
      <c r="O2683" s="87"/>
      <c r="P2683" s="87"/>
      <c r="Q2683" s="87"/>
      <c r="R2683" s="87"/>
      <c r="S2683" s="87"/>
      <c r="T2683" s="87"/>
      <c r="U2683" s="88"/>
      <c r="V2683" s="89"/>
      <c r="W2683" s="96">
        <v>0</v>
      </c>
      <c r="X2683" s="71">
        <f>CU2683</f>
        <v>0</v>
      </c>
      <c r="Y2683" s="71">
        <f>CY2683</f>
        <v>0</v>
      </c>
      <c r="Z2683" s="71">
        <f>DA2683+DC2683+DE2683</f>
        <v>0</v>
      </c>
      <c r="AA2683" s="71">
        <f>CW2683</f>
        <v>0</v>
      </c>
      <c r="AB2683" s="71"/>
      <c r="AC2683" s="71">
        <v>0</v>
      </c>
      <c r="AD2683" s="71">
        <f>W2683+X2683+Y2683+Z2683+AA2683+AB2683+AC2683</f>
        <v>0</v>
      </c>
      <c r="AE2683" s="72">
        <v>0</v>
      </c>
      <c r="AF2683" s="5"/>
      <c r="AG2683" s="6"/>
      <c r="AH2683" s="27"/>
      <c r="AI2683" s="44"/>
      <c r="AJ2683" s="26"/>
      <c r="AK2683" s="5"/>
      <c r="AL2683" s="82" t="s">
        <v>5574</v>
      </c>
      <c r="AM2683" s="76"/>
      <c r="AN2683" s="76"/>
      <c r="AO2683" s="76"/>
      <c r="AP2683" s="76"/>
      <c r="AQ2683" s="76"/>
      <c r="AR2683" s="76"/>
      <c r="AS2683" s="76"/>
      <c r="AT2683" s="76"/>
      <c r="AU2683" s="76"/>
      <c r="AV2683" s="76"/>
      <c r="AW2683" s="76"/>
      <c r="AX2683" s="76">
        <f>+AW2683*600000</f>
        <v>0</v>
      </c>
      <c r="AY2683" s="76"/>
      <c r="AZ2683" s="76">
        <f>+AY2683*70000</f>
        <v>0</v>
      </c>
      <c r="BA2683" s="76"/>
      <c r="BB2683" s="76"/>
      <c r="BC2683" s="76"/>
      <c r="BD2683" s="76">
        <f>+BC2683*30000</f>
        <v>0</v>
      </c>
      <c r="BE2683" s="76"/>
      <c r="BF2683" s="76"/>
      <c r="BG2683" s="76"/>
      <c r="BH2683" s="76"/>
      <c r="BI2683" s="76"/>
      <c r="BJ2683" s="76"/>
      <c r="BK2683" s="76"/>
      <c r="BL2683" s="76">
        <f>+BK2683*31500</f>
        <v>0</v>
      </c>
      <c r="BM2683" s="76"/>
      <c r="BN2683" s="76"/>
      <c r="BO2683" s="76"/>
      <c r="BP2683" s="76"/>
      <c r="BQ2683" s="76"/>
      <c r="BR2683" s="76"/>
      <c r="BS2683" s="76"/>
      <c r="BT2683" s="76"/>
      <c r="BU2683" s="76"/>
      <c r="BV2683" s="76"/>
      <c r="BW2683" s="76"/>
      <c r="BX2683" s="76"/>
      <c r="BY2683" s="76"/>
      <c r="BZ2683" s="76"/>
      <c r="CA2683" s="76"/>
      <c r="CB2683" s="76"/>
      <c r="CC2683" s="76"/>
      <c r="CD2683" s="76"/>
      <c r="CE2683" s="76"/>
      <c r="CF2683" s="76">
        <f>+CE2683*28000</f>
        <v>0</v>
      </c>
      <c r="CG2683" s="76"/>
      <c r="CH2683" s="76">
        <f>+CG2683*22500</f>
        <v>0</v>
      </c>
      <c r="CI2683" s="76"/>
      <c r="CJ2683" s="76">
        <f>+CI2683*26000</f>
        <v>0</v>
      </c>
      <c r="CK2683" s="76"/>
      <c r="CL2683" s="76"/>
      <c r="CM2683" s="76"/>
      <c r="CN2683" s="76">
        <f>+CM2683*22000</f>
        <v>0</v>
      </c>
      <c r="CO2683" s="76"/>
      <c r="CP2683" s="76">
        <f>+CO2683*46000</f>
        <v>0</v>
      </c>
      <c r="CQ2683" s="76"/>
      <c r="CR2683" s="76">
        <f>+CQ2683*49000</f>
        <v>0</v>
      </c>
      <c r="CS2683" s="76"/>
      <c r="CT2683" s="76"/>
      <c r="CU2683" s="56">
        <f>AN2683+AP2683+AR2683+AT2683+AV2683+AX2683+AZ2683+BB2683+BD2683+BF2683+BH2683+BJ2683+BL2683+BN2683+BP2683+BR2683+BT2683+BV2683+BX2683+BZ2683+CB2683+CD2683+CF2683+CH2683+CJ2683+CL2683+CN2683+CP2683+CR2683+CT2683</f>
        <v>0</v>
      </c>
      <c r="CV2683" s="76"/>
      <c r="CW2683" s="76">
        <f>+CV2683*1100</f>
        <v>0</v>
      </c>
      <c r="CX2683" s="76"/>
      <c r="CY2683" s="76">
        <f>+CX2683*106250</f>
        <v>0</v>
      </c>
      <c r="CZ2683" s="76"/>
      <c r="DA2683" s="76">
        <f>+CZ2683*34500</f>
        <v>0</v>
      </c>
      <c r="DB2683" s="76"/>
      <c r="DC2683" s="76">
        <f>+DB2683*25000</f>
        <v>0</v>
      </c>
      <c r="DD2683" s="219"/>
      <c r="DE2683" s="219"/>
      <c r="DF2683" s="166"/>
      <c r="DG2683" s="116"/>
      <c r="DH2683" s="117"/>
      <c r="DI2683" s="24"/>
      <c r="DJ2683" s="24"/>
      <c r="DK2683" s="24"/>
      <c r="DL2683" s="24"/>
      <c r="DM2683" s="24"/>
      <c r="DN2683" s="24"/>
      <c r="DO2683" s="24"/>
      <c r="DP2683" s="24"/>
      <c r="DQ2683" s="24"/>
      <c r="DR2683" s="24"/>
      <c r="DS2683" s="24"/>
      <c r="DT2683" s="24"/>
      <c r="DU2683" s="24"/>
    </row>
    <row r="2684" spans="1:125" s="8" customFormat="1" ht="48" x14ac:dyDescent="0.2">
      <c r="A2684" s="353">
        <v>41496</v>
      </c>
      <c r="B2684" s="352" t="s">
        <v>2848</v>
      </c>
      <c r="C2684" s="354" t="s">
        <v>2035</v>
      </c>
      <c r="D2684" s="354" t="s">
        <v>2846</v>
      </c>
      <c r="E2684" s="353" t="str">
        <f>VLOOKUP(B2684&amp;C2684,Divipola!$C$2:$F$1138,4,FALSE)</f>
        <v>73148</v>
      </c>
      <c r="F2684" s="87"/>
      <c r="G2684" s="87"/>
      <c r="H2684" s="87"/>
      <c r="I2684" s="87"/>
      <c r="J2684" s="87"/>
      <c r="K2684" s="87"/>
      <c r="L2684" s="87"/>
      <c r="M2684" s="87"/>
      <c r="N2684" s="87"/>
      <c r="O2684" s="87"/>
      <c r="P2684" s="87"/>
      <c r="Q2684" s="87"/>
      <c r="R2684" s="87"/>
      <c r="S2684" s="87"/>
      <c r="T2684" s="87"/>
      <c r="U2684" s="88">
        <v>3</v>
      </c>
      <c r="V2684" s="89"/>
      <c r="W2684" s="96">
        <v>0</v>
      </c>
      <c r="X2684" s="71">
        <f>CU2684</f>
        <v>0</v>
      </c>
      <c r="Y2684" s="71">
        <f>CY2684</f>
        <v>0</v>
      </c>
      <c r="Z2684" s="71">
        <f>DA2684+DC2684+DE2684</f>
        <v>0</v>
      </c>
      <c r="AA2684" s="71">
        <f>CW2684</f>
        <v>0</v>
      </c>
      <c r="AB2684" s="71"/>
      <c r="AC2684" s="71">
        <v>0</v>
      </c>
      <c r="AD2684" s="71">
        <f>W2684+X2684+Y2684+Z2684+AA2684+AB2684+AC2684</f>
        <v>0</v>
      </c>
      <c r="AE2684" s="72">
        <v>0</v>
      </c>
      <c r="AF2684" s="5"/>
      <c r="AG2684" s="6"/>
      <c r="AH2684" s="27"/>
      <c r="AI2684" s="44"/>
      <c r="AJ2684" s="26"/>
      <c r="AK2684" s="5"/>
      <c r="AL2684" s="82" t="s">
        <v>5576</v>
      </c>
      <c r="AM2684" s="76"/>
      <c r="AN2684" s="76"/>
      <c r="AO2684" s="76"/>
      <c r="AP2684" s="76"/>
      <c r="AQ2684" s="76"/>
      <c r="AR2684" s="76"/>
      <c r="AS2684" s="76"/>
      <c r="AT2684" s="76"/>
      <c r="AU2684" s="76"/>
      <c r="AV2684" s="76"/>
      <c r="AW2684" s="76"/>
      <c r="AX2684" s="76">
        <f>+AW2684*600000</f>
        <v>0</v>
      </c>
      <c r="AY2684" s="76"/>
      <c r="AZ2684" s="76">
        <f>+AY2684*70000</f>
        <v>0</v>
      </c>
      <c r="BA2684" s="76"/>
      <c r="BB2684" s="76"/>
      <c r="BC2684" s="76"/>
      <c r="BD2684" s="76">
        <f>+BC2684*30000</f>
        <v>0</v>
      </c>
      <c r="BE2684" s="76"/>
      <c r="BF2684" s="76"/>
      <c r="BG2684" s="76"/>
      <c r="BH2684" s="76"/>
      <c r="BI2684" s="76"/>
      <c r="BJ2684" s="76"/>
      <c r="BK2684" s="76"/>
      <c r="BL2684" s="76">
        <f>+BK2684*31500</f>
        <v>0</v>
      </c>
      <c r="BM2684" s="76"/>
      <c r="BN2684" s="76"/>
      <c r="BO2684" s="76"/>
      <c r="BP2684" s="76"/>
      <c r="BQ2684" s="76"/>
      <c r="BR2684" s="76"/>
      <c r="BS2684" s="76"/>
      <c r="BT2684" s="76"/>
      <c r="BU2684" s="76"/>
      <c r="BV2684" s="76"/>
      <c r="BW2684" s="76"/>
      <c r="BX2684" s="76"/>
      <c r="BY2684" s="76"/>
      <c r="BZ2684" s="76"/>
      <c r="CA2684" s="76"/>
      <c r="CB2684" s="76"/>
      <c r="CC2684" s="76"/>
      <c r="CD2684" s="76"/>
      <c r="CE2684" s="76"/>
      <c r="CF2684" s="76">
        <f>+CE2684*28000</f>
        <v>0</v>
      </c>
      <c r="CG2684" s="76"/>
      <c r="CH2684" s="76">
        <f>+CG2684*22500</f>
        <v>0</v>
      </c>
      <c r="CI2684" s="76"/>
      <c r="CJ2684" s="76">
        <f>+CI2684*26000</f>
        <v>0</v>
      </c>
      <c r="CK2684" s="76"/>
      <c r="CL2684" s="76"/>
      <c r="CM2684" s="76"/>
      <c r="CN2684" s="76">
        <f>+CM2684*22000</f>
        <v>0</v>
      </c>
      <c r="CO2684" s="76"/>
      <c r="CP2684" s="76">
        <f>+CO2684*46000</f>
        <v>0</v>
      </c>
      <c r="CQ2684" s="76"/>
      <c r="CR2684" s="76">
        <f>+CQ2684*49000</f>
        <v>0</v>
      </c>
      <c r="CS2684" s="76"/>
      <c r="CT2684" s="76"/>
      <c r="CU2684" s="56">
        <f>AN2684+AP2684+AR2684+AT2684+AV2684+AX2684+AZ2684+BB2684+BD2684+BF2684+BH2684+BJ2684+BL2684+BN2684+BP2684+BR2684+BT2684+BV2684+BX2684+BZ2684+CB2684+CD2684+CF2684+CH2684+CJ2684+CL2684+CN2684+CP2684+CR2684+CT2684</f>
        <v>0</v>
      </c>
      <c r="CV2684" s="76"/>
      <c r="CW2684" s="76">
        <f>+CV2684*1100</f>
        <v>0</v>
      </c>
      <c r="CX2684" s="76"/>
      <c r="CY2684" s="76">
        <f>+CX2684*106250</f>
        <v>0</v>
      </c>
      <c r="CZ2684" s="76"/>
      <c r="DA2684" s="76">
        <f>+CZ2684*34500</f>
        <v>0</v>
      </c>
      <c r="DB2684" s="76"/>
      <c r="DC2684" s="76">
        <f>+DB2684*25000</f>
        <v>0</v>
      </c>
      <c r="DD2684" s="219"/>
      <c r="DE2684" s="219"/>
      <c r="DF2684" s="166"/>
      <c r="DG2684" s="116"/>
      <c r="DH2684" s="117"/>
      <c r="DI2684" s="24"/>
      <c r="DJ2684" s="24"/>
      <c r="DK2684" s="24"/>
      <c r="DL2684" s="24"/>
      <c r="DM2684" s="24"/>
      <c r="DN2684" s="24"/>
      <c r="DO2684" s="24"/>
      <c r="DP2684" s="24"/>
      <c r="DQ2684" s="24"/>
      <c r="DR2684" s="24"/>
      <c r="DS2684" s="24"/>
      <c r="DT2684" s="24"/>
      <c r="DU2684" s="24"/>
    </row>
    <row r="2685" spans="1:125" s="8" customFormat="1" ht="72" x14ac:dyDescent="0.2">
      <c r="A2685" s="353">
        <v>41497</v>
      </c>
      <c r="B2685" s="352" t="s">
        <v>2852</v>
      </c>
      <c r="C2685" s="354" t="s">
        <v>1327</v>
      </c>
      <c r="D2685" s="354" t="s">
        <v>3051</v>
      </c>
      <c r="E2685" s="353" t="str">
        <f>VLOOKUP(B2685&amp;C2685,Divipola!$C$2:$F$1138,4,FALSE)</f>
        <v>27001</v>
      </c>
      <c r="F2685" s="87"/>
      <c r="G2685" s="87"/>
      <c r="H2685" s="87"/>
      <c r="I2685" s="87">
        <v>34</v>
      </c>
      <c r="J2685" s="87">
        <v>8</v>
      </c>
      <c r="K2685" s="87">
        <v>1</v>
      </c>
      <c r="L2685" s="87">
        <v>7</v>
      </c>
      <c r="M2685" s="87"/>
      <c r="N2685" s="87"/>
      <c r="O2685" s="87"/>
      <c r="P2685" s="87"/>
      <c r="Q2685" s="87"/>
      <c r="R2685" s="87"/>
      <c r="S2685" s="87"/>
      <c r="T2685" s="87"/>
      <c r="U2685" s="88"/>
      <c r="V2685" s="89"/>
      <c r="W2685" s="96">
        <v>0</v>
      </c>
      <c r="X2685" s="71">
        <f>CU2685</f>
        <v>0</v>
      </c>
      <c r="Y2685" s="71">
        <f>CY2685</f>
        <v>0</v>
      </c>
      <c r="Z2685" s="71">
        <f>DA2685+DC2685+DE2685</f>
        <v>0</v>
      </c>
      <c r="AA2685" s="71">
        <f>CW2685</f>
        <v>0</v>
      </c>
      <c r="AB2685" s="71"/>
      <c r="AC2685" s="71">
        <v>0</v>
      </c>
      <c r="AD2685" s="71">
        <f>W2685+X2685+Y2685+Z2685+AA2685+AB2685+AC2685</f>
        <v>0</v>
      </c>
      <c r="AE2685" s="72">
        <v>0</v>
      </c>
      <c r="AF2685" s="5"/>
      <c r="AG2685" s="6"/>
      <c r="AH2685" s="27"/>
      <c r="AI2685" s="44"/>
      <c r="AJ2685" s="26"/>
      <c r="AK2685" s="5"/>
      <c r="AL2685" s="82" t="s">
        <v>5607</v>
      </c>
      <c r="AM2685" s="76"/>
      <c r="AN2685" s="76"/>
      <c r="AO2685" s="76"/>
      <c r="AP2685" s="76"/>
      <c r="AQ2685" s="76"/>
      <c r="AR2685" s="76"/>
      <c r="AS2685" s="76"/>
      <c r="AT2685" s="76"/>
      <c r="AU2685" s="76"/>
      <c r="AV2685" s="76"/>
      <c r="AW2685" s="76"/>
      <c r="AX2685" s="76">
        <f>+AW2685*600000</f>
        <v>0</v>
      </c>
      <c r="AY2685" s="76"/>
      <c r="AZ2685" s="76">
        <f>+AY2685*70000</f>
        <v>0</v>
      </c>
      <c r="BA2685" s="76"/>
      <c r="BB2685" s="76"/>
      <c r="BC2685" s="76"/>
      <c r="BD2685" s="76">
        <f>+BC2685*30000</f>
        <v>0</v>
      </c>
      <c r="BE2685" s="76"/>
      <c r="BF2685" s="76"/>
      <c r="BG2685" s="76"/>
      <c r="BH2685" s="76"/>
      <c r="BI2685" s="76"/>
      <c r="BJ2685" s="76"/>
      <c r="BK2685" s="76"/>
      <c r="BL2685" s="76">
        <f>+BK2685*31500</f>
        <v>0</v>
      </c>
      <c r="BM2685" s="76"/>
      <c r="BN2685" s="76"/>
      <c r="BO2685" s="76"/>
      <c r="BP2685" s="76"/>
      <c r="BQ2685" s="76"/>
      <c r="BR2685" s="76"/>
      <c r="BS2685" s="76"/>
      <c r="BT2685" s="76"/>
      <c r="BU2685" s="76"/>
      <c r="BV2685" s="76"/>
      <c r="BW2685" s="76"/>
      <c r="BX2685" s="76"/>
      <c r="BY2685" s="76"/>
      <c r="BZ2685" s="76"/>
      <c r="CA2685" s="76"/>
      <c r="CB2685" s="76"/>
      <c r="CC2685" s="76"/>
      <c r="CD2685" s="76"/>
      <c r="CE2685" s="76"/>
      <c r="CF2685" s="76">
        <f>+CE2685*28000</f>
        <v>0</v>
      </c>
      <c r="CG2685" s="76"/>
      <c r="CH2685" s="76">
        <f>+CG2685*22500</f>
        <v>0</v>
      </c>
      <c r="CI2685" s="76"/>
      <c r="CJ2685" s="76">
        <f>+CI2685*26000</f>
        <v>0</v>
      </c>
      <c r="CK2685" s="76"/>
      <c r="CL2685" s="76"/>
      <c r="CM2685" s="76"/>
      <c r="CN2685" s="76">
        <f>+CM2685*22000</f>
        <v>0</v>
      </c>
      <c r="CO2685" s="76"/>
      <c r="CP2685" s="76">
        <f>+CO2685*46000</f>
        <v>0</v>
      </c>
      <c r="CQ2685" s="76"/>
      <c r="CR2685" s="76">
        <f>+CQ2685*49000</f>
        <v>0</v>
      </c>
      <c r="CS2685" s="76"/>
      <c r="CT2685" s="76"/>
      <c r="CU2685" s="56">
        <f>AN2685+AP2685+AR2685+AT2685+AV2685+AX2685+AZ2685+BB2685+BD2685+BF2685+BH2685+BJ2685+BL2685+BN2685+BP2685+BR2685+BT2685+BV2685+BX2685+BZ2685+CB2685+CD2685+CF2685+CH2685+CJ2685+CL2685+CN2685+CP2685+CR2685+CT2685</f>
        <v>0</v>
      </c>
      <c r="CV2685" s="76"/>
      <c r="CW2685" s="76">
        <f>+CV2685*1100</f>
        <v>0</v>
      </c>
      <c r="CX2685" s="76"/>
      <c r="CY2685" s="76">
        <f>+CX2685*106250</f>
        <v>0</v>
      </c>
      <c r="CZ2685" s="76"/>
      <c r="DA2685" s="76">
        <f>+CZ2685*34500</f>
        <v>0</v>
      </c>
      <c r="DB2685" s="76"/>
      <c r="DC2685" s="76">
        <f>+DB2685*25000</f>
        <v>0</v>
      </c>
      <c r="DD2685" s="219"/>
      <c r="DE2685" s="219"/>
      <c r="DF2685" s="166"/>
      <c r="DG2685" s="116"/>
      <c r="DH2685" s="117"/>
      <c r="DI2685" s="24"/>
      <c r="DJ2685" s="24"/>
      <c r="DK2685" s="24"/>
      <c r="DL2685" s="24"/>
      <c r="DM2685" s="24"/>
      <c r="DN2685" s="24"/>
      <c r="DO2685" s="24"/>
      <c r="DP2685" s="24"/>
      <c r="DQ2685" s="24"/>
      <c r="DR2685" s="24"/>
      <c r="DS2685" s="24"/>
      <c r="DT2685" s="24"/>
      <c r="DU2685" s="24"/>
    </row>
    <row r="2686" spans="1:125" s="8" customFormat="1" ht="48" x14ac:dyDescent="0.2">
      <c r="A2686" s="77">
        <v>41497</v>
      </c>
      <c r="B2686" s="225" t="s">
        <v>506</v>
      </c>
      <c r="C2686" s="227" t="s">
        <v>1296</v>
      </c>
      <c r="D2686" s="354" t="s">
        <v>3051</v>
      </c>
      <c r="E2686" s="353" t="str">
        <f>VLOOKUP(B2686&amp;C2686,Divipola!$C$2:$F$1138,4,FALSE)</f>
        <v>50226</v>
      </c>
      <c r="F2686" s="87"/>
      <c r="G2686" s="87"/>
      <c r="H2686" s="87"/>
      <c r="I2686" s="87"/>
      <c r="J2686" s="87"/>
      <c r="K2686" s="87"/>
      <c r="L2686" s="87"/>
      <c r="M2686" s="87"/>
      <c r="N2686" s="87"/>
      <c r="O2686" s="87"/>
      <c r="P2686" s="87"/>
      <c r="Q2686" s="87"/>
      <c r="R2686" s="87"/>
      <c r="S2686" s="87"/>
      <c r="T2686" s="87"/>
      <c r="U2686" s="88"/>
      <c r="V2686" s="89"/>
      <c r="W2686" s="96">
        <v>0</v>
      </c>
      <c r="X2686" s="71">
        <f>CU2686</f>
        <v>79751097.359999999</v>
      </c>
      <c r="Y2686" s="71">
        <f>CY2686</f>
        <v>22189288.800000001</v>
      </c>
      <c r="Z2686" s="71">
        <f>DA2686+DC2686+DE2686</f>
        <v>0</v>
      </c>
      <c r="AA2686" s="71">
        <f>CW2686</f>
        <v>0</v>
      </c>
      <c r="AB2686" s="71"/>
      <c r="AC2686" s="71">
        <v>0</v>
      </c>
      <c r="AD2686" s="71">
        <f>W2686+X2686+Y2686+Z2686+AA2686+AB2686+AC2686</f>
        <v>101940386.16</v>
      </c>
      <c r="AE2686" s="72">
        <v>0</v>
      </c>
      <c r="AF2686" s="5"/>
      <c r="AG2686" s="6"/>
      <c r="AH2686" s="27"/>
      <c r="AI2686" s="44"/>
      <c r="AJ2686" s="26"/>
      <c r="AK2686" s="5"/>
      <c r="AL2686" s="82" t="s">
        <v>5582</v>
      </c>
      <c r="AM2686" s="76"/>
      <c r="AN2686" s="76"/>
      <c r="AO2686" s="76"/>
      <c r="AP2686" s="76"/>
      <c r="AQ2686" s="76"/>
      <c r="AR2686" s="76"/>
      <c r="AS2686" s="76"/>
      <c r="AT2686" s="76"/>
      <c r="AU2686" s="76"/>
      <c r="AV2686" s="76"/>
      <c r="AW2686" s="76"/>
      <c r="AX2686" s="76">
        <f>+AW2686*600000</f>
        <v>0</v>
      </c>
      <c r="AY2686" s="86">
        <v>408</v>
      </c>
      <c r="AZ2686" s="86">
        <f>+AY2686*70000.2</f>
        <v>28560081.599999998</v>
      </c>
      <c r="BA2686" s="76"/>
      <c r="BB2686" s="76"/>
      <c r="BC2686" s="76"/>
      <c r="BD2686" s="76">
        <f>+BC2686*30000</f>
        <v>0</v>
      </c>
      <c r="BE2686" s="76"/>
      <c r="BF2686" s="76"/>
      <c r="BG2686" s="76"/>
      <c r="BH2686" s="76"/>
      <c r="BI2686" s="76"/>
      <c r="BJ2686" s="76"/>
      <c r="BK2686" s="76"/>
      <c r="BL2686" s="76">
        <f>+BK2686*31500</f>
        <v>0</v>
      </c>
      <c r="BM2686" s="76"/>
      <c r="BN2686" s="76"/>
      <c r="BO2686" s="76"/>
      <c r="BP2686" s="76"/>
      <c r="BQ2686" s="76"/>
      <c r="BR2686" s="76"/>
      <c r="BS2686" s="76"/>
      <c r="BT2686" s="76"/>
      <c r="BU2686" s="76"/>
      <c r="BV2686" s="76"/>
      <c r="BW2686" s="76"/>
      <c r="BX2686" s="76"/>
      <c r="BY2686" s="76"/>
      <c r="BZ2686" s="76"/>
      <c r="CA2686" s="76"/>
      <c r="CB2686" s="76"/>
      <c r="CC2686" s="76"/>
      <c r="CD2686" s="76"/>
      <c r="CE2686" s="76"/>
      <c r="CF2686" s="76">
        <f>+CE2686*28000</f>
        <v>0</v>
      </c>
      <c r="CG2686" s="76"/>
      <c r="CH2686" s="76">
        <f>+CG2686*22500</f>
        <v>0</v>
      </c>
      <c r="CI2686" s="86">
        <v>816</v>
      </c>
      <c r="CJ2686" s="86">
        <f>+CI2686*25999.08</f>
        <v>21215249.280000001</v>
      </c>
      <c r="CK2686" s="76"/>
      <c r="CL2686" s="76"/>
      <c r="CM2686" s="86">
        <v>408</v>
      </c>
      <c r="CN2686" s="86">
        <f>+CM2686*22000.56</f>
        <v>8976228.4800000004</v>
      </c>
      <c r="CO2686" s="86">
        <v>210</v>
      </c>
      <c r="CP2686" s="86">
        <f>+CO2686*45999.8</f>
        <v>9659958</v>
      </c>
      <c r="CQ2686" s="86">
        <v>210</v>
      </c>
      <c r="CR2686" s="86">
        <f>+CQ2686*53998</f>
        <v>11339580</v>
      </c>
      <c r="CS2686" s="76"/>
      <c r="CT2686" s="76"/>
      <c r="CU2686" s="56">
        <f>AN2686+AP2686+AR2686+AT2686+AV2686+AX2686+AZ2686+BB2686+BD2686+BF2686+BH2686+BJ2686+BL2686+BN2686+BP2686+BR2686+BT2686+BV2686+BX2686+BZ2686+CB2686+CD2686+CF2686+CH2686+CJ2686+CL2686+CN2686+CP2686+CR2686+CT2686</f>
        <v>79751097.359999999</v>
      </c>
      <c r="CV2686" s="76"/>
      <c r="CW2686" s="76">
        <f>+CV2686*1100</f>
        <v>0</v>
      </c>
      <c r="CX2686" s="86">
        <v>210</v>
      </c>
      <c r="CY2686" s="86">
        <f>+CX2686*105663.28</f>
        <v>22189288.800000001</v>
      </c>
      <c r="CZ2686" s="76"/>
      <c r="DA2686" s="76">
        <f>+CZ2686*34500</f>
        <v>0</v>
      </c>
      <c r="DB2686" s="76"/>
      <c r="DC2686" s="76">
        <f>+DB2686*25000</f>
        <v>0</v>
      </c>
      <c r="DD2686" s="219"/>
      <c r="DE2686" s="219"/>
      <c r="DF2686" s="166"/>
      <c r="DG2686" s="134" t="s">
        <v>6129</v>
      </c>
      <c r="DH2686" s="117"/>
      <c r="DI2686" s="24"/>
      <c r="DJ2686" s="24"/>
      <c r="DK2686" s="24"/>
      <c r="DL2686" s="24"/>
      <c r="DM2686" s="24"/>
      <c r="DN2686" s="24"/>
      <c r="DO2686" s="24"/>
      <c r="DP2686" s="24"/>
      <c r="DQ2686" s="24"/>
      <c r="DR2686" s="24"/>
      <c r="DS2686" s="24"/>
      <c r="DT2686" s="24"/>
      <c r="DU2686" s="24"/>
    </row>
    <row r="2687" spans="1:125" s="8" customFormat="1" ht="48" x14ac:dyDescent="0.2">
      <c r="A2687" s="353">
        <v>41497</v>
      </c>
      <c r="B2687" s="352" t="s">
        <v>2880</v>
      </c>
      <c r="C2687" s="354" t="s">
        <v>2677</v>
      </c>
      <c r="D2687" s="354" t="s">
        <v>2882</v>
      </c>
      <c r="E2687" s="353" t="str">
        <f>VLOOKUP(B2687&amp;C2687,Divipola!$C$2:$F$1138,4,FALSE)</f>
        <v>54109</v>
      </c>
      <c r="F2687" s="87"/>
      <c r="G2687" s="87"/>
      <c r="H2687" s="87"/>
      <c r="I2687" s="87"/>
      <c r="J2687" s="87"/>
      <c r="K2687" s="87"/>
      <c r="L2687" s="87"/>
      <c r="M2687" s="87"/>
      <c r="N2687" s="87"/>
      <c r="O2687" s="87"/>
      <c r="P2687" s="87"/>
      <c r="Q2687" s="87"/>
      <c r="R2687" s="87"/>
      <c r="S2687" s="87">
        <v>4</v>
      </c>
      <c r="T2687" s="87"/>
      <c r="U2687" s="88"/>
      <c r="V2687" s="89"/>
      <c r="W2687" s="96">
        <v>0</v>
      </c>
      <c r="X2687" s="71">
        <f>CU2687</f>
        <v>0</v>
      </c>
      <c r="Y2687" s="71">
        <f>CY2687</f>
        <v>0</v>
      </c>
      <c r="Z2687" s="71">
        <f>DA2687+DC2687+DE2687</f>
        <v>0</v>
      </c>
      <c r="AA2687" s="71">
        <f>CW2687</f>
        <v>0</v>
      </c>
      <c r="AB2687" s="71"/>
      <c r="AC2687" s="71">
        <v>0</v>
      </c>
      <c r="AD2687" s="71">
        <f>W2687+X2687+Y2687+Z2687+AA2687+AB2687+AC2687</f>
        <v>0</v>
      </c>
      <c r="AE2687" s="72">
        <v>0</v>
      </c>
      <c r="AF2687" s="5"/>
      <c r="AG2687" s="6"/>
      <c r="AH2687" s="27"/>
      <c r="AI2687" s="44"/>
      <c r="AJ2687" s="26"/>
      <c r="AK2687" s="5"/>
      <c r="AL2687" s="82" t="s">
        <v>5628</v>
      </c>
      <c r="AM2687" s="76"/>
      <c r="AN2687" s="76"/>
      <c r="AO2687" s="76"/>
      <c r="AP2687" s="76"/>
      <c r="AQ2687" s="76"/>
      <c r="AR2687" s="76"/>
      <c r="AS2687" s="76"/>
      <c r="AT2687" s="76"/>
      <c r="AU2687" s="76"/>
      <c r="AV2687" s="76"/>
      <c r="AW2687" s="76"/>
      <c r="AX2687" s="76">
        <f>+AW2687*600000</f>
        <v>0</v>
      </c>
      <c r="AY2687" s="76"/>
      <c r="AZ2687" s="76">
        <f>+AY2687*70000</f>
        <v>0</v>
      </c>
      <c r="BA2687" s="76"/>
      <c r="BB2687" s="76"/>
      <c r="BC2687" s="76"/>
      <c r="BD2687" s="76">
        <f>+BC2687*30000</f>
        <v>0</v>
      </c>
      <c r="BE2687" s="76"/>
      <c r="BF2687" s="76"/>
      <c r="BG2687" s="76"/>
      <c r="BH2687" s="76"/>
      <c r="BI2687" s="76"/>
      <c r="BJ2687" s="76"/>
      <c r="BK2687" s="76"/>
      <c r="BL2687" s="76">
        <f>+BK2687*31500</f>
        <v>0</v>
      </c>
      <c r="BM2687" s="76"/>
      <c r="BN2687" s="76"/>
      <c r="BO2687" s="76"/>
      <c r="BP2687" s="76"/>
      <c r="BQ2687" s="76"/>
      <c r="BR2687" s="76"/>
      <c r="BS2687" s="76"/>
      <c r="BT2687" s="76"/>
      <c r="BU2687" s="76"/>
      <c r="BV2687" s="76"/>
      <c r="BW2687" s="76"/>
      <c r="BX2687" s="76"/>
      <c r="BY2687" s="76"/>
      <c r="BZ2687" s="76"/>
      <c r="CA2687" s="76"/>
      <c r="CB2687" s="76"/>
      <c r="CC2687" s="76"/>
      <c r="CD2687" s="76"/>
      <c r="CE2687" s="76"/>
      <c r="CF2687" s="76">
        <f>+CE2687*28000</f>
        <v>0</v>
      </c>
      <c r="CG2687" s="76"/>
      <c r="CH2687" s="76">
        <f>+CG2687*22500</f>
        <v>0</v>
      </c>
      <c r="CI2687" s="76"/>
      <c r="CJ2687" s="76">
        <f>+CI2687*26000</f>
        <v>0</v>
      </c>
      <c r="CK2687" s="76"/>
      <c r="CL2687" s="76"/>
      <c r="CM2687" s="76"/>
      <c r="CN2687" s="76">
        <f>+CM2687*22000</f>
        <v>0</v>
      </c>
      <c r="CO2687" s="76"/>
      <c r="CP2687" s="76">
        <f>+CO2687*46000</f>
        <v>0</v>
      </c>
      <c r="CQ2687" s="76"/>
      <c r="CR2687" s="76">
        <f>+CQ2687*49000</f>
        <v>0</v>
      </c>
      <c r="CS2687" s="76"/>
      <c r="CT2687" s="76"/>
      <c r="CU2687" s="56">
        <f>AN2687+AP2687+AR2687+AT2687+AV2687+AX2687+AZ2687+BB2687+BD2687+BF2687+BH2687+BJ2687+BL2687+BN2687+BP2687+BR2687+BT2687+BV2687+BX2687+BZ2687+CB2687+CD2687+CF2687+CH2687+CJ2687+CL2687+CN2687+CP2687+CR2687+CT2687</f>
        <v>0</v>
      </c>
      <c r="CV2687" s="76"/>
      <c r="CW2687" s="76">
        <f>+CV2687*1100</f>
        <v>0</v>
      </c>
      <c r="CX2687" s="76"/>
      <c r="CY2687" s="76">
        <f>+CX2687*106250</f>
        <v>0</v>
      </c>
      <c r="CZ2687" s="76"/>
      <c r="DA2687" s="76">
        <f>+CZ2687*34500</f>
        <v>0</v>
      </c>
      <c r="DB2687" s="76"/>
      <c r="DC2687" s="76">
        <f>+DB2687*25000</f>
        <v>0</v>
      </c>
      <c r="DD2687" s="219"/>
      <c r="DE2687" s="219"/>
      <c r="DF2687" s="166"/>
      <c r="DG2687" s="116"/>
      <c r="DH2687" s="117"/>
      <c r="DI2687" s="24"/>
      <c r="DJ2687" s="24"/>
      <c r="DK2687" s="24"/>
      <c r="DL2687" s="24"/>
      <c r="DM2687" s="24"/>
      <c r="DN2687" s="24"/>
      <c r="DO2687" s="24"/>
      <c r="DP2687" s="24"/>
      <c r="DQ2687" s="24"/>
      <c r="DR2687" s="24"/>
      <c r="DS2687" s="24"/>
      <c r="DT2687" s="24"/>
      <c r="DU2687" s="24"/>
    </row>
    <row r="2688" spans="1:125" s="8" customFormat="1" ht="60" x14ac:dyDescent="0.2">
      <c r="A2688" s="77">
        <v>41497</v>
      </c>
      <c r="B2688" s="352" t="s">
        <v>1326</v>
      </c>
      <c r="C2688" s="354" t="s">
        <v>1798</v>
      </c>
      <c r="D2688" s="354" t="s">
        <v>3051</v>
      </c>
      <c r="E2688" s="353" t="str">
        <f>VLOOKUP(B2688&amp;C2688,Divipola!$C$2:$F$1138,4,FALSE)</f>
        <v>70001</v>
      </c>
      <c r="F2688" s="87"/>
      <c r="G2688" s="87"/>
      <c r="H2688" s="87"/>
      <c r="I2688" s="87">
        <v>125</v>
      </c>
      <c r="J2688" s="87">
        <v>25</v>
      </c>
      <c r="K2688" s="87"/>
      <c r="L2688" s="87">
        <v>25</v>
      </c>
      <c r="M2688" s="87"/>
      <c r="N2688" s="87"/>
      <c r="O2688" s="87"/>
      <c r="P2688" s="87"/>
      <c r="Q2688" s="87"/>
      <c r="R2688" s="87"/>
      <c r="S2688" s="87"/>
      <c r="T2688" s="87"/>
      <c r="U2688" s="88"/>
      <c r="V2688" s="89"/>
      <c r="W2688" s="96">
        <v>0</v>
      </c>
      <c r="X2688" s="71">
        <f>CU2688</f>
        <v>0</v>
      </c>
      <c r="Y2688" s="71">
        <f>CY2688</f>
        <v>0</v>
      </c>
      <c r="Z2688" s="71">
        <f>DA2688+DC2688+DE2688</f>
        <v>0</v>
      </c>
      <c r="AA2688" s="71">
        <f>CW2688</f>
        <v>0</v>
      </c>
      <c r="AB2688" s="71"/>
      <c r="AC2688" s="71">
        <v>0</v>
      </c>
      <c r="AD2688" s="71">
        <f>W2688+X2688+Y2688+Z2688+AA2688+AB2688+AC2688</f>
        <v>0</v>
      </c>
      <c r="AE2688" s="72">
        <v>0</v>
      </c>
      <c r="AF2688" s="5"/>
      <c r="AG2688" s="6"/>
      <c r="AH2688" s="27"/>
      <c r="AI2688" s="44"/>
      <c r="AJ2688" s="26"/>
      <c r="AK2688" s="5"/>
      <c r="AL2688" s="82" t="s">
        <v>5581</v>
      </c>
      <c r="AM2688" s="76"/>
      <c r="AN2688" s="76"/>
      <c r="AO2688" s="76"/>
      <c r="AP2688" s="76"/>
      <c r="AQ2688" s="76"/>
      <c r="AR2688" s="76"/>
      <c r="AS2688" s="76"/>
      <c r="AT2688" s="76"/>
      <c r="AU2688" s="76"/>
      <c r="AV2688" s="76"/>
      <c r="AW2688" s="76"/>
      <c r="AX2688" s="76">
        <f>+AW2688*600000</f>
        <v>0</v>
      </c>
      <c r="AY2688" s="76"/>
      <c r="AZ2688" s="76">
        <f>+AY2688*70000</f>
        <v>0</v>
      </c>
      <c r="BA2688" s="76"/>
      <c r="BB2688" s="76"/>
      <c r="BC2688" s="76"/>
      <c r="BD2688" s="76">
        <f>+BC2688*30000</f>
        <v>0</v>
      </c>
      <c r="BE2688" s="76"/>
      <c r="BF2688" s="76"/>
      <c r="BG2688" s="76"/>
      <c r="BH2688" s="76"/>
      <c r="BI2688" s="76"/>
      <c r="BJ2688" s="76"/>
      <c r="BK2688" s="76"/>
      <c r="BL2688" s="76">
        <f>+BK2688*31500</f>
        <v>0</v>
      </c>
      <c r="BM2688" s="76"/>
      <c r="BN2688" s="76"/>
      <c r="BO2688" s="76"/>
      <c r="BP2688" s="76"/>
      <c r="BQ2688" s="76"/>
      <c r="BR2688" s="76"/>
      <c r="BS2688" s="76"/>
      <c r="BT2688" s="76"/>
      <c r="BU2688" s="76"/>
      <c r="BV2688" s="76"/>
      <c r="BW2688" s="76"/>
      <c r="BX2688" s="76"/>
      <c r="BY2688" s="76"/>
      <c r="BZ2688" s="76"/>
      <c r="CA2688" s="76"/>
      <c r="CB2688" s="76"/>
      <c r="CC2688" s="76"/>
      <c r="CD2688" s="76"/>
      <c r="CE2688" s="76"/>
      <c r="CF2688" s="76">
        <f>+CE2688*28000</f>
        <v>0</v>
      </c>
      <c r="CG2688" s="76"/>
      <c r="CH2688" s="76">
        <f>+CG2688*22500</f>
        <v>0</v>
      </c>
      <c r="CI2688" s="76"/>
      <c r="CJ2688" s="76">
        <f>+CI2688*26000</f>
        <v>0</v>
      </c>
      <c r="CK2688" s="76"/>
      <c r="CL2688" s="76"/>
      <c r="CM2688" s="76"/>
      <c r="CN2688" s="76">
        <f>+CM2688*22000</f>
        <v>0</v>
      </c>
      <c r="CO2688" s="76"/>
      <c r="CP2688" s="76">
        <f>+CO2688*46000</f>
        <v>0</v>
      </c>
      <c r="CQ2688" s="76"/>
      <c r="CR2688" s="76">
        <f>+CQ2688*49000</f>
        <v>0</v>
      </c>
      <c r="CS2688" s="76"/>
      <c r="CT2688" s="76"/>
      <c r="CU2688" s="56">
        <f>AN2688+AP2688+AR2688+AT2688+AV2688+AX2688+AZ2688+BB2688+BD2688+BF2688+BH2688+BJ2688+BL2688+BN2688+BP2688+BR2688+BT2688+BV2688+BX2688+BZ2688+CB2688+CD2688+CF2688+CH2688+CJ2688+CL2688+CN2688+CP2688+CR2688+CT2688</f>
        <v>0</v>
      </c>
      <c r="CV2688" s="76"/>
      <c r="CW2688" s="76">
        <f>+CV2688*1100</f>
        <v>0</v>
      </c>
      <c r="CX2688" s="76"/>
      <c r="CY2688" s="76">
        <f>+CX2688*106250</f>
        <v>0</v>
      </c>
      <c r="CZ2688" s="76"/>
      <c r="DA2688" s="76">
        <f>+CZ2688*34500</f>
        <v>0</v>
      </c>
      <c r="DB2688" s="76"/>
      <c r="DC2688" s="76">
        <f>+DB2688*25000</f>
        <v>0</v>
      </c>
      <c r="DD2688" s="219"/>
      <c r="DE2688" s="219"/>
      <c r="DF2688" s="166"/>
      <c r="DG2688" s="116"/>
      <c r="DH2688" s="117"/>
      <c r="DI2688" s="24"/>
      <c r="DJ2688" s="24"/>
      <c r="DK2688" s="24"/>
      <c r="DL2688" s="24"/>
      <c r="DM2688" s="24"/>
      <c r="DN2688" s="24"/>
      <c r="DO2688" s="24"/>
      <c r="DP2688" s="24"/>
      <c r="DQ2688" s="24"/>
      <c r="DR2688" s="24"/>
      <c r="DS2688" s="24"/>
      <c r="DT2688" s="24"/>
      <c r="DU2688" s="24"/>
    </row>
    <row r="2689" spans="1:125" s="8" customFormat="1" ht="84" x14ac:dyDescent="0.2">
      <c r="A2689" s="353">
        <v>41498</v>
      </c>
      <c r="B2689" s="352" t="s">
        <v>2894</v>
      </c>
      <c r="C2689" s="354" t="s">
        <v>2820</v>
      </c>
      <c r="D2689" s="354" t="s">
        <v>2849</v>
      </c>
      <c r="E2689" s="353" t="str">
        <f>VLOOKUP(B2689&amp;C2689,Divipola!$C$2:$F$1138,4,FALSE)</f>
        <v>05120</v>
      </c>
      <c r="F2689" s="87">
        <v>7</v>
      </c>
      <c r="G2689" s="87"/>
      <c r="H2689" s="87"/>
      <c r="I2689" s="87"/>
      <c r="J2689" s="87"/>
      <c r="K2689" s="87"/>
      <c r="L2689" s="87"/>
      <c r="M2689" s="87"/>
      <c r="N2689" s="87"/>
      <c r="O2689" s="87"/>
      <c r="P2689" s="87"/>
      <c r="Q2689" s="87"/>
      <c r="R2689" s="87"/>
      <c r="S2689" s="87"/>
      <c r="T2689" s="87"/>
      <c r="U2689" s="88"/>
      <c r="V2689" s="89"/>
      <c r="W2689" s="96">
        <v>0</v>
      </c>
      <c r="X2689" s="71">
        <f>CU2689</f>
        <v>0</v>
      </c>
      <c r="Y2689" s="71">
        <f>CY2689</f>
        <v>0</v>
      </c>
      <c r="Z2689" s="71">
        <f>DA2689+DC2689+DE2689</f>
        <v>0</v>
      </c>
      <c r="AA2689" s="71">
        <f>CW2689</f>
        <v>0</v>
      </c>
      <c r="AB2689" s="71"/>
      <c r="AC2689" s="71">
        <v>0</v>
      </c>
      <c r="AD2689" s="71">
        <f>W2689+X2689+Y2689+Z2689+AA2689+AB2689+AC2689</f>
        <v>0</v>
      </c>
      <c r="AE2689" s="72">
        <v>0</v>
      </c>
      <c r="AF2689" s="5"/>
      <c r="AG2689" s="6"/>
      <c r="AH2689" s="27"/>
      <c r="AI2689" s="44"/>
      <c r="AJ2689" s="26"/>
      <c r="AK2689" s="5"/>
      <c r="AL2689" s="82" t="s">
        <v>5585</v>
      </c>
      <c r="AM2689" s="76"/>
      <c r="AN2689" s="76"/>
      <c r="AO2689" s="76"/>
      <c r="AP2689" s="76"/>
      <c r="AQ2689" s="76"/>
      <c r="AR2689" s="76"/>
      <c r="AS2689" s="76"/>
      <c r="AT2689" s="76"/>
      <c r="AU2689" s="76"/>
      <c r="AV2689" s="76"/>
      <c r="AW2689" s="76"/>
      <c r="AX2689" s="76">
        <f>+AW2689*600000</f>
        <v>0</v>
      </c>
      <c r="AY2689" s="76"/>
      <c r="AZ2689" s="76">
        <f>+AY2689*70000</f>
        <v>0</v>
      </c>
      <c r="BA2689" s="76"/>
      <c r="BB2689" s="76"/>
      <c r="BC2689" s="76"/>
      <c r="BD2689" s="76">
        <f>+BC2689*30000</f>
        <v>0</v>
      </c>
      <c r="BE2689" s="76"/>
      <c r="BF2689" s="76"/>
      <c r="BG2689" s="76"/>
      <c r="BH2689" s="76"/>
      <c r="BI2689" s="76"/>
      <c r="BJ2689" s="76"/>
      <c r="BK2689" s="76"/>
      <c r="BL2689" s="76">
        <f>+BK2689*31500</f>
        <v>0</v>
      </c>
      <c r="BM2689" s="76"/>
      <c r="BN2689" s="76"/>
      <c r="BO2689" s="76"/>
      <c r="BP2689" s="76"/>
      <c r="BQ2689" s="76"/>
      <c r="BR2689" s="76"/>
      <c r="BS2689" s="76"/>
      <c r="BT2689" s="76"/>
      <c r="BU2689" s="76"/>
      <c r="BV2689" s="76"/>
      <c r="BW2689" s="76"/>
      <c r="BX2689" s="76"/>
      <c r="BY2689" s="76"/>
      <c r="BZ2689" s="76"/>
      <c r="CA2689" s="76"/>
      <c r="CB2689" s="76"/>
      <c r="CC2689" s="76"/>
      <c r="CD2689" s="76"/>
      <c r="CE2689" s="76"/>
      <c r="CF2689" s="76">
        <f>+CE2689*28000</f>
        <v>0</v>
      </c>
      <c r="CG2689" s="76"/>
      <c r="CH2689" s="76">
        <f>+CG2689*22500</f>
        <v>0</v>
      </c>
      <c r="CI2689" s="76"/>
      <c r="CJ2689" s="76">
        <f>+CI2689*26000</f>
        <v>0</v>
      </c>
      <c r="CK2689" s="76"/>
      <c r="CL2689" s="76"/>
      <c r="CM2689" s="76"/>
      <c r="CN2689" s="76">
        <f>+CM2689*22000</f>
        <v>0</v>
      </c>
      <c r="CO2689" s="76"/>
      <c r="CP2689" s="76">
        <f>+CO2689*46000</f>
        <v>0</v>
      </c>
      <c r="CQ2689" s="76"/>
      <c r="CR2689" s="76">
        <f>+CQ2689*49000</f>
        <v>0</v>
      </c>
      <c r="CS2689" s="76"/>
      <c r="CT2689" s="76"/>
      <c r="CU2689" s="56">
        <f>AN2689+AP2689+AR2689+AT2689+AV2689+AX2689+AZ2689+BB2689+BD2689+BF2689+BH2689+BJ2689+BL2689+BN2689+BP2689+BR2689+BT2689+BV2689+BX2689+BZ2689+CB2689+CD2689+CF2689+CH2689+CJ2689+CL2689+CN2689+CP2689+CR2689+CT2689</f>
        <v>0</v>
      </c>
      <c r="CV2689" s="76"/>
      <c r="CW2689" s="76">
        <f>+CV2689*1100</f>
        <v>0</v>
      </c>
      <c r="CX2689" s="76"/>
      <c r="CY2689" s="76">
        <f>+CX2689*106250</f>
        <v>0</v>
      </c>
      <c r="CZ2689" s="76"/>
      <c r="DA2689" s="76">
        <f>+CZ2689*34500</f>
        <v>0</v>
      </c>
      <c r="DB2689" s="76"/>
      <c r="DC2689" s="76">
        <f>+DB2689*25000</f>
        <v>0</v>
      </c>
      <c r="DD2689" s="219"/>
      <c r="DE2689" s="219"/>
      <c r="DF2689" s="166"/>
      <c r="DG2689" s="116"/>
      <c r="DH2689" s="117"/>
      <c r="DI2689" s="24"/>
      <c r="DJ2689" s="24"/>
      <c r="DK2689" s="24"/>
      <c r="DL2689" s="24"/>
      <c r="DM2689" s="24"/>
      <c r="DN2689" s="24"/>
      <c r="DO2689" s="24"/>
      <c r="DP2689" s="24"/>
      <c r="DQ2689" s="24"/>
      <c r="DR2689" s="24"/>
      <c r="DS2689" s="24"/>
      <c r="DT2689" s="24"/>
      <c r="DU2689" s="24"/>
    </row>
    <row r="2690" spans="1:125" s="8" customFormat="1" ht="108" x14ac:dyDescent="0.2">
      <c r="A2690" s="353">
        <v>41498</v>
      </c>
      <c r="B2690" s="352" t="s">
        <v>2777</v>
      </c>
      <c r="C2690" s="354" t="s">
        <v>2783</v>
      </c>
      <c r="D2690" s="354" t="s">
        <v>2859</v>
      </c>
      <c r="E2690" s="353" t="str">
        <f>VLOOKUP(B2690&amp;C2690,Divipola!$C$2:$F$1138,4,FALSE)</f>
        <v>13001</v>
      </c>
      <c r="F2690" s="87"/>
      <c r="G2690" s="87"/>
      <c r="H2690" s="87"/>
      <c r="I2690" s="87"/>
      <c r="J2690" s="87"/>
      <c r="K2690" s="87"/>
      <c r="L2690" s="87"/>
      <c r="M2690" s="87"/>
      <c r="N2690" s="87"/>
      <c r="O2690" s="87"/>
      <c r="P2690" s="87"/>
      <c r="Q2690" s="87"/>
      <c r="R2690" s="87"/>
      <c r="S2690" s="87"/>
      <c r="T2690" s="87"/>
      <c r="U2690" s="88"/>
      <c r="V2690" s="89"/>
      <c r="W2690" s="96">
        <v>0</v>
      </c>
      <c r="X2690" s="71">
        <f>CU2690</f>
        <v>0</v>
      </c>
      <c r="Y2690" s="71">
        <f>CY2690</f>
        <v>0</v>
      </c>
      <c r="Z2690" s="71">
        <f>DA2690+DC2690+DE2690</f>
        <v>0</v>
      </c>
      <c r="AA2690" s="71">
        <f>CW2690</f>
        <v>0</v>
      </c>
      <c r="AB2690" s="71"/>
      <c r="AC2690" s="71">
        <v>0</v>
      </c>
      <c r="AD2690" s="71">
        <f>W2690+X2690+Y2690+Z2690+AA2690+AB2690+AC2690</f>
        <v>0</v>
      </c>
      <c r="AE2690" s="72">
        <v>0</v>
      </c>
      <c r="AF2690" s="5"/>
      <c r="AG2690" s="6"/>
      <c r="AH2690" s="27"/>
      <c r="AI2690" s="44"/>
      <c r="AJ2690" s="26"/>
      <c r="AK2690" s="5"/>
      <c r="AL2690" s="82" t="s">
        <v>5592</v>
      </c>
      <c r="AM2690" s="76"/>
      <c r="AN2690" s="76"/>
      <c r="AO2690" s="76"/>
      <c r="AP2690" s="76"/>
      <c r="AQ2690" s="76"/>
      <c r="AR2690" s="76"/>
      <c r="AS2690" s="76"/>
      <c r="AT2690" s="76"/>
      <c r="AU2690" s="76"/>
      <c r="AV2690" s="76"/>
      <c r="AW2690" s="76"/>
      <c r="AX2690" s="76">
        <f>+AW2690*600000</f>
        <v>0</v>
      </c>
      <c r="AY2690" s="76"/>
      <c r="AZ2690" s="76">
        <f>+AY2690*70000</f>
        <v>0</v>
      </c>
      <c r="BA2690" s="76"/>
      <c r="BB2690" s="76"/>
      <c r="BC2690" s="76"/>
      <c r="BD2690" s="76">
        <f>+BC2690*30000</f>
        <v>0</v>
      </c>
      <c r="BE2690" s="76"/>
      <c r="BF2690" s="76"/>
      <c r="BG2690" s="76"/>
      <c r="BH2690" s="76"/>
      <c r="BI2690" s="76"/>
      <c r="BJ2690" s="76"/>
      <c r="BK2690" s="76"/>
      <c r="BL2690" s="76">
        <f>+BK2690*31500</f>
        <v>0</v>
      </c>
      <c r="BM2690" s="76"/>
      <c r="BN2690" s="76"/>
      <c r="BO2690" s="76"/>
      <c r="BP2690" s="76"/>
      <c r="BQ2690" s="76"/>
      <c r="BR2690" s="76"/>
      <c r="BS2690" s="76"/>
      <c r="BT2690" s="76"/>
      <c r="BU2690" s="76"/>
      <c r="BV2690" s="76"/>
      <c r="BW2690" s="76"/>
      <c r="BX2690" s="76"/>
      <c r="BY2690" s="76"/>
      <c r="BZ2690" s="76"/>
      <c r="CA2690" s="76"/>
      <c r="CB2690" s="76"/>
      <c r="CC2690" s="76"/>
      <c r="CD2690" s="76"/>
      <c r="CE2690" s="76"/>
      <c r="CF2690" s="76">
        <f>+CE2690*28000</f>
        <v>0</v>
      </c>
      <c r="CG2690" s="76"/>
      <c r="CH2690" s="76">
        <f>+CG2690*22500</f>
        <v>0</v>
      </c>
      <c r="CI2690" s="76"/>
      <c r="CJ2690" s="76">
        <f>+CI2690*26000</f>
        <v>0</v>
      </c>
      <c r="CK2690" s="76"/>
      <c r="CL2690" s="76"/>
      <c r="CM2690" s="76"/>
      <c r="CN2690" s="76">
        <f>+CM2690*22000</f>
        <v>0</v>
      </c>
      <c r="CO2690" s="76"/>
      <c r="CP2690" s="76">
        <f>+CO2690*46000</f>
        <v>0</v>
      </c>
      <c r="CQ2690" s="76"/>
      <c r="CR2690" s="76">
        <f>+CQ2690*49000</f>
        <v>0</v>
      </c>
      <c r="CS2690" s="76"/>
      <c r="CT2690" s="76"/>
      <c r="CU2690" s="56">
        <f>AN2690+AP2690+AR2690+AT2690+AV2690+AX2690+AZ2690+BB2690+BD2690+BF2690+BH2690+BJ2690+BL2690+BN2690+BP2690+BR2690+BT2690+BV2690+BX2690+BZ2690+CB2690+CD2690+CF2690+CH2690+CJ2690+CL2690+CN2690+CP2690+CR2690+CT2690</f>
        <v>0</v>
      </c>
      <c r="CV2690" s="76"/>
      <c r="CW2690" s="76">
        <f>+CV2690*1100</f>
        <v>0</v>
      </c>
      <c r="CX2690" s="76"/>
      <c r="CY2690" s="76">
        <f>+CX2690*106250</f>
        <v>0</v>
      </c>
      <c r="CZ2690" s="76"/>
      <c r="DA2690" s="76">
        <f>+CZ2690*34500</f>
        <v>0</v>
      </c>
      <c r="DB2690" s="76"/>
      <c r="DC2690" s="76">
        <f>+DB2690*25000</f>
        <v>0</v>
      </c>
      <c r="DD2690" s="219"/>
      <c r="DE2690" s="219"/>
      <c r="DF2690" s="166"/>
      <c r="DG2690" s="116"/>
      <c r="DH2690" s="117"/>
      <c r="DI2690" s="24"/>
      <c r="DJ2690" s="24"/>
      <c r="DK2690" s="24"/>
      <c r="DL2690" s="24"/>
      <c r="DM2690" s="24"/>
      <c r="DN2690" s="24"/>
      <c r="DO2690" s="24"/>
      <c r="DP2690" s="24"/>
      <c r="DQ2690" s="24"/>
      <c r="DR2690" s="24"/>
      <c r="DS2690" s="24"/>
      <c r="DT2690" s="24"/>
      <c r="DU2690" s="24"/>
    </row>
    <row r="2691" spans="1:125" s="8" customFormat="1" ht="96" x14ac:dyDescent="0.2">
      <c r="A2691" s="77">
        <v>41498</v>
      </c>
      <c r="B2691" s="352" t="s">
        <v>2087</v>
      </c>
      <c r="C2691" s="354" t="s">
        <v>2692</v>
      </c>
      <c r="D2691" s="354" t="s">
        <v>3088</v>
      </c>
      <c r="E2691" s="353" t="str">
        <f>VLOOKUP(B2691&amp;C2691,Divipola!$C$2:$F$1138,4,FALSE)</f>
        <v>18001</v>
      </c>
      <c r="F2691" s="87"/>
      <c r="G2691" s="87"/>
      <c r="H2691" s="87"/>
      <c r="I2691" s="87"/>
      <c r="J2691" s="87"/>
      <c r="K2691" s="87"/>
      <c r="L2691" s="87"/>
      <c r="M2691" s="87"/>
      <c r="N2691" s="87"/>
      <c r="O2691" s="87"/>
      <c r="P2691" s="87"/>
      <c r="Q2691" s="87"/>
      <c r="R2691" s="87"/>
      <c r="S2691" s="87"/>
      <c r="T2691" s="87"/>
      <c r="U2691" s="88"/>
      <c r="V2691" s="89"/>
      <c r="W2691" s="96">
        <v>0</v>
      </c>
      <c r="X2691" s="71">
        <f>CU2691</f>
        <v>0</v>
      </c>
      <c r="Y2691" s="71">
        <f>CY2691</f>
        <v>0</v>
      </c>
      <c r="Z2691" s="71">
        <f>DA2691+DC2691+DE2691</f>
        <v>0</v>
      </c>
      <c r="AA2691" s="71">
        <f>CW2691</f>
        <v>0</v>
      </c>
      <c r="AB2691" s="71"/>
      <c r="AC2691" s="71">
        <v>0</v>
      </c>
      <c r="AD2691" s="71">
        <f>W2691+X2691+Y2691+Z2691+AA2691+AB2691+AC2691</f>
        <v>0</v>
      </c>
      <c r="AE2691" s="72">
        <v>0</v>
      </c>
      <c r="AF2691" s="5"/>
      <c r="AG2691" s="6"/>
      <c r="AH2691" s="27"/>
      <c r="AI2691" s="44"/>
      <c r="AJ2691" s="26"/>
      <c r="AK2691" s="5"/>
      <c r="AL2691" s="82" t="s">
        <v>5586</v>
      </c>
      <c r="AM2691" s="76"/>
      <c r="AN2691" s="76"/>
      <c r="AO2691" s="76"/>
      <c r="AP2691" s="76"/>
      <c r="AQ2691" s="76"/>
      <c r="AR2691" s="76"/>
      <c r="AS2691" s="76"/>
      <c r="AT2691" s="76"/>
      <c r="AU2691" s="76"/>
      <c r="AV2691" s="76"/>
      <c r="AW2691" s="76"/>
      <c r="AX2691" s="76">
        <f>+AW2691*600000</f>
        <v>0</v>
      </c>
      <c r="AY2691" s="76"/>
      <c r="AZ2691" s="76">
        <f>+AY2691*70000</f>
        <v>0</v>
      </c>
      <c r="BA2691" s="76"/>
      <c r="BB2691" s="76"/>
      <c r="BC2691" s="76"/>
      <c r="BD2691" s="76">
        <f>+BC2691*30000</f>
        <v>0</v>
      </c>
      <c r="BE2691" s="76"/>
      <c r="BF2691" s="76"/>
      <c r="BG2691" s="76"/>
      <c r="BH2691" s="76"/>
      <c r="BI2691" s="76"/>
      <c r="BJ2691" s="76"/>
      <c r="BK2691" s="76"/>
      <c r="BL2691" s="76">
        <f>+BK2691*31500</f>
        <v>0</v>
      </c>
      <c r="BM2691" s="76"/>
      <c r="BN2691" s="76"/>
      <c r="BO2691" s="76"/>
      <c r="BP2691" s="76"/>
      <c r="BQ2691" s="76"/>
      <c r="BR2691" s="76"/>
      <c r="BS2691" s="76"/>
      <c r="BT2691" s="76"/>
      <c r="BU2691" s="76"/>
      <c r="BV2691" s="76"/>
      <c r="BW2691" s="76"/>
      <c r="BX2691" s="76"/>
      <c r="BY2691" s="76"/>
      <c r="BZ2691" s="76"/>
      <c r="CA2691" s="76"/>
      <c r="CB2691" s="76"/>
      <c r="CC2691" s="76"/>
      <c r="CD2691" s="76"/>
      <c r="CE2691" s="76"/>
      <c r="CF2691" s="76">
        <f>+CE2691*28000</f>
        <v>0</v>
      </c>
      <c r="CG2691" s="76"/>
      <c r="CH2691" s="76">
        <f>+CG2691*22500</f>
        <v>0</v>
      </c>
      <c r="CI2691" s="76"/>
      <c r="CJ2691" s="76">
        <f>+CI2691*26000</f>
        <v>0</v>
      </c>
      <c r="CK2691" s="76"/>
      <c r="CL2691" s="76"/>
      <c r="CM2691" s="76"/>
      <c r="CN2691" s="76">
        <f>+CM2691*22000</f>
        <v>0</v>
      </c>
      <c r="CO2691" s="76"/>
      <c r="CP2691" s="76">
        <f>+CO2691*46000</f>
        <v>0</v>
      </c>
      <c r="CQ2691" s="76"/>
      <c r="CR2691" s="76">
        <f>+CQ2691*49000</f>
        <v>0</v>
      </c>
      <c r="CS2691" s="76"/>
      <c r="CT2691" s="76"/>
      <c r="CU2691" s="56">
        <f>AN2691+AP2691+AR2691+AT2691+AV2691+AX2691+AZ2691+BB2691+BD2691+BF2691+BH2691+BJ2691+BL2691+BN2691+BP2691+BR2691+BT2691+BV2691+BX2691+BZ2691+CB2691+CD2691+CF2691+CH2691+CJ2691+CL2691+CN2691+CP2691+CR2691+CT2691</f>
        <v>0</v>
      </c>
      <c r="CV2691" s="76"/>
      <c r="CW2691" s="76">
        <f>+CV2691*1100</f>
        <v>0</v>
      </c>
      <c r="CX2691" s="76"/>
      <c r="CY2691" s="76">
        <f>+CX2691*106250</f>
        <v>0</v>
      </c>
      <c r="CZ2691" s="76"/>
      <c r="DA2691" s="76">
        <f>+CZ2691*34500</f>
        <v>0</v>
      </c>
      <c r="DB2691" s="76"/>
      <c r="DC2691" s="76">
        <f>+DB2691*25000</f>
        <v>0</v>
      </c>
      <c r="DD2691" s="219"/>
      <c r="DE2691" s="219"/>
      <c r="DF2691" s="166"/>
      <c r="DG2691" s="116"/>
      <c r="DH2691" s="117"/>
      <c r="DI2691" s="24"/>
      <c r="DJ2691" s="24"/>
      <c r="DK2691" s="24"/>
      <c r="DL2691" s="24"/>
      <c r="DM2691" s="24"/>
      <c r="DN2691" s="24"/>
      <c r="DO2691" s="24"/>
      <c r="DP2691" s="24"/>
      <c r="DQ2691" s="24"/>
      <c r="DR2691" s="24"/>
      <c r="DS2691" s="24"/>
      <c r="DT2691" s="24"/>
      <c r="DU2691" s="24"/>
    </row>
    <row r="2692" spans="1:125" s="8" customFormat="1" ht="60" x14ac:dyDescent="0.2">
      <c r="A2692" s="77">
        <v>41498</v>
      </c>
      <c r="B2692" s="78" t="s">
        <v>2778</v>
      </c>
      <c r="C2692" s="75" t="s">
        <v>2212</v>
      </c>
      <c r="D2692" s="75" t="s">
        <v>3051</v>
      </c>
      <c r="E2692" s="353" t="str">
        <f>VLOOKUP(B2692&amp;C2692,Divipola!$C$2:$F$1138,4,FALSE)</f>
        <v>85250</v>
      </c>
      <c r="F2692" s="87"/>
      <c r="G2692" s="87"/>
      <c r="H2692" s="87"/>
      <c r="I2692" s="87">
        <v>70</v>
      </c>
      <c r="J2692" s="87">
        <v>14</v>
      </c>
      <c r="K2692" s="87"/>
      <c r="L2692" s="87">
        <v>14</v>
      </c>
      <c r="M2692" s="87"/>
      <c r="N2692" s="87"/>
      <c r="O2692" s="87"/>
      <c r="P2692" s="87"/>
      <c r="Q2692" s="87"/>
      <c r="R2692" s="87"/>
      <c r="S2692" s="87"/>
      <c r="T2692" s="87"/>
      <c r="U2692" s="88"/>
      <c r="V2692" s="89"/>
      <c r="W2692" s="96">
        <v>0</v>
      </c>
      <c r="X2692" s="71">
        <f>CU2692</f>
        <v>0</v>
      </c>
      <c r="Y2692" s="71">
        <f>CY2692</f>
        <v>0</v>
      </c>
      <c r="Z2692" s="71">
        <f>DA2692+DC2692+DE2692</f>
        <v>0</v>
      </c>
      <c r="AA2692" s="71">
        <f>CW2692</f>
        <v>0</v>
      </c>
      <c r="AB2692" s="71"/>
      <c r="AC2692" s="71">
        <v>0</v>
      </c>
      <c r="AD2692" s="71">
        <f>W2692+X2692+Y2692+Z2692+AA2692+AB2692+AC2692</f>
        <v>0</v>
      </c>
      <c r="AE2692" s="72">
        <v>0</v>
      </c>
      <c r="AF2692" s="5"/>
      <c r="AG2692" s="6"/>
      <c r="AH2692" s="27"/>
      <c r="AI2692" s="44"/>
      <c r="AJ2692" s="26"/>
      <c r="AK2692" s="5"/>
      <c r="AL2692" s="268" t="s">
        <v>5593</v>
      </c>
      <c r="AM2692" s="76"/>
      <c r="AN2692" s="76"/>
      <c r="AO2692" s="76"/>
      <c r="AP2692" s="76"/>
      <c r="AQ2692" s="76"/>
      <c r="AR2692" s="76"/>
      <c r="AS2692" s="76"/>
      <c r="AT2692" s="76"/>
      <c r="AU2692" s="76"/>
      <c r="AV2692" s="76"/>
      <c r="AW2692" s="76"/>
      <c r="AX2692" s="76">
        <f>+AW2692*600000</f>
        <v>0</v>
      </c>
      <c r="AY2692" s="76"/>
      <c r="AZ2692" s="76">
        <f>+AY2692*70000</f>
        <v>0</v>
      </c>
      <c r="BA2692" s="76"/>
      <c r="BB2692" s="76"/>
      <c r="BC2692" s="76"/>
      <c r="BD2692" s="76">
        <f>+BC2692*30000</f>
        <v>0</v>
      </c>
      <c r="BE2692" s="76"/>
      <c r="BF2692" s="76"/>
      <c r="BG2692" s="76"/>
      <c r="BH2692" s="76"/>
      <c r="BI2692" s="76"/>
      <c r="BJ2692" s="76"/>
      <c r="BK2692" s="76"/>
      <c r="BL2692" s="76">
        <f>+BK2692*31500</f>
        <v>0</v>
      </c>
      <c r="BM2692" s="76"/>
      <c r="BN2692" s="76"/>
      <c r="BO2692" s="76"/>
      <c r="BP2692" s="76"/>
      <c r="BQ2692" s="76"/>
      <c r="BR2692" s="76"/>
      <c r="BS2692" s="76"/>
      <c r="BT2692" s="76"/>
      <c r="BU2692" s="76"/>
      <c r="BV2692" s="76"/>
      <c r="BW2692" s="76"/>
      <c r="BX2692" s="76"/>
      <c r="BY2692" s="76"/>
      <c r="BZ2692" s="76"/>
      <c r="CA2692" s="76"/>
      <c r="CB2692" s="76"/>
      <c r="CC2692" s="76"/>
      <c r="CD2692" s="76"/>
      <c r="CE2692" s="76"/>
      <c r="CF2692" s="76">
        <f>+CE2692*28000</f>
        <v>0</v>
      </c>
      <c r="CG2692" s="76"/>
      <c r="CH2692" s="76">
        <f>+CG2692*22500</f>
        <v>0</v>
      </c>
      <c r="CI2692" s="76"/>
      <c r="CJ2692" s="76">
        <f>+CI2692*26000</f>
        <v>0</v>
      </c>
      <c r="CK2692" s="76"/>
      <c r="CL2692" s="76"/>
      <c r="CM2692" s="76"/>
      <c r="CN2692" s="76">
        <f>+CM2692*22000</f>
        <v>0</v>
      </c>
      <c r="CO2692" s="76"/>
      <c r="CP2692" s="76">
        <f>+CO2692*46000</f>
        <v>0</v>
      </c>
      <c r="CQ2692" s="76"/>
      <c r="CR2692" s="76">
        <f>+CQ2692*49000</f>
        <v>0</v>
      </c>
      <c r="CS2692" s="76"/>
      <c r="CT2692" s="76"/>
      <c r="CU2692" s="56">
        <f>AN2692+AP2692+AR2692+AT2692+AV2692+AX2692+AZ2692+BB2692+BD2692+BF2692+BH2692+BJ2692+BL2692+BN2692+BP2692+BR2692+BT2692+BV2692+BX2692+BZ2692+CB2692+CD2692+CF2692+CH2692+CJ2692+CL2692+CN2692+CP2692+CR2692+CT2692</f>
        <v>0</v>
      </c>
      <c r="CV2692" s="76"/>
      <c r="CW2692" s="76">
        <f>+CV2692*1100</f>
        <v>0</v>
      </c>
      <c r="CX2692" s="76"/>
      <c r="CY2692" s="76">
        <f>+CX2692*106250</f>
        <v>0</v>
      </c>
      <c r="CZ2692" s="76"/>
      <c r="DA2692" s="76">
        <f>+CZ2692*34500</f>
        <v>0</v>
      </c>
      <c r="DB2692" s="76"/>
      <c r="DC2692" s="76">
        <f>+DB2692*25000</f>
        <v>0</v>
      </c>
      <c r="DD2692" s="219"/>
      <c r="DE2692" s="219"/>
      <c r="DF2692" s="166"/>
      <c r="DG2692" s="116"/>
      <c r="DH2692" s="117"/>
      <c r="DI2692" s="24"/>
      <c r="DJ2692" s="24"/>
      <c r="DK2692" s="24"/>
      <c r="DL2692" s="24"/>
      <c r="DM2692" s="24"/>
      <c r="DN2692" s="24"/>
      <c r="DO2692" s="24"/>
      <c r="DP2692" s="24"/>
      <c r="DQ2692" s="24"/>
      <c r="DR2692" s="24"/>
      <c r="DS2692" s="24"/>
      <c r="DT2692" s="24"/>
      <c r="DU2692" s="24"/>
    </row>
    <row r="2693" spans="1:125" s="8" customFormat="1" ht="60" x14ac:dyDescent="0.2">
      <c r="A2693" s="353">
        <v>41498</v>
      </c>
      <c r="B2693" s="352" t="s">
        <v>2778</v>
      </c>
      <c r="C2693" s="354" t="s">
        <v>2195</v>
      </c>
      <c r="D2693" s="354" t="s">
        <v>3051</v>
      </c>
      <c r="E2693" s="353" t="str">
        <f>VLOOKUP(B2693&amp;C2693,Divipola!$C$2:$F$1138,4,FALSE)</f>
        <v>85430</v>
      </c>
      <c r="F2693" s="87"/>
      <c r="G2693" s="87"/>
      <c r="H2693" s="87"/>
      <c r="I2693" s="87">
        <v>35</v>
      </c>
      <c r="J2693" s="87">
        <v>7</v>
      </c>
      <c r="K2693" s="87"/>
      <c r="L2693" s="87">
        <v>7</v>
      </c>
      <c r="M2693" s="87"/>
      <c r="N2693" s="87"/>
      <c r="O2693" s="87"/>
      <c r="P2693" s="87"/>
      <c r="Q2693" s="87"/>
      <c r="R2693" s="87"/>
      <c r="S2693" s="87"/>
      <c r="T2693" s="87"/>
      <c r="U2693" s="88"/>
      <c r="V2693" s="89"/>
      <c r="W2693" s="96">
        <v>0</v>
      </c>
      <c r="X2693" s="71">
        <f>CU2693</f>
        <v>0</v>
      </c>
      <c r="Y2693" s="71">
        <f>CY2693</f>
        <v>0</v>
      </c>
      <c r="Z2693" s="71">
        <f>DA2693+DC2693+DE2693</f>
        <v>0</v>
      </c>
      <c r="AA2693" s="71">
        <f>CW2693</f>
        <v>0</v>
      </c>
      <c r="AB2693" s="71"/>
      <c r="AC2693" s="71">
        <v>0</v>
      </c>
      <c r="AD2693" s="71">
        <f>W2693+X2693+Y2693+Z2693+AA2693+AB2693+AC2693</f>
        <v>0</v>
      </c>
      <c r="AE2693" s="72">
        <v>0</v>
      </c>
      <c r="AF2693" s="5"/>
      <c r="AG2693" s="6"/>
      <c r="AH2693" s="27"/>
      <c r="AI2693" s="44"/>
      <c r="AJ2693" s="26"/>
      <c r="AK2693" s="5"/>
      <c r="AL2693" s="82" t="s">
        <v>5594</v>
      </c>
      <c r="AM2693" s="76"/>
      <c r="AN2693" s="76"/>
      <c r="AO2693" s="76"/>
      <c r="AP2693" s="76"/>
      <c r="AQ2693" s="76"/>
      <c r="AR2693" s="76"/>
      <c r="AS2693" s="76"/>
      <c r="AT2693" s="76"/>
      <c r="AU2693" s="76"/>
      <c r="AV2693" s="76"/>
      <c r="AW2693" s="76"/>
      <c r="AX2693" s="76">
        <f>+AW2693*600000</f>
        <v>0</v>
      </c>
      <c r="AY2693" s="76"/>
      <c r="AZ2693" s="76">
        <f>+AY2693*70000</f>
        <v>0</v>
      </c>
      <c r="BA2693" s="76"/>
      <c r="BB2693" s="76"/>
      <c r="BC2693" s="76"/>
      <c r="BD2693" s="76">
        <f>+BC2693*30000</f>
        <v>0</v>
      </c>
      <c r="BE2693" s="76"/>
      <c r="BF2693" s="76"/>
      <c r="BG2693" s="76"/>
      <c r="BH2693" s="76"/>
      <c r="BI2693" s="76"/>
      <c r="BJ2693" s="76"/>
      <c r="BK2693" s="76"/>
      <c r="BL2693" s="76">
        <f>+BK2693*31500</f>
        <v>0</v>
      </c>
      <c r="BM2693" s="76"/>
      <c r="BN2693" s="76"/>
      <c r="BO2693" s="76"/>
      <c r="BP2693" s="76"/>
      <c r="BQ2693" s="76"/>
      <c r="BR2693" s="76"/>
      <c r="BS2693" s="76"/>
      <c r="BT2693" s="76"/>
      <c r="BU2693" s="76"/>
      <c r="BV2693" s="76"/>
      <c r="BW2693" s="76"/>
      <c r="BX2693" s="76"/>
      <c r="BY2693" s="76"/>
      <c r="BZ2693" s="76"/>
      <c r="CA2693" s="76"/>
      <c r="CB2693" s="76"/>
      <c r="CC2693" s="76"/>
      <c r="CD2693" s="76"/>
      <c r="CE2693" s="76"/>
      <c r="CF2693" s="76">
        <f>+CE2693*28000</f>
        <v>0</v>
      </c>
      <c r="CG2693" s="76"/>
      <c r="CH2693" s="76">
        <f>+CG2693*22500</f>
        <v>0</v>
      </c>
      <c r="CI2693" s="76"/>
      <c r="CJ2693" s="76">
        <f>+CI2693*26000</f>
        <v>0</v>
      </c>
      <c r="CK2693" s="76"/>
      <c r="CL2693" s="76"/>
      <c r="CM2693" s="76"/>
      <c r="CN2693" s="76">
        <f>+CM2693*22000</f>
        <v>0</v>
      </c>
      <c r="CO2693" s="76"/>
      <c r="CP2693" s="76">
        <f>+CO2693*46000</f>
        <v>0</v>
      </c>
      <c r="CQ2693" s="76"/>
      <c r="CR2693" s="76">
        <f>+CQ2693*49000</f>
        <v>0</v>
      </c>
      <c r="CS2693" s="76"/>
      <c r="CT2693" s="76"/>
      <c r="CU2693" s="56">
        <f>AN2693+AP2693+AR2693+AT2693+AV2693+AX2693+AZ2693+BB2693+BD2693+BF2693+BH2693+BJ2693+BL2693+BN2693+BP2693+BR2693+BT2693+BV2693+BX2693+BZ2693+CB2693+CD2693+CF2693+CH2693+CJ2693+CL2693+CN2693+CP2693+CR2693+CT2693</f>
        <v>0</v>
      </c>
      <c r="CV2693" s="76"/>
      <c r="CW2693" s="76">
        <f>+CV2693*1100</f>
        <v>0</v>
      </c>
      <c r="CX2693" s="76"/>
      <c r="CY2693" s="76">
        <f>+CX2693*106250</f>
        <v>0</v>
      </c>
      <c r="CZ2693" s="76"/>
      <c r="DA2693" s="76">
        <f>+CZ2693*34500</f>
        <v>0</v>
      </c>
      <c r="DB2693" s="76"/>
      <c r="DC2693" s="76">
        <f>+DB2693*25000</f>
        <v>0</v>
      </c>
      <c r="DD2693" s="219"/>
      <c r="DE2693" s="219"/>
      <c r="DF2693" s="166"/>
      <c r="DG2693" s="116"/>
      <c r="DH2693" s="117"/>
      <c r="DI2693" s="24"/>
      <c r="DJ2693" s="24"/>
      <c r="DK2693" s="24"/>
      <c r="DL2693" s="24"/>
      <c r="DM2693" s="24"/>
      <c r="DN2693" s="24"/>
      <c r="DO2693" s="24"/>
      <c r="DP2693" s="24"/>
      <c r="DQ2693" s="24"/>
      <c r="DR2693" s="24"/>
      <c r="DS2693" s="24"/>
      <c r="DT2693" s="24"/>
      <c r="DU2693" s="24"/>
    </row>
    <row r="2694" spans="1:125" s="8" customFormat="1" ht="48" x14ac:dyDescent="0.2">
      <c r="A2694" s="353">
        <v>41498</v>
      </c>
      <c r="B2694" s="352" t="s">
        <v>2906</v>
      </c>
      <c r="C2694" s="354" t="s">
        <v>421</v>
      </c>
      <c r="D2694" s="354" t="s">
        <v>3051</v>
      </c>
      <c r="E2694" s="353" t="str">
        <f>VLOOKUP(B2694&amp;C2694,Divipola!$C$2:$F$1138,4,FALSE)</f>
        <v>47058</v>
      </c>
      <c r="F2694" s="87"/>
      <c r="G2694" s="87"/>
      <c r="H2694" s="87"/>
      <c r="I2694" s="87">
        <v>10</v>
      </c>
      <c r="J2694" s="87">
        <v>2</v>
      </c>
      <c r="K2694" s="87"/>
      <c r="L2694" s="87">
        <v>2</v>
      </c>
      <c r="M2694" s="87"/>
      <c r="N2694" s="87"/>
      <c r="O2694" s="87"/>
      <c r="P2694" s="87"/>
      <c r="Q2694" s="87"/>
      <c r="R2694" s="87"/>
      <c r="S2694" s="87"/>
      <c r="T2694" s="87"/>
      <c r="U2694" s="88"/>
      <c r="V2694" s="89"/>
      <c r="W2694" s="96">
        <v>0</v>
      </c>
      <c r="X2694" s="71">
        <f>CU2694</f>
        <v>0</v>
      </c>
      <c r="Y2694" s="71">
        <f>CY2694</f>
        <v>0</v>
      </c>
      <c r="Z2694" s="71">
        <f>DA2694+DC2694+DE2694</f>
        <v>0</v>
      </c>
      <c r="AA2694" s="71">
        <f>CW2694</f>
        <v>0</v>
      </c>
      <c r="AB2694" s="71"/>
      <c r="AC2694" s="71">
        <v>0</v>
      </c>
      <c r="AD2694" s="71">
        <f>W2694+X2694+Y2694+Z2694+AA2694+AB2694+AC2694</f>
        <v>0</v>
      </c>
      <c r="AE2694" s="72">
        <v>0</v>
      </c>
      <c r="AF2694" s="5"/>
      <c r="AG2694" s="6"/>
      <c r="AH2694" s="27"/>
      <c r="AI2694" s="44"/>
      <c r="AJ2694" s="26"/>
      <c r="AK2694" s="5"/>
      <c r="AL2694" s="82" t="s">
        <v>5596</v>
      </c>
      <c r="AM2694" s="76"/>
      <c r="AN2694" s="76"/>
      <c r="AO2694" s="76"/>
      <c r="AP2694" s="76"/>
      <c r="AQ2694" s="76"/>
      <c r="AR2694" s="76"/>
      <c r="AS2694" s="76"/>
      <c r="AT2694" s="76"/>
      <c r="AU2694" s="76"/>
      <c r="AV2694" s="76"/>
      <c r="AW2694" s="76"/>
      <c r="AX2694" s="76">
        <f>+AW2694*600000</f>
        <v>0</v>
      </c>
      <c r="AY2694" s="76"/>
      <c r="AZ2694" s="76">
        <f>+AY2694*70000</f>
        <v>0</v>
      </c>
      <c r="BA2694" s="76"/>
      <c r="BB2694" s="76"/>
      <c r="BC2694" s="76"/>
      <c r="BD2694" s="76">
        <f>+BC2694*30000</f>
        <v>0</v>
      </c>
      <c r="BE2694" s="76"/>
      <c r="BF2694" s="76"/>
      <c r="BG2694" s="76"/>
      <c r="BH2694" s="76"/>
      <c r="BI2694" s="76"/>
      <c r="BJ2694" s="76"/>
      <c r="BK2694" s="76"/>
      <c r="BL2694" s="76">
        <f>+BK2694*31500</f>
        <v>0</v>
      </c>
      <c r="BM2694" s="76"/>
      <c r="BN2694" s="76"/>
      <c r="BO2694" s="76"/>
      <c r="BP2694" s="76"/>
      <c r="BQ2694" s="76"/>
      <c r="BR2694" s="76"/>
      <c r="BS2694" s="76"/>
      <c r="BT2694" s="76"/>
      <c r="BU2694" s="76"/>
      <c r="BV2694" s="76"/>
      <c r="BW2694" s="76"/>
      <c r="BX2694" s="76"/>
      <c r="BY2694" s="76"/>
      <c r="BZ2694" s="76"/>
      <c r="CA2694" s="76"/>
      <c r="CB2694" s="76"/>
      <c r="CC2694" s="76"/>
      <c r="CD2694" s="76"/>
      <c r="CE2694" s="76"/>
      <c r="CF2694" s="76">
        <f>+CE2694*28000</f>
        <v>0</v>
      </c>
      <c r="CG2694" s="76"/>
      <c r="CH2694" s="76">
        <f>+CG2694*22500</f>
        <v>0</v>
      </c>
      <c r="CI2694" s="76"/>
      <c r="CJ2694" s="76">
        <f>+CI2694*26000</f>
        <v>0</v>
      </c>
      <c r="CK2694" s="76"/>
      <c r="CL2694" s="76"/>
      <c r="CM2694" s="76"/>
      <c r="CN2694" s="76">
        <f>+CM2694*22000</f>
        <v>0</v>
      </c>
      <c r="CO2694" s="76"/>
      <c r="CP2694" s="76">
        <f>+CO2694*46000</f>
        <v>0</v>
      </c>
      <c r="CQ2694" s="76"/>
      <c r="CR2694" s="76">
        <f>+CQ2694*49000</f>
        <v>0</v>
      </c>
      <c r="CS2694" s="76"/>
      <c r="CT2694" s="76"/>
      <c r="CU2694" s="56">
        <f>AN2694+AP2694+AR2694+AT2694+AV2694+AX2694+AZ2694+BB2694+BD2694+BF2694+BH2694+BJ2694+BL2694+BN2694+BP2694+BR2694+BT2694+BV2694+BX2694+BZ2694+CB2694+CD2694+CF2694+CH2694+CJ2694+CL2694+CN2694+CP2694+CR2694+CT2694</f>
        <v>0</v>
      </c>
      <c r="CV2694" s="76"/>
      <c r="CW2694" s="76">
        <f>+CV2694*1100</f>
        <v>0</v>
      </c>
      <c r="CX2694" s="76"/>
      <c r="CY2694" s="76">
        <f>+CX2694*106250</f>
        <v>0</v>
      </c>
      <c r="CZ2694" s="76"/>
      <c r="DA2694" s="76">
        <f>+CZ2694*34500</f>
        <v>0</v>
      </c>
      <c r="DB2694" s="76"/>
      <c r="DC2694" s="76">
        <f>+DB2694*25000</f>
        <v>0</v>
      </c>
      <c r="DD2694" s="219"/>
      <c r="DE2694" s="219"/>
      <c r="DF2694" s="166"/>
      <c r="DG2694" s="116"/>
      <c r="DH2694" s="117"/>
      <c r="DI2694" s="24"/>
      <c r="DJ2694" s="24"/>
      <c r="DK2694" s="24"/>
      <c r="DL2694" s="24"/>
      <c r="DM2694" s="24"/>
      <c r="DN2694" s="24"/>
      <c r="DO2694" s="24"/>
      <c r="DP2694" s="24"/>
      <c r="DQ2694" s="24"/>
      <c r="DR2694" s="24"/>
      <c r="DS2694" s="24"/>
      <c r="DT2694" s="24"/>
      <c r="DU2694" s="24"/>
    </row>
    <row r="2695" spans="1:125" s="8" customFormat="1" ht="48" x14ac:dyDescent="0.2">
      <c r="A2695" s="353">
        <v>41498</v>
      </c>
      <c r="B2695" s="225" t="s">
        <v>2906</v>
      </c>
      <c r="C2695" s="227" t="s">
        <v>441</v>
      </c>
      <c r="D2695" s="354" t="s">
        <v>3051</v>
      </c>
      <c r="E2695" s="353" t="str">
        <f>VLOOKUP(B2695&amp;C2695,Divipola!$C$2:$F$1138,4,FALSE)</f>
        <v>47460</v>
      </c>
      <c r="F2695" s="87"/>
      <c r="G2695" s="87"/>
      <c r="H2695" s="87"/>
      <c r="I2695" s="87">
        <v>100</v>
      </c>
      <c r="J2695" s="87">
        <v>20</v>
      </c>
      <c r="K2695" s="87"/>
      <c r="L2695" s="87">
        <v>20</v>
      </c>
      <c r="M2695" s="87"/>
      <c r="N2695" s="87"/>
      <c r="O2695" s="87"/>
      <c r="P2695" s="87"/>
      <c r="Q2695" s="87"/>
      <c r="R2695" s="87"/>
      <c r="S2695" s="87"/>
      <c r="T2695" s="87"/>
      <c r="U2695" s="88"/>
      <c r="V2695" s="89"/>
      <c r="W2695" s="96">
        <v>0</v>
      </c>
      <c r="X2695" s="71">
        <f>CU2695</f>
        <v>0</v>
      </c>
      <c r="Y2695" s="71">
        <f>CY2695</f>
        <v>0</v>
      </c>
      <c r="Z2695" s="71">
        <f>DA2695+DC2695+DE2695</f>
        <v>0</v>
      </c>
      <c r="AA2695" s="71">
        <f>CW2695</f>
        <v>0</v>
      </c>
      <c r="AB2695" s="71"/>
      <c r="AC2695" s="71">
        <v>0</v>
      </c>
      <c r="AD2695" s="71">
        <f>W2695+X2695+Y2695+Z2695+AA2695+AB2695+AC2695</f>
        <v>0</v>
      </c>
      <c r="AE2695" s="72">
        <v>0</v>
      </c>
      <c r="AF2695" s="5"/>
      <c r="AG2695" s="6"/>
      <c r="AH2695" s="27"/>
      <c r="AI2695" s="44"/>
      <c r="AJ2695" s="26"/>
      <c r="AK2695" s="5"/>
      <c r="AL2695" s="82" t="s">
        <v>5595</v>
      </c>
      <c r="AM2695" s="76"/>
      <c r="AN2695" s="76"/>
      <c r="AO2695" s="76"/>
      <c r="AP2695" s="76"/>
      <c r="AQ2695" s="76"/>
      <c r="AR2695" s="76"/>
      <c r="AS2695" s="76"/>
      <c r="AT2695" s="76"/>
      <c r="AU2695" s="76"/>
      <c r="AV2695" s="76"/>
      <c r="AW2695" s="76"/>
      <c r="AX2695" s="76">
        <f>+AW2695*600000</f>
        <v>0</v>
      </c>
      <c r="AY2695" s="76"/>
      <c r="AZ2695" s="76">
        <f>+AY2695*70000</f>
        <v>0</v>
      </c>
      <c r="BA2695" s="76"/>
      <c r="BB2695" s="76"/>
      <c r="BC2695" s="76"/>
      <c r="BD2695" s="76">
        <f>+BC2695*30000</f>
        <v>0</v>
      </c>
      <c r="BE2695" s="76"/>
      <c r="BF2695" s="76"/>
      <c r="BG2695" s="76"/>
      <c r="BH2695" s="76"/>
      <c r="BI2695" s="76"/>
      <c r="BJ2695" s="76"/>
      <c r="BK2695" s="76"/>
      <c r="BL2695" s="76">
        <f>+BK2695*31500</f>
        <v>0</v>
      </c>
      <c r="BM2695" s="76"/>
      <c r="BN2695" s="76"/>
      <c r="BO2695" s="76"/>
      <c r="BP2695" s="76"/>
      <c r="BQ2695" s="76"/>
      <c r="BR2695" s="76"/>
      <c r="BS2695" s="76"/>
      <c r="BT2695" s="76"/>
      <c r="BU2695" s="76"/>
      <c r="BV2695" s="76"/>
      <c r="BW2695" s="76"/>
      <c r="BX2695" s="76"/>
      <c r="BY2695" s="76"/>
      <c r="BZ2695" s="76"/>
      <c r="CA2695" s="76"/>
      <c r="CB2695" s="76"/>
      <c r="CC2695" s="76"/>
      <c r="CD2695" s="76"/>
      <c r="CE2695" s="76"/>
      <c r="CF2695" s="76">
        <f>+CE2695*28000</f>
        <v>0</v>
      </c>
      <c r="CG2695" s="76"/>
      <c r="CH2695" s="76">
        <f>+CG2695*22500</f>
        <v>0</v>
      </c>
      <c r="CI2695" s="76"/>
      <c r="CJ2695" s="76">
        <f>+CI2695*26000</f>
        <v>0</v>
      </c>
      <c r="CK2695" s="76"/>
      <c r="CL2695" s="76"/>
      <c r="CM2695" s="76"/>
      <c r="CN2695" s="76">
        <f>+CM2695*22000</f>
        <v>0</v>
      </c>
      <c r="CO2695" s="76"/>
      <c r="CP2695" s="76">
        <f>+CO2695*46000</f>
        <v>0</v>
      </c>
      <c r="CQ2695" s="76"/>
      <c r="CR2695" s="76">
        <f>+CQ2695*49000</f>
        <v>0</v>
      </c>
      <c r="CS2695" s="76"/>
      <c r="CT2695" s="76"/>
      <c r="CU2695" s="56">
        <f>AN2695+AP2695+AR2695+AT2695+AV2695+AX2695+AZ2695+BB2695+BD2695+BF2695+BH2695+BJ2695+BL2695+BN2695+BP2695+BR2695+BT2695+BV2695+BX2695+BZ2695+CB2695+CD2695+CF2695+CH2695+CJ2695+CL2695+CN2695+CP2695+CR2695+CT2695</f>
        <v>0</v>
      </c>
      <c r="CV2695" s="76"/>
      <c r="CW2695" s="76">
        <f>+CV2695*1100</f>
        <v>0</v>
      </c>
      <c r="CX2695" s="76"/>
      <c r="CY2695" s="76">
        <f>+CX2695*106250</f>
        <v>0</v>
      </c>
      <c r="CZ2695" s="76"/>
      <c r="DA2695" s="76">
        <f>+CZ2695*34500</f>
        <v>0</v>
      </c>
      <c r="DB2695" s="76"/>
      <c r="DC2695" s="76">
        <f>+DB2695*25000</f>
        <v>0</v>
      </c>
      <c r="DD2695" s="219"/>
      <c r="DE2695" s="219"/>
      <c r="DF2695" s="166"/>
      <c r="DG2695" s="116"/>
      <c r="DH2695" s="117"/>
      <c r="DI2695" s="24"/>
      <c r="DJ2695" s="24"/>
      <c r="DK2695" s="24"/>
      <c r="DL2695" s="24"/>
      <c r="DM2695" s="24"/>
      <c r="DN2695" s="24"/>
      <c r="DO2695" s="24"/>
      <c r="DP2695" s="24"/>
      <c r="DQ2695" s="24"/>
      <c r="DR2695" s="24"/>
      <c r="DS2695" s="24"/>
      <c r="DT2695" s="24"/>
      <c r="DU2695" s="24"/>
    </row>
    <row r="2696" spans="1:125" s="8" customFormat="1" ht="84" x14ac:dyDescent="0.2">
      <c r="A2696" s="353">
        <v>41498</v>
      </c>
      <c r="B2696" s="352" t="s">
        <v>2774</v>
      </c>
      <c r="C2696" s="354" t="s">
        <v>1256</v>
      </c>
      <c r="D2696" s="354" t="s">
        <v>2882</v>
      </c>
      <c r="E2696" s="353" t="str">
        <f>VLOOKUP(B2696&amp;C2696,Divipola!$C$2:$F$1138,4,FALSE)</f>
        <v>66572</v>
      </c>
      <c r="F2696" s="87"/>
      <c r="G2696" s="87"/>
      <c r="H2696" s="87"/>
      <c r="I2696" s="87">
        <f>120*5</f>
        <v>600</v>
      </c>
      <c r="J2696" s="87">
        <v>120</v>
      </c>
      <c r="K2696" s="87"/>
      <c r="L2696" s="87">
        <v>120</v>
      </c>
      <c r="M2696" s="87"/>
      <c r="N2696" s="87"/>
      <c r="O2696" s="87"/>
      <c r="P2696" s="87"/>
      <c r="Q2696" s="87"/>
      <c r="R2696" s="87"/>
      <c r="S2696" s="87">
        <v>1</v>
      </c>
      <c r="T2696" s="87"/>
      <c r="U2696" s="88"/>
      <c r="V2696" s="89"/>
      <c r="W2696" s="96">
        <v>0</v>
      </c>
      <c r="X2696" s="71">
        <f>CU2696</f>
        <v>48026277.079999998</v>
      </c>
      <c r="Y2696" s="71">
        <f>CY2696</f>
        <v>14131250</v>
      </c>
      <c r="Z2696" s="71">
        <f>DA2696+DC2696+DE2696</f>
        <v>61913376</v>
      </c>
      <c r="AA2696" s="71">
        <f>CW2696</f>
        <v>0</v>
      </c>
      <c r="AB2696" s="71"/>
      <c r="AC2696" s="71">
        <v>0</v>
      </c>
      <c r="AD2696" s="71">
        <f>W2696+X2696+Y2696+Z2696+AA2696+AB2696+AC2696</f>
        <v>124070903.08</v>
      </c>
      <c r="AE2696" s="72">
        <v>0</v>
      </c>
      <c r="AF2696" s="5"/>
      <c r="AG2696" s="6"/>
      <c r="AH2696" s="27"/>
      <c r="AI2696" s="44"/>
      <c r="AJ2696" s="26"/>
      <c r="AK2696" s="5"/>
      <c r="AL2696" s="82" t="s">
        <v>5897</v>
      </c>
      <c r="AM2696" s="76"/>
      <c r="AN2696" s="76"/>
      <c r="AO2696" s="76"/>
      <c r="AP2696" s="76"/>
      <c r="AQ2696" s="76"/>
      <c r="AR2696" s="76"/>
      <c r="AS2696" s="76"/>
      <c r="AT2696" s="76"/>
      <c r="AU2696" s="76"/>
      <c r="AV2696" s="76"/>
      <c r="AW2696" s="76"/>
      <c r="AX2696" s="76">
        <f>+AW2696*600000</f>
        <v>0</v>
      </c>
      <c r="AY2696" s="86">
        <v>350</v>
      </c>
      <c r="AZ2696" s="86">
        <f>+AY2696*69999.04</f>
        <v>24499663.999999996</v>
      </c>
      <c r="BA2696" s="76"/>
      <c r="BB2696" s="76"/>
      <c r="BC2696" s="76"/>
      <c r="BD2696" s="76">
        <f>+BC2696*30000</f>
        <v>0</v>
      </c>
      <c r="BE2696" s="76"/>
      <c r="BF2696" s="76"/>
      <c r="BG2696" s="76"/>
      <c r="BH2696" s="76"/>
      <c r="BI2696" s="76"/>
      <c r="BJ2696" s="76"/>
      <c r="BK2696" s="76"/>
      <c r="BL2696" s="76">
        <f>+BK2696*31500</f>
        <v>0</v>
      </c>
      <c r="BM2696" s="76"/>
      <c r="BN2696" s="76"/>
      <c r="BO2696" s="76"/>
      <c r="BP2696" s="76"/>
      <c r="BQ2696" s="76"/>
      <c r="BR2696" s="76"/>
      <c r="BS2696" s="76"/>
      <c r="BT2696" s="76"/>
      <c r="BU2696" s="76"/>
      <c r="BV2696" s="76"/>
      <c r="BW2696" s="76"/>
      <c r="BX2696" s="76"/>
      <c r="BY2696" s="86">
        <v>15</v>
      </c>
      <c r="BZ2696" s="86">
        <f>15*559999.28</f>
        <v>8399989.2000000011</v>
      </c>
      <c r="CA2696" s="76"/>
      <c r="CB2696" s="76"/>
      <c r="CC2696" s="76"/>
      <c r="CD2696" s="76"/>
      <c r="CE2696" s="76"/>
      <c r="CF2696" s="76">
        <f>+CE2696*28000</f>
        <v>0</v>
      </c>
      <c r="CG2696" s="76"/>
      <c r="CH2696" s="76">
        <f>+CG2696*22500</f>
        <v>0</v>
      </c>
      <c r="CI2696" s="86">
        <v>350</v>
      </c>
      <c r="CJ2696" s="86">
        <f>+CI2696*25999.08</f>
        <v>9099678</v>
      </c>
      <c r="CK2696" s="76"/>
      <c r="CL2696" s="76"/>
      <c r="CM2696" s="76"/>
      <c r="CN2696" s="76">
        <f>+CM2696*22000</f>
        <v>0</v>
      </c>
      <c r="CO2696" s="76"/>
      <c r="CP2696" s="76">
        <f>+CO2696*46000</f>
        <v>0</v>
      </c>
      <c r="CQ2696" s="86">
        <v>123</v>
      </c>
      <c r="CR2696" s="86">
        <f>+CQ2696*48999.56</f>
        <v>6026945.8799999999</v>
      </c>
      <c r="CS2696" s="76"/>
      <c r="CT2696" s="76"/>
      <c r="CU2696" s="56">
        <f>AN2696+AP2696+AR2696+AT2696+AV2696+AX2696+AZ2696+BB2696+BD2696+BF2696+BH2696+BJ2696+BL2696+BN2696+BP2696+BR2696+BT2696+BV2696+BX2696+BZ2696+CB2696+CD2696+CF2696+CH2696+CJ2696+CL2696+CN2696+CP2696+CR2696+CT2696</f>
        <v>48026277.079999998</v>
      </c>
      <c r="CV2696" s="76"/>
      <c r="CW2696" s="76">
        <f>+CV2696*1100</f>
        <v>0</v>
      </c>
      <c r="CX2696" s="86">
        <v>133</v>
      </c>
      <c r="CY2696" s="86">
        <f>+CX2696*106250</f>
        <v>14131250</v>
      </c>
      <c r="CZ2696" s="76"/>
      <c r="DA2696" s="76">
        <f>+CZ2696*34500</f>
        <v>0</v>
      </c>
      <c r="DB2696" s="86">
        <v>2400</v>
      </c>
      <c r="DC2696" s="86">
        <f>+DB2696*24999.16+9600*199.52</f>
        <v>61913376</v>
      </c>
      <c r="DD2696" s="219"/>
      <c r="DE2696" s="219"/>
      <c r="DF2696" s="166"/>
      <c r="DG2696" s="134" t="s">
        <v>6349</v>
      </c>
      <c r="DH2696" s="117"/>
      <c r="DI2696" s="24"/>
      <c r="DJ2696" s="24"/>
      <c r="DK2696" s="24"/>
      <c r="DL2696" s="24"/>
      <c r="DM2696" s="24"/>
      <c r="DN2696" s="24"/>
      <c r="DO2696" s="24"/>
      <c r="DP2696" s="24"/>
      <c r="DQ2696" s="24"/>
      <c r="DR2696" s="24"/>
      <c r="DS2696" s="24"/>
      <c r="DT2696" s="24"/>
      <c r="DU2696" s="24"/>
    </row>
    <row r="2697" spans="1:125" s="8" customFormat="1" ht="48" x14ac:dyDescent="0.2">
      <c r="A2697" s="353">
        <v>41498</v>
      </c>
      <c r="B2697" s="225" t="s">
        <v>2774</v>
      </c>
      <c r="C2697" s="227" t="s">
        <v>2790</v>
      </c>
      <c r="D2697" s="227" t="s">
        <v>2882</v>
      </c>
      <c r="E2697" s="353" t="str">
        <f>VLOOKUP(B2697&amp;C2697,Divipola!$C$2:$F$1138,4,FALSE)</f>
        <v>66682</v>
      </c>
      <c r="F2697" s="87"/>
      <c r="G2697" s="87"/>
      <c r="H2697" s="87"/>
      <c r="I2697" s="87"/>
      <c r="J2697" s="87"/>
      <c r="K2697" s="87"/>
      <c r="L2697" s="87"/>
      <c r="M2697" s="87"/>
      <c r="N2697" s="87"/>
      <c r="O2697" s="87"/>
      <c r="P2697" s="87"/>
      <c r="Q2697" s="87"/>
      <c r="R2697" s="87"/>
      <c r="S2697" s="87"/>
      <c r="T2697" s="87"/>
      <c r="U2697" s="88"/>
      <c r="V2697" s="89"/>
      <c r="W2697" s="96">
        <v>0</v>
      </c>
      <c r="X2697" s="71">
        <f>CU2697</f>
        <v>0</v>
      </c>
      <c r="Y2697" s="71">
        <f>CY2697</f>
        <v>0</v>
      </c>
      <c r="Z2697" s="71">
        <f>DA2697+DC2697+DE2697</f>
        <v>0</v>
      </c>
      <c r="AA2697" s="71">
        <f>CW2697</f>
        <v>0</v>
      </c>
      <c r="AB2697" s="71"/>
      <c r="AC2697" s="71">
        <v>0</v>
      </c>
      <c r="AD2697" s="71">
        <f>W2697+X2697+Y2697+Z2697+AA2697+AB2697+AC2697</f>
        <v>0</v>
      </c>
      <c r="AE2697" s="72">
        <v>0</v>
      </c>
      <c r="AF2697" s="5"/>
      <c r="AG2697" s="6"/>
      <c r="AH2697" s="27"/>
      <c r="AI2697" s="44"/>
      <c r="AJ2697" s="26"/>
      <c r="AK2697" s="5"/>
      <c r="AL2697" s="82" t="s">
        <v>5584</v>
      </c>
      <c r="AM2697" s="76"/>
      <c r="AN2697" s="76"/>
      <c r="AO2697" s="76"/>
      <c r="AP2697" s="76"/>
      <c r="AQ2697" s="76"/>
      <c r="AR2697" s="76"/>
      <c r="AS2697" s="76"/>
      <c r="AT2697" s="76"/>
      <c r="AU2697" s="76"/>
      <c r="AV2697" s="76"/>
      <c r="AW2697" s="76"/>
      <c r="AX2697" s="76">
        <f>+AW2697*600000</f>
        <v>0</v>
      </c>
      <c r="AY2697" s="76"/>
      <c r="AZ2697" s="76">
        <f>+AY2697*70000</f>
        <v>0</v>
      </c>
      <c r="BA2697" s="76"/>
      <c r="BB2697" s="76"/>
      <c r="BC2697" s="76"/>
      <c r="BD2697" s="76">
        <f>+BC2697*30000</f>
        <v>0</v>
      </c>
      <c r="BE2697" s="76"/>
      <c r="BF2697" s="76"/>
      <c r="BG2697" s="76"/>
      <c r="BH2697" s="76"/>
      <c r="BI2697" s="76"/>
      <c r="BJ2697" s="76"/>
      <c r="BK2697" s="76"/>
      <c r="BL2697" s="76">
        <f>+BK2697*31500</f>
        <v>0</v>
      </c>
      <c r="BM2697" s="76"/>
      <c r="BN2697" s="76"/>
      <c r="BO2697" s="76"/>
      <c r="BP2697" s="76"/>
      <c r="BQ2697" s="76"/>
      <c r="BR2697" s="76"/>
      <c r="BS2697" s="76"/>
      <c r="BT2697" s="76"/>
      <c r="BU2697" s="76"/>
      <c r="BV2697" s="76"/>
      <c r="BW2697" s="76"/>
      <c r="BX2697" s="76"/>
      <c r="BY2697" s="76"/>
      <c r="BZ2697" s="76"/>
      <c r="CA2697" s="76"/>
      <c r="CB2697" s="76"/>
      <c r="CC2697" s="76"/>
      <c r="CD2697" s="76"/>
      <c r="CE2697" s="76"/>
      <c r="CF2697" s="76">
        <f>+CE2697*28000</f>
        <v>0</v>
      </c>
      <c r="CG2697" s="76"/>
      <c r="CH2697" s="76">
        <f>+CG2697*22500</f>
        <v>0</v>
      </c>
      <c r="CI2697" s="76"/>
      <c r="CJ2697" s="76">
        <f>+CI2697*26000</f>
        <v>0</v>
      </c>
      <c r="CK2697" s="76"/>
      <c r="CL2697" s="76"/>
      <c r="CM2697" s="76"/>
      <c r="CN2697" s="76">
        <f>+CM2697*22000</f>
        <v>0</v>
      </c>
      <c r="CO2697" s="76"/>
      <c r="CP2697" s="76">
        <f>+CO2697*46000</f>
        <v>0</v>
      </c>
      <c r="CQ2697" s="76"/>
      <c r="CR2697" s="76">
        <f>+CQ2697*49000</f>
        <v>0</v>
      </c>
      <c r="CS2697" s="76"/>
      <c r="CT2697" s="76"/>
      <c r="CU2697" s="56">
        <f>AN2697+AP2697+AR2697+AT2697+AV2697+AX2697+AZ2697+BB2697+BD2697+BF2697+BH2697+BJ2697+BL2697+BN2697+BP2697+BR2697+BT2697+BV2697+BX2697+BZ2697+CB2697+CD2697+CF2697+CH2697+CJ2697+CL2697+CN2697+CP2697+CR2697+CT2697</f>
        <v>0</v>
      </c>
      <c r="CV2697" s="76"/>
      <c r="CW2697" s="76">
        <f>+CV2697*1100</f>
        <v>0</v>
      </c>
      <c r="CX2697" s="76"/>
      <c r="CY2697" s="76">
        <f>+CX2697*106250</f>
        <v>0</v>
      </c>
      <c r="CZ2697" s="76"/>
      <c r="DA2697" s="76">
        <f>+CZ2697*34500</f>
        <v>0</v>
      </c>
      <c r="DB2697" s="76"/>
      <c r="DC2697" s="76">
        <f>+DB2697*25000</f>
        <v>0</v>
      </c>
      <c r="DD2697" s="219"/>
      <c r="DE2697" s="219"/>
      <c r="DF2697" s="166"/>
      <c r="DG2697" s="116"/>
      <c r="DH2697" s="117"/>
      <c r="DI2697" s="24"/>
      <c r="DJ2697" s="24"/>
      <c r="DK2697" s="24"/>
      <c r="DL2697" s="24"/>
      <c r="DM2697" s="24"/>
      <c r="DN2697" s="24"/>
      <c r="DO2697" s="24"/>
      <c r="DP2697" s="24"/>
      <c r="DQ2697" s="24"/>
      <c r="DR2697" s="24"/>
      <c r="DS2697" s="24"/>
      <c r="DT2697" s="24"/>
      <c r="DU2697" s="24"/>
    </row>
    <row r="2698" spans="1:125" s="8" customFormat="1" ht="60" x14ac:dyDescent="0.2">
      <c r="A2698" s="353">
        <v>41498</v>
      </c>
      <c r="B2698" s="352" t="s">
        <v>2847</v>
      </c>
      <c r="C2698" s="354" t="s">
        <v>2841</v>
      </c>
      <c r="D2698" s="354" t="s">
        <v>3051</v>
      </c>
      <c r="E2698" s="353" t="str">
        <f>VLOOKUP(B2698&amp;C2698,Divipola!$C$2:$F$1138,4,FALSE)</f>
        <v>68162</v>
      </c>
      <c r="F2698" s="87"/>
      <c r="G2698" s="87"/>
      <c r="H2698" s="87"/>
      <c r="I2698" s="87"/>
      <c r="J2698" s="87"/>
      <c r="K2698" s="87"/>
      <c r="L2698" s="87"/>
      <c r="M2698" s="87"/>
      <c r="N2698" s="87"/>
      <c r="O2698" s="87"/>
      <c r="P2698" s="87"/>
      <c r="Q2698" s="87"/>
      <c r="R2698" s="87"/>
      <c r="S2698" s="87"/>
      <c r="T2698" s="87"/>
      <c r="U2698" s="88"/>
      <c r="V2698" s="89"/>
      <c r="W2698" s="96">
        <v>0</v>
      </c>
      <c r="X2698" s="71">
        <f>CU2698</f>
        <v>0</v>
      </c>
      <c r="Y2698" s="71">
        <f>CY2698</f>
        <v>0</v>
      </c>
      <c r="Z2698" s="71">
        <f>DA2698+DC2698+DE2698</f>
        <v>0</v>
      </c>
      <c r="AA2698" s="71">
        <f>CW2698</f>
        <v>0</v>
      </c>
      <c r="AB2698" s="71"/>
      <c r="AC2698" s="71">
        <v>0</v>
      </c>
      <c r="AD2698" s="71">
        <f>W2698+X2698+Y2698+Z2698+AA2698+AB2698+AC2698</f>
        <v>0</v>
      </c>
      <c r="AE2698" s="72">
        <v>0</v>
      </c>
      <c r="AF2698" s="5"/>
      <c r="AG2698" s="6"/>
      <c r="AH2698" s="27"/>
      <c r="AI2698" s="44"/>
      <c r="AJ2698" s="26"/>
      <c r="AK2698" s="5"/>
      <c r="AL2698" s="82" t="s">
        <v>5591</v>
      </c>
      <c r="AM2698" s="76"/>
      <c r="AN2698" s="76"/>
      <c r="AO2698" s="76"/>
      <c r="AP2698" s="76"/>
      <c r="AQ2698" s="76"/>
      <c r="AR2698" s="76"/>
      <c r="AS2698" s="76"/>
      <c r="AT2698" s="76"/>
      <c r="AU2698" s="76"/>
      <c r="AV2698" s="76"/>
      <c r="AW2698" s="76"/>
      <c r="AX2698" s="76">
        <f>+AW2698*600000</f>
        <v>0</v>
      </c>
      <c r="AY2698" s="76"/>
      <c r="AZ2698" s="76">
        <f>+AY2698*70000</f>
        <v>0</v>
      </c>
      <c r="BA2698" s="76"/>
      <c r="BB2698" s="76"/>
      <c r="BC2698" s="76"/>
      <c r="BD2698" s="76">
        <f>+BC2698*30000</f>
        <v>0</v>
      </c>
      <c r="BE2698" s="76"/>
      <c r="BF2698" s="76"/>
      <c r="BG2698" s="76"/>
      <c r="BH2698" s="76"/>
      <c r="BI2698" s="76"/>
      <c r="BJ2698" s="76"/>
      <c r="BK2698" s="76"/>
      <c r="BL2698" s="76">
        <f>+BK2698*31500</f>
        <v>0</v>
      </c>
      <c r="BM2698" s="76"/>
      <c r="BN2698" s="76"/>
      <c r="BO2698" s="76"/>
      <c r="BP2698" s="76"/>
      <c r="BQ2698" s="76"/>
      <c r="BR2698" s="76"/>
      <c r="BS2698" s="76"/>
      <c r="BT2698" s="76"/>
      <c r="BU2698" s="76"/>
      <c r="BV2698" s="76"/>
      <c r="BW2698" s="76"/>
      <c r="BX2698" s="76"/>
      <c r="BY2698" s="76"/>
      <c r="BZ2698" s="76"/>
      <c r="CA2698" s="76"/>
      <c r="CB2698" s="76"/>
      <c r="CC2698" s="76"/>
      <c r="CD2698" s="76"/>
      <c r="CE2698" s="76"/>
      <c r="CF2698" s="76">
        <f>+CE2698*28000</f>
        <v>0</v>
      </c>
      <c r="CG2698" s="76"/>
      <c r="CH2698" s="76">
        <f>+CG2698*22500</f>
        <v>0</v>
      </c>
      <c r="CI2698" s="76"/>
      <c r="CJ2698" s="76">
        <f>+CI2698*26000</f>
        <v>0</v>
      </c>
      <c r="CK2698" s="76"/>
      <c r="CL2698" s="76"/>
      <c r="CM2698" s="76"/>
      <c r="CN2698" s="76">
        <f>+CM2698*22000</f>
        <v>0</v>
      </c>
      <c r="CO2698" s="76"/>
      <c r="CP2698" s="76">
        <f>+CO2698*46000</f>
        <v>0</v>
      </c>
      <c r="CQ2698" s="76"/>
      <c r="CR2698" s="76">
        <f>+CQ2698*49000</f>
        <v>0</v>
      </c>
      <c r="CS2698" s="76"/>
      <c r="CT2698" s="76"/>
      <c r="CU2698" s="56">
        <f>AN2698+AP2698+AR2698+AT2698+AV2698+AX2698+AZ2698+BB2698+BD2698+BF2698+BH2698+BJ2698+BL2698+BN2698+BP2698+BR2698+BT2698+BV2698+BX2698+BZ2698+CB2698+CD2698+CF2698+CH2698+CJ2698+CL2698+CN2698+CP2698+CR2698+CT2698</f>
        <v>0</v>
      </c>
      <c r="CV2698" s="76"/>
      <c r="CW2698" s="76">
        <f>+CV2698*1100</f>
        <v>0</v>
      </c>
      <c r="CX2698" s="76"/>
      <c r="CY2698" s="76">
        <f>+CX2698*106250</f>
        <v>0</v>
      </c>
      <c r="CZ2698" s="76"/>
      <c r="DA2698" s="76">
        <f>+CZ2698*34500</f>
        <v>0</v>
      </c>
      <c r="DB2698" s="76"/>
      <c r="DC2698" s="76">
        <f>+DB2698*25000</f>
        <v>0</v>
      </c>
      <c r="DD2698" s="219"/>
      <c r="DE2698" s="219"/>
      <c r="DF2698" s="166"/>
      <c r="DG2698" s="116"/>
      <c r="DH2698" s="117"/>
      <c r="DI2698" s="24"/>
      <c r="DJ2698" s="24"/>
      <c r="DK2698" s="24"/>
      <c r="DL2698" s="24"/>
      <c r="DM2698" s="24"/>
      <c r="DN2698" s="24"/>
      <c r="DO2698" s="24"/>
      <c r="DP2698" s="24"/>
      <c r="DQ2698" s="24"/>
      <c r="DR2698" s="24"/>
      <c r="DS2698" s="24"/>
      <c r="DT2698" s="24"/>
      <c r="DU2698" s="24"/>
    </row>
    <row r="2699" spans="1:125" s="8" customFormat="1" ht="300" x14ac:dyDescent="0.2">
      <c r="A2699" s="353">
        <v>41498</v>
      </c>
      <c r="B2699" s="352" t="s">
        <v>2847</v>
      </c>
      <c r="C2699" s="354" t="s">
        <v>2841</v>
      </c>
      <c r="D2699" s="354" t="s">
        <v>3051</v>
      </c>
      <c r="E2699" s="353" t="str">
        <f>VLOOKUP(B2699&amp;C2699,Divipola!$C$2:$F$1138,4,FALSE)</f>
        <v>68162</v>
      </c>
      <c r="F2699" s="87"/>
      <c r="G2699" s="87"/>
      <c r="H2699" s="87"/>
      <c r="I2699" s="87"/>
      <c r="J2699" s="87"/>
      <c r="K2699" s="87"/>
      <c r="L2699" s="87"/>
      <c r="M2699" s="87">
        <v>1</v>
      </c>
      <c r="N2699" s="87"/>
      <c r="O2699" s="87"/>
      <c r="P2699" s="87">
        <v>1</v>
      </c>
      <c r="Q2699" s="87"/>
      <c r="R2699" s="87"/>
      <c r="S2699" s="87"/>
      <c r="T2699" s="87">
        <v>1</v>
      </c>
      <c r="U2699" s="88"/>
      <c r="V2699" s="89"/>
      <c r="W2699" s="96">
        <v>0</v>
      </c>
      <c r="X2699" s="71">
        <f>CU2699</f>
        <v>0</v>
      </c>
      <c r="Y2699" s="71">
        <f>CY2699</f>
        <v>0</v>
      </c>
      <c r="Z2699" s="71">
        <f>DA2699+DC2699+DE2699</f>
        <v>0</v>
      </c>
      <c r="AA2699" s="71">
        <f>CW2699</f>
        <v>0</v>
      </c>
      <c r="AB2699" s="71"/>
      <c r="AC2699" s="71">
        <v>0</v>
      </c>
      <c r="AD2699" s="71">
        <f>W2699+X2699+Y2699+Z2699+AA2699+AB2699+AC2699</f>
        <v>0</v>
      </c>
      <c r="AE2699" s="72">
        <v>0</v>
      </c>
      <c r="AF2699" s="5"/>
      <c r="AG2699" s="6"/>
      <c r="AH2699" s="27"/>
      <c r="AI2699" s="44"/>
      <c r="AJ2699" s="26"/>
      <c r="AK2699" s="5"/>
      <c r="AL2699" s="82" t="s">
        <v>5603</v>
      </c>
      <c r="AM2699" s="76"/>
      <c r="AN2699" s="76"/>
      <c r="AO2699" s="76"/>
      <c r="AP2699" s="76"/>
      <c r="AQ2699" s="76"/>
      <c r="AR2699" s="76"/>
      <c r="AS2699" s="76"/>
      <c r="AT2699" s="76"/>
      <c r="AU2699" s="76"/>
      <c r="AV2699" s="76"/>
      <c r="AW2699" s="76"/>
      <c r="AX2699" s="76">
        <f>+AW2699*600000</f>
        <v>0</v>
      </c>
      <c r="AY2699" s="76"/>
      <c r="AZ2699" s="76">
        <f>+AY2699*70000</f>
        <v>0</v>
      </c>
      <c r="BA2699" s="76"/>
      <c r="BB2699" s="76"/>
      <c r="BC2699" s="76"/>
      <c r="BD2699" s="76">
        <f>+BC2699*30000</f>
        <v>0</v>
      </c>
      <c r="BE2699" s="76"/>
      <c r="BF2699" s="76"/>
      <c r="BG2699" s="76"/>
      <c r="BH2699" s="76"/>
      <c r="BI2699" s="76"/>
      <c r="BJ2699" s="76"/>
      <c r="BK2699" s="76"/>
      <c r="BL2699" s="76">
        <f>+BK2699*31500</f>
        <v>0</v>
      </c>
      <c r="BM2699" s="76"/>
      <c r="BN2699" s="76"/>
      <c r="BO2699" s="76"/>
      <c r="BP2699" s="76"/>
      <c r="BQ2699" s="76"/>
      <c r="BR2699" s="76"/>
      <c r="BS2699" s="76"/>
      <c r="BT2699" s="76"/>
      <c r="BU2699" s="76"/>
      <c r="BV2699" s="76"/>
      <c r="BW2699" s="76"/>
      <c r="BX2699" s="76"/>
      <c r="BY2699" s="76"/>
      <c r="BZ2699" s="76"/>
      <c r="CA2699" s="76"/>
      <c r="CB2699" s="76"/>
      <c r="CC2699" s="76"/>
      <c r="CD2699" s="76"/>
      <c r="CE2699" s="76"/>
      <c r="CF2699" s="76">
        <f>+CE2699*28000</f>
        <v>0</v>
      </c>
      <c r="CG2699" s="76"/>
      <c r="CH2699" s="76">
        <f>+CG2699*22500</f>
        <v>0</v>
      </c>
      <c r="CI2699" s="76"/>
      <c r="CJ2699" s="76">
        <f>+CI2699*26000</f>
        <v>0</v>
      </c>
      <c r="CK2699" s="76"/>
      <c r="CL2699" s="76"/>
      <c r="CM2699" s="76"/>
      <c r="CN2699" s="76">
        <f>+CM2699*22000</f>
        <v>0</v>
      </c>
      <c r="CO2699" s="76"/>
      <c r="CP2699" s="76">
        <f>+CO2699*46000</f>
        <v>0</v>
      </c>
      <c r="CQ2699" s="76"/>
      <c r="CR2699" s="76">
        <f>+CQ2699*49000</f>
        <v>0</v>
      </c>
      <c r="CS2699" s="76"/>
      <c r="CT2699" s="76"/>
      <c r="CU2699" s="56">
        <f>AN2699+AP2699+AR2699+AT2699+AV2699+AX2699+AZ2699+BB2699+BD2699+BF2699+BH2699+BJ2699+BL2699+BN2699+BP2699+BR2699+BT2699+BV2699+BX2699+BZ2699+CB2699+CD2699+CF2699+CH2699+CJ2699+CL2699+CN2699+CP2699+CR2699+CT2699</f>
        <v>0</v>
      </c>
      <c r="CV2699" s="76"/>
      <c r="CW2699" s="76">
        <f>+CV2699*1100</f>
        <v>0</v>
      </c>
      <c r="CX2699" s="76"/>
      <c r="CY2699" s="76">
        <f>+CX2699*106250</f>
        <v>0</v>
      </c>
      <c r="CZ2699" s="76"/>
      <c r="DA2699" s="76">
        <f>+CZ2699*34500</f>
        <v>0</v>
      </c>
      <c r="DB2699" s="76"/>
      <c r="DC2699" s="76">
        <f>+DB2699*25000</f>
        <v>0</v>
      </c>
      <c r="DD2699" s="219"/>
      <c r="DE2699" s="219"/>
      <c r="DF2699" s="166"/>
      <c r="DG2699" s="116"/>
      <c r="DH2699" s="117"/>
      <c r="DI2699" s="24"/>
      <c r="DJ2699" s="24"/>
      <c r="DK2699" s="24"/>
      <c r="DL2699" s="24"/>
      <c r="DM2699" s="24"/>
      <c r="DN2699" s="24"/>
      <c r="DO2699" s="24"/>
      <c r="DP2699" s="24"/>
      <c r="DQ2699" s="24"/>
      <c r="DR2699" s="24"/>
      <c r="DS2699" s="24"/>
      <c r="DT2699" s="24"/>
      <c r="DU2699" s="24"/>
    </row>
    <row r="2700" spans="1:125" s="8" customFormat="1" ht="84" x14ac:dyDescent="0.2">
      <c r="A2700" s="353">
        <v>41498</v>
      </c>
      <c r="B2700" s="60" t="s">
        <v>2847</v>
      </c>
      <c r="C2700" s="55" t="s">
        <v>355</v>
      </c>
      <c r="D2700" s="55" t="s">
        <v>3088</v>
      </c>
      <c r="E2700" s="353" t="str">
        <f>VLOOKUP(B2700&amp;C2700,Divipola!$C$2:$F$1138,4,FALSE)</f>
        <v>68296</v>
      </c>
      <c r="F2700" s="87"/>
      <c r="G2700" s="87"/>
      <c r="H2700" s="87"/>
      <c r="I2700" s="87"/>
      <c r="J2700" s="87"/>
      <c r="K2700" s="87"/>
      <c r="L2700" s="87"/>
      <c r="M2700" s="87"/>
      <c r="N2700" s="87"/>
      <c r="O2700" s="87"/>
      <c r="P2700" s="87"/>
      <c r="Q2700" s="87"/>
      <c r="R2700" s="87"/>
      <c r="S2700" s="87"/>
      <c r="T2700" s="87"/>
      <c r="U2700" s="88"/>
      <c r="V2700" s="89"/>
      <c r="W2700" s="96">
        <v>0</v>
      </c>
      <c r="X2700" s="71">
        <f>CU2700</f>
        <v>0</v>
      </c>
      <c r="Y2700" s="71">
        <f>CY2700</f>
        <v>0</v>
      </c>
      <c r="Z2700" s="71">
        <f>DA2700+DC2700+DE2700</f>
        <v>0</v>
      </c>
      <c r="AA2700" s="71">
        <f>CW2700</f>
        <v>0</v>
      </c>
      <c r="AB2700" s="71"/>
      <c r="AC2700" s="71">
        <v>0</v>
      </c>
      <c r="AD2700" s="71">
        <f>W2700+X2700+Y2700+Z2700+AA2700+AB2700+AC2700</f>
        <v>0</v>
      </c>
      <c r="AE2700" s="72">
        <v>0</v>
      </c>
      <c r="AF2700" s="5"/>
      <c r="AG2700" s="6"/>
      <c r="AH2700" s="27"/>
      <c r="AI2700" s="44"/>
      <c r="AJ2700" s="26"/>
      <c r="AK2700" s="5"/>
      <c r="AL2700" s="82" t="s">
        <v>5587</v>
      </c>
      <c r="AM2700" s="76"/>
      <c r="AN2700" s="76"/>
      <c r="AO2700" s="76"/>
      <c r="AP2700" s="76"/>
      <c r="AQ2700" s="76"/>
      <c r="AR2700" s="76"/>
      <c r="AS2700" s="76"/>
      <c r="AT2700" s="76"/>
      <c r="AU2700" s="76"/>
      <c r="AV2700" s="76"/>
      <c r="AW2700" s="76"/>
      <c r="AX2700" s="76">
        <f>+AW2700*600000</f>
        <v>0</v>
      </c>
      <c r="AY2700" s="76"/>
      <c r="AZ2700" s="76">
        <f>+AY2700*70000</f>
        <v>0</v>
      </c>
      <c r="BA2700" s="76"/>
      <c r="BB2700" s="76"/>
      <c r="BC2700" s="76"/>
      <c r="BD2700" s="76">
        <f>+BC2700*30000</f>
        <v>0</v>
      </c>
      <c r="BE2700" s="76"/>
      <c r="BF2700" s="76"/>
      <c r="BG2700" s="76"/>
      <c r="BH2700" s="76"/>
      <c r="BI2700" s="76"/>
      <c r="BJ2700" s="76"/>
      <c r="BK2700" s="76"/>
      <c r="BL2700" s="76">
        <f>+BK2700*31500</f>
        <v>0</v>
      </c>
      <c r="BM2700" s="76"/>
      <c r="BN2700" s="76"/>
      <c r="BO2700" s="76"/>
      <c r="BP2700" s="76"/>
      <c r="BQ2700" s="76"/>
      <c r="BR2700" s="76"/>
      <c r="BS2700" s="76"/>
      <c r="BT2700" s="76"/>
      <c r="BU2700" s="76"/>
      <c r="BV2700" s="76"/>
      <c r="BW2700" s="76"/>
      <c r="BX2700" s="76"/>
      <c r="BY2700" s="76"/>
      <c r="BZ2700" s="76"/>
      <c r="CA2700" s="76"/>
      <c r="CB2700" s="76"/>
      <c r="CC2700" s="76"/>
      <c r="CD2700" s="76"/>
      <c r="CE2700" s="76"/>
      <c r="CF2700" s="76">
        <f>+CE2700*28000</f>
        <v>0</v>
      </c>
      <c r="CG2700" s="76"/>
      <c r="CH2700" s="76">
        <f>+CG2700*22500</f>
        <v>0</v>
      </c>
      <c r="CI2700" s="76"/>
      <c r="CJ2700" s="76">
        <f>+CI2700*26000</f>
        <v>0</v>
      </c>
      <c r="CK2700" s="76"/>
      <c r="CL2700" s="76"/>
      <c r="CM2700" s="76"/>
      <c r="CN2700" s="76">
        <f>+CM2700*22000</f>
        <v>0</v>
      </c>
      <c r="CO2700" s="76"/>
      <c r="CP2700" s="76">
        <f>+CO2700*46000</f>
        <v>0</v>
      </c>
      <c r="CQ2700" s="76"/>
      <c r="CR2700" s="76">
        <f>+CQ2700*49000</f>
        <v>0</v>
      </c>
      <c r="CS2700" s="76"/>
      <c r="CT2700" s="76"/>
      <c r="CU2700" s="56">
        <f>AN2700+AP2700+AR2700+AT2700+AV2700+AX2700+AZ2700+BB2700+BD2700+BF2700+BH2700+BJ2700+BL2700+BN2700+BP2700+BR2700+BT2700+BV2700+BX2700+BZ2700+CB2700+CD2700+CF2700+CH2700+CJ2700+CL2700+CN2700+CP2700+CR2700+CT2700</f>
        <v>0</v>
      </c>
      <c r="CV2700" s="76"/>
      <c r="CW2700" s="76">
        <f>+CV2700*1100</f>
        <v>0</v>
      </c>
      <c r="CX2700" s="76"/>
      <c r="CY2700" s="76">
        <f>+CX2700*106250</f>
        <v>0</v>
      </c>
      <c r="CZ2700" s="76"/>
      <c r="DA2700" s="76">
        <f>+CZ2700*34500</f>
        <v>0</v>
      </c>
      <c r="DB2700" s="76"/>
      <c r="DC2700" s="76">
        <f>+DB2700*25000</f>
        <v>0</v>
      </c>
      <c r="DD2700" s="219"/>
      <c r="DE2700" s="219"/>
      <c r="DF2700" s="166"/>
      <c r="DG2700" s="116"/>
      <c r="DH2700" s="117"/>
      <c r="DI2700" s="24"/>
      <c r="DJ2700" s="24"/>
      <c r="DK2700" s="24"/>
      <c r="DL2700" s="24"/>
      <c r="DM2700" s="24"/>
      <c r="DN2700" s="24"/>
      <c r="DO2700" s="24"/>
      <c r="DP2700" s="24"/>
      <c r="DQ2700" s="24"/>
      <c r="DR2700" s="24"/>
      <c r="DS2700" s="24"/>
      <c r="DT2700" s="24"/>
      <c r="DU2700" s="24"/>
    </row>
    <row r="2701" spans="1:125" s="8" customFormat="1" ht="120" x14ac:dyDescent="0.2">
      <c r="A2701" s="77">
        <v>41498</v>
      </c>
      <c r="B2701" s="78" t="s">
        <v>2847</v>
      </c>
      <c r="C2701" s="75" t="s">
        <v>1734</v>
      </c>
      <c r="D2701" s="75" t="s">
        <v>3051</v>
      </c>
      <c r="E2701" s="353" t="str">
        <f>VLOOKUP(B2701&amp;C2701,Divipola!$C$2:$F$1138,4,FALSE)</f>
        <v>68432</v>
      </c>
      <c r="F2701" s="87"/>
      <c r="G2701" s="87"/>
      <c r="H2701" s="87"/>
      <c r="I2701" s="87">
        <v>150</v>
      </c>
      <c r="J2701" s="87">
        <v>30</v>
      </c>
      <c r="K2701" s="87"/>
      <c r="L2701" s="87">
        <v>30</v>
      </c>
      <c r="M2701" s="87"/>
      <c r="N2701" s="87"/>
      <c r="O2701" s="87"/>
      <c r="P2701" s="87"/>
      <c r="Q2701" s="87"/>
      <c r="R2701" s="87"/>
      <c r="S2701" s="87"/>
      <c r="T2701" s="87"/>
      <c r="U2701" s="88"/>
      <c r="V2701" s="89"/>
      <c r="W2701" s="96">
        <v>0</v>
      </c>
      <c r="X2701" s="71">
        <f>CU2701</f>
        <v>0</v>
      </c>
      <c r="Y2701" s="71">
        <f>CY2701</f>
        <v>0</v>
      </c>
      <c r="Z2701" s="71">
        <f>DA2701+DC2701+DE2701</f>
        <v>0</v>
      </c>
      <c r="AA2701" s="71">
        <f>CW2701</f>
        <v>0</v>
      </c>
      <c r="AB2701" s="71"/>
      <c r="AC2701" s="71">
        <v>0</v>
      </c>
      <c r="AD2701" s="71">
        <f>W2701+X2701+Y2701+Z2701+AA2701+AB2701+AC2701</f>
        <v>0</v>
      </c>
      <c r="AE2701" s="72">
        <v>0</v>
      </c>
      <c r="AF2701" s="5"/>
      <c r="AG2701" s="6"/>
      <c r="AH2701" s="27"/>
      <c r="AI2701" s="44"/>
      <c r="AJ2701" s="26"/>
      <c r="AK2701" s="5"/>
      <c r="AL2701" s="82" t="s">
        <v>5600</v>
      </c>
      <c r="AM2701" s="76"/>
      <c r="AN2701" s="76"/>
      <c r="AO2701" s="76"/>
      <c r="AP2701" s="76"/>
      <c r="AQ2701" s="76"/>
      <c r="AR2701" s="76"/>
      <c r="AS2701" s="76"/>
      <c r="AT2701" s="76"/>
      <c r="AU2701" s="76"/>
      <c r="AV2701" s="76"/>
      <c r="AW2701" s="76"/>
      <c r="AX2701" s="76">
        <f>+AW2701*600000</f>
        <v>0</v>
      </c>
      <c r="AY2701" s="76"/>
      <c r="AZ2701" s="76">
        <f>+AY2701*70000</f>
        <v>0</v>
      </c>
      <c r="BA2701" s="76"/>
      <c r="BB2701" s="76"/>
      <c r="BC2701" s="76"/>
      <c r="BD2701" s="76">
        <f>+BC2701*30000</f>
        <v>0</v>
      </c>
      <c r="BE2701" s="76"/>
      <c r="BF2701" s="76"/>
      <c r="BG2701" s="76"/>
      <c r="BH2701" s="76"/>
      <c r="BI2701" s="76"/>
      <c r="BJ2701" s="76"/>
      <c r="BK2701" s="76"/>
      <c r="BL2701" s="76">
        <f>+BK2701*31500</f>
        <v>0</v>
      </c>
      <c r="BM2701" s="76"/>
      <c r="BN2701" s="76"/>
      <c r="BO2701" s="76"/>
      <c r="BP2701" s="76"/>
      <c r="BQ2701" s="76"/>
      <c r="BR2701" s="76"/>
      <c r="BS2701" s="76"/>
      <c r="BT2701" s="76"/>
      <c r="BU2701" s="76"/>
      <c r="BV2701" s="76"/>
      <c r="BW2701" s="76"/>
      <c r="BX2701" s="76"/>
      <c r="BY2701" s="76"/>
      <c r="BZ2701" s="76"/>
      <c r="CA2701" s="76"/>
      <c r="CB2701" s="76"/>
      <c r="CC2701" s="76"/>
      <c r="CD2701" s="76"/>
      <c r="CE2701" s="76"/>
      <c r="CF2701" s="76">
        <f>+CE2701*28000</f>
        <v>0</v>
      </c>
      <c r="CG2701" s="76"/>
      <c r="CH2701" s="76">
        <f>+CG2701*22500</f>
        <v>0</v>
      </c>
      <c r="CI2701" s="76"/>
      <c r="CJ2701" s="76">
        <f>+CI2701*26000</f>
        <v>0</v>
      </c>
      <c r="CK2701" s="76"/>
      <c r="CL2701" s="76"/>
      <c r="CM2701" s="76"/>
      <c r="CN2701" s="76">
        <f>+CM2701*22000</f>
        <v>0</v>
      </c>
      <c r="CO2701" s="76"/>
      <c r="CP2701" s="76">
        <f>+CO2701*46000</f>
        <v>0</v>
      </c>
      <c r="CQ2701" s="76"/>
      <c r="CR2701" s="76">
        <f>+CQ2701*49000</f>
        <v>0</v>
      </c>
      <c r="CS2701" s="76"/>
      <c r="CT2701" s="76"/>
      <c r="CU2701" s="56">
        <f>AN2701+AP2701+AR2701+AT2701+AV2701+AX2701+AZ2701+BB2701+BD2701+BF2701+BH2701+BJ2701+BL2701+BN2701+BP2701+BR2701+BT2701+BV2701+BX2701+BZ2701+CB2701+CD2701+CF2701+CH2701+CJ2701+CL2701+CN2701+CP2701+CR2701+CT2701</f>
        <v>0</v>
      </c>
      <c r="CV2701" s="76"/>
      <c r="CW2701" s="76">
        <f>+CV2701*1100</f>
        <v>0</v>
      </c>
      <c r="CX2701" s="76"/>
      <c r="CY2701" s="76">
        <f>+CX2701*106250</f>
        <v>0</v>
      </c>
      <c r="CZ2701" s="76"/>
      <c r="DA2701" s="76">
        <f>+CZ2701*34500</f>
        <v>0</v>
      </c>
      <c r="DB2701" s="76"/>
      <c r="DC2701" s="76">
        <f>+DB2701*25000</f>
        <v>0</v>
      </c>
      <c r="DD2701" s="219"/>
      <c r="DE2701" s="219"/>
      <c r="DF2701" s="166"/>
      <c r="DG2701" s="116"/>
      <c r="DH2701" s="117"/>
      <c r="DI2701" s="24"/>
      <c r="DJ2701" s="24"/>
      <c r="DK2701" s="24"/>
      <c r="DL2701" s="24"/>
      <c r="DM2701" s="24"/>
      <c r="DN2701" s="24"/>
      <c r="DO2701" s="24"/>
      <c r="DP2701" s="24"/>
      <c r="DQ2701" s="24"/>
      <c r="DR2701" s="24"/>
      <c r="DS2701" s="24"/>
      <c r="DT2701" s="24"/>
      <c r="DU2701" s="24"/>
    </row>
    <row r="2702" spans="1:125" s="8" customFormat="1" ht="72" x14ac:dyDescent="0.2">
      <c r="A2702" s="353">
        <v>41498</v>
      </c>
      <c r="B2702" s="352" t="s">
        <v>2847</v>
      </c>
      <c r="C2702" s="354" t="s">
        <v>1380</v>
      </c>
      <c r="D2702" s="354" t="s">
        <v>3088</v>
      </c>
      <c r="E2702" s="353" t="str">
        <f>VLOOKUP(B2702&amp;C2702,Divipola!$C$2:$F$1138,4,FALSE)</f>
        <v>68615</v>
      </c>
      <c r="F2702" s="87"/>
      <c r="G2702" s="87"/>
      <c r="H2702" s="87"/>
      <c r="I2702" s="87"/>
      <c r="J2702" s="87"/>
      <c r="K2702" s="87"/>
      <c r="L2702" s="87"/>
      <c r="M2702" s="87">
        <v>1</v>
      </c>
      <c r="N2702" s="87"/>
      <c r="O2702" s="87"/>
      <c r="P2702" s="87"/>
      <c r="Q2702" s="87"/>
      <c r="R2702" s="87"/>
      <c r="S2702" s="87"/>
      <c r="T2702" s="87"/>
      <c r="U2702" s="88"/>
      <c r="V2702" s="89"/>
      <c r="W2702" s="96">
        <v>0</v>
      </c>
      <c r="X2702" s="71">
        <f>CU2702</f>
        <v>0</v>
      </c>
      <c r="Y2702" s="71">
        <f>CY2702</f>
        <v>0</v>
      </c>
      <c r="Z2702" s="71">
        <f>DA2702+DC2702+DE2702</f>
        <v>0</v>
      </c>
      <c r="AA2702" s="71">
        <f>CW2702</f>
        <v>0</v>
      </c>
      <c r="AB2702" s="71"/>
      <c r="AC2702" s="71">
        <v>0</v>
      </c>
      <c r="AD2702" s="71">
        <f>W2702+X2702+Y2702+Z2702+AA2702+AB2702+AC2702</f>
        <v>0</v>
      </c>
      <c r="AE2702" s="72">
        <v>0</v>
      </c>
      <c r="AF2702" s="5"/>
      <c r="AG2702" s="6"/>
      <c r="AH2702" s="27"/>
      <c r="AI2702" s="44"/>
      <c r="AJ2702" s="26"/>
      <c r="AK2702" s="5"/>
      <c r="AL2702" s="82" t="s">
        <v>5590</v>
      </c>
      <c r="AM2702" s="76"/>
      <c r="AN2702" s="76"/>
      <c r="AO2702" s="76"/>
      <c r="AP2702" s="76"/>
      <c r="AQ2702" s="76"/>
      <c r="AR2702" s="76"/>
      <c r="AS2702" s="76"/>
      <c r="AT2702" s="76"/>
      <c r="AU2702" s="76"/>
      <c r="AV2702" s="76"/>
      <c r="AW2702" s="76"/>
      <c r="AX2702" s="76">
        <f>+AW2702*600000</f>
        <v>0</v>
      </c>
      <c r="AY2702" s="76"/>
      <c r="AZ2702" s="76">
        <f>+AY2702*70000</f>
        <v>0</v>
      </c>
      <c r="BA2702" s="76"/>
      <c r="BB2702" s="76"/>
      <c r="BC2702" s="76"/>
      <c r="BD2702" s="76">
        <f>+BC2702*30000</f>
        <v>0</v>
      </c>
      <c r="BE2702" s="76"/>
      <c r="BF2702" s="76"/>
      <c r="BG2702" s="76"/>
      <c r="BH2702" s="76"/>
      <c r="BI2702" s="76"/>
      <c r="BJ2702" s="76"/>
      <c r="BK2702" s="76"/>
      <c r="BL2702" s="76">
        <f>+BK2702*31500</f>
        <v>0</v>
      </c>
      <c r="BM2702" s="76"/>
      <c r="BN2702" s="76"/>
      <c r="BO2702" s="76"/>
      <c r="BP2702" s="76"/>
      <c r="BQ2702" s="76"/>
      <c r="BR2702" s="76"/>
      <c r="BS2702" s="76"/>
      <c r="BT2702" s="76"/>
      <c r="BU2702" s="76"/>
      <c r="BV2702" s="76"/>
      <c r="BW2702" s="76"/>
      <c r="BX2702" s="76"/>
      <c r="BY2702" s="76"/>
      <c r="BZ2702" s="76"/>
      <c r="CA2702" s="76"/>
      <c r="CB2702" s="76"/>
      <c r="CC2702" s="76"/>
      <c r="CD2702" s="76"/>
      <c r="CE2702" s="76"/>
      <c r="CF2702" s="76">
        <f>+CE2702*28000</f>
        <v>0</v>
      </c>
      <c r="CG2702" s="76"/>
      <c r="CH2702" s="76">
        <f>+CG2702*22500</f>
        <v>0</v>
      </c>
      <c r="CI2702" s="76"/>
      <c r="CJ2702" s="76">
        <f>+CI2702*26000</f>
        <v>0</v>
      </c>
      <c r="CK2702" s="76"/>
      <c r="CL2702" s="76"/>
      <c r="CM2702" s="76"/>
      <c r="CN2702" s="76">
        <f>+CM2702*22000</f>
        <v>0</v>
      </c>
      <c r="CO2702" s="76"/>
      <c r="CP2702" s="76">
        <f>+CO2702*46000</f>
        <v>0</v>
      </c>
      <c r="CQ2702" s="76"/>
      <c r="CR2702" s="76">
        <f>+CQ2702*49000</f>
        <v>0</v>
      </c>
      <c r="CS2702" s="76"/>
      <c r="CT2702" s="76"/>
      <c r="CU2702" s="56">
        <f>AN2702+AP2702+AR2702+AT2702+AV2702+AX2702+AZ2702+BB2702+BD2702+BF2702+BH2702+BJ2702+BL2702+BN2702+BP2702+BR2702+BT2702+BV2702+BX2702+BZ2702+CB2702+CD2702+CF2702+CH2702+CJ2702+CL2702+CN2702+CP2702+CR2702+CT2702</f>
        <v>0</v>
      </c>
      <c r="CV2702" s="76"/>
      <c r="CW2702" s="76">
        <f>+CV2702*1100</f>
        <v>0</v>
      </c>
      <c r="CX2702" s="76"/>
      <c r="CY2702" s="76">
        <f>+CX2702*106250</f>
        <v>0</v>
      </c>
      <c r="CZ2702" s="76"/>
      <c r="DA2702" s="76">
        <f>+CZ2702*34500</f>
        <v>0</v>
      </c>
      <c r="DB2702" s="76"/>
      <c r="DC2702" s="76">
        <f>+DB2702*25000</f>
        <v>0</v>
      </c>
      <c r="DD2702" s="219"/>
      <c r="DE2702" s="219"/>
      <c r="DF2702" s="166"/>
      <c r="DG2702" s="116"/>
      <c r="DH2702" s="117"/>
      <c r="DI2702" s="24"/>
      <c r="DJ2702" s="24"/>
      <c r="DK2702" s="24"/>
      <c r="DL2702" s="24"/>
      <c r="DM2702" s="24"/>
      <c r="DN2702" s="24"/>
      <c r="DO2702" s="24"/>
      <c r="DP2702" s="24"/>
      <c r="DQ2702" s="24"/>
      <c r="DR2702" s="24"/>
      <c r="DS2702" s="24"/>
      <c r="DT2702" s="24"/>
      <c r="DU2702" s="24"/>
    </row>
    <row r="2703" spans="1:125" s="8" customFormat="1" ht="72" x14ac:dyDescent="0.2">
      <c r="A2703" s="353">
        <v>41498</v>
      </c>
      <c r="B2703" s="352" t="s">
        <v>2847</v>
      </c>
      <c r="C2703" s="354" t="s">
        <v>1768</v>
      </c>
      <c r="D2703" s="354" t="s">
        <v>3088</v>
      </c>
      <c r="E2703" s="353" t="str">
        <f>VLOOKUP(B2703&amp;C2703,Divipola!$C$2:$F$1138,4,FALSE)</f>
        <v>68679</v>
      </c>
      <c r="F2703" s="87"/>
      <c r="G2703" s="87"/>
      <c r="H2703" s="87"/>
      <c r="I2703" s="87"/>
      <c r="J2703" s="87"/>
      <c r="K2703" s="87"/>
      <c r="L2703" s="87"/>
      <c r="M2703" s="87">
        <v>1</v>
      </c>
      <c r="N2703" s="87"/>
      <c r="O2703" s="87"/>
      <c r="P2703" s="87"/>
      <c r="Q2703" s="87"/>
      <c r="R2703" s="87"/>
      <c r="S2703" s="87"/>
      <c r="T2703" s="87"/>
      <c r="U2703" s="88"/>
      <c r="V2703" s="89"/>
      <c r="W2703" s="96">
        <v>0</v>
      </c>
      <c r="X2703" s="71">
        <f>CU2703</f>
        <v>0</v>
      </c>
      <c r="Y2703" s="71">
        <f>CY2703</f>
        <v>0</v>
      </c>
      <c r="Z2703" s="71">
        <f>DA2703+DC2703+DE2703</f>
        <v>0</v>
      </c>
      <c r="AA2703" s="71">
        <f>CW2703</f>
        <v>0</v>
      </c>
      <c r="AB2703" s="71"/>
      <c r="AC2703" s="71">
        <v>0</v>
      </c>
      <c r="AD2703" s="71">
        <f>W2703+X2703+Y2703+Z2703+AA2703+AB2703+AC2703</f>
        <v>0</v>
      </c>
      <c r="AE2703" s="72">
        <v>0</v>
      </c>
      <c r="AF2703" s="5"/>
      <c r="AG2703" s="6"/>
      <c r="AH2703" s="27"/>
      <c r="AI2703" s="44"/>
      <c r="AJ2703" s="26"/>
      <c r="AK2703" s="5"/>
      <c r="AL2703" s="82" t="s">
        <v>5589</v>
      </c>
      <c r="AM2703" s="76"/>
      <c r="AN2703" s="76"/>
      <c r="AO2703" s="76"/>
      <c r="AP2703" s="76"/>
      <c r="AQ2703" s="76"/>
      <c r="AR2703" s="76"/>
      <c r="AS2703" s="76"/>
      <c r="AT2703" s="76"/>
      <c r="AU2703" s="76"/>
      <c r="AV2703" s="76"/>
      <c r="AW2703" s="76"/>
      <c r="AX2703" s="76">
        <f>+AW2703*600000</f>
        <v>0</v>
      </c>
      <c r="AY2703" s="76"/>
      <c r="AZ2703" s="76">
        <f>+AY2703*70000</f>
        <v>0</v>
      </c>
      <c r="BA2703" s="76"/>
      <c r="BB2703" s="76"/>
      <c r="BC2703" s="76"/>
      <c r="BD2703" s="76">
        <f>+BC2703*30000</f>
        <v>0</v>
      </c>
      <c r="BE2703" s="76"/>
      <c r="BF2703" s="76"/>
      <c r="BG2703" s="76"/>
      <c r="BH2703" s="76"/>
      <c r="BI2703" s="76"/>
      <c r="BJ2703" s="76"/>
      <c r="BK2703" s="76"/>
      <c r="BL2703" s="76">
        <f>+BK2703*31500</f>
        <v>0</v>
      </c>
      <c r="BM2703" s="76"/>
      <c r="BN2703" s="76"/>
      <c r="BO2703" s="76"/>
      <c r="BP2703" s="76"/>
      <c r="BQ2703" s="76"/>
      <c r="BR2703" s="76"/>
      <c r="BS2703" s="76"/>
      <c r="BT2703" s="76"/>
      <c r="BU2703" s="76"/>
      <c r="BV2703" s="76"/>
      <c r="BW2703" s="76"/>
      <c r="BX2703" s="76"/>
      <c r="BY2703" s="76"/>
      <c r="BZ2703" s="76"/>
      <c r="CA2703" s="76"/>
      <c r="CB2703" s="76"/>
      <c r="CC2703" s="76"/>
      <c r="CD2703" s="76"/>
      <c r="CE2703" s="76"/>
      <c r="CF2703" s="76">
        <f>+CE2703*28000</f>
        <v>0</v>
      </c>
      <c r="CG2703" s="76"/>
      <c r="CH2703" s="76">
        <f>+CG2703*22500</f>
        <v>0</v>
      </c>
      <c r="CI2703" s="76"/>
      <c r="CJ2703" s="76">
        <f>+CI2703*26000</f>
        <v>0</v>
      </c>
      <c r="CK2703" s="76"/>
      <c r="CL2703" s="76"/>
      <c r="CM2703" s="76"/>
      <c r="CN2703" s="76">
        <f>+CM2703*22000</f>
        <v>0</v>
      </c>
      <c r="CO2703" s="76"/>
      <c r="CP2703" s="76">
        <f>+CO2703*46000</f>
        <v>0</v>
      </c>
      <c r="CQ2703" s="76"/>
      <c r="CR2703" s="76">
        <f>+CQ2703*49000</f>
        <v>0</v>
      </c>
      <c r="CS2703" s="76"/>
      <c r="CT2703" s="76"/>
      <c r="CU2703" s="56">
        <f>AN2703+AP2703+AR2703+AT2703+AV2703+AX2703+AZ2703+BB2703+BD2703+BF2703+BH2703+BJ2703+BL2703+BN2703+BP2703+BR2703+BT2703+BV2703+BX2703+BZ2703+CB2703+CD2703+CF2703+CH2703+CJ2703+CL2703+CN2703+CP2703+CR2703+CT2703</f>
        <v>0</v>
      </c>
      <c r="CV2703" s="76"/>
      <c r="CW2703" s="76">
        <f>+CV2703*1100</f>
        <v>0</v>
      </c>
      <c r="CX2703" s="76"/>
      <c r="CY2703" s="76">
        <f>+CX2703*106250</f>
        <v>0</v>
      </c>
      <c r="CZ2703" s="76"/>
      <c r="DA2703" s="76">
        <f>+CZ2703*34500</f>
        <v>0</v>
      </c>
      <c r="DB2703" s="76"/>
      <c r="DC2703" s="76">
        <f>+DB2703*25000</f>
        <v>0</v>
      </c>
      <c r="DD2703" s="219"/>
      <c r="DE2703" s="219"/>
      <c r="DF2703" s="166"/>
      <c r="DG2703" s="116"/>
      <c r="DH2703" s="117"/>
      <c r="DI2703" s="24"/>
      <c r="DJ2703" s="24"/>
      <c r="DK2703" s="24"/>
      <c r="DL2703" s="24"/>
      <c r="DM2703" s="24"/>
      <c r="DN2703" s="24"/>
      <c r="DO2703" s="24"/>
      <c r="DP2703" s="24"/>
      <c r="DQ2703" s="24"/>
      <c r="DR2703" s="24"/>
      <c r="DS2703" s="24"/>
      <c r="DT2703" s="24"/>
      <c r="DU2703" s="24"/>
    </row>
    <row r="2704" spans="1:125" s="8" customFormat="1" ht="60" x14ac:dyDescent="0.2">
      <c r="A2704" s="353">
        <v>41498</v>
      </c>
      <c r="B2704" s="225" t="s">
        <v>2847</v>
      </c>
      <c r="C2704" s="227" t="s">
        <v>1768</v>
      </c>
      <c r="D2704" s="354" t="s">
        <v>3051</v>
      </c>
      <c r="E2704" s="353" t="str">
        <f>VLOOKUP(B2704&amp;C2704,Divipola!$C$2:$F$1138,4,FALSE)</f>
        <v>68679</v>
      </c>
      <c r="F2704" s="87"/>
      <c r="G2704" s="87"/>
      <c r="H2704" s="87"/>
      <c r="I2704" s="87">
        <v>15</v>
      </c>
      <c r="J2704" s="87">
        <v>3</v>
      </c>
      <c r="K2704" s="87"/>
      <c r="L2704" s="87">
        <v>3</v>
      </c>
      <c r="M2704" s="87"/>
      <c r="N2704" s="87"/>
      <c r="O2704" s="87"/>
      <c r="P2704" s="87"/>
      <c r="Q2704" s="87"/>
      <c r="R2704" s="87"/>
      <c r="S2704" s="87"/>
      <c r="T2704" s="87"/>
      <c r="U2704" s="88"/>
      <c r="V2704" s="89"/>
      <c r="W2704" s="96">
        <v>0</v>
      </c>
      <c r="X2704" s="71">
        <f>CU2704</f>
        <v>0</v>
      </c>
      <c r="Y2704" s="71">
        <f>CY2704</f>
        <v>0</v>
      </c>
      <c r="Z2704" s="71">
        <f>DA2704+DC2704+DE2704</f>
        <v>0</v>
      </c>
      <c r="AA2704" s="71">
        <f>CW2704</f>
        <v>0</v>
      </c>
      <c r="AB2704" s="71"/>
      <c r="AC2704" s="71">
        <v>0</v>
      </c>
      <c r="AD2704" s="71">
        <f>W2704+X2704+Y2704+Z2704+AA2704+AB2704+AC2704</f>
        <v>0</v>
      </c>
      <c r="AE2704" s="72">
        <v>0</v>
      </c>
      <c r="AF2704" s="5"/>
      <c r="AG2704" s="6"/>
      <c r="AH2704" s="27"/>
      <c r="AI2704" s="44"/>
      <c r="AJ2704" s="26"/>
      <c r="AK2704" s="5"/>
      <c r="AL2704" s="82" t="s">
        <v>5588</v>
      </c>
      <c r="AM2704" s="76"/>
      <c r="AN2704" s="76"/>
      <c r="AO2704" s="76"/>
      <c r="AP2704" s="76"/>
      <c r="AQ2704" s="76"/>
      <c r="AR2704" s="76"/>
      <c r="AS2704" s="76"/>
      <c r="AT2704" s="76"/>
      <c r="AU2704" s="76"/>
      <c r="AV2704" s="76"/>
      <c r="AW2704" s="76"/>
      <c r="AX2704" s="76">
        <f>+AW2704*600000</f>
        <v>0</v>
      </c>
      <c r="AY2704" s="76"/>
      <c r="AZ2704" s="76">
        <f>+AY2704*70000</f>
        <v>0</v>
      </c>
      <c r="BA2704" s="76"/>
      <c r="BB2704" s="76"/>
      <c r="BC2704" s="76"/>
      <c r="BD2704" s="76">
        <f>+BC2704*30000</f>
        <v>0</v>
      </c>
      <c r="BE2704" s="76"/>
      <c r="BF2704" s="76"/>
      <c r="BG2704" s="76"/>
      <c r="BH2704" s="76"/>
      <c r="BI2704" s="76"/>
      <c r="BJ2704" s="76"/>
      <c r="BK2704" s="76"/>
      <c r="BL2704" s="76">
        <f>+BK2704*31500</f>
        <v>0</v>
      </c>
      <c r="BM2704" s="76"/>
      <c r="BN2704" s="76"/>
      <c r="BO2704" s="76"/>
      <c r="BP2704" s="76"/>
      <c r="BQ2704" s="76"/>
      <c r="BR2704" s="76"/>
      <c r="BS2704" s="76"/>
      <c r="BT2704" s="76"/>
      <c r="BU2704" s="76"/>
      <c r="BV2704" s="76"/>
      <c r="BW2704" s="76"/>
      <c r="BX2704" s="76"/>
      <c r="BY2704" s="76"/>
      <c r="BZ2704" s="76"/>
      <c r="CA2704" s="76"/>
      <c r="CB2704" s="76"/>
      <c r="CC2704" s="76"/>
      <c r="CD2704" s="76"/>
      <c r="CE2704" s="76"/>
      <c r="CF2704" s="76">
        <f>+CE2704*28000</f>
        <v>0</v>
      </c>
      <c r="CG2704" s="76"/>
      <c r="CH2704" s="76">
        <f>+CG2704*22500</f>
        <v>0</v>
      </c>
      <c r="CI2704" s="76"/>
      <c r="CJ2704" s="76">
        <f>+CI2704*26000</f>
        <v>0</v>
      </c>
      <c r="CK2704" s="76"/>
      <c r="CL2704" s="76"/>
      <c r="CM2704" s="76"/>
      <c r="CN2704" s="76">
        <f>+CM2704*22000</f>
        <v>0</v>
      </c>
      <c r="CO2704" s="76"/>
      <c r="CP2704" s="76">
        <f>+CO2704*46000</f>
        <v>0</v>
      </c>
      <c r="CQ2704" s="76"/>
      <c r="CR2704" s="76">
        <f>+CQ2704*49000</f>
        <v>0</v>
      </c>
      <c r="CS2704" s="76"/>
      <c r="CT2704" s="76"/>
      <c r="CU2704" s="56">
        <f>AN2704+AP2704+AR2704+AT2704+AV2704+AX2704+AZ2704+BB2704+BD2704+BF2704+BH2704+BJ2704+BL2704+BN2704+BP2704+BR2704+BT2704+BV2704+BX2704+BZ2704+CB2704+CD2704+CF2704+CH2704+CJ2704+CL2704+CN2704+CP2704+CR2704+CT2704</f>
        <v>0</v>
      </c>
      <c r="CV2704" s="76"/>
      <c r="CW2704" s="76">
        <f>+CV2704*1100</f>
        <v>0</v>
      </c>
      <c r="CX2704" s="76"/>
      <c r="CY2704" s="76">
        <f>+CX2704*106250</f>
        <v>0</v>
      </c>
      <c r="CZ2704" s="76"/>
      <c r="DA2704" s="76">
        <f>+CZ2704*34500</f>
        <v>0</v>
      </c>
      <c r="DB2704" s="76"/>
      <c r="DC2704" s="76">
        <f>+DB2704*25000</f>
        <v>0</v>
      </c>
      <c r="DD2704" s="219"/>
      <c r="DE2704" s="219"/>
      <c r="DF2704" s="166"/>
      <c r="DG2704" s="116"/>
      <c r="DH2704" s="117"/>
      <c r="DI2704" s="24"/>
      <c r="DJ2704" s="24"/>
      <c r="DK2704" s="24"/>
      <c r="DL2704" s="24"/>
      <c r="DM2704" s="24"/>
      <c r="DN2704" s="24"/>
      <c r="DO2704" s="24"/>
      <c r="DP2704" s="24"/>
      <c r="DQ2704" s="24"/>
      <c r="DR2704" s="24"/>
      <c r="DS2704" s="24"/>
      <c r="DT2704" s="24"/>
      <c r="DU2704" s="24"/>
    </row>
    <row r="2705" spans="1:125" s="8" customFormat="1" ht="36" x14ac:dyDescent="0.2">
      <c r="A2705" s="353">
        <v>41498</v>
      </c>
      <c r="B2705" s="225" t="s">
        <v>2848</v>
      </c>
      <c r="C2705" s="227" t="s">
        <v>1684</v>
      </c>
      <c r="D2705" s="227" t="s">
        <v>2846</v>
      </c>
      <c r="E2705" s="353" t="str">
        <f>VLOOKUP(B2705&amp;C2705,Divipola!$C$2:$F$1138,4,FALSE)</f>
        <v>73055</v>
      </c>
      <c r="F2705" s="87"/>
      <c r="G2705" s="87"/>
      <c r="H2705" s="87"/>
      <c r="I2705" s="87"/>
      <c r="J2705" s="87"/>
      <c r="K2705" s="87"/>
      <c r="L2705" s="87"/>
      <c r="M2705" s="87"/>
      <c r="N2705" s="87"/>
      <c r="O2705" s="87"/>
      <c r="P2705" s="87"/>
      <c r="Q2705" s="87"/>
      <c r="R2705" s="87"/>
      <c r="S2705" s="87"/>
      <c r="T2705" s="87"/>
      <c r="U2705" s="88">
        <v>10</v>
      </c>
      <c r="V2705" s="89"/>
      <c r="W2705" s="96">
        <v>0</v>
      </c>
      <c r="X2705" s="71">
        <f>CU2705</f>
        <v>0</v>
      </c>
      <c r="Y2705" s="71">
        <f>CY2705</f>
        <v>0</v>
      </c>
      <c r="Z2705" s="71">
        <f>DA2705+DC2705+DE2705</f>
        <v>0</v>
      </c>
      <c r="AA2705" s="71">
        <f>CW2705</f>
        <v>0</v>
      </c>
      <c r="AB2705" s="71"/>
      <c r="AC2705" s="71">
        <v>0</v>
      </c>
      <c r="AD2705" s="71">
        <f>W2705+X2705+Y2705+Z2705+AA2705+AB2705+AC2705</f>
        <v>0</v>
      </c>
      <c r="AE2705" s="72">
        <v>0</v>
      </c>
      <c r="AF2705" s="5"/>
      <c r="AG2705" s="6"/>
      <c r="AH2705" s="27"/>
      <c r="AI2705" s="44"/>
      <c r="AJ2705" s="26"/>
      <c r="AK2705" s="5"/>
      <c r="AL2705" s="82" t="s">
        <v>5597</v>
      </c>
      <c r="AM2705" s="76"/>
      <c r="AN2705" s="76"/>
      <c r="AO2705" s="76"/>
      <c r="AP2705" s="76"/>
      <c r="AQ2705" s="76"/>
      <c r="AR2705" s="76"/>
      <c r="AS2705" s="76"/>
      <c r="AT2705" s="76"/>
      <c r="AU2705" s="76"/>
      <c r="AV2705" s="76"/>
      <c r="AW2705" s="76"/>
      <c r="AX2705" s="76">
        <f>+AW2705*600000</f>
        <v>0</v>
      </c>
      <c r="AY2705" s="76"/>
      <c r="AZ2705" s="76">
        <f>+AY2705*70000</f>
        <v>0</v>
      </c>
      <c r="BA2705" s="76"/>
      <c r="BB2705" s="76"/>
      <c r="BC2705" s="76"/>
      <c r="BD2705" s="76">
        <f>+BC2705*30000</f>
        <v>0</v>
      </c>
      <c r="BE2705" s="76"/>
      <c r="BF2705" s="76"/>
      <c r="BG2705" s="76"/>
      <c r="BH2705" s="76"/>
      <c r="BI2705" s="76"/>
      <c r="BJ2705" s="76"/>
      <c r="BK2705" s="76"/>
      <c r="BL2705" s="76">
        <f>+BK2705*31500</f>
        <v>0</v>
      </c>
      <c r="BM2705" s="76"/>
      <c r="BN2705" s="76"/>
      <c r="BO2705" s="76"/>
      <c r="BP2705" s="76"/>
      <c r="BQ2705" s="76"/>
      <c r="BR2705" s="76"/>
      <c r="BS2705" s="76"/>
      <c r="BT2705" s="76"/>
      <c r="BU2705" s="76"/>
      <c r="BV2705" s="76"/>
      <c r="BW2705" s="76"/>
      <c r="BX2705" s="76"/>
      <c r="BY2705" s="76"/>
      <c r="BZ2705" s="76"/>
      <c r="CA2705" s="76"/>
      <c r="CB2705" s="76"/>
      <c r="CC2705" s="76"/>
      <c r="CD2705" s="76"/>
      <c r="CE2705" s="76"/>
      <c r="CF2705" s="76">
        <f>+CE2705*28000</f>
        <v>0</v>
      </c>
      <c r="CG2705" s="76"/>
      <c r="CH2705" s="76">
        <f>+CG2705*22500</f>
        <v>0</v>
      </c>
      <c r="CI2705" s="76"/>
      <c r="CJ2705" s="76">
        <f>+CI2705*26000</f>
        <v>0</v>
      </c>
      <c r="CK2705" s="76"/>
      <c r="CL2705" s="76"/>
      <c r="CM2705" s="76"/>
      <c r="CN2705" s="76">
        <f>+CM2705*22000</f>
        <v>0</v>
      </c>
      <c r="CO2705" s="76"/>
      <c r="CP2705" s="76">
        <f>+CO2705*46000</f>
        <v>0</v>
      </c>
      <c r="CQ2705" s="76"/>
      <c r="CR2705" s="76">
        <f>+CQ2705*49000</f>
        <v>0</v>
      </c>
      <c r="CS2705" s="76"/>
      <c r="CT2705" s="76"/>
      <c r="CU2705" s="56">
        <f>AN2705+AP2705+AR2705+AT2705+AV2705+AX2705+AZ2705+BB2705+BD2705+BF2705+BH2705+BJ2705+BL2705+BN2705+BP2705+BR2705+BT2705+BV2705+BX2705+BZ2705+CB2705+CD2705+CF2705+CH2705+CJ2705+CL2705+CN2705+CP2705+CR2705+CT2705</f>
        <v>0</v>
      </c>
      <c r="CV2705" s="76"/>
      <c r="CW2705" s="76">
        <f>+CV2705*1100</f>
        <v>0</v>
      </c>
      <c r="CX2705" s="76"/>
      <c r="CY2705" s="76">
        <f>+CX2705*106250</f>
        <v>0</v>
      </c>
      <c r="CZ2705" s="76"/>
      <c r="DA2705" s="76">
        <f>+CZ2705*34500</f>
        <v>0</v>
      </c>
      <c r="DB2705" s="76"/>
      <c r="DC2705" s="76">
        <f>+DB2705*25000</f>
        <v>0</v>
      </c>
      <c r="DD2705" s="219"/>
      <c r="DE2705" s="219"/>
      <c r="DF2705" s="166"/>
      <c r="DG2705" s="116"/>
      <c r="DH2705" s="117"/>
      <c r="DI2705" s="24"/>
      <c r="DJ2705" s="24"/>
      <c r="DK2705" s="24"/>
      <c r="DL2705" s="24"/>
      <c r="DM2705" s="24"/>
      <c r="DN2705" s="24"/>
      <c r="DO2705" s="24"/>
      <c r="DP2705" s="24"/>
      <c r="DQ2705" s="24"/>
      <c r="DR2705" s="24"/>
      <c r="DS2705" s="24"/>
      <c r="DT2705" s="24"/>
      <c r="DU2705" s="24"/>
    </row>
    <row r="2706" spans="1:125" s="8" customFormat="1" ht="132" x14ac:dyDescent="0.2">
      <c r="A2706" s="353">
        <v>41498</v>
      </c>
      <c r="B2706" s="225" t="s">
        <v>2848</v>
      </c>
      <c r="C2706" s="227" t="s">
        <v>2755</v>
      </c>
      <c r="D2706" s="354" t="s">
        <v>3051</v>
      </c>
      <c r="E2706" s="353" t="str">
        <f>VLOOKUP(B2706&amp;C2706,Divipola!$C$2:$F$1138,4,FALSE)</f>
        <v>73001</v>
      </c>
      <c r="F2706" s="87"/>
      <c r="G2706" s="87"/>
      <c r="H2706" s="87"/>
      <c r="I2706" s="87"/>
      <c r="J2706" s="87"/>
      <c r="K2706" s="87"/>
      <c r="L2706" s="87"/>
      <c r="M2706" s="87"/>
      <c r="N2706" s="87"/>
      <c r="O2706" s="87"/>
      <c r="P2706" s="87"/>
      <c r="Q2706" s="87"/>
      <c r="R2706" s="87"/>
      <c r="S2706" s="87"/>
      <c r="T2706" s="87"/>
      <c r="U2706" s="88"/>
      <c r="V2706" s="89"/>
      <c r="W2706" s="96">
        <v>0</v>
      </c>
      <c r="X2706" s="71">
        <f>CU2706</f>
        <v>0</v>
      </c>
      <c r="Y2706" s="71">
        <f>CY2706</f>
        <v>0</v>
      </c>
      <c r="Z2706" s="71">
        <f>DA2706+DC2706+DE2706</f>
        <v>0</v>
      </c>
      <c r="AA2706" s="71">
        <f>CW2706</f>
        <v>0</v>
      </c>
      <c r="AB2706" s="71"/>
      <c r="AC2706" s="71">
        <v>0</v>
      </c>
      <c r="AD2706" s="71">
        <f>W2706+X2706+Y2706+Z2706+AA2706+AB2706+AC2706</f>
        <v>0</v>
      </c>
      <c r="AE2706" s="72">
        <v>0</v>
      </c>
      <c r="AF2706" s="5"/>
      <c r="AG2706" s="6"/>
      <c r="AH2706" s="27"/>
      <c r="AI2706" s="44"/>
      <c r="AJ2706" s="26"/>
      <c r="AK2706" s="5"/>
      <c r="AL2706" s="82" t="s">
        <v>5583</v>
      </c>
      <c r="AM2706" s="76"/>
      <c r="AN2706" s="76"/>
      <c r="AO2706" s="76"/>
      <c r="AP2706" s="76"/>
      <c r="AQ2706" s="76"/>
      <c r="AR2706" s="76"/>
      <c r="AS2706" s="76"/>
      <c r="AT2706" s="76"/>
      <c r="AU2706" s="76"/>
      <c r="AV2706" s="76"/>
      <c r="AW2706" s="76"/>
      <c r="AX2706" s="76">
        <f>+AW2706*600000</f>
        <v>0</v>
      </c>
      <c r="AY2706" s="76"/>
      <c r="AZ2706" s="76">
        <f>+AY2706*70000</f>
        <v>0</v>
      </c>
      <c r="BA2706" s="76"/>
      <c r="BB2706" s="76"/>
      <c r="BC2706" s="76"/>
      <c r="BD2706" s="76">
        <f>+BC2706*30000</f>
        <v>0</v>
      </c>
      <c r="BE2706" s="76"/>
      <c r="BF2706" s="76"/>
      <c r="BG2706" s="76"/>
      <c r="BH2706" s="76"/>
      <c r="BI2706" s="76"/>
      <c r="BJ2706" s="76"/>
      <c r="BK2706" s="76"/>
      <c r="BL2706" s="76">
        <f>+BK2706*31500</f>
        <v>0</v>
      </c>
      <c r="BM2706" s="76"/>
      <c r="BN2706" s="76"/>
      <c r="BO2706" s="76"/>
      <c r="BP2706" s="76"/>
      <c r="BQ2706" s="76"/>
      <c r="BR2706" s="76"/>
      <c r="BS2706" s="76"/>
      <c r="BT2706" s="76"/>
      <c r="BU2706" s="76"/>
      <c r="BV2706" s="76"/>
      <c r="BW2706" s="76"/>
      <c r="BX2706" s="76"/>
      <c r="BY2706" s="76"/>
      <c r="BZ2706" s="76"/>
      <c r="CA2706" s="76"/>
      <c r="CB2706" s="76"/>
      <c r="CC2706" s="76"/>
      <c r="CD2706" s="76"/>
      <c r="CE2706" s="76"/>
      <c r="CF2706" s="76">
        <f>+CE2706*28000</f>
        <v>0</v>
      </c>
      <c r="CG2706" s="76"/>
      <c r="CH2706" s="76">
        <f>+CG2706*22500</f>
        <v>0</v>
      </c>
      <c r="CI2706" s="76"/>
      <c r="CJ2706" s="76">
        <f>+CI2706*26000</f>
        <v>0</v>
      </c>
      <c r="CK2706" s="76"/>
      <c r="CL2706" s="76"/>
      <c r="CM2706" s="76"/>
      <c r="CN2706" s="76">
        <f>+CM2706*22000</f>
        <v>0</v>
      </c>
      <c r="CO2706" s="76"/>
      <c r="CP2706" s="76">
        <f>+CO2706*46000</f>
        <v>0</v>
      </c>
      <c r="CQ2706" s="76"/>
      <c r="CR2706" s="76">
        <f>+CQ2706*49000</f>
        <v>0</v>
      </c>
      <c r="CS2706" s="76"/>
      <c r="CT2706" s="76"/>
      <c r="CU2706" s="56">
        <f>AN2706+AP2706+AR2706+AT2706+AV2706+AX2706+AZ2706+BB2706+BD2706+BF2706+BH2706+BJ2706+BL2706+BN2706+BP2706+BR2706+BT2706+BV2706+BX2706+BZ2706+CB2706+CD2706+CF2706+CH2706+CJ2706+CL2706+CN2706+CP2706+CR2706+CT2706</f>
        <v>0</v>
      </c>
      <c r="CV2706" s="76"/>
      <c r="CW2706" s="76">
        <f>+CV2706*1100</f>
        <v>0</v>
      </c>
      <c r="CX2706" s="76"/>
      <c r="CY2706" s="76">
        <f>+CX2706*106250</f>
        <v>0</v>
      </c>
      <c r="CZ2706" s="76"/>
      <c r="DA2706" s="76">
        <f>+CZ2706*34500</f>
        <v>0</v>
      </c>
      <c r="DB2706" s="76"/>
      <c r="DC2706" s="76">
        <f>+DB2706*25000</f>
        <v>0</v>
      </c>
      <c r="DD2706" s="219"/>
      <c r="DE2706" s="219"/>
      <c r="DF2706" s="166"/>
      <c r="DG2706" s="116"/>
      <c r="DH2706" s="117"/>
      <c r="DI2706" s="24"/>
      <c r="DJ2706" s="24"/>
      <c r="DK2706" s="24"/>
      <c r="DL2706" s="24"/>
      <c r="DM2706" s="24"/>
      <c r="DN2706" s="24"/>
      <c r="DO2706" s="24"/>
      <c r="DP2706" s="24"/>
      <c r="DQ2706" s="24"/>
      <c r="DR2706" s="24"/>
      <c r="DS2706" s="24"/>
      <c r="DT2706" s="24"/>
      <c r="DU2706" s="24"/>
    </row>
    <row r="2707" spans="1:125" s="8" customFormat="1" ht="60" x14ac:dyDescent="0.2">
      <c r="A2707" s="77">
        <v>41498</v>
      </c>
      <c r="B2707" s="352" t="s">
        <v>2851</v>
      </c>
      <c r="C2707" s="354" t="s">
        <v>1366</v>
      </c>
      <c r="D2707" s="354" t="s">
        <v>2859</v>
      </c>
      <c r="E2707" s="353" t="str">
        <f>VLOOKUP(B2707&amp;C2707,Divipola!$C$2:$F$1138,4,FALSE)</f>
        <v>76622</v>
      </c>
      <c r="F2707" s="61"/>
      <c r="G2707" s="61"/>
      <c r="H2707" s="61"/>
      <c r="I2707" s="61">
        <v>5</v>
      </c>
      <c r="J2707" s="61">
        <v>1</v>
      </c>
      <c r="K2707" s="61"/>
      <c r="L2707" s="61">
        <v>1</v>
      </c>
      <c r="M2707" s="61"/>
      <c r="N2707" s="61"/>
      <c r="O2707" s="61"/>
      <c r="P2707" s="61"/>
      <c r="Q2707" s="61"/>
      <c r="R2707" s="61"/>
      <c r="S2707" s="61"/>
      <c r="T2707" s="61"/>
      <c r="U2707" s="61"/>
      <c r="V2707" s="7"/>
      <c r="W2707" s="96">
        <v>0</v>
      </c>
      <c r="X2707" s="71">
        <f>CU2707</f>
        <v>0</v>
      </c>
      <c r="Y2707" s="71">
        <f>CY2707</f>
        <v>0</v>
      </c>
      <c r="Z2707" s="71">
        <f>DA2707+DC2707+DE2707</f>
        <v>0</v>
      </c>
      <c r="AA2707" s="71">
        <f>CW2707</f>
        <v>0</v>
      </c>
      <c r="AB2707" s="71"/>
      <c r="AC2707" s="71">
        <v>0</v>
      </c>
      <c r="AD2707" s="71">
        <f>W2707+X2707+Y2707+Z2707+AA2707+AB2707+AC2707</f>
        <v>0</v>
      </c>
      <c r="AE2707" s="72">
        <v>0</v>
      </c>
      <c r="AF2707" s="5"/>
      <c r="AG2707" s="6"/>
      <c r="AH2707" s="27"/>
      <c r="AI2707" s="44"/>
      <c r="AJ2707" s="26"/>
      <c r="AK2707" s="5"/>
      <c r="AL2707" s="82" t="s">
        <v>5598</v>
      </c>
      <c r="AM2707" s="76"/>
      <c r="AN2707" s="76"/>
      <c r="AO2707" s="76"/>
      <c r="AP2707" s="76"/>
      <c r="AQ2707" s="76"/>
      <c r="AR2707" s="76"/>
      <c r="AS2707" s="76"/>
      <c r="AT2707" s="76"/>
      <c r="AU2707" s="76"/>
      <c r="AV2707" s="76"/>
      <c r="AW2707" s="76"/>
      <c r="AX2707" s="76">
        <f>+AW2707*600000</f>
        <v>0</v>
      </c>
      <c r="AY2707" s="76"/>
      <c r="AZ2707" s="76">
        <f>+AY2707*70000</f>
        <v>0</v>
      </c>
      <c r="BA2707" s="76"/>
      <c r="BB2707" s="76"/>
      <c r="BC2707" s="76"/>
      <c r="BD2707" s="76">
        <f>+BC2707*30000</f>
        <v>0</v>
      </c>
      <c r="BE2707" s="76"/>
      <c r="BF2707" s="76"/>
      <c r="BG2707" s="76"/>
      <c r="BH2707" s="76"/>
      <c r="BI2707" s="76"/>
      <c r="BJ2707" s="76"/>
      <c r="BK2707" s="76"/>
      <c r="BL2707" s="76">
        <f>+BK2707*31500</f>
        <v>0</v>
      </c>
      <c r="BM2707" s="76"/>
      <c r="BN2707" s="76"/>
      <c r="BO2707" s="76"/>
      <c r="BP2707" s="76"/>
      <c r="BQ2707" s="76"/>
      <c r="BR2707" s="76"/>
      <c r="BS2707" s="76"/>
      <c r="BT2707" s="76"/>
      <c r="BU2707" s="76"/>
      <c r="BV2707" s="76"/>
      <c r="BW2707" s="76"/>
      <c r="BX2707" s="76"/>
      <c r="BY2707" s="76"/>
      <c r="BZ2707" s="76"/>
      <c r="CA2707" s="76"/>
      <c r="CB2707" s="76"/>
      <c r="CC2707" s="76"/>
      <c r="CD2707" s="76"/>
      <c r="CE2707" s="76"/>
      <c r="CF2707" s="76">
        <f>+CE2707*28000</f>
        <v>0</v>
      </c>
      <c r="CG2707" s="76"/>
      <c r="CH2707" s="76">
        <f>+CG2707*22500</f>
        <v>0</v>
      </c>
      <c r="CI2707" s="76"/>
      <c r="CJ2707" s="76">
        <f>+CI2707*26000</f>
        <v>0</v>
      </c>
      <c r="CK2707" s="76"/>
      <c r="CL2707" s="76"/>
      <c r="CM2707" s="76"/>
      <c r="CN2707" s="76">
        <f>+CM2707*22000</f>
        <v>0</v>
      </c>
      <c r="CO2707" s="76"/>
      <c r="CP2707" s="76">
        <f>+CO2707*46000</f>
        <v>0</v>
      </c>
      <c r="CQ2707" s="76"/>
      <c r="CR2707" s="76">
        <f>+CQ2707*49000</f>
        <v>0</v>
      </c>
      <c r="CS2707" s="76"/>
      <c r="CT2707" s="76"/>
      <c r="CU2707" s="56">
        <f>AN2707+AP2707+AR2707+AT2707+AV2707+AX2707+AZ2707+BB2707+BD2707+BF2707+BH2707+BJ2707+BL2707+BN2707+BP2707+BR2707+BT2707+BV2707+BX2707+BZ2707+CB2707+CD2707+CF2707+CH2707+CJ2707+CL2707+CN2707+CP2707+CR2707+CT2707</f>
        <v>0</v>
      </c>
      <c r="CV2707" s="76"/>
      <c r="CW2707" s="76">
        <f>+CV2707*1100</f>
        <v>0</v>
      </c>
      <c r="CX2707" s="76"/>
      <c r="CY2707" s="76">
        <f>+CX2707*106250</f>
        <v>0</v>
      </c>
      <c r="CZ2707" s="76"/>
      <c r="DA2707" s="76">
        <f>+CZ2707*34500</f>
        <v>0</v>
      </c>
      <c r="DB2707" s="76"/>
      <c r="DC2707" s="76">
        <f>+DB2707*25000</f>
        <v>0</v>
      </c>
      <c r="DD2707" s="219"/>
      <c r="DE2707" s="219"/>
      <c r="DF2707" s="166"/>
      <c r="DG2707" s="116"/>
      <c r="DH2707" s="117"/>
      <c r="DI2707" s="24"/>
      <c r="DJ2707" s="24"/>
      <c r="DK2707" s="24"/>
      <c r="DL2707" s="24"/>
      <c r="DM2707" s="24"/>
      <c r="DN2707" s="24"/>
      <c r="DO2707" s="24"/>
      <c r="DP2707" s="24"/>
      <c r="DQ2707" s="24"/>
      <c r="DR2707" s="24"/>
      <c r="DS2707" s="24"/>
      <c r="DT2707" s="24"/>
      <c r="DU2707" s="24"/>
    </row>
    <row r="2708" spans="1:125" s="8" customFormat="1" ht="132" x14ac:dyDescent="0.2">
      <c r="A2708" s="77">
        <v>41499</v>
      </c>
      <c r="B2708" s="352" t="s">
        <v>2894</v>
      </c>
      <c r="C2708" s="354" t="s">
        <v>2032</v>
      </c>
      <c r="D2708" s="354" t="s">
        <v>3088</v>
      </c>
      <c r="E2708" s="353" t="str">
        <f>VLOOKUP(B2708&amp;C2708,Divipola!$C$2:$F$1138,4,FALSE)</f>
        <v>05001</v>
      </c>
      <c r="F2708" s="87">
        <v>2</v>
      </c>
      <c r="G2708" s="87"/>
      <c r="H2708" s="87"/>
      <c r="I2708" s="87"/>
      <c r="J2708" s="87"/>
      <c r="K2708" s="87"/>
      <c r="L2708" s="87"/>
      <c r="M2708" s="87">
        <v>1</v>
      </c>
      <c r="N2708" s="87"/>
      <c r="O2708" s="87"/>
      <c r="P2708" s="87"/>
      <c r="Q2708" s="87"/>
      <c r="R2708" s="87"/>
      <c r="S2708" s="87"/>
      <c r="T2708" s="87"/>
      <c r="U2708" s="88"/>
      <c r="V2708" s="89"/>
      <c r="W2708" s="96">
        <v>0</v>
      </c>
      <c r="X2708" s="71">
        <f>CU2708</f>
        <v>0</v>
      </c>
      <c r="Y2708" s="71">
        <f>CY2708</f>
        <v>0</v>
      </c>
      <c r="Z2708" s="71">
        <f>DA2708+DC2708+DE2708</f>
        <v>0</v>
      </c>
      <c r="AA2708" s="71">
        <f>CW2708</f>
        <v>0</v>
      </c>
      <c r="AB2708" s="71"/>
      <c r="AC2708" s="71">
        <v>0</v>
      </c>
      <c r="AD2708" s="71">
        <f>W2708+X2708+Y2708+Z2708+AA2708+AB2708+AC2708</f>
        <v>0</v>
      </c>
      <c r="AE2708" s="72">
        <v>0</v>
      </c>
      <c r="AF2708" s="5"/>
      <c r="AG2708" s="6"/>
      <c r="AH2708" s="27"/>
      <c r="AI2708" s="44"/>
      <c r="AJ2708" s="26"/>
      <c r="AK2708" s="5"/>
      <c r="AL2708" s="82" t="s">
        <v>5602</v>
      </c>
      <c r="AM2708" s="76"/>
      <c r="AN2708" s="76"/>
      <c r="AO2708" s="76"/>
      <c r="AP2708" s="76"/>
      <c r="AQ2708" s="76"/>
      <c r="AR2708" s="76"/>
      <c r="AS2708" s="76"/>
      <c r="AT2708" s="76"/>
      <c r="AU2708" s="76"/>
      <c r="AV2708" s="76"/>
      <c r="AW2708" s="76"/>
      <c r="AX2708" s="76">
        <f>+AW2708*600000</f>
        <v>0</v>
      </c>
      <c r="AY2708" s="76"/>
      <c r="AZ2708" s="76">
        <f>+AY2708*70000</f>
        <v>0</v>
      </c>
      <c r="BA2708" s="76"/>
      <c r="BB2708" s="76"/>
      <c r="BC2708" s="76"/>
      <c r="BD2708" s="76">
        <f>+BC2708*30000</f>
        <v>0</v>
      </c>
      <c r="BE2708" s="76"/>
      <c r="BF2708" s="76"/>
      <c r="BG2708" s="76"/>
      <c r="BH2708" s="76"/>
      <c r="BI2708" s="76"/>
      <c r="BJ2708" s="76"/>
      <c r="BK2708" s="76"/>
      <c r="BL2708" s="76">
        <f>+BK2708*31500</f>
        <v>0</v>
      </c>
      <c r="BM2708" s="76"/>
      <c r="BN2708" s="76"/>
      <c r="BO2708" s="76"/>
      <c r="BP2708" s="76"/>
      <c r="BQ2708" s="76"/>
      <c r="BR2708" s="76"/>
      <c r="BS2708" s="76"/>
      <c r="BT2708" s="76"/>
      <c r="BU2708" s="76"/>
      <c r="BV2708" s="76"/>
      <c r="BW2708" s="76"/>
      <c r="BX2708" s="76"/>
      <c r="BY2708" s="76"/>
      <c r="BZ2708" s="76"/>
      <c r="CA2708" s="76"/>
      <c r="CB2708" s="76"/>
      <c r="CC2708" s="76"/>
      <c r="CD2708" s="76"/>
      <c r="CE2708" s="76"/>
      <c r="CF2708" s="76">
        <f>+CE2708*28000</f>
        <v>0</v>
      </c>
      <c r="CG2708" s="76"/>
      <c r="CH2708" s="76">
        <f>+CG2708*22500</f>
        <v>0</v>
      </c>
      <c r="CI2708" s="76"/>
      <c r="CJ2708" s="76">
        <f>+CI2708*26000</f>
        <v>0</v>
      </c>
      <c r="CK2708" s="76"/>
      <c r="CL2708" s="76"/>
      <c r="CM2708" s="76"/>
      <c r="CN2708" s="76">
        <f>+CM2708*22000</f>
        <v>0</v>
      </c>
      <c r="CO2708" s="76"/>
      <c r="CP2708" s="76">
        <f>+CO2708*46000</f>
        <v>0</v>
      </c>
      <c r="CQ2708" s="76"/>
      <c r="CR2708" s="76">
        <f>+CQ2708*49000</f>
        <v>0</v>
      </c>
      <c r="CS2708" s="76"/>
      <c r="CT2708" s="76"/>
      <c r="CU2708" s="56">
        <f>AN2708+AP2708+AR2708+AT2708+AV2708+AX2708+AZ2708+BB2708+BD2708+BF2708+BH2708+BJ2708+BL2708+BN2708+BP2708+BR2708+BT2708+BV2708+BX2708+BZ2708+CB2708+CD2708+CF2708+CH2708+CJ2708+CL2708+CN2708+CP2708+CR2708+CT2708</f>
        <v>0</v>
      </c>
      <c r="CV2708" s="76"/>
      <c r="CW2708" s="76">
        <f>+CV2708*1100</f>
        <v>0</v>
      </c>
      <c r="CX2708" s="76"/>
      <c r="CY2708" s="76">
        <f>+CX2708*106250</f>
        <v>0</v>
      </c>
      <c r="CZ2708" s="76"/>
      <c r="DA2708" s="76">
        <f>+CZ2708*34500</f>
        <v>0</v>
      </c>
      <c r="DB2708" s="76"/>
      <c r="DC2708" s="76">
        <f>+DB2708*25000</f>
        <v>0</v>
      </c>
      <c r="DD2708" s="219"/>
      <c r="DE2708" s="219"/>
      <c r="DF2708" s="166"/>
      <c r="DG2708" s="116"/>
      <c r="DH2708" s="117"/>
      <c r="DI2708" s="24"/>
      <c r="DJ2708" s="24"/>
      <c r="DK2708" s="24"/>
      <c r="DL2708" s="24"/>
      <c r="DM2708" s="24"/>
      <c r="DN2708" s="24"/>
      <c r="DO2708" s="24"/>
      <c r="DP2708" s="24"/>
      <c r="DQ2708" s="24"/>
      <c r="DR2708" s="24"/>
      <c r="DS2708" s="24"/>
      <c r="DT2708" s="24"/>
      <c r="DU2708" s="24"/>
    </row>
    <row r="2709" spans="1:125" s="8" customFormat="1" ht="96" x14ac:dyDescent="0.2">
      <c r="A2709" s="77">
        <v>41499</v>
      </c>
      <c r="B2709" s="78" t="s">
        <v>2196</v>
      </c>
      <c r="C2709" s="75" t="s">
        <v>2676</v>
      </c>
      <c r="D2709" s="75" t="s">
        <v>3051</v>
      </c>
      <c r="E2709" s="353" t="str">
        <f>VLOOKUP(B2709&amp;C2709,Divipola!$C$2:$F$1138,4,FALSE)</f>
        <v>17380</v>
      </c>
      <c r="F2709" s="87"/>
      <c r="G2709" s="87"/>
      <c r="H2709" s="87"/>
      <c r="I2709" s="87">
        <v>2047</v>
      </c>
      <c r="J2709" s="87">
        <v>620</v>
      </c>
      <c r="K2709" s="87"/>
      <c r="L2709" s="87">
        <v>620</v>
      </c>
      <c r="M2709" s="87"/>
      <c r="N2709" s="87"/>
      <c r="O2709" s="87"/>
      <c r="P2709" s="87"/>
      <c r="Q2709" s="87"/>
      <c r="R2709" s="87"/>
      <c r="S2709" s="87"/>
      <c r="T2709" s="87"/>
      <c r="U2709" s="88"/>
      <c r="V2709" s="89"/>
      <c r="W2709" s="96">
        <v>0</v>
      </c>
      <c r="X2709" s="71">
        <f>CU2709</f>
        <v>78330000</v>
      </c>
      <c r="Y2709" s="71">
        <f>CY2709</f>
        <v>13281345</v>
      </c>
      <c r="Z2709" s="71">
        <f>DA2709+DC2709+DE2709</f>
        <v>0</v>
      </c>
      <c r="AA2709" s="71">
        <f>CW2709</f>
        <v>0</v>
      </c>
      <c r="AB2709" s="71"/>
      <c r="AC2709" s="71">
        <v>0</v>
      </c>
      <c r="AD2709" s="71">
        <f>W2709+X2709+Y2709+Z2709+AA2709+AB2709+AC2709</f>
        <v>91611345</v>
      </c>
      <c r="AE2709" s="72">
        <v>0</v>
      </c>
      <c r="AF2709" s="5"/>
      <c r="AG2709" s="6"/>
      <c r="AH2709" s="27" t="s">
        <v>3390</v>
      </c>
      <c r="AI2709" s="44" t="s">
        <v>3391</v>
      </c>
      <c r="AJ2709" s="26"/>
      <c r="AK2709" s="5"/>
      <c r="AL2709" s="268" t="s">
        <v>5605</v>
      </c>
      <c r="AM2709" s="76"/>
      <c r="AN2709" s="76"/>
      <c r="AO2709" s="76"/>
      <c r="AP2709" s="76"/>
      <c r="AQ2709" s="76"/>
      <c r="AR2709" s="76"/>
      <c r="AS2709" s="76"/>
      <c r="AT2709" s="76"/>
      <c r="AU2709" s="76"/>
      <c r="AV2709" s="76"/>
      <c r="AW2709" s="76"/>
      <c r="AX2709" s="76">
        <f>+AW2709*600000</f>
        <v>0</v>
      </c>
      <c r="AY2709" s="86">
        <v>1119</v>
      </c>
      <c r="AZ2709" s="86">
        <f>+AY2709*70000</f>
        <v>78330000</v>
      </c>
      <c r="BA2709" s="76"/>
      <c r="BB2709" s="76"/>
      <c r="BC2709" s="76"/>
      <c r="BD2709" s="76">
        <f>+BC2709*30000</f>
        <v>0</v>
      </c>
      <c r="BE2709" s="76"/>
      <c r="BF2709" s="76"/>
      <c r="BG2709" s="76"/>
      <c r="BH2709" s="76"/>
      <c r="BI2709" s="76"/>
      <c r="BJ2709" s="76"/>
      <c r="BK2709" s="76"/>
      <c r="BL2709" s="76">
        <f>+BK2709*31500</f>
        <v>0</v>
      </c>
      <c r="BM2709" s="76"/>
      <c r="BN2709" s="76"/>
      <c r="BO2709" s="76"/>
      <c r="BP2709" s="76"/>
      <c r="BQ2709" s="76"/>
      <c r="BR2709" s="76"/>
      <c r="BS2709" s="76"/>
      <c r="BT2709" s="76"/>
      <c r="BU2709" s="76"/>
      <c r="BV2709" s="76"/>
      <c r="BW2709" s="76"/>
      <c r="BX2709" s="76"/>
      <c r="BY2709" s="76"/>
      <c r="BZ2709" s="76"/>
      <c r="CA2709" s="76"/>
      <c r="CB2709" s="76"/>
      <c r="CC2709" s="76"/>
      <c r="CD2709" s="76"/>
      <c r="CE2709" s="76"/>
      <c r="CF2709" s="76">
        <f>+CE2709*28000</f>
        <v>0</v>
      </c>
      <c r="CG2709" s="76"/>
      <c r="CH2709" s="76">
        <f>+CG2709*22500</f>
        <v>0</v>
      </c>
      <c r="CI2709" s="76"/>
      <c r="CJ2709" s="76">
        <f>+CI2709*26000</f>
        <v>0</v>
      </c>
      <c r="CK2709" s="76"/>
      <c r="CL2709" s="76"/>
      <c r="CM2709" s="76"/>
      <c r="CN2709" s="76">
        <f>+CM2709*22000</f>
        <v>0</v>
      </c>
      <c r="CO2709" s="76"/>
      <c r="CP2709" s="76">
        <f>+CO2709*46000</f>
        <v>0</v>
      </c>
      <c r="CQ2709" s="76"/>
      <c r="CR2709" s="76">
        <f>+CQ2709*49000</f>
        <v>0</v>
      </c>
      <c r="CS2709" s="76"/>
      <c r="CT2709" s="76"/>
      <c r="CU2709" s="56">
        <f>AN2709+AP2709+AR2709+AT2709+AV2709+AX2709+AZ2709+BB2709+BD2709+BF2709+BH2709+BJ2709+BL2709+BN2709+BP2709+BR2709+BT2709+BV2709+BX2709+BZ2709+CB2709+CD2709+CF2709+CH2709+CJ2709+CL2709+CN2709+CP2709+CR2709+CT2709</f>
        <v>78330000</v>
      </c>
      <c r="CV2709" s="76"/>
      <c r="CW2709" s="76">
        <f>+CV2709*1100</f>
        <v>0</v>
      </c>
      <c r="CX2709" s="86">
        <v>126</v>
      </c>
      <c r="CY2709" s="86">
        <f>+CX2709*105407.5</f>
        <v>13281345</v>
      </c>
      <c r="CZ2709" s="76"/>
      <c r="DA2709" s="76">
        <f>+CZ2709*34500</f>
        <v>0</v>
      </c>
      <c r="DB2709" s="76"/>
      <c r="DC2709" s="76">
        <f>+DB2709*25000</f>
        <v>0</v>
      </c>
      <c r="DD2709" s="219"/>
      <c r="DE2709" s="219"/>
      <c r="DF2709" s="166"/>
      <c r="DG2709" s="134" t="s">
        <v>6014</v>
      </c>
      <c r="DH2709" s="117"/>
      <c r="DI2709" s="24"/>
      <c r="DJ2709" s="24"/>
      <c r="DK2709" s="24"/>
      <c r="DL2709" s="24"/>
      <c r="DM2709" s="24"/>
      <c r="DN2709" s="24"/>
      <c r="DO2709" s="24"/>
      <c r="DP2709" s="24"/>
      <c r="DQ2709" s="24"/>
      <c r="DR2709" s="24"/>
      <c r="DS2709" s="24"/>
      <c r="DT2709" s="24"/>
      <c r="DU2709" s="24"/>
    </row>
    <row r="2710" spans="1:125" s="8" customFormat="1" ht="48" x14ac:dyDescent="0.2">
      <c r="A2710" s="77">
        <v>41499</v>
      </c>
      <c r="B2710" s="78" t="s">
        <v>2854</v>
      </c>
      <c r="C2710" s="75" t="s">
        <v>881</v>
      </c>
      <c r="D2710" s="75" t="s">
        <v>3051</v>
      </c>
      <c r="E2710" s="353" t="str">
        <f>VLOOKUP(B2710&amp;C2710,Divipola!$C$2:$F$1138,4,FALSE)</f>
        <v>19809</v>
      </c>
      <c r="F2710" s="87"/>
      <c r="G2710" s="87"/>
      <c r="H2710" s="87"/>
      <c r="I2710" s="87"/>
      <c r="J2710" s="87"/>
      <c r="K2710" s="87"/>
      <c r="L2710" s="87"/>
      <c r="M2710" s="87"/>
      <c r="N2710" s="87"/>
      <c r="O2710" s="87"/>
      <c r="P2710" s="87"/>
      <c r="Q2710" s="87"/>
      <c r="R2710" s="87"/>
      <c r="S2710" s="87"/>
      <c r="T2710" s="87"/>
      <c r="U2710" s="88"/>
      <c r="V2710" s="89"/>
      <c r="W2710" s="96">
        <v>0</v>
      </c>
      <c r="X2710" s="71">
        <f>CU2710</f>
        <v>0</v>
      </c>
      <c r="Y2710" s="71">
        <f>CY2710</f>
        <v>0</v>
      </c>
      <c r="Z2710" s="71">
        <f>DA2710+DC2710+DE2710</f>
        <v>0</v>
      </c>
      <c r="AA2710" s="71">
        <f>CW2710</f>
        <v>0</v>
      </c>
      <c r="AB2710" s="71"/>
      <c r="AC2710" s="71">
        <v>0</v>
      </c>
      <c r="AD2710" s="71">
        <f>W2710+X2710+Y2710+Z2710+AA2710+AB2710+AC2710</f>
        <v>0</v>
      </c>
      <c r="AE2710" s="72">
        <v>0</v>
      </c>
      <c r="AF2710" s="5"/>
      <c r="AG2710" s="6"/>
      <c r="AH2710" s="27"/>
      <c r="AI2710" s="44"/>
      <c r="AJ2710" s="26"/>
      <c r="AK2710" s="5"/>
      <c r="AL2710" s="268" t="s">
        <v>5606</v>
      </c>
      <c r="AM2710" s="76"/>
      <c r="AN2710" s="76"/>
      <c r="AO2710" s="76"/>
      <c r="AP2710" s="76"/>
      <c r="AQ2710" s="76"/>
      <c r="AR2710" s="76"/>
      <c r="AS2710" s="76"/>
      <c r="AT2710" s="76"/>
      <c r="AU2710" s="76"/>
      <c r="AV2710" s="76"/>
      <c r="AW2710" s="76"/>
      <c r="AX2710" s="76">
        <f>+AW2710*600000</f>
        <v>0</v>
      </c>
      <c r="AY2710" s="76"/>
      <c r="AZ2710" s="76">
        <f>+AY2710*70000</f>
        <v>0</v>
      </c>
      <c r="BA2710" s="76"/>
      <c r="BB2710" s="76"/>
      <c r="BC2710" s="76"/>
      <c r="BD2710" s="76">
        <f>+BC2710*30000</f>
        <v>0</v>
      </c>
      <c r="BE2710" s="76"/>
      <c r="BF2710" s="76"/>
      <c r="BG2710" s="76"/>
      <c r="BH2710" s="76"/>
      <c r="BI2710" s="76"/>
      <c r="BJ2710" s="76"/>
      <c r="BK2710" s="76"/>
      <c r="BL2710" s="76">
        <f>+BK2710*31500</f>
        <v>0</v>
      </c>
      <c r="BM2710" s="76"/>
      <c r="BN2710" s="76"/>
      <c r="BO2710" s="76"/>
      <c r="BP2710" s="76"/>
      <c r="BQ2710" s="76"/>
      <c r="BR2710" s="76"/>
      <c r="BS2710" s="76"/>
      <c r="BT2710" s="76"/>
      <c r="BU2710" s="76"/>
      <c r="BV2710" s="76"/>
      <c r="BW2710" s="76"/>
      <c r="BX2710" s="76"/>
      <c r="BY2710" s="76"/>
      <c r="BZ2710" s="76"/>
      <c r="CA2710" s="76"/>
      <c r="CB2710" s="76"/>
      <c r="CC2710" s="76"/>
      <c r="CD2710" s="76"/>
      <c r="CE2710" s="76"/>
      <c r="CF2710" s="76">
        <f>+CE2710*28000</f>
        <v>0</v>
      </c>
      <c r="CG2710" s="76"/>
      <c r="CH2710" s="76">
        <f>+CG2710*22500</f>
        <v>0</v>
      </c>
      <c r="CI2710" s="76"/>
      <c r="CJ2710" s="76">
        <f>+CI2710*26000</f>
        <v>0</v>
      </c>
      <c r="CK2710" s="76"/>
      <c r="CL2710" s="76"/>
      <c r="CM2710" s="76"/>
      <c r="CN2710" s="76">
        <f>+CM2710*22000</f>
        <v>0</v>
      </c>
      <c r="CO2710" s="76"/>
      <c r="CP2710" s="76">
        <f>+CO2710*46000</f>
        <v>0</v>
      </c>
      <c r="CQ2710" s="76"/>
      <c r="CR2710" s="76">
        <f>+CQ2710*49000</f>
        <v>0</v>
      </c>
      <c r="CS2710" s="76"/>
      <c r="CT2710" s="76"/>
      <c r="CU2710" s="56">
        <f>AN2710+AP2710+AR2710+AT2710+AV2710+AX2710+AZ2710+BB2710+BD2710+BF2710+BH2710+BJ2710+BL2710+BN2710+BP2710+BR2710+BT2710+BV2710+BX2710+BZ2710+CB2710+CD2710+CF2710+CH2710+CJ2710+CL2710+CN2710+CP2710+CR2710+CT2710</f>
        <v>0</v>
      </c>
      <c r="CV2710" s="76"/>
      <c r="CW2710" s="76">
        <f>+CV2710*1100</f>
        <v>0</v>
      </c>
      <c r="CX2710" s="76"/>
      <c r="CY2710" s="76">
        <f>+CX2710*106250</f>
        <v>0</v>
      </c>
      <c r="CZ2710" s="76"/>
      <c r="DA2710" s="76">
        <f>+CZ2710*34500</f>
        <v>0</v>
      </c>
      <c r="DB2710" s="76"/>
      <c r="DC2710" s="76">
        <f>+DB2710*25000</f>
        <v>0</v>
      </c>
      <c r="DD2710" s="219"/>
      <c r="DE2710" s="219"/>
      <c r="DF2710" s="166"/>
      <c r="DG2710" s="116"/>
      <c r="DH2710" s="117"/>
      <c r="DI2710" s="24"/>
      <c r="DJ2710" s="24"/>
      <c r="DK2710" s="24"/>
      <c r="DL2710" s="24"/>
      <c r="DM2710" s="24"/>
      <c r="DN2710" s="24"/>
      <c r="DO2710" s="24"/>
      <c r="DP2710" s="24"/>
      <c r="DQ2710" s="24"/>
      <c r="DR2710" s="24"/>
      <c r="DS2710" s="24"/>
      <c r="DT2710" s="24"/>
      <c r="DU2710" s="24"/>
    </row>
    <row r="2711" spans="1:125" s="8" customFormat="1" ht="132" x14ac:dyDescent="0.2">
      <c r="A2711" s="353">
        <v>41499</v>
      </c>
      <c r="B2711" s="352" t="s">
        <v>2847</v>
      </c>
      <c r="C2711" s="354" t="s">
        <v>1734</v>
      </c>
      <c r="D2711" s="354" t="s">
        <v>3088</v>
      </c>
      <c r="E2711" s="353" t="str">
        <f>VLOOKUP(B2711&amp;C2711,Divipola!$C$2:$F$1138,4,FALSE)</f>
        <v>68432</v>
      </c>
      <c r="F2711" s="87"/>
      <c r="G2711" s="87"/>
      <c r="H2711" s="87"/>
      <c r="I2711" s="87"/>
      <c r="J2711" s="87"/>
      <c r="K2711" s="87"/>
      <c r="L2711" s="87"/>
      <c r="M2711" s="87">
        <v>1</v>
      </c>
      <c r="N2711" s="87"/>
      <c r="O2711" s="87"/>
      <c r="P2711" s="87"/>
      <c r="Q2711" s="87"/>
      <c r="R2711" s="87"/>
      <c r="S2711" s="87"/>
      <c r="T2711" s="87"/>
      <c r="U2711" s="88"/>
      <c r="V2711" s="89"/>
      <c r="W2711" s="96">
        <v>0</v>
      </c>
      <c r="X2711" s="71">
        <f>CU2711</f>
        <v>0</v>
      </c>
      <c r="Y2711" s="71">
        <f>CY2711</f>
        <v>0</v>
      </c>
      <c r="Z2711" s="71">
        <f>DA2711+DC2711+DE2711</f>
        <v>0</v>
      </c>
      <c r="AA2711" s="71">
        <f>CW2711</f>
        <v>0</v>
      </c>
      <c r="AB2711" s="71"/>
      <c r="AC2711" s="71">
        <v>0</v>
      </c>
      <c r="AD2711" s="71">
        <f>W2711+X2711+Y2711+Z2711+AA2711+AB2711+AC2711</f>
        <v>0</v>
      </c>
      <c r="AE2711" s="72">
        <v>0</v>
      </c>
      <c r="AF2711" s="5"/>
      <c r="AG2711" s="6"/>
      <c r="AH2711" s="27"/>
      <c r="AI2711" s="44"/>
      <c r="AJ2711" s="26"/>
      <c r="AK2711" s="5"/>
      <c r="AL2711" s="82" t="s">
        <v>5601</v>
      </c>
      <c r="AM2711" s="76"/>
      <c r="AN2711" s="76"/>
      <c r="AO2711" s="76"/>
      <c r="AP2711" s="76"/>
      <c r="AQ2711" s="76"/>
      <c r="AR2711" s="76"/>
      <c r="AS2711" s="76"/>
      <c r="AT2711" s="76"/>
      <c r="AU2711" s="76"/>
      <c r="AV2711" s="76"/>
      <c r="AW2711" s="76"/>
      <c r="AX2711" s="76">
        <f>+AW2711*600000</f>
        <v>0</v>
      </c>
      <c r="AY2711" s="76"/>
      <c r="AZ2711" s="76">
        <f>+AY2711*70000</f>
        <v>0</v>
      </c>
      <c r="BA2711" s="76"/>
      <c r="BB2711" s="76"/>
      <c r="BC2711" s="76"/>
      <c r="BD2711" s="76">
        <f>+BC2711*30000</f>
        <v>0</v>
      </c>
      <c r="BE2711" s="76"/>
      <c r="BF2711" s="76"/>
      <c r="BG2711" s="76"/>
      <c r="BH2711" s="76"/>
      <c r="BI2711" s="76"/>
      <c r="BJ2711" s="76"/>
      <c r="BK2711" s="76"/>
      <c r="BL2711" s="76">
        <f>+BK2711*31500</f>
        <v>0</v>
      </c>
      <c r="BM2711" s="76"/>
      <c r="BN2711" s="76"/>
      <c r="BO2711" s="76"/>
      <c r="BP2711" s="76"/>
      <c r="BQ2711" s="76"/>
      <c r="BR2711" s="76"/>
      <c r="BS2711" s="76"/>
      <c r="BT2711" s="76"/>
      <c r="BU2711" s="76"/>
      <c r="BV2711" s="76"/>
      <c r="BW2711" s="76"/>
      <c r="BX2711" s="76"/>
      <c r="BY2711" s="76"/>
      <c r="BZ2711" s="76"/>
      <c r="CA2711" s="76"/>
      <c r="CB2711" s="76"/>
      <c r="CC2711" s="76"/>
      <c r="CD2711" s="76"/>
      <c r="CE2711" s="76"/>
      <c r="CF2711" s="76">
        <f>+CE2711*28000</f>
        <v>0</v>
      </c>
      <c r="CG2711" s="76"/>
      <c r="CH2711" s="76">
        <f>+CG2711*22500</f>
        <v>0</v>
      </c>
      <c r="CI2711" s="76"/>
      <c r="CJ2711" s="76">
        <f>+CI2711*26000</f>
        <v>0</v>
      </c>
      <c r="CK2711" s="76"/>
      <c r="CL2711" s="76"/>
      <c r="CM2711" s="76"/>
      <c r="CN2711" s="76">
        <f>+CM2711*22000</f>
        <v>0</v>
      </c>
      <c r="CO2711" s="76"/>
      <c r="CP2711" s="76">
        <f>+CO2711*46000</f>
        <v>0</v>
      </c>
      <c r="CQ2711" s="76"/>
      <c r="CR2711" s="76">
        <f>+CQ2711*49000</f>
        <v>0</v>
      </c>
      <c r="CS2711" s="76"/>
      <c r="CT2711" s="76"/>
      <c r="CU2711" s="56">
        <f>AN2711+AP2711+AR2711+AT2711+AV2711+AX2711+AZ2711+BB2711+BD2711+BF2711+BH2711+BJ2711+BL2711+BN2711+BP2711+BR2711+BT2711+BV2711+BX2711+BZ2711+CB2711+CD2711+CF2711+CH2711+CJ2711+CL2711+CN2711+CP2711+CR2711+CT2711</f>
        <v>0</v>
      </c>
      <c r="CV2711" s="76"/>
      <c r="CW2711" s="76">
        <f>+CV2711*1100</f>
        <v>0</v>
      </c>
      <c r="CX2711" s="76"/>
      <c r="CY2711" s="76">
        <f>+CX2711*106250</f>
        <v>0</v>
      </c>
      <c r="CZ2711" s="76"/>
      <c r="DA2711" s="76">
        <f>+CZ2711*34500</f>
        <v>0</v>
      </c>
      <c r="DB2711" s="76"/>
      <c r="DC2711" s="76">
        <f>+DB2711*25000</f>
        <v>0</v>
      </c>
      <c r="DD2711" s="219"/>
      <c r="DE2711" s="219"/>
      <c r="DF2711" s="166"/>
      <c r="DG2711" s="116"/>
      <c r="DH2711" s="117"/>
      <c r="DI2711" s="24"/>
      <c r="DJ2711" s="24"/>
      <c r="DK2711" s="24"/>
      <c r="DL2711" s="24"/>
      <c r="DM2711" s="24"/>
      <c r="DN2711" s="24"/>
      <c r="DO2711" s="24"/>
      <c r="DP2711" s="24"/>
      <c r="DQ2711" s="24"/>
      <c r="DR2711" s="24"/>
      <c r="DS2711" s="24"/>
      <c r="DT2711" s="24"/>
      <c r="DU2711" s="24"/>
    </row>
    <row r="2712" spans="1:125" s="8" customFormat="1" ht="204" x14ac:dyDescent="0.2">
      <c r="A2712" s="77">
        <v>41500</v>
      </c>
      <c r="B2712" s="352" t="s">
        <v>2854</v>
      </c>
      <c r="C2712" s="354" t="s">
        <v>501</v>
      </c>
      <c r="D2712" s="354" t="s">
        <v>2882</v>
      </c>
      <c r="E2712" s="353" t="str">
        <f>VLOOKUP(B2712&amp;C2712,Divipola!$C$2:$F$1138,4,FALSE)</f>
        <v>19256</v>
      </c>
      <c r="F2712" s="87"/>
      <c r="G2712" s="87"/>
      <c r="H2712" s="87"/>
      <c r="I2712" s="87">
        <v>4584</v>
      </c>
      <c r="J2712" s="87">
        <v>1146</v>
      </c>
      <c r="K2712" s="87"/>
      <c r="L2712" s="87">
        <v>1146</v>
      </c>
      <c r="M2712" s="87"/>
      <c r="N2712" s="87"/>
      <c r="O2712" s="87"/>
      <c r="P2712" s="87"/>
      <c r="Q2712" s="87"/>
      <c r="R2712" s="87"/>
      <c r="S2712" s="87"/>
      <c r="T2712" s="87"/>
      <c r="U2712" s="88"/>
      <c r="V2712" s="89"/>
      <c r="W2712" s="96">
        <v>0</v>
      </c>
      <c r="X2712" s="71">
        <f>CU2712</f>
        <v>0</v>
      </c>
      <c r="Y2712" s="71">
        <f>CY2712</f>
        <v>0</v>
      </c>
      <c r="Z2712" s="71">
        <f>DA2712+DC2712+DE2712</f>
        <v>0</v>
      </c>
      <c r="AA2712" s="71">
        <f>CW2712</f>
        <v>0</v>
      </c>
      <c r="AB2712" s="71"/>
      <c r="AC2712" s="71">
        <v>0</v>
      </c>
      <c r="AD2712" s="71">
        <f>W2712+X2712+Y2712+Z2712+AA2712+AB2712+AC2712</f>
        <v>0</v>
      </c>
      <c r="AE2712" s="72">
        <v>0</v>
      </c>
      <c r="AF2712" s="5"/>
      <c r="AG2712" s="6"/>
      <c r="AH2712" s="27"/>
      <c r="AI2712" s="44"/>
      <c r="AJ2712" s="26"/>
      <c r="AK2712" s="5"/>
      <c r="AL2712" s="82" t="s">
        <v>6456</v>
      </c>
      <c r="AM2712" s="76"/>
      <c r="AN2712" s="76"/>
      <c r="AO2712" s="76"/>
      <c r="AP2712" s="76"/>
      <c r="AQ2712" s="76"/>
      <c r="AR2712" s="76"/>
      <c r="AS2712" s="76"/>
      <c r="AT2712" s="76"/>
      <c r="AU2712" s="76"/>
      <c r="AV2712" s="76"/>
      <c r="AW2712" s="76"/>
      <c r="AX2712" s="76">
        <f>+AW2712*600000</f>
        <v>0</v>
      </c>
      <c r="AY2712" s="76"/>
      <c r="AZ2712" s="76">
        <f>+AY2712*70000</f>
        <v>0</v>
      </c>
      <c r="BA2712" s="76"/>
      <c r="BB2712" s="76"/>
      <c r="BC2712" s="76"/>
      <c r="BD2712" s="76">
        <f>+BC2712*30000</f>
        <v>0</v>
      </c>
      <c r="BE2712" s="76"/>
      <c r="BF2712" s="76"/>
      <c r="BG2712" s="76"/>
      <c r="BH2712" s="76"/>
      <c r="BI2712" s="76"/>
      <c r="BJ2712" s="76"/>
      <c r="BK2712" s="76"/>
      <c r="BL2712" s="76">
        <f>+BK2712*31500</f>
        <v>0</v>
      </c>
      <c r="BM2712" s="76"/>
      <c r="BN2712" s="76"/>
      <c r="BO2712" s="76"/>
      <c r="BP2712" s="76"/>
      <c r="BQ2712" s="76"/>
      <c r="BR2712" s="76"/>
      <c r="BS2712" s="76"/>
      <c r="BT2712" s="76"/>
      <c r="BU2712" s="76"/>
      <c r="BV2712" s="76"/>
      <c r="BW2712" s="76"/>
      <c r="BX2712" s="76"/>
      <c r="BY2712" s="76"/>
      <c r="BZ2712" s="76"/>
      <c r="CA2712" s="76"/>
      <c r="CB2712" s="76"/>
      <c r="CC2712" s="76"/>
      <c r="CD2712" s="76"/>
      <c r="CE2712" s="76"/>
      <c r="CF2712" s="76">
        <f>+CE2712*28000</f>
        <v>0</v>
      </c>
      <c r="CG2712" s="76"/>
      <c r="CH2712" s="76">
        <f>+CG2712*22500</f>
        <v>0</v>
      </c>
      <c r="CI2712" s="76"/>
      <c r="CJ2712" s="76">
        <f>+CI2712*26000</f>
        <v>0</v>
      </c>
      <c r="CK2712" s="76"/>
      <c r="CL2712" s="76"/>
      <c r="CM2712" s="76"/>
      <c r="CN2712" s="76">
        <f>+CM2712*22000</f>
        <v>0</v>
      </c>
      <c r="CO2712" s="76"/>
      <c r="CP2712" s="76">
        <f>+CO2712*46000</f>
        <v>0</v>
      </c>
      <c r="CQ2712" s="76"/>
      <c r="CR2712" s="76">
        <f>+CQ2712*49000</f>
        <v>0</v>
      </c>
      <c r="CS2712" s="76"/>
      <c r="CT2712" s="76"/>
      <c r="CU2712" s="56">
        <f>AN2712+AP2712+AR2712+AT2712+AV2712+AX2712+AZ2712+BB2712+BD2712+BF2712+BH2712+BJ2712+BL2712+BN2712+BP2712+BR2712+BT2712+BV2712+BX2712+BZ2712+CB2712+CD2712+CF2712+CH2712+CJ2712+CL2712+CN2712+CP2712+CR2712+CT2712</f>
        <v>0</v>
      </c>
      <c r="CV2712" s="76"/>
      <c r="CW2712" s="76">
        <f>+CV2712*1100</f>
        <v>0</v>
      </c>
      <c r="CX2712" s="76"/>
      <c r="CY2712" s="76">
        <f>+CX2712*106250</f>
        <v>0</v>
      </c>
      <c r="CZ2712" s="76"/>
      <c r="DA2712" s="76">
        <f>+CZ2712*34500</f>
        <v>0</v>
      </c>
      <c r="DB2712" s="76"/>
      <c r="DC2712" s="76">
        <f>+DB2712*25000</f>
        <v>0</v>
      </c>
      <c r="DD2712" s="219"/>
      <c r="DE2712" s="219"/>
      <c r="DF2712" s="166"/>
      <c r="DG2712" s="116"/>
      <c r="DH2712" s="117"/>
      <c r="DI2712" s="24"/>
      <c r="DJ2712" s="24"/>
      <c r="DK2712" s="24"/>
      <c r="DL2712" s="24"/>
      <c r="DM2712" s="24"/>
      <c r="DN2712" s="24"/>
      <c r="DO2712" s="24"/>
      <c r="DP2712" s="24"/>
      <c r="DQ2712" s="24"/>
      <c r="DR2712" s="24"/>
      <c r="DS2712" s="24"/>
      <c r="DT2712" s="24"/>
      <c r="DU2712" s="24"/>
    </row>
    <row r="2713" spans="1:125" s="8" customFormat="1" ht="108" x14ac:dyDescent="0.2">
      <c r="A2713" s="77">
        <v>41500</v>
      </c>
      <c r="B2713" s="352" t="s">
        <v>2860</v>
      </c>
      <c r="C2713" s="354" t="s">
        <v>476</v>
      </c>
      <c r="D2713" s="354" t="s">
        <v>2882</v>
      </c>
      <c r="E2713" s="353" t="str">
        <f>VLOOKUP(B2713&amp;C2713,Divipola!$C$2:$F$1138,4,FALSE)</f>
        <v>63272</v>
      </c>
      <c r="F2713" s="87"/>
      <c r="G2713" s="87"/>
      <c r="H2713" s="87"/>
      <c r="I2713" s="87">
        <v>15</v>
      </c>
      <c r="J2713" s="87">
        <v>3</v>
      </c>
      <c r="K2713" s="87"/>
      <c r="L2713" s="87">
        <v>3</v>
      </c>
      <c r="M2713" s="87"/>
      <c r="N2713" s="87"/>
      <c r="O2713" s="87"/>
      <c r="P2713" s="87"/>
      <c r="Q2713" s="87"/>
      <c r="R2713" s="87"/>
      <c r="S2713" s="87"/>
      <c r="T2713" s="87"/>
      <c r="U2713" s="88"/>
      <c r="V2713" s="89"/>
      <c r="W2713" s="96">
        <v>0</v>
      </c>
      <c r="X2713" s="71">
        <f>CU2713</f>
        <v>0</v>
      </c>
      <c r="Y2713" s="71">
        <f>CY2713</f>
        <v>0</v>
      </c>
      <c r="Z2713" s="71">
        <f>DA2713+DC2713+DE2713</f>
        <v>0</v>
      </c>
      <c r="AA2713" s="71">
        <f>CW2713</f>
        <v>0</v>
      </c>
      <c r="AB2713" s="71"/>
      <c r="AC2713" s="71">
        <v>0</v>
      </c>
      <c r="AD2713" s="71">
        <f>W2713+X2713+Y2713+Z2713+AA2713+AB2713+AC2713</f>
        <v>0</v>
      </c>
      <c r="AE2713" s="72">
        <v>0</v>
      </c>
      <c r="AF2713" s="5"/>
      <c r="AG2713" s="6"/>
      <c r="AH2713" s="27"/>
      <c r="AI2713" s="44"/>
      <c r="AJ2713" s="26"/>
      <c r="AK2713" s="5"/>
      <c r="AL2713" s="82" t="s">
        <v>5608</v>
      </c>
      <c r="AM2713" s="76"/>
      <c r="AN2713" s="76"/>
      <c r="AO2713" s="76"/>
      <c r="AP2713" s="76"/>
      <c r="AQ2713" s="76"/>
      <c r="AR2713" s="76"/>
      <c r="AS2713" s="76"/>
      <c r="AT2713" s="76"/>
      <c r="AU2713" s="76"/>
      <c r="AV2713" s="76"/>
      <c r="AW2713" s="76"/>
      <c r="AX2713" s="76">
        <f>+AW2713*600000</f>
        <v>0</v>
      </c>
      <c r="AY2713" s="76"/>
      <c r="AZ2713" s="76">
        <f>+AY2713*70000</f>
        <v>0</v>
      </c>
      <c r="BA2713" s="76"/>
      <c r="BB2713" s="76"/>
      <c r="BC2713" s="76"/>
      <c r="BD2713" s="76">
        <f>+BC2713*30000</f>
        <v>0</v>
      </c>
      <c r="BE2713" s="76"/>
      <c r="BF2713" s="76"/>
      <c r="BG2713" s="76"/>
      <c r="BH2713" s="76"/>
      <c r="BI2713" s="76"/>
      <c r="BJ2713" s="76"/>
      <c r="BK2713" s="76"/>
      <c r="BL2713" s="76">
        <f>+BK2713*31500</f>
        <v>0</v>
      </c>
      <c r="BM2713" s="76"/>
      <c r="BN2713" s="76"/>
      <c r="BO2713" s="76"/>
      <c r="BP2713" s="76"/>
      <c r="BQ2713" s="76"/>
      <c r="BR2713" s="76"/>
      <c r="BS2713" s="76"/>
      <c r="BT2713" s="76"/>
      <c r="BU2713" s="76"/>
      <c r="BV2713" s="76"/>
      <c r="BW2713" s="76"/>
      <c r="BX2713" s="76"/>
      <c r="BY2713" s="76"/>
      <c r="BZ2713" s="76"/>
      <c r="CA2713" s="76"/>
      <c r="CB2713" s="76"/>
      <c r="CC2713" s="76"/>
      <c r="CD2713" s="76"/>
      <c r="CE2713" s="76"/>
      <c r="CF2713" s="76">
        <f>+CE2713*28000</f>
        <v>0</v>
      </c>
      <c r="CG2713" s="76"/>
      <c r="CH2713" s="76">
        <f>+CG2713*22500</f>
        <v>0</v>
      </c>
      <c r="CI2713" s="76"/>
      <c r="CJ2713" s="76">
        <f>+CI2713*26000</f>
        <v>0</v>
      </c>
      <c r="CK2713" s="76"/>
      <c r="CL2713" s="76"/>
      <c r="CM2713" s="76"/>
      <c r="CN2713" s="76">
        <f>+CM2713*22000</f>
        <v>0</v>
      </c>
      <c r="CO2713" s="76"/>
      <c r="CP2713" s="76">
        <f>+CO2713*46000</f>
        <v>0</v>
      </c>
      <c r="CQ2713" s="76"/>
      <c r="CR2713" s="76">
        <f>+CQ2713*49000</f>
        <v>0</v>
      </c>
      <c r="CS2713" s="76"/>
      <c r="CT2713" s="76"/>
      <c r="CU2713" s="56">
        <f>AN2713+AP2713+AR2713+AT2713+AV2713+AX2713+AZ2713+BB2713+BD2713+BF2713+BH2713+BJ2713+BL2713+BN2713+BP2713+BR2713+BT2713+BV2713+BX2713+BZ2713+CB2713+CD2713+CF2713+CH2713+CJ2713+CL2713+CN2713+CP2713+CR2713+CT2713</f>
        <v>0</v>
      </c>
      <c r="CV2713" s="76"/>
      <c r="CW2713" s="76">
        <f>+CV2713*1100</f>
        <v>0</v>
      </c>
      <c r="CX2713" s="76"/>
      <c r="CY2713" s="76">
        <f>+CX2713*106250</f>
        <v>0</v>
      </c>
      <c r="CZ2713" s="76"/>
      <c r="DA2713" s="76">
        <f>+CZ2713*34500</f>
        <v>0</v>
      </c>
      <c r="DB2713" s="76"/>
      <c r="DC2713" s="76">
        <f>+DB2713*25000</f>
        <v>0</v>
      </c>
      <c r="DD2713" s="219"/>
      <c r="DE2713" s="219"/>
      <c r="DF2713" s="166"/>
      <c r="DG2713" s="116"/>
      <c r="DH2713" s="117"/>
      <c r="DI2713" s="24"/>
      <c r="DJ2713" s="24"/>
      <c r="DK2713" s="24"/>
      <c r="DL2713" s="24"/>
      <c r="DM2713" s="24"/>
      <c r="DN2713" s="24"/>
      <c r="DO2713" s="24"/>
      <c r="DP2713" s="24"/>
      <c r="DQ2713" s="24"/>
      <c r="DR2713" s="24"/>
      <c r="DS2713" s="24"/>
      <c r="DT2713" s="24"/>
      <c r="DU2713" s="24"/>
    </row>
    <row r="2714" spans="1:125" s="8" customFormat="1" ht="60" x14ac:dyDescent="0.2">
      <c r="A2714" s="77">
        <v>41500</v>
      </c>
      <c r="B2714" s="352" t="s">
        <v>2860</v>
      </c>
      <c r="C2714" s="354" t="s">
        <v>2090</v>
      </c>
      <c r="D2714" s="354" t="s">
        <v>2882</v>
      </c>
      <c r="E2714" s="353" t="str">
        <f>VLOOKUP(B2714&amp;C2714,Divipola!$C$2:$F$1138,4,FALSE)</f>
        <v>63548</v>
      </c>
      <c r="F2714" s="87"/>
      <c r="G2714" s="87"/>
      <c r="H2714" s="87"/>
      <c r="I2714" s="87">
        <v>5</v>
      </c>
      <c r="J2714" s="87">
        <v>1</v>
      </c>
      <c r="K2714" s="87"/>
      <c r="L2714" s="87">
        <v>1</v>
      </c>
      <c r="M2714" s="87"/>
      <c r="N2714" s="87"/>
      <c r="O2714" s="87"/>
      <c r="P2714" s="87"/>
      <c r="Q2714" s="87"/>
      <c r="R2714" s="87"/>
      <c r="S2714" s="87"/>
      <c r="T2714" s="87"/>
      <c r="U2714" s="88"/>
      <c r="V2714" s="89"/>
      <c r="W2714" s="96">
        <v>0</v>
      </c>
      <c r="X2714" s="71">
        <f>CU2714</f>
        <v>0</v>
      </c>
      <c r="Y2714" s="71">
        <f>CY2714</f>
        <v>0</v>
      </c>
      <c r="Z2714" s="71">
        <f>DA2714+DC2714+DE2714</f>
        <v>0</v>
      </c>
      <c r="AA2714" s="71">
        <f>CW2714</f>
        <v>0</v>
      </c>
      <c r="AB2714" s="71"/>
      <c r="AC2714" s="71">
        <v>0</v>
      </c>
      <c r="AD2714" s="71">
        <f>W2714+X2714+Y2714+Z2714+AA2714+AB2714+AC2714</f>
        <v>0</v>
      </c>
      <c r="AE2714" s="72">
        <v>0</v>
      </c>
      <c r="AF2714" s="5"/>
      <c r="AG2714" s="6"/>
      <c r="AH2714" s="27"/>
      <c r="AI2714" s="44"/>
      <c r="AJ2714" s="26"/>
      <c r="AK2714" s="5"/>
      <c r="AL2714" s="82" t="s">
        <v>5609</v>
      </c>
      <c r="AM2714" s="76"/>
      <c r="AN2714" s="76"/>
      <c r="AO2714" s="76"/>
      <c r="AP2714" s="76"/>
      <c r="AQ2714" s="76"/>
      <c r="AR2714" s="76"/>
      <c r="AS2714" s="76"/>
      <c r="AT2714" s="76"/>
      <c r="AU2714" s="76"/>
      <c r="AV2714" s="76"/>
      <c r="AW2714" s="76"/>
      <c r="AX2714" s="76">
        <f>+AW2714*600000</f>
        <v>0</v>
      </c>
      <c r="AY2714" s="76"/>
      <c r="AZ2714" s="76">
        <f>+AY2714*70000</f>
        <v>0</v>
      </c>
      <c r="BA2714" s="76"/>
      <c r="BB2714" s="76"/>
      <c r="BC2714" s="76"/>
      <c r="BD2714" s="76">
        <f>+BC2714*30000</f>
        <v>0</v>
      </c>
      <c r="BE2714" s="76"/>
      <c r="BF2714" s="76"/>
      <c r="BG2714" s="76"/>
      <c r="BH2714" s="76"/>
      <c r="BI2714" s="76"/>
      <c r="BJ2714" s="76"/>
      <c r="BK2714" s="76"/>
      <c r="BL2714" s="76">
        <f>+BK2714*31500</f>
        <v>0</v>
      </c>
      <c r="BM2714" s="76"/>
      <c r="BN2714" s="76"/>
      <c r="BO2714" s="76"/>
      <c r="BP2714" s="76"/>
      <c r="BQ2714" s="76"/>
      <c r="BR2714" s="76"/>
      <c r="BS2714" s="76"/>
      <c r="BT2714" s="76"/>
      <c r="BU2714" s="76"/>
      <c r="BV2714" s="76"/>
      <c r="BW2714" s="76"/>
      <c r="BX2714" s="76"/>
      <c r="BY2714" s="76"/>
      <c r="BZ2714" s="76"/>
      <c r="CA2714" s="76"/>
      <c r="CB2714" s="76"/>
      <c r="CC2714" s="76"/>
      <c r="CD2714" s="76"/>
      <c r="CE2714" s="76"/>
      <c r="CF2714" s="76">
        <f>+CE2714*28000</f>
        <v>0</v>
      </c>
      <c r="CG2714" s="76"/>
      <c r="CH2714" s="76">
        <f>+CG2714*22500</f>
        <v>0</v>
      </c>
      <c r="CI2714" s="76"/>
      <c r="CJ2714" s="76">
        <f>+CI2714*26000</f>
        <v>0</v>
      </c>
      <c r="CK2714" s="76"/>
      <c r="CL2714" s="76"/>
      <c r="CM2714" s="76"/>
      <c r="CN2714" s="76">
        <f>+CM2714*22000</f>
        <v>0</v>
      </c>
      <c r="CO2714" s="76"/>
      <c r="CP2714" s="76">
        <f>+CO2714*46000</f>
        <v>0</v>
      </c>
      <c r="CQ2714" s="76"/>
      <c r="CR2714" s="76">
        <f>+CQ2714*49000</f>
        <v>0</v>
      </c>
      <c r="CS2714" s="76"/>
      <c r="CT2714" s="76"/>
      <c r="CU2714" s="56">
        <f>AN2714+AP2714+AR2714+AT2714+AV2714+AX2714+AZ2714+BB2714+BD2714+BF2714+BH2714+BJ2714+BL2714+BN2714+BP2714+BR2714+BT2714+BV2714+BX2714+BZ2714+CB2714+CD2714+CF2714+CH2714+CJ2714+CL2714+CN2714+CP2714+CR2714+CT2714</f>
        <v>0</v>
      </c>
      <c r="CV2714" s="76"/>
      <c r="CW2714" s="76">
        <f>+CV2714*1100</f>
        <v>0</v>
      </c>
      <c r="CX2714" s="76"/>
      <c r="CY2714" s="76">
        <f>+CX2714*106250</f>
        <v>0</v>
      </c>
      <c r="CZ2714" s="76"/>
      <c r="DA2714" s="76">
        <f>+CZ2714*34500</f>
        <v>0</v>
      </c>
      <c r="DB2714" s="76"/>
      <c r="DC2714" s="76">
        <f>+DB2714*25000</f>
        <v>0</v>
      </c>
      <c r="DD2714" s="219"/>
      <c r="DE2714" s="219"/>
      <c r="DF2714" s="166"/>
      <c r="DG2714" s="116"/>
      <c r="DH2714" s="117"/>
      <c r="DI2714" s="24"/>
      <c r="DJ2714" s="24"/>
      <c r="DK2714" s="24"/>
      <c r="DL2714" s="24"/>
      <c r="DM2714" s="24"/>
      <c r="DN2714" s="24"/>
      <c r="DO2714" s="24"/>
      <c r="DP2714" s="24"/>
      <c r="DQ2714" s="24"/>
      <c r="DR2714" s="24"/>
      <c r="DS2714" s="24"/>
      <c r="DT2714" s="24"/>
      <c r="DU2714" s="24"/>
    </row>
    <row r="2715" spans="1:125" s="8" customFormat="1" ht="48" x14ac:dyDescent="0.2">
      <c r="A2715" s="77">
        <v>41501</v>
      </c>
      <c r="B2715" s="78" t="s">
        <v>2700</v>
      </c>
      <c r="C2715" s="75" t="s">
        <v>639</v>
      </c>
      <c r="D2715" s="75" t="s">
        <v>3051</v>
      </c>
      <c r="E2715" s="296" t="str">
        <f>VLOOKUP(B2715&amp;C2715,Divipola!$C$2:$F$1138,4,FALSE)</f>
        <v>15667</v>
      </c>
      <c r="F2715" s="61"/>
      <c r="G2715" s="61"/>
      <c r="H2715" s="61"/>
      <c r="I2715" s="61"/>
      <c r="J2715" s="61"/>
      <c r="K2715" s="61"/>
      <c r="L2715" s="61"/>
      <c r="M2715" s="61">
        <v>1</v>
      </c>
      <c r="N2715" s="61"/>
      <c r="O2715" s="61"/>
      <c r="P2715" s="61"/>
      <c r="Q2715" s="61"/>
      <c r="R2715" s="61"/>
      <c r="S2715" s="61"/>
      <c r="T2715" s="61"/>
      <c r="U2715" s="61"/>
      <c r="V2715" s="7"/>
      <c r="W2715" s="96">
        <v>0</v>
      </c>
      <c r="X2715" s="71">
        <f>CU2715</f>
        <v>0</v>
      </c>
      <c r="Y2715" s="71">
        <f>CY2715</f>
        <v>0</v>
      </c>
      <c r="Z2715" s="71">
        <f>DA2715+DC2715+DE2715</f>
        <v>0</v>
      </c>
      <c r="AA2715" s="71">
        <f>CW2715</f>
        <v>0</v>
      </c>
      <c r="AB2715" s="71"/>
      <c r="AC2715" s="71">
        <v>0</v>
      </c>
      <c r="AD2715" s="71">
        <f>W2715+X2715+Y2715+Z2715+AA2715+AB2715+AC2715</f>
        <v>0</v>
      </c>
      <c r="AE2715" s="72">
        <v>0</v>
      </c>
      <c r="AF2715" s="5"/>
      <c r="AG2715" s="6"/>
      <c r="AH2715" s="27"/>
      <c r="AI2715" s="44"/>
      <c r="AJ2715" s="26"/>
      <c r="AK2715" s="5"/>
      <c r="AL2715" s="9" t="s">
        <v>6244</v>
      </c>
      <c r="AM2715" s="76"/>
      <c r="AN2715" s="76"/>
      <c r="AO2715" s="76"/>
      <c r="AP2715" s="76"/>
      <c r="AQ2715" s="76"/>
      <c r="AR2715" s="76"/>
      <c r="AS2715" s="76"/>
      <c r="AT2715" s="76"/>
      <c r="AU2715" s="76"/>
      <c r="AV2715" s="76"/>
      <c r="AW2715" s="76"/>
      <c r="AX2715" s="76">
        <f>+AW2715*600000</f>
        <v>0</v>
      </c>
      <c r="AY2715" s="76"/>
      <c r="AZ2715" s="76">
        <f>+AY2715*70000</f>
        <v>0</v>
      </c>
      <c r="BA2715" s="76"/>
      <c r="BB2715" s="76"/>
      <c r="BC2715" s="76"/>
      <c r="BD2715" s="76">
        <f>+BC2715*30000</f>
        <v>0</v>
      </c>
      <c r="BE2715" s="76"/>
      <c r="BF2715" s="76"/>
      <c r="BG2715" s="76"/>
      <c r="BH2715" s="76"/>
      <c r="BI2715" s="76"/>
      <c r="BJ2715" s="76"/>
      <c r="BK2715" s="76"/>
      <c r="BL2715" s="76">
        <f>+BK2715*31500</f>
        <v>0</v>
      </c>
      <c r="BM2715" s="76"/>
      <c r="BN2715" s="76"/>
      <c r="BO2715" s="76"/>
      <c r="BP2715" s="76"/>
      <c r="BQ2715" s="76"/>
      <c r="BR2715" s="76"/>
      <c r="BS2715" s="76"/>
      <c r="BT2715" s="76"/>
      <c r="BU2715" s="76"/>
      <c r="BV2715" s="76"/>
      <c r="BW2715" s="76"/>
      <c r="BX2715" s="76"/>
      <c r="BY2715" s="76"/>
      <c r="BZ2715" s="76"/>
      <c r="CA2715" s="76"/>
      <c r="CB2715" s="76"/>
      <c r="CC2715" s="76"/>
      <c r="CD2715" s="76"/>
      <c r="CE2715" s="76"/>
      <c r="CF2715" s="76">
        <f>+CE2715*28000</f>
        <v>0</v>
      </c>
      <c r="CG2715" s="76"/>
      <c r="CH2715" s="76">
        <f>+CG2715*22500</f>
        <v>0</v>
      </c>
      <c r="CI2715" s="76"/>
      <c r="CJ2715" s="76">
        <f>+CI2715*26000</f>
        <v>0</v>
      </c>
      <c r="CK2715" s="76"/>
      <c r="CL2715" s="76"/>
      <c r="CM2715" s="76"/>
      <c r="CN2715" s="76">
        <f>+CM2715*22000</f>
        <v>0</v>
      </c>
      <c r="CO2715" s="76"/>
      <c r="CP2715" s="76">
        <f>+CO2715*46000</f>
        <v>0</v>
      </c>
      <c r="CQ2715" s="76"/>
      <c r="CR2715" s="76">
        <f>+CQ2715*49000</f>
        <v>0</v>
      </c>
      <c r="CS2715" s="76"/>
      <c r="CT2715" s="76"/>
      <c r="CU2715" s="56">
        <f>AN2715+AP2715+AR2715+AT2715+AV2715+AX2715+AZ2715+BB2715+BD2715+BF2715+BH2715+BJ2715+BL2715+BN2715+BP2715+BR2715+BT2715+BV2715+BX2715+BZ2715+CB2715+CD2715+CF2715+CH2715+CJ2715+CL2715+CN2715+CP2715+CR2715+CT2715</f>
        <v>0</v>
      </c>
      <c r="CV2715" s="76"/>
      <c r="CW2715" s="76">
        <f>+CV2715*1100</f>
        <v>0</v>
      </c>
      <c r="CX2715" s="76"/>
      <c r="CY2715" s="76">
        <f>+CX2715*106250</f>
        <v>0</v>
      </c>
      <c r="CZ2715" s="76"/>
      <c r="DA2715" s="76">
        <f>+CZ2715*34500</f>
        <v>0</v>
      </c>
      <c r="DB2715" s="76"/>
      <c r="DC2715" s="76">
        <f>+DB2715*25000</f>
        <v>0</v>
      </c>
      <c r="DD2715" s="219"/>
      <c r="DE2715" s="219"/>
      <c r="DF2715" s="166"/>
      <c r="DG2715" s="116"/>
      <c r="DH2715" s="117"/>
      <c r="DI2715" s="24"/>
      <c r="DJ2715" s="24"/>
      <c r="DK2715" s="24"/>
      <c r="DL2715" s="24"/>
      <c r="DM2715" s="24"/>
      <c r="DN2715" s="24"/>
      <c r="DO2715" s="24"/>
      <c r="DP2715" s="24"/>
      <c r="DQ2715" s="24"/>
      <c r="DR2715" s="24"/>
      <c r="DS2715" s="24"/>
      <c r="DT2715" s="24"/>
      <c r="DU2715" s="24"/>
    </row>
    <row r="2716" spans="1:125" s="8" customFormat="1" ht="24" x14ac:dyDescent="0.2">
      <c r="A2716" s="353">
        <v>41501</v>
      </c>
      <c r="B2716" s="352" t="s">
        <v>2700</v>
      </c>
      <c r="C2716" s="354" t="s">
        <v>1375</v>
      </c>
      <c r="D2716" s="354" t="s">
        <v>2859</v>
      </c>
      <c r="E2716" s="353" t="str">
        <f>VLOOKUP(B2716&amp;C2716,Divipola!$C$2:$F$1138,4,FALSE)</f>
        <v>15759</v>
      </c>
      <c r="F2716" s="87"/>
      <c r="G2716" s="87"/>
      <c r="H2716" s="87"/>
      <c r="I2716" s="87">
        <v>5</v>
      </c>
      <c r="J2716" s="87">
        <v>1</v>
      </c>
      <c r="K2716" s="87"/>
      <c r="L2716" s="87">
        <v>1</v>
      </c>
      <c r="M2716" s="87"/>
      <c r="N2716" s="87"/>
      <c r="O2716" s="87"/>
      <c r="P2716" s="87"/>
      <c r="Q2716" s="87"/>
      <c r="R2716" s="87"/>
      <c r="S2716" s="87"/>
      <c r="T2716" s="87"/>
      <c r="U2716" s="88"/>
      <c r="V2716" s="89"/>
      <c r="W2716" s="96">
        <v>0</v>
      </c>
      <c r="X2716" s="71">
        <f>CU2716</f>
        <v>0</v>
      </c>
      <c r="Y2716" s="71">
        <f>CY2716</f>
        <v>0</v>
      </c>
      <c r="Z2716" s="71">
        <f>DA2716+DC2716+DE2716</f>
        <v>0</v>
      </c>
      <c r="AA2716" s="71">
        <f>CW2716</f>
        <v>0</v>
      </c>
      <c r="AB2716" s="71"/>
      <c r="AC2716" s="71">
        <v>0</v>
      </c>
      <c r="AD2716" s="71">
        <f>W2716+X2716+Y2716+Z2716+AA2716+AB2716+AC2716</f>
        <v>0</v>
      </c>
      <c r="AE2716" s="72">
        <v>0</v>
      </c>
      <c r="AF2716" s="5"/>
      <c r="AG2716" s="6"/>
      <c r="AH2716" s="27"/>
      <c r="AI2716" s="44"/>
      <c r="AJ2716" s="26"/>
      <c r="AK2716" s="5"/>
      <c r="AL2716" s="82" t="s">
        <v>5612</v>
      </c>
      <c r="AM2716" s="76"/>
      <c r="AN2716" s="76"/>
      <c r="AO2716" s="76"/>
      <c r="AP2716" s="76"/>
      <c r="AQ2716" s="76"/>
      <c r="AR2716" s="76"/>
      <c r="AS2716" s="76"/>
      <c r="AT2716" s="76"/>
      <c r="AU2716" s="76"/>
      <c r="AV2716" s="76"/>
      <c r="AW2716" s="76"/>
      <c r="AX2716" s="76">
        <f>+AW2716*600000</f>
        <v>0</v>
      </c>
      <c r="AY2716" s="76"/>
      <c r="AZ2716" s="76">
        <f>+AY2716*70000</f>
        <v>0</v>
      </c>
      <c r="BA2716" s="76"/>
      <c r="BB2716" s="76"/>
      <c r="BC2716" s="76"/>
      <c r="BD2716" s="76">
        <f>+BC2716*30000</f>
        <v>0</v>
      </c>
      <c r="BE2716" s="76"/>
      <c r="BF2716" s="76"/>
      <c r="BG2716" s="76"/>
      <c r="BH2716" s="76"/>
      <c r="BI2716" s="76"/>
      <c r="BJ2716" s="76"/>
      <c r="BK2716" s="76"/>
      <c r="BL2716" s="76">
        <f>+BK2716*31500</f>
        <v>0</v>
      </c>
      <c r="BM2716" s="76"/>
      <c r="BN2716" s="76"/>
      <c r="BO2716" s="76"/>
      <c r="BP2716" s="76"/>
      <c r="BQ2716" s="76"/>
      <c r="BR2716" s="76"/>
      <c r="BS2716" s="76"/>
      <c r="BT2716" s="76"/>
      <c r="BU2716" s="76"/>
      <c r="BV2716" s="76"/>
      <c r="BW2716" s="76"/>
      <c r="BX2716" s="76"/>
      <c r="BY2716" s="76"/>
      <c r="BZ2716" s="76"/>
      <c r="CA2716" s="76"/>
      <c r="CB2716" s="76"/>
      <c r="CC2716" s="76"/>
      <c r="CD2716" s="76"/>
      <c r="CE2716" s="76"/>
      <c r="CF2716" s="76">
        <f>+CE2716*28000</f>
        <v>0</v>
      </c>
      <c r="CG2716" s="76"/>
      <c r="CH2716" s="76">
        <f>+CG2716*22500</f>
        <v>0</v>
      </c>
      <c r="CI2716" s="76"/>
      <c r="CJ2716" s="76">
        <f>+CI2716*26000</f>
        <v>0</v>
      </c>
      <c r="CK2716" s="76"/>
      <c r="CL2716" s="76"/>
      <c r="CM2716" s="76"/>
      <c r="CN2716" s="76">
        <f>+CM2716*22000</f>
        <v>0</v>
      </c>
      <c r="CO2716" s="76"/>
      <c r="CP2716" s="76">
        <f>+CO2716*46000</f>
        <v>0</v>
      </c>
      <c r="CQ2716" s="76"/>
      <c r="CR2716" s="76">
        <f>+CQ2716*49000</f>
        <v>0</v>
      </c>
      <c r="CS2716" s="76"/>
      <c r="CT2716" s="76"/>
      <c r="CU2716" s="56">
        <f>AN2716+AP2716+AR2716+AT2716+AV2716+AX2716+AZ2716+BB2716+BD2716+BF2716+BH2716+BJ2716+BL2716+BN2716+BP2716+BR2716+BT2716+BV2716+BX2716+BZ2716+CB2716+CD2716+CF2716+CH2716+CJ2716+CL2716+CN2716+CP2716+CR2716+CT2716</f>
        <v>0</v>
      </c>
      <c r="CV2716" s="76"/>
      <c r="CW2716" s="76">
        <f>+CV2716*1100</f>
        <v>0</v>
      </c>
      <c r="CX2716" s="76"/>
      <c r="CY2716" s="76">
        <f>+CX2716*106250</f>
        <v>0</v>
      </c>
      <c r="CZ2716" s="76"/>
      <c r="DA2716" s="76">
        <f>+CZ2716*34500</f>
        <v>0</v>
      </c>
      <c r="DB2716" s="76"/>
      <c r="DC2716" s="76">
        <f>+DB2716*25000</f>
        <v>0</v>
      </c>
      <c r="DD2716" s="219"/>
      <c r="DE2716" s="219"/>
      <c r="DF2716" s="166"/>
      <c r="DG2716" s="116"/>
      <c r="DH2716" s="117"/>
      <c r="DI2716" s="24"/>
      <c r="DJ2716" s="24"/>
      <c r="DK2716" s="24"/>
      <c r="DL2716" s="24"/>
      <c r="DM2716" s="24"/>
      <c r="DN2716" s="24"/>
      <c r="DO2716" s="24"/>
      <c r="DP2716" s="24"/>
      <c r="DQ2716" s="24"/>
      <c r="DR2716" s="24"/>
      <c r="DS2716" s="24"/>
      <c r="DT2716" s="24"/>
      <c r="DU2716" s="24"/>
    </row>
    <row r="2717" spans="1:125" s="8" customFormat="1" ht="36" x14ac:dyDescent="0.2">
      <c r="A2717" s="97">
        <v>41501</v>
      </c>
      <c r="B2717" s="60" t="s">
        <v>2196</v>
      </c>
      <c r="C2717" s="55" t="s">
        <v>2221</v>
      </c>
      <c r="D2717" s="55" t="s">
        <v>2882</v>
      </c>
      <c r="E2717" s="353" t="str">
        <f>VLOOKUP(B2717&amp;C2717,Divipola!$C$2:$F$1138,4,FALSE)</f>
        <v>17513</v>
      </c>
      <c r="F2717" s="87"/>
      <c r="G2717" s="87"/>
      <c r="H2717" s="87"/>
      <c r="I2717" s="87"/>
      <c r="J2717" s="87"/>
      <c r="K2717" s="87"/>
      <c r="L2717" s="87"/>
      <c r="M2717" s="87"/>
      <c r="N2717" s="87"/>
      <c r="O2717" s="87"/>
      <c r="P2717" s="87"/>
      <c r="Q2717" s="87"/>
      <c r="R2717" s="87"/>
      <c r="S2717" s="87"/>
      <c r="T2717" s="87"/>
      <c r="U2717" s="88"/>
      <c r="V2717" s="89"/>
      <c r="W2717" s="96">
        <v>0</v>
      </c>
      <c r="X2717" s="71">
        <f>CU2717</f>
        <v>0</v>
      </c>
      <c r="Y2717" s="71">
        <f>CY2717</f>
        <v>0</v>
      </c>
      <c r="Z2717" s="71">
        <f>DA2717+DC2717+DE2717</f>
        <v>0</v>
      </c>
      <c r="AA2717" s="71">
        <f>CW2717</f>
        <v>0</v>
      </c>
      <c r="AB2717" s="71"/>
      <c r="AC2717" s="71">
        <v>0</v>
      </c>
      <c r="AD2717" s="71">
        <f>W2717+X2717+Y2717+Z2717+AA2717+AB2717+AC2717</f>
        <v>0</v>
      </c>
      <c r="AE2717" s="72">
        <v>0</v>
      </c>
      <c r="AF2717" s="5"/>
      <c r="AG2717" s="6"/>
      <c r="AH2717" s="27"/>
      <c r="AI2717" s="44"/>
      <c r="AJ2717" s="26"/>
      <c r="AK2717" s="5"/>
      <c r="AL2717" s="82" t="s">
        <v>5614</v>
      </c>
      <c r="AM2717" s="76"/>
      <c r="AN2717" s="76"/>
      <c r="AO2717" s="76"/>
      <c r="AP2717" s="76"/>
      <c r="AQ2717" s="76"/>
      <c r="AR2717" s="76"/>
      <c r="AS2717" s="76"/>
      <c r="AT2717" s="76"/>
      <c r="AU2717" s="76"/>
      <c r="AV2717" s="76"/>
      <c r="AW2717" s="76"/>
      <c r="AX2717" s="76">
        <f>+AW2717*600000</f>
        <v>0</v>
      </c>
      <c r="AY2717" s="76"/>
      <c r="AZ2717" s="76">
        <f>+AY2717*70000</f>
        <v>0</v>
      </c>
      <c r="BA2717" s="76"/>
      <c r="BB2717" s="76"/>
      <c r="BC2717" s="76"/>
      <c r="BD2717" s="76">
        <f>+BC2717*30000</f>
        <v>0</v>
      </c>
      <c r="BE2717" s="76"/>
      <c r="BF2717" s="76"/>
      <c r="BG2717" s="76"/>
      <c r="BH2717" s="76"/>
      <c r="BI2717" s="76"/>
      <c r="BJ2717" s="76"/>
      <c r="BK2717" s="76"/>
      <c r="BL2717" s="76">
        <f>+BK2717*31500</f>
        <v>0</v>
      </c>
      <c r="BM2717" s="76"/>
      <c r="BN2717" s="76"/>
      <c r="BO2717" s="76"/>
      <c r="BP2717" s="76"/>
      <c r="BQ2717" s="76"/>
      <c r="BR2717" s="76"/>
      <c r="BS2717" s="76"/>
      <c r="BT2717" s="76"/>
      <c r="BU2717" s="76"/>
      <c r="BV2717" s="76"/>
      <c r="BW2717" s="76"/>
      <c r="BX2717" s="76"/>
      <c r="BY2717" s="76"/>
      <c r="BZ2717" s="76"/>
      <c r="CA2717" s="76"/>
      <c r="CB2717" s="76"/>
      <c r="CC2717" s="76"/>
      <c r="CD2717" s="76"/>
      <c r="CE2717" s="76"/>
      <c r="CF2717" s="76">
        <f>+CE2717*28000</f>
        <v>0</v>
      </c>
      <c r="CG2717" s="76"/>
      <c r="CH2717" s="76">
        <f>+CG2717*22500</f>
        <v>0</v>
      </c>
      <c r="CI2717" s="76"/>
      <c r="CJ2717" s="76">
        <f>+CI2717*26000</f>
        <v>0</v>
      </c>
      <c r="CK2717" s="76"/>
      <c r="CL2717" s="76"/>
      <c r="CM2717" s="76"/>
      <c r="CN2717" s="76">
        <f>+CM2717*22000</f>
        <v>0</v>
      </c>
      <c r="CO2717" s="76"/>
      <c r="CP2717" s="76">
        <f>+CO2717*46000</f>
        <v>0</v>
      </c>
      <c r="CQ2717" s="76"/>
      <c r="CR2717" s="76">
        <f>+CQ2717*49000</f>
        <v>0</v>
      </c>
      <c r="CS2717" s="76"/>
      <c r="CT2717" s="76"/>
      <c r="CU2717" s="56">
        <f>AN2717+AP2717+AR2717+AT2717+AV2717+AX2717+AZ2717+BB2717+BD2717+BF2717+BH2717+BJ2717+BL2717+BN2717+BP2717+BR2717+BT2717+BV2717+BX2717+BZ2717+CB2717+CD2717+CF2717+CH2717+CJ2717+CL2717+CN2717+CP2717+CR2717+CT2717</f>
        <v>0</v>
      </c>
      <c r="CV2717" s="76"/>
      <c r="CW2717" s="76">
        <f>+CV2717*1100</f>
        <v>0</v>
      </c>
      <c r="CX2717" s="76"/>
      <c r="CY2717" s="76">
        <f>+CX2717*106250</f>
        <v>0</v>
      </c>
      <c r="CZ2717" s="76"/>
      <c r="DA2717" s="76">
        <f>+CZ2717*34500</f>
        <v>0</v>
      </c>
      <c r="DB2717" s="76"/>
      <c r="DC2717" s="76">
        <f>+DB2717*25000</f>
        <v>0</v>
      </c>
      <c r="DD2717" s="219"/>
      <c r="DE2717" s="219"/>
      <c r="DF2717" s="166"/>
      <c r="DG2717" s="116"/>
      <c r="DH2717" s="117"/>
      <c r="DI2717" s="24"/>
      <c r="DJ2717" s="24"/>
      <c r="DK2717" s="24"/>
      <c r="DL2717" s="24"/>
      <c r="DM2717" s="24"/>
      <c r="DN2717" s="24"/>
      <c r="DO2717" s="24"/>
      <c r="DP2717" s="24"/>
      <c r="DQ2717" s="24"/>
      <c r="DR2717" s="24"/>
      <c r="DS2717" s="24"/>
      <c r="DT2717" s="24"/>
      <c r="DU2717" s="24"/>
    </row>
    <row r="2718" spans="1:125" s="8" customFormat="1" ht="144" x14ac:dyDescent="0.2">
      <c r="A2718" s="77">
        <v>41501</v>
      </c>
      <c r="B2718" s="78" t="s">
        <v>2087</v>
      </c>
      <c r="C2718" s="75" t="s">
        <v>2072</v>
      </c>
      <c r="D2718" s="75" t="s">
        <v>3051</v>
      </c>
      <c r="E2718" s="353" t="str">
        <f>VLOOKUP(B2718&amp;C2718,Divipola!$C$2:$F$1138,4,FALSE)</f>
        <v>18094</v>
      </c>
      <c r="F2718" s="87">
        <v>3</v>
      </c>
      <c r="G2718" s="87"/>
      <c r="H2718" s="87"/>
      <c r="I2718" s="87">
        <f>120*5</f>
        <v>600</v>
      </c>
      <c r="J2718" s="87">
        <v>120</v>
      </c>
      <c r="K2718" s="87"/>
      <c r="L2718" s="87">
        <v>120</v>
      </c>
      <c r="M2718" s="87"/>
      <c r="N2718" s="87"/>
      <c r="O2718" s="87"/>
      <c r="P2718" s="87"/>
      <c r="Q2718" s="87"/>
      <c r="R2718" s="87"/>
      <c r="S2718" s="87">
        <v>4</v>
      </c>
      <c r="T2718" s="87"/>
      <c r="U2718" s="88"/>
      <c r="V2718" s="89"/>
      <c r="W2718" s="96">
        <v>0</v>
      </c>
      <c r="X2718" s="71">
        <f>CU2718</f>
        <v>40199359.200000003</v>
      </c>
      <c r="Y2718" s="71">
        <f>CY2718</f>
        <v>25456105.84</v>
      </c>
      <c r="Z2718" s="71">
        <f>DA2718+DC2718+DE2718</f>
        <v>35865226.840000004</v>
      </c>
      <c r="AA2718" s="71">
        <f>CW2718</f>
        <v>0</v>
      </c>
      <c r="AB2718" s="71"/>
      <c r="AC2718" s="71">
        <v>0</v>
      </c>
      <c r="AD2718" s="71">
        <f>W2718+X2718+Y2718+Z2718+AA2718+AB2718+AC2718</f>
        <v>101520691.88000001</v>
      </c>
      <c r="AE2718" s="72">
        <v>0</v>
      </c>
      <c r="AF2718" s="5"/>
      <c r="AG2718" s="6"/>
      <c r="AH2718" s="27"/>
      <c r="AI2718" s="44"/>
      <c r="AJ2718" s="26"/>
      <c r="AK2718" s="5"/>
      <c r="AL2718" s="268" t="s">
        <v>6170</v>
      </c>
      <c r="AM2718" s="76"/>
      <c r="AN2718" s="76"/>
      <c r="AO2718" s="76"/>
      <c r="AP2718" s="76"/>
      <c r="AQ2718" s="76"/>
      <c r="AR2718" s="76"/>
      <c r="AS2718" s="76"/>
      <c r="AT2718" s="76"/>
      <c r="AU2718" s="76"/>
      <c r="AV2718" s="76"/>
      <c r="AW2718" s="76"/>
      <c r="AX2718" s="76">
        <f>+AW2718*600000</f>
        <v>0</v>
      </c>
      <c r="AY2718" s="86">
        <v>300</v>
      </c>
      <c r="AZ2718" s="86">
        <f>+AY2718*69999.04</f>
        <v>20999711.999999996</v>
      </c>
      <c r="BA2718" s="76"/>
      <c r="BB2718" s="76"/>
      <c r="BC2718" s="76"/>
      <c r="BD2718" s="76">
        <f>+BC2718*30000</f>
        <v>0</v>
      </c>
      <c r="BE2718" s="76"/>
      <c r="BF2718" s="76"/>
      <c r="BG2718" s="76"/>
      <c r="BH2718" s="76"/>
      <c r="BI2718" s="76"/>
      <c r="BJ2718" s="76"/>
      <c r="BK2718" s="76"/>
      <c r="BL2718" s="76">
        <f>+BK2718*31500</f>
        <v>0</v>
      </c>
      <c r="BM2718" s="76"/>
      <c r="BN2718" s="76"/>
      <c r="BO2718" s="76"/>
      <c r="BP2718" s="76"/>
      <c r="BQ2718" s="76"/>
      <c r="BR2718" s="76"/>
      <c r="BS2718" s="76"/>
      <c r="BT2718" s="76"/>
      <c r="BU2718" s="76"/>
      <c r="BV2718" s="76"/>
      <c r="BW2718" s="76"/>
      <c r="BX2718" s="76"/>
      <c r="BY2718" s="76"/>
      <c r="BZ2718" s="76"/>
      <c r="CA2718" s="76"/>
      <c r="CB2718" s="76"/>
      <c r="CC2718" s="76"/>
      <c r="CD2718" s="76"/>
      <c r="CE2718" s="76"/>
      <c r="CF2718" s="76">
        <f>+CE2718*28000</f>
        <v>0</v>
      </c>
      <c r="CG2718" s="76"/>
      <c r="CH2718" s="76">
        <f>+CG2718*22500</f>
        <v>0</v>
      </c>
      <c r="CI2718" s="86">
        <v>300</v>
      </c>
      <c r="CJ2718" s="86">
        <f>+CI2718*25999.08</f>
        <v>7799724.0000000009</v>
      </c>
      <c r="CK2718" s="76"/>
      <c r="CL2718" s="76"/>
      <c r="CM2718" s="76"/>
      <c r="CN2718" s="76">
        <f>+CM2718*22000</f>
        <v>0</v>
      </c>
      <c r="CO2718" s="86">
        <v>120</v>
      </c>
      <c r="CP2718" s="86">
        <f>+CO2718*45999.8</f>
        <v>5519976</v>
      </c>
      <c r="CQ2718" s="86">
        <v>120</v>
      </c>
      <c r="CR2718" s="86">
        <f>+CQ2718*48999.56</f>
        <v>5879947.1999999993</v>
      </c>
      <c r="CS2718" s="76"/>
      <c r="CT2718" s="76"/>
      <c r="CU2718" s="56">
        <f>AN2718+AP2718+AR2718+AT2718+AV2718+AX2718+AZ2718+BB2718+BD2718+BF2718+BH2718+BJ2718+BL2718+BN2718+BP2718+BR2718+BT2718+BV2718+BX2718+BZ2718+CB2718+CD2718+CF2718+CH2718+CJ2718+CL2718+CN2718+CP2718+CR2718+CT2718</f>
        <v>40199359.200000003</v>
      </c>
      <c r="CV2718" s="76"/>
      <c r="CW2718" s="76">
        <f>+CV2718*1100</f>
        <v>0</v>
      </c>
      <c r="CX2718" s="86">
        <v>242</v>
      </c>
      <c r="CY2718" s="86">
        <f>+CX2718*105190.52</f>
        <v>25456105.84</v>
      </c>
      <c r="CZ2718" s="76"/>
      <c r="DA2718" s="76">
        <f>+CZ2718*34500</f>
        <v>0</v>
      </c>
      <c r="DB2718" s="86">
        <v>1000</v>
      </c>
      <c r="DC2718" s="86">
        <f>+DB2718*31999.76+4000*199.52</f>
        <v>32797840</v>
      </c>
      <c r="DD2718" s="369" t="s">
        <v>6260</v>
      </c>
      <c r="DE2718" s="318">
        <f>8*228799.56+13*80999.32+4*45999.8</f>
        <v>3067386.8400000003</v>
      </c>
      <c r="DF2718" s="166"/>
      <c r="DG2718" s="134" t="s">
        <v>6918</v>
      </c>
      <c r="DH2718" s="117"/>
      <c r="DI2718" s="24"/>
      <c r="DJ2718" s="24"/>
      <c r="DK2718" s="24"/>
      <c r="DL2718" s="24"/>
      <c r="DM2718" s="24"/>
      <c r="DN2718" s="24"/>
      <c r="DO2718" s="24"/>
      <c r="DP2718" s="24"/>
      <c r="DQ2718" s="24"/>
      <c r="DR2718" s="24"/>
      <c r="DS2718" s="24"/>
      <c r="DT2718" s="24"/>
      <c r="DU2718" s="24"/>
    </row>
    <row r="2719" spans="1:125" s="8" customFormat="1" ht="120" x14ac:dyDescent="0.2">
      <c r="A2719" s="353">
        <v>41501</v>
      </c>
      <c r="B2719" s="352" t="s">
        <v>2087</v>
      </c>
      <c r="C2719" s="227" t="s">
        <v>811</v>
      </c>
      <c r="D2719" s="354" t="s">
        <v>3051</v>
      </c>
      <c r="E2719" s="353" t="str">
        <f>VLOOKUP(B2719&amp;C2719,Divipola!$C$2:$F$1138,4,FALSE)</f>
        <v>18610</v>
      </c>
      <c r="F2719" s="87"/>
      <c r="G2719" s="87"/>
      <c r="H2719" s="87"/>
      <c r="I2719" s="87">
        <f>64*5</f>
        <v>320</v>
      </c>
      <c r="J2719" s="87">
        <v>64</v>
      </c>
      <c r="K2719" s="87"/>
      <c r="L2719" s="87">
        <v>64</v>
      </c>
      <c r="M2719" s="87"/>
      <c r="N2719" s="87"/>
      <c r="O2719" s="87">
        <v>4</v>
      </c>
      <c r="P2719" s="87"/>
      <c r="Q2719" s="87"/>
      <c r="R2719" s="87"/>
      <c r="S2719" s="87">
        <v>1</v>
      </c>
      <c r="T2719" s="87"/>
      <c r="U2719" s="88"/>
      <c r="V2719" s="89"/>
      <c r="W2719" s="96">
        <v>0</v>
      </c>
      <c r="X2719" s="71">
        <f>CU2719</f>
        <v>16319826.559999999</v>
      </c>
      <c r="Y2719" s="71">
        <f>CY2719</f>
        <v>7994479.5200000005</v>
      </c>
      <c r="Z2719" s="71">
        <f>DA2719+DC2719+DE2719</f>
        <v>16398920</v>
      </c>
      <c r="AA2719" s="71">
        <f>CW2719</f>
        <v>0</v>
      </c>
      <c r="AB2719" s="71"/>
      <c r="AC2719" s="71">
        <v>0</v>
      </c>
      <c r="AD2719" s="71">
        <f>W2719+X2719+Y2719+Z2719+AA2719+AB2719+AC2719</f>
        <v>40713226.079999998</v>
      </c>
      <c r="AE2719" s="72">
        <v>0</v>
      </c>
      <c r="AF2719" s="5"/>
      <c r="AG2719" s="6"/>
      <c r="AH2719" s="27"/>
      <c r="AI2719" s="44"/>
      <c r="AJ2719" s="26"/>
      <c r="AK2719" s="5"/>
      <c r="AL2719" s="82" t="s">
        <v>6172</v>
      </c>
      <c r="AM2719" s="76"/>
      <c r="AN2719" s="76"/>
      <c r="AO2719" s="76"/>
      <c r="AP2719" s="76"/>
      <c r="AQ2719" s="76"/>
      <c r="AR2719" s="76"/>
      <c r="AS2719" s="76"/>
      <c r="AT2719" s="76"/>
      <c r="AU2719" s="76"/>
      <c r="AV2719" s="76"/>
      <c r="AW2719" s="76"/>
      <c r="AX2719" s="76">
        <f>+AW2719*600000</f>
        <v>0</v>
      </c>
      <c r="AY2719" s="86">
        <v>130</v>
      </c>
      <c r="AZ2719" s="86">
        <f>+AY2719*69999.04</f>
        <v>9099875.1999999993</v>
      </c>
      <c r="BA2719" s="76"/>
      <c r="BB2719" s="76"/>
      <c r="BC2719" s="76"/>
      <c r="BD2719" s="76">
        <f>+BC2719*30000</f>
        <v>0</v>
      </c>
      <c r="BE2719" s="76"/>
      <c r="BF2719" s="76"/>
      <c r="BG2719" s="76"/>
      <c r="BH2719" s="76"/>
      <c r="BI2719" s="76"/>
      <c r="BJ2719" s="76"/>
      <c r="BK2719" s="76"/>
      <c r="BL2719" s="76">
        <f>+BK2719*31500</f>
        <v>0</v>
      </c>
      <c r="BM2719" s="76"/>
      <c r="BN2719" s="76"/>
      <c r="BO2719" s="76"/>
      <c r="BP2719" s="76"/>
      <c r="BQ2719" s="76"/>
      <c r="BR2719" s="76"/>
      <c r="BS2719" s="76"/>
      <c r="BT2719" s="76"/>
      <c r="BU2719" s="76"/>
      <c r="BV2719" s="76"/>
      <c r="BW2719" s="76"/>
      <c r="BX2719" s="76"/>
      <c r="BY2719" s="76"/>
      <c r="BZ2719" s="76"/>
      <c r="CA2719" s="76"/>
      <c r="CB2719" s="76"/>
      <c r="CC2719" s="76"/>
      <c r="CD2719" s="76"/>
      <c r="CE2719" s="76"/>
      <c r="CF2719" s="76">
        <f>+CE2719*28000</f>
        <v>0</v>
      </c>
      <c r="CG2719" s="76"/>
      <c r="CH2719" s="76">
        <f>+CG2719*22500</f>
        <v>0</v>
      </c>
      <c r="CI2719" s="76"/>
      <c r="CJ2719" s="76">
        <f>+CI2719*26000</f>
        <v>0</v>
      </c>
      <c r="CK2719" s="76"/>
      <c r="CL2719" s="76"/>
      <c r="CM2719" s="76"/>
      <c r="CN2719" s="76">
        <f>+CM2719*22000</f>
        <v>0</v>
      </c>
      <c r="CO2719" s="86">
        <v>76</v>
      </c>
      <c r="CP2719" s="86">
        <f>+CO2719*45999.8</f>
        <v>3495984.8000000003</v>
      </c>
      <c r="CQ2719" s="86">
        <v>76</v>
      </c>
      <c r="CR2719" s="86">
        <f>+CQ2719*48999.56</f>
        <v>3723966.5599999996</v>
      </c>
      <c r="CS2719" s="76"/>
      <c r="CT2719" s="76"/>
      <c r="CU2719" s="56">
        <f>AN2719+AP2719+AR2719+AT2719+AV2719+AX2719+AZ2719+BB2719+BD2719+BF2719+BH2719+BJ2719+BL2719+BN2719+BP2719+BR2719+BT2719+BV2719+BX2719+BZ2719+CB2719+CD2719+CF2719+CH2719+CJ2719+CL2719+CN2719+CP2719+CR2719+CT2719</f>
        <v>16319826.559999999</v>
      </c>
      <c r="CV2719" s="76"/>
      <c r="CW2719" s="76">
        <f>+CV2719*1100</f>
        <v>0</v>
      </c>
      <c r="CX2719" s="86">
        <v>76</v>
      </c>
      <c r="CY2719" s="86">
        <f>+CX2719*105190.52</f>
        <v>7994479.5200000005</v>
      </c>
      <c r="CZ2719" s="76"/>
      <c r="DA2719" s="76">
        <f>+CZ2719*34500</f>
        <v>0</v>
      </c>
      <c r="DB2719" s="86">
        <v>500</v>
      </c>
      <c r="DC2719" s="86">
        <f>+DB2719*31999.76+2000*199.52</f>
        <v>16398920</v>
      </c>
      <c r="DD2719" s="219"/>
      <c r="DE2719" s="219"/>
      <c r="DF2719" s="166"/>
      <c r="DG2719" s="134" t="s">
        <v>6918</v>
      </c>
      <c r="DH2719" s="117"/>
      <c r="DI2719" s="24"/>
      <c r="DJ2719" s="24"/>
      <c r="DK2719" s="24"/>
      <c r="DL2719" s="24"/>
      <c r="DM2719" s="24"/>
      <c r="DN2719" s="24"/>
      <c r="DO2719" s="24"/>
      <c r="DP2719" s="24"/>
      <c r="DQ2719" s="24"/>
      <c r="DR2719" s="24"/>
      <c r="DS2719" s="24"/>
      <c r="DT2719" s="24"/>
      <c r="DU2719" s="24"/>
    </row>
    <row r="2720" spans="1:125" s="8" customFormat="1" ht="96" x14ac:dyDescent="0.2">
      <c r="A2720" s="77">
        <v>41501</v>
      </c>
      <c r="B2720" s="352" t="s">
        <v>2087</v>
      </c>
      <c r="C2720" s="227" t="s">
        <v>2626</v>
      </c>
      <c r="D2720" s="227" t="s">
        <v>3051</v>
      </c>
      <c r="E2720" s="353" t="str">
        <f>VLOOKUP(B2720&amp;C2720,Divipola!$C$2:$F$1138,4,FALSE)</f>
        <v>18860</v>
      </c>
      <c r="F2720" s="87"/>
      <c r="G2720" s="87"/>
      <c r="H2720" s="87"/>
      <c r="I2720" s="87">
        <f>68*5</f>
        <v>340</v>
      </c>
      <c r="J2720" s="87">
        <v>68</v>
      </c>
      <c r="K2720" s="87"/>
      <c r="L2720" s="87">
        <v>68</v>
      </c>
      <c r="M2720" s="87"/>
      <c r="N2720" s="87"/>
      <c r="O2720" s="87"/>
      <c r="P2720" s="87"/>
      <c r="Q2720" s="87"/>
      <c r="R2720" s="87"/>
      <c r="S2720" s="87"/>
      <c r="T2720" s="87"/>
      <c r="U2720" s="88"/>
      <c r="V2720" s="89">
        <v>4</v>
      </c>
      <c r="W2720" s="96">
        <v>0</v>
      </c>
      <c r="X2720" s="71">
        <f>CU2720</f>
        <v>25535605.479999997</v>
      </c>
      <c r="Y2720" s="71">
        <f>CY2720</f>
        <v>7363336.4000000004</v>
      </c>
      <c r="Z2720" s="71">
        <f>DA2720+DC2720+DE2720</f>
        <v>9839352</v>
      </c>
      <c r="AA2720" s="71">
        <f>CW2720</f>
        <v>0</v>
      </c>
      <c r="AB2720" s="71"/>
      <c r="AC2720" s="71">
        <v>0</v>
      </c>
      <c r="AD2720" s="71">
        <f>W2720+X2720+Y2720+Z2720+AA2720+AB2720+AC2720</f>
        <v>42738293.879999995</v>
      </c>
      <c r="AE2720" s="72">
        <v>0</v>
      </c>
      <c r="AF2720" s="5"/>
      <c r="AG2720" s="6"/>
      <c r="AH2720" s="27"/>
      <c r="AI2720" s="44"/>
      <c r="AJ2720" s="26"/>
      <c r="AK2720" s="5"/>
      <c r="AL2720" s="82" t="s">
        <v>6173</v>
      </c>
      <c r="AM2720" s="76"/>
      <c r="AN2720" s="76"/>
      <c r="AO2720" s="76"/>
      <c r="AP2720" s="76"/>
      <c r="AQ2720" s="76"/>
      <c r="AR2720" s="76"/>
      <c r="AS2720" s="76"/>
      <c r="AT2720" s="76"/>
      <c r="AU2720" s="76"/>
      <c r="AV2720" s="76"/>
      <c r="AW2720" s="76"/>
      <c r="AX2720" s="76">
        <f>+AW2720*600000</f>
        <v>0</v>
      </c>
      <c r="AY2720" s="86">
        <v>210</v>
      </c>
      <c r="AZ2720" s="86">
        <f>+AY2720*69999.04</f>
        <v>14699798.399999999</v>
      </c>
      <c r="BA2720" s="76"/>
      <c r="BB2720" s="76"/>
      <c r="BC2720" s="76"/>
      <c r="BD2720" s="76">
        <f>+BC2720*30000</f>
        <v>0</v>
      </c>
      <c r="BE2720" s="76"/>
      <c r="BF2720" s="76"/>
      <c r="BG2720" s="76"/>
      <c r="BH2720" s="76"/>
      <c r="BI2720" s="76"/>
      <c r="BJ2720" s="76"/>
      <c r="BK2720" s="76"/>
      <c r="BL2720" s="76">
        <f>+BK2720*31500</f>
        <v>0</v>
      </c>
      <c r="BM2720" s="76"/>
      <c r="BN2720" s="76"/>
      <c r="BO2720" s="76"/>
      <c r="BP2720" s="76"/>
      <c r="BQ2720" s="76"/>
      <c r="BR2720" s="76"/>
      <c r="BS2720" s="76"/>
      <c r="BT2720" s="76"/>
      <c r="BU2720" s="76"/>
      <c r="BV2720" s="76"/>
      <c r="BW2720" s="76"/>
      <c r="BX2720" s="76"/>
      <c r="BY2720" s="76"/>
      <c r="BZ2720" s="76"/>
      <c r="CA2720" s="76"/>
      <c r="CB2720" s="76"/>
      <c r="CC2720" s="76"/>
      <c r="CD2720" s="76"/>
      <c r="CE2720" s="76"/>
      <c r="CF2720" s="76">
        <f>+CE2720*28000</f>
        <v>0</v>
      </c>
      <c r="CG2720" s="76"/>
      <c r="CH2720" s="76">
        <f>+CG2720*22500</f>
        <v>0</v>
      </c>
      <c r="CI2720" s="86">
        <v>161</v>
      </c>
      <c r="CJ2720" s="86">
        <f>+CI2720*25999.08</f>
        <v>4185851.8800000004</v>
      </c>
      <c r="CK2720" s="76"/>
      <c r="CL2720" s="76"/>
      <c r="CM2720" s="76"/>
      <c r="CN2720" s="76">
        <f>+CM2720*22000</f>
        <v>0</v>
      </c>
      <c r="CO2720" s="86">
        <v>70</v>
      </c>
      <c r="CP2720" s="86">
        <f>+CO2720*45999.8</f>
        <v>3219986</v>
      </c>
      <c r="CQ2720" s="86">
        <v>70</v>
      </c>
      <c r="CR2720" s="86">
        <f>+CQ2720*48999.56</f>
        <v>3429969.1999999997</v>
      </c>
      <c r="CS2720" s="76"/>
      <c r="CT2720" s="76"/>
      <c r="CU2720" s="56">
        <f>AN2720+AP2720+AR2720+AT2720+AV2720+AX2720+AZ2720+BB2720+BD2720+BF2720+BH2720+BJ2720+BL2720+BN2720+BP2720+BR2720+BT2720+BV2720+BX2720+BZ2720+CB2720+CD2720+CF2720+CH2720+CJ2720+CL2720+CN2720+CP2720+CR2720+CT2720</f>
        <v>25535605.479999997</v>
      </c>
      <c r="CV2720" s="76"/>
      <c r="CW2720" s="76">
        <f>+CV2720*1100</f>
        <v>0</v>
      </c>
      <c r="CX2720" s="86">
        <v>70</v>
      </c>
      <c r="CY2720" s="86">
        <f>+CX2720*105190.52</f>
        <v>7363336.4000000004</v>
      </c>
      <c r="CZ2720" s="76"/>
      <c r="DA2720" s="76">
        <f>+CZ2720*34500</f>
        <v>0</v>
      </c>
      <c r="DB2720" s="86">
        <v>300</v>
      </c>
      <c r="DC2720" s="86">
        <f>+DB2720*31999.76+1200*199.52</f>
        <v>9839352</v>
      </c>
      <c r="DD2720" s="219"/>
      <c r="DE2720" s="219"/>
      <c r="DF2720" s="166"/>
      <c r="DG2720" s="134" t="s">
        <v>6918</v>
      </c>
      <c r="DH2720" s="117"/>
      <c r="DI2720" s="24"/>
      <c r="DJ2720" s="24"/>
      <c r="DK2720" s="24"/>
      <c r="DL2720" s="24"/>
      <c r="DM2720" s="24"/>
      <c r="DN2720" s="24"/>
      <c r="DO2720" s="24"/>
      <c r="DP2720" s="24"/>
      <c r="DQ2720" s="24"/>
      <c r="DR2720" s="24"/>
      <c r="DS2720" s="24"/>
      <c r="DT2720" s="24"/>
      <c r="DU2720" s="24"/>
    </row>
    <row r="2721" spans="1:125" s="8" customFormat="1" ht="324" x14ac:dyDescent="0.2">
      <c r="A2721" s="77">
        <v>41501</v>
      </c>
      <c r="B2721" s="208" t="s">
        <v>2854</v>
      </c>
      <c r="C2721" s="227" t="s">
        <v>2678</v>
      </c>
      <c r="D2721" s="227" t="s">
        <v>3051</v>
      </c>
      <c r="E2721" s="353" t="str">
        <f>VLOOKUP(B2721&amp;C2721,Divipola!$C$2:$F$1138,4,FALSE)</f>
        <v>19701</v>
      </c>
      <c r="F2721" s="87"/>
      <c r="G2721" s="87"/>
      <c r="H2721" s="87"/>
      <c r="I2721" s="87">
        <v>100</v>
      </c>
      <c r="J2721" s="87">
        <v>20</v>
      </c>
      <c r="K2721" s="87"/>
      <c r="L2721" s="87">
        <v>20</v>
      </c>
      <c r="M2721" s="87"/>
      <c r="N2721" s="87">
        <v>2</v>
      </c>
      <c r="O2721" s="87">
        <v>4</v>
      </c>
      <c r="P2721" s="87"/>
      <c r="Q2721" s="87"/>
      <c r="R2721" s="87"/>
      <c r="S2721" s="87"/>
      <c r="T2721" s="87"/>
      <c r="U2721" s="88"/>
      <c r="V2721" s="89"/>
      <c r="W2721" s="96">
        <v>0</v>
      </c>
      <c r="X2721" s="71">
        <f>CU2721</f>
        <v>0</v>
      </c>
      <c r="Y2721" s="71">
        <f>CY2721</f>
        <v>0</v>
      </c>
      <c r="Z2721" s="71">
        <f>DA2721+DC2721+DE2721</f>
        <v>0</v>
      </c>
      <c r="AA2721" s="71">
        <f>CW2721</f>
        <v>0</v>
      </c>
      <c r="AB2721" s="71"/>
      <c r="AC2721" s="71">
        <v>0</v>
      </c>
      <c r="AD2721" s="71">
        <f>W2721+X2721+Y2721+Z2721+AA2721+AB2721+AC2721</f>
        <v>0</v>
      </c>
      <c r="AE2721" s="72">
        <v>0</v>
      </c>
      <c r="AF2721" s="5"/>
      <c r="AG2721" s="6"/>
      <c r="AH2721" s="27"/>
      <c r="AI2721" s="44"/>
      <c r="AJ2721" s="26"/>
      <c r="AK2721" s="5"/>
      <c r="AL2721" s="82" t="s">
        <v>5624</v>
      </c>
      <c r="AM2721" s="76"/>
      <c r="AN2721" s="76"/>
      <c r="AO2721" s="76"/>
      <c r="AP2721" s="76"/>
      <c r="AQ2721" s="76"/>
      <c r="AR2721" s="76"/>
      <c r="AS2721" s="76"/>
      <c r="AT2721" s="76"/>
      <c r="AU2721" s="76"/>
      <c r="AV2721" s="76"/>
      <c r="AW2721" s="76"/>
      <c r="AX2721" s="76">
        <f>+AW2721*600000</f>
        <v>0</v>
      </c>
      <c r="AY2721" s="76"/>
      <c r="AZ2721" s="76">
        <f>+AY2721*70000</f>
        <v>0</v>
      </c>
      <c r="BA2721" s="76"/>
      <c r="BB2721" s="76"/>
      <c r="BC2721" s="76"/>
      <c r="BD2721" s="76">
        <f>+BC2721*30000</f>
        <v>0</v>
      </c>
      <c r="BE2721" s="76"/>
      <c r="BF2721" s="76"/>
      <c r="BG2721" s="76"/>
      <c r="BH2721" s="76"/>
      <c r="BI2721" s="76"/>
      <c r="BJ2721" s="76"/>
      <c r="BK2721" s="76"/>
      <c r="BL2721" s="76">
        <f>+BK2721*31500</f>
        <v>0</v>
      </c>
      <c r="BM2721" s="76"/>
      <c r="BN2721" s="76"/>
      <c r="BO2721" s="76"/>
      <c r="BP2721" s="76"/>
      <c r="BQ2721" s="76"/>
      <c r="BR2721" s="76"/>
      <c r="BS2721" s="76"/>
      <c r="BT2721" s="76"/>
      <c r="BU2721" s="76"/>
      <c r="BV2721" s="76"/>
      <c r="BW2721" s="76"/>
      <c r="BX2721" s="76"/>
      <c r="BY2721" s="76"/>
      <c r="BZ2721" s="76"/>
      <c r="CA2721" s="76"/>
      <c r="CB2721" s="76"/>
      <c r="CC2721" s="76"/>
      <c r="CD2721" s="76"/>
      <c r="CE2721" s="76"/>
      <c r="CF2721" s="76">
        <f>+CE2721*28000</f>
        <v>0</v>
      </c>
      <c r="CG2721" s="76"/>
      <c r="CH2721" s="76">
        <f>+CG2721*22500</f>
        <v>0</v>
      </c>
      <c r="CI2721" s="76"/>
      <c r="CJ2721" s="76">
        <f>+CI2721*26000</f>
        <v>0</v>
      </c>
      <c r="CK2721" s="76"/>
      <c r="CL2721" s="76"/>
      <c r="CM2721" s="76"/>
      <c r="CN2721" s="76">
        <f>+CM2721*22000</f>
        <v>0</v>
      </c>
      <c r="CO2721" s="76"/>
      <c r="CP2721" s="76">
        <f>+CO2721*46000</f>
        <v>0</v>
      </c>
      <c r="CQ2721" s="76"/>
      <c r="CR2721" s="76">
        <f>+CQ2721*49000</f>
        <v>0</v>
      </c>
      <c r="CS2721" s="76"/>
      <c r="CT2721" s="76"/>
      <c r="CU2721" s="56">
        <f>AN2721+AP2721+AR2721+AT2721+AV2721+AX2721+AZ2721+BB2721+BD2721+BF2721+BH2721+BJ2721+BL2721+BN2721+BP2721+BR2721+BT2721+BV2721+BX2721+BZ2721+CB2721+CD2721+CF2721+CH2721+CJ2721+CL2721+CN2721+CP2721+CR2721+CT2721</f>
        <v>0</v>
      </c>
      <c r="CV2721" s="76"/>
      <c r="CW2721" s="76">
        <f>+CV2721*1100</f>
        <v>0</v>
      </c>
      <c r="CX2721" s="76"/>
      <c r="CY2721" s="76">
        <f>+CX2721*106250</f>
        <v>0</v>
      </c>
      <c r="CZ2721" s="76"/>
      <c r="DA2721" s="76">
        <f>+CZ2721*34500</f>
        <v>0</v>
      </c>
      <c r="DB2721" s="76"/>
      <c r="DC2721" s="76">
        <f>+DB2721*25000</f>
        <v>0</v>
      </c>
      <c r="DD2721" s="219"/>
      <c r="DE2721" s="219"/>
      <c r="DF2721" s="166"/>
      <c r="DG2721" s="116"/>
      <c r="DH2721" s="117"/>
      <c r="DI2721" s="24"/>
      <c r="DJ2721" s="24"/>
      <c r="DK2721" s="24"/>
      <c r="DL2721" s="24"/>
      <c r="DM2721" s="24"/>
      <c r="DN2721" s="24"/>
      <c r="DO2721" s="24"/>
      <c r="DP2721" s="24"/>
      <c r="DQ2721" s="24"/>
      <c r="DR2721" s="24"/>
      <c r="DS2721" s="24"/>
      <c r="DT2721" s="24"/>
      <c r="DU2721" s="24"/>
    </row>
    <row r="2722" spans="1:125" s="8" customFormat="1" ht="48" x14ac:dyDescent="0.2">
      <c r="A2722" s="77">
        <v>41501</v>
      </c>
      <c r="B2722" s="208" t="s">
        <v>2854</v>
      </c>
      <c r="C2722" s="354" t="s">
        <v>2678</v>
      </c>
      <c r="D2722" s="354" t="s">
        <v>2882</v>
      </c>
      <c r="E2722" s="353" t="str">
        <f>VLOOKUP(B2722&amp;C2722,Divipola!$C$2:$F$1138,4,FALSE)</f>
        <v>19701</v>
      </c>
      <c r="F2722" s="87"/>
      <c r="G2722" s="87"/>
      <c r="H2722" s="87"/>
      <c r="I2722" s="87">
        <v>25</v>
      </c>
      <c r="J2722" s="87">
        <v>5</v>
      </c>
      <c r="K2722" s="87"/>
      <c r="L2722" s="87">
        <v>5</v>
      </c>
      <c r="M2722" s="87"/>
      <c r="N2722" s="87"/>
      <c r="O2722" s="87"/>
      <c r="P2722" s="87"/>
      <c r="Q2722" s="87"/>
      <c r="R2722" s="87"/>
      <c r="S2722" s="87"/>
      <c r="T2722" s="87"/>
      <c r="U2722" s="88"/>
      <c r="V2722" s="89"/>
      <c r="W2722" s="96">
        <v>0</v>
      </c>
      <c r="X2722" s="71">
        <f>CU2722</f>
        <v>46438000</v>
      </c>
      <c r="Y2722" s="71">
        <f>CY2722</f>
        <v>22737500</v>
      </c>
      <c r="Z2722" s="71">
        <f>DA2722+DC2722+DE2722</f>
        <v>75000000</v>
      </c>
      <c r="AA2722" s="71">
        <f>CW2722</f>
        <v>0</v>
      </c>
      <c r="AB2722" s="71"/>
      <c r="AC2722" s="71">
        <v>0</v>
      </c>
      <c r="AD2722" s="71">
        <f>W2722+X2722+Y2722+Z2722+AA2722+AB2722+AC2722</f>
        <v>144175500</v>
      </c>
      <c r="AE2722" s="72">
        <v>0</v>
      </c>
      <c r="AF2722" s="5"/>
      <c r="AG2722" s="6"/>
      <c r="AH2722" s="27"/>
      <c r="AI2722" s="44"/>
      <c r="AJ2722" s="26"/>
      <c r="AK2722" s="5"/>
      <c r="AL2722" s="82" t="s">
        <v>5625</v>
      </c>
      <c r="AM2722" s="76"/>
      <c r="AN2722" s="76"/>
      <c r="AO2722" s="76"/>
      <c r="AP2722" s="76"/>
      <c r="AQ2722" s="76"/>
      <c r="AR2722" s="76"/>
      <c r="AS2722" s="76"/>
      <c r="AT2722" s="76"/>
      <c r="AU2722" s="76"/>
      <c r="AV2722" s="76"/>
      <c r="AW2722" s="76"/>
      <c r="AX2722" s="76">
        <f>+AW2722*600000</f>
        <v>0</v>
      </c>
      <c r="AY2722" s="76">
        <v>214</v>
      </c>
      <c r="AZ2722" s="76">
        <f>+AY2722*70000</f>
        <v>14980000</v>
      </c>
      <c r="BA2722" s="76"/>
      <c r="BB2722" s="76"/>
      <c r="BC2722" s="76"/>
      <c r="BD2722" s="76">
        <f>+BC2722*30000</f>
        <v>0</v>
      </c>
      <c r="BE2722" s="76"/>
      <c r="BF2722" s="76"/>
      <c r="BG2722" s="76"/>
      <c r="BH2722" s="76"/>
      <c r="BI2722" s="76"/>
      <c r="BJ2722" s="76"/>
      <c r="BK2722" s="76"/>
      <c r="BL2722" s="76">
        <f>+BK2722*31500</f>
        <v>0</v>
      </c>
      <c r="BM2722" s="76"/>
      <c r="BN2722" s="76"/>
      <c r="BO2722" s="76"/>
      <c r="BP2722" s="76"/>
      <c r="BQ2722" s="76"/>
      <c r="BR2722" s="76"/>
      <c r="BS2722" s="76"/>
      <c r="BT2722" s="76"/>
      <c r="BU2722" s="76"/>
      <c r="BV2722" s="76"/>
      <c r="BW2722" s="76"/>
      <c r="BX2722" s="76"/>
      <c r="BY2722" s="76"/>
      <c r="BZ2722" s="76"/>
      <c r="CA2722" s="76"/>
      <c r="CB2722" s="76"/>
      <c r="CC2722" s="76"/>
      <c r="CD2722" s="76"/>
      <c r="CE2722" s="76"/>
      <c r="CF2722" s="76">
        <f>+CE2722*28000</f>
        <v>0</v>
      </c>
      <c r="CG2722" s="76"/>
      <c r="CH2722" s="76">
        <f>+CG2722*22500</f>
        <v>0</v>
      </c>
      <c r="CI2722" s="76">
        <v>428</v>
      </c>
      <c r="CJ2722" s="76">
        <f>+CI2722*26000</f>
        <v>11128000</v>
      </c>
      <c r="CK2722" s="76"/>
      <c r="CL2722" s="76"/>
      <c r="CM2722" s="76"/>
      <c r="CN2722" s="76">
        <f>+CM2722*22000</f>
        <v>0</v>
      </c>
      <c r="CO2722" s="76">
        <v>214</v>
      </c>
      <c r="CP2722" s="76">
        <f>+CO2722*46000</f>
        <v>9844000</v>
      </c>
      <c r="CQ2722" s="76">
        <v>214</v>
      </c>
      <c r="CR2722" s="76">
        <f>+CQ2722*49000</f>
        <v>10486000</v>
      </c>
      <c r="CS2722" s="76"/>
      <c r="CT2722" s="76"/>
      <c r="CU2722" s="56">
        <f>AN2722+AP2722+AR2722+AT2722+AV2722+AX2722+AZ2722+BB2722+BD2722+BF2722+BH2722+BJ2722+BL2722+BN2722+BP2722+BR2722+BT2722+BV2722+BX2722+BZ2722+CB2722+CD2722+CF2722+CH2722+CJ2722+CL2722+CN2722+CP2722+CR2722+CT2722</f>
        <v>46438000</v>
      </c>
      <c r="CV2722" s="76"/>
      <c r="CW2722" s="76">
        <f>+CV2722*1100</f>
        <v>0</v>
      </c>
      <c r="CX2722" s="76">
        <v>214</v>
      </c>
      <c r="CY2722" s="76">
        <f>+CX2722*106250</f>
        <v>22737500</v>
      </c>
      <c r="CZ2722" s="76"/>
      <c r="DA2722" s="76">
        <f>+CZ2722*34500</f>
        <v>0</v>
      </c>
      <c r="DB2722" s="76">
        <v>3000</v>
      </c>
      <c r="DC2722" s="76">
        <f>+DB2722*25000</f>
        <v>75000000</v>
      </c>
      <c r="DD2722" s="219"/>
      <c r="DE2722" s="219"/>
      <c r="DF2722" s="166"/>
      <c r="DG2722" s="116"/>
      <c r="DH2722" s="117"/>
      <c r="DI2722" s="24"/>
      <c r="DJ2722" s="24"/>
      <c r="DK2722" s="24"/>
      <c r="DL2722" s="24"/>
      <c r="DM2722" s="24"/>
      <c r="DN2722" s="24"/>
      <c r="DO2722" s="24"/>
      <c r="DP2722" s="24"/>
      <c r="DQ2722" s="24"/>
      <c r="DR2722" s="24"/>
      <c r="DS2722" s="24"/>
      <c r="DT2722" s="24"/>
      <c r="DU2722" s="24"/>
    </row>
    <row r="2723" spans="1:125" s="8" customFormat="1" ht="108" x14ac:dyDescent="0.2">
      <c r="A2723" s="77">
        <v>41501</v>
      </c>
      <c r="B2723" s="208" t="s">
        <v>2852</v>
      </c>
      <c r="C2723" s="354" t="s">
        <v>2149</v>
      </c>
      <c r="D2723" s="354" t="s">
        <v>2882</v>
      </c>
      <c r="E2723" s="75" t="str">
        <f>VLOOKUP(B2723&amp;C2723,Divipola!$C$2:$F$1138,4,FALSE)</f>
        <v>27050</v>
      </c>
      <c r="F2723" s="87"/>
      <c r="G2723" s="87"/>
      <c r="H2723" s="87"/>
      <c r="I2723" s="87">
        <v>250</v>
      </c>
      <c r="J2723" s="87">
        <v>50</v>
      </c>
      <c r="K2723" s="87"/>
      <c r="L2723" s="87">
        <v>50</v>
      </c>
      <c r="M2723" s="87"/>
      <c r="N2723" s="87"/>
      <c r="O2723" s="87"/>
      <c r="P2723" s="87"/>
      <c r="Q2723" s="87"/>
      <c r="R2723" s="87"/>
      <c r="S2723" s="87"/>
      <c r="T2723" s="87"/>
      <c r="U2723" s="88"/>
      <c r="V2723" s="89"/>
      <c r="W2723" s="96">
        <v>0</v>
      </c>
      <c r="X2723" s="71">
        <f>CU2723</f>
        <v>0</v>
      </c>
      <c r="Y2723" s="71">
        <f>CY2723</f>
        <v>0</v>
      </c>
      <c r="Z2723" s="71">
        <f>DA2723+DC2723+DE2723</f>
        <v>0</v>
      </c>
      <c r="AA2723" s="71">
        <f>CW2723</f>
        <v>0</v>
      </c>
      <c r="AB2723" s="71"/>
      <c r="AC2723" s="71">
        <v>0</v>
      </c>
      <c r="AD2723" s="71">
        <f>W2723+X2723+Y2723+Z2723+AA2723+AB2723+AC2723</f>
        <v>0</v>
      </c>
      <c r="AE2723" s="72">
        <v>0</v>
      </c>
      <c r="AF2723" s="5"/>
      <c r="AG2723" s="6"/>
      <c r="AH2723" s="27"/>
      <c r="AI2723" s="44"/>
      <c r="AJ2723" s="26"/>
      <c r="AK2723" s="5"/>
      <c r="AL2723" s="291" t="s">
        <v>5820</v>
      </c>
      <c r="AM2723" s="76"/>
      <c r="AN2723" s="76"/>
      <c r="AO2723" s="76"/>
      <c r="AP2723" s="76"/>
      <c r="AQ2723" s="76"/>
      <c r="AR2723" s="76"/>
      <c r="AS2723" s="76"/>
      <c r="AT2723" s="76"/>
      <c r="AU2723" s="76"/>
      <c r="AV2723" s="76"/>
      <c r="AW2723" s="76"/>
      <c r="AX2723" s="76">
        <f>+AW2723*600000</f>
        <v>0</v>
      </c>
      <c r="AY2723" s="76"/>
      <c r="AZ2723" s="76">
        <f>+AY2723*70000</f>
        <v>0</v>
      </c>
      <c r="BA2723" s="76"/>
      <c r="BB2723" s="76"/>
      <c r="BC2723" s="76"/>
      <c r="BD2723" s="76">
        <f>+BC2723*30000</f>
        <v>0</v>
      </c>
      <c r="BE2723" s="76"/>
      <c r="BF2723" s="76"/>
      <c r="BG2723" s="76"/>
      <c r="BH2723" s="76"/>
      <c r="BI2723" s="76"/>
      <c r="BJ2723" s="76"/>
      <c r="BK2723" s="76"/>
      <c r="BL2723" s="76">
        <f>+BK2723*31500</f>
        <v>0</v>
      </c>
      <c r="BM2723" s="76"/>
      <c r="BN2723" s="76"/>
      <c r="BO2723" s="76"/>
      <c r="BP2723" s="76"/>
      <c r="BQ2723" s="76"/>
      <c r="BR2723" s="76"/>
      <c r="BS2723" s="76"/>
      <c r="BT2723" s="76"/>
      <c r="BU2723" s="76"/>
      <c r="BV2723" s="76"/>
      <c r="BW2723" s="76"/>
      <c r="BX2723" s="76"/>
      <c r="BY2723" s="76"/>
      <c r="BZ2723" s="76"/>
      <c r="CA2723" s="76"/>
      <c r="CB2723" s="76"/>
      <c r="CC2723" s="76"/>
      <c r="CD2723" s="76"/>
      <c r="CE2723" s="76"/>
      <c r="CF2723" s="76">
        <f>+CE2723*28000</f>
        <v>0</v>
      </c>
      <c r="CG2723" s="76"/>
      <c r="CH2723" s="76">
        <f>+CG2723*22500</f>
        <v>0</v>
      </c>
      <c r="CI2723" s="76"/>
      <c r="CJ2723" s="76">
        <f>+CI2723*26000</f>
        <v>0</v>
      </c>
      <c r="CK2723" s="76"/>
      <c r="CL2723" s="76"/>
      <c r="CM2723" s="76"/>
      <c r="CN2723" s="76">
        <f>+CM2723*22000</f>
        <v>0</v>
      </c>
      <c r="CO2723" s="76"/>
      <c r="CP2723" s="76">
        <f>+CO2723*46000</f>
        <v>0</v>
      </c>
      <c r="CQ2723" s="76"/>
      <c r="CR2723" s="76">
        <f>+CQ2723*49000</f>
        <v>0</v>
      </c>
      <c r="CS2723" s="76"/>
      <c r="CT2723" s="76"/>
      <c r="CU2723" s="56">
        <f>AN2723+AP2723+AR2723+AT2723+AV2723+AX2723+AZ2723+BB2723+BD2723+BF2723+BH2723+BJ2723+BL2723+BN2723+BP2723+BR2723+BT2723+BV2723+BX2723+BZ2723+CB2723+CD2723+CF2723+CH2723+CJ2723+CL2723+CN2723+CP2723+CR2723+CT2723</f>
        <v>0</v>
      </c>
      <c r="CV2723" s="76"/>
      <c r="CW2723" s="76">
        <f>+CV2723*1100</f>
        <v>0</v>
      </c>
      <c r="CX2723" s="76"/>
      <c r="CY2723" s="76">
        <f>+CX2723*106250</f>
        <v>0</v>
      </c>
      <c r="CZ2723" s="76"/>
      <c r="DA2723" s="76">
        <f>+CZ2723*34500</f>
        <v>0</v>
      </c>
      <c r="DB2723" s="76"/>
      <c r="DC2723" s="76">
        <f>+DB2723*25000</f>
        <v>0</v>
      </c>
      <c r="DD2723" s="219"/>
      <c r="DE2723" s="219"/>
      <c r="DF2723" s="166"/>
      <c r="DG2723" s="116"/>
      <c r="DH2723" s="117"/>
      <c r="DI2723" s="24"/>
      <c r="DJ2723" s="24"/>
      <c r="DK2723" s="24"/>
      <c r="DL2723" s="24"/>
      <c r="DM2723" s="24"/>
      <c r="DN2723" s="24"/>
      <c r="DO2723" s="24"/>
      <c r="DP2723" s="24"/>
      <c r="DQ2723" s="24"/>
      <c r="DR2723" s="24"/>
      <c r="DS2723" s="24"/>
      <c r="DT2723" s="24"/>
      <c r="DU2723" s="24"/>
    </row>
    <row r="2724" spans="1:125" s="8" customFormat="1" ht="84" x14ac:dyDescent="0.2">
      <c r="A2724" s="77">
        <v>41501</v>
      </c>
      <c r="B2724" s="78" t="s">
        <v>2852</v>
      </c>
      <c r="C2724" s="75" t="s">
        <v>1233</v>
      </c>
      <c r="D2724" s="75" t="s">
        <v>2882</v>
      </c>
      <c r="E2724" s="75" t="str">
        <f>VLOOKUP(B2724&amp;C2724,Divipola!$C$2:$F$1138,4,FALSE)</f>
        <v>27245</v>
      </c>
      <c r="F2724" s="61"/>
      <c r="G2724" s="61"/>
      <c r="H2724" s="61"/>
      <c r="I2724" s="61">
        <v>250</v>
      </c>
      <c r="J2724" s="61">
        <v>50</v>
      </c>
      <c r="K2724" s="61">
        <v>10</v>
      </c>
      <c r="L2724" s="61">
        <v>40</v>
      </c>
      <c r="M2724" s="61"/>
      <c r="N2724" s="61"/>
      <c r="O2724" s="61"/>
      <c r="P2724" s="61"/>
      <c r="Q2724" s="61"/>
      <c r="R2724" s="61"/>
      <c r="S2724" s="61"/>
      <c r="T2724" s="61"/>
      <c r="U2724" s="61"/>
      <c r="V2724" s="7"/>
      <c r="W2724" s="96">
        <v>0</v>
      </c>
      <c r="X2724" s="71">
        <f>CU2724</f>
        <v>0</v>
      </c>
      <c r="Y2724" s="71">
        <f>CY2724</f>
        <v>0</v>
      </c>
      <c r="Z2724" s="71">
        <f>DA2724+DC2724+DE2724</f>
        <v>0</v>
      </c>
      <c r="AA2724" s="71">
        <f>CW2724</f>
        <v>0</v>
      </c>
      <c r="AB2724" s="71"/>
      <c r="AC2724" s="71">
        <v>0</v>
      </c>
      <c r="AD2724" s="71">
        <f>W2724+X2724+Y2724+Z2724+AA2724+AB2724+AC2724</f>
        <v>0</v>
      </c>
      <c r="AE2724" s="72">
        <v>0</v>
      </c>
      <c r="AF2724" s="5"/>
      <c r="AG2724" s="6"/>
      <c r="AH2724" s="27"/>
      <c r="AI2724" s="44"/>
      <c r="AJ2724" s="26"/>
      <c r="AK2724" s="5"/>
      <c r="AL2724" s="9" t="s">
        <v>5823</v>
      </c>
      <c r="AM2724" s="76"/>
      <c r="AN2724" s="76"/>
      <c r="AO2724" s="76"/>
      <c r="AP2724" s="76"/>
      <c r="AQ2724" s="76"/>
      <c r="AR2724" s="76"/>
      <c r="AS2724" s="76"/>
      <c r="AT2724" s="76"/>
      <c r="AU2724" s="76"/>
      <c r="AV2724" s="76"/>
      <c r="AW2724" s="76"/>
      <c r="AX2724" s="76">
        <f>+AW2724*600000</f>
        <v>0</v>
      </c>
      <c r="AY2724" s="76"/>
      <c r="AZ2724" s="76">
        <f>+AY2724*70000</f>
        <v>0</v>
      </c>
      <c r="BA2724" s="76"/>
      <c r="BB2724" s="76"/>
      <c r="BC2724" s="76"/>
      <c r="BD2724" s="76">
        <f>+BC2724*30000</f>
        <v>0</v>
      </c>
      <c r="BE2724" s="76"/>
      <c r="BF2724" s="76"/>
      <c r="BG2724" s="76"/>
      <c r="BH2724" s="76"/>
      <c r="BI2724" s="76"/>
      <c r="BJ2724" s="76"/>
      <c r="BK2724" s="76"/>
      <c r="BL2724" s="76">
        <f>+BK2724*31500</f>
        <v>0</v>
      </c>
      <c r="BM2724" s="76"/>
      <c r="BN2724" s="76"/>
      <c r="BO2724" s="76"/>
      <c r="BP2724" s="76"/>
      <c r="BQ2724" s="76"/>
      <c r="BR2724" s="76"/>
      <c r="BS2724" s="76"/>
      <c r="BT2724" s="76"/>
      <c r="BU2724" s="76"/>
      <c r="BV2724" s="76"/>
      <c r="BW2724" s="76"/>
      <c r="BX2724" s="76"/>
      <c r="BY2724" s="76"/>
      <c r="BZ2724" s="76"/>
      <c r="CA2724" s="76"/>
      <c r="CB2724" s="76"/>
      <c r="CC2724" s="76"/>
      <c r="CD2724" s="76"/>
      <c r="CE2724" s="76"/>
      <c r="CF2724" s="76">
        <f>+CE2724*28000</f>
        <v>0</v>
      </c>
      <c r="CG2724" s="76"/>
      <c r="CH2724" s="76">
        <f>+CG2724*22500</f>
        <v>0</v>
      </c>
      <c r="CI2724" s="76"/>
      <c r="CJ2724" s="76">
        <f>+CI2724*26000</f>
        <v>0</v>
      </c>
      <c r="CK2724" s="76"/>
      <c r="CL2724" s="76"/>
      <c r="CM2724" s="76"/>
      <c r="CN2724" s="76">
        <f>+CM2724*22000</f>
        <v>0</v>
      </c>
      <c r="CO2724" s="76"/>
      <c r="CP2724" s="76">
        <f>+CO2724*46000</f>
        <v>0</v>
      </c>
      <c r="CQ2724" s="76"/>
      <c r="CR2724" s="76">
        <f>+CQ2724*49000</f>
        <v>0</v>
      </c>
      <c r="CS2724" s="76"/>
      <c r="CT2724" s="76"/>
      <c r="CU2724" s="56">
        <f>AN2724+AP2724+AR2724+AT2724+AV2724+AX2724+AZ2724+BB2724+BD2724+BF2724+BH2724+BJ2724+BL2724+BN2724+BP2724+BR2724+BT2724+BV2724+BX2724+BZ2724+CB2724+CD2724+CF2724+CH2724+CJ2724+CL2724+CN2724+CP2724+CR2724+CT2724</f>
        <v>0</v>
      </c>
      <c r="CV2724" s="76"/>
      <c r="CW2724" s="76">
        <f>+CV2724*1100</f>
        <v>0</v>
      </c>
      <c r="CX2724" s="76"/>
      <c r="CY2724" s="76">
        <f>+CX2724*106250</f>
        <v>0</v>
      </c>
      <c r="CZ2724" s="76"/>
      <c r="DA2724" s="76">
        <f>+CZ2724*34500</f>
        <v>0</v>
      </c>
      <c r="DB2724" s="76"/>
      <c r="DC2724" s="76">
        <f>+DB2724*25000</f>
        <v>0</v>
      </c>
      <c r="DD2724" s="219"/>
      <c r="DE2724" s="219"/>
      <c r="DF2724" s="166"/>
      <c r="DG2724" s="116"/>
      <c r="DH2724" s="117"/>
      <c r="DI2724" s="24"/>
      <c r="DJ2724" s="24"/>
      <c r="DK2724" s="24"/>
      <c r="DL2724" s="24"/>
      <c r="DM2724" s="24"/>
      <c r="DN2724" s="24"/>
      <c r="DO2724" s="24"/>
      <c r="DP2724" s="24"/>
      <c r="DQ2724" s="24"/>
      <c r="DR2724" s="24"/>
      <c r="DS2724" s="24"/>
      <c r="DT2724" s="24"/>
      <c r="DU2724" s="24"/>
    </row>
    <row r="2725" spans="1:125" s="8" customFormat="1" ht="264" x14ac:dyDescent="0.2">
      <c r="A2725" s="353">
        <v>41501</v>
      </c>
      <c r="B2725" s="352" t="s">
        <v>2661</v>
      </c>
      <c r="C2725" s="354" t="s">
        <v>475</v>
      </c>
      <c r="D2725" s="354" t="s">
        <v>3088</v>
      </c>
      <c r="E2725" s="353" t="str">
        <f>VLOOKUP(B2725&amp;C2725,Divipola!$C$2:$F$1138,4,FALSE)</f>
        <v>41006</v>
      </c>
      <c r="F2725" s="87"/>
      <c r="G2725" s="87">
        <v>2</v>
      </c>
      <c r="H2725" s="87"/>
      <c r="I2725" s="87">
        <v>18</v>
      </c>
      <c r="J2725" s="87">
        <v>6</v>
      </c>
      <c r="K2725" s="87">
        <v>6</v>
      </c>
      <c r="L2725" s="87"/>
      <c r="M2725" s="87"/>
      <c r="N2725" s="87"/>
      <c r="O2725" s="87">
        <v>5</v>
      </c>
      <c r="P2725" s="87"/>
      <c r="Q2725" s="87"/>
      <c r="R2725" s="87"/>
      <c r="S2725" s="87"/>
      <c r="T2725" s="87"/>
      <c r="U2725" s="88"/>
      <c r="V2725" s="89"/>
      <c r="W2725" s="96">
        <v>0</v>
      </c>
      <c r="X2725" s="71">
        <f>CU2725</f>
        <v>0</v>
      </c>
      <c r="Y2725" s="71">
        <f>CY2725</f>
        <v>0</v>
      </c>
      <c r="Z2725" s="71">
        <f>DA2725+DC2725+DE2725</f>
        <v>0</v>
      </c>
      <c r="AA2725" s="71">
        <f>CW2725</f>
        <v>0</v>
      </c>
      <c r="AB2725" s="71"/>
      <c r="AC2725" s="71">
        <v>0</v>
      </c>
      <c r="AD2725" s="71">
        <f>W2725+X2725+Y2725+Z2725+AA2725+AB2725+AC2725</f>
        <v>0</v>
      </c>
      <c r="AE2725" s="72">
        <v>0</v>
      </c>
      <c r="AF2725" s="5"/>
      <c r="AG2725" s="6"/>
      <c r="AH2725" s="27"/>
      <c r="AI2725" s="44"/>
      <c r="AJ2725" s="26"/>
      <c r="AK2725" s="5"/>
      <c r="AL2725" s="82" t="s">
        <v>5619</v>
      </c>
      <c r="AM2725" s="76"/>
      <c r="AN2725" s="76"/>
      <c r="AO2725" s="76"/>
      <c r="AP2725" s="76"/>
      <c r="AQ2725" s="76"/>
      <c r="AR2725" s="76"/>
      <c r="AS2725" s="76"/>
      <c r="AT2725" s="76"/>
      <c r="AU2725" s="76"/>
      <c r="AV2725" s="76"/>
      <c r="AW2725" s="76"/>
      <c r="AX2725" s="76">
        <f>+AW2725*600000</f>
        <v>0</v>
      </c>
      <c r="AY2725" s="76"/>
      <c r="AZ2725" s="76">
        <f>+AY2725*70000</f>
        <v>0</v>
      </c>
      <c r="BA2725" s="76"/>
      <c r="BB2725" s="76"/>
      <c r="BC2725" s="76"/>
      <c r="BD2725" s="76">
        <f>+BC2725*30000</f>
        <v>0</v>
      </c>
      <c r="BE2725" s="76"/>
      <c r="BF2725" s="76"/>
      <c r="BG2725" s="76"/>
      <c r="BH2725" s="76"/>
      <c r="BI2725" s="76"/>
      <c r="BJ2725" s="76"/>
      <c r="BK2725" s="76"/>
      <c r="BL2725" s="76">
        <f>+BK2725*31500</f>
        <v>0</v>
      </c>
      <c r="BM2725" s="76"/>
      <c r="BN2725" s="76"/>
      <c r="BO2725" s="76"/>
      <c r="BP2725" s="76"/>
      <c r="BQ2725" s="76"/>
      <c r="BR2725" s="76"/>
      <c r="BS2725" s="76"/>
      <c r="BT2725" s="76"/>
      <c r="BU2725" s="76"/>
      <c r="BV2725" s="76"/>
      <c r="BW2725" s="76"/>
      <c r="BX2725" s="76"/>
      <c r="BY2725" s="76"/>
      <c r="BZ2725" s="76"/>
      <c r="CA2725" s="76"/>
      <c r="CB2725" s="76"/>
      <c r="CC2725" s="76"/>
      <c r="CD2725" s="76"/>
      <c r="CE2725" s="76"/>
      <c r="CF2725" s="76">
        <f>+CE2725*28000</f>
        <v>0</v>
      </c>
      <c r="CG2725" s="76"/>
      <c r="CH2725" s="76">
        <f>+CG2725*22500</f>
        <v>0</v>
      </c>
      <c r="CI2725" s="76"/>
      <c r="CJ2725" s="76">
        <f>+CI2725*26000</f>
        <v>0</v>
      </c>
      <c r="CK2725" s="76"/>
      <c r="CL2725" s="76"/>
      <c r="CM2725" s="76"/>
      <c r="CN2725" s="76">
        <f>+CM2725*22000</f>
        <v>0</v>
      </c>
      <c r="CO2725" s="76"/>
      <c r="CP2725" s="76">
        <f>+CO2725*46000</f>
        <v>0</v>
      </c>
      <c r="CQ2725" s="76"/>
      <c r="CR2725" s="76">
        <f>+CQ2725*49000</f>
        <v>0</v>
      </c>
      <c r="CS2725" s="76"/>
      <c r="CT2725" s="76"/>
      <c r="CU2725" s="56">
        <f>AN2725+AP2725+AR2725+AT2725+AV2725+AX2725+AZ2725+BB2725+BD2725+BF2725+BH2725+BJ2725+BL2725+BN2725+BP2725+BR2725+BT2725+BV2725+BX2725+BZ2725+CB2725+CD2725+CF2725+CH2725+CJ2725+CL2725+CN2725+CP2725+CR2725+CT2725</f>
        <v>0</v>
      </c>
      <c r="CV2725" s="76"/>
      <c r="CW2725" s="76">
        <f>+CV2725*1100</f>
        <v>0</v>
      </c>
      <c r="CX2725" s="76"/>
      <c r="CY2725" s="76">
        <f>+CX2725*106250</f>
        <v>0</v>
      </c>
      <c r="CZ2725" s="76"/>
      <c r="DA2725" s="76">
        <f>+CZ2725*34500</f>
        <v>0</v>
      </c>
      <c r="DB2725" s="76"/>
      <c r="DC2725" s="76">
        <f>+DB2725*25000</f>
        <v>0</v>
      </c>
      <c r="DD2725" s="219"/>
      <c r="DE2725" s="219"/>
      <c r="DF2725" s="166"/>
      <c r="DG2725" s="116"/>
      <c r="DH2725" s="117"/>
      <c r="DI2725" s="24"/>
      <c r="DJ2725" s="24"/>
      <c r="DK2725" s="24"/>
      <c r="DL2725" s="24"/>
      <c r="DM2725" s="24"/>
      <c r="DN2725" s="24"/>
      <c r="DO2725" s="24"/>
      <c r="DP2725" s="24"/>
      <c r="DQ2725" s="24"/>
      <c r="DR2725" s="24"/>
      <c r="DS2725" s="24"/>
      <c r="DT2725" s="24"/>
      <c r="DU2725" s="24"/>
    </row>
    <row r="2726" spans="1:125" s="8" customFormat="1" ht="120" x14ac:dyDescent="0.2">
      <c r="A2726" s="353">
        <v>41501</v>
      </c>
      <c r="B2726" s="352" t="s">
        <v>2661</v>
      </c>
      <c r="C2726" s="354" t="s">
        <v>475</v>
      </c>
      <c r="D2726" s="354" t="s">
        <v>3051</v>
      </c>
      <c r="E2726" s="353" t="str">
        <f>VLOOKUP(B2726&amp;C2726,Divipola!$C$2:$F$1138,4,FALSE)</f>
        <v>41006</v>
      </c>
      <c r="F2726" s="87"/>
      <c r="G2726" s="87"/>
      <c r="H2726" s="87"/>
      <c r="I2726" s="87">
        <v>55</v>
      </c>
      <c r="J2726" s="87">
        <v>11</v>
      </c>
      <c r="K2726" s="87"/>
      <c r="L2726" s="87">
        <v>11</v>
      </c>
      <c r="M2726" s="87"/>
      <c r="N2726" s="87"/>
      <c r="O2726" s="87">
        <v>5</v>
      </c>
      <c r="P2726" s="87"/>
      <c r="Q2726" s="87"/>
      <c r="R2726" s="87"/>
      <c r="S2726" s="87"/>
      <c r="T2726" s="87"/>
      <c r="U2726" s="88"/>
      <c r="V2726" s="89"/>
      <c r="W2726" s="96">
        <v>0</v>
      </c>
      <c r="X2726" s="71">
        <f>CU2726</f>
        <v>0</v>
      </c>
      <c r="Y2726" s="71">
        <f>CY2726</f>
        <v>0</v>
      </c>
      <c r="Z2726" s="71">
        <f>DA2726+DC2726+DE2726</f>
        <v>0</v>
      </c>
      <c r="AA2726" s="71">
        <f>CW2726</f>
        <v>0</v>
      </c>
      <c r="AB2726" s="71"/>
      <c r="AC2726" s="71">
        <v>0</v>
      </c>
      <c r="AD2726" s="71">
        <f>W2726+X2726+Y2726+Z2726+AA2726+AB2726+AC2726</f>
        <v>0</v>
      </c>
      <c r="AE2726" s="72">
        <v>0</v>
      </c>
      <c r="AF2726" s="5"/>
      <c r="AG2726" s="6"/>
      <c r="AH2726" s="27"/>
      <c r="AI2726" s="44"/>
      <c r="AJ2726" s="26"/>
      <c r="AK2726" s="5"/>
      <c r="AL2726" s="82" t="s">
        <v>5894</v>
      </c>
      <c r="AM2726" s="76"/>
      <c r="AN2726" s="76"/>
      <c r="AO2726" s="76"/>
      <c r="AP2726" s="76"/>
      <c r="AQ2726" s="76"/>
      <c r="AR2726" s="76"/>
      <c r="AS2726" s="76"/>
      <c r="AT2726" s="76"/>
      <c r="AU2726" s="76"/>
      <c r="AV2726" s="76"/>
      <c r="AW2726" s="76"/>
      <c r="AX2726" s="76">
        <f>+AW2726*600000</f>
        <v>0</v>
      </c>
      <c r="AY2726" s="76"/>
      <c r="AZ2726" s="76">
        <f>+AY2726*70000</f>
        <v>0</v>
      </c>
      <c r="BA2726" s="76"/>
      <c r="BB2726" s="76"/>
      <c r="BC2726" s="76"/>
      <c r="BD2726" s="76">
        <f>+BC2726*30000</f>
        <v>0</v>
      </c>
      <c r="BE2726" s="76"/>
      <c r="BF2726" s="76"/>
      <c r="BG2726" s="76"/>
      <c r="BH2726" s="76"/>
      <c r="BI2726" s="76"/>
      <c r="BJ2726" s="76"/>
      <c r="BK2726" s="76"/>
      <c r="BL2726" s="76">
        <f>+BK2726*31500</f>
        <v>0</v>
      </c>
      <c r="BM2726" s="76"/>
      <c r="BN2726" s="76"/>
      <c r="BO2726" s="76"/>
      <c r="BP2726" s="76"/>
      <c r="BQ2726" s="76"/>
      <c r="BR2726" s="76"/>
      <c r="BS2726" s="76"/>
      <c r="BT2726" s="76"/>
      <c r="BU2726" s="76"/>
      <c r="BV2726" s="76"/>
      <c r="BW2726" s="76"/>
      <c r="BX2726" s="76"/>
      <c r="BY2726" s="76"/>
      <c r="BZ2726" s="76"/>
      <c r="CA2726" s="76"/>
      <c r="CB2726" s="76"/>
      <c r="CC2726" s="76"/>
      <c r="CD2726" s="76"/>
      <c r="CE2726" s="76"/>
      <c r="CF2726" s="76">
        <f>+CE2726*28000</f>
        <v>0</v>
      </c>
      <c r="CG2726" s="76"/>
      <c r="CH2726" s="76">
        <f>+CG2726*22500</f>
        <v>0</v>
      </c>
      <c r="CI2726" s="76"/>
      <c r="CJ2726" s="76">
        <f>+CI2726*26000</f>
        <v>0</v>
      </c>
      <c r="CK2726" s="76"/>
      <c r="CL2726" s="76"/>
      <c r="CM2726" s="76"/>
      <c r="CN2726" s="76">
        <f>+CM2726*22000</f>
        <v>0</v>
      </c>
      <c r="CO2726" s="76"/>
      <c r="CP2726" s="76">
        <f>+CO2726*46000</f>
        <v>0</v>
      </c>
      <c r="CQ2726" s="76"/>
      <c r="CR2726" s="76">
        <f>+CQ2726*49000</f>
        <v>0</v>
      </c>
      <c r="CS2726" s="76"/>
      <c r="CT2726" s="76"/>
      <c r="CU2726" s="56">
        <f>AN2726+AP2726+AR2726+AT2726+AV2726+AX2726+AZ2726+BB2726+BD2726+BF2726+BH2726+BJ2726+BL2726+BN2726+BP2726+BR2726+BT2726+BV2726+BX2726+BZ2726+CB2726+CD2726+CF2726+CH2726+CJ2726+CL2726+CN2726+CP2726+CR2726+CT2726</f>
        <v>0</v>
      </c>
      <c r="CV2726" s="76"/>
      <c r="CW2726" s="76">
        <f>+CV2726*1100</f>
        <v>0</v>
      </c>
      <c r="CX2726" s="76"/>
      <c r="CY2726" s="76">
        <f>+CX2726*106250</f>
        <v>0</v>
      </c>
      <c r="CZ2726" s="76"/>
      <c r="DA2726" s="76">
        <f>+CZ2726*34500</f>
        <v>0</v>
      </c>
      <c r="DB2726" s="76"/>
      <c r="DC2726" s="76">
        <f>+DB2726*25000</f>
        <v>0</v>
      </c>
      <c r="DD2726" s="219"/>
      <c r="DE2726" s="219"/>
      <c r="DF2726" s="166"/>
      <c r="DG2726" s="116"/>
      <c r="DH2726" s="117"/>
      <c r="DI2726" s="24"/>
      <c r="DJ2726" s="24"/>
      <c r="DK2726" s="24"/>
      <c r="DL2726" s="24"/>
      <c r="DM2726" s="24"/>
      <c r="DN2726" s="24"/>
      <c r="DO2726" s="24"/>
      <c r="DP2726" s="24"/>
      <c r="DQ2726" s="24"/>
      <c r="DR2726" s="24"/>
      <c r="DS2726" s="24"/>
      <c r="DT2726" s="24"/>
      <c r="DU2726" s="24"/>
    </row>
    <row r="2727" spans="1:125" s="8" customFormat="1" ht="60" x14ac:dyDescent="0.2">
      <c r="A2727" s="353">
        <v>41501</v>
      </c>
      <c r="B2727" s="352" t="s">
        <v>2661</v>
      </c>
      <c r="C2727" s="354" t="s">
        <v>4</v>
      </c>
      <c r="D2727" s="354" t="s">
        <v>3051</v>
      </c>
      <c r="E2727" s="353" t="str">
        <f>VLOOKUP(B2727&amp;C2727,Divipola!$C$2:$F$1138,4,FALSE)</f>
        <v>41026</v>
      </c>
      <c r="F2727" s="87"/>
      <c r="G2727" s="87"/>
      <c r="H2727" s="87"/>
      <c r="I2727" s="87">
        <v>25</v>
      </c>
      <c r="J2727" s="87">
        <v>5</v>
      </c>
      <c r="K2727" s="87"/>
      <c r="L2727" s="87">
        <v>5</v>
      </c>
      <c r="M2727" s="87"/>
      <c r="N2727" s="87"/>
      <c r="O2727" s="87"/>
      <c r="P2727" s="87"/>
      <c r="Q2727" s="87"/>
      <c r="R2727" s="87"/>
      <c r="S2727" s="87"/>
      <c r="T2727" s="87"/>
      <c r="U2727" s="88"/>
      <c r="V2727" s="89"/>
      <c r="W2727" s="96">
        <v>0</v>
      </c>
      <c r="X2727" s="71">
        <f>CU2727</f>
        <v>0</v>
      </c>
      <c r="Y2727" s="71">
        <f>CY2727</f>
        <v>0</v>
      </c>
      <c r="Z2727" s="71">
        <f>DA2727+DC2727+DE2727</f>
        <v>0</v>
      </c>
      <c r="AA2727" s="71">
        <f>CW2727</f>
        <v>0</v>
      </c>
      <c r="AB2727" s="71"/>
      <c r="AC2727" s="71">
        <v>0</v>
      </c>
      <c r="AD2727" s="71">
        <f>W2727+X2727+Y2727+Z2727+AA2727+AB2727+AC2727</f>
        <v>0</v>
      </c>
      <c r="AE2727" s="72">
        <v>0</v>
      </c>
      <c r="AF2727" s="5"/>
      <c r="AG2727" s="6"/>
      <c r="AH2727" s="27"/>
      <c r="AI2727" s="44"/>
      <c r="AJ2727" s="26"/>
      <c r="AK2727" s="5"/>
      <c r="AL2727" s="82" t="s">
        <v>5895</v>
      </c>
      <c r="AM2727" s="76"/>
      <c r="AN2727" s="76"/>
      <c r="AO2727" s="76"/>
      <c r="AP2727" s="76"/>
      <c r="AQ2727" s="76"/>
      <c r="AR2727" s="76"/>
      <c r="AS2727" s="76"/>
      <c r="AT2727" s="76"/>
      <c r="AU2727" s="76"/>
      <c r="AV2727" s="76"/>
      <c r="AW2727" s="76"/>
      <c r="AX2727" s="76">
        <f>+AW2727*600000</f>
        <v>0</v>
      </c>
      <c r="AY2727" s="76"/>
      <c r="AZ2727" s="76">
        <f>+AY2727*70000</f>
        <v>0</v>
      </c>
      <c r="BA2727" s="76"/>
      <c r="BB2727" s="76"/>
      <c r="BC2727" s="76"/>
      <c r="BD2727" s="76">
        <f>+BC2727*30000</f>
        <v>0</v>
      </c>
      <c r="BE2727" s="76"/>
      <c r="BF2727" s="76"/>
      <c r="BG2727" s="76"/>
      <c r="BH2727" s="76"/>
      <c r="BI2727" s="76"/>
      <c r="BJ2727" s="76"/>
      <c r="BK2727" s="76"/>
      <c r="BL2727" s="76">
        <f>+BK2727*31500</f>
        <v>0</v>
      </c>
      <c r="BM2727" s="76"/>
      <c r="BN2727" s="76"/>
      <c r="BO2727" s="76"/>
      <c r="BP2727" s="76"/>
      <c r="BQ2727" s="76"/>
      <c r="BR2727" s="76"/>
      <c r="BS2727" s="76"/>
      <c r="BT2727" s="76"/>
      <c r="BU2727" s="76"/>
      <c r="BV2727" s="76"/>
      <c r="BW2727" s="76"/>
      <c r="BX2727" s="76"/>
      <c r="BY2727" s="76"/>
      <c r="BZ2727" s="76"/>
      <c r="CA2727" s="76"/>
      <c r="CB2727" s="76"/>
      <c r="CC2727" s="76"/>
      <c r="CD2727" s="76"/>
      <c r="CE2727" s="76"/>
      <c r="CF2727" s="76">
        <f>+CE2727*28000</f>
        <v>0</v>
      </c>
      <c r="CG2727" s="76"/>
      <c r="CH2727" s="76">
        <f>+CG2727*22500</f>
        <v>0</v>
      </c>
      <c r="CI2727" s="76"/>
      <c r="CJ2727" s="76">
        <f>+CI2727*26000</f>
        <v>0</v>
      </c>
      <c r="CK2727" s="76"/>
      <c r="CL2727" s="76"/>
      <c r="CM2727" s="76"/>
      <c r="CN2727" s="76">
        <f>+CM2727*22000</f>
        <v>0</v>
      </c>
      <c r="CO2727" s="76"/>
      <c r="CP2727" s="76">
        <f>+CO2727*46000</f>
        <v>0</v>
      </c>
      <c r="CQ2727" s="76"/>
      <c r="CR2727" s="76">
        <f>+CQ2727*49000</f>
        <v>0</v>
      </c>
      <c r="CS2727" s="76"/>
      <c r="CT2727" s="76"/>
      <c r="CU2727" s="56">
        <f>AN2727+AP2727+AR2727+AT2727+AV2727+AX2727+AZ2727+BB2727+BD2727+BF2727+BH2727+BJ2727+BL2727+BN2727+BP2727+BR2727+BT2727+BV2727+BX2727+BZ2727+CB2727+CD2727+CF2727+CH2727+CJ2727+CL2727+CN2727+CP2727+CR2727+CT2727</f>
        <v>0</v>
      </c>
      <c r="CV2727" s="76"/>
      <c r="CW2727" s="76">
        <f>+CV2727*1100</f>
        <v>0</v>
      </c>
      <c r="CX2727" s="76"/>
      <c r="CY2727" s="76">
        <f>+CX2727*106250</f>
        <v>0</v>
      </c>
      <c r="CZ2727" s="76"/>
      <c r="DA2727" s="76">
        <f>+CZ2727*34500</f>
        <v>0</v>
      </c>
      <c r="DB2727" s="76"/>
      <c r="DC2727" s="76">
        <f>+DB2727*25000</f>
        <v>0</v>
      </c>
      <c r="DD2727" s="219"/>
      <c r="DE2727" s="219"/>
      <c r="DF2727" s="166"/>
      <c r="DG2727" s="116"/>
      <c r="DH2727" s="117"/>
      <c r="DI2727" s="24"/>
      <c r="DJ2727" s="24"/>
      <c r="DK2727" s="24"/>
      <c r="DL2727" s="24"/>
      <c r="DM2727" s="24"/>
      <c r="DN2727" s="24"/>
      <c r="DO2727" s="24"/>
      <c r="DP2727" s="24"/>
      <c r="DQ2727" s="24"/>
      <c r="DR2727" s="24"/>
      <c r="DS2727" s="24"/>
      <c r="DT2727" s="24"/>
      <c r="DU2727" s="24"/>
    </row>
    <row r="2728" spans="1:125" s="8" customFormat="1" ht="48" x14ac:dyDescent="0.2">
      <c r="A2728" s="353">
        <v>41501</v>
      </c>
      <c r="B2728" s="352" t="s">
        <v>2811</v>
      </c>
      <c r="C2728" s="354" t="s">
        <v>478</v>
      </c>
      <c r="D2728" s="354" t="s">
        <v>3205</v>
      </c>
      <c r="E2728" s="353" t="str">
        <f>VLOOKUP(B2728&amp;C2728,Divipola!$C$2:$F$1138,4,FALSE)</f>
        <v>52287</v>
      </c>
      <c r="F2728" s="87"/>
      <c r="G2728" s="87"/>
      <c r="H2728" s="87"/>
      <c r="I2728" s="87">
        <v>5</v>
      </c>
      <c r="J2728" s="87">
        <v>1</v>
      </c>
      <c r="K2728" s="87"/>
      <c r="L2728" s="87">
        <v>1</v>
      </c>
      <c r="M2728" s="87"/>
      <c r="N2728" s="87"/>
      <c r="O2728" s="87"/>
      <c r="P2728" s="87"/>
      <c r="Q2728" s="87"/>
      <c r="R2728" s="87"/>
      <c r="S2728" s="87"/>
      <c r="T2728" s="87"/>
      <c r="U2728" s="88"/>
      <c r="V2728" s="89"/>
      <c r="W2728" s="96">
        <v>0</v>
      </c>
      <c r="X2728" s="71">
        <f>CU2728</f>
        <v>0</v>
      </c>
      <c r="Y2728" s="71">
        <f>CY2728</f>
        <v>0</v>
      </c>
      <c r="Z2728" s="71">
        <f>DA2728+DC2728+DE2728</f>
        <v>0</v>
      </c>
      <c r="AA2728" s="71">
        <f>CW2728</f>
        <v>0</v>
      </c>
      <c r="AB2728" s="71"/>
      <c r="AC2728" s="71">
        <v>0</v>
      </c>
      <c r="AD2728" s="71">
        <f>W2728+X2728+Y2728+Z2728+AA2728+AB2728+AC2728</f>
        <v>0</v>
      </c>
      <c r="AE2728" s="72">
        <v>0</v>
      </c>
      <c r="AF2728" s="5"/>
      <c r="AG2728" s="6"/>
      <c r="AH2728" s="27"/>
      <c r="AI2728" s="44"/>
      <c r="AJ2728" s="26"/>
      <c r="AK2728" s="5"/>
      <c r="AL2728" s="82" t="s">
        <v>5611</v>
      </c>
      <c r="AM2728" s="76"/>
      <c r="AN2728" s="76"/>
      <c r="AO2728" s="76"/>
      <c r="AP2728" s="76"/>
      <c r="AQ2728" s="76"/>
      <c r="AR2728" s="76"/>
      <c r="AS2728" s="76"/>
      <c r="AT2728" s="76"/>
      <c r="AU2728" s="76"/>
      <c r="AV2728" s="76"/>
      <c r="AW2728" s="76"/>
      <c r="AX2728" s="76">
        <f>+AW2728*600000</f>
        <v>0</v>
      </c>
      <c r="AY2728" s="76"/>
      <c r="AZ2728" s="76">
        <f>+AY2728*70000</f>
        <v>0</v>
      </c>
      <c r="BA2728" s="76"/>
      <c r="BB2728" s="76"/>
      <c r="BC2728" s="76"/>
      <c r="BD2728" s="76">
        <f>+BC2728*30000</f>
        <v>0</v>
      </c>
      <c r="BE2728" s="76"/>
      <c r="BF2728" s="76"/>
      <c r="BG2728" s="76"/>
      <c r="BH2728" s="76"/>
      <c r="BI2728" s="76"/>
      <c r="BJ2728" s="76"/>
      <c r="BK2728" s="76"/>
      <c r="BL2728" s="76">
        <f>+BK2728*31500</f>
        <v>0</v>
      </c>
      <c r="BM2728" s="76"/>
      <c r="BN2728" s="76"/>
      <c r="BO2728" s="76"/>
      <c r="BP2728" s="76"/>
      <c r="BQ2728" s="76"/>
      <c r="BR2728" s="76"/>
      <c r="BS2728" s="76"/>
      <c r="BT2728" s="76"/>
      <c r="BU2728" s="76"/>
      <c r="BV2728" s="76"/>
      <c r="BW2728" s="76"/>
      <c r="BX2728" s="76"/>
      <c r="BY2728" s="76"/>
      <c r="BZ2728" s="76"/>
      <c r="CA2728" s="76"/>
      <c r="CB2728" s="76"/>
      <c r="CC2728" s="76"/>
      <c r="CD2728" s="76"/>
      <c r="CE2728" s="76"/>
      <c r="CF2728" s="76">
        <f>+CE2728*28000</f>
        <v>0</v>
      </c>
      <c r="CG2728" s="76"/>
      <c r="CH2728" s="76">
        <f>+CG2728*22500</f>
        <v>0</v>
      </c>
      <c r="CI2728" s="76"/>
      <c r="CJ2728" s="76">
        <f>+CI2728*26000</f>
        <v>0</v>
      </c>
      <c r="CK2728" s="76"/>
      <c r="CL2728" s="76"/>
      <c r="CM2728" s="76"/>
      <c r="CN2728" s="76">
        <f>+CM2728*22000</f>
        <v>0</v>
      </c>
      <c r="CO2728" s="76"/>
      <c r="CP2728" s="76">
        <f>+CO2728*46000</f>
        <v>0</v>
      </c>
      <c r="CQ2728" s="76"/>
      <c r="CR2728" s="76">
        <f>+CQ2728*49000</f>
        <v>0</v>
      </c>
      <c r="CS2728" s="76"/>
      <c r="CT2728" s="76"/>
      <c r="CU2728" s="56">
        <f>AN2728+AP2728+AR2728+AT2728+AV2728+AX2728+AZ2728+BB2728+BD2728+BF2728+BH2728+BJ2728+BL2728+BN2728+BP2728+BR2728+BT2728+BV2728+BX2728+BZ2728+CB2728+CD2728+CF2728+CH2728+CJ2728+CL2728+CN2728+CP2728+CR2728+CT2728</f>
        <v>0</v>
      </c>
      <c r="CV2728" s="76"/>
      <c r="CW2728" s="76">
        <f>+CV2728*1100</f>
        <v>0</v>
      </c>
      <c r="CX2728" s="76"/>
      <c r="CY2728" s="76">
        <f>+CX2728*106250</f>
        <v>0</v>
      </c>
      <c r="CZ2728" s="76"/>
      <c r="DA2728" s="76">
        <f>+CZ2728*34500</f>
        <v>0</v>
      </c>
      <c r="DB2728" s="76"/>
      <c r="DC2728" s="76">
        <f>+DB2728*25000</f>
        <v>0</v>
      </c>
      <c r="DD2728" s="219"/>
      <c r="DE2728" s="219"/>
      <c r="DF2728" s="166"/>
      <c r="DG2728" s="116"/>
      <c r="DH2728" s="117"/>
      <c r="DI2728" s="24"/>
      <c r="DJ2728" s="24"/>
      <c r="DK2728" s="24"/>
      <c r="DL2728" s="24"/>
      <c r="DM2728" s="24"/>
      <c r="DN2728" s="24"/>
      <c r="DO2728" s="24"/>
      <c r="DP2728" s="24"/>
      <c r="DQ2728" s="24"/>
      <c r="DR2728" s="24"/>
      <c r="DS2728" s="24"/>
      <c r="DT2728" s="24"/>
      <c r="DU2728" s="24"/>
    </row>
    <row r="2729" spans="1:125" s="8" customFormat="1" ht="60" x14ac:dyDescent="0.2">
      <c r="A2729" s="77">
        <v>41501</v>
      </c>
      <c r="B2729" s="60" t="s">
        <v>3131</v>
      </c>
      <c r="C2729" s="55" t="s">
        <v>2747</v>
      </c>
      <c r="D2729" s="55" t="s">
        <v>3205</v>
      </c>
      <c r="E2729" s="353" t="str">
        <f>VLOOKUP(B2729&amp;C2729,Divipola!$C$2:$F$1138,4,FALSE)</f>
        <v>86001</v>
      </c>
      <c r="F2729" s="87"/>
      <c r="G2729" s="87"/>
      <c r="H2729" s="87"/>
      <c r="I2729" s="87">
        <v>50</v>
      </c>
      <c r="J2729" s="87">
        <v>9</v>
      </c>
      <c r="K2729" s="87"/>
      <c r="L2729" s="87">
        <v>9</v>
      </c>
      <c r="M2729" s="87"/>
      <c r="N2729" s="87"/>
      <c r="O2729" s="87"/>
      <c r="P2729" s="87"/>
      <c r="Q2729" s="87"/>
      <c r="R2729" s="87"/>
      <c r="S2729" s="87"/>
      <c r="T2729" s="87"/>
      <c r="U2729" s="88"/>
      <c r="V2729" s="89"/>
      <c r="W2729" s="96">
        <v>0</v>
      </c>
      <c r="X2729" s="71">
        <f>CU2729</f>
        <v>0</v>
      </c>
      <c r="Y2729" s="71">
        <f>CY2729</f>
        <v>0</v>
      </c>
      <c r="Z2729" s="71">
        <f>DA2729+DC2729+DE2729</f>
        <v>0</v>
      </c>
      <c r="AA2729" s="71">
        <f>CW2729</f>
        <v>0</v>
      </c>
      <c r="AB2729" s="71"/>
      <c r="AC2729" s="71">
        <v>0</v>
      </c>
      <c r="AD2729" s="71">
        <f>W2729+X2729+Y2729+Z2729+AA2729+AB2729+AC2729</f>
        <v>0</v>
      </c>
      <c r="AE2729" s="72">
        <v>0</v>
      </c>
      <c r="AF2729" s="5"/>
      <c r="AG2729" s="6"/>
      <c r="AH2729" s="27"/>
      <c r="AI2729" s="44"/>
      <c r="AJ2729" s="26"/>
      <c r="AK2729" s="5"/>
      <c r="AL2729" s="82" t="s">
        <v>5623</v>
      </c>
      <c r="AM2729" s="76"/>
      <c r="AN2729" s="76"/>
      <c r="AO2729" s="76"/>
      <c r="AP2729" s="76"/>
      <c r="AQ2729" s="76"/>
      <c r="AR2729" s="76"/>
      <c r="AS2729" s="76"/>
      <c r="AT2729" s="76"/>
      <c r="AU2729" s="76"/>
      <c r="AV2729" s="76"/>
      <c r="AW2729" s="76"/>
      <c r="AX2729" s="76">
        <f>+AW2729*600000</f>
        <v>0</v>
      </c>
      <c r="AY2729" s="76"/>
      <c r="AZ2729" s="76">
        <f>+AY2729*70000</f>
        <v>0</v>
      </c>
      <c r="BA2729" s="76"/>
      <c r="BB2729" s="76"/>
      <c r="BC2729" s="76"/>
      <c r="BD2729" s="76">
        <f>+BC2729*30000</f>
        <v>0</v>
      </c>
      <c r="BE2729" s="76"/>
      <c r="BF2729" s="76"/>
      <c r="BG2729" s="76"/>
      <c r="BH2729" s="76"/>
      <c r="BI2729" s="76"/>
      <c r="BJ2729" s="76"/>
      <c r="BK2729" s="76"/>
      <c r="BL2729" s="76">
        <f>+BK2729*31500</f>
        <v>0</v>
      </c>
      <c r="BM2729" s="76"/>
      <c r="BN2729" s="76"/>
      <c r="BO2729" s="76"/>
      <c r="BP2729" s="76"/>
      <c r="BQ2729" s="76"/>
      <c r="BR2729" s="76"/>
      <c r="BS2729" s="76"/>
      <c r="BT2729" s="76"/>
      <c r="BU2729" s="76"/>
      <c r="BV2729" s="76"/>
      <c r="BW2729" s="76"/>
      <c r="BX2729" s="76"/>
      <c r="BY2729" s="76"/>
      <c r="BZ2729" s="76"/>
      <c r="CA2729" s="76"/>
      <c r="CB2729" s="76"/>
      <c r="CC2729" s="76"/>
      <c r="CD2729" s="76"/>
      <c r="CE2729" s="76"/>
      <c r="CF2729" s="76">
        <f>+CE2729*28000</f>
        <v>0</v>
      </c>
      <c r="CG2729" s="76"/>
      <c r="CH2729" s="76">
        <f>+CG2729*22500</f>
        <v>0</v>
      </c>
      <c r="CI2729" s="76"/>
      <c r="CJ2729" s="76">
        <f>+CI2729*26000</f>
        <v>0</v>
      </c>
      <c r="CK2729" s="76"/>
      <c r="CL2729" s="76"/>
      <c r="CM2729" s="76"/>
      <c r="CN2729" s="76">
        <f>+CM2729*22000</f>
        <v>0</v>
      </c>
      <c r="CO2729" s="76"/>
      <c r="CP2729" s="76">
        <f>+CO2729*46000</f>
        <v>0</v>
      </c>
      <c r="CQ2729" s="76"/>
      <c r="CR2729" s="76">
        <f>+CQ2729*49000</f>
        <v>0</v>
      </c>
      <c r="CS2729" s="76"/>
      <c r="CT2729" s="76"/>
      <c r="CU2729" s="56">
        <f>AN2729+AP2729+AR2729+AT2729+AV2729+AX2729+AZ2729+BB2729+BD2729+BF2729+BH2729+BJ2729+BL2729+BN2729+BP2729+BR2729+BT2729+BV2729+BX2729+BZ2729+CB2729+CD2729+CF2729+CH2729+CJ2729+CL2729+CN2729+CP2729+CR2729+CT2729</f>
        <v>0</v>
      </c>
      <c r="CV2729" s="76"/>
      <c r="CW2729" s="76">
        <f>+CV2729*1100</f>
        <v>0</v>
      </c>
      <c r="CX2729" s="76"/>
      <c r="CY2729" s="76">
        <f>+CX2729*106250</f>
        <v>0</v>
      </c>
      <c r="CZ2729" s="76"/>
      <c r="DA2729" s="76">
        <f>+CZ2729*34500</f>
        <v>0</v>
      </c>
      <c r="DB2729" s="76"/>
      <c r="DC2729" s="76">
        <f>+DB2729*25000</f>
        <v>0</v>
      </c>
      <c r="DD2729" s="219"/>
      <c r="DE2729" s="219"/>
      <c r="DF2729" s="166"/>
      <c r="DG2729" s="116"/>
      <c r="DH2729" s="117"/>
      <c r="DI2729" s="24"/>
      <c r="DJ2729" s="24"/>
      <c r="DK2729" s="24"/>
      <c r="DL2729" s="24"/>
      <c r="DM2729" s="24"/>
      <c r="DN2729" s="24"/>
      <c r="DO2729" s="24"/>
      <c r="DP2729" s="24"/>
      <c r="DQ2729" s="24"/>
      <c r="DR2729" s="24"/>
      <c r="DS2729" s="24"/>
      <c r="DT2729" s="24"/>
      <c r="DU2729" s="24"/>
    </row>
    <row r="2730" spans="1:125" s="8" customFormat="1" ht="72" x14ac:dyDescent="0.2">
      <c r="A2730" s="353">
        <v>41501</v>
      </c>
      <c r="B2730" s="352" t="s">
        <v>3131</v>
      </c>
      <c r="C2730" s="354" t="s">
        <v>2747</v>
      </c>
      <c r="D2730" s="354" t="s">
        <v>3088</v>
      </c>
      <c r="E2730" s="353" t="str">
        <f>VLOOKUP(B2730&amp;C2730,Divipola!$C$2:$F$1138,4,FALSE)</f>
        <v>86001</v>
      </c>
      <c r="F2730" s="87"/>
      <c r="G2730" s="87"/>
      <c r="H2730" s="87"/>
      <c r="I2730" s="87">
        <v>20</v>
      </c>
      <c r="J2730" s="87">
        <v>4</v>
      </c>
      <c r="K2730" s="87"/>
      <c r="L2730" s="87">
        <v>4</v>
      </c>
      <c r="M2730" s="87">
        <v>1</v>
      </c>
      <c r="N2730" s="87"/>
      <c r="O2730" s="87"/>
      <c r="P2730" s="87"/>
      <c r="Q2730" s="87"/>
      <c r="R2730" s="87"/>
      <c r="S2730" s="87"/>
      <c r="T2730" s="87"/>
      <c r="U2730" s="88"/>
      <c r="V2730" s="89"/>
      <c r="W2730" s="96">
        <v>0</v>
      </c>
      <c r="X2730" s="71">
        <f>CU2730</f>
        <v>0</v>
      </c>
      <c r="Y2730" s="71">
        <f>CY2730</f>
        <v>0</v>
      </c>
      <c r="Z2730" s="71">
        <f>DA2730+DC2730+DE2730</f>
        <v>0</v>
      </c>
      <c r="AA2730" s="71">
        <f>CW2730</f>
        <v>0</v>
      </c>
      <c r="AB2730" s="71"/>
      <c r="AC2730" s="71">
        <v>0</v>
      </c>
      <c r="AD2730" s="71">
        <f>W2730+X2730+Y2730+Z2730+AA2730+AB2730+AC2730</f>
        <v>0</v>
      </c>
      <c r="AE2730" s="72">
        <v>0</v>
      </c>
      <c r="AF2730" s="5"/>
      <c r="AG2730" s="6"/>
      <c r="AH2730" s="27"/>
      <c r="AI2730" s="44"/>
      <c r="AJ2730" s="26"/>
      <c r="AK2730" s="5"/>
      <c r="AL2730" s="82" t="s">
        <v>5617</v>
      </c>
      <c r="AM2730" s="76"/>
      <c r="AN2730" s="76"/>
      <c r="AO2730" s="76"/>
      <c r="AP2730" s="76"/>
      <c r="AQ2730" s="76"/>
      <c r="AR2730" s="76"/>
      <c r="AS2730" s="76"/>
      <c r="AT2730" s="76"/>
      <c r="AU2730" s="76"/>
      <c r="AV2730" s="76"/>
      <c r="AW2730" s="76"/>
      <c r="AX2730" s="76">
        <f>+AW2730*600000</f>
        <v>0</v>
      </c>
      <c r="AY2730" s="76"/>
      <c r="AZ2730" s="76">
        <f>+AY2730*70000</f>
        <v>0</v>
      </c>
      <c r="BA2730" s="76"/>
      <c r="BB2730" s="76"/>
      <c r="BC2730" s="76"/>
      <c r="BD2730" s="76">
        <f>+BC2730*30000</f>
        <v>0</v>
      </c>
      <c r="BE2730" s="76"/>
      <c r="BF2730" s="76"/>
      <c r="BG2730" s="76"/>
      <c r="BH2730" s="76"/>
      <c r="BI2730" s="76"/>
      <c r="BJ2730" s="76"/>
      <c r="BK2730" s="76"/>
      <c r="BL2730" s="76">
        <f>+BK2730*31500</f>
        <v>0</v>
      </c>
      <c r="BM2730" s="76"/>
      <c r="BN2730" s="76"/>
      <c r="BO2730" s="76"/>
      <c r="BP2730" s="76"/>
      <c r="BQ2730" s="76"/>
      <c r="BR2730" s="76"/>
      <c r="BS2730" s="76"/>
      <c r="BT2730" s="76"/>
      <c r="BU2730" s="76"/>
      <c r="BV2730" s="76"/>
      <c r="BW2730" s="76"/>
      <c r="BX2730" s="76"/>
      <c r="BY2730" s="76"/>
      <c r="BZ2730" s="76"/>
      <c r="CA2730" s="76"/>
      <c r="CB2730" s="76"/>
      <c r="CC2730" s="76"/>
      <c r="CD2730" s="76"/>
      <c r="CE2730" s="76"/>
      <c r="CF2730" s="76">
        <f>+CE2730*28000</f>
        <v>0</v>
      </c>
      <c r="CG2730" s="76"/>
      <c r="CH2730" s="76">
        <f>+CG2730*22500</f>
        <v>0</v>
      </c>
      <c r="CI2730" s="76"/>
      <c r="CJ2730" s="76">
        <f>+CI2730*26000</f>
        <v>0</v>
      </c>
      <c r="CK2730" s="76"/>
      <c r="CL2730" s="76"/>
      <c r="CM2730" s="76"/>
      <c r="CN2730" s="76">
        <f>+CM2730*22000</f>
        <v>0</v>
      </c>
      <c r="CO2730" s="76"/>
      <c r="CP2730" s="76">
        <f>+CO2730*46000</f>
        <v>0</v>
      </c>
      <c r="CQ2730" s="76"/>
      <c r="CR2730" s="76">
        <f>+CQ2730*49000</f>
        <v>0</v>
      </c>
      <c r="CS2730" s="76"/>
      <c r="CT2730" s="76"/>
      <c r="CU2730" s="56">
        <f>AN2730+AP2730+AR2730+AT2730+AV2730+AX2730+AZ2730+BB2730+BD2730+BF2730+BH2730+BJ2730+BL2730+BN2730+BP2730+BR2730+BT2730+BV2730+BX2730+BZ2730+CB2730+CD2730+CF2730+CH2730+CJ2730+CL2730+CN2730+CP2730+CR2730+CT2730</f>
        <v>0</v>
      </c>
      <c r="CV2730" s="76"/>
      <c r="CW2730" s="76">
        <f>+CV2730*1100</f>
        <v>0</v>
      </c>
      <c r="CX2730" s="76"/>
      <c r="CY2730" s="76">
        <f>+CX2730*106250</f>
        <v>0</v>
      </c>
      <c r="CZ2730" s="76"/>
      <c r="DA2730" s="76">
        <f>+CZ2730*34500</f>
        <v>0</v>
      </c>
      <c r="DB2730" s="76"/>
      <c r="DC2730" s="76">
        <f>+DB2730*25000</f>
        <v>0</v>
      </c>
      <c r="DD2730" s="219"/>
      <c r="DE2730" s="219"/>
      <c r="DF2730" s="166"/>
      <c r="DG2730" s="116"/>
      <c r="DH2730" s="117"/>
      <c r="DI2730" s="24"/>
      <c r="DJ2730" s="24"/>
      <c r="DK2730" s="24"/>
      <c r="DL2730" s="24"/>
      <c r="DM2730" s="24"/>
      <c r="DN2730" s="24"/>
      <c r="DO2730" s="24"/>
      <c r="DP2730" s="24"/>
      <c r="DQ2730" s="24"/>
      <c r="DR2730" s="24"/>
      <c r="DS2730" s="24"/>
      <c r="DT2730" s="24"/>
      <c r="DU2730" s="24"/>
    </row>
    <row r="2731" spans="1:125" s="8" customFormat="1" ht="84" x14ac:dyDescent="0.2">
      <c r="A2731" s="353">
        <v>41501</v>
      </c>
      <c r="B2731" s="352" t="s">
        <v>3131</v>
      </c>
      <c r="C2731" s="354" t="s">
        <v>2747</v>
      </c>
      <c r="D2731" s="354" t="s">
        <v>3051</v>
      </c>
      <c r="E2731" s="353" t="str">
        <f>VLOOKUP(B2731&amp;C2731,Divipola!$C$2:$F$1138,4,FALSE)</f>
        <v>86001</v>
      </c>
      <c r="F2731" s="87"/>
      <c r="G2731" s="87"/>
      <c r="H2731" s="87"/>
      <c r="I2731" s="87">
        <v>50</v>
      </c>
      <c r="J2731" s="87">
        <v>10</v>
      </c>
      <c r="K2731" s="87"/>
      <c r="L2731" s="87">
        <v>10</v>
      </c>
      <c r="M2731" s="87"/>
      <c r="N2731" s="87"/>
      <c r="O2731" s="87"/>
      <c r="P2731" s="87"/>
      <c r="Q2731" s="87"/>
      <c r="R2731" s="87"/>
      <c r="S2731" s="87"/>
      <c r="T2731" s="87"/>
      <c r="U2731" s="88">
        <v>100</v>
      </c>
      <c r="V2731" s="89"/>
      <c r="W2731" s="96">
        <v>0</v>
      </c>
      <c r="X2731" s="71">
        <f>CU2731</f>
        <v>0</v>
      </c>
      <c r="Y2731" s="71">
        <f>CY2731</f>
        <v>0</v>
      </c>
      <c r="Z2731" s="71">
        <f>DA2731+DC2731+DE2731</f>
        <v>0</v>
      </c>
      <c r="AA2731" s="71">
        <f>CW2731</f>
        <v>0</v>
      </c>
      <c r="AB2731" s="71"/>
      <c r="AC2731" s="71">
        <v>0</v>
      </c>
      <c r="AD2731" s="71">
        <f>W2731+X2731+Y2731+Z2731+AA2731+AB2731+AC2731</f>
        <v>0</v>
      </c>
      <c r="AE2731" s="72">
        <v>0</v>
      </c>
      <c r="AF2731" s="5"/>
      <c r="AG2731" s="6"/>
      <c r="AH2731" s="27"/>
      <c r="AI2731" s="44"/>
      <c r="AJ2731" s="26"/>
      <c r="AK2731" s="5"/>
      <c r="AL2731" s="82" t="s">
        <v>5616</v>
      </c>
      <c r="AM2731" s="76"/>
      <c r="AN2731" s="76"/>
      <c r="AO2731" s="76"/>
      <c r="AP2731" s="76"/>
      <c r="AQ2731" s="76"/>
      <c r="AR2731" s="76"/>
      <c r="AS2731" s="76"/>
      <c r="AT2731" s="76"/>
      <c r="AU2731" s="76"/>
      <c r="AV2731" s="76"/>
      <c r="AW2731" s="76"/>
      <c r="AX2731" s="76">
        <f>+AW2731*600000</f>
        <v>0</v>
      </c>
      <c r="AY2731" s="76"/>
      <c r="AZ2731" s="76">
        <f>+AY2731*70000</f>
        <v>0</v>
      </c>
      <c r="BA2731" s="76"/>
      <c r="BB2731" s="76"/>
      <c r="BC2731" s="76"/>
      <c r="BD2731" s="76">
        <f>+BC2731*30000</f>
        <v>0</v>
      </c>
      <c r="BE2731" s="76"/>
      <c r="BF2731" s="76"/>
      <c r="BG2731" s="76"/>
      <c r="BH2731" s="76"/>
      <c r="BI2731" s="76"/>
      <c r="BJ2731" s="76"/>
      <c r="BK2731" s="76"/>
      <c r="BL2731" s="76">
        <f>+BK2731*31500</f>
        <v>0</v>
      </c>
      <c r="BM2731" s="76"/>
      <c r="BN2731" s="76"/>
      <c r="BO2731" s="76"/>
      <c r="BP2731" s="76"/>
      <c r="BQ2731" s="76"/>
      <c r="BR2731" s="76"/>
      <c r="BS2731" s="76"/>
      <c r="BT2731" s="76"/>
      <c r="BU2731" s="76"/>
      <c r="BV2731" s="76"/>
      <c r="BW2731" s="76"/>
      <c r="BX2731" s="76"/>
      <c r="BY2731" s="76"/>
      <c r="BZ2731" s="76"/>
      <c r="CA2731" s="76"/>
      <c r="CB2731" s="76"/>
      <c r="CC2731" s="76"/>
      <c r="CD2731" s="76"/>
      <c r="CE2731" s="76"/>
      <c r="CF2731" s="76">
        <f>+CE2731*28000</f>
        <v>0</v>
      </c>
      <c r="CG2731" s="76"/>
      <c r="CH2731" s="76">
        <f>+CG2731*22500</f>
        <v>0</v>
      </c>
      <c r="CI2731" s="76"/>
      <c r="CJ2731" s="76">
        <f>+CI2731*26000</f>
        <v>0</v>
      </c>
      <c r="CK2731" s="76"/>
      <c r="CL2731" s="76"/>
      <c r="CM2731" s="76"/>
      <c r="CN2731" s="76">
        <f>+CM2731*22000</f>
        <v>0</v>
      </c>
      <c r="CO2731" s="76"/>
      <c r="CP2731" s="76">
        <f>+CO2731*46000</f>
        <v>0</v>
      </c>
      <c r="CQ2731" s="76"/>
      <c r="CR2731" s="76">
        <f>+CQ2731*49000</f>
        <v>0</v>
      </c>
      <c r="CS2731" s="76"/>
      <c r="CT2731" s="76"/>
      <c r="CU2731" s="56">
        <f>AN2731+AP2731+AR2731+AT2731+AV2731+AX2731+AZ2731+BB2731+BD2731+BF2731+BH2731+BJ2731+BL2731+BN2731+BP2731+BR2731+BT2731+BV2731+BX2731+BZ2731+CB2731+CD2731+CF2731+CH2731+CJ2731+CL2731+CN2731+CP2731+CR2731+CT2731</f>
        <v>0</v>
      </c>
      <c r="CV2731" s="76"/>
      <c r="CW2731" s="76">
        <f>+CV2731*1100</f>
        <v>0</v>
      </c>
      <c r="CX2731" s="76"/>
      <c r="CY2731" s="76">
        <f>+CX2731*106250</f>
        <v>0</v>
      </c>
      <c r="CZ2731" s="76"/>
      <c r="DA2731" s="76">
        <f>+CZ2731*34500</f>
        <v>0</v>
      </c>
      <c r="DB2731" s="76"/>
      <c r="DC2731" s="76">
        <f>+DB2731*25000</f>
        <v>0</v>
      </c>
      <c r="DD2731" s="219"/>
      <c r="DE2731" s="219"/>
      <c r="DF2731" s="166"/>
      <c r="DG2731" s="116"/>
      <c r="DH2731" s="117"/>
      <c r="DI2731" s="24"/>
      <c r="DJ2731" s="24"/>
      <c r="DK2731" s="24"/>
      <c r="DL2731" s="24"/>
      <c r="DM2731" s="24"/>
      <c r="DN2731" s="24"/>
      <c r="DO2731" s="24"/>
      <c r="DP2731" s="24"/>
      <c r="DQ2731" s="24"/>
      <c r="DR2731" s="24"/>
      <c r="DS2731" s="24"/>
      <c r="DT2731" s="24"/>
      <c r="DU2731" s="24"/>
    </row>
    <row r="2732" spans="1:125" s="8" customFormat="1" ht="144" x14ac:dyDescent="0.2">
      <c r="A2732" s="353">
        <v>41501</v>
      </c>
      <c r="B2732" s="352" t="s">
        <v>3131</v>
      </c>
      <c r="C2732" s="354" t="s">
        <v>2270</v>
      </c>
      <c r="D2732" s="354" t="s">
        <v>3051</v>
      </c>
      <c r="E2732" s="353" t="str">
        <f>VLOOKUP(B2732&amp;C2732,Divipola!$C$2:$F$1138,4,FALSE)</f>
        <v>86571</v>
      </c>
      <c r="F2732" s="87"/>
      <c r="G2732" s="87"/>
      <c r="H2732" s="87"/>
      <c r="I2732" s="87">
        <v>200</v>
      </c>
      <c r="J2732" s="87">
        <v>50</v>
      </c>
      <c r="K2732" s="87">
        <v>3</v>
      </c>
      <c r="L2732" s="87">
        <v>47</v>
      </c>
      <c r="M2732" s="87"/>
      <c r="N2732" s="87"/>
      <c r="O2732" s="87"/>
      <c r="P2732" s="87"/>
      <c r="Q2732" s="87"/>
      <c r="R2732" s="87"/>
      <c r="S2732" s="87"/>
      <c r="T2732" s="87"/>
      <c r="U2732" s="88">
        <v>500</v>
      </c>
      <c r="V2732" s="89"/>
      <c r="W2732" s="96">
        <v>7500000</v>
      </c>
      <c r="X2732" s="71">
        <f>CU2732</f>
        <v>0</v>
      </c>
      <c r="Y2732" s="71">
        <f>CY2732</f>
        <v>0</v>
      </c>
      <c r="Z2732" s="71">
        <f>DA2732+DC2732+DE2732</f>
        <v>0</v>
      </c>
      <c r="AA2732" s="71">
        <f>CW2732</f>
        <v>0</v>
      </c>
      <c r="AB2732" s="71"/>
      <c r="AC2732" s="71">
        <v>0</v>
      </c>
      <c r="AD2732" s="71">
        <f>W2732+X2732+Y2732+Z2732+AA2732+AB2732+AC2732</f>
        <v>7500000</v>
      </c>
      <c r="AE2732" s="72">
        <v>0</v>
      </c>
      <c r="AF2732" s="5"/>
      <c r="AG2732" s="6"/>
      <c r="AH2732" s="27"/>
      <c r="AI2732" s="44"/>
      <c r="AJ2732" s="26"/>
      <c r="AK2732" s="5"/>
      <c r="AL2732" s="82" t="s">
        <v>6584</v>
      </c>
      <c r="AM2732" s="76"/>
      <c r="AN2732" s="76"/>
      <c r="AO2732" s="76"/>
      <c r="AP2732" s="76"/>
      <c r="AQ2732" s="76"/>
      <c r="AR2732" s="76"/>
      <c r="AS2732" s="76"/>
      <c r="AT2732" s="76"/>
      <c r="AU2732" s="76"/>
      <c r="AV2732" s="76"/>
      <c r="AW2732" s="76"/>
      <c r="AX2732" s="76">
        <f>+AW2732*600000</f>
        <v>0</v>
      </c>
      <c r="AY2732" s="76"/>
      <c r="AZ2732" s="76">
        <f>+AY2732*70000</f>
        <v>0</v>
      </c>
      <c r="BA2732" s="76"/>
      <c r="BB2732" s="76"/>
      <c r="BC2732" s="76"/>
      <c r="BD2732" s="76">
        <f>+BC2732*30000</f>
        <v>0</v>
      </c>
      <c r="BE2732" s="76"/>
      <c r="BF2732" s="76"/>
      <c r="BG2732" s="76"/>
      <c r="BH2732" s="76"/>
      <c r="BI2732" s="76"/>
      <c r="BJ2732" s="76"/>
      <c r="BK2732" s="76"/>
      <c r="BL2732" s="76">
        <f>+BK2732*31500</f>
        <v>0</v>
      </c>
      <c r="BM2732" s="76"/>
      <c r="BN2732" s="76"/>
      <c r="BO2732" s="76"/>
      <c r="BP2732" s="76"/>
      <c r="BQ2732" s="76"/>
      <c r="BR2732" s="76"/>
      <c r="BS2732" s="76"/>
      <c r="BT2732" s="76"/>
      <c r="BU2732" s="76"/>
      <c r="BV2732" s="76"/>
      <c r="BW2732" s="76"/>
      <c r="BX2732" s="76"/>
      <c r="BY2732" s="76"/>
      <c r="BZ2732" s="76"/>
      <c r="CA2732" s="76"/>
      <c r="CB2732" s="76"/>
      <c r="CC2732" s="76"/>
      <c r="CD2732" s="76"/>
      <c r="CE2732" s="76"/>
      <c r="CF2732" s="76">
        <f>+CE2732*28000</f>
        <v>0</v>
      </c>
      <c r="CG2732" s="76"/>
      <c r="CH2732" s="76">
        <f>+CG2732*22500</f>
        <v>0</v>
      </c>
      <c r="CI2732" s="76"/>
      <c r="CJ2732" s="76">
        <f>+CI2732*26000</f>
        <v>0</v>
      </c>
      <c r="CK2732" s="76"/>
      <c r="CL2732" s="76"/>
      <c r="CM2732" s="76"/>
      <c r="CN2732" s="76">
        <f>+CM2732*22000</f>
        <v>0</v>
      </c>
      <c r="CO2732" s="76"/>
      <c r="CP2732" s="76">
        <f>+CO2732*46000</f>
        <v>0</v>
      </c>
      <c r="CQ2732" s="76"/>
      <c r="CR2732" s="76">
        <f>+CQ2732*49000</f>
        <v>0</v>
      </c>
      <c r="CS2732" s="76"/>
      <c r="CT2732" s="76"/>
      <c r="CU2732" s="56">
        <f>AN2732+AP2732+AR2732+AT2732+AV2732+AX2732+AZ2732+BB2732+BD2732+BF2732+BH2732+BJ2732+BL2732+BN2732+BP2732+BR2732+BT2732+BV2732+BX2732+BZ2732+CB2732+CD2732+CF2732+CH2732+CJ2732+CL2732+CN2732+CP2732+CR2732+CT2732</f>
        <v>0</v>
      </c>
      <c r="CV2732" s="76"/>
      <c r="CW2732" s="76">
        <f>+CV2732*1100</f>
        <v>0</v>
      </c>
      <c r="CX2732" s="76"/>
      <c r="CY2732" s="76">
        <f>+CX2732*106250</f>
        <v>0</v>
      </c>
      <c r="CZ2732" s="76"/>
      <c r="DA2732" s="76">
        <f>+CZ2732*34500</f>
        <v>0</v>
      </c>
      <c r="DB2732" s="76"/>
      <c r="DC2732" s="76">
        <f>+DB2732*25000</f>
        <v>0</v>
      </c>
      <c r="DD2732" s="219"/>
      <c r="DE2732" s="219"/>
      <c r="DF2732" s="166"/>
      <c r="DG2732" s="116"/>
      <c r="DH2732" s="117"/>
      <c r="DI2732" s="24"/>
      <c r="DJ2732" s="24"/>
      <c r="DK2732" s="24"/>
      <c r="DL2732" s="24"/>
      <c r="DM2732" s="24"/>
      <c r="DN2732" s="24"/>
      <c r="DO2732" s="24"/>
      <c r="DP2732" s="24"/>
      <c r="DQ2732" s="24"/>
      <c r="DR2732" s="24"/>
      <c r="DS2732" s="24"/>
      <c r="DT2732" s="24"/>
      <c r="DU2732" s="24"/>
    </row>
    <row r="2733" spans="1:125" s="8" customFormat="1" ht="60" x14ac:dyDescent="0.2">
      <c r="A2733" s="353">
        <v>41501</v>
      </c>
      <c r="B2733" s="352" t="s">
        <v>3131</v>
      </c>
      <c r="C2733" s="354" t="s">
        <v>2220</v>
      </c>
      <c r="D2733" s="354" t="s">
        <v>3088</v>
      </c>
      <c r="E2733" s="353" t="str">
        <f>VLOOKUP(B2733&amp;C2733,Divipola!$C$2:$F$1138,4,FALSE)</f>
        <v>86760</v>
      </c>
      <c r="F2733" s="87"/>
      <c r="G2733" s="87"/>
      <c r="H2733" s="87"/>
      <c r="I2733" s="87">
        <v>5</v>
      </c>
      <c r="J2733" s="87">
        <v>1</v>
      </c>
      <c r="K2733" s="87"/>
      <c r="L2733" s="87">
        <v>1</v>
      </c>
      <c r="M2733" s="87"/>
      <c r="N2733" s="87"/>
      <c r="O2733" s="87"/>
      <c r="P2733" s="87"/>
      <c r="Q2733" s="87"/>
      <c r="R2733" s="87"/>
      <c r="S2733" s="87"/>
      <c r="T2733" s="87"/>
      <c r="U2733" s="88"/>
      <c r="V2733" s="89"/>
      <c r="W2733" s="96">
        <v>0</v>
      </c>
      <c r="X2733" s="71">
        <f>CU2733</f>
        <v>0</v>
      </c>
      <c r="Y2733" s="71">
        <f>CY2733</f>
        <v>0</v>
      </c>
      <c r="Z2733" s="71">
        <f>DA2733+DC2733+DE2733</f>
        <v>0</v>
      </c>
      <c r="AA2733" s="71">
        <f>CW2733</f>
        <v>0</v>
      </c>
      <c r="AB2733" s="71"/>
      <c r="AC2733" s="71">
        <v>0</v>
      </c>
      <c r="AD2733" s="71">
        <f>W2733+X2733+Y2733+Z2733+AA2733+AB2733+AC2733</f>
        <v>0</v>
      </c>
      <c r="AE2733" s="72">
        <v>0</v>
      </c>
      <c r="AF2733" s="5"/>
      <c r="AG2733" s="6"/>
      <c r="AH2733" s="27"/>
      <c r="AI2733" s="44"/>
      <c r="AJ2733" s="26"/>
      <c r="AK2733" s="5"/>
      <c r="AL2733" s="82" t="s">
        <v>5618</v>
      </c>
      <c r="AM2733" s="76"/>
      <c r="AN2733" s="76"/>
      <c r="AO2733" s="76"/>
      <c r="AP2733" s="76"/>
      <c r="AQ2733" s="76"/>
      <c r="AR2733" s="76"/>
      <c r="AS2733" s="76"/>
      <c r="AT2733" s="76"/>
      <c r="AU2733" s="76"/>
      <c r="AV2733" s="76"/>
      <c r="AW2733" s="76"/>
      <c r="AX2733" s="76">
        <f>+AW2733*600000</f>
        <v>0</v>
      </c>
      <c r="AY2733" s="76"/>
      <c r="AZ2733" s="76">
        <f>+AY2733*70000</f>
        <v>0</v>
      </c>
      <c r="BA2733" s="76"/>
      <c r="BB2733" s="76"/>
      <c r="BC2733" s="76"/>
      <c r="BD2733" s="76">
        <f>+BC2733*30000</f>
        <v>0</v>
      </c>
      <c r="BE2733" s="76"/>
      <c r="BF2733" s="76"/>
      <c r="BG2733" s="76"/>
      <c r="BH2733" s="76"/>
      <c r="BI2733" s="76"/>
      <c r="BJ2733" s="76"/>
      <c r="BK2733" s="76"/>
      <c r="BL2733" s="76">
        <f>+BK2733*31500</f>
        <v>0</v>
      </c>
      <c r="BM2733" s="76"/>
      <c r="BN2733" s="76"/>
      <c r="BO2733" s="76"/>
      <c r="BP2733" s="76"/>
      <c r="BQ2733" s="76"/>
      <c r="BR2733" s="76"/>
      <c r="BS2733" s="76"/>
      <c r="BT2733" s="76"/>
      <c r="BU2733" s="76"/>
      <c r="BV2733" s="76"/>
      <c r="BW2733" s="76"/>
      <c r="BX2733" s="76"/>
      <c r="BY2733" s="76"/>
      <c r="BZ2733" s="76"/>
      <c r="CA2733" s="76"/>
      <c r="CB2733" s="76"/>
      <c r="CC2733" s="76"/>
      <c r="CD2733" s="76"/>
      <c r="CE2733" s="76"/>
      <c r="CF2733" s="76">
        <f>+CE2733*28000</f>
        <v>0</v>
      </c>
      <c r="CG2733" s="76"/>
      <c r="CH2733" s="76">
        <f>+CG2733*22500</f>
        <v>0</v>
      </c>
      <c r="CI2733" s="76"/>
      <c r="CJ2733" s="76">
        <f>+CI2733*26000</f>
        <v>0</v>
      </c>
      <c r="CK2733" s="76"/>
      <c r="CL2733" s="76"/>
      <c r="CM2733" s="76"/>
      <c r="CN2733" s="76">
        <f>+CM2733*22000</f>
        <v>0</v>
      </c>
      <c r="CO2733" s="76"/>
      <c r="CP2733" s="76">
        <f>+CO2733*46000</f>
        <v>0</v>
      </c>
      <c r="CQ2733" s="76"/>
      <c r="CR2733" s="76">
        <f>+CQ2733*49000</f>
        <v>0</v>
      </c>
      <c r="CS2733" s="76"/>
      <c r="CT2733" s="76"/>
      <c r="CU2733" s="56">
        <f>AN2733+AP2733+AR2733+AT2733+AV2733+AX2733+AZ2733+BB2733+BD2733+BF2733+BH2733+BJ2733+BL2733+BN2733+BP2733+BR2733+BT2733+BV2733+BX2733+BZ2733+CB2733+CD2733+CF2733+CH2733+CJ2733+CL2733+CN2733+CP2733+CR2733+CT2733</f>
        <v>0</v>
      </c>
      <c r="CV2733" s="76"/>
      <c r="CW2733" s="76">
        <f>+CV2733*1100</f>
        <v>0</v>
      </c>
      <c r="CX2733" s="76"/>
      <c r="CY2733" s="76">
        <f>+CX2733*106250</f>
        <v>0</v>
      </c>
      <c r="CZ2733" s="76"/>
      <c r="DA2733" s="76">
        <f>+CZ2733*34500</f>
        <v>0</v>
      </c>
      <c r="DB2733" s="76"/>
      <c r="DC2733" s="76">
        <f>+DB2733*25000</f>
        <v>0</v>
      </c>
      <c r="DD2733" s="219"/>
      <c r="DE2733" s="219"/>
      <c r="DF2733" s="166"/>
      <c r="DG2733" s="116"/>
      <c r="DH2733" s="117"/>
      <c r="DI2733" s="24"/>
      <c r="DJ2733" s="24"/>
      <c r="DK2733" s="24"/>
      <c r="DL2733" s="24"/>
      <c r="DM2733" s="24"/>
      <c r="DN2733" s="24"/>
      <c r="DO2733" s="24"/>
      <c r="DP2733" s="24"/>
      <c r="DQ2733" s="24"/>
      <c r="DR2733" s="24"/>
      <c r="DS2733" s="24"/>
      <c r="DT2733" s="24"/>
      <c r="DU2733" s="24"/>
    </row>
    <row r="2734" spans="1:125" s="8" customFormat="1" ht="84" x14ac:dyDescent="0.2">
      <c r="A2734" s="77">
        <v>41501</v>
      </c>
      <c r="B2734" s="352" t="s">
        <v>3131</v>
      </c>
      <c r="C2734" s="354" t="s">
        <v>2281</v>
      </c>
      <c r="D2734" s="354" t="s">
        <v>3051</v>
      </c>
      <c r="E2734" s="353" t="str">
        <f>VLOOKUP(B2734&amp;C2734,Divipola!$C$2:$F$1138,4,FALSE)</f>
        <v>86885</v>
      </c>
      <c r="F2734" s="87"/>
      <c r="G2734" s="87"/>
      <c r="H2734" s="87"/>
      <c r="I2734" s="87">
        <v>278</v>
      </c>
      <c r="J2734" s="87">
        <v>58</v>
      </c>
      <c r="K2734" s="87"/>
      <c r="L2734" s="87">
        <v>58</v>
      </c>
      <c r="M2734" s="87"/>
      <c r="N2734" s="87"/>
      <c r="O2734" s="87">
        <v>6</v>
      </c>
      <c r="P2734" s="87"/>
      <c r="Q2734" s="87"/>
      <c r="R2734" s="87"/>
      <c r="S2734" s="87"/>
      <c r="T2734" s="87"/>
      <c r="U2734" s="88">
        <v>634</v>
      </c>
      <c r="V2734" s="89"/>
      <c r="W2734" s="96">
        <v>0</v>
      </c>
      <c r="X2734" s="71">
        <f>CU2734</f>
        <v>0</v>
      </c>
      <c r="Y2734" s="71">
        <f>CY2734</f>
        <v>0</v>
      </c>
      <c r="Z2734" s="71">
        <f>DA2734+DC2734+DE2734</f>
        <v>0</v>
      </c>
      <c r="AA2734" s="71">
        <f>CW2734</f>
        <v>0</v>
      </c>
      <c r="AB2734" s="71"/>
      <c r="AC2734" s="71">
        <v>0</v>
      </c>
      <c r="AD2734" s="71">
        <f>W2734+X2734+Y2734+Z2734+AA2734+AB2734+AC2734</f>
        <v>0</v>
      </c>
      <c r="AE2734" s="72">
        <v>0</v>
      </c>
      <c r="AF2734" s="5"/>
      <c r="AG2734" s="6"/>
      <c r="AH2734" s="27"/>
      <c r="AI2734" s="44"/>
      <c r="AJ2734" s="26"/>
      <c r="AK2734" s="5"/>
      <c r="AL2734" s="82" t="s">
        <v>5621</v>
      </c>
      <c r="AM2734" s="76"/>
      <c r="AN2734" s="76"/>
      <c r="AO2734" s="76"/>
      <c r="AP2734" s="76"/>
      <c r="AQ2734" s="76"/>
      <c r="AR2734" s="76"/>
      <c r="AS2734" s="76"/>
      <c r="AT2734" s="76"/>
      <c r="AU2734" s="76"/>
      <c r="AV2734" s="76"/>
      <c r="AW2734" s="76"/>
      <c r="AX2734" s="76">
        <f>+AW2734*600000</f>
        <v>0</v>
      </c>
      <c r="AY2734" s="76"/>
      <c r="AZ2734" s="76">
        <f>+AY2734*70000</f>
        <v>0</v>
      </c>
      <c r="BA2734" s="76"/>
      <c r="BB2734" s="76"/>
      <c r="BC2734" s="76"/>
      <c r="BD2734" s="76">
        <f>+BC2734*30000</f>
        <v>0</v>
      </c>
      <c r="BE2734" s="76"/>
      <c r="BF2734" s="76"/>
      <c r="BG2734" s="76"/>
      <c r="BH2734" s="76"/>
      <c r="BI2734" s="76"/>
      <c r="BJ2734" s="76"/>
      <c r="BK2734" s="76"/>
      <c r="BL2734" s="76">
        <f>+BK2734*31500</f>
        <v>0</v>
      </c>
      <c r="BM2734" s="76"/>
      <c r="BN2734" s="76"/>
      <c r="BO2734" s="76"/>
      <c r="BP2734" s="76"/>
      <c r="BQ2734" s="76"/>
      <c r="BR2734" s="76"/>
      <c r="BS2734" s="76"/>
      <c r="BT2734" s="76"/>
      <c r="BU2734" s="76"/>
      <c r="BV2734" s="76"/>
      <c r="BW2734" s="76"/>
      <c r="BX2734" s="76"/>
      <c r="BY2734" s="76"/>
      <c r="BZ2734" s="76"/>
      <c r="CA2734" s="76"/>
      <c r="CB2734" s="76"/>
      <c r="CC2734" s="76"/>
      <c r="CD2734" s="76"/>
      <c r="CE2734" s="76"/>
      <c r="CF2734" s="76">
        <f>+CE2734*28000</f>
        <v>0</v>
      </c>
      <c r="CG2734" s="76"/>
      <c r="CH2734" s="76">
        <f>+CG2734*22500</f>
        <v>0</v>
      </c>
      <c r="CI2734" s="76"/>
      <c r="CJ2734" s="76">
        <f>+CI2734*26000</f>
        <v>0</v>
      </c>
      <c r="CK2734" s="76"/>
      <c r="CL2734" s="76"/>
      <c r="CM2734" s="76"/>
      <c r="CN2734" s="76">
        <f>+CM2734*22000</f>
        <v>0</v>
      </c>
      <c r="CO2734" s="76"/>
      <c r="CP2734" s="76">
        <f>+CO2734*46000</f>
        <v>0</v>
      </c>
      <c r="CQ2734" s="76"/>
      <c r="CR2734" s="76">
        <f>+CQ2734*49000</f>
        <v>0</v>
      </c>
      <c r="CS2734" s="76"/>
      <c r="CT2734" s="76"/>
      <c r="CU2734" s="56">
        <f>AN2734+AP2734+AR2734+AT2734+AV2734+AX2734+AZ2734+BB2734+BD2734+BF2734+BH2734+BJ2734+BL2734+BN2734+BP2734+BR2734+BT2734+BV2734+BX2734+BZ2734+CB2734+CD2734+CF2734+CH2734+CJ2734+CL2734+CN2734+CP2734+CR2734+CT2734</f>
        <v>0</v>
      </c>
      <c r="CV2734" s="76"/>
      <c r="CW2734" s="76">
        <f>+CV2734*1100</f>
        <v>0</v>
      </c>
      <c r="CX2734" s="76"/>
      <c r="CY2734" s="76">
        <f>+CX2734*106250</f>
        <v>0</v>
      </c>
      <c r="CZ2734" s="76"/>
      <c r="DA2734" s="76">
        <f>+CZ2734*34500</f>
        <v>0</v>
      </c>
      <c r="DB2734" s="76"/>
      <c r="DC2734" s="76">
        <f>+DB2734*25000</f>
        <v>0</v>
      </c>
      <c r="DD2734" s="219"/>
      <c r="DE2734" s="219"/>
      <c r="DF2734" s="166"/>
      <c r="DG2734" s="116"/>
      <c r="DH2734" s="117"/>
      <c r="DI2734" s="24"/>
      <c r="DJ2734" s="24"/>
      <c r="DK2734" s="24"/>
      <c r="DL2734" s="24"/>
      <c r="DM2734" s="24"/>
      <c r="DN2734" s="24"/>
      <c r="DO2734" s="24"/>
      <c r="DP2734" s="24"/>
      <c r="DQ2734" s="24"/>
      <c r="DR2734" s="24"/>
      <c r="DS2734" s="24"/>
      <c r="DT2734" s="24"/>
      <c r="DU2734" s="24"/>
    </row>
    <row r="2735" spans="1:125" s="8" customFormat="1" ht="132" x14ac:dyDescent="0.2">
      <c r="A2735" s="353">
        <v>41501</v>
      </c>
      <c r="B2735" s="352" t="s">
        <v>2860</v>
      </c>
      <c r="C2735" s="354" t="s">
        <v>2768</v>
      </c>
      <c r="D2735" s="354" t="s">
        <v>2882</v>
      </c>
      <c r="E2735" s="353" t="str">
        <f>VLOOKUP(B2735&amp;C2735,Divipola!$C$2:$F$1138,4,FALSE)</f>
        <v>63401</v>
      </c>
      <c r="F2735" s="87"/>
      <c r="G2735" s="87">
        <v>3</v>
      </c>
      <c r="H2735" s="87"/>
      <c r="I2735" s="87">
        <v>25</v>
      </c>
      <c r="J2735" s="87">
        <v>5</v>
      </c>
      <c r="K2735" s="87"/>
      <c r="L2735" s="87">
        <v>5</v>
      </c>
      <c r="M2735" s="87"/>
      <c r="N2735" s="87"/>
      <c r="O2735" s="87"/>
      <c r="P2735" s="87"/>
      <c r="Q2735" s="87"/>
      <c r="R2735" s="87"/>
      <c r="S2735" s="87"/>
      <c r="T2735" s="87"/>
      <c r="U2735" s="88"/>
      <c r="V2735" s="89"/>
      <c r="W2735" s="96">
        <v>0</v>
      </c>
      <c r="X2735" s="71">
        <f>CU2735</f>
        <v>0</v>
      </c>
      <c r="Y2735" s="71">
        <f>CY2735</f>
        <v>0</v>
      </c>
      <c r="Z2735" s="71">
        <f>DA2735+DC2735+DE2735</f>
        <v>0</v>
      </c>
      <c r="AA2735" s="71">
        <f>CW2735</f>
        <v>0</v>
      </c>
      <c r="AB2735" s="71"/>
      <c r="AC2735" s="71">
        <v>0</v>
      </c>
      <c r="AD2735" s="71">
        <f>W2735+X2735+Y2735+Z2735+AA2735+AB2735+AC2735</f>
        <v>0</v>
      </c>
      <c r="AE2735" s="72">
        <v>0</v>
      </c>
      <c r="AF2735" s="5"/>
      <c r="AG2735" s="6"/>
      <c r="AH2735" s="27"/>
      <c r="AI2735" s="44"/>
      <c r="AJ2735" s="26"/>
      <c r="AK2735" s="5"/>
      <c r="AL2735" s="82" t="s">
        <v>5615</v>
      </c>
      <c r="AM2735" s="76"/>
      <c r="AN2735" s="76"/>
      <c r="AO2735" s="76"/>
      <c r="AP2735" s="76"/>
      <c r="AQ2735" s="76"/>
      <c r="AR2735" s="76"/>
      <c r="AS2735" s="76"/>
      <c r="AT2735" s="76"/>
      <c r="AU2735" s="76"/>
      <c r="AV2735" s="76"/>
      <c r="AW2735" s="76"/>
      <c r="AX2735" s="76">
        <f>+AW2735*600000</f>
        <v>0</v>
      </c>
      <c r="AY2735" s="76"/>
      <c r="AZ2735" s="76">
        <f>+AY2735*70000</f>
        <v>0</v>
      </c>
      <c r="BA2735" s="76"/>
      <c r="BB2735" s="76"/>
      <c r="BC2735" s="76"/>
      <c r="BD2735" s="76">
        <f>+BC2735*30000</f>
        <v>0</v>
      </c>
      <c r="BE2735" s="76"/>
      <c r="BF2735" s="76"/>
      <c r="BG2735" s="76"/>
      <c r="BH2735" s="76"/>
      <c r="BI2735" s="76"/>
      <c r="BJ2735" s="76"/>
      <c r="BK2735" s="76"/>
      <c r="BL2735" s="76">
        <f>+BK2735*31500</f>
        <v>0</v>
      </c>
      <c r="BM2735" s="76"/>
      <c r="BN2735" s="76"/>
      <c r="BO2735" s="76"/>
      <c r="BP2735" s="76"/>
      <c r="BQ2735" s="76"/>
      <c r="BR2735" s="76"/>
      <c r="BS2735" s="76"/>
      <c r="BT2735" s="76"/>
      <c r="BU2735" s="76"/>
      <c r="BV2735" s="76"/>
      <c r="BW2735" s="76"/>
      <c r="BX2735" s="76"/>
      <c r="BY2735" s="76"/>
      <c r="BZ2735" s="76"/>
      <c r="CA2735" s="76"/>
      <c r="CB2735" s="76"/>
      <c r="CC2735" s="76"/>
      <c r="CD2735" s="76"/>
      <c r="CE2735" s="76"/>
      <c r="CF2735" s="76">
        <f>+CE2735*28000</f>
        <v>0</v>
      </c>
      <c r="CG2735" s="76"/>
      <c r="CH2735" s="76">
        <f>+CG2735*22500</f>
        <v>0</v>
      </c>
      <c r="CI2735" s="76"/>
      <c r="CJ2735" s="76">
        <f>+CI2735*26000</f>
        <v>0</v>
      </c>
      <c r="CK2735" s="76"/>
      <c r="CL2735" s="76"/>
      <c r="CM2735" s="76"/>
      <c r="CN2735" s="76">
        <f>+CM2735*22000</f>
        <v>0</v>
      </c>
      <c r="CO2735" s="76"/>
      <c r="CP2735" s="76">
        <f>+CO2735*46000</f>
        <v>0</v>
      </c>
      <c r="CQ2735" s="76"/>
      <c r="CR2735" s="76">
        <f>+CQ2735*49000</f>
        <v>0</v>
      </c>
      <c r="CS2735" s="76"/>
      <c r="CT2735" s="76"/>
      <c r="CU2735" s="56">
        <f>AN2735+AP2735+AR2735+AT2735+AV2735+AX2735+AZ2735+BB2735+BD2735+BF2735+BH2735+BJ2735+BL2735+BN2735+BP2735+BR2735+BT2735+BV2735+BX2735+BZ2735+CB2735+CD2735+CF2735+CH2735+CJ2735+CL2735+CN2735+CP2735+CR2735+CT2735</f>
        <v>0</v>
      </c>
      <c r="CV2735" s="76"/>
      <c r="CW2735" s="76">
        <f>+CV2735*1100</f>
        <v>0</v>
      </c>
      <c r="CX2735" s="76"/>
      <c r="CY2735" s="76">
        <f>+CX2735*106250</f>
        <v>0</v>
      </c>
      <c r="CZ2735" s="76"/>
      <c r="DA2735" s="76">
        <f>+CZ2735*34500</f>
        <v>0</v>
      </c>
      <c r="DB2735" s="76"/>
      <c r="DC2735" s="76">
        <f>+DB2735*25000</f>
        <v>0</v>
      </c>
      <c r="DD2735" s="219"/>
      <c r="DE2735" s="219"/>
      <c r="DF2735" s="166"/>
      <c r="DG2735" s="116"/>
      <c r="DH2735" s="117"/>
      <c r="DI2735" s="24"/>
      <c r="DJ2735" s="24"/>
      <c r="DK2735" s="24"/>
      <c r="DL2735" s="24"/>
      <c r="DM2735" s="24"/>
      <c r="DN2735" s="24"/>
      <c r="DO2735" s="24"/>
      <c r="DP2735" s="24"/>
      <c r="DQ2735" s="24"/>
      <c r="DR2735" s="24"/>
      <c r="DS2735" s="24"/>
      <c r="DT2735" s="24"/>
      <c r="DU2735" s="24"/>
    </row>
    <row r="2736" spans="1:125" s="8" customFormat="1" ht="96" x14ac:dyDescent="0.2">
      <c r="A2736" s="353">
        <v>41501</v>
      </c>
      <c r="B2736" s="352" t="s">
        <v>1326</v>
      </c>
      <c r="C2736" s="354" t="s">
        <v>2710</v>
      </c>
      <c r="D2736" s="354" t="s">
        <v>4391</v>
      </c>
      <c r="E2736" s="353" t="str">
        <f>VLOOKUP(B2736&amp;C2736,Divipola!$C$2:$F$1138,4,FALSE)</f>
        <v>70124</v>
      </c>
      <c r="F2736" s="87">
        <v>1</v>
      </c>
      <c r="G2736" s="87"/>
      <c r="H2736" s="87"/>
      <c r="I2736" s="87">
        <v>2</v>
      </c>
      <c r="J2736" s="87"/>
      <c r="K2736" s="87"/>
      <c r="L2736" s="87"/>
      <c r="M2736" s="87"/>
      <c r="N2736" s="87"/>
      <c r="O2736" s="87"/>
      <c r="P2736" s="87"/>
      <c r="Q2736" s="87"/>
      <c r="R2736" s="87"/>
      <c r="S2736" s="87"/>
      <c r="T2736" s="87"/>
      <c r="U2736" s="88"/>
      <c r="V2736" s="89"/>
      <c r="W2736" s="96">
        <v>0</v>
      </c>
      <c r="X2736" s="71">
        <f>CU2736</f>
        <v>0</v>
      </c>
      <c r="Y2736" s="71">
        <f>CY2736</f>
        <v>0</v>
      </c>
      <c r="Z2736" s="71">
        <f>DA2736+DC2736+DE2736</f>
        <v>0</v>
      </c>
      <c r="AA2736" s="71">
        <f>CW2736</f>
        <v>0</v>
      </c>
      <c r="AB2736" s="71"/>
      <c r="AC2736" s="71">
        <v>0</v>
      </c>
      <c r="AD2736" s="71">
        <f>W2736+X2736+Y2736+Z2736+AA2736+AB2736+AC2736</f>
        <v>0</v>
      </c>
      <c r="AE2736" s="72">
        <v>0</v>
      </c>
      <c r="AF2736" s="5"/>
      <c r="AG2736" s="6"/>
      <c r="AH2736" s="27"/>
      <c r="AI2736" s="44"/>
      <c r="AJ2736" s="26"/>
      <c r="AK2736" s="5"/>
      <c r="AL2736" s="82" t="s">
        <v>5613</v>
      </c>
      <c r="AM2736" s="76"/>
      <c r="AN2736" s="76"/>
      <c r="AO2736" s="76"/>
      <c r="AP2736" s="76"/>
      <c r="AQ2736" s="76"/>
      <c r="AR2736" s="76"/>
      <c r="AS2736" s="76"/>
      <c r="AT2736" s="76"/>
      <c r="AU2736" s="76"/>
      <c r="AV2736" s="76"/>
      <c r="AW2736" s="76"/>
      <c r="AX2736" s="76">
        <f>+AW2736*600000</f>
        <v>0</v>
      </c>
      <c r="AY2736" s="76"/>
      <c r="AZ2736" s="76">
        <f>+AY2736*70000</f>
        <v>0</v>
      </c>
      <c r="BA2736" s="76"/>
      <c r="BB2736" s="76"/>
      <c r="BC2736" s="76"/>
      <c r="BD2736" s="76">
        <f>+BC2736*30000</f>
        <v>0</v>
      </c>
      <c r="BE2736" s="76"/>
      <c r="BF2736" s="76"/>
      <c r="BG2736" s="76"/>
      <c r="BH2736" s="76"/>
      <c r="BI2736" s="76"/>
      <c r="BJ2736" s="76"/>
      <c r="BK2736" s="76"/>
      <c r="BL2736" s="76">
        <f>+BK2736*31500</f>
        <v>0</v>
      </c>
      <c r="BM2736" s="76"/>
      <c r="BN2736" s="76"/>
      <c r="BO2736" s="76"/>
      <c r="BP2736" s="76"/>
      <c r="BQ2736" s="76"/>
      <c r="BR2736" s="76"/>
      <c r="BS2736" s="76"/>
      <c r="BT2736" s="76"/>
      <c r="BU2736" s="76"/>
      <c r="BV2736" s="76"/>
      <c r="BW2736" s="76"/>
      <c r="BX2736" s="76"/>
      <c r="BY2736" s="76"/>
      <c r="BZ2736" s="76"/>
      <c r="CA2736" s="76"/>
      <c r="CB2736" s="76"/>
      <c r="CC2736" s="76"/>
      <c r="CD2736" s="76"/>
      <c r="CE2736" s="76"/>
      <c r="CF2736" s="76">
        <f>+CE2736*28000</f>
        <v>0</v>
      </c>
      <c r="CG2736" s="76"/>
      <c r="CH2736" s="76">
        <f>+CG2736*22500</f>
        <v>0</v>
      </c>
      <c r="CI2736" s="76"/>
      <c r="CJ2736" s="76">
        <f>+CI2736*26000</f>
        <v>0</v>
      </c>
      <c r="CK2736" s="76"/>
      <c r="CL2736" s="76"/>
      <c r="CM2736" s="76"/>
      <c r="CN2736" s="76">
        <f>+CM2736*22000</f>
        <v>0</v>
      </c>
      <c r="CO2736" s="76"/>
      <c r="CP2736" s="76">
        <f>+CO2736*46000</f>
        <v>0</v>
      </c>
      <c r="CQ2736" s="76"/>
      <c r="CR2736" s="76">
        <f>+CQ2736*49000</f>
        <v>0</v>
      </c>
      <c r="CS2736" s="76"/>
      <c r="CT2736" s="76"/>
      <c r="CU2736" s="56">
        <f>AN2736+AP2736+AR2736+AT2736+AV2736+AX2736+AZ2736+BB2736+BD2736+BF2736+BH2736+BJ2736+BL2736+BN2736+BP2736+BR2736+BT2736+BV2736+BX2736+BZ2736+CB2736+CD2736+CF2736+CH2736+CJ2736+CL2736+CN2736+CP2736+CR2736+CT2736</f>
        <v>0</v>
      </c>
      <c r="CV2736" s="76"/>
      <c r="CW2736" s="76">
        <f>+CV2736*1100</f>
        <v>0</v>
      </c>
      <c r="CX2736" s="76"/>
      <c r="CY2736" s="76">
        <f>+CX2736*106250</f>
        <v>0</v>
      </c>
      <c r="CZ2736" s="76"/>
      <c r="DA2736" s="76">
        <f>+CZ2736*34500</f>
        <v>0</v>
      </c>
      <c r="DB2736" s="76"/>
      <c r="DC2736" s="76">
        <f>+DB2736*25000</f>
        <v>0</v>
      </c>
      <c r="DD2736" s="219"/>
      <c r="DE2736" s="219"/>
      <c r="DF2736" s="166"/>
      <c r="DG2736" s="116"/>
      <c r="DH2736" s="117"/>
      <c r="DI2736" s="24"/>
      <c r="DJ2736" s="24"/>
      <c r="DK2736" s="24"/>
      <c r="DL2736" s="24"/>
      <c r="DM2736" s="24"/>
      <c r="DN2736" s="24"/>
      <c r="DO2736" s="24"/>
      <c r="DP2736" s="24"/>
      <c r="DQ2736" s="24"/>
      <c r="DR2736" s="24"/>
      <c r="DS2736" s="24"/>
      <c r="DT2736" s="24"/>
      <c r="DU2736" s="24"/>
    </row>
    <row r="2737" spans="1:125" s="8" customFormat="1" ht="144" x14ac:dyDescent="0.2">
      <c r="A2737" s="77">
        <v>41502</v>
      </c>
      <c r="B2737" s="352" t="s">
        <v>2087</v>
      </c>
      <c r="C2737" s="354" t="s">
        <v>2692</v>
      </c>
      <c r="D2737" s="354" t="s">
        <v>3088</v>
      </c>
      <c r="E2737" s="353" t="str">
        <f>VLOOKUP(B2737&amp;C2737,Divipola!$C$2:$F$1138,4,FALSE)</f>
        <v>18001</v>
      </c>
      <c r="F2737" s="272"/>
      <c r="G2737" s="272"/>
      <c r="H2737" s="272"/>
      <c r="I2737" s="272">
        <v>20</v>
      </c>
      <c r="J2737" s="272">
        <v>4</v>
      </c>
      <c r="K2737" s="272"/>
      <c r="L2737" s="272">
        <v>4</v>
      </c>
      <c r="M2737" s="272"/>
      <c r="N2737" s="272"/>
      <c r="O2737" s="272">
        <v>1</v>
      </c>
      <c r="P2737" s="272"/>
      <c r="Q2737" s="272"/>
      <c r="R2737" s="272"/>
      <c r="S2737" s="272"/>
      <c r="T2737" s="272"/>
      <c r="U2737" s="273"/>
      <c r="V2737" s="86"/>
      <c r="W2737" s="96">
        <v>0</v>
      </c>
      <c r="X2737" s="71">
        <f>CU2737</f>
        <v>0</v>
      </c>
      <c r="Y2737" s="71">
        <f>CY2737</f>
        <v>0</v>
      </c>
      <c r="Z2737" s="71">
        <f>DA2737+DC2737+DE2737</f>
        <v>0</v>
      </c>
      <c r="AA2737" s="71">
        <f>CW2737</f>
        <v>0</v>
      </c>
      <c r="AB2737" s="71"/>
      <c r="AC2737" s="71">
        <v>0</v>
      </c>
      <c r="AD2737" s="71">
        <f>W2737+X2737+Y2737+Z2737+AA2737+AB2737+AC2737</f>
        <v>0</v>
      </c>
      <c r="AE2737" s="72">
        <v>0</v>
      </c>
      <c r="AF2737" s="5"/>
      <c r="AG2737" s="6"/>
      <c r="AH2737" s="27"/>
      <c r="AI2737" s="44"/>
      <c r="AJ2737" s="26"/>
      <c r="AK2737" s="5"/>
      <c r="AL2737" s="82" t="s">
        <v>5631</v>
      </c>
      <c r="AM2737" s="76"/>
      <c r="AN2737" s="76"/>
      <c r="AO2737" s="76"/>
      <c r="AP2737" s="76"/>
      <c r="AQ2737" s="76"/>
      <c r="AR2737" s="76"/>
      <c r="AS2737" s="76"/>
      <c r="AT2737" s="76"/>
      <c r="AU2737" s="76"/>
      <c r="AV2737" s="76"/>
      <c r="AW2737" s="76"/>
      <c r="AX2737" s="76">
        <f>+AW2737*600000</f>
        <v>0</v>
      </c>
      <c r="AY2737" s="76"/>
      <c r="AZ2737" s="76">
        <f>+AY2737*70000</f>
        <v>0</v>
      </c>
      <c r="BA2737" s="76"/>
      <c r="BB2737" s="76"/>
      <c r="BC2737" s="76"/>
      <c r="BD2737" s="76">
        <f>+BC2737*30000</f>
        <v>0</v>
      </c>
      <c r="BE2737" s="76"/>
      <c r="BF2737" s="76"/>
      <c r="BG2737" s="76"/>
      <c r="BH2737" s="76"/>
      <c r="BI2737" s="76"/>
      <c r="BJ2737" s="76"/>
      <c r="BK2737" s="76"/>
      <c r="BL2737" s="76">
        <f>+BK2737*31500</f>
        <v>0</v>
      </c>
      <c r="BM2737" s="76"/>
      <c r="BN2737" s="76"/>
      <c r="BO2737" s="76"/>
      <c r="BP2737" s="76"/>
      <c r="BQ2737" s="76"/>
      <c r="BR2737" s="76"/>
      <c r="BS2737" s="76"/>
      <c r="BT2737" s="76"/>
      <c r="BU2737" s="76"/>
      <c r="BV2737" s="76"/>
      <c r="BW2737" s="76"/>
      <c r="BX2737" s="76"/>
      <c r="BY2737" s="76"/>
      <c r="BZ2737" s="76"/>
      <c r="CA2737" s="76"/>
      <c r="CB2737" s="76"/>
      <c r="CC2737" s="76"/>
      <c r="CD2737" s="76"/>
      <c r="CE2737" s="76"/>
      <c r="CF2737" s="76">
        <f>+CE2737*28000</f>
        <v>0</v>
      </c>
      <c r="CG2737" s="76"/>
      <c r="CH2737" s="76">
        <f>+CG2737*22500</f>
        <v>0</v>
      </c>
      <c r="CI2737" s="76"/>
      <c r="CJ2737" s="76">
        <f>+CI2737*26000</f>
        <v>0</v>
      </c>
      <c r="CK2737" s="76"/>
      <c r="CL2737" s="76"/>
      <c r="CM2737" s="76"/>
      <c r="CN2737" s="76">
        <f>+CM2737*22000</f>
        <v>0</v>
      </c>
      <c r="CO2737" s="76"/>
      <c r="CP2737" s="76">
        <f>+CO2737*46000</f>
        <v>0</v>
      </c>
      <c r="CQ2737" s="76"/>
      <c r="CR2737" s="76">
        <f>+CQ2737*49000</f>
        <v>0</v>
      </c>
      <c r="CS2737" s="76"/>
      <c r="CT2737" s="76"/>
      <c r="CU2737" s="56">
        <f>AN2737+AP2737+AR2737+AT2737+AV2737+AX2737+AZ2737+BB2737+BD2737+BF2737+BH2737+BJ2737+BL2737+BN2737+BP2737+BR2737+BT2737+BV2737+BX2737+BZ2737+CB2737+CD2737+CF2737+CH2737+CJ2737+CL2737+CN2737+CP2737+CR2737+CT2737</f>
        <v>0</v>
      </c>
      <c r="CV2737" s="76"/>
      <c r="CW2737" s="76">
        <f>+CV2737*1100</f>
        <v>0</v>
      </c>
      <c r="CX2737" s="76"/>
      <c r="CY2737" s="76">
        <f>+CX2737*106250</f>
        <v>0</v>
      </c>
      <c r="CZ2737" s="76"/>
      <c r="DA2737" s="76">
        <f>+CZ2737*34500</f>
        <v>0</v>
      </c>
      <c r="DB2737" s="76"/>
      <c r="DC2737" s="76">
        <f>+DB2737*25000</f>
        <v>0</v>
      </c>
      <c r="DD2737" s="219"/>
      <c r="DE2737" s="219"/>
      <c r="DF2737" s="166"/>
      <c r="DG2737" s="116"/>
      <c r="DH2737" s="117"/>
      <c r="DI2737" s="24"/>
      <c r="DJ2737" s="24"/>
      <c r="DK2737" s="24"/>
      <c r="DL2737" s="24"/>
      <c r="DM2737" s="24"/>
      <c r="DN2737" s="24"/>
      <c r="DO2737" s="24"/>
      <c r="DP2737" s="24"/>
      <c r="DQ2737" s="24"/>
      <c r="DR2737" s="24"/>
      <c r="DS2737" s="24"/>
      <c r="DT2737" s="24"/>
      <c r="DU2737" s="24"/>
    </row>
    <row r="2738" spans="1:125" s="8" customFormat="1" ht="96" x14ac:dyDescent="0.2">
      <c r="A2738" s="77">
        <v>41502</v>
      </c>
      <c r="B2738" s="78" t="s">
        <v>2778</v>
      </c>
      <c r="C2738" s="75" t="s">
        <v>2212</v>
      </c>
      <c r="D2738" s="75" t="s">
        <v>3051</v>
      </c>
      <c r="E2738" s="353" t="str">
        <f>VLOOKUP(B2738&amp;C2738,Divipola!$C$2:$F$1138,4,FALSE)</f>
        <v>85250</v>
      </c>
      <c r="F2738" s="87"/>
      <c r="G2738" s="87"/>
      <c r="H2738" s="87"/>
      <c r="I2738" s="87"/>
      <c r="J2738" s="87"/>
      <c r="K2738" s="87"/>
      <c r="L2738" s="87"/>
      <c r="M2738" s="87"/>
      <c r="N2738" s="87"/>
      <c r="O2738" s="87"/>
      <c r="P2738" s="87"/>
      <c r="Q2738" s="87"/>
      <c r="R2738" s="87"/>
      <c r="S2738" s="87"/>
      <c r="T2738" s="87"/>
      <c r="U2738" s="88"/>
      <c r="V2738" s="89"/>
      <c r="W2738" s="96">
        <v>0</v>
      </c>
      <c r="X2738" s="71">
        <f>CU2738</f>
        <v>0</v>
      </c>
      <c r="Y2738" s="71">
        <f>CY2738</f>
        <v>0</v>
      </c>
      <c r="Z2738" s="71">
        <f>DA2738+DC2738+DE2738</f>
        <v>0</v>
      </c>
      <c r="AA2738" s="71">
        <f>CW2738</f>
        <v>0</v>
      </c>
      <c r="AB2738" s="71"/>
      <c r="AC2738" s="71">
        <v>0</v>
      </c>
      <c r="AD2738" s="71">
        <f>W2738+X2738+Y2738+Z2738+AA2738+AB2738+AC2738</f>
        <v>0</v>
      </c>
      <c r="AE2738" s="72">
        <v>0</v>
      </c>
      <c r="AF2738" s="5"/>
      <c r="AG2738" s="6"/>
      <c r="AH2738" s="27"/>
      <c r="AI2738" s="44"/>
      <c r="AJ2738" s="26"/>
      <c r="AK2738" s="5"/>
      <c r="AL2738" s="82" t="s">
        <v>5620</v>
      </c>
      <c r="AM2738" s="76"/>
      <c r="AN2738" s="76"/>
      <c r="AO2738" s="76"/>
      <c r="AP2738" s="76"/>
      <c r="AQ2738" s="76"/>
      <c r="AR2738" s="76"/>
      <c r="AS2738" s="76"/>
      <c r="AT2738" s="76"/>
      <c r="AU2738" s="76"/>
      <c r="AV2738" s="76"/>
      <c r="AW2738" s="76"/>
      <c r="AX2738" s="76">
        <f>+AW2738*600000</f>
        <v>0</v>
      </c>
      <c r="AY2738" s="76"/>
      <c r="AZ2738" s="76">
        <f>+AY2738*70000</f>
        <v>0</v>
      </c>
      <c r="BA2738" s="76"/>
      <c r="BB2738" s="76"/>
      <c r="BC2738" s="76"/>
      <c r="BD2738" s="76">
        <f>+BC2738*30000</f>
        <v>0</v>
      </c>
      <c r="BE2738" s="76"/>
      <c r="BF2738" s="76"/>
      <c r="BG2738" s="76"/>
      <c r="BH2738" s="76"/>
      <c r="BI2738" s="76"/>
      <c r="BJ2738" s="76"/>
      <c r="BK2738" s="76"/>
      <c r="BL2738" s="76">
        <f>+BK2738*31500</f>
        <v>0</v>
      </c>
      <c r="BM2738" s="76"/>
      <c r="BN2738" s="76"/>
      <c r="BO2738" s="76"/>
      <c r="BP2738" s="76"/>
      <c r="BQ2738" s="76"/>
      <c r="BR2738" s="76"/>
      <c r="BS2738" s="76"/>
      <c r="BT2738" s="76"/>
      <c r="BU2738" s="76"/>
      <c r="BV2738" s="76"/>
      <c r="BW2738" s="76"/>
      <c r="BX2738" s="76"/>
      <c r="BY2738" s="76"/>
      <c r="BZ2738" s="76"/>
      <c r="CA2738" s="76"/>
      <c r="CB2738" s="76"/>
      <c r="CC2738" s="76"/>
      <c r="CD2738" s="76"/>
      <c r="CE2738" s="76"/>
      <c r="CF2738" s="76">
        <f>+CE2738*28000</f>
        <v>0</v>
      </c>
      <c r="CG2738" s="76"/>
      <c r="CH2738" s="76">
        <f>+CG2738*22500</f>
        <v>0</v>
      </c>
      <c r="CI2738" s="76"/>
      <c r="CJ2738" s="76">
        <f>+CI2738*26000</f>
        <v>0</v>
      </c>
      <c r="CK2738" s="76"/>
      <c r="CL2738" s="76"/>
      <c r="CM2738" s="76"/>
      <c r="CN2738" s="76">
        <f>+CM2738*22000</f>
        <v>0</v>
      </c>
      <c r="CO2738" s="76"/>
      <c r="CP2738" s="76">
        <f>+CO2738*46000</f>
        <v>0</v>
      </c>
      <c r="CQ2738" s="76"/>
      <c r="CR2738" s="76">
        <f>+CQ2738*49000</f>
        <v>0</v>
      </c>
      <c r="CS2738" s="76"/>
      <c r="CT2738" s="76"/>
      <c r="CU2738" s="56">
        <f>AN2738+AP2738+AR2738+AT2738+AV2738+AX2738+AZ2738+BB2738+BD2738+BF2738+BH2738+BJ2738+BL2738+BN2738+BP2738+BR2738+BT2738+BV2738+BX2738+BZ2738+CB2738+CD2738+CF2738+CH2738+CJ2738+CL2738+CN2738+CP2738+CR2738+CT2738</f>
        <v>0</v>
      </c>
      <c r="CV2738" s="76"/>
      <c r="CW2738" s="76">
        <f>+CV2738*1100</f>
        <v>0</v>
      </c>
      <c r="CX2738" s="76"/>
      <c r="CY2738" s="76">
        <f>+CX2738*106250</f>
        <v>0</v>
      </c>
      <c r="CZ2738" s="76"/>
      <c r="DA2738" s="76">
        <f>+CZ2738*34500</f>
        <v>0</v>
      </c>
      <c r="DB2738" s="76"/>
      <c r="DC2738" s="76">
        <f>+DB2738*25000</f>
        <v>0</v>
      </c>
      <c r="DD2738" s="219"/>
      <c r="DE2738" s="219"/>
      <c r="DF2738" s="166"/>
      <c r="DG2738" s="116"/>
      <c r="DH2738" s="117"/>
      <c r="DI2738" s="24"/>
      <c r="DJ2738" s="24"/>
      <c r="DK2738" s="24"/>
      <c r="DL2738" s="24"/>
      <c r="DM2738" s="24"/>
      <c r="DN2738" s="24"/>
      <c r="DO2738" s="24"/>
      <c r="DP2738" s="24"/>
      <c r="DQ2738" s="24"/>
      <c r="DR2738" s="24"/>
      <c r="DS2738" s="24"/>
      <c r="DT2738" s="24"/>
      <c r="DU2738" s="24"/>
    </row>
    <row r="2739" spans="1:125" s="8" customFormat="1" ht="84" x14ac:dyDescent="0.2">
      <c r="A2739" s="77">
        <v>41502</v>
      </c>
      <c r="B2739" s="352" t="s">
        <v>2811</v>
      </c>
      <c r="C2739" s="354" t="s">
        <v>2718</v>
      </c>
      <c r="D2739" s="354" t="s">
        <v>3088</v>
      </c>
      <c r="E2739" s="353" t="str">
        <f>VLOOKUP(B2739&amp;C2739,Divipola!$C$2:$F$1138,4,FALSE)</f>
        <v>52215</v>
      </c>
      <c r="F2739" s="272"/>
      <c r="G2739" s="272">
        <v>2</v>
      </c>
      <c r="H2739" s="272">
        <v>1</v>
      </c>
      <c r="I2739" s="272">
        <v>5</v>
      </c>
      <c r="J2739" s="272">
        <v>1</v>
      </c>
      <c r="K2739" s="272">
        <v>1</v>
      </c>
      <c r="L2739" s="272"/>
      <c r="M2739" s="272"/>
      <c r="N2739" s="272"/>
      <c r="O2739" s="272"/>
      <c r="P2739" s="272"/>
      <c r="Q2739" s="272"/>
      <c r="R2739" s="272"/>
      <c r="S2739" s="272"/>
      <c r="T2739" s="272"/>
      <c r="U2739" s="273"/>
      <c r="V2739" s="86"/>
      <c r="W2739" s="96">
        <v>0</v>
      </c>
      <c r="X2739" s="71">
        <f>CU2739</f>
        <v>0</v>
      </c>
      <c r="Y2739" s="71">
        <f>CY2739</f>
        <v>0</v>
      </c>
      <c r="Z2739" s="71">
        <f>DA2739+DC2739+DE2739</f>
        <v>0</v>
      </c>
      <c r="AA2739" s="71">
        <f>CW2739</f>
        <v>0</v>
      </c>
      <c r="AB2739" s="71"/>
      <c r="AC2739" s="71">
        <v>0</v>
      </c>
      <c r="AD2739" s="71">
        <f>W2739+X2739+Y2739+Z2739+AA2739+AB2739+AC2739</f>
        <v>0</v>
      </c>
      <c r="AE2739" s="72">
        <v>0</v>
      </c>
      <c r="AF2739" s="5"/>
      <c r="AG2739" s="6"/>
      <c r="AH2739" s="27"/>
      <c r="AI2739" s="44"/>
      <c r="AJ2739" s="26"/>
      <c r="AK2739" s="5"/>
      <c r="AL2739" s="82" t="s">
        <v>5633</v>
      </c>
      <c r="AM2739" s="76"/>
      <c r="AN2739" s="76"/>
      <c r="AO2739" s="76"/>
      <c r="AP2739" s="76"/>
      <c r="AQ2739" s="76"/>
      <c r="AR2739" s="76"/>
      <c r="AS2739" s="76"/>
      <c r="AT2739" s="76"/>
      <c r="AU2739" s="76"/>
      <c r="AV2739" s="76"/>
      <c r="AW2739" s="76"/>
      <c r="AX2739" s="76">
        <f>+AW2739*600000</f>
        <v>0</v>
      </c>
      <c r="AY2739" s="76"/>
      <c r="AZ2739" s="76">
        <f>+AY2739*70000</f>
        <v>0</v>
      </c>
      <c r="BA2739" s="76"/>
      <c r="BB2739" s="76"/>
      <c r="BC2739" s="76"/>
      <c r="BD2739" s="76">
        <f>+BC2739*30000</f>
        <v>0</v>
      </c>
      <c r="BE2739" s="76"/>
      <c r="BF2739" s="76"/>
      <c r="BG2739" s="76"/>
      <c r="BH2739" s="76"/>
      <c r="BI2739" s="76"/>
      <c r="BJ2739" s="76"/>
      <c r="BK2739" s="76"/>
      <c r="BL2739" s="76">
        <f>+BK2739*31500</f>
        <v>0</v>
      </c>
      <c r="BM2739" s="76"/>
      <c r="BN2739" s="76"/>
      <c r="BO2739" s="76"/>
      <c r="BP2739" s="76"/>
      <c r="BQ2739" s="76"/>
      <c r="BR2739" s="76"/>
      <c r="BS2739" s="76"/>
      <c r="BT2739" s="76"/>
      <c r="BU2739" s="76"/>
      <c r="BV2739" s="76"/>
      <c r="BW2739" s="76"/>
      <c r="BX2739" s="76"/>
      <c r="BY2739" s="76"/>
      <c r="BZ2739" s="76"/>
      <c r="CA2739" s="76"/>
      <c r="CB2739" s="76"/>
      <c r="CC2739" s="76"/>
      <c r="CD2739" s="76"/>
      <c r="CE2739" s="76"/>
      <c r="CF2739" s="76">
        <f>+CE2739*28000</f>
        <v>0</v>
      </c>
      <c r="CG2739" s="76"/>
      <c r="CH2739" s="76">
        <f>+CG2739*22500</f>
        <v>0</v>
      </c>
      <c r="CI2739" s="76"/>
      <c r="CJ2739" s="76">
        <f>+CI2739*26000</f>
        <v>0</v>
      </c>
      <c r="CK2739" s="76"/>
      <c r="CL2739" s="76"/>
      <c r="CM2739" s="76"/>
      <c r="CN2739" s="76">
        <f>+CM2739*22000</f>
        <v>0</v>
      </c>
      <c r="CO2739" s="76"/>
      <c r="CP2739" s="76">
        <f>+CO2739*46000</f>
        <v>0</v>
      </c>
      <c r="CQ2739" s="76"/>
      <c r="CR2739" s="76">
        <f>+CQ2739*49000</f>
        <v>0</v>
      </c>
      <c r="CS2739" s="76"/>
      <c r="CT2739" s="76"/>
      <c r="CU2739" s="56">
        <f>AN2739+AP2739+AR2739+AT2739+AV2739+AX2739+AZ2739+BB2739+BD2739+BF2739+BH2739+BJ2739+BL2739+BN2739+BP2739+BR2739+BT2739+BV2739+BX2739+BZ2739+CB2739+CD2739+CF2739+CH2739+CJ2739+CL2739+CN2739+CP2739+CR2739+CT2739</f>
        <v>0</v>
      </c>
      <c r="CV2739" s="76"/>
      <c r="CW2739" s="76">
        <f>+CV2739*1100</f>
        <v>0</v>
      </c>
      <c r="CX2739" s="76"/>
      <c r="CY2739" s="76">
        <f>+CX2739*106250</f>
        <v>0</v>
      </c>
      <c r="CZ2739" s="76"/>
      <c r="DA2739" s="76">
        <f>+CZ2739*34500</f>
        <v>0</v>
      </c>
      <c r="DB2739" s="76"/>
      <c r="DC2739" s="76">
        <f>+DB2739*25000</f>
        <v>0</v>
      </c>
      <c r="DD2739" s="219"/>
      <c r="DE2739" s="219"/>
      <c r="DF2739" s="166"/>
      <c r="DG2739" s="116"/>
      <c r="DH2739" s="117"/>
      <c r="DI2739" s="24"/>
      <c r="DJ2739" s="24"/>
      <c r="DK2739" s="24"/>
      <c r="DL2739" s="24"/>
      <c r="DM2739" s="24"/>
      <c r="DN2739" s="24"/>
      <c r="DO2739" s="24"/>
      <c r="DP2739" s="24"/>
      <c r="DQ2739" s="24"/>
      <c r="DR2739" s="24"/>
      <c r="DS2739" s="24"/>
      <c r="DT2739" s="24"/>
      <c r="DU2739" s="24"/>
    </row>
    <row r="2740" spans="1:125" s="8" customFormat="1" ht="192" x14ac:dyDescent="0.2">
      <c r="A2740" s="77">
        <v>41502</v>
      </c>
      <c r="B2740" s="352" t="s">
        <v>3131</v>
      </c>
      <c r="C2740" s="354" t="s">
        <v>1385</v>
      </c>
      <c r="D2740" s="354" t="s">
        <v>3051</v>
      </c>
      <c r="E2740" s="353" t="str">
        <f>VLOOKUP(B2740&amp;C2740,Divipola!$C$2:$F$1138,4,FALSE)</f>
        <v>86755</v>
      </c>
      <c r="F2740" s="87"/>
      <c r="G2740" s="87"/>
      <c r="H2740" s="87"/>
      <c r="I2740" s="87">
        <v>300</v>
      </c>
      <c r="J2740" s="87">
        <v>60</v>
      </c>
      <c r="K2740" s="87"/>
      <c r="L2740" s="87">
        <v>60</v>
      </c>
      <c r="M2740" s="87"/>
      <c r="N2740" s="87"/>
      <c r="O2740" s="87"/>
      <c r="P2740" s="87"/>
      <c r="Q2740" s="87"/>
      <c r="R2740" s="87"/>
      <c r="S2740" s="87"/>
      <c r="T2740" s="87"/>
      <c r="U2740" s="88"/>
      <c r="V2740" s="89"/>
      <c r="W2740" s="96">
        <v>0</v>
      </c>
      <c r="X2740" s="71">
        <f>CU2740</f>
        <v>0</v>
      </c>
      <c r="Y2740" s="71">
        <f>CY2740</f>
        <v>0</v>
      </c>
      <c r="Z2740" s="71">
        <f>DA2740+DC2740+DE2740</f>
        <v>0</v>
      </c>
      <c r="AA2740" s="71">
        <f>CW2740</f>
        <v>0</v>
      </c>
      <c r="AB2740" s="71"/>
      <c r="AC2740" s="71">
        <v>0</v>
      </c>
      <c r="AD2740" s="71">
        <f>W2740+X2740+Y2740+Z2740+AA2740+AB2740+AC2740</f>
        <v>0</v>
      </c>
      <c r="AE2740" s="72">
        <v>0</v>
      </c>
      <c r="AF2740" s="5"/>
      <c r="AG2740" s="6"/>
      <c r="AH2740" s="27"/>
      <c r="AI2740" s="44"/>
      <c r="AJ2740" s="26"/>
      <c r="AK2740" s="5"/>
      <c r="AL2740" s="82" t="s">
        <v>5622</v>
      </c>
      <c r="AM2740" s="76"/>
      <c r="AN2740" s="76"/>
      <c r="AO2740" s="76"/>
      <c r="AP2740" s="76"/>
      <c r="AQ2740" s="76"/>
      <c r="AR2740" s="76"/>
      <c r="AS2740" s="76"/>
      <c r="AT2740" s="76"/>
      <c r="AU2740" s="76"/>
      <c r="AV2740" s="76"/>
      <c r="AW2740" s="76"/>
      <c r="AX2740" s="76">
        <f>+AW2740*600000</f>
        <v>0</v>
      </c>
      <c r="AY2740" s="76"/>
      <c r="AZ2740" s="76">
        <f>+AY2740*70000</f>
        <v>0</v>
      </c>
      <c r="BA2740" s="76"/>
      <c r="BB2740" s="76"/>
      <c r="BC2740" s="76"/>
      <c r="BD2740" s="76">
        <f>+BC2740*30000</f>
        <v>0</v>
      </c>
      <c r="BE2740" s="76"/>
      <c r="BF2740" s="76"/>
      <c r="BG2740" s="76"/>
      <c r="BH2740" s="76"/>
      <c r="BI2740" s="76"/>
      <c r="BJ2740" s="76"/>
      <c r="BK2740" s="76"/>
      <c r="BL2740" s="76">
        <f>+BK2740*31500</f>
        <v>0</v>
      </c>
      <c r="BM2740" s="76"/>
      <c r="BN2740" s="76"/>
      <c r="BO2740" s="76"/>
      <c r="BP2740" s="76"/>
      <c r="BQ2740" s="76"/>
      <c r="BR2740" s="76"/>
      <c r="BS2740" s="76"/>
      <c r="BT2740" s="76"/>
      <c r="BU2740" s="76"/>
      <c r="BV2740" s="76"/>
      <c r="BW2740" s="76"/>
      <c r="BX2740" s="76"/>
      <c r="BY2740" s="76"/>
      <c r="BZ2740" s="76"/>
      <c r="CA2740" s="76"/>
      <c r="CB2740" s="76"/>
      <c r="CC2740" s="76"/>
      <c r="CD2740" s="76"/>
      <c r="CE2740" s="76"/>
      <c r="CF2740" s="76">
        <f>+CE2740*28000</f>
        <v>0</v>
      </c>
      <c r="CG2740" s="76"/>
      <c r="CH2740" s="76">
        <f>+CG2740*22500</f>
        <v>0</v>
      </c>
      <c r="CI2740" s="76"/>
      <c r="CJ2740" s="76">
        <f>+CI2740*26000</f>
        <v>0</v>
      </c>
      <c r="CK2740" s="76"/>
      <c r="CL2740" s="76"/>
      <c r="CM2740" s="76"/>
      <c r="CN2740" s="76">
        <f>+CM2740*22000</f>
        <v>0</v>
      </c>
      <c r="CO2740" s="76"/>
      <c r="CP2740" s="76">
        <f>+CO2740*46000</f>
        <v>0</v>
      </c>
      <c r="CQ2740" s="76"/>
      <c r="CR2740" s="76">
        <f>+CQ2740*49000</f>
        <v>0</v>
      </c>
      <c r="CS2740" s="76"/>
      <c r="CT2740" s="76"/>
      <c r="CU2740" s="56">
        <f>AN2740+AP2740+AR2740+AT2740+AV2740+AX2740+AZ2740+BB2740+BD2740+BF2740+BH2740+BJ2740+BL2740+BN2740+BP2740+BR2740+BT2740+BV2740+BX2740+BZ2740+CB2740+CD2740+CF2740+CH2740+CJ2740+CL2740+CN2740+CP2740+CR2740+CT2740</f>
        <v>0</v>
      </c>
      <c r="CV2740" s="76"/>
      <c r="CW2740" s="76">
        <f>+CV2740*1100</f>
        <v>0</v>
      </c>
      <c r="CX2740" s="76"/>
      <c r="CY2740" s="76">
        <f>+CX2740*106250</f>
        <v>0</v>
      </c>
      <c r="CZ2740" s="76"/>
      <c r="DA2740" s="76">
        <f>+CZ2740*34500</f>
        <v>0</v>
      </c>
      <c r="DB2740" s="76"/>
      <c r="DC2740" s="76">
        <f>+DB2740*25000</f>
        <v>0</v>
      </c>
      <c r="DD2740" s="219"/>
      <c r="DE2740" s="219"/>
      <c r="DF2740" s="166"/>
      <c r="DG2740" s="116"/>
      <c r="DH2740" s="117"/>
      <c r="DI2740" s="24"/>
      <c r="DJ2740" s="24"/>
      <c r="DK2740" s="24"/>
      <c r="DL2740" s="24"/>
      <c r="DM2740" s="24"/>
      <c r="DN2740" s="24"/>
      <c r="DO2740" s="24"/>
      <c r="DP2740" s="24"/>
      <c r="DQ2740" s="24"/>
      <c r="DR2740" s="24"/>
      <c r="DS2740" s="24"/>
      <c r="DT2740" s="24"/>
      <c r="DU2740" s="24"/>
    </row>
    <row r="2741" spans="1:125" s="8" customFormat="1" ht="96" x14ac:dyDescent="0.2">
      <c r="A2741" s="77">
        <v>41502</v>
      </c>
      <c r="B2741" s="352" t="s">
        <v>2774</v>
      </c>
      <c r="C2741" s="227" t="s">
        <v>2039</v>
      </c>
      <c r="D2741" s="354" t="s">
        <v>2859</v>
      </c>
      <c r="E2741" s="353" t="str">
        <f>VLOOKUP(B2741&amp;C2741,Divipola!$C$2:$F$1138,4,FALSE)</f>
        <v>66440</v>
      </c>
      <c r="F2741" s="272"/>
      <c r="G2741" s="272"/>
      <c r="H2741" s="272"/>
      <c r="I2741" s="272">
        <v>44</v>
      </c>
      <c r="J2741" s="272">
        <v>12</v>
      </c>
      <c r="K2741" s="272">
        <v>6</v>
      </c>
      <c r="L2741" s="272">
        <v>1</v>
      </c>
      <c r="M2741" s="272"/>
      <c r="N2741" s="272"/>
      <c r="O2741" s="272"/>
      <c r="P2741" s="272"/>
      <c r="Q2741" s="272"/>
      <c r="R2741" s="272"/>
      <c r="S2741" s="272"/>
      <c r="T2741" s="272">
        <v>1</v>
      </c>
      <c r="U2741" s="273"/>
      <c r="V2741" s="86"/>
      <c r="W2741" s="96">
        <v>0</v>
      </c>
      <c r="X2741" s="71">
        <f>CU2741</f>
        <v>0</v>
      </c>
      <c r="Y2741" s="71">
        <f>CY2741</f>
        <v>0</v>
      </c>
      <c r="Z2741" s="71">
        <f>DA2741+DC2741+DE2741</f>
        <v>0</v>
      </c>
      <c r="AA2741" s="71">
        <f>CW2741</f>
        <v>0</v>
      </c>
      <c r="AB2741" s="71"/>
      <c r="AC2741" s="71">
        <v>0</v>
      </c>
      <c r="AD2741" s="71">
        <f>W2741+X2741+Y2741+Z2741+AA2741+AB2741+AC2741</f>
        <v>0</v>
      </c>
      <c r="AE2741" s="72">
        <v>0</v>
      </c>
      <c r="AF2741" s="5"/>
      <c r="AG2741" s="6"/>
      <c r="AH2741" s="27"/>
      <c r="AI2741" s="44"/>
      <c r="AJ2741" s="26"/>
      <c r="AK2741" s="5"/>
      <c r="AL2741" s="82" t="s">
        <v>5630</v>
      </c>
      <c r="AM2741" s="76"/>
      <c r="AN2741" s="76"/>
      <c r="AO2741" s="76"/>
      <c r="AP2741" s="76"/>
      <c r="AQ2741" s="76"/>
      <c r="AR2741" s="76"/>
      <c r="AS2741" s="76"/>
      <c r="AT2741" s="76"/>
      <c r="AU2741" s="76"/>
      <c r="AV2741" s="76"/>
      <c r="AW2741" s="76"/>
      <c r="AX2741" s="76">
        <f>+AW2741*600000</f>
        <v>0</v>
      </c>
      <c r="AY2741" s="76"/>
      <c r="AZ2741" s="76">
        <f>+AY2741*70000</f>
        <v>0</v>
      </c>
      <c r="BA2741" s="76"/>
      <c r="BB2741" s="76"/>
      <c r="BC2741" s="76"/>
      <c r="BD2741" s="76">
        <f>+BC2741*30000</f>
        <v>0</v>
      </c>
      <c r="BE2741" s="76"/>
      <c r="BF2741" s="76"/>
      <c r="BG2741" s="76"/>
      <c r="BH2741" s="76"/>
      <c r="BI2741" s="76"/>
      <c r="BJ2741" s="76"/>
      <c r="BK2741" s="76"/>
      <c r="BL2741" s="76">
        <f>+BK2741*31500</f>
        <v>0</v>
      </c>
      <c r="BM2741" s="76"/>
      <c r="BN2741" s="76"/>
      <c r="BO2741" s="76"/>
      <c r="BP2741" s="76"/>
      <c r="BQ2741" s="76"/>
      <c r="BR2741" s="76"/>
      <c r="BS2741" s="76"/>
      <c r="BT2741" s="76"/>
      <c r="BU2741" s="76"/>
      <c r="BV2741" s="76"/>
      <c r="BW2741" s="76"/>
      <c r="BX2741" s="76"/>
      <c r="BY2741" s="76"/>
      <c r="BZ2741" s="76"/>
      <c r="CA2741" s="76"/>
      <c r="CB2741" s="76"/>
      <c r="CC2741" s="76"/>
      <c r="CD2741" s="76"/>
      <c r="CE2741" s="76"/>
      <c r="CF2741" s="76">
        <f>+CE2741*28000</f>
        <v>0</v>
      </c>
      <c r="CG2741" s="76"/>
      <c r="CH2741" s="76">
        <f>+CG2741*22500</f>
        <v>0</v>
      </c>
      <c r="CI2741" s="76"/>
      <c r="CJ2741" s="76">
        <f>+CI2741*26000</f>
        <v>0</v>
      </c>
      <c r="CK2741" s="76"/>
      <c r="CL2741" s="76"/>
      <c r="CM2741" s="76"/>
      <c r="CN2741" s="76">
        <f>+CM2741*22000</f>
        <v>0</v>
      </c>
      <c r="CO2741" s="76"/>
      <c r="CP2741" s="76">
        <f>+CO2741*46000</f>
        <v>0</v>
      </c>
      <c r="CQ2741" s="76"/>
      <c r="CR2741" s="76">
        <f>+CQ2741*49000</f>
        <v>0</v>
      </c>
      <c r="CS2741" s="76"/>
      <c r="CT2741" s="76"/>
      <c r="CU2741" s="56">
        <f>AN2741+AP2741+AR2741+AT2741+AV2741+AX2741+AZ2741+BB2741+BD2741+BF2741+BH2741+BJ2741+BL2741+BN2741+BP2741+BR2741+BT2741+BV2741+BX2741+BZ2741+CB2741+CD2741+CF2741+CH2741+CJ2741+CL2741+CN2741+CP2741+CR2741+CT2741</f>
        <v>0</v>
      </c>
      <c r="CV2741" s="76"/>
      <c r="CW2741" s="76">
        <f>+CV2741*1100</f>
        <v>0</v>
      </c>
      <c r="CX2741" s="76"/>
      <c r="CY2741" s="76">
        <f>+CX2741*106250</f>
        <v>0</v>
      </c>
      <c r="CZ2741" s="76"/>
      <c r="DA2741" s="76">
        <f>+CZ2741*34500</f>
        <v>0</v>
      </c>
      <c r="DB2741" s="76"/>
      <c r="DC2741" s="76">
        <f>+DB2741*25000</f>
        <v>0</v>
      </c>
      <c r="DD2741" s="219"/>
      <c r="DE2741" s="219"/>
      <c r="DF2741" s="166"/>
      <c r="DG2741" s="116"/>
      <c r="DH2741" s="117"/>
      <c r="DI2741" s="24"/>
      <c r="DJ2741" s="24"/>
      <c r="DK2741" s="24"/>
      <c r="DL2741" s="24"/>
      <c r="DM2741" s="24"/>
      <c r="DN2741" s="24"/>
      <c r="DO2741" s="24"/>
      <c r="DP2741" s="24"/>
      <c r="DQ2741" s="24"/>
      <c r="DR2741" s="24"/>
      <c r="DS2741" s="24"/>
      <c r="DT2741" s="24"/>
      <c r="DU2741" s="24"/>
    </row>
    <row r="2742" spans="1:125" s="8" customFormat="1" ht="96" x14ac:dyDescent="0.2">
      <c r="A2742" s="77">
        <v>41502</v>
      </c>
      <c r="B2742" s="352" t="s">
        <v>1326</v>
      </c>
      <c r="C2742" s="354" t="s">
        <v>1852</v>
      </c>
      <c r="D2742" s="354" t="s">
        <v>3051</v>
      </c>
      <c r="E2742" s="353" t="str">
        <f>VLOOKUP(B2742&amp;C2742,Divipola!$C$2:$F$1138,4,FALSE)</f>
        <v>70823</v>
      </c>
      <c r="F2742" s="272"/>
      <c r="G2742" s="272"/>
      <c r="H2742" s="272"/>
      <c r="I2742" s="272">
        <v>575</v>
      </c>
      <c r="J2742" s="272">
        <v>115</v>
      </c>
      <c r="K2742" s="272"/>
      <c r="L2742" s="272">
        <v>115</v>
      </c>
      <c r="M2742" s="272"/>
      <c r="N2742" s="272"/>
      <c r="O2742" s="272"/>
      <c r="P2742" s="272"/>
      <c r="Q2742" s="272"/>
      <c r="R2742" s="272"/>
      <c r="S2742" s="272"/>
      <c r="T2742" s="272"/>
      <c r="U2742" s="273"/>
      <c r="V2742" s="86"/>
      <c r="W2742" s="96">
        <v>0</v>
      </c>
      <c r="X2742" s="71">
        <f>CU2742</f>
        <v>0</v>
      </c>
      <c r="Y2742" s="71">
        <f>CY2742</f>
        <v>0</v>
      </c>
      <c r="Z2742" s="71">
        <f>DA2742+DC2742+DE2742</f>
        <v>0</v>
      </c>
      <c r="AA2742" s="71">
        <f>CW2742</f>
        <v>0</v>
      </c>
      <c r="AB2742" s="71"/>
      <c r="AC2742" s="71">
        <v>0</v>
      </c>
      <c r="AD2742" s="71">
        <f>W2742+X2742+Y2742+Z2742+AA2742+AB2742+AC2742</f>
        <v>0</v>
      </c>
      <c r="AE2742" s="72">
        <v>0</v>
      </c>
      <c r="AF2742" s="5"/>
      <c r="AG2742" s="6"/>
      <c r="AH2742" s="27"/>
      <c r="AI2742" s="44"/>
      <c r="AJ2742" s="26"/>
      <c r="AK2742" s="5"/>
      <c r="AL2742" s="82" t="s">
        <v>5632</v>
      </c>
      <c r="AM2742" s="76"/>
      <c r="AN2742" s="76"/>
      <c r="AO2742" s="76"/>
      <c r="AP2742" s="76"/>
      <c r="AQ2742" s="76"/>
      <c r="AR2742" s="76"/>
      <c r="AS2742" s="76"/>
      <c r="AT2742" s="76"/>
      <c r="AU2742" s="76"/>
      <c r="AV2742" s="76"/>
      <c r="AW2742" s="76"/>
      <c r="AX2742" s="76">
        <f>+AW2742*600000</f>
        <v>0</v>
      </c>
      <c r="AY2742" s="76"/>
      <c r="AZ2742" s="76">
        <f>+AY2742*70000</f>
        <v>0</v>
      </c>
      <c r="BA2742" s="76"/>
      <c r="BB2742" s="76"/>
      <c r="BC2742" s="76"/>
      <c r="BD2742" s="76">
        <f>+BC2742*30000</f>
        <v>0</v>
      </c>
      <c r="BE2742" s="76"/>
      <c r="BF2742" s="76"/>
      <c r="BG2742" s="76"/>
      <c r="BH2742" s="76"/>
      <c r="BI2742" s="76"/>
      <c r="BJ2742" s="76"/>
      <c r="BK2742" s="76"/>
      <c r="BL2742" s="76">
        <f>+BK2742*31500</f>
        <v>0</v>
      </c>
      <c r="BM2742" s="76"/>
      <c r="BN2742" s="76"/>
      <c r="BO2742" s="76"/>
      <c r="BP2742" s="76"/>
      <c r="BQ2742" s="76"/>
      <c r="BR2742" s="76"/>
      <c r="BS2742" s="76"/>
      <c r="BT2742" s="76"/>
      <c r="BU2742" s="76"/>
      <c r="BV2742" s="76"/>
      <c r="BW2742" s="76"/>
      <c r="BX2742" s="76"/>
      <c r="BY2742" s="76"/>
      <c r="BZ2742" s="76"/>
      <c r="CA2742" s="76"/>
      <c r="CB2742" s="76"/>
      <c r="CC2742" s="76"/>
      <c r="CD2742" s="76"/>
      <c r="CE2742" s="76"/>
      <c r="CF2742" s="76">
        <f>+CE2742*28000</f>
        <v>0</v>
      </c>
      <c r="CG2742" s="76"/>
      <c r="CH2742" s="76">
        <f>+CG2742*22500</f>
        <v>0</v>
      </c>
      <c r="CI2742" s="76"/>
      <c r="CJ2742" s="76">
        <f>+CI2742*26000</f>
        <v>0</v>
      </c>
      <c r="CK2742" s="76"/>
      <c r="CL2742" s="76"/>
      <c r="CM2742" s="76"/>
      <c r="CN2742" s="76">
        <f>+CM2742*22000</f>
        <v>0</v>
      </c>
      <c r="CO2742" s="76"/>
      <c r="CP2742" s="76">
        <f>+CO2742*46000</f>
        <v>0</v>
      </c>
      <c r="CQ2742" s="76"/>
      <c r="CR2742" s="76">
        <f>+CQ2742*49000</f>
        <v>0</v>
      </c>
      <c r="CS2742" s="76"/>
      <c r="CT2742" s="76"/>
      <c r="CU2742" s="56">
        <f>AN2742+AP2742+AR2742+AT2742+AV2742+AX2742+AZ2742+BB2742+BD2742+BF2742+BH2742+BJ2742+BL2742+BN2742+BP2742+BR2742+BT2742+BV2742+BX2742+BZ2742+CB2742+CD2742+CF2742+CH2742+CJ2742+CL2742+CN2742+CP2742+CR2742+CT2742</f>
        <v>0</v>
      </c>
      <c r="CV2742" s="76"/>
      <c r="CW2742" s="76">
        <f>+CV2742*1100</f>
        <v>0</v>
      </c>
      <c r="CX2742" s="76"/>
      <c r="CY2742" s="76">
        <f>+CX2742*106250</f>
        <v>0</v>
      </c>
      <c r="CZ2742" s="76"/>
      <c r="DA2742" s="76">
        <f>+CZ2742*34500</f>
        <v>0</v>
      </c>
      <c r="DB2742" s="76"/>
      <c r="DC2742" s="76">
        <f>+DB2742*25000</f>
        <v>0</v>
      </c>
      <c r="DD2742" s="219"/>
      <c r="DE2742" s="219"/>
      <c r="DF2742" s="166"/>
      <c r="DG2742" s="116"/>
      <c r="DH2742" s="117"/>
      <c r="DI2742" s="24"/>
      <c r="DJ2742" s="24"/>
      <c r="DK2742" s="24"/>
      <c r="DL2742" s="24"/>
      <c r="DM2742" s="24"/>
      <c r="DN2742" s="24"/>
      <c r="DO2742" s="24"/>
      <c r="DP2742" s="24"/>
      <c r="DQ2742" s="24"/>
      <c r="DR2742" s="24"/>
      <c r="DS2742" s="24"/>
      <c r="DT2742" s="24"/>
      <c r="DU2742" s="24"/>
    </row>
    <row r="2743" spans="1:125" s="8" customFormat="1" ht="60" x14ac:dyDescent="0.2">
      <c r="A2743" s="77">
        <v>41502</v>
      </c>
      <c r="B2743" s="208" t="s">
        <v>2848</v>
      </c>
      <c r="C2743" s="354" t="s">
        <v>1684</v>
      </c>
      <c r="D2743" s="354" t="s">
        <v>2846</v>
      </c>
      <c r="E2743" s="353" t="str">
        <f>VLOOKUP(B2743&amp;C2743,Divipola!$C$2:$F$1138,4,FALSE)</f>
        <v>73055</v>
      </c>
      <c r="F2743" s="87"/>
      <c r="G2743" s="87"/>
      <c r="H2743" s="87"/>
      <c r="I2743" s="87"/>
      <c r="J2743" s="87"/>
      <c r="K2743" s="87"/>
      <c r="L2743" s="87"/>
      <c r="M2743" s="87"/>
      <c r="N2743" s="87"/>
      <c r="O2743" s="87"/>
      <c r="P2743" s="87"/>
      <c r="Q2743" s="87"/>
      <c r="R2743" s="87"/>
      <c r="S2743" s="87"/>
      <c r="T2743" s="87"/>
      <c r="U2743" s="88">
        <v>7</v>
      </c>
      <c r="V2743" s="89"/>
      <c r="W2743" s="96">
        <v>0</v>
      </c>
      <c r="X2743" s="71">
        <f>CU2743</f>
        <v>0</v>
      </c>
      <c r="Y2743" s="71">
        <f>CY2743</f>
        <v>0</v>
      </c>
      <c r="Z2743" s="71">
        <f>DA2743+DC2743+DE2743</f>
        <v>0</v>
      </c>
      <c r="AA2743" s="71">
        <f>CW2743</f>
        <v>0</v>
      </c>
      <c r="AB2743" s="71"/>
      <c r="AC2743" s="71">
        <v>0</v>
      </c>
      <c r="AD2743" s="71">
        <f>W2743+X2743+Y2743+Z2743+AA2743+AB2743+AC2743</f>
        <v>0</v>
      </c>
      <c r="AE2743" s="72">
        <v>0</v>
      </c>
      <c r="AF2743" s="5"/>
      <c r="AG2743" s="6"/>
      <c r="AH2743" s="27"/>
      <c r="AI2743" s="44"/>
      <c r="AJ2743" s="26"/>
      <c r="AK2743" s="5"/>
      <c r="AL2743" s="82" t="s">
        <v>5626</v>
      </c>
      <c r="AM2743" s="76"/>
      <c r="AN2743" s="76"/>
      <c r="AO2743" s="76"/>
      <c r="AP2743" s="76"/>
      <c r="AQ2743" s="76"/>
      <c r="AR2743" s="76"/>
      <c r="AS2743" s="76"/>
      <c r="AT2743" s="76"/>
      <c r="AU2743" s="76"/>
      <c r="AV2743" s="76"/>
      <c r="AW2743" s="76"/>
      <c r="AX2743" s="76">
        <f>+AW2743*600000</f>
        <v>0</v>
      </c>
      <c r="AY2743" s="76"/>
      <c r="AZ2743" s="76">
        <f>+AY2743*70000</f>
        <v>0</v>
      </c>
      <c r="BA2743" s="76"/>
      <c r="BB2743" s="76"/>
      <c r="BC2743" s="76"/>
      <c r="BD2743" s="76">
        <f>+BC2743*30000</f>
        <v>0</v>
      </c>
      <c r="BE2743" s="76"/>
      <c r="BF2743" s="76"/>
      <c r="BG2743" s="76"/>
      <c r="BH2743" s="76"/>
      <c r="BI2743" s="76"/>
      <c r="BJ2743" s="76"/>
      <c r="BK2743" s="76"/>
      <c r="BL2743" s="76">
        <f>+BK2743*31500</f>
        <v>0</v>
      </c>
      <c r="BM2743" s="76"/>
      <c r="BN2743" s="76"/>
      <c r="BO2743" s="76"/>
      <c r="BP2743" s="76"/>
      <c r="BQ2743" s="76"/>
      <c r="BR2743" s="76"/>
      <c r="BS2743" s="76"/>
      <c r="BT2743" s="76"/>
      <c r="BU2743" s="76"/>
      <c r="BV2743" s="76"/>
      <c r="BW2743" s="76"/>
      <c r="BX2743" s="76"/>
      <c r="BY2743" s="76"/>
      <c r="BZ2743" s="76"/>
      <c r="CA2743" s="76"/>
      <c r="CB2743" s="76"/>
      <c r="CC2743" s="76"/>
      <c r="CD2743" s="76"/>
      <c r="CE2743" s="76"/>
      <c r="CF2743" s="76">
        <f>+CE2743*28000</f>
        <v>0</v>
      </c>
      <c r="CG2743" s="76"/>
      <c r="CH2743" s="76">
        <f>+CG2743*22500</f>
        <v>0</v>
      </c>
      <c r="CI2743" s="76"/>
      <c r="CJ2743" s="76">
        <f>+CI2743*26000</f>
        <v>0</v>
      </c>
      <c r="CK2743" s="76"/>
      <c r="CL2743" s="76"/>
      <c r="CM2743" s="76"/>
      <c r="CN2743" s="76">
        <f>+CM2743*22000</f>
        <v>0</v>
      </c>
      <c r="CO2743" s="76"/>
      <c r="CP2743" s="76">
        <f>+CO2743*46000</f>
        <v>0</v>
      </c>
      <c r="CQ2743" s="76"/>
      <c r="CR2743" s="76">
        <f>+CQ2743*49000</f>
        <v>0</v>
      </c>
      <c r="CS2743" s="76"/>
      <c r="CT2743" s="76"/>
      <c r="CU2743" s="56">
        <f>AN2743+AP2743+AR2743+AT2743+AV2743+AX2743+AZ2743+BB2743+BD2743+BF2743+BH2743+BJ2743+BL2743+BN2743+BP2743+BR2743+BT2743+BV2743+BX2743+BZ2743+CB2743+CD2743+CF2743+CH2743+CJ2743+CL2743+CN2743+CP2743+CR2743+CT2743</f>
        <v>0</v>
      </c>
      <c r="CV2743" s="76"/>
      <c r="CW2743" s="76">
        <f>+CV2743*1100</f>
        <v>0</v>
      </c>
      <c r="CX2743" s="76"/>
      <c r="CY2743" s="76">
        <f>+CX2743*106250</f>
        <v>0</v>
      </c>
      <c r="CZ2743" s="76"/>
      <c r="DA2743" s="76">
        <f>+CZ2743*34500</f>
        <v>0</v>
      </c>
      <c r="DB2743" s="76"/>
      <c r="DC2743" s="76">
        <f>+DB2743*25000</f>
        <v>0</v>
      </c>
      <c r="DD2743" s="219"/>
      <c r="DE2743" s="219"/>
      <c r="DF2743" s="166"/>
      <c r="DG2743" s="116"/>
      <c r="DH2743" s="117"/>
      <c r="DI2743" s="24"/>
      <c r="DJ2743" s="24"/>
      <c r="DK2743" s="24"/>
      <c r="DL2743" s="24"/>
      <c r="DM2743" s="24"/>
      <c r="DN2743" s="24"/>
      <c r="DO2743" s="24"/>
      <c r="DP2743" s="24"/>
      <c r="DQ2743" s="24"/>
      <c r="DR2743" s="24"/>
      <c r="DS2743" s="24"/>
      <c r="DT2743" s="24"/>
      <c r="DU2743" s="24"/>
    </row>
    <row r="2744" spans="1:125" s="8" customFormat="1" ht="36" x14ac:dyDescent="0.2">
      <c r="A2744" s="77">
        <v>41502</v>
      </c>
      <c r="B2744" s="78" t="s">
        <v>2848</v>
      </c>
      <c r="C2744" s="75" t="s">
        <v>2077</v>
      </c>
      <c r="D2744" s="75" t="s">
        <v>2859</v>
      </c>
      <c r="E2744" s="353" t="str">
        <f>VLOOKUP(B2744&amp;C2744,Divipola!$C$2:$F$1138,4,FALSE)</f>
        <v>73411</v>
      </c>
      <c r="F2744" s="87"/>
      <c r="G2744" s="87"/>
      <c r="H2744" s="87"/>
      <c r="I2744" s="87">
        <v>5</v>
      </c>
      <c r="J2744" s="87">
        <v>1</v>
      </c>
      <c r="K2744" s="87">
        <v>1</v>
      </c>
      <c r="L2744" s="87"/>
      <c r="M2744" s="87"/>
      <c r="N2744" s="87"/>
      <c r="O2744" s="87"/>
      <c r="P2744" s="87"/>
      <c r="Q2744" s="87"/>
      <c r="R2744" s="87"/>
      <c r="S2744" s="87"/>
      <c r="T2744" s="87"/>
      <c r="U2744" s="88"/>
      <c r="V2744" s="89"/>
      <c r="W2744" s="96">
        <v>0</v>
      </c>
      <c r="X2744" s="71">
        <f>CU2744</f>
        <v>0</v>
      </c>
      <c r="Y2744" s="71">
        <f>CY2744</f>
        <v>0</v>
      </c>
      <c r="Z2744" s="71">
        <f>DA2744+DC2744+DE2744</f>
        <v>0</v>
      </c>
      <c r="AA2744" s="71">
        <f>CW2744</f>
        <v>0</v>
      </c>
      <c r="AB2744" s="71"/>
      <c r="AC2744" s="71">
        <v>0</v>
      </c>
      <c r="AD2744" s="71">
        <f>W2744+X2744+Y2744+Z2744+AA2744+AB2744+AC2744</f>
        <v>0</v>
      </c>
      <c r="AE2744" s="72">
        <v>0</v>
      </c>
      <c r="AF2744" s="5"/>
      <c r="AG2744" s="6"/>
      <c r="AH2744" s="27"/>
      <c r="AI2744" s="44"/>
      <c r="AJ2744" s="26"/>
      <c r="AK2744" s="5"/>
      <c r="AL2744" s="268" t="s">
        <v>5627</v>
      </c>
      <c r="AM2744" s="76"/>
      <c r="AN2744" s="76"/>
      <c r="AO2744" s="76"/>
      <c r="AP2744" s="76"/>
      <c r="AQ2744" s="76"/>
      <c r="AR2744" s="76"/>
      <c r="AS2744" s="76"/>
      <c r="AT2744" s="76"/>
      <c r="AU2744" s="76"/>
      <c r="AV2744" s="76"/>
      <c r="AW2744" s="76"/>
      <c r="AX2744" s="76">
        <f>+AW2744*600000</f>
        <v>0</v>
      </c>
      <c r="AY2744" s="76"/>
      <c r="AZ2744" s="76">
        <f>+AY2744*70000</f>
        <v>0</v>
      </c>
      <c r="BA2744" s="76"/>
      <c r="BB2744" s="76"/>
      <c r="BC2744" s="76"/>
      <c r="BD2744" s="76">
        <f>+BC2744*30000</f>
        <v>0</v>
      </c>
      <c r="BE2744" s="76"/>
      <c r="BF2744" s="76"/>
      <c r="BG2744" s="76"/>
      <c r="BH2744" s="76"/>
      <c r="BI2744" s="76"/>
      <c r="BJ2744" s="76"/>
      <c r="BK2744" s="76"/>
      <c r="BL2744" s="76">
        <f>+BK2744*31500</f>
        <v>0</v>
      </c>
      <c r="BM2744" s="76"/>
      <c r="BN2744" s="76"/>
      <c r="BO2744" s="76"/>
      <c r="BP2744" s="76"/>
      <c r="BQ2744" s="76"/>
      <c r="BR2744" s="76"/>
      <c r="BS2744" s="76"/>
      <c r="BT2744" s="76"/>
      <c r="BU2744" s="76"/>
      <c r="BV2744" s="76"/>
      <c r="BW2744" s="76"/>
      <c r="BX2744" s="76"/>
      <c r="BY2744" s="76"/>
      <c r="BZ2744" s="76"/>
      <c r="CA2744" s="76"/>
      <c r="CB2744" s="76"/>
      <c r="CC2744" s="76"/>
      <c r="CD2744" s="76"/>
      <c r="CE2744" s="76"/>
      <c r="CF2744" s="76">
        <f>+CE2744*28000</f>
        <v>0</v>
      </c>
      <c r="CG2744" s="76"/>
      <c r="CH2744" s="76">
        <f>+CG2744*22500</f>
        <v>0</v>
      </c>
      <c r="CI2744" s="76"/>
      <c r="CJ2744" s="76">
        <f>+CI2744*26000</f>
        <v>0</v>
      </c>
      <c r="CK2744" s="76"/>
      <c r="CL2744" s="76"/>
      <c r="CM2744" s="76"/>
      <c r="CN2744" s="76">
        <f>+CM2744*22000</f>
        <v>0</v>
      </c>
      <c r="CO2744" s="76"/>
      <c r="CP2744" s="76">
        <f>+CO2744*46000</f>
        <v>0</v>
      </c>
      <c r="CQ2744" s="76"/>
      <c r="CR2744" s="76">
        <f>+CQ2744*49000</f>
        <v>0</v>
      </c>
      <c r="CS2744" s="76"/>
      <c r="CT2744" s="76"/>
      <c r="CU2744" s="56">
        <f>AN2744+AP2744+AR2744+AT2744+AV2744+AX2744+AZ2744+BB2744+BD2744+BF2744+BH2744+BJ2744+BL2744+BN2744+BP2744+BR2744+BT2744+BV2744+BX2744+BZ2744+CB2744+CD2744+CF2744+CH2744+CJ2744+CL2744+CN2744+CP2744+CR2744+CT2744</f>
        <v>0</v>
      </c>
      <c r="CV2744" s="76"/>
      <c r="CW2744" s="76">
        <f>+CV2744*1100</f>
        <v>0</v>
      </c>
      <c r="CX2744" s="76"/>
      <c r="CY2744" s="76">
        <f>+CX2744*106250</f>
        <v>0</v>
      </c>
      <c r="CZ2744" s="76"/>
      <c r="DA2744" s="76">
        <f>+CZ2744*34500</f>
        <v>0</v>
      </c>
      <c r="DB2744" s="76"/>
      <c r="DC2744" s="76">
        <f>+DB2744*25000</f>
        <v>0</v>
      </c>
      <c r="DD2744" s="219"/>
      <c r="DE2744" s="219"/>
      <c r="DF2744" s="166"/>
      <c r="DG2744" s="116"/>
      <c r="DH2744" s="117"/>
      <c r="DI2744" s="24"/>
      <c r="DJ2744" s="24"/>
      <c r="DK2744" s="24"/>
      <c r="DL2744" s="24"/>
      <c r="DM2744" s="24"/>
      <c r="DN2744" s="24"/>
      <c r="DO2744" s="24"/>
      <c r="DP2744" s="24"/>
      <c r="DQ2744" s="24"/>
      <c r="DR2744" s="24"/>
      <c r="DS2744" s="24"/>
      <c r="DT2744" s="24"/>
      <c r="DU2744" s="24"/>
    </row>
    <row r="2745" spans="1:125" s="8" customFormat="1" ht="60" x14ac:dyDescent="0.2">
      <c r="A2745" s="77">
        <v>41502</v>
      </c>
      <c r="B2745" s="78" t="s">
        <v>2777</v>
      </c>
      <c r="C2745" s="75" t="s">
        <v>1463</v>
      </c>
      <c r="D2745" s="75" t="s">
        <v>2882</v>
      </c>
      <c r="E2745" s="75" t="str">
        <f>VLOOKUP(B2745&amp;C2745,Divipola!$C$2:$F$1138,4,FALSE)</f>
        <v>13042</v>
      </c>
      <c r="F2745" s="61"/>
      <c r="G2745" s="61"/>
      <c r="H2745" s="61"/>
      <c r="I2745" s="61">
        <v>472</v>
      </c>
      <c r="J2745" s="61">
        <v>104</v>
      </c>
      <c r="K2745" s="61"/>
      <c r="L2745" s="61">
        <v>104</v>
      </c>
      <c r="M2745" s="61"/>
      <c r="N2745" s="61"/>
      <c r="O2745" s="61"/>
      <c r="P2745" s="61"/>
      <c r="Q2745" s="61"/>
      <c r="R2745" s="61"/>
      <c r="S2745" s="61"/>
      <c r="T2745" s="61"/>
      <c r="U2745" s="61"/>
      <c r="V2745" s="7"/>
      <c r="W2745" s="96">
        <v>0</v>
      </c>
      <c r="X2745" s="71">
        <f>CU2745</f>
        <v>0</v>
      </c>
      <c r="Y2745" s="71">
        <f>CY2745</f>
        <v>0</v>
      </c>
      <c r="Z2745" s="71">
        <f>DA2745+DC2745+DE2745</f>
        <v>0</v>
      </c>
      <c r="AA2745" s="71">
        <f>CW2745</f>
        <v>0</v>
      </c>
      <c r="AB2745" s="71"/>
      <c r="AC2745" s="71">
        <v>0</v>
      </c>
      <c r="AD2745" s="71">
        <f>W2745+X2745+Y2745+Z2745+AA2745+AB2745+AC2745</f>
        <v>0</v>
      </c>
      <c r="AE2745" s="72">
        <v>0</v>
      </c>
      <c r="AF2745" s="5"/>
      <c r="AG2745" s="6"/>
      <c r="AH2745" s="27"/>
      <c r="AI2745" s="44"/>
      <c r="AJ2745" s="26"/>
      <c r="AK2745" s="5"/>
      <c r="AL2745" s="9" t="s">
        <v>6426</v>
      </c>
      <c r="AM2745" s="76"/>
      <c r="AN2745" s="76"/>
      <c r="AO2745" s="76"/>
      <c r="AP2745" s="76"/>
      <c r="AQ2745" s="76"/>
      <c r="AR2745" s="76"/>
      <c r="AS2745" s="76"/>
      <c r="AT2745" s="76"/>
      <c r="AU2745" s="76"/>
      <c r="AV2745" s="76"/>
      <c r="AW2745" s="76"/>
      <c r="AX2745" s="76">
        <f>+AW2745*600000</f>
        <v>0</v>
      </c>
      <c r="AY2745" s="76"/>
      <c r="AZ2745" s="76">
        <f>+AY2745*70000</f>
        <v>0</v>
      </c>
      <c r="BA2745" s="76"/>
      <c r="BB2745" s="76"/>
      <c r="BC2745" s="76"/>
      <c r="BD2745" s="76">
        <f>+BC2745*30000</f>
        <v>0</v>
      </c>
      <c r="BE2745" s="76"/>
      <c r="BF2745" s="76"/>
      <c r="BG2745" s="76"/>
      <c r="BH2745" s="76"/>
      <c r="BI2745" s="76"/>
      <c r="BJ2745" s="76"/>
      <c r="BK2745" s="76"/>
      <c r="BL2745" s="76">
        <f>+BK2745*31500</f>
        <v>0</v>
      </c>
      <c r="BM2745" s="76"/>
      <c r="BN2745" s="76"/>
      <c r="BO2745" s="76"/>
      <c r="BP2745" s="76"/>
      <c r="BQ2745" s="76"/>
      <c r="BR2745" s="76"/>
      <c r="BS2745" s="76"/>
      <c r="BT2745" s="76"/>
      <c r="BU2745" s="76"/>
      <c r="BV2745" s="76"/>
      <c r="BW2745" s="76"/>
      <c r="BX2745" s="76"/>
      <c r="BY2745" s="76"/>
      <c r="BZ2745" s="76"/>
      <c r="CA2745" s="76"/>
      <c r="CB2745" s="76"/>
      <c r="CC2745" s="76"/>
      <c r="CD2745" s="76"/>
      <c r="CE2745" s="76"/>
      <c r="CF2745" s="76">
        <f>+CE2745*28000</f>
        <v>0</v>
      </c>
      <c r="CG2745" s="76"/>
      <c r="CH2745" s="76">
        <f>+CG2745*22500</f>
        <v>0</v>
      </c>
      <c r="CI2745" s="76"/>
      <c r="CJ2745" s="76">
        <f>+CI2745*26000</f>
        <v>0</v>
      </c>
      <c r="CK2745" s="76"/>
      <c r="CL2745" s="76"/>
      <c r="CM2745" s="76"/>
      <c r="CN2745" s="76">
        <f>+CM2745*22000</f>
        <v>0</v>
      </c>
      <c r="CO2745" s="76"/>
      <c r="CP2745" s="76">
        <f>+CO2745*46000</f>
        <v>0</v>
      </c>
      <c r="CQ2745" s="76"/>
      <c r="CR2745" s="76">
        <f>+CQ2745*49000</f>
        <v>0</v>
      </c>
      <c r="CS2745" s="76"/>
      <c r="CT2745" s="76"/>
      <c r="CU2745" s="56">
        <f>AN2745+AP2745+AR2745+AT2745+AV2745+AX2745+AZ2745+BB2745+BD2745+BF2745+BH2745+BJ2745+BL2745+BN2745+BP2745+BR2745+BT2745+BV2745+BX2745+BZ2745+CB2745+CD2745+CF2745+CH2745+CJ2745+CL2745+CN2745+CP2745+CR2745+CT2745</f>
        <v>0</v>
      </c>
      <c r="CV2745" s="76"/>
      <c r="CW2745" s="76">
        <f>+CV2745*1100</f>
        <v>0</v>
      </c>
      <c r="CX2745" s="76"/>
      <c r="CY2745" s="76">
        <f>+CX2745*106250</f>
        <v>0</v>
      </c>
      <c r="CZ2745" s="76"/>
      <c r="DA2745" s="76">
        <f>+CZ2745*34500</f>
        <v>0</v>
      </c>
      <c r="DB2745" s="76"/>
      <c r="DC2745" s="76">
        <f>+DB2745*25000</f>
        <v>0</v>
      </c>
      <c r="DD2745" s="219"/>
      <c r="DE2745" s="219"/>
      <c r="DF2745" s="166"/>
      <c r="DG2745" s="116"/>
      <c r="DH2745" s="117"/>
      <c r="DI2745" s="24"/>
      <c r="DJ2745" s="24"/>
      <c r="DK2745" s="24"/>
      <c r="DL2745" s="24"/>
      <c r="DM2745" s="24"/>
      <c r="DN2745" s="24"/>
      <c r="DO2745" s="24"/>
      <c r="DP2745" s="24"/>
      <c r="DQ2745" s="24"/>
      <c r="DR2745" s="24"/>
      <c r="DS2745" s="24"/>
      <c r="DT2745" s="24"/>
      <c r="DU2745" s="24"/>
    </row>
    <row r="2746" spans="1:125" s="8" customFormat="1" ht="120" x14ac:dyDescent="0.2">
      <c r="A2746" s="353">
        <v>41503</v>
      </c>
      <c r="B2746" s="352" t="s">
        <v>2777</v>
      </c>
      <c r="C2746" s="354" t="s">
        <v>1530</v>
      </c>
      <c r="D2746" s="354" t="s">
        <v>2882</v>
      </c>
      <c r="E2746" s="75" t="str">
        <f>VLOOKUP(B2746&amp;C2746,Divipola!$C$2:$F$1138,4,FALSE)</f>
        <v>13673</v>
      </c>
      <c r="F2746" s="87"/>
      <c r="G2746" s="87"/>
      <c r="H2746" s="87"/>
      <c r="I2746" s="87">
        <v>500</v>
      </c>
      <c r="J2746" s="87">
        <v>106</v>
      </c>
      <c r="K2746" s="87">
        <v>2</v>
      </c>
      <c r="L2746" s="87">
        <v>104</v>
      </c>
      <c r="M2746" s="87"/>
      <c r="N2746" s="87"/>
      <c r="O2746" s="87"/>
      <c r="P2746" s="87"/>
      <c r="Q2746" s="87"/>
      <c r="R2746" s="87">
        <v>1</v>
      </c>
      <c r="S2746" s="87">
        <v>1</v>
      </c>
      <c r="T2746" s="87">
        <v>1</v>
      </c>
      <c r="U2746" s="88"/>
      <c r="V2746" s="89"/>
      <c r="W2746" s="96">
        <v>0</v>
      </c>
      <c r="X2746" s="71">
        <f>CU2746</f>
        <v>0</v>
      </c>
      <c r="Y2746" s="71">
        <f>CY2746</f>
        <v>0</v>
      </c>
      <c r="Z2746" s="71">
        <f>DA2746+DC2746+DE2746</f>
        <v>0</v>
      </c>
      <c r="AA2746" s="71">
        <f>CW2746</f>
        <v>0</v>
      </c>
      <c r="AB2746" s="71"/>
      <c r="AC2746" s="71">
        <v>0</v>
      </c>
      <c r="AD2746" s="71">
        <f>W2746+X2746+Y2746+Z2746+AA2746+AB2746+AC2746</f>
        <v>0</v>
      </c>
      <c r="AE2746" s="72">
        <v>0</v>
      </c>
      <c r="AF2746" s="5"/>
      <c r="AG2746" s="6"/>
      <c r="AH2746" s="27" t="s">
        <v>3390</v>
      </c>
      <c r="AI2746" s="44" t="s">
        <v>3393</v>
      </c>
      <c r="AJ2746" s="26"/>
      <c r="AK2746" s="5" t="s">
        <v>4242</v>
      </c>
      <c r="AL2746" s="82" t="s">
        <v>5679</v>
      </c>
      <c r="AM2746" s="76"/>
      <c r="AN2746" s="76"/>
      <c r="AO2746" s="76"/>
      <c r="AP2746" s="76"/>
      <c r="AQ2746" s="76"/>
      <c r="AR2746" s="76"/>
      <c r="AS2746" s="76"/>
      <c r="AT2746" s="76"/>
      <c r="AU2746" s="76"/>
      <c r="AV2746" s="76"/>
      <c r="AW2746" s="76"/>
      <c r="AX2746" s="76">
        <f>+AW2746*600000</f>
        <v>0</v>
      </c>
      <c r="AY2746" s="76"/>
      <c r="AZ2746" s="76">
        <f>+AY2746*70000</f>
        <v>0</v>
      </c>
      <c r="BA2746" s="76"/>
      <c r="BB2746" s="76"/>
      <c r="BC2746" s="76"/>
      <c r="BD2746" s="76">
        <f>+BC2746*30000</f>
        <v>0</v>
      </c>
      <c r="BE2746" s="76"/>
      <c r="BF2746" s="76"/>
      <c r="BG2746" s="76"/>
      <c r="BH2746" s="76"/>
      <c r="BI2746" s="76"/>
      <c r="BJ2746" s="76"/>
      <c r="BK2746" s="76"/>
      <c r="BL2746" s="76">
        <f>+BK2746*31500</f>
        <v>0</v>
      </c>
      <c r="BM2746" s="76"/>
      <c r="BN2746" s="76"/>
      <c r="BO2746" s="76"/>
      <c r="BP2746" s="76"/>
      <c r="BQ2746" s="76"/>
      <c r="BR2746" s="76"/>
      <c r="BS2746" s="76"/>
      <c r="BT2746" s="76"/>
      <c r="BU2746" s="76"/>
      <c r="BV2746" s="76"/>
      <c r="BW2746" s="76"/>
      <c r="BX2746" s="76"/>
      <c r="BY2746" s="76"/>
      <c r="BZ2746" s="76"/>
      <c r="CA2746" s="76"/>
      <c r="CB2746" s="76"/>
      <c r="CC2746" s="76"/>
      <c r="CD2746" s="76"/>
      <c r="CE2746" s="76"/>
      <c r="CF2746" s="76">
        <f>+CE2746*28000</f>
        <v>0</v>
      </c>
      <c r="CG2746" s="76"/>
      <c r="CH2746" s="76">
        <f>+CG2746*22500</f>
        <v>0</v>
      </c>
      <c r="CI2746" s="76"/>
      <c r="CJ2746" s="76">
        <f>+CI2746*26000</f>
        <v>0</v>
      </c>
      <c r="CK2746" s="76"/>
      <c r="CL2746" s="76"/>
      <c r="CM2746" s="76"/>
      <c r="CN2746" s="76">
        <f>+CM2746*22000</f>
        <v>0</v>
      </c>
      <c r="CO2746" s="76"/>
      <c r="CP2746" s="76">
        <f>+CO2746*46000</f>
        <v>0</v>
      </c>
      <c r="CQ2746" s="76"/>
      <c r="CR2746" s="76">
        <f>+CQ2746*49000</f>
        <v>0</v>
      </c>
      <c r="CS2746" s="76"/>
      <c r="CT2746" s="76"/>
      <c r="CU2746" s="56">
        <f>AN2746+AP2746+AR2746+AT2746+AV2746+AX2746+AZ2746+BB2746+BD2746+BF2746+BH2746+BJ2746+BL2746+BN2746+BP2746+BR2746+BT2746+BV2746+BX2746+BZ2746+CB2746+CD2746+CF2746+CH2746+CJ2746+CL2746+CN2746+CP2746+CR2746+CT2746</f>
        <v>0</v>
      </c>
      <c r="CV2746" s="76"/>
      <c r="CW2746" s="76">
        <f>+CV2746*1100</f>
        <v>0</v>
      </c>
      <c r="CX2746" s="76"/>
      <c r="CY2746" s="76">
        <f>+CX2746*106250</f>
        <v>0</v>
      </c>
      <c r="CZ2746" s="76"/>
      <c r="DA2746" s="76">
        <f>+CZ2746*34500</f>
        <v>0</v>
      </c>
      <c r="DB2746" s="76"/>
      <c r="DC2746" s="76">
        <f>+DB2746*25000</f>
        <v>0</v>
      </c>
      <c r="DD2746" s="219"/>
      <c r="DE2746" s="219"/>
      <c r="DF2746" s="166"/>
      <c r="DG2746" s="116"/>
      <c r="DH2746" s="117"/>
      <c r="DI2746" s="24"/>
      <c r="DJ2746" s="24"/>
      <c r="DK2746" s="24"/>
      <c r="DL2746" s="24"/>
      <c r="DM2746" s="24"/>
      <c r="DN2746" s="24"/>
      <c r="DO2746" s="24"/>
      <c r="DP2746" s="24"/>
      <c r="DQ2746" s="24"/>
      <c r="DR2746" s="24"/>
      <c r="DS2746" s="24"/>
      <c r="DT2746" s="24"/>
      <c r="DU2746" s="24"/>
    </row>
    <row r="2747" spans="1:125" s="8" customFormat="1" ht="276" x14ac:dyDescent="0.2">
      <c r="A2747" s="77">
        <v>41503</v>
      </c>
      <c r="B2747" s="60" t="s">
        <v>2854</v>
      </c>
      <c r="C2747" s="55" t="s">
        <v>2803</v>
      </c>
      <c r="D2747" s="55" t="s">
        <v>3051</v>
      </c>
      <c r="E2747" s="353" t="str">
        <f>VLOOKUP(B2747&amp;C2747,Divipola!$C$2:$F$1138,4,FALSE)</f>
        <v>19533</v>
      </c>
      <c r="F2747" s="87"/>
      <c r="G2747" s="87"/>
      <c r="H2747" s="87"/>
      <c r="I2747" s="87">
        <v>2395</v>
      </c>
      <c r="J2747" s="87">
        <v>479</v>
      </c>
      <c r="K2747" s="87">
        <v>24</v>
      </c>
      <c r="L2747" s="87">
        <v>171</v>
      </c>
      <c r="M2747" s="87"/>
      <c r="N2747" s="87"/>
      <c r="O2747" s="87"/>
      <c r="P2747" s="87"/>
      <c r="Q2747" s="87"/>
      <c r="R2747" s="87"/>
      <c r="S2747" s="87"/>
      <c r="T2747" s="87"/>
      <c r="U2747" s="88"/>
      <c r="V2747" s="89"/>
      <c r="W2747" s="96">
        <v>0</v>
      </c>
      <c r="X2747" s="71">
        <f>CU2747</f>
        <v>250600000</v>
      </c>
      <c r="Y2747" s="71">
        <f>CY2747</f>
        <v>73885000</v>
      </c>
      <c r="Z2747" s="71">
        <f>DA2747+DC2747+DE2747</f>
        <v>540000000</v>
      </c>
      <c r="AA2747" s="71">
        <f>CW2747</f>
        <v>0</v>
      </c>
      <c r="AB2747" s="71"/>
      <c r="AC2747" s="71">
        <v>0</v>
      </c>
      <c r="AD2747" s="71">
        <f>W2747+X2747+Y2747+Z2747+AA2747+AB2747+AC2747</f>
        <v>864485000</v>
      </c>
      <c r="AE2747" s="72">
        <v>0</v>
      </c>
      <c r="AF2747" s="5"/>
      <c r="AG2747" s="6"/>
      <c r="AH2747" s="27"/>
      <c r="AI2747" s="44"/>
      <c r="AJ2747" s="26"/>
      <c r="AK2747" s="5"/>
      <c r="AL2747" s="276" t="s">
        <v>5661</v>
      </c>
      <c r="AM2747" s="76"/>
      <c r="AN2747" s="76"/>
      <c r="AO2747" s="76"/>
      <c r="AP2747" s="76"/>
      <c r="AQ2747" s="76"/>
      <c r="AR2747" s="76"/>
      <c r="AS2747" s="76"/>
      <c r="AT2747" s="76"/>
      <c r="AU2747" s="76"/>
      <c r="AV2747" s="76"/>
      <c r="AW2747" s="76"/>
      <c r="AX2747" s="76">
        <f>+AW2747*600000</f>
        <v>0</v>
      </c>
      <c r="AY2747" s="86">
        <v>2800</v>
      </c>
      <c r="AZ2747" s="86">
        <f>+AY2747*70000</f>
        <v>196000000</v>
      </c>
      <c r="BA2747" s="76"/>
      <c r="BB2747" s="76"/>
      <c r="BC2747" s="76"/>
      <c r="BD2747" s="76">
        <f>+BC2747*30000</f>
        <v>0</v>
      </c>
      <c r="BE2747" s="76"/>
      <c r="BF2747" s="76"/>
      <c r="BG2747" s="76"/>
      <c r="BH2747" s="76"/>
      <c r="BI2747" s="76"/>
      <c r="BJ2747" s="76"/>
      <c r="BK2747" s="76"/>
      <c r="BL2747" s="76">
        <f>+BK2747*31500</f>
        <v>0</v>
      </c>
      <c r="BM2747" s="76"/>
      <c r="BN2747" s="76"/>
      <c r="BO2747" s="76"/>
      <c r="BP2747" s="76"/>
      <c r="BQ2747" s="76"/>
      <c r="BR2747" s="76"/>
      <c r="BS2747" s="76"/>
      <c r="BT2747" s="76"/>
      <c r="BU2747" s="76"/>
      <c r="BV2747" s="76"/>
      <c r="BW2747" s="76"/>
      <c r="BX2747" s="76"/>
      <c r="BY2747" s="76"/>
      <c r="BZ2747" s="76"/>
      <c r="CA2747" s="76"/>
      <c r="CB2747" s="76"/>
      <c r="CC2747" s="76"/>
      <c r="CD2747" s="76"/>
      <c r="CE2747" s="76"/>
      <c r="CF2747" s="76">
        <f>+CE2747*28000</f>
        <v>0</v>
      </c>
      <c r="CG2747" s="76"/>
      <c r="CH2747" s="76">
        <f>+CG2747*22500</f>
        <v>0</v>
      </c>
      <c r="CI2747" s="86">
        <v>700</v>
      </c>
      <c r="CJ2747" s="86">
        <f>+CI2747*26000</f>
        <v>18200000</v>
      </c>
      <c r="CK2747" s="76"/>
      <c r="CL2747" s="76"/>
      <c r="CM2747" s="76"/>
      <c r="CN2747" s="76">
        <f>+CM2747*22000</f>
        <v>0</v>
      </c>
      <c r="CO2747" s="76"/>
      <c r="CP2747" s="76">
        <f>+CO2747*46000</f>
        <v>0</v>
      </c>
      <c r="CQ2747" s="86">
        <v>700</v>
      </c>
      <c r="CR2747" s="86">
        <f>+CQ2747*52000</f>
        <v>36400000</v>
      </c>
      <c r="CS2747" s="76"/>
      <c r="CT2747" s="76"/>
      <c r="CU2747" s="56">
        <f>AN2747+AP2747+AR2747+AT2747+AV2747+AX2747+AZ2747+BB2747+BD2747+BF2747+BH2747+BJ2747+BL2747+BN2747+BP2747+BR2747+BT2747+BV2747+BX2747+BZ2747+CB2747+CD2747+CF2747+CH2747+CJ2747+CL2747+CN2747+CP2747+CR2747+CT2747</f>
        <v>250600000</v>
      </c>
      <c r="CV2747" s="76"/>
      <c r="CW2747" s="76">
        <f>+CV2747*1100</f>
        <v>0</v>
      </c>
      <c r="CX2747" s="86">
        <v>700</v>
      </c>
      <c r="CY2747" s="86">
        <f>+CX2747*105550</f>
        <v>73885000</v>
      </c>
      <c r="CZ2747" s="76"/>
      <c r="DA2747" s="76">
        <f>+CZ2747*34500</f>
        <v>0</v>
      </c>
      <c r="DB2747" s="86">
        <v>5000</v>
      </c>
      <c r="DC2747" s="86">
        <f>+DB2747*34000+30000*200</f>
        <v>176000000</v>
      </c>
      <c r="DD2747" s="221" t="s">
        <v>5655</v>
      </c>
      <c r="DE2747" s="223">
        <f>700*520000</f>
        <v>364000000</v>
      </c>
      <c r="DF2747" s="166"/>
      <c r="DG2747" s="134" t="s">
        <v>5988</v>
      </c>
      <c r="DH2747" s="117"/>
      <c r="DI2747" s="24"/>
      <c r="DJ2747" s="24"/>
      <c r="DK2747" s="24"/>
      <c r="DL2747" s="24"/>
      <c r="DM2747" s="24"/>
      <c r="DN2747" s="24"/>
      <c r="DO2747" s="24"/>
      <c r="DP2747" s="24"/>
      <c r="DQ2747" s="24"/>
      <c r="DR2747" s="24"/>
      <c r="DS2747" s="24"/>
      <c r="DT2747" s="24"/>
      <c r="DU2747" s="24"/>
    </row>
    <row r="2748" spans="1:125" s="8" customFormat="1" ht="72" x14ac:dyDescent="0.2">
      <c r="A2748" s="77">
        <v>41503</v>
      </c>
      <c r="B2748" s="78" t="s">
        <v>2854</v>
      </c>
      <c r="C2748" s="75" t="s">
        <v>2678</v>
      </c>
      <c r="D2748" s="75" t="s">
        <v>3017</v>
      </c>
      <c r="E2748" s="353" t="str">
        <f>VLOOKUP(B2748&amp;C2748,Divipola!$C$2:$F$1138,4,FALSE)</f>
        <v>19701</v>
      </c>
      <c r="F2748" s="272"/>
      <c r="G2748" s="272"/>
      <c r="H2748" s="272"/>
      <c r="I2748" s="272"/>
      <c r="J2748" s="272"/>
      <c r="K2748" s="272"/>
      <c r="L2748" s="272"/>
      <c r="M2748" s="272"/>
      <c r="N2748" s="272"/>
      <c r="O2748" s="272">
        <v>1</v>
      </c>
      <c r="P2748" s="272"/>
      <c r="Q2748" s="272"/>
      <c r="R2748" s="272"/>
      <c r="S2748" s="272"/>
      <c r="T2748" s="272"/>
      <c r="U2748" s="273"/>
      <c r="V2748" s="86"/>
      <c r="W2748" s="96">
        <v>0</v>
      </c>
      <c r="X2748" s="71">
        <f>CU2748</f>
        <v>0</v>
      </c>
      <c r="Y2748" s="71">
        <f>CY2748</f>
        <v>0</v>
      </c>
      <c r="Z2748" s="71">
        <f>DA2748+DC2748+DE2748</f>
        <v>0</v>
      </c>
      <c r="AA2748" s="71">
        <f>CW2748</f>
        <v>0</v>
      </c>
      <c r="AB2748" s="71"/>
      <c r="AC2748" s="71">
        <v>0</v>
      </c>
      <c r="AD2748" s="71">
        <f>W2748+X2748+Y2748+Z2748+AA2748+AB2748+AC2748</f>
        <v>0</v>
      </c>
      <c r="AE2748" s="72">
        <v>0</v>
      </c>
      <c r="AF2748" s="5"/>
      <c r="AG2748" s="6"/>
      <c r="AH2748" s="27"/>
      <c r="AI2748" s="44"/>
      <c r="AJ2748" s="26"/>
      <c r="AK2748" s="5"/>
      <c r="AL2748" s="268" t="s">
        <v>5629</v>
      </c>
      <c r="AM2748" s="76"/>
      <c r="AN2748" s="76"/>
      <c r="AO2748" s="76"/>
      <c r="AP2748" s="76"/>
      <c r="AQ2748" s="76"/>
      <c r="AR2748" s="76"/>
      <c r="AS2748" s="76"/>
      <c r="AT2748" s="76"/>
      <c r="AU2748" s="76"/>
      <c r="AV2748" s="76"/>
      <c r="AW2748" s="76"/>
      <c r="AX2748" s="76">
        <f>+AW2748*600000</f>
        <v>0</v>
      </c>
      <c r="AY2748" s="76"/>
      <c r="AZ2748" s="76">
        <f>+AY2748*70000</f>
        <v>0</v>
      </c>
      <c r="BA2748" s="76"/>
      <c r="BB2748" s="76"/>
      <c r="BC2748" s="76"/>
      <c r="BD2748" s="76">
        <f>+BC2748*30000</f>
        <v>0</v>
      </c>
      <c r="BE2748" s="76"/>
      <c r="BF2748" s="76"/>
      <c r="BG2748" s="76"/>
      <c r="BH2748" s="76"/>
      <c r="BI2748" s="76"/>
      <c r="BJ2748" s="76"/>
      <c r="BK2748" s="76"/>
      <c r="BL2748" s="76">
        <f>+BK2748*31500</f>
        <v>0</v>
      </c>
      <c r="BM2748" s="76"/>
      <c r="BN2748" s="76"/>
      <c r="BO2748" s="76"/>
      <c r="BP2748" s="76"/>
      <c r="BQ2748" s="76"/>
      <c r="BR2748" s="76"/>
      <c r="BS2748" s="76"/>
      <c r="BT2748" s="76"/>
      <c r="BU2748" s="76"/>
      <c r="BV2748" s="76"/>
      <c r="BW2748" s="76"/>
      <c r="BX2748" s="76"/>
      <c r="BY2748" s="76"/>
      <c r="BZ2748" s="76"/>
      <c r="CA2748" s="76"/>
      <c r="CB2748" s="76"/>
      <c r="CC2748" s="76"/>
      <c r="CD2748" s="76"/>
      <c r="CE2748" s="76"/>
      <c r="CF2748" s="76">
        <f>+CE2748*28000</f>
        <v>0</v>
      </c>
      <c r="CG2748" s="76"/>
      <c r="CH2748" s="76">
        <f>+CG2748*22500</f>
        <v>0</v>
      </c>
      <c r="CI2748" s="76"/>
      <c r="CJ2748" s="76">
        <f>+CI2748*26000</f>
        <v>0</v>
      </c>
      <c r="CK2748" s="76"/>
      <c r="CL2748" s="76"/>
      <c r="CM2748" s="76"/>
      <c r="CN2748" s="76">
        <f>+CM2748*22000</f>
        <v>0</v>
      </c>
      <c r="CO2748" s="76"/>
      <c r="CP2748" s="76">
        <f>+CO2748*46000</f>
        <v>0</v>
      </c>
      <c r="CQ2748" s="76"/>
      <c r="CR2748" s="76">
        <f>+CQ2748*49000</f>
        <v>0</v>
      </c>
      <c r="CS2748" s="76"/>
      <c r="CT2748" s="76"/>
      <c r="CU2748" s="56">
        <f>AN2748+AP2748+AR2748+AT2748+AV2748+AX2748+AZ2748+BB2748+BD2748+BF2748+BH2748+BJ2748+BL2748+BN2748+BP2748+BR2748+BT2748+BV2748+BX2748+BZ2748+CB2748+CD2748+CF2748+CH2748+CJ2748+CL2748+CN2748+CP2748+CR2748+CT2748</f>
        <v>0</v>
      </c>
      <c r="CV2748" s="76"/>
      <c r="CW2748" s="76">
        <f>+CV2748*1100</f>
        <v>0</v>
      </c>
      <c r="CX2748" s="76"/>
      <c r="CY2748" s="76">
        <f>+CX2748*106250</f>
        <v>0</v>
      </c>
      <c r="CZ2748" s="76"/>
      <c r="DA2748" s="76">
        <f>+CZ2748*34500</f>
        <v>0</v>
      </c>
      <c r="DB2748" s="76"/>
      <c r="DC2748" s="76">
        <f>+DB2748*25000</f>
        <v>0</v>
      </c>
      <c r="DD2748" s="219"/>
      <c r="DE2748" s="219"/>
      <c r="DF2748" s="166"/>
      <c r="DG2748" s="116"/>
      <c r="DH2748" s="117"/>
      <c r="DI2748" s="24"/>
      <c r="DJ2748" s="24"/>
      <c r="DK2748" s="24"/>
      <c r="DL2748" s="24"/>
      <c r="DM2748" s="24"/>
      <c r="DN2748" s="24"/>
      <c r="DO2748" s="24"/>
      <c r="DP2748" s="24"/>
      <c r="DQ2748" s="24"/>
      <c r="DR2748" s="24"/>
      <c r="DS2748" s="24"/>
      <c r="DT2748" s="24"/>
      <c r="DU2748" s="24"/>
    </row>
    <row r="2749" spans="1:125" s="8" customFormat="1" ht="84" x14ac:dyDescent="0.2">
      <c r="A2749" s="77">
        <v>41503</v>
      </c>
      <c r="B2749" s="208" t="s">
        <v>2860</v>
      </c>
      <c r="C2749" s="354" t="s">
        <v>2173</v>
      </c>
      <c r="D2749" s="354" t="s">
        <v>2882</v>
      </c>
      <c r="E2749" s="353" t="str">
        <f>VLOOKUP(B2749&amp;C2749,Divipola!$C$2:$F$1138,4,FALSE)</f>
        <v>63470</v>
      </c>
      <c r="F2749" s="87"/>
      <c r="G2749" s="87"/>
      <c r="H2749" s="87"/>
      <c r="I2749" s="87">
        <v>85</v>
      </c>
      <c r="J2749" s="87">
        <v>17</v>
      </c>
      <c r="K2749" s="87"/>
      <c r="L2749" s="87">
        <v>17</v>
      </c>
      <c r="M2749" s="87"/>
      <c r="N2749" s="87"/>
      <c r="O2749" s="87"/>
      <c r="P2749" s="87"/>
      <c r="Q2749" s="87"/>
      <c r="R2749" s="87"/>
      <c r="S2749" s="87"/>
      <c r="T2749" s="87"/>
      <c r="U2749" s="88"/>
      <c r="V2749" s="89"/>
      <c r="W2749" s="96">
        <v>0</v>
      </c>
      <c r="X2749" s="71">
        <f>CU2749</f>
        <v>0</v>
      </c>
      <c r="Y2749" s="71">
        <f>CY2749</f>
        <v>0</v>
      </c>
      <c r="Z2749" s="71">
        <f>DA2749+DC2749+DE2749</f>
        <v>0</v>
      </c>
      <c r="AA2749" s="71">
        <f>CW2749</f>
        <v>0</v>
      </c>
      <c r="AB2749" s="71"/>
      <c r="AC2749" s="71">
        <v>0</v>
      </c>
      <c r="AD2749" s="71">
        <f>W2749+X2749+Y2749+Z2749+AA2749+AB2749+AC2749</f>
        <v>0</v>
      </c>
      <c r="AE2749" s="72">
        <v>0</v>
      </c>
      <c r="AF2749" s="5"/>
      <c r="AG2749" s="6"/>
      <c r="AH2749" s="27"/>
      <c r="AI2749" s="44"/>
      <c r="AJ2749" s="26"/>
      <c r="AK2749" s="5"/>
      <c r="AL2749" s="82" t="s">
        <v>5639</v>
      </c>
      <c r="AM2749" s="76"/>
      <c r="AN2749" s="76"/>
      <c r="AO2749" s="76"/>
      <c r="AP2749" s="76"/>
      <c r="AQ2749" s="76"/>
      <c r="AR2749" s="76"/>
      <c r="AS2749" s="76"/>
      <c r="AT2749" s="76"/>
      <c r="AU2749" s="76"/>
      <c r="AV2749" s="76"/>
      <c r="AW2749" s="76"/>
      <c r="AX2749" s="76">
        <f>+AW2749*600000</f>
        <v>0</v>
      </c>
      <c r="AY2749" s="76"/>
      <c r="AZ2749" s="76">
        <f>+AY2749*70000</f>
        <v>0</v>
      </c>
      <c r="BA2749" s="76"/>
      <c r="BB2749" s="76"/>
      <c r="BC2749" s="76"/>
      <c r="BD2749" s="76">
        <f>+BC2749*30000</f>
        <v>0</v>
      </c>
      <c r="BE2749" s="76"/>
      <c r="BF2749" s="76"/>
      <c r="BG2749" s="76"/>
      <c r="BH2749" s="76"/>
      <c r="BI2749" s="76"/>
      <c r="BJ2749" s="76"/>
      <c r="BK2749" s="76"/>
      <c r="BL2749" s="76">
        <f>+BK2749*31500</f>
        <v>0</v>
      </c>
      <c r="BM2749" s="76"/>
      <c r="BN2749" s="76"/>
      <c r="BO2749" s="76"/>
      <c r="BP2749" s="76"/>
      <c r="BQ2749" s="76"/>
      <c r="BR2749" s="76"/>
      <c r="BS2749" s="76"/>
      <c r="BT2749" s="76"/>
      <c r="BU2749" s="76"/>
      <c r="BV2749" s="76"/>
      <c r="BW2749" s="76"/>
      <c r="BX2749" s="76"/>
      <c r="BY2749" s="76"/>
      <c r="BZ2749" s="76"/>
      <c r="CA2749" s="76"/>
      <c r="CB2749" s="76"/>
      <c r="CC2749" s="76"/>
      <c r="CD2749" s="76"/>
      <c r="CE2749" s="76"/>
      <c r="CF2749" s="76">
        <f>+CE2749*28000</f>
        <v>0</v>
      </c>
      <c r="CG2749" s="76"/>
      <c r="CH2749" s="76">
        <f>+CG2749*22500</f>
        <v>0</v>
      </c>
      <c r="CI2749" s="76"/>
      <c r="CJ2749" s="76">
        <f>+CI2749*26000</f>
        <v>0</v>
      </c>
      <c r="CK2749" s="76"/>
      <c r="CL2749" s="76"/>
      <c r="CM2749" s="76"/>
      <c r="CN2749" s="76">
        <f>+CM2749*22000</f>
        <v>0</v>
      </c>
      <c r="CO2749" s="76"/>
      <c r="CP2749" s="76">
        <f>+CO2749*46000</f>
        <v>0</v>
      </c>
      <c r="CQ2749" s="76"/>
      <c r="CR2749" s="76">
        <f>+CQ2749*49000</f>
        <v>0</v>
      </c>
      <c r="CS2749" s="76"/>
      <c r="CT2749" s="76"/>
      <c r="CU2749" s="56">
        <f>AN2749+AP2749+AR2749+AT2749+AV2749+AX2749+AZ2749+BB2749+BD2749+BF2749+BH2749+BJ2749+BL2749+BN2749+BP2749+BR2749+BT2749+BV2749+BX2749+BZ2749+CB2749+CD2749+CF2749+CH2749+CJ2749+CL2749+CN2749+CP2749+CR2749+CT2749</f>
        <v>0</v>
      </c>
      <c r="CV2749" s="76"/>
      <c r="CW2749" s="76">
        <f>+CV2749*1100</f>
        <v>0</v>
      </c>
      <c r="CX2749" s="76"/>
      <c r="CY2749" s="76">
        <f>+CX2749*106250</f>
        <v>0</v>
      </c>
      <c r="CZ2749" s="76"/>
      <c r="DA2749" s="76">
        <f>+CZ2749*34500</f>
        <v>0</v>
      </c>
      <c r="DB2749" s="76"/>
      <c r="DC2749" s="76">
        <f>+DB2749*25000</f>
        <v>0</v>
      </c>
      <c r="DD2749" s="219"/>
      <c r="DE2749" s="219"/>
      <c r="DF2749" s="166"/>
      <c r="DG2749" s="116"/>
      <c r="DH2749" s="117"/>
      <c r="DI2749" s="24"/>
      <c r="DJ2749" s="24"/>
      <c r="DK2749" s="24"/>
      <c r="DL2749" s="24"/>
      <c r="DM2749" s="24"/>
      <c r="DN2749" s="24"/>
      <c r="DO2749" s="24"/>
      <c r="DP2749" s="24"/>
      <c r="DQ2749" s="24"/>
      <c r="DR2749" s="24"/>
      <c r="DS2749" s="24"/>
      <c r="DT2749" s="24"/>
      <c r="DU2749" s="24"/>
    </row>
    <row r="2750" spans="1:125" s="8" customFormat="1" ht="60" x14ac:dyDescent="0.2">
      <c r="A2750" s="353">
        <v>41503</v>
      </c>
      <c r="B2750" s="352" t="s">
        <v>2860</v>
      </c>
      <c r="C2750" s="354" t="s">
        <v>2764</v>
      </c>
      <c r="D2750" s="354" t="s">
        <v>2882</v>
      </c>
      <c r="E2750" s="353" t="str">
        <f>VLOOKUP(B2750&amp;C2750,Divipola!$C$2:$F$1138,4,FALSE)</f>
        <v>63594</v>
      </c>
      <c r="F2750" s="61"/>
      <c r="G2750" s="61"/>
      <c r="H2750" s="61"/>
      <c r="I2750" s="61"/>
      <c r="J2750" s="61"/>
      <c r="K2750" s="61"/>
      <c r="L2750" s="61"/>
      <c r="M2750" s="61">
        <v>1</v>
      </c>
      <c r="N2750" s="61"/>
      <c r="O2750" s="61"/>
      <c r="P2750" s="61"/>
      <c r="Q2750" s="61"/>
      <c r="R2750" s="61"/>
      <c r="S2750" s="61"/>
      <c r="T2750" s="61"/>
      <c r="U2750" s="61"/>
      <c r="V2750" s="7"/>
      <c r="W2750" s="96">
        <v>0</v>
      </c>
      <c r="X2750" s="71">
        <f>CU2750</f>
        <v>0</v>
      </c>
      <c r="Y2750" s="71">
        <f>CY2750</f>
        <v>0</v>
      </c>
      <c r="Z2750" s="71">
        <f>DA2750+DC2750+DE2750</f>
        <v>0</v>
      </c>
      <c r="AA2750" s="71">
        <f>CW2750</f>
        <v>0</v>
      </c>
      <c r="AB2750" s="71"/>
      <c r="AC2750" s="71">
        <v>0</v>
      </c>
      <c r="AD2750" s="71">
        <f>W2750+X2750+Y2750+Z2750+AA2750+AB2750+AC2750</f>
        <v>0</v>
      </c>
      <c r="AE2750" s="72">
        <v>0</v>
      </c>
      <c r="AF2750" s="5"/>
      <c r="AG2750" s="6"/>
      <c r="AH2750" s="27"/>
      <c r="AI2750" s="44"/>
      <c r="AJ2750" s="26"/>
      <c r="AK2750" s="5"/>
      <c r="AL2750" s="82" t="s">
        <v>5644</v>
      </c>
      <c r="AM2750" s="76"/>
      <c r="AN2750" s="76"/>
      <c r="AO2750" s="76"/>
      <c r="AP2750" s="76"/>
      <c r="AQ2750" s="76"/>
      <c r="AR2750" s="76"/>
      <c r="AS2750" s="76"/>
      <c r="AT2750" s="76"/>
      <c r="AU2750" s="76"/>
      <c r="AV2750" s="76"/>
      <c r="AW2750" s="76"/>
      <c r="AX2750" s="76">
        <f>+AW2750*600000</f>
        <v>0</v>
      </c>
      <c r="AY2750" s="76"/>
      <c r="AZ2750" s="76">
        <f>+AY2750*70000</f>
        <v>0</v>
      </c>
      <c r="BA2750" s="76"/>
      <c r="BB2750" s="76"/>
      <c r="BC2750" s="76"/>
      <c r="BD2750" s="76">
        <f>+BC2750*30000</f>
        <v>0</v>
      </c>
      <c r="BE2750" s="76"/>
      <c r="BF2750" s="76"/>
      <c r="BG2750" s="76"/>
      <c r="BH2750" s="76"/>
      <c r="BI2750" s="76"/>
      <c r="BJ2750" s="76"/>
      <c r="BK2750" s="76"/>
      <c r="BL2750" s="76">
        <f>+BK2750*31500</f>
        <v>0</v>
      </c>
      <c r="BM2750" s="76"/>
      <c r="BN2750" s="76"/>
      <c r="BO2750" s="76"/>
      <c r="BP2750" s="76"/>
      <c r="BQ2750" s="76"/>
      <c r="BR2750" s="76"/>
      <c r="BS2750" s="76"/>
      <c r="BT2750" s="76"/>
      <c r="BU2750" s="76"/>
      <c r="BV2750" s="76"/>
      <c r="BW2750" s="76"/>
      <c r="BX2750" s="76"/>
      <c r="BY2750" s="76"/>
      <c r="BZ2750" s="76"/>
      <c r="CA2750" s="76"/>
      <c r="CB2750" s="76"/>
      <c r="CC2750" s="76"/>
      <c r="CD2750" s="76"/>
      <c r="CE2750" s="76"/>
      <c r="CF2750" s="76">
        <f>+CE2750*28000</f>
        <v>0</v>
      </c>
      <c r="CG2750" s="76"/>
      <c r="CH2750" s="76">
        <f>+CG2750*22500</f>
        <v>0</v>
      </c>
      <c r="CI2750" s="76"/>
      <c r="CJ2750" s="76">
        <f>+CI2750*26000</f>
        <v>0</v>
      </c>
      <c r="CK2750" s="76"/>
      <c r="CL2750" s="76"/>
      <c r="CM2750" s="76"/>
      <c r="CN2750" s="76">
        <f>+CM2750*22000</f>
        <v>0</v>
      </c>
      <c r="CO2750" s="76"/>
      <c r="CP2750" s="76">
        <f>+CO2750*46000</f>
        <v>0</v>
      </c>
      <c r="CQ2750" s="76"/>
      <c r="CR2750" s="76">
        <f>+CQ2750*49000</f>
        <v>0</v>
      </c>
      <c r="CS2750" s="76"/>
      <c r="CT2750" s="76"/>
      <c r="CU2750" s="56">
        <f>AN2750+AP2750+AR2750+AT2750+AV2750+AX2750+AZ2750+BB2750+BD2750+BF2750+BH2750+BJ2750+BL2750+BN2750+BP2750+BR2750+BT2750+BV2750+BX2750+BZ2750+CB2750+CD2750+CF2750+CH2750+CJ2750+CL2750+CN2750+CP2750+CR2750+CT2750</f>
        <v>0</v>
      </c>
      <c r="CV2750" s="76"/>
      <c r="CW2750" s="76">
        <f>+CV2750*1100</f>
        <v>0</v>
      </c>
      <c r="CX2750" s="76"/>
      <c r="CY2750" s="76">
        <f>+CX2750*106250</f>
        <v>0</v>
      </c>
      <c r="CZ2750" s="76"/>
      <c r="DA2750" s="76">
        <f>+CZ2750*34500</f>
        <v>0</v>
      </c>
      <c r="DB2750" s="76"/>
      <c r="DC2750" s="76">
        <f>+DB2750*25000</f>
        <v>0</v>
      </c>
      <c r="DD2750" s="219"/>
      <c r="DE2750" s="219"/>
      <c r="DF2750" s="166"/>
      <c r="DG2750" s="116"/>
      <c r="DH2750" s="117"/>
      <c r="DI2750" s="24"/>
      <c r="DJ2750" s="24"/>
      <c r="DK2750" s="24"/>
      <c r="DL2750" s="24"/>
      <c r="DM2750" s="24"/>
      <c r="DN2750" s="24"/>
      <c r="DO2750" s="24"/>
      <c r="DP2750" s="24"/>
      <c r="DQ2750" s="24"/>
      <c r="DR2750" s="24"/>
      <c r="DS2750" s="24"/>
      <c r="DT2750" s="24"/>
      <c r="DU2750" s="24"/>
    </row>
    <row r="2751" spans="1:125" s="8" customFormat="1" ht="60" x14ac:dyDescent="0.2">
      <c r="A2751" s="77">
        <v>41503</v>
      </c>
      <c r="B2751" s="60" t="s">
        <v>2774</v>
      </c>
      <c r="C2751" s="55" t="s">
        <v>2037</v>
      </c>
      <c r="D2751" s="55" t="s">
        <v>3088</v>
      </c>
      <c r="E2751" s="353" t="str">
        <f>VLOOKUP(B2751&amp;C2751,Divipola!$C$2:$F$1138,4,FALSE)</f>
        <v>66045</v>
      </c>
      <c r="F2751" s="272"/>
      <c r="G2751" s="272">
        <v>1</v>
      </c>
      <c r="H2751" s="272"/>
      <c r="I2751" s="272"/>
      <c r="J2751" s="272"/>
      <c r="K2751" s="272"/>
      <c r="L2751" s="272"/>
      <c r="M2751" s="272"/>
      <c r="N2751" s="272"/>
      <c r="O2751" s="272"/>
      <c r="P2751" s="272"/>
      <c r="Q2751" s="272"/>
      <c r="R2751" s="272"/>
      <c r="S2751" s="272"/>
      <c r="T2751" s="272"/>
      <c r="U2751" s="273"/>
      <c r="V2751" s="86"/>
      <c r="W2751" s="96">
        <v>0</v>
      </c>
      <c r="X2751" s="71">
        <f>CU2751</f>
        <v>0</v>
      </c>
      <c r="Y2751" s="71">
        <f>CY2751</f>
        <v>0</v>
      </c>
      <c r="Z2751" s="71">
        <f>DA2751+DC2751+DE2751</f>
        <v>0</v>
      </c>
      <c r="AA2751" s="71">
        <f>CW2751</f>
        <v>0</v>
      </c>
      <c r="AB2751" s="71"/>
      <c r="AC2751" s="71">
        <v>0</v>
      </c>
      <c r="AD2751" s="71">
        <f>W2751+X2751+Y2751+Z2751+AA2751+AB2751+AC2751</f>
        <v>0</v>
      </c>
      <c r="AE2751" s="72">
        <v>0</v>
      </c>
      <c r="AF2751" s="5"/>
      <c r="AG2751" s="6"/>
      <c r="AH2751" s="27"/>
      <c r="AI2751" s="44"/>
      <c r="AJ2751" s="26"/>
      <c r="AK2751" s="5"/>
      <c r="AL2751" s="268" t="s">
        <v>5636</v>
      </c>
      <c r="AM2751" s="76"/>
      <c r="AN2751" s="76"/>
      <c r="AO2751" s="76"/>
      <c r="AP2751" s="76"/>
      <c r="AQ2751" s="76"/>
      <c r="AR2751" s="76"/>
      <c r="AS2751" s="76"/>
      <c r="AT2751" s="76"/>
      <c r="AU2751" s="76"/>
      <c r="AV2751" s="76"/>
      <c r="AW2751" s="76"/>
      <c r="AX2751" s="76">
        <f>+AW2751*600000</f>
        <v>0</v>
      </c>
      <c r="AY2751" s="76"/>
      <c r="AZ2751" s="76">
        <f>+AY2751*70000</f>
        <v>0</v>
      </c>
      <c r="BA2751" s="76"/>
      <c r="BB2751" s="76"/>
      <c r="BC2751" s="76"/>
      <c r="BD2751" s="76">
        <f>+BC2751*30000</f>
        <v>0</v>
      </c>
      <c r="BE2751" s="76"/>
      <c r="BF2751" s="76"/>
      <c r="BG2751" s="76"/>
      <c r="BH2751" s="76"/>
      <c r="BI2751" s="76"/>
      <c r="BJ2751" s="76"/>
      <c r="BK2751" s="76"/>
      <c r="BL2751" s="76">
        <f>+BK2751*31500</f>
        <v>0</v>
      </c>
      <c r="BM2751" s="76"/>
      <c r="BN2751" s="76"/>
      <c r="BO2751" s="76"/>
      <c r="BP2751" s="76"/>
      <c r="BQ2751" s="76"/>
      <c r="BR2751" s="76"/>
      <c r="BS2751" s="76"/>
      <c r="BT2751" s="76"/>
      <c r="BU2751" s="76"/>
      <c r="BV2751" s="76"/>
      <c r="BW2751" s="76"/>
      <c r="BX2751" s="76"/>
      <c r="BY2751" s="76"/>
      <c r="BZ2751" s="76"/>
      <c r="CA2751" s="76"/>
      <c r="CB2751" s="76"/>
      <c r="CC2751" s="76"/>
      <c r="CD2751" s="76"/>
      <c r="CE2751" s="76"/>
      <c r="CF2751" s="76">
        <f>+CE2751*28000</f>
        <v>0</v>
      </c>
      <c r="CG2751" s="76"/>
      <c r="CH2751" s="76">
        <f>+CG2751*22500</f>
        <v>0</v>
      </c>
      <c r="CI2751" s="76"/>
      <c r="CJ2751" s="76">
        <f>+CI2751*26000</f>
        <v>0</v>
      </c>
      <c r="CK2751" s="76"/>
      <c r="CL2751" s="76"/>
      <c r="CM2751" s="76"/>
      <c r="CN2751" s="76">
        <f>+CM2751*22000</f>
        <v>0</v>
      </c>
      <c r="CO2751" s="76"/>
      <c r="CP2751" s="76">
        <f>+CO2751*46000</f>
        <v>0</v>
      </c>
      <c r="CQ2751" s="76"/>
      <c r="CR2751" s="76">
        <f>+CQ2751*49000</f>
        <v>0</v>
      </c>
      <c r="CS2751" s="76"/>
      <c r="CT2751" s="76"/>
      <c r="CU2751" s="56">
        <f>AN2751+AP2751+AR2751+AT2751+AV2751+AX2751+AZ2751+BB2751+BD2751+BF2751+BH2751+BJ2751+BL2751+BN2751+BP2751+BR2751+BT2751+BV2751+BX2751+BZ2751+CB2751+CD2751+CF2751+CH2751+CJ2751+CL2751+CN2751+CP2751+CR2751+CT2751</f>
        <v>0</v>
      </c>
      <c r="CV2751" s="76"/>
      <c r="CW2751" s="76">
        <f>+CV2751*1100</f>
        <v>0</v>
      </c>
      <c r="CX2751" s="76"/>
      <c r="CY2751" s="76">
        <f>+CX2751*106250</f>
        <v>0</v>
      </c>
      <c r="CZ2751" s="76"/>
      <c r="DA2751" s="76">
        <f>+CZ2751*34500</f>
        <v>0</v>
      </c>
      <c r="DB2751" s="76"/>
      <c r="DC2751" s="76">
        <f>+DB2751*25000</f>
        <v>0</v>
      </c>
      <c r="DD2751" s="219"/>
      <c r="DE2751" s="219"/>
      <c r="DF2751" s="166"/>
      <c r="DG2751" s="116"/>
      <c r="DH2751" s="117"/>
      <c r="DI2751" s="24"/>
      <c r="DJ2751" s="24"/>
      <c r="DK2751" s="24"/>
      <c r="DL2751" s="24"/>
      <c r="DM2751" s="24"/>
      <c r="DN2751" s="24"/>
      <c r="DO2751" s="24"/>
      <c r="DP2751" s="24"/>
      <c r="DQ2751" s="24"/>
      <c r="DR2751" s="24"/>
      <c r="DS2751" s="24"/>
      <c r="DT2751" s="24"/>
      <c r="DU2751" s="24"/>
    </row>
    <row r="2752" spans="1:125" s="8" customFormat="1" ht="48" x14ac:dyDescent="0.2">
      <c r="A2752" s="77">
        <v>41503</v>
      </c>
      <c r="B2752" s="225" t="s">
        <v>2774</v>
      </c>
      <c r="C2752" s="227" t="s">
        <v>284</v>
      </c>
      <c r="D2752" s="354" t="s">
        <v>2882</v>
      </c>
      <c r="E2752" s="353" t="str">
        <f>VLOOKUP(B2752&amp;C2752,Divipola!$C$2:$F$1138,4,FALSE)</f>
        <v>66170</v>
      </c>
      <c r="F2752" s="87"/>
      <c r="G2752" s="87"/>
      <c r="H2752" s="87"/>
      <c r="I2752" s="87">
        <v>5</v>
      </c>
      <c r="J2752" s="87">
        <v>1</v>
      </c>
      <c r="K2752" s="87"/>
      <c r="L2752" s="87">
        <v>1</v>
      </c>
      <c r="M2752" s="87"/>
      <c r="N2752" s="87"/>
      <c r="O2752" s="87"/>
      <c r="P2752" s="87"/>
      <c r="Q2752" s="87"/>
      <c r="R2752" s="87"/>
      <c r="S2752" s="87"/>
      <c r="T2752" s="87"/>
      <c r="U2752" s="88"/>
      <c r="V2752" s="89"/>
      <c r="W2752" s="96">
        <v>0</v>
      </c>
      <c r="X2752" s="71">
        <f>CU2752</f>
        <v>0</v>
      </c>
      <c r="Y2752" s="71">
        <f>CY2752</f>
        <v>0</v>
      </c>
      <c r="Z2752" s="71">
        <f>DA2752+DC2752+DE2752</f>
        <v>0</v>
      </c>
      <c r="AA2752" s="71">
        <f>CW2752</f>
        <v>0</v>
      </c>
      <c r="AB2752" s="71"/>
      <c r="AC2752" s="71">
        <v>0</v>
      </c>
      <c r="AD2752" s="71">
        <f>W2752+X2752+Y2752+Z2752+AA2752+AB2752+AC2752</f>
        <v>0</v>
      </c>
      <c r="AE2752" s="72">
        <v>0</v>
      </c>
      <c r="AF2752" s="5"/>
      <c r="AG2752" s="6"/>
      <c r="AH2752" s="27"/>
      <c r="AI2752" s="44"/>
      <c r="AJ2752" s="26"/>
      <c r="AK2752" s="5"/>
      <c r="AL2752" s="274" t="s">
        <v>5637</v>
      </c>
      <c r="AM2752" s="76"/>
      <c r="AN2752" s="76"/>
      <c r="AO2752" s="76"/>
      <c r="AP2752" s="76"/>
      <c r="AQ2752" s="76"/>
      <c r="AR2752" s="76"/>
      <c r="AS2752" s="76"/>
      <c r="AT2752" s="76"/>
      <c r="AU2752" s="76"/>
      <c r="AV2752" s="76"/>
      <c r="AW2752" s="76"/>
      <c r="AX2752" s="76">
        <f>+AW2752*600000</f>
        <v>0</v>
      </c>
      <c r="AY2752" s="76"/>
      <c r="AZ2752" s="76">
        <f>+AY2752*70000</f>
        <v>0</v>
      </c>
      <c r="BA2752" s="76"/>
      <c r="BB2752" s="76"/>
      <c r="BC2752" s="76"/>
      <c r="BD2752" s="76">
        <f>+BC2752*30000</f>
        <v>0</v>
      </c>
      <c r="BE2752" s="76"/>
      <c r="BF2752" s="76"/>
      <c r="BG2752" s="76"/>
      <c r="BH2752" s="76"/>
      <c r="BI2752" s="76"/>
      <c r="BJ2752" s="76"/>
      <c r="BK2752" s="76"/>
      <c r="BL2752" s="76">
        <f>+BK2752*31500</f>
        <v>0</v>
      </c>
      <c r="BM2752" s="76"/>
      <c r="BN2752" s="76"/>
      <c r="BO2752" s="76"/>
      <c r="BP2752" s="76"/>
      <c r="BQ2752" s="76"/>
      <c r="BR2752" s="76"/>
      <c r="BS2752" s="76"/>
      <c r="BT2752" s="76"/>
      <c r="BU2752" s="76"/>
      <c r="BV2752" s="76"/>
      <c r="BW2752" s="76"/>
      <c r="BX2752" s="76"/>
      <c r="BY2752" s="76"/>
      <c r="BZ2752" s="76"/>
      <c r="CA2752" s="76"/>
      <c r="CB2752" s="76"/>
      <c r="CC2752" s="76"/>
      <c r="CD2752" s="76"/>
      <c r="CE2752" s="76"/>
      <c r="CF2752" s="76">
        <f>+CE2752*28000</f>
        <v>0</v>
      </c>
      <c r="CG2752" s="76"/>
      <c r="CH2752" s="76">
        <f>+CG2752*22500</f>
        <v>0</v>
      </c>
      <c r="CI2752" s="76"/>
      <c r="CJ2752" s="76">
        <f>+CI2752*26000</f>
        <v>0</v>
      </c>
      <c r="CK2752" s="76"/>
      <c r="CL2752" s="76"/>
      <c r="CM2752" s="76"/>
      <c r="CN2752" s="76">
        <f>+CM2752*22000</f>
        <v>0</v>
      </c>
      <c r="CO2752" s="76"/>
      <c r="CP2752" s="76">
        <f>+CO2752*46000</f>
        <v>0</v>
      </c>
      <c r="CQ2752" s="76"/>
      <c r="CR2752" s="76">
        <f>+CQ2752*49000</f>
        <v>0</v>
      </c>
      <c r="CS2752" s="76"/>
      <c r="CT2752" s="76"/>
      <c r="CU2752" s="56">
        <f>AN2752+AP2752+AR2752+AT2752+AV2752+AX2752+AZ2752+BB2752+BD2752+BF2752+BH2752+BJ2752+BL2752+BN2752+BP2752+BR2752+BT2752+BV2752+BX2752+BZ2752+CB2752+CD2752+CF2752+CH2752+CJ2752+CL2752+CN2752+CP2752+CR2752+CT2752</f>
        <v>0</v>
      </c>
      <c r="CV2752" s="76"/>
      <c r="CW2752" s="76">
        <f>+CV2752*1100</f>
        <v>0</v>
      </c>
      <c r="CX2752" s="76"/>
      <c r="CY2752" s="76">
        <f>+CX2752*106250</f>
        <v>0</v>
      </c>
      <c r="CZ2752" s="76"/>
      <c r="DA2752" s="76">
        <f>+CZ2752*34500</f>
        <v>0</v>
      </c>
      <c r="DB2752" s="76"/>
      <c r="DC2752" s="76">
        <f>+DB2752*25000</f>
        <v>0</v>
      </c>
      <c r="DD2752" s="219"/>
      <c r="DE2752" s="219"/>
      <c r="DF2752" s="166"/>
      <c r="DG2752" s="116"/>
      <c r="DH2752" s="117"/>
      <c r="DI2752" s="24"/>
      <c r="DJ2752" s="24"/>
      <c r="DK2752" s="24"/>
      <c r="DL2752" s="24"/>
      <c r="DM2752" s="24"/>
      <c r="DN2752" s="24"/>
      <c r="DO2752" s="24"/>
      <c r="DP2752" s="24"/>
      <c r="DQ2752" s="24"/>
      <c r="DR2752" s="24"/>
      <c r="DS2752" s="24"/>
      <c r="DT2752" s="24"/>
      <c r="DU2752" s="24"/>
    </row>
    <row r="2753" spans="1:125" s="8" customFormat="1" ht="108" x14ac:dyDescent="0.2">
      <c r="A2753" s="77">
        <v>41503</v>
      </c>
      <c r="B2753" s="352" t="s">
        <v>2847</v>
      </c>
      <c r="C2753" s="354" t="s">
        <v>1789</v>
      </c>
      <c r="D2753" s="354" t="s">
        <v>3088</v>
      </c>
      <c r="E2753" s="353" t="str">
        <f>VLOOKUP(B2753&amp;C2753,Divipola!$C$2:$F$1138,4,FALSE)</f>
        <v>68861</v>
      </c>
      <c r="F2753" s="272"/>
      <c r="G2753" s="272"/>
      <c r="H2753" s="272"/>
      <c r="I2753" s="272"/>
      <c r="J2753" s="272"/>
      <c r="K2753" s="272"/>
      <c r="L2753" s="272"/>
      <c r="M2753" s="272">
        <v>1</v>
      </c>
      <c r="N2753" s="272"/>
      <c r="O2753" s="272"/>
      <c r="P2753" s="272"/>
      <c r="Q2753" s="272"/>
      <c r="R2753" s="272"/>
      <c r="S2753" s="272"/>
      <c r="T2753" s="272"/>
      <c r="U2753" s="273"/>
      <c r="V2753" s="86"/>
      <c r="W2753" s="96">
        <v>0</v>
      </c>
      <c r="X2753" s="71">
        <f>CU2753</f>
        <v>0</v>
      </c>
      <c r="Y2753" s="71">
        <f>CY2753</f>
        <v>0</v>
      </c>
      <c r="Z2753" s="71">
        <f>DA2753+DC2753+DE2753</f>
        <v>0</v>
      </c>
      <c r="AA2753" s="71">
        <f>CW2753</f>
        <v>0</v>
      </c>
      <c r="AB2753" s="71"/>
      <c r="AC2753" s="71">
        <v>0</v>
      </c>
      <c r="AD2753" s="71">
        <f>W2753+X2753+Y2753+Z2753+AA2753+AB2753+AC2753</f>
        <v>0</v>
      </c>
      <c r="AE2753" s="72">
        <v>0</v>
      </c>
      <c r="AF2753" s="5"/>
      <c r="AG2753" s="6"/>
      <c r="AH2753" s="27"/>
      <c r="AI2753" s="44"/>
      <c r="AJ2753" s="26"/>
      <c r="AK2753" s="5"/>
      <c r="AL2753" s="274" t="s">
        <v>5634</v>
      </c>
      <c r="AM2753" s="76"/>
      <c r="AN2753" s="76"/>
      <c r="AO2753" s="76"/>
      <c r="AP2753" s="76"/>
      <c r="AQ2753" s="76"/>
      <c r="AR2753" s="76"/>
      <c r="AS2753" s="76"/>
      <c r="AT2753" s="76"/>
      <c r="AU2753" s="76"/>
      <c r="AV2753" s="76"/>
      <c r="AW2753" s="76"/>
      <c r="AX2753" s="76">
        <f>+AW2753*600000</f>
        <v>0</v>
      </c>
      <c r="AY2753" s="76"/>
      <c r="AZ2753" s="76">
        <f>+AY2753*70000</f>
        <v>0</v>
      </c>
      <c r="BA2753" s="76"/>
      <c r="BB2753" s="76"/>
      <c r="BC2753" s="76"/>
      <c r="BD2753" s="76">
        <f>+BC2753*30000</f>
        <v>0</v>
      </c>
      <c r="BE2753" s="76"/>
      <c r="BF2753" s="76"/>
      <c r="BG2753" s="76"/>
      <c r="BH2753" s="76"/>
      <c r="BI2753" s="76"/>
      <c r="BJ2753" s="76"/>
      <c r="BK2753" s="76"/>
      <c r="BL2753" s="76">
        <f>+BK2753*31500</f>
        <v>0</v>
      </c>
      <c r="BM2753" s="76"/>
      <c r="BN2753" s="76"/>
      <c r="BO2753" s="76"/>
      <c r="BP2753" s="76"/>
      <c r="BQ2753" s="76"/>
      <c r="BR2753" s="76"/>
      <c r="BS2753" s="76"/>
      <c r="BT2753" s="76"/>
      <c r="BU2753" s="76"/>
      <c r="BV2753" s="76"/>
      <c r="BW2753" s="76"/>
      <c r="BX2753" s="76"/>
      <c r="BY2753" s="76"/>
      <c r="BZ2753" s="76"/>
      <c r="CA2753" s="76"/>
      <c r="CB2753" s="76"/>
      <c r="CC2753" s="76"/>
      <c r="CD2753" s="76"/>
      <c r="CE2753" s="76"/>
      <c r="CF2753" s="76">
        <f>+CE2753*28000</f>
        <v>0</v>
      </c>
      <c r="CG2753" s="76"/>
      <c r="CH2753" s="76">
        <f>+CG2753*22500</f>
        <v>0</v>
      </c>
      <c r="CI2753" s="76"/>
      <c r="CJ2753" s="76">
        <f>+CI2753*26000</f>
        <v>0</v>
      </c>
      <c r="CK2753" s="76"/>
      <c r="CL2753" s="76"/>
      <c r="CM2753" s="76"/>
      <c r="CN2753" s="76">
        <f>+CM2753*22000</f>
        <v>0</v>
      </c>
      <c r="CO2753" s="76"/>
      <c r="CP2753" s="76">
        <f>+CO2753*46000</f>
        <v>0</v>
      </c>
      <c r="CQ2753" s="76"/>
      <c r="CR2753" s="76">
        <f>+CQ2753*49000</f>
        <v>0</v>
      </c>
      <c r="CS2753" s="76"/>
      <c r="CT2753" s="76"/>
      <c r="CU2753" s="56">
        <f>AN2753+AP2753+AR2753+AT2753+AV2753+AX2753+AZ2753+BB2753+BD2753+BF2753+BH2753+BJ2753+BL2753+BN2753+BP2753+BR2753+BT2753+BV2753+BX2753+BZ2753+CB2753+CD2753+CF2753+CH2753+CJ2753+CL2753+CN2753+CP2753+CR2753+CT2753</f>
        <v>0</v>
      </c>
      <c r="CV2753" s="76"/>
      <c r="CW2753" s="76">
        <f>+CV2753*1100</f>
        <v>0</v>
      </c>
      <c r="CX2753" s="76"/>
      <c r="CY2753" s="76">
        <f>+CX2753*106250</f>
        <v>0</v>
      </c>
      <c r="CZ2753" s="76"/>
      <c r="DA2753" s="76">
        <f>+CZ2753*34500</f>
        <v>0</v>
      </c>
      <c r="DB2753" s="76"/>
      <c r="DC2753" s="76">
        <f>+DB2753*25000</f>
        <v>0</v>
      </c>
      <c r="DD2753" s="219"/>
      <c r="DE2753" s="219"/>
      <c r="DF2753" s="166"/>
      <c r="DG2753" s="116"/>
      <c r="DH2753" s="117"/>
      <c r="DI2753" s="24"/>
      <c r="DJ2753" s="24"/>
      <c r="DK2753" s="24"/>
      <c r="DL2753" s="24"/>
      <c r="DM2753" s="24"/>
      <c r="DN2753" s="24"/>
      <c r="DO2753" s="24"/>
      <c r="DP2753" s="24"/>
      <c r="DQ2753" s="24"/>
      <c r="DR2753" s="24"/>
      <c r="DS2753" s="24"/>
      <c r="DT2753" s="24"/>
      <c r="DU2753" s="24"/>
    </row>
    <row r="2754" spans="1:125" s="8" customFormat="1" ht="108" x14ac:dyDescent="0.2">
      <c r="A2754" s="77">
        <v>41503</v>
      </c>
      <c r="B2754" s="352" t="s">
        <v>2848</v>
      </c>
      <c r="C2754" s="354" t="s">
        <v>2214</v>
      </c>
      <c r="D2754" s="354" t="s">
        <v>3088</v>
      </c>
      <c r="E2754" s="353" t="str">
        <f>VLOOKUP(B2754&amp;C2754,Divipola!$C$2:$F$1138,4,FALSE)</f>
        <v>73283</v>
      </c>
      <c r="F2754" s="272"/>
      <c r="G2754" s="272"/>
      <c r="H2754" s="272"/>
      <c r="I2754" s="272"/>
      <c r="J2754" s="272"/>
      <c r="K2754" s="272"/>
      <c r="L2754" s="272"/>
      <c r="M2754" s="272"/>
      <c r="N2754" s="272"/>
      <c r="O2754" s="272"/>
      <c r="P2754" s="272">
        <v>1</v>
      </c>
      <c r="Q2754" s="272"/>
      <c r="R2754" s="272"/>
      <c r="S2754" s="272"/>
      <c r="T2754" s="272"/>
      <c r="U2754" s="273"/>
      <c r="V2754" s="86"/>
      <c r="W2754" s="96">
        <v>0</v>
      </c>
      <c r="X2754" s="71">
        <f>CU2754</f>
        <v>0</v>
      </c>
      <c r="Y2754" s="71">
        <f>CY2754</f>
        <v>0</v>
      </c>
      <c r="Z2754" s="71">
        <f>DA2754+DC2754+DE2754</f>
        <v>0</v>
      </c>
      <c r="AA2754" s="71">
        <f>CW2754</f>
        <v>0</v>
      </c>
      <c r="AB2754" s="71"/>
      <c r="AC2754" s="71">
        <v>0</v>
      </c>
      <c r="AD2754" s="71">
        <f>W2754+X2754+Y2754+Z2754+AA2754+AB2754+AC2754</f>
        <v>0</v>
      </c>
      <c r="AE2754" s="72">
        <v>0</v>
      </c>
      <c r="AF2754" s="5"/>
      <c r="AG2754" s="6"/>
      <c r="AH2754" s="27"/>
      <c r="AI2754" s="44"/>
      <c r="AJ2754" s="26"/>
      <c r="AK2754" s="5"/>
      <c r="AL2754" s="275" t="s">
        <v>5635</v>
      </c>
      <c r="AM2754" s="76"/>
      <c r="AN2754" s="76"/>
      <c r="AO2754" s="76"/>
      <c r="AP2754" s="76"/>
      <c r="AQ2754" s="76"/>
      <c r="AR2754" s="76"/>
      <c r="AS2754" s="76"/>
      <c r="AT2754" s="76"/>
      <c r="AU2754" s="76"/>
      <c r="AV2754" s="76"/>
      <c r="AW2754" s="76"/>
      <c r="AX2754" s="76">
        <f>+AW2754*600000</f>
        <v>0</v>
      </c>
      <c r="AY2754" s="76"/>
      <c r="AZ2754" s="76">
        <f>+AY2754*70000</f>
        <v>0</v>
      </c>
      <c r="BA2754" s="76"/>
      <c r="BB2754" s="76"/>
      <c r="BC2754" s="76"/>
      <c r="BD2754" s="76">
        <f>+BC2754*30000</f>
        <v>0</v>
      </c>
      <c r="BE2754" s="76"/>
      <c r="BF2754" s="76"/>
      <c r="BG2754" s="76"/>
      <c r="BH2754" s="76"/>
      <c r="BI2754" s="76"/>
      <c r="BJ2754" s="76"/>
      <c r="BK2754" s="76"/>
      <c r="BL2754" s="76">
        <f>+BK2754*31500</f>
        <v>0</v>
      </c>
      <c r="BM2754" s="76"/>
      <c r="BN2754" s="76"/>
      <c r="BO2754" s="76"/>
      <c r="BP2754" s="76"/>
      <c r="BQ2754" s="76"/>
      <c r="BR2754" s="76"/>
      <c r="BS2754" s="76"/>
      <c r="BT2754" s="76"/>
      <c r="BU2754" s="76"/>
      <c r="BV2754" s="76"/>
      <c r="BW2754" s="76"/>
      <c r="BX2754" s="76"/>
      <c r="BY2754" s="76"/>
      <c r="BZ2754" s="76"/>
      <c r="CA2754" s="76"/>
      <c r="CB2754" s="76"/>
      <c r="CC2754" s="76"/>
      <c r="CD2754" s="76"/>
      <c r="CE2754" s="76"/>
      <c r="CF2754" s="76">
        <f>+CE2754*28000</f>
        <v>0</v>
      </c>
      <c r="CG2754" s="76"/>
      <c r="CH2754" s="76">
        <f>+CG2754*22500</f>
        <v>0</v>
      </c>
      <c r="CI2754" s="76"/>
      <c r="CJ2754" s="76">
        <f>+CI2754*26000</f>
        <v>0</v>
      </c>
      <c r="CK2754" s="76"/>
      <c r="CL2754" s="76"/>
      <c r="CM2754" s="76"/>
      <c r="CN2754" s="76">
        <f>+CM2754*22000</f>
        <v>0</v>
      </c>
      <c r="CO2754" s="76"/>
      <c r="CP2754" s="76">
        <f>+CO2754*46000</f>
        <v>0</v>
      </c>
      <c r="CQ2754" s="76"/>
      <c r="CR2754" s="76">
        <f>+CQ2754*49000</f>
        <v>0</v>
      </c>
      <c r="CS2754" s="76"/>
      <c r="CT2754" s="76"/>
      <c r="CU2754" s="56">
        <f>AN2754+AP2754+AR2754+AT2754+AV2754+AX2754+AZ2754+BB2754+BD2754+BF2754+BH2754+BJ2754+BL2754+BN2754+BP2754+BR2754+BT2754+BV2754+BX2754+BZ2754+CB2754+CD2754+CF2754+CH2754+CJ2754+CL2754+CN2754+CP2754+CR2754+CT2754</f>
        <v>0</v>
      </c>
      <c r="CV2754" s="76"/>
      <c r="CW2754" s="76">
        <f>+CV2754*1100</f>
        <v>0</v>
      </c>
      <c r="CX2754" s="76"/>
      <c r="CY2754" s="76">
        <f>+CX2754*106250</f>
        <v>0</v>
      </c>
      <c r="CZ2754" s="76"/>
      <c r="DA2754" s="76">
        <f>+CZ2754*34500</f>
        <v>0</v>
      </c>
      <c r="DB2754" s="76"/>
      <c r="DC2754" s="76">
        <f>+DB2754*25000</f>
        <v>0</v>
      </c>
      <c r="DD2754" s="219"/>
      <c r="DE2754" s="219"/>
      <c r="DF2754" s="166"/>
      <c r="DG2754" s="116"/>
      <c r="DH2754" s="117"/>
      <c r="DI2754" s="24"/>
      <c r="DJ2754" s="24"/>
      <c r="DK2754" s="24"/>
      <c r="DL2754" s="24"/>
      <c r="DM2754" s="24"/>
      <c r="DN2754" s="24"/>
      <c r="DO2754" s="24"/>
      <c r="DP2754" s="24"/>
      <c r="DQ2754" s="24"/>
      <c r="DR2754" s="24"/>
      <c r="DS2754" s="24"/>
      <c r="DT2754" s="24"/>
      <c r="DU2754" s="24"/>
    </row>
    <row r="2755" spans="1:125" s="8" customFormat="1" ht="22.5" x14ac:dyDescent="0.2">
      <c r="A2755" s="77">
        <v>41504</v>
      </c>
      <c r="B2755" s="78" t="s">
        <v>2087</v>
      </c>
      <c r="C2755" s="75" t="s">
        <v>2088</v>
      </c>
      <c r="D2755" s="75" t="s">
        <v>3051</v>
      </c>
      <c r="E2755" s="75" t="str">
        <f>VLOOKUP(B2755&amp;C2755,Divipola!$C$2:$F$1138,4,FALSE)</f>
        <v>18205</v>
      </c>
      <c r="F2755" s="61"/>
      <c r="G2755" s="61"/>
      <c r="H2755" s="61"/>
      <c r="I2755" s="61">
        <v>1525</v>
      </c>
      <c r="J2755" s="61">
        <v>305</v>
      </c>
      <c r="K2755" s="61"/>
      <c r="L2755" s="61">
        <v>77</v>
      </c>
      <c r="M2755" s="61"/>
      <c r="N2755" s="61"/>
      <c r="O2755" s="61"/>
      <c r="P2755" s="61"/>
      <c r="Q2755" s="61"/>
      <c r="R2755" s="61"/>
      <c r="S2755" s="61"/>
      <c r="T2755" s="61"/>
      <c r="U2755" s="61">
        <v>689</v>
      </c>
      <c r="V2755" s="7" t="s">
        <v>6174</v>
      </c>
      <c r="W2755" s="96">
        <v>0</v>
      </c>
      <c r="X2755" s="71">
        <f>CU2755</f>
        <v>54519406.079999998</v>
      </c>
      <c r="Y2755" s="71">
        <f>CY2755</f>
        <v>24404200.640000001</v>
      </c>
      <c r="Z2755" s="71">
        <f>DA2755+DC2755+DE2755</f>
        <v>32797840</v>
      </c>
      <c r="AA2755" s="71">
        <f>CW2755</f>
        <v>0</v>
      </c>
      <c r="AB2755" s="71"/>
      <c r="AC2755" s="71">
        <v>0</v>
      </c>
      <c r="AD2755" s="71">
        <f>W2755+X2755+Y2755+Z2755+AA2755+AB2755+AC2755</f>
        <v>111721446.72</v>
      </c>
      <c r="AE2755" s="72">
        <v>0</v>
      </c>
      <c r="AF2755" s="5"/>
      <c r="AG2755" s="6"/>
      <c r="AH2755" s="27"/>
      <c r="AI2755" s="44"/>
      <c r="AJ2755" s="26"/>
      <c r="AK2755" s="5"/>
      <c r="AL2755" s="9"/>
      <c r="AM2755" s="76"/>
      <c r="AN2755" s="76"/>
      <c r="AO2755" s="76"/>
      <c r="AP2755" s="76"/>
      <c r="AQ2755" s="76"/>
      <c r="AR2755" s="76"/>
      <c r="AS2755" s="76"/>
      <c r="AT2755" s="76"/>
      <c r="AU2755" s="76"/>
      <c r="AV2755" s="76"/>
      <c r="AW2755" s="76"/>
      <c r="AX2755" s="76">
        <f>+AW2755*600000</f>
        <v>0</v>
      </c>
      <c r="AY2755" s="86">
        <v>464</v>
      </c>
      <c r="AZ2755" s="86">
        <f>+AY2755*69999.04</f>
        <v>32479554.559999999</v>
      </c>
      <c r="BA2755" s="76"/>
      <c r="BB2755" s="76"/>
      <c r="BC2755" s="76"/>
      <c r="BD2755" s="76">
        <f>+BC2755*30000</f>
        <v>0</v>
      </c>
      <c r="BE2755" s="76"/>
      <c r="BF2755" s="76"/>
      <c r="BG2755" s="76"/>
      <c r="BH2755" s="76"/>
      <c r="BI2755" s="76"/>
      <c r="BJ2755" s="76"/>
      <c r="BK2755" s="76"/>
      <c r="BL2755" s="76">
        <f>+BK2755*31500</f>
        <v>0</v>
      </c>
      <c r="BM2755" s="76"/>
      <c r="BN2755" s="76"/>
      <c r="BO2755" s="76"/>
      <c r="BP2755" s="76"/>
      <c r="BQ2755" s="76"/>
      <c r="BR2755" s="76"/>
      <c r="BS2755" s="76"/>
      <c r="BT2755" s="76"/>
      <c r="BU2755" s="76"/>
      <c r="BV2755" s="76"/>
      <c r="BW2755" s="76"/>
      <c r="BX2755" s="76"/>
      <c r="BY2755" s="76"/>
      <c r="BZ2755" s="76"/>
      <c r="CA2755" s="76"/>
      <c r="CB2755" s="76"/>
      <c r="CC2755" s="76"/>
      <c r="CD2755" s="76"/>
      <c r="CE2755" s="76"/>
      <c r="CF2755" s="76">
        <f>+CE2755*28000</f>
        <v>0</v>
      </c>
      <c r="CG2755" s="76"/>
      <c r="CH2755" s="76">
        <f>+CG2755*22500</f>
        <v>0</v>
      </c>
      <c r="CI2755" s="76"/>
      <c r="CJ2755" s="76">
        <f>+CI2755*26000</f>
        <v>0</v>
      </c>
      <c r="CK2755" s="76"/>
      <c r="CL2755" s="76"/>
      <c r="CM2755" s="76"/>
      <c r="CN2755" s="76">
        <f>+CM2755*22000</f>
        <v>0</v>
      </c>
      <c r="CO2755" s="86">
        <v>232</v>
      </c>
      <c r="CP2755" s="86">
        <f>+CO2755*45999.8</f>
        <v>10671953.600000001</v>
      </c>
      <c r="CQ2755" s="86">
        <v>232</v>
      </c>
      <c r="CR2755" s="86">
        <f>+CQ2755*48999.56</f>
        <v>11367897.92</v>
      </c>
      <c r="CS2755" s="76"/>
      <c r="CT2755" s="76"/>
      <c r="CU2755" s="56">
        <f>AN2755+AP2755+AR2755+AT2755+AV2755+AX2755+AZ2755+BB2755+BD2755+BF2755+BH2755+BJ2755+BL2755+BN2755+BP2755+BR2755+BT2755+BV2755+BX2755+BZ2755+CB2755+CD2755+CF2755+CH2755+CJ2755+CL2755+CN2755+CP2755+CR2755+CT2755</f>
        <v>54519406.079999998</v>
      </c>
      <c r="CV2755" s="76"/>
      <c r="CW2755" s="76">
        <f>+CV2755*1100</f>
        <v>0</v>
      </c>
      <c r="CX2755" s="86">
        <v>232</v>
      </c>
      <c r="CY2755" s="86">
        <f>+CX2755*105190.52</f>
        <v>24404200.640000001</v>
      </c>
      <c r="CZ2755" s="76"/>
      <c r="DA2755" s="76">
        <f>+CZ2755*34500</f>
        <v>0</v>
      </c>
      <c r="DB2755" s="86">
        <v>1000</v>
      </c>
      <c r="DC2755" s="86">
        <f>+DB2755*31999.76+4000*199.52</f>
        <v>32797840</v>
      </c>
      <c r="DD2755" s="219"/>
      <c r="DE2755" s="219"/>
      <c r="DF2755" s="166"/>
      <c r="DG2755" s="134" t="s">
        <v>6918</v>
      </c>
      <c r="DH2755" s="117"/>
      <c r="DI2755" s="24"/>
      <c r="DJ2755" s="24"/>
      <c r="DK2755" s="24"/>
      <c r="DL2755" s="24"/>
      <c r="DM2755" s="24"/>
      <c r="DN2755" s="24"/>
      <c r="DO2755" s="24"/>
      <c r="DP2755" s="24"/>
      <c r="DQ2755" s="24"/>
      <c r="DR2755" s="24"/>
      <c r="DS2755" s="24"/>
      <c r="DT2755" s="24"/>
      <c r="DU2755" s="24"/>
    </row>
    <row r="2756" spans="1:125" s="8" customFormat="1" ht="24" x14ac:dyDescent="0.2">
      <c r="A2756" s="353">
        <v>41504</v>
      </c>
      <c r="B2756" s="352" t="s">
        <v>2852</v>
      </c>
      <c r="C2756" s="354" t="s">
        <v>1243</v>
      </c>
      <c r="D2756" s="354" t="s">
        <v>3205</v>
      </c>
      <c r="E2756" s="353" t="str">
        <f>VLOOKUP(B2756&amp;C2756,Divipola!$C$2:$F$1138,4,FALSE)</f>
        <v>27430</v>
      </c>
      <c r="F2756" s="87"/>
      <c r="G2756" s="87"/>
      <c r="H2756" s="87"/>
      <c r="I2756" s="87">
        <v>60</v>
      </c>
      <c r="J2756" s="87">
        <v>12</v>
      </c>
      <c r="K2756" s="87">
        <v>4</v>
      </c>
      <c r="L2756" s="87">
        <v>8</v>
      </c>
      <c r="M2756" s="87"/>
      <c r="N2756" s="87"/>
      <c r="O2756" s="87"/>
      <c r="P2756" s="87"/>
      <c r="Q2756" s="87"/>
      <c r="R2756" s="87"/>
      <c r="S2756" s="87"/>
      <c r="T2756" s="87"/>
      <c r="U2756" s="88"/>
      <c r="V2756" s="89"/>
      <c r="W2756" s="96">
        <v>0</v>
      </c>
      <c r="X2756" s="71">
        <f>CU2756</f>
        <v>0</v>
      </c>
      <c r="Y2756" s="71">
        <f>CY2756</f>
        <v>0</v>
      </c>
      <c r="Z2756" s="71">
        <f>DA2756+DC2756+DE2756</f>
        <v>0</v>
      </c>
      <c r="AA2756" s="71">
        <f>CW2756</f>
        <v>0</v>
      </c>
      <c r="AB2756" s="71"/>
      <c r="AC2756" s="71">
        <v>0</v>
      </c>
      <c r="AD2756" s="71">
        <f>W2756+X2756+Y2756+Z2756+AA2756+AB2756+AC2756</f>
        <v>0</v>
      </c>
      <c r="AE2756" s="72">
        <v>0</v>
      </c>
      <c r="AF2756" s="5"/>
      <c r="AG2756" s="6"/>
      <c r="AH2756" s="27"/>
      <c r="AI2756" s="44"/>
      <c r="AJ2756" s="26"/>
      <c r="AK2756" s="5"/>
      <c r="AL2756" s="82" t="s">
        <v>5657</v>
      </c>
      <c r="AM2756" s="76"/>
      <c r="AN2756" s="76"/>
      <c r="AO2756" s="76"/>
      <c r="AP2756" s="76"/>
      <c r="AQ2756" s="76"/>
      <c r="AR2756" s="76"/>
      <c r="AS2756" s="76"/>
      <c r="AT2756" s="76"/>
      <c r="AU2756" s="76"/>
      <c r="AV2756" s="76"/>
      <c r="AW2756" s="76"/>
      <c r="AX2756" s="76">
        <f>+AW2756*600000</f>
        <v>0</v>
      </c>
      <c r="AY2756" s="76"/>
      <c r="AZ2756" s="76">
        <f>+AY2756*70000</f>
        <v>0</v>
      </c>
      <c r="BA2756" s="76"/>
      <c r="BB2756" s="76"/>
      <c r="BC2756" s="76"/>
      <c r="BD2756" s="76">
        <f>+BC2756*30000</f>
        <v>0</v>
      </c>
      <c r="BE2756" s="76"/>
      <c r="BF2756" s="76"/>
      <c r="BG2756" s="76"/>
      <c r="BH2756" s="76"/>
      <c r="BI2756" s="76"/>
      <c r="BJ2756" s="76"/>
      <c r="BK2756" s="76"/>
      <c r="BL2756" s="76">
        <f>+BK2756*31500</f>
        <v>0</v>
      </c>
      <c r="BM2756" s="76"/>
      <c r="BN2756" s="76"/>
      <c r="BO2756" s="76"/>
      <c r="BP2756" s="76"/>
      <c r="BQ2756" s="76"/>
      <c r="BR2756" s="76"/>
      <c r="BS2756" s="76"/>
      <c r="BT2756" s="76"/>
      <c r="BU2756" s="76"/>
      <c r="BV2756" s="76"/>
      <c r="BW2756" s="76"/>
      <c r="BX2756" s="76"/>
      <c r="BY2756" s="76"/>
      <c r="BZ2756" s="76"/>
      <c r="CA2756" s="76"/>
      <c r="CB2756" s="76"/>
      <c r="CC2756" s="76"/>
      <c r="CD2756" s="76"/>
      <c r="CE2756" s="76"/>
      <c r="CF2756" s="76">
        <f>+CE2756*28000</f>
        <v>0</v>
      </c>
      <c r="CG2756" s="76"/>
      <c r="CH2756" s="76">
        <f>+CG2756*22500</f>
        <v>0</v>
      </c>
      <c r="CI2756" s="76"/>
      <c r="CJ2756" s="76">
        <f>+CI2756*26000</f>
        <v>0</v>
      </c>
      <c r="CK2756" s="76"/>
      <c r="CL2756" s="76"/>
      <c r="CM2756" s="76"/>
      <c r="CN2756" s="76">
        <f>+CM2756*22000</f>
        <v>0</v>
      </c>
      <c r="CO2756" s="76"/>
      <c r="CP2756" s="76">
        <f>+CO2756*46000</f>
        <v>0</v>
      </c>
      <c r="CQ2756" s="76"/>
      <c r="CR2756" s="76">
        <f>+CQ2756*49000</f>
        <v>0</v>
      </c>
      <c r="CS2756" s="76"/>
      <c r="CT2756" s="76"/>
      <c r="CU2756" s="56">
        <f>AN2756+AP2756+AR2756+AT2756+AV2756+AX2756+AZ2756+BB2756+BD2756+BF2756+BH2756+BJ2756+BL2756+BN2756+BP2756+BR2756+BT2756+BV2756+BX2756+BZ2756+CB2756+CD2756+CF2756+CH2756+CJ2756+CL2756+CN2756+CP2756+CR2756+CT2756</f>
        <v>0</v>
      </c>
      <c r="CV2756" s="76"/>
      <c r="CW2756" s="76">
        <f>+CV2756*1100</f>
        <v>0</v>
      </c>
      <c r="CX2756" s="76"/>
      <c r="CY2756" s="76">
        <f>+CX2756*106250</f>
        <v>0</v>
      </c>
      <c r="CZ2756" s="76"/>
      <c r="DA2756" s="76">
        <f>+CZ2756*34500</f>
        <v>0</v>
      </c>
      <c r="DB2756" s="76"/>
      <c r="DC2756" s="76">
        <f>+DB2756*25000</f>
        <v>0</v>
      </c>
      <c r="DD2756" s="219"/>
      <c r="DE2756" s="219"/>
      <c r="DF2756" s="166"/>
      <c r="DG2756" s="116"/>
      <c r="DH2756" s="117"/>
      <c r="DI2756" s="24"/>
      <c r="DJ2756" s="24"/>
      <c r="DK2756" s="24"/>
      <c r="DL2756" s="24"/>
      <c r="DM2756" s="24"/>
      <c r="DN2756" s="24"/>
      <c r="DO2756" s="24"/>
      <c r="DP2756" s="24"/>
      <c r="DQ2756" s="24"/>
      <c r="DR2756" s="24"/>
      <c r="DS2756" s="24"/>
      <c r="DT2756" s="24"/>
      <c r="DU2756" s="24"/>
    </row>
    <row r="2757" spans="1:125" s="8" customFormat="1" ht="48" x14ac:dyDescent="0.2">
      <c r="A2757" s="77">
        <v>41504</v>
      </c>
      <c r="B2757" s="78" t="s">
        <v>2852</v>
      </c>
      <c r="C2757" s="75" t="s">
        <v>1243</v>
      </c>
      <c r="D2757" s="75" t="s">
        <v>3051</v>
      </c>
      <c r="E2757" s="353" t="str">
        <f>VLOOKUP(B2757&amp;C2757,Divipola!$C$2:$F$1138,4,FALSE)</f>
        <v>27430</v>
      </c>
      <c r="F2757" s="87"/>
      <c r="G2757" s="87"/>
      <c r="H2757" s="87"/>
      <c r="I2757" s="87">
        <v>185</v>
      </c>
      <c r="J2757" s="87">
        <v>37</v>
      </c>
      <c r="K2757" s="87"/>
      <c r="L2757" s="87">
        <v>37</v>
      </c>
      <c r="M2757" s="87"/>
      <c r="N2757" s="87"/>
      <c r="O2757" s="87"/>
      <c r="P2757" s="87"/>
      <c r="Q2757" s="87"/>
      <c r="R2757" s="87"/>
      <c r="S2757" s="87"/>
      <c r="T2757" s="87"/>
      <c r="U2757" s="88"/>
      <c r="V2757" s="89"/>
      <c r="W2757" s="96">
        <v>0</v>
      </c>
      <c r="X2757" s="71">
        <f>CU2757</f>
        <v>0</v>
      </c>
      <c r="Y2757" s="71">
        <f>CY2757</f>
        <v>0</v>
      </c>
      <c r="Z2757" s="71">
        <f>DA2757+DC2757+DE2757</f>
        <v>0</v>
      </c>
      <c r="AA2757" s="71">
        <f>CW2757</f>
        <v>0</v>
      </c>
      <c r="AB2757" s="71"/>
      <c r="AC2757" s="71">
        <v>0</v>
      </c>
      <c r="AD2757" s="71">
        <f>W2757+X2757+Y2757+Z2757+AA2757+AB2757+AC2757</f>
        <v>0</v>
      </c>
      <c r="AE2757" s="72">
        <v>0</v>
      </c>
      <c r="AF2757" s="5"/>
      <c r="AG2757" s="6"/>
      <c r="AH2757" s="27"/>
      <c r="AI2757" s="44"/>
      <c r="AJ2757" s="26"/>
      <c r="AK2757" s="5"/>
      <c r="AL2757" s="268" t="s">
        <v>5656</v>
      </c>
      <c r="AM2757" s="76"/>
      <c r="AN2757" s="76"/>
      <c r="AO2757" s="76"/>
      <c r="AP2757" s="76"/>
      <c r="AQ2757" s="76"/>
      <c r="AR2757" s="76"/>
      <c r="AS2757" s="76"/>
      <c r="AT2757" s="76"/>
      <c r="AU2757" s="76"/>
      <c r="AV2757" s="76"/>
      <c r="AW2757" s="76"/>
      <c r="AX2757" s="76">
        <f>+AW2757*600000</f>
        <v>0</v>
      </c>
      <c r="AY2757" s="76"/>
      <c r="AZ2757" s="76">
        <f>+AY2757*70000</f>
        <v>0</v>
      </c>
      <c r="BA2757" s="76"/>
      <c r="BB2757" s="76"/>
      <c r="BC2757" s="76"/>
      <c r="BD2757" s="76">
        <f>+BC2757*30000</f>
        <v>0</v>
      </c>
      <c r="BE2757" s="76"/>
      <c r="BF2757" s="76"/>
      <c r="BG2757" s="76"/>
      <c r="BH2757" s="76"/>
      <c r="BI2757" s="76"/>
      <c r="BJ2757" s="76"/>
      <c r="BK2757" s="76"/>
      <c r="BL2757" s="76">
        <f>+BK2757*31500</f>
        <v>0</v>
      </c>
      <c r="BM2757" s="76"/>
      <c r="BN2757" s="76"/>
      <c r="BO2757" s="76"/>
      <c r="BP2757" s="76"/>
      <c r="BQ2757" s="76"/>
      <c r="BR2757" s="76"/>
      <c r="BS2757" s="76"/>
      <c r="BT2757" s="76"/>
      <c r="BU2757" s="76"/>
      <c r="BV2757" s="76"/>
      <c r="BW2757" s="76"/>
      <c r="BX2757" s="76"/>
      <c r="BY2757" s="76"/>
      <c r="BZ2757" s="76"/>
      <c r="CA2757" s="76"/>
      <c r="CB2757" s="76"/>
      <c r="CC2757" s="76"/>
      <c r="CD2757" s="76"/>
      <c r="CE2757" s="76"/>
      <c r="CF2757" s="76">
        <f>+CE2757*28000</f>
        <v>0</v>
      </c>
      <c r="CG2757" s="76"/>
      <c r="CH2757" s="76">
        <f>+CG2757*22500</f>
        <v>0</v>
      </c>
      <c r="CI2757" s="76"/>
      <c r="CJ2757" s="76">
        <f>+CI2757*26000</f>
        <v>0</v>
      </c>
      <c r="CK2757" s="76"/>
      <c r="CL2757" s="76"/>
      <c r="CM2757" s="76"/>
      <c r="CN2757" s="76">
        <f>+CM2757*22000</f>
        <v>0</v>
      </c>
      <c r="CO2757" s="76"/>
      <c r="CP2757" s="76">
        <f>+CO2757*46000</f>
        <v>0</v>
      </c>
      <c r="CQ2757" s="76"/>
      <c r="CR2757" s="76">
        <f>+CQ2757*49000</f>
        <v>0</v>
      </c>
      <c r="CS2757" s="76"/>
      <c r="CT2757" s="76"/>
      <c r="CU2757" s="56">
        <f>AN2757+AP2757+AR2757+AT2757+AV2757+AX2757+AZ2757+BB2757+BD2757+BF2757+BH2757+BJ2757+BL2757+BN2757+BP2757+BR2757+BT2757+BV2757+BX2757+BZ2757+CB2757+CD2757+CF2757+CH2757+CJ2757+CL2757+CN2757+CP2757+CR2757+CT2757</f>
        <v>0</v>
      </c>
      <c r="CV2757" s="76"/>
      <c r="CW2757" s="76">
        <f>+CV2757*1100</f>
        <v>0</v>
      </c>
      <c r="CX2757" s="76"/>
      <c r="CY2757" s="76">
        <f>+CX2757*106250</f>
        <v>0</v>
      </c>
      <c r="CZ2757" s="76"/>
      <c r="DA2757" s="76">
        <f>+CZ2757*34500</f>
        <v>0</v>
      </c>
      <c r="DB2757" s="76"/>
      <c r="DC2757" s="76">
        <f>+DB2757*25000</f>
        <v>0</v>
      </c>
      <c r="DD2757" s="219"/>
      <c r="DE2757" s="219"/>
      <c r="DF2757" s="166"/>
      <c r="DG2757" s="116"/>
      <c r="DH2757" s="117"/>
      <c r="DI2757" s="24"/>
      <c r="DJ2757" s="24"/>
      <c r="DK2757" s="24"/>
      <c r="DL2757" s="24"/>
      <c r="DM2757" s="24"/>
      <c r="DN2757" s="24"/>
      <c r="DO2757" s="24"/>
      <c r="DP2757" s="24"/>
      <c r="DQ2757" s="24"/>
      <c r="DR2757" s="24"/>
      <c r="DS2757" s="24"/>
      <c r="DT2757" s="24"/>
      <c r="DU2757" s="24"/>
    </row>
    <row r="2758" spans="1:125" s="8" customFormat="1" ht="48" x14ac:dyDescent="0.2">
      <c r="A2758" s="77">
        <v>41504</v>
      </c>
      <c r="B2758" s="352" t="s">
        <v>2774</v>
      </c>
      <c r="C2758" s="354" t="s">
        <v>2790</v>
      </c>
      <c r="D2758" s="354" t="s">
        <v>3051</v>
      </c>
      <c r="E2758" s="353" t="str">
        <f>VLOOKUP(B2758&amp;C2758,Divipola!$C$2:$F$1138,4,FALSE)</f>
        <v>66682</v>
      </c>
      <c r="F2758" s="87"/>
      <c r="G2758" s="87"/>
      <c r="H2758" s="87"/>
      <c r="I2758" s="87">
        <v>20</v>
      </c>
      <c r="J2758" s="87">
        <v>4</v>
      </c>
      <c r="K2758" s="87"/>
      <c r="L2758" s="87">
        <v>4</v>
      </c>
      <c r="M2758" s="87"/>
      <c r="N2758" s="87"/>
      <c r="O2758" s="87"/>
      <c r="P2758" s="87"/>
      <c r="Q2758" s="87"/>
      <c r="R2758" s="87"/>
      <c r="S2758" s="87"/>
      <c r="T2758" s="87"/>
      <c r="U2758" s="88"/>
      <c r="V2758" s="89"/>
      <c r="W2758" s="96">
        <v>0</v>
      </c>
      <c r="X2758" s="71">
        <f>CU2758</f>
        <v>0</v>
      </c>
      <c r="Y2758" s="71">
        <f>CY2758</f>
        <v>0</v>
      </c>
      <c r="Z2758" s="71">
        <f>DA2758+DC2758+DE2758</f>
        <v>0</v>
      </c>
      <c r="AA2758" s="71">
        <f>CW2758</f>
        <v>0</v>
      </c>
      <c r="AB2758" s="71"/>
      <c r="AC2758" s="71">
        <v>0</v>
      </c>
      <c r="AD2758" s="71">
        <f>W2758+X2758+Y2758+Z2758+AA2758+AB2758+AC2758</f>
        <v>0</v>
      </c>
      <c r="AE2758" s="72">
        <v>0</v>
      </c>
      <c r="AF2758" s="5"/>
      <c r="AG2758" s="6"/>
      <c r="AH2758" s="27"/>
      <c r="AI2758" s="44"/>
      <c r="AJ2758" s="26"/>
      <c r="AK2758" s="5"/>
      <c r="AL2758" s="274" t="s">
        <v>5638</v>
      </c>
      <c r="AM2758" s="76"/>
      <c r="AN2758" s="76"/>
      <c r="AO2758" s="76"/>
      <c r="AP2758" s="76"/>
      <c r="AQ2758" s="76"/>
      <c r="AR2758" s="76"/>
      <c r="AS2758" s="76"/>
      <c r="AT2758" s="76"/>
      <c r="AU2758" s="76"/>
      <c r="AV2758" s="76"/>
      <c r="AW2758" s="76"/>
      <c r="AX2758" s="76">
        <f>+AW2758*600000</f>
        <v>0</v>
      </c>
      <c r="AY2758" s="76"/>
      <c r="AZ2758" s="76">
        <f>+AY2758*70000</f>
        <v>0</v>
      </c>
      <c r="BA2758" s="76"/>
      <c r="BB2758" s="76"/>
      <c r="BC2758" s="76"/>
      <c r="BD2758" s="76">
        <f>+BC2758*30000</f>
        <v>0</v>
      </c>
      <c r="BE2758" s="76"/>
      <c r="BF2758" s="76"/>
      <c r="BG2758" s="76"/>
      <c r="BH2758" s="76"/>
      <c r="BI2758" s="76"/>
      <c r="BJ2758" s="76"/>
      <c r="BK2758" s="76"/>
      <c r="BL2758" s="76">
        <f>+BK2758*31500</f>
        <v>0</v>
      </c>
      <c r="BM2758" s="76"/>
      <c r="BN2758" s="76"/>
      <c r="BO2758" s="76"/>
      <c r="BP2758" s="76"/>
      <c r="BQ2758" s="76"/>
      <c r="BR2758" s="76"/>
      <c r="BS2758" s="76"/>
      <c r="BT2758" s="76"/>
      <c r="BU2758" s="76"/>
      <c r="BV2758" s="76"/>
      <c r="BW2758" s="76"/>
      <c r="BX2758" s="76"/>
      <c r="BY2758" s="76"/>
      <c r="BZ2758" s="76"/>
      <c r="CA2758" s="76"/>
      <c r="CB2758" s="76"/>
      <c r="CC2758" s="76"/>
      <c r="CD2758" s="76"/>
      <c r="CE2758" s="76"/>
      <c r="CF2758" s="76">
        <f>+CE2758*28000</f>
        <v>0</v>
      </c>
      <c r="CG2758" s="76"/>
      <c r="CH2758" s="76">
        <f>+CG2758*22500</f>
        <v>0</v>
      </c>
      <c r="CI2758" s="76"/>
      <c r="CJ2758" s="76">
        <f>+CI2758*26000</f>
        <v>0</v>
      </c>
      <c r="CK2758" s="76"/>
      <c r="CL2758" s="76"/>
      <c r="CM2758" s="76"/>
      <c r="CN2758" s="76">
        <f>+CM2758*22000</f>
        <v>0</v>
      </c>
      <c r="CO2758" s="76"/>
      <c r="CP2758" s="76">
        <f>+CO2758*46000</f>
        <v>0</v>
      </c>
      <c r="CQ2758" s="76"/>
      <c r="CR2758" s="76">
        <f>+CQ2758*49000</f>
        <v>0</v>
      </c>
      <c r="CS2758" s="76"/>
      <c r="CT2758" s="76"/>
      <c r="CU2758" s="56">
        <f>AN2758+AP2758+AR2758+AT2758+AV2758+AX2758+AZ2758+BB2758+BD2758+BF2758+BH2758+BJ2758+BL2758+BN2758+BP2758+BR2758+BT2758+BV2758+BX2758+BZ2758+CB2758+CD2758+CF2758+CH2758+CJ2758+CL2758+CN2758+CP2758+CR2758+CT2758</f>
        <v>0</v>
      </c>
      <c r="CV2758" s="76"/>
      <c r="CW2758" s="76">
        <f>+CV2758*1100</f>
        <v>0</v>
      </c>
      <c r="CX2758" s="76"/>
      <c r="CY2758" s="76">
        <f>+CX2758*106250</f>
        <v>0</v>
      </c>
      <c r="CZ2758" s="76"/>
      <c r="DA2758" s="76">
        <f>+CZ2758*34500</f>
        <v>0</v>
      </c>
      <c r="DB2758" s="76"/>
      <c r="DC2758" s="76">
        <f>+DB2758*25000</f>
        <v>0</v>
      </c>
      <c r="DD2758" s="219"/>
      <c r="DE2758" s="219"/>
      <c r="DF2758" s="166"/>
      <c r="DG2758" s="116"/>
      <c r="DH2758" s="117"/>
      <c r="DI2758" s="24"/>
      <c r="DJ2758" s="24"/>
      <c r="DK2758" s="24"/>
      <c r="DL2758" s="24"/>
      <c r="DM2758" s="24"/>
      <c r="DN2758" s="24"/>
      <c r="DO2758" s="24"/>
      <c r="DP2758" s="24"/>
      <c r="DQ2758" s="24"/>
      <c r="DR2758" s="24"/>
      <c r="DS2758" s="24"/>
      <c r="DT2758" s="24"/>
      <c r="DU2758" s="24"/>
    </row>
    <row r="2759" spans="1:125" s="8" customFormat="1" ht="48" x14ac:dyDescent="0.2">
      <c r="A2759" s="77">
        <v>41505</v>
      </c>
      <c r="B2759" s="78" t="s">
        <v>2852</v>
      </c>
      <c r="C2759" s="75" t="s">
        <v>2837</v>
      </c>
      <c r="D2759" s="75" t="s">
        <v>3088</v>
      </c>
      <c r="E2759" s="353" t="str">
        <f>VLOOKUP(B2759&amp;C2759,Divipola!$C$2:$F$1138,4,FALSE)</f>
        <v>27361</v>
      </c>
      <c r="F2759" s="87"/>
      <c r="G2759" s="87"/>
      <c r="H2759" s="87"/>
      <c r="I2759" s="87">
        <v>20</v>
      </c>
      <c r="J2759" s="87">
        <v>4</v>
      </c>
      <c r="K2759" s="87">
        <v>1</v>
      </c>
      <c r="L2759" s="87">
        <v>3</v>
      </c>
      <c r="M2759" s="87"/>
      <c r="N2759" s="87"/>
      <c r="O2759" s="87"/>
      <c r="P2759" s="87"/>
      <c r="Q2759" s="87"/>
      <c r="R2759" s="87"/>
      <c r="S2759" s="87"/>
      <c r="T2759" s="87"/>
      <c r="U2759" s="88"/>
      <c r="V2759" s="89"/>
      <c r="W2759" s="96">
        <v>0</v>
      </c>
      <c r="X2759" s="71">
        <f>CU2759</f>
        <v>0</v>
      </c>
      <c r="Y2759" s="71">
        <f>CY2759</f>
        <v>0</v>
      </c>
      <c r="Z2759" s="71">
        <f>DA2759+DC2759+DE2759</f>
        <v>0</v>
      </c>
      <c r="AA2759" s="71">
        <f>CW2759</f>
        <v>0</v>
      </c>
      <c r="AB2759" s="71"/>
      <c r="AC2759" s="71">
        <v>0</v>
      </c>
      <c r="AD2759" s="71">
        <f>W2759+X2759+Y2759+Z2759+AA2759+AB2759+AC2759</f>
        <v>0</v>
      </c>
      <c r="AE2759" s="72">
        <v>0</v>
      </c>
      <c r="AF2759" s="5"/>
      <c r="AG2759" s="6"/>
      <c r="AH2759" s="27"/>
      <c r="AI2759" s="44"/>
      <c r="AJ2759" s="26"/>
      <c r="AK2759" s="5"/>
      <c r="AL2759" s="268" t="s">
        <v>5640</v>
      </c>
      <c r="AM2759" s="76"/>
      <c r="AN2759" s="76"/>
      <c r="AO2759" s="76"/>
      <c r="AP2759" s="76"/>
      <c r="AQ2759" s="76"/>
      <c r="AR2759" s="76"/>
      <c r="AS2759" s="76"/>
      <c r="AT2759" s="76"/>
      <c r="AU2759" s="76"/>
      <c r="AV2759" s="76"/>
      <c r="AW2759" s="76"/>
      <c r="AX2759" s="76">
        <f>+AW2759*600000</f>
        <v>0</v>
      </c>
      <c r="AY2759" s="76"/>
      <c r="AZ2759" s="76">
        <f>+AY2759*70000</f>
        <v>0</v>
      </c>
      <c r="BA2759" s="76"/>
      <c r="BB2759" s="76"/>
      <c r="BC2759" s="76"/>
      <c r="BD2759" s="76">
        <f>+BC2759*30000</f>
        <v>0</v>
      </c>
      <c r="BE2759" s="76"/>
      <c r="BF2759" s="76"/>
      <c r="BG2759" s="76"/>
      <c r="BH2759" s="76"/>
      <c r="BI2759" s="76"/>
      <c r="BJ2759" s="76"/>
      <c r="BK2759" s="76"/>
      <c r="BL2759" s="76">
        <f>+BK2759*31500</f>
        <v>0</v>
      </c>
      <c r="BM2759" s="76"/>
      <c r="BN2759" s="76"/>
      <c r="BO2759" s="76"/>
      <c r="BP2759" s="76"/>
      <c r="BQ2759" s="76"/>
      <c r="BR2759" s="76"/>
      <c r="BS2759" s="76"/>
      <c r="BT2759" s="76"/>
      <c r="BU2759" s="76"/>
      <c r="BV2759" s="76"/>
      <c r="BW2759" s="76"/>
      <c r="BX2759" s="76"/>
      <c r="BY2759" s="76"/>
      <c r="BZ2759" s="76"/>
      <c r="CA2759" s="76"/>
      <c r="CB2759" s="76"/>
      <c r="CC2759" s="76"/>
      <c r="CD2759" s="76"/>
      <c r="CE2759" s="76"/>
      <c r="CF2759" s="76">
        <f>+CE2759*28000</f>
        <v>0</v>
      </c>
      <c r="CG2759" s="76"/>
      <c r="CH2759" s="76">
        <f>+CG2759*22500</f>
        <v>0</v>
      </c>
      <c r="CI2759" s="76"/>
      <c r="CJ2759" s="76">
        <f>+CI2759*26000</f>
        <v>0</v>
      </c>
      <c r="CK2759" s="76"/>
      <c r="CL2759" s="76"/>
      <c r="CM2759" s="76"/>
      <c r="CN2759" s="76">
        <f>+CM2759*22000</f>
        <v>0</v>
      </c>
      <c r="CO2759" s="76"/>
      <c r="CP2759" s="76">
        <f>+CO2759*46000</f>
        <v>0</v>
      </c>
      <c r="CQ2759" s="76"/>
      <c r="CR2759" s="76">
        <f>+CQ2759*49000</f>
        <v>0</v>
      </c>
      <c r="CS2759" s="76"/>
      <c r="CT2759" s="76"/>
      <c r="CU2759" s="56">
        <f>AN2759+AP2759+AR2759+AT2759+AV2759+AX2759+AZ2759+BB2759+BD2759+BF2759+BH2759+BJ2759+BL2759+BN2759+BP2759+BR2759+BT2759+BV2759+BX2759+BZ2759+CB2759+CD2759+CF2759+CH2759+CJ2759+CL2759+CN2759+CP2759+CR2759+CT2759</f>
        <v>0</v>
      </c>
      <c r="CV2759" s="76"/>
      <c r="CW2759" s="76">
        <f>+CV2759*1100</f>
        <v>0</v>
      </c>
      <c r="CX2759" s="76"/>
      <c r="CY2759" s="76">
        <f>+CX2759*106250</f>
        <v>0</v>
      </c>
      <c r="CZ2759" s="76"/>
      <c r="DA2759" s="76">
        <f>+CZ2759*34500</f>
        <v>0</v>
      </c>
      <c r="DB2759" s="76"/>
      <c r="DC2759" s="76">
        <f>+DB2759*25000</f>
        <v>0</v>
      </c>
      <c r="DD2759" s="219"/>
      <c r="DE2759" s="219"/>
      <c r="DF2759" s="166"/>
      <c r="DG2759" s="116"/>
      <c r="DH2759" s="117"/>
      <c r="DI2759" s="24"/>
      <c r="DJ2759" s="24"/>
      <c r="DK2759" s="24"/>
      <c r="DL2759" s="24"/>
      <c r="DM2759" s="24"/>
      <c r="DN2759" s="24"/>
      <c r="DO2759" s="24"/>
      <c r="DP2759" s="24"/>
      <c r="DQ2759" s="24"/>
      <c r="DR2759" s="24"/>
      <c r="DS2759" s="24"/>
      <c r="DT2759" s="24"/>
      <c r="DU2759" s="24"/>
    </row>
    <row r="2760" spans="1:125" s="8" customFormat="1" ht="60" x14ac:dyDescent="0.2">
      <c r="A2760" s="77">
        <v>41505</v>
      </c>
      <c r="B2760" s="78" t="s">
        <v>3136</v>
      </c>
      <c r="C2760" s="75" t="s">
        <v>387</v>
      </c>
      <c r="D2760" s="75" t="s">
        <v>2846</v>
      </c>
      <c r="E2760" s="353" t="str">
        <f>VLOOKUP(B2760&amp;C2760,Divipola!$C$2:$F$1138,4,FALSE)</f>
        <v>44078</v>
      </c>
      <c r="F2760" s="61"/>
      <c r="G2760" s="61"/>
      <c r="H2760" s="61"/>
      <c r="I2760" s="61"/>
      <c r="J2760" s="61"/>
      <c r="K2760" s="61"/>
      <c r="L2760" s="61"/>
      <c r="M2760" s="61"/>
      <c r="N2760" s="61"/>
      <c r="O2760" s="61"/>
      <c r="P2760" s="61"/>
      <c r="Q2760" s="61"/>
      <c r="R2760" s="61"/>
      <c r="S2760" s="61"/>
      <c r="T2760" s="61"/>
      <c r="U2760" s="61">
        <v>1</v>
      </c>
      <c r="V2760" s="7"/>
      <c r="W2760" s="96">
        <v>0</v>
      </c>
      <c r="X2760" s="71">
        <f>CU2760</f>
        <v>0</v>
      </c>
      <c r="Y2760" s="71">
        <f>CY2760</f>
        <v>0</v>
      </c>
      <c r="Z2760" s="71">
        <f>DA2760+DC2760+DE2760</f>
        <v>0</v>
      </c>
      <c r="AA2760" s="71">
        <f>CW2760</f>
        <v>0</v>
      </c>
      <c r="AB2760" s="71"/>
      <c r="AC2760" s="71">
        <v>0</v>
      </c>
      <c r="AD2760" s="71">
        <f>W2760+X2760+Y2760+Z2760+AA2760+AB2760+AC2760</f>
        <v>0</v>
      </c>
      <c r="AE2760" s="72">
        <v>0</v>
      </c>
      <c r="AF2760" s="5"/>
      <c r="AG2760" s="6"/>
      <c r="AH2760" s="27"/>
      <c r="AI2760" s="44"/>
      <c r="AJ2760" s="26"/>
      <c r="AK2760" s="5"/>
      <c r="AL2760" s="268" t="s">
        <v>5643</v>
      </c>
      <c r="AM2760" s="76"/>
      <c r="AN2760" s="76"/>
      <c r="AO2760" s="76"/>
      <c r="AP2760" s="76"/>
      <c r="AQ2760" s="76"/>
      <c r="AR2760" s="76"/>
      <c r="AS2760" s="76"/>
      <c r="AT2760" s="76"/>
      <c r="AU2760" s="76"/>
      <c r="AV2760" s="76"/>
      <c r="AW2760" s="76"/>
      <c r="AX2760" s="76">
        <f>+AW2760*600000</f>
        <v>0</v>
      </c>
      <c r="AY2760" s="76"/>
      <c r="AZ2760" s="76">
        <f>+AY2760*70000</f>
        <v>0</v>
      </c>
      <c r="BA2760" s="76"/>
      <c r="BB2760" s="76"/>
      <c r="BC2760" s="76"/>
      <c r="BD2760" s="76">
        <f>+BC2760*30000</f>
        <v>0</v>
      </c>
      <c r="BE2760" s="76"/>
      <c r="BF2760" s="76"/>
      <c r="BG2760" s="76"/>
      <c r="BH2760" s="76"/>
      <c r="BI2760" s="76"/>
      <c r="BJ2760" s="76"/>
      <c r="BK2760" s="76"/>
      <c r="BL2760" s="76">
        <f>+BK2760*31500</f>
        <v>0</v>
      </c>
      <c r="BM2760" s="76"/>
      <c r="BN2760" s="76"/>
      <c r="BO2760" s="76"/>
      <c r="BP2760" s="76"/>
      <c r="BQ2760" s="76"/>
      <c r="BR2760" s="76"/>
      <c r="BS2760" s="76"/>
      <c r="BT2760" s="76"/>
      <c r="BU2760" s="76"/>
      <c r="BV2760" s="76"/>
      <c r="BW2760" s="76"/>
      <c r="BX2760" s="76"/>
      <c r="BY2760" s="76"/>
      <c r="BZ2760" s="76"/>
      <c r="CA2760" s="76"/>
      <c r="CB2760" s="76"/>
      <c r="CC2760" s="76"/>
      <c r="CD2760" s="76"/>
      <c r="CE2760" s="76"/>
      <c r="CF2760" s="76">
        <f>+CE2760*28000</f>
        <v>0</v>
      </c>
      <c r="CG2760" s="76"/>
      <c r="CH2760" s="76">
        <f>+CG2760*22500</f>
        <v>0</v>
      </c>
      <c r="CI2760" s="76"/>
      <c r="CJ2760" s="76">
        <f>+CI2760*26000</f>
        <v>0</v>
      </c>
      <c r="CK2760" s="76"/>
      <c r="CL2760" s="76"/>
      <c r="CM2760" s="76"/>
      <c r="CN2760" s="76">
        <f>+CM2760*22000</f>
        <v>0</v>
      </c>
      <c r="CO2760" s="76"/>
      <c r="CP2760" s="76">
        <f>+CO2760*46000</f>
        <v>0</v>
      </c>
      <c r="CQ2760" s="76"/>
      <c r="CR2760" s="76">
        <f>+CQ2760*49000</f>
        <v>0</v>
      </c>
      <c r="CS2760" s="76"/>
      <c r="CT2760" s="76"/>
      <c r="CU2760" s="56">
        <f>AN2760+AP2760+AR2760+AT2760+AV2760+AX2760+AZ2760+BB2760+BD2760+BF2760+BH2760+BJ2760+BL2760+BN2760+BP2760+BR2760+BT2760+BV2760+BX2760+BZ2760+CB2760+CD2760+CF2760+CH2760+CJ2760+CL2760+CN2760+CP2760+CR2760+CT2760</f>
        <v>0</v>
      </c>
      <c r="CV2760" s="76"/>
      <c r="CW2760" s="76">
        <f>+CV2760*1100</f>
        <v>0</v>
      </c>
      <c r="CX2760" s="76"/>
      <c r="CY2760" s="76">
        <f>+CX2760*106250</f>
        <v>0</v>
      </c>
      <c r="CZ2760" s="76"/>
      <c r="DA2760" s="76">
        <f>+CZ2760*34500</f>
        <v>0</v>
      </c>
      <c r="DB2760" s="76"/>
      <c r="DC2760" s="76">
        <f>+DB2760*25000</f>
        <v>0</v>
      </c>
      <c r="DD2760" s="219"/>
      <c r="DE2760" s="219"/>
      <c r="DF2760" s="166"/>
      <c r="DG2760" s="116"/>
      <c r="DH2760" s="117"/>
      <c r="DI2760" s="24"/>
      <c r="DJ2760" s="24"/>
      <c r="DK2760" s="24"/>
      <c r="DL2760" s="24"/>
      <c r="DM2760" s="24"/>
      <c r="DN2760" s="24"/>
      <c r="DO2760" s="24"/>
      <c r="DP2760" s="24"/>
      <c r="DQ2760" s="24"/>
      <c r="DR2760" s="24"/>
      <c r="DS2760" s="24"/>
      <c r="DT2760" s="24"/>
      <c r="DU2760" s="24"/>
    </row>
    <row r="2761" spans="1:125" s="8" customFormat="1" ht="48" x14ac:dyDescent="0.2">
      <c r="A2761" s="77">
        <v>41505</v>
      </c>
      <c r="B2761" s="225" t="s">
        <v>2774</v>
      </c>
      <c r="C2761" s="227" t="s">
        <v>284</v>
      </c>
      <c r="D2761" s="227" t="s">
        <v>3088</v>
      </c>
      <c r="E2761" s="353" t="str">
        <f>VLOOKUP(B2761&amp;C2761,Divipola!$C$2:$F$1138,4,FALSE)</f>
        <v>66170</v>
      </c>
      <c r="F2761" s="87"/>
      <c r="G2761" s="87"/>
      <c r="H2761" s="87"/>
      <c r="I2761" s="87"/>
      <c r="J2761" s="87"/>
      <c r="K2761" s="87"/>
      <c r="L2761" s="87"/>
      <c r="M2761" s="87">
        <v>1</v>
      </c>
      <c r="N2761" s="87"/>
      <c r="O2761" s="87"/>
      <c r="P2761" s="87"/>
      <c r="Q2761" s="87"/>
      <c r="R2761" s="87"/>
      <c r="S2761" s="87"/>
      <c r="T2761" s="87"/>
      <c r="U2761" s="88"/>
      <c r="V2761" s="89"/>
      <c r="W2761" s="96">
        <v>0</v>
      </c>
      <c r="X2761" s="71">
        <f>CU2761</f>
        <v>0</v>
      </c>
      <c r="Y2761" s="71">
        <f>CY2761</f>
        <v>0</v>
      </c>
      <c r="Z2761" s="71">
        <f>DA2761+DC2761+DE2761</f>
        <v>0</v>
      </c>
      <c r="AA2761" s="71">
        <f>CW2761</f>
        <v>0</v>
      </c>
      <c r="AB2761" s="71"/>
      <c r="AC2761" s="71">
        <v>0</v>
      </c>
      <c r="AD2761" s="71">
        <f>W2761+X2761+Y2761+Z2761+AA2761+AB2761+AC2761</f>
        <v>0</v>
      </c>
      <c r="AE2761" s="72">
        <v>0</v>
      </c>
      <c r="AF2761" s="5"/>
      <c r="AG2761" s="6"/>
      <c r="AH2761" s="27"/>
      <c r="AI2761" s="44"/>
      <c r="AJ2761" s="26"/>
      <c r="AK2761" s="5"/>
      <c r="AL2761" s="82" t="s">
        <v>5642</v>
      </c>
      <c r="AM2761" s="76"/>
      <c r="AN2761" s="76"/>
      <c r="AO2761" s="76"/>
      <c r="AP2761" s="76"/>
      <c r="AQ2761" s="76"/>
      <c r="AR2761" s="76"/>
      <c r="AS2761" s="76"/>
      <c r="AT2761" s="76"/>
      <c r="AU2761" s="76"/>
      <c r="AV2761" s="76"/>
      <c r="AW2761" s="76"/>
      <c r="AX2761" s="76">
        <f>+AW2761*600000</f>
        <v>0</v>
      </c>
      <c r="AY2761" s="76"/>
      <c r="AZ2761" s="76">
        <f>+AY2761*70000</f>
        <v>0</v>
      </c>
      <c r="BA2761" s="76"/>
      <c r="BB2761" s="76"/>
      <c r="BC2761" s="76"/>
      <c r="BD2761" s="76">
        <f>+BC2761*30000</f>
        <v>0</v>
      </c>
      <c r="BE2761" s="76"/>
      <c r="BF2761" s="76"/>
      <c r="BG2761" s="76"/>
      <c r="BH2761" s="76"/>
      <c r="BI2761" s="76"/>
      <c r="BJ2761" s="76"/>
      <c r="BK2761" s="76"/>
      <c r="BL2761" s="76">
        <f>+BK2761*31500</f>
        <v>0</v>
      </c>
      <c r="BM2761" s="76"/>
      <c r="BN2761" s="76"/>
      <c r="BO2761" s="76"/>
      <c r="BP2761" s="76"/>
      <c r="BQ2761" s="76"/>
      <c r="BR2761" s="76"/>
      <c r="BS2761" s="76"/>
      <c r="BT2761" s="76"/>
      <c r="BU2761" s="76"/>
      <c r="BV2761" s="76"/>
      <c r="BW2761" s="76"/>
      <c r="BX2761" s="76"/>
      <c r="BY2761" s="76"/>
      <c r="BZ2761" s="76"/>
      <c r="CA2761" s="76"/>
      <c r="CB2761" s="76"/>
      <c r="CC2761" s="76"/>
      <c r="CD2761" s="76"/>
      <c r="CE2761" s="76"/>
      <c r="CF2761" s="76">
        <f>+CE2761*28000</f>
        <v>0</v>
      </c>
      <c r="CG2761" s="76"/>
      <c r="CH2761" s="76">
        <f>+CG2761*22500</f>
        <v>0</v>
      </c>
      <c r="CI2761" s="76"/>
      <c r="CJ2761" s="76">
        <f>+CI2761*26000</f>
        <v>0</v>
      </c>
      <c r="CK2761" s="76"/>
      <c r="CL2761" s="76"/>
      <c r="CM2761" s="76"/>
      <c r="CN2761" s="76">
        <f>+CM2761*22000</f>
        <v>0</v>
      </c>
      <c r="CO2761" s="76"/>
      <c r="CP2761" s="76">
        <f>+CO2761*46000</f>
        <v>0</v>
      </c>
      <c r="CQ2761" s="76"/>
      <c r="CR2761" s="76">
        <f>+CQ2761*49000</f>
        <v>0</v>
      </c>
      <c r="CS2761" s="76"/>
      <c r="CT2761" s="76"/>
      <c r="CU2761" s="56">
        <f>AN2761+AP2761+AR2761+AT2761+AV2761+AX2761+AZ2761+BB2761+BD2761+BF2761+BH2761+BJ2761+BL2761+BN2761+BP2761+BR2761+BT2761+BV2761+BX2761+BZ2761+CB2761+CD2761+CF2761+CH2761+CJ2761+CL2761+CN2761+CP2761+CR2761+CT2761</f>
        <v>0</v>
      </c>
      <c r="CV2761" s="76"/>
      <c r="CW2761" s="76">
        <f>+CV2761*1100</f>
        <v>0</v>
      </c>
      <c r="CX2761" s="76"/>
      <c r="CY2761" s="76">
        <f>+CX2761*106250</f>
        <v>0</v>
      </c>
      <c r="CZ2761" s="76"/>
      <c r="DA2761" s="76">
        <f>+CZ2761*34500</f>
        <v>0</v>
      </c>
      <c r="DB2761" s="76"/>
      <c r="DC2761" s="76">
        <f>+DB2761*25000</f>
        <v>0</v>
      </c>
      <c r="DD2761" s="219"/>
      <c r="DE2761" s="219"/>
      <c r="DF2761" s="166"/>
      <c r="DG2761" s="116"/>
      <c r="DH2761" s="117"/>
      <c r="DI2761" s="24"/>
      <c r="DJ2761" s="24"/>
      <c r="DK2761" s="24"/>
      <c r="DL2761" s="24"/>
      <c r="DM2761" s="24"/>
      <c r="DN2761" s="24"/>
      <c r="DO2761" s="24"/>
      <c r="DP2761" s="24"/>
      <c r="DQ2761" s="24"/>
      <c r="DR2761" s="24"/>
      <c r="DS2761" s="24"/>
      <c r="DT2761" s="24"/>
      <c r="DU2761" s="24"/>
    </row>
    <row r="2762" spans="1:125" s="8" customFormat="1" ht="72" x14ac:dyDescent="0.2">
      <c r="A2762" s="77">
        <v>41505</v>
      </c>
      <c r="B2762" s="225" t="s">
        <v>2851</v>
      </c>
      <c r="C2762" s="227" t="s">
        <v>1686</v>
      </c>
      <c r="D2762" s="354" t="s">
        <v>2846</v>
      </c>
      <c r="E2762" s="353" t="str">
        <f>VLOOKUP(B2762&amp;C2762,Divipola!$C$2:$F$1138,4,FALSE)</f>
        <v>76001</v>
      </c>
      <c r="F2762" s="87"/>
      <c r="G2762" s="87"/>
      <c r="H2762" s="87"/>
      <c r="I2762" s="87"/>
      <c r="J2762" s="87"/>
      <c r="K2762" s="87"/>
      <c r="L2762" s="87"/>
      <c r="M2762" s="87"/>
      <c r="N2762" s="87"/>
      <c r="O2762" s="87"/>
      <c r="P2762" s="87"/>
      <c r="Q2762" s="87"/>
      <c r="R2762" s="87"/>
      <c r="S2762" s="87"/>
      <c r="T2762" s="87"/>
      <c r="U2762" s="88"/>
      <c r="V2762" s="89"/>
      <c r="W2762" s="96">
        <v>0</v>
      </c>
      <c r="X2762" s="71">
        <f>CU2762</f>
        <v>0</v>
      </c>
      <c r="Y2762" s="71">
        <f>CY2762</f>
        <v>0</v>
      </c>
      <c r="Z2762" s="71">
        <f>DA2762+DC2762+DE2762</f>
        <v>0</v>
      </c>
      <c r="AA2762" s="71">
        <f>CW2762</f>
        <v>0</v>
      </c>
      <c r="AB2762" s="71"/>
      <c r="AC2762" s="71">
        <v>0</v>
      </c>
      <c r="AD2762" s="71">
        <f>W2762+X2762+Y2762+Z2762+AA2762+AB2762+AC2762</f>
        <v>0</v>
      </c>
      <c r="AE2762" s="72">
        <v>0</v>
      </c>
      <c r="AF2762" s="5"/>
      <c r="AG2762" s="6"/>
      <c r="AH2762" s="27"/>
      <c r="AI2762" s="44"/>
      <c r="AJ2762" s="26"/>
      <c r="AK2762" s="5"/>
      <c r="AL2762" s="82" t="s">
        <v>5641</v>
      </c>
      <c r="AM2762" s="76"/>
      <c r="AN2762" s="76"/>
      <c r="AO2762" s="76"/>
      <c r="AP2762" s="76"/>
      <c r="AQ2762" s="76"/>
      <c r="AR2762" s="76"/>
      <c r="AS2762" s="76"/>
      <c r="AT2762" s="76"/>
      <c r="AU2762" s="76"/>
      <c r="AV2762" s="76"/>
      <c r="AW2762" s="76"/>
      <c r="AX2762" s="76">
        <f>+AW2762*600000</f>
        <v>0</v>
      </c>
      <c r="AY2762" s="76"/>
      <c r="AZ2762" s="76">
        <f>+AY2762*70000</f>
        <v>0</v>
      </c>
      <c r="BA2762" s="76"/>
      <c r="BB2762" s="76"/>
      <c r="BC2762" s="76"/>
      <c r="BD2762" s="76">
        <f>+BC2762*30000</f>
        <v>0</v>
      </c>
      <c r="BE2762" s="76"/>
      <c r="BF2762" s="76"/>
      <c r="BG2762" s="76"/>
      <c r="BH2762" s="76"/>
      <c r="BI2762" s="76"/>
      <c r="BJ2762" s="76"/>
      <c r="BK2762" s="76"/>
      <c r="BL2762" s="76">
        <f>+BK2762*31500</f>
        <v>0</v>
      </c>
      <c r="BM2762" s="76"/>
      <c r="BN2762" s="76"/>
      <c r="BO2762" s="76"/>
      <c r="BP2762" s="76"/>
      <c r="BQ2762" s="76"/>
      <c r="BR2762" s="76"/>
      <c r="BS2762" s="76"/>
      <c r="BT2762" s="76"/>
      <c r="BU2762" s="76"/>
      <c r="BV2762" s="76"/>
      <c r="BW2762" s="76"/>
      <c r="BX2762" s="76"/>
      <c r="BY2762" s="76"/>
      <c r="BZ2762" s="76"/>
      <c r="CA2762" s="76"/>
      <c r="CB2762" s="76"/>
      <c r="CC2762" s="76"/>
      <c r="CD2762" s="76"/>
      <c r="CE2762" s="76"/>
      <c r="CF2762" s="76">
        <f>+CE2762*28000</f>
        <v>0</v>
      </c>
      <c r="CG2762" s="76"/>
      <c r="CH2762" s="76">
        <f>+CG2762*22500</f>
        <v>0</v>
      </c>
      <c r="CI2762" s="76"/>
      <c r="CJ2762" s="76">
        <f>+CI2762*26000</f>
        <v>0</v>
      </c>
      <c r="CK2762" s="76"/>
      <c r="CL2762" s="76"/>
      <c r="CM2762" s="76"/>
      <c r="CN2762" s="76">
        <f>+CM2762*22000</f>
        <v>0</v>
      </c>
      <c r="CO2762" s="76"/>
      <c r="CP2762" s="76">
        <f>+CO2762*46000</f>
        <v>0</v>
      </c>
      <c r="CQ2762" s="76"/>
      <c r="CR2762" s="76">
        <f>+CQ2762*49000</f>
        <v>0</v>
      </c>
      <c r="CS2762" s="76"/>
      <c r="CT2762" s="76"/>
      <c r="CU2762" s="56">
        <f>AN2762+AP2762+AR2762+AT2762+AV2762+AX2762+AZ2762+BB2762+BD2762+BF2762+BH2762+BJ2762+BL2762+BN2762+BP2762+BR2762+BT2762+BV2762+BX2762+BZ2762+CB2762+CD2762+CF2762+CH2762+CJ2762+CL2762+CN2762+CP2762+CR2762+CT2762</f>
        <v>0</v>
      </c>
      <c r="CV2762" s="76"/>
      <c r="CW2762" s="76">
        <f>+CV2762*1100</f>
        <v>0</v>
      </c>
      <c r="CX2762" s="76"/>
      <c r="CY2762" s="76">
        <f>+CX2762*106250</f>
        <v>0</v>
      </c>
      <c r="CZ2762" s="76"/>
      <c r="DA2762" s="76">
        <f>+CZ2762*34500</f>
        <v>0</v>
      </c>
      <c r="DB2762" s="76"/>
      <c r="DC2762" s="76">
        <f>+DB2762*25000</f>
        <v>0</v>
      </c>
      <c r="DD2762" s="219"/>
      <c r="DE2762" s="219"/>
      <c r="DF2762" s="166"/>
      <c r="DG2762" s="116"/>
      <c r="DH2762" s="117"/>
      <c r="DI2762" s="24"/>
      <c r="DJ2762" s="24"/>
      <c r="DK2762" s="24"/>
      <c r="DL2762" s="24"/>
      <c r="DM2762" s="24"/>
      <c r="DN2762" s="24"/>
      <c r="DO2762" s="24"/>
      <c r="DP2762" s="24"/>
      <c r="DQ2762" s="24"/>
      <c r="DR2762" s="24"/>
      <c r="DS2762" s="24"/>
      <c r="DT2762" s="24"/>
      <c r="DU2762" s="24"/>
    </row>
    <row r="2763" spans="1:125" s="8" customFormat="1" ht="60" x14ac:dyDescent="0.2">
      <c r="A2763" s="353">
        <v>41506</v>
      </c>
      <c r="B2763" s="352" t="s">
        <v>2894</v>
      </c>
      <c r="C2763" s="354" t="s">
        <v>2702</v>
      </c>
      <c r="D2763" s="354" t="s">
        <v>3051</v>
      </c>
      <c r="E2763" s="353" t="str">
        <f>VLOOKUP(B2763&amp;C2763,Divipola!$C$2:$F$1138,4,FALSE)</f>
        <v>05088</v>
      </c>
      <c r="F2763" s="87"/>
      <c r="G2763" s="87"/>
      <c r="H2763" s="87"/>
      <c r="I2763" s="87"/>
      <c r="J2763" s="87"/>
      <c r="K2763" s="87"/>
      <c r="L2763" s="87"/>
      <c r="M2763" s="87"/>
      <c r="N2763" s="87"/>
      <c r="O2763" s="87"/>
      <c r="P2763" s="87"/>
      <c r="Q2763" s="87"/>
      <c r="R2763" s="87"/>
      <c r="S2763" s="87"/>
      <c r="T2763" s="87"/>
      <c r="U2763" s="88"/>
      <c r="V2763" s="89"/>
      <c r="W2763" s="96">
        <v>0</v>
      </c>
      <c r="X2763" s="71">
        <f>CU2763</f>
        <v>0</v>
      </c>
      <c r="Y2763" s="71">
        <f>CY2763</f>
        <v>0</v>
      </c>
      <c r="Z2763" s="71">
        <f>DA2763+DC2763+DE2763</f>
        <v>0</v>
      </c>
      <c r="AA2763" s="71">
        <f>CW2763</f>
        <v>0</v>
      </c>
      <c r="AB2763" s="71"/>
      <c r="AC2763" s="71">
        <v>0</v>
      </c>
      <c r="AD2763" s="71">
        <f>W2763+X2763+Y2763+Z2763+AA2763+AB2763+AC2763</f>
        <v>0</v>
      </c>
      <c r="AE2763" s="72">
        <v>0</v>
      </c>
      <c r="AF2763" s="5"/>
      <c r="AG2763" s="6"/>
      <c r="AH2763" s="27"/>
      <c r="AI2763" s="44"/>
      <c r="AJ2763" s="26"/>
      <c r="AK2763" s="5"/>
      <c r="AL2763" s="82" t="s">
        <v>5646</v>
      </c>
      <c r="AM2763" s="76"/>
      <c r="AN2763" s="76"/>
      <c r="AO2763" s="76"/>
      <c r="AP2763" s="76"/>
      <c r="AQ2763" s="76"/>
      <c r="AR2763" s="76"/>
      <c r="AS2763" s="76"/>
      <c r="AT2763" s="76"/>
      <c r="AU2763" s="76"/>
      <c r="AV2763" s="76"/>
      <c r="AW2763" s="76"/>
      <c r="AX2763" s="76">
        <f>+AW2763*600000</f>
        <v>0</v>
      </c>
      <c r="AY2763" s="76"/>
      <c r="AZ2763" s="76">
        <f>+AY2763*70000</f>
        <v>0</v>
      </c>
      <c r="BA2763" s="76"/>
      <c r="BB2763" s="76"/>
      <c r="BC2763" s="76"/>
      <c r="BD2763" s="76">
        <f>+BC2763*30000</f>
        <v>0</v>
      </c>
      <c r="BE2763" s="76"/>
      <c r="BF2763" s="76"/>
      <c r="BG2763" s="76"/>
      <c r="BH2763" s="76"/>
      <c r="BI2763" s="76"/>
      <c r="BJ2763" s="76"/>
      <c r="BK2763" s="76"/>
      <c r="BL2763" s="76">
        <f>+BK2763*31500</f>
        <v>0</v>
      </c>
      <c r="BM2763" s="76"/>
      <c r="BN2763" s="76"/>
      <c r="BO2763" s="76"/>
      <c r="BP2763" s="76"/>
      <c r="BQ2763" s="76"/>
      <c r="BR2763" s="76"/>
      <c r="BS2763" s="76"/>
      <c r="BT2763" s="76"/>
      <c r="BU2763" s="76"/>
      <c r="BV2763" s="76"/>
      <c r="BW2763" s="76"/>
      <c r="BX2763" s="76"/>
      <c r="BY2763" s="76"/>
      <c r="BZ2763" s="76"/>
      <c r="CA2763" s="76"/>
      <c r="CB2763" s="76"/>
      <c r="CC2763" s="76"/>
      <c r="CD2763" s="76"/>
      <c r="CE2763" s="76"/>
      <c r="CF2763" s="76">
        <f>+CE2763*28000</f>
        <v>0</v>
      </c>
      <c r="CG2763" s="76"/>
      <c r="CH2763" s="76">
        <f>+CG2763*22500</f>
        <v>0</v>
      </c>
      <c r="CI2763" s="76"/>
      <c r="CJ2763" s="76">
        <f>+CI2763*26000</f>
        <v>0</v>
      </c>
      <c r="CK2763" s="76"/>
      <c r="CL2763" s="76"/>
      <c r="CM2763" s="76"/>
      <c r="CN2763" s="76">
        <f>+CM2763*22000</f>
        <v>0</v>
      </c>
      <c r="CO2763" s="76"/>
      <c r="CP2763" s="76">
        <f>+CO2763*46000</f>
        <v>0</v>
      </c>
      <c r="CQ2763" s="76"/>
      <c r="CR2763" s="76">
        <f>+CQ2763*49000</f>
        <v>0</v>
      </c>
      <c r="CS2763" s="76"/>
      <c r="CT2763" s="76"/>
      <c r="CU2763" s="56">
        <f>AN2763+AP2763+AR2763+AT2763+AV2763+AX2763+AZ2763+BB2763+BD2763+BF2763+BH2763+BJ2763+BL2763+BN2763+BP2763+BR2763+BT2763+BV2763+BX2763+BZ2763+CB2763+CD2763+CF2763+CH2763+CJ2763+CL2763+CN2763+CP2763+CR2763+CT2763</f>
        <v>0</v>
      </c>
      <c r="CV2763" s="76"/>
      <c r="CW2763" s="76">
        <f>+CV2763*1100</f>
        <v>0</v>
      </c>
      <c r="CX2763" s="76"/>
      <c r="CY2763" s="76">
        <f>+CX2763*106250</f>
        <v>0</v>
      </c>
      <c r="CZ2763" s="76"/>
      <c r="DA2763" s="76">
        <f>+CZ2763*34500</f>
        <v>0</v>
      </c>
      <c r="DB2763" s="76"/>
      <c r="DC2763" s="76">
        <f>+DB2763*25000</f>
        <v>0</v>
      </c>
      <c r="DD2763" s="219"/>
      <c r="DE2763" s="219"/>
      <c r="DF2763" s="166"/>
      <c r="DG2763" s="116"/>
      <c r="DH2763" s="117"/>
      <c r="DI2763" s="24"/>
      <c r="DJ2763" s="24"/>
      <c r="DK2763" s="24"/>
      <c r="DL2763" s="24"/>
      <c r="DM2763" s="24"/>
      <c r="DN2763" s="24"/>
      <c r="DO2763" s="24"/>
      <c r="DP2763" s="24"/>
      <c r="DQ2763" s="24"/>
      <c r="DR2763" s="24"/>
      <c r="DS2763" s="24"/>
      <c r="DT2763" s="24"/>
      <c r="DU2763" s="24"/>
    </row>
    <row r="2764" spans="1:125" s="8" customFormat="1" ht="84" x14ac:dyDescent="0.2">
      <c r="A2764" s="353">
        <v>41506</v>
      </c>
      <c r="B2764" s="352" t="s">
        <v>2894</v>
      </c>
      <c r="C2764" s="354" t="s">
        <v>2648</v>
      </c>
      <c r="D2764" s="354" t="s">
        <v>3051</v>
      </c>
      <c r="E2764" s="353" t="str">
        <f>VLOOKUP(B2764&amp;C2764,Divipola!$C$2:$F$1138,4,FALSE)</f>
        <v>05895</v>
      </c>
      <c r="F2764" s="87"/>
      <c r="G2764" s="87"/>
      <c r="H2764" s="87"/>
      <c r="I2764" s="87">
        <v>750</v>
      </c>
      <c r="J2764" s="87">
        <v>150</v>
      </c>
      <c r="K2764" s="87"/>
      <c r="L2764" s="87">
        <v>150</v>
      </c>
      <c r="M2764" s="87"/>
      <c r="N2764" s="87"/>
      <c r="O2764" s="87"/>
      <c r="P2764" s="87"/>
      <c r="Q2764" s="87"/>
      <c r="R2764" s="87"/>
      <c r="S2764" s="87"/>
      <c r="T2764" s="87"/>
      <c r="U2764" s="88"/>
      <c r="V2764" s="89"/>
      <c r="W2764" s="96">
        <v>0</v>
      </c>
      <c r="X2764" s="71">
        <f>CU2764</f>
        <v>0</v>
      </c>
      <c r="Y2764" s="71">
        <f>CY2764</f>
        <v>0</v>
      </c>
      <c r="Z2764" s="71">
        <f>DA2764+DC2764+DE2764</f>
        <v>0</v>
      </c>
      <c r="AA2764" s="71">
        <f>CW2764</f>
        <v>0</v>
      </c>
      <c r="AB2764" s="71"/>
      <c r="AC2764" s="71">
        <v>0</v>
      </c>
      <c r="AD2764" s="71">
        <f>W2764+X2764+Y2764+Z2764+AA2764+AB2764+AC2764</f>
        <v>0</v>
      </c>
      <c r="AE2764" s="72">
        <v>0</v>
      </c>
      <c r="AF2764" s="5"/>
      <c r="AG2764" s="6"/>
      <c r="AH2764" s="27"/>
      <c r="AI2764" s="44"/>
      <c r="AJ2764" s="26"/>
      <c r="AK2764" s="5"/>
      <c r="AL2764" s="82" t="s">
        <v>5647</v>
      </c>
      <c r="AM2764" s="76"/>
      <c r="AN2764" s="76"/>
      <c r="AO2764" s="76"/>
      <c r="AP2764" s="76"/>
      <c r="AQ2764" s="76"/>
      <c r="AR2764" s="76"/>
      <c r="AS2764" s="76"/>
      <c r="AT2764" s="76"/>
      <c r="AU2764" s="76"/>
      <c r="AV2764" s="76"/>
      <c r="AW2764" s="76"/>
      <c r="AX2764" s="76">
        <f>+AW2764*600000</f>
        <v>0</v>
      </c>
      <c r="AY2764" s="76"/>
      <c r="AZ2764" s="76">
        <f>+AY2764*70000</f>
        <v>0</v>
      </c>
      <c r="BA2764" s="76"/>
      <c r="BB2764" s="76"/>
      <c r="BC2764" s="76"/>
      <c r="BD2764" s="76">
        <f>+BC2764*30000</f>
        <v>0</v>
      </c>
      <c r="BE2764" s="76"/>
      <c r="BF2764" s="76"/>
      <c r="BG2764" s="76"/>
      <c r="BH2764" s="76"/>
      <c r="BI2764" s="76"/>
      <c r="BJ2764" s="76"/>
      <c r="BK2764" s="76"/>
      <c r="BL2764" s="76">
        <f>+BK2764*31500</f>
        <v>0</v>
      </c>
      <c r="BM2764" s="76"/>
      <c r="BN2764" s="76"/>
      <c r="BO2764" s="76"/>
      <c r="BP2764" s="76"/>
      <c r="BQ2764" s="76"/>
      <c r="BR2764" s="76"/>
      <c r="BS2764" s="76"/>
      <c r="BT2764" s="76"/>
      <c r="BU2764" s="76"/>
      <c r="BV2764" s="76"/>
      <c r="BW2764" s="76"/>
      <c r="BX2764" s="76"/>
      <c r="BY2764" s="76"/>
      <c r="BZ2764" s="76"/>
      <c r="CA2764" s="76"/>
      <c r="CB2764" s="76"/>
      <c r="CC2764" s="76"/>
      <c r="CD2764" s="76"/>
      <c r="CE2764" s="76"/>
      <c r="CF2764" s="76">
        <f>+CE2764*28000</f>
        <v>0</v>
      </c>
      <c r="CG2764" s="76"/>
      <c r="CH2764" s="76">
        <f>+CG2764*22500</f>
        <v>0</v>
      </c>
      <c r="CI2764" s="76"/>
      <c r="CJ2764" s="76">
        <f>+CI2764*26000</f>
        <v>0</v>
      </c>
      <c r="CK2764" s="76"/>
      <c r="CL2764" s="76"/>
      <c r="CM2764" s="76"/>
      <c r="CN2764" s="76">
        <f>+CM2764*22000</f>
        <v>0</v>
      </c>
      <c r="CO2764" s="76"/>
      <c r="CP2764" s="76">
        <f>+CO2764*46000</f>
        <v>0</v>
      </c>
      <c r="CQ2764" s="76"/>
      <c r="CR2764" s="76">
        <f>+CQ2764*49000</f>
        <v>0</v>
      </c>
      <c r="CS2764" s="76"/>
      <c r="CT2764" s="76"/>
      <c r="CU2764" s="56">
        <f>AN2764+AP2764+AR2764+AT2764+AV2764+AX2764+AZ2764+BB2764+BD2764+BF2764+BH2764+BJ2764+BL2764+BN2764+BP2764+BR2764+BT2764+BV2764+BX2764+BZ2764+CB2764+CD2764+CF2764+CH2764+CJ2764+CL2764+CN2764+CP2764+CR2764+CT2764</f>
        <v>0</v>
      </c>
      <c r="CV2764" s="76"/>
      <c r="CW2764" s="76">
        <f>+CV2764*1100</f>
        <v>0</v>
      </c>
      <c r="CX2764" s="76"/>
      <c r="CY2764" s="76">
        <f>+CX2764*106250</f>
        <v>0</v>
      </c>
      <c r="CZ2764" s="76"/>
      <c r="DA2764" s="76">
        <f>+CZ2764*34500</f>
        <v>0</v>
      </c>
      <c r="DB2764" s="76"/>
      <c r="DC2764" s="76">
        <f>+DB2764*25000</f>
        <v>0</v>
      </c>
      <c r="DD2764" s="219"/>
      <c r="DE2764" s="219"/>
      <c r="DF2764" s="166"/>
      <c r="DG2764" s="116"/>
      <c r="DH2764" s="117"/>
      <c r="DI2764" s="24"/>
      <c r="DJ2764" s="24"/>
      <c r="DK2764" s="24"/>
      <c r="DL2764" s="24"/>
      <c r="DM2764" s="24"/>
      <c r="DN2764" s="24"/>
      <c r="DO2764" s="24"/>
      <c r="DP2764" s="24"/>
      <c r="DQ2764" s="24"/>
      <c r="DR2764" s="24"/>
      <c r="DS2764" s="24"/>
      <c r="DT2764" s="24"/>
      <c r="DU2764" s="24"/>
    </row>
    <row r="2765" spans="1:125" s="8" customFormat="1" ht="48" x14ac:dyDescent="0.2">
      <c r="A2765" s="77">
        <v>41506</v>
      </c>
      <c r="B2765" s="78" t="s">
        <v>2894</v>
      </c>
      <c r="C2765" s="75" t="s">
        <v>2648</v>
      </c>
      <c r="D2765" s="354" t="s">
        <v>2882</v>
      </c>
      <c r="E2765" s="353" t="str">
        <f>VLOOKUP(B2765&amp;C2765,Divipola!$C$2:$F$1138,4,FALSE)</f>
        <v>05895</v>
      </c>
      <c r="F2765" s="87"/>
      <c r="G2765" s="87"/>
      <c r="H2765" s="87"/>
      <c r="I2765" s="87">
        <v>50</v>
      </c>
      <c r="J2765" s="87">
        <v>10</v>
      </c>
      <c r="K2765" s="87"/>
      <c r="L2765" s="87">
        <v>10</v>
      </c>
      <c r="M2765" s="87"/>
      <c r="N2765" s="87"/>
      <c r="O2765" s="87"/>
      <c r="P2765" s="87"/>
      <c r="Q2765" s="87"/>
      <c r="R2765" s="87"/>
      <c r="S2765" s="87"/>
      <c r="T2765" s="87"/>
      <c r="U2765" s="88"/>
      <c r="V2765" s="89"/>
      <c r="W2765" s="96">
        <v>0</v>
      </c>
      <c r="X2765" s="71">
        <f>CU2765</f>
        <v>0</v>
      </c>
      <c r="Y2765" s="71">
        <f>CY2765</f>
        <v>0</v>
      </c>
      <c r="Z2765" s="71">
        <f>DA2765+DC2765+DE2765</f>
        <v>0</v>
      </c>
      <c r="AA2765" s="71">
        <f>CW2765</f>
        <v>0</v>
      </c>
      <c r="AB2765" s="71"/>
      <c r="AC2765" s="71">
        <v>0</v>
      </c>
      <c r="AD2765" s="71">
        <f>W2765+X2765+Y2765+Z2765+AA2765+AB2765+AC2765</f>
        <v>0</v>
      </c>
      <c r="AE2765" s="72">
        <v>0</v>
      </c>
      <c r="AF2765" s="5"/>
      <c r="AG2765" s="6"/>
      <c r="AH2765" s="27"/>
      <c r="AI2765" s="44"/>
      <c r="AJ2765" s="26"/>
      <c r="AK2765" s="5"/>
      <c r="AL2765" s="82" t="s">
        <v>5648</v>
      </c>
      <c r="AM2765" s="76"/>
      <c r="AN2765" s="76"/>
      <c r="AO2765" s="76"/>
      <c r="AP2765" s="76"/>
      <c r="AQ2765" s="76"/>
      <c r="AR2765" s="76"/>
      <c r="AS2765" s="76"/>
      <c r="AT2765" s="76"/>
      <c r="AU2765" s="76"/>
      <c r="AV2765" s="76"/>
      <c r="AW2765" s="76"/>
      <c r="AX2765" s="76">
        <f>+AW2765*600000</f>
        <v>0</v>
      </c>
      <c r="AY2765" s="76"/>
      <c r="AZ2765" s="76">
        <f>+AY2765*70000</f>
        <v>0</v>
      </c>
      <c r="BA2765" s="76"/>
      <c r="BB2765" s="76"/>
      <c r="BC2765" s="76"/>
      <c r="BD2765" s="76">
        <f>+BC2765*30000</f>
        <v>0</v>
      </c>
      <c r="BE2765" s="76"/>
      <c r="BF2765" s="76"/>
      <c r="BG2765" s="76"/>
      <c r="BH2765" s="76"/>
      <c r="BI2765" s="76"/>
      <c r="BJ2765" s="76"/>
      <c r="BK2765" s="76"/>
      <c r="BL2765" s="76">
        <f>+BK2765*31500</f>
        <v>0</v>
      </c>
      <c r="BM2765" s="76"/>
      <c r="BN2765" s="76"/>
      <c r="BO2765" s="76"/>
      <c r="BP2765" s="76"/>
      <c r="BQ2765" s="76"/>
      <c r="BR2765" s="76"/>
      <c r="BS2765" s="76"/>
      <c r="BT2765" s="76"/>
      <c r="BU2765" s="76"/>
      <c r="BV2765" s="76"/>
      <c r="BW2765" s="76"/>
      <c r="BX2765" s="76"/>
      <c r="BY2765" s="76"/>
      <c r="BZ2765" s="76"/>
      <c r="CA2765" s="76"/>
      <c r="CB2765" s="76"/>
      <c r="CC2765" s="76"/>
      <c r="CD2765" s="76"/>
      <c r="CE2765" s="76"/>
      <c r="CF2765" s="76">
        <f>+CE2765*28000</f>
        <v>0</v>
      </c>
      <c r="CG2765" s="76"/>
      <c r="CH2765" s="76">
        <f>+CG2765*22500</f>
        <v>0</v>
      </c>
      <c r="CI2765" s="76"/>
      <c r="CJ2765" s="76">
        <f>+CI2765*26000</f>
        <v>0</v>
      </c>
      <c r="CK2765" s="76"/>
      <c r="CL2765" s="76"/>
      <c r="CM2765" s="76"/>
      <c r="CN2765" s="76">
        <f>+CM2765*22000</f>
        <v>0</v>
      </c>
      <c r="CO2765" s="76"/>
      <c r="CP2765" s="76">
        <f>+CO2765*46000</f>
        <v>0</v>
      </c>
      <c r="CQ2765" s="76"/>
      <c r="CR2765" s="76">
        <f>+CQ2765*49000</f>
        <v>0</v>
      </c>
      <c r="CS2765" s="76"/>
      <c r="CT2765" s="76"/>
      <c r="CU2765" s="56">
        <f>AN2765+AP2765+AR2765+AT2765+AV2765+AX2765+AZ2765+BB2765+BD2765+BF2765+BH2765+BJ2765+BL2765+BN2765+BP2765+BR2765+BT2765+BV2765+BX2765+BZ2765+CB2765+CD2765+CF2765+CH2765+CJ2765+CL2765+CN2765+CP2765+CR2765+CT2765</f>
        <v>0</v>
      </c>
      <c r="CV2765" s="76"/>
      <c r="CW2765" s="76">
        <f>+CV2765*1100</f>
        <v>0</v>
      </c>
      <c r="CX2765" s="76"/>
      <c r="CY2765" s="76">
        <f>+CX2765*106250</f>
        <v>0</v>
      </c>
      <c r="CZ2765" s="76"/>
      <c r="DA2765" s="76">
        <f>+CZ2765*34500</f>
        <v>0</v>
      </c>
      <c r="DB2765" s="76"/>
      <c r="DC2765" s="76">
        <f>+DB2765*25000</f>
        <v>0</v>
      </c>
      <c r="DD2765" s="219"/>
      <c r="DE2765" s="219"/>
      <c r="DF2765" s="166"/>
      <c r="DG2765" s="116"/>
      <c r="DH2765" s="117"/>
      <c r="DI2765" s="24"/>
      <c r="DJ2765" s="24"/>
      <c r="DK2765" s="24"/>
      <c r="DL2765" s="24"/>
      <c r="DM2765" s="24"/>
      <c r="DN2765" s="24"/>
      <c r="DO2765" s="24"/>
      <c r="DP2765" s="24"/>
      <c r="DQ2765" s="24"/>
      <c r="DR2765" s="24"/>
      <c r="DS2765" s="24"/>
      <c r="DT2765" s="24"/>
      <c r="DU2765" s="24"/>
    </row>
    <row r="2766" spans="1:125" s="8" customFormat="1" ht="108" x14ac:dyDescent="0.2">
      <c r="A2766" s="77">
        <v>41506</v>
      </c>
      <c r="B2766" s="78" t="s">
        <v>2700</v>
      </c>
      <c r="C2766" s="75" t="s">
        <v>648</v>
      </c>
      <c r="D2766" s="75" t="s">
        <v>2849</v>
      </c>
      <c r="E2766" s="353" t="str">
        <f>VLOOKUP(B2766&amp;C2766,Divipola!$C$2:$F$1138,4,FALSE)</f>
        <v>15693</v>
      </c>
      <c r="F2766" s="87">
        <v>4</v>
      </c>
      <c r="G2766" s="87">
        <v>15</v>
      </c>
      <c r="H2766" s="87"/>
      <c r="I2766" s="87">
        <v>19</v>
      </c>
      <c r="J2766" s="87"/>
      <c r="K2766" s="87"/>
      <c r="L2766" s="87"/>
      <c r="M2766" s="87"/>
      <c r="N2766" s="87"/>
      <c r="O2766" s="87"/>
      <c r="P2766" s="87"/>
      <c r="Q2766" s="87"/>
      <c r="R2766" s="87"/>
      <c r="S2766" s="87"/>
      <c r="T2766" s="87"/>
      <c r="U2766" s="88"/>
      <c r="V2766" s="89"/>
      <c r="W2766" s="96">
        <v>0</v>
      </c>
      <c r="X2766" s="71">
        <f>CU2766</f>
        <v>0</v>
      </c>
      <c r="Y2766" s="71">
        <f>CY2766</f>
        <v>0</v>
      </c>
      <c r="Z2766" s="71">
        <f>DA2766+DC2766+DE2766</f>
        <v>0</v>
      </c>
      <c r="AA2766" s="71">
        <f>CW2766</f>
        <v>0</v>
      </c>
      <c r="AB2766" s="71"/>
      <c r="AC2766" s="71">
        <v>0</v>
      </c>
      <c r="AD2766" s="71">
        <f>W2766+X2766+Y2766+Z2766+AA2766+AB2766+AC2766</f>
        <v>0</v>
      </c>
      <c r="AE2766" s="72">
        <v>0</v>
      </c>
      <c r="AF2766" s="5"/>
      <c r="AG2766" s="6"/>
      <c r="AH2766" s="27"/>
      <c r="AI2766" s="44"/>
      <c r="AJ2766" s="26"/>
      <c r="AK2766" s="5"/>
      <c r="AL2766" s="268" t="s">
        <v>5645</v>
      </c>
      <c r="AM2766" s="76"/>
      <c r="AN2766" s="76"/>
      <c r="AO2766" s="76"/>
      <c r="AP2766" s="76"/>
      <c r="AQ2766" s="76"/>
      <c r="AR2766" s="76"/>
      <c r="AS2766" s="76"/>
      <c r="AT2766" s="76"/>
      <c r="AU2766" s="76"/>
      <c r="AV2766" s="76"/>
      <c r="AW2766" s="76"/>
      <c r="AX2766" s="76">
        <f>+AW2766*600000</f>
        <v>0</v>
      </c>
      <c r="AY2766" s="76"/>
      <c r="AZ2766" s="76">
        <f>+AY2766*70000</f>
        <v>0</v>
      </c>
      <c r="BA2766" s="76"/>
      <c r="BB2766" s="76"/>
      <c r="BC2766" s="76"/>
      <c r="BD2766" s="76">
        <f>+BC2766*30000</f>
        <v>0</v>
      </c>
      <c r="BE2766" s="76"/>
      <c r="BF2766" s="76"/>
      <c r="BG2766" s="76"/>
      <c r="BH2766" s="76"/>
      <c r="BI2766" s="76"/>
      <c r="BJ2766" s="76"/>
      <c r="BK2766" s="76"/>
      <c r="BL2766" s="76">
        <f>+BK2766*31500</f>
        <v>0</v>
      </c>
      <c r="BM2766" s="76"/>
      <c r="BN2766" s="76"/>
      <c r="BO2766" s="76"/>
      <c r="BP2766" s="76"/>
      <c r="BQ2766" s="76"/>
      <c r="BR2766" s="76"/>
      <c r="BS2766" s="76"/>
      <c r="BT2766" s="76"/>
      <c r="BU2766" s="76"/>
      <c r="BV2766" s="76"/>
      <c r="BW2766" s="76"/>
      <c r="BX2766" s="76"/>
      <c r="BY2766" s="76"/>
      <c r="BZ2766" s="76"/>
      <c r="CA2766" s="76"/>
      <c r="CB2766" s="76"/>
      <c r="CC2766" s="76"/>
      <c r="CD2766" s="76"/>
      <c r="CE2766" s="76"/>
      <c r="CF2766" s="76">
        <f>+CE2766*28000</f>
        <v>0</v>
      </c>
      <c r="CG2766" s="76"/>
      <c r="CH2766" s="76">
        <f>+CG2766*22500</f>
        <v>0</v>
      </c>
      <c r="CI2766" s="76"/>
      <c r="CJ2766" s="76">
        <f>+CI2766*26000</f>
        <v>0</v>
      </c>
      <c r="CK2766" s="76"/>
      <c r="CL2766" s="76"/>
      <c r="CM2766" s="76"/>
      <c r="CN2766" s="76">
        <f>+CM2766*22000</f>
        <v>0</v>
      </c>
      <c r="CO2766" s="76"/>
      <c r="CP2766" s="76">
        <f>+CO2766*46000</f>
        <v>0</v>
      </c>
      <c r="CQ2766" s="76"/>
      <c r="CR2766" s="76">
        <f>+CQ2766*49000</f>
        <v>0</v>
      </c>
      <c r="CS2766" s="76"/>
      <c r="CT2766" s="76"/>
      <c r="CU2766" s="56">
        <f>AN2766+AP2766+AR2766+AT2766+AV2766+AX2766+AZ2766+BB2766+BD2766+BF2766+BH2766+BJ2766+BL2766+BN2766+BP2766+BR2766+BT2766+BV2766+BX2766+BZ2766+CB2766+CD2766+CF2766+CH2766+CJ2766+CL2766+CN2766+CP2766+CR2766+CT2766</f>
        <v>0</v>
      </c>
      <c r="CV2766" s="76"/>
      <c r="CW2766" s="76">
        <f>+CV2766*1100</f>
        <v>0</v>
      </c>
      <c r="CX2766" s="76"/>
      <c r="CY2766" s="76">
        <f>+CX2766*106250</f>
        <v>0</v>
      </c>
      <c r="CZ2766" s="76"/>
      <c r="DA2766" s="76">
        <f>+CZ2766*34500</f>
        <v>0</v>
      </c>
      <c r="DB2766" s="76"/>
      <c r="DC2766" s="76">
        <f>+DB2766*25000</f>
        <v>0</v>
      </c>
      <c r="DD2766" s="219"/>
      <c r="DE2766" s="219"/>
      <c r="DF2766" s="166"/>
      <c r="DG2766" s="116"/>
      <c r="DH2766" s="117"/>
      <c r="DI2766" s="24"/>
      <c r="DJ2766" s="24"/>
      <c r="DK2766" s="24"/>
      <c r="DL2766" s="24"/>
      <c r="DM2766" s="24"/>
      <c r="DN2766" s="24"/>
      <c r="DO2766" s="24"/>
      <c r="DP2766" s="24"/>
      <c r="DQ2766" s="24"/>
      <c r="DR2766" s="24"/>
      <c r="DS2766" s="24"/>
      <c r="DT2766" s="24"/>
      <c r="DU2766" s="24"/>
    </row>
    <row r="2767" spans="1:125" s="8" customFormat="1" ht="48" x14ac:dyDescent="0.2">
      <c r="A2767" s="77">
        <v>41506</v>
      </c>
      <c r="B2767" s="78" t="s">
        <v>2196</v>
      </c>
      <c r="C2767" s="75" t="s">
        <v>2063</v>
      </c>
      <c r="D2767" s="75" t="s">
        <v>2882</v>
      </c>
      <c r="E2767" s="296" t="str">
        <f>VLOOKUP(B2767&amp;C2767,Divipola!$C$2:$F$1138,4,FALSE)</f>
        <v>17050</v>
      </c>
      <c r="F2767" s="61"/>
      <c r="G2767" s="61"/>
      <c r="H2767" s="61"/>
      <c r="I2767" s="61"/>
      <c r="J2767" s="61"/>
      <c r="K2767" s="61"/>
      <c r="L2767" s="61"/>
      <c r="M2767" s="61"/>
      <c r="N2767" s="61"/>
      <c r="O2767" s="61"/>
      <c r="P2767" s="61"/>
      <c r="Q2767" s="61"/>
      <c r="R2767" s="61"/>
      <c r="S2767" s="61"/>
      <c r="T2767" s="61"/>
      <c r="U2767" s="61"/>
      <c r="V2767" s="7"/>
      <c r="W2767" s="96">
        <v>0</v>
      </c>
      <c r="X2767" s="71">
        <f>CU2767</f>
        <v>0</v>
      </c>
      <c r="Y2767" s="71">
        <f>CY2767</f>
        <v>0</v>
      </c>
      <c r="Z2767" s="71">
        <f>DA2767+DC2767+DE2767</f>
        <v>0</v>
      </c>
      <c r="AA2767" s="71">
        <f>CW2767</f>
        <v>0</v>
      </c>
      <c r="AB2767" s="71"/>
      <c r="AC2767" s="71">
        <v>0</v>
      </c>
      <c r="AD2767" s="71">
        <f>W2767+X2767+Y2767+Z2767+AA2767+AB2767+AC2767</f>
        <v>0</v>
      </c>
      <c r="AE2767" s="72">
        <v>0</v>
      </c>
      <c r="AF2767" s="5"/>
      <c r="AG2767" s="6"/>
      <c r="AH2767" s="27"/>
      <c r="AI2767" s="44"/>
      <c r="AJ2767" s="26"/>
      <c r="AK2767" s="5"/>
      <c r="AL2767" s="9" t="s">
        <v>5890</v>
      </c>
      <c r="AM2767" s="76"/>
      <c r="AN2767" s="76"/>
      <c r="AO2767" s="76"/>
      <c r="AP2767" s="76"/>
      <c r="AQ2767" s="76"/>
      <c r="AR2767" s="76"/>
      <c r="AS2767" s="76"/>
      <c r="AT2767" s="76"/>
      <c r="AU2767" s="76"/>
      <c r="AV2767" s="76"/>
      <c r="AW2767" s="76"/>
      <c r="AX2767" s="76">
        <f>+AW2767*600000</f>
        <v>0</v>
      </c>
      <c r="AY2767" s="76"/>
      <c r="AZ2767" s="76">
        <f>+AY2767*70000</f>
        <v>0</v>
      </c>
      <c r="BA2767" s="76"/>
      <c r="BB2767" s="76"/>
      <c r="BC2767" s="76"/>
      <c r="BD2767" s="76">
        <f>+BC2767*30000</f>
        <v>0</v>
      </c>
      <c r="BE2767" s="76"/>
      <c r="BF2767" s="76"/>
      <c r="BG2767" s="76"/>
      <c r="BH2767" s="76"/>
      <c r="BI2767" s="76"/>
      <c r="BJ2767" s="76"/>
      <c r="BK2767" s="76"/>
      <c r="BL2767" s="76">
        <f>+BK2767*31500</f>
        <v>0</v>
      </c>
      <c r="BM2767" s="76"/>
      <c r="BN2767" s="76"/>
      <c r="BO2767" s="76"/>
      <c r="BP2767" s="76"/>
      <c r="BQ2767" s="76"/>
      <c r="BR2767" s="76"/>
      <c r="BS2767" s="76"/>
      <c r="BT2767" s="76"/>
      <c r="BU2767" s="76"/>
      <c r="BV2767" s="76"/>
      <c r="BW2767" s="76"/>
      <c r="BX2767" s="76"/>
      <c r="BY2767" s="76"/>
      <c r="BZ2767" s="76"/>
      <c r="CA2767" s="76"/>
      <c r="CB2767" s="76"/>
      <c r="CC2767" s="76"/>
      <c r="CD2767" s="76"/>
      <c r="CE2767" s="76"/>
      <c r="CF2767" s="76">
        <f>+CE2767*28000</f>
        <v>0</v>
      </c>
      <c r="CG2767" s="76"/>
      <c r="CH2767" s="76">
        <f>+CG2767*22500</f>
        <v>0</v>
      </c>
      <c r="CI2767" s="76"/>
      <c r="CJ2767" s="76">
        <f>+CI2767*26000</f>
        <v>0</v>
      </c>
      <c r="CK2767" s="76"/>
      <c r="CL2767" s="76"/>
      <c r="CM2767" s="76"/>
      <c r="CN2767" s="76">
        <f>+CM2767*22000</f>
        <v>0</v>
      </c>
      <c r="CO2767" s="76"/>
      <c r="CP2767" s="76">
        <f>+CO2767*46000</f>
        <v>0</v>
      </c>
      <c r="CQ2767" s="76"/>
      <c r="CR2767" s="76">
        <f>+CQ2767*49000</f>
        <v>0</v>
      </c>
      <c r="CS2767" s="76"/>
      <c r="CT2767" s="76"/>
      <c r="CU2767" s="56">
        <f>AN2767+AP2767+AR2767+AT2767+AV2767+AX2767+AZ2767+BB2767+BD2767+BF2767+BH2767+BJ2767+BL2767+BN2767+BP2767+BR2767+BT2767+BV2767+BX2767+BZ2767+CB2767+CD2767+CF2767+CH2767+CJ2767+CL2767+CN2767+CP2767+CR2767+CT2767</f>
        <v>0</v>
      </c>
      <c r="CV2767" s="76"/>
      <c r="CW2767" s="76">
        <f>+CV2767*1100</f>
        <v>0</v>
      </c>
      <c r="CX2767" s="76"/>
      <c r="CY2767" s="76">
        <f>+CX2767*106250</f>
        <v>0</v>
      </c>
      <c r="CZ2767" s="76"/>
      <c r="DA2767" s="76">
        <f>+CZ2767*34500</f>
        <v>0</v>
      </c>
      <c r="DB2767" s="76"/>
      <c r="DC2767" s="76">
        <f>+DB2767*25000</f>
        <v>0</v>
      </c>
      <c r="DD2767" s="219"/>
      <c r="DE2767" s="219"/>
      <c r="DF2767" s="166"/>
      <c r="DG2767" s="116"/>
      <c r="DH2767" s="117"/>
      <c r="DI2767" s="24"/>
      <c r="DJ2767" s="24"/>
      <c r="DK2767" s="24"/>
      <c r="DL2767" s="24"/>
      <c r="DM2767" s="24"/>
      <c r="DN2767" s="24"/>
      <c r="DO2767" s="24"/>
      <c r="DP2767" s="24"/>
      <c r="DQ2767" s="24"/>
      <c r="DR2767" s="24"/>
      <c r="DS2767" s="24"/>
      <c r="DT2767" s="24"/>
      <c r="DU2767" s="24"/>
    </row>
    <row r="2768" spans="1:125" s="8" customFormat="1" x14ac:dyDescent="0.2">
      <c r="A2768" s="77">
        <v>41506</v>
      </c>
      <c r="B2768" s="78" t="s">
        <v>2087</v>
      </c>
      <c r="C2768" s="75" t="s">
        <v>795</v>
      </c>
      <c r="D2768" s="75" t="s">
        <v>2882</v>
      </c>
      <c r="E2768" s="75" t="str">
        <f>VLOOKUP(B2768&amp;C2768,Divipola!$C$2:$F$1138,4,FALSE)</f>
        <v>18247</v>
      </c>
      <c r="F2768" s="61"/>
      <c r="G2768" s="61"/>
      <c r="H2768" s="61"/>
      <c r="I2768" s="61">
        <v>155</v>
      </c>
      <c r="J2768" s="61">
        <v>31</v>
      </c>
      <c r="K2768" s="61"/>
      <c r="L2768" s="61">
        <v>31</v>
      </c>
      <c r="M2768" s="61"/>
      <c r="N2768" s="61"/>
      <c r="O2768" s="61"/>
      <c r="P2768" s="61"/>
      <c r="Q2768" s="61"/>
      <c r="R2768" s="61"/>
      <c r="S2768" s="61"/>
      <c r="T2768" s="61"/>
      <c r="U2768" s="61"/>
      <c r="V2768" s="7"/>
      <c r="W2768" s="96">
        <v>0</v>
      </c>
      <c r="X2768" s="71">
        <f>CU2768</f>
        <v>7049923.1999999993</v>
      </c>
      <c r="Y2768" s="71">
        <f>CY2768</f>
        <v>3155715.6</v>
      </c>
      <c r="Z2768" s="71">
        <f>DA2768+DC2768+DE2768</f>
        <v>9839352</v>
      </c>
      <c r="AA2768" s="71">
        <f>CW2768</f>
        <v>0</v>
      </c>
      <c r="AB2768" s="71"/>
      <c r="AC2768" s="71">
        <v>0</v>
      </c>
      <c r="AD2768" s="71">
        <f>W2768+X2768+Y2768+Z2768+AA2768+AB2768+AC2768</f>
        <v>20044990.799999997</v>
      </c>
      <c r="AE2768" s="72">
        <v>0</v>
      </c>
      <c r="AF2768" s="5"/>
      <c r="AG2768" s="6"/>
      <c r="AH2768" s="27"/>
      <c r="AI2768" s="44"/>
      <c r="AJ2768" s="26"/>
      <c r="AK2768" s="5"/>
      <c r="AL2768" s="9"/>
      <c r="AM2768" s="76"/>
      <c r="AN2768" s="76"/>
      <c r="AO2768" s="76"/>
      <c r="AP2768" s="76"/>
      <c r="AQ2768" s="76"/>
      <c r="AR2768" s="76"/>
      <c r="AS2768" s="76"/>
      <c r="AT2768" s="76"/>
      <c r="AU2768" s="76"/>
      <c r="AV2768" s="76"/>
      <c r="AW2768" s="76"/>
      <c r="AX2768" s="76">
        <f>+AW2768*600000</f>
        <v>0</v>
      </c>
      <c r="AY2768" s="86">
        <v>60</v>
      </c>
      <c r="AZ2768" s="86">
        <f>+AY2768*69999.04</f>
        <v>4199942.3999999994</v>
      </c>
      <c r="BA2768" s="76"/>
      <c r="BB2768" s="76"/>
      <c r="BC2768" s="76"/>
      <c r="BD2768" s="76">
        <f>+BC2768*30000</f>
        <v>0</v>
      </c>
      <c r="BE2768" s="76"/>
      <c r="BF2768" s="76"/>
      <c r="BG2768" s="76"/>
      <c r="BH2768" s="76"/>
      <c r="BI2768" s="76"/>
      <c r="BJ2768" s="76"/>
      <c r="BK2768" s="76"/>
      <c r="BL2768" s="76">
        <f>+BK2768*31500</f>
        <v>0</v>
      </c>
      <c r="BM2768" s="76"/>
      <c r="BN2768" s="76"/>
      <c r="BO2768" s="76"/>
      <c r="BP2768" s="76"/>
      <c r="BQ2768" s="76"/>
      <c r="BR2768" s="76"/>
      <c r="BS2768" s="76"/>
      <c r="BT2768" s="76"/>
      <c r="BU2768" s="76"/>
      <c r="BV2768" s="76"/>
      <c r="BW2768" s="76"/>
      <c r="BX2768" s="76"/>
      <c r="BY2768" s="76"/>
      <c r="BZ2768" s="76"/>
      <c r="CA2768" s="76"/>
      <c r="CB2768" s="76"/>
      <c r="CC2768" s="76"/>
      <c r="CD2768" s="76"/>
      <c r="CE2768" s="76"/>
      <c r="CF2768" s="76">
        <f>+CE2768*28000</f>
        <v>0</v>
      </c>
      <c r="CG2768" s="76"/>
      <c r="CH2768" s="76">
        <f>+CG2768*22500</f>
        <v>0</v>
      </c>
      <c r="CI2768" s="76"/>
      <c r="CJ2768" s="76">
        <f>+CI2768*26000</f>
        <v>0</v>
      </c>
      <c r="CK2768" s="76"/>
      <c r="CL2768" s="76"/>
      <c r="CM2768" s="76"/>
      <c r="CN2768" s="76">
        <f>+CM2768*22000</f>
        <v>0</v>
      </c>
      <c r="CO2768" s="86">
        <v>30</v>
      </c>
      <c r="CP2768" s="86">
        <f>+CO2768*45999.8</f>
        <v>1379994</v>
      </c>
      <c r="CQ2768" s="86">
        <v>30</v>
      </c>
      <c r="CR2768" s="86">
        <f>+CQ2768*48999.56</f>
        <v>1469986.7999999998</v>
      </c>
      <c r="CS2768" s="76"/>
      <c r="CT2768" s="76"/>
      <c r="CU2768" s="56">
        <f>AN2768+AP2768+AR2768+AT2768+AV2768+AX2768+AZ2768+BB2768+BD2768+BF2768+BH2768+BJ2768+BL2768+BN2768+BP2768+BR2768+BT2768+BV2768+BX2768+BZ2768+CB2768+CD2768+CF2768+CH2768+CJ2768+CL2768+CN2768+CP2768+CR2768+CT2768</f>
        <v>7049923.1999999993</v>
      </c>
      <c r="CV2768" s="76"/>
      <c r="CW2768" s="76">
        <f>+CV2768*1100</f>
        <v>0</v>
      </c>
      <c r="CX2768" s="86">
        <v>30</v>
      </c>
      <c r="CY2768" s="86">
        <f>+CX2768*105190.52</f>
        <v>3155715.6</v>
      </c>
      <c r="CZ2768" s="76"/>
      <c r="DA2768" s="86">
        <f>+CZ2768*34500</f>
        <v>0</v>
      </c>
      <c r="DB2768" s="86">
        <v>300</v>
      </c>
      <c r="DC2768" s="86">
        <f>+DB2768*31999.76+1200*199.52</f>
        <v>9839352</v>
      </c>
      <c r="DD2768" s="219"/>
      <c r="DE2768" s="219"/>
      <c r="DF2768" s="166"/>
      <c r="DG2768" s="134" t="s">
        <v>6918</v>
      </c>
      <c r="DH2768" s="117"/>
      <c r="DI2768" s="24"/>
      <c r="DJ2768" s="24"/>
      <c r="DK2768" s="24"/>
      <c r="DL2768" s="24"/>
      <c r="DM2768" s="24"/>
      <c r="DN2768" s="24"/>
      <c r="DO2768" s="24"/>
      <c r="DP2768" s="24"/>
      <c r="DQ2768" s="24"/>
      <c r="DR2768" s="24"/>
      <c r="DS2768" s="24"/>
      <c r="DT2768" s="24"/>
      <c r="DU2768" s="24"/>
    </row>
    <row r="2769" spans="1:125" s="8" customFormat="1" ht="24" x14ac:dyDescent="0.2">
      <c r="A2769" s="77">
        <v>41506</v>
      </c>
      <c r="B2769" s="78" t="s">
        <v>2880</v>
      </c>
      <c r="C2769" s="75" t="s">
        <v>241</v>
      </c>
      <c r="D2769" s="75" t="s">
        <v>3088</v>
      </c>
      <c r="E2769" s="75" t="str">
        <f>VLOOKUP(B2769&amp;C2769,Divipola!$C$2:$F$1138,4,FALSE)</f>
        <v>54313</v>
      </c>
      <c r="F2769" s="61"/>
      <c r="G2769" s="61"/>
      <c r="H2769" s="61"/>
      <c r="I2769" s="61"/>
      <c r="J2769" s="61"/>
      <c r="K2769" s="61"/>
      <c r="L2769" s="61"/>
      <c r="M2769" s="61"/>
      <c r="N2769" s="61"/>
      <c r="O2769" s="61"/>
      <c r="P2769" s="61"/>
      <c r="Q2769" s="61"/>
      <c r="R2769" s="61"/>
      <c r="S2769" s="61"/>
      <c r="T2769" s="61"/>
      <c r="U2769" s="61"/>
      <c r="V2769" s="7"/>
      <c r="W2769" s="96">
        <v>0</v>
      </c>
      <c r="X2769" s="71">
        <f>CU2769</f>
        <v>0</v>
      </c>
      <c r="Y2769" s="71">
        <f>CY2769</f>
        <v>163485000</v>
      </c>
      <c r="Z2769" s="71">
        <f>DA2769+DC2769+DE2769</f>
        <v>0</v>
      </c>
      <c r="AA2769" s="71">
        <f>CW2769</f>
        <v>0</v>
      </c>
      <c r="AB2769" s="71"/>
      <c r="AC2769" s="71">
        <v>0</v>
      </c>
      <c r="AD2769" s="71">
        <f>W2769+X2769+Y2769+Z2769+AA2769+AB2769+AC2769</f>
        <v>163485000</v>
      </c>
      <c r="AE2769" s="72">
        <v>0</v>
      </c>
      <c r="AF2769" s="5"/>
      <c r="AG2769" s="6"/>
      <c r="AH2769" s="27" t="s">
        <v>3390</v>
      </c>
      <c r="AI2769" s="44" t="s">
        <v>3391</v>
      </c>
      <c r="AJ2769" s="26"/>
      <c r="AK2769" s="5"/>
      <c r="AL2769" s="82" t="s">
        <v>3089</v>
      </c>
      <c r="AM2769" s="76"/>
      <c r="AN2769" s="76"/>
      <c r="AO2769" s="76"/>
      <c r="AP2769" s="76"/>
      <c r="AQ2769" s="76"/>
      <c r="AR2769" s="76"/>
      <c r="AS2769" s="76"/>
      <c r="AT2769" s="76"/>
      <c r="AU2769" s="76"/>
      <c r="AV2769" s="76"/>
      <c r="AW2769" s="76"/>
      <c r="AX2769" s="76">
        <f>+AW2769*600000</f>
        <v>0</v>
      </c>
      <c r="AY2769" s="76"/>
      <c r="AZ2769" s="76">
        <f>+AY2769*70000</f>
        <v>0</v>
      </c>
      <c r="BA2769" s="76"/>
      <c r="BB2769" s="76"/>
      <c r="BC2769" s="76"/>
      <c r="BD2769" s="76">
        <f>+BC2769*30000</f>
        <v>0</v>
      </c>
      <c r="BE2769" s="76"/>
      <c r="BF2769" s="76"/>
      <c r="BG2769" s="76"/>
      <c r="BH2769" s="76"/>
      <c r="BI2769" s="76"/>
      <c r="BJ2769" s="76"/>
      <c r="BK2769" s="76"/>
      <c r="BL2769" s="76">
        <f>+BK2769*31500</f>
        <v>0</v>
      </c>
      <c r="BM2769" s="76"/>
      <c r="BN2769" s="76"/>
      <c r="BO2769" s="76"/>
      <c r="BP2769" s="76"/>
      <c r="BQ2769" s="76"/>
      <c r="BR2769" s="76"/>
      <c r="BS2769" s="76"/>
      <c r="BT2769" s="76"/>
      <c r="BU2769" s="76"/>
      <c r="BV2769" s="76"/>
      <c r="BW2769" s="76"/>
      <c r="BX2769" s="76"/>
      <c r="BY2769" s="76"/>
      <c r="BZ2769" s="76"/>
      <c r="CA2769" s="76"/>
      <c r="CB2769" s="76"/>
      <c r="CC2769" s="76"/>
      <c r="CD2769" s="76"/>
      <c r="CE2769" s="76"/>
      <c r="CF2769" s="76">
        <f>+CE2769*28000</f>
        <v>0</v>
      </c>
      <c r="CG2769" s="76"/>
      <c r="CH2769" s="76">
        <f>+CG2769*22500</f>
        <v>0</v>
      </c>
      <c r="CI2769" s="76"/>
      <c r="CJ2769" s="76">
        <f>+CI2769*26000</f>
        <v>0</v>
      </c>
      <c r="CK2769" s="76"/>
      <c r="CL2769" s="76"/>
      <c r="CM2769" s="76"/>
      <c r="CN2769" s="76">
        <f>+CM2769*22000</f>
        <v>0</v>
      </c>
      <c r="CO2769" s="76"/>
      <c r="CP2769" s="76">
        <f>+CO2769*46000</f>
        <v>0</v>
      </c>
      <c r="CQ2769" s="76"/>
      <c r="CR2769" s="76">
        <f>+CQ2769*49000</f>
        <v>0</v>
      </c>
      <c r="CS2769" s="76"/>
      <c r="CT2769" s="76"/>
      <c r="CU2769" s="56">
        <f>AN2769+AP2769+AR2769+AT2769+AV2769+AX2769+AZ2769+BB2769+BD2769+BF2769+BH2769+BJ2769+BL2769+BN2769+BP2769+BR2769+BT2769+BV2769+BX2769+BZ2769+CB2769+CD2769+CF2769+CH2769+CJ2769+CL2769+CN2769+CP2769+CR2769+CT2769</f>
        <v>0</v>
      </c>
      <c r="CV2769" s="76"/>
      <c r="CW2769" s="76">
        <f>+CV2769*1100</f>
        <v>0</v>
      </c>
      <c r="CX2769" s="86">
        <v>1557</v>
      </c>
      <c r="CY2769" s="86">
        <f>+CX2769*105000</f>
        <v>163485000</v>
      </c>
      <c r="CZ2769" s="76"/>
      <c r="DA2769" s="76">
        <f>+CZ2769*34500</f>
        <v>0</v>
      </c>
      <c r="DB2769" s="76"/>
      <c r="DC2769" s="76">
        <f>+DB2769*25000</f>
        <v>0</v>
      </c>
      <c r="DD2769" s="219"/>
      <c r="DE2769" s="219"/>
      <c r="DF2769" s="166"/>
      <c r="DG2769" s="134" t="s">
        <v>6038</v>
      </c>
      <c r="DH2769" s="117"/>
      <c r="DI2769" s="24"/>
      <c r="DJ2769" s="24"/>
      <c r="DK2769" s="24"/>
      <c r="DL2769" s="24"/>
      <c r="DM2769" s="24"/>
      <c r="DN2769" s="24"/>
      <c r="DO2769" s="24"/>
      <c r="DP2769" s="24"/>
      <c r="DQ2769" s="24"/>
      <c r="DR2769" s="24"/>
      <c r="DS2769" s="24"/>
      <c r="DT2769" s="24"/>
      <c r="DU2769" s="24"/>
    </row>
    <row r="2770" spans="1:125" s="8" customFormat="1" ht="108" x14ac:dyDescent="0.2">
      <c r="A2770" s="353">
        <v>41506</v>
      </c>
      <c r="B2770" s="352" t="s">
        <v>2847</v>
      </c>
      <c r="C2770" s="354" t="s">
        <v>2136</v>
      </c>
      <c r="D2770" s="354" t="s">
        <v>2882</v>
      </c>
      <c r="E2770" s="75" t="str">
        <f>VLOOKUP(B2770&amp;C2770,Divipola!$C$2:$F$1138,4,FALSE)</f>
        <v>68689</v>
      </c>
      <c r="F2770" s="87"/>
      <c r="G2770" s="87"/>
      <c r="H2770" s="87"/>
      <c r="I2770" s="87">
        <v>35</v>
      </c>
      <c r="J2770" s="87">
        <v>7</v>
      </c>
      <c r="K2770" s="87"/>
      <c r="L2770" s="87">
        <v>7</v>
      </c>
      <c r="M2770" s="87"/>
      <c r="N2770" s="87"/>
      <c r="O2770" s="87"/>
      <c r="P2770" s="87"/>
      <c r="Q2770" s="87"/>
      <c r="R2770" s="87"/>
      <c r="S2770" s="87"/>
      <c r="T2770" s="87"/>
      <c r="U2770" s="88"/>
      <c r="V2770" s="89"/>
      <c r="W2770" s="96">
        <v>0</v>
      </c>
      <c r="X2770" s="71">
        <f>CU2770</f>
        <v>0</v>
      </c>
      <c r="Y2770" s="71">
        <f>CY2770</f>
        <v>0</v>
      </c>
      <c r="Z2770" s="71">
        <f>DA2770+DC2770+DE2770</f>
        <v>0</v>
      </c>
      <c r="AA2770" s="71">
        <f>CW2770</f>
        <v>0</v>
      </c>
      <c r="AB2770" s="71"/>
      <c r="AC2770" s="71">
        <v>0</v>
      </c>
      <c r="AD2770" s="71">
        <f>W2770+X2770+Y2770+Z2770+AA2770+AB2770+AC2770</f>
        <v>0</v>
      </c>
      <c r="AE2770" s="72">
        <v>0</v>
      </c>
      <c r="AF2770" s="5"/>
      <c r="AG2770" s="6"/>
      <c r="AH2770" s="27"/>
      <c r="AI2770" s="44"/>
      <c r="AJ2770" s="26"/>
      <c r="AK2770" s="5"/>
      <c r="AL2770" s="82" t="s">
        <v>5675</v>
      </c>
      <c r="AM2770" s="76"/>
      <c r="AN2770" s="76"/>
      <c r="AO2770" s="76"/>
      <c r="AP2770" s="76"/>
      <c r="AQ2770" s="76"/>
      <c r="AR2770" s="76"/>
      <c r="AS2770" s="76"/>
      <c r="AT2770" s="76"/>
      <c r="AU2770" s="76"/>
      <c r="AV2770" s="76"/>
      <c r="AW2770" s="76"/>
      <c r="AX2770" s="76">
        <f>+AW2770*600000</f>
        <v>0</v>
      </c>
      <c r="AY2770" s="76"/>
      <c r="AZ2770" s="76">
        <f>+AY2770*70000</f>
        <v>0</v>
      </c>
      <c r="BA2770" s="76"/>
      <c r="BB2770" s="76"/>
      <c r="BC2770" s="76"/>
      <c r="BD2770" s="76">
        <f>+BC2770*30000</f>
        <v>0</v>
      </c>
      <c r="BE2770" s="76"/>
      <c r="BF2770" s="76"/>
      <c r="BG2770" s="76"/>
      <c r="BH2770" s="76"/>
      <c r="BI2770" s="76"/>
      <c r="BJ2770" s="76"/>
      <c r="BK2770" s="76"/>
      <c r="BL2770" s="76">
        <f>+BK2770*31500</f>
        <v>0</v>
      </c>
      <c r="BM2770" s="76"/>
      <c r="BN2770" s="76"/>
      <c r="BO2770" s="76"/>
      <c r="BP2770" s="76"/>
      <c r="BQ2770" s="76"/>
      <c r="BR2770" s="76"/>
      <c r="BS2770" s="76"/>
      <c r="BT2770" s="76"/>
      <c r="BU2770" s="76"/>
      <c r="BV2770" s="76"/>
      <c r="BW2770" s="76"/>
      <c r="BX2770" s="76"/>
      <c r="BY2770" s="76"/>
      <c r="BZ2770" s="76"/>
      <c r="CA2770" s="76"/>
      <c r="CB2770" s="76"/>
      <c r="CC2770" s="76"/>
      <c r="CD2770" s="76"/>
      <c r="CE2770" s="76"/>
      <c r="CF2770" s="76">
        <f>+CE2770*28000</f>
        <v>0</v>
      </c>
      <c r="CG2770" s="76"/>
      <c r="CH2770" s="76">
        <f>+CG2770*22500</f>
        <v>0</v>
      </c>
      <c r="CI2770" s="76"/>
      <c r="CJ2770" s="76">
        <f>+CI2770*26000</f>
        <v>0</v>
      </c>
      <c r="CK2770" s="76"/>
      <c r="CL2770" s="76"/>
      <c r="CM2770" s="76"/>
      <c r="CN2770" s="76">
        <f>+CM2770*22000</f>
        <v>0</v>
      </c>
      <c r="CO2770" s="76"/>
      <c r="CP2770" s="76">
        <f>+CO2770*46000</f>
        <v>0</v>
      </c>
      <c r="CQ2770" s="76"/>
      <c r="CR2770" s="76">
        <f>+CQ2770*49000</f>
        <v>0</v>
      </c>
      <c r="CS2770" s="76"/>
      <c r="CT2770" s="76"/>
      <c r="CU2770" s="56">
        <f>AN2770+AP2770+AR2770+AT2770+AV2770+AX2770+AZ2770+BB2770+BD2770+BF2770+BH2770+BJ2770+BL2770+BN2770+BP2770+BR2770+BT2770+BV2770+BX2770+BZ2770+CB2770+CD2770+CF2770+CH2770+CJ2770+CL2770+CN2770+CP2770+CR2770+CT2770</f>
        <v>0</v>
      </c>
      <c r="CV2770" s="76"/>
      <c r="CW2770" s="76">
        <f>+CV2770*1100</f>
        <v>0</v>
      </c>
      <c r="CX2770" s="76"/>
      <c r="CY2770" s="76">
        <f>+CX2770*106250</f>
        <v>0</v>
      </c>
      <c r="CZ2770" s="76"/>
      <c r="DA2770" s="76">
        <f>+CZ2770*34500</f>
        <v>0</v>
      </c>
      <c r="DB2770" s="76"/>
      <c r="DC2770" s="76">
        <f>+DB2770*25000</f>
        <v>0</v>
      </c>
      <c r="DD2770" s="219"/>
      <c r="DE2770" s="219"/>
      <c r="DF2770" s="166"/>
      <c r="DG2770" s="116"/>
      <c r="DH2770" s="117"/>
      <c r="DI2770" s="24"/>
      <c r="DJ2770" s="24"/>
      <c r="DK2770" s="24"/>
      <c r="DL2770" s="24"/>
      <c r="DM2770" s="24"/>
      <c r="DN2770" s="24"/>
      <c r="DO2770" s="24"/>
      <c r="DP2770" s="24"/>
      <c r="DQ2770" s="24"/>
      <c r="DR2770" s="24"/>
      <c r="DS2770" s="24"/>
      <c r="DT2770" s="24"/>
      <c r="DU2770" s="24"/>
    </row>
    <row r="2771" spans="1:125" s="8" customFormat="1" ht="36" x14ac:dyDescent="0.2">
      <c r="A2771" s="353">
        <v>41506</v>
      </c>
      <c r="B2771" s="352" t="s">
        <v>2848</v>
      </c>
      <c r="C2771" s="354" t="s">
        <v>2055</v>
      </c>
      <c r="D2771" s="354" t="s">
        <v>2846</v>
      </c>
      <c r="E2771" s="353" t="str">
        <f>VLOOKUP(B2771&amp;C2771,Divipola!$C$2:$F$1138,4,FALSE)</f>
        <v>73275</v>
      </c>
      <c r="F2771" s="87"/>
      <c r="G2771" s="87"/>
      <c r="H2771" s="87"/>
      <c r="I2771" s="87"/>
      <c r="J2771" s="87"/>
      <c r="K2771" s="87"/>
      <c r="L2771" s="87"/>
      <c r="M2771" s="87"/>
      <c r="N2771" s="87"/>
      <c r="O2771" s="87"/>
      <c r="P2771" s="87"/>
      <c r="Q2771" s="87"/>
      <c r="R2771" s="87"/>
      <c r="S2771" s="87"/>
      <c r="T2771" s="87"/>
      <c r="U2771" s="88">
        <v>1</v>
      </c>
      <c r="V2771" s="89"/>
      <c r="W2771" s="96">
        <v>0</v>
      </c>
      <c r="X2771" s="71">
        <f>CU2771</f>
        <v>0</v>
      </c>
      <c r="Y2771" s="71">
        <f>CY2771</f>
        <v>0</v>
      </c>
      <c r="Z2771" s="71">
        <f>DA2771+DC2771+DE2771</f>
        <v>0</v>
      </c>
      <c r="AA2771" s="71">
        <f>CW2771</f>
        <v>0</v>
      </c>
      <c r="AB2771" s="71"/>
      <c r="AC2771" s="71">
        <v>0</v>
      </c>
      <c r="AD2771" s="71">
        <f>W2771+X2771+Y2771+Z2771+AA2771+AB2771+AC2771</f>
        <v>0</v>
      </c>
      <c r="AE2771" s="72">
        <v>0</v>
      </c>
      <c r="AF2771" s="5"/>
      <c r="AG2771" s="6"/>
      <c r="AH2771" s="27"/>
      <c r="AI2771" s="44"/>
      <c r="AJ2771" s="26"/>
      <c r="AK2771" s="5"/>
      <c r="AL2771" s="82" t="s">
        <v>5650</v>
      </c>
      <c r="AM2771" s="76"/>
      <c r="AN2771" s="76"/>
      <c r="AO2771" s="76"/>
      <c r="AP2771" s="76"/>
      <c r="AQ2771" s="76"/>
      <c r="AR2771" s="76"/>
      <c r="AS2771" s="76"/>
      <c r="AT2771" s="76"/>
      <c r="AU2771" s="76"/>
      <c r="AV2771" s="76"/>
      <c r="AW2771" s="76"/>
      <c r="AX2771" s="76">
        <f>+AW2771*600000</f>
        <v>0</v>
      </c>
      <c r="AY2771" s="76"/>
      <c r="AZ2771" s="76">
        <f>+AY2771*70000</f>
        <v>0</v>
      </c>
      <c r="BA2771" s="76"/>
      <c r="BB2771" s="76"/>
      <c r="BC2771" s="76"/>
      <c r="BD2771" s="76">
        <f>+BC2771*30000</f>
        <v>0</v>
      </c>
      <c r="BE2771" s="76"/>
      <c r="BF2771" s="76"/>
      <c r="BG2771" s="76"/>
      <c r="BH2771" s="76"/>
      <c r="BI2771" s="76"/>
      <c r="BJ2771" s="76"/>
      <c r="BK2771" s="76"/>
      <c r="BL2771" s="76">
        <f>+BK2771*31500</f>
        <v>0</v>
      </c>
      <c r="BM2771" s="76"/>
      <c r="BN2771" s="76"/>
      <c r="BO2771" s="76"/>
      <c r="BP2771" s="76"/>
      <c r="BQ2771" s="76"/>
      <c r="BR2771" s="76"/>
      <c r="BS2771" s="76"/>
      <c r="BT2771" s="76"/>
      <c r="BU2771" s="76"/>
      <c r="BV2771" s="76"/>
      <c r="BW2771" s="76"/>
      <c r="BX2771" s="76"/>
      <c r="BY2771" s="76"/>
      <c r="BZ2771" s="76"/>
      <c r="CA2771" s="76"/>
      <c r="CB2771" s="76"/>
      <c r="CC2771" s="76"/>
      <c r="CD2771" s="76"/>
      <c r="CE2771" s="76"/>
      <c r="CF2771" s="76">
        <f>+CE2771*28000</f>
        <v>0</v>
      </c>
      <c r="CG2771" s="76"/>
      <c r="CH2771" s="76">
        <f>+CG2771*22500</f>
        <v>0</v>
      </c>
      <c r="CI2771" s="76"/>
      <c r="CJ2771" s="76">
        <f>+CI2771*26000</f>
        <v>0</v>
      </c>
      <c r="CK2771" s="76"/>
      <c r="CL2771" s="76"/>
      <c r="CM2771" s="76"/>
      <c r="CN2771" s="76">
        <f>+CM2771*22000</f>
        <v>0</v>
      </c>
      <c r="CO2771" s="76"/>
      <c r="CP2771" s="76">
        <f>+CO2771*46000</f>
        <v>0</v>
      </c>
      <c r="CQ2771" s="76"/>
      <c r="CR2771" s="76">
        <f>+CQ2771*49000</f>
        <v>0</v>
      </c>
      <c r="CS2771" s="76"/>
      <c r="CT2771" s="76"/>
      <c r="CU2771" s="56">
        <f>AN2771+AP2771+AR2771+AT2771+AV2771+AX2771+AZ2771+BB2771+BD2771+BF2771+BH2771+BJ2771+BL2771+BN2771+BP2771+BR2771+BT2771+BV2771+BX2771+BZ2771+CB2771+CD2771+CF2771+CH2771+CJ2771+CL2771+CN2771+CP2771+CR2771+CT2771</f>
        <v>0</v>
      </c>
      <c r="CV2771" s="76"/>
      <c r="CW2771" s="76">
        <f>+CV2771*1100</f>
        <v>0</v>
      </c>
      <c r="CX2771" s="76"/>
      <c r="CY2771" s="76">
        <f>+CX2771*106250</f>
        <v>0</v>
      </c>
      <c r="CZ2771" s="76"/>
      <c r="DA2771" s="76">
        <f>+CZ2771*34500</f>
        <v>0</v>
      </c>
      <c r="DB2771" s="76"/>
      <c r="DC2771" s="76">
        <f>+DB2771*25000</f>
        <v>0</v>
      </c>
      <c r="DD2771" s="219"/>
      <c r="DE2771" s="219"/>
      <c r="DF2771" s="166"/>
      <c r="DG2771" s="116"/>
      <c r="DH2771" s="117"/>
      <c r="DI2771" s="24"/>
      <c r="DJ2771" s="24"/>
      <c r="DK2771" s="24"/>
      <c r="DL2771" s="24"/>
      <c r="DM2771" s="24"/>
      <c r="DN2771" s="24"/>
      <c r="DO2771" s="24"/>
      <c r="DP2771" s="24"/>
      <c r="DQ2771" s="24"/>
      <c r="DR2771" s="24"/>
      <c r="DS2771" s="24"/>
      <c r="DT2771" s="24"/>
      <c r="DU2771" s="24"/>
    </row>
    <row r="2772" spans="1:125" s="8" customFormat="1" ht="60" x14ac:dyDescent="0.2">
      <c r="A2772" s="77">
        <v>41506</v>
      </c>
      <c r="B2772" s="78" t="s">
        <v>2848</v>
      </c>
      <c r="C2772" s="75" t="s">
        <v>1383</v>
      </c>
      <c r="D2772" s="75" t="s">
        <v>2846</v>
      </c>
      <c r="E2772" s="353" t="str">
        <f>VLOOKUP(B2772&amp;C2772,Divipola!$C$2:$F$1138,4,FALSE)</f>
        <v>73483</v>
      </c>
      <c r="F2772" s="87"/>
      <c r="G2772" s="87"/>
      <c r="H2772" s="87"/>
      <c r="I2772" s="87"/>
      <c r="J2772" s="87"/>
      <c r="K2772" s="87"/>
      <c r="L2772" s="87"/>
      <c r="M2772" s="87"/>
      <c r="N2772" s="87"/>
      <c r="O2772" s="87"/>
      <c r="P2772" s="87"/>
      <c r="Q2772" s="87"/>
      <c r="R2772" s="87"/>
      <c r="S2772" s="87"/>
      <c r="T2772" s="87"/>
      <c r="U2772" s="88">
        <v>4</v>
      </c>
      <c r="V2772" s="89"/>
      <c r="W2772" s="96">
        <v>0</v>
      </c>
      <c r="X2772" s="71">
        <f>CU2772</f>
        <v>0</v>
      </c>
      <c r="Y2772" s="71">
        <f>CY2772</f>
        <v>0</v>
      </c>
      <c r="Z2772" s="71">
        <f>DA2772+DC2772+DE2772</f>
        <v>0</v>
      </c>
      <c r="AA2772" s="71">
        <f>CW2772</f>
        <v>0</v>
      </c>
      <c r="AB2772" s="71"/>
      <c r="AC2772" s="71">
        <v>0</v>
      </c>
      <c r="AD2772" s="71">
        <f>W2772+X2772+Y2772+Z2772+AA2772+AB2772+AC2772</f>
        <v>0</v>
      </c>
      <c r="AE2772" s="72">
        <v>0</v>
      </c>
      <c r="AF2772" s="5"/>
      <c r="AG2772" s="6"/>
      <c r="AH2772" s="27"/>
      <c r="AI2772" s="44"/>
      <c r="AJ2772" s="26"/>
      <c r="AK2772" s="5"/>
      <c r="AL2772" s="268" t="s">
        <v>5649</v>
      </c>
      <c r="AM2772" s="76"/>
      <c r="AN2772" s="76"/>
      <c r="AO2772" s="76"/>
      <c r="AP2772" s="76"/>
      <c r="AQ2772" s="76"/>
      <c r="AR2772" s="76"/>
      <c r="AS2772" s="76"/>
      <c r="AT2772" s="76"/>
      <c r="AU2772" s="76"/>
      <c r="AV2772" s="76"/>
      <c r="AW2772" s="76"/>
      <c r="AX2772" s="76">
        <f>+AW2772*600000</f>
        <v>0</v>
      </c>
      <c r="AY2772" s="76"/>
      <c r="AZ2772" s="76">
        <f>+AY2772*70000</f>
        <v>0</v>
      </c>
      <c r="BA2772" s="76"/>
      <c r="BB2772" s="76"/>
      <c r="BC2772" s="76"/>
      <c r="BD2772" s="76">
        <f>+BC2772*30000</f>
        <v>0</v>
      </c>
      <c r="BE2772" s="76"/>
      <c r="BF2772" s="76"/>
      <c r="BG2772" s="76"/>
      <c r="BH2772" s="76"/>
      <c r="BI2772" s="76"/>
      <c r="BJ2772" s="76"/>
      <c r="BK2772" s="76"/>
      <c r="BL2772" s="76">
        <f>+BK2772*31500</f>
        <v>0</v>
      </c>
      <c r="BM2772" s="76"/>
      <c r="BN2772" s="76"/>
      <c r="BO2772" s="76"/>
      <c r="BP2772" s="76"/>
      <c r="BQ2772" s="76"/>
      <c r="BR2772" s="76"/>
      <c r="BS2772" s="76"/>
      <c r="BT2772" s="76"/>
      <c r="BU2772" s="76"/>
      <c r="BV2772" s="76"/>
      <c r="BW2772" s="76"/>
      <c r="BX2772" s="76"/>
      <c r="BY2772" s="76"/>
      <c r="BZ2772" s="76"/>
      <c r="CA2772" s="76"/>
      <c r="CB2772" s="76"/>
      <c r="CC2772" s="76"/>
      <c r="CD2772" s="76"/>
      <c r="CE2772" s="76"/>
      <c r="CF2772" s="76">
        <f>+CE2772*28000</f>
        <v>0</v>
      </c>
      <c r="CG2772" s="76"/>
      <c r="CH2772" s="76">
        <f>+CG2772*22500</f>
        <v>0</v>
      </c>
      <c r="CI2772" s="76"/>
      <c r="CJ2772" s="76">
        <f>+CI2772*26000</f>
        <v>0</v>
      </c>
      <c r="CK2772" s="76"/>
      <c r="CL2772" s="76"/>
      <c r="CM2772" s="76"/>
      <c r="CN2772" s="76">
        <f>+CM2772*22000</f>
        <v>0</v>
      </c>
      <c r="CO2772" s="76"/>
      <c r="CP2772" s="76">
        <f>+CO2772*46000</f>
        <v>0</v>
      </c>
      <c r="CQ2772" s="76"/>
      <c r="CR2772" s="76">
        <f>+CQ2772*49000</f>
        <v>0</v>
      </c>
      <c r="CS2772" s="76"/>
      <c r="CT2772" s="76"/>
      <c r="CU2772" s="56">
        <f>AN2772+AP2772+AR2772+AT2772+AV2772+AX2772+AZ2772+BB2772+BD2772+BF2772+BH2772+BJ2772+BL2772+BN2772+BP2772+BR2772+BT2772+BV2772+BX2772+BZ2772+CB2772+CD2772+CF2772+CH2772+CJ2772+CL2772+CN2772+CP2772+CR2772+CT2772</f>
        <v>0</v>
      </c>
      <c r="CV2772" s="76"/>
      <c r="CW2772" s="76">
        <f>+CV2772*1100</f>
        <v>0</v>
      </c>
      <c r="CX2772" s="76"/>
      <c r="CY2772" s="76">
        <f>+CX2772*106250</f>
        <v>0</v>
      </c>
      <c r="CZ2772" s="76"/>
      <c r="DA2772" s="76">
        <f>+CZ2772*34500</f>
        <v>0</v>
      </c>
      <c r="DB2772" s="76"/>
      <c r="DC2772" s="76">
        <f>+DB2772*25000</f>
        <v>0</v>
      </c>
      <c r="DD2772" s="219"/>
      <c r="DE2772" s="219"/>
      <c r="DF2772" s="166"/>
      <c r="DG2772" s="116"/>
      <c r="DH2772" s="117"/>
      <c r="DI2772" s="24"/>
      <c r="DJ2772" s="24"/>
      <c r="DK2772" s="24"/>
      <c r="DL2772" s="24"/>
      <c r="DM2772" s="24"/>
      <c r="DN2772" s="24"/>
      <c r="DO2772" s="24"/>
      <c r="DP2772" s="24"/>
      <c r="DQ2772" s="24"/>
      <c r="DR2772" s="24"/>
      <c r="DS2772" s="24"/>
      <c r="DT2772" s="24"/>
      <c r="DU2772" s="24"/>
    </row>
    <row r="2773" spans="1:125" s="8" customFormat="1" ht="108" x14ac:dyDescent="0.2">
      <c r="A2773" s="353">
        <v>41507</v>
      </c>
      <c r="B2773" s="225" t="s">
        <v>2852</v>
      </c>
      <c r="C2773" s="227" t="s">
        <v>1327</v>
      </c>
      <c r="D2773" s="354" t="s">
        <v>2859</v>
      </c>
      <c r="E2773" s="75" t="str">
        <f>VLOOKUP(B2773&amp;C2773,Divipola!$C$2:$F$1138,4,FALSE)</f>
        <v>27001</v>
      </c>
      <c r="F2773" s="87"/>
      <c r="G2773" s="87"/>
      <c r="H2773" s="87"/>
      <c r="I2773" s="87"/>
      <c r="J2773" s="87"/>
      <c r="K2773" s="87"/>
      <c r="L2773" s="87"/>
      <c r="M2773" s="87"/>
      <c r="N2773" s="87"/>
      <c r="O2773" s="87"/>
      <c r="P2773" s="87"/>
      <c r="Q2773" s="87"/>
      <c r="R2773" s="87"/>
      <c r="S2773" s="87"/>
      <c r="T2773" s="87"/>
      <c r="U2773" s="88"/>
      <c r="V2773" s="89">
        <v>2</v>
      </c>
      <c r="W2773" s="96">
        <v>0</v>
      </c>
      <c r="X2773" s="71">
        <f>CU2773</f>
        <v>0</v>
      </c>
      <c r="Y2773" s="71">
        <f>CY2773</f>
        <v>0</v>
      </c>
      <c r="Z2773" s="71">
        <f>DA2773+DC2773+DE2773</f>
        <v>0</v>
      </c>
      <c r="AA2773" s="71">
        <f>CW2773</f>
        <v>0</v>
      </c>
      <c r="AB2773" s="71"/>
      <c r="AC2773" s="71">
        <v>0</v>
      </c>
      <c r="AD2773" s="71">
        <f>W2773+X2773+Y2773+Z2773+AA2773+AB2773+AC2773</f>
        <v>0</v>
      </c>
      <c r="AE2773" s="72">
        <v>0</v>
      </c>
      <c r="AF2773" s="5"/>
      <c r="AG2773" s="6"/>
      <c r="AH2773" s="27"/>
      <c r="AI2773" s="44"/>
      <c r="AJ2773" s="26"/>
      <c r="AK2773" s="5"/>
      <c r="AL2773" s="82" t="s">
        <v>5670</v>
      </c>
      <c r="AM2773" s="76"/>
      <c r="AN2773" s="76"/>
      <c r="AO2773" s="76"/>
      <c r="AP2773" s="76"/>
      <c r="AQ2773" s="76"/>
      <c r="AR2773" s="76"/>
      <c r="AS2773" s="76"/>
      <c r="AT2773" s="76"/>
      <c r="AU2773" s="76"/>
      <c r="AV2773" s="76"/>
      <c r="AW2773" s="76"/>
      <c r="AX2773" s="76">
        <f>+AW2773*600000</f>
        <v>0</v>
      </c>
      <c r="AY2773" s="76"/>
      <c r="AZ2773" s="76">
        <f>+AY2773*70000</f>
        <v>0</v>
      </c>
      <c r="BA2773" s="76"/>
      <c r="BB2773" s="76"/>
      <c r="BC2773" s="76"/>
      <c r="BD2773" s="76">
        <f>+BC2773*30000</f>
        <v>0</v>
      </c>
      <c r="BE2773" s="76"/>
      <c r="BF2773" s="76"/>
      <c r="BG2773" s="76"/>
      <c r="BH2773" s="76"/>
      <c r="BI2773" s="76"/>
      <c r="BJ2773" s="76"/>
      <c r="BK2773" s="76"/>
      <c r="BL2773" s="76">
        <f>+BK2773*31500</f>
        <v>0</v>
      </c>
      <c r="BM2773" s="76"/>
      <c r="BN2773" s="76"/>
      <c r="BO2773" s="76"/>
      <c r="BP2773" s="76"/>
      <c r="BQ2773" s="76"/>
      <c r="BR2773" s="76"/>
      <c r="BS2773" s="76"/>
      <c r="BT2773" s="76"/>
      <c r="BU2773" s="76"/>
      <c r="BV2773" s="76"/>
      <c r="BW2773" s="76"/>
      <c r="BX2773" s="76"/>
      <c r="BY2773" s="76"/>
      <c r="BZ2773" s="76"/>
      <c r="CA2773" s="76"/>
      <c r="CB2773" s="76"/>
      <c r="CC2773" s="76"/>
      <c r="CD2773" s="76"/>
      <c r="CE2773" s="76"/>
      <c r="CF2773" s="76">
        <f>+CE2773*28000</f>
        <v>0</v>
      </c>
      <c r="CG2773" s="76"/>
      <c r="CH2773" s="76">
        <f>+CG2773*22500</f>
        <v>0</v>
      </c>
      <c r="CI2773" s="76"/>
      <c r="CJ2773" s="76">
        <f>+CI2773*26000</f>
        <v>0</v>
      </c>
      <c r="CK2773" s="76"/>
      <c r="CL2773" s="76"/>
      <c r="CM2773" s="76"/>
      <c r="CN2773" s="76">
        <f>+CM2773*22000</f>
        <v>0</v>
      </c>
      <c r="CO2773" s="76"/>
      <c r="CP2773" s="76">
        <f>+CO2773*46000</f>
        <v>0</v>
      </c>
      <c r="CQ2773" s="76"/>
      <c r="CR2773" s="76">
        <f>+CQ2773*49000</f>
        <v>0</v>
      </c>
      <c r="CS2773" s="76"/>
      <c r="CT2773" s="76"/>
      <c r="CU2773" s="56">
        <f>AN2773+AP2773+AR2773+AT2773+AV2773+AX2773+AZ2773+BB2773+BD2773+BF2773+BH2773+BJ2773+BL2773+BN2773+BP2773+BR2773+BT2773+BV2773+BX2773+BZ2773+CB2773+CD2773+CF2773+CH2773+CJ2773+CL2773+CN2773+CP2773+CR2773+CT2773</f>
        <v>0</v>
      </c>
      <c r="CV2773" s="76"/>
      <c r="CW2773" s="76">
        <f>+CV2773*1100</f>
        <v>0</v>
      </c>
      <c r="CX2773" s="76"/>
      <c r="CY2773" s="76">
        <f>+CX2773*106250</f>
        <v>0</v>
      </c>
      <c r="CZ2773" s="76"/>
      <c r="DA2773" s="76">
        <f>+CZ2773*34500</f>
        <v>0</v>
      </c>
      <c r="DB2773" s="76"/>
      <c r="DC2773" s="76">
        <f>+DB2773*25000</f>
        <v>0</v>
      </c>
      <c r="DD2773" s="219"/>
      <c r="DE2773" s="219"/>
      <c r="DF2773" s="166"/>
      <c r="DG2773" s="116"/>
      <c r="DH2773" s="117"/>
      <c r="DI2773" s="24"/>
      <c r="DJ2773" s="24"/>
      <c r="DK2773" s="24"/>
      <c r="DL2773" s="24"/>
      <c r="DM2773" s="24"/>
      <c r="DN2773" s="24"/>
      <c r="DO2773" s="24"/>
      <c r="DP2773" s="24"/>
      <c r="DQ2773" s="24"/>
      <c r="DR2773" s="24"/>
      <c r="DS2773" s="24"/>
      <c r="DT2773" s="24"/>
      <c r="DU2773" s="24"/>
    </row>
    <row r="2774" spans="1:125" s="8" customFormat="1" ht="48" x14ac:dyDescent="0.2">
      <c r="A2774" s="353">
        <v>41507</v>
      </c>
      <c r="B2774" s="352" t="s">
        <v>2852</v>
      </c>
      <c r="C2774" s="354" t="s">
        <v>18</v>
      </c>
      <c r="D2774" s="354" t="s">
        <v>2882</v>
      </c>
      <c r="E2774" s="75" t="str">
        <f>VLOOKUP(B2774&amp;C2774,Divipola!$C$2:$F$1138,4,FALSE)</f>
        <v>27810</v>
      </c>
      <c r="F2774" s="87"/>
      <c r="G2774" s="87"/>
      <c r="H2774" s="87"/>
      <c r="I2774" s="87">
        <v>2680</v>
      </c>
      <c r="J2774" s="87">
        <v>536</v>
      </c>
      <c r="K2774" s="87">
        <v>28</v>
      </c>
      <c r="L2774" s="87">
        <v>247</v>
      </c>
      <c r="M2774" s="87"/>
      <c r="N2774" s="87"/>
      <c r="O2774" s="87"/>
      <c r="P2774" s="87"/>
      <c r="Q2774" s="87"/>
      <c r="R2774" s="87"/>
      <c r="S2774" s="87"/>
      <c r="T2774" s="87"/>
      <c r="U2774" s="88"/>
      <c r="V2774" s="89"/>
      <c r="W2774" s="96">
        <v>0</v>
      </c>
      <c r="X2774" s="71">
        <f>CU2774</f>
        <v>0</v>
      </c>
      <c r="Y2774" s="71">
        <f>CY2774</f>
        <v>0</v>
      </c>
      <c r="Z2774" s="71">
        <f>DA2774+DC2774+DE2774</f>
        <v>0</v>
      </c>
      <c r="AA2774" s="71">
        <f>CW2774</f>
        <v>0</v>
      </c>
      <c r="AB2774" s="71"/>
      <c r="AC2774" s="71">
        <v>0</v>
      </c>
      <c r="AD2774" s="71">
        <f>W2774+X2774+Y2774+Z2774+AA2774+AB2774+AC2774</f>
        <v>0</v>
      </c>
      <c r="AE2774" s="72">
        <v>0</v>
      </c>
      <c r="AF2774" s="5"/>
      <c r="AG2774" s="6"/>
      <c r="AH2774" s="27"/>
      <c r="AI2774" s="44"/>
      <c r="AJ2774" s="26"/>
      <c r="AK2774" s="5"/>
      <c r="AL2774" s="82" t="s">
        <v>5684</v>
      </c>
      <c r="AM2774" s="76"/>
      <c r="AN2774" s="76"/>
      <c r="AO2774" s="76"/>
      <c r="AP2774" s="76"/>
      <c r="AQ2774" s="76"/>
      <c r="AR2774" s="76"/>
      <c r="AS2774" s="76"/>
      <c r="AT2774" s="76"/>
      <c r="AU2774" s="76"/>
      <c r="AV2774" s="76"/>
      <c r="AW2774" s="76"/>
      <c r="AX2774" s="76">
        <f>+AW2774*600000</f>
        <v>0</v>
      </c>
      <c r="AY2774" s="76"/>
      <c r="AZ2774" s="76">
        <f>+AY2774*70000</f>
        <v>0</v>
      </c>
      <c r="BA2774" s="76"/>
      <c r="BB2774" s="76"/>
      <c r="BC2774" s="76"/>
      <c r="BD2774" s="76">
        <f>+BC2774*30000</f>
        <v>0</v>
      </c>
      <c r="BE2774" s="76"/>
      <c r="BF2774" s="76"/>
      <c r="BG2774" s="76"/>
      <c r="BH2774" s="76"/>
      <c r="BI2774" s="76"/>
      <c r="BJ2774" s="76"/>
      <c r="BK2774" s="76"/>
      <c r="BL2774" s="76">
        <f>+BK2774*31500</f>
        <v>0</v>
      </c>
      <c r="BM2774" s="76"/>
      <c r="BN2774" s="76"/>
      <c r="BO2774" s="76"/>
      <c r="BP2774" s="76"/>
      <c r="BQ2774" s="76"/>
      <c r="BR2774" s="76"/>
      <c r="BS2774" s="76"/>
      <c r="BT2774" s="76"/>
      <c r="BU2774" s="76"/>
      <c r="BV2774" s="76"/>
      <c r="BW2774" s="76"/>
      <c r="BX2774" s="76"/>
      <c r="BY2774" s="76"/>
      <c r="BZ2774" s="76"/>
      <c r="CA2774" s="76"/>
      <c r="CB2774" s="76"/>
      <c r="CC2774" s="76"/>
      <c r="CD2774" s="76"/>
      <c r="CE2774" s="76"/>
      <c r="CF2774" s="76">
        <f>+CE2774*28000</f>
        <v>0</v>
      </c>
      <c r="CG2774" s="76"/>
      <c r="CH2774" s="76">
        <f>+CG2774*22500</f>
        <v>0</v>
      </c>
      <c r="CI2774" s="76"/>
      <c r="CJ2774" s="76">
        <f>+CI2774*26000</f>
        <v>0</v>
      </c>
      <c r="CK2774" s="76"/>
      <c r="CL2774" s="76"/>
      <c r="CM2774" s="76"/>
      <c r="CN2774" s="76">
        <f>+CM2774*22000</f>
        <v>0</v>
      </c>
      <c r="CO2774" s="76"/>
      <c r="CP2774" s="76">
        <f>+CO2774*46000</f>
        <v>0</v>
      </c>
      <c r="CQ2774" s="76"/>
      <c r="CR2774" s="76">
        <f>+CQ2774*49000</f>
        <v>0</v>
      </c>
      <c r="CS2774" s="76"/>
      <c r="CT2774" s="76"/>
      <c r="CU2774" s="56">
        <f>AN2774+AP2774+AR2774+AT2774+AV2774+AX2774+AZ2774+BB2774+BD2774+BF2774+BH2774+BJ2774+BL2774+BN2774+BP2774+BR2774+BT2774+BV2774+BX2774+BZ2774+CB2774+CD2774+CF2774+CH2774+CJ2774+CL2774+CN2774+CP2774+CR2774+CT2774</f>
        <v>0</v>
      </c>
      <c r="CV2774" s="76"/>
      <c r="CW2774" s="76">
        <f>+CV2774*1100</f>
        <v>0</v>
      </c>
      <c r="CX2774" s="76"/>
      <c r="CY2774" s="76">
        <f>+CX2774*106250</f>
        <v>0</v>
      </c>
      <c r="CZ2774" s="76"/>
      <c r="DA2774" s="76">
        <f>+CZ2774*34500</f>
        <v>0</v>
      </c>
      <c r="DB2774" s="76"/>
      <c r="DC2774" s="76">
        <f>+DB2774*25000</f>
        <v>0</v>
      </c>
      <c r="DD2774" s="219"/>
      <c r="DE2774" s="219"/>
      <c r="DF2774" s="166"/>
      <c r="DG2774" s="116"/>
      <c r="DH2774" s="117"/>
      <c r="DI2774" s="24"/>
      <c r="DJ2774" s="24"/>
      <c r="DK2774" s="24"/>
      <c r="DL2774" s="24"/>
      <c r="DM2774" s="24"/>
      <c r="DN2774" s="24"/>
      <c r="DO2774" s="24"/>
      <c r="DP2774" s="24"/>
      <c r="DQ2774" s="24"/>
      <c r="DR2774" s="24"/>
      <c r="DS2774" s="24"/>
      <c r="DT2774" s="24"/>
      <c r="DU2774" s="24"/>
    </row>
    <row r="2775" spans="1:125" s="8" customFormat="1" ht="36" x14ac:dyDescent="0.2">
      <c r="A2775" s="353">
        <v>41507</v>
      </c>
      <c r="B2775" s="352" t="s">
        <v>2661</v>
      </c>
      <c r="C2775" s="354" t="s">
        <v>2838</v>
      </c>
      <c r="D2775" s="354" t="s">
        <v>2846</v>
      </c>
      <c r="E2775" s="353" t="str">
        <f>VLOOKUP(B2775&amp;C2775,Divipola!$C$2:$F$1138,4,FALSE)</f>
        <v>41132</v>
      </c>
      <c r="F2775" s="87"/>
      <c r="G2775" s="87"/>
      <c r="H2775" s="87"/>
      <c r="I2775" s="87"/>
      <c r="J2775" s="87"/>
      <c r="K2775" s="87"/>
      <c r="L2775" s="87"/>
      <c r="M2775" s="87"/>
      <c r="N2775" s="87"/>
      <c r="O2775" s="87"/>
      <c r="P2775" s="87"/>
      <c r="Q2775" s="87"/>
      <c r="R2775" s="87"/>
      <c r="S2775" s="87"/>
      <c r="T2775" s="87"/>
      <c r="U2775" s="88">
        <v>4</v>
      </c>
      <c r="V2775" s="89"/>
      <c r="W2775" s="96">
        <v>0</v>
      </c>
      <c r="X2775" s="71">
        <f>CU2775</f>
        <v>0</v>
      </c>
      <c r="Y2775" s="71">
        <f>CY2775</f>
        <v>0</v>
      </c>
      <c r="Z2775" s="71">
        <f>DA2775+DC2775+DE2775</f>
        <v>0</v>
      </c>
      <c r="AA2775" s="71">
        <f>CW2775</f>
        <v>0</v>
      </c>
      <c r="AB2775" s="71"/>
      <c r="AC2775" s="71">
        <v>0</v>
      </c>
      <c r="AD2775" s="71">
        <f>W2775+X2775+Y2775+Z2775+AA2775+AB2775+AC2775</f>
        <v>0</v>
      </c>
      <c r="AE2775" s="72">
        <v>0</v>
      </c>
      <c r="AF2775" s="5"/>
      <c r="AG2775" s="6"/>
      <c r="AH2775" s="27"/>
      <c r="AI2775" s="44"/>
      <c r="AJ2775" s="26"/>
      <c r="AK2775" s="5"/>
      <c r="AL2775" s="82" t="s">
        <v>5651</v>
      </c>
      <c r="AM2775" s="76"/>
      <c r="AN2775" s="76"/>
      <c r="AO2775" s="76"/>
      <c r="AP2775" s="76"/>
      <c r="AQ2775" s="76"/>
      <c r="AR2775" s="76"/>
      <c r="AS2775" s="76"/>
      <c r="AT2775" s="76"/>
      <c r="AU2775" s="76"/>
      <c r="AV2775" s="76"/>
      <c r="AW2775" s="76"/>
      <c r="AX2775" s="76">
        <f>+AW2775*600000</f>
        <v>0</v>
      </c>
      <c r="AY2775" s="76"/>
      <c r="AZ2775" s="76">
        <f>+AY2775*70000</f>
        <v>0</v>
      </c>
      <c r="BA2775" s="76"/>
      <c r="BB2775" s="76"/>
      <c r="BC2775" s="76"/>
      <c r="BD2775" s="76">
        <f>+BC2775*30000</f>
        <v>0</v>
      </c>
      <c r="BE2775" s="76"/>
      <c r="BF2775" s="76"/>
      <c r="BG2775" s="76"/>
      <c r="BH2775" s="76"/>
      <c r="BI2775" s="76"/>
      <c r="BJ2775" s="76"/>
      <c r="BK2775" s="76"/>
      <c r="BL2775" s="76">
        <f>+BK2775*31500</f>
        <v>0</v>
      </c>
      <c r="BM2775" s="76"/>
      <c r="BN2775" s="76"/>
      <c r="BO2775" s="76"/>
      <c r="BP2775" s="76"/>
      <c r="BQ2775" s="76"/>
      <c r="BR2775" s="76"/>
      <c r="BS2775" s="76"/>
      <c r="BT2775" s="76"/>
      <c r="BU2775" s="76"/>
      <c r="BV2775" s="76"/>
      <c r="BW2775" s="76"/>
      <c r="BX2775" s="76"/>
      <c r="BY2775" s="76"/>
      <c r="BZ2775" s="76"/>
      <c r="CA2775" s="76"/>
      <c r="CB2775" s="76"/>
      <c r="CC2775" s="76"/>
      <c r="CD2775" s="76"/>
      <c r="CE2775" s="76"/>
      <c r="CF2775" s="76">
        <f>+CE2775*28000</f>
        <v>0</v>
      </c>
      <c r="CG2775" s="76"/>
      <c r="CH2775" s="76">
        <f>+CG2775*22500</f>
        <v>0</v>
      </c>
      <c r="CI2775" s="76"/>
      <c r="CJ2775" s="76">
        <f>+CI2775*26000</f>
        <v>0</v>
      </c>
      <c r="CK2775" s="76"/>
      <c r="CL2775" s="76"/>
      <c r="CM2775" s="76"/>
      <c r="CN2775" s="76">
        <f>+CM2775*22000</f>
        <v>0</v>
      </c>
      <c r="CO2775" s="76"/>
      <c r="CP2775" s="76">
        <f>+CO2775*46000</f>
        <v>0</v>
      </c>
      <c r="CQ2775" s="76"/>
      <c r="CR2775" s="76">
        <f>+CQ2775*49000</f>
        <v>0</v>
      </c>
      <c r="CS2775" s="76"/>
      <c r="CT2775" s="76"/>
      <c r="CU2775" s="56">
        <f>AN2775+AP2775+AR2775+AT2775+AV2775+AX2775+AZ2775+BB2775+BD2775+BF2775+BH2775+BJ2775+BL2775+BN2775+BP2775+BR2775+BT2775+BV2775+BX2775+BZ2775+CB2775+CD2775+CF2775+CH2775+CJ2775+CL2775+CN2775+CP2775+CR2775+CT2775</f>
        <v>0</v>
      </c>
      <c r="CV2775" s="76"/>
      <c r="CW2775" s="76">
        <f>+CV2775*1100</f>
        <v>0</v>
      </c>
      <c r="CX2775" s="76"/>
      <c r="CY2775" s="76">
        <f>+CX2775*106250</f>
        <v>0</v>
      </c>
      <c r="CZ2775" s="76"/>
      <c r="DA2775" s="76">
        <f>+CZ2775*34500</f>
        <v>0</v>
      </c>
      <c r="DB2775" s="76"/>
      <c r="DC2775" s="76">
        <f>+DB2775*25000</f>
        <v>0</v>
      </c>
      <c r="DD2775" s="219"/>
      <c r="DE2775" s="219"/>
      <c r="DF2775" s="166"/>
      <c r="DG2775" s="116"/>
      <c r="DH2775" s="117"/>
      <c r="DI2775" s="24"/>
      <c r="DJ2775" s="24"/>
      <c r="DK2775" s="24"/>
      <c r="DL2775" s="24"/>
      <c r="DM2775" s="24"/>
      <c r="DN2775" s="24"/>
      <c r="DO2775" s="24"/>
      <c r="DP2775" s="24"/>
      <c r="DQ2775" s="24"/>
      <c r="DR2775" s="24"/>
      <c r="DS2775" s="24"/>
      <c r="DT2775" s="24"/>
      <c r="DU2775" s="24"/>
    </row>
    <row r="2776" spans="1:125" s="8" customFormat="1" ht="36" x14ac:dyDescent="0.2">
      <c r="A2776" s="353">
        <v>41507</v>
      </c>
      <c r="B2776" s="352" t="s">
        <v>2661</v>
      </c>
      <c r="C2776" s="354" t="s">
        <v>2169</v>
      </c>
      <c r="D2776" s="354" t="s">
        <v>2846</v>
      </c>
      <c r="E2776" s="353" t="str">
        <f>VLOOKUP(B2776&amp;C2776,Divipola!$C$2:$F$1138,4,FALSE)</f>
        <v>41001</v>
      </c>
      <c r="F2776" s="87"/>
      <c r="G2776" s="87"/>
      <c r="H2776" s="87"/>
      <c r="I2776" s="87"/>
      <c r="J2776" s="87"/>
      <c r="K2776" s="87"/>
      <c r="L2776" s="87"/>
      <c r="M2776" s="87"/>
      <c r="N2776" s="87"/>
      <c r="O2776" s="87"/>
      <c r="P2776" s="87"/>
      <c r="Q2776" s="87"/>
      <c r="R2776" s="87"/>
      <c r="S2776" s="87"/>
      <c r="T2776" s="87"/>
      <c r="U2776" s="88">
        <v>10</v>
      </c>
      <c r="V2776" s="89"/>
      <c r="W2776" s="96">
        <v>0</v>
      </c>
      <c r="X2776" s="71">
        <f>CU2776</f>
        <v>0</v>
      </c>
      <c r="Y2776" s="71">
        <f>CY2776</f>
        <v>0</v>
      </c>
      <c r="Z2776" s="71">
        <f>DA2776+DC2776+DE2776</f>
        <v>0</v>
      </c>
      <c r="AA2776" s="71">
        <f>CW2776</f>
        <v>0</v>
      </c>
      <c r="AB2776" s="71"/>
      <c r="AC2776" s="71">
        <v>0</v>
      </c>
      <c r="AD2776" s="71">
        <f>W2776+X2776+Y2776+Z2776+AA2776+AB2776+AC2776</f>
        <v>0</v>
      </c>
      <c r="AE2776" s="72">
        <v>0</v>
      </c>
      <c r="AF2776" s="5"/>
      <c r="AG2776" s="6"/>
      <c r="AH2776" s="27"/>
      <c r="AI2776" s="44"/>
      <c r="AJ2776" s="26"/>
      <c r="AK2776" s="5"/>
      <c r="AL2776" s="82" t="s">
        <v>5652</v>
      </c>
      <c r="AM2776" s="76"/>
      <c r="AN2776" s="76"/>
      <c r="AO2776" s="76"/>
      <c r="AP2776" s="76"/>
      <c r="AQ2776" s="76"/>
      <c r="AR2776" s="76"/>
      <c r="AS2776" s="76"/>
      <c r="AT2776" s="76"/>
      <c r="AU2776" s="76"/>
      <c r="AV2776" s="76"/>
      <c r="AW2776" s="76"/>
      <c r="AX2776" s="76">
        <f>+AW2776*600000</f>
        <v>0</v>
      </c>
      <c r="AY2776" s="76"/>
      <c r="AZ2776" s="76">
        <f>+AY2776*70000</f>
        <v>0</v>
      </c>
      <c r="BA2776" s="76"/>
      <c r="BB2776" s="76"/>
      <c r="BC2776" s="76"/>
      <c r="BD2776" s="76">
        <f>+BC2776*30000</f>
        <v>0</v>
      </c>
      <c r="BE2776" s="76"/>
      <c r="BF2776" s="76"/>
      <c r="BG2776" s="76"/>
      <c r="BH2776" s="76"/>
      <c r="BI2776" s="76"/>
      <c r="BJ2776" s="76"/>
      <c r="BK2776" s="76"/>
      <c r="BL2776" s="76">
        <f>+BK2776*31500</f>
        <v>0</v>
      </c>
      <c r="BM2776" s="76"/>
      <c r="BN2776" s="76"/>
      <c r="BO2776" s="76"/>
      <c r="BP2776" s="76"/>
      <c r="BQ2776" s="76"/>
      <c r="BR2776" s="76"/>
      <c r="BS2776" s="76"/>
      <c r="BT2776" s="76"/>
      <c r="BU2776" s="76"/>
      <c r="BV2776" s="76"/>
      <c r="BW2776" s="76"/>
      <c r="BX2776" s="76"/>
      <c r="BY2776" s="76"/>
      <c r="BZ2776" s="76"/>
      <c r="CA2776" s="76"/>
      <c r="CB2776" s="76"/>
      <c r="CC2776" s="76"/>
      <c r="CD2776" s="76"/>
      <c r="CE2776" s="76"/>
      <c r="CF2776" s="76">
        <f>+CE2776*28000</f>
        <v>0</v>
      </c>
      <c r="CG2776" s="76"/>
      <c r="CH2776" s="76">
        <f>+CG2776*22500</f>
        <v>0</v>
      </c>
      <c r="CI2776" s="76"/>
      <c r="CJ2776" s="76">
        <f>+CI2776*26000</f>
        <v>0</v>
      </c>
      <c r="CK2776" s="76"/>
      <c r="CL2776" s="76"/>
      <c r="CM2776" s="76"/>
      <c r="CN2776" s="76">
        <f>+CM2776*22000</f>
        <v>0</v>
      </c>
      <c r="CO2776" s="76"/>
      <c r="CP2776" s="76">
        <f>+CO2776*46000</f>
        <v>0</v>
      </c>
      <c r="CQ2776" s="76"/>
      <c r="CR2776" s="76">
        <f>+CQ2776*49000</f>
        <v>0</v>
      </c>
      <c r="CS2776" s="76"/>
      <c r="CT2776" s="76"/>
      <c r="CU2776" s="56">
        <f>AN2776+AP2776+AR2776+AT2776+AV2776+AX2776+AZ2776+BB2776+BD2776+BF2776+BH2776+BJ2776+BL2776+BN2776+BP2776+BR2776+BT2776+BV2776+BX2776+BZ2776+CB2776+CD2776+CF2776+CH2776+CJ2776+CL2776+CN2776+CP2776+CR2776+CT2776</f>
        <v>0</v>
      </c>
      <c r="CV2776" s="76"/>
      <c r="CW2776" s="76">
        <f>+CV2776*1100</f>
        <v>0</v>
      </c>
      <c r="CX2776" s="76"/>
      <c r="CY2776" s="76">
        <f>+CX2776*106250</f>
        <v>0</v>
      </c>
      <c r="CZ2776" s="76"/>
      <c r="DA2776" s="76">
        <f>+CZ2776*34500</f>
        <v>0</v>
      </c>
      <c r="DB2776" s="76"/>
      <c r="DC2776" s="76">
        <f>+DB2776*25000</f>
        <v>0</v>
      </c>
      <c r="DD2776" s="219"/>
      <c r="DE2776" s="219"/>
      <c r="DF2776" s="166"/>
      <c r="DG2776" s="116"/>
      <c r="DH2776" s="117"/>
      <c r="DI2776" s="24"/>
      <c r="DJ2776" s="24"/>
      <c r="DK2776" s="24"/>
      <c r="DL2776" s="24"/>
      <c r="DM2776" s="24"/>
      <c r="DN2776" s="24"/>
      <c r="DO2776" s="24"/>
      <c r="DP2776" s="24"/>
      <c r="DQ2776" s="24"/>
      <c r="DR2776" s="24"/>
      <c r="DS2776" s="24"/>
      <c r="DT2776" s="24"/>
      <c r="DU2776" s="24"/>
    </row>
    <row r="2777" spans="1:125" s="8" customFormat="1" ht="36" x14ac:dyDescent="0.2">
      <c r="A2777" s="353">
        <v>41507</v>
      </c>
      <c r="B2777" s="352" t="s">
        <v>2661</v>
      </c>
      <c r="C2777" s="354" t="s">
        <v>2169</v>
      </c>
      <c r="D2777" s="354" t="s">
        <v>2846</v>
      </c>
      <c r="E2777" s="353" t="str">
        <f>VLOOKUP(B2777&amp;C2777,Divipola!$C$2:$F$1138,4,FALSE)</f>
        <v>41001</v>
      </c>
      <c r="F2777" s="87"/>
      <c r="G2777" s="87"/>
      <c r="H2777" s="87"/>
      <c r="I2777" s="87"/>
      <c r="J2777" s="87"/>
      <c r="K2777" s="87"/>
      <c r="L2777" s="87"/>
      <c r="M2777" s="87"/>
      <c r="N2777" s="87"/>
      <c r="O2777" s="87"/>
      <c r="P2777" s="87"/>
      <c r="Q2777" s="87"/>
      <c r="R2777" s="87"/>
      <c r="S2777" s="87"/>
      <c r="T2777" s="87"/>
      <c r="U2777" s="88">
        <v>30</v>
      </c>
      <c r="V2777" s="89"/>
      <c r="W2777" s="96">
        <v>0</v>
      </c>
      <c r="X2777" s="71">
        <f>CU2777</f>
        <v>0</v>
      </c>
      <c r="Y2777" s="71">
        <f>CY2777</f>
        <v>0</v>
      </c>
      <c r="Z2777" s="71">
        <f>DA2777+DC2777+DE2777</f>
        <v>0</v>
      </c>
      <c r="AA2777" s="71">
        <f>CW2777</f>
        <v>0</v>
      </c>
      <c r="AB2777" s="71"/>
      <c r="AC2777" s="71">
        <v>0</v>
      </c>
      <c r="AD2777" s="71">
        <f>W2777+X2777+Y2777+Z2777+AA2777+AB2777+AC2777</f>
        <v>0</v>
      </c>
      <c r="AE2777" s="72">
        <v>0</v>
      </c>
      <c r="AF2777" s="5"/>
      <c r="AG2777" s="6"/>
      <c r="AH2777" s="27"/>
      <c r="AI2777" s="44"/>
      <c r="AJ2777" s="26"/>
      <c r="AK2777" s="5"/>
      <c r="AL2777" s="82" t="s">
        <v>5653</v>
      </c>
      <c r="AM2777" s="76"/>
      <c r="AN2777" s="76"/>
      <c r="AO2777" s="76"/>
      <c r="AP2777" s="76"/>
      <c r="AQ2777" s="76"/>
      <c r="AR2777" s="76"/>
      <c r="AS2777" s="76"/>
      <c r="AT2777" s="76"/>
      <c r="AU2777" s="76"/>
      <c r="AV2777" s="76"/>
      <c r="AW2777" s="76"/>
      <c r="AX2777" s="76">
        <f>+AW2777*600000</f>
        <v>0</v>
      </c>
      <c r="AY2777" s="76"/>
      <c r="AZ2777" s="76">
        <f>+AY2777*70000</f>
        <v>0</v>
      </c>
      <c r="BA2777" s="76"/>
      <c r="BB2777" s="76"/>
      <c r="BC2777" s="76"/>
      <c r="BD2777" s="76">
        <f>+BC2777*30000</f>
        <v>0</v>
      </c>
      <c r="BE2777" s="76"/>
      <c r="BF2777" s="76"/>
      <c r="BG2777" s="76"/>
      <c r="BH2777" s="76"/>
      <c r="BI2777" s="76"/>
      <c r="BJ2777" s="76"/>
      <c r="BK2777" s="76"/>
      <c r="BL2777" s="76">
        <f>+BK2777*31500</f>
        <v>0</v>
      </c>
      <c r="BM2777" s="76"/>
      <c r="BN2777" s="76"/>
      <c r="BO2777" s="76"/>
      <c r="BP2777" s="76"/>
      <c r="BQ2777" s="76"/>
      <c r="BR2777" s="76"/>
      <c r="BS2777" s="76"/>
      <c r="BT2777" s="76"/>
      <c r="BU2777" s="76"/>
      <c r="BV2777" s="76"/>
      <c r="BW2777" s="76"/>
      <c r="BX2777" s="76"/>
      <c r="BY2777" s="76"/>
      <c r="BZ2777" s="76"/>
      <c r="CA2777" s="76"/>
      <c r="CB2777" s="76"/>
      <c r="CC2777" s="76"/>
      <c r="CD2777" s="76"/>
      <c r="CE2777" s="76"/>
      <c r="CF2777" s="76">
        <f>+CE2777*28000</f>
        <v>0</v>
      </c>
      <c r="CG2777" s="76"/>
      <c r="CH2777" s="76">
        <f>+CG2777*22500</f>
        <v>0</v>
      </c>
      <c r="CI2777" s="76"/>
      <c r="CJ2777" s="76">
        <f>+CI2777*26000</f>
        <v>0</v>
      </c>
      <c r="CK2777" s="76"/>
      <c r="CL2777" s="76"/>
      <c r="CM2777" s="76"/>
      <c r="CN2777" s="76">
        <f>+CM2777*22000</f>
        <v>0</v>
      </c>
      <c r="CO2777" s="76"/>
      <c r="CP2777" s="76">
        <f>+CO2777*46000</f>
        <v>0</v>
      </c>
      <c r="CQ2777" s="76"/>
      <c r="CR2777" s="76">
        <f>+CQ2777*49000</f>
        <v>0</v>
      </c>
      <c r="CS2777" s="76"/>
      <c r="CT2777" s="76"/>
      <c r="CU2777" s="56">
        <f>AN2777+AP2777+AR2777+AT2777+AV2777+AX2777+AZ2777+BB2777+BD2777+BF2777+BH2777+BJ2777+BL2777+BN2777+BP2777+BR2777+BT2777+BV2777+BX2777+BZ2777+CB2777+CD2777+CF2777+CH2777+CJ2777+CL2777+CN2777+CP2777+CR2777+CT2777</f>
        <v>0</v>
      </c>
      <c r="CV2777" s="76"/>
      <c r="CW2777" s="76">
        <f>+CV2777*1100</f>
        <v>0</v>
      </c>
      <c r="CX2777" s="76"/>
      <c r="CY2777" s="76">
        <f>+CX2777*106250</f>
        <v>0</v>
      </c>
      <c r="CZ2777" s="76"/>
      <c r="DA2777" s="76">
        <f>+CZ2777*34500</f>
        <v>0</v>
      </c>
      <c r="DB2777" s="76"/>
      <c r="DC2777" s="76">
        <f>+DB2777*25000</f>
        <v>0</v>
      </c>
      <c r="DD2777" s="219"/>
      <c r="DE2777" s="219"/>
      <c r="DF2777" s="166"/>
      <c r="DG2777" s="116"/>
      <c r="DH2777" s="117"/>
      <c r="DI2777" s="24"/>
      <c r="DJ2777" s="24"/>
      <c r="DK2777" s="24"/>
      <c r="DL2777" s="24"/>
      <c r="DM2777" s="24"/>
      <c r="DN2777" s="24"/>
      <c r="DO2777" s="24"/>
      <c r="DP2777" s="24"/>
      <c r="DQ2777" s="24"/>
      <c r="DR2777" s="24"/>
      <c r="DS2777" s="24"/>
      <c r="DT2777" s="24"/>
      <c r="DU2777" s="24"/>
    </row>
    <row r="2778" spans="1:125" s="8" customFormat="1" ht="48" x14ac:dyDescent="0.2">
      <c r="A2778" s="353">
        <v>41507</v>
      </c>
      <c r="B2778" s="352" t="s">
        <v>2774</v>
      </c>
      <c r="C2778" s="354" t="s">
        <v>2038</v>
      </c>
      <c r="D2778" s="354" t="s">
        <v>2882</v>
      </c>
      <c r="E2778" s="353" t="str">
        <f>VLOOKUP(B2778&amp;C2778,Divipola!$C$2:$F$1138,4,FALSE)</f>
        <v>66456</v>
      </c>
      <c r="F2778" s="87"/>
      <c r="G2778" s="87"/>
      <c r="H2778" s="87"/>
      <c r="I2778" s="87">
        <v>49</v>
      </c>
      <c r="J2778" s="87">
        <v>5</v>
      </c>
      <c r="K2778" s="87"/>
      <c r="L2778" s="87">
        <v>5</v>
      </c>
      <c r="M2778" s="87"/>
      <c r="N2778" s="87"/>
      <c r="O2778" s="87"/>
      <c r="P2778" s="87"/>
      <c r="Q2778" s="87"/>
      <c r="R2778" s="87"/>
      <c r="S2778" s="87"/>
      <c r="T2778" s="87"/>
      <c r="U2778" s="88"/>
      <c r="V2778" s="89"/>
      <c r="W2778" s="96">
        <v>0</v>
      </c>
      <c r="X2778" s="71">
        <f>CU2778</f>
        <v>0</v>
      </c>
      <c r="Y2778" s="71">
        <f>CY2778</f>
        <v>0</v>
      </c>
      <c r="Z2778" s="71">
        <f>DA2778+DC2778+DE2778</f>
        <v>0</v>
      </c>
      <c r="AA2778" s="71">
        <f>CW2778</f>
        <v>0</v>
      </c>
      <c r="AB2778" s="71"/>
      <c r="AC2778" s="71">
        <v>0</v>
      </c>
      <c r="AD2778" s="71">
        <f>W2778+X2778+Y2778+Z2778+AA2778+AB2778+AC2778</f>
        <v>0</v>
      </c>
      <c r="AE2778" s="72">
        <v>0</v>
      </c>
      <c r="AF2778" s="5"/>
      <c r="AG2778" s="6"/>
      <c r="AH2778" s="27"/>
      <c r="AI2778" s="44"/>
      <c r="AJ2778" s="26"/>
      <c r="AK2778" s="5"/>
      <c r="AL2778" s="82" t="s">
        <v>5658</v>
      </c>
      <c r="AM2778" s="76"/>
      <c r="AN2778" s="76"/>
      <c r="AO2778" s="76"/>
      <c r="AP2778" s="76"/>
      <c r="AQ2778" s="76"/>
      <c r="AR2778" s="76"/>
      <c r="AS2778" s="76"/>
      <c r="AT2778" s="76"/>
      <c r="AU2778" s="76"/>
      <c r="AV2778" s="76"/>
      <c r="AW2778" s="76"/>
      <c r="AX2778" s="76">
        <f>+AW2778*600000</f>
        <v>0</v>
      </c>
      <c r="AY2778" s="76"/>
      <c r="AZ2778" s="76">
        <f>+AY2778*70000</f>
        <v>0</v>
      </c>
      <c r="BA2778" s="76"/>
      <c r="BB2778" s="76"/>
      <c r="BC2778" s="76"/>
      <c r="BD2778" s="76">
        <f>+BC2778*30000</f>
        <v>0</v>
      </c>
      <c r="BE2778" s="76"/>
      <c r="BF2778" s="76"/>
      <c r="BG2778" s="76"/>
      <c r="BH2778" s="76"/>
      <c r="BI2778" s="76"/>
      <c r="BJ2778" s="76"/>
      <c r="BK2778" s="76"/>
      <c r="BL2778" s="76">
        <f>+BK2778*31500</f>
        <v>0</v>
      </c>
      <c r="BM2778" s="76"/>
      <c r="BN2778" s="76"/>
      <c r="BO2778" s="76"/>
      <c r="BP2778" s="76"/>
      <c r="BQ2778" s="76"/>
      <c r="BR2778" s="76"/>
      <c r="BS2778" s="76"/>
      <c r="BT2778" s="76"/>
      <c r="BU2778" s="76"/>
      <c r="BV2778" s="76"/>
      <c r="BW2778" s="76"/>
      <c r="BX2778" s="76"/>
      <c r="BY2778" s="76"/>
      <c r="BZ2778" s="76"/>
      <c r="CA2778" s="76"/>
      <c r="CB2778" s="76"/>
      <c r="CC2778" s="76"/>
      <c r="CD2778" s="76"/>
      <c r="CE2778" s="76"/>
      <c r="CF2778" s="76">
        <f>+CE2778*28000</f>
        <v>0</v>
      </c>
      <c r="CG2778" s="76"/>
      <c r="CH2778" s="76">
        <f>+CG2778*22500</f>
        <v>0</v>
      </c>
      <c r="CI2778" s="76"/>
      <c r="CJ2778" s="76">
        <f>+CI2778*26000</f>
        <v>0</v>
      </c>
      <c r="CK2778" s="76"/>
      <c r="CL2778" s="76"/>
      <c r="CM2778" s="76"/>
      <c r="CN2778" s="76">
        <f>+CM2778*22000</f>
        <v>0</v>
      </c>
      <c r="CO2778" s="76"/>
      <c r="CP2778" s="76">
        <f>+CO2778*46000</f>
        <v>0</v>
      </c>
      <c r="CQ2778" s="76"/>
      <c r="CR2778" s="76">
        <f>+CQ2778*49000</f>
        <v>0</v>
      </c>
      <c r="CS2778" s="76"/>
      <c r="CT2778" s="76"/>
      <c r="CU2778" s="56">
        <f>AN2778+AP2778+AR2778+AT2778+AV2778+AX2778+AZ2778+BB2778+BD2778+BF2778+BH2778+BJ2778+BL2778+BN2778+BP2778+BR2778+BT2778+BV2778+BX2778+BZ2778+CB2778+CD2778+CF2778+CH2778+CJ2778+CL2778+CN2778+CP2778+CR2778+CT2778</f>
        <v>0</v>
      </c>
      <c r="CV2778" s="76"/>
      <c r="CW2778" s="76">
        <f>+CV2778*1100</f>
        <v>0</v>
      </c>
      <c r="CX2778" s="76"/>
      <c r="CY2778" s="76">
        <f>+CX2778*106250</f>
        <v>0</v>
      </c>
      <c r="CZ2778" s="76"/>
      <c r="DA2778" s="76">
        <f>+CZ2778*34500</f>
        <v>0</v>
      </c>
      <c r="DB2778" s="76"/>
      <c r="DC2778" s="76">
        <f>+DB2778*25000</f>
        <v>0</v>
      </c>
      <c r="DD2778" s="219"/>
      <c r="DE2778" s="219"/>
      <c r="DF2778" s="166"/>
      <c r="DG2778" s="116"/>
      <c r="DH2778" s="117"/>
      <c r="DI2778" s="24"/>
      <c r="DJ2778" s="24"/>
      <c r="DK2778" s="24"/>
      <c r="DL2778" s="24"/>
      <c r="DM2778" s="24"/>
      <c r="DN2778" s="24"/>
      <c r="DO2778" s="24"/>
      <c r="DP2778" s="24"/>
      <c r="DQ2778" s="24"/>
      <c r="DR2778" s="24"/>
      <c r="DS2778" s="24"/>
      <c r="DT2778" s="24"/>
      <c r="DU2778" s="24"/>
    </row>
    <row r="2779" spans="1:125" s="8" customFormat="1" x14ac:dyDescent="0.2">
      <c r="A2779" s="284">
        <v>41507</v>
      </c>
      <c r="B2779" s="285" t="s">
        <v>1326</v>
      </c>
      <c r="C2779" s="286" t="s">
        <v>2773</v>
      </c>
      <c r="D2779" s="286" t="s">
        <v>3051</v>
      </c>
      <c r="E2779" s="75">
        <f>VLOOKUP(B2779&amp;C2779,Divipola!$C$2:$F$1138,4,FALSE)</f>
        <v>70</v>
      </c>
      <c r="F2779" s="61"/>
      <c r="G2779" s="61"/>
      <c r="H2779" s="61"/>
      <c r="I2779" s="61"/>
      <c r="J2779" s="61"/>
      <c r="K2779" s="61"/>
      <c r="L2779" s="61"/>
      <c r="M2779" s="61"/>
      <c r="N2779" s="61"/>
      <c r="O2779" s="61"/>
      <c r="P2779" s="61"/>
      <c r="Q2779" s="61"/>
      <c r="R2779" s="61"/>
      <c r="S2779" s="61"/>
      <c r="T2779" s="61"/>
      <c r="U2779" s="61"/>
      <c r="V2779" s="7"/>
      <c r="W2779" s="96">
        <v>0</v>
      </c>
      <c r="X2779" s="71">
        <f>CU2779</f>
        <v>0</v>
      </c>
      <c r="Y2779" s="71">
        <f>CY2779</f>
        <v>0</v>
      </c>
      <c r="Z2779" s="71">
        <f>DA2779+DC2779+DE2779</f>
        <v>0</v>
      </c>
      <c r="AA2779" s="71">
        <f>CW2779</f>
        <v>109968000</v>
      </c>
      <c r="AB2779" s="71"/>
      <c r="AC2779" s="71">
        <v>0</v>
      </c>
      <c r="AD2779" s="71">
        <f>W2779+X2779+Y2779+Z2779+AA2779+AB2779+AC2779</f>
        <v>109968000</v>
      </c>
      <c r="AE2779" s="72">
        <v>0</v>
      </c>
      <c r="AF2779" s="5"/>
      <c r="AG2779" s="6"/>
      <c r="AH2779" s="27"/>
      <c r="AI2779" s="44"/>
      <c r="AJ2779" s="26"/>
      <c r="AK2779" s="5"/>
      <c r="AL2779" s="9"/>
      <c r="AM2779" s="76"/>
      <c r="AN2779" s="76"/>
      <c r="AO2779" s="76"/>
      <c r="AP2779" s="76"/>
      <c r="AQ2779" s="76"/>
      <c r="AR2779" s="76"/>
      <c r="AS2779" s="76"/>
      <c r="AT2779" s="76"/>
      <c r="AU2779" s="76"/>
      <c r="AV2779" s="76"/>
      <c r="AW2779" s="76"/>
      <c r="AX2779" s="76">
        <f>+AW2779*600000</f>
        <v>0</v>
      </c>
      <c r="AY2779" s="76"/>
      <c r="AZ2779" s="76">
        <f>+AY2779*70000</f>
        <v>0</v>
      </c>
      <c r="BA2779" s="76"/>
      <c r="BB2779" s="76"/>
      <c r="BC2779" s="76"/>
      <c r="BD2779" s="76">
        <f>+BC2779*30000</f>
        <v>0</v>
      </c>
      <c r="BE2779" s="76"/>
      <c r="BF2779" s="76"/>
      <c r="BG2779" s="76"/>
      <c r="BH2779" s="76"/>
      <c r="BI2779" s="76"/>
      <c r="BJ2779" s="76"/>
      <c r="BK2779" s="76"/>
      <c r="BL2779" s="76">
        <f>+BK2779*31500</f>
        <v>0</v>
      </c>
      <c r="BM2779" s="76"/>
      <c r="BN2779" s="76"/>
      <c r="BO2779" s="76"/>
      <c r="BP2779" s="76"/>
      <c r="BQ2779" s="76"/>
      <c r="BR2779" s="76"/>
      <c r="BS2779" s="76"/>
      <c r="BT2779" s="76"/>
      <c r="BU2779" s="76"/>
      <c r="BV2779" s="76"/>
      <c r="BW2779" s="76"/>
      <c r="BX2779" s="76"/>
      <c r="BY2779" s="76"/>
      <c r="BZ2779" s="76"/>
      <c r="CA2779" s="76"/>
      <c r="CB2779" s="76"/>
      <c r="CC2779" s="76"/>
      <c r="CD2779" s="76"/>
      <c r="CE2779" s="76"/>
      <c r="CF2779" s="76">
        <f>+CE2779*28000</f>
        <v>0</v>
      </c>
      <c r="CG2779" s="76"/>
      <c r="CH2779" s="76">
        <f>+CG2779*22500</f>
        <v>0</v>
      </c>
      <c r="CI2779" s="76"/>
      <c r="CJ2779" s="76">
        <f>+CI2779*26000</f>
        <v>0</v>
      </c>
      <c r="CK2779" s="76"/>
      <c r="CL2779" s="76"/>
      <c r="CM2779" s="76"/>
      <c r="CN2779" s="76">
        <f>+CM2779*22000</f>
        <v>0</v>
      </c>
      <c r="CO2779" s="76"/>
      <c r="CP2779" s="76">
        <f>+CO2779*46000</f>
        <v>0</v>
      </c>
      <c r="CQ2779" s="76"/>
      <c r="CR2779" s="76">
        <f>+CQ2779*49000</f>
        <v>0</v>
      </c>
      <c r="CS2779" s="76"/>
      <c r="CT2779" s="76"/>
      <c r="CU2779" s="56">
        <f>AN2779+AP2779+AR2779+AT2779+AV2779+AX2779+AZ2779+BB2779+BD2779+BF2779+BH2779+BJ2779+BL2779+BN2779+BP2779+BR2779+BT2779+BV2779+BX2779+BZ2779+CB2779+CD2779+CF2779+CH2779+CJ2779+CL2779+CN2779+CP2779+CR2779+CT2779</f>
        <v>0</v>
      </c>
      <c r="CV2779" s="86">
        <v>100000</v>
      </c>
      <c r="CW2779" s="86">
        <f>+CV2779*1099.68</f>
        <v>109968000</v>
      </c>
      <c r="CX2779" s="76"/>
      <c r="CY2779" s="76">
        <f>+CX2779*106250</f>
        <v>0</v>
      </c>
      <c r="CZ2779" s="76"/>
      <c r="DA2779" s="76">
        <f>+CZ2779*34500</f>
        <v>0</v>
      </c>
      <c r="DB2779" s="76"/>
      <c r="DC2779" s="76">
        <f>+DB2779*25000</f>
        <v>0</v>
      </c>
      <c r="DD2779" s="219"/>
      <c r="DE2779" s="219"/>
      <c r="DF2779" s="166"/>
      <c r="DG2779" s="134" t="s">
        <v>6034</v>
      </c>
      <c r="DH2779" s="117"/>
      <c r="DI2779" s="24"/>
      <c r="DJ2779" s="24"/>
      <c r="DK2779" s="24"/>
      <c r="DL2779" s="24"/>
      <c r="DM2779" s="24"/>
      <c r="DN2779" s="24"/>
      <c r="DO2779" s="24"/>
      <c r="DP2779" s="24"/>
      <c r="DQ2779" s="24"/>
      <c r="DR2779" s="24"/>
      <c r="DS2779" s="24"/>
      <c r="DT2779" s="24"/>
      <c r="DU2779" s="24"/>
    </row>
    <row r="2780" spans="1:125" s="8" customFormat="1" ht="48" x14ac:dyDescent="0.2">
      <c r="A2780" s="353">
        <v>41507</v>
      </c>
      <c r="B2780" s="352" t="s">
        <v>2848</v>
      </c>
      <c r="C2780" s="354" t="s">
        <v>0</v>
      </c>
      <c r="D2780" s="354" t="s">
        <v>2846</v>
      </c>
      <c r="E2780" s="353" t="str">
        <f>VLOOKUP(B2780&amp;C2780,Divipola!$C$2:$F$1138,4,FALSE)</f>
        <v>73024</v>
      </c>
      <c r="F2780" s="87"/>
      <c r="G2780" s="87"/>
      <c r="H2780" s="87"/>
      <c r="I2780" s="87"/>
      <c r="J2780" s="87"/>
      <c r="K2780" s="87"/>
      <c r="L2780" s="87"/>
      <c r="M2780" s="87"/>
      <c r="N2780" s="87"/>
      <c r="O2780" s="87"/>
      <c r="P2780" s="87"/>
      <c r="Q2780" s="87"/>
      <c r="R2780" s="87"/>
      <c r="S2780" s="87"/>
      <c r="T2780" s="87"/>
      <c r="U2780" s="88">
        <v>20</v>
      </c>
      <c r="V2780" s="89"/>
      <c r="W2780" s="96">
        <v>0</v>
      </c>
      <c r="X2780" s="71">
        <f>CU2780</f>
        <v>0</v>
      </c>
      <c r="Y2780" s="71">
        <f>CY2780</f>
        <v>0</v>
      </c>
      <c r="Z2780" s="71">
        <f>DA2780+DC2780+DE2780</f>
        <v>0</v>
      </c>
      <c r="AA2780" s="71">
        <f>CW2780</f>
        <v>0</v>
      </c>
      <c r="AB2780" s="71"/>
      <c r="AC2780" s="71">
        <v>0</v>
      </c>
      <c r="AD2780" s="71">
        <f>W2780+X2780+Y2780+Z2780+AA2780+AB2780+AC2780</f>
        <v>0</v>
      </c>
      <c r="AE2780" s="72">
        <v>0</v>
      </c>
      <c r="AF2780" s="5"/>
      <c r="AG2780" s="6"/>
      <c r="AH2780" s="27"/>
      <c r="AI2780" s="44"/>
      <c r="AJ2780" s="26"/>
      <c r="AK2780" s="5"/>
      <c r="AL2780" s="82" t="s">
        <v>5659</v>
      </c>
      <c r="AM2780" s="76"/>
      <c r="AN2780" s="76"/>
      <c r="AO2780" s="76"/>
      <c r="AP2780" s="76"/>
      <c r="AQ2780" s="76"/>
      <c r="AR2780" s="76"/>
      <c r="AS2780" s="76"/>
      <c r="AT2780" s="76"/>
      <c r="AU2780" s="76"/>
      <c r="AV2780" s="76"/>
      <c r="AW2780" s="76"/>
      <c r="AX2780" s="76">
        <f>+AW2780*600000</f>
        <v>0</v>
      </c>
      <c r="AY2780" s="76"/>
      <c r="AZ2780" s="76">
        <f>+AY2780*70000</f>
        <v>0</v>
      </c>
      <c r="BA2780" s="76"/>
      <c r="BB2780" s="76"/>
      <c r="BC2780" s="76"/>
      <c r="BD2780" s="76">
        <f>+BC2780*30000</f>
        <v>0</v>
      </c>
      <c r="BE2780" s="76"/>
      <c r="BF2780" s="76"/>
      <c r="BG2780" s="76"/>
      <c r="BH2780" s="76"/>
      <c r="BI2780" s="76"/>
      <c r="BJ2780" s="76"/>
      <c r="BK2780" s="76"/>
      <c r="BL2780" s="76">
        <f>+BK2780*31500</f>
        <v>0</v>
      </c>
      <c r="BM2780" s="76"/>
      <c r="BN2780" s="76"/>
      <c r="BO2780" s="76"/>
      <c r="BP2780" s="76"/>
      <c r="BQ2780" s="76"/>
      <c r="BR2780" s="76"/>
      <c r="BS2780" s="76"/>
      <c r="BT2780" s="76"/>
      <c r="BU2780" s="76"/>
      <c r="BV2780" s="76"/>
      <c r="BW2780" s="76"/>
      <c r="BX2780" s="76"/>
      <c r="BY2780" s="76"/>
      <c r="BZ2780" s="76"/>
      <c r="CA2780" s="76"/>
      <c r="CB2780" s="76"/>
      <c r="CC2780" s="76"/>
      <c r="CD2780" s="76"/>
      <c r="CE2780" s="76"/>
      <c r="CF2780" s="76">
        <f>+CE2780*28000</f>
        <v>0</v>
      </c>
      <c r="CG2780" s="76"/>
      <c r="CH2780" s="76">
        <f>+CG2780*22500</f>
        <v>0</v>
      </c>
      <c r="CI2780" s="76"/>
      <c r="CJ2780" s="76">
        <f>+CI2780*26000</f>
        <v>0</v>
      </c>
      <c r="CK2780" s="76"/>
      <c r="CL2780" s="76"/>
      <c r="CM2780" s="76"/>
      <c r="CN2780" s="76">
        <f>+CM2780*22000</f>
        <v>0</v>
      </c>
      <c r="CO2780" s="76"/>
      <c r="CP2780" s="76">
        <f>+CO2780*46000</f>
        <v>0</v>
      </c>
      <c r="CQ2780" s="76"/>
      <c r="CR2780" s="76">
        <f>+CQ2780*49000</f>
        <v>0</v>
      </c>
      <c r="CS2780" s="76"/>
      <c r="CT2780" s="76"/>
      <c r="CU2780" s="56">
        <f>AN2780+AP2780+AR2780+AT2780+AV2780+AX2780+AZ2780+BB2780+BD2780+BF2780+BH2780+BJ2780+BL2780+BN2780+BP2780+BR2780+BT2780+BV2780+BX2780+BZ2780+CB2780+CD2780+CF2780+CH2780+CJ2780+CL2780+CN2780+CP2780+CR2780+CT2780</f>
        <v>0</v>
      </c>
      <c r="CV2780" s="76"/>
      <c r="CW2780" s="76">
        <f>+CV2780*1100</f>
        <v>0</v>
      </c>
      <c r="CX2780" s="76"/>
      <c r="CY2780" s="76">
        <f>+CX2780*106250</f>
        <v>0</v>
      </c>
      <c r="CZ2780" s="76"/>
      <c r="DA2780" s="76">
        <f>+CZ2780*34500</f>
        <v>0</v>
      </c>
      <c r="DB2780" s="76"/>
      <c r="DC2780" s="76">
        <f>+DB2780*25000</f>
        <v>0</v>
      </c>
      <c r="DD2780" s="219"/>
      <c r="DE2780" s="219"/>
      <c r="DF2780" s="166"/>
      <c r="DG2780" s="116"/>
      <c r="DH2780" s="117"/>
      <c r="DI2780" s="24"/>
      <c r="DJ2780" s="24"/>
      <c r="DK2780" s="24"/>
      <c r="DL2780" s="24"/>
      <c r="DM2780" s="24"/>
      <c r="DN2780" s="24"/>
      <c r="DO2780" s="24"/>
      <c r="DP2780" s="24"/>
      <c r="DQ2780" s="24"/>
      <c r="DR2780" s="24"/>
      <c r="DS2780" s="24"/>
      <c r="DT2780" s="24"/>
      <c r="DU2780" s="24"/>
    </row>
    <row r="2781" spans="1:125" s="8" customFormat="1" ht="48" x14ac:dyDescent="0.2">
      <c r="A2781" s="77">
        <v>41507</v>
      </c>
      <c r="B2781" s="352" t="s">
        <v>2848</v>
      </c>
      <c r="C2781" s="354" t="s">
        <v>2077</v>
      </c>
      <c r="D2781" s="354" t="s">
        <v>2846</v>
      </c>
      <c r="E2781" s="353" t="str">
        <f>VLOOKUP(B2781&amp;C2781,Divipola!$C$2:$F$1138,4,FALSE)</f>
        <v>73411</v>
      </c>
      <c r="F2781" s="87"/>
      <c r="G2781" s="87"/>
      <c r="H2781" s="87"/>
      <c r="I2781" s="87"/>
      <c r="J2781" s="87"/>
      <c r="K2781" s="87"/>
      <c r="L2781" s="87"/>
      <c r="M2781" s="87"/>
      <c r="N2781" s="87"/>
      <c r="O2781" s="87"/>
      <c r="P2781" s="87"/>
      <c r="Q2781" s="87"/>
      <c r="R2781" s="87"/>
      <c r="S2781" s="87"/>
      <c r="T2781" s="87"/>
      <c r="U2781" s="88">
        <v>3</v>
      </c>
      <c r="V2781" s="89"/>
      <c r="W2781" s="96">
        <v>0</v>
      </c>
      <c r="X2781" s="71">
        <f>CU2781</f>
        <v>0</v>
      </c>
      <c r="Y2781" s="71">
        <f>CY2781</f>
        <v>0</v>
      </c>
      <c r="Z2781" s="71">
        <f>DA2781+DC2781+DE2781</f>
        <v>0</v>
      </c>
      <c r="AA2781" s="71">
        <f>CW2781</f>
        <v>0</v>
      </c>
      <c r="AB2781" s="71"/>
      <c r="AC2781" s="71">
        <v>0</v>
      </c>
      <c r="AD2781" s="71">
        <f>W2781+X2781+Y2781+Z2781+AA2781+AB2781+AC2781</f>
        <v>0</v>
      </c>
      <c r="AE2781" s="72">
        <v>0</v>
      </c>
      <c r="AF2781" s="5"/>
      <c r="AG2781" s="6"/>
      <c r="AH2781" s="27"/>
      <c r="AI2781" s="44"/>
      <c r="AJ2781" s="26"/>
      <c r="AK2781" s="5"/>
      <c r="AL2781" s="82" t="s">
        <v>5662</v>
      </c>
      <c r="AM2781" s="76"/>
      <c r="AN2781" s="76"/>
      <c r="AO2781" s="76"/>
      <c r="AP2781" s="76"/>
      <c r="AQ2781" s="76"/>
      <c r="AR2781" s="76"/>
      <c r="AS2781" s="76"/>
      <c r="AT2781" s="76"/>
      <c r="AU2781" s="76"/>
      <c r="AV2781" s="76"/>
      <c r="AW2781" s="76"/>
      <c r="AX2781" s="76">
        <f>+AW2781*600000</f>
        <v>0</v>
      </c>
      <c r="AY2781" s="76"/>
      <c r="AZ2781" s="76">
        <f>+AY2781*70000</f>
        <v>0</v>
      </c>
      <c r="BA2781" s="76"/>
      <c r="BB2781" s="76"/>
      <c r="BC2781" s="76"/>
      <c r="BD2781" s="76">
        <f>+BC2781*30000</f>
        <v>0</v>
      </c>
      <c r="BE2781" s="76"/>
      <c r="BF2781" s="76"/>
      <c r="BG2781" s="76"/>
      <c r="BH2781" s="76"/>
      <c r="BI2781" s="76"/>
      <c r="BJ2781" s="76"/>
      <c r="BK2781" s="76"/>
      <c r="BL2781" s="76">
        <f>+BK2781*31500</f>
        <v>0</v>
      </c>
      <c r="BM2781" s="76"/>
      <c r="BN2781" s="76"/>
      <c r="BO2781" s="76"/>
      <c r="BP2781" s="76"/>
      <c r="BQ2781" s="76"/>
      <c r="BR2781" s="76"/>
      <c r="BS2781" s="76"/>
      <c r="BT2781" s="76"/>
      <c r="BU2781" s="76"/>
      <c r="BV2781" s="76"/>
      <c r="BW2781" s="76"/>
      <c r="BX2781" s="76"/>
      <c r="BY2781" s="76"/>
      <c r="BZ2781" s="76"/>
      <c r="CA2781" s="76"/>
      <c r="CB2781" s="76"/>
      <c r="CC2781" s="76"/>
      <c r="CD2781" s="76"/>
      <c r="CE2781" s="76"/>
      <c r="CF2781" s="76">
        <f>+CE2781*28000</f>
        <v>0</v>
      </c>
      <c r="CG2781" s="76"/>
      <c r="CH2781" s="76">
        <f>+CG2781*22500</f>
        <v>0</v>
      </c>
      <c r="CI2781" s="76"/>
      <c r="CJ2781" s="76">
        <f>+CI2781*26000</f>
        <v>0</v>
      </c>
      <c r="CK2781" s="76"/>
      <c r="CL2781" s="76"/>
      <c r="CM2781" s="76"/>
      <c r="CN2781" s="76">
        <f>+CM2781*22000</f>
        <v>0</v>
      </c>
      <c r="CO2781" s="76"/>
      <c r="CP2781" s="76">
        <f>+CO2781*46000</f>
        <v>0</v>
      </c>
      <c r="CQ2781" s="76"/>
      <c r="CR2781" s="76">
        <f>+CQ2781*49000</f>
        <v>0</v>
      </c>
      <c r="CS2781" s="76"/>
      <c r="CT2781" s="76"/>
      <c r="CU2781" s="56">
        <f>AN2781+AP2781+AR2781+AT2781+AV2781+AX2781+AZ2781+BB2781+BD2781+BF2781+BH2781+BJ2781+BL2781+BN2781+BP2781+BR2781+BT2781+BV2781+BX2781+BZ2781+CB2781+CD2781+CF2781+CH2781+CJ2781+CL2781+CN2781+CP2781+CR2781+CT2781</f>
        <v>0</v>
      </c>
      <c r="CV2781" s="76"/>
      <c r="CW2781" s="76">
        <f>+CV2781*1100</f>
        <v>0</v>
      </c>
      <c r="CX2781" s="76"/>
      <c r="CY2781" s="76">
        <f>+CX2781*106250</f>
        <v>0</v>
      </c>
      <c r="CZ2781" s="76"/>
      <c r="DA2781" s="76">
        <f>+CZ2781*34500</f>
        <v>0</v>
      </c>
      <c r="DB2781" s="76"/>
      <c r="DC2781" s="76">
        <f>+DB2781*25000</f>
        <v>0</v>
      </c>
      <c r="DD2781" s="219"/>
      <c r="DE2781" s="219"/>
      <c r="DF2781" s="166"/>
      <c r="DG2781" s="116"/>
      <c r="DH2781" s="117"/>
      <c r="DI2781" s="24"/>
      <c r="DJ2781" s="24"/>
      <c r="DK2781" s="24"/>
      <c r="DL2781" s="24"/>
      <c r="DM2781" s="24"/>
      <c r="DN2781" s="24"/>
      <c r="DO2781" s="24"/>
      <c r="DP2781" s="24"/>
      <c r="DQ2781" s="24"/>
      <c r="DR2781" s="24"/>
      <c r="DS2781" s="24"/>
      <c r="DT2781" s="24"/>
      <c r="DU2781" s="24"/>
    </row>
    <row r="2782" spans="1:125" s="8" customFormat="1" ht="36" x14ac:dyDescent="0.2">
      <c r="A2782" s="97">
        <v>41507</v>
      </c>
      <c r="B2782" s="60" t="s">
        <v>2848</v>
      </c>
      <c r="C2782" s="55" t="s">
        <v>1887</v>
      </c>
      <c r="D2782" s="55" t="s">
        <v>2846</v>
      </c>
      <c r="E2782" s="353" t="str">
        <f>VLOOKUP(B2782&amp;C2782,Divipola!$C$2:$F$1138,4,FALSE)</f>
        <v>73443</v>
      </c>
      <c r="F2782" s="87"/>
      <c r="G2782" s="87"/>
      <c r="H2782" s="87"/>
      <c r="I2782" s="87"/>
      <c r="J2782" s="87"/>
      <c r="K2782" s="87"/>
      <c r="L2782" s="87"/>
      <c r="M2782" s="87"/>
      <c r="N2782" s="87"/>
      <c r="O2782" s="87"/>
      <c r="P2782" s="87"/>
      <c r="Q2782" s="87"/>
      <c r="R2782" s="87"/>
      <c r="S2782" s="87"/>
      <c r="T2782" s="87"/>
      <c r="U2782" s="88"/>
      <c r="V2782" s="89"/>
      <c r="W2782" s="96">
        <v>0</v>
      </c>
      <c r="X2782" s="71">
        <f>CU2782</f>
        <v>0</v>
      </c>
      <c r="Y2782" s="71">
        <f>CY2782</f>
        <v>0</v>
      </c>
      <c r="Z2782" s="71">
        <f>DA2782+DC2782+DE2782</f>
        <v>0</v>
      </c>
      <c r="AA2782" s="71">
        <f>CW2782</f>
        <v>0</v>
      </c>
      <c r="AB2782" s="71"/>
      <c r="AC2782" s="71">
        <v>0</v>
      </c>
      <c r="AD2782" s="71">
        <f>W2782+X2782+Y2782+Z2782+AA2782+AB2782+AC2782</f>
        <v>0</v>
      </c>
      <c r="AE2782" s="72">
        <v>0</v>
      </c>
      <c r="AF2782" s="5"/>
      <c r="AG2782" s="6"/>
      <c r="AH2782" s="27"/>
      <c r="AI2782" s="44"/>
      <c r="AJ2782" s="26"/>
      <c r="AK2782" s="5"/>
      <c r="AL2782" s="268" t="s">
        <v>5660</v>
      </c>
      <c r="AM2782" s="76"/>
      <c r="AN2782" s="76"/>
      <c r="AO2782" s="76"/>
      <c r="AP2782" s="76"/>
      <c r="AQ2782" s="76"/>
      <c r="AR2782" s="76"/>
      <c r="AS2782" s="76"/>
      <c r="AT2782" s="76"/>
      <c r="AU2782" s="76"/>
      <c r="AV2782" s="76"/>
      <c r="AW2782" s="76"/>
      <c r="AX2782" s="76">
        <f>+AW2782*600000</f>
        <v>0</v>
      </c>
      <c r="AY2782" s="76"/>
      <c r="AZ2782" s="76">
        <f>+AY2782*70000</f>
        <v>0</v>
      </c>
      <c r="BA2782" s="76"/>
      <c r="BB2782" s="76"/>
      <c r="BC2782" s="76"/>
      <c r="BD2782" s="76">
        <f>+BC2782*30000</f>
        <v>0</v>
      </c>
      <c r="BE2782" s="76"/>
      <c r="BF2782" s="76"/>
      <c r="BG2782" s="76"/>
      <c r="BH2782" s="76"/>
      <c r="BI2782" s="76"/>
      <c r="BJ2782" s="76"/>
      <c r="BK2782" s="76"/>
      <c r="BL2782" s="76">
        <f>+BK2782*31500</f>
        <v>0</v>
      </c>
      <c r="BM2782" s="76"/>
      <c r="BN2782" s="76"/>
      <c r="BO2782" s="76"/>
      <c r="BP2782" s="76"/>
      <c r="BQ2782" s="76"/>
      <c r="BR2782" s="76"/>
      <c r="BS2782" s="76"/>
      <c r="BT2782" s="76"/>
      <c r="BU2782" s="76"/>
      <c r="BV2782" s="76"/>
      <c r="BW2782" s="76"/>
      <c r="BX2782" s="76"/>
      <c r="BY2782" s="76"/>
      <c r="BZ2782" s="76"/>
      <c r="CA2782" s="76"/>
      <c r="CB2782" s="76"/>
      <c r="CC2782" s="76"/>
      <c r="CD2782" s="76"/>
      <c r="CE2782" s="76"/>
      <c r="CF2782" s="76">
        <f>+CE2782*28000</f>
        <v>0</v>
      </c>
      <c r="CG2782" s="76"/>
      <c r="CH2782" s="76">
        <f>+CG2782*22500</f>
        <v>0</v>
      </c>
      <c r="CI2782" s="76"/>
      <c r="CJ2782" s="76">
        <f>+CI2782*26000</f>
        <v>0</v>
      </c>
      <c r="CK2782" s="76"/>
      <c r="CL2782" s="76"/>
      <c r="CM2782" s="76"/>
      <c r="CN2782" s="76">
        <f>+CM2782*22000</f>
        <v>0</v>
      </c>
      <c r="CO2782" s="76"/>
      <c r="CP2782" s="76">
        <f>+CO2782*46000</f>
        <v>0</v>
      </c>
      <c r="CQ2782" s="76"/>
      <c r="CR2782" s="76">
        <f>+CQ2782*49000</f>
        <v>0</v>
      </c>
      <c r="CS2782" s="76"/>
      <c r="CT2782" s="76"/>
      <c r="CU2782" s="56">
        <f>AN2782+AP2782+AR2782+AT2782+AV2782+AX2782+AZ2782+BB2782+BD2782+BF2782+BH2782+BJ2782+BL2782+BN2782+BP2782+BR2782+BT2782+BV2782+BX2782+BZ2782+CB2782+CD2782+CF2782+CH2782+CJ2782+CL2782+CN2782+CP2782+CR2782+CT2782</f>
        <v>0</v>
      </c>
      <c r="CV2782" s="76"/>
      <c r="CW2782" s="76">
        <f>+CV2782*1100</f>
        <v>0</v>
      </c>
      <c r="CX2782" s="76"/>
      <c r="CY2782" s="76">
        <f>+CX2782*106250</f>
        <v>0</v>
      </c>
      <c r="CZ2782" s="76"/>
      <c r="DA2782" s="76">
        <f>+CZ2782*34500</f>
        <v>0</v>
      </c>
      <c r="DB2782" s="76"/>
      <c r="DC2782" s="76">
        <f>+DB2782*25000</f>
        <v>0</v>
      </c>
      <c r="DD2782" s="219"/>
      <c r="DE2782" s="219"/>
      <c r="DF2782" s="166"/>
      <c r="DG2782" s="116"/>
      <c r="DH2782" s="117"/>
      <c r="DI2782" s="24"/>
      <c r="DJ2782" s="24"/>
      <c r="DK2782" s="24"/>
      <c r="DL2782" s="24"/>
      <c r="DM2782" s="24"/>
      <c r="DN2782" s="24"/>
      <c r="DO2782" s="24"/>
      <c r="DP2782" s="24"/>
      <c r="DQ2782" s="24"/>
      <c r="DR2782" s="24"/>
      <c r="DS2782" s="24"/>
      <c r="DT2782" s="24"/>
      <c r="DU2782" s="24"/>
    </row>
    <row r="2783" spans="1:125" s="8" customFormat="1" ht="36" x14ac:dyDescent="0.2">
      <c r="A2783" s="77">
        <v>41508</v>
      </c>
      <c r="B2783" s="352" t="s">
        <v>2852</v>
      </c>
      <c r="C2783" s="354" t="s">
        <v>1241</v>
      </c>
      <c r="D2783" s="354" t="s">
        <v>3051</v>
      </c>
      <c r="E2783" s="353" t="str">
        <f>VLOOKUP(B2783&amp;C2783,Divipola!$C$2:$F$1138,4,FALSE)</f>
        <v>27425</v>
      </c>
      <c r="F2783" s="87"/>
      <c r="G2783" s="87"/>
      <c r="H2783" s="87"/>
      <c r="I2783" s="87"/>
      <c r="J2783" s="87"/>
      <c r="K2783" s="87"/>
      <c r="L2783" s="87"/>
      <c r="M2783" s="87"/>
      <c r="N2783" s="87"/>
      <c r="O2783" s="87"/>
      <c r="P2783" s="87"/>
      <c r="Q2783" s="87"/>
      <c r="R2783" s="87"/>
      <c r="S2783" s="87"/>
      <c r="T2783" s="87"/>
      <c r="U2783" s="88"/>
      <c r="V2783" s="89"/>
      <c r="W2783" s="96">
        <v>0</v>
      </c>
      <c r="X2783" s="71">
        <f>CU2783</f>
        <v>0</v>
      </c>
      <c r="Y2783" s="71">
        <f>CY2783</f>
        <v>0</v>
      </c>
      <c r="Z2783" s="71">
        <f>DA2783+DC2783+DE2783</f>
        <v>0</v>
      </c>
      <c r="AA2783" s="71">
        <f>CW2783</f>
        <v>0</v>
      </c>
      <c r="AB2783" s="71"/>
      <c r="AC2783" s="71">
        <v>0</v>
      </c>
      <c r="AD2783" s="71">
        <f>W2783+X2783+Y2783+Z2783+AA2783+AB2783+AC2783</f>
        <v>0</v>
      </c>
      <c r="AE2783" s="72">
        <v>0</v>
      </c>
      <c r="AF2783" s="5"/>
      <c r="AG2783" s="6"/>
      <c r="AH2783" s="27"/>
      <c r="AI2783" s="44"/>
      <c r="AJ2783" s="26"/>
      <c r="AK2783" s="5"/>
      <c r="AL2783" s="82" t="s">
        <v>5665</v>
      </c>
      <c r="AM2783" s="76"/>
      <c r="AN2783" s="76"/>
      <c r="AO2783" s="76"/>
      <c r="AP2783" s="76"/>
      <c r="AQ2783" s="76"/>
      <c r="AR2783" s="76"/>
      <c r="AS2783" s="76"/>
      <c r="AT2783" s="76"/>
      <c r="AU2783" s="76"/>
      <c r="AV2783" s="76"/>
      <c r="AW2783" s="76"/>
      <c r="AX2783" s="76">
        <f>+AW2783*600000</f>
        <v>0</v>
      </c>
      <c r="AY2783" s="76"/>
      <c r="AZ2783" s="76">
        <f>+AY2783*70000</f>
        <v>0</v>
      </c>
      <c r="BA2783" s="76"/>
      <c r="BB2783" s="76"/>
      <c r="BC2783" s="76"/>
      <c r="BD2783" s="76">
        <f>+BC2783*30000</f>
        <v>0</v>
      </c>
      <c r="BE2783" s="76"/>
      <c r="BF2783" s="76"/>
      <c r="BG2783" s="76"/>
      <c r="BH2783" s="76"/>
      <c r="BI2783" s="76"/>
      <c r="BJ2783" s="76"/>
      <c r="BK2783" s="76"/>
      <c r="BL2783" s="76">
        <f>+BK2783*31500</f>
        <v>0</v>
      </c>
      <c r="BM2783" s="76"/>
      <c r="BN2783" s="76"/>
      <c r="BO2783" s="76"/>
      <c r="BP2783" s="76"/>
      <c r="BQ2783" s="76"/>
      <c r="BR2783" s="76"/>
      <c r="BS2783" s="76"/>
      <c r="BT2783" s="76"/>
      <c r="BU2783" s="76"/>
      <c r="BV2783" s="76"/>
      <c r="BW2783" s="76"/>
      <c r="BX2783" s="76"/>
      <c r="BY2783" s="76"/>
      <c r="BZ2783" s="76"/>
      <c r="CA2783" s="76"/>
      <c r="CB2783" s="76"/>
      <c r="CC2783" s="76"/>
      <c r="CD2783" s="76"/>
      <c r="CE2783" s="76"/>
      <c r="CF2783" s="76">
        <f>+CE2783*28000</f>
        <v>0</v>
      </c>
      <c r="CG2783" s="76"/>
      <c r="CH2783" s="76">
        <f>+CG2783*22500</f>
        <v>0</v>
      </c>
      <c r="CI2783" s="76"/>
      <c r="CJ2783" s="76">
        <f>+CI2783*26000</f>
        <v>0</v>
      </c>
      <c r="CK2783" s="76"/>
      <c r="CL2783" s="76"/>
      <c r="CM2783" s="76"/>
      <c r="CN2783" s="76">
        <f>+CM2783*22000</f>
        <v>0</v>
      </c>
      <c r="CO2783" s="76"/>
      <c r="CP2783" s="76">
        <f>+CO2783*46000</f>
        <v>0</v>
      </c>
      <c r="CQ2783" s="76"/>
      <c r="CR2783" s="76">
        <f>+CQ2783*49000</f>
        <v>0</v>
      </c>
      <c r="CS2783" s="76"/>
      <c r="CT2783" s="76"/>
      <c r="CU2783" s="56">
        <f>AN2783+AP2783+AR2783+AT2783+AV2783+AX2783+AZ2783+BB2783+BD2783+BF2783+BH2783+BJ2783+BL2783+BN2783+BP2783+BR2783+BT2783+BV2783+BX2783+BZ2783+CB2783+CD2783+CF2783+CH2783+CJ2783+CL2783+CN2783+CP2783+CR2783+CT2783</f>
        <v>0</v>
      </c>
      <c r="CV2783" s="76"/>
      <c r="CW2783" s="76">
        <f>+CV2783*1100</f>
        <v>0</v>
      </c>
      <c r="CX2783" s="76"/>
      <c r="CY2783" s="76">
        <f>+CX2783*106250</f>
        <v>0</v>
      </c>
      <c r="CZ2783" s="76"/>
      <c r="DA2783" s="76">
        <f>+CZ2783*34500</f>
        <v>0</v>
      </c>
      <c r="DB2783" s="76"/>
      <c r="DC2783" s="76">
        <f>+DB2783*25000</f>
        <v>0</v>
      </c>
      <c r="DD2783" s="219"/>
      <c r="DE2783" s="219"/>
      <c r="DF2783" s="166"/>
      <c r="DG2783" s="116"/>
      <c r="DH2783" s="117"/>
      <c r="DI2783" s="24"/>
      <c r="DJ2783" s="24"/>
      <c r="DK2783" s="24"/>
      <c r="DL2783" s="24"/>
      <c r="DM2783" s="24"/>
      <c r="DN2783" s="24"/>
      <c r="DO2783" s="24"/>
      <c r="DP2783" s="24"/>
      <c r="DQ2783" s="24"/>
      <c r="DR2783" s="24"/>
      <c r="DS2783" s="24"/>
      <c r="DT2783" s="24"/>
      <c r="DU2783" s="24"/>
    </row>
    <row r="2784" spans="1:125" s="8" customFormat="1" ht="348" x14ac:dyDescent="0.2">
      <c r="A2784" s="353">
        <v>41508</v>
      </c>
      <c r="B2784" s="352" t="s">
        <v>2772</v>
      </c>
      <c r="C2784" s="354" t="s">
        <v>2130</v>
      </c>
      <c r="D2784" s="354" t="s">
        <v>2846</v>
      </c>
      <c r="E2784" s="75" t="str">
        <f>VLOOKUP(B2784&amp;C2784,Divipola!$C$2:$F$1138,4,FALSE)</f>
        <v>25612</v>
      </c>
      <c r="F2784" s="87"/>
      <c r="G2784" s="87"/>
      <c r="H2784" s="87"/>
      <c r="I2784" s="87"/>
      <c r="J2784" s="87"/>
      <c r="K2784" s="87"/>
      <c r="L2784" s="87"/>
      <c r="M2784" s="87"/>
      <c r="N2784" s="87"/>
      <c r="O2784" s="87"/>
      <c r="P2784" s="87"/>
      <c r="Q2784" s="87"/>
      <c r="R2784" s="87"/>
      <c r="S2784" s="87"/>
      <c r="T2784" s="87"/>
      <c r="U2784" s="88">
        <v>600</v>
      </c>
      <c r="V2784" s="89"/>
      <c r="W2784" s="96">
        <v>0</v>
      </c>
      <c r="X2784" s="71">
        <f>CU2784</f>
        <v>0</v>
      </c>
      <c r="Y2784" s="71">
        <f>CY2784</f>
        <v>0</v>
      </c>
      <c r="Z2784" s="71">
        <f>DA2784+DC2784+DE2784</f>
        <v>0</v>
      </c>
      <c r="AA2784" s="71">
        <f>CW2784</f>
        <v>0</v>
      </c>
      <c r="AB2784" s="71"/>
      <c r="AC2784" s="71">
        <v>0</v>
      </c>
      <c r="AD2784" s="71">
        <f>W2784+X2784+Y2784+Z2784+AA2784+AB2784+AC2784</f>
        <v>0</v>
      </c>
      <c r="AE2784" s="72">
        <v>0</v>
      </c>
      <c r="AF2784" s="5"/>
      <c r="AG2784" s="6"/>
      <c r="AH2784" s="27"/>
      <c r="AI2784" s="44"/>
      <c r="AJ2784" s="26"/>
      <c r="AK2784" s="5"/>
      <c r="AL2784" s="82" t="s">
        <v>5706</v>
      </c>
      <c r="AM2784" s="76"/>
      <c r="AN2784" s="76"/>
      <c r="AO2784" s="76"/>
      <c r="AP2784" s="76"/>
      <c r="AQ2784" s="76"/>
      <c r="AR2784" s="76"/>
      <c r="AS2784" s="76"/>
      <c r="AT2784" s="76"/>
      <c r="AU2784" s="76"/>
      <c r="AV2784" s="76"/>
      <c r="AW2784" s="76"/>
      <c r="AX2784" s="76">
        <f>+AW2784*600000</f>
        <v>0</v>
      </c>
      <c r="AY2784" s="76"/>
      <c r="AZ2784" s="76">
        <f>+AY2784*70000</f>
        <v>0</v>
      </c>
      <c r="BA2784" s="76"/>
      <c r="BB2784" s="76"/>
      <c r="BC2784" s="76"/>
      <c r="BD2784" s="76">
        <f>+BC2784*30000</f>
        <v>0</v>
      </c>
      <c r="BE2784" s="76"/>
      <c r="BF2784" s="76"/>
      <c r="BG2784" s="76"/>
      <c r="BH2784" s="76"/>
      <c r="BI2784" s="76"/>
      <c r="BJ2784" s="76"/>
      <c r="BK2784" s="76"/>
      <c r="BL2784" s="76">
        <f>+BK2784*31500</f>
        <v>0</v>
      </c>
      <c r="BM2784" s="76"/>
      <c r="BN2784" s="76"/>
      <c r="BO2784" s="76"/>
      <c r="BP2784" s="76"/>
      <c r="BQ2784" s="76"/>
      <c r="BR2784" s="76"/>
      <c r="BS2784" s="76"/>
      <c r="BT2784" s="76"/>
      <c r="BU2784" s="76"/>
      <c r="BV2784" s="76"/>
      <c r="BW2784" s="76"/>
      <c r="BX2784" s="76"/>
      <c r="BY2784" s="76"/>
      <c r="BZ2784" s="76"/>
      <c r="CA2784" s="76"/>
      <c r="CB2784" s="76"/>
      <c r="CC2784" s="76"/>
      <c r="CD2784" s="76"/>
      <c r="CE2784" s="76"/>
      <c r="CF2784" s="76">
        <f>+CE2784*28000</f>
        <v>0</v>
      </c>
      <c r="CG2784" s="76"/>
      <c r="CH2784" s="76">
        <f>+CG2784*22500</f>
        <v>0</v>
      </c>
      <c r="CI2784" s="76"/>
      <c r="CJ2784" s="76">
        <f>+CI2784*26000</f>
        <v>0</v>
      </c>
      <c r="CK2784" s="76"/>
      <c r="CL2784" s="76"/>
      <c r="CM2784" s="76"/>
      <c r="CN2784" s="76">
        <f>+CM2784*22000</f>
        <v>0</v>
      </c>
      <c r="CO2784" s="76"/>
      <c r="CP2784" s="76">
        <f>+CO2784*46000</f>
        <v>0</v>
      </c>
      <c r="CQ2784" s="76"/>
      <c r="CR2784" s="76">
        <f>+CQ2784*49000</f>
        <v>0</v>
      </c>
      <c r="CS2784" s="76"/>
      <c r="CT2784" s="76"/>
      <c r="CU2784" s="56">
        <f>AN2784+AP2784+AR2784+AT2784+AV2784+AX2784+AZ2784+BB2784+BD2784+BF2784+BH2784+BJ2784+BL2784+BN2784+BP2784+BR2784+BT2784+BV2784+BX2784+BZ2784+CB2784+CD2784+CF2784+CH2784+CJ2784+CL2784+CN2784+CP2784+CR2784+CT2784</f>
        <v>0</v>
      </c>
      <c r="CV2784" s="76"/>
      <c r="CW2784" s="76">
        <f>+CV2784*1100</f>
        <v>0</v>
      </c>
      <c r="CX2784" s="76"/>
      <c r="CY2784" s="76">
        <f>+CX2784*106250</f>
        <v>0</v>
      </c>
      <c r="CZ2784" s="76"/>
      <c r="DA2784" s="76">
        <f>+CZ2784*34500</f>
        <v>0</v>
      </c>
      <c r="DB2784" s="76"/>
      <c r="DC2784" s="76">
        <f>+DB2784*25000</f>
        <v>0</v>
      </c>
      <c r="DD2784" s="219"/>
      <c r="DE2784" s="219"/>
      <c r="DF2784" s="166"/>
      <c r="DG2784" s="116"/>
      <c r="DH2784" s="117"/>
      <c r="DI2784" s="24"/>
      <c r="DJ2784" s="24"/>
      <c r="DK2784" s="24"/>
      <c r="DL2784" s="24"/>
      <c r="DM2784" s="24"/>
      <c r="DN2784" s="24"/>
      <c r="DO2784" s="24"/>
      <c r="DP2784" s="24"/>
      <c r="DQ2784" s="24"/>
      <c r="DR2784" s="24"/>
      <c r="DS2784" s="24"/>
      <c r="DT2784" s="24"/>
      <c r="DU2784" s="24"/>
    </row>
    <row r="2785" spans="1:125" s="8" customFormat="1" ht="36" x14ac:dyDescent="0.2">
      <c r="A2785" s="353">
        <v>41508</v>
      </c>
      <c r="B2785" s="352" t="s">
        <v>2774</v>
      </c>
      <c r="C2785" s="354" t="s">
        <v>2069</v>
      </c>
      <c r="D2785" s="354" t="s">
        <v>2882</v>
      </c>
      <c r="E2785" s="75" t="str">
        <f>VLOOKUP(B2785&amp;C2785,Divipola!$C$2:$F$1138,4,FALSE)</f>
        <v>66088</v>
      </c>
      <c r="F2785" s="87"/>
      <c r="G2785" s="87"/>
      <c r="H2785" s="87"/>
      <c r="I2785" s="87">
        <v>80</v>
      </c>
      <c r="J2785" s="87">
        <v>14</v>
      </c>
      <c r="K2785" s="87"/>
      <c r="L2785" s="87">
        <v>14</v>
      </c>
      <c r="M2785" s="87"/>
      <c r="N2785" s="87"/>
      <c r="O2785" s="87"/>
      <c r="P2785" s="87"/>
      <c r="Q2785" s="87"/>
      <c r="R2785" s="87"/>
      <c r="S2785" s="87">
        <v>1</v>
      </c>
      <c r="T2785" s="87"/>
      <c r="U2785" s="88"/>
      <c r="V2785" s="89"/>
      <c r="W2785" s="96">
        <v>0</v>
      </c>
      <c r="X2785" s="71">
        <f>CU2785</f>
        <v>0</v>
      </c>
      <c r="Y2785" s="71">
        <f>CY2785</f>
        <v>0</v>
      </c>
      <c r="Z2785" s="71">
        <f>DA2785+DC2785+DE2785</f>
        <v>0</v>
      </c>
      <c r="AA2785" s="71">
        <f>CW2785</f>
        <v>0</v>
      </c>
      <c r="AB2785" s="71"/>
      <c r="AC2785" s="71">
        <v>0</v>
      </c>
      <c r="AD2785" s="71">
        <f>W2785+X2785+Y2785+Z2785+AA2785+AB2785+AC2785</f>
        <v>0</v>
      </c>
      <c r="AE2785" s="72">
        <v>0</v>
      </c>
      <c r="AF2785" s="5"/>
      <c r="AG2785" s="6"/>
      <c r="AH2785" s="27"/>
      <c r="AI2785" s="44"/>
      <c r="AJ2785" s="26"/>
      <c r="AK2785" s="5"/>
      <c r="AL2785" s="82" t="s">
        <v>5680</v>
      </c>
      <c r="AM2785" s="76"/>
      <c r="AN2785" s="76"/>
      <c r="AO2785" s="76"/>
      <c r="AP2785" s="76"/>
      <c r="AQ2785" s="76"/>
      <c r="AR2785" s="76"/>
      <c r="AS2785" s="76"/>
      <c r="AT2785" s="76"/>
      <c r="AU2785" s="76"/>
      <c r="AV2785" s="76"/>
      <c r="AW2785" s="76"/>
      <c r="AX2785" s="76">
        <f>+AW2785*600000</f>
        <v>0</v>
      </c>
      <c r="AY2785" s="76"/>
      <c r="AZ2785" s="76">
        <f>+AY2785*70000</f>
        <v>0</v>
      </c>
      <c r="BA2785" s="76"/>
      <c r="BB2785" s="76"/>
      <c r="BC2785" s="76"/>
      <c r="BD2785" s="76">
        <f>+BC2785*30000</f>
        <v>0</v>
      </c>
      <c r="BE2785" s="76"/>
      <c r="BF2785" s="76"/>
      <c r="BG2785" s="76"/>
      <c r="BH2785" s="76"/>
      <c r="BI2785" s="76"/>
      <c r="BJ2785" s="76"/>
      <c r="BK2785" s="76"/>
      <c r="BL2785" s="76">
        <f>+BK2785*31500</f>
        <v>0</v>
      </c>
      <c r="BM2785" s="76"/>
      <c r="BN2785" s="76"/>
      <c r="BO2785" s="76"/>
      <c r="BP2785" s="76"/>
      <c r="BQ2785" s="76"/>
      <c r="BR2785" s="76"/>
      <c r="BS2785" s="76"/>
      <c r="BT2785" s="76"/>
      <c r="BU2785" s="76"/>
      <c r="BV2785" s="76"/>
      <c r="BW2785" s="76"/>
      <c r="BX2785" s="76"/>
      <c r="BY2785" s="76"/>
      <c r="BZ2785" s="76"/>
      <c r="CA2785" s="76"/>
      <c r="CB2785" s="76"/>
      <c r="CC2785" s="76"/>
      <c r="CD2785" s="76"/>
      <c r="CE2785" s="76"/>
      <c r="CF2785" s="76">
        <f>+CE2785*28000</f>
        <v>0</v>
      </c>
      <c r="CG2785" s="76"/>
      <c r="CH2785" s="76">
        <f>+CG2785*22500</f>
        <v>0</v>
      </c>
      <c r="CI2785" s="76"/>
      <c r="CJ2785" s="76">
        <f>+CI2785*26000</f>
        <v>0</v>
      </c>
      <c r="CK2785" s="76"/>
      <c r="CL2785" s="76"/>
      <c r="CM2785" s="76"/>
      <c r="CN2785" s="76">
        <f>+CM2785*22000</f>
        <v>0</v>
      </c>
      <c r="CO2785" s="76"/>
      <c r="CP2785" s="76">
        <f>+CO2785*46000</f>
        <v>0</v>
      </c>
      <c r="CQ2785" s="76"/>
      <c r="CR2785" s="76">
        <f>+CQ2785*49000</f>
        <v>0</v>
      </c>
      <c r="CS2785" s="76"/>
      <c r="CT2785" s="76"/>
      <c r="CU2785" s="56">
        <f>AN2785+AP2785+AR2785+AT2785+AV2785+AX2785+AZ2785+BB2785+BD2785+BF2785+BH2785+BJ2785+BL2785+BN2785+BP2785+BR2785+BT2785+BV2785+BX2785+BZ2785+CB2785+CD2785+CF2785+CH2785+CJ2785+CL2785+CN2785+CP2785+CR2785+CT2785</f>
        <v>0</v>
      </c>
      <c r="CV2785" s="76"/>
      <c r="CW2785" s="76">
        <f>+CV2785*1100</f>
        <v>0</v>
      </c>
      <c r="CX2785" s="76"/>
      <c r="CY2785" s="76">
        <f>+CX2785*106250</f>
        <v>0</v>
      </c>
      <c r="CZ2785" s="76"/>
      <c r="DA2785" s="76">
        <f>+CZ2785*34500</f>
        <v>0</v>
      </c>
      <c r="DB2785" s="76"/>
      <c r="DC2785" s="76">
        <f>+DB2785*25000</f>
        <v>0</v>
      </c>
      <c r="DD2785" s="219"/>
      <c r="DE2785" s="219"/>
      <c r="DF2785" s="166"/>
      <c r="DG2785" s="116"/>
      <c r="DH2785" s="117"/>
      <c r="DI2785" s="24"/>
      <c r="DJ2785" s="24"/>
      <c r="DK2785" s="24"/>
      <c r="DL2785" s="24"/>
      <c r="DM2785" s="24"/>
      <c r="DN2785" s="24"/>
      <c r="DO2785" s="24"/>
      <c r="DP2785" s="24"/>
      <c r="DQ2785" s="24"/>
      <c r="DR2785" s="24"/>
      <c r="DS2785" s="24"/>
      <c r="DT2785" s="24"/>
      <c r="DU2785" s="24"/>
    </row>
    <row r="2786" spans="1:125" s="8" customFormat="1" ht="36" x14ac:dyDescent="0.2">
      <c r="A2786" s="77">
        <v>41508</v>
      </c>
      <c r="B2786" s="78" t="s">
        <v>2847</v>
      </c>
      <c r="C2786" s="75" t="s">
        <v>2673</v>
      </c>
      <c r="D2786" s="75" t="s">
        <v>4391</v>
      </c>
      <c r="E2786" s="75" t="str">
        <f>VLOOKUP(B2786&amp;C2786,Divipola!$C$2:$F$1138,4,FALSE)</f>
        <v>68001</v>
      </c>
      <c r="F2786" s="87">
        <v>2</v>
      </c>
      <c r="G2786" s="87"/>
      <c r="H2786" s="87"/>
      <c r="I2786" s="87"/>
      <c r="J2786" s="87"/>
      <c r="K2786" s="87"/>
      <c r="L2786" s="87"/>
      <c r="M2786" s="87"/>
      <c r="N2786" s="87"/>
      <c r="O2786" s="87"/>
      <c r="P2786" s="87"/>
      <c r="Q2786" s="87"/>
      <c r="R2786" s="87"/>
      <c r="S2786" s="87"/>
      <c r="T2786" s="87"/>
      <c r="U2786" s="88"/>
      <c r="V2786" s="89"/>
      <c r="W2786" s="96">
        <v>0</v>
      </c>
      <c r="X2786" s="71">
        <f>CU2786</f>
        <v>0</v>
      </c>
      <c r="Y2786" s="71">
        <f>CY2786</f>
        <v>0</v>
      </c>
      <c r="Z2786" s="71">
        <f>DA2786+DC2786+DE2786</f>
        <v>0</v>
      </c>
      <c r="AA2786" s="71">
        <f>CW2786</f>
        <v>0</v>
      </c>
      <c r="AB2786" s="71"/>
      <c r="AC2786" s="71">
        <v>0</v>
      </c>
      <c r="AD2786" s="71">
        <f>W2786+X2786+Y2786+Z2786+AA2786+AB2786+AC2786</f>
        <v>0</v>
      </c>
      <c r="AE2786" s="72">
        <v>0</v>
      </c>
      <c r="AF2786" s="5"/>
      <c r="AG2786" s="6"/>
      <c r="AH2786" s="27"/>
      <c r="AI2786" s="44"/>
      <c r="AJ2786" s="26"/>
      <c r="AK2786" s="5"/>
      <c r="AL2786" s="268" t="s">
        <v>5669</v>
      </c>
      <c r="AM2786" s="76"/>
      <c r="AN2786" s="76"/>
      <c r="AO2786" s="76"/>
      <c r="AP2786" s="76"/>
      <c r="AQ2786" s="76"/>
      <c r="AR2786" s="76"/>
      <c r="AS2786" s="76"/>
      <c r="AT2786" s="76"/>
      <c r="AU2786" s="76"/>
      <c r="AV2786" s="76"/>
      <c r="AW2786" s="76"/>
      <c r="AX2786" s="76">
        <f>+AW2786*600000</f>
        <v>0</v>
      </c>
      <c r="AY2786" s="76"/>
      <c r="AZ2786" s="76">
        <f>+AY2786*70000</f>
        <v>0</v>
      </c>
      <c r="BA2786" s="76"/>
      <c r="BB2786" s="76"/>
      <c r="BC2786" s="76"/>
      <c r="BD2786" s="76">
        <f>+BC2786*30000</f>
        <v>0</v>
      </c>
      <c r="BE2786" s="76"/>
      <c r="BF2786" s="76"/>
      <c r="BG2786" s="76"/>
      <c r="BH2786" s="76"/>
      <c r="BI2786" s="76"/>
      <c r="BJ2786" s="76"/>
      <c r="BK2786" s="76"/>
      <c r="BL2786" s="76">
        <f>+BK2786*31500</f>
        <v>0</v>
      </c>
      <c r="BM2786" s="76"/>
      <c r="BN2786" s="76"/>
      <c r="BO2786" s="76"/>
      <c r="BP2786" s="76"/>
      <c r="BQ2786" s="76"/>
      <c r="BR2786" s="76"/>
      <c r="BS2786" s="76"/>
      <c r="BT2786" s="76"/>
      <c r="BU2786" s="76"/>
      <c r="BV2786" s="76"/>
      <c r="BW2786" s="76"/>
      <c r="BX2786" s="76"/>
      <c r="BY2786" s="76"/>
      <c r="BZ2786" s="76"/>
      <c r="CA2786" s="76"/>
      <c r="CB2786" s="76"/>
      <c r="CC2786" s="76"/>
      <c r="CD2786" s="76"/>
      <c r="CE2786" s="76"/>
      <c r="CF2786" s="76">
        <f>+CE2786*28000</f>
        <v>0</v>
      </c>
      <c r="CG2786" s="76"/>
      <c r="CH2786" s="76">
        <f>+CG2786*22500</f>
        <v>0</v>
      </c>
      <c r="CI2786" s="76"/>
      <c r="CJ2786" s="76">
        <f>+CI2786*26000</f>
        <v>0</v>
      </c>
      <c r="CK2786" s="76"/>
      <c r="CL2786" s="76"/>
      <c r="CM2786" s="76"/>
      <c r="CN2786" s="76">
        <f>+CM2786*22000</f>
        <v>0</v>
      </c>
      <c r="CO2786" s="76"/>
      <c r="CP2786" s="76">
        <f>+CO2786*46000</f>
        <v>0</v>
      </c>
      <c r="CQ2786" s="76"/>
      <c r="CR2786" s="76">
        <f>+CQ2786*49000</f>
        <v>0</v>
      </c>
      <c r="CS2786" s="76"/>
      <c r="CT2786" s="76"/>
      <c r="CU2786" s="56">
        <f>AN2786+AP2786+AR2786+AT2786+AV2786+AX2786+AZ2786+BB2786+BD2786+BF2786+BH2786+BJ2786+BL2786+BN2786+BP2786+BR2786+BT2786+BV2786+BX2786+BZ2786+CB2786+CD2786+CF2786+CH2786+CJ2786+CL2786+CN2786+CP2786+CR2786+CT2786</f>
        <v>0</v>
      </c>
      <c r="CV2786" s="76"/>
      <c r="CW2786" s="76">
        <f>+CV2786*1100</f>
        <v>0</v>
      </c>
      <c r="CX2786" s="76"/>
      <c r="CY2786" s="76">
        <f>+CX2786*106250</f>
        <v>0</v>
      </c>
      <c r="CZ2786" s="76"/>
      <c r="DA2786" s="76">
        <f>+CZ2786*34500</f>
        <v>0</v>
      </c>
      <c r="DB2786" s="76"/>
      <c r="DC2786" s="76">
        <f>+DB2786*25000</f>
        <v>0</v>
      </c>
      <c r="DD2786" s="219"/>
      <c r="DE2786" s="219"/>
      <c r="DF2786" s="166"/>
      <c r="DG2786" s="116"/>
      <c r="DH2786" s="117"/>
      <c r="DI2786" s="24"/>
      <c r="DJ2786" s="24"/>
      <c r="DK2786" s="24"/>
      <c r="DL2786" s="24"/>
      <c r="DM2786" s="24"/>
      <c r="DN2786" s="24"/>
      <c r="DO2786" s="24"/>
      <c r="DP2786" s="24"/>
      <c r="DQ2786" s="24"/>
      <c r="DR2786" s="24"/>
      <c r="DS2786" s="24"/>
      <c r="DT2786" s="24"/>
      <c r="DU2786" s="24"/>
    </row>
    <row r="2787" spans="1:125" s="8" customFormat="1" ht="72" x14ac:dyDescent="0.2">
      <c r="A2787" s="77">
        <v>41508</v>
      </c>
      <c r="B2787" s="352" t="s">
        <v>1326</v>
      </c>
      <c r="C2787" s="354" t="s">
        <v>1807</v>
      </c>
      <c r="D2787" s="354" t="s">
        <v>3051</v>
      </c>
      <c r="E2787" s="75" t="str">
        <f>VLOOKUP(B2787&amp;C2787,Divipola!$C$2:$F$1138,4,FALSE)</f>
        <v>70221</v>
      </c>
      <c r="F2787" s="87"/>
      <c r="G2787" s="87"/>
      <c r="H2787" s="87"/>
      <c r="I2787" s="87">
        <v>275</v>
      </c>
      <c r="J2787" s="87">
        <v>55</v>
      </c>
      <c r="K2787" s="87"/>
      <c r="L2787" s="87">
        <v>55</v>
      </c>
      <c r="M2787" s="87"/>
      <c r="N2787" s="87"/>
      <c r="O2787" s="87"/>
      <c r="P2787" s="87"/>
      <c r="Q2787" s="87"/>
      <c r="R2787" s="87"/>
      <c r="S2787" s="87"/>
      <c r="T2787" s="87"/>
      <c r="U2787" s="88"/>
      <c r="V2787" s="89"/>
      <c r="W2787" s="96">
        <v>0</v>
      </c>
      <c r="X2787" s="71">
        <f>CU2787</f>
        <v>0</v>
      </c>
      <c r="Y2787" s="71">
        <f>CY2787</f>
        <v>0</v>
      </c>
      <c r="Z2787" s="71">
        <f>DA2787+DC2787+DE2787</f>
        <v>0</v>
      </c>
      <c r="AA2787" s="71">
        <f>CW2787</f>
        <v>0</v>
      </c>
      <c r="AB2787" s="71"/>
      <c r="AC2787" s="71">
        <v>0</v>
      </c>
      <c r="AD2787" s="71">
        <f>W2787+X2787+Y2787+Z2787+AA2787+AB2787+AC2787</f>
        <v>0</v>
      </c>
      <c r="AE2787" s="72">
        <v>0</v>
      </c>
      <c r="AF2787" s="5"/>
      <c r="AG2787" s="6"/>
      <c r="AH2787" s="27"/>
      <c r="AI2787" s="44"/>
      <c r="AJ2787" s="26"/>
      <c r="AK2787" s="5"/>
      <c r="AL2787" s="277" t="s">
        <v>5666</v>
      </c>
      <c r="AM2787" s="76"/>
      <c r="AN2787" s="76"/>
      <c r="AO2787" s="76"/>
      <c r="AP2787" s="76"/>
      <c r="AQ2787" s="76"/>
      <c r="AR2787" s="76"/>
      <c r="AS2787" s="76"/>
      <c r="AT2787" s="76"/>
      <c r="AU2787" s="76"/>
      <c r="AV2787" s="76"/>
      <c r="AW2787" s="76"/>
      <c r="AX2787" s="76">
        <f>+AW2787*600000</f>
        <v>0</v>
      </c>
      <c r="AY2787" s="76"/>
      <c r="AZ2787" s="76">
        <f>+AY2787*70000</f>
        <v>0</v>
      </c>
      <c r="BA2787" s="76"/>
      <c r="BB2787" s="76"/>
      <c r="BC2787" s="76"/>
      <c r="BD2787" s="76">
        <f>+BC2787*30000</f>
        <v>0</v>
      </c>
      <c r="BE2787" s="76"/>
      <c r="BF2787" s="76"/>
      <c r="BG2787" s="76"/>
      <c r="BH2787" s="76"/>
      <c r="BI2787" s="76"/>
      <c r="BJ2787" s="76"/>
      <c r="BK2787" s="76"/>
      <c r="BL2787" s="76">
        <f>+BK2787*31500</f>
        <v>0</v>
      </c>
      <c r="BM2787" s="76"/>
      <c r="BN2787" s="76"/>
      <c r="BO2787" s="76"/>
      <c r="BP2787" s="76"/>
      <c r="BQ2787" s="76"/>
      <c r="BR2787" s="76"/>
      <c r="BS2787" s="76"/>
      <c r="BT2787" s="76"/>
      <c r="BU2787" s="76"/>
      <c r="BV2787" s="76"/>
      <c r="BW2787" s="76"/>
      <c r="BX2787" s="76"/>
      <c r="BY2787" s="76"/>
      <c r="BZ2787" s="76"/>
      <c r="CA2787" s="76"/>
      <c r="CB2787" s="76"/>
      <c r="CC2787" s="76"/>
      <c r="CD2787" s="76"/>
      <c r="CE2787" s="76"/>
      <c r="CF2787" s="76">
        <f>+CE2787*28000</f>
        <v>0</v>
      </c>
      <c r="CG2787" s="76"/>
      <c r="CH2787" s="76">
        <f>+CG2787*22500</f>
        <v>0</v>
      </c>
      <c r="CI2787" s="76"/>
      <c r="CJ2787" s="76">
        <f>+CI2787*26000</f>
        <v>0</v>
      </c>
      <c r="CK2787" s="76"/>
      <c r="CL2787" s="76"/>
      <c r="CM2787" s="76"/>
      <c r="CN2787" s="76">
        <f>+CM2787*22000</f>
        <v>0</v>
      </c>
      <c r="CO2787" s="76"/>
      <c r="CP2787" s="76">
        <f>+CO2787*46000</f>
        <v>0</v>
      </c>
      <c r="CQ2787" s="76"/>
      <c r="CR2787" s="76">
        <f>+CQ2787*49000</f>
        <v>0</v>
      </c>
      <c r="CS2787" s="76"/>
      <c r="CT2787" s="76"/>
      <c r="CU2787" s="56">
        <f>AN2787+AP2787+AR2787+AT2787+AV2787+AX2787+AZ2787+BB2787+BD2787+BF2787+BH2787+BJ2787+BL2787+BN2787+BP2787+BR2787+BT2787+BV2787+BX2787+BZ2787+CB2787+CD2787+CF2787+CH2787+CJ2787+CL2787+CN2787+CP2787+CR2787+CT2787</f>
        <v>0</v>
      </c>
      <c r="CV2787" s="76"/>
      <c r="CW2787" s="76">
        <f>+CV2787*1100</f>
        <v>0</v>
      </c>
      <c r="CX2787" s="76"/>
      <c r="CY2787" s="76">
        <f>+CX2787*106250</f>
        <v>0</v>
      </c>
      <c r="CZ2787" s="76"/>
      <c r="DA2787" s="76">
        <f>+CZ2787*34500</f>
        <v>0</v>
      </c>
      <c r="DB2787" s="76"/>
      <c r="DC2787" s="76">
        <f>+DB2787*25000</f>
        <v>0</v>
      </c>
      <c r="DD2787" s="219"/>
      <c r="DE2787" s="219"/>
      <c r="DF2787" s="166"/>
      <c r="DG2787" s="116"/>
      <c r="DH2787" s="117"/>
      <c r="DI2787" s="24"/>
      <c r="DJ2787" s="24"/>
      <c r="DK2787" s="24"/>
      <c r="DL2787" s="24"/>
      <c r="DM2787" s="24"/>
      <c r="DN2787" s="24"/>
      <c r="DO2787" s="24"/>
      <c r="DP2787" s="24"/>
      <c r="DQ2787" s="24"/>
      <c r="DR2787" s="24"/>
      <c r="DS2787" s="24"/>
      <c r="DT2787" s="24"/>
      <c r="DU2787" s="24"/>
    </row>
    <row r="2788" spans="1:125" s="8" customFormat="1" ht="48" x14ac:dyDescent="0.2">
      <c r="A2788" s="77">
        <v>41508</v>
      </c>
      <c r="B2788" s="78" t="s">
        <v>2848</v>
      </c>
      <c r="C2788" s="75" t="s">
        <v>1887</v>
      </c>
      <c r="D2788" s="75" t="s">
        <v>2846</v>
      </c>
      <c r="E2788" s="353" t="str">
        <f>VLOOKUP(B2788&amp;C2788,Divipola!$C$2:$F$1138,4,FALSE)</f>
        <v>73443</v>
      </c>
      <c r="F2788" s="87"/>
      <c r="G2788" s="87"/>
      <c r="H2788" s="87"/>
      <c r="I2788" s="87"/>
      <c r="J2788" s="87"/>
      <c r="K2788" s="87"/>
      <c r="L2788" s="87"/>
      <c r="M2788" s="87"/>
      <c r="N2788" s="87"/>
      <c r="O2788" s="87"/>
      <c r="P2788" s="87"/>
      <c r="Q2788" s="87"/>
      <c r="R2788" s="87"/>
      <c r="S2788" s="87"/>
      <c r="T2788" s="87"/>
      <c r="U2788" s="88">
        <v>3</v>
      </c>
      <c r="V2788" s="89"/>
      <c r="W2788" s="96">
        <v>0</v>
      </c>
      <c r="X2788" s="71">
        <f>CU2788</f>
        <v>0</v>
      </c>
      <c r="Y2788" s="71">
        <f>CY2788</f>
        <v>0</v>
      </c>
      <c r="Z2788" s="71">
        <f>DA2788+DC2788+DE2788</f>
        <v>0</v>
      </c>
      <c r="AA2788" s="71">
        <f>CW2788</f>
        <v>0</v>
      </c>
      <c r="AB2788" s="71"/>
      <c r="AC2788" s="71">
        <v>0</v>
      </c>
      <c r="AD2788" s="71">
        <f>W2788+X2788+Y2788+Z2788+AA2788+AB2788+AC2788</f>
        <v>0</v>
      </c>
      <c r="AE2788" s="72">
        <v>0</v>
      </c>
      <c r="AF2788" s="5"/>
      <c r="AG2788" s="6"/>
      <c r="AH2788" s="27"/>
      <c r="AI2788" s="44"/>
      <c r="AJ2788" s="26"/>
      <c r="AK2788" s="5"/>
      <c r="AL2788" s="82" t="s">
        <v>5664</v>
      </c>
      <c r="AM2788" s="76"/>
      <c r="AN2788" s="76"/>
      <c r="AO2788" s="76"/>
      <c r="AP2788" s="76"/>
      <c r="AQ2788" s="76"/>
      <c r="AR2788" s="76"/>
      <c r="AS2788" s="76"/>
      <c r="AT2788" s="76"/>
      <c r="AU2788" s="76"/>
      <c r="AV2788" s="76"/>
      <c r="AW2788" s="76"/>
      <c r="AX2788" s="76">
        <f>+AW2788*600000</f>
        <v>0</v>
      </c>
      <c r="AY2788" s="76"/>
      <c r="AZ2788" s="76">
        <f>+AY2788*70000</f>
        <v>0</v>
      </c>
      <c r="BA2788" s="76"/>
      <c r="BB2788" s="76"/>
      <c r="BC2788" s="76"/>
      <c r="BD2788" s="76">
        <f>+BC2788*30000</f>
        <v>0</v>
      </c>
      <c r="BE2788" s="76"/>
      <c r="BF2788" s="76"/>
      <c r="BG2788" s="76"/>
      <c r="BH2788" s="76"/>
      <c r="BI2788" s="76"/>
      <c r="BJ2788" s="76"/>
      <c r="BK2788" s="76"/>
      <c r="BL2788" s="76">
        <f>+BK2788*31500</f>
        <v>0</v>
      </c>
      <c r="BM2788" s="76"/>
      <c r="BN2788" s="76"/>
      <c r="BO2788" s="76"/>
      <c r="BP2788" s="76"/>
      <c r="BQ2788" s="76"/>
      <c r="BR2788" s="76"/>
      <c r="BS2788" s="76"/>
      <c r="BT2788" s="76"/>
      <c r="BU2788" s="76"/>
      <c r="BV2788" s="76"/>
      <c r="BW2788" s="76"/>
      <c r="BX2788" s="76"/>
      <c r="BY2788" s="76"/>
      <c r="BZ2788" s="76"/>
      <c r="CA2788" s="76"/>
      <c r="CB2788" s="76"/>
      <c r="CC2788" s="76"/>
      <c r="CD2788" s="76"/>
      <c r="CE2788" s="76"/>
      <c r="CF2788" s="76">
        <f>+CE2788*28000</f>
        <v>0</v>
      </c>
      <c r="CG2788" s="76"/>
      <c r="CH2788" s="76">
        <f>+CG2788*22500</f>
        <v>0</v>
      </c>
      <c r="CI2788" s="76"/>
      <c r="CJ2788" s="76">
        <f>+CI2788*26000</f>
        <v>0</v>
      </c>
      <c r="CK2788" s="76"/>
      <c r="CL2788" s="76"/>
      <c r="CM2788" s="76"/>
      <c r="CN2788" s="76">
        <f>+CM2788*22000</f>
        <v>0</v>
      </c>
      <c r="CO2788" s="76"/>
      <c r="CP2788" s="76">
        <f>+CO2788*46000</f>
        <v>0</v>
      </c>
      <c r="CQ2788" s="76"/>
      <c r="CR2788" s="76">
        <f>+CQ2788*49000</f>
        <v>0</v>
      </c>
      <c r="CS2788" s="76"/>
      <c r="CT2788" s="76"/>
      <c r="CU2788" s="56">
        <f>AN2788+AP2788+AR2788+AT2788+AV2788+AX2788+AZ2788+BB2788+BD2788+BF2788+BH2788+BJ2788+BL2788+BN2788+BP2788+BR2788+BT2788+BV2788+BX2788+BZ2788+CB2788+CD2788+CF2788+CH2788+CJ2788+CL2788+CN2788+CP2788+CR2788+CT2788</f>
        <v>0</v>
      </c>
      <c r="CV2788" s="76"/>
      <c r="CW2788" s="76">
        <f>+CV2788*1100</f>
        <v>0</v>
      </c>
      <c r="CX2788" s="76"/>
      <c r="CY2788" s="76">
        <f>+CX2788*106250</f>
        <v>0</v>
      </c>
      <c r="CZ2788" s="76"/>
      <c r="DA2788" s="76">
        <f>+CZ2788*34500</f>
        <v>0</v>
      </c>
      <c r="DB2788" s="76"/>
      <c r="DC2788" s="76">
        <f>+DB2788*25000</f>
        <v>0</v>
      </c>
      <c r="DD2788" s="219"/>
      <c r="DE2788" s="219"/>
      <c r="DF2788" s="166"/>
      <c r="DG2788" s="116"/>
      <c r="DH2788" s="117"/>
      <c r="DI2788" s="24"/>
      <c r="DJ2788" s="24"/>
      <c r="DK2788" s="24"/>
      <c r="DL2788" s="24"/>
      <c r="DM2788" s="24"/>
      <c r="DN2788" s="24"/>
      <c r="DO2788" s="24"/>
      <c r="DP2788" s="24"/>
      <c r="DQ2788" s="24"/>
      <c r="DR2788" s="24"/>
      <c r="DS2788" s="24"/>
      <c r="DT2788" s="24"/>
      <c r="DU2788" s="24"/>
    </row>
    <row r="2789" spans="1:125" s="8" customFormat="1" ht="156" x14ac:dyDescent="0.2">
      <c r="A2789" s="77">
        <v>41509</v>
      </c>
      <c r="B2789" s="78" t="s">
        <v>2196</v>
      </c>
      <c r="C2789" s="75" t="s">
        <v>508</v>
      </c>
      <c r="D2789" s="75" t="s">
        <v>3088</v>
      </c>
      <c r="E2789" s="75" t="str">
        <f>VLOOKUP(B2789&amp;C2789,Divipola!$C$2:$F$1138,4,FALSE)</f>
        <v>17001</v>
      </c>
      <c r="F2789" s="61"/>
      <c r="G2789" s="61"/>
      <c r="H2789" s="61"/>
      <c r="I2789" s="61"/>
      <c r="J2789" s="61"/>
      <c r="K2789" s="61"/>
      <c r="L2789" s="61"/>
      <c r="M2789" s="61"/>
      <c r="N2789" s="61"/>
      <c r="O2789" s="61"/>
      <c r="P2789" s="61"/>
      <c r="Q2789" s="61"/>
      <c r="R2789" s="61"/>
      <c r="S2789" s="61"/>
      <c r="T2789" s="61"/>
      <c r="U2789" s="61"/>
      <c r="V2789" s="7"/>
      <c r="W2789" s="96">
        <v>0</v>
      </c>
      <c r="X2789" s="71">
        <f>CU2789</f>
        <v>0</v>
      </c>
      <c r="Y2789" s="71">
        <f>CY2789</f>
        <v>0</v>
      </c>
      <c r="Z2789" s="71">
        <f>DA2789+DC2789+DE2789</f>
        <v>0</v>
      </c>
      <c r="AA2789" s="71">
        <f>CW2789</f>
        <v>0</v>
      </c>
      <c r="AB2789" s="71"/>
      <c r="AC2789" s="71">
        <v>770000000</v>
      </c>
      <c r="AD2789" s="71">
        <f>W2789+X2789+Y2789+Z2789+AA2789+AB2789+AC2789</f>
        <v>770000000</v>
      </c>
      <c r="AE2789" s="72">
        <v>0</v>
      </c>
      <c r="AF2789" s="5"/>
      <c r="AG2789" s="6"/>
      <c r="AH2789" s="27"/>
      <c r="AI2789" s="44"/>
      <c r="AJ2789" s="26"/>
      <c r="AK2789" s="5"/>
      <c r="AL2789" s="9" t="s">
        <v>5668</v>
      </c>
      <c r="AM2789" s="76"/>
      <c r="AN2789" s="76"/>
      <c r="AO2789" s="76"/>
      <c r="AP2789" s="76"/>
      <c r="AQ2789" s="76"/>
      <c r="AR2789" s="76"/>
      <c r="AS2789" s="76"/>
      <c r="AT2789" s="76"/>
      <c r="AU2789" s="76"/>
      <c r="AV2789" s="76"/>
      <c r="AW2789" s="76"/>
      <c r="AX2789" s="76">
        <f>+AW2789*600000</f>
        <v>0</v>
      </c>
      <c r="AY2789" s="76"/>
      <c r="AZ2789" s="76">
        <f>+AY2789*70000</f>
        <v>0</v>
      </c>
      <c r="BA2789" s="76"/>
      <c r="BB2789" s="76"/>
      <c r="BC2789" s="76"/>
      <c r="BD2789" s="76">
        <f>+BC2789*30000</f>
        <v>0</v>
      </c>
      <c r="BE2789" s="76"/>
      <c r="BF2789" s="76"/>
      <c r="BG2789" s="76"/>
      <c r="BH2789" s="76"/>
      <c r="BI2789" s="76"/>
      <c r="BJ2789" s="76"/>
      <c r="BK2789" s="76"/>
      <c r="BL2789" s="76">
        <f>+BK2789*31500</f>
        <v>0</v>
      </c>
      <c r="BM2789" s="76"/>
      <c r="BN2789" s="76"/>
      <c r="BO2789" s="76"/>
      <c r="BP2789" s="76"/>
      <c r="BQ2789" s="76"/>
      <c r="BR2789" s="76"/>
      <c r="BS2789" s="76"/>
      <c r="BT2789" s="76"/>
      <c r="BU2789" s="76"/>
      <c r="BV2789" s="76"/>
      <c r="BW2789" s="76"/>
      <c r="BX2789" s="76"/>
      <c r="BY2789" s="76"/>
      <c r="BZ2789" s="76"/>
      <c r="CA2789" s="76"/>
      <c r="CB2789" s="76"/>
      <c r="CC2789" s="76"/>
      <c r="CD2789" s="76"/>
      <c r="CE2789" s="76"/>
      <c r="CF2789" s="76">
        <f>+CE2789*28000</f>
        <v>0</v>
      </c>
      <c r="CG2789" s="76"/>
      <c r="CH2789" s="76">
        <f>+CG2789*22500</f>
        <v>0</v>
      </c>
      <c r="CI2789" s="76"/>
      <c r="CJ2789" s="76">
        <f>+CI2789*26000</f>
        <v>0</v>
      </c>
      <c r="CK2789" s="76"/>
      <c r="CL2789" s="76"/>
      <c r="CM2789" s="76"/>
      <c r="CN2789" s="76">
        <f>+CM2789*22000</f>
        <v>0</v>
      </c>
      <c r="CO2789" s="76"/>
      <c r="CP2789" s="76">
        <f>+CO2789*46000</f>
        <v>0</v>
      </c>
      <c r="CQ2789" s="76"/>
      <c r="CR2789" s="76">
        <f>+CQ2789*49000</f>
        <v>0</v>
      </c>
      <c r="CS2789" s="76"/>
      <c r="CT2789" s="76"/>
      <c r="CU2789" s="56">
        <f>AN2789+AP2789+AR2789+AT2789+AV2789+AX2789+AZ2789+BB2789+BD2789+BF2789+BH2789+BJ2789+BL2789+BN2789+BP2789+BR2789+BT2789+BV2789+BX2789+BZ2789+CB2789+CD2789+CF2789+CH2789+CJ2789+CL2789+CN2789+CP2789+CR2789+CT2789</f>
        <v>0</v>
      </c>
      <c r="CV2789" s="76"/>
      <c r="CW2789" s="76">
        <f>+CV2789*1100</f>
        <v>0</v>
      </c>
      <c r="CX2789" s="76"/>
      <c r="CY2789" s="76">
        <f>+CX2789*106250</f>
        <v>0</v>
      </c>
      <c r="CZ2789" s="76"/>
      <c r="DA2789" s="76">
        <f>+CZ2789*34500</f>
        <v>0</v>
      </c>
      <c r="DB2789" s="76"/>
      <c r="DC2789" s="76">
        <f>+DB2789*25000</f>
        <v>0</v>
      </c>
      <c r="DD2789" s="219"/>
      <c r="DE2789" s="219"/>
      <c r="DF2789" s="166"/>
      <c r="DG2789" s="116"/>
      <c r="DH2789" s="117"/>
      <c r="DI2789" s="24"/>
      <c r="DJ2789" s="24"/>
      <c r="DK2789" s="24"/>
      <c r="DL2789" s="24"/>
      <c r="DM2789" s="24"/>
      <c r="DN2789" s="24"/>
      <c r="DO2789" s="24"/>
      <c r="DP2789" s="24"/>
      <c r="DQ2789" s="24"/>
      <c r="DR2789" s="24"/>
      <c r="DS2789" s="24"/>
      <c r="DT2789" s="24"/>
      <c r="DU2789" s="24"/>
    </row>
    <row r="2790" spans="1:125" s="8" customFormat="1" ht="276" x14ac:dyDescent="0.2">
      <c r="A2790" s="77">
        <v>41509</v>
      </c>
      <c r="B2790" s="78" t="s">
        <v>2852</v>
      </c>
      <c r="C2790" s="75" t="s">
        <v>2773</v>
      </c>
      <c r="D2790" s="75" t="s">
        <v>3051</v>
      </c>
      <c r="E2790" s="75">
        <f>VLOOKUP(B2790&amp;C2790,Divipola!$C$2:$F$1138,4,FALSE)</f>
        <v>27</v>
      </c>
      <c r="F2790" s="61"/>
      <c r="G2790" s="61"/>
      <c r="H2790" s="61"/>
      <c r="I2790" s="61"/>
      <c r="J2790" s="61"/>
      <c r="K2790" s="61"/>
      <c r="L2790" s="61"/>
      <c r="M2790" s="61"/>
      <c r="N2790" s="61"/>
      <c r="O2790" s="61"/>
      <c r="P2790" s="61"/>
      <c r="Q2790" s="61"/>
      <c r="R2790" s="61"/>
      <c r="S2790" s="61"/>
      <c r="T2790" s="61"/>
      <c r="U2790" s="61"/>
      <c r="V2790" s="7"/>
      <c r="W2790" s="96">
        <v>0</v>
      </c>
      <c r="X2790" s="71">
        <f>CU2790</f>
        <v>0</v>
      </c>
      <c r="Y2790" s="71">
        <f>CY2790</f>
        <v>0</v>
      </c>
      <c r="Z2790" s="71">
        <f>DA2790+DC2790+DE2790</f>
        <v>0</v>
      </c>
      <c r="AA2790" s="71">
        <f>CW2790</f>
        <v>0</v>
      </c>
      <c r="AB2790" s="71"/>
      <c r="AC2790" s="71">
        <v>149453374</v>
      </c>
      <c r="AD2790" s="71">
        <f>W2790+X2790+Y2790+Z2790+AA2790+AB2790+AC2790</f>
        <v>149453374</v>
      </c>
      <c r="AE2790" s="72">
        <v>0</v>
      </c>
      <c r="AF2790" s="5"/>
      <c r="AG2790" s="6"/>
      <c r="AH2790" s="27"/>
      <c r="AI2790" s="44"/>
      <c r="AJ2790" s="26"/>
      <c r="AK2790" s="5"/>
      <c r="AL2790" s="9" t="s">
        <v>5667</v>
      </c>
      <c r="AM2790" s="76"/>
      <c r="AN2790" s="76"/>
      <c r="AO2790" s="76"/>
      <c r="AP2790" s="76"/>
      <c r="AQ2790" s="76"/>
      <c r="AR2790" s="76"/>
      <c r="AS2790" s="76"/>
      <c r="AT2790" s="76"/>
      <c r="AU2790" s="76"/>
      <c r="AV2790" s="76"/>
      <c r="AW2790" s="76"/>
      <c r="AX2790" s="76">
        <f>+AW2790*600000</f>
        <v>0</v>
      </c>
      <c r="AY2790" s="76"/>
      <c r="AZ2790" s="76">
        <f>+AY2790*70000</f>
        <v>0</v>
      </c>
      <c r="BA2790" s="76"/>
      <c r="BB2790" s="76"/>
      <c r="BC2790" s="76"/>
      <c r="BD2790" s="76">
        <f>+BC2790*30000</f>
        <v>0</v>
      </c>
      <c r="BE2790" s="76"/>
      <c r="BF2790" s="76"/>
      <c r="BG2790" s="76"/>
      <c r="BH2790" s="76"/>
      <c r="BI2790" s="76"/>
      <c r="BJ2790" s="76"/>
      <c r="BK2790" s="76"/>
      <c r="BL2790" s="76">
        <f>+BK2790*31500</f>
        <v>0</v>
      </c>
      <c r="BM2790" s="76"/>
      <c r="BN2790" s="76"/>
      <c r="BO2790" s="76"/>
      <c r="BP2790" s="76"/>
      <c r="BQ2790" s="76"/>
      <c r="BR2790" s="76"/>
      <c r="BS2790" s="76"/>
      <c r="BT2790" s="76"/>
      <c r="BU2790" s="76"/>
      <c r="BV2790" s="76"/>
      <c r="BW2790" s="76"/>
      <c r="BX2790" s="76"/>
      <c r="BY2790" s="76"/>
      <c r="BZ2790" s="76"/>
      <c r="CA2790" s="76"/>
      <c r="CB2790" s="76"/>
      <c r="CC2790" s="76"/>
      <c r="CD2790" s="76"/>
      <c r="CE2790" s="76"/>
      <c r="CF2790" s="76">
        <f>+CE2790*28000</f>
        <v>0</v>
      </c>
      <c r="CG2790" s="76"/>
      <c r="CH2790" s="76">
        <f>+CG2790*22500</f>
        <v>0</v>
      </c>
      <c r="CI2790" s="76"/>
      <c r="CJ2790" s="76">
        <f>+CI2790*26000</f>
        <v>0</v>
      </c>
      <c r="CK2790" s="76"/>
      <c r="CL2790" s="76"/>
      <c r="CM2790" s="76"/>
      <c r="CN2790" s="76">
        <f>+CM2790*22000</f>
        <v>0</v>
      </c>
      <c r="CO2790" s="76"/>
      <c r="CP2790" s="76">
        <f>+CO2790*46000</f>
        <v>0</v>
      </c>
      <c r="CQ2790" s="76"/>
      <c r="CR2790" s="76">
        <f>+CQ2790*49000</f>
        <v>0</v>
      </c>
      <c r="CS2790" s="76"/>
      <c r="CT2790" s="76"/>
      <c r="CU2790" s="56">
        <f>AN2790+AP2790+AR2790+AT2790+AV2790+AX2790+AZ2790+BB2790+BD2790+BF2790+BH2790+BJ2790+BL2790+BN2790+BP2790+BR2790+BT2790+BV2790+BX2790+BZ2790+CB2790+CD2790+CF2790+CH2790+CJ2790+CL2790+CN2790+CP2790+CR2790+CT2790</f>
        <v>0</v>
      </c>
      <c r="CV2790" s="76"/>
      <c r="CW2790" s="76">
        <f>+CV2790*1100</f>
        <v>0</v>
      </c>
      <c r="CX2790" s="76"/>
      <c r="CY2790" s="76">
        <f>+CX2790*106250</f>
        <v>0</v>
      </c>
      <c r="CZ2790" s="76"/>
      <c r="DA2790" s="76">
        <f>+CZ2790*34500</f>
        <v>0</v>
      </c>
      <c r="DB2790" s="76"/>
      <c r="DC2790" s="76">
        <f>+DB2790*25000</f>
        <v>0</v>
      </c>
      <c r="DD2790" s="219"/>
      <c r="DE2790" s="219"/>
      <c r="DF2790" s="166"/>
      <c r="DG2790" s="116"/>
      <c r="DH2790" s="117"/>
      <c r="DI2790" s="24"/>
      <c r="DJ2790" s="24"/>
      <c r="DK2790" s="24"/>
      <c r="DL2790" s="24"/>
      <c r="DM2790" s="24"/>
      <c r="DN2790" s="24"/>
      <c r="DO2790" s="24"/>
      <c r="DP2790" s="24"/>
      <c r="DQ2790" s="24"/>
      <c r="DR2790" s="24"/>
      <c r="DS2790" s="24"/>
      <c r="DT2790" s="24"/>
      <c r="DU2790" s="24"/>
    </row>
    <row r="2791" spans="1:125" s="8" customFormat="1" ht="60" x14ac:dyDescent="0.2">
      <c r="A2791" s="353">
        <v>41509</v>
      </c>
      <c r="B2791" s="352" t="s">
        <v>2811</v>
      </c>
      <c r="C2791" s="354" t="s">
        <v>1345</v>
      </c>
      <c r="D2791" s="354" t="s">
        <v>2846</v>
      </c>
      <c r="E2791" s="75" t="str">
        <f>VLOOKUP(B2791&amp;C2791,Divipola!$C$2:$F$1138,4,FALSE)</f>
        <v>52565</v>
      </c>
      <c r="F2791" s="87"/>
      <c r="G2791" s="87"/>
      <c r="H2791" s="87"/>
      <c r="I2791" s="87"/>
      <c r="J2791" s="87"/>
      <c r="K2791" s="87"/>
      <c r="L2791" s="87"/>
      <c r="M2791" s="87"/>
      <c r="N2791" s="87"/>
      <c r="O2791" s="87"/>
      <c r="P2791" s="87"/>
      <c r="Q2791" s="87"/>
      <c r="R2791" s="87"/>
      <c r="S2791" s="87"/>
      <c r="T2791" s="87"/>
      <c r="U2791" s="88">
        <v>2</v>
      </c>
      <c r="V2791" s="89"/>
      <c r="W2791" s="96">
        <v>0</v>
      </c>
      <c r="X2791" s="71">
        <f>CU2791</f>
        <v>0</v>
      </c>
      <c r="Y2791" s="71">
        <f>CY2791</f>
        <v>0</v>
      </c>
      <c r="Z2791" s="71">
        <f>DA2791+DC2791+DE2791</f>
        <v>0</v>
      </c>
      <c r="AA2791" s="71">
        <f>CW2791</f>
        <v>0</v>
      </c>
      <c r="AB2791" s="71"/>
      <c r="AC2791" s="71">
        <v>0</v>
      </c>
      <c r="AD2791" s="71">
        <f>W2791+X2791+Y2791+Z2791+AA2791+AB2791+AC2791</f>
        <v>0</v>
      </c>
      <c r="AE2791" s="72">
        <v>0</v>
      </c>
      <c r="AF2791" s="5"/>
      <c r="AG2791" s="6"/>
      <c r="AH2791" s="27"/>
      <c r="AI2791" s="44"/>
      <c r="AJ2791" s="26"/>
      <c r="AK2791" s="5"/>
      <c r="AL2791" s="82" t="s">
        <v>5686</v>
      </c>
      <c r="AM2791" s="76"/>
      <c r="AN2791" s="76"/>
      <c r="AO2791" s="76"/>
      <c r="AP2791" s="76"/>
      <c r="AQ2791" s="76"/>
      <c r="AR2791" s="76"/>
      <c r="AS2791" s="76"/>
      <c r="AT2791" s="76"/>
      <c r="AU2791" s="76"/>
      <c r="AV2791" s="76"/>
      <c r="AW2791" s="76"/>
      <c r="AX2791" s="76">
        <f>+AW2791*600000</f>
        <v>0</v>
      </c>
      <c r="AY2791" s="76"/>
      <c r="AZ2791" s="76">
        <f>+AY2791*70000</f>
        <v>0</v>
      </c>
      <c r="BA2791" s="76"/>
      <c r="BB2791" s="76"/>
      <c r="BC2791" s="76"/>
      <c r="BD2791" s="76">
        <f>+BC2791*30000</f>
        <v>0</v>
      </c>
      <c r="BE2791" s="76"/>
      <c r="BF2791" s="76"/>
      <c r="BG2791" s="76"/>
      <c r="BH2791" s="76"/>
      <c r="BI2791" s="76"/>
      <c r="BJ2791" s="76"/>
      <c r="BK2791" s="76"/>
      <c r="BL2791" s="76">
        <f>+BK2791*31500</f>
        <v>0</v>
      </c>
      <c r="BM2791" s="76"/>
      <c r="BN2791" s="76"/>
      <c r="BO2791" s="76"/>
      <c r="BP2791" s="76"/>
      <c r="BQ2791" s="76"/>
      <c r="BR2791" s="76"/>
      <c r="BS2791" s="76"/>
      <c r="BT2791" s="76"/>
      <c r="BU2791" s="76"/>
      <c r="BV2791" s="76"/>
      <c r="BW2791" s="76"/>
      <c r="BX2791" s="76"/>
      <c r="BY2791" s="76"/>
      <c r="BZ2791" s="76"/>
      <c r="CA2791" s="76"/>
      <c r="CB2791" s="76"/>
      <c r="CC2791" s="76"/>
      <c r="CD2791" s="76"/>
      <c r="CE2791" s="76"/>
      <c r="CF2791" s="76">
        <f>+CE2791*28000</f>
        <v>0</v>
      </c>
      <c r="CG2791" s="76"/>
      <c r="CH2791" s="76">
        <f>+CG2791*22500</f>
        <v>0</v>
      </c>
      <c r="CI2791" s="76"/>
      <c r="CJ2791" s="76">
        <f>+CI2791*26000</f>
        <v>0</v>
      </c>
      <c r="CK2791" s="76"/>
      <c r="CL2791" s="76"/>
      <c r="CM2791" s="76"/>
      <c r="CN2791" s="76">
        <f>+CM2791*22000</f>
        <v>0</v>
      </c>
      <c r="CO2791" s="76"/>
      <c r="CP2791" s="76">
        <f>+CO2791*46000</f>
        <v>0</v>
      </c>
      <c r="CQ2791" s="76"/>
      <c r="CR2791" s="76">
        <f>+CQ2791*49000</f>
        <v>0</v>
      </c>
      <c r="CS2791" s="76"/>
      <c r="CT2791" s="76"/>
      <c r="CU2791" s="56">
        <f>AN2791+AP2791+AR2791+AT2791+AV2791+AX2791+AZ2791+BB2791+BD2791+BF2791+BH2791+BJ2791+BL2791+BN2791+BP2791+BR2791+BT2791+BV2791+BX2791+BZ2791+CB2791+CD2791+CF2791+CH2791+CJ2791+CL2791+CN2791+CP2791+CR2791+CT2791</f>
        <v>0</v>
      </c>
      <c r="CV2791" s="76"/>
      <c r="CW2791" s="76">
        <f>+CV2791*1100</f>
        <v>0</v>
      </c>
      <c r="CX2791" s="76"/>
      <c r="CY2791" s="76">
        <f>+CX2791*106250</f>
        <v>0</v>
      </c>
      <c r="CZ2791" s="76"/>
      <c r="DA2791" s="76">
        <f>+CZ2791*34500</f>
        <v>0</v>
      </c>
      <c r="DB2791" s="76"/>
      <c r="DC2791" s="76">
        <f>+DB2791*25000</f>
        <v>0</v>
      </c>
      <c r="DD2791" s="219"/>
      <c r="DE2791" s="219"/>
      <c r="DF2791" s="166"/>
      <c r="DG2791" s="116"/>
      <c r="DH2791" s="117"/>
      <c r="DI2791" s="24"/>
      <c r="DJ2791" s="24"/>
      <c r="DK2791" s="24"/>
      <c r="DL2791" s="24"/>
      <c r="DM2791" s="24"/>
      <c r="DN2791" s="24"/>
      <c r="DO2791" s="24"/>
      <c r="DP2791" s="24"/>
      <c r="DQ2791" s="24"/>
      <c r="DR2791" s="24"/>
      <c r="DS2791" s="24"/>
      <c r="DT2791" s="24"/>
      <c r="DU2791" s="24"/>
    </row>
    <row r="2792" spans="1:125" s="8" customFormat="1" ht="60" x14ac:dyDescent="0.2">
      <c r="A2792" s="353">
        <v>41509</v>
      </c>
      <c r="B2792" s="352" t="s">
        <v>2811</v>
      </c>
      <c r="C2792" s="354" t="s">
        <v>217</v>
      </c>
      <c r="D2792" s="354" t="s">
        <v>2846</v>
      </c>
      <c r="E2792" s="75" t="str">
        <f>VLOOKUP(B2792&amp;C2792,Divipola!$C$2:$F$1138,4,FALSE)</f>
        <v>52786</v>
      </c>
      <c r="F2792" s="87"/>
      <c r="G2792" s="87"/>
      <c r="H2792" s="87"/>
      <c r="I2792" s="87"/>
      <c r="J2792" s="87"/>
      <c r="K2792" s="87"/>
      <c r="L2792" s="87"/>
      <c r="M2792" s="87"/>
      <c r="N2792" s="87"/>
      <c r="O2792" s="87"/>
      <c r="P2792" s="87"/>
      <c r="Q2792" s="87"/>
      <c r="R2792" s="87"/>
      <c r="S2792" s="87"/>
      <c r="T2792" s="87"/>
      <c r="U2792" s="88">
        <v>10</v>
      </c>
      <c r="V2792" s="89"/>
      <c r="W2792" s="96">
        <v>0</v>
      </c>
      <c r="X2792" s="71">
        <f>CU2792</f>
        <v>0</v>
      </c>
      <c r="Y2792" s="71">
        <f>CY2792</f>
        <v>0</v>
      </c>
      <c r="Z2792" s="71">
        <f>DA2792+DC2792+DE2792</f>
        <v>0</v>
      </c>
      <c r="AA2792" s="71">
        <f>CW2792</f>
        <v>0</v>
      </c>
      <c r="AB2792" s="71"/>
      <c r="AC2792" s="71">
        <v>0</v>
      </c>
      <c r="AD2792" s="71">
        <f>W2792+X2792+Y2792+Z2792+AA2792+AB2792+AC2792</f>
        <v>0</v>
      </c>
      <c r="AE2792" s="72">
        <v>0</v>
      </c>
      <c r="AF2792" s="5"/>
      <c r="AG2792" s="6"/>
      <c r="AH2792" s="27"/>
      <c r="AI2792" s="44"/>
      <c r="AJ2792" s="26"/>
      <c r="AK2792" s="5"/>
      <c r="AL2792" s="82" t="s">
        <v>5685</v>
      </c>
      <c r="AM2792" s="76"/>
      <c r="AN2792" s="76"/>
      <c r="AO2792" s="76"/>
      <c r="AP2792" s="76"/>
      <c r="AQ2792" s="76"/>
      <c r="AR2792" s="76"/>
      <c r="AS2792" s="76"/>
      <c r="AT2792" s="76"/>
      <c r="AU2792" s="76"/>
      <c r="AV2792" s="76"/>
      <c r="AW2792" s="76"/>
      <c r="AX2792" s="76">
        <f>+AW2792*600000</f>
        <v>0</v>
      </c>
      <c r="AY2792" s="76"/>
      <c r="AZ2792" s="76">
        <f>+AY2792*70000</f>
        <v>0</v>
      </c>
      <c r="BA2792" s="76"/>
      <c r="BB2792" s="76"/>
      <c r="BC2792" s="76"/>
      <c r="BD2792" s="76">
        <f>+BC2792*30000</f>
        <v>0</v>
      </c>
      <c r="BE2792" s="76"/>
      <c r="BF2792" s="76"/>
      <c r="BG2792" s="76"/>
      <c r="BH2792" s="76"/>
      <c r="BI2792" s="76"/>
      <c r="BJ2792" s="76"/>
      <c r="BK2792" s="76"/>
      <c r="BL2792" s="76">
        <f>+BK2792*31500</f>
        <v>0</v>
      </c>
      <c r="BM2792" s="76"/>
      <c r="BN2792" s="76"/>
      <c r="BO2792" s="76"/>
      <c r="BP2792" s="76"/>
      <c r="BQ2792" s="76"/>
      <c r="BR2792" s="76"/>
      <c r="BS2792" s="76"/>
      <c r="BT2792" s="76"/>
      <c r="BU2792" s="76"/>
      <c r="BV2792" s="76"/>
      <c r="BW2792" s="76"/>
      <c r="BX2792" s="76"/>
      <c r="BY2792" s="76"/>
      <c r="BZ2792" s="76"/>
      <c r="CA2792" s="76"/>
      <c r="CB2792" s="76"/>
      <c r="CC2792" s="76"/>
      <c r="CD2792" s="76"/>
      <c r="CE2792" s="76"/>
      <c r="CF2792" s="76">
        <f>+CE2792*28000</f>
        <v>0</v>
      </c>
      <c r="CG2792" s="76"/>
      <c r="CH2792" s="76">
        <f>+CG2792*22500</f>
        <v>0</v>
      </c>
      <c r="CI2792" s="76"/>
      <c r="CJ2792" s="76">
        <f>+CI2792*26000</f>
        <v>0</v>
      </c>
      <c r="CK2792" s="76"/>
      <c r="CL2792" s="76"/>
      <c r="CM2792" s="76"/>
      <c r="CN2792" s="76">
        <f>+CM2792*22000</f>
        <v>0</v>
      </c>
      <c r="CO2792" s="76"/>
      <c r="CP2792" s="76">
        <f>+CO2792*46000</f>
        <v>0</v>
      </c>
      <c r="CQ2792" s="76"/>
      <c r="CR2792" s="76">
        <f>+CQ2792*49000</f>
        <v>0</v>
      </c>
      <c r="CS2792" s="76"/>
      <c r="CT2792" s="76"/>
      <c r="CU2792" s="56">
        <f>AN2792+AP2792+AR2792+AT2792+AV2792+AX2792+AZ2792+BB2792+BD2792+BF2792+BH2792+BJ2792+BL2792+BN2792+BP2792+BR2792+BT2792+BV2792+BX2792+BZ2792+CB2792+CD2792+CF2792+CH2792+CJ2792+CL2792+CN2792+CP2792+CR2792+CT2792</f>
        <v>0</v>
      </c>
      <c r="CV2792" s="76"/>
      <c r="CW2792" s="76">
        <f>+CV2792*1100</f>
        <v>0</v>
      </c>
      <c r="CX2792" s="76"/>
      <c r="CY2792" s="76">
        <f>+CX2792*106250</f>
        <v>0</v>
      </c>
      <c r="CZ2792" s="76"/>
      <c r="DA2792" s="76">
        <f>+CZ2792*34500</f>
        <v>0</v>
      </c>
      <c r="DB2792" s="76"/>
      <c r="DC2792" s="76">
        <f>+DB2792*25000</f>
        <v>0</v>
      </c>
      <c r="DD2792" s="219"/>
      <c r="DE2792" s="219"/>
      <c r="DF2792" s="166"/>
      <c r="DG2792" s="116"/>
      <c r="DH2792" s="117"/>
      <c r="DI2792" s="24"/>
      <c r="DJ2792" s="24"/>
      <c r="DK2792" s="24"/>
      <c r="DL2792" s="24"/>
      <c r="DM2792" s="24"/>
      <c r="DN2792" s="24"/>
      <c r="DO2792" s="24"/>
      <c r="DP2792" s="24"/>
      <c r="DQ2792" s="24"/>
      <c r="DR2792" s="24"/>
      <c r="DS2792" s="24"/>
      <c r="DT2792" s="24"/>
      <c r="DU2792" s="24"/>
    </row>
    <row r="2793" spans="1:125" s="8" customFormat="1" ht="108" x14ac:dyDescent="0.2">
      <c r="A2793" s="77">
        <v>41509</v>
      </c>
      <c r="B2793" s="78" t="s">
        <v>2774</v>
      </c>
      <c r="C2793" s="75" t="s">
        <v>2752</v>
      </c>
      <c r="D2793" s="75" t="s">
        <v>2882</v>
      </c>
      <c r="E2793" s="75" t="str">
        <f>VLOOKUP(B2793&amp;C2793,Divipola!$C$2:$F$1138,4,FALSE)</f>
        <v>66687</v>
      </c>
      <c r="F2793" s="87"/>
      <c r="G2793" s="87"/>
      <c r="H2793" s="87"/>
      <c r="I2793" s="87">
        <v>9</v>
      </c>
      <c r="J2793" s="87">
        <v>2</v>
      </c>
      <c r="K2793" s="87"/>
      <c r="L2793" s="87">
        <v>2</v>
      </c>
      <c r="M2793" s="87"/>
      <c r="N2793" s="87"/>
      <c r="O2793" s="87"/>
      <c r="P2793" s="87"/>
      <c r="Q2793" s="87"/>
      <c r="R2793" s="87"/>
      <c r="S2793" s="87"/>
      <c r="T2793" s="87"/>
      <c r="U2793" s="88"/>
      <c r="V2793" s="89"/>
      <c r="W2793" s="96">
        <v>0</v>
      </c>
      <c r="X2793" s="71">
        <f>CU2793</f>
        <v>0</v>
      </c>
      <c r="Y2793" s="71">
        <f>CY2793</f>
        <v>0</v>
      </c>
      <c r="Z2793" s="71">
        <f>DA2793+DC2793+DE2793</f>
        <v>0</v>
      </c>
      <c r="AA2793" s="71">
        <f>CW2793</f>
        <v>0</v>
      </c>
      <c r="AB2793" s="71"/>
      <c r="AC2793" s="71">
        <v>0</v>
      </c>
      <c r="AD2793" s="71">
        <f>W2793+X2793+Y2793+Z2793+AA2793+AB2793+AC2793</f>
        <v>0</v>
      </c>
      <c r="AE2793" s="72">
        <v>0</v>
      </c>
      <c r="AF2793" s="5"/>
      <c r="AG2793" s="6"/>
      <c r="AH2793" s="27"/>
      <c r="AI2793" s="44"/>
      <c r="AJ2793" s="26"/>
      <c r="AK2793" s="5"/>
      <c r="AL2793" s="276" t="s">
        <v>5687</v>
      </c>
      <c r="AM2793" s="76"/>
      <c r="AN2793" s="76"/>
      <c r="AO2793" s="76"/>
      <c r="AP2793" s="76"/>
      <c r="AQ2793" s="76"/>
      <c r="AR2793" s="76"/>
      <c r="AS2793" s="76"/>
      <c r="AT2793" s="76"/>
      <c r="AU2793" s="76"/>
      <c r="AV2793" s="76"/>
      <c r="AW2793" s="76"/>
      <c r="AX2793" s="76">
        <f>+AW2793*600000</f>
        <v>0</v>
      </c>
      <c r="AY2793" s="76"/>
      <c r="AZ2793" s="76">
        <f>+AY2793*70000</f>
        <v>0</v>
      </c>
      <c r="BA2793" s="76"/>
      <c r="BB2793" s="76"/>
      <c r="BC2793" s="76"/>
      <c r="BD2793" s="76">
        <f>+BC2793*30000</f>
        <v>0</v>
      </c>
      <c r="BE2793" s="76"/>
      <c r="BF2793" s="76"/>
      <c r="BG2793" s="76"/>
      <c r="BH2793" s="76"/>
      <c r="BI2793" s="76"/>
      <c r="BJ2793" s="76"/>
      <c r="BK2793" s="76"/>
      <c r="BL2793" s="76">
        <f>+BK2793*31500</f>
        <v>0</v>
      </c>
      <c r="BM2793" s="76"/>
      <c r="BN2793" s="76"/>
      <c r="BO2793" s="76"/>
      <c r="BP2793" s="76"/>
      <c r="BQ2793" s="76"/>
      <c r="BR2793" s="76"/>
      <c r="BS2793" s="76"/>
      <c r="BT2793" s="76"/>
      <c r="BU2793" s="76"/>
      <c r="BV2793" s="76"/>
      <c r="BW2793" s="76"/>
      <c r="BX2793" s="76"/>
      <c r="BY2793" s="76"/>
      <c r="BZ2793" s="76"/>
      <c r="CA2793" s="76"/>
      <c r="CB2793" s="76"/>
      <c r="CC2793" s="76"/>
      <c r="CD2793" s="76"/>
      <c r="CE2793" s="76"/>
      <c r="CF2793" s="76">
        <f>+CE2793*28000</f>
        <v>0</v>
      </c>
      <c r="CG2793" s="76"/>
      <c r="CH2793" s="76">
        <f>+CG2793*22500</f>
        <v>0</v>
      </c>
      <c r="CI2793" s="76"/>
      <c r="CJ2793" s="76">
        <f>+CI2793*26000</f>
        <v>0</v>
      </c>
      <c r="CK2793" s="76"/>
      <c r="CL2793" s="76"/>
      <c r="CM2793" s="76"/>
      <c r="CN2793" s="76">
        <f>+CM2793*22000</f>
        <v>0</v>
      </c>
      <c r="CO2793" s="76"/>
      <c r="CP2793" s="76">
        <f>+CO2793*46000</f>
        <v>0</v>
      </c>
      <c r="CQ2793" s="76"/>
      <c r="CR2793" s="76">
        <f>+CQ2793*49000</f>
        <v>0</v>
      </c>
      <c r="CS2793" s="76"/>
      <c r="CT2793" s="76"/>
      <c r="CU2793" s="56">
        <f>AN2793+AP2793+AR2793+AT2793+AV2793+AX2793+AZ2793+BB2793+BD2793+BF2793+BH2793+BJ2793+BL2793+BN2793+BP2793+BR2793+BT2793+BV2793+BX2793+BZ2793+CB2793+CD2793+CF2793+CH2793+CJ2793+CL2793+CN2793+CP2793+CR2793+CT2793</f>
        <v>0</v>
      </c>
      <c r="CV2793" s="76"/>
      <c r="CW2793" s="76">
        <f>+CV2793*1100</f>
        <v>0</v>
      </c>
      <c r="CX2793" s="76"/>
      <c r="CY2793" s="76">
        <f>+CX2793*106250</f>
        <v>0</v>
      </c>
      <c r="CZ2793" s="76"/>
      <c r="DA2793" s="76">
        <f>+CZ2793*34500</f>
        <v>0</v>
      </c>
      <c r="DB2793" s="76"/>
      <c r="DC2793" s="76">
        <f>+DB2793*25000</f>
        <v>0</v>
      </c>
      <c r="DD2793" s="219"/>
      <c r="DE2793" s="219"/>
      <c r="DF2793" s="166"/>
      <c r="DG2793" s="116"/>
      <c r="DH2793" s="117"/>
      <c r="DI2793" s="24"/>
      <c r="DJ2793" s="24"/>
      <c r="DK2793" s="24"/>
      <c r="DL2793" s="24"/>
      <c r="DM2793" s="24"/>
      <c r="DN2793" s="24"/>
      <c r="DO2793" s="24"/>
      <c r="DP2793" s="24"/>
      <c r="DQ2793" s="24"/>
      <c r="DR2793" s="24"/>
      <c r="DS2793" s="24"/>
      <c r="DT2793" s="24"/>
      <c r="DU2793" s="24"/>
    </row>
    <row r="2794" spans="1:125" s="8" customFormat="1" ht="84" x14ac:dyDescent="0.2">
      <c r="A2794" s="77">
        <v>41509</v>
      </c>
      <c r="B2794" s="225" t="s">
        <v>2847</v>
      </c>
      <c r="C2794" s="227" t="s">
        <v>1722</v>
      </c>
      <c r="D2794" s="227" t="s">
        <v>2859</v>
      </c>
      <c r="E2794" s="75" t="str">
        <f>VLOOKUP(B2794&amp;C2794,Divipola!$C$2:$F$1138,4,FALSE)</f>
        <v>68377</v>
      </c>
      <c r="F2794" s="87"/>
      <c r="G2794" s="87"/>
      <c r="H2794" s="87"/>
      <c r="I2794" s="87"/>
      <c r="J2794" s="87"/>
      <c r="K2794" s="87"/>
      <c r="L2794" s="87"/>
      <c r="M2794" s="87"/>
      <c r="N2794" s="87"/>
      <c r="O2794" s="87"/>
      <c r="P2794" s="87"/>
      <c r="Q2794" s="87"/>
      <c r="R2794" s="87"/>
      <c r="S2794" s="87"/>
      <c r="T2794" s="87"/>
      <c r="U2794" s="88"/>
      <c r="V2794" s="89"/>
      <c r="W2794" s="96">
        <v>0</v>
      </c>
      <c r="X2794" s="71">
        <f>CU2794</f>
        <v>0</v>
      </c>
      <c r="Y2794" s="71">
        <f>CY2794</f>
        <v>0</v>
      </c>
      <c r="Z2794" s="71">
        <f>DA2794+DC2794+DE2794</f>
        <v>0</v>
      </c>
      <c r="AA2794" s="71">
        <f>CW2794</f>
        <v>0</v>
      </c>
      <c r="AB2794" s="71"/>
      <c r="AC2794" s="71">
        <v>0</v>
      </c>
      <c r="AD2794" s="71">
        <f>W2794+X2794+Y2794+Z2794+AA2794+AB2794+AC2794</f>
        <v>0</v>
      </c>
      <c r="AE2794" s="72">
        <v>0</v>
      </c>
      <c r="AF2794" s="5"/>
      <c r="AG2794" s="6"/>
      <c r="AH2794" s="27"/>
      <c r="AI2794" s="44"/>
      <c r="AJ2794" s="26"/>
      <c r="AK2794" s="5"/>
      <c r="AL2794" s="82" t="s">
        <v>5674</v>
      </c>
      <c r="AM2794" s="76"/>
      <c r="AN2794" s="76"/>
      <c r="AO2794" s="76"/>
      <c r="AP2794" s="76"/>
      <c r="AQ2794" s="76"/>
      <c r="AR2794" s="76"/>
      <c r="AS2794" s="76"/>
      <c r="AT2794" s="76"/>
      <c r="AU2794" s="76"/>
      <c r="AV2794" s="76"/>
      <c r="AW2794" s="76"/>
      <c r="AX2794" s="76">
        <f>+AW2794*600000</f>
        <v>0</v>
      </c>
      <c r="AY2794" s="76"/>
      <c r="AZ2794" s="76">
        <f>+AY2794*70000</f>
        <v>0</v>
      </c>
      <c r="BA2794" s="76"/>
      <c r="BB2794" s="76"/>
      <c r="BC2794" s="76"/>
      <c r="BD2794" s="76">
        <f>+BC2794*30000</f>
        <v>0</v>
      </c>
      <c r="BE2794" s="76"/>
      <c r="BF2794" s="76"/>
      <c r="BG2794" s="76"/>
      <c r="BH2794" s="76"/>
      <c r="BI2794" s="76"/>
      <c r="BJ2794" s="76"/>
      <c r="BK2794" s="76"/>
      <c r="BL2794" s="76">
        <f>+BK2794*31500</f>
        <v>0</v>
      </c>
      <c r="BM2794" s="76"/>
      <c r="BN2794" s="76"/>
      <c r="BO2794" s="76"/>
      <c r="BP2794" s="76"/>
      <c r="BQ2794" s="76"/>
      <c r="BR2794" s="76"/>
      <c r="BS2794" s="76"/>
      <c r="BT2794" s="76"/>
      <c r="BU2794" s="76"/>
      <c r="BV2794" s="76"/>
      <c r="BW2794" s="76"/>
      <c r="BX2794" s="76"/>
      <c r="BY2794" s="76"/>
      <c r="BZ2794" s="76"/>
      <c r="CA2794" s="76"/>
      <c r="CB2794" s="76"/>
      <c r="CC2794" s="76"/>
      <c r="CD2794" s="76"/>
      <c r="CE2794" s="76"/>
      <c r="CF2794" s="76">
        <f>+CE2794*28000</f>
        <v>0</v>
      </c>
      <c r="CG2794" s="76"/>
      <c r="CH2794" s="76">
        <f>+CG2794*22500</f>
        <v>0</v>
      </c>
      <c r="CI2794" s="76"/>
      <c r="CJ2794" s="76">
        <f>+CI2794*26000</f>
        <v>0</v>
      </c>
      <c r="CK2794" s="76"/>
      <c r="CL2794" s="76"/>
      <c r="CM2794" s="76"/>
      <c r="CN2794" s="76">
        <f>+CM2794*22000</f>
        <v>0</v>
      </c>
      <c r="CO2794" s="76"/>
      <c r="CP2794" s="76">
        <f>+CO2794*46000</f>
        <v>0</v>
      </c>
      <c r="CQ2794" s="76"/>
      <c r="CR2794" s="76">
        <f>+CQ2794*49000</f>
        <v>0</v>
      </c>
      <c r="CS2794" s="76"/>
      <c r="CT2794" s="76"/>
      <c r="CU2794" s="56">
        <f>AN2794+AP2794+AR2794+AT2794+AV2794+AX2794+AZ2794+BB2794+BD2794+BF2794+BH2794+BJ2794+BL2794+BN2794+BP2794+BR2794+BT2794+BV2794+BX2794+BZ2794+CB2794+CD2794+CF2794+CH2794+CJ2794+CL2794+CN2794+CP2794+CR2794+CT2794</f>
        <v>0</v>
      </c>
      <c r="CV2794" s="76"/>
      <c r="CW2794" s="76">
        <f>+CV2794*1100</f>
        <v>0</v>
      </c>
      <c r="CX2794" s="76"/>
      <c r="CY2794" s="76">
        <f>+CX2794*106250</f>
        <v>0</v>
      </c>
      <c r="CZ2794" s="76"/>
      <c r="DA2794" s="76">
        <f>+CZ2794*34500</f>
        <v>0</v>
      </c>
      <c r="DB2794" s="76"/>
      <c r="DC2794" s="76">
        <f>+DB2794*25000</f>
        <v>0</v>
      </c>
      <c r="DD2794" s="219"/>
      <c r="DE2794" s="219"/>
      <c r="DF2794" s="166"/>
      <c r="DG2794" s="116"/>
      <c r="DH2794" s="117"/>
      <c r="DI2794" s="24"/>
      <c r="DJ2794" s="24"/>
      <c r="DK2794" s="24"/>
      <c r="DL2794" s="24"/>
      <c r="DM2794" s="24"/>
      <c r="DN2794" s="24"/>
      <c r="DO2794" s="24"/>
      <c r="DP2794" s="24"/>
      <c r="DQ2794" s="24"/>
      <c r="DR2794" s="24"/>
      <c r="DS2794" s="24"/>
      <c r="DT2794" s="24"/>
      <c r="DU2794" s="24"/>
    </row>
    <row r="2795" spans="1:125" s="8" customFormat="1" ht="60" x14ac:dyDescent="0.2">
      <c r="A2795" s="353">
        <v>41509</v>
      </c>
      <c r="B2795" s="352" t="s">
        <v>2848</v>
      </c>
      <c r="C2795" s="354" t="s">
        <v>2191</v>
      </c>
      <c r="D2795" s="354" t="s">
        <v>2846</v>
      </c>
      <c r="E2795" s="75" t="str">
        <f>VLOOKUP(B2795&amp;C2795,Divipola!$C$2:$F$1138,4,FALSE)</f>
        <v>73319</v>
      </c>
      <c r="F2795" s="87"/>
      <c r="G2795" s="87"/>
      <c r="H2795" s="87"/>
      <c r="I2795" s="87"/>
      <c r="J2795" s="87"/>
      <c r="K2795" s="87"/>
      <c r="L2795" s="87"/>
      <c r="M2795" s="87"/>
      <c r="N2795" s="87"/>
      <c r="O2795" s="87"/>
      <c r="P2795" s="87"/>
      <c r="Q2795" s="87"/>
      <c r="R2795" s="87"/>
      <c r="S2795" s="87"/>
      <c r="T2795" s="87"/>
      <c r="U2795" s="88">
        <v>2</v>
      </c>
      <c r="V2795" s="89"/>
      <c r="W2795" s="96">
        <v>0</v>
      </c>
      <c r="X2795" s="71">
        <f>CU2795</f>
        <v>0</v>
      </c>
      <c r="Y2795" s="71">
        <f>CY2795</f>
        <v>0</v>
      </c>
      <c r="Z2795" s="71">
        <f>DA2795+DC2795+DE2795</f>
        <v>0</v>
      </c>
      <c r="AA2795" s="71">
        <f>CW2795</f>
        <v>0</v>
      </c>
      <c r="AB2795" s="71"/>
      <c r="AC2795" s="71">
        <v>0</v>
      </c>
      <c r="AD2795" s="71">
        <f>W2795+X2795+Y2795+Z2795+AA2795+AB2795+AC2795</f>
        <v>0</v>
      </c>
      <c r="AE2795" s="72">
        <v>0</v>
      </c>
      <c r="AF2795" s="5"/>
      <c r="AG2795" s="6"/>
      <c r="AH2795" s="27"/>
      <c r="AI2795" s="44"/>
      <c r="AJ2795" s="26"/>
      <c r="AK2795" s="5"/>
      <c r="AL2795" s="82" t="s">
        <v>5672</v>
      </c>
      <c r="AM2795" s="76"/>
      <c r="AN2795" s="76"/>
      <c r="AO2795" s="76"/>
      <c r="AP2795" s="76"/>
      <c r="AQ2795" s="76"/>
      <c r="AR2795" s="76"/>
      <c r="AS2795" s="76"/>
      <c r="AT2795" s="76"/>
      <c r="AU2795" s="76"/>
      <c r="AV2795" s="76"/>
      <c r="AW2795" s="76"/>
      <c r="AX2795" s="76">
        <f>+AW2795*600000</f>
        <v>0</v>
      </c>
      <c r="AY2795" s="76"/>
      <c r="AZ2795" s="76">
        <f>+AY2795*70000</f>
        <v>0</v>
      </c>
      <c r="BA2795" s="76"/>
      <c r="BB2795" s="76"/>
      <c r="BC2795" s="76"/>
      <c r="BD2795" s="76">
        <f>+BC2795*30000</f>
        <v>0</v>
      </c>
      <c r="BE2795" s="76"/>
      <c r="BF2795" s="76"/>
      <c r="BG2795" s="76"/>
      <c r="BH2795" s="76"/>
      <c r="BI2795" s="76"/>
      <c r="BJ2795" s="76"/>
      <c r="BK2795" s="76"/>
      <c r="BL2795" s="76">
        <f>+BK2795*31500</f>
        <v>0</v>
      </c>
      <c r="BM2795" s="76"/>
      <c r="BN2795" s="76"/>
      <c r="BO2795" s="76"/>
      <c r="BP2795" s="76"/>
      <c r="BQ2795" s="76"/>
      <c r="BR2795" s="76"/>
      <c r="BS2795" s="76"/>
      <c r="BT2795" s="76"/>
      <c r="BU2795" s="76"/>
      <c r="BV2795" s="76"/>
      <c r="BW2795" s="76"/>
      <c r="BX2795" s="76"/>
      <c r="BY2795" s="76"/>
      <c r="BZ2795" s="76"/>
      <c r="CA2795" s="76"/>
      <c r="CB2795" s="76"/>
      <c r="CC2795" s="76"/>
      <c r="CD2795" s="76"/>
      <c r="CE2795" s="76"/>
      <c r="CF2795" s="76">
        <f>+CE2795*28000</f>
        <v>0</v>
      </c>
      <c r="CG2795" s="76"/>
      <c r="CH2795" s="76">
        <f>+CG2795*22500</f>
        <v>0</v>
      </c>
      <c r="CI2795" s="76"/>
      <c r="CJ2795" s="76">
        <f>+CI2795*26000</f>
        <v>0</v>
      </c>
      <c r="CK2795" s="76"/>
      <c r="CL2795" s="76"/>
      <c r="CM2795" s="76"/>
      <c r="CN2795" s="76">
        <f>+CM2795*22000</f>
        <v>0</v>
      </c>
      <c r="CO2795" s="76"/>
      <c r="CP2795" s="76">
        <f>+CO2795*46000</f>
        <v>0</v>
      </c>
      <c r="CQ2795" s="76"/>
      <c r="CR2795" s="76">
        <f>+CQ2795*49000</f>
        <v>0</v>
      </c>
      <c r="CS2795" s="76"/>
      <c r="CT2795" s="76"/>
      <c r="CU2795" s="56">
        <f>AN2795+AP2795+AR2795+AT2795+AV2795+AX2795+AZ2795+BB2795+BD2795+BF2795+BH2795+BJ2795+BL2795+BN2795+BP2795+BR2795+BT2795+BV2795+BX2795+BZ2795+CB2795+CD2795+CF2795+CH2795+CJ2795+CL2795+CN2795+CP2795+CR2795+CT2795</f>
        <v>0</v>
      </c>
      <c r="CV2795" s="76"/>
      <c r="CW2795" s="76">
        <f>+CV2795*1100</f>
        <v>0</v>
      </c>
      <c r="CX2795" s="76"/>
      <c r="CY2795" s="76">
        <f>+CX2795*106250</f>
        <v>0</v>
      </c>
      <c r="CZ2795" s="76"/>
      <c r="DA2795" s="76">
        <f>+CZ2795*34500</f>
        <v>0</v>
      </c>
      <c r="DB2795" s="76"/>
      <c r="DC2795" s="76">
        <f>+DB2795*25000</f>
        <v>0</v>
      </c>
      <c r="DD2795" s="219"/>
      <c r="DE2795" s="219"/>
      <c r="DF2795" s="166"/>
      <c r="DG2795" s="116"/>
      <c r="DH2795" s="117"/>
      <c r="DI2795" s="24"/>
      <c r="DJ2795" s="24"/>
      <c r="DK2795" s="24"/>
      <c r="DL2795" s="24"/>
      <c r="DM2795" s="24"/>
      <c r="DN2795" s="24"/>
      <c r="DO2795" s="24"/>
      <c r="DP2795" s="24"/>
      <c r="DQ2795" s="24"/>
      <c r="DR2795" s="24"/>
      <c r="DS2795" s="24"/>
      <c r="DT2795" s="24"/>
      <c r="DU2795" s="24"/>
    </row>
    <row r="2796" spans="1:125" s="8" customFormat="1" ht="36" x14ac:dyDescent="0.2">
      <c r="A2796" s="353">
        <v>41509</v>
      </c>
      <c r="B2796" s="352" t="s">
        <v>2848</v>
      </c>
      <c r="C2796" s="354" t="s">
        <v>2191</v>
      </c>
      <c r="D2796" s="354" t="s">
        <v>2846</v>
      </c>
      <c r="E2796" s="75" t="str">
        <f>VLOOKUP(B2796&amp;C2796,Divipola!$C$2:$F$1138,4,FALSE)</f>
        <v>73319</v>
      </c>
      <c r="F2796" s="87"/>
      <c r="G2796" s="87"/>
      <c r="H2796" s="87"/>
      <c r="I2796" s="87"/>
      <c r="J2796" s="87"/>
      <c r="K2796" s="87"/>
      <c r="L2796" s="87"/>
      <c r="M2796" s="87"/>
      <c r="N2796" s="87"/>
      <c r="O2796" s="87"/>
      <c r="P2796" s="87"/>
      <c r="Q2796" s="87"/>
      <c r="R2796" s="87"/>
      <c r="S2796" s="87"/>
      <c r="T2796" s="87"/>
      <c r="U2796" s="88">
        <v>3</v>
      </c>
      <c r="V2796" s="89"/>
      <c r="W2796" s="96">
        <v>0</v>
      </c>
      <c r="X2796" s="71">
        <f>CU2796</f>
        <v>0</v>
      </c>
      <c r="Y2796" s="71">
        <f>CY2796</f>
        <v>0</v>
      </c>
      <c r="Z2796" s="71">
        <f>DA2796+DC2796+DE2796</f>
        <v>0</v>
      </c>
      <c r="AA2796" s="71">
        <f>CW2796</f>
        <v>0</v>
      </c>
      <c r="AB2796" s="71"/>
      <c r="AC2796" s="71">
        <v>0</v>
      </c>
      <c r="AD2796" s="71">
        <f>W2796+X2796+Y2796+Z2796+AA2796+AB2796+AC2796</f>
        <v>0</v>
      </c>
      <c r="AE2796" s="72">
        <v>0</v>
      </c>
      <c r="AF2796" s="5"/>
      <c r="AG2796" s="6"/>
      <c r="AH2796" s="27"/>
      <c r="AI2796" s="44"/>
      <c r="AJ2796" s="26"/>
      <c r="AK2796" s="5"/>
      <c r="AL2796" s="82" t="s">
        <v>5673</v>
      </c>
      <c r="AM2796" s="76"/>
      <c r="AN2796" s="76"/>
      <c r="AO2796" s="76"/>
      <c r="AP2796" s="76"/>
      <c r="AQ2796" s="76"/>
      <c r="AR2796" s="76"/>
      <c r="AS2796" s="76"/>
      <c r="AT2796" s="76"/>
      <c r="AU2796" s="76"/>
      <c r="AV2796" s="76"/>
      <c r="AW2796" s="76"/>
      <c r="AX2796" s="76">
        <f>+AW2796*600000</f>
        <v>0</v>
      </c>
      <c r="AY2796" s="76"/>
      <c r="AZ2796" s="76">
        <f>+AY2796*70000</f>
        <v>0</v>
      </c>
      <c r="BA2796" s="76"/>
      <c r="BB2796" s="76"/>
      <c r="BC2796" s="76"/>
      <c r="BD2796" s="76">
        <f>+BC2796*30000</f>
        <v>0</v>
      </c>
      <c r="BE2796" s="76"/>
      <c r="BF2796" s="76"/>
      <c r="BG2796" s="76"/>
      <c r="BH2796" s="76"/>
      <c r="BI2796" s="76"/>
      <c r="BJ2796" s="76"/>
      <c r="BK2796" s="76"/>
      <c r="BL2796" s="76">
        <f>+BK2796*31500</f>
        <v>0</v>
      </c>
      <c r="BM2796" s="76"/>
      <c r="BN2796" s="76"/>
      <c r="BO2796" s="76"/>
      <c r="BP2796" s="76"/>
      <c r="BQ2796" s="76"/>
      <c r="BR2796" s="76"/>
      <c r="BS2796" s="76"/>
      <c r="BT2796" s="76"/>
      <c r="BU2796" s="76"/>
      <c r="BV2796" s="76"/>
      <c r="BW2796" s="76"/>
      <c r="BX2796" s="76"/>
      <c r="BY2796" s="76"/>
      <c r="BZ2796" s="76"/>
      <c r="CA2796" s="76"/>
      <c r="CB2796" s="76"/>
      <c r="CC2796" s="76"/>
      <c r="CD2796" s="76"/>
      <c r="CE2796" s="76"/>
      <c r="CF2796" s="76">
        <f>+CE2796*28000</f>
        <v>0</v>
      </c>
      <c r="CG2796" s="76"/>
      <c r="CH2796" s="76">
        <f>+CG2796*22500</f>
        <v>0</v>
      </c>
      <c r="CI2796" s="76"/>
      <c r="CJ2796" s="76">
        <f>+CI2796*26000</f>
        <v>0</v>
      </c>
      <c r="CK2796" s="76"/>
      <c r="CL2796" s="76"/>
      <c r="CM2796" s="76"/>
      <c r="CN2796" s="76">
        <f>+CM2796*22000</f>
        <v>0</v>
      </c>
      <c r="CO2796" s="76"/>
      <c r="CP2796" s="76">
        <f>+CO2796*46000</f>
        <v>0</v>
      </c>
      <c r="CQ2796" s="76"/>
      <c r="CR2796" s="76">
        <f>+CQ2796*49000</f>
        <v>0</v>
      </c>
      <c r="CS2796" s="76"/>
      <c r="CT2796" s="76"/>
      <c r="CU2796" s="56">
        <f>AN2796+AP2796+AR2796+AT2796+AV2796+AX2796+AZ2796+BB2796+BD2796+BF2796+BH2796+BJ2796+BL2796+BN2796+BP2796+BR2796+BT2796+BV2796+BX2796+BZ2796+CB2796+CD2796+CF2796+CH2796+CJ2796+CL2796+CN2796+CP2796+CR2796+CT2796</f>
        <v>0</v>
      </c>
      <c r="CV2796" s="76"/>
      <c r="CW2796" s="76">
        <f>+CV2796*1100</f>
        <v>0</v>
      </c>
      <c r="CX2796" s="76"/>
      <c r="CY2796" s="76">
        <f>+CX2796*106250</f>
        <v>0</v>
      </c>
      <c r="CZ2796" s="76"/>
      <c r="DA2796" s="76">
        <f>+CZ2796*34500</f>
        <v>0</v>
      </c>
      <c r="DB2796" s="76"/>
      <c r="DC2796" s="76">
        <f>+DB2796*25000</f>
        <v>0</v>
      </c>
      <c r="DD2796" s="219"/>
      <c r="DE2796" s="219"/>
      <c r="DF2796" s="166"/>
      <c r="DG2796" s="116"/>
      <c r="DH2796" s="117"/>
      <c r="DI2796" s="24"/>
      <c r="DJ2796" s="24"/>
      <c r="DK2796" s="24"/>
      <c r="DL2796" s="24"/>
      <c r="DM2796" s="24"/>
      <c r="DN2796" s="24"/>
      <c r="DO2796" s="24"/>
      <c r="DP2796" s="24"/>
      <c r="DQ2796" s="24"/>
      <c r="DR2796" s="24"/>
      <c r="DS2796" s="24"/>
      <c r="DT2796" s="24"/>
      <c r="DU2796" s="24"/>
    </row>
    <row r="2797" spans="1:125" s="8" customFormat="1" ht="84" x14ac:dyDescent="0.2">
      <c r="A2797" s="77">
        <v>41509</v>
      </c>
      <c r="B2797" s="78" t="s">
        <v>2848</v>
      </c>
      <c r="C2797" s="75" t="s">
        <v>2755</v>
      </c>
      <c r="D2797" s="75" t="s">
        <v>2849</v>
      </c>
      <c r="E2797" s="75" t="str">
        <f>VLOOKUP(B2797&amp;C2797,Divipola!$C$2:$F$1138,4,FALSE)</f>
        <v>73001</v>
      </c>
      <c r="F2797" s="87">
        <v>1</v>
      </c>
      <c r="G2797" s="87"/>
      <c r="H2797" s="87"/>
      <c r="I2797" s="87">
        <v>1</v>
      </c>
      <c r="J2797" s="87"/>
      <c r="K2797" s="87"/>
      <c r="L2797" s="87"/>
      <c r="M2797" s="87"/>
      <c r="N2797" s="87"/>
      <c r="O2797" s="87"/>
      <c r="P2797" s="87"/>
      <c r="Q2797" s="87"/>
      <c r="R2797" s="87"/>
      <c r="S2797" s="87"/>
      <c r="T2797" s="87"/>
      <c r="U2797" s="88"/>
      <c r="V2797" s="89"/>
      <c r="W2797" s="96">
        <v>0</v>
      </c>
      <c r="X2797" s="71">
        <f>CU2797</f>
        <v>0</v>
      </c>
      <c r="Y2797" s="71">
        <f>CY2797</f>
        <v>0</v>
      </c>
      <c r="Z2797" s="71">
        <f>DA2797+DC2797+DE2797</f>
        <v>0</v>
      </c>
      <c r="AA2797" s="71">
        <f>CW2797</f>
        <v>0</v>
      </c>
      <c r="AB2797" s="71"/>
      <c r="AC2797" s="71">
        <v>0</v>
      </c>
      <c r="AD2797" s="71">
        <f>W2797+X2797+Y2797+Z2797+AA2797+AB2797+AC2797</f>
        <v>0</v>
      </c>
      <c r="AE2797" s="72">
        <v>0</v>
      </c>
      <c r="AF2797" s="5"/>
      <c r="AG2797" s="6"/>
      <c r="AH2797" s="27"/>
      <c r="AI2797" s="44"/>
      <c r="AJ2797" s="26"/>
      <c r="AK2797" s="5"/>
      <c r="AL2797" s="274" t="s">
        <v>5681</v>
      </c>
      <c r="AM2797" s="76"/>
      <c r="AN2797" s="76"/>
      <c r="AO2797" s="76"/>
      <c r="AP2797" s="76"/>
      <c r="AQ2797" s="76"/>
      <c r="AR2797" s="76"/>
      <c r="AS2797" s="76"/>
      <c r="AT2797" s="76"/>
      <c r="AU2797" s="76"/>
      <c r="AV2797" s="76"/>
      <c r="AW2797" s="76"/>
      <c r="AX2797" s="76">
        <f>+AW2797*600000</f>
        <v>0</v>
      </c>
      <c r="AY2797" s="76"/>
      <c r="AZ2797" s="76">
        <f>+AY2797*70000</f>
        <v>0</v>
      </c>
      <c r="BA2797" s="76"/>
      <c r="BB2797" s="76"/>
      <c r="BC2797" s="76"/>
      <c r="BD2797" s="76">
        <f>+BC2797*30000</f>
        <v>0</v>
      </c>
      <c r="BE2797" s="76"/>
      <c r="BF2797" s="76"/>
      <c r="BG2797" s="76"/>
      <c r="BH2797" s="76"/>
      <c r="BI2797" s="76"/>
      <c r="BJ2797" s="76"/>
      <c r="BK2797" s="76"/>
      <c r="BL2797" s="76">
        <f>+BK2797*31500</f>
        <v>0</v>
      </c>
      <c r="BM2797" s="76"/>
      <c r="BN2797" s="76"/>
      <c r="BO2797" s="76"/>
      <c r="BP2797" s="76"/>
      <c r="BQ2797" s="76"/>
      <c r="BR2797" s="76"/>
      <c r="BS2797" s="76"/>
      <c r="BT2797" s="76"/>
      <c r="BU2797" s="76"/>
      <c r="BV2797" s="76"/>
      <c r="BW2797" s="76"/>
      <c r="BX2797" s="76"/>
      <c r="BY2797" s="76"/>
      <c r="BZ2797" s="76"/>
      <c r="CA2797" s="76"/>
      <c r="CB2797" s="76"/>
      <c r="CC2797" s="76"/>
      <c r="CD2797" s="76"/>
      <c r="CE2797" s="76"/>
      <c r="CF2797" s="76">
        <f>+CE2797*28000</f>
        <v>0</v>
      </c>
      <c r="CG2797" s="76"/>
      <c r="CH2797" s="76">
        <f>+CG2797*22500</f>
        <v>0</v>
      </c>
      <c r="CI2797" s="76"/>
      <c r="CJ2797" s="76">
        <f>+CI2797*26000</f>
        <v>0</v>
      </c>
      <c r="CK2797" s="76"/>
      <c r="CL2797" s="76"/>
      <c r="CM2797" s="76"/>
      <c r="CN2797" s="76">
        <f>+CM2797*22000</f>
        <v>0</v>
      </c>
      <c r="CO2797" s="76"/>
      <c r="CP2797" s="76">
        <f>+CO2797*46000</f>
        <v>0</v>
      </c>
      <c r="CQ2797" s="76"/>
      <c r="CR2797" s="76">
        <f>+CQ2797*49000</f>
        <v>0</v>
      </c>
      <c r="CS2797" s="76"/>
      <c r="CT2797" s="76"/>
      <c r="CU2797" s="56">
        <f>AN2797+AP2797+AR2797+AT2797+AV2797+AX2797+AZ2797+BB2797+BD2797+BF2797+BH2797+BJ2797+BL2797+BN2797+BP2797+BR2797+BT2797+BV2797+BX2797+BZ2797+CB2797+CD2797+CF2797+CH2797+CJ2797+CL2797+CN2797+CP2797+CR2797+CT2797</f>
        <v>0</v>
      </c>
      <c r="CV2797" s="76"/>
      <c r="CW2797" s="76">
        <f>+CV2797*1100</f>
        <v>0</v>
      </c>
      <c r="CX2797" s="76"/>
      <c r="CY2797" s="76">
        <f>+CX2797*106250</f>
        <v>0</v>
      </c>
      <c r="CZ2797" s="76"/>
      <c r="DA2797" s="76">
        <f>+CZ2797*34500</f>
        <v>0</v>
      </c>
      <c r="DB2797" s="76"/>
      <c r="DC2797" s="76">
        <f>+DB2797*25000</f>
        <v>0</v>
      </c>
      <c r="DD2797" s="219"/>
      <c r="DE2797" s="219"/>
      <c r="DF2797" s="166"/>
      <c r="DG2797" s="116"/>
      <c r="DH2797" s="117"/>
      <c r="DI2797" s="24"/>
      <c r="DJ2797" s="24"/>
      <c r="DK2797" s="24"/>
      <c r="DL2797" s="24"/>
      <c r="DM2797" s="24"/>
      <c r="DN2797" s="24"/>
      <c r="DO2797" s="24"/>
      <c r="DP2797" s="24"/>
      <c r="DQ2797" s="24"/>
      <c r="DR2797" s="24"/>
      <c r="DS2797" s="24"/>
      <c r="DT2797" s="24"/>
      <c r="DU2797" s="24"/>
    </row>
    <row r="2798" spans="1:125" s="8" customFormat="1" ht="48" x14ac:dyDescent="0.2">
      <c r="A2798" s="77">
        <v>41509</v>
      </c>
      <c r="B2798" s="78" t="s">
        <v>2848</v>
      </c>
      <c r="C2798" s="75" t="s">
        <v>1884</v>
      </c>
      <c r="D2798" s="75" t="s">
        <v>2846</v>
      </c>
      <c r="E2798" s="75" t="str">
        <f>VLOOKUP(B2798&amp;C2798,Divipola!$C$2:$F$1138,4,FALSE)</f>
        <v>73408</v>
      </c>
      <c r="F2798" s="87"/>
      <c r="G2798" s="87"/>
      <c r="H2798" s="87"/>
      <c r="I2798" s="87"/>
      <c r="J2798" s="87"/>
      <c r="K2798" s="87"/>
      <c r="L2798" s="87"/>
      <c r="M2798" s="87"/>
      <c r="N2798" s="87"/>
      <c r="O2798" s="87"/>
      <c r="P2798" s="87"/>
      <c r="Q2798" s="87"/>
      <c r="R2798" s="87"/>
      <c r="S2798" s="87"/>
      <c r="T2798" s="87"/>
      <c r="U2798" s="88">
        <v>5</v>
      </c>
      <c r="V2798" s="89"/>
      <c r="W2798" s="96">
        <v>0</v>
      </c>
      <c r="X2798" s="71">
        <f>CU2798</f>
        <v>0</v>
      </c>
      <c r="Y2798" s="71">
        <f>CY2798</f>
        <v>0</v>
      </c>
      <c r="Z2798" s="71">
        <f>DA2798+DC2798+DE2798</f>
        <v>0</v>
      </c>
      <c r="AA2798" s="71">
        <f>CW2798</f>
        <v>0</v>
      </c>
      <c r="AB2798" s="71"/>
      <c r="AC2798" s="71">
        <v>0</v>
      </c>
      <c r="AD2798" s="71">
        <f>W2798+X2798+Y2798+Z2798+AA2798+AB2798+AC2798</f>
        <v>0</v>
      </c>
      <c r="AE2798" s="72">
        <v>0</v>
      </c>
      <c r="AF2798" s="5"/>
      <c r="AG2798" s="6"/>
      <c r="AH2798" s="27"/>
      <c r="AI2798" s="44"/>
      <c r="AJ2798" s="26"/>
      <c r="AK2798" s="5"/>
      <c r="AL2798" s="82" t="s">
        <v>5671</v>
      </c>
      <c r="AM2798" s="76"/>
      <c r="AN2798" s="76"/>
      <c r="AO2798" s="76"/>
      <c r="AP2798" s="76"/>
      <c r="AQ2798" s="76"/>
      <c r="AR2798" s="76"/>
      <c r="AS2798" s="76"/>
      <c r="AT2798" s="76"/>
      <c r="AU2798" s="76"/>
      <c r="AV2798" s="76"/>
      <c r="AW2798" s="76"/>
      <c r="AX2798" s="76">
        <f>+AW2798*600000</f>
        <v>0</v>
      </c>
      <c r="AY2798" s="76"/>
      <c r="AZ2798" s="76">
        <f>+AY2798*70000</f>
        <v>0</v>
      </c>
      <c r="BA2798" s="76"/>
      <c r="BB2798" s="76"/>
      <c r="BC2798" s="76"/>
      <c r="BD2798" s="76">
        <f>+BC2798*30000</f>
        <v>0</v>
      </c>
      <c r="BE2798" s="76"/>
      <c r="BF2798" s="76"/>
      <c r="BG2798" s="76"/>
      <c r="BH2798" s="76"/>
      <c r="BI2798" s="76"/>
      <c r="BJ2798" s="76"/>
      <c r="BK2798" s="76"/>
      <c r="BL2798" s="76">
        <f>+BK2798*31500</f>
        <v>0</v>
      </c>
      <c r="BM2798" s="76"/>
      <c r="BN2798" s="76"/>
      <c r="BO2798" s="76"/>
      <c r="BP2798" s="76"/>
      <c r="BQ2798" s="76"/>
      <c r="BR2798" s="76"/>
      <c r="BS2798" s="76"/>
      <c r="BT2798" s="76"/>
      <c r="BU2798" s="76"/>
      <c r="BV2798" s="76"/>
      <c r="BW2798" s="76"/>
      <c r="BX2798" s="76"/>
      <c r="BY2798" s="76"/>
      <c r="BZ2798" s="76"/>
      <c r="CA2798" s="76"/>
      <c r="CB2798" s="76"/>
      <c r="CC2798" s="76"/>
      <c r="CD2798" s="76"/>
      <c r="CE2798" s="76"/>
      <c r="CF2798" s="76">
        <f>+CE2798*28000</f>
        <v>0</v>
      </c>
      <c r="CG2798" s="76"/>
      <c r="CH2798" s="76">
        <f>+CG2798*22500</f>
        <v>0</v>
      </c>
      <c r="CI2798" s="76"/>
      <c r="CJ2798" s="76">
        <f>+CI2798*26000</f>
        <v>0</v>
      </c>
      <c r="CK2798" s="76"/>
      <c r="CL2798" s="76"/>
      <c r="CM2798" s="76"/>
      <c r="CN2798" s="76">
        <f>+CM2798*22000</f>
        <v>0</v>
      </c>
      <c r="CO2798" s="76"/>
      <c r="CP2798" s="76">
        <f>+CO2798*46000</f>
        <v>0</v>
      </c>
      <c r="CQ2798" s="76"/>
      <c r="CR2798" s="76">
        <f>+CQ2798*49000</f>
        <v>0</v>
      </c>
      <c r="CS2798" s="76"/>
      <c r="CT2798" s="76"/>
      <c r="CU2798" s="56">
        <f>AN2798+AP2798+AR2798+AT2798+AV2798+AX2798+AZ2798+BB2798+BD2798+BF2798+BH2798+BJ2798+BL2798+BN2798+BP2798+BR2798+BT2798+BV2798+BX2798+BZ2798+CB2798+CD2798+CF2798+CH2798+CJ2798+CL2798+CN2798+CP2798+CR2798+CT2798</f>
        <v>0</v>
      </c>
      <c r="CV2798" s="76"/>
      <c r="CW2798" s="76">
        <f>+CV2798*1100</f>
        <v>0</v>
      </c>
      <c r="CX2798" s="76"/>
      <c r="CY2798" s="76">
        <f>+CX2798*106250</f>
        <v>0</v>
      </c>
      <c r="CZ2798" s="76"/>
      <c r="DA2798" s="76">
        <f>+CZ2798*34500</f>
        <v>0</v>
      </c>
      <c r="DB2798" s="76"/>
      <c r="DC2798" s="76">
        <f>+DB2798*25000</f>
        <v>0</v>
      </c>
      <c r="DD2798" s="219"/>
      <c r="DE2798" s="219"/>
      <c r="DF2798" s="166"/>
      <c r="DG2798" s="116"/>
      <c r="DH2798" s="117"/>
      <c r="DI2798" s="24"/>
      <c r="DJ2798" s="24"/>
      <c r="DK2798" s="24"/>
      <c r="DL2798" s="24"/>
      <c r="DM2798" s="24"/>
      <c r="DN2798" s="24"/>
      <c r="DO2798" s="24"/>
      <c r="DP2798" s="24"/>
      <c r="DQ2798" s="24"/>
      <c r="DR2798" s="24"/>
      <c r="DS2798" s="24"/>
      <c r="DT2798" s="24"/>
      <c r="DU2798" s="24"/>
    </row>
    <row r="2799" spans="1:125" s="8" customFormat="1" ht="60" x14ac:dyDescent="0.2">
      <c r="A2799" s="77">
        <v>41509</v>
      </c>
      <c r="B2799" s="78" t="s">
        <v>2848</v>
      </c>
      <c r="C2799" s="75" t="s">
        <v>2077</v>
      </c>
      <c r="D2799" s="75" t="s">
        <v>4871</v>
      </c>
      <c r="E2799" s="75" t="str">
        <f>VLOOKUP(B2799&amp;C2799,Divipola!$C$2:$F$1138,4,FALSE)</f>
        <v>73411</v>
      </c>
      <c r="F2799" s="87"/>
      <c r="G2799" s="87"/>
      <c r="H2799" s="87"/>
      <c r="I2799" s="87">
        <v>5</v>
      </c>
      <c r="J2799" s="87">
        <v>1</v>
      </c>
      <c r="K2799" s="87"/>
      <c r="L2799" s="87">
        <v>1</v>
      </c>
      <c r="M2799" s="87"/>
      <c r="N2799" s="87"/>
      <c r="O2799" s="87"/>
      <c r="P2799" s="87"/>
      <c r="Q2799" s="87"/>
      <c r="R2799" s="87"/>
      <c r="S2799" s="87"/>
      <c r="T2799" s="87"/>
      <c r="U2799" s="88"/>
      <c r="V2799" s="89"/>
      <c r="W2799" s="96">
        <v>0</v>
      </c>
      <c r="X2799" s="71">
        <f>CU2799</f>
        <v>0</v>
      </c>
      <c r="Y2799" s="71">
        <f>CY2799</f>
        <v>0</v>
      </c>
      <c r="Z2799" s="71">
        <f>DA2799+DC2799+DE2799</f>
        <v>0</v>
      </c>
      <c r="AA2799" s="71">
        <f>CW2799</f>
        <v>0</v>
      </c>
      <c r="AB2799" s="71"/>
      <c r="AC2799" s="71">
        <v>0</v>
      </c>
      <c r="AD2799" s="71">
        <f>W2799+X2799+Y2799+Z2799+AA2799+AB2799+AC2799</f>
        <v>0</v>
      </c>
      <c r="AE2799" s="72">
        <v>0</v>
      </c>
      <c r="AF2799" s="5"/>
      <c r="AG2799" s="6"/>
      <c r="AH2799" s="27"/>
      <c r="AI2799" s="44"/>
      <c r="AJ2799" s="26"/>
      <c r="AK2799" s="5"/>
      <c r="AL2799" s="82" t="s">
        <v>5678</v>
      </c>
      <c r="AM2799" s="76"/>
      <c r="AN2799" s="76"/>
      <c r="AO2799" s="76"/>
      <c r="AP2799" s="76"/>
      <c r="AQ2799" s="76"/>
      <c r="AR2799" s="76"/>
      <c r="AS2799" s="76"/>
      <c r="AT2799" s="76"/>
      <c r="AU2799" s="76"/>
      <c r="AV2799" s="76"/>
      <c r="AW2799" s="76"/>
      <c r="AX2799" s="76">
        <f>+AW2799*600000</f>
        <v>0</v>
      </c>
      <c r="AY2799" s="76"/>
      <c r="AZ2799" s="76">
        <f>+AY2799*70000</f>
        <v>0</v>
      </c>
      <c r="BA2799" s="76"/>
      <c r="BB2799" s="76"/>
      <c r="BC2799" s="76"/>
      <c r="BD2799" s="76">
        <f>+BC2799*30000</f>
        <v>0</v>
      </c>
      <c r="BE2799" s="76"/>
      <c r="BF2799" s="76"/>
      <c r="BG2799" s="76"/>
      <c r="BH2799" s="76"/>
      <c r="BI2799" s="76"/>
      <c r="BJ2799" s="76"/>
      <c r="BK2799" s="76"/>
      <c r="BL2799" s="76">
        <f>+BK2799*31500</f>
        <v>0</v>
      </c>
      <c r="BM2799" s="76"/>
      <c r="BN2799" s="76"/>
      <c r="BO2799" s="76"/>
      <c r="BP2799" s="76"/>
      <c r="BQ2799" s="76"/>
      <c r="BR2799" s="76"/>
      <c r="BS2799" s="76"/>
      <c r="BT2799" s="76"/>
      <c r="BU2799" s="76"/>
      <c r="BV2799" s="76"/>
      <c r="BW2799" s="76"/>
      <c r="BX2799" s="76"/>
      <c r="BY2799" s="76"/>
      <c r="BZ2799" s="76"/>
      <c r="CA2799" s="76"/>
      <c r="CB2799" s="76"/>
      <c r="CC2799" s="76"/>
      <c r="CD2799" s="76"/>
      <c r="CE2799" s="76"/>
      <c r="CF2799" s="76">
        <f>+CE2799*28000</f>
        <v>0</v>
      </c>
      <c r="CG2799" s="76"/>
      <c r="CH2799" s="76">
        <f>+CG2799*22500</f>
        <v>0</v>
      </c>
      <c r="CI2799" s="76"/>
      <c r="CJ2799" s="76">
        <f>+CI2799*26000</f>
        <v>0</v>
      </c>
      <c r="CK2799" s="76"/>
      <c r="CL2799" s="76"/>
      <c r="CM2799" s="76"/>
      <c r="CN2799" s="76">
        <f>+CM2799*22000</f>
        <v>0</v>
      </c>
      <c r="CO2799" s="76"/>
      <c r="CP2799" s="76">
        <f>+CO2799*46000</f>
        <v>0</v>
      </c>
      <c r="CQ2799" s="76"/>
      <c r="CR2799" s="76">
        <f>+CQ2799*49000</f>
        <v>0</v>
      </c>
      <c r="CS2799" s="76"/>
      <c r="CT2799" s="76"/>
      <c r="CU2799" s="56">
        <f>AN2799+AP2799+AR2799+AT2799+AV2799+AX2799+AZ2799+BB2799+BD2799+BF2799+BH2799+BJ2799+BL2799+BN2799+BP2799+BR2799+BT2799+BV2799+BX2799+BZ2799+CB2799+CD2799+CF2799+CH2799+CJ2799+CL2799+CN2799+CP2799+CR2799+CT2799</f>
        <v>0</v>
      </c>
      <c r="CV2799" s="76"/>
      <c r="CW2799" s="76">
        <f>+CV2799*1100</f>
        <v>0</v>
      </c>
      <c r="CX2799" s="76"/>
      <c r="CY2799" s="76">
        <f>+CX2799*106250</f>
        <v>0</v>
      </c>
      <c r="CZ2799" s="76"/>
      <c r="DA2799" s="76">
        <f>+CZ2799*34500</f>
        <v>0</v>
      </c>
      <c r="DB2799" s="76"/>
      <c r="DC2799" s="76">
        <f>+DB2799*25000</f>
        <v>0</v>
      </c>
      <c r="DD2799" s="219"/>
      <c r="DE2799" s="219"/>
      <c r="DF2799" s="166"/>
      <c r="DG2799" s="116"/>
      <c r="DH2799" s="117"/>
      <c r="DI2799" s="24"/>
      <c r="DJ2799" s="24"/>
      <c r="DK2799" s="24"/>
      <c r="DL2799" s="24"/>
      <c r="DM2799" s="24"/>
      <c r="DN2799" s="24"/>
      <c r="DO2799" s="24"/>
      <c r="DP2799" s="24"/>
      <c r="DQ2799" s="24"/>
      <c r="DR2799" s="24"/>
      <c r="DS2799" s="24"/>
      <c r="DT2799" s="24"/>
      <c r="DU2799" s="24"/>
    </row>
    <row r="2800" spans="1:125" s="8" customFormat="1" ht="48" x14ac:dyDescent="0.2">
      <c r="A2800" s="77">
        <v>41510</v>
      </c>
      <c r="B2800" s="78" t="s">
        <v>2661</v>
      </c>
      <c r="C2800" s="75" t="s">
        <v>2169</v>
      </c>
      <c r="D2800" s="75" t="s">
        <v>2846</v>
      </c>
      <c r="E2800" s="75" t="str">
        <f>VLOOKUP(B2800&amp;C2800,Divipola!$C$2:$F$1138,4,FALSE)</f>
        <v>41001</v>
      </c>
      <c r="F2800" s="87"/>
      <c r="G2800" s="87"/>
      <c r="H2800" s="87"/>
      <c r="I2800" s="87"/>
      <c r="J2800" s="87"/>
      <c r="K2800" s="87"/>
      <c r="L2800" s="87"/>
      <c r="M2800" s="87"/>
      <c r="N2800" s="87"/>
      <c r="O2800" s="87"/>
      <c r="P2800" s="87"/>
      <c r="Q2800" s="87"/>
      <c r="R2800" s="87"/>
      <c r="S2800" s="87"/>
      <c r="T2800" s="87"/>
      <c r="U2800" s="88">
        <v>1</v>
      </c>
      <c r="V2800" s="89"/>
      <c r="W2800" s="96">
        <v>0</v>
      </c>
      <c r="X2800" s="71">
        <f>CU2800</f>
        <v>0</v>
      </c>
      <c r="Y2800" s="71">
        <f>CY2800</f>
        <v>0</v>
      </c>
      <c r="Z2800" s="71">
        <f>DA2800+DC2800+DE2800</f>
        <v>0</v>
      </c>
      <c r="AA2800" s="71">
        <f>CW2800</f>
        <v>0</v>
      </c>
      <c r="AB2800" s="71"/>
      <c r="AC2800" s="71">
        <v>0</v>
      </c>
      <c r="AD2800" s="71">
        <f>W2800+X2800+Y2800+Z2800+AA2800+AB2800+AC2800</f>
        <v>0</v>
      </c>
      <c r="AE2800" s="72">
        <v>0</v>
      </c>
      <c r="AF2800" s="5"/>
      <c r="AG2800" s="6"/>
      <c r="AH2800" s="27"/>
      <c r="AI2800" s="44"/>
      <c r="AJ2800" s="26"/>
      <c r="AK2800" s="5"/>
      <c r="AL2800" s="268" t="s">
        <v>5682</v>
      </c>
      <c r="AM2800" s="76"/>
      <c r="AN2800" s="76"/>
      <c r="AO2800" s="76"/>
      <c r="AP2800" s="76"/>
      <c r="AQ2800" s="76"/>
      <c r="AR2800" s="76"/>
      <c r="AS2800" s="76"/>
      <c r="AT2800" s="76"/>
      <c r="AU2800" s="76"/>
      <c r="AV2800" s="76"/>
      <c r="AW2800" s="76"/>
      <c r="AX2800" s="76">
        <f>+AW2800*600000</f>
        <v>0</v>
      </c>
      <c r="AY2800" s="76"/>
      <c r="AZ2800" s="76">
        <f>+AY2800*70000</f>
        <v>0</v>
      </c>
      <c r="BA2800" s="76"/>
      <c r="BB2800" s="76"/>
      <c r="BC2800" s="76"/>
      <c r="BD2800" s="76">
        <f>+BC2800*30000</f>
        <v>0</v>
      </c>
      <c r="BE2800" s="76"/>
      <c r="BF2800" s="76"/>
      <c r="BG2800" s="76"/>
      <c r="BH2800" s="76"/>
      <c r="BI2800" s="76"/>
      <c r="BJ2800" s="76"/>
      <c r="BK2800" s="76"/>
      <c r="BL2800" s="76">
        <f>+BK2800*31500</f>
        <v>0</v>
      </c>
      <c r="BM2800" s="76"/>
      <c r="BN2800" s="76"/>
      <c r="BO2800" s="76"/>
      <c r="BP2800" s="76"/>
      <c r="BQ2800" s="76"/>
      <c r="BR2800" s="76"/>
      <c r="BS2800" s="76"/>
      <c r="BT2800" s="76"/>
      <c r="BU2800" s="76"/>
      <c r="BV2800" s="76"/>
      <c r="BW2800" s="76"/>
      <c r="BX2800" s="76"/>
      <c r="BY2800" s="76"/>
      <c r="BZ2800" s="76"/>
      <c r="CA2800" s="76"/>
      <c r="CB2800" s="76"/>
      <c r="CC2800" s="76"/>
      <c r="CD2800" s="76"/>
      <c r="CE2800" s="76"/>
      <c r="CF2800" s="76">
        <f>+CE2800*28000</f>
        <v>0</v>
      </c>
      <c r="CG2800" s="76"/>
      <c r="CH2800" s="76">
        <f>+CG2800*22500</f>
        <v>0</v>
      </c>
      <c r="CI2800" s="76"/>
      <c r="CJ2800" s="76">
        <f>+CI2800*26000</f>
        <v>0</v>
      </c>
      <c r="CK2800" s="76"/>
      <c r="CL2800" s="76"/>
      <c r="CM2800" s="76"/>
      <c r="CN2800" s="76">
        <f>+CM2800*22000</f>
        <v>0</v>
      </c>
      <c r="CO2800" s="76"/>
      <c r="CP2800" s="76">
        <f>+CO2800*46000</f>
        <v>0</v>
      </c>
      <c r="CQ2800" s="76"/>
      <c r="CR2800" s="76">
        <f>+CQ2800*49000</f>
        <v>0</v>
      </c>
      <c r="CS2800" s="76"/>
      <c r="CT2800" s="76"/>
      <c r="CU2800" s="56">
        <f>AN2800+AP2800+AR2800+AT2800+AV2800+AX2800+AZ2800+BB2800+BD2800+BF2800+BH2800+BJ2800+BL2800+BN2800+BP2800+BR2800+BT2800+BV2800+BX2800+BZ2800+CB2800+CD2800+CF2800+CH2800+CJ2800+CL2800+CN2800+CP2800+CR2800+CT2800</f>
        <v>0</v>
      </c>
      <c r="CV2800" s="76"/>
      <c r="CW2800" s="76">
        <f>+CV2800*1100</f>
        <v>0</v>
      </c>
      <c r="CX2800" s="76"/>
      <c r="CY2800" s="76">
        <f>+CX2800*106250</f>
        <v>0</v>
      </c>
      <c r="CZ2800" s="76"/>
      <c r="DA2800" s="76">
        <f>+CZ2800*34500</f>
        <v>0</v>
      </c>
      <c r="DB2800" s="76"/>
      <c r="DC2800" s="76">
        <f>+DB2800*25000</f>
        <v>0</v>
      </c>
      <c r="DD2800" s="219"/>
      <c r="DE2800" s="219"/>
      <c r="DF2800" s="166"/>
      <c r="DG2800" s="116"/>
      <c r="DH2800" s="117"/>
      <c r="DI2800" s="24"/>
      <c r="DJ2800" s="24"/>
      <c r="DK2800" s="24"/>
      <c r="DL2800" s="24"/>
      <c r="DM2800" s="24"/>
      <c r="DN2800" s="24"/>
      <c r="DO2800" s="24"/>
      <c r="DP2800" s="24"/>
      <c r="DQ2800" s="24"/>
      <c r="DR2800" s="24"/>
      <c r="DS2800" s="24"/>
      <c r="DT2800" s="24"/>
      <c r="DU2800" s="24"/>
    </row>
    <row r="2801" spans="1:125" s="8" customFormat="1" ht="48" x14ac:dyDescent="0.2">
      <c r="A2801" s="353">
        <v>41510</v>
      </c>
      <c r="B2801" s="352" t="s">
        <v>2661</v>
      </c>
      <c r="C2801" s="354" t="s">
        <v>2105</v>
      </c>
      <c r="D2801" s="354" t="s">
        <v>2846</v>
      </c>
      <c r="E2801" s="75" t="str">
        <f>VLOOKUP(B2801&amp;C2801,Divipola!$C$2:$F$1138,4,FALSE)</f>
        <v>41615</v>
      </c>
      <c r="F2801" s="87"/>
      <c r="G2801" s="87"/>
      <c r="H2801" s="87"/>
      <c r="I2801" s="87"/>
      <c r="J2801" s="87"/>
      <c r="K2801" s="87"/>
      <c r="L2801" s="87"/>
      <c r="M2801" s="87"/>
      <c r="N2801" s="87"/>
      <c r="O2801" s="87"/>
      <c r="P2801" s="87"/>
      <c r="Q2801" s="87"/>
      <c r="R2801" s="87"/>
      <c r="S2801" s="87"/>
      <c r="T2801" s="87"/>
      <c r="U2801" s="88">
        <v>2</v>
      </c>
      <c r="V2801" s="89"/>
      <c r="W2801" s="96">
        <v>0</v>
      </c>
      <c r="X2801" s="71">
        <f>CU2801</f>
        <v>0</v>
      </c>
      <c r="Y2801" s="71">
        <f>CY2801</f>
        <v>0</v>
      </c>
      <c r="Z2801" s="71">
        <f>DA2801+DC2801+DE2801</f>
        <v>0</v>
      </c>
      <c r="AA2801" s="71">
        <f>CW2801</f>
        <v>0</v>
      </c>
      <c r="AB2801" s="71"/>
      <c r="AC2801" s="71">
        <v>0</v>
      </c>
      <c r="AD2801" s="71">
        <f>W2801+X2801+Y2801+Z2801+AA2801+AB2801+AC2801</f>
        <v>0</v>
      </c>
      <c r="AE2801" s="72">
        <v>0</v>
      </c>
      <c r="AF2801" s="5"/>
      <c r="AG2801" s="6"/>
      <c r="AH2801" s="27"/>
      <c r="AI2801" s="44"/>
      <c r="AJ2801" s="26"/>
      <c r="AK2801" s="5"/>
      <c r="AL2801" s="82" t="s">
        <v>5683</v>
      </c>
      <c r="AM2801" s="76"/>
      <c r="AN2801" s="76"/>
      <c r="AO2801" s="76"/>
      <c r="AP2801" s="76"/>
      <c r="AQ2801" s="76"/>
      <c r="AR2801" s="76"/>
      <c r="AS2801" s="76"/>
      <c r="AT2801" s="76"/>
      <c r="AU2801" s="76"/>
      <c r="AV2801" s="76"/>
      <c r="AW2801" s="76"/>
      <c r="AX2801" s="76">
        <f>+AW2801*600000</f>
        <v>0</v>
      </c>
      <c r="AY2801" s="76"/>
      <c r="AZ2801" s="76">
        <f>+AY2801*70000</f>
        <v>0</v>
      </c>
      <c r="BA2801" s="76"/>
      <c r="BB2801" s="76"/>
      <c r="BC2801" s="76"/>
      <c r="BD2801" s="76">
        <f>+BC2801*30000</f>
        <v>0</v>
      </c>
      <c r="BE2801" s="76"/>
      <c r="BF2801" s="76"/>
      <c r="BG2801" s="76"/>
      <c r="BH2801" s="76"/>
      <c r="BI2801" s="76"/>
      <c r="BJ2801" s="76"/>
      <c r="BK2801" s="76"/>
      <c r="BL2801" s="76">
        <f>+BK2801*31500</f>
        <v>0</v>
      </c>
      <c r="BM2801" s="76"/>
      <c r="BN2801" s="76"/>
      <c r="BO2801" s="76"/>
      <c r="BP2801" s="76"/>
      <c r="BQ2801" s="76"/>
      <c r="BR2801" s="76"/>
      <c r="BS2801" s="76"/>
      <c r="BT2801" s="76"/>
      <c r="BU2801" s="76"/>
      <c r="BV2801" s="76"/>
      <c r="BW2801" s="76"/>
      <c r="BX2801" s="76"/>
      <c r="BY2801" s="76"/>
      <c r="BZ2801" s="76"/>
      <c r="CA2801" s="76"/>
      <c r="CB2801" s="76"/>
      <c r="CC2801" s="76"/>
      <c r="CD2801" s="76"/>
      <c r="CE2801" s="76"/>
      <c r="CF2801" s="76">
        <f>+CE2801*28000</f>
        <v>0</v>
      </c>
      <c r="CG2801" s="76"/>
      <c r="CH2801" s="76">
        <f>+CG2801*22500</f>
        <v>0</v>
      </c>
      <c r="CI2801" s="76"/>
      <c r="CJ2801" s="76">
        <f>+CI2801*26000</f>
        <v>0</v>
      </c>
      <c r="CK2801" s="76"/>
      <c r="CL2801" s="76"/>
      <c r="CM2801" s="76"/>
      <c r="CN2801" s="76">
        <f>+CM2801*22000</f>
        <v>0</v>
      </c>
      <c r="CO2801" s="76"/>
      <c r="CP2801" s="76">
        <f>+CO2801*46000</f>
        <v>0</v>
      </c>
      <c r="CQ2801" s="76"/>
      <c r="CR2801" s="76">
        <f>+CQ2801*49000</f>
        <v>0</v>
      </c>
      <c r="CS2801" s="76"/>
      <c r="CT2801" s="76"/>
      <c r="CU2801" s="56">
        <f>AN2801+AP2801+AR2801+AT2801+AV2801+AX2801+AZ2801+BB2801+BD2801+BF2801+BH2801+BJ2801+BL2801+BN2801+BP2801+BR2801+BT2801+BV2801+BX2801+BZ2801+CB2801+CD2801+CF2801+CH2801+CJ2801+CL2801+CN2801+CP2801+CR2801+CT2801</f>
        <v>0</v>
      </c>
      <c r="CV2801" s="76"/>
      <c r="CW2801" s="76">
        <f>+CV2801*1100</f>
        <v>0</v>
      </c>
      <c r="CX2801" s="76"/>
      <c r="CY2801" s="76">
        <f>+CX2801*106250</f>
        <v>0</v>
      </c>
      <c r="CZ2801" s="76"/>
      <c r="DA2801" s="76">
        <f>+CZ2801*34500</f>
        <v>0</v>
      </c>
      <c r="DB2801" s="76"/>
      <c r="DC2801" s="76">
        <f>+DB2801*25000</f>
        <v>0</v>
      </c>
      <c r="DD2801" s="219"/>
      <c r="DE2801" s="219"/>
      <c r="DF2801" s="166"/>
      <c r="DG2801" s="116"/>
      <c r="DH2801" s="117"/>
      <c r="DI2801" s="24"/>
      <c r="DJ2801" s="24"/>
      <c r="DK2801" s="24"/>
      <c r="DL2801" s="24"/>
      <c r="DM2801" s="24"/>
      <c r="DN2801" s="24"/>
      <c r="DO2801" s="24"/>
      <c r="DP2801" s="24"/>
      <c r="DQ2801" s="24"/>
      <c r="DR2801" s="24"/>
      <c r="DS2801" s="24"/>
      <c r="DT2801" s="24"/>
      <c r="DU2801" s="24"/>
    </row>
    <row r="2802" spans="1:125" s="8" customFormat="1" ht="84" x14ac:dyDescent="0.2">
      <c r="A2802" s="353">
        <v>41510</v>
      </c>
      <c r="B2802" s="352" t="s">
        <v>2847</v>
      </c>
      <c r="C2802" s="354" t="s">
        <v>2693</v>
      </c>
      <c r="D2802" s="354" t="s">
        <v>3088</v>
      </c>
      <c r="E2802" s="75" t="str">
        <f>VLOOKUP(B2802&amp;C2802,Divipola!$C$2:$F$1138,4,FALSE)</f>
        <v>68705</v>
      </c>
      <c r="F2802" s="87"/>
      <c r="G2802" s="87"/>
      <c r="H2802" s="87"/>
      <c r="I2802" s="87"/>
      <c r="J2802" s="87"/>
      <c r="K2802" s="87"/>
      <c r="L2802" s="87"/>
      <c r="M2802" s="87">
        <v>1</v>
      </c>
      <c r="N2802" s="87"/>
      <c r="O2802" s="87"/>
      <c r="P2802" s="87"/>
      <c r="Q2802" s="87"/>
      <c r="R2802" s="87"/>
      <c r="S2802" s="87"/>
      <c r="T2802" s="87"/>
      <c r="U2802" s="88"/>
      <c r="V2802" s="89"/>
      <c r="W2802" s="96">
        <v>0</v>
      </c>
      <c r="X2802" s="71">
        <f>CU2802</f>
        <v>0</v>
      </c>
      <c r="Y2802" s="71">
        <f>CY2802</f>
        <v>0</v>
      </c>
      <c r="Z2802" s="71">
        <f>DA2802+DC2802+DE2802</f>
        <v>0</v>
      </c>
      <c r="AA2802" s="71">
        <f>CW2802</f>
        <v>0</v>
      </c>
      <c r="AB2802" s="71"/>
      <c r="AC2802" s="71">
        <v>0</v>
      </c>
      <c r="AD2802" s="71">
        <f>W2802+X2802+Y2802+Z2802+AA2802+AB2802+AC2802</f>
        <v>0</v>
      </c>
      <c r="AE2802" s="72">
        <v>0</v>
      </c>
      <c r="AF2802" s="5"/>
      <c r="AG2802" s="6"/>
      <c r="AH2802" s="27"/>
      <c r="AI2802" s="44"/>
      <c r="AJ2802" s="26"/>
      <c r="AK2802" s="5"/>
      <c r="AL2802" s="279" t="s">
        <v>5690</v>
      </c>
      <c r="AM2802" s="76"/>
      <c r="AN2802" s="76"/>
      <c r="AO2802" s="76"/>
      <c r="AP2802" s="76"/>
      <c r="AQ2802" s="76"/>
      <c r="AR2802" s="76"/>
      <c r="AS2802" s="76"/>
      <c r="AT2802" s="76"/>
      <c r="AU2802" s="76"/>
      <c r="AV2802" s="76"/>
      <c r="AW2802" s="76"/>
      <c r="AX2802" s="76">
        <f>+AW2802*600000</f>
        <v>0</v>
      </c>
      <c r="AY2802" s="76"/>
      <c r="AZ2802" s="76">
        <f>+AY2802*70000</f>
        <v>0</v>
      </c>
      <c r="BA2802" s="76"/>
      <c r="BB2802" s="76"/>
      <c r="BC2802" s="76"/>
      <c r="BD2802" s="76">
        <f>+BC2802*30000</f>
        <v>0</v>
      </c>
      <c r="BE2802" s="76"/>
      <c r="BF2802" s="76"/>
      <c r="BG2802" s="76"/>
      <c r="BH2802" s="76"/>
      <c r="BI2802" s="76"/>
      <c r="BJ2802" s="76"/>
      <c r="BK2802" s="76"/>
      <c r="BL2802" s="76">
        <f>+BK2802*31500</f>
        <v>0</v>
      </c>
      <c r="BM2802" s="76"/>
      <c r="BN2802" s="76"/>
      <c r="BO2802" s="76"/>
      <c r="BP2802" s="76"/>
      <c r="BQ2802" s="76"/>
      <c r="BR2802" s="76"/>
      <c r="BS2802" s="76"/>
      <c r="BT2802" s="76"/>
      <c r="BU2802" s="76"/>
      <c r="BV2802" s="76"/>
      <c r="BW2802" s="76"/>
      <c r="BX2802" s="76"/>
      <c r="BY2802" s="76"/>
      <c r="BZ2802" s="76"/>
      <c r="CA2802" s="76"/>
      <c r="CB2802" s="76"/>
      <c r="CC2802" s="76"/>
      <c r="CD2802" s="76"/>
      <c r="CE2802" s="76"/>
      <c r="CF2802" s="76">
        <f>+CE2802*28000</f>
        <v>0</v>
      </c>
      <c r="CG2802" s="76"/>
      <c r="CH2802" s="76">
        <f>+CG2802*22500</f>
        <v>0</v>
      </c>
      <c r="CI2802" s="76"/>
      <c r="CJ2802" s="76">
        <f>+CI2802*26000</f>
        <v>0</v>
      </c>
      <c r="CK2802" s="76"/>
      <c r="CL2802" s="76"/>
      <c r="CM2802" s="76"/>
      <c r="CN2802" s="76">
        <f>+CM2802*22000</f>
        <v>0</v>
      </c>
      <c r="CO2802" s="76"/>
      <c r="CP2802" s="76">
        <f>+CO2802*46000</f>
        <v>0</v>
      </c>
      <c r="CQ2802" s="76"/>
      <c r="CR2802" s="76">
        <f>+CQ2802*49000</f>
        <v>0</v>
      </c>
      <c r="CS2802" s="76"/>
      <c r="CT2802" s="76"/>
      <c r="CU2802" s="56">
        <f>AN2802+AP2802+AR2802+AT2802+AV2802+AX2802+AZ2802+BB2802+BD2802+BF2802+BH2802+BJ2802+BL2802+BN2802+BP2802+BR2802+BT2802+BV2802+BX2802+BZ2802+CB2802+CD2802+CF2802+CH2802+CJ2802+CL2802+CN2802+CP2802+CR2802+CT2802</f>
        <v>0</v>
      </c>
      <c r="CV2802" s="76"/>
      <c r="CW2802" s="76">
        <f>+CV2802*1100</f>
        <v>0</v>
      </c>
      <c r="CX2802" s="76"/>
      <c r="CY2802" s="76">
        <f>+CX2802*106250</f>
        <v>0</v>
      </c>
      <c r="CZ2802" s="76"/>
      <c r="DA2802" s="76">
        <f>+CZ2802*34500</f>
        <v>0</v>
      </c>
      <c r="DB2802" s="76"/>
      <c r="DC2802" s="76">
        <f>+DB2802*25000</f>
        <v>0</v>
      </c>
      <c r="DD2802" s="219"/>
      <c r="DE2802" s="219"/>
      <c r="DF2802" s="166"/>
      <c r="DG2802" s="116"/>
      <c r="DH2802" s="117"/>
      <c r="DI2802" s="24"/>
      <c r="DJ2802" s="24"/>
      <c r="DK2802" s="24"/>
      <c r="DL2802" s="24"/>
      <c r="DM2802" s="24"/>
      <c r="DN2802" s="24"/>
      <c r="DO2802" s="24"/>
      <c r="DP2802" s="24"/>
      <c r="DQ2802" s="24"/>
      <c r="DR2802" s="24"/>
      <c r="DS2802" s="24"/>
      <c r="DT2802" s="24"/>
      <c r="DU2802" s="24"/>
    </row>
    <row r="2803" spans="1:125" s="8" customFormat="1" ht="36" x14ac:dyDescent="0.2">
      <c r="A2803" s="77">
        <v>41510</v>
      </c>
      <c r="B2803" s="78" t="s">
        <v>2848</v>
      </c>
      <c r="C2803" s="75" t="s">
        <v>1257</v>
      </c>
      <c r="D2803" s="75" t="s">
        <v>2846</v>
      </c>
      <c r="E2803" s="75" t="str">
        <f>VLOOKUP(B2803&amp;C2803,Divipola!$C$2:$F$1138,4,FALSE)</f>
        <v>73547</v>
      </c>
      <c r="F2803" s="87"/>
      <c r="G2803" s="87"/>
      <c r="H2803" s="87"/>
      <c r="I2803" s="87"/>
      <c r="J2803" s="87"/>
      <c r="K2803" s="87"/>
      <c r="L2803" s="87"/>
      <c r="M2803" s="87"/>
      <c r="N2803" s="87"/>
      <c r="O2803" s="87"/>
      <c r="P2803" s="87"/>
      <c r="Q2803" s="87"/>
      <c r="R2803" s="87"/>
      <c r="S2803" s="87"/>
      <c r="T2803" s="87"/>
      <c r="U2803" s="88">
        <v>30</v>
      </c>
      <c r="V2803" s="89"/>
      <c r="W2803" s="96">
        <v>0</v>
      </c>
      <c r="X2803" s="71">
        <f>CU2803</f>
        <v>0</v>
      </c>
      <c r="Y2803" s="71">
        <f>CY2803</f>
        <v>0</v>
      </c>
      <c r="Z2803" s="71">
        <f>DA2803+DC2803+DE2803</f>
        <v>0</v>
      </c>
      <c r="AA2803" s="71">
        <f>CW2803</f>
        <v>0</v>
      </c>
      <c r="AB2803" s="71"/>
      <c r="AC2803" s="71">
        <v>0</v>
      </c>
      <c r="AD2803" s="71">
        <f>W2803+X2803+Y2803+Z2803+AA2803+AB2803+AC2803</f>
        <v>0</v>
      </c>
      <c r="AE2803" s="72">
        <v>0</v>
      </c>
      <c r="AF2803" s="5"/>
      <c r="AG2803" s="6"/>
      <c r="AH2803" s="27"/>
      <c r="AI2803" s="44"/>
      <c r="AJ2803" s="26"/>
      <c r="AK2803" s="5"/>
      <c r="AL2803" s="279" t="s">
        <v>5689</v>
      </c>
      <c r="AM2803" s="76"/>
      <c r="AN2803" s="76"/>
      <c r="AO2803" s="76"/>
      <c r="AP2803" s="76"/>
      <c r="AQ2803" s="76"/>
      <c r="AR2803" s="76"/>
      <c r="AS2803" s="76"/>
      <c r="AT2803" s="76"/>
      <c r="AU2803" s="76"/>
      <c r="AV2803" s="76"/>
      <c r="AW2803" s="76"/>
      <c r="AX2803" s="76">
        <f>+AW2803*600000</f>
        <v>0</v>
      </c>
      <c r="AY2803" s="76"/>
      <c r="AZ2803" s="76">
        <f>+AY2803*70000</f>
        <v>0</v>
      </c>
      <c r="BA2803" s="76"/>
      <c r="BB2803" s="76"/>
      <c r="BC2803" s="76"/>
      <c r="BD2803" s="76">
        <f>+BC2803*30000</f>
        <v>0</v>
      </c>
      <c r="BE2803" s="76"/>
      <c r="BF2803" s="76"/>
      <c r="BG2803" s="76"/>
      <c r="BH2803" s="76"/>
      <c r="BI2803" s="76"/>
      <c r="BJ2803" s="76"/>
      <c r="BK2803" s="76"/>
      <c r="BL2803" s="76">
        <f>+BK2803*31500</f>
        <v>0</v>
      </c>
      <c r="BM2803" s="76"/>
      <c r="BN2803" s="76"/>
      <c r="BO2803" s="76"/>
      <c r="BP2803" s="76"/>
      <c r="BQ2803" s="76"/>
      <c r="BR2803" s="76"/>
      <c r="BS2803" s="76"/>
      <c r="BT2803" s="76"/>
      <c r="BU2803" s="76"/>
      <c r="BV2803" s="76"/>
      <c r="BW2803" s="76"/>
      <c r="BX2803" s="76"/>
      <c r="BY2803" s="76"/>
      <c r="BZ2803" s="76"/>
      <c r="CA2803" s="76"/>
      <c r="CB2803" s="76"/>
      <c r="CC2803" s="76"/>
      <c r="CD2803" s="76"/>
      <c r="CE2803" s="76"/>
      <c r="CF2803" s="76">
        <f>+CE2803*28000</f>
        <v>0</v>
      </c>
      <c r="CG2803" s="76"/>
      <c r="CH2803" s="76">
        <f>+CG2803*22500</f>
        <v>0</v>
      </c>
      <c r="CI2803" s="76"/>
      <c r="CJ2803" s="76">
        <f>+CI2803*26000</f>
        <v>0</v>
      </c>
      <c r="CK2803" s="76"/>
      <c r="CL2803" s="76"/>
      <c r="CM2803" s="76"/>
      <c r="CN2803" s="76">
        <f>+CM2803*22000</f>
        <v>0</v>
      </c>
      <c r="CO2803" s="76"/>
      <c r="CP2803" s="76">
        <f>+CO2803*46000</f>
        <v>0</v>
      </c>
      <c r="CQ2803" s="76"/>
      <c r="CR2803" s="76">
        <f>+CQ2803*49000</f>
        <v>0</v>
      </c>
      <c r="CS2803" s="76"/>
      <c r="CT2803" s="76"/>
      <c r="CU2803" s="56">
        <f>AN2803+AP2803+AR2803+AT2803+AV2803+AX2803+AZ2803+BB2803+BD2803+BF2803+BH2803+BJ2803+BL2803+BN2803+BP2803+BR2803+BT2803+BV2803+BX2803+BZ2803+CB2803+CD2803+CF2803+CH2803+CJ2803+CL2803+CN2803+CP2803+CR2803+CT2803</f>
        <v>0</v>
      </c>
      <c r="CV2803" s="76"/>
      <c r="CW2803" s="76">
        <f>+CV2803*1100</f>
        <v>0</v>
      </c>
      <c r="CX2803" s="76"/>
      <c r="CY2803" s="76">
        <f>+CX2803*106250</f>
        <v>0</v>
      </c>
      <c r="CZ2803" s="76"/>
      <c r="DA2803" s="76">
        <f>+CZ2803*34500</f>
        <v>0</v>
      </c>
      <c r="DB2803" s="76"/>
      <c r="DC2803" s="76">
        <f>+DB2803*25000</f>
        <v>0</v>
      </c>
      <c r="DD2803" s="219"/>
      <c r="DE2803" s="219"/>
      <c r="DF2803" s="166"/>
      <c r="DG2803" s="116"/>
      <c r="DH2803" s="117"/>
      <c r="DI2803" s="24"/>
      <c r="DJ2803" s="24"/>
      <c r="DK2803" s="24"/>
      <c r="DL2803" s="24"/>
      <c r="DM2803" s="24"/>
      <c r="DN2803" s="24"/>
      <c r="DO2803" s="24"/>
      <c r="DP2803" s="24"/>
      <c r="DQ2803" s="24"/>
      <c r="DR2803" s="24"/>
      <c r="DS2803" s="24"/>
      <c r="DT2803" s="24"/>
      <c r="DU2803" s="24"/>
    </row>
    <row r="2804" spans="1:125" s="8" customFormat="1" ht="36" x14ac:dyDescent="0.2">
      <c r="A2804" s="97">
        <v>41511</v>
      </c>
      <c r="B2804" s="60" t="s">
        <v>2894</v>
      </c>
      <c r="C2804" s="55" t="s">
        <v>2192</v>
      </c>
      <c r="D2804" s="55" t="s">
        <v>3205</v>
      </c>
      <c r="E2804" s="75" t="str">
        <f>VLOOKUP(B2804&amp;C2804,Divipola!$C$2:$F$1138,4,FALSE)</f>
        <v>05030</v>
      </c>
      <c r="F2804" s="87"/>
      <c r="G2804" s="87"/>
      <c r="H2804" s="87"/>
      <c r="I2804" s="87">
        <v>15</v>
      </c>
      <c r="J2804" s="87">
        <v>3</v>
      </c>
      <c r="K2804" s="87"/>
      <c r="L2804" s="87">
        <v>3</v>
      </c>
      <c r="M2804" s="87"/>
      <c r="N2804" s="87"/>
      <c r="O2804" s="87"/>
      <c r="P2804" s="87"/>
      <c r="Q2804" s="87"/>
      <c r="R2804" s="87"/>
      <c r="S2804" s="87"/>
      <c r="T2804" s="87"/>
      <c r="U2804" s="88"/>
      <c r="V2804" s="89"/>
      <c r="W2804" s="96">
        <v>0</v>
      </c>
      <c r="X2804" s="71">
        <f>CU2804</f>
        <v>0</v>
      </c>
      <c r="Y2804" s="71">
        <f>CY2804</f>
        <v>0</v>
      </c>
      <c r="Z2804" s="71">
        <f>DA2804+DC2804+DE2804</f>
        <v>0</v>
      </c>
      <c r="AA2804" s="71">
        <f>CW2804</f>
        <v>0</v>
      </c>
      <c r="AB2804" s="71"/>
      <c r="AC2804" s="71">
        <v>0</v>
      </c>
      <c r="AD2804" s="71">
        <f>W2804+X2804+Y2804+Z2804+AA2804+AB2804+AC2804</f>
        <v>0</v>
      </c>
      <c r="AE2804" s="72">
        <v>0</v>
      </c>
      <c r="AF2804" s="5"/>
      <c r="AG2804" s="6"/>
      <c r="AH2804" s="27"/>
      <c r="AI2804" s="44"/>
      <c r="AJ2804" s="26"/>
      <c r="AK2804" s="5"/>
      <c r="AL2804" s="279" t="s">
        <v>5693</v>
      </c>
      <c r="AM2804" s="76"/>
      <c r="AN2804" s="76"/>
      <c r="AO2804" s="76"/>
      <c r="AP2804" s="76"/>
      <c r="AQ2804" s="76"/>
      <c r="AR2804" s="76"/>
      <c r="AS2804" s="76"/>
      <c r="AT2804" s="76"/>
      <c r="AU2804" s="76"/>
      <c r="AV2804" s="76"/>
      <c r="AW2804" s="76"/>
      <c r="AX2804" s="76">
        <f>+AW2804*600000</f>
        <v>0</v>
      </c>
      <c r="AY2804" s="76"/>
      <c r="AZ2804" s="76">
        <f>+AY2804*70000</f>
        <v>0</v>
      </c>
      <c r="BA2804" s="76"/>
      <c r="BB2804" s="76"/>
      <c r="BC2804" s="76"/>
      <c r="BD2804" s="76">
        <f>+BC2804*30000</f>
        <v>0</v>
      </c>
      <c r="BE2804" s="76"/>
      <c r="BF2804" s="76"/>
      <c r="BG2804" s="76"/>
      <c r="BH2804" s="76"/>
      <c r="BI2804" s="76"/>
      <c r="BJ2804" s="76"/>
      <c r="BK2804" s="76"/>
      <c r="BL2804" s="76">
        <f>+BK2804*31500</f>
        <v>0</v>
      </c>
      <c r="BM2804" s="76"/>
      <c r="BN2804" s="76"/>
      <c r="BO2804" s="76"/>
      <c r="BP2804" s="76"/>
      <c r="BQ2804" s="76"/>
      <c r="BR2804" s="76"/>
      <c r="BS2804" s="76"/>
      <c r="BT2804" s="76"/>
      <c r="BU2804" s="76"/>
      <c r="BV2804" s="76"/>
      <c r="BW2804" s="76"/>
      <c r="BX2804" s="76"/>
      <c r="BY2804" s="76"/>
      <c r="BZ2804" s="76"/>
      <c r="CA2804" s="76"/>
      <c r="CB2804" s="76"/>
      <c r="CC2804" s="76"/>
      <c r="CD2804" s="76"/>
      <c r="CE2804" s="76"/>
      <c r="CF2804" s="76">
        <f>+CE2804*28000</f>
        <v>0</v>
      </c>
      <c r="CG2804" s="76"/>
      <c r="CH2804" s="76">
        <f>+CG2804*22500</f>
        <v>0</v>
      </c>
      <c r="CI2804" s="76"/>
      <c r="CJ2804" s="76">
        <f>+CI2804*26000</f>
        <v>0</v>
      </c>
      <c r="CK2804" s="76"/>
      <c r="CL2804" s="76"/>
      <c r="CM2804" s="76"/>
      <c r="CN2804" s="76">
        <f>+CM2804*22000</f>
        <v>0</v>
      </c>
      <c r="CO2804" s="76"/>
      <c r="CP2804" s="76">
        <f>+CO2804*46000</f>
        <v>0</v>
      </c>
      <c r="CQ2804" s="76"/>
      <c r="CR2804" s="76">
        <f>+CQ2804*49000</f>
        <v>0</v>
      </c>
      <c r="CS2804" s="76"/>
      <c r="CT2804" s="76"/>
      <c r="CU2804" s="56">
        <f>AN2804+AP2804+AR2804+AT2804+AV2804+AX2804+AZ2804+BB2804+BD2804+BF2804+BH2804+BJ2804+BL2804+BN2804+BP2804+BR2804+BT2804+BV2804+BX2804+BZ2804+CB2804+CD2804+CF2804+CH2804+CJ2804+CL2804+CN2804+CP2804+CR2804+CT2804</f>
        <v>0</v>
      </c>
      <c r="CV2804" s="76"/>
      <c r="CW2804" s="76">
        <f>+CV2804*1100</f>
        <v>0</v>
      </c>
      <c r="CX2804" s="76"/>
      <c r="CY2804" s="76">
        <f>+CX2804*106250</f>
        <v>0</v>
      </c>
      <c r="CZ2804" s="76"/>
      <c r="DA2804" s="76">
        <f>+CZ2804*34500</f>
        <v>0</v>
      </c>
      <c r="DB2804" s="76"/>
      <c r="DC2804" s="76">
        <f>+DB2804*25000</f>
        <v>0</v>
      </c>
      <c r="DD2804" s="219"/>
      <c r="DE2804" s="219"/>
      <c r="DF2804" s="166"/>
      <c r="DG2804" s="116"/>
      <c r="DH2804" s="117"/>
      <c r="DI2804" s="24"/>
      <c r="DJ2804" s="24"/>
      <c r="DK2804" s="24"/>
      <c r="DL2804" s="24"/>
      <c r="DM2804" s="24"/>
      <c r="DN2804" s="24"/>
      <c r="DO2804" s="24"/>
      <c r="DP2804" s="24"/>
      <c r="DQ2804" s="24"/>
      <c r="DR2804" s="24"/>
      <c r="DS2804" s="24"/>
      <c r="DT2804" s="24"/>
      <c r="DU2804" s="24"/>
    </row>
    <row r="2805" spans="1:125" s="8" customFormat="1" ht="60" x14ac:dyDescent="0.2">
      <c r="A2805" s="353">
        <v>41511</v>
      </c>
      <c r="B2805" s="352" t="s">
        <v>2894</v>
      </c>
      <c r="C2805" s="354" t="s">
        <v>2340</v>
      </c>
      <c r="D2805" s="354" t="s">
        <v>3205</v>
      </c>
      <c r="E2805" s="75" t="str">
        <f>VLOOKUP(B2805&amp;C2805,Divipola!$C$2:$F$1138,4,FALSE)</f>
        <v>05036</v>
      </c>
      <c r="F2805" s="87"/>
      <c r="G2805" s="87"/>
      <c r="H2805" s="87"/>
      <c r="I2805" s="87">
        <v>30</v>
      </c>
      <c r="J2805" s="87">
        <v>6</v>
      </c>
      <c r="K2805" s="87">
        <v>1</v>
      </c>
      <c r="L2805" s="87">
        <v>5</v>
      </c>
      <c r="M2805" s="87"/>
      <c r="N2805" s="87"/>
      <c r="O2805" s="87"/>
      <c r="P2805" s="87"/>
      <c r="Q2805" s="87"/>
      <c r="R2805" s="87"/>
      <c r="S2805" s="87"/>
      <c r="T2805" s="87"/>
      <c r="U2805" s="88"/>
      <c r="V2805" s="89"/>
      <c r="W2805" s="96">
        <v>0</v>
      </c>
      <c r="X2805" s="71">
        <f>CU2805</f>
        <v>0</v>
      </c>
      <c r="Y2805" s="71">
        <f>CY2805</f>
        <v>0</v>
      </c>
      <c r="Z2805" s="71">
        <f>DA2805+DC2805+DE2805</f>
        <v>0</v>
      </c>
      <c r="AA2805" s="71">
        <f>CW2805</f>
        <v>0</v>
      </c>
      <c r="AB2805" s="71"/>
      <c r="AC2805" s="71">
        <v>0</v>
      </c>
      <c r="AD2805" s="71">
        <f>W2805+X2805+Y2805+Z2805+AA2805+AB2805+AC2805</f>
        <v>0</v>
      </c>
      <c r="AE2805" s="72">
        <v>0</v>
      </c>
      <c r="AF2805" s="5"/>
      <c r="AG2805" s="6"/>
      <c r="AH2805" s="27"/>
      <c r="AI2805" s="44"/>
      <c r="AJ2805" s="26"/>
      <c r="AK2805" s="5"/>
      <c r="AL2805" s="279" t="s">
        <v>5692</v>
      </c>
      <c r="AM2805" s="76"/>
      <c r="AN2805" s="76"/>
      <c r="AO2805" s="76"/>
      <c r="AP2805" s="76"/>
      <c r="AQ2805" s="76"/>
      <c r="AR2805" s="76"/>
      <c r="AS2805" s="76"/>
      <c r="AT2805" s="76"/>
      <c r="AU2805" s="76"/>
      <c r="AV2805" s="76"/>
      <c r="AW2805" s="76"/>
      <c r="AX2805" s="76">
        <f>+AW2805*600000</f>
        <v>0</v>
      </c>
      <c r="AY2805" s="76"/>
      <c r="AZ2805" s="76">
        <f>+AY2805*70000</f>
        <v>0</v>
      </c>
      <c r="BA2805" s="76"/>
      <c r="BB2805" s="76"/>
      <c r="BC2805" s="76"/>
      <c r="BD2805" s="76">
        <f>+BC2805*30000</f>
        <v>0</v>
      </c>
      <c r="BE2805" s="76"/>
      <c r="BF2805" s="76"/>
      <c r="BG2805" s="76"/>
      <c r="BH2805" s="76"/>
      <c r="BI2805" s="76"/>
      <c r="BJ2805" s="76"/>
      <c r="BK2805" s="76"/>
      <c r="BL2805" s="76">
        <f>+BK2805*31500</f>
        <v>0</v>
      </c>
      <c r="BM2805" s="76"/>
      <c r="BN2805" s="76"/>
      <c r="BO2805" s="76"/>
      <c r="BP2805" s="76"/>
      <c r="BQ2805" s="76"/>
      <c r="BR2805" s="76"/>
      <c r="BS2805" s="76"/>
      <c r="BT2805" s="76"/>
      <c r="BU2805" s="76"/>
      <c r="BV2805" s="76"/>
      <c r="BW2805" s="76"/>
      <c r="BX2805" s="76"/>
      <c r="BY2805" s="76"/>
      <c r="BZ2805" s="76"/>
      <c r="CA2805" s="76"/>
      <c r="CB2805" s="76"/>
      <c r="CC2805" s="76"/>
      <c r="CD2805" s="76"/>
      <c r="CE2805" s="76"/>
      <c r="CF2805" s="76">
        <f>+CE2805*28000</f>
        <v>0</v>
      </c>
      <c r="CG2805" s="76"/>
      <c r="CH2805" s="76">
        <f>+CG2805*22500</f>
        <v>0</v>
      </c>
      <c r="CI2805" s="76"/>
      <c r="CJ2805" s="76">
        <f>+CI2805*26000</f>
        <v>0</v>
      </c>
      <c r="CK2805" s="76"/>
      <c r="CL2805" s="76"/>
      <c r="CM2805" s="76"/>
      <c r="CN2805" s="76">
        <f>+CM2805*22000</f>
        <v>0</v>
      </c>
      <c r="CO2805" s="76"/>
      <c r="CP2805" s="76">
        <f>+CO2805*46000</f>
        <v>0</v>
      </c>
      <c r="CQ2805" s="76"/>
      <c r="CR2805" s="76">
        <f>+CQ2805*49000</f>
        <v>0</v>
      </c>
      <c r="CS2805" s="76"/>
      <c r="CT2805" s="76"/>
      <c r="CU2805" s="56">
        <f>AN2805+AP2805+AR2805+AT2805+AV2805+AX2805+AZ2805+BB2805+BD2805+BF2805+BH2805+BJ2805+BL2805+BN2805+BP2805+BR2805+BT2805+BV2805+BX2805+BZ2805+CB2805+CD2805+CF2805+CH2805+CJ2805+CL2805+CN2805+CP2805+CR2805+CT2805</f>
        <v>0</v>
      </c>
      <c r="CV2805" s="76"/>
      <c r="CW2805" s="76">
        <f>+CV2805*1100</f>
        <v>0</v>
      </c>
      <c r="CX2805" s="76"/>
      <c r="CY2805" s="76">
        <f>+CX2805*106250</f>
        <v>0</v>
      </c>
      <c r="CZ2805" s="76"/>
      <c r="DA2805" s="76">
        <f>+CZ2805*34500</f>
        <v>0</v>
      </c>
      <c r="DB2805" s="76"/>
      <c r="DC2805" s="76">
        <f>+DB2805*25000</f>
        <v>0</v>
      </c>
      <c r="DD2805" s="219"/>
      <c r="DE2805" s="219"/>
      <c r="DF2805" s="166"/>
      <c r="DG2805" s="116"/>
      <c r="DH2805" s="117"/>
      <c r="DI2805" s="24"/>
      <c r="DJ2805" s="24"/>
      <c r="DK2805" s="24"/>
      <c r="DL2805" s="24"/>
      <c r="DM2805" s="24"/>
      <c r="DN2805" s="24"/>
      <c r="DO2805" s="24"/>
      <c r="DP2805" s="24"/>
      <c r="DQ2805" s="24"/>
      <c r="DR2805" s="24"/>
      <c r="DS2805" s="24"/>
      <c r="DT2805" s="24"/>
      <c r="DU2805" s="24"/>
    </row>
    <row r="2806" spans="1:125" s="8" customFormat="1" ht="84" x14ac:dyDescent="0.2">
      <c r="A2806" s="353">
        <v>41511</v>
      </c>
      <c r="B2806" s="352" t="s">
        <v>2700</v>
      </c>
      <c r="C2806" s="354" t="s">
        <v>2671</v>
      </c>
      <c r="D2806" s="354" t="s">
        <v>2859</v>
      </c>
      <c r="E2806" s="75" t="str">
        <f>VLOOKUP(B2806&amp;C2806,Divipola!$C$2:$F$1138,4,FALSE)</f>
        <v>15001</v>
      </c>
      <c r="F2806" s="87"/>
      <c r="G2806" s="87"/>
      <c r="H2806" s="87"/>
      <c r="I2806" s="87"/>
      <c r="J2806" s="87"/>
      <c r="K2806" s="87"/>
      <c r="L2806" s="87"/>
      <c r="M2806" s="87"/>
      <c r="N2806" s="87"/>
      <c r="O2806" s="87"/>
      <c r="P2806" s="87"/>
      <c r="Q2806" s="87"/>
      <c r="R2806" s="87"/>
      <c r="S2806" s="87"/>
      <c r="T2806" s="87"/>
      <c r="U2806" s="88"/>
      <c r="V2806" s="89">
        <v>1</v>
      </c>
      <c r="W2806" s="96">
        <v>0</v>
      </c>
      <c r="X2806" s="71">
        <f>CU2806</f>
        <v>0</v>
      </c>
      <c r="Y2806" s="71">
        <f>CY2806</f>
        <v>0</v>
      </c>
      <c r="Z2806" s="71">
        <f>DA2806+DC2806+DE2806</f>
        <v>0</v>
      </c>
      <c r="AA2806" s="71">
        <f>CW2806</f>
        <v>0</v>
      </c>
      <c r="AB2806" s="71"/>
      <c r="AC2806" s="71">
        <v>0</v>
      </c>
      <c r="AD2806" s="71">
        <f>W2806+X2806+Y2806+Z2806+AA2806+AB2806+AC2806</f>
        <v>0</v>
      </c>
      <c r="AE2806" s="72">
        <v>0</v>
      </c>
      <c r="AF2806" s="5"/>
      <c r="AG2806" s="6"/>
      <c r="AH2806" s="27"/>
      <c r="AI2806" s="44"/>
      <c r="AJ2806" s="26"/>
      <c r="AK2806" s="5"/>
      <c r="AL2806" s="279" t="s">
        <v>5688</v>
      </c>
      <c r="AM2806" s="76"/>
      <c r="AN2806" s="76"/>
      <c r="AO2806" s="76"/>
      <c r="AP2806" s="76"/>
      <c r="AQ2806" s="76"/>
      <c r="AR2806" s="76"/>
      <c r="AS2806" s="76"/>
      <c r="AT2806" s="76"/>
      <c r="AU2806" s="76"/>
      <c r="AV2806" s="76"/>
      <c r="AW2806" s="76"/>
      <c r="AX2806" s="76">
        <f>+AW2806*600000</f>
        <v>0</v>
      </c>
      <c r="AY2806" s="76"/>
      <c r="AZ2806" s="76">
        <f>+AY2806*70000</f>
        <v>0</v>
      </c>
      <c r="BA2806" s="76"/>
      <c r="BB2806" s="76"/>
      <c r="BC2806" s="76"/>
      <c r="BD2806" s="76">
        <f>+BC2806*30000</f>
        <v>0</v>
      </c>
      <c r="BE2806" s="76"/>
      <c r="BF2806" s="76"/>
      <c r="BG2806" s="76"/>
      <c r="BH2806" s="76"/>
      <c r="BI2806" s="76"/>
      <c r="BJ2806" s="76"/>
      <c r="BK2806" s="76"/>
      <c r="BL2806" s="76">
        <f>+BK2806*31500</f>
        <v>0</v>
      </c>
      <c r="BM2806" s="76"/>
      <c r="BN2806" s="76"/>
      <c r="BO2806" s="76"/>
      <c r="BP2806" s="76"/>
      <c r="BQ2806" s="76"/>
      <c r="BR2806" s="76"/>
      <c r="BS2806" s="76"/>
      <c r="BT2806" s="76"/>
      <c r="BU2806" s="76"/>
      <c r="BV2806" s="76"/>
      <c r="BW2806" s="76"/>
      <c r="BX2806" s="76"/>
      <c r="BY2806" s="76"/>
      <c r="BZ2806" s="76"/>
      <c r="CA2806" s="76"/>
      <c r="CB2806" s="76"/>
      <c r="CC2806" s="76"/>
      <c r="CD2806" s="76"/>
      <c r="CE2806" s="76"/>
      <c r="CF2806" s="76">
        <f>+CE2806*28000</f>
        <v>0</v>
      </c>
      <c r="CG2806" s="76"/>
      <c r="CH2806" s="76">
        <f>+CG2806*22500</f>
        <v>0</v>
      </c>
      <c r="CI2806" s="76"/>
      <c r="CJ2806" s="76">
        <f>+CI2806*26000</f>
        <v>0</v>
      </c>
      <c r="CK2806" s="76"/>
      <c r="CL2806" s="76"/>
      <c r="CM2806" s="76"/>
      <c r="CN2806" s="76">
        <f>+CM2806*22000</f>
        <v>0</v>
      </c>
      <c r="CO2806" s="76"/>
      <c r="CP2806" s="76">
        <f>+CO2806*46000</f>
        <v>0</v>
      </c>
      <c r="CQ2806" s="76"/>
      <c r="CR2806" s="76">
        <f>+CQ2806*49000</f>
        <v>0</v>
      </c>
      <c r="CS2806" s="76"/>
      <c r="CT2806" s="76"/>
      <c r="CU2806" s="56">
        <f>AN2806+AP2806+AR2806+AT2806+AV2806+AX2806+AZ2806+BB2806+BD2806+BF2806+BH2806+BJ2806+BL2806+BN2806+BP2806+BR2806+BT2806+BV2806+BX2806+BZ2806+CB2806+CD2806+CF2806+CH2806+CJ2806+CL2806+CN2806+CP2806+CR2806+CT2806</f>
        <v>0</v>
      </c>
      <c r="CV2806" s="76"/>
      <c r="CW2806" s="76">
        <f>+CV2806*1100</f>
        <v>0</v>
      </c>
      <c r="CX2806" s="76"/>
      <c r="CY2806" s="76">
        <f>+CX2806*106250</f>
        <v>0</v>
      </c>
      <c r="CZ2806" s="76"/>
      <c r="DA2806" s="76">
        <f>+CZ2806*34500</f>
        <v>0</v>
      </c>
      <c r="DB2806" s="76"/>
      <c r="DC2806" s="76">
        <f>+DB2806*25000</f>
        <v>0</v>
      </c>
      <c r="DD2806" s="219"/>
      <c r="DE2806" s="219"/>
      <c r="DF2806" s="166"/>
      <c r="DG2806" s="116"/>
      <c r="DH2806" s="117"/>
      <c r="DI2806" s="24"/>
      <c r="DJ2806" s="24"/>
      <c r="DK2806" s="24"/>
      <c r="DL2806" s="24"/>
      <c r="DM2806" s="24"/>
      <c r="DN2806" s="24"/>
      <c r="DO2806" s="24"/>
      <c r="DP2806" s="24"/>
      <c r="DQ2806" s="24"/>
      <c r="DR2806" s="24"/>
      <c r="DS2806" s="24"/>
      <c r="DT2806" s="24"/>
      <c r="DU2806" s="24"/>
    </row>
    <row r="2807" spans="1:125" s="8" customFormat="1" ht="60" x14ac:dyDescent="0.2">
      <c r="A2807" s="77">
        <v>41511</v>
      </c>
      <c r="B2807" s="352" t="s">
        <v>2196</v>
      </c>
      <c r="C2807" s="354" t="s">
        <v>1340</v>
      </c>
      <c r="D2807" s="354" t="s">
        <v>2882</v>
      </c>
      <c r="E2807" s="75" t="str">
        <f>VLOOKUP(B2807&amp;C2807,Divipola!$C$2:$F$1138,4,FALSE)</f>
        <v>17433</v>
      </c>
      <c r="F2807" s="87"/>
      <c r="G2807" s="87"/>
      <c r="H2807" s="87"/>
      <c r="I2807" s="87">
        <v>500</v>
      </c>
      <c r="J2807" s="87">
        <v>100</v>
      </c>
      <c r="K2807" s="87"/>
      <c r="L2807" s="87">
        <v>100</v>
      </c>
      <c r="M2807" s="87"/>
      <c r="N2807" s="87"/>
      <c r="O2807" s="87"/>
      <c r="P2807" s="87"/>
      <c r="Q2807" s="87"/>
      <c r="R2807" s="87"/>
      <c r="S2807" s="87"/>
      <c r="T2807" s="87"/>
      <c r="U2807" s="88"/>
      <c r="V2807" s="89"/>
      <c r="W2807" s="96">
        <v>0</v>
      </c>
      <c r="X2807" s="71">
        <f>CU2807</f>
        <v>98999040</v>
      </c>
      <c r="Y2807" s="71">
        <f>CY2807</f>
        <v>63750000</v>
      </c>
      <c r="Z2807" s="71">
        <f>DA2807+DC2807+DE2807</f>
        <v>99989680</v>
      </c>
      <c r="AA2807" s="71">
        <f>CW2807</f>
        <v>0</v>
      </c>
      <c r="AB2807" s="71"/>
      <c r="AC2807" s="71">
        <v>0</v>
      </c>
      <c r="AD2807" s="71">
        <f>W2807+X2807+Y2807+Z2807+AA2807+AB2807+AC2807</f>
        <v>262738720</v>
      </c>
      <c r="AE2807" s="72">
        <v>0</v>
      </c>
      <c r="AF2807" s="5"/>
      <c r="AG2807" s="6"/>
      <c r="AH2807" s="27"/>
      <c r="AI2807" s="44"/>
      <c r="AJ2807" s="26"/>
      <c r="AK2807" s="5"/>
      <c r="AL2807" s="274" t="s">
        <v>5694</v>
      </c>
      <c r="AM2807" s="76"/>
      <c r="AN2807" s="76"/>
      <c r="AO2807" s="76"/>
      <c r="AP2807" s="76"/>
      <c r="AQ2807" s="76"/>
      <c r="AR2807" s="76"/>
      <c r="AS2807" s="76"/>
      <c r="AT2807" s="76"/>
      <c r="AU2807" s="76"/>
      <c r="AV2807" s="76"/>
      <c r="AW2807" s="76"/>
      <c r="AX2807" s="76">
        <f>+AW2807*600000</f>
        <v>0</v>
      </c>
      <c r="AY2807" s="86">
        <v>600</v>
      </c>
      <c r="AZ2807" s="86">
        <f>+AY2807*69999.04</f>
        <v>41999423.999999993</v>
      </c>
      <c r="BA2807" s="76"/>
      <c r="BB2807" s="76"/>
      <c r="BC2807" s="76"/>
      <c r="BD2807" s="76">
        <f>+BC2807*30000</f>
        <v>0</v>
      </c>
      <c r="BE2807" s="76"/>
      <c r="BF2807" s="76"/>
      <c r="BG2807" s="76"/>
      <c r="BH2807" s="76"/>
      <c r="BI2807" s="76"/>
      <c r="BJ2807" s="76"/>
      <c r="BK2807" s="76"/>
      <c r="BL2807" s="76">
        <f>+BK2807*31500</f>
        <v>0</v>
      </c>
      <c r="BM2807" s="76"/>
      <c r="BN2807" s="76"/>
      <c r="BO2807" s="76"/>
      <c r="BP2807" s="76"/>
      <c r="BQ2807" s="76"/>
      <c r="BR2807" s="76"/>
      <c r="BS2807" s="76"/>
      <c r="BT2807" s="76"/>
      <c r="BU2807" s="76"/>
      <c r="BV2807" s="76"/>
      <c r="BW2807" s="76"/>
      <c r="BX2807" s="76"/>
      <c r="BY2807" s="76"/>
      <c r="BZ2807" s="76"/>
      <c r="CA2807" s="76"/>
      <c r="CB2807" s="76"/>
      <c r="CC2807" s="76"/>
      <c r="CD2807" s="76"/>
      <c r="CE2807" s="76"/>
      <c r="CF2807" s="76">
        <f>+CE2807*28000</f>
        <v>0</v>
      </c>
      <c r="CG2807" s="76"/>
      <c r="CH2807" s="76">
        <f>+CG2807*22500</f>
        <v>0</v>
      </c>
      <c r="CI2807" s="76"/>
      <c r="CJ2807" s="76">
        <f>+CI2807*26000</f>
        <v>0</v>
      </c>
      <c r="CK2807" s="76"/>
      <c r="CL2807" s="76"/>
      <c r="CM2807" s="76"/>
      <c r="CN2807" s="76">
        <f>+CM2807*22000</f>
        <v>0</v>
      </c>
      <c r="CO2807" s="86">
        <v>600</v>
      </c>
      <c r="CP2807" s="86">
        <f>+CO2807*45999.8</f>
        <v>27599880</v>
      </c>
      <c r="CQ2807" s="86">
        <v>600</v>
      </c>
      <c r="CR2807" s="86">
        <f>+CQ2807*48999.56</f>
        <v>29399736</v>
      </c>
      <c r="CS2807" s="76"/>
      <c r="CT2807" s="76"/>
      <c r="CU2807" s="56">
        <f>AN2807+AP2807+AR2807+AT2807+AV2807+AX2807+AZ2807+BB2807+BD2807+BF2807+BH2807+BJ2807+BL2807+BN2807+BP2807+BR2807+BT2807+BV2807+BX2807+BZ2807+CB2807+CD2807+CF2807+CH2807+CJ2807+CL2807+CN2807+CP2807+CR2807+CT2807</f>
        <v>98999040</v>
      </c>
      <c r="CV2807" s="76"/>
      <c r="CW2807" s="76">
        <f>+CV2807*1100</f>
        <v>0</v>
      </c>
      <c r="CX2807" s="86">
        <v>600</v>
      </c>
      <c r="CY2807" s="86">
        <f>+CX2807*106250</f>
        <v>63750000</v>
      </c>
      <c r="CZ2807" s="76"/>
      <c r="DA2807" s="76">
        <f>+CZ2807*34500</f>
        <v>0</v>
      </c>
      <c r="DB2807" s="86">
        <v>3000</v>
      </c>
      <c r="DC2807" s="86">
        <f>+DB2807*31999.76+20000*199.52</f>
        <v>99989680</v>
      </c>
      <c r="DD2807" s="219"/>
      <c r="DE2807" s="219"/>
      <c r="DF2807" s="166"/>
      <c r="DG2807" s="134" t="s">
        <v>6348</v>
      </c>
      <c r="DH2807" s="117"/>
      <c r="DI2807" s="24"/>
      <c r="DJ2807" s="24"/>
      <c r="DK2807" s="24"/>
      <c r="DL2807" s="24"/>
      <c r="DM2807" s="24"/>
      <c r="DN2807" s="24"/>
      <c r="DO2807" s="24"/>
      <c r="DP2807" s="24"/>
      <c r="DQ2807" s="24"/>
      <c r="DR2807" s="24"/>
      <c r="DS2807" s="24"/>
      <c r="DT2807" s="24"/>
      <c r="DU2807" s="24"/>
    </row>
    <row r="2808" spans="1:125" s="8" customFormat="1" ht="24" x14ac:dyDescent="0.2">
      <c r="A2808" s="353">
        <v>41511</v>
      </c>
      <c r="B2808" s="352" t="s">
        <v>2196</v>
      </c>
      <c r="C2808" s="227" t="s">
        <v>752</v>
      </c>
      <c r="D2808" s="227" t="s">
        <v>2882</v>
      </c>
      <c r="E2808" s="353" t="str">
        <f>VLOOKUP(B2808&amp;C2808,Divipola!$C$2:$F$1138,4,FALSE)</f>
        <v>17444</v>
      </c>
      <c r="F2808" s="87"/>
      <c r="G2808" s="87"/>
      <c r="H2808" s="87"/>
      <c r="I2808" s="87">
        <v>500</v>
      </c>
      <c r="J2808" s="87">
        <v>100</v>
      </c>
      <c r="K2808" s="87"/>
      <c r="L2808" s="87">
        <v>100</v>
      </c>
      <c r="M2808" s="87"/>
      <c r="N2808" s="87"/>
      <c r="O2808" s="87"/>
      <c r="P2808" s="87"/>
      <c r="Q2808" s="87"/>
      <c r="R2808" s="87"/>
      <c r="S2808" s="87"/>
      <c r="T2808" s="87"/>
      <c r="U2808" s="88"/>
      <c r="V2808" s="89"/>
      <c r="W2808" s="96">
        <v>0</v>
      </c>
      <c r="X2808" s="71">
        <f>CU2808</f>
        <v>20129804.800000001</v>
      </c>
      <c r="Y2808" s="71">
        <f>CY2808</f>
        <v>12962500</v>
      </c>
      <c r="Z2808" s="71">
        <f>DA2808+DC2808+DE2808</f>
        <v>28665312.16</v>
      </c>
      <c r="AA2808" s="71">
        <f>CW2808</f>
        <v>0</v>
      </c>
      <c r="AB2808" s="71"/>
      <c r="AC2808" s="71">
        <v>0</v>
      </c>
      <c r="AD2808" s="71">
        <f>W2808+X2808+Y2808+Z2808+AA2808+AB2808+AC2808</f>
        <v>61757616.960000001</v>
      </c>
      <c r="AE2808" s="72">
        <v>0</v>
      </c>
      <c r="AF2808" s="5"/>
      <c r="AG2808" s="6"/>
      <c r="AH2808" s="27"/>
      <c r="AI2808" s="44"/>
      <c r="AJ2808" s="26"/>
      <c r="AK2808" s="5"/>
      <c r="AL2808" s="82" t="s">
        <v>6203</v>
      </c>
      <c r="AM2808" s="76"/>
      <c r="AN2808" s="76"/>
      <c r="AO2808" s="76"/>
      <c r="AP2808" s="76"/>
      <c r="AQ2808" s="76"/>
      <c r="AR2808" s="76"/>
      <c r="AS2808" s="76"/>
      <c r="AT2808" s="76"/>
      <c r="AU2808" s="76"/>
      <c r="AV2808" s="76"/>
      <c r="AW2808" s="76"/>
      <c r="AX2808" s="76">
        <f>+AW2808*600000</f>
        <v>0</v>
      </c>
      <c r="AY2808" s="86">
        <v>122</v>
      </c>
      <c r="AZ2808" s="86">
        <f>+AY2808*69999.04</f>
        <v>8539882.879999999</v>
      </c>
      <c r="BA2808" s="76"/>
      <c r="BB2808" s="76"/>
      <c r="BC2808" s="76"/>
      <c r="BD2808" s="76">
        <f>+BC2808*30000</f>
        <v>0</v>
      </c>
      <c r="BE2808" s="76"/>
      <c r="BF2808" s="76"/>
      <c r="BG2808" s="76"/>
      <c r="BH2808" s="76"/>
      <c r="BI2808" s="76"/>
      <c r="BJ2808" s="76"/>
      <c r="BK2808" s="76"/>
      <c r="BL2808" s="76">
        <f>+BK2808*31500</f>
        <v>0</v>
      </c>
      <c r="BM2808" s="76"/>
      <c r="BN2808" s="76"/>
      <c r="BO2808" s="76"/>
      <c r="BP2808" s="76"/>
      <c r="BQ2808" s="76"/>
      <c r="BR2808" s="76"/>
      <c r="BS2808" s="76"/>
      <c r="BT2808" s="76"/>
      <c r="BU2808" s="76"/>
      <c r="BV2808" s="76"/>
      <c r="BW2808" s="76"/>
      <c r="BX2808" s="76"/>
      <c r="BY2808" s="76"/>
      <c r="BZ2808" s="76"/>
      <c r="CA2808" s="76"/>
      <c r="CB2808" s="76"/>
      <c r="CC2808" s="76"/>
      <c r="CD2808" s="76"/>
      <c r="CE2808" s="76"/>
      <c r="CF2808" s="76">
        <f>+CE2808*28000</f>
        <v>0</v>
      </c>
      <c r="CG2808" s="76"/>
      <c r="CH2808" s="76">
        <f>+CG2808*22500</f>
        <v>0</v>
      </c>
      <c r="CI2808" s="76"/>
      <c r="CJ2808" s="76">
        <f>+CI2808*26000</f>
        <v>0</v>
      </c>
      <c r="CK2808" s="76"/>
      <c r="CL2808" s="76"/>
      <c r="CM2808" s="76"/>
      <c r="CN2808" s="76">
        <f>+CM2808*22000</f>
        <v>0</v>
      </c>
      <c r="CO2808" s="86">
        <v>122</v>
      </c>
      <c r="CP2808" s="86">
        <f>+CO2808*45999.8</f>
        <v>5611975.6000000006</v>
      </c>
      <c r="CQ2808" s="86">
        <v>122</v>
      </c>
      <c r="CR2808" s="86">
        <f>+CQ2808*48999.56</f>
        <v>5977946.3199999994</v>
      </c>
      <c r="CS2808" s="76"/>
      <c r="CT2808" s="76"/>
      <c r="CU2808" s="56">
        <f>AN2808+AP2808+AR2808+AT2808+AV2808+AX2808+AZ2808+BB2808+BD2808+BF2808+BH2808+BJ2808+BL2808+BN2808+BP2808+BR2808+BT2808+BV2808+BX2808+BZ2808+CB2808+CD2808+CF2808+CH2808+CJ2808+CL2808+CN2808+CP2808+CR2808+CT2808</f>
        <v>20129804.800000001</v>
      </c>
      <c r="CV2808" s="76"/>
      <c r="CW2808" s="76">
        <f>+CV2808*1100</f>
        <v>0</v>
      </c>
      <c r="CX2808" s="86">
        <v>122</v>
      </c>
      <c r="CY2808" s="86">
        <f>+CX2808*106250</f>
        <v>12962500</v>
      </c>
      <c r="CZ2808" s="76"/>
      <c r="DA2808" s="76">
        <f>+CZ2808*34500</f>
        <v>0</v>
      </c>
      <c r="DB2808" s="86">
        <v>874</v>
      </c>
      <c r="DC2808" s="86">
        <f>+DB2808*31999.76+3496*199.52</f>
        <v>28665312.16</v>
      </c>
      <c r="DD2808" s="219"/>
      <c r="DE2808" s="219"/>
      <c r="DF2808" s="166"/>
      <c r="DG2808" s="134" t="s">
        <v>6650</v>
      </c>
      <c r="DH2808" s="117"/>
      <c r="DI2808" s="24"/>
      <c r="DJ2808" s="24"/>
      <c r="DK2808" s="24"/>
      <c r="DL2808" s="24"/>
      <c r="DM2808" s="24"/>
      <c r="DN2808" s="24"/>
      <c r="DO2808" s="24"/>
      <c r="DP2808" s="24"/>
      <c r="DQ2808" s="24"/>
      <c r="DR2808" s="24"/>
      <c r="DS2808" s="24"/>
      <c r="DT2808" s="24"/>
      <c r="DU2808" s="24"/>
    </row>
    <row r="2809" spans="1:125" s="8" customFormat="1" ht="36" x14ac:dyDescent="0.2">
      <c r="A2809" s="353">
        <v>41511</v>
      </c>
      <c r="B2809" s="352" t="s">
        <v>2852</v>
      </c>
      <c r="C2809" s="227" t="s">
        <v>1221</v>
      </c>
      <c r="D2809" s="354" t="s">
        <v>3051</v>
      </c>
      <c r="E2809" s="75" t="str">
        <f>VLOOKUP(B2809&amp;C2809,Divipola!$C$2:$F$1138,4,FALSE)</f>
        <v>27077</v>
      </c>
      <c r="F2809" s="87"/>
      <c r="G2809" s="87"/>
      <c r="H2809" s="87"/>
      <c r="I2809" s="87"/>
      <c r="J2809" s="87"/>
      <c r="K2809" s="87"/>
      <c r="L2809" s="87"/>
      <c r="M2809" s="87"/>
      <c r="N2809" s="87"/>
      <c r="O2809" s="87"/>
      <c r="P2809" s="87"/>
      <c r="Q2809" s="87"/>
      <c r="R2809" s="87"/>
      <c r="S2809" s="87"/>
      <c r="T2809" s="87"/>
      <c r="U2809" s="88"/>
      <c r="V2809" s="89"/>
      <c r="W2809" s="96">
        <v>0</v>
      </c>
      <c r="X2809" s="71">
        <f>CU2809</f>
        <v>0</v>
      </c>
      <c r="Y2809" s="71">
        <f>CY2809</f>
        <v>0</v>
      </c>
      <c r="Z2809" s="71">
        <f>DA2809+DC2809+DE2809</f>
        <v>0</v>
      </c>
      <c r="AA2809" s="71">
        <f>CW2809</f>
        <v>0</v>
      </c>
      <c r="AB2809" s="71"/>
      <c r="AC2809" s="71">
        <v>0</v>
      </c>
      <c r="AD2809" s="71">
        <f>W2809+X2809+Y2809+Z2809+AA2809+AB2809+AC2809</f>
        <v>0</v>
      </c>
      <c r="AE2809" s="72">
        <v>0</v>
      </c>
      <c r="AF2809" s="5"/>
      <c r="AG2809" s="6"/>
      <c r="AH2809" s="27"/>
      <c r="AI2809" s="44"/>
      <c r="AJ2809" s="26"/>
      <c r="AK2809" s="5"/>
      <c r="AL2809" s="82" t="s">
        <v>5701</v>
      </c>
      <c r="AM2809" s="76"/>
      <c r="AN2809" s="76"/>
      <c r="AO2809" s="76"/>
      <c r="AP2809" s="76"/>
      <c r="AQ2809" s="76"/>
      <c r="AR2809" s="76"/>
      <c r="AS2809" s="76"/>
      <c r="AT2809" s="76"/>
      <c r="AU2809" s="76"/>
      <c r="AV2809" s="76"/>
      <c r="AW2809" s="76"/>
      <c r="AX2809" s="76">
        <f>+AW2809*600000</f>
        <v>0</v>
      </c>
      <c r="AY2809" s="76"/>
      <c r="AZ2809" s="76">
        <f>+AY2809*70000</f>
        <v>0</v>
      </c>
      <c r="BA2809" s="76"/>
      <c r="BB2809" s="76"/>
      <c r="BC2809" s="76"/>
      <c r="BD2809" s="76">
        <f>+BC2809*30000</f>
        <v>0</v>
      </c>
      <c r="BE2809" s="76"/>
      <c r="BF2809" s="76"/>
      <c r="BG2809" s="76"/>
      <c r="BH2809" s="76"/>
      <c r="BI2809" s="76"/>
      <c r="BJ2809" s="76"/>
      <c r="BK2809" s="76"/>
      <c r="BL2809" s="76">
        <f>+BK2809*31500</f>
        <v>0</v>
      </c>
      <c r="BM2809" s="76"/>
      <c r="BN2809" s="76"/>
      <c r="BO2809" s="76"/>
      <c r="BP2809" s="76"/>
      <c r="BQ2809" s="76"/>
      <c r="BR2809" s="76"/>
      <c r="BS2809" s="76"/>
      <c r="BT2809" s="76"/>
      <c r="BU2809" s="76"/>
      <c r="BV2809" s="76"/>
      <c r="BW2809" s="76"/>
      <c r="BX2809" s="76"/>
      <c r="BY2809" s="76"/>
      <c r="BZ2809" s="76"/>
      <c r="CA2809" s="76"/>
      <c r="CB2809" s="76"/>
      <c r="CC2809" s="76"/>
      <c r="CD2809" s="76"/>
      <c r="CE2809" s="76"/>
      <c r="CF2809" s="76">
        <f>+CE2809*28000</f>
        <v>0</v>
      </c>
      <c r="CG2809" s="76"/>
      <c r="CH2809" s="76">
        <f>+CG2809*22500</f>
        <v>0</v>
      </c>
      <c r="CI2809" s="76"/>
      <c r="CJ2809" s="76">
        <f>+CI2809*26000</f>
        <v>0</v>
      </c>
      <c r="CK2809" s="76"/>
      <c r="CL2809" s="76"/>
      <c r="CM2809" s="76"/>
      <c r="CN2809" s="76">
        <f>+CM2809*22000</f>
        <v>0</v>
      </c>
      <c r="CO2809" s="76"/>
      <c r="CP2809" s="76">
        <f>+CO2809*46000</f>
        <v>0</v>
      </c>
      <c r="CQ2809" s="76"/>
      <c r="CR2809" s="76">
        <f>+CQ2809*49000</f>
        <v>0</v>
      </c>
      <c r="CS2809" s="76"/>
      <c r="CT2809" s="76"/>
      <c r="CU2809" s="56">
        <f>AN2809+AP2809+AR2809+AT2809+AV2809+AX2809+AZ2809+BB2809+BD2809+BF2809+BH2809+BJ2809+BL2809+BN2809+BP2809+BR2809+BT2809+BV2809+BX2809+BZ2809+CB2809+CD2809+CF2809+CH2809+CJ2809+CL2809+CN2809+CP2809+CR2809+CT2809</f>
        <v>0</v>
      </c>
      <c r="CV2809" s="76"/>
      <c r="CW2809" s="76">
        <f>+CV2809*1100</f>
        <v>0</v>
      </c>
      <c r="CX2809" s="76"/>
      <c r="CY2809" s="76">
        <f>+CX2809*106250</f>
        <v>0</v>
      </c>
      <c r="CZ2809" s="76"/>
      <c r="DA2809" s="76">
        <f>+CZ2809*34500</f>
        <v>0</v>
      </c>
      <c r="DB2809" s="76"/>
      <c r="DC2809" s="76">
        <f>+DB2809*25000</f>
        <v>0</v>
      </c>
      <c r="DD2809" s="219"/>
      <c r="DE2809" s="219"/>
      <c r="DF2809" s="166"/>
      <c r="DG2809" s="116"/>
      <c r="DH2809" s="117"/>
      <c r="DI2809" s="24"/>
      <c r="DJ2809" s="24"/>
      <c r="DK2809" s="24"/>
      <c r="DL2809" s="24"/>
      <c r="DM2809" s="24"/>
      <c r="DN2809" s="24"/>
      <c r="DO2809" s="24"/>
      <c r="DP2809" s="24"/>
      <c r="DQ2809" s="24"/>
      <c r="DR2809" s="24"/>
      <c r="DS2809" s="24"/>
      <c r="DT2809" s="24"/>
      <c r="DU2809" s="24"/>
    </row>
    <row r="2810" spans="1:125" s="8" customFormat="1" ht="108" x14ac:dyDescent="0.2">
      <c r="A2810" s="77">
        <v>41511</v>
      </c>
      <c r="B2810" s="208" t="s">
        <v>2772</v>
      </c>
      <c r="C2810" s="354" t="s">
        <v>1336</v>
      </c>
      <c r="D2810" s="354" t="s">
        <v>2882</v>
      </c>
      <c r="E2810" s="75" t="str">
        <f>VLOOKUP(B2810&amp;C2810,Divipola!$C$2:$F$1138,4,FALSE)</f>
        <v>25394</v>
      </c>
      <c r="F2810" s="87"/>
      <c r="G2810" s="87"/>
      <c r="H2810" s="87"/>
      <c r="I2810" s="87">
        <v>30</v>
      </c>
      <c r="J2810" s="87">
        <v>6</v>
      </c>
      <c r="K2810" s="87"/>
      <c r="L2810" s="87">
        <v>6</v>
      </c>
      <c r="M2810" s="87"/>
      <c r="N2810" s="87"/>
      <c r="O2810" s="87"/>
      <c r="P2810" s="87"/>
      <c r="Q2810" s="87"/>
      <c r="R2810" s="87"/>
      <c r="S2810" s="87"/>
      <c r="T2810" s="87"/>
      <c r="U2810" s="88"/>
      <c r="V2810" s="89"/>
      <c r="W2810" s="96">
        <v>0</v>
      </c>
      <c r="X2810" s="71">
        <f>CU2810</f>
        <v>0</v>
      </c>
      <c r="Y2810" s="71">
        <f>CY2810</f>
        <v>0</v>
      </c>
      <c r="Z2810" s="71">
        <f>DA2810+DC2810+DE2810</f>
        <v>0</v>
      </c>
      <c r="AA2810" s="71">
        <f>CW2810</f>
        <v>0</v>
      </c>
      <c r="AB2810" s="71"/>
      <c r="AC2810" s="71">
        <v>0</v>
      </c>
      <c r="AD2810" s="71">
        <f>W2810+X2810+Y2810+Z2810+AA2810+AB2810+AC2810</f>
        <v>0</v>
      </c>
      <c r="AE2810" s="72">
        <v>0</v>
      </c>
      <c r="AF2810" s="5"/>
      <c r="AG2810" s="6"/>
      <c r="AH2810" s="27"/>
      <c r="AI2810" s="44"/>
      <c r="AJ2810" s="26"/>
      <c r="AK2810" s="5"/>
      <c r="AL2810" s="82" t="s">
        <v>5717</v>
      </c>
      <c r="AM2810" s="76"/>
      <c r="AN2810" s="76"/>
      <c r="AO2810" s="76"/>
      <c r="AP2810" s="76"/>
      <c r="AQ2810" s="76"/>
      <c r="AR2810" s="76"/>
      <c r="AS2810" s="76"/>
      <c r="AT2810" s="76"/>
      <c r="AU2810" s="76"/>
      <c r="AV2810" s="76"/>
      <c r="AW2810" s="76"/>
      <c r="AX2810" s="76">
        <f>+AW2810*600000</f>
        <v>0</v>
      </c>
      <c r="AY2810" s="76"/>
      <c r="AZ2810" s="76">
        <f>+AY2810*70000</f>
        <v>0</v>
      </c>
      <c r="BA2810" s="76"/>
      <c r="BB2810" s="76"/>
      <c r="BC2810" s="76"/>
      <c r="BD2810" s="76">
        <f>+BC2810*30000</f>
        <v>0</v>
      </c>
      <c r="BE2810" s="76"/>
      <c r="BF2810" s="76"/>
      <c r="BG2810" s="76"/>
      <c r="BH2810" s="76"/>
      <c r="BI2810" s="76"/>
      <c r="BJ2810" s="76"/>
      <c r="BK2810" s="76"/>
      <c r="BL2810" s="76">
        <f>+BK2810*31500</f>
        <v>0</v>
      </c>
      <c r="BM2810" s="76"/>
      <c r="BN2810" s="76"/>
      <c r="BO2810" s="76"/>
      <c r="BP2810" s="76"/>
      <c r="BQ2810" s="76"/>
      <c r="BR2810" s="76"/>
      <c r="BS2810" s="76"/>
      <c r="BT2810" s="76"/>
      <c r="BU2810" s="76"/>
      <c r="BV2810" s="76"/>
      <c r="BW2810" s="76"/>
      <c r="BX2810" s="76"/>
      <c r="BY2810" s="76"/>
      <c r="BZ2810" s="76"/>
      <c r="CA2810" s="76"/>
      <c r="CB2810" s="76"/>
      <c r="CC2810" s="76"/>
      <c r="CD2810" s="76"/>
      <c r="CE2810" s="76"/>
      <c r="CF2810" s="76">
        <f>+CE2810*28000</f>
        <v>0</v>
      </c>
      <c r="CG2810" s="76"/>
      <c r="CH2810" s="76">
        <f>+CG2810*22500</f>
        <v>0</v>
      </c>
      <c r="CI2810" s="76"/>
      <c r="CJ2810" s="76">
        <f>+CI2810*26000</f>
        <v>0</v>
      </c>
      <c r="CK2810" s="76"/>
      <c r="CL2810" s="76"/>
      <c r="CM2810" s="76"/>
      <c r="CN2810" s="76">
        <f>+CM2810*22000</f>
        <v>0</v>
      </c>
      <c r="CO2810" s="76"/>
      <c r="CP2810" s="76">
        <f>+CO2810*46000</f>
        <v>0</v>
      </c>
      <c r="CQ2810" s="76"/>
      <c r="CR2810" s="76">
        <f>+CQ2810*49000</f>
        <v>0</v>
      </c>
      <c r="CS2810" s="76"/>
      <c r="CT2810" s="76"/>
      <c r="CU2810" s="56">
        <f>AN2810+AP2810+AR2810+AT2810+AV2810+AX2810+AZ2810+BB2810+BD2810+BF2810+BH2810+BJ2810+BL2810+BN2810+BP2810+BR2810+BT2810+BV2810+BX2810+BZ2810+CB2810+CD2810+CF2810+CH2810+CJ2810+CL2810+CN2810+CP2810+CR2810+CT2810</f>
        <v>0</v>
      </c>
      <c r="CV2810" s="76"/>
      <c r="CW2810" s="76">
        <f>+CV2810*1100</f>
        <v>0</v>
      </c>
      <c r="CX2810" s="76"/>
      <c r="CY2810" s="76">
        <f>+CX2810*106250</f>
        <v>0</v>
      </c>
      <c r="CZ2810" s="76"/>
      <c r="DA2810" s="76">
        <f>+CZ2810*34500</f>
        <v>0</v>
      </c>
      <c r="DB2810" s="76"/>
      <c r="DC2810" s="76">
        <f>+DB2810*25000</f>
        <v>0</v>
      </c>
      <c r="DD2810" s="219"/>
      <c r="DE2810" s="219"/>
      <c r="DF2810" s="166"/>
      <c r="DG2810" s="116"/>
      <c r="DH2810" s="117"/>
      <c r="DI2810" s="24"/>
      <c r="DJ2810" s="24"/>
      <c r="DK2810" s="24"/>
      <c r="DL2810" s="24"/>
      <c r="DM2810" s="24"/>
      <c r="DN2810" s="24"/>
      <c r="DO2810" s="24"/>
      <c r="DP2810" s="24"/>
      <c r="DQ2810" s="24"/>
      <c r="DR2810" s="24"/>
      <c r="DS2810" s="24"/>
      <c r="DT2810" s="24"/>
      <c r="DU2810" s="24"/>
    </row>
    <row r="2811" spans="1:125" s="8" customFormat="1" ht="132" x14ac:dyDescent="0.2">
      <c r="A2811" s="353">
        <v>41511</v>
      </c>
      <c r="B2811" s="352" t="s">
        <v>2661</v>
      </c>
      <c r="C2811" s="354" t="s">
        <v>2838</v>
      </c>
      <c r="D2811" s="354" t="s">
        <v>2882</v>
      </c>
      <c r="E2811" s="75" t="str">
        <f>VLOOKUP(B2811&amp;C2811,Divipola!$C$2:$F$1138,4,FALSE)</f>
        <v>41132</v>
      </c>
      <c r="F2811" s="87"/>
      <c r="G2811" s="87"/>
      <c r="H2811" s="87"/>
      <c r="I2811" s="87"/>
      <c r="J2811" s="87"/>
      <c r="K2811" s="87"/>
      <c r="L2811" s="87"/>
      <c r="M2811" s="87"/>
      <c r="N2811" s="87"/>
      <c r="O2811" s="87"/>
      <c r="P2811" s="87"/>
      <c r="Q2811" s="87"/>
      <c r="R2811" s="87"/>
      <c r="S2811" s="87"/>
      <c r="T2811" s="87"/>
      <c r="U2811" s="88"/>
      <c r="V2811" s="89"/>
      <c r="W2811" s="96">
        <v>0</v>
      </c>
      <c r="X2811" s="71">
        <f>CU2811</f>
        <v>0</v>
      </c>
      <c r="Y2811" s="71">
        <f>CY2811</f>
        <v>0</v>
      </c>
      <c r="Z2811" s="71">
        <f>DA2811+DC2811+DE2811</f>
        <v>0</v>
      </c>
      <c r="AA2811" s="71">
        <f>CW2811</f>
        <v>0</v>
      </c>
      <c r="AB2811" s="71"/>
      <c r="AC2811" s="71">
        <v>0</v>
      </c>
      <c r="AD2811" s="71">
        <f>W2811+X2811+Y2811+Z2811+AA2811+AB2811+AC2811</f>
        <v>0</v>
      </c>
      <c r="AE2811" s="72">
        <v>0</v>
      </c>
      <c r="AF2811" s="5"/>
      <c r="AG2811" s="6"/>
      <c r="AH2811" s="27"/>
      <c r="AI2811" s="44"/>
      <c r="AJ2811" s="26"/>
      <c r="AK2811" s="5"/>
      <c r="AL2811" s="82" t="s">
        <v>5700</v>
      </c>
      <c r="AM2811" s="76"/>
      <c r="AN2811" s="76"/>
      <c r="AO2811" s="76"/>
      <c r="AP2811" s="76"/>
      <c r="AQ2811" s="76"/>
      <c r="AR2811" s="76"/>
      <c r="AS2811" s="76"/>
      <c r="AT2811" s="76"/>
      <c r="AU2811" s="76"/>
      <c r="AV2811" s="76"/>
      <c r="AW2811" s="76"/>
      <c r="AX2811" s="76">
        <f>+AW2811*600000</f>
        <v>0</v>
      </c>
      <c r="AY2811" s="76"/>
      <c r="AZ2811" s="76">
        <f>+AY2811*70000</f>
        <v>0</v>
      </c>
      <c r="BA2811" s="76"/>
      <c r="BB2811" s="76"/>
      <c r="BC2811" s="76"/>
      <c r="BD2811" s="76">
        <f>+BC2811*30000</f>
        <v>0</v>
      </c>
      <c r="BE2811" s="76"/>
      <c r="BF2811" s="76"/>
      <c r="BG2811" s="76"/>
      <c r="BH2811" s="76"/>
      <c r="BI2811" s="76"/>
      <c r="BJ2811" s="76"/>
      <c r="BK2811" s="76"/>
      <c r="BL2811" s="76">
        <f>+BK2811*31500</f>
        <v>0</v>
      </c>
      <c r="BM2811" s="76"/>
      <c r="BN2811" s="76"/>
      <c r="BO2811" s="76"/>
      <c r="BP2811" s="76"/>
      <c r="BQ2811" s="76"/>
      <c r="BR2811" s="76"/>
      <c r="BS2811" s="76"/>
      <c r="BT2811" s="76"/>
      <c r="BU2811" s="76"/>
      <c r="BV2811" s="76"/>
      <c r="BW2811" s="76"/>
      <c r="BX2811" s="76"/>
      <c r="BY2811" s="76"/>
      <c r="BZ2811" s="76"/>
      <c r="CA2811" s="76"/>
      <c r="CB2811" s="76"/>
      <c r="CC2811" s="76"/>
      <c r="CD2811" s="76"/>
      <c r="CE2811" s="76"/>
      <c r="CF2811" s="76">
        <f>+CE2811*28000</f>
        <v>0</v>
      </c>
      <c r="CG2811" s="76"/>
      <c r="CH2811" s="76">
        <f>+CG2811*22500</f>
        <v>0</v>
      </c>
      <c r="CI2811" s="76"/>
      <c r="CJ2811" s="76">
        <f>+CI2811*26000</f>
        <v>0</v>
      </c>
      <c r="CK2811" s="76"/>
      <c r="CL2811" s="76"/>
      <c r="CM2811" s="76"/>
      <c r="CN2811" s="76">
        <f>+CM2811*22000</f>
        <v>0</v>
      </c>
      <c r="CO2811" s="76"/>
      <c r="CP2811" s="76">
        <f>+CO2811*46000</f>
        <v>0</v>
      </c>
      <c r="CQ2811" s="76"/>
      <c r="CR2811" s="76">
        <f>+CQ2811*49000</f>
        <v>0</v>
      </c>
      <c r="CS2811" s="76"/>
      <c r="CT2811" s="76"/>
      <c r="CU2811" s="56">
        <f>AN2811+AP2811+AR2811+AT2811+AV2811+AX2811+AZ2811+BB2811+BD2811+BF2811+BH2811+BJ2811+BL2811+BN2811+BP2811+BR2811+BT2811+BV2811+BX2811+BZ2811+CB2811+CD2811+CF2811+CH2811+CJ2811+CL2811+CN2811+CP2811+CR2811+CT2811</f>
        <v>0</v>
      </c>
      <c r="CV2811" s="76"/>
      <c r="CW2811" s="76">
        <f>+CV2811*1100</f>
        <v>0</v>
      </c>
      <c r="CX2811" s="76"/>
      <c r="CY2811" s="76">
        <f>+CX2811*106250</f>
        <v>0</v>
      </c>
      <c r="CZ2811" s="76"/>
      <c r="DA2811" s="76">
        <f>+CZ2811*34500</f>
        <v>0</v>
      </c>
      <c r="DB2811" s="76"/>
      <c r="DC2811" s="76">
        <f>+DB2811*25000</f>
        <v>0</v>
      </c>
      <c r="DD2811" s="219"/>
      <c r="DE2811" s="219"/>
      <c r="DF2811" s="166"/>
      <c r="DG2811" s="116"/>
      <c r="DH2811" s="117"/>
      <c r="DI2811" s="24"/>
      <c r="DJ2811" s="24"/>
      <c r="DK2811" s="24"/>
      <c r="DL2811" s="24"/>
      <c r="DM2811" s="24"/>
      <c r="DN2811" s="24"/>
      <c r="DO2811" s="24"/>
      <c r="DP2811" s="24"/>
      <c r="DQ2811" s="24"/>
      <c r="DR2811" s="24"/>
      <c r="DS2811" s="24"/>
      <c r="DT2811" s="24"/>
      <c r="DU2811" s="24"/>
    </row>
    <row r="2812" spans="1:125" s="8" customFormat="1" ht="144" x14ac:dyDescent="0.2">
      <c r="A2812" s="77">
        <v>41511</v>
      </c>
      <c r="B2812" s="352" t="s">
        <v>506</v>
      </c>
      <c r="C2812" s="354" t="s">
        <v>1697</v>
      </c>
      <c r="D2812" s="354" t="s">
        <v>2882</v>
      </c>
      <c r="E2812" s="75" t="str">
        <f>VLOOKUP(B2812&amp;C2812,Divipola!$C$2:$F$1138,4,FALSE)</f>
        <v>50001</v>
      </c>
      <c r="F2812" s="87"/>
      <c r="G2812" s="87"/>
      <c r="H2812" s="87"/>
      <c r="I2812" s="87">
        <v>1430</v>
      </c>
      <c r="J2812" s="87">
        <v>286</v>
      </c>
      <c r="K2812" s="87"/>
      <c r="L2812" s="87">
        <v>286</v>
      </c>
      <c r="M2812" s="87"/>
      <c r="N2812" s="87"/>
      <c r="O2812" s="87"/>
      <c r="P2812" s="87"/>
      <c r="Q2812" s="87"/>
      <c r="R2812" s="87"/>
      <c r="S2812" s="87">
        <v>2</v>
      </c>
      <c r="T2812" s="87"/>
      <c r="U2812" s="88"/>
      <c r="V2812" s="89"/>
      <c r="W2812" s="96">
        <v>0</v>
      </c>
      <c r="X2812" s="71">
        <f>CU2812</f>
        <v>0</v>
      </c>
      <c r="Y2812" s="71">
        <f>CY2812</f>
        <v>0</v>
      </c>
      <c r="Z2812" s="71">
        <f>DA2812+DC2812+DE2812</f>
        <v>108169408.40000001</v>
      </c>
      <c r="AA2812" s="71">
        <f>CW2812</f>
        <v>0</v>
      </c>
      <c r="AB2812" s="71"/>
      <c r="AC2812" s="71">
        <v>0</v>
      </c>
      <c r="AD2812" s="71">
        <f>W2812+X2812+Y2812+Z2812+AA2812+AB2812+AC2812</f>
        <v>108169408.40000001</v>
      </c>
      <c r="AE2812" s="72">
        <v>0</v>
      </c>
      <c r="AF2812" s="5"/>
      <c r="AG2812" s="6"/>
      <c r="AH2812" s="27"/>
      <c r="AI2812" s="44"/>
      <c r="AJ2812" s="26"/>
      <c r="AK2812" s="5"/>
      <c r="AL2812" s="82" t="s">
        <v>5841</v>
      </c>
      <c r="AM2812" s="76"/>
      <c r="AN2812" s="76"/>
      <c r="AO2812" s="76"/>
      <c r="AP2812" s="76"/>
      <c r="AQ2812" s="76"/>
      <c r="AR2812" s="76"/>
      <c r="AS2812" s="76"/>
      <c r="AT2812" s="76"/>
      <c r="AU2812" s="76"/>
      <c r="AV2812" s="76"/>
      <c r="AW2812" s="76"/>
      <c r="AX2812" s="76">
        <f>+AW2812*600000</f>
        <v>0</v>
      </c>
      <c r="AY2812" s="76"/>
      <c r="AZ2812" s="76">
        <f>+AY2812*70000</f>
        <v>0</v>
      </c>
      <c r="BA2812" s="76"/>
      <c r="BB2812" s="76"/>
      <c r="BC2812" s="76"/>
      <c r="BD2812" s="76">
        <f>+BC2812*30000</f>
        <v>0</v>
      </c>
      <c r="BE2812" s="76"/>
      <c r="BF2812" s="76"/>
      <c r="BG2812" s="76"/>
      <c r="BH2812" s="76"/>
      <c r="BI2812" s="76"/>
      <c r="BJ2812" s="76"/>
      <c r="BK2812" s="76"/>
      <c r="BL2812" s="76">
        <f>+BK2812*31500</f>
        <v>0</v>
      </c>
      <c r="BM2812" s="76"/>
      <c r="BN2812" s="76"/>
      <c r="BO2812" s="76"/>
      <c r="BP2812" s="76"/>
      <c r="BQ2812" s="76"/>
      <c r="BR2812" s="76"/>
      <c r="BS2812" s="76"/>
      <c r="BT2812" s="76"/>
      <c r="BU2812" s="76"/>
      <c r="BV2812" s="76"/>
      <c r="BW2812" s="76"/>
      <c r="BX2812" s="76"/>
      <c r="BY2812" s="76"/>
      <c r="BZ2812" s="76"/>
      <c r="CA2812" s="76"/>
      <c r="CB2812" s="76"/>
      <c r="CC2812" s="76"/>
      <c r="CD2812" s="76"/>
      <c r="CE2812" s="76"/>
      <c r="CF2812" s="76">
        <f>+CE2812*28000</f>
        <v>0</v>
      </c>
      <c r="CG2812" s="76"/>
      <c r="CH2812" s="76">
        <f>+CG2812*22500</f>
        <v>0</v>
      </c>
      <c r="CI2812" s="76"/>
      <c r="CJ2812" s="76">
        <f>+CI2812*26000</f>
        <v>0</v>
      </c>
      <c r="CK2812" s="76"/>
      <c r="CL2812" s="76"/>
      <c r="CM2812" s="76"/>
      <c r="CN2812" s="76">
        <f>+CM2812*22000</f>
        <v>0</v>
      </c>
      <c r="CO2812" s="76"/>
      <c r="CP2812" s="76">
        <f>+CO2812*46000</f>
        <v>0</v>
      </c>
      <c r="CQ2812" s="76"/>
      <c r="CR2812" s="76">
        <f>+CQ2812*49000</f>
        <v>0</v>
      </c>
      <c r="CS2812" s="76"/>
      <c r="CT2812" s="76"/>
      <c r="CU2812" s="56">
        <f>AN2812+AP2812+AR2812+AT2812+AV2812+AX2812+AZ2812+BB2812+BD2812+BF2812+BH2812+BJ2812+BL2812+BN2812+BP2812+BR2812+BT2812+BV2812+BX2812+BZ2812+CB2812+CD2812+CF2812+CH2812+CJ2812+CL2812+CN2812+CP2812+CR2812+CT2812</f>
        <v>0</v>
      </c>
      <c r="CV2812" s="76"/>
      <c r="CW2812" s="76">
        <f>+CV2812*1100</f>
        <v>0</v>
      </c>
      <c r="CX2812" s="76"/>
      <c r="CY2812" s="76">
        <f>+CX2812*106250</f>
        <v>0</v>
      </c>
      <c r="CZ2812" s="76"/>
      <c r="DA2812" s="76">
        <f>+CZ2812*34500</f>
        <v>0</v>
      </c>
      <c r="DB2812" s="86">
        <f>580+2010</f>
        <v>2590</v>
      </c>
      <c r="DC2812" s="86">
        <f>580*31999.76+810*48999.56+1200*41599.92</f>
        <v>108169408.40000001</v>
      </c>
      <c r="DD2812" s="219"/>
      <c r="DE2812" s="219"/>
      <c r="DF2812" s="166"/>
      <c r="DG2812" s="134" t="s">
        <v>6129</v>
      </c>
      <c r="DH2812" s="117"/>
      <c r="DI2812" s="24"/>
      <c r="DJ2812" s="24"/>
      <c r="DK2812" s="24"/>
      <c r="DL2812" s="24"/>
      <c r="DM2812" s="24"/>
      <c r="DN2812" s="24"/>
      <c r="DO2812" s="24"/>
      <c r="DP2812" s="24"/>
      <c r="DQ2812" s="24"/>
      <c r="DR2812" s="24"/>
      <c r="DS2812" s="24"/>
      <c r="DT2812" s="24"/>
      <c r="DU2812" s="24"/>
    </row>
    <row r="2813" spans="1:125" s="8" customFormat="1" ht="72" x14ac:dyDescent="0.2">
      <c r="A2813" s="77">
        <v>41511</v>
      </c>
      <c r="B2813" s="225" t="s">
        <v>2848</v>
      </c>
      <c r="C2813" s="227" t="s">
        <v>2755</v>
      </c>
      <c r="D2813" s="354" t="s">
        <v>2882</v>
      </c>
      <c r="E2813" s="75" t="str">
        <f>VLOOKUP(B2813&amp;C2813,Divipola!$C$2:$F$1138,4,FALSE)</f>
        <v>73001</v>
      </c>
      <c r="F2813" s="87"/>
      <c r="G2813" s="87"/>
      <c r="H2813" s="87"/>
      <c r="I2813" s="87">
        <v>15</v>
      </c>
      <c r="J2813" s="87">
        <v>3</v>
      </c>
      <c r="K2813" s="87"/>
      <c r="L2813" s="87">
        <v>3</v>
      </c>
      <c r="M2813" s="87"/>
      <c r="N2813" s="87"/>
      <c r="O2813" s="87"/>
      <c r="P2813" s="87"/>
      <c r="Q2813" s="87"/>
      <c r="R2813" s="87"/>
      <c r="S2813" s="87"/>
      <c r="T2813" s="87"/>
      <c r="U2813" s="88"/>
      <c r="V2813" s="89"/>
      <c r="W2813" s="96">
        <v>0</v>
      </c>
      <c r="X2813" s="71">
        <f>CU2813</f>
        <v>0</v>
      </c>
      <c r="Y2813" s="71">
        <f>CY2813</f>
        <v>0</v>
      </c>
      <c r="Z2813" s="71">
        <f>DA2813+DC2813+DE2813</f>
        <v>0</v>
      </c>
      <c r="AA2813" s="71">
        <f>CW2813</f>
        <v>0</v>
      </c>
      <c r="AB2813" s="71"/>
      <c r="AC2813" s="71">
        <v>0</v>
      </c>
      <c r="AD2813" s="71">
        <f>W2813+X2813+Y2813+Z2813+AA2813+AB2813+AC2813</f>
        <v>0</v>
      </c>
      <c r="AE2813" s="72">
        <v>0</v>
      </c>
      <c r="AF2813" s="5"/>
      <c r="AG2813" s="6"/>
      <c r="AH2813" s="27"/>
      <c r="AI2813" s="44"/>
      <c r="AJ2813" s="26"/>
      <c r="AK2813" s="5"/>
      <c r="AL2813" s="82" t="s">
        <v>5695</v>
      </c>
      <c r="AM2813" s="76"/>
      <c r="AN2813" s="76"/>
      <c r="AO2813" s="76"/>
      <c r="AP2813" s="76"/>
      <c r="AQ2813" s="76"/>
      <c r="AR2813" s="76"/>
      <c r="AS2813" s="76"/>
      <c r="AT2813" s="76"/>
      <c r="AU2813" s="76"/>
      <c r="AV2813" s="76"/>
      <c r="AW2813" s="76"/>
      <c r="AX2813" s="76">
        <f>+AW2813*600000</f>
        <v>0</v>
      </c>
      <c r="AY2813" s="76"/>
      <c r="AZ2813" s="76">
        <f>+AY2813*70000</f>
        <v>0</v>
      </c>
      <c r="BA2813" s="76"/>
      <c r="BB2813" s="76"/>
      <c r="BC2813" s="76"/>
      <c r="BD2813" s="76">
        <f>+BC2813*30000</f>
        <v>0</v>
      </c>
      <c r="BE2813" s="76"/>
      <c r="BF2813" s="76"/>
      <c r="BG2813" s="76"/>
      <c r="BH2813" s="76"/>
      <c r="BI2813" s="76"/>
      <c r="BJ2813" s="76"/>
      <c r="BK2813" s="76"/>
      <c r="BL2813" s="76">
        <f>+BK2813*31500</f>
        <v>0</v>
      </c>
      <c r="BM2813" s="76"/>
      <c r="BN2813" s="76"/>
      <c r="BO2813" s="76"/>
      <c r="BP2813" s="76"/>
      <c r="BQ2813" s="76"/>
      <c r="BR2813" s="76"/>
      <c r="BS2813" s="76"/>
      <c r="BT2813" s="76"/>
      <c r="BU2813" s="76"/>
      <c r="BV2813" s="76"/>
      <c r="BW2813" s="76"/>
      <c r="BX2813" s="76"/>
      <c r="BY2813" s="76"/>
      <c r="BZ2813" s="76"/>
      <c r="CA2813" s="76"/>
      <c r="CB2813" s="76"/>
      <c r="CC2813" s="76"/>
      <c r="CD2813" s="76"/>
      <c r="CE2813" s="76"/>
      <c r="CF2813" s="76">
        <f>+CE2813*28000</f>
        <v>0</v>
      </c>
      <c r="CG2813" s="76"/>
      <c r="CH2813" s="76">
        <f>+CG2813*22500</f>
        <v>0</v>
      </c>
      <c r="CI2813" s="76"/>
      <c r="CJ2813" s="76">
        <f>+CI2813*26000</f>
        <v>0</v>
      </c>
      <c r="CK2813" s="76"/>
      <c r="CL2813" s="76"/>
      <c r="CM2813" s="76"/>
      <c r="CN2813" s="76">
        <f>+CM2813*22000</f>
        <v>0</v>
      </c>
      <c r="CO2813" s="76"/>
      <c r="CP2813" s="76">
        <f>+CO2813*46000</f>
        <v>0</v>
      </c>
      <c r="CQ2813" s="76"/>
      <c r="CR2813" s="76">
        <f>+CQ2813*49000</f>
        <v>0</v>
      </c>
      <c r="CS2813" s="76"/>
      <c r="CT2813" s="76"/>
      <c r="CU2813" s="56">
        <f>AN2813+AP2813+AR2813+AT2813+AV2813+AX2813+AZ2813+BB2813+BD2813+BF2813+BH2813+BJ2813+BL2813+BN2813+BP2813+BR2813+BT2813+BV2813+BX2813+BZ2813+CB2813+CD2813+CF2813+CH2813+CJ2813+CL2813+CN2813+CP2813+CR2813+CT2813</f>
        <v>0</v>
      </c>
      <c r="CV2813" s="76"/>
      <c r="CW2813" s="76">
        <f>+CV2813*1100</f>
        <v>0</v>
      </c>
      <c r="CX2813" s="76"/>
      <c r="CY2813" s="76">
        <f>+CX2813*106250</f>
        <v>0</v>
      </c>
      <c r="CZ2813" s="76"/>
      <c r="DA2813" s="76">
        <f>+CZ2813*34500</f>
        <v>0</v>
      </c>
      <c r="DB2813" s="76"/>
      <c r="DC2813" s="76">
        <f>+DB2813*25000</f>
        <v>0</v>
      </c>
      <c r="DD2813" s="219"/>
      <c r="DE2813" s="219"/>
      <c r="DF2813" s="166"/>
      <c r="DG2813" s="116"/>
      <c r="DH2813" s="117"/>
      <c r="DI2813" s="24"/>
      <c r="DJ2813" s="24"/>
      <c r="DK2813" s="24"/>
      <c r="DL2813" s="24"/>
      <c r="DM2813" s="24"/>
      <c r="DN2813" s="24"/>
      <c r="DO2813" s="24"/>
      <c r="DP2813" s="24"/>
      <c r="DQ2813" s="24"/>
      <c r="DR2813" s="24"/>
      <c r="DS2813" s="24"/>
      <c r="DT2813" s="24"/>
      <c r="DU2813" s="24"/>
    </row>
    <row r="2814" spans="1:125" s="8" customFormat="1" ht="60" x14ac:dyDescent="0.2">
      <c r="A2814" s="353">
        <v>41511</v>
      </c>
      <c r="B2814" s="225" t="s">
        <v>2851</v>
      </c>
      <c r="C2814" s="227" t="s">
        <v>1686</v>
      </c>
      <c r="D2814" s="354" t="s">
        <v>2846</v>
      </c>
      <c r="E2814" s="75" t="str">
        <f>VLOOKUP(B2814&amp;C2814,Divipola!$C$2:$F$1138,4,FALSE)</f>
        <v>76001</v>
      </c>
      <c r="F2814" s="87"/>
      <c r="G2814" s="87"/>
      <c r="H2814" s="87"/>
      <c r="I2814" s="87"/>
      <c r="J2814" s="87"/>
      <c r="K2814" s="87"/>
      <c r="L2814" s="87"/>
      <c r="M2814" s="87"/>
      <c r="N2814" s="87"/>
      <c r="O2814" s="87"/>
      <c r="P2814" s="87"/>
      <c r="Q2814" s="87"/>
      <c r="R2814" s="87"/>
      <c r="S2814" s="87"/>
      <c r="T2814" s="87"/>
      <c r="U2814" s="88">
        <v>50</v>
      </c>
      <c r="V2814" s="89"/>
      <c r="W2814" s="96">
        <v>0</v>
      </c>
      <c r="X2814" s="71">
        <f>CU2814</f>
        <v>0</v>
      </c>
      <c r="Y2814" s="71">
        <f>CY2814</f>
        <v>0</v>
      </c>
      <c r="Z2814" s="71">
        <f>DA2814+DC2814+DE2814</f>
        <v>0</v>
      </c>
      <c r="AA2814" s="71">
        <f>CW2814</f>
        <v>0</v>
      </c>
      <c r="AB2814" s="71"/>
      <c r="AC2814" s="71">
        <v>0</v>
      </c>
      <c r="AD2814" s="71">
        <f>W2814+X2814+Y2814+Z2814+AA2814+AB2814+AC2814</f>
        <v>0</v>
      </c>
      <c r="AE2814" s="72">
        <v>0</v>
      </c>
      <c r="AF2814" s="5"/>
      <c r="AG2814" s="6"/>
      <c r="AH2814" s="27"/>
      <c r="AI2814" s="44"/>
      <c r="AJ2814" s="26"/>
      <c r="AK2814" s="5"/>
      <c r="AL2814" s="279" t="s">
        <v>5691</v>
      </c>
      <c r="AM2814" s="76"/>
      <c r="AN2814" s="76"/>
      <c r="AO2814" s="76"/>
      <c r="AP2814" s="76"/>
      <c r="AQ2814" s="76"/>
      <c r="AR2814" s="76"/>
      <c r="AS2814" s="76"/>
      <c r="AT2814" s="76"/>
      <c r="AU2814" s="76"/>
      <c r="AV2814" s="76"/>
      <c r="AW2814" s="76"/>
      <c r="AX2814" s="76">
        <f>+AW2814*600000</f>
        <v>0</v>
      </c>
      <c r="AY2814" s="76"/>
      <c r="AZ2814" s="76">
        <f>+AY2814*70000</f>
        <v>0</v>
      </c>
      <c r="BA2814" s="76"/>
      <c r="BB2814" s="76"/>
      <c r="BC2814" s="76"/>
      <c r="BD2814" s="76">
        <f>+BC2814*30000</f>
        <v>0</v>
      </c>
      <c r="BE2814" s="76"/>
      <c r="BF2814" s="76"/>
      <c r="BG2814" s="76"/>
      <c r="BH2814" s="76"/>
      <c r="BI2814" s="76"/>
      <c r="BJ2814" s="76"/>
      <c r="BK2814" s="76"/>
      <c r="BL2814" s="76">
        <f>+BK2814*31500</f>
        <v>0</v>
      </c>
      <c r="BM2814" s="76"/>
      <c r="BN2814" s="76"/>
      <c r="BO2814" s="76"/>
      <c r="BP2814" s="76"/>
      <c r="BQ2814" s="76"/>
      <c r="BR2814" s="76"/>
      <c r="BS2814" s="76"/>
      <c r="BT2814" s="76"/>
      <c r="BU2814" s="76"/>
      <c r="BV2814" s="76"/>
      <c r="BW2814" s="76"/>
      <c r="BX2814" s="76"/>
      <c r="BY2814" s="76"/>
      <c r="BZ2814" s="76"/>
      <c r="CA2814" s="76"/>
      <c r="CB2814" s="76"/>
      <c r="CC2814" s="76"/>
      <c r="CD2814" s="76"/>
      <c r="CE2814" s="76"/>
      <c r="CF2814" s="76">
        <f>+CE2814*28000</f>
        <v>0</v>
      </c>
      <c r="CG2814" s="76"/>
      <c r="CH2814" s="76">
        <f>+CG2814*22500</f>
        <v>0</v>
      </c>
      <c r="CI2814" s="76"/>
      <c r="CJ2814" s="76">
        <f>+CI2814*26000</f>
        <v>0</v>
      </c>
      <c r="CK2814" s="76"/>
      <c r="CL2814" s="76"/>
      <c r="CM2814" s="76"/>
      <c r="CN2814" s="76">
        <f>+CM2814*22000</f>
        <v>0</v>
      </c>
      <c r="CO2814" s="76"/>
      <c r="CP2814" s="76">
        <f>+CO2814*46000</f>
        <v>0</v>
      </c>
      <c r="CQ2814" s="76"/>
      <c r="CR2814" s="76">
        <f>+CQ2814*49000</f>
        <v>0</v>
      </c>
      <c r="CS2814" s="76"/>
      <c r="CT2814" s="76"/>
      <c r="CU2814" s="56">
        <f>AN2814+AP2814+AR2814+AT2814+AV2814+AX2814+AZ2814+BB2814+BD2814+BF2814+BH2814+BJ2814+BL2814+BN2814+BP2814+BR2814+BT2814+BV2814+BX2814+BZ2814+CB2814+CD2814+CF2814+CH2814+CJ2814+CL2814+CN2814+CP2814+CR2814+CT2814</f>
        <v>0</v>
      </c>
      <c r="CV2814" s="76"/>
      <c r="CW2814" s="76">
        <f>+CV2814*1100</f>
        <v>0</v>
      </c>
      <c r="CX2814" s="76"/>
      <c r="CY2814" s="76">
        <f>+CX2814*106250</f>
        <v>0</v>
      </c>
      <c r="CZ2814" s="76"/>
      <c r="DA2814" s="76">
        <f>+CZ2814*34500</f>
        <v>0</v>
      </c>
      <c r="DB2814" s="76"/>
      <c r="DC2814" s="76">
        <f>+DB2814*25000</f>
        <v>0</v>
      </c>
      <c r="DD2814" s="219"/>
      <c r="DE2814" s="219"/>
      <c r="DF2814" s="166"/>
      <c r="DG2814" s="116"/>
      <c r="DH2814" s="117"/>
      <c r="DI2814" s="24"/>
      <c r="DJ2814" s="24"/>
      <c r="DK2814" s="24"/>
      <c r="DL2814" s="24"/>
      <c r="DM2814" s="24"/>
      <c r="DN2814" s="24"/>
      <c r="DO2814" s="24"/>
      <c r="DP2814" s="24"/>
      <c r="DQ2814" s="24"/>
      <c r="DR2814" s="24"/>
      <c r="DS2814" s="24"/>
      <c r="DT2814" s="24"/>
      <c r="DU2814" s="24"/>
    </row>
    <row r="2815" spans="1:125" s="8" customFormat="1" ht="48" x14ac:dyDescent="0.2">
      <c r="A2815" s="353">
        <v>41511</v>
      </c>
      <c r="B2815" s="352" t="s">
        <v>2851</v>
      </c>
      <c r="C2815" s="354" t="s">
        <v>2751</v>
      </c>
      <c r="D2815" s="354" t="s">
        <v>2882</v>
      </c>
      <c r="E2815" s="75" t="str">
        <f>VLOOKUP(B2815&amp;C2815,Divipola!$C$2:$F$1138,4,FALSE)</f>
        <v>76828</v>
      </c>
      <c r="F2815" s="87"/>
      <c r="G2815" s="87"/>
      <c r="H2815" s="87"/>
      <c r="I2815" s="87">
        <v>12</v>
      </c>
      <c r="J2815" s="87">
        <v>3</v>
      </c>
      <c r="K2815" s="87"/>
      <c r="L2815" s="87">
        <v>3</v>
      </c>
      <c r="M2815" s="87"/>
      <c r="N2815" s="87"/>
      <c r="O2815" s="87"/>
      <c r="P2815" s="87"/>
      <c r="Q2815" s="87"/>
      <c r="R2815" s="87"/>
      <c r="S2815" s="87"/>
      <c r="T2815" s="87"/>
      <c r="U2815" s="88"/>
      <c r="V2815" s="89"/>
      <c r="W2815" s="96">
        <v>0</v>
      </c>
      <c r="X2815" s="71">
        <f>CU2815</f>
        <v>0</v>
      </c>
      <c r="Y2815" s="71">
        <f>CY2815</f>
        <v>0</v>
      </c>
      <c r="Z2815" s="71">
        <f>DA2815+DC2815+DE2815</f>
        <v>0</v>
      </c>
      <c r="AA2815" s="71">
        <f>CW2815</f>
        <v>0</v>
      </c>
      <c r="AB2815" s="71"/>
      <c r="AC2815" s="71">
        <v>0</v>
      </c>
      <c r="AD2815" s="71">
        <f>W2815+X2815+Y2815+Z2815+AA2815+AB2815+AC2815</f>
        <v>0</v>
      </c>
      <c r="AE2815" s="72">
        <v>0</v>
      </c>
      <c r="AF2815" s="5"/>
      <c r="AG2815" s="6"/>
      <c r="AH2815" s="27"/>
      <c r="AI2815" s="44"/>
      <c r="AJ2815" s="26"/>
      <c r="AK2815" s="5"/>
      <c r="AL2815" s="82" t="s">
        <v>5711</v>
      </c>
      <c r="AM2815" s="76"/>
      <c r="AN2815" s="76"/>
      <c r="AO2815" s="76"/>
      <c r="AP2815" s="76"/>
      <c r="AQ2815" s="76"/>
      <c r="AR2815" s="76"/>
      <c r="AS2815" s="76"/>
      <c r="AT2815" s="76"/>
      <c r="AU2815" s="76"/>
      <c r="AV2815" s="76"/>
      <c r="AW2815" s="76"/>
      <c r="AX2815" s="76">
        <f>+AW2815*600000</f>
        <v>0</v>
      </c>
      <c r="AY2815" s="76"/>
      <c r="AZ2815" s="76">
        <f>+AY2815*70000</f>
        <v>0</v>
      </c>
      <c r="BA2815" s="76"/>
      <c r="BB2815" s="76"/>
      <c r="BC2815" s="76"/>
      <c r="BD2815" s="76">
        <f>+BC2815*30000</f>
        <v>0</v>
      </c>
      <c r="BE2815" s="76"/>
      <c r="BF2815" s="76"/>
      <c r="BG2815" s="76"/>
      <c r="BH2815" s="76"/>
      <c r="BI2815" s="76"/>
      <c r="BJ2815" s="76"/>
      <c r="BK2815" s="76"/>
      <c r="BL2815" s="76">
        <f>+BK2815*31500</f>
        <v>0</v>
      </c>
      <c r="BM2815" s="76"/>
      <c r="BN2815" s="76"/>
      <c r="BO2815" s="76"/>
      <c r="BP2815" s="76"/>
      <c r="BQ2815" s="76"/>
      <c r="BR2815" s="76"/>
      <c r="BS2815" s="76"/>
      <c r="BT2815" s="76"/>
      <c r="BU2815" s="76"/>
      <c r="BV2815" s="76"/>
      <c r="BW2815" s="76"/>
      <c r="BX2815" s="76"/>
      <c r="BY2815" s="76"/>
      <c r="BZ2815" s="76"/>
      <c r="CA2815" s="76"/>
      <c r="CB2815" s="76"/>
      <c r="CC2815" s="76"/>
      <c r="CD2815" s="76"/>
      <c r="CE2815" s="76"/>
      <c r="CF2815" s="76">
        <f>+CE2815*28000</f>
        <v>0</v>
      </c>
      <c r="CG2815" s="76"/>
      <c r="CH2815" s="76">
        <f>+CG2815*22500</f>
        <v>0</v>
      </c>
      <c r="CI2815" s="76"/>
      <c r="CJ2815" s="76">
        <f>+CI2815*26000</f>
        <v>0</v>
      </c>
      <c r="CK2815" s="76"/>
      <c r="CL2815" s="76"/>
      <c r="CM2815" s="76"/>
      <c r="CN2815" s="76">
        <f>+CM2815*22000</f>
        <v>0</v>
      </c>
      <c r="CO2815" s="76"/>
      <c r="CP2815" s="76">
        <f>+CO2815*46000</f>
        <v>0</v>
      </c>
      <c r="CQ2815" s="76"/>
      <c r="CR2815" s="76">
        <f>+CQ2815*49000</f>
        <v>0</v>
      </c>
      <c r="CS2815" s="76"/>
      <c r="CT2815" s="76"/>
      <c r="CU2815" s="56">
        <f>AN2815+AP2815+AR2815+AT2815+AV2815+AX2815+AZ2815+BB2815+BD2815+BF2815+BH2815+BJ2815+BL2815+BN2815+BP2815+BR2815+BT2815+BV2815+BX2815+BZ2815+CB2815+CD2815+CF2815+CH2815+CJ2815+CL2815+CN2815+CP2815+CR2815+CT2815</f>
        <v>0</v>
      </c>
      <c r="CV2815" s="76"/>
      <c r="CW2815" s="76">
        <f>+CV2815*1100</f>
        <v>0</v>
      </c>
      <c r="CX2815" s="76"/>
      <c r="CY2815" s="76">
        <f>+CX2815*106250</f>
        <v>0</v>
      </c>
      <c r="CZ2815" s="76"/>
      <c r="DA2815" s="76">
        <f>+CZ2815*34500</f>
        <v>0</v>
      </c>
      <c r="DB2815" s="76"/>
      <c r="DC2815" s="76">
        <f>+DB2815*25000</f>
        <v>0</v>
      </c>
      <c r="DD2815" s="219"/>
      <c r="DE2815" s="219"/>
      <c r="DF2815" s="166"/>
      <c r="DG2815" s="116"/>
      <c r="DH2815" s="117"/>
      <c r="DI2815" s="24"/>
      <c r="DJ2815" s="24"/>
      <c r="DK2815" s="24"/>
      <c r="DL2815" s="24"/>
      <c r="DM2815" s="24"/>
      <c r="DN2815" s="24"/>
      <c r="DO2815" s="24"/>
      <c r="DP2815" s="24"/>
      <c r="DQ2815" s="24"/>
      <c r="DR2815" s="24"/>
      <c r="DS2815" s="24"/>
      <c r="DT2815" s="24"/>
      <c r="DU2815" s="24"/>
    </row>
    <row r="2816" spans="1:125" s="8" customFormat="1" ht="60" x14ac:dyDescent="0.2">
      <c r="A2816" s="353">
        <v>41512</v>
      </c>
      <c r="B2816" s="352" t="s">
        <v>2777</v>
      </c>
      <c r="C2816" s="354" t="s">
        <v>2206</v>
      </c>
      <c r="D2816" s="354" t="s">
        <v>3205</v>
      </c>
      <c r="E2816" s="75" t="str">
        <f>VLOOKUP(B2816&amp;C2816,Divipola!$C$2:$F$1138,4,FALSE)</f>
        <v>13744</v>
      </c>
      <c r="F2816" s="87"/>
      <c r="G2816" s="87"/>
      <c r="H2816" s="87"/>
      <c r="I2816" s="87">
        <v>150</v>
      </c>
      <c r="J2816" s="87">
        <v>30</v>
      </c>
      <c r="K2816" s="87"/>
      <c r="L2816" s="87">
        <v>30</v>
      </c>
      <c r="M2816" s="87"/>
      <c r="N2816" s="87"/>
      <c r="O2816" s="87"/>
      <c r="P2816" s="87"/>
      <c r="Q2816" s="87"/>
      <c r="R2816" s="87"/>
      <c r="S2816" s="87"/>
      <c r="T2816" s="87"/>
      <c r="U2816" s="88"/>
      <c r="V2816" s="89"/>
      <c r="W2816" s="96">
        <v>0</v>
      </c>
      <c r="X2816" s="71">
        <f>CU2816</f>
        <v>0</v>
      </c>
      <c r="Y2816" s="71">
        <f>CY2816</f>
        <v>0</v>
      </c>
      <c r="Z2816" s="71">
        <f>DA2816+DC2816+DE2816</f>
        <v>0</v>
      </c>
      <c r="AA2816" s="71">
        <f>CW2816</f>
        <v>0</v>
      </c>
      <c r="AB2816" s="71"/>
      <c r="AC2816" s="71">
        <v>0</v>
      </c>
      <c r="AD2816" s="71">
        <f>W2816+X2816+Y2816+Z2816+AA2816+AB2816+AC2816</f>
        <v>0</v>
      </c>
      <c r="AE2816" s="72">
        <v>0</v>
      </c>
      <c r="AF2816" s="5"/>
      <c r="AG2816" s="6"/>
      <c r="AH2816" s="27"/>
      <c r="AI2816" s="44"/>
      <c r="AJ2816" s="26"/>
      <c r="AK2816" s="5"/>
      <c r="AL2816" s="82" t="s">
        <v>5712</v>
      </c>
      <c r="AM2816" s="76"/>
      <c r="AN2816" s="76"/>
      <c r="AO2816" s="76"/>
      <c r="AP2816" s="76"/>
      <c r="AQ2816" s="76"/>
      <c r="AR2816" s="76"/>
      <c r="AS2816" s="76"/>
      <c r="AT2816" s="76"/>
      <c r="AU2816" s="76"/>
      <c r="AV2816" s="76"/>
      <c r="AW2816" s="76"/>
      <c r="AX2816" s="76">
        <f>+AW2816*600000</f>
        <v>0</v>
      </c>
      <c r="AY2816" s="76"/>
      <c r="AZ2816" s="76">
        <f>+AY2816*70000</f>
        <v>0</v>
      </c>
      <c r="BA2816" s="76"/>
      <c r="BB2816" s="76"/>
      <c r="BC2816" s="76"/>
      <c r="BD2816" s="76">
        <f>+BC2816*30000</f>
        <v>0</v>
      </c>
      <c r="BE2816" s="76"/>
      <c r="BF2816" s="76"/>
      <c r="BG2816" s="76"/>
      <c r="BH2816" s="76"/>
      <c r="BI2816" s="76"/>
      <c r="BJ2816" s="76"/>
      <c r="BK2816" s="76"/>
      <c r="BL2816" s="76">
        <f>+BK2816*31500</f>
        <v>0</v>
      </c>
      <c r="BM2816" s="76"/>
      <c r="BN2816" s="76"/>
      <c r="BO2816" s="76"/>
      <c r="BP2816" s="76"/>
      <c r="BQ2816" s="76"/>
      <c r="BR2816" s="76"/>
      <c r="BS2816" s="76"/>
      <c r="BT2816" s="76"/>
      <c r="BU2816" s="76"/>
      <c r="BV2816" s="76"/>
      <c r="BW2816" s="76"/>
      <c r="BX2816" s="76"/>
      <c r="BY2816" s="76"/>
      <c r="BZ2816" s="76"/>
      <c r="CA2816" s="76"/>
      <c r="CB2816" s="76"/>
      <c r="CC2816" s="76"/>
      <c r="CD2816" s="76"/>
      <c r="CE2816" s="76"/>
      <c r="CF2816" s="76">
        <f>+CE2816*28000</f>
        <v>0</v>
      </c>
      <c r="CG2816" s="76"/>
      <c r="CH2816" s="76">
        <f>+CG2816*22500</f>
        <v>0</v>
      </c>
      <c r="CI2816" s="76"/>
      <c r="CJ2816" s="76">
        <f>+CI2816*26000</f>
        <v>0</v>
      </c>
      <c r="CK2816" s="76"/>
      <c r="CL2816" s="76"/>
      <c r="CM2816" s="76"/>
      <c r="CN2816" s="76">
        <f>+CM2816*22000</f>
        <v>0</v>
      </c>
      <c r="CO2816" s="76"/>
      <c r="CP2816" s="76">
        <f>+CO2816*46000</f>
        <v>0</v>
      </c>
      <c r="CQ2816" s="76"/>
      <c r="CR2816" s="76">
        <f>+CQ2816*49000</f>
        <v>0</v>
      </c>
      <c r="CS2816" s="76"/>
      <c r="CT2816" s="76"/>
      <c r="CU2816" s="56">
        <f>AN2816+AP2816+AR2816+AT2816+AV2816+AX2816+AZ2816+BB2816+BD2816+BF2816+BH2816+BJ2816+BL2816+BN2816+BP2816+BR2816+BT2816+BV2816+BX2816+BZ2816+CB2816+CD2816+CF2816+CH2816+CJ2816+CL2816+CN2816+CP2816+CR2816+CT2816</f>
        <v>0</v>
      </c>
      <c r="CV2816" s="76"/>
      <c r="CW2816" s="76">
        <f>+CV2816*1100</f>
        <v>0</v>
      </c>
      <c r="CX2816" s="76"/>
      <c r="CY2816" s="76">
        <f>+CX2816*106250</f>
        <v>0</v>
      </c>
      <c r="CZ2816" s="76"/>
      <c r="DA2816" s="76">
        <f>+CZ2816*34500</f>
        <v>0</v>
      </c>
      <c r="DB2816" s="76"/>
      <c r="DC2816" s="76">
        <f>+DB2816*25000</f>
        <v>0</v>
      </c>
      <c r="DD2816" s="219"/>
      <c r="DE2816" s="219"/>
      <c r="DF2816" s="166"/>
      <c r="DG2816" s="116"/>
      <c r="DH2816" s="117"/>
      <c r="DI2816" s="24"/>
      <c r="DJ2816" s="24"/>
      <c r="DK2816" s="24"/>
      <c r="DL2816" s="24"/>
      <c r="DM2816" s="24"/>
      <c r="DN2816" s="24"/>
      <c r="DO2816" s="24"/>
      <c r="DP2816" s="24"/>
      <c r="DQ2816" s="24"/>
      <c r="DR2816" s="24"/>
      <c r="DS2816" s="24"/>
      <c r="DT2816" s="24"/>
      <c r="DU2816" s="24"/>
    </row>
    <row r="2817" spans="1:125" s="8" customFormat="1" ht="48" x14ac:dyDescent="0.2">
      <c r="A2817" s="77">
        <v>41512</v>
      </c>
      <c r="B2817" s="352" t="s">
        <v>2196</v>
      </c>
      <c r="C2817" s="354" t="s">
        <v>2683</v>
      </c>
      <c r="D2817" s="354" t="s">
        <v>2859</v>
      </c>
      <c r="E2817" s="75" t="str">
        <f>VLOOKUP(B2817&amp;C2817,Divipola!$C$2:$F$1138,4,FALSE)</f>
        <v>17873</v>
      </c>
      <c r="F2817" s="87"/>
      <c r="G2817" s="87">
        <v>3</v>
      </c>
      <c r="H2817" s="87"/>
      <c r="I2817" s="87">
        <v>45</v>
      </c>
      <c r="J2817" s="87">
        <v>9</v>
      </c>
      <c r="K2817" s="87">
        <v>9</v>
      </c>
      <c r="L2817" s="87"/>
      <c r="M2817" s="87"/>
      <c r="N2817" s="87"/>
      <c r="O2817" s="87"/>
      <c r="P2817" s="87"/>
      <c r="Q2817" s="87"/>
      <c r="R2817" s="87"/>
      <c r="S2817" s="87"/>
      <c r="T2817" s="87"/>
      <c r="U2817" s="88"/>
      <c r="V2817" s="89"/>
      <c r="W2817" s="96">
        <v>0</v>
      </c>
      <c r="X2817" s="71">
        <f>CU2817</f>
        <v>0</v>
      </c>
      <c r="Y2817" s="71">
        <f>CY2817</f>
        <v>0</v>
      </c>
      <c r="Z2817" s="71">
        <f>DA2817+DC2817+DE2817</f>
        <v>0</v>
      </c>
      <c r="AA2817" s="71">
        <f>CW2817</f>
        <v>0</v>
      </c>
      <c r="AB2817" s="71"/>
      <c r="AC2817" s="71">
        <v>0</v>
      </c>
      <c r="AD2817" s="71">
        <f>W2817+X2817+Y2817+Z2817+AA2817+AB2817+AC2817</f>
        <v>0</v>
      </c>
      <c r="AE2817" s="72">
        <v>0</v>
      </c>
      <c r="AF2817" s="5"/>
      <c r="AG2817" s="6"/>
      <c r="AH2817" s="27"/>
      <c r="AI2817" s="44"/>
      <c r="AJ2817" s="26"/>
      <c r="AK2817" s="5"/>
      <c r="AL2817" s="82" t="s">
        <v>5705</v>
      </c>
      <c r="AM2817" s="76"/>
      <c r="AN2817" s="76"/>
      <c r="AO2817" s="76"/>
      <c r="AP2817" s="76"/>
      <c r="AQ2817" s="76"/>
      <c r="AR2817" s="76"/>
      <c r="AS2817" s="76"/>
      <c r="AT2817" s="76"/>
      <c r="AU2817" s="76"/>
      <c r="AV2817" s="76"/>
      <c r="AW2817" s="76"/>
      <c r="AX2817" s="76">
        <f>+AW2817*600000</f>
        <v>0</v>
      </c>
      <c r="AY2817" s="76"/>
      <c r="AZ2817" s="76">
        <f>+AY2817*70000</f>
        <v>0</v>
      </c>
      <c r="BA2817" s="76"/>
      <c r="BB2817" s="76"/>
      <c r="BC2817" s="76"/>
      <c r="BD2817" s="76">
        <f>+BC2817*30000</f>
        <v>0</v>
      </c>
      <c r="BE2817" s="76"/>
      <c r="BF2817" s="76"/>
      <c r="BG2817" s="76"/>
      <c r="BH2817" s="76"/>
      <c r="BI2817" s="76"/>
      <c r="BJ2817" s="76"/>
      <c r="BK2817" s="76"/>
      <c r="BL2817" s="76">
        <f>+BK2817*31500</f>
        <v>0</v>
      </c>
      <c r="BM2817" s="76"/>
      <c r="BN2817" s="76"/>
      <c r="BO2817" s="76"/>
      <c r="BP2817" s="76"/>
      <c r="BQ2817" s="76"/>
      <c r="BR2817" s="76"/>
      <c r="BS2817" s="76"/>
      <c r="BT2817" s="76"/>
      <c r="BU2817" s="76"/>
      <c r="BV2817" s="76"/>
      <c r="BW2817" s="76"/>
      <c r="BX2817" s="76"/>
      <c r="BY2817" s="76"/>
      <c r="BZ2817" s="76"/>
      <c r="CA2817" s="76"/>
      <c r="CB2817" s="76"/>
      <c r="CC2817" s="76"/>
      <c r="CD2817" s="76"/>
      <c r="CE2817" s="76"/>
      <c r="CF2817" s="76">
        <f>+CE2817*28000</f>
        <v>0</v>
      </c>
      <c r="CG2817" s="76"/>
      <c r="CH2817" s="76">
        <f>+CG2817*22500</f>
        <v>0</v>
      </c>
      <c r="CI2817" s="76"/>
      <c r="CJ2817" s="76">
        <f>+CI2817*26000</f>
        <v>0</v>
      </c>
      <c r="CK2817" s="76"/>
      <c r="CL2817" s="76"/>
      <c r="CM2817" s="76"/>
      <c r="CN2817" s="76">
        <f>+CM2817*22000</f>
        <v>0</v>
      </c>
      <c r="CO2817" s="76"/>
      <c r="CP2817" s="76">
        <f>+CO2817*46000</f>
        <v>0</v>
      </c>
      <c r="CQ2817" s="76"/>
      <c r="CR2817" s="76">
        <f>+CQ2817*49000</f>
        <v>0</v>
      </c>
      <c r="CS2817" s="76"/>
      <c r="CT2817" s="76"/>
      <c r="CU2817" s="56">
        <f>AN2817+AP2817+AR2817+AT2817+AV2817+AX2817+AZ2817+BB2817+BD2817+BF2817+BH2817+BJ2817+BL2817+BN2817+BP2817+BR2817+BT2817+BV2817+BX2817+BZ2817+CB2817+CD2817+CF2817+CH2817+CJ2817+CL2817+CN2817+CP2817+CR2817+CT2817</f>
        <v>0</v>
      </c>
      <c r="CV2817" s="76"/>
      <c r="CW2817" s="76">
        <f>+CV2817*1100</f>
        <v>0</v>
      </c>
      <c r="CX2817" s="76"/>
      <c r="CY2817" s="76">
        <f>+CX2817*106250</f>
        <v>0</v>
      </c>
      <c r="CZ2817" s="76"/>
      <c r="DA2817" s="76">
        <f>+CZ2817*34500</f>
        <v>0</v>
      </c>
      <c r="DB2817" s="76"/>
      <c r="DC2817" s="76">
        <f>+DB2817*25000</f>
        <v>0</v>
      </c>
      <c r="DD2817" s="219"/>
      <c r="DE2817" s="219"/>
      <c r="DF2817" s="166"/>
      <c r="DG2817" s="116"/>
      <c r="DH2817" s="117"/>
      <c r="DI2817" s="24"/>
      <c r="DJ2817" s="24"/>
      <c r="DK2817" s="24"/>
      <c r="DL2817" s="24"/>
      <c r="DM2817" s="24"/>
      <c r="DN2817" s="24"/>
      <c r="DO2817" s="24"/>
      <c r="DP2817" s="24"/>
      <c r="DQ2817" s="24"/>
      <c r="DR2817" s="24"/>
      <c r="DS2817" s="24"/>
      <c r="DT2817" s="24"/>
      <c r="DU2817" s="24"/>
    </row>
    <row r="2818" spans="1:125" s="8" customFormat="1" ht="96" x14ac:dyDescent="0.2">
      <c r="A2818" s="77">
        <v>41512</v>
      </c>
      <c r="B2818" s="225" t="s">
        <v>2852</v>
      </c>
      <c r="C2818" s="227" t="s">
        <v>1221</v>
      </c>
      <c r="D2818" s="354" t="s">
        <v>2882</v>
      </c>
      <c r="E2818" s="75" t="str">
        <f>VLOOKUP(B2818&amp;C2818,Divipola!$C$2:$F$1138,4,FALSE)</f>
        <v>27077</v>
      </c>
      <c r="F2818" s="87"/>
      <c r="G2818" s="87"/>
      <c r="H2818" s="87"/>
      <c r="I2818" s="87">
        <v>623</v>
      </c>
      <c r="J2818" s="87">
        <v>135</v>
      </c>
      <c r="K2818" s="87"/>
      <c r="L2818" s="87">
        <v>135</v>
      </c>
      <c r="M2818" s="87"/>
      <c r="N2818" s="87"/>
      <c r="O2818" s="87"/>
      <c r="P2818" s="87"/>
      <c r="Q2818" s="87"/>
      <c r="R2818" s="87"/>
      <c r="S2818" s="87"/>
      <c r="T2818" s="87"/>
      <c r="U2818" s="88">
        <v>410</v>
      </c>
      <c r="V2818" s="89"/>
      <c r="W2818" s="96">
        <v>0</v>
      </c>
      <c r="X2818" s="71">
        <f>CU2818</f>
        <v>0</v>
      </c>
      <c r="Y2818" s="71">
        <f>CY2818</f>
        <v>0</v>
      </c>
      <c r="Z2818" s="71">
        <f>DA2818+DC2818+DE2818</f>
        <v>0</v>
      </c>
      <c r="AA2818" s="71">
        <f>CW2818</f>
        <v>0</v>
      </c>
      <c r="AB2818" s="71"/>
      <c r="AC2818" s="71">
        <v>0</v>
      </c>
      <c r="AD2818" s="71">
        <f>W2818+X2818+Y2818+Z2818+AA2818+AB2818+AC2818</f>
        <v>0</v>
      </c>
      <c r="AE2818" s="72">
        <v>0</v>
      </c>
      <c r="AF2818" s="5"/>
      <c r="AG2818" s="6"/>
      <c r="AH2818" s="27"/>
      <c r="AI2818" s="44"/>
      <c r="AJ2818" s="26"/>
      <c r="AK2818" s="5"/>
      <c r="AL2818" s="289" t="s">
        <v>5732</v>
      </c>
      <c r="AM2818" s="76"/>
      <c r="AN2818" s="76"/>
      <c r="AO2818" s="76"/>
      <c r="AP2818" s="76"/>
      <c r="AQ2818" s="76"/>
      <c r="AR2818" s="76"/>
      <c r="AS2818" s="76"/>
      <c r="AT2818" s="76"/>
      <c r="AU2818" s="76"/>
      <c r="AV2818" s="76"/>
      <c r="AW2818" s="76"/>
      <c r="AX2818" s="76">
        <f>+AW2818*600000</f>
        <v>0</v>
      </c>
      <c r="AY2818" s="76"/>
      <c r="AZ2818" s="76">
        <f>+AY2818*70000</f>
        <v>0</v>
      </c>
      <c r="BA2818" s="76"/>
      <c r="BB2818" s="76"/>
      <c r="BC2818" s="76"/>
      <c r="BD2818" s="76">
        <f>+BC2818*30000</f>
        <v>0</v>
      </c>
      <c r="BE2818" s="76"/>
      <c r="BF2818" s="76"/>
      <c r="BG2818" s="76"/>
      <c r="BH2818" s="76"/>
      <c r="BI2818" s="76"/>
      <c r="BJ2818" s="76"/>
      <c r="BK2818" s="76"/>
      <c r="BL2818" s="76">
        <f>+BK2818*31500</f>
        <v>0</v>
      </c>
      <c r="BM2818" s="76"/>
      <c r="BN2818" s="76"/>
      <c r="BO2818" s="76"/>
      <c r="BP2818" s="76"/>
      <c r="BQ2818" s="76"/>
      <c r="BR2818" s="76"/>
      <c r="BS2818" s="76"/>
      <c r="BT2818" s="76"/>
      <c r="BU2818" s="76"/>
      <c r="BV2818" s="76"/>
      <c r="BW2818" s="76"/>
      <c r="BX2818" s="76"/>
      <c r="BY2818" s="76"/>
      <c r="BZ2818" s="76"/>
      <c r="CA2818" s="76"/>
      <c r="CB2818" s="76"/>
      <c r="CC2818" s="76"/>
      <c r="CD2818" s="76"/>
      <c r="CE2818" s="76"/>
      <c r="CF2818" s="76">
        <f>+CE2818*28000</f>
        <v>0</v>
      </c>
      <c r="CG2818" s="76"/>
      <c r="CH2818" s="76">
        <f>+CG2818*22500</f>
        <v>0</v>
      </c>
      <c r="CI2818" s="76"/>
      <c r="CJ2818" s="76">
        <f>+CI2818*26000</f>
        <v>0</v>
      </c>
      <c r="CK2818" s="76"/>
      <c r="CL2818" s="76"/>
      <c r="CM2818" s="76"/>
      <c r="CN2818" s="76">
        <f>+CM2818*22000</f>
        <v>0</v>
      </c>
      <c r="CO2818" s="76"/>
      <c r="CP2818" s="76">
        <f>+CO2818*46000</f>
        <v>0</v>
      </c>
      <c r="CQ2818" s="76"/>
      <c r="CR2818" s="76">
        <f>+CQ2818*49000</f>
        <v>0</v>
      </c>
      <c r="CS2818" s="76"/>
      <c r="CT2818" s="76"/>
      <c r="CU2818" s="56">
        <f>AN2818+AP2818+AR2818+AT2818+AV2818+AX2818+AZ2818+BB2818+BD2818+BF2818+BH2818+BJ2818+BL2818+BN2818+BP2818+BR2818+BT2818+BV2818+BX2818+BZ2818+CB2818+CD2818+CF2818+CH2818+CJ2818+CL2818+CN2818+CP2818+CR2818+CT2818</f>
        <v>0</v>
      </c>
      <c r="CV2818" s="76"/>
      <c r="CW2818" s="76">
        <f>+CV2818*1100</f>
        <v>0</v>
      </c>
      <c r="CX2818" s="76"/>
      <c r="CY2818" s="76">
        <f>+CX2818*106250</f>
        <v>0</v>
      </c>
      <c r="CZ2818" s="76"/>
      <c r="DA2818" s="76">
        <f>+CZ2818*34500</f>
        <v>0</v>
      </c>
      <c r="DB2818" s="76"/>
      <c r="DC2818" s="76">
        <f>+DB2818*25000</f>
        <v>0</v>
      </c>
      <c r="DD2818" s="219"/>
      <c r="DE2818" s="219"/>
      <c r="DF2818" s="166"/>
      <c r="DG2818" s="116"/>
      <c r="DH2818" s="117"/>
      <c r="DI2818" s="24"/>
      <c r="DJ2818" s="24"/>
      <c r="DK2818" s="24"/>
      <c r="DL2818" s="24"/>
      <c r="DM2818" s="24"/>
      <c r="DN2818" s="24"/>
      <c r="DO2818" s="24"/>
      <c r="DP2818" s="24"/>
      <c r="DQ2818" s="24"/>
      <c r="DR2818" s="24"/>
      <c r="DS2818" s="24"/>
      <c r="DT2818" s="24"/>
      <c r="DU2818" s="24"/>
    </row>
    <row r="2819" spans="1:125" s="8" customFormat="1" ht="96" x14ac:dyDescent="0.2">
      <c r="A2819" s="353">
        <v>41512</v>
      </c>
      <c r="B2819" s="352" t="s">
        <v>2852</v>
      </c>
      <c r="C2819" s="354" t="s">
        <v>2110</v>
      </c>
      <c r="D2819" s="354" t="s">
        <v>3051</v>
      </c>
      <c r="E2819" s="75" t="str">
        <f>VLOOKUP(B2819&amp;C2819,Divipola!$C$2:$F$1138,4,FALSE)</f>
        <v>27615</v>
      </c>
      <c r="F2819" s="87"/>
      <c r="G2819" s="87"/>
      <c r="H2819" s="87"/>
      <c r="I2819" s="87"/>
      <c r="J2819" s="87"/>
      <c r="K2819" s="87"/>
      <c r="L2819" s="87"/>
      <c r="M2819" s="87"/>
      <c r="N2819" s="87"/>
      <c r="O2819" s="87"/>
      <c r="P2819" s="87"/>
      <c r="Q2819" s="87"/>
      <c r="R2819" s="87"/>
      <c r="S2819" s="87"/>
      <c r="T2819" s="87"/>
      <c r="U2819" s="88"/>
      <c r="V2819" s="89"/>
      <c r="W2819" s="96">
        <v>0</v>
      </c>
      <c r="X2819" s="71">
        <f>CU2819</f>
        <v>0</v>
      </c>
      <c r="Y2819" s="71">
        <f>CY2819</f>
        <v>0</v>
      </c>
      <c r="Z2819" s="71">
        <f>DA2819+DC2819+DE2819</f>
        <v>0</v>
      </c>
      <c r="AA2819" s="71">
        <f>CW2819</f>
        <v>0</v>
      </c>
      <c r="AB2819" s="71"/>
      <c r="AC2819" s="71">
        <v>0</v>
      </c>
      <c r="AD2819" s="71">
        <f>W2819+X2819+Y2819+Z2819+AA2819+AB2819+AC2819</f>
        <v>0</v>
      </c>
      <c r="AE2819" s="72">
        <v>0</v>
      </c>
      <c r="AF2819" s="5"/>
      <c r="AG2819" s="6"/>
      <c r="AH2819" s="27"/>
      <c r="AI2819" s="44"/>
      <c r="AJ2819" s="26"/>
      <c r="AK2819" s="5"/>
      <c r="AL2819" s="82" t="s">
        <v>5698</v>
      </c>
      <c r="AM2819" s="76"/>
      <c r="AN2819" s="76"/>
      <c r="AO2819" s="76"/>
      <c r="AP2819" s="76"/>
      <c r="AQ2819" s="76"/>
      <c r="AR2819" s="76"/>
      <c r="AS2819" s="76"/>
      <c r="AT2819" s="76"/>
      <c r="AU2819" s="76"/>
      <c r="AV2819" s="76"/>
      <c r="AW2819" s="76"/>
      <c r="AX2819" s="76">
        <f>+AW2819*600000</f>
        <v>0</v>
      </c>
      <c r="AY2819" s="76"/>
      <c r="AZ2819" s="76">
        <f>+AY2819*70000</f>
        <v>0</v>
      </c>
      <c r="BA2819" s="76"/>
      <c r="BB2819" s="76"/>
      <c r="BC2819" s="76"/>
      <c r="BD2819" s="76">
        <f>+BC2819*30000</f>
        <v>0</v>
      </c>
      <c r="BE2819" s="76"/>
      <c r="BF2819" s="76"/>
      <c r="BG2819" s="76"/>
      <c r="BH2819" s="76"/>
      <c r="BI2819" s="76"/>
      <c r="BJ2819" s="76"/>
      <c r="BK2819" s="76"/>
      <c r="BL2819" s="76">
        <f>+BK2819*31500</f>
        <v>0</v>
      </c>
      <c r="BM2819" s="76"/>
      <c r="BN2819" s="76"/>
      <c r="BO2819" s="76"/>
      <c r="BP2819" s="76"/>
      <c r="BQ2819" s="76"/>
      <c r="BR2819" s="76"/>
      <c r="BS2819" s="76"/>
      <c r="BT2819" s="76"/>
      <c r="BU2819" s="76"/>
      <c r="BV2819" s="76"/>
      <c r="BW2819" s="76"/>
      <c r="BX2819" s="76"/>
      <c r="BY2819" s="76"/>
      <c r="BZ2819" s="76"/>
      <c r="CA2819" s="76"/>
      <c r="CB2819" s="76"/>
      <c r="CC2819" s="76"/>
      <c r="CD2819" s="76"/>
      <c r="CE2819" s="76"/>
      <c r="CF2819" s="76">
        <f>+CE2819*28000</f>
        <v>0</v>
      </c>
      <c r="CG2819" s="76"/>
      <c r="CH2819" s="76">
        <f>+CG2819*22500</f>
        <v>0</v>
      </c>
      <c r="CI2819" s="76"/>
      <c r="CJ2819" s="76">
        <f>+CI2819*26000</f>
        <v>0</v>
      </c>
      <c r="CK2819" s="76"/>
      <c r="CL2819" s="76"/>
      <c r="CM2819" s="76"/>
      <c r="CN2819" s="76">
        <f>+CM2819*22000</f>
        <v>0</v>
      </c>
      <c r="CO2819" s="76"/>
      <c r="CP2819" s="76">
        <f>+CO2819*46000</f>
        <v>0</v>
      </c>
      <c r="CQ2819" s="76"/>
      <c r="CR2819" s="76">
        <f>+CQ2819*49000</f>
        <v>0</v>
      </c>
      <c r="CS2819" s="76"/>
      <c r="CT2819" s="76"/>
      <c r="CU2819" s="56">
        <f>AN2819+AP2819+AR2819+AT2819+AV2819+AX2819+AZ2819+BB2819+BD2819+BF2819+BH2819+BJ2819+BL2819+BN2819+BP2819+BR2819+BT2819+BV2819+BX2819+BZ2819+CB2819+CD2819+CF2819+CH2819+CJ2819+CL2819+CN2819+CP2819+CR2819+CT2819</f>
        <v>0</v>
      </c>
      <c r="CV2819" s="76"/>
      <c r="CW2819" s="76">
        <f>+CV2819*1100</f>
        <v>0</v>
      </c>
      <c r="CX2819" s="76"/>
      <c r="CY2819" s="76">
        <f>+CX2819*106250</f>
        <v>0</v>
      </c>
      <c r="CZ2819" s="76"/>
      <c r="DA2819" s="76">
        <f>+CZ2819*34500</f>
        <v>0</v>
      </c>
      <c r="DB2819" s="76"/>
      <c r="DC2819" s="76">
        <f>+DB2819*25000</f>
        <v>0</v>
      </c>
      <c r="DD2819" s="219"/>
      <c r="DE2819" s="219"/>
      <c r="DF2819" s="166"/>
      <c r="DG2819" s="116"/>
      <c r="DH2819" s="117"/>
      <c r="DI2819" s="24"/>
      <c r="DJ2819" s="24"/>
      <c r="DK2819" s="24"/>
      <c r="DL2819" s="24"/>
      <c r="DM2819" s="24"/>
      <c r="DN2819" s="24"/>
      <c r="DO2819" s="24"/>
      <c r="DP2819" s="24"/>
      <c r="DQ2819" s="24"/>
      <c r="DR2819" s="24"/>
      <c r="DS2819" s="24"/>
      <c r="DT2819" s="24"/>
      <c r="DU2819" s="24"/>
    </row>
    <row r="2820" spans="1:125" s="8" customFormat="1" ht="60" x14ac:dyDescent="0.2">
      <c r="A2820" s="353">
        <v>41512</v>
      </c>
      <c r="B2820" s="352" t="s">
        <v>2718</v>
      </c>
      <c r="C2820" s="354" t="s">
        <v>965</v>
      </c>
      <c r="D2820" s="354" t="s">
        <v>3051</v>
      </c>
      <c r="E2820" s="75" t="str">
        <f>VLOOKUP(B2820&amp;C2820,Divipola!$C$2:$F$1138,4,FALSE)</f>
        <v>23417</v>
      </c>
      <c r="F2820" s="87"/>
      <c r="G2820" s="87"/>
      <c r="H2820" s="87"/>
      <c r="I2820" s="87"/>
      <c r="J2820" s="87"/>
      <c r="K2820" s="87"/>
      <c r="L2820" s="87"/>
      <c r="M2820" s="87"/>
      <c r="N2820" s="87"/>
      <c r="O2820" s="87"/>
      <c r="P2820" s="87"/>
      <c r="Q2820" s="87"/>
      <c r="R2820" s="87"/>
      <c r="S2820" s="87"/>
      <c r="T2820" s="87"/>
      <c r="U2820" s="88"/>
      <c r="V2820" s="89"/>
      <c r="W2820" s="96">
        <v>0</v>
      </c>
      <c r="X2820" s="71">
        <f>CU2820</f>
        <v>0</v>
      </c>
      <c r="Y2820" s="71">
        <f>CY2820</f>
        <v>0</v>
      </c>
      <c r="Z2820" s="71">
        <f>DA2820+DC2820+DE2820</f>
        <v>0</v>
      </c>
      <c r="AA2820" s="71">
        <f>CW2820</f>
        <v>0</v>
      </c>
      <c r="AB2820" s="71"/>
      <c r="AC2820" s="71">
        <v>0</v>
      </c>
      <c r="AD2820" s="71">
        <f>W2820+X2820+Y2820+Z2820+AA2820+AB2820+AC2820</f>
        <v>0</v>
      </c>
      <c r="AE2820" s="72">
        <v>0</v>
      </c>
      <c r="AF2820" s="5"/>
      <c r="AG2820" s="6"/>
      <c r="AH2820" s="27"/>
      <c r="AI2820" s="44"/>
      <c r="AJ2820" s="26"/>
      <c r="AK2820" s="5"/>
      <c r="AL2820" s="82" t="s">
        <v>5697</v>
      </c>
      <c r="AM2820" s="76"/>
      <c r="AN2820" s="76"/>
      <c r="AO2820" s="76"/>
      <c r="AP2820" s="76"/>
      <c r="AQ2820" s="76"/>
      <c r="AR2820" s="76"/>
      <c r="AS2820" s="76"/>
      <c r="AT2820" s="76"/>
      <c r="AU2820" s="76"/>
      <c r="AV2820" s="76"/>
      <c r="AW2820" s="76"/>
      <c r="AX2820" s="76">
        <f>+AW2820*600000</f>
        <v>0</v>
      </c>
      <c r="AY2820" s="76"/>
      <c r="AZ2820" s="76">
        <f>+AY2820*70000</f>
        <v>0</v>
      </c>
      <c r="BA2820" s="76"/>
      <c r="BB2820" s="76"/>
      <c r="BC2820" s="76"/>
      <c r="BD2820" s="76">
        <f>+BC2820*30000</f>
        <v>0</v>
      </c>
      <c r="BE2820" s="76"/>
      <c r="BF2820" s="76"/>
      <c r="BG2820" s="76"/>
      <c r="BH2820" s="76"/>
      <c r="BI2820" s="76"/>
      <c r="BJ2820" s="76"/>
      <c r="BK2820" s="76"/>
      <c r="BL2820" s="76">
        <f>+BK2820*31500</f>
        <v>0</v>
      </c>
      <c r="BM2820" s="76"/>
      <c r="BN2820" s="76"/>
      <c r="BO2820" s="76"/>
      <c r="BP2820" s="76"/>
      <c r="BQ2820" s="76"/>
      <c r="BR2820" s="76"/>
      <c r="BS2820" s="76"/>
      <c r="BT2820" s="76"/>
      <c r="BU2820" s="76"/>
      <c r="BV2820" s="76"/>
      <c r="BW2820" s="76"/>
      <c r="BX2820" s="76"/>
      <c r="BY2820" s="76"/>
      <c r="BZ2820" s="76"/>
      <c r="CA2820" s="76"/>
      <c r="CB2820" s="76"/>
      <c r="CC2820" s="76"/>
      <c r="CD2820" s="76"/>
      <c r="CE2820" s="76"/>
      <c r="CF2820" s="76">
        <f>+CE2820*28000</f>
        <v>0</v>
      </c>
      <c r="CG2820" s="76"/>
      <c r="CH2820" s="76">
        <f>+CG2820*22500</f>
        <v>0</v>
      </c>
      <c r="CI2820" s="76"/>
      <c r="CJ2820" s="76">
        <f>+CI2820*26000</f>
        <v>0</v>
      </c>
      <c r="CK2820" s="76"/>
      <c r="CL2820" s="76"/>
      <c r="CM2820" s="76"/>
      <c r="CN2820" s="76">
        <f>+CM2820*22000</f>
        <v>0</v>
      </c>
      <c r="CO2820" s="76"/>
      <c r="CP2820" s="76">
        <f>+CO2820*46000</f>
        <v>0</v>
      </c>
      <c r="CQ2820" s="76"/>
      <c r="CR2820" s="76">
        <f>+CQ2820*49000</f>
        <v>0</v>
      </c>
      <c r="CS2820" s="76"/>
      <c r="CT2820" s="76"/>
      <c r="CU2820" s="56">
        <f>AN2820+AP2820+AR2820+AT2820+AV2820+AX2820+AZ2820+BB2820+BD2820+BF2820+BH2820+BJ2820+BL2820+BN2820+BP2820+BR2820+BT2820+BV2820+BX2820+BZ2820+CB2820+CD2820+CF2820+CH2820+CJ2820+CL2820+CN2820+CP2820+CR2820+CT2820</f>
        <v>0</v>
      </c>
      <c r="CV2820" s="76"/>
      <c r="CW2820" s="76">
        <f>+CV2820*1100</f>
        <v>0</v>
      </c>
      <c r="CX2820" s="76"/>
      <c r="CY2820" s="76">
        <f>+CX2820*106250</f>
        <v>0</v>
      </c>
      <c r="CZ2820" s="76"/>
      <c r="DA2820" s="76">
        <f>+CZ2820*34500</f>
        <v>0</v>
      </c>
      <c r="DB2820" s="76"/>
      <c r="DC2820" s="76">
        <f>+DB2820*25000</f>
        <v>0</v>
      </c>
      <c r="DD2820" s="219"/>
      <c r="DE2820" s="219"/>
      <c r="DF2820" s="166"/>
      <c r="DG2820" s="116"/>
      <c r="DH2820" s="117"/>
      <c r="DI2820" s="24"/>
      <c r="DJ2820" s="24"/>
      <c r="DK2820" s="24"/>
      <c r="DL2820" s="24"/>
      <c r="DM2820" s="24"/>
      <c r="DN2820" s="24"/>
      <c r="DO2820" s="24"/>
      <c r="DP2820" s="24"/>
      <c r="DQ2820" s="24"/>
      <c r="DR2820" s="24"/>
      <c r="DS2820" s="24"/>
      <c r="DT2820" s="24"/>
      <c r="DU2820" s="24"/>
    </row>
    <row r="2821" spans="1:125" s="8" customFormat="1" ht="36" x14ac:dyDescent="0.2">
      <c r="A2821" s="97">
        <v>41512</v>
      </c>
      <c r="B2821" s="60" t="s">
        <v>2811</v>
      </c>
      <c r="C2821" s="55" t="s">
        <v>519</v>
      </c>
      <c r="D2821" s="55" t="s">
        <v>2859</v>
      </c>
      <c r="E2821" s="75" t="str">
        <f>VLOOKUP(B2821&amp;C2821,Divipola!$C$2:$F$1138,4,FALSE)</f>
        <v>52573</v>
      </c>
      <c r="F2821" s="87"/>
      <c r="G2821" s="87">
        <v>1</v>
      </c>
      <c r="H2821" s="87"/>
      <c r="I2821" s="87">
        <v>2</v>
      </c>
      <c r="J2821" s="87">
        <v>1</v>
      </c>
      <c r="K2821" s="87">
        <v>1</v>
      </c>
      <c r="L2821" s="87"/>
      <c r="M2821" s="87"/>
      <c r="N2821" s="87"/>
      <c r="O2821" s="87"/>
      <c r="P2821" s="87"/>
      <c r="Q2821" s="87"/>
      <c r="R2821" s="87"/>
      <c r="S2821" s="87"/>
      <c r="T2821" s="87"/>
      <c r="U2821" s="88"/>
      <c r="V2821" s="89"/>
      <c r="W2821" s="96">
        <v>0</v>
      </c>
      <c r="X2821" s="71">
        <f>CU2821</f>
        <v>0</v>
      </c>
      <c r="Y2821" s="71">
        <f>CY2821</f>
        <v>0</v>
      </c>
      <c r="Z2821" s="71">
        <f>DA2821+DC2821+DE2821</f>
        <v>0</v>
      </c>
      <c r="AA2821" s="71">
        <f>CW2821</f>
        <v>0</v>
      </c>
      <c r="AB2821" s="71"/>
      <c r="AC2821" s="71">
        <v>0</v>
      </c>
      <c r="AD2821" s="71">
        <f>W2821+X2821+Y2821+Z2821+AA2821+AB2821+AC2821</f>
        <v>0</v>
      </c>
      <c r="AE2821" s="72">
        <v>0</v>
      </c>
      <c r="AF2821" s="5"/>
      <c r="AG2821" s="6"/>
      <c r="AH2821" s="27"/>
      <c r="AI2821" s="44"/>
      <c r="AJ2821" s="26"/>
      <c r="AK2821" s="5"/>
      <c r="AL2821" s="82" t="s">
        <v>5710</v>
      </c>
      <c r="AM2821" s="76"/>
      <c r="AN2821" s="76"/>
      <c r="AO2821" s="76"/>
      <c r="AP2821" s="76"/>
      <c r="AQ2821" s="76"/>
      <c r="AR2821" s="76"/>
      <c r="AS2821" s="76"/>
      <c r="AT2821" s="76"/>
      <c r="AU2821" s="76"/>
      <c r="AV2821" s="76"/>
      <c r="AW2821" s="76"/>
      <c r="AX2821" s="76">
        <f>+AW2821*600000</f>
        <v>0</v>
      </c>
      <c r="AY2821" s="76"/>
      <c r="AZ2821" s="76">
        <f>+AY2821*70000</f>
        <v>0</v>
      </c>
      <c r="BA2821" s="76"/>
      <c r="BB2821" s="76"/>
      <c r="BC2821" s="76"/>
      <c r="BD2821" s="76">
        <f>+BC2821*30000</f>
        <v>0</v>
      </c>
      <c r="BE2821" s="76"/>
      <c r="BF2821" s="76"/>
      <c r="BG2821" s="76"/>
      <c r="BH2821" s="76"/>
      <c r="BI2821" s="76"/>
      <c r="BJ2821" s="76"/>
      <c r="BK2821" s="76"/>
      <c r="BL2821" s="76">
        <f>+BK2821*31500</f>
        <v>0</v>
      </c>
      <c r="BM2821" s="76"/>
      <c r="BN2821" s="76"/>
      <c r="BO2821" s="76"/>
      <c r="BP2821" s="76"/>
      <c r="BQ2821" s="76"/>
      <c r="BR2821" s="76"/>
      <c r="BS2821" s="76"/>
      <c r="BT2821" s="76"/>
      <c r="BU2821" s="76"/>
      <c r="BV2821" s="76"/>
      <c r="BW2821" s="76"/>
      <c r="BX2821" s="76"/>
      <c r="BY2821" s="76"/>
      <c r="BZ2821" s="76"/>
      <c r="CA2821" s="76"/>
      <c r="CB2821" s="76"/>
      <c r="CC2821" s="76"/>
      <c r="CD2821" s="76"/>
      <c r="CE2821" s="76"/>
      <c r="CF2821" s="76">
        <f>+CE2821*28000</f>
        <v>0</v>
      </c>
      <c r="CG2821" s="76"/>
      <c r="CH2821" s="76">
        <f>+CG2821*22500</f>
        <v>0</v>
      </c>
      <c r="CI2821" s="76"/>
      <c r="CJ2821" s="76">
        <f>+CI2821*26000</f>
        <v>0</v>
      </c>
      <c r="CK2821" s="76"/>
      <c r="CL2821" s="76"/>
      <c r="CM2821" s="76"/>
      <c r="CN2821" s="76">
        <f>+CM2821*22000</f>
        <v>0</v>
      </c>
      <c r="CO2821" s="76"/>
      <c r="CP2821" s="76">
        <f>+CO2821*46000</f>
        <v>0</v>
      </c>
      <c r="CQ2821" s="76"/>
      <c r="CR2821" s="76">
        <f>+CQ2821*49000</f>
        <v>0</v>
      </c>
      <c r="CS2821" s="76"/>
      <c r="CT2821" s="76"/>
      <c r="CU2821" s="56">
        <f>AN2821+AP2821+AR2821+AT2821+AV2821+AX2821+AZ2821+BB2821+BD2821+BF2821+BH2821+BJ2821+BL2821+BN2821+BP2821+BR2821+BT2821+BV2821+BX2821+BZ2821+CB2821+CD2821+CF2821+CH2821+CJ2821+CL2821+CN2821+CP2821+CR2821+CT2821</f>
        <v>0</v>
      </c>
      <c r="CV2821" s="76"/>
      <c r="CW2821" s="76">
        <f>+CV2821*1100</f>
        <v>0</v>
      </c>
      <c r="CX2821" s="76"/>
      <c r="CY2821" s="76">
        <f>+CX2821*106250</f>
        <v>0</v>
      </c>
      <c r="CZ2821" s="76"/>
      <c r="DA2821" s="76">
        <f>+CZ2821*34500</f>
        <v>0</v>
      </c>
      <c r="DB2821" s="76"/>
      <c r="DC2821" s="76">
        <f>+DB2821*25000</f>
        <v>0</v>
      </c>
      <c r="DD2821" s="219"/>
      <c r="DE2821" s="219"/>
      <c r="DF2821" s="166"/>
      <c r="DG2821" s="116"/>
      <c r="DH2821" s="117"/>
      <c r="DI2821" s="24"/>
      <c r="DJ2821" s="24"/>
      <c r="DK2821" s="24"/>
      <c r="DL2821" s="24"/>
      <c r="DM2821" s="24"/>
      <c r="DN2821" s="24"/>
      <c r="DO2821" s="24"/>
      <c r="DP2821" s="24"/>
      <c r="DQ2821" s="24"/>
      <c r="DR2821" s="24"/>
      <c r="DS2821" s="24"/>
      <c r="DT2821" s="24"/>
      <c r="DU2821" s="24"/>
    </row>
    <row r="2822" spans="1:125" s="8" customFormat="1" ht="240" x14ac:dyDescent="0.2">
      <c r="A2822" s="228">
        <v>41512</v>
      </c>
      <c r="B2822" s="249" t="s">
        <v>2880</v>
      </c>
      <c r="C2822" s="231" t="s">
        <v>2083</v>
      </c>
      <c r="D2822" s="231" t="s">
        <v>3051</v>
      </c>
      <c r="E2822" s="296" t="str">
        <f>VLOOKUP(B2822&amp;C2822,Divipola!$C$2:$F$1138,4,FALSE)</f>
        <v>54239</v>
      </c>
      <c r="F2822" s="61"/>
      <c r="G2822" s="61"/>
      <c r="H2822" s="61"/>
      <c r="I2822" s="61"/>
      <c r="J2822" s="61"/>
      <c r="K2822" s="61"/>
      <c r="L2822" s="61"/>
      <c r="M2822" s="61"/>
      <c r="N2822" s="61"/>
      <c r="O2822" s="61"/>
      <c r="P2822" s="61"/>
      <c r="Q2822" s="61"/>
      <c r="R2822" s="61"/>
      <c r="S2822" s="61"/>
      <c r="T2822" s="61"/>
      <c r="U2822" s="61"/>
      <c r="V2822" s="7"/>
      <c r="W2822" s="96">
        <v>0</v>
      </c>
      <c r="X2822" s="71">
        <f>CU2822</f>
        <v>0</v>
      </c>
      <c r="Y2822" s="71">
        <f>CY2822</f>
        <v>0</v>
      </c>
      <c r="Z2822" s="71">
        <f>DA2822+DC2822+DE2822</f>
        <v>91124300</v>
      </c>
      <c r="AA2822" s="71">
        <f>CW2822</f>
        <v>0</v>
      </c>
      <c r="AB2822" s="71"/>
      <c r="AC2822" s="71">
        <v>0</v>
      </c>
      <c r="AD2822" s="71">
        <f>W2822+X2822+Y2822+Z2822+AA2822+AB2822+AC2822</f>
        <v>91124300</v>
      </c>
      <c r="AE2822" s="72">
        <v>0</v>
      </c>
      <c r="AF2822" s="5"/>
      <c r="AG2822" s="6"/>
      <c r="AH2822" s="27"/>
      <c r="AI2822" s="44"/>
      <c r="AJ2822" s="26"/>
      <c r="AK2822" s="5"/>
      <c r="AL2822" s="9"/>
      <c r="AM2822" s="76"/>
      <c r="AN2822" s="76"/>
      <c r="AO2822" s="76"/>
      <c r="AP2822" s="76"/>
      <c r="AQ2822" s="76"/>
      <c r="AR2822" s="76"/>
      <c r="AS2822" s="76"/>
      <c r="AT2822" s="76"/>
      <c r="AU2822" s="76"/>
      <c r="AV2822" s="76"/>
      <c r="AW2822" s="76"/>
      <c r="AX2822" s="76">
        <f>+AW2822*600000</f>
        <v>0</v>
      </c>
      <c r="AY2822" s="76"/>
      <c r="AZ2822" s="76">
        <f>+AY2822*70000</f>
        <v>0</v>
      </c>
      <c r="BA2822" s="76"/>
      <c r="BB2822" s="76"/>
      <c r="BC2822" s="76"/>
      <c r="BD2822" s="76">
        <f>+BC2822*30000</f>
        <v>0</v>
      </c>
      <c r="BE2822" s="76"/>
      <c r="BF2822" s="76"/>
      <c r="BG2822" s="76"/>
      <c r="BH2822" s="76"/>
      <c r="BI2822" s="76"/>
      <c r="BJ2822" s="76"/>
      <c r="BK2822" s="76"/>
      <c r="BL2822" s="76">
        <f>+BK2822*31500</f>
        <v>0</v>
      </c>
      <c r="BM2822" s="76"/>
      <c r="BN2822" s="76"/>
      <c r="BO2822" s="76"/>
      <c r="BP2822" s="76"/>
      <c r="BQ2822" s="76"/>
      <c r="BR2822" s="76"/>
      <c r="BS2822" s="76"/>
      <c r="BT2822" s="76"/>
      <c r="BU2822" s="76"/>
      <c r="BV2822" s="76"/>
      <c r="BW2822" s="76"/>
      <c r="BX2822" s="76"/>
      <c r="BY2822" s="76"/>
      <c r="BZ2822" s="76"/>
      <c r="CA2822" s="76"/>
      <c r="CB2822" s="76"/>
      <c r="CC2822" s="76"/>
      <c r="CD2822" s="76"/>
      <c r="CE2822" s="76"/>
      <c r="CF2822" s="76">
        <f>+CE2822*28000</f>
        <v>0</v>
      </c>
      <c r="CG2822" s="76"/>
      <c r="CH2822" s="76">
        <f>+CG2822*22500</f>
        <v>0</v>
      </c>
      <c r="CI2822" s="76"/>
      <c r="CJ2822" s="76">
        <f>+CI2822*26000</f>
        <v>0</v>
      </c>
      <c r="CK2822" s="76"/>
      <c r="CL2822" s="76"/>
      <c r="CM2822" s="76"/>
      <c r="CN2822" s="76">
        <f>+CM2822*22000</f>
        <v>0</v>
      </c>
      <c r="CO2822" s="76"/>
      <c r="CP2822" s="76">
        <f>+CO2822*46000</f>
        <v>0</v>
      </c>
      <c r="CQ2822" s="76"/>
      <c r="CR2822" s="76">
        <f>+CQ2822*49000</f>
        <v>0</v>
      </c>
      <c r="CS2822" s="76"/>
      <c r="CT2822" s="76"/>
      <c r="CU2822" s="56">
        <f>AN2822+AP2822+AR2822+AT2822+AV2822+AX2822+AZ2822+BB2822+BD2822+BF2822+BH2822+BJ2822+BL2822+BN2822+BP2822+BR2822+BT2822+BV2822+BX2822+BZ2822+CB2822+CD2822+CF2822+CH2822+CJ2822+CL2822+CN2822+CP2822+CR2822+CT2822</f>
        <v>0</v>
      </c>
      <c r="CV2822" s="76"/>
      <c r="CW2822" s="76">
        <f>+CV2822*1100</f>
        <v>0</v>
      </c>
      <c r="CX2822" s="76"/>
      <c r="CY2822" s="76">
        <f>+CX2822*106250</f>
        <v>0</v>
      </c>
      <c r="CZ2822" s="76"/>
      <c r="DA2822" s="76">
        <f>+CZ2822*34500</f>
        <v>0</v>
      </c>
      <c r="DB2822" s="76"/>
      <c r="DC2822" s="76">
        <f>+DB2822*25000</f>
        <v>0</v>
      </c>
      <c r="DD2822" s="358" t="s">
        <v>6706</v>
      </c>
      <c r="DE2822" s="223">
        <f>57897724+30*149379+7*4106458</f>
        <v>91124300</v>
      </c>
      <c r="DF2822" s="166"/>
      <c r="DG2822" s="192" t="s">
        <v>6707</v>
      </c>
      <c r="DH2822" s="117"/>
      <c r="DI2822" s="24"/>
      <c r="DJ2822" s="24"/>
      <c r="DK2822" s="24"/>
      <c r="DL2822" s="24"/>
      <c r="DM2822" s="24"/>
      <c r="DN2822" s="24"/>
      <c r="DO2822" s="24"/>
      <c r="DP2822" s="24"/>
      <c r="DQ2822" s="24"/>
      <c r="DR2822" s="24"/>
      <c r="DS2822" s="24"/>
      <c r="DT2822" s="24"/>
      <c r="DU2822" s="24"/>
    </row>
    <row r="2823" spans="1:125" s="8" customFormat="1" ht="72" x14ac:dyDescent="0.2">
      <c r="A2823" s="353">
        <v>41512</v>
      </c>
      <c r="B2823" s="352" t="s">
        <v>2847</v>
      </c>
      <c r="C2823" s="354" t="s">
        <v>1734</v>
      </c>
      <c r="D2823" s="354" t="s">
        <v>2846</v>
      </c>
      <c r="E2823" s="75" t="str">
        <f>VLOOKUP(B2823&amp;C2823,Divipola!$C$2:$F$1138,4,FALSE)</f>
        <v>68432</v>
      </c>
      <c r="F2823" s="87"/>
      <c r="G2823" s="87"/>
      <c r="H2823" s="87"/>
      <c r="I2823" s="87"/>
      <c r="J2823" s="87"/>
      <c r="K2823" s="87"/>
      <c r="L2823" s="87"/>
      <c r="M2823" s="87"/>
      <c r="N2823" s="87"/>
      <c r="O2823" s="87"/>
      <c r="P2823" s="87"/>
      <c r="Q2823" s="87"/>
      <c r="R2823" s="87"/>
      <c r="S2823" s="87"/>
      <c r="T2823" s="87"/>
      <c r="U2823" s="88">
        <v>0.5</v>
      </c>
      <c r="V2823" s="89"/>
      <c r="W2823" s="96">
        <v>0</v>
      </c>
      <c r="X2823" s="71">
        <f>CU2823</f>
        <v>0</v>
      </c>
      <c r="Y2823" s="71">
        <f>CY2823</f>
        <v>0</v>
      </c>
      <c r="Z2823" s="71">
        <f>DA2823+DC2823+DE2823</f>
        <v>0</v>
      </c>
      <c r="AA2823" s="71">
        <f>CW2823</f>
        <v>0</v>
      </c>
      <c r="AB2823" s="71"/>
      <c r="AC2823" s="71">
        <v>0</v>
      </c>
      <c r="AD2823" s="71">
        <f>W2823+X2823+Y2823+Z2823+AA2823+AB2823+AC2823</f>
        <v>0</v>
      </c>
      <c r="AE2823" s="72">
        <v>0</v>
      </c>
      <c r="AF2823" s="5"/>
      <c r="AG2823" s="6"/>
      <c r="AH2823" s="27"/>
      <c r="AI2823" s="44"/>
      <c r="AJ2823" s="26"/>
      <c r="AK2823" s="5"/>
      <c r="AL2823" s="82" t="s">
        <v>5696</v>
      </c>
      <c r="AM2823" s="76"/>
      <c r="AN2823" s="76"/>
      <c r="AO2823" s="76"/>
      <c r="AP2823" s="76"/>
      <c r="AQ2823" s="76"/>
      <c r="AR2823" s="76"/>
      <c r="AS2823" s="76"/>
      <c r="AT2823" s="76"/>
      <c r="AU2823" s="76"/>
      <c r="AV2823" s="76"/>
      <c r="AW2823" s="76"/>
      <c r="AX2823" s="76">
        <f>+AW2823*600000</f>
        <v>0</v>
      </c>
      <c r="AY2823" s="76"/>
      <c r="AZ2823" s="76">
        <f>+AY2823*70000</f>
        <v>0</v>
      </c>
      <c r="BA2823" s="76"/>
      <c r="BB2823" s="76"/>
      <c r="BC2823" s="76"/>
      <c r="BD2823" s="76">
        <f>+BC2823*30000</f>
        <v>0</v>
      </c>
      <c r="BE2823" s="76"/>
      <c r="BF2823" s="76"/>
      <c r="BG2823" s="76"/>
      <c r="BH2823" s="76"/>
      <c r="BI2823" s="76"/>
      <c r="BJ2823" s="76"/>
      <c r="BK2823" s="76"/>
      <c r="BL2823" s="76">
        <f>+BK2823*31500</f>
        <v>0</v>
      </c>
      <c r="BM2823" s="76"/>
      <c r="BN2823" s="76"/>
      <c r="BO2823" s="76"/>
      <c r="BP2823" s="76"/>
      <c r="BQ2823" s="76"/>
      <c r="BR2823" s="76"/>
      <c r="BS2823" s="76"/>
      <c r="BT2823" s="76"/>
      <c r="BU2823" s="76"/>
      <c r="BV2823" s="76"/>
      <c r="BW2823" s="76"/>
      <c r="BX2823" s="76"/>
      <c r="BY2823" s="76"/>
      <c r="BZ2823" s="76"/>
      <c r="CA2823" s="76"/>
      <c r="CB2823" s="76"/>
      <c r="CC2823" s="76"/>
      <c r="CD2823" s="76"/>
      <c r="CE2823" s="76"/>
      <c r="CF2823" s="76">
        <f>+CE2823*28000</f>
        <v>0</v>
      </c>
      <c r="CG2823" s="76"/>
      <c r="CH2823" s="76">
        <f>+CG2823*22500</f>
        <v>0</v>
      </c>
      <c r="CI2823" s="76"/>
      <c r="CJ2823" s="76">
        <f>+CI2823*26000</f>
        <v>0</v>
      </c>
      <c r="CK2823" s="76"/>
      <c r="CL2823" s="76"/>
      <c r="CM2823" s="76"/>
      <c r="CN2823" s="76">
        <f>+CM2823*22000</f>
        <v>0</v>
      </c>
      <c r="CO2823" s="76"/>
      <c r="CP2823" s="76">
        <f>+CO2823*46000</f>
        <v>0</v>
      </c>
      <c r="CQ2823" s="76"/>
      <c r="CR2823" s="76">
        <f>+CQ2823*49000</f>
        <v>0</v>
      </c>
      <c r="CS2823" s="76"/>
      <c r="CT2823" s="76"/>
      <c r="CU2823" s="56">
        <f>AN2823+AP2823+AR2823+AT2823+AV2823+AX2823+AZ2823+BB2823+BD2823+BF2823+BH2823+BJ2823+BL2823+BN2823+BP2823+BR2823+BT2823+BV2823+BX2823+BZ2823+CB2823+CD2823+CF2823+CH2823+CJ2823+CL2823+CN2823+CP2823+CR2823+CT2823</f>
        <v>0</v>
      </c>
      <c r="CV2823" s="76"/>
      <c r="CW2823" s="76">
        <f>+CV2823*1100</f>
        <v>0</v>
      </c>
      <c r="CX2823" s="76"/>
      <c r="CY2823" s="76">
        <f>+CX2823*106250</f>
        <v>0</v>
      </c>
      <c r="CZ2823" s="76"/>
      <c r="DA2823" s="76">
        <f>+CZ2823*34500</f>
        <v>0</v>
      </c>
      <c r="DB2823" s="76"/>
      <c r="DC2823" s="76">
        <f>+DB2823*25000</f>
        <v>0</v>
      </c>
      <c r="DD2823" s="219"/>
      <c r="DE2823" s="219"/>
      <c r="DF2823" s="166"/>
      <c r="DG2823" s="116"/>
      <c r="DH2823" s="117"/>
      <c r="DI2823" s="24"/>
      <c r="DJ2823" s="24"/>
      <c r="DK2823" s="24"/>
      <c r="DL2823" s="24"/>
      <c r="DM2823" s="24"/>
      <c r="DN2823" s="24"/>
      <c r="DO2823" s="24"/>
      <c r="DP2823" s="24"/>
      <c r="DQ2823" s="24"/>
      <c r="DR2823" s="24"/>
      <c r="DS2823" s="24"/>
      <c r="DT2823" s="24"/>
      <c r="DU2823" s="24"/>
    </row>
    <row r="2824" spans="1:125" s="8" customFormat="1" ht="48" x14ac:dyDescent="0.2">
      <c r="A2824" s="77">
        <v>41512</v>
      </c>
      <c r="B2824" s="78" t="s">
        <v>2848</v>
      </c>
      <c r="C2824" s="75" t="s">
        <v>484</v>
      </c>
      <c r="D2824" s="75" t="s">
        <v>2882</v>
      </c>
      <c r="E2824" s="75" t="str">
        <f>VLOOKUP(B2824&amp;C2824,Divipola!$C$2:$F$1138,4,FALSE)</f>
        <v>73347</v>
      </c>
      <c r="F2824" s="87"/>
      <c r="G2824" s="87"/>
      <c r="H2824" s="87"/>
      <c r="I2824" s="87">
        <v>10</v>
      </c>
      <c r="J2824" s="87">
        <v>2</v>
      </c>
      <c r="K2824" s="87"/>
      <c r="L2824" s="87">
        <v>2</v>
      </c>
      <c r="M2824" s="87"/>
      <c r="N2824" s="87"/>
      <c r="O2824" s="87"/>
      <c r="P2824" s="87"/>
      <c r="Q2824" s="87"/>
      <c r="R2824" s="87"/>
      <c r="S2824" s="87"/>
      <c r="T2824" s="87"/>
      <c r="U2824" s="88"/>
      <c r="V2824" s="89"/>
      <c r="W2824" s="96">
        <v>0</v>
      </c>
      <c r="X2824" s="71">
        <f>CU2824</f>
        <v>0</v>
      </c>
      <c r="Y2824" s="71">
        <f>CY2824</f>
        <v>0</v>
      </c>
      <c r="Z2824" s="71">
        <f>DA2824+DC2824+DE2824</f>
        <v>0</v>
      </c>
      <c r="AA2824" s="71">
        <f>CW2824</f>
        <v>0</v>
      </c>
      <c r="AB2824" s="71"/>
      <c r="AC2824" s="71">
        <v>0</v>
      </c>
      <c r="AD2824" s="71">
        <f>W2824+X2824+Y2824+Z2824+AA2824+AB2824+AC2824</f>
        <v>0</v>
      </c>
      <c r="AE2824" s="72">
        <v>0</v>
      </c>
      <c r="AF2824" s="5"/>
      <c r="AG2824" s="6"/>
      <c r="AH2824" s="27"/>
      <c r="AI2824" s="44"/>
      <c r="AJ2824" s="26"/>
      <c r="AK2824" s="5"/>
      <c r="AL2824" s="82" t="s">
        <v>5702</v>
      </c>
      <c r="AM2824" s="76"/>
      <c r="AN2824" s="76"/>
      <c r="AO2824" s="76"/>
      <c r="AP2824" s="76"/>
      <c r="AQ2824" s="76"/>
      <c r="AR2824" s="76"/>
      <c r="AS2824" s="76"/>
      <c r="AT2824" s="76"/>
      <c r="AU2824" s="76"/>
      <c r="AV2824" s="76"/>
      <c r="AW2824" s="76"/>
      <c r="AX2824" s="76">
        <f>+AW2824*600000</f>
        <v>0</v>
      </c>
      <c r="AY2824" s="76"/>
      <c r="AZ2824" s="76">
        <f>+AY2824*70000</f>
        <v>0</v>
      </c>
      <c r="BA2824" s="76"/>
      <c r="BB2824" s="76"/>
      <c r="BC2824" s="76"/>
      <c r="BD2824" s="76">
        <f>+BC2824*30000</f>
        <v>0</v>
      </c>
      <c r="BE2824" s="76"/>
      <c r="BF2824" s="76"/>
      <c r="BG2824" s="76"/>
      <c r="BH2824" s="76"/>
      <c r="BI2824" s="76"/>
      <c r="BJ2824" s="76"/>
      <c r="BK2824" s="76"/>
      <c r="BL2824" s="76">
        <f>+BK2824*31500</f>
        <v>0</v>
      </c>
      <c r="BM2824" s="76"/>
      <c r="BN2824" s="76"/>
      <c r="BO2824" s="76"/>
      <c r="BP2824" s="76"/>
      <c r="BQ2824" s="76"/>
      <c r="BR2824" s="76"/>
      <c r="BS2824" s="76"/>
      <c r="BT2824" s="76"/>
      <c r="BU2824" s="76"/>
      <c r="BV2824" s="76"/>
      <c r="BW2824" s="76"/>
      <c r="BX2824" s="76"/>
      <c r="BY2824" s="76"/>
      <c r="BZ2824" s="76"/>
      <c r="CA2824" s="76"/>
      <c r="CB2824" s="76"/>
      <c r="CC2824" s="76"/>
      <c r="CD2824" s="76"/>
      <c r="CE2824" s="76"/>
      <c r="CF2824" s="76">
        <f>+CE2824*28000</f>
        <v>0</v>
      </c>
      <c r="CG2824" s="76"/>
      <c r="CH2824" s="76">
        <f>+CG2824*22500</f>
        <v>0</v>
      </c>
      <c r="CI2824" s="76"/>
      <c r="CJ2824" s="76">
        <f>+CI2824*26000</f>
        <v>0</v>
      </c>
      <c r="CK2824" s="76"/>
      <c r="CL2824" s="76"/>
      <c r="CM2824" s="76"/>
      <c r="CN2824" s="76">
        <f>+CM2824*22000</f>
        <v>0</v>
      </c>
      <c r="CO2824" s="76"/>
      <c r="CP2824" s="76">
        <f>+CO2824*46000</f>
        <v>0</v>
      </c>
      <c r="CQ2824" s="76"/>
      <c r="CR2824" s="76">
        <f>+CQ2824*49000</f>
        <v>0</v>
      </c>
      <c r="CS2824" s="76"/>
      <c r="CT2824" s="76"/>
      <c r="CU2824" s="56">
        <f>AN2824+AP2824+AR2824+AT2824+AV2824+AX2824+AZ2824+BB2824+BD2824+BF2824+BH2824+BJ2824+BL2824+BN2824+BP2824+BR2824+BT2824+BV2824+BX2824+BZ2824+CB2824+CD2824+CF2824+CH2824+CJ2824+CL2824+CN2824+CP2824+CR2824+CT2824</f>
        <v>0</v>
      </c>
      <c r="CV2824" s="76"/>
      <c r="CW2824" s="76">
        <f>+CV2824*1100</f>
        <v>0</v>
      </c>
      <c r="CX2824" s="76"/>
      <c r="CY2824" s="76">
        <f>+CX2824*106250</f>
        <v>0</v>
      </c>
      <c r="CZ2824" s="76"/>
      <c r="DA2824" s="76">
        <f>+CZ2824*34500</f>
        <v>0</v>
      </c>
      <c r="DB2824" s="76"/>
      <c r="DC2824" s="76">
        <f>+DB2824*25000</f>
        <v>0</v>
      </c>
      <c r="DD2824" s="219"/>
      <c r="DE2824" s="219"/>
      <c r="DF2824" s="166"/>
      <c r="DG2824" s="116"/>
      <c r="DH2824" s="117"/>
      <c r="DI2824" s="24"/>
      <c r="DJ2824" s="24"/>
      <c r="DK2824" s="24"/>
      <c r="DL2824" s="24"/>
      <c r="DM2824" s="24"/>
      <c r="DN2824" s="24"/>
      <c r="DO2824" s="24"/>
      <c r="DP2824" s="24"/>
      <c r="DQ2824" s="24"/>
      <c r="DR2824" s="24"/>
      <c r="DS2824" s="24"/>
      <c r="DT2824" s="24"/>
      <c r="DU2824" s="24"/>
    </row>
    <row r="2825" spans="1:125" s="8" customFormat="1" ht="108" x14ac:dyDescent="0.2">
      <c r="A2825" s="77">
        <v>41512</v>
      </c>
      <c r="B2825" s="78" t="s">
        <v>2848</v>
      </c>
      <c r="C2825" s="75" t="s">
        <v>2755</v>
      </c>
      <c r="D2825" s="75" t="s">
        <v>2859</v>
      </c>
      <c r="E2825" s="75" t="str">
        <f>VLOOKUP(B2825&amp;C2825,Divipola!$C$2:$F$1138,4,FALSE)</f>
        <v>73001</v>
      </c>
      <c r="F2825" s="87"/>
      <c r="G2825" s="87"/>
      <c r="H2825" s="87"/>
      <c r="I2825" s="87">
        <v>15</v>
      </c>
      <c r="J2825" s="87">
        <v>3</v>
      </c>
      <c r="K2825" s="87">
        <v>3</v>
      </c>
      <c r="L2825" s="87"/>
      <c r="M2825" s="87"/>
      <c r="N2825" s="87"/>
      <c r="O2825" s="87"/>
      <c r="P2825" s="87"/>
      <c r="Q2825" s="87"/>
      <c r="R2825" s="87"/>
      <c r="S2825" s="87"/>
      <c r="T2825" s="87"/>
      <c r="U2825" s="88"/>
      <c r="V2825" s="89"/>
      <c r="W2825" s="96">
        <v>0</v>
      </c>
      <c r="X2825" s="71">
        <f>CU2825</f>
        <v>0</v>
      </c>
      <c r="Y2825" s="71">
        <f>CY2825</f>
        <v>0</v>
      </c>
      <c r="Z2825" s="71">
        <f>DA2825+DC2825+DE2825</f>
        <v>0</v>
      </c>
      <c r="AA2825" s="71">
        <f>CW2825</f>
        <v>0</v>
      </c>
      <c r="AB2825" s="71"/>
      <c r="AC2825" s="71">
        <v>0</v>
      </c>
      <c r="AD2825" s="71">
        <f>W2825+X2825+Y2825+Z2825+AA2825+AB2825+AC2825</f>
        <v>0</v>
      </c>
      <c r="AE2825" s="72">
        <v>0</v>
      </c>
      <c r="AF2825" s="5"/>
      <c r="AG2825" s="6"/>
      <c r="AH2825" s="27"/>
      <c r="AI2825" s="44"/>
      <c r="AJ2825" s="26"/>
      <c r="AK2825" s="5"/>
      <c r="AL2825" s="82" t="s">
        <v>5699</v>
      </c>
      <c r="AM2825" s="76"/>
      <c r="AN2825" s="76"/>
      <c r="AO2825" s="76"/>
      <c r="AP2825" s="76"/>
      <c r="AQ2825" s="76"/>
      <c r="AR2825" s="76"/>
      <c r="AS2825" s="76"/>
      <c r="AT2825" s="76"/>
      <c r="AU2825" s="76"/>
      <c r="AV2825" s="76"/>
      <c r="AW2825" s="76"/>
      <c r="AX2825" s="76">
        <f>+AW2825*600000</f>
        <v>0</v>
      </c>
      <c r="AY2825" s="76"/>
      <c r="AZ2825" s="76">
        <f>+AY2825*70000</f>
        <v>0</v>
      </c>
      <c r="BA2825" s="76"/>
      <c r="BB2825" s="76"/>
      <c r="BC2825" s="76"/>
      <c r="BD2825" s="76">
        <f>+BC2825*30000</f>
        <v>0</v>
      </c>
      <c r="BE2825" s="76"/>
      <c r="BF2825" s="76"/>
      <c r="BG2825" s="76"/>
      <c r="BH2825" s="76"/>
      <c r="BI2825" s="76"/>
      <c r="BJ2825" s="76"/>
      <c r="BK2825" s="76"/>
      <c r="BL2825" s="76">
        <f>+BK2825*31500</f>
        <v>0</v>
      </c>
      <c r="BM2825" s="76"/>
      <c r="BN2825" s="76"/>
      <c r="BO2825" s="76"/>
      <c r="BP2825" s="76"/>
      <c r="BQ2825" s="76"/>
      <c r="BR2825" s="76"/>
      <c r="BS2825" s="76"/>
      <c r="BT2825" s="76"/>
      <c r="BU2825" s="76"/>
      <c r="BV2825" s="76"/>
      <c r="BW2825" s="76"/>
      <c r="BX2825" s="76"/>
      <c r="BY2825" s="76"/>
      <c r="BZ2825" s="76"/>
      <c r="CA2825" s="76"/>
      <c r="CB2825" s="76"/>
      <c r="CC2825" s="76"/>
      <c r="CD2825" s="76"/>
      <c r="CE2825" s="76"/>
      <c r="CF2825" s="76">
        <f>+CE2825*28000</f>
        <v>0</v>
      </c>
      <c r="CG2825" s="76"/>
      <c r="CH2825" s="76">
        <f>+CG2825*22500</f>
        <v>0</v>
      </c>
      <c r="CI2825" s="76"/>
      <c r="CJ2825" s="76">
        <f>+CI2825*26000</f>
        <v>0</v>
      </c>
      <c r="CK2825" s="76"/>
      <c r="CL2825" s="76"/>
      <c r="CM2825" s="76"/>
      <c r="CN2825" s="76">
        <f>+CM2825*22000</f>
        <v>0</v>
      </c>
      <c r="CO2825" s="76"/>
      <c r="CP2825" s="76">
        <f>+CO2825*46000</f>
        <v>0</v>
      </c>
      <c r="CQ2825" s="76"/>
      <c r="CR2825" s="76">
        <f>+CQ2825*49000</f>
        <v>0</v>
      </c>
      <c r="CS2825" s="76"/>
      <c r="CT2825" s="76"/>
      <c r="CU2825" s="56">
        <f>AN2825+AP2825+AR2825+AT2825+AV2825+AX2825+AZ2825+BB2825+BD2825+BF2825+BH2825+BJ2825+BL2825+BN2825+BP2825+BR2825+BT2825+BV2825+BX2825+BZ2825+CB2825+CD2825+CF2825+CH2825+CJ2825+CL2825+CN2825+CP2825+CR2825+CT2825</f>
        <v>0</v>
      </c>
      <c r="CV2825" s="76"/>
      <c r="CW2825" s="76">
        <f>+CV2825*1100</f>
        <v>0</v>
      </c>
      <c r="CX2825" s="76"/>
      <c r="CY2825" s="76">
        <f>+CX2825*106250</f>
        <v>0</v>
      </c>
      <c r="CZ2825" s="76"/>
      <c r="DA2825" s="76">
        <f>+CZ2825*34500</f>
        <v>0</v>
      </c>
      <c r="DB2825" s="76"/>
      <c r="DC2825" s="76">
        <f>+DB2825*25000</f>
        <v>0</v>
      </c>
      <c r="DD2825" s="219"/>
      <c r="DE2825" s="219"/>
      <c r="DF2825" s="166"/>
      <c r="DG2825" s="116"/>
      <c r="DH2825" s="117"/>
      <c r="DI2825" s="24"/>
      <c r="DJ2825" s="24"/>
      <c r="DK2825" s="24"/>
      <c r="DL2825" s="24"/>
      <c r="DM2825" s="24"/>
      <c r="DN2825" s="24"/>
      <c r="DO2825" s="24"/>
      <c r="DP2825" s="24"/>
      <c r="DQ2825" s="24"/>
      <c r="DR2825" s="24"/>
      <c r="DS2825" s="24"/>
      <c r="DT2825" s="24"/>
      <c r="DU2825" s="24"/>
    </row>
    <row r="2826" spans="1:125" s="8" customFormat="1" ht="84" x14ac:dyDescent="0.2">
      <c r="A2826" s="77">
        <v>41512</v>
      </c>
      <c r="B2826" s="78" t="s">
        <v>2848</v>
      </c>
      <c r="C2826" s="83" t="s">
        <v>1258</v>
      </c>
      <c r="D2826" s="75" t="s">
        <v>2882</v>
      </c>
      <c r="E2826" s="75" t="str">
        <f>VLOOKUP(B2826&amp;C2826,Divipola!$C$2:$F$1138,4,FALSE)</f>
        <v>73870</v>
      </c>
      <c r="F2826" s="93"/>
      <c r="G2826" s="93"/>
      <c r="H2826" s="93"/>
      <c r="I2826" s="93">
        <v>540</v>
      </c>
      <c r="J2826" s="93">
        <v>108</v>
      </c>
      <c r="K2826" s="93"/>
      <c r="L2826" s="93">
        <v>108</v>
      </c>
      <c r="M2826" s="93"/>
      <c r="N2826" s="93"/>
      <c r="O2826" s="93"/>
      <c r="P2826" s="93"/>
      <c r="Q2826" s="93"/>
      <c r="R2826" s="93"/>
      <c r="S2826" s="93"/>
      <c r="T2826" s="93"/>
      <c r="U2826" s="93"/>
      <c r="V2826" s="89"/>
      <c r="W2826" s="96">
        <v>0</v>
      </c>
      <c r="X2826" s="71">
        <f>CU2826</f>
        <v>0</v>
      </c>
      <c r="Y2826" s="71">
        <f>CY2826</f>
        <v>0</v>
      </c>
      <c r="Z2826" s="71">
        <f>DA2826+DC2826+DE2826</f>
        <v>0</v>
      </c>
      <c r="AA2826" s="71">
        <f>CW2826</f>
        <v>0</v>
      </c>
      <c r="AB2826" s="71"/>
      <c r="AC2826" s="71">
        <v>0</v>
      </c>
      <c r="AD2826" s="71">
        <f>W2826+X2826+Y2826+Z2826+AA2826+AB2826+AC2826</f>
        <v>0</v>
      </c>
      <c r="AE2826" s="72">
        <v>0</v>
      </c>
      <c r="AF2826" s="5"/>
      <c r="AG2826" s="6"/>
      <c r="AH2826" s="27" t="s">
        <v>3390</v>
      </c>
      <c r="AI2826" s="44" t="s">
        <v>3393</v>
      </c>
      <c r="AJ2826" s="26"/>
      <c r="AK2826" s="5" t="s">
        <v>4242</v>
      </c>
      <c r="AL2826" s="82" t="s">
        <v>5703</v>
      </c>
      <c r="AM2826" s="76"/>
      <c r="AN2826" s="76"/>
      <c r="AO2826" s="76"/>
      <c r="AP2826" s="76"/>
      <c r="AQ2826" s="76"/>
      <c r="AR2826" s="76"/>
      <c r="AS2826" s="76"/>
      <c r="AT2826" s="76"/>
      <c r="AU2826" s="76"/>
      <c r="AV2826" s="76"/>
      <c r="AW2826" s="76"/>
      <c r="AX2826" s="76">
        <f>+AW2826*600000</f>
        <v>0</v>
      </c>
      <c r="AY2826" s="76"/>
      <c r="AZ2826" s="76">
        <f>+AY2826*70000</f>
        <v>0</v>
      </c>
      <c r="BA2826" s="76"/>
      <c r="BB2826" s="76"/>
      <c r="BC2826" s="76"/>
      <c r="BD2826" s="76">
        <f>+BC2826*30000</f>
        <v>0</v>
      </c>
      <c r="BE2826" s="76"/>
      <c r="BF2826" s="76"/>
      <c r="BG2826" s="76"/>
      <c r="BH2826" s="76"/>
      <c r="BI2826" s="76"/>
      <c r="BJ2826" s="76"/>
      <c r="BK2826" s="76"/>
      <c r="BL2826" s="76">
        <f>+BK2826*31500</f>
        <v>0</v>
      </c>
      <c r="BM2826" s="76"/>
      <c r="BN2826" s="76"/>
      <c r="BO2826" s="76"/>
      <c r="BP2826" s="76"/>
      <c r="BQ2826" s="76"/>
      <c r="BR2826" s="76"/>
      <c r="BS2826" s="76"/>
      <c r="BT2826" s="76"/>
      <c r="BU2826" s="76"/>
      <c r="BV2826" s="76"/>
      <c r="BW2826" s="76"/>
      <c r="BX2826" s="76"/>
      <c r="BY2826" s="76"/>
      <c r="BZ2826" s="76"/>
      <c r="CA2826" s="76"/>
      <c r="CB2826" s="76"/>
      <c r="CC2826" s="76"/>
      <c r="CD2826" s="76"/>
      <c r="CE2826" s="76"/>
      <c r="CF2826" s="76">
        <f>+CE2826*28000</f>
        <v>0</v>
      </c>
      <c r="CG2826" s="76"/>
      <c r="CH2826" s="76">
        <f>+CG2826*22500</f>
        <v>0</v>
      </c>
      <c r="CI2826" s="76"/>
      <c r="CJ2826" s="76">
        <f>+CI2826*26000</f>
        <v>0</v>
      </c>
      <c r="CK2826" s="76"/>
      <c r="CL2826" s="76"/>
      <c r="CM2826" s="76"/>
      <c r="CN2826" s="76">
        <f>+CM2826*22000</f>
        <v>0</v>
      </c>
      <c r="CO2826" s="76"/>
      <c r="CP2826" s="76">
        <f>+CO2826*46000</f>
        <v>0</v>
      </c>
      <c r="CQ2826" s="76"/>
      <c r="CR2826" s="76">
        <f>+CQ2826*49000</f>
        <v>0</v>
      </c>
      <c r="CS2826" s="76"/>
      <c r="CT2826" s="76"/>
      <c r="CU2826" s="56">
        <f>AN2826+AP2826+AR2826+AT2826+AV2826+AX2826+AZ2826+BB2826+BD2826+BF2826+BH2826+BJ2826+BL2826+BN2826+BP2826+BR2826+BT2826+BV2826+BX2826+BZ2826+CB2826+CD2826+CF2826+CH2826+CJ2826+CL2826+CN2826+CP2826+CR2826+CT2826</f>
        <v>0</v>
      </c>
      <c r="CV2826" s="76"/>
      <c r="CW2826" s="76">
        <f>+CV2826*1100</f>
        <v>0</v>
      </c>
      <c r="CX2826" s="76"/>
      <c r="CY2826" s="76">
        <f>+CX2826*106250</f>
        <v>0</v>
      </c>
      <c r="CZ2826" s="76"/>
      <c r="DA2826" s="76">
        <f>+CZ2826*34500</f>
        <v>0</v>
      </c>
      <c r="DB2826" s="76"/>
      <c r="DC2826" s="76">
        <f>+DB2826*25000</f>
        <v>0</v>
      </c>
      <c r="DD2826" s="219"/>
      <c r="DE2826" s="219"/>
      <c r="DF2826" s="166"/>
      <c r="DG2826" s="116"/>
      <c r="DH2826" s="117"/>
      <c r="DI2826" s="24"/>
      <c r="DJ2826" s="24"/>
      <c r="DK2826" s="24"/>
      <c r="DL2826" s="24"/>
      <c r="DM2826" s="24"/>
      <c r="DN2826" s="24"/>
      <c r="DO2826" s="24"/>
      <c r="DP2826" s="24"/>
      <c r="DQ2826" s="24"/>
      <c r="DR2826" s="24"/>
      <c r="DS2826" s="24"/>
      <c r="DT2826" s="24"/>
      <c r="DU2826" s="24"/>
    </row>
    <row r="2827" spans="1:125" s="8" customFormat="1" ht="72" x14ac:dyDescent="0.2">
      <c r="A2827" s="5">
        <v>41512</v>
      </c>
      <c r="B2827" s="84" t="s">
        <v>2851</v>
      </c>
      <c r="C2827" s="84" t="s">
        <v>1686</v>
      </c>
      <c r="D2827" s="75" t="s">
        <v>2846</v>
      </c>
      <c r="E2827" s="75" t="str">
        <f>VLOOKUP(B2827&amp;C2827,Divipola!$C$2:$F$1138,4,FALSE)</f>
        <v>76001</v>
      </c>
      <c r="F2827" s="89"/>
      <c r="G2827" s="89"/>
      <c r="H2827" s="89"/>
      <c r="I2827" s="89"/>
      <c r="J2827" s="89"/>
      <c r="K2827" s="89"/>
      <c r="L2827" s="89"/>
      <c r="M2827" s="89"/>
      <c r="N2827" s="89"/>
      <c r="O2827" s="89"/>
      <c r="P2827" s="89"/>
      <c r="Q2827" s="89"/>
      <c r="R2827" s="89"/>
      <c r="S2827" s="89"/>
      <c r="T2827" s="89"/>
      <c r="U2827" s="89"/>
      <c r="V2827" s="89"/>
      <c r="W2827" s="96">
        <v>0</v>
      </c>
      <c r="X2827" s="71">
        <f>CU2827</f>
        <v>0</v>
      </c>
      <c r="Y2827" s="71">
        <f>CY2827</f>
        <v>0</v>
      </c>
      <c r="Z2827" s="71">
        <f>DA2827+DC2827+DE2827</f>
        <v>0</v>
      </c>
      <c r="AA2827" s="71">
        <f>CW2827</f>
        <v>0</v>
      </c>
      <c r="AB2827" s="71"/>
      <c r="AC2827" s="71">
        <v>0</v>
      </c>
      <c r="AD2827" s="71">
        <f>W2827+X2827+Y2827+Z2827+AA2827+AB2827+AC2827</f>
        <v>0</v>
      </c>
      <c r="AE2827" s="72">
        <v>0</v>
      </c>
      <c r="AF2827" s="5"/>
      <c r="AG2827" s="6"/>
      <c r="AH2827" s="27"/>
      <c r="AI2827" s="44"/>
      <c r="AJ2827" s="26"/>
      <c r="AK2827" s="5"/>
      <c r="AL2827" s="82" t="s">
        <v>5704</v>
      </c>
      <c r="AM2827" s="76"/>
      <c r="AN2827" s="76"/>
      <c r="AO2827" s="76"/>
      <c r="AP2827" s="76"/>
      <c r="AQ2827" s="76"/>
      <c r="AR2827" s="76"/>
      <c r="AS2827" s="76"/>
      <c r="AT2827" s="76"/>
      <c r="AU2827" s="76"/>
      <c r="AV2827" s="76"/>
      <c r="AW2827" s="76"/>
      <c r="AX2827" s="76">
        <f>+AW2827*600000</f>
        <v>0</v>
      </c>
      <c r="AY2827" s="76"/>
      <c r="AZ2827" s="76">
        <f>+AY2827*70000</f>
        <v>0</v>
      </c>
      <c r="BA2827" s="76"/>
      <c r="BB2827" s="76"/>
      <c r="BC2827" s="76"/>
      <c r="BD2827" s="76">
        <f>+BC2827*30000</f>
        <v>0</v>
      </c>
      <c r="BE2827" s="76"/>
      <c r="BF2827" s="76"/>
      <c r="BG2827" s="76"/>
      <c r="BH2827" s="76"/>
      <c r="BI2827" s="76"/>
      <c r="BJ2827" s="76"/>
      <c r="BK2827" s="76"/>
      <c r="BL2827" s="76">
        <f>+BK2827*31500</f>
        <v>0</v>
      </c>
      <c r="BM2827" s="76"/>
      <c r="BN2827" s="76"/>
      <c r="BO2827" s="76"/>
      <c r="BP2827" s="76"/>
      <c r="BQ2827" s="76"/>
      <c r="BR2827" s="76"/>
      <c r="BS2827" s="76"/>
      <c r="BT2827" s="76"/>
      <c r="BU2827" s="76"/>
      <c r="BV2827" s="76"/>
      <c r="BW2827" s="76"/>
      <c r="BX2827" s="76"/>
      <c r="BY2827" s="76"/>
      <c r="BZ2827" s="76"/>
      <c r="CA2827" s="76"/>
      <c r="CB2827" s="76"/>
      <c r="CC2827" s="76"/>
      <c r="CD2827" s="76"/>
      <c r="CE2827" s="76"/>
      <c r="CF2827" s="76">
        <f>+CE2827*28000</f>
        <v>0</v>
      </c>
      <c r="CG2827" s="76"/>
      <c r="CH2827" s="76">
        <f>+CG2827*22500</f>
        <v>0</v>
      </c>
      <c r="CI2827" s="76"/>
      <c r="CJ2827" s="76">
        <f>+CI2827*26000</f>
        <v>0</v>
      </c>
      <c r="CK2827" s="76"/>
      <c r="CL2827" s="76"/>
      <c r="CM2827" s="76"/>
      <c r="CN2827" s="76">
        <f>+CM2827*22000</f>
        <v>0</v>
      </c>
      <c r="CO2827" s="76"/>
      <c r="CP2827" s="76">
        <f>+CO2827*46000</f>
        <v>0</v>
      </c>
      <c r="CQ2827" s="76"/>
      <c r="CR2827" s="76">
        <f>+CQ2827*49000</f>
        <v>0</v>
      </c>
      <c r="CS2827" s="76"/>
      <c r="CT2827" s="76"/>
      <c r="CU2827" s="56">
        <f>AN2827+AP2827+AR2827+AT2827+AV2827+AX2827+AZ2827+BB2827+BD2827+BF2827+BH2827+BJ2827+BL2827+BN2827+BP2827+BR2827+BT2827+BV2827+BX2827+BZ2827+CB2827+CD2827+CF2827+CH2827+CJ2827+CL2827+CN2827+CP2827+CR2827+CT2827</f>
        <v>0</v>
      </c>
      <c r="CV2827" s="76"/>
      <c r="CW2827" s="76">
        <f>+CV2827*1100</f>
        <v>0</v>
      </c>
      <c r="CX2827" s="76"/>
      <c r="CY2827" s="76">
        <f>+CX2827*106250</f>
        <v>0</v>
      </c>
      <c r="CZ2827" s="76"/>
      <c r="DA2827" s="76">
        <f>+CZ2827*34500</f>
        <v>0</v>
      </c>
      <c r="DB2827" s="76"/>
      <c r="DC2827" s="76">
        <f>+DB2827*25000</f>
        <v>0</v>
      </c>
      <c r="DD2827" s="219"/>
      <c r="DE2827" s="219"/>
      <c r="DF2827" s="166"/>
      <c r="DG2827" s="116"/>
      <c r="DH2827" s="117"/>
      <c r="DI2827" s="24"/>
      <c r="DJ2827" s="24"/>
      <c r="DK2827" s="24"/>
      <c r="DL2827" s="24"/>
      <c r="DM2827" s="24"/>
      <c r="DN2827" s="24"/>
      <c r="DO2827" s="24"/>
      <c r="DP2827" s="24"/>
      <c r="DQ2827" s="24"/>
      <c r="DR2827" s="24"/>
      <c r="DS2827" s="24"/>
      <c r="DT2827" s="24"/>
      <c r="DU2827" s="24"/>
    </row>
    <row r="2828" spans="1:125" s="8" customFormat="1" ht="120" x14ac:dyDescent="0.2">
      <c r="A2828" s="353">
        <v>41513</v>
      </c>
      <c r="B2828" s="352" t="s">
        <v>2700</v>
      </c>
      <c r="C2828" s="354" t="s">
        <v>2217</v>
      </c>
      <c r="D2828" s="354" t="s">
        <v>2882</v>
      </c>
      <c r="E2828" s="75" t="str">
        <f>VLOOKUP(B2828&amp;C2828,Divipola!$C$2:$F$1138,4,FALSE)</f>
        <v>15469</v>
      </c>
      <c r="F2828" s="87"/>
      <c r="G2828" s="87"/>
      <c r="H2828" s="87"/>
      <c r="I2828" s="87">
        <v>15</v>
      </c>
      <c r="J2828" s="87">
        <v>3</v>
      </c>
      <c r="K2828" s="87"/>
      <c r="L2828" s="87">
        <v>3</v>
      </c>
      <c r="M2828" s="87"/>
      <c r="N2828" s="87"/>
      <c r="O2828" s="87"/>
      <c r="P2828" s="87"/>
      <c r="Q2828" s="87"/>
      <c r="R2828" s="87"/>
      <c r="S2828" s="87"/>
      <c r="T2828" s="87"/>
      <c r="U2828" s="88"/>
      <c r="V2828" s="89"/>
      <c r="W2828" s="96">
        <v>0</v>
      </c>
      <c r="X2828" s="71">
        <f>CU2828</f>
        <v>0</v>
      </c>
      <c r="Y2828" s="71">
        <f>CY2828</f>
        <v>0</v>
      </c>
      <c r="Z2828" s="71">
        <f>DA2828+DC2828+DE2828</f>
        <v>0</v>
      </c>
      <c r="AA2828" s="71">
        <f>CW2828</f>
        <v>0</v>
      </c>
      <c r="AB2828" s="71"/>
      <c r="AC2828" s="71">
        <v>0</v>
      </c>
      <c r="AD2828" s="71">
        <f>W2828+X2828+Y2828+Z2828+AA2828+AB2828+AC2828</f>
        <v>0</v>
      </c>
      <c r="AE2828" s="72">
        <v>0</v>
      </c>
      <c r="AF2828" s="5"/>
      <c r="AG2828" s="6"/>
      <c r="AH2828" s="27"/>
      <c r="AI2828" s="44"/>
      <c r="AJ2828" s="26"/>
      <c r="AK2828" s="5"/>
      <c r="AL2828" s="82" t="s">
        <v>5713</v>
      </c>
      <c r="AM2828" s="76"/>
      <c r="AN2828" s="76"/>
      <c r="AO2828" s="76"/>
      <c r="AP2828" s="76"/>
      <c r="AQ2828" s="76"/>
      <c r="AR2828" s="76"/>
      <c r="AS2828" s="76"/>
      <c r="AT2828" s="76"/>
      <c r="AU2828" s="76"/>
      <c r="AV2828" s="76"/>
      <c r="AW2828" s="76"/>
      <c r="AX2828" s="76">
        <f>+AW2828*600000</f>
        <v>0</v>
      </c>
      <c r="AY2828" s="76"/>
      <c r="AZ2828" s="76">
        <f>+AY2828*70000</f>
        <v>0</v>
      </c>
      <c r="BA2828" s="76"/>
      <c r="BB2828" s="76"/>
      <c r="BC2828" s="76"/>
      <c r="BD2828" s="76">
        <f>+BC2828*30000</f>
        <v>0</v>
      </c>
      <c r="BE2828" s="76"/>
      <c r="BF2828" s="76"/>
      <c r="BG2828" s="76"/>
      <c r="BH2828" s="76"/>
      <c r="BI2828" s="76"/>
      <c r="BJ2828" s="76"/>
      <c r="BK2828" s="76"/>
      <c r="BL2828" s="76">
        <f>+BK2828*31500</f>
        <v>0</v>
      </c>
      <c r="BM2828" s="76"/>
      <c r="BN2828" s="76"/>
      <c r="BO2828" s="76"/>
      <c r="BP2828" s="76"/>
      <c r="BQ2828" s="76"/>
      <c r="BR2828" s="76"/>
      <c r="BS2828" s="76"/>
      <c r="BT2828" s="76"/>
      <c r="BU2828" s="76"/>
      <c r="BV2828" s="76"/>
      <c r="BW2828" s="76"/>
      <c r="BX2828" s="76"/>
      <c r="BY2828" s="76"/>
      <c r="BZ2828" s="76"/>
      <c r="CA2828" s="76"/>
      <c r="CB2828" s="76"/>
      <c r="CC2828" s="76"/>
      <c r="CD2828" s="76"/>
      <c r="CE2828" s="76"/>
      <c r="CF2828" s="76">
        <f>+CE2828*28000</f>
        <v>0</v>
      </c>
      <c r="CG2828" s="76"/>
      <c r="CH2828" s="76">
        <f>+CG2828*22500</f>
        <v>0</v>
      </c>
      <c r="CI2828" s="76"/>
      <c r="CJ2828" s="76">
        <f>+CI2828*26000</f>
        <v>0</v>
      </c>
      <c r="CK2828" s="76"/>
      <c r="CL2828" s="76"/>
      <c r="CM2828" s="76"/>
      <c r="CN2828" s="76">
        <f>+CM2828*22000</f>
        <v>0</v>
      </c>
      <c r="CO2828" s="76"/>
      <c r="CP2828" s="76">
        <f>+CO2828*46000</f>
        <v>0</v>
      </c>
      <c r="CQ2828" s="76"/>
      <c r="CR2828" s="76">
        <f>+CQ2828*49000</f>
        <v>0</v>
      </c>
      <c r="CS2828" s="76"/>
      <c r="CT2828" s="76"/>
      <c r="CU2828" s="56">
        <f>AN2828+AP2828+AR2828+AT2828+AV2828+AX2828+AZ2828+BB2828+BD2828+BF2828+BH2828+BJ2828+BL2828+BN2828+BP2828+BR2828+BT2828+BV2828+BX2828+BZ2828+CB2828+CD2828+CF2828+CH2828+CJ2828+CL2828+CN2828+CP2828+CR2828+CT2828</f>
        <v>0</v>
      </c>
      <c r="CV2828" s="76"/>
      <c r="CW2828" s="76">
        <f>+CV2828*1100</f>
        <v>0</v>
      </c>
      <c r="CX2828" s="76"/>
      <c r="CY2828" s="76">
        <f>+CX2828*106250</f>
        <v>0</v>
      </c>
      <c r="CZ2828" s="76"/>
      <c r="DA2828" s="76">
        <f>+CZ2828*34500</f>
        <v>0</v>
      </c>
      <c r="DB2828" s="76"/>
      <c r="DC2828" s="76">
        <f>+DB2828*25000</f>
        <v>0</v>
      </c>
      <c r="DD2828" s="219"/>
      <c r="DE2828" s="219"/>
      <c r="DF2828" s="166"/>
      <c r="DG2828" s="116"/>
      <c r="DH2828" s="117"/>
      <c r="DI2828" s="24"/>
      <c r="DJ2828" s="24"/>
      <c r="DK2828" s="24"/>
      <c r="DL2828" s="24"/>
      <c r="DM2828" s="24"/>
      <c r="DN2828" s="24"/>
      <c r="DO2828" s="24"/>
      <c r="DP2828" s="24"/>
      <c r="DQ2828" s="24"/>
      <c r="DR2828" s="24"/>
      <c r="DS2828" s="24"/>
      <c r="DT2828" s="24"/>
      <c r="DU2828" s="24"/>
    </row>
    <row r="2829" spans="1:125" s="8" customFormat="1" ht="276" x14ac:dyDescent="0.2">
      <c r="A2829" s="353">
        <v>41513</v>
      </c>
      <c r="B2829" s="352" t="s">
        <v>2772</v>
      </c>
      <c r="C2829" s="354" t="s">
        <v>1028</v>
      </c>
      <c r="D2829" s="354" t="s">
        <v>3726</v>
      </c>
      <c r="E2829" s="75" t="str">
        <f>VLOOKUP(B2829&amp;C2829,Divipola!$C$2:$F$1138,4,FALSE)</f>
        <v>25151</v>
      </c>
      <c r="F2829" s="87"/>
      <c r="G2829" s="87"/>
      <c r="H2829" s="87"/>
      <c r="I2829" s="87"/>
      <c r="J2829" s="87"/>
      <c r="K2829" s="87"/>
      <c r="L2829" s="87"/>
      <c r="M2829" s="87"/>
      <c r="N2829" s="87"/>
      <c r="O2829" s="87"/>
      <c r="P2829" s="87">
        <v>1</v>
      </c>
      <c r="Q2829" s="87"/>
      <c r="R2829" s="87"/>
      <c r="S2829" s="87"/>
      <c r="T2829" s="87"/>
      <c r="U2829" s="88"/>
      <c r="V2829" s="89"/>
      <c r="W2829" s="96">
        <v>0</v>
      </c>
      <c r="X2829" s="71">
        <f>CU2829</f>
        <v>0</v>
      </c>
      <c r="Y2829" s="71">
        <f>CY2829</f>
        <v>0</v>
      </c>
      <c r="Z2829" s="71">
        <f>DA2829+DC2829+DE2829</f>
        <v>0</v>
      </c>
      <c r="AA2829" s="71">
        <f>CW2829</f>
        <v>0</v>
      </c>
      <c r="AB2829" s="71"/>
      <c r="AC2829" s="71">
        <v>0</v>
      </c>
      <c r="AD2829" s="71">
        <f>W2829+X2829+Y2829+Z2829+AA2829+AB2829+AC2829</f>
        <v>0</v>
      </c>
      <c r="AE2829" s="72">
        <v>0</v>
      </c>
      <c r="AF2829" s="5"/>
      <c r="AG2829" s="6"/>
      <c r="AH2829" s="27"/>
      <c r="AI2829" s="44"/>
      <c r="AJ2829" s="26"/>
      <c r="AK2829" s="5"/>
      <c r="AL2829" s="82" t="s">
        <v>5724</v>
      </c>
      <c r="AM2829" s="76"/>
      <c r="AN2829" s="76"/>
      <c r="AO2829" s="76"/>
      <c r="AP2829" s="76"/>
      <c r="AQ2829" s="76"/>
      <c r="AR2829" s="76"/>
      <c r="AS2829" s="76"/>
      <c r="AT2829" s="76"/>
      <c r="AU2829" s="76"/>
      <c r="AV2829" s="76"/>
      <c r="AW2829" s="76"/>
      <c r="AX2829" s="76">
        <f>+AW2829*600000</f>
        <v>0</v>
      </c>
      <c r="AY2829" s="76"/>
      <c r="AZ2829" s="76">
        <f>+AY2829*70000</f>
        <v>0</v>
      </c>
      <c r="BA2829" s="76"/>
      <c r="BB2829" s="76"/>
      <c r="BC2829" s="76"/>
      <c r="BD2829" s="76">
        <f>+BC2829*30000</f>
        <v>0</v>
      </c>
      <c r="BE2829" s="76"/>
      <c r="BF2829" s="76"/>
      <c r="BG2829" s="76"/>
      <c r="BH2829" s="76"/>
      <c r="BI2829" s="76"/>
      <c r="BJ2829" s="76"/>
      <c r="BK2829" s="76"/>
      <c r="BL2829" s="76">
        <f>+BK2829*31500</f>
        <v>0</v>
      </c>
      <c r="BM2829" s="76"/>
      <c r="BN2829" s="76"/>
      <c r="BO2829" s="76"/>
      <c r="BP2829" s="76"/>
      <c r="BQ2829" s="76"/>
      <c r="BR2829" s="76"/>
      <c r="BS2829" s="76"/>
      <c r="BT2829" s="76"/>
      <c r="BU2829" s="76"/>
      <c r="BV2829" s="76"/>
      <c r="BW2829" s="76"/>
      <c r="BX2829" s="76"/>
      <c r="BY2829" s="76"/>
      <c r="BZ2829" s="76"/>
      <c r="CA2829" s="76"/>
      <c r="CB2829" s="76"/>
      <c r="CC2829" s="76"/>
      <c r="CD2829" s="76"/>
      <c r="CE2829" s="76"/>
      <c r="CF2829" s="76">
        <f>+CE2829*28000</f>
        <v>0</v>
      </c>
      <c r="CG2829" s="76"/>
      <c r="CH2829" s="76">
        <f>+CG2829*22500</f>
        <v>0</v>
      </c>
      <c r="CI2829" s="76"/>
      <c r="CJ2829" s="76">
        <f>+CI2829*26000</f>
        <v>0</v>
      </c>
      <c r="CK2829" s="76"/>
      <c r="CL2829" s="76"/>
      <c r="CM2829" s="76"/>
      <c r="CN2829" s="76">
        <f>+CM2829*22000</f>
        <v>0</v>
      </c>
      <c r="CO2829" s="76"/>
      <c r="CP2829" s="76">
        <f>+CO2829*46000</f>
        <v>0</v>
      </c>
      <c r="CQ2829" s="76"/>
      <c r="CR2829" s="76">
        <f>+CQ2829*49000</f>
        <v>0</v>
      </c>
      <c r="CS2829" s="76"/>
      <c r="CT2829" s="76"/>
      <c r="CU2829" s="56">
        <f>AN2829+AP2829+AR2829+AT2829+AV2829+AX2829+AZ2829+BB2829+BD2829+BF2829+BH2829+BJ2829+BL2829+BN2829+BP2829+BR2829+BT2829+BV2829+BX2829+BZ2829+CB2829+CD2829+CF2829+CH2829+CJ2829+CL2829+CN2829+CP2829+CR2829+CT2829</f>
        <v>0</v>
      </c>
      <c r="CV2829" s="76"/>
      <c r="CW2829" s="76">
        <f>+CV2829*1100</f>
        <v>0</v>
      </c>
      <c r="CX2829" s="76"/>
      <c r="CY2829" s="76">
        <f>+CX2829*106250</f>
        <v>0</v>
      </c>
      <c r="CZ2829" s="76"/>
      <c r="DA2829" s="76">
        <f>+CZ2829*34500</f>
        <v>0</v>
      </c>
      <c r="DB2829" s="76"/>
      <c r="DC2829" s="76">
        <f>+DB2829*25000</f>
        <v>0</v>
      </c>
      <c r="DD2829" s="219"/>
      <c r="DE2829" s="219"/>
      <c r="DF2829" s="166"/>
      <c r="DG2829" s="116"/>
      <c r="DH2829" s="117"/>
      <c r="DI2829" s="24"/>
      <c r="DJ2829" s="24"/>
      <c r="DK2829" s="24"/>
      <c r="DL2829" s="24"/>
      <c r="DM2829" s="24"/>
      <c r="DN2829" s="24"/>
      <c r="DO2829" s="24"/>
      <c r="DP2829" s="24"/>
      <c r="DQ2829" s="24"/>
      <c r="DR2829" s="24"/>
      <c r="DS2829" s="24"/>
      <c r="DT2829" s="24"/>
      <c r="DU2829" s="24"/>
    </row>
    <row r="2830" spans="1:125" s="8" customFormat="1" ht="72" x14ac:dyDescent="0.2">
      <c r="A2830" s="353">
        <v>41513</v>
      </c>
      <c r="B2830" s="225" t="s">
        <v>2772</v>
      </c>
      <c r="C2830" s="227" t="s">
        <v>2829</v>
      </c>
      <c r="D2830" s="227" t="s">
        <v>3088</v>
      </c>
      <c r="E2830" s="75" t="str">
        <f>VLOOKUP(B2830&amp;C2830,Divipola!$C$2:$F$1138,4,FALSE)</f>
        <v>25372</v>
      </c>
      <c r="F2830" s="87"/>
      <c r="G2830" s="87"/>
      <c r="H2830" s="87"/>
      <c r="I2830" s="87"/>
      <c r="J2830" s="87"/>
      <c r="K2830" s="87"/>
      <c r="L2830" s="87"/>
      <c r="M2830" s="87">
        <v>1</v>
      </c>
      <c r="N2830" s="87"/>
      <c r="O2830" s="87"/>
      <c r="P2830" s="87"/>
      <c r="Q2830" s="87"/>
      <c r="R2830" s="87"/>
      <c r="S2830" s="87"/>
      <c r="T2830" s="87"/>
      <c r="U2830" s="88"/>
      <c r="V2830" s="89"/>
      <c r="W2830" s="96">
        <v>0</v>
      </c>
      <c r="X2830" s="71">
        <f>CU2830</f>
        <v>0</v>
      </c>
      <c r="Y2830" s="71">
        <f>CY2830</f>
        <v>0</v>
      </c>
      <c r="Z2830" s="71">
        <f>DA2830+DC2830+DE2830</f>
        <v>0</v>
      </c>
      <c r="AA2830" s="71">
        <f>CW2830</f>
        <v>0</v>
      </c>
      <c r="AB2830" s="71"/>
      <c r="AC2830" s="71">
        <v>0</v>
      </c>
      <c r="AD2830" s="71">
        <f>W2830+X2830+Y2830+Z2830+AA2830+AB2830+AC2830</f>
        <v>0</v>
      </c>
      <c r="AE2830" s="72">
        <v>0</v>
      </c>
      <c r="AF2830" s="5"/>
      <c r="AG2830" s="6"/>
      <c r="AH2830" s="27"/>
      <c r="AI2830" s="44"/>
      <c r="AJ2830" s="26"/>
      <c r="AK2830" s="5"/>
      <c r="AL2830" s="82" t="s">
        <v>5707</v>
      </c>
      <c r="AM2830" s="76"/>
      <c r="AN2830" s="76"/>
      <c r="AO2830" s="76"/>
      <c r="AP2830" s="76"/>
      <c r="AQ2830" s="76"/>
      <c r="AR2830" s="76"/>
      <c r="AS2830" s="76"/>
      <c r="AT2830" s="76"/>
      <c r="AU2830" s="76"/>
      <c r="AV2830" s="76"/>
      <c r="AW2830" s="76"/>
      <c r="AX2830" s="76">
        <f>+AW2830*600000</f>
        <v>0</v>
      </c>
      <c r="AY2830" s="76"/>
      <c r="AZ2830" s="76">
        <f>+AY2830*70000</f>
        <v>0</v>
      </c>
      <c r="BA2830" s="76"/>
      <c r="BB2830" s="76"/>
      <c r="BC2830" s="76"/>
      <c r="BD2830" s="76">
        <f>+BC2830*30000</f>
        <v>0</v>
      </c>
      <c r="BE2830" s="76"/>
      <c r="BF2830" s="76"/>
      <c r="BG2830" s="76"/>
      <c r="BH2830" s="76"/>
      <c r="BI2830" s="76"/>
      <c r="BJ2830" s="76"/>
      <c r="BK2830" s="76"/>
      <c r="BL2830" s="76">
        <f>+BK2830*31500</f>
        <v>0</v>
      </c>
      <c r="BM2830" s="76"/>
      <c r="BN2830" s="76"/>
      <c r="BO2830" s="76"/>
      <c r="BP2830" s="76"/>
      <c r="BQ2830" s="76"/>
      <c r="BR2830" s="76"/>
      <c r="BS2830" s="76"/>
      <c r="BT2830" s="76"/>
      <c r="BU2830" s="76"/>
      <c r="BV2830" s="76"/>
      <c r="BW2830" s="76"/>
      <c r="BX2830" s="76"/>
      <c r="BY2830" s="76"/>
      <c r="BZ2830" s="76"/>
      <c r="CA2830" s="76"/>
      <c r="CB2830" s="76"/>
      <c r="CC2830" s="76"/>
      <c r="CD2830" s="76"/>
      <c r="CE2830" s="76"/>
      <c r="CF2830" s="76">
        <f>+CE2830*28000</f>
        <v>0</v>
      </c>
      <c r="CG2830" s="76"/>
      <c r="CH2830" s="76">
        <f>+CG2830*22500</f>
        <v>0</v>
      </c>
      <c r="CI2830" s="76"/>
      <c r="CJ2830" s="76">
        <f>+CI2830*26000</f>
        <v>0</v>
      </c>
      <c r="CK2830" s="76"/>
      <c r="CL2830" s="76"/>
      <c r="CM2830" s="76"/>
      <c r="CN2830" s="76">
        <f>+CM2830*22000</f>
        <v>0</v>
      </c>
      <c r="CO2830" s="76"/>
      <c r="CP2830" s="76">
        <f>+CO2830*46000</f>
        <v>0</v>
      </c>
      <c r="CQ2830" s="76"/>
      <c r="CR2830" s="76">
        <f>+CQ2830*49000</f>
        <v>0</v>
      </c>
      <c r="CS2830" s="76"/>
      <c r="CT2830" s="76"/>
      <c r="CU2830" s="56">
        <f>AN2830+AP2830+AR2830+AT2830+AV2830+AX2830+AZ2830+BB2830+BD2830+BF2830+BH2830+BJ2830+BL2830+BN2830+BP2830+BR2830+BT2830+BV2830+BX2830+BZ2830+CB2830+CD2830+CF2830+CH2830+CJ2830+CL2830+CN2830+CP2830+CR2830+CT2830</f>
        <v>0</v>
      </c>
      <c r="CV2830" s="76"/>
      <c r="CW2830" s="76">
        <f>+CV2830*1100</f>
        <v>0</v>
      </c>
      <c r="CX2830" s="76"/>
      <c r="CY2830" s="76">
        <f>+CX2830*106250</f>
        <v>0</v>
      </c>
      <c r="CZ2830" s="76"/>
      <c r="DA2830" s="76">
        <f>+CZ2830*34500</f>
        <v>0</v>
      </c>
      <c r="DB2830" s="76"/>
      <c r="DC2830" s="76">
        <f>+DB2830*25000</f>
        <v>0</v>
      </c>
      <c r="DD2830" s="219"/>
      <c r="DE2830" s="219"/>
      <c r="DF2830" s="166"/>
      <c r="DG2830" s="116"/>
      <c r="DH2830" s="117"/>
      <c r="DI2830" s="24"/>
      <c r="DJ2830" s="24"/>
      <c r="DK2830" s="24"/>
      <c r="DL2830" s="24"/>
      <c r="DM2830" s="24"/>
      <c r="DN2830" s="24"/>
      <c r="DO2830" s="24"/>
      <c r="DP2830" s="24"/>
      <c r="DQ2830" s="24"/>
      <c r="DR2830" s="24"/>
      <c r="DS2830" s="24"/>
      <c r="DT2830" s="24"/>
      <c r="DU2830" s="24"/>
    </row>
    <row r="2831" spans="1:125" s="8" customFormat="1" ht="48" x14ac:dyDescent="0.2">
      <c r="A2831" s="353">
        <v>41513</v>
      </c>
      <c r="B2831" s="225" t="s">
        <v>2661</v>
      </c>
      <c r="C2831" s="227" t="s">
        <v>2169</v>
      </c>
      <c r="D2831" s="227" t="s">
        <v>2846</v>
      </c>
      <c r="E2831" s="75" t="str">
        <f>VLOOKUP(B2831&amp;C2831,Divipola!$C$2:$F$1138,4,FALSE)</f>
        <v>41001</v>
      </c>
      <c r="F2831" s="87"/>
      <c r="G2831" s="87"/>
      <c r="H2831" s="87"/>
      <c r="I2831" s="87"/>
      <c r="J2831" s="87"/>
      <c r="K2831" s="87"/>
      <c r="L2831" s="87"/>
      <c r="M2831" s="87"/>
      <c r="N2831" s="87"/>
      <c r="O2831" s="87"/>
      <c r="P2831" s="87"/>
      <c r="Q2831" s="87"/>
      <c r="R2831" s="87"/>
      <c r="S2831" s="87"/>
      <c r="T2831" s="87"/>
      <c r="U2831" s="88">
        <v>60</v>
      </c>
      <c r="V2831" s="89"/>
      <c r="W2831" s="96">
        <v>0</v>
      </c>
      <c r="X2831" s="71">
        <f>CU2831</f>
        <v>0</v>
      </c>
      <c r="Y2831" s="71">
        <f>CY2831</f>
        <v>0</v>
      </c>
      <c r="Z2831" s="71">
        <f>DA2831+DC2831+DE2831</f>
        <v>0</v>
      </c>
      <c r="AA2831" s="71">
        <f>CW2831</f>
        <v>0</v>
      </c>
      <c r="AB2831" s="71"/>
      <c r="AC2831" s="71">
        <v>0</v>
      </c>
      <c r="AD2831" s="71">
        <f>W2831+X2831+Y2831+Z2831+AA2831+AB2831+AC2831</f>
        <v>0</v>
      </c>
      <c r="AE2831" s="72">
        <v>0</v>
      </c>
      <c r="AF2831" s="5"/>
      <c r="AG2831" s="6"/>
      <c r="AH2831" s="27"/>
      <c r="AI2831" s="44"/>
      <c r="AJ2831" s="26"/>
      <c r="AK2831" s="5"/>
      <c r="AL2831" s="82" t="s">
        <v>5714</v>
      </c>
      <c r="AM2831" s="76"/>
      <c r="AN2831" s="76"/>
      <c r="AO2831" s="76"/>
      <c r="AP2831" s="76"/>
      <c r="AQ2831" s="76"/>
      <c r="AR2831" s="76"/>
      <c r="AS2831" s="76"/>
      <c r="AT2831" s="76"/>
      <c r="AU2831" s="76"/>
      <c r="AV2831" s="76"/>
      <c r="AW2831" s="76"/>
      <c r="AX2831" s="76">
        <f>+AW2831*600000</f>
        <v>0</v>
      </c>
      <c r="AY2831" s="76"/>
      <c r="AZ2831" s="76">
        <f>+AY2831*70000</f>
        <v>0</v>
      </c>
      <c r="BA2831" s="76"/>
      <c r="BB2831" s="76"/>
      <c r="BC2831" s="76"/>
      <c r="BD2831" s="76">
        <f>+BC2831*30000</f>
        <v>0</v>
      </c>
      <c r="BE2831" s="76"/>
      <c r="BF2831" s="76"/>
      <c r="BG2831" s="76"/>
      <c r="BH2831" s="76"/>
      <c r="BI2831" s="76"/>
      <c r="BJ2831" s="76"/>
      <c r="BK2831" s="76"/>
      <c r="BL2831" s="76">
        <f>+BK2831*31500</f>
        <v>0</v>
      </c>
      <c r="BM2831" s="76"/>
      <c r="BN2831" s="76"/>
      <c r="BO2831" s="76"/>
      <c r="BP2831" s="76"/>
      <c r="BQ2831" s="76"/>
      <c r="BR2831" s="76"/>
      <c r="BS2831" s="76"/>
      <c r="BT2831" s="76"/>
      <c r="BU2831" s="76"/>
      <c r="BV2831" s="76"/>
      <c r="BW2831" s="76"/>
      <c r="BX2831" s="76"/>
      <c r="BY2831" s="76"/>
      <c r="BZ2831" s="76"/>
      <c r="CA2831" s="76"/>
      <c r="CB2831" s="76"/>
      <c r="CC2831" s="76"/>
      <c r="CD2831" s="76"/>
      <c r="CE2831" s="76"/>
      <c r="CF2831" s="76">
        <f>+CE2831*28000</f>
        <v>0</v>
      </c>
      <c r="CG2831" s="76"/>
      <c r="CH2831" s="76">
        <f>+CG2831*22500</f>
        <v>0</v>
      </c>
      <c r="CI2831" s="76"/>
      <c r="CJ2831" s="76">
        <f>+CI2831*26000</f>
        <v>0</v>
      </c>
      <c r="CK2831" s="76"/>
      <c r="CL2831" s="76"/>
      <c r="CM2831" s="76"/>
      <c r="CN2831" s="76">
        <f>+CM2831*22000</f>
        <v>0</v>
      </c>
      <c r="CO2831" s="76"/>
      <c r="CP2831" s="76">
        <f>+CO2831*46000</f>
        <v>0</v>
      </c>
      <c r="CQ2831" s="76"/>
      <c r="CR2831" s="76">
        <f>+CQ2831*49000</f>
        <v>0</v>
      </c>
      <c r="CS2831" s="76"/>
      <c r="CT2831" s="76"/>
      <c r="CU2831" s="56">
        <f>AN2831+AP2831+AR2831+AT2831+AV2831+AX2831+AZ2831+BB2831+BD2831+BF2831+BH2831+BJ2831+BL2831+BN2831+BP2831+BR2831+BT2831+BV2831+BX2831+BZ2831+CB2831+CD2831+CF2831+CH2831+CJ2831+CL2831+CN2831+CP2831+CR2831+CT2831</f>
        <v>0</v>
      </c>
      <c r="CV2831" s="76"/>
      <c r="CW2831" s="76">
        <f>+CV2831*1100</f>
        <v>0</v>
      </c>
      <c r="CX2831" s="76"/>
      <c r="CY2831" s="76">
        <f>+CX2831*106250</f>
        <v>0</v>
      </c>
      <c r="CZ2831" s="76"/>
      <c r="DA2831" s="76">
        <f>+CZ2831*34500</f>
        <v>0</v>
      </c>
      <c r="DB2831" s="76"/>
      <c r="DC2831" s="76">
        <f>+DB2831*25000</f>
        <v>0</v>
      </c>
      <c r="DD2831" s="219"/>
      <c r="DE2831" s="219"/>
      <c r="DF2831" s="166"/>
      <c r="DG2831" s="116"/>
      <c r="DH2831" s="117"/>
      <c r="DI2831" s="24"/>
      <c r="DJ2831" s="24"/>
      <c r="DK2831" s="24"/>
      <c r="DL2831" s="24"/>
      <c r="DM2831" s="24"/>
      <c r="DN2831" s="24"/>
      <c r="DO2831" s="24"/>
      <c r="DP2831" s="24"/>
      <c r="DQ2831" s="24"/>
      <c r="DR2831" s="24"/>
      <c r="DS2831" s="24"/>
      <c r="DT2831" s="24"/>
      <c r="DU2831" s="24"/>
    </row>
    <row r="2832" spans="1:125" s="8" customFormat="1" ht="48" x14ac:dyDescent="0.2">
      <c r="A2832" s="353">
        <v>41513</v>
      </c>
      <c r="B2832" s="352" t="s">
        <v>1764</v>
      </c>
      <c r="C2832" s="354" t="s">
        <v>1764</v>
      </c>
      <c r="D2832" s="354" t="s">
        <v>2882</v>
      </c>
      <c r="E2832" s="75" t="str">
        <f>VLOOKUP(B2832&amp;C2832,Divipola!$C$2:$F$1138,4,FALSE)</f>
        <v>88001</v>
      </c>
      <c r="F2832" s="87"/>
      <c r="G2832" s="87"/>
      <c r="H2832" s="87"/>
      <c r="I2832" s="87">
        <v>15</v>
      </c>
      <c r="J2832" s="87">
        <v>3</v>
      </c>
      <c r="K2832" s="87"/>
      <c r="L2832" s="87">
        <v>3</v>
      </c>
      <c r="M2832" s="87"/>
      <c r="N2832" s="87"/>
      <c r="O2832" s="87"/>
      <c r="P2832" s="87"/>
      <c r="Q2832" s="87"/>
      <c r="R2832" s="87"/>
      <c r="S2832" s="87"/>
      <c r="T2832" s="87"/>
      <c r="U2832" s="88"/>
      <c r="V2832" s="89"/>
      <c r="W2832" s="96">
        <v>0</v>
      </c>
      <c r="X2832" s="71">
        <f>CU2832</f>
        <v>0</v>
      </c>
      <c r="Y2832" s="71">
        <f>CY2832</f>
        <v>0</v>
      </c>
      <c r="Z2832" s="71">
        <f>DA2832+DC2832+DE2832</f>
        <v>0</v>
      </c>
      <c r="AA2832" s="71">
        <f>CW2832</f>
        <v>0</v>
      </c>
      <c r="AB2832" s="71"/>
      <c r="AC2832" s="71">
        <v>0</v>
      </c>
      <c r="AD2832" s="71">
        <f>W2832+X2832+Y2832+Z2832+AA2832+AB2832+AC2832</f>
        <v>0</v>
      </c>
      <c r="AE2832" s="72">
        <v>0</v>
      </c>
      <c r="AF2832" s="5"/>
      <c r="AG2832" s="6"/>
      <c r="AH2832" s="27"/>
      <c r="AI2832" s="44"/>
      <c r="AJ2832" s="26"/>
      <c r="AK2832" s="5"/>
      <c r="AL2832" s="82" t="s">
        <v>5708</v>
      </c>
      <c r="AM2832" s="76"/>
      <c r="AN2832" s="76"/>
      <c r="AO2832" s="76"/>
      <c r="AP2832" s="76"/>
      <c r="AQ2832" s="76"/>
      <c r="AR2832" s="76"/>
      <c r="AS2832" s="76"/>
      <c r="AT2832" s="76"/>
      <c r="AU2832" s="76"/>
      <c r="AV2832" s="76"/>
      <c r="AW2832" s="76"/>
      <c r="AX2832" s="76">
        <f>+AW2832*600000</f>
        <v>0</v>
      </c>
      <c r="AY2832" s="76"/>
      <c r="AZ2832" s="76">
        <f>+AY2832*70000</f>
        <v>0</v>
      </c>
      <c r="BA2832" s="76"/>
      <c r="BB2832" s="76"/>
      <c r="BC2832" s="76"/>
      <c r="BD2832" s="76">
        <f>+BC2832*30000</f>
        <v>0</v>
      </c>
      <c r="BE2832" s="76"/>
      <c r="BF2832" s="76"/>
      <c r="BG2832" s="76"/>
      <c r="BH2832" s="76"/>
      <c r="BI2832" s="76"/>
      <c r="BJ2832" s="76"/>
      <c r="BK2832" s="76"/>
      <c r="BL2832" s="76">
        <f>+BK2832*31500</f>
        <v>0</v>
      </c>
      <c r="BM2832" s="76"/>
      <c r="BN2832" s="76"/>
      <c r="BO2832" s="76"/>
      <c r="BP2832" s="76"/>
      <c r="BQ2832" s="76"/>
      <c r="BR2832" s="76"/>
      <c r="BS2832" s="76"/>
      <c r="BT2832" s="76"/>
      <c r="BU2832" s="76"/>
      <c r="BV2832" s="76"/>
      <c r="BW2832" s="76"/>
      <c r="BX2832" s="76"/>
      <c r="BY2832" s="76"/>
      <c r="BZ2832" s="76"/>
      <c r="CA2832" s="76"/>
      <c r="CB2832" s="76"/>
      <c r="CC2832" s="76"/>
      <c r="CD2832" s="76"/>
      <c r="CE2832" s="76"/>
      <c r="CF2832" s="76">
        <f>+CE2832*28000</f>
        <v>0</v>
      </c>
      <c r="CG2832" s="76"/>
      <c r="CH2832" s="76">
        <f>+CG2832*22500</f>
        <v>0</v>
      </c>
      <c r="CI2832" s="76"/>
      <c r="CJ2832" s="76">
        <f>+CI2832*26000</f>
        <v>0</v>
      </c>
      <c r="CK2832" s="76"/>
      <c r="CL2832" s="76"/>
      <c r="CM2832" s="76"/>
      <c r="CN2832" s="76">
        <f>+CM2832*22000</f>
        <v>0</v>
      </c>
      <c r="CO2832" s="76"/>
      <c r="CP2832" s="76">
        <f>+CO2832*46000</f>
        <v>0</v>
      </c>
      <c r="CQ2832" s="76"/>
      <c r="CR2832" s="76">
        <f>+CQ2832*49000</f>
        <v>0</v>
      </c>
      <c r="CS2832" s="76"/>
      <c r="CT2832" s="76"/>
      <c r="CU2832" s="56">
        <f>AN2832+AP2832+AR2832+AT2832+AV2832+AX2832+AZ2832+BB2832+BD2832+BF2832+BH2832+BJ2832+BL2832+BN2832+BP2832+BR2832+BT2832+BV2832+BX2832+BZ2832+CB2832+CD2832+CF2832+CH2832+CJ2832+CL2832+CN2832+CP2832+CR2832+CT2832</f>
        <v>0</v>
      </c>
      <c r="CV2832" s="76"/>
      <c r="CW2832" s="76">
        <f>+CV2832*1100</f>
        <v>0</v>
      </c>
      <c r="CX2832" s="76"/>
      <c r="CY2832" s="76">
        <f>+CX2832*106250</f>
        <v>0</v>
      </c>
      <c r="CZ2832" s="76"/>
      <c r="DA2832" s="76">
        <f>+CZ2832*34500</f>
        <v>0</v>
      </c>
      <c r="DB2832" s="76"/>
      <c r="DC2832" s="76">
        <f>+DB2832*25000</f>
        <v>0</v>
      </c>
      <c r="DD2832" s="219"/>
      <c r="DE2832" s="219"/>
      <c r="DF2832" s="166"/>
      <c r="DG2832" s="116"/>
      <c r="DH2832" s="117"/>
      <c r="DI2832" s="24"/>
      <c r="DJ2832" s="24"/>
      <c r="DK2832" s="24"/>
      <c r="DL2832" s="24"/>
      <c r="DM2832" s="24"/>
      <c r="DN2832" s="24"/>
      <c r="DO2832" s="24"/>
      <c r="DP2832" s="24"/>
      <c r="DQ2832" s="24"/>
      <c r="DR2832" s="24"/>
      <c r="DS2832" s="24"/>
      <c r="DT2832" s="24"/>
      <c r="DU2832" s="24"/>
    </row>
    <row r="2833" spans="1:125" s="8" customFormat="1" ht="48" x14ac:dyDescent="0.2">
      <c r="A2833" s="353">
        <v>41513</v>
      </c>
      <c r="B2833" s="352" t="s">
        <v>2848</v>
      </c>
      <c r="C2833" s="354" t="s">
        <v>1907</v>
      </c>
      <c r="D2833" s="354" t="s">
        <v>2846</v>
      </c>
      <c r="E2833" s="75" t="str">
        <f>VLOOKUP(B2833&amp;C2833,Divipola!$C$2:$F$1138,4,FALSE)</f>
        <v>73624</v>
      </c>
      <c r="F2833" s="87"/>
      <c r="G2833" s="87"/>
      <c r="H2833" s="87"/>
      <c r="I2833" s="87"/>
      <c r="J2833" s="87"/>
      <c r="K2833" s="87"/>
      <c r="L2833" s="87"/>
      <c r="M2833" s="87"/>
      <c r="N2833" s="87"/>
      <c r="O2833" s="87"/>
      <c r="P2833" s="87"/>
      <c r="Q2833" s="87"/>
      <c r="R2833" s="87"/>
      <c r="S2833" s="87"/>
      <c r="T2833" s="87"/>
      <c r="U2833" s="88">
        <v>1</v>
      </c>
      <c r="V2833" s="89"/>
      <c r="W2833" s="96">
        <v>0</v>
      </c>
      <c r="X2833" s="71">
        <f>CU2833</f>
        <v>0</v>
      </c>
      <c r="Y2833" s="71">
        <f>CY2833</f>
        <v>0</v>
      </c>
      <c r="Z2833" s="71">
        <f>DA2833+DC2833+DE2833</f>
        <v>0</v>
      </c>
      <c r="AA2833" s="71">
        <f>CW2833</f>
        <v>0</v>
      </c>
      <c r="AB2833" s="71"/>
      <c r="AC2833" s="71">
        <v>0</v>
      </c>
      <c r="AD2833" s="71">
        <f>W2833+X2833+Y2833+Z2833+AA2833+AB2833+AC2833</f>
        <v>0</v>
      </c>
      <c r="AE2833" s="72">
        <v>0</v>
      </c>
      <c r="AF2833" s="5"/>
      <c r="AG2833" s="6"/>
      <c r="AH2833" s="27"/>
      <c r="AI2833" s="44"/>
      <c r="AJ2833" s="26"/>
      <c r="AK2833" s="5"/>
      <c r="AL2833" s="82" t="s">
        <v>5709</v>
      </c>
      <c r="AM2833" s="76"/>
      <c r="AN2833" s="76"/>
      <c r="AO2833" s="76"/>
      <c r="AP2833" s="76"/>
      <c r="AQ2833" s="76"/>
      <c r="AR2833" s="76"/>
      <c r="AS2833" s="76"/>
      <c r="AT2833" s="76"/>
      <c r="AU2833" s="76"/>
      <c r="AV2833" s="76"/>
      <c r="AW2833" s="76"/>
      <c r="AX2833" s="76">
        <f>+AW2833*600000</f>
        <v>0</v>
      </c>
      <c r="AY2833" s="76"/>
      <c r="AZ2833" s="76">
        <f>+AY2833*70000</f>
        <v>0</v>
      </c>
      <c r="BA2833" s="76"/>
      <c r="BB2833" s="76"/>
      <c r="BC2833" s="76"/>
      <c r="BD2833" s="76">
        <f>+BC2833*30000</f>
        <v>0</v>
      </c>
      <c r="BE2833" s="76"/>
      <c r="BF2833" s="76"/>
      <c r="BG2833" s="76"/>
      <c r="BH2833" s="76"/>
      <c r="BI2833" s="76"/>
      <c r="BJ2833" s="76"/>
      <c r="BK2833" s="76"/>
      <c r="BL2833" s="76">
        <f>+BK2833*31500</f>
        <v>0</v>
      </c>
      <c r="BM2833" s="76"/>
      <c r="BN2833" s="76"/>
      <c r="BO2833" s="76"/>
      <c r="BP2833" s="76"/>
      <c r="BQ2833" s="76"/>
      <c r="BR2833" s="76"/>
      <c r="BS2833" s="76"/>
      <c r="BT2833" s="76"/>
      <c r="BU2833" s="76"/>
      <c r="BV2833" s="76"/>
      <c r="BW2833" s="76"/>
      <c r="BX2833" s="76"/>
      <c r="BY2833" s="76"/>
      <c r="BZ2833" s="76"/>
      <c r="CA2833" s="76"/>
      <c r="CB2833" s="76"/>
      <c r="CC2833" s="76"/>
      <c r="CD2833" s="76"/>
      <c r="CE2833" s="76"/>
      <c r="CF2833" s="76">
        <f>+CE2833*28000</f>
        <v>0</v>
      </c>
      <c r="CG2833" s="76"/>
      <c r="CH2833" s="76">
        <f>+CG2833*22500</f>
        <v>0</v>
      </c>
      <c r="CI2833" s="76"/>
      <c r="CJ2833" s="76">
        <f>+CI2833*26000</f>
        <v>0</v>
      </c>
      <c r="CK2833" s="76"/>
      <c r="CL2833" s="76"/>
      <c r="CM2833" s="76"/>
      <c r="CN2833" s="76">
        <f>+CM2833*22000</f>
        <v>0</v>
      </c>
      <c r="CO2833" s="76"/>
      <c r="CP2833" s="76">
        <f>+CO2833*46000</f>
        <v>0</v>
      </c>
      <c r="CQ2833" s="76"/>
      <c r="CR2833" s="76">
        <f>+CQ2833*49000</f>
        <v>0</v>
      </c>
      <c r="CS2833" s="76"/>
      <c r="CT2833" s="76"/>
      <c r="CU2833" s="56">
        <f>AN2833+AP2833+AR2833+AT2833+AV2833+AX2833+AZ2833+BB2833+BD2833+BF2833+BH2833+BJ2833+BL2833+BN2833+BP2833+BR2833+BT2833+BV2833+BX2833+BZ2833+CB2833+CD2833+CF2833+CH2833+CJ2833+CL2833+CN2833+CP2833+CR2833+CT2833</f>
        <v>0</v>
      </c>
      <c r="CV2833" s="76"/>
      <c r="CW2833" s="76">
        <f>+CV2833*1100</f>
        <v>0</v>
      </c>
      <c r="CX2833" s="76"/>
      <c r="CY2833" s="76">
        <f>+CX2833*106250</f>
        <v>0</v>
      </c>
      <c r="CZ2833" s="76"/>
      <c r="DA2833" s="76">
        <f>+CZ2833*34500</f>
        <v>0</v>
      </c>
      <c r="DB2833" s="76"/>
      <c r="DC2833" s="76">
        <f>+DB2833*25000</f>
        <v>0</v>
      </c>
      <c r="DD2833" s="219"/>
      <c r="DE2833" s="219"/>
      <c r="DF2833" s="166"/>
      <c r="DG2833" s="116"/>
      <c r="DH2833" s="117"/>
      <c r="DI2833" s="24"/>
      <c r="DJ2833" s="24"/>
      <c r="DK2833" s="24"/>
      <c r="DL2833" s="24"/>
      <c r="DM2833" s="24"/>
      <c r="DN2833" s="24"/>
      <c r="DO2833" s="24"/>
      <c r="DP2833" s="24"/>
      <c r="DQ2833" s="24"/>
      <c r="DR2833" s="24"/>
      <c r="DS2833" s="24"/>
      <c r="DT2833" s="24"/>
      <c r="DU2833" s="24"/>
    </row>
    <row r="2834" spans="1:125" s="8" customFormat="1" ht="180" x14ac:dyDescent="0.2">
      <c r="A2834" s="77">
        <v>41513</v>
      </c>
      <c r="B2834" s="78" t="s">
        <v>2851</v>
      </c>
      <c r="C2834" s="75" t="s">
        <v>2800</v>
      </c>
      <c r="D2834" s="75" t="s">
        <v>3194</v>
      </c>
      <c r="E2834" s="75" t="str">
        <f>VLOOKUP(B2834&amp;C2834,Divipola!$C$2:$F$1138,4,FALSE)</f>
        <v>76895</v>
      </c>
      <c r="F2834" s="61"/>
      <c r="G2834" s="61"/>
      <c r="H2834" s="61"/>
      <c r="I2834" s="61">
        <v>20</v>
      </c>
      <c r="J2834" s="61">
        <v>4</v>
      </c>
      <c r="K2834" s="61"/>
      <c r="L2834" s="61">
        <v>4</v>
      </c>
      <c r="M2834" s="61"/>
      <c r="N2834" s="61"/>
      <c r="O2834" s="61"/>
      <c r="P2834" s="61"/>
      <c r="Q2834" s="61"/>
      <c r="R2834" s="61"/>
      <c r="S2834" s="61"/>
      <c r="T2834" s="61"/>
      <c r="U2834" s="61"/>
      <c r="V2834" s="7"/>
      <c r="W2834" s="96">
        <v>0</v>
      </c>
      <c r="X2834" s="71">
        <f>CU2834</f>
        <v>0</v>
      </c>
      <c r="Y2834" s="71">
        <f>CY2834</f>
        <v>0</v>
      </c>
      <c r="Z2834" s="71">
        <f>DA2834+DC2834+DE2834</f>
        <v>0</v>
      </c>
      <c r="AA2834" s="71">
        <f>CW2834</f>
        <v>0</v>
      </c>
      <c r="AB2834" s="71"/>
      <c r="AC2834" s="71">
        <v>0</v>
      </c>
      <c r="AD2834" s="71">
        <f>W2834+X2834+Y2834+Z2834+AA2834+AB2834+AC2834</f>
        <v>0</v>
      </c>
      <c r="AE2834" s="72">
        <v>0</v>
      </c>
      <c r="AF2834" s="5"/>
      <c r="AG2834" s="6"/>
      <c r="AH2834" s="27" t="s">
        <v>3390</v>
      </c>
      <c r="AI2834" s="44" t="s">
        <v>3393</v>
      </c>
      <c r="AJ2834" s="26"/>
      <c r="AK2834" s="5" t="s">
        <v>6676</v>
      </c>
      <c r="AL2834" s="278" t="s">
        <v>6643</v>
      </c>
      <c r="AM2834" s="76"/>
      <c r="AN2834" s="76"/>
      <c r="AO2834" s="76"/>
      <c r="AP2834" s="76"/>
      <c r="AQ2834" s="76"/>
      <c r="AR2834" s="76"/>
      <c r="AS2834" s="76"/>
      <c r="AT2834" s="76"/>
      <c r="AU2834" s="76"/>
      <c r="AV2834" s="76"/>
      <c r="AW2834" s="76"/>
      <c r="AX2834" s="76">
        <f>+AW2834*600000</f>
        <v>0</v>
      </c>
      <c r="AY2834" s="76"/>
      <c r="AZ2834" s="76">
        <f>+AY2834*70000</f>
        <v>0</v>
      </c>
      <c r="BA2834" s="76"/>
      <c r="BB2834" s="76"/>
      <c r="BC2834" s="76"/>
      <c r="BD2834" s="76">
        <f>+BC2834*30000</f>
        <v>0</v>
      </c>
      <c r="BE2834" s="76"/>
      <c r="BF2834" s="76"/>
      <c r="BG2834" s="76"/>
      <c r="BH2834" s="76"/>
      <c r="BI2834" s="76"/>
      <c r="BJ2834" s="76"/>
      <c r="BK2834" s="76"/>
      <c r="BL2834" s="76">
        <f>+BK2834*31500</f>
        <v>0</v>
      </c>
      <c r="BM2834" s="76"/>
      <c r="BN2834" s="76"/>
      <c r="BO2834" s="76"/>
      <c r="BP2834" s="76"/>
      <c r="BQ2834" s="76"/>
      <c r="BR2834" s="76"/>
      <c r="BS2834" s="76"/>
      <c r="BT2834" s="76"/>
      <c r="BU2834" s="76"/>
      <c r="BV2834" s="76"/>
      <c r="BW2834" s="76"/>
      <c r="BX2834" s="76"/>
      <c r="BY2834" s="76"/>
      <c r="BZ2834" s="76"/>
      <c r="CA2834" s="76"/>
      <c r="CB2834" s="76"/>
      <c r="CC2834" s="76"/>
      <c r="CD2834" s="76"/>
      <c r="CE2834" s="76"/>
      <c r="CF2834" s="76">
        <f>+CE2834*28000</f>
        <v>0</v>
      </c>
      <c r="CG2834" s="76"/>
      <c r="CH2834" s="76">
        <f>+CG2834*22500</f>
        <v>0</v>
      </c>
      <c r="CI2834" s="76"/>
      <c r="CJ2834" s="76">
        <f>+CI2834*26000</f>
        <v>0</v>
      </c>
      <c r="CK2834" s="76"/>
      <c r="CL2834" s="76"/>
      <c r="CM2834" s="76"/>
      <c r="CN2834" s="76">
        <f>+CM2834*22000</f>
        <v>0</v>
      </c>
      <c r="CO2834" s="76"/>
      <c r="CP2834" s="76">
        <f>+CO2834*46000</f>
        <v>0</v>
      </c>
      <c r="CQ2834" s="76"/>
      <c r="CR2834" s="76">
        <f>+CQ2834*49000</f>
        <v>0</v>
      </c>
      <c r="CS2834" s="76"/>
      <c r="CT2834" s="76"/>
      <c r="CU2834" s="56">
        <f>AN2834+AP2834+AR2834+AT2834+AV2834+AX2834+AZ2834+BB2834+BD2834+BF2834+BH2834+BJ2834+BL2834+BN2834+BP2834+BR2834+BT2834+BV2834+BX2834+BZ2834+CB2834+CD2834+CF2834+CH2834+CJ2834+CL2834+CN2834+CP2834+CR2834+CT2834</f>
        <v>0</v>
      </c>
      <c r="CV2834" s="76"/>
      <c r="CW2834" s="76">
        <f>+CV2834*1100</f>
        <v>0</v>
      </c>
      <c r="CX2834" s="76"/>
      <c r="CY2834" s="76">
        <f>+CX2834*106250</f>
        <v>0</v>
      </c>
      <c r="CZ2834" s="76"/>
      <c r="DA2834" s="76">
        <f>+CZ2834*34500</f>
        <v>0</v>
      </c>
      <c r="DB2834" s="76"/>
      <c r="DC2834" s="76">
        <f>+DB2834*25000</f>
        <v>0</v>
      </c>
      <c r="DD2834" s="219"/>
      <c r="DE2834" s="219"/>
      <c r="DF2834" s="166"/>
      <c r="DG2834" s="116"/>
      <c r="DH2834" s="117"/>
      <c r="DI2834" s="24"/>
      <c r="DJ2834" s="24"/>
      <c r="DK2834" s="24"/>
      <c r="DL2834" s="24"/>
      <c r="DM2834" s="24"/>
      <c r="DN2834" s="24"/>
      <c r="DO2834" s="24"/>
      <c r="DP2834" s="24"/>
      <c r="DQ2834" s="24"/>
      <c r="DR2834" s="24"/>
      <c r="DS2834" s="24"/>
      <c r="DT2834" s="24"/>
      <c r="DU2834" s="24"/>
    </row>
    <row r="2835" spans="1:125" s="8" customFormat="1" ht="72" x14ac:dyDescent="0.2">
      <c r="A2835" s="353">
        <v>41514</v>
      </c>
      <c r="B2835" s="352" t="s">
        <v>2087</v>
      </c>
      <c r="C2835" s="354" t="s">
        <v>2692</v>
      </c>
      <c r="D2835" s="354" t="s">
        <v>3051</v>
      </c>
      <c r="E2835" s="75" t="str">
        <f>VLOOKUP(B2835&amp;C2835,Divipola!$C$2:$F$1138,4,FALSE)</f>
        <v>18001</v>
      </c>
      <c r="F2835" s="87"/>
      <c r="G2835" s="87"/>
      <c r="H2835" s="87"/>
      <c r="I2835" s="87">
        <v>375</v>
      </c>
      <c r="J2835" s="87">
        <v>75</v>
      </c>
      <c r="K2835" s="87">
        <v>10</v>
      </c>
      <c r="L2835" s="87">
        <v>8</v>
      </c>
      <c r="M2835" s="87"/>
      <c r="N2835" s="87"/>
      <c r="O2835" s="87"/>
      <c r="P2835" s="87"/>
      <c r="Q2835" s="87"/>
      <c r="R2835" s="87"/>
      <c r="S2835" s="87"/>
      <c r="T2835" s="87"/>
      <c r="U2835" s="88"/>
      <c r="V2835" s="89"/>
      <c r="W2835" s="96">
        <v>0</v>
      </c>
      <c r="X2835" s="71">
        <f>CU2835</f>
        <v>0</v>
      </c>
      <c r="Y2835" s="71">
        <f>CY2835</f>
        <v>0</v>
      </c>
      <c r="Z2835" s="71">
        <f>DA2835+DC2835+DE2835</f>
        <v>0</v>
      </c>
      <c r="AA2835" s="71">
        <f>CW2835</f>
        <v>0</v>
      </c>
      <c r="AB2835" s="71"/>
      <c r="AC2835" s="71">
        <v>0</v>
      </c>
      <c r="AD2835" s="71">
        <f>W2835+X2835+Y2835+Z2835+AA2835+AB2835+AC2835</f>
        <v>0</v>
      </c>
      <c r="AE2835" s="72">
        <v>0</v>
      </c>
      <c r="AF2835" s="5"/>
      <c r="AG2835" s="6"/>
      <c r="AH2835" s="27"/>
      <c r="AI2835" s="44"/>
      <c r="AJ2835" s="26"/>
      <c r="AK2835" s="5"/>
      <c r="AL2835" s="82" t="s">
        <v>5716</v>
      </c>
      <c r="AM2835" s="76"/>
      <c r="AN2835" s="76"/>
      <c r="AO2835" s="76"/>
      <c r="AP2835" s="76"/>
      <c r="AQ2835" s="76"/>
      <c r="AR2835" s="76"/>
      <c r="AS2835" s="76"/>
      <c r="AT2835" s="76"/>
      <c r="AU2835" s="76"/>
      <c r="AV2835" s="76"/>
      <c r="AW2835" s="76"/>
      <c r="AX2835" s="76">
        <f>+AW2835*600000</f>
        <v>0</v>
      </c>
      <c r="AY2835" s="76"/>
      <c r="AZ2835" s="76">
        <f>+AY2835*70000</f>
        <v>0</v>
      </c>
      <c r="BA2835" s="76"/>
      <c r="BB2835" s="76"/>
      <c r="BC2835" s="76"/>
      <c r="BD2835" s="76">
        <f>+BC2835*30000</f>
        <v>0</v>
      </c>
      <c r="BE2835" s="76"/>
      <c r="BF2835" s="76"/>
      <c r="BG2835" s="76"/>
      <c r="BH2835" s="76"/>
      <c r="BI2835" s="76"/>
      <c r="BJ2835" s="76"/>
      <c r="BK2835" s="76"/>
      <c r="BL2835" s="76">
        <f>+BK2835*31500</f>
        <v>0</v>
      </c>
      <c r="BM2835" s="76"/>
      <c r="BN2835" s="76"/>
      <c r="BO2835" s="76"/>
      <c r="BP2835" s="76"/>
      <c r="BQ2835" s="76"/>
      <c r="BR2835" s="76"/>
      <c r="BS2835" s="76"/>
      <c r="BT2835" s="76"/>
      <c r="BU2835" s="76"/>
      <c r="BV2835" s="76"/>
      <c r="BW2835" s="76"/>
      <c r="BX2835" s="76"/>
      <c r="BY2835" s="76"/>
      <c r="BZ2835" s="76"/>
      <c r="CA2835" s="76"/>
      <c r="CB2835" s="76"/>
      <c r="CC2835" s="76"/>
      <c r="CD2835" s="76"/>
      <c r="CE2835" s="76"/>
      <c r="CF2835" s="76">
        <f>+CE2835*28000</f>
        <v>0</v>
      </c>
      <c r="CG2835" s="76"/>
      <c r="CH2835" s="76">
        <f>+CG2835*22500</f>
        <v>0</v>
      </c>
      <c r="CI2835" s="76"/>
      <c r="CJ2835" s="76">
        <f>+CI2835*26000</f>
        <v>0</v>
      </c>
      <c r="CK2835" s="76"/>
      <c r="CL2835" s="76"/>
      <c r="CM2835" s="76"/>
      <c r="CN2835" s="76">
        <f>+CM2835*22000</f>
        <v>0</v>
      </c>
      <c r="CO2835" s="76"/>
      <c r="CP2835" s="76">
        <f>+CO2835*46000</f>
        <v>0</v>
      </c>
      <c r="CQ2835" s="76"/>
      <c r="CR2835" s="76">
        <f>+CQ2835*49000</f>
        <v>0</v>
      </c>
      <c r="CS2835" s="76"/>
      <c r="CT2835" s="76"/>
      <c r="CU2835" s="56">
        <f>AN2835+AP2835+AR2835+AT2835+AV2835+AX2835+AZ2835+BB2835+BD2835+BF2835+BH2835+BJ2835+BL2835+BN2835+BP2835+BR2835+BT2835+BV2835+BX2835+BZ2835+CB2835+CD2835+CF2835+CH2835+CJ2835+CL2835+CN2835+CP2835+CR2835+CT2835</f>
        <v>0</v>
      </c>
      <c r="CV2835" s="76"/>
      <c r="CW2835" s="76">
        <f>+CV2835*1100</f>
        <v>0</v>
      </c>
      <c r="CX2835" s="76"/>
      <c r="CY2835" s="76">
        <f>+CX2835*106250</f>
        <v>0</v>
      </c>
      <c r="CZ2835" s="76"/>
      <c r="DA2835" s="76">
        <f>+CZ2835*34500</f>
        <v>0</v>
      </c>
      <c r="DB2835" s="76"/>
      <c r="DC2835" s="76">
        <f>+DB2835*25000</f>
        <v>0</v>
      </c>
      <c r="DD2835" s="219"/>
      <c r="DE2835" s="219"/>
      <c r="DF2835" s="166"/>
      <c r="DG2835" s="116"/>
      <c r="DH2835" s="117"/>
      <c r="DI2835" s="24"/>
      <c r="DJ2835" s="24"/>
      <c r="DK2835" s="24"/>
      <c r="DL2835" s="24"/>
      <c r="DM2835" s="24"/>
      <c r="DN2835" s="24"/>
      <c r="DO2835" s="24"/>
      <c r="DP2835" s="24"/>
      <c r="DQ2835" s="24"/>
      <c r="DR2835" s="24"/>
      <c r="DS2835" s="24"/>
      <c r="DT2835" s="24"/>
      <c r="DU2835" s="24"/>
    </row>
    <row r="2836" spans="1:125" s="8" customFormat="1" ht="48" x14ac:dyDescent="0.2">
      <c r="A2836" s="77">
        <v>41514</v>
      </c>
      <c r="B2836" s="208" t="s">
        <v>2852</v>
      </c>
      <c r="C2836" s="354" t="s">
        <v>2784</v>
      </c>
      <c r="D2836" s="354" t="s">
        <v>2882</v>
      </c>
      <c r="E2836" s="296" t="str">
        <f>VLOOKUP(B2836&amp;C2836,Divipola!$C$2:$F$1138,4,FALSE)</f>
        <v>27025</v>
      </c>
      <c r="F2836" s="87"/>
      <c r="G2836" s="87"/>
      <c r="H2836" s="87"/>
      <c r="I2836" s="87">
        <v>2180</v>
      </c>
      <c r="J2836" s="87">
        <v>436</v>
      </c>
      <c r="K2836" s="87">
        <v>5</v>
      </c>
      <c r="L2836" s="87">
        <v>431</v>
      </c>
      <c r="M2836" s="87"/>
      <c r="N2836" s="87"/>
      <c r="O2836" s="87"/>
      <c r="P2836" s="87"/>
      <c r="Q2836" s="87"/>
      <c r="R2836" s="87"/>
      <c r="S2836" s="87"/>
      <c r="T2836" s="87"/>
      <c r="U2836" s="88"/>
      <c r="V2836" s="89"/>
      <c r="W2836" s="96">
        <v>0</v>
      </c>
      <c r="X2836" s="71">
        <f>CU2836</f>
        <v>0</v>
      </c>
      <c r="Y2836" s="71">
        <f>CY2836</f>
        <v>0</v>
      </c>
      <c r="Z2836" s="71">
        <f>DA2836+DC2836+DE2836</f>
        <v>0</v>
      </c>
      <c r="AA2836" s="71">
        <f>CW2836</f>
        <v>0</v>
      </c>
      <c r="AB2836" s="71"/>
      <c r="AC2836" s="71">
        <v>0</v>
      </c>
      <c r="AD2836" s="71">
        <f>W2836+X2836+Y2836+Z2836+AA2836+AB2836+AC2836</f>
        <v>0</v>
      </c>
      <c r="AE2836" s="72">
        <v>0</v>
      </c>
      <c r="AF2836" s="5"/>
      <c r="AG2836" s="6"/>
      <c r="AH2836" s="27"/>
      <c r="AI2836" s="44"/>
      <c r="AJ2836" s="26"/>
      <c r="AK2836" s="5"/>
      <c r="AL2836" s="9" t="s">
        <v>5843</v>
      </c>
      <c r="AM2836" s="76"/>
      <c r="AN2836" s="76"/>
      <c r="AO2836" s="76"/>
      <c r="AP2836" s="76"/>
      <c r="AQ2836" s="76"/>
      <c r="AR2836" s="76"/>
      <c r="AS2836" s="76"/>
      <c r="AT2836" s="76"/>
      <c r="AU2836" s="76"/>
      <c r="AV2836" s="76"/>
      <c r="AW2836" s="76"/>
      <c r="AX2836" s="76">
        <f>+AW2836*600000</f>
        <v>0</v>
      </c>
      <c r="AY2836" s="76"/>
      <c r="AZ2836" s="76">
        <f>+AY2836*70000</f>
        <v>0</v>
      </c>
      <c r="BA2836" s="76"/>
      <c r="BB2836" s="76"/>
      <c r="BC2836" s="76"/>
      <c r="BD2836" s="76">
        <f>+BC2836*30000</f>
        <v>0</v>
      </c>
      <c r="BE2836" s="76"/>
      <c r="BF2836" s="76"/>
      <c r="BG2836" s="76"/>
      <c r="BH2836" s="76"/>
      <c r="BI2836" s="76"/>
      <c r="BJ2836" s="76"/>
      <c r="BK2836" s="76"/>
      <c r="BL2836" s="76">
        <f>+BK2836*31500</f>
        <v>0</v>
      </c>
      <c r="BM2836" s="76"/>
      <c r="BN2836" s="76"/>
      <c r="BO2836" s="76"/>
      <c r="BP2836" s="76"/>
      <c r="BQ2836" s="76"/>
      <c r="BR2836" s="76"/>
      <c r="BS2836" s="76"/>
      <c r="BT2836" s="76"/>
      <c r="BU2836" s="76"/>
      <c r="BV2836" s="76"/>
      <c r="BW2836" s="76"/>
      <c r="BX2836" s="76"/>
      <c r="BY2836" s="76"/>
      <c r="BZ2836" s="76"/>
      <c r="CA2836" s="76"/>
      <c r="CB2836" s="76"/>
      <c r="CC2836" s="76"/>
      <c r="CD2836" s="76"/>
      <c r="CE2836" s="76"/>
      <c r="CF2836" s="76">
        <f>+CE2836*28000</f>
        <v>0</v>
      </c>
      <c r="CG2836" s="76"/>
      <c r="CH2836" s="76">
        <f>+CG2836*22500</f>
        <v>0</v>
      </c>
      <c r="CI2836" s="76"/>
      <c r="CJ2836" s="76">
        <f>+CI2836*26000</f>
        <v>0</v>
      </c>
      <c r="CK2836" s="76"/>
      <c r="CL2836" s="76"/>
      <c r="CM2836" s="76"/>
      <c r="CN2836" s="76">
        <f>+CM2836*22000</f>
        <v>0</v>
      </c>
      <c r="CO2836" s="76"/>
      <c r="CP2836" s="76">
        <f>+CO2836*46000</f>
        <v>0</v>
      </c>
      <c r="CQ2836" s="76"/>
      <c r="CR2836" s="76">
        <f>+CQ2836*49000</f>
        <v>0</v>
      </c>
      <c r="CS2836" s="76"/>
      <c r="CT2836" s="76"/>
      <c r="CU2836" s="56">
        <f>AN2836+AP2836+AR2836+AT2836+AV2836+AX2836+AZ2836+BB2836+BD2836+BF2836+BH2836+BJ2836+BL2836+BN2836+BP2836+BR2836+BT2836+BV2836+BX2836+BZ2836+CB2836+CD2836+CF2836+CH2836+CJ2836+CL2836+CN2836+CP2836+CR2836+CT2836</f>
        <v>0</v>
      </c>
      <c r="CV2836" s="76"/>
      <c r="CW2836" s="76">
        <f>+CV2836*1100</f>
        <v>0</v>
      </c>
      <c r="CX2836" s="76"/>
      <c r="CY2836" s="76">
        <f>+CX2836*106250</f>
        <v>0</v>
      </c>
      <c r="CZ2836" s="76"/>
      <c r="DA2836" s="76">
        <f>+CZ2836*34500</f>
        <v>0</v>
      </c>
      <c r="DB2836" s="76"/>
      <c r="DC2836" s="76">
        <f>+DB2836*25000</f>
        <v>0</v>
      </c>
      <c r="DD2836" s="219"/>
      <c r="DE2836" s="219"/>
      <c r="DF2836" s="166"/>
      <c r="DG2836" s="116"/>
      <c r="DH2836" s="117"/>
      <c r="DI2836" s="24"/>
      <c r="DJ2836" s="24"/>
      <c r="DK2836" s="24"/>
      <c r="DL2836" s="24"/>
      <c r="DM2836" s="24"/>
      <c r="DN2836" s="24"/>
      <c r="DO2836" s="24"/>
      <c r="DP2836" s="24"/>
      <c r="DQ2836" s="24"/>
      <c r="DR2836" s="24"/>
      <c r="DS2836" s="24"/>
      <c r="DT2836" s="24"/>
      <c r="DU2836" s="24"/>
    </row>
    <row r="2837" spans="1:125" s="8" customFormat="1" ht="48" x14ac:dyDescent="0.2">
      <c r="A2837" s="77">
        <v>41514</v>
      </c>
      <c r="B2837" s="78" t="s">
        <v>2811</v>
      </c>
      <c r="C2837" s="75" t="s">
        <v>2787</v>
      </c>
      <c r="D2837" s="75" t="s">
        <v>2882</v>
      </c>
      <c r="E2837" s="75" t="str">
        <f>VLOOKUP(B2837&amp;C2837,Divipola!$C$2:$F$1138,4,FALSE)</f>
        <v>52693</v>
      </c>
      <c r="F2837" s="87"/>
      <c r="G2837" s="87"/>
      <c r="H2837" s="87"/>
      <c r="I2837" s="87">
        <v>450</v>
      </c>
      <c r="J2837" s="87">
        <v>90</v>
      </c>
      <c r="K2837" s="87"/>
      <c r="L2837" s="87">
        <v>70</v>
      </c>
      <c r="M2837" s="87"/>
      <c r="N2837" s="87"/>
      <c r="O2837" s="87"/>
      <c r="P2837" s="87"/>
      <c r="Q2837" s="87"/>
      <c r="R2837" s="87"/>
      <c r="S2837" s="87"/>
      <c r="T2837" s="87"/>
      <c r="U2837" s="88"/>
      <c r="V2837" s="89"/>
      <c r="W2837" s="96">
        <v>0</v>
      </c>
      <c r="X2837" s="71">
        <f>CU2837</f>
        <v>0</v>
      </c>
      <c r="Y2837" s="71">
        <f>CY2837</f>
        <v>0</v>
      </c>
      <c r="Z2837" s="71">
        <f>DA2837+DC2837+DE2837</f>
        <v>0</v>
      </c>
      <c r="AA2837" s="71">
        <f>CW2837</f>
        <v>0</v>
      </c>
      <c r="AB2837" s="71"/>
      <c r="AC2837" s="71">
        <v>0</v>
      </c>
      <c r="AD2837" s="71">
        <f>W2837+X2837+Y2837+Z2837+AA2837+AB2837+AC2837</f>
        <v>0</v>
      </c>
      <c r="AE2837" s="72">
        <v>0</v>
      </c>
      <c r="AF2837" s="5"/>
      <c r="AG2837" s="6"/>
      <c r="AH2837" s="27"/>
      <c r="AI2837" s="44"/>
      <c r="AJ2837" s="26"/>
      <c r="AK2837" s="5"/>
      <c r="AL2837" s="268" t="s">
        <v>5807</v>
      </c>
      <c r="AM2837" s="76"/>
      <c r="AN2837" s="76"/>
      <c r="AO2837" s="76"/>
      <c r="AP2837" s="76"/>
      <c r="AQ2837" s="76"/>
      <c r="AR2837" s="76"/>
      <c r="AS2837" s="76"/>
      <c r="AT2837" s="76"/>
      <c r="AU2837" s="76"/>
      <c r="AV2837" s="76"/>
      <c r="AW2837" s="76"/>
      <c r="AX2837" s="76">
        <f>+AW2837*600000</f>
        <v>0</v>
      </c>
      <c r="AY2837" s="76"/>
      <c r="AZ2837" s="76">
        <f>+AY2837*70000</f>
        <v>0</v>
      </c>
      <c r="BA2837" s="76"/>
      <c r="BB2837" s="76"/>
      <c r="BC2837" s="76"/>
      <c r="BD2837" s="76">
        <f>+BC2837*30000</f>
        <v>0</v>
      </c>
      <c r="BE2837" s="76"/>
      <c r="BF2837" s="76"/>
      <c r="BG2837" s="76"/>
      <c r="BH2837" s="76"/>
      <c r="BI2837" s="76"/>
      <c r="BJ2837" s="76"/>
      <c r="BK2837" s="76"/>
      <c r="BL2837" s="76">
        <f>+BK2837*31500</f>
        <v>0</v>
      </c>
      <c r="BM2837" s="76"/>
      <c r="BN2837" s="76"/>
      <c r="BO2837" s="76"/>
      <c r="BP2837" s="76"/>
      <c r="BQ2837" s="76"/>
      <c r="BR2837" s="76"/>
      <c r="BS2837" s="76"/>
      <c r="BT2837" s="76"/>
      <c r="BU2837" s="76"/>
      <c r="BV2837" s="76"/>
      <c r="BW2837" s="76"/>
      <c r="BX2837" s="76"/>
      <c r="BY2837" s="76"/>
      <c r="BZ2837" s="76"/>
      <c r="CA2837" s="76"/>
      <c r="CB2837" s="76"/>
      <c r="CC2837" s="76"/>
      <c r="CD2837" s="76"/>
      <c r="CE2837" s="76"/>
      <c r="CF2837" s="76">
        <f>+CE2837*28000</f>
        <v>0</v>
      </c>
      <c r="CG2837" s="76"/>
      <c r="CH2837" s="76">
        <f>+CG2837*22500</f>
        <v>0</v>
      </c>
      <c r="CI2837" s="76"/>
      <c r="CJ2837" s="76">
        <f>+CI2837*26000</f>
        <v>0</v>
      </c>
      <c r="CK2837" s="76"/>
      <c r="CL2837" s="76"/>
      <c r="CM2837" s="76"/>
      <c r="CN2837" s="76">
        <f>+CM2837*22000</f>
        <v>0</v>
      </c>
      <c r="CO2837" s="76"/>
      <c r="CP2837" s="76">
        <f>+CO2837*46000</f>
        <v>0</v>
      </c>
      <c r="CQ2837" s="76"/>
      <c r="CR2837" s="76">
        <f>+CQ2837*49000</f>
        <v>0</v>
      </c>
      <c r="CS2837" s="76"/>
      <c r="CT2837" s="76"/>
      <c r="CU2837" s="56">
        <f>AN2837+AP2837+AR2837+AT2837+AV2837+AX2837+AZ2837+BB2837+BD2837+BF2837+BH2837+BJ2837+BL2837+BN2837+BP2837+BR2837+BT2837+BV2837+BX2837+BZ2837+CB2837+CD2837+CF2837+CH2837+CJ2837+CL2837+CN2837+CP2837+CR2837+CT2837</f>
        <v>0</v>
      </c>
      <c r="CV2837" s="76"/>
      <c r="CW2837" s="76">
        <f>+CV2837*1100</f>
        <v>0</v>
      </c>
      <c r="CX2837" s="76"/>
      <c r="CY2837" s="76">
        <f>+CX2837*106250</f>
        <v>0</v>
      </c>
      <c r="CZ2837" s="76"/>
      <c r="DA2837" s="76">
        <f>+CZ2837*34500</f>
        <v>0</v>
      </c>
      <c r="DB2837" s="76"/>
      <c r="DC2837" s="76">
        <f>+DB2837*25000</f>
        <v>0</v>
      </c>
      <c r="DD2837" s="219"/>
      <c r="DE2837" s="219"/>
      <c r="DF2837" s="166"/>
      <c r="DG2837" s="116"/>
      <c r="DH2837" s="117"/>
      <c r="DI2837" s="24"/>
      <c r="DJ2837" s="24"/>
      <c r="DK2837" s="24"/>
      <c r="DL2837" s="24"/>
      <c r="DM2837" s="24"/>
      <c r="DN2837" s="24"/>
      <c r="DO2837" s="24"/>
      <c r="DP2837" s="24"/>
      <c r="DQ2837" s="24"/>
      <c r="DR2837" s="24"/>
      <c r="DS2837" s="24"/>
      <c r="DT2837" s="24"/>
      <c r="DU2837" s="24"/>
    </row>
    <row r="2838" spans="1:125" s="8" customFormat="1" ht="84" x14ac:dyDescent="0.2">
      <c r="A2838" s="353">
        <v>41514</v>
      </c>
      <c r="B2838" s="352" t="s">
        <v>2847</v>
      </c>
      <c r="C2838" s="354" t="s">
        <v>2673</v>
      </c>
      <c r="D2838" s="354" t="s">
        <v>2846</v>
      </c>
      <c r="E2838" s="75" t="str">
        <f>VLOOKUP(B2838&amp;C2838,Divipola!$C$2:$F$1138,4,FALSE)</f>
        <v>68001</v>
      </c>
      <c r="F2838" s="87"/>
      <c r="G2838" s="87"/>
      <c r="H2838" s="87"/>
      <c r="I2838" s="87"/>
      <c r="J2838" s="87"/>
      <c r="K2838" s="87"/>
      <c r="L2838" s="87"/>
      <c r="M2838" s="87"/>
      <c r="N2838" s="87"/>
      <c r="O2838" s="87"/>
      <c r="P2838" s="87"/>
      <c r="Q2838" s="87"/>
      <c r="R2838" s="87"/>
      <c r="S2838" s="87"/>
      <c r="T2838" s="87"/>
      <c r="U2838" s="88">
        <v>2</v>
      </c>
      <c r="V2838" s="89"/>
      <c r="W2838" s="96">
        <v>0</v>
      </c>
      <c r="X2838" s="71">
        <f>CU2838</f>
        <v>0</v>
      </c>
      <c r="Y2838" s="71">
        <f>CY2838</f>
        <v>0</v>
      </c>
      <c r="Z2838" s="71">
        <f>DA2838+DC2838+DE2838</f>
        <v>0</v>
      </c>
      <c r="AA2838" s="71">
        <f>CW2838</f>
        <v>0</v>
      </c>
      <c r="AB2838" s="71"/>
      <c r="AC2838" s="71">
        <v>0</v>
      </c>
      <c r="AD2838" s="71">
        <f>W2838+X2838+Y2838+Z2838+AA2838+AB2838+AC2838</f>
        <v>0</v>
      </c>
      <c r="AE2838" s="72">
        <v>0</v>
      </c>
      <c r="AF2838" s="5"/>
      <c r="AG2838" s="6"/>
      <c r="AH2838" s="27"/>
      <c r="AI2838" s="44"/>
      <c r="AJ2838" s="26"/>
      <c r="AK2838" s="5"/>
      <c r="AL2838" s="82" t="s">
        <v>5730</v>
      </c>
      <c r="AM2838" s="76"/>
      <c r="AN2838" s="76"/>
      <c r="AO2838" s="76"/>
      <c r="AP2838" s="76"/>
      <c r="AQ2838" s="76"/>
      <c r="AR2838" s="76"/>
      <c r="AS2838" s="76"/>
      <c r="AT2838" s="76"/>
      <c r="AU2838" s="76"/>
      <c r="AV2838" s="76"/>
      <c r="AW2838" s="76"/>
      <c r="AX2838" s="76">
        <f>+AW2838*600000</f>
        <v>0</v>
      </c>
      <c r="AY2838" s="76"/>
      <c r="AZ2838" s="76">
        <f>+AY2838*70000</f>
        <v>0</v>
      </c>
      <c r="BA2838" s="76"/>
      <c r="BB2838" s="76"/>
      <c r="BC2838" s="76"/>
      <c r="BD2838" s="76">
        <f>+BC2838*30000</f>
        <v>0</v>
      </c>
      <c r="BE2838" s="76"/>
      <c r="BF2838" s="76"/>
      <c r="BG2838" s="76"/>
      <c r="BH2838" s="76"/>
      <c r="BI2838" s="76"/>
      <c r="BJ2838" s="76"/>
      <c r="BK2838" s="76"/>
      <c r="BL2838" s="76">
        <f>+BK2838*31500</f>
        <v>0</v>
      </c>
      <c r="BM2838" s="76"/>
      <c r="BN2838" s="76"/>
      <c r="BO2838" s="76"/>
      <c r="BP2838" s="76"/>
      <c r="BQ2838" s="76"/>
      <c r="BR2838" s="76"/>
      <c r="BS2838" s="76"/>
      <c r="BT2838" s="76"/>
      <c r="BU2838" s="76"/>
      <c r="BV2838" s="76"/>
      <c r="BW2838" s="76"/>
      <c r="BX2838" s="76"/>
      <c r="BY2838" s="76"/>
      <c r="BZ2838" s="76"/>
      <c r="CA2838" s="76"/>
      <c r="CB2838" s="76"/>
      <c r="CC2838" s="76"/>
      <c r="CD2838" s="76"/>
      <c r="CE2838" s="76"/>
      <c r="CF2838" s="76">
        <f>+CE2838*28000</f>
        <v>0</v>
      </c>
      <c r="CG2838" s="76"/>
      <c r="CH2838" s="76">
        <f>+CG2838*22500</f>
        <v>0</v>
      </c>
      <c r="CI2838" s="76"/>
      <c r="CJ2838" s="76">
        <f>+CI2838*26000</f>
        <v>0</v>
      </c>
      <c r="CK2838" s="76"/>
      <c r="CL2838" s="76"/>
      <c r="CM2838" s="76"/>
      <c r="CN2838" s="76">
        <f>+CM2838*22000</f>
        <v>0</v>
      </c>
      <c r="CO2838" s="76"/>
      <c r="CP2838" s="76">
        <f>+CO2838*46000</f>
        <v>0</v>
      </c>
      <c r="CQ2838" s="76"/>
      <c r="CR2838" s="76">
        <f>+CQ2838*49000</f>
        <v>0</v>
      </c>
      <c r="CS2838" s="76"/>
      <c r="CT2838" s="76"/>
      <c r="CU2838" s="56">
        <f>AN2838+AP2838+AR2838+AT2838+AV2838+AX2838+AZ2838+BB2838+BD2838+BF2838+BH2838+BJ2838+BL2838+BN2838+BP2838+BR2838+BT2838+BV2838+BX2838+BZ2838+CB2838+CD2838+CF2838+CH2838+CJ2838+CL2838+CN2838+CP2838+CR2838+CT2838</f>
        <v>0</v>
      </c>
      <c r="CV2838" s="76"/>
      <c r="CW2838" s="76">
        <f>+CV2838*1100</f>
        <v>0</v>
      </c>
      <c r="CX2838" s="76"/>
      <c r="CY2838" s="76">
        <f>+CX2838*106250</f>
        <v>0</v>
      </c>
      <c r="CZ2838" s="76"/>
      <c r="DA2838" s="76">
        <f>+CZ2838*34500</f>
        <v>0</v>
      </c>
      <c r="DB2838" s="76"/>
      <c r="DC2838" s="76">
        <f>+DB2838*25000</f>
        <v>0</v>
      </c>
      <c r="DD2838" s="219"/>
      <c r="DE2838" s="219"/>
      <c r="DF2838" s="166"/>
      <c r="DG2838" s="116"/>
      <c r="DH2838" s="117"/>
      <c r="DI2838" s="24"/>
      <c r="DJ2838" s="24"/>
      <c r="DK2838" s="24"/>
      <c r="DL2838" s="24"/>
      <c r="DM2838" s="24"/>
      <c r="DN2838" s="24"/>
      <c r="DO2838" s="24"/>
      <c r="DP2838" s="24"/>
      <c r="DQ2838" s="24"/>
      <c r="DR2838" s="24"/>
      <c r="DS2838" s="24"/>
      <c r="DT2838" s="24"/>
      <c r="DU2838" s="24"/>
    </row>
    <row r="2839" spans="1:125" s="8" customFormat="1" ht="144" x14ac:dyDescent="0.2">
      <c r="A2839" s="77">
        <v>41514</v>
      </c>
      <c r="B2839" s="352" t="s">
        <v>1326</v>
      </c>
      <c r="C2839" s="354" t="s">
        <v>2711</v>
      </c>
      <c r="D2839" s="354" t="s">
        <v>3051</v>
      </c>
      <c r="E2839" s="75" t="str">
        <f>VLOOKUP(B2839&amp;C2839,Divipola!$C$2:$F$1138,4,FALSE)</f>
        <v>70678</v>
      </c>
      <c r="F2839" s="87"/>
      <c r="G2839" s="87"/>
      <c r="H2839" s="87"/>
      <c r="I2839" s="87">
        <f>2049*5</f>
        <v>10245</v>
      </c>
      <c r="J2839" s="87">
        <v>2049</v>
      </c>
      <c r="K2839" s="87"/>
      <c r="L2839" s="87">
        <v>2049</v>
      </c>
      <c r="M2839" s="87"/>
      <c r="N2839" s="87"/>
      <c r="O2839" s="87"/>
      <c r="P2839" s="87"/>
      <c r="Q2839" s="87"/>
      <c r="R2839" s="87"/>
      <c r="S2839" s="87"/>
      <c r="T2839" s="87"/>
      <c r="U2839" s="88"/>
      <c r="V2839" s="89"/>
      <c r="W2839" s="96">
        <v>0</v>
      </c>
      <c r="X2839" s="71">
        <f>CU2839</f>
        <v>0</v>
      </c>
      <c r="Y2839" s="71">
        <f>CY2839</f>
        <v>199431250</v>
      </c>
      <c r="Z2839" s="71">
        <f>DA2839+DC2839+DE2839</f>
        <v>0</v>
      </c>
      <c r="AA2839" s="71">
        <f>CW2839</f>
        <v>22000000</v>
      </c>
      <c r="AB2839" s="71"/>
      <c r="AC2839" s="71">
        <v>0</v>
      </c>
      <c r="AD2839" s="71">
        <f>W2839+X2839+Y2839+Z2839+AA2839+AB2839+AC2839</f>
        <v>221431250</v>
      </c>
      <c r="AE2839" s="72">
        <v>0</v>
      </c>
      <c r="AF2839" s="5"/>
      <c r="AG2839" s="6"/>
      <c r="AH2839" s="27"/>
      <c r="AI2839" s="44"/>
      <c r="AJ2839" s="26"/>
      <c r="AK2839" s="5"/>
      <c r="AL2839" s="268" t="s">
        <v>6626</v>
      </c>
      <c r="AM2839" s="76"/>
      <c r="AN2839" s="76"/>
      <c r="AO2839" s="76"/>
      <c r="AP2839" s="76"/>
      <c r="AQ2839" s="76"/>
      <c r="AR2839" s="76"/>
      <c r="AS2839" s="76"/>
      <c r="AT2839" s="76"/>
      <c r="AU2839" s="76"/>
      <c r="AV2839" s="76"/>
      <c r="AW2839" s="76"/>
      <c r="AX2839" s="76">
        <f>+AW2839*600000</f>
        <v>0</v>
      </c>
      <c r="AY2839" s="76"/>
      <c r="AZ2839" s="76">
        <f>+AY2839*70000</f>
        <v>0</v>
      </c>
      <c r="BA2839" s="76"/>
      <c r="BB2839" s="76"/>
      <c r="BC2839" s="76"/>
      <c r="BD2839" s="76">
        <f>+BC2839*30000</f>
        <v>0</v>
      </c>
      <c r="BE2839" s="76"/>
      <c r="BF2839" s="76"/>
      <c r="BG2839" s="76"/>
      <c r="BH2839" s="76"/>
      <c r="BI2839" s="76"/>
      <c r="BJ2839" s="76"/>
      <c r="BK2839" s="76"/>
      <c r="BL2839" s="76">
        <f>+BK2839*31500</f>
        <v>0</v>
      </c>
      <c r="BM2839" s="76"/>
      <c r="BN2839" s="76"/>
      <c r="BO2839" s="76"/>
      <c r="BP2839" s="76"/>
      <c r="BQ2839" s="76"/>
      <c r="BR2839" s="76"/>
      <c r="BS2839" s="76"/>
      <c r="BT2839" s="76"/>
      <c r="BU2839" s="76"/>
      <c r="BV2839" s="76"/>
      <c r="BW2839" s="76"/>
      <c r="BX2839" s="76"/>
      <c r="BY2839" s="76"/>
      <c r="BZ2839" s="76"/>
      <c r="CA2839" s="76"/>
      <c r="CB2839" s="76"/>
      <c r="CC2839" s="76"/>
      <c r="CD2839" s="76"/>
      <c r="CE2839" s="76"/>
      <c r="CF2839" s="76">
        <f>+CE2839*28000</f>
        <v>0</v>
      </c>
      <c r="CG2839" s="76"/>
      <c r="CH2839" s="76">
        <f>+CG2839*22500</f>
        <v>0</v>
      </c>
      <c r="CI2839" s="76"/>
      <c r="CJ2839" s="76">
        <f>+CI2839*26000</f>
        <v>0</v>
      </c>
      <c r="CK2839" s="76"/>
      <c r="CL2839" s="76"/>
      <c r="CM2839" s="76"/>
      <c r="CN2839" s="76">
        <f>+CM2839*22000</f>
        <v>0</v>
      </c>
      <c r="CO2839" s="76"/>
      <c r="CP2839" s="76">
        <f>+CO2839*46000</f>
        <v>0</v>
      </c>
      <c r="CQ2839" s="76"/>
      <c r="CR2839" s="76">
        <f>+CQ2839*49000</f>
        <v>0</v>
      </c>
      <c r="CS2839" s="76"/>
      <c r="CT2839" s="76"/>
      <c r="CU2839" s="56">
        <f>AN2839+AP2839+AR2839+AT2839+AV2839+AX2839+AZ2839+BB2839+BD2839+BF2839+BH2839+BJ2839+BL2839+BN2839+BP2839+BR2839+BT2839+BV2839+BX2839+BZ2839+CB2839+CD2839+CF2839+CH2839+CJ2839+CL2839+CN2839+CP2839+CR2839+CT2839</f>
        <v>0</v>
      </c>
      <c r="CV2839" s="76">
        <v>20000</v>
      </c>
      <c r="CW2839" s="76">
        <f>+CV2839*1100</f>
        <v>22000000</v>
      </c>
      <c r="CX2839" s="76">
        <v>1877</v>
      </c>
      <c r="CY2839" s="76">
        <f>+CX2839*106250</f>
        <v>199431250</v>
      </c>
      <c r="CZ2839" s="76"/>
      <c r="DA2839" s="76">
        <f>+CZ2839*34500</f>
        <v>0</v>
      </c>
      <c r="DB2839" s="76"/>
      <c r="DC2839" s="76">
        <f>+DB2839*25000</f>
        <v>0</v>
      </c>
      <c r="DD2839" s="219"/>
      <c r="DE2839" s="219"/>
      <c r="DF2839" s="166"/>
      <c r="DG2839" s="116"/>
      <c r="DH2839" s="117"/>
      <c r="DI2839" s="24"/>
      <c r="DJ2839" s="24"/>
      <c r="DK2839" s="24"/>
      <c r="DL2839" s="24"/>
      <c r="DM2839" s="24"/>
      <c r="DN2839" s="24"/>
      <c r="DO2839" s="24"/>
      <c r="DP2839" s="24"/>
      <c r="DQ2839" s="24"/>
      <c r="DR2839" s="24"/>
      <c r="DS2839" s="24"/>
      <c r="DT2839" s="24"/>
      <c r="DU2839" s="24"/>
    </row>
    <row r="2840" spans="1:125" s="8" customFormat="1" ht="108" x14ac:dyDescent="0.2">
      <c r="A2840" s="77">
        <v>41514</v>
      </c>
      <c r="B2840" s="78" t="s">
        <v>1326</v>
      </c>
      <c r="C2840" s="75" t="s">
        <v>1840</v>
      </c>
      <c r="D2840" s="75" t="s">
        <v>3051</v>
      </c>
      <c r="E2840" s="75" t="str">
        <f>VLOOKUP(B2840&amp;C2840,Divipola!$C$2:$F$1138,4,FALSE)</f>
        <v>70708</v>
      </c>
      <c r="F2840" s="87"/>
      <c r="G2840" s="87"/>
      <c r="H2840" s="87"/>
      <c r="I2840" s="87"/>
      <c r="J2840" s="87"/>
      <c r="K2840" s="87"/>
      <c r="L2840" s="87"/>
      <c r="M2840" s="87"/>
      <c r="N2840" s="87"/>
      <c r="O2840" s="87"/>
      <c r="P2840" s="87"/>
      <c r="Q2840" s="87"/>
      <c r="R2840" s="87"/>
      <c r="S2840" s="87"/>
      <c r="T2840" s="87"/>
      <c r="U2840" s="88"/>
      <c r="V2840" s="89"/>
      <c r="W2840" s="96">
        <v>0</v>
      </c>
      <c r="X2840" s="71">
        <f>CU2840</f>
        <v>0</v>
      </c>
      <c r="Y2840" s="71">
        <f>CY2840</f>
        <v>0</v>
      </c>
      <c r="Z2840" s="71">
        <f>DA2840+DC2840+DE2840</f>
        <v>0</v>
      </c>
      <c r="AA2840" s="71">
        <f>CW2840</f>
        <v>0</v>
      </c>
      <c r="AB2840" s="71"/>
      <c r="AC2840" s="71">
        <v>0</v>
      </c>
      <c r="AD2840" s="71">
        <f>W2840+X2840+Y2840+Z2840+AA2840+AB2840+AC2840</f>
        <v>0</v>
      </c>
      <c r="AE2840" s="72">
        <v>0</v>
      </c>
      <c r="AF2840" s="5"/>
      <c r="AG2840" s="6"/>
      <c r="AH2840" s="27"/>
      <c r="AI2840" s="44"/>
      <c r="AJ2840" s="26"/>
      <c r="AK2840" s="5"/>
      <c r="AL2840" s="268" t="s">
        <v>5733</v>
      </c>
      <c r="AM2840" s="76"/>
      <c r="AN2840" s="76"/>
      <c r="AO2840" s="76"/>
      <c r="AP2840" s="76"/>
      <c r="AQ2840" s="76"/>
      <c r="AR2840" s="76"/>
      <c r="AS2840" s="76"/>
      <c r="AT2840" s="76"/>
      <c r="AU2840" s="76"/>
      <c r="AV2840" s="76"/>
      <c r="AW2840" s="76"/>
      <c r="AX2840" s="76">
        <f>+AW2840*600000</f>
        <v>0</v>
      </c>
      <c r="AY2840" s="76"/>
      <c r="AZ2840" s="76">
        <f>+AY2840*70000</f>
        <v>0</v>
      </c>
      <c r="BA2840" s="76"/>
      <c r="BB2840" s="76"/>
      <c r="BC2840" s="76"/>
      <c r="BD2840" s="76">
        <f>+BC2840*30000</f>
        <v>0</v>
      </c>
      <c r="BE2840" s="76"/>
      <c r="BF2840" s="76"/>
      <c r="BG2840" s="76"/>
      <c r="BH2840" s="76"/>
      <c r="BI2840" s="76"/>
      <c r="BJ2840" s="76"/>
      <c r="BK2840" s="76"/>
      <c r="BL2840" s="76">
        <f>+BK2840*31500</f>
        <v>0</v>
      </c>
      <c r="BM2840" s="76"/>
      <c r="BN2840" s="76"/>
      <c r="BO2840" s="76"/>
      <c r="BP2840" s="76"/>
      <c r="BQ2840" s="76"/>
      <c r="BR2840" s="76"/>
      <c r="BS2840" s="76"/>
      <c r="BT2840" s="76"/>
      <c r="BU2840" s="76"/>
      <c r="BV2840" s="76"/>
      <c r="BW2840" s="76"/>
      <c r="BX2840" s="76"/>
      <c r="BY2840" s="76"/>
      <c r="BZ2840" s="76"/>
      <c r="CA2840" s="76"/>
      <c r="CB2840" s="76"/>
      <c r="CC2840" s="76"/>
      <c r="CD2840" s="76"/>
      <c r="CE2840" s="76"/>
      <c r="CF2840" s="76">
        <f>+CE2840*28000</f>
        <v>0</v>
      </c>
      <c r="CG2840" s="76"/>
      <c r="CH2840" s="76">
        <f>+CG2840*22500</f>
        <v>0</v>
      </c>
      <c r="CI2840" s="76"/>
      <c r="CJ2840" s="76">
        <f>+CI2840*26000</f>
        <v>0</v>
      </c>
      <c r="CK2840" s="76"/>
      <c r="CL2840" s="76"/>
      <c r="CM2840" s="76"/>
      <c r="CN2840" s="76">
        <f>+CM2840*22000</f>
        <v>0</v>
      </c>
      <c r="CO2840" s="76"/>
      <c r="CP2840" s="76">
        <f>+CO2840*46000</f>
        <v>0</v>
      </c>
      <c r="CQ2840" s="76"/>
      <c r="CR2840" s="76">
        <f>+CQ2840*49000</f>
        <v>0</v>
      </c>
      <c r="CS2840" s="76"/>
      <c r="CT2840" s="76"/>
      <c r="CU2840" s="56">
        <f>AN2840+AP2840+AR2840+AT2840+AV2840+AX2840+AZ2840+BB2840+BD2840+BF2840+BH2840+BJ2840+BL2840+BN2840+BP2840+BR2840+BT2840+BV2840+BX2840+BZ2840+CB2840+CD2840+CF2840+CH2840+CJ2840+CL2840+CN2840+CP2840+CR2840+CT2840</f>
        <v>0</v>
      </c>
      <c r="CV2840" s="76"/>
      <c r="CW2840" s="76">
        <f>+CV2840*1100</f>
        <v>0</v>
      </c>
      <c r="CX2840" s="76"/>
      <c r="CY2840" s="76">
        <f>+CX2840*106250</f>
        <v>0</v>
      </c>
      <c r="CZ2840" s="76"/>
      <c r="DA2840" s="76">
        <f>+CZ2840*34500</f>
        <v>0</v>
      </c>
      <c r="DB2840" s="76"/>
      <c r="DC2840" s="76">
        <f>+DB2840*25000</f>
        <v>0</v>
      </c>
      <c r="DD2840" s="219"/>
      <c r="DE2840" s="219"/>
      <c r="DF2840" s="166"/>
      <c r="DG2840" s="116"/>
      <c r="DH2840" s="117"/>
      <c r="DI2840" s="24"/>
      <c r="DJ2840" s="24"/>
      <c r="DK2840" s="24"/>
      <c r="DL2840" s="24"/>
      <c r="DM2840" s="24"/>
      <c r="DN2840" s="24"/>
      <c r="DO2840" s="24"/>
      <c r="DP2840" s="24"/>
      <c r="DQ2840" s="24"/>
      <c r="DR2840" s="24"/>
      <c r="DS2840" s="24"/>
      <c r="DT2840" s="24"/>
      <c r="DU2840" s="24"/>
    </row>
    <row r="2841" spans="1:125" s="8" customFormat="1" ht="36" x14ac:dyDescent="0.2">
      <c r="A2841" s="77">
        <v>41514</v>
      </c>
      <c r="B2841" s="78" t="s">
        <v>2848</v>
      </c>
      <c r="C2841" s="75" t="s">
        <v>1684</v>
      </c>
      <c r="D2841" s="75" t="s">
        <v>2846</v>
      </c>
      <c r="E2841" s="75" t="str">
        <f>VLOOKUP(B2841&amp;C2841,Divipola!$C$2:$F$1138,4,FALSE)</f>
        <v>73055</v>
      </c>
      <c r="F2841" s="87"/>
      <c r="G2841" s="87"/>
      <c r="H2841" s="87"/>
      <c r="I2841" s="87"/>
      <c r="J2841" s="87"/>
      <c r="K2841" s="87"/>
      <c r="L2841" s="87"/>
      <c r="M2841" s="87"/>
      <c r="N2841" s="87"/>
      <c r="O2841" s="87"/>
      <c r="P2841" s="87"/>
      <c r="Q2841" s="87"/>
      <c r="R2841" s="87"/>
      <c r="S2841" s="87"/>
      <c r="T2841" s="87"/>
      <c r="U2841" s="88">
        <v>1</v>
      </c>
      <c r="V2841" s="89"/>
      <c r="W2841" s="96">
        <v>0</v>
      </c>
      <c r="X2841" s="71">
        <f>CU2841</f>
        <v>0</v>
      </c>
      <c r="Y2841" s="71">
        <f>CY2841</f>
        <v>0</v>
      </c>
      <c r="Z2841" s="71">
        <f>DA2841+DC2841+DE2841</f>
        <v>0</v>
      </c>
      <c r="AA2841" s="71">
        <f>CW2841</f>
        <v>0</v>
      </c>
      <c r="AB2841" s="71"/>
      <c r="AC2841" s="71">
        <v>0</v>
      </c>
      <c r="AD2841" s="71">
        <f>W2841+X2841+Y2841+Z2841+AA2841+AB2841+AC2841</f>
        <v>0</v>
      </c>
      <c r="AE2841" s="72">
        <v>0</v>
      </c>
      <c r="AF2841" s="5"/>
      <c r="AG2841" s="6"/>
      <c r="AH2841" s="27"/>
      <c r="AI2841" s="44"/>
      <c r="AJ2841" s="26"/>
      <c r="AK2841" s="5"/>
      <c r="AL2841" s="268" t="s">
        <v>5719</v>
      </c>
      <c r="AM2841" s="76"/>
      <c r="AN2841" s="76"/>
      <c r="AO2841" s="76"/>
      <c r="AP2841" s="76"/>
      <c r="AQ2841" s="76"/>
      <c r="AR2841" s="76"/>
      <c r="AS2841" s="76"/>
      <c r="AT2841" s="76"/>
      <c r="AU2841" s="76"/>
      <c r="AV2841" s="76"/>
      <c r="AW2841" s="76"/>
      <c r="AX2841" s="76">
        <f>+AW2841*600000</f>
        <v>0</v>
      </c>
      <c r="AY2841" s="76"/>
      <c r="AZ2841" s="76">
        <f>+AY2841*70000</f>
        <v>0</v>
      </c>
      <c r="BA2841" s="76"/>
      <c r="BB2841" s="76"/>
      <c r="BC2841" s="76"/>
      <c r="BD2841" s="76">
        <f>+BC2841*30000</f>
        <v>0</v>
      </c>
      <c r="BE2841" s="76"/>
      <c r="BF2841" s="76"/>
      <c r="BG2841" s="76"/>
      <c r="BH2841" s="76"/>
      <c r="BI2841" s="76"/>
      <c r="BJ2841" s="76"/>
      <c r="BK2841" s="76"/>
      <c r="BL2841" s="76">
        <f>+BK2841*31500</f>
        <v>0</v>
      </c>
      <c r="BM2841" s="76"/>
      <c r="BN2841" s="76"/>
      <c r="BO2841" s="76"/>
      <c r="BP2841" s="76"/>
      <c r="BQ2841" s="76"/>
      <c r="BR2841" s="76"/>
      <c r="BS2841" s="76"/>
      <c r="BT2841" s="76"/>
      <c r="BU2841" s="76"/>
      <c r="BV2841" s="76"/>
      <c r="BW2841" s="76"/>
      <c r="BX2841" s="76"/>
      <c r="BY2841" s="76"/>
      <c r="BZ2841" s="76"/>
      <c r="CA2841" s="76"/>
      <c r="CB2841" s="76"/>
      <c r="CC2841" s="76"/>
      <c r="CD2841" s="76"/>
      <c r="CE2841" s="76"/>
      <c r="CF2841" s="76">
        <f>+CE2841*28000</f>
        <v>0</v>
      </c>
      <c r="CG2841" s="76"/>
      <c r="CH2841" s="76">
        <f>+CG2841*22500</f>
        <v>0</v>
      </c>
      <c r="CI2841" s="76"/>
      <c r="CJ2841" s="76">
        <f>+CI2841*26000</f>
        <v>0</v>
      </c>
      <c r="CK2841" s="76"/>
      <c r="CL2841" s="76"/>
      <c r="CM2841" s="76"/>
      <c r="CN2841" s="76">
        <f>+CM2841*22000</f>
        <v>0</v>
      </c>
      <c r="CO2841" s="76"/>
      <c r="CP2841" s="76">
        <f>+CO2841*46000</f>
        <v>0</v>
      </c>
      <c r="CQ2841" s="76"/>
      <c r="CR2841" s="76">
        <f>+CQ2841*49000</f>
        <v>0</v>
      </c>
      <c r="CS2841" s="76"/>
      <c r="CT2841" s="76"/>
      <c r="CU2841" s="56">
        <f>AN2841+AP2841+AR2841+AT2841+AV2841+AX2841+AZ2841+BB2841+BD2841+BF2841+BH2841+BJ2841+BL2841+BN2841+BP2841+BR2841+BT2841+BV2841+BX2841+BZ2841+CB2841+CD2841+CF2841+CH2841+CJ2841+CL2841+CN2841+CP2841+CR2841+CT2841</f>
        <v>0</v>
      </c>
      <c r="CV2841" s="76"/>
      <c r="CW2841" s="76">
        <f>+CV2841*1100</f>
        <v>0</v>
      </c>
      <c r="CX2841" s="76"/>
      <c r="CY2841" s="76">
        <f>+CX2841*106250</f>
        <v>0</v>
      </c>
      <c r="CZ2841" s="76"/>
      <c r="DA2841" s="76">
        <f>+CZ2841*34500</f>
        <v>0</v>
      </c>
      <c r="DB2841" s="76"/>
      <c r="DC2841" s="76">
        <f>+DB2841*25000</f>
        <v>0</v>
      </c>
      <c r="DD2841" s="219"/>
      <c r="DE2841" s="219"/>
      <c r="DF2841" s="166"/>
      <c r="DG2841" s="116"/>
      <c r="DH2841" s="117"/>
      <c r="DI2841" s="24"/>
      <c r="DJ2841" s="24"/>
      <c r="DK2841" s="24"/>
      <c r="DL2841" s="24"/>
      <c r="DM2841" s="24"/>
      <c r="DN2841" s="24"/>
      <c r="DO2841" s="24"/>
      <c r="DP2841" s="24"/>
      <c r="DQ2841" s="24"/>
      <c r="DR2841" s="24"/>
      <c r="DS2841" s="24"/>
      <c r="DT2841" s="24"/>
      <c r="DU2841" s="24"/>
    </row>
    <row r="2842" spans="1:125" s="8" customFormat="1" ht="48" x14ac:dyDescent="0.2">
      <c r="A2842" s="77">
        <v>41514</v>
      </c>
      <c r="B2842" s="208" t="s">
        <v>2848</v>
      </c>
      <c r="C2842" s="354" t="s">
        <v>2035</v>
      </c>
      <c r="D2842" s="354" t="s">
        <v>2846</v>
      </c>
      <c r="E2842" s="75" t="str">
        <f>VLOOKUP(B2842&amp;C2842,Divipola!$C$2:$F$1138,4,FALSE)</f>
        <v>73148</v>
      </c>
      <c r="F2842" s="87"/>
      <c r="G2842" s="87"/>
      <c r="H2842" s="87"/>
      <c r="I2842" s="87"/>
      <c r="J2842" s="87"/>
      <c r="K2842" s="87"/>
      <c r="L2842" s="87"/>
      <c r="M2842" s="87"/>
      <c r="N2842" s="87"/>
      <c r="O2842" s="87"/>
      <c r="P2842" s="87"/>
      <c r="Q2842" s="87"/>
      <c r="R2842" s="87"/>
      <c r="S2842" s="87"/>
      <c r="T2842" s="87"/>
      <c r="U2842" s="88"/>
      <c r="V2842" s="89"/>
      <c r="W2842" s="96">
        <v>0</v>
      </c>
      <c r="X2842" s="71">
        <f>CU2842</f>
        <v>0</v>
      </c>
      <c r="Y2842" s="71">
        <f>CY2842</f>
        <v>0</v>
      </c>
      <c r="Z2842" s="71">
        <f>DA2842+DC2842+DE2842</f>
        <v>0</v>
      </c>
      <c r="AA2842" s="71">
        <f>CW2842</f>
        <v>0</v>
      </c>
      <c r="AB2842" s="71"/>
      <c r="AC2842" s="71">
        <v>0</v>
      </c>
      <c r="AD2842" s="71">
        <f>W2842+X2842+Y2842+Z2842+AA2842+AB2842+AC2842</f>
        <v>0</v>
      </c>
      <c r="AE2842" s="72">
        <v>0</v>
      </c>
      <c r="AF2842" s="5"/>
      <c r="AG2842" s="6"/>
      <c r="AH2842" s="27"/>
      <c r="AI2842" s="44"/>
      <c r="AJ2842" s="26"/>
      <c r="AK2842" s="5"/>
      <c r="AL2842" s="82" t="s">
        <v>5718</v>
      </c>
      <c r="AM2842" s="76"/>
      <c r="AN2842" s="76"/>
      <c r="AO2842" s="76"/>
      <c r="AP2842" s="76"/>
      <c r="AQ2842" s="76"/>
      <c r="AR2842" s="76"/>
      <c r="AS2842" s="76"/>
      <c r="AT2842" s="76"/>
      <c r="AU2842" s="76"/>
      <c r="AV2842" s="76"/>
      <c r="AW2842" s="76"/>
      <c r="AX2842" s="76">
        <f>+AW2842*600000</f>
        <v>0</v>
      </c>
      <c r="AY2842" s="76"/>
      <c r="AZ2842" s="76">
        <f>+AY2842*70000</f>
        <v>0</v>
      </c>
      <c r="BA2842" s="76"/>
      <c r="BB2842" s="76"/>
      <c r="BC2842" s="76"/>
      <c r="BD2842" s="76">
        <f>+BC2842*30000</f>
        <v>0</v>
      </c>
      <c r="BE2842" s="76"/>
      <c r="BF2842" s="76"/>
      <c r="BG2842" s="76"/>
      <c r="BH2842" s="76"/>
      <c r="BI2842" s="76"/>
      <c r="BJ2842" s="76"/>
      <c r="BK2842" s="76"/>
      <c r="BL2842" s="76">
        <f>+BK2842*31500</f>
        <v>0</v>
      </c>
      <c r="BM2842" s="76"/>
      <c r="BN2842" s="76"/>
      <c r="BO2842" s="76"/>
      <c r="BP2842" s="76"/>
      <c r="BQ2842" s="76"/>
      <c r="BR2842" s="76"/>
      <c r="BS2842" s="76"/>
      <c r="BT2842" s="76"/>
      <c r="BU2842" s="76"/>
      <c r="BV2842" s="76"/>
      <c r="BW2842" s="76"/>
      <c r="BX2842" s="76"/>
      <c r="BY2842" s="76"/>
      <c r="BZ2842" s="76"/>
      <c r="CA2842" s="76"/>
      <c r="CB2842" s="76"/>
      <c r="CC2842" s="76"/>
      <c r="CD2842" s="76"/>
      <c r="CE2842" s="76"/>
      <c r="CF2842" s="76">
        <f>+CE2842*28000</f>
        <v>0</v>
      </c>
      <c r="CG2842" s="76"/>
      <c r="CH2842" s="76">
        <f>+CG2842*22500</f>
        <v>0</v>
      </c>
      <c r="CI2842" s="76"/>
      <c r="CJ2842" s="76">
        <f>+CI2842*26000</f>
        <v>0</v>
      </c>
      <c r="CK2842" s="76"/>
      <c r="CL2842" s="76"/>
      <c r="CM2842" s="76"/>
      <c r="CN2842" s="76">
        <f>+CM2842*22000</f>
        <v>0</v>
      </c>
      <c r="CO2842" s="76"/>
      <c r="CP2842" s="76">
        <f>+CO2842*46000</f>
        <v>0</v>
      </c>
      <c r="CQ2842" s="76"/>
      <c r="CR2842" s="76">
        <f>+CQ2842*49000</f>
        <v>0</v>
      </c>
      <c r="CS2842" s="76"/>
      <c r="CT2842" s="76"/>
      <c r="CU2842" s="56">
        <f>AN2842+AP2842+AR2842+AT2842+AV2842+AX2842+AZ2842+BB2842+BD2842+BF2842+BH2842+BJ2842+BL2842+BN2842+BP2842+BR2842+BT2842+BV2842+BX2842+BZ2842+CB2842+CD2842+CF2842+CH2842+CJ2842+CL2842+CN2842+CP2842+CR2842+CT2842</f>
        <v>0</v>
      </c>
      <c r="CV2842" s="76"/>
      <c r="CW2842" s="76">
        <f>+CV2842*1100</f>
        <v>0</v>
      </c>
      <c r="CX2842" s="76"/>
      <c r="CY2842" s="76">
        <f>+CX2842*106250</f>
        <v>0</v>
      </c>
      <c r="CZ2842" s="76"/>
      <c r="DA2842" s="76">
        <f>+CZ2842*34500</f>
        <v>0</v>
      </c>
      <c r="DB2842" s="76"/>
      <c r="DC2842" s="76">
        <f>+DB2842*25000</f>
        <v>0</v>
      </c>
      <c r="DD2842" s="219"/>
      <c r="DE2842" s="219"/>
      <c r="DF2842" s="166"/>
      <c r="DG2842" s="116"/>
      <c r="DH2842" s="117"/>
      <c r="DI2842" s="24"/>
      <c r="DJ2842" s="24"/>
      <c r="DK2842" s="24"/>
      <c r="DL2842" s="24"/>
      <c r="DM2842" s="24"/>
      <c r="DN2842" s="24"/>
      <c r="DO2842" s="24"/>
      <c r="DP2842" s="24"/>
      <c r="DQ2842" s="24"/>
      <c r="DR2842" s="24"/>
      <c r="DS2842" s="24"/>
      <c r="DT2842" s="24"/>
      <c r="DU2842" s="24"/>
    </row>
    <row r="2843" spans="1:125" s="8" customFormat="1" ht="48" x14ac:dyDescent="0.2">
      <c r="A2843" s="353">
        <v>41514</v>
      </c>
      <c r="B2843" s="352" t="s">
        <v>2848</v>
      </c>
      <c r="C2843" s="354" t="s">
        <v>1872</v>
      </c>
      <c r="D2843" s="354" t="s">
        <v>2859</v>
      </c>
      <c r="E2843" s="75" t="str">
        <f>VLOOKUP(B2843&amp;C2843,Divipola!$C$2:$F$1138,4,FALSE)</f>
        <v>73268</v>
      </c>
      <c r="F2843" s="87"/>
      <c r="G2843" s="87"/>
      <c r="H2843" s="87"/>
      <c r="I2843" s="87"/>
      <c r="J2843" s="87"/>
      <c r="K2843" s="87">
        <v>1</v>
      </c>
      <c r="L2843" s="87"/>
      <c r="M2843" s="87"/>
      <c r="N2843" s="87"/>
      <c r="O2843" s="87"/>
      <c r="P2843" s="87"/>
      <c r="Q2843" s="87"/>
      <c r="R2843" s="87"/>
      <c r="S2843" s="87"/>
      <c r="T2843" s="87"/>
      <c r="U2843" s="88">
        <v>1</v>
      </c>
      <c r="V2843" s="89"/>
      <c r="W2843" s="96">
        <v>0</v>
      </c>
      <c r="X2843" s="71">
        <f>CU2843</f>
        <v>0</v>
      </c>
      <c r="Y2843" s="71">
        <f>CY2843</f>
        <v>0</v>
      </c>
      <c r="Z2843" s="71">
        <f>DA2843+DC2843+DE2843</f>
        <v>0</v>
      </c>
      <c r="AA2843" s="71">
        <f>CW2843</f>
        <v>0</v>
      </c>
      <c r="AB2843" s="71"/>
      <c r="AC2843" s="71">
        <v>0</v>
      </c>
      <c r="AD2843" s="71">
        <f>W2843+X2843+Y2843+Z2843+AA2843+AB2843+AC2843</f>
        <v>0</v>
      </c>
      <c r="AE2843" s="72">
        <v>0</v>
      </c>
      <c r="AF2843" s="5"/>
      <c r="AG2843" s="6"/>
      <c r="AH2843" s="27"/>
      <c r="AI2843" s="44"/>
      <c r="AJ2843" s="26"/>
      <c r="AK2843" s="5"/>
      <c r="AL2843" s="82" t="s">
        <v>5722</v>
      </c>
      <c r="AM2843" s="76"/>
      <c r="AN2843" s="76"/>
      <c r="AO2843" s="76"/>
      <c r="AP2843" s="76"/>
      <c r="AQ2843" s="76"/>
      <c r="AR2843" s="76"/>
      <c r="AS2843" s="76"/>
      <c r="AT2843" s="76"/>
      <c r="AU2843" s="76"/>
      <c r="AV2843" s="76"/>
      <c r="AW2843" s="76"/>
      <c r="AX2843" s="76">
        <f>+AW2843*600000</f>
        <v>0</v>
      </c>
      <c r="AY2843" s="76"/>
      <c r="AZ2843" s="76">
        <f>+AY2843*70000</f>
        <v>0</v>
      </c>
      <c r="BA2843" s="76"/>
      <c r="BB2843" s="76"/>
      <c r="BC2843" s="76"/>
      <c r="BD2843" s="76">
        <f>+BC2843*30000</f>
        <v>0</v>
      </c>
      <c r="BE2843" s="76"/>
      <c r="BF2843" s="76"/>
      <c r="BG2843" s="76"/>
      <c r="BH2843" s="76"/>
      <c r="BI2843" s="76"/>
      <c r="BJ2843" s="76"/>
      <c r="BK2843" s="76"/>
      <c r="BL2843" s="76">
        <f>+BK2843*31500</f>
        <v>0</v>
      </c>
      <c r="BM2843" s="76"/>
      <c r="BN2843" s="76"/>
      <c r="BO2843" s="76"/>
      <c r="BP2843" s="76"/>
      <c r="BQ2843" s="76"/>
      <c r="BR2843" s="76"/>
      <c r="BS2843" s="76"/>
      <c r="BT2843" s="76"/>
      <c r="BU2843" s="76"/>
      <c r="BV2843" s="76"/>
      <c r="BW2843" s="76"/>
      <c r="BX2843" s="76"/>
      <c r="BY2843" s="76"/>
      <c r="BZ2843" s="76"/>
      <c r="CA2843" s="76"/>
      <c r="CB2843" s="76"/>
      <c r="CC2843" s="76"/>
      <c r="CD2843" s="76"/>
      <c r="CE2843" s="76"/>
      <c r="CF2843" s="76">
        <f>+CE2843*28000</f>
        <v>0</v>
      </c>
      <c r="CG2843" s="76"/>
      <c r="CH2843" s="76">
        <f>+CG2843*22500</f>
        <v>0</v>
      </c>
      <c r="CI2843" s="76"/>
      <c r="CJ2843" s="76">
        <f>+CI2843*26000</f>
        <v>0</v>
      </c>
      <c r="CK2843" s="76"/>
      <c r="CL2843" s="76"/>
      <c r="CM2843" s="76"/>
      <c r="CN2843" s="76">
        <f>+CM2843*22000</f>
        <v>0</v>
      </c>
      <c r="CO2843" s="76"/>
      <c r="CP2843" s="76">
        <f>+CO2843*46000</f>
        <v>0</v>
      </c>
      <c r="CQ2843" s="76"/>
      <c r="CR2843" s="76">
        <f>+CQ2843*49000</f>
        <v>0</v>
      </c>
      <c r="CS2843" s="76"/>
      <c r="CT2843" s="76"/>
      <c r="CU2843" s="56">
        <f>AN2843+AP2843+AR2843+AT2843+AV2843+AX2843+AZ2843+BB2843+BD2843+BF2843+BH2843+BJ2843+BL2843+BN2843+BP2843+BR2843+BT2843+BV2843+BX2843+BZ2843+CB2843+CD2843+CF2843+CH2843+CJ2843+CL2843+CN2843+CP2843+CR2843+CT2843</f>
        <v>0</v>
      </c>
      <c r="CV2843" s="76"/>
      <c r="CW2843" s="76">
        <f>+CV2843*1100</f>
        <v>0</v>
      </c>
      <c r="CX2843" s="76"/>
      <c r="CY2843" s="76">
        <f>+CX2843*106250</f>
        <v>0</v>
      </c>
      <c r="CZ2843" s="76"/>
      <c r="DA2843" s="76">
        <f>+CZ2843*34500</f>
        <v>0</v>
      </c>
      <c r="DB2843" s="76"/>
      <c r="DC2843" s="76">
        <f>+DB2843*25000</f>
        <v>0</v>
      </c>
      <c r="DD2843" s="219"/>
      <c r="DE2843" s="219"/>
      <c r="DF2843" s="166"/>
      <c r="DG2843" s="116"/>
      <c r="DH2843" s="117"/>
      <c r="DI2843" s="24"/>
      <c r="DJ2843" s="24"/>
      <c r="DK2843" s="24"/>
      <c r="DL2843" s="24"/>
      <c r="DM2843" s="24"/>
      <c r="DN2843" s="24"/>
      <c r="DO2843" s="24"/>
      <c r="DP2843" s="24"/>
      <c r="DQ2843" s="24"/>
      <c r="DR2843" s="24"/>
      <c r="DS2843" s="24"/>
      <c r="DT2843" s="24"/>
      <c r="DU2843" s="24"/>
    </row>
    <row r="2844" spans="1:125" s="8" customFormat="1" ht="36" x14ac:dyDescent="0.2">
      <c r="A2844" s="353">
        <v>41514</v>
      </c>
      <c r="B2844" s="352" t="s">
        <v>2848</v>
      </c>
      <c r="C2844" s="354" t="s">
        <v>1887</v>
      </c>
      <c r="D2844" s="354" t="s">
        <v>2846</v>
      </c>
      <c r="E2844" s="75" t="str">
        <f>VLOOKUP(B2844&amp;C2844,Divipola!$C$2:$F$1138,4,FALSE)</f>
        <v>73443</v>
      </c>
      <c r="F2844" s="87"/>
      <c r="G2844" s="87"/>
      <c r="H2844" s="87"/>
      <c r="I2844" s="87"/>
      <c r="J2844" s="87"/>
      <c r="K2844" s="87"/>
      <c r="L2844" s="87"/>
      <c r="M2844" s="87"/>
      <c r="N2844" s="87"/>
      <c r="O2844" s="87"/>
      <c r="P2844" s="87"/>
      <c r="Q2844" s="87"/>
      <c r="R2844" s="87"/>
      <c r="S2844" s="87"/>
      <c r="T2844" s="87"/>
      <c r="U2844" s="88">
        <v>8</v>
      </c>
      <c r="V2844" s="89"/>
      <c r="W2844" s="96">
        <v>0</v>
      </c>
      <c r="X2844" s="71">
        <f>CU2844</f>
        <v>0</v>
      </c>
      <c r="Y2844" s="71">
        <f>CY2844</f>
        <v>0</v>
      </c>
      <c r="Z2844" s="71">
        <f>DA2844+DC2844+DE2844</f>
        <v>0</v>
      </c>
      <c r="AA2844" s="71">
        <f>CW2844</f>
        <v>0</v>
      </c>
      <c r="AB2844" s="71"/>
      <c r="AC2844" s="71">
        <v>0</v>
      </c>
      <c r="AD2844" s="71">
        <f>W2844+X2844+Y2844+Z2844+AA2844+AB2844+AC2844</f>
        <v>0</v>
      </c>
      <c r="AE2844" s="72">
        <v>0</v>
      </c>
      <c r="AF2844" s="5"/>
      <c r="AG2844" s="6"/>
      <c r="AH2844" s="27"/>
      <c r="AI2844" s="44"/>
      <c r="AJ2844" s="26"/>
      <c r="AK2844" s="5"/>
      <c r="AL2844" s="82" t="s">
        <v>5721</v>
      </c>
      <c r="AM2844" s="76"/>
      <c r="AN2844" s="76"/>
      <c r="AO2844" s="76"/>
      <c r="AP2844" s="76"/>
      <c r="AQ2844" s="76"/>
      <c r="AR2844" s="76"/>
      <c r="AS2844" s="76"/>
      <c r="AT2844" s="76"/>
      <c r="AU2844" s="76"/>
      <c r="AV2844" s="76"/>
      <c r="AW2844" s="76"/>
      <c r="AX2844" s="76">
        <f>+AW2844*600000</f>
        <v>0</v>
      </c>
      <c r="AY2844" s="76"/>
      <c r="AZ2844" s="76">
        <f>+AY2844*70000</f>
        <v>0</v>
      </c>
      <c r="BA2844" s="76"/>
      <c r="BB2844" s="76"/>
      <c r="BC2844" s="76"/>
      <c r="BD2844" s="76">
        <f>+BC2844*30000</f>
        <v>0</v>
      </c>
      <c r="BE2844" s="76"/>
      <c r="BF2844" s="76"/>
      <c r="BG2844" s="76"/>
      <c r="BH2844" s="76"/>
      <c r="BI2844" s="76"/>
      <c r="BJ2844" s="76"/>
      <c r="BK2844" s="76"/>
      <c r="BL2844" s="76">
        <f>+BK2844*31500</f>
        <v>0</v>
      </c>
      <c r="BM2844" s="76"/>
      <c r="BN2844" s="76"/>
      <c r="BO2844" s="76"/>
      <c r="BP2844" s="76"/>
      <c r="BQ2844" s="76"/>
      <c r="BR2844" s="76"/>
      <c r="BS2844" s="76"/>
      <c r="BT2844" s="76"/>
      <c r="BU2844" s="76"/>
      <c r="BV2844" s="76"/>
      <c r="BW2844" s="76"/>
      <c r="BX2844" s="76"/>
      <c r="BY2844" s="76"/>
      <c r="BZ2844" s="76"/>
      <c r="CA2844" s="76"/>
      <c r="CB2844" s="76"/>
      <c r="CC2844" s="76"/>
      <c r="CD2844" s="76"/>
      <c r="CE2844" s="76"/>
      <c r="CF2844" s="76">
        <f>+CE2844*28000</f>
        <v>0</v>
      </c>
      <c r="CG2844" s="76"/>
      <c r="CH2844" s="76">
        <f>+CG2844*22500</f>
        <v>0</v>
      </c>
      <c r="CI2844" s="76"/>
      <c r="CJ2844" s="76">
        <f>+CI2844*26000</f>
        <v>0</v>
      </c>
      <c r="CK2844" s="76"/>
      <c r="CL2844" s="76"/>
      <c r="CM2844" s="76"/>
      <c r="CN2844" s="76">
        <f>+CM2844*22000</f>
        <v>0</v>
      </c>
      <c r="CO2844" s="76"/>
      <c r="CP2844" s="76">
        <f>+CO2844*46000</f>
        <v>0</v>
      </c>
      <c r="CQ2844" s="76"/>
      <c r="CR2844" s="76">
        <f>+CQ2844*49000</f>
        <v>0</v>
      </c>
      <c r="CS2844" s="76"/>
      <c r="CT2844" s="76"/>
      <c r="CU2844" s="56">
        <f>AN2844+AP2844+AR2844+AT2844+AV2844+AX2844+AZ2844+BB2844+BD2844+BF2844+BH2844+BJ2844+BL2844+BN2844+BP2844+BR2844+BT2844+BV2844+BX2844+BZ2844+CB2844+CD2844+CF2844+CH2844+CJ2844+CL2844+CN2844+CP2844+CR2844+CT2844</f>
        <v>0</v>
      </c>
      <c r="CV2844" s="76"/>
      <c r="CW2844" s="76">
        <f>+CV2844*1100</f>
        <v>0</v>
      </c>
      <c r="CX2844" s="76"/>
      <c r="CY2844" s="76">
        <f>+CX2844*106250</f>
        <v>0</v>
      </c>
      <c r="CZ2844" s="76"/>
      <c r="DA2844" s="76">
        <f>+CZ2844*34500</f>
        <v>0</v>
      </c>
      <c r="DB2844" s="76"/>
      <c r="DC2844" s="76">
        <f>+DB2844*25000</f>
        <v>0</v>
      </c>
      <c r="DD2844" s="219"/>
      <c r="DE2844" s="219"/>
      <c r="DF2844" s="166"/>
      <c r="DG2844" s="116"/>
      <c r="DH2844" s="117"/>
      <c r="DI2844" s="24"/>
      <c r="DJ2844" s="24"/>
      <c r="DK2844" s="24"/>
      <c r="DL2844" s="24"/>
      <c r="DM2844" s="24"/>
      <c r="DN2844" s="24"/>
      <c r="DO2844" s="24"/>
      <c r="DP2844" s="24"/>
      <c r="DQ2844" s="24"/>
      <c r="DR2844" s="24"/>
      <c r="DS2844" s="24"/>
      <c r="DT2844" s="24"/>
      <c r="DU2844" s="24"/>
    </row>
    <row r="2845" spans="1:125" s="8" customFormat="1" ht="24" x14ac:dyDescent="0.2">
      <c r="A2845" s="353">
        <v>41514</v>
      </c>
      <c r="B2845" s="352" t="s">
        <v>2848</v>
      </c>
      <c r="C2845" s="354" t="s">
        <v>2791</v>
      </c>
      <c r="D2845" s="354" t="s">
        <v>2846</v>
      </c>
      <c r="E2845" s="75" t="str">
        <f>VLOOKUP(B2845&amp;C2845,Divipola!$C$2:$F$1138,4,FALSE)</f>
        <v>73585</v>
      </c>
      <c r="F2845" s="87"/>
      <c r="G2845" s="87"/>
      <c r="H2845" s="87"/>
      <c r="I2845" s="87"/>
      <c r="J2845" s="87"/>
      <c r="K2845" s="87"/>
      <c r="L2845" s="87"/>
      <c r="M2845" s="87"/>
      <c r="N2845" s="87"/>
      <c r="O2845" s="87"/>
      <c r="P2845" s="87"/>
      <c r="Q2845" s="87"/>
      <c r="R2845" s="87"/>
      <c r="S2845" s="87"/>
      <c r="T2845" s="87"/>
      <c r="U2845" s="283"/>
      <c r="V2845" s="89"/>
      <c r="W2845" s="96">
        <v>0</v>
      </c>
      <c r="X2845" s="71">
        <f>CU2845</f>
        <v>0</v>
      </c>
      <c r="Y2845" s="71">
        <f>CY2845</f>
        <v>0</v>
      </c>
      <c r="Z2845" s="71">
        <f>DA2845+DC2845+DE2845</f>
        <v>0</v>
      </c>
      <c r="AA2845" s="71">
        <f>CW2845</f>
        <v>0</v>
      </c>
      <c r="AB2845" s="71"/>
      <c r="AC2845" s="71">
        <v>0</v>
      </c>
      <c r="AD2845" s="71">
        <f>W2845+X2845+Y2845+Z2845+AA2845+AB2845+AC2845</f>
        <v>0</v>
      </c>
      <c r="AE2845" s="72">
        <v>0</v>
      </c>
      <c r="AF2845" s="5"/>
      <c r="AG2845" s="6"/>
      <c r="AH2845" s="27"/>
      <c r="AI2845" s="44"/>
      <c r="AJ2845" s="26"/>
      <c r="AK2845" s="5"/>
      <c r="AL2845" s="82" t="s">
        <v>5720</v>
      </c>
      <c r="AM2845" s="76"/>
      <c r="AN2845" s="76"/>
      <c r="AO2845" s="76"/>
      <c r="AP2845" s="76"/>
      <c r="AQ2845" s="76"/>
      <c r="AR2845" s="76"/>
      <c r="AS2845" s="76"/>
      <c r="AT2845" s="76"/>
      <c r="AU2845" s="76"/>
      <c r="AV2845" s="76"/>
      <c r="AW2845" s="76"/>
      <c r="AX2845" s="76">
        <f>+AW2845*600000</f>
        <v>0</v>
      </c>
      <c r="AY2845" s="76"/>
      <c r="AZ2845" s="76">
        <f>+AY2845*70000</f>
        <v>0</v>
      </c>
      <c r="BA2845" s="76"/>
      <c r="BB2845" s="76"/>
      <c r="BC2845" s="76"/>
      <c r="BD2845" s="76">
        <f>+BC2845*30000</f>
        <v>0</v>
      </c>
      <c r="BE2845" s="76"/>
      <c r="BF2845" s="76"/>
      <c r="BG2845" s="76"/>
      <c r="BH2845" s="76"/>
      <c r="BI2845" s="76"/>
      <c r="BJ2845" s="76"/>
      <c r="BK2845" s="76"/>
      <c r="BL2845" s="76">
        <f>+BK2845*31500</f>
        <v>0</v>
      </c>
      <c r="BM2845" s="76"/>
      <c r="BN2845" s="76"/>
      <c r="BO2845" s="76"/>
      <c r="BP2845" s="76"/>
      <c r="BQ2845" s="76"/>
      <c r="BR2845" s="76"/>
      <c r="BS2845" s="76"/>
      <c r="BT2845" s="76"/>
      <c r="BU2845" s="76"/>
      <c r="BV2845" s="76"/>
      <c r="BW2845" s="76"/>
      <c r="BX2845" s="76"/>
      <c r="BY2845" s="76"/>
      <c r="BZ2845" s="76"/>
      <c r="CA2845" s="76"/>
      <c r="CB2845" s="76"/>
      <c r="CC2845" s="76"/>
      <c r="CD2845" s="76"/>
      <c r="CE2845" s="76"/>
      <c r="CF2845" s="76">
        <f>+CE2845*28000</f>
        <v>0</v>
      </c>
      <c r="CG2845" s="76"/>
      <c r="CH2845" s="76">
        <f>+CG2845*22500</f>
        <v>0</v>
      </c>
      <c r="CI2845" s="76"/>
      <c r="CJ2845" s="76">
        <f>+CI2845*26000</f>
        <v>0</v>
      </c>
      <c r="CK2845" s="76"/>
      <c r="CL2845" s="76"/>
      <c r="CM2845" s="76"/>
      <c r="CN2845" s="76">
        <f>+CM2845*22000</f>
        <v>0</v>
      </c>
      <c r="CO2845" s="76"/>
      <c r="CP2845" s="76">
        <f>+CO2845*46000</f>
        <v>0</v>
      </c>
      <c r="CQ2845" s="76"/>
      <c r="CR2845" s="76">
        <f>+CQ2845*49000</f>
        <v>0</v>
      </c>
      <c r="CS2845" s="76"/>
      <c r="CT2845" s="76"/>
      <c r="CU2845" s="56">
        <f>AN2845+AP2845+AR2845+AT2845+AV2845+AX2845+AZ2845+BB2845+BD2845+BF2845+BH2845+BJ2845+BL2845+BN2845+BP2845+BR2845+BT2845+BV2845+BX2845+BZ2845+CB2845+CD2845+CF2845+CH2845+CJ2845+CL2845+CN2845+CP2845+CR2845+CT2845</f>
        <v>0</v>
      </c>
      <c r="CV2845" s="76"/>
      <c r="CW2845" s="76">
        <f>+CV2845*1100</f>
        <v>0</v>
      </c>
      <c r="CX2845" s="76"/>
      <c r="CY2845" s="76">
        <f>+CX2845*106250</f>
        <v>0</v>
      </c>
      <c r="CZ2845" s="76"/>
      <c r="DA2845" s="76">
        <f>+CZ2845*34500</f>
        <v>0</v>
      </c>
      <c r="DB2845" s="76"/>
      <c r="DC2845" s="76">
        <f>+DB2845*25000</f>
        <v>0</v>
      </c>
      <c r="DD2845" s="219"/>
      <c r="DE2845" s="219"/>
      <c r="DF2845" s="166"/>
      <c r="DG2845" s="116"/>
      <c r="DH2845" s="117"/>
      <c r="DI2845" s="24"/>
      <c r="DJ2845" s="24"/>
      <c r="DK2845" s="24"/>
      <c r="DL2845" s="24"/>
      <c r="DM2845" s="24"/>
      <c r="DN2845" s="24"/>
      <c r="DO2845" s="24"/>
      <c r="DP2845" s="24"/>
      <c r="DQ2845" s="24"/>
      <c r="DR2845" s="24"/>
      <c r="DS2845" s="24"/>
      <c r="DT2845" s="24"/>
      <c r="DU2845" s="24"/>
    </row>
    <row r="2846" spans="1:125" s="8" customFormat="1" ht="48" x14ac:dyDescent="0.2">
      <c r="A2846" s="353">
        <v>41514</v>
      </c>
      <c r="B2846" s="352" t="s">
        <v>2848</v>
      </c>
      <c r="C2846" s="354" t="s">
        <v>2211</v>
      </c>
      <c r="D2846" s="354" t="s">
        <v>2846</v>
      </c>
      <c r="E2846" s="75" t="str">
        <f>VLOOKUP(B2846&amp;C2846,Divipola!$C$2:$F$1138,4,FALSE)</f>
        <v>73861</v>
      </c>
      <c r="F2846" s="87"/>
      <c r="G2846" s="87"/>
      <c r="H2846" s="87"/>
      <c r="I2846" s="87"/>
      <c r="J2846" s="87"/>
      <c r="K2846" s="87"/>
      <c r="L2846" s="87"/>
      <c r="M2846" s="87"/>
      <c r="N2846" s="87"/>
      <c r="O2846" s="87"/>
      <c r="P2846" s="87"/>
      <c r="Q2846" s="87"/>
      <c r="R2846" s="87"/>
      <c r="S2846" s="87"/>
      <c r="T2846" s="87"/>
      <c r="U2846" s="88">
        <v>2</v>
      </c>
      <c r="V2846" s="89"/>
      <c r="W2846" s="96">
        <v>0</v>
      </c>
      <c r="X2846" s="71">
        <f>CU2846</f>
        <v>0</v>
      </c>
      <c r="Y2846" s="71">
        <f>CY2846</f>
        <v>0</v>
      </c>
      <c r="Z2846" s="71">
        <f>DA2846+DC2846+DE2846</f>
        <v>0</v>
      </c>
      <c r="AA2846" s="71">
        <f>CW2846</f>
        <v>0</v>
      </c>
      <c r="AB2846" s="71"/>
      <c r="AC2846" s="71">
        <v>0</v>
      </c>
      <c r="AD2846" s="71">
        <f>W2846+X2846+Y2846+Z2846+AA2846+AB2846+AC2846</f>
        <v>0</v>
      </c>
      <c r="AE2846" s="72">
        <v>0</v>
      </c>
      <c r="AF2846" s="5"/>
      <c r="AG2846" s="6"/>
      <c r="AH2846" s="27"/>
      <c r="AI2846" s="44"/>
      <c r="AJ2846" s="26"/>
      <c r="AK2846" s="5"/>
      <c r="AL2846" s="82" t="s">
        <v>5723</v>
      </c>
      <c r="AM2846" s="76"/>
      <c r="AN2846" s="76"/>
      <c r="AO2846" s="76"/>
      <c r="AP2846" s="76"/>
      <c r="AQ2846" s="76"/>
      <c r="AR2846" s="76"/>
      <c r="AS2846" s="76"/>
      <c r="AT2846" s="76"/>
      <c r="AU2846" s="76"/>
      <c r="AV2846" s="76"/>
      <c r="AW2846" s="76"/>
      <c r="AX2846" s="76">
        <f>+AW2846*600000</f>
        <v>0</v>
      </c>
      <c r="AY2846" s="76"/>
      <c r="AZ2846" s="76">
        <f>+AY2846*70000</f>
        <v>0</v>
      </c>
      <c r="BA2846" s="76"/>
      <c r="BB2846" s="76"/>
      <c r="BC2846" s="76"/>
      <c r="BD2846" s="76">
        <f>+BC2846*30000</f>
        <v>0</v>
      </c>
      <c r="BE2846" s="76"/>
      <c r="BF2846" s="76"/>
      <c r="BG2846" s="76"/>
      <c r="BH2846" s="76"/>
      <c r="BI2846" s="76"/>
      <c r="BJ2846" s="76"/>
      <c r="BK2846" s="76"/>
      <c r="BL2846" s="76">
        <f>+BK2846*31500</f>
        <v>0</v>
      </c>
      <c r="BM2846" s="76"/>
      <c r="BN2846" s="76"/>
      <c r="BO2846" s="76"/>
      <c r="BP2846" s="76"/>
      <c r="BQ2846" s="76"/>
      <c r="BR2846" s="76"/>
      <c r="BS2846" s="76"/>
      <c r="BT2846" s="76"/>
      <c r="BU2846" s="76"/>
      <c r="BV2846" s="76"/>
      <c r="BW2846" s="76"/>
      <c r="BX2846" s="76"/>
      <c r="BY2846" s="76"/>
      <c r="BZ2846" s="76"/>
      <c r="CA2846" s="76"/>
      <c r="CB2846" s="76"/>
      <c r="CC2846" s="76"/>
      <c r="CD2846" s="76"/>
      <c r="CE2846" s="76"/>
      <c r="CF2846" s="76">
        <f>+CE2846*28000</f>
        <v>0</v>
      </c>
      <c r="CG2846" s="76"/>
      <c r="CH2846" s="76">
        <f>+CG2846*22500</f>
        <v>0</v>
      </c>
      <c r="CI2846" s="76"/>
      <c r="CJ2846" s="76">
        <f>+CI2846*26000</f>
        <v>0</v>
      </c>
      <c r="CK2846" s="76"/>
      <c r="CL2846" s="76"/>
      <c r="CM2846" s="76"/>
      <c r="CN2846" s="76">
        <f>+CM2846*22000</f>
        <v>0</v>
      </c>
      <c r="CO2846" s="76"/>
      <c r="CP2846" s="76">
        <f>+CO2846*46000</f>
        <v>0</v>
      </c>
      <c r="CQ2846" s="76"/>
      <c r="CR2846" s="76">
        <f>+CQ2846*49000</f>
        <v>0</v>
      </c>
      <c r="CS2846" s="76"/>
      <c r="CT2846" s="76"/>
      <c r="CU2846" s="56">
        <f>AN2846+AP2846+AR2846+AT2846+AV2846+AX2846+AZ2846+BB2846+BD2846+BF2846+BH2846+BJ2846+BL2846+BN2846+BP2846+BR2846+BT2846+BV2846+BX2846+BZ2846+CB2846+CD2846+CF2846+CH2846+CJ2846+CL2846+CN2846+CP2846+CR2846+CT2846</f>
        <v>0</v>
      </c>
      <c r="CV2846" s="76"/>
      <c r="CW2846" s="76">
        <f>+CV2846*1100</f>
        <v>0</v>
      </c>
      <c r="CX2846" s="76"/>
      <c r="CY2846" s="76">
        <f>+CX2846*106250</f>
        <v>0</v>
      </c>
      <c r="CZ2846" s="76"/>
      <c r="DA2846" s="76">
        <f>+CZ2846*34500</f>
        <v>0</v>
      </c>
      <c r="DB2846" s="76"/>
      <c r="DC2846" s="76">
        <f>+DB2846*25000</f>
        <v>0</v>
      </c>
      <c r="DD2846" s="219"/>
      <c r="DE2846" s="219"/>
      <c r="DF2846" s="166"/>
      <c r="DG2846" s="116"/>
      <c r="DH2846" s="117"/>
      <c r="DI2846" s="24"/>
      <c r="DJ2846" s="24"/>
      <c r="DK2846" s="24"/>
      <c r="DL2846" s="24"/>
      <c r="DM2846" s="24"/>
      <c r="DN2846" s="24"/>
      <c r="DO2846" s="24"/>
      <c r="DP2846" s="24"/>
      <c r="DQ2846" s="24"/>
      <c r="DR2846" s="24"/>
      <c r="DS2846" s="24"/>
      <c r="DT2846" s="24"/>
      <c r="DU2846" s="24"/>
    </row>
    <row r="2847" spans="1:125" s="8" customFormat="1" ht="84" x14ac:dyDescent="0.2">
      <c r="A2847" s="77">
        <v>41515</v>
      </c>
      <c r="B2847" s="78" t="s">
        <v>2777</v>
      </c>
      <c r="C2847" s="75" t="s">
        <v>2783</v>
      </c>
      <c r="D2847" s="75" t="s">
        <v>2859</v>
      </c>
      <c r="E2847" s="75" t="str">
        <f>VLOOKUP(B2847&amp;C2847,Divipola!$C$2:$F$1138,4,FALSE)</f>
        <v>13001</v>
      </c>
      <c r="F2847" s="61"/>
      <c r="G2847" s="61">
        <v>4</v>
      </c>
      <c r="H2847" s="61"/>
      <c r="I2847" s="61"/>
      <c r="J2847" s="61"/>
      <c r="K2847" s="61"/>
      <c r="L2847" s="61"/>
      <c r="M2847" s="61"/>
      <c r="N2847" s="61"/>
      <c r="O2847" s="61"/>
      <c r="P2847" s="61"/>
      <c r="Q2847" s="61"/>
      <c r="R2847" s="61"/>
      <c r="S2847" s="61"/>
      <c r="T2847" s="61"/>
      <c r="U2847" s="61"/>
      <c r="V2847" s="7"/>
      <c r="W2847" s="96">
        <v>0</v>
      </c>
      <c r="X2847" s="71">
        <f>CU2847</f>
        <v>0</v>
      </c>
      <c r="Y2847" s="71">
        <f>CY2847</f>
        <v>0</v>
      </c>
      <c r="Z2847" s="71">
        <f>DA2847+DC2847+DE2847</f>
        <v>0</v>
      </c>
      <c r="AA2847" s="71">
        <f>CW2847</f>
        <v>0</v>
      </c>
      <c r="AB2847" s="71"/>
      <c r="AC2847" s="71">
        <v>0</v>
      </c>
      <c r="AD2847" s="71">
        <f>W2847+X2847+Y2847+Z2847+AA2847+AB2847+AC2847</f>
        <v>0</v>
      </c>
      <c r="AE2847" s="72">
        <v>0</v>
      </c>
      <c r="AF2847" s="5"/>
      <c r="AG2847" s="6"/>
      <c r="AH2847" s="27"/>
      <c r="AI2847" s="44"/>
      <c r="AJ2847" s="26"/>
      <c r="AK2847" s="5"/>
      <c r="AL2847" s="268" t="s">
        <v>5734</v>
      </c>
      <c r="AM2847" s="76"/>
      <c r="AN2847" s="76"/>
      <c r="AO2847" s="76"/>
      <c r="AP2847" s="76"/>
      <c r="AQ2847" s="76"/>
      <c r="AR2847" s="76"/>
      <c r="AS2847" s="76"/>
      <c r="AT2847" s="76"/>
      <c r="AU2847" s="76"/>
      <c r="AV2847" s="76"/>
      <c r="AW2847" s="76"/>
      <c r="AX2847" s="76">
        <f>+AW2847*600000</f>
        <v>0</v>
      </c>
      <c r="AY2847" s="76"/>
      <c r="AZ2847" s="76">
        <f>+AY2847*70000</f>
        <v>0</v>
      </c>
      <c r="BA2847" s="76"/>
      <c r="BB2847" s="76"/>
      <c r="BC2847" s="76"/>
      <c r="BD2847" s="76">
        <f>+BC2847*30000</f>
        <v>0</v>
      </c>
      <c r="BE2847" s="76"/>
      <c r="BF2847" s="76"/>
      <c r="BG2847" s="76"/>
      <c r="BH2847" s="76"/>
      <c r="BI2847" s="76"/>
      <c r="BJ2847" s="76"/>
      <c r="BK2847" s="76"/>
      <c r="BL2847" s="76">
        <f>+BK2847*31500</f>
        <v>0</v>
      </c>
      <c r="BM2847" s="76"/>
      <c r="BN2847" s="76"/>
      <c r="BO2847" s="76"/>
      <c r="BP2847" s="76"/>
      <c r="BQ2847" s="76"/>
      <c r="BR2847" s="76"/>
      <c r="BS2847" s="76"/>
      <c r="BT2847" s="76"/>
      <c r="BU2847" s="76"/>
      <c r="BV2847" s="76"/>
      <c r="BW2847" s="76"/>
      <c r="BX2847" s="76"/>
      <c r="BY2847" s="76"/>
      <c r="BZ2847" s="76"/>
      <c r="CA2847" s="76"/>
      <c r="CB2847" s="76"/>
      <c r="CC2847" s="76"/>
      <c r="CD2847" s="76"/>
      <c r="CE2847" s="76"/>
      <c r="CF2847" s="76">
        <f>+CE2847*28000</f>
        <v>0</v>
      </c>
      <c r="CG2847" s="76"/>
      <c r="CH2847" s="76">
        <f>+CG2847*22500</f>
        <v>0</v>
      </c>
      <c r="CI2847" s="76"/>
      <c r="CJ2847" s="76">
        <f>+CI2847*26000</f>
        <v>0</v>
      </c>
      <c r="CK2847" s="76"/>
      <c r="CL2847" s="76"/>
      <c r="CM2847" s="76"/>
      <c r="CN2847" s="76">
        <f>+CM2847*22000</f>
        <v>0</v>
      </c>
      <c r="CO2847" s="76"/>
      <c r="CP2847" s="76">
        <f>+CO2847*46000</f>
        <v>0</v>
      </c>
      <c r="CQ2847" s="76"/>
      <c r="CR2847" s="76">
        <f>+CQ2847*49000</f>
        <v>0</v>
      </c>
      <c r="CS2847" s="76"/>
      <c r="CT2847" s="76"/>
      <c r="CU2847" s="56">
        <f>AN2847+AP2847+AR2847+AT2847+AV2847+AX2847+AZ2847+BB2847+BD2847+BF2847+BH2847+BJ2847+BL2847+BN2847+BP2847+BR2847+BT2847+BV2847+BX2847+BZ2847+CB2847+CD2847+CF2847+CH2847+CJ2847+CL2847+CN2847+CP2847+CR2847+CT2847</f>
        <v>0</v>
      </c>
      <c r="CV2847" s="76"/>
      <c r="CW2847" s="76">
        <f>+CV2847*1100</f>
        <v>0</v>
      </c>
      <c r="CX2847" s="76"/>
      <c r="CY2847" s="76">
        <f>+CX2847*106250</f>
        <v>0</v>
      </c>
      <c r="CZ2847" s="76"/>
      <c r="DA2847" s="76">
        <f>+CZ2847*34500</f>
        <v>0</v>
      </c>
      <c r="DB2847" s="76"/>
      <c r="DC2847" s="76">
        <f>+DB2847*25000</f>
        <v>0</v>
      </c>
      <c r="DD2847" s="219"/>
      <c r="DE2847" s="219"/>
      <c r="DF2847" s="166"/>
      <c r="DG2847" s="116"/>
      <c r="DH2847" s="117"/>
      <c r="DI2847" s="24"/>
      <c r="DJ2847" s="24"/>
      <c r="DK2847" s="24"/>
      <c r="DL2847" s="24"/>
      <c r="DM2847" s="24"/>
      <c r="DN2847" s="24"/>
      <c r="DO2847" s="24"/>
      <c r="DP2847" s="24"/>
      <c r="DQ2847" s="24"/>
      <c r="DR2847" s="24"/>
      <c r="DS2847" s="24"/>
      <c r="DT2847" s="24"/>
      <c r="DU2847" s="24"/>
    </row>
    <row r="2848" spans="1:125" s="8" customFormat="1" ht="36" x14ac:dyDescent="0.2">
      <c r="A2848" s="77">
        <v>41515</v>
      </c>
      <c r="B2848" s="78" t="s">
        <v>2854</v>
      </c>
      <c r="C2848" s="75" t="s">
        <v>1346</v>
      </c>
      <c r="D2848" s="75" t="s">
        <v>2882</v>
      </c>
      <c r="E2848" s="75" t="str">
        <f>VLOOKUP(B2848&amp;C2848,Divipola!$C$2:$F$1138,4,FALSE)</f>
        <v>19050</v>
      </c>
      <c r="F2848" s="61"/>
      <c r="G2848" s="61"/>
      <c r="H2848" s="61"/>
      <c r="I2848" s="61">
        <v>225</v>
      </c>
      <c r="J2848" s="61">
        <v>99</v>
      </c>
      <c r="K2848" s="61"/>
      <c r="L2848" s="61">
        <v>99</v>
      </c>
      <c r="M2848" s="61"/>
      <c r="N2848" s="61"/>
      <c r="O2848" s="61"/>
      <c r="P2848" s="61"/>
      <c r="Q2848" s="61"/>
      <c r="R2848" s="61"/>
      <c r="S2848" s="61">
        <v>2</v>
      </c>
      <c r="T2848" s="61"/>
      <c r="U2848" s="61"/>
      <c r="V2848" s="7"/>
      <c r="W2848" s="96">
        <v>0</v>
      </c>
      <c r="X2848" s="71">
        <f>CU2848</f>
        <v>0</v>
      </c>
      <c r="Y2848" s="71">
        <f>CY2848</f>
        <v>0</v>
      </c>
      <c r="Z2848" s="71">
        <f>DA2848+DC2848+DE2848</f>
        <v>0</v>
      </c>
      <c r="AA2848" s="71">
        <f>CW2848</f>
        <v>0</v>
      </c>
      <c r="AB2848" s="71"/>
      <c r="AC2848" s="71">
        <v>0</v>
      </c>
      <c r="AD2848" s="71">
        <f>W2848+X2848+Y2848+Z2848+AA2848+AB2848+AC2848</f>
        <v>0</v>
      </c>
      <c r="AE2848" s="72">
        <v>0</v>
      </c>
      <c r="AF2848" s="5"/>
      <c r="AG2848" s="6"/>
      <c r="AH2848" s="27"/>
      <c r="AI2848" s="44"/>
      <c r="AJ2848" s="26"/>
      <c r="AK2848" s="5"/>
      <c r="AL2848" s="9" t="s">
        <v>6245</v>
      </c>
      <c r="AM2848" s="76"/>
      <c r="AN2848" s="76"/>
      <c r="AO2848" s="76"/>
      <c r="AP2848" s="76"/>
      <c r="AQ2848" s="76"/>
      <c r="AR2848" s="76"/>
      <c r="AS2848" s="76"/>
      <c r="AT2848" s="76"/>
      <c r="AU2848" s="76"/>
      <c r="AV2848" s="76"/>
      <c r="AW2848" s="76"/>
      <c r="AX2848" s="76">
        <f>+AW2848*600000</f>
        <v>0</v>
      </c>
      <c r="AY2848" s="76"/>
      <c r="AZ2848" s="76">
        <f>+AY2848*70000</f>
        <v>0</v>
      </c>
      <c r="BA2848" s="76"/>
      <c r="BB2848" s="76"/>
      <c r="BC2848" s="76"/>
      <c r="BD2848" s="76">
        <f>+BC2848*30000</f>
        <v>0</v>
      </c>
      <c r="BE2848" s="76"/>
      <c r="BF2848" s="76"/>
      <c r="BG2848" s="76"/>
      <c r="BH2848" s="76"/>
      <c r="BI2848" s="76"/>
      <c r="BJ2848" s="76"/>
      <c r="BK2848" s="76"/>
      <c r="BL2848" s="76">
        <f>+BK2848*31500</f>
        <v>0</v>
      </c>
      <c r="BM2848" s="76"/>
      <c r="BN2848" s="76"/>
      <c r="BO2848" s="76"/>
      <c r="BP2848" s="76"/>
      <c r="BQ2848" s="76"/>
      <c r="BR2848" s="76"/>
      <c r="BS2848" s="76"/>
      <c r="BT2848" s="76"/>
      <c r="BU2848" s="76"/>
      <c r="BV2848" s="76"/>
      <c r="BW2848" s="76"/>
      <c r="BX2848" s="76"/>
      <c r="BY2848" s="76"/>
      <c r="BZ2848" s="76"/>
      <c r="CA2848" s="76"/>
      <c r="CB2848" s="76"/>
      <c r="CC2848" s="76"/>
      <c r="CD2848" s="76"/>
      <c r="CE2848" s="76"/>
      <c r="CF2848" s="76">
        <f>+CE2848*28000</f>
        <v>0</v>
      </c>
      <c r="CG2848" s="76"/>
      <c r="CH2848" s="76">
        <f>+CG2848*22500</f>
        <v>0</v>
      </c>
      <c r="CI2848" s="76"/>
      <c r="CJ2848" s="76">
        <f>+CI2848*26000</f>
        <v>0</v>
      </c>
      <c r="CK2848" s="76"/>
      <c r="CL2848" s="76"/>
      <c r="CM2848" s="76"/>
      <c r="CN2848" s="76">
        <f>+CM2848*22000</f>
        <v>0</v>
      </c>
      <c r="CO2848" s="76"/>
      <c r="CP2848" s="76">
        <f>+CO2848*46000</f>
        <v>0</v>
      </c>
      <c r="CQ2848" s="76"/>
      <c r="CR2848" s="76">
        <f>+CQ2848*49000</f>
        <v>0</v>
      </c>
      <c r="CS2848" s="76"/>
      <c r="CT2848" s="76"/>
      <c r="CU2848" s="56">
        <f>AN2848+AP2848+AR2848+AT2848+AV2848+AX2848+AZ2848+BB2848+BD2848+BF2848+BH2848+BJ2848+BL2848+BN2848+BP2848+BR2848+BT2848+BV2848+BX2848+BZ2848+CB2848+CD2848+CF2848+CH2848+CJ2848+CL2848+CN2848+CP2848+CR2848+CT2848</f>
        <v>0</v>
      </c>
      <c r="CV2848" s="76"/>
      <c r="CW2848" s="76">
        <f>+CV2848*1100</f>
        <v>0</v>
      </c>
      <c r="CX2848" s="76"/>
      <c r="CY2848" s="76">
        <f>+CX2848*106250</f>
        <v>0</v>
      </c>
      <c r="CZ2848" s="76"/>
      <c r="DA2848" s="76">
        <f>+CZ2848*34500</f>
        <v>0</v>
      </c>
      <c r="DB2848" s="76"/>
      <c r="DC2848" s="76">
        <f>+DB2848*25000</f>
        <v>0</v>
      </c>
      <c r="DD2848" s="219"/>
      <c r="DE2848" s="219"/>
      <c r="DF2848" s="166"/>
      <c r="DG2848" s="116"/>
      <c r="DH2848" s="117"/>
      <c r="DI2848" s="24"/>
      <c r="DJ2848" s="24"/>
      <c r="DK2848" s="24"/>
      <c r="DL2848" s="24"/>
      <c r="DM2848" s="24"/>
      <c r="DN2848" s="24"/>
      <c r="DO2848" s="24"/>
      <c r="DP2848" s="24"/>
      <c r="DQ2848" s="24"/>
      <c r="DR2848" s="24"/>
      <c r="DS2848" s="24"/>
      <c r="DT2848" s="24"/>
      <c r="DU2848" s="24"/>
    </row>
    <row r="2849" spans="1:125" s="8" customFormat="1" ht="60" x14ac:dyDescent="0.2">
      <c r="A2849" s="353">
        <v>41515</v>
      </c>
      <c r="B2849" s="352" t="s">
        <v>2852</v>
      </c>
      <c r="C2849" s="227" t="s">
        <v>2050</v>
      </c>
      <c r="D2849" s="354" t="s">
        <v>2882</v>
      </c>
      <c r="E2849" s="75" t="str">
        <f>VLOOKUP(B2849&amp;C2849,Divipola!$C$2:$F$1138,4,FALSE)</f>
        <v>27073</v>
      </c>
      <c r="F2849" s="87"/>
      <c r="G2849" s="87"/>
      <c r="H2849" s="87"/>
      <c r="I2849" s="87">
        <v>1817</v>
      </c>
      <c r="J2849" s="87">
        <v>586</v>
      </c>
      <c r="K2849" s="87"/>
      <c r="L2849" s="87">
        <v>536</v>
      </c>
      <c r="M2849" s="87"/>
      <c r="N2849" s="87"/>
      <c r="O2849" s="87"/>
      <c r="P2849" s="87"/>
      <c r="Q2849" s="87"/>
      <c r="R2849" s="87"/>
      <c r="S2849" s="87"/>
      <c r="T2849" s="87"/>
      <c r="U2849" s="88"/>
      <c r="V2849" s="89"/>
      <c r="W2849" s="96">
        <v>0</v>
      </c>
      <c r="X2849" s="71">
        <f>CU2849</f>
        <v>0</v>
      </c>
      <c r="Y2849" s="71">
        <f>CY2849</f>
        <v>0</v>
      </c>
      <c r="Z2849" s="71">
        <f>DA2849+DC2849+DE2849</f>
        <v>0</v>
      </c>
      <c r="AA2849" s="71">
        <f>CW2849</f>
        <v>0</v>
      </c>
      <c r="AB2849" s="71"/>
      <c r="AC2849" s="71">
        <v>0</v>
      </c>
      <c r="AD2849" s="71">
        <f>W2849+X2849+Y2849+Z2849+AA2849+AB2849+AC2849</f>
        <v>0</v>
      </c>
      <c r="AE2849" s="72">
        <v>0</v>
      </c>
      <c r="AF2849" s="5"/>
      <c r="AG2849" s="6"/>
      <c r="AH2849" s="27"/>
      <c r="AI2849" s="44"/>
      <c r="AJ2849" s="26"/>
      <c r="AK2849" s="5"/>
      <c r="AL2849" s="82" t="s">
        <v>5729</v>
      </c>
      <c r="AM2849" s="76"/>
      <c r="AN2849" s="76"/>
      <c r="AO2849" s="76"/>
      <c r="AP2849" s="76"/>
      <c r="AQ2849" s="76"/>
      <c r="AR2849" s="76"/>
      <c r="AS2849" s="76"/>
      <c r="AT2849" s="76"/>
      <c r="AU2849" s="76"/>
      <c r="AV2849" s="76"/>
      <c r="AW2849" s="76"/>
      <c r="AX2849" s="76">
        <f>+AW2849*600000</f>
        <v>0</v>
      </c>
      <c r="AY2849" s="76"/>
      <c r="AZ2849" s="76">
        <f>+AY2849*70000</f>
        <v>0</v>
      </c>
      <c r="BA2849" s="76"/>
      <c r="BB2849" s="76"/>
      <c r="BC2849" s="76"/>
      <c r="BD2849" s="76">
        <f>+BC2849*30000</f>
        <v>0</v>
      </c>
      <c r="BE2849" s="76"/>
      <c r="BF2849" s="76"/>
      <c r="BG2849" s="76"/>
      <c r="BH2849" s="76"/>
      <c r="BI2849" s="76"/>
      <c r="BJ2849" s="76"/>
      <c r="BK2849" s="76"/>
      <c r="BL2849" s="76">
        <f>+BK2849*31500</f>
        <v>0</v>
      </c>
      <c r="BM2849" s="76"/>
      <c r="BN2849" s="76"/>
      <c r="BO2849" s="76"/>
      <c r="BP2849" s="76"/>
      <c r="BQ2849" s="76"/>
      <c r="BR2849" s="76"/>
      <c r="BS2849" s="76"/>
      <c r="BT2849" s="76"/>
      <c r="BU2849" s="76"/>
      <c r="BV2849" s="76"/>
      <c r="BW2849" s="76"/>
      <c r="BX2849" s="76"/>
      <c r="BY2849" s="76"/>
      <c r="BZ2849" s="76"/>
      <c r="CA2849" s="76"/>
      <c r="CB2849" s="76"/>
      <c r="CC2849" s="76"/>
      <c r="CD2849" s="76"/>
      <c r="CE2849" s="76"/>
      <c r="CF2849" s="76">
        <f>+CE2849*28000</f>
        <v>0</v>
      </c>
      <c r="CG2849" s="76"/>
      <c r="CH2849" s="76">
        <f>+CG2849*22500</f>
        <v>0</v>
      </c>
      <c r="CI2849" s="76"/>
      <c r="CJ2849" s="76">
        <f>+CI2849*26000</f>
        <v>0</v>
      </c>
      <c r="CK2849" s="76"/>
      <c r="CL2849" s="76"/>
      <c r="CM2849" s="76"/>
      <c r="CN2849" s="76">
        <f>+CM2849*22000</f>
        <v>0</v>
      </c>
      <c r="CO2849" s="76"/>
      <c r="CP2849" s="76">
        <f>+CO2849*46000</f>
        <v>0</v>
      </c>
      <c r="CQ2849" s="76"/>
      <c r="CR2849" s="76">
        <f>+CQ2849*49000</f>
        <v>0</v>
      </c>
      <c r="CS2849" s="76"/>
      <c r="CT2849" s="76"/>
      <c r="CU2849" s="56">
        <f>AN2849+AP2849+AR2849+AT2849+AV2849+AX2849+AZ2849+BB2849+BD2849+BF2849+BH2849+BJ2849+BL2849+BN2849+BP2849+BR2849+BT2849+BV2849+BX2849+BZ2849+CB2849+CD2849+CF2849+CH2849+CJ2849+CL2849+CN2849+CP2849+CR2849+CT2849</f>
        <v>0</v>
      </c>
      <c r="CV2849" s="76"/>
      <c r="CW2849" s="76">
        <f>+CV2849*1100</f>
        <v>0</v>
      </c>
      <c r="CX2849" s="76"/>
      <c r="CY2849" s="76">
        <f>+CX2849*106250</f>
        <v>0</v>
      </c>
      <c r="CZ2849" s="76"/>
      <c r="DA2849" s="76">
        <f>+CZ2849*34500</f>
        <v>0</v>
      </c>
      <c r="DB2849" s="76"/>
      <c r="DC2849" s="76">
        <f>+DB2849*25000</f>
        <v>0</v>
      </c>
      <c r="DD2849" s="219"/>
      <c r="DE2849" s="219"/>
      <c r="DF2849" s="166"/>
      <c r="DG2849" s="116"/>
      <c r="DH2849" s="117"/>
      <c r="DI2849" s="24"/>
      <c r="DJ2849" s="24"/>
      <c r="DK2849" s="24"/>
      <c r="DL2849" s="24"/>
      <c r="DM2849" s="24"/>
      <c r="DN2849" s="24"/>
      <c r="DO2849" s="24"/>
      <c r="DP2849" s="24"/>
      <c r="DQ2849" s="24"/>
      <c r="DR2849" s="24"/>
      <c r="DS2849" s="24"/>
      <c r="DT2849" s="24"/>
      <c r="DU2849" s="24"/>
    </row>
    <row r="2850" spans="1:125" s="8" customFormat="1" ht="84" x14ac:dyDescent="0.2">
      <c r="A2850" s="353">
        <v>41515</v>
      </c>
      <c r="B2850" s="352" t="s">
        <v>2718</v>
      </c>
      <c r="C2850" s="354" t="s">
        <v>2793</v>
      </c>
      <c r="D2850" s="354" t="s">
        <v>3051</v>
      </c>
      <c r="E2850" s="75" t="str">
        <f>VLOOKUP(B2850&amp;C2850,Divipola!$C$2:$F$1138,4,FALSE)</f>
        <v>23001</v>
      </c>
      <c r="F2850" s="87"/>
      <c r="G2850" s="87"/>
      <c r="H2850" s="87"/>
      <c r="I2850" s="87">
        <v>160</v>
      </c>
      <c r="J2850" s="87">
        <v>32</v>
      </c>
      <c r="K2850" s="87">
        <v>2</v>
      </c>
      <c r="L2850" s="87">
        <v>30</v>
      </c>
      <c r="M2850" s="87"/>
      <c r="N2850" s="87"/>
      <c r="O2850" s="87"/>
      <c r="P2850" s="87"/>
      <c r="Q2850" s="87"/>
      <c r="R2850" s="87"/>
      <c r="S2850" s="87"/>
      <c r="T2850" s="87"/>
      <c r="U2850" s="88"/>
      <c r="V2850" s="89"/>
      <c r="W2850" s="96">
        <v>0</v>
      </c>
      <c r="X2850" s="71">
        <f>CU2850</f>
        <v>0</v>
      </c>
      <c r="Y2850" s="71">
        <f>CY2850</f>
        <v>0</v>
      </c>
      <c r="Z2850" s="71">
        <f>DA2850+DC2850+DE2850</f>
        <v>0</v>
      </c>
      <c r="AA2850" s="71">
        <f>CW2850</f>
        <v>0</v>
      </c>
      <c r="AB2850" s="71"/>
      <c r="AC2850" s="71">
        <v>0</v>
      </c>
      <c r="AD2850" s="71">
        <f>W2850+X2850+Y2850+Z2850+AA2850+AB2850+AC2850</f>
        <v>0</v>
      </c>
      <c r="AE2850" s="72">
        <v>0</v>
      </c>
      <c r="AF2850" s="5"/>
      <c r="AG2850" s="6"/>
      <c r="AH2850" s="27"/>
      <c r="AI2850" s="44"/>
      <c r="AJ2850" s="26"/>
      <c r="AK2850" s="5"/>
      <c r="AL2850" s="82" t="s">
        <v>5755</v>
      </c>
      <c r="AM2850" s="76"/>
      <c r="AN2850" s="76"/>
      <c r="AO2850" s="76"/>
      <c r="AP2850" s="76"/>
      <c r="AQ2850" s="76"/>
      <c r="AR2850" s="76"/>
      <c r="AS2850" s="76"/>
      <c r="AT2850" s="76"/>
      <c r="AU2850" s="76"/>
      <c r="AV2850" s="76"/>
      <c r="AW2850" s="76"/>
      <c r="AX2850" s="76">
        <f>+AW2850*600000</f>
        <v>0</v>
      </c>
      <c r="AY2850" s="76"/>
      <c r="AZ2850" s="76">
        <f>+AY2850*70000</f>
        <v>0</v>
      </c>
      <c r="BA2850" s="76"/>
      <c r="BB2850" s="76"/>
      <c r="BC2850" s="76"/>
      <c r="BD2850" s="76">
        <f>+BC2850*30000</f>
        <v>0</v>
      </c>
      <c r="BE2850" s="76"/>
      <c r="BF2850" s="76"/>
      <c r="BG2850" s="76"/>
      <c r="BH2850" s="76"/>
      <c r="BI2850" s="76"/>
      <c r="BJ2850" s="76"/>
      <c r="BK2850" s="76"/>
      <c r="BL2850" s="76">
        <f>+BK2850*31500</f>
        <v>0</v>
      </c>
      <c r="BM2850" s="76"/>
      <c r="BN2850" s="76"/>
      <c r="BO2850" s="76"/>
      <c r="BP2850" s="76"/>
      <c r="BQ2850" s="76"/>
      <c r="BR2850" s="76"/>
      <c r="BS2850" s="76"/>
      <c r="BT2850" s="76"/>
      <c r="BU2850" s="76"/>
      <c r="BV2850" s="76"/>
      <c r="BW2850" s="76"/>
      <c r="BX2850" s="76"/>
      <c r="BY2850" s="76"/>
      <c r="BZ2850" s="76"/>
      <c r="CA2850" s="76"/>
      <c r="CB2850" s="76"/>
      <c r="CC2850" s="76"/>
      <c r="CD2850" s="76"/>
      <c r="CE2850" s="76"/>
      <c r="CF2850" s="76">
        <f>+CE2850*28000</f>
        <v>0</v>
      </c>
      <c r="CG2850" s="76"/>
      <c r="CH2850" s="76">
        <f>+CG2850*22500</f>
        <v>0</v>
      </c>
      <c r="CI2850" s="76"/>
      <c r="CJ2850" s="76">
        <f>+CI2850*26000</f>
        <v>0</v>
      </c>
      <c r="CK2850" s="76"/>
      <c r="CL2850" s="76"/>
      <c r="CM2850" s="76"/>
      <c r="CN2850" s="76">
        <f>+CM2850*22000</f>
        <v>0</v>
      </c>
      <c r="CO2850" s="76"/>
      <c r="CP2850" s="76">
        <f>+CO2850*46000</f>
        <v>0</v>
      </c>
      <c r="CQ2850" s="76"/>
      <c r="CR2850" s="76">
        <f>+CQ2850*49000</f>
        <v>0</v>
      </c>
      <c r="CS2850" s="76"/>
      <c r="CT2850" s="76"/>
      <c r="CU2850" s="56">
        <f>AN2850+AP2850+AR2850+AT2850+AV2850+AX2850+AZ2850+BB2850+BD2850+BF2850+BH2850+BJ2850+BL2850+BN2850+BP2850+BR2850+BT2850+BV2850+BX2850+BZ2850+CB2850+CD2850+CF2850+CH2850+CJ2850+CL2850+CN2850+CP2850+CR2850+CT2850</f>
        <v>0</v>
      </c>
      <c r="CV2850" s="76"/>
      <c r="CW2850" s="76">
        <f>+CV2850*1100</f>
        <v>0</v>
      </c>
      <c r="CX2850" s="76"/>
      <c r="CY2850" s="76">
        <f>+CX2850*106250</f>
        <v>0</v>
      </c>
      <c r="CZ2850" s="76"/>
      <c r="DA2850" s="76">
        <f>+CZ2850*34500</f>
        <v>0</v>
      </c>
      <c r="DB2850" s="76"/>
      <c r="DC2850" s="76">
        <f>+DB2850*25000</f>
        <v>0</v>
      </c>
      <c r="DD2850" s="219"/>
      <c r="DE2850" s="219"/>
      <c r="DF2850" s="166"/>
      <c r="DG2850" s="116"/>
      <c r="DH2850" s="117"/>
      <c r="DI2850" s="24"/>
      <c r="DJ2850" s="24"/>
      <c r="DK2850" s="24"/>
      <c r="DL2850" s="24"/>
      <c r="DM2850" s="24"/>
      <c r="DN2850" s="24"/>
      <c r="DO2850" s="24"/>
      <c r="DP2850" s="24"/>
      <c r="DQ2850" s="24"/>
      <c r="DR2850" s="24"/>
      <c r="DS2850" s="24"/>
      <c r="DT2850" s="24"/>
      <c r="DU2850" s="24"/>
    </row>
    <row r="2851" spans="1:125" s="8" customFormat="1" ht="48" x14ac:dyDescent="0.2">
      <c r="A2851" s="353">
        <v>41515</v>
      </c>
      <c r="B2851" s="225" t="s">
        <v>3136</v>
      </c>
      <c r="C2851" s="227" t="s">
        <v>787</v>
      </c>
      <c r="D2851" s="354" t="s">
        <v>3088</v>
      </c>
      <c r="E2851" s="75" t="str">
        <f>VLOOKUP(B2851&amp;C2851,Divipola!$C$2:$F$1138,4,FALSE)</f>
        <v>44035</v>
      </c>
      <c r="F2851" s="87"/>
      <c r="G2851" s="87"/>
      <c r="H2851" s="87"/>
      <c r="I2851" s="87"/>
      <c r="J2851" s="87"/>
      <c r="K2851" s="87"/>
      <c r="L2851" s="87"/>
      <c r="M2851" s="87"/>
      <c r="N2851" s="87"/>
      <c r="O2851" s="87"/>
      <c r="P2851" s="87">
        <v>1</v>
      </c>
      <c r="Q2851" s="87"/>
      <c r="R2851" s="87"/>
      <c r="S2851" s="87"/>
      <c r="T2851" s="87"/>
      <c r="U2851" s="88"/>
      <c r="V2851" s="89"/>
      <c r="W2851" s="96">
        <v>0</v>
      </c>
      <c r="X2851" s="71">
        <f>CU2851</f>
        <v>0</v>
      </c>
      <c r="Y2851" s="71">
        <f>CY2851</f>
        <v>0</v>
      </c>
      <c r="Z2851" s="71">
        <f>DA2851+DC2851+DE2851</f>
        <v>0</v>
      </c>
      <c r="AA2851" s="71">
        <f>CW2851</f>
        <v>0</v>
      </c>
      <c r="AB2851" s="71"/>
      <c r="AC2851" s="71">
        <v>0</v>
      </c>
      <c r="AD2851" s="71">
        <f>W2851+X2851+Y2851+Z2851+AA2851+AB2851+AC2851</f>
        <v>0</v>
      </c>
      <c r="AE2851" s="72">
        <v>0</v>
      </c>
      <c r="AF2851" s="5"/>
      <c r="AG2851" s="6"/>
      <c r="AH2851" s="27"/>
      <c r="AI2851" s="44"/>
      <c r="AJ2851" s="26"/>
      <c r="AK2851" s="5"/>
      <c r="AL2851" s="82" t="s">
        <v>5760</v>
      </c>
      <c r="AM2851" s="76"/>
      <c r="AN2851" s="76"/>
      <c r="AO2851" s="76"/>
      <c r="AP2851" s="76"/>
      <c r="AQ2851" s="76"/>
      <c r="AR2851" s="76"/>
      <c r="AS2851" s="76"/>
      <c r="AT2851" s="76"/>
      <c r="AU2851" s="76"/>
      <c r="AV2851" s="76"/>
      <c r="AW2851" s="76"/>
      <c r="AX2851" s="76">
        <f>+AW2851*600000</f>
        <v>0</v>
      </c>
      <c r="AY2851" s="76"/>
      <c r="AZ2851" s="76">
        <f>+AY2851*70000</f>
        <v>0</v>
      </c>
      <c r="BA2851" s="76"/>
      <c r="BB2851" s="76"/>
      <c r="BC2851" s="76"/>
      <c r="BD2851" s="76">
        <f>+BC2851*30000</f>
        <v>0</v>
      </c>
      <c r="BE2851" s="76"/>
      <c r="BF2851" s="76"/>
      <c r="BG2851" s="76"/>
      <c r="BH2851" s="76"/>
      <c r="BI2851" s="76"/>
      <c r="BJ2851" s="76"/>
      <c r="BK2851" s="76"/>
      <c r="BL2851" s="76">
        <f>+BK2851*31500</f>
        <v>0</v>
      </c>
      <c r="BM2851" s="76"/>
      <c r="BN2851" s="76"/>
      <c r="BO2851" s="76"/>
      <c r="BP2851" s="76"/>
      <c r="BQ2851" s="76"/>
      <c r="BR2851" s="76"/>
      <c r="BS2851" s="76"/>
      <c r="BT2851" s="76"/>
      <c r="BU2851" s="76"/>
      <c r="BV2851" s="76"/>
      <c r="BW2851" s="76"/>
      <c r="BX2851" s="76"/>
      <c r="BY2851" s="76"/>
      <c r="BZ2851" s="76"/>
      <c r="CA2851" s="76"/>
      <c r="CB2851" s="76"/>
      <c r="CC2851" s="76"/>
      <c r="CD2851" s="76"/>
      <c r="CE2851" s="76"/>
      <c r="CF2851" s="76">
        <f>+CE2851*28000</f>
        <v>0</v>
      </c>
      <c r="CG2851" s="76"/>
      <c r="CH2851" s="76">
        <f>+CG2851*22500</f>
        <v>0</v>
      </c>
      <c r="CI2851" s="76"/>
      <c r="CJ2851" s="76">
        <f>+CI2851*26000</f>
        <v>0</v>
      </c>
      <c r="CK2851" s="76"/>
      <c r="CL2851" s="76"/>
      <c r="CM2851" s="76"/>
      <c r="CN2851" s="76">
        <f>+CM2851*22000</f>
        <v>0</v>
      </c>
      <c r="CO2851" s="76"/>
      <c r="CP2851" s="76">
        <f>+CO2851*46000</f>
        <v>0</v>
      </c>
      <c r="CQ2851" s="76"/>
      <c r="CR2851" s="76">
        <f>+CQ2851*49000</f>
        <v>0</v>
      </c>
      <c r="CS2851" s="76"/>
      <c r="CT2851" s="76"/>
      <c r="CU2851" s="56">
        <f>AN2851+AP2851+AR2851+AT2851+AV2851+AX2851+AZ2851+BB2851+BD2851+BF2851+BH2851+BJ2851+BL2851+BN2851+BP2851+BR2851+BT2851+BV2851+BX2851+BZ2851+CB2851+CD2851+CF2851+CH2851+CJ2851+CL2851+CN2851+CP2851+CR2851+CT2851</f>
        <v>0</v>
      </c>
      <c r="CV2851" s="76"/>
      <c r="CW2851" s="76">
        <f>+CV2851*1100</f>
        <v>0</v>
      </c>
      <c r="CX2851" s="76"/>
      <c r="CY2851" s="76">
        <f>+CX2851*106250</f>
        <v>0</v>
      </c>
      <c r="CZ2851" s="76"/>
      <c r="DA2851" s="76">
        <f>+CZ2851*34500</f>
        <v>0</v>
      </c>
      <c r="DB2851" s="76"/>
      <c r="DC2851" s="76">
        <f>+DB2851*25000</f>
        <v>0</v>
      </c>
      <c r="DD2851" s="219"/>
      <c r="DE2851" s="219"/>
      <c r="DF2851" s="166"/>
      <c r="DG2851" s="116"/>
      <c r="DH2851" s="117"/>
      <c r="DI2851" s="24"/>
      <c r="DJ2851" s="24"/>
      <c r="DK2851" s="24"/>
      <c r="DL2851" s="24"/>
      <c r="DM2851" s="24"/>
      <c r="DN2851" s="24"/>
      <c r="DO2851" s="24"/>
      <c r="DP2851" s="24"/>
      <c r="DQ2851" s="24"/>
      <c r="DR2851" s="24"/>
      <c r="DS2851" s="24"/>
      <c r="DT2851" s="24"/>
      <c r="DU2851" s="24"/>
    </row>
    <row r="2852" spans="1:125" s="8" customFormat="1" ht="72" x14ac:dyDescent="0.2">
      <c r="A2852" s="353">
        <v>41515</v>
      </c>
      <c r="B2852" s="352" t="s">
        <v>3136</v>
      </c>
      <c r="C2852" s="354" t="s">
        <v>389</v>
      </c>
      <c r="D2852" s="354" t="s">
        <v>3051</v>
      </c>
      <c r="E2852" s="75" t="str">
        <f>VLOOKUP(B2852&amp;C2852,Divipola!$C$2:$F$1138,4,FALSE)</f>
        <v>44090</v>
      </c>
      <c r="F2852" s="87"/>
      <c r="G2852" s="87"/>
      <c r="H2852" s="87"/>
      <c r="I2852" s="87">
        <v>15</v>
      </c>
      <c r="J2852" s="87">
        <v>3</v>
      </c>
      <c r="K2852" s="87"/>
      <c r="L2852" s="87">
        <v>3</v>
      </c>
      <c r="M2852" s="87"/>
      <c r="N2852" s="87"/>
      <c r="O2852" s="87"/>
      <c r="P2852" s="87"/>
      <c r="Q2852" s="87"/>
      <c r="R2852" s="87"/>
      <c r="S2852" s="87"/>
      <c r="T2852" s="87"/>
      <c r="U2852" s="88"/>
      <c r="V2852" s="89"/>
      <c r="W2852" s="96">
        <v>0</v>
      </c>
      <c r="X2852" s="71">
        <f>CU2852</f>
        <v>0</v>
      </c>
      <c r="Y2852" s="71">
        <f>CY2852</f>
        <v>0</v>
      </c>
      <c r="Z2852" s="71">
        <f>DA2852+DC2852+DE2852</f>
        <v>0</v>
      </c>
      <c r="AA2852" s="71">
        <f>CW2852</f>
        <v>0</v>
      </c>
      <c r="AB2852" s="71"/>
      <c r="AC2852" s="71">
        <v>0</v>
      </c>
      <c r="AD2852" s="71">
        <f>W2852+X2852+Y2852+Z2852+AA2852+AB2852+AC2852</f>
        <v>0</v>
      </c>
      <c r="AE2852" s="72">
        <v>0</v>
      </c>
      <c r="AF2852" s="5"/>
      <c r="AG2852" s="6"/>
      <c r="AH2852" s="27"/>
      <c r="AI2852" s="44"/>
      <c r="AJ2852" s="26"/>
      <c r="AK2852" s="5"/>
      <c r="AL2852" s="82" t="s">
        <v>5759</v>
      </c>
      <c r="AM2852" s="76"/>
      <c r="AN2852" s="76"/>
      <c r="AO2852" s="76"/>
      <c r="AP2852" s="76"/>
      <c r="AQ2852" s="76"/>
      <c r="AR2852" s="76"/>
      <c r="AS2852" s="76"/>
      <c r="AT2852" s="76"/>
      <c r="AU2852" s="76"/>
      <c r="AV2852" s="76"/>
      <c r="AW2852" s="76"/>
      <c r="AX2852" s="76">
        <f>+AW2852*600000</f>
        <v>0</v>
      </c>
      <c r="AY2852" s="76"/>
      <c r="AZ2852" s="76">
        <f>+AY2852*70000</f>
        <v>0</v>
      </c>
      <c r="BA2852" s="76"/>
      <c r="BB2852" s="76"/>
      <c r="BC2852" s="76"/>
      <c r="BD2852" s="76">
        <f>+BC2852*30000</f>
        <v>0</v>
      </c>
      <c r="BE2852" s="76"/>
      <c r="BF2852" s="76"/>
      <c r="BG2852" s="76"/>
      <c r="BH2852" s="76"/>
      <c r="BI2852" s="76"/>
      <c r="BJ2852" s="76"/>
      <c r="BK2852" s="76"/>
      <c r="BL2852" s="76">
        <f>+BK2852*31500</f>
        <v>0</v>
      </c>
      <c r="BM2852" s="76"/>
      <c r="BN2852" s="76"/>
      <c r="BO2852" s="76"/>
      <c r="BP2852" s="76"/>
      <c r="BQ2852" s="76"/>
      <c r="BR2852" s="76"/>
      <c r="BS2852" s="76"/>
      <c r="BT2852" s="76"/>
      <c r="BU2852" s="76"/>
      <c r="BV2852" s="76"/>
      <c r="BW2852" s="76"/>
      <c r="BX2852" s="76"/>
      <c r="BY2852" s="76"/>
      <c r="BZ2852" s="76"/>
      <c r="CA2852" s="76"/>
      <c r="CB2852" s="76"/>
      <c r="CC2852" s="76"/>
      <c r="CD2852" s="76"/>
      <c r="CE2852" s="76"/>
      <c r="CF2852" s="76">
        <f>+CE2852*28000</f>
        <v>0</v>
      </c>
      <c r="CG2852" s="76"/>
      <c r="CH2852" s="76">
        <f>+CG2852*22500</f>
        <v>0</v>
      </c>
      <c r="CI2852" s="76"/>
      <c r="CJ2852" s="76">
        <f>+CI2852*26000</f>
        <v>0</v>
      </c>
      <c r="CK2852" s="76"/>
      <c r="CL2852" s="76"/>
      <c r="CM2852" s="76"/>
      <c r="CN2852" s="76">
        <f>+CM2852*22000</f>
        <v>0</v>
      </c>
      <c r="CO2852" s="76"/>
      <c r="CP2852" s="76">
        <f>+CO2852*46000</f>
        <v>0</v>
      </c>
      <c r="CQ2852" s="76"/>
      <c r="CR2852" s="76">
        <f>+CQ2852*49000</f>
        <v>0</v>
      </c>
      <c r="CS2852" s="76"/>
      <c r="CT2852" s="76"/>
      <c r="CU2852" s="56">
        <f>AN2852+AP2852+AR2852+AT2852+AV2852+AX2852+AZ2852+BB2852+BD2852+BF2852+BH2852+BJ2852+BL2852+BN2852+BP2852+BR2852+BT2852+BV2852+BX2852+BZ2852+CB2852+CD2852+CF2852+CH2852+CJ2852+CL2852+CN2852+CP2852+CR2852+CT2852</f>
        <v>0</v>
      </c>
      <c r="CV2852" s="76"/>
      <c r="CW2852" s="76">
        <f>+CV2852*1100</f>
        <v>0</v>
      </c>
      <c r="CX2852" s="76"/>
      <c r="CY2852" s="76">
        <f>+CX2852*106250</f>
        <v>0</v>
      </c>
      <c r="CZ2852" s="76"/>
      <c r="DA2852" s="76">
        <f>+CZ2852*34500</f>
        <v>0</v>
      </c>
      <c r="DB2852" s="76"/>
      <c r="DC2852" s="76">
        <f>+DB2852*25000</f>
        <v>0</v>
      </c>
      <c r="DD2852" s="219"/>
      <c r="DE2852" s="219"/>
      <c r="DF2852" s="166"/>
      <c r="DG2852" s="116"/>
      <c r="DH2852" s="117"/>
      <c r="DI2852" s="24"/>
      <c r="DJ2852" s="24"/>
      <c r="DK2852" s="24"/>
      <c r="DL2852" s="24"/>
      <c r="DM2852" s="24"/>
      <c r="DN2852" s="24"/>
      <c r="DO2852" s="24"/>
      <c r="DP2852" s="24"/>
      <c r="DQ2852" s="24"/>
      <c r="DR2852" s="24"/>
      <c r="DS2852" s="24"/>
      <c r="DT2852" s="24"/>
      <c r="DU2852" s="24"/>
    </row>
    <row r="2853" spans="1:125" s="8" customFormat="1" ht="36" x14ac:dyDescent="0.2">
      <c r="A2853" s="353">
        <v>41515</v>
      </c>
      <c r="B2853" s="225" t="s">
        <v>3136</v>
      </c>
      <c r="C2853" s="227" t="s">
        <v>389</v>
      </c>
      <c r="D2853" s="354" t="s">
        <v>2882</v>
      </c>
      <c r="E2853" s="75" t="str">
        <f>VLOOKUP(B2853&amp;C2853,Divipola!$C$2:$F$1138,4,FALSE)</f>
        <v>44090</v>
      </c>
      <c r="F2853" s="87"/>
      <c r="G2853" s="87"/>
      <c r="H2853" s="87"/>
      <c r="I2853" s="87"/>
      <c r="J2853" s="87"/>
      <c r="K2853" s="87"/>
      <c r="L2853" s="87"/>
      <c r="M2853" s="87"/>
      <c r="N2853" s="87"/>
      <c r="O2853" s="87"/>
      <c r="P2853" s="87"/>
      <c r="Q2853" s="87"/>
      <c r="R2853" s="87"/>
      <c r="S2853" s="87"/>
      <c r="T2853" s="87"/>
      <c r="U2853" s="88"/>
      <c r="V2853" s="89"/>
      <c r="W2853" s="96">
        <v>0</v>
      </c>
      <c r="X2853" s="71">
        <f>CU2853</f>
        <v>0</v>
      </c>
      <c r="Y2853" s="71">
        <f>CY2853</f>
        <v>0</v>
      </c>
      <c r="Z2853" s="71">
        <f>DA2853+DC2853+DE2853</f>
        <v>0</v>
      </c>
      <c r="AA2853" s="71">
        <f>CW2853</f>
        <v>0</v>
      </c>
      <c r="AB2853" s="71"/>
      <c r="AC2853" s="71">
        <v>0</v>
      </c>
      <c r="AD2853" s="71">
        <f>W2853+X2853+Y2853+Z2853+AA2853+AB2853+AC2853</f>
        <v>0</v>
      </c>
      <c r="AE2853" s="72">
        <v>0</v>
      </c>
      <c r="AF2853" s="5"/>
      <c r="AG2853" s="6"/>
      <c r="AH2853" s="27"/>
      <c r="AI2853" s="44"/>
      <c r="AJ2853" s="26"/>
      <c r="AK2853" s="5"/>
      <c r="AL2853" s="82" t="s">
        <v>5761</v>
      </c>
      <c r="AM2853" s="76"/>
      <c r="AN2853" s="76"/>
      <c r="AO2853" s="76"/>
      <c r="AP2853" s="76"/>
      <c r="AQ2853" s="76"/>
      <c r="AR2853" s="76"/>
      <c r="AS2853" s="76"/>
      <c r="AT2853" s="76"/>
      <c r="AU2853" s="76"/>
      <c r="AV2853" s="76"/>
      <c r="AW2853" s="76"/>
      <c r="AX2853" s="76">
        <f>+AW2853*600000</f>
        <v>0</v>
      </c>
      <c r="AY2853" s="76"/>
      <c r="AZ2853" s="76">
        <f>+AY2853*70000</f>
        <v>0</v>
      </c>
      <c r="BA2853" s="76"/>
      <c r="BB2853" s="76"/>
      <c r="BC2853" s="76"/>
      <c r="BD2853" s="76">
        <f>+BC2853*30000</f>
        <v>0</v>
      </c>
      <c r="BE2853" s="76"/>
      <c r="BF2853" s="76"/>
      <c r="BG2853" s="76"/>
      <c r="BH2853" s="76"/>
      <c r="BI2853" s="76"/>
      <c r="BJ2853" s="76"/>
      <c r="BK2853" s="76"/>
      <c r="BL2853" s="76">
        <f>+BK2853*31500</f>
        <v>0</v>
      </c>
      <c r="BM2853" s="76"/>
      <c r="BN2853" s="76"/>
      <c r="BO2853" s="76"/>
      <c r="BP2853" s="76"/>
      <c r="BQ2853" s="76"/>
      <c r="BR2853" s="76"/>
      <c r="BS2853" s="76"/>
      <c r="BT2853" s="76"/>
      <c r="BU2853" s="76"/>
      <c r="BV2853" s="76"/>
      <c r="BW2853" s="76"/>
      <c r="BX2853" s="76"/>
      <c r="BY2853" s="76"/>
      <c r="BZ2853" s="76"/>
      <c r="CA2853" s="76"/>
      <c r="CB2853" s="76"/>
      <c r="CC2853" s="76"/>
      <c r="CD2853" s="76"/>
      <c r="CE2853" s="76"/>
      <c r="CF2853" s="76">
        <f>+CE2853*28000</f>
        <v>0</v>
      </c>
      <c r="CG2853" s="76"/>
      <c r="CH2853" s="76">
        <f>+CG2853*22500</f>
        <v>0</v>
      </c>
      <c r="CI2853" s="76"/>
      <c r="CJ2853" s="76">
        <f>+CI2853*26000</f>
        <v>0</v>
      </c>
      <c r="CK2853" s="76"/>
      <c r="CL2853" s="76"/>
      <c r="CM2853" s="76"/>
      <c r="CN2853" s="76">
        <f>+CM2853*22000</f>
        <v>0</v>
      </c>
      <c r="CO2853" s="76"/>
      <c r="CP2853" s="76">
        <f>+CO2853*46000</f>
        <v>0</v>
      </c>
      <c r="CQ2853" s="76"/>
      <c r="CR2853" s="76">
        <f>+CQ2853*49000</f>
        <v>0</v>
      </c>
      <c r="CS2853" s="76"/>
      <c r="CT2853" s="76"/>
      <c r="CU2853" s="56">
        <f>AN2853+AP2853+AR2853+AT2853+AV2853+AX2853+AZ2853+BB2853+BD2853+BF2853+BH2853+BJ2853+BL2853+BN2853+BP2853+BR2853+BT2853+BV2853+BX2853+BZ2853+CB2853+CD2853+CF2853+CH2853+CJ2853+CL2853+CN2853+CP2853+CR2853+CT2853</f>
        <v>0</v>
      </c>
      <c r="CV2853" s="76"/>
      <c r="CW2853" s="76">
        <f>+CV2853*1100</f>
        <v>0</v>
      </c>
      <c r="CX2853" s="76"/>
      <c r="CY2853" s="76">
        <f>+CX2853*106250</f>
        <v>0</v>
      </c>
      <c r="CZ2853" s="76"/>
      <c r="DA2853" s="76">
        <f>+CZ2853*34500</f>
        <v>0</v>
      </c>
      <c r="DB2853" s="76"/>
      <c r="DC2853" s="76">
        <f>+DB2853*25000</f>
        <v>0</v>
      </c>
      <c r="DD2853" s="219"/>
      <c r="DE2853" s="219"/>
      <c r="DF2853" s="166"/>
      <c r="DG2853" s="116"/>
      <c r="DH2853" s="117"/>
      <c r="DI2853" s="24"/>
      <c r="DJ2853" s="24"/>
      <c r="DK2853" s="24"/>
      <c r="DL2853" s="24"/>
      <c r="DM2853" s="24"/>
      <c r="DN2853" s="24"/>
      <c r="DO2853" s="24"/>
      <c r="DP2853" s="24"/>
      <c r="DQ2853" s="24"/>
      <c r="DR2853" s="24"/>
      <c r="DS2853" s="24"/>
      <c r="DT2853" s="24"/>
      <c r="DU2853" s="24"/>
    </row>
    <row r="2854" spans="1:125" s="8" customFormat="1" ht="60" x14ac:dyDescent="0.2">
      <c r="A2854" s="353">
        <v>41515</v>
      </c>
      <c r="B2854" s="352" t="s">
        <v>3136</v>
      </c>
      <c r="C2854" s="354" t="s">
        <v>403</v>
      </c>
      <c r="D2854" s="354" t="s">
        <v>2882</v>
      </c>
      <c r="E2854" s="75" t="str">
        <f>VLOOKUP(B2854&amp;C2854,Divipola!$C$2:$F$1138,4,FALSE)</f>
        <v>44430</v>
      </c>
      <c r="F2854" s="87"/>
      <c r="G2854" s="87"/>
      <c r="H2854" s="87"/>
      <c r="I2854" s="87"/>
      <c r="J2854" s="87"/>
      <c r="K2854" s="87"/>
      <c r="L2854" s="87"/>
      <c r="M2854" s="87"/>
      <c r="N2854" s="87"/>
      <c r="O2854" s="87"/>
      <c r="P2854" s="87"/>
      <c r="Q2854" s="87"/>
      <c r="R2854" s="87"/>
      <c r="S2854" s="87"/>
      <c r="T2854" s="87"/>
      <c r="U2854" s="88"/>
      <c r="V2854" s="89"/>
      <c r="W2854" s="96">
        <v>0</v>
      </c>
      <c r="X2854" s="71">
        <f>CU2854</f>
        <v>0</v>
      </c>
      <c r="Y2854" s="71">
        <f>CY2854</f>
        <v>0</v>
      </c>
      <c r="Z2854" s="71">
        <f>DA2854+DC2854+DE2854</f>
        <v>0</v>
      </c>
      <c r="AA2854" s="71">
        <f>CW2854</f>
        <v>0</v>
      </c>
      <c r="AB2854" s="71"/>
      <c r="AC2854" s="71">
        <v>0</v>
      </c>
      <c r="AD2854" s="71">
        <f>W2854+X2854+Y2854+Z2854+AA2854+AB2854+AC2854</f>
        <v>0</v>
      </c>
      <c r="AE2854" s="72">
        <v>0</v>
      </c>
      <c r="AF2854" s="5"/>
      <c r="AG2854" s="6"/>
      <c r="AH2854" s="27"/>
      <c r="AI2854" s="44"/>
      <c r="AJ2854" s="26"/>
      <c r="AK2854" s="5"/>
      <c r="AL2854" s="82" t="s">
        <v>5758</v>
      </c>
      <c r="AM2854" s="76"/>
      <c r="AN2854" s="76"/>
      <c r="AO2854" s="76"/>
      <c r="AP2854" s="76"/>
      <c r="AQ2854" s="76"/>
      <c r="AR2854" s="76"/>
      <c r="AS2854" s="76"/>
      <c r="AT2854" s="76"/>
      <c r="AU2854" s="76"/>
      <c r="AV2854" s="76"/>
      <c r="AW2854" s="76"/>
      <c r="AX2854" s="76">
        <f>+AW2854*600000</f>
        <v>0</v>
      </c>
      <c r="AY2854" s="76"/>
      <c r="AZ2854" s="76">
        <f>+AY2854*70000</f>
        <v>0</v>
      </c>
      <c r="BA2854" s="76"/>
      <c r="BB2854" s="76"/>
      <c r="BC2854" s="76"/>
      <c r="BD2854" s="76">
        <f>+BC2854*30000</f>
        <v>0</v>
      </c>
      <c r="BE2854" s="76"/>
      <c r="BF2854" s="76"/>
      <c r="BG2854" s="76"/>
      <c r="BH2854" s="76"/>
      <c r="BI2854" s="76"/>
      <c r="BJ2854" s="76"/>
      <c r="BK2854" s="76"/>
      <c r="BL2854" s="76">
        <f>+BK2854*31500</f>
        <v>0</v>
      </c>
      <c r="BM2854" s="76"/>
      <c r="BN2854" s="76"/>
      <c r="BO2854" s="76"/>
      <c r="BP2854" s="76"/>
      <c r="BQ2854" s="76"/>
      <c r="BR2854" s="76"/>
      <c r="BS2854" s="76"/>
      <c r="BT2854" s="76"/>
      <c r="BU2854" s="76"/>
      <c r="BV2854" s="76"/>
      <c r="BW2854" s="76"/>
      <c r="BX2854" s="76"/>
      <c r="BY2854" s="76"/>
      <c r="BZ2854" s="76"/>
      <c r="CA2854" s="76"/>
      <c r="CB2854" s="76"/>
      <c r="CC2854" s="76"/>
      <c r="CD2854" s="76"/>
      <c r="CE2854" s="76"/>
      <c r="CF2854" s="76">
        <f>+CE2854*28000</f>
        <v>0</v>
      </c>
      <c r="CG2854" s="76"/>
      <c r="CH2854" s="76">
        <f>+CG2854*22500</f>
        <v>0</v>
      </c>
      <c r="CI2854" s="76"/>
      <c r="CJ2854" s="76">
        <f>+CI2854*26000</f>
        <v>0</v>
      </c>
      <c r="CK2854" s="76"/>
      <c r="CL2854" s="76"/>
      <c r="CM2854" s="76"/>
      <c r="CN2854" s="76">
        <f>+CM2854*22000</f>
        <v>0</v>
      </c>
      <c r="CO2854" s="76"/>
      <c r="CP2854" s="76">
        <f>+CO2854*46000</f>
        <v>0</v>
      </c>
      <c r="CQ2854" s="76"/>
      <c r="CR2854" s="76">
        <f>+CQ2854*49000</f>
        <v>0</v>
      </c>
      <c r="CS2854" s="76"/>
      <c r="CT2854" s="76"/>
      <c r="CU2854" s="56">
        <f>AN2854+AP2854+AR2854+AT2854+AV2854+AX2854+AZ2854+BB2854+BD2854+BF2854+BH2854+BJ2854+BL2854+BN2854+BP2854+BR2854+BT2854+BV2854+BX2854+BZ2854+CB2854+CD2854+CF2854+CH2854+CJ2854+CL2854+CN2854+CP2854+CR2854+CT2854</f>
        <v>0</v>
      </c>
      <c r="CV2854" s="76"/>
      <c r="CW2854" s="76">
        <f>+CV2854*1100</f>
        <v>0</v>
      </c>
      <c r="CX2854" s="76"/>
      <c r="CY2854" s="76">
        <f>+CX2854*106250</f>
        <v>0</v>
      </c>
      <c r="CZ2854" s="76"/>
      <c r="DA2854" s="76">
        <f>+CZ2854*34500</f>
        <v>0</v>
      </c>
      <c r="DB2854" s="76"/>
      <c r="DC2854" s="76">
        <f>+DB2854*25000</f>
        <v>0</v>
      </c>
      <c r="DD2854" s="219"/>
      <c r="DE2854" s="219"/>
      <c r="DF2854" s="166"/>
      <c r="DG2854" s="116"/>
      <c r="DH2854" s="117"/>
      <c r="DI2854" s="24"/>
      <c r="DJ2854" s="24"/>
      <c r="DK2854" s="24"/>
      <c r="DL2854" s="24"/>
      <c r="DM2854" s="24"/>
      <c r="DN2854" s="24"/>
      <c r="DO2854" s="24"/>
      <c r="DP2854" s="24"/>
      <c r="DQ2854" s="24"/>
      <c r="DR2854" s="24"/>
      <c r="DS2854" s="24"/>
      <c r="DT2854" s="24"/>
      <c r="DU2854" s="24"/>
    </row>
    <row r="2855" spans="1:125" s="8" customFormat="1" ht="48" x14ac:dyDescent="0.2">
      <c r="A2855" s="77">
        <v>41515</v>
      </c>
      <c r="B2855" s="352" t="s">
        <v>2860</v>
      </c>
      <c r="C2855" s="354" t="s">
        <v>2764</v>
      </c>
      <c r="D2855" s="354" t="s">
        <v>2882</v>
      </c>
      <c r="E2855" s="75" t="str">
        <f>VLOOKUP(B2855&amp;C2855,Divipola!$C$2:$F$1138,4,FALSE)</f>
        <v>63594</v>
      </c>
      <c r="F2855" s="87"/>
      <c r="G2855" s="87"/>
      <c r="H2855" s="87"/>
      <c r="I2855" s="87">
        <v>10</v>
      </c>
      <c r="J2855" s="87">
        <v>2</v>
      </c>
      <c r="K2855" s="87"/>
      <c r="L2855" s="87">
        <v>2</v>
      </c>
      <c r="M2855" s="87"/>
      <c r="N2855" s="87"/>
      <c r="O2855" s="87"/>
      <c r="P2855" s="87"/>
      <c r="Q2855" s="87"/>
      <c r="R2855" s="87"/>
      <c r="S2855" s="87"/>
      <c r="T2855" s="87"/>
      <c r="U2855" s="88"/>
      <c r="V2855" s="89"/>
      <c r="W2855" s="96">
        <v>0</v>
      </c>
      <c r="X2855" s="71">
        <f>CU2855</f>
        <v>0</v>
      </c>
      <c r="Y2855" s="71">
        <f>CY2855</f>
        <v>0</v>
      </c>
      <c r="Z2855" s="71">
        <f>DA2855+DC2855+DE2855</f>
        <v>0</v>
      </c>
      <c r="AA2855" s="71">
        <f>CW2855</f>
        <v>0</v>
      </c>
      <c r="AB2855" s="71"/>
      <c r="AC2855" s="71">
        <v>0</v>
      </c>
      <c r="AD2855" s="71">
        <f>W2855+X2855+Y2855+Z2855+AA2855+AB2855+AC2855</f>
        <v>0</v>
      </c>
      <c r="AE2855" s="72">
        <v>0</v>
      </c>
      <c r="AF2855" s="5"/>
      <c r="AG2855" s="6"/>
      <c r="AH2855" s="27"/>
      <c r="AI2855" s="44"/>
      <c r="AJ2855" s="26"/>
      <c r="AK2855" s="5"/>
      <c r="AL2855" s="82" t="s">
        <v>5731</v>
      </c>
      <c r="AM2855" s="76"/>
      <c r="AN2855" s="76"/>
      <c r="AO2855" s="76"/>
      <c r="AP2855" s="76"/>
      <c r="AQ2855" s="76"/>
      <c r="AR2855" s="76"/>
      <c r="AS2855" s="76"/>
      <c r="AT2855" s="76"/>
      <c r="AU2855" s="76"/>
      <c r="AV2855" s="76"/>
      <c r="AW2855" s="76"/>
      <c r="AX2855" s="76">
        <f>+AW2855*600000</f>
        <v>0</v>
      </c>
      <c r="AY2855" s="76"/>
      <c r="AZ2855" s="76">
        <f>+AY2855*70000</f>
        <v>0</v>
      </c>
      <c r="BA2855" s="76"/>
      <c r="BB2855" s="76"/>
      <c r="BC2855" s="76"/>
      <c r="BD2855" s="76">
        <f>+BC2855*30000</f>
        <v>0</v>
      </c>
      <c r="BE2855" s="76"/>
      <c r="BF2855" s="76"/>
      <c r="BG2855" s="76"/>
      <c r="BH2855" s="76"/>
      <c r="BI2855" s="76"/>
      <c r="BJ2855" s="76"/>
      <c r="BK2855" s="76"/>
      <c r="BL2855" s="76">
        <f>+BK2855*31500</f>
        <v>0</v>
      </c>
      <c r="BM2855" s="76"/>
      <c r="BN2855" s="76"/>
      <c r="BO2855" s="76"/>
      <c r="BP2855" s="76"/>
      <c r="BQ2855" s="76"/>
      <c r="BR2855" s="76"/>
      <c r="BS2855" s="76"/>
      <c r="BT2855" s="76"/>
      <c r="BU2855" s="76"/>
      <c r="BV2855" s="76"/>
      <c r="BW2855" s="76"/>
      <c r="BX2855" s="76"/>
      <c r="BY2855" s="76"/>
      <c r="BZ2855" s="76"/>
      <c r="CA2855" s="76"/>
      <c r="CB2855" s="76"/>
      <c r="CC2855" s="76"/>
      <c r="CD2855" s="76"/>
      <c r="CE2855" s="76"/>
      <c r="CF2855" s="76">
        <f>+CE2855*28000</f>
        <v>0</v>
      </c>
      <c r="CG2855" s="76"/>
      <c r="CH2855" s="76">
        <f>+CG2855*22500</f>
        <v>0</v>
      </c>
      <c r="CI2855" s="76"/>
      <c r="CJ2855" s="76">
        <f>+CI2855*26000</f>
        <v>0</v>
      </c>
      <c r="CK2855" s="76"/>
      <c r="CL2855" s="76"/>
      <c r="CM2855" s="76"/>
      <c r="CN2855" s="76">
        <f>+CM2855*22000</f>
        <v>0</v>
      </c>
      <c r="CO2855" s="76"/>
      <c r="CP2855" s="76">
        <f>+CO2855*46000</f>
        <v>0</v>
      </c>
      <c r="CQ2855" s="76"/>
      <c r="CR2855" s="76">
        <f>+CQ2855*49000</f>
        <v>0</v>
      </c>
      <c r="CS2855" s="76"/>
      <c r="CT2855" s="76"/>
      <c r="CU2855" s="56">
        <f>AN2855+AP2855+AR2855+AT2855+AV2855+AX2855+AZ2855+BB2855+BD2855+BF2855+BH2855+BJ2855+BL2855+BN2855+BP2855+BR2855+BT2855+BV2855+BX2855+BZ2855+CB2855+CD2855+CF2855+CH2855+CJ2855+CL2855+CN2855+CP2855+CR2855+CT2855</f>
        <v>0</v>
      </c>
      <c r="CV2855" s="76"/>
      <c r="CW2855" s="76">
        <f>+CV2855*1100</f>
        <v>0</v>
      </c>
      <c r="CX2855" s="76"/>
      <c r="CY2855" s="76">
        <f>+CX2855*106250</f>
        <v>0</v>
      </c>
      <c r="CZ2855" s="76"/>
      <c r="DA2855" s="76">
        <f>+CZ2855*34500</f>
        <v>0</v>
      </c>
      <c r="DB2855" s="76"/>
      <c r="DC2855" s="76">
        <f>+DB2855*25000</f>
        <v>0</v>
      </c>
      <c r="DD2855" s="219"/>
      <c r="DE2855" s="219"/>
      <c r="DF2855" s="166"/>
      <c r="DG2855" s="116"/>
      <c r="DH2855" s="117"/>
      <c r="DI2855" s="24"/>
      <c r="DJ2855" s="24"/>
      <c r="DK2855" s="24"/>
      <c r="DL2855" s="24"/>
      <c r="DM2855" s="24"/>
      <c r="DN2855" s="24"/>
      <c r="DO2855" s="24"/>
      <c r="DP2855" s="24"/>
      <c r="DQ2855" s="24"/>
      <c r="DR2855" s="24"/>
      <c r="DS2855" s="24"/>
      <c r="DT2855" s="24"/>
      <c r="DU2855" s="24"/>
    </row>
    <row r="2856" spans="1:125" s="8" customFormat="1" ht="72" x14ac:dyDescent="0.2">
      <c r="A2856" s="77">
        <v>41515</v>
      </c>
      <c r="B2856" s="78" t="s">
        <v>2774</v>
      </c>
      <c r="C2856" s="75" t="s">
        <v>1347</v>
      </c>
      <c r="D2856" s="75" t="s">
        <v>2859</v>
      </c>
      <c r="E2856" s="75" t="str">
        <f>VLOOKUP(B2856&amp;C2856,Divipola!$C$2:$F$1138,4,FALSE)</f>
        <v>66001</v>
      </c>
      <c r="F2856" s="87"/>
      <c r="G2856" s="87">
        <v>5</v>
      </c>
      <c r="H2856" s="87"/>
      <c r="I2856" s="87"/>
      <c r="J2856" s="87"/>
      <c r="K2856" s="87"/>
      <c r="L2856" s="87"/>
      <c r="M2856" s="87"/>
      <c r="N2856" s="87"/>
      <c r="O2856" s="87"/>
      <c r="P2856" s="87"/>
      <c r="Q2856" s="87"/>
      <c r="R2856" s="87"/>
      <c r="S2856" s="87"/>
      <c r="T2856" s="87"/>
      <c r="U2856" s="88"/>
      <c r="V2856" s="89"/>
      <c r="W2856" s="96">
        <v>0</v>
      </c>
      <c r="X2856" s="71">
        <f>CU2856</f>
        <v>0</v>
      </c>
      <c r="Y2856" s="71">
        <f>CY2856</f>
        <v>0</v>
      </c>
      <c r="Z2856" s="71">
        <f>DA2856+DC2856+DE2856</f>
        <v>0</v>
      </c>
      <c r="AA2856" s="71">
        <f>CW2856</f>
        <v>0</v>
      </c>
      <c r="AB2856" s="71"/>
      <c r="AC2856" s="71">
        <v>0</v>
      </c>
      <c r="AD2856" s="71">
        <f>W2856+X2856+Y2856+Z2856+AA2856+AB2856+AC2856</f>
        <v>0</v>
      </c>
      <c r="AE2856" s="72">
        <v>0</v>
      </c>
      <c r="AF2856" s="5"/>
      <c r="AG2856" s="6"/>
      <c r="AH2856" s="27"/>
      <c r="AI2856" s="44"/>
      <c r="AJ2856" s="26"/>
      <c r="AK2856" s="5"/>
      <c r="AL2856" s="268" t="s">
        <v>5728</v>
      </c>
      <c r="AM2856" s="76"/>
      <c r="AN2856" s="76"/>
      <c r="AO2856" s="76"/>
      <c r="AP2856" s="76"/>
      <c r="AQ2856" s="76"/>
      <c r="AR2856" s="76"/>
      <c r="AS2856" s="76"/>
      <c r="AT2856" s="76"/>
      <c r="AU2856" s="76"/>
      <c r="AV2856" s="76"/>
      <c r="AW2856" s="76"/>
      <c r="AX2856" s="76">
        <f>+AW2856*600000</f>
        <v>0</v>
      </c>
      <c r="AY2856" s="76"/>
      <c r="AZ2856" s="76">
        <f>+AY2856*70000</f>
        <v>0</v>
      </c>
      <c r="BA2856" s="76"/>
      <c r="BB2856" s="76"/>
      <c r="BC2856" s="76"/>
      <c r="BD2856" s="76">
        <f>+BC2856*30000</f>
        <v>0</v>
      </c>
      <c r="BE2856" s="76"/>
      <c r="BF2856" s="76"/>
      <c r="BG2856" s="76"/>
      <c r="BH2856" s="76"/>
      <c r="BI2856" s="76"/>
      <c r="BJ2856" s="76"/>
      <c r="BK2856" s="76"/>
      <c r="BL2856" s="76">
        <f>+BK2856*31500</f>
        <v>0</v>
      </c>
      <c r="BM2856" s="76"/>
      <c r="BN2856" s="76"/>
      <c r="BO2856" s="76"/>
      <c r="BP2856" s="76"/>
      <c r="BQ2856" s="76"/>
      <c r="BR2856" s="76"/>
      <c r="BS2856" s="76"/>
      <c r="BT2856" s="76"/>
      <c r="BU2856" s="76"/>
      <c r="BV2856" s="76"/>
      <c r="BW2856" s="76"/>
      <c r="BX2856" s="76"/>
      <c r="BY2856" s="76"/>
      <c r="BZ2856" s="76"/>
      <c r="CA2856" s="76"/>
      <c r="CB2856" s="76"/>
      <c r="CC2856" s="76"/>
      <c r="CD2856" s="76"/>
      <c r="CE2856" s="76"/>
      <c r="CF2856" s="76">
        <f>+CE2856*28000</f>
        <v>0</v>
      </c>
      <c r="CG2856" s="76"/>
      <c r="CH2856" s="76">
        <f>+CG2856*22500</f>
        <v>0</v>
      </c>
      <c r="CI2856" s="76"/>
      <c r="CJ2856" s="76">
        <f>+CI2856*26000</f>
        <v>0</v>
      </c>
      <c r="CK2856" s="76"/>
      <c r="CL2856" s="76"/>
      <c r="CM2856" s="76"/>
      <c r="CN2856" s="76">
        <f>+CM2856*22000</f>
        <v>0</v>
      </c>
      <c r="CO2856" s="76"/>
      <c r="CP2856" s="76">
        <f>+CO2856*46000</f>
        <v>0</v>
      </c>
      <c r="CQ2856" s="76"/>
      <c r="CR2856" s="76">
        <f>+CQ2856*49000</f>
        <v>0</v>
      </c>
      <c r="CS2856" s="76"/>
      <c r="CT2856" s="76"/>
      <c r="CU2856" s="56">
        <f>AN2856+AP2856+AR2856+AT2856+AV2856+AX2856+AZ2856+BB2856+BD2856+BF2856+BH2856+BJ2856+BL2856+BN2856+BP2856+BR2856+BT2856+BV2856+BX2856+BZ2856+CB2856+CD2856+CF2856+CH2856+CJ2856+CL2856+CN2856+CP2856+CR2856+CT2856</f>
        <v>0</v>
      </c>
      <c r="CV2856" s="76"/>
      <c r="CW2856" s="76">
        <f>+CV2856*1100</f>
        <v>0</v>
      </c>
      <c r="CX2856" s="76"/>
      <c r="CY2856" s="76">
        <f>+CX2856*106250</f>
        <v>0</v>
      </c>
      <c r="CZ2856" s="76"/>
      <c r="DA2856" s="76">
        <f>+CZ2856*34500</f>
        <v>0</v>
      </c>
      <c r="DB2856" s="76"/>
      <c r="DC2856" s="76">
        <f>+DB2856*25000</f>
        <v>0</v>
      </c>
      <c r="DD2856" s="219"/>
      <c r="DE2856" s="219"/>
      <c r="DF2856" s="166"/>
      <c r="DG2856" s="116"/>
      <c r="DH2856" s="117"/>
      <c r="DI2856" s="24"/>
      <c r="DJ2856" s="24"/>
      <c r="DK2856" s="24"/>
      <c r="DL2856" s="24"/>
      <c r="DM2856" s="24"/>
      <c r="DN2856" s="24"/>
      <c r="DO2856" s="24"/>
      <c r="DP2856" s="24"/>
      <c r="DQ2856" s="24"/>
      <c r="DR2856" s="24"/>
      <c r="DS2856" s="24"/>
      <c r="DT2856" s="24"/>
      <c r="DU2856" s="24"/>
    </row>
    <row r="2857" spans="1:125" s="8" customFormat="1" ht="96" x14ac:dyDescent="0.2">
      <c r="A2857" s="77">
        <v>41516</v>
      </c>
      <c r="B2857" s="78" t="s">
        <v>2854</v>
      </c>
      <c r="C2857" s="75" t="s">
        <v>491</v>
      </c>
      <c r="D2857" s="75" t="s">
        <v>2859</v>
      </c>
      <c r="E2857" s="75" t="str">
        <f>VLOOKUP(B2857&amp;C2857,Divipola!$C$2:$F$1138,4,FALSE)</f>
        <v>19807</v>
      </c>
      <c r="F2857" s="87"/>
      <c r="G2857" s="87"/>
      <c r="H2857" s="87"/>
      <c r="I2857" s="87">
        <v>6</v>
      </c>
      <c r="J2857" s="87">
        <v>1</v>
      </c>
      <c r="K2857" s="87">
        <v>1</v>
      </c>
      <c r="L2857" s="87"/>
      <c r="M2857" s="87"/>
      <c r="N2857" s="87"/>
      <c r="O2857" s="87"/>
      <c r="P2857" s="87"/>
      <c r="Q2857" s="87"/>
      <c r="R2857" s="87"/>
      <c r="S2857" s="87"/>
      <c r="T2857" s="87"/>
      <c r="U2857" s="88"/>
      <c r="V2857" s="89"/>
      <c r="W2857" s="96">
        <v>0</v>
      </c>
      <c r="X2857" s="71">
        <f>CU2857</f>
        <v>0</v>
      </c>
      <c r="Y2857" s="71">
        <f>CY2857</f>
        <v>0</v>
      </c>
      <c r="Z2857" s="71">
        <f>DA2857+DC2857+DE2857</f>
        <v>0</v>
      </c>
      <c r="AA2857" s="71">
        <f>CW2857</f>
        <v>0</v>
      </c>
      <c r="AB2857" s="71"/>
      <c r="AC2857" s="71">
        <v>0</v>
      </c>
      <c r="AD2857" s="71">
        <f>W2857+X2857+Y2857+Z2857+AA2857+AB2857+AC2857</f>
        <v>0</v>
      </c>
      <c r="AE2857" s="72">
        <v>0</v>
      </c>
      <c r="AF2857" s="5"/>
      <c r="AG2857" s="6"/>
      <c r="AH2857" s="27"/>
      <c r="AI2857" s="44"/>
      <c r="AJ2857" s="26"/>
      <c r="AK2857" s="5"/>
      <c r="AL2857" s="82" t="s">
        <v>5737</v>
      </c>
      <c r="AM2857" s="76"/>
      <c r="AN2857" s="76"/>
      <c r="AO2857" s="76"/>
      <c r="AP2857" s="76"/>
      <c r="AQ2857" s="76"/>
      <c r="AR2857" s="76"/>
      <c r="AS2857" s="76"/>
      <c r="AT2857" s="76"/>
      <c r="AU2857" s="76"/>
      <c r="AV2857" s="76"/>
      <c r="AW2857" s="76"/>
      <c r="AX2857" s="76">
        <f>+AW2857*600000</f>
        <v>0</v>
      </c>
      <c r="AY2857" s="76"/>
      <c r="AZ2857" s="76">
        <f>+AY2857*70000</f>
        <v>0</v>
      </c>
      <c r="BA2857" s="76"/>
      <c r="BB2857" s="76"/>
      <c r="BC2857" s="76"/>
      <c r="BD2857" s="76">
        <f>+BC2857*30000</f>
        <v>0</v>
      </c>
      <c r="BE2857" s="76"/>
      <c r="BF2857" s="76"/>
      <c r="BG2857" s="76"/>
      <c r="BH2857" s="76"/>
      <c r="BI2857" s="76"/>
      <c r="BJ2857" s="76"/>
      <c r="BK2857" s="76"/>
      <c r="BL2857" s="76">
        <f>+BK2857*31500</f>
        <v>0</v>
      </c>
      <c r="BM2857" s="76"/>
      <c r="BN2857" s="76"/>
      <c r="BO2857" s="76"/>
      <c r="BP2857" s="76"/>
      <c r="BQ2857" s="76"/>
      <c r="BR2857" s="76"/>
      <c r="BS2857" s="76"/>
      <c r="BT2857" s="76"/>
      <c r="BU2857" s="76"/>
      <c r="BV2857" s="76"/>
      <c r="BW2857" s="76"/>
      <c r="BX2857" s="76"/>
      <c r="BY2857" s="76"/>
      <c r="BZ2857" s="76"/>
      <c r="CA2857" s="76"/>
      <c r="CB2857" s="76"/>
      <c r="CC2857" s="76"/>
      <c r="CD2857" s="76"/>
      <c r="CE2857" s="76"/>
      <c r="CF2857" s="76">
        <f>+CE2857*28000</f>
        <v>0</v>
      </c>
      <c r="CG2857" s="76"/>
      <c r="CH2857" s="76">
        <f>+CG2857*22500</f>
        <v>0</v>
      </c>
      <c r="CI2857" s="76"/>
      <c r="CJ2857" s="76">
        <f>+CI2857*26000</f>
        <v>0</v>
      </c>
      <c r="CK2857" s="76"/>
      <c r="CL2857" s="76"/>
      <c r="CM2857" s="76"/>
      <c r="CN2857" s="76">
        <f>+CM2857*22000</f>
        <v>0</v>
      </c>
      <c r="CO2857" s="76"/>
      <c r="CP2857" s="76">
        <f>+CO2857*46000</f>
        <v>0</v>
      </c>
      <c r="CQ2857" s="76"/>
      <c r="CR2857" s="76">
        <f>+CQ2857*49000</f>
        <v>0</v>
      </c>
      <c r="CS2857" s="76"/>
      <c r="CT2857" s="76"/>
      <c r="CU2857" s="56">
        <f>AN2857+AP2857+AR2857+AT2857+AV2857+AX2857+AZ2857+BB2857+BD2857+BF2857+BH2857+BJ2857+BL2857+BN2857+BP2857+BR2857+BT2857+BV2857+BX2857+BZ2857+CB2857+CD2857+CF2857+CH2857+CJ2857+CL2857+CN2857+CP2857+CR2857+CT2857</f>
        <v>0</v>
      </c>
      <c r="CV2857" s="76"/>
      <c r="CW2857" s="76">
        <f>+CV2857*1100</f>
        <v>0</v>
      </c>
      <c r="CX2857" s="76"/>
      <c r="CY2857" s="76">
        <f>+CX2857*106250</f>
        <v>0</v>
      </c>
      <c r="CZ2857" s="76"/>
      <c r="DA2857" s="76">
        <f>+CZ2857*34500</f>
        <v>0</v>
      </c>
      <c r="DB2857" s="76"/>
      <c r="DC2857" s="76">
        <f>+DB2857*25000</f>
        <v>0</v>
      </c>
      <c r="DD2857" s="219"/>
      <c r="DE2857" s="219"/>
      <c r="DF2857" s="166"/>
      <c r="DG2857" s="116"/>
      <c r="DH2857" s="117"/>
      <c r="DI2857" s="24"/>
      <c r="DJ2857" s="24"/>
      <c r="DK2857" s="24"/>
      <c r="DL2857" s="24"/>
      <c r="DM2857" s="24"/>
      <c r="DN2857" s="24"/>
      <c r="DO2857" s="24"/>
      <c r="DP2857" s="24"/>
      <c r="DQ2857" s="24"/>
      <c r="DR2857" s="24"/>
      <c r="DS2857" s="24"/>
      <c r="DT2857" s="24"/>
      <c r="DU2857" s="24"/>
    </row>
    <row r="2858" spans="1:125" s="8" customFormat="1" ht="84" x14ac:dyDescent="0.2">
      <c r="A2858" s="353">
        <v>41516</v>
      </c>
      <c r="B2858" s="352" t="s">
        <v>2855</v>
      </c>
      <c r="C2858" s="354" t="s">
        <v>895</v>
      </c>
      <c r="D2858" s="354" t="s">
        <v>2882</v>
      </c>
      <c r="E2858" s="75" t="str">
        <f>VLOOKUP(B2858&amp;C2858,Divipola!$C$2:$F$1138,4,FALSE)</f>
        <v>20032</v>
      </c>
      <c r="F2858" s="61"/>
      <c r="G2858" s="61"/>
      <c r="H2858" s="61"/>
      <c r="I2858" s="61">
        <v>500</v>
      </c>
      <c r="J2858" s="61">
        <v>100</v>
      </c>
      <c r="K2858" s="61"/>
      <c r="L2858" s="61">
        <v>100</v>
      </c>
      <c r="M2858" s="61"/>
      <c r="N2858" s="61"/>
      <c r="O2858" s="61"/>
      <c r="P2858" s="61"/>
      <c r="Q2858" s="61"/>
      <c r="R2858" s="61"/>
      <c r="S2858" s="61"/>
      <c r="T2858" s="61"/>
      <c r="U2858" s="61"/>
      <c r="V2858" s="7"/>
      <c r="W2858" s="96">
        <v>0</v>
      </c>
      <c r="X2858" s="71">
        <f>CU2858</f>
        <v>0</v>
      </c>
      <c r="Y2858" s="71">
        <f>CY2858</f>
        <v>0</v>
      </c>
      <c r="Z2858" s="71">
        <f>DA2858+DC2858+DE2858</f>
        <v>0</v>
      </c>
      <c r="AA2858" s="71">
        <f>CW2858</f>
        <v>0</v>
      </c>
      <c r="AB2858" s="71"/>
      <c r="AC2858" s="71">
        <v>0</v>
      </c>
      <c r="AD2858" s="71">
        <f>W2858+X2858+Y2858+Z2858+AA2858+AB2858+AC2858</f>
        <v>0</v>
      </c>
      <c r="AE2858" s="72">
        <v>0</v>
      </c>
      <c r="AF2858" s="5"/>
      <c r="AG2858" s="6"/>
      <c r="AH2858" s="27"/>
      <c r="AI2858" s="44"/>
      <c r="AJ2858" s="26"/>
      <c r="AK2858" s="5"/>
      <c r="AL2858" s="82" t="s">
        <v>5735</v>
      </c>
      <c r="AM2858" s="76"/>
      <c r="AN2858" s="76"/>
      <c r="AO2858" s="76"/>
      <c r="AP2858" s="76"/>
      <c r="AQ2858" s="76"/>
      <c r="AR2858" s="76"/>
      <c r="AS2858" s="76"/>
      <c r="AT2858" s="76"/>
      <c r="AU2858" s="76"/>
      <c r="AV2858" s="76"/>
      <c r="AW2858" s="76"/>
      <c r="AX2858" s="76">
        <f>+AW2858*600000</f>
        <v>0</v>
      </c>
      <c r="AY2858" s="76"/>
      <c r="AZ2858" s="76">
        <f>+AY2858*70000</f>
        <v>0</v>
      </c>
      <c r="BA2858" s="76"/>
      <c r="BB2858" s="76"/>
      <c r="BC2858" s="76"/>
      <c r="BD2858" s="76">
        <f>+BC2858*30000</f>
        <v>0</v>
      </c>
      <c r="BE2858" s="76"/>
      <c r="BF2858" s="76"/>
      <c r="BG2858" s="76"/>
      <c r="BH2858" s="76"/>
      <c r="BI2858" s="76"/>
      <c r="BJ2858" s="76"/>
      <c r="BK2858" s="76"/>
      <c r="BL2858" s="76">
        <f>+BK2858*31500</f>
        <v>0</v>
      </c>
      <c r="BM2858" s="76"/>
      <c r="BN2858" s="76"/>
      <c r="BO2858" s="76"/>
      <c r="BP2858" s="76"/>
      <c r="BQ2858" s="76"/>
      <c r="BR2858" s="76"/>
      <c r="BS2858" s="76"/>
      <c r="BT2858" s="76"/>
      <c r="BU2858" s="76"/>
      <c r="BV2858" s="76"/>
      <c r="BW2858" s="76"/>
      <c r="BX2858" s="76"/>
      <c r="BY2858" s="76"/>
      <c r="BZ2858" s="76"/>
      <c r="CA2858" s="76"/>
      <c r="CB2858" s="76"/>
      <c r="CC2858" s="76"/>
      <c r="CD2858" s="76"/>
      <c r="CE2858" s="76"/>
      <c r="CF2858" s="76">
        <f>+CE2858*28000</f>
        <v>0</v>
      </c>
      <c r="CG2858" s="76"/>
      <c r="CH2858" s="76">
        <f>+CG2858*22500</f>
        <v>0</v>
      </c>
      <c r="CI2858" s="76"/>
      <c r="CJ2858" s="76">
        <f>+CI2858*26000</f>
        <v>0</v>
      </c>
      <c r="CK2858" s="76"/>
      <c r="CL2858" s="76"/>
      <c r="CM2858" s="76"/>
      <c r="CN2858" s="76">
        <f>+CM2858*22000</f>
        <v>0</v>
      </c>
      <c r="CO2858" s="76"/>
      <c r="CP2858" s="76">
        <f>+CO2858*46000</f>
        <v>0</v>
      </c>
      <c r="CQ2858" s="76"/>
      <c r="CR2858" s="76">
        <f>+CQ2858*49000</f>
        <v>0</v>
      </c>
      <c r="CS2858" s="76"/>
      <c r="CT2858" s="76"/>
      <c r="CU2858" s="56">
        <f>AN2858+AP2858+AR2858+AT2858+AV2858+AX2858+AZ2858+BB2858+BD2858+BF2858+BH2858+BJ2858+BL2858+BN2858+BP2858+BR2858+BT2858+BV2858+BX2858+BZ2858+CB2858+CD2858+CF2858+CH2858+CJ2858+CL2858+CN2858+CP2858+CR2858+CT2858</f>
        <v>0</v>
      </c>
      <c r="CV2858" s="76"/>
      <c r="CW2858" s="76">
        <f>+CV2858*1100</f>
        <v>0</v>
      </c>
      <c r="CX2858" s="76"/>
      <c r="CY2858" s="76">
        <f>+CX2858*106250</f>
        <v>0</v>
      </c>
      <c r="CZ2858" s="76"/>
      <c r="DA2858" s="76">
        <f>+CZ2858*34500</f>
        <v>0</v>
      </c>
      <c r="DB2858" s="76"/>
      <c r="DC2858" s="76">
        <f>+DB2858*25000</f>
        <v>0</v>
      </c>
      <c r="DD2858" s="219"/>
      <c r="DE2858" s="219"/>
      <c r="DF2858" s="166"/>
      <c r="DG2858" s="116"/>
      <c r="DH2858" s="117"/>
      <c r="DI2858" s="24"/>
      <c r="DJ2858" s="24"/>
      <c r="DK2858" s="24"/>
      <c r="DL2858" s="24"/>
      <c r="DM2858" s="24"/>
      <c r="DN2858" s="24"/>
      <c r="DO2858" s="24"/>
      <c r="DP2858" s="24"/>
      <c r="DQ2858" s="24"/>
      <c r="DR2858" s="24"/>
      <c r="DS2858" s="24"/>
      <c r="DT2858" s="24"/>
      <c r="DU2858" s="24"/>
    </row>
    <row r="2859" spans="1:125" s="8" customFormat="1" ht="84" x14ac:dyDescent="0.2">
      <c r="A2859" s="353">
        <v>41516</v>
      </c>
      <c r="B2859" s="352" t="s">
        <v>2772</v>
      </c>
      <c r="C2859" s="354" t="s">
        <v>2742</v>
      </c>
      <c r="D2859" s="354" t="s">
        <v>2846</v>
      </c>
      <c r="E2859" s="75" t="str">
        <f>VLOOKUP(B2859&amp;C2859,Divipola!$C$2:$F$1138,4,FALSE)</f>
        <v>25258</v>
      </c>
      <c r="F2859" s="87"/>
      <c r="G2859" s="87"/>
      <c r="H2859" s="87"/>
      <c r="I2859" s="87"/>
      <c r="J2859" s="87"/>
      <c r="K2859" s="87"/>
      <c r="L2859" s="87"/>
      <c r="M2859" s="87"/>
      <c r="N2859" s="87"/>
      <c r="O2859" s="87"/>
      <c r="P2859" s="87"/>
      <c r="Q2859" s="87"/>
      <c r="R2859" s="87"/>
      <c r="S2859" s="87"/>
      <c r="T2859" s="87"/>
      <c r="U2859" s="88">
        <v>1.5</v>
      </c>
      <c r="V2859" s="89"/>
      <c r="W2859" s="96">
        <v>0</v>
      </c>
      <c r="X2859" s="71">
        <f>CU2859</f>
        <v>0</v>
      </c>
      <c r="Y2859" s="71">
        <f>CY2859</f>
        <v>0</v>
      </c>
      <c r="Z2859" s="71">
        <f>DA2859+DC2859+DE2859</f>
        <v>0</v>
      </c>
      <c r="AA2859" s="71">
        <f>CW2859</f>
        <v>0</v>
      </c>
      <c r="AB2859" s="71"/>
      <c r="AC2859" s="71">
        <v>0</v>
      </c>
      <c r="AD2859" s="71">
        <f>W2859+X2859+Y2859+Z2859+AA2859+AB2859+AC2859</f>
        <v>0</v>
      </c>
      <c r="AE2859" s="72">
        <v>0</v>
      </c>
      <c r="AF2859" s="5"/>
      <c r="AG2859" s="6"/>
      <c r="AH2859" s="27"/>
      <c r="AI2859" s="44"/>
      <c r="AJ2859" s="26"/>
      <c r="AK2859" s="5"/>
      <c r="AL2859" s="331" t="s">
        <v>5743</v>
      </c>
      <c r="AM2859" s="76"/>
      <c r="AN2859" s="76"/>
      <c r="AO2859" s="76"/>
      <c r="AP2859" s="76"/>
      <c r="AQ2859" s="76"/>
      <c r="AR2859" s="76"/>
      <c r="AS2859" s="76"/>
      <c r="AT2859" s="76"/>
      <c r="AU2859" s="76"/>
      <c r="AV2859" s="76"/>
      <c r="AW2859" s="76"/>
      <c r="AX2859" s="76">
        <f>+AW2859*600000</f>
        <v>0</v>
      </c>
      <c r="AY2859" s="76"/>
      <c r="AZ2859" s="76">
        <f>+AY2859*70000</f>
        <v>0</v>
      </c>
      <c r="BA2859" s="76"/>
      <c r="BB2859" s="76"/>
      <c r="BC2859" s="76"/>
      <c r="BD2859" s="76">
        <f>+BC2859*30000</f>
        <v>0</v>
      </c>
      <c r="BE2859" s="76"/>
      <c r="BF2859" s="76"/>
      <c r="BG2859" s="76"/>
      <c r="BH2859" s="76"/>
      <c r="BI2859" s="76"/>
      <c r="BJ2859" s="76"/>
      <c r="BK2859" s="76"/>
      <c r="BL2859" s="76">
        <f>+BK2859*31500</f>
        <v>0</v>
      </c>
      <c r="BM2859" s="76"/>
      <c r="BN2859" s="76"/>
      <c r="BO2859" s="76"/>
      <c r="BP2859" s="76"/>
      <c r="BQ2859" s="76"/>
      <c r="BR2859" s="76"/>
      <c r="BS2859" s="76"/>
      <c r="BT2859" s="76"/>
      <c r="BU2859" s="76"/>
      <c r="BV2859" s="76"/>
      <c r="BW2859" s="76"/>
      <c r="BX2859" s="76"/>
      <c r="BY2859" s="76"/>
      <c r="BZ2859" s="76"/>
      <c r="CA2859" s="76"/>
      <c r="CB2859" s="76"/>
      <c r="CC2859" s="76"/>
      <c r="CD2859" s="76"/>
      <c r="CE2859" s="76"/>
      <c r="CF2859" s="76">
        <f>+CE2859*28000</f>
        <v>0</v>
      </c>
      <c r="CG2859" s="76"/>
      <c r="CH2859" s="76">
        <f>+CG2859*22500</f>
        <v>0</v>
      </c>
      <c r="CI2859" s="76"/>
      <c r="CJ2859" s="76">
        <f>+CI2859*26000</f>
        <v>0</v>
      </c>
      <c r="CK2859" s="76"/>
      <c r="CL2859" s="76"/>
      <c r="CM2859" s="76"/>
      <c r="CN2859" s="76">
        <f>+CM2859*22000</f>
        <v>0</v>
      </c>
      <c r="CO2859" s="76"/>
      <c r="CP2859" s="76">
        <f>+CO2859*46000</f>
        <v>0</v>
      </c>
      <c r="CQ2859" s="76"/>
      <c r="CR2859" s="76">
        <f>+CQ2859*49000</f>
        <v>0</v>
      </c>
      <c r="CS2859" s="76"/>
      <c r="CT2859" s="76"/>
      <c r="CU2859" s="56">
        <f>AN2859+AP2859+AR2859+AT2859+AV2859+AX2859+AZ2859+BB2859+BD2859+BF2859+BH2859+BJ2859+BL2859+BN2859+BP2859+BR2859+BT2859+BV2859+BX2859+BZ2859+CB2859+CD2859+CF2859+CH2859+CJ2859+CL2859+CN2859+CP2859+CR2859+CT2859</f>
        <v>0</v>
      </c>
      <c r="CV2859" s="76"/>
      <c r="CW2859" s="76">
        <f>+CV2859*1100</f>
        <v>0</v>
      </c>
      <c r="CX2859" s="76"/>
      <c r="CY2859" s="76">
        <f>+CX2859*106250</f>
        <v>0</v>
      </c>
      <c r="CZ2859" s="76"/>
      <c r="DA2859" s="76">
        <f>+CZ2859*34500</f>
        <v>0</v>
      </c>
      <c r="DB2859" s="76"/>
      <c r="DC2859" s="76">
        <f>+DB2859*25000</f>
        <v>0</v>
      </c>
      <c r="DD2859" s="219"/>
      <c r="DE2859" s="219"/>
      <c r="DF2859" s="166"/>
      <c r="DG2859" s="116"/>
      <c r="DH2859" s="117"/>
      <c r="DI2859" s="24"/>
      <c r="DJ2859" s="24"/>
      <c r="DK2859" s="24"/>
      <c r="DL2859" s="24"/>
      <c r="DM2859" s="24"/>
      <c r="DN2859" s="24"/>
      <c r="DO2859" s="24"/>
      <c r="DP2859" s="24"/>
      <c r="DQ2859" s="24"/>
      <c r="DR2859" s="24"/>
      <c r="DS2859" s="24"/>
      <c r="DT2859" s="24"/>
      <c r="DU2859" s="24"/>
    </row>
    <row r="2860" spans="1:125" s="8" customFormat="1" ht="120" x14ac:dyDescent="0.2">
      <c r="A2860" s="353">
        <v>41516</v>
      </c>
      <c r="B2860" s="352" t="s">
        <v>2772</v>
      </c>
      <c r="C2860" s="354" t="s">
        <v>1324</v>
      </c>
      <c r="D2860" s="354" t="s">
        <v>2846</v>
      </c>
      <c r="E2860" s="75" t="str">
        <f>VLOOKUP(B2860&amp;C2860,Divipola!$C$2:$F$1138,4,FALSE)</f>
        <v>25328</v>
      </c>
      <c r="F2860" s="87"/>
      <c r="G2860" s="87"/>
      <c r="H2860" s="87"/>
      <c r="I2860" s="87"/>
      <c r="J2860" s="87"/>
      <c r="K2860" s="87"/>
      <c r="L2860" s="87"/>
      <c r="M2860" s="87"/>
      <c r="N2860" s="87"/>
      <c r="O2860" s="87"/>
      <c r="P2860" s="87"/>
      <c r="Q2860" s="87"/>
      <c r="R2860" s="87"/>
      <c r="S2860" s="87"/>
      <c r="T2860" s="87"/>
      <c r="U2860" s="88">
        <v>10</v>
      </c>
      <c r="V2860" s="89"/>
      <c r="W2860" s="96">
        <v>0</v>
      </c>
      <c r="X2860" s="71">
        <f>CU2860</f>
        <v>0</v>
      </c>
      <c r="Y2860" s="71">
        <f>CY2860</f>
        <v>0</v>
      </c>
      <c r="Z2860" s="71">
        <f>DA2860+DC2860+DE2860</f>
        <v>0</v>
      </c>
      <c r="AA2860" s="71">
        <f>CW2860</f>
        <v>0</v>
      </c>
      <c r="AB2860" s="71"/>
      <c r="AC2860" s="71">
        <v>0</v>
      </c>
      <c r="AD2860" s="71">
        <f>W2860+X2860+Y2860+Z2860+AA2860+AB2860+AC2860</f>
        <v>0</v>
      </c>
      <c r="AE2860" s="72">
        <v>0</v>
      </c>
      <c r="AF2860" s="5"/>
      <c r="AG2860" s="6"/>
      <c r="AH2860" s="27"/>
      <c r="AI2860" s="44"/>
      <c r="AJ2860" s="26"/>
      <c r="AK2860" s="5"/>
      <c r="AL2860" s="82" t="s">
        <v>5744</v>
      </c>
      <c r="AM2860" s="76"/>
      <c r="AN2860" s="76"/>
      <c r="AO2860" s="76"/>
      <c r="AP2860" s="76"/>
      <c r="AQ2860" s="76"/>
      <c r="AR2860" s="76"/>
      <c r="AS2860" s="76"/>
      <c r="AT2860" s="76"/>
      <c r="AU2860" s="76"/>
      <c r="AV2860" s="76"/>
      <c r="AW2860" s="76"/>
      <c r="AX2860" s="76">
        <f>+AW2860*600000</f>
        <v>0</v>
      </c>
      <c r="AY2860" s="76"/>
      <c r="AZ2860" s="76">
        <f>+AY2860*70000</f>
        <v>0</v>
      </c>
      <c r="BA2860" s="76"/>
      <c r="BB2860" s="76"/>
      <c r="BC2860" s="76"/>
      <c r="BD2860" s="76">
        <f>+BC2860*30000</f>
        <v>0</v>
      </c>
      <c r="BE2860" s="76"/>
      <c r="BF2860" s="76"/>
      <c r="BG2860" s="76"/>
      <c r="BH2860" s="76"/>
      <c r="BI2860" s="76"/>
      <c r="BJ2860" s="76"/>
      <c r="BK2860" s="76"/>
      <c r="BL2860" s="76">
        <f>+BK2860*31500</f>
        <v>0</v>
      </c>
      <c r="BM2860" s="76"/>
      <c r="BN2860" s="76"/>
      <c r="BO2860" s="76"/>
      <c r="BP2860" s="76"/>
      <c r="BQ2860" s="76"/>
      <c r="BR2860" s="76"/>
      <c r="BS2860" s="76"/>
      <c r="BT2860" s="76"/>
      <c r="BU2860" s="76"/>
      <c r="BV2860" s="76"/>
      <c r="BW2860" s="76"/>
      <c r="BX2860" s="76"/>
      <c r="BY2860" s="76"/>
      <c r="BZ2860" s="76"/>
      <c r="CA2860" s="76"/>
      <c r="CB2860" s="76"/>
      <c r="CC2860" s="76"/>
      <c r="CD2860" s="76"/>
      <c r="CE2860" s="76"/>
      <c r="CF2860" s="76">
        <f>+CE2860*28000</f>
        <v>0</v>
      </c>
      <c r="CG2860" s="76"/>
      <c r="CH2860" s="76">
        <f>+CG2860*22500</f>
        <v>0</v>
      </c>
      <c r="CI2860" s="76"/>
      <c r="CJ2860" s="76">
        <f>+CI2860*26000</f>
        <v>0</v>
      </c>
      <c r="CK2860" s="76"/>
      <c r="CL2860" s="76"/>
      <c r="CM2860" s="76"/>
      <c r="CN2860" s="76">
        <f>+CM2860*22000</f>
        <v>0</v>
      </c>
      <c r="CO2860" s="76"/>
      <c r="CP2860" s="76">
        <f>+CO2860*46000</f>
        <v>0</v>
      </c>
      <c r="CQ2860" s="76"/>
      <c r="CR2860" s="76">
        <f>+CQ2860*49000</f>
        <v>0</v>
      </c>
      <c r="CS2860" s="76"/>
      <c r="CT2860" s="76"/>
      <c r="CU2860" s="56">
        <f>AN2860+AP2860+AR2860+AT2860+AV2860+AX2860+AZ2860+BB2860+BD2860+BF2860+BH2860+BJ2860+BL2860+BN2860+BP2860+BR2860+BT2860+BV2860+BX2860+BZ2860+CB2860+CD2860+CF2860+CH2860+CJ2860+CL2860+CN2860+CP2860+CR2860+CT2860</f>
        <v>0</v>
      </c>
      <c r="CV2860" s="76"/>
      <c r="CW2860" s="76">
        <f>+CV2860*1100</f>
        <v>0</v>
      </c>
      <c r="CX2860" s="76"/>
      <c r="CY2860" s="76">
        <f>+CX2860*106250</f>
        <v>0</v>
      </c>
      <c r="CZ2860" s="76"/>
      <c r="DA2860" s="76">
        <f>+CZ2860*34500</f>
        <v>0</v>
      </c>
      <c r="DB2860" s="76"/>
      <c r="DC2860" s="76">
        <f>+DB2860*25000</f>
        <v>0</v>
      </c>
      <c r="DD2860" s="219"/>
      <c r="DE2860" s="219"/>
      <c r="DF2860" s="166"/>
      <c r="DG2860" s="116"/>
      <c r="DH2860" s="117"/>
      <c r="DI2860" s="24"/>
      <c r="DJ2860" s="24"/>
      <c r="DK2860" s="24"/>
      <c r="DL2860" s="24"/>
      <c r="DM2860" s="24"/>
      <c r="DN2860" s="24"/>
      <c r="DO2860" s="24"/>
      <c r="DP2860" s="24"/>
      <c r="DQ2860" s="24"/>
      <c r="DR2860" s="24"/>
      <c r="DS2860" s="24"/>
      <c r="DT2860" s="24"/>
      <c r="DU2860" s="24"/>
    </row>
    <row r="2861" spans="1:125" s="8" customFormat="1" ht="84" x14ac:dyDescent="0.2">
      <c r="A2861" s="77">
        <v>41516</v>
      </c>
      <c r="B2861" s="352" t="s">
        <v>2772</v>
      </c>
      <c r="C2861" s="354" t="s">
        <v>2831</v>
      </c>
      <c r="D2861" s="354" t="s">
        <v>2846</v>
      </c>
      <c r="E2861" s="75" t="str">
        <f>VLOOKUP(B2861&amp;C2861,Divipola!$C$2:$F$1138,4,FALSE)</f>
        <v>25592</v>
      </c>
      <c r="F2861" s="87"/>
      <c r="G2861" s="87"/>
      <c r="H2861" s="87"/>
      <c r="I2861" s="87"/>
      <c r="J2861" s="87"/>
      <c r="K2861" s="87"/>
      <c r="L2861" s="87"/>
      <c r="M2861" s="87"/>
      <c r="N2861" s="87"/>
      <c r="O2861" s="87"/>
      <c r="P2861" s="87"/>
      <c r="Q2861" s="87"/>
      <c r="R2861" s="87"/>
      <c r="S2861" s="87"/>
      <c r="T2861" s="87"/>
      <c r="U2861" s="88">
        <v>2</v>
      </c>
      <c r="V2861" s="89"/>
      <c r="W2861" s="96">
        <v>0</v>
      </c>
      <c r="X2861" s="71">
        <f>CU2861</f>
        <v>0</v>
      </c>
      <c r="Y2861" s="71">
        <f>CY2861</f>
        <v>0</v>
      </c>
      <c r="Z2861" s="71">
        <f>DA2861+DC2861+DE2861</f>
        <v>0</v>
      </c>
      <c r="AA2861" s="71">
        <f>CW2861</f>
        <v>0</v>
      </c>
      <c r="AB2861" s="71"/>
      <c r="AC2861" s="71">
        <v>0</v>
      </c>
      <c r="AD2861" s="71">
        <f>W2861+X2861+Y2861+Z2861+AA2861+AB2861+AC2861</f>
        <v>0</v>
      </c>
      <c r="AE2861" s="72">
        <v>0</v>
      </c>
      <c r="AF2861" s="5"/>
      <c r="AG2861" s="6"/>
      <c r="AH2861" s="27"/>
      <c r="AI2861" s="44"/>
      <c r="AJ2861" s="26"/>
      <c r="AK2861" s="5"/>
      <c r="AL2861" s="9" t="s">
        <v>5782</v>
      </c>
      <c r="AM2861" s="76"/>
      <c r="AN2861" s="76"/>
      <c r="AO2861" s="76"/>
      <c r="AP2861" s="76"/>
      <c r="AQ2861" s="76"/>
      <c r="AR2861" s="76"/>
      <c r="AS2861" s="76"/>
      <c r="AT2861" s="76"/>
      <c r="AU2861" s="76"/>
      <c r="AV2861" s="76"/>
      <c r="AW2861" s="76"/>
      <c r="AX2861" s="76">
        <f>+AW2861*600000</f>
        <v>0</v>
      </c>
      <c r="AY2861" s="76"/>
      <c r="AZ2861" s="76">
        <f>+AY2861*70000</f>
        <v>0</v>
      </c>
      <c r="BA2861" s="76"/>
      <c r="BB2861" s="76"/>
      <c r="BC2861" s="76"/>
      <c r="BD2861" s="76">
        <f>+BC2861*30000</f>
        <v>0</v>
      </c>
      <c r="BE2861" s="76"/>
      <c r="BF2861" s="76"/>
      <c r="BG2861" s="76"/>
      <c r="BH2861" s="76"/>
      <c r="BI2861" s="76"/>
      <c r="BJ2861" s="76"/>
      <c r="BK2861" s="76"/>
      <c r="BL2861" s="76">
        <f>+BK2861*31500</f>
        <v>0</v>
      </c>
      <c r="BM2861" s="76"/>
      <c r="BN2861" s="76"/>
      <c r="BO2861" s="76"/>
      <c r="BP2861" s="76"/>
      <c r="BQ2861" s="76"/>
      <c r="BR2861" s="76"/>
      <c r="BS2861" s="76"/>
      <c r="BT2861" s="76"/>
      <c r="BU2861" s="76"/>
      <c r="BV2861" s="76"/>
      <c r="BW2861" s="76"/>
      <c r="BX2861" s="76"/>
      <c r="BY2861" s="76"/>
      <c r="BZ2861" s="76"/>
      <c r="CA2861" s="76"/>
      <c r="CB2861" s="76"/>
      <c r="CC2861" s="76"/>
      <c r="CD2861" s="76"/>
      <c r="CE2861" s="76"/>
      <c r="CF2861" s="76">
        <f>+CE2861*28000</f>
        <v>0</v>
      </c>
      <c r="CG2861" s="76"/>
      <c r="CH2861" s="76">
        <f>+CG2861*22500</f>
        <v>0</v>
      </c>
      <c r="CI2861" s="76"/>
      <c r="CJ2861" s="76">
        <f>+CI2861*26000</f>
        <v>0</v>
      </c>
      <c r="CK2861" s="76"/>
      <c r="CL2861" s="76"/>
      <c r="CM2861" s="76"/>
      <c r="CN2861" s="76">
        <f>+CM2861*22000</f>
        <v>0</v>
      </c>
      <c r="CO2861" s="76"/>
      <c r="CP2861" s="76">
        <f>+CO2861*46000</f>
        <v>0</v>
      </c>
      <c r="CQ2861" s="76"/>
      <c r="CR2861" s="76">
        <f>+CQ2861*49000</f>
        <v>0</v>
      </c>
      <c r="CS2861" s="76"/>
      <c r="CT2861" s="76"/>
      <c r="CU2861" s="56">
        <f>AN2861+AP2861+AR2861+AT2861+AV2861+AX2861+AZ2861+BB2861+BD2861+BF2861+BH2861+BJ2861+BL2861+BN2861+BP2861+BR2861+BT2861+BV2861+BX2861+BZ2861+CB2861+CD2861+CF2861+CH2861+CJ2861+CL2861+CN2861+CP2861+CR2861+CT2861</f>
        <v>0</v>
      </c>
      <c r="CV2861" s="76"/>
      <c r="CW2861" s="76">
        <f>+CV2861*1100</f>
        <v>0</v>
      </c>
      <c r="CX2861" s="76"/>
      <c r="CY2861" s="76">
        <f>+CX2861*106250</f>
        <v>0</v>
      </c>
      <c r="CZ2861" s="76"/>
      <c r="DA2861" s="76">
        <f>+CZ2861*34500</f>
        <v>0</v>
      </c>
      <c r="DB2861" s="76"/>
      <c r="DC2861" s="76">
        <f>+DB2861*25000</f>
        <v>0</v>
      </c>
      <c r="DD2861" s="219"/>
      <c r="DE2861" s="219"/>
      <c r="DF2861" s="166"/>
      <c r="DG2861" s="116"/>
      <c r="DH2861" s="117"/>
      <c r="DI2861" s="24"/>
      <c r="DJ2861" s="24"/>
      <c r="DK2861" s="24"/>
      <c r="DL2861" s="24"/>
      <c r="DM2861" s="24"/>
      <c r="DN2861" s="24"/>
      <c r="DO2861" s="24"/>
      <c r="DP2861" s="24"/>
      <c r="DQ2861" s="24"/>
      <c r="DR2861" s="24"/>
      <c r="DS2861" s="24"/>
      <c r="DT2861" s="24"/>
      <c r="DU2861" s="24"/>
    </row>
    <row r="2862" spans="1:125" s="8" customFormat="1" ht="36" x14ac:dyDescent="0.2">
      <c r="A2862" s="353">
        <v>41516</v>
      </c>
      <c r="B2862" s="352" t="s">
        <v>2291</v>
      </c>
      <c r="C2862" s="354" t="s">
        <v>2292</v>
      </c>
      <c r="D2862" s="354" t="s">
        <v>2859</v>
      </c>
      <c r="E2862" s="75" t="str">
        <f>VLOOKUP(B2862&amp;C2862,Divipola!$C$2:$F$1138,4,FALSE)</f>
        <v>94001</v>
      </c>
      <c r="F2862" s="87"/>
      <c r="G2862" s="87"/>
      <c r="H2862" s="87"/>
      <c r="I2862" s="87">
        <v>5</v>
      </c>
      <c r="J2862" s="87">
        <v>1</v>
      </c>
      <c r="K2862" s="87">
        <v>1</v>
      </c>
      <c r="L2862" s="87"/>
      <c r="M2862" s="87"/>
      <c r="N2862" s="87"/>
      <c r="O2862" s="87"/>
      <c r="P2862" s="87"/>
      <c r="Q2862" s="87"/>
      <c r="R2862" s="87"/>
      <c r="S2862" s="87"/>
      <c r="T2862" s="87"/>
      <c r="U2862" s="88"/>
      <c r="V2862" s="89"/>
      <c r="W2862" s="96">
        <v>0</v>
      </c>
      <c r="X2862" s="71">
        <f>CU2862</f>
        <v>0</v>
      </c>
      <c r="Y2862" s="71">
        <f>CY2862</f>
        <v>0</v>
      </c>
      <c r="Z2862" s="71">
        <f>DA2862+DC2862+DE2862</f>
        <v>0</v>
      </c>
      <c r="AA2862" s="71">
        <f>CW2862</f>
        <v>0</v>
      </c>
      <c r="AB2862" s="71"/>
      <c r="AC2862" s="71">
        <v>0</v>
      </c>
      <c r="AD2862" s="71">
        <f>W2862+X2862+Y2862+Z2862+AA2862+AB2862+AC2862</f>
        <v>0</v>
      </c>
      <c r="AE2862" s="72">
        <v>0</v>
      </c>
      <c r="AF2862" s="5"/>
      <c r="AG2862" s="6"/>
      <c r="AH2862" s="27"/>
      <c r="AI2862" s="44"/>
      <c r="AJ2862" s="26"/>
      <c r="AK2862" s="5"/>
      <c r="AL2862" s="82" t="s">
        <v>5747</v>
      </c>
      <c r="AM2862" s="76"/>
      <c r="AN2862" s="76"/>
      <c r="AO2862" s="76"/>
      <c r="AP2862" s="76"/>
      <c r="AQ2862" s="76"/>
      <c r="AR2862" s="76"/>
      <c r="AS2862" s="76"/>
      <c r="AT2862" s="76"/>
      <c r="AU2862" s="76"/>
      <c r="AV2862" s="76"/>
      <c r="AW2862" s="76"/>
      <c r="AX2862" s="76">
        <f>+AW2862*600000</f>
        <v>0</v>
      </c>
      <c r="AY2862" s="76"/>
      <c r="AZ2862" s="76">
        <f>+AY2862*70000</f>
        <v>0</v>
      </c>
      <c r="BA2862" s="76"/>
      <c r="BB2862" s="76"/>
      <c r="BC2862" s="76"/>
      <c r="BD2862" s="76">
        <f>+BC2862*30000</f>
        <v>0</v>
      </c>
      <c r="BE2862" s="76"/>
      <c r="BF2862" s="76"/>
      <c r="BG2862" s="76"/>
      <c r="BH2862" s="76"/>
      <c r="BI2862" s="76"/>
      <c r="BJ2862" s="76"/>
      <c r="BK2862" s="76"/>
      <c r="BL2862" s="76">
        <f>+BK2862*31500</f>
        <v>0</v>
      </c>
      <c r="BM2862" s="76"/>
      <c r="BN2862" s="76"/>
      <c r="BO2862" s="76"/>
      <c r="BP2862" s="76"/>
      <c r="BQ2862" s="76"/>
      <c r="BR2862" s="76"/>
      <c r="BS2862" s="76"/>
      <c r="BT2862" s="76"/>
      <c r="BU2862" s="76"/>
      <c r="BV2862" s="76"/>
      <c r="BW2862" s="76"/>
      <c r="BX2862" s="76"/>
      <c r="BY2862" s="76"/>
      <c r="BZ2862" s="76"/>
      <c r="CA2862" s="76"/>
      <c r="CB2862" s="76"/>
      <c r="CC2862" s="76"/>
      <c r="CD2862" s="76"/>
      <c r="CE2862" s="76"/>
      <c r="CF2862" s="76">
        <f>+CE2862*28000</f>
        <v>0</v>
      </c>
      <c r="CG2862" s="76"/>
      <c r="CH2862" s="76">
        <f>+CG2862*22500</f>
        <v>0</v>
      </c>
      <c r="CI2862" s="76"/>
      <c r="CJ2862" s="76">
        <f>+CI2862*26000</f>
        <v>0</v>
      </c>
      <c r="CK2862" s="76"/>
      <c r="CL2862" s="76"/>
      <c r="CM2862" s="76"/>
      <c r="CN2862" s="76">
        <f>+CM2862*22000</f>
        <v>0</v>
      </c>
      <c r="CO2862" s="76"/>
      <c r="CP2862" s="76">
        <f>+CO2862*46000</f>
        <v>0</v>
      </c>
      <c r="CQ2862" s="76"/>
      <c r="CR2862" s="76">
        <f>+CQ2862*49000</f>
        <v>0</v>
      </c>
      <c r="CS2862" s="76"/>
      <c r="CT2862" s="76"/>
      <c r="CU2862" s="56">
        <f>AN2862+AP2862+AR2862+AT2862+AV2862+AX2862+AZ2862+BB2862+BD2862+BF2862+BH2862+BJ2862+BL2862+BN2862+BP2862+BR2862+BT2862+BV2862+BX2862+BZ2862+CB2862+CD2862+CF2862+CH2862+CJ2862+CL2862+CN2862+CP2862+CR2862+CT2862</f>
        <v>0</v>
      </c>
      <c r="CV2862" s="76"/>
      <c r="CW2862" s="76">
        <f>+CV2862*1100</f>
        <v>0</v>
      </c>
      <c r="CX2862" s="76"/>
      <c r="CY2862" s="76">
        <f>+CX2862*106250</f>
        <v>0</v>
      </c>
      <c r="CZ2862" s="76"/>
      <c r="DA2862" s="76">
        <f>+CZ2862*34500</f>
        <v>0</v>
      </c>
      <c r="DB2862" s="76"/>
      <c r="DC2862" s="76">
        <f>+DB2862*25000</f>
        <v>0</v>
      </c>
      <c r="DD2862" s="219"/>
      <c r="DE2862" s="219"/>
      <c r="DF2862" s="166"/>
      <c r="DG2862" s="116"/>
      <c r="DH2862" s="117"/>
      <c r="DI2862" s="24"/>
      <c r="DJ2862" s="24"/>
      <c r="DK2862" s="24"/>
      <c r="DL2862" s="24"/>
      <c r="DM2862" s="24"/>
      <c r="DN2862" s="24"/>
      <c r="DO2862" s="24"/>
      <c r="DP2862" s="24"/>
      <c r="DQ2862" s="24"/>
      <c r="DR2862" s="24"/>
      <c r="DS2862" s="24"/>
      <c r="DT2862" s="24"/>
      <c r="DU2862" s="24"/>
    </row>
    <row r="2863" spans="1:125" s="8" customFormat="1" ht="60" x14ac:dyDescent="0.2">
      <c r="A2863" s="97">
        <v>41516</v>
      </c>
      <c r="B2863" s="60" t="s">
        <v>2906</v>
      </c>
      <c r="C2863" s="55" t="s">
        <v>450</v>
      </c>
      <c r="D2863" s="55" t="s">
        <v>3051</v>
      </c>
      <c r="E2863" s="75" t="str">
        <f>VLOOKUP(B2863&amp;C2863,Divipola!$C$2:$F$1138,4,FALSE)</f>
        <v>47555</v>
      </c>
      <c r="F2863" s="87"/>
      <c r="G2863" s="87"/>
      <c r="H2863" s="87"/>
      <c r="I2863" s="87">
        <v>75</v>
      </c>
      <c r="J2863" s="87">
        <v>15</v>
      </c>
      <c r="K2863" s="87">
        <v>1</v>
      </c>
      <c r="L2863" s="87">
        <v>10</v>
      </c>
      <c r="M2863" s="87"/>
      <c r="N2863" s="87"/>
      <c r="O2863" s="87"/>
      <c r="P2863" s="87"/>
      <c r="Q2863" s="87"/>
      <c r="R2863" s="87"/>
      <c r="S2863" s="87"/>
      <c r="T2863" s="87"/>
      <c r="U2863" s="88"/>
      <c r="V2863" s="89"/>
      <c r="W2863" s="96">
        <v>0</v>
      </c>
      <c r="X2863" s="71">
        <f>CU2863</f>
        <v>0</v>
      </c>
      <c r="Y2863" s="71">
        <f>CY2863</f>
        <v>0</v>
      </c>
      <c r="Z2863" s="71">
        <f>DA2863+DC2863+DE2863</f>
        <v>0</v>
      </c>
      <c r="AA2863" s="71">
        <f>CW2863</f>
        <v>0</v>
      </c>
      <c r="AB2863" s="71"/>
      <c r="AC2863" s="71">
        <v>0</v>
      </c>
      <c r="AD2863" s="71">
        <f>W2863+X2863+Y2863+Z2863+AA2863+AB2863+AC2863</f>
        <v>0</v>
      </c>
      <c r="AE2863" s="72">
        <v>0</v>
      </c>
      <c r="AF2863" s="5"/>
      <c r="AG2863" s="6"/>
      <c r="AH2863" s="27"/>
      <c r="AI2863" s="44"/>
      <c r="AJ2863" s="26"/>
      <c r="AK2863" s="5"/>
      <c r="AL2863" s="268" t="s">
        <v>5757</v>
      </c>
      <c r="AM2863" s="76"/>
      <c r="AN2863" s="76"/>
      <c r="AO2863" s="76"/>
      <c r="AP2863" s="76"/>
      <c r="AQ2863" s="76"/>
      <c r="AR2863" s="76"/>
      <c r="AS2863" s="76"/>
      <c r="AT2863" s="76"/>
      <c r="AU2863" s="76"/>
      <c r="AV2863" s="76"/>
      <c r="AW2863" s="76"/>
      <c r="AX2863" s="76">
        <f>+AW2863*600000</f>
        <v>0</v>
      </c>
      <c r="AY2863" s="76"/>
      <c r="AZ2863" s="76">
        <f>+AY2863*70000</f>
        <v>0</v>
      </c>
      <c r="BA2863" s="76"/>
      <c r="BB2863" s="76"/>
      <c r="BC2863" s="76"/>
      <c r="BD2863" s="76">
        <f>+BC2863*30000</f>
        <v>0</v>
      </c>
      <c r="BE2863" s="76"/>
      <c r="BF2863" s="76"/>
      <c r="BG2863" s="76"/>
      <c r="BH2863" s="76"/>
      <c r="BI2863" s="76"/>
      <c r="BJ2863" s="76"/>
      <c r="BK2863" s="76"/>
      <c r="BL2863" s="76">
        <f>+BK2863*31500</f>
        <v>0</v>
      </c>
      <c r="BM2863" s="76"/>
      <c r="BN2863" s="76"/>
      <c r="BO2863" s="76"/>
      <c r="BP2863" s="76"/>
      <c r="BQ2863" s="76"/>
      <c r="BR2863" s="76"/>
      <c r="BS2863" s="76"/>
      <c r="BT2863" s="76"/>
      <c r="BU2863" s="76"/>
      <c r="BV2863" s="76"/>
      <c r="BW2863" s="76"/>
      <c r="BX2863" s="76"/>
      <c r="BY2863" s="76"/>
      <c r="BZ2863" s="76"/>
      <c r="CA2863" s="76"/>
      <c r="CB2863" s="76"/>
      <c r="CC2863" s="76"/>
      <c r="CD2863" s="76"/>
      <c r="CE2863" s="76"/>
      <c r="CF2863" s="76">
        <f>+CE2863*28000</f>
        <v>0</v>
      </c>
      <c r="CG2863" s="76"/>
      <c r="CH2863" s="76">
        <f>+CG2863*22500</f>
        <v>0</v>
      </c>
      <c r="CI2863" s="76"/>
      <c r="CJ2863" s="76">
        <f>+CI2863*26000</f>
        <v>0</v>
      </c>
      <c r="CK2863" s="76"/>
      <c r="CL2863" s="76"/>
      <c r="CM2863" s="76"/>
      <c r="CN2863" s="76">
        <f>+CM2863*22000</f>
        <v>0</v>
      </c>
      <c r="CO2863" s="76"/>
      <c r="CP2863" s="76">
        <f>+CO2863*46000</f>
        <v>0</v>
      </c>
      <c r="CQ2863" s="76"/>
      <c r="CR2863" s="76">
        <f>+CQ2863*49000</f>
        <v>0</v>
      </c>
      <c r="CS2863" s="76"/>
      <c r="CT2863" s="76"/>
      <c r="CU2863" s="56">
        <f>AN2863+AP2863+AR2863+AT2863+AV2863+AX2863+AZ2863+BB2863+BD2863+BF2863+BH2863+BJ2863+BL2863+BN2863+BP2863+BR2863+BT2863+BV2863+BX2863+BZ2863+CB2863+CD2863+CF2863+CH2863+CJ2863+CL2863+CN2863+CP2863+CR2863+CT2863</f>
        <v>0</v>
      </c>
      <c r="CV2863" s="76"/>
      <c r="CW2863" s="76">
        <f>+CV2863*1100</f>
        <v>0</v>
      </c>
      <c r="CX2863" s="76"/>
      <c r="CY2863" s="76">
        <f>+CX2863*106250</f>
        <v>0</v>
      </c>
      <c r="CZ2863" s="76"/>
      <c r="DA2863" s="76">
        <f>+CZ2863*34500</f>
        <v>0</v>
      </c>
      <c r="DB2863" s="76"/>
      <c r="DC2863" s="76">
        <f>+DB2863*25000</f>
        <v>0</v>
      </c>
      <c r="DD2863" s="219"/>
      <c r="DE2863" s="219"/>
      <c r="DF2863" s="166"/>
      <c r="DG2863" s="116"/>
      <c r="DH2863" s="117"/>
      <c r="DI2863" s="24"/>
      <c r="DJ2863" s="24"/>
      <c r="DK2863" s="24"/>
      <c r="DL2863" s="24"/>
      <c r="DM2863" s="24"/>
      <c r="DN2863" s="24"/>
      <c r="DO2863" s="24"/>
      <c r="DP2863" s="24"/>
      <c r="DQ2863" s="24"/>
      <c r="DR2863" s="24"/>
      <c r="DS2863" s="24"/>
      <c r="DT2863" s="24"/>
      <c r="DU2863" s="24"/>
    </row>
    <row r="2864" spans="1:125" s="8" customFormat="1" ht="48" x14ac:dyDescent="0.2">
      <c r="A2864" s="353">
        <v>41516</v>
      </c>
      <c r="B2864" s="225" t="s">
        <v>2811</v>
      </c>
      <c r="C2864" s="227" t="s">
        <v>8</v>
      </c>
      <c r="D2864" s="227" t="s">
        <v>2846</v>
      </c>
      <c r="E2864" s="75" t="str">
        <f>VLOOKUP(B2864&amp;C2864,Divipola!$C$2:$F$1138,4,FALSE)</f>
        <v>52207</v>
      </c>
      <c r="F2864" s="87"/>
      <c r="G2864" s="87"/>
      <c r="H2864" s="87"/>
      <c r="I2864" s="87"/>
      <c r="J2864" s="87"/>
      <c r="K2864" s="87"/>
      <c r="L2864" s="87"/>
      <c r="M2864" s="87"/>
      <c r="N2864" s="87"/>
      <c r="O2864" s="87"/>
      <c r="P2864" s="87"/>
      <c r="Q2864" s="87"/>
      <c r="R2864" s="87"/>
      <c r="S2864" s="87"/>
      <c r="T2864" s="87"/>
      <c r="U2864" s="88">
        <v>3</v>
      </c>
      <c r="V2864" s="89"/>
      <c r="W2864" s="96">
        <v>0</v>
      </c>
      <c r="X2864" s="71">
        <f>CU2864</f>
        <v>0</v>
      </c>
      <c r="Y2864" s="71">
        <f>CY2864</f>
        <v>0</v>
      </c>
      <c r="Z2864" s="71">
        <f>DA2864+DC2864+DE2864</f>
        <v>0</v>
      </c>
      <c r="AA2864" s="71">
        <f>CW2864</f>
        <v>0</v>
      </c>
      <c r="AB2864" s="71"/>
      <c r="AC2864" s="71">
        <v>0</v>
      </c>
      <c r="AD2864" s="71">
        <f>W2864+X2864+Y2864+Z2864+AA2864+AB2864+AC2864</f>
        <v>0</v>
      </c>
      <c r="AE2864" s="72">
        <v>0</v>
      </c>
      <c r="AF2864" s="5"/>
      <c r="AG2864" s="6"/>
      <c r="AH2864" s="27"/>
      <c r="AI2864" s="44"/>
      <c r="AJ2864" s="26"/>
      <c r="AK2864" s="5"/>
      <c r="AL2864" s="82" t="s">
        <v>5739</v>
      </c>
      <c r="AM2864" s="76"/>
      <c r="AN2864" s="76"/>
      <c r="AO2864" s="76"/>
      <c r="AP2864" s="76"/>
      <c r="AQ2864" s="76"/>
      <c r="AR2864" s="76"/>
      <c r="AS2864" s="76"/>
      <c r="AT2864" s="76"/>
      <c r="AU2864" s="76"/>
      <c r="AV2864" s="76"/>
      <c r="AW2864" s="76"/>
      <c r="AX2864" s="76">
        <f>+AW2864*600000</f>
        <v>0</v>
      </c>
      <c r="AY2864" s="76"/>
      <c r="AZ2864" s="76">
        <f>+AY2864*70000</f>
        <v>0</v>
      </c>
      <c r="BA2864" s="76"/>
      <c r="BB2864" s="76"/>
      <c r="BC2864" s="76"/>
      <c r="BD2864" s="76">
        <f>+BC2864*30000</f>
        <v>0</v>
      </c>
      <c r="BE2864" s="76"/>
      <c r="BF2864" s="76"/>
      <c r="BG2864" s="76"/>
      <c r="BH2864" s="76"/>
      <c r="BI2864" s="76"/>
      <c r="BJ2864" s="76"/>
      <c r="BK2864" s="76"/>
      <c r="BL2864" s="76">
        <f>+BK2864*31500</f>
        <v>0</v>
      </c>
      <c r="BM2864" s="76"/>
      <c r="BN2864" s="76"/>
      <c r="BO2864" s="76"/>
      <c r="BP2864" s="76"/>
      <c r="BQ2864" s="76"/>
      <c r="BR2864" s="76"/>
      <c r="BS2864" s="76"/>
      <c r="BT2864" s="76"/>
      <c r="BU2864" s="76"/>
      <c r="BV2864" s="76"/>
      <c r="BW2864" s="76"/>
      <c r="BX2864" s="76"/>
      <c r="BY2864" s="76"/>
      <c r="BZ2864" s="76"/>
      <c r="CA2864" s="76"/>
      <c r="CB2864" s="76"/>
      <c r="CC2864" s="76"/>
      <c r="CD2864" s="76"/>
      <c r="CE2864" s="76"/>
      <c r="CF2864" s="76">
        <f>+CE2864*28000</f>
        <v>0</v>
      </c>
      <c r="CG2864" s="76"/>
      <c r="CH2864" s="76">
        <f>+CG2864*22500</f>
        <v>0</v>
      </c>
      <c r="CI2864" s="76"/>
      <c r="CJ2864" s="76">
        <f>+CI2864*26000</f>
        <v>0</v>
      </c>
      <c r="CK2864" s="76"/>
      <c r="CL2864" s="76"/>
      <c r="CM2864" s="76"/>
      <c r="CN2864" s="76">
        <f>+CM2864*22000</f>
        <v>0</v>
      </c>
      <c r="CO2864" s="76"/>
      <c r="CP2864" s="76">
        <f>+CO2864*46000</f>
        <v>0</v>
      </c>
      <c r="CQ2864" s="76"/>
      <c r="CR2864" s="76">
        <f>+CQ2864*49000</f>
        <v>0</v>
      </c>
      <c r="CS2864" s="76"/>
      <c r="CT2864" s="76"/>
      <c r="CU2864" s="56">
        <f>AN2864+AP2864+AR2864+AT2864+AV2864+AX2864+AZ2864+BB2864+BD2864+BF2864+BH2864+BJ2864+BL2864+BN2864+BP2864+BR2864+BT2864+BV2864+BX2864+BZ2864+CB2864+CD2864+CF2864+CH2864+CJ2864+CL2864+CN2864+CP2864+CR2864+CT2864</f>
        <v>0</v>
      </c>
      <c r="CV2864" s="76"/>
      <c r="CW2864" s="76">
        <f>+CV2864*1100</f>
        <v>0</v>
      </c>
      <c r="CX2864" s="76"/>
      <c r="CY2864" s="76">
        <f>+CX2864*106250</f>
        <v>0</v>
      </c>
      <c r="CZ2864" s="76"/>
      <c r="DA2864" s="76">
        <f>+CZ2864*34500</f>
        <v>0</v>
      </c>
      <c r="DB2864" s="76"/>
      <c r="DC2864" s="76">
        <f>+DB2864*25000</f>
        <v>0</v>
      </c>
      <c r="DD2864" s="219"/>
      <c r="DE2864" s="219"/>
      <c r="DF2864" s="166"/>
      <c r="DG2864" s="116"/>
      <c r="DH2864" s="117"/>
      <c r="DI2864" s="24"/>
      <c r="DJ2864" s="24"/>
      <c r="DK2864" s="24"/>
      <c r="DL2864" s="24"/>
      <c r="DM2864" s="24"/>
      <c r="DN2864" s="24"/>
      <c r="DO2864" s="24"/>
      <c r="DP2864" s="24"/>
      <c r="DQ2864" s="24"/>
      <c r="DR2864" s="24"/>
      <c r="DS2864" s="24"/>
      <c r="DT2864" s="24"/>
      <c r="DU2864" s="24"/>
    </row>
    <row r="2865" spans="1:125" s="8" customFormat="1" ht="36" x14ac:dyDescent="0.2">
      <c r="A2865" s="353">
        <v>41516</v>
      </c>
      <c r="B2865" s="352" t="s">
        <v>2811</v>
      </c>
      <c r="C2865" s="354" t="s">
        <v>2657</v>
      </c>
      <c r="D2865" s="354" t="s">
        <v>2846</v>
      </c>
      <c r="E2865" s="75" t="str">
        <f>VLOOKUP(B2865&amp;C2865,Divipola!$C$2:$F$1138,4,FALSE)</f>
        <v>52381</v>
      </c>
      <c r="F2865" s="87"/>
      <c r="G2865" s="87"/>
      <c r="H2865" s="87"/>
      <c r="I2865" s="87"/>
      <c r="J2865" s="87"/>
      <c r="K2865" s="87"/>
      <c r="L2865" s="87"/>
      <c r="M2865" s="87"/>
      <c r="N2865" s="87"/>
      <c r="O2865" s="87"/>
      <c r="P2865" s="87"/>
      <c r="Q2865" s="87"/>
      <c r="R2865" s="87"/>
      <c r="S2865" s="87"/>
      <c r="T2865" s="87"/>
      <c r="U2865" s="88"/>
      <c r="V2865" s="89"/>
      <c r="W2865" s="96">
        <v>0</v>
      </c>
      <c r="X2865" s="71">
        <f>CU2865</f>
        <v>0</v>
      </c>
      <c r="Y2865" s="71">
        <f>CY2865</f>
        <v>0</v>
      </c>
      <c r="Z2865" s="71">
        <f>DA2865+DC2865+DE2865</f>
        <v>0</v>
      </c>
      <c r="AA2865" s="71">
        <f>CW2865</f>
        <v>0</v>
      </c>
      <c r="AB2865" s="71"/>
      <c r="AC2865" s="71">
        <v>0</v>
      </c>
      <c r="AD2865" s="71">
        <f>W2865+X2865+Y2865+Z2865+AA2865+AB2865+AC2865</f>
        <v>0</v>
      </c>
      <c r="AE2865" s="72">
        <v>0</v>
      </c>
      <c r="AF2865" s="5"/>
      <c r="AG2865" s="6"/>
      <c r="AH2865" s="27"/>
      <c r="AI2865" s="44"/>
      <c r="AJ2865" s="26"/>
      <c r="AK2865" s="5"/>
      <c r="AL2865" s="82" t="s">
        <v>5740</v>
      </c>
      <c r="AM2865" s="76"/>
      <c r="AN2865" s="76"/>
      <c r="AO2865" s="76"/>
      <c r="AP2865" s="76"/>
      <c r="AQ2865" s="76"/>
      <c r="AR2865" s="76"/>
      <c r="AS2865" s="76"/>
      <c r="AT2865" s="76"/>
      <c r="AU2865" s="76"/>
      <c r="AV2865" s="76"/>
      <c r="AW2865" s="76"/>
      <c r="AX2865" s="76">
        <f>+AW2865*600000</f>
        <v>0</v>
      </c>
      <c r="AY2865" s="76"/>
      <c r="AZ2865" s="76">
        <f>+AY2865*70000</f>
        <v>0</v>
      </c>
      <c r="BA2865" s="76"/>
      <c r="BB2865" s="76"/>
      <c r="BC2865" s="76"/>
      <c r="BD2865" s="76">
        <f>+BC2865*30000</f>
        <v>0</v>
      </c>
      <c r="BE2865" s="76"/>
      <c r="BF2865" s="76"/>
      <c r="BG2865" s="76"/>
      <c r="BH2865" s="76"/>
      <c r="BI2865" s="76"/>
      <c r="BJ2865" s="76"/>
      <c r="BK2865" s="76"/>
      <c r="BL2865" s="76">
        <f>+BK2865*31500</f>
        <v>0</v>
      </c>
      <c r="BM2865" s="76"/>
      <c r="BN2865" s="76"/>
      <c r="BO2865" s="76"/>
      <c r="BP2865" s="76"/>
      <c r="BQ2865" s="76"/>
      <c r="BR2865" s="76"/>
      <c r="BS2865" s="76"/>
      <c r="BT2865" s="76"/>
      <c r="BU2865" s="76"/>
      <c r="BV2865" s="76"/>
      <c r="BW2865" s="76"/>
      <c r="BX2865" s="76"/>
      <c r="BY2865" s="76"/>
      <c r="BZ2865" s="76"/>
      <c r="CA2865" s="76"/>
      <c r="CB2865" s="76"/>
      <c r="CC2865" s="76"/>
      <c r="CD2865" s="76"/>
      <c r="CE2865" s="76"/>
      <c r="CF2865" s="76">
        <f>+CE2865*28000</f>
        <v>0</v>
      </c>
      <c r="CG2865" s="76"/>
      <c r="CH2865" s="76">
        <f>+CG2865*22500</f>
        <v>0</v>
      </c>
      <c r="CI2865" s="76"/>
      <c r="CJ2865" s="76">
        <f>+CI2865*26000</f>
        <v>0</v>
      </c>
      <c r="CK2865" s="76"/>
      <c r="CL2865" s="76"/>
      <c r="CM2865" s="76"/>
      <c r="CN2865" s="76">
        <f>+CM2865*22000</f>
        <v>0</v>
      </c>
      <c r="CO2865" s="76"/>
      <c r="CP2865" s="76">
        <f>+CO2865*46000</f>
        <v>0</v>
      </c>
      <c r="CQ2865" s="76"/>
      <c r="CR2865" s="76">
        <f>+CQ2865*49000</f>
        <v>0</v>
      </c>
      <c r="CS2865" s="76"/>
      <c r="CT2865" s="76"/>
      <c r="CU2865" s="56">
        <f>AN2865+AP2865+AR2865+AT2865+AV2865+AX2865+AZ2865+BB2865+BD2865+BF2865+BH2865+BJ2865+BL2865+BN2865+BP2865+BR2865+BT2865+BV2865+BX2865+BZ2865+CB2865+CD2865+CF2865+CH2865+CJ2865+CL2865+CN2865+CP2865+CR2865+CT2865</f>
        <v>0</v>
      </c>
      <c r="CV2865" s="76"/>
      <c r="CW2865" s="76">
        <f>+CV2865*1100</f>
        <v>0</v>
      </c>
      <c r="CX2865" s="76"/>
      <c r="CY2865" s="76">
        <f>+CX2865*106250</f>
        <v>0</v>
      </c>
      <c r="CZ2865" s="76"/>
      <c r="DA2865" s="76">
        <f>+CZ2865*34500</f>
        <v>0</v>
      </c>
      <c r="DB2865" s="76"/>
      <c r="DC2865" s="76">
        <f>+DB2865*25000</f>
        <v>0</v>
      </c>
      <c r="DD2865" s="219"/>
      <c r="DE2865" s="219"/>
      <c r="DF2865" s="166"/>
      <c r="DG2865" s="116"/>
      <c r="DH2865" s="117"/>
      <c r="DI2865" s="24"/>
      <c r="DJ2865" s="24"/>
      <c r="DK2865" s="24"/>
      <c r="DL2865" s="24"/>
      <c r="DM2865" s="24"/>
      <c r="DN2865" s="24"/>
      <c r="DO2865" s="24"/>
      <c r="DP2865" s="24"/>
      <c r="DQ2865" s="24"/>
      <c r="DR2865" s="24"/>
      <c r="DS2865" s="24"/>
      <c r="DT2865" s="24"/>
      <c r="DU2865" s="24"/>
    </row>
    <row r="2866" spans="1:125" s="8" customFormat="1" ht="36" x14ac:dyDescent="0.2">
      <c r="A2866" s="353">
        <v>41516</v>
      </c>
      <c r="B2866" s="352" t="s">
        <v>2811</v>
      </c>
      <c r="C2866" s="354" t="s">
        <v>2131</v>
      </c>
      <c r="D2866" s="354" t="s">
        <v>2846</v>
      </c>
      <c r="E2866" s="75" t="str">
        <f>VLOOKUP(B2866&amp;C2866,Divipola!$C$2:$F$1138,4,FALSE)</f>
        <v>52001</v>
      </c>
      <c r="F2866" s="87"/>
      <c r="G2866" s="87"/>
      <c r="H2866" s="87"/>
      <c r="I2866" s="87"/>
      <c r="J2866" s="87"/>
      <c r="K2866" s="87"/>
      <c r="L2866" s="87"/>
      <c r="M2866" s="87"/>
      <c r="N2866" s="87"/>
      <c r="O2866" s="87"/>
      <c r="P2866" s="87"/>
      <c r="Q2866" s="87"/>
      <c r="R2866" s="87"/>
      <c r="S2866" s="87"/>
      <c r="T2866" s="87"/>
      <c r="U2866" s="88"/>
      <c r="V2866" s="89"/>
      <c r="W2866" s="96">
        <v>0</v>
      </c>
      <c r="X2866" s="71">
        <f>CU2866</f>
        <v>0</v>
      </c>
      <c r="Y2866" s="71">
        <f>CY2866</f>
        <v>0</v>
      </c>
      <c r="Z2866" s="71">
        <f>DA2866+DC2866+DE2866</f>
        <v>0</v>
      </c>
      <c r="AA2866" s="71">
        <f>CW2866</f>
        <v>0</v>
      </c>
      <c r="AB2866" s="71"/>
      <c r="AC2866" s="71">
        <v>0</v>
      </c>
      <c r="AD2866" s="71">
        <f>W2866+X2866+Y2866+Z2866+AA2866+AB2866+AC2866</f>
        <v>0</v>
      </c>
      <c r="AE2866" s="72">
        <v>0</v>
      </c>
      <c r="AF2866" s="5"/>
      <c r="AG2866" s="6"/>
      <c r="AH2866" s="27"/>
      <c r="AI2866" s="44"/>
      <c r="AJ2866" s="26"/>
      <c r="AK2866" s="5"/>
      <c r="AL2866" s="82" t="s">
        <v>5741</v>
      </c>
      <c r="AM2866" s="76"/>
      <c r="AN2866" s="76"/>
      <c r="AO2866" s="76"/>
      <c r="AP2866" s="76"/>
      <c r="AQ2866" s="76"/>
      <c r="AR2866" s="76"/>
      <c r="AS2866" s="76"/>
      <c r="AT2866" s="76"/>
      <c r="AU2866" s="76"/>
      <c r="AV2866" s="76"/>
      <c r="AW2866" s="76"/>
      <c r="AX2866" s="76">
        <f>+AW2866*600000</f>
        <v>0</v>
      </c>
      <c r="AY2866" s="76"/>
      <c r="AZ2866" s="76">
        <f>+AY2866*70000</f>
        <v>0</v>
      </c>
      <c r="BA2866" s="76"/>
      <c r="BB2866" s="76"/>
      <c r="BC2866" s="76"/>
      <c r="BD2866" s="76">
        <f>+BC2866*30000</f>
        <v>0</v>
      </c>
      <c r="BE2866" s="76"/>
      <c r="BF2866" s="76"/>
      <c r="BG2866" s="76"/>
      <c r="BH2866" s="76"/>
      <c r="BI2866" s="76"/>
      <c r="BJ2866" s="76"/>
      <c r="BK2866" s="76"/>
      <c r="BL2866" s="76">
        <f>+BK2866*31500</f>
        <v>0</v>
      </c>
      <c r="BM2866" s="76"/>
      <c r="BN2866" s="76"/>
      <c r="BO2866" s="76"/>
      <c r="BP2866" s="76"/>
      <c r="BQ2866" s="76"/>
      <c r="BR2866" s="76"/>
      <c r="BS2866" s="76"/>
      <c r="BT2866" s="76"/>
      <c r="BU2866" s="76"/>
      <c r="BV2866" s="76"/>
      <c r="BW2866" s="76"/>
      <c r="BX2866" s="76"/>
      <c r="BY2866" s="76"/>
      <c r="BZ2866" s="76"/>
      <c r="CA2866" s="76"/>
      <c r="CB2866" s="76"/>
      <c r="CC2866" s="76"/>
      <c r="CD2866" s="76"/>
      <c r="CE2866" s="76"/>
      <c r="CF2866" s="76">
        <f>+CE2866*28000</f>
        <v>0</v>
      </c>
      <c r="CG2866" s="76"/>
      <c r="CH2866" s="76">
        <f>+CG2866*22500</f>
        <v>0</v>
      </c>
      <c r="CI2866" s="76"/>
      <c r="CJ2866" s="76">
        <f>+CI2866*26000</f>
        <v>0</v>
      </c>
      <c r="CK2866" s="76"/>
      <c r="CL2866" s="76"/>
      <c r="CM2866" s="76"/>
      <c r="CN2866" s="76">
        <f>+CM2866*22000</f>
        <v>0</v>
      </c>
      <c r="CO2866" s="76"/>
      <c r="CP2866" s="76">
        <f>+CO2866*46000</f>
        <v>0</v>
      </c>
      <c r="CQ2866" s="76"/>
      <c r="CR2866" s="76">
        <f>+CQ2866*49000</f>
        <v>0</v>
      </c>
      <c r="CS2866" s="76"/>
      <c r="CT2866" s="76"/>
      <c r="CU2866" s="56">
        <f>AN2866+AP2866+AR2866+AT2866+AV2866+AX2866+AZ2866+BB2866+BD2866+BF2866+BH2866+BJ2866+BL2866+BN2866+BP2866+BR2866+BT2866+BV2866+BX2866+BZ2866+CB2866+CD2866+CF2866+CH2866+CJ2866+CL2866+CN2866+CP2866+CR2866+CT2866</f>
        <v>0</v>
      </c>
      <c r="CV2866" s="76"/>
      <c r="CW2866" s="76">
        <f>+CV2866*1100</f>
        <v>0</v>
      </c>
      <c r="CX2866" s="76"/>
      <c r="CY2866" s="76">
        <f>+CX2866*106250</f>
        <v>0</v>
      </c>
      <c r="CZ2866" s="76"/>
      <c r="DA2866" s="76">
        <f>+CZ2866*34500</f>
        <v>0</v>
      </c>
      <c r="DB2866" s="76"/>
      <c r="DC2866" s="76">
        <f>+DB2866*25000</f>
        <v>0</v>
      </c>
      <c r="DD2866" s="219"/>
      <c r="DE2866" s="219"/>
      <c r="DF2866" s="166"/>
      <c r="DG2866" s="116"/>
      <c r="DH2866" s="117"/>
      <c r="DI2866" s="24"/>
      <c r="DJ2866" s="24"/>
      <c r="DK2866" s="24"/>
      <c r="DL2866" s="24"/>
      <c r="DM2866" s="24"/>
      <c r="DN2866" s="24"/>
      <c r="DO2866" s="24"/>
      <c r="DP2866" s="24"/>
      <c r="DQ2866" s="24"/>
      <c r="DR2866" s="24"/>
      <c r="DS2866" s="24"/>
      <c r="DT2866" s="24"/>
      <c r="DU2866" s="24"/>
    </row>
    <row r="2867" spans="1:125" s="8" customFormat="1" ht="48" x14ac:dyDescent="0.2">
      <c r="A2867" s="77">
        <v>41516</v>
      </c>
      <c r="B2867" s="78" t="s">
        <v>2860</v>
      </c>
      <c r="C2867" s="75" t="s">
        <v>2776</v>
      </c>
      <c r="D2867" s="75" t="s">
        <v>3017</v>
      </c>
      <c r="E2867" s="75" t="str">
        <f>VLOOKUP(B2867&amp;C2867,Divipola!$C$2:$F$1138,4,FALSE)</f>
        <v>63001</v>
      </c>
      <c r="F2867" s="87"/>
      <c r="G2867" s="87"/>
      <c r="H2867" s="87"/>
      <c r="I2867" s="87">
        <v>2</v>
      </c>
      <c r="J2867" s="87">
        <v>1</v>
      </c>
      <c r="K2867" s="87">
        <v>1</v>
      </c>
      <c r="L2867" s="87"/>
      <c r="M2867" s="87"/>
      <c r="N2867" s="87"/>
      <c r="O2867" s="87"/>
      <c r="P2867" s="87"/>
      <c r="Q2867" s="87"/>
      <c r="R2867" s="87"/>
      <c r="S2867" s="87"/>
      <c r="T2867" s="87"/>
      <c r="U2867" s="88"/>
      <c r="V2867" s="89"/>
      <c r="W2867" s="96">
        <v>0</v>
      </c>
      <c r="X2867" s="71">
        <f>CU2867</f>
        <v>0</v>
      </c>
      <c r="Y2867" s="71">
        <f>CY2867</f>
        <v>0</v>
      </c>
      <c r="Z2867" s="71">
        <f>DA2867+DC2867+DE2867</f>
        <v>0</v>
      </c>
      <c r="AA2867" s="71">
        <f>CW2867</f>
        <v>0</v>
      </c>
      <c r="AB2867" s="71"/>
      <c r="AC2867" s="71">
        <v>0</v>
      </c>
      <c r="AD2867" s="71">
        <f>W2867+X2867+Y2867+Z2867+AA2867+AB2867+AC2867</f>
        <v>0</v>
      </c>
      <c r="AE2867" s="72">
        <v>0</v>
      </c>
      <c r="AF2867" s="5"/>
      <c r="AG2867" s="6"/>
      <c r="AH2867" s="27"/>
      <c r="AI2867" s="44"/>
      <c r="AJ2867" s="26"/>
      <c r="AK2867" s="5"/>
      <c r="AL2867" s="268" t="s">
        <v>5748</v>
      </c>
      <c r="AM2867" s="76"/>
      <c r="AN2867" s="76"/>
      <c r="AO2867" s="76"/>
      <c r="AP2867" s="76"/>
      <c r="AQ2867" s="76"/>
      <c r="AR2867" s="76"/>
      <c r="AS2867" s="76"/>
      <c r="AT2867" s="76"/>
      <c r="AU2867" s="76"/>
      <c r="AV2867" s="76"/>
      <c r="AW2867" s="76"/>
      <c r="AX2867" s="76">
        <f>+AW2867*600000</f>
        <v>0</v>
      </c>
      <c r="AY2867" s="76"/>
      <c r="AZ2867" s="76">
        <f>+AY2867*70000</f>
        <v>0</v>
      </c>
      <c r="BA2867" s="76"/>
      <c r="BB2867" s="76"/>
      <c r="BC2867" s="76"/>
      <c r="BD2867" s="76">
        <f>+BC2867*30000</f>
        <v>0</v>
      </c>
      <c r="BE2867" s="76"/>
      <c r="BF2867" s="76"/>
      <c r="BG2867" s="76"/>
      <c r="BH2867" s="76"/>
      <c r="BI2867" s="76"/>
      <c r="BJ2867" s="76"/>
      <c r="BK2867" s="76"/>
      <c r="BL2867" s="76">
        <f>+BK2867*31500</f>
        <v>0</v>
      </c>
      <c r="BM2867" s="76"/>
      <c r="BN2867" s="76"/>
      <c r="BO2867" s="76"/>
      <c r="BP2867" s="76"/>
      <c r="BQ2867" s="76"/>
      <c r="BR2867" s="76"/>
      <c r="BS2867" s="76"/>
      <c r="BT2867" s="76"/>
      <c r="BU2867" s="76"/>
      <c r="BV2867" s="76"/>
      <c r="BW2867" s="76"/>
      <c r="BX2867" s="76"/>
      <c r="BY2867" s="76"/>
      <c r="BZ2867" s="76"/>
      <c r="CA2867" s="76"/>
      <c r="CB2867" s="76"/>
      <c r="CC2867" s="76"/>
      <c r="CD2867" s="76"/>
      <c r="CE2867" s="76"/>
      <c r="CF2867" s="76">
        <f>+CE2867*28000</f>
        <v>0</v>
      </c>
      <c r="CG2867" s="76"/>
      <c r="CH2867" s="76">
        <f>+CG2867*22500</f>
        <v>0</v>
      </c>
      <c r="CI2867" s="76"/>
      <c r="CJ2867" s="76">
        <f>+CI2867*26000</f>
        <v>0</v>
      </c>
      <c r="CK2867" s="76"/>
      <c r="CL2867" s="76"/>
      <c r="CM2867" s="76"/>
      <c r="CN2867" s="76">
        <f>+CM2867*22000</f>
        <v>0</v>
      </c>
      <c r="CO2867" s="76"/>
      <c r="CP2867" s="76">
        <f>+CO2867*46000</f>
        <v>0</v>
      </c>
      <c r="CQ2867" s="76"/>
      <c r="CR2867" s="76">
        <f>+CQ2867*49000</f>
        <v>0</v>
      </c>
      <c r="CS2867" s="76"/>
      <c r="CT2867" s="76"/>
      <c r="CU2867" s="56">
        <f>AN2867+AP2867+AR2867+AT2867+AV2867+AX2867+AZ2867+BB2867+BD2867+BF2867+BH2867+BJ2867+BL2867+BN2867+BP2867+BR2867+BT2867+BV2867+BX2867+BZ2867+CB2867+CD2867+CF2867+CH2867+CJ2867+CL2867+CN2867+CP2867+CR2867+CT2867</f>
        <v>0</v>
      </c>
      <c r="CV2867" s="76"/>
      <c r="CW2867" s="76">
        <f>+CV2867*1100</f>
        <v>0</v>
      </c>
      <c r="CX2867" s="76"/>
      <c r="CY2867" s="76">
        <f>+CX2867*106250</f>
        <v>0</v>
      </c>
      <c r="CZ2867" s="76"/>
      <c r="DA2867" s="76">
        <f>+CZ2867*34500</f>
        <v>0</v>
      </c>
      <c r="DB2867" s="76"/>
      <c r="DC2867" s="76">
        <f>+DB2867*25000</f>
        <v>0</v>
      </c>
      <c r="DD2867" s="219"/>
      <c r="DE2867" s="219"/>
      <c r="DF2867" s="166"/>
      <c r="DG2867" s="116"/>
      <c r="DH2867" s="117"/>
      <c r="DI2867" s="24"/>
      <c r="DJ2867" s="24"/>
      <c r="DK2867" s="24"/>
      <c r="DL2867" s="24"/>
      <c r="DM2867" s="24"/>
      <c r="DN2867" s="24"/>
      <c r="DO2867" s="24"/>
      <c r="DP2867" s="24"/>
      <c r="DQ2867" s="24"/>
      <c r="DR2867" s="24"/>
      <c r="DS2867" s="24"/>
      <c r="DT2867" s="24"/>
      <c r="DU2867" s="24"/>
    </row>
    <row r="2868" spans="1:125" s="8" customFormat="1" ht="36" x14ac:dyDescent="0.2">
      <c r="A2868" s="353">
        <v>41516</v>
      </c>
      <c r="B2868" s="225" t="s">
        <v>2847</v>
      </c>
      <c r="C2868" s="227" t="s">
        <v>2673</v>
      </c>
      <c r="D2868" s="354" t="s">
        <v>3088</v>
      </c>
      <c r="E2868" s="75" t="str">
        <f>VLOOKUP(B2868&amp;C2868,Divipola!$C$2:$F$1138,4,FALSE)</f>
        <v>68001</v>
      </c>
      <c r="F2868" s="87"/>
      <c r="G2868" s="87"/>
      <c r="H2868" s="87"/>
      <c r="I2868" s="87"/>
      <c r="J2868" s="87"/>
      <c r="K2868" s="87"/>
      <c r="L2868" s="87"/>
      <c r="M2868" s="87">
        <v>1</v>
      </c>
      <c r="N2868" s="87"/>
      <c r="O2868" s="87"/>
      <c r="P2868" s="87"/>
      <c r="Q2868" s="87"/>
      <c r="R2868" s="87"/>
      <c r="S2868" s="87"/>
      <c r="T2868" s="87"/>
      <c r="U2868" s="88"/>
      <c r="V2868" s="89"/>
      <c r="W2868" s="96">
        <v>0</v>
      </c>
      <c r="X2868" s="71">
        <f>CU2868</f>
        <v>0</v>
      </c>
      <c r="Y2868" s="71">
        <f>CY2868</f>
        <v>0</v>
      </c>
      <c r="Z2868" s="71">
        <f>DA2868+DC2868+DE2868</f>
        <v>0</v>
      </c>
      <c r="AA2868" s="71">
        <f>CW2868</f>
        <v>0</v>
      </c>
      <c r="AB2868" s="71"/>
      <c r="AC2868" s="71">
        <v>0</v>
      </c>
      <c r="AD2868" s="71">
        <f>W2868+X2868+Y2868+Z2868+AA2868+AB2868+AC2868</f>
        <v>0</v>
      </c>
      <c r="AE2868" s="72">
        <v>0</v>
      </c>
      <c r="AF2868" s="5"/>
      <c r="AG2868" s="6"/>
      <c r="AH2868" s="27"/>
      <c r="AI2868" s="44"/>
      <c r="AJ2868" s="26"/>
      <c r="AK2868" s="5"/>
      <c r="AL2868" s="82" t="s">
        <v>5738</v>
      </c>
      <c r="AM2868" s="76"/>
      <c r="AN2868" s="76"/>
      <c r="AO2868" s="76"/>
      <c r="AP2868" s="76"/>
      <c r="AQ2868" s="76"/>
      <c r="AR2868" s="76"/>
      <c r="AS2868" s="76"/>
      <c r="AT2868" s="76"/>
      <c r="AU2868" s="76"/>
      <c r="AV2868" s="76"/>
      <c r="AW2868" s="76"/>
      <c r="AX2868" s="76">
        <f>+AW2868*600000</f>
        <v>0</v>
      </c>
      <c r="AY2868" s="76"/>
      <c r="AZ2868" s="76">
        <f>+AY2868*70000</f>
        <v>0</v>
      </c>
      <c r="BA2868" s="76"/>
      <c r="BB2868" s="76"/>
      <c r="BC2868" s="76"/>
      <c r="BD2868" s="76">
        <f>+BC2868*30000</f>
        <v>0</v>
      </c>
      <c r="BE2868" s="76"/>
      <c r="BF2868" s="76"/>
      <c r="BG2868" s="76"/>
      <c r="BH2868" s="76"/>
      <c r="BI2868" s="76"/>
      <c r="BJ2868" s="76"/>
      <c r="BK2868" s="76"/>
      <c r="BL2868" s="76">
        <f>+BK2868*31500</f>
        <v>0</v>
      </c>
      <c r="BM2868" s="76"/>
      <c r="BN2868" s="76"/>
      <c r="BO2868" s="76"/>
      <c r="BP2868" s="76"/>
      <c r="BQ2868" s="76"/>
      <c r="BR2868" s="76"/>
      <c r="BS2868" s="76"/>
      <c r="BT2868" s="76"/>
      <c r="BU2868" s="76"/>
      <c r="BV2868" s="76"/>
      <c r="BW2868" s="76"/>
      <c r="BX2868" s="76"/>
      <c r="BY2868" s="76"/>
      <c r="BZ2868" s="76"/>
      <c r="CA2868" s="76"/>
      <c r="CB2868" s="76"/>
      <c r="CC2868" s="76"/>
      <c r="CD2868" s="76"/>
      <c r="CE2868" s="76"/>
      <c r="CF2868" s="76">
        <f>+CE2868*28000</f>
        <v>0</v>
      </c>
      <c r="CG2868" s="76"/>
      <c r="CH2868" s="76">
        <f>+CG2868*22500</f>
        <v>0</v>
      </c>
      <c r="CI2868" s="76"/>
      <c r="CJ2868" s="76">
        <f>+CI2868*26000</f>
        <v>0</v>
      </c>
      <c r="CK2868" s="76"/>
      <c r="CL2868" s="76"/>
      <c r="CM2868" s="76"/>
      <c r="CN2868" s="76">
        <f>+CM2868*22000</f>
        <v>0</v>
      </c>
      <c r="CO2868" s="76"/>
      <c r="CP2868" s="76">
        <f>+CO2868*46000</f>
        <v>0</v>
      </c>
      <c r="CQ2868" s="76"/>
      <c r="CR2868" s="76">
        <f>+CQ2868*49000</f>
        <v>0</v>
      </c>
      <c r="CS2868" s="76"/>
      <c r="CT2868" s="76"/>
      <c r="CU2868" s="56">
        <f>AN2868+AP2868+AR2868+AT2868+AV2868+AX2868+AZ2868+BB2868+BD2868+BF2868+BH2868+BJ2868+BL2868+BN2868+BP2868+BR2868+BT2868+BV2868+BX2868+BZ2868+CB2868+CD2868+CF2868+CH2868+CJ2868+CL2868+CN2868+CP2868+CR2868+CT2868</f>
        <v>0</v>
      </c>
      <c r="CV2868" s="76"/>
      <c r="CW2868" s="76">
        <f>+CV2868*1100</f>
        <v>0</v>
      </c>
      <c r="CX2868" s="76"/>
      <c r="CY2868" s="76">
        <f>+CX2868*106250</f>
        <v>0</v>
      </c>
      <c r="CZ2868" s="76"/>
      <c r="DA2868" s="76">
        <f>+CZ2868*34500</f>
        <v>0</v>
      </c>
      <c r="DB2868" s="76"/>
      <c r="DC2868" s="76">
        <f>+DB2868*25000</f>
        <v>0</v>
      </c>
      <c r="DD2868" s="219"/>
      <c r="DE2868" s="219"/>
      <c r="DF2868" s="166"/>
      <c r="DG2868" s="116"/>
      <c r="DH2868" s="117"/>
      <c r="DI2868" s="24"/>
      <c r="DJ2868" s="24"/>
      <c r="DK2868" s="24"/>
      <c r="DL2868" s="24"/>
      <c r="DM2868" s="24"/>
      <c r="DN2868" s="24"/>
      <c r="DO2868" s="24"/>
      <c r="DP2868" s="24"/>
      <c r="DQ2868" s="24"/>
      <c r="DR2868" s="24"/>
      <c r="DS2868" s="24"/>
      <c r="DT2868" s="24"/>
      <c r="DU2868" s="24"/>
    </row>
    <row r="2869" spans="1:125" s="8" customFormat="1" ht="72" x14ac:dyDescent="0.2">
      <c r="A2869" s="77">
        <v>41516</v>
      </c>
      <c r="B2869" s="352" t="s">
        <v>2848</v>
      </c>
      <c r="C2869" s="354" t="s">
        <v>2035</v>
      </c>
      <c r="D2869" s="354" t="s">
        <v>2846</v>
      </c>
      <c r="E2869" s="75" t="str">
        <f>VLOOKUP(B2869&amp;C2869,Divipola!$C$2:$F$1138,4,FALSE)</f>
        <v>73148</v>
      </c>
      <c r="F2869" s="87"/>
      <c r="G2869" s="87"/>
      <c r="H2869" s="87"/>
      <c r="I2869" s="87"/>
      <c r="J2869" s="87"/>
      <c r="K2869" s="87"/>
      <c r="L2869" s="87"/>
      <c r="M2869" s="87"/>
      <c r="N2869" s="87"/>
      <c r="O2869" s="87"/>
      <c r="P2869" s="87"/>
      <c r="Q2869" s="87"/>
      <c r="R2869" s="87"/>
      <c r="S2869" s="87"/>
      <c r="T2869" s="87"/>
      <c r="U2869" s="88"/>
      <c r="V2869" s="89"/>
      <c r="W2869" s="96">
        <v>0</v>
      </c>
      <c r="X2869" s="71">
        <f>CU2869</f>
        <v>0</v>
      </c>
      <c r="Y2869" s="71">
        <f>CY2869</f>
        <v>0</v>
      </c>
      <c r="Z2869" s="71">
        <f>DA2869+DC2869+DE2869</f>
        <v>0</v>
      </c>
      <c r="AA2869" s="71">
        <f>CW2869</f>
        <v>0</v>
      </c>
      <c r="AB2869" s="71"/>
      <c r="AC2869" s="71">
        <v>0</v>
      </c>
      <c r="AD2869" s="71">
        <f>W2869+X2869+Y2869+Z2869+AA2869+AB2869+AC2869</f>
        <v>0</v>
      </c>
      <c r="AE2869" s="72">
        <v>0</v>
      </c>
      <c r="AF2869" s="5"/>
      <c r="AG2869" s="6"/>
      <c r="AH2869" s="27"/>
      <c r="AI2869" s="44"/>
      <c r="AJ2869" s="26"/>
      <c r="AK2869" s="5"/>
      <c r="AL2869" s="82" t="s">
        <v>5749</v>
      </c>
      <c r="AM2869" s="76"/>
      <c r="AN2869" s="76"/>
      <c r="AO2869" s="76"/>
      <c r="AP2869" s="76"/>
      <c r="AQ2869" s="76"/>
      <c r="AR2869" s="76"/>
      <c r="AS2869" s="76"/>
      <c r="AT2869" s="76"/>
      <c r="AU2869" s="76"/>
      <c r="AV2869" s="76"/>
      <c r="AW2869" s="76"/>
      <c r="AX2869" s="76">
        <f>+AW2869*600000</f>
        <v>0</v>
      </c>
      <c r="AY2869" s="76"/>
      <c r="AZ2869" s="76">
        <f>+AY2869*70000</f>
        <v>0</v>
      </c>
      <c r="BA2869" s="76"/>
      <c r="BB2869" s="76"/>
      <c r="BC2869" s="76"/>
      <c r="BD2869" s="76">
        <f>+BC2869*30000</f>
        <v>0</v>
      </c>
      <c r="BE2869" s="76"/>
      <c r="BF2869" s="76"/>
      <c r="BG2869" s="76"/>
      <c r="BH2869" s="76"/>
      <c r="BI2869" s="76"/>
      <c r="BJ2869" s="76"/>
      <c r="BK2869" s="76"/>
      <c r="BL2869" s="76">
        <f>+BK2869*31500</f>
        <v>0</v>
      </c>
      <c r="BM2869" s="76"/>
      <c r="BN2869" s="76"/>
      <c r="BO2869" s="76"/>
      <c r="BP2869" s="76"/>
      <c r="BQ2869" s="76"/>
      <c r="BR2869" s="76"/>
      <c r="BS2869" s="76"/>
      <c r="BT2869" s="76"/>
      <c r="BU2869" s="76"/>
      <c r="BV2869" s="76"/>
      <c r="BW2869" s="76"/>
      <c r="BX2869" s="76"/>
      <c r="BY2869" s="76"/>
      <c r="BZ2869" s="76"/>
      <c r="CA2869" s="76"/>
      <c r="CB2869" s="76"/>
      <c r="CC2869" s="76"/>
      <c r="CD2869" s="76"/>
      <c r="CE2869" s="76"/>
      <c r="CF2869" s="76">
        <f>+CE2869*28000</f>
        <v>0</v>
      </c>
      <c r="CG2869" s="76"/>
      <c r="CH2869" s="76">
        <f>+CG2869*22500</f>
        <v>0</v>
      </c>
      <c r="CI2869" s="76"/>
      <c r="CJ2869" s="76">
        <f>+CI2869*26000</f>
        <v>0</v>
      </c>
      <c r="CK2869" s="76"/>
      <c r="CL2869" s="76"/>
      <c r="CM2869" s="76"/>
      <c r="CN2869" s="76">
        <f>+CM2869*22000</f>
        <v>0</v>
      </c>
      <c r="CO2869" s="76"/>
      <c r="CP2869" s="76">
        <f>+CO2869*46000</f>
        <v>0</v>
      </c>
      <c r="CQ2869" s="76"/>
      <c r="CR2869" s="76">
        <f>+CQ2869*49000</f>
        <v>0</v>
      </c>
      <c r="CS2869" s="76"/>
      <c r="CT2869" s="76"/>
      <c r="CU2869" s="56">
        <f>AN2869+AP2869+AR2869+AT2869+AV2869+AX2869+AZ2869+BB2869+BD2869+BF2869+BH2869+BJ2869+BL2869+BN2869+BP2869+BR2869+BT2869+BV2869+BX2869+BZ2869+CB2869+CD2869+CF2869+CH2869+CJ2869+CL2869+CN2869+CP2869+CR2869+CT2869</f>
        <v>0</v>
      </c>
      <c r="CV2869" s="76"/>
      <c r="CW2869" s="76">
        <f>+CV2869*1100</f>
        <v>0</v>
      </c>
      <c r="CX2869" s="76"/>
      <c r="CY2869" s="76">
        <f>+CX2869*106250</f>
        <v>0</v>
      </c>
      <c r="CZ2869" s="76"/>
      <c r="DA2869" s="76">
        <f>+CZ2869*34500</f>
        <v>0</v>
      </c>
      <c r="DB2869" s="76"/>
      <c r="DC2869" s="76">
        <f>+DB2869*25000</f>
        <v>0</v>
      </c>
      <c r="DD2869" s="219"/>
      <c r="DE2869" s="219"/>
      <c r="DF2869" s="166"/>
      <c r="DG2869" s="116"/>
      <c r="DH2869" s="117"/>
      <c r="DI2869" s="24"/>
      <c r="DJ2869" s="24"/>
      <c r="DK2869" s="24"/>
      <c r="DL2869" s="24"/>
      <c r="DM2869" s="24"/>
      <c r="DN2869" s="24"/>
      <c r="DO2869" s="24"/>
      <c r="DP2869" s="24"/>
      <c r="DQ2869" s="24"/>
      <c r="DR2869" s="24"/>
      <c r="DS2869" s="24"/>
      <c r="DT2869" s="24"/>
      <c r="DU2869" s="24"/>
    </row>
    <row r="2870" spans="1:125" s="8" customFormat="1" ht="84" x14ac:dyDescent="0.2">
      <c r="A2870" s="77">
        <v>41516</v>
      </c>
      <c r="B2870" s="352" t="s">
        <v>2848</v>
      </c>
      <c r="C2870" s="354" t="s">
        <v>2035</v>
      </c>
      <c r="D2870" s="354" t="s">
        <v>2846</v>
      </c>
      <c r="E2870" s="75" t="str">
        <f>VLOOKUP(B2870&amp;C2870,Divipola!$C$2:$F$1138,4,FALSE)</f>
        <v>73148</v>
      </c>
      <c r="F2870" s="87"/>
      <c r="G2870" s="87"/>
      <c r="H2870" s="87"/>
      <c r="I2870" s="87"/>
      <c r="J2870" s="87"/>
      <c r="K2870" s="87"/>
      <c r="L2870" s="87"/>
      <c r="M2870" s="87"/>
      <c r="N2870" s="87"/>
      <c r="O2870" s="87"/>
      <c r="P2870" s="87"/>
      <c r="Q2870" s="87"/>
      <c r="R2870" s="87"/>
      <c r="S2870" s="87"/>
      <c r="T2870" s="87"/>
      <c r="U2870" s="88"/>
      <c r="V2870" s="89"/>
      <c r="W2870" s="96">
        <v>0</v>
      </c>
      <c r="X2870" s="71">
        <f>CU2870</f>
        <v>0</v>
      </c>
      <c r="Y2870" s="71">
        <f>CY2870</f>
        <v>0</v>
      </c>
      <c r="Z2870" s="71">
        <f>DA2870+DC2870+DE2870</f>
        <v>0</v>
      </c>
      <c r="AA2870" s="71">
        <f>CW2870</f>
        <v>0</v>
      </c>
      <c r="AB2870" s="71"/>
      <c r="AC2870" s="71">
        <v>0</v>
      </c>
      <c r="AD2870" s="71">
        <f>W2870+X2870+Y2870+Z2870+AA2870+AB2870+AC2870</f>
        <v>0</v>
      </c>
      <c r="AE2870" s="72">
        <v>0</v>
      </c>
      <c r="AF2870" s="5"/>
      <c r="AG2870" s="6"/>
      <c r="AH2870" s="27"/>
      <c r="AI2870" s="44"/>
      <c r="AJ2870" s="26"/>
      <c r="AK2870" s="5"/>
      <c r="AL2870" s="82" t="s">
        <v>5750</v>
      </c>
      <c r="AM2870" s="76"/>
      <c r="AN2870" s="76"/>
      <c r="AO2870" s="76"/>
      <c r="AP2870" s="76"/>
      <c r="AQ2870" s="76"/>
      <c r="AR2870" s="76"/>
      <c r="AS2870" s="76"/>
      <c r="AT2870" s="76"/>
      <c r="AU2870" s="76"/>
      <c r="AV2870" s="76"/>
      <c r="AW2870" s="76"/>
      <c r="AX2870" s="76">
        <f>+AW2870*600000</f>
        <v>0</v>
      </c>
      <c r="AY2870" s="76"/>
      <c r="AZ2870" s="76">
        <f>+AY2870*70000</f>
        <v>0</v>
      </c>
      <c r="BA2870" s="76"/>
      <c r="BB2870" s="76"/>
      <c r="BC2870" s="76"/>
      <c r="BD2870" s="76">
        <f>+BC2870*30000</f>
        <v>0</v>
      </c>
      <c r="BE2870" s="76"/>
      <c r="BF2870" s="76"/>
      <c r="BG2870" s="76"/>
      <c r="BH2870" s="76"/>
      <c r="BI2870" s="76"/>
      <c r="BJ2870" s="76"/>
      <c r="BK2870" s="76"/>
      <c r="BL2870" s="76">
        <f>+BK2870*31500</f>
        <v>0</v>
      </c>
      <c r="BM2870" s="76"/>
      <c r="BN2870" s="76"/>
      <c r="BO2870" s="76"/>
      <c r="BP2870" s="76"/>
      <c r="BQ2870" s="76"/>
      <c r="BR2870" s="76"/>
      <c r="BS2870" s="76"/>
      <c r="BT2870" s="76"/>
      <c r="BU2870" s="76"/>
      <c r="BV2870" s="76"/>
      <c r="BW2870" s="76"/>
      <c r="BX2870" s="76"/>
      <c r="BY2870" s="76"/>
      <c r="BZ2870" s="76"/>
      <c r="CA2870" s="76"/>
      <c r="CB2870" s="76"/>
      <c r="CC2870" s="76"/>
      <c r="CD2870" s="76"/>
      <c r="CE2870" s="76"/>
      <c r="CF2870" s="76">
        <f>+CE2870*28000</f>
        <v>0</v>
      </c>
      <c r="CG2870" s="76"/>
      <c r="CH2870" s="76">
        <f>+CG2870*22500</f>
        <v>0</v>
      </c>
      <c r="CI2870" s="76"/>
      <c r="CJ2870" s="76">
        <f>+CI2870*26000</f>
        <v>0</v>
      </c>
      <c r="CK2870" s="76"/>
      <c r="CL2870" s="76"/>
      <c r="CM2870" s="76"/>
      <c r="CN2870" s="76">
        <f>+CM2870*22000</f>
        <v>0</v>
      </c>
      <c r="CO2870" s="76"/>
      <c r="CP2870" s="76">
        <f>+CO2870*46000</f>
        <v>0</v>
      </c>
      <c r="CQ2870" s="76"/>
      <c r="CR2870" s="76">
        <f>+CQ2870*49000</f>
        <v>0</v>
      </c>
      <c r="CS2870" s="76"/>
      <c r="CT2870" s="76"/>
      <c r="CU2870" s="56">
        <f>AN2870+AP2870+AR2870+AT2870+AV2870+AX2870+AZ2870+BB2870+BD2870+BF2870+BH2870+BJ2870+BL2870+BN2870+BP2870+BR2870+BT2870+BV2870+BX2870+BZ2870+CB2870+CD2870+CF2870+CH2870+CJ2870+CL2870+CN2870+CP2870+CR2870+CT2870</f>
        <v>0</v>
      </c>
      <c r="CV2870" s="76"/>
      <c r="CW2870" s="76">
        <f>+CV2870*1100</f>
        <v>0</v>
      </c>
      <c r="CX2870" s="76"/>
      <c r="CY2870" s="76">
        <f>+CX2870*106250</f>
        <v>0</v>
      </c>
      <c r="CZ2870" s="76"/>
      <c r="DA2870" s="76">
        <f>+CZ2870*34500</f>
        <v>0</v>
      </c>
      <c r="DB2870" s="76"/>
      <c r="DC2870" s="76">
        <f>+DB2870*25000</f>
        <v>0</v>
      </c>
      <c r="DD2870" s="219"/>
      <c r="DE2870" s="219"/>
      <c r="DF2870" s="166"/>
      <c r="DG2870" s="116"/>
      <c r="DH2870" s="117"/>
      <c r="DI2870" s="24"/>
      <c r="DJ2870" s="24"/>
      <c r="DK2870" s="24"/>
      <c r="DL2870" s="24"/>
      <c r="DM2870" s="24"/>
      <c r="DN2870" s="24"/>
      <c r="DO2870" s="24"/>
      <c r="DP2870" s="24"/>
      <c r="DQ2870" s="24"/>
      <c r="DR2870" s="24"/>
      <c r="DS2870" s="24"/>
      <c r="DT2870" s="24"/>
      <c r="DU2870" s="24"/>
    </row>
    <row r="2871" spans="1:125" s="8" customFormat="1" ht="36" x14ac:dyDescent="0.2">
      <c r="A2871" s="353">
        <v>41516</v>
      </c>
      <c r="B2871" s="352" t="s">
        <v>2848</v>
      </c>
      <c r="C2871" s="354" t="s">
        <v>2055</v>
      </c>
      <c r="D2871" s="354" t="s">
        <v>2846</v>
      </c>
      <c r="E2871" s="75" t="str">
        <f>VLOOKUP(B2871&amp;C2871,Divipola!$C$2:$F$1138,4,FALSE)</f>
        <v>73275</v>
      </c>
      <c r="F2871" s="87"/>
      <c r="G2871" s="87"/>
      <c r="H2871" s="87"/>
      <c r="I2871" s="87"/>
      <c r="J2871" s="87"/>
      <c r="K2871" s="87"/>
      <c r="L2871" s="87"/>
      <c r="M2871" s="87"/>
      <c r="N2871" s="87"/>
      <c r="O2871" s="87"/>
      <c r="P2871" s="87"/>
      <c r="Q2871" s="87"/>
      <c r="R2871" s="87"/>
      <c r="S2871" s="87"/>
      <c r="T2871" s="87"/>
      <c r="U2871" s="88">
        <v>5</v>
      </c>
      <c r="V2871" s="89"/>
      <c r="W2871" s="96">
        <v>0</v>
      </c>
      <c r="X2871" s="71">
        <f>CU2871</f>
        <v>0</v>
      </c>
      <c r="Y2871" s="71">
        <f>CY2871</f>
        <v>0</v>
      </c>
      <c r="Z2871" s="71">
        <f>DA2871+DC2871+DE2871</f>
        <v>0</v>
      </c>
      <c r="AA2871" s="71">
        <f>CW2871</f>
        <v>0</v>
      </c>
      <c r="AB2871" s="71"/>
      <c r="AC2871" s="71">
        <v>0</v>
      </c>
      <c r="AD2871" s="71">
        <f>W2871+X2871+Y2871+Z2871+AA2871+AB2871+AC2871</f>
        <v>0</v>
      </c>
      <c r="AE2871" s="72">
        <v>0</v>
      </c>
      <c r="AF2871" s="5"/>
      <c r="AG2871" s="6"/>
      <c r="AH2871" s="27"/>
      <c r="AI2871" s="44"/>
      <c r="AJ2871" s="26"/>
      <c r="AK2871" s="5"/>
      <c r="AL2871" s="82" t="s">
        <v>5745</v>
      </c>
      <c r="AM2871" s="76"/>
      <c r="AN2871" s="76"/>
      <c r="AO2871" s="76"/>
      <c r="AP2871" s="76"/>
      <c r="AQ2871" s="76"/>
      <c r="AR2871" s="76"/>
      <c r="AS2871" s="76"/>
      <c r="AT2871" s="76"/>
      <c r="AU2871" s="76"/>
      <c r="AV2871" s="76"/>
      <c r="AW2871" s="76"/>
      <c r="AX2871" s="76">
        <f>+AW2871*600000</f>
        <v>0</v>
      </c>
      <c r="AY2871" s="76"/>
      <c r="AZ2871" s="76">
        <f>+AY2871*70000</f>
        <v>0</v>
      </c>
      <c r="BA2871" s="76"/>
      <c r="BB2871" s="76"/>
      <c r="BC2871" s="76"/>
      <c r="BD2871" s="76">
        <f>+BC2871*30000</f>
        <v>0</v>
      </c>
      <c r="BE2871" s="76"/>
      <c r="BF2871" s="76"/>
      <c r="BG2871" s="76"/>
      <c r="BH2871" s="76"/>
      <c r="BI2871" s="76"/>
      <c r="BJ2871" s="76"/>
      <c r="BK2871" s="76"/>
      <c r="BL2871" s="76">
        <f>+BK2871*31500</f>
        <v>0</v>
      </c>
      <c r="BM2871" s="76"/>
      <c r="BN2871" s="76"/>
      <c r="BO2871" s="76"/>
      <c r="BP2871" s="76"/>
      <c r="BQ2871" s="76"/>
      <c r="BR2871" s="76"/>
      <c r="BS2871" s="76"/>
      <c r="BT2871" s="76"/>
      <c r="BU2871" s="76"/>
      <c r="BV2871" s="76"/>
      <c r="BW2871" s="76"/>
      <c r="BX2871" s="76"/>
      <c r="BY2871" s="76"/>
      <c r="BZ2871" s="76"/>
      <c r="CA2871" s="76"/>
      <c r="CB2871" s="76"/>
      <c r="CC2871" s="76"/>
      <c r="CD2871" s="76"/>
      <c r="CE2871" s="76"/>
      <c r="CF2871" s="76">
        <f>+CE2871*28000</f>
        <v>0</v>
      </c>
      <c r="CG2871" s="76"/>
      <c r="CH2871" s="76">
        <f>+CG2871*22500</f>
        <v>0</v>
      </c>
      <c r="CI2871" s="76"/>
      <c r="CJ2871" s="76">
        <f>+CI2871*26000</f>
        <v>0</v>
      </c>
      <c r="CK2871" s="76"/>
      <c r="CL2871" s="76"/>
      <c r="CM2871" s="76"/>
      <c r="CN2871" s="76">
        <f>+CM2871*22000</f>
        <v>0</v>
      </c>
      <c r="CO2871" s="76"/>
      <c r="CP2871" s="76">
        <f>+CO2871*46000</f>
        <v>0</v>
      </c>
      <c r="CQ2871" s="76"/>
      <c r="CR2871" s="76">
        <f>+CQ2871*49000</f>
        <v>0</v>
      </c>
      <c r="CS2871" s="76"/>
      <c r="CT2871" s="76"/>
      <c r="CU2871" s="56">
        <f>AN2871+AP2871+AR2871+AT2871+AV2871+AX2871+AZ2871+BB2871+BD2871+BF2871+BH2871+BJ2871+BL2871+BN2871+BP2871+BR2871+BT2871+BV2871+BX2871+BZ2871+CB2871+CD2871+CF2871+CH2871+CJ2871+CL2871+CN2871+CP2871+CR2871+CT2871</f>
        <v>0</v>
      </c>
      <c r="CV2871" s="76"/>
      <c r="CW2871" s="76">
        <f>+CV2871*1100</f>
        <v>0</v>
      </c>
      <c r="CX2871" s="76"/>
      <c r="CY2871" s="76">
        <f>+CX2871*106250</f>
        <v>0</v>
      </c>
      <c r="CZ2871" s="76"/>
      <c r="DA2871" s="76">
        <f>+CZ2871*34500</f>
        <v>0</v>
      </c>
      <c r="DB2871" s="76"/>
      <c r="DC2871" s="76">
        <f>+DB2871*25000</f>
        <v>0</v>
      </c>
      <c r="DD2871" s="219"/>
      <c r="DE2871" s="219"/>
      <c r="DF2871" s="166"/>
      <c r="DG2871" s="116"/>
      <c r="DH2871" s="117"/>
      <c r="DI2871" s="24"/>
      <c r="DJ2871" s="24"/>
      <c r="DK2871" s="24"/>
      <c r="DL2871" s="24"/>
      <c r="DM2871" s="24"/>
      <c r="DN2871" s="24"/>
      <c r="DO2871" s="24"/>
      <c r="DP2871" s="24"/>
      <c r="DQ2871" s="24"/>
      <c r="DR2871" s="24"/>
      <c r="DS2871" s="24"/>
      <c r="DT2871" s="24"/>
      <c r="DU2871" s="24"/>
    </row>
    <row r="2872" spans="1:125" s="8" customFormat="1" ht="36" x14ac:dyDescent="0.2">
      <c r="A2872" s="353">
        <v>41516</v>
      </c>
      <c r="B2872" s="352" t="s">
        <v>2848</v>
      </c>
      <c r="C2872" s="354" t="s">
        <v>2191</v>
      </c>
      <c r="D2872" s="354" t="s">
        <v>2846</v>
      </c>
      <c r="E2872" s="75" t="str">
        <f>VLOOKUP(B2872&amp;C2872,Divipola!$C$2:$F$1138,4,FALSE)</f>
        <v>73319</v>
      </c>
      <c r="F2872" s="87"/>
      <c r="G2872" s="87"/>
      <c r="H2872" s="87"/>
      <c r="I2872" s="87"/>
      <c r="J2872" s="87"/>
      <c r="K2872" s="87"/>
      <c r="L2872" s="87"/>
      <c r="M2872" s="87"/>
      <c r="N2872" s="87"/>
      <c r="O2872" s="87"/>
      <c r="P2872" s="87"/>
      <c r="Q2872" s="87"/>
      <c r="R2872" s="87"/>
      <c r="S2872" s="87"/>
      <c r="T2872" s="87"/>
      <c r="U2872" s="88">
        <v>1</v>
      </c>
      <c r="V2872" s="89"/>
      <c r="W2872" s="96">
        <v>0</v>
      </c>
      <c r="X2872" s="71">
        <f>CU2872</f>
        <v>0</v>
      </c>
      <c r="Y2872" s="71">
        <f>CY2872</f>
        <v>0</v>
      </c>
      <c r="Z2872" s="71">
        <f>DA2872+DC2872+DE2872</f>
        <v>0</v>
      </c>
      <c r="AA2872" s="71">
        <f>CW2872</f>
        <v>0</v>
      </c>
      <c r="AB2872" s="71"/>
      <c r="AC2872" s="71">
        <v>0</v>
      </c>
      <c r="AD2872" s="71">
        <f>W2872+X2872+Y2872+Z2872+AA2872+AB2872+AC2872</f>
        <v>0</v>
      </c>
      <c r="AE2872" s="72">
        <v>0</v>
      </c>
      <c r="AF2872" s="5"/>
      <c r="AG2872" s="6"/>
      <c r="AH2872" s="27"/>
      <c r="AI2872" s="44"/>
      <c r="AJ2872" s="26"/>
      <c r="AK2872" s="5"/>
      <c r="AL2872" s="82" t="s">
        <v>5746</v>
      </c>
      <c r="AM2872" s="76"/>
      <c r="AN2872" s="76"/>
      <c r="AO2872" s="76"/>
      <c r="AP2872" s="76"/>
      <c r="AQ2872" s="76"/>
      <c r="AR2872" s="76"/>
      <c r="AS2872" s="76"/>
      <c r="AT2872" s="76"/>
      <c r="AU2872" s="76"/>
      <c r="AV2872" s="76"/>
      <c r="AW2872" s="76"/>
      <c r="AX2872" s="76">
        <f>+AW2872*600000</f>
        <v>0</v>
      </c>
      <c r="AY2872" s="76"/>
      <c r="AZ2872" s="76">
        <f>+AY2872*70000</f>
        <v>0</v>
      </c>
      <c r="BA2872" s="76"/>
      <c r="BB2872" s="76"/>
      <c r="BC2872" s="76"/>
      <c r="BD2872" s="76">
        <f>+BC2872*30000</f>
        <v>0</v>
      </c>
      <c r="BE2872" s="76"/>
      <c r="BF2872" s="76"/>
      <c r="BG2872" s="76"/>
      <c r="BH2872" s="76"/>
      <c r="BI2872" s="76"/>
      <c r="BJ2872" s="76"/>
      <c r="BK2872" s="76"/>
      <c r="BL2872" s="76">
        <f>+BK2872*31500</f>
        <v>0</v>
      </c>
      <c r="BM2872" s="76"/>
      <c r="BN2872" s="76"/>
      <c r="BO2872" s="76"/>
      <c r="BP2872" s="76"/>
      <c r="BQ2872" s="76"/>
      <c r="BR2872" s="76"/>
      <c r="BS2872" s="76"/>
      <c r="BT2872" s="76"/>
      <c r="BU2872" s="76"/>
      <c r="BV2872" s="76"/>
      <c r="BW2872" s="76"/>
      <c r="BX2872" s="76"/>
      <c r="BY2872" s="76"/>
      <c r="BZ2872" s="76"/>
      <c r="CA2872" s="76"/>
      <c r="CB2872" s="76"/>
      <c r="CC2872" s="76"/>
      <c r="CD2872" s="76"/>
      <c r="CE2872" s="76"/>
      <c r="CF2872" s="76">
        <f>+CE2872*28000</f>
        <v>0</v>
      </c>
      <c r="CG2872" s="76"/>
      <c r="CH2872" s="76">
        <f>+CG2872*22500</f>
        <v>0</v>
      </c>
      <c r="CI2872" s="76"/>
      <c r="CJ2872" s="76">
        <f>+CI2872*26000</f>
        <v>0</v>
      </c>
      <c r="CK2872" s="76"/>
      <c r="CL2872" s="76"/>
      <c r="CM2872" s="76"/>
      <c r="CN2872" s="76">
        <f>+CM2872*22000</f>
        <v>0</v>
      </c>
      <c r="CO2872" s="76"/>
      <c r="CP2872" s="76">
        <f>+CO2872*46000</f>
        <v>0</v>
      </c>
      <c r="CQ2872" s="76"/>
      <c r="CR2872" s="76">
        <f>+CQ2872*49000</f>
        <v>0</v>
      </c>
      <c r="CS2872" s="76"/>
      <c r="CT2872" s="76"/>
      <c r="CU2872" s="56">
        <f>AN2872+AP2872+AR2872+AT2872+AV2872+AX2872+AZ2872+BB2872+BD2872+BF2872+BH2872+BJ2872+BL2872+BN2872+BP2872+BR2872+BT2872+BV2872+BX2872+BZ2872+CB2872+CD2872+CF2872+CH2872+CJ2872+CL2872+CN2872+CP2872+CR2872+CT2872</f>
        <v>0</v>
      </c>
      <c r="CV2872" s="76"/>
      <c r="CW2872" s="76">
        <f>+CV2872*1100</f>
        <v>0</v>
      </c>
      <c r="CX2872" s="76"/>
      <c r="CY2872" s="76">
        <f>+CX2872*106250</f>
        <v>0</v>
      </c>
      <c r="CZ2872" s="76"/>
      <c r="DA2872" s="76">
        <f>+CZ2872*34500</f>
        <v>0</v>
      </c>
      <c r="DB2872" s="76"/>
      <c r="DC2872" s="76">
        <f>+DB2872*25000</f>
        <v>0</v>
      </c>
      <c r="DD2872" s="219"/>
      <c r="DE2872" s="219"/>
      <c r="DF2872" s="166"/>
      <c r="DG2872" s="116"/>
      <c r="DH2872" s="117"/>
      <c r="DI2872" s="24"/>
      <c r="DJ2872" s="24"/>
      <c r="DK2872" s="24"/>
      <c r="DL2872" s="24"/>
      <c r="DM2872" s="24"/>
      <c r="DN2872" s="24"/>
      <c r="DO2872" s="24"/>
      <c r="DP2872" s="24"/>
      <c r="DQ2872" s="24"/>
      <c r="DR2872" s="24"/>
      <c r="DS2872" s="24"/>
      <c r="DT2872" s="24"/>
      <c r="DU2872" s="24"/>
    </row>
    <row r="2873" spans="1:125" s="8" customFormat="1" ht="48" x14ac:dyDescent="0.2">
      <c r="A2873" s="97">
        <v>41516</v>
      </c>
      <c r="B2873" s="60" t="s">
        <v>2851</v>
      </c>
      <c r="C2873" s="55" t="s">
        <v>1686</v>
      </c>
      <c r="D2873" s="55" t="s">
        <v>2846</v>
      </c>
      <c r="E2873" s="75" t="str">
        <f>VLOOKUP(B2873&amp;C2873,Divipola!$C$2:$F$1138,4,FALSE)</f>
        <v>76001</v>
      </c>
      <c r="F2873" s="87"/>
      <c r="G2873" s="87"/>
      <c r="H2873" s="87"/>
      <c r="I2873" s="87"/>
      <c r="J2873" s="87"/>
      <c r="K2873" s="87"/>
      <c r="L2873" s="87"/>
      <c r="M2873" s="87"/>
      <c r="N2873" s="87"/>
      <c r="O2873" s="87"/>
      <c r="P2873" s="87"/>
      <c r="Q2873" s="87"/>
      <c r="R2873" s="87"/>
      <c r="S2873" s="87"/>
      <c r="T2873" s="87"/>
      <c r="U2873" s="88">
        <v>30</v>
      </c>
      <c r="V2873" s="89"/>
      <c r="W2873" s="96">
        <v>0</v>
      </c>
      <c r="X2873" s="71">
        <f>CU2873</f>
        <v>0</v>
      </c>
      <c r="Y2873" s="71">
        <f>CY2873</f>
        <v>0</v>
      </c>
      <c r="Z2873" s="71">
        <f>DA2873+DC2873+DE2873</f>
        <v>0</v>
      </c>
      <c r="AA2873" s="71">
        <f>CW2873</f>
        <v>0</v>
      </c>
      <c r="AB2873" s="71"/>
      <c r="AC2873" s="71">
        <v>0</v>
      </c>
      <c r="AD2873" s="71">
        <f>W2873+X2873+Y2873+Z2873+AA2873+AB2873+AC2873</f>
        <v>0</v>
      </c>
      <c r="AE2873" s="72">
        <v>0</v>
      </c>
      <c r="AF2873" s="5"/>
      <c r="AG2873" s="6"/>
      <c r="AH2873" s="27"/>
      <c r="AI2873" s="44"/>
      <c r="AJ2873" s="26"/>
      <c r="AK2873" s="5"/>
      <c r="AL2873" s="82" t="s">
        <v>5742</v>
      </c>
      <c r="AM2873" s="76"/>
      <c r="AN2873" s="76"/>
      <c r="AO2873" s="76"/>
      <c r="AP2873" s="76"/>
      <c r="AQ2873" s="76"/>
      <c r="AR2873" s="76"/>
      <c r="AS2873" s="76"/>
      <c r="AT2873" s="76"/>
      <c r="AU2873" s="76"/>
      <c r="AV2873" s="76"/>
      <c r="AW2873" s="76"/>
      <c r="AX2873" s="76">
        <f>+AW2873*600000</f>
        <v>0</v>
      </c>
      <c r="AY2873" s="76"/>
      <c r="AZ2873" s="76">
        <f>+AY2873*70000</f>
        <v>0</v>
      </c>
      <c r="BA2873" s="76"/>
      <c r="BB2873" s="76"/>
      <c r="BC2873" s="76"/>
      <c r="BD2873" s="76">
        <f>+BC2873*30000</f>
        <v>0</v>
      </c>
      <c r="BE2873" s="76"/>
      <c r="BF2873" s="76"/>
      <c r="BG2873" s="76"/>
      <c r="BH2873" s="76"/>
      <c r="BI2873" s="76"/>
      <c r="BJ2873" s="76"/>
      <c r="BK2873" s="76"/>
      <c r="BL2873" s="76">
        <f>+BK2873*31500</f>
        <v>0</v>
      </c>
      <c r="BM2873" s="76"/>
      <c r="BN2873" s="76"/>
      <c r="BO2873" s="76"/>
      <c r="BP2873" s="76"/>
      <c r="BQ2873" s="76"/>
      <c r="BR2873" s="76"/>
      <c r="BS2873" s="76"/>
      <c r="BT2873" s="76"/>
      <c r="BU2873" s="76"/>
      <c r="BV2873" s="76"/>
      <c r="BW2873" s="76"/>
      <c r="BX2873" s="76"/>
      <c r="BY2873" s="76"/>
      <c r="BZ2873" s="76"/>
      <c r="CA2873" s="76"/>
      <c r="CB2873" s="76"/>
      <c r="CC2873" s="76"/>
      <c r="CD2873" s="76"/>
      <c r="CE2873" s="76"/>
      <c r="CF2873" s="76">
        <f>+CE2873*28000</f>
        <v>0</v>
      </c>
      <c r="CG2873" s="76"/>
      <c r="CH2873" s="76">
        <f>+CG2873*22500</f>
        <v>0</v>
      </c>
      <c r="CI2873" s="76"/>
      <c r="CJ2873" s="76">
        <f>+CI2873*26000</f>
        <v>0</v>
      </c>
      <c r="CK2873" s="76"/>
      <c r="CL2873" s="76"/>
      <c r="CM2873" s="76"/>
      <c r="CN2873" s="76">
        <f>+CM2873*22000</f>
        <v>0</v>
      </c>
      <c r="CO2873" s="76"/>
      <c r="CP2873" s="76">
        <f>+CO2873*46000</f>
        <v>0</v>
      </c>
      <c r="CQ2873" s="76"/>
      <c r="CR2873" s="76">
        <f>+CQ2873*49000</f>
        <v>0</v>
      </c>
      <c r="CS2873" s="76"/>
      <c r="CT2873" s="76"/>
      <c r="CU2873" s="56">
        <f>AN2873+AP2873+AR2873+AT2873+AV2873+AX2873+AZ2873+BB2873+BD2873+BF2873+BH2873+BJ2873+BL2873+BN2873+BP2873+BR2873+BT2873+BV2873+BX2873+BZ2873+CB2873+CD2873+CF2873+CH2873+CJ2873+CL2873+CN2873+CP2873+CR2873+CT2873</f>
        <v>0</v>
      </c>
      <c r="CV2873" s="76"/>
      <c r="CW2873" s="76">
        <f>+CV2873*1100</f>
        <v>0</v>
      </c>
      <c r="CX2873" s="76"/>
      <c r="CY2873" s="76">
        <f>+CX2873*106250</f>
        <v>0</v>
      </c>
      <c r="CZ2873" s="76"/>
      <c r="DA2873" s="76">
        <f>+CZ2873*34500</f>
        <v>0</v>
      </c>
      <c r="DB2873" s="76"/>
      <c r="DC2873" s="76">
        <f>+DB2873*25000</f>
        <v>0</v>
      </c>
      <c r="DD2873" s="219"/>
      <c r="DE2873" s="219"/>
      <c r="DF2873" s="166"/>
      <c r="DG2873" s="116"/>
      <c r="DH2873" s="117"/>
      <c r="DI2873" s="24"/>
      <c r="DJ2873" s="24"/>
      <c r="DK2873" s="24"/>
      <c r="DL2873" s="24"/>
      <c r="DM2873" s="24"/>
      <c r="DN2873" s="24"/>
      <c r="DO2873" s="24"/>
      <c r="DP2873" s="24"/>
      <c r="DQ2873" s="24"/>
      <c r="DR2873" s="24"/>
      <c r="DS2873" s="24"/>
      <c r="DT2873" s="24"/>
      <c r="DU2873" s="24"/>
    </row>
    <row r="2874" spans="1:125" s="8" customFormat="1" ht="84" x14ac:dyDescent="0.2">
      <c r="A2874" s="77">
        <v>41517</v>
      </c>
      <c r="B2874" s="352" t="s">
        <v>2772</v>
      </c>
      <c r="C2874" s="354" t="s">
        <v>2831</v>
      </c>
      <c r="D2874" s="354" t="s">
        <v>2846</v>
      </c>
      <c r="E2874" s="75" t="str">
        <f>VLOOKUP(B2874&amp;C2874,Divipola!$C$2:$F$1138,4,FALSE)</f>
        <v>25592</v>
      </c>
      <c r="F2874" s="87"/>
      <c r="G2874" s="87"/>
      <c r="H2874" s="87"/>
      <c r="I2874" s="87"/>
      <c r="J2874" s="87"/>
      <c r="K2874" s="87"/>
      <c r="L2874" s="87"/>
      <c r="M2874" s="87"/>
      <c r="N2874" s="87"/>
      <c r="O2874" s="87"/>
      <c r="P2874" s="87"/>
      <c r="Q2874" s="87"/>
      <c r="R2874" s="87"/>
      <c r="S2874" s="87"/>
      <c r="T2874" s="87"/>
      <c r="U2874" s="88">
        <v>1</v>
      </c>
      <c r="V2874" s="89"/>
      <c r="W2874" s="96">
        <v>0</v>
      </c>
      <c r="X2874" s="71">
        <f>CU2874</f>
        <v>0</v>
      </c>
      <c r="Y2874" s="71">
        <f>CY2874</f>
        <v>0</v>
      </c>
      <c r="Z2874" s="71">
        <f>DA2874+DC2874+DE2874</f>
        <v>0</v>
      </c>
      <c r="AA2874" s="71">
        <f>CW2874</f>
        <v>0</v>
      </c>
      <c r="AB2874" s="71"/>
      <c r="AC2874" s="71">
        <v>0</v>
      </c>
      <c r="AD2874" s="71">
        <f>W2874+X2874+Y2874+Z2874+AA2874+AB2874+AC2874</f>
        <v>0</v>
      </c>
      <c r="AE2874" s="72">
        <v>0</v>
      </c>
      <c r="AF2874" s="5"/>
      <c r="AG2874" s="6"/>
      <c r="AH2874" s="27"/>
      <c r="AI2874" s="44"/>
      <c r="AJ2874" s="26"/>
      <c r="AK2874" s="5"/>
      <c r="AL2874" s="9" t="s">
        <v>5781</v>
      </c>
      <c r="AM2874" s="76"/>
      <c r="AN2874" s="76"/>
      <c r="AO2874" s="76"/>
      <c r="AP2874" s="76"/>
      <c r="AQ2874" s="76"/>
      <c r="AR2874" s="76"/>
      <c r="AS2874" s="76"/>
      <c r="AT2874" s="76"/>
      <c r="AU2874" s="76"/>
      <c r="AV2874" s="76"/>
      <c r="AW2874" s="76"/>
      <c r="AX2874" s="76">
        <f>+AW2874*600000</f>
        <v>0</v>
      </c>
      <c r="AY2874" s="76"/>
      <c r="AZ2874" s="76">
        <f>+AY2874*70000</f>
        <v>0</v>
      </c>
      <c r="BA2874" s="76"/>
      <c r="BB2874" s="76"/>
      <c r="BC2874" s="76"/>
      <c r="BD2874" s="76">
        <f>+BC2874*30000</f>
        <v>0</v>
      </c>
      <c r="BE2874" s="76"/>
      <c r="BF2874" s="76"/>
      <c r="BG2874" s="76"/>
      <c r="BH2874" s="76"/>
      <c r="BI2874" s="76"/>
      <c r="BJ2874" s="76"/>
      <c r="BK2874" s="76"/>
      <c r="BL2874" s="76">
        <f>+BK2874*31500</f>
        <v>0</v>
      </c>
      <c r="BM2874" s="76"/>
      <c r="BN2874" s="76"/>
      <c r="BO2874" s="76"/>
      <c r="BP2874" s="76"/>
      <c r="BQ2874" s="76"/>
      <c r="BR2874" s="76"/>
      <c r="BS2874" s="76"/>
      <c r="BT2874" s="76"/>
      <c r="BU2874" s="76"/>
      <c r="BV2874" s="76"/>
      <c r="BW2874" s="76"/>
      <c r="BX2874" s="76"/>
      <c r="BY2874" s="76"/>
      <c r="BZ2874" s="76"/>
      <c r="CA2874" s="76"/>
      <c r="CB2874" s="76"/>
      <c r="CC2874" s="76"/>
      <c r="CD2874" s="76"/>
      <c r="CE2874" s="76"/>
      <c r="CF2874" s="76">
        <f>+CE2874*28000</f>
        <v>0</v>
      </c>
      <c r="CG2874" s="76"/>
      <c r="CH2874" s="76">
        <f>+CG2874*22500</f>
        <v>0</v>
      </c>
      <c r="CI2874" s="76"/>
      <c r="CJ2874" s="76">
        <f>+CI2874*26000</f>
        <v>0</v>
      </c>
      <c r="CK2874" s="76"/>
      <c r="CL2874" s="76"/>
      <c r="CM2874" s="76"/>
      <c r="CN2874" s="76">
        <f>+CM2874*22000</f>
        <v>0</v>
      </c>
      <c r="CO2874" s="76"/>
      <c r="CP2874" s="76">
        <f>+CO2874*46000</f>
        <v>0</v>
      </c>
      <c r="CQ2874" s="76"/>
      <c r="CR2874" s="76">
        <f>+CQ2874*49000</f>
        <v>0</v>
      </c>
      <c r="CS2874" s="76"/>
      <c r="CT2874" s="76"/>
      <c r="CU2874" s="56">
        <f>AN2874+AP2874+AR2874+AT2874+AV2874+AX2874+AZ2874+BB2874+BD2874+BF2874+BH2874+BJ2874+BL2874+BN2874+BP2874+BR2874+BT2874+BV2874+BX2874+BZ2874+CB2874+CD2874+CF2874+CH2874+CJ2874+CL2874+CN2874+CP2874+CR2874+CT2874</f>
        <v>0</v>
      </c>
      <c r="CV2874" s="76"/>
      <c r="CW2874" s="76">
        <f>+CV2874*1100</f>
        <v>0</v>
      </c>
      <c r="CX2874" s="76"/>
      <c r="CY2874" s="76">
        <f>+CX2874*106250</f>
        <v>0</v>
      </c>
      <c r="CZ2874" s="76"/>
      <c r="DA2874" s="76">
        <f>+CZ2874*34500</f>
        <v>0</v>
      </c>
      <c r="DB2874" s="76"/>
      <c r="DC2874" s="76">
        <f>+DB2874*25000</f>
        <v>0</v>
      </c>
      <c r="DD2874" s="219"/>
      <c r="DE2874" s="219"/>
      <c r="DF2874" s="166"/>
      <c r="DG2874" s="116"/>
      <c r="DH2874" s="117"/>
      <c r="DI2874" s="24"/>
      <c r="DJ2874" s="24"/>
      <c r="DK2874" s="24"/>
      <c r="DL2874" s="24"/>
      <c r="DM2874" s="24"/>
      <c r="DN2874" s="24"/>
      <c r="DO2874" s="24"/>
      <c r="DP2874" s="24"/>
      <c r="DQ2874" s="24"/>
      <c r="DR2874" s="24"/>
      <c r="DS2874" s="24"/>
      <c r="DT2874" s="24"/>
      <c r="DU2874" s="24"/>
    </row>
    <row r="2875" spans="1:125" s="8" customFormat="1" ht="84" x14ac:dyDescent="0.2">
      <c r="A2875" s="77">
        <v>41517</v>
      </c>
      <c r="B2875" s="225" t="s">
        <v>2772</v>
      </c>
      <c r="C2875" s="227" t="s">
        <v>2834</v>
      </c>
      <c r="D2875" s="354" t="s">
        <v>2846</v>
      </c>
      <c r="E2875" s="75" t="str">
        <f>VLOOKUP(B2875&amp;C2875,Divipola!$C$2:$F$1138,4,FALSE)</f>
        <v>25851</v>
      </c>
      <c r="F2875" s="87"/>
      <c r="G2875" s="87"/>
      <c r="H2875" s="87"/>
      <c r="I2875" s="87"/>
      <c r="J2875" s="87"/>
      <c r="K2875" s="87"/>
      <c r="L2875" s="87"/>
      <c r="M2875" s="87"/>
      <c r="N2875" s="87"/>
      <c r="O2875" s="87"/>
      <c r="P2875" s="87"/>
      <c r="Q2875" s="87"/>
      <c r="R2875" s="87"/>
      <c r="S2875" s="87"/>
      <c r="T2875" s="87"/>
      <c r="U2875" s="88">
        <v>80</v>
      </c>
      <c r="V2875" s="89"/>
      <c r="W2875" s="96">
        <v>0</v>
      </c>
      <c r="X2875" s="71">
        <f>CU2875</f>
        <v>0</v>
      </c>
      <c r="Y2875" s="71">
        <f>CY2875</f>
        <v>0</v>
      </c>
      <c r="Z2875" s="71">
        <f>DA2875+DC2875+DE2875</f>
        <v>0</v>
      </c>
      <c r="AA2875" s="71">
        <f>CW2875</f>
        <v>0</v>
      </c>
      <c r="AB2875" s="71"/>
      <c r="AC2875" s="71">
        <v>0</v>
      </c>
      <c r="AD2875" s="71">
        <f>W2875+X2875+Y2875+Z2875+AA2875+AB2875+AC2875</f>
        <v>0</v>
      </c>
      <c r="AE2875" s="72">
        <v>0</v>
      </c>
      <c r="AF2875" s="5"/>
      <c r="AG2875" s="6"/>
      <c r="AH2875" s="27"/>
      <c r="AI2875" s="44"/>
      <c r="AJ2875" s="26"/>
      <c r="AK2875" s="5"/>
      <c r="AL2875" s="9" t="s">
        <v>5790</v>
      </c>
      <c r="AM2875" s="76"/>
      <c r="AN2875" s="76"/>
      <c r="AO2875" s="76"/>
      <c r="AP2875" s="76"/>
      <c r="AQ2875" s="76"/>
      <c r="AR2875" s="76"/>
      <c r="AS2875" s="76"/>
      <c r="AT2875" s="76"/>
      <c r="AU2875" s="76"/>
      <c r="AV2875" s="76"/>
      <c r="AW2875" s="76"/>
      <c r="AX2875" s="76">
        <f>+AW2875*600000</f>
        <v>0</v>
      </c>
      <c r="AY2875" s="76"/>
      <c r="AZ2875" s="76">
        <f>+AY2875*70000</f>
        <v>0</v>
      </c>
      <c r="BA2875" s="76"/>
      <c r="BB2875" s="76"/>
      <c r="BC2875" s="76"/>
      <c r="BD2875" s="76">
        <f>+BC2875*30000</f>
        <v>0</v>
      </c>
      <c r="BE2875" s="76"/>
      <c r="BF2875" s="76"/>
      <c r="BG2875" s="76"/>
      <c r="BH2875" s="76"/>
      <c r="BI2875" s="76"/>
      <c r="BJ2875" s="76"/>
      <c r="BK2875" s="76"/>
      <c r="BL2875" s="76">
        <f>+BK2875*31500</f>
        <v>0</v>
      </c>
      <c r="BM2875" s="76"/>
      <c r="BN2875" s="76"/>
      <c r="BO2875" s="76"/>
      <c r="BP2875" s="76"/>
      <c r="BQ2875" s="76"/>
      <c r="BR2875" s="76"/>
      <c r="BS2875" s="76"/>
      <c r="BT2875" s="76"/>
      <c r="BU2875" s="76"/>
      <c r="BV2875" s="76"/>
      <c r="BW2875" s="76"/>
      <c r="BX2875" s="76"/>
      <c r="BY2875" s="76"/>
      <c r="BZ2875" s="76"/>
      <c r="CA2875" s="76"/>
      <c r="CB2875" s="76"/>
      <c r="CC2875" s="76"/>
      <c r="CD2875" s="76"/>
      <c r="CE2875" s="76"/>
      <c r="CF2875" s="76">
        <f>+CE2875*28000</f>
        <v>0</v>
      </c>
      <c r="CG2875" s="76"/>
      <c r="CH2875" s="76">
        <f>+CG2875*22500</f>
        <v>0</v>
      </c>
      <c r="CI2875" s="76"/>
      <c r="CJ2875" s="76">
        <f>+CI2875*26000</f>
        <v>0</v>
      </c>
      <c r="CK2875" s="76"/>
      <c r="CL2875" s="76"/>
      <c r="CM2875" s="76"/>
      <c r="CN2875" s="76">
        <f>+CM2875*22000</f>
        <v>0</v>
      </c>
      <c r="CO2875" s="76"/>
      <c r="CP2875" s="76">
        <f>+CO2875*46000</f>
        <v>0</v>
      </c>
      <c r="CQ2875" s="76"/>
      <c r="CR2875" s="76">
        <f>+CQ2875*49000</f>
        <v>0</v>
      </c>
      <c r="CS2875" s="76"/>
      <c r="CT2875" s="76"/>
      <c r="CU2875" s="56">
        <f>AN2875+AP2875+AR2875+AT2875+AV2875+AX2875+AZ2875+BB2875+BD2875+BF2875+BH2875+BJ2875+BL2875+BN2875+BP2875+BR2875+BT2875+BV2875+BX2875+BZ2875+CB2875+CD2875+CF2875+CH2875+CJ2875+CL2875+CN2875+CP2875+CR2875+CT2875</f>
        <v>0</v>
      </c>
      <c r="CV2875" s="76"/>
      <c r="CW2875" s="76">
        <f>+CV2875*1100</f>
        <v>0</v>
      </c>
      <c r="CX2875" s="76"/>
      <c r="CY2875" s="76">
        <f>+CX2875*106250</f>
        <v>0</v>
      </c>
      <c r="CZ2875" s="76"/>
      <c r="DA2875" s="76">
        <f>+CZ2875*34500</f>
        <v>0</v>
      </c>
      <c r="DB2875" s="76"/>
      <c r="DC2875" s="76">
        <f>+DB2875*25000</f>
        <v>0</v>
      </c>
      <c r="DD2875" s="219"/>
      <c r="DE2875" s="219"/>
      <c r="DF2875" s="166"/>
      <c r="DG2875" s="116"/>
      <c r="DH2875" s="117"/>
      <c r="DI2875" s="24"/>
      <c r="DJ2875" s="24"/>
      <c r="DK2875" s="24"/>
      <c r="DL2875" s="24"/>
      <c r="DM2875" s="24"/>
      <c r="DN2875" s="24"/>
      <c r="DO2875" s="24"/>
      <c r="DP2875" s="24"/>
      <c r="DQ2875" s="24"/>
      <c r="DR2875" s="24"/>
      <c r="DS2875" s="24"/>
      <c r="DT2875" s="24"/>
      <c r="DU2875" s="24"/>
    </row>
    <row r="2876" spans="1:125" s="8" customFormat="1" ht="72" x14ac:dyDescent="0.2">
      <c r="A2876" s="77">
        <v>41517</v>
      </c>
      <c r="B2876" s="352" t="s">
        <v>2772</v>
      </c>
      <c r="C2876" s="354" t="s">
        <v>2155</v>
      </c>
      <c r="D2876" s="354" t="s">
        <v>2846</v>
      </c>
      <c r="E2876" s="75" t="str">
        <f>VLOOKUP(B2876&amp;C2876,Divipola!$C$2:$F$1138,4,FALSE)</f>
        <v>25875</v>
      </c>
      <c r="F2876" s="87"/>
      <c r="G2876" s="87"/>
      <c r="H2876" s="87"/>
      <c r="I2876" s="87"/>
      <c r="J2876" s="87"/>
      <c r="K2876" s="87"/>
      <c r="L2876" s="87"/>
      <c r="M2876" s="87"/>
      <c r="N2876" s="87"/>
      <c r="O2876" s="87"/>
      <c r="P2876" s="87"/>
      <c r="Q2876" s="87"/>
      <c r="R2876" s="87"/>
      <c r="S2876" s="87"/>
      <c r="T2876" s="87"/>
      <c r="U2876" s="88">
        <v>2.5</v>
      </c>
      <c r="V2876" s="89"/>
      <c r="W2876" s="96">
        <v>0</v>
      </c>
      <c r="X2876" s="71">
        <f>CU2876</f>
        <v>0</v>
      </c>
      <c r="Y2876" s="71">
        <f>CY2876</f>
        <v>0</v>
      </c>
      <c r="Z2876" s="71">
        <f>DA2876+DC2876+DE2876</f>
        <v>0</v>
      </c>
      <c r="AA2876" s="71">
        <f>CW2876</f>
        <v>0</v>
      </c>
      <c r="AB2876" s="71"/>
      <c r="AC2876" s="71">
        <v>0</v>
      </c>
      <c r="AD2876" s="71">
        <f>W2876+X2876+Y2876+Z2876+AA2876+AB2876+AC2876</f>
        <v>0</v>
      </c>
      <c r="AE2876" s="72">
        <v>0</v>
      </c>
      <c r="AF2876" s="5"/>
      <c r="AG2876" s="6"/>
      <c r="AH2876" s="27"/>
      <c r="AI2876" s="44"/>
      <c r="AJ2876" s="26"/>
      <c r="AK2876" s="5"/>
      <c r="AL2876" s="9" t="s">
        <v>5791</v>
      </c>
      <c r="AM2876" s="76"/>
      <c r="AN2876" s="76"/>
      <c r="AO2876" s="76"/>
      <c r="AP2876" s="76"/>
      <c r="AQ2876" s="76"/>
      <c r="AR2876" s="76"/>
      <c r="AS2876" s="76"/>
      <c r="AT2876" s="76"/>
      <c r="AU2876" s="76"/>
      <c r="AV2876" s="76"/>
      <c r="AW2876" s="76"/>
      <c r="AX2876" s="76">
        <f>+AW2876*600000</f>
        <v>0</v>
      </c>
      <c r="AY2876" s="76"/>
      <c r="AZ2876" s="76">
        <f>+AY2876*70000</f>
        <v>0</v>
      </c>
      <c r="BA2876" s="76"/>
      <c r="BB2876" s="76"/>
      <c r="BC2876" s="76"/>
      <c r="BD2876" s="76">
        <f>+BC2876*30000</f>
        <v>0</v>
      </c>
      <c r="BE2876" s="76"/>
      <c r="BF2876" s="76"/>
      <c r="BG2876" s="76"/>
      <c r="BH2876" s="76"/>
      <c r="BI2876" s="76"/>
      <c r="BJ2876" s="76"/>
      <c r="BK2876" s="76"/>
      <c r="BL2876" s="76">
        <f>+BK2876*31500</f>
        <v>0</v>
      </c>
      <c r="BM2876" s="76"/>
      <c r="BN2876" s="76"/>
      <c r="BO2876" s="76"/>
      <c r="BP2876" s="76"/>
      <c r="BQ2876" s="76"/>
      <c r="BR2876" s="76"/>
      <c r="BS2876" s="76"/>
      <c r="BT2876" s="76"/>
      <c r="BU2876" s="76"/>
      <c r="BV2876" s="76"/>
      <c r="BW2876" s="76"/>
      <c r="BX2876" s="76"/>
      <c r="BY2876" s="76"/>
      <c r="BZ2876" s="76"/>
      <c r="CA2876" s="76"/>
      <c r="CB2876" s="76"/>
      <c r="CC2876" s="76"/>
      <c r="CD2876" s="76"/>
      <c r="CE2876" s="76"/>
      <c r="CF2876" s="76">
        <f>+CE2876*28000</f>
        <v>0</v>
      </c>
      <c r="CG2876" s="76"/>
      <c r="CH2876" s="76">
        <f>+CG2876*22500</f>
        <v>0</v>
      </c>
      <c r="CI2876" s="76"/>
      <c r="CJ2876" s="76">
        <f>+CI2876*26000</f>
        <v>0</v>
      </c>
      <c r="CK2876" s="76"/>
      <c r="CL2876" s="76"/>
      <c r="CM2876" s="76"/>
      <c r="CN2876" s="76">
        <f>+CM2876*22000</f>
        <v>0</v>
      </c>
      <c r="CO2876" s="76"/>
      <c r="CP2876" s="76">
        <f>+CO2876*46000</f>
        <v>0</v>
      </c>
      <c r="CQ2876" s="76"/>
      <c r="CR2876" s="76">
        <f>+CQ2876*49000</f>
        <v>0</v>
      </c>
      <c r="CS2876" s="76"/>
      <c r="CT2876" s="76"/>
      <c r="CU2876" s="56">
        <f>AN2876+AP2876+AR2876+AT2876+AV2876+AX2876+AZ2876+BB2876+BD2876+BF2876+BH2876+BJ2876+BL2876+BN2876+BP2876+BR2876+BT2876+BV2876+BX2876+BZ2876+CB2876+CD2876+CF2876+CH2876+CJ2876+CL2876+CN2876+CP2876+CR2876+CT2876</f>
        <v>0</v>
      </c>
      <c r="CV2876" s="76"/>
      <c r="CW2876" s="76">
        <f>+CV2876*1100</f>
        <v>0</v>
      </c>
      <c r="CX2876" s="76"/>
      <c r="CY2876" s="76">
        <f>+CX2876*106250</f>
        <v>0</v>
      </c>
      <c r="CZ2876" s="76"/>
      <c r="DA2876" s="76">
        <f>+CZ2876*34500</f>
        <v>0</v>
      </c>
      <c r="DB2876" s="76"/>
      <c r="DC2876" s="76">
        <f>+DB2876*25000</f>
        <v>0</v>
      </c>
      <c r="DD2876" s="219"/>
      <c r="DE2876" s="219"/>
      <c r="DF2876" s="166"/>
      <c r="DG2876" s="116"/>
      <c r="DH2876" s="117"/>
      <c r="DI2876" s="24"/>
      <c r="DJ2876" s="24"/>
      <c r="DK2876" s="24"/>
      <c r="DL2876" s="24"/>
      <c r="DM2876" s="24"/>
      <c r="DN2876" s="24"/>
      <c r="DO2876" s="24"/>
      <c r="DP2876" s="24"/>
      <c r="DQ2876" s="24"/>
      <c r="DR2876" s="24"/>
      <c r="DS2876" s="24"/>
      <c r="DT2876" s="24"/>
      <c r="DU2876" s="24"/>
    </row>
    <row r="2877" spans="1:125" s="8" customFormat="1" ht="72" x14ac:dyDescent="0.2">
      <c r="A2877" s="77">
        <v>41517</v>
      </c>
      <c r="B2877" s="352" t="s">
        <v>2772</v>
      </c>
      <c r="C2877" s="354" t="s">
        <v>2155</v>
      </c>
      <c r="D2877" s="354" t="s">
        <v>2846</v>
      </c>
      <c r="E2877" s="75" t="str">
        <f>VLOOKUP(B2877&amp;C2877,Divipola!$C$2:$F$1138,4,FALSE)</f>
        <v>25875</v>
      </c>
      <c r="F2877" s="87"/>
      <c r="G2877" s="87"/>
      <c r="H2877" s="87"/>
      <c r="I2877" s="87"/>
      <c r="J2877" s="87"/>
      <c r="K2877" s="87"/>
      <c r="L2877" s="87"/>
      <c r="M2877" s="87"/>
      <c r="N2877" s="87"/>
      <c r="O2877" s="87"/>
      <c r="P2877" s="87"/>
      <c r="Q2877" s="87"/>
      <c r="R2877" s="87"/>
      <c r="S2877" s="87"/>
      <c r="T2877" s="87"/>
      <c r="U2877" s="88">
        <v>7</v>
      </c>
      <c r="V2877" s="89"/>
      <c r="W2877" s="96">
        <v>0</v>
      </c>
      <c r="X2877" s="71">
        <f>CU2877</f>
        <v>0</v>
      </c>
      <c r="Y2877" s="71">
        <f>CY2877</f>
        <v>0</v>
      </c>
      <c r="Z2877" s="71">
        <f>DA2877+DC2877+DE2877</f>
        <v>0</v>
      </c>
      <c r="AA2877" s="71">
        <f>CW2877</f>
        <v>0</v>
      </c>
      <c r="AB2877" s="71"/>
      <c r="AC2877" s="71">
        <v>0</v>
      </c>
      <c r="AD2877" s="71">
        <f>W2877+X2877+Y2877+Z2877+AA2877+AB2877+AC2877</f>
        <v>0</v>
      </c>
      <c r="AE2877" s="72">
        <v>0</v>
      </c>
      <c r="AF2877" s="5"/>
      <c r="AG2877" s="6"/>
      <c r="AH2877" s="27"/>
      <c r="AI2877" s="44"/>
      <c r="AJ2877" s="26"/>
      <c r="AK2877" s="5"/>
      <c r="AL2877" s="9" t="s">
        <v>5792</v>
      </c>
      <c r="AM2877" s="76"/>
      <c r="AN2877" s="76"/>
      <c r="AO2877" s="76"/>
      <c r="AP2877" s="76"/>
      <c r="AQ2877" s="76"/>
      <c r="AR2877" s="76"/>
      <c r="AS2877" s="76"/>
      <c r="AT2877" s="76"/>
      <c r="AU2877" s="76"/>
      <c r="AV2877" s="76"/>
      <c r="AW2877" s="76"/>
      <c r="AX2877" s="76">
        <f>+AW2877*600000</f>
        <v>0</v>
      </c>
      <c r="AY2877" s="76"/>
      <c r="AZ2877" s="76">
        <f>+AY2877*70000</f>
        <v>0</v>
      </c>
      <c r="BA2877" s="76"/>
      <c r="BB2877" s="76"/>
      <c r="BC2877" s="76"/>
      <c r="BD2877" s="76">
        <f>+BC2877*30000</f>
        <v>0</v>
      </c>
      <c r="BE2877" s="76"/>
      <c r="BF2877" s="76"/>
      <c r="BG2877" s="76"/>
      <c r="BH2877" s="76"/>
      <c r="BI2877" s="76"/>
      <c r="BJ2877" s="76"/>
      <c r="BK2877" s="76"/>
      <c r="BL2877" s="76">
        <f>+BK2877*31500</f>
        <v>0</v>
      </c>
      <c r="BM2877" s="76"/>
      <c r="BN2877" s="76"/>
      <c r="BO2877" s="76"/>
      <c r="BP2877" s="76"/>
      <c r="BQ2877" s="76"/>
      <c r="BR2877" s="76"/>
      <c r="BS2877" s="76"/>
      <c r="BT2877" s="76"/>
      <c r="BU2877" s="76"/>
      <c r="BV2877" s="76"/>
      <c r="BW2877" s="76"/>
      <c r="BX2877" s="76"/>
      <c r="BY2877" s="76"/>
      <c r="BZ2877" s="76"/>
      <c r="CA2877" s="76"/>
      <c r="CB2877" s="76"/>
      <c r="CC2877" s="76"/>
      <c r="CD2877" s="76"/>
      <c r="CE2877" s="76"/>
      <c r="CF2877" s="76">
        <f>+CE2877*28000</f>
        <v>0</v>
      </c>
      <c r="CG2877" s="76"/>
      <c r="CH2877" s="76">
        <f>+CG2877*22500</f>
        <v>0</v>
      </c>
      <c r="CI2877" s="76"/>
      <c r="CJ2877" s="76">
        <f>+CI2877*26000</f>
        <v>0</v>
      </c>
      <c r="CK2877" s="76"/>
      <c r="CL2877" s="76"/>
      <c r="CM2877" s="76"/>
      <c r="CN2877" s="76">
        <f>+CM2877*22000</f>
        <v>0</v>
      </c>
      <c r="CO2877" s="76"/>
      <c r="CP2877" s="76">
        <f>+CO2877*46000</f>
        <v>0</v>
      </c>
      <c r="CQ2877" s="76"/>
      <c r="CR2877" s="76">
        <f>+CQ2877*49000</f>
        <v>0</v>
      </c>
      <c r="CS2877" s="76"/>
      <c r="CT2877" s="76"/>
      <c r="CU2877" s="56">
        <f>AN2877+AP2877+AR2877+AT2877+AV2877+AX2877+AZ2877+BB2877+BD2877+BF2877+BH2877+BJ2877+BL2877+BN2877+BP2877+BR2877+BT2877+BV2877+BX2877+BZ2877+CB2877+CD2877+CF2877+CH2877+CJ2877+CL2877+CN2877+CP2877+CR2877+CT2877</f>
        <v>0</v>
      </c>
      <c r="CV2877" s="76"/>
      <c r="CW2877" s="76">
        <f>+CV2877*1100</f>
        <v>0</v>
      </c>
      <c r="CX2877" s="76"/>
      <c r="CY2877" s="76">
        <f>+CX2877*106250</f>
        <v>0</v>
      </c>
      <c r="CZ2877" s="76"/>
      <c r="DA2877" s="76">
        <f>+CZ2877*34500</f>
        <v>0</v>
      </c>
      <c r="DB2877" s="76"/>
      <c r="DC2877" s="76">
        <f>+DB2877*25000</f>
        <v>0</v>
      </c>
      <c r="DD2877" s="219"/>
      <c r="DE2877" s="219"/>
      <c r="DF2877" s="166"/>
      <c r="DG2877" s="116"/>
      <c r="DH2877" s="117"/>
      <c r="DI2877" s="24"/>
      <c r="DJ2877" s="24"/>
      <c r="DK2877" s="24"/>
      <c r="DL2877" s="24"/>
      <c r="DM2877" s="24"/>
      <c r="DN2877" s="24"/>
      <c r="DO2877" s="24"/>
      <c r="DP2877" s="24"/>
      <c r="DQ2877" s="24"/>
      <c r="DR2877" s="24"/>
      <c r="DS2877" s="24"/>
      <c r="DT2877" s="24"/>
      <c r="DU2877" s="24"/>
    </row>
    <row r="2878" spans="1:125" s="8" customFormat="1" ht="48" x14ac:dyDescent="0.2">
      <c r="A2878" s="353">
        <v>41517</v>
      </c>
      <c r="B2878" s="225" t="s">
        <v>2661</v>
      </c>
      <c r="C2878" s="227" t="s">
        <v>2150</v>
      </c>
      <c r="D2878" s="227" t="s">
        <v>2846</v>
      </c>
      <c r="E2878" s="75" t="str">
        <f>VLOOKUP(B2878&amp;C2878,Divipola!$C$2:$F$1138,4,FALSE)</f>
        <v>41016</v>
      </c>
      <c r="F2878" s="87"/>
      <c r="G2878" s="87"/>
      <c r="H2878" s="87"/>
      <c r="I2878" s="87"/>
      <c r="J2878" s="87"/>
      <c r="K2878" s="87"/>
      <c r="L2878" s="87"/>
      <c r="M2878" s="87"/>
      <c r="N2878" s="87"/>
      <c r="O2878" s="87"/>
      <c r="P2878" s="87"/>
      <c r="Q2878" s="87"/>
      <c r="R2878" s="87"/>
      <c r="S2878" s="87"/>
      <c r="T2878" s="87"/>
      <c r="U2878" s="88">
        <v>5</v>
      </c>
      <c r="V2878" s="89"/>
      <c r="W2878" s="96">
        <v>0</v>
      </c>
      <c r="X2878" s="71">
        <f>CU2878</f>
        <v>0</v>
      </c>
      <c r="Y2878" s="71">
        <f>CY2878</f>
        <v>0</v>
      </c>
      <c r="Z2878" s="71">
        <f>DA2878+DC2878+DE2878</f>
        <v>0</v>
      </c>
      <c r="AA2878" s="71">
        <f>CW2878</f>
        <v>0</v>
      </c>
      <c r="AB2878" s="71"/>
      <c r="AC2878" s="71">
        <v>0</v>
      </c>
      <c r="AD2878" s="71">
        <f>W2878+X2878+Y2878+Z2878+AA2878+AB2878+AC2878</f>
        <v>0</v>
      </c>
      <c r="AE2878" s="72">
        <v>0</v>
      </c>
      <c r="AF2878" s="5"/>
      <c r="AG2878" s="6"/>
      <c r="AH2878" s="27"/>
      <c r="AI2878" s="44"/>
      <c r="AJ2878" s="26"/>
      <c r="AK2878" s="5"/>
      <c r="AL2878" s="82" t="s">
        <v>5762</v>
      </c>
      <c r="AM2878" s="76"/>
      <c r="AN2878" s="76"/>
      <c r="AO2878" s="76"/>
      <c r="AP2878" s="76"/>
      <c r="AQ2878" s="76"/>
      <c r="AR2878" s="76"/>
      <c r="AS2878" s="76"/>
      <c r="AT2878" s="76"/>
      <c r="AU2878" s="76"/>
      <c r="AV2878" s="76"/>
      <c r="AW2878" s="76"/>
      <c r="AX2878" s="76">
        <f>+AW2878*600000</f>
        <v>0</v>
      </c>
      <c r="AY2878" s="76"/>
      <c r="AZ2878" s="76">
        <f>+AY2878*70000</f>
        <v>0</v>
      </c>
      <c r="BA2878" s="76"/>
      <c r="BB2878" s="76"/>
      <c r="BC2878" s="76"/>
      <c r="BD2878" s="76">
        <f>+BC2878*30000</f>
        <v>0</v>
      </c>
      <c r="BE2878" s="76"/>
      <c r="BF2878" s="76"/>
      <c r="BG2878" s="76"/>
      <c r="BH2878" s="76"/>
      <c r="BI2878" s="76"/>
      <c r="BJ2878" s="76"/>
      <c r="BK2878" s="76"/>
      <c r="BL2878" s="76">
        <f>+BK2878*31500</f>
        <v>0</v>
      </c>
      <c r="BM2878" s="76"/>
      <c r="BN2878" s="76"/>
      <c r="BO2878" s="76"/>
      <c r="BP2878" s="76"/>
      <c r="BQ2878" s="76"/>
      <c r="BR2878" s="76"/>
      <c r="BS2878" s="76"/>
      <c r="BT2878" s="76"/>
      <c r="BU2878" s="76"/>
      <c r="BV2878" s="76"/>
      <c r="BW2878" s="76"/>
      <c r="BX2878" s="76"/>
      <c r="BY2878" s="76"/>
      <c r="BZ2878" s="76"/>
      <c r="CA2878" s="76"/>
      <c r="CB2878" s="76"/>
      <c r="CC2878" s="76"/>
      <c r="CD2878" s="76"/>
      <c r="CE2878" s="76"/>
      <c r="CF2878" s="76">
        <f>+CE2878*28000</f>
        <v>0</v>
      </c>
      <c r="CG2878" s="76"/>
      <c r="CH2878" s="76">
        <f>+CG2878*22500</f>
        <v>0</v>
      </c>
      <c r="CI2878" s="76"/>
      <c r="CJ2878" s="76">
        <f>+CI2878*26000</f>
        <v>0</v>
      </c>
      <c r="CK2878" s="76"/>
      <c r="CL2878" s="76"/>
      <c r="CM2878" s="76"/>
      <c r="CN2878" s="76">
        <f>+CM2878*22000</f>
        <v>0</v>
      </c>
      <c r="CO2878" s="76"/>
      <c r="CP2878" s="76">
        <f>+CO2878*46000</f>
        <v>0</v>
      </c>
      <c r="CQ2878" s="76"/>
      <c r="CR2878" s="76">
        <f>+CQ2878*49000</f>
        <v>0</v>
      </c>
      <c r="CS2878" s="76"/>
      <c r="CT2878" s="76"/>
      <c r="CU2878" s="56">
        <f>AN2878+AP2878+AR2878+AT2878+AV2878+AX2878+AZ2878+BB2878+BD2878+BF2878+BH2878+BJ2878+BL2878+BN2878+BP2878+BR2878+BT2878+BV2878+BX2878+BZ2878+CB2878+CD2878+CF2878+CH2878+CJ2878+CL2878+CN2878+CP2878+CR2878+CT2878</f>
        <v>0</v>
      </c>
      <c r="CV2878" s="76"/>
      <c r="CW2878" s="76">
        <f>+CV2878*1100</f>
        <v>0</v>
      </c>
      <c r="CX2878" s="76"/>
      <c r="CY2878" s="76">
        <f>+CX2878*106250</f>
        <v>0</v>
      </c>
      <c r="CZ2878" s="76"/>
      <c r="DA2878" s="76">
        <f>+CZ2878*34500</f>
        <v>0</v>
      </c>
      <c r="DB2878" s="76"/>
      <c r="DC2878" s="76">
        <f>+DB2878*25000</f>
        <v>0</v>
      </c>
      <c r="DD2878" s="219"/>
      <c r="DE2878" s="219"/>
      <c r="DF2878" s="166"/>
      <c r="DG2878" s="116"/>
      <c r="DH2878" s="117"/>
      <c r="DI2878" s="24"/>
      <c r="DJ2878" s="24"/>
      <c r="DK2878" s="24"/>
      <c r="DL2878" s="24"/>
      <c r="DM2878" s="24"/>
      <c r="DN2878" s="24"/>
      <c r="DO2878" s="24"/>
      <c r="DP2878" s="24"/>
      <c r="DQ2878" s="24"/>
      <c r="DR2878" s="24"/>
      <c r="DS2878" s="24"/>
      <c r="DT2878" s="24"/>
      <c r="DU2878" s="24"/>
    </row>
    <row r="2879" spans="1:125" s="8" customFormat="1" ht="36" x14ac:dyDescent="0.2">
      <c r="A2879" s="353">
        <v>41517</v>
      </c>
      <c r="B2879" s="225" t="s">
        <v>2661</v>
      </c>
      <c r="C2879" s="227" t="s">
        <v>2838</v>
      </c>
      <c r="D2879" s="227" t="s">
        <v>2846</v>
      </c>
      <c r="E2879" s="75" t="str">
        <f>VLOOKUP(B2879&amp;C2879,Divipola!$C$2:$F$1138,4,FALSE)</f>
        <v>41132</v>
      </c>
      <c r="F2879" s="87"/>
      <c r="G2879" s="87"/>
      <c r="H2879" s="87"/>
      <c r="I2879" s="87"/>
      <c r="J2879" s="87"/>
      <c r="K2879" s="87"/>
      <c r="L2879" s="87"/>
      <c r="M2879" s="87"/>
      <c r="N2879" s="87"/>
      <c r="O2879" s="87"/>
      <c r="P2879" s="87"/>
      <c r="Q2879" s="87"/>
      <c r="R2879" s="87"/>
      <c r="S2879" s="87"/>
      <c r="T2879" s="87"/>
      <c r="U2879" s="88">
        <v>30</v>
      </c>
      <c r="V2879" s="89"/>
      <c r="W2879" s="96">
        <v>0</v>
      </c>
      <c r="X2879" s="71">
        <f>CU2879</f>
        <v>0</v>
      </c>
      <c r="Y2879" s="71">
        <f>CY2879</f>
        <v>0</v>
      </c>
      <c r="Z2879" s="71">
        <f>DA2879+DC2879+DE2879</f>
        <v>0</v>
      </c>
      <c r="AA2879" s="71">
        <f>CW2879</f>
        <v>0</v>
      </c>
      <c r="AB2879" s="71"/>
      <c r="AC2879" s="71">
        <v>0</v>
      </c>
      <c r="AD2879" s="71">
        <f>W2879+X2879+Y2879+Z2879+AA2879+AB2879+AC2879</f>
        <v>0</v>
      </c>
      <c r="AE2879" s="72">
        <v>0</v>
      </c>
      <c r="AF2879" s="5"/>
      <c r="AG2879" s="6"/>
      <c r="AH2879" s="27"/>
      <c r="AI2879" s="44"/>
      <c r="AJ2879" s="26"/>
      <c r="AK2879" s="5"/>
      <c r="AL2879" s="82" t="s">
        <v>5764</v>
      </c>
      <c r="AM2879" s="76"/>
      <c r="AN2879" s="76"/>
      <c r="AO2879" s="76"/>
      <c r="AP2879" s="76"/>
      <c r="AQ2879" s="76"/>
      <c r="AR2879" s="76"/>
      <c r="AS2879" s="76"/>
      <c r="AT2879" s="76"/>
      <c r="AU2879" s="76"/>
      <c r="AV2879" s="76"/>
      <c r="AW2879" s="76"/>
      <c r="AX2879" s="76">
        <f>+AW2879*600000</f>
        <v>0</v>
      </c>
      <c r="AY2879" s="76"/>
      <c r="AZ2879" s="76">
        <f>+AY2879*70000</f>
        <v>0</v>
      </c>
      <c r="BA2879" s="76"/>
      <c r="BB2879" s="76"/>
      <c r="BC2879" s="76"/>
      <c r="BD2879" s="76">
        <f>+BC2879*30000</f>
        <v>0</v>
      </c>
      <c r="BE2879" s="76"/>
      <c r="BF2879" s="76"/>
      <c r="BG2879" s="76"/>
      <c r="BH2879" s="76"/>
      <c r="BI2879" s="76"/>
      <c r="BJ2879" s="76"/>
      <c r="BK2879" s="76"/>
      <c r="BL2879" s="76">
        <f>+BK2879*31500</f>
        <v>0</v>
      </c>
      <c r="BM2879" s="76"/>
      <c r="BN2879" s="76"/>
      <c r="BO2879" s="76"/>
      <c r="BP2879" s="76"/>
      <c r="BQ2879" s="76"/>
      <c r="BR2879" s="76"/>
      <c r="BS2879" s="76"/>
      <c r="BT2879" s="76"/>
      <c r="BU2879" s="76"/>
      <c r="BV2879" s="76"/>
      <c r="BW2879" s="76"/>
      <c r="BX2879" s="76"/>
      <c r="BY2879" s="76"/>
      <c r="BZ2879" s="76"/>
      <c r="CA2879" s="76"/>
      <c r="CB2879" s="76"/>
      <c r="CC2879" s="76"/>
      <c r="CD2879" s="76"/>
      <c r="CE2879" s="76"/>
      <c r="CF2879" s="76">
        <f>+CE2879*28000</f>
        <v>0</v>
      </c>
      <c r="CG2879" s="76"/>
      <c r="CH2879" s="76">
        <f>+CG2879*22500</f>
        <v>0</v>
      </c>
      <c r="CI2879" s="76"/>
      <c r="CJ2879" s="76">
        <f>+CI2879*26000</f>
        <v>0</v>
      </c>
      <c r="CK2879" s="76"/>
      <c r="CL2879" s="76"/>
      <c r="CM2879" s="76"/>
      <c r="CN2879" s="76">
        <f>+CM2879*22000</f>
        <v>0</v>
      </c>
      <c r="CO2879" s="76"/>
      <c r="CP2879" s="76">
        <f>+CO2879*46000</f>
        <v>0</v>
      </c>
      <c r="CQ2879" s="76"/>
      <c r="CR2879" s="76">
        <f>+CQ2879*49000</f>
        <v>0</v>
      </c>
      <c r="CS2879" s="76"/>
      <c r="CT2879" s="76"/>
      <c r="CU2879" s="56">
        <f>AN2879+AP2879+AR2879+AT2879+AV2879+AX2879+AZ2879+BB2879+BD2879+BF2879+BH2879+BJ2879+BL2879+BN2879+BP2879+BR2879+BT2879+BV2879+BX2879+BZ2879+CB2879+CD2879+CF2879+CH2879+CJ2879+CL2879+CN2879+CP2879+CR2879+CT2879</f>
        <v>0</v>
      </c>
      <c r="CV2879" s="76"/>
      <c r="CW2879" s="76">
        <f>+CV2879*1100</f>
        <v>0</v>
      </c>
      <c r="CX2879" s="76"/>
      <c r="CY2879" s="76">
        <f>+CX2879*106250</f>
        <v>0</v>
      </c>
      <c r="CZ2879" s="76"/>
      <c r="DA2879" s="76">
        <f>+CZ2879*34500</f>
        <v>0</v>
      </c>
      <c r="DB2879" s="76"/>
      <c r="DC2879" s="76">
        <f>+DB2879*25000</f>
        <v>0</v>
      </c>
      <c r="DD2879" s="219"/>
      <c r="DE2879" s="219"/>
      <c r="DF2879" s="166"/>
      <c r="DG2879" s="116"/>
      <c r="DH2879" s="117"/>
      <c r="DI2879" s="24"/>
      <c r="DJ2879" s="24"/>
      <c r="DK2879" s="24"/>
      <c r="DL2879" s="24"/>
      <c r="DM2879" s="24"/>
      <c r="DN2879" s="24"/>
      <c r="DO2879" s="24"/>
      <c r="DP2879" s="24"/>
      <c r="DQ2879" s="24"/>
      <c r="DR2879" s="24"/>
      <c r="DS2879" s="24"/>
      <c r="DT2879" s="24"/>
      <c r="DU2879" s="24"/>
    </row>
    <row r="2880" spans="1:125" s="8" customFormat="1" ht="48" x14ac:dyDescent="0.2">
      <c r="A2880" s="353">
        <v>41517</v>
      </c>
      <c r="B2880" s="352" t="s">
        <v>2661</v>
      </c>
      <c r="C2880" s="354" t="s">
        <v>2</v>
      </c>
      <c r="D2880" s="354" t="s">
        <v>2846</v>
      </c>
      <c r="E2880" s="75" t="str">
        <f>VLOOKUP(B2880&amp;C2880,Divipola!$C$2:$F$1138,4,FALSE)</f>
        <v>41524</v>
      </c>
      <c r="F2880" s="87"/>
      <c r="G2880" s="87"/>
      <c r="H2880" s="87"/>
      <c r="I2880" s="87"/>
      <c r="J2880" s="87"/>
      <c r="K2880" s="87"/>
      <c r="L2880" s="87"/>
      <c r="M2880" s="87"/>
      <c r="N2880" s="87"/>
      <c r="O2880" s="87"/>
      <c r="P2880" s="87"/>
      <c r="Q2880" s="87"/>
      <c r="R2880" s="87"/>
      <c r="S2880" s="87"/>
      <c r="T2880" s="87"/>
      <c r="U2880" s="88">
        <v>15</v>
      </c>
      <c r="V2880" s="89"/>
      <c r="W2880" s="96">
        <v>0</v>
      </c>
      <c r="X2880" s="71">
        <f>CU2880</f>
        <v>0</v>
      </c>
      <c r="Y2880" s="71">
        <f>CY2880</f>
        <v>0</v>
      </c>
      <c r="Z2880" s="71">
        <f>DA2880+DC2880+DE2880</f>
        <v>0</v>
      </c>
      <c r="AA2880" s="71">
        <f>CW2880</f>
        <v>0</v>
      </c>
      <c r="AB2880" s="71"/>
      <c r="AC2880" s="71">
        <v>0</v>
      </c>
      <c r="AD2880" s="71">
        <f>W2880+X2880+Y2880+Z2880+AA2880+AB2880+AC2880</f>
        <v>0</v>
      </c>
      <c r="AE2880" s="72">
        <v>0</v>
      </c>
      <c r="AF2880" s="5"/>
      <c r="AG2880" s="6"/>
      <c r="AH2880" s="27"/>
      <c r="AI2880" s="44"/>
      <c r="AJ2880" s="26"/>
      <c r="AK2880" s="5"/>
      <c r="AL2880" s="82" t="s">
        <v>5763</v>
      </c>
      <c r="AM2880" s="76"/>
      <c r="AN2880" s="76"/>
      <c r="AO2880" s="76"/>
      <c r="AP2880" s="76"/>
      <c r="AQ2880" s="76"/>
      <c r="AR2880" s="76"/>
      <c r="AS2880" s="76"/>
      <c r="AT2880" s="76"/>
      <c r="AU2880" s="76"/>
      <c r="AV2880" s="76"/>
      <c r="AW2880" s="76"/>
      <c r="AX2880" s="76">
        <f>+AW2880*600000</f>
        <v>0</v>
      </c>
      <c r="AY2880" s="76"/>
      <c r="AZ2880" s="76">
        <f>+AY2880*70000</f>
        <v>0</v>
      </c>
      <c r="BA2880" s="76"/>
      <c r="BB2880" s="76"/>
      <c r="BC2880" s="76"/>
      <c r="BD2880" s="76">
        <f>+BC2880*30000</f>
        <v>0</v>
      </c>
      <c r="BE2880" s="76"/>
      <c r="BF2880" s="76"/>
      <c r="BG2880" s="76"/>
      <c r="BH2880" s="76"/>
      <c r="BI2880" s="76"/>
      <c r="BJ2880" s="76"/>
      <c r="BK2880" s="76"/>
      <c r="BL2880" s="76">
        <f>+BK2880*31500</f>
        <v>0</v>
      </c>
      <c r="BM2880" s="76"/>
      <c r="BN2880" s="76"/>
      <c r="BO2880" s="76"/>
      <c r="BP2880" s="76"/>
      <c r="BQ2880" s="76"/>
      <c r="BR2880" s="76"/>
      <c r="BS2880" s="76"/>
      <c r="BT2880" s="76"/>
      <c r="BU2880" s="76"/>
      <c r="BV2880" s="76"/>
      <c r="BW2880" s="76"/>
      <c r="BX2880" s="76"/>
      <c r="BY2880" s="76"/>
      <c r="BZ2880" s="76"/>
      <c r="CA2880" s="76"/>
      <c r="CB2880" s="76"/>
      <c r="CC2880" s="76"/>
      <c r="CD2880" s="76"/>
      <c r="CE2880" s="76"/>
      <c r="CF2880" s="76">
        <f>+CE2880*28000</f>
        <v>0</v>
      </c>
      <c r="CG2880" s="76"/>
      <c r="CH2880" s="76">
        <f>+CG2880*22500</f>
        <v>0</v>
      </c>
      <c r="CI2880" s="76"/>
      <c r="CJ2880" s="76">
        <f>+CI2880*26000</f>
        <v>0</v>
      </c>
      <c r="CK2880" s="76"/>
      <c r="CL2880" s="76"/>
      <c r="CM2880" s="76"/>
      <c r="CN2880" s="76">
        <f>+CM2880*22000</f>
        <v>0</v>
      </c>
      <c r="CO2880" s="76"/>
      <c r="CP2880" s="76">
        <f>+CO2880*46000</f>
        <v>0</v>
      </c>
      <c r="CQ2880" s="76"/>
      <c r="CR2880" s="76">
        <f>+CQ2880*49000</f>
        <v>0</v>
      </c>
      <c r="CS2880" s="76"/>
      <c r="CT2880" s="76"/>
      <c r="CU2880" s="56">
        <f>AN2880+AP2880+AR2880+AT2880+AV2880+AX2880+AZ2880+BB2880+BD2880+BF2880+BH2880+BJ2880+BL2880+BN2880+BP2880+BR2880+BT2880+BV2880+BX2880+BZ2880+CB2880+CD2880+CF2880+CH2880+CJ2880+CL2880+CN2880+CP2880+CR2880+CT2880</f>
        <v>0</v>
      </c>
      <c r="CV2880" s="76"/>
      <c r="CW2880" s="76">
        <f>+CV2880*1100</f>
        <v>0</v>
      </c>
      <c r="CX2880" s="76"/>
      <c r="CY2880" s="76">
        <f>+CX2880*106250</f>
        <v>0</v>
      </c>
      <c r="CZ2880" s="76"/>
      <c r="DA2880" s="76">
        <f>+CZ2880*34500</f>
        <v>0</v>
      </c>
      <c r="DB2880" s="76"/>
      <c r="DC2880" s="76">
        <f>+DB2880*25000</f>
        <v>0</v>
      </c>
      <c r="DD2880" s="219"/>
      <c r="DE2880" s="219"/>
      <c r="DF2880" s="166"/>
      <c r="DG2880" s="116"/>
      <c r="DH2880" s="117"/>
      <c r="DI2880" s="24"/>
      <c r="DJ2880" s="24"/>
      <c r="DK2880" s="24"/>
      <c r="DL2880" s="24"/>
      <c r="DM2880" s="24"/>
      <c r="DN2880" s="24"/>
      <c r="DO2880" s="24"/>
      <c r="DP2880" s="24"/>
      <c r="DQ2880" s="24"/>
      <c r="DR2880" s="24"/>
      <c r="DS2880" s="24"/>
      <c r="DT2880" s="24"/>
      <c r="DU2880" s="24"/>
    </row>
    <row r="2881" spans="1:125" s="8" customFormat="1" ht="84" x14ac:dyDescent="0.2">
      <c r="A2881" s="77">
        <v>41517</v>
      </c>
      <c r="B2881" s="352" t="s">
        <v>3136</v>
      </c>
      <c r="C2881" s="354" t="s">
        <v>2204</v>
      </c>
      <c r="D2881" s="354" t="s">
        <v>3051</v>
      </c>
      <c r="E2881" s="75" t="str">
        <f>VLOOKUP(B2881&amp;C2881,Divipola!$C$2:$F$1138,4,FALSE)</f>
        <v>44001</v>
      </c>
      <c r="F2881" s="87"/>
      <c r="G2881" s="87"/>
      <c r="H2881" s="87"/>
      <c r="I2881" s="87">
        <v>150</v>
      </c>
      <c r="J2881" s="87">
        <v>30</v>
      </c>
      <c r="K2881" s="87"/>
      <c r="L2881" s="87">
        <v>30</v>
      </c>
      <c r="M2881" s="87"/>
      <c r="N2881" s="87"/>
      <c r="O2881" s="87"/>
      <c r="P2881" s="87"/>
      <c r="Q2881" s="87"/>
      <c r="R2881" s="87"/>
      <c r="S2881" s="87"/>
      <c r="T2881" s="87"/>
      <c r="U2881" s="88"/>
      <c r="V2881" s="89"/>
      <c r="W2881" s="96">
        <v>0</v>
      </c>
      <c r="X2881" s="71">
        <f>CU2881</f>
        <v>0</v>
      </c>
      <c r="Y2881" s="71">
        <f>CY2881</f>
        <v>0</v>
      </c>
      <c r="Z2881" s="71">
        <f>DA2881+DC2881+DE2881</f>
        <v>0</v>
      </c>
      <c r="AA2881" s="71">
        <f>CW2881</f>
        <v>0</v>
      </c>
      <c r="AB2881" s="71"/>
      <c r="AC2881" s="71">
        <v>0</v>
      </c>
      <c r="AD2881" s="71">
        <f>W2881+X2881+Y2881+Z2881+AA2881+AB2881+AC2881</f>
        <v>0</v>
      </c>
      <c r="AE2881" s="72">
        <v>0</v>
      </c>
      <c r="AF2881" s="5"/>
      <c r="AG2881" s="6"/>
      <c r="AH2881" s="27"/>
      <c r="AI2881" s="44"/>
      <c r="AJ2881" s="26"/>
      <c r="AK2881" s="5"/>
      <c r="AL2881" s="9" t="s">
        <v>5795</v>
      </c>
      <c r="AM2881" s="76"/>
      <c r="AN2881" s="76"/>
      <c r="AO2881" s="76"/>
      <c r="AP2881" s="76"/>
      <c r="AQ2881" s="76"/>
      <c r="AR2881" s="76"/>
      <c r="AS2881" s="76"/>
      <c r="AT2881" s="76"/>
      <c r="AU2881" s="76"/>
      <c r="AV2881" s="76"/>
      <c r="AW2881" s="76"/>
      <c r="AX2881" s="76">
        <f>+AW2881*600000</f>
        <v>0</v>
      </c>
      <c r="AY2881" s="76"/>
      <c r="AZ2881" s="76">
        <f>+AY2881*70000</f>
        <v>0</v>
      </c>
      <c r="BA2881" s="76"/>
      <c r="BB2881" s="76"/>
      <c r="BC2881" s="76"/>
      <c r="BD2881" s="76">
        <f>+BC2881*30000</f>
        <v>0</v>
      </c>
      <c r="BE2881" s="76"/>
      <c r="BF2881" s="76"/>
      <c r="BG2881" s="76"/>
      <c r="BH2881" s="76"/>
      <c r="BI2881" s="76"/>
      <c r="BJ2881" s="76"/>
      <c r="BK2881" s="76"/>
      <c r="BL2881" s="76">
        <f>+BK2881*31500</f>
        <v>0</v>
      </c>
      <c r="BM2881" s="76"/>
      <c r="BN2881" s="76"/>
      <c r="BO2881" s="76"/>
      <c r="BP2881" s="76"/>
      <c r="BQ2881" s="76"/>
      <c r="BR2881" s="76"/>
      <c r="BS2881" s="76"/>
      <c r="BT2881" s="76"/>
      <c r="BU2881" s="76"/>
      <c r="BV2881" s="76"/>
      <c r="BW2881" s="76"/>
      <c r="BX2881" s="76"/>
      <c r="BY2881" s="76"/>
      <c r="BZ2881" s="76"/>
      <c r="CA2881" s="76"/>
      <c r="CB2881" s="76"/>
      <c r="CC2881" s="76"/>
      <c r="CD2881" s="76"/>
      <c r="CE2881" s="76"/>
      <c r="CF2881" s="76">
        <f>+CE2881*28000</f>
        <v>0</v>
      </c>
      <c r="CG2881" s="76"/>
      <c r="CH2881" s="76">
        <f>+CG2881*22500</f>
        <v>0</v>
      </c>
      <c r="CI2881" s="76"/>
      <c r="CJ2881" s="76">
        <f>+CI2881*26000</f>
        <v>0</v>
      </c>
      <c r="CK2881" s="76"/>
      <c r="CL2881" s="76"/>
      <c r="CM2881" s="76"/>
      <c r="CN2881" s="76">
        <f>+CM2881*22000</f>
        <v>0</v>
      </c>
      <c r="CO2881" s="76"/>
      <c r="CP2881" s="76">
        <f>+CO2881*46000</f>
        <v>0</v>
      </c>
      <c r="CQ2881" s="76"/>
      <c r="CR2881" s="76">
        <f>+CQ2881*49000</f>
        <v>0</v>
      </c>
      <c r="CS2881" s="76"/>
      <c r="CT2881" s="76"/>
      <c r="CU2881" s="56">
        <f>AN2881+AP2881+AR2881+AT2881+AV2881+AX2881+AZ2881+BB2881+BD2881+BF2881+BH2881+BJ2881+BL2881+BN2881+BP2881+BR2881+BT2881+BV2881+BX2881+BZ2881+CB2881+CD2881+CF2881+CH2881+CJ2881+CL2881+CN2881+CP2881+CR2881+CT2881</f>
        <v>0</v>
      </c>
      <c r="CV2881" s="76"/>
      <c r="CW2881" s="76">
        <f>+CV2881*1100</f>
        <v>0</v>
      </c>
      <c r="CX2881" s="76"/>
      <c r="CY2881" s="76">
        <f>+CX2881*106250</f>
        <v>0</v>
      </c>
      <c r="CZ2881" s="76"/>
      <c r="DA2881" s="76">
        <f>+CZ2881*34500</f>
        <v>0</v>
      </c>
      <c r="DB2881" s="76"/>
      <c r="DC2881" s="76">
        <f>+DB2881*25000</f>
        <v>0</v>
      </c>
      <c r="DD2881" s="219"/>
      <c r="DE2881" s="219"/>
      <c r="DF2881" s="166"/>
      <c r="DG2881" s="116"/>
      <c r="DH2881" s="117"/>
      <c r="DI2881" s="24"/>
      <c r="DJ2881" s="24"/>
      <c r="DK2881" s="24"/>
      <c r="DL2881" s="24"/>
      <c r="DM2881" s="24"/>
      <c r="DN2881" s="24"/>
      <c r="DO2881" s="24"/>
      <c r="DP2881" s="24"/>
      <c r="DQ2881" s="24"/>
      <c r="DR2881" s="24"/>
      <c r="DS2881" s="24"/>
      <c r="DT2881" s="24"/>
      <c r="DU2881" s="24"/>
    </row>
    <row r="2882" spans="1:125" s="8" customFormat="1" ht="48" x14ac:dyDescent="0.2">
      <c r="A2882" s="77">
        <v>41517</v>
      </c>
      <c r="B2882" s="352" t="s">
        <v>2847</v>
      </c>
      <c r="C2882" s="354" t="s">
        <v>2673</v>
      </c>
      <c r="D2882" s="354" t="s">
        <v>2859</v>
      </c>
      <c r="E2882" s="75" t="str">
        <f>VLOOKUP(B2882&amp;C2882,Divipola!$C$2:$F$1138,4,FALSE)</f>
        <v>68001</v>
      </c>
      <c r="F2882" s="87">
        <v>1</v>
      </c>
      <c r="G2882" s="87"/>
      <c r="H2882" s="87"/>
      <c r="I2882" s="87">
        <v>1</v>
      </c>
      <c r="J2882" s="87"/>
      <c r="K2882" s="87"/>
      <c r="L2882" s="87"/>
      <c r="M2882" s="87"/>
      <c r="N2882" s="87"/>
      <c r="O2882" s="87"/>
      <c r="P2882" s="87"/>
      <c r="Q2882" s="87"/>
      <c r="R2882" s="87"/>
      <c r="S2882" s="87"/>
      <c r="T2882" s="87"/>
      <c r="U2882" s="88"/>
      <c r="V2882" s="89">
        <v>1</v>
      </c>
      <c r="W2882" s="96">
        <v>0</v>
      </c>
      <c r="X2882" s="71">
        <f>CU2882</f>
        <v>0</v>
      </c>
      <c r="Y2882" s="71">
        <f>CY2882</f>
        <v>0</v>
      </c>
      <c r="Z2882" s="71">
        <f>DA2882+DC2882+DE2882</f>
        <v>0</v>
      </c>
      <c r="AA2882" s="71">
        <f>CW2882</f>
        <v>0</v>
      </c>
      <c r="AB2882" s="71"/>
      <c r="AC2882" s="71">
        <v>0</v>
      </c>
      <c r="AD2882" s="71">
        <f>W2882+X2882+Y2882+Z2882+AA2882+AB2882+AC2882</f>
        <v>0</v>
      </c>
      <c r="AE2882" s="72">
        <v>0</v>
      </c>
      <c r="AF2882" s="5"/>
      <c r="AG2882" s="6"/>
      <c r="AH2882" s="27"/>
      <c r="AI2882" s="44"/>
      <c r="AJ2882" s="26"/>
      <c r="AK2882" s="5"/>
      <c r="AL2882" s="82" t="s">
        <v>5751</v>
      </c>
      <c r="AM2882" s="76"/>
      <c r="AN2882" s="76"/>
      <c r="AO2882" s="76"/>
      <c r="AP2882" s="76"/>
      <c r="AQ2882" s="76"/>
      <c r="AR2882" s="76"/>
      <c r="AS2882" s="76"/>
      <c r="AT2882" s="76"/>
      <c r="AU2882" s="76"/>
      <c r="AV2882" s="76"/>
      <c r="AW2882" s="76"/>
      <c r="AX2882" s="76">
        <f>+AW2882*600000</f>
        <v>0</v>
      </c>
      <c r="AY2882" s="76"/>
      <c r="AZ2882" s="76">
        <f>+AY2882*70000</f>
        <v>0</v>
      </c>
      <c r="BA2882" s="76"/>
      <c r="BB2882" s="76"/>
      <c r="BC2882" s="76"/>
      <c r="BD2882" s="76">
        <f>+BC2882*30000</f>
        <v>0</v>
      </c>
      <c r="BE2882" s="76"/>
      <c r="BF2882" s="76"/>
      <c r="BG2882" s="76"/>
      <c r="BH2882" s="76"/>
      <c r="BI2882" s="76"/>
      <c r="BJ2882" s="76"/>
      <c r="BK2882" s="76"/>
      <c r="BL2882" s="76">
        <f>+BK2882*31500</f>
        <v>0</v>
      </c>
      <c r="BM2882" s="76"/>
      <c r="BN2882" s="76"/>
      <c r="BO2882" s="76"/>
      <c r="BP2882" s="76"/>
      <c r="BQ2882" s="76"/>
      <c r="BR2882" s="76"/>
      <c r="BS2882" s="76"/>
      <c r="BT2882" s="76"/>
      <c r="BU2882" s="76"/>
      <c r="BV2882" s="76"/>
      <c r="BW2882" s="76"/>
      <c r="BX2882" s="76"/>
      <c r="BY2882" s="76"/>
      <c r="BZ2882" s="76"/>
      <c r="CA2882" s="76"/>
      <c r="CB2882" s="76"/>
      <c r="CC2882" s="76"/>
      <c r="CD2882" s="76"/>
      <c r="CE2882" s="76"/>
      <c r="CF2882" s="76">
        <f>+CE2882*28000</f>
        <v>0</v>
      </c>
      <c r="CG2882" s="76"/>
      <c r="CH2882" s="76">
        <f>+CG2882*22500</f>
        <v>0</v>
      </c>
      <c r="CI2882" s="76"/>
      <c r="CJ2882" s="76">
        <f>+CI2882*26000</f>
        <v>0</v>
      </c>
      <c r="CK2882" s="76"/>
      <c r="CL2882" s="76"/>
      <c r="CM2882" s="76"/>
      <c r="CN2882" s="76">
        <f>+CM2882*22000</f>
        <v>0</v>
      </c>
      <c r="CO2882" s="76"/>
      <c r="CP2882" s="76">
        <f>+CO2882*46000</f>
        <v>0</v>
      </c>
      <c r="CQ2882" s="76"/>
      <c r="CR2882" s="76">
        <f>+CQ2882*49000</f>
        <v>0</v>
      </c>
      <c r="CS2882" s="76"/>
      <c r="CT2882" s="76"/>
      <c r="CU2882" s="56">
        <f>AN2882+AP2882+AR2882+AT2882+AV2882+AX2882+AZ2882+BB2882+BD2882+BF2882+BH2882+BJ2882+BL2882+BN2882+BP2882+BR2882+BT2882+BV2882+BX2882+BZ2882+CB2882+CD2882+CF2882+CH2882+CJ2882+CL2882+CN2882+CP2882+CR2882+CT2882</f>
        <v>0</v>
      </c>
      <c r="CV2882" s="76"/>
      <c r="CW2882" s="76">
        <f>+CV2882*1100</f>
        <v>0</v>
      </c>
      <c r="CX2882" s="76"/>
      <c r="CY2882" s="76">
        <f>+CX2882*106250</f>
        <v>0</v>
      </c>
      <c r="CZ2882" s="76"/>
      <c r="DA2882" s="76">
        <f>+CZ2882*34500</f>
        <v>0</v>
      </c>
      <c r="DB2882" s="76"/>
      <c r="DC2882" s="76">
        <f>+DB2882*25000</f>
        <v>0</v>
      </c>
      <c r="DD2882" s="219"/>
      <c r="DE2882" s="219"/>
      <c r="DF2882" s="166"/>
      <c r="DG2882" s="116"/>
      <c r="DH2882" s="117"/>
      <c r="DI2882" s="24"/>
      <c r="DJ2882" s="24"/>
      <c r="DK2882" s="24"/>
      <c r="DL2882" s="24"/>
      <c r="DM2882" s="24"/>
      <c r="DN2882" s="24"/>
      <c r="DO2882" s="24"/>
      <c r="DP2882" s="24"/>
      <c r="DQ2882" s="24"/>
      <c r="DR2882" s="24"/>
      <c r="DS2882" s="24"/>
      <c r="DT2882" s="24"/>
      <c r="DU2882" s="24"/>
    </row>
    <row r="2883" spans="1:125" s="8" customFormat="1" ht="36" x14ac:dyDescent="0.2">
      <c r="A2883" s="77">
        <v>41517</v>
      </c>
      <c r="B2883" s="78" t="s">
        <v>2848</v>
      </c>
      <c r="C2883" s="75" t="s">
        <v>2053</v>
      </c>
      <c r="D2883" s="75" t="s">
        <v>2882</v>
      </c>
      <c r="E2883" s="75" t="str">
        <f>VLOOKUP(B2883&amp;C2883,Divipola!$C$2:$F$1138,4,FALSE)</f>
        <v>73026</v>
      </c>
      <c r="F2883" s="61"/>
      <c r="G2883" s="61"/>
      <c r="H2883" s="61"/>
      <c r="I2883" s="61">
        <v>295</v>
      </c>
      <c r="J2883" s="61">
        <v>59</v>
      </c>
      <c r="K2883" s="61"/>
      <c r="L2883" s="61">
        <v>59</v>
      </c>
      <c r="M2883" s="61"/>
      <c r="N2883" s="61"/>
      <c r="O2883" s="61"/>
      <c r="P2883" s="61"/>
      <c r="Q2883" s="61"/>
      <c r="R2883" s="61"/>
      <c r="S2883" s="61">
        <v>1</v>
      </c>
      <c r="T2883" s="61"/>
      <c r="U2883" s="61"/>
      <c r="V2883" s="7"/>
      <c r="W2883" s="96">
        <v>0</v>
      </c>
      <c r="X2883" s="71">
        <f>CU2883</f>
        <v>2939973.5999999996</v>
      </c>
      <c r="Y2883" s="71">
        <f>CY2883</f>
        <v>6308250</v>
      </c>
      <c r="Z2883" s="71">
        <f>DA2883+DC2883+DE2883</f>
        <v>9560185.2399999984</v>
      </c>
      <c r="AA2883" s="71">
        <f>CW2883</f>
        <v>0</v>
      </c>
      <c r="AB2883" s="71"/>
      <c r="AC2883" s="71">
        <v>0</v>
      </c>
      <c r="AD2883" s="71">
        <f>W2883+X2883+Y2883+Z2883+AA2883+AB2883+AC2883</f>
        <v>18808408.839999996</v>
      </c>
      <c r="AE2883" s="72">
        <v>0</v>
      </c>
      <c r="AF2883" s="5"/>
      <c r="AG2883" s="6"/>
      <c r="AH2883" s="27"/>
      <c r="AI2883" s="44"/>
      <c r="AJ2883" s="26"/>
      <c r="AK2883" s="5"/>
      <c r="AL2883" s="9" t="s">
        <v>6326</v>
      </c>
      <c r="AM2883" s="76"/>
      <c r="AN2883" s="76"/>
      <c r="AO2883" s="76"/>
      <c r="AP2883" s="76"/>
      <c r="AQ2883" s="76"/>
      <c r="AR2883" s="76"/>
      <c r="AS2883" s="76"/>
      <c r="AT2883" s="76"/>
      <c r="AU2883" s="76"/>
      <c r="AV2883" s="76"/>
      <c r="AW2883" s="76"/>
      <c r="AX2883" s="76">
        <f>+AW2883*600000</f>
        <v>0</v>
      </c>
      <c r="AY2883" s="76"/>
      <c r="AZ2883" s="76">
        <f>+AY2883*70000</f>
        <v>0</v>
      </c>
      <c r="BA2883" s="76"/>
      <c r="BB2883" s="76"/>
      <c r="BC2883" s="76"/>
      <c r="BD2883" s="76">
        <f>+BC2883*30000</f>
        <v>0</v>
      </c>
      <c r="BE2883" s="76"/>
      <c r="BF2883" s="76"/>
      <c r="BG2883" s="76"/>
      <c r="BH2883" s="76"/>
      <c r="BI2883" s="76"/>
      <c r="BJ2883" s="76"/>
      <c r="BK2883" s="76"/>
      <c r="BL2883" s="76">
        <f>+BK2883*31500</f>
        <v>0</v>
      </c>
      <c r="BM2883" s="76"/>
      <c r="BN2883" s="76"/>
      <c r="BO2883" s="76"/>
      <c r="BP2883" s="76"/>
      <c r="BQ2883" s="76"/>
      <c r="BR2883" s="76"/>
      <c r="BS2883" s="76"/>
      <c r="BT2883" s="76"/>
      <c r="BU2883" s="76"/>
      <c r="BV2883" s="76"/>
      <c r="BW2883" s="76"/>
      <c r="BX2883" s="76"/>
      <c r="BY2883" s="76"/>
      <c r="BZ2883" s="76"/>
      <c r="CA2883" s="76"/>
      <c r="CB2883" s="76"/>
      <c r="CC2883" s="76"/>
      <c r="CD2883" s="76"/>
      <c r="CE2883" s="76"/>
      <c r="CF2883" s="76">
        <f>+CE2883*28000</f>
        <v>0</v>
      </c>
      <c r="CG2883" s="76"/>
      <c r="CH2883" s="76">
        <f>+CG2883*22500</f>
        <v>0</v>
      </c>
      <c r="CI2883" s="76"/>
      <c r="CJ2883" s="76">
        <f>+CI2883*26000</f>
        <v>0</v>
      </c>
      <c r="CK2883" s="76"/>
      <c r="CL2883" s="76"/>
      <c r="CM2883" s="76"/>
      <c r="CN2883" s="76">
        <f>+CM2883*22000</f>
        <v>0</v>
      </c>
      <c r="CO2883" s="76"/>
      <c r="CP2883" s="76">
        <f>+CO2883*46000</f>
        <v>0</v>
      </c>
      <c r="CQ2883" s="86">
        <v>60</v>
      </c>
      <c r="CR2883" s="86">
        <f>+CQ2883*48999.56</f>
        <v>2939973.5999999996</v>
      </c>
      <c r="CS2883" s="76"/>
      <c r="CT2883" s="76"/>
      <c r="CU2883" s="56">
        <f>AN2883+AP2883+AR2883+AT2883+AV2883+AX2883+AZ2883+BB2883+BD2883+BF2883+BH2883+BJ2883+BL2883+BN2883+BP2883+BR2883+BT2883+BV2883+BX2883+BZ2883+CB2883+CD2883+CF2883+CH2883+CJ2883+CL2883+CN2883+CP2883+CR2883+CT2883</f>
        <v>2939973.5999999996</v>
      </c>
      <c r="CV2883" s="76"/>
      <c r="CW2883" s="76">
        <f>+CV2883*1100</f>
        <v>0</v>
      </c>
      <c r="CX2883" s="86">
        <v>60</v>
      </c>
      <c r="CY2883" s="86">
        <f>+CX2883*105137.5</f>
        <v>6308250</v>
      </c>
      <c r="CZ2883" s="76"/>
      <c r="DA2883" s="76">
        <f>+CZ2883*34500</f>
        <v>0</v>
      </c>
      <c r="DB2883" s="86">
        <v>220</v>
      </c>
      <c r="DC2883" s="86">
        <f>+DB2883*31999.76+1450*199.52</f>
        <v>7329251.1999999993</v>
      </c>
      <c r="DD2883" s="358" t="s">
        <v>6415</v>
      </c>
      <c r="DE2883" s="318">
        <f>97*22999.32</f>
        <v>2230934.04</v>
      </c>
      <c r="DF2883" s="166"/>
      <c r="DG2883" s="134" t="s">
        <v>6938</v>
      </c>
      <c r="DH2883" s="117"/>
      <c r="DI2883" s="24"/>
      <c r="DJ2883" s="24"/>
      <c r="DK2883" s="24"/>
      <c r="DL2883" s="24"/>
      <c r="DM2883" s="24"/>
      <c r="DN2883" s="24"/>
      <c r="DO2883" s="24"/>
      <c r="DP2883" s="24"/>
      <c r="DQ2883" s="24"/>
      <c r="DR2883" s="24"/>
      <c r="DS2883" s="24"/>
      <c r="DT2883" s="24"/>
      <c r="DU2883" s="24"/>
    </row>
    <row r="2884" spans="1:125" s="8" customFormat="1" ht="36" x14ac:dyDescent="0.2">
      <c r="A2884" s="353">
        <v>41517</v>
      </c>
      <c r="B2884" s="352" t="s">
        <v>2848</v>
      </c>
      <c r="C2884" s="354" t="s">
        <v>1872</v>
      </c>
      <c r="D2884" s="354" t="s">
        <v>2846</v>
      </c>
      <c r="E2884" s="75" t="str">
        <f>VLOOKUP(B2884&amp;C2884,Divipola!$C$2:$F$1138,4,FALSE)</f>
        <v>73268</v>
      </c>
      <c r="F2884" s="87"/>
      <c r="G2884" s="87"/>
      <c r="H2884" s="87"/>
      <c r="I2884" s="87"/>
      <c r="J2884" s="87"/>
      <c r="K2884" s="87"/>
      <c r="L2884" s="87"/>
      <c r="M2884" s="87"/>
      <c r="N2884" s="87"/>
      <c r="O2884" s="87"/>
      <c r="P2884" s="87"/>
      <c r="Q2884" s="87"/>
      <c r="R2884" s="87"/>
      <c r="S2884" s="87"/>
      <c r="T2884" s="87"/>
      <c r="U2884" s="88">
        <v>10</v>
      </c>
      <c r="V2884" s="89"/>
      <c r="W2884" s="96">
        <v>0</v>
      </c>
      <c r="X2884" s="71">
        <f>CU2884</f>
        <v>0</v>
      </c>
      <c r="Y2884" s="71">
        <f>CY2884</f>
        <v>0</v>
      </c>
      <c r="Z2884" s="71">
        <f>DA2884+DC2884+DE2884</f>
        <v>0</v>
      </c>
      <c r="AA2884" s="71">
        <f>CW2884</f>
        <v>0</v>
      </c>
      <c r="AB2884" s="71"/>
      <c r="AC2884" s="71">
        <v>0</v>
      </c>
      <c r="AD2884" s="71">
        <f>W2884+X2884+Y2884+Z2884+AA2884+AB2884+AC2884</f>
        <v>0</v>
      </c>
      <c r="AE2884" s="72">
        <v>0</v>
      </c>
      <c r="AF2884" s="5"/>
      <c r="AG2884" s="6"/>
      <c r="AH2884" s="27"/>
      <c r="AI2884" s="44"/>
      <c r="AJ2884" s="26"/>
      <c r="AK2884" s="5"/>
      <c r="AL2884" s="82" t="s">
        <v>5754</v>
      </c>
      <c r="AM2884" s="76"/>
      <c r="AN2884" s="76"/>
      <c r="AO2884" s="76"/>
      <c r="AP2884" s="76"/>
      <c r="AQ2884" s="76"/>
      <c r="AR2884" s="76"/>
      <c r="AS2884" s="76"/>
      <c r="AT2884" s="76"/>
      <c r="AU2884" s="76"/>
      <c r="AV2884" s="76"/>
      <c r="AW2884" s="76"/>
      <c r="AX2884" s="76">
        <f>+AW2884*600000</f>
        <v>0</v>
      </c>
      <c r="AY2884" s="76"/>
      <c r="AZ2884" s="76">
        <f>+AY2884*70000</f>
        <v>0</v>
      </c>
      <c r="BA2884" s="76"/>
      <c r="BB2884" s="76"/>
      <c r="BC2884" s="76"/>
      <c r="BD2884" s="76">
        <f>+BC2884*30000</f>
        <v>0</v>
      </c>
      <c r="BE2884" s="76"/>
      <c r="BF2884" s="76"/>
      <c r="BG2884" s="76"/>
      <c r="BH2884" s="76"/>
      <c r="BI2884" s="76"/>
      <c r="BJ2884" s="76"/>
      <c r="BK2884" s="76"/>
      <c r="BL2884" s="76">
        <f>+BK2884*31500</f>
        <v>0</v>
      </c>
      <c r="BM2884" s="76"/>
      <c r="BN2884" s="76"/>
      <c r="BO2884" s="76"/>
      <c r="BP2884" s="76"/>
      <c r="BQ2884" s="76"/>
      <c r="BR2884" s="76"/>
      <c r="BS2884" s="76"/>
      <c r="BT2884" s="76"/>
      <c r="BU2884" s="76"/>
      <c r="BV2884" s="76"/>
      <c r="BW2884" s="76"/>
      <c r="BX2884" s="76"/>
      <c r="BY2884" s="76"/>
      <c r="BZ2884" s="76"/>
      <c r="CA2884" s="76"/>
      <c r="CB2884" s="76"/>
      <c r="CC2884" s="76"/>
      <c r="CD2884" s="76"/>
      <c r="CE2884" s="76"/>
      <c r="CF2884" s="76">
        <f>+CE2884*28000</f>
        <v>0</v>
      </c>
      <c r="CG2884" s="76"/>
      <c r="CH2884" s="76">
        <f>+CG2884*22500</f>
        <v>0</v>
      </c>
      <c r="CI2884" s="76"/>
      <c r="CJ2884" s="76">
        <f>+CI2884*26000</f>
        <v>0</v>
      </c>
      <c r="CK2884" s="76"/>
      <c r="CL2884" s="76"/>
      <c r="CM2884" s="76"/>
      <c r="CN2884" s="76">
        <f>+CM2884*22000</f>
        <v>0</v>
      </c>
      <c r="CO2884" s="76"/>
      <c r="CP2884" s="76">
        <f>+CO2884*46000</f>
        <v>0</v>
      </c>
      <c r="CQ2884" s="76"/>
      <c r="CR2884" s="76">
        <f>+CQ2884*49000</f>
        <v>0</v>
      </c>
      <c r="CS2884" s="76"/>
      <c r="CT2884" s="76"/>
      <c r="CU2884" s="56">
        <f>AN2884+AP2884+AR2884+AT2884+AV2884+AX2884+AZ2884+BB2884+BD2884+BF2884+BH2884+BJ2884+BL2884+BN2884+BP2884+BR2884+BT2884+BV2884+BX2884+BZ2884+CB2884+CD2884+CF2884+CH2884+CJ2884+CL2884+CN2884+CP2884+CR2884+CT2884</f>
        <v>0</v>
      </c>
      <c r="CV2884" s="76"/>
      <c r="CW2884" s="76">
        <f>+CV2884*1100</f>
        <v>0</v>
      </c>
      <c r="CX2884" s="76"/>
      <c r="CY2884" s="76">
        <f>+CX2884*106250</f>
        <v>0</v>
      </c>
      <c r="CZ2884" s="76"/>
      <c r="DA2884" s="76">
        <f>+CZ2884*34500</f>
        <v>0</v>
      </c>
      <c r="DB2884" s="76"/>
      <c r="DC2884" s="76">
        <f>+DB2884*25000</f>
        <v>0</v>
      </c>
      <c r="DD2884" s="219"/>
      <c r="DE2884" s="219"/>
      <c r="DF2884" s="166"/>
      <c r="DG2884" s="116"/>
      <c r="DH2884" s="117"/>
      <c r="DI2884" s="24"/>
      <c r="DJ2884" s="24"/>
      <c r="DK2884" s="24"/>
      <c r="DL2884" s="24"/>
      <c r="DM2884" s="24"/>
      <c r="DN2884" s="24"/>
      <c r="DO2884" s="24"/>
      <c r="DP2884" s="24"/>
      <c r="DQ2884" s="24"/>
      <c r="DR2884" s="24"/>
      <c r="DS2884" s="24"/>
      <c r="DT2884" s="24"/>
      <c r="DU2884" s="24"/>
    </row>
    <row r="2885" spans="1:125" s="8" customFormat="1" ht="36" x14ac:dyDescent="0.2">
      <c r="A2885" s="353">
        <v>41517</v>
      </c>
      <c r="B2885" s="352" t="s">
        <v>2848</v>
      </c>
      <c r="C2885" s="354" t="s">
        <v>2191</v>
      </c>
      <c r="D2885" s="354" t="s">
        <v>2846</v>
      </c>
      <c r="E2885" s="75" t="str">
        <f>VLOOKUP(B2885&amp;C2885,Divipola!$C$2:$F$1138,4,FALSE)</f>
        <v>73319</v>
      </c>
      <c r="F2885" s="87"/>
      <c r="G2885" s="87"/>
      <c r="H2885" s="87"/>
      <c r="I2885" s="87"/>
      <c r="J2885" s="87"/>
      <c r="K2885" s="87"/>
      <c r="L2885" s="87"/>
      <c r="M2885" s="87"/>
      <c r="N2885" s="87"/>
      <c r="O2885" s="87"/>
      <c r="P2885" s="87"/>
      <c r="Q2885" s="87"/>
      <c r="R2885" s="87"/>
      <c r="S2885" s="87"/>
      <c r="T2885" s="87"/>
      <c r="U2885" s="88">
        <v>1</v>
      </c>
      <c r="V2885" s="89"/>
      <c r="W2885" s="96">
        <v>0</v>
      </c>
      <c r="X2885" s="71">
        <f>CU2885</f>
        <v>0</v>
      </c>
      <c r="Y2885" s="71">
        <f>CY2885</f>
        <v>0</v>
      </c>
      <c r="Z2885" s="71">
        <f>DA2885+DC2885+DE2885</f>
        <v>0</v>
      </c>
      <c r="AA2885" s="71">
        <f>CW2885</f>
        <v>0</v>
      </c>
      <c r="AB2885" s="71"/>
      <c r="AC2885" s="71">
        <v>0</v>
      </c>
      <c r="AD2885" s="71">
        <f>W2885+X2885+Y2885+Z2885+AA2885+AB2885+AC2885</f>
        <v>0</v>
      </c>
      <c r="AE2885" s="72">
        <v>0</v>
      </c>
      <c r="AF2885" s="5"/>
      <c r="AG2885" s="6"/>
      <c r="AH2885" s="27"/>
      <c r="AI2885" s="44"/>
      <c r="AJ2885" s="26"/>
      <c r="AK2885" s="5"/>
      <c r="AL2885" s="82" t="s">
        <v>5756</v>
      </c>
      <c r="AM2885" s="76"/>
      <c r="AN2885" s="76"/>
      <c r="AO2885" s="76"/>
      <c r="AP2885" s="76"/>
      <c r="AQ2885" s="76"/>
      <c r="AR2885" s="76"/>
      <c r="AS2885" s="76"/>
      <c r="AT2885" s="76"/>
      <c r="AU2885" s="76"/>
      <c r="AV2885" s="76"/>
      <c r="AW2885" s="76"/>
      <c r="AX2885" s="76">
        <f>+AW2885*600000</f>
        <v>0</v>
      </c>
      <c r="AY2885" s="76"/>
      <c r="AZ2885" s="76">
        <f>+AY2885*70000</f>
        <v>0</v>
      </c>
      <c r="BA2885" s="76"/>
      <c r="BB2885" s="76"/>
      <c r="BC2885" s="76"/>
      <c r="BD2885" s="76">
        <f>+BC2885*30000</f>
        <v>0</v>
      </c>
      <c r="BE2885" s="76"/>
      <c r="BF2885" s="76"/>
      <c r="BG2885" s="76"/>
      <c r="BH2885" s="76"/>
      <c r="BI2885" s="76"/>
      <c r="BJ2885" s="76"/>
      <c r="BK2885" s="76"/>
      <c r="BL2885" s="76">
        <f>+BK2885*31500</f>
        <v>0</v>
      </c>
      <c r="BM2885" s="76"/>
      <c r="BN2885" s="76"/>
      <c r="BO2885" s="76"/>
      <c r="BP2885" s="76"/>
      <c r="BQ2885" s="76"/>
      <c r="BR2885" s="76"/>
      <c r="BS2885" s="76"/>
      <c r="BT2885" s="76"/>
      <c r="BU2885" s="76"/>
      <c r="BV2885" s="76"/>
      <c r="BW2885" s="76"/>
      <c r="BX2885" s="76"/>
      <c r="BY2885" s="76"/>
      <c r="BZ2885" s="76"/>
      <c r="CA2885" s="76"/>
      <c r="CB2885" s="76"/>
      <c r="CC2885" s="76"/>
      <c r="CD2885" s="76"/>
      <c r="CE2885" s="76"/>
      <c r="CF2885" s="76">
        <f>+CE2885*28000</f>
        <v>0</v>
      </c>
      <c r="CG2885" s="76"/>
      <c r="CH2885" s="76">
        <f>+CG2885*22500</f>
        <v>0</v>
      </c>
      <c r="CI2885" s="76"/>
      <c r="CJ2885" s="76">
        <f>+CI2885*26000</f>
        <v>0</v>
      </c>
      <c r="CK2885" s="76"/>
      <c r="CL2885" s="76"/>
      <c r="CM2885" s="76"/>
      <c r="CN2885" s="76">
        <f>+CM2885*22000</f>
        <v>0</v>
      </c>
      <c r="CO2885" s="76"/>
      <c r="CP2885" s="76">
        <f>+CO2885*46000</f>
        <v>0</v>
      </c>
      <c r="CQ2885" s="76"/>
      <c r="CR2885" s="76">
        <f>+CQ2885*49000</f>
        <v>0</v>
      </c>
      <c r="CS2885" s="76"/>
      <c r="CT2885" s="76"/>
      <c r="CU2885" s="56">
        <f>AN2885+AP2885+AR2885+AT2885+AV2885+AX2885+AZ2885+BB2885+BD2885+BF2885+BH2885+BJ2885+BL2885+BN2885+BP2885+BR2885+BT2885+BV2885+BX2885+BZ2885+CB2885+CD2885+CF2885+CH2885+CJ2885+CL2885+CN2885+CP2885+CR2885+CT2885</f>
        <v>0</v>
      </c>
      <c r="CV2885" s="76"/>
      <c r="CW2885" s="76">
        <f>+CV2885*1100</f>
        <v>0</v>
      </c>
      <c r="CX2885" s="76"/>
      <c r="CY2885" s="76">
        <f>+CX2885*106250</f>
        <v>0</v>
      </c>
      <c r="CZ2885" s="76"/>
      <c r="DA2885" s="76">
        <f>+CZ2885*34500</f>
        <v>0</v>
      </c>
      <c r="DB2885" s="76"/>
      <c r="DC2885" s="76">
        <f>+DB2885*25000</f>
        <v>0</v>
      </c>
      <c r="DD2885" s="219"/>
      <c r="DE2885" s="219"/>
      <c r="DF2885" s="166"/>
      <c r="DG2885" s="116"/>
      <c r="DH2885" s="117"/>
      <c r="DI2885" s="24"/>
      <c r="DJ2885" s="24"/>
      <c r="DK2885" s="24"/>
      <c r="DL2885" s="24"/>
      <c r="DM2885" s="24"/>
      <c r="DN2885" s="24"/>
      <c r="DO2885" s="24"/>
      <c r="DP2885" s="24"/>
      <c r="DQ2885" s="24"/>
      <c r="DR2885" s="24"/>
      <c r="DS2885" s="24"/>
      <c r="DT2885" s="24"/>
      <c r="DU2885" s="24"/>
    </row>
    <row r="2886" spans="1:125" s="8" customFormat="1" ht="36" x14ac:dyDescent="0.2">
      <c r="A2886" s="353">
        <v>41517</v>
      </c>
      <c r="B2886" s="352" t="s">
        <v>2848</v>
      </c>
      <c r="C2886" s="354" t="s">
        <v>1910</v>
      </c>
      <c r="D2886" s="354" t="s">
        <v>2846</v>
      </c>
      <c r="E2886" s="75" t="str">
        <f>VLOOKUP(B2886&amp;C2886,Divipola!$C$2:$F$1138,4,FALSE)</f>
        <v>73671</v>
      </c>
      <c r="F2886" s="87"/>
      <c r="G2886" s="87"/>
      <c r="H2886" s="87"/>
      <c r="I2886" s="87"/>
      <c r="J2886" s="87"/>
      <c r="K2886" s="87"/>
      <c r="L2886" s="87"/>
      <c r="M2886" s="87"/>
      <c r="N2886" s="87"/>
      <c r="O2886" s="87"/>
      <c r="P2886" s="87"/>
      <c r="Q2886" s="87"/>
      <c r="R2886" s="87"/>
      <c r="S2886" s="87"/>
      <c r="T2886" s="87"/>
      <c r="U2886" s="88">
        <v>2</v>
      </c>
      <c r="V2886" s="89"/>
      <c r="W2886" s="96">
        <v>0</v>
      </c>
      <c r="X2886" s="71">
        <f>CU2886</f>
        <v>0</v>
      </c>
      <c r="Y2886" s="71">
        <f>CY2886</f>
        <v>0</v>
      </c>
      <c r="Z2886" s="71">
        <f>DA2886+DC2886+DE2886</f>
        <v>0</v>
      </c>
      <c r="AA2886" s="71">
        <f>CW2886</f>
        <v>0</v>
      </c>
      <c r="AB2886" s="71"/>
      <c r="AC2886" s="71">
        <v>0</v>
      </c>
      <c r="AD2886" s="71">
        <f>W2886+X2886+Y2886+Z2886+AA2886+AB2886+AC2886</f>
        <v>0</v>
      </c>
      <c r="AE2886" s="72">
        <v>0</v>
      </c>
      <c r="AF2886" s="5"/>
      <c r="AG2886" s="6"/>
      <c r="AH2886" s="27"/>
      <c r="AI2886" s="44"/>
      <c r="AJ2886" s="26"/>
      <c r="AK2886" s="5"/>
      <c r="AL2886" s="82" t="s">
        <v>5753</v>
      </c>
      <c r="AM2886" s="76"/>
      <c r="AN2886" s="76"/>
      <c r="AO2886" s="76"/>
      <c r="AP2886" s="76"/>
      <c r="AQ2886" s="76"/>
      <c r="AR2886" s="76"/>
      <c r="AS2886" s="76"/>
      <c r="AT2886" s="76"/>
      <c r="AU2886" s="76"/>
      <c r="AV2886" s="76"/>
      <c r="AW2886" s="76"/>
      <c r="AX2886" s="76">
        <f>+AW2886*600000</f>
        <v>0</v>
      </c>
      <c r="AY2886" s="76"/>
      <c r="AZ2886" s="76">
        <f>+AY2886*70000</f>
        <v>0</v>
      </c>
      <c r="BA2886" s="76"/>
      <c r="BB2886" s="76"/>
      <c r="BC2886" s="76"/>
      <c r="BD2886" s="76">
        <f>+BC2886*30000</f>
        <v>0</v>
      </c>
      <c r="BE2886" s="76"/>
      <c r="BF2886" s="76"/>
      <c r="BG2886" s="76"/>
      <c r="BH2886" s="76"/>
      <c r="BI2886" s="76"/>
      <c r="BJ2886" s="76"/>
      <c r="BK2886" s="76"/>
      <c r="BL2886" s="76">
        <f>+BK2886*31500</f>
        <v>0</v>
      </c>
      <c r="BM2886" s="76"/>
      <c r="BN2886" s="76"/>
      <c r="BO2886" s="76"/>
      <c r="BP2886" s="76"/>
      <c r="BQ2886" s="76"/>
      <c r="BR2886" s="76"/>
      <c r="BS2886" s="76"/>
      <c r="BT2886" s="76"/>
      <c r="BU2886" s="76"/>
      <c r="BV2886" s="76"/>
      <c r="BW2886" s="76"/>
      <c r="BX2886" s="76"/>
      <c r="BY2886" s="76"/>
      <c r="BZ2886" s="76"/>
      <c r="CA2886" s="76"/>
      <c r="CB2886" s="76"/>
      <c r="CC2886" s="76"/>
      <c r="CD2886" s="76"/>
      <c r="CE2886" s="76"/>
      <c r="CF2886" s="76">
        <f>+CE2886*28000</f>
        <v>0</v>
      </c>
      <c r="CG2886" s="76"/>
      <c r="CH2886" s="76">
        <f>+CG2886*22500</f>
        <v>0</v>
      </c>
      <c r="CI2886" s="76"/>
      <c r="CJ2886" s="76">
        <f>+CI2886*26000</f>
        <v>0</v>
      </c>
      <c r="CK2886" s="76"/>
      <c r="CL2886" s="76"/>
      <c r="CM2886" s="76"/>
      <c r="CN2886" s="76">
        <f>+CM2886*22000</f>
        <v>0</v>
      </c>
      <c r="CO2886" s="76"/>
      <c r="CP2886" s="76">
        <f>+CO2886*46000</f>
        <v>0</v>
      </c>
      <c r="CQ2886" s="76"/>
      <c r="CR2886" s="76">
        <f>+CQ2886*49000</f>
        <v>0</v>
      </c>
      <c r="CS2886" s="76"/>
      <c r="CT2886" s="76"/>
      <c r="CU2886" s="56">
        <f>AN2886+AP2886+AR2886+AT2886+AV2886+AX2886+AZ2886+BB2886+BD2886+BF2886+BH2886+BJ2886+BL2886+BN2886+BP2886+BR2886+BT2886+BV2886+BX2886+BZ2886+CB2886+CD2886+CF2886+CH2886+CJ2886+CL2886+CN2886+CP2886+CR2886+CT2886</f>
        <v>0</v>
      </c>
      <c r="CV2886" s="76"/>
      <c r="CW2886" s="76">
        <f>+CV2886*1100</f>
        <v>0</v>
      </c>
      <c r="CX2886" s="76"/>
      <c r="CY2886" s="76">
        <f>+CX2886*106250</f>
        <v>0</v>
      </c>
      <c r="CZ2886" s="76"/>
      <c r="DA2886" s="76">
        <f>+CZ2886*34500</f>
        <v>0</v>
      </c>
      <c r="DB2886" s="76"/>
      <c r="DC2886" s="76">
        <f>+DB2886*25000</f>
        <v>0</v>
      </c>
      <c r="DD2886" s="219"/>
      <c r="DE2886" s="219"/>
      <c r="DF2886" s="166"/>
      <c r="DG2886" s="116"/>
      <c r="DH2886" s="117"/>
      <c r="DI2886" s="24"/>
      <c r="DJ2886" s="24"/>
      <c r="DK2886" s="24"/>
      <c r="DL2886" s="24"/>
      <c r="DM2886" s="24"/>
      <c r="DN2886" s="24"/>
      <c r="DO2886" s="24"/>
      <c r="DP2886" s="24"/>
      <c r="DQ2886" s="24"/>
      <c r="DR2886" s="24"/>
      <c r="DS2886" s="24"/>
      <c r="DT2886" s="24"/>
      <c r="DU2886" s="24"/>
    </row>
    <row r="2887" spans="1:125" s="8" customFormat="1" ht="36" x14ac:dyDescent="0.2">
      <c r="A2887" s="77">
        <v>41517</v>
      </c>
      <c r="B2887" s="78" t="s">
        <v>2848</v>
      </c>
      <c r="C2887" s="75" t="s">
        <v>2708</v>
      </c>
      <c r="D2887" s="75" t="s">
        <v>2846</v>
      </c>
      <c r="E2887" s="75" t="str">
        <f>VLOOKUP(B2887&amp;C2887,Divipola!$C$2:$F$1138,4,FALSE)</f>
        <v>73854</v>
      </c>
      <c r="F2887" s="87"/>
      <c r="G2887" s="87"/>
      <c r="H2887" s="87"/>
      <c r="I2887" s="87"/>
      <c r="J2887" s="87"/>
      <c r="K2887" s="87"/>
      <c r="L2887" s="87"/>
      <c r="M2887" s="87"/>
      <c r="N2887" s="87"/>
      <c r="O2887" s="87"/>
      <c r="P2887" s="87"/>
      <c r="Q2887" s="87"/>
      <c r="R2887" s="87"/>
      <c r="S2887" s="87"/>
      <c r="T2887" s="87"/>
      <c r="U2887" s="88">
        <v>4</v>
      </c>
      <c r="V2887" s="89"/>
      <c r="W2887" s="96">
        <v>0</v>
      </c>
      <c r="X2887" s="71">
        <f>CU2887</f>
        <v>0</v>
      </c>
      <c r="Y2887" s="71">
        <f>CY2887</f>
        <v>0</v>
      </c>
      <c r="Z2887" s="71">
        <f>DA2887+DC2887+DE2887</f>
        <v>0</v>
      </c>
      <c r="AA2887" s="71">
        <f>CW2887</f>
        <v>0</v>
      </c>
      <c r="AB2887" s="71"/>
      <c r="AC2887" s="71">
        <v>0</v>
      </c>
      <c r="AD2887" s="71">
        <f>W2887+X2887+Y2887+Z2887+AA2887+AB2887+AC2887</f>
        <v>0</v>
      </c>
      <c r="AE2887" s="72">
        <v>0</v>
      </c>
      <c r="AF2887" s="5"/>
      <c r="AG2887" s="6"/>
      <c r="AH2887" s="27"/>
      <c r="AI2887" s="44"/>
      <c r="AJ2887" s="26"/>
      <c r="AK2887" s="5"/>
      <c r="AL2887" s="268" t="s">
        <v>5752</v>
      </c>
      <c r="AM2887" s="76"/>
      <c r="AN2887" s="76"/>
      <c r="AO2887" s="76"/>
      <c r="AP2887" s="76"/>
      <c r="AQ2887" s="76"/>
      <c r="AR2887" s="76"/>
      <c r="AS2887" s="76"/>
      <c r="AT2887" s="76"/>
      <c r="AU2887" s="76"/>
      <c r="AV2887" s="76"/>
      <c r="AW2887" s="76"/>
      <c r="AX2887" s="76">
        <f>+AW2887*600000</f>
        <v>0</v>
      </c>
      <c r="AY2887" s="76"/>
      <c r="AZ2887" s="76">
        <f>+AY2887*70000</f>
        <v>0</v>
      </c>
      <c r="BA2887" s="76"/>
      <c r="BB2887" s="76"/>
      <c r="BC2887" s="76"/>
      <c r="BD2887" s="76">
        <f>+BC2887*30000</f>
        <v>0</v>
      </c>
      <c r="BE2887" s="76"/>
      <c r="BF2887" s="76"/>
      <c r="BG2887" s="76"/>
      <c r="BH2887" s="76"/>
      <c r="BI2887" s="76"/>
      <c r="BJ2887" s="76"/>
      <c r="BK2887" s="76"/>
      <c r="BL2887" s="76">
        <f>+BK2887*31500</f>
        <v>0</v>
      </c>
      <c r="BM2887" s="76"/>
      <c r="BN2887" s="76"/>
      <c r="BO2887" s="76"/>
      <c r="BP2887" s="76"/>
      <c r="BQ2887" s="76"/>
      <c r="BR2887" s="76"/>
      <c r="BS2887" s="76"/>
      <c r="BT2887" s="76"/>
      <c r="BU2887" s="76"/>
      <c r="BV2887" s="76"/>
      <c r="BW2887" s="76"/>
      <c r="BX2887" s="76"/>
      <c r="BY2887" s="76"/>
      <c r="BZ2887" s="76"/>
      <c r="CA2887" s="76"/>
      <c r="CB2887" s="76"/>
      <c r="CC2887" s="76"/>
      <c r="CD2887" s="76"/>
      <c r="CE2887" s="76"/>
      <c r="CF2887" s="76">
        <f>+CE2887*28000</f>
        <v>0</v>
      </c>
      <c r="CG2887" s="76"/>
      <c r="CH2887" s="76">
        <f>+CG2887*22500</f>
        <v>0</v>
      </c>
      <c r="CI2887" s="76"/>
      <c r="CJ2887" s="76">
        <f>+CI2887*26000</f>
        <v>0</v>
      </c>
      <c r="CK2887" s="76"/>
      <c r="CL2887" s="76"/>
      <c r="CM2887" s="76"/>
      <c r="CN2887" s="76">
        <f>+CM2887*22000</f>
        <v>0</v>
      </c>
      <c r="CO2887" s="76"/>
      <c r="CP2887" s="76">
        <f>+CO2887*46000</f>
        <v>0</v>
      </c>
      <c r="CQ2887" s="76"/>
      <c r="CR2887" s="76">
        <f>+CQ2887*49000</f>
        <v>0</v>
      </c>
      <c r="CS2887" s="76"/>
      <c r="CT2887" s="76"/>
      <c r="CU2887" s="56">
        <f>AN2887+AP2887+AR2887+AT2887+AV2887+AX2887+AZ2887+BB2887+BD2887+BF2887+BH2887+BJ2887+BL2887+BN2887+BP2887+BR2887+BT2887+BV2887+BX2887+BZ2887+CB2887+CD2887+CF2887+CH2887+CJ2887+CL2887+CN2887+CP2887+CR2887+CT2887</f>
        <v>0</v>
      </c>
      <c r="CV2887" s="76"/>
      <c r="CW2887" s="76">
        <f>+CV2887*1100</f>
        <v>0</v>
      </c>
      <c r="CX2887" s="76"/>
      <c r="CY2887" s="76">
        <f>+CX2887*106250</f>
        <v>0</v>
      </c>
      <c r="CZ2887" s="76"/>
      <c r="DA2887" s="76">
        <f>+CZ2887*34500</f>
        <v>0</v>
      </c>
      <c r="DB2887" s="76"/>
      <c r="DC2887" s="76">
        <f>+DB2887*25000</f>
        <v>0</v>
      </c>
      <c r="DD2887" s="219"/>
      <c r="DE2887" s="219"/>
      <c r="DF2887" s="166"/>
      <c r="DG2887" s="116"/>
      <c r="DH2887" s="117"/>
      <c r="DI2887" s="24"/>
      <c r="DJ2887" s="24"/>
      <c r="DK2887" s="24"/>
      <c r="DL2887" s="24"/>
      <c r="DM2887" s="24"/>
      <c r="DN2887" s="24"/>
      <c r="DO2887" s="24"/>
      <c r="DP2887" s="24"/>
      <c r="DQ2887" s="24"/>
      <c r="DR2887" s="24"/>
      <c r="DS2887" s="24"/>
      <c r="DT2887" s="24"/>
      <c r="DU2887" s="24"/>
    </row>
    <row r="2888" spans="1:125" s="8" customFormat="1" ht="48" x14ac:dyDescent="0.2">
      <c r="A2888" s="353">
        <v>41518</v>
      </c>
      <c r="B2888" s="78" t="s">
        <v>2894</v>
      </c>
      <c r="C2888" s="75" t="s">
        <v>2358</v>
      </c>
      <c r="D2888" s="354" t="s">
        <v>3088</v>
      </c>
      <c r="E2888" s="75" t="str">
        <f>VLOOKUP(B2888&amp;C2888,Divipola!$C$2:$F$1138,4,FALSE)</f>
        <v>05051</v>
      </c>
      <c r="F2888" s="87"/>
      <c r="G2888" s="87"/>
      <c r="H2888" s="87"/>
      <c r="I2888" s="87">
        <v>5</v>
      </c>
      <c r="J2888" s="87">
        <v>1</v>
      </c>
      <c r="K2888" s="87"/>
      <c r="L2888" s="87">
        <v>1</v>
      </c>
      <c r="M2888" s="87"/>
      <c r="N2888" s="87"/>
      <c r="O2888" s="87"/>
      <c r="P2888" s="87"/>
      <c r="Q2888" s="87"/>
      <c r="R2888" s="87"/>
      <c r="S2888" s="87"/>
      <c r="T2888" s="87"/>
      <c r="U2888" s="88"/>
      <c r="V2888" s="89"/>
      <c r="W2888" s="96">
        <v>0</v>
      </c>
      <c r="X2888" s="71">
        <f>CU2888</f>
        <v>0</v>
      </c>
      <c r="Y2888" s="71">
        <f>CY2888</f>
        <v>0</v>
      </c>
      <c r="Z2888" s="71">
        <f>DA2888+DC2888+DE2888</f>
        <v>0</v>
      </c>
      <c r="AA2888" s="71">
        <f>CW2888</f>
        <v>0</v>
      </c>
      <c r="AB2888" s="71"/>
      <c r="AC2888" s="71">
        <v>0</v>
      </c>
      <c r="AD2888" s="71">
        <f>W2888+X2888+Y2888+Z2888+AA2888+AB2888+AC2888</f>
        <v>0</v>
      </c>
      <c r="AE2888" s="72">
        <v>0</v>
      </c>
      <c r="AF2888" s="5"/>
      <c r="AG2888" s="6"/>
      <c r="AH2888" s="27"/>
      <c r="AI2888" s="44"/>
      <c r="AJ2888" s="26"/>
      <c r="AK2888" s="5"/>
      <c r="AL2888" s="82" t="s">
        <v>5766</v>
      </c>
      <c r="AM2888" s="76"/>
      <c r="AN2888" s="76"/>
      <c r="AO2888" s="76"/>
      <c r="AP2888" s="76"/>
      <c r="AQ2888" s="76"/>
      <c r="AR2888" s="76"/>
      <c r="AS2888" s="76"/>
      <c r="AT2888" s="76"/>
      <c r="AU2888" s="76"/>
      <c r="AV2888" s="76"/>
      <c r="AW2888" s="76"/>
      <c r="AX2888" s="76">
        <f>+AW2888*600000</f>
        <v>0</v>
      </c>
      <c r="AY2888" s="76"/>
      <c r="AZ2888" s="76">
        <f>+AY2888*70000</f>
        <v>0</v>
      </c>
      <c r="BA2888" s="76"/>
      <c r="BB2888" s="76"/>
      <c r="BC2888" s="76"/>
      <c r="BD2888" s="76">
        <f>+BC2888*30000</f>
        <v>0</v>
      </c>
      <c r="BE2888" s="76"/>
      <c r="BF2888" s="76"/>
      <c r="BG2888" s="76"/>
      <c r="BH2888" s="76"/>
      <c r="BI2888" s="76"/>
      <c r="BJ2888" s="76"/>
      <c r="BK2888" s="76"/>
      <c r="BL2888" s="76">
        <f>+BK2888*31500</f>
        <v>0</v>
      </c>
      <c r="BM2888" s="76"/>
      <c r="BN2888" s="76"/>
      <c r="BO2888" s="76"/>
      <c r="BP2888" s="76"/>
      <c r="BQ2888" s="76"/>
      <c r="BR2888" s="76"/>
      <c r="BS2888" s="76"/>
      <c r="BT2888" s="76"/>
      <c r="BU2888" s="76"/>
      <c r="BV2888" s="76"/>
      <c r="BW2888" s="76"/>
      <c r="BX2888" s="76"/>
      <c r="BY2888" s="76"/>
      <c r="BZ2888" s="76"/>
      <c r="CA2888" s="76"/>
      <c r="CB2888" s="76"/>
      <c r="CC2888" s="76"/>
      <c r="CD2888" s="76"/>
      <c r="CE2888" s="76"/>
      <c r="CF2888" s="76">
        <f>+CE2888*28000</f>
        <v>0</v>
      </c>
      <c r="CG2888" s="76"/>
      <c r="CH2888" s="76">
        <f>+CG2888*22500</f>
        <v>0</v>
      </c>
      <c r="CI2888" s="76"/>
      <c r="CJ2888" s="76">
        <f>+CI2888*26000</f>
        <v>0</v>
      </c>
      <c r="CK2888" s="76"/>
      <c r="CL2888" s="76"/>
      <c r="CM2888" s="76"/>
      <c r="CN2888" s="76">
        <f>+CM2888*22000</f>
        <v>0</v>
      </c>
      <c r="CO2888" s="76"/>
      <c r="CP2888" s="76">
        <f>+CO2888*46000</f>
        <v>0</v>
      </c>
      <c r="CQ2888" s="76"/>
      <c r="CR2888" s="76">
        <f>+CQ2888*49000</f>
        <v>0</v>
      </c>
      <c r="CS2888" s="76"/>
      <c r="CT2888" s="76"/>
      <c r="CU2888" s="56">
        <f>AN2888+AP2888+AR2888+AT2888+AV2888+AX2888+AZ2888+BB2888+BD2888+BF2888+BH2888+BJ2888+BL2888+BN2888+BP2888+BR2888+BT2888+BV2888+BX2888+BZ2888+CB2888+CD2888+CF2888+CH2888+CJ2888+CL2888+CN2888+CP2888+CR2888+CT2888</f>
        <v>0</v>
      </c>
      <c r="CV2888" s="76"/>
      <c r="CW2888" s="76">
        <f>+CV2888*1100</f>
        <v>0</v>
      </c>
      <c r="CX2888" s="76"/>
      <c r="CY2888" s="76">
        <f>+CX2888*106250</f>
        <v>0</v>
      </c>
      <c r="CZ2888" s="76"/>
      <c r="DA2888" s="76">
        <f>+CZ2888*34500</f>
        <v>0</v>
      </c>
      <c r="DB2888" s="76"/>
      <c r="DC2888" s="76">
        <f>+DB2888*25000</f>
        <v>0</v>
      </c>
      <c r="DD2888" s="219"/>
      <c r="DE2888" s="219"/>
      <c r="DF2888" s="166"/>
      <c r="DG2888" s="116"/>
      <c r="DH2888" s="117"/>
      <c r="DI2888" s="24"/>
      <c r="DJ2888" s="24"/>
      <c r="DK2888" s="24"/>
      <c r="DL2888" s="24"/>
      <c r="DM2888" s="24"/>
      <c r="DN2888" s="24"/>
      <c r="DO2888" s="24"/>
      <c r="DP2888" s="24"/>
      <c r="DQ2888" s="24"/>
      <c r="DR2888" s="24"/>
      <c r="DS2888" s="24"/>
      <c r="DT2888" s="24"/>
      <c r="DU2888" s="24"/>
    </row>
    <row r="2889" spans="1:125" s="8" customFormat="1" ht="48" x14ac:dyDescent="0.2">
      <c r="A2889" s="353">
        <v>41518</v>
      </c>
      <c r="B2889" s="78" t="s">
        <v>2894</v>
      </c>
      <c r="C2889" s="75" t="s">
        <v>2358</v>
      </c>
      <c r="D2889" s="75" t="s">
        <v>3051</v>
      </c>
      <c r="E2889" s="75" t="str">
        <f>VLOOKUP(B2889&amp;C2889,Divipola!$C$2:$F$1138,4,FALSE)</f>
        <v>05051</v>
      </c>
      <c r="F2889" s="87"/>
      <c r="G2889" s="87"/>
      <c r="H2889" s="87"/>
      <c r="I2889" s="87">
        <v>30</v>
      </c>
      <c r="J2889" s="87">
        <v>6</v>
      </c>
      <c r="K2889" s="87"/>
      <c r="L2889" s="87">
        <v>6</v>
      </c>
      <c r="M2889" s="87"/>
      <c r="N2889" s="87"/>
      <c r="O2889" s="87"/>
      <c r="P2889" s="87"/>
      <c r="Q2889" s="87"/>
      <c r="R2889" s="87"/>
      <c r="S2889" s="87"/>
      <c r="T2889" s="87"/>
      <c r="U2889" s="88"/>
      <c r="V2889" s="89"/>
      <c r="W2889" s="96">
        <v>0</v>
      </c>
      <c r="X2889" s="71">
        <f>CU2889</f>
        <v>0</v>
      </c>
      <c r="Y2889" s="71">
        <f>CY2889</f>
        <v>0</v>
      </c>
      <c r="Z2889" s="71">
        <f>DA2889+DC2889+DE2889</f>
        <v>0</v>
      </c>
      <c r="AA2889" s="71">
        <f>CW2889</f>
        <v>0</v>
      </c>
      <c r="AB2889" s="71"/>
      <c r="AC2889" s="71">
        <v>0</v>
      </c>
      <c r="AD2889" s="71">
        <f>W2889+X2889+Y2889+Z2889+AA2889+AB2889+AC2889</f>
        <v>0</v>
      </c>
      <c r="AE2889" s="72">
        <v>0</v>
      </c>
      <c r="AF2889" s="5"/>
      <c r="AG2889" s="6"/>
      <c r="AH2889" s="27"/>
      <c r="AI2889" s="44"/>
      <c r="AJ2889" s="26"/>
      <c r="AK2889" s="5"/>
      <c r="AL2889" s="290" t="s">
        <v>5765</v>
      </c>
      <c r="AM2889" s="76"/>
      <c r="AN2889" s="76"/>
      <c r="AO2889" s="76"/>
      <c r="AP2889" s="76"/>
      <c r="AQ2889" s="76"/>
      <c r="AR2889" s="76"/>
      <c r="AS2889" s="76"/>
      <c r="AT2889" s="76"/>
      <c r="AU2889" s="76"/>
      <c r="AV2889" s="76"/>
      <c r="AW2889" s="76"/>
      <c r="AX2889" s="76">
        <f>+AW2889*600000</f>
        <v>0</v>
      </c>
      <c r="AY2889" s="76"/>
      <c r="AZ2889" s="76">
        <f>+AY2889*70000</f>
        <v>0</v>
      </c>
      <c r="BA2889" s="76"/>
      <c r="BB2889" s="76"/>
      <c r="BC2889" s="76"/>
      <c r="BD2889" s="76">
        <f>+BC2889*30000</f>
        <v>0</v>
      </c>
      <c r="BE2889" s="76"/>
      <c r="BF2889" s="76"/>
      <c r="BG2889" s="76"/>
      <c r="BH2889" s="76"/>
      <c r="BI2889" s="76"/>
      <c r="BJ2889" s="76"/>
      <c r="BK2889" s="76"/>
      <c r="BL2889" s="76">
        <f>+BK2889*31500</f>
        <v>0</v>
      </c>
      <c r="BM2889" s="76"/>
      <c r="BN2889" s="76"/>
      <c r="BO2889" s="76"/>
      <c r="BP2889" s="76"/>
      <c r="BQ2889" s="76"/>
      <c r="BR2889" s="76"/>
      <c r="BS2889" s="76"/>
      <c r="BT2889" s="76"/>
      <c r="BU2889" s="76"/>
      <c r="BV2889" s="76"/>
      <c r="BW2889" s="76"/>
      <c r="BX2889" s="76"/>
      <c r="BY2889" s="76"/>
      <c r="BZ2889" s="76"/>
      <c r="CA2889" s="76"/>
      <c r="CB2889" s="76"/>
      <c r="CC2889" s="76"/>
      <c r="CD2889" s="76"/>
      <c r="CE2889" s="76"/>
      <c r="CF2889" s="76">
        <f>+CE2889*28000</f>
        <v>0</v>
      </c>
      <c r="CG2889" s="76"/>
      <c r="CH2889" s="76">
        <f>+CG2889*22500</f>
        <v>0</v>
      </c>
      <c r="CI2889" s="76"/>
      <c r="CJ2889" s="76">
        <f>+CI2889*26000</f>
        <v>0</v>
      </c>
      <c r="CK2889" s="76"/>
      <c r="CL2889" s="76"/>
      <c r="CM2889" s="76"/>
      <c r="CN2889" s="76">
        <f>+CM2889*22000</f>
        <v>0</v>
      </c>
      <c r="CO2889" s="76"/>
      <c r="CP2889" s="76">
        <f>+CO2889*46000</f>
        <v>0</v>
      </c>
      <c r="CQ2889" s="76"/>
      <c r="CR2889" s="76">
        <f>+CQ2889*49000</f>
        <v>0</v>
      </c>
      <c r="CS2889" s="76"/>
      <c r="CT2889" s="76"/>
      <c r="CU2889" s="56">
        <f>AN2889+AP2889+AR2889+AT2889+AV2889+AX2889+AZ2889+BB2889+BD2889+BF2889+BH2889+BJ2889+BL2889+BN2889+BP2889+BR2889+BT2889+BV2889+BX2889+BZ2889+CB2889+CD2889+CF2889+CH2889+CJ2889+CL2889+CN2889+CP2889+CR2889+CT2889</f>
        <v>0</v>
      </c>
      <c r="CV2889" s="76"/>
      <c r="CW2889" s="76">
        <f>+CV2889*1100</f>
        <v>0</v>
      </c>
      <c r="CX2889" s="76"/>
      <c r="CY2889" s="76">
        <f>+CX2889*106250</f>
        <v>0</v>
      </c>
      <c r="CZ2889" s="76"/>
      <c r="DA2889" s="76">
        <f>+CZ2889*34500</f>
        <v>0</v>
      </c>
      <c r="DB2889" s="76"/>
      <c r="DC2889" s="76">
        <f>+DB2889*25000</f>
        <v>0</v>
      </c>
      <c r="DD2889" s="219"/>
      <c r="DE2889" s="219"/>
      <c r="DF2889" s="166"/>
      <c r="DG2889" s="116"/>
      <c r="DH2889" s="117"/>
      <c r="DI2889" s="24"/>
      <c r="DJ2889" s="24"/>
      <c r="DK2889" s="24"/>
      <c r="DL2889" s="24"/>
      <c r="DM2889" s="24"/>
      <c r="DN2889" s="24"/>
      <c r="DO2889" s="24"/>
      <c r="DP2889" s="24"/>
      <c r="DQ2889" s="24"/>
      <c r="DR2889" s="24"/>
      <c r="DS2889" s="24"/>
      <c r="DT2889" s="24"/>
      <c r="DU2889" s="24"/>
    </row>
    <row r="2890" spans="1:125" s="8" customFormat="1" ht="60" x14ac:dyDescent="0.2">
      <c r="A2890" s="77">
        <v>41518</v>
      </c>
      <c r="B2890" s="78" t="s">
        <v>2700</v>
      </c>
      <c r="C2890" s="75" t="s">
        <v>1619</v>
      </c>
      <c r="D2890" s="75" t="s">
        <v>2846</v>
      </c>
      <c r="E2890" s="75" t="str">
        <f>VLOOKUP(B2890&amp;C2890,Divipola!$C$2:$F$1138,4,FALSE)</f>
        <v>15215</v>
      </c>
      <c r="F2890" s="87"/>
      <c r="G2890" s="87"/>
      <c r="H2890" s="87"/>
      <c r="I2890" s="87"/>
      <c r="J2890" s="87"/>
      <c r="K2890" s="87"/>
      <c r="L2890" s="87"/>
      <c r="M2890" s="87"/>
      <c r="N2890" s="87"/>
      <c r="O2890" s="87"/>
      <c r="P2890" s="87"/>
      <c r="Q2890" s="87"/>
      <c r="R2890" s="87"/>
      <c r="S2890" s="87"/>
      <c r="T2890" s="87"/>
      <c r="U2890" s="88">
        <v>40</v>
      </c>
      <c r="V2890" s="89"/>
      <c r="W2890" s="96">
        <v>0</v>
      </c>
      <c r="X2890" s="71">
        <f>CU2890</f>
        <v>0</v>
      </c>
      <c r="Y2890" s="71">
        <f>CY2890</f>
        <v>0</v>
      </c>
      <c r="Z2890" s="71">
        <f>DA2890+DC2890+DE2890</f>
        <v>0</v>
      </c>
      <c r="AA2890" s="71">
        <f>CW2890</f>
        <v>0</v>
      </c>
      <c r="AB2890" s="71"/>
      <c r="AC2890" s="71">
        <v>0</v>
      </c>
      <c r="AD2890" s="71">
        <f>W2890+X2890+Y2890+Z2890+AA2890+AB2890+AC2890</f>
        <v>0</v>
      </c>
      <c r="AE2890" s="72">
        <v>0</v>
      </c>
      <c r="AF2890" s="5"/>
      <c r="AG2890" s="6"/>
      <c r="AH2890" s="27"/>
      <c r="AI2890" s="44"/>
      <c r="AJ2890" s="26"/>
      <c r="AK2890" s="5"/>
      <c r="AL2890" s="82" t="s">
        <v>5809</v>
      </c>
      <c r="AM2890" s="76"/>
      <c r="AN2890" s="76"/>
      <c r="AO2890" s="76"/>
      <c r="AP2890" s="76"/>
      <c r="AQ2890" s="76"/>
      <c r="AR2890" s="76"/>
      <c r="AS2890" s="76"/>
      <c r="AT2890" s="76"/>
      <c r="AU2890" s="76"/>
      <c r="AV2890" s="76"/>
      <c r="AW2890" s="76"/>
      <c r="AX2890" s="76">
        <f>+AW2890*600000</f>
        <v>0</v>
      </c>
      <c r="AY2890" s="76"/>
      <c r="AZ2890" s="76">
        <f>+AY2890*70000</f>
        <v>0</v>
      </c>
      <c r="BA2890" s="76"/>
      <c r="BB2890" s="76"/>
      <c r="BC2890" s="76"/>
      <c r="BD2890" s="76">
        <f>+BC2890*30000</f>
        <v>0</v>
      </c>
      <c r="BE2890" s="76"/>
      <c r="BF2890" s="76"/>
      <c r="BG2890" s="76"/>
      <c r="BH2890" s="76"/>
      <c r="BI2890" s="76"/>
      <c r="BJ2890" s="76"/>
      <c r="BK2890" s="76"/>
      <c r="BL2890" s="76">
        <f>+BK2890*31500</f>
        <v>0</v>
      </c>
      <c r="BM2890" s="76"/>
      <c r="BN2890" s="76"/>
      <c r="BO2890" s="76"/>
      <c r="BP2890" s="76"/>
      <c r="BQ2890" s="76"/>
      <c r="BR2890" s="76"/>
      <c r="BS2890" s="76"/>
      <c r="BT2890" s="76"/>
      <c r="BU2890" s="76"/>
      <c r="BV2890" s="76"/>
      <c r="BW2890" s="76"/>
      <c r="BX2890" s="76"/>
      <c r="BY2890" s="76"/>
      <c r="BZ2890" s="76"/>
      <c r="CA2890" s="76"/>
      <c r="CB2890" s="76"/>
      <c r="CC2890" s="76"/>
      <c r="CD2890" s="76"/>
      <c r="CE2890" s="76"/>
      <c r="CF2890" s="76">
        <f>+CE2890*28000</f>
        <v>0</v>
      </c>
      <c r="CG2890" s="76"/>
      <c r="CH2890" s="76">
        <f>+CG2890*22500</f>
        <v>0</v>
      </c>
      <c r="CI2890" s="76"/>
      <c r="CJ2890" s="76">
        <f>+CI2890*26000</f>
        <v>0</v>
      </c>
      <c r="CK2890" s="76"/>
      <c r="CL2890" s="76"/>
      <c r="CM2890" s="76"/>
      <c r="CN2890" s="76">
        <f>+CM2890*22000</f>
        <v>0</v>
      </c>
      <c r="CO2890" s="76"/>
      <c r="CP2890" s="76">
        <f>+CO2890*46000</f>
        <v>0</v>
      </c>
      <c r="CQ2890" s="76"/>
      <c r="CR2890" s="76">
        <f>+CQ2890*49000</f>
        <v>0</v>
      </c>
      <c r="CS2890" s="76"/>
      <c r="CT2890" s="76"/>
      <c r="CU2890" s="56">
        <f>AN2890+AP2890+AR2890+AT2890+AV2890+AX2890+AZ2890+BB2890+BD2890+BF2890+BH2890+BJ2890+BL2890+BN2890+BP2890+BR2890+BT2890+BV2890+BX2890+BZ2890+CB2890+CD2890+CF2890+CH2890+CJ2890+CL2890+CN2890+CP2890+CR2890+CT2890</f>
        <v>0</v>
      </c>
      <c r="CV2890" s="76"/>
      <c r="CW2890" s="76">
        <f>+CV2890*1100</f>
        <v>0</v>
      </c>
      <c r="CX2890" s="76"/>
      <c r="CY2890" s="76">
        <f>+CX2890*106250</f>
        <v>0</v>
      </c>
      <c r="CZ2890" s="76"/>
      <c r="DA2890" s="76">
        <f>+CZ2890*34500</f>
        <v>0</v>
      </c>
      <c r="DB2890" s="76"/>
      <c r="DC2890" s="76">
        <f>+DB2890*25000</f>
        <v>0</v>
      </c>
      <c r="DD2890" s="219"/>
      <c r="DE2890" s="219"/>
      <c r="DF2890" s="166"/>
      <c r="DG2890" s="116"/>
      <c r="DH2890" s="117"/>
      <c r="DI2890" s="24"/>
      <c r="DJ2890" s="24"/>
      <c r="DK2890" s="24"/>
      <c r="DL2890" s="24"/>
      <c r="DM2890" s="24"/>
      <c r="DN2890" s="24"/>
      <c r="DO2890" s="24"/>
      <c r="DP2890" s="24"/>
      <c r="DQ2890" s="24"/>
      <c r="DR2890" s="24"/>
      <c r="DS2890" s="24"/>
      <c r="DT2890" s="24"/>
      <c r="DU2890" s="24"/>
    </row>
    <row r="2891" spans="1:125" s="8" customFormat="1" ht="84" x14ac:dyDescent="0.2">
      <c r="A2891" s="77">
        <v>41518</v>
      </c>
      <c r="B2891" s="352" t="s">
        <v>2854</v>
      </c>
      <c r="C2891" s="354" t="s">
        <v>2738</v>
      </c>
      <c r="D2891" s="354" t="s">
        <v>2882</v>
      </c>
      <c r="E2891" s="75" t="str">
        <f>VLOOKUP(B2891&amp;C2891,Divipola!$C$2:$F$1138,4,FALSE)</f>
        <v>19473</v>
      </c>
      <c r="F2891" s="87"/>
      <c r="G2891" s="87"/>
      <c r="H2891" s="87"/>
      <c r="I2891" s="87">
        <v>500</v>
      </c>
      <c r="J2891" s="87">
        <v>100</v>
      </c>
      <c r="K2891" s="87"/>
      <c r="L2891" s="87">
        <v>100</v>
      </c>
      <c r="M2891" s="87"/>
      <c r="N2891" s="87"/>
      <c r="O2891" s="87"/>
      <c r="P2891" s="87"/>
      <c r="Q2891" s="87"/>
      <c r="R2891" s="87"/>
      <c r="S2891" s="87"/>
      <c r="T2891" s="87"/>
      <c r="U2891" s="88"/>
      <c r="V2891" s="89"/>
      <c r="W2891" s="96">
        <v>0</v>
      </c>
      <c r="X2891" s="71">
        <f>CU2891</f>
        <v>0</v>
      </c>
      <c r="Y2891" s="71">
        <f>CY2891</f>
        <v>0</v>
      </c>
      <c r="Z2891" s="71">
        <f>DA2891+DC2891+DE2891</f>
        <v>0</v>
      </c>
      <c r="AA2891" s="71">
        <f>CW2891</f>
        <v>0</v>
      </c>
      <c r="AB2891" s="71"/>
      <c r="AC2891" s="71">
        <v>0</v>
      </c>
      <c r="AD2891" s="71">
        <f>W2891+X2891+Y2891+Z2891+AA2891+AB2891+AC2891</f>
        <v>0</v>
      </c>
      <c r="AE2891" s="72">
        <v>0</v>
      </c>
      <c r="AF2891" s="5"/>
      <c r="AG2891" s="6"/>
      <c r="AH2891" s="27"/>
      <c r="AI2891" s="44"/>
      <c r="AJ2891" s="26"/>
      <c r="AK2891" s="5"/>
      <c r="AL2891" s="274" t="s">
        <v>5806</v>
      </c>
      <c r="AM2891" s="76"/>
      <c r="AN2891" s="76"/>
      <c r="AO2891" s="76"/>
      <c r="AP2891" s="76"/>
      <c r="AQ2891" s="76"/>
      <c r="AR2891" s="76"/>
      <c r="AS2891" s="76"/>
      <c r="AT2891" s="76"/>
      <c r="AU2891" s="76"/>
      <c r="AV2891" s="76"/>
      <c r="AW2891" s="76"/>
      <c r="AX2891" s="76">
        <f>+AW2891*600000</f>
        <v>0</v>
      </c>
      <c r="AY2891" s="76"/>
      <c r="AZ2891" s="76">
        <f>+AY2891*70000</f>
        <v>0</v>
      </c>
      <c r="BA2891" s="76"/>
      <c r="BB2891" s="76"/>
      <c r="BC2891" s="76"/>
      <c r="BD2891" s="76">
        <f>+BC2891*30000</f>
        <v>0</v>
      </c>
      <c r="BE2891" s="76"/>
      <c r="BF2891" s="76"/>
      <c r="BG2891" s="76"/>
      <c r="BH2891" s="76"/>
      <c r="BI2891" s="76"/>
      <c r="BJ2891" s="76"/>
      <c r="BK2891" s="76"/>
      <c r="BL2891" s="76">
        <f>+BK2891*31500</f>
        <v>0</v>
      </c>
      <c r="BM2891" s="76"/>
      <c r="BN2891" s="76"/>
      <c r="BO2891" s="76"/>
      <c r="BP2891" s="76"/>
      <c r="BQ2891" s="76"/>
      <c r="BR2891" s="76"/>
      <c r="BS2891" s="76"/>
      <c r="BT2891" s="76"/>
      <c r="BU2891" s="76"/>
      <c r="BV2891" s="76"/>
      <c r="BW2891" s="76"/>
      <c r="BX2891" s="76"/>
      <c r="BY2891" s="76"/>
      <c r="BZ2891" s="76"/>
      <c r="CA2891" s="76"/>
      <c r="CB2891" s="76"/>
      <c r="CC2891" s="76"/>
      <c r="CD2891" s="76"/>
      <c r="CE2891" s="76"/>
      <c r="CF2891" s="76">
        <f>+CE2891*28000</f>
        <v>0</v>
      </c>
      <c r="CG2891" s="76"/>
      <c r="CH2891" s="76">
        <f>+CG2891*22500</f>
        <v>0</v>
      </c>
      <c r="CI2891" s="76"/>
      <c r="CJ2891" s="76">
        <f>+CI2891*26000</f>
        <v>0</v>
      </c>
      <c r="CK2891" s="76"/>
      <c r="CL2891" s="76"/>
      <c r="CM2891" s="76"/>
      <c r="CN2891" s="76">
        <f>+CM2891*22000</f>
        <v>0</v>
      </c>
      <c r="CO2891" s="76"/>
      <c r="CP2891" s="76">
        <f>+CO2891*46000</f>
        <v>0</v>
      </c>
      <c r="CQ2891" s="76"/>
      <c r="CR2891" s="76">
        <f>+CQ2891*49000</f>
        <v>0</v>
      </c>
      <c r="CS2891" s="76"/>
      <c r="CT2891" s="76"/>
      <c r="CU2891" s="56">
        <f>AN2891+AP2891+AR2891+AT2891+AV2891+AX2891+AZ2891+BB2891+BD2891+BF2891+BH2891+BJ2891+BL2891+BN2891+BP2891+BR2891+BT2891+BV2891+BX2891+BZ2891+CB2891+CD2891+CF2891+CH2891+CJ2891+CL2891+CN2891+CP2891+CR2891+CT2891</f>
        <v>0</v>
      </c>
      <c r="CV2891" s="76"/>
      <c r="CW2891" s="76">
        <f>+CV2891*1100</f>
        <v>0</v>
      </c>
      <c r="CX2891" s="76"/>
      <c r="CY2891" s="76">
        <f>+CX2891*106250</f>
        <v>0</v>
      </c>
      <c r="CZ2891" s="76"/>
      <c r="DA2891" s="76">
        <f>+CZ2891*34500</f>
        <v>0</v>
      </c>
      <c r="DB2891" s="76"/>
      <c r="DC2891" s="76">
        <f>+DB2891*25000</f>
        <v>0</v>
      </c>
      <c r="DD2891" s="219"/>
      <c r="DE2891" s="219"/>
      <c r="DF2891" s="166"/>
      <c r="DG2891" s="116"/>
      <c r="DH2891" s="117"/>
      <c r="DI2891" s="24"/>
      <c r="DJ2891" s="24"/>
      <c r="DK2891" s="24"/>
      <c r="DL2891" s="24"/>
      <c r="DM2891" s="24"/>
      <c r="DN2891" s="24"/>
      <c r="DO2891" s="24"/>
      <c r="DP2891" s="24"/>
      <c r="DQ2891" s="24"/>
      <c r="DR2891" s="24"/>
      <c r="DS2891" s="24"/>
      <c r="DT2891" s="24"/>
      <c r="DU2891" s="24"/>
    </row>
    <row r="2892" spans="1:125" s="8" customFormat="1" ht="36" x14ac:dyDescent="0.2">
      <c r="A2892" s="353">
        <v>41518</v>
      </c>
      <c r="B2892" s="352" t="s">
        <v>2855</v>
      </c>
      <c r="C2892" s="354" t="s">
        <v>2168</v>
      </c>
      <c r="D2892" s="354" t="s">
        <v>2882</v>
      </c>
      <c r="E2892" s="75" t="str">
        <f>VLOOKUP(B2892&amp;C2892,Divipola!$C$2:$F$1138,4,FALSE)</f>
        <v>20001</v>
      </c>
      <c r="F2892" s="61"/>
      <c r="G2892" s="61"/>
      <c r="H2892" s="61"/>
      <c r="I2892" s="61"/>
      <c r="J2892" s="61"/>
      <c r="K2892" s="61"/>
      <c r="L2892" s="61"/>
      <c r="M2892" s="61"/>
      <c r="N2892" s="61"/>
      <c r="O2892" s="61"/>
      <c r="P2892" s="61"/>
      <c r="Q2892" s="61"/>
      <c r="R2892" s="61"/>
      <c r="S2892" s="61"/>
      <c r="T2892" s="61"/>
      <c r="U2892" s="88"/>
      <c r="V2892" s="7"/>
      <c r="W2892" s="96">
        <v>0</v>
      </c>
      <c r="X2892" s="71">
        <f>CU2892</f>
        <v>0</v>
      </c>
      <c r="Y2892" s="71">
        <f>CY2892</f>
        <v>0</v>
      </c>
      <c r="Z2892" s="71">
        <f>DA2892+DC2892+DE2892</f>
        <v>0</v>
      </c>
      <c r="AA2892" s="71">
        <f>CW2892</f>
        <v>0</v>
      </c>
      <c r="AB2892" s="71"/>
      <c r="AC2892" s="71">
        <v>0</v>
      </c>
      <c r="AD2892" s="71">
        <f>W2892+X2892+Y2892+Z2892+AA2892+AB2892+AC2892</f>
        <v>0</v>
      </c>
      <c r="AE2892" s="72">
        <v>0</v>
      </c>
      <c r="AF2892" s="5"/>
      <c r="AG2892" s="6"/>
      <c r="AH2892" s="27"/>
      <c r="AI2892" s="44"/>
      <c r="AJ2892" s="26"/>
      <c r="AK2892" s="5"/>
      <c r="AL2892" s="82" t="s">
        <v>5770</v>
      </c>
      <c r="AM2892" s="76"/>
      <c r="AN2892" s="76"/>
      <c r="AO2892" s="76"/>
      <c r="AP2892" s="76"/>
      <c r="AQ2892" s="76"/>
      <c r="AR2892" s="76"/>
      <c r="AS2892" s="76"/>
      <c r="AT2892" s="76"/>
      <c r="AU2892" s="76"/>
      <c r="AV2892" s="76"/>
      <c r="AW2892" s="76"/>
      <c r="AX2892" s="76">
        <f>+AW2892*600000</f>
        <v>0</v>
      </c>
      <c r="AY2892" s="76"/>
      <c r="AZ2892" s="76">
        <f>+AY2892*70000</f>
        <v>0</v>
      </c>
      <c r="BA2892" s="76"/>
      <c r="BB2892" s="76"/>
      <c r="BC2892" s="76"/>
      <c r="BD2892" s="76">
        <f>+BC2892*30000</f>
        <v>0</v>
      </c>
      <c r="BE2892" s="76"/>
      <c r="BF2892" s="76"/>
      <c r="BG2892" s="76"/>
      <c r="BH2892" s="76"/>
      <c r="BI2892" s="76"/>
      <c r="BJ2892" s="76"/>
      <c r="BK2892" s="76"/>
      <c r="BL2892" s="76">
        <f>+BK2892*31500</f>
        <v>0</v>
      </c>
      <c r="BM2892" s="76"/>
      <c r="BN2892" s="76"/>
      <c r="BO2892" s="76"/>
      <c r="BP2892" s="76"/>
      <c r="BQ2892" s="76"/>
      <c r="BR2892" s="76"/>
      <c r="BS2892" s="76"/>
      <c r="BT2892" s="76"/>
      <c r="BU2892" s="76"/>
      <c r="BV2892" s="76"/>
      <c r="BW2892" s="76"/>
      <c r="BX2892" s="76"/>
      <c r="BY2892" s="76"/>
      <c r="BZ2892" s="76"/>
      <c r="CA2892" s="76"/>
      <c r="CB2892" s="76"/>
      <c r="CC2892" s="76"/>
      <c r="CD2892" s="76"/>
      <c r="CE2892" s="76"/>
      <c r="CF2892" s="76">
        <f>+CE2892*28000</f>
        <v>0</v>
      </c>
      <c r="CG2892" s="76"/>
      <c r="CH2892" s="76">
        <f>+CG2892*22500</f>
        <v>0</v>
      </c>
      <c r="CI2892" s="76"/>
      <c r="CJ2892" s="76">
        <f>+CI2892*26000</f>
        <v>0</v>
      </c>
      <c r="CK2892" s="76"/>
      <c r="CL2892" s="76"/>
      <c r="CM2892" s="76"/>
      <c r="CN2892" s="76">
        <f>+CM2892*22000</f>
        <v>0</v>
      </c>
      <c r="CO2892" s="76"/>
      <c r="CP2892" s="76">
        <f>+CO2892*46000</f>
        <v>0</v>
      </c>
      <c r="CQ2892" s="76"/>
      <c r="CR2892" s="76">
        <f>+CQ2892*49000</f>
        <v>0</v>
      </c>
      <c r="CS2892" s="76"/>
      <c r="CT2892" s="76"/>
      <c r="CU2892" s="56">
        <f>AN2892+AP2892+AR2892+AT2892+AV2892+AX2892+AZ2892+BB2892+BD2892+BF2892+BH2892+BJ2892+BL2892+BN2892+BP2892+BR2892+BT2892+BV2892+BX2892+BZ2892+CB2892+CD2892+CF2892+CH2892+CJ2892+CL2892+CN2892+CP2892+CR2892+CT2892</f>
        <v>0</v>
      </c>
      <c r="CV2892" s="76"/>
      <c r="CW2892" s="76">
        <f>+CV2892*1100</f>
        <v>0</v>
      </c>
      <c r="CX2892" s="76"/>
      <c r="CY2892" s="76">
        <f>+CX2892*106250</f>
        <v>0</v>
      </c>
      <c r="CZ2892" s="76"/>
      <c r="DA2892" s="76">
        <f>+CZ2892*34500</f>
        <v>0</v>
      </c>
      <c r="DB2892" s="76"/>
      <c r="DC2892" s="76">
        <f>+DB2892*25000</f>
        <v>0</v>
      </c>
      <c r="DD2892" s="219"/>
      <c r="DE2892" s="219"/>
      <c r="DF2892" s="166"/>
      <c r="DG2892" s="116"/>
      <c r="DH2892" s="117"/>
      <c r="DI2892" s="24"/>
      <c r="DJ2892" s="24"/>
      <c r="DK2892" s="24"/>
      <c r="DL2892" s="24"/>
      <c r="DM2892" s="24"/>
      <c r="DN2892" s="24"/>
      <c r="DO2892" s="24"/>
      <c r="DP2892" s="24"/>
      <c r="DQ2892" s="24"/>
      <c r="DR2892" s="24"/>
      <c r="DS2892" s="24"/>
      <c r="DT2892" s="24"/>
      <c r="DU2892" s="24"/>
    </row>
    <row r="2893" spans="1:125" s="8" customFormat="1" ht="60" x14ac:dyDescent="0.2">
      <c r="A2893" s="77">
        <v>41518</v>
      </c>
      <c r="B2893" s="352" t="s">
        <v>2852</v>
      </c>
      <c r="C2893" s="354" t="s">
        <v>1243</v>
      </c>
      <c r="D2893" s="354" t="s">
        <v>2882</v>
      </c>
      <c r="E2893" s="75" t="str">
        <f>VLOOKUP(B2893&amp;C2893,Divipola!$C$2:$F$1138,4,FALSE)</f>
        <v>27430</v>
      </c>
      <c r="F2893" s="100"/>
      <c r="G2893" s="100"/>
      <c r="H2893" s="100"/>
      <c r="I2893" s="100">
        <v>30</v>
      </c>
      <c r="J2893" s="100">
        <v>7</v>
      </c>
      <c r="K2893" s="100"/>
      <c r="L2893" s="100">
        <v>7</v>
      </c>
      <c r="M2893" s="100"/>
      <c r="N2893" s="100"/>
      <c r="O2893" s="100"/>
      <c r="P2893" s="100"/>
      <c r="Q2893" s="100"/>
      <c r="R2893" s="100"/>
      <c r="S2893" s="100"/>
      <c r="T2893" s="100"/>
      <c r="U2893" s="136"/>
      <c r="V2893" s="89"/>
      <c r="W2893" s="96">
        <v>0</v>
      </c>
      <c r="X2893" s="71">
        <f>CU2893</f>
        <v>0</v>
      </c>
      <c r="Y2893" s="71">
        <f>CY2893</f>
        <v>0</v>
      </c>
      <c r="Z2893" s="71">
        <f>DA2893+DC2893+DE2893</f>
        <v>0</v>
      </c>
      <c r="AA2893" s="71">
        <f>CW2893</f>
        <v>0</v>
      </c>
      <c r="AB2893" s="71"/>
      <c r="AC2893" s="71">
        <v>0</v>
      </c>
      <c r="AD2893" s="71">
        <f>W2893+X2893+Y2893+Z2893+AA2893+AB2893+AC2893</f>
        <v>0</v>
      </c>
      <c r="AE2893" s="72">
        <v>0</v>
      </c>
      <c r="AF2893" s="5"/>
      <c r="AG2893" s="6"/>
      <c r="AH2893" s="27"/>
      <c r="AI2893" s="44"/>
      <c r="AJ2893" s="26"/>
      <c r="AK2893" s="5"/>
      <c r="AL2893" s="9" t="s">
        <v>5798</v>
      </c>
      <c r="AM2893" s="76"/>
      <c r="AN2893" s="76"/>
      <c r="AO2893" s="76"/>
      <c r="AP2893" s="76"/>
      <c r="AQ2893" s="76"/>
      <c r="AR2893" s="76"/>
      <c r="AS2893" s="76"/>
      <c r="AT2893" s="76"/>
      <c r="AU2893" s="76"/>
      <c r="AV2893" s="76"/>
      <c r="AW2893" s="76"/>
      <c r="AX2893" s="76">
        <f>+AW2893*600000</f>
        <v>0</v>
      </c>
      <c r="AY2893" s="76"/>
      <c r="AZ2893" s="76">
        <f>+AY2893*70000</f>
        <v>0</v>
      </c>
      <c r="BA2893" s="76"/>
      <c r="BB2893" s="76"/>
      <c r="BC2893" s="76"/>
      <c r="BD2893" s="76">
        <f>+BC2893*30000</f>
        <v>0</v>
      </c>
      <c r="BE2893" s="76"/>
      <c r="BF2893" s="76"/>
      <c r="BG2893" s="76"/>
      <c r="BH2893" s="76"/>
      <c r="BI2893" s="76"/>
      <c r="BJ2893" s="76"/>
      <c r="BK2893" s="76"/>
      <c r="BL2893" s="76">
        <f>+BK2893*31500</f>
        <v>0</v>
      </c>
      <c r="BM2893" s="76"/>
      <c r="BN2893" s="76"/>
      <c r="BO2893" s="76"/>
      <c r="BP2893" s="76"/>
      <c r="BQ2893" s="76"/>
      <c r="BR2893" s="76"/>
      <c r="BS2893" s="76"/>
      <c r="BT2893" s="76"/>
      <c r="BU2893" s="76"/>
      <c r="BV2893" s="76"/>
      <c r="BW2893" s="76"/>
      <c r="BX2893" s="76"/>
      <c r="BY2893" s="76"/>
      <c r="BZ2893" s="76"/>
      <c r="CA2893" s="76"/>
      <c r="CB2893" s="76"/>
      <c r="CC2893" s="76"/>
      <c r="CD2893" s="76"/>
      <c r="CE2893" s="76"/>
      <c r="CF2893" s="76">
        <f>+CE2893*28000</f>
        <v>0</v>
      </c>
      <c r="CG2893" s="76"/>
      <c r="CH2893" s="76">
        <f>+CG2893*22500</f>
        <v>0</v>
      </c>
      <c r="CI2893" s="76"/>
      <c r="CJ2893" s="76">
        <f>+CI2893*26000</f>
        <v>0</v>
      </c>
      <c r="CK2893" s="76"/>
      <c r="CL2893" s="76"/>
      <c r="CM2893" s="76"/>
      <c r="CN2893" s="76">
        <f>+CM2893*22000</f>
        <v>0</v>
      </c>
      <c r="CO2893" s="76"/>
      <c r="CP2893" s="76">
        <f>+CO2893*46000</f>
        <v>0</v>
      </c>
      <c r="CQ2893" s="76"/>
      <c r="CR2893" s="76">
        <f>+CQ2893*49000</f>
        <v>0</v>
      </c>
      <c r="CS2893" s="76"/>
      <c r="CT2893" s="76"/>
      <c r="CU2893" s="56">
        <f>AN2893+AP2893+AR2893+AT2893+AV2893+AX2893+AZ2893+BB2893+BD2893+BF2893+BH2893+BJ2893+BL2893+BN2893+BP2893+BR2893+BT2893+BV2893+BX2893+BZ2893+CB2893+CD2893+CF2893+CH2893+CJ2893+CL2893+CN2893+CP2893+CR2893+CT2893</f>
        <v>0</v>
      </c>
      <c r="CV2893" s="76"/>
      <c r="CW2893" s="76">
        <f>+CV2893*1100</f>
        <v>0</v>
      </c>
      <c r="CX2893" s="76"/>
      <c r="CY2893" s="76">
        <f>+CX2893*106250</f>
        <v>0</v>
      </c>
      <c r="CZ2893" s="76"/>
      <c r="DA2893" s="76">
        <f>+CZ2893*34500</f>
        <v>0</v>
      </c>
      <c r="DB2893" s="76"/>
      <c r="DC2893" s="76">
        <f>+DB2893*25000</f>
        <v>0</v>
      </c>
      <c r="DD2893" s="219"/>
      <c r="DE2893" s="219"/>
      <c r="DF2893" s="166"/>
      <c r="DG2893" s="116"/>
      <c r="DH2893" s="117"/>
      <c r="DI2893" s="24"/>
      <c r="DJ2893" s="24"/>
      <c r="DK2893" s="24"/>
      <c r="DL2893" s="24"/>
      <c r="DM2893" s="24"/>
      <c r="DN2893" s="24"/>
      <c r="DO2893" s="24"/>
      <c r="DP2893" s="24"/>
      <c r="DQ2893" s="24"/>
      <c r="DR2893" s="24"/>
      <c r="DS2893" s="24"/>
      <c r="DT2893" s="24"/>
      <c r="DU2893" s="24"/>
    </row>
    <row r="2894" spans="1:125" s="8" customFormat="1" x14ac:dyDescent="0.2">
      <c r="A2894" s="77">
        <v>41518</v>
      </c>
      <c r="B2894" s="78" t="s">
        <v>2718</v>
      </c>
      <c r="C2894" s="75" t="s">
        <v>1325</v>
      </c>
      <c r="D2894" s="75" t="s">
        <v>3051</v>
      </c>
      <c r="E2894" s="75" t="str">
        <f>VLOOKUP(B2894&amp;C2894,Divipola!$C$2:$F$1138,4,FALSE)</f>
        <v>23079</v>
      </c>
      <c r="F2894" s="61"/>
      <c r="G2894" s="61"/>
      <c r="H2894" s="61"/>
      <c r="I2894" s="61"/>
      <c r="J2894" s="61"/>
      <c r="K2894" s="61"/>
      <c r="L2894" s="61"/>
      <c r="M2894" s="61"/>
      <c r="N2894" s="61"/>
      <c r="O2894" s="61"/>
      <c r="P2894" s="61"/>
      <c r="Q2894" s="61"/>
      <c r="R2894" s="61"/>
      <c r="S2894" s="61"/>
      <c r="T2894" s="61"/>
      <c r="U2894" s="61"/>
      <c r="V2894" s="7"/>
      <c r="W2894" s="96">
        <v>0</v>
      </c>
      <c r="X2894" s="71">
        <f>CU2894</f>
        <v>68209563.680000007</v>
      </c>
      <c r="Y2894" s="71">
        <f>CY2894</f>
        <v>58437500</v>
      </c>
      <c r="Z2894" s="71">
        <f>DA2894+DC2894+DE2894</f>
        <v>0</v>
      </c>
      <c r="AA2894" s="71">
        <f>CW2894</f>
        <v>32990400.000000004</v>
      </c>
      <c r="AB2894" s="71"/>
      <c r="AC2894" s="71">
        <v>0</v>
      </c>
      <c r="AD2894" s="71">
        <f>W2894+X2894+Y2894+Z2894+AA2894+AB2894+AC2894</f>
        <v>159637463.68000001</v>
      </c>
      <c r="AE2894" s="72">
        <v>0</v>
      </c>
      <c r="AF2894" s="5"/>
      <c r="AG2894" s="6"/>
      <c r="AH2894" s="27"/>
      <c r="AI2894" s="44"/>
      <c r="AJ2894" s="26"/>
      <c r="AK2894" s="5"/>
      <c r="AL2894" s="9"/>
      <c r="AM2894" s="76"/>
      <c r="AN2894" s="76"/>
      <c r="AO2894" s="76"/>
      <c r="AP2894" s="76"/>
      <c r="AQ2894" s="76"/>
      <c r="AR2894" s="76"/>
      <c r="AS2894" s="76"/>
      <c r="AT2894" s="76"/>
      <c r="AU2894" s="76"/>
      <c r="AV2894" s="76"/>
      <c r="AW2894" s="76"/>
      <c r="AX2894" s="76">
        <f>+AW2894*600000</f>
        <v>0</v>
      </c>
      <c r="AY2894" s="76"/>
      <c r="AZ2894" s="76">
        <f>+AY2894*70000</f>
        <v>0</v>
      </c>
      <c r="BA2894" s="76"/>
      <c r="BB2894" s="76"/>
      <c r="BC2894" s="76"/>
      <c r="BD2894" s="76">
        <f>+BC2894*30000</f>
        <v>0</v>
      </c>
      <c r="BE2894" s="76"/>
      <c r="BF2894" s="76"/>
      <c r="BG2894" s="76"/>
      <c r="BH2894" s="76"/>
      <c r="BI2894" s="76"/>
      <c r="BJ2894" s="76"/>
      <c r="BK2894" s="86">
        <v>400</v>
      </c>
      <c r="BL2894" s="86">
        <f>+BK2894*31499.8</f>
        <v>12599920</v>
      </c>
      <c r="BM2894" s="76"/>
      <c r="BN2894" s="76"/>
      <c r="BO2894" s="76"/>
      <c r="BP2894" s="76"/>
      <c r="BQ2894" s="76"/>
      <c r="BR2894" s="76"/>
      <c r="BS2894" s="76"/>
      <c r="BT2894" s="76"/>
      <c r="BU2894" s="76"/>
      <c r="BV2894" s="76"/>
      <c r="BW2894" s="76"/>
      <c r="BX2894" s="76"/>
      <c r="BY2894" s="86">
        <v>6</v>
      </c>
      <c r="BZ2894" s="86">
        <f>6*559999.28</f>
        <v>3359995.68</v>
      </c>
      <c r="CA2894" s="76"/>
      <c r="CB2894" s="76"/>
      <c r="CC2894" s="76"/>
      <c r="CD2894" s="76"/>
      <c r="CE2894" s="76"/>
      <c r="CF2894" s="76">
        <f>+CE2894*28000</f>
        <v>0</v>
      </c>
      <c r="CG2894" s="76"/>
      <c r="CH2894" s="76">
        <f>+CG2894*22500</f>
        <v>0</v>
      </c>
      <c r="CI2894" s="76"/>
      <c r="CJ2894" s="76">
        <f>+CI2894*26000</f>
        <v>0</v>
      </c>
      <c r="CK2894" s="76"/>
      <c r="CL2894" s="76"/>
      <c r="CM2894" s="76"/>
      <c r="CN2894" s="76">
        <f>+CM2894*22000</f>
        <v>0</v>
      </c>
      <c r="CO2894" s="86">
        <v>550</v>
      </c>
      <c r="CP2894" s="86">
        <f>+CO2894*45999.8</f>
        <v>25299890</v>
      </c>
      <c r="CQ2894" s="86">
        <v>550</v>
      </c>
      <c r="CR2894" s="86">
        <f>+CQ2894*48999.56</f>
        <v>26949758</v>
      </c>
      <c r="CS2894" s="76"/>
      <c r="CT2894" s="76"/>
      <c r="CU2894" s="56">
        <f>AN2894+AP2894+AR2894+AT2894+AV2894+AX2894+AZ2894+BB2894+BD2894+BF2894+BH2894+BJ2894+BL2894+BN2894+BP2894+BR2894+BT2894+BV2894+BX2894+BZ2894+CB2894+CD2894+CF2894+CH2894+CJ2894+CL2894+CN2894+CP2894+CR2894+CT2894</f>
        <v>68209563.680000007</v>
      </c>
      <c r="CV2894" s="86">
        <v>30000</v>
      </c>
      <c r="CW2894" s="86">
        <f>+CV2894*1099.68</f>
        <v>32990400.000000004</v>
      </c>
      <c r="CX2894" s="86">
        <v>550</v>
      </c>
      <c r="CY2894" s="86">
        <f>+CX2894*106250</f>
        <v>58437500</v>
      </c>
      <c r="CZ2894" s="76"/>
      <c r="DA2894" s="76">
        <f>+CZ2894*34500</f>
        <v>0</v>
      </c>
      <c r="DB2894" s="76"/>
      <c r="DC2894" s="76">
        <f>+DB2894*25000</f>
        <v>0</v>
      </c>
      <c r="DD2894" s="219"/>
      <c r="DE2894" s="219"/>
      <c r="DF2894" s="166"/>
      <c r="DG2894" s="134" t="s">
        <v>6359</v>
      </c>
      <c r="DH2894" s="117"/>
      <c r="DI2894" s="24"/>
      <c r="DJ2894" s="24"/>
      <c r="DK2894" s="24"/>
      <c r="DL2894" s="24"/>
      <c r="DM2894" s="24"/>
      <c r="DN2894" s="24"/>
      <c r="DO2894" s="24"/>
      <c r="DP2894" s="24"/>
      <c r="DQ2894" s="24"/>
      <c r="DR2894" s="24"/>
      <c r="DS2894" s="24"/>
      <c r="DT2894" s="24"/>
      <c r="DU2894" s="24"/>
    </row>
    <row r="2895" spans="1:125" s="8" customFormat="1" ht="84" x14ac:dyDescent="0.2">
      <c r="A2895" s="248">
        <v>41518</v>
      </c>
      <c r="B2895" s="229" t="s">
        <v>2718</v>
      </c>
      <c r="C2895" s="306" t="s">
        <v>980</v>
      </c>
      <c r="D2895" s="230" t="s">
        <v>3051</v>
      </c>
      <c r="E2895" s="296" t="str">
        <f>VLOOKUP(B2895&amp;C2895,Divipola!$C$2:$F$1138,4,FALSE)</f>
        <v>23574</v>
      </c>
      <c r="F2895" s="61"/>
      <c r="G2895" s="61"/>
      <c r="H2895" s="61"/>
      <c r="I2895" s="61"/>
      <c r="J2895" s="61"/>
      <c r="K2895" s="61"/>
      <c r="L2895" s="61"/>
      <c r="M2895" s="61">
        <v>1</v>
      </c>
      <c r="N2895" s="61"/>
      <c r="O2895" s="61"/>
      <c r="P2895" s="61"/>
      <c r="Q2895" s="61"/>
      <c r="R2895" s="61"/>
      <c r="S2895" s="61"/>
      <c r="T2895" s="61"/>
      <c r="U2895" s="61"/>
      <c r="V2895" s="7"/>
      <c r="W2895" s="96">
        <v>0</v>
      </c>
      <c r="X2895" s="71">
        <f>CU2895</f>
        <v>0</v>
      </c>
      <c r="Y2895" s="71">
        <f>CY2895</f>
        <v>0</v>
      </c>
      <c r="Z2895" s="71">
        <f>DA2895+DC2895+DE2895</f>
        <v>75039000</v>
      </c>
      <c r="AA2895" s="71">
        <f>CW2895</f>
        <v>0</v>
      </c>
      <c r="AB2895" s="71"/>
      <c r="AC2895" s="71">
        <v>0</v>
      </c>
      <c r="AD2895" s="71">
        <f>W2895+X2895+Y2895+Z2895+AA2895+AB2895+AC2895</f>
        <v>75039000</v>
      </c>
      <c r="AE2895" s="72">
        <v>0</v>
      </c>
      <c r="AF2895" s="5"/>
      <c r="AG2895" s="6"/>
      <c r="AH2895" s="27"/>
      <c r="AI2895" s="44"/>
      <c r="AJ2895" s="26"/>
      <c r="AK2895" s="5"/>
      <c r="AL2895" s="9" t="s">
        <v>6189</v>
      </c>
      <c r="AM2895" s="76"/>
      <c r="AN2895" s="76"/>
      <c r="AO2895" s="76"/>
      <c r="AP2895" s="76"/>
      <c r="AQ2895" s="76"/>
      <c r="AR2895" s="76"/>
      <c r="AS2895" s="76"/>
      <c r="AT2895" s="76"/>
      <c r="AU2895" s="76"/>
      <c r="AV2895" s="76"/>
      <c r="AW2895" s="76"/>
      <c r="AX2895" s="76">
        <f>+AW2895*600000</f>
        <v>0</v>
      </c>
      <c r="AY2895" s="76"/>
      <c r="AZ2895" s="76">
        <f>+AY2895*70000</f>
        <v>0</v>
      </c>
      <c r="BA2895" s="76"/>
      <c r="BB2895" s="76"/>
      <c r="BC2895" s="76"/>
      <c r="BD2895" s="76">
        <f>+BC2895*30000</f>
        <v>0</v>
      </c>
      <c r="BE2895" s="76"/>
      <c r="BF2895" s="76"/>
      <c r="BG2895" s="76"/>
      <c r="BH2895" s="76"/>
      <c r="BI2895" s="76"/>
      <c r="BJ2895" s="76"/>
      <c r="BK2895" s="76"/>
      <c r="BL2895" s="76">
        <f>+BK2895*31500</f>
        <v>0</v>
      </c>
      <c r="BM2895" s="76"/>
      <c r="BN2895" s="76"/>
      <c r="BO2895" s="76"/>
      <c r="BP2895" s="76"/>
      <c r="BQ2895" s="76"/>
      <c r="BR2895" s="76"/>
      <c r="BS2895" s="76"/>
      <c r="BT2895" s="76"/>
      <c r="BU2895" s="76"/>
      <c r="BV2895" s="76"/>
      <c r="BW2895" s="76"/>
      <c r="BX2895" s="76"/>
      <c r="BY2895" s="76"/>
      <c r="BZ2895" s="76"/>
      <c r="CA2895" s="76"/>
      <c r="CB2895" s="76"/>
      <c r="CC2895" s="76"/>
      <c r="CD2895" s="76"/>
      <c r="CE2895" s="76"/>
      <c r="CF2895" s="76">
        <f>+CE2895*28000</f>
        <v>0</v>
      </c>
      <c r="CG2895" s="76"/>
      <c r="CH2895" s="76">
        <f>+CG2895*22500</f>
        <v>0</v>
      </c>
      <c r="CI2895" s="76"/>
      <c r="CJ2895" s="76">
        <f>+CI2895*26000</f>
        <v>0</v>
      </c>
      <c r="CK2895" s="76"/>
      <c r="CL2895" s="76"/>
      <c r="CM2895" s="76"/>
      <c r="CN2895" s="76">
        <f>+CM2895*22000</f>
        <v>0</v>
      </c>
      <c r="CO2895" s="76"/>
      <c r="CP2895" s="76">
        <f>+CO2895*46000</f>
        <v>0</v>
      </c>
      <c r="CQ2895" s="76"/>
      <c r="CR2895" s="76">
        <f>+CQ2895*49000</f>
        <v>0</v>
      </c>
      <c r="CS2895" s="76"/>
      <c r="CT2895" s="76"/>
      <c r="CU2895" s="56">
        <f>AN2895+AP2895+AR2895+AT2895+AV2895+AX2895+AZ2895+BB2895+BD2895+BF2895+BH2895+BJ2895+BL2895+BN2895+BP2895+BR2895+BT2895+BV2895+BX2895+BZ2895+CB2895+CD2895+CF2895+CH2895+CJ2895+CL2895+CN2895+CP2895+CR2895+CT2895</f>
        <v>0</v>
      </c>
      <c r="CV2895" s="76"/>
      <c r="CW2895" s="76">
        <f>+CV2895*1100</f>
        <v>0</v>
      </c>
      <c r="CX2895" s="76"/>
      <c r="CY2895" s="76">
        <f>+CX2895*106250</f>
        <v>0</v>
      </c>
      <c r="CZ2895" s="86">
        <v>140</v>
      </c>
      <c r="DA2895" s="86">
        <f>+CZ2895*34000</f>
        <v>4760000</v>
      </c>
      <c r="DB2895" s="76"/>
      <c r="DC2895" s="76">
        <f>+DB2895*25000</f>
        <v>0</v>
      </c>
      <c r="DD2895" s="317" t="s">
        <v>5910</v>
      </c>
      <c r="DE2895" s="310">
        <f>100*21500+11*147000+16*165000+64*998000</f>
        <v>70279000</v>
      </c>
      <c r="DF2895" s="166"/>
      <c r="DG2895" s="134" t="s">
        <v>6190</v>
      </c>
      <c r="DH2895" s="117"/>
      <c r="DI2895" s="24"/>
      <c r="DJ2895" s="24"/>
      <c r="DK2895" s="24"/>
      <c r="DL2895" s="24"/>
      <c r="DM2895" s="24"/>
      <c r="DN2895" s="24"/>
      <c r="DO2895" s="24"/>
      <c r="DP2895" s="24"/>
      <c r="DQ2895" s="24"/>
      <c r="DR2895" s="24"/>
      <c r="DS2895" s="24"/>
      <c r="DT2895" s="24"/>
      <c r="DU2895" s="24"/>
    </row>
    <row r="2896" spans="1:125" s="8" customFormat="1" ht="72" x14ac:dyDescent="0.2">
      <c r="A2896" s="77">
        <v>41518</v>
      </c>
      <c r="B2896" s="225" t="s">
        <v>2772</v>
      </c>
      <c r="C2896" s="227" t="s">
        <v>1328</v>
      </c>
      <c r="D2896" s="354" t="s">
        <v>2846</v>
      </c>
      <c r="E2896" s="75" t="str">
        <f>VLOOKUP(B2896&amp;C2896,Divipola!$C$2:$F$1138,4,FALSE)</f>
        <v>25035</v>
      </c>
      <c r="F2896" s="87"/>
      <c r="G2896" s="87"/>
      <c r="H2896" s="87"/>
      <c r="I2896" s="87"/>
      <c r="J2896" s="87"/>
      <c r="K2896" s="87"/>
      <c r="L2896" s="87"/>
      <c r="M2896" s="87"/>
      <c r="N2896" s="87"/>
      <c r="O2896" s="87"/>
      <c r="P2896" s="87"/>
      <c r="Q2896" s="87"/>
      <c r="R2896" s="87"/>
      <c r="S2896" s="87"/>
      <c r="T2896" s="87"/>
      <c r="U2896" s="88">
        <v>1</v>
      </c>
      <c r="V2896" s="89"/>
      <c r="W2896" s="96">
        <v>0</v>
      </c>
      <c r="X2896" s="71">
        <f>CU2896</f>
        <v>0</v>
      </c>
      <c r="Y2896" s="71">
        <f>CY2896</f>
        <v>0</v>
      </c>
      <c r="Z2896" s="71">
        <f>DA2896+DC2896+DE2896</f>
        <v>0</v>
      </c>
      <c r="AA2896" s="71">
        <f>CW2896</f>
        <v>0</v>
      </c>
      <c r="AB2896" s="71"/>
      <c r="AC2896" s="71">
        <v>0</v>
      </c>
      <c r="AD2896" s="71">
        <f>W2896+X2896+Y2896+Z2896+AA2896+AB2896+AC2896</f>
        <v>0</v>
      </c>
      <c r="AE2896" s="72">
        <v>0</v>
      </c>
      <c r="AF2896" s="5"/>
      <c r="AG2896" s="6"/>
      <c r="AH2896" s="27"/>
      <c r="AI2896" s="44"/>
      <c r="AJ2896" s="26"/>
      <c r="AK2896" s="5"/>
      <c r="AL2896" s="9" t="s">
        <v>5785</v>
      </c>
      <c r="AM2896" s="76"/>
      <c r="AN2896" s="76"/>
      <c r="AO2896" s="76"/>
      <c r="AP2896" s="76"/>
      <c r="AQ2896" s="76"/>
      <c r="AR2896" s="76"/>
      <c r="AS2896" s="76"/>
      <c r="AT2896" s="76"/>
      <c r="AU2896" s="76"/>
      <c r="AV2896" s="76"/>
      <c r="AW2896" s="76"/>
      <c r="AX2896" s="76">
        <f>+AW2896*600000</f>
        <v>0</v>
      </c>
      <c r="AY2896" s="76"/>
      <c r="AZ2896" s="76">
        <f>+AY2896*70000</f>
        <v>0</v>
      </c>
      <c r="BA2896" s="76"/>
      <c r="BB2896" s="76"/>
      <c r="BC2896" s="76"/>
      <c r="BD2896" s="76">
        <f>+BC2896*30000</f>
        <v>0</v>
      </c>
      <c r="BE2896" s="76"/>
      <c r="BF2896" s="76"/>
      <c r="BG2896" s="76"/>
      <c r="BH2896" s="76"/>
      <c r="BI2896" s="76"/>
      <c r="BJ2896" s="76"/>
      <c r="BK2896" s="76"/>
      <c r="BL2896" s="76">
        <f>+BK2896*31500</f>
        <v>0</v>
      </c>
      <c r="BM2896" s="76"/>
      <c r="BN2896" s="76"/>
      <c r="BO2896" s="76"/>
      <c r="BP2896" s="76"/>
      <c r="BQ2896" s="76"/>
      <c r="BR2896" s="76"/>
      <c r="BS2896" s="76"/>
      <c r="BT2896" s="76"/>
      <c r="BU2896" s="76"/>
      <c r="BV2896" s="76"/>
      <c r="BW2896" s="76"/>
      <c r="BX2896" s="76"/>
      <c r="BY2896" s="76"/>
      <c r="BZ2896" s="76"/>
      <c r="CA2896" s="76"/>
      <c r="CB2896" s="76"/>
      <c r="CC2896" s="76"/>
      <c r="CD2896" s="76"/>
      <c r="CE2896" s="76"/>
      <c r="CF2896" s="76">
        <f>+CE2896*28000</f>
        <v>0</v>
      </c>
      <c r="CG2896" s="76"/>
      <c r="CH2896" s="76">
        <f>+CG2896*22500</f>
        <v>0</v>
      </c>
      <c r="CI2896" s="76"/>
      <c r="CJ2896" s="76">
        <f>+CI2896*26000</f>
        <v>0</v>
      </c>
      <c r="CK2896" s="76"/>
      <c r="CL2896" s="76"/>
      <c r="CM2896" s="76"/>
      <c r="CN2896" s="76">
        <f>+CM2896*22000</f>
        <v>0</v>
      </c>
      <c r="CO2896" s="76"/>
      <c r="CP2896" s="76">
        <f>+CO2896*46000</f>
        <v>0</v>
      </c>
      <c r="CQ2896" s="76"/>
      <c r="CR2896" s="76">
        <f>+CQ2896*49000</f>
        <v>0</v>
      </c>
      <c r="CS2896" s="76"/>
      <c r="CT2896" s="76"/>
      <c r="CU2896" s="56">
        <f>AN2896+AP2896+AR2896+AT2896+AV2896+AX2896+AZ2896+BB2896+BD2896+BF2896+BH2896+BJ2896+BL2896+BN2896+BP2896+BR2896+BT2896+BV2896+BX2896+BZ2896+CB2896+CD2896+CF2896+CH2896+CJ2896+CL2896+CN2896+CP2896+CR2896+CT2896</f>
        <v>0</v>
      </c>
      <c r="CV2896" s="76"/>
      <c r="CW2896" s="76">
        <f>+CV2896*1100</f>
        <v>0</v>
      </c>
      <c r="CX2896" s="76"/>
      <c r="CY2896" s="76">
        <f>+CX2896*106250</f>
        <v>0</v>
      </c>
      <c r="CZ2896" s="76"/>
      <c r="DA2896" s="76">
        <f>+CZ2896*34500</f>
        <v>0</v>
      </c>
      <c r="DB2896" s="76"/>
      <c r="DC2896" s="76">
        <f>+DB2896*25000</f>
        <v>0</v>
      </c>
      <c r="DD2896" s="219"/>
      <c r="DE2896" s="219"/>
      <c r="DF2896" s="166"/>
      <c r="DG2896" s="116"/>
      <c r="DH2896" s="117"/>
      <c r="DI2896" s="24"/>
      <c r="DJ2896" s="24"/>
      <c r="DK2896" s="24"/>
      <c r="DL2896" s="24"/>
      <c r="DM2896" s="24"/>
      <c r="DN2896" s="24"/>
      <c r="DO2896" s="24"/>
      <c r="DP2896" s="24"/>
      <c r="DQ2896" s="24"/>
      <c r="DR2896" s="24"/>
      <c r="DS2896" s="24"/>
      <c r="DT2896" s="24"/>
      <c r="DU2896" s="24"/>
    </row>
    <row r="2897" spans="1:125" s="8" customFormat="1" ht="72" x14ac:dyDescent="0.2">
      <c r="A2897" s="77">
        <v>41518</v>
      </c>
      <c r="B2897" s="225" t="s">
        <v>2772</v>
      </c>
      <c r="C2897" s="227" t="s">
        <v>1095</v>
      </c>
      <c r="D2897" s="354" t="s">
        <v>2846</v>
      </c>
      <c r="E2897" s="75" t="str">
        <f>VLOOKUP(B2897&amp;C2897,Divipola!$C$2:$F$1138,4,FALSE)</f>
        <v>25386</v>
      </c>
      <c r="F2897" s="87"/>
      <c r="G2897" s="87"/>
      <c r="H2897" s="87"/>
      <c r="I2897" s="87"/>
      <c r="J2897" s="87"/>
      <c r="K2897" s="87"/>
      <c r="L2897" s="87"/>
      <c r="M2897" s="87"/>
      <c r="N2897" s="87"/>
      <c r="O2897" s="87"/>
      <c r="P2897" s="87"/>
      <c r="Q2897" s="87"/>
      <c r="R2897" s="87"/>
      <c r="S2897" s="87"/>
      <c r="T2897" s="87"/>
      <c r="U2897" s="88">
        <v>0.5</v>
      </c>
      <c r="V2897" s="89"/>
      <c r="W2897" s="96">
        <v>0</v>
      </c>
      <c r="X2897" s="71">
        <f>CU2897</f>
        <v>0</v>
      </c>
      <c r="Y2897" s="71">
        <f>CY2897</f>
        <v>0</v>
      </c>
      <c r="Z2897" s="71">
        <f>DA2897+DC2897+DE2897</f>
        <v>0</v>
      </c>
      <c r="AA2897" s="71">
        <f>CW2897</f>
        <v>0</v>
      </c>
      <c r="AB2897" s="71"/>
      <c r="AC2897" s="71">
        <v>0</v>
      </c>
      <c r="AD2897" s="71">
        <f>W2897+X2897+Y2897+Z2897+AA2897+AB2897+AC2897</f>
        <v>0</v>
      </c>
      <c r="AE2897" s="72">
        <v>0</v>
      </c>
      <c r="AF2897" s="5"/>
      <c r="AG2897" s="6"/>
      <c r="AH2897" s="27"/>
      <c r="AI2897" s="44"/>
      <c r="AJ2897" s="26"/>
      <c r="AK2897" s="5"/>
      <c r="AL2897" s="9" t="s">
        <v>5788</v>
      </c>
      <c r="AM2897" s="76"/>
      <c r="AN2897" s="76"/>
      <c r="AO2897" s="76"/>
      <c r="AP2897" s="76"/>
      <c r="AQ2897" s="76"/>
      <c r="AR2897" s="76"/>
      <c r="AS2897" s="76"/>
      <c r="AT2897" s="76"/>
      <c r="AU2897" s="76"/>
      <c r="AV2897" s="76"/>
      <c r="AW2897" s="76"/>
      <c r="AX2897" s="76">
        <f>+AW2897*600000</f>
        <v>0</v>
      </c>
      <c r="AY2897" s="76"/>
      <c r="AZ2897" s="76">
        <f>+AY2897*70000</f>
        <v>0</v>
      </c>
      <c r="BA2897" s="76"/>
      <c r="BB2897" s="76"/>
      <c r="BC2897" s="76"/>
      <c r="BD2897" s="76">
        <f>+BC2897*30000</f>
        <v>0</v>
      </c>
      <c r="BE2897" s="76"/>
      <c r="BF2897" s="76"/>
      <c r="BG2897" s="76"/>
      <c r="BH2897" s="76"/>
      <c r="BI2897" s="76"/>
      <c r="BJ2897" s="76"/>
      <c r="BK2897" s="76"/>
      <c r="BL2897" s="76">
        <f>+BK2897*31500</f>
        <v>0</v>
      </c>
      <c r="BM2897" s="76"/>
      <c r="BN2897" s="76"/>
      <c r="BO2897" s="76"/>
      <c r="BP2897" s="76"/>
      <c r="BQ2897" s="76"/>
      <c r="BR2897" s="76"/>
      <c r="BS2897" s="76"/>
      <c r="BT2897" s="76"/>
      <c r="BU2897" s="76"/>
      <c r="BV2897" s="76"/>
      <c r="BW2897" s="76"/>
      <c r="BX2897" s="76"/>
      <c r="BY2897" s="76"/>
      <c r="BZ2897" s="76"/>
      <c r="CA2897" s="76"/>
      <c r="CB2897" s="76"/>
      <c r="CC2897" s="76"/>
      <c r="CD2897" s="76"/>
      <c r="CE2897" s="76"/>
      <c r="CF2897" s="76">
        <f>+CE2897*28000</f>
        <v>0</v>
      </c>
      <c r="CG2897" s="76"/>
      <c r="CH2897" s="76">
        <f>+CG2897*22500</f>
        <v>0</v>
      </c>
      <c r="CI2897" s="76"/>
      <c r="CJ2897" s="76">
        <f>+CI2897*26000</f>
        <v>0</v>
      </c>
      <c r="CK2897" s="76"/>
      <c r="CL2897" s="76"/>
      <c r="CM2897" s="76"/>
      <c r="CN2897" s="76">
        <f>+CM2897*22000</f>
        <v>0</v>
      </c>
      <c r="CO2897" s="76"/>
      <c r="CP2897" s="76">
        <f>+CO2897*46000</f>
        <v>0</v>
      </c>
      <c r="CQ2897" s="76"/>
      <c r="CR2897" s="76">
        <f>+CQ2897*49000</f>
        <v>0</v>
      </c>
      <c r="CS2897" s="76"/>
      <c r="CT2897" s="76"/>
      <c r="CU2897" s="56">
        <f>AN2897+AP2897+AR2897+AT2897+AV2897+AX2897+AZ2897+BB2897+BD2897+BF2897+BH2897+BJ2897+BL2897+BN2897+BP2897+BR2897+BT2897+BV2897+BX2897+BZ2897+CB2897+CD2897+CF2897+CH2897+CJ2897+CL2897+CN2897+CP2897+CR2897+CT2897</f>
        <v>0</v>
      </c>
      <c r="CV2897" s="76"/>
      <c r="CW2897" s="76">
        <f>+CV2897*1100</f>
        <v>0</v>
      </c>
      <c r="CX2897" s="76"/>
      <c r="CY2897" s="76">
        <f>+CX2897*106250</f>
        <v>0</v>
      </c>
      <c r="CZ2897" s="76"/>
      <c r="DA2897" s="76">
        <f>+CZ2897*34500</f>
        <v>0</v>
      </c>
      <c r="DB2897" s="76"/>
      <c r="DC2897" s="76">
        <f>+DB2897*25000</f>
        <v>0</v>
      </c>
      <c r="DD2897" s="219"/>
      <c r="DE2897" s="219"/>
      <c r="DF2897" s="166"/>
      <c r="DG2897" s="116"/>
      <c r="DH2897" s="117"/>
      <c r="DI2897" s="24"/>
      <c r="DJ2897" s="24"/>
      <c r="DK2897" s="24"/>
      <c r="DL2897" s="24"/>
      <c r="DM2897" s="24"/>
      <c r="DN2897" s="24"/>
      <c r="DO2897" s="24"/>
      <c r="DP2897" s="24"/>
      <c r="DQ2897" s="24"/>
      <c r="DR2897" s="24"/>
      <c r="DS2897" s="24"/>
      <c r="DT2897" s="24"/>
      <c r="DU2897" s="24"/>
    </row>
    <row r="2898" spans="1:125" s="8" customFormat="1" ht="72" x14ac:dyDescent="0.2">
      <c r="A2898" s="77">
        <v>41518</v>
      </c>
      <c r="B2898" s="225" t="s">
        <v>2772</v>
      </c>
      <c r="C2898" s="227" t="s">
        <v>2100</v>
      </c>
      <c r="D2898" s="354" t="s">
        <v>2846</v>
      </c>
      <c r="E2898" s="75" t="str">
        <f>VLOOKUP(B2898&amp;C2898,Divipola!$C$2:$F$1138,4,FALSE)</f>
        <v>25402</v>
      </c>
      <c r="F2898" s="87"/>
      <c r="G2898" s="87"/>
      <c r="H2898" s="87"/>
      <c r="I2898" s="87"/>
      <c r="J2898" s="87"/>
      <c r="K2898" s="87"/>
      <c r="L2898" s="87"/>
      <c r="M2898" s="87"/>
      <c r="N2898" s="87"/>
      <c r="O2898" s="87"/>
      <c r="P2898" s="87"/>
      <c r="Q2898" s="87"/>
      <c r="R2898" s="87"/>
      <c r="S2898" s="87"/>
      <c r="T2898" s="87"/>
      <c r="U2898" s="88">
        <v>2.5</v>
      </c>
      <c r="V2898" s="89"/>
      <c r="W2898" s="96">
        <v>0</v>
      </c>
      <c r="X2898" s="71">
        <f>CU2898</f>
        <v>0</v>
      </c>
      <c r="Y2898" s="71">
        <f>CY2898</f>
        <v>0</v>
      </c>
      <c r="Z2898" s="71">
        <f>DA2898+DC2898+DE2898</f>
        <v>0</v>
      </c>
      <c r="AA2898" s="71">
        <f>CW2898</f>
        <v>0</v>
      </c>
      <c r="AB2898" s="71"/>
      <c r="AC2898" s="71">
        <v>0</v>
      </c>
      <c r="AD2898" s="71">
        <f>W2898+X2898+Y2898+Z2898+AA2898+AB2898+AC2898</f>
        <v>0</v>
      </c>
      <c r="AE2898" s="72">
        <v>0</v>
      </c>
      <c r="AF2898" s="5"/>
      <c r="AG2898" s="6"/>
      <c r="AH2898" s="27"/>
      <c r="AI2898" s="44"/>
      <c r="AJ2898" s="26"/>
      <c r="AK2898" s="5"/>
      <c r="AL2898" s="9" t="s">
        <v>5793</v>
      </c>
      <c r="AM2898" s="76"/>
      <c r="AN2898" s="76"/>
      <c r="AO2898" s="76"/>
      <c r="AP2898" s="76"/>
      <c r="AQ2898" s="76"/>
      <c r="AR2898" s="76"/>
      <c r="AS2898" s="76"/>
      <c r="AT2898" s="76"/>
      <c r="AU2898" s="76"/>
      <c r="AV2898" s="76"/>
      <c r="AW2898" s="76"/>
      <c r="AX2898" s="76">
        <f>+AW2898*600000</f>
        <v>0</v>
      </c>
      <c r="AY2898" s="76"/>
      <c r="AZ2898" s="76">
        <f>+AY2898*70000</f>
        <v>0</v>
      </c>
      <c r="BA2898" s="76"/>
      <c r="BB2898" s="76"/>
      <c r="BC2898" s="76"/>
      <c r="BD2898" s="76">
        <f>+BC2898*30000</f>
        <v>0</v>
      </c>
      <c r="BE2898" s="76"/>
      <c r="BF2898" s="76"/>
      <c r="BG2898" s="76"/>
      <c r="BH2898" s="76"/>
      <c r="BI2898" s="76"/>
      <c r="BJ2898" s="76"/>
      <c r="BK2898" s="76"/>
      <c r="BL2898" s="76">
        <f>+BK2898*31500</f>
        <v>0</v>
      </c>
      <c r="BM2898" s="76"/>
      <c r="BN2898" s="76"/>
      <c r="BO2898" s="76"/>
      <c r="BP2898" s="76"/>
      <c r="BQ2898" s="76"/>
      <c r="BR2898" s="76"/>
      <c r="BS2898" s="76"/>
      <c r="BT2898" s="76"/>
      <c r="BU2898" s="76"/>
      <c r="BV2898" s="76"/>
      <c r="BW2898" s="76"/>
      <c r="BX2898" s="76"/>
      <c r="BY2898" s="76"/>
      <c r="BZ2898" s="76"/>
      <c r="CA2898" s="76"/>
      <c r="CB2898" s="76"/>
      <c r="CC2898" s="76"/>
      <c r="CD2898" s="76"/>
      <c r="CE2898" s="76"/>
      <c r="CF2898" s="76">
        <f>+CE2898*28000</f>
        <v>0</v>
      </c>
      <c r="CG2898" s="76"/>
      <c r="CH2898" s="76">
        <f>+CG2898*22500</f>
        <v>0</v>
      </c>
      <c r="CI2898" s="76"/>
      <c r="CJ2898" s="76">
        <f>+CI2898*26000</f>
        <v>0</v>
      </c>
      <c r="CK2898" s="76"/>
      <c r="CL2898" s="76"/>
      <c r="CM2898" s="76"/>
      <c r="CN2898" s="76">
        <f>+CM2898*22000</f>
        <v>0</v>
      </c>
      <c r="CO2898" s="76"/>
      <c r="CP2898" s="76">
        <f>+CO2898*46000</f>
        <v>0</v>
      </c>
      <c r="CQ2898" s="76"/>
      <c r="CR2898" s="76">
        <f>+CQ2898*49000</f>
        <v>0</v>
      </c>
      <c r="CS2898" s="76"/>
      <c r="CT2898" s="76"/>
      <c r="CU2898" s="56">
        <f>AN2898+AP2898+AR2898+AT2898+AV2898+AX2898+AZ2898+BB2898+BD2898+BF2898+BH2898+BJ2898+BL2898+BN2898+BP2898+BR2898+BT2898+BV2898+BX2898+BZ2898+CB2898+CD2898+CF2898+CH2898+CJ2898+CL2898+CN2898+CP2898+CR2898+CT2898</f>
        <v>0</v>
      </c>
      <c r="CV2898" s="76"/>
      <c r="CW2898" s="76">
        <f>+CV2898*1100</f>
        <v>0</v>
      </c>
      <c r="CX2898" s="76"/>
      <c r="CY2898" s="76">
        <f>+CX2898*106250</f>
        <v>0</v>
      </c>
      <c r="CZ2898" s="76"/>
      <c r="DA2898" s="76">
        <f>+CZ2898*34500</f>
        <v>0</v>
      </c>
      <c r="DB2898" s="76"/>
      <c r="DC2898" s="76">
        <f>+DB2898*25000</f>
        <v>0</v>
      </c>
      <c r="DD2898" s="219"/>
      <c r="DE2898" s="219"/>
      <c r="DF2898" s="166"/>
      <c r="DG2898" s="116"/>
      <c r="DH2898" s="117"/>
      <c r="DI2898" s="24"/>
      <c r="DJ2898" s="24"/>
      <c r="DK2898" s="24"/>
      <c r="DL2898" s="24"/>
      <c r="DM2898" s="24"/>
      <c r="DN2898" s="24"/>
      <c r="DO2898" s="24"/>
      <c r="DP2898" s="24"/>
      <c r="DQ2898" s="24"/>
      <c r="DR2898" s="24"/>
      <c r="DS2898" s="24"/>
      <c r="DT2898" s="24"/>
      <c r="DU2898" s="24"/>
    </row>
    <row r="2899" spans="1:125" s="8" customFormat="1" ht="72" x14ac:dyDescent="0.2">
      <c r="A2899" s="77">
        <v>41518</v>
      </c>
      <c r="B2899" s="352" t="s">
        <v>2772</v>
      </c>
      <c r="C2899" s="354" t="s">
        <v>2100</v>
      </c>
      <c r="D2899" s="354" t="s">
        <v>2846</v>
      </c>
      <c r="E2899" s="75" t="str">
        <f>VLOOKUP(B2899&amp;C2899,Divipola!$C$2:$F$1138,4,FALSE)</f>
        <v>25402</v>
      </c>
      <c r="F2899" s="87"/>
      <c r="G2899" s="87"/>
      <c r="H2899" s="87"/>
      <c r="I2899" s="87"/>
      <c r="J2899" s="87"/>
      <c r="K2899" s="87"/>
      <c r="L2899" s="87"/>
      <c r="M2899" s="87"/>
      <c r="N2899" s="87"/>
      <c r="O2899" s="87"/>
      <c r="P2899" s="87"/>
      <c r="Q2899" s="87"/>
      <c r="R2899" s="87"/>
      <c r="S2899" s="87"/>
      <c r="T2899" s="87"/>
      <c r="U2899" s="88">
        <v>2</v>
      </c>
      <c r="V2899" s="89"/>
      <c r="W2899" s="96">
        <v>0</v>
      </c>
      <c r="X2899" s="71">
        <f>CU2899</f>
        <v>0</v>
      </c>
      <c r="Y2899" s="71">
        <f>CY2899</f>
        <v>0</v>
      </c>
      <c r="Z2899" s="71">
        <f>DA2899+DC2899+DE2899</f>
        <v>0</v>
      </c>
      <c r="AA2899" s="71">
        <f>CW2899</f>
        <v>0</v>
      </c>
      <c r="AB2899" s="71"/>
      <c r="AC2899" s="71">
        <v>0</v>
      </c>
      <c r="AD2899" s="71">
        <f>W2899+X2899+Y2899+Z2899+AA2899+AB2899+AC2899</f>
        <v>0</v>
      </c>
      <c r="AE2899" s="72">
        <v>0</v>
      </c>
      <c r="AF2899" s="5"/>
      <c r="AG2899" s="6"/>
      <c r="AH2899" s="27"/>
      <c r="AI2899" s="44"/>
      <c r="AJ2899" s="26"/>
      <c r="AK2899" s="5"/>
      <c r="AL2899" s="9" t="s">
        <v>5794</v>
      </c>
      <c r="AM2899" s="76"/>
      <c r="AN2899" s="76"/>
      <c r="AO2899" s="76"/>
      <c r="AP2899" s="76"/>
      <c r="AQ2899" s="76"/>
      <c r="AR2899" s="76"/>
      <c r="AS2899" s="76"/>
      <c r="AT2899" s="76"/>
      <c r="AU2899" s="76"/>
      <c r="AV2899" s="76"/>
      <c r="AW2899" s="76"/>
      <c r="AX2899" s="76">
        <f>+AW2899*600000</f>
        <v>0</v>
      </c>
      <c r="AY2899" s="76"/>
      <c r="AZ2899" s="76">
        <f>+AY2899*70000</f>
        <v>0</v>
      </c>
      <c r="BA2899" s="76"/>
      <c r="BB2899" s="76"/>
      <c r="BC2899" s="76"/>
      <c r="BD2899" s="76">
        <f>+BC2899*30000</f>
        <v>0</v>
      </c>
      <c r="BE2899" s="76"/>
      <c r="BF2899" s="76"/>
      <c r="BG2899" s="76"/>
      <c r="BH2899" s="76"/>
      <c r="BI2899" s="76"/>
      <c r="BJ2899" s="76"/>
      <c r="BK2899" s="76"/>
      <c r="BL2899" s="76">
        <f>+BK2899*31500</f>
        <v>0</v>
      </c>
      <c r="BM2899" s="76"/>
      <c r="BN2899" s="76"/>
      <c r="BO2899" s="76"/>
      <c r="BP2899" s="76"/>
      <c r="BQ2899" s="76"/>
      <c r="BR2899" s="76"/>
      <c r="BS2899" s="76"/>
      <c r="BT2899" s="76"/>
      <c r="BU2899" s="76"/>
      <c r="BV2899" s="76"/>
      <c r="BW2899" s="76"/>
      <c r="BX2899" s="76"/>
      <c r="BY2899" s="76"/>
      <c r="BZ2899" s="76"/>
      <c r="CA2899" s="76"/>
      <c r="CB2899" s="76"/>
      <c r="CC2899" s="76"/>
      <c r="CD2899" s="76"/>
      <c r="CE2899" s="76"/>
      <c r="CF2899" s="76">
        <f>+CE2899*28000</f>
        <v>0</v>
      </c>
      <c r="CG2899" s="76"/>
      <c r="CH2899" s="76">
        <f>+CG2899*22500</f>
        <v>0</v>
      </c>
      <c r="CI2899" s="76"/>
      <c r="CJ2899" s="76">
        <f>+CI2899*26000</f>
        <v>0</v>
      </c>
      <c r="CK2899" s="76"/>
      <c r="CL2899" s="76"/>
      <c r="CM2899" s="76"/>
      <c r="CN2899" s="76">
        <f>+CM2899*22000</f>
        <v>0</v>
      </c>
      <c r="CO2899" s="76"/>
      <c r="CP2899" s="76">
        <f>+CO2899*46000</f>
        <v>0</v>
      </c>
      <c r="CQ2899" s="76"/>
      <c r="CR2899" s="76">
        <f>+CQ2899*49000</f>
        <v>0</v>
      </c>
      <c r="CS2899" s="76"/>
      <c r="CT2899" s="76"/>
      <c r="CU2899" s="56">
        <f>AN2899+AP2899+AR2899+AT2899+AV2899+AX2899+AZ2899+BB2899+BD2899+BF2899+BH2899+BJ2899+BL2899+BN2899+BP2899+BR2899+BT2899+BV2899+BX2899+BZ2899+CB2899+CD2899+CF2899+CH2899+CJ2899+CL2899+CN2899+CP2899+CR2899+CT2899</f>
        <v>0</v>
      </c>
      <c r="CV2899" s="76"/>
      <c r="CW2899" s="76">
        <f>+CV2899*1100</f>
        <v>0</v>
      </c>
      <c r="CX2899" s="76"/>
      <c r="CY2899" s="76">
        <f>+CX2899*106250</f>
        <v>0</v>
      </c>
      <c r="CZ2899" s="76"/>
      <c r="DA2899" s="76">
        <f>+CZ2899*34500</f>
        <v>0</v>
      </c>
      <c r="DB2899" s="76"/>
      <c r="DC2899" s="76">
        <f>+DB2899*25000</f>
        <v>0</v>
      </c>
      <c r="DD2899" s="219"/>
      <c r="DE2899" s="219"/>
      <c r="DF2899" s="166"/>
      <c r="DG2899" s="116"/>
      <c r="DH2899" s="117"/>
      <c r="DI2899" s="24"/>
      <c r="DJ2899" s="24"/>
      <c r="DK2899" s="24"/>
      <c r="DL2899" s="24"/>
      <c r="DM2899" s="24"/>
      <c r="DN2899" s="24"/>
      <c r="DO2899" s="24"/>
      <c r="DP2899" s="24"/>
      <c r="DQ2899" s="24"/>
      <c r="DR2899" s="24"/>
      <c r="DS2899" s="24"/>
      <c r="DT2899" s="24"/>
      <c r="DU2899" s="24"/>
    </row>
    <row r="2900" spans="1:125" s="8" customFormat="1" ht="84" x14ac:dyDescent="0.2">
      <c r="A2900" s="77">
        <v>41518</v>
      </c>
      <c r="B2900" s="352" t="s">
        <v>2772</v>
      </c>
      <c r="C2900" s="354" t="s">
        <v>486</v>
      </c>
      <c r="D2900" s="354" t="s">
        <v>2846</v>
      </c>
      <c r="E2900" s="75" t="str">
        <f>VLOOKUP(B2900&amp;C2900,Divipola!$C$2:$F$1138,4,FALSE)</f>
        <v>25491</v>
      </c>
      <c r="F2900" s="87"/>
      <c r="G2900" s="87"/>
      <c r="H2900" s="87"/>
      <c r="I2900" s="87"/>
      <c r="J2900" s="87"/>
      <c r="K2900" s="87"/>
      <c r="L2900" s="87"/>
      <c r="M2900" s="87"/>
      <c r="N2900" s="87"/>
      <c r="O2900" s="87"/>
      <c r="P2900" s="87"/>
      <c r="Q2900" s="87"/>
      <c r="R2900" s="87"/>
      <c r="S2900" s="87"/>
      <c r="T2900" s="87"/>
      <c r="U2900" s="88">
        <v>8</v>
      </c>
      <c r="V2900" s="89"/>
      <c r="W2900" s="96">
        <v>0</v>
      </c>
      <c r="X2900" s="71">
        <f>CU2900</f>
        <v>0</v>
      </c>
      <c r="Y2900" s="71">
        <f>CY2900</f>
        <v>0</v>
      </c>
      <c r="Z2900" s="71">
        <f>DA2900+DC2900+DE2900</f>
        <v>0</v>
      </c>
      <c r="AA2900" s="71">
        <f>CW2900</f>
        <v>0</v>
      </c>
      <c r="AB2900" s="71"/>
      <c r="AC2900" s="71">
        <v>0</v>
      </c>
      <c r="AD2900" s="71">
        <f>W2900+X2900+Y2900+Z2900+AA2900+AB2900+AC2900</f>
        <v>0</v>
      </c>
      <c r="AE2900" s="72">
        <v>0</v>
      </c>
      <c r="AF2900" s="5"/>
      <c r="AG2900" s="6"/>
      <c r="AH2900" s="27"/>
      <c r="AI2900" s="44"/>
      <c r="AJ2900" s="26"/>
      <c r="AK2900" s="5"/>
      <c r="AL2900" s="9" t="s">
        <v>5789</v>
      </c>
      <c r="AM2900" s="76"/>
      <c r="AN2900" s="76"/>
      <c r="AO2900" s="76"/>
      <c r="AP2900" s="76"/>
      <c r="AQ2900" s="76"/>
      <c r="AR2900" s="76"/>
      <c r="AS2900" s="76"/>
      <c r="AT2900" s="76"/>
      <c r="AU2900" s="76"/>
      <c r="AV2900" s="76"/>
      <c r="AW2900" s="76"/>
      <c r="AX2900" s="76">
        <f>+AW2900*600000</f>
        <v>0</v>
      </c>
      <c r="AY2900" s="76"/>
      <c r="AZ2900" s="76">
        <f>+AY2900*70000</f>
        <v>0</v>
      </c>
      <c r="BA2900" s="76"/>
      <c r="BB2900" s="76"/>
      <c r="BC2900" s="76"/>
      <c r="BD2900" s="76">
        <f>+BC2900*30000</f>
        <v>0</v>
      </c>
      <c r="BE2900" s="76"/>
      <c r="BF2900" s="76"/>
      <c r="BG2900" s="76"/>
      <c r="BH2900" s="76"/>
      <c r="BI2900" s="76"/>
      <c r="BJ2900" s="76"/>
      <c r="BK2900" s="76"/>
      <c r="BL2900" s="76">
        <f>+BK2900*31500</f>
        <v>0</v>
      </c>
      <c r="BM2900" s="76"/>
      <c r="BN2900" s="76"/>
      <c r="BO2900" s="76"/>
      <c r="BP2900" s="76"/>
      <c r="BQ2900" s="76"/>
      <c r="BR2900" s="76"/>
      <c r="BS2900" s="76"/>
      <c r="BT2900" s="76"/>
      <c r="BU2900" s="76"/>
      <c r="BV2900" s="76"/>
      <c r="BW2900" s="76"/>
      <c r="BX2900" s="76"/>
      <c r="BY2900" s="76"/>
      <c r="BZ2900" s="76"/>
      <c r="CA2900" s="76"/>
      <c r="CB2900" s="76"/>
      <c r="CC2900" s="76"/>
      <c r="CD2900" s="76"/>
      <c r="CE2900" s="76"/>
      <c r="CF2900" s="76">
        <f>+CE2900*28000</f>
        <v>0</v>
      </c>
      <c r="CG2900" s="76"/>
      <c r="CH2900" s="76">
        <f>+CG2900*22500</f>
        <v>0</v>
      </c>
      <c r="CI2900" s="76"/>
      <c r="CJ2900" s="76">
        <f>+CI2900*26000</f>
        <v>0</v>
      </c>
      <c r="CK2900" s="76"/>
      <c r="CL2900" s="76"/>
      <c r="CM2900" s="76"/>
      <c r="CN2900" s="76">
        <f>+CM2900*22000</f>
        <v>0</v>
      </c>
      <c r="CO2900" s="76"/>
      <c r="CP2900" s="76">
        <f>+CO2900*46000</f>
        <v>0</v>
      </c>
      <c r="CQ2900" s="76"/>
      <c r="CR2900" s="76">
        <f>+CQ2900*49000</f>
        <v>0</v>
      </c>
      <c r="CS2900" s="76"/>
      <c r="CT2900" s="76"/>
      <c r="CU2900" s="56">
        <f>AN2900+AP2900+AR2900+AT2900+AV2900+AX2900+AZ2900+BB2900+BD2900+BF2900+BH2900+BJ2900+BL2900+BN2900+BP2900+BR2900+BT2900+BV2900+BX2900+BZ2900+CB2900+CD2900+CF2900+CH2900+CJ2900+CL2900+CN2900+CP2900+CR2900+CT2900</f>
        <v>0</v>
      </c>
      <c r="CV2900" s="76"/>
      <c r="CW2900" s="76">
        <f>+CV2900*1100</f>
        <v>0</v>
      </c>
      <c r="CX2900" s="76"/>
      <c r="CY2900" s="76">
        <f>+CX2900*106250</f>
        <v>0</v>
      </c>
      <c r="CZ2900" s="76"/>
      <c r="DA2900" s="76">
        <f>+CZ2900*34500</f>
        <v>0</v>
      </c>
      <c r="DB2900" s="76"/>
      <c r="DC2900" s="76">
        <f>+DB2900*25000</f>
        <v>0</v>
      </c>
      <c r="DD2900" s="219"/>
      <c r="DE2900" s="219"/>
      <c r="DF2900" s="166"/>
      <c r="DG2900" s="116"/>
      <c r="DH2900" s="117"/>
      <c r="DI2900" s="24"/>
      <c r="DJ2900" s="24"/>
      <c r="DK2900" s="24"/>
      <c r="DL2900" s="24"/>
      <c r="DM2900" s="24"/>
      <c r="DN2900" s="24"/>
      <c r="DO2900" s="24"/>
      <c r="DP2900" s="24"/>
      <c r="DQ2900" s="24"/>
      <c r="DR2900" s="24"/>
      <c r="DS2900" s="24"/>
      <c r="DT2900" s="24"/>
      <c r="DU2900" s="24"/>
    </row>
    <row r="2901" spans="1:125" s="8" customFormat="1" ht="72" x14ac:dyDescent="0.2">
      <c r="A2901" s="77">
        <v>41518</v>
      </c>
      <c r="B2901" s="60" t="s">
        <v>2772</v>
      </c>
      <c r="C2901" s="55" t="s">
        <v>2030</v>
      </c>
      <c r="D2901" s="55" t="s">
        <v>2846</v>
      </c>
      <c r="E2901" s="75" t="str">
        <f>VLOOKUP(B2901&amp;C2901,Divipola!$C$2:$F$1138,4,FALSE)</f>
        <v>25754</v>
      </c>
      <c r="F2901" s="87"/>
      <c r="G2901" s="87"/>
      <c r="H2901" s="87"/>
      <c r="I2901" s="87"/>
      <c r="J2901" s="87"/>
      <c r="K2901" s="87"/>
      <c r="L2901" s="87"/>
      <c r="M2901" s="87"/>
      <c r="N2901" s="87"/>
      <c r="O2901" s="87"/>
      <c r="P2901" s="87"/>
      <c r="Q2901" s="87"/>
      <c r="R2901" s="87"/>
      <c r="S2901" s="87"/>
      <c r="T2901" s="87"/>
      <c r="U2901" s="88">
        <v>5</v>
      </c>
      <c r="V2901" s="89"/>
      <c r="W2901" s="96">
        <v>0</v>
      </c>
      <c r="X2901" s="71">
        <f>CU2901</f>
        <v>0</v>
      </c>
      <c r="Y2901" s="71">
        <f>CY2901</f>
        <v>0</v>
      </c>
      <c r="Z2901" s="71">
        <f>DA2901+DC2901+DE2901</f>
        <v>0</v>
      </c>
      <c r="AA2901" s="71">
        <f>CW2901</f>
        <v>0</v>
      </c>
      <c r="AB2901" s="71"/>
      <c r="AC2901" s="71">
        <v>0</v>
      </c>
      <c r="AD2901" s="71">
        <f>W2901+X2901+Y2901+Z2901+AA2901+AB2901+AC2901</f>
        <v>0</v>
      </c>
      <c r="AE2901" s="72">
        <v>0</v>
      </c>
      <c r="AF2901" s="5"/>
      <c r="AG2901" s="6"/>
      <c r="AH2901" s="27"/>
      <c r="AI2901" s="44"/>
      <c r="AJ2901" s="26"/>
      <c r="AK2901" s="5"/>
      <c r="AL2901" s="9" t="s">
        <v>5784</v>
      </c>
      <c r="AM2901" s="76"/>
      <c r="AN2901" s="76"/>
      <c r="AO2901" s="76"/>
      <c r="AP2901" s="76"/>
      <c r="AQ2901" s="76"/>
      <c r="AR2901" s="76"/>
      <c r="AS2901" s="76"/>
      <c r="AT2901" s="76"/>
      <c r="AU2901" s="76"/>
      <c r="AV2901" s="76"/>
      <c r="AW2901" s="76"/>
      <c r="AX2901" s="76">
        <f>+AW2901*600000</f>
        <v>0</v>
      </c>
      <c r="AY2901" s="76"/>
      <c r="AZ2901" s="76">
        <f>+AY2901*70000</f>
        <v>0</v>
      </c>
      <c r="BA2901" s="76"/>
      <c r="BB2901" s="76"/>
      <c r="BC2901" s="76"/>
      <c r="BD2901" s="76">
        <f>+BC2901*30000</f>
        <v>0</v>
      </c>
      <c r="BE2901" s="76"/>
      <c r="BF2901" s="76"/>
      <c r="BG2901" s="76"/>
      <c r="BH2901" s="76"/>
      <c r="BI2901" s="76"/>
      <c r="BJ2901" s="76"/>
      <c r="BK2901" s="76"/>
      <c r="BL2901" s="76">
        <f>+BK2901*31500</f>
        <v>0</v>
      </c>
      <c r="BM2901" s="76"/>
      <c r="BN2901" s="76"/>
      <c r="BO2901" s="76"/>
      <c r="BP2901" s="76"/>
      <c r="BQ2901" s="76"/>
      <c r="BR2901" s="76"/>
      <c r="BS2901" s="76"/>
      <c r="BT2901" s="76"/>
      <c r="BU2901" s="76"/>
      <c r="BV2901" s="76"/>
      <c r="BW2901" s="76"/>
      <c r="BX2901" s="76"/>
      <c r="BY2901" s="76"/>
      <c r="BZ2901" s="76"/>
      <c r="CA2901" s="76"/>
      <c r="CB2901" s="76"/>
      <c r="CC2901" s="76"/>
      <c r="CD2901" s="76"/>
      <c r="CE2901" s="76"/>
      <c r="CF2901" s="76">
        <f>+CE2901*28000</f>
        <v>0</v>
      </c>
      <c r="CG2901" s="76"/>
      <c r="CH2901" s="76">
        <f>+CG2901*22500</f>
        <v>0</v>
      </c>
      <c r="CI2901" s="76"/>
      <c r="CJ2901" s="76">
        <f>+CI2901*26000</f>
        <v>0</v>
      </c>
      <c r="CK2901" s="76"/>
      <c r="CL2901" s="76"/>
      <c r="CM2901" s="76"/>
      <c r="CN2901" s="76">
        <f>+CM2901*22000</f>
        <v>0</v>
      </c>
      <c r="CO2901" s="76"/>
      <c r="CP2901" s="76">
        <f>+CO2901*46000</f>
        <v>0</v>
      </c>
      <c r="CQ2901" s="76"/>
      <c r="CR2901" s="76">
        <f>+CQ2901*49000</f>
        <v>0</v>
      </c>
      <c r="CS2901" s="76"/>
      <c r="CT2901" s="76"/>
      <c r="CU2901" s="56">
        <f>AN2901+AP2901+AR2901+AT2901+AV2901+AX2901+AZ2901+BB2901+BD2901+BF2901+BH2901+BJ2901+BL2901+BN2901+BP2901+BR2901+BT2901+BV2901+BX2901+BZ2901+CB2901+CD2901+CF2901+CH2901+CJ2901+CL2901+CN2901+CP2901+CR2901+CT2901</f>
        <v>0</v>
      </c>
      <c r="CV2901" s="76"/>
      <c r="CW2901" s="76">
        <f>+CV2901*1100</f>
        <v>0</v>
      </c>
      <c r="CX2901" s="76"/>
      <c r="CY2901" s="76">
        <f>+CX2901*106250</f>
        <v>0</v>
      </c>
      <c r="CZ2901" s="76"/>
      <c r="DA2901" s="76">
        <f>+CZ2901*34500</f>
        <v>0</v>
      </c>
      <c r="DB2901" s="76"/>
      <c r="DC2901" s="76">
        <f>+DB2901*25000</f>
        <v>0</v>
      </c>
      <c r="DD2901" s="219"/>
      <c r="DE2901" s="219"/>
      <c r="DF2901" s="166"/>
      <c r="DG2901" s="116"/>
      <c r="DH2901" s="117"/>
      <c r="DI2901" s="24"/>
      <c r="DJ2901" s="24"/>
      <c r="DK2901" s="24"/>
      <c r="DL2901" s="24"/>
      <c r="DM2901" s="24"/>
      <c r="DN2901" s="24"/>
      <c r="DO2901" s="24"/>
      <c r="DP2901" s="24"/>
      <c r="DQ2901" s="24"/>
      <c r="DR2901" s="24"/>
      <c r="DS2901" s="24"/>
      <c r="DT2901" s="24"/>
      <c r="DU2901" s="24"/>
    </row>
    <row r="2902" spans="1:125" s="8" customFormat="1" ht="72" x14ac:dyDescent="0.2">
      <c r="A2902" s="77">
        <v>41518</v>
      </c>
      <c r="B2902" s="352" t="s">
        <v>2772</v>
      </c>
      <c r="C2902" s="354" t="s">
        <v>2834</v>
      </c>
      <c r="D2902" s="354" t="s">
        <v>2846</v>
      </c>
      <c r="E2902" s="75" t="str">
        <f>VLOOKUP(B2902&amp;C2902,Divipola!$C$2:$F$1138,4,FALSE)</f>
        <v>25851</v>
      </c>
      <c r="F2902" s="87"/>
      <c r="G2902" s="87"/>
      <c r="H2902" s="87"/>
      <c r="I2902" s="87"/>
      <c r="J2902" s="87"/>
      <c r="K2902" s="87"/>
      <c r="L2902" s="87"/>
      <c r="M2902" s="87"/>
      <c r="N2902" s="87"/>
      <c r="O2902" s="87"/>
      <c r="P2902" s="87"/>
      <c r="Q2902" s="87"/>
      <c r="R2902" s="87"/>
      <c r="S2902" s="87"/>
      <c r="T2902" s="87"/>
      <c r="U2902" s="88">
        <v>2</v>
      </c>
      <c r="V2902" s="89"/>
      <c r="W2902" s="96">
        <v>0</v>
      </c>
      <c r="X2902" s="71">
        <f>CU2902</f>
        <v>0</v>
      </c>
      <c r="Y2902" s="71">
        <f>CY2902</f>
        <v>0</v>
      </c>
      <c r="Z2902" s="71">
        <f>DA2902+DC2902+DE2902</f>
        <v>0</v>
      </c>
      <c r="AA2902" s="71">
        <f>CW2902</f>
        <v>0</v>
      </c>
      <c r="AB2902" s="71"/>
      <c r="AC2902" s="71">
        <v>0</v>
      </c>
      <c r="AD2902" s="71">
        <f>W2902+X2902+Y2902+Z2902+AA2902+AB2902+AC2902</f>
        <v>0</v>
      </c>
      <c r="AE2902" s="72">
        <v>0</v>
      </c>
      <c r="AF2902" s="5"/>
      <c r="AG2902" s="6"/>
      <c r="AH2902" s="27"/>
      <c r="AI2902" s="44"/>
      <c r="AJ2902" s="26"/>
      <c r="AK2902" s="5"/>
      <c r="AL2902" s="9" t="s">
        <v>5787</v>
      </c>
      <c r="AM2902" s="76"/>
      <c r="AN2902" s="76"/>
      <c r="AO2902" s="76"/>
      <c r="AP2902" s="76"/>
      <c r="AQ2902" s="76"/>
      <c r="AR2902" s="76"/>
      <c r="AS2902" s="76"/>
      <c r="AT2902" s="76"/>
      <c r="AU2902" s="76"/>
      <c r="AV2902" s="76"/>
      <c r="AW2902" s="76"/>
      <c r="AX2902" s="76">
        <f>+AW2902*600000</f>
        <v>0</v>
      </c>
      <c r="AY2902" s="76"/>
      <c r="AZ2902" s="76">
        <f>+AY2902*70000</f>
        <v>0</v>
      </c>
      <c r="BA2902" s="76"/>
      <c r="BB2902" s="76"/>
      <c r="BC2902" s="76"/>
      <c r="BD2902" s="76">
        <f>+BC2902*30000</f>
        <v>0</v>
      </c>
      <c r="BE2902" s="76"/>
      <c r="BF2902" s="76"/>
      <c r="BG2902" s="76"/>
      <c r="BH2902" s="76"/>
      <c r="BI2902" s="76"/>
      <c r="BJ2902" s="76"/>
      <c r="BK2902" s="76"/>
      <c r="BL2902" s="76">
        <f>+BK2902*31500</f>
        <v>0</v>
      </c>
      <c r="BM2902" s="76"/>
      <c r="BN2902" s="76"/>
      <c r="BO2902" s="76"/>
      <c r="BP2902" s="76"/>
      <c r="BQ2902" s="76"/>
      <c r="BR2902" s="76"/>
      <c r="BS2902" s="76"/>
      <c r="BT2902" s="76"/>
      <c r="BU2902" s="76"/>
      <c r="BV2902" s="76"/>
      <c r="BW2902" s="76"/>
      <c r="BX2902" s="76"/>
      <c r="BY2902" s="76"/>
      <c r="BZ2902" s="76"/>
      <c r="CA2902" s="76"/>
      <c r="CB2902" s="76"/>
      <c r="CC2902" s="76"/>
      <c r="CD2902" s="76"/>
      <c r="CE2902" s="76"/>
      <c r="CF2902" s="76">
        <f>+CE2902*28000</f>
        <v>0</v>
      </c>
      <c r="CG2902" s="76"/>
      <c r="CH2902" s="76">
        <f>+CG2902*22500</f>
        <v>0</v>
      </c>
      <c r="CI2902" s="76"/>
      <c r="CJ2902" s="76">
        <f>+CI2902*26000</f>
        <v>0</v>
      </c>
      <c r="CK2902" s="76"/>
      <c r="CL2902" s="76"/>
      <c r="CM2902" s="76"/>
      <c r="CN2902" s="76">
        <f>+CM2902*22000</f>
        <v>0</v>
      </c>
      <c r="CO2902" s="76"/>
      <c r="CP2902" s="76">
        <f>+CO2902*46000</f>
        <v>0</v>
      </c>
      <c r="CQ2902" s="76"/>
      <c r="CR2902" s="76">
        <f>+CQ2902*49000</f>
        <v>0</v>
      </c>
      <c r="CS2902" s="76"/>
      <c r="CT2902" s="76"/>
      <c r="CU2902" s="56">
        <f>AN2902+AP2902+AR2902+AT2902+AV2902+AX2902+AZ2902+BB2902+BD2902+BF2902+BH2902+BJ2902+BL2902+BN2902+BP2902+BR2902+BT2902+BV2902+BX2902+BZ2902+CB2902+CD2902+CF2902+CH2902+CJ2902+CL2902+CN2902+CP2902+CR2902+CT2902</f>
        <v>0</v>
      </c>
      <c r="CV2902" s="76"/>
      <c r="CW2902" s="76">
        <f>+CV2902*1100</f>
        <v>0</v>
      </c>
      <c r="CX2902" s="76"/>
      <c r="CY2902" s="76">
        <f>+CX2902*106250</f>
        <v>0</v>
      </c>
      <c r="CZ2902" s="76"/>
      <c r="DA2902" s="76">
        <f>+CZ2902*34500</f>
        <v>0</v>
      </c>
      <c r="DB2902" s="76"/>
      <c r="DC2902" s="76">
        <f>+DB2902*25000</f>
        <v>0</v>
      </c>
      <c r="DD2902" s="219"/>
      <c r="DE2902" s="219"/>
      <c r="DF2902" s="166"/>
      <c r="DG2902" s="116"/>
      <c r="DH2902" s="117"/>
      <c r="DI2902" s="24"/>
      <c r="DJ2902" s="24"/>
      <c r="DK2902" s="24"/>
      <c r="DL2902" s="24"/>
      <c r="DM2902" s="24"/>
      <c r="DN2902" s="24"/>
      <c r="DO2902" s="24"/>
      <c r="DP2902" s="24"/>
      <c r="DQ2902" s="24"/>
      <c r="DR2902" s="24"/>
      <c r="DS2902" s="24"/>
      <c r="DT2902" s="24"/>
      <c r="DU2902" s="24"/>
    </row>
    <row r="2903" spans="1:125" s="8" customFormat="1" ht="48" x14ac:dyDescent="0.2">
      <c r="A2903" s="353">
        <v>41518</v>
      </c>
      <c r="B2903" s="352" t="s">
        <v>2811</v>
      </c>
      <c r="C2903" s="354" t="s">
        <v>2131</v>
      </c>
      <c r="D2903" s="354" t="s">
        <v>3088</v>
      </c>
      <c r="E2903" s="75" t="str">
        <f>VLOOKUP(B2903&amp;C2903,Divipola!$C$2:$F$1138,4,FALSE)</f>
        <v>52001</v>
      </c>
      <c r="F2903" s="87"/>
      <c r="G2903" s="87">
        <v>1</v>
      </c>
      <c r="H2903" s="87"/>
      <c r="I2903" s="87">
        <v>10</v>
      </c>
      <c r="J2903" s="87">
        <v>2</v>
      </c>
      <c r="K2903" s="87"/>
      <c r="L2903" s="87">
        <v>2</v>
      </c>
      <c r="M2903" s="87"/>
      <c r="N2903" s="87"/>
      <c r="O2903" s="87"/>
      <c r="P2903" s="87"/>
      <c r="Q2903" s="87"/>
      <c r="R2903" s="87"/>
      <c r="S2903" s="87"/>
      <c r="T2903" s="87"/>
      <c r="U2903" s="88"/>
      <c r="V2903" s="89"/>
      <c r="W2903" s="96">
        <v>0</v>
      </c>
      <c r="X2903" s="71">
        <f>CU2903</f>
        <v>0</v>
      </c>
      <c r="Y2903" s="71">
        <f>CY2903</f>
        <v>0</v>
      </c>
      <c r="Z2903" s="71">
        <f>DA2903+DC2903+DE2903</f>
        <v>0</v>
      </c>
      <c r="AA2903" s="71">
        <f>CW2903</f>
        <v>0</v>
      </c>
      <c r="AB2903" s="71"/>
      <c r="AC2903" s="71">
        <v>0</v>
      </c>
      <c r="AD2903" s="71">
        <f>W2903+X2903+Y2903+Z2903+AA2903+AB2903+AC2903</f>
        <v>0</v>
      </c>
      <c r="AE2903" s="72">
        <v>0</v>
      </c>
      <c r="AF2903" s="5"/>
      <c r="AG2903" s="6"/>
      <c r="AH2903" s="27"/>
      <c r="AI2903" s="44"/>
      <c r="AJ2903" s="26"/>
      <c r="AK2903" s="5"/>
      <c r="AL2903" s="82" t="s">
        <v>5767</v>
      </c>
      <c r="AM2903" s="76"/>
      <c r="AN2903" s="76"/>
      <c r="AO2903" s="76"/>
      <c r="AP2903" s="76"/>
      <c r="AQ2903" s="76"/>
      <c r="AR2903" s="76"/>
      <c r="AS2903" s="76"/>
      <c r="AT2903" s="76"/>
      <c r="AU2903" s="76"/>
      <c r="AV2903" s="76"/>
      <c r="AW2903" s="76"/>
      <c r="AX2903" s="76">
        <f>+AW2903*600000</f>
        <v>0</v>
      </c>
      <c r="AY2903" s="76"/>
      <c r="AZ2903" s="76">
        <f>+AY2903*70000</f>
        <v>0</v>
      </c>
      <c r="BA2903" s="76"/>
      <c r="BB2903" s="76"/>
      <c r="BC2903" s="76"/>
      <c r="BD2903" s="76">
        <f>+BC2903*30000</f>
        <v>0</v>
      </c>
      <c r="BE2903" s="76"/>
      <c r="BF2903" s="76"/>
      <c r="BG2903" s="76"/>
      <c r="BH2903" s="76"/>
      <c r="BI2903" s="76"/>
      <c r="BJ2903" s="76"/>
      <c r="BK2903" s="76"/>
      <c r="BL2903" s="76">
        <f>+BK2903*31500</f>
        <v>0</v>
      </c>
      <c r="BM2903" s="76"/>
      <c r="BN2903" s="76"/>
      <c r="BO2903" s="76"/>
      <c r="BP2903" s="76"/>
      <c r="BQ2903" s="76"/>
      <c r="BR2903" s="76"/>
      <c r="BS2903" s="76"/>
      <c r="BT2903" s="76"/>
      <c r="BU2903" s="76"/>
      <c r="BV2903" s="76"/>
      <c r="BW2903" s="76"/>
      <c r="BX2903" s="76"/>
      <c r="BY2903" s="76"/>
      <c r="BZ2903" s="76"/>
      <c r="CA2903" s="76"/>
      <c r="CB2903" s="76"/>
      <c r="CC2903" s="76"/>
      <c r="CD2903" s="76"/>
      <c r="CE2903" s="76"/>
      <c r="CF2903" s="76">
        <f>+CE2903*28000</f>
        <v>0</v>
      </c>
      <c r="CG2903" s="76"/>
      <c r="CH2903" s="76">
        <f>+CG2903*22500</f>
        <v>0</v>
      </c>
      <c r="CI2903" s="76"/>
      <c r="CJ2903" s="76">
        <f>+CI2903*26000</f>
        <v>0</v>
      </c>
      <c r="CK2903" s="76"/>
      <c r="CL2903" s="76"/>
      <c r="CM2903" s="76"/>
      <c r="CN2903" s="76">
        <f>+CM2903*22000</f>
        <v>0</v>
      </c>
      <c r="CO2903" s="76"/>
      <c r="CP2903" s="76">
        <f>+CO2903*46000</f>
        <v>0</v>
      </c>
      <c r="CQ2903" s="76"/>
      <c r="CR2903" s="76">
        <f>+CQ2903*49000</f>
        <v>0</v>
      </c>
      <c r="CS2903" s="76"/>
      <c r="CT2903" s="76"/>
      <c r="CU2903" s="56">
        <f>AN2903+AP2903+AR2903+AT2903+AV2903+AX2903+AZ2903+BB2903+BD2903+BF2903+BH2903+BJ2903+BL2903+BN2903+BP2903+BR2903+BT2903+BV2903+BX2903+BZ2903+CB2903+CD2903+CF2903+CH2903+CJ2903+CL2903+CN2903+CP2903+CR2903+CT2903</f>
        <v>0</v>
      </c>
      <c r="CV2903" s="76"/>
      <c r="CW2903" s="76">
        <f>+CV2903*1100</f>
        <v>0</v>
      </c>
      <c r="CX2903" s="76"/>
      <c r="CY2903" s="76">
        <f>+CX2903*106250</f>
        <v>0</v>
      </c>
      <c r="CZ2903" s="76"/>
      <c r="DA2903" s="76">
        <f>+CZ2903*34500</f>
        <v>0</v>
      </c>
      <c r="DB2903" s="76"/>
      <c r="DC2903" s="76">
        <f>+DB2903*25000</f>
        <v>0</v>
      </c>
      <c r="DD2903" s="219"/>
      <c r="DE2903" s="219"/>
      <c r="DF2903" s="166"/>
      <c r="DG2903" s="116"/>
      <c r="DH2903" s="117"/>
      <c r="DI2903" s="24"/>
      <c r="DJ2903" s="24"/>
      <c r="DK2903" s="24"/>
      <c r="DL2903" s="24"/>
      <c r="DM2903" s="24"/>
      <c r="DN2903" s="24"/>
      <c r="DO2903" s="24"/>
      <c r="DP2903" s="24"/>
      <c r="DQ2903" s="24"/>
      <c r="DR2903" s="24"/>
      <c r="DS2903" s="24"/>
      <c r="DT2903" s="24"/>
      <c r="DU2903" s="24"/>
    </row>
    <row r="2904" spans="1:125" s="8" customFormat="1" ht="36" x14ac:dyDescent="0.2">
      <c r="A2904" s="353">
        <v>41518</v>
      </c>
      <c r="B2904" s="60" t="s">
        <v>2848</v>
      </c>
      <c r="C2904" s="354" t="s">
        <v>2035</v>
      </c>
      <c r="D2904" s="354" t="s">
        <v>2846</v>
      </c>
      <c r="E2904" s="75" t="str">
        <f>VLOOKUP(B2904&amp;C2904,Divipola!$C$2:$F$1138,4,FALSE)</f>
        <v>73148</v>
      </c>
      <c r="F2904" s="87"/>
      <c r="G2904" s="87"/>
      <c r="H2904" s="87"/>
      <c r="I2904" s="87"/>
      <c r="J2904" s="87"/>
      <c r="K2904" s="87"/>
      <c r="L2904" s="87"/>
      <c r="M2904" s="87"/>
      <c r="N2904" s="87"/>
      <c r="O2904" s="87"/>
      <c r="P2904" s="87"/>
      <c r="Q2904" s="87"/>
      <c r="R2904" s="87"/>
      <c r="S2904" s="87"/>
      <c r="T2904" s="87"/>
      <c r="U2904" s="88">
        <v>2</v>
      </c>
      <c r="V2904" s="89"/>
      <c r="W2904" s="96">
        <v>0</v>
      </c>
      <c r="X2904" s="71">
        <f>CU2904</f>
        <v>0</v>
      </c>
      <c r="Y2904" s="71">
        <f>CY2904</f>
        <v>0</v>
      </c>
      <c r="Z2904" s="71">
        <f>DA2904+DC2904+DE2904</f>
        <v>0</v>
      </c>
      <c r="AA2904" s="71">
        <f>CW2904</f>
        <v>0</v>
      </c>
      <c r="AB2904" s="71"/>
      <c r="AC2904" s="71">
        <v>0</v>
      </c>
      <c r="AD2904" s="71">
        <f>W2904+X2904+Y2904+Z2904+AA2904+AB2904+AC2904</f>
        <v>0</v>
      </c>
      <c r="AE2904" s="72">
        <v>0</v>
      </c>
      <c r="AF2904" s="5"/>
      <c r="AG2904" s="6"/>
      <c r="AH2904" s="27"/>
      <c r="AI2904" s="44"/>
      <c r="AJ2904" s="26"/>
      <c r="AK2904" s="5"/>
      <c r="AL2904" s="82" t="s">
        <v>5769</v>
      </c>
      <c r="AM2904" s="76"/>
      <c r="AN2904" s="76"/>
      <c r="AO2904" s="76"/>
      <c r="AP2904" s="76"/>
      <c r="AQ2904" s="76"/>
      <c r="AR2904" s="76"/>
      <c r="AS2904" s="76"/>
      <c r="AT2904" s="76"/>
      <c r="AU2904" s="76"/>
      <c r="AV2904" s="76"/>
      <c r="AW2904" s="76"/>
      <c r="AX2904" s="76">
        <f>+AW2904*600000</f>
        <v>0</v>
      </c>
      <c r="AY2904" s="76"/>
      <c r="AZ2904" s="76">
        <f>+AY2904*70000</f>
        <v>0</v>
      </c>
      <c r="BA2904" s="76"/>
      <c r="BB2904" s="76"/>
      <c r="BC2904" s="76"/>
      <c r="BD2904" s="76">
        <f>+BC2904*30000</f>
        <v>0</v>
      </c>
      <c r="BE2904" s="76"/>
      <c r="BF2904" s="76"/>
      <c r="BG2904" s="76"/>
      <c r="BH2904" s="76"/>
      <c r="BI2904" s="76"/>
      <c r="BJ2904" s="76"/>
      <c r="BK2904" s="76"/>
      <c r="BL2904" s="76">
        <f>+BK2904*31500</f>
        <v>0</v>
      </c>
      <c r="BM2904" s="76"/>
      <c r="BN2904" s="76"/>
      <c r="BO2904" s="76"/>
      <c r="BP2904" s="76"/>
      <c r="BQ2904" s="76"/>
      <c r="BR2904" s="76"/>
      <c r="BS2904" s="76"/>
      <c r="BT2904" s="76"/>
      <c r="BU2904" s="76"/>
      <c r="BV2904" s="76"/>
      <c r="BW2904" s="76"/>
      <c r="BX2904" s="76"/>
      <c r="BY2904" s="76"/>
      <c r="BZ2904" s="76"/>
      <c r="CA2904" s="76"/>
      <c r="CB2904" s="76"/>
      <c r="CC2904" s="76"/>
      <c r="CD2904" s="76"/>
      <c r="CE2904" s="76"/>
      <c r="CF2904" s="76">
        <f>+CE2904*28000</f>
        <v>0</v>
      </c>
      <c r="CG2904" s="76"/>
      <c r="CH2904" s="76">
        <f>+CG2904*22500</f>
        <v>0</v>
      </c>
      <c r="CI2904" s="76"/>
      <c r="CJ2904" s="76">
        <f>+CI2904*26000</f>
        <v>0</v>
      </c>
      <c r="CK2904" s="76"/>
      <c r="CL2904" s="76"/>
      <c r="CM2904" s="76"/>
      <c r="CN2904" s="76">
        <f>+CM2904*22000</f>
        <v>0</v>
      </c>
      <c r="CO2904" s="76"/>
      <c r="CP2904" s="76">
        <f>+CO2904*46000</f>
        <v>0</v>
      </c>
      <c r="CQ2904" s="76"/>
      <c r="CR2904" s="76">
        <f>+CQ2904*49000</f>
        <v>0</v>
      </c>
      <c r="CS2904" s="76"/>
      <c r="CT2904" s="76"/>
      <c r="CU2904" s="56">
        <f>AN2904+AP2904+AR2904+AT2904+AV2904+AX2904+AZ2904+BB2904+BD2904+BF2904+BH2904+BJ2904+BL2904+BN2904+BP2904+BR2904+BT2904+BV2904+BX2904+BZ2904+CB2904+CD2904+CF2904+CH2904+CJ2904+CL2904+CN2904+CP2904+CR2904+CT2904</f>
        <v>0</v>
      </c>
      <c r="CV2904" s="76"/>
      <c r="CW2904" s="76">
        <f>+CV2904*1100</f>
        <v>0</v>
      </c>
      <c r="CX2904" s="76"/>
      <c r="CY2904" s="76">
        <f>+CX2904*106250</f>
        <v>0</v>
      </c>
      <c r="CZ2904" s="76"/>
      <c r="DA2904" s="76">
        <f>+CZ2904*34500</f>
        <v>0</v>
      </c>
      <c r="DB2904" s="76"/>
      <c r="DC2904" s="76">
        <f>+DB2904*25000</f>
        <v>0</v>
      </c>
      <c r="DD2904" s="219"/>
      <c r="DE2904" s="219"/>
      <c r="DF2904" s="166"/>
      <c r="DG2904" s="116"/>
      <c r="DH2904" s="117"/>
      <c r="DI2904" s="24"/>
      <c r="DJ2904" s="24"/>
      <c r="DK2904" s="24"/>
      <c r="DL2904" s="24"/>
      <c r="DM2904" s="24"/>
      <c r="DN2904" s="24"/>
      <c r="DO2904" s="24"/>
      <c r="DP2904" s="24"/>
      <c r="DQ2904" s="24"/>
      <c r="DR2904" s="24"/>
      <c r="DS2904" s="24"/>
      <c r="DT2904" s="24"/>
      <c r="DU2904" s="24"/>
    </row>
    <row r="2905" spans="1:125" s="8" customFormat="1" ht="48" x14ac:dyDescent="0.2">
      <c r="A2905" s="353">
        <v>41518</v>
      </c>
      <c r="B2905" s="60" t="s">
        <v>2848</v>
      </c>
      <c r="C2905" s="55" t="s">
        <v>2191</v>
      </c>
      <c r="D2905" s="55" t="s">
        <v>2846</v>
      </c>
      <c r="E2905" s="75" t="str">
        <f>VLOOKUP(B2905&amp;C2905,Divipola!$C$2:$F$1138,4,FALSE)</f>
        <v>73319</v>
      </c>
      <c r="F2905" s="87"/>
      <c r="G2905" s="87"/>
      <c r="H2905" s="87"/>
      <c r="I2905" s="87"/>
      <c r="J2905" s="87"/>
      <c r="K2905" s="87"/>
      <c r="L2905" s="87"/>
      <c r="M2905" s="87"/>
      <c r="N2905" s="87"/>
      <c r="O2905" s="87"/>
      <c r="P2905" s="87"/>
      <c r="Q2905" s="87"/>
      <c r="R2905" s="87"/>
      <c r="S2905" s="87"/>
      <c r="T2905" s="87"/>
      <c r="U2905" s="88">
        <v>1</v>
      </c>
      <c r="V2905" s="89"/>
      <c r="W2905" s="96">
        <v>0</v>
      </c>
      <c r="X2905" s="71">
        <f>CU2905</f>
        <v>0</v>
      </c>
      <c r="Y2905" s="71">
        <f>CY2905</f>
        <v>0</v>
      </c>
      <c r="Z2905" s="71">
        <f>DA2905+DC2905+DE2905</f>
        <v>0</v>
      </c>
      <c r="AA2905" s="71">
        <f>CW2905</f>
        <v>0</v>
      </c>
      <c r="AB2905" s="71"/>
      <c r="AC2905" s="71">
        <v>0</v>
      </c>
      <c r="AD2905" s="71">
        <f>W2905+X2905+Y2905+Z2905+AA2905+AB2905+AC2905</f>
        <v>0</v>
      </c>
      <c r="AE2905" s="72">
        <v>0</v>
      </c>
      <c r="AF2905" s="5"/>
      <c r="AG2905" s="6"/>
      <c r="AH2905" s="27"/>
      <c r="AI2905" s="44"/>
      <c r="AJ2905" s="26"/>
      <c r="AK2905" s="5"/>
      <c r="AL2905" s="268" t="s">
        <v>5768</v>
      </c>
      <c r="AM2905" s="76"/>
      <c r="AN2905" s="76"/>
      <c r="AO2905" s="76"/>
      <c r="AP2905" s="76"/>
      <c r="AQ2905" s="76"/>
      <c r="AR2905" s="76"/>
      <c r="AS2905" s="76"/>
      <c r="AT2905" s="76"/>
      <c r="AU2905" s="76"/>
      <c r="AV2905" s="76"/>
      <c r="AW2905" s="76"/>
      <c r="AX2905" s="76">
        <f>+AW2905*600000</f>
        <v>0</v>
      </c>
      <c r="AY2905" s="76"/>
      <c r="AZ2905" s="76">
        <f>+AY2905*70000</f>
        <v>0</v>
      </c>
      <c r="BA2905" s="76"/>
      <c r="BB2905" s="76"/>
      <c r="BC2905" s="76"/>
      <c r="BD2905" s="76">
        <f>+BC2905*30000</f>
        <v>0</v>
      </c>
      <c r="BE2905" s="76"/>
      <c r="BF2905" s="76"/>
      <c r="BG2905" s="76"/>
      <c r="BH2905" s="76"/>
      <c r="BI2905" s="76"/>
      <c r="BJ2905" s="76"/>
      <c r="BK2905" s="76"/>
      <c r="BL2905" s="76">
        <f>+BK2905*31500</f>
        <v>0</v>
      </c>
      <c r="BM2905" s="76"/>
      <c r="BN2905" s="76"/>
      <c r="BO2905" s="76"/>
      <c r="BP2905" s="76"/>
      <c r="BQ2905" s="76"/>
      <c r="BR2905" s="76"/>
      <c r="BS2905" s="76"/>
      <c r="BT2905" s="76"/>
      <c r="BU2905" s="76"/>
      <c r="BV2905" s="76"/>
      <c r="BW2905" s="76"/>
      <c r="BX2905" s="76"/>
      <c r="BY2905" s="76"/>
      <c r="BZ2905" s="76"/>
      <c r="CA2905" s="76"/>
      <c r="CB2905" s="76"/>
      <c r="CC2905" s="76"/>
      <c r="CD2905" s="76"/>
      <c r="CE2905" s="76"/>
      <c r="CF2905" s="76">
        <f>+CE2905*28000</f>
        <v>0</v>
      </c>
      <c r="CG2905" s="76"/>
      <c r="CH2905" s="76">
        <f>+CG2905*22500</f>
        <v>0</v>
      </c>
      <c r="CI2905" s="76"/>
      <c r="CJ2905" s="76">
        <f>+CI2905*26000</f>
        <v>0</v>
      </c>
      <c r="CK2905" s="76"/>
      <c r="CL2905" s="76"/>
      <c r="CM2905" s="76"/>
      <c r="CN2905" s="76">
        <f>+CM2905*22000</f>
        <v>0</v>
      </c>
      <c r="CO2905" s="76"/>
      <c r="CP2905" s="76">
        <f>+CO2905*46000</f>
        <v>0</v>
      </c>
      <c r="CQ2905" s="76"/>
      <c r="CR2905" s="76">
        <f>+CQ2905*49000</f>
        <v>0</v>
      </c>
      <c r="CS2905" s="76"/>
      <c r="CT2905" s="76"/>
      <c r="CU2905" s="56">
        <f>AN2905+AP2905+AR2905+AT2905+AV2905+AX2905+AZ2905+BB2905+BD2905+BF2905+BH2905+BJ2905+BL2905+BN2905+BP2905+BR2905+BT2905+BV2905+BX2905+BZ2905+CB2905+CD2905+CF2905+CH2905+CJ2905+CL2905+CN2905+CP2905+CR2905+CT2905</f>
        <v>0</v>
      </c>
      <c r="CV2905" s="76"/>
      <c r="CW2905" s="76">
        <f>+CV2905*1100</f>
        <v>0</v>
      </c>
      <c r="CX2905" s="76"/>
      <c r="CY2905" s="76">
        <f>+CX2905*106250</f>
        <v>0</v>
      </c>
      <c r="CZ2905" s="76"/>
      <c r="DA2905" s="76">
        <f>+CZ2905*34500</f>
        <v>0</v>
      </c>
      <c r="DB2905" s="76"/>
      <c r="DC2905" s="76">
        <f>+DB2905*25000</f>
        <v>0</v>
      </c>
      <c r="DD2905" s="219"/>
      <c r="DE2905" s="219"/>
      <c r="DF2905" s="166"/>
      <c r="DG2905" s="116"/>
      <c r="DH2905" s="117"/>
      <c r="DI2905" s="24"/>
      <c r="DJ2905" s="24"/>
      <c r="DK2905" s="24"/>
      <c r="DL2905" s="24"/>
      <c r="DM2905" s="24"/>
      <c r="DN2905" s="24"/>
      <c r="DO2905" s="24"/>
      <c r="DP2905" s="24"/>
      <c r="DQ2905" s="24"/>
      <c r="DR2905" s="24"/>
      <c r="DS2905" s="24"/>
      <c r="DT2905" s="24"/>
      <c r="DU2905" s="24"/>
    </row>
    <row r="2906" spans="1:125" s="8" customFormat="1" ht="48" x14ac:dyDescent="0.2">
      <c r="A2906" s="353">
        <v>41518</v>
      </c>
      <c r="B2906" s="352" t="s">
        <v>2848</v>
      </c>
      <c r="C2906" s="354" t="s">
        <v>2077</v>
      </c>
      <c r="D2906" s="354" t="s">
        <v>2846</v>
      </c>
      <c r="E2906" s="75" t="str">
        <f>VLOOKUP(B2906&amp;C2906,Divipola!$C$2:$F$1138,4,FALSE)</f>
        <v>73411</v>
      </c>
      <c r="F2906" s="61"/>
      <c r="G2906" s="61"/>
      <c r="H2906" s="61"/>
      <c r="I2906" s="61"/>
      <c r="J2906" s="61"/>
      <c r="K2906" s="61"/>
      <c r="L2906" s="61"/>
      <c r="M2906" s="61"/>
      <c r="N2906" s="61"/>
      <c r="O2906" s="61"/>
      <c r="P2906" s="61"/>
      <c r="Q2906" s="61"/>
      <c r="R2906" s="61"/>
      <c r="S2906" s="61"/>
      <c r="T2906" s="61"/>
      <c r="U2906" s="88">
        <v>2</v>
      </c>
      <c r="V2906" s="7"/>
      <c r="W2906" s="96">
        <v>0</v>
      </c>
      <c r="X2906" s="71">
        <f>CU2906</f>
        <v>0</v>
      </c>
      <c r="Y2906" s="71">
        <f>CY2906</f>
        <v>0</v>
      </c>
      <c r="Z2906" s="71">
        <f>DA2906+DC2906+DE2906</f>
        <v>0</v>
      </c>
      <c r="AA2906" s="71">
        <f>CW2906</f>
        <v>0</v>
      </c>
      <c r="AB2906" s="71"/>
      <c r="AC2906" s="71">
        <v>0</v>
      </c>
      <c r="AD2906" s="71">
        <f>W2906+X2906+Y2906+Z2906+AA2906+AB2906+AC2906</f>
        <v>0</v>
      </c>
      <c r="AE2906" s="72">
        <v>0</v>
      </c>
      <c r="AF2906" s="5"/>
      <c r="AG2906" s="6"/>
      <c r="AH2906" s="27"/>
      <c r="AI2906" s="44"/>
      <c r="AJ2906" s="26"/>
      <c r="AK2906" s="5"/>
      <c r="AL2906" s="82" t="s">
        <v>5771</v>
      </c>
      <c r="AM2906" s="76"/>
      <c r="AN2906" s="76"/>
      <c r="AO2906" s="76"/>
      <c r="AP2906" s="76"/>
      <c r="AQ2906" s="76"/>
      <c r="AR2906" s="76"/>
      <c r="AS2906" s="76"/>
      <c r="AT2906" s="76"/>
      <c r="AU2906" s="76"/>
      <c r="AV2906" s="76"/>
      <c r="AW2906" s="76"/>
      <c r="AX2906" s="76">
        <f>+AW2906*600000</f>
        <v>0</v>
      </c>
      <c r="AY2906" s="76"/>
      <c r="AZ2906" s="76">
        <f>+AY2906*70000</f>
        <v>0</v>
      </c>
      <c r="BA2906" s="76"/>
      <c r="BB2906" s="76"/>
      <c r="BC2906" s="76"/>
      <c r="BD2906" s="76">
        <f>+BC2906*30000</f>
        <v>0</v>
      </c>
      <c r="BE2906" s="76"/>
      <c r="BF2906" s="76"/>
      <c r="BG2906" s="76"/>
      <c r="BH2906" s="76"/>
      <c r="BI2906" s="76"/>
      <c r="BJ2906" s="76"/>
      <c r="BK2906" s="76"/>
      <c r="BL2906" s="76">
        <f>+BK2906*31500</f>
        <v>0</v>
      </c>
      <c r="BM2906" s="76"/>
      <c r="BN2906" s="76"/>
      <c r="BO2906" s="76"/>
      <c r="BP2906" s="76"/>
      <c r="BQ2906" s="76"/>
      <c r="BR2906" s="76"/>
      <c r="BS2906" s="76"/>
      <c r="BT2906" s="76"/>
      <c r="BU2906" s="76"/>
      <c r="BV2906" s="76"/>
      <c r="BW2906" s="76"/>
      <c r="BX2906" s="76"/>
      <c r="BY2906" s="76"/>
      <c r="BZ2906" s="76"/>
      <c r="CA2906" s="76"/>
      <c r="CB2906" s="76"/>
      <c r="CC2906" s="76"/>
      <c r="CD2906" s="76"/>
      <c r="CE2906" s="76"/>
      <c r="CF2906" s="76">
        <f>+CE2906*28000</f>
        <v>0</v>
      </c>
      <c r="CG2906" s="76"/>
      <c r="CH2906" s="76">
        <f>+CG2906*22500</f>
        <v>0</v>
      </c>
      <c r="CI2906" s="76"/>
      <c r="CJ2906" s="76">
        <f>+CI2906*26000</f>
        <v>0</v>
      </c>
      <c r="CK2906" s="76"/>
      <c r="CL2906" s="76"/>
      <c r="CM2906" s="76"/>
      <c r="CN2906" s="76">
        <f>+CM2906*22000</f>
        <v>0</v>
      </c>
      <c r="CO2906" s="76"/>
      <c r="CP2906" s="76">
        <f>+CO2906*46000</f>
        <v>0</v>
      </c>
      <c r="CQ2906" s="76"/>
      <c r="CR2906" s="76">
        <f>+CQ2906*49000</f>
        <v>0</v>
      </c>
      <c r="CS2906" s="76"/>
      <c r="CT2906" s="76"/>
      <c r="CU2906" s="56">
        <f>AN2906+AP2906+AR2906+AT2906+AV2906+AX2906+AZ2906+BB2906+BD2906+BF2906+BH2906+BJ2906+BL2906+BN2906+BP2906+BR2906+BT2906+BV2906+BX2906+BZ2906+CB2906+CD2906+CF2906+CH2906+CJ2906+CL2906+CN2906+CP2906+CR2906+CT2906</f>
        <v>0</v>
      </c>
      <c r="CV2906" s="76"/>
      <c r="CW2906" s="76">
        <f>+CV2906*1100</f>
        <v>0</v>
      </c>
      <c r="CX2906" s="76"/>
      <c r="CY2906" s="76">
        <f>+CX2906*106250</f>
        <v>0</v>
      </c>
      <c r="CZ2906" s="76"/>
      <c r="DA2906" s="76">
        <f>+CZ2906*34500</f>
        <v>0</v>
      </c>
      <c r="DB2906" s="76"/>
      <c r="DC2906" s="76">
        <f>+DB2906*25000</f>
        <v>0</v>
      </c>
      <c r="DD2906" s="219"/>
      <c r="DE2906" s="219"/>
      <c r="DF2906" s="166"/>
      <c r="DG2906" s="116"/>
      <c r="DH2906" s="117"/>
      <c r="DI2906" s="24"/>
      <c r="DJ2906" s="24"/>
      <c r="DK2906" s="24"/>
      <c r="DL2906" s="24"/>
      <c r="DM2906" s="24"/>
      <c r="DN2906" s="24"/>
      <c r="DO2906" s="24"/>
      <c r="DP2906" s="24"/>
      <c r="DQ2906" s="24"/>
      <c r="DR2906" s="24"/>
      <c r="DS2906" s="24"/>
      <c r="DT2906" s="24"/>
      <c r="DU2906" s="24"/>
    </row>
    <row r="2907" spans="1:125" s="8" customFormat="1" ht="72" x14ac:dyDescent="0.2">
      <c r="A2907" s="77">
        <v>41518</v>
      </c>
      <c r="B2907" s="352" t="s">
        <v>2848</v>
      </c>
      <c r="C2907" s="354" t="s">
        <v>2104</v>
      </c>
      <c r="D2907" s="354" t="s">
        <v>2846</v>
      </c>
      <c r="E2907" s="75" t="str">
        <f>VLOOKUP(B2907&amp;C2907,Divipola!$C$2:$F$1138,4,FALSE)</f>
        <v>73563</v>
      </c>
      <c r="F2907" s="87"/>
      <c r="G2907" s="87"/>
      <c r="H2907" s="87"/>
      <c r="I2907" s="87"/>
      <c r="J2907" s="87"/>
      <c r="K2907" s="87"/>
      <c r="L2907" s="87"/>
      <c r="M2907" s="87"/>
      <c r="N2907" s="87"/>
      <c r="O2907" s="87"/>
      <c r="P2907" s="87"/>
      <c r="Q2907" s="87"/>
      <c r="R2907" s="87"/>
      <c r="S2907" s="87"/>
      <c r="T2907" s="87"/>
      <c r="U2907" s="88">
        <v>12</v>
      </c>
      <c r="V2907" s="89"/>
      <c r="W2907" s="96">
        <v>0</v>
      </c>
      <c r="X2907" s="71">
        <f>CU2907</f>
        <v>0</v>
      </c>
      <c r="Y2907" s="71">
        <f>CY2907</f>
        <v>0</v>
      </c>
      <c r="Z2907" s="71">
        <f>DA2907+DC2907+DE2907</f>
        <v>0</v>
      </c>
      <c r="AA2907" s="71">
        <f>CW2907</f>
        <v>0</v>
      </c>
      <c r="AB2907" s="71"/>
      <c r="AC2907" s="71">
        <v>0</v>
      </c>
      <c r="AD2907" s="71">
        <f>W2907+X2907+Y2907+Z2907+AA2907+AB2907+AC2907</f>
        <v>0</v>
      </c>
      <c r="AE2907" s="72">
        <v>0</v>
      </c>
      <c r="AF2907" s="5"/>
      <c r="AG2907" s="6"/>
      <c r="AH2907" s="27"/>
      <c r="AI2907" s="44"/>
      <c r="AJ2907" s="26"/>
      <c r="AK2907" s="5"/>
      <c r="AL2907" s="274" t="s">
        <v>5801</v>
      </c>
      <c r="AM2907" s="76"/>
      <c r="AN2907" s="76"/>
      <c r="AO2907" s="76"/>
      <c r="AP2907" s="76"/>
      <c r="AQ2907" s="76"/>
      <c r="AR2907" s="76"/>
      <c r="AS2907" s="76"/>
      <c r="AT2907" s="76"/>
      <c r="AU2907" s="76"/>
      <c r="AV2907" s="76"/>
      <c r="AW2907" s="76"/>
      <c r="AX2907" s="76">
        <f>+AW2907*600000</f>
        <v>0</v>
      </c>
      <c r="AY2907" s="76"/>
      <c r="AZ2907" s="76">
        <f>+AY2907*70000</f>
        <v>0</v>
      </c>
      <c r="BA2907" s="76"/>
      <c r="BB2907" s="76"/>
      <c r="BC2907" s="76"/>
      <c r="BD2907" s="76">
        <f>+BC2907*30000</f>
        <v>0</v>
      </c>
      <c r="BE2907" s="76"/>
      <c r="BF2907" s="76"/>
      <c r="BG2907" s="76"/>
      <c r="BH2907" s="76"/>
      <c r="BI2907" s="76"/>
      <c r="BJ2907" s="76"/>
      <c r="BK2907" s="76"/>
      <c r="BL2907" s="76">
        <f>+BK2907*31500</f>
        <v>0</v>
      </c>
      <c r="BM2907" s="76"/>
      <c r="BN2907" s="76"/>
      <c r="BO2907" s="76"/>
      <c r="BP2907" s="76"/>
      <c r="BQ2907" s="76"/>
      <c r="BR2907" s="76"/>
      <c r="BS2907" s="76"/>
      <c r="BT2907" s="76"/>
      <c r="BU2907" s="76"/>
      <c r="BV2907" s="76"/>
      <c r="BW2907" s="76"/>
      <c r="BX2907" s="76"/>
      <c r="BY2907" s="76"/>
      <c r="BZ2907" s="76"/>
      <c r="CA2907" s="76"/>
      <c r="CB2907" s="76"/>
      <c r="CC2907" s="76"/>
      <c r="CD2907" s="76"/>
      <c r="CE2907" s="76"/>
      <c r="CF2907" s="76">
        <f>+CE2907*28000</f>
        <v>0</v>
      </c>
      <c r="CG2907" s="76"/>
      <c r="CH2907" s="76">
        <f>+CG2907*22500</f>
        <v>0</v>
      </c>
      <c r="CI2907" s="76"/>
      <c r="CJ2907" s="76">
        <f>+CI2907*26000</f>
        <v>0</v>
      </c>
      <c r="CK2907" s="76"/>
      <c r="CL2907" s="76"/>
      <c r="CM2907" s="76"/>
      <c r="CN2907" s="76">
        <f>+CM2907*22000</f>
        <v>0</v>
      </c>
      <c r="CO2907" s="76"/>
      <c r="CP2907" s="76">
        <f>+CO2907*46000</f>
        <v>0</v>
      </c>
      <c r="CQ2907" s="76"/>
      <c r="CR2907" s="76">
        <f>+CQ2907*49000</f>
        <v>0</v>
      </c>
      <c r="CS2907" s="76"/>
      <c r="CT2907" s="76"/>
      <c r="CU2907" s="56">
        <f>AN2907+AP2907+AR2907+AT2907+AV2907+AX2907+AZ2907+BB2907+BD2907+BF2907+BH2907+BJ2907+BL2907+BN2907+BP2907+BR2907+BT2907+BV2907+BX2907+BZ2907+CB2907+CD2907+CF2907+CH2907+CJ2907+CL2907+CN2907+CP2907+CR2907+CT2907</f>
        <v>0</v>
      </c>
      <c r="CV2907" s="76"/>
      <c r="CW2907" s="76">
        <f>+CV2907*1100</f>
        <v>0</v>
      </c>
      <c r="CX2907" s="76"/>
      <c r="CY2907" s="76">
        <f>+CX2907*106250</f>
        <v>0</v>
      </c>
      <c r="CZ2907" s="76"/>
      <c r="DA2907" s="76">
        <f>+CZ2907*34500</f>
        <v>0</v>
      </c>
      <c r="DB2907" s="76"/>
      <c r="DC2907" s="76">
        <f>+DB2907*25000</f>
        <v>0</v>
      </c>
      <c r="DD2907" s="219"/>
      <c r="DE2907" s="219"/>
      <c r="DF2907" s="166"/>
      <c r="DG2907" s="116"/>
      <c r="DH2907" s="117"/>
      <c r="DI2907" s="24"/>
      <c r="DJ2907" s="24"/>
      <c r="DK2907" s="24"/>
      <c r="DL2907" s="24"/>
      <c r="DM2907" s="24"/>
      <c r="DN2907" s="24"/>
      <c r="DO2907" s="24"/>
      <c r="DP2907" s="24"/>
      <c r="DQ2907" s="24"/>
      <c r="DR2907" s="24"/>
      <c r="DS2907" s="24"/>
      <c r="DT2907" s="24"/>
      <c r="DU2907" s="24"/>
    </row>
    <row r="2908" spans="1:125" s="8" customFormat="1" ht="120" x14ac:dyDescent="0.2">
      <c r="A2908" s="77">
        <v>41519</v>
      </c>
      <c r="B2908" s="78" t="s">
        <v>2894</v>
      </c>
      <c r="C2908" s="75" t="s">
        <v>2773</v>
      </c>
      <c r="D2908" s="75" t="s">
        <v>3051</v>
      </c>
      <c r="E2908" s="75">
        <f>VLOOKUP(B2908&amp;C2908,Divipola!$C$2:$F$1138,4,FALSE)</f>
        <v>5</v>
      </c>
      <c r="F2908" s="61"/>
      <c r="G2908" s="61"/>
      <c r="H2908" s="61"/>
      <c r="I2908" s="61"/>
      <c r="J2908" s="61"/>
      <c r="K2908" s="61"/>
      <c r="L2908" s="61"/>
      <c r="M2908" s="61"/>
      <c r="N2908" s="61"/>
      <c r="O2908" s="61"/>
      <c r="P2908" s="61"/>
      <c r="Q2908" s="61"/>
      <c r="R2908" s="61"/>
      <c r="S2908" s="61"/>
      <c r="T2908" s="61"/>
      <c r="U2908" s="61"/>
      <c r="V2908" s="7"/>
      <c r="W2908" s="96">
        <v>0</v>
      </c>
      <c r="X2908" s="71">
        <f>CU2908</f>
        <v>0</v>
      </c>
      <c r="Y2908" s="71">
        <f>CY2908</f>
        <v>0</v>
      </c>
      <c r="Z2908" s="71">
        <f>DA2908+DC2908+DE2908</f>
        <v>0</v>
      </c>
      <c r="AA2908" s="71">
        <f>CW2908</f>
        <v>0</v>
      </c>
      <c r="AB2908" s="71"/>
      <c r="AC2908" s="71">
        <v>700000000</v>
      </c>
      <c r="AD2908" s="71">
        <f>W2908+X2908+Y2908+Z2908+AA2908+AB2908+AC2908</f>
        <v>700000000</v>
      </c>
      <c r="AE2908" s="72">
        <v>0</v>
      </c>
      <c r="AF2908" s="5"/>
      <c r="AG2908" s="6"/>
      <c r="AH2908" s="27"/>
      <c r="AI2908" s="44"/>
      <c r="AJ2908" s="26"/>
      <c r="AK2908" s="5"/>
      <c r="AL2908" s="9" t="s">
        <v>5772</v>
      </c>
      <c r="AM2908" s="76"/>
      <c r="AN2908" s="76"/>
      <c r="AO2908" s="76"/>
      <c r="AP2908" s="76"/>
      <c r="AQ2908" s="76"/>
      <c r="AR2908" s="76"/>
      <c r="AS2908" s="76"/>
      <c r="AT2908" s="76"/>
      <c r="AU2908" s="76"/>
      <c r="AV2908" s="76"/>
      <c r="AW2908" s="76"/>
      <c r="AX2908" s="76">
        <f>+AW2908*600000</f>
        <v>0</v>
      </c>
      <c r="AY2908" s="76"/>
      <c r="AZ2908" s="76">
        <f>+AY2908*70000</f>
        <v>0</v>
      </c>
      <c r="BA2908" s="76"/>
      <c r="BB2908" s="76"/>
      <c r="BC2908" s="76"/>
      <c r="BD2908" s="76">
        <f>+BC2908*30000</f>
        <v>0</v>
      </c>
      <c r="BE2908" s="76"/>
      <c r="BF2908" s="76"/>
      <c r="BG2908" s="76"/>
      <c r="BH2908" s="76"/>
      <c r="BI2908" s="76"/>
      <c r="BJ2908" s="76"/>
      <c r="BK2908" s="76"/>
      <c r="BL2908" s="76">
        <f>+BK2908*31500</f>
        <v>0</v>
      </c>
      <c r="BM2908" s="76"/>
      <c r="BN2908" s="76"/>
      <c r="BO2908" s="76"/>
      <c r="BP2908" s="76"/>
      <c r="BQ2908" s="76"/>
      <c r="BR2908" s="76"/>
      <c r="BS2908" s="76"/>
      <c r="BT2908" s="76"/>
      <c r="BU2908" s="76"/>
      <c r="BV2908" s="76"/>
      <c r="BW2908" s="76"/>
      <c r="BX2908" s="76"/>
      <c r="BY2908" s="76"/>
      <c r="BZ2908" s="76"/>
      <c r="CA2908" s="76"/>
      <c r="CB2908" s="76"/>
      <c r="CC2908" s="76"/>
      <c r="CD2908" s="76"/>
      <c r="CE2908" s="76"/>
      <c r="CF2908" s="76">
        <f>+CE2908*28000</f>
        <v>0</v>
      </c>
      <c r="CG2908" s="76"/>
      <c r="CH2908" s="76">
        <f>+CG2908*22500</f>
        <v>0</v>
      </c>
      <c r="CI2908" s="76"/>
      <c r="CJ2908" s="76">
        <f>+CI2908*26000</f>
        <v>0</v>
      </c>
      <c r="CK2908" s="76"/>
      <c r="CL2908" s="76"/>
      <c r="CM2908" s="76"/>
      <c r="CN2908" s="76">
        <f>+CM2908*22000</f>
        <v>0</v>
      </c>
      <c r="CO2908" s="76"/>
      <c r="CP2908" s="76">
        <f>+CO2908*46000</f>
        <v>0</v>
      </c>
      <c r="CQ2908" s="76"/>
      <c r="CR2908" s="76">
        <f>+CQ2908*49000</f>
        <v>0</v>
      </c>
      <c r="CS2908" s="76"/>
      <c r="CT2908" s="76"/>
      <c r="CU2908" s="56">
        <f>AN2908+AP2908+AR2908+AT2908+AV2908+AX2908+AZ2908+BB2908+BD2908+BF2908+BH2908+BJ2908+BL2908+BN2908+BP2908+BR2908+BT2908+BV2908+BX2908+BZ2908+CB2908+CD2908+CF2908+CH2908+CJ2908+CL2908+CN2908+CP2908+CR2908+CT2908</f>
        <v>0</v>
      </c>
      <c r="CV2908" s="76"/>
      <c r="CW2908" s="76">
        <f>+CV2908*1100</f>
        <v>0</v>
      </c>
      <c r="CX2908" s="76"/>
      <c r="CY2908" s="76">
        <f>+CX2908*106250</f>
        <v>0</v>
      </c>
      <c r="CZ2908" s="76"/>
      <c r="DA2908" s="76">
        <f>+CZ2908*34500</f>
        <v>0</v>
      </c>
      <c r="DB2908" s="76"/>
      <c r="DC2908" s="76">
        <f>+DB2908*25000</f>
        <v>0</v>
      </c>
      <c r="DD2908" s="219"/>
      <c r="DE2908" s="219"/>
      <c r="DF2908" s="166"/>
      <c r="DG2908" s="116"/>
      <c r="DH2908" s="117"/>
      <c r="DI2908" s="24"/>
      <c r="DJ2908" s="24"/>
      <c r="DK2908" s="24"/>
      <c r="DL2908" s="24"/>
      <c r="DM2908" s="24"/>
      <c r="DN2908" s="24"/>
      <c r="DO2908" s="24"/>
      <c r="DP2908" s="24"/>
      <c r="DQ2908" s="24"/>
      <c r="DR2908" s="24"/>
      <c r="DS2908" s="24"/>
      <c r="DT2908" s="24"/>
      <c r="DU2908" s="24"/>
    </row>
    <row r="2909" spans="1:125" s="8" customFormat="1" ht="48" x14ac:dyDescent="0.2">
      <c r="A2909" s="77">
        <v>41519</v>
      </c>
      <c r="B2909" s="352" t="s">
        <v>2777</v>
      </c>
      <c r="C2909" s="354" t="s">
        <v>2783</v>
      </c>
      <c r="D2909" s="354" t="s">
        <v>3425</v>
      </c>
      <c r="E2909" s="75" t="str">
        <f>VLOOKUP(B2909&amp;C2909,Divipola!$C$2:$F$1138,4,FALSE)</f>
        <v>13001</v>
      </c>
      <c r="F2909" s="87"/>
      <c r="G2909" s="87"/>
      <c r="H2909" s="87"/>
      <c r="I2909" s="87">
        <v>40</v>
      </c>
      <c r="J2909" s="87">
        <v>8</v>
      </c>
      <c r="K2909" s="87"/>
      <c r="L2909" s="87">
        <v>8</v>
      </c>
      <c r="M2909" s="87"/>
      <c r="N2909" s="87"/>
      <c r="O2909" s="87"/>
      <c r="P2909" s="87"/>
      <c r="Q2909" s="87"/>
      <c r="R2909" s="87"/>
      <c r="S2909" s="87"/>
      <c r="T2909" s="87"/>
      <c r="U2909" s="88"/>
      <c r="V2909" s="89"/>
      <c r="W2909" s="96">
        <v>0</v>
      </c>
      <c r="X2909" s="71">
        <f>CU2909</f>
        <v>0</v>
      </c>
      <c r="Y2909" s="71">
        <f>CY2909</f>
        <v>0</v>
      </c>
      <c r="Z2909" s="71">
        <f>DA2909+DC2909+DE2909</f>
        <v>0</v>
      </c>
      <c r="AA2909" s="71">
        <f>CW2909</f>
        <v>0</v>
      </c>
      <c r="AB2909" s="71"/>
      <c r="AC2909" s="71">
        <v>0</v>
      </c>
      <c r="AD2909" s="71">
        <f>W2909+X2909+Y2909+Z2909+AA2909+AB2909+AC2909</f>
        <v>0</v>
      </c>
      <c r="AE2909" s="72">
        <v>0</v>
      </c>
      <c r="AF2909" s="5"/>
      <c r="AG2909" s="6"/>
      <c r="AH2909" s="27"/>
      <c r="AI2909" s="44"/>
      <c r="AJ2909" s="26"/>
      <c r="AK2909" s="5"/>
      <c r="AL2909" s="82" t="s">
        <v>5777</v>
      </c>
      <c r="AM2909" s="76"/>
      <c r="AN2909" s="76"/>
      <c r="AO2909" s="76"/>
      <c r="AP2909" s="76"/>
      <c r="AQ2909" s="76"/>
      <c r="AR2909" s="76"/>
      <c r="AS2909" s="76"/>
      <c r="AT2909" s="76"/>
      <c r="AU2909" s="76"/>
      <c r="AV2909" s="76"/>
      <c r="AW2909" s="76"/>
      <c r="AX2909" s="76">
        <f>+AW2909*600000</f>
        <v>0</v>
      </c>
      <c r="AY2909" s="76"/>
      <c r="AZ2909" s="76">
        <f>+AY2909*70000</f>
        <v>0</v>
      </c>
      <c r="BA2909" s="76"/>
      <c r="BB2909" s="76"/>
      <c r="BC2909" s="76"/>
      <c r="BD2909" s="76">
        <f>+BC2909*30000</f>
        <v>0</v>
      </c>
      <c r="BE2909" s="76"/>
      <c r="BF2909" s="76"/>
      <c r="BG2909" s="76"/>
      <c r="BH2909" s="76"/>
      <c r="BI2909" s="76"/>
      <c r="BJ2909" s="76"/>
      <c r="BK2909" s="76"/>
      <c r="BL2909" s="76">
        <f>+BK2909*31500</f>
        <v>0</v>
      </c>
      <c r="BM2909" s="76"/>
      <c r="BN2909" s="76"/>
      <c r="BO2909" s="76"/>
      <c r="BP2909" s="76"/>
      <c r="BQ2909" s="76"/>
      <c r="BR2909" s="76"/>
      <c r="BS2909" s="76"/>
      <c r="BT2909" s="76"/>
      <c r="BU2909" s="76"/>
      <c r="BV2909" s="76"/>
      <c r="BW2909" s="76"/>
      <c r="BX2909" s="76"/>
      <c r="BY2909" s="76"/>
      <c r="BZ2909" s="76"/>
      <c r="CA2909" s="76"/>
      <c r="CB2909" s="76"/>
      <c r="CC2909" s="76"/>
      <c r="CD2909" s="76"/>
      <c r="CE2909" s="76"/>
      <c r="CF2909" s="76">
        <f>+CE2909*28000</f>
        <v>0</v>
      </c>
      <c r="CG2909" s="76"/>
      <c r="CH2909" s="76">
        <f>+CG2909*22500</f>
        <v>0</v>
      </c>
      <c r="CI2909" s="76"/>
      <c r="CJ2909" s="76">
        <f>+CI2909*26000</f>
        <v>0</v>
      </c>
      <c r="CK2909" s="76"/>
      <c r="CL2909" s="76"/>
      <c r="CM2909" s="76"/>
      <c r="CN2909" s="76">
        <f>+CM2909*22000</f>
        <v>0</v>
      </c>
      <c r="CO2909" s="76"/>
      <c r="CP2909" s="76">
        <f>+CO2909*46000</f>
        <v>0</v>
      </c>
      <c r="CQ2909" s="76"/>
      <c r="CR2909" s="76">
        <f>+CQ2909*49000</f>
        <v>0</v>
      </c>
      <c r="CS2909" s="76"/>
      <c r="CT2909" s="76"/>
      <c r="CU2909" s="56">
        <f>AN2909+AP2909+AR2909+AT2909+AV2909+AX2909+AZ2909+BB2909+BD2909+BF2909+BH2909+BJ2909+BL2909+BN2909+BP2909+BR2909+BT2909+BV2909+BX2909+BZ2909+CB2909+CD2909+CF2909+CH2909+CJ2909+CL2909+CN2909+CP2909+CR2909+CT2909</f>
        <v>0</v>
      </c>
      <c r="CV2909" s="76"/>
      <c r="CW2909" s="76">
        <f>+CV2909*1100</f>
        <v>0</v>
      </c>
      <c r="CX2909" s="76"/>
      <c r="CY2909" s="76">
        <f>+CX2909*106250</f>
        <v>0</v>
      </c>
      <c r="CZ2909" s="76"/>
      <c r="DA2909" s="76">
        <f>+CZ2909*34500</f>
        <v>0</v>
      </c>
      <c r="DB2909" s="76"/>
      <c r="DC2909" s="76">
        <f>+DB2909*25000</f>
        <v>0</v>
      </c>
      <c r="DD2909" s="219"/>
      <c r="DE2909" s="219"/>
      <c r="DF2909" s="166"/>
      <c r="DG2909" s="116"/>
      <c r="DH2909" s="117"/>
      <c r="DI2909" s="24"/>
      <c r="DJ2909" s="24"/>
      <c r="DK2909" s="24"/>
      <c r="DL2909" s="24"/>
      <c r="DM2909" s="24"/>
      <c r="DN2909" s="24"/>
      <c r="DO2909" s="24"/>
      <c r="DP2909" s="24"/>
      <c r="DQ2909" s="24"/>
      <c r="DR2909" s="24"/>
      <c r="DS2909" s="24"/>
      <c r="DT2909" s="24"/>
      <c r="DU2909" s="24"/>
    </row>
    <row r="2910" spans="1:125" s="8" customFormat="1" ht="72" x14ac:dyDescent="0.2">
      <c r="A2910" s="293">
        <v>41519</v>
      </c>
      <c r="B2910" s="297" t="s">
        <v>2700</v>
      </c>
      <c r="C2910" s="292" t="s">
        <v>526</v>
      </c>
      <c r="D2910" s="292" t="s">
        <v>3425</v>
      </c>
      <c r="E2910" s="296" t="str">
        <f>VLOOKUP(B2910&amp;C2910,Divipola!$C$2:$F$1138,4,FALSE)</f>
        <v>15531</v>
      </c>
      <c r="F2910" s="87">
        <v>1</v>
      </c>
      <c r="G2910" s="87"/>
      <c r="H2910" s="87"/>
      <c r="I2910" s="87">
        <v>5</v>
      </c>
      <c r="J2910" s="87">
        <v>1</v>
      </c>
      <c r="K2910" s="87">
        <v>1</v>
      </c>
      <c r="L2910" s="87"/>
      <c r="M2910" s="87"/>
      <c r="N2910" s="87"/>
      <c r="O2910" s="87"/>
      <c r="P2910" s="87"/>
      <c r="Q2910" s="87"/>
      <c r="R2910" s="87"/>
      <c r="S2910" s="87"/>
      <c r="T2910" s="87"/>
      <c r="U2910" s="88"/>
      <c r="V2910" s="89"/>
      <c r="W2910" s="96">
        <v>0</v>
      </c>
      <c r="X2910" s="71">
        <f>CU2910</f>
        <v>0</v>
      </c>
      <c r="Y2910" s="71">
        <f>CY2910</f>
        <v>0</v>
      </c>
      <c r="Z2910" s="71">
        <f>DA2910+DC2910+DE2910</f>
        <v>0</v>
      </c>
      <c r="AA2910" s="71">
        <f>CW2910</f>
        <v>0</v>
      </c>
      <c r="AB2910" s="71"/>
      <c r="AC2910" s="71">
        <v>0</v>
      </c>
      <c r="AD2910" s="71">
        <f>W2910+X2910+Y2910+Z2910+AA2910+AB2910+AC2910</f>
        <v>0</v>
      </c>
      <c r="AE2910" s="72">
        <v>0</v>
      </c>
      <c r="AF2910" s="5"/>
      <c r="AG2910" s="6"/>
      <c r="AH2910" s="27"/>
      <c r="AI2910" s="44"/>
      <c r="AJ2910" s="26"/>
      <c r="AK2910" s="5"/>
      <c r="AL2910" s="274" t="s">
        <v>5829</v>
      </c>
      <c r="AM2910" s="76"/>
      <c r="AN2910" s="76"/>
      <c r="AO2910" s="76"/>
      <c r="AP2910" s="76"/>
      <c r="AQ2910" s="76"/>
      <c r="AR2910" s="76"/>
      <c r="AS2910" s="76"/>
      <c r="AT2910" s="76"/>
      <c r="AU2910" s="76"/>
      <c r="AV2910" s="76"/>
      <c r="AW2910" s="76"/>
      <c r="AX2910" s="76">
        <f>+AW2910*600000</f>
        <v>0</v>
      </c>
      <c r="AY2910" s="76"/>
      <c r="AZ2910" s="76">
        <f>+AY2910*70000</f>
        <v>0</v>
      </c>
      <c r="BA2910" s="76"/>
      <c r="BB2910" s="76"/>
      <c r="BC2910" s="76"/>
      <c r="BD2910" s="76">
        <f>+BC2910*30000</f>
        <v>0</v>
      </c>
      <c r="BE2910" s="76"/>
      <c r="BF2910" s="76"/>
      <c r="BG2910" s="76"/>
      <c r="BH2910" s="76"/>
      <c r="BI2910" s="76"/>
      <c r="BJ2910" s="76"/>
      <c r="BK2910" s="76"/>
      <c r="BL2910" s="76">
        <f>+BK2910*31500</f>
        <v>0</v>
      </c>
      <c r="BM2910" s="76"/>
      <c r="BN2910" s="76"/>
      <c r="BO2910" s="76"/>
      <c r="BP2910" s="76"/>
      <c r="BQ2910" s="76"/>
      <c r="BR2910" s="76"/>
      <c r="BS2910" s="76"/>
      <c r="BT2910" s="76"/>
      <c r="BU2910" s="76"/>
      <c r="BV2910" s="76"/>
      <c r="BW2910" s="76"/>
      <c r="BX2910" s="76"/>
      <c r="BY2910" s="76"/>
      <c r="BZ2910" s="76"/>
      <c r="CA2910" s="76"/>
      <c r="CB2910" s="76"/>
      <c r="CC2910" s="76"/>
      <c r="CD2910" s="76"/>
      <c r="CE2910" s="76"/>
      <c r="CF2910" s="76">
        <f>+CE2910*28000</f>
        <v>0</v>
      </c>
      <c r="CG2910" s="76"/>
      <c r="CH2910" s="76">
        <f>+CG2910*22500</f>
        <v>0</v>
      </c>
      <c r="CI2910" s="76"/>
      <c r="CJ2910" s="76">
        <f>+CI2910*26000</f>
        <v>0</v>
      </c>
      <c r="CK2910" s="76"/>
      <c r="CL2910" s="76"/>
      <c r="CM2910" s="76"/>
      <c r="CN2910" s="76">
        <f>+CM2910*22000</f>
        <v>0</v>
      </c>
      <c r="CO2910" s="76"/>
      <c r="CP2910" s="76">
        <f>+CO2910*46000</f>
        <v>0</v>
      </c>
      <c r="CQ2910" s="76"/>
      <c r="CR2910" s="76">
        <f>+CQ2910*49000</f>
        <v>0</v>
      </c>
      <c r="CS2910" s="76"/>
      <c r="CT2910" s="76"/>
      <c r="CU2910" s="56">
        <f>AN2910+AP2910+AR2910+AT2910+AV2910+AX2910+AZ2910+BB2910+BD2910+BF2910+BH2910+BJ2910+BL2910+BN2910+BP2910+BR2910+BT2910+BV2910+BX2910+BZ2910+CB2910+CD2910+CF2910+CH2910+CJ2910+CL2910+CN2910+CP2910+CR2910+CT2910</f>
        <v>0</v>
      </c>
      <c r="CV2910" s="76"/>
      <c r="CW2910" s="76">
        <f>+CV2910*1100</f>
        <v>0</v>
      </c>
      <c r="CX2910" s="76"/>
      <c r="CY2910" s="76">
        <f>+CX2910*106250</f>
        <v>0</v>
      </c>
      <c r="CZ2910" s="76"/>
      <c r="DA2910" s="76">
        <f>+CZ2910*34500</f>
        <v>0</v>
      </c>
      <c r="DB2910" s="76"/>
      <c r="DC2910" s="76">
        <f>+DB2910*25000</f>
        <v>0</v>
      </c>
      <c r="DD2910" s="219"/>
      <c r="DE2910" s="219"/>
      <c r="DF2910" s="166"/>
      <c r="DG2910" s="116"/>
      <c r="DH2910" s="117"/>
      <c r="DI2910" s="24"/>
      <c r="DJ2910" s="24"/>
      <c r="DK2910" s="24"/>
      <c r="DL2910" s="24"/>
      <c r="DM2910" s="24"/>
      <c r="DN2910" s="24"/>
      <c r="DO2910" s="24"/>
      <c r="DP2910" s="24"/>
      <c r="DQ2910" s="24"/>
      <c r="DR2910" s="24"/>
      <c r="DS2910" s="24"/>
      <c r="DT2910" s="24"/>
      <c r="DU2910" s="24"/>
    </row>
    <row r="2911" spans="1:125" s="8" customFormat="1" ht="84" x14ac:dyDescent="0.2">
      <c r="A2911" s="77">
        <v>41519</v>
      </c>
      <c r="B2911" s="208" t="s">
        <v>2854</v>
      </c>
      <c r="C2911" s="354" t="s">
        <v>2698</v>
      </c>
      <c r="D2911" s="354" t="s">
        <v>2882</v>
      </c>
      <c r="E2911" s="296" t="str">
        <f>VLOOKUP(B2911&amp;C2911,Divipola!$C$2:$F$1138,4,FALSE)</f>
        <v>19780</v>
      </c>
      <c r="F2911" s="87"/>
      <c r="G2911" s="87"/>
      <c r="H2911" s="87"/>
      <c r="I2911" s="87">
        <v>220</v>
      </c>
      <c r="J2911" s="87">
        <v>44</v>
      </c>
      <c r="K2911" s="87">
        <v>1</v>
      </c>
      <c r="L2911" s="87">
        <v>43</v>
      </c>
      <c r="M2911" s="87"/>
      <c r="N2911" s="87"/>
      <c r="O2911" s="87"/>
      <c r="P2911" s="87"/>
      <c r="Q2911" s="87"/>
      <c r="R2911" s="87"/>
      <c r="S2911" s="87">
        <v>5</v>
      </c>
      <c r="T2911" s="87"/>
      <c r="U2911" s="88"/>
      <c r="V2911" s="89"/>
      <c r="W2911" s="96">
        <v>0</v>
      </c>
      <c r="X2911" s="71">
        <f>CU2911</f>
        <v>0</v>
      </c>
      <c r="Y2911" s="71">
        <f>CY2911</f>
        <v>0</v>
      </c>
      <c r="Z2911" s="71">
        <f>DA2911+DC2911+DE2911</f>
        <v>22460000</v>
      </c>
      <c r="AA2911" s="71">
        <f>CW2911</f>
        <v>0</v>
      </c>
      <c r="AB2911" s="71"/>
      <c r="AC2911" s="71">
        <v>0</v>
      </c>
      <c r="AD2911" s="71">
        <f>W2911+X2911+Y2911+Z2911+AA2911+AB2911+AC2911</f>
        <v>22460000</v>
      </c>
      <c r="AE2911" s="72">
        <v>0</v>
      </c>
      <c r="AF2911" s="5"/>
      <c r="AG2911" s="6"/>
      <c r="AH2911" s="27"/>
      <c r="AI2911" s="44"/>
      <c r="AJ2911" s="26"/>
      <c r="AK2911" s="5"/>
      <c r="AL2911" s="9" t="s">
        <v>6453</v>
      </c>
      <c r="AM2911" s="76"/>
      <c r="AN2911" s="76"/>
      <c r="AO2911" s="76"/>
      <c r="AP2911" s="76"/>
      <c r="AQ2911" s="76"/>
      <c r="AR2911" s="76"/>
      <c r="AS2911" s="76"/>
      <c r="AT2911" s="76"/>
      <c r="AU2911" s="76"/>
      <c r="AV2911" s="76"/>
      <c r="AW2911" s="76"/>
      <c r="AX2911" s="76">
        <f>+AW2911*600000</f>
        <v>0</v>
      </c>
      <c r="AY2911" s="76"/>
      <c r="AZ2911" s="76">
        <f>+AY2911*70000</f>
        <v>0</v>
      </c>
      <c r="BA2911" s="76"/>
      <c r="BB2911" s="76"/>
      <c r="BC2911" s="76"/>
      <c r="BD2911" s="76">
        <f>+BC2911*30000</f>
        <v>0</v>
      </c>
      <c r="BE2911" s="76"/>
      <c r="BF2911" s="76"/>
      <c r="BG2911" s="76"/>
      <c r="BH2911" s="76"/>
      <c r="BI2911" s="76"/>
      <c r="BJ2911" s="76"/>
      <c r="BK2911" s="76"/>
      <c r="BL2911" s="76">
        <f>+BK2911*31500</f>
        <v>0</v>
      </c>
      <c r="BM2911" s="76"/>
      <c r="BN2911" s="76"/>
      <c r="BO2911" s="76"/>
      <c r="BP2911" s="76"/>
      <c r="BQ2911" s="76"/>
      <c r="BR2911" s="76"/>
      <c r="BS2911" s="76"/>
      <c r="BT2911" s="76"/>
      <c r="BU2911" s="76"/>
      <c r="BV2911" s="76"/>
      <c r="BW2911" s="76"/>
      <c r="BX2911" s="76"/>
      <c r="BY2911" s="76"/>
      <c r="BZ2911" s="76"/>
      <c r="CA2911" s="76"/>
      <c r="CB2911" s="76"/>
      <c r="CC2911" s="76"/>
      <c r="CD2911" s="76"/>
      <c r="CE2911" s="76"/>
      <c r="CF2911" s="76">
        <f>+CE2911*28000</f>
        <v>0</v>
      </c>
      <c r="CG2911" s="76"/>
      <c r="CH2911" s="76">
        <f>+CG2911*22500</f>
        <v>0</v>
      </c>
      <c r="CI2911" s="76"/>
      <c r="CJ2911" s="76">
        <f>+CI2911*26000</f>
        <v>0</v>
      </c>
      <c r="CK2911" s="76"/>
      <c r="CL2911" s="76"/>
      <c r="CM2911" s="76"/>
      <c r="CN2911" s="76">
        <f>+CM2911*22000</f>
        <v>0</v>
      </c>
      <c r="CO2911" s="76"/>
      <c r="CP2911" s="76">
        <f>+CO2911*46000</f>
        <v>0</v>
      </c>
      <c r="CQ2911" s="76"/>
      <c r="CR2911" s="76">
        <f>+CQ2911*49000</f>
        <v>0</v>
      </c>
      <c r="CS2911" s="76"/>
      <c r="CT2911" s="76"/>
      <c r="CU2911" s="362">
        <f>AN2911+AP2911+AR2911+AT2911+AV2911+AX2911+AZ2911+BB2911+BD2911+BF2911+BH2911+BJ2911+BL2911+BN2911+BP2911+BR2911+BT2911+BV2911+BX2911+BZ2911+CB2911+CD2911+CF2911+CH2911+CJ2911+CL2911+CN2911+CP2911+CR2911+CT2911</f>
        <v>0</v>
      </c>
      <c r="CV2911" s="76"/>
      <c r="CW2911" s="76">
        <f>+CV2911*1100</f>
        <v>0</v>
      </c>
      <c r="CX2911" s="76"/>
      <c r="CY2911" s="76">
        <f>+CX2911*106250</f>
        <v>0</v>
      </c>
      <c r="CZ2911" s="76"/>
      <c r="DA2911" s="76">
        <f>+CZ2911*34500</f>
        <v>0</v>
      </c>
      <c r="DB2911" s="76">
        <f>400+200+30</f>
        <v>630</v>
      </c>
      <c r="DC2911" s="76">
        <f>400*32000+200*42000+30*42000</f>
        <v>22460000</v>
      </c>
      <c r="DD2911" s="219"/>
      <c r="DE2911" s="219"/>
      <c r="DF2911" s="166"/>
      <c r="DG2911" s="134"/>
      <c r="DH2911" s="155"/>
      <c r="DI2911" s="24"/>
      <c r="DJ2911" s="24"/>
      <c r="DK2911" s="24"/>
      <c r="DL2911" s="24"/>
      <c r="DM2911" s="24"/>
      <c r="DN2911" s="24"/>
      <c r="DO2911" s="24"/>
      <c r="DP2911" s="24"/>
      <c r="DQ2911" s="24"/>
      <c r="DR2911" s="24"/>
      <c r="DS2911" s="24"/>
      <c r="DT2911" s="24"/>
      <c r="DU2911" s="24"/>
    </row>
    <row r="2912" spans="1:125" s="8" customFormat="1" ht="72" x14ac:dyDescent="0.2">
      <c r="A2912" s="77">
        <v>41519</v>
      </c>
      <c r="B2912" s="78" t="s">
        <v>2852</v>
      </c>
      <c r="C2912" s="75" t="s">
        <v>1278</v>
      </c>
      <c r="D2912" s="75" t="s">
        <v>3051</v>
      </c>
      <c r="E2912" s="75" t="str">
        <f>VLOOKUP(B2912&amp;C2912,Divipola!$C$2:$F$1138,4,FALSE)</f>
        <v>27135</v>
      </c>
      <c r="F2912" s="87"/>
      <c r="G2912" s="87"/>
      <c r="H2912" s="87"/>
      <c r="I2912" s="87">
        <v>4075</v>
      </c>
      <c r="J2912" s="87">
        <v>815</v>
      </c>
      <c r="K2912" s="87"/>
      <c r="L2912" s="87">
        <v>815</v>
      </c>
      <c r="M2912" s="87"/>
      <c r="N2912" s="87"/>
      <c r="O2912" s="87"/>
      <c r="P2912" s="87"/>
      <c r="Q2912" s="87"/>
      <c r="R2912" s="87"/>
      <c r="S2912" s="87"/>
      <c r="T2912" s="87"/>
      <c r="U2912" s="88"/>
      <c r="V2912" s="89"/>
      <c r="W2912" s="96">
        <v>0</v>
      </c>
      <c r="X2912" s="71">
        <f>CU2912</f>
        <v>0</v>
      </c>
      <c r="Y2912" s="71">
        <f>CY2912</f>
        <v>0</v>
      </c>
      <c r="Z2912" s="71">
        <f>DA2912+DC2912+DE2912</f>
        <v>0</v>
      </c>
      <c r="AA2912" s="71">
        <f>CW2912</f>
        <v>0</v>
      </c>
      <c r="AB2912" s="71"/>
      <c r="AC2912" s="71">
        <v>0</v>
      </c>
      <c r="AD2912" s="71">
        <f>W2912+X2912+Y2912+Z2912+AA2912+AB2912+AC2912</f>
        <v>0</v>
      </c>
      <c r="AE2912" s="72">
        <v>0</v>
      </c>
      <c r="AF2912" s="5"/>
      <c r="AG2912" s="6"/>
      <c r="AH2912" s="27"/>
      <c r="AI2912" s="44"/>
      <c r="AJ2912" s="26"/>
      <c r="AK2912" s="5"/>
      <c r="AL2912" s="82" t="s">
        <v>5775</v>
      </c>
      <c r="AM2912" s="76"/>
      <c r="AN2912" s="76"/>
      <c r="AO2912" s="76"/>
      <c r="AP2912" s="76"/>
      <c r="AQ2912" s="76"/>
      <c r="AR2912" s="76"/>
      <c r="AS2912" s="76"/>
      <c r="AT2912" s="76"/>
      <c r="AU2912" s="76"/>
      <c r="AV2912" s="76"/>
      <c r="AW2912" s="76"/>
      <c r="AX2912" s="76">
        <f>+AW2912*600000</f>
        <v>0</v>
      </c>
      <c r="AY2912" s="76"/>
      <c r="AZ2912" s="76">
        <f>+AY2912*70000</f>
        <v>0</v>
      </c>
      <c r="BA2912" s="76"/>
      <c r="BB2912" s="76"/>
      <c r="BC2912" s="76"/>
      <c r="BD2912" s="76">
        <f>+BC2912*30000</f>
        <v>0</v>
      </c>
      <c r="BE2912" s="76"/>
      <c r="BF2912" s="76"/>
      <c r="BG2912" s="76"/>
      <c r="BH2912" s="76"/>
      <c r="BI2912" s="76"/>
      <c r="BJ2912" s="76"/>
      <c r="BK2912" s="76"/>
      <c r="BL2912" s="76">
        <f>+BK2912*31500</f>
        <v>0</v>
      </c>
      <c r="BM2912" s="76"/>
      <c r="BN2912" s="76"/>
      <c r="BO2912" s="76"/>
      <c r="BP2912" s="76"/>
      <c r="BQ2912" s="76"/>
      <c r="BR2912" s="76"/>
      <c r="BS2912" s="76"/>
      <c r="BT2912" s="76"/>
      <c r="BU2912" s="76"/>
      <c r="BV2912" s="76"/>
      <c r="BW2912" s="76"/>
      <c r="BX2912" s="76"/>
      <c r="BY2912" s="76"/>
      <c r="BZ2912" s="76"/>
      <c r="CA2912" s="76"/>
      <c r="CB2912" s="76"/>
      <c r="CC2912" s="76"/>
      <c r="CD2912" s="76"/>
      <c r="CE2912" s="76"/>
      <c r="CF2912" s="76">
        <f>+CE2912*28000</f>
        <v>0</v>
      </c>
      <c r="CG2912" s="76"/>
      <c r="CH2912" s="76">
        <f>+CG2912*22500</f>
        <v>0</v>
      </c>
      <c r="CI2912" s="76"/>
      <c r="CJ2912" s="76">
        <f>+CI2912*26000</f>
        <v>0</v>
      </c>
      <c r="CK2912" s="76"/>
      <c r="CL2912" s="76"/>
      <c r="CM2912" s="76"/>
      <c r="CN2912" s="76">
        <f>+CM2912*22000</f>
        <v>0</v>
      </c>
      <c r="CO2912" s="76"/>
      <c r="CP2912" s="76">
        <f>+CO2912*46000</f>
        <v>0</v>
      </c>
      <c r="CQ2912" s="76"/>
      <c r="CR2912" s="76">
        <f>+CQ2912*49000</f>
        <v>0</v>
      </c>
      <c r="CS2912" s="76"/>
      <c r="CT2912" s="76"/>
      <c r="CU2912" s="56">
        <f>AN2912+AP2912+AR2912+AT2912+AV2912+AX2912+AZ2912+BB2912+BD2912+BF2912+BH2912+BJ2912+BL2912+BN2912+BP2912+BR2912+BT2912+BV2912+BX2912+BZ2912+CB2912+CD2912+CF2912+CH2912+CJ2912+CL2912+CN2912+CP2912+CR2912+CT2912</f>
        <v>0</v>
      </c>
      <c r="CV2912" s="76"/>
      <c r="CW2912" s="76">
        <f>+CV2912*1100</f>
        <v>0</v>
      </c>
      <c r="CX2912" s="76"/>
      <c r="CY2912" s="76">
        <f>+CX2912*106250</f>
        <v>0</v>
      </c>
      <c r="CZ2912" s="76"/>
      <c r="DA2912" s="76">
        <f>+CZ2912*34500</f>
        <v>0</v>
      </c>
      <c r="DB2912" s="76"/>
      <c r="DC2912" s="76">
        <f>+DB2912*25000</f>
        <v>0</v>
      </c>
      <c r="DD2912" s="219"/>
      <c r="DE2912" s="219"/>
      <c r="DF2912" s="166"/>
      <c r="DG2912" s="116"/>
      <c r="DH2912" s="117"/>
      <c r="DI2912" s="24"/>
      <c r="DJ2912" s="24"/>
      <c r="DK2912" s="24"/>
      <c r="DL2912" s="24"/>
      <c r="DM2912" s="24"/>
      <c r="DN2912" s="24"/>
      <c r="DO2912" s="24"/>
      <c r="DP2912" s="24"/>
      <c r="DQ2912" s="24"/>
      <c r="DR2912" s="24"/>
      <c r="DS2912" s="24"/>
      <c r="DT2912" s="24"/>
      <c r="DU2912" s="24"/>
    </row>
    <row r="2913" spans="1:125" s="8" customFormat="1" ht="60" x14ac:dyDescent="0.2">
      <c r="A2913" s="77">
        <v>41519</v>
      </c>
      <c r="B2913" s="352" t="s">
        <v>2718</v>
      </c>
      <c r="C2913" s="354" t="s">
        <v>1325</v>
      </c>
      <c r="D2913" s="354" t="s">
        <v>2882</v>
      </c>
      <c r="E2913" s="75" t="str">
        <f>VLOOKUP(B2913&amp;C2913,Divipola!$C$2:$F$1138,4,FALSE)</f>
        <v>23079</v>
      </c>
      <c r="F2913" s="87"/>
      <c r="G2913" s="87"/>
      <c r="H2913" s="87"/>
      <c r="I2913" s="87">
        <v>225</v>
      </c>
      <c r="J2913" s="87">
        <v>45</v>
      </c>
      <c r="K2913" s="87"/>
      <c r="L2913" s="87">
        <v>45</v>
      </c>
      <c r="M2913" s="87"/>
      <c r="N2913" s="87"/>
      <c r="O2913" s="87"/>
      <c r="P2913" s="87"/>
      <c r="Q2913" s="87"/>
      <c r="R2913" s="87"/>
      <c r="S2913" s="87"/>
      <c r="T2913" s="87"/>
      <c r="U2913" s="88"/>
      <c r="V2913" s="89"/>
      <c r="W2913" s="96">
        <v>0</v>
      </c>
      <c r="X2913" s="71">
        <f>CU2913</f>
        <v>0</v>
      </c>
      <c r="Y2913" s="71">
        <f>CY2913</f>
        <v>0</v>
      </c>
      <c r="Z2913" s="71">
        <f>DA2913+DC2913+DE2913</f>
        <v>0</v>
      </c>
      <c r="AA2913" s="71">
        <f>CW2913</f>
        <v>0</v>
      </c>
      <c r="AB2913" s="71"/>
      <c r="AC2913" s="71">
        <v>0</v>
      </c>
      <c r="AD2913" s="71">
        <f>W2913+X2913+Y2913+Z2913+AA2913+AB2913+AC2913</f>
        <v>0</v>
      </c>
      <c r="AE2913" s="72">
        <v>0</v>
      </c>
      <c r="AF2913" s="5"/>
      <c r="AG2913" s="6"/>
      <c r="AH2913" s="27"/>
      <c r="AI2913" s="44"/>
      <c r="AJ2913" s="26"/>
      <c r="AK2913" s="5"/>
      <c r="AL2913" s="82" t="s">
        <v>5776</v>
      </c>
      <c r="AM2913" s="76"/>
      <c r="AN2913" s="76"/>
      <c r="AO2913" s="76"/>
      <c r="AP2913" s="76"/>
      <c r="AQ2913" s="76"/>
      <c r="AR2913" s="76"/>
      <c r="AS2913" s="76"/>
      <c r="AT2913" s="76"/>
      <c r="AU2913" s="76"/>
      <c r="AV2913" s="76"/>
      <c r="AW2913" s="76"/>
      <c r="AX2913" s="76">
        <f>+AW2913*600000</f>
        <v>0</v>
      </c>
      <c r="AY2913" s="76"/>
      <c r="AZ2913" s="76">
        <f>+AY2913*70000</f>
        <v>0</v>
      </c>
      <c r="BA2913" s="76"/>
      <c r="BB2913" s="76"/>
      <c r="BC2913" s="76"/>
      <c r="BD2913" s="76">
        <f>+BC2913*30000</f>
        <v>0</v>
      </c>
      <c r="BE2913" s="76"/>
      <c r="BF2913" s="76"/>
      <c r="BG2913" s="76"/>
      <c r="BH2913" s="76"/>
      <c r="BI2913" s="76"/>
      <c r="BJ2913" s="76"/>
      <c r="BK2913" s="76"/>
      <c r="BL2913" s="76">
        <f>+BK2913*31500</f>
        <v>0</v>
      </c>
      <c r="BM2913" s="76"/>
      <c r="BN2913" s="76"/>
      <c r="BO2913" s="76"/>
      <c r="BP2913" s="76"/>
      <c r="BQ2913" s="76"/>
      <c r="BR2913" s="76"/>
      <c r="BS2913" s="76"/>
      <c r="BT2913" s="76"/>
      <c r="BU2913" s="76"/>
      <c r="BV2913" s="76"/>
      <c r="BW2913" s="76"/>
      <c r="BX2913" s="76"/>
      <c r="BY2913" s="76"/>
      <c r="BZ2913" s="76"/>
      <c r="CA2913" s="76"/>
      <c r="CB2913" s="76"/>
      <c r="CC2913" s="76"/>
      <c r="CD2913" s="76"/>
      <c r="CE2913" s="76"/>
      <c r="CF2913" s="76">
        <f>+CE2913*28000</f>
        <v>0</v>
      </c>
      <c r="CG2913" s="76"/>
      <c r="CH2913" s="76">
        <f>+CG2913*22500</f>
        <v>0</v>
      </c>
      <c r="CI2913" s="76"/>
      <c r="CJ2913" s="76">
        <f>+CI2913*26000</f>
        <v>0</v>
      </c>
      <c r="CK2913" s="76"/>
      <c r="CL2913" s="76"/>
      <c r="CM2913" s="76"/>
      <c r="CN2913" s="76">
        <f>+CM2913*22000</f>
        <v>0</v>
      </c>
      <c r="CO2913" s="76"/>
      <c r="CP2913" s="76">
        <f>+CO2913*46000</f>
        <v>0</v>
      </c>
      <c r="CQ2913" s="76"/>
      <c r="CR2913" s="76">
        <f>+CQ2913*49000</f>
        <v>0</v>
      </c>
      <c r="CS2913" s="76"/>
      <c r="CT2913" s="76"/>
      <c r="CU2913" s="56">
        <f>AN2913+AP2913+AR2913+AT2913+AV2913+AX2913+AZ2913+BB2913+BD2913+BF2913+BH2913+BJ2913+BL2913+BN2913+BP2913+BR2913+BT2913+BV2913+BX2913+BZ2913+CB2913+CD2913+CF2913+CH2913+CJ2913+CL2913+CN2913+CP2913+CR2913+CT2913</f>
        <v>0</v>
      </c>
      <c r="CV2913" s="76"/>
      <c r="CW2913" s="76">
        <f>+CV2913*1100</f>
        <v>0</v>
      </c>
      <c r="CX2913" s="76"/>
      <c r="CY2913" s="76">
        <f>+CX2913*106250</f>
        <v>0</v>
      </c>
      <c r="CZ2913" s="76"/>
      <c r="DA2913" s="76">
        <f>+CZ2913*34500</f>
        <v>0</v>
      </c>
      <c r="DB2913" s="76"/>
      <c r="DC2913" s="76">
        <f>+DB2913*25000</f>
        <v>0</v>
      </c>
      <c r="DD2913" s="219"/>
      <c r="DE2913" s="219"/>
      <c r="DF2913" s="166"/>
      <c r="DG2913" s="116"/>
      <c r="DH2913" s="117"/>
      <c r="DI2913" s="24"/>
      <c r="DJ2913" s="24"/>
      <c r="DK2913" s="24"/>
      <c r="DL2913" s="24"/>
      <c r="DM2913" s="24"/>
      <c r="DN2913" s="24"/>
      <c r="DO2913" s="24"/>
      <c r="DP2913" s="24"/>
      <c r="DQ2913" s="24"/>
      <c r="DR2913" s="24"/>
      <c r="DS2913" s="24"/>
      <c r="DT2913" s="24"/>
      <c r="DU2913" s="24"/>
    </row>
    <row r="2914" spans="1:125" s="8" customFormat="1" ht="144" x14ac:dyDescent="0.2">
      <c r="A2914" s="77">
        <v>41519</v>
      </c>
      <c r="B2914" s="352" t="s">
        <v>2772</v>
      </c>
      <c r="C2914" s="354" t="s">
        <v>2215</v>
      </c>
      <c r="D2914" s="354" t="s">
        <v>2882</v>
      </c>
      <c r="E2914" s="75" t="str">
        <f>VLOOKUP(B2914&amp;C2914,Divipola!$C$2:$F$1138,4,FALSE)</f>
        <v>25320</v>
      </c>
      <c r="F2914" s="87"/>
      <c r="G2914" s="87"/>
      <c r="H2914" s="87"/>
      <c r="I2914" s="87">
        <v>6</v>
      </c>
      <c r="J2914" s="87">
        <v>1</v>
      </c>
      <c r="K2914" s="87"/>
      <c r="L2914" s="87">
        <v>1</v>
      </c>
      <c r="M2914" s="87"/>
      <c r="N2914" s="87"/>
      <c r="O2914" s="87"/>
      <c r="P2914" s="87"/>
      <c r="Q2914" s="87"/>
      <c r="R2914" s="87"/>
      <c r="S2914" s="87"/>
      <c r="T2914" s="87"/>
      <c r="U2914" s="88"/>
      <c r="V2914" s="89"/>
      <c r="W2914" s="96">
        <v>0</v>
      </c>
      <c r="X2914" s="71">
        <f>CU2914</f>
        <v>0</v>
      </c>
      <c r="Y2914" s="71">
        <f>CY2914</f>
        <v>0</v>
      </c>
      <c r="Z2914" s="71">
        <f>DA2914+DC2914+DE2914</f>
        <v>0</v>
      </c>
      <c r="AA2914" s="71">
        <f>CW2914</f>
        <v>0</v>
      </c>
      <c r="AB2914" s="71"/>
      <c r="AC2914" s="71">
        <v>0</v>
      </c>
      <c r="AD2914" s="71">
        <f>W2914+X2914+Y2914+Z2914+AA2914+AB2914+AC2914</f>
        <v>0</v>
      </c>
      <c r="AE2914" s="72">
        <v>0</v>
      </c>
      <c r="AF2914" s="5"/>
      <c r="AG2914" s="6"/>
      <c r="AH2914" s="27"/>
      <c r="AI2914" s="44"/>
      <c r="AJ2914" s="26"/>
      <c r="AK2914" s="5"/>
      <c r="AL2914" s="82" t="s">
        <v>5813</v>
      </c>
      <c r="AM2914" s="76"/>
      <c r="AN2914" s="76"/>
      <c r="AO2914" s="76"/>
      <c r="AP2914" s="76"/>
      <c r="AQ2914" s="76"/>
      <c r="AR2914" s="76"/>
      <c r="AS2914" s="76"/>
      <c r="AT2914" s="76"/>
      <c r="AU2914" s="76"/>
      <c r="AV2914" s="76"/>
      <c r="AW2914" s="76"/>
      <c r="AX2914" s="76">
        <f>+AW2914*600000</f>
        <v>0</v>
      </c>
      <c r="AY2914" s="76"/>
      <c r="AZ2914" s="76">
        <f>+AY2914*70000</f>
        <v>0</v>
      </c>
      <c r="BA2914" s="76"/>
      <c r="BB2914" s="76"/>
      <c r="BC2914" s="76"/>
      <c r="BD2914" s="76">
        <f>+BC2914*30000</f>
        <v>0</v>
      </c>
      <c r="BE2914" s="76"/>
      <c r="BF2914" s="76"/>
      <c r="BG2914" s="76"/>
      <c r="BH2914" s="76"/>
      <c r="BI2914" s="76"/>
      <c r="BJ2914" s="76"/>
      <c r="BK2914" s="76"/>
      <c r="BL2914" s="76">
        <f>+BK2914*31500</f>
        <v>0</v>
      </c>
      <c r="BM2914" s="76"/>
      <c r="BN2914" s="76"/>
      <c r="BO2914" s="76"/>
      <c r="BP2914" s="76"/>
      <c r="BQ2914" s="76"/>
      <c r="BR2914" s="76"/>
      <c r="BS2914" s="76"/>
      <c r="BT2914" s="76"/>
      <c r="BU2914" s="76"/>
      <c r="BV2914" s="76"/>
      <c r="BW2914" s="76"/>
      <c r="BX2914" s="76"/>
      <c r="BY2914" s="76"/>
      <c r="BZ2914" s="76"/>
      <c r="CA2914" s="76"/>
      <c r="CB2914" s="76"/>
      <c r="CC2914" s="76"/>
      <c r="CD2914" s="76"/>
      <c r="CE2914" s="76"/>
      <c r="CF2914" s="76">
        <f>+CE2914*28000</f>
        <v>0</v>
      </c>
      <c r="CG2914" s="76"/>
      <c r="CH2914" s="76">
        <f>+CG2914*22500</f>
        <v>0</v>
      </c>
      <c r="CI2914" s="76"/>
      <c r="CJ2914" s="76">
        <f>+CI2914*26000</f>
        <v>0</v>
      </c>
      <c r="CK2914" s="76"/>
      <c r="CL2914" s="76"/>
      <c r="CM2914" s="76"/>
      <c r="CN2914" s="76">
        <f>+CM2914*22000</f>
        <v>0</v>
      </c>
      <c r="CO2914" s="76"/>
      <c r="CP2914" s="76">
        <f>+CO2914*46000</f>
        <v>0</v>
      </c>
      <c r="CQ2914" s="76"/>
      <c r="CR2914" s="76">
        <f>+CQ2914*49000</f>
        <v>0</v>
      </c>
      <c r="CS2914" s="76"/>
      <c r="CT2914" s="76"/>
      <c r="CU2914" s="56">
        <f>AN2914+AP2914+AR2914+AT2914+AV2914+AX2914+AZ2914+BB2914+BD2914+BF2914+BH2914+BJ2914+BL2914+BN2914+BP2914+BR2914+BT2914+BV2914+BX2914+BZ2914+CB2914+CD2914+CF2914+CH2914+CJ2914+CL2914+CN2914+CP2914+CR2914+CT2914</f>
        <v>0</v>
      </c>
      <c r="CV2914" s="76"/>
      <c r="CW2914" s="76">
        <f>+CV2914*1100</f>
        <v>0</v>
      </c>
      <c r="CX2914" s="76"/>
      <c r="CY2914" s="76">
        <f>+CX2914*106250</f>
        <v>0</v>
      </c>
      <c r="CZ2914" s="76"/>
      <c r="DA2914" s="76">
        <f>+CZ2914*34500</f>
        <v>0</v>
      </c>
      <c r="DB2914" s="76"/>
      <c r="DC2914" s="76">
        <f>+DB2914*25000</f>
        <v>0</v>
      </c>
      <c r="DD2914" s="219"/>
      <c r="DE2914" s="219"/>
      <c r="DF2914" s="166"/>
      <c r="DG2914" s="116"/>
      <c r="DH2914" s="117"/>
      <c r="DI2914" s="24"/>
      <c r="DJ2914" s="24"/>
      <c r="DK2914" s="24"/>
      <c r="DL2914" s="24"/>
      <c r="DM2914" s="24"/>
      <c r="DN2914" s="24"/>
      <c r="DO2914" s="24"/>
      <c r="DP2914" s="24"/>
      <c r="DQ2914" s="24"/>
      <c r="DR2914" s="24"/>
      <c r="DS2914" s="24"/>
      <c r="DT2914" s="24"/>
      <c r="DU2914" s="24"/>
    </row>
    <row r="2915" spans="1:125" s="8" customFormat="1" ht="132.75" x14ac:dyDescent="0.2">
      <c r="A2915" s="77">
        <v>41519</v>
      </c>
      <c r="B2915" s="208" t="s">
        <v>2772</v>
      </c>
      <c r="C2915" s="227" t="s">
        <v>1095</v>
      </c>
      <c r="D2915" s="354" t="s">
        <v>2859</v>
      </c>
      <c r="E2915" s="75" t="str">
        <f>VLOOKUP(B2915&amp;C2915,Divipola!$C$2:$F$1138,4,FALSE)</f>
        <v>25386</v>
      </c>
      <c r="F2915" s="87"/>
      <c r="G2915" s="87"/>
      <c r="H2915" s="87"/>
      <c r="I2915" s="87">
        <v>6</v>
      </c>
      <c r="J2915" s="87">
        <v>1</v>
      </c>
      <c r="K2915" s="87">
        <v>1</v>
      </c>
      <c r="L2915" s="87"/>
      <c r="M2915" s="87"/>
      <c r="N2915" s="87"/>
      <c r="O2915" s="87"/>
      <c r="P2915" s="87"/>
      <c r="Q2915" s="87"/>
      <c r="R2915" s="87"/>
      <c r="S2915" s="87"/>
      <c r="T2915" s="87"/>
      <c r="U2915" s="88"/>
      <c r="V2915" s="89"/>
      <c r="W2915" s="96">
        <v>0</v>
      </c>
      <c r="X2915" s="71">
        <f>CU2915</f>
        <v>0</v>
      </c>
      <c r="Y2915" s="71">
        <f>CY2915</f>
        <v>0</v>
      </c>
      <c r="Z2915" s="71">
        <f>DA2915+DC2915+DE2915</f>
        <v>0</v>
      </c>
      <c r="AA2915" s="71">
        <f>CW2915</f>
        <v>0</v>
      </c>
      <c r="AB2915" s="71"/>
      <c r="AC2915" s="71">
        <v>0</v>
      </c>
      <c r="AD2915" s="71">
        <f>W2915+X2915+Y2915+Z2915+AA2915+AB2915+AC2915</f>
        <v>0</v>
      </c>
      <c r="AE2915" s="72">
        <v>0</v>
      </c>
      <c r="AF2915" s="5"/>
      <c r="AG2915" s="6"/>
      <c r="AH2915" s="27"/>
      <c r="AI2915" s="44"/>
      <c r="AJ2915" s="26"/>
      <c r="AK2915" s="5"/>
      <c r="AL2915" s="274" t="s">
        <v>5819</v>
      </c>
      <c r="AM2915" s="76"/>
      <c r="AN2915" s="76"/>
      <c r="AO2915" s="76"/>
      <c r="AP2915" s="76"/>
      <c r="AQ2915" s="76"/>
      <c r="AR2915" s="76"/>
      <c r="AS2915" s="76"/>
      <c r="AT2915" s="76"/>
      <c r="AU2915" s="76"/>
      <c r="AV2915" s="76"/>
      <c r="AW2915" s="76"/>
      <c r="AX2915" s="76">
        <f>+AW2915*600000</f>
        <v>0</v>
      </c>
      <c r="AY2915" s="76"/>
      <c r="AZ2915" s="76">
        <f>+AY2915*70000</f>
        <v>0</v>
      </c>
      <c r="BA2915" s="76"/>
      <c r="BB2915" s="76"/>
      <c r="BC2915" s="76"/>
      <c r="BD2915" s="76">
        <f>+BC2915*30000</f>
        <v>0</v>
      </c>
      <c r="BE2915" s="76"/>
      <c r="BF2915" s="76"/>
      <c r="BG2915" s="76"/>
      <c r="BH2915" s="76"/>
      <c r="BI2915" s="76"/>
      <c r="BJ2915" s="76"/>
      <c r="BK2915" s="76"/>
      <c r="BL2915" s="76">
        <f>+BK2915*31500</f>
        <v>0</v>
      </c>
      <c r="BM2915" s="76"/>
      <c r="BN2915" s="76"/>
      <c r="BO2915" s="76"/>
      <c r="BP2915" s="76"/>
      <c r="BQ2915" s="76"/>
      <c r="BR2915" s="76"/>
      <c r="BS2915" s="76"/>
      <c r="BT2915" s="76"/>
      <c r="BU2915" s="76"/>
      <c r="BV2915" s="76"/>
      <c r="BW2915" s="76"/>
      <c r="BX2915" s="76"/>
      <c r="BY2915" s="76"/>
      <c r="BZ2915" s="76"/>
      <c r="CA2915" s="76"/>
      <c r="CB2915" s="76"/>
      <c r="CC2915" s="76"/>
      <c r="CD2915" s="76"/>
      <c r="CE2915" s="76"/>
      <c r="CF2915" s="76">
        <f>+CE2915*28000</f>
        <v>0</v>
      </c>
      <c r="CG2915" s="76"/>
      <c r="CH2915" s="76">
        <f>+CG2915*22500</f>
        <v>0</v>
      </c>
      <c r="CI2915" s="76"/>
      <c r="CJ2915" s="76">
        <f>+CI2915*26000</f>
        <v>0</v>
      </c>
      <c r="CK2915" s="76"/>
      <c r="CL2915" s="76"/>
      <c r="CM2915" s="76"/>
      <c r="CN2915" s="76">
        <f>+CM2915*22000</f>
        <v>0</v>
      </c>
      <c r="CO2915" s="76"/>
      <c r="CP2915" s="76">
        <f>+CO2915*46000</f>
        <v>0</v>
      </c>
      <c r="CQ2915" s="76"/>
      <c r="CR2915" s="76">
        <f>+CQ2915*49000</f>
        <v>0</v>
      </c>
      <c r="CS2915" s="76"/>
      <c r="CT2915" s="76"/>
      <c r="CU2915" s="56">
        <f>AN2915+AP2915+AR2915+AT2915+AV2915+AX2915+AZ2915+BB2915+BD2915+BF2915+BH2915+BJ2915+BL2915+BN2915+BP2915+BR2915+BT2915+BV2915+BX2915+BZ2915+CB2915+CD2915+CF2915+CH2915+CJ2915+CL2915+CN2915+CP2915+CR2915+CT2915</f>
        <v>0</v>
      </c>
      <c r="CV2915" s="76"/>
      <c r="CW2915" s="76">
        <f>+CV2915*1100</f>
        <v>0</v>
      </c>
      <c r="CX2915" s="76"/>
      <c r="CY2915" s="76">
        <f>+CX2915*106250</f>
        <v>0</v>
      </c>
      <c r="CZ2915" s="76"/>
      <c r="DA2915" s="76">
        <f>+CZ2915*34500</f>
        <v>0</v>
      </c>
      <c r="DB2915" s="76"/>
      <c r="DC2915" s="76">
        <f>+DB2915*25000</f>
        <v>0</v>
      </c>
      <c r="DD2915" s="219"/>
      <c r="DE2915" s="219"/>
      <c r="DF2915" s="166"/>
      <c r="DG2915" s="116"/>
      <c r="DH2915" s="117"/>
      <c r="DI2915" s="24"/>
      <c r="DJ2915" s="24"/>
      <c r="DK2915" s="24"/>
      <c r="DL2915" s="24"/>
      <c r="DM2915" s="24"/>
      <c r="DN2915" s="24"/>
      <c r="DO2915" s="24"/>
      <c r="DP2915" s="24"/>
      <c r="DQ2915" s="24"/>
      <c r="DR2915" s="24"/>
      <c r="DS2915" s="24"/>
      <c r="DT2915" s="24"/>
      <c r="DU2915" s="24"/>
    </row>
    <row r="2916" spans="1:125" s="8" customFormat="1" ht="72" x14ac:dyDescent="0.2">
      <c r="A2916" s="77">
        <v>41519</v>
      </c>
      <c r="B2916" s="352" t="s">
        <v>2772</v>
      </c>
      <c r="C2916" s="354" t="s">
        <v>2132</v>
      </c>
      <c r="D2916" s="354" t="s">
        <v>2846</v>
      </c>
      <c r="E2916" s="75" t="str">
        <f>VLOOKUP(B2916&amp;C2916,Divipola!$C$2:$F$1138,4,FALSE)</f>
        <v>25740</v>
      </c>
      <c r="F2916" s="87"/>
      <c r="G2916" s="87"/>
      <c r="H2916" s="87"/>
      <c r="I2916" s="87"/>
      <c r="J2916" s="87"/>
      <c r="K2916" s="87"/>
      <c r="L2916" s="87"/>
      <c r="M2916" s="87"/>
      <c r="N2916" s="87"/>
      <c r="O2916" s="87"/>
      <c r="P2916" s="87"/>
      <c r="Q2916" s="87"/>
      <c r="R2916" s="87"/>
      <c r="S2916" s="87"/>
      <c r="T2916" s="87"/>
      <c r="U2916" s="88">
        <v>1</v>
      </c>
      <c r="V2916" s="89"/>
      <c r="W2916" s="96">
        <v>0</v>
      </c>
      <c r="X2916" s="71">
        <f>CU2916</f>
        <v>0</v>
      </c>
      <c r="Y2916" s="71">
        <f>CY2916</f>
        <v>0</v>
      </c>
      <c r="Z2916" s="71">
        <f>DA2916+DC2916+DE2916</f>
        <v>0</v>
      </c>
      <c r="AA2916" s="71">
        <f>CW2916</f>
        <v>0</v>
      </c>
      <c r="AB2916" s="71"/>
      <c r="AC2916" s="71">
        <v>0</v>
      </c>
      <c r="AD2916" s="71">
        <f>W2916+X2916+Y2916+Z2916+AA2916+AB2916+AC2916</f>
        <v>0</v>
      </c>
      <c r="AE2916" s="72">
        <v>0</v>
      </c>
      <c r="AF2916" s="5"/>
      <c r="AG2916" s="6"/>
      <c r="AH2916" s="27"/>
      <c r="AI2916" s="44"/>
      <c r="AJ2916" s="26"/>
      <c r="AK2916" s="5"/>
      <c r="AL2916" s="342" t="s">
        <v>5786</v>
      </c>
      <c r="AM2916" s="76"/>
      <c r="AN2916" s="76"/>
      <c r="AO2916" s="76"/>
      <c r="AP2916" s="76"/>
      <c r="AQ2916" s="76"/>
      <c r="AR2916" s="76"/>
      <c r="AS2916" s="76"/>
      <c r="AT2916" s="76"/>
      <c r="AU2916" s="76"/>
      <c r="AV2916" s="76"/>
      <c r="AW2916" s="76"/>
      <c r="AX2916" s="76">
        <f>+AW2916*600000</f>
        <v>0</v>
      </c>
      <c r="AY2916" s="76"/>
      <c r="AZ2916" s="76">
        <f>+AY2916*70000</f>
        <v>0</v>
      </c>
      <c r="BA2916" s="76"/>
      <c r="BB2916" s="76"/>
      <c r="BC2916" s="76"/>
      <c r="BD2916" s="76">
        <f>+BC2916*30000</f>
        <v>0</v>
      </c>
      <c r="BE2916" s="76"/>
      <c r="BF2916" s="76"/>
      <c r="BG2916" s="76"/>
      <c r="BH2916" s="76"/>
      <c r="BI2916" s="76"/>
      <c r="BJ2916" s="76"/>
      <c r="BK2916" s="76"/>
      <c r="BL2916" s="76">
        <f>+BK2916*31500</f>
        <v>0</v>
      </c>
      <c r="BM2916" s="76"/>
      <c r="BN2916" s="76"/>
      <c r="BO2916" s="76"/>
      <c r="BP2916" s="76"/>
      <c r="BQ2916" s="76"/>
      <c r="BR2916" s="76"/>
      <c r="BS2916" s="76"/>
      <c r="BT2916" s="76"/>
      <c r="BU2916" s="76"/>
      <c r="BV2916" s="76"/>
      <c r="BW2916" s="76"/>
      <c r="BX2916" s="76"/>
      <c r="BY2916" s="76"/>
      <c r="BZ2916" s="76"/>
      <c r="CA2916" s="76"/>
      <c r="CB2916" s="76"/>
      <c r="CC2916" s="76"/>
      <c r="CD2916" s="76"/>
      <c r="CE2916" s="76"/>
      <c r="CF2916" s="76">
        <f>+CE2916*28000</f>
        <v>0</v>
      </c>
      <c r="CG2916" s="76"/>
      <c r="CH2916" s="76">
        <f>+CG2916*22500</f>
        <v>0</v>
      </c>
      <c r="CI2916" s="76"/>
      <c r="CJ2916" s="76">
        <f>+CI2916*26000</f>
        <v>0</v>
      </c>
      <c r="CK2916" s="76"/>
      <c r="CL2916" s="76"/>
      <c r="CM2916" s="76"/>
      <c r="CN2916" s="76">
        <f>+CM2916*22000</f>
        <v>0</v>
      </c>
      <c r="CO2916" s="76"/>
      <c r="CP2916" s="76">
        <f>+CO2916*46000</f>
        <v>0</v>
      </c>
      <c r="CQ2916" s="76"/>
      <c r="CR2916" s="76">
        <f>+CQ2916*49000</f>
        <v>0</v>
      </c>
      <c r="CS2916" s="76"/>
      <c r="CT2916" s="76"/>
      <c r="CU2916" s="56">
        <f>AN2916+AP2916+AR2916+AT2916+AV2916+AX2916+AZ2916+BB2916+BD2916+BF2916+BH2916+BJ2916+BL2916+BN2916+BP2916+BR2916+BT2916+BV2916+BX2916+BZ2916+CB2916+CD2916+CF2916+CH2916+CJ2916+CL2916+CN2916+CP2916+CR2916+CT2916</f>
        <v>0</v>
      </c>
      <c r="CV2916" s="76"/>
      <c r="CW2916" s="76">
        <f>+CV2916*1100</f>
        <v>0</v>
      </c>
      <c r="CX2916" s="76"/>
      <c r="CY2916" s="76">
        <f>+CX2916*106250</f>
        <v>0</v>
      </c>
      <c r="CZ2916" s="76"/>
      <c r="DA2916" s="76">
        <f>+CZ2916*34500</f>
        <v>0</v>
      </c>
      <c r="DB2916" s="76"/>
      <c r="DC2916" s="76">
        <f>+DB2916*25000</f>
        <v>0</v>
      </c>
      <c r="DD2916" s="219"/>
      <c r="DE2916" s="219"/>
      <c r="DF2916" s="166"/>
      <c r="DG2916" s="116"/>
      <c r="DH2916" s="117"/>
      <c r="DI2916" s="24"/>
      <c r="DJ2916" s="24"/>
      <c r="DK2916" s="24"/>
      <c r="DL2916" s="24"/>
      <c r="DM2916" s="24"/>
      <c r="DN2916" s="24"/>
      <c r="DO2916" s="24"/>
      <c r="DP2916" s="24"/>
      <c r="DQ2916" s="24"/>
      <c r="DR2916" s="24"/>
      <c r="DS2916" s="24"/>
      <c r="DT2916" s="24"/>
      <c r="DU2916" s="24"/>
    </row>
    <row r="2917" spans="1:125" s="8" customFormat="1" ht="84" x14ac:dyDescent="0.2">
      <c r="A2917" s="77">
        <v>41519</v>
      </c>
      <c r="B2917" s="352" t="s">
        <v>2772</v>
      </c>
      <c r="C2917" s="354" t="s">
        <v>2156</v>
      </c>
      <c r="D2917" s="354" t="s">
        <v>2846</v>
      </c>
      <c r="E2917" s="75" t="str">
        <f>VLOOKUP(B2917&amp;C2917,Divipola!$C$2:$F$1138,4,FALSE)</f>
        <v>25878</v>
      </c>
      <c r="F2917" s="87"/>
      <c r="G2917" s="87"/>
      <c r="H2917" s="87"/>
      <c r="I2917" s="87"/>
      <c r="J2917" s="87"/>
      <c r="K2917" s="87"/>
      <c r="L2917" s="87"/>
      <c r="M2917" s="87"/>
      <c r="N2917" s="87"/>
      <c r="O2917" s="87"/>
      <c r="P2917" s="87"/>
      <c r="Q2917" s="87"/>
      <c r="R2917" s="87"/>
      <c r="S2917" s="87"/>
      <c r="T2917" s="87"/>
      <c r="U2917" s="88">
        <v>0.5</v>
      </c>
      <c r="V2917" s="89"/>
      <c r="W2917" s="96">
        <v>0</v>
      </c>
      <c r="X2917" s="71">
        <f>CU2917</f>
        <v>0</v>
      </c>
      <c r="Y2917" s="71">
        <f>CY2917</f>
        <v>0</v>
      </c>
      <c r="Z2917" s="71">
        <f>DA2917+DC2917+DE2917</f>
        <v>0</v>
      </c>
      <c r="AA2917" s="71">
        <f>CW2917</f>
        <v>0</v>
      </c>
      <c r="AB2917" s="71"/>
      <c r="AC2917" s="71">
        <v>0</v>
      </c>
      <c r="AD2917" s="71">
        <f>W2917+X2917+Y2917+Z2917+AA2917+AB2917+AC2917</f>
        <v>0</v>
      </c>
      <c r="AE2917" s="72">
        <v>0</v>
      </c>
      <c r="AF2917" s="5"/>
      <c r="AG2917" s="6"/>
      <c r="AH2917" s="27"/>
      <c r="AI2917" s="44"/>
      <c r="AJ2917" s="26"/>
      <c r="AK2917" s="5"/>
      <c r="AL2917" s="9" t="s">
        <v>5783</v>
      </c>
      <c r="AM2917" s="76"/>
      <c r="AN2917" s="76"/>
      <c r="AO2917" s="76"/>
      <c r="AP2917" s="76"/>
      <c r="AQ2917" s="76"/>
      <c r="AR2917" s="76"/>
      <c r="AS2917" s="76"/>
      <c r="AT2917" s="76"/>
      <c r="AU2917" s="76"/>
      <c r="AV2917" s="76"/>
      <c r="AW2917" s="76"/>
      <c r="AX2917" s="76">
        <f>+AW2917*600000</f>
        <v>0</v>
      </c>
      <c r="AY2917" s="76"/>
      <c r="AZ2917" s="76">
        <f>+AY2917*70000</f>
        <v>0</v>
      </c>
      <c r="BA2917" s="76"/>
      <c r="BB2917" s="76"/>
      <c r="BC2917" s="76"/>
      <c r="BD2917" s="76">
        <f>+BC2917*30000</f>
        <v>0</v>
      </c>
      <c r="BE2917" s="76"/>
      <c r="BF2917" s="76"/>
      <c r="BG2917" s="76"/>
      <c r="BH2917" s="76"/>
      <c r="BI2917" s="76"/>
      <c r="BJ2917" s="76"/>
      <c r="BK2917" s="76"/>
      <c r="BL2917" s="76">
        <f>+BK2917*31500</f>
        <v>0</v>
      </c>
      <c r="BM2917" s="76"/>
      <c r="BN2917" s="76"/>
      <c r="BO2917" s="76"/>
      <c r="BP2917" s="76"/>
      <c r="BQ2917" s="76"/>
      <c r="BR2917" s="76"/>
      <c r="BS2917" s="76"/>
      <c r="BT2917" s="76"/>
      <c r="BU2917" s="76"/>
      <c r="BV2917" s="76"/>
      <c r="BW2917" s="76"/>
      <c r="BX2917" s="76"/>
      <c r="BY2917" s="76"/>
      <c r="BZ2917" s="76"/>
      <c r="CA2917" s="76"/>
      <c r="CB2917" s="76"/>
      <c r="CC2917" s="76"/>
      <c r="CD2917" s="76"/>
      <c r="CE2917" s="76"/>
      <c r="CF2917" s="76">
        <f>+CE2917*28000</f>
        <v>0</v>
      </c>
      <c r="CG2917" s="76"/>
      <c r="CH2917" s="76">
        <f>+CG2917*22500</f>
        <v>0</v>
      </c>
      <c r="CI2917" s="76"/>
      <c r="CJ2917" s="76">
        <f>+CI2917*26000</f>
        <v>0</v>
      </c>
      <c r="CK2917" s="76"/>
      <c r="CL2917" s="76"/>
      <c r="CM2917" s="76"/>
      <c r="CN2917" s="76">
        <f>+CM2917*22000</f>
        <v>0</v>
      </c>
      <c r="CO2917" s="76"/>
      <c r="CP2917" s="76">
        <f>+CO2917*46000</f>
        <v>0</v>
      </c>
      <c r="CQ2917" s="76"/>
      <c r="CR2917" s="76">
        <f>+CQ2917*49000</f>
        <v>0</v>
      </c>
      <c r="CS2917" s="76"/>
      <c r="CT2917" s="76"/>
      <c r="CU2917" s="56">
        <f>AN2917+AP2917+AR2917+AT2917+AV2917+AX2917+AZ2917+BB2917+BD2917+BF2917+BH2917+BJ2917+BL2917+BN2917+BP2917+BR2917+BT2917+BV2917+BX2917+BZ2917+CB2917+CD2917+CF2917+CH2917+CJ2917+CL2917+CN2917+CP2917+CR2917+CT2917</f>
        <v>0</v>
      </c>
      <c r="CV2917" s="76"/>
      <c r="CW2917" s="76">
        <f>+CV2917*1100</f>
        <v>0</v>
      </c>
      <c r="CX2917" s="76"/>
      <c r="CY2917" s="76">
        <f>+CX2917*106250</f>
        <v>0</v>
      </c>
      <c r="CZ2917" s="76"/>
      <c r="DA2917" s="76">
        <f>+CZ2917*34500</f>
        <v>0</v>
      </c>
      <c r="DB2917" s="76"/>
      <c r="DC2917" s="76">
        <f>+DB2917*25000</f>
        <v>0</v>
      </c>
      <c r="DD2917" s="219"/>
      <c r="DE2917" s="219"/>
      <c r="DF2917" s="166"/>
      <c r="DG2917" s="116"/>
      <c r="DH2917" s="117"/>
      <c r="DI2917" s="24"/>
      <c r="DJ2917" s="24"/>
      <c r="DK2917" s="24"/>
      <c r="DL2917" s="24"/>
      <c r="DM2917" s="24"/>
      <c r="DN2917" s="24"/>
      <c r="DO2917" s="24"/>
      <c r="DP2917" s="24"/>
      <c r="DQ2917" s="24"/>
      <c r="DR2917" s="24"/>
      <c r="DS2917" s="24"/>
      <c r="DT2917" s="24"/>
      <c r="DU2917" s="24"/>
    </row>
    <row r="2918" spans="1:125" s="8" customFormat="1" ht="48" x14ac:dyDescent="0.2">
      <c r="A2918" s="77">
        <v>41519</v>
      </c>
      <c r="B2918" s="352" t="s">
        <v>3136</v>
      </c>
      <c r="C2918" s="354" t="s">
        <v>398</v>
      </c>
      <c r="D2918" s="354" t="s">
        <v>2882</v>
      </c>
      <c r="E2918" s="75" t="str">
        <f>VLOOKUP(B2918&amp;C2918,Divipola!$C$2:$F$1138,4,FALSE)</f>
        <v>44378</v>
      </c>
      <c r="F2918" s="87"/>
      <c r="G2918" s="87"/>
      <c r="H2918" s="87"/>
      <c r="I2918" s="87"/>
      <c r="J2918" s="87"/>
      <c r="K2918" s="87"/>
      <c r="L2918" s="87"/>
      <c r="M2918" s="87"/>
      <c r="N2918" s="87"/>
      <c r="O2918" s="87"/>
      <c r="P2918" s="87"/>
      <c r="Q2918" s="87"/>
      <c r="R2918" s="87"/>
      <c r="S2918" s="87"/>
      <c r="T2918" s="87"/>
      <c r="U2918" s="88"/>
      <c r="V2918" s="89"/>
      <c r="W2918" s="96">
        <v>0</v>
      </c>
      <c r="X2918" s="71">
        <f>CU2918</f>
        <v>0</v>
      </c>
      <c r="Y2918" s="71">
        <f>CY2918</f>
        <v>0</v>
      </c>
      <c r="Z2918" s="71">
        <f>DA2918+DC2918+DE2918</f>
        <v>0</v>
      </c>
      <c r="AA2918" s="71">
        <f>CW2918</f>
        <v>0</v>
      </c>
      <c r="AB2918" s="71"/>
      <c r="AC2918" s="71">
        <v>0</v>
      </c>
      <c r="AD2918" s="71">
        <f>W2918+X2918+Y2918+Z2918+AA2918+AB2918+AC2918</f>
        <v>0</v>
      </c>
      <c r="AE2918" s="72">
        <v>0</v>
      </c>
      <c r="AF2918" s="5"/>
      <c r="AG2918" s="6"/>
      <c r="AH2918" s="27"/>
      <c r="AI2918" s="44"/>
      <c r="AJ2918" s="26"/>
      <c r="AK2918" s="5"/>
      <c r="AL2918" s="9" t="s">
        <v>5796</v>
      </c>
      <c r="AM2918" s="76"/>
      <c r="AN2918" s="76"/>
      <c r="AO2918" s="76"/>
      <c r="AP2918" s="76"/>
      <c r="AQ2918" s="76"/>
      <c r="AR2918" s="76"/>
      <c r="AS2918" s="76"/>
      <c r="AT2918" s="76"/>
      <c r="AU2918" s="76"/>
      <c r="AV2918" s="76"/>
      <c r="AW2918" s="76"/>
      <c r="AX2918" s="76">
        <f>+AW2918*600000</f>
        <v>0</v>
      </c>
      <c r="AY2918" s="76"/>
      <c r="AZ2918" s="76">
        <f>+AY2918*70000</f>
        <v>0</v>
      </c>
      <c r="BA2918" s="76"/>
      <c r="BB2918" s="76"/>
      <c r="BC2918" s="76"/>
      <c r="BD2918" s="76">
        <f>+BC2918*30000</f>
        <v>0</v>
      </c>
      <c r="BE2918" s="76"/>
      <c r="BF2918" s="76"/>
      <c r="BG2918" s="76"/>
      <c r="BH2918" s="76"/>
      <c r="BI2918" s="76"/>
      <c r="BJ2918" s="76"/>
      <c r="BK2918" s="76"/>
      <c r="BL2918" s="76">
        <f>+BK2918*31500</f>
        <v>0</v>
      </c>
      <c r="BM2918" s="76"/>
      <c r="BN2918" s="76"/>
      <c r="BO2918" s="76"/>
      <c r="BP2918" s="76"/>
      <c r="BQ2918" s="76"/>
      <c r="BR2918" s="76"/>
      <c r="BS2918" s="76"/>
      <c r="BT2918" s="76"/>
      <c r="BU2918" s="76"/>
      <c r="BV2918" s="76"/>
      <c r="BW2918" s="76"/>
      <c r="BX2918" s="76"/>
      <c r="BY2918" s="76"/>
      <c r="BZ2918" s="76"/>
      <c r="CA2918" s="76"/>
      <c r="CB2918" s="76"/>
      <c r="CC2918" s="76"/>
      <c r="CD2918" s="76"/>
      <c r="CE2918" s="76"/>
      <c r="CF2918" s="76">
        <f>+CE2918*28000</f>
        <v>0</v>
      </c>
      <c r="CG2918" s="76"/>
      <c r="CH2918" s="76">
        <f>+CG2918*22500</f>
        <v>0</v>
      </c>
      <c r="CI2918" s="76"/>
      <c r="CJ2918" s="76">
        <f>+CI2918*26000</f>
        <v>0</v>
      </c>
      <c r="CK2918" s="76"/>
      <c r="CL2918" s="76"/>
      <c r="CM2918" s="76"/>
      <c r="CN2918" s="76">
        <f>+CM2918*22000</f>
        <v>0</v>
      </c>
      <c r="CO2918" s="76"/>
      <c r="CP2918" s="76">
        <f>+CO2918*46000</f>
        <v>0</v>
      </c>
      <c r="CQ2918" s="76"/>
      <c r="CR2918" s="76">
        <f>+CQ2918*49000</f>
        <v>0</v>
      </c>
      <c r="CS2918" s="76"/>
      <c r="CT2918" s="76"/>
      <c r="CU2918" s="56">
        <f>AN2918+AP2918+AR2918+AT2918+AV2918+AX2918+AZ2918+BB2918+BD2918+BF2918+BH2918+BJ2918+BL2918+BN2918+BP2918+BR2918+BT2918+BV2918+BX2918+BZ2918+CB2918+CD2918+CF2918+CH2918+CJ2918+CL2918+CN2918+CP2918+CR2918+CT2918</f>
        <v>0</v>
      </c>
      <c r="CV2918" s="76"/>
      <c r="CW2918" s="76">
        <f>+CV2918*1100</f>
        <v>0</v>
      </c>
      <c r="CX2918" s="76"/>
      <c r="CY2918" s="76">
        <f>+CX2918*106250</f>
        <v>0</v>
      </c>
      <c r="CZ2918" s="76"/>
      <c r="DA2918" s="76">
        <f>+CZ2918*34500</f>
        <v>0</v>
      </c>
      <c r="DB2918" s="76"/>
      <c r="DC2918" s="76">
        <f>+DB2918*25000</f>
        <v>0</v>
      </c>
      <c r="DD2918" s="219"/>
      <c r="DE2918" s="219"/>
      <c r="DF2918" s="166"/>
      <c r="DG2918" s="116"/>
      <c r="DH2918" s="117"/>
      <c r="DI2918" s="24"/>
      <c r="DJ2918" s="24"/>
      <c r="DK2918" s="24"/>
      <c r="DL2918" s="24"/>
      <c r="DM2918" s="24"/>
      <c r="DN2918" s="24"/>
      <c r="DO2918" s="24"/>
      <c r="DP2918" s="24"/>
      <c r="DQ2918" s="24"/>
      <c r="DR2918" s="24"/>
      <c r="DS2918" s="24"/>
      <c r="DT2918" s="24"/>
      <c r="DU2918" s="24"/>
    </row>
    <row r="2919" spans="1:125" s="8" customFormat="1" ht="48" x14ac:dyDescent="0.2">
      <c r="A2919" s="77">
        <v>41519</v>
      </c>
      <c r="B2919" s="78" t="s">
        <v>3136</v>
      </c>
      <c r="C2919" s="83" t="s">
        <v>2758</v>
      </c>
      <c r="D2919" s="75" t="s">
        <v>2882</v>
      </c>
      <c r="E2919" s="75" t="str">
        <f>VLOOKUP(B2919&amp;C2919,Divipola!$C$2:$F$1138,4,FALSE)</f>
        <v>44874</v>
      </c>
      <c r="F2919" s="93"/>
      <c r="G2919" s="93"/>
      <c r="H2919" s="93"/>
      <c r="I2919" s="93"/>
      <c r="J2919" s="93"/>
      <c r="K2919" s="93"/>
      <c r="L2919" s="93"/>
      <c r="M2919" s="93"/>
      <c r="N2919" s="93"/>
      <c r="O2919" s="93"/>
      <c r="P2919" s="93"/>
      <c r="Q2919" s="93"/>
      <c r="R2919" s="93"/>
      <c r="S2919" s="93"/>
      <c r="T2919" s="93"/>
      <c r="U2919" s="93"/>
      <c r="V2919" s="89"/>
      <c r="W2919" s="96">
        <v>0</v>
      </c>
      <c r="X2919" s="71">
        <f>CU2919</f>
        <v>0</v>
      </c>
      <c r="Y2919" s="71">
        <f>CY2919</f>
        <v>0</v>
      </c>
      <c r="Z2919" s="71">
        <f>DA2919+DC2919+DE2919</f>
        <v>0</v>
      </c>
      <c r="AA2919" s="71">
        <f>CW2919</f>
        <v>0</v>
      </c>
      <c r="AB2919" s="71"/>
      <c r="AC2919" s="71">
        <v>0</v>
      </c>
      <c r="AD2919" s="71">
        <f>W2919+X2919+Y2919+Z2919+AA2919+AB2919+AC2919</f>
        <v>0</v>
      </c>
      <c r="AE2919" s="72">
        <v>0</v>
      </c>
      <c r="AF2919" s="5"/>
      <c r="AG2919" s="6"/>
      <c r="AH2919" s="27"/>
      <c r="AI2919" s="44"/>
      <c r="AJ2919" s="26"/>
      <c r="AK2919" s="5"/>
      <c r="AL2919" s="9" t="s">
        <v>5797</v>
      </c>
      <c r="AM2919" s="76"/>
      <c r="AN2919" s="76"/>
      <c r="AO2919" s="76"/>
      <c r="AP2919" s="76"/>
      <c r="AQ2919" s="76"/>
      <c r="AR2919" s="76"/>
      <c r="AS2919" s="76"/>
      <c r="AT2919" s="76"/>
      <c r="AU2919" s="76"/>
      <c r="AV2919" s="76"/>
      <c r="AW2919" s="76"/>
      <c r="AX2919" s="76">
        <f>+AW2919*600000</f>
        <v>0</v>
      </c>
      <c r="AY2919" s="76"/>
      <c r="AZ2919" s="76">
        <f>+AY2919*70000</f>
        <v>0</v>
      </c>
      <c r="BA2919" s="76"/>
      <c r="BB2919" s="76"/>
      <c r="BC2919" s="76"/>
      <c r="BD2919" s="76">
        <f>+BC2919*30000</f>
        <v>0</v>
      </c>
      <c r="BE2919" s="76"/>
      <c r="BF2919" s="76"/>
      <c r="BG2919" s="76"/>
      <c r="BH2919" s="76"/>
      <c r="BI2919" s="76"/>
      <c r="BJ2919" s="76"/>
      <c r="BK2919" s="76"/>
      <c r="BL2919" s="76">
        <f>+BK2919*31500</f>
        <v>0</v>
      </c>
      <c r="BM2919" s="76"/>
      <c r="BN2919" s="76"/>
      <c r="BO2919" s="76"/>
      <c r="BP2919" s="76"/>
      <c r="BQ2919" s="76"/>
      <c r="BR2919" s="76"/>
      <c r="BS2919" s="76"/>
      <c r="BT2919" s="76"/>
      <c r="BU2919" s="76"/>
      <c r="BV2919" s="76"/>
      <c r="BW2919" s="76"/>
      <c r="BX2919" s="76"/>
      <c r="BY2919" s="76"/>
      <c r="BZ2919" s="76"/>
      <c r="CA2919" s="76"/>
      <c r="CB2919" s="76"/>
      <c r="CC2919" s="76"/>
      <c r="CD2919" s="76"/>
      <c r="CE2919" s="76"/>
      <c r="CF2919" s="76">
        <f>+CE2919*28000</f>
        <v>0</v>
      </c>
      <c r="CG2919" s="76"/>
      <c r="CH2919" s="76">
        <f>+CG2919*22500</f>
        <v>0</v>
      </c>
      <c r="CI2919" s="76"/>
      <c r="CJ2919" s="76">
        <f>+CI2919*26000</f>
        <v>0</v>
      </c>
      <c r="CK2919" s="76"/>
      <c r="CL2919" s="76"/>
      <c r="CM2919" s="76"/>
      <c r="CN2919" s="76">
        <f>+CM2919*22000</f>
        <v>0</v>
      </c>
      <c r="CO2919" s="76"/>
      <c r="CP2919" s="76">
        <f>+CO2919*46000</f>
        <v>0</v>
      </c>
      <c r="CQ2919" s="76"/>
      <c r="CR2919" s="76">
        <f>+CQ2919*49000</f>
        <v>0</v>
      </c>
      <c r="CS2919" s="76"/>
      <c r="CT2919" s="76"/>
      <c r="CU2919" s="56">
        <f>AN2919+AP2919+AR2919+AT2919+AV2919+AX2919+AZ2919+BB2919+BD2919+BF2919+BH2919+BJ2919+BL2919+BN2919+BP2919+BR2919+BT2919+BV2919+BX2919+BZ2919+CB2919+CD2919+CF2919+CH2919+CJ2919+CL2919+CN2919+CP2919+CR2919+CT2919</f>
        <v>0</v>
      </c>
      <c r="CV2919" s="76"/>
      <c r="CW2919" s="76">
        <f>+CV2919*1100</f>
        <v>0</v>
      </c>
      <c r="CX2919" s="76"/>
      <c r="CY2919" s="76">
        <f>+CX2919*106250</f>
        <v>0</v>
      </c>
      <c r="CZ2919" s="76"/>
      <c r="DA2919" s="76">
        <f>+CZ2919*34500</f>
        <v>0</v>
      </c>
      <c r="DB2919" s="76"/>
      <c r="DC2919" s="76">
        <f>+DB2919*25000</f>
        <v>0</v>
      </c>
      <c r="DD2919" s="219"/>
      <c r="DE2919" s="219"/>
      <c r="DF2919" s="166"/>
      <c r="DG2919" s="116"/>
      <c r="DH2919" s="117"/>
      <c r="DI2919" s="24"/>
      <c r="DJ2919" s="24"/>
      <c r="DK2919" s="24"/>
      <c r="DL2919" s="24"/>
      <c r="DM2919" s="24"/>
      <c r="DN2919" s="24"/>
      <c r="DO2919" s="24"/>
      <c r="DP2919" s="24"/>
      <c r="DQ2919" s="24"/>
      <c r="DR2919" s="24"/>
      <c r="DS2919" s="24"/>
      <c r="DT2919" s="24"/>
      <c r="DU2919" s="24"/>
    </row>
    <row r="2920" spans="1:125" s="8" customFormat="1" ht="84" x14ac:dyDescent="0.2">
      <c r="A2920" s="77">
        <v>41519</v>
      </c>
      <c r="B2920" s="352" t="s">
        <v>1326</v>
      </c>
      <c r="C2920" s="354" t="s">
        <v>1850</v>
      </c>
      <c r="D2920" s="354" t="s">
        <v>3051</v>
      </c>
      <c r="E2920" s="75" t="str">
        <f>VLOOKUP(B2920&amp;C2920,Divipola!$C$2:$F$1138,4,FALSE)</f>
        <v>70820</v>
      </c>
      <c r="F2920" s="87"/>
      <c r="G2920" s="87"/>
      <c r="H2920" s="87"/>
      <c r="I2920" s="87">
        <v>2700</v>
      </c>
      <c r="J2920" s="87">
        <v>297</v>
      </c>
      <c r="K2920" s="87"/>
      <c r="L2920" s="87">
        <v>297</v>
      </c>
      <c r="M2920" s="87"/>
      <c r="N2920" s="87"/>
      <c r="O2920" s="87"/>
      <c r="P2920" s="87"/>
      <c r="Q2920" s="87"/>
      <c r="R2920" s="87"/>
      <c r="S2920" s="87"/>
      <c r="T2920" s="87"/>
      <c r="U2920" s="88"/>
      <c r="V2920" s="89"/>
      <c r="W2920" s="96">
        <v>0</v>
      </c>
      <c r="X2920" s="71">
        <f>CU2920</f>
        <v>0</v>
      </c>
      <c r="Y2920" s="71">
        <f>CY2920</f>
        <v>0</v>
      </c>
      <c r="Z2920" s="71">
        <f>DA2920+DC2920+DE2920</f>
        <v>0</v>
      </c>
      <c r="AA2920" s="71">
        <f>CW2920</f>
        <v>0</v>
      </c>
      <c r="AB2920" s="71"/>
      <c r="AC2920" s="71">
        <v>0</v>
      </c>
      <c r="AD2920" s="71">
        <f>W2920+X2920+Y2920+Z2920+AA2920+AB2920+AC2920</f>
        <v>0</v>
      </c>
      <c r="AE2920" s="72">
        <v>0</v>
      </c>
      <c r="AF2920" s="5"/>
      <c r="AG2920" s="6"/>
      <c r="AH2920" s="27"/>
      <c r="AI2920" s="44"/>
      <c r="AJ2920" s="26"/>
      <c r="AK2920" s="5"/>
      <c r="AL2920" s="9" t="s">
        <v>5780</v>
      </c>
      <c r="AM2920" s="76"/>
      <c r="AN2920" s="76"/>
      <c r="AO2920" s="76"/>
      <c r="AP2920" s="76"/>
      <c r="AQ2920" s="76"/>
      <c r="AR2920" s="76"/>
      <c r="AS2920" s="76"/>
      <c r="AT2920" s="76"/>
      <c r="AU2920" s="76"/>
      <c r="AV2920" s="76"/>
      <c r="AW2920" s="76"/>
      <c r="AX2920" s="76">
        <f>+AW2920*600000</f>
        <v>0</v>
      </c>
      <c r="AY2920" s="76"/>
      <c r="AZ2920" s="76">
        <f>+AY2920*70000</f>
        <v>0</v>
      </c>
      <c r="BA2920" s="76"/>
      <c r="BB2920" s="76"/>
      <c r="BC2920" s="76"/>
      <c r="BD2920" s="76">
        <f>+BC2920*30000</f>
        <v>0</v>
      </c>
      <c r="BE2920" s="76"/>
      <c r="BF2920" s="76"/>
      <c r="BG2920" s="76"/>
      <c r="BH2920" s="76"/>
      <c r="BI2920" s="76"/>
      <c r="BJ2920" s="76"/>
      <c r="BK2920" s="76"/>
      <c r="BL2920" s="76">
        <f>+BK2920*31500</f>
        <v>0</v>
      </c>
      <c r="BM2920" s="76"/>
      <c r="BN2920" s="76"/>
      <c r="BO2920" s="76"/>
      <c r="BP2920" s="76"/>
      <c r="BQ2920" s="76"/>
      <c r="BR2920" s="76"/>
      <c r="BS2920" s="76"/>
      <c r="BT2920" s="76"/>
      <c r="BU2920" s="76"/>
      <c r="BV2920" s="76"/>
      <c r="BW2920" s="76"/>
      <c r="BX2920" s="76"/>
      <c r="BY2920" s="76"/>
      <c r="BZ2920" s="76"/>
      <c r="CA2920" s="76"/>
      <c r="CB2920" s="76"/>
      <c r="CC2920" s="76"/>
      <c r="CD2920" s="76"/>
      <c r="CE2920" s="76"/>
      <c r="CF2920" s="76">
        <f>+CE2920*28000</f>
        <v>0</v>
      </c>
      <c r="CG2920" s="76"/>
      <c r="CH2920" s="76">
        <f>+CG2920*22500</f>
        <v>0</v>
      </c>
      <c r="CI2920" s="76"/>
      <c r="CJ2920" s="76">
        <f>+CI2920*26000</f>
        <v>0</v>
      </c>
      <c r="CK2920" s="76"/>
      <c r="CL2920" s="76"/>
      <c r="CM2920" s="76"/>
      <c r="CN2920" s="76">
        <f>+CM2920*22000</f>
        <v>0</v>
      </c>
      <c r="CO2920" s="76"/>
      <c r="CP2920" s="76">
        <f>+CO2920*46000</f>
        <v>0</v>
      </c>
      <c r="CQ2920" s="76"/>
      <c r="CR2920" s="76">
        <f>+CQ2920*49000</f>
        <v>0</v>
      </c>
      <c r="CS2920" s="76"/>
      <c r="CT2920" s="76"/>
      <c r="CU2920" s="56">
        <f>AN2920+AP2920+AR2920+AT2920+AV2920+AX2920+AZ2920+BB2920+BD2920+BF2920+BH2920+BJ2920+BL2920+BN2920+BP2920+BR2920+BT2920+BV2920+BX2920+BZ2920+CB2920+CD2920+CF2920+CH2920+CJ2920+CL2920+CN2920+CP2920+CR2920+CT2920</f>
        <v>0</v>
      </c>
      <c r="CV2920" s="76"/>
      <c r="CW2920" s="76">
        <f>+CV2920*1100</f>
        <v>0</v>
      </c>
      <c r="CX2920" s="76"/>
      <c r="CY2920" s="76">
        <f>+CX2920*106250</f>
        <v>0</v>
      </c>
      <c r="CZ2920" s="76"/>
      <c r="DA2920" s="76">
        <f>+CZ2920*34500</f>
        <v>0</v>
      </c>
      <c r="DB2920" s="76"/>
      <c r="DC2920" s="76">
        <f>+DB2920*25000</f>
        <v>0</v>
      </c>
      <c r="DD2920" s="219"/>
      <c r="DE2920" s="219"/>
      <c r="DF2920" s="166"/>
      <c r="DG2920" s="116"/>
      <c r="DH2920" s="117"/>
      <c r="DI2920" s="24"/>
      <c r="DJ2920" s="24"/>
      <c r="DK2920" s="24"/>
      <c r="DL2920" s="24"/>
      <c r="DM2920" s="24"/>
      <c r="DN2920" s="24"/>
      <c r="DO2920" s="24"/>
      <c r="DP2920" s="24"/>
      <c r="DQ2920" s="24"/>
      <c r="DR2920" s="24"/>
      <c r="DS2920" s="24"/>
      <c r="DT2920" s="24"/>
      <c r="DU2920" s="24"/>
    </row>
    <row r="2921" spans="1:125" s="8" customFormat="1" ht="36" x14ac:dyDescent="0.2">
      <c r="A2921" s="77">
        <v>41519</v>
      </c>
      <c r="B2921" s="352" t="s">
        <v>2851</v>
      </c>
      <c r="C2921" s="354" t="s">
        <v>2685</v>
      </c>
      <c r="D2921" s="354" t="s">
        <v>2846</v>
      </c>
      <c r="E2921" s="75" t="str">
        <f>VLOOKUP(B2921&amp;C2921,Divipola!$C$2:$F$1138,4,FALSE)</f>
        <v>76497</v>
      </c>
      <c r="F2921" s="87"/>
      <c r="G2921" s="87"/>
      <c r="H2921" s="87"/>
      <c r="I2921" s="87"/>
      <c r="J2921" s="87"/>
      <c r="K2921" s="87"/>
      <c r="L2921" s="87"/>
      <c r="M2921" s="87"/>
      <c r="N2921" s="87"/>
      <c r="O2921" s="87"/>
      <c r="P2921" s="87"/>
      <c r="Q2921" s="87"/>
      <c r="R2921" s="87"/>
      <c r="S2921" s="87"/>
      <c r="T2921" s="87"/>
      <c r="U2921" s="88">
        <v>2</v>
      </c>
      <c r="V2921" s="89"/>
      <c r="W2921" s="96">
        <v>0</v>
      </c>
      <c r="X2921" s="71">
        <f>CU2921</f>
        <v>0</v>
      </c>
      <c r="Y2921" s="71">
        <f>CY2921</f>
        <v>0</v>
      </c>
      <c r="Z2921" s="71">
        <f>DA2921+DC2921+DE2921</f>
        <v>0</v>
      </c>
      <c r="AA2921" s="71">
        <f>CW2921</f>
        <v>0</v>
      </c>
      <c r="AB2921" s="71"/>
      <c r="AC2921" s="71">
        <v>0</v>
      </c>
      <c r="AD2921" s="71">
        <f>W2921+X2921+Y2921+Z2921+AA2921+AB2921+AC2921</f>
        <v>0</v>
      </c>
      <c r="AE2921" s="72">
        <v>0</v>
      </c>
      <c r="AF2921" s="5"/>
      <c r="AG2921" s="6"/>
      <c r="AH2921" s="27"/>
      <c r="AI2921" s="44"/>
      <c r="AJ2921" s="26"/>
      <c r="AK2921" s="5"/>
      <c r="AL2921" s="9" t="s">
        <v>5778</v>
      </c>
      <c r="AM2921" s="76"/>
      <c r="AN2921" s="76"/>
      <c r="AO2921" s="76"/>
      <c r="AP2921" s="76"/>
      <c r="AQ2921" s="76"/>
      <c r="AR2921" s="76"/>
      <c r="AS2921" s="76"/>
      <c r="AT2921" s="76"/>
      <c r="AU2921" s="76"/>
      <c r="AV2921" s="76"/>
      <c r="AW2921" s="76"/>
      <c r="AX2921" s="76">
        <f>+AW2921*600000</f>
        <v>0</v>
      </c>
      <c r="AY2921" s="76"/>
      <c r="AZ2921" s="76">
        <f>+AY2921*70000</f>
        <v>0</v>
      </c>
      <c r="BA2921" s="76"/>
      <c r="BB2921" s="76"/>
      <c r="BC2921" s="76"/>
      <c r="BD2921" s="76">
        <f>+BC2921*30000</f>
        <v>0</v>
      </c>
      <c r="BE2921" s="76"/>
      <c r="BF2921" s="76"/>
      <c r="BG2921" s="76"/>
      <c r="BH2921" s="76"/>
      <c r="BI2921" s="76"/>
      <c r="BJ2921" s="76"/>
      <c r="BK2921" s="76"/>
      <c r="BL2921" s="76">
        <f>+BK2921*31500</f>
        <v>0</v>
      </c>
      <c r="BM2921" s="76"/>
      <c r="BN2921" s="76"/>
      <c r="BO2921" s="76"/>
      <c r="BP2921" s="76"/>
      <c r="BQ2921" s="76"/>
      <c r="BR2921" s="76"/>
      <c r="BS2921" s="76"/>
      <c r="BT2921" s="76"/>
      <c r="BU2921" s="76"/>
      <c r="BV2921" s="76"/>
      <c r="BW2921" s="76"/>
      <c r="BX2921" s="76"/>
      <c r="BY2921" s="76"/>
      <c r="BZ2921" s="76"/>
      <c r="CA2921" s="76"/>
      <c r="CB2921" s="76"/>
      <c r="CC2921" s="76"/>
      <c r="CD2921" s="76"/>
      <c r="CE2921" s="76"/>
      <c r="CF2921" s="76">
        <f>+CE2921*28000</f>
        <v>0</v>
      </c>
      <c r="CG2921" s="76"/>
      <c r="CH2921" s="76">
        <f>+CG2921*22500</f>
        <v>0</v>
      </c>
      <c r="CI2921" s="76"/>
      <c r="CJ2921" s="76">
        <f>+CI2921*26000</f>
        <v>0</v>
      </c>
      <c r="CK2921" s="76"/>
      <c r="CL2921" s="76"/>
      <c r="CM2921" s="76"/>
      <c r="CN2921" s="76">
        <f>+CM2921*22000</f>
        <v>0</v>
      </c>
      <c r="CO2921" s="76"/>
      <c r="CP2921" s="76">
        <f>+CO2921*46000</f>
        <v>0</v>
      </c>
      <c r="CQ2921" s="76"/>
      <c r="CR2921" s="76">
        <f>+CQ2921*49000</f>
        <v>0</v>
      </c>
      <c r="CS2921" s="76"/>
      <c r="CT2921" s="76"/>
      <c r="CU2921" s="56">
        <f>AN2921+AP2921+AR2921+AT2921+AV2921+AX2921+AZ2921+BB2921+BD2921+BF2921+BH2921+BJ2921+BL2921+BN2921+BP2921+BR2921+BT2921+BV2921+BX2921+BZ2921+CB2921+CD2921+CF2921+CH2921+CJ2921+CL2921+CN2921+CP2921+CR2921+CT2921</f>
        <v>0</v>
      </c>
      <c r="CV2921" s="76"/>
      <c r="CW2921" s="76">
        <f>+CV2921*1100</f>
        <v>0</v>
      </c>
      <c r="CX2921" s="76"/>
      <c r="CY2921" s="76">
        <f>+CX2921*106250</f>
        <v>0</v>
      </c>
      <c r="CZ2921" s="76"/>
      <c r="DA2921" s="76">
        <f>+CZ2921*34500</f>
        <v>0</v>
      </c>
      <c r="DB2921" s="76"/>
      <c r="DC2921" s="76">
        <f>+DB2921*25000</f>
        <v>0</v>
      </c>
      <c r="DD2921" s="219"/>
      <c r="DE2921" s="219"/>
      <c r="DF2921" s="166"/>
      <c r="DG2921" s="116"/>
      <c r="DH2921" s="117"/>
      <c r="DI2921" s="24"/>
      <c r="DJ2921" s="24"/>
      <c r="DK2921" s="24"/>
      <c r="DL2921" s="24"/>
      <c r="DM2921" s="24"/>
      <c r="DN2921" s="24"/>
      <c r="DO2921" s="24"/>
      <c r="DP2921" s="24"/>
      <c r="DQ2921" s="24"/>
      <c r="DR2921" s="24"/>
      <c r="DS2921" s="24"/>
      <c r="DT2921" s="24"/>
      <c r="DU2921" s="24"/>
    </row>
    <row r="2922" spans="1:125" s="8" customFormat="1" ht="36" x14ac:dyDescent="0.2">
      <c r="A2922" s="77">
        <v>41519</v>
      </c>
      <c r="B2922" s="352" t="s">
        <v>2851</v>
      </c>
      <c r="C2922" s="354" t="s">
        <v>2159</v>
      </c>
      <c r="D2922" s="354" t="s">
        <v>2846</v>
      </c>
      <c r="E2922" s="75" t="str">
        <f>VLOOKUP(B2922&amp;C2922,Divipola!$C$2:$F$1138,4,FALSE)</f>
        <v>76670</v>
      </c>
      <c r="F2922" s="87"/>
      <c r="G2922" s="87"/>
      <c r="H2922" s="87"/>
      <c r="I2922" s="87"/>
      <c r="J2922" s="87"/>
      <c r="K2922" s="87"/>
      <c r="L2922" s="87"/>
      <c r="M2922" s="87"/>
      <c r="N2922" s="87"/>
      <c r="O2922" s="87"/>
      <c r="P2922" s="87"/>
      <c r="Q2922" s="87"/>
      <c r="R2922" s="87"/>
      <c r="S2922" s="87"/>
      <c r="T2922" s="87"/>
      <c r="U2922" s="88">
        <v>3</v>
      </c>
      <c r="V2922" s="89"/>
      <c r="W2922" s="96">
        <v>0</v>
      </c>
      <c r="X2922" s="71">
        <f>CU2922</f>
        <v>0</v>
      </c>
      <c r="Y2922" s="71">
        <f>CY2922</f>
        <v>0</v>
      </c>
      <c r="Z2922" s="71">
        <f>DA2922+DC2922+DE2922</f>
        <v>0</v>
      </c>
      <c r="AA2922" s="71">
        <f>CW2922</f>
        <v>0</v>
      </c>
      <c r="AB2922" s="71"/>
      <c r="AC2922" s="71">
        <v>0</v>
      </c>
      <c r="AD2922" s="71">
        <f>W2922+X2922+Y2922+Z2922+AA2922+AB2922+AC2922</f>
        <v>0</v>
      </c>
      <c r="AE2922" s="72">
        <v>0</v>
      </c>
      <c r="AF2922" s="5"/>
      <c r="AG2922" s="6"/>
      <c r="AH2922" s="27"/>
      <c r="AI2922" s="44"/>
      <c r="AJ2922" s="26"/>
      <c r="AK2922" s="5"/>
      <c r="AL2922" s="9" t="s">
        <v>5779</v>
      </c>
      <c r="AM2922" s="76"/>
      <c r="AN2922" s="76"/>
      <c r="AO2922" s="76"/>
      <c r="AP2922" s="76"/>
      <c r="AQ2922" s="76"/>
      <c r="AR2922" s="76"/>
      <c r="AS2922" s="76"/>
      <c r="AT2922" s="76"/>
      <c r="AU2922" s="76"/>
      <c r="AV2922" s="76"/>
      <c r="AW2922" s="76"/>
      <c r="AX2922" s="76">
        <f>+AW2922*600000</f>
        <v>0</v>
      </c>
      <c r="AY2922" s="76"/>
      <c r="AZ2922" s="76">
        <f>+AY2922*70000</f>
        <v>0</v>
      </c>
      <c r="BA2922" s="76"/>
      <c r="BB2922" s="76"/>
      <c r="BC2922" s="76"/>
      <c r="BD2922" s="76">
        <f>+BC2922*30000</f>
        <v>0</v>
      </c>
      <c r="BE2922" s="76"/>
      <c r="BF2922" s="76"/>
      <c r="BG2922" s="76"/>
      <c r="BH2922" s="76"/>
      <c r="BI2922" s="76"/>
      <c r="BJ2922" s="76"/>
      <c r="BK2922" s="76"/>
      <c r="BL2922" s="76">
        <f>+BK2922*31500</f>
        <v>0</v>
      </c>
      <c r="BM2922" s="76"/>
      <c r="BN2922" s="76"/>
      <c r="BO2922" s="76"/>
      <c r="BP2922" s="76"/>
      <c r="BQ2922" s="76"/>
      <c r="BR2922" s="76"/>
      <c r="BS2922" s="76"/>
      <c r="BT2922" s="76"/>
      <c r="BU2922" s="76"/>
      <c r="BV2922" s="76"/>
      <c r="BW2922" s="76"/>
      <c r="BX2922" s="76"/>
      <c r="BY2922" s="76"/>
      <c r="BZ2922" s="76"/>
      <c r="CA2922" s="76"/>
      <c r="CB2922" s="76"/>
      <c r="CC2922" s="76"/>
      <c r="CD2922" s="76"/>
      <c r="CE2922" s="76"/>
      <c r="CF2922" s="76">
        <f>+CE2922*28000</f>
        <v>0</v>
      </c>
      <c r="CG2922" s="76"/>
      <c r="CH2922" s="76">
        <f>+CG2922*22500</f>
        <v>0</v>
      </c>
      <c r="CI2922" s="76"/>
      <c r="CJ2922" s="76">
        <f>+CI2922*26000</f>
        <v>0</v>
      </c>
      <c r="CK2922" s="76"/>
      <c r="CL2922" s="76"/>
      <c r="CM2922" s="76"/>
      <c r="CN2922" s="76">
        <f>+CM2922*22000</f>
        <v>0</v>
      </c>
      <c r="CO2922" s="76"/>
      <c r="CP2922" s="76">
        <f>+CO2922*46000</f>
        <v>0</v>
      </c>
      <c r="CQ2922" s="76"/>
      <c r="CR2922" s="76">
        <f>+CQ2922*49000</f>
        <v>0</v>
      </c>
      <c r="CS2922" s="76"/>
      <c r="CT2922" s="76"/>
      <c r="CU2922" s="56">
        <f>AN2922+AP2922+AR2922+AT2922+AV2922+AX2922+AZ2922+BB2922+BD2922+BF2922+BH2922+BJ2922+BL2922+BN2922+BP2922+BR2922+BT2922+BV2922+BX2922+BZ2922+CB2922+CD2922+CF2922+CH2922+CJ2922+CL2922+CN2922+CP2922+CR2922+CT2922</f>
        <v>0</v>
      </c>
      <c r="CV2922" s="76"/>
      <c r="CW2922" s="76">
        <f>+CV2922*1100</f>
        <v>0</v>
      </c>
      <c r="CX2922" s="76"/>
      <c r="CY2922" s="76">
        <f>+CX2922*106250</f>
        <v>0</v>
      </c>
      <c r="CZ2922" s="76"/>
      <c r="DA2922" s="76">
        <f>+CZ2922*34500</f>
        <v>0</v>
      </c>
      <c r="DB2922" s="76"/>
      <c r="DC2922" s="76">
        <f>+DB2922*25000</f>
        <v>0</v>
      </c>
      <c r="DD2922" s="219"/>
      <c r="DE2922" s="219"/>
      <c r="DF2922" s="166"/>
      <c r="DG2922" s="116"/>
      <c r="DH2922" s="117"/>
      <c r="DI2922" s="24"/>
      <c r="DJ2922" s="24"/>
      <c r="DK2922" s="24"/>
      <c r="DL2922" s="24"/>
      <c r="DM2922" s="24"/>
      <c r="DN2922" s="24"/>
      <c r="DO2922" s="24"/>
      <c r="DP2922" s="24"/>
      <c r="DQ2922" s="24"/>
      <c r="DR2922" s="24"/>
      <c r="DS2922" s="24"/>
      <c r="DT2922" s="24"/>
      <c r="DU2922" s="24"/>
    </row>
    <row r="2923" spans="1:125" s="8" customFormat="1" ht="60" x14ac:dyDescent="0.2">
      <c r="A2923" s="77">
        <v>41519</v>
      </c>
      <c r="B2923" s="78" t="s">
        <v>2851</v>
      </c>
      <c r="C2923" s="75" t="s">
        <v>1974</v>
      </c>
      <c r="D2923" s="75" t="s">
        <v>2846</v>
      </c>
      <c r="E2923" s="75" t="str">
        <f>VLOOKUP(B2923&amp;C2923,Divipola!$C$2:$F$1138,4,FALSE)</f>
        <v>76869</v>
      </c>
      <c r="F2923" s="87"/>
      <c r="G2923" s="87"/>
      <c r="H2923" s="87"/>
      <c r="I2923" s="87"/>
      <c r="J2923" s="87"/>
      <c r="K2923" s="87"/>
      <c r="L2923" s="87"/>
      <c r="M2923" s="87"/>
      <c r="N2923" s="87"/>
      <c r="O2923" s="87"/>
      <c r="P2923" s="87"/>
      <c r="Q2923" s="87"/>
      <c r="R2923" s="87"/>
      <c r="S2923" s="191"/>
      <c r="T2923" s="87"/>
      <c r="U2923" s="88">
        <v>10</v>
      </c>
      <c r="V2923" s="89"/>
      <c r="W2923" s="96">
        <v>0</v>
      </c>
      <c r="X2923" s="71">
        <f>CU2923</f>
        <v>0</v>
      </c>
      <c r="Y2923" s="71">
        <f>CY2923</f>
        <v>0</v>
      </c>
      <c r="Z2923" s="71">
        <f>DA2923+DC2923+DE2923</f>
        <v>0</v>
      </c>
      <c r="AA2923" s="71">
        <f>CW2923</f>
        <v>0</v>
      </c>
      <c r="AB2923" s="71"/>
      <c r="AC2923" s="71">
        <v>0</v>
      </c>
      <c r="AD2923" s="71">
        <f>W2923+X2923+Y2923+Z2923+AA2923+AB2923+AC2923</f>
        <v>0</v>
      </c>
      <c r="AE2923" s="72">
        <v>0</v>
      </c>
      <c r="AF2923" s="5"/>
      <c r="AG2923" s="6"/>
      <c r="AH2923" s="27"/>
      <c r="AI2923" s="44"/>
      <c r="AJ2923" s="26"/>
      <c r="AK2923" s="5"/>
      <c r="AL2923" s="9" t="s">
        <v>5774</v>
      </c>
      <c r="AM2923" s="76"/>
      <c r="AN2923" s="76"/>
      <c r="AO2923" s="76"/>
      <c r="AP2923" s="76"/>
      <c r="AQ2923" s="76"/>
      <c r="AR2923" s="76"/>
      <c r="AS2923" s="76"/>
      <c r="AT2923" s="76"/>
      <c r="AU2923" s="76"/>
      <c r="AV2923" s="76"/>
      <c r="AW2923" s="76"/>
      <c r="AX2923" s="76">
        <f>+AW2923*600000</f>
        <v>0</v>
      </c>
      <c r="AY2923" s="76"/>
      <c r="AZ2923" s="76">
        <f>+AY2923*70000</f>
        <v>0</v>
      </c>
      <c r="BA2923" s="76"/>
      <c r="BB2923" s="76"/>
      <c r="BC2923" s="76"/>
      <c r="BD2923" s="76">
        <f>+BC2923*30000</f>
        <v>0</v>
      </c>
      <c r="BE2923" s="76"/>
      <c r="BF2923" s="76"/>
      <c r="BG2923" s="76"/>
      <c r="BH2923" s="76"/>
      <c r="BI2923" s="76"/>
      <c r="BJ2923" s="76"/>
      <c r="BK2923" s="76"/>
      <c r="BL2923" s="76">
        <f>+BK2923*31500</f>
        <v>0</v>
      </c>
      <c r="BM2923" s="76"/>
      <c r="BN2923" s="76"/>
      <c r="BO2923" s="76"/>
      <c r="BP2923" s="76"/>
      <c r="BQ2923" s="76"/>
      <c r="BR2923" s="76"/>
      <c r="BS2923" s="76"/>
      <c r="BT2923" s="76"/>
      <c r="BU2923" s="76"/>
      <c r="BV2923" s="76"/>
      <c r="BW2923" s="76"/>
      <c r="BX2923" s="76"/>
      <c r="BY2923" s="76"/>
      <c r="BZ2923" s="76"/>
      <c r="CA2923" s="76"/>
      <c r="CB2923" s="76"/>
      <c r="CC2923" s="76"/>
      <c r="CD2923" s="76"/>
      <c r="CE2923" s="76"/>
      <c r="CF2923" s="76">
        <f>+CE2923*28000</f>
        <v>0</v>
      </c>
      <c r="CG2923" s="76"/>
      <c r="CH2923" s="76">
        <f>+CG2923*22500</f>
        <v>0</v>
      </c>
      <c r="CI2923" s="76"/>
      <c r="CJ2923" s="76">
        <f>+CI2923*26000</f>
        <v>0</v>
      </c>
      <c r="CK2923" s="76"/>
      <c r="CL2923" s="76"/>
      <c r="CM2923" s="76"/>
      <c r="CN2923" s="76">
        <f>+CM2923*22000</f>
        <v>0</v>
      </c>
      <c r="CO2923" s="76"/>
      <c r="CP2923" s="76">
        <f>+CO2923*46000</f>
        <v>0</v>
      </c>
      <c r="CQ2923" s="76"/>
      <c r="CR2923" s="76">
        <f>+CQ2923*49000</f>
        <v>0</v>
      </c>
      <c r="CS2923" s="76"/>
      <c r="CT2923" s="76"/>
      <c r="CU2923" s="56">
        <f>AN2923+AP2923+AR2923+AT2923+AV2923+AX2923+AZ2923+BB2923+BD2923+BF2923+BH2923+BJ2923+BL2923+BN2923+BP2923+BR2923+BT2923+BV2923+BX2923+BZ2923+CB2923+CD2923+CF2923+CH2923+CJ2923+CL2923+CN2923+CP2923+CR2923+CT2923</f>
        <v>0</v>
      </c>
      <c r="CV2923" s="76"/>
      <c r="CW2923" s="76">
        <f>+CV2923*1100</f>
        <v>0</v>
      </c>
      <c r="CX2923" s="76"/>
      <c r="CY2923" s="76">
        <f>+CX2923*106250</f>
        <v>0</v>
      </c>
      <c r="CZ2923" s="76"/>
      <c r="DA2923" s="76">
        <f>+CZ2923*34500</f>
        <v>0</v>
      </c>
      <c r="DB2923" s="76"/>
      <c r="DC2923" s="76">
        <f>+DB2923*25000</f>
        <v>0</v>
      </c>
      <c r="DD2923" s="219"/>
      <c r="DE2923" s="219"/>
      <c r="DF2923" s="166"/>
      <c r="DG2923" s="116"/>
      <c r="DH2923" s="117"/>
      <c r="DI2923" s="24"/>
      <c r="DJ2923" s="24"/>
      <c r="DK2923" s="24"/>
      <c r="DL2923" s="24"/>
      <c r="DM2923" s="24"/>
      <c r="DN2923" s="24"/>
      <c r="DO2923" s="24"/>
      <c r="DP2923" s="24"/>
      <c r="DQ2923" s="24"/>
      <c r="DR2923" s="24"/>
      <c r="DS2923" s="24"/>
      <c r="DT2923" s="24"/>
      <c r="DU2923" s="24"/>
    </row>
    <row r="2924" spans="1:125" s="8" customFormat="1" ht="60" x14ac:dyDescent="0.2">
      <c r="A2924" s="77">
        <v>41520</v>
      </c>
      <c r="B2924" s="352" t="s">
        <v>2894</v>
      </c>
      <c r="C2924" s="354" t="s">
        <v>2438</v>
      </c>
      <c r="D2924" s="354" t="s">
        <v>3051</v>
      </c>
      <c r="E2924" s="75" t="str">
        <f>VLOOKUP(B2924&amp;C2924,Divipola!$C$2:$F$1138,4,FALSE)</f>
        <v>05240</v>
      </c>
      <c r="F2924" s="87"/>
      <c r="G2924" s="87"/>
      <c r="H2924" s="87"/>
      <c r="I2924" s="87"/>
      <c r="J2924" s="87"/>
      <c r="K2924" s="87"/>
      <c r="L2924" s="87"/>
      <c r="M2924" s="87"/>
      <c r="N2924" s="87"/>
      <c r="O2924" s="87">
        <v>2</v>
      </c>
      <c r="P2924" s="87"/>
      <c r="Q2924" s="87">
        <v>2</v>
      </c>
      <c r="R2924" s="87"/>
      <c r="S2924" s="87"/>
      <c r="T2924" s="87"/>
      <c r="U2924" s="88"/>
      <c r="V2924" s="89">
        <v>1</v>
      </c>
      <c r="W2924" s="96">
        <v>0</v>
      </c>
      <c r="X2924" s="71">
        <f>CU2924</f>
        <v>0</v>
      </c>
      <c r="Y2924" s="71">
        <f>CY2924</f>
        <v>0</v>
      </c>
      <c r="Z2924" s="71">
        <f>DA2924+DC2924+DE2924</f>
        <v>0</v>
      </c>
      <c r="AA2924" s="71">
        <f>CW2924</f>
        <v>0</v>
      </c>
      <c r="AB2924" s="71"/>
      <c r="AC2924" s="71">
        <v>0</v>
      </c>
      <c r="AD2924" s="71">
        <f>W2924+X2924+Y2924+Z2924+AA2924+AB2924+AC2924</f>
        <v>0</v>
      </c>
      <c r="AE2924" s="72">
        <v>0</v>
      </c>
      <c r="AF2924" s="5"/>
      <c r="AG2924" s="6"/>
      <c r="AH2924" s="27"/>
      <c r="AI2924" s="44"/>
      <c r="AJ2924" s="26"/>
      <c r="AK2924" s="5"/>
      <c r="AL2924" s="274" t="s">
        <v>5802</v>
      </c>
      <c r="AM2924" s="76"/>
      <c r="AN2924" s="76"/>
      <c r="AO2924" s="76"/>
      <c r="AP2924" s="76"/>
      <c r="AQ2924" s="76"/>
      <c r="AR2924" s="76"/>
      <c r="AS2924" s="76"/>
      <c r="AT2924" s="76"/>
      <c r="AU2924" s="76"/>
      <c r="AV2924" s="76"/>
      <c r="AW2924" s="76"/>
      <c r="AX2924" s="76">
        <f>+AW2924*600000</f>
        <v>0</v>
      </c>
      <c r="AY2924" s="76"/>
      <c r="AZ2924" s="76">
        <f>+AY2924*70000</f>
        <v>0</v>
      </c>
      <c r="BA2924" s="76"/>
      <c r="BB2924" s="76"/>
      <c r="BC2924" s="76"/>
      <c r="BD2924" s="76">
        <f>+BC2924*30000</f>
        <v>0</v>
      </c>
      <c r="BE2924" s="76"/>
      <c r="BF2924" s="76"/>
      <c r="BG2924" s="76"/>
      <c r="BH2924" s="76"/>
      <c r="BI2924" s="76"/>
      <c r="BJ2924" s="76"/>
      <c r="BK2924" s="76"/>
      <c r="BL2924" s="76">
        <f>+BK2924*31500</f>
        <v>0</v>
      </c>
      <c r="BM2924" s="76"/>
      <c r="BN2924" s="76"/>
      <c r="BO2924" s="76"/>
      <c r="BP2924" s="76"/>
      <c r="BQ2924" s="76"/>
      <c r="BR2924" s="76"/>
      <c r="BS2924" s="76"/>
      <c r="BT2924" s="76"/>
      <c r="BU2924" s="76"/>
      <c r="BV2924" s="76"/>
      <c r="BW2924" s="76"/>
      <c r="BX2924" s="76"/>
      <c r="BY2924" s="76"/>
      <c r="BZ2924" s="76"/>
      <c r="CA2924" s="76"/>
      <c r="CB2924" s="76"/>
      <c r="CC2924" s="76"/>
      <c r="CD2924" s="76"/>
      <c r="CE2924" s="76"/>
      <c r="CF2924" s="76">
        <f>+CE2924*28000</f>
        <v>0</v>
      </c>
      <c r="CG2924" s="76"/>
      <c r="CH2924" s="76">
        <f>+CG2924*22500</f>
        <v>0</v>
      </c>
      <c r="CI2924" s="76"/>
      <c r="CJ2924" s="76">
        <f>+CI2924*26000</f>
        <v>0</v>
      </c>
      <c r="CK2924" s="76"/>
      <c r="CL2924" s="76"/>
      <c r="CM2924" s="76"/>
      <c r="CN2924" s="76">
        <f>+CM2924*22000</f>
        <v>0</v>
      </c>
      <c r="CO2924" s="76"/>
      <c r="CP2924" s="76">
        <f>+CO2924*46000</f>
        <v>0</v>
      </c>
      <c r="CQ2924" s="76"/>
      <c r="CR2924" s="76">
        <f>+CQ2924*49000</f>
        <v>0</v>
      </c>
      <c r="CS2924" s="76"/>
      <c r="CT2924" s="76"/>
      <c r="CU2924" s="56">
        <f>AN2924+AP2924+AR2924+AT2924+AV2924+AX2924+AZ2924+BB2924+BD2924+BF2924+BH2924+BJ2924+BL2924+BN2924+BP2924+BR2924+BT2924+BV2924+BX2924+BZ2924+CB2924+CD2924+CF2924+CH2924+CJ2924+CL2924+CN2924+CP2924+CR2924+CT2924</f>
        <v>0</v>
      </c>
      <c r="CV2924" s="76"/>
      <c r="CW2924" s="76">
        <f>+CV2924*1100</f>
        <v>0</v>
      </c>
      <c r="CX2924" s="76"/>
      <c r="CY2924" s="76">
        <f>+CX2924*106250</f>
        <v>0</v>
      </c>
      <c r="CZ2924" s="76"/>
      <c r="DA2924" s="76">
        <f>+CZ2924*34500</f>
        <v>0</v>
      </c>
      <c r="DB2924" s="76"/>
      <c r="DC2924" s="76">
        <f>+DB2924*25000</f>
        <v>0</v>
      </c>
      <c r="DD2924" s="219"/>
      <c r="DE2924" s="219"/>
      <c r="DF2924" s="166"/>
      <c r="DG2924" s="116"/>
      <c r="DH2924" s="117"/>
      <c r="DI2924" s="24"/>
      <c r="DJ2924" s="24"/>
      <c r="DK2924" s="24"/>
      <c r="DL2924" s="24"/>
      <c r="DM2924" s="24"/>
      <c r="DN2924" s="24"/>
      <c r="DO2924" s="24"/>
      <c r="DP2924" s="24"/>
      <c r="DQ2924" s="24"/>
      <c r="DR2924" s="24"/>
      <c r="DS2924" s="24"/>
      <c r="DT2924" s="24"/>
      <c r="DU2924" s="24"/>
    </row>
    <row r="2925" spans="1:125" s="8" customFormat="1" ht="72" x14ac:dyDescent="0.2">
      <c r="A2925" s="77">
        <v>41520</v>
      </c>
      <c r="B2925" s="352" t="s">
        <v>529</v>
      </c>
      <c r="C2925" s="352" t="s">
        <v>529</v>
      </c>
      <c r="D2925" s="354" t="s">
        <v>2846</v>
      </c>
      <c r="E2925" s="75" t="str">
        <f>VLOOKUP(B2925&amp;C2925,Divipola!$C$2:$F$1138,4,FALSE)</f>
        <v>11001</v>
      </c>
      <c r="F2925" s="87"/>
      <c r="G2925" s="87"/>
      <c r="H2925" s="87"/>
      <c r="I2925" s="87"/>
      <c r="J2925" s="87"/>
      <c r="K2925" s="87"/>
      <c r="L2925" s="87"/>
      <c r="M2925" s="87"/>
      <c r="N2925" s="87"/>
      <c r="O2925" s="87"/>
      <c r="P2925" s="87"/>
      <c r="Q2925" s="87"/>
      <c r="R2925" s="87"/>
      <c r="S2925" s="87"/>
      <c r="T2925" s="87"/>
      <c r="U2925" s="88"/>
      <c r="V2925" s="89"/>
      <c r="W2925" s="96">
        <v>0</v>
      </c>
      <c r="X2925" s="71">
        <f>CU2925</f>
        <v>0</v>
      </c>
      <c r="Y2925" s="71">
        <f>CY2925</f>
        <v>0</v>
      </c>
      <c r="Z2925" s="71">
        <f>DA2925+DC2925+DE2925</f>
        <v>0</v>
      </c>
      <c r="AA2925" s="71">
        <f>CW2925</f>
        <v>0</v>
      </c>
      <c r="AB2925" s="71"/>
      <c r="AC2925" s="71">
        <v>0</v>
      </c>
      <c r="AD2925" s="71">
        <f>W2925+X2925+Y2925+Z2925+AA2925+AB2925+AC2925</f>
        <v>0</v>
      </c>
      <c r="AE2925" s="72">
        <v>0</v>
      </c>
      <c r="AF2925" s="5"/>
      <c r="AG2925" s="6"/>
      <c r="AH2925" s="27"/>
      <c r="AI2925" s="44"/>
      <c r="AJ2925" s="26"/>
      <c r="AK2925" s="5"/>
      <c r="AL2925" s="274" t="s">
        <v>5773</v>
      </c>
      <c r="AM2925" s="76"/>
      <c r="AN2925" s="76"/>
      <c r="AO2925" s="76"/>
      <c r="AP2925" s="76"/>
      <c r="AQ2925" s="76"/>
      <c r="AR2925" s="76"/>
      <c r="AS2925" s="76"/>
      <c r="AT2925" s="76"/>
      <c r="AU2925" s="76"/>
      <c r="AV2925" s="76"/>
      <c r="AW2925" s="76"/>
      <c r="AX2925" s="76">
        <f>+AW2925*600000</f>
        <v>0</v>
      </c>
      <c r="AY2925" s="76"/>
      <c r="AZ2925" s="76">
        <f>+AY2925*70000</f>
        <v>0</v>
      </c>
      <c r="BA2925" s="76"/>
      <c r="BB2925" s="76"/>
      <c r="BC2925" s="76"/>
      <c r="BD2925" s="76">
        <f>+BC2925*30000</f>
        <v>0</v>
      </c>
      <c r="BE2925" s="76"/>
      <c r="BF2925" s="76"/>
      <c r="BG2925" s="76"/>
      <c r="BH2925" s="76"/>
      <c r="BI2925" s="76"/>
      <c r="BJ2925" s="76"/>
      <c r="BK2925" s="76"/>
      <c r="BL2925" s="76">
        <f>+BK2925*31500</f>
        <v>0</v>
      </c>
      <c r="BM2925" s="76"/>
      <c r="BN2925" s="76"/>
      <c r="BO2925" s="76"/>
      <c r="BP2925" s="76"/>
      <c r="BQ2925" s="76"/>
      <c r="BR2925" s="76"/>
      <c r="BS2925" s="76"/>
      <c r="BT2925" s="76"/>
      <c r="BU2925" s="76"/>
      <c r="BV2925" s="76"/>
      <c r="BW2925" s="76"/>
      <c r="BX2925" s="76"/>
      <c r="BY2925" s="76"/>
      <c r="BZ2925" s="76"/>
      <c r="CA2925" s="76"/>
      <c r="CB2925" s="76"/>
      <c r="CC2925" s="76"/>
      <c r="CD2925" s="76"/>
      <c r="CE2925" s="76"/>
      <c r="CF2925" s="76">
        <f>+CE2925*28000</f>
        <v>0</v>
      </c>
      <c r="CG2925" s="76"/>
      <c r="CH2925" s="76">
        <f>+CG2925*22500</f>
        <v>0</v>
      </c>
      <c r="CI2925" s="76"/>
      <c r="CJ2925" s="76">
        <f>+CI2925*26000</f>
        <v>0</v>
      </c>
      <c r="CK2925" s="76"/>
      <c r="CL2925" s="76"/>
      <c r="CM2925" s="76"/>
      <c r="CN2925" s="76">
        <f>+CM2925*22000</f>
        <v>0</v>
      </c>
      <c r="CO2925" s="76"/>
      <c r="CP2925" s="76">
        <f>+CO2925*46000</f>
        <v>0</v>
      </c>
      <c r="CQ2925" s="76"/>
      <c r="CR2925" s="76">
        <f>+CQ2925*49000</f>
        <v>0</v>
      </c>
      <c r="CS2925" s="76"/>
      <c r="CT2925" s="76"/>
      <c r="CU2925" s="56">
        <f>AN2925+AP2925+AR2925+AT2925+AV2925+AX2925+AZ2925+BB2925+BD2925+BF2925+BH2925+BJ2925+BL2925+BN2925+BP2925+BR2925+BT2925+BV2925+BX2925+BZ2925+CB2925+CD2925+CF2925+CH2925+CJ2925+CL2925+CN2925+CP2925+CR2925+CT2925</f>
        <v>0</v>
      </c>
      <c r="CV2925" s="76"/>
      <c r="CW2925" s="76">
        <f>+CV2925*1100</f>
        <v>0</v>
      </c>
      <c r="CX2925" s="76"/>
      <c r="CY2925" s="76">
        <f>+CX2925*106250</f>
        <v>0</v>
      </c>
      <c r="CZ2925" s="76"/>
      <c r="DA2925" s="76">
        <f>+CZ2925*34500</f>
        <v>0</v>
      </c>
      <c r="DB2925" s="76"/>
      <c r="DC2925" s="76">
        <f>+DB2925*25000</f>
        <v>0</v>
      </c>
      <c r="DD2925" s="219"/>
      <c r="DE2925" s="219"/>
      <c r="DF2925" s="166"/>
      <c r="DG2925" s="116"/>
      <c r="DH2925" s="117"/>
      <c r="DI2925" s="24"/>
      <c r="DJ2925" s="24"/>
      <c r="DK2925" s="24"/>
      <c r="DL2925" s="24"/>
      <c r="DM2925" s="24"/>
      <c r="DN2925" s="24"/>
      <c r="DO2925" s="24"/>
      <c r="DP2925" s="24"/>
      <c r="DQ2925" s="24"/>
      <c r="DR2925" s="24"/>
      <c r="DS2925" s="24"/>
      <c r="DT2925" s="24"/>
      <c r="DU2925" s="24"/>
    </row>
    <row r="2926" spans="1:125" s="8" customFormat="1" ht="36" x14ac:dyDescent="0.2">
      <c r="A2926" s="77">
        <v>41520</v>
      </c>
      <c r="B2926" s="352" t="s">
        <v>2700</v>
      </c>
      <c r="C2926" s="354" t="s">
        <v>536</v>
      </c>
      <c r="D2926" s="354" t="s">
        <v>2846</v>
      </c>
      <c r="E2926" s="75" t="str">
        <f>VLOOKUP(B2926&amp;C2926,Divipola!$C$2:$F$1138,4,FALSE)</f>
        <v>15322</v>
      </c>
      <c r="F2926" s="87"/>
      <c r="G2926" s="87"/>
      <c r="H2926" s="87"/>
      <c r="I2926" s="87"/>
      <c r="J2926" s="87"/>
      <c r="K2926" s="87"/>
      <c r="L2926" s="87"/>
      <c r="M2926" s="87"/>
      <c r="N2926" s="87"/>
      <c r="O2926" s="87"/>
      <c r="P2926" s="87"/>
      <c r="Q2926" s="87"/>
      <c r="R2926" s="87"/>
      <c r="S2926" s="87"/>
      <c r="T2926" s="87"/>
      <c r="U2926" s="88">
        <v>2</v>
      </c>
      <c r="V2926" s="89"/>
      <c r="W2926" s="96">
        <v>0</v>
      </c>
      <c r="X2926" s="71">
        <f>CU2926</f>
        <v>0</v>
      </c>
      <c r="Y2926" s="71">
        <f>CY2926</f>
        <v>0</v>
      </c>
      <c r="Z2926" s="71">
        <f>DA2926+DC2926+DE2926</f>
        <v>0</v>
      </c>
      <c r="AA2926" s="71">
        <f>CW2926</f>
        <v>0</v>
      </c>
      <c r="AB2926" s="71"/>
      <c r="AC2926" s="71">
        <v>0</v>
      </c>
      <c r="AD2926" s="71">
        <f>W2926+X2926+Y2926+Z2926+AA2926+AB2926+AC2926</f>
        <v>0</v>
      </c>
      <c r="AE2926" s="72">
        <v>0</v>
      </c>
      <c r="AF2926" s="5"/>
      <c r="AG2926" s="6"/>
      <c r="AH2926" s="27"/>
      <c r="AI2926" s="44"/>
      <c r="AJ2926" s="26"/>
      <c r="AK2926" s="5"/>
      <c r="AL2926" s="82" t="s">
        <v>5810</v>
      </c>
      <c r="AM2926" s="76"/>
      <c r="AN2926" s="76"/>
      <c r="AO2926" s="76"/>
      <c r="AP2926" s="76"/>
      <c r="AQ2926" s="76"/>
      <c r="AR2926" s="76"/>
      <c r="AS2926" s="76"/>
      <c r="AT2926" s="76"/>
      <c r="AU2926" s="76"/>
      <c r="AV2926" s="76"/>
      <c r="AW2926" s="76"/>
      <c r="AX2926" s="76">
        <f>+AW2926*600000</f>
        <v>0</v>
      </c>
      <c r="AY2926" s="76"/>
      <c r="AZ2926" s="76">
        <f>+AY2926*70000</f>
        <v>0</v>
      </c>
      <c r="BA2926" s="76"/>
      <c r="BB2926" s="76"/>
      <c r="BC2926" s="76"/>
      <c r="BD2926" s="76">
        <f>+BC2926*30000</f>
        <v>0</v>
      </c>
      <c r="BE2926" s="76"/>
      <c r="BF2926" s="76"/>
      <c r="BG2926" s="76"/>
      <c r="BH2926" s="76"/>
      <c r="BI2926" s="76"/>
      <c r="BJ2926" s="76"/>
      <c r="BK2926" s="76"/>
      <c r="BL2926" s="76">
        <f>+BK2926*31500</f>
        <v>0</v>
      </c>
      <c r="BM2926" s="76"/>
      <c r="BN2926" s="76"/>
      <c r="BO2926" s="76"/>
      <c r="BP2926" s="76"/>
      <c r="BQ2926" s="76"/>
      <c r="BR2926" s="76"/>
      <c r="BS2926" s="76"/>
      <c r="BT2926" s="76"/>
      <c r="BU2926" s="76"/>
      <c r="BV2926" s="76"/>
      <c r="BW2926" s="76"/>
      <c r="BX2926" s="76"/>
      <c r="BY2926" s="76"/>
      <c r="BZ2926" s="76"/>
      <c r="CA2926" s="76"/>
      <c r="CB2926" s="76"/>
      <c r="CC2926" s="76"/>
      <c r="CD2926" s="76"/>
      <c r="CE2926" s="76"/>
      <c r="CF2926" s="76">
        <f>+CE2926*28000</f>
        <v>0</v>
      </c>
      <c r="CG2926" s="76"/>
      <c r="CH2926" s="76">
        <f>+CG2926*22500</f>
        <v>0</v>
      </c>
      <c r="CI2926" s="76"/>
      <c r="CJ2926" s="76">
        <f>+CI2926*26000</f>
        <v>0</v>
      </c>
      <c r="CK2926" s="76"/>
      <c r="CL2926" s="76"/>
      <c r="CM2926" s="76"/>
      <c r="CN2926" s="76">
        <f>+CM2926*22000</f>
        <v>0</v>
      </c>
      <c r="CO2926" s="76"/>
      <c r="CP2926" s="76">
        <f>+CO2926*46000</f>
        <v>0</v>
      </c>
      <c r="CQ2926" s="76"/>
      <c r="CR2926" s="76">
        <f>+CQ2926*49000</f>
        <v>0</v>
      </c>
      <c r="CS2926" s="76"/>
      <c r="CT2926" s="76"/>
      <c r="CU2926" s="56">
        <f>AN2926+AP2926+AR2926+AT2926+AV2926+AX2926+AZ2926+BB2926+BD2926+BF2926+BH2926+BJ2926+BL2926+BN2926+BP2926+BR2926+BT2926+BV2926+BX2926+BZ2926+CB2926+CD2926+CF2926+CH2926+CJ2926+CL2926+CN2926+CP2926+CR2926+CT2926</f>
        <v>0</v>
      </c>
      <c r="CV2926" s="76"/>
      <c r="CW2926" s="76">
        <f>+CV2926*1100</f>
        <v>0</v>
      </c>
      <c r="CX2926" s="76"/>
      <c r="CY2926" s="76">
        <f>+CX2926*106250</f>
        <v>0</v>
      </c>
      <c r="CZ2926" s="76"/>
      <c r="DA2926" s="76">
        <f>+CZ2926*34500</f>
        <v>0</v>
      </c>
      <c r="DB2926" s="76"/>
      <c r="DC2926" s="76">
        <f>+DB2926*25000</f>
        <v>0</v>
      </c>
      <c r="DD2926" s="219"/>
      <c r="DE2926" s="219"/>
      <c r="DF2926" s="166"/>
      <c r="DG2926" s="116"/>
      <c r="DH2926" s="117"/>
      <c r="DI2926" s="24"/>
      <c r="DJ2926" s="24"/>
      <c r="DK2926" s="24"/>
      <c r="DL2926" s="24"/>
      <c r="DM2926" s="24"/>
      <c r="DN2926" s="24"/>
      <c r="DO2926" s="24"/>
      <c r="DP2926" s="24"/>
      <c r="DQ2926" s="24"/>
      <c r="DR2926" s="24"/>
      <c r="DS2926" s="24"/>
      <c r="DT2926" s="24"/>
      <c r="DU2926" s="24"/>
    </row>
    <row r="2927" spans="1:125" s="8" customFormat="1" ht="48" x14ac:dyDescent="0.2">
      <c r="A2927" s="77">
        <v>41520</v>
      </c>
      <c r="B2927" s="352" t="s">
        <v>2718</v>
      </c>
      <c r="C2927" s="354" t="s">
        <v>2193</v>
      </c>
      <c r="D2927" s="354" t="s">
        <v>3051</v>
      </c>
      <c r="E2927" s="75" t="str">
        <f>VLOOKUP(B2927&amp;C2927,Divipola!$C$2:$F$1138,4,FALSE)</f>
        <v>23350</v>
      </c>
      <c r="F2927" s="87"/>
      <c r="G2927" s="87"/>
      <c r="H2927" s="87"/>
      <c r="I2927" s="87">
        <v>650</v>
      </c>
      <c r="J2927" s="87">
        <v>130</v>
      </c>
      <c r="K2927" s="87"/>
      <c r="L2927" s="87">
        <v>130</v>
      </c>
      <c r="M2927" s="87"/>
      <c r="N2927" s="87"/>
      <c r="O2927" s="87"/>
      <c r="P2927" s="87"/>
      <c r="Q2927" s="87"/>
      <c r="R2927" s="87"/>
      <c r="S2927" s="87"/>
      <c r="T2927" s="87"/>
      <c r="U2927" s="88"/>
      <c r="V2927" s="89"/>
      <c r="W2927" s="96">
        <v>0</v>
      </c>
      <c r="X2927" s="71">
        <f>CU2927</f>
        <v>21774870.399999999</v>
      </c>
      <c r="Y2927" s="71">
        <f>CY2927</f>
        <v>15937500</v>
      </c>
      <c r="Z2927" s="71">
        <f>DA2927+DC2927+DE2927</f>
        <v>0</v>
      </c>
      <c r="AA2927" s="71">
        <f>CW2927</f>
        <v>21993600</v>
      </c>
      <c r="AB2927" s="71"/>
      <c r="AC2927" s="71">
        <v>0</v>
      </c>
      <c r="AD2927" s="71">
        <f>W2927+X2927+Y2927+Z2927+AA2927+AB2927+AC2927</f>
        <v>59705970.399999999</v>
      </c>
      <c r="AE2927" s="72">
        <v>0</v>
      </c>
      <c r="AF2927" s="5"/>
      <c r="AG2927" s="6"/>
      <c r="AH2927" s="27"/>
      <c r="AI2927" s="44"/>
      <c r="AJ2927" s="26"/>
      <c r="AK2927" s="5"/>
      <c r="AL2927" s="274" t="s">
        <v>5805</v>
      </c>
      <c r="AM2927" s="76"/>
      <c r="AN2927" s="76"/>
      <c r="AO2927" s="76"/>
      <c r="AP2927" s="76"/>
      <c r="AQ2927" s="76"/>
      <c r="AR2927" s="76"/>
      <c r="AS2927" s="76"/>
      <c r="AT2927" s="76"/>
      <c r="AU2927" s="76"/>
      <c r="AV2927" s="76"/>
      <c r="AW2927" s="76"/>
      <c r="AX2927" s="76">
        <f>+AW2927*600000</f>
        <v>0</v>
      </c>
      <c r="AY2927" s="76"/>
      <c r="AZ2927" s="76">
        <f>+AY2927*70000</f>
        <v>0</v>
      </c>
      <c r="BA2927" s="76"/>
      <c r="BB2927" s="76"/>
      <c r="BC2927" s="76"/>
      <c r="BD2927" s="76">
        <f>+BC2927*30000</f>
        <v>0</v>
      </c>
      <c r="BE2927" s="76"/>
      <c r="BF2927" s="76"/>
      <c r="BG2927" s="76"/>
      <c r="BH2927" s="76"/>
      <c r="BI2927" s="76"/>
      <c r="BJ2927" s="76"/>
      <c r="BK2927" s="86">
        <v>150</v>
      </c>
      <c r="BL2927" s="86">
        <f>+BK2927*31499.8</f>
        <v>4724970</v>
      </c>
      <c r="BM2927" s="76"/>
      <c r="BN2927" s="76"/>
      <c r="BO2927" s="76"/>
      <c r="BP2927" s="76"/>
      <c r="BQ2927" s="76"/>
      <c r="BR2927" s="76"/>
      <c r="BS2927" s="76"/>
      <c r="BT2927" s="76"/>
      <c r="BU2927" s="76"/>
      <c r="BV2927" s="76"/>
      <c r="BW2927" s="76"/>
      <c r="BX2927" s="76"/>
      <c r="BY2927" s="86">
        <v>5</v>
      </c>
      <c r="BZ2927" s="86">
        <f>5*559999.28</f>
        <v>2799996.4000000004</v>
      </c>
      <c r="CA2927" s="76"/>
      <c r="CB2927" s="76"/>
      <c r="CC2927" s="76"/>
      <c r="CD2927" s="76"/>
      <c r="CE2927" s="76"/>
      <c r="CF2927" s="76">
        <f>+CE2927*28000</f>
        <v>0</v>
      </c>
      <c r="CG2927" s="76"/>
      <c r="CH2927" s="76">
        <f>+CG2927*22500</f>
        <v>0</v>
      </c>
      <c r="CI2927" s="76"/>
      <c r="CJ2927" s="76">
        <f>+CI2927*26000</f>
        <v>0</v>
      </c>
      <c r="CK2927" s="76"/>
      <c r="CL2927" s="76"/>
      <c r="CM2927" s="76"/>
      <c r="CN2927" s="76">
        <f>+CM2927*22000</f>
        <v>0</v>
      </c>
      <c r="CO2927" s="86">
        <v>150</v>
      </c>
      <c r="CP2927" s="86">
        <f>+CO2927*45999.8</f>
        <v>6899970</v>
      </c>
      <c r="CQ2927" s="86">
        <v>150</v>
      </c>
      <c r="CR2927" s="86">
        <f>+CQ2927*48999.56</f>
        <v>7349934</v>
      </c>
      <c r="CS2927" s="76"/>
      <c r="CT2927" s="76"/>
      <c r="CU2927" s="56">
        <f>AN2927+AP2927+AR2927+AT2927+AV2927+AX2927+AZ2927+BB2927+BD2927+BF2927+BH2927+BJ2927+BL2927+BN2927+BP2927+BR2927+BT2927+BV2927+BX2927+BZ2927+CB2927+CD2927+CF2927+CH2927+CJ2927+CL2927+CN2927+CP2927+CR2927+CT2927</f>
        <v>21774870.399999999</v>
      </c>
      <c r="CV2927" s="86">
        <v>20000</v>
      </c>
      <c r="CW2927" s="86">
        <f>+CV2927*1099.68</f>
        <v>21993600</v>
      </c>
      <c r="CX2927" s="86">
        <v>150</v>
      </c>
      <c r="CY2927" s="86">
        <f>+CX2927*106250</f>
        <v>15937500</v>
      </c>
      <c r="CZ2927" s="76"/>
      <c r="DA2927" s="76">
        <f>+CZ2927*34500</f>
        <v>0</v>
      </c>
      <c r="DB2927" s="76"/>
      <c r="DC2927" s="76">
        <f>+DB2927*25000</f>
        <v>0</v>
      </c>
      <c r="DD2927" s="219"/>
      <c r="DE2927" s="219"/>
      <c r="DF2927" s="166"/>
      <c r="DG2927" s="134" t="s">
        <v>6359</v>
      </c>
      <c r="DH2927" s="117"/>
      <c r="DI2927" s="24"/>
      <c r="DJ2927" s="24"/>
      <c r="DK2927" s="24"/>
      <c r="DL2927" s="24"/>
      <c r="DM2927" s="24"/>
      <c r="DN2927" s="24"/>
      <c r="DO2927" s="24"/>
      <c r="DP2927" s="24"/>
      <c r="DQ2927" s="24"/>
      <c r="DR2927" s="24"/>
      <c r="DS2927" s="24"/>
      <c r="DT2927" s="24"/>
      <c r="DU2927" s="24"/>
    </row>
    <row r="2928" spans="1:125" s="8" customFormat="1" ht="48" x14ac:dyDescent="0.2">
      <c r="A2928" s="77">
        <v>41520</v>
      </c>
      <c r="B2928" s="352" t="s">
        <v>2718</v>
      </c>
      <c r="C2928" s="354" t="s">
        <v>977</v>
      </c>
      <c r="D2928" s="354" t="s">
        <v>3051</v>
      </c>
      <c r="E2928" s="75" t="str">
        <f>VLOOKUP(B2928&amp;C2928,Divipola!$C$2:$F$1138,4,FALSE)</f>
        <v>23570</v>
      </c>
      <c r="F2928" s="87"/>
      <c r="G2928" s="87"/>
      <c r="H2928" s="87"/>
      <c r="I2928" s="87">
        <v>1200</v>
      </c>
      <c r="J2928" s="87">
        <v>240</v>
      </c>
      <c r="K2928" s="87"/>
      <c r="L2928" s="87">
        <v>240</v>
      </c>
      <c r="M2928" s="87"/>
      <c r="N2928" s="87"/>
      <c r="O2928" s="87"/>
      <c r="P2928" s="87"/>
      <c r="Q2928" s="87"/>
      <c r="R2928" s="87"/>
      <c r="S2928" s="87"/>
      <c r="T2928" s="87"/>
      <c r="U2928" s="88"/>
      <c r="V2928" s="89"/>
      <c r="W2928" s="96">
        <v>0</v>
      </c>
      <c r="X2928" s="71">
        <f>CU2928</f>
        <v>0</v>
      </c>
      <c r="Y2928" s="71">
        <f>CY2928</f>
        <v>0</v>
      </c>
      <c r="Z2928" s="71">
        <f>DA2928+DC2928+DE2928</f>
        <v>0</v>
      </c>
      <c r="AA2928" s="71">
        <f>CW2928</f>
        <v>0</v>
      </c>
      <c r="AB2928" s="71"/>
      <c r="AC2928" s="71">
        <v>0</v>
      </c>
      <c r="AD2928" s="71">
        <f>W2928+X2928+Y2928+Z2928+AA2928+AB2928+AC2928</f>
        <v>0</v>
      </c>
      <c r="AE2928" s="72">
        <v>0</v>
      </c>
      <c r="AF2928" s="5"/>
      <c r="AG2928" s="6"/>
      <c r="AH2928" s="27"/>
      <c r="AI2928" s="44"/>
      <c r="AJ2928" s="26"/>
      <c r="AK2928" s="5"/>
      <c r="AL2928" s="274" t="s">
        <v>5803</v>
      </c>
      <c r="AM2928" s="76"/>
      <c r="AN2928" s="76"/>
      <c r="AO2928" s="76"/>
      <c r="AP2928" s="76"/>
      <c r="AQ2928" s="76"/>
      <c r="AR2928" s="76"/>
      <c r="AS2928" s="76"/>
      <c r="AT2928" s="76"/>
      <c r="AU2928" s="76"/>
      <c r="AV2928" s="76"/>
      <c r="AW2928" s="76"/>
      <c r="AX2928" s="76">
        <f>+AW2928*600000</f>
        <v>0</v>
      </c>
      <c r="AY2928" s="76"/>
      <c r="AZ2928" s="76">
        <f>+AY2928*70000</f>
        <v>0</v>
      </c>
      <c r="BA2928" s="76"/>
      <c r="BB2928" s="76"/>
      <c r="BC2928" s="76"/>
      <c r="BD2928" s="76">
        <f>+BC2928*30000</f>
        <v>0</v>
      </c>
      <c r="BE2928" s="76"/>
      <c r="BF2928" s="76"/>
      <c r="BG2928" s="76"/>
      <c r="BH2928" s="76"/>
      <c r="BI2928" s="76"/>
      <c r="BJ2928" s="76"/>
      <c r="BK2928" s="76"/>
      <c r="BL2928" s="76">
        <f>+BK2928*31500</f>
        <v>0</v>
      </c>
      <c r="BM2928" s="76"/>
      <c r="BN2928" s="76"/>
      <c r="BO2928" s="76"/>
      <c r="BP2928" s="76"/>
      <c r="BQ2928" s="76"/>
      <c r="BR2928" s="76"/>
      <c r="BS2928" s="76"/>
      <c r="BT2928" s="76"/>
      <c r="BU2928" s="76"/>
      <c r="BV2928" s="76"/>
      <c r="BW2928" s="76"/>
      <c r="BX2928" s="76"/>
      <c r="BY2928" s="76"/>
      <c r="BZ2928" s="76"/>
      <c r="CA2928" s="76"/>
      <c r="CB2928" s="76"/>
      <c r="CC2928" s="76"/>
      <c r="CD2928" s="76"/>
      <c r="CE2928" s="76"/>
      <c r="CF2928" s="76">
        <f>+CE2928*28000</f>
        <v>0</v>
      </c>
      <c r="CG2928" s="76"/>
      <c r="CH2928" s="76">
        <f>+CG2928*22500</f>
        <v>0</v>
      </c>
      <c r="CI2928" s="76"/>
      <c r="CJ2928" s="76">
        <f>+CI2928*26000</f>
        <v>0</v>
      </c>
      <c r="CK2928" s="76"/>
      <c r="CL2928" s="76"/>
      <c r="CM2928" s="76"/>
      <c r="CN2928" s="76">
        <f>+CM2928*22000</f>
        <v>0</v>
      </c>
      <c r="CO2928" s="76"/>
      <c r="CP2928" s="76">
        <f>+CO2928*46000</f>
        <v>0</v>
      </c>
      <c r="CQ2928" s="76"/>
      <c r="CR2928" s="76">
        <f>+CQ2928*49000</f>
        <v>0</v>
      </c>
      <c r="CS2928" s="76"/>
      <c r="CT2928" s="76"/>
      <c r="CU2928" s="56">
        <f>AN2928+AP2928+AR2928+AT2928+AV2928+AX2928+AZ2928+BB2928+BD2928+BF2928+BH2928+BJ2928+BL2928+BN2928+BP2928+BR2928+BT2928+BV2928+BX2928+BZ2928+CB2928+CD2928+CF2928+CH2928+CJ2928+CL2928+CN2928+CP2928+CR2928+CT2928</f>
        <v>0</v>
      </c>
      <c r="CV2928" s="76"/>
      <c r="CW2928" s="76">
        <f>+CV2928*1100</f>
        <v>0</v>
      </c>
      <c r="CX2928" s="76"/>
      <c r="CY2928" s="76">
        <f>+CX2928*106250</f>
        <v>0</v>
      </c>
      <c r="CZ2928" s="76"/>
      <c r="DA2928" s="76">
        <f>+CZ2928*34500</f>
        <v>0</v>
      </c>
      <c r="DB2928" s="76"/>
      <c r="DC2928" s="76">
        <f>+DB2928*25000</f>
        <v>0</v>
      </c>
      <c r="DD2928" s="219"/>
      <c r="DE2928" s="219"/>
      <c r="DF2928" s="166"/>
      <c r="DG2928" s="116"/>
      <c r="DH2928" s="117"/>
      <c r="DI2928" s="24"/>
      <c r="DJ2928" s="24"/>
      <c r="DK2928" s="24"/>
      <c r="DL2928" s="24"/>
      <c r="DM2928" s="24"/>
      <c r="DN2928" s="24"/>
      <c r="DO2928" s="24"/>
      <c r="DP2928" s="24"/>
      <c r="DQ2928" s="24"/>
      <c r="DR2928" s="24"/>
      <c r="DS2928" s="24"/>
      <c r="DT2928" s="24"/>
      <c r="DU2928" s="24"/>
    </row>
    <row r="2929" spans="1:125" s="8" customFormat="1" ht="36" x14ac:dyDescent="0.2">
      <c r="A2929" s="77">
        <v>41520</v>
      </c>
      <c r="B2929" s="60" t="s">
        <v>2906</v>
      </c>
      <c r="C2929" s="55" t="s">
        <v>466</v>
      </c>
      <c r="D2929" s="55" t="s">
        <v>2882</v>
      </c>
      <c r="E2929" s="75" t="str">
        <f>VLOOKUP(B2929&amp;C2929,Divipola!$C$2:$F$1138,4,FALSE)</f>
        <v>47707</v>
      </c>
      <c r="F2929" s="87"/>
      <c r="G2929" s="87"/>
      <c r="H2929" s="87"/>
      <c r="I2929" s="87">
        <v>50</v>
      </c>
      <c r="J2929" s="87">
        <v>10</v>
      </c>
      <c r="K2929" s="87"/>
      <c r="L2929" s="87">
        <v>10</v>
      </c>
      <c r="M2929" s="87"/>
      <c r="N2929" s="87"/>
      <c r="O2929" s="87"/>
      <c r="P2929" s="87"/>
      <c r="Q2929" s="87"/>
      <c r="R2929" s="87"/>
      <c r="S2929" s="87"/>
      <c r="T2929" s="87"/>
      <c r="U2929" s="88"/>
      <c r="V2929" s="89"/>
      <c r="W2929" s="96">
        <v>0</v>
      </c>
      <c r="X2929" s="71">
        <f>CU2929</f>
        <v>0</v>
      </c>
      <c r="Y2929" s="71">
        <f>CY2929</f>
        <v>0</v>
      </c>
      <c r="Z2929" s="71">
        <f>DA2929+DC2929+DE2929</f>
        <v>0</v>
      </c>
      <c r="AA2929" s="71">
        <f>CW2929</f>
        <v>0</v>
      </c>
      <c r="AB2929" s="71"/>
      <c r="AC2929" s="71">
        <v>0</v>
      </c>
      <c r="AD2929" s="71">
        <f>W2929+X2929+Y2929+Z2929+AA2929+AB2929+AC2929</f>
        <v>0</v>
      </c>
      <c r="AE2929" s="72">
        <v>0</v>
      </c>
      <c r="AF2929" s="5"/>
      <c r="AG2929" s="6"/>
      <c r="AH2929" s="27"/>
      <c r="AI2929" s="44"/>
      <c r="AJ2929" s="26"/>
      <c r="AK2929" s="5"/>
      <c r="AL2929" s="274" t="s">
        <v>5804</v>
      </c>
      <c r="AM2929" s="76"/>
      <c r="AN2929" s="76"/>
      <c r="AO2929" s="76"/>
      <c r="AP2929" s="76"/>
      <c r="AQ2929" s="76"/>
      <c r="AR2929" s="76"/>
      <c r="AS2929" s="76"/>
      <c r="AT2929" s="76"/>
      <c r="AU2929" s="76"/>
      <c r="AV2929" s="76"/>
      <c r="AW2929" s="76"/>
      <c r="AX2929" s="76">
        <f>+AW2929*600000</f>
        <v>0</v>
      </c>
      <c r="AY2929" s="76"/>
      <c r="AZ2929" s="76">
        <f>+AY2929*70000</f>
        <v>0</v>
      </c>
      <c r="BA2929" s="76"/>
      <c r="BB2929" s="76"/>
      <c r="BC2929" s="76"/>
      <c r="BD2929" s="76">
        <f>+BC2929*30000</f>
        <v>0</v>
      </c>
      <c r="BE2929" s="76"/>
      <c r="BF2929" s="76"/>
      <c r="BG2929" s="76"/>
      <c r="BH2929" s="76"/>
      <c r="BI2929" s="76"/>
      <c r="BJ2929" s="76"/>
      <c r="BK2929" s="76"/>
      <c r="BL2929" s="76">
        <f>+BK2929*31500</f>
        <v>0</v>
      </c>
      <c r="BM2929" s="76"/>
      <c r="BN2929" s="76"/>
      <c r="BO2929" s="76"/>
      <c r="BP2929" s="76"/>
      <c r="BQ2929" s="76"/>
      <c r="BR2929" s="76"/>
      <c r="BS2929" s="76"/>
      <c r="BT2929" s="76"/>
      <c r="BU2929" s="76"/>
      <c r="BV2929" s="76"/>
      <c r="BW2929" s="76"/>
      <c r="BX2929" s="76"/>
      <c r="BY2929" s="76"/>
      <c r="BZ2929" s="76"/>
      <c r="CA2929" s="76"/>
      <c r="CB2929" s="76"/>
      <c r="CC2929" s="76"/>
      <c r="CD2929" s="76"/>
      <c r="CE2929" s="76"/>
      <c r="CF2929" s="76">
        <f>+CE2929*28000</f>
        <v>0</v>
      </c>
      <c r="CG2929" s="76"/>
      <c r="CH2929" s="76">
        <f>+CG2929*22500</f>
        <v>0</v>
      </c>
      <c r="CI2929" s="76"/>
      <c r="CJ2929" s="76">
        <f>+CI2929*26000</f>
        <v>0</v>
      </c>
      <c r="CK2929" s="76"/>
      <c r="CL2929" s="76"/>
      <c r="CM2929" s="76"/>
      <c r="CN2929" s="76">
        <f>+CM2929*22000</f>
        <v>0</v>
      </c>
      <c r="CO2929" s="76"/>
      <c r="CP2929" s="76">
        <f>+CO2929*46000</f>
        <v>0</v>
      </c>
      <c r="CQ2929" s="76"/>
      <c r="CR2929" s="76">
        <f>+CQ2929*49000</f>
        <v>0</v>
      </c>
      <c r="CS2929" s="76"/>
      <c r="CT2929" s="76"/>
      <c r="CU2929" s="56">
        <f>AN2929+AP2929+AR2929+AT2929+AV2929+AX2929+AZ2929+BB2929+BD2929+BF2929+BH2929+BJ2929+BL2929+BN2929+BP2929+BR2929+BT2929+BV2929+BX2929+BZ2929+CB2929+CD2929+CF2929+CH2929+CJ2929+CL2929+CN2929+CP2929+CR2929+CT2929</f>
        <v>0</v>
      </c>
      <c r="CV2929" s="76"/>
      <c r="CW2929" s="76">
        <f>+CV2929*1100</f>
        <v>0</v>
      </c>
      <c r="CX2929" s="76"/>
      <c r="CY2929" s="76">
        <f>+CX2929*106250</f>
        <v>0</v>
      </c>
      <c r="CZ2929" s="76"/>
      <c r="DA2929" s="76">
        <f>+CZ2929*34500</f>
        <v>0</v>
      </c>
      <c r="DB2929" s="76"/>
      <c r="DC2929" s="76">
        <f>+DB2929*25000</f>
        <v>0</v>
      </c>
      <c r="DD2929" s="219"/>
      <c r="DE2929" s="219"/>
      <c r="DF2929" s="166"/>
      <c r="DG2929" s="116"/>
      <c r="DH2929" s="117"/>
      <c r="DI2929" s="24"/>
      <c r="DJ2929" s="24"/>
      <c r="DK2929" s="24"/>
      <c r="DL2929" s="24"/>
      <c r="DM2929" s="24"/>
      <c r="DN2929" s="24"/>
      <c r="DO2929" s="24"/>
      <c r="DP2929" s="24"/>
      <c r="DQ2929" s="24"/>
      <c r="DR2929" s="24"/>
      <c r="DS2929" s="24"/>
      <c r="DT2929" s="24"/>
      <c r="DU2929" s="24"/>
    </row>
    <row r="2930" spans="1:125" s="8" customFormat="1" ht="36" x14ac:dyDescent="0.2">
      <c r="A2930" s="77">
        <v>41520</v>
      </c>
      <c r="B2930" s="352" t="s">
        <v>2811</v>
      </c>
      <c r="C2930" s="354" t="s">
        <v>2065</v>
      </c>
      <c r="D2930" s="354" t="s">
        <v>2846</v>
      </c>
      <c r="E2930" s="75" t="str">
        <f>VLOOKUP(B2930&amp;C2930,Divipola!$C$2:$F$1138,4,FALSE)</f>
        <v>52683</v>
      </c>
      <c r="F2930" s="87"/>
      <c r="G2930" s="87"/>
      <c r="H2930" s="87"/>
      <c r="I2930" s="87"/>
      <c r="J2930" s="87"/>
      <c r="K2930" s="87"/>
      <c r="L2930" s="87"/>
      <c r="M2930" s="87"/>
      <c r="N2930" s="87"/>
      <c r="O2930" s="87"/>
      <c r="P2930" s="87"/>
      <c r="Q2930" s="87"/>
      <c r="R2930" s="87"/>
      <c r="S2930" s="87"/>
      <c r="T2930" s="87"/>
      <c r="U2930" s="88">
        <v>19</v>
      </c>
      <c r="V2930" s="89"/>
      <c r="W2930" s="96">
        <v>0</v>
      </c>
      <c r="X2930" s="71">
        <f>CU2930</f>
        <v>0</v>
      </c>
      <c r="Y2930" s="71">
        <f>CY2930</f>
        <v>0</v>
      </c>
      <c r="Z2930" s="71">
        <f>DA2930+DC2930+DE2930</f>
        <v>0</v>
      </c>
      <c r="AA2930" s="71">
        <f>CW2930</f>
        <v>0</v>
      </c>
      <c r="AB2930" s="71"/>
      <c r="AC2930" s="71">
        <v>0</v>
      </c>
      <c r="AD2930" s="71">
        <f>W2930+X2930+Y2930+Z2930+AA2930+AB2930+AC2930</f>
        <v>0</v>
      </c>
      <c r="AE2930" s="72">
        <v>0</v>
      </c>
      <c r="AF2930" s="5"/>
      <c r="AG2930" s="6"/>
      <c r="AH2930" s="27"/>
      <c r="AI2930" s="44"/>
      <c r="AJ2930" s="26"/>
      <c r="AK2930" s="5"/>
      <c r="AL2930" s="331" t="s">
        <v>5811</v>
      </c>
      <c r="AM2930" s="76"/>
      <c r="AN2930" s="76"/>
      <c r="AO2930" s="76"/>
      <c r="AP2930" s="76"/>
      <c r="AQ2930" s="76"/>
      <c r="AR2930" s="76"/>
      <c r="AS2930" s="76"/>
      <c r="AT2930" s="76"/>
      <c r="AU2930" s="76"/>
      <c r="AV2930" s="76"/>
      <c r="AW2930" s="76"/>
      <c r="AX2930" s="76">
        <f>+AW2930*600000</f>
        <v>0</v>
      </c>
      <c r="AY2930" s="76"/>
      <c r="AZ2930" s="76">
        <f>+AY2930*70000</f>
        <v>0</v>
      </c>
      <c r="BA2930" s="76"/>
      <c r="BB2930" s="76"/>
      <c r="BC2930" s="76"/>
      <c r="BD2930" s="76">
        <f>+BC2930*30000</f>
        <v>0</v>
      </c>
      <c r="BE2930" s="76"/>
      <c r="BF2930" s="76"/>
      <c r="BG2930" s="76"/>
      <c r="BH2930" s="76"/>
      <c r="BI2930" s="76"/>
      <c r="BJ2930" s="76"/>
      <c r="BK2930" s="76"/>
      <c r="BL2930" s="76">
        <f>+BK2930*31500</f>
        <v>0</v>
      </c>
      <c r="BM2930" s="76"/>
      <c r="BN2930" s="76"/>
      <c r="BO2930" s="76"/>
      <c r="BP2930" s="76"/>
      <c r="BQ2930" s="76"/>
      <c r="BR2930" s="76"/>
      <c r="BS2930" s="76"/>
      <c r="BT2930" s="76"/>
      <c r="BU2930" s="76"/>
      <c r="BV2930" s="76"/>
      <c r="BW2930" s="76"/>
      <c r="BX2930" s="76"/>
      <c r="BY2930" s="76"/>
      <c r="BZ2930" s="76"/>
      <c r="CA2930" s="76"/>
      <c r="CB2930" s="76"/>
      <c r="CC2930" s="76"/>
      <c r="CD2930" s="76"/>
      <c r="CE2930" s="76"/>
      <c r="CF2930" s="76">
        <f>+CE2930*28000</f>
        <v>0</v>
      </c>
      <c r="CG2930" s="76"/>
      <c r="CH2930" s="76">
        <f>+CG2930*22500</f>
        <v>0</v>
      </c>
      <c r="CI2930" s="76"/>
      <c r="CJ2930" s="76">
        <f>+CI2930*26000</f>
        <v>0</v>
      </c>
      <c r="CK2930" s="76"/>
      <c r="CL2930" s="76"/>
      <c r="CM2930" s="76"/>
      <c r="CN2930" s="76">
        <f>+CM2930*22000</f>
        <v>0</v>
      </c>
      <c r="CO2930" s="76"/>
      <c r="CP2930" s="76">
        <f>+CO2930*46000</f>
        <v>0</v>
      </c>
      <c r="CQ2930" s="76"/>
      <c r="CR2930" s="76">
        <f>+CQ2930*49000</f>
        <v>0</v>
      </c>
      <c r="CS2930" s="76"/>
      <c r="CT2930" s="76"/>
      <c r="CU2930" s="56">
        <f>AN2930+AP2930+AR2930+AT2930+AV2930+AX2930+AZ2930+BB2930+BD2930+BF2930+BH2930+BJ2930+BL2930+BN2930+BP2930+BR2930+BT2930+BV2930+BX2930+BZ2930+CB2930+CD2930+CF2930+CH2930+CJ2930+CL2930+CN2930+CP2930+CR2930+CT2930</f>
        <v>0</v>
      </c>
      <c r="CV2930" s="76"/>
      <c r="CW2930" s="76">
        <f>+CV2930*1100</f>
        <v>0</v>
      </c>
      <c r="CX2930" s="76"/>
      <c r="CY2930" s="76">
        <f>+CX2930*106250</f>
        <v>0</v>
      </c>
      <c r="CZ2930" s="76"/>
      <c r="DA2930" s="76">
        <f>+CZ2930*34500</f>
        <v>0</v>
      </c>
      <c r="DB2930" s="76"/>
      <c r="DC2930" s="76">
        <f>+DB2930*25000</f>
        <v>0</v>
      </c>
      <c r="DD2930" s="219"/>
      <c r="DE2930" s="219"/>
      <c r="DF2930" s="166"/>
      <c r="DG2930" s="116"/>
      <c r="DH2930" s="117"/>
      <c r="DI2930" s="24"/>
      <c r="DJ2930" s="24"/>
      <c r="DK2930" s="24"/>
      <c r="DL2930" s="24"/>
      <c r="DM2930" s="24"/>
      <c r="DN2930" s="24"/>
      <c r="DO2930" s="24"/>
      <c r="DP2930" s="24"/>
      <c r="DQ2930" s="24"/>
      <c r="DR2930" s="24"/>
      <c r="DS2930" s="24"/>
      <c r="DT2930" s="24"/>
      <c r="DU2930" s="24"/>
    </row>
    <row r="2931" spans="1:125" s="8" customFormat="1" ht="48" x14ac:dyDescent="0.2">
      <c r="A2931" s="77">
        <v>41520</v>
      </c>
      <c r="B2931" s="352" t="s">
        <v>2811</v>
      </c>
      <c r="C2931" s="354" t="s">
        <v>217</v>
      </c>
      <c r="D2931" s="354" t="s">
        <v>2859</v>
      </c>
      <c r="E2931" s="75" t="str">
        <f>VLOOKUP(B2931&amp;C2931,Divipola!$C$2:$F$1138,4,FALSE)</f>
        <v>52786</v>
      </c>
      <c r="F2931" s="87"/>
      <c r="G2931" s="87"/>
      <c r="H2931" s="87"/>
      <c r="I2931" s="87">
        <v>5</v>
      </c>
      <c r="J2931" s="87">
        <v>1</v>
      </c>
      <c r="K2931" s="87"/>
      <c r="L2931" s="87">
        <v>1</v>
      </c>
      <c r="M2931" s="87"/>
      <c r="N2931" s="87"/>
      <c r="O2931" s="87"/>
      <c r="P2931" s="87"/>
      <c r="Q2931" s="87"/>
      <c r="R2931" s="87"/>
      <c r="S2931" s="87"/>
      <c r="T2931" s="87"/>
      <c r="U2931" s="88"/>
      <c r="V2931" s="89"/>
      <c r="W2931" s="96">
        <v>0</v>
      </c>
      <c r="X2931" s="71">
        <f>CU2931</f>
        <v>0</v>
      </c>
      <c r="Y2931" s="71">
        <f>CY2931</f>
        <v>0</v>
      </c>
      <c r="Z2931" s="71">
        <f>DA2931+DC2931+DE2931</f>
        <v>0</v>
      </c>
      <c r="AA2931" s="71">
        <f>CW2931</f>
        <v>0</v>
      </c>
      <c r="AB2931" s="71"/>
      <c r="AC2931" s="71">
        <v>0</v>
      </c>
      <c r="AD2931" s="71">
        <f>W2931+X2931+Y2931+Z2931+AA2931+AB2931+AC2931</f>
        <v>0</v>
      </c>
      <c r="AE2931" s="72">
        <v>0</v>
      </c>
      <c r="AF2931" s="5"/>
      <c r="AG2931" s="6"/>
      <c r="AH2931" s="27"/>
      <c r="AI2931" s="44"/>
      <c r="AJ2931" s="26"/>
      <c r="AK2931" s="5"/>
      <c r="AL2931" s="82" t="s">
        <v>5812</v>
      </c>
      <c r="AM2931" s="76"/>
      <c r="AN2931" s="76"/>
      <c r="AO2931" s="76"/>
      <c r="AP2931" s="76"/>
      <c r="AQ2931" s="76"/>
      <c r="AR2931" s="76"/>
      <c r="AS2931" s="76"/>
      <c r="AT2931" s="76"/>
      <c r="AU2931" s="76"/>
      <c r="AV2931" s="76"/>
      <c r="AW2931" s="76"/>
      <c r="AX2931" s="76">
        <f>+AW2931*600000</f>
        <v>0</v>
      </c>
      <c r="AY2931" s="76"/>
      <c r="AZ2931" s="76">
        <f>+AY2931*70000</f>
        <v>0</v>
      </c>
      <c r="BA2931" s="76"/>
      <c r="BB2931" s="76"/>
      <c r="BC2931" s="76"/>
      <c r="BD2931" s="76">
        <f>+BC2931*30000</f>
        <v>0</v>
      </c>
      <c r="BE2931" s="76"/>
      <c r="BF2931" s="76"/>
      <c r="BG2931" s="76"/>
      <c r="BH2931" s="76"/>
      <c r="BI2931" s="76"/>
      <c r="BJ2931" s="76"/>
      <c r="BK2931" s="76"/>
      <c r="BL2931" s="76">
        <f>+BK2931*31500</f>
        <v>0</v>
      </c>
      <c r="BM2931" s="76"/>
      <c r="BN2931" s="76"/>
      <c r="BO2931" s="76"/>
      <c r="BP2931" s="76"/>
      <c r="BQ2931" s="76"/>
      <c r="BR2931" s="76"/>
      <c r="BS2931" s="76"/>
      <c r="BT2931" s="76"/>
      <c r="BU2931" s="76"/>
      <c r="BV2931" s="76"/>
      <c r="BW2931" s="76"/>
      <c r="BX2931" s="76"/>
      <c r="BY2931" s="76"/>
      <c r="BZ2931" s="76"/>
      <c r="CA2931" s="76"/>
      <c r="CB2931" s="76"/>
      <c r="CC2931" s="76"/>
      <c r="CD2931" s="76"/>
      <c r="CE2931" s="76"/>
      <c r="CF2931" s="76">
        <f>+CE2931*28000</f>
        <v>0</v>
      </c>
      <c r="CG2931" s="76"/>
      <c r="CH2931" s="76">
        <f>+CG2931*22500</f>
        <v>0</v>
      </c>
      <c r="CI2931" s="76"/>
      <c r="CJ2931" s="76">
        <f>+CI2931*26000</f>
        <v>0</v>
      </c>
      <c r="CK2931" s="76"/>
      <c r="CL2931" s="76"/>
      <c r="CM2931" s="76"/>
      <c r="CN2931" s="76">
        <f>+CM2931*22000</f>
        <v>0</v>
      </c>
      <c r="CO2931" s="76"/>
      <c r="CP2931" s="76">
        <f>+CO2931*46000</f>
        <v>0</v>
      </c>
      <c r="CQ2931" s="76"/>
      <c r="CR2931" s="76">
        <f>+CQ2931*49000</f>
        <v>0</v>
      </c>
      <c r="CS2931" s="76"/>
      <c r="CT2931" s="76"/>
      <c r="CU2931" s="56">
        <f>AN2931+AP2931+AR2931+AT2931+AV2931+AX2931+AZ2931+BB2931+BD2931+BF2931+BH2931+BJ2931+BL2931+BN2931+BP2931+BR2931+BT2931+BV2931+BX2931+BZ2931+CB2931+CD2931+CF2931+CH2931+CJ2931+CL2931+CN2931+CP2931+CR2931+CT2931</f>
        <v>0</v>
      </c>
      <c r="CV2931" s="76"/>
      <c r="CW2931" s="76">
        <f>+CV2931*1100</f>
        <v>0</v>
      </c>
      <c r="CX2931" s="76"/>
      <c r="CY2931" s="76">
        <f>+CX2931*106250</f>
        <v>0</v>
      </c>
      <c r="CZ2931" s="76"/>
      <c r="DA2931" s="76">
        <f>+CZ2931*34500</f>
        <v>0</v>
      </c>
      <c r="DB2931" s="76"/>
      <c r="DC2931" s="76">
        <f>+DB2931*25000</f>
        <v>0</v>
      </c>
      <c r="DD2931" s="219"/>
      <c r="DE2931" s="219"/>
      <c r="DF2931" s="166"/>
      <c r="DG2931" s="116"/>
      <c r="DH2931" s="117"/>
      <c r="DI2931" s="24"/>
      <c r="DJ2931" s="24"/>
      <c r="DK2931" s="24"/>
      <c r="DL2931" s="24"/>
      <c r="DM2931" s="24"/>
      <c r="DN2931" s="24"/>
      <c r="DO2931" s="24"/>
      <c r="DP2931" s="24"/>
      <c r="DQ2931" s="24"/>
      <c r="DR2931" s="24"/>
      <c r="DS2931" s="24"/>
      <c r="DT2931" s="24"/>
      <c r="DU2931" s="24"/>
    </row>
    <row r="2932" spans="1:125" s="8" customFormat="1" ht="48" x14ac:dyDescent="0.2">
      <c r="A2932" s="77">
        <v>41520</v>
      </c>
      <c r="B2932" s="352" t="s">
        <v>2860</v>
      </c>
      <c r="C2932" s="354" t="s">
        <v>2078</v>
      </c>
      <c r="D2932" s="354" t="s">
        <v>2882</v>
      </c>
      <c r="E2932" s="75" t="str">
        <f>VLOOKUP(B2932&amp;C2932,Divipola!$C$2:$F$1138,4,FALSE)</f>
        <v>63190</v>
      </c>
      <c r="F2932" s="87"/>
      <c r="G2932" s="87"/>
      <c r="H2932" s="87"/>
      <c r="I2932" s="87">
        <v>20</v>
      </c>
      <c r="J2932" s="87">
        <v>4</v>
      </c>
      <c r="K2932" s="87"/>
      <c r="L2932" s="87">
        <v>4</v>
      </c>
      <c r="M2932" s="87"/>
      <c r="N2932" s="87"/>
      <c r="O2932" s="87"/>
      <c r="P2932" s="87"/>
      <c r="Q2932" s="87"/>
      <c r="R2932" s="87"/>
      <c r="S2932" s="87"/>
      <c r="T2932" s="87"/>
      <c r="U2932" s="88"/>
      <c r="V2932" s="89"/>
      <c r="W2932" s="96">
        <v>0</v>
      </c>
      <c r="X2932" s="71">
        <f>CU2932</f>
        <v>0</v>
      </c>
      <c r="Y2932" s="71">
        <f>CY2932</f>
        <v>0</v>
      </c>
      <c r="Z2932" s="71">
        <f>DA2932+DC2932+DE2932</f>
        <v>0</v>
      </c>
      <c r="AA2932" s="71">
        <f>CW2932</f>
        <v>0</v>
      </c>
      <c r="AB2932" s="71"/>
      <c r="AC2932" s="71">
        <v>0</v>
      </c>
      <c r="AD2932" s="71">
        <f>W2932+X2932+Y2932+Z2932+AA2932+AB2932+AC2932</f>
        <v>0</v>
      </c>
      <c r="AE2932" s="72">
        <v>0</v>
      </c>
      <c r="AF2932" s="5"/>
      <c r="AG2932" s="6"/>
      <c r="AH2932" s="27"/>
      <c r="AI2932" s="44"/>
      <c r="AJ2932" s="26"/>
      <c r="AK2932" s="5"/>
      <c r="AL2932" s="82" t="s">
        <v>5808</v>
      </c>
      <c r="AM2932" s="76"/>
      <c r="AN2932" s="76"/>
      <c r="AO2932" s="76"/>
      <c r="AP2932" s="76"/>
      <c r="AQ2932" s="76"/>
      <c r="AR2932" s="76"/>
      <c r="AS2932" s="76"/>
      <c r="AT2932" s="76"/>
      <c r="AU2932" s="76"/>
      <c r="AV2932" s="76"/>
      <c r="AW2932" s="76"/>
      <c r="AX2932" s="76">
        <f>+AW2932*600000</f>
        <v>0</v>
      </c>
      <c r="AY2932" s="76"/>
      <c r="AZ2932" s="76">
        <f>+AY2932*70000</f>
        <v>0</v>
      </c>
      <c r="BA2932" s="76"/>
      <c r="BB2932" s="76"/>
      <c r="BC2932" s="76"/>
      <c r="BD2932" s="76">
        <f>+BC2932*30000</f>
        <v>0</v>
      </c>
      <c r="BE2932" s="76"/>
      <c r="BF2932" s="76"/>
      <c r="BG2932" s="76"/>
      <c r="BH2932" s="76"/>
      <c r="BI2932" s="76"/>
      <c r="BJ2932" s="76"/>
      <c r="BK2932" s="76"/>
      <c r="BL2932" s="76">
        <f>+BK2932*31500</f>
        <v>0</v>
      </c>
      <c r="BM2932" s="76"/>
      <c r="BN2932" s="76"/>
      <c r="BO2932" s="76"/>
      <c r="BP2932" s="76"/>
      <c r="BQ2932" s="76"/>
      <c r="BR2932" s="76"/>
      <c r="BS2932" s="76"/>
      <c r="BT2932" s="76"/>
      <c r="BU2932" s="76"/>
      <c r="BV2932" s="76"/>
      <c r="BW2932" s="76"/>
      <c r="BX2932" s="76"/>
      <c r="BY2932" s="76"/>
      <c r="BZ2932" s="76"/>
      <c r="CA2932" s="76"/>
      <c r="CB2932" s="76"/>
      <c r="CC2932" s="76"/>
      <c r="CD2932" s="76"/>
      <c r="CE2932" s="76"/>
      <c r="CF2932" s="76">
        <f>+CE2932*28000</f>
        <v>0</v>
      </c>
      <c r="CG2932" s="76"/>
      <c r="CH2932" s="76">
        <f>+CG2932*22500</f>
        <v>0</v>
      </c>
      <c r="CI2932" s="76"/>
      <c r="CJ2932" s="76">
        <f>+CI2932*26000</f>
        <v>0</v>
      </c>
      <c r="CK2932" s="76"/>
      <c r="CL2932" s="76"/>
      <c r="CM2932" s="76"/>
      <c r="CN2932" s="76">
        <f>+CM2932*22000</f>
        <v>0</v>
      </c>
      <c r="CO2932" s="76"/>
      <c r="CP2932" s="76">
        <f>+CO2932*46000</f>
        <v>0</v>
      </c>
      <c r="CQ2932" s="76"/>
      <c r="CR2932" s="76">
        <f>+CQ2932*49000</f>
        <v>0</v>
      </c>
      <c r="CS2932" s="76"/>
      <c r="CT2932" s="76"/>
      <c r="CU2932" s="56">
        <f>AN2932+AP2932+AR2932+AT2932+AV2932+AX2932+AZ2932+BB2932+BD2932+BF2932+BH2932+BJ2932+BL2932+BN2932+BP2932+BR2932+BT2932+BV2932+BX2932+BZ2932+CB2932+CD2932+CF2932+CH2932+CJ2932+CL2932+CN2932+CP2932+CR2932+CT2932</f>
        <v>0</v>
      </c>
      <c r="CV2932" s="76"/>
      <c r="CW2932" s="76">
        <f>+CV2932*1100</f>
        <v>0</v>
      </c>
      <c r="CX2932" s="76"/>
      <c r="CY2932" s="76">
        <f>+CX2932*106250</f>
        <v>0</v>
      </c>
      <c r="CZ2932" s="76"/>
      <c r="DA2932" s="76">
        <f>+CZ2932*34500</f>
        <v>0</v>
      </c>
      <c r="DB2932" s="76"/>
      <c r="DC2932" s="76">
        <f>+DB2932*25000</f>
        <v>0</v>
      </c>
      <c r="DD2932" s="219"/>
      <c r="DE2932" s="219"/>
      <c r="DF2932" s="166"/>
      <c r="DG2932" s="116"/>
      <c r="DH2932" s="117"/>
      <c r="DI2932" s="24"/>
      <c r="DJ2932" s="24"/>
      <c r="DK2932" s="24"/>
      <c r="DL2932" s="24"/>
      <c r="DM2932" s="24"/>
      <c r="DN2932" s="24"/>
      <c r="DO2932" s="24"/>
      <c r="DP2932" s="24"/>
      <c r="DQ2932" s="24"/>
      <c r="DR2932" s="24"/>
      <c r="DS2932" s="24"/>
      <c r="DT2932" s="24"/>
      <c r="DU2932" s="24"/>
    </row>
    <row r="2933" spans="1:125" s="8" customFormat="1" ht="60" x14ac:dyDescent="0.2">
      <c r="A2933" s="77">
        <v>41520</v>
      </c>
      <c r="B2933" s="78" t="s">
        <v>2848</v>
      </c>
      <c r="C2933" s="75" t="s">
        <v>1684</v>
      </c>
      <c r="D2933" s="75" t="s">
        <v>2846</v>
      </c>
      <c r="E2933" s="75" t="str">
        <f>VLOOKUP(B2933&amp;C2933,Divipola!$C$2:$F$1138,4,FALSE)</f>
        <v>73055</v>
      </c>
      <c r="F2933" s="87"/>
      <c r="G2933" s="87"/>
      <c r="H2933" s="87"/>
      <c r="I2933" s="87"/>
      <c r="J2933" s="87"/>
      <c r="K2933" s="87"/>
      <c r="L2933" s="87"/>
      <c r="M2933" s="87"/>
      <c r="N2933" s="87"/>
      <c r="O2933" s="87"/>
      <c r="P2933" s="87"/>
      <c r="Q2933" s="87"/>
      <c r="R2933" s="87"/>
      <c r="S2933" s="87"/>
      <c r="T2933" s="87"/>
      <c r="U2933" s="88">
        <v>3</v>
      </c>
      <c r="V2933" s="89"/>
      <c r="W2933" s="96">
        <v>0</v>
      </c>
      <c r="X2933" s="71">
        <f>CU2933</f>
        <v>0</v>
      </c>
      <c r="Y2933" s="71">
        <f>CY2933</f>
        <v>0</v>
      </c>
      <c r="Z2933" s="71">
        <f>DA2933+DC2933+DE2933</f>
        <v>0</v>
      </c>
      <c r="AA2933" s="71">
        <f>CW2933</f>
        <v>0</v>
      </c>
      <c r="AB2933" s="71"/>
      <c r="AC2933" s="71">
        <v>0</v>
      </c>
      <c r="AD2933" s="71">
        <f>W2933+X2933+Y2933+Z2933+AA2933+AB2933+AC2933</f>
        <v>0</v>
      </c>
      <c r="AE2933" s="72">
        <v>0</v>
      </c>
      <c r="AF2933" s="5"/>
      <c r="AG2933" s="6"/>
      <c r="AH2933" s="27"/>
      <c r="AI2933" s="44"/>
      <c r="AJ2933" s="26"/>
      <c r="AK2933" s="5"/>
      <c r="AL2933" s="274" t="s">
        <v>5799</v>
      </c>
      <c r="AM2933" s="76"/>
      <c r="AN2933" s="76"/>
      <c r="AO2933" s="76"/>
      <c r="AP2933" s="76"/>
      <c r="AQ2933" s="76"/>
      <c r="AR2933" s="76"/>
      <c r="AS2933" s="76"/>
      <c r="AT2933" s="76"/>
      <c r="AU2933" s="76"/>
      <c r="AV2933" s="76"/>
      <c r="AW2933" s="76"/>
      <c r="AX2933" s="76">
        <f>+AW2933*600000</f>
        <v>0</v>
      </c>
      <c r="AY2933" s="76"/>
      <c r="AZ2933" s="76">
        <f>+AY2933*70000</f>
        <v>0</v>
      </c>
      <c r="BA2933" s="76"/>
      <c r="BB2933" s="76"/>
      <c r="BC2933" s="76"/>
      <c r="BD2933" s="76">
        <f>+BC2933*30000</f>
        <v>0</v>
      </c>
      <c r="BE2933" s="76"/>
      <c r="BF2933" s="76"/>
      <c r="BG2933" s="76"/>
      <c r="BH2933" s="76"/>
      <c r="BI2933" s="76"/>
      <c r="BJ2933" s="76"/>
      <c r="BK2933" s="76"/>
      <c r="BL2933" s="76">
        <f>+BK2933*31500</f>
        <v>0</v>
      </c>
      <c r="BM2933" s="76"/>
      <c r="BN2933" s="76"/>
      <c r="BO2933" s="76"/>
      <c r="BP2933" s="76"/>
      <c r="BQ2933" s="76"/>
      <c r="BR2933" s="76"/>
      <c r="BS2933" s="76"/>
      <c r="BT2933" s="76"/>
      <c r="BU2933" s="76"/>
      <c r="BV2933" s="76"/>
      <c r="BW2933" s="76"/>
      <c r="BX2933" s="76"/>
      <c r="BY2933" s="76"/>
      <c r="BZ2933" s="76"/>
      <c r="CA2933" s="76"/>
      <c r="CB2933" s="76"/>
      <c r="CC2933" s="76"/>
      <c r="CD2933" s="76"/>
      <c r="CE2933" s="76"/>
      <c r="CF2933" s="76">
        <f>+CE2933*28000</f>
        <v>0</v>
      </c>
      <c r="CG2933" s="76"/>
      <c r="CH2933" s="76">
        <f>+CG2933*22500</f>
        <v>0</v>
      </c>
      <c r="CI2933" s="76"/>
      <c r="CJ2933" s="76">
        <f>+CI2933*26000</f>
        <v>0</v>
      </c>
      <c r="CK2933" s="76"/>
      <c r="CL2933" s="76"/>
      <c r="CM2933" s="76"/>
      <c r="CN2933" s="76">
        <f>+CM2933*22000</f>
        <v>0</v>
      </c>
      <c r="CO2933" s="76"/>
      <c r="CP2933" s="76">
        <f>+CO2933*46000</f>
        <v>0</v>
      </c>
      <c r="CQ2933" s="76"/>
      <c r="CR2933" s="76">
        <f>+CQ2933*49000</f>
        <v>0</v>
      </c>
      <c r="CS2933" s="76"/>
      <c r="CT2933" s="76"/>
      <c r="CU2933" s="56">
        <f>AN2933+AP2933+AR2933+AT2933+AV2933+AX2933+AZ2933+BB2933+BD2933+BF2933+BH2933+BJ2933+BL2933+BN2933+BP2933+BR2933+BT2933+BV2933+BX2933+BZ2933+CB2933+CD2933+CF2933+CH2933+CJ2933+CL2933+CN2933+CP2933+CR2933+CT2933</f>
        <v>0</v>
      </c>
      <c r="CV2933" s="76"/>
      <c r="CW2933" s="76">
        <f>+CV2933*1100</f>
        <v>0</v>
      </c>
      <c r="CX2933" s="76"/>
      <c r="CY2933" s="76">
        <f>+CX2933*106250</f>
        <v>0</v>
      </c>
      <c r="CZ2933" s="76"/>
      <c r="DA2933" s="76">
        <f>+CZ2933*34500</f>
        <v>0</v>
      </c>
      <c r="DB2933" s="76"/>
      <c r="DC2933" s="76">
        <f>+DB2933*25000</f>
        <v>0</v>
      </c>
      <c r="DD2933" s="219"/>
      <c r="DE2933" s="219"/>
      <c r="DF2933" s="166"/>
      <c r="DG2933" s="116"/>
      <c r="DH2933" s="117"/>
      <c r="DI2933" s="24"/>
      <c r="DJ2933" s="24"/>
      <c r="DK2933" s="24"/>
      <c r="DL2933" s="24"/>
      <c r="DM2933" s="24"/>
      <c r="DN2933" s="24"/>
      <c r="DO2933" s="24"/>
      <c r="DP2933" s="24"/>
      <c r="DQ2933" s="24"/>
      <c r="DR2933" s="24"/>
      <c r="DS2933" s="24"/>
      <c r="DT2933" s="24"/>
      <c r="DU2933" s="24"/>
    </row>
    <row r="2934" spans="1:125" s="8" customFormat="1" ht="60" x14ac:dyDescent="0.2">
      <c r="A2934" s="77">
        <v>41520</v>
      </c>
      <c r="B2934" s="352" t="s">
        <v>2848</v>
      </c>
      <c r="C2934" s="354" t="s">
        <v>2034</v>
      </c>
      <c r="D2934" s="354" t="s">
        <v>2846</v>
      </c>
      <c r="E2934" s="75" t="str">
        <f>VLOOKUP(B2934&amp;C2934,Divipola!$C$2:$F$1138,4,FALSE)</f>
        <v>73449</v>
      </c>
      <c r="F2934" s="87"/>
      <c r="G2934" s="87"/>
      <c r="H2934" s="87"/>
      <c r="I2934" s="87"/>
      <c r="J2934" s="87"/>
      <c r="K2934" s="87"/>
      <c r="L2934" s="87"/>
      <c r="M2934" s="87"/>
      <c r="N2934" s="87"/>
      <c r="O2934" s="87"/>
      <c r="P2934" s="87"/>
      <c r="Q2934" s="87"/>
      <c r="R2934" s="87"/>
      <c r="S2934" s="87"/>
      <c r="T2934" s="87"/>
      <c r="U2934" s="88">
        <v>6</v>
      </c>
      <c r="V2934" s="89"/>
      <c r="W2934" s="96">
        <v>0</v>
      </c>
      <c r="X2934" s="71">
        <f>CU2934</f>
        <v>0</v>
      </c>
      <c r="Y2934" s="71">
        <f>CY2934</f>
        <v>0</v>
      </c>
      <c r="Z2934" s="71">
        <f>DA2934+DC2934+DE2934</f>
        <v>0</v>
      </c>
      <c r="AA2934" s="71">
        <f>CW2934</f>
        <v>0</v>
      </c>
      <c r="AB2934" s="71"/>
      <c r="AC2934" s="71">
        <v>0</v>
      </c>
      <c r="AD2934" s="71">
        <f>W2934+X2934+Y2934+Z2934+AA2934+AB2934+AC2934</f>
        <v>0</v>
      </c>
      <c r="AE2934" s="72">
        <v>0</v>
      </c>
      <c r="AF2934" s="5"/>
      <c r="AG2934" s="6"/>
      <c r="AH2934" s="27"/>
      <c r="AI2934" s="44"/>
      <c r="AJ2934" s="26"/>
      <c r="AK2934" s="5"/>
      <c r="AL2934" s="274" t="s">
        <v>5800</v>
      </c>
      <c r="AM2934" s="76"/>
      <c r="AN2934" s="76"/>
      <c r="AO2934" s="76"/>
      <c r="AP2934" s="76"/>
      <c r="AQ2934" s="76"/>
      <c r="AR2934" s="76"/>
      <c r="AS2934" s="76"/>
      <c r="AT2934" s="76"/>
      <c r="AU2934" s="76"/>
      <c r="AV2934" s="76"/>
      <c r="AW2934" s="76"/>
      <c r="AX2934" s="76">
        <f>+AW2934*600000</f>
        <v>0</v>
      </c>
      <c r="AY2934" s="76"/>
      <c r="AZ2934" s="76">
        <f>+AY2934*70000</f>
        <v>0</v>
      </c>
      <c r="BA2934" s="76"/>
      <c r="BB2934" s="76"/>
      <c r="BC2934" s="76"/>
      <c r="BD2934" s="76">
        <f>+BC2934*30000</f>
        <v>0</v>
      </c>
      <c r="BE2934" s="76"/>
      <c r="BF2934" s="76"/>
      <c r="BG2934" s="76"/>
      <c r="BH2934" s="76"/>
      <c r="BI2934" s="76"/>
      <c r="BJ2934" s="76"/>
      <c r="BK2934" s="76"/>
      <c r="BL2934" s="76">
        <f>+BK2934*31500</f>
        <v>0</v>
      </c>
      <c r="BM2934" s="76"/>
      <c r="BN2934" s="76"/>
      <c r="BO2934" s="76"/>
      <c r="BP2934" s="76"/>
      <c r="BQ2934" s="76"/>
      <c r="BR2934" s="76"/>
      <c r="BS2934" s="76"/>
      <c r="BT2934" s="76"/>
      <c r="BU2934" s="76"/>
      <c r="BV2934" s="76"/>
      <c r="BW2934" s="76"/>
      <c r="BX2934" s="76"/>
      <c r="BY2934" s="76"/>
      <c r="BZ2934" s="76"/>
      <c r="CA2934" s="76"/>
      <c r="CB2934" s="76"/>
      <c r="CC2934" s="76"/>
      <c r="CD2934" s="76"/>
      <c r="CE2934" s="76"/>
      <c r="CF2934" s="76">
        <f>+CE2934*28000</f>
        <v>0</v>
      </c>
      <c r="CG2934" s="76"/>
      <c r="CH2934" s="76">
        <f>+CG2934*22500</f>
        <v>0</v>
      </c>
      <c r="CI2934" s="76"/>
      <c r="CJ2934" s="76">
        <f>+CI2934*26000</f>
        <v>0</v>
      </c>
      <c r="CK2934" s="76"/>
      <c r="CL2934" s="76"/>
      <c r="CM2934" s="76"/>
      <c r="CN2934" s="76">
        <f>+CM2934*22000</f>
        <v>0</v>
      </c>
      <c r="CO2934" s="76"/>
      <c r="CP2934" s="76">
        <f>+CO2934*46000</f>
        <v>0</v>
      </c>
      <c r="CQ2934" s="76"/>
      <c r="CR2934" s="76">
        <f>+CQ2934*49000</f>
        <v>0</v>
      </c>
      <c r="CS2934" s="76"/>
      <c r="CT2934" s="76"/>
      <c r="CU2934" s="56">
        <f>AN2934+AP2934+AR2934+AT2934+AV2934+AX2934+AZ2934+BB2934+BD2934+BF2934+BH2934+BJ2934+BL2934+BN2934+BP2934+BR2934+BT2934+BV2934+BX2934+BZ2934+CB2934+CD2934+CF2934+CH2934+CJ2934+CL2934+CN2934+CP2934+CR2934+CT2934</f>
        <v>0</v>
      </c>
      <c r="CV2934" s="76"/>
      <c r="CW2934" s="76">
        <f>+CV2934*1100</f>
        <v>0</v>
      </c>
      <c r="CX2934" s="76"/>
      <c r="CY2934" s="76">
        <f>+CX2934*106250</f>
        <v>0</v>
      </c>
      <c r="CZ2934" s="76"/>
      <c r="DA2934" s="76">
        <f>+CZ2934*34500</f>
        <v>0</v>
      </c>
      <c r="DB2934" s="76"/>
      <c r="DC2934" s="76">
        <f>+DB2934*25000</f>
        <v>0</v>
      </c>
      <c r="DD2934" s="219"/>
      <c r="DE2934" s="219"/>
      <c r="DF2934" s="166"/>
      <c r="DG2934" s="116"/>
      <c r="DH2934" s="117"/>
      <c r="DI2934" s="24"/>
      <c r="DJ2934" s="24"/>
      <c r="DK2934" s="24"/>
      <c r="DL2934" s="24"/>
      <c r="DM2934" s="24"/>
      <c r="DN2934" s="24"/>
      <c r="DO2934" s="24"/>
      <c r="DP2934" s="24"/>
      <c r="DQ2934" s="24"/>
      <c r="DR2934" s="24"/>
      <c r="DS2934" s="24"/>
      <c r="DT2934" s="24"/>
      <c r="DU2934" s="24"/>
    </row>
    <row r="2935" spans="1:125" s="8" customFormat="1" ht="60" x14ac:dyDescent="0.2">
      <c r="A2935" s="77">
        <v>41520</v>
      </c>
      <c r="B2935" s="352" t="s">
        <v>2848</v>
      </c>
      <c r="C2935" s="354" t="s">
        <v>1910</v>
      </c>
      <c r="D2935" s="354" t="s">
        <v>2846</v>
      </c>
      <c r="E2935" s="75" t="str">
        <f>VLOOKUP(B2935&amp;C2935,Divipola!$C$2:$F$1138,4,FALSE)</f>
        <v>73671</v>
      </c>
      <c r="F2935" s="87"/>
      <c r="G2935" s="87"/>
      <c r="H2935" s="87"/>
      <c r="I2935" s="87"/>
      <c r="J2935" s="87"/>
      <c r="K2935" s="87"/>
      <c r="L2935" s="87"/>
      <c r="M2935" s="87"/>
      <c r="N2935" s="87"/>
      <c r="O2935" s="87"/>
      <c r="P2935" s="87"/>
      <c r="Q2935" s="87"/>
      <c r="R2935" s="87"/>
      <c r="S2935" s="87"/>
      <c r="T2935" s="87"/>
      <c r="U2935" s="88">
        <v>15</v>
      </c>
      <c r="V2935" s="89"/>
      <c r="W2935" s="96">
        <v>0</v>
      </c>
      <c r="X2935" s="71">
        <f>CU2935</f>
        <v>0</v>
      </c>
      <c r="Y2935" s="71">
        <f>CY2935</f>
        <v>0</v>
      </c>
      <c r="Z2935" s="71">
        <f>DA2935+DC2935+DE2935</f>
        <v>0</v>
      </c>
      <c r="AA2935" s="71">
        <f>CW2935</f>
        <v>0</v>
      </c>
      <c r="AB2935" s="71"/>
      <c r="AC2935" s="71">
        <v>0</v>
      </c>
      <c r="AD2935" s="71">
        <f>W2935+X2935+Y2935+Z2935+AA2935+AB2935+AC2935</f>
        <v>0</v>
      </c>
      <c r="AE2935" s="72">
        <v>0</v>
      </c>
      <c r="AF2935" s="5"/>
      <c r="AG2935" s="6"/>
      <c r="AH2935" s="27"/>
      <c r="AI2935" s="44"/>
      <c r="AJ2935" s="26"/>
      <c r="AK2935" s="5"/>
      <c r="AL2935" s="82" t="s">
        <v>5814</v>
      </c>
      <c r="AM2935" s="76"/>
      <c r="AN2935" s="76"/>
      <c r="AO2935" s="76"/>
      <c r="AP2935" s="76"/>
      <c r="AQ2935" s="76"/>
      <c r="AR2935" s="76"/>
      <c r="AS2935" s="76"/>
      <c r="AT2935" s="76"/>
      <c r="AU2935" s="76"/>
      <c r="AV2935" s="76"/>
      <c r="AW2935" s="76"/>
      <c r="AX2935" s="76">
        <f>+AW2935*600000</f>
        <v>0</v>
      </c>
      <c r="AY2935" s="76"/>
      <c r="AZ2935" s="76">
        <f>+AY2935*70000</f>
        <v>0</v>
      </c>
      <c r="BA2935" s="76"/>
      <c r="BB2935" s="76"/>
      <c r="BC2935" s="76"/>
      <c r="BD2935" s="76">
        <f>+BC2935*30000</f>
        <v>0</v>
      </c>
      <c r="BE2935" s="76"/>
      <c r="BF2935" s="76"/>
      <c r="BG2935" s="76"/>
      <c r="BH2935" s="76"/>
      <c r="BI2935" s="76"/>
      <c r="BJ2935" s="76"/>
      <c r="BK2935" s="76"/>
      <c r="BL2935" s="76">
        <f>+BK2935*31500</f>
        <v>0</v>
      </c>
      <c r="BM2935" s="76"/>
      <c r="BN2935" s="76"/>
      <c r="BO2935" s="76"/>
      <c r="BP2935" s="76"/>
      <c r="BQ2935" s="76"/>
      <c r="BR2935" s="76"/>
      <c r="BS2935" s="76"/>
      <c r="BT2935" s="76"/>
      <c r="BU2935" s="76"/>
      <c r="BV2935" s="76"/>
      <c r="BW2935" s="76"/>
      <c r="BX2935" s="76"/>
      <c r="BY2935" s="76"/>
      <c r="BZ2935" s="76"/>
      <c r="CA2935" s="76"/>
      <c r="CB2935" s="76"/>
      <c r="CC2935" s="76"/>
      <c r="CD2935" s="76"/>
      <c r="CE2935" s="76"/>
      <c r="CF2935" s="76">
        <f>+CE2935*28000</f>
        <v>0</v>
      </c>
      <c r="CG2935" s="76"/>
      <c r="CH2935" s="76">
        <f>+CG2935*22500</f>
        <v>0</v>
      </c>
      <c r="CI2935" s="76"/>
      <c r="CJ2935" s="76">
        <f>+CI2935*26000</f>
        <v>0</v>
      </c>
      <c r="CK2935" s="76"/>
      <c r="CL2935" s="76"/>
      <c r="CM2935" s="76"/>
      <c r="CN2935" s="76">
        <f>+CM2935*22000</f>
        <v>0</v>
      </c>
      <c r="CO2935" s="76"/>
      <c r="CP2935" s="76">
        <f>+CO2935*46000</f>
        <v>0</v>
      </c>
      <c r="CQ2935" s="76"/>
      <c r="CR2935" s="76">
        <f>+CQ2935*49000</f>
        <v>0</v>
      </c>
      <c r="CS2935" s="76"/>
      <c r="CT2935" s="76"/>
      <c r="CU2935" s="56">
        <f>AN2935+AP2935+AR2935+AT2935+AV2935+AX2935+AZ2935+BB2935+BD2935+BF2935+BH2935+BJ2935+BL2935+BN2935+BP2935+BR2935+BT2935+BV2935+BX2935+BZ2935+CB2935+CD2935+CF2935+CH2935+CJ2935+CL2935+CN2935+CP2935+CR2935+CT2935</f>
        <v>0</v>
      </c>
      <c r="CV2935" s="76"/>
      <c r="CW2935" s="76">
        <f>+CV2935*1100</f>
        <v>0</v>
      </c>
      <c r="CX2935" s="76"/>
      <c r="CY2935" s="76">
        <f>+CX2935*106250</f>
        <v>0</v>
      </c>
      <c r="CZ2935" s="76"/>
      <c r="DA2935" s="76">
        <f>+CZ2935*34500</f>
        <v>0</v>
      </c>
      <c r="DB2935" s="76"/>
      <c r="DC2935" s="76">
        <f>+DB2935*25000</f>
        <v>0</v>
      </c>
      <c r="DD2935" s="219"/>
      <c r="DE2935" s="219"/>
      <c r="DF2935" s="166"/>
      <c r="DG2935" s="116"/>
      <c r="DH2935" s="117"/>
      <c r="DI2935" s="24"/>
      <c r="DJ2935" s="24"/>
      <c r="DK2935" s="24"/>
      <c r="DL2935" s="24"/>
      <c r="DM2935" s="24"/>
      <c r="DN2935" s="24"/>
      <c r="DO2935" s="24"/>
      <c r="DP2935" s="24"/>
      <c r="DQ2935" s="24"/>
      <c r="DR2935" s="24"/>
      <c r="DS2935" s="24"/>
      <c r="DT2935" s="24"/>
      <c r="DU2935" s="24"/>
    </row>
    <row r="2936" spans="1:125" s="8" customFormat="1" ht="96" x14ac:dyDescent="0.2">
      <c r="A2936" s="293">
        <v>41520</v>
      </c>
      <c r="B2936" s="297" t="s">
        <v>2777</v>
      </c>
      <c r="C2936" s="292" t="s">
        <v>2762</v>
      </c>
      <c r="D2936" s="292" t="s">
        <v>2882</v>
      </c>
      <c r="E2936" s="296" t="str">
        <f>VLOOKUP(B2936&amp;C2936,Divipola!$C$2:$F$1138,4,FALSE)</f>
        <v>13074</v>
      </c>
      <c r="F2936" s="87"/>
      <c r="G2936" s="87"/>
      <c r="H2936" s="87"/>
      <c r="I2936" s="87">
        <v>1075</v>
      </c>
      <c r="J2936" s="87">
        <v>215</v>
      </c>
      <c r="K2936" s="87"/>
      <c r="L2936" s="87">
        <v>215</v>
      </c>
      <c r="M2936" s="87"/>
      <c r="N2936" s="87"/>
      <c r="O2936" s="87"/>
      <c r="P2936" s="87"/>
      <c r="Q2936" s="87"/>
      <c r="R2936" s="87"/>
      <c r="S2936" s="87"/>
      <c r="T2936" s="87"/>
      <c r="U2936" s="88"/>
      <c r="V2936" s="89"/>
      <c r="W2936" s="96">
        <v>0</v>
      </c>
      <c r="X2936" s="71">
        <f>CU2936</f>
        <v>0</v>
      </c>
      <c r="Y2936" s="71">
        <f>CY2936</f>
        <v>0</v>
      </c>
      <c r="Z2936" s="71">
        <f>DA2936+DC2936+DE2936</f>
        <v>0</v>
      </c>
      <c r="AA2936" s="71">
        <f>CW2936</f>
        <v>0</v>
      </c>
      <c r="AB2936" s="71"/>
      <c r="AC2936" s="71">
        <v>0</v>
      </c>
      <c r="AD2936" s="71">
        <f>W2936+X2936+Y2936+Z2936+AA2936+AB2936+AC2936</f>
        <v>0</v>
      </c>
      <c r="AE2936" s="72">
        <v>0</v>
      </c>
      <c r="AF2936" s="5"/>
      <c r="AG2936" s="6"/>
      <c r="AH2936" s="27" t="s">
        <v>3390</v>
      </c>
      <c r="AI2936" s="44" t="s">
        <v>3393</v>
      </c>
      <c r="AJ2936" s="26"/>
      <c r="AK2936" s="5" t="s">
        <v>4242</v>
      </c>
      <c r="AL2936" s="274" t="s">
        <v>5830</v>
      </c>
      <c r="AM2936" s="76"/>
      <c r="AN2936" s="76"/>
      <c r="AO2936" s="76"/>
      <c r="AP2936" s="76"/>
      <c r="AQ2936" s="76"/>
      <c r="AR2936" s="76"/>
      <c r="AS2936" s="76"/>
      <c r="AT2936" s="76"/>
      <c r="AU2936" s="76"/>
      <c r="AV2936" s="76"/>
      <c r="AW2936" s="76"/>
      <c r="AX2936" s="76">
        <f>+AW2936*600000</f>
        <v>0</v>
      </c>
      <c r="AY2936" s="76"/>
      <c r="AZ2936" s="76">
        <f>+AY2936*70000</f>
        <v>0</v>
      </c>
      <c r="BA2936" s="76"/>
      <c r="BB2936" s="76"/>
      <c r="BC2936" s="76"/>
      <c r="BD2936" s="76">
        <f>+BC2936*30000</f>
        <v>0</v>
      </c>
      <c r="BE2936" s="76"/>
      <c r="BF2936" s="76"/>
      <c r="BG2936" s="76"/>
      <c r="BH2936" s="76"/>
      <c r="BI2936" s="76"/>
      <c r="BJ2936" s="76"/>
      <c r="BK2936" s="76"/>
      <c r="BL2936" s="76">
        <f>+BK2936*31500</f>
        <v>0</v>
      </c>
      <c r="BM2936" s="76"/>
      <c r="BN2936" s="76"/>
      <c r="BO2936" s="76"/>
      <c r="BP2936" s="76"/>
      <c r="BQ2936" s="76"/>
      <c r="BR2936" s="76"/>
      <c r="BS2936" s="76"/>
      <c r="BT2936" s="76"/>
      <c r="BU2936" s="76"/>
      <c r="BV2936" s="76"/>
      <c r="BW2936" s="76"/>
      <c r="BX2936" s="76"/>
      <c r="BY2936" s="76"/>
      <c r="BZ2936" s="76"/>
      <c r="CA2936" s="76"/>
      <c r="CB2936" s="76"/>
      <c r="CC2936" s="76"/>
      <c r="CD2936" s="76"/>
      <c r="CE2936" s="76"/>
      <c r="CF2936" s="76">
        <f>+CE2936*28000</f>
        <v>0</v>
      </c>
      <c r="CG2936" s="76"/>
      <c r="CH2936" s="76">
        <f>+CG2936*22500</f>
        <v>0</v>
      </c>
      <c r="CI2936" s="76"/>
      <c r="CJ2936" s="76">
        <f>+CI2936*26000</f>
        <v>0</v>
      </c>
      <c r="CK2936" s="76"/>
      <c r="CL2936" s="76"/>
      <c r="CM2936" s="76"/>
      <c r="CN2936" s="76">
        <f>+CM2936*22000</f>
        <v>0</v>
      </c>
      <c r="CO2936" s="76"/>
      <c r="CP2936" s="76">
        <f>+CO2936*46000</f>
        <v>0</v>
      </c>
      <c r="CQ2936" s="76"/>
      <c r="CR2936" s="76">
        <f>+CQ2936*49000</f>
        <v>0</v>
      </c>
      <c r="CS2936" s="76"/>
      <c r="CT2936" s="76"/>
      <c r="CU2936" s="56">
        <f>AN2936+AP2936+AR2936+AT2936+AV2936+AX2936+AZ2936+BB2936+BD2936+BF2936+BH2936+BJ2936+BL2936+BN2936+BP2936+BR2936+BT2936+BV2936+BX2936+BZ2936+CB2936+CD2936+CF2936+CH2936+CJ2936+CL2936+CN2936+CP2936+CR2936+CT2936</f>
        <v>0</v>
      </c>
      <c r="CV2936" s="76"/>
      <c r="CW2936" s="76">
        <f>+CV2936*1100</f>
        <v>0</v>
      </c>
      <c r="CX2936" s="76"/>
      <c r="CY2936" s="76">
        <f>+CX2936*106250</f>
        <v>0</v>
      </c>
      <c r="CZ2936" s="76"/>
      <c r="DA2936" s="76">
        <f>+CZ2936*34500</f>
        <v>0</v>
      </c>
      <c r="DB2936" s="76"/>
      <c r="DC2936" s="76">
        <f>+DB2936*25000</f>
        <v>0</v>
      </c>
      <c r="DD2936" s="219"/>
      <c r="DE2936" s="219"/>
      <c r="DF2936" s="166"/>
      <c r="DG2936" s="116"/>
      <c r="DH2936" s="117"/>
      <c r="DI2936" s="24"/>
      <c r="DJ2936" s="24"/>
      <c r="DK2936" s="24"/>
      <c r="DL2936" s="24"/>
      <c r="DM2936" s="24"/>
      <c r="DN2936" s="24"/>
      <c r="DO2936" s="24"/>
      <c r="DP2936" s="24"/>
      <c r="DQ2936" s="24"/>
      <c r="DR2936" s="24"/>
      <c r="DS2936" s="24"/>
      <c r="DT2936" s="24"/>
      <c r="DU2936" s="24"/>
    </row>
    <row r="2937" spans="1:125" s="8" customFormat="1" ht="108" x14ac:dyDescent="0.2">
      <c r="A2937" s="77">
        <v>41521</v>
      </c>
      <c r="B2937" s="352" t="s">
        <v>2854</v>
      </c>
      <c r="C2937" s="354" t="s">
        <v>2678</v>
      </c>
      <c r="D2937" s="354" t="s">
        <v>2882</v>
      </c>
      <c r="E2937" s="75" t="str">
        <f>VLOOKUP(B2937&amp;C2937,Divipola!$C$2:$F$1138,4,FALSE)</f>
        <v>19701</v>
      </c>
      <c r="F2937" s="87"/>
      <c r="G2937" s="87"/>
      <c r="H2937" s="87"/>
      <c r="I2937" s="87">
        <v>500</v>
      </c>
      <c r="J2937" s="87">
        <v>100</v>
      </c>
      <c r="K2937" s="87"/>
      <c r="L2937" s="87">
        <v>100</v>
      </c>
      <c r="M2937" s="87"/>
      <c r="N2937" s="87"/>
      <c r="O2937" s="87"/>
      <c r="P2937" s="87"/>
      <c r="Q2937" s="87"/>
      <c r="R2937" s="87"/>
      <c r="S2937" s="87"/>
      <c r="T2937" s="87"/>
      <c r="U2937" s="88"/>
      <c r="V2937" s="89"/>
      <c r="W2937" s="96">
        <v>0</v>
      </c>
      <c r="X2937" s="71">
        <f>CU2937</f>
        <v>0</v>
      </c>
      <c r="Y2937" s="71">
        <f>CY2937</f>
        <v>0</v>
      </c>
      <c r="Z2937" s="71">
        <f>DA2937+DC2937+DE2937</f>
        <v>0</v>
      </c>
      <c r="AA2937" s="71">
        <f>CW2937</f>
        <v>0</v>
      </c>
      <c r="AB2937" s="71"/>
      <c r="AC2937" s="71">
        <v>0</v>
      </c>
      <c r="AD2937" s="71">
        <f>W2937+X2937+Y2937+Z2937+AA2937+AB2937+AC2937</f>
        <v>0</v>
      </c>
      <c r="AE2937" s="72">
        <v>0</v>
      </c>
      <c r="AF2937" s="5"/>
      <c r="AG2937" s="6"/>
      <c r="AH2937" s="27"/>
      <c r="AI2937" s="44"/>
      <c r="AJ2937" s="26"/>
      <c r="AK2937" s="5"/>
      <c r="AL2937" s="82" t="s">
        <v>6452</v>
      </c>
      <c r="AM2937" s="76"/>
      <c r="AN2937" s="76"/>
      <c r="AO2937" s="76"/>
      <c r="AP2937" s="76"/>
      <c r="AQ2937" s="76"/>
      <c r="AR2937" s="76"/>
      <c r="AS2937" s="76"/>
      <c r="AT2937" s="76"/>
      <c r="AU2937" s="76"/>
      <c r="AV2937" s="76"/>
      <c r="AW2937" s="76"/>
      <c r="AX2937" s="76">
        <f>+AW2937*600000</f>
        <v>0</v>
      </c>
      <c r="AY2937" s="76"/>
      <c r="AZ2937" s="76">
        <f>+AY2937*70000</f>
        <v>0</v>
      </c>
      <c r="BA2937" s="76"/>
      <c r="BB2937" s="76"/>
      <c r="BC2937" s="76"/>
      <c r="BD2937" s="76">
        <f>+BC2937*30000</f>
        <v>0</v>
      </c>
      <c r="BE2937" s="76"/>
      <c r="BF2937" s="76"/>
      <c r="BG2937" s="76"/>
      <c r="BH2937" s="76"/>
      <c r="BI2937" s="76"/>
      <c r="BJ2937" s="76"/>
      <c r="BK2937" s="76"/>
      <c r="BL2937" s="76">
        <f>+BK2937*31500</f>
        <v>0</v>
      </c>
      <c r="BM2937" s="76"/>
      <c r="BN2937" s="76"/>
      <c r="BO2937" s="76"/>
      <c r="BP2937" s="76"/>
      <c r="BQ2937" s="76"/>
      <c r="BR2937" s="76"/>
      <c r="BS2937" s="76"/>
      <c r="BT2937" s="76"/>
      <c r="BU2937" s="76"/>
      <c r="BV2937" s="76"/>
      <c r="BW2937" s="76"/>
      <c r="BX2937" s="76"/>
      <c r="BY2937" s="76"/>
      <c r="BZ2937" s="76"/>
      <c r="CA2937" s="76"/>
      <c r="CB2937" s="76"/>
      <c r="CC2937" s="76"/>
      <c r="CD2937" s="76"/>
      <c r="CE2937" s="76"/>
      <c r="CF2937" s="76">
        <f>+CE2937*28000</f>
        <v>0</v>
      </c>
      <c r="CG2937" s="76"/>
      <c r="CH2937" s="76">
        <f>+CG2937*22500</f>
        <v>0</v>
      </c>
      <c r="CI2937" s="76"/>
      <c r="CJ2937" s="76">
        <f>+CI2937*26000</f>
        <v>0</v>
      </c>
      <c r="CK2937" s="76"/>
      <c r="CL2937" s="76"/>
      <c r="CM2937" s="76"/>
      <c r="CN2937" s="76">
        <f>+CM2937*22000</f>
        <v>0</v>
      </c>
      <c r="CO2937" s="76"/>
      <c r="CP2937" s="76">
        <f>+CO2937*46000</f>
        <v>0</v>
      </c>
      <c r="CQ2937" s="76"/>
      <c r="CR2937" s="76">
        <f>+CQ2937*49000</f>
        <v>0</v>
      </c>
      <c r="CS2937" s="76"/>
      <c r="CT2937" s="76"/>
      <c r="CU2937" s="56">
        <f>AN2937+AP2937+AR2937+AT2937+AV2937+AX2937+AZ2937+BB2937+BD2937+BF2937+BH2937+BJ2937+BL2937+BN2937+BP2937+BR2937+BT2937+BV2937+BX2937+BZ2937+CB2937+CD2937+CF2937+CH2937+CJ2937+CL2937+CN2937+CP2937+CR2937+CT2937</f>
        <v>0</v>
      </c>
      <c r="CV2937" s="76"/>
      <c r="CW2937" s="76">
        <f>+CV2937*1100</f>
        <v>0</v>
      </c>
      <c r="CX2937" s="76"/>
      <c r="CY2937" s="76">
        <f>+CX2937*106250</f>
        <v>0</v>
      </c>
      <c r="CZ2937" s="76"/>
      <c r="DA2937" s="76">
        <f>+CZ2937*34500</f>
        <v>0</v>
      </c>
      <c r="DB2937" s="76"/>
      <c r="DC2937" s="76">
        <f>+DB2937*25000</f>
        <v>0</v>
      </c>
      <c r="DD2937" s="219"/>
      <c r="DE2937" s="219"/>
      <c r="DF2937" s="166"/>
      <c r="DG2937" s="116"/>
      <c r="DH2937" s="117"/>
      <c r="DI2937" s="24"/>
      <c r="DJ2937" s="24"/>
      <c r="DK2937" s="24"/>
      <c r="DL2937" s="24"/>
      <c r="DM2937" s="24"/>
      <c r="DN2937" s="24"/>
      <c r="DO2937" s="24"/>
      <c r="DP2937" s="24"/>
      <c r="DQ2937" s="24"/>
      <c r="DR2937" s="24"/>
      <c r="DS2937" s="24"/>
      <c r="DT2937" s="24"/>
      <c r="DU2937" s="24"/>
    </row>
    <row r="2938" spans="1:125" s="175" customFormat="1" ht="84" x14ac:dyDescent="0.2">
      <c r="A2938" s="77">
        <v>41521</v>
      </c>
      <c r="B2938" s="352" t="s">
        <v>2777</v>
      </c>
      <c r="C2938" s="354" t="s">
        <v>2762</v>
      </c>
      <c r="D2938" s="354" t="s">
        <v>3205</v>
      </c>
      <c r="E2938" s="75" t="str">
        <f>VLOOKUP(B2938&amp;C2938,Divipola!$C$2:$F$1138,4,FALSE)</f>
        <v>13074</v>
      </c>
      <c r="F2938" s="87"/>
      <c r="G2938" s="87"/>
      <c r="H2938" s="87"/>
      <c r="I2938" s="87"/>
      <c r="J2938" s="87"/>
      <c r="K2938" s="87"/>
      <c r="L2938" s="87"/>
      <c r="M2938" s="87"/>
      <c r="N2938" s="87"/>
      <c r="O2938" s="87"/>
      <c r="P2938" s="87"/>
      <c r="Q2938" s="87"/>
      <c r="R2938" s="87"/>
      <c r="S2938" s="87"/>
      <c r="T2938" s="87"/>
      <c r="U2938" s="88"/>
      <c r="V2938" s="89"/>
      <c r="W2938" s="96">
        <v>0</v>
      </c>
      <c r="X2938" s="71">
        <f>CU2938</f>
        <v>0</v>
      </c>
      <c r="Y2938" s="71">
        <f>CY2938</f>
        <v>0</v>
      </c>
      <c r="Z2938" s="71">
        <f>DA2938+DC2938+DE2938</f>
        <v>0</v>
      </c>
      <c r="AA2938" s="71">
        <f>CW2938</f>
        <v>0</v>
      </c>
      <c r="AB2938" s="71"/>
      <c r="AC2938" s="71">
        <v>0</v>
      </c>
      <c r="AD2938" s="71">
        <f>W2938+X2938+Y2938+Z2938+AA2938+AB2938+AC2938</f>
        <v>0</v>
      </c>
      <c r="AE2938" s="72">
        <v>0</v>
      </c>
      <c r="AF2938" s="5"/>
      <c r="AG2938" s="6"/>
      <c r="AH2938" s="27"/>
      <c r="AI2938" s="44"/>
      <c r="AJ2938" s="26"/>
      <c r="AK2938" s="5"/>
      <c r="AL2938" s="300" t="s">
        <v>5816</v>
      </c>
      <c r="AM2938" s="76"/>
      <c r="AN2938" s="76"/>
      <c r="AO2938" s="76"/>
      <c r="AP2938" s="76"/>
      <c r="AQ2938" s="76"/>
      <c r="AR2938" s="76"/>
      <c r="AS2938" s="76"/>
      <c r="AT2938" s="76"/>
      <c r="AU2938" s="76"/>
      <c r="AV2938" s="76"/>
      <c r="AW2938" s="76"/>
      <c r="AX2938" s="76">
        <f>+AW2938*600000</f>
        <v>0</v>
      </c>
      <c r="AY2938" s="76"/>
      <c r="AZ2938" s="76">
        <f>+AY2938*70000</f>
        <v>0</v>
      </c>
      <c r="BA2938" s="76"/>
      <c r="BB2938" s="76"/>
      <c r="BC2938" s="76"/>
      <c r="BD2938" s="76">
        <f>+BC2938*30000</f>
        <v>0</v>
      </c>
      <c r="BE2938" s="76"/>
      <c r="BF2938" s="76"/>
      <c r="BG2938" s="76"/>
      <c r="BH2938" s="76"/>
      <c r="BI2938" s="76"/>
      <c r="BJ2938" s="76"/>
      <c r="BK2938" s="76"/>
      <c r="BL2938" s="76">
        <f>+BK2938*31500</f>
        <v>0</v>
      </c>
      <c r="BM2938" s="76"/>
      <c r="BN2938" s="76"/>
      <c r="BO2938" s="76"/>
      <c r="BP2938" s="76"/>
      <c r="BQ2938" s="76"/>
      <c r="BR2938" s="76"/>
      <c r="BS2938" s="76"/>
      <c r="BT2938" s="76"/>
      <c r="BU2938" s="76"/>
      <c r="BV2938" s="76"/>
      <c r="BW2938" s="76"/>
      <c r="BX2938" s="76"/>
      <c r="BY2938" s="76"/>
      <c r="BZ2938" s="76"/>
      <c r="CA2938" s="76"/>
      <c r="CB2938" s="76"/>
      <c r="CC2938" s="76"/>
      <c r="CD2938" s="76"/>
      <c r="CE2938" s="76"/>
      <c r="CF2938" s="76">
        <f>+CE2938*28000</f>
        <v>0</v>
      </c>
      <c r="CG2938" s="76"/>
      <c r="CH2938" s="76">
        <f>+CG2938*22500</f>
        <v>0</v>
      </c>
      <c r="CI2938" s="76"/>
      <c r="CJ2938" s="76">
        <f>+CI2938*26000</f>
        <v>0</v>
      </c>
      <c r="CK2938" s="76"/>
      <c r="CL2938" s="76"/>
      <c r="CM2938" s="76"/>
      <c r="CN2938" s="76">
        <f>+CM2938*22000</f>
        <v>0</v>
      </c>
      <c r="CO2938" s="76"/>
      <c r="CP2938" s="76">
        <f>+CO2938*46000</f>
        <v>0</v>
      </c>
      <c r="CQ2938" s="76"/>
      <c r="CR2938" s="76">
        <f>+CQ2938*49000</f>
        <v>0</v>
      </c>
      <c r="CS2938" s="76"/>
      <c r="CT2938" s="76"/>
      <c r="CU2938" s="56">
        <f>AN2938+AP2938+AR2938+AT2938+AV2938+AX2938+AZ2938+BB2938+BD2938+BF2938+BH2938+BJ2938+BL2938+BN2938+BP2938+BR2938+BT2938+BV2938+BX2938+BZ2938+CB2938+CD2938+CF2938+CH2938+CJ2938+CL2938+CN2938+CP2938+CR2938+CT2938</f>
        <v>0</v>
      </c>
      <c r="CV2938" s="76"/>
      <c r="CW2938" s="76">
        <f>+CV2938*1100</f>
        <v>0</v>
      </c>
      <c r="CX2938" s="76"/>
      <c r="CY2938" s="76">
        <f>+CX2938*106250</f>
        <v>0</v>
      </c>
      <c r="CZ2938" s="76"/>
      <c r="DA2938" s="76">
        <f>+CZ2938*34500</f>
        <v>0</v>
      </c>
      <c r="DB2938" s="76"/>
      <c r="DC2938" s="76">
        <f>+DB2938*25000</f>
        <v>0</v>
      </c>
      <c r="DD2938" s="219"/>
      <c r="DE2938" s="219"/>
      <c r="DF2938" s="166"/>
      <c r="DG2938" s="116"/>
      <c r="DH2938" s="117"/>
    </row>
    <row r="2939" spans="1:125" s="8" customFormat="1" ht="48" x14ac:dyDescent="0.2">
      <c r="A2939" s="77">
        <v>41521</v>
      </c>
      <c r="B2939" s="352" t="s">
        <v>2855</v>
      </c>
      <c r="C2939" s="354" t="s">
        <v>503</v>
      </c>
      <c r="D2939" s="354" t="s">
        <v>2882</v>
      </c>
      <c r="E2939" s="75" t="str">
        <f>VLOOKUP(B2939&amp;C2939,Divipola!$C$2:$F$1138,4,FALSE)</f>
        <v>20175</v>
      </c>
      <c r="F2939" s="87"/>
      <c r="G2939" s="87"/>
      <c r="H2939" s="87"/>
      <c r="I2939" s="87">
        <v>40</v>
      </c>
      <c r="J2939" s="87">
        <v>8</v>
      </c>
      <c r="K2939" s="87"/>
      <c r="L2939" s="87">
        <v>8</v>
      </c>
      <c r="M2939" s="87"/>
      <c r="N2939" s="87"/>
      <c r="O2939" s="87"/>
      <c r="P2939" s="87"/>
      <c r="Q2939" s="87"/>
      <c r="R2939" s="87"/>
      <c r="S2939" s="87"/>
      <c r="T2939" s="87"/>
      <c r="U2939" s="88"/>
      <c r="V2939" s="89"/>
      <c r="W2939" s="96">
        <v>0</v>
      </c>
      <c r="X2939" s="71">
        <f>CU2939</f>
        <v>0</v>
      </c>
      <c r="Y2939" s="71">
        <f>CY2939</f>
        <v>0</v>
      </c>
      <c r="Z2939" s="71">
        <f>DA2939+DC2939+DE2939</f>
        <v>0</v>
      </c>
      <c r="AA2939" s="71">
        <f>CW2939</f>
        <v>0</v>
      </c>
      <c r="AB2939" s="71"/>
      <c r="AC2939" s="71">
        <v>0</v>
      </c>
      <c r="AD2939" s="71">
        <f>W2939+X2939+Y2939+Z2939+AA2939+AB2939+AC2939</f>
        <v>0</v>
      </c>
      <c r="AE2939" s="72">
        <v>0</v>
      </c>
      <c r="AF2939" s="5"/>
      <c r="AG2939" s="6"/>
      <c r="AH2939" s="27"/>
      <c r="AI2939" s="44"/>
      <c r="AJ2939" s="26"/>
      <c r="AK2939" s="5"/>
      <c r="AL2939" s="82" t="s">
        <v>5815</v>
      </c>
      <c r="AM2939" s="76"/>
      <c r="AN2939" s="76"/>
      <c r="AO2939" s="76"/>
      <c r="AP2939" s="76"/>
      <c r="AQ2939" s="76"/>
      <c r="AR2939" s="76"/>
      <c r="AS2939" s="76"/>
      <c r="AT2939" s="76"/>
      <c r="AU2939" s="76"/>
      <c r="AV2939" s="76"/>
      <c r="AW2939" s="76"/>
      <c r="AX2939" s="76">
        <f>+AW2939*600000</f>
        <v>0</v>
      </c>
      <c r="AY2939" s="76"/>
      <c r="AZ2939" s="76">
        <f>+AY2939*70000</f>
        <v>0</v>
      </c>
      <c r="BA2939" s="76"/>
      <c r="BB2939" s="76"/>
      <c r="BC2939" s="76"/>
      <c r="BD2939" s="76">
        <f>+BC2939*30000</f>
        <v>0</v>
      </c>
      <c r="BE2939" s="76"/>
      <c r="BF2939" s="76"/>
      <c r="BG2939" s="76"/>
      <c r="BH2939" s="76"/>
      <c r="BI2939" s="76"/>
      <c r="BJ2939" s="76"/>
      <c r="BK2939" s="76"/>
      <c r="BL2939" s="76">
        <f>+BK2939*31500</f>
        <v>0</v>
      </c>
      <c r="BM2939" s="76"/>
      <c r="BN2939" s="76"/>
      <c r="BO2939" s="76"/>
      <c r="BP2939" s="76"/>
      <c r="BQ2939" s="76"/>
      <c r="BR2939" s="76"/>
      <c r="BS2939" s="76"/>
      <c r="BT2939" s="76"/>
      <c r="BU2939" s="76"/>
      <c r="BV2939" s="76"/>
      <c r="BW2939" s="76"/>
      <c r="BX2939" s="76"/>
      <c r="BY2939" s="76"/>
      <c r="BZ2939" s="76"/>
      <c r="CA2939" s="76"/>
      <c r="CB2939" s="76"/>
      <c r="CC2939" s="76"/>
      <c r="CD2939" s="76"/>
      <c r="CE2939" s="76"/>
      <c r="CF2939" s="76">
        <f>+CE2939*28000</f>
        <v>0</v>
      </c>
      <c r="CG2939" s="76"/>
      <c r="CH2939" s="76">
        <f>+CG2939*22500</f>
        <v>0</v>
      </c>
      <c r="CI2939" s="76"/>
      <c r="CJ2939" s="76">
        <f>+CI2939*26000</f>
        <v>0</v>
      </c>
      <c r="CK2939" s="76"/>
      <c r="CL2939" s="76"/>
      <c r="CM2939" s="76"/>
      <c r="CN2939" s="76">
        <f>+CM2939*22000</f>
        <v>0</v>
      </c>
      <c r="CO2939" s="76"/>
      <c r="CP2939" s="76">
        <f>+CO2939*46000</f>
        <v>0</v>
      </c>
      <c r="CQ2939" s="76"/>
      <c r="CR2939" s="76">
        <f>+CQ2939*49000</f>
        <v>0</v>
      </c>
      <c r="CS2939" s="76"/>
      <c r="CT2939" s="76"/>
      <c r="CU2939" s="56">
        <f>AN2939+AP2939+AR2939+AT2939+AV2939+AX2939+AZ2939+BB2939+BD2939+BF2939+BH2939+BJ2939+BL2939+BN2939+BP2939+BR2939+BT2939+BV2939+BX2939+BZ2939+CB2939+CD2939+CF2939+CH2939+CJ2939+CL2939+CN2939+CP2939+CR2939+CT2939</f>
        <v>0</v>
      </c>
      <c r="CV2939" s="76"/>
      <c r="CW2939" s="76">
        <f>+CV2939*1100</f>
        <v>0</v>
      </c>
      <c r="CX2939" s="76"/>
      <c r="CY2939" s="76">
        <f>+CX2939*106250</f>
        <v>0</v>
      </c>
      <c r="CZ2939" s="76"/>
      <c r="DA2939" s="76">
        <f>+CZ2939*34500</f>
        <v>0</v>
      </c>
      <c r="DB2939" s="76"/>
      <c r="DC2939" s="76">
        <f>+DB2939*25000</f>
        <v>0</v>
      </c>
      <c r="DD2939" s="219"/>
      <c r="DE2939" s="219"/>
      <c r="DF2939" s="166"/>
      <c r="DG2939" s="116"/>
      <c r="DH2939" s="117"/>
      <c r="DI2939" s="24"/>
      <c r="DJ2939" s="24"/>
      <c r="DK2939" s="24"/>
      <c r="DL2939" s="24"/>
      <c r="DM2939" s="24"/>
      <c r="DN2939" s="24"/>
      <c r="DO2939" s="24"/>
      <c r="DP2939" s="24"/>
      <c r="DQ2939" s="24"/>
      <c r="DR2939" s="24"/>
      <c r="DS2939" s="24"/>
      <c r="DT2939" s="24"/>
      <c r="DU2939" s="24"/>
    </row>
    <row r="2940" spans="1:125" s="8" customFormat="1" ht="72" x14ac:dyDescent="0.2">
      <c r="A2940" s="293">
        <v>41521</v>
      </c>
      <c r="B2940" s="298" t="s">
        <v>2772</v>
      </c>
      <c r="C2940" s="299" t="s">
        <v>1328</v>
      </c>
      <c r="D2940" s="299" t="s">
        <v>2846</v>
      </c>
      <c r="E2940" s="296" t="str">
        <f>VLOOKUP(B2940&amp;C2940,Divipola!$C$2:$F$1138,4,FALSE)</f>
        <v>25035</v>
      </c>
      <c r="F2940" s="87"/>
      <c r="G2940" s="87"/>
      <c r="H2940" s="87"/>
      <c r="I2940" s="87"/>
      <c r="J2940" s="87"/>
      <c r="K2940" s="87"/>
      <c r="L2940" s="87"/>
      <c r="M2940" s="87"/>
      <c r="N2940" s="87"/>
      <c r="O2940" s="87"/>
      <c r="P2940" s="87"/>
      <c r="Q2940" s="87"/>
      <c r="R2940" s="87"/>
      <c r="S2940" s="87"/>
      <c r="T2940" s="87"/>
      <c r="U2940" s="88">
        <v>1.5</v>
      </c>
      <c r="V2940" s="89"/>
      <c r="W2940" s="96">
        <v>0</v>
      </c>
      <c r="X2940" s="71">
        <f>CU2940</f>
        <v>0</v>
      </c>
      <c r="Y2940" s="71">
        <f>CY2940</f>
        <v>0</v>
      </c>
      <c r="Z2940" s="71">
        <f>DA2940+DC2940+DE2940</f>
        <v>0</v>
      </c>
      <c r="AA2940" s="71">
        <f>CW2940</f>
        <v>0</v>
      </c>
      <c r="AB2940" s="71"/>
      <c r="AC2940" s="71">
        <v>0</v>
      </c>
      <c r="AD2940" s="71">
        <f>W2940+X2940+Y2940+Z2940+AA2940+AB2940+AC2940</f>
        <v>0</v>
      </c>
      <c r="AE2940" s="72">
        <v>0</v>
      </c>
      <c r="AF2940" s="5"/>
      <c r="AG2940" s="6"/>
      <c r="AH2940" s="27"/>
      <c r="AI2940" s="44"/>
      <c r="AJ2940" s="26"/>
      <c r="AK2940" s="5"/>
      <c r="AL2940" s="274" t="s">
        <v>5832</v>
      </c>
      <c r="AM2940" s="76"/>
      <c r="AN2940" s="76"/>
      <c r="AO2940" s="76"/>
      <c r="AP2940" s="76"/>
      <c r="AQ2940" s="76"/>
      <c r="AR2940" s="76"/>
      <c r="AS2940" s="76"/>
      <c r="AT2940" s="76"/>
      <c r="AU2940" s="76"/>
      <c r="AV2940" s="76"/>
      <c r="AW2940" s="76"/>
      <c r="AX2940" s="76">
        <f>+AW2940*600000</f>
        <v>0</v>
      </c>
      <c r="AY2940" s="76"/>
      <c r="AZ2940" s="76">
        <f>+AY2940*70000</f>
        <v>0</v>
      </c>
      <c r="BA2940" s="76"/>
      <c r="BB2940" s="76"/>
      <c r="BC2940" s="76"/>
      <c r="BD2940" s="76">
        <f>+BC2940*30000</f>
        <v>0</v>
      </c>
      <c r="BE2940" s="76"/>
      <c r="BF2940" s="76"/>
      <c r="BG2940" s="76"/>
      <c r="BH2940" s="76"/>
      <c r="BI2940" s="76"/>
      <c r="BJ2940" s="76"/>
      <c r="BK2940" s="76"/>
      <c r="BL2940" s="76">
        <f>+BK2940*31500</f>
        <v>0</v>
      </c>
      <c r="BM2940" s="76"/>
      <c r="BN2940" s="76"/>
      <c r="BO2940" s="76"/>
      <c r="BP2940" s="76"/>
      <c r="BQ2940" s="76"/>
      <c r="BR2940" s="76"/>
      <c r="BS2940" s="76"/>
      <c r="BT2940" s="76"/>
      <c r="BU2940" s="76"/>
      <c r="BV2940" s="76"/>
      <c r="BW2940" s="76"/>
      <c r="BX2940" s="76"/>
      <c r="BY2940" s="76"/>
      <c r="BZ2940" s="76"/>
      <c r="CA2940" s="76"/>
      <c r="CB2940" s="76"/>
      <c r="CC2940" s="76"/>
      <c r="CD2940" s="76"/>
      <c r="CE2940" s="76"/>
      <c r="CF2940" s="76">
        <f>+CE2940*28000</f>
        <v>0</v>
      </c>
      <c r="CG2940" s="76"/>
      <c r="CH2940" s="76">
        <f>+CG2940*22500</f>
        <v>0</v>
      </c>
      <c r="CI2940" s="76"/>
      <c r="CJ2940" s="76">
        <f>+CI2940*26000</f>
        <v>0</v>
      </c>
      <c r="CK2940" s="76"/>
      <c r="CL2940" s="76"/>
      <c r="CM2940" s="76"/>
      <c r="CN2940" s="76">
        <f>+CM2940*22000</f>
        <v>0</v>
      </c>
      <c r="CO2940" s="76"/>
      <c r="CP2940" s="76">
        <f>+CO2940*46000</f>
        <v>0</v>
      </c>
      <c r="CQ2940" s="76"/>
      <c r="CR2940" s="76">
        <f>+CQ2940*49000</f>
        <v>0</v>
      </c>
      <c r="CS2940" s="76"/>
      <c r="CT2940" s="76"/>
      <c r="CU2940" s="56">
        <f>AN2940+AP2940+AR2940+AT2940+AV2940+AX2940+AZ2940+BB2940+BD2940+BF2940+BH2940+BJ2940+BL2940+BN2940+BP2940+BR2940+BT2940+BV2940+BX2940+BZ2940+CB2940+CD2940+CF2940+CH2940+CJ2940+CL2940+CN2940+CP2940+CR2940+CT2940</f>
        <v>0</v>
      </c>
      <c r="CV2940" s="76"/>
      <c r="CW2940" s="76">
        <f>+CV2940*1100</f>
        <v>0</v>
      </c>
      <c r="CX2940" s="76"/>
      <c r="CY2940" s="76">
        <f>+CX2940*106250</f>
        <v>0</v>
      </c>
      <c r="CZ2940" s="76"/>
      <c r="DA2940" s="76">
        <f>+CZ2940*34500</f>
        <v>0</v>
      </c>
      <c r="DB2940" s="76"/>
      <c r="DC2940" s="76">
        <f>+DB2940*25000</f>
        <v>0</v>
      </c>
      <c r="DD2940" s="219"/>
      <c r="DE2940" s="219"/>
      <c r="DF2940" s="166"/>
      <c r="DG2940" s="116"/>
      <c r="DH2940" s="117"/>
      <c r="DI2940" s="24"/>
      <c r="DJ2940" s="24"/>
      <c r="DK2940" s="24"/>
      <c r="DL2940" s="24"/>
      <c r="DM2940" s="24"/>
      <c r="DN2940" s="24"/>
      <c r="DO2940" s="24"/>
      <c r="DP2940" s="24"/>
      <c r="DQ2940" s="24"/>
      <c r="DR2940" s="24"/>
      <c r="DS2940" s="24"/>
      <c r="DT2940" s="24"/>
      <c r="DU2940" s="24"/>
    </row>
    <row r="2941" spans="1:125" s="8" customFormat="1" ht="132" x14ac:dyDescent="0.2">
      <c r="A2941" s="77">
        <v>41521</v>
      </c>
      <c r="B2941" s="78" t="s">
        <v>2860</v>
      </c>
      <c r="C2941" s="75" t="s">
        <v>2776</v>
      </c>
      <c r="D2941" s="75" t="s">
        <v>2882</v>
      </c>
      <c r="E2941" s="75" t="str">
        <f>VLOOKUP(B2941&amp;C2941,Divipola!$C$2:$F$1138,4,FALSE)</f>
        <v>63001</v>
      </c>
      <c r="F2941" s="87"/>
      <c r="G2941" s="87"/>
      <c r="H2941" s="87"/>
      <c r="I2941" s="87">
        <v>40</v>
      </c>
      <c r="J2941" s="87">
        <v>8</v>
      </c>
      <c r="K2941" s="87"/>
      <c r="L2941" s="87">
        <v>8</v>
      </c>
      <c r="M2941" s="87"/>
      <c r="N2941" s="87"/>
      <c r="O2941" s="87"/>
      <c r="P2941" s="87"/>
      <c r="Q2941" s="87"/>
      <c r="R2941" s="87"/>
      <c r="S2941" s="87"/>
      <c r="T2941" s="87">
        <v>5</v>
      </c>
      <c r="U2941" s="88"/>
      <c r="V2941" s="89"/>
      <c r="W2941" s="96">
        <v>0</v>
      </c>
      <c r="X2941" s="71">
        <f>CU2941</f>
        <v>0</v>
      </c>
      <c r="Y2941" s="71">
        <f>CY2941</f>
        <v>0</v>
      </c>
      <c r="Z2941" s="71">
        <f>DA2941+DC2941+DE2941</f>
        <v>0</v>
      </c>
      <c r="AA2941" s="71">
        <f>CW2941</f>
        <v>0</v>
      </c>
      <c r="AB2941" s="71"/>
      <c r="AC2941" s="71">
        <v>0</v>
      </c>
      <c r="AD2941" s="71">
        <f>W2941+X2941+Y2941+Z2941+AA2941+AB2941+AC2941</f>
        <v>0</v>
      </c>
      <c r="AE2941" s="72">
        <v>0</v>
      </c>
      <c r="AF2941" s="5"/>
      <c r="AG2941" s="6"/>
      <c r="AH2941" s="27"/>
      <c r="AI2941" s="44"/>
      <c r="AJ2941" s="26"/>
      <c r="AK2941" s="5"/>
      <c r="AL2941" s="274" t="s">
        <v>5821</v>
      </c>
      <c r="AM2941" s="76"/>
      <c r="AN2941" s="76"/>
      <c r="AO2941" s="76"/>
      <c r="AP2941" s="76"/>
      <c r="AQ2941" s="76"/>
      <c r="AR2941" s="76"/>
      <c r="AS2941" s="76"/>
      <c r="AT2941" s="76"/>
      <c r="AU2941" s="76"/>
      <c r="AV2941" s="76"/>
      <c r="AW2941" s="76"/>
      <c r="AX2941" s="76">
        <f>+AW2941*600000</f>
        <v>0</v>
      </c>
      <c r="AY2941" s="76"/>
      <c r="AZ2941" s="76">
        <f>+AY2941*70000</f>
        <v>0</v>
      </c>
      <c r="BA2941" s="76"/>
      <c r="BB2941" s="76"/>
      <c r="BC2941" s="76"/>
      <c r="BD2941" s="76">
        <f>+BC2941*30000</f>
        <v>0</v>
      </c>
      <c r="BE2941" s="76"/>
      <c r="BF2941" s="76"/>
      <c r="BG2941" s="76"/>
      <c r="BH2941" s="76"/>
      <c r="BI2941" s="76"/>
      <c r="BJ2941" s="76"/>
      <c r="BK2941" s="76"/>
      <c r="BL2941" s="76">
        <f>+BK2941*31500</f>
        <v>0</v>
      </c>
      <c r="BM2941" s="76"/>
      <c r="BN2941" s="76"/>
      <c r="BO2941" s="76"/>
      <c r="BP2941" s="76"/>
      <c r="BQ2941" s="76"/>
      <c r="BR2941" s="76"/>
      <c r="BS2941" s="76"/>
      <c r="BT2941" s="76"/>
      <c r="BU2941" s="76"/>
      <c r="BV2941" s="76"/>
      <c r="BW2941" s="76"/>
      <c r="BX2941" s="76"/>
      <c r="BY2941" s="76"/>
      <c r="BZ2941" s="76"/>
      <c r="CA2941" s="76"/>
      <c r="CB2941" s="76"/>
      <c r="CC2941" s="76"/>
      <c r="CD2941" s="76"/>
      <c r="CE2941" s="76"/>
      <c r="CF2941" s="76">
        <f>+CE2941*28000</f>
        <v>0</v>
      </c>
      <c r="CG2941" s="76"/>
      <c r="CH2941" s="76">
        <f>+CG2941*22500</f>
        <v>0</v>
      </c>
      <c r="CI2941" s="76"/>
      <c r="CJ2941" s="76">
        <f>+CI2941*26000</f>
        <v>0</v>
      </c>
      <c r="CK2941" s="76"/>
      <c r="CL2941" s="76"/>
      <c r="CM2941" s="76"/>
      <c r="CN2941" s="76">
        <f>+CM2941*22000</f>
        <v>0</v>
      </c>
      <c r="CO2941" s="76"/>
      <c r="CP2941" s="76">
        <f>+CO2941*46000</f>
        <v>0</v>
      </c>
      <c r="CQ2941" s="76"/>
      <c r="CR2941" s="76">
        <f>+CQ2941*49000</f>
        <v>0</v>
      </c>
      <c r="CS2941" s="76"/>
      <c r="CT2941" s="76"/>
      <c r="CU2941" s="56">
        <f>AN2941+AP2941+AR2941+AT2941+AV2941+AX2941+AZ2941+BB2941+BD2941+BF2941+BH2941+BJ2941+BL2941+BN2941+BP2941+BR2941+BT2941+BV2941+BX2941+BZ2941+CB2941+CD2941+CF2941+CH2941+CJ2941+CL2941+CN2941+CP2941+CR2941+CT2941</f>
        <v>0</v>
      </c>
      <c r="CV2941" s="76"/>
      <c r="CW2941" s="76">
        <f>+CV2941*1100</f>
        <v>0</v>
      </c>
      <c r="CX2941" s="76"/>
      <c r="CY2941" s="76">
        <f>+CX2941*106250</f>
        <v>0</v>
      </c>
      <c r="CZ2941" s="76"/>
      <c r="DA2941" s="76">
        <f>+CZ2941*34500</f>
        <v>0</v>
      </c>
      <c r="DB2941" s="76"/>
      <c r="DC2941" s="76">
        <f>+DB2941*25000</f>
        <v>0</v>
      </c>
      <c r="DD2941" s="219"/>
      <c r="DE2941" s="219"/>
      <c r="DF2941" s="166"/>
      <c r="DG2941" s="116"/>
      <c r="DH2941" s="117"/>
      <c r="DI2941" s="24"/>
      <c r="DJ2941" s="24"/>
      <c r="DK2941" s="24"/>
      <c r="DL2941" s="24"/>
      <c r="DM2941" s="24"/>
      <c r="DN2941" s="24"/>
      <c r="DO2941" s="24"/>
      <c r="DP2941" s="24"/>
      <c r="DQ2941" s="24"/>
      <c r="DR2941" s="24"/>
      <c r="DS2941" s="24"/>
      <c r="DT2941" s="24"/>
      <c r="DU2941" s="24"/>
    </row>
    <row r="2942" spans="1:125" s="8" customFormat="1" ht="48" x14ac:dyDescent="0.2">
      <c r="A2942" s="77">
        <v>41521</v>
      </c>
      <c r="B2942" s="78" t="s">
        <v>2848</v>
      </c>
      <c r="C2942" s="75" t="s">
        <v>1912</v>
      </c>
      <c r="D2942" s="75" t="s">
        <v>3051</v>
      </c>
      <c r="E2942" s="75" t="str">
        <f>VLOOKUP(B2942&amp;C2942,Divipola!$C$2:$F$1138,4,FALSE)</f>
        <v>73675</v>
      </c>
      <c r="F2942" s="61"/>
      <c r="G2942" s="61"/>
      <c r="H2942" s="61"/>
      <c r="I2942" s="61"/>
      <c r="J2942" s="61"/>
      <c r="K2942" s="61"/>
      <c r="L2942" s="61"/>
      <c r="M2942" s="61"/>
      <c r="N2942" s="61"/>
      <c r="O2942" s="61"/>
      <c r="P2942" s="61"/>
      <c r="Q2942" s="61"/>
      <c r="R2942" s="61"/>
      <c r="S2942" s="61"/>
      <c r="T2942" s="61"/>
      <c r="U2942" s="61"/>
      <c r="V2942" s="7"/>
      <c r="W2942" s="96">
        <v>12150000</v>
      </c>
      <c r="X2942" s="71">
        <f>CU2942</f>
        <v>0</v>
      </c>
      <c r="Y2942" s="71">
        <f>CY2942</f>
        <v>0</v>
      </c>
      <c r="Z2942" s="71">
        <f>DA2942+DC2942+DE2942</f>
        <v>0</v>
      </c>
      <c r="AA2942" s="71">
        <f>CW2942</f>
        <v>0</v>
      </c>
      <c r="AB2942" s="71"/>
      <c r="AC2942" s="71">
        <v>0</v>
      </c>
      <c r="AD2942" s="71">
        <f>W2942+X2942+Y2942+Z2942+AA2942+AB2942+AC2942</f>
        <v>12150000</v>
      </c>
      <c r="AE2942" s="72">
        <v>0</v>
      </c>
      <c r="AF2942" s="5"/>
      <c r="AG2942" s="6"/>
      <c r="AH2942" s="27"/>
      <c r="AI2942" s="44"/>
      <c r="AJ2942" s="26"/>
      <c r="AK2942" s="5"/>
      <c r="AL2942" s="9" t="s">
        <v>5818</v>
      </c>
      <c r="AM2942" s="76"/>
      <c r="AN2942" s="76"/>
      <c r="AO2942" s="76"/>
      <c r="AP2942" s="76"/>
      <c r="AQ2942" s="76"/>
      <c r="AR2942" s="76"/>
      <c r="AS2942" s="76"/>
      <c r="AT2942" s="76"/>
      <c r="AU2942" s="76"/>
      <c r="AV2942" s="76"/>
      <c r="AW2942" s="76"/>
      <c r="AX2942" s="76">
        <f>+AW2942*600000</f>
        <v>0</v>
      </c>
      <c r="AY2942" s="76"/>
      <c r="AZ2942" s="76">
        <f>+AY2942*70000</f>
        <v>0</v>
      </c>
      <c r="BA2942" s="76"/>
      <c r="BB2942" s="76"/>
      <c r="BC2942" s="76"/>
      <c r="BD2942" s="76">
        <f>+BC2942*30000</f>
        <v>0</v>
      </c>
      <c r="BE2942" s="76"/>
      <c r="BF2942" s="76"/>
      <c r="BG2942" s="76"/>
      <c r="BH2942" s="76"/>
      <c r="BI2942" s="76"/>
      <c r="BJ2942" s="76"/>
      <c r="BK2942" s="76"/>
      <c r="BL2942" s="76">
        <f>+BK2942*31500</f>
        <v>0</v>
      </c>
      <c r="BM2942" s="76"/>
      <c r="BN2942" s="76"/>
      <c r="BO2942" s="76"/>
      <c r="BP2942" s="76"/>
      <c r="BQ2942" s="76"/>
      <c r="BR2942" s="76"/>
      <c r="BS2942" s="76"/>
      <c r="BT2942" s="76"/>
      <c r="BU2942" s="76"/>
      <c r="BV2942" s="76"/>
      <c r="BW2942" s="76"/>
      <c r="BX2942" s="76"/>
      <c r="BY2942" s="76"/>
      <c r="BZ2942" s="76"/>
      <c r="CA2942" s="76"/>
      <c r="CB2942" s="76"/>
      <c r="CC2942" s="76"/>
      <c r="CD2942" s="76"/>
      <c r="CE2942" s="76"/>
      <c r="CF2942" s="76">
        <f>+CE2942*28000</f>
        <v>0</v>
      </c>
      <c r="CG2942" s="76"/>
      <c r="CH2942" s="76">
        <f>+CG2942*22500</f>
        <v>0</v>
      </c>
      <c r="CI2942" s="76"/>
      <c r="CJ2942" s="76">
        <f>+CI2942*26000</f>
        <v>0</v>
      </c>
      <c r="CK2942" s="76"/>
      <c r="CL2942" s="76"/>
      <c r="CM2942" s="76"/>
      <c r="CN2942" s="76">
        <f>+CM2942*22000</f>
        <v>0</v>
      </c>
      <c r="CO2942" s="76"/>
      <c r="CP2942" s="76">
        <f>+CO2942*46000</f>
        <v>0</v>
      </c>
      <c r="CQ2942" s="76"/>
      <c r="CR2942" s="76">
        <f>+CQ2942*49000</f>
        <v>0</v>
      </c>
      <c r="CS2942" s="76"/>
      <c r="CT2942" s="76"/>
      <c r="CU2942" s="56">
        <f>AN2942+AP2942+AR2942+AT2942+AV2942+AX2942+AZ2942+BB2942+BD2942+BF2942+BH2942+BJ2942+BL2942+BN2942+BP2942+BR2942+BT2942+BV2942+BX2942+BZ2942+CB2942+CD2942+CF2942+CH2942+CJ2942+CL2942+CN2942+CP2942+CR2942+CT2942</f>
        <v>0</v>
      </c>
      <c r="CV2942" s="76"/>
      <c r="CW2942" s="76">
        <f>+CV2942*1100</f>
        <v>0</v>
      </c>
      <c r="CX2942" s="76"/>
      <c r="CY2942" s="76">
        <f>+CX2942*106250</f>
        <v>0</v>
      </c>
      <c r="CZ2942" s="76"/>
      <c r="DA2942" s="76">
        <f>+CZ2942*34500</f>
        <v>0</v>
      </c>
      <c r="DB2942" s="76"/>
      <c r="DC2942" s="76">
        <f>+DB2942*25000</f>
        <v>0</v>
      </c>
      <c r="DD2942" s="219"/>
      <c r="DE2942" s="219"/>
      <c r="DF2942" s="166"/>
      <c r="DG2942" s="116"/>
      <c r="DH2942" s="117"/>
      <c r="DI2942" s="24"/>
      <c r="DJ2942" s="24"/>
      <c r="DK2942" s="24"/>
      <c r="DL2942" s="24"/>
      <c r="DM2942" s="24"/>
      <c r="DN2942" s="24"/>
      <c r="DO2942" s="24"/>
      <c r="DP2942" s="24"/>
      <c r="DQ2942" s="24"/>
      <c r="DR2942" s="24"/>
      <c r="DS2942" s="24"/>
      <c r="DT2942" s="24"/>
      <c r="DU2942" s="24"/>
    </row>
    <row r="2943" spans="1:125" s="8" customFormat="1" ht="60" x14ac:dyDescent="0.2">
      <c r="A2943" s="293">
        <v>41522</v>
      </c>
      <c r="B2943" s="294" t="s">
        <v>2894</v>
      </c>
      <c r="C2943" s="295" t="s">
        <v>2355</v>
      </c>
      <c r="D2943" s="295" t="s">
        <v>3051</v>
      </c>
      <c r="E2943" s="296" t="str">
        <f>VLOOKUP(B2943&amp;C2943,Divipola!$C$2:$F$1138,4,FALSE)</f>
        <v>05045</v>
      </c>
      <c r="F2943" s="87"/>
      <c r="G2943" s="87"/>
      <c r="H2943" s="87"/>
      <c r="I2943" s="87">
        <v>300</v>
      </c>
      <c r="J2943" s="87">
        <v>60</v>
      </c>
      <c r="K2943" s="87"/>
      <c r="L2943" s="87">
        <v>60</v>
      </c>
      <c r="M2943" s="87"/>
      <c r="N2943" s="87"/>
      <c r="O2943" s="87"/>
      <c r="P2943" s="87"/>
      <c r="Q2943" s="87"/>
      <c r="R2943" s="87"/>
      <c r="S2943" s="87"/>
      <c r="T2943" s="87"/>
      <c r="U2943" s="88"/>
      <c r="V2943" s="89"/>
      <c r="W2943" s="96">
        <v>0</v>
      </c>
      <c r="X2943" s="71">
        <f>CU2943</f>
        <v>0</v>
      </c>
      <c r="Y2943" s="71">
        <f>CY2943</f>
        <v>0</v>
      </c>
      <c r="Z2943" s="71">
        <f>DA2943+DC2943+DE2943</f>
        <v>0</v>
      </c>
      <c r="AA2943" s="71">
        <f>CW2943</f>
        <v>0</v>
      </c>
      <c r="AB2943" s="71"/>
      <c r="AC2943" s="71">
        <v>0</v>
      </c>
      <c r="AD2943" s="71">
        <f>W2943+X2943+Y2943+Z2943+AA2943+AB2943+AC2943</f>
        <v>0</v>
      </c>
      <c r="AE2943" s="72">
        <v>0</v>
      </c>
      <c r="AF2943" s="5"/>
      <c r="AG2943" s="6"/>
      <c r="AH2943" s="27"/>
      <c r="AI2943" s="44"/>
      <c r="AJ2943" s="26"/>
      <c r="AK2943" s="5"/>
      <c r="AL2943" s="274" t="s">
        <v>5828</v>
      </c>
      <c r="AM2943" s="76"/>
      <c r="AN2943" s="76"/>
      <c r="AO2943" s="76"/>
      <c r="AP2943" s="76"/>
      <c r="AQ2943" s="76"/>
      <c r="AR2943" s="76"/>
      <c r="AS2943" s="76"/>
      <c r="AT2943" s="76"/>
      <c r="AU2943" s="76"/>
      <c r="AV2943" s="76"/>
      <c r="AW2943" s="76"/>
      <c r="AX2943" s="76">
        <f>+AW2943*600000</f>
        <v>0</v>
      </c>
      <c r="AY2943" s="76"/>
      <c r="AZ2943" s="76">
        <f>+AY2943*70000</f>
        <v>0</v>
      </c>
      <c r="BA2943" s="76"/>
      <c r="BB2943" s="76"/>
      <c r="BC2943" s="76"/>
      <c r="BD2943" s="76">
        <f>+BC2943*30000</f>
        <v>0</v>
      </c>
      <c r="BE2943" s="76"/>
      <c r="BF2943" s="76"/>
      <c r="BG2943" s="76"/>
      <c r="BH2943" s="76"/>
      <c r="BI2943" s="76"/>
      <c r="BJ2943" s="76"/>
      <c r="BK2943" s="76"/>
      <c r="BL2943" s="76">
        <f>+BK2943*31500</f>
        <v>0</v>
      </c>
      <c r="BM2943" s="76"/>
      <c r="BN2943" s="76"/>
      <c r="BO2943" s="76"/>
      <c r="BP2943" s="76"/>
      <c r="BQ2943" s="76"/>
      <c r="BR2943" s="76"/>
      <c r="BS2943" s="76"/>
      <c r="BT2943" s="76"/>
      <c r="BU2943" s="76"/>
      <c r="BV2943" s="76"/>
      <c r="BW2943" s="76"/>
      <c r="BX2943" s="76"/>
      <c r="BY2943" s="76"/>
      <c r="BZ2943" s="76"/>
      <c r="CA2943" s="76"/>
      <c r="CB2943" s="76"/>
      <c r="CC2943" s="76"/>
      <c r="CD2943" s="76"/>
      <c r="CE2943" s="76"/>
      <c r="CF2943" s="76">
        <f>+CE2943*28000</f>
        <v>0</v>
      </c>
      <c r="CG2943" s="76"/>
      <c r="CH2943" s="76">
        <f>+CG2943*22500</f>
        <v>0</v>
      </c>
      <c r="CI2943" s="76"/>
      <c r="CJ2943" s="76">
        <f>+CI2943*26000</f>
        <v>0</v>
      </c>
      <c r="CK2943" s="76"/>
      <c r="CL2943" s="76"/>
      <c r="CM2943" s="76"/>
      <c r="CN2943" s="76">
        <f>+CM2943*22000</f>
        <v>0</v>
      </c>
      <c r="CO2943" s="76"/>
      <c r="CP2943" s="76">
        <f>+CO2943*46000</f>
        <v>0</v>
      </c>
      <c r="CQ2943" s="76"/>
      <c r="CR2943" s="76">
        <f>+CQ2943*49000</f>
        <v>0</v>
      </c>
      <c r="CS2943" s="76"/>
      <c r="CT2943" s="76"/>
      <c r="CU2943" s="56">
        <f>AN2943+AP2943+AR2943+AT2943+AV2943+AX2943+AZ2943+BB2943+BD2943+BF2943+BH2943+BJ2943+BL2943+BN2943+BP2943+BR2943+BT2943+BV2943+BX2943+BZ2943+CB2943+CD2943+CF2943+CH2943+CJ2943+CL2943+CN2943+CP2943+CR2943+CT2943</f>
        <v>0</v>
      </c>
      <c r="CV2943" s="76"/>
      <c r="CW2943" s="76">
        <f>+CV2943*1100</f>
        <v>0</v>
      </c>
      <c r="CX2943" s="76"/>
      <c r="CY2943" s="76">
        <f>+CX2943*106250</f>
        <v>0</v>
      </c>
      <c r="CZ2943" s="76"/>
      <c r="DA2943" s="76">
        <f>+CZ2943*34500</f>
        <v>0</v>
      </c>
      <c r="DB2943" s="76"/>
      <c r="DC2943" s="76">
        <f>+DB2943*25000</f>
        <v>0</v>
      </c>
      <c r="DD2943" s="219"/>
      <c r="DE2943" s="219"/>
      <c r="DF2943" s="166"/>
      <c r="DG2943" s="116"/>
      <c r="DH2943" s="117"/>
      <c r="DI2943" s="24"/>
      <c r="DJ2943" s="24"/>
      <c r="DK2943" s="24"/>
      <c r="DL2943" s="24"/>
      <c r="DM2943" s="24"/>
      <c r="DN2943" s="24"/>
      <c r="DO2943" s="24"/>
      <c r="DP2943" s="24"/>
      <c r="DQ2943" s="24"/>
      <c r="DR2943" s="24"/>
      <c r="DS2943" s="24"/>
      <c r="DT2943" s="24"/>
      <c r="DU2943" s="24"/>
    </row>
    <row r="2944" spans="1:125" s="8" customFormat="1" ht="144" x14ac:dyDescent="0.2">
      <c r="A2944" s="293">
        <v>41522</v>
      </c>
      <c r="B2944" s="297" t="s">
        <v>2860</v>
      </c>
      <c r="C2944" s="292" t="s">
        <v>2768</v>
      </c>
      <c r="D2944" s="292" t="s">
        <v>2882</v>
      </c>
      <c r="E2944" s="296" t="str">
        <f>VLOOKUP(B2944&amp;C2944,Divipola!$C$2:$F$1138,4,FALSE)</f>
        <v>63401</v>
      </c>
      <c r="F2944" s="87"/>
      <c r="G2944" s="87"/>
      <c r="H2944" s="87"/>
      <c r="I2944" s="87">
        <v>40</v>
      </c>
      <c r="J2944" s="87">
        <v>8</v>
      </c>
      <c r="K2944" s="87"/>
      <c r="L2944" s="87">
        <v>8</v>
      </c>
      <c r="M2944" s="87"/>
      <c r="N2944" s="87"/>
      <c r="O2944" s="87"/>
      <c r="P2944" s="87"/>
      <c r="Q2944" s="87"/>
      <c r="R2944" s="87"/>
      <c r="S2944" s="87"/>
      <c r="T2944" s="87">
        <v>2</v>
      </c>
      <c r="U2944" s="88"/>
      <c r="V2944" s="89">
        <v>3</v>
      </c>
      <c r="W2944" s="96">
        <v>0</v>
      </c>
      <c r="X2944" s="71">
        <f>CU2944</f>
        <v>0</v>
      </c>
      <c r="Y2944" s="71">
        <f>CY2944</f>
        <v>0</v>
      </c>
      <c r="Z2944" s="71">
        <f>DA2944+DC2944+DE2944</f>
        <v>0</v>
      </c>
      <c r="AA2944" s="71">
        <f>CW2944</f>
        <v>0</v>
      </c>
      <c r="AB2944" s="71"/>
      <c r="AC2944" s="71">
        <v>0</v>
      </c>
      <c r="AD2944" s="71">
        <f>W2944+X2944+Y2944+Z2944+AA2944+AB2944+AC2944</f>
        <v>0</v>
      </c>
      <c r="AE2944" s="72">
        <v>0</v>
      </c>
      <c r="AF2944" s="5"/>
      <c r="AG2944" s="6"/>
      <c r="AH2944" s="27"/>
      <c r="AI2944" s="44"/>
      <c r="AJ2944" s="26"/>
      <c r="AK2944" s="5"/>
      <c r="AL2944" s="274" t="s">
        <v>5826</v>
      </c>
      <c r="AM2944" s="76"/>
      <c r="AN2944" s="76"/>
      <c r="AO2944" s="76"/>
      <c r="AP2944" s="76"/>
      <c r="AQ2944" s="76"/>
      <c r="AR2944" s="76"/>
      <c r="AS2944" s="76"/>
      <c r="AT2944" s="76"/>
      <c r="AU2944" s="76"/>
      <c r="AV2944" s="76"/>
      <c r="AW2944" s="76"/>
      <c r="AX2944" s="76">
        <f>+AW2944*600000</f>
        <v>0</v>
      </c>
      <c r="AY2944" s="76"/>
      <c r="AZ2944" s="76">
        <f>+AY2944*70000</f>
        <v>0</v>
      </c>
      <c r="BA2944" s="76"/>
      <c r="BB2944" s="76"/>
      <c r="BC2944" s="76"/>
      <c r="BD2944" s="76">
        <f>+BC2944*30000</f>
        <v>0</v>
      </c>
      <c r="BE2944" s="76"/>
      <c r="BF2944" s="76"/>
      <c r="BG2944" s="76"/>
      <c r="BH2944" s="76"/>
      <c r="BI2944" s="76"/>
      <c r="BJ2944" s="76"/>
      <c r="BK2944" s="76"/>
      <c r="BL2944" s="76">
        <f>+BK2944*31500</f>
        <v>0</v>
      </c>
      <c r="BM2944" s="76"/>
      <c r="BN2944" s="76"/>
      <c r="BO2944" s="76"/>
      <c r="BP2944" s="76"/>
      <c r="BQ2944" s="76"/>
      <c r="BR2944" s="76"/>
      <c r="BS2944" s="76"/>
      <c r="BT2944" s="76"/>
      <c r="BU2944" s="76"/>
      <c r="BV2944" s="76"/>
      <c r="BW2944" s="76"/>
      <c r="BX2944" s="76"/>
      <c r="BY2944" s="76"/>
      <c r="BZ2944" s="76"/>
      <c r="CA2944" s="76"/>
      <c r="CB2944" s="76"/>
      <c r="CC2944" s="76"/>
      <c r="CD2944" s="76"/>
      <c r="CE2944" s="76"/>
      <c r="CF2944" s="76">
        <f>+CE2944*28000</f>
        <v>0</v>
      </c>
      <c r="CG2944" s="76"/>
      <c r="CH2944" s="76">
        <f>+CG2944*22500</f>
        <v>0</v>
      </c>
      <c r="CI2944" s="76"/>
      <c r="CJ2944" s="76">
        <f>+CI2944*26000</f>
        <v>0</v>
      </c>
      <c r="CK2944" s="76"/>
      <c r="CL2944" s="76"/>
      <c r="CM2944" s="76"/>
      <c r="CN2944" s="76">
        <f>+CM2944*22000</f>
        <v>0</v>
      </c>
      <c r="CO2944" s="76"/>
      <c r="CP2944" s="76">
        <f>+CO2944*46000</f>
        <v>0</v>
      </c>
      <c r="CQ2944" s="76"/>
      <c r="CR2944" s="76">
        <f>+CQ2944*49000</f>
        <v>0</v>
      </c>
      <c r="CS2944" s="76"/>
      <c r="CT2944" s="76"/>
      <c r="CU2944" s="56">
        <f>AN2944+AP2944+AR2944+AT2944+AV2944+AX2944+AZ2944+BB2944+BD2944+BF2944+BH2944+BJ2944+BL2944+BN2944+BP2944+BR2944+BT2944+BV2944+BX2944+BZ2944+CB2944+CD2944+CF2944+CH2944+CJ2944+CL2944+CN2944+CP2944+CR2944+CT2944</f>
        <v>0</v>
      </c>
      <c r="CV2944" s="76"/>
      <c r="CW2944" s="76">
        <f>+CV2944*1100</f>
        <v>0</v>
      </c>
      <c r="CX2944" s="76"/>
      <c r="CY2944" s="76">
        <f>+CX2944*106250</f>
        <v>0</v>
      </c>
      <c r="CZ2944" s="76"/>
      <c r="DA2944" s="76">
        <f>+CZ2944*34500</f>
        <v>0</v>
      </c>
      <c r="DB2944" s="76"/>
      <c r="DC2944" s="76">
        <f>+DB2944*25000</f>
        <v>0</v>
      </c>
      <c r="DD2944" s="219"/>
      <c r="DE2944" s="219"/>
      <c r="DF2944" s="166"/>
      <c r="DG2944" s="116"/>
      <c r="DH2944" s="117"/>
      <c r="DI2944" s="24"/>
      <c r="DJ2944" s="24"/>
      <c r="DK2944" s="24"/>
      <c r="DL2944" s="24"/>
      <c r="DM2944" s="24"/>
      <c r="DN2944" s="24"/>
      <c r="DO2944" s="24"/>
      <c r="DP2944" s="24"/>
      <c r="DQ2944" s="24"/>
      <c r="DR2944" s="24"/>
      <c r="DS2944" s="24"/>
      <c r="DT2944" s="24"/>
      <c r="DU2944" s="24"/>
    </row>
    <row r="2945" spans="1:125" s="8" customFormat="1" ht="96" x14ac:dyDescent="0.2">
      <c r="A2945" s="293">
        <v>41522</v>
      </c>
      <c r="B2945" s="294" t="s">
        <v>2847</v>
      </c>
      <c r="C2945" s="295" t="s">
        <v>1734</v>
      </c>
      <c r="D2945" s="295" t="s">
        <v>3088</v>
      </c>
      <c r="E2945" s="296" t="str">
        <f>VLOOKUP(B2945&amp;C2945,Divipola!$C$2:$F$1138,4,FALSE)</f>
        <v>68432</v>
      </c>
      <c r="F2945" s="87"/>
      <c r="G2945" s="87"/>
      <c r="H2945" s="87"/>
      <c r="I2945" s="87"/>
      <c r="J2945" s="87"/>
      <c r="K2945" s="87"/>
      <c r="L2945" s="87"/>
      <c r="M2945" s="87">
        <v>1</v>
      </c>
      <c r="N2945" s="87"/>
      <c r="O2945" s="87"/>
      <c r="P2945" s="87"/>
      <c r="Q2945" s="87"/>
      <c r="R2945" s="87"/>
      <c r="S2945" s="87"/>
      <c r="T2945" s="87"/>
      <c r="U2945" s="88"/>
      <c r="V2945" s="89"/>
      <c r="W2945" s="96">
        <v>0</v>
      </c>
      <c r="X2945" s="71">
        <f>CU2945</f>
        <v>0</v>
      </c>
      <c r="Y2945" s="71">
        <f>CY2945</f>
        <v>0</v>
      </c>
      <c r="Z2945" s="71">
        <f>DA2945+DC2945+DE2945</f>
        <v>0</v>
      </c>
      <c r="AA2945" s="71">
        <f>CW2945</f>
        <v>0</v>
      </c>
      <c r="AB2945" s="71"/>
      <c r="AC2945" s="71">
        <v>0</v>
      </c>
      <c r="AD2945" s="71">
        <f>W2945+X2945+Y2945+Z2945+AA2945+AB2945+AC2945</f>
        <v>0</v>
      </c>
      <c r="AE2945" s="72">
        <v>0</v>
      </c>
      <c r="AF2945" s="5"/>
      <c r="AG2945" s="6"/>
      <c r="AH2945" s="27"/>
      <c r="AI2945" s="44"/>
      <c r="AJ2945" s="26"/>
      <c r="AK2945" s="5"/>
      <c r="AL2945" s="274" t="s">
        <v>5825</v>
      </c>
      <c r="AM2945" s="76"/>
      <c r="AN2945" s="76"/>
      <c r="AO2945" s="76"/>
      <c r="AP2945" s="76"/>
      <c r="AQ2945" s="76"/>
      <c r="AR2945" s="76"/>
      <c r="AS2945" s="76"/>
      <c r="AT2945" s="76"/>
      <c r="AU2945" s="76"/>
      <c r="AV2945" s="76"/>
      <c r="AW2945" s="76"/>
      <c r="AX2945" s="76">
        <f>+AW2945*600000</f>
        <v>0</v>
      </c>
      <c r="AY2945" s="76"/>
      <c r="AZ2945" s="76">
        <f>+AY2945*70000</f>
        <v>0</v>
      </c>
      <c r="BA2945" s="76"/>
      <c r="BB2945" s="76"/>
      <c r="BC2945" s="76"/>
      <c r="BD2945" s="76">
        <f>+BC2945*30000</f>
        <v>0</v>
      </c>
      <c r="BE2945" s="76"/>
      <c r="BF2945" s="76"/>
      <c r="BG2945" s="76"/>
      <c r="BH2945" s="76"/>
      <c r="BI2945" s="76"/>
      <c r="BJ2945" s="76"/>
      <c r="BK2945" s="76"/>
      <c r="BL2945" s="76">
        <f>+BK2945*31500</f>
        <v>0</v>
      </c>
      <c r="BM2945" s="76"/>
      <c r="BN2945" s="76"/>
      <c r="BO2945" s="76"/>
      <c r="BP2945" s="76"/>
      <c r="BQ2945" s="76"/>
      <c r="BR2945" s="76"/>
      <c r="BS2945" s="76"/>
      <c r="BT2945" s="76"/>
      <c r="BU2945" s="76"/>
      <c r="BV2945" s="76"/>
      <c r="BW2945" s="76"/>
      <c r="BX2945" s="76"/>
      <c r="BY2945" s="76"/>
      <c r="BZ2945" s="76"/>
      <c r="CA2945" s="76"/>
      <c r="CB2945" s="76"/>
      <c r="CC2945" s="76"/>
      <c r="CD2945" s="76"/>
      <c r="CE2945" s="76"/>
      <c r="CF2945" s="76">
        <f>+CE2945*28000</f>
        <v>0</v>
      </c>
      <c r="CG2945" s="76"/>
      <c r="CH2945" s="76">
        <f>+CG2945*22500</f>
        <v>0</v>
      </c>
      <c r="CI2945" s="76"/>
      <c r="CJ2945" s="76">
        <f>+CI2945*26000</f>
        <v>0</v>
      </c>
      <c r="CK2945" s="76"/>
      <c r="CL2945" s="76"/>
      <c r="CM2945" s="76"/>
      <c r="CN2945" s="76">
        <f>+CM2945*22000</f>
        <v>0</v>
      </c>
      <c r="CO2945" s="76"/>
      <c r="CP2945" s="76">
        <f>+CO2945*46000</f>
        <v>0</v>
      </c>
      <c r="CQ2945" s="76"/>
      <c r="CR2945" s="76">
        <f>+CQ2945*49000</f>
        <v>0</v>
      </c>
      <c r="CS2945" s="76"/>
      <c r="CT2945" s="76"/>
      <c r="CU2945" s="56">
        <f>AN2945+AP2945+AR2945+AT2945+AV2945+AX2945+AZ2945+BB2945+BD2945+BF2945+BH2945+BJ2945+BL2945+BN2945+BP2945+BR2945+BT2945+BV2945+BX2945+BZ2945+CB2945+CD2945+CF2945+CH2945+CJ2945+CL2945+CN2945+CP2945+CR2945+CT2945</f>
        <v>0</v>
      </c>
      <c r="CV2945" s="76"/>
      <c r="CW2945" s="76">
        <f>+CV2945*1100</f>
        <v>0</v>
      </c>
      <c r="CX2945" s="76"/>
      <c r="CY2945" s="76">
        <f>+CX2945*106250</f>
        <v>0</v>
      </c>
      <c r="CZ2945" s="76"/>
      <c r="DA2945" s="76">
        <f>+CZ2945*34500</f>
        <v>0</v>
      </c>
      <c r="DB2945" s="76"/>
      <c r="DC2945" s="76">
        <f>+DB2945*25000</f>
        <v>0</v>
      </c>
      <c r="DD2945" s="219"/>
      <c r="DE2945" s="219"/>
      <c r="DF2945" s="166"/>
      <c r="DG2945" s="116"/>
      <c r="DH2945" s="117"/>
      <c r="DI2945" s="24"/>
      <c r="DJ2945" s="24"/>
      <c r="DK2945" s="24"/>
      <c r="DL2945" s="24"/>
      <c r="DM2945" s="24"/>
      <c r="DN2945" s="24"/>
      <c r="DO2945" s="24"/>
      <c r="DP2945" s="24"/>
      <c r="DQ2945" s="24"/>
      <c r="DR2945" s="24"/>
      <c r="DS2945" s="24"/>
      <c r="DT2945" s="24"/>
      <c r="DU2945" s="24"/>
    </row>
    <row r="2946" spans="1:125" s="8" customFormat="1" ht="36" x14ac:dyDescent="0.2">
      <c r="A2946" s="293">
        <v>41522</v>
      </c>
      <c r="B2946" s="297" t="s">
        <v>2848</v>
      </c>
      <c r="C2946" s="292" t="s">
        <v>1684</v>
      </c>
      <c r="D2946" s="292" t="s">
        <v>2846</v>
      </c>
      <c r="E2946" s="296" t="str">
        <f>VLOOKUP(B2946&amp;C2946,Divipola!$C$2:$F$1138,4,FALSE)</f>
        <v>73055</v>
      </c>
      <c r="F2946" s="87"/>
      <c r="G2946" s="87"/>
      <c r="H2946" s="87"/>
      <c r="I2946" s="87"/>
      <c r="J2946" s="87"/>
      <c r="K2946" s="87"/>
      <c r="L2946" s="87"/>
      <c r="M2946" s="87"/>
      <c r="N2946" s="87"/>
      <c r="O2946" s="87"/>
      <c r="P2946" s="87"/>
      <c r="Q2946" s="87"/>
      <c r="R2946" s="87"/>
      <c r="S2946" s="87"/>
      <c r="T2946" s="87"/>
      <c r="U2946" s="88">
        <v>8</v>
      </c>
      <c r="V2946" s="89"/>
      <c r="W2946" s="96">
        <v>0</v>
      </c>
      <c r="X2946" s="71">
        <f>CU2946</f>
        <v>0</v>
      </c>
      <c r="Y2946" s="71">
        <f>CY2946</f>
        <v>0</v>
      </c>
      <c r="Z2946" s="71">
        <f>DA2946+DC2946+DE2946</f>
        <v>0</v>
      </c>
      <c r="AA2946" s="71">
        <f>CW2946</f>
        <v>0</v>
      </c>
      <c r="AB2946" s="71"/>
      <c r="AC2946" s="71">
        <v>0</v>
      </c>
      <c r="AD2946" s="71">
        <f>W2946+X2946+Y2946+Z2946+AA2946+AB2946+AC2946</f>
        <v>0</v>
      </c>
      <c r="AE2946" s="72">
        <v>0</v>
      </c>
      <c r="AF2946" s="5"/>
      <c r="AG2946" s="6"/>
      <c r="AH2946" s="27"/>
      <c r="AI2946" s="44"/>
      <c r="AJ2946" s="26"/>
      <c r="AK2946" s="5"/>
      <c r="AL2946" s="274" t="s">
        <v>5833</v>
      </c>
      <c r="AM2946" s="76"/>
      <c r="AN2946" s="76"/>
      <c r="AO2946" s="76"/>
      <c r="AP2946" s="76"/>
      <c r="AQ2946" s="76"/>
      <c r="AR2946" s="76"/>
      <c r="AS2946" s="76"/>
      <c r="AT2946" s="76"/>
      <c r="AU2946" s="76"/>
      <c r="AV2946" s="76"/>
      <c r="AW2946" s="76"/>
      <c r="AX2946" s="76">
        <f>+AW2946*600000</f>
        <v>0</v>
      </c>
      <c r="AY2946" s="76"/>
      <c r="AZ2946" s="76">
        <f>+AY2946*70000</f>
        <v>0</v>
      </c>
      <c r="BA2946" s="76"/>
      <c r="BB2946" s="76"/>
      <c r="BC2946" s="76"/>
      <c r="BD2946" s="76">
        <f>+BC2946*30000</f>
        <v>0</v>
      </c>
      <c r="BE2946" s="76"/>
      <c r="BF2946" s="76"/>
      <c r="BG2946" s="76"/>
      <c r="BH2946" s="76"/>
      <c r="BI2946" s="76"/>
      <c r="BJ2946" s="76"/>
      <c r="BK2946" s="76"/>
      <c r="BL2946" s="76">
        <f>+BK2946*31500</f>
        <v>0</v>
      </c>
      <c r="BM2946" s="76"/>
      <c r="BN2946" s="76"/>
      <c r="BO2946" s="76"/>
      <c r="BP2946" s="76"/>
      <c r="BQ2946" s="76"/>
      <c r="BR2946" s="76"/>
      <c r="BS2946" s="76"/>
      <c r="BT2946" s="76"/>
      <c r="BU2946" s="76"/>
      <c r="BV2946" s="76"/>
      <c r="BW2946" s="76"/>
      <c r="BX2946" s="76"/>
      <c r="BY2946" s="76"/>
      <c r="BZ2946" s="76"/>
      <c r="CA2946" s="76"/>
      <c r="CB2946" s="76"/>
      <c r="CC2946" s="76"/>
      <c r="CD2946" s="76"/>
      <c r="CE2946" s="76"/>
      <c r="CF2946" s="76">
        <f>+CE2946*28000</f>
        <v>0</v>
      </c>
      <c r="CG2946" s="76"/>
      <c r="CH2946" s="76">
        <f>+CG2946*22500</f>
        <v>0</v>
      </c>
      <c r="CI2946" s="76"/>
      <c r="CJ2946" s="76">
        <f>+CI2946*26000</f>
        <v>0</v>
      </c>
      <c r="CK2946" s="76"/>
      <c r="CL2946" s="76"/>
      <c r="CM2946" s="76"/>
      <c r="CN2946" s="76">
        <f>+CM2946*22000</f>
        <v>0</v>
      </c>
      <c r="CO2946" s="76"/>
      <c r="CP2946" s="76">
        <f>+CO2946*46000</f>
        <v>0</v>
      </c>
      <c r="CQ2946" s="76"/>
      <c r="CR2946" s="76">
        <f>+CQ2946*49000</f>
        <v>0</v>
      </c>
      <c r="CS2946" s="76"/>
      <c r="CT2946" s="76"/>
      <c r="CU2946" s="56">
        <f>AN2946+AP2946+AR2946+AT2946+AV2946+AX2946+AZ2946+BB2946+BD2946+BF2946+BH2946+BJ2946+BL2946+BN2946+BP2946+BR2946+BT2946+BV2946+BX2946+BZ2946+CB2946+CD2946+CF2946+CH2946+CJ2946+CL2946+CN2946+CP2946+CR2946+CT2946</f>
        <v>0</v>
      </c>
      <c r="CV2946" s="76"/>
      <c r="CW2946" s="76">
        <f>+CV2946*1100</f>
        <v>0</v>
      </c>
      <c r="CX2946" s="76"/>
      <c r="CY2946" s="76">
        <f>+CX2946*106250</f>
        <v>0</v>
      </c>
      <c r="CZ2946" s="76"/>
      <c r="DA2946" s="76">
        <f>+CZ2946*34500</f>
        <v>0</v>
      </c>
      <c r="DB2946" s="76"/>
      <c r="DC2946" s="76">
        <f>+DB2946*25000</f>
        <v>0</v>
      </c>
      <c r="DD2946" s="219"/>
      <c r="DE2946" s="219"/>
      <c r="DF2946" s="166"/>
      <c r="DG2946" s="116"/>
      <c r="DH2946" s="117"/>
      <c r="DI2946" s="24"/>
      <c r="DJ2946" s="24"/>
      <c r="DK2946" s="24"/>
      <c r="DL2946" s="24"/>
      <c r="DM2946" s="24"/>
      <c r="DN2946" s="24"/>
      <c r="DO2946" s="24"/>
      <c r="DP2946" s="24"/>
      <c r="DQ2946" s="24"/>
      <c r="DR2946" s="24"/>
      <c r="DS2946" s="24"/>
      <c r="DT2946" s="24"/>
      <c r="DU2946" s="24"/>
    </row>
    <row r="2947" spans="1:125" s="8" customFormat="1" ht="60" x14ac:dyDescent="0.2">
      <c r="A2947" s="293">
        <v>41522</v>
      </c>
      <c r="B2947" s="297" t="s">
        <v>2848</v>
      </c>
      <c r="C2947" s="292" t="s">
        <v>2755</v>
      </c>
      <c r="D2947" s="292" t="s">
        <v>2882</v>
      </c>
      <c r="E2947" s="296" t="str">
        <f>VLOOKUP(B2947&amp;C2947,Divipola!$C$2:$F$1138,4,FALSE)</f>
        <v>73001</v>
      </c>
      <c r="F2947" s="87"/>
      <c r="G2947" s="87"/>
      <c r="H2947" s="87"/>
      <c r="I2947" s="87">
        <v>60</v>
      </c>
      <c r="J2947" s="87">
        <v>12</v>
      </c>
      <c r="K2947" s="87"/>
      <c r="L2947" s="87">
        <v>12</v>
      </c>
      <c r="M2947" s="87"/>
      <c r="N2947" s="87"/>
      <c r="O2947" s="87"/>
      <c r="P2947" s="87"/>
      <c r="Q2947" s="87"/>
      <c r="R2947" s="87"/>
      <c r="S2947" s="87"/>
      <c r="T2947" s="87"/>
      <c r="U2947" s="88"/>
      <c r="V2947" s="89"/>
      <c r="W2947" s="96">
        <v>0</v>
      </c>
      <c r="X2947" s="71">
        <f>CU2947</f>
        <v>0</v>
      </c>
      <c r="Y2947" s="71">
        <f>CY2947</f>
        <v>0</v>
      </c>
      <c r="Z2947" s="71">
        <f>DA2947+DC2947+DE2947</f>
        <v>0</v>
      </c>
      <c r="AA2947" s="71">
        <f>CW2947</f>
        <v>0</v>
      </c>
      <c r="AB2947" s="71"/>
      <c r="AC2947" s="71">
        <v>0</v>
      </c>
      <c r="AD2947" s="71">
        <f>W2947+X2947+Y2947+Z2947+AA2947+AB2947+AC2947</f>
        <v>0</v>
      </c>
      <c r="AE2947" s="72">
        <v>0</v>
      </c>
      <c r="AF2947" s="5"/>
      <c r="AG2947" s="6"/>
      <c r="AH2947" s="27"/>
      <c r="AI2947" s="44"/>
      <c r="AJ2947" s="26"/>
      <c r="AK2947" s="5"/>
      <c r="AL2947" s="274" t="s">
        <v>5827</v>
      </c>
      <c r="AM2947" s="76"/>
      <c r="AN2947" s="76"/>
      <c r="AO2947" s="76"/>
      <c r="AP2947" s="76"/>
      <c r="AQ2947" s="76"/>
      <c r="AR2947" s="76"/>
      <c r="AS2947" s="76"/>
      <c r="AT2947" s="76"/>
      <c r="AU2947" s="76"/>
      <c r="AV2947" s="76"/>
      <c r="AW2947" s="76"/>
      <c r="AX2947" s="76">
        <f>+AW2947*600000</f>
        <v>0</v>
      </c>
      <c r="AY2947" s="76"/>
      <c r="AZ2947" s="76">
        <f>+AY2947*70000</f>
        <v>0</v>
      </c>
      <c r="BA2947" s="76"/>
      <c r="BB2947" s="76"/>
      <c r="BC2947" s="76"/>
      <c r="BD2947" s="76">
        <f>+BC2947*30000</f>
        <v>0</v>
      </c>
      <c r="BE2947" s="76"/>
      <c r="BF2947" s="76"/>
      <c r="BG2947" s="76"/>
      <c r="BH2947" s="76"/>
      <c r="BI2947" s="76"/>
      <c r="BJ2947" s="76"/>
      <c r="BK2947" s="76"/>
      <c r="BL2947" s="76">
        <f>+BK2947*31500</f>
        <v>0</v>
      </c>
      <c r="BM2947" s="76"/>
      <c r="BN2947" s="76"/>
      <c r="BO2947" s="76"/>
      <c r="BP2947" s="76"/>
      <c r="BQ2947" s="76"/>
      <c r="BR2947" s="76"/>
      <c r="BS2947" s="76"/>
      <c r="BT2947" s="76"/>
      <c r="BU2947" s="76"/>
      <c r="BV2947" s="76"/>
      <c r="BW2947" s="76"/>
      <c r="BX2947" s="76"/>
      <c r="BY2947" s="76"/>
      <c r="BZ2947" s="76"/>
      <c r="CA2947" s="76"/>
      <c r="CB2947" s="76"/>
      <c r="CC2947" s="76"/>
      <c r="CD2947" s="76"/>
      <c r="CE2947" s="76"/>
      <c r="CF2947" s="76">
        <f>+CE2947*28000</f>
        <v>0</v>
      </c>
      <c r="CG2947" s="76"/>
      <c r="CH2947" s="76">
        <f>+CG2947*22500</f>
        <v>0</v>
      </c>
      <c r="CI2947" s="76"/>
      <c r="CJ2947" s="76">
        <f>+CI2947*26000</f>
        <v>0</v>
      </c>
      <c r="CK2947" s="76"/>
      <c r="CL2947" s="76"/>
      <c r="CM2947" s="76"/>
      <c r="CN2947" s="76">
        <f>+CM2947*22000</f>
        <v>0</v>
      </c>
      <c r="CO2947" s="76"/>
      <c r="CP2947" s="76">
        <f>+CO2947*46000</f>
        <v>0</v>
      </c>
      <c r="CQ2947" s="76"/>
      <c r="CR2947" s="76">
        <f>+CQ2947*49000</f>
        <v>0</v>
      </c>
      <c r="CS2947" s="76"/>
      <c r="CT2947" s="76"/>
      <c r="CU2947" s="56">
        <f>AN2947+AP2947+AR2947+AT2947+AV2947+AX2947+AZ2947+BB2947+BD2947+BF2947+BH2947+BJ2947+BL2947+BN2947+BP2947+BR2947+BT2947+BV2947+BX2947+BZ2947+CB2947+CD2947+CF2947+CH2947+CJ2947+CL2947+CN2947+CP2947+CR2947+CT2947</f>
        <v>0</v>
      </c>
      <c r="CV2947" s="76"/>
      <c r="CW2947" s="76">
        <f>+CV2947*1100</f>
        <v>0</v>
      </c>
      <c r="CX2947" s="76"/>
      <c r="CY2947" s="76">
        <f>+CX2947*106250</f>
        <v>0</v>
      </c>
      <c r="CZ2947" s="76"/>
      <c r="DA2947" s="76">
        <f>+CZ2947*34500</f>
        <v>0</v>
      </c>
      <c r="DB2947" s="76"/>
      <c r="DC2947" s="76">
        <f>+DB2947*25000</f>
        <v>0</v>
      </c>
      <c r="DD2947" s="219"/>
      <c r="DE2947" s="219"/>
      <c r="DF2947" s="166"/>
      <c r="DG2947" s="116"/>
      <c r="DH2947" s="117"/>
      <c r="DI2947" s="24"/>
      <c r="DJ2947" s="24"/>
      <c r="DK2947" s="24"/>
      <c r="DL2947" s="24"/>
      <c r="DM2947" s="24"/>
      <c r="DN2947" s="24"/>
      <c r="DO2947" s="24"/>
      <c r="DP2947" s="24"/>
      <c r="DQ2947" s="24"/>
      <c r="DR2947" s="24"/>
      <c r="DS2947" s="24"/>
      <c r="DT2947" s="24"/>
      <c r="DU2947" s="24"/>
    </row>
    <row r="2948" spans="1:125" s="8" customFormat="1" ht="36" x14ac:dyDescent="0.2">
      <c r="A2948" s="293">
        <v>41522</v>
      </c>
      <c r="B2948" s="297" t="s">
        <v>2848</v>
      </c>
      <c r="C2948" s="292" t="s">
        <v>1884</v>
      </c>
      <c r="D2948" s="292" t="s">
        <v>2846</v>
      </c>
      <c r="E2948" s="296" t="str">
        <f>VLOOKUP(B2948&amp;C2948,Divipola!$C$2:$F$1138,4,FALSE)</f>
        <v>73408</v>
      </c>
      <c r="F2948" s="87"/>
      <c r="G2948" s="87"/>
      <c r="H2948" s="87"/>
      <c r="I2948" s="87"/>
      <c r="J2948" s="87"/>
      <c r="K2948" s="87"/>
      <c r="L2948" s="87"/>
      <c r="M2948" s="87"/>
      <c r="N2948" s="87"/>
      <c r="O2948" s="87"/>
      <c r="P2948" s="87"/>
      <c r="Q2948" s="87"/>
      <c r="R2948" s="87"/>
      <c r="S2948" s="87"/>
      <c r="T2948" s="87"/>
      <c r="U2948" s="88">
        <v>1</v>
      </c>
      <c r="V2948" s="89"/>
      <c r="W2948" s="96">
        <v>0</v>
      </c>
      <c r="X2948" s="71">
        <f>CU2948</f>
        <v>0</v>
      </c>
      <c r="Y2948" s="71">
        <f>CY2948</f>
        <v>0</v>
      </c>
      <c r="Z2948" s="71">
        <f>DA2948+DC2948+DE2948</f>
        <v>0</v>
      </c>
      <c r="AA2948" s="71">
        <f>CW2948</f>
        <v>0</v>
      </c>
      <c r="AB2948" s="71"/>
      <c r="AC2948" s="71">
        <v>0</v>
      </c>
      <c r="AD2948" s="71">
        <f>W2948+X2948+Y2948+Z2948+AA2948+AB2948+AC2948</f>
        <v>0</v>
      </c>
      <c r="AE2948" s="72">
        <v>0</v>
      </c>
      <c r="AF2948" s="5"/>
      <c r="AG2948" s="6"/>
      <c r="AH2948" s="27"/>
      <c r="AI2948" s="44"/>
      <c r="AJ2948" s="26"/>
      <c r="AK2948" s="5"/>
      <c r="AL2948" s="274" t="s">
        <v>5834</v>
      </c>
      <c r="AM2948" s="76"/>
      <c r="AN2948" s="76"/>
      <c r="AO2948" s="76"/>
      <c r="AP2948" s="76"/>
      <c r="AQ2948" s="76"/>
      <c r="AR2948" s="76"/>
      <c r="AS2948" s="76"/>
      <c r="AT2948" s="76"/>
      <c r="AU2948" s="76"/>
      <c r="AV2948" s="76"/>
      <c r="AW2948" s="76"/>
      <c r="AX2948" s="76">
        <f>+AW2948*600000</f>
        <v>0</v>
      </c>
      <c r="AY2948" s="76"/>
      <c r="AZ2948" s="76">
        <f>+AY2948*70000</f>
        <v>0</v>
      </c>
      <c r="BA2948" s="76"/>
      <c r="BB2948" s="76"/>
      <c r="BC2948" s="76"/>
      <c r="BD2948" s="76">
        <f>+BC2948*30000</f>
        <v>0</v>
      </c>
      <c r="BE2948" s="76"/>
      <c r="BF2948" s="76"/>
      <c r="BG2948" s="76"/>
      <c r="BH2948" s="76"/>
      <c r="BI2948" s="76"/>
      <c r="BJ2948" s="76"/>
      <c r="BK2948" s="76"/>
      <c r="BL2948" s="76">
        <f>+BK2948*31500</f>
        <v>0</v>
      </c>
      <c r="BM2948" s="76"/>
      <c r="BN2948" s="76"/>
      <c r="BO2948" s="76"/>
      <c r="BP2948" s="76"/>
      <c r="BQ2948" s="76"/>
      <c r="BR2948" s="76"/>
      <c r="BS2948" s="76"/>
      <c r="BT2948" s="76"/>
      <c r="BU2948" s="76"/>
      <c r="BV2948" s="76"/>
      <c r="BW2948" s="76"/>
      <c r="BX2948" s="76"/>
      <c r="BY2948" s="76"/>
      <c r="BZ2948" s="76"/>
      <c r="CA2948" s="76"/>
      <c r="CB2948" s="76"/>
      <c r="CC2948" s="76"/>
      <c r="CD2948" s="76"/>
      <c r="CE2948" s="76"/>
      <c r="CF2948" s="76">
        <f>+CE2948*28000</f>
        <v>0</v>
      </c>
      <c r="CG2948" s="76"/>
      <c r="CH2948" s="76">
        <f>+CG2948*22500</f>
        <v>0</v>
      </c>
      <c r="CI2948" s="76"/>
      <c r="CJ2948" s="76">
        <f>+CI2948*26000</f>
        <v>0</v>
      </c>
      <c r="CK2948" s="76"/>
      <c r="CL2948" s="76"/>
      <c r="CM2948" s="76"/>
      <c r="CN2948" s="76">
        <f>+CM2948*22000</f>
        <v>0</v>
      </c>
      <c r="CO2948" s="76"/>
      <c r="CP2948" s="76">
        <f>+CO2948*46000</f>
        <v>0</v>
      </c>
      <c r="CQ2948" s="76"/>
      <c r="CR2948" s="76">
        <f>+CQ2948*49000</f>
        <v>0</v>
      </c>
      <c r="CS2948" s="76"/>
      <c r="CT2948" s="76"/>
      <c r="CU2948" s="56">
        <f>AN2948+AP2948+AR2948+AT2948+AV2948+AX2948+AZ2948+BB2948+BD2948+BF2948+BH2948+BJ2948+BL2948+BN2948+BP2948+BR2948+BT2948+BV2948+BX2948+BZ2948+CB2948+CD2948+CF2948+CH2948+CJ2948+CL2948+CN2948+CP2948+CR2948+CT2948</f>
        <v>0</v>
      </c>
      <c r="CV2948" s="76"/>
      <c r="CW2948" s="76">
        <f>+CV2948*1100</f>
        <v>0</v>
      </c>
      <c r="CX2948" s="76"/>
      <c r="CY2948" s="76">
        <f>+CX2948*106250</f>
        <v>0</v>
      </c>
      <c r="CZ2948" s="76"/>
      <c r="DA2948" s="76">
        <f>+CZ2948*34500</f>
        <v>0</v>
      </c>
      <c r="DB2948" s="76"/>
      <c r="DC2948" s="76">
        <f>+DB2948*25000</f>
        <v>0</v>
      </c>
      <c r="DD2948" s="219"/>
      <c r="DE2948" s="219"/>
      <c r="DF2948" s="166"/>
      <c r="DG2948" s="116"/>
      <c r="DH2948" s="117"/>
      <c r="DI2948" s="24"/>
      <c r="DJ2948" s="24"/>
      <c r="DK2948" s="24"/>
      <c r="DL2948" s="24"/>
      <c r="DM2948" s="24"/>
      <c r="DN2948" s="24"/>
      <c r="DO2948" s="24"/>
      <c r="DP2948" s="24"/>
      <c r="DQ2948" s="24"/>
      <c r="DR2948" s="24"/>
      <c r="DS2948" s="24"/>
      <c r="DT2948" s="24"/>
      <c r="DU2948" s="24"/>
    </row>
    <row r="2949" spans="1:125" s="8" customFormat="1" ht="48" x14ac:dyDescent="0.2">
      <c r="A2949" s="293">
        <v>41522</v>
      </c>
      <c r="B2949" s="297" t="s">
        <v>2848</v>
      </c>
      <c r="C2949" s="292" t="s">
        <v>2034</v>
      </c>
      <c r="D2949" s="292" t="s">
        <v>2846</v>
      </c>
      <c r="E2949" s="296" t="str">
        <f>VLOOKUP(B2949&amp;C2949,Divipola!$C$2:$F$1138,4,FALSE)</f>
        <v>73449</v>
      </c>
      <c r="F2949" s="87"/>
      <c r="G2949" s="87"/>
      <c r="H2949" s="87"/>
      <c r="I2949" s="87"/>
      <c r="J2949" s="87"/>
      <c r="K2949" s="87"/>
      <c r="L2949" s="87"/>
      <c r="M2949" s="87"/>
      <c r="N2949" s="87"/>
      <c r="O2949" s="87"/>
      <c r="P2949" s="87"/>
      <c r="Q2949" s="87"/>
      <c r="R2949" s="87"/>
      <c r="S2949" s="87"/>
      <c r="T2949" s="87"/>
      <c r="U2949" s="88"/>
      <c r="V2949" s="89"/>
      <c r="W2949" s="96">
        <v>0</v>
      </c>
      <c r="X2949" s="71">
        <f>CU2949</f>
        <v>0</v>
      </c>
      <c r="Y2949" s="71">
        <f>CY2949</f>
        <v>0</v>
      </c>
      <c r="Z2949" s="71">
        <f>DA2949+DC2949+DE2949</f>
        <v>0</v>
      </c>
      <c r="AA2949" s="71">
        <f>CW2949</f>
        <v>0</v>
      </c>
      <c r="AB2949" s="71"/>
      <c r="AC2949" s="71">
        <v>0</v>
      </c>
      <c r="AD2949" s="71">
        <f>W2949+X2949+Y2949+Z2949+AA2949+AB2949+AC2949</f>
        <v>0</v>
      </c>
      <c r="AE2949" s="72">
        <v>0</v>
      </c>
      <c r="AF2949" s="5"/>
      <c r="AG2949" s="6"/>
      <c r="AH2949" s="27"/>
      <c r="AI2949" s="44"/>
      <c r="AJ2949" s="26"/>
      <c r="AK2949" s="5"/>
      <c r="AL2949" s="274" t="s">
        <v>5831</v>
      </c>
      <c r="AM2949" s="76"/>
      <c r="AN2949" s="76"/>
      <c r="AO2949" s="76"/>
      <c r="AP2949" s="76"/>
      <c r="AQ2949" s="76"/>
      <c r="AR2949" s="76"/>
      <c r="AS2949" s="76"/>
      <c r="AT2949" s="76"/>
      <c r="AU2949" s="76"/>
      <c r="AV2949" s="76"/>
      <c r="AW2949" s="76"/>
      <c r="AX2949" s="76">
        <f>+AW2949*600000</f>
        <v>0</v>
      </c>
      <c r="AY2949" s="76"/>
      <c r="AZ2949" s="76">
        <f>+AY2949*70000</f>
        <v>0</v>
      </c>
      <c r="BA2949" s="76"/>
      <c r="BB2949" s="76"/>
      <c r="BC2949" s="76"/>
      <c r="BD2949" s="76">
        <f>+BC2949*30000</f>
        <v>0</v>
      </c>
      <c r="BE2949" s="76"/>
      <c r="BF2949" s="76"/>
      <c r="BG2949" s="76"/>
      <c r="BH2949" s="76"/>
      <c r="BI2949" s="76"/>
      <c r="BJ2949" s="76"/>
      <c r="BK2949" s="76"/>
      <c r="BL2949" s="76">
        <f>+BK2949*31500</f>
        <v>0</v>
      </c>
      <c r="BM2949" s="76"/>
      <c r="BN2949" s="76"/>
      <c r="BO2949" s="76"/>
      <c r="BP2949" s="76"/>
      <c r="BQ2949" s="76"/>
      <c r="BR2949" s="76"/>
      <c r="BS2949" s="76"/>
      <c r="BT2949" s="76"/>
      <c r="BU2949" s="76"/>
      <c r="BV2949" s="76"/>
      <c r="BW2949" s="76"/>
      <c r="BX2949" s="76"/>
      <c r="BY2949" s="76"/>
      <c r="BZ2949" s="76"/>
      <c r="CA2949" s="76"/>
      <c r="CB2949" s="76"/>
      <c r="CC2949" s="76"/>
      <c r="CD2949" s="76"/>
      <c r="CE2949" s="76"/>
      <c r="CF2949" s="76">
        <f>+CE2949*28000</f>
        <v>0</v>
      </c>
      <c r="CG2949" s="76"/>
      <c r="CH2949" s="76">
        <f>+CG2949*22500</f>
        <v>0</v>
      </c>
      <c r="CI2949" s="76"/>
      <c r="CJ2949" s="76">
        <f>+CI2949*26000</f>
        <v>0</v>
      </c>
      <c r="CK2949" s="76"/>
      <c r="CL2949" s="76"/>
      <c r="CM2949" s="76"/>
      <c r="CN2949" s="76">
        <f>+CM2949*22000</f>
        <v>0</v>
      </c>
      <c r="CO2949" s="76"/>
      <c r="CP2949" s="76">
        <f>+CO2949*46000</f>
        <v>0</v>
      </c>
      <c r="CQ2949" s="76"/>
      <c r="CR2949" s="76">
        <f>+CQ2949*49000</f>
        <v>0</v>
      </c>
      <c r="CS2949" s="76"/>
      <c r="CT2949" s="76"/>
      <c r="CU2949" s="56">
        <f>AN2949+AP2949+AR2949+AT2949+AV2949+AX2949+AZ2949+BB2949+BD2949+BF2949+BH2949+BJ2949+BL2949+BN2949+BP2949+BR2949+BT2949+BV2949+BX2949+BZ2949+CB2949+CD2949+CF2949+CH2949+CJ2949+CL2949+CN2949+CP2949+CR2949+CT2949</f>
        <v>0</v>
      </c>
      <c r="CV2949" s="76"/>
      <c r="CW2949" s="76">
        <f>+CV2949*1100</f>
        <v>0</v>
      </c>
      <c r="CX2949" s="76"/>
      <c r="CY2949" s="76">
        <f>+CX2949*106250</f>
        <v>0</v>
      </c>
      <c r="CZ2949" s="76"/>
      <c r="DA2949" s="76">
        <f>+CZ2949*34500</f>
        <v>0</v>
      </c>
      <c r="DB2949" s="76"/>
      <c r="DC2949" s="76">
        <f>+DB2949*25000</f>
        <v>0</v>
      </c>
      <c r="DD2949" s="219"/>
      <c r="DE2949" s="219"/>
      <c r="DF2949" s="166"/>
      <c r="DG2949" s="116"/>
      <c r="DH2949" s="117"/>
      <c r="DI2949" s="24"/>
      <c r="DJ2949" s="24"/>
      <c r="DK2949" s="24"/>
      <c r="DL2949" s="24"/>
      <c r="DM2949" s="24"/>
      <c r="DN2949" s="24"/>
      <c r="DO2949" s="24"/>
      <c r="DP2949" s="24"/>
      <c r="DQ2949" s="24"/>
      <c r="DR2949" s="24"/>
      <c r="DS2949" s="24"/>
      <c r="DT2949" s="24"/>
      <c r="DU2949" s="24"/>
    </row>
    <row r="2950" spans="1:125" s="8" customFormat="1" ht="84" x14ac:dyDescent="0.2">
      <c r="A2950" s="77">
        <v>41522</v>
      </c>
      <c r="B2950" s="352" t="s">
        <v>2848</v>
      </c>
      <c r="C2950" s="354" t="s">
        <v>1383</v>
      </c>
      <c r="D2950" s="354" t="s">
        <v>2846</v>
      </c>
      <c r="E2950" s="296" t="str">
        <f>VLOOKUP(B2950&amp;C2950,Divipola!$C$2:$F$1138,4,FALSE)</f>
        <v>73483</v>
      </c>
      <c r="F2950" s="61"/>
      <c r="G2950" s="61"/>
      <c r="H2950" s="61"/>
      <c r="I2950" s="61"/>
      <c r="J2950" s="61"/>
      <c r="K2950" s="61"/>
      <c r="L2950" s="61"/>
      <c r="M2950" s="61"/>
      <c r="N2950" s="61"/>
      <c r="O2950" s="61"/>
      <c r="P2950" s="61"/>
      <c r="Q2950" s="61"/>
      <c r="R2950" s="61"/>
      <c r="S2950" s="61"/>
      <c r="T2950" s="61"/>
      <c r="U2950" s="61"/>
      <c r="V2950" s="7"/>
      <c r="W2950" s="96">
        <v>0</v>
      </c>
      <c r="X2950" s="71">
        <f>CU2950</f>
        <v>0</v>
      </c>
      <c r="Y2950" s="71">
        <f>CY2950</f>
        <v>0</v>
      </c>
      <c r="Z2950" s="71">
        <f>DA2950+DC2950+DE2950</f>
        <v>0</v>
      </c>
      <c r="AA2950" s="71">
        <f>CW2950</f>
        <v>0</v>
      </c>
      <c r="AB2950" s="71"/>
      <c r="AC2950" s="71">
        <v>0</v>
      </c>
      <c r="AD2950" s="71">
        <f>W2950+X2950+Y2950+Z2950+AA2950+AB2950+AC2950</f>
        <v>0</v>
      </c>
      <c r="AE2950" s="72">
        <v>0</v>
      </c>
      <c r="AF2950" s="5"/>
      <c r="AG2950" s="6"/>
      <c r="AH2950" s="27"/>
      <c r="AI2950" s="44"/>
      <c r="AJ2950" s="26"/>
      <c r="AK2950" s="5"/>
      <c r="AL2950" s="274" t="s">
        <v>5836</v>
      </c>
      <c r="AM2950" s="76"/>
      <c r="AN2950" s="76"/>
      <c r="AO2950" s="76"/>
      <c r="AP2950" s="76"/>
      <c r="AQ2950" s="76"/>
      <c r="AR2950" s="76"/>
      <c r="AS2950" s="76"/>
      <c r="AT2950" s="76"/>
      <c r="AU2950" s="76"/>
      <c r="AV2950" s="76"/>
      <c r="AW2950" s="76"/>
      <c r="AX2950" s="76">
        <f>+AW2950*600000</f>
        <v>0</v>
      </c>
      <c r="AY2950" s="76"/>
      <c r="AZ2950" s="76">
        <f>+AY2950*70000</f>
        <v>0</v>
      </c>
      <c r="BA2950" s="76"/>
      <c r="BB2950" s="76"/>
      <c r="BC2950" s="76"/>
      <c r="BD2950" s="76">
        <f>+BC2950*30000</f>
        <v>0</v>
      </c>
      <c r="BE2950" s="76"/>
      <c r="BF2950" s="76"/>
      <c r="BG2950" s="76"/>
      <c r="BH2950" s="76"/>
      <c r="BI2950" s="76"/>
      <c r="BJ2950" s="76"/>
      <c r="BK2950" s="76"/>
      <c r="BL2950" s="76">
        <f>+BK2950*31500</f>
        <v>0</v>
      </c>
      <c r="BM2950" s="76"/>
      <c r="BN2950" s="76"/>
      <c r="BO2950" s="76"/>
      <c r="BP2950" s="76"/>
      <c r="BQ2950" s="76"/>
      <c r="BR2950" s="76"/>
      <c r="BS2950" s="76"/>
      <c r="BT2950" s="76"/>
      <c r="BU2950" s="76"/>
      <c r="BV2950" s="76"/>
      <c r="BW2950" s="76"/>
      <c r="BX2950" s="76"/>
      <c r="BY2950" s="76"/>
      <c r="BZ2950" s="76"/>
      <c r="CA2950" s="76"/>
      <c r="CB2950" s="76"/>
      <c r="CC2950" s="76"/>
      <c r="CD2950" s="76"/>
      <c r="CE2950" s="76"/>
      <c r="CF2950" s="76">
        <f>+CE2950*28000</f>
        <v>0</v>
      </c>
      <c r="CG2950" s="76"/>
      <c r="CH2950" s="76">
        <f>+CG2950*22500</f>
        <v>0</v>
      </c>
      <c r="CI2950" s="76"/>
      <c r="CJ2950" s="76">
        <f>+CI2950*26000</f>
        <v>0</v>
      </c>
      <c r="CK2950" s="76"/>
      <c r="CL2950" s="76"/>
      <c r="CM2950" s="76"/>
      <c r="CN2950" s="76">
        <f>+CM2950*22000</f>
        <v>0</v>
      </c>
      <c r="CO2950" s="76"/>
      <c r="CP2950" s="76">
        <f>+CO2950*46000</f>
        <v>0</v>
      </c>
      <c r="CQ2950" s="76"/>
      <c r="CR2950" s="76">
        <f>+CQ2950*49000</f>
        <v>0</v>
      </c>
      <c r="CS2950" s="76"/>
      <c r="CT2950" s="76"/>
      <c r="CU2950" s="56">
        <f>AN2950+AP2950+AR2950+AT2950+AV2950+AX2950+AZ2950+BB2950+BD2950+BF2950+BH2950+BJ2950+BL2950+BN2950+BP2950+BR2950+BT2950+BV2950+BX2950+BZ2950+CB2950+CD2950+CF2950+CH2950+CJ2950+CL2950+CN2950+CP2950+CR2950+CT2950</f>
        <v>0</v>
      </c>
      <c r="CV2950" s="76"/>
      <c r="CW2950" s="76">
        <f>+CV2950*1100</f>
        <v>0</v>
      </c>
      <c r="CX2950" s="76"/>
      <c r="CY2950" s="76">
        <f>+CX2950*106250</f>
        <v>0</v>
      </c>
      <c r="CZ2950" s="76"/>
      <c r="DA2950" s="76">
        <f>+CZ2950*34500</f>
        <v>0</v>
      </c>
      <c r="DB2950" s="76"/>
      <c r="DC2950" s="76">
        <f>+DB2950*25000</f>
        <v>0</v>
      </c>
      <c r="DD2950" s="219"/>
      <c r="DE2950" s="219"/>
      <c r="DF2950" s="166"/>
      <c r="DG2950" s="116"/>
      <c r="DH2950" s="117"/>
      <c r="DI2950" s="24"/>
      <c r="DJ2950" s="24"/>
      <c r="DK2950" s="24"/>
      <c r="DL2950" s="24"/>
      <c r="DM2950" s="24"/>
      <c r="DN2950" s="24"/>
      <c r="DO2950" s="24"/>
      <c r="DP2950" s="24"/>
      <c r="DQ2950" s="24"/>
      <c r="DR2950" s="24"/>
      <c r="DS2950" s="24"/>
      <c r="DT2950" s="24"/>
      <c r="DU2950" s="24"/>
    </row>
    <row r="2951" spans="1:125" s="8" customFormat="1" ht="84" x14ac:dyDescent="0.2">
      <c r="A2951" s="77">
        <v>41522</v>
      </c>
      <c r="B2951" s="78" t="s">
        <v>2848</v>
      </c>
      <c r="C2951" s="75" t="s">
        <v>2211</v>
      </c>
      <c r="D2951" s="295" t="s">
        <v>2846</v>
      </c>
      <c r="E2951" s="296" t="str">
        <f>VLOOKUP(B2951&amp;C2951,Divipola!$C$2:$F$1138,4,FALSE)</f>
        <v>73861</v>
      </c>
      <c r="F2951" s="61"/>
      <c r="G2951" s="61"/>
      <c r="H2951" s="61"/>
      <c r="I2951" s="61"/>
      <c r="J2951" s="61"/>
      <c r="K2951" s="61"/>
      <c r="L2951" s="61"/>
      <c r="M2951" s="61"/>
      <c r="N2951" s="61"/>
      <c r="O2951" s="61"/>
      <c r="P2951" s="61"/>
      <c r="Q2951" s="61"/>
      <c r="R2951" s="61"/>
      <c r="S2951" s="61"/>
      <c r="T2951" s="61"/>
      <c r="U2951" s="61"/>
      <c r="V2951" s="7"/>
      <c r="W2951" s="96">
        <v>0</v>
      </c>
      <c r="X2951" s="71">
        <f>CU2951</f>
        <v>0</v>
      </c>
      <c r="Y2951" s="71">
        <f>CY2951</f>
        <v>0</v>
      </c>
      <c r="Z2951" s="71">
        <f>DA2951+DC2951+DE2951</f>
        <v>0</v>
      </c>
      <c r="AA2951" s="71">
        <f>CW2951</f>
        <v>0</v>
      </c>
      <c r="AB2951" s="71"/>
      <c r="AC2951" s="71">
        <v>0</v>
      </c>
      <c r="AD2951" s="71">
        <f>W2951+X2951+Y2951+Z2951+AA2951+AB2951+AC2951</f>
        <v>0</v>
      </c>
      <c r="AE2951" s="72">
        <v>0</v>
      </c>
      <c r="AF2951" s="5"/>
      <c r="AG2951" s="6"/>
      <c r="AH2951" s="27"/>
      <c r="AI2951" s="44"/>
      <c r="AJ2951" s="26"/>
      <c r="AK2951" s="5"/>
      <c r="AL2951" s="274" t="s">
        <v>5835</v>
      </c>
      <c r="AM2951" s="76"/>
      <c r="AN2951" s="76"/>
      <c r="AO2951" s="76"/>
      <c r="AP2951" s="76"/>
      <c r="AQ2951" s="76"/>
      <c r="AR2951" s="76"/>
      <c r="AS2951" s="76"/>
      <c r="AT2951" s="76"/>
      <c r="AU2951" s="76"/>
      <c r="AV2951" s="76"/>
      <c r="AW2951" s="76"/>
      <c r="AX2951" s="76">
        <f>+AW2951*600000</f>
        <v>0</v>
      </c>
      <c r="AY2951" s="76"/>
      <c r="AZ2951" s="76">
        <f>+AY2951*70000</f>
        <v>0</v>
      </c>
      <c r="BA2951" s="76"/>
      <c r="BB2951" s="76"/>
      <c r="BC2951" s="76"/>
      <c r="BD2951" s="76">
        <f>+BC2951*30000</f>
        <v>0</v>
      </c>
      <c r="BE2951" s="76"/>
      <c r="BF2951" s="76"/>
      <c r="BG2951" s="76"/>
      <c r="BH2951" s="76"/>
      <c r="BI2951" s="76"/>
      <c r="BJ2951" s="76"/>
      <c r="BK2951" s="76"/>
      <c r="BL2951" s="76">
        <f>+BK2951*31500</f>
        <v>0</v>
      </c>
      <c r="BM2951" s="76"/>
      <c r="BN2951" s="76"/>
      <c r="BO2951" s="76"/>
      <c r="BP2951" s="76"/>
      <c r="BQ2951" s="76"/>
      <c r="BR2951" s="76"/>
      <c r="BS2951" s="76"/>
      <c r="BT2951" s="76"/>
      <c r="BU2951" s="76"/>
      <c r="BV2951" s="76"/>
      <c r="BW2951" s="76"/>
      <c r="BX2951" s="76"/>
      <c r="BY2951" s="76"/>
      <c r="BZ2951" s="76"/>
      <c r="CA2951" s="76"/>
      <c r="CB2951" s="76"/>
      <c r="CC2951" s="76"/>
      <c r="CD2951" s="76"/>
      <c r="CE2951" s="76"/>
      <c r="CF2951" s="76">
        <f>+CE2951*28000</f>
        <v>0</v>
      </c>
      <c r="CG2951" s="76"/>
      <c r="CH2951" s="76">
        <f>+CG2951*22500</f>
        <v>0</v>
      </c>
      <c r="CI2951" s="76"/>
      <c r="CJ2951" s="76">
        <f>+CI2951*26000</f>
        <v>0</v>
      </c>
      <c r="CK2951" s="76"/>
      <c r="CL2951" s="76"/>
      <c r="CM2951" s="76"/>
      <c r="CN2951" s="76">
        <f>+CM2951*22000</f>
        <v>0</v>
      </c>
      <c r="CO2951" s="76"/>
      <c r="CP2951" s="76">
        <f>+CO2951*46000</f>
        <v>0</v>
      </c>
      <c r="CQ2951" s="76"/>
      <c r="CR2951" s="76">
        <f>+CQ2951*49000</f>
        <v>0</v>
      </c>
      <c r="CS2951" s="76"/>
      <c r="CT2951" s="76"/>
      <c r="CU2951" s="56">
        <f>AN2951+AP2951+AR2951+AT2951+AV2951+AX2951+AZ2951+BB2951+BD2951+BF2951+BH2951+BJ2951+BL2951+BN2951+BP2951+BR2951+BT2951+BV2951+BX2951+BZ2951+CB2951+CD2951+CF2951+CH2951+CJ2951+CL2951+CN2951+CP2951+CR2951+CT2951</f>
        <v>0</v>
      </c>
      <c r="CV2951" s="76"/>
      <c r="CW2951" s="76">
        <f>+CV2951*1100</f>
        <v>0</v>
      </c>
      <c r="CX2951" s="76"/>
      <c r="CY2951" s="76">
        <f>+CX2951*106250</f>
        <v>0</v>
      </c>
      <c r="CZ2951" s="76"/>
      <c r="DA2951" s="76">
        <f>+CZ2951*34500</f>
        <v>0</v>
      </c>
      <c r="DB2951" s="76"/>
      <c r="DC2951" s="76">
        <f>+DB2951*25000</f>
        <v>0</v>
      </c>
      <c r="DD2951" s="219"/>
      <c r="DE2951" s="219"/>
      <c r="DF2951" s="166"/>
      <c r="DG2951" s="116"/>
      <c r="DH2951" s="117"/>
      <c r="DI2951" s="24"/>
      <c r="DJ2951" s="24"/>
      <c r="DK2951" s="24"/>
      <c r="DL2951" s="24"/>
      <c r="DM2951" s="24"/>
      <c r="DN2951" s="24"/>
      <c r="DO2951" s="24"/>
      <c r="DP2951" s="24"/>
      <c r="DQ2951" s="24"/>
      <c r="DR2951" s="24"/>
      <c r="DS2951" s="24"/>
      <c r="DT2951" s="24"/>
      <c r="DU2951" s="24"/>
    </row>
    <row r="2952" spans="1:125" s="8" customFormat="1" ht="96" x14ac:dyDescent="0.2">
      <c r="A2952" s="77">
        <v>41523</v>
      </c>
      <c r="B2952" s="352" t="s">
        <v>2894</v>
      </c>
      <c r="C2952" s="354" t="s">
        <v>2032</v>
      </c>
      <c r="D2952" s="354" t="s">
        <v>3088</v>
      </c>
      <c r="E2952" s="296" t="str">
        <f>VLOOKUP(B2952&amp;C2952,Divipola!$C$2:$F$1138,4,FALSE)</f>
        <v>05001</v>
      </c>
      <c r="F2952" s="87"/>
      <c r="G2952" s="87"/>
      <c r="H2952" s="87"/>
      <c r="I2952" s="87">
        <v>155</v>
      </c>
      <c r="J2952" s="87">
        <v>48</v>
      </c>
      <c r="K2952" s="87">
        <v>8</v>
      </c>
      <c r="L2952" s="87">
        <v>40</v>
      </c>
      <c r="M2952" s="87"/>
      <c r="N2952" s="87"/>
      <c r="O2952" s="87"/>
      <c r="P2952" s="87"/>
      <c r="Q2952" s="87"/>
      <c r="R2952" s="87"/>
      <c r="S2952" s="87"/>
      <c r="T2952" s="87"/>
      <c r="U2952" s="88"/>
      <c r="V2952" s="89"/>
      <c r="W2952" s="96">
        <v>0</v>
      </c>
      <c r="X2952" s="71">
        <f>CU2952</f>
        <v>0</v>
      </c>
      <c r="Y2952" s="71">
        <f>CY2952</f>
        <v>0</v>
      </c>
      <c r="Z2952" s="71">
        <f>DA2952+DC2952+DE2952</f>
        <v>0</v>
      </c>
      <c r="AA2952" s="71">
        <f>CW2952</f>
        <v>0</v>
      </c>
      <c r="AB2952" s="71"/>
      <c r="AC2952" s="71">
        <v>0</v>
      </c>
      <c r="AD2952" s="71">
        <f>W2952+X2952+Y2952+Z2952+AA2952+AB2952+AC2952</f>
        <v>0</v>
      </c>
      <c r="AE2952" s="72">
        <v>0</v>
      </c>
      <c r="AF2952" s="5"/>
      <c r="AG2952" s="6"/>
      <c r="AH2952" s="27"/>
      <c r="AI2952" s="44"/>
      <c r="AJ2952" s="26"/>
      <c r="AK2952" s="5"/>
      <c r="AL2952" s="9" t="s">
        <v>5845</v>
      </c>
      <c r="AM2952" s="76"/>
      <c r="AN2952" s="76"/>
      <c r="AO2952" s="76"/>
      <c r="AP2952" s="76"/>
      <c r="AQ2952" s="76"/>
      <c r="AR2952" s="76"/>
      <c r="AS2952" s="76"/>
      <c r="AT2952" s="76"/>
      <c r="AU2952" s="76"/>
      <c r="AV2952" s="76"/>
      <c r="AW2952" s="76"/>
      <c r="AX2952" s="76">
        <f>+AW2952*600000</f>
        <v>0</v>
      </c>
      <c r="AY2952" s="76"/>
      <c r="AZ2952" s="76">
        <f>+AY2952*70000</f>
        <v>0</v>
      </c>
      <c r="BA2952" s="76"/>
      <c r="BB2952" s="76"/>
      <c r="BC2952" s="76"/>
      <c r="BD2952" s="76">
        <f>+BC2952*30000</f>
        <v>0</v>
      </c>
      <c r="BE2952" s="76"/>
      <c r="BF2952" s="76"/>
      <c r="BG2952" s="76"/>
      <c r="BH2952" s="76"/>
      <c r="BI2952" s="76"/>
      <c r="BJ2952" s="76"/>
      <c r="BK2952" s="76"/>
      <c r="BL2952" s="76">
        <f>+BK2952*31500</f>
        <v>0</v>
      </c>
      <c r="BM2952" s="76"/>
      <c r="BN2952" s="76"/>
      <c r="BO2952" s="76"/>
      <c r="BP2952" s="76"/>
      <c r="BQ2952" s="76"/>
      <c r="BR2952" s="76"/>
      <c r="BS2952" s="76"/>
      <c r="BT2952" s="76"/>
      <c r="BU2952" s="76"/>
      <c r="BV2952" s="76"/>
      <c r="BW2952" s="76"/>
      <c r="BX2952" s="76"/>
      <c r="BY2952" s="76"/>
      <c r="BZ2952" s="76"/>
      <c r="CA2952" s="76"/>
      <c r="CB2952" s="76"/>
      <c r="CC2952" s="76"/>
      <c r="CD2952" s="76"/>
      <c r="CE2952" s="76"/>
      <c r="CF2952" s="76">
        <f>+CE2952*28000</f>
        <v>0</v>
      </c>
      <c r="CG2952" s="76"/>
      <c r="CH2952" s="76">
        <f>+CG2952*22500</f>
        <v>0</v>
      </c>
      <c r="CI2952" s="76"/>
      <c r="CJ2952" s="76">
        <f>+CI2952*26000</f>
        <v>0</v>
      </c>
      <c r="CK2952" s="76"/>
      <c r="CL2952" s="76"/>
      <c r="CM2952" s="76"/>
      <c r="CN2952" s="76">
        <f>+CM2952*22000</f>
        <v>0</v>
      </c>
      <c r="CO2952" s="76"/>
      <c r="CP2952" s="76">
        <f>+CO2952*46000</f>
        <v>0</v>
      </c>
      <c r="CQ2952" s="76"/>
      <c r="CR2952" s="76">
        <f>+CQ2952*49000</f>
        <v>0</v>
      </c>
      <c r="CS2952" s="76"/>
      <c r="CT2952" s="76"/>
      <c r="CU2952" s="56">
        <f>AN2952+AP2952+AR2952+AT2952+AV2952+AX2952+AZ2952+BB2952+BD2952+BF2952+BH2952+BJ2952+BL2952+BN2952+BP2952+BR2952+BT2952+BV2952+BX2952+BZ2952+CB2952+CD2952+CF2952+CH2952+CJ2952+CL2952+CN2952+CP2952+CR2952+CT2952</f>
        <v>0</v>
      </c>
      <c r="CV2952" s="76"/>
      <c r="CW2952" s="76">
        <f>+CV2952*1100</f>
        <v>0</v>
      </c>
      <c r="CX2952" s="76"/>
      <c r="CY2952" s="76">
        <f>+CX2952*106250</f>
        <v>0</v>
      </c>
      <c r="CZ2952" s="76"/>
      <c r="DA2952" s="76">
        <f>+CZ2952*34500</f>
        <v>0</v>
      </c>
      <c r="DB2952" s="76"/>
      <c r="DC2952" s="76">
        <f>+DB2952*25000</f>
        <v>0</v>
      </c>
      <c r="DD2952" s="219"/>
      <c r="DE2952" s="219"/>
      <c r="DF2952" s="166"/>
      <c r="DG2952" s="116"/>
      <c r="DH2952" s="117"/>
      <c r="DI2952" s="24"/>
      <c r="DJ2952" s="24"/>
      <c r="DK2952" s="24"/>
      <c r="DL2952" s="24"/>
      <c r="DM2952" s="24"/>
      <c r="DN2952" s="24"/>
      <c r="DO2952" s="24"/>
      <c r="DP2952" s="24"/>
      <c r="DQ2952" s="24"/>
      <c r="DR2952" s="24"/>
      <c r="DS2952" s="24"/>
      <c r="DT2952" s="24"/>
      <c r="DU2952" s="24"/>
    </row>
    <row r="2953" spans="1:125" s="8" customFormat="1" ht="60" x14ac:dyDescent="0.2">
      <c r="A2953" s="77">
        <v>41523</v>
      </c>
      <c r="B2953" s="352" t="s">
        <v>2881</v>
      </c>
      <c r="C2953" s="354" t="s">
        <v>2767</v>
      </c>
      <c r="D2953" s="354" t="s">
        <v>3051</v>
      </c>
      <c r="E2953" s="296" t="str">
        <f>VLOOKUP(B2953&amp;C2953,Divipola!$C$2:$F$1138,4,FALSE)</f>
        <v>08001</v>
      </c>
      <c r="F2953" s="87"/>
      <c r="G2953" s="87">
        <v>6</v>
      </c>
      <c r="H2953" s="87"/>
      <c r="I2953" s="87">
        <v>11000</v>
      </c>
      <c r="J2953" s="87">
        <v>2200</v>
      </c>
      <c r="K2953" s="87"/>
      <c r="L2953" s="87">
        <v>2200</v>
      </c>
      <c r="M2953" s="87"/>
      <c r="N2953" s="87"/>
      <c r="O2953" s="87"/>
      <c r="P2953" s="87"/>
      <c r="Q2953" s="87"/>
      <c r="R2953" s="87"/>
      <c r="S2953" s="87"/>
      <c r="T2953" s="88"/>
      <c r="U2953" s="89"/>
      <c r="V2953" s="86"/>
      <c r="W2953" s="96">
        <v>0</v>
      </c>
      <c r="X2953" s="71">
        <f>CU2953</f>
        <v>0</v>
      </c>
      <c r="Y2953" s="71">
        <f>CY2953</f>
        <v>126199200</v>
      </c>
      <c r="Z2953" s="71">
        <f>DA2953+DC2953+DE2953</f>
        <v>38879812.799999997</v>
      </c>
      <c r="AA2953" s="71">
        <f>CW2953</f>
        <v>54984000</v>
      </c>
      <c r="AB2953" s="71"/>
      <c r="AC2953" s="71">
        <v>0</v>
      </c>
      <c r="AD2953" s="71">
        <f>W2953+X2953+Y2953+Z2953+AA2953+AB2953+AC2953</f>
        <v>220063012.80000001</v>
      </c>
      <c r="AE2953" s="72">
        <v>0</v>
      </c>
      <c r="AF2953" s="5"/>
      <c r="AG2953" s="6"/>
      <c r="AH2953" s="27"/>
      <c r="AI2953" s="44"/>
      <c r="AJ2953" s="26"/>
      <c r="AK2953" s="5"/>
      <c r="AL2953" s="315" t="s">
        <v>5993</v>
      </c>
      <c r="AM2953" s="76"/>
      <c r="AN2953" s="76"/>
      <c r="AO2953" s="76"/>
      <c r="AP2953" s="76"/>
      <c r="AQ2953" s="76"/>
      <c r="AR2953" s="76"/>
      <c r="AS2953" s="76"/>
      <c r="AT2953" s="76"/>
      <c r="AU2953" s="76"/>
      <c r="AV2953" s="76"/>
      <c r="AW2953" s="76"/>
      <c r="AX2953" s="76">
        <f>+AW2953*600000</f>
        <v>0</v>
      </c>
      <c r="AY2953" s="76"/>
      <c r="AZ2953" s="76">
        <f>+AY2953*70000</f>
        <v>0</v>
      </c>
      <c r="BA2953" s="76"/>
      <c r="BB2953" s="76"/>
      <c r="BC2953" s="76"/>
      <c r="BD2953" s="76">
        <f>+BC2953*30000</f>
        <v>0</v>
      </c>
      <c r="BE2953" s="76"/>
      <c r="BF2953" s="76"/>
      <c r="BG2953" s="76"/>
      <c r="BH2953" s="76"/>
      <c r="BI2953" s="76"/>
      <c r="BJ2953" s="76"/>
      <c r="BK2953" s="76"/>
      <c r="BL2953" s="76">
        <f>+BK2953*31500</f>
        <v>0</v>
      </c>
      <c r="BM2953" s="76"/>
      <c r="BN2953" s="76"/>
      <c r="BO2953" s="76"/>
      <c r="BP2953" s="76"/>
      <c r="BQ2953" s="76"/>
      <c r="BR2953" s="76"/>
      <c r="BS2953" s="76"/>
      <c r="BT2953" s="76"/>
      <c r="BU2953" s="76"/>
      <c r="BV2953" s="76"/>
      <c r="BW2953" s="76"/>
      <c r="BX2953" s="76"/>
      <c r="BY2953" s="76"/>
      <c r="BZ2953" s="76"/>
      <c r="CA2953" s="76"/>
      <c r="CB2953" s="76"/>
      <c r="CC2953" s="76"/>
      <c r="CD2953" s="76"/>
      <c r="CE2953" s="76"/>
      <c r="CF2953" s="76">
        <f>+CE2953*28000</f>
        <v>0</v>
      </c>
      <c r="CG2953" s="76"/>
      <c r="CH2953" s="76">
        <f>+CG2953*22500</f>
        <v>0</v>
      </c>
      <c r="CI2953" s="76"/>
      <c r="CJ2953" s="76">
        <f>+CI2953*26000</f>
        <v>0</v>
      </c>
      <c r="CK2953" s="76"/>
      <c r="CL2953" s="76"/>
      <c r="CM2953" s="76"/>
      <c r="CN2953" s="76">
        <f>+CM2953*22000</f>
        <v>0</v>
      </c>
      <c r="CO2953" s="76"/>
      <c r="CP2953" s="76">
        <f>+CO2953*46000</f>
        <v>0</v>
      </c>
      <c r="CQ2953" s="76"/>
      <c r="CR2953" s="76">
        <f>+CQ2953*49000</f>
        <v>0</v>
      </c>
      <c r="CS2953" s="76"/>
      <c r="CT2953" s="76"/>
      <c r="CU2953" s="56">
        <f>AN2953+AP2953+AR2953+AT2953+AV2953+AX2953+AZ2953+BB2953+BD2953+BF2953+BH2953+BJ2953+BL2953+BN2953+BP2953+BR2953+BT2953+BV2953+BX2953+BZ2953+CB2953+CD2953+CF2953+CH2953+CJ2953+CL2953+CN2953+CP2953+CR2953+CT2953</f>
        <v>0</v>
      </c>
      <c r="CV2953" s="86">
        <v>50000</v>
      </c>
      <c r="CW2953" s="86">
        <f>+CV2953*1099.68</f>
        <v>54984000</v>
      </c>
      <c r="CX2953" s="86">
        <v>1200</v>
      </c>
      <c r="CY2953" s="86">
        <f>+CX2953*105166</f>
        <v>126199200</v>
      </c>
      <c r="CZ2953" s="76"/>
      <c r="DA2953" s="76">
        <f>+CZ2953*34500</f>
        <v>0</v>
      </c>
      <c r="DB2953" s="86">
        <f>480+600+240</f>
        <v>1320</v>
      </c>
      <c r="DC2953" s="86">
        <f>480*33645.8+600*25282.2+240*22628.12+2160*348+2160*638</f>
        <v>38879812.799999997</v>
      </c>
      <c r="DD2953" s="219"/>
      <c r="DE2953" s="219"/>
      <c r="DF2953" s="166"/>
      <c r="DG2953" s="192" t="s">
        <v>6920</v>
      </c>
      <c r="DH2953" s="117"/>
      <c r="DI2953" s="24"/>
      <c r="DJ2953" s="24"/>
      <c r="DK2953" s="24"/>
      <c r="DL2953" s="24"/>
      <c r="DM2953" s="24"/>
      <c r="DN2953" s="24"/>
      <c r="DO2953" s="24"/>
      <c r="DP2953" s="24"/>
      <c r="DQ2953" s="24"/>
      <c r="DR2953" s="24"/>
      <c r="DS2953" s="24"/>
      <c r="DT2953" s="24"/>
      <c r="DU2953" s="24"/>
    </row>
    <row r="2954" spans="1:125" s="8" customFormat="1" ht="120" x14ac:dyDescent="0.2">
      <c r="A2954" s="77">
        <v>41523</v>
      </c>
      <c r="B2954" s="78" t="s">
        <v>2881</v>
      </c>
      <c r="C2954" s="75" t="s">
        <v>2767</v>
      </c>
      <c r="D2954" s="75" t="s">
        <v>2882</v>
      </c>
      <c r="E2954" s="296" t="str">
        <f>VLOOKUP(B2954&amp;C2954,Divipola!$C$2:$F$1138,4,FALSE)</f>
        <v>08001</v>
      </c>
      <c r="F2954" s="87">
        <v>1</v>
      </c>
      <c r="G2954" s="87"/>
      <c r="H2954" s="87"/>
      <c r="I2954" s="87">
        <v>16</v>
      </c>
      <c r="J2954" s="87">
        <v>3</v>
      </c>
      <c r="K2954" s="87">
        <v>3</v>
      </c>
      <c r="L2954" s="87"/>
      <c r="M2954" s="87"/>
      <c r="N2954" s="87"/>
      <c r="O2954" s="87"/>
      <c r="P2954" s="87"/>
      <c r="Q2954" s="87"/>
      <c r="R2954" s="87"/>
      <c r="S2954" s="87"/>
      <c r="T2954" s="87"/>
      <c r="U2954" s="88"/>
      <c r="V2954" s="89"/>
      <c r="W2954" s="96">
        <v>0</v>
      </c>
      <c r="X2954" s="71">
        <f>CU2954</f>
        <v>330997780</v>
      </c>
      <c r="Y2954" s="71">
        <f>CY2954</f>
        <v>105358000</v>
      </c>
      <c r="Z2954" s="71">
        <f>DA2954+DC2954+DE2954</f>
        <v>0</v>
      </c>
      <c r="AA2954" s="71">
        <f>CW2954</f>
        <v>0</v>
      </c>
      <c r="AB2954" s="71"/>
      <c r="AC2954" s="71">
        <v>0</v>
      </c>
      <c r="AD2954" s="71">
        <f>W2954+X2954+Y2954+Z2954+AA2954+AB2954+AC2954</f>
        <v>436355780</v>
      </c>
      <c r="AE2954" s="72">
        <v>0</v>
      </c>
      <c r="AF2954" s="5"/>
      <c r="AG2954" s="6"/>
      <c r="AH2954" s="27"/>
      <c r="AI2954" s="44"/>
      <c r="AJ2954" s="26"/>
      <c r="AK2954" s="5"/>
      <c r="AL2954" s="278" t="s">
        <v>5870</v>
      </c>
      <c r="AM2954" s="76"/>
      <c r="AN2954" s="76"/>
      <c r="AO2954" s="76"/>
      <c r="AP2954" s="76"/>
      <c r="AQ2954" s="76"/>
      <c r="AR2954" s="76"/>
      <c r="AS2954" s="76"/>
      <c r="AT2954" s="76"/>
      <c r="AU2954" s="76"/>
      <c r="AV2954" s="76"/>
      <c r="AW2954" s="76"/>
      <c r="AX2954" s="76">
        <f>+AW2954*600000</f>
        <v>0</v>
      </c>
      <c r="AY2954" s="86">
        <v>3000</v>
      </c>
      <c r="AZ2954" s="86">
        <f>1500*69999.04+1500*70000</f>
        <v>209998560</v>
      </c>
      <c r="BA2954" s="76"/>
      <c r="BB2954" s="76"/>
      <c r="BC2954" s="76"/>
      <c r="BD2954" s="76">
        <f>+BC2954*30000</f>
        <v>0</v>
      </c>
      <c r="BE2954" s="76"/>
      <c r="BF2954" s="76"/>
      <c r="BG2954" s="76"/>
      <c r="BH2954" s="76"/>
      <c r="BI2954" s="76"/>
      <c r="BJ2954" s="76"/>
      <c r="BK2954" s="76"/>
      <c r="BL2954" s="76">
        <f>+BK2954*31500</f>
        <v>0</v>
      </c>
      <c r="BM2954" s="76"/>
      <c r="BN2954" s="76"/>
      <c r="BO2954" s="76"/>
      <c r="BP2954" s="76"/>
      <c r="BQ2954" s="76"/>
      <c r="BR2954" s="76"/>
      <c r="BS2954" s="76"/>
      <c r="BT2954" s="76"/>
      <c r="BU2954" s="76"/>
      <c r="BV2954" s="76"/>
      <c r="BW2954" s="76"/>
      <c r="BX2954" s="76"/>
      <c r="BY2954" s="76"/>
      <c r="BZ2954" s="76"/>
      <c r="CA2954" s="76"/>
      <c r="CB2954" s="76"/>
      <c r="CC2954" s="76"/>
      <c r="CD2954" s="76"/>
      <c r="CE2954" s="76"/>
      <c r="CF2954" s="76">
        <f>+CE2954*28000</f>
        <v>0</v>
      </c>
      <c r="CG2954" s="76"/>
      <c r="CH2954" s="76">
        <f>+CG2954*22500</f>
        <v>0</v>
      </c>
      <c r="CI2954" s="86">
        <v>1000</v>
      </c>
      <c r="CJ2954" s="86">
        <f>500*25999.08+500*26000</f>
        <v>25999540</v>
      </c>
      <c r="CK2954" s="76"/>
      <c r="CL2954" s="76"/>
      <c r="CM2954" s="76"/>
      <c r="CN2954" s="76">
        <f>+CM2954*22000</f>
        <v>0</v>
      </c>
      <c r="CO2954" s="86">
        <v>1000</v>
      </c>
      <c r="CP2954" s="86">
        <f>500*45999.8+500*46000</f>
        <v>45999900</v>
      </c>
      <c r="CQ2954" s="86">
        <v>1000</v>
      </c>
      <c r="CR2954" s="86">
        <f>500*48999.56+500*49000</f>
        <v>48999780</v>
      </c>
      <c r="CS2954" s="76"/>
      <c r="CT2954" s="76"/>
      <c r="CU2954" s="56">
        <f>AN2954+AP2954+AR2954+AT2954+AV2954+AX2954+AZ2954+BB2954+BD2954+BF2954+BH2954+BJ2954+BL2954+BN2954+BP2954+BR2954+BT2954+BV2954+BX2954+BZ2954+CB2954+CD2954+CF2954+CH2954+CJ2954+CL2954+CN2954+CP2954+CR2954+CT2954</f>
        <v>330997780</v>
      </c>
      <c r="CV2954" s="76"/>
      <c r="CW2954" s="76">
        <f>+CV2954*1100</f>
        <v>0</v>
      </c>
      <c r="CX2954" s="86">
        <v>1000</v>
      </c>
      <c r="CY2954" s="86">
        <f>500*105166+500*105550</f>
        <v>105358000</v>
      </c>
      <c r="CZ2954" s="76"/>
      <c r="DA2954" s="76">
        <f>+CZ2954*34500</f>
        <v>0</v>
      </c>
      <c r="DB2954" s="76"/>
      <c r="DC2954" s="76">
        <f>+DB2954*25000</f>
        <v>0</v>
      </c>
      <c r="DD2954" s="219"/>
      <c r="DE2954" s="219"/>
      <c r="DF2954" s="166"/>
      <c r="DG2954" s="192" t="s">
        <v>6923</v>
      </c>
      <c r="DH2954" s="117"/>
      <c r="DI2954" s="24"/>
      <c r="DJ2954" s="24"/>
      <c r="DK2954" s="24"/>
      <c r="DL2954" s="24"/>
      <c r="DM2954" s="24"/>
      <c r="DN2954" s="24"/>
      <c r="DO2954" s="24"/>
      <c r="DP2954" s="24"/>
      <c r="DQ2954" s="24"/>
      <c r="DR2954" s="24"/>
      <c r="DS2954" s="24"/>
      <c r="DT2954" s="24"/>
      <c r="DU2954" s="24"/>
    </row>
    <row r="2955" spans="1:125" s="8" customFormat="1" ht="156" x14ac:dyDescent="0.2">
      <c r="A2955" s="77">
        <v>41523</v>
      </c>
      <c r="B2955" s="78" t="s">
        <v>2881</v>
      </c>
      <c r="C2955" s="75" t="s">
        <v>1407</v>
      </c>
      <c r="D2955" s="75" t="s">
        <v>3051</v>
      </c>
      <c r="E2955" s="75" t="str">
        <f>VLOOKUP(B2955&amp;C2955,Divipola!$C$2:$F$1138,4,FALSE)</f>
        <v>08372</v>
      </c>
      <c r="F2955" s="61"/>
      <c r="G2955" s="61"/>
      <c r="H2955" s="61"/>
      <c r="I2955" s="61">
        <v>50</v>
      </c>
      <c r="J2955" s="61">
        <v>10</v>
      </c>
      <c r="K2955" s="61"/>
      <c r="L2955" s="61">
        <v>10</v>
      </c>
      <c r="M2955" s="61"/>
      <c r="N2955" s="61"/>
      <c r="O2955" s="61"/>
      <c r="P2955" s="61"/>
      <c r="Q2955" s="61"/>
      <c r="R2955" s="61"/>
      <c r="S2955" s="61"/>
      <c r="T2955" s="61"/>
      <c r="U2955" s="61"/>
      <c r="V2955" s="7"/>
      <c r="W2955" s="96">
        <v>0</v>
      </c>
      <c r="X2955" s="71">
        <f>CU2955</f>
        <v>0</v>
      </c>
      <c r="Y2955" s="71">
        <f>CY2955</f>
        <v>0</v>
      </c>
      <c r="Z2955" s="71">
        <f>DA2955+DC2955+DE2955</f>
        <v>0</v>
      </c>
      <c r="AA2955" s="71">
        <f>CW2955</f>
        <v>0</v>
      </c>
      <c r="AB2955" s="71"/>
      <c r="AC2955" s="71">
        <v>0</v>
      </c>
      <c r="AD2955" s="71">
        <f>W2955+X2955+Y2955+Z2955+AA2955+AB2955+AC2955</f>
        <v>0</v>
      </c>
      <c r="AE2955" s="72">
        <v>0</v>
      </c>
      <c r="AF2955" s="5"/>
      <c r="AG2955" s="6"/>
      <c r="AH2955" s="27"/>
      <c r="AI2955" s="44"/>
      <c r="AJ2955" s="26"/>
      <c r="AK2955" s="5"/>
      <c r="AL2955" s="278" t="s">
        <v>6318</v>
      </c>
      <c r="AM2955" s="76"/>
      <c r="AN2955" s="76"/>
      <c r="AO2955" s="76"/>
      <c r="AP2955" s="76"/>
      <c r="AQ2955" s="76"/>
      <c r="AR2955" s="76"/>
      <c r="AS2955" s="76"/>
      <c r="AT2955" s="76"/>
      <c r="AU2955" s="76"/>
      <c r="AV2955" s="76"/>
      <c r="AW2955" s="76"/>
      <c r="AX2955" s="76">
        <f>+AW2955*600000</f>
        <v>0</v>
      </c>
      <c r="AY2955" s="76"/>
      <c r="AZ2955" s="76">
        <f>+AY2955*70000</f>
        <v>0</v>
      </c>
      <c r="BA2955" s="76"/>
      <c r="BB2955" s="76"/>
      <c r="BC2955" s="76"/>
      <c r="BD2955" s="76">
        <f>+BC2955*30000</f>
        <v>0</v>
      </c>
      <c r="BE2955" s="76"/>
      <c r="BF2955" s="76"/>
      <c r="BG2955" s="76"/>
      <c r="BH2955" s="76"/>
      <c r="BI2955" s="76"/>
      <c r="BJ2955" s="76"/>
      <c r="BK2955" s="76"/>
      <c r="BL2955" s="76">
        <f>+BK2955*31500</f>
        <v>0</v>
      </c>
      <c r="BM2955" s="76"/>
      <c r="BN2955" s="76"/>
      <c r="BO2955" s="76"/>
      <c r="BP2955" s="76"/>
      <c r="BQ2955" s="76"/>
      <c r="BR2955" s="76"/>
      <c r="BS2955" s="76"/>
      <c r="BT2955" s="76"/>
      <c r="BU2955" s="76"/>
      <c r="BV2955" s="76"/>
      <c r="BW2955" s="76"/>
      <c r="BX2955" s="76"/>
      <c r="BY2955" s="76"/>
      <c r="BZ2955" s="76"/>
      <c r="CA2955" s="76"/>
      <c r="CB2955" s="76"/>
      <c r="CC2955" s="76"/>
      <c r="CD2955" s="76"/>
      <c r="CE2955" s="76"/>
      <c r="CF2955" s="76">
        <f>+CE2955*28000</f>
        <v>0</v>
      </c>
      <c r="CG2955" s="76"/>
      <c r="CH2955" s="76">
        <f>+CG2955*22500</f>
        <v>0</v>
      </c>
      <c r="CI2955" s="76"/>
      <c r="CJ2955" s="76">
        <f>+CI2955*26000</f>
        <v>0</v>
      </c>
      <c r="CK2955" s="76"/>
      <c r="CL2955" s="76"/>
      <c r="CM2955" s="76"/>
      <c r="CN2955" s="76">
        <f>+CM2955*22000</f>
        <v>0</v>
      </c>
      <c r="CO2955" s="76"/>
      <c r="CP2955" s="76">
        <f>+CO2955*46000</f>
        <v>0</v>
      </c>
      <c r="CQ2955" s="76"/>
      <c r="CR2955" s="76">
        <f>+CQ2955*49000</f>
        <v>0</v>
      </c>
      <c r="CS2955" s="76"/>
      <c r="CT2955" s="76"/>
      <c r="CU2955" s="56">
        <f>AN2955+AP2955+AR2955+AT2955+AV2955+AX2955+AZ2955+BB2955+BD2955+BF2955+BH2955+BJ2955+BL2955+BN2955+BP2955+BR2955+BT2955+BV2955+BX2955+BZ2955+CB2955+CD2955+CF2955+CH2955+CJ2955+CL2955+CN2955+CP2955+CR2955+CT2955</f>
        <v>0</v>
      </c>
      <c r="CV2955" s="76"/>
      <c r="CW2955" s="76">
        <f>+CV2955*1100</f>
        <v>0</v>
      </c>
      <c r="CX2955" s="76"/>
      <c r="CY2955" s="76">
        <f>+CX2955*106250</f>
        <v>0</v>
      </c>
      <c r="CZ2955" s="76"/>
      <c r="DA2955" s="76">
        <f>+CZ2955*34500</f>
        <v>0</v>
      </c>
      <c r="DB2955" s="76"/>
      <c r="DC2955" s="76">
        <f>+DB2955*25000</f>
        <v>0</v>
      </c>
      <c r="DD2955" s="219"/>
      <c r="DE2955" s="219"/>
      <c r="DF2955" s="166"/>
      <c r="DG2955" s="116"/>
      <c r="DH2955" s="117"/>
      <c r="DI2955" s="24"/>
      <c r="DJ2955" s="24"/>
      <c r="DK2955" s="24"/>
      <c r="DL2955" s="24"/>
      <c r="DM2955" s="24"/>
      <c r="DN2955" s="24"/>
      <c r="DO2955" s="24"/>
      <c r="DP2955" s="24"/>
      <c r="DQ2955" s="24"/>
      <c r="DR2955" s="24"/>
      <c r="DS2955" s="24"/>
      <c r="DT2955" s="24"/>
      <c r="DU2955" s="24"/>
    </row>
    <row r="2956" spans="1:125" s="8" customFormat="1" ht="60" x14ac:dyDescent="0.2">
      <c r="A2956" s="77">
        <v>41523</v>
      </c>
      <c r="B2956" s="225" t="s">
        <v>2777</v>
      </c>
      <c r="C2956" s="227" t="s">
        <v>1543</v>
      </c>
      <c r="D2956" s="354" t="s">
        <v>2882</v>
      </c>
      <c r="E2956" s="296" t="str">
        <f>VLOOKUP(B2956&amp;C2956,Divipola!$C$2:$F$1138,4,FALSE)</f>
        <v>13780</v>
      </c>
      <c r="F2956" s="87"/>
      <c r="G2956" s="87"/>
      <c r="H2956" s="87"/>
      <c r="I2956" s="87">
        <v>210</v>
      </c>
      <c r="J2956" s="87">
        <v>42</v>
      </c>
      <c r="K2956" s="87"/>
      <c r="L2956" s="87">
        <v>42</v>
      </c>
      <c r="M2956" s="87"/>
      <c r="N2956" s="87"/>
      <c r="O2956" s="87"/>
      <c r="P2956" s="87"/>
      <c r="Q2956" s="87"/>
      <c r="R2956" s="87"/>
      <c r="S2956" s="87"/>
      <c r="T2956" s="87"/>
      <c r="U2956" s="88"/>
      <c r="V2956" s="89"/>
      <c r="W2956" s="96">
        <v>0</v>
      </c>
      <c r="X2956" s="71">
        <f>CU2956</f>
        <v>0</v>
      </c>
      <c r="Y2956" s="71">
        <f>CY2956</f>
        <v>0</v>
      </c>
      <c r="Z2956" s="71">
        <f>DA2956+DC2956+DE2956</f>
        <v>0</v>
      </c>
      <c r="AA2956" s="71">
        <f>CW2956</f>
        <v>0</v>
      </c>
      <c r="AB2956" s="71"/>
      <c r="AC2956" s="71">
        <v>0</v>
      </c>
      <c r="AD2956" s="71">
        <f>W2956+X2956+Y2956+Z2956+AA2956+AB2956+AC2956</f>
        <v>0</v>
      </c>
      <c r="AE2956" s="72">
        <v>0</v>
      </c>
      <c r="AF2956" s="5"/>
      <c r="AG2956" s="6"/>
      <c r="AH2956" s="27"/>
      <c r="AI2956" s="44"/>
      <c r="AJ2956" s="26"/>
      <c r="AK2956" s="5"/>
      <c r="AL2956" s="9" t="s">
        <v>5846</v>
      </c>
      <c r="AM2956" s="76"/>
      <c r="AN2956" s="76"/>
      <c r="AO2956" s="76"/>
      <c r="AP2956" s="76"/>
      <c r="AQ2956" s="76"/>
      <c r="AR2956" s="76"/>
      <c r="AS2956" s="76"/>
      <c r="AT2956" s="76"/>
      <c r="AU2956" s="76"/>
      <c r="AV2956" s="76"/>
      <c r="AW2956" s="76"/>
      <c r="AX2956" s="76">
        <f>+AW2956*600000</f>
        <v>0</v>
      </c>
      <c r="AY2956" s="76"/>
      <c r="AZ2956" s="76">
        <f>+AY2956*70000</f>
        <v>0</v>
      </c>
      <c r="BA2956" s="76"/>
      <c r="BB2956" s="76"/>
      <c r="BC2956" s="76"/>
      <c r="BD2956" s="76">
        <f>+BC2956*30000</f>
        <v>0</v>
      </c>
      <c r="BE2956" s="76"/>
      <c r="BF2956" s="76"/>
      <c r="BG2956" s="76"/>
      <c r="BH2956" s="76"/>
      <c r="BI2956" s="76"/>
      <c r="BJ2956" s="76"/>
      <c r="BK2956" s="76"/>
      <c r="BL2956" s="76">
        <f>+BK2956*31500</f>
        <v>0</v>
      </c>
      <c r="BM2956" s="76"/>
      <c r="BN2956" s="76"/>
      <c r="BO2956" s="76"/>
      <c r="BP2956" s="76"/>
      <c r="BQ2956" s="76"/>
      <c r="BR2956" s="76"/>
      <c r="BS2956" s="76"/>
      <c r="BT2956" s="76"/>
      <c r="BU2956" s="76"/>
      <c r="BV2956" s="76"/>
      <c r="BW2956" s="76"/>
      <c r="BX2956" s="76"/>
      <c r="BY2956" s="76"/>
      <c r="BZ2956" s="76"/>
      <c r="CA2956" s="76"/>
      <c r="CB2956" s="76"/>
      <c r="CC2956" s="76"/>
      <c r="CD2956" s="76"/>
      <c r="CE2956" s="76"/>
      <c r="CF2956" s="76">
        <f>+CE2956*28000</f>
        <v>0</v>
      </c>
      <c r="CG2956" s="76"/>
      <c r="CH2956" s="76">
        <f>+CG2956*22500</f>
        <v>0</v>
      </c>
      <c r="CI2956" s="76"/>
      <c r="CJ2956" s="76">
        <f>+CI2956*26000</f>
        <v>0</v>
      </c>
      <c r="CK2956" s="76"/>
      <c r="CL2956" s="76"/>
      <c r="CM2956" s="76"/>
      <c r="CN2956" s="76">
        <f>+CM2956*22000</f>
        <v>0</v>
      </c>
      <c r="CO2956" s="76"/>
      <c r="CP2956" s="76">
        <f>+CO2956*46000</f>
        <v>0</v>
      </c>
      <c r="CQ2956" s="76"/>
      <c r="CR2956" s="76">
        <f>+CQ2956*49000</f>
        <v>0</v>
      </c>
      <c r="CS2956" s="76"/>
      <c r="CT2956" s="76"/>
      <c r="CU2956" s="56">
        <f>AN2956+AP2956+AR2956+AT2956+AV2956+AX2956+AZ2956+BB2956+BD2956+BF2956+BH2956+BJ2956+BL2956+BN2956+BP2956+BR2956+BT2956+BV2956+BX2956+BZ2956+CB2956+CD2956+CF2956+CH2956+CJ2956+CL2956+CN2956+CP2956+CR2956+CT2956</f>
        <v>0</v>
      </c>
      <c r="CV2956" s="76"/>
      <c r="CW2956" s="76">
        <f>+CV2956*1100</f>
        <v>0</v>
      </c>
      <c r="CX2956" s="76"/>
      <c r="CY2956" s="76">
        <f>+CX2956*106250</f>
        <v>0</v>
      </c>
      <c r="CZ2956" s="76"/>
      <c r="DA2956" s="76">
        <f>+CZ2956*34500</f>
        <v>0</v>
      </c>
      <c r="DB2956" s="76"/>
      <c r="DC2956" s="76">
        <f>+DB2956*25000</f>
        <v>0</v>
      </c>
      <c r="DD2956" s="219"/>
      <c r="DE2956" s="219"/>
      <c r="DF2956" s="166"/>
      <c r="DG2956" s="116"/>
      <c r="DH2956" s="117"/>
      <c r="DI2956" s="24"/>
      <c r="DJ2956" s="24"/>
      <c r="DK2956" s="24"/>
      <c r="DL2956" s="24"/>
      <c r="DM2956" s="24"/>
      <c r="DN2956" s="24"/>
      <c r="DO2956" s="24"/>
      <c r="DP2956" s="24"/>
      <c r="DQ2956" s="24"/>
      <c r="DR2956" s="24"/>
      <c r="DS2956" s="24"/>
      <c r="DT2956" s="24"/>
      <c r="DU2956" s="24"/>
    </row>
    <row r="2957" spans="1:125" s="8" customFormat="1" ht="60" x14ac:dyDescent="0.2">
      <c r="A2957" s="77">
        <v>41523</v>
      </c>
      <c r="B2957" s="352" t="s">
        <v>2778</v>
      </c>
      <c r="C2957" s="354" t="s">
        <v>1344</v>
      </c>
      <c r="D2957" s="354" t="s">
        <v>3088</v>
      </c>
      <c r="E2957" s="296" t="str">
        <f>VLOOKUP(B2957&amp;C2957,Divipola!$C$2:$F$1138,4,FALSE)</f>
        <v>85001</v>
      </c>
      <c r="F2957" s="87"/>
      <c r="G2957" s="87"/>
      <c r="H2957" s="87"/>
      <c r="I2957" s="87"/>
      <c r="J2957" s="87"/>
      <c r="K2957" s="87"/>
      <c r="L2957" s="87"/>
      <c r="M2957" s="87"/>
      <c r="N2957" s="87"/>
      <c r="O2957" s="87"/>
      <c r="P2957" s="87"/>
      <c r="Q2957" s="87"/>
      <c r="R2957" s="87"/>
      <c r="S2957" s="87"/>
      <c r="T2957" s="87"/>
      <c r="U2957" s="88"/>
      <c r="V2957" s="89"/>
      <c r="W2957" s="96">
        <v>0</v>
      </c>
      <c r="X2957" s="71">
        <f>CU2957</f>
        <v>0</v>
      </c>
      <c r="Y2957" s="71">
        <f>CY2957</f>
        <v>0</v>
      </c>
      <c r="Z2957" s="71">
        <f>DA2957+DC2957+DE2957</f>
        <v>0</v>
      </c>
      <c r="AA2957" s="71">
        <f>CW2957</f>
        <v>0</v>
      </c>
      <c r="AB2957" s="71"/>
      <c r="AC2957" s="71">
        <v>0</v>
      </c>
      <c r="AD2957" s="71">
        <f>W2957+X2957+Y2957+Z2957+AA2957+AB2957+AC2957</f>
        <v>0</v>
      </c>
      <c r="AE2957" s="72">
        <v>0</v>
      </c>
      <c r="AF2957" s="5"/>
      <c r="AG2957" s="6"/>
      <c r="AH2957" s="27"/>
      <c r="AI2957" s="44"/>
      <c r="AJ2957" s="26"/>
      <c r="AK2957" s="5"/>
      <c r="AL2957" s="274" t="s">
        <v>5837</v>
      </c>
      <c r="AM2957" s="76"/>
      <c r="AN2957" s="76"/>
      <c r="AO2957" s="76"/>
      <c r="AP2957" s="76"/>
      <c r="AQ2957" s="76"/>
      <c r="AR2957" s="76"/>
      <c r="AS2957" s="76"/>
      <c r="AT2957" s="76"/>
      <c r="AU2957" s="76"/>
      <c r="AV2957" s="76"/>
      <c r="AW2957" s="76"/>
      <c r="AX2957" s="76">
        <f>+AW2957*600000</f>
        <v>0</v>
      </c>
      <c r="AY2957" s="76"/>
      <c r="AZ2957" s="76">
        <f>+AY2957*70000</f>
        <v>0</v>
      </c>
      <c r="BA2957" s="76"/>
      <c r="BB2957" s="76"/>
      <c r="BC2957" s="76"/>
      <c r="BD2957" s="76">
        <f>+BC2957*30000</f>
        <v>0</v>
      </c>
      <c r="BE2957" s="76"/>
      <c r="BF2957" s="76"/>
      <c r="BG2957" s="76"/>
      <c r="BH2957" s="76"/>
      <c r="BI2957" s="76"/>
      <c r="BJ2957" s="76"/>
      <c r="BK2957" s="76"/>
      <c r="BL2957" s="76">
        <f>+BK2957*31500</f>
        <v>0</v>
      </c>
      <c r="BM2957" s="76"/>
      <c r="BN2957" s="76"/>
      <c r="BO2957" s="76"/>
      <c r="BP2957" s="76"/>
      <c r="BQ2957" s="76"/>
      <c r="BR2957" s="76"/>
      <c r="BS2957" s="76"/>
      <c r="BT2957" s="76"/>
      <c r="BU2957" s="76"/>
      <c r="BV2957" s="76"/>
      <c r="BW2957" s="76"/>
      <c r="BX2957" s="76"/>
      <c r="BY2957" s="76"/>
      <c r="BZ2957" s="76"/>
      <c r="CA2957" s="76"/>
      <c r="CB2957" s="76"/>
      <c r="CC2957" s="76"/>
      <c r="CD2957" s="76"/>
      <c r="CE2957" s="76"/>
      <c r="CF2957" s="76">
        <f>+CE2957*28000</f>
        <v>0</v>
      </c>
      <c r="CG2957" s="76"/>
      <c r="CH2957" s="76">
        <f>+CG2957*22500</f>
        <v>0</v>
      </c>
      <c r="CI2957" s="76"/>
      <c r="CJ2957" s="76">
        <f>+CI2957*26000</f>
        <v>0</v>
      </c>
      <c r="CK2957" s="76"/>
      <c r="CL2957" s="76"/>
      <c r="CM2957" s="76"/>
      <c r="CN2957" s="76">
        <f>+CM2957*22000</f>
        <v>0</v>
      </c>
      <c r="CO2957" s="76"/>
      <c r="CP2957" s="76">
        <f>+CO2957*46000</f>
        <v>0</v>
      </c>
      <c r="CQ2957" s="76"/>
      <c r="CR2957" s="76">
        <f>+CQ2957*49000</f>
        <v>0</v>
      </c>
      <c r="CS2957" s="76"/>
      <c r="CT2957" s="76"/>
      <c r="CU2957" s="56">
        <f>AN2957+AP2957+AR2957+AT2957+AV2957+AX2957+AZ2957+BB2957+BD2957+BF2957+BH2957+BJ2957+BL2957+BN2957+BP2957+BR2957+BT2957+BV2957+BX2957+BZ2957+CB2957+CD2957+CF2957+CH2957+CJ2957+CL2957+CN2957+CP2957+CR2957+CT2957</f>
        <v>0</v>
      </c>
      <c r="CV2957" s="76"/>
      <c r="CW2957" s="76">
        <f>+CV2957*1100</f>
        <v>0</v>
      </c>
      <c r="CX2957" s="76"/>
      <c r="CY2957" s="76">
        <f>+CX2957*106250</f>
        <v>0</v>
      </c>
      <c r="CZ2957" s="76"/>
      <c r="DA2957" s="76">
        <f>+CZ2957*34500</f>
        <v>0</v>
      </c>
      <c r="DB2957" s="76"/>
      <c r="DC2957" s="76">
        <f>+DB2957*25000</f>
        <v>0</v>
      </c>
      <c r="DD2957" s="219"/>
      <c r="DE2957" s="219"/>
      <c r="DF2957" s="166"/>
      <c r="DG2957" s="116"/>
      <c r="DH2957" s="117"/>
      <c r="DI2957" s="24"/>
      <c r="DJ2957" s="24"/>
      <c r="DK2957" s="24"/>
      <c r="DL2957" s="24"/>
      <c r="DM2957" s="24"/>
      <c r="DN2957" s="24"/>
      <c r="DO2957" s="24"/>
      <c r="DP2957" s="24"/>
      <c r="DQ2957" s="24"/>
      <c r="DR2957" s="24"/>
      <c r="DS2957" s="24"/>
      <c r="DT2957" s="24"/>
      <c r="DU2957" s="24"/>
    </row>
    <row r="2958" spans="1:125" s="8" customFormat="1" ht="60" x14ac:dyDescent="0.2">
      <c r="A2958" s="77">
        <v>41523</v>
      </c>
      <c r="B2958" s="352" t="s">
        <v>2778</v>
      </c>
      <c r="C2958" s="354" t="s">
        <v>1344</v>
      </c>
      <c r="D2958" s="354" t="s">
        <v>2882</v>
      </c>
      <c r="E2958" s="296" t="str">
        <f>VLOOKUP(B2958&amp;C2958,Divipola!$C$2:$F$1138,4,FALSE)</f>
        <v>85001</v>
      </c>
      <c r="F2958" s="87"/>
      <c r="G2958" s="87"/>
      <c r="H2958" s="87"/>
      <c r="I2958" s="87">
        <v>9</v>
      </c>
      <c r="J2958" s="87">
        <v>2</v>
      </c>
      <c r="K2958" s="87">
        <v>1</v>
      </c>
      <c r="L2958" s="87">
        <v>1</v>
      </c>
      <c r="M2958" s="87"/>
      <c r="N2958" s="87"/>
      <c r="O2958" s="87"/>
      <c r="P2958" s="87"/>
      <c r="Q2958" s="87"/>
      <c r="R2958" s="87"/>
      <c r="S2958" s="87"/>
      <c r="T2958" s="87"/>
      <c r="U2958" s="88"/>
      <c r="V2958" s="89"/>
      <c r="W2958" s="96">
        <v>0</v>
      </c>
      <c r="X2958" s="71">
        <f>CU2958</f>
        <v>0</v>
      </c>
      <c r="Y2958" s="71">
        <f>CY2958</f>
        <v>0</v>
      </c>
      <c r="Z2958" s="71">
        <f>DA2958+DC2958+DE2958</f>
        <v>0</v>
      </c>
      <c r="AA2958" s="71">
        <f>CW2958</f>
        <v>0</v>
      </c>
      <c r="AB2958" s="71"/>
      <c r="AC2958" s="71">
        <v>0</v>
      </c>
      <c r="AD2958" s="71">
        <f>W2958+X2958+Y2958+Z2958+AA2958+AB2958+AC2958</f>
        <v>0</v>
      </c>
      <c r="AE2958" s="72">
        <v>0</v>
      </c>
      <c r="AF2958" s="5"/>
      <c r="AG2958" s="6"/>
      <c r="AH2958" s="27"/>
      <c r="AI2958" s="44"/>
      <c r="AJ2958" s="26"/>
      <c r="AK2958" s="5"/>
      <c r="AL2958" s="9" t="s">
        <v>5847</v>
      </c>
      <c r="AM2958" s="76"/>
      <c r="AN2958" s="76"/>
      <c r="AO2958" s="76"/>
      <c r="AP2958" s="76"/>
      <c r="AQ2958" s="76"/>
      <c r="AR2958" s="76"/>
      <c r="AS2958" s="76"/>
      <c r="AT2958" s="76"/>
      <c r="AU2958" s="76"/>
      <c r="AV2958" s="76"/>
      <c r="AW2958" s="76"/>
      <c r="AX2958" s="76">
        <f>+AW2958*600000</f>
        <v>0</v>
      </c>
      <c r="AY2958" s="76"/>
      <c r="AZ2958" s="76">
        <f>+AY2958*70000</f>
        <v>0</v>
      </c>
      <c r="BA2958" s="76"/>
      <c r="BB2958" s="76"/>
      <c r="BC2958" s="76"/>
      <c r="BD2958" s="76">
        <f>+BC2958*30000</f>
        <v>0</v>
      </c>
      <c r="BE2958" s="76"/>
      <c r="BF2958" s="76"/>
      <c r="BG2958" s="76"/>
      <c r="BH2958" s="76"/>
      <c r="BI2958" s="76"/>
      <c r="BJ2958" s="76"/>
      <c r="BK2958" s="76"/>
      <c r="BL2958" s="76">
        <f>+BK2958*31500</f>
        <v>0</v>
      </c>
      <c r="BM2958" s="76"/>
      <c r="BN2958" s="76"/>
      <c r="BO2958" s="76"/>
      <c r="BP2958" s="76"/>
      <c r="BQ2958" s="76"/>
      <c r="BR2958" s="76"/>
      <c r="BS2958" s="76"/>
      <c r="BT2958" s="76"/>
      <c r="BU2958" s="76"/>
      <c r="BV2958" s="76"/>
      <c r="BW2958" s="76"/>
      <c r="BX2958" s="76"/>
      <c r="BY2958" s="76"/>
      <c r="BZ2958" s="76"/>
      <c r="CA2958" s="76"/>
      <c r="CB2958" s="76"/>
      <c r="CC2958" s="76"/>
      <c r="CD2958" s="76"/>
      <c r="CE2958" s="76"/>
      <c r="CF2958" s="76">
        <f>+CE2958*28000</f>
        <v>0</v>
      </c>
      <c r="CG2958" s="76"/>
      <c r="CH2958" s="76">
        <f>+CG2958*22500</f>
        <v>0</v>
      </c>
      <c r="CI2958" s="76"/>
      <c r="CJ2958" s="76">
        <f>+CI2958*26000</f>
        <v>0</v>
      </c>
      <c r="CK2958" s="76"/>
      <c r="CL2958" s="76"/>
      <c r="CM2958" s="76"/>
      <c r="CN2958" s="76">
        <f>+CM2958*22000</f>
        <v>0</v>
      </c>
      <c r="CO2958" s="76"/>
      <c r="CP2958" s="76">
        <f>+CO2958*46000</f>
        <v>0</v>
      </c>
      <c r="CQ2958" s="76"/>
      <c r="CR2958" s="76">
        <f>+CQ2958*49000</f>
        <v>0</v>
      </c>
      <c r="CS2958" s="76"/>
      <c r="CT2958" s="76"/>
      <c r="CU2958" s="56">
        <f>AN2958+AP2958+AR2958+AT2958+AV2958+AX2958+AZ2958+BB2958+BD2958+BF2958+BH2958+BJ2958+BL2958+BN2958+BP2958+BR2958+BT2958+BV2958+BX2958+BZ2958+CB2958+CD2958+CF2958+CH2958+CJ2958+CL2958+CN2958+CP2958+CR2958+CT2958</f>
        <v>0</v>
      </c>
      <c r="CV2958" s="76"/>
      <c r="CW2958" s="76">
        <f>+CV2958*1100</f>
        <v>0</v>
      </c>
      <c r="CX2958" s="76"/>
      <c r="CY2958" s="76">
        <f>+CX2958*106250</f>
        <v>0</v>
      </c>
      <c r="CZ2958" s="76"/>
      <c r="DA2958" s="76">
        <f>+CZ2958*34500</f>
        <v>0</v>
      </c>
      <c r="DB2958" s="76"/>
      <c r="DC2958" s="76">
        <f>+DB2958*25000</f>
        <v>0</v>
      </c>
      <c r="DD2958" s="219"/>
      <c r="DE2958" s="219"/>
      <c r="DF2958" s="166"/>
      <c r="DG2958" s="116"/>
      <c r="DH2958" s="117"/>
      <c r="DI2958" s="24"/>
      <c r="DJ2958" s="24"/>
      <c r="DK2958" s="24"/>
      <c r="DL2958" s="24"/>
      <c r="DM2958" s="24"/>
      <c r="DN2958" s="24"/>
      <c r="DO2958" s="24"/>
      <c r="DP2958" s="24"/>
      <c r="DQ2958" s="24"/>
      <c r="DR2958" s="24"/>
      <c r="DS2958" s="24"/>
      <c r="DT2958" s="24"/>
      <c r="DU2958" s="24"/>
    </row>
    <row r="2959" spans="1:125" s="8" customFormat="1" ht="84" x14ac:dyDescent="0.2">
      <c r="A2959" s="77">
        <v>41523</v>
      </c>
      <c r="B2959" s="78" t="s">
        <v>2852</v>
      </c>
      <c r="C2959" s="75" t="s">
        <v>1238</v>
      </c>
      <c r="D2959" s="75" t="s">
        <v>2882</v>
      </c>
      <c r="E2959" s="296" t="str">
        <f>VLOOKUP(B2959&amp;C2959,Divipola!$C$2:$F$1138,4,FALSE)</f>
        <v>27372</v>
      </c>
      <c r="F2959" s="87"/>
      <c r="G2959" s="87"/>
      <c r="H2959" s="87"/>
      <c r="I2959" s="87">
        <v>52</v>
      </c>
      <c r="J2959" s="87">
        <v>10</v>
      </c>
      <c r="K2959" s="87"/>
      <c r="L2959" s="87">
        <v>9</v>
      </c>
      <c r="M2959" s="87"/>
      <c r="N2959" s="87"/>
      <c r="O2959" s="87"/>
      <c r="P2959" s="87"/>
      <c r="Q2959" s="87"/>
      <c r="R2959" s="87"/>
      <c r="S2959" s="87"/>
      <c r="T2959" s="87"/>
      <c r="U2959" s="88"/>
      <c r="V2959" s="89"/>
      <c r="W2959" s="96">
        <v>0</v>
      </c>
      <c r="X2959" s="71">
        <f>CU2959</f>
        <v>0</v>
      </c>
      <c r="Y2959" s="71">
        <f>CY2959</f>
        <v>0</v>
      </c>
      <c r="Z2959" s="71">
        <f>DA2959+DC2959+DE2959</f>
        <v>0</v>
      </c>
      <c r="AA2959" s="71">
        <f>CW2959</f>
        <v>0</v>
      </c>
      <c r="AB2959" s="71"/>
      <c r="AC2959" s="71">
        <v>0</v>
      </c>
      <c r="AD2959" s="71">
        <f>W2959+X2959+Y2959+Z2959+AA2959+AB2959+AC2959</f>
        <v>0</v>
      </c>
      <c r="AE2959" s="72">
        <v>0</v>
      </c>
      <c r="AF2959" s="5"/>
      <c r="AG2959" s="6"/>
      <c r="AH2959" s="27"/>
      <c r="AI2959" s="44"/>
      <c r="AJ2959" s="26"/>
      <c r="AK2959" s="5"/>
      <c r="AL2959" s="9" t="s">
        <v>5844</v>
      </c>
      <c r="AM2959" s="76"/>
      <c r="AN2959" s="76"/>
      <c r="AO2959" s="76"/>
      <c r="AP2959" s="76"/>
      <c r="AQ2959" s="76"/>
      <c r="AR2959" s="76"/>
      <c r="AS2959" s="76"/>
      <c r="AT2959" s="76"/>
      <c r="AU2959" s="76"/>
      <c r="AV2959" s="76"/>
      <c r="AW2959" s="76"/>
      <c r="AX2959" s="76">
        <f>+AW2959*600000</f>
        <v>0</v>
      </c>
      <c r="AY2959" s="76"/>
      <c r="AZ2959" s="76">
        <f>+AY2959*70000</f>
        <v>0</v>
      </c>
      <c r="BA2959" s="76"/>
      <c r="BB2959" s="76"/>
      <c r="BC2959" s="76"/>
      <c r="BD2959" s="76">
        <f>+BC2959*30000</f>
        <v>0</v>
      </c>
      <c r="BE2959" s="76"/>
      <c r="BF2959" s="76"/>
      <c r="BG2959" s="76"/>
      <c r="BH2959" s="76"/>
      <c r="BI2959" s="76"/>
      <c r="BJ2959" s="76"/>
      <c r="BK2959" s="76"/>
      <c r="BL2959" s="76">
        <f>+BK2959*31500</f>
        <v>0</v>
      </c>
      <c r="BM2959" s="76"/>
      <c r="BN2959" s="76"/>
      <c r="BO2959" s="76"/>
      <c r="BP2959" s="76"/>
      <c r="BQ2959" s="76"/>
      <c r="BR2959" s="76"/>
      <c r="BS2959" s="76"/>
      <c r="BT2959" s="76"/>
      <c r="BU2959" s="76"/>
      <c r="BV2959" s="76"/>
      <c r="BW2959" s="76"/>
      <c r="BX2959" s="76"/>
      <c r="BY2959" s="76"/>
      <c r="BZ2959" s="76"/>
      <c r="CA2959" s="76"/>
      <c r="CB2959" s="76"/>
      <c r="CC2959" s="76"/>
      <c r="CD2959" s="76"/>
      <c r="CE2959" s="76"/>
      <c r="CF2959" s="76">
        <f>+CE2959*28000</f>
        <v>0</v>
      </c>
      <c r="CG2959" s="76"/>
      <c r="CH2959" s="76">
        <f>+CG2959*22500</f>
        <v>0</v>
      </c>
      <c r="CI2959" s="76"/>
      <c r="CJ2959" s="76">
        <f>+CI2959*26000</f>
        <v>0</v>
      </c>
      <c r="CK2959" s="76"/>
      <c r="CL2959" s="76"/>
      <c r="CM2959" s="76"/>
      <c r="CN2959" s="76">
        <f>+CM2959*22000</f>
        <v>0</v>
      </c>
      <c r="CO2959" s="76"/>
      <c r="CP2959" s="76">
        <f>+CO2959*46000</f>
        <v>0</v>
      </c>
      <c r="CQ2959" s="76"/>
      <c r="CR2959" s="76">
        <f>+CQ2959*49000</f>
        <v>0</v>
      </c>
      <c r="CS2959" s="76"/>
      <c r="CT2959" s="76"/>
      <c r="CU2959" s="56">
        <f>AN2959+AP2959+AR2959+AT2959+AV2959+AX2959+AZ2959+BB2959+BD2959+BF2959+BH2959+BJ2959+BL2959+BN2959+BP2959+BR2959+BT2959+BV2959+BX2959+BZ2959+CB2959+CD2959+CF2959+CH2959+CJ2959+CL2959+CN2959+CP2959+CR2959+CT2959</f>
        <v>0</v>
      </c>
      <c r="CV2959" s="76"/>
      <c r="CW2959" s="76">
        <f>+CV2959*1100</f>
        <v>0</v>
      </c>
      <c r="CX2959" s="76"/>
      <c r="CY2959" s="76">
        <f>+CX2959*106250</f>
        <v>0</v>
      </c>
      <c r="CZ2959" s="76"/>
      <c r="DA2959" s="76">
        <f>+CZ2959*34500</f>
        <v>0</v>
      </c>
      <c r="DB2959" s="76"/>
      <c r="DC2959" s="76">
        <f>+DB2959*25000</f>
        <v>0</v>
      </c>
      <c r="DD2959" s="219"/>
      <c r="DE2959" s="219"/>
      <c r="DF2959" s="166"/>
      <c r="DG2959" s="116"/>
      <c r="DH2959" s="117"/>
      <c r="DI2959" s="24"/>
      <c r="DJ2959" s="24"/>
      <c r="DK2959" s="24"/>
      <c r="DL2959" s="24"/>
      <c r="DM2959" s="24"/>
      <c r="DN2959" s="24"/>
      <c r="DO2959" s="24"/>
      <c r="DP2959" s="24"/>
      <c r="DQ2959" s="24"/>
      <c r="DR2959" s="24"/>
      <c r="DS2959" s="24"/>
      <c r="DT2959" s="24"/>
      <c r="DU2959" s="24"/>
    </row>
    <row r="2960" spans="1:125" s="8" customFormat="1" ht="108" x14ac:dyDescent="0.2">
      <c r="A2960" s="77">
        <v>41523</v>
      </c>
      <c r="B2960" s="225" t="s">
        <v>2718</v>
      </c>
      <c r="C2960" s="227" t="s">
        <v>1007</v>
      </c>
      <c r="D2960" s="354" t="s">
        <v>3051</v>
      </c>
      <c r="E2960" s="296" t="str">
        <f>VLOOKUP(B2960&amp;C2960,Divipola!$C$2:$F$1138,4,FALSE)</f>
        <v>23855</v>
      </c>
      <c r="F2960" s="87"/>
      <c r="G2960" s="87"/>
      <c r="H2960" s="87"/>
      <c r="I2960" s="87">
        <v>925</v>
      </c>
      <c r="J2960" s="87">
        <v>185</v>
      </c>
      <c r="K2960" s="87"/>
      <c r="L2960" s="87">
        <v>185</v>
      </c>
      <c r="M2960" s="87"/>
      <c r="N2960" s="87"/>
      <c r="O2960" s="87">
        <v>1</v>
      </c>
      <c r="P2960" s="87"/>
      <c r="Q2960" s="87"/>
      <c r="R2960" s="87"/>
      <c r="S2960" s="87"/>
      <c r="T2960" s="87"/>
      <c r="U2960" s="88"/>
      <c r="V2960" s="89"/>
      <c r="W2960" s="96">
        <v>0</v>
      </c>
      <c r="X2960" s="71">
        <f>CU2960</f>
        <v>0</v>
      </c>
      <c r="Y2960" s="71">
        <f>CY2960</f>
        <v>0</v>
      </c>
      <c r="Z2960" s="71">
        <f>DA2960+DC2960+DE2960</f>
        <v>0</v>
      </c>
      <c r="AA2960" s="71">
        <f>CW2960</f>
        <v>0</v>
      </c>
      <c r="AB2960" s="71"/>
      <c r="AC2960" s="71">
        <v>0</v>
      </c>
      <c r="AD2960" s="71">
        <f>W2960+X2960+Y2960+Z2960+AA2960+AB2960+AC2960</f>
        <v>0</v>
      </c>
      <c r="AE2960" s="72">
        <v>0</v>
      </c>
      <c r="AF2960" s="5"/>
      <c r="AG2960" s="6"/>
      <c r="AH2960" s="27"/>
      <c r="AI2960" s="44"/>
      <c r="AJ2960" s="26"/>
      <c r="AK2960" s="5"/>
      <c r="AL2960" s="82" t="s">
        <v>5866</v>
      </c>
      <c r="AM2960" s="76"/>
      <c r="AN2960" s="76"/>
      <c r="AO2960" s="76"/>
      <c r="AP2960" s="76"/>
      <c r="AQ2960" s="76"/>
      <c r="AR2960" s="76"/>
      <c r="AS2960" s="76"/>
      <c r="AT2960" s="76"/>
      <c r="AU2960" s="76"/>
      <c r="AV2960" s="76"/>
      <c r="AW2960" s="76"/>
      <c r="AX2960" s="76">
        <f>+AW2960*600000</f>
        <v>0</v>
      </c>
      <c r="AY2960" s="76"/>
      <c r="AZ2960" s="76">
        <f>+AY2960*70000</f>
        <v>0</v>
      </c>
      <c r="BA2960" s="76"/>
      <c r="BB2960" s="76"/>
      <c r="BC2960" s="76"/>
      <c r="BD2960" s="76">
        <f>+BC2960*30000</f>
        <v>0</v>
      </c>
      <c r="BE2960" s="76"/>
      <c r="BF2960" s="76"/>
      <c r="BG2960" s="76"/>
      <c r="BH2960" s="76"/>
      <c r="BI2960" s="76"/>
      <c r="BJ2960" s="76"/>
      <c r="BK2960" s="76"/>
      <c r="BL2960" s="76">
        <f>+BK2960*31500</f>
        <v>0</v>
      </c>
      <c r="BM2960" s="76"/>
      <c r="BN2960" s="76"/>
      <c r="BO2960" s="76"/>
      <c r="BP2960" s="76"/>
      <c r="BQ2960" s="76"/>
      <c r="BR2960" s="76"/>
      <c r="BS2960" s="76"/>
      <c r="BT2960" s="76"/>
      <c r="BU2960" s="76"/>
      <c r="BV2960" s="76"/>
      <c r="BW2960" s="76"/>
      <c r="BX2960" s="76"/>
      <c r="BY2960" s="76"/>
      <c r="BZ2960" s="76"/>
      <c r="CA2960" s="76"/>
      <c r="CB2960" s="76"/>
      <c r="CC2960" s="76"/>
      <c r="CD2960" s="76"/>
      <c r="CE2960" s="76"/>
      <c r="CF2960" s="76">
        <f>+CE2960*28000</f>
        <v>0</v>
      </c>
      <c r="CG2960" s="76"/>
      <c r="CH2960" s="76">
        <f>+CG2960*22500</f>
        <v>0</v>
      </c>
      <c r="CI2960" s="76"/>
      <c r="CJ2960" s="76">
        <f>+CI2960*26000</f>
        <v>0</v>
      </c>
      <c r="CK2960" s="76"/>
      <c r="CL2960" s="76"/>
      <c r="CM2960" s="76"/>
      <c r="CN2960" s="76">
        <f>+CM2960*22000</f>
        <v>0</v>
      </c>
      <c r="CO2960" s="76"/>
      <c r="CP2960" s="76">
        <f>+CO2960*46000</f>
        <v>0</v>
      </c>
      <c r="CQ2960" s="76"/>
      <c r="CR2960" s="76">
        <f>+CQ2960*49000</f>
        <v>0</v>
      </c>
      <c r="CS2960" s="76"/>
      <c r="CT2960" s="76"/>
      <c r="CU2960" s="56">
        <f>AN2960+AP2960+AR2960+AT2960+AV2960+AX2960+AZ2960+BB2960+BD2960+BF2960+BH2960+BJ2960+BL2960+BN2960+BP2960+BR2960+BT2960+BV2960+BX2960+BZ2960+CB2960+CD2960+CF2960+CH2960+CJ2960+CL2960+CN2960+CP2960+CR2960+CT2960</f>
        <v>0</v>
      </c>
      <c r="CV2960" s="76"/>
      <c r="CW2960" s="76">
        <f>+CV2960*1100</f>
        <v>0</v>
      </c>
      <c r="CX2960" s="76"/>
      <c r="CY2960" s="76">
        <f>+CX2960*106250</f>
        <v>0</v>
      </c>
      <c r="CZ2960" s="76"/>
      <c r="DA2960" s="76">
        <f>+CZ2960*34500</f>
        <v>0</v>
      </c>
      <c r="DB2960" s="76"/>
      <c r="DC2960" s="76">
        <f>+DB2960*25000</f>
        <v>0</v>
      </c>
      <c r="DD2960" s="219"/>
      <c r="DE2960" s="219"/>
      <c r="DF2960" s="166"/>
      <c r="DG2960" s="116"/>
      <c r="DH2960" s="117"/>
      <c r="DI2960" s="24"/>
      <c r="DJ2960" s="24"/>
      <c r="DK2960" s="24"/>
      <c r="DL2960" s="24"/>
      <c r="DM2960" s="24"/>
      <c r="DN2960" s="24"/>
      <c r="DO2960" s="24"/>
      <c r="DP2960" s="24"/>
      <c r="DQ2960" s="24"/>
      <c r="DR2960" s="24"/>
      <c r="DS2960" s="24"/>
      <c r="DT2960" s="24"/>
      <c r="DU2960" s="24"/>
    </row>
    <row r="2961" spans="1:125" s="8" customFormat="1" ht="84" x14ac:dyDescent="0.2">
      <c r="A2961" s="353">
        <v>41523</v>
      </c>
      <c r="B2961" s="352" t="s">
        <v>2772</v>
      </c>
      <c r="C2961" s="354" t="s">
        <v>1385</v>
      </c>
      <c r="D2961" s="354" t="s">
        <v>2882</v>
      </c>
      <c r="E2961" s="75" t="str">
        <f>VLOOKUP(B2961&amp;C2961,Divipola!$C$2:$F$1138,4,FALSE)</f>
        <v>25658</v>
      </c>
      <c r="F2961" s="87"/>
      <c r="G2961" s="87"/>
      <c r="H2961" s="87"/>
      <c r="I2961" s="87">
        <v>60</v>
      </c>
      <c r="J2961" s="87">
        <v>15</v>
      </c>
      <c r="K2961" s="87"/>
      <c r="L2961" s="87">
        <v>15</v>
      </c>
      <c r="M2961" s="87"/>
      <c r="N2961" s="87"/>
      <c r="O2961" s="87"/>
      <c r="P2961" s="87"/>
      <c r="Q2961" s="87"/>
      <c r="R2961" s="87"/>
      <c r="S2961" s="87"/>
      <c r="T2961" s="87"/>
      <c r="U2961" s="88"/>
      <c r="V2961" s="89"/>
      <c r="W2961" s="96">
        <v>0</v>
      </c>
      <c r="X2961" s="71">
        <f>CU2961</f>
        <v>0</v>
      </c>
      <c r="Y2961" s="71">
        <f>CY2961</f>
        <v>0</v>
      </c>
      <c r="Z2961" s="71">
        <f>DA2961+DC2961+DE2961</f>
        <v>0</v>
      </c>
      <c r="AA2961" s="71">
        <f>CW2961</f>
        <v>0</v>
      </c>
      <c r="AB2961" s="71"/>
      <c r="AC2961" s="71">
        <v>0</v>
      </c>
      <c r="AD2961" s="71">
        <f>W2961+X2961+Y2961+Z2961+AA2961+AB2961+AC2961</f>
        <v>0</v>
      </c>
      <c r="AE2961" s="72">
        <v>0</v>
      </c>
      <c r="AF2961" s="5"/>
      <c r="AG2961" s="6"/>
      <c r="AH2961" s="27"/>
      <c r="AI2961" s="44"/>
      <c r="AJ2961" s="26"/>
      <c r="AK2961" s="5"/>
      <c r="AL2961" s="268" t="s">
        <v>6272</v>
      </c>
      <c r="AM2961" s="76"/>
      <c r="AN2961" s="76"/>
      <c r="AO2961" s="76"/>
      <c r="AP2961" s="76"/>
      <c r="AQ2961" s="76"/>
      <c r="AR2961" s="76"/>
      <c r="AS2961" s="76"/>
      <c r="AT2961" s="76"/>
      <c r="AU2961" s="76"/>
      <c r="AV2961" s="76"/>
      <c r="AW2961" s="76"/>
      <c r="AX2961" s="76">
        <f>+AW2961*600000</f>
        <v>0</v>
      </c>
      <c r="AY2961" s="76"/>
      <c r="AZ2961" s="76">
        <f>+AY2961*70000</f>
        <v>0</v>
      </c>
      <c r="BA2961" s="76"/>
      <c r="BB2961" s="76"/>
      <c r="BC2961" s="76"/>
      <c r="BD2961" s="76">
        <f>+BC2961*30000</f>
        <v>0</v>
      </c>
      <c r="BE2961" s="76"/>
      <c r="BF2961" s="76"/>
      <c r="BG2961" s="76"/>
      <c r="BH2961" s="76"/>
      <c r="BI2961" s="76"/>
      <c r="BJ2961" s="76"/>
      <c r="BK2961" s="76"/>
      <c r="BL2961" s="76">
        <f>+BK2961*31500</f>
        <v>0</v>
      </c>
      <c r="BM2961" s="76"/>
      <c r="BN2961" s="76"/>
      <c r="BO2961" s="76"/>
      <c r="BP2961" s="76"/>
      <c r="BQ2961" s="76"/>
      <c r="BR2961" s="76"/>
      <c r="BS2961" s="76"/>
      <c r="BT2961" s="76"/>
      <c r="BU2961" s="76"/>
      <c r="BV2961" s="76"/>
      <c r="BW2961" s="76"/>
      <c r="BX2961" s="76"/>
      <c r="BY2961" s="76"/>
      <c r="BZ2961" s="76"/>
      <c r="CA2961" s="76"/>
      <c r="CB2961" s="76"/>
      <c r="CC2961" s="76"/>
      <c r="CD2961" s="76"/>
      <c r="CE2961" s="76"/>
      <c r="CF2961" s="76">
        <f>+CE2961*28000</f>
        <v>0</v>
      </c>
      <c r="CG2961" s="76"/>
      <c r="CH2961" s="76">
        <f>+CG2961*22500</f>
        <v>0</v>
      </c>
      <c r="CI2961" s="76"/>
      <c r="CJ2961" s="76">
        <f>+CI2961*26000</f>
        <v>0</v>
      </c>
      <c r="CK2961" s="76"/>
      <c r="CL2961" s="76"/>
      <c r="CM2961" s="76"/>
      <c r="CN2961" s="76">
        <f>+CM2961*22000</f>
        <v>0</v>
      </c>
      <c r="CO2961" s="76"/>
      <c r="CP2961" s="76">
        <f>+CO2961*46000</f>
        <v>0</v>
      </c>
      <c r="CQ2961" s="76"/>
      <c r="CR2961" s="76">
        <f>+CQ2961*49000</f>
        <v>0</v>
      </c>
      <c r="CS2961" s="76"/>
      <c r="CT2961" s="76"/>
      <c r="CU2961" s="56">
        <f>AN2961+AP2961+AR2961+AT2961+AV2961+AX2961+AZ2961+BB2961+BD2961+BF2961+BH2961+BJ2961+BL2961+BN2961+BP2961+BR2961+BT2961+BV2961+BX2961+BZ2961+CB2961+CD2961+CF2961+CH2961+CJ2961+CL2961+CN2961+CP2961+CR2961+CT2961</f>
        <v>0</v>
      </c>
      <c r="CV2961" s="76"/>
      <c r="CW2961" s="76">
        <f>+CV2961*1100</f>
        <v>0</v>
      </c>
      <c r="CX2961" s="76"/>
      <c r="CY2961" s="76">
        <f>+CX2961*106250</f>
        <v>0</v>
      </c>
      <c r="CZ2961" s="76"/>
      <c r="DA2961" s="76">
        <f>+CZ2961*34500</f>
        <v>0</v>
      </c>
      <c r="DB2961" s="76"/>
      <c r="DC2961" s="76">
        <f>+DB2961*25000</f>
        <v>0</v>
      </c>
      <c r="DD2961" s="219"/>
      <c r="DE2961" s="219"/>
      <c r="DF2961" s="166"/>
      <c r="DG2961" s="116"/>
      <c r="DH2961" s="117"/>
      <c r="DI2961" s="24"/>
      <c r="DJ2961" s="24"/>
      <c r="DK2961" s="24"/>
      <c r="DL2961" s="24"/>
      <c r="DM2961" s="24"/>
      <c r="DN2961" s="24"/>
      <c r="DO2961" s="24"/>
      <c r="DP2961" s="24"/>
      <c r="DQ2961" s="24"/>
      <c r="DR2961" s="24"/>
      <c r="DS2961" s="24"/>
      <c r="DT2961" s="24"/>
      <c r="DU2961" s="24"/>
    </row>
    <row r="2962" spans="1:125" s="8" customFormat="1" ht="48" x14ac:dyDescent="0.2">
      <c r="A2962" s="77">
        <v>41523</v>
      </c>
      <c r="B2962" s="352" t="s">
        <v>2661</v>
      </c>
      <c r="C2962" s="354" t="s">
        <v>3</v>
      </c>
      <c r="D2962" s="354" t="s">
        <v>2846</v>
      </c>
      <c r="E2962" s="296" t="str">
        <f>VLOOKUP(B2962&amp;C2962,Divipola!$C$2:$F$1138,4,FALSE)</f>
        <v>41013</v>
      </c>
      <c r="F2962" s="87"/>
      <c r="G2962" s="87"/>
      <c r="H2962" s="87"/>
      <c r="I2962" s="87"/>
      <c r="J2962" s="87"/>
      <c r="K2962" s="87"/>
      <c r="L2962" s="87"/>
      <c r="M2962" s="87"/>
      <c r="N2962" s="87"/>
      <c r="O2962" s="87"/>
      <c r="P2962" s="87"/>
      <c r="Q2962" s="87"/>
      <c r="R2962" s="87"/>
      <c r="S2962" s="87"/>
      <c r="T2962" s="87"/>
      <c r="U2962" s="88">
        <v>25</v>
      </c>
      <c r="V2962" s="89"/>
      <c r="W2962" s="96">
        <v>0</v>
      </c>
      <c r="X2962" s="71">
        <f>CU2962</f>
        <v>0</v>
      </c>
      <c r="Y2962" s="71">
        <f>CY2962</f>
        <v>0</v>
      </c>
      <c r="Z2962" s="71">
        <f>DA2962+DC2962+DE2962</f>
        <v>0</v>
      </c>
      <c r="AA2962" s="71">
        <f>CW2962</f>
        <v>0</v>
      </c>
      <c r="AB2962" s="71"/>
      <c r="AC2962" s="71">
        <v>0</v>
      </c>
      <c r="AD2962" s="71">
        <f>W2962+X2962+Y2962+Z2962+AA2962+AB2962+AC2962</f>
        <v>0</v>
      </c>
      <c r="AE2962" s="72">
        <v>0</v>
      </c>
      <c r="AF2962" s="5"/>
      <c r="AG2962" s="6"/>
      <c r="AH2962" s="27"/>
      <c r="AI2962" s="44"/>
      <c r="AJ2962" s="26"/>
      <c r="AK2962" s="5"/>
      <c r="AL2962" s="274" t="s">
        <v>5839</v>
      </c>
      <c r="AM2962" s="76"/>
      <c r="AN2962" s="76"/>
      <c r="AO2962" s="76"/>
      <c r="AP2962" s="76"/>
      <c r="AQ2962" s="76"/>
      <c r="AR2962" s="76"/>
      <c r="AS2962" s="76"/>
      <c r="AT2962" s="76"/>
      <c r="AU2962" s="76"/>
      <c r="AV2962" s="76"/>
      <c r="AW2962" s="76"/>
      <c r="AX2962" s="76">
        <f>+AW2962*600000</f>
        <v>0</v>
      </c>
      <c r="AY2962" s="76"/>
      <c r="AZ2962" s="76">
        <f>+AY2962*70000</f>
        <v>0</v>
      </c>
      <c r="BA2962" s="76"/>
      <c r="BB2962" s="76"/>
      <c r="BC2962" s="76"/>
      <c r="BD2962" s="76">
        <f>+BC2962*30000</f>
        <v>0</v>
      </c>
      <c r="BE2962" s="76"/>
      <c r="BF2962" s="76"/>
      <c r="BG2962" s="76"/>
      <c r="BH2962" s="76"/>
      <c r="BI2962" s="76"/>
      <c r="BJ2962" s="76"/>
      <c r="BK2962" s="76"/>
      <c r="BL2962" s="76">
        <f>+BK2962*31500</f>
        <v>0</v>
      </c>
      <c r="BM2962" s="76"/>
      <c r="BN2962" s="76"/>
      <c r="BO2962" s="76"/>
      <c r="BP2962" s="76"/>
      <c r="BQ2962" s="76"/>
      <c r="BR2962" s="76"/>
      <c r="BS2962" s="76"/>
      <c r="BT2962" s="76"/>
      <c r="BU2962" s="76"/>
      <c r="BV2962" s="76"/>
      <c r="BW2962" s="76"/>
      <c r="BX2962" s="76"/>
      <c r="BY2962" s="76"/>
      <c r="BZ2962" s="76"/>
      <c r="CA2962" s="76"/>
      <c r="CB2962" s="76"/>
      <c r="CC2962" s="76"/>
      <c r="CD2962" s="76"/>
      <c r="CE2962" s="76"/>
      <c r="CF2962" s="76">
        <f>+CE2962*28000</f>
        <v>0</v>
      </c>
      <c r="CG2962" s="76"/>
      <c r="CH2962" s="76">
        <f>+CG2962*22500</f>
        <v>0</v>
      </c>
      <c r="CI2962" s="76"/>
      <c r="CJ2962" s="76">
        <f>+CI2962*26000</f>
        <v>0</v>
      </c>
      <c r="CK2962" s="76"/>
      <c r="CL2962" s="76"/>
      <c r="CM2962" s="76"/>
      <c r="CN2962" s="76">
        <f>+CM2962*22000</f>
        <v>0</v>
      </c>
      <c r="CO2962" s="76"/>
      <c r="CP2962" s="76">
        <f>+CO2962*46000</f>
        <v>0</v>
      </c>
      <c r="CQ2962" s="76"/>
      <c r="CR2962" s="76">
        <f>+CQ2962*49000</f>
        <v>0</v>
      </c>
      <c r="CS2962" s="76"/>
      <c r="CT2962" s="76"/>
      <c r="CU2962" s="56">
        <f>AN2962+AP2962+AR2962+AT2962+AV2962+AX2962+AZ2962+BB2962+BD2962+BF2962+BH2962+BJ2962+BL2962+BN2962+BP2962+BR2962+BT2962+BV2962+BX2962+BZ2962+CB2962+CD2962+CF2962+CH2962+CJ2962+CL2962+CN2962+CP2962+CR2962+CT2962</f>
        <v>0</v>
      </c>
      <c r="CV2962" s="76"/>
      <c r="CW2962" s="76">
        <f>+CV2962*1100</f>
        <v>0</v>
      </c>
      <c r="CX2962" s="76"/>
      <c r="CY2962" s="76">
        <f>+CX2962*106250</f>
        <v>0</v>
      </c>
      <c r="CZ2962" s="76"/>
      <c r="DA2962" s="76">
        <f>+CZ2962*34500</f>
        <v>0</v>
      </c>
      <c r="DB2962" s="76"/>
      <c r="DC2962" s="76">
        <f>+DB2962*25000</f>
        <v>0</v>
      </c>
      <c r="DD2962" s="219"/>
      <c r="DE2962" s="219"/>
      <c r="DF2962" s="166"/>
      <c r="DG2962" s="116"/>
      <c r="DH2962" s="117"/>
      <c r="DI2962" s="24"/>
      <c r="DJ2962" s="24"/>
      <c r="DK2962" s="24"/>
      <c r="DL2962" s="24"/>
      <c r="DM2962" s="24"/>
      <c r="DN2962" s="24"/>
      <c r="DO2962" s="24"/>
      <c r="DP2962" s="24"/>
      <c r="DQ2962" s="24"/>
      <c r="DR2962" s="24"/>
      <c r="DS2962" s="24"/>
      <c r="DT2962" s="24"/>
      <c r="DU2962" s="24"/>
    </row>
    <row r="2963" spans="1:125" s="8" customFormat="1" ht="24" x14ac:dyDescent="0.2">
      <c r="A2963" s="77">
        <v>41523</v>
      </c>
      <c r="B2963" s="352" t="s">
        <v>2661</v>
      </c>
      <c r="C2963" s="354" t="s">
        <v>2164</v>
      </c>
      <c r="D2963" s="354" t="s">
        <v>2846</v>
      </c>
      <c r="E2963" s="296" t="str">
        <f>VLOOKUP(B2963&amp;C2963,Divipola!$C$2:$F$1138,4,FALSE)</f>
        <v>41799</v>
      </c>
      <c r="F2963" s="87"/>
      <c r="G2963" s="87"/>
      <c r="H2963" s="87"/>
      <c r="I2963" s="87"/>
      <c r="J2963" s="87"/>
      <c r="K2963" s="87"/>
      <c r="L2963" s="87"/>
      <c r="M2963" s="87"/>
      <c r="N2963" s="87"/>
      <c r="O2963" s="87"/>
      <c r="P2963" s="87"/>
      <c r="Q2963" s="87"/>
      <c r="R2963" s="87"/>
      <c r="S2963" s="87"/>
      <c r="T2963" s="87"/>
      <c r="U2963" s="88">
        <v>4</v>
      </c>
      <c r="V2963" s="89"/>
      <c r="W2963" s="96">
        <v>0</v>
      </c>
      <c r="X2963" s="71">
        <f>CU2963</f>
        <v>0</v>
      </c>
      <c r="Y2963" s="71">
        <f>CY2963</f>
        <v>0</v>
      </c>
      <c r="Z2963" s="71">
        <f>DA2963+DC2963+DE2963</f>
        <v>0</v>
      </c>
      <c r="AA2963" s="71">
        <f>CW2963</f>
        <v>0</v>
      </c>
      <c r="AB2963" s="71"/>
      <c r="AC2963" s="71">
        <v>0</v>
      </c>
      <c r="AD2963" s="71">
        <f>W2963+X2963+Y2963+Z2963+AA2963+AB2963+AC2963</f>
        <v>0</v>
      </c>
      <c r="AE2963" s="72">
        <v>0</v>
      </c>
      <c r="AF2963" s="5"/>
      <c r="AG2963" s="6"/>
      <c r="AH2963" s="27"/>
      <c r="AI2963" s="44"/>
      <c r="AJ2963" s="26"/>
      <c r="AK2963" s="5"/>
      <c r="AL2963" s="274" t="s">
        <v>5840</v>
      </c>
      <c r="AM2963" s="76"/>
      <c r="AN2963" s="76"/>
      <c r="AO2963" s="76"/>
      <c r="AP2963" s="76"/>
      <c r="AQ2963" s="76"/>
      <c r="AR2963" s="76"/>
      <c r="AS2963" s="76"/>
      <c r="AT2963" s="76"/>
      <c r="AU2963" s="76"/>
      <c r="AV2963" s="76"/>
      <c r="AW2963" s="76"/>
      <c r="AX2963" s="76">
        <f>+AW2963*600000</f>
        <v>0</v>
      </c>
      <c r="AY2963" s="76"/>
      <c r="AZ2963" s="76">
        <f>+AY2963*70000</f>
        <v>0</v>
      </c>
      <c r="BA2963" s="76"/>
      <c r="BB2963" s="76"/>
      <c r="BC2963" s="76"/>
      <c r="BD2963" s="76">
        <f>+BC2963*30000</f>
        <v>0</v>
      </c>
      <c r="BE2963" s="76"/>
      <c r="BF2963" s="76"/>
      <c r="BG2963" s="76"/>
      <c r="BH2963" s="76"/>
      <c r="BI2963" s="76"/>
      <c r="BJ2963" s="76"/>
      <c r="BK2963" s="76"/>
      <c r="BL2963" s="76">
        <f>+BK2963*31500</f>
        <v>0</v>
      </c>
      <c r="BM2963" s="76"/>
      <c r="BN2963" s="76"/>
      <c r="BO2963" s="76"/>
      <c r="BP2963" s="76"/>
      <c r="BQ2963" s="76"/>
      <c r="BR2963" s="76"/>
      <c r="BS2963" s="76"/>
      <c r="BT2963" s="76"/>
      <c r="BU2963" s="76"/>
      <c r="BV2963" s="76"/>
      <c r="BW2963" s="76"/>
      <c r="BX2963" s="76"/>
      <c r="BY2963" s="76"/>
      <c r="BZ2963" s="76"/>
      <c r="CA2963" s="76"/>
      <c r="CB2963" s="76"/>
      <c r="CC2963" s="76"/>
      <c r="CD2963" s="76"/>
      <c r="CE2963" s="76"/>
      <c r="CF2963" s="76">
        <f>+CE2963*28000</f>
        <v>0</v>
      </c>
      <c r="CG2963" s="76"/>
      <c r="CH2963" s="76">
        <f>+CG2963*22500</f>
        <v>0</v>
      </c>
      <c r="CI2963" s="76"/>
      <c r="CJ2963" s="76">
        <f>+CI2963*26000</f>
        <v>0</v>
      </c>
      <c r="CK2963" s="76"/>
      <c r="CL2963" s="76"/>
      <c r="CM2963" s="76"/>
      <c r="CN2963" s="76">
        <f>+CM2963*22000</f>
        <v>0</v>
      </c>
      <c r="CO2963" s="76"/>
      <c r="CP2963" s="76">
        <f>+CO2963*46000</f>
        <v>0</v>
      </c>
      <c r="CQ2963" s="76"/>
      <c r="CR2963" s="76">
        <f>+CQ2963*49000</f>
        <v>0</v>
      </c>
      <c r="CS2963" s="76"/>
      <c r="CT2963" s="76"/>
      <c r="CU2963" s="56">
        <f>AN2963+AP2963+AR2963+AT2963+AV2963+AX2963+AZ2963+BB2963+BD2963+BF2963+BH2963+BJ2963+BL2963+BN2963+BP2963+BR2963+BT2963+BV2963+BX2963+BZ2963+CB2963+CD2963+CF2963+CH2963+CJ2963+CL2963+CN2963+CP2963+CR2963+CT2963</f>
        <v>0</v>
      </c>
      <c r="CV2963" s="76"/>
      <c r="CW2963" s="76">
        <f>+CV2963*1100</f>
        <v>0</v>
      </c>
      <c r="CX2963" s="76"/>
      <c r="CY2963" s="76">
        <f>+CX2963*106250</f>
        <v>0</v>
      </c>
      <c r="CZ2963" s="76"/>
      <c r="DA2963" s="76">
        <f>+CZ2963*34500</f>
        <v>0</v>
      </c>
      <c r="DB2963" s="76"/>
      <c r="DC2963" s="76">
        <f>+DB2963*25000</f>
        <v>0</v>
      </c>
      <c r="DD2963" s="219"/>
      <c r="DE2963" s="219"/>
      <c r="DF2963" s="166"/>
      <c r="DG2963" s="116"/>
      <c r="DH2963" s="117"/>
      <c r="DI2963" s="24"/>
      <c r="DJ2963" s="24"/>
      <c r="DK2963" s="24"/>
      <c r="DL2963" s="24"/>
      <c r="DM2963" s="24"/>
      <c r="DN2963" s="24"/>
      <c r="DO2963" s="24"/>
      <c r="DP2963" s="24"/>
      <c r="DQ2963" s="24"/>
      <c r="DR2963" s="24"/>
      <c r="DS2963" s="24"/>
      <c r="DT2963" s="24"/>
      <c r="DU2963" s="24"/>
    </row>
    <row r="2964" spans="1:125" s="8" customFormat="1" ht="36" x14ac:dyDescent="0.2">
      <c r="A2964" s="77">
        <v>41523</v>
      </c>
      <c r="B2964" s="352" t="s">
        <v>2774</v>
      </c>
      <c r="C2964" s="354" t="s">
        <v>284</v>
      </c>
      <c r="D2964" s="354" t="s">
        <v>2882</v>
      </c>
      <c r="E2964" s="296" t="str">
        <f>VLOOKUP(B2964&amp;C2964,Divipola!$C$2:$F$1138,4,FALSE)</f>
        <v>66170</v>
      </c>
      <c r="F2964" s="87"/>
      <c r="G2964" s="87"/>
      <c r="H2964" s="87"/>
      <c r="I2964" s="87">
        <v>20</v>
      </c>
      <c r="J2964" s="87">
        <v>4</v>
      </c>
      <c r="K2964" s="87"/>
      <c r="L2964" s="87">
        <v>4</v>
      </c>
      <c r="M2964" s="87"/>
      <c r="N2964" s="87"/>
      <c r="O2964" s="87"/>
      <c r="P2964" s="87"/>
      <c r="Q2964" s="87"/>
      <c r="R2964" s="87"/>
      <c r="S2964" s="87"/>
      <c r="T2964" s="87"/>
      <c r="U2964" s="88"/>
      <c r="V2964" s="89"/>
      <c r="W2964" s="96">
        <v>0</v>
      </c>
      <c r="X2964" s="71">
        <f>CU2964</f>
        <v>0</v>
      </c>
      <c r="Y2964" s="71">
        <f>CY2964</f>
        <v>0</v>
      </c>
      <c r="Z2964" s="71">
        <f>DA2964+DC2964+DE2964</f>
        <v>0</v>
      </c>
      <c r="AA2964" s="71">
        <f>CW2964</f>
        <v>0</v>
      </c>
      <c r="AB2964" s="71"/>
      <c r="AC2964" s="71">
        <v>0</v>
      </c>
      <c r="AD2964" s="71">
        <f>W2964+X2964+Y2964+Z2964+AA2964+AB2964+AC2964</f>
        <v>0</v>
      </c>
      <c r="AE2964" s="72">
        <v>0</v>
      </c>
      <c r="AF2964" s="5"/>
      <c r="AG2964" s="6"/>
      <c r="AH2964" s="27"/>
      <c r="AI2964" s="44"/>
      <c r="AJ2964" s="26"/>
      <c r="AK2964" s="5"/>
      <c r="AL2964" s="274" t="s">
        <v>5838</v>
      </c>
      <c r="AM2964" s="76"/>
      <c r="AN2964" s="76"/>
      <c r="AO2964" s="76"/>
      <c r="AP2964" s="76"/>
      <c r="AQ2964" s="76"/>
      <c r="AR2964" s="76"/>
      <c r="AS2964" s="76"/>
      <c r="AT2964" s="76"/>
      <c r="AU2964" s="76"/>
      <c r="AV2964" s="76"/>
      <c r="AW2964" s="76"/>
      <c r="AX2964" s="76">
        <f>+AW2964*600000</f>
        <v>0</v>
      </c>
      <c r="AY2964" s="76"/>
      <c r="AZ2964" s="76">
        <f>+AY2964*70000</f>
        <v>0</v>
      </c>
      <c r="BA2964" s="76"/>
      <c r="BB2964" s="76"/>
      <c r="BC2964" s="76"/>
      <c r="BD2964" s="76">
        <f>+BC2964*30000</f>
        <v>0</v>
      </c>
      <c r="BE2964" s="76"/>
      <c r="BF2964" s="76"/>
      <c r="BG2964" s="76"/>
      <c r="BH2964" s="76"/>
      <c r="BI2964" s="76"/>
      <c r="BJ2964" s="76"/>
      <c r="BK2964" s="76"/>
      <c r="BL2964" s="76">
        <f>+BK2964*31500</f>
        <v>0</v>
      </c>
      <c r="BM2964" s="76"/>
      <c r="BN2964" s="76"/>
      <c r="BO2964" s="76"/>
      <c r="BP2964" s="76"/>
      <c r="BQ2964" s="76"/>
      <c r="BR2964" s="76"/>
      <c r="BS2964" s="76"/>
      <c r="BT2964" s="76"/>
      <c r="BU2964" s="76"/>
      <c r="BV2964" s="76"/>
      <c r="BW2964" s="76"/>
      <c r="BX2964" s="76"/>
      <c r="BY2964" s="76"/>
      <c r="BZ2964" s="76"/>
      <c r="CA2964" s="76"/>
      <c r="CB2964" s="76"/>
      <c r="CC2964" s="76"/>
      <c r="CD2964" s="76"/>
      <c r="CE2964" s="76"/>
      <c r="CF2964" s="76">
        <f>+CE2964*28000</f>
        <v>0</v>
      </c>
      <c r="CG2964" s="76"/>
      <c r="CH2964" s="76">
        <f>+CG2964*22500</f>
        <v>0</v>
      </c>
      <c r="CI2964" s="76"/>
      <c r="CJ2964" s="76">
        <f>+CI2964*26000</f>
        <v>0</v>
      </c>
      <c r="CK2964" s="76"/>
      <c r="CL2964" s="76"/>
      <c r="CM2964" s="76"/>
      <c r="CN2964" s="76">
        <f>+CM2964*22000</f>
        <v>0</v>
      </c>
      <c r="CO2964" s="76"/>
      <c r="CP2964" s="76">
        <f>+CO2964*46000</f>
        <v>0</v>
      </c>
      <c r="CQ2964" s="76"/>
      <c r="CR2964" s="76">
        <f>+CQ2964*49000</f>
        <v>0</v>
      </c>
      <c r="CS2964" s="76"/>
      <c r="CT2964" s="76"/>
      <c r="CU2964" s="56">
        <f>AN2964+AP2964+AR2964+AT2964+AV2964+AX2964+AZ2964+BB2964+BD2964+BF2964+BH2964+BJ2964+BL2964+BN2964+BP2964+BR2964+BT2964+BV2964+BX2964+BZ2964+CB2964+CD2964+CF2964+CH2964+CJ2964+CL2964+CN2964+CP2964+CR2964+CT2964</f>
        <v>0</v>
      </c>
      <c r="CV2964" s="76"/>
      <c r="CW2964" s="76">
        <f>+CV2964*1100</f>
        <v>0</v>
      </c>
      <c r="CX2964" s="76"/>
      <c r="CY2964" s="76">
        <f>+CX2964*106250</f>
        <v>0</v>
      </c>
      <c r="CZ2964" s="76"/>
      <c r="DA2964" s="76">
        <f>+CZ2964*34500</f>
        <v>0</v>
      </c>
      <c r="DB2964" s="76"/>
      <c r="DC2964" s="76">
        <f>+DB2964*25000</f>
        <v>0</v>
      </c>
      <c r="DD2964" s="219"/>
      <c r="DE2964" s="219"/>
      <c r="DF2964" s="166"/>
      <c r="DG2964" s="116"/>
      <c r="DH2964" s="117"/>
      <c r="DI2964" s="24"/>
      <c r="DJ2964" s="24"/>
      <c r="DK2964" s="24"/>
      <c r="DL2964" s="24"/>
      <c r="DM2964" s="24"/>
      <c r="DN2964" s="24"/>
      <c r="DO2964" s="24"/>
      <c r="DP2964" s="24"/>
      <c r="DQ2964" s="24"/>
      <c r="DR2964" s="24"/>
      <c r="DS2964" s="24"/>
      <c r="DT2964" s="24"/>
      <c r="DU2964" s="24"/>
    </row>
    <row r="2965" spans="1:125" s="8" customFormat="1" ht="120" x14ac:dyDescent="0.2">
      <c r="A2965" s="77">
        <v>41523</v>
      </c>
      <c r="B2965" s="78" t="s">
        <v>2851</v>
      </c>
      <c r="C2965" s="75" t="s">
        <v>2754</v>
      </c>
      <c r="D2965" s="75" t="s">
        <v>3051</v>
      </c>
      <c r="E2965" s="296" t="str">
        <f>VLOOKUP(B2965&amp;C2965,Divipola!$C$2:$F$1138,4,FALSE)</f>
        <v>76109</v>
      </c>
      <c r="F2965" s="87"/>
      <c r="G2965" s="87"/>
      <c r="H2965" s="87"/>
      <c r="I2965" s="87">
        <v>635</v>
      </c>
      <c r="J2965" s="87">
        <v>127</v>
      </c>
      <c r="K2965" s="87"/>
      <c r="L2965" s="87">
        <v>127</v>
      </c>
      <c r="M2965" s="87"/>
      <c r="N2965" s="87"/>
      <c r="O2965" s="87"/>
      <c r="P2965" s="87"/>
      <c r="Q2965" s="87"/>
      <c r="R2965" s="87"/>
      <c r="S2965" s="87"/>
      <c r="T2965" s="87"/>
      <c r="U2965" s="88"/>
      <c r="V2965" s="89"/>
      <c r="W2965" s="96">
        <v>0</v>
      </c>
      <c r="X2965" s="71">
        <f>CU2965</f>
        <v>0</v>
      </c>
      <c r="Y2965" s="71">
        <f>CY2965</f>
        <v>0</v>
      </c>
      <c r="Z2965" s="71">
        <f>DA2965+DC2965+DE2965</f>
        <v>0</v>
      </c>
      <c r="AA2965" s="71">
        <f>CW2965</f>
        <v>0</v>
      </c>
      <c r="AB2965" s="71"/>
      <c r="AC2965" s="71">
        <v>0</v>
      </c>
      <c r="AD2965" s="71">
        <f>W2965+X2965+Y2965+Z2965+AA2965+AB2965+AC2965</f>
        <v>0</v>
      </c>
      <c r="AE2965" s="72">
        <v>0</v>
      </c>
      <c r="AF2965" s="5"/>
      <c r="AG2965" s="6"/>
      <c r="AH2965" s="27"/>
      <c r="AI2965" s="44"/>
      <c r="AJ2965" s="26"/>
      <c r="AK2965" s="5"/>
      <c r="AL2965" s="268" t="s">
        <v>5976</v>
      </c>
      <c r="AM2965" s="76"/>
      <c r="AN2965" s="76"/>
      <c r="AO2965" s="76"/>
      <c r="AP2965" s="76"/>
      <c r="AQ2965" s="76"/>
      <c r="AR2965" s="76"/>
      <c r="AS2965" s="76"/>
      <c r="AT2965" s="76"/>
      <c r="AU2965" s="76"/>
      <c r="AV2965" s="76"/>
      <c r="AW2965" s="76"/>
      <c r="AX2965" s="76">
        <f>+AW2965*600000</f>
        <v>0</v>
      </c>
      <c r="AY2965" s="76"/>
      <c r="AZ2965" s="76">
        <f>+AY2965*70000</f>
        <v>0</v>
      </c>
      <c r="BA2965" s="76"/>
      <c r="BB2965" s="76"/>
      <c r="BC2965" s="76"/>
      <c r="BD2965" s="76">
        <f>+BC2965*30000</f>
        <v>0</v>
      </c>
      <c r="BE2965" s="76"/>
      <c r="BF2965" s="76"/>
      <c r="BG2965" s="76"/>
      <c r="BH2965" s="76"/>
      <c r="BI2965" s="76"/>
      <c r="BJ2965" s="76"/>
      <c r="BK2965" s="76"/>
      <c r="BL2965" s="76">
        <f>+BK2965*31500</f>
        <v>0</v>
      </c>
      <c r="BM2965" s="76"/>
      <c r="BN2965" s="76"/>
      <c r="BO2965" s="76"/>
      <c r="BP2965" s="76"/>
      <c r="BQ2965" s="76"/>
      <c r="BR2965" s="76"/>
      <c r="BS2965" s="76"/>
      <c r="BT2965" s="76"/>
      <c r="BU2965" s="76"/>
      <c r="BV2965" s="76"/>
      <c r="BW2965" s="76"/>
      <c r="BX2965" s="76"/>
      <c r="BY2965" s="76"/>
      <c r="BZ2965" s="76"/>
      <c r="CA2965" s="76"/>
      <c r="CB2965" s="76"/>
      <c r="CC2965" s="76"/>
      <c r="CD2965" s="76"/>
      <c r="CE2965" s="76"/>
      <c r="CF2965" s="76">
        <f>+CE2965*28000</f>
        <v>0</v>
      </c>
      <c r="CG2965" s="76"/>
      <c r="CH2965" s="76">
        <f>+CG2965*22500</f>
        <v>0</v>
      </c>
      <c r="CI2965" s="76"/>
      <c r="CJ2965" s="76">
        <f>+CI2965*26000</f>
        <v>0</v>
      </c>
      <c r="CK2965" s="76"/>
      <c r="CL2965" s="76"/>
      <c r="CM2965" s="76"/>
      <c r="CN2965" s="76">
        <f>+CM2965*22000</f>
        <v>0</v>
      </c>
      <c r="CO2965" s="76"/>
      <c r="CP2965" s="76">
        <f>+CO2965*46000</f>
        <v>0</v>
      </c>
      <c r="CQ2965" s="76"/>
      <c r="CR2965" s="76">
        <f>+CQ2965*49000</f>
        <v>0</v>
      </c>
      <c r="CS2965" s="76"/>
      <c r="CT2965" s="76"/>
      <c r="CU2965" s="56">
        <f>AN2965+AP2965+AR2965+AT2965+AV2965+AX2965+AZ2965+BB2965+BD2965+BF2965+BH2965+BJ2965+BL2965+BN2965+BP2965+BR2965+BT2965+BV2965+BX2965+BZ2965+CB2965+CD2965+CF2965+CH2965+CJ2965+CL2965+CN2965+CP2965+CR2965+CT2965</f>
        <v>0</v>
      </c>
      <c r="CV2965" s="76"/>
      <c r="CW2965" s="76">
        <f>+CV2965*1100</f>
        <v>0</v>
      </c>
      <c r="CX2965" s="76"/>
      <c r="CY2965" s="76">
        <f>+CX2965*106250</f>
        <v>0</v>
      </c>
      <c r="CZ2965" s="76"/>
      <c r="DA2965" s="76">
        <f>+CZ2965*34500</f>
        <v>0</v>
      </c>
      <c r="DB2965" s="76"/>
      <c r="DC2965" s="76">
        <f>+DB2965*25000</f>
        <v>0</v>
      </c>
      <c r="DD2965" s="219"/>
      <c r="DE2965" s="219"/>
      <c r="DF2965" s="166"/>
      <c r="DG2965" s="116"/>
      <c r="DH2965" s="117"/>
      <c r="DI2965" s="24"/>
      <c r="DJ2965" s="24"/>
      <c r="DK2965" s="24"/>
      <c r="DL2965" s="24"/>
      <c r="DM2965" s="24"/>
      <c r="DN2965" s="24"/>
      <c r="DO2965" s="24"/>
      <c r="DP2965" s="24"/>
      <c r="DQ2965" s="24"/>
      <c r="DR2965" s="24"/>
      <c r="DS2965" s="24"/>
      <c r="DT2965" s="24"/>
      <c r="DU2965" s="24"/>
    </row>
    <row r="2966" spans="1:125" s="8" customFormat="1" ht="72" x14ac:dyDescent="0.2">
      <c r="A2966" s="77">
        <v>41523</v>
      </c>
      <c r="B2966" s="78" t="s">
        <v>2718</v>
      </c>
      <c r="C2966" s="75" t="s">
        <v>1001</v>
      </c>
      <c r="D2966" s="75" t="s">
        <v>3051</v>
      </c>
      <c r="E2966" s="75" t="str">
        <f>VLOOKUP(B2966&amp;C2966,Divipola!$C$2:$F$1138,4,FALSE)</f>
        <v>23807</v>
      </c>
      <c r="F2966" s="61"/>
      <c r="G2966" s="61"/>
      <c r="H2966" s="61"/>
      <c r="I2966" s="61">
        <v>6350</v>
      </c>
      <c r="J2966" s="61">
        <v>1270</v>
      </c>
      <c r="K2966" s="61"/>
      <c r="L2966" s="61">
        <v>50</v>
      </c>
      <c r="M2966" s="61"/>
      <c r="N2966" s="61"/>
      <c r="O2966" s="61"/>
      <c r="P2966" s="61"/>
      <c r="Q2966" s="61"/>
      <c r="R2966" s="61"/>
      <c r="S2966" s="61"/>
      <c r="T2966" s="61"/>
      <c r="U2966" s="61"/>
      <c r="V2966" s="7"/>
      <c r="W2966" s="96">
        <v>0</v>
      </c>
      <c r="X2966" s="71">
        <f>CU2966</f>
        <v>0</v>
      </c>
      <c r="Y2966" s="71">
        <f>CY2966</f>
        <v>69062500</v>
      </c>
      <c r="Z2966" s="71">
        <f>DA2966+DC2966+DE2966</f>
        <v>16398920</v>
      </c>
      <c r="AA2966" s="71">
        <f>CW2966</f>
        <v>0</v>
      </c>
      <c r="AB2966" s="71"/>
      <c r="AC2966" s="71">
        <v>0</v>
      </c>
      <c r="AD2966" s="71">
        <f>W2966+X2966+Y2966+Z2966+AA2966+AB2966+AC2966</f>
        <v>85461420</v>
      </c>
      <c r="AE2966" s="72">
        <v>0</v>
      </c>
      <c r="AF2966" s="5"/>
      <c r="AG2966" s="6"/>
      <c r="AH2966" s="27"/>
      <c r="AI2966" s="44"/>
      <c r="AJ2966" s="26"/>
      <c r="AK2966" s="5"/>
      <c r="AL2966" s="9" t="s">
        <v>6404</v>
      </c>
      <c r="AM2966" s="76"/>
      <c r="AN2966" s="76"/>
      <c r="AO2966" s="76"/>
      <c r="AP2966" s="76"/>
      <c r="AQ2966" s="76"/>
      <c r="AR2966" s="76"/>
      <c r="AS2966" s="76"/>
      <c r="AT2966" s="76"/>
      <c r="AU2966" s="76"/>
      <c r="AV2966" s="76"/>
      <c r="AW2966" s="76"/>
      <c r="AX2966" s="76">
        <f>+AW2966*600000</f>
        <v>0</v>
      </c>
      <c r="AY2966" s="76"/>
      <c r="AZ2966" s="76">
        <f>+AY2966*70000</f>
        <v>0</v>
      </c>
      <c r="BA2966" s="76"/>
      <c r="BB2966" s="76"/>
      <c r="BC2966" s="76"/>
      <c r="BD2966" s="76">
        <f>+BC2966*30000</f>
        <v>0</v>
      </c>
      <c r="BE2966" s="76"/>
      <c r="BF2966" s="76"/>
      <c r="BG2966" s="76"/>
      <c r="BH2966" s="76"/>
      <c r="BI2966" s="76"/>
      <c r="BJ2966" s="76"/>
      <c r="BK2966" s="76"/>
      <c r="BL2966" s="76">
        <f>+BK2966*31500</f>
        <v>0</v>
      </c>
      <c r="BM2966" s="76"/>
      <c r="BN2966" s="76"/>
      <c r="BO2966" s="76"/>
      <c r="BP2966" s="76"/>
      <c r="BQ2966" s="76"/>
      <c r="BR2966" s="76"/>
      <c r="BS2966" s="76"/>
      <c r="BT2966" s="76"/>
      <c r="BU2966" s="76"/>
      <c r="BV2966" s="76"/>
      <c r="BW2966" s="76"/>
      <c r="BX2966" s="76"/>
      <c r="BY2966" s="76"/>
      <c r="BZ2966" s="76"/>
      <c r="CA2966" s="76"/>
      <c r="CB2966" s="76"/>
      <c r="CC2966" s="76"/>
      <c r="CD2966" s="76"/>
      <c r="CE2966" s="76"/>
      <c r="CF2966" s="76">
        <f>+CE2966*28000</f>
        <v>0</v>
      </c>
      <c r="CG2966" s="76"/>
      <c r="CH2966" s="76">
        <f>+CG2966*22500</f>
        <v>0</v>
      </c>
      <c r="CI2966" s="76"/>
      <c r="CJ2966" s="76">
        <f>+CI2966*26000</f>
        <v>0</v>
      </c>
      <c r="CK2966" s="76"/>
      <c r="CL2966" s="76"/>
      <c r="CM2966" s="76"/>
      <c r="CN2966" s="76">
        <f>+CM2966*22000</f>
        <v>0</v>
      </c>
      <c r="CO2966" s="76"/>
      <c r="CP2966" s="76">
        <f>+CO2966*46000</f>
        <v>0</v>
      </c>
      <c r="CQ2966" s="76"/>
      <c r="CR2966" s="76">
        <f>+CQ2966*49000</f>
        <v>0</v>
      </c>
      <c r="CS2966" s="76"/>
      <c r="CT2966" s="76"/>
      <c r="CU2966" s="56">
        <f>AN2966+AP2966+AR2966+AT2966+AV2966+AX2966+AZ2966+BB2966+BD2966+BF2966+BH2966+BJ2966+BL2966+BN2966+BP2966+BR2966+BT2966+BV2966+BX2966+BZ2966+CB2966+CD2966+CF2966+CH2966+CJ2966+CL2966+CN2966+CP2966+CR2966+CT2966</f>
        <v>0</v>
      </c>
      <c r="CV2966" s="76"/>
      <c r="CW2966" s="76">
        <f>+CV2966*1100</f>
        <v>0</v>
      </c>
      <c r="CX2966" s="86">
        <v>650</v>
      </c>
      <c r="CY2966" s="86">
        <f>+CX2966*106250</f>
        <v>69062500</v>
      </c>
      <c r="CZ2966" s="76"/>
      <c r="DA2966" s="76">
        <f>+CZ2966*34500</f>
        <v>0</v>
      </c>
      <c r="DB2966" s="86">
        <v>500</v>
      </c>
      <c r="DC2966" s="86">
        <f>+DB2966*31999.76+2000*199.52</f>
        <v>16398920</v>
      </c>
      <c r="DD2966" s="219"/>
      <c r="DE2966" s="219"/>
      <c r="DF2966" s="166"/>
      <c r="DG2966" s="134" t="s">
        <v>6966</v>
      </c>
      <c r="DH2966" s="117"/>
      <c r="DI2966" s="24"/>
      <c r="DJ2966" s="24"/>
      <c r="DK2966" s="24"/>
      <c r="DL2966" s="24"/>
      <c r="DM2966" s="24"/>
      <c r="DN2966" s="24"/>
      <c r="DO2966" s="24"/>
      <c r="DP2966" s="24"/>
      <c r="DQ2966" s="24"/>
      <c r="DR2966" s="24"/>
      <c r="DS2966" s="24"/>
      <c r="DT2966" s="24"/>
      <c r="DU2966" s="24"/>
    </row>
    <row r="2967" spans="1:125" s="8" customFormat="1" ht="48" x14ac:dyDescent="0.2">
      <c r="A2967" s="77">
        <v>41524</v>
      </c>
      <c r="B2967" s="78" t="s">
        <v>2718</v>
      </c>
      <c r="C2967" s="75" t="s">
        <v>2193</v>
      </c>
      <c r="D2967" s="75" t="s">
        <v>3051</v>
      </c>
      <c r="E2967" s="296" t="str">
        <f>VLOOKUP(B2967&amp;C2967,Divipola!$C$2:$F$1138,4,FALSE)</f>
        <v>23350</v>
      </c>
      <c r="F2967" s="87"/>
      <c r="G2967" s="87"/>
      <c r="H2967" s="87"/>
      <c r="I2967" s="87"/>
      <c r="J2967" s="87"/>
      <c r="K2967" s="87"/>
      <c r="L2967" s="87"/>
      <c r="M2967" s="87"/>
      <c r="N2967" s="87"/>
      <c r="O2967" s="87"/>
      <c r="P2967" s="87"/>
      <c r="Q2967" s="87"/>
      <c r="R2967" s="87"/>
      <c r="S2967" s="87"/>
      <c r="T2967" s="87"/>
      <c r="U2967" s="88"/>
      <c r="V2967" s="89"/>
      <c r="W2967" s="96">
        <v>0</v>
      </c>
      <c r="X2967" s="71">
        <f>CU2967</f>
        <v>0</v>
      </c>
      <c r="Y2967" s="71">
        <f>CY2967</f>
        <v>0</v>
      </c>
      <c r="Z2967" s="71">
        <f>DA2967+DC2967+DE2967</f>
        <v>0</v>
      </c>
      <c r="AA2967" s="71">
        <f>CW2967</f>
        <v>0</v>
      </c>
      <c r="AB2967" s="71"/>
      <c r="AC2967" s="71">
        <v>0</v>
      </c>
      <c r="AD2967" s="71">
        <f>W2967+X2967+Y2967+Z2967+AA2967+AB2967+AC2967</f>
        <v>0</v>
      </c>
      <c r="AE2967" s="72">
        <v>0</v>
      </c>
      <c r="AF2967" s="5"/>
      <c r="AG2967" s="6"/>
      <c r="AH2967" s="27"/>
      <c r="AI2967" s="44"/>
      <c r="AJ2967" s="26"/>
      <c r="AK2967" s="5"/>
      <c r="AL2967" s="9" t="s">
        <v>5848</v>
      </c>
      <c r="AM2967" s="76"/>
      <c r="AN2967" s="76"/>
      <c r="AO2967" s="76"/>
      <c r="AP2967" s="76"/>
      <c r="AQ2967" s="76"/>
      <c r="AR2967" s="76"/>
      <c r="AS2967" s="76"/>
      <c r="AT2967" s="76"/>
      <c r="AU2967" s="76"/>
      <c r="AV2967" s="76"/>
      <c r="AW2967" s="76"/>
      <c r="AX2967" s="76">
        <f>+AW2967*600000</f>
        <v>0</v>
      </c>
      <c r="AY2967" s="76"/>
      <c r="AZ2967" s="76">
        <f>+AY2967*70000</f>
        <v>0</v>
      </c>
      <c r="BA2967" s="76"/>
      <c r="BB2967" s="76"/>
      <c r="BC2967" s="76"/>
      <c r="BD2967" s="76">
        <f>+BC2967*30000</f>
        <v>0</v>
      </c>
      <c r="BE2967" s="76"/>
      <c r="BF2967" s="76"/>
      <c r="BG2967" s="76"/>
      <c r="BH2967" s="76"/>
      <c r="BI2967" s="76"/>
      <c r="BJ2967" s="76"/>
      <c r="BK2967" s="76"/>
      <c r="BL2967" s="76">
        <f>+BK2967*31500</f>
        <v>0</v>
      </c>
      <c r="BM2967" s="76"/>
      <c r="BN2967" s="76"/>
      <c r="BO2967" s="76"/>
      <c r="BP2967" s="76"/>
      <c r="BQ2967" s="76"/>
      <c r="BR2967" s="76"/>
      <c r="BS2967" s="76"/>
      <c r="BT2967" s="76"/>
      <c r="BU2967" s="76"/>
      <c r="BV2967" s="76"/>
      <c r="BW2967" s="76"/>
      <c r="BX2967" s="76"/>
      <c r="BY2967" s="76"/>
      <c r="BZ2967" s="76"/>
      <c r="CA2967" s="76"/>
      <c r="CB2967" s="76"/>
      <c r="CC2967" s="76"/>
      <c r="CD2967" s="76"/>
      <c r="CE2967" s="76"/>
      <c r="CF2967" s="76">
        <f>+CE2967*28000</f>
        <v>0</v>
      </c>
      <c r="CG2967" s="76"/>
      <c r="CH2967" s="76">
        <f>+CG2967*22500</f>
        <v>0</v>
      </c>
      <c r="CI2967" s="76"/>
      <c r="CJ2967" s="76">
        <f>+CI2967*26000</f>
        <v>0</v>
      </c>
      <c r="CK2967" s="76"/>
      <c r="CL2967" s="76"/>
      <c r="CM2967" s="76"/>
      <c r="CN2967" s="76">
        <f>+CM2967*22000</f>
        <v>0</v>
      </c>
      <c r="CO2967" s="76"/>
      <c r="CP2967" s="76">
        <f>+CO2967*46000</f>
        <v>0</v>
      </c>
      <c r="CQ2967" s="76"/>
      <c r="CR2967" s="76">
        <f>+CQ2967*49000</f>
        <v>0</v>
      </c>
      <c r="CS2967" s="76"/>
      <c r="CT2967" s="76"/>
      <c r="CU2967" s="56">
        <f>AN2967+AP2967+AR2967+AT2967+AV2967+AX2967+AZ2967+BB2967+BD2967+BF2967+BH2967+BJ2967+BL2967+BN2967+BP2967+BR2967+BT2967+BV2967+BX2967+BZ2967+CB2967+CD2967+CF2967+CH2967+CJ2967+CL2967+CN2967+CP2967+CR2967+CT2967</f>
        <v>0</v>
      </c>
      <c r="CV2967" s="76"/>
      <c r="CW2967" s="76">
        <f>+CV2967*1100</f>
        <v>0</v>
      </c>
      <c r="CX2967" s="76"/>
      <c r="CY2967" s="76">
        <f>+CX2967*106250</f>
        <v>0</v>
      </c>
      <c r="CZ2967" s="76"/>
      <c r="DA2967" s="76">
        <f>+CZ2967*34500</f>
        <v>0</v>
      </c>
      <c r="DB2967" s="76"/>
      <c r="DC2967" s="76">
        <f>+DB2967*25000</f>
        <v>0</v>
      </c>
      <c r="DD2967" s="219"/>
      <c r="DE2967" s="219"/>
      <c r="DF2967" s="166"/>
      <c r="DG2967" s="116"/>
      <c r="DH2967" s="117"/>
      <c r="DI2967" s="24"/>
      <c r="DJ2967" s="24"/>
      <c r="DK2967" s="24"/>
      <c r="DL2967" s="24"/>
      <c r="DM2967" s="24"/>
      <c r="DN2967" s="24"/>
      <c r="DO2967" s="24"/>
      <c r="DP2967" s="24"/>
      <c r="DQ2967" s="24"/>
      <c r="DR2967" s="24"/>
      <c r="DS2967" s="24"/>
      <c r="DT2967" s="24"/>
      <c r="DU2967" s="24"/>
    </row>
    <row r="2968" spans="1:125" s="8" customFormat="1" ht="84" x14ac:dyDescent="0.2">
      <c r="A2968" s="77">
        <v>41524</v>
      </c>
      <c r="B2968" s="208" t="s">
        <v>2772</v>
      </c>
      <c r="C2968" s="354" t="s">
        <v>2826</v>
      </c>
      <c r="D2968" s="354" t="s">
        <v>2846</v>
      </c>
      <c r="E2968" s="296" t="str">
        <f>VLOOKUP(B2968&amp;C2968,Divipola!$C$2:$F$1138,4,FALSE)</f>
        <v>25086</v>
      </c>
      <c r="F2968" s="87"/>
      <c r="G2968" s="87"/>
      <c r="H2968" s="87"/>
      <c r="I2968" s="87"/>
      <c r="J2968" s="87"/>
      <c r="K2968" s="87"/>
      <c r="L2968" s="87"/>
      <c r="M2968" s="87"/>
      <c r="N2968" s="87"/>
      <c r="O2968" s="87"/>
      <c r="P2968" s="87"/>
      <c r="Q2968" s="87"/>
      <c r="R2968" s="87"/>
      <c r="S2968" s="87"/>
      <c r="T2968" s="87"/>
      <c r="U2968" s="88">
        <v>15</v>
      </c>
      <c r="V2968" s="89"/>
      <c r="W2968" s="96">
        <v>0</v>
      </c>
      <c r="X2968" s="71">
        <f>CU2968</f>
        <v>0</v>
      </c>
      <c r="Y2968" s="71">
        <f>CY2968</f>
        <v>0</v>
      </c>
      <c r="Z2968" s="71">
        <f>DA2968+DC2968+DE2968</f>
        <v>0</v>
      </c>
      <c r="AA2968" s="71">
        <f>CW2968</f>
        <v>0</v>
      </c>
      <c r="AB2968" s="71"/>
      <c r="AC2968" s="71">
        <v>0</v>
      </c>
      <c r="AD2968" s="71">
        <f>W2968+X2968+Y2968+Z2968+AA2968+AB2968+AC2968</f>
        <v>0</v>
      </c>
      <c r="AE2968" s="72">
        <v>0</v>
      </c>
      <c r="AF2968" s="5"/>
      <c r="AG2968" s="6"/>
      <c r="AH2968" s="27"/>
      <c r="AI2968" s="44"/>
      <c r="AJ2968" s="26"/>
      <c r="AK2968" s="5"/>
      <c r="AL2968" s="82" t="s">
        <v>5860</v>
      </c>
      <c r="AM2968" s="76"/>
      <c r="AN2968" s="76"/>
      <c r="AO2968" s="76"/>
      <c r="AP2968" s="76"/>
      <c r="AQ2968" s="76"/>
      <c r="AR2968" s="76"/>
      <c r="AS2968" s="76"/>
      <c r="AT2968" s="76"/>
      <c r="AU2968" s="76"/>
      <c r="AV2968" s="76"/>
      <c r="AW2968" s="76"/>
      <c r="AX2968" s="76">
        <f>+AW2968*600000</f>
        <v>0</v>
      </c>
      <c r="AY2968" s="76"/>
      <c r="AZ2968" s="76">
        <f>+AY2968*70000</f>
        <v>0</v>
      </c>
      <c r="BA2968" s="76"/>
      <c r="BB2968" s="76"/>
      <c r="BC2968" s="76"/>
      <c r="BD2968" s="76">
        <f>+BC2968*30000</f>
        <v>0</v>
      </c>
      <c r="BE2968" s="76"/>
      <c r="BF2968" s="76"/>
      <c r="BG2968" s="76"/>
      <c r="BH2968" s="76"/>
      <c r="BI2968" s="76"/>
      <c r="BJ2968" s="76"/>
      <c r="BK2968" s="76"/>
      <c r="BL2968" s="76">
        <f>+BK2968*31500</f>
        <v>0</v>
      </c>
      <c r="BM2968" s="76"/>
      <c r="BN2968" s="76"/>
      <c r="BO2968" s="76"/>
      <c r="BP2968" s="76"/>
      <c r="BQ2968" s="76"/>
      <c r="BR2968" s="76"/>
      <c r="BS2968" s="76"/>
      <c r="BT2968" s="76"/>
      <c r="BU2968" s="76"/>
      <c r="BV2968" s="76"/>
      <c r="BW2968" s="76"/>
      <c r="BX2968" s="76"/>
      <c r="BY2968" s="76"/>
      <c r="BZ2968" s="76"/>
      <c r="CA2968" s="76"/>
      <c r="CB2968" s="76"/>
      <c r="CC2968" s="76"/>
      <c r="CD2968" s="76"/>
      <c r="CE2968" s="76"/>
      <c r="CF2968" s="76">
        <f>+CE2968*28000</f>
        <v>0</v>
      </c>
      <c r="CG2968" s="76"/>
      <c r="CH2968" s="76">
        <f>+CG2968*22500</f>
        <v>0</v>
      </c>
      <c r="CI2968" s="76"/>
      <c r="CJ2968" s="76">
        <f>+CI2968*26000</f>
        <v>0</v>
      </c>
      <c r="CK2968" s="76"/>
      <c r="CL2968" s="76"/>
      <c r="CM2968" s="76"/>
      <c r="CN2968" s="76">
        <f>+CM2968*22000</f>
        <v>0</v>
      </c>
      <c r="CO2968" s="76"/>
      <c r="CP2968" s="76">
        <f>+CO2968*46000</f>
        <v>0</v>
      </c>
      <c r="CQ2968" s="76"/>
      <c r="CR2968" s="76">
        <f>+CQ2968*49000</f>
        <v>0</v>
      </c>
      <c r="CS2968" s="76"/>
      <c r="CT2968" s="76"/>
      <c r="CU2968" s="56">
        <f>AN2968+AP2968+AR2968+AT2968+AV2968+AX2968+AZ2968+BB2968+BD2968+BF2968+BH2968+BJ2968+BL2968+BN2968+BP2968+BR2968+BT2968+BV2968+BX2968+BZ2968+CB2968+CD2968+CF2968+CH2968+CJ2968+CL2968+CN2968+CP2968+CR2968+CT2968</f>
        <v>0</v>
      </c>
      <c r="CV2968" s="76"/>
      <c r="CW2968" s="76">
        <f>+CV2968*1100</f>
        <v>0</v>
      </c>
      <c r="CX2968" s="76"/>
      <c r="CY2968" s="76">
        <f>+CX2968*106250</f>
        <v>0</v>
      </c>
      <c r="CZ2968" s="76"/>
      <c r="DA2968" s="76">
        <f>+CZ2968*34500</f>
        <v>0</v>
      </c>
      <c r="DB2968" s="76"/>
      <c r="DC2968" s="76">
        <f>+DB2968*25000</f>
        <v>0</v>
      </c>
      <c r="DD2968" s="219"/>
      <c r="DE2968" s="219"/>
      <c r="DF2968" s="166"/>
      <c r="DG2968" s="116"/>
      <c r="DH2968" s="117"/>
      <c r="DI2968" s="24"/>
      <c r="DJ2968" s="24"/>
      <c r="DK2968" s="24"/>
      <c r="DL2968" s="24"/>
      <c r="DM2968" s="24"/>
      <c r="DN2968" s="24"/>
      <c r="DO2968" s="24"/>
      <c r="DP2968" s="24"/>
      <c r="DQ2968" s="24"/>
      <c r="DR2968" s="24"/>
      <c r="DS2968" s="24"/>
      <c r="DT2968" s="24"/>
      <c r="DU2968" s="24"/>
    </row>
    <row r="2969" spans="1:125" s="8" customFormat="1" ht="228" x14ac:dyDescent="0.2">
      <c r="A2969" s="77">
        <v>41524</v>
      </c>
      <c r="B2969" s="352" t="s">
        <v>2661</v>
      </c>
      <c r="C2969" s="354" t="s">
        <v>2</v>
      </c>
      <c r="D2969" s="354" t="s">
        <v>2846</v>
      </c>
      <c r="E2969" s="296" t="str">
        <f>VLOOKUP(B2969&amp;C2969,Divipola!$C$2:$F$1138,4,FALSE)</f>
        <v>41524</v>
      </c>
      <c r="F2969" s="87"/>
      <c r="G2969" s="87"/>
      <c r="H2969" s="87"/>
      <c r="I2969" s="87"/>
      <c r="J2969" s="87"/>
      <c r="K2969" s="87"/>
      <c r="L2969" s="87"/>
      <c r="M2969" s="87"/>
      <c r="N2969" s="87"/>
      <c r="O2969" s="87"/>
      <c r="P2969" s="87"/>
      <c r="Q2969" s="87"/>
      <c r="R2969" s="87"/>
      <c r="S2969" s="87"/>
      <c r="T2969" s="87"/>
      <c r="U2969" s="88">
        <v>1500</v>
      </c>
      <c r="V2969" s="89"/>
      <c r="W2969" s="96">
        <v>0</v>
      </c>
      <c r="X2969" s="71">
        <f>CU2969</f>
        <v>0</v>
      </c>
      <c r="Y2969" s="71">
        <f>CY2969</f>
        <v>0</v>
      </c>
      <c r="Z2969" s="71">
        <f>DA2969+DC2969+DE2969</f>
        <v>0</v>
      </c>
      <c r="AA2969" s="71">
        <f>CW2969</f>
        <v>0</v>
      </c>
      <c r="AB2969" s="71"/>
      <c r="AC2969" s="71">
        <v>0</v>
      </c>
      <c r="AD2969" s="71">
        <f>W2969+X2969+Y2969+Z2969+AA2969+AB2969+AC2969</f>
        <v>0</v>
      </c>
      <c r="AE2969" s="72">
        <v>0</v>
      </c>
      <c r="AF2969" s="5"/>
      <c r="AG2969" s="6"/>
      <c r="AH2969" s="27"/>
      <c r="AI2969" s="44"/>
      <c r="AJ2969" s="26"/>
      <c r="AK2969" s="5"/>
      <c r="AL2969" s="82" t="s">
        <v>5854</v>
      </c>
      <c r="AM2969" s="76"/>
      <c r="AN2969" s="76"/>
      <c r="AO2969" s="76"/>
      <c r="AP2969" s="76"/>
      <c r="AQ2969" s="76"/>
      <c r="AR2969" s="76"/>
      <c r="AS2969" s="76"/>
      <c r="AT2969" s="76"/>
      <c r="AU2969" s="76"/>
      <c r="AV2969" s="76"/>
      <c r="AW2969" s="76"/>
      <c r="AX2969" s="76">
        <f>+AW2969*600000</f>
        <v>0</v>
      </c>
      <c r="AY2969" s="76"/>
      <c r="AZ2969" s="76">
        <f>+AY2969*70000</f>
        <v>0</v>
      </c>
      <c r="BA2969" s="76"/>
      <c r="BB2969" s="76"/>
      <c r="BC2969" s="76"/>
      <c r="BD2969" s="76">
        <f>+BC2969*30000</f>
        <v>0</v>
      </c>
      <c r="BE2969" s="76"/>
      <c r="BF2969" s="76"/>
      <c r="BG2969" s="76"/>
      <c r="BH2969" s="76"/>
      <c r="BI2969" s="76"/>
      <c r="BJ2969" s="76"/>
      <c r="BK2969" s="76"/>
      <c r="BL2969" s="76">
        <f>+BK2969*31500</f>
        <v>0</v>
      </c>
      <c r="BM2969" s="76"/>
      <c r="BN2969" s="76"/>
      <c r="BO2969" s="76"/>
      <c r="BP2969" s="76"/>
      <c r="BQ2969" s="76"/>
      <c r="BR2969" s="76"/>
      <c r="BS2969" s="76"/>
      <c r="BT2969" s="76"/>
      <c r="BU2969" s="76"/>
      <c r="BV2969" s="76"/>
      <c r="BW2969" s="76"/>
      <c r="BX2969" s="76"/>
      <c r="BY2969" s="76"/>
      <c r="BZ2969" s="76"/>
      <c r="CA2969" s="76"/>
      <c r="CB2969" s="76"/>
      <c r="CC2969" s="76"/>
      <c r="CD2969" s="76"/>
      <c r="CE2969" s="76"/>
      <c r="CF2969" s="76">
        <f>+CE2969*28000</f>
        <v>0</v>
      </c>
      <c r="CG2969" s="76"/>
      <c r="CH2969" s="76">
        <f>+CG2969*22500</f>
        <v>0</v>
      </c>
      <c r="CI2969" s="76"/>
      <c r="CJ2969" s="76">
        <f>+CI2969*26000</f>
        <v>0</v>
      </c>
      <c r="CK2969" s="76"/>
      <c r="CL2969" s="76"/>
      <c r="CM2969" s="76"/>
      <c r="CN2969" s="76">
        <f>+CM2969*22000</f>
        <v>0</v>
      </c>
      <c r="CO2969" s="76"/>
      <c r="CP2969" s="76">
        <f>+CO2969*46000</f>
        <v>0</v>
      </c>
      <c r="CQ2969" s="76"/>
      <c r="CR2969" s="76">
        <f>+CQ2969*49000</f>
        <v>0</v>
      </c>
      <c r="CS2969" s="76"/>
      <c r="CT2969" s="76"/>
      <c r="CU2969" s="56">
        <f>AN2969+AP2969+AR2969+AT2969+AV2969+AX2969+AZ2969+BB2969+BD2969+BF2969+BH2969+BJ2969+BL2969+BN2969+BP2969+BR2969+BT2969+BV2969+BX2969+BZ2969+CB2969+CD2969+CF2969+CH2969+CJ2969+CL2969+CN2969+CP2969+CR2969+CT2969</f>
        <v>0</v>
      </c>
      <c r="CV2969" s="76"/>
      <c r="CW2969" s="76">
        <f>+CV2969*1100</f>
        <v>0</v>
      </c>
      <c r="CX2969" s="76"/>
      <c r="CY2969" s="76">
        <f>+CX2969*106250</f>
        <v>0</v>
      </c>
      <c r="CZ2969" s="76"/>
      <c r="DA2969" s="76">
        <f>+CZ2969*34500</f>
        <v>0</v>
      </c>
      <c r="DB2969" s="76"/>
      <c r="DC2969" s="76">
        <f>+DB2969*25000</f>
        <v>0</v>
      </c>
      <c r="DD2969" s="219"/>
      <c r="DE2969" s="219"/>
      <c r="DF2969" s="166"/>
      <c r="DG2969" s="116"/>
      <c r="DH2969" s="117"/>
      <c r="DI2969" s="24"/>
      <c r="DJ2969" s="24"/>
      <c r="DK2969" s="24"/>
      <c r="DL2969" s="24"/>
      <c r="DM2969" s="24"/>
      <c r="DN2969" s="24"/>
      <c r="DO2969" s="24"/>
      <c r="DP2969" s="24"/>
      <c r="DQ2969" s="24"/>
      <c r="DR2969" s="24"/>
      <c r="DS2969" s="24"/>
      <c r="DT2969" s="24"/>
      <c r="DU2969" s="24"/>
    </row>
    <row r="2970" spans="1:125" s="8" customFormat="1" ht="36" x14ac:dyDescent="0.2">
      <c r="A2970" s="77">
        <v>41524</v>
      </c>
      <c r="B2970" s="352" t="s">
        <v>2906</v>
      </c>
      <c r="C2970" s="354" t="s">
        <v>1283</v>
      </c>
      <c r="D2970" s="354" t="s">
        <v>3051</v>
      </c>
      <c r="E2970" s="296" t="str">
        <f>VLOOKUP(B2970&amp;C2970,Divipola!$C$2:$F$1138,4,FALSE)</f>
        <v>47980</v>
      </c>
      <c r="F2970" s="87"/>
      <c r="G2970" s="87"/>
      <c r="H2970" s="87"/>
      <c r="I2970" s="87">
        <v>255</v>
      </c>
      <c r="J2970" s="87">
        <v>51</v>
      </c>
      <c r="K2970" s="87"/>
      <c r="L2970" s="87">
        <v>51</v>
      </c>
      <c r="M2970" s="87"/>
      <c r="N2970" s="87"/>
      <c r="O2970" s="87"/>
      <c r="P2970" s="87"/>
      <c r="Q2970" s="87"/>
      <c r="R2970" s="87"/>
      <c r="S2970" s="87"/>
      <c r="T2970" s="87"/>
      <c r="U2970" s="88"/>
      <c r="V2970" s="89"/>
      <c r="W2970" s="96">
        <v>0</v>
      </c>
      <c r="X2970" s="71">
        <f>CU2970</f>
        <v>0</v>
      </c>
      <c r="Y2970" s="71">
        <f>CY2970</f>
        <v>0</v>
      </c>
      <c r="Z2970" s="71">
        <f>DA2970+DC2970+DE2970</f>
        <v>0</v>
      </c>
      <c r="AA2970" s="71">
        <f>CW2970</f>
        <v>0</v>
      </c>
      <c r="AB2970" s="71"/>
      <c r="AC2970" s="71">
        <v>0</v>
      </c>
      <c r="AD2970" s="71">
        <f>W2970+X2970+Y2970+Z2970+AA2970+AB2970+AC2970</f>
        <v>0</v>
      </c>
      <c r="AE2970" s="72">
        <v>0</v>
      </c>
      <c r="AF2970" s="5"/>
      <c r="AG2970" s="6"/>
      <c r="AH2970" s="27"/>
      <c r="AI2970" s="44"/>
      <c r="AJ2970" s="26"/>
      <c r="AK2970" s="5"/>
      <c r="AL2970" s="82" t="s">
        <v>5865</v>
      </c>
      <c r="AM2970" s="76"/>
      <c r="AN2970" s="76"/>
      <c r="AO2970" s="76"/>
      <c r="AP2970" s="76"/>
      <c r="AQ2970" s="76"/>
      <c r="AR2970" s="76"/>
      <c r="AS2970" s="76"/>
      <c r="AT2970" s="76"/>
      <c r="AU2970" s="76"/>
      <c r="AV2970" s="76"/>
      <c r="AW2970" s="76"/>
      <c r="AX2970" s="76">
        <f>+AW2970*600000</f>
        <v>0</v>
      </c>
      <c r="AY2970" s="76"/>
      <c r="AZ2970" s="76">
        <f>+AY2970*70000</f>
        <v>0</v>
      </c>
      <c r="BA2970" s="76"/>
      <c r="BB2970" s="76"/>
      <c r="BC2970" s="76"/>
      <c r="BD2970" s="76">
        <f>+BC2970*30000</f>
        <v>0</v>
      </c>
      <c r="BE2970" s="76"/>
      <c r="BF2970" s="76"/>
      <c r="BG2970" s="76"/>
      <c r="BH2970" s="76"/>
      <c r="BI2970" s="76"/>
      <c r="BJ2970" s="76"/>
      <c r="BK2970" s="76"/>
      <c r="BL2970" s="76">
        <f>+BK2970*31500</f>
        <v>0</v>
      </c>
      <c r="BM2970" s="76"/>
      <c r="BN2970" s="76"/>
      <c r="BO2970" s="76"/>
      <c r="BP2970" s="76"/>
      <c r="BQ2970" s="76"/>
      <c r="BR2970" s="76"/>
      <c r="BS2970" s="76"/>
      <c r="BT2970" s="76"/>
      <c r="BU2970" s="76"/>
      <c r="BV2970" s="76"/>
      <c r="BW2970" s="76"/>
      <c r="BX2970" s="76"/>
      <c r="BY2970" s="76"/>
      <c r="BZ2970" s="76"/>
      <c r="CA2970" s="76"/>
      <c r="CB2970" s="76"/>
      <c r="CC2970" s="76"/>
      <c r="CD2970" s="76"/>
      <c r="CE2970" s="76"/>
      <c r="CF2970" s="76">
        <f>+CE2970*28000</f>
        <v>0</v>
      </c>
      <c r="CG2970" s="76"/>
      <c r="CH2970" s="76">
        <f>+CG2970*22500</f>
        <v>0</v>
      </c>
      <c r="CI2970" s="76"/>
      <c r="CJ2970" s="76">
        <f>+CI2970*26000</f>
        <v>0</v>
      </c>
      <c r="CK2970" s="76"/>
      <c r="CL2970" s="76"/>
      <c r="CM2970" s="76"/>
      <c r="CN2970" s="76">
        <f>+CM2970*22000</f>
        <v>0</v>
      </c>
      <c r="CO2970" s="76"/>
      <c r="CP2970" s="76">
        <f>+CO2970*46000</f>
        <v>0</v>
      </c>
      <c r="CQ2970" s="76"/>
      <c r="CR2970" s="76">
        <f>+CQ2970*49000</f>
        <v>0</v>
      </c>
      <c r="CS2970" s="76"/>
      <c r="CT2970" s="76"/>
      <c r="CU2970" s="56">
        <f>AN2970+AP2970+AR2970+AT2970+AV2970+AX2970+AZ2970+BB2970+BD2970+BF2970+BH2970+BJ2970+BL2970+BN2970+BP2970+BR2970+BT2970+BV2970+BX2970+BZ2970+CB2970+CD2970+CF2970+CH2970+CJ2970+CL2970+CN2970+CP2970+CR2970+CT2970</f>
        <v>0</v>
      </c>
      <c r="CV2970" s="76"/>
      <c r="CW2970" s="76">
        <f>+CV2970*1100</f>
        <v>0</v>
      </c>
      <c r="CX2970" s="76"/>
      <c r="CY2970" s="76">
        <f>+CX2970*106250</f>
        <v>0</v>
      </c>
      <c r="CZ2970" s="76"/>
      <c r="DA2970" s="76">
        <f>+CZ2970*34500</f>
        <v>0</v>
      </c>
      <c r="DB2970" s="76"/>
      <c r="DC2970" s="76">
        <f>+DB2970*25000</f>
        <v>0</v>
      </c>
      <c r="DD2970" s="219"/>
      <c r="DE2970" s="219"/>
      <c r="DF2970" s="166"/>
      <c r="DG2970" s="116"/>
      <c r="DH2970" s="117"/>
      <c r="DI2970" s="24"/>
      <c r="DJ2970" s="24"/>
      <c r="DK2970" s="24"/>
      <c r="DL2970" s="24"/>
      <c r="DM2970" s="24"/>
      <c r="DN2970" s="24"/>
      <c r="DO2970" s="24"/>
      <c r="DP2970" s="24"/>
      <c r="DQ2970" s="24"/>
      <c r="DR2970" s="24"/>
      <c r="DS2970" s="24"/>
      <c r="DT2970" s="24"/>
      <c r="DU2970" s="24"/>
    </row>
    <row r="2971" spans="1:125" s="8" customFormat="1" ht="60" x14ac:dyDescent="0.2">
      <c r="A2971" s="77">
        <v>41524</v>
      </c>
      <c r="B2971" s="352" t="s">
        <v>2811</v>
      </c>
      <c r="C2971" s="354" t="s">
        <v>494</v>
      </c>
      <c r="D2971" s="354" t="s">
        <v>2846</v>
      </c>
      <c r="E2971" s="296" t="str">
        <f>VLOOKUP(B2971&amp;C2971,Divipola!$C$2:$F$1138,4,FALSE)</f>
        <v>52019</v>
      </c>
      <c r="F2971" s="87"/>
      <c r="G2971" s="87"/>
      <c r="H2971" s="87"/>
      <c r="I2971" s="87"/>
      <c r="J2971" s="87"/>
      <c r="K2971" s="87"/>
      <c r="L2971" s="87"/>
      <c r="M2971" s="87"/>
      <c r="N2971" s="87"/>
      <c r="O2971" s="87"/>
      <c r="P2971" s="87"/>
      <c r="Q2971" s="87"/>
      <c r="R2971" s="87"/>
      <c r="S2971" s="87"/>
      <c r="T2971" s="87"/>
      <c r="U2971" s="88">
        <v>2</v>
      </c>
      <c r="V2971" s="89"/>
      <c r="W2971" s="96">
        <v>0</v>
      </c>
      <c r="X2971" s="71">
        <f>CU2971</f>
        <v>0</v>
      </c>
      <c r="Y2971" s="71">
        <f>CY2971</f>
        <v>0</v>
      </c>
      <c r="Z2971" s="71">
        <f>DA2971+DC2971+DE2971</f>
        <v>0</v>
      </c>
      <c r="AA2971" s="71">
        <f>CW2971</f>
        <v>0</v>
      </c>
      <c r="AB2971" s="71"/>
      <c r="AC2971" s="71">
        <v>0</v>
      </c>
      <c r="AD2971" s="71">
        <f>W2971+X2971+Y2971+Z2971+AA2971+AB2971+AC2971</f>
        <v>0</v>
      </c>
      <c r="AE2971" s="72">
        <v>0</v>
      </c>
      <c r="AF2971" s="5"/>
      <c r="AG2971" s="6"/>
      <c r="AH2971" s="27"/>
      <c r="AI2971" s="44"/>
      <c r="AJ2971" s="26"/>
      <c r="AK2971" s="5"/>
      <c r="AL2971" s="82" t="s">
        <v>5851</v>
      </c>
      <c r="AM2971" s="76"/>
      <c r="AN2971" s="76"/>
      <c r="AO2971" s="76"/>
      <c r="AP2971" s="76"/>
      <c r="AQ2971" s="76"/>
      <c r="AR2971" s="76"/>
      <c r="AS2971" s="76"/>
      <c r="AT2971" s="76"/>
      <c r="AU2971" s="76"/>
      <c r="AV2971" s="76"/>
      <c r="AW2971" s="76"/>
      <c r="AX2971" s="76">
        <f>+AW2971*600000</f>
        <v>0</v>
      </c>
      <c r="AY2971" s="76"/>
      <c r="AZ2971" s="76">
        <f>+AY2971*70000</f>
        <v>0</v>
      </c>
      <c r="BA2971" s="76"/>
      <c r="BB2971" s="76"/>
      <c r="BC2971" s="76"/>
      <c r="BD2971" s="76">
        <f>+BC2971*30000</f>
        <v>0</v>
      </c>
      <c r="BE2971" s="76"/>
      <c r="BF2971" s="76"/>
      <c r="BG2971" s="76"/>
      <c r="BH2971" s="76"/>
      <c r="BI2971" s="76"/>
      <c r="BJ2971" s="76"/>
      <c r="BK2971" s="76"/>
      <c r="BL2971" s="76">
        <f>+BK2971*31500</f>
        <v>0</v>
      </c>
      <c r="BM2971" s="76"/>
      <c r="BN2971" s="76"/>
      <c r="BO2971" s="76"/>
      <c r="BP2971" s="76"/>
      <c r="BQ2971" s="76"/>
      <c r="BR2971" s="76"/>
      <c r="BS2971" s="76"/>
      <c r="BT2971" s="76"/>
      <c r="BU2971" s="76"/>
      <c r="BV2971" s="76"/>
      <c r="BW2971" s="76"/>
      <c r="BX2971" s="76"/>
      <c r="BY2971" s="76"/>
      <c r="BZ2971" s="76"/>
      <c r="CA2971" s="76"/>
      <c r="CB2971" s="76"/>
      <c r="CC2971" s="76"/>
      <c r="CD2971" s="76"/>
      <c r="CE2971" s="76"/>
      <c r="CF2971" s="76">
        <f>+CE2971*28000</f>
        <v>0</v>
      </c>
      <c r="CG2971" s="76"/>
      <c r="CH2971" s="76">
        <f>+CG2971*22500</f>
        <v>0</v>
      </c>
      <c r="CI2971" s="76"/>
      <c r="CJ2971" s="76">
        <f>+CI2971*26000</f>
        <v>0</v>
      </c>
      <c r="CK2971" s="76"/>
      <c r="CL2971" s="76"/>
      <c r="CM2971" s="76"/>
      <c r="CN2971" s="76">
        <f>+CM2971*22000</f>
        <v>0</v>
      </c>
      <c r="CO2971" s="76"/>
      <c r="CP2971" s="76">
        <f>+CO2971*46000</f>
        <v>0</v>
      </c>
      <c r="CQ2971" s="76"/>
      <c r="CR2971" s="76">
        <f>+CQ2971*49000</f>
        <v>0</v>
      </c>
      <c r="CS2971" s="76"/>
      <c r="CT2971" s="76"/>
      <c r="CU2971" s="56">
        <f>AN2971+AP2971+AR2971+AT2971+AV2971+AX2971+AZ2971+BB2971+BD2971+BF2971+BH2971+BJ2971+BL2971+BN2971+BP2971+BR2971+BT2971+BV2971+BX2971+BZ2971+CB2971+CD2971+CF2971+CH2971+CJ2971+CL2971+CN2971+CP2971+CR2971+CT2971</f>
        <v>0</v>
      </c>
      <c r="CV2971" s="76"/>
      <c r="CW2971" s="76">
        <f>+CV2971*1100</f>
        <v>0</v>
      </c>
      <c r="CX2971" s="76"/>
      <c r="CY2971" s="76">
        <f>+CX2971*106250</f>
        <v>0</v>
      </c>
      <c r="CZ2971" s="76"/>
      <c r="DA2971" s="76">
        <f>+CZ2971*34500</f>
        <v>0</v>
      </c>
      <c r="DB2971" s="76"/>
      <c r="DC2971" s="76">
        <f>+DB2971*25000</f>
        <v>0</v>
      </c>
      <c r="DD2971" s="219"/>
      <c r="DE2971" s="219"/>
      <c r="DF2971" s="166"/>
      <c r="DG2971" s="116"/>
      <c r="DH2971" s="117"/>
      <c r="DI2971" s="24"/>
      <c r="DJ2971" s="24"/>
      <c r="DK2971" s="24"/>
      <c r="DL2971" s="24"/>
      <c r="DM2971" s="24"/>
      <c r="DN2971" s="24"/>
      <c r="DO2971" s="24"/>
      <c r="DP2971" s="24"/>
      <c r="DQ2971" s="24"/>
      <c r="DR2971" s="24"/>
      <c r="DS2971" s="24"/>
      <c r="DT2971" s="24"/>
      <c r="DU2971" s="24"/>
    </row>
    <row r="2972" spans="1:125" s="8" customFormat="1" ht="60" x14ac:dyDescent="0.2">
      <c r="A2972" s="77">
        <v>41524</v>
      </c>
      <c r="B2972" s="352" t="s">
        <v>2811</v>
      </c>
      <c r="C2972" s="354" t="s">
        <v>2060</v>
      </c>
      <c r="D2972" s="354" t="s">
        <v>2846</v>
      </c>
      <c r="E2972" s="296" t="str">
        <f>VLOOKUP(B2972&amp;C2972,Divipola!$C$2:$F$1138,4,FALSE)</f>
        <v>52051</v>
      </c>
      <c r="F2972" s="87"/>
      <c r="G2972" s="87"/>
      <c r="H2972" s="87"/>
      <c r="I2972" s="87"/>
      <c r="J2972" s="87"/>
      <c r="K2972" s="87"/>
      <c r="L2972" s="87"/>
      <c r="M2972" s="87"/>
      <c r="N2972" s="87"/>
      <c r="O2972" s="87"/>
      <c r="P2972" s="87"/>
      <c r="Q2972" s="87"/>
      <c r="R2972" s="87"/>
      <c r="S2972" s="87"/>
      <c r="T2972" s="87"/>
      <c r="U2972" s="88"/>
      <c r="V2972" s="89"/>
      <c r="W2972" s="96">
        <v>0</v>
      </c>
      <c r="X2972" s="71">
        <f>CU2972</f>
        <v>0</v>
      </c>
      <c r="Y2972" s="71">
        <f>CY2972</f>
        <v>0</v>
      </c>
      <c r="Z2972" s="71">
        <f>DA2972+DC2972+DE2972</f>
        <v>0</v>
      </c>
      <c r="AA2972" s="71">
        <f>CW2972</f>
        <v>0</v>
      </c>
      <c r="AB2972" s="71"/>
      <c r="AC2972" s="71">
        <v>0</v>
      </c>
      <c r="AD2972" s="71">
        <f>W2972+X2972+Y2972+Z2972+AA2972+AB2972+AC2972</f>
        <v>0</v>
      </c>
      <c r="AE2972" s="72">
        <v>0</v>
      </c>
      <c r="AF2972" s="5"/>
      <c r="AG2972" s="6"/>
      <c r="AH2972" s="27"/>
      <c r="AI2972" s="44"/>
      <c r="AJ2972" s="26"/>
      <c r="AK2972" s="5"/>
      <c r="AL2972" s="82" t="s">
        <v>5852</v>
      </c>
      <c r="AM2972" s="76"/>
      <c r="AN2972" s="76"/>
      <c r="AO2972" s="76"/>
      <c r="AP2972" s="76"/>
      <c r="AQ2972" s="76"/>
      <c r="AR2972" s="76"/>
      <c r="AS2972" s="76"/>
      <c r="AT2972" s="76"/>
      <c r="AU2972" s="76"/>
      <c r="AV2972" s="76"/>
      <c r="AW2972" s="76"/>
      <c r="AX2972" s="76">
        <f>+AW2972*600000</f>
        <v>0</v>
      </c>
      <c r="AY2972" s="76"/>
      <c r="AZ2972" s="76">
        <f>+AY2972*70000</f>
        <v>0</v>
      </c>
      <c r="BA2972" s="76"/>
      <c r="BB2972" s="76"/>
      <c r="BC2972" s="76"/>
      <c r="BD2972" s="76">
        <f>+BC2972*30000</f>
        <v>0</v>
      </c>
      <c r="BE2972" s="76"/>
      <c r="BF2972" s="76"/>
      <c r="BG2972" s="76"/>
      <c r="BH2972" s="76"/>
      <c r="BI2972" s="76"/>
      <c r="BJ2972" s="76"/>
      <c r="BK2972" s="76"/>
      <c r="BL2972" s="76">
        <f>+BK2972*31500</f>
        <v>0</v>
      </c>
      <c r="BM2972" s="76"/>
      <c r="BN2972" s="76"/>
      <c r="BO2972" s="76"/>
      <c r="BP2972" s="76"/>
      <c r="BQ2972" s="76"/>
      <c r="BR2972" s="76"/>
      <c r="BS2972" s="76"/>
      <c r="BT2972" s="76"/>
      <c r="BU2972" s="76"/>
      <c r="BV2972" s="76"/>
      <c r="BW2972" s="76"/>
      <c r="BX2972" s="76"/>
      <c r="BY2972" s="76"/>
      <c r="BZ2972" s="76"/>
      <c r="CA2972" s="76"/>
      <c r="CB2972" s="76"/>
      <c r="CC2972" s="76"/>
      <c r="CD2972" s="76"/>
      <c r="CE2972" s="76"/>
      <c r="CF2972" s="76">
        <f>+CE2972*28000</f>
        <v>0</v>
      </c>
      <c r="CG2972" s="76"/>
      <c r="CH2972" s="76">
        <f>+CG2972*22500</f>
        <v>0</v>
      </c>
      <c r="CI2972" s="76"/>
      <c r="CJ2972" s="76">
        <f>+CI2972*26000</f>
        <v>0</v>
      </c>
      <c r="CK2972" s="76"/>
      <c r="CL2972" s="76"/>
      <c r="CM2972" s="76"/>
      <c r="CN2972" s="76">
        <f>+CM2972*22000</f>
        <v>0</v>
      </c>
      <c r="CO2972" s="76"/>
      <c r="CP2972" s="76">
        <f>+CO2972*46000</f>
        <v>0</v>
      </c>
      <c r="CQ2972" s="76"/>
      <c r="CR2972" s="76">
        <f>+CQ2972*49000</f>
        <v>0</v>
      </c>
      <c r="CS2972" s="76"/>
      <c r="CT2972" s="76"/>
      <c r="CU2972" s="56">
        <f>AN2972+AP2972+AR2972+AT2972+AV2972+AX2972+AZ2972+BB2972+BD2972+BF2972+BH2972+BJ2972+BL2972+BN2972+BP2972+BR2972+BT2972+BV2972+BX2972+BZ2972+CB2972+CD2972+CF2972+CH2972+CJ2972+CL2972+CN2972+CP2972+CR2972+CT2972</f>
        <v>0</v>
      </c>
      <c r="CV2972" s="76"/>
      <c r="CW2972" s="76">
        <f>+CV2972*1100</f>
        <v>0</v>
      </c>
      <c r="CX2972" s="76"/>
      <c r="CY2972" s="76">
        <f>+CX2972*106250</f>
        <v>0</v>
      </c>
      <c r="CZ2972" s="76"/>
      <c r="DA2972" s="76">
        <f>+CZ2972*34500</f>
        <v>0</v>
      </c>
      <c r="DB2972" s="76"/>
      <c r="DC2972" s="76">
        <f>+DB2972*25000</f>
        <v>0</v>
      </c>
      <c r="DD2972" s="219"/>
      <c r="DE2972" s="219"/>
      <c r="DF2972" s="166"/>
      <c r="DG2972" s="116"/>
      <c r="DH2972" s="117"/>
      <c r="DI2972" s="24"/>
      <c r="DJ2972" s="24"/>
      <c r="DK2972" s="24"/>
      <c r="DL2972" s="24"/>
      <c r="DM2972" s="24"/>
      <c r="DN2972" s="24"/>
      <c r="DO2972" s="24"/>
      <c r="DP2972" s="24"/>
      <c r="DQ2972" s="24"/>
      <c r="DR2972" s="24"/>
      <c r="DS2972" s="24"/>
      <c r="DT2972" s="24"/>
      <c r="DU2972" s="24"/>
    </row>
    <row r="2973" spans="1:125" s="8" customFormat="1" ht="84" x14ac:dyDescent="0.2">
      <c r="A2973" s="77">
        <v>41524</v>
      </c>
      <c r="B2973" s="352" t="s">
        <v>2851</v>
      </c>
      <c r="C2973" s="354" t="s">
        <v>2113</v>
      </c>
      <c r="D2973" s="354" t="s">
        <v>2846</v>
      </c>
      <c r="E2973" s="296" t="str">
        <f>VLOOKUP(B2973&amp;C2973,Divipola!$C$2:$F$1138,4,FALSE)</f>
        <v>76892</v>
      </c>
      <c r="F2973" s="87"/>
      <c r="G2973" s="87"/>
      <c r="H2973" s="87"/>
      <c r="I2973" s="87"/>
      <c r="J2973" s="87"/>
      <c r="K2973" s="87"/>
      <c r="L2973" s="87"/>
      <c r="M2973" s="87"/>
      <c r="N2973" s="87"/>
      <c r="O2973" s="87"/>
      <c r="P2973" s="87"/>
      <c r="Q2973" s="87"/>
      <c r="R2973" s="87"/>
      <c r="S2973" s="87"/>
      <c r="T2973" s="87"/>
      <c r="U2973" s="88">
        <v>10</v>
      </c>
      <c r="V2973" s="89"/>
      <c r="W2973" s="96">
        <v>0</v>
      </c>
      <c r="X2973" s="71">
        <f>CU2973</f>
        <v>0</v>
      </c>
      <c r="Y2973" s="71">
        <f>CY2973</f>
        <v>0</v>
      </c>
      <c r="Z2973" s="71">
        <f>DA2973+DC2973+DE2973</f>
        <v>0</v>
      </c>
      <c r="AA2973" s="71">
        <f>CW2973</f>
        <v>0</v>
      </c>
      <c r="AB2973" s="71"/>
      <c r="AC2973" s="71">
        <v>0</v>
      </c>
      <c r="AD2973" s="71">
        <f>W2973+X2973+Y2973+Z2973+AA2973+AB2973+AC2973</f>
        <v>0</v>
      </c>
      <c r="AE2973" s="72">
        <v>0</v>
      </c>
      <c r="AF2973" s="5"/>
      <c r="AG2973" s="6"/>
      <c r="AH2973" s="27"/>
      <c r="AI2973" s="44"/>
      <c r="AJ2973" s="26"/>
      <c r="AK2973" s="5"/>
      <c r="AL2973" s="9" t="s">
        <v>5849</v>
      </c>
      <c r="AM2973" s="76"/>
      <c r="AN2973" s="76"/>
      <c r="AO2973" s="76"/>
      <c r="AP2973" s="76"/>
      <c r="AQ2973" s="76"/>
      <c r="AR2973" s="76"/>
      <c r="AS2973" s="76"/>
      <c r="AT2973" s="76"/>
      <c r="AU2973" s="76"/>
      <c r="AV2973" s="76"/>
      <c r="AW2973" s="76"/>
      <c r="AX2973" s="76">
        <f>+AW2973*600000</f>
        <v>0</v>
      </c>
      <c r="AY2973" s="76"/>
      <c r="AZ2973" s="76">
        <f>+AY2973*70000</f>
        <v>0</v>
      </c>
      <c r="BA2973" s="76"/>
      <c r="BB2973" s="76"/>
      <c r="BC2973" s="76"/>
      <c r="BD2973" s="76">
        <f>+BC2973*30000</f>
        <v>0</v>
      </c>
      <c r="BE2973" s="76"/>
      <c r="BF2973" s="76"/>
      <c r="BG2973" s="76"/>
      <c r="BH2973" s="76"/>
      <c r="BI2973" s="76"/>
      <c r="BJ2973" s="76"/>
      <c r="BK2973" s="76"/>
      <c r="BL2973" s="76">
        <f>+BK2973*31500</f>
        <v>0</v>
      </c>
      <c r="BM2973" s="76"/>
      <c r="BN2973" s="76"/>
      <c r="BO2973" s="76"/>
      <c r="BP2973" s="76"/>
      <c r="BQ2973" s="76"/>
      <c r="BR2973" s="76"/>
      <c r="BS2973" s="76"/>
      <c r="BT2973" s="76"/>
      <c r="BU2973" s="76"/>
      <c r="BV2973" s="76"/>
      <c r="BW2973" s="76"/>
      <c r="BX2973" s="76"/>
      <c r="BY2973" s="76"/>
      <c r="BZ2973" s="76"/>
      <c r="CA2973" s="76"/>
      <c r="CB2973" s="76"/>
      <c r="CC2973" s="76"/>
      <c r="CD2973" s="76"/>
      <c r="CE2973" s="76"/>
      <c r="CF2973" s="76">
        <f>+CE2973*28000</f>
        <v>0</v>
      </c>
      <c r="CG2973" s="76"/>
      <c r="CH2973" s="76">
        <f>+CG2973*22500</f>
        <v>0</v>
      </c>
      <c r="CI2973" s="76"/>
      <c r="CJ2973" s="76">
        <f>+CI2973*26000</f>
        <v>0</v>
      </c>
      <c r="CK2973" s="76"/>
      <c r="CL2973" s="76"/>
      <c r="CM2973" s="76"/>
      <c r="CN2973" s="76">
        <f>+CM2973*22000</f>
        <v>0</v>
      </c>
      <c r="CO2973" s="76"/>
      <c r="CP2973" s="76">
        <f>+CO2973*46000</f>
        <v>0</v>
      </c>
      <c r="CQ2973" s="76"/>
      <c r="CR2973" s="76">
        <f>+CQ2973*49000</f>
        <v>0</v>
      </c>
      <c r="CS2973" s="76"/>
      <c r="CT2973" s="76"/>
      <c r="CU2973" s="56">
        <f>AN2973+AP2973+AR2973+AT2973+AV2973+AX2973+AZ2973+BB2973+BD2973+BF2973+BH2973+BJ2973+BL2973+BN2973+BP2973+BR2973+BT2973+BV2973+BX2973+BZ2973+CB2973+CD2973+CF2973+CH2973+CJ2973+CL2973+CN2973+CP2973+CR2973+CT2973</f>
        <v>0</v>
      </c>
      <c r="CV2973" s="76"/>
      <c r="CW2973" s="76">
        <f>+CV2973*1100</f>
        <v>0</v>
      </c>
      <c r="CX2973" s="76"/>
      <c r="CY2973" s="76">
        <f>+CX2973*106250</f>
        <v>0</v>
      </c>
      <c r="CZ2973" s="76"/>
      <c r="DA2973" s="76">
        <f>+CZ2973*34500</f>
        <v>0</v>
      </c>
      <c r="DB2973" s="76"/>
      <c r="DC2973" s="76">
        <f>+DB2973*25000</f>
        <v>0</v>
      </c>
      <c r="DD2973" s="219"/>
      <c r="DE2973" s="219"/>
      <c r="DF2973" s="166"/>
      <c r="DG2973" s="116"/>
      <c r="DH2973" s="117"/>
      <c r="DI2973" s="24"/>
      <c r="DJ2973" s="24"/>
      <c r="DK2973" s="24"/>
      <c r="DL2973" s="24"/>
      <c r="DM2973" s="24"/>
      <c r="DN2973" s="24"/>
      <c r="DO2973" s="24"/>
      <c r="DP2973" s="24"/>
      <c r="DQ2973" s="24"/>
      <c r="DR2973" s="24"/>
      <c r="DS2973" s="24"/>
      <c r="DT2973" s="24"/>
      <c r="DU2973" s="24"/>
    </row>
    <row r="2974" spans="1:125" s="8" customFormat="1" ht="60" x14ac:dyDescent="0.2">
      <c r="A2974" s="77">
        <v>41525</v>
      </c>
      <c r="B2974" s="352" t="s">
        <v>2881</v>
      </c>
      <c r="C2974" s="354" t="s">
        <v>2767</v>
      </c>
      <c r="D2974" s="354" t="s">
        <v>3017</v>
      </c>
      <c r="E2974" s="296" t="str">
        <f>VLOOKUP(B2974&amp;C2974,Divipola!$C$2:$F$1138,4,FALSE)</f>
        <v>08001</v>
      </c>
      <c r="F2974" s="87"/>
      <c r="G2974" s="87"/>
      <c r="H2974" s="87"/>
      <c r="I2974" s="87">
        <v>5</v>
      </c>
      <c r="J2974" s="87">
        <v>1</v>
      </c>
      <c r="K2974" s="87"/>
      <c r="L2974" s="87">
        <v>1</v>
      </c>
      <c r="M2974" s="87"/>
      <c r="N2974" s="87"/>
      <c r="O2974" s="87"/>
      <c r="P2974" s="87"/>
      <c r="Q2974" s="87"/>
      <c r="R2974" s="87"/>
      <c r="S2974" s="87"/>
      <c r="T2974" s="87">
        <v>1</v>
      </c>
      <c r="U2974" s="88"/>
      <c r="V2974" s="89"/>
      <c r="W2974" s="96">
        <v>0</v>
      </c>
      <c r="X2974" s="71">
        <f>CU2974</f>
        <v>0</v>
      </c>
      <c r="Y2974" s="71">
        <f>CY2974</f>
        <v>0</v>
      </c>
      <c r="Z2974" s="71">
        <f>DA2974+DC2974+DE2974</f>
        <v>0</v>
      </c>
      <c r="AA2974" s="71">
        <f>CW2974</f>
        <v>0</v>
      </c>
      <c r="AB2974" s="71"/>
      <c r="AC2974" s="71">
        <v>0</v>
      </c>
      <c r="AD2974" s="71">
        <f>W2974+X2974+Y2974+Z2974+AA2974+AB2974+AC2974</f>
        <v>0</v>
      </c>
      <c r="AE2974" s="72">
        <v>0</v>
      </c>
      <c r="AF2974" s="5"/>
      <c r="AG2974" s="6"/>
      <c r="AH2974" s="27"/>
      <c r="AI2974" s="44"/>
      <c r="AJ2974" s="26"/>
      <c r="AK2974" s="5"/>
      <c r="AL2974" s="82" t="s">
        <v>5853</v>
      </c>
      <c r="AM2974" s="76"/>
      <c r="AN2974" s="76"/>
      <c r="AO2974" s="76"/>
      <c r="AP2974" s="76"/>
      <c r="AQ2974" s="76"/>
      <c r="AR2974" s="76"/>
      <c r="AS2974" s="76"/>
      <c r="AT2974" s="76"/>
      <c r="AU2974" s="76"/>
      <c r="AV2974" s="76"/>
      <c r="AW2974" s="76"/>
      <c r="AX2974" s="76">
        <f>+AW2974*600000</f>
        <v>0</v>
      </c>
      <c r="AY2974" s="76"/>
      <c r="AZ2974" s="76">
        <f>+AY2974*70000</f>
        <v>0</v>
      </c>
      <c r="BA2974" s="76"/>
      <c r="BB2974" s="76"/>
      <c r="BC2974" s="76"/>
      <c r="BD2974" s="76">
        <f>+BC2974*30000</f>
        <v>0</v>
      </c>
      <c r="BE2974" s="76"/>
      <c r="BF2974" s="76"/>
      <c r="BG2974" s="76"/>
      <c r="BH2974" s="76"/>
      <c r="BI2974" s="76"/>
      <c r="BJ2974" s="76"/>
      <c r="BK2974" s="76"/>
      <c r="BL2974" s="76">
        <f>+BK2974*31500</f>
        <v>0</v>
      </c>
      <c r="BM2974" s="76"/>
      <c r="BN2974" s="76"/>
      <c r="BO2974" s="76"/>
      <c r="BP2974" s="76"/>
      <c r="BQ2974" s="76"/>
      <c r="BR2974" s="76"/>
      <c r="BS2974" s="76"/>
      <c r="BT2974" s="76"/>
      <c r="BU2974" s="76"/>
      <c r="BV2974" s="76"/>
      <c r="BW2974" s="76"/>
      <c r="BX2974" s="76"/>
      <c r="BY2974" s="76"/>
      <c r="BZ2974" s="76"/>
      <c r="CA2974" s="76"/>
      <c r="CB2974" s="76"/>
      <c r="CC2974" s="76"/>
      <c r="CD2974" s="76"/>
      <c r="CE2974" s="76"/>
      <c r="CF2974" s="76">
        <f>+CE2974*28000</f>
        <v>0</v>
      </c>
      <c r="CG2974" s="76"/>
      <c r="CH2974" s="76">
        <f>+CG2974*22500</f>
        <v>0</v>
      </c>
      <c r="CI2974" s="76"/>
      <c r="CJ2974" s="76">
        <f>+CI2974*26000</f>
        <v>0</v>
      </c>
      <c r="CK2974" s="76"/>
      <c r="CL2974" s="76"/>
      <c r="CM2974" s="76"/>
      <c r="CN2974" s="76">
        <f>+CM2974*22000</f>
        <v>0</v>
      </c>
      <c r="CO2974" s="76"/>
      <c r="CP2974" s="76">
        <f>+CO2974*46000</f>
        <v>0</v>
      </c>
      <c r="CQ2974" s="76"/>
      <c r="CR2974" s="76">
        <f>+CQ2974*49000</f>
        <v>0</v>
      </c>
      <c r="CS2974" s="76"/>
      <c r="CT2974" s="76"/>
      <c r="CU2974" s="56">
        <f>AN2974+AP2974+AR2974+AT2974+AV2974+AX2974+AZ2974+BB2974+BD2974+BF2974+BH2974+BJ2974+BL2974+BN2974+BP2974+BR2974+BT2974+BV2974+BX2974+BZ2974+CB2974+CD2974+CF2974+CH2974+CJ2974+CL2974+CN2974+CP2974+CR2974+CT2974</f>
        <v>0</v>
      </c>
      <c r="CV2974" s="76"/>
      <c r="CW2974" s="76">
        <f>+CV2974*1100</f>
        <v>0</v>
      </c>
      <c r="CX2974" s="76"/>
      <c r="CY2974" s="76">
        <f>+CX2974*106250</f>
        <v>0</v>
      </c>
      <c r="CZ2974" s="76"/>
      <c r="DA2974" s="76">
        <f>+CZ2974*34500</f>
        <v>0</v>
      </c>
      <c r="DB2974" s="76"/>
      <c r="DC2974" s="76">
        <f>+DB2974*25000</f>
        <v>0</v>
      </c>
      <c r="DD2974" s="219"/>
      <c r="DE2974" s="219"/>
      <c r="DF2974" s="166"/>
      <c r="DG2974" s="116"/>
      <c r="DH2974" s="117"/>
      <c r="DI2974" s="24"/>
      <c r="DJ2974" s="24"/>
      <c r="DK2974" s="24"/>
      <c r="DL2974" s="24"/>
      <c r="DM2974" s="24"/>
      <c r="DN2974" s="24"/>
      <c r="DO2974" s="24"/>
      <c r="DP2974" s="24"/>
      <c r="DQ2974" s="24"/>
      <c r="DR2974" s="24"/>
      <c r="DS2974" s="24"/>
      <c r="DT2974" s="24"/>
      <c r="DU2974" s="24"/>
    </row>
    <row r="2975" spans="1:125" s="8" customFormat="1" ht="84" x14ac:dyDescent="0.2">
      <c r="A2975" s="353">
        <v>41525</v>
      </c>
      <c r="B2975" s="352" t="s">
        <v>2777</v>
      </c>
      <c r="C2975" s="354" t="s">
        <v>2742</v>
      </c>
      <c r="D2975" s="354" t="s">
        <v>2882</v>
      </c>
      <c r="E2975" s="296" t="str">
        <f>VLOOKUP(B2975&amp;C2975,Divipola!$C$2:$F$1138,4,FALSE)</f>
        <v>13268</v>
      </c>
      <c r="F2975" s="87"/>
      <c r="G2975" s="87"/>
      <c r="H2975" s="87"/>
      <c r="I2975" s="87">
        <v>30</v>
      </c>
      <c r="J2975" s="87">
        <v>6</v>
      </c>
      <c r="K2975" s="87">
        <v>2</v>
      </c>
      <c r="L2975" s="87">
        <v>4</v>
      </c>
      <c r="M2975" s="87"/>
      <c r="N2975" s="87"/>
      <c r="O2975" s="87"/>
      <c r="P2975" s="87"/>
      <c r="Q2975" s="87"/>
      <c r="R2975" s="87"/>
      <c r="S2975" s="87">
        <v>2</v>
      </c>
      <c r="T2975" s="87"/>
      <c r="U2975" s="88">
        <v>10</v>
      </c>
      <c r="V2975" s="89"/>
      <c r="W2975" s="96">
        <v>0</v>
      </c>
      <c r="X2975" s="71">
        <f>CU2975</f>
        <v>0</v>
      </c>
      <c r="Y2975" s="71">
        <f>CY2975</f>
        <v>0</v>
      </c>
      <c r="Z2975" s="71">
        <f>DA2975+DC2975+DE2975</f>
        <v>0</v>
      </c>
      <c r="AA2975" s="71">
        <f>CW2975</f>
        <v>0</v>
      </c>
      <c r="AB2975" s="71"/>
      <c r="AC2975" s="71">
        <v>0</v>
      </c>
      <c r="AD2975" s="71">
        <f>W2975+X2975+Y2975+Z2975+AA2975+AB2975+AC2975</f>
        <v>0</v>
      </c>
      <c r="AE2975" s="72">
        <v>0</v>
      </c>
      <c r="AF2975" s="5"/>
      <c r="AG2975" s="6"/>
      <c r="AH2975" s="27" t="s">
        <v>3390</v>
      </c>
      <c r="AI2975" s="44" t="s">
        <v>3393</v>
      </c>
      <c r="AJ2975" s="26"/>
      <c r="AK2975" s="5" t="s">
        <v>4242</v>
      </c>
      <c r="AL2975" s="274" t="s">
        <v>5915</v>
      </c>
      <c r="AM2975" s="76"/>
      <c r="AN2975" s="76"/>
      <c r="AO2975" s="76"/>
      <c r="AP2975" s="76"/>
      <c r="AQ2975" s="76"/>
      <c r="AR2975" s="76"/>
      <c r="AS2975" s="76"/>
      <c r="AT2975" s="76"/>
      <c r="AU2975" s="76"/>
      <c r="AV2975" s="76"/>
      <c r="AW2975" s="76"/>
      <c r="AX2975" s="76">
        <f>+AW2975*600000</f>
        <v>0</v>
      </c>
      <c r="AY2975" s="76"/>
      <c r="AZ2975" s="76">
        <f>+AY2975*70000</f>
        <v>0</v>
      </c>
      <c r="BA2975" s="76"/>
      <c r="BB2975" s="76"/>
      <c r="BC2975" s="76"/>
      <c r="BD2975" s="76">
        <f>+BC2975*30000</f>
        <v>0</v>
      </c>
      <c r="BE2975" s="76"/>
      <c r="BF2975" s="76"/>
      <c r="BG2975" s="76"/>
      <c r="BH2975" s="76"/>
      <c r="BI2975" s="76"/>
      <c r="BJ2975" s="76"/>
      <c r="BK2975" s="76"/>
      <c r="BL2975" s="76">
        <f>+BK2975*31500</f>
        <v>0</v>
      </c>
      <c r="BM2975" s="76"/>
      <c r="BN2975" s="76"/>
      <c r="BO2975" s="76"/>
      <c r="BP2975" s="76"/>
      <c r="BQ2975" s="76"/>
      <c r="BR2975" s="76"/>
      <c r="BS2975" s="76"/>
      <c r="BT2975" s="76"/>
      <c r="BU2975" s="76"/>
      <c r="BV2975" s="76"/>
      <c r="BW2975" s="76"/>
      <c r="BX2975" s="76"/>
      <c r="BY2975" s="76"/>
      <c r="BZ2975" s="76"/>
      <c r="CA2975" s="76"/>
      <c r="CB2975" s="76"/>
      <c r="CC2975" s="76"/>
      <c r="CD2975" s="76"/>
      <c r="CE2975" s="76"/>
      <c r="CF2975" s="76">
        <f>+CE2975*28000</f>
        <v>0</v>
      </c>
      <c r="CG2975" s="76"/>
      <c r="CH2975" s="76">
        <f>+CG2975*22500</f>
        <v>0</v>
      </c>
      <c r="CI2975" s="76"/>
      <c r="CJ2975" s="76">
        <f>+CI2975*26000</f>
        <v>0</v>
      </c>
      <c r="CK2975" s="76"/>
      <c r="CL2975" s="76"/>
      <c r="CM2975" s="76"/>
      <c r="CN2975" s="76">
        <f>+CM2975*22000</f>
        <v>0</v>
      </c>
      <c r="CO2975" s="76"/>
      <c r="CP2975" s="76">
        <f>+CO2975*46000</f>
        <v>0</v>
      </c>
      <c r="CQ2975" s="76"/>
      <c r="CR2975" s="76">
        <f>+CQ2975*49000</f>
        <v>0</v>
      </c>
      <c r="CS2975" s="76"/>
      <c r="CT2975" s="76"/>
      <c r="CU2975" s="56">
        <f>AN2975+AP2975+AR2975+AT2975+AV2975+AX2975+AZ2975+BB2975+BD2975+BF2975+BH2975+BJ2975+BL2975+BN2975+BP2975+BR2975+BT2975+BV2975+BX2975+BZ2975+CB2975+CD2975+CF2975+CH2975+CJ2975+CL2975+CN2975+CP2975+CR2975+CT2975</f>
        <v>0</v>
      </c>
      <c r="CV2975" s="76"/>
      <c r="CW2975" s="76">
        <f>+CV2975*1100</f>
        <v>0</v>
      </c>
      <c r="CX2975" s="76"/>
      <c r="CY2975" s="76">
        <f>+CX2975*106250</f>
        <v>0</v>
      </c>
      <c r="CZ2975" s="76"/>
      <c r="DA2975" s="76">
        <f>+CZ2975*34500</f>
        <v>0</v>
      </c>
      <c r="DB2975" s="76"/>
      <c r="DC2975" s="76">
        <f>+DB2975*25000</f>
        <v>0</v>
      </c>
      <c r="DD2975" s="219"/>
      <c r="DE2975" s="219"/>
      <c r="DF2975" s="166"/>
      <c r="DG2975" s="116"/>
      <c r="DH2975" s="117"/>
      <c r="DI2975" s="24"/>
      <c r="DJ2975" s="24"/>
      <c r="DK2975" s="24"/>
      <c r="DL2975" s="24"/>
      <c r="DM2975" s="24"/>
      <c r="DN2975" s="24"/>
      <c r="DO2975" s="24"/>
      <c r="DP2975" s="24"/>
      <c r="DQ2975" s="24"/>
      <c r="DR2975" s="24"/>
      <c r="DS2975" s="24"/>
      <c r="DT2975" s="24"/>
      <c r="DU2975" s="24"/>
    </row>
    <row r="2976" spans="1:125" s="8" customFormat="1" ht="72" x14ac:dyDescent="0.2">
      <c r="A2976" s="77">
        <v>41525</v>
      </c>
      <c r="B2976" s="208" t="s">
        <v>2772</v>
      </c>
      <c r="C2976" s="354" t="s">
        <v>2155</v>
      </c>
      <c r="D2976" s="354" t="s">
        <v>2846</v>
      </c>
      <c r="E2976" s="296" t="str">
        <f>VLOOKUP(B2976&amp;C2976,Divipola!$C$2:$F$1138,4,FALSE)</f>
        <v>25875</v>
      </c>
      <c r="F2976" s="87"/>
      <c r="G2976" s="87"/>
      <c r="H2976" s="87"/>
      <c r="I2976" s="87"/>
      <c r="J2976" s="87"/>
      <c r="K2976" s="87"/>
      <c r="L2976" s="87"/>
      <c r="M2976" s="87"/>
      <c r="N2976" s="87"/>
      <c r="O2976" s="87"/>
      <c r="P2976" s="87"/>
      <c r="Q2976" s="87"/>
      <c r="R2976" s="87"/>
      <c r="S2976" s="87"/>
      <c r="T2976" s="87"/>
      <c r="U2976" s="88">
        <v>50</v>
      </c>
      <c r="V2976" s="89"/>
      <c r="W2976" s="96">
        <v>0</v>
      </c>
      <c r="X2976" s="71">
        <f>CU2976</f>
        <v>0</v>
      </c>
      <c r="Y2976" s="71">
        <f>CY2976</f>
        <v>0</v>
      </c>
      <c r="Z2976" s="71">
        <f>DA2976+DC2976+DE2976</f>
        <v>0</v>
      </c>
      <c r="AA2976" s="71">
        <f>CW2976</f>
        <v>0</v>
      </c>
      <c r="AB2976" s="71"/>
      <c r="AC2976" s="71">
        <v>0</v>
      </c>
      <c r="AD2976" s="71">
        <f>W2976+X2976+Y2976+Z2976+AA2976+AB2976+AC2976</f>
        <v>0</v>
      </c>
      <c r="AE2976" s="72">
        <v>0</v>
      </c>
      <c r="AF2976" s="5"/>
      <c r="AG2976" s="6"/>
      <c r="AH2976" s="27"/>
      <c r="AI2976" s="44"/>
      <c r="AJ2976" s="26"/>
      <c r="AK2976" s="5"/>
      <c r="AL2976" s="82" t="s">
        <v>5859</v>
      </c>
      <c r="AM2976" s="76"/>
      <c r="AN2976" s="76"/>
      <c r="AO2976" s="76"/>
      <c r="AP2976" s="76"/>
      <c r="AQ2976" s="76"/>
      <c r="AR2976" s="76"/>
      <c r="AS2976" s="76"/>
      <c r="AT2976" s="76"/>
      <c r="AU2976" s="76"/>
      <c r="AV2976" s="76"/>
      <c r="AW2976" s="76"/>
      <c r="AX2976" s="76">
        <f>+AW2976*600000</f>
        <v>0</v>
      </c>
      <c r="AY2976" s="76"/>
      <c r="AZ2976" s="76">
        <f>+AY2976*70000</f>
        <v>0</v>
      </c>
      <c r="BA2976" s="76"/>
      <c r="BB2976" s="76"/>
      <c r="BC2976" s="76"/>
      <c r="BD2976" s="76">
        <f>+BC2976*30000</f>
        <v>0</v>
      </c>
      <c r="BE2976" s="76"/>
      <c r="BF2976" s="76"/>
      <c r="BG2976" s="76"/>
      <c r="BH2976" s="76"/>
      <c r="BI2976" s="76"/>
      <c r="BJ2976" s="76"/>
      <c r="BK2976" s="76"/>
      <c r="BL2976" s="76">
        <f>+BK2976*31500</f>
        <v>0</v>
      </c>
      <c r="BM2976" s="76"/>
      <c r="BN2976" s="76"/>
      <c r="BO2976" s="76"/>
      <c r="BP2976" s="76"/>
      <c r="BQ2976" s="76"/>
      <c r="BR2976" s="76"/>
      <c r="BS2976" s="76"/>
      <c r="BT2976" s="76"/>
      <c r="BU2976" s="76"/>
      <c r="BV2976" s="76"/>
      <c r="BW2976" s="76"/>
      <c r="BX2976" s="76"/>
      <c r="BY2976" s="76"/>
      <c r="BZ2976" s="76"/>
      <c r="CA2976" s="76"/>
      <c r="CB2976" s="76"/>
      <c r="CC2976" s="76"/>
      <c r="CD2976" s="76"/>
      <c r="CE2976" s="76"/>
      <c r="CF2976" s="76">
        <f>+CE2976*28000</f>
        <v>0</v>
      </c>
      <c r="CG2976" s="76"/>
      <c r="CH2976" s="76">
        <f>+CG2976*22500</f>
        <v>0</v>
      </c>
      <c r="CI2976" s="76"/>
      <c r="CJ2976" s="76">
        <f>+CI2976*26000</f>
        <v>0</v>
      </c>
      <c r="CK2976" s="76"/>
      <c r="CL2976" s="76"/>
      <c r="CM2976" s="76"/>
      <c r="CN2976" s="76">
        <f>+CM2976*22000</f>
        <v>0</v>
      </c>
      <c r="CO2976" s="76"/>
      <c r="CP2976" s="76">
        <f>+CO2976*46000</f>
        <v>0</v>
      </c>
      <c r="CQ2976" s="76"/>
      <c r="CR2976" s="76">
        <f>+CQ2976*49000</f>
        <v>0</v>
      </c>
      <c r="CS2976" s="76"/>
      <c r="CT2976" s="76"/>
      <c r="CU2976" s="56">
        <f>AN2976+AP2976+AR2976+AT2976+AV2976+AX2976+AZ2976+BB2976+BD2976+BF2976+BH2976+BJ2976+BL2976+BN2976+BP2976+BR2976+BT2976+BV2976+BX2976+BZ2976+CB2976+CD2976+CF2976+CH2976+CJ2976+CL2976+CN2976+CP2976+CR2976+CT2976</f>
        <v>0</v>
      </c>
      <c r="CV2976" s="76"/>
      <c r="CW2976" s="76">
        <f>+CV2976*1100</f>
        <v>0</v>
      </c>
      <c r="CX2976" s="76"/>
      <c r="CY2976" s="76">
        <f>+CX2976*106250</f>
        <v>0</v>
      </c>
      <c r="CZ2976" s="76"/>
      <c r="DA2976" s="76">
        <f>+CZ2976*34500</f>
        <v>0</v>
      </c>
      <c r="DB2976" s="76"/>
      <c r="DC2976" s="76">
        <f>+DB2976*25000</f>
        <v>0</v>
      </c>
      <c r="DD2976" s="219"/>
      <c r="DE2976" s="219"/>
      <c r="DF2976" s="166"/>
      <c r="DG2976" s="116"/>
      <c r="DH2976" s="117"/>
      <c r="DI2976" s="24"/>
      <c r="DJ2976" s="24"/>
      <c r="DK2976" s="24"/>
      <c r="DL2976" s="24"/>
      <c r="DM2976" s="24"/>
      <c r="DN2976" s="24"/>
      <c r="DO2976" s="24"/>
      <c r="DP2976" s="24"/>
      <c r="DQ2976" s="24"/>
      <c r="DR2976" s="24"/>
      <c r="DS2976" s="24"/>
      <c r="DT2976" s="24"/>
      <c r="DU2976" s="24"/>
    </row>
    <row r="2977" spans="1:125" s="8" customFormat="1" ht="60" x14ac:dyDescent="0.2">
      <c r="A2977" s="77">
        <v>41525</v>
      </c>
      <c r="B2977" s="78" t="s">
        <v>3136</v>
      </c>
      <c r="C2977" s="75" t="s">
        <v>403</v>
      </c>
      <c r="D2977" s="75" t="s">
        <v>2882</v>
      </c>
      <c r="E2977" s="296" t="str">
        <f>VLOOKUP(B2977&amp;C2977,Divipola!$C$2:$F$1138,4,FALSE)</f>
        <v>44430</v>
      </c>
      <c r="F2977" s="87"/>
      <c r="G2977" s="87"/>
      <c r="H2977" s="87"/>
      <c r="I2977" s="87">
        <v>110</v>
      </c>
      <c r="J2977" s="87">
        <v>22</v>
      </c>
      <c r="K2977" s="87"/>
      <c r="L2977" s="87">
        <v>22</v>
      </c>
      <c r="M2977" s="87"/>
      <c r="N2977" s="87"/>
      <c r="O2977" s="87"/>
      <c r="P2977" s="87"/>
      <c r="Q2977" s="87"/>
      <c r="R2977" s="87"/>
      <c r="S2977" s="87"/>
      <c r="T2977" s="87"/>
      <c r="U2977" s="88"/>
      <c r="V2977" s="89"/>
      <c r="W2977" s="96">
        <v>0</v>
      </c>
      <c r="X2977" s="71">
        <f>CU2977</f>
        <v>0</v>
      </c>
      <c r="Y2977" s="71">
        <f>CY2977</f>
        <v>0</v>
      </c>
      <c r="Z2977" s="71">
        <f>DA2977+DC2977+DE2977</f>
        <v>0</v>
      </c>
      <c r="AA2977" s="71">
        <f>CW2977</f>
        <v>0</v>
      </c>
      <c r="AB2977" s="71"/>
      <c r="AC2977" s="71">
        <v>0</v>
      </c>
      <c r="AD2977" s="71">
        <f>W2977+X2977+Y2977+Z2977+AA2977+AB2977+AC2977</f>
        <v>0</v>
      </c>
      <c r="AE2977" s="72">
        <v>0</v>
      </c>
      <c r="AF2977" s="5"/>
      <c r="AG2977" s="6"/>
      <c r="AH2977" s="27"/>
      <c r="AI2977" s="44"/>
      <c r="AJ2977" s="26"/>
      <c r="AK2977" s="5"/>
      <c r="AL2977" s="82" t="s">
        <v>5856</v>
      </c>
      <c r="AM2977" s="76"/>
      <c r="AN2977" s="76"/>
      <c r="AO2977" s="76"/>
      <c r="AP2977" s="76"/>
      <c r="AQ2977" s="76"/>
      <c r="AR2977" s="76"/>
      <c r="AS2977" s="76"/>
      <c r="AT2977" s="76"/>
      <c r="AU2977" s="76"/>
      <c r="AV2977" s="76"/>
      <c r="AW2977" s="76"/>
      <c r="AX2977" s="76">
        <f>+AW2977*600000</f>
        <v>0</v>
      </c>
      <c r="AY2977" s="76"/>
      <c r="AZ2977" s="76">
        <f>+AY2977*70000</f>
        <v>0</v>
      </c>
      <c r="BA2977" s="76"/>
      <c r="BB2977" s="76"/>
      <c r="BC2977" s="76"/>
      <c r="BD2977" s="76">
        <f>+BC2977*30000</f>
        <v>0</v>
      </c>
      <c r="BE2977" s="76"/>
      <c r="BF2977" s="76"/>
      <c r="BG2977" s="76"/>
      <c r="BH2977" s="76"/>
      <c r="BI2977" s="76"/>
      <c r="BJ2977" s="76"/>
      <c r="BK2977" s="76"/>
      <c r="BL2977" s="76">
        <f>+BK2977*31500</f>
        <v>0</v>
      </c>
      <c r="BM2977" s="76"/>
      <c r="BN2977" s="76"/>
      <c r="BO2977" s="76"/>
      <c r="BP2977" s="76"/>
      <c r="BQ2977" s="76"/>
      <c r="BR2977" s="76"/>
      <c r="BS2977" s="76"/>
      <c r="BT2977" s="76"/>
      <c r="BU2977" s="76"/>
      <c r="BV2977" s="76"/>
      <c r="BW2977" s="76"/>
      <c r="BX2977" s="76"/>
      <c r="BY2977" s="76"/>
      <c r="BZ2977" s="76"/>
      <c r="CA2977" s="76"/>
      <c r="CB2977" s="76"/>
      <c r="CC2977" s="76"/>
      <c r="CD2977" s="76"/>
      <c r="CE2977" s="76"/>
      <c r="CF2977" s="76">
        <f>+CE2977*28000</f>
        <v>0</v>
      </c>
      <c r="CG2977" s="76"/>
      <c r="CH2977" s="76">
        <f>+CG2977*22500</f>
        <v>0</v>
      </c>
      <c r="CI2977" s="76"/>
      <c r="CJ2977" s="76">
        <f>+CI2977*26000</f>
        <v>0</v>
      </c>
      <c r="CK2977" s="76"/>
      <c r="CL2977" s="76"/>
      <c r="CM2977" s="76"/>
      <c r="CN2977" s="76">
        <f>+CM2977*22000</f>
        <v>0</v>
      </c>
      <c r="CO2977" s="76"/>
      <c r="CP2977" s="76">
        <f>+CO2977*46000</f>
        <v>0</v>
      </c>
      <c r="CQ2977" s="76"/>
      <c r="CR2977" s="76">
        <f>+CQ2977*49000</f>
        <v>0</v>
      </c>
      <c r="CS2977" s="76"/>
      <c r="CT2977" s="76"/>
      <c r="CU2977" s="56">
        <f>AN2977+AP2977+AR2977+AT2977+AV2977+AX2977+AZ2977+BB2977+BD2977+BF2977+BH2977+BJ2977+BL2977+BN2977+BP2977+BR2977+BT2977+BV2977+BX2977+BZ2977+CB2977+CD2977+CF2977+CH2977+CJ2977+CL2977+CN2977+CP2977+CR2977+CT2977</f>
        <v>0</v>
      </c>
      <c r="CV2977" s="76"/>
      <c r="CW2977" s="76">
        <f>+CV2977*1100</f>
        <v>0</v>
      </c>
      <c r="CX2977" s="76"/>
      <c r="CY2977" s="76">
        <f>+CX2977*106250</f>
        <v>0</v>
      </c>
      <c r="CZ2977" s="76"/>
      <c r="DA2977" s="76">
        <f>+CZ2977*34500</f>
        <v>0</v>
      </c>
      <c r="DB2977" s="76"/>
      <c r="DC2977" s="76">
        <f>+DB2977*25000</f>
        <v>0</v>
      </c>
      <c r="DD2977" s="219"/>
      <c r="DE2977" s="219"/>
      <c r="DF2977" s="166"/>
      <c r="DG2977" s="116"/>
      <c r="DH2977" s="117"/>
      <c r="DI2977" s="24"/>
      <c r="DJ2977" s="24"/>
      <c r="DK2977" s="24"/>
      <c r="DL2977" s="24"/>
      <c r="DM2977" s="24"/>
      <c r="DN2977" s="24"/>
      <c r="DO2977" s="24"/>
      <c r="DP2977" s="24"/>
      <c r="DQ2977" s="24"/>
      <c r="DR2977" s="24"/>
      <c r="DS2977" s="24"/>
      <c r="DT2977" s="24"/>
      <c r="DU2977" s="24"/>
    </row>
    <row r="2978" spans="1:125" s="8" customFormat="1" ht="72" x14ac:dyDescent="0.2">
      <c r="A2978" s="77">
        <v>41525</v>
      </c>
      <c r="B2978" s="352" t="s">
        <v>2774</v>
      </c>
      <c r="C2978" s="354" t="s">
        <v>1347</v>
      </c>
      <c r="D2978" s="354" t="s">
        <v>3017</v>
      </c>
      <c r="E2978" s="296" t="str">
        <f>VLOOKUP(B2978&amp;C2978,Divipola!$C$2:$F$1138,4,FALSE)</f>
        <v>66001</v>
      </c>
      <c r="F2978" s="87"/>
      <c r="G2978" s="87"/>
      <c r="H2978" s="87"/>
      <c r="I2978" s="87">
        <v>18</v>
      </c>
      <c r="J2978" s="87">
        <v>1</v>
      </c>
      <c r="K2978" s="87">
        <v>1</v>
      </c>
      <c r="L2978" s="87"/>
      <c r="M2978" s="87"/>
      <c r="N2978" s="87"/>
      <c r="O2978" s="87"/>
      <c r="P2978" s="87"/>
      <c r="Q2978" s="87"/>
      <c r="R2978" s="87"/>
      <c r="S2978" s="87"/>
      <c r="T2978" s="87"/>
      <c r="U2978" s="88"/>
      <c r="V2978" s="89"/>
      <c r="W2978" s="96">
        <v>0</v>
      </c>
      <c r="X2978" s="71">
        <f>CU2978</f>
        <v>0</v>
      </c>
      <c r="Y2978" s="71">
        <f>CY2978</f>
        <v>0</v>
      </c>
      <c r="Z2978" s="71">
        <f>DA2978+DC2978+DE2978</f>
        <v>0</v>
      </c>
      <c r="AA2978" s="71">
        <f>CW2978</f>
        <v>0</v>
      </c>
      <c r="AB2978" s="71"/>
      <c r="AC2978" s="71">
        <v>0</v>
      </c>
      <c r="AD2978" s="71">
        <f>W2978+X2978+Y2978+Z2978+AA2978+AB2978+AC2978</f>
        <v>0</v>
      </c>
      <c r="AE2978" s="72">
        <v>0</v>
      </c>
      <c r="AF2978" s="5"/>
      <c r="AG2978" s="6"/>
      <c r="AH2978" s="27"/>
      <c r="AI2978" s="44"/>
      <c r="AJ2978" s="26"/>
      <c r="AK2978" s="5"/>
      <c r="AL2978" s="82" t="s">
        <v>5850</v>
      </c>
      <c r="AM2978" s="76"/>
      <c r="AN2978" s="76"/>
      <c r="AO2978" s="76"/>
      <c r="AP2978" s="76"/>
      <c r="AQ2978" s="76"/>
      <c r="AR2978" s="76"/>
      <c r="AS2978" s="76"/>
      <c r="AT2978" s="76"/>
      <c r="AU2978" s="76"/>
      <c r="AV2978" s="76"/>
      <c r="AW2978" s="76"/>
      <c r="AX2978" s="76">
        <f>+AW2978*600000</f>
        <v>0</v>
      </c>
      <c r="AY2978" s="76"/>
      <c r="AZ2978" s="76">
        <f>+AY2978*70000</f>
        <v>0</v>
      </c>
      <c r="BA2978" s="76"/>
      <c r="BB2978" s="76"/>
      <c r="BC2978" s="76"/>
      <c r="BD2978" s="76">
        <f>+BC2978*30000</f>
        <v>0</v>
      </c>
      <c r="BE2978" s="76"/>
      <c r="BF2978" s="76"/>
      <c r="BG2978" s="76"/>
      <c r="BH2978" s="76"/>
      <c r="BI2978" s="76"/>
      <c r="BJ2978" s="76"/>
      <c r="BK2978" s="76"/>
      <c r="BL2978" s="76">
        <f>+BK2978*31500</f>
        <v>0</v>
      </c>
      <c r="BM2978" s="76"/>
      <c r="BN2978" s="76"/>
      <c r="BO2978" s="76"/>
      <c r="BP2978" s="76"/>
      <c r="BQ2978" s="76"/>
      <c r="BR2978" s="76"/>
      <c r="BS2978" s="76"/>
      <c r="BT2978" s="76"/>
      <c r="BU2978" s="76"/>
      <c r="BV2978" s="76"/>
      <c r="BW2978" s="76"/>
      <c r="BX2978" s="76"/>
      <c r="BY2978" s="76"/>
      <c r="BZ2978" s="76"/>
      <c r="CA2978" s="76"/>
      <c r="CB2978" s="76"/>
      <c r="CC2978" s="76"/>
      <c r="CD2978" s="76"/>
      <c r="CE2978" s="76"/>
      <c r="CF2978" s="76">
        <f>+CE2978*28000</f>
        <v>0</v>
      </c>
      <c r="CG2978" s="76"/>
      <c r="CH2978" s="76">
        <f>+CG2978*22500</f>
        <v>0</v>
      </c>
      <c r="CI2978" s="76"/>
      <c r="CJ2978" s="76">
        <f>+CI2978*26000</f>
        <v>0</v>
      </c>
      <c r="CK2978" s="76"/>
      <c r="CL2978" s="76"/>
      <c r="CM2978" s="76"/>
      <c r="CN2978" s="76">
        <f>+CM2978*22000</f>
        <v>0</v>
      </c>
      <c r="CO2978" s="76"/>
      <c r="CP2978" s="76">
        <f>+CO2978*46000</f>
        <v>0</v>
      </c>
      <c r="CQ2978" s="76"/>
      <c r="CR2978" s="76">
        <f>+CQ2978*49000</f>
        <v>0</v>
      </c>
      <c r="CS2978" s="76"/>
      <c r="CT2978" s="76"/>
      <c r="CU2978" s="56">
        <f>AN2978+AP2978+AR2978+AT2978+AV2978+AX2978+AZ2978+BB2978+BD2978+BF2978+BH2978+BJ2978+BL2978+BN2978+BP2978+BR2978+BT2978+BV2978+BX2978+BZ2978+CB2978+CD2978+CF2978+CH2978+CJ2978+CL2978+CN2978+CP2978+CR2978+CT2978</f>
        <v>0</v>
      </c>
      <c r="CV2978" s="76"/>
      <c r="CW2978" s="76">
        <f>+CV2978*1100</f>
        <v>0</v>
      </c>
      <c r="CX2978" s="76"/>
      <c r="CY2978" s="76">
        <f>+CX2978*106250</f>
        <v>0</v>
      </c>
      <c r="CZ2978" s="76"/>
      <c r="DA2978" s="76">
        <f>+CZ2978*34500</f>
        <v>0</v>
      </c>
      <c r="DB2978" s="76"/>
      <c r="DC2978" s="76">
        <f>+DB2978*25000</f>
        <v>0</v>
      </c>
      <c r="DD2978" s="219"/>
      <c r="DE2978" s="219"/>
      <c r="DF2978" s="166"/>
      <c r="DG2978" s="116"/>
      <c r="DH2978" s="117"/>
      <c r="DI2978" s="24"/>
      <c r="DJ2978" s="24"/>
      <c r="DK2978" s="24"/>
      <c r="DL2978" s="24"/>
      <c r="DM2978" s="24"/>
      <c r="DN2978" s="24"/>
      <c r="DO2978" s="24"/>
      <c r="DP2978" s="24"/>
      <c r="DQ2978" s="24"/>
      <c r="DR2978" s="24"/>
      <c r="DS2978" s="24"/>
      <c r="DT2978" s="24"/>
      <c r="DU2978" s="24"/>
    </row>
    <row r="2979" spans="1:125" s="8" customFormat="1" ht="60" x14ac:dyDescent="0.2">
      <c r="A2979" s="77">
        <v>41525</v>
      </c>
      <c r="B2979" s="352" t="s">
        <v>2851</v>
      </c>
      <c r="C2979" s="354" t="s">
        <v>2667</v>
      </c>
      <c r="D2979" s="354" t="s">
        <v>2882</v>
      </c>
      <c r="E2979" s="296" t="str">
        <f>VLOOKUP(B2979&amp;C2979,Divipola!$C$2:$F$1138,4,FALSE)</f>
        <v>76364</v>
      </c>
      <c r="F2979" s="87"/>
      <c r="G2979" s="87"/>
      <c r="H2979" s="87"/>
      <c r="I2979" s="87">
        <v>130</v>
      </c>
      <c r="J2979" s="87">
        <v>26</v>
      </c>
      <c r="K2979" s="87"/>
      <c r="L2979" s="87">
        <v>26</v>
      </c>
      <c r="M2979" s="87"/>
      <c r="N2979" s="87"/>
      <c r="O2979" s="87"/>
      <c r="P2979" s="87"/>
      <c r="Q2979" s="87"/>
      <c r="R2979" s="87"/>
      <c r="S2979" s="87"/>
      <c r="T2979" s="87"/>
      <c r="U2979" s="88"/>
      <c r="V2979" s="89"/>
      <c r="W2979" s="96">
        <v>0</v>
      </c>
      <c r="X2979" s="71">
        <f>CU2979</f>
        <v>0</v>
      </c>
      <c r="Y2979" s="71">
        <f>CY2979</f>
        <v>0</v>
      </c>
      <c r="Z2979" s="71">
        <f>DA2979+DC2979+DE2979</f>
        <v>0</v>
      </c>
      <c r="AA2979" s="71">
        <f>CW2979</f>
        <v>0</v>
      </c>
      <c r="AB2979" s="71"/>
      <c r="AC2979" s="71">
        <v>0</v>
      </c>
      <c r="AD2979" s="71">
        <f>W2979+X2979+Y2979+Z2979+AA2979+AB2979+AC2979</f>
        <v>0</v>
      </c>
      <c r="AE2979" s="72">
        <v>0</v>
      </c>
      <c r="AF2979" s="5"/>
      <c r="AG2979" s="6"/>
      <c r="AH2979" s="27"/>
      <c r="AI2979" s="44"/>
      <c r="AJ2979" s="26"/>
      <c r="AK2979" s="5"/>
      <c r="AL2979" s="82" t="s">
        <v>5855</v>
      </c>
      <c r="AM2979" s="76"/>
      <c r="AN2979" s="76"/>
      <c r="AO2979" s="76"/>
      <c r="AP2979" s="76"/>
      <c r="AQ2979" s="76"/>
      <c r="AR2979" s="76"/>
      <c r="AS2979" s="76"/>
      <c r="AT2979" s="76"/>
      <c r="AU2979" s="76"/>
      <c r="AV2979" s="76"/>
      <c r="AW2979" s="76"/>
      <c r="AX2979" s="76">
        <f>+AW2979*600000</f>
        <v>0</v>
      </c>
      <c r="AY2979" s="76"/>
      <c r="AZ2979" s="76">
        <f>+AY2979*70000</f>
        <v>0</v>
      </c>
      <c r="BA2979" s="76"/>
      <c r="BB2979" s="76"/>
      <c r="BC2979" s="76"/>
      <c r="BD2979" s="76">
        <f>+BC2979*30000</f>
        <v>0</v>
      </c>
      <c r="BE2979" s="76"/>
      <c r="BF2979" s="76"/>
      <c r="BG2979" s="76"/>
      <c r="BH2979" s="76"/>
      <c r="BI2979" s="76"/>
      <c r="BJ2979" s="76"/>
      <c r="BK2979" s="76"/>
      <c r="BL2979" s="76">
        <f>+BK2979*31500</f>
        <v>0</v>
      </c>
      <c r="BM2979" s="76"/>
      <c r="BN2979" s="76"/>
      <c r="BO2979" s="76"/>
      <c r="BP2979" s="76"/>
      <c r="BQ2979" s="76"/>
      <c r="BR2979" s="76"/>
      <c r="BS2979" s="76"/>
      <c r="BT2979" s="76"/>
      <c r="BU2979" s="76"/>
      <c r="BV2979" s="76"/>
      <c r="BW2979" s="76"/>
      <c r="BX2979" s="76"/>
      <c r="BY2979" s="76"/>
      <c r="BZ2979" s="76"/>
      <c r="CA2979" s="76"/>
      <c r="CB2979" s="76"/>
      <c r="CC2979" s="76"/>
      <c r="CD2979" s="76"/>
      <c r="CE2979" s="76"/>
      <c r="CF2979" s="76">
        <f>+CE2979*28000</f>
        <v>0</v>
      </c>
      <c r="CG2979" s="76"/>
      <c r="CH2979" s="76">
        <f>+CG2979*22500</f>
        <v>0</v>
      </c>
      <c r="CI2979" s="76"/>
      <c r="CJ2979" s="76">
        <f>+CI2979*26000</f>
        <v>0</v>
      </c>
      <c r="CK2979" s="76"/>
      <c r="CL2979" s="76"/>
      <c r="CM2979" s="76"/>
      <c r="CN2979" s="76">
        <f>+CM2979*22000</f>
        <v>0</v>
      </c>
      <c r="CO2979" s="76"/>
      <c r="CP2979" s="76">
        <f>+CO2979*46000</f>
        <v>0</v>
      </c>
      <c r="CQ2979" s="76"/>
      <c r="CR2979" s="76">
        <f>+CQ2979*49000</f>
        <v>0</v>
      </c>
      <c r="CS2979" s="76"/>
      <c r="CT2979" s="76"/>
      <c r="CU2979" s="56">
        <f>AN2979+AP2979+AR2979+AT2979+AV2979+AX2979+AZ2979+BB2979+BD2979+BF2979+BH2979+BJ2979+BL2979+BN2979+BP2979+BR2979+BT2979+BV2979+BX2979+BZ2979+CB2979+CD2979+CF2979+CH2979+CJ2979+CL2979+CN2979+CP2979+CR2979+CT2979</f>
        <v>0</v>
      </c>
      <c r="CV2979" s="76"/>
      <c r="CW2979" s="76">
        <f>+CV2979*1100</f>
        <v>0</v>
      </c>
      <c r="CX2979" s="76"/>
      <c r="CY2979" s="76">
        <f>+CX2979*106250</f>
        <v>0</v>
      </c>
      <c r="CZ2979" s="76"/>
      <c r="DA2979" s="76">
        <f>+CZ2979*34500</f>
        <v>0</v>
      </c>
      <c r="DB2979" s="76"/>
      <c r="DC2979" s="76">
        <f>+DB2979*25000</f>
        <v>0</v>
      </c>
      <c r="DD2979" s="219"/>
      <c r="DE2979" s="219"/>
      <c r="DF2979" s="166"/>
      <c r="DG2979" s="116"/>
      <c r="DH2979" s="117"/>
      <c r="DI2979" s="24"/>
      <c r="DJ2979" s="24"/>
      <c r="DK2979" s="24"/>
      <c r="DL2979" s="24"/>
      <c r="DM2979" s="24"/>
      <c r="DN2979" s="24"/>
      <c r="DO2979" s="24"/>
      <c r="DP2979" s="24"/>
      <c r="DQ2979" s="24"/>
      <c r="DR2979" s="24"/>
      <c r="DS2979" s="24"/>
      <c r="DT2979" s="24"/>
      <c r="DU2979" s="24"/>
    </row>
    <row r="2980" spans="1:125" s="8" customFormat="1" ht="36" x14ac:dyDescent="0.2">
      <c r="A2980" s="77">
        <v>41526</v>
      </c>
      <c r="B2980" s="78" t="s">
        <v>2036</v>
      </c>
      <c r="C2980" s="75" t="s">
        <v>2036</v>
      </c>
      <c r="D2980" s="75" t="s">
        <v>2859</v>
      </c>
      <c r="E2980" s="296" t="str">
        <f>VLOOKUP(B2980&amp;C2980,Divipola!$C$2:$F$1138,4,FALSE)</f>
        <v>81001</v>
      </c>
      <c r="F2980" s="87"/>
      <c r="G2980" s="87"/>
      <c r="H2980" s="87"/>
      <c r="I2980" s="87">
        <v>12</v>
      </c>
      <c r="J2980" s="87">
        <v>2</v>
      </c>
      <c r="K2980" s="87">
        <v>2</v>
      </c>
      <c r="L2980" s="87"/>
      <c r="M2980" s="87"/>
      <c r="N2980" s="87"/>
      <c r="O2980" s="87"/>
      <c r="P2980" s="87"/>
      <c r="Q2980" s="87"/>
      <c r="R2980" s="87"/>
      <c r="S2980" s="87"/>
      <c r="T2980" s="87"/>
      <c r="U2980" s="88"/>
      <c r="V2980" s="89"/>
      <c r="W2980" s="96">
        <v>0</v>
      </c>
      <c r="X2980" s="71">
        <f>CU2980</f>
        <v>0</v>
      </c>
      <c r="Y2980" s="71">
        <f>CY2980</f>
        <v>0</v>
      </c>
      <c r="Z2980" s="71">
        <f>DA2980+DC2980+DE2980</f>
        <v>0</v>
      </c>
      <c r="AA2980" s="71">
        <f>CW2980</f>
        <v>0</v>
      </c>
      <c r="AB2980" s="71"/>
      <c r="AC2980" s="71">
        <v>0</v>
      </c>
      <c r="AD2980" s="71">
        <f>W2980+X2980+Y2980+Z2980+AA2980+AB2980+AC2980</f>
        <v>0</v>
      </c>
      <c r="AE2980" s="72">
        <v>0</v>
      </c>
      <c r="AF2980" s="5"/>
      <c r="AG2980" s="6"/>
      <c r="AH2980" s="27"/>
      <c r="AI2980" s="44"/>
      <c r="AJ2980" s="26"/>
      <c r="AK2980" s="5"/>
      <c r="AL2980" s="82" t="s">
        <v>5863</v>
      </c>
      <c r="AM2980" s="76"/>
      <c r="AN2980" s="76"/>
      <c r="AO2980" s="76"/>
      <c r="AP2980" s="76"/>
      <c r="AQ2980" s="76"/>
      <c r="AR2980" s="76"/>
      <c r="AS2980" s="76"/>
      <c r="AT2980" s="76"/>
      <c r="AU2980" s="76"/>
      <c r="AV2980" s="76"/>
      <c r="AW2980" s="76"/>
      <c r="AX2980" s="76">
        <f>+AW2980*600000</f>
        <v>0</v>
      </c>
      <c r="AY2980" s="76"/>
      <c r="AZ2980" s="76">
        <f>+AY2980*70000</f>
        <v>0</v>
      </c>
      <c r="BA2980" s="76"/>
      <c r="BB2980" s="76"/>
      <c r="BC2980" s="76"/>
      <c r="BD2980" s="76">
        <f>+BC2980*30000</f>
        <v>0</v>
      </c>
      <c r="BE2980" s="76"/>
      <c r="BF2980" s="76"/>
      <c r="BG2980" s="76"/>
      <c r="BH2980" s="76"/>
      <c r="BI2980" s="76"/>
      <c r="BJ2980" s="76"/>
      <c r="BK2980" s="76"/>
      <c r="BL2980" s="76">
        <f>+BK2980*31500</f>
        <v>0</v>
      </c>
      <c r="BM2980" s="76"/>
      <c r="BN2980" s="76"/>
      <c r="BO2980" s="76"/>
      <c r="BP2980" s="76"/>
      <c r="BQ2980" s="76"/>
      <c r="BR2980" s="76"/>
      <c r="BS2980" s="76"/>
      <c r="BT2980" s="76"/>
      <c r="BU2980" s="76"/>
      <c r="BV2980" s="76"/>
      <c r="BW2980" s="76"/>
      <c r="BX2980" s="76"/>
      <c r="BY2980" s="76"/>
      <c r="BZ2980" s="76"/>
      <c r="CA2980" s="76"/>
      <c r="CB2980" s="76"/>
      <c r="CC2980" s="76"/>
      <c r="CD2980" s="76"/>
      <c r="CE2980" s="76"/>
      <c r="CF2980" s="76">
        <f>+CE2980*28000</f>
        <v>0</v>
      </c>
      <c r="CG2980" s="76"/>
      <c r="CH2980" s="76">
        <f>+CG2980*22500</f>
        <v>0</v>
      </c>
      <c r="CI2980" s="76"/>
      <c r="CJ2980" s="76">
        <f>+CI2980*26000</f>
        <v>0</v>
      </c>
      <c r="CK2980" s="76"/>
      <c r="CL2980" s="76"/>
      <c r="CM2980" s="76"/>
      <c r="CN2980" s="76">
        <f>+CM2980*22000</f>
        <v>0</v>
      </c>
      <c r="CO2980" s="76"/>
      <c r="CP2980" s="76">
        <f>+CO2980*46000</f>
        <v>0</v>
      </c>
      <c r="CQ2980" s="76"/>
      <c r="CR2980" s="76">
        <f>+CQ2980*49000</f>
        <v>0</v>
      </c>
      <c r="CS2980" s="76"/>
      <c r="CT2980" s="76"/>
      <c r="CU2980" s="56">
        <f>AN2980+AP2980+AR2980+AT2980+AV2980+AX2980+AZ2980+BB2980+BD2980+BF2980+BH2980+BJ2980+BL2980+BN2980+BP2980+BR2980+BT2980+BV2980+BX2980+BZ2980+CB2980+CD2980+CF2980+CH2980+CJ2980+CL2980+CN2980+CP2980+CR2980+CT2980</f>
        <v>0</v>
      </c>
      <c r="CV2980" s="76"/>
      <c r="CW2980" s="76">
        <f>+CV2980*1100</f>
        <v>0</v>
      </c>
      <c r="CX2980" s="76"/>
      <c r="CY2980" s="76">
        <f>+CX2980*106250</f>
        <v>0</v>
      </c>
      <c r="CZ2980" s="76"/>
      <c r="DA2980" s="76">
        <f>+CZ2980*34500</f>
        <v>0</v>
      </c>
      <c r="DB2980" s="76"/>
      <c r="DC2980" s="76">
        <f>+DB2980*25000</f>
        <v>0</v>
      </c>
      <c r="DD2980" s="219"/>
      <c r="DE2980" s="219"/>
      <c r="DF2980" s="166"/>
      <c r="DG2980" s="116"/>
      <c r="DH2980" s="117"/>
      <c r="DI2980" s="24"/>
      <c r="DJ2980" s="24"/>
      <c r="DK2980" s="24"/>
      <c r="DL2980" s="24"/>
      <c r="DM2980" s="24"/>
      <c r="DN2980" s="24"/>
      <c r="DO2980" s="24"/>
      <c r="DP2980" s="24"/>
      <c r="DQ2980" s="24"/>
      <c r="DR2980" s="24"/>
      <c r="DS2980" s="24"/>
      <c r="DT2980" s="24"/>
      <c r="DU2980" s="24"/>
    </row>
    <row r="2981" spans="1:125" s="8" customFormat="1" ht="102.75" customHeight="1" x14ac:dyDescent="0.2">
      <c r="A2981" s="77">
        <v>41526</v>
      </c>
      <c r="B2981" s="208" t="s">
        <v>529</v>
      </c>
      <c r="C2981" s="354" t="s">
        <v>529</v>
      </c>
      <c r="D2981" s="354" t="s">
        <v>2846</v>
      </c>
      <c r="E2981" s="296" t="str">
        <f>VLOOKUP(B2981&amp;C2981,Divipola!$C$2:$F$1138,4,FALSE)</f>
        <v>11001</v>
      </c>
      <c r="F2981" s="61"/>
      <c r="G2981" s="61"/>
      <c r="H2981" s="61"/>
      <c r="I2981" s="61"/>
      <c r="J2981" s="61"/>
      <c r="K2981" s="61"/>
      <c r="L2981" s="61"/>
      <c r="M2981" s="61"/>
      <c r="N2981" s="61"/>
      <c r="O2981" s="61"/>
      <c r="P2981" s="61"/>
      <c r="Q2981" s="61"/>
      <c r="R2981" s="61"/>
      <c r="S2981" s="61"/>
      <c r="T2981" s="61"/>
      <c r="U2981" s="61">
        <v>2</v>
      </c>
      <c r="V2981" s="7"/>
      <c r="W2981" s="96">
        <v>0</v>
      </c>
      <c r="X2981" s="71">
        <f>CU2981</f>
        <v>0</v>
      </c>
      <c r="Y2981" s="71">
        <f>CY2981</f>
        <v>0</v>
      </c>
      <c r="Z2981" s="71">
        <f>DA2981+DC2981+DE2981</f>
        <v>0</v>
      </c>
      <c r="AA2981" s="71">
        <f>CW2981</f>
        <v>0</v>
      </c>
      <c r="AB2981" s="71"/>
      <c r="AC2981" s="71">
        <v>0</v>
      </c>
      <c r="AD2981" s="71">
        <f>W2981+X2981+Y2981+Z2981+AA2981+AB2981+AC2981</f>
        <v>0</v>
      </c>
      <c r="AE2981" s="72">
        <v>0</v>
      </c>
      <c r="AF2981" s="5"/>
      <c r="AG2981" s="6"/>
      <c r="AH2981" s="27"/>
      <c r="AI2981" s="44"/>
      <c r="AJ2981" s="26"/>
      <c r="AK2981" s="5"/>
      <c r="AL2981" s="302" t="s">
        <v>5885</v>
      </c>
      <c r="AM2981" s="76"/>
      <c r="AN2981" s="76"/>
      <c r="AO2981" s="76"/>
      <c r="AP2981" s="76"/>
      <c r="AQ2981" s="76"/>
      <c r="AR2981" s="76"/>
      <c r="AS2981" s="76"/>
      <c r="AT2981" s="76"/>
      <c r="AU2981" s="76"/>
      <c r="AV2981" s="76"/>
      <c r="AW2981" s="76"/>
      <c r="AX2981" s="76">
        <f>+AW2981*600000</f>
        <v>0</v>
      </c>
      <c r="AY2981" s="76"/>
      <c r="AZ2981" s="76">
        <f>+AY2981*70000</f>
        <v>0</v>
      </c>
      <c r="BA2981" s="76"/>
      <c r="BB2981" s="76"/>
      <c r="BC2981" s="76"/>
      <c r="BD2981" s="76">
        <f>+BC2981*30000</f>
        <v>0</v>
      </c>
      <c r="BE2981" s="76"/>
      <c r="BF2981" s="76"/>
      <c r="BG2981" s="76"/>
      <c r="BH2981" s="76"/>
      <c r="BI2981" s="76"/>
      <c r="BJ2981" s="76"/>
      <c r="BK2981" s="76"/>
      <c r="BL2981" s="76">
        <f>+BK2981*31500</f>
        <v>0</v>
      </c>
      <c r="BM2981" s="76"/>
      <c r="BN2981" s="76"/>
      <c r="BO2981" s="76"/>
      <c r="BP2981" s="76"/>
      <c r="BQ2981" s="76"/>
      <c r="BR2981" s="76"/>
      <c r="BS2981" s="76"/>
      <c r="BT2981" s="76"/>
      <c r="BU2981" s="76"/>
      <c r="BV2981" s="76"/>
      <c r="BW2981" s="76"/>
      <c r="BX2981" s="76"/>
      <c r="BY2981" s="76"/>
      <c r="BZ2981" s="76"/>
      <c r="CA2981" s="76"/>
      <c r="CB2981" s="76"/>
      <c r="CC2981" s="76"/>
      <c r="CD2981" s="76"/>
      <c r="CE2981" s="76"/>
      <c r="CF2981" s="76">
        <f>+CE2981*28000</f>
        <v>0</v>
      </c>
      <c r="CG2981" s="76"/>
      <c r="CH2981" s="76">
        <f>+CG2981*22500</f>
        <v>0</v>
      </c>
      <c r="CI2981" s="76"/>
      <c r="CJ2981" s="76">
        <f>+CI2981*26000</f>
        <v>0</v>
      </c>
      <c r="CK2981" s="76"/>
      <c r="CL2981" s="76"/>
      <c r="CM2981" s="76"/>
      <c r="CN2981" s="76">
        <f>+CM2981*22000</f>
        <v>0</v>
      </c>
      <c r="CO2981" s="76"/>
      <c r="CP2981" s="76">
        <f>+CO2981*46000</f>
        <v>0</v>
      </c>
      <c r="CQ2981" s="76"/>
      <c r="CR2981" s="76">
        <f>+CQ2981*49000</f>
        <v>0</v>
      </c>
      <c r="CS2981" s="76"/>
      <c r="CT2981" s="76"/>
      <c r="CU2981" s="56">
        <f>AN2981+AP2981+AR2981+AT2981+AV2981+AX2981+AZ2981+BB2981+BD2981+BF2981+BH2981+BJ2981+BL2981+BN2981+BP2981+BR2981+BT2981+BV2981+BX2981+BZ2981+CB2981+CD2981+CF2981+CH2981+CJ2981+CL2981+CN2981+CP2981+CR2981+CT2981</f>
        <v>0</v>
      </c>
      <c r="CV2981" s="76"/>
      <c r="CW2981" s="76">
        <f>+CV2981*1100</f>
        <v>0</v>
      </c>
      <c r="CX2981" s="76"/>
      <c r="CY2981" s="76">
        <f>+CX2981*106250</f>
        <v>0</v>
      </c>
      <c r="CZ2981" s="76"/>
      <c r="DA2981" s="76">
        <f>+CZ2981*34500</f>
        <v>0</v>
      </c>
      <c r="DB2981" s="76"/>
      <c r="DC2981" s="76">
        <f>+DB2981*25000</f>
        <v>0</v>
      </c>
      <c r="DD2981" s="219"/>
      <c r="DE2981" s="219"/>
      <c r="DF2981" s="166"/>
      <c r="DG2981" s="116"/>
      <c r="DH2981" s="117"/>
      <c r="DI2981" s="24"/>
      <c r="DJ2981" s="24"/>
      <c r="DK2981" s="24"/>
      <c r="DL2981" s="24"/>
      <c r="DM2981" s="24"/>
      <c r="DN2981" s="24"/>
      <c r="DO2981" s="24"/>
      <c r="DP2981" s="24"/>
      <c r="DQ2981" s="24"/>
      <c r="DR2981" s="24"/>
      <c r="DS2981" s="24"/>
      <c r="DT2981" s="24"/>
      <c r="DU2981" s="24"/>
    </row>
    <row r="2982" spans="1:125" s="8" customFormat="1" ht="138" customHeight="1" x14ac:dyDescent="0.2">
      <c r="A2982" s="77">
        <v>41526</v>
      </c>
      <c r="B2982" s="352" t="s">
        <v>3136</v>
      </c>
      <c r="C2982" s="354" t="s">
        <v>398</v>
      </c>
      <c r="D2982" s="354" t="s">
        <v>3051</v>
      </c>
      <c r="E2982" s="296" t="str">
        <f>VLOOKUP(B2982&amp;C2982,Divipola!$C$2:$F$1138,4,FALSE)</f>
        <v>44378</v>
      </c>
      <c r="F2982" s="87"/>
      <c r="G2982" s="87"/>
      <c r="H2982" s="87"/>
      <c r="I2982" s="87"/>
      <c r="J2982" s="87"/>
      <c r="K2982" s="87"/>
      <c r="L2982" s="87"/>
      <c r="M2982" s="87"/>
      <c r="N2982" s="87"/>
      <c r="O2982" s="87"/>
      <c r="P2982" s="87"/>
      <c r="Q2982" s="87"/>
      <c r="R2982" s="87"/>
      <c r="S2982" s="87"/>
      <c r="T2982" s="87"/>
      <c r="U2982" s="88"/>
      <c r="V2982" s="89"/>
      <c r="W2982" s="96">
        <v>0</v>
      </c>
      <c r="X2982" s="71">
        <f>CU2982</f>
        <v>0</v>
      </c>
      <c r="Y2982" s="71">
        <f>CY2982</f>
        <v>0</v>
      </c>
      <c r="Z2982" s="71">
        <f>DA2982+DC2982+DE2982</f>
        <v>0</v>
      </c>
      <c r="AA2982" s="71">
        <f>CW2982</f>
        <v>0</v>
      </c>
      <c r="AB2982" s="71"/>
      <c r="AC2982" s="71">
        <v>0</v>
      </c>
      <c r="AD2982" s="71">
        <f>W2982+X2982+Y2982+Z2982+AA2982+AB2982+AC2982</f>
        <v>0</v>
      </c>
      <c r="AE2982" s="72">
        <v>0</v>
      </c>
      <c r="AF2982" s="5"/>
      <c r="AG2982" s="6"/>
      <c r="AH2982" s="27"/>
      <c r="AI2982" s="44"/>
      <c r="AJ2982" s="26"/>
      <c r="AK2982" s="5"/>
      <c r="AL2982" s="82" t="s">
        <v>5857</v>
      </c>
      <c r="AM2982" s="76"/>
      <c r="AN2982" s="76"/>
      <c r="AO2982" s="76"/>
      <c r="AP2982" s="76"/>
      <c r="AQ2982" s="76"/>
      <c r="AR2982" s="76"/>
      <c r="AS2982" s="76"/>
      <c r="AT2982" s="76"/>
      <c r="AU2982" s="76"/>
      <c r="AV2982" s="76"/>
      <c r="AW2982" s="76"/>
      <c r="AX2982" s="76">
        <f>+AW2982*600000</f>
        <v>0</v>
      </c>
      <c r="AY2982" s="76"/>
      <c r="AZ2982" s="76">
        <f>+AY2982*70000</f>
        <v>0</v>
      </c>
      <c r="BA2982" s="76"/>
      <c r="BB2982" s="76"/>
      <c r="BC2982" s="76"/>
      <c r="BD2982" s="76">
        <f>+BC2982*30000</f>
        <v>0</v>
      </c>
      <c r="BE2982" s="76"/>
      <c r="BF2982" s="76"/>
      <c r="BG2982" s="76"/>
      <c r="BH2982" s="76"/>
      <c r="BI2982" s="76"/>
      <c r="BJ2982" s="76"/>
      <c r="BK2982" s="76"/>
      <c r="BL2982" s="76">
        <f>+BK2982*31500</f>
        <v>0</v>
      </c>
      <c r="BM2982" s="76"/>
      <c r="BN2982" s="76"/>
      <c r="BO2982" s="76"/>
      <c r="BP2982" s="76"/>
      <c r="BQ2982" s="76"/>
      <c r="BR2982" s="76"/>
      <c r="BS2982" s="76"/>
      <c r="BT2982" s="76"/>
      <c r="BU2982" s="76"/>
      <c r="BV2982" s="76"/>
      <c r="BW2982" s="76"/>
      <c r="BX2982" s="76"/>
      <c r="BY2982" s="76"/>
      <c r="BZ2982" s="76"/>
      <c r="CA2982" s="76"/>
      <c r="CB2982" s="76"/>
      <c r="CC2982" s="76"/>
      <c r="CD2982" s="76"/>
      <c r="CE2982" s="76"/>
      <c r="CF2982" s="76">
        <f>+CE2982*28000</f>
        <v>0</v>
      </c>
      <c r="CG2982" s="76"/>
      <c r="CH2982" s="76">
        <f>+CG2982*22500</f>
        <v>0</v>
      </c>
      <c r="CI2982" s="76"/>
      <c r="CJ2982" s="76">
        <f>+CI2982*26000</f>
        <v>0</v>
      </c>
      <c r="CK2982" s="76"/>
      <c r="CL2982" s="76"/>
      <c r="CM2982" s="76"/>
      <c r="CN2982" s="76">
        <f>+CM2982*22000</f>
        <v>0</v>
      </c>
      <c r="CO2982" s="76"/>
      <c r="CP2982" s="76">
        <f>+CO2982*46000</f>
        <v>0</v>
      </c>
      <c r="CQ2982" s="76"/>
      <c r="CR2982" s="76">
        <f>+CQ2982*49000</f>
        <v>0</v>
      </c>
      <c r="CS2982" s="76"/>
      <c r="CT2982" s="76"/>
      <c r="CU2982" s="56">
        <f>AN2982+AP2982+AR2982+AT2982+AV2982+AX2982+AZ2982+BB2982+BD2982+BF2982+BH2982+BJ2982+BL2982+BN2982+BP2982+BR2982+BT2982+BV2982+BX2982+BZ2982+CB2982+CD2982+CF2982+CH2982+CJ2982+CL2982+CN2982+CP2982+CR2982+CT2982</f>
        <v>0</v>
      </c>
      <c r="CV2982" s="76"/>
      <c r="CW2982" s="76">
        <f>+CV2982*1100</f>
        <v>0</v>
      </c>
      <c r="CX2982" s="76"/>
      <c r="CY2982" s="76">
        <f>+CX2982*106250</f>
        <v>0</v>
      </c>
      <c r="CZ2982" s="76"/>
      <c r="DA2982" s="76">
        <f>+CZ2982*34500</f>
        <v>0</v>
      </c>
      <c r="DB2982" s="76"/>
      <c r="DC2982" s="76">
        <f>+DB2982*25000</f>
        <v>0</v>
      </c>
      <c r="DD2982" s="219"/>
      <c r="DE2982" s="219"/>
      <c r="DF2982" s="166"/>
      <c r="DG2982" s="116"/>
      <c r="DH2982" s="117"/>
      <c r="DI2982" s="24"/>
      <c r="DJ2982" s="24"/>
      <c r="DK2982" s="24"/>
      <c r="DL2982" s="24"/>
      <c r="DM2982" s="24"/>
      <c r="DN2982" s="24"/>
      <c r="DO2982" s="24"/>
      <c r="DP2982" s="24"/>
      <c r="DQ2982" s="24"/>
      <c r="DR2982" s="24"/>
      <c r="DS2982" s="24"/>
      <c r="DT2982" s="24"/>
      <c r="DU2982" s="24"/>
    </row>
    <row r="2983" spans="1:125" s="8" customFormat="1" ht="48" x14ac:dyDescent="0.2">
      <c r="A2983" s="77">
        <v>41526</v>
      </c>
      <c r="B2983" s="352" t="s">
        <v>3136</v>
      </c>
      <c r="C2983" s="354" t="s">
        <v>403</v>
      </c>
      <c r="D2983" s="354" t="s">
        <v>3051</v>
      </c>
      <c r="E2983" s="296" t="str">
        <f>VLOOKUP(B2983&amp;C2983,Divipola!$C$2:$F$1138,4,FALSE)</f>
        <v>44430</v>
      </c>
      <c r="F2983" s="87"/>
      <c r="G2983" s="87"/>
      <c r="H2983" s="87"/>
      <c r="I2983" s="87"/>
      <c r="J2983" s="87"/>
      <c r="K2983" s="87"/>
      <c r="L2983" s="87"/>
      <c r="M2983" s="87"/>
      <c r="N2983" s="87"/>
      <c r="O2983" s="87"/>
      <c r="P2983" s="87"/>
      <c r="Q2983" s="87"/>
      <c r="R2983" s="87"/>
      <c r="S2983" s="87"/>
      <c r="T2983" s="87"/>
      <c r="U2983" s="88"/>
      <c r="V2983" s="89"/>
      <c r="W2983" s="96">
        <v>0</v>
      </c>
      <c r="X2983" s="71">
        <f>CU2983</f>
        <v>0</v>
      </c>
      <c r="Y2983" s="71">
        <f>CY2983</f>
        <v>0</v>
      </c>
      <c r="Z2983" s="71">
        <f>DA2983+DC2983+DE2983</f>
        <v>0</v>
      </c>
      <c r="AA2983" s="71">
        <f>CW2983</f>
        <v>0</v>
      </c>
      <c r="AB2983" s="71"/>
      <c r="AC2983" s="71">
        <v>0</v>
      </c>
      <c r="AD2983" s="71">
        <f>W2983+X2983+Y2983+Z2983+AA2983+AB2983+AC2983</f>
        <v>0</v>
      </c>
      <c r="AE2983" s="72">
        <v>0</v>
      </c>
      <c r="AF2983" s="5"/>
      <c r="AG2983" s="6"/>
      <c r="AH2983" s="27"/>
      <c r="AI2983" s="44"/>
      <c r="AJ2983" s="26"/>
      <c r="AK2983" s="5"/>
      <c r="AL2983" s="82" t="s">
        <v>5857</v>
      </c>
      <c r="AM2983" s="76"/>
      <c r="AN2983" s="76"/>
      <c r="AO2983" s="76"/>
      <c r="AP2983" s="76"/>
      <c r="AQ2983" s="76"/>
      <c r="AR2983" s="76"/>
      <c r="AS2983" s="76"/>
      <c r="AT2983" s="76"/>
      <c r="AU2983" s="76"/>
      <c r="AV2983" s="76"/>
      <c r="AW2983" s="76"/>
      <c r="AX2983" s="76">
        <f>+AW2983*600000</f>
        <v>0</v>
      </c>
      <c r="AY2983" s="76"/>
      <c r="AZ2983" s="76">
        <f>+AY2983*70000</f>
        <v>0</v>
      </c>
      <c r="BA2983" s="76"/>
      <c r="BB2983" s="76"/>
      <c r="BC2983" s="76"/>
      <c r="BD2983" s="76">
        <f>+BC2983*30000</f>
        <v>0</v>
      </c>
      <c r="BE2983" s="76"/>
      <c r="BF2983" s="76"/>
      <c r="BG2983" s="76"/>
      <c r="BH2983" s="76"/>
      <c r="BI2983" s="76"/>
      <c r="BJ2983" s="76"/>
      <c r="BK2983" s="76"/>
      <c r="BL2983" s="76">
        <f>+BK2983*31500</f>
        <v>0</v>
      </c>
      <c r="BM2983" s="76"/>
      <c r="BN2983" s="76"/>
      <c r="BO2983" s="76"/>
      <c r="BP2983" s="76"/>
      <c r="BQ2983" s="76"/>
      <c r="BR2983" s="76"/>
      <c r="BS2983" s="76"/>
      <c r="BT2983" s="76"/>
      <c r="BU2983" s="76"/>
      <c r="BV2983" s="76"/>
      <c r="BW2983" s="76"/>
      <c r="BX2983" s="76"/>
      <c r="BY2983" s="76"/>
      <c r="BZ2983" s="76"/>
      <c r="CA2983" s="76"/>
      <c r="CB2983" s="76"/>
      <c r="CC2983" s="76"/>
      <c r="CD2983" s="76"/>
      <c r="CE2983" s="76"/>
      <c r="CF2983" s="76">
        <f>+CE2983*28000</f>
        <v>0</v>
      </c>
      <c r="CG2983" s="76"/>
      <c r="CH2983" s="76">
        <f>+CG2983*22500</f>
        <v>0</v>
      </c>
      <c r="CI2983" s="76"/>
      <c r="CJ2983" s="76">
        <f>+CI2983*26000</f>
        <v>0</v>
      </c>
      <c r="CK2983" s="76"/>
      <c r="CL2983" s="76"/>
      <c r="CM2983" s="76"/>
      <c r="CN2983" s="76">
        <f>+CM2983*22000</f>
        <v>0</v>
      </c>
      <c r="CO2983" s="76"/>
      <c r="CP2983" s="76">
        <f>+CO2983*46000</f>
        <v>0</v>
      </c>
      <c r="CQ2983" s="76"/>
      <c r="CR2983" s="76">
        <f>+CQ2983*49000</f>
        <v>0</v>
      </c>
      <c r="CS2983" s="76"/>
      <c r="CT2983" s="76"/>
      <c r="CU2983" s="56">
        <f>AN2983+AP2983+AR2983+AT2983+AV2983+AX2983+AZ2983+BB2983+BD2983+BF2983+BH2983+BJ2983+BL2983+BN2983+BP2983+BR2983+BT2983+BV2983+BX2983+BZ2983+CB2983+CD2983+CF2983+CH2983+CJ2983+CL2983+CN2983+CP2983+CR2983+CT2983</f>
        <v>0</v>
      </c>
      <c r="CV2983" s="76"/>
      <c r="CW2983" s="76">
        <f>+CV2983*1100</f>
        <v>0</v>
      </c>
      <c r="CX2983" s="76"/>
      <c r="CY2983" s="76">
        <f>+CX2983*106250</f>
        <v>0</v>
      </c>
      <c r="CZ2983" s="76"/>
      <c r="DA2983" s="76">
        <f>+CZ2983*34500</f>
        <v>0</v>
      </c>
      <c r="DB2983" s="76"/>
      <c r="DC2983" s="76">
        <f>+DB2983*25000</f>
        <v>0</v>
      </c>
      <c r="DD2983" s="219"/>
      <c r="DE2983" s="219"/>
      <c r="DF2983" s="166"/>
      <c r="DG2983" s="116"/>
      <c r="DH2983" s="117"/>
      <c r="DI2983" s="24"/>
      <c r="DJ2983" s="24"/>
      <c r="DK2983" s="24"/>
      <c r="DL2983" s="24"/>
      <c r="DM2983" s="24"/>
      <c r="DN2983" s="24"/>
      <c r="DO2983" s="24"/>
      <c r="DP2983" s="24"/>
      <c r="DQ2983" s="24"/>
      <c r="DR2983" s="24"/>
      <c r="DS2983" s="24"/>
      <c r="DT2983" s="24"/>
      <c r="DU2983" s="24"/>
    </row>
    <row r="2984" spans="1:125" s="8" customFormat="1" ht="48" x14ac:dyDescent="0.2">
      <c r="A2984" s="77">
        <v>41526</v>
      </c>
      <c r="B2984" s="352" t="s">
        <v>3136</v>
      </c>
      <c r="C2984" s="354" t="s">
        <v>408</v>
      </c>
      <c r="D2984" s="354" t="s">
        <v>3051</v>
      </c>
      <c r="E2984" s="296" t="str">
        <f>VLOOKUP(B2984&amp;C2984,Divipola!$C$2:$F$1138,4,FALSE)</f>
        <v>44847</v>
      </c>
      <c r="F2984" s="87"/>
      <c r="G2984" s="87"/>
      <c r="H2984" s="87"/>
      <c r="I2984" s="87"/>
      <c r="J2984" s="87"/>
      <c r="K2984" s="87"/>
      <c r="L2984" s="87"/>
      <c r="M2984" s="87"/>
      <c r="N2984" s="87"/>
      <c r="O2984" s="87"/>
      <c r="P2984" s="87"/>
      <c r="Q2984" s="87"/>
      <c r="R2984" s="87"/>
      <c r="S2984" s="87"/>
      <c r="T2984" s="87"/>
      <c r="U2984" s="88"/>
      <c r="V2984" s="89"/>
      <c r="W2984" s="96">
        <v>0</v>
      </c>
      <c r="X2984" s="71">
        <f>CU2984</f>
        <v>0</v>
      </c>
      <c r="Y2984" s="71">
        <f>CY2984</f>
        <v>0</v>
      </c>
      <c r="Z2984" s="71">
        <f>DA2984+DC2984+DE2984</f>
        <v>0</v>
      </c>
      <c r="AA2984" s="71">
        <f>CW2984</f>
        <v>0</v>
      </c>
      <c r="AB2984" s="71"/>
      <c r="AC2984" s="71">
        <v>0</v>
      </c>
      <c r="AD2984" s="71">
        <f>W2984+X2984+Y2984+Z2984+AA2984+AB2984+AC2984</f>
        <v>0</v>
      </c>
      <c r="AE2984" s="72">
        <v>0</v>
      </c>
      <c r="AF2984" s="5"/>
      <c r="AG2984" s="6"/>
      <c r="AH2984" s="27"/>
      <c r="AI2984" s="44"/>
      <c r="AJ2984" s="26"/>
      <c r="AK2984" s="5"/>
      <c r="AL2984" s="82" t="s">
        <v>5857</v>
      </c>
      <c r="AM2984" s="76"/>
      <c r="AN2984" s="76"/>
      <c r="AO2984" s="76"/>
      <c r="AP2984" s="76"/>
      <c r="AQ2984" s="76"/>
      <c r="AR2984" s="76"/>
      <c r="AS2984" s="76"/>
      <c r="AT2984" s="76"/>
      <c r="AU2984" s="76"/>
      <c r="AV2984" s="76"/>
      <c r="AW2984" s="76"/>
      <c r="AX2984" s="76">
        <f>+AW2984*600000</f>
        <v>0</v>
      </c>
      <c r="AY2984" s="76"/>
      <c r="AZ2984" s="76">
        <f>+AY2984*70000</f>
        <v>0</v>
      </c>
      <c r="BA2984" s="76"/>
      <c r="BB2984" s="76"/>
      <c r="BC2984" s="76"/>
      <c r="BD2984" s="76">
        <f>+BC2984*30000</f>
        <v>0</v>
      </c>
      <c r="BE2984" s="76"/>
      <c r="BF2984" s="76"/>
      <c r="BG2984" s="76"/>
      <c r="BH2984" s="76"/>
      <c r="BI2984" s="76"/>
      <c r="BJ2984" s="76"/>
      <c r="BK2984" s="76"/>
      <c r="BL2984" s="76">
        <f>+BK2984*31500</f>
        <v>0</v>
      </c>
      <c r="BM2984" s="76"/>
      <c r="BN2984" s="76"/>
      <c r="BO2984" s="76"/>
      <c r="BP2984" s="76"/>
      <c r="BQ2984" s="76"/>
      <c r="BR2984" s="76"/>
      <c r="BS2984" s="76"/>
      <c r="BT2984" s="76"/>
      <c r="BU2984" s="76"/>
      <c r="BV2984" s="76"/>
      <c r="BW2984" s="76"/>
      <c r="BX2984" s="76"/>
      <c r="BY2984" s="76"/>
      <c r="BZ2984" s="76"/>
      <c r="CA2984" s="76"/>
      <c r="CB2984" s="76"/>
      <c r="CC2984" s="76"/>
      <c r="CD2984" s="76"/>
      <c r="CE2984" s="76"/>
      <c r="CF2984" s="76">
        <f>+CE2984*28000</f>
        <v>0</v>
      </c>
      <c r="CG2984" s="76"/>
      <c r="CH2984" s="76">
        <f>+CG2984*22500</f>
        <v>0</v>
      </c>
      <c r="CI2984" s="76"/>
      <c r="CJ2984" s="76">
        <f>+CI2984*26000</f>
        <v>0</v>
      </c>
      <c r="CK2984" s="76"/>
      <c r="CL2984" s="76"/>
      <c r="CM2984" s="76"/>
      <c r="CN2984" s="76">
        <f>+CM2984*22000</f>
        <v>0</v>
      </c>
      <c r="CO2984" s="76"/>
      <c r="CP2984" s="76">
        <f>+CO2984*46000</f>
        <v>0</v>
      </c>
      <c r="CQ2984" s="76"/>
      <c r="CR2984" s="76">
        <f>+CQ2984*49000</f>
        <v>0</v>
      </c>
      <c r="CS2984" s="76"/>
      <c r="CT2984" s="76"/>
      <c r="CU2984" s="56">
        <f>AN2984+AP2984+AR2984+AT2984+AV2984+AX2984+AZ2984+BB2984+BD2984+BF2984+BH2984+BJ2984+BL2984+BN2984+BP2984+BR2984+BT2984+BV2984+BX2984+BZ2984+CB2984+CD2984+CF2984+CH2984+CJ2984+CL2984+CN2984+CP2984+CR2984+CT2984</f>
        <v>0</v>
      </c>
      <c r="CV2984" s="76"/>
      <c r="CW2984" s="76">
        <f>+CV2984*1100</f>
        <v>0</v>
      </c>
      <c r="CX2984" s="76"/>
      <c r="CY2984" s="76">
        <f>+CX2984*106250</f>
        <v>0</v>
      </c>
      <c r="CZ2984" s="76"/>
      <c r="DA2984" s="76">
        <f>+CZ2984*34500</f>
        <v>0</v>
      </c>
      <c r="DB2984" s="76"/>
      <c r="DC2984" s="76">
        <f>+DB2984*25000</f>
        <v>0</v>
      </c>
      <c r="DD2984" s="219"/>
      <c r="DE2984" s="219"/>
      <c r="DF2984" s="166"/>
      <c r="DG2984" s="116"/>
      <c r="DH2984" s="117"/>
      <c r="DI2984" s="24"/>
      <c r="DJ2984" s="24"/>
      <c r="DK2984" s="24"/>
      <c r="DL2984" s="24"/>
      <c r="DM2984" s="24"/>
      <c r="DN2984" s="24"/>
      <c r="DO2984" s="24"/>
      <c r="DP2984" s="24"/>
      <c r="DQ2984" s="24"/>
      <c r="DR2984" s="24"/>
      <c r="DS2984" s="24"/>
      <c r="DT2984" s="24"/>
      <c r="DU2984" s="24"/>
    </row>
    <row r="2985" spans="1:125" s="8" customFormat="1" ht="48" x14ac:dyDescent="0.2">
      <c r="A2985" s="77">
        <v>41526</v>
      </c>
      <c r="B2985" s="78" t="s">
        <v>2906</v>
      </c>
      <c r="C2985" s="75" t="s">
        <v>2741</v>
      </c>
      <c r="D2985" s="75" t="s">
        <v>2882</v>
      </c>
      <c r="E2985" s="296" t="str">
        <f>VLOOKUP(B2985&amp;C2985,Divipola!$C$2:$F$1138,4,FALSE)</f>
        <v>47245</v>
      </c>
      <c r="F2985" s="87"/>
      <c r="G2985" s="87"/>
      <c r="H2985" s="87"/>
      <c r="I2985" s="87">
        <v>100</v>
      </c>
      <c r="J2985" s="87">
        <v>20</v>
      </c>
      <c r="K2985" s="87"/>
      <c r="L2985" s="87">
        <v>15</v>
      </c>
      <c r="M2985" s="87"/>
      <c r="N2985" s="87"/>
      <c r="O2985" s="87"/>
      <c r="P2985" s="87"/>
      <c r="Q2985" s="87"/>
      <c r="R2985" s="87"/>
      <c r="S2985" s="87"/>
      <c r="T2985" s="87"/>
      <c r="U2985" s="88"/>
      <c r="V2985" s="89"/>
      <c r="W2985" s="96">
        <v>0</v>
      </c>
      <c r="X2985" s="71">
        <f>CU2985</f>
        <v>0</v>
      </c>
      <c r="Y2985" s="71">
        <f>CY2985</f>
        <v>0</v>
      </c>
      <c r="Z2985" s="71">
        <f>DA2985+DC2985+DE2985</f>
        <v>0</v>
      </c>
      <c r="AA2985" s="71">
        <f>CW2985</f>
        <v>0</v>
      </c>
      <c r="AB2985" s="71"/>
      <c r="AC2985" s="71">
        <v>0</v>
      </c>
      <c r="AD2985" s="71">
        <f>W2985+X2985+Y2985+Z2985+AA2985+AB2985+AC2985</f>
        <v>0</v>
      </c>
      <c r="AE2985" s="72">
        <v>0</v>
      </c>
      <c r="AF2985" s="5"/>
      <c r="AG2985" s="6"/>
      <c r="AH2985" s="27"/>
      <c r="AI2985" s="44"/>
      <c r="AJ2985" s="26"/>
      <c r="AK2985" s="5"/>
      <c r="AL2985" s="82" t="s">
        <v>5864</v>
      </c>
      <c r="AM2985" s="76"/>
      <c r="AN2985" s="76"/>
      <c r="AO2985" s="76"/>
      <c r="AP2985" s="76"/>
      <c r="AQ2985" s="76"/>
      <c r="AR2985" s="76"/>
      <c r="AS2985" s="76"/>
      <c r="AT2985" s="76"/>
      <c r="AU2985" s="76"/>
      <c r="AV2985" s="76"/>
      <c r="AW2985" s="76"/>
      <c r="AX2985" s="76">
        <f>+AW2985*600000</f>
        <v>0</v>
      </c>
      <c r="AY2985" s="76"/>
      <c r="AZ2985" s="76">
        <f>+AY2985*70000</f>
        <v>0</v>
      </c>
      <c r="BA2985" s="76"/>
      <c r="BB2985" s="76"/>
      <c r="BC2985" s="76"/>
      <c r="BD2985" s="76">
        <f>+BC2985*30000</f>
        <v>0</v>
      </c>
      <c r="BE2985" s="76"/>
      <c r="BF2985" s="76"/>
      <c r="BG2985" s="76"/>
      <c r="BH2985" s="76"/>
      <c r="BI2985" s="76"/>
      <c r="BJ2985" s="76"/>
      <c r="BK2985" s="76"/>
      <c r="BL2985" s="76">
        <f>+BK2985*31500</f>
        <v>0</v>
      </c>
      <c r="BM2985" s="76"/>
      <c r="BN2985" s="76"/>
      <c r="BO2985" s="76"/>
      <c r="BP2985" s="76"/>
      <c r="BQ2985" s="76"/>
      <c r="BR2985" s="76"/>
      <c r="BS2985" s="76"/>
      <c r="BT2985" s="76"/>
      <c r="BU2985" s="76"/>
      <c r="BV2985" s="76"/>
      <c r="BW2985" s="76"/>
      <c r="BX2985" s="76"/>
      <c r="BY2985" s="76"/>
      <c r="BZ2985" s="76"/>
      <c r="CA2985" s="76"/>
      <c r="CB2985" s="76"/>
      <c r="CC2985" s="76"/>
      <c r="CD2985" s="76"/>
      <c r="CE2985" s="76"/>
      <c r="CF2985" s="76">
        <f>+CE2985*28000</f>
        <v>0</v>
      </c>
      <c r="CG2985" s="76"/>
      <c r="CH2985" s="76">
        <f>+CG2985*22500</f>
        <v>0</v>
      </c>
      <c r="CI2985" s="76"/>
      <c r="CJ2985" s="76">
        <f>+CI2985*26000</f>
        <v>0</v>
      </c>
      <c r="CK2985" s="76"/>
      <c r="CL2985" s="76"/>
      <c r="CM2985" s="76"/>
      <c r="CN2985" s="76">
        <f>+CM2985*22000</f>
        <v>0</v>
      </c>
      <c r="CO2985" s="76"/>
      <c r="CP2985" s="76">
        <f>+CO2985*46000</f>
        <v>0</v>
      </c>
      <c r="CQ2985" s="76"/>
      <c r="CR2985" s="76">
        <f>+CQ2985*49000</f>
        <v>0</v>
      </c>
      <c r="CS2985" s="76"/>
      <c r="CT2985" s="76"/>
      <c r="CU2985" s="56">
        <f>AN2985+AP2985+AR2985+AT2985+AV2985+AX2985+AZ2985+BB2985+BD2985+BF2985+BH2985+BJ2985+BL2985+BN2985+BP2985+BR2985+BT2985+BV2985+BX2985+BZ2985+CB2985+CD2985+CF2985+CH2985+CJ2985+CL2985+CN2985+CP2985+CR2985+CT2985</f>
        <v>0</v>
      </c>
      <c r="CV2985" s="76"/>
      <c r="CW2985" s="76">
        <f>+CV2985*1100</f>
        <v>0</v>
      </c>
      <c r="CX2985" s="76"/>
      <c r="CY2985" s="76">
        <f>+CX2985*106250</f>
        <v>0</v>
      </c>
      <c r="CZ2985" s="76"/>
      <c r="DA2985" s="76">
        <f>+CZ2985*34500</f>
        <v>0</v>
      </c>
      <c r="DB2985" s="76"/>
      <c r="DC2985" s="76">
        <f>+DB2985*25000</f>
        <v>0</v>
      </c>
      <c r="DD2985" s="219"/>
      <c r="DE2985" s="219"/>
      <c r="DF2985" s="166"/>
      <c r="DG2985" s="116"/>
      <c r="DH2985" s="117"/>
      <c r="DI2985" s="24"/>
      <c r="DJ2985" s="24"/>
      <c r="DK2985" s="24"/>
      <c r="DL2985" s="24"/>
      <c r="DM2985" s="24"/>
      <c r="DN2985" s="24"/>
      <c r="DO2985" s="24"/>
      <c r="DP2985" s="24"/>
      <c r="DQ2985" s="24"/>
      <c r="DR2985" s="24"/>
      <c r="DS2985" s="24"/>
      <c r="DT2985" s="24"/>
      <c r="DU2985" s="24"/>
    </row>
    <row r="2986" spans="1:125" s="8" customFormat="1" ht="72" x14ac:dyDescent="0.2">
      <c r="A2986" s="77">
        <v>41526</v>
      </c>
      <c r="B2986" s="78" t="s">
        <v>2880</v>
      </c>
      <c r="C2986" s="75" t="s">
        <v>2203</v>
      </c>
      <c r="D2986" s="75" t="s">
        <v>3017</v>
      </c>
      <c r="E2986" s="296" t="str">
        <f>VLOOKUP(B2986&amp;C2986,Divipola!$C$2:$F$1138,4,FALSE)</f>
        <v>54344</v>
      </c>
      <c r="F2986" s="87"/>
      <c r="G2986" s="87">
        <v>5</v>
      </c>
      <c r="H2986" s="87"/>
      <c r="I2986" s="87"/>
      <c r="J2986" s="87"/>
      <c r="K2986" s="87"/>
      <c r="L2986" s="87"/>
      <c r="M2986" s="87"/>
      <c r="N2986" s="87"/>
      <c r="O2986" s="87"/>
      <c r="P2986" s="87"/>
      <c r="Q2986" s="87"/>
      <c r="R2986" s="87"/>
      <c r="S2986" s="87"/>
      <c r="T2986" s="87"/>
      <c r="U2986" s="88"/>
      <c r="V2986" s="89"/>
      <c r="W2986" s="96">
        <v>0</v>
      </c>
      <c r="X2986" s="71">
        <f>CU2986</f>
        <v>0</v>
      </c>
      <c r="Y2986" s="71">
        <f>CY2986</f>
        <v>0</v>
      </c>
      <c r="Z2986" s="71">
        <f>DA2986+DC2986+DE2986</f>
        <v>0</v>
      </c>
      <c r="AA2986" s="71">
        <f>CW2986</f>
        <v>0</v>
      </c>
      <c r="AB2986" s="71"/>
      <c r="AC2986" s="71">
        <v>0</v>
      </c>
      <c r="AD2986" s="71">
        <f>W2986+X2986+Y2986+Z2986+AA2986+AB2986+AC2986</f>
        <v>0</v>
      </c>
      <c r="AE2986" s="72">
        <v>0</v>
      </c>
      <c r="AF2986" s="5"/>
      <c r="AG2986" s="6"/>
      <c r="AH2986" s="27"/>
      <c r="AI2986" s="44"/>
      <c r="AJ2986" s="26"/>
      <c r="AK2986" s="5"/>
      <c r="AL2986" s="301" t="s">
        <v>5891</v>
      </c>
      <c r="AM2986" s="76"/>
      <c r="AN2986" s="76"/>
      <c r="AO2986" s="76"/>
      <c r="AP2986" s="76"/>
      <c r="AQ2986" s="76"/>
      <c r="AR2986" s="76"/>
      <c r="AS2986" s="76"/>
      <c r="AT2986" s="76"/>
      <c r="AU2986" s="76"/>
      <c r="AV2986" s="76"/>
      <c r="AW2986" s="76"/>
      <c r="AX2986" s="76">
        <f>+AW2986*600000</f>
        <v>0</v>
      </c>
      <c r="AY2986" s="76"/>
      <c r="AZ2986" s="76">
        <f>+AY2986*70000</f>
        <v>0</v>
      </c>
      <c r="BA2986" s="76"/>
      <c r="BB2986" s="76"/>
      <c r="BC2986" s="76"/>
      <c r="BD2986" s="76">
        <f>+BC2986*30000</f>
        <v>0</v>
      </c>
      <c r="BE2986" s="76"/>
      <c r="BF2986" s="76"/>
      <c r="BG2986" s="76"/>
      <c r="BH2986" s="76"/>
      <c r="BI2986" s="76"/>
      <c r="BJ2986" s="76"/>
      <c r="BK2986" s="76"/>
      <c r="BL2986" s="76">
        <f>+BK2986*31500</f>
        <v>0</v>
      </c>
      <c r="BM2986" s="76"/>
      <c r="BN2986" s="76"/>
      <c r="BO2986" s="76"/>
      <c r="BP2986" s="76"/>
      <c r="BQ2986" s="76"/>
      <c r="BR2986" s="76"/>
      <c r="BS2986" s="76"/>
      <c r="BT2986" s="76"/>
      <c r="BU2986" s="76"/>
      <c r="BV2986" s="76"/>
      <c r="BW2986" s="76"/>
      <c r="BX2986" s="76"/>
      <c r="BY2986" s="76"/>
      <c r="BZ2986" s="76"/>
      <c r="CA2986" s="76"/>
      <c r="CB2986" s="76"/>
      <c r="CC2986" s="76"/>
      <c r="CD2986" s="76"/>
      <c r="CE2986" s="76"/>
      <c r="CF2986" s="76">
        <f>+CE2986*28000</f>
        <v>0</v>
      </c>
      <c r="CG2986" s="76"/>
      <c r="CH2986" s="76">
        <f>+CG2986*22500</f>
        <v>0</v>
      </c>
      <c r="CI2986" s="76"/>
      <c r="CJ2986" s="76">
        <f>+CI2986*26000</f>
        <v>0</v>
      </c>
      <c r="CK2986" s="76"/>
      <c r="CL2986" s="76"/>
      <c r="CM2986" s="76"/>
      <c r="CN2986" s="76">
        <f>+CM2986*22000</f>
        <v>0</v>
      </c>
      <c r="CO2986" s="76"/>
      <c r="CP2986" s="76">
        <f>+CO2986*46000</f>
        <v>0</v>
      </c>
      <c r="CQ2986" s="76"/>
      <c r="CR2986" s="76">
        <f>+CQ2986*49000</f>
        <v>0</v>
      </c>
      <c r="CS2986" s="76"/>
      <c r="CT2986" s="76"/>
      <c r="CU2986" s="56">
        <f>AN2986+AP2986+AR2986+AT2986+AV2986+AX2986+AZ2986+BB2986+BD2986+BF2986+BH2986+BJ2986+BL2986+BN2986+BP2986+BR2986+BT2986+BV2986+BX2986+BZ2986+CB2986+CD2986+CF2986+CH2986+CJ2986+CL2986+CN2986+CP2986+CR2986+CT2986</f>
        <v>0</v>
      </c>
      <c r="CV2986" s="76"/>
      <c r="CW2986" s="76">
        <f>+CV2986*1100</f>
        <v>0</v>
      </c>
      <c r="CX2986" s="76"/>
      <c r="CY2986" s="76">
        <f>+CX2986*106250</f>
        <v>0</v>
      </c>
      <c r="CZ2986" s="76"/>
      <c r="DA2986" s="76">
        <f>+CZ2986*34500</f>
        <v>0</v>
      </c>
      <c r="DB2986" s="76"/>
      <c r="DC2986" s="76">
        <f>+DB2986*25000</f>
        <v>0</v>
      </c>
      <c r="DD2986" s="219"/>
      <c r="DE2986" s="219"/>
      <c r="DF2986" s="166"/>
      <c r="DG2986" s="116"/>
      <c r="DH2986" s="117"/>
      <c r="DI2986" s="24"/>
      <c r="DJ2986" s="24"/>
      <c r="DK2986" s="24"/>
      <c r="DL2986" s="24"/>
      <c r="DM2986" s="24"/>
      <c r="DN2986" s="24"/>
      <c r="DO2986" s="24"/>
      <c r="DP2986" s="24"/>
      <c r="DQ2986" s="24"/>
      <c r="DR2986" s="24"/>
      <c r="DS2986" s="24"/>
      <c r="DT2986" s="24"/>
      <c r="DU2986" s="24"/>
    </row>
    <row r="2987" spans="1:125" s="8" customFormat="1" ht="24" x14ac:dyDescent="0.2">
      <c r="A2987" s="77">
        <v>41526</v>
      </c>
      <c r="B2987" s="208" t="s">
        <v>2774</v>
      </c>
      <c r="C2987" s="354" t="s">
        <v>1347</v>
      </c>
      <c r="D2987" s="354" t="s">
        <v>2882</v>
      </c>
      <c r="E2987" s="296" t="str">
        <f>VLOOKUP(B2987&amp;C2987,Divipola!$C$2:$F$1138,4,FALSE)</f>
        <v>66001</v>
      </c>
      <c r="F2987" s="87"/>
      <c r="G2987" s="87"/>
      <c r="H2987" s="87"/>
      <c r="I2987" s="87">
        <v>25</v>
      </c>
      <c r="J2987" s="87">
        <v>5</v>
      </c>
      <c r="K2987" s="87"/>
      <c r="L2987" s="87">
        <v>5</v>
      </c>
      <c r="M2987" s="87"/>
      <c r="N2987" s="87"/>
      <c r="O2987" s="87"/>
      <c r="P2987" s="87"/>
      <c r="Q2987" s="87"/>
      <c r="R2987" s="87"/>
      <c r="S2987" s="87"/>
      <c r="T2987" s="87"/>
      <c r="U2987" s="88"/>
      <c r="V2987" s="89"/>
      <c r="W2987" s="96">
        <v>0</v>
      </c>
      <c r="X2987" s="71">
        <f>CU2987</f>
        <v>0</v>
      </c>
      <c r="Y2987" s="71">
        <f>CY2987</f>
        <v>0</v>
      </c>
      <c r="Z2987" s="71">
        <f>DA2987+DC2987+DE2987</f>
        <v>0</v>
      </c>
      <c r="AA2987" s="71">
        <f>CW2987</f>
        <v>0</v>
      </c>
      <c r="AB2987" s="71"/>
      <c r="AC2987" s="71">
        <v>0</v>
      </c>
      <c r="AD2987" s="71">
        <f>W2987+X2987+Y2987+Z2987+AA2987+AB2987+AC2987</f>
        <v>0</v>
      </c>
      <c r="AE2987" s="72">
        <v>0</v>
      </c>
      <c r="AF2987" s="5"/>
      <c r="AG2987" s="6"/>
      <c r="AH2987" s="27"/>
      <c r="AI2987" s="44"/>
      <c r="AJ2987" s="26"/>
      <c r="AK2987" s="5"/>
      <c r="AL2987" s="82" t="s">
        <v>5861</v>
      </c>
      <c r="AM2987" s="76"/>
      <c r="AN2987" s="76"/>
      <c r="AO2987" s="76"/>
      <c r="AP2987" s="76"/>
      <c r="AQ2987" s="76"/>
      <c r="AR2987" s="76"/>
      <c r="AS2987" s="76"/>
      <c r="AT2987" s="76"/>
      <c r="AU2987" s="76"/>
      <c r="AV2987" s="76"/>
      <c r="AW2987" s="76"/>
      <c r="AX2987" s="76">
        <f>+AW2987*600000</f>
        <v>0</v>
      </c>
      <c r="AY2987" s="76"/>
      <c r="AZ2987" s="76">
        <f>+AY2987*70000</f>
        <v>0</v>
      </c>
      <c r="BA2987" s="76"/>
      <c r="BB2987" s="76"/>
      <c r="BC2987" s="76"/>
      <c r="BD2987" s="76">
        <f>+BC2987*30000</f>
        <v>0</v>
      </c>
      <c r="BE2987" s="76"/>
      <c r="BF2987" s="76"/>
      <c r="BG2987" s="76"/>
      <c r="BH2987" s="76"/>
      <c r="BI2987" s="76"/>
      <c r="BJ2987" s="76"/>
      <c r="BK2987" s="76"/>
      <c r="BL2987" s="76">
        <f>+BK2987*31500</f>
        <v>0</v>
      </c>
      <c r="BM2987" s="76"/>
      <c r="BN2987" s="76"/>
      <c r="BO2987" s="76"/>
      <c r="BP2987" s="76"/>
      <c r="BQ2987" s="76"/>
      <c r="BR2987" s="76"/>
      <c r="BS2987" s="76"/>
      <c r="BT2987" s="76"/>
      <c r="BU2987" s="76"/>
      <c r="BV2987" s="76"/>
      <c r="BW2987" s="76"/>
      <c r="BX2987" s="76"/>
      <c r="BY2987" s="76"/>
      <c r="BZ2987" s="76"/>
      <c r="CA2987" s="76"/>
      <c r="CB2987" s="76"/>
      <c r="CC2987" s="76"/>
      <c r="CD2987" s="76"/>
      <c r="CE2987" s="76"/>
      <c r="CF2987" s="76">
        <f>+CE2987*28000</f>
        <v>0</v>
      </c>
      <c r="CG2987" s="76"/>
      <c r="CH2987" s="76">
        <f>+CG2987*22500</f>
        <v>0</v>
      </c>
      <c r="CI2987" s="76"/>
      <c r="CJ2987" s="76">
        <f>+CI2987*26000</f>
        <v>0</v>
      </c>
      <c r="CK2987" s="76"/>
      <c r="CL2987" s="76"/>
      <c r="CM2987" s="76"/>
      <c r="CN2987" s="76">
        <f>+CM2987*22000</f>
        <v>0</v>
      </c>
      <c r="CO2987" s="76"/>
      <c r="CP2987" s="76">
        <f>+CO2987*46000</f>
        <v>0</v>
      </c>
      <c r="CQ2987" s="76"/>
      <c r="CR2987" s="76">
        <f>+CQ2987*49000</f>
        <v>0</v>
      </c>
      <c r="CS2987" s="76"/>
      <c r="CT2987" s="76"/>
      <c r="CU2987" s="56">
        <f>AN2987+AP2987+AR2987+AT2987+AV2987+AX2987+AZ2987+BB2987+BD2987+BF2987+BH2987+BJ2987+BL2987+BN2987+BP2987+BR2987+BT2987+BV2987+BX2987+BZ2987+CB2987+CD2987+CF2987+CH2987+CJ2987+CL2987+CN2987+CP2987+CR2987+CT2987</f>
        <v>0</v>
      </c>
      <c r="CV2987" s="76"/>
      <c r="CW2987" s="76">
        <f>+CV2987*1100</f>
        <v>0</v>
      </c>
      <c r="CX2987" s="76"/>
      <c r="CY2987" s="76">
        <f>+CX2987*106250</f>
        <v>0</v>
      </c>
      <c r="CZ2987" s="76"/>
      <c r="DA2987" s="76">
        <f>+CZ2987*34500</f>
        <v>0</v>
      </c>
      <c r="DB2987" s="76"/>
      <c r="DC2987" s="76">
        <f>+DB2987*25000</f>
        <v>0</v>
      </c>
      <c r="DD2987" s="219"/>
      <c r="DE2987" s="219"/>
      <c r="DF2987" s="166"/>
      <c r="DG2987" s="116"/>
      <c r="DH2987" s="117"/>
      <c r="DI2987" s="24"/>
      <c r="DJ2987" s="24"/>
      <c r="DK2987" s="24"/>
      <c r="DL2987" s="24"/>
      <c r="DM2987" s="24"/>
      <c r="DN2987" s="24"/>
      <c r="DO2987" s="24"/>
      <c r="DP2987" s="24"/>
      <c r="DQ2987" s="24"/>
      <c r="DR2987" s="24"/>
      <c r="DS2987" s="24"/>
      <c r="DT2987" s="24"/>
      <c r="DU2987" s="24"/>
    </row>
    <row r="2988" spans="1:125" s="8" customFormat="1" ht="60" x14ac:dyDescent="0.2">
      <c r="A2988" s="77">
        <v>41526</v>
      </c>
      <c r="B2988" s="60" t="s">
        <v>2848</v>
      </c>
      <c r="C2988" s="55" t="s">
        <v>2191</v>
      </c>
      <c r="D2988" s="55" t="s">
        <v>2846</v>
      </c>
      <c r="E2988" s="296" t="str">
        <f>VLOOKUP(B2988&amp;C2988,Divipola!$C$2:$F$1138,4,FALSE)</f>
        <v>73319</v>
      </c>
      <c r="F2988" s="87"/>
      <c r="G2988" s="87"/>
      <c r="H2988" s="87"/>
      <c r="I2988" s="87"/>
      <c r="J2988" s="87"/>
      <c r="K2988" s="87"/>
      <c r="L2988" s="87"/>
      <c r="M2988" s="87"/>
      <c r="N2988" s="87"/>
      <c r="O2988" s="87"/>
      <c r="P2988" s="87"/>
      <c r="Q2988" s="87"/>
      <c r="R2988" s="87"/>
      <c r="S2988" s="87"/>
      <c r="T2988" s="87"/>
      <c r="U2988" s="88">
        <v>7</v>
      </c>
      <c r="V2988" s="89"/>
      <c r="W2988" s="96">
        <v>0</v>
      </c>
      <c r="X2988" s="71">
        <f>CU2988</f>
        <v>0</v>
      </c>
      <c r="Y2988" s="71">
        <f>CY2988</f>
        <v>0</v>
      </c>
      <c r="Z2988" s="71">
        <f>DA2988+DC2988+DE2988</f>
        <v>0</v>
      </c>
      <c r="AA2988" s="71">
        <f>CW2988</f>
        <v>0</v>
      </c>
      <c r="AB2988" s="71"/>
      <c r="AC2988" s="71">
        <v>0</v>
      </c>
      <c r="AD2988" s="71">
        <f>W2988+X2988+Y2988+Z2988+AA2988+AB2988+AC2988</f>
        <v>0</v>
      </c>
      <c r="AE2988" s="72">
        <v>0</v>
      </c>
      <c r="AF2988" s="5"/>
      <c r="AG2988" s="6"/>
      <c r="AH2988" s="27"/>
      <c r="AI2988" s="44"/>
      <c r="AJ2988" s="26"/>
      <c r="AK2988" s="5"/>
      <c r="AL2988" s="82" t="s">
        <v>5869</v>
      </c>
      <c r="AM2988" s="76"/>
      <c r="AN2988" s="76"/>
      <c r="AO2988" s="76"/>
      <c r="AP2988" s="76"/>
      <c r="AQ2988" s="76"/>
      <c r="AR2988" s="76"/>
      <c r="AS2988" s="76"/>
      <c r="AT2988" s="76"/>
      <c r="AU2988" s="76"/>
      <c r="AV2988" s="76"/>
      <c r="AW2988" s="76"/>
      <c r="AX2988" s="76">
        <f>+AW2988*600000</f>
        <v>0</v>
      </c>
      <c r="AY2988" s="76"/>
      <c r="AZ2988" s="76">
        <f>+AY2988*70000</f>
        <v>0</v>
      </c>
      <c r="BA2988" s="76"/>
      <c r="BB2988" s="76"/>
      <c r="BC2988" s="76"/>
      <c r="BD2988" s="76">
        <f>+BC2988*30000</f>
        <v>0</v>
      </c>
      <c r="BE2988" s="76"/>
      <c r="BF2988" s="76"/>
      <c r="BG2988" s="76"/>
      <c r="BH2988" s="76"/>
      <c r="BI2988" s="76"/>
      <c r="BJ2988" s="76"/>
      <c r="BK2988" s="76"/>
      <c r="BL2988" s="76">
        <f>+BK2988*31500</f>
        <v>0</v>
      </c>
      <c r="BM2988" s="76"/>
      <c r="BN2988" s="76"/>
      <c r="BO2988" s="76"/>
      <c r="BP2988" s="76"/>
      <c r="BQ2988" s="76"/>
      <c r="BR2988" s="76"/>
      <c r="BS2988" s="76"/>
      <c r="BT2988" s="76"/>
      <c r="BU2988" s="76"/>
      <c r="BV2988" s="76"/>
      <c r="BW2988" s="76"/>
      <c r="BX2988" s="76"/>
      <c r="BY2988" s="76"/>
      <c r="BZ2988" s="76"/>
      <c r="CA2988" s="76"/>
      <c r="CB2988" s="76"/>
      <c r="CC2988" s="76"/>
      <c r="CD2988" s="76"/>
      <c r="CE2988" s="76"/>
      <c r="CF2988" s="76">
        <f>+CE2988*28000</f>
        <v>0</v>
      </c>
      <c r="CG2988" s="76"/>
      <c r="CH2988" s="76">
        <f>+CG2988*22500</f>
        <v>0</v>
      </c>
      <c r="CI2988" s="76"/>
      <c r="CJ2988" s="76">
        <f>+CI2988*26000</f>
        <v>0</v>
      </c>
      <c r="CK2988" s="76"/>
      <c r="CL2988" s="76"/>
      <c r="CM2988" s="76"/>
      <c r="CN2988" s="76">
        <f>+CM2988*22000</f>
        <v>0</v>
      </c>
      <c r="CO2988" s="76"/>
      <c r="CP2988" s="76">
        <f>+CO2988*46000</f>
        <v>0</v>
      </c>
      <c r="CQ2988" s="76"/>
      <c r="CR2988" s="76">
        <f>+CQ2988*49000</f>
        <v>0</v>
      </c>
      <c r="CS2988" s="76"/>
      <c r="CT2988" s="76"/>
      <c r="CU2988" s="56">
        <f>AN2988+AP2988+AR2988+AT2988+AV2988+AX2988+AZ2988+BB2988+BD2988+BF2988+BH2988+BJ2988+BL2988+BN2988+BP2988+BR2988+BT2988+BV2988+BX2988+BZ2988+CB2988+CD2988+CF2988+CH2988+CJ2988+CL2988+CN2988+CP2988+CR2988+CT2988</f>
        <v>0</v>
      </c>
      <c r="CV2988" s="76"/>
      <c r="CW2988" s="76">
        <f>+CV2988*1100</f>
        <v>0</v>
      </c>
      <c r="CX2988" s="76"/>
      <c r="CY2988" s="76">
        <f>+CX2988*106250</f>
        <v>0</v>
      </c>
      <c r="CZ2988" s="76"/>
      <c r="DA2988" s="76">
        <f>+CZ2988*34500</f>
        <v>0</v>
      </c>
      <c r="DB2988" s="76"/>
      <c r="DC2988" s="76">
        <f>+DB2988*25000</f>
        <v>0</v>
      </c>
      <c r="DD2988" s="219"/>
      <c r="DE2988" s="219"/>
      <c r="DF2988" s="166"/>
      <c r="DG2988" s="116"/>
      <c r="DH2988" s="117"/>
      <c r="DI2988" s="24"/>
      <c r="DJ2988" s="24"/>
      <c r="DK2988" s="24"/>
      <c r="DL2988" s="24"/>
      <c r="DM2988" s="24"/>
      <c r="DN2988" s="24"/>
      <c r="DO2988" s="24"/>
      <c r="DP2988" s="24"/>
      <c r="DQ2988" s="24"/>
      <c r="DR2988" s="24"/>
      <c r="DS2988" s="24"/>
      <c r="DT2988" s="24"/>
      <c r="DU2988" s="24"/>
    </row>
    <row r="2989" spans="1:125" s="8" customFormat="1" ht="48" x14ac:dyDescent="0.2">
      <c r="A2989" s="77">
        <v>41526</v>
      </c>
      <c r="B2989" s="352" t="s">
        <v>2848</v>
      </c>
      <c r="C2989" s="354" t="s">
        <v>2755</v>
      </c>
      <c r="D2989" s="354" t="s">
        <v>2882</v>
      </c>
      <c r="E2989" s="296" t="str">
        <f>VLOOKUP(B2989&amp;C2989,Divipola!$C$2:$F$1138,4,FALSE)</f>
        <v>73001</v>
      </c>
      <c r="F2989" s="87"/>
      <c r="G2989" s="87"/>
      <c r="H2989" s="87"/>
      <c r="I2989" s="87">
        <v>10</v>
      </c>
      <c r="J2989" s="87">
        <v>2</v>
      </c>
      <c r="K2989" s="87"/>
      <c r="L2989" s="87">
        <v>2</v>
      </c>
      <c r="M2989" s="87"/>
      <c r="N2989" s="87"/>
      <c r="O2989" s="87"/>
      <c r="P2989" s="87"/>
      <c r="Q2989" s="87"/>
      <c r="R2989" s="87"/>
      <c r="S2989" s="87"/>
      <c r="T2989" s="87"/>
      <c r="U2989" s="88"/>
      <c r="V2989" s="89"/>
      <c r="W2989" s="96">
        <v>0</v>
      </c>
      <c r="X2989" s="71">
        <f>CU2989</f>
        <v>0</v>
      </c>
      <c r="Y2989" s="71">
        <f>CY2989</f>
        <v>0</v>
      </c>
      <c r="Z2989" s="71">
        <f>DA2989+DC2989+DE2989</f>
        <v>0</v>
      </c>
      <c r="AA2989" s="71">
        <f>CW2989</f>
        <v>0</v>
      </c>
      <c r="AB2989" s="71"/>
      <c r="AC2989" s="71">
        <v>0</v>
      </c>
      <c r="AD2989" s="71">
        <f>W2989+X2989+Y2989+Z2989+AA2989+AB2989+AC2989</f>
        <v>0</v>
      </c>
      <c r="AE2989" s="72">
        <v>0</v>
      </c>
      <c r="AF2989" s="5"/>
      <c r="AG2989" s="6"/>
      <c r="AH2989" s="27"/>
      <c r="AI2989" s="44"/>
      <c r="AJ2989" s="26"/>
      <c r="AK2989" s="5"/>
      <c r="AL2989" s="82" t="s">
        <v>5868</v>
      </c>
      <c r="AM2989" s="76"/>
      <c r="AN2989" s="76"/>
      <c r="AO2989" s="76"/>
      <c r="AP2989" s="76"/>
      <c r="AQ2989" s="76"/>
      <c r="AR2989" s="76"/>
      <c r="AS2989" s="76"/>
      <c r="AT2989" s="76"/>
      <c r="AU2989" s="76"/>
      <c r="AV2989" s="76"/>
      <c r="AW2989" s="76"/>
      <c r="AX2989" s="76">
        <f>+AW2989*600000</f>
        <v>0</v>
      </c>
      <c r="AY2989" s="76"/>
      <c r="AZ2989" s="76">
        <f>+AY2989*70000</f>
        <v>0</v>
      </c>
      <c r="BA2989" s="76"/>
      <c r="BB2989" s="76"/>
      <c r="BC2989" s="76"/>
      <c r="BD2989" s="76">
        <f>+BC2989*30000</f>
        <v>0</v>
      </c>
      <c r="BE2989" s="76"/>
      <c r="BF2989" s="76"/>
      <c r="BG2989" s="76"/>
      <c r="BH2989" s="76"/>
      <c r="BI2989" s="76"/>
      <c r="BJ2989" s="76"/>
      <c r="BK2989" s="76"/>
      <c r="BL2989" s="76">
        <f>+BK2989*31500</f>
        <v>0</v>
      </c>
      <c r="BM2989" s="76"/>
      <c r="BN2989" s="76"/>
      <c r="BO2989" s="76"/>
      <c r="BP2989" s="76"/>
      <c r="BQ2989" s="76"/>
      <c r="BR2989" s="76"/>
      <c r="BS2989" s="76"/>
      <c r="BT2989" s="76"/>
      <c r="BU2989" s="76"/>
      <c r="BV2989" s="76"/>
      <c r="BW2989" s="76"/>
      <c r="BX2989" s="76"/>
      <c r="BY2989" s="76"/>
      <c r="BZ2989" s="76"/>
      <c r="CA2989" s="76"/>
      <c r="CB2989" s="76"/>
      <c r="CC2989" s="76"/>
      <c r="CD2989" s="76"/>
      <c r="CE2989" s="76"/>
      <c r="CF2989" s="76">
        <f>+CE2989*28000</f>
        <v>0</v>
      </c>
      <c r="CG2989" s="76"/>
      <c r="CH2989" s="76">
        <f>+CG2989*22500</f>
        <v>0</v>
      </c>
      <c r="CI2989" s="76"/>
      <c r="CJ2989" s="76">
        <f>+CI2989*26000</f>
        <v>0</v>
      </c>
      <c r="CK2989" s="76"/>
      <c r="CL2989" s="76"/>
      <c r="CM2989" s="76"/>
      <c r="CN2989" s="76">
        <f>+CM2989*22000</f>
        <v>0</v>
      </c>
      <c r="CO2989" s="76"/>
      <c r="CP2989" s="76">
        <f>+CO2989*46000</f>
        <v>0</v>
      </c>
      <c r="CQ2989" s="76"/>
      <c r="CR2989" s="76">
        <f>+CQ2989*49000</f>
        <v>0</v>
      </c>
      <c r="CS2989" s="76"/>
      <c r="CT2989" s="76"/>
      <c r="CU2989" s="56">
        <f>AN2989+AP2989+AR2989+AT2989+AV2989+AX2989+AZ2989+BB2989+BD2989+BF2989+BH2989+BJ2989+BL2989+BN2989+BP2989+BR2989+BT2989+BV2989+BX2989+BZ2989+CB2989+CD2989+CF2989+CH2989+CJ2989+CL2989+CN2989+CP2989+CR2989+CT2989</f>
        <v>0</v>
      </c>
      <c r="CV2989" s="76"/>
      <c r="CW2989" s="76">
        <f>+CV2989*1100</f>
        <v>0</v>
      </c>
      <c r="CX2989" s="76"/>
      <c r="CY2989" s="76">
        <f>+CX2989*106250</f>
        <v>0</v>
      </c>
      <c r="CZ2989" s="76"/>
      <c r="DA2989" s="76">
        <f>+CZ2989*34500</f>
        <v>0</v>
      </c>
      <c r="DB2989" s="76"/>
      <c r="DC2989" s="76">
        <f>+DB2989*25000</f>
        <v>0</v>
      </c>
      <c r="DD2989" s="219"/>
      <c r="DE2989" s="219"/>
      <c r="DF2989" s="166"/>
      <c r="DG2989" s="116"/>
      <c r="DH2989" s="117"/>
      <c r="DI2989" s="24"/>
      <c r="DJ2989" s="24"/>
      <c r="DK2989" s="24"/>
      <c r="DL2989" s="24"/>
      <c r="DM2989" s="24"/>
      <c r="DN2989" s="24"/>
      <c r="DO2989" s="24"/>
      <c r="DP2989" s="24"/>
      <c r="DQ2989" s="24"/>
      <c r="DR2989" s="24"/>
      <c r="DS2989" s="24"/>
      <c r="DT2989" s="24"/>
      <c r="DU2989" s="24"/>
    </row>
    <row r="2990" spans="1:125" s="8" customFormat="1" ht="72" x14ac:dyDescent="0.2">
      <c r="A2990" s="77">
        <v>41526</v>
      </c>
      <c r="B2990" s="78" t="s">
        <v>2848</v>
      </c>
      <c r="C2990" s="75" t="s">
        <v>1912</v>
      </c>
      <c r="D2990" s="75" t="s">
        <v>2882</v>
      </c>
      <c r="E2990" s="75" t="str">
        <f>VLOOKUP(B2990&amp;C2990,Divipola!$C$2:$F$1138,4,FALSE)</f>
        <v>73675</v>
      </c>
      <c r="F2990" s="61"/>
      <c r="G2990" s="61"/>
      <c r="H2990" s="61"/>
      <c r="I2990" s="61">
        <v>125</v>
      </c>
      <c r="J2990" s="61">
        <v>25</v>
      </c>
      <c r="K2990" s="61"/>
      <c r="L2990" s="61">
        <v>25</v>
      </c>
      <c r="M2990" s="61"/>
      <c r="N2990" s="61"/>
      <c r="O2990" s="61"/>
      <c r="P2990" s="61"/>
      <c r="Q2990" s="61"/>
      <c r="R2990" s="61"/>
      <c r="S2990" s="61"/>
      <c r="T2990" s="61"/>
      <c r="U2990" s="61"/>
      <c r="V2990" s="7"/>
      <c r="W2990" s="96">
        <v>0</v>
      </c>
      <c r="X2990" s="71">
        <f>CU2990</f>
        <v>2106981.08</v>
      </c>
      <c r="Y2990" s="71">
        <f>CY2990</f>
        <v>10625000</v>
      </c>
      <c r="Z2990" s="71">
        <f>DA2990+DC2990+DE2990</f>
        <v>14351209.119999999</v>
      </c>
      <c r="AA2990" s="71">
        <f>CW2990</f>
        <v>0</v>
      </c>
      <c r="AB2990" s="71"/>
      <c r="AC2990" s="71">
        <v>0</v>
      </c>
      <c r="AD2990" s="71">
        <f>W2990+X2990+Y2990+Z2990+AA2990+AB2990+AC2990</f>
        <v>27083190.199999999</v>
      </c>
      <c r="AE2990" s="72">
        <v>0</v>
      </c>
      <c r="AF2990" s="5"/>
      <c r="AG2990" s="6"/>
      <c r="AH2990" s="27"/>
      <c r="AI2990" s="44"/>
      <c r="AJ2990" s="26"/>
      <c r="AK2990" s="5"/>
      <c r="AL2990" s="9" t="s">
        <v>6324</v>
      </c>
      <c r="AM2990" s="76"/>
      <c r="AN2990" s="76"/>
      <c r="AO2990" s="76"/>
      <c r="AP2990" s="76"/>
      <c r="AQ2990" s="76"/>
      <c r="AR2990" s="76"/>
      <c r="AS2990" s="76"/>
      <c r="AT2990" s="76"/>
      <c r="AU2990" s="76"/>
      <c r="AV2990" s="76"/>
      <c r="AW2990" s="76"/>
      <c r="AX2990" s="76">
        <f>+AW2990*600000</f>
        <v>0</v>
      </c>
      <c r="AY2990" s="76"/>
      <c r="AZ2990" s="76">
        <f>+AY2990*70000</f>
        <v>0</v>
      </c>
      <c r="BA2990" s="76"/>
      <c r="BB2990" s="76"/>
      <c r="BC2990" s="76"/>
      <c r="BD2990" s="76">
        <f>+BC2990*30000</f>
        <v>0</v>
      </c>
      <c r="BE2990" s="76"/>
      <c r="BF2990" s="76"/>
      <c r="BG2990" s="76"/>
      <c r="BH2990" s="76"/>
      <c r="BI2990" s="76"/>
      <c r="BJ2990" s="76"/>
      <c r="BK2990" s="76"/>
      <c r="BL2990" s="76">
        <f>+BK2990*31500</f>
        <v>0</v>
      </c>
      <c r="BM2990" s="76"/>
      <c r="BN2990" s="76"/>
      <c r="BO2990" s="76"/>
      <c r="BP2990" s="76"/>
      <c r="BQ2990" s="76"/>
      <c r="BR2990" s="76"/>
      <c r="BS2990" s="76"/>
      <c r="BT2990" s="76"/>
      <c r="BU2990" s="76"/>
      <c r="BV2990" s="76"/>
      <c r="BW2990" s="76"/>
      <c r="BX2990" s="76"/>
      <c r="BY2990" s="76"/>
      <c r="BZ2990" s="76"/>
      <c r="CA2990" s="76"/>
      <c r="CB2990" s="76"/>
      <c r="CC2990" s="76"/>
      <c r="CD2990" s="76"/>
      <c r="CE2990" s="76"/>
      <c r="CF2990" s="76">
        <f>+CE2990*28000</f>
        <v>0</v>
      </c>
      <c r="CG2990" s="76"/>
      <c r="CH2990" s="76">
        <f>+CG2990*22500</f>
        <v>0</v>
      </c>
      <c r="CI2990" s="76"/>
      <c r="CJ2990" s="76">
        <f>+CI2990*26000</f>
        <v>0</v>
      </c>
      <c r="CK2990" s="76"/>
      <c r="CL2990" s="76"/>
      <c r="CM2990" s="76"/>
      <c r="CN2990" s="76">
        <f>+CM2990*22000</f>
        <v>0</v>
      </c>
      <c r="CO2990" s="76"/>
      <c r="CP2990" s="76">
        <f>+CO2990*46000</f>
        <v>0</v>
      </c>
      <c r="CQ2990" s="86">
        <v>43</v>
      </c>
      <c r="CR2990" s="86">
        <f>+CQ2990*48999.56</f>
        <v>2106981.08</v>
      </c>
      <c r="CS2990" s="76"/>
      <c r="CT2990" s="76"/>
      <c r="CU2990" s="56">
        <f>AN2990+AP2990+AR2990+AT2990+AV2990+AX2990+AZ2990+BB2990+BD2990+BF2990+BH2990+BJ2990+BL2990+BN2990+BP2990+BR2990+BT2990+BV2990+BX2990+BZ2990+CB2990+CD2990+CF2990+CH2990+CJ2990+CL2990+CN2990+CP2990+CR2990+CT2990</f>
        <v>2106981.08</v>
      </c>
      <c r="CV2990" s="76"/>
      <c r="CW2990" s="76">
        <f>+CV2990*1100</f>
        <v>0</v>
      </c>
      <c r="CX2990" s="86">
        <v>100</v>
      </c>
      <c r="CY2990" s="86">
        <f>+CX2990*106250</f>
        <v>10625000</v>
      </c>
      <c r="CZ2990" s="86">
        <v>77</v>
      </c>
      <c r="DA2990" s="86">
        <f>+CZ2990*34499.56</f>
        <v>2656466.1199999996</v>
      </c>
      <c r="DB2990" s="86">
        <v>225</v>
      </c>
      <c r="DC2990" s="86">
        <f>+DB2990*32000.92+900*199.52</f>
        <v>7379775</v>
      </c>
      <c r="DD2990" s="358" t="s">
        <v>6422</v>
      </c>
      <c r="DE2990" s="318">
        <f>30*23000.48+20*90999.68+20*90248</f>
        <v>4314968</v>
      </c>
      <c r="DF2990" s="166"/>
      <c r="DG2990" s="134" t="s">
        <v>6975</v>
      </c>
      <c r="DH2990" s="117"/>
      <c r="DI2990" s="24"/>
      <c r="DJ2990" s="24"/>
      <c r="DK2990" s="24"/>
      <c r="DL2990" s="24"/>
      <c r="DM2990" s="24"/>
      <c r="DN2990" s="24"/>
      <c r="DO2990" s="24"/>
      <c r="DP2990" s="24"/>
      <c r="DQ2990" s="24"/>
      <c r="DR2990" s="24"/>
      <c r="DS2990" s="24"/>
      <c r="DT2990" s="24"/>
      <c r="DU2990" s="24"/>
    </row>
    <row r="2991" spans="1:125" s="8" customFormat="1" ht="72" x14ac:dyDescent="0.2">
      <c r="A2991" s="77">
        <v>41526</v>
      </c>
      <c r="B2991" s="60" t="s">
        <v>2848</v>
      </c>
      <c r="C2991" s="55" t="s">
        <v>2211</v>
      </c>
      <c r="D2991" s="55" t="s">
        <v>2882</v>
      </c>
      <c r="E2991" s="296" t="str">
        <f>VLOOKUP(B2991&amp;C2991,Divipola!$C$2:$F$1138,4,FALSE)</f>
        <v>73861</v>
      </c>
      <c r="F2991" s="87"/>
      <c r="G2991" s="87"/>
      <c r="H2991" s="87"/>
      <c r="I2991" s="87">
        <v>30</v>
      </c>
      <c r="J2991" s="87">
        <v>6</v>
      </c>
      <c r="K2991" s="87">
        <v>6</v>
      </c>
      <c r="L2991" s="87"/>
      <c r="M2991" s="87"/>
      <c r="N2991" s="87"/>
      <c r="O2991" s="87"/>
      <c r="P2991" s="87"/>
      <c r="Q2991" s="87"/>
      <c r="R2991" s="87"/>
      <c r="S2991" s="87"/>
      <c r="T2991" s="87"/>
      <c r="U2991" s="88"/>
      <c r="V2991" s="89"/>
      <c r="W2991" s="96">
        <v>0</v>
      </c>
      <c r="X2991" s="71">
        <f>CU2991</f>
        <v>0</v>
      </c>
      <c r="Y2991" s="71">
        <f>CY2991</f>
        <v>0</v>
      </c>
      <c r="Z2991" s="71">
        <f>DA2991+DC2991+DE2991</f>
        <v>0</v>
      </c>
      <c r="AA2991" s="71">
        <f>CW2991</f>
        <v>0</v>
      </c>
      <c r="AB2991" s="71"/>
      <c r="AC2991" s="71">
        <v>0</v>
      </c>
      <c r="AD2991" s="71">
        <f>W2991+X2991+Y2991+Z2991+AA2991+AB2991+AC2991</f>
        <v>0</v>
      </c>
      <c r="AE2991" s="72">
        <v>0</v>
      </c>
      <c r="AF2991" s="5"/>
      <c r="AG2991" s="6"/>
      <c r="AH2991" s="27"/>
      <c r="AI2991" s="44"/>
      <c r="AJ2991" s="26"/>
      <c r="AK2991" s="5"/>
      <c r="AL2991" s="82" t="s">
        <v>5858</v>
      </c>
      <c r="AM2991" s="76"/>
      <c r="AN2991" s="76"/>
      <c r="AO2991" s="76"/>
      <c r="AP2991" s="76"/>
      <c r="AQ2991" s="76"/>
      <c r="AR2991" s="76"/>
      <c r="AS2991" s="76"/>
      <c r="AT2991" s="76"/>
      <c r="AU2991" s="76"/>
      <c r="AV2991" s="76"/>
      <c r="AW2991" s="76"/>
      <c r="AX2991" s="76">
        <f>+AW2991*600000</f>
        <v>0</v>
      </c>
      <c r="AY2991" s="76"/>
      <c r="AZ2991" s="76">
        <f>+AY2991*70000</f>
        <v>0</v>
      </c>
      <c r="BA2991" s="76"/>
      <c r="BB2991" s="76"/>
      <c r="BC2991" s="76"/>
      <c r="BD2991" s="76">
        <f>+BC2991*30000</f>
        <v>0</v>
      </c>
      <c r="BE2991" s="76"/>
      <c r="BF2991" s="76"/>
      <c r="BG2991" s="76"/>
      <c r="BH2991" s="76"/>
      <c r="BI2991" s="76"/>
      <c r="BJ2991" s="76"/>
      <c r="BK2991" s="76"/>
      <c r="BL2991" s="76">
        <f>+BK2991*31500</f>
        <v>0</v>
      </c>
      <c r="BM2991" s="76"/>
      <c r="BN2991" s="76"/>
      <c r="BO2991" s="76"/>
      <c r="BP2991" s="76"/>
      <c r="BQ2991" s="76"/>
      <c r="BR2991" s="76"/>
      <c r="BS2991" s="76"/>
      <c r="BT2991" s="76"/>
      <c r="BU2991" s="76"/>
      <c r="BV2991" s="76"/>
      <c r="BW2991" s="76"/>
      <c r="BX2991" s="76"/>
      <c r="BY2991" s="76"/>
      <c r="BZ2991" s="76"/>
      <c r="CA2991" s="76"/>
      <c r="CB2991" s="76"/>
      <c r="CC2991" s="76"/>
      <c r="CD2991" s="76"/>
      <c r="CE2991" s="76"/>
      <c r="CF2991" s="76">
        <f>+CE2991*28000</f>
        <v>0</v>
      </c>
      <c r="CG2991" s="76"/>
      <c r="CH2991" s="76">
        <f>+CG2991*22500</f>
        <v>0</v>
      </c>
      <c r="CI2991" s="76"/>
      <c r="CJ2991" s="76">
        <f>+CI2991*26000</f>
        <v>0</v>
      </c>
      <c r="CK2991" s="76"/>
      <c r="CL2991" s="76"/>
      <c r="CM2991" s="76"/>
      <c r="CN2991" s="76">
        <f>+CM2991*22000</f>
        <v>0</v>
      </c>
      <c r="CO2991" s="76"/>
      <c r="CP2991" s="76">
        <f>+CO2991*46000</f>
        <v>0</v>
      </c>
      <c r="CQ2991" s="76"/>
      <c r="CR2991" s="76">
        <f>+CQ2991*49000</f>
        <v>0</v>
      </c>
      <c r="CS2991" s="76"/>
      <c r="CT2991" s="76"/>
      <c r="CU2991" s="56">
        <f>AN2991+AP2991+AR2991+AT2991+AV2991+AX2991+AZ2991+BB2991+BD2991+BF2991+BH2991+BJ2991+BL2991+BN2991+BP2991+BR2991+BT2991+BV2991+BX2991+BZ2991+CB2991+CD2991+CF2991+CH2991+CJ2991+CL2991+CN2991+CP2991+CR2991+CT2991</f>
        <v>0</v>
      </c>
      <c r="CV2991" s="76"/>
      <c r="CW2991" s="76">
        <f>+CV2991*1100</f>
        <v>0</v>
      </c>
      <c r="CX2991" s="76"/>
      <c r="CY2991" s="76">
        <f>+CX2991*106250</f>
        <v>0</v>
      </c>
      <c r="CZ2991" s="76"/>
      <c r="DA2991" s="76">
        <f>+CZ2991*34500</f>
        <v>0</v>
      </c>
      <c r="DB2991" s="76"/>
      <c r="DC2991" s="76">
        <f>+DB2991*25000</f>
        <v>0</v>
      </c>
      <c r="DD2991" s="219"/>
      <c r="DE2991" s="219"/>
      <c r="DF2991" s="166"/>
      <c r="DG2991" s="116"/>
      <c r="DH2991" s="117"/>
      <c r="DI2991" s="24"/>
      <c r="DJ2991" s="24"/>
      <c r="DK2991" s="24"/>
      <c r="DL2991" s="24"/>
      <c r="DM2991" s="24"/>
      <c r="DN2991" s="24"/>
      <c r="DO2991" s="24"/>
      <c r="DP2991" s="24"/>
      <c r="DQ2991" s="24"/>
      <c r="DR2991" s="24"/>
      <c r="DS2991" s="24"/>
      <c r="DT2991" s="24"/>
      <c r="DU2991" s="24"/>
    </row>
    <row r="2992" spans="1:125" s="8" customFormat="1" ht="144" x14ac:dyDescent="0.2">
      <c r="A2992" s="77">
        <v>41526</v>
      </c>
      <c r="B2992" s="352" t="s">
        <v>2851</v>
      </c>
      <c r="C2992" s="354" t="s">
        <v>2754</v>
      </c>
      <c r="D2992" s="354" t="s">
        <v>3051</v>
      </c>
      <c r="E2992" s="296" t="str">
        <f>VLOOKUP(B2992&amp;C2992,Divipola!$C$2:$F$1138,4,FALSE)</f>
        <v>76109</v>
      </c>
      <c r="F2992" s="87"/>
      <c r="G2992" s="87"/>
      <c r="H2992" s="87"/>
      <c r="I2992" s="87">
        <v>57</v>
      </c>
      <c r="J2992" s="87">
        <v>13</v>
      </c>
      <c r="K2992" s="87"/>
      <c r="L2992" s="87">
        <v>13</v>
      </c>
      <c r="M2992" s="87"/>
      <c r="N2992" s="87"/>
      <c r="O2992" s="87"/>
      <c r="P2992" s="87"/>
      <c r="Q2992" s="87"/>
      <c r="R2992" s="87"/>
      <c r="S2992" s="87"/>
      <c r="T2992" s="87"/>
      <c r="U2992" s="88">
        <v>8</v>
      </c>
      <c r="V2992" s="89"/>
      <c r="W2992" s="96">
        <v>0</v>
      </c>
      <c r="X2992" s="71">
        <f>CU2992</f>
        <v>0</v>
      </c>
      <c r="Y2992" s="71">
        <f>CY2992</f>
        <v>0</v>
      </c>
      <c r="Z2992" s="71">
        <f>DA2992+DC2992+DE2992</f>
        <v>0</v>
      </c>
      <c r="AA2992" s="71">
        <f>CW2992</f>
        <v>0</v>
      </c>
      <c r="AB2992" s="71"/>
      <c r="AC2992" s="71">
        <v>0</v>
      </c>
      <c r="AD2992" s="71">
        <f>W2992+X2992+Y2992+Z2992+AA2992+AB2992+AC2992</f>
        <v>0</v>
      </c>
      <c r="AE2992" s="72">
        <v>0</v>
      </c>
      <c r="AF2992" s="5"/>
      <c r="AG2992" s="6"/>
      <c r="AH2992" s="27"/>
      <c r="AI2992" s="44"/>
      <c r="AJ2992" s="26"/>
      <c r="AK2992" s="5"/>
      <c r="AL2992" s="82" t="s">
        <v>5867</v>
      </c>
      <c r="AM2992" s="76"/>
      <c r="AN2992" s="76"/>
      <c r="AO2992" s="76"/>
      <c r="AP2992" s="76"/>
      <c r="AQ2992" s="76"/>
      <c r="AR2992" s="76"/>
      <c r="AS2992" s="76"/>
      <c r="AT2992" s="76"/>
      <c r="AU2992" s="76"/>
      <c r="AV2992" s="76"/>
      <c r="AW2992" s="76"/>
      <c r="AX2992" s="76">
        <f>+AW2992*600000</f>
        <v>0</v>
      </c>
      <c r="AY2992" s="76"/>
      <c r="AZ2992" s="76">
        <f>+AY2992*70000</f>
        <v>0</v>
      </c>
      <c r="BA2992" s="76"/>
      <c r="BB2992" s="76"/>
      <c r="BC2992" s="76"/>
      <c r="BD2992" s="76">
        <f>+BC2992*30000</f>
        <v>0</v>
      </c>
      <c r="BE2992" s="76"/>
      <c r="BF2992" s="76"/>
      <c r="BG2992" s="76"/>
      <c r="BH2992" s="76"/>
      <c r="BI2992" s="76"/>
      <c r="BJ2992" s="76"/>
      <c r="BK2992" s="76"/>
      <c r="BL2992" s="76">
        <f>+BK2992*31500</f>
        <v>0</v>
      </c>
      <c r="BM2992" s="76"/>
      <c r="BN2992" s="76"/>
      <c r="BO2992" s="76"/>
      <c r="BP2992" s="76"/>
      <c r="BQ2992" s="76"/>
      <c r="BR2992" s="76"/>
      <c r="BS2992" s="76"/>
      <c r="BT2992" s="76"/>
      <c r="BU2992" s="76"/>
      <c r="BV2992" s="76"/>
      <c r="BW2992" s="76"/>
      <c r="BX2992" s="76"/>
      <c r="BY2992" s="76"/>
      <c r="BZ2992" s="76"/>
      <c r="CA2992" s="76"/>
      <c r="CB2992" s="76"/>
      <c r="CC2992" s="76"/>
      <c r="CD2992" s="76"/>
      <c r="CE2992" s="76"/>
      <c r="CF2992" s="76">
        <f>+CE2992*28000</f>
        <v>0</v>
      </c>
      <c r="CG2992" s="76"/>
      <c r="CH2992" s="76">
        <f>+CG2992*22500</f>
        <v>0</v>
      </c>
      <c r="CI2992" s="76"/>
      <c r="CJ2992" s="76">
        <f>+CI2992*26000</f>
        <v>0</v>
      </c>
      <c r="CK2992" s="76"/>
      <c r="CL2992" s="76"/>
      <c r="CM2992" s="76"/>
      <c r="CN2992" s="76">
        <f>+CM2992*22000</f>
        <v>0</v>
      </c>
      <c r="CO2992" s="76"/>
      <c r="CP2992" s="76">
        <f>+CO2992*46000</f>
        <v>0</v>
      </c>
      <c r="CQ2992" s="76"/>
      <c r="CR2992" s="76">
        <f>+CQ2992*49000</f>
        <v>0</v>
      </c>
      <c r="CS2992" s="76"/>
      <c r="CT2992" s="76"/>
      <c r="CU2992" s="56">
        <f>AN2992+AP2992+AR2992+AT2992+AV2992+AX2992+AZ2992+BB2992+BD2992+BF2992+BH2992+BJ2992+BL2992+BN2992+BP2992+BR2992+BT2992+BV2992+BX2992+BZ2992+CB2992+CD2992+CF2992+CH2992+CJ2992+CL2992+CN2992+CP2992+CR2992+CT2992</f>
        <v>0</v>
      </c>
      <c r="CV2992" s="76"/>
      <c r="CW2992" s="76">
        <f>+CV2992*1100</f>
        <v>0</v>
      </c>
      <c r="CX2992" s="76"/>
      <c r="CY2992" s="76">
        <f>+CX2992*106250</f>
        <v>0</v>
      </c>
      <c r="CZ2992" s="76"/>
      <c r="DA2992" s="76">
        <f>+CZ2992*34500</f>
        <v>0</v>
      </c>
      <c r="DB2992" s="76"/>
      <c r="DC2992" s="76">
        <f>+DB2992*25000</f>
        <v>0</v>
      </c>
      <c r="DD2992" s="219"/>
      <c r="DE2992" s="219"/>
      <c r="DF2992" s="166"/>
      <c r="DG2992" s="116"/>
      <c r="DH2992" s="117"/>
      <c r="DI2992" s="24"/>
      <c r="DJ2992" s="24"/>
      <c r="DK2992" s="24"/>
      <c r="DL2992" s="24"/>
      <c r="DM2992" s="24"/>
      <c r="DN2992" s="24"/>
      <c r="DO2992" s="24"/>
      <c r="DP2992" s="24"/>
      <c r="DQ2992" s="24"/>
      <c r="DR2992" s="24"/>
      <c r="DS2992" s="24"/>
      <c r="DT2992" s="24"/>
      <c r="DU2992" s="24"/>
    </row>
    <row r="2993" spans="1:125" s="8" customFormat="1" ht="60" x14ac:dyDescent="0.2">
      <c r="A2993" s="77">
        <v>41526</v>
      </c>
      <c r="B2993" s="208" t="s">
        <v>2851</v>
      </c>
      <c r="C2993" s="354" t="s">
        <v>2667</v>
      </c>
      <c r="D2993" s="354" t="s">
        <v>2882</v>
      </c>
      <c r="E2993" s="296" t="str">
        <f>VLOOKUP(B2993&amp;C2993,Divipola!$C$2:$F$1138,4,FALSE)</f>
        <v>76364</v>
      </c>
      <c r="F2993" s="87"/>
      <c r="G2993" s="87"/>
      <c r="H2993" s="87"/>
      <c r="I2993" s="87"/>
      <c r="J2993" s="87"/>
      <c r="K2993" s="87"/>
      <c r="L2993" s="87"/>
      <c r="M2993" s="87"/>
      <c r="N2993" s="87"/>
      <c r="O2993" s="87"/>
      <c r="P2993" s="87"/>
      <c r="Q2993" s="87"/>
      <c r="R2993" s="87"/>
      <c r="S2993" s="87"/>
      <c r="T2993" s="87"/>
      <c r="U2993" s="88"/>
      <c r="V2993" s="89"/>
      <c r="W2993" s="96">
        <v>0</v>
      </c>
      <c r="X2993" s="71">
        <f>CU2993</f>
        <v>0</v>
      </c>
      <c r="Y2993" s="71">
        <f>CY2993</f>
        <v>0</v>
      </c>
      <c r="Z2993" s="71">
        <f>DA2993+DC2993+DE2993</f>
        <v>0</v>
      </c>
      <c r="AA2993" s="71">
        <f>CW2993</f>
        <v>0</v>
      </c>
      <c r="AB2993" s="71"/>
      <c r="AC2993" s="71">
        <v>0</v>
      </c>
      <c r="AD2993" s="71">
        <f>W2993+X2993+Y2993+Z2993+AA2993+AB2993+AC2993</f>
        <v>0</v>
      </c>
      <c r="AE2993" s="72">
        <v>0</v>
      </c>
      <c r="AF2993" s="5"/>
      <c r="AG2993" s="6"/>
      <c r="AH2993" s="27"/>
      <c r="AI2993" s="44"/>
      <c r="AJ2993" s="26"/>
      <c r="AK2993" s="5"/>
      <c r="AL2993" s="82" t="s">
        <v>5862</v>
      </c>
      <c r="AM2993" s="76"/>
      <c r="AN2993" s="76"/>
      <c r="AO2993" s="76"/>
      <c r="AP2993" s="76"/>
      <c r="AQ2993" s="76"/>
      <c r="AR2993" s="76"/>
      <c r="AS2993" s="76"/>
      <c r="AT2993" s="76"/>
      <c r="AU2993" s="76"/>
      <c r="AV2993" s="76"/>
      <c r="AW2993" s="76"/>
      <c r="AX2993" s="76">
        <f>+AW2993*600000</f>
        <v>0</v>
      </c>
      <c r="AY2993" s="76"/>
      <c r="AZ2993" s="76">
        <f>+AY2993*70000</f>
        <v>0</v>
      </c>
      <c r="BA2993" s="76"/>
      <c r="BB2993" s="76"/>
      <c r="BC2993" s="76"/>
      <c r="BD2993" s="76">
        <f>+BC2993*30000</f>
        <v>0</v>
      </c>
      <c r="BE2993" s="76"/>
      <c r="BF2993" s="76"/>
      <c r="BG2993" s="76"/>
      <c r="BH2993" s="76"/>
      <c r="BI2993" s="76"/>
      <c r="BJ2993" s="76"/>
      <c r="BK2993" s="76"/>
      <c r="BL2993" s="76">
        <f>+BK2993*31500</f>
        <v>0</v>
      </c>
      <c r="BM2993" s="76"/>
      <c r="BN2993" s="76"/>
      <c r="BO2993" s="76"/>
      <c r="BP2993" s="76"/>
      <c r="BQ2993" s="76"/>
      <c r="BR2993" s="76"/>
      <c r="BS2993" s="76"/>
      <c r="BT2993" s="76"/>
      <c r="BU2993" s="76"/>
      <c r="BV2993" s="76"/>
      <c r="BW2993" s="76"/>
      <c r="BX2993" s="76"/>
      <c r="BY2993" s="76"/>
      <c r="BZ2993" s="76"/>
      <c r="CA2993" s="76"/>
      <c r="CB2993" s="76"/>
      <c r="CC2993" s="76"/>
      <c r="CD2993" s="76"/>
      <c r="CE2993" s="76"/>
      <c r="CF2993" s="76">
        <f>+CE2993*28000</f>
        <v>0</v>
      </c>
      <c r="CG2993" s="76"/>
      <c r="CH2993" s="76">
        <f>+CG2993*22500</f>
        <v>0</v>
      </c>
      <c r="CI2993" s="76"/>
      <c r="CJ2993" s="76">
        <f>+CI2993*26000</f>
        <v>0</v>
      </c>
      <c r="CK2993" s="76"/>
      <c r="CL2993" s="76"/>
      <c r="CM2993" s="76"/>
      <c r="CN2993" s="76">
        <f>+CM2993*22000</f>
        <v>0</v>
      </c>
      <c r="CO2993" s="76"/>
      <c r="CP2993" s="76">
        <f>+CO2993*46000</f>
        <v>0</v>
      </c>
      <c r="CQ2993" s="76"/>
      <c r="CR2993" s="76">
        <f>+CQ2993*49000</f>
        <v>0</v>
      </c>
      <c r="CS2993" s="76"/>
      <c r="CT2993" s="76"/>
      <c r="CU2993" s="56">
        <f>AN2993+AP2993+AR2993+AT2993+AV2993+AX2993+AZ2993+BB2993+BD2993+BF2993+BH2993+BJ2993+BL2993+BN2993+BP2993+BR2993+BT2993+BV2993+BX2993+BZ2993+CB2993+CD2993+CF2993+CH2993+CJ2993+CL2993+CN2993+CP2993+CR2993+CT2993</f>
        <v>0</v>
      </c>
      <c r="CV2993" s="76"/>
      <c r="CW2993" s="76">
        <f>+CV2993*1100</f>
        <v>0</v>
      </c>
      <c r="CX2993" s="76"/>
      <c r="CY2993" s="76">
        <f>+CX2993*106250</f>
        <v>0</v>
      </c>
      <c r="CZ2993" s="76"/>
      <c r="DA2993" s="76">
        <f>+CZ2993*34500</f>
        <v>0</v>
      </c>
      <c r="DB2993" s="76"/>
      <c r="DC2993" s="76">
        <f>+DB2993*25000</f>
        <v>0</v>
      </c>
      <c r="DD2993" s="219"/>
      <c r="DE2993" s="219"/>
      <c r="DF2993" s="166"/>
      <c r="DG2993" s="116"/>
      <c r="DH2993" s="117"/>
      <c r="DI2993" s="24"/>
      <c r="DJ2993" s="24"/>
      <c r="DK2993" s="24"/>
      <c r="DL2993" s="24"/>
      <c r="DM2993" s="24"/>
      <c r="DN2993" s="24"/>
      <c r="DO2993" s="24"/>
      <c r="DP2993" s="24"/>
      <c r="DQ2993" s="24"/>
      <c r="DR2993" s="24"/>
      <c r="DS2993" s="24"/>
      <c r="DT2993" s="24"/>
      <c r="DU2993" s="24"/>
    </row>
    <row r="2994" spans="1:125" s="8" customFormat="1" ht="36" x14ac:dyDescent="0.2">
      <c r="A2994" s="77">
        <v>41526</v>
      </c>
      <c r="B2994" s="78" t="s">
        <v>2847</v>
      </c>
      <c r="C2994" s="75" t="s">
        <v>1789</v>
      </c>
      <c r="D2994" s="75" t="s">
        <v>2882</v>
      </c>
      <c r="E2994" s="75" t="str">
        <f>VLOOKUP(B2994&amp;C2994,Divipola!$C$2:$F$1138,4,FALSE)</f>
        <v>68861</v>
      </c>
      <c r="F2994" s="61"/>
      <c r="G2994" s="61"/>
      <c r="H2994" s="61"/>
      <c r="I2994" s="61">
        <v>490</v>
      </c>
      <c r="J2994" s="61">
        <v>98</v>
      </c>
      <c r="K2994" s="61"/>
      <c r="L2994" s="61">
        <v>98</v>
      </c>
      <c r="M2994" s="61"/>
      <c r="N2994" s="61"/>
      <c r="O2994" s="61"/>
      <c r="P2994" s="61"/>
      <c r="Q2994" s="61"/>
      <c r="R2994" s="61"/>
      <c r="S2994" s="61"/>
      <c r="T2994" s="61"/>
      <c r="U2994" s="61"/>
      <c r="V2994" s="7" t="s">
        <v>4896</v>
      </c>
      <c r="W2994" s="96">
        <v>0</v>
      </c>
      <c r="X2994" s="71">
        <f>CU2994</f>
        <v>42642000</v>
      </c>
      <c r="Y2994" s="71">
        <f>CY2994</f>
        <v>10343900</v>
      </c>
      <c r="Z2994" s="71">
        <f>DA2994+DC2994+DE2994</f>
        <v>28591200</v>
      </c>
      <c r="AA2994" s="71">
        <f>CW2994</f>
        <v>0</v>
      </c>
      <c r="AB2994" s="71"/>
      <c r="AC2994" s="71">
        <v>0</v>
      </c>
      <c r="AD2994" s="71">
        <f>W2994+X2994+Y2994+Z2994+AA2994+AB2994+AC2994</f>
        <v>81577100</v>
      </c>
      <c r="AE2994" s="72">
        <v>0</v>
      </c>
      <c r="AF2994" s="5"/>
      <c r="AG2994" s="6"/>
      <c r="AH2994" s="27"/>
      <c r="AI2994" s="44"/>
      <c r="AJ2994" s="26"/>
      <c r="AK2994" s="5"/>
      <c r="AL2994" s="9" t="s">
        <v>6654</v>
      </c>
      <c r="AM2994" s="76"/>
      <c r="AN2994" s="76"/>
      <c r="AO2994" s="76"/>
      <c r="AP2994" s="76"/>
      <c r="AQ2994" s="76"/>
      <c r="AR2994" s="76"/>
      <c r="AS2994" s="76"/>
      <c r="AT2994" s="76"/>
      <c r="AU2994" s="76"/>
      <c r="AV2994" s="76"/>
      <c r="AW2994" s="76"/>
      <c r="AX2994" s="76">
        <f>+AW2994*600000</f>
        <v>0</v>
      </c>
      <c r="AY2994" s="86">
        <v>392</v>
      </c>
      <c r="AZ2994" s="86">
        <f>+AY2994*70000</f>
        <v>27440000</v>
      </c>
      <c r="BA2994" s="76"/>
      <c r="BB2994" s="76"/>
      <c r="BC2994" s="76"/>
      <c r="BD2994" s="76">
        <f>+BC2994*30000</f>
        <v>0</v>
      </c>
      <c r="BE2994" s="76"/>
      <c r="BF2994" s="76"/>
      <c r="BG2994" s="76"/>
      <c r="BH2994" s="76"/>
      <c r="BI2994" s="76"/>
      <c r="BJ2994" s="76"/>
      <c r="BK2994" s="76"/>
      <c r="BL2994" s="76">
        <f>+BK2994*31500</f>
        <v>0</v>
      </c>
      <c r="BM2994" s="76"/>
      <c r="BN2994" s="76"/>
      <c r="BO2994" s="76"/>
      <c r="BP2994" s="76"/>
      <c r="BQ2994" s="76"/>
      <c r="BR2994" s="76"/>
      <c r="BS2994" s="76"/>
      <c r="BT2994" s="76"/>
      <c r="BU2994" s="76"/>
      <c r="BV2994" s="76"/>
      <c r="BW2994" s="76"/>
      <c r="BX2994" s="76"/>
      <c r="BY2994" s="76"/>
      <c r="BZ2994" s="76"/>
      <c r="CA2994" s="76"/>
      <c r="CB2994" s="76"/>
      <c r="CC2994" s="76"/>
      <c r="CD2994" s="76"/>
      <c r="CE2994" s="76"/>
      <c r="CF2994" s="76">
        <f>+CE2994*28000</f>
        <v>0</v>
      </c>
      <c r="CG2994" s="76"/>
      <c r="CH2994" s="76">
        <f>+CG2994*22500</f>
        <v>0</v>
      </c>
      <c r="CI2994" s="86">
        <v>400</v>
      </c>
      <c r="CJ2994" s="86">
        <f>+CI2994*26000</f>
        <v>10400000</v>
      </c>
      <c r="CK2994" s="76"/>
      <c r="CL2994" s="76"/>
      <c r="CM2994" s="76"/>
      <c r="CN2994" s="76">
        <f>+CM2994*22000</f>
        <v>0</v>
      </c>
      <c r="CO2994" s="76"/>
      <c r="CP2994" s="76">
        <f>+CO2994*46000</f>
        <v>0</v>
      </c>
      <c r="CQ2994" s="86">
        <v>98</v>
      </c>
      <c r="CR2994" s="86">
        <f>+CQ2994*49000</f>
        <v>4802000</v>
      </c>
      <c r="CS2994" s="76"/>
      <c r="CT2994" s="76"/>
      <c r="CU2994" s="56">
        <f>AN2994+AP2994+AR2994+AT2994+AV2994+AX2994+AZ2994+BB2994+BD2994+BF2994+BH2994+BJ2994+BL2994+BN2994+BP2994+BR2994+BT2994+BV2994+BX2994+BZ2994+CB2994+CD2994+CF2994+CH2994+CJ2994+CL2994+CN2994+CP2994+CR2994+CT2994</f>
        <v>42642000</v>
      </c>
      <c r="CV2994" s="76"/>
      <c r="CW2994" s="76">
        <f>+CV2994*1100</f>
        <v>0</v>
      </c>
      <c r="CX2994" s="86">
        <v>98</v>
      </c>
      <c r="CY2994" s="86">
        <f>+CX2994*105550</f>
        <v>10343900</v>
      </c>
      <c r="CZ2994" s="76"/>
      <c r="DA2994" s="76">
        <f>+CZ2994*34500</f>
        <v>0</v>
      </c>
      <c r="DB2994" s="86">
        <f>452+328</f>
        <v>780</v>
      </c>
      <c r="DC2994" s="86">
        <f>452*32000+1808*200+254*41000+1016*400+74*39800</f>
        <v>28591200</v>
      </c>
      <c r="DD2994" s="219"/>
      <c r="DE2994" s="219"/>
      <c r="DF2994" s="166"/>
      <c r="DG2994" s="134" t="s">
        <v>6963</v>
      </c>
      <c r="DH2994" s="117"/>
      <c r="DI2994" s="24"/>
      <c r="DJ2994" s="24"/>
      <c r="DK2994" s="24"/>
      <c r="DL2994" s="24"/>
      <c r="DM2994" s="24"/>
      <c r="DN2994" s="24"/>
      <c r="DO2994" s="24"/>
      <c r="DP2994" s="24"/>
      <c r="DQ2994" s="24"/>
      <c r="DR2994" s="24"/>
      <c r="DS2994" s="24"/>
      <c r="DT2994" s="24"/>
      <c r="DU2994" s="24"/>
    </row>
    <row r="2995" spans="1:125" s="8" customFormat="1" ht="96" x14ac:dyDescent="0.2">
      <c r="A2995" s="77">
        <v>41527</v>
      </c>
      <c r="B2995" s="78" t="s">
        <v>2881</v>
      </c>
      <c r="C2995" s="75" t="s">
        <v>2680</v>
      </c>
      <c r="D2995" s="75" t="s">
        <v>2882</v>
      </c>
      <c r="E2995" s="75" t="str">
        <f>VLOOKUP(B2995&amp;C2995,Divipola!$C$2:$F$1138,4,FALSE)</f>
        <v>08758</v>
      </c>
      <c r="F2995" s="61"/>
      <c r="G2995" s="61"/>
      <c r="H2995" s="61"/>
      <c r="I2995" s="61">
        <v>1340</v>
      </c>
      <c r="J2995" s="61">
        <v>268</v>
      </c>
      <c r="K2995" s="61"/>
      <c r="L2995" s="61">
        <v>268</v>
      </c>
      <c r="M2995" s="61"/>
      <c r="N2995" s="61"/>
      <c r="O2995" s="61"/>
      <c r="P2995" s="61"/>
      <c r="Q2995" s="61"/>
      <c r="R2995" s="61"/>
      <c r="S2995" s="61"/>
      <c r="T2995" s="61"/>
      <c r="U2995" s="61"/>
      <c r="V2995" s="7"/>
      <c r="W2995" s="96">
        <v>0</v>
      </c>
      <c r="X2995" s="71">
        <f>CU2995</f>
        <v>140060000</v>
      </c>
      <c r="Y2995" s="71">
        <f>CY2995</f>
        <v>28287400</v>
      </c>
      <c r="Z2995" s="71">
        <f>DA2995+DC2995+DE2995</f>
        <v>101500000</v>
      </c>
      <c r="AA2995" s="71">
        <f>CW2995</f>
        <v>16500000</v>
      </c>
      <c r="AB2995" s="71"/>
      <c r="AC2995" s="71">
        <v>0</v>
      </c>
      <c r="AD2995" s="71">
        <f>W2995+X2995+Y2995+Z2995+AA2995+AB2995+AC2995</f>
        <v>286347400</v>
      </c>
      <c r="AE2995" s="72">
        <v>0</v>
      </c>
      <c r="AF2995" s="5"/>
      <c r="AG2995" s="6"/>
      <c r="AH2995" s="27"/>
      <c r="AI2995" s="44"/>
      <c r="AJ2995" s="26"/>
      <c r="AK2995" s="5"/>
      <c r="AL2995" s="9" t="s">
        <v>6188</v>
      </c>
      <c r="AM2995" s="76"/>
      <c r="AN2995" s="76"/>
      <c r="AO2995" s="76"/>
      <c r="AP2995" s="76"/>
      <c r="AQ2995" s="76"/>
      <c r="AR2995" s="76"/>
      <c r="AS2995" s="76"/>
      <c r="AT2995" s="76"/>
      <c r="AU2995" s="76"/>
      <c r="AV2995" s="76"/>
      <c r="AW2995" s="76"/>
      <c r="AX2995" s="76">
        <f>+AW2995*600000</f>
        <v>0</v>
      </c>
      <c r="AY2995" s="86">
        <v>1000</v>
      </c>
      <c r="AZ2995" s="86">
        <f>+AY2995*70000</f>
        <v>70000000</v>
      </c>
      <c r="BA2995" s="76"/>
      <c r="BB2995" s="76"/>
      <c r="BC2995" s="76"/>
      <c r="BD2995" s="76">
        <f>+BC2995*30000</f>
        <v>0</v>
      </c>
      <c r="BE2995" s="76"/>
      <c r="BF2995" s="76"/>
      <c r="BG2995" s="76"/>
      <c r="BH2995" s="76"/>
      <c r="BI2995" s="76"/>
      <c r="BJ2995" s="76"/>
      <c r="BK2995" s="76"/>
      <c r="BL2995" s="76">
        <f>+BK2995*31500</f>
        <v>0</v>
      </c>
      <c r="BM2995" s="76"/>
      <c r="BN2995" s="76"/>
      <c r="BO2995" s="76"/>
      <c r="BP2995" s="76"/>
      <c r="BQ2995" s="76"/>
      <c r="BR2995" s="76"/>
      <c r="BS2995" s="76"/>
      <c r="BT2995" s="76"/>
      <c r="BU2995" s="76"/>
      <c r="BV2995" s="76"/>
      <c r="BW2995" s="76"/>
      <c r="BX2995" s="76"/>
      <c r="BY2995" s="86">
        <v>10</v>
      </c>
      <c r="BZ2995" s="86">
        <f>10*560000</f>
        <v>5600000</v>
      </c>
      <c r="CA2995" s="76"/>
      <c r="CB2995" s="76"/>
      <c r="CC2995" s="76"/>
      <c r="CD2995" s="76"/>
      <c r="CE2995" s="76"/>
      <c r="CF2995" s="76">
        <f>+CE2995*28000</f>
        <v>0</v>
      </c>
      <c r="CG2995" s="76"/>
      <c r="CH2995" s="76">
        <f>+CG2995*22500</f>
        <v>0</v>
      </c>
      <c r="CI2995" s="86">
        <v>1500</v>
      </c>
      <c r="CJ2995" s="86">
        <f>+CI2995*26000</f>
        <v>39000000</v>
      </c>
      <c r="CK2995" s="76"/>
      <c r="CL2995" s="76"/>
      <c r="CM2995" s="76"/>
      <c r="CN2995" s="76">
        <f>+CM2995*22000</f>
        <v>0</v>
      </c>
      <c r="CO2995" s="86">
        <v>268</v>
      </c>
      <c r="CP2995" s="86">
        <f>+CO2995*46000</f>
        <v>12328000</v>
      </c>
      <c r="CQ2995" s="86">
        <v>268</v>
      </c>
      <c r="CR2995" s="86">
        <f>+CQ2995*49000</f>
        <v>13132000</v>
      </c>
      <c r="CS2995" s="76"/>
      <c r="CT2995" s="76"/>
      <c r="CU2995" s="56">
        <f>AN2995+AP2995+AR2995+AT2995+AV2995+AX2995+AZ2995+BB2995+BD2995+BF2995+BH2995+BJ2995+BL2995+BN2995+BP2995+BR2995+BT2995+BV2995+BX2995+BZ2995+CB2995+CD2995+CF2995+CH2995+CJ2995+CL2995+CN2995+CP2995+CR2995+CT2995</f>
        <v>140060000</v>
      </c>
      <c r="CV2995" s="86">
        <v>15000</v>
      </c>
      <c r="CW2995" s="86">
        <f>+CV2995*1100</f>
        <v>16500000</v>
      </c>
      <c r="CX2995" s="86">
        <v>268</v>
      </c>
      <c r="CY2995" s="86">
        <f>+CX2995*105550</f>
        <v>28287400</v>
      </c>
      <c r="CZ2995" s="76"/>
      <c r="DA2995" s="76">
        <f>+CZ2995*34500</f>
        <v>0</v>
      </c>
      <c r="DB2995" s="76">
        <f>800+900+600+600</f>
        <v>2900</v>
      </c>
      <c r="DC2995" s="76">
        <f>+DB2995*35000</f>
        <v>101500000</v>
      </c>
      <c r="DD2995" s="219"/>
      <c r="DE2995" s="219"/>
      <c r="DF2995" s="166"/>
      <c r="DG2995" s="134" t="s">
        <v>6187</v>
      </c>
      <c r="DH2995" s="117"/>
      <c r="DI2995" s="24"/>
      <c r="DJ2995" s="24"/>
      <c r="DK2995" s="24"/>
      <c r="DL2995" s="24"/>
      <c r="DM2995" s="24"/>
      <c r="DN2995" s="24"/>
      <c r="DO2995" s="24"/>
      <c r="DP2995" s="24"/>
      <c r="DQ2995" s="24"/>
      <c r="DR2995" s="24"/>
      <c r="DS2995" s="24"/>
      <c r="DT2995" s="24"/>
      <c r="DU2995" s="24"/>
    </row>
    <row r="2996" spans="1:125" s="8" customFormat="1" ht="96" x14ac:dyDescent="0.2">
      <c r="A2996" s="77">
        <v>41527</v>
      </c>
      <c r="B2996" s="208" t="s">
        <v>2087</v>
      </c>
      <c r="C2996" s="354" t="s">
        <v>2692</v>
      </c>
      <c r="D2996" s="354" t="s">
        <v>3088</v>
      </c>
      <c r="E2996" s="296" t="str">
        <f>VLOOKUP(B2996&amp;C2996,Divipola!$C$2:$F$1138,4,FALSE)</f>
        <v>18001</v>
      </c>
      <c r="F2996" s="61"/>
      <c r="G2996" s="61"/>
      <c r="H2996" s="61"/>
      <c r="I2996" s="61"/>
      <c r="J2996" s="61"/>
      <c r="K2996" s="61"/>
      <c r="L2996" s="61"/>
      <c r="M2996" s="61">
        <v>1</v>
      </c>
      <c r="N2996" s="61"/>
      <c r="O2996" s="61"/>
      <c r="P2996" s="61">
        <v>1</v>
      </c>
      <c r="Q2996" s="61"/>
      <c r="R2996" s="61"/>
      <c r="S2996" s="61"/>
      <c r="T2996" s="61"/>
      <c r="U2996" s="61"/>
      <c r="V2996" s="7"/>
      <c r="W2996" s="96">
        <v>0</v>
      </c>
      <c r="X2996" s="71">
        <f>CU2996</f>
        <v>0</v>
      </c>
      <c r="Y2996" s="71">
        <f>CY2996</f>
        <v>0</v>
      </c>
      <c r="Z2996" s="71">
        <f>DA2996+DC2996+DE2996</f>
        <v>0</v>
      </c>
      <c r="AA2996" s="71">
        <f>CW2996</f>
        <v>0</v>
      </c>
      <c r="AB2996" s="71"/>
      <c r="AC2996" s="71">
        <v>0</v>
      </c>
      <c r="AD2996" s="71">
        <f>W2996+X2996+Y2996+Z2996+AA2996+AB2996+AC2996</f>
        <v>0</v>
      </c>
      <c r="AE2996" s="72">
        <v>0</v>
      </c>
      <c r="AF2996" s="5"/>
      <c r="AG2996" s="6"/>
      <c r="AH2996" s="27"/>
      <c r="AI2996" s="44"/>
      <c r="AJ2996" s="26"/>
      <c r="AK2996" s="5"/>
      <c r="AL2996" s="301" t="s">
        <v>5884</v>
      </c>
      <c r="AM2996" s="76"/>
      <c r="AN2996" s="76"/>
      <c r="AO2996" s="76"/>
      <c r="AP2996" s="76"/>
      <c r="AQ2996" s="76"/>
      <c r="AR2996" s="76"/>
      <c r="AS2996" s="76"/>
      <c r="AT2996" s="76"/>
      <c r="AU2996" s="76"/>
      <c r="AV2996" s="76"/>
      <c r="AW2996" s="76"/>
      <c r="AX2996" s="76">
        <f>+AW2996*600000</f>
        <v>0</v>
      </c>
      <c r="AY2996" s="76"/>
      <c r="AZ2996" s="76">
        <f>+AY2996*70000</f>
        <v>0</v>
      </c>
      <c r="BA2996" s="76"/>
      <c r="BB2996" s="76"/>
      <c r="BC2996" s="76"/>
      <c r="BD2996" s="76">
        <f>+BC2996*30000</f>
        <v>0</v>
      </c>
      <c r="BE2996" s="76"/>
      <c r="BF2996" s="76"/>
      <c r="BG2996" s="76"/>
      <c r="BH2996" s="76"/>
      <c r="BI2996" s="76"/>
      <c r="BJ2996" s="76"/>
      <c r="BK2996" s="76"/>
      <c r="BL2996" s="76">
        <f>+BK2996*31500</f>
        <v>0</v>
      </c>
      <c r="BM2996" s="76"/>
      <c r="BN2996" s="76"/>
      <c r="BO2996" s="76"/>
      <c r="BP2996" s="76"/>
      <c r="BQ2996" s="76"/>
      <c r="BR2996" s="76"/>
      <c r="BS2996" s="76"/>
      <c r="BT2996" s="76"/>
      <c r="BU2996" s="76"/>
      <c r="BV2996" s="76"/>
      <c r="BW2996" s="76"/>
      <c r="BX2996" s="76"/>
      <c r="BY2996" s="76"/>
      <c r="BZ2996" s="76"/>
      <c r="CA2996" s="76"/>
      <c r="CB2996" s="76"/>
      <c r="CC2996" s="76"/>
      <c r="CD2996" s="76"/>
      <c r="CE2996" s="76"/>
      <c r="CF2996" s="76">
        <f>+CE2996*28000</f>
        <v>0</v>
      </c>
      <c r="CG2996" s="76"/>
      <c r="CH2996" s="76">
        <f>+CG2996*22500</f>
        <v>0</v>
      </c>
      <c r="CI2996" s="76"/>
      <c r="CJ2996" s="76">
        <f>+CI2996*26000</f>
        <v>0</v>
      </c>
      <c r="CK2996" s="76"/>
      <c r="CL2996" s="76"/>
      <c r="CM2996" s="76"/>
      <c r="CN2996" s="76">
        <f>+CM2996*22000</f>
        <v>0</v>
      </c>
      <c r="CO2996" s="76"/>
      <c r="CP2996" s="76">
        <f>+CO2996*46000</f>
        <v>0</v>
      </c>
      <c r="CQ2996" s="76"/>
      <c r="CR2996" s="76">
        <f>+CQ2996*49000</f>
        <v>0</v>
      </c>
      <c r="CS2996" s="76"/>
      <c r="CT2996" s="76"/>
      <c r="CU2996" s="56">
        <f>AN2996+AP2996+AR2996+AT2996+AV2996+AX2996+AZ2996+BB2996+BD2996+BF2996+BH2996+BJ2996+BL2996+BN2996+BP2996+BR2996+BT2996+BV2996+BX2996+BZ2996+CB2996+CD2996+CF2996+CH2996+CJ2996+CL2996+CN2996+CP2996+CR2996+CT2996</f>
        <v>0</v>
      </c>
      <c r="CV2996" s="76"/>
      <c r="CW2996" s="76">
        <f>+CV2996*1100</f>
        <v>0</v>
      </c>
      <c r="CX2996" s="76"/>
      <c r="CY2996" s="76">
        <f>+CX2996*106250</f>
        <v>0</v>
      </c>
      <c r="CZ2996" s="76"/>
      <c r="DA2996" s="76">
        <f>+CZ2996*34500</f>
        <v>0</v>
      </c>
      <c r="DB2996" s="76"/>
      <c r="DC2996" s="76">
        <f>+DB2996*25000</f>
        <v>0</v>
      </c>
      <c r="DD2996" s="219"/>
      <c r="DE2996" s="219"/>
      <c r="DF2996" s="166"/>
      <c r="DG2996" s="116"/>
      <c r="DH2996" s="117"/>
      <c r="DI2996" s="24"/>
      <c r="DJ2996" s="24"/>
      <c r="DK2996" s="24"/>
      <c r="DL2996" s="24"/>
      <c r="DM2996" s="24"/>
      <c r="DN2996" s="24"/>
      <c r="DO2996" s="24"/>
      <c r="DP2996" s="24"/>
      <c r="DQ2996" s="24"/>
      <c r="DR2996" s="24"/>
      <c r="DS2996" s="24"/>
      <c r="DT2996" s="24"/>
      <c r="DU2996" s="24"/>
    </row>
    <row r="2997" spans="1:125" s="8" customFormat="1" ht="96" x14ac:dyDescent="0.2">
      <c r="A2997" s="77">
        <v>41527</v>
      </c>
      <c r="B2997" s="78" t="s">
        <v>2772</v>
      </c>
      <c r="C2997" s="75" t="s">
        <v>1042</v>
      </c>
      <c r="D2997" s="75" t="s">
        <v>2846</v>
      </c>
      <c r="E2997" s="296" t="str">
        <f>VLOOKUP(B2997&amp;C2997,Divipola!$C$2:$F$1138,4,FALSE)</f>
        <v>25245</v>
      </c>
      <c r="F2997" s="87"/>
      <c r="G2997" s="87"/>
      <c r="H2997" s="87"/>
      <c r="I2997" s="87"/>
      <c r="J2997" s="87"/>
      <c r="K2997" s="87"/>
      <c r="L2997" s="87"/>
      <c r="M2997" s="87"/>
      <c r="N2997" s="87"/>
      <c r="O2997" s="87"/>
      <c r="P2997" s="87"/>
      <c r="Q2997" s="87"/>
      <c r="R2997" s="87"/>
      <c r="S2997" s="87"/>
      <c r="T2997" s="87"/>
      <c r="U2997" s="88">
        <v>3.5</v>
      </c>
      <c r="V2997" s="89"/>
      <c r="W2997" s="96">
        <v>0</v>
      </c>
      <c r="X2997" s="71">
        <f>CU2997</f>
        <v>0</v>
      </c>
      <c r="Y2997" s="71">
        <f>CY2997</f>
        <v>0</v>
      </c>
      <c r="Z2997" s="71">
        <f>DA2997+DC2997+DE2997</f>
        <v>0</v>
      </c>
      <c r="AA2997" s="71">
        <f>CW2997</f>
        <v>0</v>
      </c>
      <c r="AB2997" s="71"/>
      <c r="AC2997" s="71">
        <v>0</v>
      </c>
      <c r="AD2997" s="71">
        <f>W2997+X2997+Y2997+Z2997+AA2997+AB2997+AC2997</f>
        <v>0</v>
      </c>
      <c r="AE2997" s="72">
        <v>0</v>
      </c>
      <c r="AF2997" s="5"/>
      <c r="AG2997" s="6"/>
      <c r="AH2997" s="27"/>
      <c r="AI2997" s="44"/>
      <c r="AJ2997" s="26"/>
      <c r="AK2997" s="5"/>
      <c r="AL2997" s="301" t="s">
        <v>5886</v>
      </c>
      <c r="AM2997" s="76"/>
      <c r="AN2997" s="76"/>
      <c r="AO2997" s="76"/>
      <c r="AP2997" s="76"/>
      <c r="AQ2997" s="76"/>
      <c r="AR2997" s="76"/>
      <c r="AS2997" s="76"/>
      <c r="AT2997" s="76"/>
      <c r="AU2997" s="76"/>
      <c r="AV2997" s="76"/>
      <c r="AW2997" s="76"/>
      <c r="AX2997" s="76">
        <f>+AW2997*600000</f>
        <v>0</v>
      </c>
      <c r="AY2997" s="76"/>
      <c r="AZ2997" s="76">
        <f>+AY2997*70000</f>
        <v>0</v>
      </c>
      <c r="BA2997" s="76"/>
      <c r="BB2997" s="76"/>
      <c r="BC2997" s="76"/>
      <c r="BD2997" s="76">
        <f>+BC2997*30000</f>
        <v>0</v>
      </c>
      <c r="BE2997" s="76"/>
      <c r="BF2997" s="76"/>
      <c r="BG2997" s="76"/>
      <c r="BH2997" s="76"/>
      <c r="BI2997" s="76"/>
      <c r="BJ2997" s="76"/>
      <c r="BK2997" s="76"/>
      <c r="BL2997" s="76">
        <f>+BK2997*31500</f>
        <v>0</v>
      </c>
      <c r="BM2997" s="76"/>
      <c r="BN2997" s="76"/>
      <c r="BO2997" s="76"/>
      <c r="BP2997" s="76"/>
      <c r="BQ2997" s="76"/>
      <c r="BR2997" s="76"/>
      <c r="BS2997" s="76"/>
      <c r="BT2997" s="76"/>
      <c r="BU2997" s="76"/>
      <c r="BV2997" s="76"/>
      <c r="BW2997" s="76"/>
      <c r="BX2997" s="76"/>
      <c r="BY2997" s="76"/>
      <c r="BZ2997" s="76"/>
      <c r="CA2997" s="76"/>
      <c r="CB2997" s="76"/>
      <c r="CC2997" s="76"/>
      <c r="CD2997" s="76"/>
      <c r="CE2997" s="76"/>
      <c r="CF2997" s="76">
        <f>+CE2997*28000</f>
        <v>0</v>
      </c>
      <c r="CG2997" s="76"/>
      <c r="CH2997" s="76">
        <f>+CG2997*22500</f>
        <v>0</v>
      </c>
      <c r="CI2997" s="76"/>
      <c r="CJ2997" s="76">
        <f>+CI2997*26000</f>
        <v>0</v>
      </c>
      <c r="CK2997" s="76"/>
      <c r="CL2997" s="76"/>
      <c r="CM2997" s="76"/>
      <c r="CN2997" s="76">
        <f>+CM2997*22000</f>
        <v>0</v>
      </c>
      <c r="CO2997" s="76"/>
      <c r="CP2997" s="76">
        <f>+CO2997*46000</f>
        <v>0</v>
      </c>
      <c r="CQ2997" s="76"/>
      <c r="CR2997" s="76">
        <f>+CQ2997*49000</f>
        <v>0</v>
      </c>
      <c r="CS2997" s="76"/>
      <c r="CT2997" s="76"/>
      <c r="CU2997" s="56">
        <f>AN2997+AP2997+AR2997+AT2997+AV2997+AX2997+AZ2997+BB2997+BD2997+BF2997+BH2997+BJ2997+BL2997+BN2997+BP2997+BR2997+BT2997+BV2997+BX2997+BZ2997+CB2997+CD2997+CF2997+CH2997+CJ2997+CL2997+CN2997+CP2997+CR2997+CT2997</f>
        <v>0</v>
      </c>
      <c r="CV2997" s="76"/>
      <c r="CW2997" s="76">
        <f>+CV2997*1100</f>
        <v>0</v>
      </c>
      <c r="CX2997" s="76"/>
      <c r="CY2997" s="76">
        <f>+CX2997*106250</f>
        <v>0</v>
      </c>
      <c r="CZ2997" s="76"/>
      <c r="DA2997" s="76">
        <f>+CZ2997*34500</f>
        <v>0</v>
      </c>
      <c r="DB2997" s="76"/>
      <c r="DC2997" s="76">
        <f>+DB2997*25000</f>
        <v>0</v>
      </c>
      <c r="DD2997" s="219"/>
      <c r="DE2997" s="219"/>
      <c r="DF2997" s="166"/>
      <c r="DG2997" s="116"/>
      <c r="DH2997" s="117"/>
      <c r="DI2997" s="24"/>
      <c r="DJ2997" s="24"/>
      <c r="DK2997" s="24"/>
      <c r="DL2997" s="24"/>
      <c r="DM2997" s="24"/>
      <c r="DN2997" s="24"/>
      <c r="DO2997" s="24"/>
      <c r="DP2997" s="24"/>
      <c r="DQ2997" s="24"/>
      <c r="DR2997" s="24"/>
      <c r="DS2997" s="24"/>
      <c r="DT2997" s="24"/>
      <c r="DU2997" s="24"/>
    </row>
    <row r="2998" spans="1:125" s="8" customFormat="1" ht="60" x14ac:dyDescent="0.2">
      <c r="A2998" s="77">
        <v>41527</v>
      </c>
      <c r="B2998" s="352" t="s">
        <v>2848</v>
      </c>
      <c r="C2998" s="354" t="s">
        <v>1872</v>
      </c>
      <c r="D2998" s="354" t="s">
        <v>2859</v>
      </c>
      <c r="E2998" s="296" t="str">
        <f>VLOOKUP(B2998&amp;C2998,Divipola!$C$2:$F$1138,4,FALSE)</f>
        <v>73268</v>
      </c>
      <c r="F2998" s="87"/>
      <c r="G2998" s="87"/>
      <c r="H2998" s="87"/>
      <c r="I2998" s="87">
        <v>5</v>
      </c>
      <c r="J2998" s="87">
        <v>1</v>
      </c>
      <c r="K2998" s="87"/>
      <c r="L2998" s="87">
        <v>1</v>
      </c>
      <c r="M2998" s="87"/>
      <c r="N2998" s="87"/>
      <c r="O2998" s="87"/>
      <c r="P2998" s="87"/>
      <c r="Q2998" s="87"/>
      <c r="R2998" s="87"/>
      <c r="S2998" s="87"/>
      <c r="T2998" s="87"/>
      <c r="U2998" s="88"/>
      <c r="V2998" s="89"/>
      <c r="W2998" s="96">
        <v>0</v>
      </c>
      <c r="X2998" s="71">
        <f>CU2998</f>
        <v>0</v>
      </c>
      <c r="Y2998" s="71">
        <f>CY2998</f>
        <v>0</v>
      </c>
      <c r="Z2998" s="71">
        <f>DA2998+DC2998+DE2998</f>
        <v>0</v>
      </c>
      <c r="AA2998" s="71">
        <f>CW2998</f>
        <v>0</v>
      </c>
      <c r="AB2998" s="71"/>
      <c r="AC2998" s="71">
        <v>0</v>
      </c>
      <c r="AD2998" s="71">
        <f>W2998+X2998+Y2998+Z2998+AA2998+AB2998+AC2998</f>
        <v>0</v>
      </c>
      <c r="AE2998" s="72">
        <v>0</v>
      </c>
      <c r="AF2998" s="5"/>
      <c r="AG2998" s="6"/>
      <c r="AH2998" s="27"/>
      <c r="AI2998" s="44"/>
      <c r="AJ2998" s="26"/>
      <c r="AK2998" s="5"/>
      <c r="AL2998" s="301" t="s">
        <v>5889</v>
      </c>
      <c r="AM2998" s="76"/>
      <c r="AN2998" s="76"/>
      <c r="AO2998" s="76"/>
      <c r="AP2998" s="76"/>
      <c r="AQ2998" s="76"/>
      <c r="AR2998" s="76"/>
      <c r="AS2998" s="76"/>
      <c r="AT2998" s="76"/>
      <c r="AU2998" s="76"/>
      <c r="AV2998" s="76"/>
      <c r="AW2998" s="76"/>
      <c r="AX2998" s="76">
        <f>+AW2998*600000</f>
        <v>0</v>
      </c>
      <c r="AY2998" s="76"/>
      <c r="AZ2998" s="76">
        <f>+AY2998*70000</f>
        <v>0</v>
      </c>
      <c r="BA2998" s="76"/>
      <c r="BB2998" s="76"/>
      <c r="BC2998" s="76"/>
      <c r="BD2998" s="76">
        <f>+BC2998*30000</f>
        <v>0</v>
      </c>
      <c r="BE2998" s="76"/>
      <c r="BF2998" s="76"/>
      <c r="BG2998" s="76"/>
      <c r="BH2998" s="76"/>
      <c r="BI2998" s="76"/>
      <c r="BJ2998" s="76"/>
      <c r="BK2998" s="76"/>
      <c r="BL2998" s="76">
        <f>+BK2998*31500</f>
        <v>0</v>
      </c>
      <c r="BM2998" s="76"/>
      <c r="BN2998" s="76"/>
      <c r="BO2998" s="76"/>
      <c r="BP2998" s="76"/>
      <c r="BQ2998" s="76"/>
      <c r="BR2998" s="76"/>
      <c r="BS2998" s="76"/>
      <c r="BT2998" s="76"/>
      <c r="BU2998" s="76"/>
      <c r="BV2998" s="76"/>
      <c r="BW2998" s="76"/>
      <c r="BX2998" s="76"/>
      <c r="BY2998" s="76"/>
      <c r="BZ2998" s="76"/>
      <c r="CA2998" s="76"/>
      <c r="CB2998" s="76"/>
      <c r="CC2998" s="76"/>
      <c r="CD2998" s="76"/>
      <c r="CE2998" s="76"/>
      <c r="CF2998" s="76">
        <f>+CE2998*28000</f>
        <v>0</v>
      </c>
      <c r="CG2998" s="76"/>
      <c r="CH2998" s="76">
        <f>+CG2998*22500</f>
        <v>0</v>
      </c>
      <c r="CI2998" s="76"/>
      <c r="CJ2998" s="76">
        <f>+CI2998*26000</f>
        <v>0</v>
      </c>
      <c r="CK2998" s="76"/>
      <c r="CL2998" s="76"/>
      <c r="CM2998" s="76"/>
      <c r="CN2998" s="76">
        <f>+CM2998*22000</f>
        <v>0</v>
      </c>
      <c r="CO2998" s="76"/>
      <c r="CP2998" s="76">
        <f>+CO2998*46000</f>
        <v>0</v>
      </c>
      <c r="CQ2998" s="76"/>
      <c r="CR2998" s="76">
        <f>+CQ2998*49000</f>
        <v>0</v>
      </c>
      <c r="CS2998" s="76"/>
      <c r="CT2998" s="76"/>
      <c r="CU2998" s="56">
        <f>AN2998+AP2998+AR2998+AT2998+AV2998+AX2998+AZ2998+BB2998+BD2998+BF2998+BH2998+BJ2998+BL2998+BN2998+BP2998+BR2998+BT2998+BV2998+BX2998+BZ2998+CB2998+CD2998+CF2998+CH2998+CJ2998+CL2998+CN2998+CP2998+CR2998+CT2998</f>
        <v>0</v>
      </c>
      <c r="CV2998" s="76"/>
      <c r="CW2998" s="76">
        <f>+CV2998*1100</f>
        <v>0</v>
      </c>
      <c r="CX2998" s="76"/>
      <c r="CY2998" s="76">
        <f>+CX2998*106250</f>
        <v>0</v>
      </c>
      <c r="CZ2998" s="76"/>
      <c r="DA2998" s="76">
        <f>+CZ2998*34500</f>
        <v>0</v>
      </c>
      <c r="DB2998" s="76"/>
      <c r="DC2998" s="76">
        <f>+DB2998*25000</f>
        <v>0</v>
      </c>
      <c r="DD2998" s="219"/>
      <c r="DE2998" s="219"/>
      <c r="DF2998" s="166"/>
      <c r="DG2998" s="116"/>
      <c r="DH2998" s="117"/>
      <c r="DI2998" s="24"/>
      <c r="DJ2998" s="24"/>
      <c r="DK2998" s="24"/>
      <c r="DL2998" s="24"/>
      <c r="DM2998" s="24"/>
      <c r="DN2998" s="24"/>
      <c r="DO2998" s="24"/>
      <c r="DP2998" s="24"/>
      <c r="DQ2998" s="24"/>
      <c r="DR2998" s="24"/>
      <c r="DS2998" s="24"/>
      <c r="DT2998" s="24"/>
      <c r="DU2998" s="24"/>
    </row>
    <row r="2999" spans="1:125" s="8" customFormat="1" ht="60" x14ac:dyDescent="0.2">
      <c r="A2999" s="77">
        <v>41527</v>
      </c>
      <c r="B2999" s="225" t="s">
        <v>2848</v>
      </c>
      <c r="C2999" s="227" t="s">
        <v>2191</v>
      </c>
      <c r="D2999" s="354" t="s">
        <v>2846</v>
      </c>
      <c r="E2999" s="296" t="str">
        <f>VLOOKUP(B2999&amp;C2999,Divipola!$C$2:$F$1138,4,FALSE)</f>
        <v>73319</v>
      </c>
      <c r="F2999" s="87"/>
      <c r="G2999" s="87"/>
      <c r="H2999" s="87"/>
      <c r="I2999" s="87"/>
      <c r="J2999" s="87"/>
      <c r="K2999" s="87"/>
      <c r="L2999" s="87"/>
      <c r="M2999" s="87"/>
      <c r="N2999" s="87"/>
      <c r="O2999" s="87"/>
      <c r="P2999" s="87"/>
      <c r="Q2999" s="87"/>
      <c r="R2999" s="87"/>
      <c r="S2999" s="87"/>
      <c r="T2999" s="87"/>
      <c r="U2999" s="88"/>
      <c r="V2999" s="89"/>
      <c r="W2999" s="96">
        <v>0</v>
      </c>
      <c r="X2999" s="71">
        <f>CU2999</f>
        <v>0</v>
      </c>
      <c r="Y2999" s="71">
        <f>CY2999</f>
        <v>0</v>
      </c>
      <c r="Z2999" s="71">
        <f>DA2999+DC2999+DE2999</f>
        <v>0</v>
      </c>
      <c r="AA2999" s="71">
        <f>CW2999</f>
        <v>0</v>
      </c>
      <c r="AB2999" s="71"/>
      <c r="AC2999" s="71">
        <v>0</v>
      </c>
      <c r="AD2999" s="71">
        <f>W2999+X2999+Y2999+Z2999+AA2999+AB2999+AC2999</f>
        <v>0</v>
      </c>
      <c r="AE2999" s="72">
        <v>0</v>
      </c>
      <c r="AF2999" s="5"/>
      <c r="AG2999" s="6"/>
      <c r="AH2999" s="27"/>
      <c r="AI2999" s="44"/>
      <c r="AJ2999" s="26"/>
      <c r="AK2999" s="5"/>
      <c r="AL2999" s="301" t="s">
        <v>5888</v>
      </c>
      <c r="AM2999" s="76"/>
      <c r="AN2999" s="76"/>
      <c r="AO2999" s="76"/>
      <c r="AP2999" s="76"/>
      <c r="AQ2999" s="76"/>
      <c r="AR2999" s="76"/>
      <c r="AS2999" s="76"/>
      <c r="AT2999" s="76"/>
      <c r="AU2999" s="76"/>
      <c r="AV2999" s="76"/>
      <c r="AW2999" s="76"/>
      <c r="AX2999" s="76">
        <f>+AW2999*600000</f>
        <v>0</v>
      </c>
      <c r="AY2999" s="76"/>
      <c r="AZ2999" s="76">
        <f>+AY2999*70000</f>
        <v>0</v>
      </c>
      <c r="BA2999" s="76"/>
      <c r="BB2999" s="76"/>
      <c r="BC2999" s="76"/>
      <c r="BD2999" s="76">
        <f>+BC2999*30000</f>
        <v>0</v>
      </c>
      <c r="BE2999" s="76"/>
      <c r="BF2999" s="76"/>
      <c r="BG2999" s="76"/>
      <c r="BH2999" s="76"/>
      <c r="BI2999" s="76"/>
      <c r="BJ2999" s="76"/>
      <c r="BK2999" s="76"/>
      <c r="BL2999" s="76">
        <f>+BK2999*31500</f>
        <v>0</v>
      </c>
      <c r="BM2999" s="76"/>
      <c r="BN2999" s="76"/>
      <c r="BO2999" s="76"/>
      <c r="BP2999" s="76"/>
      <c r="BQ2999" s="76"/>
      <c r="BR2999" s="76"/>
      <c r="BS2999" s="76"/>
      <c r="BT2999" s="76"/>
      <c r="BU2999" s="76"/>
      <c r="BV2999" s="76"/>
      <c r="BW2999" s="76"/>
      <c r="BX2999" s="76"/>
      <c r="BY2999" s="76"/>
      <c r="BZ2999" s="76"/>
      <c r="CA2999" s="76"/>
      <c r="CB2999" s="76"/>
      <c r="CC2999" s="76"/>
      <c r="CD2999" s="76"/>
      <c r="CE2999" s="76"/>
      <c r="CF2999" s="76">
        <f>+CE2999*28000</f>
        <v>0</v>
      </c>
      <c r="CG2999" s="76"/>
      <c r="CH2999" s="76">
        <f>+CG2999*22500</f>
        <v>0</v>
      </c>
      <c r="CI2999" s="76"/>
      <c r="CJ2999" s="76">
        <f>+CI2999*26000</f>
        <v>0</v>
      </c>
      <c r="CK2999" s="76"/>
      <c r="CL2999" s="76"/>
      <c r="CM2999" s="76"/>
      <c r="CN2999" s="76">
        <f>+CM2999*22000</f>
        <v>0</v>
      </c>
      <c r="CO2999" s="76"/>
      <c r="CP2999" s="76">
        <f>+CO2999*46000</f>
        <v>0</v>
      </c>
      <c r="CQ2999" s="76"/>
      <c r="CR2999" s="76">
        <f>+CQ2999*49000</f>
        <v>0</v>
      </c>
      <c r="CS2999" s="76"/>
      <c r="CT2999" s="76"/>
      <c r="CU2999" s="56">
        <f>AN2999+AP2999+AR2999+AT2999+AV2999+AX2999+AZ2999+BB2999+BD2999+BF2999+BH2999+BJ2999+BL2999+BN2999+BP2999+BR2999+BT2999+BV2999+BX2999+BZ2999+CB2999+CD2999+CF2999+CH2999+CJ2999+CL2999+CN2999+CP2999+CR2999+CT2999</f>
        <v>0</v>
      </c>
      <c r="CV2999" s="76"/>
      <c r="CW2999" s="76">
        <f>+CV2999*1100</f>
        <v>0</v>
      </c>
      <c r="CX2999" s="76"/>
      <c r="CY2999" s="76">
        <f>+CX2999*106250</f>
        <v>0</v>
      </c>
      <c r="CZ2999" s="76"/>
      <c r="DA2999" s="76">
        <f>+CZ2999*34500</f>
        <v>0</v>
      </c>
      <c r="DB2999" s="76"/>
      <c r="DC2999" s="76">
        <f>+DB2999*25000</f>
        <v>0</v>
      </c>
      <c r="DD2999" s="219"/>
      <c r="DE2999" s="219"/>
      <c r="DF2999" s="166"/>
      <c r="DG2999" s="116"/>
      <c r="DH2999" s="117"/>
      <c r="DI2999" s="24"/>
      <c r="DJ2999" s="24"/>
      <c r="DK2999" s="24"/>
      <c r="DL2999" s="24"/>
      <c r="DM2999" s="24"/>
      <c r="DN2999" s="24"/>
      <c r="DO2999" s="24"/>
      <c r="DP2999" s="24"/>
      <c r="DQ2999" s="24"/>
      <c r="DR2999" s="24"/>
      <c r="DS2999" s="24"/>
      <c r="DT2999" s="24"/>
      <c r="DU2999" s="24"/>
    </row>
    <row r="3000" spans="1:125" s="8" customFormat="1" ht="72" x14ac:dyDescent="0.2">
      <c r="A3000" s="77">
        <v>41527</v>
      </c>
      <c r="B3000" s="352" t="s">
        <v>2848</v>
      </c>
      <c r="C3000" s="354" t="s">
        <v>2755</v>
      </c>
      <c r="D3000" s="354" t="s">
        <v>3088</v>
      </c>
      <c r="E3000" s="296" t="str">
        <f>VLOOKUP(B3000&amp;C3000,Divipola!$C$2:$F$1138,4,FALSE)</f>
        <v>73001</v>
      </c>
      <c r="F3000" s="87"/>
      <c r="G3000" s="87"/>
      <c r="H3000" s="87"/>
      <c r="I3000" s="87">
        <v>5</v>
      </c>
      <c r="J3000" s="87">
        <v>1</v>
      </c>
      <c r="K3000" s="87"/>
      <c r="L3000" s="87">
        <v>1</v>
      </c>
      <c r="M3000" s="87"/>
      <c r="N3000" s="87"/>
      <c r="O3000" s="87"/>
      <c r="P3000" s="87"/>
      <c r="Q3000" s="87"/>
      <c r="R3000" s="87"/>
      <c r="S3000" s="87"/>
      <c r="T3000" s="87"/>
      <c r="U3000" s="88"/>
      <c r="V3000" s="89"/>
      <c r="W3000" s="96">
        <v>0</v>
      </c>
      <c r="X3000" s="71">
        <f>CU3000</f>
        <v>0</v>
      </c>
      <c r="Y3000" s="71">
        <f>CY3000</f>
        <v>0</v>
      </c>
      <c r="Z3000" s="71">
        <f>DA3000+DC3000+DE3000</f>
        <v>0</v>
      </c>
      <c r="AA3000" s="71">
        <f>CW3000</f>
        <v>0</v>
      </c>
      <c r="AB3000" s="71"/>
      <c r="AC3000" s="71">
        <v>0</v>
      </c>
      <c r="AD3000" s="71">
        <f>W3000+X3000+Y3000+Z3000+AA3000+AB3000+AC3000</f>
        <v>0</v>
      </c>
      <c r="AE3000" s="72">
        <v>0</v>
      </c>
      <c r="AF3000" s="5"/>
      <c r="AG3000" s="6"/>
      <c r="AH3000" s="27"/>
      <c r="AI3000" s="44"/>
      <c r="AJ3000" s="26"/>
      <c r="AK3000" s="5"/>
      <c r="AL3000" s="301" t="s">
        <v>5887</v>
      </c>
      <c r="AM3000" s="76"/>
      <c r="AN3000" s="76"/>
      <c r="AO3000" s="76"/>
      <c r="AP3000" s="76"/>
      <c r="AQ3000" s="76"/>
      <c r="AR3000" s="76"/>
      <c r="AS3000" s="76"/>
      <c r="AT3000" s="76"/>
      <c r="AU3000" s="76"/>
      <c r="AV3000" s="76"/>
      <c r="AW3000" s="76"/>
      <c r="AX3000" s="76">
        <f>+AW3000*600000</f>
        <v>0</v>
      </c>
      <c r="AY3000" s="76"/>
      <c r="AZ3000" s="76">
        <f>+AY3000*70000</f>
        <v>0</v>
      </c>
      <c r="BA3000" s="76"/>
      <c r="BB3000" s="76"/>
      <c r="BC3000" s="76"/>
      <c r="BD3000" s="76">
        <f>+BC3000*30000</f>
        <v>0</v>
      </c>
      <c r="BE3000" s="76"/>
      <c r="BF3000" s="76"/>
      <c r="BG3000" s="76"/>
      <c r="BH3000" s="76"/>
      <c r="BI3000" s="76"/>
      <c r="BJ3000" s="76"/>
      <c r="BK3000" s="76"/>
      <c r="BL3000" s="76">
        <f>+BK3000*31500</f>
        <v>0</v>
      </c>
      <c r="BM3000" s="76"/>
      <c r="BN3000" s="76"/>
      <c r="BO3000" s="76"/>
      <c r="BP3000" s="76"/>
      <c r="BQ3000" s="76"/>
      <c r="BR3000" s="76"/>
      <c r="BS3000" s="76"/>
      <c r="BT3000" s="76"/>
      <c r="BU3000" s="76"/>
      <c r="BV3000" s="76"/>
      <c r="BW3000" s="76"/>
      <c r="BX3000" s="76"/>
      <c r="BY3000" s="76"/>
      <c r="BZ3000" s="76"/>
      <c r="CA3000" s="76"/>
      <c r="CB3000" s="76"/>
      <c r="CC3000" s="76"/>
      <c r="CD3000" s="76"/>
      <c r="CE3000" s="76"/>
      <c r="CF3000" s="76">
        <f>+CE3000*28000</f>
        <v>0</v>
      </c>
      <c r="CG3000" s="76"/>
      <c r="CH3000" s="76">
        <f>+CG3000*22500</f>
        <v>0</v>
      </c>
      <c r="CI3000" s="76"/>
      <c r="CJ3000" s="76">
        <f>+CI3000*26000</f>
        <v>0</v>
      </c>
      <c r="CK3000" s="76"/>
      <c r="CL3000" s="76"/>
      <c r="CM3000" s="76"/>
      <c r="CN3000" s="76">
        <f>+CM3000*22000</f>
        <v>0</v>
      </c>
      <c r="CO3000" s="76"/>
      <c r="CP3000" s="76">
        <f>+CO3000*46000</f>
        <v>0</v>
      </c>
      <c r="CQ3000" s="76"/>
      <c r="CR3000" s="76">
        <f>+CQ3000*49000</f>
        <v>0</v>
      </c>
      <c r="CS3000" s="76"/>
      <c r="CT3000" s="76"/>
      <c r="CU3000" s="56">
        <f>AN3000+AP3000+AR3000+AT3000+AV3000+AX3000+AZ3000+BB3000+BD3000+BF3000+BH3000+BJ3000+BL3000+BN3000+BP3000+BR3000+BT3000+BV3000+BX3000+BZ3000+CB3000+CD3000+CF3000+CH3000+CJ3000+CL3000+CN3000+CP3000+CR3000+CT3000</f>
        <v>0</v>
      </c>
      <c r="CV3000" s="76"/>
      <c r="CW3000" s="76">
        <f>+CV3000*1100</f>
        <v>0</v>
      </c>
      <c r="CX3000" s="76"/>
      <c r="CY3000" s="76">
        <f>+CX3000*106250</f>
        <v>0</v>
      </c>
      <c r="CZ3000" s="76"/>
      <c r="DA3000" s="76">
        <f>+CZ3000*34500</f>
        <v>0</v>
      </c>
      <c r="DB3000" s="76"/>
      <c r="DC3000" s="76">
        <f>+DB3000*25000</f>
        <v>0</v>
      </c>
      <c r="DD3000" s="219"/>
      <c r="DE3000" s="219"/>
      <c r="DF3000" s="166"/>
      <c r="DG3000" s="116"/>
      <c r="DH3000" s="117"/>
      <c r="DI3000" s="24"/>
      <c r="DJ3000" s="24"/>
      <c r="DK3000" s="24"/>
      <c r="DL3000" s="24"/>
      <c r="DM3000" s="24"/>
      <c r="DN3000" s="24"/>
      <c r="DO3000" s="24"/>
      <c r="DP3000" s="24"/>
      <c r="DQ3000" s="24"/>
      <c r="DR3000" s="24"/>
      <c r="DS3000" s="24"/>
      <c r="DT3000" s="24"/>
      <c r="DU3000" s="24"/>
    </row>
    <row r="3001" spans="1:125" s="8" customFormat="1" ht="72" x14ac:dyDescent="0.2">
      <c r="A3001" s="77">
        <v>41528</v>
      </c>
      <c r="B3001" s="352" t="s">
        <v>2196</v>
      </c>
      <c r="C3001" s="354" t="s">
        <v>2660</v>
      </c>
      <c r="D3001" s="354" t="s">
        <v>3088</v>
      </c>
      <c r="E3001" s="296" t="str">
        <f>VLOOKUP(B3001&amp;C3001,Divipola!$C$2:$F$1138,4,FALSE)</f>
        <v>17272</v>
      </c>
      <c r="F3001" s="87"/>
      <c r="G3001" s="87"/>
      <c r="H3001" s="87"/>
      <c r="I3001" s="87">
        <v>5</v>
      </c>
      <c r="J3001" s="87">
        <v>1</v>
      </c>
      <c r="K3001" s="87"/>
      <c r="L3001" s="87">
        <v>1</v>
      </c>
      <c r="M3001" s="87"/>
      <c r="N3001" s="87"/>
      <c r="O3001" s="87"/>
      <c r="P3001" s="87"/>
      <c r="Q3001" s="87"/>
      <c r="R3001" s="87"/>
      <c r="S3001" s="87"/>
      <c r="T3001" s="87"/>
      <c r="U3001" s="88"/>
      <c r="V3001" s="89"/>
      <c r="W3001" s="96">
        <v>0</v>
      </c>
      <c r="X3001" s="71">
        <f>CU3001</f>
        <v>0</v>
      </c>
      <c r="Y3001" s="71">
        <f>CY3001</f>
        <v>0</v>
      </c>
      <c r="Z3001" s="71">
        <f>DA3001+DC3001+DE3001</f>
        <v>0</v>
      </c>
      <c r="AA3001" s="71">
        <f>CW3001</f>
        <v>0</v>
      </c>
      <c r="AB3001" s="71"/>
      <c r="AC3001" s="71">
        <v>0</v>
      </c>
      <c r="AD3001" s="71">
        <f>W3001+X3001+Y3001+Z3001+AA3001+AB3001+AC3001</f>
        <v>0</v>
      </c>
      <c r="AE3001" s="72">
        <v>0</v>
      </c>
      <c r="AF3001" s="5"/>
      <c r="AG3001" s="6"/>
      <c r="AH3001" s="27"/>
      <c r="AI3001" s="44"/>
      <c r="AJ3001" s="26"/>
      <c r="AK3001" s="5"/>
      <c r="AL3001" s="82" t="s">
        <v>5901</v>
      </c>
      <c r="AM3001" s="76"/>
      <c r="AN3001" s="76"/>
      <c r="AO3001" s="76"/>
      <c r="AP3001" s="76"/>
      <c r="AQ3001" s="76"/>
      <c r="AR3001" s="76"/>
      <c r="AS3001" s="76"/>
      <c r="AT3001" s="76"/>
      <c r="AU3001" s="76"/>
      <c r="AV3001" s="76"/>
      <c r="AW3001" s="76"/>
      <c r="AX3001" s="76">
        <f>+AW3001*600000</f>
        <v>0</v>
      </c>
      <c r="AY3001" s="76"/>
      <c r="AZ3001" s="76">
        <f>+AY3001*70000</f>
        <v>0</v>
      </c>
      <c r="BA3001" s="76"/>
      <c r="BB3001" s="76"/>
      <c r="BC3001" s="76"/>
      <c r="BD3001" s="76">
        <f>+BC3001*30000</f>
        <v>0</v>
      </c>
      <c r="BE3001" s="76"/>
      <c r="BF3001" s="76"/>
      <c r="BG3001" s="76"/>
      <c r="BH3001" s="76"/>
      <c r="BI3001" s="76"/>
      <c r="BJ3001" s="76"/>
      <c r="BK3001" s="76"/>
      <c r="BL3001" s="76">
        <f>+BK3001*31500</f>
        <v>0</v>
      </c>
      <c r="BM3001" s="76"/>
      <c r="BN3001" s="76"/>
      <c r="BO3001" s="76"/>
      <c r="BP3001" s="76"/>
      <c r="BQ3001" s="76"/>
      <c r="BR3001" s="76"/>
      <c r="BS3001" s="76"/>
      <c r="BT3001" s="76"/>
      <c r="BU3001" s="76"/>
      <c r="BV3001" s="76"/>
      <c r="BW3001" s="76"/>
      <c r="BX3001" s="76"/>
      <c r="BY3001" s="76"/>
      <c r="BZ3001" s="76"/>
      <c r="CA3001" s="76"/>
      <c r="CB3001" s="76"/>
      <c r="CC3001" s="76"/>
      <c r="CD3001" s="76"/>
      <c r="CE3001" s="76"/>
      <c r="CF3001" s="76">
        <f>+CE3001*28000</f>
        <v>0</v>
      </c>
      <c r="CG3001" s="76"/>
      <c r="CH3001" s="76">
        <f>+CG3001*22500</f>
        <v>0</v>
      </c>
      <c r="CI3001" s="76"/>
      <c r="CJ3001" s="76">
        <f>+CI3001*26000</f>
        <v>0</v>
      </c>
      <c r="CK3001" s="76"/>
      <c r="CL3001" s="76"/>
      <c r="CM3001" s="76"/>
      <c r="CN3001" s="76">
        <f>+CM3001*22000</f>
        <v>0</v>
      </c>
      <c r="CO3001" s="76"/>
      <c r="CP3001" s="76">
        <f>+CO3001*46000</f>
        <v>0</v>
      </c>
      <c r="CQ3001" s="76"/>
      <c r="CR3001" s="76">
        <f>+CQ3001*49000</f>
        <v>0</v>
      </c>
      <c r="CS3001" s="76"/>
      <c r="CT3001" s="76"/>
      <c r="CU3001" s="56">
        <f>AN3001+AP3001+AR3001+AT3001+AV3001+AX3001+AZ3001+BB3001+BD3001+BF3001+BH3001+BJ3001+BL3001+BN3001+BP3001+BR3001+BT3001+BV3001+BX3001+BZ3001+CB3001+CD3001+CF3001+CH3001+CJ3001+CL3001+CN3001+CP3001+CR3001+CT3001</f>
        <v>0</v>
      </c>
      <c r="CV3001" s="76"/>
      <c r="CW3001" s="76">
        <f>+CV3001*1100</f>
        <v>0</v>
      </c>
      <c r="CX3001" s="76"/>
      <c r="CY3001" s="76">
        <f>+CX3001*106250</f>
        <v>0</v>
      </c>
      <c r="CZ3001" s="76"/>
      <c r="DA3001" s="76">
        <f>+CZ3001*34500</f>
        <v>0</v>
      </c>
      <c r="DB3001" s="76"/>
      <c r="DC3001" s="76">
        <f>+DB3001*25000</f>
        <v>0</v>
      </c>
      <c r="DD3001" s="219"/>
      <c r="DE3001" s="219"/>
      <c r="DF3001" s="166"/>
      <c r="DG3001" s="116"/>
      <c r="DH3001" s="117"/>
      <c r="DI3001" s="24"/>
      <c r="DJ3001" s="24"/>
      <c r="DK3001" s="24"/>
      <c r="DL3001" s="24"/>
      <c r="DM3001" s="24"/>
      <c r="DN3001" s="24"/>
      <c r="DO3001" s="24"/>
      <c r="DP3001" s="24"/>
      <c r="DQ3001" s="24"/>
      <c r="DR3001" s="24"/>
      <c r="DS3001" s="24"/>
      <c r="DT3001" s="24"/>
      <c r="DU3001" s="24"/>
    </row>
    <row r="3002" spans="1:125" s="8" customFormat="1" ht="48" x14ac:dyDescent="0.2">
      <c r="A3002" s="77">
        <v>41528</v>
      </c>
      <c r="B3002" s="352" t="s">
        <v>2718</v>
      </c>
      <c r="C3002" s="354" t="s">
        <v>2794</v>
      </c>
      <c r="D3002" s="354" t="s">
        <v>2859</v>
      </c>
      <c r="E3002" s="296" t="str">
        <f>VLOOKUP(B3002&amp;C3002,Divipola!$C$2:$F$1138,4,FALSE)</f>
        <v>23678</v>
      </c>
      <c r="F3002" s="87"/>
      <c r="G3002" s="87"/>
      <c r="H3002" s="87"/>
      <c r="I3002" s="87">
        <v>25</v>
      </c>
      <c r="J3002" s="87">
        <v>5</v>
      </c>
      <c r="K3002" s="87">
        <v>1</v>
      </c>
      <c r="L3002" s="87">
        <v>2</v>
      </c>
      <c r="M3002" s="87"/>
      <c r="N3002" s="87"/>
      <c r="O3002" s="87"/>
      <c r="P3002" s="87"/>
      <c r="Q3002" s="87"/>
      <c r="R3002" s="87"/>
      <c r="S3002" s="87"/>
      <c r="T3002" s="87"/>
      <c r="U3002" s="88"/>
      <c r="V3002" s="89"/>
      <c r="W3002" s="96">
        <v>0</v>
      </c>
      <c r="X3002" s="71">
        <f>CU3002</f>
        <v>0</v>
      </c>
      <c r="Y3002" s="71">
        <f>CY3002</f>
        <v>0</v>
      </c>
      <c r="Z3002" s="71">
        <f>DA3002+DC3002+DE3002</f>
        <v>0</v>
      </c>
      <c r="AA3002" s="71">
        <f>CW3002</f>
        <v>0</v>
      </c>
      <c r="AB3002" s="71"/>
      <c r="AC3002" s="71">
        <v>0</v>
      </c>
      <c r="AD3002" s="71">
        <f>W3002+X3002+Y3002+Z3002+AA3002+AB3002+AC3002</f>
        <v>0</v>
      </c>
      <c r="AE3002" s="72">
        <v>0</v>
      </c>
      <c r="AF3002" s="5"/>
      <c r="AG3002" s="6"/>
      <c r="AH3002" s="27"/>
      <c r="AI3002" s="44"/>
      <c r="AJ3002" s="26"/>
      <c r="AK3002" s="5"/>
      <c r="AL3002" s="82" t="s">
        <v>5902</v>
      </c>
      <c r="AM3002" s="76"/>
      <c r="AN3002" s="76"/>
      <c r="AO3002" s="76"/>
      <c r="AP3002" s="76"/>
      <c r="AQ3002" s="76"/>
      <c r="AR3002" s="76"/>
      <c r="AS3002" s="76"/>
      <c r="AT3002" s="76"/>
      <c r="AU3002" s="76"/>
      <c r="AV3002" s="76"/>
      <c r="AW3002" s="76"/>
      <c r="AX3002" s="76">
        <f>+AW3002*600000</f>
        <v>0</v>
      </c>
      <c r="AY3002" s="76"/>
      <c r="AZ3002" s="76">
        <f>+AY3002*70000</f>
        <v>0</v>
      </c>
      <c r="BA3002" s="76"/>
      <c r="BB3002" s="76"/>
      <c r="BC3002" s="76"/>
      <c r="BD3002" s="76">
        <f>+BC3002*30000</f>
        <v>0</v>
      </c>
      <c r="BE3002" s="76"/>
      <c r="BF3002" s="76"/>
      <c r="BG3002" s="76"/>
      <c r="BH3002" s="76"/>
      <c r="BI3002" s="76"/>
      <c r="BJ3002" s="76"/>
      <c r="BK3002" s="76"/>
      <c r="BL3002" s="76">
        <f>+BK3002*31500</f>
        <v>0</v>
      </c>
      <c r="BM3002" s="76"/>
      <c r="BN3002" s="76"/>
      <c r="BO3002" s="76"/>
      <c r="BP3002" s="76"/>
      <c r="BQ3002" s="76"/>
      <c r="BR3002" s="76"/>
      <c r="BS3002" s="76"/>
      <c r="BT3002" s="76"/>
      <c r="BU3002" s="76"/>
      <c r="BV3002" s="76"/>
      <c r="BW3002" s="76"/>
      <c r="BX3002" s="76"/>
      <c r="BY3002" s="76"/>
      <c r="BZ3002" s="76"/>
      <c r="CA3002" s="76"/>
      <c r="CB3002" s="76"/>
      <c r="CC3002" s="76"/>
      <c r="CD3002" s="76"/>
      <c r="CE3002" s="76"/>
      <c r="CF3002" s="76">
        <f>+CE3002*28000</f>
        <v>0</v>
      </c>
      <c r="CG3002" s="76"/>
      <c r="CH3002" s="76">
        <f>+CG3002*22500</f>
        <v>0</v>
      </c>
      <c r="CI3002" s="76"/>
      <c r="CJ3002" s="76">
        <f>+CI3002*26000</f>
        <v>0</v>
      </c>
      <c r="CK3002" s="76"/>
      <c r="CL3002" s="76"/>
      <c r="CM3002" s="76"/>
      <c r="CN3002" s="76">
        <f>+CM3002*22000</f>
        <v>0</v>
      </c>
      <c r="CO3002" s="76"/>
      <c r="CP3002" s="76">
        <f>+CO3002*46000</f>
        <v>0</v>
      </c>
      <c r="CQ3002" s="76"/>
      <c r="CR3002" s="76">
        <f>+CQ3002*49000</f>
        <v>0</v>
      </c>
      <c r="CS3002" s="76"/>
      <c r="CT3002" s="76"/>
      <c r="CU3002" s="56">
        <f>AN3002+AP3002+AR3002+AT3002+AV3002+AX3002+AZ3002+BB3002+BD3002+BF3002+BH3002+BJ3002+BL3002+BN3002+BP3002+BR3002+BT3002+BV3002+BX3002+BZ3002+CB3002+CD3002+CF3002+CH3002+CJ3002+CL3002+CN3002+CP3002+CR3002+CT3002</f>
        <v>0</v>
      </c>
      <c r="CV3002" s="76"/>
      <c r="CW3002" s="76">
        <f>+CV3002*1100</f>
        <v>0</v>
      </c>
      <c r="CX3002" s="76"/>
      <c r="CY3002" s="76">
        <f>+CX3002*106250</f>
        <v>0</v>
      </c>
      <c r="CZ3002" s="76"/>
      <c r="DA3002" s="76">
        <f>+CZ3002*34500</f>
        <v>0</v>
      </c>
      <c r="DB3002" s="76"/>
      <c r="DC3002" s="76">
        <f>+DB3002*25000</f>
        <v>0</v>
      </c>
      <c r="DD3002" s="219"/>
      <c r="DE3002" s="219"/>
      <c r="DF3002" s="166"/>
      <c r="DG3002" s="116"/>
      <c r="DH3002" s="117"/>
      <c r="DI3002" s="24"/>
      <c r="DJ3002" s="24"/>
      <c r="DK3002" s="24"/>
      <c r="DL3002" s="24"/>
      <c r="DM3002" s="24"/>
      <c r="DN3002" s="24"/>
      <c r="DO3002" s="24"/>
      <c r="DP3002" s="24"/>
      <c r="DQ3002" s="24"/>
      <c r="DR3002" s="24"/>
      <c r="DS3002" s="24"/>
      <c r="DT3002" s="24"/>
      <c r="DU3002" s="24"/>
    </row>
    <row r="3003" spans="1:125" s="8" customFormat="1" ht="60" x14ac:dyDescent="0.2">
      <c r="A3003" s="77">
        <v>41528</v>
      </c>
      <c r="B3003" s="352" t="s">
        <v>2906</v>
      </c>
      <c r="C3003" s="354" t="s">
        <v>437</v>
      </c>
      <c r="D3003" s="354" t="s">
        <v>3051</v>
      </c>
      <c r="E3003" s="296" t="str">
        <f>VLOOKUP(B3003&amp;C3003,Divipola!$C$2:$F$1138,4,FALSE)</f>
        <v>47288</v>
      </c>
      <c r="F3003" s="87"/>
      <c r="G3003" s="87"/>
      <c r="H3003" s="87"/>
      <c r="I3003" s="87"/>
      <c r="J3003" s="87"/>
      <c r="K3003" s="87"/>
      <c r="L3003" s="87"/>
      <c r="M3003" s="87"/>
      <c r="N3003" s="87"/>
      <c r="O3003" s="87"/>
      <c r="P3003" s="87"/>
      <c r="Q3003" s="87"/>
      <c r="R3003" s="87"/>
      <c r="S3003" s="87"/>
      <c r="T3003" s="87"/>
      <c r="U3003" s="88"/>
      <c r="V3003" s="89"/>
      <c r="W3003" s="96">
        <v>0</v>
      </c>
      <c r="X3003" s="71">
        <f>CU3003</f>
        <v>0</v>
      </c>
      <c r="Y3003" s="71">
        <f>CY3003</f>
        <v>0</v>
      </c>
      <c r="Z3003" s="71">
        <f>DA3003+DC3003+DE3003</f>
        <v>0</v>
      </c>
      <c r="AA3003" s="71">
        <f>CW3003</f>
        <v>0</v>
      </c>
      <c r="AB3003" s="71"/>
      <c r="AC3003" s="71">
        <v>0</v>
      </c>
      <c r="AD3003" s="71">
        <f>W3003+X3003+Y3003+Z3003+AA3003+AB3003+AC3003</f>
        <v>0</v>
      </c>
      <c r="AE3003" s="72">
        <v>0</v>
      </c>
      <c r="AF3003" s="5"/>
      <c r="AG3003" s="6"/>
      <c r="AH3003" s="27"/>
      <c r="AI3003" s="44"/>
      <c r="AJ3003" s="26"/>
      <c r="AK3003" s="5"/>
      <c r="AL3003" s="82" t="s">
        <v>5900</v>
      </c>
      <c r="AM3003" s="76"/>
      <c r="AN3003" s="76"/>
      <c r="AO3003" s="76"/>
      <c r="AP3003" s="76"/>
      <c r="AQ3003" s="76"/>
      <c r="AR3003" s="76"/>
      <c r="AS3003" s="76"/>
      <c r="AT3003" s="76"/>
      <c r="AU3003" s="76"/>
      <c r="AV3003" s="76"/>
      <c r="AW3003" s="76"/>
      <c r="AX3003" s="76">
        <f>+AW3003*600000</f>
        <v>0</v>
      </c>
      <c r="AY3003" s="76"/>
      <c r="AZ3003" s="76">
        <f>+AY3003*70000</f>
        <v>0</v>
      </c>
      <c r="BA3003" s="76"/>
      <c r="BB3003" s="76"/>
      <c r="BC3003" s="76"/>
      <c r="BD3003" s="76">
        <f>+BC3003*30000</f>
        <v>0</v>
      </c>
      <c r="BE3003" s="76"/>
      <c r="BF3003" s="76"/>
      <c r="BG3003" s="76"/>
      <c r="BH3003" s="76"/>
      <c r="BI3003" s="76"/>
      <c r="BJ3003" s="76"/>
      <c r="BK3003" s="76"/>
      <c r="BL3003" s="76">
        <f>+BK3003*31500</f>
        <v>0</v>
      </c>
      <c r="BM3003" s="76"/>
      <c r="BN3003" s="76"/>
      <c r="BO3003" s="76"/>
      <c r="BP3003" s="76"/>
      <c r="BQ3003" s="76"/>
      <c r="BR3003" s="76"/>
      <c r="BS3003" s="76"/>
      <c r="BT3003" s="76"/>
      <c r="BU3003" s="76"/>
      <c r="BV3003" s="76"/>
      <c r="BW3003" s="76"/>
      <c r="BX3003" s="76"/>
      <c r="BY3003" s="76"/>
      <c r="BZ3003" s="76"/>
      <c r="CA3003" s="76"/>
      <c r="CB3003" s="76"/>
      <c r="CC3003" s="76"/>
      <c r="CD3003" s="76"/>
      <c r="CE3003" s="76"/>
      <c r="CF3003" s="76">
        <f>+CE3003*28000</f>
        <v>0</v>
      </c>
      <c r="CG3003" s="76"/>
      <c r="CH3003" s="76">
        <f>+CG3003*22500</f>
        <v>0</v>
      </c>
      <c r="CI3003" s="76"/>
      <c r="CJ3003" s="76">
        <f>+CI3003*26000</f>
        <v>0</v>
      </c>
      <c r="CK3003" s="76"/>
      <c r="CL3003" s="76"/>
      <c r="CM3003" s="76"/>
      <c r="CN3003" s="76">
        <f>+CM3003*22000</f>
        <v>0</v>
      </c>
      <c r="CO3003" s="76"/>
      <c r="CP3003" s="76">
        <f>+CO3003*46000</f>
        <v>0</v>
      </c>
      <c r="CQ3003" s="76"/>
      <c r="CR3003" s="76">
        <f>+CQ3003*49000</f>
        <v>0</v>
      </c>
      <c r="CS3003" s="76"/>
      <c r="CT3003" s="76"/>
      <c r="CU3003" s="56">
        <f>AN3003+AP3003+AR3003+AT3003+AV3003+AX3003+AZ3003+BB3003+BD3003+BF3003+BH3003+BJ3003+BL3003+BN3003+BP3003+BR3003+BT3003+BV3003+BX3003+BZ3003+CB3003+CD3003+CF3003+CH3003+CJ3003+CL3003+CN3003+CP3003+CR3003+CT3003</f>
        <v>0</v>
      </c>
      <c r="CV3003" s="76"/>
      <c r="CW3003" s="76">
        <f>+CV3003*1100</f>
        <v>0</v>
      </c>
      <c r="CX3003" s="76"/>
      <c r="CY3003" s="76">
        <f>+CX3003*106250</f>
        <v>0</v>
      </c>
      <c r="CZ3003" s="76"/>
      <c r="DA3003" s="76">
        <f>+CZ3003*34500</f>
        <v>0</v>
      </c>
      <c r="DB3003" s="76"/>
      <c r="DC3003" s="76">
        <f>+DB3003*25000</f>
        <v>0</v>
      </c>
      <c r="DD3003" s="219"/>
      <c r="DE3003" s="219"/>
      <c r="DF3003" s="166"/>
      <c r="DG3003" s="116"/>
      <c r="DH3003" s="117"/>
      <c r="DI3003" s="24"/>
      <c r="DJ3003" s="24"/>
      <c r="DK3003" s="24"/>
      <c r="DL3003" s="24"/>
      <c r="DM3003" s="24"/>
      <c r="DN3003" s="24"/>
      <c r="DO3003" s="24"/>
      <c r="DP3003" s="24"/>
      <c r="DQ3003" s="24"/>
      <c r="DR3003" s="24"/>
      <c r="DS3003" s="24"/>
      <c r="DT3003" s="24"/>
      <c r="DU3003" s="24"/>
    </row>
    <row r="3004" spans="1:125" s="8" customFormat="1" ht="48" x14ac:dyDescent="0.2">
      <c r="A3004" s="353">
        <v>41528</v>
      </c>
      <c r="B3004" s="78" t="s">
        <v>2906</v>
      </c>
      <c r="C3004" s="75" t="s">
        <v>1283</v>
      </c>
      <c r="D3004" s="75" t="s">
        <v>3051</v>
      </c>
      <c r="E3004" s="296" t="str">
        <f>VLOOKUP(B3004&amp;C3004,Divipola!$C$2:$F$1138,4,FALSE)</f>
        <v>47980</v>
      </c>
      <c r="F3004" s="87"/>
      <c r="G3004" s="87"/>
      <c r="H3004" s="87"/>
      <c r="I3004" s="87">
        <v>410</v>
      </c>
      <c r="J3004" s="87">
        <v>82</v>
      </c>
      <c r="K3004" s="87"/>
      <c r="L3004" s="87">
        <v>82</v>
      </c>
      <c r="M3004" s="87"/>
      <c r="N3004" s="87"/>
      <c r="O3004" s="87"/>
      <c r="P3004" s="87"/>
      <c r="Q3004" s="87"/>
      <c r="R3004" s="87"/>
      <c r="S3004" s="87"/>
      <c r="T3004" s="87"/>
      <c r="U3004" s="88"/>
      <c r="V3004" s="89"/>
      <c r="W3004" s="96">
        <v>0</v>
      </c>
      <c r="X3004" s="71">
        <f>CU3004</f>
        <v>0</v>
      </c>
      <c r="Y3004" s="71">
        <f>CY3004</f>
        <v>0</v>
      </c>
      <c r="Z3004" s="71">
        <f>DA3004+DC3004+DE3004</f>
        <v>0</v>
      </c>
      <c r="AA3004" s="71">
        <f>CW3004</f>
        <v>0</v>
      </c>
      <c r="AB3004" s="71"/>
      <c r="AC3004" s="71">
        <v>0</v>
      </c>
      <c r="AD3004" s="71">
        <f>W3004+X3004+Y3004+Z3004+AA3004+AB3004+AC3004</f>
        <v>0</v>
      </c>
      <c r="AE3004" s="72">
        <v>0</v>
      </c>
      <c r="AF3004" s="5"/>
      <c r="AG3004" s="6"/>
      <c r="AH3004" s="27"/>
      <c r="AI3004" s="44"/>
      <c r="AJ3004" s="26"/>
      <c r="AK3004" s="5"/>
      <c r="AL3004" s="305" t="s">
        <v>5907</v>
      </c>
      <c r="AM3004" s="76"/>
      <c r="AN3004" s="76"/>
      <c r="AO3004" s="76"/>
      <c r="AP3004" s="76"/>
      <c r="AQ3004" s="76"/>
      <c r="AR3004" s="76"/>
      <c r="AS3004" s="76"/>
      <c r="AT3004" s="76"/>
      <c r="AU3004" s="76"/>
      <c r="AV3004" s="76"/>
      <c r="AW3004" s="76"/>
      <c r="AX3004" s="76">
        <f>+AW3004*600000</f>
        <v>0</v>
      </c>
      <c r="AY3004" s="76"/>
      <c r="AZ3004" s="76">
        <f>+AY3004*70000</f>
        <v>0</v>
      </c>
      <c r="BA3004" s="76"/>
      <c r="BB3004" s="76"/>
      <c r="BC3004" s="76"/>
      <c r="BD3004" s="76">
        <f>+BC3004*30000</f>
        <v>0</v>
      </c>
      <c r="BE3004" s="76"/>
      <c r="BF3004" s="76"/>
      <c r="BG3004" s="76"/>
      <c r="BH3004" s="76"/>
      <c r="BI3004" s="76"/>
      <c r="BJ3004" s="76"/>
      <c r="BK3004" s="76"/>
      <c r="BL3004" s="76">
        <f>+BK3004*31500</f>
        <v>0</v>
      </c>
      <c r="BM3004" s="76"/>
      <c r="BN3004" s="76"/>
      <c r="BO3004" s="76"/>
      <c r="BP3004" s="76"/>
      <c r="BQ3004" s="76"/>
      <c r="BR3004" s="76"/>
      <c r="BS3004" s="76"/>
      <c r="BT3004" s="76"/>
      <c r="BU3004" s="76"/>
      <c r="BV3004" s="76"/>
      <c r="BW3004" s="76"/>
      <c r="BX3004" s="76"/>
      <c r="BY3004" s="76"/>
      <c r="BZ3004" s="76"/>
      <c r="CA3004" s="76"/>
      <c r="CB3004" s="76"/>
      <c r="CC3004" s="76"/>
      <c r="CD3004" s="76"/>
      <c r="CE3004" s="76"/>
      <c r="CF3004" s="76">
        <f>+CE3004*28000</f>
        <v>0</v>
      </c>
      <c r="CG3004" s="76"/>
      <c r="CH3004" s="76">
        <f>+CG3004*22500</f>
        <v>0</v>
      </c>
      <c r="CI3004" s="76"/>
      <c r="CJ3004" s="76">
        <f>+CI3004*26000</f>
        <v>0</v>
      </c>
      <c r="CK3004" s="76"/>
      <c r="CL3004" s="76"/>
      <c r="CM3004" s="76"/>
      <c r="CN3004" s="76">
        <f>+CM3004*22000</f>
        <v>0</v>
      </c>
      <c r="CO3004" s="76"/>
      <c r="CP3004" s="76">
        <f>+CO3004*46000</f>
        <v>0</v>
      </c>
      <c r="CQ3004" s="76"/>
      <c r="CR3004" s="76">
        <f>+CQ3004*49000</f>
        <v>0</v>
      </c>
      <c r="CS3004" s="76"/>
      <c r="CT3004" s="76"/>
      <c r="CU3004" s="56">
        <f>AN3004+AP3004+AR3004+AT3004+AV3004+AX3004+AZ3004+BB3004+BD3004+BF3004+BH3004+BJ3004+BL3004+BN3004+BP3004+BR3004+BT3004+BV3004+BX3004+BZ3004+CB3004+CD3004+CF3004+CH3004+CJ3004+CL3004+CN3004+CP3004+CR3004+CT3004</f>
        <v>0</v>
      </c>
      <c r="CV3004" s="76"/>
      <c r="CW3004" s="76">
        <f>+CV3004*1100</f>
        <v>0</v>
      </c>
      <c r="CX3004" s="76"/>
      <c r="CY3004" s="76">
        <f>+CX3004*106250</f>
        <v>0</v>
      </c>
      <c r="CZ3004" s="76"/>
      <c r="DA3004" s="76">
        <f>+CZ3004*34500</f>
        <v>0</v>
      </c>
      <c r="DB3004" s="76"/>
      <c r="DC3004" s="76">
        <f>+DB3004*25000</f>
        <v>0</v>
      </c>
      <c r="DD3004" s="219"/>
      <c r="DE3004" s="219"/>
      <c r="DF3004" s="166"/>
      <c r="DG3004" s="116"/>
      <c r="DH3004" s="117"/>
      <c r="DI3004" s="24"/>
      <c r="DJ3004" s="24"/>
      <c r="DK3004" s="24"/>
      <c r="DL3004" s="24"/>
      <c r="DM3004" s="24"/>
      <c r="DN3004" s="24"/>
      <c r="DO3004" s="24"/>
      <c r="DP3004" s="24"/>
      <c r="DQ3004" s="24"/>
      <c r="DR3004" s="24"/>
      <c r="DS3004" s="24"/>
      <c r="DT3004" s="24"/>
      <c r="DU3004" s="24"/>
    </row>
    <row r="3005" spans="1:125" s="8" customFormat="1" ht="72" x14ac:dyDescent="0.2">
      <c r="A3005" s="77">
        <v>41528</v>
      </c>
      <c r="B3005" s="352" t="s">
        <v>2848</v>
      </c>
      <c r="C3005" s="354" t="s">
        <v>1384</v>
      </c>
      <c r="D3005" s="354" t="s">
        <v>2846</v>
      </c>
      <c r="E3005" s="296" t="str">
        <f>VLOOKUP(B3005&amp;C3005,Divipola!$C$2:$F$1138,4,FALSE)</f>
        <v>73678</v>
      </c>
      <c r="F3005" s="87"/>
      <c r="G3005" s="87"/>
      <c r="H3005" s="87"/>
      <c r="I3005" s="87"/>
      <c r="J3005" s="87"/>
      <c r="K3005" s="87"/>
      <c r="L3005" s="87"/>
      <c r="M3005" s="87"/>
      <c r="N3005" s="87"/>
      <c r="O3005" s="87"/>
      <c r="P3005" s="87"/>
      <c r="Q3005" s="87"/>
      <c r="R3005" s="87"/>
      <c r="S3005" s="87"/>
      <c r="T3005" s="87"/>
      <c r="U3005" s="88">
        <v>4</v>
      </c>
      <c r="V3005" s="89"/>
      <c r="W3005" s="96">
        <v>0</v>
      </c>
      <c r="X3005" s="71">
        <f>CU3005</f>
        <v>0</v>
      </c>
      <c r="Y3005" s="71">
        <f>CY3005</f>
        <v>0</v>
      </c>
      <c r="Z3005" s="71">
        <f>DA3005+DC3005+DE3005</f>
        <v>0</v>
      </c>
      <c r="AA3005" s="71">
        <f>CW3005</f>
        <v>0</v>
      </c>
      <c r="AB3005" s="71"/>
      <c r="AC3005" s="71">
        <v>0</v>
      </c>
      <c r="AD3005" s="71">
        <f>W3005+X3005+Y3005+Z3005+AA3005+AB3005+AC3005</f>
        <v>0</v>
      </c>
      <c r="AE3005" s="72">
        <v>0</v>
      </c>
      <c r="AF3005" s="5"/>
      <c r="AG3005" s="6"/>
      <c r="AH3005" s="27"/>
      <c r="AI3005" s="44"/>
      <c r="AJ3005" s="26"/>
      <c r="AK3005" s="5"/>
      <c r="AL3005" s="301" t="s">
        <v>5892</v>
      </c>
      <c r="AM3005" s="76"/>
      <c r="AN3005" s="76"/>
      <c r="AO3005" s="76"/>
      <c r="AP3005" s="76"/>
      <c r="AQ3005" s="76"/>
      <c r="AR3005" s="76"/>
      <c r="AS3005" s="76"/>
      <c r="AT3005" s="76"/>
      <c r="AU3005" s="76"/>
      <c r="AV3005" s="76"/>
      <c r="AW3005" s="76"/>
      <c r="AX3005" s="76">
        <f>+AW3005*600000</f>
        <v>0</v>
      </c>
      <c r="AY3005" s="76"/>
      <c r="AZ3005" s="76">
        <f>+AY3005*70000</f>
        <v>0</v>
      </c>
      <c r="BA3005" s="76"/>
      <c r="BB3005" s="76"/>
      <c r="BC3005" s="76"/>
      <c r="BD3005" s="76">
        <f>+BC3005*30000</f>
        <v>0</v>
      </c>
      <c r="BE3005" s="76"/>
      <c r="BF3005" s="76"/>
      <c r="BG3005" s="76"/>
      <c r="BH3005" s="76"/>
      <c r="BI3005" s="76"/>
      <c r="BJ3005" s="76"/>
      <c r="BK3005" s="76"/>
      <c r="BL3005" s="76">
        <f>+BK3005*31500</f>
        <v>0</v>
      </c>
      <c r="BM3005" s="76"/>
      <c r="BN3005" s="76"/>
      <c r="BO3005" s="76"/>
      <c r="BP3005" s="76"/>
      <c r="BQ3005" s="76"/>
      <c r="BR3005" s="76"/>
      <c r="BS3005" s="76"/>
      <c r="BT3005" s="76"/>
      <c r="BU3005" s="76"/>
      <c r="BV3005" s="76"/>
      <c r="BW3005" s="76"/>
      <c r="BX3005" s="76"/>
      <c r="BY3005" s="76"/>
      <c r="BZ3005" s="76"/>
      <c r="CA3005" s="76"/>
      <c r="CB3005" s="76"/>
      <c r="CC3005" s="76"/>
      <c r="CD3005" s="76"/>
      <c r="CE3005" s="76"/>
      <c r="CF3005" s="76">
        <f>+CE3005*28000</f>
        <v>0</v>
      </c>
      <c r="CG3005" s="76"/>
      <c r="CH3005" s="76">
        <f>+CG3005*22500</f>
        <v>0</v>
      </c>
      <c r="CI3005" s="76"/>
      <c r="CJ3005" s="76">
        <f>+CI3005*26000</f>
        <v>0</v>
      </c>
      <c r="CK3005" s="76"/>
      <c r="CL3005" s="76"/>
      <c r="CM3005" s="76"/>
      <c r="CN3005" s="76">
        <f>+CM3005*22000</f>
        <v>0</v>
      </c>
      <c r="CO3005" s="76"/>
      <c r="CP3005" s="76">
        <f>+CO3005*46000</f>
        <v>0</v>
      </c>
      <c r="CQ3005" s="76"/>
      <c r="CR3005" s="76">
        <f>+CQ3005*49000</f>
        <v>0</v>
      </c>
      <c r="CS3005" s="76"/>
      <c r="CT3005" s="76"/>
      <c r="CU3005" s="56">
        <f>AN3005+AP3005+AR3005+AT3005+AV3005+AX3005+AZ3005+BB3005+BD3005+BF3005+BH3005+BJ3005+BL3005+BN3005+BP3005+BR3005+BT3005+BV3005+BX3005+BZ3005+CB3005+CD3005+CF3005+CH3005+CJ3005+CL3005+CN3005+CP3005+CR3005+CT3005</f>
        <v>0</v>
      </c>
      <c r="CV3005" s="76"/>
      <c r="CW3005" s="76">
        <f>+CV3005*1100</f>
        <v>0</v>
      </c>
      <c r="CX3005" s="76"/>
      <c r="CY3005" s="76">
        <f>+CX3005*106250</f>
        <v>0</v>
      </c>
      <c r="CZ3005" s="76"/>
      <c r="DA3005" s="76">
        <f>+CZ3005*34500</f>
        <v>0</v>
      </c>
      <c r="DB3005" s="76"/>
      <c r="DC3005" s="76">
        <f>+DB3005*25000</f>
        <v>0</v>
      </c>
      <c r="DD3005" s="219"/>
      <c r="DE3005" s="219"/>
      <c r="DF3005" s="166"/>
      <c r="DG3005" s="116"/>
      <c r="DH3005" s="117"/>
      <c r="DI3005" s="24"/>
      <c r="DJ3005" s="24"/>
      <c r="DK3005" s="24"/>
      <c r="DL3005" s="24"/>
      <c r="DM3005" s="24"/>
      <c r="DN3005" s="24"/>
      <c r="DO3005" s="24"/>
      <c r="DP3005" s="24"/>
      <c r="DQ3005" s="24"/>
      <c r="DR3005" s="24"/>
      <c r="DS3005" s="24"/>
      <c r="DT3005" s="24"/>
      <c r="DU3005" s="24"/>
    </row>
    <row r="3006" spans="1:125" s="8" customFormat="1" ht="60" x14ac:dyDescent="0.2">
      <c r="A3006" s="77">
        <v>41528</v>
      </c>
      <c r="B3006" s="352" t="s">
        <v>2848</v>
      </c>
      <c r="C3006" s="354" t="s">
        <v>1258</v>
      </c>
      <c r="D3006" s="354" t="s">
        <v>2882</v>
      </c>
      <c r="E3006" s="296" t="str">
        <f>VLOOKUP(B3006&amp;C3006,Divipola!$C$2:$F$1138,4,FALSE)</f>
        <v>73870</v>
      </c>
      <c r="F3006" s="87"/>
      <c r="G3006" s="87"/>
      <c r="H3006" s="87"/>
      <c r="I3006" s="87">
        <v>10</v>
      </c>
      <c r="J3006" s="87">
        <v>2</v>
      </c>
      <c r="K3006" s="87"/>
      <c r="L3006" s="87">
        <v>2</v>
      </c>
      <c r="M3006" s="87"/>
      <c r="N3006" s="87"/>
      <c r="O3006" s="87"/>
      <c r="P3006" s="87"/>
      <c r="Q3006" s="87"/>
      <c r="R3006" s="87"/>
      <c r="S3006" s="87"/>
      <c r="T3006" s="87"/>
      <c r="U3006" s="88"/>
      <c r="V3006" s="89"/>
      <c r="W3006" s="96">
        <v>0</v>
      </c>
      <c r="X3006" s="71">
        <f>CU3006</f>
        <v>0</v>
      </c>
      <c r="Y3006" s="71">
        <f>CY3006</f>
        <v>0</v>
      </c>
      <c r="Z3006" s="71">
        <f>DA3006+DC3006+DE3006</f>
        <v>0</v>
      </c>
      <c r="AA3006" s="71">
        <f>CW3006</f>
        <v>0</v>
      </c>
      <c r="AB3006" s="71"/>
      <c r="AC3006" s="71">
        <v>0</v>
      </c>
      <c r="AD3006" s="71">
        <f>W3006+X3006+Y3006+Z3006+AA3006+AB3006+AC3006</f>
        <v>0</v>
      </c>
      <c r="AE3006" s="72">
        <v>0</v>
      </c>
      <c r="AF3006" s="5"/>
      <c r="AG3006" s="6"/>
      <c r="AH3006" s="27"/>
      <c r="AI3006" s="44"/>
      <c r="AJ3006" s="26"/>
      <c r="AK3006" s="5"/>
      <c r="AL3006" s="301" t="s">
        <v>5893</v>
      </c>
      <c r="AM3006" s="76"/>
      <c r="AN3006" s="76"/>
      <c r="AO3006" s="76"/>
      <c r="AP3006" s="76"/>
      <c r="AQ3006" s="76"/>
      <c r="AR3006" s="76"/>
      <c r="AS3006" s="76"/>
      <c r="AT3006" s="76"/>
      <c r="AU3006" s="76"/>
      <c r="AV3006" s="76"/>
      <c r="AW3006" s="76"/>
      <c r="AX3006" s="76">
        <f>+AW3006*600000</f>
        <v>0</v>
      </c>
      <c r="AY3006" s="76"/>
      <c r="AZ3006" s="76">
        <f>+AY3006*70000</f>
        <v>0</v>
      </c>
      <c r="BA3006" s="76"/>
      <c r="BB3006" s="76"/>
      <c r="BC3006" s="76"/>
      <c r="BD3006" s="76">
        <f>+BC3006*30000</f>
        <v>0</v>
      </c>
      <c r="BE3006" s="76"/>
      <c r="BF3006" s="76"/>
      <c r="BG3006" s="76"/>
      <c r="BH3006" s="76"/>
      <c r="BI3006" s="76"/>
      <c r="BJ3006" s="76"/>
      <c r="BK3006" s="76"/>
      <c r="BL3006" s="76">
        <f>+BK3006*31500</f>
        <v>0</v>
      </c>
      <c r="BM3006" s="76"/>
      <c r="BN3006" s="76"/>
      <c r="BO3006" s="76"/>
      <c r="BP3006" s="76"/>
      <c r="BQ3006" s="76"/>
      <c r="BR3006" s="76"/>
      <c r="BS3006" s="76"/>
      <c r="BT3006" s="76"/>
      <c r="BU3006" s="76"/>
      <c r="BV3006" s="76"/>
      <c r="BW3006" s="76"/>
      <c r="BX3006" s="76"/>
      <c r="BY3006" s="76"/>
      <c r="BZ3006" s="76"/>
      <c r="CA3006" s="76"/>
      <c r="CB3006" s="76"/>
      <c r="CC3006" s="76"/>
      <c r="CD3006" s="76"/>
      <c r="CE3006" s="76"/>
      <c r="CF3006" s="76">
        <f>+CE3006*28000</f>
        <v>0</v>
      </c>
      <c r="CG3006" s="76"/>
      <c r="CH3006" s="76">
        <f>+CG3006*22500</f>
        <v>0</v>
      </c>
      <c r="CI3006" s="76"/>
      <c r="CJ3006" s="76">
        <f>+CI3006*26000</f>
        <v>0</v>
      </c>
      <c r="CK3006" s="76"/>
      <c r="CL3006" s="76"/>
      <c r="CM3006" s="76"/>
      <c r="CN3006" s="76">
        <f>+CM3006*22000</f>
        <v>0</v>
      </c>
      <c r="CO3006" s="76"/>
      <c r="CP3006" s="76">
        <f>+CO3006*46000</f>
        <v>0</v>
      </c>
      <c r="CQ3006" s="76"/>
      <c r="CR3006" s="76">
        <f>+CQ3006*49000</f>
        <v>0</v>
      </c>
      <c r="CS3006" s="76"/>
      <c r="CT3006" s="76"/>
      <c r="CU3006" s="56">
        <f>AN3006+AP3006+AR3006+AT3006+AV3006+AX3006+AZ3006+BB3006+BD3006+BF3006+BH3006+BJ3006+BL3006+BN3006+BP3006+BR3006+BT3006+BV3006+BX3006+BZ3006+CB3006+CD3006+CF3006+CH3006+CJ3006+CL3006+CN3006+CP3006+CR3006+CT3006</f>
        <v>0</v>
      </c>
      <c r="CV3006" s="76"/>
      <c r="CW3006" s="76">
        <f>+CV3006*1100</f>
        <v>0</v>
      </c>
      <c r="CX3006" s="76"/>
      <c r="CY3006" s="76">
        <f>+CX3006*106250</f>
        <v>0</v>
      </c>
      <c r="CZ3006" s="76"/>
      <c r="DA3006" s="76">
        <f>+CZ3006*34500</f>
        <v>0</v>
      </c>
      <c r="DB3006" s="76"/>
      <c r="DC3006" s="76">
        <f>+DB3006*25000</f>
        <v>0</v>
      </c>
      <c r="DD3006" s="219"/>
      <c r="DE3006" s="219"/>
      <c r="DF3006" s="166"/>
      <c r="DG3006" s="116"/>
      <c r="DH3006" s="117"/>
      <c r="DI3006" s="24"/>
      <c r="DJ3006" s="24"/>
      <c r="DK3006" s="24"/>
      <c r="DL3006" s="24"/>
      <c r="DM3006" s="24"/>
      <c r="DN3006" s="24"/>
      <c r="DO3006" s="24"/>
      <c r="DP3006" s="24"/>
      <c r="DQ3006" s="24"/>
      <c r="DR3006" s="24"/>
      <c r="DS3006" s="24"/>
      <c r="DT3006" s="24"/>
      <c r="DU3006" s="24"/>
    </row>
    <row r="3007" spans="1:125" s="8" customFormat="1" ht="24" x14ac:dyDescent="0.2">
      <c r="A3007" s="77">
        <v>41528</v>
      </c>
      <c r="B3007" s="78" t="s">
        <v>2851</v>
      </c>
      <c r="C3007" s="75" t="s">
        <v>2101</v>
      </c>
      <c r="D3007" s="75" t="s">
        <v>3051</v>
      </c>
      <c r="E3007" s="296" t="str">
        <f>VLOOKUP(B3007&amp;C3007,Divipola!$C$2:$F$1138,4,FALSE)</f>
        <v>76036</v>
      </c>
      <c r="F3007" s="87"/>
      <c r="G3007" s="87"/>
      <c r="H3007" s="87"/>
      <c r="I3007" s="87"/>
      <c r="J3007" s="87"/>
      <c r="K3007" s="87"/>
      <c r="L3007" s="87"/>
      <c r="M3007" s="87"/>
      <c r="N3007" s="87"/>
      <c r="O3007" s="87"/>
      <c r="P3007" s="87"/>
      <c r="Q3007" s="87">
        <v>1</v>
      </c>
      <c r="R3007" s="87"/>
      <c r="S3007" s="87"/>
      <c r="T3007" s="87"/>
      <c r="U3007" s="88"/>
      <c r="V3007" s="89"/>
      <c r="W3007" s="96">
        <v>0</v>
      </c>
      <c r="X3007" s="71">
        <f>CU3007</f>
        <v>0</v>
      </c>
      <c r="Y3007" s="71">
        <f>CY3007</f>
        <v>0</v>
      </c>
      <c r="Z3007" s="71">
        <f>DA3007+DC3007+DE3007</f>
        <v>0</v>
      </c>
      <c r="AA3007" s="71">
        <f>CW3007</f>
        <v>0</v>
      </c>
      <c r="AB3007" s="71"/>
      <c r="AC3007" s="71">
        <v>0</v>
      </c>
      <c r="AD3007" s="71">
        <f>W3007+X3007+Y3007+Z3007+AA3007+AB3007+AC3007</f>
        <v>0</v>
      </c>
      <c r="AE3007" s="72">
        <v>0</v>
      </c>
      <c r="AF3007" s="5"/>
      <c r="AG3007" s="6"/>
      <c r="AH3007" s="27"/>
      <c r="AI3007" s="44"/>
      <c r="AJ3007" s="26"/>
      <c r="AK3007" s="5"/>
      <c r="AL3007" s="303" t="s">
        <v>5899</v>
      </c>
      <c r="AM3007" s="76"/>
      <c r="AN3007" s="76"/>
      <c r="AO3007" s="76"/>
      <c r="AP3007" s="76"/>
      <c r="AQ3007" s="76"/>
      <c r="AR3007" s="76"/>
      <c r="AS3007" s="76"/>
      <c r="AT3007" s="76"/>
      <c r="AU3007" s="76"/>
      <c r="AV3007" s="76"/>
      <c r="AW3007" s="76"/>
      <c r="AX3007" s="76">
        <f>+AW3007*600000</f>
        <v>0</v>
      </c>
      <c r="AY3007" s="76"/>
      <c r="AZ3007" s="76">
        <f>+AY3007*70000</f>
        <v>0</v>
      </c>
      <c r="BA3007" s="76"/>
      <c r="BB3007" s="76"/>
      <c r="BC3007" s="76"/>
      <c r="BD3007" s="76">
        <f>+BC3007*30000</f>
        <v>0</v>
      </c>
      <c r="BE3007" s="76"/>
      <c r="BF3007" s="76"/>
      <c r="BG3007" s="76"/>
      <c r="BH3007" s="76"/>
      <c r="BI3007" s="76"/>
      <c r="BJ3007" s="76"/>
      <c r="BK3007" s="76"/>
      <c r="BL3007" s="76">
        <f>+BK3007*31500</f>
        <v>0</v>
      </c>
      <c r="BM3007" s="76"/>
      <c r="BN3007" s="76"/>
      <c r="BO3007" s="76"/>
      <c r="BP3007" s="76"/>
      <c r="BQ3007" s="76"/>
      <c r="BR3007" s="76"/>
      <c r="BS3007" s="76"/>
      <c r="BT3007" s="76"/>
      <c r="BU3007" s="76"/>
      <c r="BV3007" s="76"/>
      <c r="BW3007" s="76"/>
      <c r="BX3007" s="76"/>
      <c r="BY3007" s="76"/>
      <c r="BZ3007" s="76"/>
      <c r="CA3007" s="76"/>
      <c r="CB3007" s="76"/>
      <c r="CC3007" s="76"/>
      <c r="CD3007" s="76"/>
      <c r="CE3007" s="76"/>
      <c r="CF3007" s="76">
        <f>+CE3007*28000</f>
        <v>0</v>
      </c>
      <c r="CG3007" s="76"/>
      <c r="CH3007" s="76">
        <f>+CG3007*22500</f>
        <v>0</v>
      </c>
      <c r="CI3007" s="76"/>
      <c r="CJ3007" s="76">
        <f>+CI3007*26000</f>
        <v>0</v>
      </c>
      <c r="CK3007" s="76"/>
      <c r="CL3007" s="76"/>
      <c r="CM3007" s="76"/>
      <c r="CN3007" s="76">
        <f>+CM3007*22000</f>
        <v>0</v>
      </c>
      <c r="CO3007" s="76"/>
      <c r="CP3007" s="76">
        <f>+CO3007*46000</f>
        <v>0</v>
      </c>
      <c r="CQ3007" s="76"/>
      <c r="CR3007" s="76">
        <f>+CQ3007*49000</f>
        <v>0</v>
      </c>
      <c r="CS3007" s="76"/>
      <c r="CT3007" s="76"/>
      <c r="CU3007" s="56">
        <f>AN3007+AP3007+AR3007+AT3007+AV3007+AX3007+AZ3007+BB3007+BD3007+BF3007+BH3007+BJ3007+BL3007+BN3007+BP3007+BR3007+BT3007+BV3007+BX3007+BZ3007+CB3007+CD3007+CF3007+CH3007+CJ3007+CL3007+CN3007+CP3007+CR3007+CT3007</f>
        <v>0</v>
      </c>
      <c r="CV3007" s="76"/>
      <c r="CW3007" s="76">
        <f>+CV3007*1100</f>
        <v>0</v>
      </c>
      <c r="CX3007" s="76"/>
      <c r="CY3007" s="76">
        <f>+CX3007*106250</f>
        <v>0</v>
      </c>
      <c r="CZ3007" s="76"/>
      <c r="DA3007" s="76">
        <f>+CZ3007*34500</f>
        <v>0</v>
      </c>
      <c r="DB3007" s="76"/>
      <c r="DC3007" s="76">
        <f>+DB3007*25000</f>
        <v>0</v>
      </c>
      <c r="DD3007" s="219"/>
      <c r="DE3007" s="219"/>
      <c r="DF3007" s="166"/>
      <c r="DG3007" s="116"/>
      <c r="DH3007" s="117"/>
      <c r="DI3007" s="24"/>
      <c r="DJ3007" s="24"/>
      <c r="DK3007" s="24"/>
      <c r="DL3007" s="24"/>
      <c r="DM3007" s="24"/>
      <c r="DN3007" s="24"/>
      <c r="DO3007" s="24"/>
      <c r="DP3007" s="24"/>
      <c r="DQ3007" s="24"/>
      <c r="DR3007" s="24"/>
      <c r="DS3007" s="24"/>
      <c r="DT3007" s="24"/>
      <c r="DU3007" s="24"/>
    </row>
    <row r="3008" spans="1:125" s="8" customFormat="1" ht="108" x14ac:dyDescent="0.2">
      <c r="A3008" s="353">
        <v>41529</v>
      </c>
      <c r="B3008" s="78" t="s">
        <v>2894</v>
      </c>
      <c r="C3008" s="75" t="s">
        <v>1384</v>
      </c>
      <c r="D3008" s="75" t="s">
        <v>3088</v>
      </c>
      <c r="E3008" s="296" t="str">
        <f>VLOOKUP(B3008&amp;C3008,Divipola!$C$2:$F$1138,4,FALSE)</f>
        <v>05660</v>
      </c>
      <c r="F3008" s="87"/>
      <c r="G3008" s="87"/>
      <c r="H3008" s="87"/>
      <c r="I3008" s="87"/>
      <c r="J3008" s="87"/>
      <c r="K3008" s="87"/>
      <c r="L3008" s="87"/>
      <c r="M3008" s="87">
        <v>1</v>
      </c>
      <c r="N3008" s="87"/>
      <c r="O3008" s="87"/>
      <c r="P3008" s="87"/>
      <c r="Q3008" s="87"/>
      <c r="R3008" s="87"/>
      <c r="S3008" s="87"/>
      <c r="T3008" s="87"/>
      <c r="U3008" s="88"/>
      <c r="V3008" s="89"/>
      <c r="W3008" s="96">
        <v>0</v>
      </c>
      <c r="X3008" s="71">
        <f>CU3008</f>
        <v>0</v>
      </c>
      <c r="Y3008" s="71">
        <f>CY3008</f>
        <v>0</v>
      </c>
      <c r="Z3008" s="71">
        <f>DA3008+DC3008+DE3008</f>
        <v>0</v>
      </c>
      <c r="AA3008" s="71">
        <f>CW3008</f>
        <v>0</v>
      </c>
      <c r="AB3008" s="71"/>
      <c r="AC3008" s="71">
        <v>0</v>
      </c>
      <c r="AD3008" s="71">
        <f>W3008+X3008+Y3008+Z3008+AA3008+AB3008+AC3008</f>
        <v>0</v>
      </c>
      <c r="AE3008" s="72">
        <v>0</v>
      </c>
      <c r="AF3008" s="5"/>
      <c r="AG3008" s="6"/>
      <c r="AH3008" s="27"/>
      <c r="AI3008" s="44"/>
      <c r="AJ3008" s="26"/>
      <c r="AK3008" s="5"/>
      <c r="AL3008" s="274" t="s">
        <v>5903</v>
      </c>
      <c r="AM3008" s="76"/>
      <c r="AN3008" s="76"/>
      <c r="AO3008" s="76"/>
      <c r="AP3008" s="76"/>
      <c r="AQ3008" s="76"/>
      <c r="AR3008" s="76"/>
      <c r="AS3008" s="76"/>
      <c r="AT3008" s="76"/>
      <c r="AU3008" s="76"/>
      <c r="AV3008" s="76"/>
      <c r="AW3008" s="76"/>
      <c r="AX3008" s="76">
        <f>+AW3008*600000</f>
        <v>0</v>
      </c>
      <c r="AY3008" s="76"/>
      <c r="AZ3008" s="76">
        <f>+AY3008*70000</f>
        <v>0</v>
      </c>
      <c r="BA3008" s="76"/>
      <c r="BB3008" s="76"/>
      <c r="BC3008" s="76"/>
      <c r="BD3008" s="76">
        <f>+BC3008*30000</f>
        <v>0</v>
      </c>
      <c r="BE3008" s="76"/>
      <c r="BF3008" s="76"/>
      <c r="BG3008" s="76"/>
      <c r="BH3008" s="76"/>
      <c r="BI3008" s="76"/>
      <c r="BJ3008" s="76"/>
      <c r="BK3008" s="76"/>
      <c r="BL3008" s="76">
        <f>+BK3008*31500</f>
        <v>0</v>
      </c>
      <c r="BM3008" s="76"/>
      <c r="BN3008" s="76"/>
      <c r="BO3008" s="76"/>
      <c r="BP3008" s="76"/>
      <c r="BQ3008" s="76"/>
      <c r="BR3008" s="76"/>
      <c r="BS3008" s="76"/>
      <c r="BT3008" s="76"/>
      <c r="BU3008" s="76"/>
      <c r="BV3008" s="76"/>
      <c r="BW3008" s="76"/>
      <c r="BX3008" s="76"/>
      <c r="BY3008" s="76"/>
      <c r="BZ3008" s="76"/>
      <c r="CA3008" s="76"/>
      <c r="CB3008" s="76"/>
      <c r="CC3008" s="76"/>
      <c r="CD3008" s="76"/>
      <c r="CE3008" s="76"/>
      <c r="CF3008" s="76">
        <f>+CE3008*28000</f>
        <v>0</v>
      </c>
      <c r="CG3008" s="76"/>
      <c r="CH3008" s="76">
        <f>+CG3008*22500</f>
        <v>0</v>
      </c>
      <c r="CI3008" s="76"/>
      <c r="CJ3008" s="76">
        <f>+CI3008*26000</f>
        <v>0</v>
      </c>
      <c r="CK3008" s="76"/>
      <c r="CL3008" s="76"/>
      <c r="CM3008" s="76"/>
      <c r="CN3008" s="76">
        <f>+CM3008*22000</f>
        <v>0</v>
      </c>
      <c r="CO3008" s="76"/>
      <c r="CP3008" s="76">
        <f>+CO3008*46000</f>
        <v>0</v>
      </c>
      <c r="CQ3008" s="76"/>
      <c r="CR3008" s="76">
        <f>+CQ3008*49000</f>
        <v>0</v>
      </c>
      <c r="CS3008" s="76"/>
      <c r="CT3008" s="76"/>
      <c r="CU3008" s="56">
        <f>AN3008+AP3008+AR3008+AT3008+AV3008+AX3008+AZ3008+BB3008+BD3008+BF3008+BH3008+BJ3008+BL3008+BN3008+BP3008+BR3008+BT3008+BV3008+BX3008+BZ3008+CB3008+CD3008+CF3008+CH3008+CJ3008+CL3008+CN3008+CP3008+CR3008+CT3008</f>
        <v>0</v>
      </c>
      <c r="CV3008" s="76"/>
      <c r="CW3008" s="76">
        <f>+CV3008*1100</f>
        <v>0</v>
      </c>
      <c r="CX3008" s="76"/>
      <c r="CY3008" s="76">
        <f>+CX3008*106250</f>
        <v>0</v>
      </c>
      <c r="CZ3008" s="76"/>
      <c r="DA3008" s="76">
        <f>+CZ3008*34500</f>
        <v>0</v>
      </c>
      <c r="DB3008" s="76"/>
      <c r="DC3008" s="76">
        <f>+DB3008*25000</f>
        <v>0</v>
      </c>
      <c r="DD3008" s="219"/>
      <c r="DE3008" s="219"/>
      <c r="DF3008" s="166"/>
      <c r="DG3008" s="116"/>
      <c r="DH3008" s="117"/>
      <c r="DI3008" s="24"/>
      <c r="DJ3008" s="24"/>
      <c r="DK3008" s="24"/>
      <c r="DL3008" s="24"/>
      <c r="DM3008" s="24"/>
      <c r="DN3008" s="24"/>
      <c r="DO3008" s="24"/>
      <c r="DP3008" s="24"/>
      <c r="DQ3008" s="24"/>
      <c r="DR3008" s="24"/>
      <c r="DS3008" s="24"/>
      <c r="DT3008" s="24"/>
      <c r="DU3008" s="24"/>
    </row>
    <row r="3009" spans="1:125" s="8" customFormat="1" ht="96" x14ac:dyDescent="0.2">
      <c r="A3009" s="353">
        <v>41529</v>
      </c>
      <c r="B3009" s="352" t="s">
        <v>2700</v>
      </c>
      <c r="C3009" s="354" t="s">
        <v>1706</v>
      </c>
      <c r="D3009" s="354" t="s">
        <v>3635</v>
      </c>
      <c r="E3009" s="296" t="str">
        <f>VLOOKUP(B3009&amp;C3009,Divipola!$C$2:$F$1138,4,FALSE)</f>
        <v>15580</v>
      </c>
      <c r="F3009" s="87">
        <v>4</v>
      </c>
      <c r="G3009" s="87">
        <v>11</v>
      </c>
      <c r="H3009" s="87"/>
      <c r="I3009" s="87"/>
      <c r="J3009" s="87"/>
      <c r="K3009" s="87"/>
      <c r="L3009" s="87"/>
      <c r="M3009" s="87"/>
      <c r="N3009" s="87"/>
      <c r="O3009" s="87"/>
      <c r="P3009" s="87"/>
      <c r="Q3009" s="87"/>
      <c r="R3009" s="87"/>
      <c r="S3009" s="87"/>
      <c r="T3009" s="87"/>
      <c r="U3009" s="88"/>
      <c r="V3009" s="89"/>
      <c r="W3009" s="96">
        <v>0</v>
      </c>
      <c r="X3009" s="71">
        <f>CU3009</f>
        <v>0</v>
      </c>
      <c r="Y3009" s="71">
        <f>CY3009</f>
        <v>0</v>
      </c>
      <c r="Z3009" s="71">
        <f>DA3009+DC3009+DE3009</f>
        <v>0</v>
      </c>
      <c r="AA3009" s="71">
        <f>CW3009</f>
        <v>0</v>
      </c>
      <c r="AB3009" s="71"/>
      <c r="AC3009" s="71">
        <v>0</v>
      </c>
      <c r="AD3009" s="71">
        <f>W3009+X3009+Y3009+Z3009+AA3009+AB3009+AC3009</f>
        <v>0</v>
      </c>
      <c r="AE3009" s="72">
        <v>0</v>
      </c>
      <c r="AF3009" s="5"/>
      <c r="AG3009" s="6"/>
      <c r="AH3009" s="27"/>
      <c r="AI3009" s="44"/>
      <c r="AJ3009" s="26"/>
      <c r="AK3009" s="5"/>
      <c r="AL3009" s="274" t="s">
        <v>5904</v>
      </c>
      <c r="AM3009" s="76"/>
      <c r="AN3009" s="76"/>
      <c r="AO3009" s="76"/>
      <c r="AP3009" s="76"/>
      <c r="AQ3009" s="76"/>
      <c r="AR3009" s="76"/>
      <c r="AS3009" s="76"/>
      <c r="AT3009" s="76"/>
      <c r="AU3009" s="76"/>
      <c r="AV3009" s="76"/>
      <c r="AW3009" s="76"/>
      <c r="AX3009" s="76">
        <f>+AW3009*600000</f>
        <v>0</v>
      </c>
      <c r="AY3009" s="76"/>
      <c r="AZ3009" s="76">
        <f>+AY3009*70000</f>
        <v>0</v>
      </c>
      <c r="BA3009" s="76"/>
      <c r="BB3009" s="76"/>
      <c r="BC3009" s="76"/>
      <c r="BD3009" s="76">
        <f>+BC3009*30000</f>
        <v>0</v>
      </c>
      <c r="BE3009" s="76"/>
      <c r="BF3009" s="76"/>
      <c r="BG3009" s="76"/>
      <c r="BH3009" s="76"/>
      <c r="BI3009" s="76"/>
      <c r="BJ3009" s="76"/>
      <c r="BK3009" s="76"/>
      <c r="BL3009" s="76">
        <f>+BK3009*31500</f>
        <v>0</v>
      </c>
      <c r="BM3009" s="76"/>
      <c r="BN3009" s="76"/>
      <c r="BO3009" s="76"/>
      <c r="BP3009" s="76"/>
      <c r="BQ3009" s="76"/>
      <c r="BR3009" s="76"/>
      <c r="BS3009" s="76"/>
      <c r="BT3009" s="76"/>
      <c r="BU3009" s="76"/>
      <c r="BV3009" s="76"/>
      <c r="BW3009" s="76"/>
      <c r="BX3009" s="76"/>
      <c r="BY3009" s="76"/>
      <c r="BZ3009" s="76"/>
      <c r="CA3009" s="76"/>
      <c r="CB3009" s="76"/>
      <c r="CC3009" s="76"/>
      <c r="CD3009" s="76"/>
      <c r="CE3009" s="76"/>
      <c r="CF3009" s="76">
        <f>+CE3009*28000</f>
        <v>0</v>
      </c>
      <c r="CG3009" s="76"/>
      <c r="CH3009" s="76">
        <f>+CG3009*22500</f>
        <v>0</v>
      </c>
      <c r="CI3009" s="76"/>
      <c r="CJ3009" s="76">
        <f>+CI3009*26000</f>
        <v>0</v>
      </c>
      <c r="CK3009" s="76"/>
      <c r="CL3009" s="76"/>
      <c r="CM3009" s="76"/>
      <c r="CN3009" s="76">
        <f>+CM3009*22000</f>
        <v>0</v>
      </c>
      <c r="CO3009" s="76"/>
      <c r="CP3009" s="76">
        <f>+CO3009*46000</f>
        <v>0</v>
      </c>
      <c r="CQ3009" s="76"/>
      <c r="CR3009" s="76">
        <f>+CQ3009*49000</f>
        <v>0</v>
      </c>
      <c r="CS3009" s="76"/>
      <c r="CT3009" s="76"/>
      <c r="CU3009" s="56">
        <f>AN3009+AP3009+AR3009+AT3009+AV3009+AX3009+AZ3009+BB3009+BD3009+BF3009+BH3009+BJ3009+BL3009+BN3009+BP3009+BR3009+BT3009+BV3009+BX3009+BZ3009+CB3009+CD3009+CF3009+CH3009+CJ3009+CL3009+CN3009+CP3009+CR3009+CT3009</f>
        <v>0</v>
      </c>
      <c r="CV3009" s="76"/>
      <c r="CW3009" s="76">
        <f>+CV3009*1100</f>
        <v>0</v>
      </c>
      <c r="CX3009" s="76"/>
      <c r="CY3009" s="76">
        <f>+CX3009*106250</f>
        <v>0</v>
      </c>
      <c r="CZ3009" s="76"/>
      <c r="DA3009" s="76">
        <f>+CZ3009*34500</f>
        <v>0</v>
      </c>
      <c r="DB3009" s="76"/>
      <c r="DC3009" s="76">
        <f>+DB3009*25000</f>
        <v>0</v>
      </c>
      <c r="DD3009" s="219"/>
      <c r="DE3009" s="219"/>
      <c r="DF3009" s="166"/>
      <c r="DG3009" s="116"/>
      <c r="DH3009" s="117"/>
      <c r="DI3009" s="24"/>
      <c r="DJ3009" s="24"/>
      <c r="DK3009" s="24"/>
      <c r="DL3009" s="24"/>
      <c r="DM3009" s="24"/>
      <c r="DN3009" s="24"/>
      <c r="DO3009" s="24"/>
      <c r="DP3009" s="24"/>
      <c r="DQ3009" s="24"/>
      <c r="DR3009" s="24"/>
      <c r="DS3009" s="24"/>
      <c r="DT3009" s="24"/>
      <c r="DU3009" s="24"/>
    </row>
    <row r="3010" spans="1:125" s="8" customFormat="1" ht="72" x14ac:dyDescent="0.2">
      <c r="A3010" s="353">
        <v>41529</v>
      </c>
      <c r="B3010" s="352" t="s">
        <v>2700</v>
      </c>
      <c r="C3010" s="354" t="s">
        <v>560</v>
      </c>
      <c r="D3010" s="354" t="s">
        <v>2846</v>
      </c>
      <c r="E3010" s="296" t="str">
        <f>VLOOKUP(B3010&amp;C3010,Divipola!$C$2:$F$1138,4,FALSE)</f>
        <v>15407</v>
      </c>
      <c r="F3010" s="87"/>
      <c r="G3010" s="87"/>
      <c r="H3010" s="87"/>
      <c r="I3010" s="87"/>
      <c r="J3010" s="87"/>
      <c r="K3010" s="87"/>
      <c r="L3010" s="87"/>
      <c r="M3010" s="87"/>
      <c r="N3010" s="87"/>
      <c r="O3010" s="87"/>
      <c r="P3010" s="87"/>
      <c r="Q3010" s="87"/>
      <c r="R3010" s="87"/>
      <c r="S3010" s="87"/>
      <c r="T3010" s="87"/>
      <c r="U3010" s="88">
        <v>2</v>
      </c>
      <c r="V3010" s="89"/>
      <c r="W3010" s="96">
        <v>0</v>
      </c>
      <c r="X3010" s="71">
        <f>CU3010</f>
        <v>0</v>
      </c>
      <c r="Y3010" s="71">
        <f>CY3010</f>
        <v>0</v>
      </c>
      <c r="Z3010" s="71">
        <f>DA3010+DC3010+DE3010</f>
        <v>0</v>
      </c>
      <c r="AA3010" s="71">
        <f>CW3010</f>
        <v>0</v>
      </c>
      <c r="AB3010" s="71"/>
      <c r="AC3010" s="71">
        <v>0</v>
      </c>
      <c r="AD3010" s="71">
        <f>W3010+X3010+Y3010+Z3010+AA3010+AB3010+AC3010</f>
        <v>0</v>
      </c>
      <c r="AE3010" s="72">
        <v>0</v>
      </c>
      <c r="AF3010" s="5"/>
      <c r="AG3010" s="6"/>
      <c r="AH3010" s="27"/>
      <c r="AI3010" s="44"/>
      <c r="AJ3010" s="26"/>
      <c r="AK3010" s="5"/>
      <c r="AL3010" s="305" t="s">
        <v>5908</v>
      </c>
      <c r="AM3010" s="76"/>
      <c r="AN3010" s="76"/>
      <c r="AO3010" s="76"/>
      <c r="AP3010" s="76"/>
      <c r="AQ3010" s="76"/>
      <c r="AR3010" s="76"/>
      <c r="AS3010" s="76"/>
      <c r="AT3010" s="76"/>
      <c r="AU3010" s="76"/>
      <c r="AV3010" s="76"/>
      <c r="AW3010" s="76"/>
      <c r="AX3010" s="76">
        <f>+AW3010*600000</f>
        <v>0</v>
      </c>
      <c r="AY3010" s="76"/>
      <c r="AZ3010" s="76">
        <f>+AY3010*70000</f>
        <v>0</v>
      </c>
      <c r="BA3010" s="76"/>
      <c r="BB3010" s="76"/>
      <c r="BC3010" s="76"/>
      <c r="BD3010" s="76">
        <f>+BC3010*30000</f>
        <v>0</v>
      </c>
      <c r="BE3010" s="76"/>
      <c r="BF3010" s="76"/>
      <c r="BG3010" s="76"/>
      <c r="BH3010" s="76"/>
      <c r="BI3010" s="76"/>
      <c r="BJ3010" s="76"/>
      <c r="BK3010" s="76"/>
      <c r="BL3010" s="76">
        <f>+BK3010*31500</f>
        <v>0</v>
      </c>
      <c r="BM3010" s="76"/>
      <c r="BN3010" s="76"/>
      <c r="BO3010" s="76"/>
      <c r="BP3010" s="76"/>
      <c r="BQ3010" s="76"/>
      <c r="BR3010" s="76"/>
      <c r="BS3010" s="76"/>
      <c r="BT3010" s="76"/>
      <c r="BU3010" s="76"/>
      <c r="BV3010" s="76"/>
      <c r="BW3010" s="76"/>
      <c r="BX3010" s="76"/>
      <c r="BY3010" s="76"/>
      <c r="BZ3010" s="76"/>
      <c r="CA3010" s="76"/>
      <c r="CB3010" s="76"/>
      <c r="CC3010" s="76"/>
      <c r="CD3010" s="76"/>
      <c r="CE3010" s="76"/>
      <c r="CF3010" s="76">
        <f>+CE3010*28000</f>
        <v>0</v>
      </c>
      <c r="CG3010" s="76"/>
      <c r="CH3010" s="76">
        <f>+CG3010*22500</f>
        <v>0</v>
      </c>
      <c r="CI3010" s="76"/>
      <c r="CJ3010" s="76">
        <f>+CI3010*26000</f>
        <v>0</v>
      </c>
      <c r="CK3010" s="76"/>
      <c r="CL3010" s="76"/>
      <c r="CM3010" s="76"/>
      <c r="CN3010" s="76">
        <f>+CM3010*22000</f>
        <v>0</v>
      </c>
      <c r="CO3010" s="76"/>
      <c r="CP3010" s="76">
        <f>+CO3010*46000</f>
        <v>0</v>
      </c>
      <c r="CQ3010" s="76"/>
      <c r="CR3010" s="76">
        <f>+CQ3010*49000</f>
        <v>0</v>
      </c>
      <c r="CS3010" s="76"/>
      <c r="CT3010" s="76"/>
      <c r="CU3010" s="56">
        <f>AN3010+AP3010+AR3010+AT3010+AV3010+AX3010+AZ3010+BB3010+BD3010+BF3010+BH3010+BJ3010+BL3010+BN3010+BP3010+BR3010+BT3010+BV3010+BX3010+BZ3010+CB3010+CD3010+CF3010+CH3010+CJ3010+CL3010+CN3010+CP3010+CR3010+CT3010</f>
        <v>0</v>
      </c>
      <c r="CV3010" s="76"/>
      <c r="CW3010" s="76">
        <f>+CV3010*1100</f>
        <v>0</v>
      </c>
      <c r="CX3010" s="76"/>
      <c r="CY3010" s="76">
        <f>+CX3010*106250</f>
        <v>0</v>
      </c>
      <c r="CZ3010" s="76"/>
      <c r="DA3010" s="76">
        <f>+CZ3010*34500</f>
        <v>0</v>
      </c>
      <c r="DB3010" s="76"/>
      <c r="DC3010" s="76">
        <f>+DB3010*25000</f>
        <v>0</v>
      </c>
      <c r="DD3010" s="219"/>
      <c r="DE3010" s="219"/>
      <c r="DF3010" s="166"/>
      <c r="DG3010" s="116"/>
      <c r="DH3010" s="117"/>
      <c r="DI3010" s="24"/>
      <c r="DJ3010" s="24"/>
      <c r="DK3010" s="24"/>
      <c r="DL3010" s="24"/>
      <c r="DM3010" s="24"/>
      <c r="DN3010" s="24"/>
      <c r="DO3010" s="24"/>
      <c r="DP3010" s="24"/>
      <c r="DQ3010" s="24"/>
      <c r="DR3010" s="24"/>
      <c r="DS3010" s="24"/>
      <c r="DT3010" s="24"/>
      <c r="DU3010" s="24"/>
    </row>
    <row r="3011" spans="1:125" s="8" customFormat="1" ht="72" x14ac:dyDescent="0.2">
      <c r="A3011" s="353">
        <v>41529</v>
      </c>
      <c r="B3011" s="352" t="s">
        <v>2700</v>
      </c>
      <c r="C3011" s="354" t="s">
        <v>560</v>
      </c>
      <c r="D3011" s="354" t="s">
        <v>2846</v>
      </c>
      <c r="E3011" s="296" t="str">
        <f>VLOOKUP(B3011&amp;C3011,Divipola!$C$2:$F$1138,4,FALSE)</f>
        <v>15407</v>
      </c>
      <c r="F3011" s="87"/>
      <c r="G3011" s="87"/>
      <c r="H3011" s="87"/>
      <c r="I3011" s="87"/>
      <c r="J3011" s="87"/>
      <c r="K3011" s="87"/>
      <c r="L3011" s="87"/>
      <c r="M3011" s="87"/>
      <c r="N3011" s="87"/>
      <c r="O3011" s="87"/>
      <c r="P3011" s="87"/>
      <c r="Q3011" s="87"/>
      <c r="R3011" s="87"/>
      <c r="S3011" s="87"/>
      <c r="T3011" s="87"/>
      <c r="U3011" s="88">
        <v>1</v>
      </c>
      <c r="V3011" s="89"/>
      <c r="W3011" s="96">
        <v>0</v>
      </c>
      <c r="X3011" s="71">
        <f>CU3011</f>
        <v>0</v>
      </c>
      <c r="Y3011" s="71">
        <f>CY3011</f>
        <v>0</v>
      </c>
      <c r="Z3011" s="71">
        <f>DA3011+DC3011+DE3011</f>
        <v>0</v>
      </c>
      <c r="AA3011" s="71">
        <f>CW3011</f>
        <v>0</v>
      </c>
      <c r="AB3011" s="71"/>
      <c r="AC3011" s="71">
        <v>0</v>
      </c>
      <c r="AD3011" s="71">
        <f>W3011+X3011+Y3011+Z3011+AA3011+AB3011+AC3011</f>
        <v>0</v>
      </c>
      <c r="AE3011" s="72">
        <v>0</v>
      </c>
      <c r="AF3011" s="5"/>
      <c r="AG3011" s="6"/>
      <c r="AH3011" s="27"/>
      <c r="AI3011" s="44"/>
      <c r="AJ3011" s="26"/>
      <c r="AK3011" s="5"/>
      <c r="AL3011" s="305" t="s">
        <v>5909</v>
      </c>
      <c r="AM3011" s="76"/>
      <c r="AN3011" s="76"/>
      <c r="AO3011" s="76"/>
      <c r="AP3011" s="76"/>
      <c r="AQ3011" s="76"/>
      <c r="AR3011" s="76"/>
      <c r="AS3011" s="76"/>
      <c r="AT3011" s="76"/>
      <c r="AU3011" s="76"/>
      <c r="AV3011" s="76"/>
      <c r="AW3011" s="76"/>
      <c r="AX3011" s="76">
        <f>+AW3011*600000</f>
        <v>0</v>
      </c>
      <c r="AY3011" s="76"/>
      <c r="AZ3011" s="76">
        <f>+AY3011*70000</f>
        <v>0</v>
      </c>
      <c r="BA3011" s="76"/>
      <c r="BB3011" s="76"/>
      <c r="BC3011" s="76"/>
      <c r="BD3011" s="76">
        <f>+BC3011*30000</f>
        <v>0</v>
      </c>
      <c r="BE3011" s="76"/>
      <c r="BF3011" s="76"/>
      <c r="BG3011" s="76"/>
      <c r="BH3011" s="76"/>
      <c r="BI3011" s="76"/>
      <c r="BJ3011" s="76"/>
      <c r="BK3011" s="76"/>
      <c r="BL3011" s="76">
        <f>+BK3011*31500</f>
        <v>0</v>
      </c>
      <c r="BM3011" s="76"/>
      <c r="BN3011" s="76"/>
      <c r="BO3011" s="76"/>
      <c r="BP3011" s="76"/>
      <c r="BQ3011" s="76"/>
      <c r="BR3011" s="76"/>
      <c r="BS3011" s="76"/>
      <c r="BT3011" s="76"/>
      <c r="BU3011" s="76"/>
      <c r="BV3011" s="76"/>
      <c r="BW3011" s="76"/>
      <c r="BX3011" s="76"/>
      <c r="BY3011" s="76"/>
      <c r="BZ3011" s="76"/>
      <c r="CA3011" s="76"/>
      <c r="CB3011" s="76"/>
      <c r="CC3011" s="76"/>
      <c r="CD3011" s="76"/>
      <c r="CE3011" s="76"/>
      <c r="CF3011" s="76">
        <f>+CE3011*28000</f>
        <v>0</v>
      </c>
      <c r="CG3011" s="76"/>
      <c r="CH3011" s="76">
        <f>+CG3011*22500</f>
        <v>0</v>
      </c>
      <c r="CI3011" s="76"/>
      <c r="CJ3011" s="76">
        <f>+CI3011*26000</f>
        <v>0</v>
      </c>
      <c r="CK3011" s="76"/>
      <c r="CL3011" s="76"/>
      <c r="CM3011" s="76"/>
      <c r="CN3011" s="76">
        <f>+CM3011*22000</f>
        <v>0</v>
      </c>
      <c r="CO3011" s="76"/>
      <c r="CP3011" s="76">
        <f>+CO3011*46000</f>
        <v>0</v>
      </c>
      <c r="CQ3011" s="76"/>
      <c r="CR3011" s="76">
        <f>+CQ3011*49000</f>
        <v>0</v>
      </c>
      <c r="CS3011" s="76"/>
      <c r="CT3011" s="76"/>
      <c r="CU3011" s="56">
        <f>AN3011+AP3011+AR3011+AT3011+AV3011+AX3011+AZ3011+BB3011+BD3011+BF3011+BH3011+BJ3011+BL3011+BN3011+BP3011+BR3011+BT3011+BV3011+BX3011+BZ3011+CB3011+CD3011+CF3011+CH3011+CJ3011+CL3011+CN3011+CP3011+CR3011+CT3011</f>
        <v>0</v>
      </c>
      <c r="CV3011" s="76"/>
      <c r="CW3011" s="76">
        <f>+CV3011*1100</f>
        <v>0</v>
      </c>
      <c r="CX3011" s="76"/>
      <c r="CY3011" s="76">
        <f>+CX3011*106250</f>
        <v>0</v>
      </c>
      <c r="CZ3011" s="76"/>
      <c r="DA3011" s="76">
        <f>+CZ3011*34500</f>
        <v>0</v>
      </c>
      <c r="DB3011" s="76"/>
      <c r="DC3011" s="76">
        <f>+DB3011*25000</f>
        <v>0</v>
      </c>
      <c r="DD3011" s="219"/>
      <c r="DE3011" s="219"/>
      <c r="DF3011" s="166"/>
      <c r="DG3011" s="116"/>
      <c r="DH3011" s="117"/>
      <c r="DI3011" s="24"/>
      <c r="DJ3011" s="24"/>
      <c r="DK3011" s="24"/>
      <c r="DL3011" s="24"/>
      <c r="DM3011" s="24"/>
      <c r="DN3011" s="24"/>
      <c r="DO3011" s="24"/>
      <c r="DP3011" s="24"/>
      <c r="DQ3011" s="24"/>
      <c r="DR3011" s="24"/>
      <c r="DS3011" s="24"/>
      <c r="DT3011" s="24"/>
      <c r="DU3011" s="24"/>
    </row>
    <row r="3012" spans="1:125" s="8" customFormat="1" ht="144" x14ac:dyDescent="0.2">
      <c r="A3012" s="77">
        <v>41529</v>
      </c>
      <c r="B3012" s="352" t="s">
        <v>2772</v>
      </c>
      <c r="C3012" s="354" t="s">
        <v>2215</v>
      </c>
      <c r="D3012" s="354" t="s">
        <v>2882</v>
      </c>
      <c r="E3012" s="296" t="str">
        <f>VLOOKUP(B3012&amp;C3012,Divipola!$C$2:$F$1138,4,FALSE)</f>
        <v>25320</v>
      </c>
      <c r="F3012" s="87"/>
      <c r="G3012" s="87"/>
      <c r="H3012" s="87"/>
      <c r="I3012" s="87"/>
      <c r="J3012" s="87"/>
      <c r="K3012" s="87"/>
      <c r="L3012" s="87"/>
      <c r="M3012" s="87"/>
      <c r="N3012" s="87"/>
      <c r="O3012" s="87"/>
      <c r="P3012" s="87"/>
      <c r="Q3012" s="87"/>
      <c r="R3012" s="87"/>
      <c r="S3012" s="87">
        <v>1</v>
      </c>
      <c r="T3012" s="87"/>
      <c r="U3012" s="88"/>
      <c r="V3012" s="89"/>
      <c r="W3012" s="96">
        <v>0</v>
      </c>
      <c r="X3012" s="71">
        <f>CU3012</f>
        <v>0</v>
      </c>
      <c r="Y3012" s="71">
        <f>CY3012</f>
        <v>0</v>
      </c>
      <c r="Z3012" s="71">
        <f>DA3012+DC3012+DE3012</f>
        <v>0</v>
      </c>
      <c r="AA3012" s="71">
        <f>CW3012</f>
        <v>0</v>
      </c>
      <c r="AB3012" s="71"/>
      <c r="AC3012" s="71">
        <v>0</v>
      </c>
      <c r="AD3012" s="71">
        <f>W3012+X3012+Y3012+Z3012+AA3012+AB3012+AC3012</f>
        <v>0</v>
      </c>
      <c r="AE3012" s="72">
        <v>0</v>
      </c>
      <c r="AF3012" s="5"/>
      <c r="AG3012" s="6"/>
      <c r="AH3012" s="27"/>
      <c r="AI3012" s="44"/>
      <c r="AJ3012" s="26"/>
      <c r="AK3012" s="5"/>
      <c r="AL3012" s="82" t="s">
        <v>5949</v>
      </c>
      <c r="AM3012" s="76"/>
      <c r="AN3012" s="76"/>
      <c r="AO3012" s="76"/>
      <c r="AP3012" s="76"/>
      <c r="AQ3012" s="76"/>
      <c r="AR3012" s="76"/>
      <c r="AS3012" s="76"/>
      <c r="AT3012" s="76"/>
      <c r="AU3012" s="76"/>
      <c r="AV3012" s="76"/>
      <c r="AW3012" s="76"/>
      <c r="AX3012" s="76">
        <f>+AW3012*600000</f>
        <v>0</v>
      </c>
      <c r="AY3012" s="76"/>
      <c r="AZ3012" s="76">
        <f>+AY3012*70000</f>
        <v>0</v>
      </c>
      <c r="BA3012" s="76"/>
      <c r="BB3012" s="76"/>
      <c r="BC3012" s="76"/>
      <c r="BD3012" s="76">
        <f>+BC3012*30000</f>
        <v>0</v>
      </c>
      <c r="BE3012" s="76"/>
      <c r="BF3012" s="76"/>
      <c r="BG3012" s="76"/>
      <c r="BH3012" s="76"/>
      <c r="BI3012" s="76"/>
      <c r="BJ3012" s="76"/>
      <c r="BK3012" s="76"/>
      <c r="BL3012" s="76">
        <f>+BK3012*31500</f>
        <v>0</v>
      </c>
      <c r="BM3012" s="76"/>
      <c r="BN3012" s="76"/>
      <c r="BO3012" s="76"/>
      <c r="BP3012" s="76"/>
      <c r="BQ3012" s="76"/>
      <c r="BR3012" s="76"/>
      <c r="BS3012" s="76"/>
      <c r="BT3012" s="76"/>
      <c r="BU3012" s="76"/>
      <c r="BV3012" s="76"/>
      <c r="BW3012" s="76"/>
      <c r="BX3012" s="76"/>
      <c r="BY3012" s="76"/>
      <c r="BZ3012" s="76"/>
      <c r="CA3012" s="76"/>
      <c r="CB3012" s="76"/>
      <c r="CC3012" s="76"/>
      <c r="CD3012" s="76"/>
      <c r="CE3012" s="76"/>
      <c r="CF3012" s="76">
        <f>+CE3012*28000</f>
        <v>0</v>
      </c>
      <c r="CG3012" s="76"/>
      <c r="CH3012" s="76">
        <f>+CG3012*22500</f>
        <v>0</v>
      </c>
      <c r="CI3012" s="76"/>
      <c r="CJ3012" s="76">
        <f>+CI3012*26000</f>
        <v>0</v>
      </c>
      <c r="CK3012" s="76"/>
      <c r="CL3012" s="76"/>
      <c r="CM3012" s="76"/>
      <c r="CN3012" s="76">
        <f>+CM3012*22000</f>
        <v>0</v>
      </c>
      <c r="CO3012" s="76"/>
      <c r="CP3012" s="76">
        <f>+CO3012*46000</f>
        <v>0</v>
      </c>
      <c r="CQ3012" s="76"/>
      <c r="CR3012" s="76">
        <f>+CQ3012*49000</f>
        <v>0</v>
      </c>
      <c r="CS3012" s="76"/>
      <c r="CT3012" s="76"/>
      <c r="CU3012" s="56">
        <f>AN3012+AP3012+AR3012+AT3012+AV3012+AX3012+AZ3012+BB3012+BD3012+BF3012+BH3012+BJ3012+BL3012+BN3012+BP3012+BR3012+BT3012+BV3012+BX3012+BZ3012+CB3012+CD3012+CF3012+CH3012+CJ3012+CL3012+CN3012+CP3012+CR3012+CT3012</f>
        <v>0</v>
      </c>
      <c r="CV3012" s="76"/>
      <c r="CW3012" s="76">
        <f>+CV3012*1100</f>
        <v>0</v>
      </c>
      <c r="CX3012" s="76"/>
      <c r="CY3012" s="76">
        <f>+CX3012*106250</f>
        <v>0</v>
      </c>
      <c r="CZ3012" s="76"/>
      <c r="DA3012" s="76">
        <f>+CZ3012*34500</f>
        <v>0</v>
      </c>
      <c r="DB3012" s="76"/>
      <c r="DC3012" s="76">
        <f>+DB3012*25000</f>
        <v>0</v>
      </c>
      <c r="DD3012" s="219"/>
      <c r="DE3012" s="219"/>
      <c r="DF3012" s="166"/>
      <c r="DG3012" s="116"/>
      <c r="DH3012" s="117"/>
      <c r="DI3012" s="24"/>
      <c r="DJ3012" s="24"/>
      <c r="DK3012" s="24"/>
      <c r="DL3012" s="24"/>
      <c r="DM3012" s="24"/>
      <c r="DN3012" s="24"/>
      <c r="DO3012" s="24"/>
      <c r="DP3012" s="24"/>
      <c r="DQ3012" s="24"/>
      <c r="DR3012" s="24"/>
      <c r="DS3012" s="24"/>
      <c r="DT3012" s="24"/>
      <c r="DU3012" s="24"/>
    </row>
    <row r="3013" spans="1:125" s="8" customFormat="1" ht="132" x14ac:dyDescent="0.2">
      <c r="A3013" s="353">
        <v>41529</v>
      </c>
      <c r="B3013" s="352" t="s">
        <v>3136</v>
      </c>
      <c r="C3013" s="354" t="s">
        <v>787</v>
      </c>
      <c r="D3013" s="354" t="s">
        <v>2849</v>
      </c>
      <c r="E3013" s="296" t="str">
        <f>VLOOKUP(B3013&amp;C3013,Divipola!$C$2:$F$1138,4,FALSE)</f>
        <v>44035</v>
      </c>
      <c r="F3013" s="87">
        <v>3</v>
      </c>
      <c r="G3013" s="87">
        <v>7</v>
      </c>
      <c r="H3013" s="87"/>
      <c r="I3013" s="87"/>
      <c r="J3013" s="87"/>
      <c r="K3013" s="87"/>
      <c r="L3013" s="87"/>
      <c r="M3013" s="87"/>
      <c r="N3013" s="87"/>
      <c r="O3013" s="87"/>
      <c r="P3013" s="87"/>
      <c r="Q3013" s="87"/>
      <c r="R3013" s="87"/>
      <c r="S3013" s="87"/>
      <c r="T3013" s="87"/>
      <c r="U3013" s="88"/>
      <c r="V3013" s="89"/>
      <c r="W3013" s="96">
        <v>0</v>
      </c>
      <c r="X3013" s="71">
        <f>CU3013</f>
        <v>0</v>
      </c>
      <c r="Y3013" s="71">
        <f>CY3013</f>
        <v>0</v>
      </c>
      <c r="Z3013" s="71">
        <f>DA3013+DC3013+DE3013</f>
        <v>0</v>
      </c>
      <c r="AA3013" s="71">
        <f>CW3013</f>
        <v>0</v>
      </c>
      <c r="AB3013" s="71"/>
      <c r="AC3013" s="71">
        <v>0</v>
      </c>
      <c r="AD3013" s="71">
        <f>W3013+X3013+Y3013+Z3013+AA3013+AB3013+AC3013</f>
        <v>0</v>
      </c>
      <c r="AE3013" s="72">
        <v>0</v>
      </c>
      <c r="AF3013" s="5"/>
      <c r="AG3013" s="6"/>
      <c r="AH3013" s="27"/>
      <c r="AI3013" s="44"/>
      <c r="AJ3013" s="26"/>
      <c r="AK3013" s="5"/>
      <c r="AL3013" s="274" t="s">
        <v>5905</v>
      </c>
      <c r="AM3013" s="76"/>
      <c r="AN3013" s="76"/>
      <c r="AO3013" s="76"/>
      <c r="AP3013" s="76"/>
      <c r="AQ3013" s="76"/>
      <c r="AR3013" s="76"/>
      <c r="AS3013" s="76"/>
      <c r="AT3013" s="76"/>
      <c r="AU3013" s="76"/>
      <c r="AV3013" s="76"/>
      <c r="AW3013" s="76"/>
      <c r="AX3013" s="76">
        <f>+AW3013*600000</f>
        <v>0</v>
      </c>
      <c r="AY3013" s="76"/>
      <c r="AZ3013" s="76">
        <f>+AY3013*70000</f>
        <v>0</v>
      </c>
      <c r="BA3013" s="76"/>
      <c r="BB3013" s="76"/>
      <c r="BC3013" s="76"/>
      <c r="BD3013" s="76">
        <f>+BC3013*30000</f>
        <v>0</v>
      </c>
      <c r="BE3013" s="76"/>
      <c r="BF3013" s="76"/>
      <c r="BG3013" s="76"/>
      <c r="BH3013" s="76"/>
      <c r="BI3013" s="76"/>
      <c r="BJ3013" s="76"/>
      <c r="BK3013" s="76"/>
      <c r="BL3013" s="76">
        <f>+BK3013*31500</f>
        <v>0</v>
      </c>
      <c r="BM3013" s="76"/>
      <c r="BN3013" s="76"/>
      <c r="BO3013" s="76"/>
      <c r="BP3013" s="76"/>
      <c r="BQ3013" s="76"/>
      <c r="BR3013" s="76"/>
      <c r="BS3013" s="76"/>
      <c r="BT3013" s="76"/>
      <c r="BU3013" s="76"/>
      <c r="BV3013" s="76"/>
      <c r="BW3013" s="76"/>
      <c r="BX3013" s="76"/>
      <c r="BY3013" s="76"/>
      <c r="BZ3013" s="76"/>
      <c r="CA3013" s="76"/>
      <c r="CB3013" s="76"/>
      <c r="CC3013" s="76"/>
      <c r="CD3013" s="76"/>
      <c r="CE3013" s="76"/>
      <c r="CF3013" s="76">
        <f>+CE3013*28000</f>
        <v>0</v>
      </c>
      <c r="CG3013" s="76"/>
      <c r="CH3013" s="76">
        <f>+CG3013*22500</f>
        <v>0</v>
      </c>
      <c r="CI3013" s="76"/>
      <c r="CJ3013" s="76">
        <f>+CI3013*26000</f>
        <v>0</v>
      </c>
      <c r="CK3013" s="76"/>
      <c r="CL3013" s="76"/>
      <c r="CM3013" s="76"/>
      <c r="CN3013" s="76">
        <f>+CM3013*22000</f>
        <v>0</v>
      </c>
      <c r="CO3013" s="76"/>
      <c r="CP3013" s="76">
        <f>+CO3013*46000</f>
        <v>0</v>
      </c>
      <c r="CQ3013" s="76"/>
      <c r="CR3013" s="76">
        <f>+CQ3013*49000</f>
        <v>0</v>
      </c>
      <c r="CS3013" s="76"/>
      <c r="CT3013" s="76"/>
      <c r="CU3013" s="56">
        <f>AN3013+AP3013+AR3013+AT3013+AV3013+AX3013+AZ3013+BB3013+BD3013+BF3013+BH3013+BJ3013+BL3013+BN3013+BP3013+BR3013+BT3013+BV3013+BX3013+BZ3013+CB3013+CD3013+CF3013+CH3013+CJ3013+CL3013+CN3013+CP3013+CR3013+CT3013</f>
        <v>0</v>
      </c>
      <c r="CV3013" s="76"/>
      <c r="CW3013" s="76">
        <f>+CV3013*1100</f>
        <v>0</v>
      </c>
      <c r="CX3013" s="76"/>
      <c r="CY3013" s="76">
        <f>+CX3013*106250</f>
        <v>0</v>
      </c>
      <c r="CZ3013" s="76"/>
      <c r="DA3013" s="76">
        <f>+CZ3013*34500</f>
        <v>0</v>
      </c>
      <c r="DB3013" s="76"/>
      <c r="DC3013" s="76">
        <f>+DB3013*25000</f>
        <v>0</v>
      </c>
      <c r="DD3013" s="219"/>
      <c r="DE3013" s="219"/>
      <c r="DF3013" s="166"/>
      <c r="DG3013" s="116"/>
      <c r="DH3013" s="117"/>
      <c r="DI3013" s="24"/>
      <c r="DJ3013" s="24"/>
      <c r="DK3013" s="24"/>
      <c r="DL3013" s="24"/>
      <c r="DM3013" s="24"/>
      <c r="DN3013" s="24"/>
      <c r="DO3013" s="24"/>
      <c r="DP3013" s="24"/>
      <c r="DQ3013" s="24"/>
      <c r="DR3013" s="24"/>
      <c r="DS3013" s="24"/>
      <c r="DT3013" s="24"/>
      <c r="DU3013" s="24"/>
    </row>
    <row r="3014" spans="1:125" s="8" customFormat="1" ht="72" x14ac:dyDescent="0.2">
      <c r="A3014" s="353">
        <v>41529</v>
      </c>
      <c r="B3014" s="60" t="s">
        <v>2860</v>
      </c>
      <c r="C3014" s="55" t="s">
        <v>2776</v>
      </c>
      <c r="D3014" s="55" t="s">
        <v>2859</v>
      </c>
      <c r="E3014" s="296" t="str">
        <f>VLOOKUP(B3014&amp;C3014,Divipola!$C$2:$F$1138,4,FALSE)</f>
        <v>63001</v>
      </c>
      <c r="F3014" s="87"/>
      <c r="G3014" s="87"/>
      <c r="H3014" s="87"/>
      <c r="I3014" s="87">
        <v>24</v>
      </c>
      <c r="J3014" s="87">
        <v>6</v>
      </c>
      <c r="K3014" s="87"/>
      <c r="L3014" s="87">
        <v>6</v>
      </c>
      <c r="M3014" s="87"/>
      <c r="N3014" s="87"/>
      <c r="O3014" s="87"/>
      <c r="P3014" s="87"/>
      <c r="Q3014" s="87"/>
      <c r="R3014" s="87"/>
      <c r="S3014" s="87"/>
      <c r="T3014" s="87"/>
      <c r="U3014" s="88"/>
      <c r="V3014" s="89"/>
      <c r="W3014" s="96">
        <v>0</v>
      </c>
      <c r="X3014" s="71">
        <f>CU3014</f>
        <v>0</v>
      </c>
      <c r="Y3014" s="71">
        <f>CY3014</f>
        <v>0</v>
      </c>
      <c r="Z3014" s="71">
        <f>DA3014+DC3014+DE3014</f>
        <v>0</v>
      </c>
      <c r="AA3014" s="71">
        <f>CW3014</f>
        <v>0</v>
      </c>
      <c r="AB3014" s="71"/>
      <c r="AC3014" s="71">
        <v>0</v>
      </c>
      <c r="AD3014" s="71">
        <f>W3014+X3014+Y3014+Z3014+AA3014+AB3014+AC3014</f>
        <v>0</v>
      </c>
      <c r="AE3014" s="72">
        <v>0</v>
      </c>
      <c r="AF3014" s="5"/>
      <c r="AG3014" s="6"/>
      <c r="AH3014" s="27"/>
      <c r="AI3014" s="44"/>
      <c r="AJ3014" s="26"/>
      <c r="AK3014" s="5"/>
      <c r="AL3014" s="274" t="s">
        <v>5917</v>
      </c>
      <c r="AM3014" s="76"/>
      <c r="AN3014" s="76"/>
      <c r="AO3014" s="76"/>
      <c r="AP3014" s="76"/>
      <c r="AQ3014" s="76"/>
      <c r="AR3014" s="76"/>
      <c r="AS3014" s="76"/>
      <c r="AT3014" s="76"/>
      <c r="AU3014" s="76"/>
      <c r="AV3014" s="76"/>
      <c r="AW3014" s="76"/>
      <c r="AX3014" s="76">
        <f>+AW3014*600000</f>
        <v>0</v>
      </c>
      <c r="AY3014" s="76"/>
      <c r="AZ3014" s="76">
        <f>+AY3014*70000</f>
        <v>0</v>
      </c>
      <c r="BA3014" s="76"/>
      <c r="BB3014" s="76"/>
      <c r="BC3014" s="76"/>
      <c r="BD3014" s="76">
        <f>+BC3014*30000</f>
        <v>0</v>
      </c>
      <c r="BE3014" s="76"/>
      <c r="BF3014" s="76"/>
      <c r="BG3014" s="76"/>
      <c r="BH3014" s="76"/>
      <c r="BI3014" s="76"/>
      <c r="BJ3014" s="76"/>
      <c r="BK3014" s="76"/>
      <c r="BL3014" s="76">
        <f>+BK3014*31500</f>
        <v>0</v>
      </c>
      <c r="BM3014" s="76"/>
      <c r="BN3014" s="76"/>
      <c r="BO3014" s="76"/>
      <c r="BP3014" s="76"/>
      <c r="BQ3014" s="76"/>
      <c r="BR3014" s="76"/>
      <c r="BS3014" s="76"/>
      <c r="BT3014" s="76"/>
      <c r="BU3014" s="76"/>
      <c r="BV3014" s="76"/>
      <c r="BW3014" s="76"/>
      <c r="BX3014" s="76"/>
      <c r="BY3014" s="76"/>
      <c r="BZ3014" s="76"/>
      <c r="CA3014" s="76"/>
      <c r="CB3014" s="76"/>
      <c r="CC3014" s="76"/>
      <c r="CD3014" s="76"/>
      <c r="CE3014" s="76"/>
      <c r="CF3014" s="76">
        <f>+CE3014*28000</f>
        <v>0</v>
      </c>
      <c r="CG3014" s="76"/>
      <c r="CH3014" s="76">
        <f>+CG3014*22500</f>
        <v>0</v>
      </c>
      <c r="CI3014" s="76"/>
      <c r="CJ3014" s="76">
        <f>+CI3014*26000</f>
        <v>0</v>
      </c>
      <c r="CK3014" s="76"/>
      <c r="CL3014" s="76"/>
      <c r="CM3014" s="76"/>
      <c r="CN3014" s="76">
        <f>+CM3014*22000</f>
        <v>0</v>
      </c>
      <c r="CO3014" s="76"/>
      <c r="CP3014" s="76">
        <f>+CO3014*46000</f>
        <v>0</v>
      </c>
      <c r="CQ3014" s="76"/>
      <c r="CR3014" s="76">
        <f>+CQ3014*49000</f>
        <v>0</v>
      </c>
      <c r="CS3014" s="76"/>
      <c r="CT3014" s="76"/>
      <c r="CU3014" s="56">
        <f>AN3014+AP3014+AR3014+AT3014+AV3014+AX3014+AZ3014+BB3014+BD3014+BF3014+BH3014+BJ3014+BL3014+BN3014+BP3014+BR3014+BT3014+BV3014+BX3014+BZ3014+CB3014+CD3014+CF3014+CH3014+CJ3014+CL3014+CN3014+CP3014+CR3014+CT3014</f>
        <v>0</v>
      </c>
      <c r="CV3014" s="76"/>
      <c r="CW3014" s="76">
        <f>+CV3014*1100</f>
        <v>0</v>
      </c>
      <c r="CX3014" s="76"/>
      <c r="CY3014" s="76">
        <f>+CX3014*106250</f>
        <v>0</v>
      </c>
      <c r="CZ3014" s="76"/>
      <c r="DA3014" s="76">
        <f>+CZ3014*34500</f>
        <v>0</v>
      </c>
      <c r="DB3014" s="76"/>
      <c r="DC3014" s="76">
        <f>+DB3014*25000</f>
        <v>0</v>
      </c>
      <c r="DD3014" s="219"/>
      <c r="DE3014" s="219"/>
      <c r="DF3014" s="166"/>
      <c r="DG3014" s="116"/>
      <c r="DH3014" s="117"/>
      <c r="DI3014" s="24"/>
      <c r="DJ3014" s="24"/>
      <c r="DK3014" s="24"/>
      <c r="DL3014" s="24"/>
      <c r="DM3014" s="24"/>
      <c r="DN3014" s="24"/>
      <c r="DO3014" s="24"/>
      <c r="DP3014" s="24"/>
      <c r="DQ3014" s="24"/>
      <c r="DR3014" s="24"/>
      <c r="DS3014" s="24"/>
      <c r="DT3014" s="24"/>
      <c r="DU3014" s="24"/>
    </row>
    <row r="3015" spans="1:125" s="8" customFormat="1" ht="36" x14ac:dyDescent="0.2">
      <c r="A3015" s="353">
        <v>41529</v>
      </c>
      <c r="B3015" s="352" t="s">
        <v>2774</v>
      </c>
      <c r="C3015" s="354" t="s">
        <v>2216</v>
      </c>
      <c r="D3015" s="354" t="s">
        <v>2882</v>
      </c>
      <c r="E3015" s="296" t="str">
        <f>VLOOKUP(B3015&amp;C3015,Divipola!$C$2:$F$1138,4,FALSE)</f>
        <v>66075</v>
      </c>
      <c r="F3015" s="87"/>
      <c r="G3015" s="87"/>
      <c r="H3015" s="87"/>
      <c r="I3015" s="87">
        <v>20</v>
      </c>
      <c r="J3015" s="87">
        <v>4</v>
      </c>
      <c r="K3015" s="87"/>
      <c r="L3015" s="87">
        <v>4</v>
      </c>
      <c r="M3015" s="87"/>
      <c r="N3015" s="87"/>
      <c r="O3015" s="87"/>
      <c r="P3015" s="87"/>
      <c r="Q3015" s="87"/>
      <c r="R3015" s="87"/>
      <c r="S3015" s="87"/>
      <c r="T3015" s="87"/>
      <c r="U3015" s="88"/>
      <c r="V3015" s="89"/>
      <c r="W3015" s="96">
        <v>0</v>
      </c>
      <c r="X3015" s="71">
        <f>CU3015</f>
        <v>0</v>
      </c>
      <c r="Y3015" s="71">
        <f>CY3015</f>
        <v>0</v>
      </c>
      <c r="Z3015" s="71">
        <f>DA3015+DC3015+DE3015</f>
        <v>0</v>
      </c>
      <c r="AA3015" s="71">
        <f>CW3015</f>
        <v>0</v>
      </c>
      <c r="AB3015" s="71"/>
      <c r="AC3015" s="71">
        <v>0</v>
      </c>
      <c r="AD3015" s="71">
        <f>W3015+X3015+Y3015+Z3015+AA3015+AB3015+AC3015</f>
        <v>0</v>
      </c>
      <c r="AE3015" s="72">
        <v>0</v>
      </c>
      <c r="AF3015" s="5"/>
      <c r="AG3015" s="6"/>
      <c r="AH3015" s="27"/>
      <c r="AI3015" s="44"/>
      <c r="AJ3015" s="26"/>
      <c r="AK3015" s="5"/>
      <c r="AL3015" s="304" t="s">
        <v>5906</v>
      </c>
      <c r="AM3015" s="76"/>
      <c r="AN3015" s="76"/>
      <c r="AO3015" s="76"/>
      <c r="AP3015" s="76"/>
      <c r="AQ3015" s="76"/>
      <c r="AR3015" s="76"/>
      <c r="AS3015" s="76"/>
      <c r="AT3015" s="76"/>
      <c r="AU3015" s="76"/>
      <c r="AV3015" s="76"/>
      <c r="AW3015" s="76"/>
      <c r="AX3015" s="76">
        <f>+AW3015*600000</f>
        <v>0</v>
      </c>
      <c r="AY3015" s="76"/>
      <c r="AZ3015" s="76">
        <f>+AY3015*70000</f>
        <v>0</v>
      </c>
      <c r="BA3015" s="76"/>
      <c r="BB3015" s="76"/>
      <c r="BC3015" s="76"/>
      <c r="BD3015" s="76">
        <f>+BC3015*30000</f>
        <v>0</v>
      </c>
      <c r="BE3015" s="76"/>
      <c r="BF3015" s="76"/>
      <c r="BG3015" s="76"/>
      <c r="BH3015" s="76"/>
      <c r="BI3015" s="76"/>
      <c r="BJ3015" s="76"/>
      <c r="BK3015" s="76"/>
      <c r="BL3015" s="76">
        <f>+BK3015*31500</f>
        <v>0</v>
      </c>
      <c r="BM3015" s="76"/>
      <c r="BN3015" s="76"/>
      <c r="BO3015" s="76"/>
      <c r="BP3015" s="76"/>
      <c r="BQ3015" s="76"/>
      <c r="BR3015" s="76"/>
      <c r="BS3015" s="76"/>
      <c r="BT3015" s="76"/>
      <c r="BU3015" s="76"/>
      <c r="BV3015" s="76"/>
      <c r="BW3015" s="76"/>
      <c r="BX3015" s="76"/>
      <c r="BY3015" s="76"/>
      <c r="BZ3015" s="76"/>
      <c r="CA3015" s="76"/>
      <c r="CB3015" s="76"/>
      <c r="CC3015" s="76"/>
      <c r="CD3015" s="76"/>
      <c r="CE3015" s="76"/>
      <c r="CF3015" s="76">
        <f>+CE3015*28000</f>
        <v>0</v>
      </c>
      <c r="CG3015" s="76"/>
      <c r="CH3015" s="76">
        <f>+CG3015*22500</f>
        <v>0</v>
      </c>
      <c r="CI3015" s="76"/>
      <c r="CJ3015" s="76">
        <f>+CI3015*26000</f>
        <v>0</v>
      </c>
      <c r="CK3015" s="76"/>
      <c r="CL3015" s="76"/>
      <c r="CM3015" s="76"/>
      <c r="CN3015" s="76">
        <f>+CM3015*22000</f>
        <v>0</v>
      </c>
      <c r="CO3015" s="76"/>
      <c r="CP3015" s="76">
        <f>+CO3015*46000</f>
        <v>0</v>
      </c>
      <c r="CQ3015" s="76"/>
      <c r="CR3015" s="76">
        <f>+CQ3015*49000</f>
        <v>0</v>
      </c>
      <c r="CS3015" s="76"/>
      <c r="CT3015" s="76"/>
      <c r="CU3015" s="56">
        <f>AN3015+AP3015+AR3015+AT3015+AV3015+AX3015+AZ3015+BB3015+BD3015+BF3015+BH3015+BJ3015+BL3015+BN3015+BP3015+BR3015+BT3015+BV3015+BX3015+BZ3015+CB3015+CD3015+CF3015+CH3015+CJ3015+CL3015+CN3015+CP3015+CR3015+CT3015</f>
        <v>0</v>
      </c>
      <c r="CV3015" s="76"/>
      <c r="CW3015" s="76">
        <f>+CV3015*1100</f>
        <v>0</v>
      </c>
      <c r="CX3015" s="76"/>
      <c r="CY3015" s="76">
        <f>+CX3015*106250</f>
        <v>0</v>
      </c>
      <c r="CZ3015" s="76"/>
      <c r="DA3015" s="76">
        <f>+CZ3015*34500</f>
        <v>0</v>
      </c>
      <c r="DB3015" s="76"/>
      <c r="DC3015" s="76">
        <f>+DB3015*25000</f>
        <v>0</v>
      </c>
      <c r="DD3015" s="219"/>
      <c r="DE3015" s="219"/>
      <c r="DF3015" s="166"/>
      <c r="DG3015" s="116"/>
      <c r="DH3015" s="117"/>
      <c r="DI3015" s="24"/>
      <c r="DJ3015" s="24"/>
      <c r="DK3015" s="24"/>
      <c r="DL3015" s="24"/>
      <c r="DM3015" s="24"/>
      <c r="DN3015" s="24"/>
      <c r="DO3015" s="24"/>
      <c r="DP3015" s="24"/>
      <c r="DQ3015" s="24"/>
      <c r="DR3015" s="24"/>
      <c r="DS3015" s="24"/>
      <c r="DT3015" s="24"/>
      <c r="DU3015" s="24"/>
    </row>
    <row r="3016" spans="1:125" s="8" customFormat="1" ht="36" x14ac:dyDescent="0.2">
      <c r="A3016" s="77">
        <v>41530</v>
      </c>
      <c r="B3016" s="352" t="s">
        <v>2894</v>
      </c>
      <c r="C3016" s="354" t="s">
        <v>2006</v>
      </c>
      <c r="D3016" s="354" t="s">
        <v>3051</v>
      </c>
      <c r="E3016" s="296" t="str">
        <f>VLOOKUP(B3016&amp;C3016,Divipola!$C$2:$F$1138,4,FALSE)</f>
        <v>05360</v>
      </c>
      <c r="F3016" s="87"/>
      <c r="G3016" s="87"/>
      <c r="H3016" s="87"/>
      <c r="I3016" s="87">
        <v>80</v>
      </c>
      <c r="J3016" s="87">
        <v>16</v>
      </c>
      <c r="K3016" s="87"/>
      <c r="L3016" s="87">
        <v>16</v>
      </c>
      <c r="M3016" s="87"/>
      <c r="N3016" s="87"/>
      <c r="O3016" s="87"/>
      <c r="P3016" s="87"/>
      <c r="Q3016" s="87"/>
      <c r="R3016" s="87"/>
      <c r="S3016" s="87"/>
      <c r="T3016" s="87"/>
      <c r="U3016" s="88"/>
      <c r="V3016" s="89"/>
      <c r="W3016" s="96">
        <v>0</v>
      </c>
      <c r="X3016" s="71">
        <f>CU3016</f>
        <v>0</v>
      </c>
      <c r="Y3016" s="71">
        <f>CY3016</f>
        <v>0</v>
      </c>
      <c r="Z3016" s="71">
        <f>DA3016+DC3016+DE3016</f>
        <v>0</v>
      </c>
      <c r="AA3016" s="71">
        <f>CW3016</f>
        <v>0</v>
      </c>
      <c r="AB3016" s="71"/>
      <c r="AC3016" s="71">
        <v>0</v>
      </c>
      <c r="AD3016" s="71">
        <f>W3016+X3016+Y3016+Z3016+AA3016+AB3016+AC3016</f>
        <v>0</v>
      </c>
      <c r="AE3016" s="72">
        <v>0</v>
      </c>
      <c r="AF3016" s="5"/>
      <c r="AG3016" s="6"/>
      <c r="AH3016" s="27"/>
      <c r="AI3016" s="44"/>
      <c r="AJ3016" s="26"/>
      <c r="AK3016" s="5"/>
      <c r="AL3016" s="82" t="s">
        <v>5911</v>
      </c>
      <c r="AM3016" s="76"/>
      <c r="AN3016" s="76"/>
      <c r="AO3016" s="76"/>
      <c r="AP3016" s="76"/>
      <c r="AQ3016" s="76"/>
      <c r="AR3016" s="76"/>
      <c r="AS3016" s="76"/>
      <c r="AT3016" s="76"/>
      <c r="AU3016" s="76"/>
      <c r="AV3016" s="76"/>
      <c r="AW3016" s="76"/>
      <c r="AX3016" s="76">
        <f>+AW3016*600000</f>
        <v>0</v>
      </c>
      <c r="AY3016" s="76"/>
      <c r="AZ3016" s="76">
        <f>+AY3016*70000</f>
        <v>0</v>
      </c>
      <c r="BA3016" s="76"/>
      <c r="BB3016" s="76"/>
      <c r="BC3016" s="76"/>
      <c r="BD3016" s="76">
        <f>+BC3016*30000</f>
        <v>0</v>
      </c>
      <c r="BE3016" s="76"/>
      <c r="BF3016" s="76"/>
      <c r="BG3016" s="76"/>
      <c r="BH3016" s="76"/>
      <c r="BI3016" s="76"/>
      <c r="BJ3016" s="76"/>
      <c r="BK3016" s="76"/>
      <c r="BL3016" s="76">
        <f>+BK3016*31500</f>
        <v>0</v>
      </c>
      <c r="BM3016" s="76"/>
      <c r="BN3016" s="76"/>
      <c r="BO3016" s="76"/>
      <c r="BP3016" s="76"/>
      <c r="BQ3016" s="76"/>
      <c r="BR3016" s="76"/>
      <c r="BS3016" s="76"/>
      <c r="BT3016" s="76"/>
      <c r="BU3016" s="76"/>
      <c r="BV3016" s="76"/>
      <c r="BW3016" s="76"/>
      <c r="BX3016" s="76"/>
      <c r="BY3016" s="76"/>
      <c r="BZ3016" s="76"/>
      <c r="CA3016" s="76"/>
      <c r="CB3016" s="76"/>
      <c r="CC3016" s="76"/>
      <c r="CD3016" s="76"/>
      <c r="CE3016" s="76"/>
      <c r="CF3016" s="76">
        <f>+CE3016*28000</f>
        <v>0</v>
      </c>
      <c r="CG3016" s="76"/>
      <c r="CH3016" s="76">
        <f>+CG3016*22500</f>
        <v>0</v>
      </c>
      <c r="CI3016" s="76"/>
      <c r="CJ3016" s="76">
        <f>+CI3016*26000</f>
        <v>0</v>
      </c>
      <c r="CK3016" s="76"/>
      <c r="CL3016" s="76"/>
      <c r="CM3016" s="76"/>
      <c r="CN3016" s="76">
        <f>+CM3016*22000</f>
        <v>0</v>
      </c>
      <c r="CO3016" s="76"/>
      <c r="CP3016" s="76">
        <f>+CO3016*46000</f>
        <v>0</v>
      </c>
      <c r="CQ3016" s="76"/>
      <c r="CR3016" s="76">
        <f>+CQ3016*49000</f>
        <v>0</v>
      </c>
      <c r="CS3016" s="76"/>
      <c r="CT3016" s="76"/>
      <c r="CU3016" s="56">
        <f>AN3016+AP3016+AR3016+AT3016+AV3016+AX3016+AZ3016+BB3016+BD3016+BF3016+BH3016+BJ3016+BL3016+BN3016+BP3016+BR3016+BT3016+BV3016+BX3016+BZ3016+CB3016+CD3016+CF3016+CH3016+CJ3016+CL3016+CN3016+CP3016+CR3016+CT3016</f>
        <v>0</v>
      </c>
      <c r="CV3016" s="76"/>
      <c r="CW3016" s="76">
        <f>+CV3016*1100</f>
        <v>0</v>
      </c>
      <c r="CX3016" s="76"/>
      <c r="CY3016" s="76">
        <f>+CX3016*106250</f>
        <v>0</v>
      </c>
      <c r="CZ3016" s="76"/>
      <c r="DA3016" s="76">
        <f>+CZ3016*34500</f>
        <v>0</v>
      </c>
      <c r="DB3016" s="76"/>
      <c r="DC3016" s="76">
        <f>+DB3016*25000</f>
        <v>0</v>
      </c>
      <c r="DD3016" s="219"/>
      <c r="DE3016" s="219"/>
      <c r="DF3016" s="166"/>
      <c r="DG3016" s="116"/>
      <c r="DH3016" s="117"/>
      <c r="DI3016" s="24"/>
      <c r="DJ3016" s="24"/>
      <c r="DK3016" s="24"/>
      <c r="DL3016" s="24"/>
      <c r="DM3016" s="24"/>
      <c r="DN3016" s="24"/>
      <c r="DO3016" s="24"/>
      <c r="DP3016" s="24"/>
      <c r="DQ3016" s="24"/>
      <c r="DR3016" s="24"/>
      <c r="DS3016" s="24"/>
      <c r="DT3016" s="24"/>
      <c r="DU3016" s="24"/>
    </row>
    <row r="3017" spans="1:125" s="8" customFormat="1" ht="132" x14ac:dyDescent="0.2">
      <c r="A3017" s="77">
        <v>41530</v>
      </c>
      <c r="B3017" s="352" t="s">
        <v>2772</v>
      </c>
      <c r="C3017" s="354" t="s">
        <v>2100</v>
      </c>
      <c r="D3017" s="354" t="s">
        <v>2849</v>
      </c>
      <c r="E3017" s="296" t="str">
        <f>VLOOKUP(B3017&amp;C3017,Divipola!$C$2:$F$1138,4,FALSE)</f>
        <v>25402</v>
      </c>
      <c r="F3017" s="87">
        <v>1</v>
      </c>
      <c r="G3017" s="87">
        <v>17</v>
      </c>
      <c r="H3017" s="87"/>
      <c r="I3017" s="87">
        <v>18</v>
      </c>
      <c r="J3017" s="87"/>
      <c r="K3017" s="87"/>
      <c r="L3017" s="87"/>
      <c r="M3017" s="87"/>
      <c r="N3017" s="87"/>
      <c r="O3017" s="87"/>
      <c r="P3017" s="87"/>
      <c r="Q3017" s="87"/>
      <c r="R3017" s="87"/>
      <c r="S3017" s="87"/>
      <c r="T3017" s="87"/>
      <c r="U3017" s="88"/>
      <c r="V3017" s="89"/>
      <c r="W3017" s="96">
        <v>0</v>
      </c>
      <c r="X3017" s="71">
        <f>CU3017</f>
        <v>0</v>
      </c>
      <c r="Y3017" s="71">
        <f>CY3017</f>
        <v>0</v>
      </c>
      <c r="Z3017" s="71">
        <f>DA3017+DC3017+DE3017</f>
        <v>0</v>
      </c>
      <c r="AA3017" s="71">
        <f>CW3017</f>
        <v>0</v>
      </c>
      <c r="AB3017" s="71"/>
      <c r="AC3017" s="71">
        <v>0</v>
      </c>
      <c r="AD3017" s="71">
        <f>W3017+X3017+Y3017+Z3017+AA3017+AB3017+AC3017</f>
        <v>0</v>
      </c>
      <c r="AE3017" s="72">
        <v>0</v>
      </c>
      <c r="AF3017" s="5"/>
      <c r="AG3017" s="6"/>
      <c r="AH3017" s="27"/>
      <c r="AI3017" s="44"/>
      <c r="AJ3017" s="26"/>
      <c r="AK3017" s="5"/>
      <c r="AL3017" s="274" t="s">
        <v>5913</v>
      </c>
      <c r="AM3017" s="76"/>
      <c r="AN3017" s="76"/>
      <c r="AO3017" s="76"/>
      <c r="AP3017" s="76"/>
      <c r="AQ3017" s="76"/>
      <c r="AR3017" s="76"/>
      <c r="AS3017" s="76"/>
      <c r="AT3017" s="76"/>
      <c r="AU3017" s="76"/>
      <c r="AV3017" s="76"/>
      <c r="AW3017" s="76"/>
      <c r="AX3017" s="76">
        <f>+AW3017*600000</f>
        <v>0</v>
      </c>
      <c r="AY3017" s="76"/>
      <c r="AZ3017" s="76">
        <f>+AY3017*70000</f>
        <v>0</v>
      </c>
      <c r="BA3017" s="76"/>
      <c r="BB3017" s="76"/>
      <c r="BC3017" s="76"/>
      <c r="BD3017" s="76">
        <f>+BC3017*30000</f>
        <v>0</v>
      </c>
      <c r="BE3017" s="76"/>
      <c r="BF3017" s="76"/>
      <c r="BG3017" s="76"/>
      <c r="BH3017" s="76"/>
      <c r="BI3017" s="76"/>
      <c r="BJ3017" s="76"/>
      <c r="BK3017" s="76"/>
      <c r="BL3017" s="76">
        <f>+BK3017*31500</f>
        <v>0</v>
      </c>
      <c r="BM3017" s="76"/>
      <c r="BN3017" s="76"/>
      <c r="BO3017" s="76"/>
      <c r="BP3017" s="76"/>
      <c r="BQ3017" s="76"/>
      <c r="BR3017" s="76"/>
      <c r="BS3017" s="76"/>
      <c r="BT3017" s="76"/>
      <c r="BU3017" s="76"/>
      <c r="BV3017" s="76"/>
      <c r="BW3017" s="76"/>
      <c r="BX3017" s="76"/>
      <c r="BY3017" s="76"/>
      <c r="BZ3017" s="76"/>
      <c r="CA3017" s="76"/>
      <c r="CB3017" s="76"/>
      <c r="CC3017" s="76"/>
      <c r="CD3017" s="76"/>
      <c r="CE3017" s="76"/>
      <c r="CF3017" s="76">
        <f>+CE3017*28000</f>
        <v>0</v>
      </c>
      <c r="CG3017" s="76"/>
      <c r="CH3017" s="76">
        <f>+CG3017*22500</f>
        <v>0</v>
      </c>
      <c r="CI3017" s="76"/>
      <c r="CJ3017" s="76">
        <f>+CI3017*26000</f>
        <v>0</v>
      </c>
      <c r="CK3017" s="76"/>
      <c r="CL3017" s="76"/>
      <c r="CM3017" s="76"/>
      <c r="CN3017" s="76">
        <f>+CM3017*22000</f>
        <v>0</v>
      </c>
      <c r="CO3017" s="76"/>
      <c r="CP3017" s="76">
        <f>+CO3017*46000</f>
        <v>0</v>
      </c>
      <c r="CQ3017" s="76"/>
      <c r="CR3017" s="76">
        <f>+CQ3017*49000</f>
        <v>0</v>
      </c>
      <c r="CS3017" s="76"/>
      <c r="CT3017" s="76"/>
      <c r="CU3017" s="56">
        <f>AN3017+AP3017+AR3017+AT3017+AV3017+AX3017+AZ3017+BB3017+BD3017+BF3017+BH3017+BJ3017+BL3017+BN3017+BP3017+BR3017+BT3017+BV3017+BX3017+BZ3017+CB3017+CD3017+CF3017+CH3017+CJ3017+CL3017+CN3017+CP3017+CR3017+CT3017</f>
        <v>0</v>
      </c>
      <c r="CV3017" s="76"/>
      <c r="CW3017" s="76">
        <f>+CV3017*1100</f>
        <v>0</v>
      </c>
      <c r="CX3017" s="76"/>
      <c r="CY3017" s="76">
        <f>+CX3017*106250</f>
        <v>0</v>
      </c>
      <c r="CZ3017" s="76"/>
      <c r="DA3017" s="76">
        <f>+CZ3017*34500</f>
        <v>0</v>
      </c>
      <c r="DB3017" s="76"/>
      <c r="DC3017" s="76">
        <f>+DB3017*25000</f>
        <v>0</v>
      </c>
      <c r="DD3017" s="219"/>
      <c r="DE3017" s="219"/>
      <c r="DF3017" s="166"/>
      <c r="DG3017" s="116"/>
      <c r="DH3017" s="117"/>
      <c r="DI3017" s="24"/>
      <c r="DJ3017" s="24"/>
      <c r="DK3017" s="24"/>
      <c r="DL3017" s="24"/>
      <c r="DM3017" s="24"/>
      <c r="DN3017" s="24"/>
      <c r="DO3017" s="24"/>
      <c r="DP3017" s="24"/>
      <c r="DQ3017" s="24"/>
      <c r="DR3017" s="24"/>
      <c r="DS3017" s="24"/>
      <c r="DT3017" s="24"/>
      <c r="DU3017" s="24"/>
    </row>
    <row r="3018" spans="1:125" s="8" customFormat="1" ht="156" x14ac:dyDescent="0.2">
      <c r="A3018" s="77">
        <v>41530</v>
      </c>
      <c r="B3018" s="352" t="s">
        <v>2774</v>
      </c>
      <c r="C3018" s="354" t="s">
        <v>284</v>
      </c>
      <c r="D3018" s="354" t="s">
        <v>2859</v>
      </c>
      <c r="E3018" s="296" t="str">
        <f>VLOOKUP(B3018&amp;C3018,Divipola!$C$2:$F$1138,4,FALSE)</f>
        <v>66170</v>
      </c>
      <c r="F3018" s="87"/>
      <c r="G3018" s="87">
        <v>3</v>
      </c>
      <c r="H3018" s="87"/>
      <c r="I3018" s="87">
        <v>21</v>
      </c>
      <c r="J3018" s="87"/>
      <c r="K3018" s="87"/>
      <c r="L3018" s="87"/>
      <c r="M3018" s="87"/>
      <c r="N3018" s="87"/>
      <c r="O3018" s="87"/>
      <c r="P3018" s="87"/>
      <c r="Q3018" s="87"/>
      <c r="R3018" s="87"/>
      <c r="S3018" s="87"/>
      <c r="T3018" s="87"/>
      <c r="U3018" s="88"/>
      <c r="V3018" s="89"/>
      <c r="W3018" s="96">
        <v>0</v>
      </c>
      <c r="X3018" s="71">
        <f>CU3018</f>
        <v>0</v>
      </c>
      <c r="Y3018" s="71">
        <f>CY3018</f>
        <v>0</v>
      </c>
      <c r="Z3018" s="71">
        <f>DA3018+DC3018+DE3018</f>
        <v>0</v>
      </c>
      <c r="AA3018" s="71">
        <f>CW3018</f>
        <v>0</v>
      </c>
      <c r="AB3018" s="71"/>
      <c r="AC3018" s="71">
        <v>0</v>
      </c>
      <c r="AD3018" s="71">
        <f>W3018+X3018+Y3018+Z3018+AA3018+AB3018+AC3018</f>
        <v>0</v>
      </c>
      <c r="AE3018" s="72">
        <v>0</v>
      </c>
      <c r="AF3018" s="5"/>
      <c r="AG3018" s="6"/>
      <c r="AH3018" s="27"/>
      <c r="AI3018" s="44"/>
      <c r="AJ3018" s="26"/>
      <c r="AK3018" s="5"/>
      <c r="AL3018" s="274" t="s">
        <v>5914</v>
      </c>
      <c r="AM3018" s="76"/>
      <c r="AN3018" s="76"/>
      <c r="AO3018" s="76"/>
      <c r="AP3018" s="76"/>
      <c r="AQ3018" s="76"/>
      <c r="AR3018" s="76"/>
      <c r="AS3018" s="76"/>
      <c r="AT3018" s="76"/>
      <c r="AU3018" s="76"/>
      <c r="AV3018" s="76"/>
      <c r="AW3018" s="76"/>
      <c r="AX3018" s="76">
        <f>+AW3018*600000</f>
        <v>0</v>
      </c>
      <c r="AY3018" s="76"/>
      <c r="AZ3018" s="76">
        <f>+AY3018*70000</f>
        <v>0</v>
      </c>
      <c r="BA3018" s="76"/>
      <c r="BB3018" s="76"/>
      <c r="BC3018" s="76"/>
      <c r="BD3018" s="76">
        <f>+BC3018*30000</f>
        <v>0</v>
      </c>
      <c r="BE3018" s="76"/>
      <c r="BF3018" s="76"/>
      <c r="BG3018" s="76"/>
      <c r="BH3018" s="76"/>
      <c r="BI3018" s="76"/>
      <c r="BJ3018" s="76"/>
      <c r="BK3018" s="76"/>
      <c r="BL3018" s="76">
        <f>+BK3018*31500</f>
        <v>0</v>
      </c>
      <c r="BM3018" s="76"/>
      <c r="BN3018" s="76"/>
      <c r="BO3018" s="76"/>
      <c r="BP3018" s="76"/>
      <c r="BQ3018" s="76"/>
      <c r="BR3018" s="76"/>
      <c r="BS3018" s="76"/>
      <c r="BT3018" s="76"/>
      <c r="BU3018" s="76"/>
      <c r="BV3018" s="76"/>
      <c r="BW3018" s="76"/>
      <c r="BX3018" s="76"/>
      <c r="BY3018" s="76"/>
      <c r="BZ3018" s="76"/>
      <c r="CA3018" s="76"/>
      <c r="CB3018" s="76"/>
      <c r="CC3018" s="76"/>
      <c r="CD3018" s="76"/>
      <c r="CE3018" s="76"/>
      <c r="CF3018" s="76">
        <f>+CE3018*28000</f>
        <v>0</v>
      </c>
      <c r="CG3018" s="76"/>
      <c r="CH3018" s="76">
        <f>+CG3018*22500</f>
        <v>0</v>
      </c>
      <c r="CI3018" s="76"/>
      <c r="CJ3018" s="76">
        <f>+CI3018*26000</f>
        <v>0</v>
      </c>
      <c r="CK3018" s="76"/>
      <c r="CL3018" s="76"/>
      <c r="CM3018" s="76"/>
      <c r="CN3018" s="76">
        <f>+CM3018*22000</f>
        <v>0</v>
      </c>
      <c r="CO3018" s="76"/>
      <c r="CP3018" s="76">
        <f>+CO3018*46000</f>
        <v>0</v>
      </c>
      <c r="CQ3018" s="76"/>
      <c r="CR3018" s="76">
        <f>+CQ3018*49000</f>
        <v>0</v>
      </c>
      <c r="CS3018" s="76"/>
      <c r="CT3018" s="76"/>
      <c r="CU3018" s="56">
        <f>AN3018+AP3018+AR3018+AT3018+AV3018+AX3018+AZ3018+BB3018+BD3018+BF3018+BH3018+BJ3018+BL3018+BN3018+BP3018+BR3018+BT3018+BV3018+BX3018+BZ3018+CB3018+CD3018+CF3018+CH3018+CJ3018+CL3018+CN3018+CP3018+CR3018+CT3018</f>
        <v>0</v>
      </c>
      <c r="CV3018" s="76"/>
      <c r="CW3018" s="76">
        <f>+CV3018*1100</f>
        <v>0</v>
      </c>
      <c r="CX3018" s="76"/>
      <c r="CY3018" s="76">
        <f>+CX3018*106250</f>
        <v>0</v>
      </c>
      <c r="CZ3018" s="76"/>
      <c r="DA3018" s="76">
        <f>+CZ3018*34500</f>
        <v>0</v>
      </c>
      <c r="DB3018" s="76"/>
      <c r="DC3018" s="76">
        <f>+DB3018*25000</f>
        <v>0</v>
      </c>
      <c r="DD3018" s="219"/>
      <c r="DE3018" s="219"/>
      <c r="DF3018" s="166"/>
      <c r="DG3018" s="116"/>
      <c r="DH3018" s="117"/>
      <c r="DI3018" s="24"/>
      <c r="DJ3018" s="24"/>
      <c r="DK3018" s="24"/>
      <c r="DL3018" s="24"/>
      <c r="DM3018" s="24"/>
      <c r="DN3018" s="24"/>
      <c r="DO3018" s="24"/>
      <c r="DP3018" s="24"/>
      <c r="DQ3018" s="24"/>
      <c r="DR3018" s="24"/>
      <c r="DS3018" s="24"/>
      <c r="DT3018" s="24"/>
      <c r="DU3018" s="24"/>
    </row>
    <row r="3019" spans="1:125" s="8" customFormat="1" ht="60" x14ac:dyDescent="0.2">
      <c r="A3019" s="353">
        <v>41531</v>
      </c>
      <c r="B3019" s="352" t="s">
        <v>2854</v>
      </c>
      <c r="C3019" s="354" t="s">
        <v>2081</v>
      </c>
      <c r="D3019" s="354" t="s">
        <v>2882</v>
      </c>
      <c r="E3019" s="296" t="str">
        <f>VLOOKUP(B3019&amp;C3019,Divipola!$C$2:$F$1138,4,FALSE)</f>
        <v>19532</v>
      </c>
      <c r="F3019" s="87"/>
      <c r="G3019" s="87">
        <v>2</v>
      </c>
      <c r="H3019" s="87"/>
      <c r="I3019" s="87">
        <v>2</v>
      </c>
      <c r="J3019" s="87">
        <v>1</v>
      </c>
      <c r="K3019" s="87">
        <v>1</v>
      </c>
      <c r="L3019" s="87"/>
      <c r="M3019" s="87"/>
      <c r="N3019" s="87"/>
      <c r="O3019" s="87"/>
      <c r="P3019" s="87"/>
      <c r="Q3019" s="87"/>
      <c r="R3019" s="87"/>
      <c r="S3019" s="87"/>
      <c r="T3019" s="87"/>
      <c r="U3019" s="88"/>
      <c r="V3019" s="89"/>
      <c r="W3019" s="96">
        <v>0</v>
      </c>
      <c r="X3019" s="71">
        <f>CU3019</f>
        <v>0</v>
      </c>
      <c r="Y3019" s="71">
        <f>CY3019</f>
        <v>0</v>
      </c>
      <c r="Z3019" s="71">
        <f>DA3019+DC3019+DE3019</f>
        <v>0</v>
      </c>
      <c r="AA3019" s="71">
        <f>CW3019</f>
        <v>0</v>
      </c>
      <c r="AB3019" s="71"/>
      <c r="AC3019" s="71">
        <v>0</v>
      </c>
      <c r="AD3019" s="71">
        <f>W3019+X3019+Y3019+Z3019+AA3019+AB3019+AC3019</f>
        <v>0</v>
      </c>
      <c r="AE3019" s="72">
        <v>0</v>
      </c>
      <c r="AF3019" s="5"/>
      <c r="AG3019" s="6"/>
      <c r="AH3019" s="27"/>
      <c r="AI3019" s="44"/>
      <c r="AJ3019" s="26"/>
      <c r="AK3019" s="5"/>
      <c r="AL3019" s="274" t="s">
        <v>5920</v>
      </c>
      <c r="AM3019" s="76"/>
      <c r="AN3019" s="76"/>
      <c r="AO3019" s="76"/>
      <c r="AP3019" s="76"/>
      <c r="AQ3019" s="76"/>
      <c r="AR3019" s="76"/>
      <c r="AS3019" s="76"/>
      <c r="AT3019" s="76"/>
      <c r="AU3019" s="76"/>
      <c r="AV3019" s="76"/>
      <c r="AW3019" s="76"/>
      <c r="AX3019" s="76">
        <f>+AW3019*600000</f>
        <v>0</v>
      </c>
      <c r="AY3019" s="76"/>
      <c r="AZ3019" s="76">
        <f>+AY3019*70000</f>
        <v>0</v>
      </c>
      <c r="BA3019" s="76"/>
      <c r="BB3019" s="76"/>
      <c r="BC3019" s="76"/>
      <c r="BD3019" s="76">
        <f>+BC3019*30000</f>
        <v>0</v>
      </c>
      <c r="BE3019" s="76"/>
      <c r="BF3019" s="76"/>
      <c r="BG3019" s="76"/>
      <c r="BH3019" s="76"/>
      <c r="BI3019" s="76"/>
      <c r="BJ3019" s="76"/>
      <c r="BK3019" s="76"/>
      <c r="BL3019" s="76">
        <f>+BK3019*31500</f>
        <v>0</v>
      </c>
      <c r="BM3019" s="76"/>
      <c r="BN3019" s="76"/>
      <c r="BO3019" s="76"/>
      <c r="BP3019" s="76"/>
      <c r="BQ3019" s="76"/>
      <c r="BR3019" s="76"/>
      <c r="BS3019" s="76"/>
      <c r="BT3019" s="76"/>
      <c r="BU3019" s="76"/>
      <c r="BV3019" s="76"/>
      <c r="BW3019" s="76"/>
      <c r="BX3019" s="76"/>
      <c r="BY3019" s="76"/>
      <c r="BZ3019" s="76"/>
      <c r="CA3019" s="76"/>
      <c r="CB3019" s="76"/>
      <c r="CC3019" s="76"/>
      <c r="CD3019" s="76"/>
      <c r="CE3019" s="76"/>
      <c r="CF3019" s="76">
        <f>+CE3019*28000</f>
        <v>0</v>
      </c>
      <c r="CG3019" s="76"/>
      <c r="CH3019" s="76">
        <f>+CG3019*22500</f>
        <v>0</v>
      </c>
      <c r="CI3019" s="76"/>
      <c r="CJ3019" s="76">
        <f>+CI3019*26000</f>
        <v>0</v>
      </c>
      <c r="CK3019" s="76"/>
      <c r="CL3019" s="76"/>
      <c r="CM3019" s="76"/>
      <c r="CN3019" s="76">
        <f>+CM3019*22000</f>
        <v>0</v>
      </c>
      <c r="CO3019" s="76"/>
      <c r="CP3019" s="76">
        <f>+CO3019*46000</f>
        <v>0</v>
      </c>
      <c r="CQ3019" s="76"/>
      <c r="CR3019" s="76">
        <f>+CQ3019*49000</f>
        <v>0</v>
      </c>
      <c r="CS3019" s="76"/>
      <c r="CT3019" s="76"/>
      <c r="CU3019" s="56">
        <f>AN3019+AP3019+AR3019+AT3019+AV3019+AX3019+AZ3019+BB3019+BD3019+BF3019+BH3019+BJ3019+BL3019+BN3019+BP3019+BR3019+BT3019+BV3019+BX3019+BZ3019+CB3019+CD3019+CF3019+CH3019+CJ3019+CL3019+CN3019+CP3019+CR3019+CT3019</f>
        <v>0</v>
      </c>
      <c r="CV3019" s="76"/>
      <c r="CW3019" s="76">
        <f>+CV3019*1100</f>
        <v>0</v>
      </c>
      <c r="CX3019" s="76"/>
      <c r="CY3019" s="76">
        <f>+CX3019*106250</f>
        <v>0</v>
      </c>
      <c r="CZ3019" s="76"/>
      <c r="DA3019" s="76">
        <f>+CZ3019*34500</f>
        <v>0</v>
      </c>
      <c r="DB3019" s="76"/>
      <c r="DC3019" s="76">
        <f>+DB3019*25000</f>
        <v>0</v>
      </c>
      <c r="DD3019" s="219"/>
      <c r="DE3019" s="219"/>
      <c r="DF3019" s="166"/>
      <c r="DG3019" s="116"/>
      <c r="DH3019" s="117"/>
      <c r="DI3019" s="24"/>
      <c r="DJ3019" s="24"/>
      <c r="DK3019" s="24"/>
      <c r="DL3019" s="24"/>
      <c r="DM3019" s="24"/>
      <c r="DN3019" s="24"/>
      <c r="DO3019" s="24"/>
      <c r="DP3019" s="24"/>
      <c r="DQ3019" s="24"/>
      <c r="DR3019" s="24"/>
      <c r="DS3019" s="24"/>
      <c r="DT3019" s="24"/>
      <c r="DU3019" s="24"/>
    </row>
    <row r="3020" spans="1:125" s="8" customFormat="1" ht="36" x14ac:dyDescent="0.2">
      <c r="A3020" s="353">
        <v>41531</v>
      </c>
      <c r="B3020" s="352" t="s">
        <v>2855</v>
      </c>
      <c r="C3020" s="354" t="s">
        <v>503</v>
      </c>
      <c r="D3020" s="354" t="s">
        <v>3051</v>
      </c>
      <c r="E3020" s="296" t="str">
        <f>VLOOKUP(B3020&amp;C3020,Divipola!$C$2:$F$1138,4,FALSE)</f>
        <v>20175</v>
      </c>
      <c r="F3020" s="87"/>
      <c r="G3020" s="87"/>
      <c r="H3020" s="87"/>
      <c r="I3020" s="87"/>
      <c r="J3020" s="87"/>
      <c r="K3020" s="87"/>
      <c r="L3020" s="87"/>
      <c r="M3020" s="87"/>
      <c r="N3020" s="87"/>
      <c r="O3020" s="87"/>
      <c r="P3020" s="87"/>
      <c r="Q3020" s="87"/>
      <c r="R3020" s="87"/>
      <c r="S3020" s="87"/>
      <c r="T3020" s="87"/>
      <c r="U3020" s="88"/>
      <c r="V3020" s="89"/>
      <c r="W3020" s="96">
        <v>0</v>
      </c>
      <c r="X3020" s="71">
        <f>CU3020</f>
        <v>0</v>
      </c>
      <c r="Y3020" s="71">
        <f>CY3020</f>
        <v>0</v>
      </c>
      <c r="Z3020" s="71">
        <f>DA3020+DC3020+DE3020</f>
        <v>0</v>
      </c>
      <c r="AA3020" s="71">
        <f>CW3020</f>
        <v>0</v>
      </c>
      <c r="AB3020" s="71"/>
      <c r="AC3020" s="71">
        <v>0</v>
      </c>
      <c r="AD3020" s="71">
        <f>W3020+X3020+Y3020+Z3020+AA3020+AB3020+AC3020</f>
        <v>0</v>
      </c>
      <c r="AE3020" s="72">
        <v>0</v>
      </c>
      <c r="AF3020" s="5"/>
      <c r="AG3020" s="6"/>
      <c r="AH3020" s="27"/>
      <c r="AI3020" s="44"/>
      <c r="AJ3020" s="26"/>
      <c r="AK3020" s="5"/>
      <c r="AL3020" s="274" t="s">
        <v>5919</v>
      </c>
      <c r="AM3020" s="76"/>
      <c r="AN3020" s="76"/>
      <c r="AO3020" s="76"/>
      <c r="AP3020" s="76"/>
      <c r="AQ3020" s="76"/>
      <c r="AR3020" s="76"/>
      <c r="AS3020" s="76"/>
      <c r="AT3020" s="76"/>
      <c r="AU3020" s="76"/>
      <c r="AV3020" s="76"/>
      <c r="AW3020" s="76"/>
      <c r="AX3020" s="76">
        <f>+AW3020*600000</f>
        <v>0</v>
      </c>
      <c r="AY3020" s="76"/>
      <c r="AZ3020" s="76">
        <f>+AY3020*70000</f>
        <v>0</v>
      </c>
      <c r="BA3020" s="76"/>
      <c r="BB3020" s="76"/>
      <c r="BC3020" s="76"/>
      <c r="BD3020" s="76">
        <f>+BC3020*30000</f>
        <v>0</v>
      </c>
      <c r="BE3020" s="76"/>
      <c r="BF3020" s="76"/>
      <c r="BG3020" s="76"/>
      <c r="BH3020" s="76"/>
      <c r="BI3020" s="76"/>
      <c r="BJ3020" s="76"/>
      <c r="BK3020" s="76"/>
      <c r="BL3020" s="76">
        <f>+BK3020*31500</f>
        <v>0</v>
      </c>
      <c r="BM3020" s="76"/>
      <c r="BN3020" s="76"/>
      <c r="BO3020" s="76"/>
      <c r="BP3020" s="76"/>
      <c r="BQ3020" s="76"/>
      <c r="BR3020" s="76"/>
      <c r="BS3020" s="76"/>
      <c r="BT3020" s="76"/>
      <c r="BU3020" s="76"/>
      <c r="BV3020" s="76"/>
      <c r="BW3020" s="76"/>
      <c r="BX3020" s="76"/>
      <c r="BY3020" s="76"/>
      <c r="BZ3020" s="76"/>
      <c r="CA3020" s="76"/>
      <c r="CB3020" s="76"/>
      <c r="CC3020" s="76"/>
      <c r="CD3020" s="76"/>
      <c r="CE3020" s="76"/>
      <c r="CF3020" s="76">
        <f>+CE3020*28000</f>
        <v>0</v>
      </c>
      <c r="CG3020" s="76"/>
      <c r="CH3020" s="76">
        <f>+CG3020*22500</f>
        <v>0</v>
      </c>
      <c r="CI3020" s="76"/>
      <c r="CJ3020" s="76">
        <f>+CI3020*26000</f>
        <v>0</v>
      </c>
      <c r="CK3020" s="76"/>
      <c r="CL3020" s="76"/>
      <c r="CM3020" s="76"/>
      <c r="CN3020" s="76">
        <f>+CM3020*22000</f>
        <v>0</v>
      </c>
      <c r="CO3020" s="76"/>
      <c r="CP3020" s="76">
        <f>+CO3020*46000</f>
        <v>0</v>
      </c>
      <c r="CQ3020" s="76"/>
      <c r="CR3020" s="76">
        <f>+CQ3020*49000</f>
        <v>0</v>
      </c>
      <c r="CS3020" s="76"/>
      <c r="CT3020" s="76"/>
      <c r="CU3020" s="56">
        <f>AN3020+AP3020+AR3020+AT3020+AV3020+AX3020+AZ3020+BB3020+BD3020+BF3020+BH3020+BJ3020+BL3020+BN3020+BP3020+BR3020+BT3020+BV3020+BX3020+BZ3020+CB3020+CD3020+CF3020+CH3020+CJ3020+CL3020+CN3020+CP3020+CR3020+CT3020</f>
        <v>0</v>
      </c>
      <c r="CV3020" s="76"/>
      <c r="CW3020" s="76">
        <f>+CV3020*1100</f>
        <v>0</v>
      </c>
      <c r="CX3020" s="76"/>
      <c r="CY3020" s="76">
        <f>+CX3020*106250</f>
        <v>0</v>
      </c>
      <c r="CZ3020" s="76"/>
      <c r="DA3020" s="76">
        <f>+CZ3020*34500</f>
        <v>0</v>
      </c>
      <c r="DB3020" s="76"/>
      <c r="DC3020" s="76">
        <f>+DB3020*25000</f>
        <v>0</v>
      </c>
      <c r="DD3020" s="219"/>
      <c r="DE3020" s="219"/>
      <c r="DF3020" s="166"/>
      <c r="DG3020" s="116"/>
      <c r="DH3020" s="117"/>
      <c r="DI3020" s="24"/>
      <c r="DJ3020" s="24"/>
      <c r="DK3020" s="24"/>
      <c r="DL3020" s="24"/>
      <c r="DM3020" s="24"/>
      <c r="DN3020" s="24"/>
      <c r="DO3020" s="24"/>
      <c r="DP3020" s="24"/>
      <c r="DQ3020" s="24"/>
      <c r="DR3020" s="24"/>
      <c r="DS3020" s="24"/>
      <c r="DT3020" s="24"/>
      <c r="DU3020" s="24"/>
    </row>
    <row r="3021" spans="1:125" s="8" customFormat="1" ht="108" x14ac:dyDescent="0.2">
      <c r="A3021" s="353">
        <v>41531</v>
      </c>
      <c r="B3021" s="225" t="s">
        <v>2772</v>
      </c>
      <c r="C3021" s="227" t="s">
        <v>1120</v>
      </c>
      <c r="D3021" s="354" t="s">
        <v>2846</v>
      </c>
      <c r="E3021" s="296" t="str">
        <f>VLOOKUP(B3021&amp;C3021,Divipola!$C$2:$F$1138,4,FALSE)</f>
        <v>25488</v>
      </c>
      <c r="F3021" s="87"/>
      <c r="G3021" s="87"/>
      <c r="H3021" s="87"/>
      <c r="I3021" s="87"/>
      <c r="J3021" s="87"/>
      <c r="K3021" s="87"/>
      <c r="L3021" s="87"/>
      <c r="M3021" s="87"/>
      <c r="N3021" s="87"/>
      <c r="O3021" s="87"/>
      <c r="P3021" s="87"/>
      <c r="Q3021" s="87"/>
      <c r="R3021" s="87"/>
      <c r="S3021" s="87"/>
      <c r="T3021" s="87"/>
      <c r="U3021" s="88">
        <v>200</v>
      </c>
      <c r="V3021" s="89"/>
      <c r="W3021" s="96">
        <v>0</v>
      </c>
      <c r="X3021" s="71">
        <f>CU3021</f>
        <v>0</v>
      </c>
      <c r="Y3021" s="71">
        <f>CY3021</f>
        <v>0</v>
      </c>
      <c r="Z3021" s="71">
        <f>DA3021+DC3021+DE3021</f>
        <v>0</v>
      </c>
      <c r="AA3021" s="71">
        <f>CW3021</f>
        <v>0</v>
      </c>
      <c r="AB3021" s="71"/>
      <c r="AC3021" s="71">
        <v>0</v>
      </c>
      <c r="AD3021" s="71">
        <f>W3021+X3021+Y3021+Z3021+AA3021+AB3021+AC3021</f>
        <v>0</v>
      </c>
      <c r="AE3021" s="72">
        <v>0</v>
      </c>
      <c r="AF3021" s="5"/>
      <c r="AG3021" s="6"/>
      <c r="AH3021" s="27"/>
      <c r="AI3021" s="44"/>
      <c r="AJ3021" s="26"/>
      <c r="AK3021" s="5"/>
      <c r="AL3021" s="82" t="s">
        <v>5923</v>
      </c>
      <c r="AM3021" s="76"/>
      <c r="AN3021" s="76"/>
      <c r="AO3021" s="76"/>
      <c r="AP3021" s="76"/>
      <c r="AQ3021" s="76"/>
      <c r="AR3021" s="76"/>
      <c r="AS3021" s="76"/>
      <c r="AT3021" s="76"/>
      <c r="AU3021" s="76"/>
      <c r="AV3021" s="76"/>
      <c r="AW3021" s="76"/>
      <c r="AX3021" s="76">
        <f>+AW3021*600000</f>
        <v>0</v>
      </c>
      <c r="AY3021" s="76"/>
      <c r="AZ3021" s="76">
        <f>+AY3021*70000</f>
        <v>0</v>
      </c>
      <c r="BA3021" s="76"/>
      <c r="BB3021" s="76"/>
      <c r="BC3021" s="76"/>
      <c r="BD3021" s="76">
        <f>+BC3021*30000</f>
        <v>0</v>
      </c>
      <c r="BE3021" s="76"/>
      <c r="BF3021" s="76"/>
      <c r="BG3021" s="76"/>
      <c r="BH3021" s="76"/>
      <c r="BI3021" s="76"/>
      <c r="BJ3021" s="76"/>
      <c r="BK3021" s="76"/>
      <c r="BL3021" s="76">
        <f>+BK3021*31500</f>
        <v>0</v>
      </c>
      <c r="BM3021" s="76"/>
      <c r="BN3021" s="76"/>
      <c r="BO3021" s="76"/>
      <c r="BP3021" s="76"/>
      <c r="BQ3021" s="76"/>
      <c r="BR3021" s="76"/>
      <c r="BS3021" s="76"/>
      <c r="BT3021" s="76"/>
      <c r="BU3021" s="76"/>
      <c r="BV3021" s="76"/>
      <c r="BW3021" s="76"/>
      <c r="BX3021" s="76"/>
      <c r="BY3021" s="76"/>
      <c r="BZ3021" s="76"/>
      <c r="CA3021" s="76"/>
      <c r="CB3021" s="76"/>
      <c r="CC3021" s="76"/>
      <c r="CD3021" s="76"/>
      <c r="CE3021" s="76"/>
      <c r="CF3021" s="76">
        <f>+CE3021*28000</f>
        <v>0</v>
      </c>
      <c r="CG3021" s="76"/>
      <c r="CH3021" s="76">
        <f>+CG3021*22500</f>
        <v>0</v>
      </c>
      <c r="CI3021" s="76"/>
      <c r="CJ3021" s="76">
        <f>+CI3021*26000</f>
        <v>0</v>
      </c>
      <c r="CK3021" s="76"/>
      <c r="CL3021" s="76"/>
      <c r="CM3021" s="76"/>
      <c r="CN3021" s="76">
        <f>+CM3021*22000</f>
        <v>0</v>
      </c>
      <c r="CO3021" s="76"/>
      <c r="CP3021" s="76">
        <f>+CO3021*46000</f>
        <v>0</v>
      </c>
      <c r="CQ3021" s="76"/>
      <c r="CR3021" s="76">
        <f>+CQ3021*49000</f>
        <v>0</v>
      </c>
      <c r="CS3021" s="76"/>
      <c r="CT3021" s="76"/>
      <c r="CU3021" s="56">
        <f>AN3021+AP3021+AR3021+AT3021+AV3021+AX3021+AZ3021+BB3021+BD3021+BF3021+BH3021+BJ3021+BL3021+BN3021+BP3021+BR3021+BT3021+BV3021+BX3021+BZ3021+CB3021+CD3021+CF3021+CH3021+CJ3021+CL3021+CN3021+CP3021+CR3021+CT3021</f>
        <v>0</v>
      </c>
      <c r="CV3021" s="76"/>
      <c r="CW3021" s="76">
        <f>+CV3021*1100</f>
        <v>0</v>
      </c>
      <c r="CX3021" s="76"/>
      <c r="CY3021" s="76">
        <f>+CX3021*106250</f>
        <v>0</v>
      </c>
      <c r="CZ3021" s="76"/>
      <c r="DA3021" s="76">
        <f>+CZ3021*34500</f>
        <v>0</v>
      </c>
      <c r="DB3021" s="76"/>
      <c r="DC3021" s="76">
        <f>+DB3021*25000</f>
        <v>0</v>
      </c>
      <c r="DD3021" s="219"/>
      <c r="DE3021" s="219"/>
      <c r="DF3021" s="166"/>
      <c r="DG3021" s="116"/>
      <c r="DH3021" s="117"/>
      <c r="DI3021" s="24"/>
      <c r="DJ3021" s="24"/>
      <c r="DK3021" s="24"/>
      <c r="DL3021" s="24"/>
      <c r="DM3021" s="24"/>
      <c r="DN3021" s="24"/>
      <c r="DO3021" s="24"/>
      <c r="DP3021" s="24"/>
      <c r="DQ3021" s="24"/>
      <c r="DR3021" s="24"/>
      <c r="DS3021" s="24"/>
      <c r="DT3021" s="24"/>
      <c r="DU3021" s="24"/>
    </row>
    <row r="3022" spans="1:125" s="8" customFormat="1" ht="60" x14ac:dyDescent="0.2">
      <c r="A3022" s="353">
        <v>41531</v>
      </c>
      <c r="B3022" s="352" t="s">
        <v>2772</v>
      </c>
      <c r="C3022" s="354" t="s">
        <v>2156</v>
      </c>
      <c r="D3022" s="354" t="s">
        <v>2846</v>
      </c>
      <c r="E3022" s="296" t="str">
        <f>VLOOKUP(B3022&amp;C3022,Divipola!$C$2:$F$1138,4,FALSE)</f>
        <v>25878</v>
      </c>
      <c r="F3022" s="87"/>
      <c r="G3022" s="87"/>
      <c r="H3022" s="87"/>
      <c r="I3022" s="87"/>
      <c r="J3022" s="87"/>
      <c r="K3022" s="87"/>
      <c r="L3022" s="87"/>
      <c r="M3022" s="87"/>
      <c r="N3022" s="87"/>
      <c r="O3022" s="87"/>
      <c r="P3022" s="87"/>
      <c r="Q3022" s="87"/>
      <c r="R3022" s="87"/>
      <c r="S3022" s="87"/>
      <c r="T3022" s="87"/>
      <c r="U3022" s="88">
        <v>6</v>
      </c>
      <c r="V3022" s="89"/>
      <c r="W3022" s="96">
        <v>0</v>
      </c>
      <c r="X3022" s="71">
        <f>CU3022</f>
        <v>0</v>
      </c>
      <c r="Y3022" s="71">
        <f>CY3022</f>
        <v>0</v>
      </c>
      <c r="Z3022" s="71">
        <f>DA3022+DC3022+DE3022</f>
        <v>0</v>
      </c>
      <c r="AA3022" s="71">
        <f>CW3022</f>
        <v>0</v>
      </c>
      <c r="AB3022" s="71"/>
      <c r="AC3022" s="71">
        <v>0</v>
      </c>
      <c r="AD3022" s="71">
        <f>W3022+X3022+Y3022+Z3022+AA3022+AB3022+AC3022</f>
        <v>0</v>
      </c>
      <c r="AE3022" s="72">
        <v>0</v>
      </c>
      <c r="AF3022" s="5"/>
      <c r="AG3022" s="6"/>
      <c r="AH3022" s="27"/>
      <c r="AI3022" s="44"/>
      <c r="AJ3022" s="26"/>
      <c r="AK3022" s="5"/>
      <c r="AL3022" s="82" t="s">
        <v>5922</v>
      </c>
      <c r="AM3022" s="76"/>
      <c r="AN3022" s="76"/>
      <c r="AO3022" s="76"/>
      <c r="AP3022" s="76"/>
      <c r="AQ3022" s="76"/>
      <c r="AR3022" s="76"/>
      <c r="AS3022" s="76"/>
      <c r="AT3022" s="76"/>
      <c r="AU3022" s="76"/>
      <c r="AV3022" s="76"/>
      <c r="AW3022" s="76"/>
      <c r="AX3022" s="76">
        <f>+AW3022*600000</f>
        <v>0</v>
      </c>
      <c r="AY3022" s="76"/>
      <c r="AZ3022" s="76">
        <f>+AY3022*70000</f>
        <v>0</v>
      </c>
      <c r="BA3022" s="76"/>
      <c r="BB3022" s="76"/>
      <c r="BC3022" s="76"/>
      <c r="BD3022" s="76">
        <f>+BC3022*30000</f>
        <v>0</v>
      </c>
      <c r="BE3022" s="76"/>
      <c r="BF3022" s="76"/>
      <c r="BG3022" s="76"/>
      <c r="BH3022" s="76"/>
      <c r="BI3022" s="76"/>
      <c r="BJ3022" s="76"/>
      <c r="BK3022" s="76"/>
      <c r="BL3022" s="76">
        <f>+BK3022*31500</f>
        <v>0</v>
      </c>
      <c r="BM3022" s="76"/>
      <c r="BN3022" s="76"/>
      <c r="BO3022" s="76"/>
      <c r="BP3022" s="76"/>
      <c r="BQ3022" s="76"/>
      <c r="BR3022" s="76"/>
      <c r="BS3022" s="76"/>
      <c r="BT3022" s="76"/>
      <c r="BU3022" s="76"/>
      <c r="BV3022" s="76"/>
      <c r="BW3022" s="76"/>
      <c r="BX3022" s="76"/>
      <c r="BY3022" s="76"/>
      <c r="BZ3022" s="76"/>
      <c r="CA3022" s="76"/>
      <c r="CB3022" s="76"/>
      <c r="CC3022" s="76"/>
      <c r="CD3022" s="76"/>
      <c r="CE3022" s="76"/>
      <c r="CF3022" s="76">
        <f>+CE3022*28000</f>
        <v>0</v>
      </c>
      <c r="CG3022" s="76"/>
      <c r="CH3022" s="76">
        <f>+CG3022*22500</f>
        <v>0</v>
      </c>
      <c r="CI3022" s="76"/>
      <c r="CJ3022" s="76">
        <f>+CI3022*26000</f>
        <v>0</v>
      </c>
      <c r="CK3022" s="76"/>
      <c r="CL3022" s="76"/>
      <c r="CM3022" s="76"/>
      <c r="CN3022" s="76">
        <f>+CM3022*22000</f>
        <v>0</v>
      </c>
      <c r="CO3022" s="76"/>
      <c r="CP3022" s="76">
        <f>+CO3022*46000</f>
        <v>0</v>
      </c>
      <c r="CQ3022" s="76"/>
      <c r="CR3022" s="76">
        <f>+CQ3022*49000</f>
        <v>0</v>
      </c>
      <c r="CS3022" s="76"/>
      <c r="CT3022" s="76"/>
      <c r="CU3022" s="56">
        <f>AN3022+AP3022+AR3022+AT3022+AV3022+AX3022+AZ3022+BB3022+BD3022+BF3022+BH3022+BJ3022+BL3022+BN3022+BP3022+BR3022+BT3022+BV3022+BX3022+BZ3022+CB3022+CD3022+CF3022+CH3022+CJ3022+CL3022+CN3022+CP3022+CR3022+CT3022</f>
        <v>0</v>
      </c>
      <c r="CV3022" s="76"/>
      <c r="CW3022" s="76">
        <f>+CV3022*1100</f>
        <v>0</v>
      </c>
      <c r="CX3022" s="76"/>
      <c r="CY3022" s="76">
        <f>+CX3022*106250</f>
        <v>0</v>
      </c>
      <c r="CZ3022" s="76"/>
      <c r="DA3022" s="76">
        <f>+CZ3022*34500</f>
        <v>0</v>
      </c>
      <c r="DB3022" s="76"/>
      <c r="DC3022" s="76">
        <f>+DB3022*25000</f>
        <v>0</v>
      </c>
      <c r="DD3022" s="219"/>
      <c r="DE3022" s="219"/>
      <c r="DF3022" s="166"/>
      <c r="DG3022" s="116"/>
      <c r="DH3022" s="117"/>
      <c r="DI3022" s="24"/>
      <c r="DJ3022" s="24"/>
      <c r="DK3022" s="24"/>
      <c r="DL3022" s="24"/>
      <c r="DM3022" s="24"/>
      <c r="DN3022" s="24"/>
      <c r="DO3022" s="24"/>
      <c r="DP3022" s="24"/>
      <c r="DQ3022" s="24"/>
      <c r="DR3022" s="24"/>
      <c r="DS3022" s="24"/>
      <c r="DT3022" s="24"/>
      <c r="DU3022" s="24"/>
    </row>
    <row r="3023" spans="1:125" s="8" customFormat="1" ht="48" x14ac:dyDescent="0.2">
      <c r="A3023" s="353">
        <v>41531</v>
      </c>
      <c r="B3023" s="225" t="s">
        <v>1695</v>
      </c>
      <c r="C3023" s="227" t="s">
        <v>1696</v>
      </c>
      <c r="D3023" s="227" t="s">
        <v>2846</v>
      </c>
      <c r="E3023" s="296" t="str">
        <f>VLOOKUP(B3023&amp;C3023,Divipola!$C$2:$F$1138,4,FALSE)</f>
        <v>95001</v>
      </c>
      <c r="F3023" s="87"/>
      <c r="G3023" s="87"/>
      <c r="H3023" s="87"/>
      <c r="I3023" s="87"/>
      <c r="J3023" s="87"/>
      <c r="K3023" s="87"/>
      <c r="L3023" s="87"/>
      <c r="M3023" s="87"/>
      <c r="N3023" s="87"/>
      <c r="O3023" s="87"/>
      <c r="P3023" s="87"/>
      <c r="Q3023" s="87"/>
      <c r="R3023" s="87"/>
      <c r="S3023" s="87"/>
      <c r="T3023" s="87"/>
      <c r="U3023" s="88">
        <v>60</v>
      </c>
      <c r="V3023" s="89"/>
      <c r="W3023" s="96">
        <v>0</v>
      </c>
      <c r="X3023" s="71">
        <f>CU3023</f>
        <v>0</v>
      </c>
      <c r="Y3023" s="71">
        <f>CY3023</f>
        <v>0</v>
      </c>
      <c r="Z3023" s="71">
        <f>DA3023+DC3023+DE3023</f>
        <v>0</v>
      </c>
      <c r="AA3023" s="71">
        <f>CW3023</f>
        <v>0</v>
      </c>
      <c r="AB3023" s="71"/>
      <c r="AC3023" s="71">
        <v>0</v>
      </c>
      <c r="AD3023" s="71">
        <f>W3023+X3023+Y3023+Z3023+AA3023+AB3023+AC3023</f>
        <v>0</v>
      </c>
      <c r="AE3023" s="72">
        <v>0</v>
      </c>
      <c r="AF3023" s="5"/>
      <c r="AG3023" s="6"/>
      <c r="AH3023" s="27"/>
      <c r="AI3023" s="44"/>
      <c r="AJ3023" s="26"/>
      <c r="AK3023" s="5"/>
      <c r="AL3023" s="274" t="s">
        <v>5918</v>
      </c>
      <c r="AM3023" s="76"/>
      <c r="AN3023" s="76"/>
      <c r="AO3023" s="76"/>
      <c r="AP3023" s="76"/>
      <c r="AQ3023" s="76"/>
      <c r="AR3023" s="76"/>
      <c r="AS3023" s="76"/>
      <c r="AT3023" s="76"/>
      <c r="AU3023" s="76"/>
      <c r="AV3023" s="76"/>
      <c r="AW3023" s="76"/>
      <c r="AX3023" s="76">
        <f>+AW3023*600000</f>
        <v>0</v>
      </c>
      <c r="AY3023" s="76"/>
      <c r="AZ3023" s="76">
        <f>+AY3023*70000</f>
        <v>0</v>
      </c>
      <c r="BA3023" s="76"/>
      <c r="BB3023" s="76"/>
      <c r="BC3023" s="76"/>
      <c r="BD3023" s="76">
        <f>+BC3023*30000</f>
        <v>0</v>
      </c>
      <c r="BE3023" s="76"/>
      <c r="BF3023" s="76"/>
      <c r="BG3023" s="76"/>
      <c r="BH3023" s="76"/>
      <c r="BI3023" s="76"/>
      <c r="BJ3023" s="76"/>
      <c r="BK3023" s="76"/>
      <c r="BL3023" s="76">
        <f>+BK3023*31500</f>
        <v>0</v>
      </c>
      <c r="BM3023" s="76"/>
      <c r="BN3023" s="76"/>
      <c r="BO3023" s="76"/>
      <c r="BP3023" s="76"/>
      <c r="BQ3023" s="76"/>
      <c r="BR3023" s="76"/>
      <c r="BS3023" s="76"/>
      <c r="BT3023" s="76"/>
      <c r="BU3023" s="76"/>
      <c r="BV3023" s="76"/>
      <c r="BW3023" s="76"/>
      <c r="BX3023" s="76"/>
      <c r="BY3023" s="76"/>
      <c r="BZ3023" s="76"/>
      <c r="CA3023" s="76"/>
      <c r="CB3023" s="76"/>
      <c r="CC3023" s="76"/>
      <c r="CD3023" s="76"/>
      <c r="CE3023" s="76"/>
      <c r="CF3023" s="76">
        <f>+CE3023*28000</f>
        <v>0</v>
      </c>
      <c r="CG3023" s="76"/>
      <c r="CH3023" s="76">
        <f>+CG3023*22500</f>
        <v>0</v>
      </c>
      <c r="CI3023" s="76"/>
      <c r="CJ3023" s="76">
        <f>+CI3023*26000</f>
        <v>0</v>
      </c>
      <c r="CK3023" s="76"/>
      <c r="CL3023" s="76"/>
      <c r="CM3023" s="76"/>
      <c r="CN3023" s="76">
        <f>+CM3023*22000</f>
        <v>0</v>
      </c>
      <c r="CO3023" s="76"/>
      <c r="CP3023" s="76">
        <f>+CO3023*46000</f>
        <v>0</v>
      </c>
      <c r="CQ3023" s="76"/>
      <c r="CR3023" s="76">
        <f>+CQ3023*49000</f>
        <v>0</v>
      </c>
      <c r="CS3023" s="76"/>
      <c r="CT3023" s="76"/>
      <c r="CU3023" s="56">
        <f>AN3023+AP3023+AR3023+AT3023+AV3023+AX3023+AZ3023+BB3023+BD3023+BF3023+BH3023+BJ3023+BL3023+BN3023+BP3023+BR3023+BT3023+BV3023+BX3023+BZ3023+CB3023+CD3023+CF3023+CH3023+CJ3023+CL3023+CN3023+CP3023+CR3023+CT3023</f>
        <v>0</v>
      </c>
      <c r="CV3023" s="76"/>
      <c r="CW3023" s="76">
        <f>+CV3023*1100</f>
        <v>0</v>
      </c>
      <c r="CX3023" s="76"/>
      <c r="CY3023" s="76">
        <f>+CX3023*106250</f>
        <v>0</v>
      </c>
      <c r="CZ3023" s="76"/>
      <c r="DA3023" s="76">
        <f>+CZ3023*34500</f>
        <v>0</v>
      </c>
      <c r="DB3023" s="76"/>
      <c r="DC3023" s="76">
        <f>+DB3023*25000</f>
        <v>0</v>
      </c>
      <c r="DD3023" s="219"/>
      <c r="DE3023" s="219"/>
      <c r="DF3023" s="166"/>
      <c r="DG3023" s="116"/>
      <c r="DH3023" s="117"/>
      <c r="DI3023" s="24"/>
      <c r="DJ3023" s="24"/>
      <c r="DK3023" s="24"/>
      <c r="DL3023" s="24"/>
      <c r="DM3023" s="24"/>
      <c r="DN3023" s="24"/>
      <c r="DO3023" s="24"/>
      <c r="DP3023" s="24"/>
      <c r="DQ3023" s="24"/>
      <c r="DR3023" s="24"/>
      <c r="DS3023" s="24"/>
      <c r="DT3023" s="24"/>
      <c r="DU3023" s="24"/>
    </row>
    <row r="3024" spans="1:125" s="8" customFormat="1" ht="36" x14ac:dyDescent="0.2">
      <c r="A3024" s="353">
        <v>41531</v>
      </c>
      <c r="B3024" s="352" t="s">
        <v>2847</v>
      </c>
      <c r="C3024" s="354" t="s">
        <v>2136</v>
      </c>
      <c r="D3024" s="354" t="s">
        <v>3088</v>
      </c>
      <c r="E3024" s="296" t="str">
        <f>VLOOKUP(B3024&amp;C3024,Divipola!$C$2:$F$1138,4,FALSE)</f>
        <v>68689</v>
      </c>
      <c r="F3024" s="87"/>
      <c r="G3024" s="87"/>
      <c r="H3024" s="87"/>
      <c r="I3024" s="87"/>
      <c r="J3024" s="87"/>
      <c r="K3024" s="87"/>
      <c r="L3024" s="87"/>
      <c r="M3024" s="87">
        <v>1</v>
      </c>
      <c r="N3024" s="87"/>
      <c r="O3024" s="87"/>
      <c r="P3024" s="87"/>
      <c r="Q3024" s="87"/>
      <c r="R3024" s="87"/>
      <c r="S3024" s="87"/>
      <c r="T3024" s="87"/>
      <c r="U3024" s="88"/>
      <c r="V3024" s="89"/>
      <c r="W3024" s="96">
        <v>0</v>
      </c>
      <c r="X3024" s="71">
        <f>CU3024</f>
        <v>0</v>
      </c>
      <c r="Y3024" s="71">
        <f>CY3024</f>
        <v>0</v>
      </c>
      <c r="Z3024" s="71">
        <f>DA3024+DC3024+DE3024</f>
        <v>0</v>
      </c>
      <c r="AA3024" s="71">
        <f>CW3024</f>
        <v>0</v>
      </c>
      <c r="AB3024" s="71"/>
      <c r="AC3024" s="71">
        <v>0</v>
      </c>
      <c r="AD3024" s="71">
        <f>W3024+X3024+Y3024+Z3024+AA3024+AB3024+AC3024</f>
        <v>0</v>
      </c>
      <c r="AE3024" s="72">
        <v>0</v>
      </c>
      <c r="AF3024" s="5"/>
      <c r="AG3024" s="6"/>
      <c r="AH3024" s="27"/>
      <c r="AI3024" s="44"/>
      <c r="AJ3024" s="26"/>
      <c r="AK3024" s="5"/>
      <c r="AL3024" s="274" t="s">
        <v>5916</v>
      </c>
      <c r="AM3024" s="76"/>
      <c r="AN3024" s="76"/>
      <c r="AO3024" s="76"/>
      <c r="AP3024" s="76"/>
      <c r="AQ3024" s="76"/>
      <c r="AR3024" s="76"/>
      <c r="AS3024" s="76"/>
      <c r="AT3024" s="76"/>
      <c r="AU3024" s="76"/>
      <c r="AV3024" s="76"/>
      <c r="AW3024" s="76"/>
      <c r="AX3024" s="76">
        <f>+AW3024*600000</f>
        <v>0</v>
      </c>
      <c r="AY3024" s="76"/>
      <c r="AZ3024" s="76">
        <f>+AY3024*70000</f>
        <v>0</v>
      </c>
      <c r="BA3024" s="76"/>
      <c r="BB3024" s="76"/>
      <c r="BC3024" s="76"/>
      <c r="BD3024" s="76">
        <f>+BC3024*30000</f>
        <v>0</v>
      </c>
      <c r="BE3024" s="76"/>
      <c r="BF3024" s="76"/>
      <c r="BG3024" s="76"/>
      <c r="BH3024" s="76"/>
      <c r="BI3024" s="76"/>
      <c r="BJ3024" s="76"/>
      <c r="BK3024" s="76"/>
      <c r="BL3024" s="76">
        <f>+BK3024*31500</f>
        <v>0</v>
      </c>
      <c r="BM3024" s="76"/>
      <c r="BN3024" s="76"/>
      <c r="BO3024" s="76"/>
      <c r="BP3024" s="76"/>
      <c r="BQ3024" s="76"/>
      <c r="BR3024" s="76"/>
      <c r="BS3024" s="76"/>
      <c r="BT3024" s="76"/>
      <c r="BU3024" s="76"/>
      <c r="BV3024" s="76"/>
      <c r="BW3024" s="76"/>
      <c r="BX3024" s="76"/>
      <c r="BY3024" s="76"/>
      <c r="BZ3024" s="76"/>
      <c r="CA3024" s="76"/>
      <c r="CB3024" s="76"/>
      <c r="CC3024" s="76"/>
      <c r="CD3024" s="76"/>
      <c r="CE3024" s="76"/>
      <c r="CF3024" s="76">
        <f>+CE3024*28000</f>
        <v>0</v>
      </c>
      <c r="CG3024" s="76"/>
      <c r="CH3024" s="76">
        <f>+CG3024*22500</f>
        <v>0</v>
      </c>
      <c r="CI3024" s="76"/>
      <c r="CJ3024" s="76">
        <f>+CI3024*26000</f>
        <v>0</v>
      </c>
      <c r="CK3024" s="76"/>
      <c r="CL3024" s="76"/>
      <c r="CM3024" s="76"/>
      <c r="CN3024" s="76">
        <f>+CM3024*22000</f>
        <v>0</v>
      </c>
      <c r="CO3024" s="76"/>
      <c r="CP3024" s="76">
        <f>+CO3024*46000</f>
        <v>0</v>
      </c>
      <c r="CQ3024" s="76"/>
      <c r="CR3024" s="76">
        <f>+CQ3024*49000</f>
        <v>0</v>
      </c>
      <c r="CS3024" s="76"/>
      <c r="CT3024" s="76"/>
      <c r="CU3024" s="56">
        <f>AN3024+AP3024+AR3024+AT3024+AV3024+AX3024+AZ3024+BB3024+BD3024+BF3024+BH3024+BJ3024+BL3024+BN3024+BP3024+BR3024+BT3024+BV3024+BX3024+BZ3024+CB3024+CD3024+CF3024+CH3024+CJ3024+CL3024+CN3024+CP3024+CR3024+CT3024</f>
        <v>0</v>
      </c>
      <c r="CV3024" s="76"/>
      <c r="CW3024" s="76">
        <f>+CV3024*1100</f>
        <v>0</v>
      </c>
      <c r="CX3024" s="76"/>
      <c r="CY3024" s="76">
        <f>+CX3024*106250</f>
        <v>0</v>
      </c>
      <c r="CZ3024" s="76"/>
      <c r="DA3024" s="76">
        <f>+CZ3024*34500</f>
        <v>0</v>
      </c>
      <c r="DB3024" s="76"/>
      <c r="DC3024" s="76">
        <f>+DB3024*25000</f>
        <v>0</v>
      </c>
      <c r="DD3024" s="219"/>
      <c r="DE3024" s="219"/>
      <c r="DF3024" s="166"/>
      <c r="DG3024" s="116"/>
      <c r="DH3024" s="117"/>
      <c r="DI3024" s="24"/>
      <c r="DJ3024" s="24"/>
      <c r="DK3024" s="24"/>
      <c r="DL3024" s="24"/>
      <c r="DM3024" s="24"/>
      <c r="DN3024" s="24"/>
      <c r="DO3024" s="24"/>
      <c r="DP3024" s="24"/>
      <c r="DQ3024" s="24"/>
      <c r="DR3024" s="24"/>
      <c r="DS3024" s="24"/>
      <c r="DT3024" s="24"/>
      <c r="DU3024" s="24"/>
    </row>
    <row r="3025" spans="1:125" s="8" customFormat="1" ht="72" x14ac:dyDescent="0.2">
      <c r="A3025" s="353">
        <v>41531</v>
      </c>
      <c r="B3025" s="352" t="s">
        <v>2848</v>
      </c>
      <c r="C3025" s="354" t="s">
        <v>1684</v>
      </c>
      <c r="D3025" s="354" t="s">
        <v>2846</v>
      </c>
      <c r="E3025" s="296" t="str">
        <f>VLOOKUP(B3025&amp;C3025,Divipola!$C$2:$F$1138,4,FALSE)</f>
        <v>73055</v>
      </c>
      <c r="F3025" s="87"/>
      <c r="G3025" s="87"/>
      <c r="H3025" s="87"/>
      <c r="I3025" s="87"/>
      <c r="J3025" s="87"/>
      <c r="K3025" s="87"/>
      <c r="L3025" s="87"/>
      <c r="M3025" s="87"/>
      <c r="N3025" s="87"/>
      <c r="O3025" s="87"/>
      <c r="P3025" s="87"/>
      <c r="Q3025" s="87"/>
      <c r="R3025" s="87"/>
      <c r="S3025" s="87"/>
      <c r="T3025" s="87"/>
      <c r="U3025" s="88">
        <v>4</v>
      </c>
      <c r="V3025" s="89"/>
      <c r="W3025" s="96">
        <v>0</v>
      </c>
      <c r="X3025" s="71">
        <f>CU3025</f>
        <v>0</v>
      </c>
      <c r="Y3025" s="71">
        <f>CY3025</f>
        <v>0</v>
      </c>
      <c r="Z3025" s="71">
        <f>DA3025+DC3025+DE3025</f>
        <v>0</v>
      </c>
      <c r="AA3025" s="71">
        <f>CW3025</f>
        <v>0</v>
      </c>
      <c r="AB3025" s="71"/>
      <c r="AC3025" s="71">
        <v>0</v>
      </c>
      <c r="AD3025" s="71">
        <f>W3025+X3025+Y3025+Z3025+AA3025+AB3025+AC3025</f>
        <v>0</v>
      </c>
      <c r="AE3025" s="72">
        <v>0</v>
      </c>
      <c r="AF3025" s="5"/>
      <c r="AG3025" s="6"/>
      <c r="AH3025" s="27"/>
      <c r="AI3025" s="44"/>
      <c r="AJ3025" s="26"/>
      <c r="AK3025" s="5"/>
      <c r="AL3025" s="274" t="s">
        <v>5921</v>
      </c>
      <c r="AM3025" s="76"/>
      <c r="AN3025" s="76"/>
      <c r="AO3025" s="76"/>
      <c r="AP3025" s="76"/>
      <c r="AQ3025" s="76"/>
      <c r="AR3025" s="76"/>
      <c r="AS3025" s="76"/>
      <c r="AT3025" s="76"/>
      <c r="AU3025" s="76"/>
      <c r="AV3025" s="76"/>
      <c r="AW3025" s="76"/>
      <c r="AX3025" s="76">
        <f>+AW3025*600000</f>
        <v>0</v>
      </c>
      <c r="AY3025" s="76"/>
      <c r="AZ3025" s="76">
        <f>+AY3025*70000</f>
        <v>0</v>
      </c>
      <c r="BA3025" s="76"/>
      <c r="BB3025" s="76"/>
      <c r="BC3025" s="76"/>
      <c r="BD3025" s="76">
        <f>+BC3025*30000</f>
        <v>0</v>
      </c>
      <c r="BE3025" s="76"/>
      <c r="BF3025" s="76"/>
      <c r="BG3025" s="76"/>
      <c r="BH3025" s="76"/>
      <c r="BI3025" s="76"/>
      <c r="BJ3025" s="76"/>
      <c r="BK3025" s="76"/>
      <c r="BL3025" s="76">
        <f>+BK3025*31500</f>
        <v>0</v>
      </c>
      <c r="BM3025" s="76"/>
      <c r="BN3025" s="76"/>
      <c r="BO3025" s="76"/>
      <c r="BP3025" s="76"/>
      <c r="BQ3025" s="76"/>
      <c r="BR3025" s="76"/>
      <c r="BS3025" s="76"/>
      <c r="BT3025" s="76"/>
      <c r="BU3025" s="76"/>
      <c r="BV3025" s="76"/>
      <c r="BW3025" s="76"/>
      <c r="BX3025" s="76"/>
      <c r="BY3025" s="76"/>
      <c r="BZ3025" s="76"/>
      <c r="CA3025" s="76"/>
      <c r="CB3025" s="76"/>
      <c r="CC3025" s="76"/>
      <c r="CD3025" s="76"/>
      <c r="CE3025" s="76"/>
      <c r="CF3025" s="76">
        <f>+CE3025*28000</f>
        <v>0</v>
      </c>
      <c r="CG3025" s="76"/>
      <c r="CH3025" s="76">
        <f>+CG3025*22500</f>
        <v>0</v>
      </c>
      <c r="CI3025" s="76"/>
      <c r="CJ3025" s="76">
        <f>+CI3025*26000</f>
        <v>0</v>
      </c>
      <c r="CK3025" s="76"/>
      <c r="CL3025" s="76"/>
      <c r="CM3025" s="76"/>
      <c r="CN3025" s="76">
        <f>+CM3025*22000</f>
        <v>0</v>
      </c>
      <c r="CO3025" s="76"/>
      <c r="CP3025" s="76">
        <f>+CO3025*46000</f>
        <v>0</v>
      </c>
      <c r="CQ3025" s="76"/>
      <c r="CR3025" s="76">
        <f>+CQ3025*49000</f>
        <v>0</v>
      </c>
      <c r="CS3025" s="76"/>
      <c r="CT3025" s="76"/>
      <c r="CU3025" s="56">
        <f>AN3025+AP3025+AR3025+AT3025+AV3025+AX3025+AZ3025+BB3025+BD3025+BF3025+BH3025+BJ3025+BL3025+BN3025+BP3025+BR3025+BT3025+BV3025+BX3025+BZ3025+CB3025+CD3025+CF3025+CH3025+CJ3025+CL3025+CN3025+CP3025+CR3025+CT3025</f>
        <v>0</v>
      </c>
      <c r="CV3025" s="76"/>
      <c r="CW3025" s="76">
        <f>+CV3025*1100</f>
        <v>0</v>
      </c>
      <c r="CX3025" s="76"/>
      <c r="CY3025" s="76">
        <f>+CX3025*106250</f>
        <v>0</v>
      </c>
      <c r="CZ3025" s="76"/>
      <c r="DA3025" s="76">
        <f>+CZ3025*34500</f>
        <v>0</v>
      </c>
      <c r="DB3025" s="76"/>
      <c r="DC3025" s="76">
        <f>+DB3025*25000</f>
        <v>0</v>
      </c>
      <c r="DD3025" s="219"/>
      <c r="DE3025" s="219"/>
      <c r="DF3025" s="166"/>
      <c r="DG3025" s="116"/>
      <c r="DH3025" s="117"/>
      <c r="DI3025" s="24"/>
      <c r="DJ3025" s="24"/>
      <c r="DK3025" s="24"/>
      <c r="DL3025" s="24"/>
      <c r="DM3025" s="24"/>
      <c r="DN3025" s="24"/>
      <c r="DO3025" s="24"/>
      <c r="DP3025" s="24"/>
      <c r="DQ3025" s="24"/>
      <c r="DR3025" s="24"/>
      <c r="DS3025" s="24"/>
      <c r="DT3025" s="24"/>
      <c r="DU3025" s="24"/>
    </row>
    <row r="3026" spans="1:125" s="8" customFormat="1" ht="72" x14ac:dyDescent="0.2">
      <c r="A3026" s="353">
        <v>41532</v>
      </c>
      <c r="B3026" s="352" t="s">
        <v>2881</v>
      </c>
      <c r="C3026" s="354" t="s">
        <v>1404</v>
      </c>
      <c r="D3026" s="354" t="s">
        <v>3051</v>
      </c>
      <c r="E3026" s="296" t="str">
        <f>VLOOKUP(B3026&amp;C3026,Divipola!$C$2:$F$1138,4,FALSE)</f>
        <v>08296</v>
      </c>
      <c r="F3026" s="87"/>
      <c r="G3026" s="87"/>
      <c r="H3026" s="87"/>
      <c r="I3026" s="87">
        <v>100</v>
      </c>
      <c r="J3026" s="87">
        <v>20</v>
      </c>
      <c r="K3026" s="87"/>
      <c r="L3026" s="87">
        <v>20</v>
      </c>
      <c r="M3026" s="87"/>
      <c r="N3026" s="87"/>
      <c r="O3026" s="87"/>
      <c r="P3026" s="87"/>
      <c r="Q3026" s="87"/>
      <c r="R3026" s="87"/>
      <c r="S3026" s="87"/>
      <c r="T3026" s="87"/>
      <c r="U3026" s="88"/>
      <c r="V3026" s="89"/>
      <c r="W3026" s="96">
        <v>0</v>
      </c>
      <c r="X3026" s="71">
        <f>CU3026</f>
        <v>0</v>
      </c>
      <c r="Y3026" s="71">
        <f>CY3026</f>
        <v>0</v>
      </c>
      <c r="Z3026" s="71">
        <f>DA3026+DC3026+DE3026</f>
        <v>0</v>
      </c>
      <c r="AA3026" s="71">
        <f>CW3026</f>
        <v>0</v>
      </c>
      <c r="AB3026" s="71"/>
      <c r="AC3026" s="71">
        <v>0</v>
      </c>
      <c r="AD3026" s="71">
        <f>W3026+X3026+Y3026+Z3026+AA3026+AB3026+AC3026</f>
        <v>0</v>
      </c>
      <c r="AE3026" s="72">
        <v>0</v>
      </c>
      <c r="AF3026" s="5"/>
      <c r="AG3026" s="6"/>
      <c r="AH3026" s="27"/>
      <c r="AI3026" s="44"/>
      <c r="AJ3026" s="26"/>
      <c r="AK3026" s="5"/>
      <c r="AL3026" s="82" t="s">
        <v>5925</v>
      </c>
      <c r="AM3026" s="76"/>
      <c r="AN3026" s="76"/>
      <c r="AO3026" s="76"/>
      <c r="AP3026" s="76"/>
      <c r="AQ3026" s="76"/>
      <c r="AR3026" s="76"/>
      <c r="AS3026" s="76"/>
      <c r="AT3026" s="76"/>
      <c r="AU3026" s="76"/>
      <c r="AV3026" s="76"/>
      <c r="AW3026" s="76"/>
      <c r="AX3026" s="76">
        <f>+AW3026*600000</f>
        <v>0</v>
      </c>
      <c r="AY3026" s="76"/>
      <c r="AZ3026" s="76">
        <f>+AY3026*70000</f>
        <v>0</v>
      </c>
      <c r="BA3026" s="76"/>
      <c r="BB3026" s="76"/>
      <c r="BC3026" s="76"/>
      <c r="BD3026" s="76">
        <f>+BC3026*30000</f>
        <v>0</v>
      </c>
      <c r="BE3026" s="76"/>
      <c r="BF3026" s="76"/>
      <c r="BG3026" s="76"/>
      <c r="BH3026" s="76"/>
      <c r="BI3026" s="76"/>
      <c r="BJ3026" s="76"/>
      <c r="BK3026" s="76"/>
      <c r="BL3026" s="76">
        <f>+BK3026*31500</f>
        <v>0</v>
      </c>
      <c r="BM3026" s="76"/>
      <c r="BN3026" s="76"/>
      <c r="BO3026" s="76"/>
      <c r="BP3026" s="76"/>
      <c r="BQ3026" s="76"/>
      <c r="BR3026" s="76"/>
      <c r="BS3026" s="76"/>
      <c r="BT3026" s="76"/>
      <c r="BU3026" s="76"/>
      <c r="BV3026" s="76"/>
      <c r="BW3026" s="76"/>
      <c r="BX3026" s="76"/>
      <c r="BY3026" s="76"/>
      <c r="BZ3026" s="76"/>
      <c r="CA3026" s="76"/>
      <c r="CB3026" s="76"/>
      <c r="CC3026" s="76"/>
      <c r="CD3026" s="76"/>
      <c r="CE3026" s="76"/>
      <c r="CF3026" s="76">
        <f>+CE3026*28000</f>
        <v>0</v>
      </c>
      <c r="CG3026" s="76"/>
      <c r="CH3026" s="76">
        <f>+CG3026*22500</f>
        <v>0</v>
      </c>
      <c r="CI3026" s="76"/>
      <c r="CJ3026" s="76">
        <f>+CI3026*26000</f>
        <v>0</v>
      </c>
      <c r="CK3026" s="76"/>
      <c r="CL3026" s="76"/>
      <c r="CM3026" s="76"/>
      <c r="CN3026" s="76">
        <f>+CM3026*22000</f>
        <v>0</v>
      </c>
      <c r="CO3026" s="76"/>
      <c r="CP3026" s="76">
        <f>+CO3026*46000</f>
        <v>0</v>
      </c>
      <c r="CQ3026" s="76"/>
      <c r="CR3026" s="76">
        <f>+CQ3026*49000</f>
        <v>0</v>
      </c>
      <c r="CS3026" s="76"/>
      <c r="CT3026" s="76"/>
      <c r="CU3026" s="56">
        <f>AN3026+AP3026+AR3026+AT3026+AV3026+AX3026+AZ3026+BB3026+BD3026+BF3026+BH3026+BJ3026+BL3026+BN3026+BP3026+BR3026+BT3026+BV3026+BX3026+BZ3026+CB3026+CD3026+CF3026+CH3026+CJ3026+CL3026+CN3026+CP3026+CR3026+CT3026</f>
        <v>0</v>
      </c>
      <c r="CV3026" s="76"/>
      <c r="CW3026" s="76">
        <f>+CV3026*1100</f>
        <v>0</v>
      </c>
      <c r="CX3026" s="76"/>
      <c r="CY3026" s="76">
        <f>+CX3026*106250</f>
        <v>0</v>
      </c>
      <c r="CZ3026" s="76"/>
      <c r="DA3026" s="76">
        <f>+CZ3026*34500</f>
        <v>0</v>
      </c>
      <c r="DB3026" s="76"/>
      <c r="DC3026" s="76">
        <f>+DB3026*25000</f>
        <v>0</v>
      </c>
      <c r="DD3026" s="219"/>
      <c r="DE3026" s="219"/>
      <c r="DF3026" s="166"/>
      <c r="DG3026" s="116"/>
      <c r="DH3026" s="117"/>
      <c r="DI3026" s="24"/>
      <c r="DJ3026" s="24"/>
      <c r="DK3026" s="24"/>
      <c r="DL3026" s="24"/>
      <c r="DM3026" s="24"/>
      <c r="DN3026" s="24"/>
      <c r="DO3026" s="24"/>
      <c r="DP3026" s="24"/>
      <c r="DQ3026" s="24"/>
      <c r="DR3026" s="24"/>
      <c r="DS3026" s="24"/>
      <c r="DT3026" s="24"/>
      <c r="DU3026" s="24"/>
    </row>
    <row r="3027" spans="1:125" s="8" customFormat="1" ht="72" x14ac:dyDescent="0.2">
      <c r="A3027" s="77">
        <v>41532</v>
      </c>
      <c r="B3027" s="78" t="s">
        <v>2700</v>
      </c>
      <c r="C3027" s="75" t="s">
        <v>2163</v>
      </c>
      <c r="D3027" s="75" t="s">
        <v>2882</v>
      </c>
      <c r="E3027" s="75" t="str">
        <f>VLOOKUP(B3027&amp;C3027,Divipola!$C$2:$F$1138,4,FALSE)</f>
        <v>15106</v>
      </c>
      <c r="F3027" s="61"/>
      <c r="G3027" s="61"/>
      <c r="H3027" s="61"/>
      <c r="I3027" s="61">
        <v>750</v>
      </c>
      <c r="J3027" s="61">
        <v>150</v>
      </c>
      <c r="K3027" s="61"/>
      <c r="L3027" s="61">
        <v>150</v>
      </c>
      <c r="M3027" s="61"/>
      <c r="N3027" s="61"/>
      <c r="O3027" s="61"/>
      <c r="P3027" s="61"/>
      <c r="Q3027" s="61"/>
      <c r="R3027" s="61"/>
      <c r="S3027" s="61"/>
      <c r="T3027" s="61"/>
      <c r="U3027" s="61"/>
      <c r="V3027" s="7"/>
      <c r="W3027" s="96">
        <v>0</v>
      </c>
      <c r="X3027" s="71">
        <f>CU3027</f>
        <v>3332000</v>
      </c>
      <c r="Y3027" s="71">
        <f>CY3027</f>
        <v>7177400</v>
      </c>
      <c r="Z3027" s="71">
        <f>DA3027+DC3027+DE3027</f>
        <v>65600000</v>
      </c>
      <c r="AA3027" s="71">
        <f>CW3027</f>
        <v>0</v>
      </c>
      <c r="AB3027" s="71"/>
      <c r="AC3027" s="71">
        <v>0</v>
      </c>
      <c r="AD3027" s="71">
        <f>W3027+X3027+Y3027+Z3027+AA3027+AB3027+AC3027</f>
        <v>76109400</v>
      </c>
      <c r="AE3027" s="72">
        <v>0</v>
      </c>
      <c r="AF3027" s="5"/>
      <c r="AG3027" s="6"/>
      <c r="AH3027" s="27"/>
      <c r="AI3027" s="44"/>
      <c r="AJ3027" s="26"/>
      <c r="AK3027" s="5"/>
      <c r="AL3027" s="9" t="s">
        <v>6317</v>
      </c>
      <c r="AM3027" s="76"/>
      <c r="AN3027" s="76"/>
      <c r="AO3027" s="76"/>
      <c r="AP3027" s="76"/>
      <c r="AQ3027" s="76"/>
      <c r="AR3027" s="76"/>
      <c r="AS3027" s="76"/>
      <c r="AT3027" s="76"/>
      <c r="AU3027" s="76"/>
      <c r="AV3027" s="76"/>
      <c r="AW3027" s="76"/>
      <c r="AX3027" s="76">
        <f>+AW3027*600000</f>
        <v>0</v>
      </c>
      <c r="AY3027" s="76"/>
      <c r="AZ3027" s="76">
        <f>+AY3027*70000</f>
        <v>0</v>
      </c>
      <c r="BA3027" s="76"/>
      <c r="BB3027" s="76"/>
      <c r="BC3027" s="76"/>
      <c r="BD3027" s="76">
        <f>+BC3027*30000</f>
        <v>0</v>
      </c>
      <c r="BE3027" s="76"/>
      <c r="BF3027" s="76"/>
      <c r="BG3027" s="76"/>
      <c r="BH3027" s="76"/>
      <c r="BI3027" s="76"/>
      <c r="BJ3027" s="76"/>
      <c r="BK3027" s="76"/>
      <c r="BL3027" s="76">
        <f>+BK3027*31500</f>
        <v>0</v>
      </c>
      <c r="BM3027" s="76"/>
      <c r="BN3027" s="76"/>
      <c r="BO3027" s="76"/>
      <c r="BP3027" s="76"/>
      <c r="BQ3027" s="76"/>
      <c r="BR3027" s="76"/>
      <c r="BS3027" s="76"/>
      <c r="BT3027" s="76"/>
      <c r="BU3027" s="76"/>
      <c r="BV3027" s="76"/>
      <c r="BW3027" s="76"/>
      <c r="BX3027" s="76"/>
      <c r="BY3027" s="76"/>
      <c r="BZ3027" s="76"/>
      <c r="CA3027" s="76"/>
      <c r="CB3027" s="76"/>
      <c r="CC3027" s="76"/>
      <c r="CD3027" s="76"/>
      <c r="CE3027" s="76"/>
      <c r="CF3027" s="76">
        <f>+CE3027*28000</f>
        <v>0</v>
      </c>
      <c r="CG3027" s="76"/>
      <c r="CH3027" s="76">
        <f>+CG3027*22500</f>
        <v>0</v>
      </c>
      <c r="CI3027" s="76"/>
      <c r="CJ3027" s="76">
        <f>+CI3027*26000</f>
        <v>0</v>
      </c>
      <c r="CK3027" s="76"/>
      <c r="CL3027" s="76"/>
      <c r="CM3027" s="76"/>
      <c r="CN3027" s="76">
        <f>+CM3027*22000</f>
        <v>0</v>
      </c>
      <c r="CO3027" s="76"/>
      <c r="CP3027" s="76">
        <f>+CO3027*46000</f>
        <v>0</v>
      </c>
      <c r="CQ3027" s="86">
        <v>68</v>
      </c>
      <c r="CR3027" s="86">
        <f>+CQ3027*49000</f>
        <v>3332000</v>
      </c>
      <c r="CS3027" s="76"/>
      <c r="CT3027" s="76"/>
      <c r="CU3027" s="56">
        <f>AN3027+AP3027+AR3027+AT3027+AV3027+AX3027+AZ3027+BB3027+BD3027+BF3027+BH3027+BJ3027+BL3027+BN3027+BP3027+BR3027+BT3027+BV3027+BX3027+BZ3027+CB3027+CD3027+CF3027+CH3027+CJ3027+CL3027+CN3027+CP3027+CR3027+CT3027</f>
        <v>3332000</v>
      </c>
      <c r="CV3027" s="76"/>
      <c r="CW3027" s="76">
        <f>+CV3027*1100</f>
        <v>0</v>
      </c>
      <c r="CX3027" s="86">
        <v>68</v>
      </c>
      <c r="CY3027" s="86">
        <f>+CX3027*105550</f>
        <v>7177400</v>
      </c>
      <c r="CZ3027" s="76"/>
      <c r="DA3027" s="76">
        <f>+CZ3027*34500</f>
        <v>0</v>
      </c>
      <c r="DB3027" s="86">
        <v>2000</v>
      </c>
      <c r="DC3027" s="86">
        <f>+DB3027*32000+8000*200</f>
        <v>65600000</v>
      </c>
      <c r="DD3027" s="219"/>
      <c r="DE3027" s="219"/>
      <c r="DF3027" s="166"/>
      <c r="DG3027" s="134" t="s">
        <v>6924</v>
      </c>
      <c r="DH3027" s="117"/>
      <c r="DI3027" s="24"/>
      <c r="DJ3027" s="24"/>
      <c r="DK3027" s="24"/>
      <c r="DL3027" s="24"/>
      <c r="DM3027" s="24"/>
      <c r="DN3027" s="24"/>
      <c r="DO3027" s="24"/>
      <c r="DP3027" s="24"/>
      <c r="DQ3027" s="24"/>
      <c r="DR3027" s="24"/>
      <c r="DS3027" s="24"/>
      <c r="DT3027" s="24"/>
      <c r="DU3027" s="24"/>
    </row>
    <row r="3028" spans="1:125" s="8" customFormat="1" ht="84" x14ac:dyDescent="0.2">
      <c r="A3028" s="77">
        <v>41532</v>
      </c>
      <c r="B3028" s="352" t="s">
        <v>2700</v>
      </c>
      <c r="C3028" s="354" t="s">
        <v>10</v>
      </c>
      <c r="D3028" s="354" t="s">
        <v>2882</v>
      </c>
      <c r="E3028" s="296" t="str">
        <f>VLOOKUP(B3028&amp;C3028,Divipola!$C$2:$F$1138,4,FALSE)</f>
        <v>15212</v>
      </c>
      <c r="F3028" s="87"/>
      <c r="G3028" s="87"/>
      <c r="H3028" s="87"/>
      <c r="I3028" s="87"/>
      <c r="J3028" s="87"/>
      <c r="K3028" s="87"/>
      <c r="L3028" s="87"/>
      <c r="M3028" s="87"/>
      <c r="N3028" s="87"/>
      <c r="O3028" s="87"/>
      <c r="P3028" s="87"/>
      <c r="Q3028" s="87"/>
      <c r="R3028" s="87"/>
      <c r="S3028" s="87"/>
      <c r="T3028" s="87"/>
      <c r="U3028" s="88"/>
      <c r="V3028" s="89"/>
      <c r="W3028" s="96">
        <v>0</v>
      </c>
      <c r="X3028" s="71">
        <f>CU3028</f>
        <v>4214000</v>
      </c>
      <c r="Y3028" s="71">
        <f>CY3028</f>
        <v>9077300</v>
      </c>
      <c r="Z3028" s="71">
        <f>DA3028+DC3028+DE3028</f>
        <v>30668000</v>
      </c>
      <c r="AA3028" s="71">
        <f>CW3028</f>
        <v>0</v>
      </c>
      <c r="AB3028" s="71"/>
      <c r="AC3028" s="71">
        <v>0</v>
      </c>
      <c r="AD3028" s="71">
        <f>W3028+X3028+Y3028+Z3028+AA3028+AB3028+AC3028</f>
        <v>43959300</v>
      </c>
      <c r="AE3028" s="72">
        <v>0</v>
      </c>
      <c r="AF3028" s="5"/>
      <c r="AG3028" s="6"/>
      <c r="AH3028" s="27"/>
      <c r="AI3028" s="44"/>
      <c r="AJ3028" s="26"/>
      <c r="AK3028" s="5"/>
      <c r="AL3028" s="268" t="s">
        <v>6316</v>
      </c>
      <c r="AM3028" s="76"/>
      <c r="AN3028" s="76"/>
      <c r="AO3028" s="76"/>
      <c r="AP3028" s="76"/>
      <c r="AQ3028" s="76"/>
      <c r="AR3028" s="76"/>
      <c r="AS3028" s="76"/>
      <c r="AT3028" s="76"/>
      <c r="AU3028" s="76"/>
      <c r="AV3028" s="76"/>
      <c r="AW3028" s="76"/>
      <c r="AX3028" s="76">
        <f>+AW3028*600000</f>
        <v>0</v>
      </c>
      <c r="AY3028" s="76"/>
      <c r="AZ3028" s="76">
        <f>+AY3028*70000</f>
        <v>0</v>
      </c>
      <c r="BA3028" s="76"/>
      <c r="BB3028" s="76"/>
      <c r="BC3028" s="76"/>
      <c r="BD3028" s="76">
        <f>+BC3028*30000</f>
        <v>0</v>
      </c>
      <c r="BE3028" s="76"/>
      <c r="BF3028" s="76"/>
      <c r="BG3028" s="76"/>
      <c r="BH3028" s="76"/>
      <c r="BI3028" s="76"/>
      <c r="BJ3028" s="76"/>
      <c r="BK3028" s="76"/>
      <c r="BL3028" s="76">
        <f>+BK3028*31500</f>
        <v>0</v>
      </c>
      <c r="BM3028" s="76"/>
      <c r="BN3028" s="76"/>
      <c r="BO3028" s="76"/>
      <c r="BP3028" s="76"/>
      <c r="BQ3028" s="76"/>
      <c r="BR3028" s="76"/>
      <c r="BS3028" s="76"/>
      <c r="BT3028" s="76"/>
      <c r="BU3028" s="76"/>
      <c r="BV3028" s="76"/>
      <c r="BW3028" s="76"/>
      <c r="BX3028" s="76"/>
      <c r="BY3028" s="76"/>
      <c r="BZ3028" s="76"/>
      <c r="CA3028" s="76"/>
      <c r="CB3028" s="76"/>
      <c r="CC3028" s="76"/>
      <c r="CD3028" s="76"/>
      <c r="CE3028" s="76"/>
      <c r="CF3028" s="76">
        <f>+CE3028*28000</f>
        <v>0</v>
      </c>
      <c r="CG3028" s="76"/>
      <c r="CH3028" s="76">
        <f>+CG3028*22500</f>
        <v>0</v>
      </c>
      <c r="CI3028" s="76"/>
      <c r="CJ3028" s="76">
        <f>+CI3028*26000</f>
        <v>0</v>
      </c>
      <c r="CK3028" s="76"/>
      <c r="CL3028" s="76"/>
      <c r="CM3028" s="76"/>
      <c r="CN3028" s="76">
        <f>+CM3028*22000</f>
        <v>0</v>
      </c>
      <c r="CO3028" s="76"/>
      <c r="CP3028" s="76">
        <f>+CO3028*46000</f>
        <v>0</v>
      </c>
      <c r="CQ3028" s="86">
        <v>86</v>
      </c>
      <c r="CR3028" s="86">
        <f>+CQ3028*49000</f>
        <v>4214000</v>
      </c>
      <c r="CS3028" s="76"/>
      <c r="CT3028" s="76"/>
      <c r="CU3028" s="56">
        <f>AN3028+AP3028+AR3028+AT3028+AV3028+AX3028+AZ3028+BB3028+BD3028+BF3028+BH3028+BJ3028+BL3028+BN3028+BP3028+BR3028+BT3028+BV3028+BX3028+BZ3028+CB3028+CD3028+CF3028+CH3028+CJ3028+CL3028+CN3028+CP3028+CR3028+CT3028</f>
        <v>4214000</v>
      </c>
      <c r="CV3028" s="76"/>
      <c r="CW3028" s="76">
        <f>+CV3028*1100</f>
        <v>0</v>
      </c>
      <c r="CX3028" s="86">
        <v>86</v>
      </c>
      <c r="CY3028" s="86">
        <f>+CX3028*105550</f>
        <v>9077300</v>
      </c>
      <c r="CZ3028" s="76"/>
      <c r="DA3028" s="76">
        <f>+CZ3028*34500</f>
        <v>0</v>
      </c>
      <c r="DB3028" s="86">
        <v>935</v>
      </c>
      <c r="DC3028" s="86">
        <f>+DB3028*32000+3740*200</f>
        <v>30668000</v>
      </c>
      <c r="DD3028" s="219"/>
      <c r="DE3028" s="219"/>
      <c r="DF3028" s="166"/>
      <c r="DG3028" s="134" t="s">
        <v>6924</v>
      </c>
      <c r="DH3028" s="117"/>
      <c r="DI3028" s="24"/>
      <c r="DJ3028" s="24"/>
      <c r="DK3028" s="24"/>
      <c r="DL3028" s="24"/>
      <c r="DM3028" s="24"/>
      <c r="DN3028" s="24"/>
      <c r="DO3028" s="24"/>
      <c r="DP3028" s="24"/>
      <c r="DQ3028" s="24"/>
      <c r="DR3028" s="24"/>
      <c r="DS3028" s="24"/>
      <c r="DT3028" s="24"/>
      <c r="DU3028" s="24"/>
    </row>
    <row r="3029" spans="1:125" s="8" customFormat="1" ht="36" x14ac:dyDescent="0.2">
      <c r="A3029" s="77">
        <v>41532</v>
      </c>
      <c r="B3029" s="352" t="s">
        <v>2700</v>
      </c>
      <c r="C3029" s="354" t="s">
        <v>1357</v>
      </c>
      <c r="D3029" s="354" t="s">
        <v>2882</v>
      </c>
      <c r="E3029" s="296" t="str">
        <f>VLOOKUP(B3029&amp;C3029,Divipola!$C$2:$F$1138,4,FALSE)</f>
        <v>15442</v>
      </c>
      <c r="F3029" s="87"/>
      <c r="G3029" s="87"/>
      <c r="H3029" s="87"/>
      <c r="I3029" s="87"/>
      <c r="J3029" s="87"/>
      <c r="K3029" s="87"/>
      <c r="L3029" s="87"/>
      <c r="M3029" s="87"/>
      <c r="N3029" s="87"/>
      <c r="O3029" s="87"/>
      <c r="P3029" s="87"/>
      <c r="Q3029" s="87"/>
      <c r="R3029" s="87"/>
      <c r="S3029" s="87"/>
      <c r="T3029" s="87"/>
      <c r="U3029" s="88"/>
      <c r="V3029" s="89"/>
      <c r="W3029" s="96">
        <v>0</v>
      </c>
      <c r="X3029" s="71">
        <f>CU3029</f>
        <v>0</v>
      </c>
      <c r="Y3029" s="71">
        <f>CY3029</f>
        <v>0</v>
      </c>
      <c r="Z3029" s="71">
        <f>DA3029+DC3029+DE3029</f>
        <v>0</v>
      </c>
      <c r="AA3029" s="71">
        <f>CW3029</f>
        <v>0</v>
      </c>
      <c r="AB3029" s="71"/>
      <c r="AC3029" s="71">
        <v>0</v>
      </c>
      <c r="AD3029" s="71">
        <f>W3029+X3029+Y3029+Z3029+AA3029+AB3029+AC3029</f>
        <v>0</v>
      </c>
      <c r="AE3029" s="72">
        <v>0</v>
      </c>
      <c r="AF3029" s="5"/>
      <c r="AG3029" s="6"/>
      <c r="AH3029" s="27"/>
      <c r="AI3029" s="44"/>
      <c r="AJ3029" s="26"/>
      <c r="AK3029" s="5"/>
      <c r="AL3029" s="82" t="s">
        <v>6042</v>
      </c>
      <c r="AM3029" s="76"/>
      <c r="AN3029" s="76"/>
      <c r="AO3029" s="76"/>
      <c r="AP3029" s="76"/>
      <c r="AQ3029" s="76"/>
      <c r="AR3029" s="76"/>
      <c r="AS3029" s="76"/>
      <c r="AT3029" s="76"/>
      <c r="AU3029" s="76"/>
      <c r="AV3029" s="76"/>
      <c r="AW3029" s="76"/>
      <c r="AX3029" s="76">
        <f>+AW3029*600000</f>
        <v>0</v>
      </c>
      <c r="AY3029" s="76"/>
      <c r="AZ3029" s="76">
        <f>+AY3029*70000</f>
        <v>0</v>
      </c>
      <c r="BA3029" s="76"/>
      <c r="BB3029" s="76"/>
      <c r="BC3029" s="76"/>
      <c r="BD3029" s="76">
        <f>+BC3029*30000</f>
        <v>0</v>
      </c>
      <c r="BE3029" s="76"/>
      <c r="BF3029" s="76"/>
      <c r="BG3029" s="76"/>
      <c r="BH3029" s="76"/>
      <c r="BI3029" s="76"/>
      <c r="BJ3029" s="76"/>
      <c r="BK3029" s="76"/>
      <c r="BL3029" s="76">
        <f>+BK3029*31500</f>
        <v>0</v>
      </c>
      <c r="BM3029" s="76"/>
      <c r="BN3029" s="76"/>
      <c r="BO3029" s="76"/>
      <c r="BP3029" s="76"/>
      <c r="BQ3029" s="76"/>
      <c r="BR3029" s="76"/>
      <c r="BS3029" s="76"/>
      <c r="BT3029" s="76"/>
      <c r="BU3029" s="76"/>
      <c r="BV3029" s="76"/>
      <c r="BW3029" s="76"/>
      <c r="BX3029" s="76"/>
      <c r="BY3029" s="76"/>
      <c r="BZ3029" s="76"/>
      <c r="CA3029" s="76"/>
      <c r="CB3029" s="76"/>
      <c r="CC3029" s="76"/>
      <c r="CD3029" s="76"/>
      <c r="CE3029" s="76"/>
      <c r="CF3029" s="76">
        <f>+CE3029*28000</f>
        <v>0</v>
      </c>
      <c r="CG3029" s="76"/>
      <c r="CH3029" s="76">
        <f>+CG3029*22500</f>
        <v>0</v>
      </c>
      <c r="CI3029" s="76"/>
      <c r="CJ3029" s="76">
        <f>+CI3029*26000</f>
        <v>0</v>
      </c>
      <c r="CK3029" s="76"/>
      <c r="CL3029" s="76"/>
      <c r="CM3029" s="76"/>
      <c r="CN3029" s="76">
        <f>+CM3029*22000</f>
        <v>0</v>
      </c>
      <c r="CO3029" s="76"/>
      <c r="CP3029" s="76">
        <f>+CO3029*46000</f>
        <v>0</v>
      </c>
      <c r="CQ3029" s="76"/>
      <c r="CR3029" s="76">
        <f>+CQ3029*49000</f>
        <v>0</v>
      </c>
      <c r="CS3029" s="76"/>
      <c r="CT3029" s="76"/>
      <c r="CU3029" s="56">
        <f>AN3029+AP3029+AR3029+AT3029+AV3029+AX3029+AZ3029+BB3029+BD3029+BF3029+BH3029+BJ3029+BL3029+BN3029+BP3029+BR3029+BT3029+BV3029+BX3029+BZ3029+CB3029+CD3029+CF3029+CH3029+CJ3029+CL3029+CN3029+CP3029+CR3029+CT3029</f>
        <v>0</v>
      </c>
      <c r="CV3029" s="76"/>
      <c r="CW3029" s="76">
        <f>+CV3029*1100</f>
        <v>0</v>
      </c>
      <c r="CX3029" s="76"/>
      <c r="CY3029" s="76">
        <f>+CX3029*106250</f>
        <v>0</v>
      </c>
      <c r="CZ3029" s="76"/>
      <c r="DA3029" s="76">
        <f>+CZ3029*34500</f>
        <v>0</v>
      </c>
      <c r="DB3029" s="76"/>
      <c r="DC3029" s="76">
        <f>+DB3029*25000</f>
        <v>0</v>
      </c>
      <c r="DD3029" s="219"/>
      <c r="DE3029" s="219"/>
      <c r="DF3029" s="166"/>
      <c r="DG3029" s="116"/>
      <c r="DH3029" s="117"/>
      <c r="DI3029" s="24"/>
      <c r="DJ3029" s="24"/>
      <c r="DK3029" s="24"/>
      <c r="DL3029" s="24"/>
      <c r="DM3029" s="24"/>
      <c r="DN3029" s="24"/>
      <c r="DO3029" s="24"/>
      <c r="DP3029" s="24"/>
      <c r="DQ3029" s="24"/>
      <c r="DR3029" s="24"/>
      <c r="DS3029" s="24"/>
      <c r="DT3029" s="24"/>
      <c r="DU3029" s="24"/>
    </row>
    <row r="3030" spans="1:125" s="8" customFormat="1" ht="72" x14ac:dyDescent="0.2">
      <c r="A3030" s="353">
        <v>41532</v>
      </c>
      <c r="B3030" s="352" t="s">
        <v>2854</v>
      </c>
      <c r="C3030" s="354" t="s">
        <v>2731</v>
      </c>
      <c r="D3030" s="354" t="s">
        <v>2882</v>
      </c>
      <c r="E3030" s="296" t="str">
        <f>VLOOKUP(B3030&amp;C3030,Divipola!$C$2:$F$1138,4,FALSE)</f>
        <v>19001</v>
      </c>
      <c r="F3030" s="87"/>
      <c r="G3030" s="87"/>
      <c r="H3030" s="87"/>
      <c r="I3030" s="87">
        <v>91</v>
      </c>
      <c r="J3030" s="87">
        <v>17</v>
      </c>
      <c r="K3030" s="87"/>
      <c r="L3030" s="87">
        <v>17</v>
      </c>
      <c r="M3030" s="87"/>
      <c r="N3030" s="87"/>
      <c r="O3030" s="87"/>
      <c r="P3030" s="87"/>
      <c r="Q3030" s="87"/>
      <c r="R3030" s="87"/>
      <c r="S3030" s="87"/>
      <c r="T3030" s="87"/>
      <c r="U3030" s="88"/>
      <c r="V3030" s="89"/>
      <c r="W3030" s="96">
        <v>0</v>
      </c>
      <c r="X3030" s="71">
        <f>CU3030</f>
        <v>0</v>
      </c>
      <c r="Y3030" s="71">
        <f>CY3030</f>
        <v>0</v>
      </c>
      <c r="Z3030" s="71">
        <f>DA3030+DC3030+DE3030</f>
        <v>0</v>
      </c>
      <c r="AA3030" s="71">
        <f>CW3030</f>
        <v>0</v>
      </c>
      <c r="AB3030" s="71"/>
      <c r="AC3030" s="71">
        <v>0</v>
      </c>
      <c r="AD3030" s="71">
        <f>W3030+X3030+Y3030+Z3030+AA3030+AB3030+AC3030</f>
        <v>0</v>
      </c>
      <c r="AE3030" s="72">
        <v>0</v>
      </c>
      <c r="AF3030" s="5"/>
      <c r="AG3030" s="6"/>
      <c r="AH3030" s="27"/>
      <c r="AI3030" s="44"/>
      <c r="AJ3030" s="26"/>
      <c r="AK3030" s="5"/>
      <c r="AL3030" s="82" t="s">
        <v>5924</v>
      </c>
      <c r="AM3030" s="76"/>
      <c r="AN3030" s="76"/>
      <c r="AO3030" s="76"/>
      <c r="AP3030" s="76"/>
      <c r="AQ3030" s="76"/>
      <c r="AR3030" s="76"/>
      <c r="AS3030" s="76"/>
      <c r="AT3030" s="76"/>
      <c r="AU3030" s="76"/>
      <c r="AV3030" s="76"/>
      <c r="AW3030" s="76"/>
      <c r="AX3030" s="76">
        <f>+AW3030*600000</f>
        <v>0</v>
      </c>
      <c r="AY3030" s="76"/>
      <c r="AZ3030" s="76">
        <f>+AY3030*70000</f>
        <v>0</v>
      </c>
      <c r="BA3030" s="76"/>
      <c r="BB3030" s="76"/>
      <c r="BC3030" s="76"/>
      <c r="BD3030" s="76">
        <f>+BC3030*30000</f>
        <v>0</v>
      </c>
      <c r="BE3030" s="76"/>
      <c r="BF3030" s="76"/>
      <c r="BG3030" s="76"/>
      <c r="BH3030" s="76"/>
      <c r="BI3030" s="76"/>
      <c r="BJ3030" s="76"/>
      <c r="BK3030" s="76"/>
      <c r="BL3030" s="76">
        <f>+BK3030*31500</f>
        <v>0</v>
      </c>
      <c r="BM3030" s="76"/>
      <c r="BN3030" s="76"/>
      <c r="BO3030" s="76"/>
      <c r="BP3030" s="76"/>
      <c r="BQ3030" s="76"/>
      <c r="BR3030" s="76"/>
      <c r="BS3030" s="76"/>
      <c r="BT3030" s="76"/>
      <c r="BU3030" s="76"/>
      <c r="BV3030" s="76"/>
      <c r="BW3030" s="76"/>
      <c r="BX3030" s="76"/>
      <c r="BY3030" s="76"/>
      <c r="BZ3030" s="76"/>
      <c r="CA3030" s="76"/>
      <c r="CB3030" s="76"/>
      <c r="CC3030" s="76"/>
      <c r="CD3030" s="76"/>
      <c r="CE3030" s="76"/>
      <c r="CF3030" s="76">
        <f>+CE3030*28000</f>
        <v>0</v>
      </c>
      <c r="CG3030" s="76"/>
      <c r="CH3030" s="76">
        <f>+CG3030*22500</f>
        <v>0</v>
      </c>
      <c r="CI3030" s="76"/>
      <c r="CJ3030" s="76">
        <f>+CI3030*26000</f>
        <v>0</v>
      </c>
      <c r="CK3030" s="76"/>
      <c r="CL3030" s="76"/>
      <c r="CM3030" s="76"/>
      <c r="CN3030" s="76">
        <f>+CM3030*22000</f>
        <v>0</v>
      </c>
      <c r="CO3030" s="76"/>
      <c r="CP3030" s="76">
        <f>+CO3030*46000</f>
        <v>0</v>
      </c>
      <c r="CQ3030" s="76"/>
      <c r="CR3030" s="76">
        <f>+CQ3030*49000</f>
        <v>0</v>
      </c>
      <c r="CS3030" s="76"/>
      <c r="CT3030" s="76"/>
      <c r="CU3030" s="56">
        <f>AN3030+AP3030+AR3030+AT3030+AV3030+AX3030+AZ3030+BB3030+BD3030+BF3030+BH3030+BJ3030+BL3030+BN3030+BP3030+BR3030+BT3030+BV3030+BX3030+BZ3030+CB3030+CD3030+CF3030+CH3030+CJ3030+CL3030+CN3030+CP3030+CR3030+CT3030</f>
        <v>0</v>
      </c>
      <c r="CV3030" s="76"/>
      <c r="CW3030" s="76">
        <f>+CV3030*1100</f>
        <v>0</v>
      </c>
      <c r="CX3030" s="76"/>
      <c r="CY3030" s="76">
        <f>+CX3030*106250</f>
        <v>0</v>
      </c>
      <c r="CZ3030" s="76"/>
      <c r="DA3030" s="76">
        <f>+CZ3030*34500</f>
        <v>0</v>
      </c>
      <c r="DB3030" s="76"/>
      <c r="DC3030" s="76">
        <f>+DB3030*25000</f>
        <v>0</v>
      </c>
      <c r="DD3030" s="219"/>
      <c r="DE3030" s="219"/>
      <c r="DF3030" s="166"/>
      <c r="DG3030" s="116"/>
      <c r="DH3030" s="117"/>
      <c r="DI3030" s="24"/>
      <c r="DJ3030" s="24"/>
      <c r="DK3030" s="24"/>
      <c r="DL3030" s="24"/>
      <c r="DM3030" s="24"/>
      <c r="DN3030" s="24"/>
      <c r="DO3030" s="24"/>
      <c r="DP3030" s="24"/>
      <c r="DQ3030" s="24"/>
      <c r="DR3030" s="24"/>
      <c r="DS3030" s="24"/>
      <c r="DT3030" s="24"/>
      <c r="DU3030" s="24"/>
    </row>
    <row r="3031" spans="1:125" s="8" customFormat="1" ht="120" x14ac:dyDescent="0.2">
      <c r="A3031" s="77">
        <v>41532</v>
      </c>
      <c r="B3031" s="352" t="s">
        <v>2772</v>
      </c>
      <c r="C3031" s="354" t="s">
        <v>2157</v>
      </c>
      <c r="D3031" s="354" t="s">
        <v>2882</v>
      </c>
      <c r="E3031" s="296" t="str">
        <f>VLOOKUP(B3031&amp;C3031,Divipola!$C$2:$F$1138,4,FALSE)</f>
        <v>25885</v>
      </c>
      <c r="F3031" s="87"/>
      <c r="G3031" s="87"/>
      <c r="H3031" s="87"/>
      <c r="I3031" s="87"/>
      <c r="J3031" s="87"/>
      <c r="K3031" s="87"/>
      <c r="L3031" s="87"/>
      <c r="M3031" s="87"/>
      <c r="N3031" s="87"/>
      <c r="O3031" s="87"/>
      <c r="P3031" s="87"/>
      <c r="Q3031" s="87"/>
      <c r="R3031" s="87"/>
      <c r="S3031" s="87">
        <v>1</v>
      </c>
      <c r="T3031" s="87"/>
      <c r="U3031" s="88"/>
      <c r="V3031" s="89"/>
      <c r="W3031" s="96">
        <v>0</v>
      </c>
      <c r="X3031" s="71">
        <f>CU3031</f>
        <v>0</v>
      </c>
      <c r="Y3031" s="71">
        <f>CY3031</f>
        <v>0</v>
      </c>
      <c r="Z3031" s="71">
        <f>DA3031+DC3031+DE3031</f>
        <v>0</v>
      </c>
      <c r="AA3031" s="71">
        <f>CW3031</f>
        <v>0</v>
      </c>
      <c r="AB3031" s="71"/>
      <c r="AC3031" s="71">
        <v>0</v>
      </c>
      <c r="AD3031" s="71">
        <f>W3031+X3031+Y3031+Z3031+AA3031+AB3031+AC3031</f>
        <v>0</v>
      </c>
      <c r="AE3031" s="72">
        <v>0</v>
      </c>
      <c r="AF3031" s="5"/>
      <c r="AG3031" s="6"/>
      <c r="AH3031" s="27"/>
      <c r="AI3031" s="44"/>
      <c r="AJ3031" s="26"/>
      <c r="AK3031" s="5"/>
      <c r="AL3031" s="82" t="s">
        <v>5950</v>
      </c>
      <c r="AM3031" s="76"/>
      <c r="AN3031" s="76"/>
      <c r="AO3031" s="76"/>
      <c r="AP3031" s="76"/>
      <c r="AQ3031" s="76"/>
      <c r="AR3031" s="76"/>
      <c r="AS3031" s="76"/>
      <c r="AT3031" s="76"/>
      <c r="AU3031" s="76"/>
      <c r="AV3031" s="76"/>
      <c r="AW3031" s="76"/>
      <c r="AX3031" s="76">
        <f>+AW3031*600000</f>
        <v>0</v>
      </c>
      <c r="AY3031" s="76"/>
      <c r="AZ3031" s="76">
        <f>+AY3031*70000</f>
        <v>0</v>
      </c>
      <c r="BA3031" s="76"/>
      <c r="BB3031" s="76"/>
      <c r="BC3031" s="76"/>
      <c r="BD3031" s="76">
        <f>+BC3031*30000</f>
        <v>0</v>
      </c>
      <c r="BE3031" s="76"/>
      <c r="BF3031" s="76"/>
      <c r="BG3031" s="76"/>
      <c r="BH3031" s="76"/>
      <c r="BI3031" s="76"/>
      <c r="BJ3031" s="76"/>
      <c r="BK3031" s="76"/>
      <c r="BL3031" s="76">
        <f>+BK3031*31500</f>
        <v>0</v>
      </c>
      <c r="BM3031" s="76"/>
      <c r="BN3031" s="76"/>
      <c r="BO3031" s="76"/>
      <c r="BP3031" s="76"/>
      <c r="BQ3031" s="76"/>
      <c r="BR3031" s="76"/>
      <c r="BS3031" s="76"/>
      <c r="BT3031" s="76"/>
      <c r="BU3031" s="76"/>
      <c r="BV3031" s="76"/>
      <c r="BW3031" s="76"/>
      <c r="BX3031" s="76"/>
      <c r="BY3031" s="76"/>
      <c r="BZ3031" s="76"/>
      <c r="CA3031" s="76"/>
      <c r="CB3031" s="76"/>
      <c r="CC3031" s="76"/>
      <c r="CD3031" s="76"/>
      <c r="CE3031" s="76"/>
      <c r="CF3031" s="76">
        <f>+CE3031*28000</f>
        <v>0</v>
      </c>
      <c r="CG3031" s="76"/>
      <c r="CH3031" s="76">
        <f>+CG3031*22500</f>
        <v>0</v>
      </c>
      <c r="CI3031" s="76"/>
      <c r="CJ3031" s="76">
        <f>+CI3031*26000</f>
        <v>0</v>
      </c>
      <c r="CK3031" s="76"/>
      <c r="CL3031" s="76"/>
      <c r="CM3031" s="76"/>
      <c r="CN3031" s="76">
        <f>+CM3031*22000</f>
        <v>0</v>
      </c>
      <c r="CO3031" s="76"/>
      <c r="CP3031" s="76">
        <f>+CO3031*46000</f>
        <v>0</v>
      </c>
      <c r="CQ3031" s="76"/>
      <c r="CR3031" s="76">
        <f>+CQ3031*49000</f>
        <v>0</v>
      </c>
      <c r="CS3031" s="76"/>
      <c r="CT3031" s="76"/>
      <c r="CU3031" s="56">
        <f>AN3031+AP3031+AR3031+AT3031+AV3031+AX3031+AZ3031+BB3031+BD3031+BF3031+BH3031+BJ3031+BL3031+BN3031+BP3031+BR3031+BT3031+BV3031+BX3031+BZ3031+CB3031+CD3031+CF3031+CH3031+CJ3031+CL3031+CN3031+CP3031+CR3031+CT3031</f>
        <v>0</v>
      </c>
      <c r="CV3031" s="76"/>
      <c r="CW3031" s="76">
        <f>+CV3031*1100</f>
        <v>0</v>
      </c>
      <c r="CX3031" s="76"/>
      <c r="CY3031" s="76">
        <f>+CX3031*106250</f>
        <v>0</v>
      </c>
      <c r="CZ3031" s="76"/>
      <c r="DA3031" s="76">
        <f>+CZ3031*34500</f>
        <v>0</v>
      </c>
      <c r="DB3031" s="76"/>
      <c r="DC3031" s="76">
        <f>+DB3031*25000</f>
        <v>0</v>
      </c>
      <c r="DD3031" s="219"/>
      <c r="DE3031" s="219"/>
      <c r="DF3031" s="166"/>
      <c r="DG3031" s="116"/>
      <c r="DH3031" s="117"/>
      <c r="DI3031" s="24"/>
      <c r="DJ3031" s="24"/>
      <c r="DK3031" s="24"/>
      <c r="DL3031" s="24"/>
      <c r="DM3031" s="24"/>
      <c r="DN3031" s="24"/>
      <c r="DO3031" s="24"/>
      <c r="DP3031" s="24"/>
      <c r="DQ3031" s="24"/>
      <c r="DR3031" s="24"/>
      <c r="DS3031" s="24"/>
      <c r="DT3031" s="24"/>
      <c r="DU3031" s="24"/>
    </row>
    <row r="3032" spans="1:125" s="8" customFormat="1" ht="84" x14ac:dyDescent="0.2">
      <c r="A3032" s="77">
        <v>41533</v>
      </c>
      <c r="B3032" s="352" t="s">
        <v>2894</v>
      </c>
      <c r="C3032" s="354" t="s">
        <v>2032</v>
      </c>
      <c r="D3032" s="354" t="s">
        <v>2849</v>
      </c>
      <c r="E3032" s="296" t="str">
        <f>VLOOKUP(B3032&amp;C3032,Divipola!$C$2:$F$1138,4,FALSE)</f>
        <v>05001</v>
      </c>
      <c r="F3032" s="87">
        <v>2</v>
      </c>
      <c r="G3032" s="87">
        <v>3</v>
      </c>
      <c r="H3032" s="87"/>
      <c r="I3032" s="87"/>
      <c r="J3032" s="87"/>
      <c r="K3032" s="87"/>
      <c r="L3032" s="87"/>
      <c r="M3032" s="87"/>
      <c r="N3032" s="87"/>
      <c r="O3032" s="87"/>
      <c r="P3032" s="87"/>
      <c r="Q3032" s="87"/>
      <c r="R3032" s="87"/>
      <c r="S3032" s="87"/>
      <c r="T3032" s="87"/>
      <c r="U3032" s="88"/>
      <c r="V3032" s="89"/>
      <c r="W3032" s="96">
        <v>0</v>
      </c>
      <c r="X3032" s="71">
        <f>CU3032</f>
        <v>0</v>
      </c>
      <c r="Y3032" s="71">
        <f>CY3032</f>
        <v>0</v>
      </c>
      <c r="Z3032" s="71">
        <f>DA3032+DC3032+DE3032</f>
        <v>0</v>
      </c>
      <c r="AA3032" s="71">
        <f>CW3032</f>
        <v>0</v>
      </c>
      <c r="AB3032" s="71"/>
      <c r="AC3032" s="71">
        <v>0</v>
      </c>
      <c r="AD3032" s="71">
        <f>W3032+X3032+Y3032+Z3032+AA3032+AB3032+AC3032</f>
        <v>0</v>
      </c>
      <c r="AE3032" s="72">
        <v>0</v>
      </c>
      <c r="AF3032" s="5"/>
      <c r="AG3032" s="6"/>
      <c r="AH3032" s="27"/>
      <c r="AI3032" s="44"/>
      <c r="AJ3032" s="26"/>
      <c r="AK3032" s="5"/>
      <c r="AL3032" s="82" t="s">
        <v>5929</v>
      </c>
      <c r="AM3032" s="76"/>
      <c r="AN3032" s="76"/>
      <c r="AO3032" s="76"/>
      <c r="AP3032" s="76"/>
      <c r="AQ3032" s="76"/>
      <c r="AR3032" s="76"/>
      <c r="AS3032" s="76"/>
      <c r="AT3032" s="76"/>
      <c r="AU3032" s="76"/>
      <c r="AV3032" s="76"/>
      <c r="AW3032" s="76"/>
      <c r="AX3032" s="76">
        <f>+AW3032*600000</f>
        <v>0</v>
      </c>
      <c r="AY3032" s="76"/>
      <c r="AZ3032" s="76">
        <f>+AY3032*70000</f>
        <v>0</v>
      </c>
      <c r="BA3032" s="76"/>
      <c r="BB3032" s="76"/>
      <c r="BC3032" s="76"/>
      <c r="BD3032" s="76">
        <f>+BC3032*30000</f>
        <v>0</v>
      </c>
      <c r="BE3032" s="76"/>
      <c r="BF3032" s="76"/>
      <c r="BG3032" s="76"/>
      <c r="BH3032" s="76"/>
      <c r="BI3032" s="76"/>
      <c r="BJ3032" s="76"/>
      <c r="BK3032" s="76"/>
      <c r="BL3032" s="76">
        <f>+BK3032*31500</f>
        <v>0</v>
      </c>
      <c r="BM3032" s="76"/>
      <c r="BN3032" s="76"/>
      <c r="BO3032" s="76"/>
      <c r="BP3032" s="76"/>
      <c r="BQ3032" s="76"/>
      <c r="BR3032" s="76"/>
      <c r="BS3032" s="76"/>
      <c r="BT3032" s="76"/>
      <c r="BU3032" s="76"/>
      <c r="BV3032" s="76"/>
      <c r="BW3032" s="76"/>
      <c r="BX3032" s="76"/>
      <c r="BY3032" s="76"/>
      <c r="BZ3032" s="76"/>
      <c r="CA3032" s="76"/>
      <c r="CB3032" s="76"/>
      <c r="CC3032" s="76"/>
      <c r="CD3032" s="76"/>
      <c r="CE3032" s="76"/>
      <c r="CF3032" s="76">
        <f>+CE3032*28000</f>
        <v>0</v>
      </c>
      <c r="CG3032" s="76"/>
      <c r="CH3032" s="76">
        <f>+CG3032*22500</f>
        <v>0</v>
      </c>
      <c r="CI3032" s="76"/>
      <c r="CJ3032" s="76">
        <f>+CI3032*26000</f>
        <v>0</v>
      </c>
      <c r="CK3032" s="76"/>
      <c r="CL3032" s="76"/>
      <c r="CM3032" s="76"/>
      <c r="CN3032" s="76">
        <f>+CM3032*22000</f>
        <v>0</v>
      </c>
      <c r="CO3032" s="76"/>
      <c r="CP3032" s="76">
        <f>+CO3032*46000</f>
        <v>0</v>
      </c>
      <c r="CQ3032" s="76"/>
      <c r="CR3032" s="76">
        <f>+CQ3032*49000</f>
        <v>0</v>
      </c>
      <c r="CS3032" s="76"/>
      <c r="CT3032" s="76"/>
      <c r="CU3032" s="56">
        <f>AN3032+AP3032+AR3032+AT3032+AV3032+AX3032+AZ3032+BB3032+BD3032+BF3032+BH3032+BJ3032+BL3032+BN3032+BP3032+BR3032+BT3032+BV3032+BX3032+BZ3032+CB3032+CD3032+CF3032+CH3032+CJ3032+CL3032+CN3032+CP3032+CR3032+CT3032</f>
        <v>0</v>
      </c>
      <c r="CV3032" s="76"/>
      <c r="CW3032" s="76">
        <f>+CV3032*1100</f>
        <v>0</v>
      </c>
      <c r="CX3032" s="76"/>
      <c r="CY3032" s="76">
        <f>+CX3032*106250</f>
        <v>0</v>
      </c>
      <c r="CZ3032" s="76"/>
      <c r="DA3032" s="76">
        <f>+CZ3032*34500</f>
        <v>0</v>
      </c>
      <c r="DB3032" s="76"/>
      <c r="DC3032" s="76">
        <f>+DB3032*25000</f>
        <v>0</v>
      </c>
      <c r="DD3032" s="219"/>
      <c r="DE3032" s="219"/>
      <c r="DF3032" s="166"/>
      <c r="DG3032" s="116"/>
      <c r="DH3032" s="117"/>
      <c r="DI3032" s="24"/>
      <c r="DJ3032" s="24"/>
      <c r="DK3032" s="24"/>
      <c r="DL3032" s="24"/>
      <c r="DM3032" s="24"/>
      <c r="DN3032" s="24"/>
      <c r="DO3032" s="24"/>
      <c r="DP3032" s="24"/>
      <c r="DQ3032" s="24"/>
      <c r="DR3032" s="24"/>
      <c r="DS3032" s="24"/>
      <c r="DT3032" s="24"/>
      <c r="DU3032" s="24"/>
    </row>
    <row r="3033" spans="1:125" s="8" customFormat="1" ht="409.5" x14ac:dyDescent="0.2">
      <c r="A3033" s="77">
        <v>41533</v>
      </c>
      <c r="B3033" s="78" t="s">
        <v>2700</v>
      </c>
      <c r="C3033" s="75" t="s">
        <v>590</v>
      </c>
      <c r="D3033" s="75" t="s">
        <v>2849</v>
      </c>
      <c r="E3033" s="296" t="str">
        <f>VLOOKUP(B3033&amp;C3033,Divipola!$C$2:$F$1138,4,FALSE)</f>
        <v>15507</v>
      </c>
      <c r="F3033" s="87">
        <v>2</v>
      </c>
      <c r="G3033" s="87">
        <v>46</v>
      </c>
      <c r="H3033" s="87"/>
      <c r="I3033" s="87">
        <v>48</v>
      </c>
      <c r="J3033" s="87"/>
      <c r="K3033" s="87"/>
      <c r="L3033" s="87"/>
      <c r="M3033" s="87"/>
      <c r="N3033" s="87"/>
      <c r="O3033" s="87"/>
      <c r="P3033" s="87"/>
      <c r="Q3033" s="87"/>
      <c r="R3033" s="87"/>
      <c r="S3033" s="87"/>
      <c r="T3033" s="87"/>
      <c r="U3033" s="88"/>
      <c r="V3033" s="89"/>
      <c r="W3033" s="96">
        <v>0</v>
      </c>
      <c r="X3033" s="71">
        <f>CU3033</f>
        <v>0</v>
      </c>
      <c r="Y3033" s="71">
        <f>CY3033</f>
        <v>0</v>
      </c>
      <c r="Z3033" s="71">
        <f>DA3033+DC3033+DE3033</f>
        <v>0</v>
      </c>
      <c r="AA3033" s="71">
        <f>CW3033</f>
        <v>0</v>
      </c>
      <c r="AB3033" s="71"/>
      <c r="AC3033" s="71">
        <v>0</v>
      </c>
      <c r="AD3033" s="71">
        <f>W3033+X3033+Y3033+Z3033+AA3033+AB3033+AC3033</f>
        <v>0</v>
      </c>
      <c r="AE3033" s="72">
        <v>0</v>
      </c>
      <c r="AF3033" s="5"/>
      <c r="AG3033" s="6"/>
      <c r="AH3033" s="27"/>
      <c r="AI3033" s="44"/>
      <c r="AJ3033" s="26"/>
      <c r="AK3033" s="5"/>
      <c r="AL3033" s="268" t="s">
        <v>5937</v>
      </c>
      <c r="AM3033" s="76"/>
      <c r="AN3033" s="76"/>
      <c r="AO3033" s="76"/>
      <c r="AP3033" s="76"/>
      <c r="AQ3033" s="76"/>
      <c r="AR3033" s="76"/>
      <c r="AS3033" s="76"/>
      <c r="AT3033" s="76"/>
      <c r="AU3033" s="76"/>
      <c r="AV3033" s="76"/>
      <c r="AW3033" s="76"/>
      <c r="AX3033" s="76">
        <f>+AW3033*600000</f>
        <v>0</v>
      </c>
      <c r="AY3033" s="76"/>
      <c r="AZ3033" s="76">
        <f>+AY3033*70000</f>
        <v>0</v>
      </c>
      <c r="BA3033" s="76"/>
      <c r="BB3033" s="76"/>
      <c r="BC3033" s="76"/>
      <c r="BD3033" s="76">
        <f>+BC3033*30000</f>
        <v>0</v>
      </c>
      <c r="BE3033" s="76"/>
      <c r="BF3033" s="76"/>
      <c r="BG3033" s="76"/>
      <c r="BH3033" s="76"/>
      <c r="BI3033" s="76"/>
      <c r="BJ3033" s="76"/>
      <c r="BK3033" s="76"/>
      <c r="BL3033" s="76">
        <f>+BK3033*31500</f>
        <v>0</v>
      </c>
      <c r="BM3033" s="76"/>
      <c r="BN3033" s="76"/>
      <c r="BO3033" s="76"/>
      <c r="BP3033" s="76"/>
      <c r="BQ3033" s="76"/>
      <c r="BR3033" s="76"/>
      <c r="BS3033" s="76"/>
      <c r="BT3033" s="76"/>
      <c r="BU3033" s="76"/>
      <c r="BV3033" s="76"/>
      <c r="BW3033" s="76"/>
      <c r="BX3033" s="76"/>
      <c r="BY3033" s="76"/>
      <c r="BZ3033" s="76"/>
      <c r="CA3033" s="76"/>
      <c r="CB3033" s="76"/>
      <c r="CC3033" s="76"/>
      <c r="CD3033" s="76"/>
      <c r="CE3033" s="76"/>
      <c r="CF3033" s="76">
        <f>+CE3033*28000</f>
        <v>0</v>
      </c>
      <c r="CG3033" s="76"/>
      <c r="CH3033" s="76">
        <f>+CG3033*22500</f>
        <v>0</v>
      </c>
      <c r="CI3033" s="76"/>
      <c r="CJ3033" s="76">
        <f>+CI3033*26000</f>
        <v>0</v>
      </c>
      <c r="CK3033" s="76"/>
      <c r="CL3033" s="76"/>
      <c r="CM3033" s="76"/>
      <c r="CN3033" s="76">
        <f>+CM3033*22000</f>
        <v>0</v>
      </c>
      <c r="CO3033" s="76"/>
      <c r="CP3033" s="76">
        <f>+CO3033*46000</f>
        <v>0</v>
      </c>
      <c r="CQ3033" s="76"/>
      <c r="CR3033" s="76">
        <f>+CQ3033*49000</f>
        <v>0</v>
      </c>
      <c r="CS3033" s="76"/>
      <c r="CT3033" s="76"/>
      <c r="CU3033" s="56">
        <f>AN3033+AP3033+AR3033+AT3033+AV3033+AX3033+AZ3033+BB3033+BD3033+BF3033+BH3033+BJ3033+BL3033+BN3033+BP3033+BR3033+BT3033+BV3033+BX3033+BZ3033+CB3033+CD3033+CF3033+CH3033+CJ3033+CL3033+CN3033+CP3033+CR3033+CT3033</f>
        <v>0</v>
      </c>
      <c r="CV3033" s="76"/>
      <c r="CW3033" s="76">
        <f>+CV3033*1100</f>
        <v>0</v>
      </c>
      <c r="CX3033" s="76"/>
      <c r="CY3033" s="76">
        <f>+CX3033*106250</f>
        <v>0</v>
      </c>
      <c r="CZ3033" s="76"/>
      <c r="DA3033" s="76">
        <f>+CZ3033*34500</f>
        <v>0</v>
      </c>
      <c r="DB3033" s="76"/>
      <c r="DC3033" s="76">
        <f>+DB3033*25000</f>
        <v>0</v>
      </c>
      <c r="DD3033" s="219"/>
      <c r="DE3033" s="219"/>
      <c r="DF3033" s="166"/>
      <c r="DG3033" s="116"/>
      <c r="DH3033" s="117"/>
      <c r="DI3033" s="24"/>
      <c r="DJ3033" s="24"/>
      <c r="DK3033" s="24"/>
      <c r="DL3033" s="24"/>
      <c r="DM3033" s="24"/>
      <c r="DN3033" s="24"/>
      <c r="DO3033" s="24"/>
      <c r="DP3033" s="24"/>
      <c r="DQ3033" s="24"/>
      <c r="DR3033" s="24"/>
      <c r="DS3033" s="24"/>
      <c r="DT3033" s="24"/>
      <c r="DU3033" s="24"/>
    </row>
    <row r="3034" spans="1:125" s="8" customFormat="1" ht="36" x14ac:dyDescent="0.2">
      <c r="A3034" s="77">
        <v>41533</v>
      </c>
      <c r="B3034" s="225" t="s">
        <v>2700</v>
      </c>
      <c r="C3034" s="354" t="s">
        <v>1707</v>
      </c>
      <c r="D3034" s="354" t="s">
        <v>2882</v>
      </c>
      <c r="E3034" s="296" t="str">
        <f>VLOOKUP(B3034&amp;C3034,Divipola!$C$2:$F$1138,4,FALSE)</f>
        <v>15632</v>
      </c>
      <c r="F3034" s="87"/>
      <c r="G3034" s="87"/>
      <c r="H3034" s="87"/>
      <c r="I3034" s="87">
        <v>20</v>
      </c>
      <c r="J3034" s="87">
        <v>4</v>
      </c>
      <c r="K3034" s="87"/>
      <c r="L3034" s="87">
        <v>4</v>
      </c>
      <c r="M3034" s="87"/>
      <c r="N3034" s="87"/>
      <c r="O3034" s="87"/>
      <c r="P3034" s="87"/>
      <c r="Q3034" s="87"/>
      <c r="R3034" s="87"/>
      <c r="S3034" s="87"/>
      <c r="T3034" s="87"/>
      <c r="U3034" s="88"/>
      <c r="V3034" s="89"/>
      <c r="W3034" s="96">
        <v>0</v>
      </c>
      <c r="X3034" s="71">
        <f>CU3034</f>
        <v>0</v>
      </c>
      <c r="Y3034" s="71">
        <f>CY3034</f>
        <v>0</v>
      </c>
      <c r="Z3034" s="71">
        <f>DA3034+DC3034+DE3034</f>
        <v>0</v>
      </c>
      <c r="AA3034" s="71">
        <f>CW3034</f>
        <v>0</v>
      </c>
      <c r="AB3034" s="71"/>
      <c r="AC3034" s="71">
        <v>0</v>
      </c>
      <c r="AD3034" s="71">
        <f>W3034+X3034+Y3034+Z3034+AA3034+AB3034+AC3034</f>
        <v>0</v>
      </c>
      <c r="AE3034" s="72">
        <v>0</v>
      </c>
      <c r="AF3034" s="5"/>
      <c r="AG3034" s="6"/>
      <c r="AH3034" s="27"/>
      <c r="AI3034" s="44"/>
      <c r="AJ3034" s="26"/>
      <c r="AK3034" s="5"/>
      <c r="AL3034" s="82" t="s">
        <v>5931</v>
      </c>
      <c r="AM3034" s="76"/>
      <c r="AN3034" s="76"/>
      <c r="AO3034" s="76"/>
      <c r="AP3034" s="76"/>
      <c r="AQ3034" s="76"/>
      <c r="AR3034" s="76"/>
      <c r="AS3034" s="76"/>
      <c r="AT3034" s="76"/>
      <c r="AU3034" s="76"/>
      <c r="AV3034" s="76"/>
      <c r="AW3034" s="76"/>
      <c r="AX3034" s="76">
        <f>+AW3034*600000</f>
        <v>0</v>
      </c>
      <c r="AY3034" s="76"/>
      <c r="AZ3034" s="76">
        <f>+AY3034*70000</f>
        <v>0</v>
      </c>
      <c r="BA3034" s="76"/>
      <c r="BB3034" s="76"/>
      <c r="BC3034" s="76"/>
      <c r="BD3034" s="76">
        <f>+BC3034*30000</f>
        <v>0</v>
      </c>
      <c r="BE3034" s="76"/>
      <c r="BF3034" s="76"/>
      <c r="BG3034" s="76"/>
      <c r="BH3034" s="76"/>
      <c r="BI3034" s="76"/>
      <c r="BJ3034" s="76"/>
      <c r="BK3034" s="76"/>
      <c r="BL3034" s="76">
        <f>+BK3034*31500</f>
        <v>0</v>
      </c>
      <c r="BM3034" s="76"/>
      <c r="BN3034" s="76"/>
      <c r="BO3034" s="76"/>
      <c r="BP3034" s="76"/>
      <c r="BQ3034" s="76"/>
      <c r="BR3034" s="76"/>
      <c r="BS3034" s="76"/>
      <c r="BT3034" s="76"/>
      <c r="BU3034" s="76"/>
      <c r="BV3034" s="76"/>
      <c r="BW3034" s="76"/>
      <c r="BX3034" s="76"/>
      <c r="BY3034" s="76"/>
      <c r="BZ3034" s="76"/>
      <c r="CA3034" s="76"/>
      <c r="CB3034" s="76"/>
      <c r="CC3034" s="76"/>
      <c r="CD3034" s="76"/>
      <c r="CE3034" s="76"/>
      <c r="CF3034" s="76">
        <f>+CE3034*28000</f>
        <v>0</v>
      </c>
      <c r="CG3034" s="76"/>
      <c r="CH3034" s="76">
        <f>+CG3034*22500</f>
        <v>0</v>
      </c>
      <c r="CI3034" s="76"/>
      <c r="CJ3034" s="76">
        <f>+CI3034*26000</f>
        <v>0</v>
      </c>
      <c r="CK3034" s="76"/>
      <c r="CL3034" s="76"/>
      <c r="CM3034" s="76"/>
      <c r="CN3034" s="76">
        <f>+CM3034*22000</f>
        <v>0</v>
      </c>
      <c r="CO3034" s="76"/>
      <c r="CP3034" s="76">
        <f>+CO3034*46000</f>
        <v>0</v>
      </c>
      <c r="CQ3034" s="76"/>
      <c r="CR3034" s="76">
        <f>+CQ3034*49000</f>
        <v>0</v>
      </c>
      <c r="CS3034" s="76"/>
      <c r="CT3034" s="76"/>
      <c r="CU3034" s="56">
        <f>AN3034+AP3034+AR3034+AT3034+AV3034+AX3034+AZ3034+BB3034+BD3034+BF3034+BH3034+BJ3034+BL3034+BN3034+BP3034+BR3034+BT3034+BV3034+BX3034+BZ3034+CB3034+CD3034+CF3034+CH3034+CJ3034+CL3034+CN3034+CP3034+CR3034+CT3034</f>
        <v>0</v>
      </c>
      <c r="CV3034" s="76"/>
      <c r="CW3034" s="76">
        <f>+CV3034*1100</f>
        <v>0</v>
      </c>
      <c r="CX3034" s="76"/>
      <c r="CY3034" s="76">
        <f>+CX3034*106250</f>
        <v>0</v>
      </c>
      <c r="CZ3034" s="76"/>
      <c r="DA3034" s="76">
        <f>+CZ3034*34500</f>
        <v>0</v>
      </c>
      <c r="DB3034" s="76"/>
      <c r="DC3034" s="76">
        <f>+DB3034*25000</f>
        <v>0</v>
      </c>
      <c r="DD3034" s="219"/>
      <c r="DE3034" s="219"/>
      <c r="DF3034" s="166"/>
      <c r="DG3034" s="116"/>
      <c r="DH3034" s="117"/>
      <c r="DI3034" s="24"/>
      <c r="DJ3034" s="24"/>
      <c r="DK3034" s="24"/>
      <c r="DL3034" s="24"/>
      <c r="DM3034" s="24"/>
      <c r="DN3034" s="24"/>
      <c r="DO3034" s="24"/>
      <c r="DP3034" s="24"/>
      <c r="DQ3034" s="24"/>
      <c r="DR3034" s="24"/>
      <c r="DS3034" s="24"/>
      <c r="DT3034" s="24"/>
      <c r="DU3034" s="24"/>
    </row>
    <row r="3035" spans="1:125" s="8" customFormat="1" ht="48" x14ac:dyDescent="0.2">
      <c r="A3035" s="353">
        <v>41533</v>
      </c>
      <c r="B3035" s="352" t="s">
        <v>2087</v>
      </c>
      <c r="C3035" s="189" t="s">
        <v>1352</v>
      </c>
      <c r="D3035" s="354" t="s">
        <v>2859</v>
      </c>
      <c r="E3035" s="296" t="str">
        <f>VLOOKUP(B3035&amp;C3035,Divipola!$C$2:$F$1138,4,FALSE)</f>
        <v>18785</v>
      </c>
      <c r="F3035" s="87"/>
      <c r="G3035" s="87"/>
      <c r="H3035" s="87"/>
      <c r="I3035" s="87">
        <v>15</v>
      </c>
      <c r="J3035" s="87">
        <v>3</v>
      </c>
      <c r="K3035" s="87"/>
      <c r="L3035" s="87">
        <v>3</v>
      </c>
      <c r="M3035" s="87"/>
      <c r="N3035" s="87"/>
      <c r="O3035" s="87"/>
      <c r="P3035" s="87"/>
      <c r="Q3035" s="87"/>
      <c r="R3035" s="87"/>
      <c r="S3035" s="87"/>
      <c r="T3035" s="87"/>
      <c r="U3035" s="88"/>
      <c r="V3035" s="89"/>
      <c r="W3035" s="96">
        <v>0</v>
      </c>
      <c r="X3035" s="71">
        <f>CU3035</f>
        <v>0</v>
      </c>
      <c r="Y3035" s="71">
        <f>CY3035</f>
        <v>0</v>
      </c>
      <c r="Z3035" s="71">
        <f>DA3035+DC3035+DE3035</f>
        <v>0</v>
      </c>
      <c r="AA3035" s="71">
        <f>CW3035</f>
        <v>0</v>
      </c>
      <c r="AB3035" s="71"/>
      <c r="AC3035" s="71">
        <v>0</v>
      </c>
      <c r="AD3035" s="71">
        <f>W3035+X3035+Y3035+Z3035+AA3035+AB3035+AC3035</f>
        <v>0</v>
      </c>
      <c r="AE3035" s="72">
        <v>0</v>
      </c>
      <c r="AF3035" s="5"/>
      <c r="AG3035" s="6"/>
      <c r="AH3035" s="27"/>
      <c r="AI3035" s="44"/>
      <c r="AJ3035" s="26"/>
      <c r="AK3035" s="5"/>
      <c r="AL3035" s="82" t="s">
        <v>5927</v>
      </c>
      <c r="AM3035" s="76"/>
      <c r="AN3035" s="76"/>
      <c r="AO3035" s="76"/>
      <c r="AP3035" s="76"/>
      <c r="AQ3035" s="76"/>
      <c r="AR3035" s="76"/>
      <c r="AS3035" s="76"/>
      <c r="AT3035" s="76"/>
      <c r="AU3035" s="76"/>
      <c r="AV3035" s="76"/>
      <c r="AW3035" s="76"/>
      <c r="AX3035" s="76">
        <f>+AW3035*600000</f>
        <v>0</v>
      </c>
      <c r="AY3035" s="76"/>
      <c r="AZ3035" s="76">
        <f>+AY3035*70000</f>
        <v>0</v>
      </c>
      <c r="BA3035" s="76"/>
      <c r="BB3035" s="76"/>
      <c r="BC3035" s="76"/>
      <c r="BD3035" s="76">
        <f>+BC3035*30000</f>
        <v>0</v>
      </c>
      <c r="BE3035" s="76"/>
      <c r="BF3035" s="76"/>
      <c r="BG3035" s="76"/>
      <c r="BH3035" s="76"/>
      <c r="BI3035" s="76"/>
      <c r="BJ3035" s="76"/>
      <c r="BK3035" s="76"/>
      <c r="BL3035" s="76">
        <f>+BK3035*31500</f>
        <v>0</v>
      </c>
      <c r="BM3035" s="76"/>
      <c r="BN3035" s="76"/>
      <c r="BO3035" s="76"/>
      <c r="BP3035" s="76"/>
      <c r="BQ3035" s="76"/>
      <c r="BR3035" s="76"/>
      <c r="BS3035" s="76"/>
      <c r="BT3035" s="76"/>
      <c r="BU3035" s="76"/>
      <c r="BV3035" s="76"/>
      <c r="BW3035" s="76"/>
      <c r="BX3035" s="76"/>
      <c r="BY3035" s="76"/>
      <c r="BZ3035" s="76"/>
      <c r="CA3035" s="76"/>
      <c r="CB3035" s="76"/>
      <c r="CC3035" s="76"/>
      <c r="CD3035" s="76"/>
      <c r="CE3035" s="76"/>
      <c r="CF3035" s="76">
        <f>+CE3035*28000</f>
        <v>0</v>
      </c>
      <c r="CG3035" s="76"/>
      <c r="CH3035" s="76">
        <f>+CG3035*22500</f>
        <v>0</v>
      </c>
      <c r="CI3035" s="76"/>
      <c r="CJ3035" s="76">
        <f>+CI3035*26000</f>
        <v>0</v>
      </c>
      <c r="CK3035" s="76"/>
      <c r="CL3035" s="76"/>
      <c r="CM3035" s="76"/>
      <c r="CN3035" s="76">
        <f>+CM3035*22000</f>
        <v>0</v>
      </c>
      <c r="CO3035" s="76"/>
      <c r="CP3035" s="76">
        <f>+CO3035*46000</f>
        <v>0</v>
      </c>
      <c r="CQ3035" s="76"/>
      <c r="CR3035" s="76">
        <f>+CQ3035*49000</f>
        <v>0</v>
      </c>
      <c r="CS3035" s="76"/>
      <c r="CT3035" s="76"/>
      <c r="CU3035" s="56">
        <f>AN3035+AP3035+AR3035+AT3035+AV3035+AX3035+AZ3035+BB3035+BD3035+BF3035+BH3035+BJ3035+BL3035+BN3035+BP3035+BR3035+BT3035+BV3035+BX3035+BZ3035+CB3035+CD3035+CF3035+CH3035+CJ3035+CL3035+CN3035+CP3035+CR3035+CT3035</f>
        <v>0</v>
      </c>
      <c r="CV3035" s="76"/>
      <c r="CW3035" s="76">
        <f>+CV3035*1100</f>
        <v>0</v>
      </c>
      <c r="CX3035" s="76"/>
      <c r="CY3035" s="76">
        <f>+CX3035*106250</f>
        <v>0</v>
      </c>
      <c r="CZ3035" s="76"/>
      <c r="DA3035" s="76">
        <f>+CZ3035*34500</f>
        <v>0</v>
      </c>
      <c r="DB3035" s="76"/>
      <c r="DC3035" s="76">
        <f>+DB3035*25000</f>
        <v>0</v>
      </c>
      <c r="DD3035" s="219"/>
      <c r="DE3035" s="219"/>
      <c r="DF3035" s="166"/>
      <c r="DG3035" s="116"/>
      <c r="DH3035" s="117"/>
      <c r="DI3035" s="24"/>
      <c r="DJ3035" s="24"/>
      <c r="DK3035" s="24"/>
      <c r="DL3035" s="24"/>
      <c r="DM3035" s="24"/>
      <c r="DN3035" s="24"/>
      <c r="DO3035" s="24"/>
      <c r="DP3035" s="24"/>
      <c r="DQ3035" s="24"/>
      <c r="DR3035" s="24"/>
      <c r="DS3035" s="24"/>
      <c r="DT3035" s="24"/>
      <c r="DU3035" s="24"/>
    </row>
    <row r="3036" spans="1:125" s="8" customFormat="1" ht="48" x14ac:dyDescent="0.2">
      <c r="A3036" s="77">
        <v>41533</v>
      </c>
      <c r="B3036" s="225" t="s">
        <v>2855</v>
      </c>
      <c r="C3036" s="227" t="s">
        <v>933</v>
      </c>
      <c r="D3036" s="227" t="s">
        <v>3051</v>
      </c>
      <c r="E3036" s="296" t="str">
        <f>VLOOKUP(B3036&amp;C3036,Divipola!$C$2:$F$1138,4,FALSE)</f>
        <v>20621</v>
      </c>
      <c r="F3036" s="87"/>
      <c r="G3036" s="87"/>
      <c r="H3036" s="87"/>
      <c r="I3036" s="87"/>
      <c r="J3036" s="87"/>
      <c r="K3036" s="87"/>
      <c r="L3036" s="87"/>
      <c r="M3036" s="87"/>
      <c r="N3036" s="87"/>
      <c r="O3036" s="87"/>
      <c r="P3036" s="87"/>
      <c r="Q3036" s="87"/>
      <c r="R3036" s="87"/>
      <c r="S3036" s="87"/>
      <c r="T3036" s="87"/>
      <c r="U3036" s="88"/>
      <c r="V3036" s="89"/>
      <c r="W3036" s="96">
        <v>0</v>
      </c>
      <c r="X3036" s="71">
        <f>CU3036</f>
        <v>0</v>
      </c>
      <c r="Y3036" s="71">
        <f>CY3036</f>
        <v>0</v>
      </c>
      <c r="Z3036" s="71">
        <f>DA3036+DC3036+DE3036</f>
        <v>0</v>
      </c>
      <c r="AA3036" s="71">
        <f>CW3036</f>
        <v>0</v>
      </c>
      <c r="AB3036" s="71"/>
      <c r="AC3036" s="71">
        <v>0</v>
      </c>
      <c r="AD3036" s="71">
        <f>W3036+X3036+Y3036+Z3036+AA3036+AB3036+AC3036</f>
        <v>0</v>
      </c>
      <c r="AE3036" s="72">
        <v>0</v>
      </c>
      <c r="AF3036" s="5"/>
      <c r="AG3036" s="6"/>
      <c r="AH3036" s="27"/>
      <c r="AI3036" s="44"/>
      <c r="AJ3036" s="26"/>
      <c r="AK3036" s="5"/>
      <c r="AL3036" s="82" t="s">
        <v>5932</v>
      </c>
      <c r="AM3036" s="76"/>
      <c r="AN3036" s="76"/>
      <c r="AO3036" s="76"/>
      <c r="AP3036" s="76"/>
      <c r="AQ3036" s="76"/>
      <c r="AR3036" s="76"/>
      <c r="AS3036" s="76"/>
      <c r="AT3036" s="76"/>
      <c r="AU3036" s="76"/>
      <c r="AV3036" s="76"/>
      <c r="AW3036" s="76"/>
      <c r="AX3036" s="76">
        <f>+AW3036*600000</f>
        <v>0</v>
      </c>
      <c r="AY3036" s="76"/>
      <c r="AZ3036" s="76">
        <f>+AY3036*70000</f>
        <v>0</v>
      </c>
      <c r="BA3036" s="76"/>
      <c r="BB3036" s="76"/>
      <c r="BC3036" s="76"/>
      <c r="BD3036" s="76">
        <f>+BC3036*30000</f>
        <v>0</v>
      </c>
      <c r="BE3036" s="76"/>
      <c r="BF3036" s="76"/>
      <c r="BG3036" s="76"/>
      <c r="BH3036" s="76"/>
      <c r="BI3036" s="76"/>
      <c r="BJ3036" s="76"/>
      <c r="BK3036" s="76"/>
      <c r="BL3036" s="76">
        <f>+BK3036*31500</f>
        <v>0</v>
      </c>
      <c r="BM3036" s="76"/>
      <c r="BN3036" s="76"/>
      <c r="BO3036" s="76"/>
      <c r="BP3036" s="76"/>
      <c r="BQ3036" s="76"/>
      <c r="BR3036" s="76"/>
      <c r="BS3036" s="76"/>
      <c r="BT3036" s="76"/>
      <c r="BU3036" s="76"/>
      <c r="BV3036" s="76"/>
      <c r="BW3036" s="76"/>
      <c r="BX3036" s="76"/>
      <c r="BY3036" s="76"/>
      <c r="BZ3036" s="76"/>
      <c r="CA3036" s="76"/>
      <c r="CB3036" s="76"/>
      <c r="CC3036" s="76"/>
      <c r="CD3036" s="76"/>
      <c r="CE3036" s="76"/>
      <c r="CF3036" s="76">
        <f>+CE3036*28000</f>
        <v>0</v>
      </c>
      <c r="CG3036" s="76"/>
      <c r="CH3036" s="76">
        <f>+CG3036*22500</f>
        <v>0</v>
      </c>
      <c r="CI3036" s="76"/>
      <c r="CJ3036" s="76">
        <f>+CI3036*26000</f>
        <v>0</v>
      </c>
      <c r="CK3036" s="76"/>
      <c r="CL3036" s="76"/>
      <c r="CM3036" s="76"/>
      <c r="CN3036" s="76">
        <f>+CM3036*22000</f>
        <v>0</v>
      </c>
      <c r="CO3036" s="76"/>
      <c r="CP3036" s="76">
        <f>+CO3036*46000</f>
        <v>0</v>
      </c>
      <c r="CQ3036" s="76"/>
      <c r="CR3036" s="76">
        <f>+CQ3036*49000</f>
        <v>0</v>
      </c>
      <c r="CS3036" s="76"/>
      <c r="CT3036" s="76"/>
      <c r="CU3036" s="56">
        <f>AN3036+AP3036+AR3036+AT3036+AV3036+AX3036+AZ3036+BB3036+BD3036+BF3036+BH3036+BJ3036+BL3036+BN3036+BP3036+BR3036+BT3036+BV3036+BX3036+BZ3036+CB3036+CD3036+CF3036+CH3036+CJ3036+CL3036+CN3036+CP3036+CR3036+CT3036</f>
        <v>0</v>
      </c>
      <c r="CV3036" s="76"/>
      <c r="CW3036" s="76">
        <f>+CV3036*1100</f>
        <v>0</v>
      </c>
      <c r="CX3036" s="76"/>
      <c r="CY3036" s="76">
        <f>+CX3036*106250</f>
        <v>0</v>
      </c>
      <c r="CZ3036" s="76"/>
      <c r="DA3036" s="76">
        <f>+CZ3036*34500</f>
        <v>0</v>
      </c>
      <c r="DB3036" s="76"/>
      <c r="DC3036" s="76">
        <f>+DB3036*25000</f>
        <v>0</v>
      </c>
      <c r="DD3036" s="219"/>
      <c r="DE3036" s="219"/>
      <c r="DF3036" s="166"/>
      <c r="DG3036" s="116"/>
      <c r="DH3036" s="117"/>
      <c r="DI3036" s="24"/>
      <c r="DJ3036" s="24"/>
      <c r="DK3036" s="24"/>
      <c r="DL3036" s="24"/>
      <c r="DM3036" s="24"/>
      <c r="DN3036" s="24"/>
      <c r="DO3036" s="24"/>
      <c r="DP3036" s="24"/>
      <c r="DQ3036" s="24"/>
      <c r="DR3036" s="24"/>
      <c r="DS3036" s="24"/>
      <c r="DT3036" s="24"/>
      <c r="DU3036" s="24"/>
    </row>
    <row r="3037" spans="1:125" s="8" customFormat="1" ht="84" x14ac:dyDescent="0.2">
      <c r="A3037" s="77">
        <v>41533</v>
      </c>
      <c r="B3037" s="352" t="s">
        <v>2852</v>
      </c>
      <c r="C3037" s="354" t="s">
        <v>2148</v>
      </c>
      <c r="D3037" s="354" t="s">
        <v>2859</v>
      </c>
      <c r="E3037" s="296" t="str">
        <f>VLOOKUP(B3037&amp;C3037,Divipola!$C$2:$F$1138,4,FALSE)</f>
        <v>27491</v>
      </c>
      <c r="F3037" s="87"/>
      <c r="G3037" s="87"/>
      <c r="H3037" s="87"/>
      <c r="I3037" s="87">
        <v>15</v>
      </c>
      <c r="J3037" s="87">
        <v>3</v>
      </c>
      <c r="K3037" s="87">
        <v>3</v>
      </c>
      <c r="L3037" s="87"/>
      <c r="M3037" s="87"/>
      <c r="N3037" s="87"/>
      <c r="O3037" s="87"/>
      <c r="P3037" s="87"/>
      <c r="Q3037" s="87"/>
      <c r="R3037" s="87"/>
      <c r="S3037" s="87"/>
      <c r="T3037" s="87">
        <v>4</v>
      </c>
      <c r="U3037" s="88"/>
      <c r="V3037" s="89"/>
      <c r="W3037" s="96">
        <v>0</v>
      </c>
      <c r="X3037" s="71">
        <f>CU3037</f>
        <v>0</v>
      </c>
      <c r="Y3037" s="71">
        <f>CY3037</f>
        <v>0</v>
      </c>
      <c r="Z3037" s="71">
        <f>DA3037+DC3037+DE3037</f>
        <v>0</v>
      </c>
      <c r="AA3037" s="71">
        <f>CW3037</f>
        <v>0</v>
      </c>
      <c r="AB3037" s="71"/>
      <c r="AC3037" s="71">
        <v>0</v>
      </c>
      <c r="AD3037" s="71">
        <f>W3037+X3037+Y3037+Z3037+AA3037+AB3037+AC3037</f>
        <v>0</v>
      </c>
      <c r="AE3037" s="72">
        <v>0</v>
      </c>
      <c r="AF3037" s="5"/>
      <c r="AG3037" s="6"/>
      <c r="AH3037" s="27"/>
      <c r="AI3037" s="44"/>
      <c r="AJ3037" s="26"/>
      <c r="AK3037" s="5"/>
      <c r="AL3037" s="82" t="s">
        <v>5938</v>
      </c>
      <c r="AM3037" s="76"/>
      <c r="AN3037" s="76"/>
      <c r="AO3037" s="76"/>
      <c r="AP3037" s="76"/>
      <c r="AQ3037" s="76"/>
      <c r="AR3037" s="76"/>
      <c r="AS3037" s="76"/>
      <c r="AT3037" s="76"/>
      <c r="AU3037" s="76"/>
      <c r="AV3037" s="76"/>
      <c r="AW3037" s="76"/>
      <c r="AX3037" s="76">
        <f>+AW3037*600000</f>
        <v>0</v>
      </c>
      <c r="AY3037" s="76"/>
      <c r="AZ3037" s="76">
        <f>+AY3037*70000</f>
        <v>0</v>
      </c>
      <c r="BA3037" s="76"/>
      <c r="BB3037" s="76"/>
      <c r="BC3037" s="76"/>
      <c r="BD3037" s="76">
        <f>+BC3037*30000</f>
        <v>0</v>
      </c>
      <c r="BE3037" s="76"/>
      <c r="BF3037" s="76"/>
      <c r="BG3037" s="76"/>
      <c r="BH3037" s="76"/>
      <c r="BI3037" s="76"/>
      <c r="BJ3037" s="76"/>
      <c r="BK3037" s="76"/>
      <c r="BL3037" s="76">
        <f>+BK3037*31500</f>
        <v>0</v>
      </c>
      <c r="BM3037" s="76"/>
      <c r="BN3037" s="76"/>
      <c r="BO3037" s="76"/>
      <c r="BP3037" s="76"/>
      <c r="BQ3037" s="76"/>
      <c r="BR3037" s="76"/>
      <c r="BS3037" s="76"/>
      <c r="BT3037" s="76"/>
      <c r="BU3037" s="76"/>
      <c r="BV3037" s="76"/>
      <c r="BW3037" s="76"/>
      <c r="BX3037" s="76"/>
      <c r="BY3037" s="76"/>
      <c r="BZ3037" s="76"/>
      <c r="CA3037" s="76"/>
      <c r="CB3037" s="76"/>
      <c r="CC3037" s="76"/>
      <c r="CD3037" s="76"/>
      <c r="CE3037" s="76"/>
      <c r="CF3037" s="76">
        <f>+CE3037*28000</f>
        <v>0</v>
      </c>
      <c r="CG3037" s="76"/>
      <c r="CH3037" s="76">
        <f>+CG3037*22500</f>
        <v>0</v>
      </c>
      <c r="CI3037" s="76"/>
      <c r="CJ3037" s="76">
        <f>+CI3037*26000</f>
        <v>0</v>
      </c>
      <c r="CK3037" s="76"/>
      <c r="CL3037" s="76"/>
      <c r="CM3037" s="76"/>
      <c r="CN3037" s="76">
        <f>+CM3037*22000</f>
        <v>0</v>
      </c>
      <c r="CO3037" s="76"/>
      <c r="CP3037" s="76">
        <f>+CO3037*46000</f>
        <v>0</v>
      </c>
      <c r="CQ3037" s="76"/>
      <c r="CR3037" s="76">
        <f>+CQ3037*49000</f>
        <v>0</v>
      </c>
      <c r="CS3037" s="76"/>
      <c r="CT3037" s="76"/>
      <c r="CU3037" s="56">
        <f>AN3037+AP3037+AR3037+AT3037+AV3037+AX3037+AZ3037+BB3037+BD3037+BF3037+BH3037+BJ3037+BL3037+BN3037+BP3037+BR3037+BT3037+BV3037+BX3037+BZ3037+CB3037+CD3037+CF3037+CH3037+CJ3037+CL3037+CN3037+CP3037+CR3037+CT3037</f>
        <v>0</v>
      </c>
      <c r="CV3037" s="76"/>
      <c r="CW3037" s="76">
        <f>+CV3037*1100</f>
        <v>0</v>
      </c>
      <c r="CX3037" s="76"/>
      <c r="CY3037" s="76">
        <f>+CX3037*106250</f>
        <v>0</v>
      </c>
      <c r="CZ3037" s="76"/>
      <c r="DA3037" s="76">
        <f>+CZ3037*34500</f>
        <v>0</v>
      </c>
      <c r="DB3037" s="76"/>
      <c r="DC3037" s="76">
        <f>+DB3037*25000</f>
        <v>0</v>
      </c>
      <c r="DD3037" s="219"/>
      <c r="DE3037" s="219"/>
      <c r="DF3037" s="166"/>
      <c r="DG3037" s="116"/>
      <c r="DH3037" s="117"/>
      <c r="DI3037" s="24"/>
      <c r="DJ3037" s="24"/>
      <c r="DK3037" s="24"/>
      <c r="DL3037" s="24"/>
      <c r="DM3037" s="24"/>
      <c r="DN3037" s="24"/>
      <c r="DO3037" s="24"/>
      <c r="DP3037" s="24"/>
      <c r="DQ3037" s="24"/>
      <c r="DR3037" s="24"/>
      <c r="DS3037" s="24"/>
      <c r="DT3037" s="24"/>
      <c r="DU3037" s="24"/>
    </row>
    <row r="3038" spans="1:125" s="8" customFormat="1" ht="96" x14ac:dyDescent="0.2">
      <c r="A3038" s="353">
        <v>41533</v>
      </c>
      <c r="B3038" s="352" t="s">
        <v>2772</v>
      </c>
      <c r="C3038" s="354" t="s">
        <v>1385</v>
      </c>
      <c r="D3038" s="354" t="s">
        <v>2846</v>
      </c>
      <c r="E3038" s="75" t="str">
        <f>VLOOKUP(B3038&amp;C3038,Divipola!$C$2:$F$1138,4,FALSE)</f>
        <v>25658</v>
      </c>
      <c r="F3038" s="87"/>
      <c r="G3038" s="87"/>
      <c r="H3038" s="87"/>
      <c r="I3038" s="87"/>
      <c r="J3038" s="87"/>
      <c r="K3038" s="87"/>
      <c r="L3038" s="87"/>
      <c r="M3038" s="87"/>
      <c r="N3038" s="87"/>
      <c r="O3038" s="87"/>
      <c r="P3038" s="87"/>
      <c r="Q3038" s="87"/>
      <c r="R3038" s="87"/>
      <c r="S3038" s="87"/>
      <c r="T3038" s="87"/>
      <c r="U3038" s="88">
        <v>1.5</v>
      </c>
      <c r="V3038" s="89"/>
      <c r="W3038" s="96">
        <v>0</v>
      </c>
      <c r="X3038" s="71">
        <f>CU3038</f>
        <v>0</v>
      </c>
      <c r="Y3038" s="71">
        <f>CY3038</f>
        <v>0</v>
      </c>
      <c r="Z3038" s="71">
        <f>DA3038+DC3038+DE3038</f>
        <v>0</v>
      </c>
      <c r="AA3038" s="71">
        <f>CW3038</f>
        <v>0</v>
      </c>
      <c r="AB3038" s="71"/>
      <c r="AC3038" s="71">
        <v>0</v>
      </c>
      <c r="AD3038" s="71">
        <f>W3038+X3038+Y3038+Z3038+AA3038+AB3038+AC3038</f>
        <v>0</v>
      </c>
      <c r="AE3038" s="72">
        <v>0</v>
      </c>
      <c r="AF3038" s="5"/>
      <c r="AG3038" s="6"/>
      <c r="AH3038" s="27"/>
      <c r="AI3038" s="44"/>
      <c r="AJ3038" s="26"/>
      <c r="AK3038" s="5"/>
      <c r="AL3038" s="268" t="s">
        <v>6270</v>
      </c>
      <c r="AM3038" s="76"/>
      <c r="AN3038" s="76"/>
      <c r="AO3038" s="76"/>
      <c r="AP3038" s="76"/>
      <c r="AQ3038" s="76"/>
      <c r="AR3038" s="76"/>
      <c r="AS3038" s="76"/>
      <c r="AT3038" s="76"/>
      <c r="AU3038" s="76"/>
      <c r="AV3038" s="76"/>
      <c r="AW3038" s="76"/>
      <c r="AX3038" s="76">
        <f>+AW3038*600000</f>
        <v>0</v>
      </c>
      <c r="AY3038" s="76"/>
      <c r="AZ3038" s="76">
        <f>+AY3038*70000</f>
        <v>0</v>
      </c>
      <c r="BA3038" s="76"/>
      <c r="BB3038" s="76"/>
      <c r="BC3038" s="76"/>
      <c r="BD3038" s="76">
        <f>+BC3038*30000</f>
        <v>0</v>
      </c>
      <c r="BE3038" s="76"/>
      <c r="BF3038" s="76"/>
      <c r="BG3038" s="76"/>
      <c r="BH3038" s="76"/>
      <c r="BI3038" s="76"/>
      <c r="BJ3038" s="76"/>
      <c r="BK3038" s="76"/>
      <c r="BL3038" s="76">
        <f>+BK3038*31500</f>
        <v>0</v>
      </c>
      <c r="BM3038" s="76"/>
      <c r="BN3038" s="76"/>
      <c r="BO3038" s="76"/>
      <c r="BP3038" s="76"/>
      <c r="BQ3038" s="76"/>
      <c r="BR3038" s="76"/>
      <c r="BS3038" s="76"/>
      <c r="BT3038" s="76"/>
      <c r="BU3038" s="76"/>
      <c r="BV3038" s="76"/>
      <c r="BW3038" s="76"/>
      <c r="BX3038" s="76"/>
      <c r="BY3038" s="76"/>
      <c r="BZ3038" s="76"/>
      <c r="CA3038" s="76"/>
      <c r="CB3038" s="76"/>
      <c r="CC3038" s="76"/>
      <c r="CD3038" s="76"/>
      <c r="CE3038" s="76"/>
      <c r="CF3038" s="76">
        <f>+CE3038*28000</f>
        <v>0</v>
      </c>
      <c r="CG3038" s="76"/>
      <c r="CH3038" s="76">
        <f>+CG3038*22500</f>
        <v>0</v>
      </c>
      <c r="CI3038" s="76"/>
      <c r="CJ3038" s="76">
        <f>+CI3038*26000</f>
        <v>0</v>
      </c>
      <c r="CK3038" s="76"/>
      <c r="CL3038" s="76"/>
      <c r="CM3038" s="76"/>
      <c r="CN3038" s="76">
        <f>+CM3038*22000</f>
        <v>0</v>
      </c>
      <c r="CO3038" s="76"/>
      <c r="CP3038" s="76">
        <f>+CO3038*46000</f>
        <v>0</v>
      </c>
      <c r="CQ3038" s="76"/>
      <c r="CR3038" s="76">
        <f>+CQ3038*49000</f>
        <v>0</v>
      </c>
      <c r="CS3038" s="76"/>
      <c r="CT3038" s="76"/>
      <c r="CU3038" s="56">
        <f>AN3038+AP3038+AR3038+AT3038+AV3038+AX3038+AZ3038+BB3038+BD3038+BF3038+BH3038+BJ3038+BL3038+BN3038+BP3038+BR3038+BT3038+BV3038+BX3038+BZ3038+CB3038+CD3038+CF3038+CH3038+CJ3038+CL3038+CN3038+CP3038+CR3038+CT3038</f>
        <v>0</v>
      </c>
      <c r="CV3038" s="76"/>
      <c r="CW3038" s="76">
        <f>+CV3038*1100</f>
        <v>0</v>
      </c>
      <c r="CX3038" s="76"/>
      <c r="CY3038" s="76">
        <f>+CX3038*106250</f>
        <v>0</v>
      </c>
      <c r="CZ3038" s="76"/>
      <c r="DA3038" s="76">
        <f>+CZ3038*34500</f>
        <v>0</v>
      </c>
      <c r="DB3038" s="76"/>
      <c r="DC3038" s="76">
        <f>+DB3038*25000</f>
        <v>0</v>
      </c>
      <c r="DD3038" s="219"/>
      <c r="DE3038" s="219"/>
      <c r="DF3038" s="166"/>
      <c r="DG3038" s="116"/>
      <c r="DH3038" s="117"/>
      <c r="DI3038" s="24"/>
      <c r="DJ3038" s="24"/>
      <c r="DK3038" s="24"/>
      <c r="DL3038" s="24"/>
      <c r="DM3038" s="24"/>
      <c r="DN3038" s="24"/>
      <c r="DO3038" s="24"/>
      <c r="DP3038" s="24"/>
      <c r="DQ3038" s="24"/>
      <c r="DR3038" s="24"/>
      <c r="DS3038" s="24"/>
      <c r="DT3038" s="24"/>
      <c r="DU3038" s="24"/>
    </row>
    <row r="3039" spans="1:125" s="8" customFormat="1" ht="108" x14ac:dyDescent="0.2">
      <c r="A3039" s="77">
        <v>41533</v>
      </c>
      <c r="B3039" s="352" t="s">
        <v>2772</v>
      </c>
      <c r="C3039" s="354" t="s">
        <v>2120</v>
      </c>
      <c r="D3039" s="354" t="s">
        <v>3017</v>
      </c>
      <c r="E3039" s="296" t="str">
        <f>VLOOKUP(B3039&amp;C3039,Divipola!$C$2:$F$1138,4,FALSE)</f>
        <v>25785</v>
      </c>
      <c r="F3039" s="87"/>
      <c r="G3039" s="87"/>
      <c r="H3039" s="87"/>
      <c r="I3039" s="87">
        <v>10</v>
      </c>
      <c r="J3039" s="87">
        <v>2</v>
      </c>
      <c r="K3039" s="87">
        <v>2</v>
      </c>
      <c r="L3039" s="87"/>
      <c r="M3039" s="87"/>
      <c r="N3039" s="87"/>
      <c r="O3039" s="87"/>
      <c r="P3039" s="87"/>
      <c r="Q3039" s="87"/>
      <c r="R3039" s="87"/>
      <c r="S3039" s="87"/>
      <c r="T3039" s="87"/>
      <c r="U3039" s="88"/>
      <c r="V3039" s="89"/>
      <c r="W3039" s="96">
        <v>0</v>
      </c>
      <c r="X3039" s="71">
        <f>CU3039</f>
        <v>0</v>
      </c>
      <c r="Y3039" s="71">
        <f>CY3039</f>
        <v>0</v>
      </c>
      <c r="Z3039" s="71">
        <f>DA3039+DC3039+DE3039</f>
        <v>0</v>
      </c>
      <c r="AA3039" s="71">
        <f>CW3039</f>
        <v>0</v>
      </c>
      <c r="AB3039" s="71"/>
      <c r="AC3039" s="71">
        <v>0</v>
      </c>
      <c r="AD3039" s="71">
        <f>W3039+X3039+Y3039+Z3039+AA3039+AB3039+AC3039</f>
        <v>0</v>
      </c>
      <c r="AE3039" s="72">
        <v>0</v>
      </c>
      <c r="AF3039" s="5"/>
      <c r="AG3039" s="6"/>
      <c r="AH3039" s="27"/>
      <c r="AI3039" s="44"/>
      <c r="AJ3039" s="26"/>
      <c r="AK3039" s="5"/>
      <c r="AL3039" s="274" t="s">
        <v>5939</v>
      </c>
      <c r="AM3039" s="76"/>
      <c r="AN3039" s="76"/>
      <c r="AO3039" s="76"/>
      <c r="AP3039" s="76"/>
      <c r="AQ3039" s="76"/>
      <c r="AR3039" s="76"/>
      <c r="AS3039" s="76"/>
      <c r="AT3039" s="76"/>
      <c r="AU3039" s="76"/>
      <c r="AV3039" s="76"/>
      <c r="AW3039" s="76"/>
      <c r="AX3039" s="76">
        <f>+AW3039*600000</f>
        <v>0</v>
      </c>
      <c r="AY3039" s="76"/>
      <c r="AZ3039" s="76">
        <f>+AY3039*70000</f>
        <v>0</v>
      </c>
      <c r="BA3039" s="76"/>
      <c r="BB3039" s="76"/>
      <c r="BC3039" s="76"/>
      <c r="BD3039" s="76">
        <f>+BC3039*30000</f>
        <v>0</v>
      </c>
      <c r="BE3039" s="76"/>
      <c r="BF3039" s="76"/>
      <c r="BG3039" s="76"/>
      <c r="BH3039" s="76"/>
      <c r="BI3039" s="76"/>
      <c r="BJ3039" s="76"/>
      <c r="BK3039" s="76"/>
      <c r="BL3039" s="76">
        <f>+BK3039*31500</f>
        <v>0</v>
      </c>
      <c r="BM3039" s="76"/>
      <c r="BN3039" s="76"/>
      <c r="BO3039" s="76"/>
      <c r="BP3039" s="76"/>
      <c r="BQ3039" s="76"/>
      <c r="BR3039" s="76"/>
      <c r="BS3039" s="76"/>
      <c r="BT3039" s="76"/>
      <c r="BU3039" s="76"/>
      <c r="BV3039" s="76"/>
      <c r="BW3039" s="76"/>
      <c r="BX3039" s="76"/>
      <c r="BY3039" s="76"/>
      <c r="BZ3039" s="76"/>
      <c r="CA3039" s="76"/>
      <c r="CB3039" s="76"/>
      <c r="CC3039" s="76"/>
      <c r="CD3039" s="76"/>
      <c r="CE3039" s="76"/>
      <c r="CF3039" s="76">
        <f>+CE3039*28000</f>
        <v>0</v>
      </c>
      <c r="CG3039" s="76"/>
      <c r="CH3039" s="76">
        <f>+CG3039*22500</f>
        <v>0</v>
      </c>
      <c r="CI3039" s="76"/>
      <c r="CJ3039" s="76">
        <f>+CI3039*26000</f>
        <v>0</v>
      </c>
      <c r="CK3039" s="76"/>
      <c r="CL3039" s="76"/>
      <c r="CM3039" s="76"/>
      <c r="CN3039" s="76">
        <f>+CM3039*22000</f>
        <v>0</v>
      </c>
      <c r="CO3039" s="76"/>
      <c r="CP3039" s="76">
        <f>+CO3039*46000</f>
        <v>0</v>
      </c>
      <c r="CQ3039" s="76"/>
      <c r="CR3039" s="76">
        <f>+CQ3039*49000</f>
        <v>0</v>
      </c>
      <c r="CS3039" s="76"/>
      <c r="CT3039" s="76"/>
      <c r="CU3039" s="56">
        <f>AN3039+AP3039+AR3039+AT3039+AV3039+AX3039+AZ3039+BB3039+BD3039+BF3039+BH3039+BJ3039+BL3039+BN3039+BP3039+BR3039+BT3039+BV3039+BX3039+BZ3039+CB3039+CD3039+CF3039+CH3039+CJ3039+CL3039+CN3039+CP3039+CR3039+CT3039</f>
        <v>0</v>
      </c>
      <c r="CV3039" s="76"/>
      <c r="CW3039" s="76">
        <f>+CV3039*1100</f>
        <v>0</v>
      </c>
      <c r="CX3039" s="76"/>
      <c r="CY3039" s="76">
        <f>+CX3039*106250</f>
        <v>0</v>
      </c>
      <c r="CZ3039" s="76"/>
      <c r="DA3039" s="76">
        <f>+CZ3039*34500</f>
        <v>0</v>
      </c>
      <c r="DB3039" s="76"/>
      <c r="DC3039" s="76">
        <f>+DB3039*25000</f>
        <v>0</v>
      </c>
      <c r="DD3039" s="219"/>
      <c r="DE3039" s="219"/>
      <c r="DF3039" s="166"/>
      <c r="DG3039" s="116"/>
      <c r="DH3039" s="117"/>
      <c r="DI3039" s="24"/>
      <c r="DJ3039" s="24"/>
      <c r="DK3039" s="24"/>
      <c r="DL3039" s="24"/>
      <c r="DM3039" s="24"/>
      <c r="DN3039" s="24"/>
      <c r="DO3039" s="24"/>
      <c r="DP3039" s="24"/>
      <c r="DQ3039" s="24"/>
      <c r="DR3039" s="24"/>
      <c r="DS3039" s="24"/>
      <c r="DT3039" s="24"/>
      <c r="DU3039" s="24"/>
    </row>
    <row r="3040" spans="1:125" s="8" customFormat="1" ht="48" x14ac:dyDescent="0.2">
      <c r="A3040" s="77">
        <v>41533</v>
      </c>
      <c r="B3040" s="78" t="s">
        <v>1764</v>
      </c>
      <c r="C3040" s="75" t="s">
        <v>1764</v>
      </c>
      <c r="D3040" s="75" t="s">
        <v>3051</v>
      </c>
      <c r="E3040" s="296" t="str">
        <f>VLOOKUP(B3040&amp;C3040,Divipola!$C$2:$F$1138,4,FALSE)</f>
        <v>88001</v>
      </c>
      <c r="F3040" s="87"/>
      <c r="G3040" s="87"/>
      <c r="H3040" s="87"/>
      <c r="I3040" s="87">
        <v>400</v>
      </c>
      <c r="J3040" s="87">
        <v>80</v>
      </c>
      <c r="K3040" s="87"/>
      <c r="L3040" s="87">
        <v>80</v>
      </c>
      <c r="M3040" s="87"/>
      <c r="N3040" s="87"/>
      <c r="O3040" s="87"/>
      <c r="P3040" s="87"/>
      <c r="Q3040" s="87"/>
      <c r="R3040" s="87"/>
      <c r="S3040" s="87"/>
      <c r="T3040" s="87"/>
      <c r="U3040" s="88"/>
      <c r="V3040" s="89"/>
      <c r="W3040" s="96">
        <v>0</v>
      </c>
      <c r="X3040" s="71">
        <f>CU3040</f>
        <v>0</v>
      </c>
      <c r="Y3040" s="71">
        <f>CY3040</f>
        <v>0</v>
      </c>
      <c r="Z3040" s="71">
        <f>DA3040+DC3040+DE3040</f>
        <v>0</v>
      </c>
      <c r="AA3040" s="71">
        <f>CW3040</f>
        <v>0</v>
      </c>
      <c r="AB3040" s="71"/>
      <c r="AC3040" s="71">
        <v>0</v>
      </c>
      <c r="AD3040" s="71">
        <f>W3040+X3040+Y3040+Z3040+AA3040+AB3040+AC3040</f>
        <v>0</v>
      </c>
      <c r="AE3040" s="72">
        <v>0</v>
      </c>
      <c r="AF3040" s="5"/>
      <c r="AG3040" s="6"/>
      <c r="AH3040" s="27"/>
      <c r="AI3040" s="44"/>
      <c r="AJ3040" s="26"/>
      <c r="AK3040" s="5"/>
      <c r="AL3040" s="268" t="s">
        <v>5941</v>
      </c>
      <c r="AM3040" s="76"/>
      <c r="AN3040" s="76"/>
      <c r="AO3040" s="76"/>
      <c r="AP3040" s="76"/>
      <c r="AQ3040" s="76"/>
      <c r="AR3040" s="76"/>
      <c r="AS3040" s="76"/>
      <c r="AT3040" s="76"/>
      <c r="AU3040" s="76"/>
      <c r="AV3040" s="76"/>
      <c r="AW3040" s="76"/>
      <c r="AX3040" s="76">
        <f>+AW3040*600000</f>
        <v>0</v>
      </c>
      <c r="AY3040" s="76"/>
      <c r="AZ3040" s="76">
        <f>+AY3040*70000</f>
        <v>0</v>
      </c>
      <c r="BA3040" s="76"/>
      <c r="BB3040" s="76"/>
      <c r="BC3040" s="76"/>
      <c r="BD3040" s="76">
        <f>+BC3040*30000</f>
        <v>0</v>
      </c>
      <c r="BE3040" s="76"/>
      <c r="BF3040" s="76"/>
      <c r="BG3040" s="76"/>
      <c r="BH3040" s="76"/>
      <c r="BI3040" s="76"/>
      <c r="BJ3040" s="76"/>
      <c r="BK3040" s="76"/>
      <c r="BL3040" s="76">
        <f>+BK3040*31500</f>
        <v>0</v>
      </c>
      <c r="BM3040" s="76"/>
      <c r="BN3040" s="76"/>
      <c r="BO3040" s="76"/>
      <c r="BP3040" s="76"/>
      <c r="BQ3040" s="76"/>
      <c r="BR3040" s="76"/>
      <c r="BS3040" s="76"/>
      <c r="BT3040" s="76"/>
      <c r="BU3040" s="76"/>
      <c r="BV3040" s="76"/>
      <c r="BW3040" s="76"/>
      <c r="BX3040" s="76"/>
      <c r="BY3040" s="76"/>
      <c r="BZ3040" s="76"/>
      <c r="CA3040" s="76"/>
      <c r="CB3040" s="76"/>
      <c r="CC3040" s="76"/>
      <c r="CD3040" s="76"/>
      <c r="CE3040" s="76"/>
      <c r="CF3040" s="76">
        <f>+CE3040*28000</f>
        <v>0</v>
      </c>
      <c r="CG3040" s="76"/>
      <c r="CH3040" s="76">
        <f>+CG3040*22500</f>
        <v>0</v>
      </c>
      <c r="CI3040" s="76"/>
      <c r="CJ3040" s="76">
        <f>+CI3040*26000</f>
        <v>0</v>
      </c>
      <c r="CK3040" s="76"/>
      <c r="CL3040" s="76"/>
      <c r="CM3040" s="76"/>
      <c r="CN3040" s="76">
        <f>+CM3040*22000</f>
        <v>0</v>
      </c>
      <c r="CO3040" s="76"/>
      <c r="CP3040" s="76">
        <f>+CO3040*46000</f>
        <v>0</v>
      </c>
      <c r="CQ3040" s="76"/>
      <c r="CR3040" s="76">
        <f>+CQ3040*49000</f>
        <v>0</v>
      </c>
      <c r="CS3040" s="76"/>
      <c r="CT3040" s="76"/>
      <c r="CU3040" s="56">
        <f>AN3040+AP3040+AR3040+AT3040+AV3040+AX3040+AZ3040+BB3040+BD3040+BF3040+BH3040+BJ3040+BL3040+BN3040+BP3040+BR3040+BT3040+BV3040+BX3040+BZ3040+CB3040+CD3040+CF3040+CH3040+CJ3040+CL3040+CN3040+CP3040+CR3040+CT3040</f>
        <v>0</v>
      </c>
      <c r="CV3040" s="76"/>
      <c r="CW3040" s="76">
        <f>+CV3040*1100</f>
        <v>0</v>
      </c>
      <c r="CX3040" s="76"/>
      <c r="CY3040" s="76">
        <f>+CX3040*106250</f>
        <v>0</v>
      </c>
      <c r="CZ3040" s="76"/>
      <c r="DA3040" s="76">
        <f>+CZ3040*34500</f>
        <v>0</v>
      </c>
      <c r="DB3040" s="76"/>
      <c r="DC3040" s="76">
        <f>+DB3040*25000</f>
        <v>0</v>
      </c>
      <c r="DD3040" s="219"/>
      <c r="DE3040" s="219"/>
      <c r="DF3040" s="166"/>
      <c r="DG3040" s="116"/>
      <c r="DH3040" s="117"/>
      <c r="DI3040" s="24"/>
      <c r="DJ3040" s="24"/>
      <c r="DK3040" s="24"/>
      <c r="DL3040" s="24"/>
      <c r="DM3040" s="24"/>
      <c r="DN3040" s="24"/>
      <c r="DO3040" s="24"/>
      <c r="DP3040" s="24"/>
      <c r="DQ3040" s="24"/>
      <c r="DR3040" s="24"/>
      <c r="DS3040" s="24"/>
      <c r="DT3040" s="24"/>
      <c r="DU3040" s="24"/>
    </row>
    <row r="3041" spans="1:125" s="8" customFormat="1" ht="195" x14ac:dyDescent="0.2">
      <c r="A3041" s="77">
        <v>41533</v>
      </c>
      <c r="B3041" s="352" t="s">
        <v>2848</v>
      </c>
      <c r="C3041" s="354" t="s">
        <v>2791</v>
      </c>
      <c r="D3041" s="354" t="s">
        <v>2846</v>
      </c>
      <c r="E3041" s="296" t="str">
        <f>VLOOKUP(B3041&amp;C3041,Divipola!$C$2:$F$1138,4,FALSE)</f>
        <v>73585</v>
      </c>
      <c r="F3041" s="87"/>
      <c r="G3041" s="87"/>
      <c r="H3041" s="87"/>
      <c r="I3041" s="87"/>
      <c r="J3041" s="87"/>
      <c r="K3041" s="87"/>
      <c r="L3041" s="87"/>
      <c r="M3041" s="87"/>
      <c r="N3041" s="87"/>
      <c r="O3041" s="87"/>
      <c r="P3041" s="87"/>
      <c r="Q3041" s="87"/>
      <c r="R3041" s="87"/>
      <c r="S3041" s="87"/>
      <c r="T3041" s="87"/>
      <c r="U3041" s="88"/>
      <c r="V3041" s="89"/>
      <c r="W3041" s="96">
        <v>0</v>
      </c>
      <c r="X3041" s="71">
        <f>CU3041</f>
        <v>0</v>
      </c>
      <c r="Y3041" s="71">
        <f>CY3041</f>
        <v>0</v>
      </c>
      <c r="Z3041" s="71">
        <f>DA3041+DC3041+DE3041</f>
        <v>0</v>
      </c>
      <c r="AA3041" s="71">
        <f>CW3041</f>
        <v>0</v>
      </c>
      <c r="AB3041" s="71"/>
      <c r="AC3041" s="71">
        <v>0</v>
      </c>
      <c r="AD3041" s="71">
        <f>W3041+X3041+Y3041+Z3041+AA3041+AB3041+AC3041</f>
        <v>0</v>
      </c>
      <c r="AE3041" s="72">
        <v>0</v>
      </c>
      <c r="AF3041" s="5"/>
      <c r="AG3041" s="6"/>
      <c r="AH3041" s="27"/>
      <c r="AI3041" s="44"/>
      <c r="AJ3041" s="26"/>
      <c r="AK3041" s="5"/>
      <c r="AL3041" s="274" t="s">
        <v>5940</v>
      </c>
      <c r="AM3041" s="76"/>
      <c r="AN3041" s="76"/>
      <c r="AO3041" s="76"/>
      <c r="AP3041" s="76"/>
      <c r="AQ3041" s="76"/>
      <c r="AR3041" s="76"/>
      <c r="AS3041" s="76"/>
      <c r="AT3041" s="76"/>
      <c r="AU3041" s="76"/>
      <c r="AV3041" s="76"/>
      <c r="AW3041" s="76"/>
      <c r="AX3041" s="76">
        <f>+AW3041*600000</f>
        <v>0</v>
      </c>
      <c r="AY3041" s="76"/>
      <c r="AZ3041" s="76">
        <f>+AY3041*70000</f>
        <v>0</v>
      </c>
      <c r="BA3041" s="76"/>
      <c r="BB3041" s="76"/>
      <c r="BC3041" s="76"/>
      <c r="BD3041" s="76">
        <f>+BC3041*30000</f>
        <v>0</v>
      </c>
      <c r="BE3041" s="76"/>
      <c r="BF3041" s="76"/>
      <c r="BG3041" s="76"/>
      <c r="BH3041" s="76"/>
      <c r="BI3041" s="76"/>
      <c r="BJ3041" s="76"/>
      <c r="BK3041" s="76"/>
      <c r="BL3041" s="76">
        <f>+BK3041*31500</f>
        <v>0</v>
      </c>
      <c r="BM3041" s="76"/>
      <c r="BN3041" s="76"/>
      <c r="BO3041" s="76"/>
      <c r="BP3041" s="76"/>
      <c r="BQ3041" s="76"/>
      <c r="BR3041" s="76"/>
      <c r="BS3041" s="76"/>
      <c r="BT3041" s="76"/>
      <c r="BU3041" s="76"/>
      <c r="BV3041" s="76"/>
      <c r="BW3041" s="76"/>
      <c r="BX3041" s="76"/>
      <c r="BY3041" s="76"/>
      <c r="BZ3041" s="76"/>
      <c r="CA3041" s="76"/>
      <c r="CB3041" s="76"/>
      <c r="CC3041" s="76"/>
      <c r="CD3041" s="76"/>
      <c r="CE3041" s="76"/>
      <c r="CF3041" s="76">
        <f>+CE3041*28000</f>
        <v>0</v>
      </c>
      <c r="CG3041" s="76"/>
      <c r="CH3041" s="76">
        <f>+CG3041*22500</f>
        <v>0</v>
      </c>
      <c r="CI3041" s="76"/>
      <c r="CJ3041" s="76">
        <f>+CI3041*26000</f>
        <v>0</v>
      </c>
      <c r="CK3041" s="76"/>
      <c r="CL3041" s="76"/>
      <c r="CM3041" s="76"/>
      <c r="CN3041" s="76">
        <f>+CM3041*22000</f>
        <v>0</v>
      </c>
      <c r="CO3041" s="76"/>
      <c r="CP3041" s="76">
        <f>+CO3041*46000</f>
        <v>0</v>
      </c>
      <c r="CQ3041" s="76"/>
      <c r="CR3041" s="76">
        <f>+CQ3041*49000</f>
        <v>0</v>
      </c>
      <c r="CS3041" s="76"/>
      <c r="CT3041" s="76"/>
      <c r="CU3041" s="56">
        <f>AN3041+AP3041+AR3041+AT3041+AV3041+AX3041+AZ3041+BB3041+BD3041+BF3041+BH3041+BJ3041+BL3041+BN3041+BP3041+BR3041+BT3041+BV3041+BX3041+BZ3041+CB3041+CD3041+CF3041+CH3041+CJ3041+CL3041+CN3041+CP3041+CR3041+CT3041</f>
        <v>0</v>
      </c>
      <c r="CV3041" s="76"/>
      <c r="CW3041" s="76">
        <f>+CV3041*1100</f>
        <v>0</v>
      </c>
      <c r="CX3041" s="76"/>
      <c r="CY3041" s="76">
        <f>+CX3041*106250</f>
        <v>0</v>
      </c>
      <c r="CZ3041" s="76"/>
      <c r="DA3041" s="76">
        <f>+CZ3041*34500</f>
        <v>0</v>
      </c>
      <c r="DB3041" s="76"/>
      <c r="DC3041" s="76">
        <f>+DB3041*25000</f>
        <v>0</v>
      </c>
      <c r="DD3041" s="219"/>
      <c r="DE3041" s="219"/>
      <c r="DF3041" s="166"/>
      <c r="DG3041" s="116"/>
      <c r="DH3041" s="117"/>
      <c r="DI3041" s="24"/>
      <c r="DJ3041" s="24"/>
      <c r="DK3041" s="24"/>
      <c r="DL3041" s="24"/>
      <c r="DM3041" s="24"/>
      <c r="DN3041" s="24"/>
      <c r="DO3041" s="24"/>
      <c r="DP3041" s="24"/>
      <c r="DQ3041" s="24"/>
      <c r="DR3041" s="24"/>
      <c r="DS3041" s="24"/>
      <c r="DT3041" s="24"/>
      <c r="DU3041" s="24"/>
    </row>
    <row r="3042" spans="1:125" s="8" customFormat="1" ht="72" x14ac:dyDescent="0.2">
      <c r="A3042" s="77">
        <v>41533</v>
      </c>
      <c r="B3042" s="352" t="s">
        <v>2848</v>
      </c>
      <c r="C3042" s="354" t="s">
        <v>1685</v>
      </c>
      <c r="D3042" s="354" t="s">
        <v>2846</v>
      </c>
      <c r="E3042" s="296" t="str">
        <f>VLOOKUP(B3042&amp;C3042,Divipola!$C$2:$F$1138,4,FALSE)</f>
        <v>73873</v>
      </c>
      <c r="F3042" s="87"/>
      <c r="G3042" s="87"/>
      <c r="H3042" s="87"/>
      <c r="I3042" s="87"/>
      <c r="J3042" s="87"/>
      <c r="K3042" s="87"/>
      <c r="L3042" s="87"/>
      <c r="M3042" s="87"/>
      <c r="N3042" s="87"/>
      <c r="O3042" s="87"/>
      <c r="P3042" s="87"/>
      <c r="Q3042" s="87"/>
      <c r="R3042" s="87"/>
      <c r="S3042" s="87"/>
      <c r="T3042" s="87"/>
      <c r="U3042" s="88">
        <v>80</v>
      </c>
      <c r="V3042" s="89"/>
      <c r="W3042" s="96">
        <v>0</v>
      </c>
      <c r="X3042" s="71">
        <f>CU3042</f>
        <v>0</v>
      </c>
      <c r="Y3042" s="71">
        <f>CY3042</f>
        <v>0</v>
      </c>
      <c r="Z3042" s="71">
        <f>DA3042+DC3042+DE3042</f>
        <v>0</v>
      </c>
      <c r="AA3042" s="71">
        <f>CW3042</f>
        <v>0</v>
      </c>
      <c r="AB3042" s="71"/>
      <c r="AC3042" s="71">
        <v>0</v>
      </c>
      <c r="AD3042" s="71">
        <f>W3042+X3042+Y3042+Z3042+AA3042+AB3042+AC3042</f>
        <v>0</v>
      </c>
      <c r="AE3042" s="72">
        <v>0</v>
      </c>
      <c r="AF3042" s="5"/>
      <c r="AG3042" s="6"/>
      <c r="AH3042" s="27"/>
      <c r="AI3042" s="44"/>
      <c r="AJ3042" s="26"/>
      <c r="AK3042" s="5"/>
      <c r="AL3042" s="274" t="s">
        <v>5953</v>
      </c>
      <c r="AM3042" s="76"/>
      <c r="AN3042" s="76"/>
      <c r="AO3042" s="76"/>
      <c r="AP3042" s="76"/>
      <c r="AQ3042" s="76"/>
      <c r="AR3042" s="76"/>
      <c r="AS3042" s="76"/>
      <c r="AT3042" s="76"/>
      <c r="AU3042" s="76"/>
      <c r="AV3042" s="76"/>
      <c r="AW3042" s="76"/>
      <c r="AX3042" s="76">
        <f>+AW3042*600000</f>
        <v>0</v>
      </c>
      <c r="AY3042" s="76"/>
      <c r="AZ3042" s="76">
        <f>+AY3042*70000</f>
        <v>0</v>
      </c>
      <c r="BA3042" s="76"/>
      <c r="BB3042" s="76"/>
      <c r="BC3042" s="76"/>
      <c r="BD3042" s="76">
        <f>+BC3042*30000</f>
        <v>0</v>
      </c>
      <c r="BE3042" s="76"/>
      <c r="BF3042" s="76"/>
      <c r="BG3042" s="76"/>
      <c r="BH3042" s="76"/>
      <c r="BI3042" s="76"/>
      <c r="BJ3042" s="76"/>
      <c r="BK3042" s="76"/>
      <c r="BL3042" s="76">
        <f>+BK3042*31500</f>
        <v>0</v>
      </c>
      <c r="BM3042" s="76"/>
      <c r="BN3042" s="76"/>
      <c r="BO3042" s="76"/>
      <c r="BP3042" s="76"/>
      <c r="BQ3042" s="76"/>
      <c r="BR3042" s="76"/>
      <c r="BS3042" s="76"/>
      <c r="BT3042" s="76"/>
      <c r="BU3042" s="76"/>
      <c r="BV3042" s="76"/>
      <c r="BW3042" s="76"/>
      <c r="BX3042" s="76"/>
      <c r="BY3042" s="76"/>
      <c r="BZ3042" s="76"/>
      <c r="CA3042" s="76"/>
      <c r="CB3042" s="76"/>
      <c r="CC3042" s="76"/>
      <c r="CD3042" s="76"/>
      <c r="CE3042" s="76"/>
      <c r="CF3042" s="76">
        <f>+CE3042*28000</f>
        <v>0</v>
      </c>
      <c r="CG3042" s="76"/>
      <c r="CH3042" s="76">
        <f>+CG3042*22500</f>
        <v>0</v>
      </c>
      <c r="CI3042" s="76"/>
      <c r="CJ3042" s="76">
        <f>+CI3042*26000</f>
        <v>0</v>
      </c>
      <c r="CK3042" s="76"/>
      <c r="CL3042" s="76"/>
      <c r="CM3042" s="76"/>
      <c r="CN3042" s="76">
        <f>+CM3042*22000</f>
        <v>0</v>
      </c>
      <c r="CO3042" s="76"/>
      <c r="CP3042" s="76">
        <f>+CO3042*46000</f>
        <v>0</v>
      </c>
      <c r="CQ3042" s="76"/>
      <c r="CR3042" s="76">
        <f>+CQ3042*49000</f>
        <v>0</v>
      </c>
      <c r="CS3042" s="76"/>
      <c r="CT3042" s="76"/>
      <c r="CU3042" s="56">
        <f>AN3042+AP3042+AR3042+AT3042+AV3042+AX3042+AZ3042+BB3042+BD3042+BF3042+BH3042+BJ3042+BL3042+BN3042+BP3042+BR3042+BT3042+BV3042+BX3042+BZ3042+CB3042+CD3042+CF3042+CH3042+CJ3042+CL3042+CN3042+CP3042+CR3042+CT3042</f>
        <v>0</v>
      </c>
      <c r="CV3042" s="76"/>
      <c r="CW3042" s="76">
        <f>+CV3042*1100</f>
        <v>0</v>
      </c>
      <c r="CX3042" s="76"/>
      <c r="CY3042" s="76">
        <f>+CX3042*106250</f>
        <v>0</v>
      </c>
      <c r="CZ3042" s="76"/>
      <c r="DA3042" s="76">
        <f>+CZ3042*34500</f>
        <v>0</v>
      </c>
      <c r="DB3042" s="76"/>
      <c r="DC3042" s="76">
        <f>+DB3042*25000</f>
        <v>0</v>
      </c>
      <c r="DD3042" s="219"/>
      <c r="DE3042" s="219"/>
      <c r="DF3042" s="166"/>
      <c r="DG3042" s="116"/>
      <c r="DH3042" s="117"/>
      <c r="DI3042" s="24"/>
      <c r="DJ3042" s="24"/>
      <c r="DK3042" s="24"/>
      <c r="DL3042" s="24"/>
      <c r="DM3042" s="24"/>
      <c r="DN3042" s="24"/>
      <c r="DO3042" s="24"/>
      <c r="DP3042" s="24"/>
      <c r="DQ3042" s="24"/>
      <c r="DR3042" s="24"/>
      <c r="DS3042" s="24"/>
      <c r="DT3042" s="24"/>
      <c r="DU3042" s="24"/>
    </row>
    <row r="3043" spans="1:125" s="8" customFormat="1" ht="144" x14ac:dyDescent="0.2">
      <c r="A3043" s="77">
        <v>41533</v>
      </c>
      <c r="B3043" s="352" t="s">
        <v>2851</v>
      </c>
      <c r="C3043" s="354" t="s">
        <v>1686</v>
      </c>
      <c r="D3043" s="354" t="s">
        <v>3051</v>
      </c>
      <c r="E3043" s="296" t="str">
        <f>VLOOKUP(B3043&amp;C3043,Divipola!$C$2:$F$1138,4,FALSE)</f>
        <v>76001</v>
      </c>
      <c r="F3043" s="87"/>
      <c r="G3043" s="87">
        <v>1</v>
      </c>
      <c r="H3043" s="87"/>
      <c r="I3043" s="87">
        <v>75</v>
      </c>
      <c r="J3043" s="87">
        <v>15</v>
      </c>
      <c r="K3043" s="87"/>
      <c r="L3043" s="87">
        <v>15</v>
      </c>
      <c r="M3043" s="87"/>
      <c r="N3043" s="87"/>
      <c r="O3043" s="87"/>
      <c r="P3043" s="87"/>
      <c r="Q3043" s="87"/>
      <c r="R3043" s="87"/>
      <c r="S3043" s="87"/>
      <c r="T3043" s="87"/>
      <c r="U3043" s="88"/>
      <c r="V3043" s="89"/>
      <c r="W3043" s="96">
        <v>0</v>
      </c>
      <c r="X3043" s="71">
        <f>CU3043</f>
        <v>0</v>
      </c>
      <c r="Y3043" s="71">
        <f>CY3043</f>
        <v>0</v>
      </c>
      <c r="Z3043" s="71">
        <f>DA3043+DC3043+DE3043</f>
        <v>0</v>
      </c>
      <c r="AA3043" s="71">
        <f>CW3043</f>
        <v>0</v>
      </c>
      <c r="AB3043" s="71"/>
      <c r="AC3043" s="71">
        <v>0</v>
      </c>
      <c r="AD3043" s="71">
        <f>W3043+X3043+Y3043+Z3043+AA3043+AB3043+AC3043</f>
        <v>0</v>
      </c>
      <c r="AE3043" s="72">
        <v>0</v>
      </c>
      <c r="AF3043" s="5"/>
      <c r="AG3043" s="6"/>
      <c r="AH3043" s="27"/>
      <c r="AI3043" s="44"/>
      <c r="AJ3043" s="26"/>
      <c r="AK3043" s="5"/>
      <c r="AL3043" s="82" t="s">
        <v>5930</v>
      </c>
      <c r="AM3043" s="76"/>
      <c r="AN3043" s="76"/>
      <c r="AO3043" s="76"/>
      <c r="AP3043" s="76"/>
      <c r="AQ3043" s="76"/>
      <c r="AR3043" s="76"/>
      <c r="AS3043" s="76"/>
      <c r="AT3043" s="76"/>
      <c r="AU3043" s="76"/>
      <c r="AV3043" s="76"/>
      <c r="AW3043" s="76"/>
      <c r="AX3043" s="76">
        <f>+AW3043*600000</f>
        <v>0</v>
      </c>
      <c r="AY3043" s="76"/>
      <c r="AZ3043" s="76">
        <f>+AY3043*70000</f>
        <v>0</v>
      </c>
      <c r="BA3043" s="76"/>
      <c r="BB3043" s="76"/>
      <c r="BC3043" s="76"/>
      <c r="BD3043" s="76">
        <f>+BC3043*30000</f>
        <v>0</v>
      </c>
      <c r="BE3043" s="76"/>
      <c r="BF3043" s="76"/>
      <c r="BG3043" s="76"/>
      <c r="BH3043" s="76"/>
      <c r="BI3043" s="76"/>
      <c r="BJ3043" s="76"/>
      <c r="BK3043" s="76"/>
      <c r="BL3043" s="76">
        <f>+BK3043*31500</f>
        <v>0</v>
      </c>
      <c r="BM3043" s="76"/>
      <c r="BN3043" s="76"/>
      <c r="BO3043" s="76"/>
      <c r="BP3043" s="76"/>
      <c r="BQ3043" s="76"/>
      <c r="BR3043" s="76"/>
      <c r="BS3043" s="76"/>
      <c r="BT3043" s="76"/>
      <c r="BU3043" s="76"/>
      <c r="BV3043" s="76"/>
      <c r="BW3043" s="76"/>
      <c r="BX3043" s="76"/>
      <c r="BY3043" s="76"/>
      <c r="BZ3043" s="76"/>
      <c r="CA3043" s="76"/>
      <c r="CB3043" s="76"/>
      <c r="CC3043" s="76"/>
      <c r="CD3043" s="76"/>
      <c r="CE3043" s="76"/>
      <c r="CF3043" s="76">
        <f>+CE3043*28000</f>
        <v>0</v>
      </c>
      <c r="CG3043" s="76"/>
      <c r="CH3043" s="76">
        <f>+CG3043*22500</f>
        <v>0</v>
      </c>
      <c r="CI3043" s="76"/>
      <c r="CJ3043" s="76">
        <f>+CI3043*26000</f>
        <v>0</v>
      </c>
      <c r="CK3043" s="76"/>
      <c r="CL3043" s="76"/>
      <c r="CM3043" s="76"/>
      <c r="CN3043" s="76">
        <f>+CM3043*22000</f>
        <v>0</v>
      </c>
      <c r="CO3043" s="76"/>
      <c r="CP3043" s="76">
        <f>+CO3043*46000</f>
        <v>0</v>
      </c>
      <c r="CQ3043" s="76"/>
      <c r="CR3043" s="76">
        <f>+CQ3043*49000</f>
        <v>0</v>
      </c>
      <c r="CS3043" s="76"/>
      <c r="CT3043" s="76"/>
      <c r="CU3043" s="56">
        <f>AN3043+AP3043+AR3043+AT3043+AV3043+AX3043+AZ3043+BB3043+BD3043+BF3043+BH3043+BJ3043+BL3043+BN3043+BP3043+BR3043+BT3043+BV3043+BX3043+BZ3043+CB3043+CD3043+CF3043+CH3043+CJ3043+CL3043+CN3043+CP3043+CR3043+CT3043</f>
        <v>0</v>
      </c>
      <c r="CV3043" s="76"/>
      <c r="CW3043" s="76">
        <f>+CV3043*1100</f>
        <v>0</v>
      </c>
      <c r="CX3043" s="76"/>
      <c r="CY3043" s="76">
        <f>+CX3043*106250</f>
        <v>0</v>
      </c>
      <c r="CZ3043" s="76"/>
      <c r="DA3043" s="76">
        <f>+CZ3043*34500</f>
        <v>0</v>
      </c>
      <c r="DB3043" s="76"/>
      <c r="DC3043" s="76">
        <f>+DB3043*25000</f>
        <v>0</v>
      </c>
      <c r="DD3043" s="219"/>
      <c r="DE3043" s="219"/>
      <c r="DF3043" s="166"/>
      <c r="DG3043" s="116"/>
      <c r="DH3043" s="117"/>
      <c r="DI3043" s="24"/>
      <c r="DJ3043" s="24"/>
      <c r="DK3043" s="24"/>
      <c r="DL3043" s="24"/>
      <c r="DM3043" s="24"/>
      <c r="DN3043" s="24"/>
      <c r="DO3043" s="24"/>
      <c r="DP3043" s="24"/>
      <c r="DQ3043" s="24"/>
      <c r="DR3043" s="24"/>
      <c r="DS3043" s="24"/>
      <c r="DT3043" s="24"/>
      <c r="DU3043" s="24"/>
    </row>
    <row r="3044" spans="1:125" s="8" customFormat="1" ht="36" x14ac:dyDescent="0.2">
      <c r="A3044" s="77">
        <v>41533</v>
      </c>
      <c r="B3044" s="352" t="s">
        <v>2851</v>
      </c>
      <c r="C3044" s="354" t="s">
        <v>2201</v>
      </c>
      <c r="D3044" s="354" t="s">
        <v>2846</v>
      </c>
      <c r="E3044" s="296" t="str">
        <f>VLOOKUP(B3044&amp;C3044,Divipola!$C$2:$F$1138,4,FALSE)</f>
        <v>76863</v>
      </c>
      <c r="F3044" s="87"/>
      <c r="G3044" s="87"/>
      <c r="H3044" s="87"/>
      <c r="I3044" s="87"/>
      <c r="J3044" s="87"/>
      <c r="K3044" s="87"/>
      <c r="L3044" s="87"/>
      <c r="M3044" s="87"/>
      <c r="N3044" s="87"/>
      <c r="O3044" s="87"/>
      <c r="P3044" s="87"/>
      <c r="Q3044" s="87"/>
      <c r="R3044" s="87"/>
      <c r="S3044" s="87"/>
      <c r="T3044" s="87"/>
      <c r="U3044" s="88">
        <v>1</v>
      </c>
      <c r="V3044" s="89"/>
      <c r="W3044" s="96">
        <v>0</v>
      </c>
      <c r="X3044" s="71">
        <f>CU3044</f>
        <v>0</v>
      </c>
      <c r="Y3044" s="71">
        <f>CY3044</f>
        <v>0</v>
      </c>
      <c r="Z3044" s="71">
        <f>DA3044+DC3044+DE3044</f>
        <v>0</v>
      </c>
      <c r="AA3044" s="71">
        <f>CW3044</f>
        <v>0</v>
      </c>
      <c r="AB3044" s="71"/>
      <c r="AC3044" s="71">
        <v>0</v>
      </c>
      <c r="AD3044" s="71">
        <f>W3044+X3044+Y3044+Z3044+AA3044+AB3044+AC3044</f>
        <v>0</v>
      </c>
      <c r="AE3044" s="72">
        <v>0</v>
      </c>
      <c r="AF3044" s="5"/>
      <c r="AG3044" s="6"/>
      <c r="AH3044" s="27"/>
      <c r="AI3044" s="44"/>
      <c r="AJ3044" s="26"/>
      <c r="AK3044" s="5"/>
      <c r="AL3044" s="82" t="s">
        <v>5951</v>
      </c>
      <c r="AM3044" s="76"/>
      <c r="AN3044" s="76"/>
      <c r="AO3044" s="76"/>
      <c r="AP3044" s="76"/>
      <c r="AQ3044" s="76"/>
      <c r="AR3044" s="76"/>
      <c r="AS3044" s="76"/>
      <c r="AT3044" s="76"/>
      <c r="AU3044" s="76"/>
      <c r="AV3044" s="76"/>
      <c r="AW3044" s="76"/>
      <c r="AX3044" s="76">
        <f>+AW3044*600000</f>
        <v>0</v>
      </c>
      <c r="AY3044" s="76"/>
      <c r="AZ3044" s="76">
        <f>+AY3044*70000</f>
        <v>0</v>
      </c>
      <c r="BA3044" s="76"/>
      <c r="BB3044" s="76"/>
      <c r="BC3044" s="76"/>
      <c r="BD3044" s="76">
        <f>+BC3044*30000</f>
        <v>0</v>
      </c>
      <c r="BE3044" s="76"/>
      <c r="BF3044" s="76"/>
      <c r="BG3044" s="76"/>
      <c r="BH3044" s="76"/>
      <c r="BI3044" s="76"/>
      <c r="BJ3044" s="76"/>
      <c r="BK3044" s="76"/>
      <c r="BL3044" s="76">
        <f>+BK3044*31500</f>
        <v>0</v>
      </c>
      <c r="BM3044" s="76"/>
      <c r="BN3044" s="76"/>
      <c r="BO3044" s="76"/>
      <c r="BP3044" s="76"/>
      <c r="BQ3044" s="76"/>
      <c r="BR3044" s="76"/>
      <c r="BS3044" s="76"/>
      <c r="BT3044" s="76"/>
      <c r="BU3044" s="76"/>
      <c r="BV3044" s="76"/>
      <c r="BW3044" s="76"/>
      <c r="BX3044" s="76"/>
      <c r="BY3044" s="76"/>
      <c r="BZ3044" s="76"/>
      <c r="CA3044" s="76"/>
      <c r="CB3044" s="76"/>
      <c r="CC3044" s="76"/>
      <c r="CD3044" s="76"/>
      <c r="CE3044" s="76"/>
      <c r="CF3044" s="76">
        <f>+CE3044*28000</f>
        <v>0</v>
      </c>
      <c r="CG3044" s="76"/>
      <c r="CH3044" s="76">
        <f>+CG3044*22500</f>
        <v>0</v>
      </c>
      <c r="CI3044" s="76"/>
      <c r="CJ3044" s="76">
        <f>+CI3044*26000</f>
        <v>0</v>
      </c>
      <c r="CK3044" s="76"/>
      <c r="CL3044" s="76"/>
      <c r="CM3044" s="76"/>
      <c r="CN3044" s="76">
        <f>+CM3044*22000</f>
        <v>0</v>
      </c>
      <c r="CO3044" s="76"/>
      <c r="CP3044" s="76">
        <f>+CO3044*46000</f>
        <v>0</v>
      </c>
      <c r="CQ3044" s="76"/>
      <c r="CR3044" s="76">
        <f>+CQ3044*49000</f>
        <v>0</v>
      </c>
      <c r="CS3044" s="76"/>
      <c r="CT3044" s="76"/>
      <c r="CU3044" s="56">
        <f>AN3044+AP3044+AR3044+AT3044+AV3044+AX3044+AZ3044+BB3044+BD3044+BF3044+BH3044+BJ3044+BL3044+BN3044+BP3044+BR3044+BT3044+BV3044+BX3044+BZ3044+CB3044+CD3044+CF3044+CH3044+CJ3044+CL3044+CN3044+CP3044+CR3044+CT3044</f>
        <v>0</v>
      </c>
      <c r="CV3044" s="76"/>
      <c r="CW3044" s="76">
        <f>+CV3044*1100</f>
        <v>0</v>
      </c>
      <c r="CX3044" s="76"/>
      <c r="CY3044" s="76">
        <f>+CX3044*106250</f>
        <v>0</v>
      </c>
      <c r="CZ3044" s="76"/>
      <c r="DA3044" s="76">
        <f>+CZ3044*34500</f>
        <v>0</v>
      </c>
      <c r="DB3044" s="76"/>
      <c r="DC3044" s="76">
        <f>+DB3044*25000</f>
        <v>0</v>
      </c>
      <c r="DD3044" s="219"/>
      <c r="DE3044" s="219"/>
      <c r="DF3044" s="166"/>
      <c r="DG3044" s="116"/>
      <c r="DH3044" s="117"/>
      <c r="DI3044" s="24"/>
      <c r="DJ3044" s="24"/>
      <c r="DK3044" s="24"/>
      <c r="DL3044" s="24"/>
      <c r="DM3044" s="24"/>
      <c r="DN3044" s="24"/>
      <c r="DO3044" s="24"/>
      <c r="DP3044" s="24"/>
      <c r="DQ3044" s="24"/>
      <c r="DR3044" s="24"/>
      <c r="DS3044" s="24"/>
      <c r="DT3044" s="24"/>
      <c r="DU3044" s="24"/>
    </row>
    <row r="3045" spans="1:125" s="8" customFormat="1" ht="84" x14ac:dyDescent="0.2">
      <c r="A3045" s="77">
        <v>41534</v>
      </c>
      <c r="B3045" s="352" t="s">
        <v>2854</v>
      </c>
      <c r="C3045" s="354" t="s">
        <v>849</v>
      </c>
      <c r="D3045" s="354" t="s">
        <v>2882</v>
      </c>
      <c r="E3045" s="296" t="str">
        <f>VLOOKUP(B3045&amp;C3045,Divipola!$C$2:$F$1138,4,FALSE)</f>
        <v>19450</v>
      </c>
      <c r="F3045" s="87"/>
      <c r="G3045" s="87"/>
      <c r="H3045" s="87"/>
      <c r="I3045" s="87">
        <v>730</v>
      </c>
      <c r="J3045" s="87">
        <v>146</v>
      </c>
      <c r="K3045" s="87"/>
      <c r="L3045" s="87">
        <v>146</v>
      </c>
      <c r="M3045" s="87"/>
      <c r="N3045" s="87"/>
      <c r="O3045" s="87"/>
      <c r="P3045" s="87"/>
      <c r="Q3045" s="87"/>
      <c r="R3045" s="87"/>
      <c r="S3045" s="87"/>
      <c r="T3045" s="87"/>
      <c r="U3045" s="88"/>
      <c r="V3045" s="89"/>
      <c r="W3045" s="96">
        <v>0</v>
      </c>
      <c r="X3045" s="71">
        <f>CU3045</f>
        <v>0</v>
      </c>
      <c r="Y3045" s="71">
        <f>CY3045</f>
        <v>0</v>
      </c>
      <c r="Z3045" s="71">
        <f>DA3045+DC3045+DE3045</f>
        <v>36500000</v>
      </c>
      <c r="AA3045" s="71">
        <f>CW3045</f>
        <v>0</v>
      </c>
      <c r="AB3045" s="71"/>
      <c r="AC3045" s="71">
        <v>0</v>
      </c>
      <c r="AD3045" s="71">
        <f>W3045+X3045+Y3045+Z3045+AA3045+AB3045+AC3045</f>
        <v>36500000</v>
      </c>
      <c r="AE3045" s="72">
        <v>0</v>
      </c>
      <c r="AF3045" s="5"/>
      <c r="AG3045" s="6"/>
      <c r="AH3045" s="27"/>
      <c r="AI3045" s="44"/>
      <c r="AJ3045" s="26"/>
      <c r="AK3045" s="5"/>
      <c r="AL3045" s="274" t="s">
        <v>5955</v>
      </c>
      <c r="AM3045" s="76"/>
      <c r="AN3045" s="76"/>
      <c r="AO3045" s="76"/>
      <c r="AP3045" s="76"/>
      <c r="AQ3045" s="76"/>
      <c r="AR3045" s="76"/>
      <c r="AS3045" s="76"/>
      <c r="AT3045" s="76"/>
      <c r="AU3045" s="76"/>
      <c r="AV3045" s="76"/>
      <c r="AW3045" s="76"/>
      <c r="AX3045" s="76">
        <f>+AW3045*600000</f>
        <v>0</v>
      </c>
      <c r="AY3045" s="76"/>
      <c r="AZ3045" s="76">
        <f>+AY3045*70000</f>
        <v>0</v>
      </c>
      <c r="BA3045" s="76"/>
      <c r="BB3045" s="76"/>
      <c r="BC3045" s="76"/>
      <c r="BD3045" s="76">
        <f>+BC3045*30000</f>
        <v>0</v>
      </c>
      <c r="BE3045" s="76"/>
      <c r="BF3045" s="76"/>
      <c r="BG3045" s="76"/>
      <c r="BH3045" s="76"/>
      <c r="BI3045" s="76"/>
      <c r="BJ3045" s="76"/>
      <c r="BK3045" s="76"/>
      <c r="BL3045" s="76">
        <f>+BK3045*31500</f>
        <v>0</v>
      </c>
      <c r="BM3045" s="76"/>
      <c r="BN3045" s="76"/>
      <c r="BO3045" s="76"/>
      <c r="BP3045" s="76"/>
      <c r="BQ3045" s="76"/>
      <c r="BR3045" s="76"/>
      <c r="BS3045" s="76"/>
      <c r="BT3045" s="76"/>
      <c r="BU3045" s="76"/>
      <c r="BV3045" s="76"/>
      <c r="BW3045" s="76"/>
      <c r="BX3045" s="76"/>
      <c r="BY3045" s="76"/>
      <c r="BZ3045" s="76"/>
      <c r="CA3045" s="76"/>
      <c r="CB3045" s="76"/>
      <c r="CC3045" s="76"/>
      <c r="CD3045" s="76"/>
      <c r="CE3045" s="76"/>
      <c r="CF3045" s="76">
        <f>+CE3045*28000</f>
        <v>0</v>
      </c>
      <c r="CG3045" s="76"/>
      <c r="CH3045" s="76">
        <f>+CG3045*22500</f>
        <v>0</v>
      </c>
      <c r="CI3045" s="76"/>
      <c r="CJ3045" s="76">
        <f>+CI3045*26000</f>
        <v>0</v>
      </c>
      <c r="CK3045" s="76"/>
      <c r="CL3045" s="76"/>
      <c r="CM3045" s="76"/>
      <c r="CN3045" s="76">
        <f>+CM3045*22000</f>
        <v>0</v>
      </c>
      <c r="CO3045" s="76"/>
      <c r="CP3045" s="76">
        <f>+CO3045*46000</f>
        <v>0</v>
      </c>
      <c r="CQ3045" s="76"/>
      <c r="CR3045" s="76">
        <f>+CQ3045*49000</f>
        <v>0</v>
      </c>
      <c r="CS3045" s="76"/>
      <c r="CT3045" s="76"/>
      <c r="CU3045" s="56">
        <f>AN3045+AP3045+AR3045+AT3045+AV3045+AX3045+AZ3045+BB3045+BD3045+BF3045+BH3045+BJ3045+BL3045+BN3045+BP3045+BR3045+BT3045+BV3045+BX3045+BZ3045+CB3045+CD3045+CF3045+CH3045+CJ3045+CL3045+CN3045+CP3045+CR3045+CT3045</f>
        <v>0</v>
      </c>
      <c r="CV3045" s="76"/>
      <c r="CW3045" s="76">
        <f>+CV3045*1100</f>
        <v>0</v>
      </c>
      <c r="CX3045" s="76"/>
      <c r="CY3045" s="76">
        <f>+CX3045*106250</f>
        <v>0</v>
      </c>
      <c r="CZ3045" s="76"/>
      <c r="DA3045" s="76">
        <f>+CZ3045*34500</f>
        <v>0</v>
      </c>
      <c r="DB3045" s="76">
        <f>550+450</f>
        <v>1000</v>
      </c>
      <c r="DC3045" s="76">
        <f>550*32000+450*42000</f>
        <v>36500000</v>
      </c>
      <c r="DD3045" s="219"/>
      <c r="DE3045" s="219"/>
      <c r="DF3045" s="166"/>
      <c r="DG3045" s="116"/>
      <c r="DH3045" s="117"/>
      <c r="DI3045" s="24"/>
      <c r="DJ3045" s="24"/>
      <c r="DK3045" s="24"/>
      <c r="DL3045" s="24"/>
      <c r="DM3045" s="24"/>
      <c r="DN3045" s="24"/>
      <c r="DO3045" s="24"/>
      <c r="DP3045" s="24"/>
      <c r="DQ3045" s="24"/>
      <c r="DR3045" s="24"/>
      <c r="DS3045" s="24"/>
      <c r="DT3045" s="24"/>
      <c r="DU3045" s="24"/>
    </row>
    <row r="3046" spans="1:125" s="8" customFormat="1" ht="72" x14ac:dyDescent="0.2">
      <c r="A3046" s="77">
        <v>41534</v>
      </c>
      <c r="B3046" s="78" t="s">
        <v>2894</v>
      </c>
      <c r="C3046" s="75" t="s">
        <v>2192</v>
      </c>
      <c r="D3046" s="75" t="s">
        <v>3051</v>
      </c>
      <c r="E3046" s="296" t="str">
        <f>VLOOKUP(B3046&amp;C3046,Divipola!$C$2:$F$1138,4,FALSE)</f>
        <v>05030</v>
      </c>
      <c r="F3046" s="61"/>
      <c r="G3046" s="61"/>
      <c r="H3046" s="61"/>
      <c r="I3046" s="61"/>
      <c r="J3046" s="61"/>
      <c r="K3046" s="61"/>
      <c r="L3046" s="61"/>
      <c r="M3046" s="61"/>
      <c r="N3046" s="61"/>
      <c r="O3046" s="61"/>
      <c r="P3046" s="61"/>
      <c r="Q3046" s="61"/>
      <c r="R3046" s="61"/>
      <c r="S3046" s="61"/>
      <c r="T3046" s="61"/>
      <c r="U3046" s="61"/>
      <c r="V3046" s="7"/>
      <c r="W3046" s="96">
        <v>0</v>
      </c>
      <c r="X3046" s="71">
        <f>CU3046</f>
        <v>0</v>
      </c>
      <c r="Y3046" s="71">
        <f>CY3046</f>
        <v>0</v>
      </c>
      <c r="Z3046" s="71">
        <f>DA3046+DC3046+DE3046</f>
        <v>0</v>
      </c>
      <c r="AA3046" s="71">
        <f>CW3046</f>
        <v>0</v>
      </c>
      <c r="AB3046" s="71"/>
      <c r="AC3046" s="71">
        <v>1000000000</v>
      </c>
      <c r="AD3046" s="71">
        <f>W3046+X3046+Y3046+Z3046+AA3046+AB3046+AC3046</f>
        <v>1000000000</v>
      </c>
      <c r="AE3046" s="72">
        <v>0</v>
      </c>
      <c r="AF3046" s="5"/>
      <c r="AG3046" s="6"/>
      <c r="AH3046" s="27"/>
      <c r="AI3046" s="44"/>
      <c r="AJ3046" s="26"/>
      <c r="AK3046" s="5"/>
      <c r="AL3046" s="9" t="s">
        <v>5934</v>
      </c>
      <c r="AM3046" s="76"/>
      <c r="AN3046" s="76"/>
      <c r="AO3046" s="76"/>
      <c r="AP3046" s="76"/>
      <c r="AQ3046" s="76"/>
      <c r="AR3046" s="76"/>
      <c r="AS3046" s="76"/>
      <c r="AT3046" s="76"/>
      <c r="AU3046" s="76"/>
      <c r="AV3046" s="76"/>
      <c r="AW3046" s="76"/>
      <c r="AX3046" s="76">
        <f>+AW3046*600000</f>
        <v>0</v>
      </c>
      <c r="AY3046" s="76"/>
      <c r="AZ3046" s="76">
        <f>+AY3046*70000</f>
        <v>0</v>
      </c>
      <c r="BA3046" s="76"/>
      <c r="BB3046" s="76"/>
      <c r="BC3046" s="76"/>
      <c r="BD3046" s="76">
        <f>+BC3046*30000</f>
        <v>0</v>
      </c>
      <c r="BE3046" s="76"/>
      <c r="BF3046" s="76"/>
      <c r="BG3046" s="76"/>
      <c r="BH3046" s="76"/>
      <c r="BI3046" s="76"/>
      <c r="BJ3046" s="76"/>
      <c r="BK3046" s="76"/>
      <c r="BL3046" s="76">
        <f>+BK3046*31500</f>
        <v>0</v>
      </c>
      <c r="BM3046" s="76"/>
      <c r="BN3046" s="76"/>
      <c r="BO3046" s="76"/>
      <c r="BP3046" s="76"/>
      <c r="BQ3046" s="76"/>
      <c r="BR3046" s="76"/>
      <c r="BS3046" s="76"/>
      <c r="BT3046" s="76"/>
      <c r="BU3046" s="76"/>
      <c r="BV3046" s="76"/>
      <c r="BW3046" s="76"/>
      <c r="BX3046" s="76"/>
      <c r="BY3046" s="76"/>
      <c r="BZ3046" s="76"/>
      <c r="CA3046" s="76"/>
      <c r="CB3046" s="76"/>
      <c r="CC3046" s="76"/>
      <c r="CD3046" s="76"/>
      <c r="CE3046" s="76"/>
      <c r="CF3046" s="76">
        <f>+CE3046*28000</f>
        <v>0</v>
      </c>
      <c r="CG3046" s="76"/>
      <c r="CH3046" s="76">
        <f>+CG3046*22500</f>
        <v>0</v>
      </c>
      <c r="CI3046" s="76"/>
      <c r="CJ3046" s="76">
        <f>+CI3046*26000</f>
        <v>0</v>
      </c>
      <c r="CK3046" s="76"/>
      <c r="CL3046" s="76"/>
      <c r="CM3046" s="76"/>
      <c r="CN3046" s="76">
        <f>+CM3046*22000</f>
        <v>0</v>
      </c>
      <c r="CO3046" s="76"/>
      <c r="CP3046" s="76">
        <f>+CO3046*46000</f>
        <v>0</v>
      </c>
      <c r="CQ3046" s="76"/>
      <c r="CR3046" s="76">
        <f>+CQ3046*49000</f>
        <v>0</v>
      </c>
      <c r="CS3046" s="76"/>
      <c r="CT3046" s="76"/>
      <c r="CU3046" s="56">
        <f>AN3046+AP3046+AR3046+AT3046+AV3046+AX3046+AZ3046+BB3046+BD3046+BF3046+BH3046+BJ3046+BL3046+BN3046+BP3046+BR3046+BT3046+BV3046+BX3046+BZ3046+CB3046+CD3046+CF3046+CH3046+CJ3046+CL3046+CN3046+CP3046+CR3046+CT3046</f>
        <v>0</v>
      </c>
      <c r="CV3046" s="76"/>
      <c r="CW3046" s="76">
        <f>+CV3046*1100</f>
        <v>0</v>
      </c>
      <c r="CX3046" s="76"/>
      <c r="CY3046" s="76">
        <f>+CX3046*106250</f>
        <v>0</v>
      </c>
      <c r="CZ3046" s="76"/>
      <c r="DA3046" s="76">
        <f>+CZ3046*34500</f>
        <v>0</v>
      </c>
      <c r="DB3046" s="76"/>
      <c r="DC3046" s="76">
        <f>+DB3046*25000</f>
        <v>0</v>
      </c>
      <c r="DD3046" s="219"/>
      <c r="DE3046" s="219"/>
      <c r="DF3046" s="166"/>
      <c r="DG3046" s="116"/>
      <c r="DH3046" s="117"/>
      <c r="DI3046" s="24"/>
      <c r="DJ3046" s="24"/>
      <c r="DK3046" s="24"/>
      <c r="DL3046" s="24"/>
      <c r="DM3046" s="24"/>
      <c r="DN3046" s="24"/>
      <c r="DO3046" s="24"/>
      <c r="DP3046" s="24"/>
      <c r="DQ3046" s="24"/>
      <c r="DR3046" s="24"/>
      <c r="DS3046" s="24"/>
      <c r="DT3046" s="24"/>
      <c r="DU3046" s="24"/>
    </row>
    <row r="3047" spans="1:125" s="8" customFormat="1" ht="168" x14ac:dyDescent="0.2">
      <c r="A3047" s="77">
        <v>41534</v>
      </c>
      <c r="B3047" s="78" t="s">
        <v>2894</v>
      </c>
      <c r="C3047" s="75" t="s">
        <v>2821</v>
      </c>
      <c r="D3047" s="75" t="s">
        <v>3051</v>
      </c>
      <c r="E3047" s="296" t="str">
        <f>VLOOKUP(B3047&amp;C3047,Divipola!$C$2:$F$1138,4,FALSE)</f>
        <v>05308</v>
      </c>
      <c r="F3047" s="61"/>
      <c r="G3047" s="61"/>
      <c r="H3047" s="61"/>
      <c r="I3047" s="61"/>
      <c r="J3047" s="61"/>
      <c r="K3047" s="61"/>
      <c r="L3047" s="61"/>
      <c r="M3047" s="61"/>
      <c r="N3047" s="61"/>
      <c r="O3047" s="61"/>
      <c r="P3047" s="61"/>
      <c r="Q3047" s="61"/>
      <c r="R3047" s="61"/>
      <c r="S3047" s="61"/>
      <c r="T3047" s="61"/>
      <c r="U3047" s="61"/>
      <c r="V3047" s="7"/>
      <c r="W3047" s="96">
        <v>0</v>
      </c>
      <c r="X3047" s="71">
        <f>CU3047</f>
        <v>0</v>
      </c>
      <c r="Y3047" s="71">
        <f>CY3047</f>
        <v>0</v>
      </c>
      <c r="Z3047" s="71">
        <f>DA3047+DC3047+DE3047</f>
        <v>0</v>
      </c>
      <c r="AA3047" s="71">
        <f>CW3047</f>
        <v>0</v>
      </c>
      <c r="AB3047" s="71"/>
      <c r="AC3047" s="71">
        <v>1300000000</v>
      </c>
      <c r="AD3047" s="71">
        <f>W3047+X3047+Y3047+Z3047+AA3047+AB3047+AC3047</f>
        <v>1300000000</v>
      </c>
      <c r="AE3047" s="72">
        <v>0</v>
      </c>
      <c r="AF3047" s="5"/>
      <c r="AG3047" s="6"/>
      <c r="AH3047" s="27"/>
      <c r="AI3047" s="44"/>
      <c r="AJ3047" s="26"/>
      <c r="AK3047" s="5"/>
      <c r="AL3047" s="9" t="s">
        <v>5936</v>
      </c>
      <c r="AM3047" s="76"/>
      <c r="AN3047" s="76"/>
      <c r="AO3047" s="76"/>
      <c r="AP3047" s="76"/>
      <c r="AQ3047" s="76"/>
      <c r="AR3047" s="76"/>
      <c r="AS3047" s="76"/>
      <c r="AT3047" s="76"/>
      <c r="AU3047" s="76"/>
      <c r="AV3047" s="76"/>
      <c r="AW3047" s="76"/>
      <c r="AX3047" s="76">
        <f>+AW3047*600000</f>
        <v>0</v>
      </c>
      <c r="AY3047" s="76"/>
      <c r="AZ3047" s="76">
        <f>+AY3047*70000</f>
        <v>0</v>
      </c>
      <c r="BA3047" s="76"/>
      <c r="BB3047" s="76"/>
      <c r="BC3047" s="76"/>
      <c r="BD3047" s="76">
        <f>+BC3047*30000</f>
        <v>0</v>
      </c>
      <c r="BE3047" s="76"/>
      <c r="BF3047" s="76"/>
      <c r="BG3047" s="76"/>
      <c r="BH3047" s="76"/>
      <c r="BI3047" s="76"/>
      <c r="BJ3047" s="76"/>
      <c r="BK3047" s="76"/>
      <c r="BL3047" s="76">
        <f>+BK3047*31500</f>
        <v>0</v>
      </c>
      <c r="BM3047" s="76"/>
      <c r="BN3047" s="76"/>
      <c r="BO3047" s="76"/>
      <c r="BP3047" s="76"/>
      <c r="BQ3047" s="76"/>
      <c r="BR3047" s="76"/>
      <c r="BS3047" s="76"/>
      <c r="BT3047" s="76"/>
      <c r="BU3047" s="76"/>
      <c r="BV3047" s="76"/>
      <c r="BW3047" s="76"/>
      <c r="BX3047" s="76"/>
      <c r="BY3047" s="76"/>
      <c r="BZ3047" s="76"/>
      <c r="CA3047" s="76"/>
      <c r="CB3047" s="76"/>
      <c r="CC3047" s="76"/>
      <c r="CD3047" s="76"/>
      <c r="CE3047" s="76"/>
      <c r="CF3047" s="76">
        <f>+CE3047*28000</f>
        <v>0</v>
      </c>
      <c r="CG3047" s="76"/>
      <c r="CH3047" s="76">
        <f>+CG3047*22500</f>
        <v>0</v>
      </c>
      <c r="CI3047" s="76"/>
      <c r="CJ3047" s="76">
        <f>+CI3047*26000</f>
        <v>0</v>
      </c>
      <c r="CK3047" s="76"/>
      <c r="CL3047" s="76"/>
      <c r="CM3047" s="76"/>
      <c r="CN3047" s="76">
        <f>+CM3047*22000</f>
        <v>0</v>
      </c>
      <c r="CO3047" s="76"/>
      <c r="CP3047" s="76">
        <f>+CO3047*46000</f>
        <v>0</v>
      </c>
      <c r="CQ3047" s="76"/>
      <c r="CR3047" s="76">
        <f>+CQ3047*49000</f>
        <v>0</v>
      </c>
      <c r="CS3047" s="76"/>
      <c r="CT3047" s="76"/>
      <c r="CU3047" s="56">
        <f>AN3047+AP3047+AR3047+AT3047+AV3047+AX3047+AZ3047+BB3047+BD3047+BF3047+BH3047+BJ3047+BL3047+BN3047+BP3047+BR3047+BT3047+BV3047+BX3047+BZ3047+CB3047+CD3047+CF3047+CH3047+CJ3047+CL3047+CN3047+CP3047+CR3047+CT3047</f>
        <v>0</v>
      </c>
      <c r="CV3047" s="76"/>
      <c r="CW3047" s="76">
        <f>+CV3047*1100</f>
        <v>0</v>
      </c>
      <c r="CX3047" s="76"/>
      <c r="CY3047" s="76">
        <f>+CX3047*106250</f>
        <v>0</v>
      </c>
      <c r="CZ3047" s="76"/>
      <c r="DA3047" s="76">
        <f>+CZ3047*34500</f>
        <v>0</v>
      </c>
      <c r="DB3047" s="76"/>
      <c r="DC3047" s="76">
        <f>+DB3047*25000</f>
        <v>0</v>
      </c>
      <c r="DD3047" s="219"/>
      <c r="DE3047" s="219"/>
      <c r="DF3047" s="166"/>
      <c r="DG3047" s="116"/>
      <c r="DH3047" s="117"/>
      <c r="DI3047" s="24"/>
      <c r="DJ3047" s="24"/>
      <c r="DK3047" s="24"/>
      <c r="DL3047" s="24"/>
      <c r="DM3047" s="24"/>
      <c r="DN3047" s="24"/>
      <c r="DO3047" s="24"/>
      <c r="DP3047" s="24"/>
      <c r="DQ3047" s="24"/>
      <c r="DR3047" s="24"/>
      <c r="DS3047" s="24"/>
      <c r="DT3047" s="24"/>
      <c r="DU3047" s="24"/>
    </row>
    <row r="3048" spans="1:125" s="8" customFormat="1" ht="60" x14ac:dyDescent="0.2">
      <c r="A3048" s="77">
        <v>41534</v>
      </c>
      <c r="B3048" s="78" t="s">
        <v>2894</v>
      </c>
      <c r="C3048" s="75" t="s">
        <v>2126</v>
      </c>
      <c r="D3048" s="75" t="s">
        <v>3051</v>
      </c>
      <c r="E3048" s="296" t="str">
        <f>VLOOKUP(B3048&amp;C3048,Divipola!$C$2:$F$1138,4,FALSE)</f>
        <v>05861</v>
      </c>
      <c r="F3048" s="61"/>
      <c r="G3048" s="61"/>
      <c r="H3048" s="61"/>
      <c r="I3048" s="61"/>
      <c r="J3048" s="61"/>
      <c r="K3048" s="61"/>
      <c r="L3048" s="61"/>
      <c r="M3048" s="61"/>
      <c r="N3048" s="61"/>
      <c r="O3048" s="61"/>
      <c r="P3048" s="61"/>
      <c r="Q3048" s="61"/>
      <c r="R3048" s="61"/>
      <c r="S3048" s="61"/>
      <c r="T3048" s="61"/>
      <c r="U3048" s="61"/>
      <c r="V3048" s="7"/>
      <c r="W3048" s="96">
        <v>0</v>
      </c>
      <c r="X3048" s="71">
        <f>CU3048</f>
        <v>0</v>
      </c>
      <c r="Y3048" s="71">
        <f>CY3048</f>
        <v>0</v>
      </c>
      <c r="Z3048" s="71">
        <f>DA3048+DC3048+DE3048</f>
        <v>0</v>
      </c>
      <c r="AA3048" s="71">
        <f>CW3048</f>
        <v>0</v>
      </c>
      <c r="AB3048" s="71"/>
      <c r="AC3048" s="71">
        <v>700000000</v>
      </c>
      <c r="AD3048" s="71">
        <f>W3048+X3048+Y3048+Z3048+AA3048+AB3048+AC3048</f>
        <v>700000000</v>
      </c>
      <c r="AE3048" s="72">
        <v>0</v>
      </c>
      <c r="AF3048" s="5"/>
      <c r="AG3048" s="6"/>
      <c r="AH3048" s="27"/>
      <c r="AI3048" s="44"/>
      <c r="AJ3048" s="26"/>
      <c r="AK3048" s="5"/>
      <c r="AL3048" s="9" t="s">
        <v>5935</v>
      </c>
      <c r="AM3048" s="76"/>
      <c r="AN3048" s="76"/>
      <c r="AO3048" s="76"/>
      <c r="AP3048" s="76"/>
      <c r="AQ3048" s="76"/>
      <c r="AR3048" s="76"/>
      <c r="AS3048" s="76"/>
      <c r="AT3048" s="76"/>
      <c r="AU3048" s="76"/>
      <c r="AV3048" s="76"/>
      <c r="AW3048" s="76"/>
      <c r="AX3048" s="76">
        <f>+AW3048*600000</f>
        <v>0</v>
      </c>
      <c r="AY3048" s="76"/>
      <c r="AZ3048" s="76">
        <f>+AY3048*70000</f>
        <v>0</v>
      </c>
      <c r="BA3048" s="76"/>
      <c r="BB3048" s="76"/>
      <c r="BC3048" s="76"/>
      <c r="BD3048" s="76">
        <f>+BC3048*30000</f>
        <v>0</v>
      </c>
      <c r="BE3048" s="76"/>
      <c r="BF3048" s="76"/>
      <c r="BG3048" s="76"/>
      <c r="BH3048" s="76"/>
      <c r="BI3048" s="76"/>
      <c r="BJ3048" s="76"/>
      <c r="BK3048" s="76"/>
      <c r="BL3048" s="76">
        <f>+BK3048*31500</f>
        <v>0</v>
      </c>
      <c r="BM3048" s="76"/>
      <c r="BN3048" s="76"/>
      <c r="BO3048" s="76"/>
      <c r="BP3048" s="76"/>
      <c r="BQ3048" s="76"/>
      <c r="BR3048" s="76"/>
      <c r="BS3048" s="76"/>
      <c r="BT3048" s="76"/>
      <c r="BU3048" s="76"/>
      <c r="BV3048" s="76"/>
      <c r="BW3048" s="76"/>
      <c r="BX3048" s="76"/>
      <c r="BY3048" s="76"/>
      <c r="BZ3048" s="76"/>
      <c r="CA3048" s="76"/>
      <c r="CB3048" s="76"/>
      <c r="CC3048" s="76"/>
      <c r="CD3048" s="76"/>
      <c r="CE3048" s="76"/>
      <c r="CF3048" s="76">
        <f>+CE3048*28000</f>
        <v>0</v>
      </c>
      <c r="CG3048" s="76"/>
      <c r="CH3048" s="76">
        <f>+CG3048*22500</f>
        <v>0</v>
      </c>
      <c r="CI3048" s="76"/>
      <c r="CJ3048" s="76">
        <f>+CI3048*26000</f>
        <v>0</v>
      </c>
      <c r="CK3048" s="76"/>
      <c r="CL3048" s="76"/>
      <c r="CM3048" s="76"/>
      <c r="CN3048" s="76">
        <f>+CM3048*22000</f>
        <v>0</v>
      </c>
      <c r="CO3048" s="76"/>
      <c r="CP3048" s="76">
        <f>+CO3048*46000</f>
        <v>0</v>
      </c>
      <c r="CQ3048" s="76"/>
      <c r="CR3048" s="76">
        <f>+CQ3048*49000</f>
        <v>0</v>
      </c>
      <c r="CS3048" s="76"/>
      <c r="CT3048" s="76"/>
      <c r="CU3048" s="56">
        <f>AN3048+AP3048+AR3048+AT3048+AV3048+AX3048+AZ3048+BB3048+BD3048+BF3048+BH3048+BJ3048+BL3048+BN3048+BP3048+BR3048+BT3048+BV3048+BX3048+BZ3048+CB3048+CD3048+CF3048+CH3048+CJ3048+CL3048+CN3048+CP3048+CR3048+CT3048</f>
        <v>0</v>
      </c>
      <c r="CV3048" s="76"/>
      <c r="CW3048" s="76">
        <f>+CV3048*1100</f>
        <v>0</v>
      </c>
      <c r="CX3048" s="76"/>
      <c r="CY3048" s="76">
        <f>+CX3048*106250</f>
        <v>0</v>
      </c>
      <c r="CZ3048" s="76"/>
      <c r="DA3048" s="76">
        <f>+CZ3048*34500</f>
        <v>0</v>
      </c>
      <c r="DB3048" s="76"/>
      <c r="DC3048" s="76">
        <f>+DB3048*25000</f>
        <v>0</v>
      </c>
      <c r="DD3048" s="219"/>
      <c r="DE3048" s="219"/>
      <c r="DF3048" s="166"/>
      <c r="DG3048" s="116"/>
      <c r="DH3048" s="117"/>
      <c r="DI3048" s="24"/>
      <c r="DJ3048" s="24"/>
      <c r="DK3048" s="24"/>
      <c r="DL3048" s="24"/>
      <c r="DM3048" s="24"/>
      <c r="DN3048" s="24"/>
      <c r="DO3048" s="24"/>
      <c r="DP3048" s="24"/>
      <c r="DQ3048" s="24"/>
      <c r="DR3048" s="24"/>
      <c r="DS3048" s="24"/>
      <c r="DT3048" s="24"/>
      <c r="DU3048" s="24"/>
    </row>
    <row r="3049" spans="1:125" s="8" customFormat="1" ht="36" x14ac:dyDescent="0.2">
      <c r="A3049" s="77">
        <v>41534</v>
      </c>
      <c r="B3049" s="78" t="s">
        <v>2778</v>
      </c>
      <c r="C3049" s="75" t="s">
        <v>1267</v>
      </c>
      <c r="D3049" s="75" t="s">
        <v>2882</v>
      </c>
      <c r="E3049" s="296" t="str">
        <f>VLOOKUP(B3049&amp;C3049,Divipola!$C$2:$F$1138,4,FALSE)</f>
        <v>85315</v>
      </c>
      <c r="F3049" s="87"/>
      <c r="G3049" s="87"/>
      <c r="H3049" s="87"/>
      <c r="I3049" s="87">
        <v>20</v>
      </c>
      <c r="J3049" s="87">
        <v>4</v>
      </c>
      <c r="K3049" s="87"/>
      <c r="L3049" s="87">
        <v>4</v>
      </c>
      <c r="M3049" s="87"/>
      <c r="N3049" s="87"/>
      <c r="O3049" s="87"/>
      <c r="P3049" s="87"/>
      <c r="Q3049" s="87"/>
      <c r="R3049" s="87"/>
      <c r="S3049" s="87"/>
      <c r="T3049" s="87"/>
      <c r="U3049" s="88"/>
      <c r="V3049" s="89"/>
      <c r="W3049" s="96">
        <v>0</v>
      </c>
      <c r="X3049" s="71">
        <f>CU3049</f>
        <v>0</v>
      </c>
      <c r="Y3049" s="71">
        <f>CY3049</f>
        <v>0</v>
      </c>
      <c r="Z3049" s="71">
        <f>DA3049+DC3049+DE3049</f>
        <v>0</v>
      </c>
      <c r="AA3049" s="71">
        <f>CW3049</f>
        <v>0</v>
      </c>
      <c r="AB3049" s="71"/>
      <c r="AC3049" s="71">
        <v>0</v>
      </c>
      <c r="AD3049" s="71">
        <f>W3049+X3049+Y3049+Z3049+AA3049+AB3049+AC3049</f>
        <v>0</v>
      </c>
      <c r="AE3049" s="72">
        <v>0</v>
      </c>
      <c r="AF3049" s="5"/>
      <c r="AG3049" s="6"/>
      <c r="AH3049" s="27"/>
      <c r="AI3049" s="44"/>
      <c r="AJ3049" s="26"/>
      <c r="AK3049" s="5"/>
      <c r="AL3049" s="82" t="s">
        <v>5943</v>
      </c>
      <c r="AM3049" s="76"/>
      <c r="AN3049" s="76"/>
      <c r="AO3049" s="76"/>
      <c r="AP3049" s="76"/>
      <c r="AQ3049" s="76"/>
      <c r="AR3049" s="76"/>
      <c r="AS3049" s="76"/>
      <c r="AT3049" s="76"/>
      <c r="AU3049" s="76"/>
      <c r="AV3049" s="76"/>
      <c r="AW3049" s="76"/>
      <c r="AX3049" s="76">
        <f>+AW3049*600000</f>
        <v>0</v>
      </c>
      <c r="AY3049" s="76"/>
      <c r="AZ3049" s="76">
        <f>+AY3049*70000</f>
        <v>0</v>
      </c>
      <c r="BA3049" s="76"/>
      <c r="BB3049" s="76"/>
      <c r="BC3049" s="76"/>
      <c r="BD3049" s="76">
        <f>+BC3049*30000</f>
        <v>0</v>
      </c>
      <c r="BE3049" s="76"/>
      <c r="BF3049" s="76"/>
      <c r="BG3049" s="76"/>
      <c r="BH3049" s="76"/>
      <c r="BI3049" s="76"/>
      <c r="BJ3049" s="76"/>
      <c r="BK3049" s="76"/>
      <c r="BL3049" s="76">
        <f>+BK3049*31500</f>
        <v>0</v>
      </c>
      <c r="BM3049" s="76"/>
      <c r="BN3049" s="76"/>
      <c r="BO3049" s="76"/>
      <c r="BP3049" s="76"/>
      <c r="BQ3049" s="76"/>
      <c r="BR3049" s="76"/>
      <c r="BS3049" s="76"/>
      <c r="BT3049" s="76"/>
      <c r="BU3049" s="76"/>
      <c r="BV3049" s="76"/>
      <c r="BW3049" s="76"/>
      <c r="BX3049" s="76"/>
      <c r="BY3049" s="76"/>
      <c r="BZ3049" s="76"/>
      <c r="CA3049" s="76"/>
      <c r="CB3049" s="76"/>
      <c r="CC3049" s="76"/>
      <c r="CD3049" s="76"/>
      <c r="CE3049" s="76"/>
      <c r="CF3049" s="76">
        <f>+CE3049*28000</f>
        <v>0</v>
      </c>
      <c r="CG3049" s="76"/>
      <c r="CH3049" s="76">
        <f>+CG3049*22500</f>
        <v>0</v>
      </c>
      <c r="CI3049" s="76"/>
      <c r="CJ3049" s="76">
        <f>+CI3049*26000</f>
        <v>0</v>
      </c>
      <c r="CK3049" s="76"/>
      <c r="CL3049" s="76"/>
      <c r="CM3049" s="76"/>
      <c r="CN3049" s="76">
        <f>+CM3049*22000</f>
        <v>0</v>
      </c>
      <c r="CO3049" s="76"/>
      <c r="CP3049" s="76">
        <f>+CO3049*46000</f>
        <v>0</v>
      </c>
      <c r="CQ3049" s="76"/>
      <c r="CR3049" s="76">
        <f>+CQ3049*49000</f>
        <v>0</v>
      </c>
      <c r="CS3049" s="76"/>
      <c r="CT3049" s="76"/>
      <c r="CU3049" s="56">
        <f>AN3049+AP3049+AR3049+AT3049+AV3049+AX3049+AZ3049+BB3049+BD3049+BF3049+BH3049+BJ3049+BL3049+BN3049+BP3049+BR3049+BT3049+BV3049+BX3049+BZ3049+CB3049+CD3049+CF3049+CH3049+CJ3049+CL3049+CN3049+CP3049+CR3049+CT3049</f>
        <v>0</v>
      </c>
      <c r="CV3049" s="76"/>
      <c r="CW3049" s="76">
        <f>+CV3049*1100</f>
        <v>0</v>
      </c>
      <c r="CX3049" s="76"/>
      <c r="CY3049" s="76">
        <f>+CX3049*106250</f>
        <v>0</v>
      </c>
      <c r="CZ3049" s="76"/>
      <c r="DA3049" s="76">
        <f>+CZ3049*34500</f>
        <v>0</v>
      </c>
      <c r="DB3049" s="76"/>
      <c r="DC3049" s="76">
        <f>+DB3049*25000</f>
        <v>0</v>
      </c>
      <c r="DD3049" s="219"/>
      <c r="DE3049" s="219"/>
      <c r="DF3049" s="166"/>
      <c r="DG3049" s="116"/>
      <c r="DH3049" s="117"/>
      <c r="DI3049" s="24"/>
      <c r="DJ3049" s="24"/>
      <c r="DK3049" s="24"/>
      <c r="DL3049" s="24"/>
      <c r="DM3049" s="24"/>
      <c r="DN3049" s="24"/>
      <c r="DO3049" s="24"/>
      <c r="DP3049" s="24"/>
      <c r="DQ3049" s="24"/>
      <c r="DR3049" s="24"/>
      <c r="DS3049" s="24"/>
      <c r="DT3049" s="24"/>
      <c r="DU3049" s="24"/>
    </row>
    <row r="3050" spans="1:125" s="8" customFormat="1" ht="60" x14ac:dyDescent="0.2">
      <c r="A3050" s="77">
        <v>41534</v>
      </c>
      <c r="B3050" s="352" t="s">
        <v>2852</v>
      </c>
      <c r="C3050" s="354" t="s">
        <v>1221</v>
      </c>
      <c r="D3050" s="354" t="s">
        <v>3051</v>
      </c>
      <c r="E3050" s="296" t="str">
        <f>VLOOKUP(B3050&amp;C3050,Divipola!$C$2:$F$1138,4,FALSE)</f>
        <v>27077</v>
      </c>
      <c r="F3050" s="87"/>
      <c r="G3050" s="87"/>
      <c r="H3050" s="87"/>
      <c r="I3050" s="87">
        <v>2575</v>
      </c>
      <c r="J3050" s="87">
        <v>515</v>
      </c>
      <c r="K3050" s="87">
        <v>28</v>
      </c>
      <c r="L3050" s="87">
        <v>487</v>
      </c>
      <c r="M3050" s="87"/>
      <c r="N3050" s="87"/>
      <c r="O3050" s="87"/>
      <c r="P3050" s="87"/>
      <c r="Q3050" s="87"/>
      <c r="R3050" s="87"/>
      <c r="S3050" s="87"/>
      <c r="T3050" s="88"/>
      <c r="U3050" s="89"/>
      <c r="V3050" s="104"/>
      <c r="W3050" s="96">
        <v>0</v>
      </c>
      <c r="X3050" s="71">
        <f>CU3050</f>
        <v>0</v>
      </c>
      <c r="Y3050" s="71">
        <f>CY3050</f>
        <v>0</v>
      </c>
      <c r="Z3050" s="71">
        <f>DA3050+DC3050+DE3050</f>
        <v>0</v>
      </c>
      <c r="AA3050" s="71">
        <f>CW3050</f>
        <v>0</v>
      </c>
      <c r="AB3050" s="71"/>
      <c r="AC3050" s="71">
        <v>0</v>
      </c>
      <c r="AD3050" s="71">
        <f>W3050+X3050+Y3050+Z3050+AA3050+AB3050+AC3050</f>
        <v>0</v>
      </c>
      <c r="AE3050" s="72">
        <v>0</v>
      </c>
      <c r="AF3050" s="5"/>
      <c r="AG3050" s="6"/>
      <c r="AH3050" s="27"/>
      <c r="AI3050" s="44"/>
      <c r="AJ3050" s="26"/>
      <c r="AK3050" s="5"/>
      <c r="AL3050" s="82" t="s">
        <v>6090</v>
      </c>
      <c r="AM3050" s="76"/>
      <c r="AN3050" s="76"/>
      <c r="AO3050" s="76"/>
      <c r="AP3050" s="76"/>
      <c r="AQ3050" s="76"/>
      <c r="AR3050" s="76"/>
      <c r="AS3050" s="76"/>
      <c r="AT3050" s="76"/>
      <c r="AU3050" s="76"/>
      <c r="AV3050" s="76"/>
      <c r="AW3050" s="76"/>
      <c r="AX3050" s="76">
        <f>+AW3050*600000</f>
        <v>0</v>
      </c>
      <c r="AY3050" s="76"/>
      <c r="AZ3050" s="76">
        <f>+AY3050*70000</f>
        <v>0</v>
      </c>
      <c r="BA3050" s="76"/>
      <c r="BB3050" s="76"/>
      <c r="BC3050" s="76"/>
      <c r="BD3050" s="76">
        <f>+BC3050*30000</f>
        <v>0</v>
      </c>
      <c r="BE3050" s="76"/>
      <c r="BF3050" s="76"/>
      <c r="BG3050" s="76"/>
      <c r="BH3050" s="76"/>
      <c r="BI3050" s="76"/>
      <c r="BJ3050" s="76"/>
      <c r="BK3050" s="76"/>
      <c r="BL3050" s="76">
        <f>+BK3050*31500</f>
        <v>0</v>
      </c>
      <c r="BM3050" s="76"/>
      <c r="BN3050" s="76"/>
      <c r="BO3050" s="76"/>
      <c r="BP3050" s="76"/>
      <c r="BQ3050" s="76"/>
      <c r="BR3050" s="76"/>
      <c r="BS3050" s="76"/>
      <c r="BT3050" s="76"/>
      <c r="BU3050" s="76"/>
      <c r="BV3050" s="76"/>
      <c r="BW3050" s="76"/>
      <c r="BX3050" s="76"/>
      <c r="BY3050" s="76"/>
      <c r="BZ3050" s="76"/>
      <c r="CA3050" s="76"/>
      <c r="CB3050" s="76"/>
      <c r="CC3050" s="76"/>
      <c r="CD3050" s="76"/>
      <c r="CE3050" s="76"/>
      <c r="CF3050" s="76">
        <f>+CE3050*28000</f>
        <v>0</v>
      </c>
      <c r="CG3050" s="76"/>
      <c r="CH3050" s="76">
        <f>+CG3050*22500</f>
        <v>0</v>
      </c>
      <c r="CI3050" s="76"/>
      <c r="CJ3050" s="76">
        <f>+CI3050*26000</f>
        <v>0</v>
      </c>
      <c r="CK3050" s="76"/>
      <c r="CL3050" s="76"/>
      <c r="CM3050" s="76"/>
      <c r="CN3050" s="76">
        <f>+CM3050*22000</f>
        <v>0</v>
      </c>
      <c r="CO3050" s="76"/>
      <c r="CP3050" s="76">
        <f>+CO3050*46000</f>
        <v>0</v>
      </c>
      <c r="CQ3050" s="76"/>
      <c r="CR3050" s="76">
        <f>+CQ3050*49000</f>
        <v>0</v>
      </c>
      <c r="CS3050" s="76"/>
      <c r="CT3050" s="76"/>
      <c r="CU3050" s="56">
        <f>AN3050+AP3050+AR3050+AT3050+AV3050+AX3050+AZ3050+BB3050+BD3050+BF3050+BH3050+BJ3050+BL3050+BN3050+BP3050+BR3050+BT3050+BV3050+BX3050+BZ3050+CB3050+CD3050+CF3050+CH3050+CJ3050+CL3050+CN3050+CP3050+CR3050+CT3050</f>
        <v>0</v>
      </c>
      <c r="CV3050" s="76"/>
      <c r="CW3050" s="76">
        <f>+CV3050*1100</f>
        <v>0</v>
      </c>
      <c r="CX3050" s="76"/>
      <c r="CY3050" s="76">
        <f>+CX3050*106250</f>
        <v>0</v>
      </c>
      <c r="CZ3050" s="76"/>
      <c r="DA3050" s="76">
        <f>+CZ3050*34500</f>
        <v>0</v>
      </c>
      <c r="DB3050" s="76"/>
      <c r="DC3050" s="76">
        <f>+DB3050*25000</f>
        <v>0</v>
      </c>
      <c r="DD3050" s="219"/>
      <c r="DE3050" s="219"/>
      <c r="DF3050" s="166"/>
      <c r="DG3050" s="116"/>
      <c r="DH3050" s="117"/>
      <c r="DI3050" s="24"/>
      <c r="DJ3050" s="24"/>
      <c r="DK3050" s="24"/>
      <c r="DL3050" s="24"/>
      <c r="DM3050" s="24"/>
      <c r="DN3050" s="24"/>
      <c r="DO3050" s="24"/>
      <c r="DP3050" s="24"/>
      <c r="DQ3050" s="24"/>
      <c r="DR3050" s="24"/>
      <c r="DS3050" s="24"/>
      <c r="DT3050" s="24"/>
      <c r="DU3050" s="24"/>
    </row>
    <row r="3051" spans="1:125" s="8" customFormat="1" ht="48" x14ac:dyDescent="0.2">
      <c r="A3051" s="77">
        <v>41534</v>
      </c>
      <c r="B3051" s="352" t="s">
        <v>2661</v>
      </c>
      <c r="C3051" s="354" t="s">
        <v>2838</v>
      </c>
      <c r="D3051" s="354" t="s">
        <v>2846</v>
      </c>
      <c r="E3051" s="296" t="str">
        <f>VLOOKUP(B3051&amp;C3051,Divipola!$C$2:$F$1138,4,FALSE)</f>
        <v>41132</v>
      </c>
      <c r="F3051" s="87"/>
      <c r="G3051" s="87"/>
      <c r="H3051" s="87"/>
      <c r="I3051" s="87"/>
      <c r="J3051" s="87"/>
      <c r="K3051" s="87"/>
      <c r="L3051" s="87"/>
      <c r="M3051" s="87"/>
      <c r="N3051" s="87"/>
      <c r="O3051" s="87"/>
      <c r="P3051" s="87"/>
      <c r="Q3051" s="87"/>
      <c r="R3051" s="87"/>
      <c r="S3051" s="87"/>
      <c r="T3051" s="87"/>
      <c r="U3051" s="88">
        <v>25</v>
      </c>
      <c r="V3051" s="89"/>
      <c r="W3051" s="96">
        <v>0</v>
      </c>
      <c r="X3051" s="71">
        <f>CU3051</f>
        <v>0</v>
      </c>
      <c r="Y3051" s="71">
        <f>CY3051</f>
        <v>0</v>
      </c>
      <c r="Z3051" s="71">
        <f>DA3051+DC3051+DE3051</f>
        <v>0</v>
      </c>
      <c r="AA3051" s="71">
        <f>CW3051</f>
        <v>0</v>
      </c>
      <c r="AB3051" s="71"/>
      <c r="AC3051" s="71">
        <v>0</v>
      </c>
      <c r="AD3051" s="71">
        <f>W3051+X3051+Y3051+Z3051+AA3051+AB3051+AC3051</f>
        <v>0</v>
      </c>
      <c r="AE3051" s="72">
        <v>0</v>
      </c>
      <c r="AF3051" s="5"/>
      <c r="AG3051" s="6"/>
      <c r="AH3051" s="27"/>
      <c r="AI3051" s="44"/>
      <c r="AJ3051" s="26"/>
      <c r="AK3051" s="5"/>
      <c r="AL3051" s="82" t="s">
        <v>5944</v>
      </c>
      <c r="AM3051" s="76"/>
      <c r="AN3051" s="76"/>
      <c r="AO3051" s="76"/>
      <c r="AP3051" s="76"/>
      <c r="AQ3051" s="76"/>
      <c r="AR3051" s="76"/>
      <c r="AS3051" s="76"/>
      <c r="AT3051" s="76"/>
      <c r="AU3051" s="76"/>
      <c r="AV3051" s="76"/>
      <c r="AW3051" s="76"/>
      <c r="AX3051" s="76">
        <f>+AW3051*600000</f>
        <v>0</v>
      </c>
      <c r="AY3051" s="76"/>
      <c r="AZ3051" s="76">
        <f>+AY3051*70000</f>
        <v>0</v>
      </c>
      <c r="BA3051" s="76"/>
      <c r="BB3051" s="76"/>
      <c r="BC3051" s="76"/>
      <c r="BD3051" s="76">
        <f>+BC3051*30000</f>
        <v>0</v>
      </c>
      <c r="BE3051" s="76"/>
      <c r="BF3051" s="76"/>
      <c r="BG3051" s="76"/>
      <c r="BH3051" s="76"/>
      <c r="BI3051" s="76"/>
      <c r="BJ3051" s="76"/>
      <c r="BK3051" s="76"/>
      <c r="BL3051" s="76">
        <f>+BK3051*31500</f>
        <v>0</v>
      </c>
      <c r="BM3051" s="76"/>
      <c r="BN3051" s="76"/>
      <c r="BO3051" s="76"/>
      <c r="BP3051" s="76"/>
      <c r="BQ3051" s="76"/>
      <c r="BR3051" s="76"/>
      <c r="BS3051" s="76"/>
      <c r="BT3051" s="76"/>
      <c r="BU3051" s="76"/>
      <c r="BV3051" s="76"/>
      <c r="BW3051" s="76"/>
      <c r="BX3051" s="76"/>
      <c r="BY3051" s="76"/>
      <c r="BZ3051" s="76"/>
      <c r="CA3051" s="76"/>
      <c r="CB3051" s="76"/>
      <c r="CC3051" s="76"/>
      <c r="CD3051" s="76"/>
      <c r="CE3051" s="76"/>
      <c r="CF3051" s="76">
        <f>+CE3051*28000</f>
        <v>0</v>
      </c>
      <c r="CG3051" s="76"/>
      <c r="CH3051" s="76">
        <f>+CG3051*22500</f>
        <v>0</v>
      </c>
      <c r="CI3051" s="76"/>
      <c r="CJ3051" s="76">
        <f>+CI3051*26000</f>
        <v>0</v>
      </c>
      <c r="CK3051" s="76"/>
      <c r="CL3051" s="76"/>
      <c r="CM3051" s="76"/>
      <c r="CN3051" s="76">
        <f>+CM3051*22000</f>
        <v>0</v>
      </c>
      <c r="CO3051" s="76"/>
      <c r="CP3051" s="76">
        <f>+CO3051*46000</f>
        <v>0</v>
      </c>
      <c r="CQ3051" s="76"/>
      <c r="CR3051" s="76">
        <f>+CQ3051*49000</f>
        <v>0</v>
      </c>
      <c r="CS3051" s="76"/>
      <c r="CT3051" s="76"/>
      <c r="CU3051" s="56">
        <f>AN3051+AP3051+AR3051+AT3051+AV3051+AX3051+AZ3051+BB3051+BD3051+BF3051+BH3051+BJ3051+BL3051+BN3051+BP3051+BR3051+BT3051+BV3051+BX3051+BZ3051+CB3051+CD3051+CF3051+CH3051+CJ3051+CL3051+CN3051+CP3051+CR3051+CT3051</f>
        <v>0</v>
      </c>
      <c r="CV3051" s="76"/>
      <c r="CW3051" s="76">
        <f>+CV3051*1100</f>
        <v>0</v>
      </c>
      <c r="CX3051" s="76"/>
      <c r="CY3051" s="76">
        <f>+CX3051*106250</f>
        <v>0</v>
      </c>
      <c r="CZ3051" s="76"/>
      <c r="DA3051" s="76">
        <f>+CZ3051*34500</f>
        <v>0</v>
      </c>
      <c r="DB3051" s="76"/>
      <c r="DC3051" s="76">
        <f>+DB3051*25000</f>
        <v>0</v>
      </c>
      <c r="DD3051" s="219"/>
      <c r="DE3051" s="219"/>
      <c r="DF3051" s="166"/>
      <c r="DG3051" s="116"/>
      <c r="DH3051" s="117"/>
      <c r="DI3051" s="24"/>
      <c r="DJ3051" s="24"/>
      <c r="DK3051" s="24"/>
      <c r="DL3051" s="24"/>
      <c r="DM3051" s="24"/>
      <c r="DN3051" s="24"/>
      <c r="DO3051" s="24"/>
      <c r="DP3051" s="24"/>
      <c r="DQ3051" s="24"/>
      <c r="DR3051" s="24"/>
      <c r="DS3051" s="24"/>
      <c r="DT3051" s="24"/>
      <c r="DU3051" s="24"/>
    </row>
    <row r="3052" spans="1:125" s="8" customFormat="1" ht="60" x14ac:dyDescent="0.2">
      <c r="A3052" s="77">
        <v>41534</v>
      </c>
      <c r="B3052" s="352" t="s">
        <v>2661</v>
      </c>
      <c r="C3052" s="354" t="s">
        <v>2838</v>
      </c>
      <c r="D3052" s="354" t="s">
        <v>2846</v>
      </c>
      <c r="E3052" s="296" t="str">
        <f>VLOOKUP(B3052&amp;C3052,Divipola!$C$2:$F$1138,4,FALSE)</f>
        <v>41132</v>
      </c>
      <c r="F3052" s="87"/>
      <c r="G3052" s="87"/>
      <c r="H3052" s="87"/>
      <c r="I3052" s="87"/>
      <c r="J3052" s="87"/>
      <c r="K3052" s="87"/>
      <c r="L3052" s="87"/>
      <c r="M3052" s="87"/>
      <c r="N3052" s="87"/>
      <c r="O3052" s="87"/>
      <c r="P3052" s="87"/>
      <c r="Q3052" s="87"/>
      <c r="R3052" s="87"/>
      <c r="S3052" s="87"/>
      <c r="T3052" s="87"/>
      <c r="U3052" s="88">
        <v>5</v>
      </c>
      <c r="V3052" s="89"/>
      <c r="W3052" s="96">
        <v>0</v>
      </c>
      <c r="X3052" s="71">
        <f>CU3052</f>
        <v>0</v>
      </c>
      <c r="Y3052" s="71">
        <f>CY3052</f>
        <v>0</v>
      </c>
      <c r="Z3052" s="71">
        <f>DA3052+DC3052+DE3052</f>
        <v>0</v>
      </c>
      <c r="AA3052" s="71">
        <f>CW3052</f>
        <v>0</v>
      </c>
      <c r="AB3052" s="71"/>
      <c r="AC3052" s="71">
        <v>0</v>
      </c>
      <c r="AD3052" s="71">
        <f>W3052+X3052+Y3052+Z3052+AA3052+AB3052+AC3052</f>
        <v>0</v>
      </c>
      <c r="AE3052" s="72">
        <v>0</v>
      </c>
      <c r="AF3052" s="5"/>
      <c r="AG3052" s="6"/>
      <c r="AH3052" s="27"/>
      <c r="AI3052" s="44"/>
      <c r="AJ3052" s="26"/>
      <c r="AK3052" s="5"/>
      <c r="AL3052" s="82" t="s">
        <v>5945</v>
      </c>
      <c r="AM3052" s="76"/>
      <c r="AN3052" s="76"/>
      <c r="AO3052" s="76"/>
      <c r="AP3052" s="76"/>
      <c r="AQ3052" s="76"/>
      <c r="AR3052" s="76"/>
      <c r="AS3052" s="76"/>
      <c r="AT3052" s="76"/>
      <c r="AU3052" s="76"/>
      <c r="AV3052" s="76"/>
      <c r="AW3052" s="76"/>
      <c r="AX3052" s="76">
        <f>+AW3052*600000</f>
        <v>0</v>
      </c>
      <c r="AY3052" s="76"/>
      <c r="AZ3052" s="76">
        <f>+AY3052*70000</f>
        <v>0</v>
      </c>
      <c r="BA3052" s="76"/>
      <c r="BB3052" s="76"/>
      <c r="BC3052" s="76"/>
      <c r="BD3052" s="76">
        <f>+BC3052*30000</f>
        <v>0</v>
      </c>
      <c r="BE3052" s="76"/>
      <c r="BF3052" s="76"/>
      <c r="BG3052" s="76"/>
      <c r="BH3052" s="76"/>
      <c r="BI3052" s="76"/>
      <c r="BJ3052" s="76"/>
      <c r="BK3052" s="76"/>
      <c r="BL3052" s="76">
        <f>+BK3052*31500</f>
        <v>0</v>
      </c>
      <c r="BM3052" s="76"/>
      <c r="BN3052" s="76"/>
      <c r="BO3052" s="76"/>
      <c r="BP3052" s="76"/>
      <c r="BQ3052" s="76"/>
      <c r="BR3052" s="76"/>
      <c r="BS3052" s="76"/>
      <c r="BT3052" s="76"/>
      <c r="BU3052" s="76"/>
      <c r="BV3052" s="76"/>
      <c r="BW3052" s="76"/>
      <c r="BX3052" s="76"/>
      <c r="BY3052" s="76"/>
      <c r="BZ3052" s="76"/>
      <c r="CA3052" s="76"/>
      <c r="CB3052" s="76"/>
      <c r="CC3052" s="76"/>
      <c r="CD3052" s="76"/>
      <c r="CE3052" s="76"/>
      <c r="CF3052" s="76">
        <f>+CE3052*28000</f>
        <v>0</v>
      </c>
      <c r="CG3052" s="76"/>
      <c r="CH3052" s="76">
        <f>+CG3052*22500</f>
        <v>0</v>
      </c>
      <c r="CI3052" s="76"/>
      <c r="CJ3052" s="76">
        <f>+CI3052*26000</f>
        <v>0</v>
      </c>
      <c r="CK3052" s="76"/>
      <c r="CL3052" s="76"/>
      <c r="CM3052" s="76"/>
      <c r="CN3052" s="76">
        <f>+CM3052*22000</f>
        <v>0</v>
      </c>
      <c r="CO3052" s="76"/>
      <c r="CP3052" s="76">
        <f>+CO3052*46000</f>
        <v>0</v>
      </c>
      <c r="CQ3052" s="76"/>
      <c r="CR3052" s="76">
        <f>+CQ3052*49000</f>
        <v>0</v>
      </c>
      <c r="CS3052" s="76"/>
      <c r="CT3052" s="76"/>
      <c r="CU3052" s="56">
        <f>AN3052+AP3052+AR3052+AT3052+AV3052+AX3052+AZ3052+BB3052+BD3052+BF3052+BH3052+BJ3052+BL3052+BN3052+BP3052+BR3052+BT3052+BV3052+BX3052+BZ3052+CB3052+CD3052+CF3052+CH3052+CJ3052+CL3052+CN3052+CP3052+CR3052+CT3052</f>
        <v>0</v>
      </c>
      <c r="CV3052" s="76"/>
      <c r="CW3052" s="76">
        <f>+CV3052*1100</f>
        <v>0</v>
      </c>
      <c r="CX3052" s="76"/>
      <c r="CY3052" s="76">
        <f>+CX3052*106250</f>
        <v>0</v>
      </c>
      <c r="CZ3052" s="76"/>
      <c r="DA3052" s="76">
        <f>+CZ3052*34500</f>
        <v>0</v>
      </c>
      <c r="DB3052" s="76"/>
      <c r="DC3052" s="76">
        <f>+DB3052*25000</f>
        <v>0</v>
      </c>
      <c r="DD3052" s="219"/>
      <c r="DE3052" s="219"/>
      <c r="DF3052" s="166"/>
      <c r="DG3052" s="116"/>
      <c r="DH3052" s="117"/>
      <c r="DI3052" s="24"/>
      <c r="DJ3052" s="24"/>
      <c r="DK3052" s="24"/>
      <c r="DL3052" s="24"/>
      <c r="DM3052" s="24"/>
      <c r="DN3052" s="24"/>
      <c r="DO3052" s="24"/>
      <c r="DP3052" s="24"/>
      <c r="DQ3052" s="24"/>
      <c r="DR3052" s="24"/>
      <c r="DS3052" s="24"/>
      <c r="DT3052" s="24"/>
      <c r="DU3052" s="24"/>
    </row>
    <row r="3053" spans="1:125" s="8" customFormat="1" ht="36" x14ac:dyDescent="0.2">
      <c r="A3053" s="77">
        <v>41534</v>
      </c>
      <c r="B3053" s="352" t="s">
        <v>2880</v>
      </c>
      <c r="C3053" s="227" t="s">
        <v>2677</v>
      </c>
      <c r="D3053" s="354" t="s">
        <v>2882</v>
      </c>
      <c r="E3053" s="296" t="str">
        <f>VLOOKUP(B3053&amp;C3053,Divipola!$C$2:$F$1138,4,FALSE)</f>
        <v>54109</v>
      </c>
      <c r="F3053" s="87"/>
      <c r="G3053" s="87"/>
      <c r="H3053" s="87"/>
      <c r="I3053" s="87">
        <v>5</v>
      </c>
      <c r="J3053" s="87">
        <v>1</v>
      </c>
      <c r="K3053" s="87"/>
      <c r="L3053" s="87">
        <v>1</v>
      </c>
      <c r="M3053" s="87"/>
      <c r="N3053" s="87"/>
      <c r="O3053" s="87"/>
      <c r="P3053" s="87"/>
      <c r="Q3053" s="87"/>
      <c r="R3053" s="87"/>
      <c r="S3053" s="87"/>
      <c r="T3053" s="87"/>
      <c r="U3053" s="88"/>
      <c r="V3053" s="89"/>
      <c r="W3053" s="96">
        <v>0</v>
      </c>
      <c r="X3053" s="71">
        <f>CU3053</f>
        <v>0</v>
      </c>
      <c r="Y3053" s="71">
        <f>CY3053</f>
        <v>0</v>
      </c>
      <c r="Z3053" s="71">
        <f>DA3053+DC3053+DE3053</f>
        <v>0</v>
      </c>
      <c r="AA3053" s="71">
        <f>CW3053</f>
        <v>0</v>
      </c>
      <c r="AB3053" s="71"/>
      <c r="AC3053" s="71">
        <v>0</v>
      </c>
      <c r="AD3053" s="71">
        <f>W3053+X3053+Y3053+Z3053+AA3053+AB3053+AC3053</f>
        <v>0</v>
      </c>
      <c r="AE3053" s="72">
        <v>0</v>
      </c>
      <c r="AF3053" s="5"/>
      <c r="AG3053" s="6"/>
      <c r="AH3053" s="27"/>
      <c r="AI3053" s="44"/>
      <c r="AJ3053" s="26"/>
      <c r="AK3053" s="5"/>
      <c r="AL3053" s="82" t="s">
        <v>5946</v>
      </c>
      <c r="AM3053" s="76"/>
      <c r="AN3053" s="76"/>
      <c r="AO3053" s="76"/>
      <c r="AP3053" s="76"/>
      <c r="AQ3053" s="76"/>
      <c r="AR3053" s="76"/>
      <c r="AS3053" s="76"/>
      <c r="AT3053" s="76"/>
      <c r="AU3053" s="76"/>
      <c r="AV3053" s="76"/>
      <c r="AW3053" s="76"/>
      <c r="AX3053" s="76">
        <f>+AW3053*600000</f>
        <v>0</v>
      </c>
      <c r="AY3053" s="76"/>
      <c r="AZ3053" s="76">
        <f>+AY3053*70000</f>
        <v>0</v>
      </c>
      <c r="BA3053" s="76"/>
      <c r="BB3053" s="76"/>
      <c r="BC3053" s="76"/>
      <c r="BD3053" s="76">
        <f>+BC3053*30000</f>
        <v>0</v>
      </c>
      <c r="BE3053" s="76"/>
      <c r="BF3053" s="76"/>
      <c r="BG3053" s="76"/>
      <c r="BH3053" s="76"/>
      <c r="BI3053" s="76"/>
      <c r="BJ3053" s="76"/>
      <c r="BK3053" s="76"/>
      <c r="BL3053" s="76">
        <f>+BK3053*31500</f>
        <v>0</v>
      </c>
      <c r="BM3053" s="76"/>
      <c r="BN3053" s="76"/>
      <c r="BO3053" s="76"/>
      <c r="BP3053" s="76"/>
      <c r="BQ3053" s="76"/>
      <c r="BR3053" s="76"/>
      <c r="BS3053" s="76"/>
      <c r="BT3053" s="76"/>
      <c r="BU3053" s="76"/>
      <c r="BV3053" s="76"/>
      <c r="BW3053" s="76"/>
      <c r="BX3053" s="76"/>
      <c r="BY3053" s="76"/>
      <c r="BZ3053" s="76"/>
      <c r="CA3053" s="76"/>
      <c r="CB3053" s="76"/>
      <c r="CC3053" s="76"/>
      <c r="CD3053" s="76"/>
      <c r="CE3053" s="76"/>
      <c r="CF3053" s="76">
        <f>+CE3053*28000</f>
        <v>0</v>
      </c>
      <c r="CG3053" s="76"/>
      <c r="CH3053" s="76">
        <f>+CG3053*22500</f>
        <v>0</v>
      </c>
      <c r="CI3053" s="76"/>
      <c r="CJ3053" s="76">
        <f>+CI3053*26000</f>
        <v>0</v>
      </c>
      <c r="CK3053" s="76"/>
      <c r="CL3053" s="76"/>
      <c r="CM3053" s="76"/>
      <c r="CN3053" s="76">
        <f>+CM3053*22000</f>
        <v>0</v>
      </c>
      <c r="CO3053" s="76"/>
      <c r="CP3053" s="76">
        <f>+CO3053*46000</f>
        <v>0</v>
      </c>
      <c r="CQ3053" s="76"/>
      <c r="CR3053" s="76">
        <f>+CQ3053*49000</f>
        <v>0</v>
      </c>
      <c r="CS3053" s="76"/>
      <c r="CT3053" s="76"/>
      <c r="CU3053" s="56">
        <f>AN3053+AP3053+AR3053+AT3053+AV3053+AX3053+AZ3053+BB3053+BD3053+BF3053+BH3053+BJ3053+BL3053+BN3053+BP3053+BR3053+BT3053+BV3053+BX3053+BZ3053+CB3053+CD3053+CF3053+CH3053+CJ3053+CL3053+CN3053+CP3053+CR3053+CT3053</f>
        <v>0</v>
      </c>
      <c r="CV3053" s="76"/>
      <c r="CW3053" s="76">
        <f>+CV3053*1100</f>
        <v>0</v>
      </c>
      <c r="CX3053" s="76"/>
      <c r="CY3053" s="76">
        <f>+CX3053*106250</f>
        <v>0</v>
      </c>
      <c r="CZ3053" s="76"/>
      <c r="DA3053" s="76">
        <f>+CZ3053*34500</f>
        <v>0</v>
      </c>
      <c r="DB3053" s="76"/>
      <c r="DC3053" s="76">
        <f>+DB3053*25000</f>
        <v>0</v>
      </c>
      <c r="DD3053" s="219"/>
      <c r="DE3053" s="219"/>
      <c r="DF3053" s="166"/>
      <c r="DG3053" s="116"/>
      <c r="DH3053" s="117"/>
      <c r="DI3053" s="24"/>
      <c r="DJ3053" s="24"/>
      <c r="DK3053" s="24"/>
      <c r="DL3053" s="24"/>
      <c r="DM3053" s="24"/>
      <c r="DN3053" s="24"/>
      <c r="DO3053" s="24"/>
      <c r="DP3053" s="24"/>
      <c r="DQ3053" s="24"/>
      <c r="DR3053" s="24"/>
      <c r="DS3053" s="24"/>
      <c r="DT3053" s="24"/>
      <c r="DU3053" s="24"/>
    </row>
    <row r="3054" spans="1:125" s="8" customFormat="1" ht="60" x14ac:dyDescent="0.2">
      <c r="A3054" s="77">
        <v>41534</v>
      </c>
      <c r="B3054" s="352" t="s">
        <v>2880</v>
      </c>
      <c r="C3054" s="227" t="s">
        <v>7</v>
      </c>
      <c r="D3054" s="354" t="s">
        <v>3051</v>
      </c>
      <c r="E3054" s="296" t="str">
        <f>VLOOKUP(B3054&amp;C3054,Divipola!$C$2:$F$1138,4,FALSE)</f>
        <v>54385</v>
      </c>
      <c r="F3054" s="87"/>
      <c r="G3054" s="87"/>
      <c r="H3054" s="87"/>
      <c r="I3054" s="87"/>
      <c r="J3054" s="87"/>
      <c r="K3054" s="87"/>
      <c r="L3054" s="87"/>
      <c r="M3054" s="87">
        <v>1</v>
      </c>
      <c r="N3054" s="87"/>
      <c r="O3054" s="87"/>
      <c r="P3054" s="87"/>
      <c r="Q3054" s="87">
        <v>1</v>
      </c>
      <c r="R3054" s="87"/>
      <c r="S3054" s="87"/>
      <c r="T3054" s="87"/>
      <c r="U3054" s="88"/>
      <c r="V3054" s="89">
        <v>12</v>
      </c>
      <c r="W3054" s="96">
        <v>0</v>
      </c>
      <c r="X3054" s="71">
        <f>CU3054</f>
        <v>0</v>
      </c>
      <c r="Y3054" s="71">
        <f>CY3054</f>
        <v>0</v>
      </c>
      <c r="Z3054" s="71">
        <f>DA3054+DC3054+DE3054</f>
        <v>0</v>
      </c>
      <c r="AA3054" s="71">
        <f>CW3054</f>
        <v>0</v>
      </c>
      <c r="AB3054" s="71"/>
      <c r="AC3054" s="71">
        <v>0</v>
      </c>
      <c r="AD3054" s="71">
        <f>W3054+X3054+Y3054+Z3054+AA3054+AB3054+AC3054</f>
        <v>0</v>
      </c>
      <c r="AE3054" s="72">
        <v>0</v>
      </c>
      <c r="AF3054" s="5"/>
      <c r="AG3054" s="6"/>
      <c r="AH3054" s="27"/>
      <c r="AI3054" s="44"/>
      <c r="AJ3054" s="26"/>
      <c r="AK3054" s="5"/>
      <c r="AL3054" s="82" t="s">
        <v>5947</v>
      </c>
      <c r="AM3054" s="76"/>
      <c r="AN3054" s="76"/>
      <c r="AO3054" s="76"/>
      <c r="AP3054" s="76"/>
      <c r="AQ3054" s="76"/>
      <c r="AR3054" s="76"/>
      <c r="AS3054" s="76"/>
      <c r="AT3054" s="76"/>
      <c r="AU3054" s="76"/>
      <c r="AV3054" s="76"/>
      <c r="AW3054" s="76"/>
      <c r="AX3054" s="76">
        <f>+AW3054*600000</f>
        <v>0</v>
      </c>
      <c r="AY3054" s="76"/>
      <c r="AZ3054" s="76">
        <f>+AY3054*70000</f>
        <v>0</v>
      </c>
      <c r="BA3054" s="76"/>
      <c r="BB3054" s="76"/>
      <c r="BC3054" s="76"/>
      <c r="BD3054" s="76">
        <f>+BC3054*30000</f>
        <v>0</v>
      </c>
      <c r="BE3054" s="76"/>
      <c r="BF3054" s="76"/>
      <c r="BG3054" s="76"/>
      <c r="BH3054" s="76"/>
      <c r="BI3054" s="76"/>
      <c r="BJ3054" s="76"/>
      <c r="BK3054" s="76"/>
      <c r="BL3054" s="76">
        <f>+BK3054*31500</f>
        <v>0</v>
      </c>
      <c r="BM3054" s="76"/>
      <c r="BN3054" s="76"/>
      <c r="BO3054" s="76"/>
      <c r="BP3054" s="76"/>
      <c r="BQ3054" s="76"/>
      <c r="BR3054" s="76"/>
      <c r="BS3054" s="76"/>
      <c r="BT3054" s="76"/>
      <c r="BU3054" s="76"/>
      <c r="BV3054" s="76"/>
      <c r="BW3054" s="76"/>
      <c r="BX3054" s="76"/>
      <c r="BY3054" s="76"/>
      <c r="BZ3054" s="76"/>
      <c r="CA3054" s="76"/>
      <c r="CB3054" s="76"/>
      <c r="CC3054" s="76"/>
      <c r="CD3054" s="76"/>
      <c r="CE3054" s="76"/>
      <c r="CF3054" s="76">
        <f>+CE3054*28000</f>
        <v>0</v>
      </c>
      <c r="CG3054" s="76"/>
      <c r="CH3054" s="76">
        <f>+CG3054*22500</f>
        <v>0</v>
      </c>
      <c r="CI3054" s="76"/>
      <c r="CJ3054" s="76">
        <f>+CI3054*26000</f>
        <v>0</v>
      </c>
      <c r="CK3054" s="76"/>
      <c r="CL3054" s="76"/>
      <c r="CM3054" s="76"/>
      <c r="CN3054" s="76">
        <f>+CM3054*22000</f>
        <v>0</v>
      </c>
      <c r="CO3054" s="76"/>
      <c r="CP3054" s="76">
        <f>+CO3054*46000</f>
        <v>0</v>
      </c>
      <c r="CQ3054" s="76"/>
      <c r="CR3054" s="76">
        <f>+CQ3054*49000</f>
        <v>0</v>
      </c>
      <c r="CS3054" s="76"/>
      <c r="CT3054" s="76"/>
      <c r="CU3054" s="56">
        <f>AN3054+AP3054+AR3054+AT3054+AV3054+AX3054+AZ3054+BB3054+BD3054+BF3054+BH3054+BJ3054+BL3054+BN3054+BP3054+BR3054+BT3054+BV3054+BX3054+BZ3054+CB3054+CD3054+CF3054+CH3054+CJ3054+CL3054+CN3054+CP3054+CR3054+CT3054</f>
        <v>0</v>
      </c>
      <c r="CV3054" s="76"/>
      <c r="CW3054" s="76">
        <f>+CV3054*1100</f>
        <v>0</v>
      </c>
      <c r="CX3054" s="76"/>
      <c r="CY3054" s="76">
        <f>+CX3054*106250</f>
        <v>0</v>
      </c>
      <c r="CZ3054" s="76"/>
      <c r="DA3054" s="76">
        <f>+CZ3054*34500</f>
        <v>0</v>
      </c>
      <c r="DB3054" s="76"/>
      <c r="DC3054" s="76">
        <f>+DB3054*25000</f>
        <v>0</v>
      </c>
      <c r="DD3054" s="219"/>
      <c r="DE3054" s="219"/>
      <c r="DF3054" s="166"/>
      <c r="DG3054" s="116"/>
      <c r="DH3054" s="117"/>
      <c r="DI3054" s="24"/>
      <c r="DJ3054" s="24"/>
      <c r="DK3054" s="24"/>
      <c r="DL3054" s="24"/>
      <c r="DM3054" s="24"/>
      <c r="DN3054" s="24"/>
      <c r="DO3054" s="24"/>
      <c r="DP3054" s="24"/>
      <c r="DQ3054" s="24"/>
      <c r="DR3054" s="24"/>
      <c r="DS3054" s="24"/>
      <c r="DT3054" s="24"/>
      <c r="DU3054" s="24"/>
    </row>
    <row r="3055" spans="1:125" s="8" customFormat="1" ht="36" x14ac:dyDescent="0.2">
      <c r="A3055" s="77">
        <v>41534</v>
      </c>
      <c r="B3055" s="352" t="s">
        <v>2774</v>
      </c>
      <c r="C3055" s="354" t="s">
        <v>2069</v>
      </c>
      <c r="D3055" s="354" t="s">
        <v>2882</v>
      </c>
      <c r="E3055" s="296" t="str">
        <f>VLOOKUP(B3055&amp;C3055,Divipola!$C$2:$F$1138,4,FALSE)</f>
        <v>66088</v>
      </c>
      <c r="F3055" s="87"/>
      <c r="G3055" s="87"/>
      <c r="H3055" s="87"/>
      <c r="I3055" s="87"/>
      <c r="J3055" s="87"/>
      <c r="K3055" s="87"/>
      <c r="L3055" s="87"/>
      <c r="M3055" s="87"/>
      <c r="N3055" s="87"/>
      <c r="O3055" s="87"/>
      <c r="P3055" s="87"/>
      <c r="Q3055" s="87"/>
      <c r="R3055" s="87"/>
      <c r="S3055" s="87"/>
      <c r="T3055" s="87"/>
      <c r="U3055" s="88"/>
      <c r="V3055" s="89"/>
      <c r="W3055" s="96">
        <v>0</v>
      </c>
      <c r="X3055" s="71">
        <f>CU3055</f>
        <v>0</v>
      </c>
      <c r="Y3055" s="71">
        <f>CY3055</f>
        <v>0</v>
      </c>
      <c r="Z3055" s="71">
        <f>DA3055+DC3055+DE3055</f>
        <v>0</v>
      </c>
      <c r="AA3055" s="71">
        <f>CW3055</f>
        <v>0</v>
      </c>
      <c r="AB3055" s="71"/>
      <c r="AC3055" s="71">
        <v>0</v>
      </c>
      <c r="AD3055" s="71">
        <f>W3055+X3055+Y3055+Z3055+AA3055+AB3055+AC3055</f>
        <v>0</v>
      </c>
      <c r="AE3055" s="72">
        <v>0</v>
      </c>
      <c r="AF3055" s="5"/>
      <c r="AG3055" s="6"/>
      <c r="AH3055" s="27"/>
      <c r="AI3055" s="44"/>
      <c r="AJ3055" s="26"/>
      <c r="AK3055" s="5"/>
      <c r="AL3055" s="82" t="s">
        <v>5948</v>
      </c>
      <c r="AM3055" s="76"/>
      <c r="AN3055" s="76"/>
      <c r="AO3055" s="76"/>
      <c r="AP3055" s="76"/>
      <c r="AQ3055" s="76"/>
      <c r="AR3055" s="76"/>
      <c r="AS3055" s="76"/>
      <c r="AT3055" s="76"/>
      <c r="AU3055" s="76"/>
      <c r="AV3055" s="76"/>
      <c r="AW3055" s="76"/>
      <c r="AX3055" s="76">
        <f>+AW3055*600000</f>
        <v>0</v>
      </c>
      <c r="AY3055" s="76"/>
      <c r="AZ3055" s="76">
        <f>+AY3055*70000</f>
        <v>0</v>
      </c>
      <c r="BA3055" s="76"/>
      <c r="BB3055" s="76"/>
      <c r="BC3055" s="76"/>
      <c r="BD3055" s="76">
        <f>+BC3055*30000</f>
        <v>0</v>
      </c>
      <c r="BE3055" s="76"/>
      <c r="BF3055" s="76"/>
      <c r="BG3055" s="76"/>
      <c r="BH3055" s="76"/>
      <c r="BI3055" s="76"/>
      <c r="BJ3055" s="76"/>
      <c r="BK3055" s="76"/>
      <c r="BL3055" s="76">
        <f>+BK3055*31500</f>
        <v>0</v>
      </c>
      <c r="BM3055" s="76"/>
      <c r="BN3055" s="76"/>
      <c r="BO3055" s="76"/>
      <c r="BP3055" s="76"/>
      <c r="BQ3055" s="76"/>
      <c r="BR3055" s="76"/>
      <c r="BS3055" s="76"/>
      <c r="BT3055" s="76"/>
      <c r="BU3055" s="76"/>
      <c r="BV3055" s="76"/>
      <c r="BW3055" s="76"/>
      <c r="BX3055" s="76"/>
      <c r="BY3055" s="76"/>
      <c r="BZ3055" s="76"/>
      <c r="CA3055" s="76"/>
      <c r="CB3055" s="76"/>
      <c r="CC3055" s="76"/>
      <c r="CD3055" s="76"/>
      <c r="CE3055" s="76"/>
      <c r="CF3055" s="76">
        <f>+CE3055*28000</f>
        <v>0</v>
      </c>
      <c r="CG3055" s="76"/>
      <c r="CH3055" s="76">
        <f>+CG3055*22500</f>
        <v>0</v>
      </c>
      <c r="CI3055" s="76"/>
      <c r="CJ3055" s="76">
        <f>+CI3055*26000</f>
        <v>0</v>
      </c>
      <c r="CK3055" s="76"/>
      <c r="CL3055" s="76"/>
      <c r="CM3055" s="76"/>
      <c r="CN3055" s="76">
        <f>+CM3055*22000</f>
        <v>0</v>
      </c>
      <c r="CO3055" s="76"/>
      <c r="CP3055" s="76">
        <f>+CO3055*46000</f>
        <v>0</v>
      </c>
      <c r="CQ3055" s="76"/>
      <c r="CR3055" s="76">
        <f>+CQ3055*49000</f>
        <v>0</v>
      </c>
      <c r="CS3055" s="76"/>
      <c r="CT3055" s="76"/>
      <c r="CU3055" s="56">
        <f>AN3055+AP3055+AR3055+AT3055+AV3055+AX3055+AZ3055+BB3055+BD3055+BF3055+BH3055+BJ3055+BL3055+BN3055+BP3055+BR3055+BT3055+BV3055+BX3055+BZ3055+CB3055+CD3055+CF3055+CH3055+CJ3055+CL3055+CN3055+CP3055+CR3055+CT3055</f>
        <v>0</v>
      </c>
      <c r="CV3055" s="76"/>
      <c r="CW3055" s="76">
        <f>+CV3055*1100</f>
        <v>0</v>
      </c>
      <c r="CX3055" s="76"/>
      <c r="CY3055" s="76">
        <f>+CX3055*106250</f>
        <v>0</v>
      </c>
      <c r="CZ3055" s="76"/>
      <c r="DA3055" s="76">
        <f>+CZ3055*34500</f>
        <v>0</v>
      </c>
      <c r="DB3055" s="76"/>
      <c r="DC3055" s="76">
        <f>+DB3055*25000</f>
        <v>0</v>
      </c>
      <c r="DD3055" s="219"/>
      <c r="DE3055" s="219"/>
      <c r="DF3055" s="166"/>
      <c r="DG3055" s="116"/>
      <c r="DH3055" s="117"/>
      <c r="DI3055" s="24"/>
      <c r="DJ3055" s="24"/>
      <c r="DK3055" s="24"/>
      <c r="DL3055" s="24"/>
      <c r="DM3055" s="24"/>
      <c r="DN3055" s="24"/>
      <c r="DO3055" s="24"/>
      <c r="DP3055" s="24"/>
      <c r="DQ3055" s="24"/>
      <c r="DR3055" s="24"/>
      <c r="DS3055" s="24"/>
      <c r="DT3055" s="24"/>
      <c r="DU3055" s="24"/>
    </row>
    <row r="3056" spans="1:125" s="8" customFormat="1" ht="84" x14ac:dyDescent="0.2">
      <c r="A3056" s="77">
        <v>41534</v>
      </c>
      <c r="B3056" s="208" t="s">
        <v>2774</v>
      </c>
      <c r="C3056" s="227" t="s">
        <v>2745</v>
      </c>
      <c r="D3056" s="354" t="s">
        <v>2882</v>
      </c>
      <c r="E3056" s="296" t="str">
        <f>VLOOKUP(B3056&amp;C3056,Divipola!$C$2:$F$1138,4,FALSE)</f>
        <v>66318</v>
      </c>
      <c r="F3056" s="87"/>
      <c r="G3056" s="87"/>
      <c r="H3056" s="87"/>
      <c r="I3056" s="87">
        <v>255</v>
      </c>
      <c r="J3056" s="87">
        <v>51</v>
      </c>
      <c r="K3056" s="87"/>
      <c r="L3056" s="87">
        <v>51</v>
      </c>
      <c r="M3056" s="87"/>
      <c r="N3056" s="87"/>
      <c r="O3056" s="87"/>
      <c r="P3056" s="87"/>
      <c r="Q3056" s="87"/>
      <c r="R3056" s="87"/>
      <c r="S3056" s="87"/>
      <c r="T3056" s="87"/>
      <c r="U3056" s="88"/>
      <c r="V3056" s="89"/>
      <c r="W3056" s="96">
        <v>0</v>
      </c>
      <c r="X3056" s="71">
        <f>CU3056</f>
        <v>0</v>
      </c>
      <c r="Y3056" s="71">
        <f>CY3056</f>
        <v>0</v>
      </c>
      <c r="Z3056" s="71">
        <f>DA3056+DC3056+DE3056</f>
        <v>0</v>
      </c>
      <c r="AA3056" s="71">
        <f>CW3056</f>
        <v>0</v>
      </c>
      <c r="AB3056" s="71"/>
      <c r="AC3056" s="71">
        <v>0</v>
      </c>
      <c r="AD3056" s="71">
        <f>W3056+X3056+Y3056+Z3056+AA3056+AB3056+AC3056</f>
        <v>0</v>
      </c>
      <c r="AE3056" s="72">
        <v>0</v>
      </c>
      <c r="AF3056" s="5"/>
      <c r="AG3056" s="6"/>
      <c r="AH3056" s="27"/>
      <c r="AI3056" s="44"/>
      <c r="AJ3056" s="26"/>
      <c r="AK3056" s="5"/>
      <c r="AL3056" s="274" t="s">
        <v>5960</v>
      </c>
      <c r="AM3056" s="76"/>
      <c r="AN3056" s="76"/>
      <c r="AO3056" s="76"/>
      <c r="AP3056" s="76"/>
      <c r="AQ3056" s="76"/>
      <c r="AR3056" s="76"/>
      <c r="AS3056" s="76"/>
      <c r="AT3056" s="76"/>
      <c r="AU3056" s="76"/>
      <c r="AV3056" s="76"/>
      <c r="AW3056" s="76"/>
      <c r="AX3056" s="76">
        <f>+AW3056*600000</f>
        <v>0</v>
      </c>
      <c r="AY3056" s="76"/>
      <c r="AZ3056" s="76">
        <f>+AY3056*70000</f>
        <v>0</v>
      </c>
      <c r="BA3056" s="76"/>
      <c r="BB3056" s="76"/>
      <c r="BC3056" s="76"/>
      <c r="BD3056" s="76">
        <f>+BC3056*30000</f>
        <v>0</v>
      </c>
      <c r="BE3056" s="76"/>
      <c r="BF3056" s="76"/>
      <c r="BG3056" s="76"/>
      <c r="BH3056" s="76"/>
      <c r="BI3056" s="76"/>
      <c r="BJ3056" s="76"/>
      <c r="BK3056" s="76"/>
      <c r="BL3056" s="76">
        <f>+BK3056*31500</f>
        <v>0</v>
      </c>
      <c r="BM3056" s="76"/>
      <c r="BN3056" s="76"/>
      <c r="BO3056" s="76"/>
      <c r="BP3056" s="76"/>
      <c r="BQ3056" s="76"/>
      <c r="BR3056" s="76"/>
      <c r="BS3056" s="76"/>
      <c r="BT3056" s="76"/>
      <c r="BU3056" s="76"/>
      <c r="BV3056" s="76"/>
      <c r="BW3056" s="76"/>
      <c r="BX3056" s="76"/>
      <c r="BY3056" s="76"/>
      <c r="BZ3056" s="76"/>
      <c r="CA3056" s="76"/>
      <c r="CB3056" s="76"/>
      <c r="CC3056" s="76"/>
      <c r="CD3056" s="76"/>
      <c r="CE3056" s="76"/>
      <c r="CF3056" s="76">
        <f>+CE3056*28000</f>
        <v>0</v>
      </c>
      <c r="CG3056" s="76"/>
      <c r="CH3056" s="76">
        <f>+CG3056*22500</f>
        <v>0</v>
      </c>
      <c r="CI3056" s="76"/>
      <c r="CJ3056" s="76">
        <f>+CI3056*26000</f>
        <v>0</v>
      </c>
      <c r="CK3056" s="76"/>
      <c r="CL3056" s="76"/>
      <c r="CM3056" s="76"/>
      <c r="CN3056" s="76">
        <f>+CM3056*22000</f>
        <v>0</v>
      </c>
      <c r="CO3056" s="76"/>
      <c r="CP3056" s="76">
        <f>+CO3056*46000</f>
        <v>0</v>
      </c>
      <c r="CQ3056" s="76"/>
      <c r="CR3056" s="76">
        <f>+CQ3056*49000</f>
        <v>0</v>
      </c>
      <c r="CS3056" s="76"/>
      <c r="CT3056" s="76"/>
      <c r="CU3056" s="56">
        <f>AN3056+AP3056+AR3056+AT3056+AV3056+AX3056+AZ3056+BB3056+BD3056+BF3056+BH3056+BJ3056+BL3056+BN3056+BP3056+BR3056+BT3056+BV3056+BX3056+BZ3056+CB3056+CD3056+CF3056+CH3056+CJ3056+CL3056+CN3056+CP3056+CR3056+CT3056</f>
        <v>0</v>
      </c>
      <c r="CV3056" s="76"/>
      <c r="CW3056" s="76">
        <f>+CV3056*1100</f>
        <v>0</v>
      </c>
      <c r="CX3056" s="76"/>
      <c r="CY3056" s="76">
        <f>+CX3056*106250</f>
        <v>0</v>
      </c>
      <c r="CZ3056" s="76"/>
      <c r="DA3056" s="76">
        <f>+CZ3056*34500</f>
        <v>0</v>
      </c>
      <c r="DB3056" s="76"/>
      <c r="DC3056" s="76">
        <f>+DB3056*25000</f>
        <v>0</v>
      </c>
      <c r="DD3056" s="219"/>
      <c r="DE3056" s="219"/>
      <c r="DF3056" s="166"/>
      <c r="DG3056" s="116"/>
      <c r="DH3056" s="117"/>
      <c r="DI3056" s="24"/>
      <c r="DJ3056" s="24"/>
      <c r="DK3056" s="24"/>
      <c r="DL3056" s="24"/>
      <c r="DM3056" s="24"/>
      <c r="DN3056" s="24"/>
      <c r="DO3056" s="24"/>
      <c r="DP3056" s="24"/>
      <c r="DQ3056" s="24"/>
      <c r="DR3056" s="24"/>
      <c r="DS3056" s="24"/>
      <c r="DT3056" s="24"/>
      <c r="DU3056" s="24"/>
    </row>
    <row r="3057" spans="1:125" s="8" customFormat="1" ht="108" x14ac:dyDescent="0.2">
      <c r="A3057" s="77">
        <v>41534</v>
      </c>
      <c r="B3057" s="208" t="s">
        <v>2774</v>
      </c>
      <c r="C3057" s="354" t="s">
        <v>2038</v>
      </c>
      <c r="D3057" s="354" t="s">
        <v>2882</v>
      </c>
      <c r="E3057" s="296" t="str">
        <f>VLOOKUP(B3057&amp;C3057,Divipola!$C$2:$F$1138,4,FALSE)</f>
        <v>66456</v>
      </c>
      <c r="F3057" s="87"/>
      <c r="G3057" s="87"/>
      <c r="H3057" s="87"/>
      <c r="I3057" s="87">
        <v>130</v>
      </c>
      <c r="J3057" s="87">
        <v>26</v>
      </c>
      <c r="K3057" s="87"/>
      <c r="L3057" s="87">
        <v>26</v>
      </c>
      <c r="M3057" s="87"/>
      <c r="N3057" s="87"/>
      <c r="O3057" s="87"/>
      <c r="P3057" s="87"/>
      <c r="Q3057" s="87"/>
      <c r="R3057" s="87"/>
      <c r="S3057" s="87">
        <v>2</v>
      </c>
      <c r="T3057" s="87"/>
      <c r="U3057" s="88"/>
      <c r="V3057" s="89"/>
      <c r="W3057" s="96">
        <v>0</v>
      </c>
      <c r="X3057" s="71">
        <f>CU3057</f>
        <v>0</v>
      </c>
      <c r="Y3057" s="71">
        <f>CY3057</f>
        <v>0</v>
      </c>
      <c r="Z3057" s="71">
        <f>DA3057+DC3057+DE3057</f>
        <v>0</v>
      </c>
      <c r="AA3057" s="71">
        <f>CW3057</f>
        <v>0</v>
      </c>
      <c r="AB3057" s="71"/>
      <c r="AC3057" s="71">
        <v>0</v>
      </c>
      <c r="AD3057" s="71">
        <f>W3057+X3057+Y3057+Z3057+AA3057+AB3057+AC3057</f>
        <v>0</v>
      </c>
      <c r="AE3057" s="72">
        <v>0</v>
      </c>
      <c r="AF3057" s="5"/>
      <c r="AG3057" s="6"/>
      <c r="AH3057" s="27"/>
      <c r="AI3057" s="44"/>
      <c r="AJ3057" s="26"/>
      <c r="AK3057" s="5"/>
      <c r="AL3057" s="274" t="s">
        <v>5961</v>
      </c>
      <c r="AM3057" s="76"/>
      <c r="AN3057" s="76"/>
      <c r="AO3057" s="76"/>
      <c r="AP3057" s="76"/>
      <c r="AQ3057" s="76"/>
      <c r="AR3057" s="76"/>
      <c r="AS3057" s="76"/>
      <c r="AT3057" s="76"/>
      <c r="AU3057" s="76"/>
      <c r="AV3057" s="76"/>
      <c r="AW3057" s="76"/>
      <c r="AX3057" s="76">
        <f>+AW3057*600000</f>
        <v>0</v>
      </c>
      <c r="AY3057" s="76"/>
      <c r="AZ3057" s="76">
        <f>+AY3057*70000</f>
        <v>0</v>
      </c>
      <c r="BA3057" s="76"/>
      <c r="BB3057" s="76"/>
      <c r="BC3057" s="76"/>
      <c r="BD3057" s="76">
        <f>+BC3057*30000</f>
        <v>0</v>
      </c>
      <c r="BE3057" s="76"/>
      <c r="BF3057" s="76"/>
      <c r="BG3057" s="76"/>
      <c r="BH3057" s="76"/>
      <c r="BI3057" s="76"/>
      <c r="BJ3057" s="76"/>
      <c r="BK3057" s="76"/>
      <c r="BL3057" s="76">
        <f>+BK3057*31500</f>
        <v>0</v>
      </c>
      <c r="BM3057" s="76"/>
      <c r="BN3057" s="76"/>
      <c r="BO3057" s="76"/>
      <c r="BP3057" s="76"/>
      <c r="BQ3057" s="76"/>
      <c r="BR3057" s="76"/>
      <c r="BS3057" s="76"/>
      <c r="BT3057" s="76"/>
      <c r="BU3057" s="76"/>
      <c r="BV3057" s="76"/>
      <c r="BW3057" s="76"/>
      <c r="BX3057" s="76"/>
      <c r="BY3057" s="76"/>
      <c r="BZ3057" s="76"/>
      <c r="CA3057" s="76"/>
      <c r="CB3057" s="76"/>
      <c r="CC3057" s="76"/>
      <c r="CD3057" s="76"/>
      <c r="CE3057" s="76"/>
      <c r="CF3057" s="76">
        <f>+CE3057*28000</f>
        <v>0</v>
      </c>
      <c r="CG3057" s="76"/>
      <c r="CH3057" s="76">
        <f>+CG3057*22500</f>
        <v>0</v>
      </c>
      <c r="CI3057" s="76"/>
      <c r="CJ3057" s="76">
        <f>+CI3057*26000</f>
        <v>0</v>
      </c>
      <c r="CK3057" s="76"/>
      <c r="CL3057" s="76"/>
      <c r="CM3057" s="76"/>
      <c r="CN3057" s="76">
        <f>+CM3057*22000</f>
        <v>0</v>
      </c>
      <c r="CO3057" s="76"/>
      <c r="CP3057" s="76">
        <f>+CO3057*46000</f>
        <v>0</v>
      </c>
      <c r="CQ3057" s="76"/>
      <c r="CR3057" s="76">
        <f>+CQ3057*49000</f>
        <v>0</v>
      </c>
      <c r="CS3057" s="76"/>
      <c r="CT3057" s="76"/>
      <c r="CU3057" s="56">
        <f>AN3057+AP3057+AR3057+AT3057+AV3057+AX3057+AZ3057+BB3057+BD3057+BF3057+BH3057+BJ3057+BL3057+BN3057+BP3057+BR3057+BT3057+BV3057+BX3057+BZ3057+CB3057+CD3057+CF3057+CH3057+CJ3057+CL3057+CN3057+CP3057+CR3057+CT3057</f>
        <v>0</v>
      </c>
      <c r="CV3057" s="76"/>
      <c r="CW3057" s="76">
        <f>+CV3057*1100</f>
        <v>0</v>
      </c>
      <c r="CX3057" s="76"/>
      <c r="CY3057" s="76">
        <f>+CX3057*106250</f>
        <v>0</v>
      </c>
      <c r="CZ3057" s="76"/>
      <c r="DA3057" s="76">
        <f>+CZ3057*34500</f>
        <v>0</v>
      </c>
      <c r="DB3057" s="76"/>
      <c r="DC3057" s="76">
        <f>+DB3057*25000</f>
        <v>0</v>
      </c>
      <c r="DD3057" s="219"/>
      <c r="DE3057" s="219"/>
      <c r="DF3057" s="166"/>
      <c r="DG3057" s="116"/>
      <c r="DH3057" s="117"/>
      <c r="DI3057" s="24"/>
      <c r="DJ3057" s="24"/>
      <c r="DK3057" s="24"/>
      <c r="DL3057" s="24"/>
      <c r="DM3057" s="24"/>
      <c r="DN3057" s="24"/>
      <c r="DO3057" s="24"/>
      <c r="DP3057" s="24"/>
      <c r="DQ3057" s="24"/>
      <c r="DR3057" s="24"/>
      <c r="DS3057" s="24"/>
      <c r="DT3057" s="24"/>
      <c r="DU3057" s="24"/>
    </row>
    <row r="3058" spans="1:125" s="8" customFormat="1" ht="48" x14ac:dyDescent="0.2">
      <c r="A3058" s="77">
        <v>41534</v>
      </c>
      <c r="B3058" s="352" t="s">
        <v>1326</v>
      </c>
      <c r="C3058" s="354" t="s">
        <v>1828</v>
      </c>
      <c r="D3058" s="354" t="s">
        <v>3051</v>
      </c>
      <c r="E3058" s="296" t="str">
        <f>VLOOKUP(B3058&amp;C3058,Divipola!$C$2:$F$1138,4,FALSE)</f>
        <v>70508</v>
      </c>
      <c r="F3058" s="61"/>
      <c r="G3058" s="61"/>
      <c r="H3058" s="61"/>
      <c r="I3058" s="61">
        <v>150</v>
      </c>
      <c r="J3058" s="61">
        <v>30</v>
      </c>
      <c r="K3058" s="61"/>
      <c r="L3058" s="61">
        <v>30</v>
      </c>
      <c r="M3058" s="61"/>
      <c r="N3058" s="61"/>
      <c r="O3058" s="61"/>
      <c r="P3058" s="61"/>
      <c r="Q3058" s="61"/>
      <c r="R3058" s="61"/>
      <c r="S3058" s="61"/>
      <c r="T3058" s="61"/>
      <c r="U3058" s="61"/>
      <c r="V3058" s="7"/>
      <c r="W3058" s="96">
        <v>0</v>
      </c>
      <c r="X3058" s="71">
        <f>CU3058</f>
        <v>0</v>
      </c>
      <c r="Y3058" s="71">
        <f>CY3058</f>
        <v>0</v>
      </c>
      <c r="Z3058" s="71">
        <f>DA3058+DC3058+DE3058</f>
        <v>0</v>
      </c>
      <c r="AA3058" s="71">
        <f>CW3058</f>
        <v>0</v>
      </c>
      <c r="AB3058" s="71"/>
      <c r="AC3058" s="71">
        <v>0</v>
      </c>
      <c r="AD3058" s="71">
        <f>W3058+X3058+Y3058+Z3058+AA3058+AB3058+AC3058</f>
        <v>0</v>
      </c>
      <c r="AE3058" s="72">
        <v>0</v>
      </c>
      <c r="AF3058" s="5"/>
      <c r="AG3058" s="6"/>
      <c r="AH3058" s="27"/>
      <c r="AI3058" s="44"/>
      <c r="AJ3058" s="26"/>
      <c r="AK3058" s="5"/>
      <c r="AL3058" s="82" t="s">
        <v>5942</v>
      </c>
      <c r="AM3058" s="76"/>
      <c r="AN3058" s="76"/>
      <c r="AO3058" s="76"/>
      <c r="AP3058" s="76"/>
      <c r="AQ3058" s="76"/>
      <c r="AR3058" s="76"/>
      <c r="AS3058" s="76"/>
      <c r="AT3058" s="76"/>
      <c r="AU3058" s="76"/>
      <c r="AV3058" s="76"/>
      <c r="AW3058" s="76"/>
      <c r="AX3058" s="76">
        <f>+AW3058*600000</f>
        <v>0</v>
      </c>
      <c r="AY3058" s="76"/>
      <c r="AZ3058" s="76">
        <f>+AY3058*70000</f>
        <v>0</v>
      </c>
      <c r="BA3058" s="76"/>
      <c r="BB3058" s="76"/>
      <c r="BC3058" s="76"/>
      <c r="BD3058" s="76">
        <f>+BC3058*30000</f>
        <v>0</v>
      </c>
      <c r="BE3058" s="76"/>
      <c r="BF3058" s="76"/>
      <c r="BG3058" s="76"/>
      <c r="BH3058" s="76"/>
      <c r="BI3058" s="76"/>
      <c r="BJ3058" s="76"/>
      <c r="BK3058" s="76"/>
      <c r="BL3058" s="76">
        <f>+BK3058*31500</f>
        <v>0</v>
      </c>
      <c r="BM3058" s="76"/>
      <c r="BN3058" s="76"/>
      <c r="BO3058" s="76"/>
      <c r="BP3058" s="76"/>
      <c r="BQ3058" s="76"/>
      <c r="BR3058" s="76"/>
      <c r="BS3058" s="76"/>
      <c r="BT3058" s="76"/>
      <c r="BU3058" s="76"/>
      <c r="BV3058" s="76"/>
      <c r="BW3058" s="76"/>
      <c r="BX3058" s="76"/>
      <c r="BY3058" s="76"/>
      <c r="BZ3058" s="76"/>
      <c r="CA3058" s="76"/>
      <c r="CB3058" s="76"/>
      <c r="CC3058" s="76"/>
      <c r="CD3058" s="76"/>
      <c r="CE3058" s="76"/>
      <c r="CF3058" s="76">
        <f>+CE3058*28000</f>
        <v>0</v>
      </c>
      <c r="CG3058" s="76"/>
      <c r="CH3058" s="76">
        <f>+CG3058*22500</f>
        <v>0</v>
      </c>
      <c r="CI3058" s="76"/>
      <c r="CJ3058" s="76">
        <f>+CI3058*26000</f>
        <v>0</v>
      </c>
      <c r="CK3058" s="76"/>
      <c r="CL3058" s="76"/>
      <c r="CM3058" s="76"/>
      <c r="CN3058" s="76">
        <f>+CM3058*22000</f>
        <v>0</v>
      </c>
      <c r="CO3058" s="76"/>
      <c r="CP3058" s="76">
        <f>+CO3058*46000</f>
        <v>0</v>
      </c>
      <c r="CQ3058" s="76"/>
      <c r="CR3058" s="76">
        <f>+CQ3058*49000</f>
        <v>0</v>
      </c>
      <c r="CS3058" s="76"/>
      <c r="CT3058" s="76"/>
      <c r="CU3058" s="56">
        <f>AN3058+AP3058+AR3058+AT3058+AV3058+AX3058+AZ3058+BB3058+BD3058+BF3058+BH3058+BJ3058+BL3058+BN3058+BP3058+BR3058+BT3058+BV3058+BX3058+BZ3058+CB3058+CD3058+CF3058+CH3058+CJ3058+CL3058+CN3058+CP3058+CR3058+CT3058</f>
        <v>0</v>
      </c>
      <c r="CV3058" s="76"/>
      <c r="CW3058" s="76">
        <f>+CV3058*1100</f>
        <v>0</v>
      </c>
      <c r="CX3058" s="76"/>
      <c r="CY3058" s="76">
        <f>+CX3058*106250</f>
        <v>0</v>
      </c>
      <c r="CZ3058" s="76"/>
      <c r="DA3058" s="76">
        <f>+CZ3058*34500</f>
        <v>0</v>
      </c>
      <c r="DB3058" s="76"/>
      <c r="DC3058" s="76">
        <f>+DB3058*25000</f>
        <v>0</v>
      </c>
      <c r="DD3058" s="219"/>
      <c r="DE3058" s="219"/>
      <c r="DF3058" s="166"/>
      <c r="DG3058" s="116"/>
      <c r="DH3058" s="117"/>
      <c r="DI3058" s="24"/>
      <c r="DJ3058" s="24"/>
      <c r="DK3058" s="24"/>
      <c r="DL3058" s="24"/>
      <c r="DM3058" s="24"/>
      <c r="DN3058" s="24"/>
      <c r="DO3058" s="24"/>
      <c r="DP3058" s="24"/>
      <c r="DQ3058" s="24"/>
      <c r="DR3058" s="24"/>
      <c r="DS3058" s="24"/>
      <c r="DT3058" s="24"/>
      <c r="DU3058" s="24"/>
    </row>
    <row r="3059" spans="1:125" s="8" customFormat="1" ht="36" x14ac:dyDescent="0.2">
      <c r="A3059" s="77">
        <v>41534</v>
      </c>
      <c r="B3059" s="352" t="s">
        <v>2848</v>
      </c>
      <c r="C3059" s="354" t="s">
        <v>2077</v>
      </c>
      <c r="D3059" s="354" t="s">
        <v>2882</v>
      </c>
      <c r="E3059" s="296" t="str">
        <f>VLOOKUP(B3059&amp;C3059,Divipola!$C$2:$F$1138,4,FALSE)</f>
        <v>73411</v>
      </c>
      <c r="F3059" s="87"/>
      <c r="G3059" s="87"/>
      <c r="H3059" s="87"/>
      <c r="I3059" s="87">
        <v>125</v>
      </c>
      <c r="J3059" s="87">
        <v>25</v>
      </c>
      <c r="K3059" s="87"/>
      <c r="L3059" s="87">
        <v>25</v>
      </c>
      <c r="M3059" s="87"/>
      <c r="N3059" s="87"/>
      <c r="O3059" s="87"/>
      <c r="P3059" s="87"/>
      <c r="Q3059" s="87"/>
      <c r="R3059" s="87"/>
      <c r="S3059" s="87"/>
      <c r="T3059" s="87"/>
      <c r="U3059" s="88"/>
      <c r="V3059" s="89"/>
      <c r="W3059" s="96">
        <v>0</v>
      </c>
      <c r="X3059" s="71">
        <f>CU3059</f>
        <v>0</v>
      </c>
      <c r="Y3059" s="71">
        <f>CY3059</f>
        <v>0</v>
      </c>
      <c r="Z3059" s="71">
        <f>DA3059+DC3059+DE3059</f>
        <v>0</v>
      </c>
      <c r="AA3059" s="71">
        <f>CW3059</f>
        <v>0</v>
      </c>
      <c r="AB3059" s="71"/>
      <c r="AC3059" s="71">
        <v>0</v>
      </c>
      <c r="AD3059" s="71">
        <f>W3059+X3059+Y3059+Z3059+AA3059+AB3059+AC3059</f>
        <v>0</v>
      </c>
      <c r="AE3059" s="72">
        <v>0</v>
      </c>
      <c r="AF3059" s="5"/>
      <c r="AG3059" s="6"/>
      <c r="AH3059" s="27"/>
      <c r="AI3059" s="44"/>
      <c r="AJ3059" s="26"/>
      <c r="AK3059" s="5"/>
      <c r="AL3059" s="82" t="s">
        <v>5967</v>
      </c>
      <c r="AM3059" s="76"/>
      <c r="AN3059" s="76"/>
      <c r="AO3059" s="76"/>
      <c r="AP3059" s="76"/>
      <c r="AQ3059" s="76"/>
      <c r="AR3059" s="76"/>
      <c r="AS3059" s="76"/>
      <c r="AT3059" s="76"/>
      <c r="AU3059" s="76"/>
      <c r="AV3059" s="76"/>
      <c r="AW3059" s="76"/>
      <c r="AX3059" s="76">
        <f>+AW3059*600000</f>
        <v>0</v>
      </c>
      <c r="AY3059" s="76"/>
      <c r="AZ3059" s="76">
        <f>+AY3059*70000</f>
        <v>0</v>
      </c>
      <c r="BA3059" s="76"/>
      <c r="BB3059" s="76"/>
      <c r="BC3059" s="76"/>
      <c r="BD3059" s="76">
        <f>+BC3059*30000</f>
        <v>0</v>
      </c>
      <c r="BE3059" s="76"/>
      <c r="BF3059" s="76"/>
      <c r="BG3059" s="76"/>
      <c r="BH3059" s="76"/>
      <c r="BI3059" s="76"/>
      <c r="BJ3059" s="76"/>
      <c r="BK3059" s="76"/>
      <c r="BL3059" s="76">
        <f>+BK3059*31500</f>
        <v>0</v>
      </c>
      <c r="BM3059" s="76"/>
      <c r="BN3059" s="76"/>
      <c r="BO3059" s="76"/>
      <c r="BP3059" s="76"/>
      <c r="BQ3059" s="76"/>
      <c r="BR3059" s="76"/>
      <c r="BS3059" s="76"/>
      <c r="BT3059" s="76"/>
      <c r="BU3059" s="76"/>
      <c r="BV3059" s="76"/>
      <c r="BW3059" s="76"/>
      <c r="BX3059" s="76"/>
      <c r="BY3059" s="76"/>
      <c r="BZ3059" s="76"/>
      <c r="CA3059" s="76"/>
      <c r="CB3059" s="76"/>
      <c r="CC3059" s="76"/>
      <c r="CD3059" s="76"/>
      <c r="CE3059" s="76"/>
      <c r="CF3059" s="76">
        <f>+CE3059*28000</f>
        <v>0</v>
      </c>
      <c r="CG3059" s="76"/>
      <c r="CH3059" s="76">
        <f>+CG3059*22500</f>
        <v>0</v>
      </c>
      <c r="CI3059" s="76"/>
      <c r="CJ3059" s="76">
        <f>+CI3059*26000</f>
        <v>0</v>
      </c>
      <c r="CK3059" s="76"/>
      <c r="CL3059" s="76"/>
      <c r="CM3059" s="76"/>
      <c r="CN3059" s="76">
        <f>+CM3059*22000</f>
        <v>0</v>
      </c>
      <c r="CO3059" s="76"/>
      <c r="CP3059" s="76">
        <f>+CO3059*46000</f>
        <v>0</v>
      </c>
      <c r="CQ3059" s="76"/>
      <c r="CR3059" s="76">
        <f>+CQ3059*49000</f>
        <v>0</v>
      </c>
      <c r="CS3059" s="76"/>
      <c r="CT3059" s="76"/>
      <c r="CU3059" s="56">
        <f>AN3059+AP3059+AR3059+AT3059+AV3059+AX3059+AZ3059+BB3059+BD3059+BF3059+BH3059+BJ3059+BL3059+BN3059+BP3059+BR3059+BT3059+BV3059+BX3059+BZ3059+CB3059+CD3059+CF3059+CH3059+CJ3059+CL3059+CN3059+CP3059+CR3059+CT3059</f>
        <v>0</v>
      </c>
      <c r="CV3059" s="76"/>
      <c r="CW3059" s="76">
        <f>+CV3059*1100</f>
        <v>0</v>
      </c>
      <c r="CX3059" s="76"/>
      <c r="CY3059" s="76">
        <f>+CX3059*106250</f>
        <v>0</v>
      </c>
      <c r="CZ3059" s="76"/>
      <c r="DA3059" s="76">
        <f>+CZ3059*34500</f>
        <v>0</v>
      </c>
      <c r="DB3059" s="76"/>
      <c r="DC3059" s="76">
        <f>+DB3059*25000</f>
        <v>0</v>
      </c>
      <c r="DD3059" s="219"/>
      <c r="DE3059" s="219"/>
      <c r="DF3059" s="166"/>
      <c r="DG3059" s="116"/>
      <c r="DH3059" s="117"/>
      <c r="DI3059" s="24"/>
      <c r="DJ3059" s="24"/>
      <c r="DK3059" s="24"/>
      <c r="DL3059" s="24"/>
      <c r="DM3059" s="24"/>
      <c r="DN3059" s="24"/>
      <c r="DO3059" s="24"/>
      <c r="DP3059" s="24"/>
      <c r="DQ3059" s="24"/>
      <c r="DR3059" s="24"/>
      <c r="DS3059" s="24"/>
      <c r="DT3059" s="24"/>
      <c r="DU3059" s="24"/>
    </row>
    <row r="3060" spans="1:125" s="8" customFormat="1" ht="120" x14ac:dyDescent="0.2">
      <c r="A3060" s="77">
        <v>41534</v>
      </c>
      <c r="B3060" s="78" t="s">
        <v>2848</v>
      </c>
      <c r="C3060" s="75" t="s">
        <v>1891</v>
      </c>
      <c r="D3060" s="75" t="s">
        <v>2882</v>
      </c>
      <c r="E3060" s="296" t="str">
        <f>VLOOKUP(B3060&amp;C3060,Divipola!$C$2:$F$1138,4,FALSE)</f>
        <v>73461</v>
      </c>
      <c r="F3060" s="87"/>
      <c r="G3060" s="87"/>
      <c r="H3060" s="87"/>
      <c r="I3060" s="87">
        <v>5</v>
      </c>
      <c r="J3060" s="87">
        <v>1</v>
      </c>
      <c r="K3060" s="87"/>
      <c r="L3060" s="87">
        <v>1</v>
      </c>
      <c r="M3060" s="87">
        <v>1</v>
      </c>
      <c r="N3060" s="87">
        <v>1</v>
      </c>
      <c r="O3060" s="87"/>
      <c r="P3060" s="87"/>
      <c r="Q3060" s="87"/>
      <c r="R3060" s="87"/>
      <c r="S3060" s="87"/>
      <c r="T3060" s="87"/>
      <c r="U3060" s="88"/>
      <c r="V3060" s="89"/>
      <c r="W3060" s="96">
        <v>0</v>
      </c>
      <c r="X3060" s="71">
        <f>CU3060</f>
        <v>2939973.5999999996</v>
      </c>
      <c r="Y3060" s="71">
        <f>CY3060</f>
        <v>8500000</v>
      </c>
      <c r="Z3060" s="71">
        <f>DA3060+DC3060+DE3060</f>
        <v>27397436.800000001</v>
      </c>
      <c r="AA3060" s="71">
        <f>CW3060</f>
        <v>0</v>
      </c>
      <c r="AB3060" s="71"/>
      <c r="AC3060" s="71">
        <v>0</v>
      </c>
      <c r="AD3060" s="71">
        <f>W3060+X3060+Y3060+Z3060+AA3060+AB3060+AC3060</f>
        <v>38837410.399999999</v>
      </c>
      <c r="AE3060" s="72">
        <v>0</v>
      </c>
      <c r="AF3060" s="5"/>
      <c r="AG3060" s="6"/>
      <c r="AH3060" s="27"/>
      <c r="AI3060" s="44"/>
      <c r="AJ3060" s="26"/>
      <c r="AK3060" s="5"/>
      <c r="AL3060" s="82" t="s">
        <v>6329</v>
      </c>
      <c r="AM3060" s="76"/>
      <c r="AN3060" s="76"/>
      <c r="AO3060" s="76"/>
      <c r="AP3060" s="76"/>
      <c r="AQ3060" s="76"/>
      <c r="AR3060" s="76"/>
      <c r="AS3060" s="76"/>
      <c r="AT3060" s="76"/>
      <c r="AU3060" s="76"/>
      <c r="AV3060" s="76"/>
      <c r="AW3060" s="76"/>
      <c r="AX3060" s="76">
        <f>+AW3060*600000</f>
        <v>0</v>
      </c>
      <c r="AY3060" s="76"/>
      <c r="AZ3060" s="76">
        <f>+AY3060*70000</f>
        <v>0</v>
      </c>
      <c r="BA3060" s="76"/>
      <c r="BB3060" s="76"/>
      <c r="BC3060" s="76"/>
      <c r="BD3060" s="76">
        <f>+BC3060*30000</f>
        <v>0</v>
      </c>
      <c r="BE3060" s="76"/>
      <c r="BF3060" s="76"/>
      <c r="BG3060" s="76"/>
      <c r="BH3060" s="76"/>
      <c r="BI3060" s="76"/>
      <c r="BJ3060" s="76"/>
      <c r="BK3060" s="76"/>
      <c r="BL3060" s="76">
        <f>+BK3060*31500</f>
        <v>0</v>
      </c>
      <c r="BM3060" s="76"/>
      <c r="BN3060" s="76"/>
      <c r="BO3060" s="76"/>
      <c r="BP3060" s="76"/>
      <c r="BQ3060" s="76"/>
      <c r="BR3060" s="76"/>
      <c r="BS3060" s="76"/>
      <c r="BT3060" s="76"/>
      <c r="BU3060" s="76"/>
      <c r="BV3060" s="76"/>
      <c r="BW3060" s="76"/>
      <c r="BX3060" s="76"/>
      <c r="BY3060" s="76"/>
      <c r="BZ3060" s="76"/>
      <c r="CA3060" s="76"/>
      <c r="CB3060" s="76"/>
      <c r="CC3060" s="76"/>
      <c r="CD3060" s="76"/>
      <c r="CE3060" s="76"/>
      <c r="CF3060" s="76">
        <f>+CE3060*28000</f>
        <v>0</v>
      </c>
      <c r="CG3060" s="76"/>
      <c r="CH3060" s="76">
        <f>+CG3060*22500</f>
        <v>0</v>
      </c>
      <c r="CI3060" s="76"/>
      <c r="CJ3060" s="76">
        <f>+CI3060*26000</f>
        <v>0</v>
      </c>
      <c r="CK3060" s="76"/>
      <c r="CL3060" s="76"/>
      <c r="CM3060" s="76"/>
      <c r="CN3060" s="76">
        <f>+CM3060*22000</f>
        <v>0</v>
      </c>
      <c r="CO3060" s="76"/>
      <c r="CP3060" s="76">
        <f>+CO3060*46000</f>
        <v>0</v>
      </c>
      <c r="CQ3060" s="86">
        <v>60</v>
      </c>
      <c r="CR3060" s="86">
        <f>+CQ3060*48999.56</f>
        <v>2939973.5999999996</v>
      </c>
      <c r="CS3060" s="76"/>
      <c r="CT3060" s="76"/>
      <c r="CU3060" s="56">
        <f>AN3060+AP3060+AR3060+AT3060+AV3060+AX3060+AZ3060+BB3060+BD3060+BF3060+BH3060+BJ3060+BL3060+BN3060+BP3060+BR3060+BT3060+BV3060+BX3060+BZ3060+CB3060+CD3060+CF3060+CH3060+CJ3060+CL3060+CN3060+CP3060+CR3060+CT3060</f>
        <v>2939973.5999999996</v>
      </c>
      <c r="CV3060" s="76"/>
      <c r="CW3060" s="76">
        <f>+CV3060*1100</f>
        <v>0</v>
      </c>
      <c r="CX3060" s="86">
        <v>80</v>
      </c>
      <c r="CY3060" s="86">
        <f>+CX3060*106250</f>
        <v>8500000</v>
      </c>
      <c r="CZ3060" s="76"/>
      <c r="DA3060" s="76">
        <f>+CZ3060*34500</f>
        <v>0</v>
      </c>
      <c r="DB3060" s="86">
        <v>450</v>
      </c>
      <c r="DC3060" s="86">
        <f>+DB3060*32000.92+750*199.52</f>
        <v>14550054</v>
      </c>
      <c r="DD3060" s="358" t="s">
        <v>6420</v>
      </c>
      <c r="DE3060" s="318">
        <f>130*23000.48+130*40499.08+100*41412+5*90248</f>
        <v>12847382.800000001</v>
      </c>
      <c r="DF3060" s="166"/>
      <c r="DG3060" s="134" t="s">
        <v>6975</v>
      </c>
      <c r="DH3060" s="117"/>
      <c r="DI3060" s="24"/>
      <c r="DJ3060" s="24"/>
      <c r="DK3060" s="24"/>
      <c r="DL3060" s="24"/>
      <c r="DM3060" s="24"/>
      <c r="DN3060" s="24"/>
      <c r="DO3060" s="24"/>
      <c r="DP3060" s="24"/>
      <c r="DQ3060" s="24"/>
      <c r="DR3060" s="24"/>
      <c r="DS3060" s="24"/>
      <c r="DT3060" s="24"/>
      <c r="DU3060" s="24"/>
    </row>
    <row r="3061" spans="1:125" s="8" customFormat="1" ht="96" x14ac:dyDescent="0.2">
      <c r="A3061" s="77">
        <v>41534</v>
      </c>
      <c r="B3061" s="78" t="s">
        <v>2848</v>
      </c>
      <c r="C3061" s="75" t="s">
        <v>1258</v>
      </c>
      <c r="D3061" s="75" t="s">
        <v>3051</v>
      </c>
      <c r="E3061" s="296" t="str">
        <f>VLOOKUP(B3061&amp;C3061,Divipola!$C$2:$F$1138,4,FALSE)</f>
        <v>73870</v>
      </c>
      <c r="F3061" s="87"/>
      <c r="G3061" s="87"/>
      <c r="H3061" s="87"/>
      <c r="I3061" s="87">
        <v>10</v>
      </c>
      <c r="J3061" s="87">
        <v>2</v>
      </c>
      <c r="K3061" s="87"/>
      <c r="L3061" s="87">
        <v>2</v>
      </c>
      <c r="M3061" s="87"/>
      <c r="N3061" s="87"/>
      <c r="O3061" s="87"/>
      <c r="P3061" s="87"/>
      <c r="Q3061" s="87"/>
      <c r="R3061" s="87"/>
      <c r="S3061" s="87">
        <v>1</v>
      </c>
      <c r="T3061" s="87"/>
      <c r="U3061" s="88"/>
      <c r="V3061" s="89"/>
      <c r="W3061" s="96">
        <v>0</v>
      </c>
      <c r="X3061" s="71">
        <f>CU3061</f>
        <v>0</v>
      </c>
      <c r="Y3061" s="71">
        <f>CY3061</f>
        <v>0</v>
      </c>
      <c r="Z3061" s="71">
        <f>DA3061+DC3061+DE3061</f>
        <v>0</v>
      </c>
      <c r="AA3061" s="71">
        <f>CW3061</f>
        <v>0</v>
      </c>
      <c r="AB3061" s="71"/>
      <c r="AC3061" s="71">
        <v>0</v>
      </c>
      <c r="AD3061" s="71">
        <f>W3061+X3061+Y3061+Z3061+AA3061+AB3061+AC3061</f>
        <v>0</v>
      </c>
      <c r="AE3061" s="72">
        <v>0</v>
      </c>
      <c r="AF3061" s="5"/>
      <c r="AG3061" s="6"/>
      <c r="AH3061" s="27"/>
      <c r="AI3061" s="44"/>
      <c r="AJ3061" s="26"/>
      <c r="AK3061" s="5"/>
      <c r="AL3061" s="274" t="s">
        <v>5952</v>
      </c>
      <c r="AM3061" s="76"/>
      <c r="AN3061" s="76"/>
      <c r="AO3061" s="76"/>
      <c r="AP3061" s="76"/>
      <c r="AQ3061" s="76"/>
      <c r="AR3061" s="76"/>
      <c r="AS3061" s="76"/>
      <c r="AT3061" s="76"/>
      <c r="AU3061" s="76"/>
      <c r="AV3061" s="76"/>
      <c r="AW3061" s="76"/>
      <c r="AX3061" s="76">
        <f>+AW3061*600000</f>
        <v>0</v>
      </c>
      <c r="AY3061" s="76"/>
      <c r="AZ3061" s="76">
        <f>+AY3061*70000</f>
        <v>0</v>
      </c>
      <c r="BA3061" s="76"/>
      <c r="BB3061" s="76"/>
      <c r="BC3061" s="76"/>
      <c r="BD3061" s="76">
        <f>+BC3061*30000</f>
        <v>0</v>
      </c>
      <c r="BE3061" s="76"/>
      <c r="BF3061" s="76"/>
      <c r="BG3061" s="76"/>
      <c r="BH3061" s="76"/>
      <c r="BI3061" s="76"/>
      <c r="BJ3061" s="76"/>
      <c r="BK3061" s="76"/>
      <c r="BL3061" s="76">
        <f>+BK3061*31500</f>
        <v>0</v>
      </c>
      <c r="BM3061" s="76"/>
      <c r="BN3061" s="76"/>
      <c r="BO3061" s="76"/>
      <c r="BP3061" s="76"/>
      <c r="BQ3061" s="76"/>
      <c r="BR3061" s="76"/>
      <c r="BS3061" s="76"/>
      <c r="BT3061" s="76"/>
      <c r="BU3061" s="76"/>
      <c r="BV3061" s="76"/>
      <c r="BW3061" s="76"/>
      <c r="BX3061" s="76"/>
      <c r="BY3061" s="76"/>
      <c r="BZ3061" s="76"/>
      <c r="CA3061" s="76"/>
      <c r="CB3061" s="76"/>
      <c r="CC3061" s="76"/>
      <c r="CD3061" s="76"/>
      <c r="CE3061" s="76"/>
      <c r="CF3061" s="76">
        <f>+CE3061*28000</f>
        <v>0</v>
      </c>
      <c r="CG3061" s="76"/>
      <c r="CH3061" s="76">
        <f>+CG3061*22500</f>
        <v>0</v>
      </c>
      <c r="CI3061" s="76"/>
      <c r="CJ3061" s="76">
        <f>+CI3061*26000</f>
        <v>0</v>
      </c>
      <c r="CK3061" s="76"/>
      <c r="CL3061" s="76"/>
      <c r="CM3061" s="76"/>
      <c r="CN3061" s="76">
        <f>+CM3061*22000</f>
        <v>0</v>
      </c>
      <c r="CO3061" s="76"/>
      <c r="CP3061" s="76">
        <f>+CO3061*46000</f>
        <v>0</v>
      </c>
      <c r="CQ3061" s="76"/>
      <c r="CR3061" s="76">
        <f>+CQ3061*49000</f>
        <v>0</v>
      </c>
      <c r="CS3061" s="76"/>
      <c r="CT3061" s="76"/>
      <c r="CU3061" s="56">
        <f>AN3061+AP3061+AR3061+AT3061+AV3061+AX3061+AZ3061+BB3061+BD3061+BF3061+BH3061+BJ3061+BL3061+BN3061+BP3061+BR3061+BT3061+BV3061+BX3061+BZ3061+CB3061+CD3061+CF3061+CH3061+CJ3061+CL3061+CN3061+CP3061+CR3061+CT3061</f>
        <v>0</v>
      </c>
      <c r="CV3061" s="76"/>
      <c r="CW3061" s="76">
        <f>+CV3061*1100</f>
        <v>0</v>
      </c>
      <c r="CX3061" s="76"/>
      <c r="CY3061" s="76">
        <f>+CX3061*106250</f>
        <v>0</v>
      </c>
      <c r="CZ3061" s="76"/>
      <c r="DA3061" s="76">
        <f>+CZ3061*34500</f>
        <v>0</v>
      </c>
      <c r="DB3061" s="76"/>
      <c r="DC3061" s="76">
        <f>+DB3061*25000</f>
        <v>0</v>
      </c>
      <c r="DD3061" s="219"/>
      <c r="DE3061" s="219"/>
      <c r="DF3061" s="166"/>
      <c r="DG3061" s="116"/>
      <c r="DH3061" s="117"/>
      <c r="DI3061" s="24"/>
      <c r="DJ3061" s="24"/>
      <c r="DK3061" s="24"/>
      <c r="DL3061" s="24"/>
      <c r="DM3061" s="24"/>
      <c r="DN3061" s="24"/>
      <c r="DO3061" s="24"/>
      <c r="DP3061" s="24"/>
      <c r="DQ3061" s="24"/>
      <c r="DR3061" s="24"/>
      <c r="DS3061" s="24"/>
      <c r="DT3061" s="24"/>
      <c r="DU3061" s="24"/>
    </row>
    <row r="3062" spans="1:125" s="8" customFormat="1" ht="72" x14ac:dyDescent="0.2">
      <c r="A3062" s="77">
        <v>41535</v>
      </c>
      <c r="B3062" s="78" t="s">
        <v>2894</v>
      </c>
      <c r="C3062" s="75" t="s">
        <v>2415</v>
      </c>
      <c r="D3062" s="75" t="s">
        <v>3051</v>
      </c>
      <c r="E3062" s="296" t="str">
        <f>VLOOKUP(B3062&amp;C3062,Divipola!$C$2:$F$1138,4,FALSE)</f>
        <v>05172</v>
      </c>
      <c r="F3062" s="87"/>
      <c r="G3062" s="87"/>
      <c r="H3062" s="87"/>
      <c r="I3062" s="87"/>
      <c r="J3062" s="87"/>
      <c r="K3062" s="87"/>
      <c r="L3062" s="87"/>
      <c r="M3062" s="87"/>
      <c r="N3062" s="87"/>
      <c r="O3062" s="87"/>
      <c r="P3062" s="87"/>
      <c r="Q3062" s="87"/>
      <c r="R3062" s="87"/>
      <c r="S3062" s="87"/>
      <c r="T3062" s="87"/>
      <c r="U3062" s="88"/>
      <c r="V3062" s="89"/>
      <c r="W3062" s="96">
        <v>0</v>
      </c>
      <c r="X3062" s="71">
        <f>CU3062</f>
        <v>0</v>
      </c>
      <c r="Y3062" s="71">
        <f>CY3062</f>
        <v>0</v>
      </c>
      <c r="Z3062" s="71">
        <f>DA3062+DC3062+DE3062</f>
        <v>0</v>
      </c>
      <c r="AA3062" s="71">
        <f>CW3062</f>
        <v>0</v>
      </c>
      <c r="AB3062" s="71"/>
      <c r="AC3062" s="71">
        <v>0</v>
      </c>
      <c r="AD3062" s="71">
        <f>W3062+X3062+Y3062+Z3062+AA3062+AB3062+AC3062</f>
        <v>0</v>
      </c>
      <c r="AE3062" s="72">
        <v>0</v>
      </c>
      <c r="AF3062" s="5"/>
      <c r="AG3062" s="6"/>
      <c r="AH3062" s="27"/>
      <c r="AI3062" s="44"/>
      <c r="AJ3062" s="26"/>
      <c r="AK3062" s="5"/>
      <c r="AL3062" s="274" t="s">
        <v>5959</v>
      </c>
      <c r="AM3062" s="76"/>
      <c r="AN3062" s="76"/>
      <c r="AO3062" s="76"/>
      <c r="AP3062" s="76"/>
      <c r="AQ3062" s="76"/>
      <c r="AR3062" s="76"/>
      <c r="AS3062" s="76"/>
      <c r="AT3062" s="76"/>
      <c r="AU3062" s="76"/>
      <c r="AV3062" s="76"/>
      <c r="AW3062" s="76"/>
      <c r="AX3062" s="76">
        <f>+AW3062*600000</f>
        <v>0</v>
      </c>
      <c r="AY3062" s="76"/>
      <c r="AZ3062" s="76">
        <f>+AY3062*70000</f>
        <v>0</v>
      </c>
      <c r="BA3062" s="76"/>
      <c r="BB3062" s="76"/>
      <c r="BC3062" s="76"/>
      <c r="BD3062" s="76">
        <f>+BC3062*30000</f>
        <v>0</v>
      </c>
      <c r="BE3062" s="76"/>
      <c r="BF3062" s="76"/>
      <c r="BG3062" s="76"/>
      <c r="BH3062" s="76"/>
      <c r="BI3062" s="76"/>
      <c r="BJ3062" s="76"/>
      <c r="BK3062" s="76"/>
      <c r="BL3062" s="76">
        <f>+BK3062*31500</f>
        <v>0</v>
      </c>
      <c r="BM3062" s="76"/>
      <c r="BN3062" s="76"/>
      <c r="BO3062" s="76"/>
      <c r="BP3062" s="76"/>
      <c r="BQ3062" s="76"/>
      <c r="BR3062" s="76"/>
      <c r="BS3062" s="76"/>
      <c r="BT3062" s="76"/>
      <c r="BU3062" s="76"/>
      <c r="BV3062" s="76"/>
      <c r="BW3062" s="76"/>
      <c r="BX3062" s="76"/>
      <c r="BY3062" s="76"/>
      <c r="BZ3062" s="76"/>
      <c r="CA3062" s="76"/>
      <c r="CB3062" s="76"/>
      <c r="CC3062" s="76"/>
      <c r="CD3062" s="76"/>
      <c r="CE3062" s="76"/>
      <c r="CF3062" s="76">
        <f>+CE3062*28000</f>
        <v>0</v>
      </c>
      <c r="CG3062" s="76"/>
      <c r="CH3062" s="76">
        <f>+CG3062*22500</f>
        <v>0</v>
      </c>
      <c r="CI3062" s="76"/>
      <c r="CJ3062" s="76">
        <f>+CI3062*26000</f>
        <v>0</v>
      </c>
      <c r="CK3062" s="76"/>
      <c r="CL3062" s="76"/>
      <c r="CM3062" s="76"/>
      <c r="CN3062" s="76">
        <f>+CM3062*22000</f>
        <v>0</v>
      </c>
      <c r="CO3062" s="76"/>
      <c r="CP3062" s="76">
        <f>+CO3062*46000</f>
        <v>0</v>
      </c>
      <c r="CQ3062" s="76"/>
      <c r="CR3062" s="76">
        <f>+CQ3062*49000</f>
        <v>0</v>
      </c>
      <c r="CS3062" s="76"/>
      <c r="CT3062" s="76"/>
      <c r="CU3062" s="56">
        <f>AN3062+AP3062+AR3062+AT3062+AV3062+AX3062+AZ3062+BB3062+BD3062+BF3062+BH3062+BJ3062+BL3062+BN3062+BP3062+BR3062+BT3062+BV3062+BX3062+BZ3062+CB3062+CD3062+CF3062+CH3062+CJ3062+CL3062+CN3062+CP3062+CR3062+CT3062</f>
        <v>0</v>
      </c>
      <c r="CV3062" s="76"/>
      <c r="CW3062" s="76">
        <f>+CV3062*1100</f>
        <v>0</v>
      </c>
      <c r="CX3062" s="76"/>
      <c r="CY3062" s="76">
        <f>+CX3062*106250</f>
        <v>0</v>
      </c>
      <c r="CZ3062" s="76"/>
      <c r="DA3062" s="76">
        <f>+CZ3062*34500</f>
        <v>0</v>
      </c>
      <c r="DB3062" s="76"/>
      <c r="DC3062" s="76">
        <f>+DB3062*25000</f>
        <v>0</v>
      </c>
      <c r="DD3062" s="219"/>
      <c r="DE3062" s="219"/>
      <c r="DF3062" s="166"/>
      <c r="DG3062" s="116"/>
      <c r="DH3062" s="117"/>
      <c r="DI3062" s="24"/>
      <c r="DJ3062" s="24"/>
      <c r="DK3062" s="24"/>
      <c r="DL3062" s="24"/>
      <c r="DM3062" s="24"/>
      <c r="DN3062" s="24"/>
      <c r="DO3062" s="24"/>
      <c r="DP3062" s="24"/>
      <c r="DQ3062" s="24"/>
      <c r="DR3062" s="24"/>
      <c r="DS3062" s="24"/>
      <c r="DT3062" s="24"/>
      <c r="DU3062" s="24"/>
    </row>
    <row r="3063" spans="1:125" s="8" customFormat="1" ht="60" x14ac:dyDescent="0.2">
      <c r="A3063" s="77">
        <v>41535</v>
      </c>
      <c r="B3063" s="352" t="s">
        <v>2036</v>
      </c>
      <c r="C3063" s="354" t="s">
        <v>1374</v>
      </c>
      <c r="D3063" s="354" t="s">
        <v>2882</v>
      </c>
      <c r="E3063" s="296" t="str">
        <f>VLOOKUP(B3063&amp;C3063,Divipola!$C$2:$F$1138,4,FALSE)</f>
        <v>81065</v>
      </c>
      <c r="F3063" s="87"/>
      <c r="G3063" s="87"/>
      <c r="H3063" s="87"/>
      <c r="I3063" s="87">
        <v>250</v>
      </c>
      <c r="J3063" s="87">
        <v>60</v>
      </c>
      <c r="K3063" s="87"/>
      <c r="L3063" s="87">
        <v>60</v>
      </c>
      <c r="M3063" s="87"/>
      <c r="N3063" s="87"/>
      <c r="O3063" s="87"/>
      <c r="P3063" s="87"/>
      <c r="Q3063" s="87"/>
      <c r="R3063" s="87"/>
      <c r="S3063" s="87"/>
      <c r="T3063" s="87"/>
      <c r="U3063" s="88"/>
      <c r="V3063" s="89"/>
      <c r="W3063" s="96">
        <v>0</v>
      </c>
      <c r="X3063" s="71">
        <f>CU3063</f>
        <v>0</v>
      </c>
      <c r="Y3063" s="71">
        <f>CY3063</f>
        <v>0</v>
      </c>
      <c r="Z3063" s="71">
        <f>DA3063+DC3063+DE3063</f>
        <v>0</v>
      </c>
      <c r="AA3063" s="71">
        <f>CW3063</f>
        <v>0</v>
      </c>
      <c r="AB3063" s="71"/>
      <c r="AC3063" s="71">
        <v>0</v>
      </c>
      <c r="AD3063" s="71">
        <f>W3063+X3063+Y3063+Z3063+AA3063+AB3063+AC3063</f>
        <v>0</v>
      </c>
      <c r="AE3063" s="72">
        <v>0</v>
      </c>
      <c r="AF3063" s="5"/>
      <c r="AG3063" s="6"/>
      <c r="AH3063" s="27"/>
      <c r="AI3063" s="44"/>
      <c r="AJ3063" s="26"/>
      <c r="AK3063" s="5"/>
      <c r="AL3063" s="274" t="s">
        <v>5963</v>
      </c>
      <c r="AM3063" s="76"/>
      <c r="AN3063" s="76"/>
      <c r="AO3063" s="76"/>
      <c r="AP3063" s="76"/>
      <c r="AQ3063" s="76"/>
      <c r="AR3063" s="76"/>
      <c r="AS3063" s="76"/>
      <c r="AT3063" s="76"/>
      <c r="AU3063" s="76"/>
      <c r="AV3063" s="76"/>
      <c r="AW3063" s="76"/>
      <c r="AX3063" s="76">
        <f>+AW3063*600000</f>
        <v>0</v>
      </c>
      <c r="AY3063" s="76"/>
      <c r="AZ3063" s="76">
        <f>+AY3063*70000</f>
        <v>0</v>
      </c>
      <c r="BA3063" s="76"/>
      <c r="BB3063" s="76"/>
      <c r="BC3063" s="76"/>
      <c r="BD3063" s="76">
        <f>+BC3063*30000</f>
        <v>0</v>
      </c>
      <c r="BE3063" s="76"/>
      <c r="BF3063" s="76"/>
      <c r="BG3063" s="76"/>
      <c r="BH3063" s="76"/>
      <c r="BI3063" s="76"/>
      <c r="BJ3063" s="76"/>
      <c r="BK3063" s="76"/>
      <c r="BL3063" s="76">
        <f>+BK3063*31500</f>
        <v>0</v>
      </c>
      <c r="BM3063" s="76"/>
      <c r="BN3063" s="76"/>
      <c r="BO3063" s="76"/>
      <c r="BP3063" s="76"/>
      <c r="BQ3063" s="76"/>
      <c r="BR3063" s="76"/>
      <c r="BS3063" s="76"/>
      <c r="BT3063" s="76"/>
      <c r="BU3063" s="76"/>
      <c r="BV3063" s="76"/>
      <c r="BW3063" s="76"/>
      <c r="BX3063" s="76"/>
      <c r="BY3063" s="76"/>
      <c r="BZ3063" s="76"/>
      <c r="CA3063" s="76"/>
      <c r="CB3063" s="76"/>
      <c r="CC3063" s="76"/>
      <c r="CD3063" s="76"/>
      <c r="CE3063" s="76"/>
      <c r="CF3063" s="76">
        <f>+CE3063*28000</f>
        <v>0</v>
      </c>
      <c r="CG3063" s="76"/>
      <c r="CH3063" s="76">
        <f>+CG3063*22500</f>
        <v>0</v>
      </c>
      <c r="CI3063" s="76"/>
      <c r="CJ3063" s="76">
        <f>+CI3063*26000</f>
        <v>0</v>
      </c>
      <c r="CK3063" s="76"/>
      <c r="CL3063" s="76"/>
      <c r="CM3063" s="76"/>
      <c r="CN3063" s="76">
        <f>+CM3063*22000</f>
        <v>0</v>
      </c>
      <c r="CO3063" s="76"/>
      <c r="CP3063" s="76">
        <f>+CO3063*46000</f>
        <v>0</v>
      </c>
      <c r="CQ3063" s="76"/>
      <c r="CR3063" s="76">
        <f>+CQ3063*49000</f>
        <v>0</v>
      </c>
      <c r="CS3063" s="76"/>
      <c r="CT3063" s="76"/>
      <c r="CU3063" s="56">
        <f>AN3063+AP3063+AR3063+AT3063+AV3063+AX3063+AZ3063+BB3063+BD3063+BF3063+BH3063+BJ3063+BL3063+BN3063+BP3063+BR3063+BT3063+BV3063+BX3063+BZ3063+CB3063+CD3063+CF3063+CH3063+CJ3063+CL3063+CN3063+CP3063+CR3063+CT3063</f>
        <v>0</v>
      </c>
      <c r="CV3063" s="76"/>
      <c r="CW3063" s="76">
        <f>+CV3063*1100</f>
        <v>0</v>
      </c>
      <c r="CX3063" s="76"/>
      <c r="CY3063" s="76">
        <f>+CX3063*106250</f>
        <v>0</v>
      </c>
      <c r="CZ3063" s="76"/>
      <c r="DA3063" s="76">
        <f>+CZ3063*34500</f>
        <v>0</v>
      </c>
      <c r="DB3063" s="76"/>
      <c r="DC3063" s="76">
        <f>+DB3063*25000</f>
        <v>0</v>
      </c>
      <c r="DD3063" s="219"/>
      <c r="DE3063" s="219"/>
      <c r="DF3063" s="166"/>
      <c r="DG3063" s="116"/>
      <c r="DH3063" s="117"/>
      <c r="DI3063" s="24"/>
      <c r="DJ3063" s="24"/>
      <c r="DK3063" s="24"/>
      <c r="DL3063" s="24"/>
      <c r="DM3063" s="24"/>
      <c r="DN3063" s="24"/>
      <c r="DO3063" s="24"/>
      <c r="DP3063" s="24"/>
      <c r="DQ3063" s="24"/>
      <c r="DR3063" s="24"/>
      <c r="DS3063" s="24"/>
      <c r="DT3063" s="24"/>
      <c r="DU3063" s="24"/>
    </row>
    <row r="3064" spans="1:125" s="8" customFormat="1" ht="60" x14ac:dyDescent="0.2">
      <c r="A3064" s="77">
        <v>41535</v>
      </c>
      <c r="B3064" s="78" t="s">
        <v>2036</v>
      </c>
      <c r="C3064" s="75" t="s">
        <v>2753</v>
      </c>
      <c r="D3064" s="75" t="s">
        <v>2882</v>
      </c>
      <c r="E3064" s="296" t="str">
        <f>VLOOKUP(B3064&amp;C3064,Divipola!$C$2:$F$1138,4,FALSE)</f>
        <v>81736</v>
      </c>
      <c r="F3064" s="87"/>
      <c r="G3064" s="87"/>
      <c r="H3064" s="87"/>
      <c r="I3064" s="87">
        <v>48</v>
      </c>
      <c r="J3064" s="87">
        <v>13</v>
      </c>
      <c r="K3064" s="87"/>
      <c r="L3064" s="87">
        <v>13</v>
      </c>
      <c r="M3064" s="87"/>
      <c r="N3064" s="87"/>
      <c r="O3064" s="87"/>
      <c r="P3064" s="87"/>
      <c r="Q3064" s="87"/>
      <c r="R3064" s="87"/>
      <c r="S3064" s="87"/>
      <c r="T3064" s="87"/>
      <c r="U3064" s="88"/>
      <c r="V3064" s="89"/>
      <c r="W3064" s="96">
        <v>0</v>
      </c>
      <c r="X3064" s="71">
        <f>CU3064</f>
        <v>0</v>
      </c>
      <c r="Y3064" s="71">
        <f>CY3064</f>
        <v>0</v>
      </c>
      <c r="Z3064" s="71">
        <f>DA3064+DC3064+DE3064</f>
        <v>0</v>
      </c>
      <c r="AA3064" s="71">
        <f>CW3064</f>
        <v>0</v>
      </c>
      <c r="AB3064" s="71"/>
      <c r="AC3064" s="71">
        <v>0</v>
      </c>
      <c r="AD3064" s="71">
        <f>W3064+X3064+Y3064+Z3064+AA3064+AB3064+AC3064</f>
        <v>0</v>
      </c>
      <c r="AE3064" s="72">
        <v>0</v>
      </c>
      <c r="AF3064" s="5"/>
      <c r="AG3064" s="6"/>
      <c r="AH3064" s="27"/>
      <c r="AI3064" s="44"/>
      <c r="AJ3064" s="26"/>
      <c r="AK3064" s="5"/>
      <c r="AL3064" s="274" t="s">
        <v>5962</v>
      </c>
      <c r="AM3064" s="76"/>
      <c r="AN3064" s="76"/>
      <c r="AO3064" s="76"/>
      <c r="AP3064" s="76"/>
      <c r="AQ3064" s="76"/>
      <c r="AR3064" s="76"/>
      <c r="AS3064" s="76"/>
      <c r="AT3064" s="76"/>
      <c r="AU3064" s="76"/>
      <c r="AV3064" s="76"/>
      <c r="AW3064" s="76"/>
      <c r="AX3064" s="76">
        <f>+AW3064*600000</f>
        <v>0</v>
      </c>
      <c r="AY3064" s="76"/>
      <c r="AZ3064" s="76">
        <f>+AY3064*70000</f>
        <v>0</v>
      </c>
      <c r="BA3064" s="76"/>
      <c r="BB3064" s="76"/>
      <c r="BC3064" s="76"/>
      <c r="BD3064" s="76">
        <f>+BC3064*30000</f>
        <v>0</v>
      </c>
      <c r="BE3064" s="76"/>
      <c r="BF3064" s="76"/>
      <c r="BG3064" s="76"/>
      <c r="BH3064" s="76"/>
      <c r="BI3064" s="76"/>
      <c r="BJ3064" s="76"/>
      <c r="BK3064" s="76"/>
      <c r="BL3064" s="76">
        <f>+BK3064*31500</f>
        <v>0</v>
      </c>
      <c r="BM3064" s="76"/>
      <c r="BN3064" s="76"/>
      <c r="BO3064" s="76"/>
      <c r="BP3064" s="76"/>
      <c r="BQ3064" s="76"/>
      <c r="BR3064" s="76"/>
      <c r="BS3064" s="76"/>
      <c r="BT3064" s="76"/>
      <c r="BU3064" s="76"/>
      <c r="BV3064" s="76"/>
      <c r="BW3064" s="76"/>
      <c r="BX3064" s="76"/>
      <c r="BY3064" s="76"/>
      <c r="BZ3064" s="76"/>
      <c r="CA3064" s="76"/>
      <c r="CB3064" s="76"/>
      <c r="CC3064" s="76"/>
      <c r="CD3064" s="76"/>
      <c r="CE3064" s="76"/>
      <c r="CF3064" s="76">
        <f>+CE3064*28000</f>
        <v>0</v>
      </c>
      <c r="CG3064" s="76"/>
      <c r="CH3064" s="76">
        <f>+CG3064*22500</f>
        <v>0</v>
      </c>
      <c r="CI3064" s="76"/>
      <c r="CJ3064" s="76">
        <f>+CI3064*26000</f>
        <v>0</v>
      </c>
      <c r="CK3064" s="76"/>
      <c r="CL3064" s="76"/>
      <c r="CM3064" s="76"/>
      <c r="CN3064" s="76">
        <f>+CM3064*22000</f>
        <v>0</v>
      </c>
      <c r="CO3064" s="76"/>
      <c r="CP3064" s="76">
        <f>+CO3064*46000</f>
        <v>0</v>
      </c>
      <c r="CQ3064" s="76"/>
      <c r="CR3064" s="76">
        <f>+CQ3064*49000</f>
        <v>0</v>
      </c>
      <c r="CS3064" s="76"/>
      <c r="CT3064" s="76"/>
      <c r="CU3064" s="56">
        <f>AN3064+AP3064+AR3064+AT3064+AV3064+AX3064+AZ3064+BB3064+BD3064+BF3064+BH3064+BJ3064+BL3064+BN3064+BP3064+BR3064+BT3064+BV3064+BX3064+BZ3064+CB3064+CD3064+CF3064+CH3064+CJ3064+CL3064+CN3064+CP3064+CR3064+CT3064</f>
        <v>0</v>
      </c>
      <c r="CV3064" s="76"/>
      <c r="CW3064" s="76">
        <f>+CV3064*1100</f>
        <v>0</v>
      </c>
      <c r="CX3064" s="76"/>
      <c r="CY3064" s="76">
        <f>+CX3064*106250</f>
        <v>0</v>
      </c>
      <c r="CZ3064" s="76"/>
      <c r="DA3064" s="76">
        <f>+CZ3064*34500</f>
        <v>0</v>
      </c>
      <c r="DB3064" s="76"/>
      <c r="DC3064" s="76">
        <f>+DB3064*25000</f>
        <v>0</v>
      </c>
      <c r="DD3064" s="219"/>
      <c r="DE3064" s="219"/>
      <c r="DF3064" s="166"/>
      <c r="DG3064" s="116"/>
      <c r="DH3064" s="117"/>
      <c r="DI3064" s="24"/>
      <c r="DJ3064" s="24"/>
      <c r="DK3064" s="24"/>
      <c r="DL3064" s="24"/>
      <c r="DM3064" s="24"/>
      <c r="DN3064" s="24"/>
      <c r="DO3064" s="24"/>
      <c r="DP3064" s="24"/>
      <c r="DQ3064" s="24"/>
      <c r="DR3064" s="24"/>
      <c r="DS3064" s="24"/>
      <c r="DT3064" s="24"/>
      <c r="DU3064" s="24"/>
    </row>
    <row r="3065" spans="1:125" s="8" customFormat="1" ht="48" x14ac:dyDescent="0.2">
      <c r="A3065" s="77">
        <v>41535</v>
      </c>
      <c r="B3065" s="225" t="s">
        <v>2881</v>
      </c>
      <c r="C3065" s="227" t="s">
        <v>1416</v>
      </c>
      <c r="D3065" s="227" t="s">
        <v>3051</v>
      </c>
      <c r="E3065" s="296" t="str">
        <f>VLOOKUP(B3065&amp;C3065,Divipola!$C$2:$F$1138,4,FALSE)</f>
        <v>08436</v>
      </c>
      <c r="F3065" s="87"/>
      <c r="G3065" s="87"/>
      <c r="H3065" s="87"/>
      <c r="I3065" s="87">
        <v>1250</v>
      </c>
      <c r="J3065" s="87">
        <v>250</v>
      </c>
      <c r="K3065" s="87"/>
      <c r="L3065" s="87">
        <v>250</v>
      </c>
      <c r="M3065" s="87"/>
      <c r="N3065" s="87"/>
      <c r="O3065" s="87"/>
      <c r="P3065" s="87"/>
      <c r="Q3065" s="87"/>
      <c r="R3065" s="87"/>
      <c r="S3065" s="87"/>
      <c r="T3065" s="87"/>
      <c r="U3065" s="88"/>
      <c r="V3065" s="89"/>
      <c r="W3065" s="96">
        <v>0</v>
      </c>
      <c r="X3065" s="71">
        <f>CU3065</f>
        <v>0</v>
      </c>
      <c r="Y3065" s="71">
        <f>CY3065</f>
        <v>0</v>
      </c>
      <c r="Z3065" s="71">
        <f>DA3065+DC3065+DE3065</f>
        <v>0</v>
      </c>
      <c r="AA3065" s="71">
        <f>CW3065</f>
        <v>0</v>
      </c>
      <c r="AB3065" s="71"/>
      <c r="AC3065" s="71">
        <v>0</v>
      </c>
      <c r="AD3065" s="71">
        <f>W3065+X3065+Y3065+Z3065+AA3065+AB3065+AC3065</f>
        <v>0</v>
      </c>
      <c r="AE3065" s="72">
        <v>0</v>
      </c>
      <c r="AF3065" s="5"/>
      <c r="AG3065" s="6"/>
      <c r="AH3065" s="27"/>
      <c r="AI3065" s="44"/>
      <c r="AJ3065" s="26"/>
      <c r="AK3065" s="5"/>
      <c r="AL3065" s="274" t="s">
        <v>5958</v>
      </c>
      <c r="AM3065" s="76"/>
      <c r="AN3065" s="76"/>
      <c r="AO3065" s="76"/>
      <c r="AP3065" s="76"/>
      <c r="AQ3065" s="76"/>
      <c r="AR3065" s="76"/>
      <c r="AS3065" s="76"/>
      <c r="AT3065" s="76"/>
      <c r="AU3065" s="76"/>
      <c r="AV3065" s="76"/>
      <c r="AW3065" s="76"/>
      <c r="AX3065" s="76">
        <f>+AW3065*600000</f>
        <v>0</v>
      </c>
      <c r="AY3065" s="76"/>
      <c r="AZ3065" s="76">
        <f>+AY3065*70000</f>
        <v>0</v>
      </c>
      <c r="BA3065" s="76"/>
      <c r="BB3065" s="76"/>
      <c r="BC3065" s="76"/>
      <c r="BD3065" s="76">
        <f>+BC3065*30000</f>
        <v>0</v>
      </c>
      <c r="BE3065" s="76"/>
      <c r="BF3065" s="76"/>
      <c r="BG3065" s="76"/>
      <c r="BH3065" s="76"/>
      <c r="BI3065" s="76"/>
      <c r="BJ3065" s="76"/>
      <c r="BK3065" s="76"/>
      <c r="BL3065" s="76">
        <f>+BK3065*31500</f>
        <v>0</v>
      </c>
      <c r="BM3065" s="76"/>
      <c r="BN3065" s="76"/>
      <c r="BO3065" s="76"/>
      <c r="BP3065" s="76"/>
      <c r="BQ3065" s="76"/>
      <c r="BR3065" s="76"/>
      <c r="BS3065" s="76"/>
      <c r="BT3065" s="76"/>
      <c r="BU3065" s="76"/>
      <c r="BV3065" s="76"/>
      <c r="BW3065" s="76"/>
      <c r="BX3065" s="76"/>
      <c r="BY3065" s="76"/>
      <c r="BZ3065" s="76"/>
      <c r="CA3065" s="76"/>
      <c r="CB3065" s="76"/>
      <c r="CC3065" s="76"/>
      <c r="CD3065" s="76"/>
      <c r="CE3065" s="76"/>
      <c r="CF3065" s="76">
        <f>+CE3065*28000</f>
        <v>0</v>
      </c>
      <c r="CG3065" s="76"/>
      <c r="CH3065" s="76">
        <f>+CG3065*22500</f>
        <v>0</v>
      </c>
      <c r="CI3065" s="76"/>
      <c r="CJ3065" s="76">
        <f>+CI3065*26000</f>
        <v>0</v>
      </c>
      <c r="CK3065" s="76"/>
      <c r="CL3065" s="76"/>
      <c r="CM3065" s="76"/>
      <c r="CN3065" s="76">
        <f>+CM3065*22000</f>
        <v>0</v>
      </c>
      <c r="CO3065" s="76"/>
      <c r="CP3065" s="76">
        <f>+CO3065*46000</f>
        <v>0</v>
      </c>
      <c r="CQ3065" s="76"/>
      <c r="CR3065" s="76">
        <f>+CQ3065*49000</f>
        <v>0</v>
      </c>
      <c r="CS3065" s="76"/>
      <c r="CT3065" s="76"/>
      <c r="CU3065" s="56">
        <f>AN3065+AP3065+AR3065+AT3065+AV3065+AX3065+AZ3065+BB3065+BD3065+BF3065+BH3065+BJ3065+BL3065+BN3065+BP3065+BR3065+BT3065+BV3065+BX3065+BZ3065+CB3065+CD3065+CF3065+CH3065+CJ3065+CL3065+CN3065+CP3065+CR3065+CT3065</f>
        <v>0</v>
      </c>
      <c r="CV3065" s="76"/>
      <c r="CW3065" s="76">
        <f>+CV3065*1100</f>
        <v>0</v>
      </c>
      <c r="CX3065" s="76"/>
      <c r="CY3065" s="76">
        <f>+CX3065*106250</f>
        <v>0</v>
      </c>
      <c r="CZ3065" s="76"/>
      <c r="DA3065" s="76">
        <f>+CZ3065*34500</f>
        <v>0</v>
      </c>
      <c r="DB3065" s="76"/>
      <c r="DC3065" s="76">
        <f>+DB3065*25000</f>
        <v>0</v>
      </c>
      <c r="DD3065" s="219"/>
      <c r="DE3065" s="219"/>
      <c r="DF3065" s="166"/>
      <c r="DG3065" s="116"/>
      <c r="DH3065" s="117"/>
      <c r="DI3065" s="24"/>
      <c r="DJ3065" s="24"/>
      <c r="DK3065" s="24"/>
      <c r="DL3065" s="24"/>
      <c r="DM3065" s="24"/>
      <c r="DN3065" s="24"/>
      <c r="DO3065" s="24"/>
      <c r="DP3065" s="24"/>
      <c r="DQ3065" s="24"/>
      <c r="DR3065" s="24"/>
      <c r="DS3065" s="24"/>
      <c r="DT3065" s="24"/>
      <c r="DU3065" s="24"/>
    </row>
    <row r="3066" spans="1:125" s="8" customFormat="1" ht="84" x14ac:dyDescent="0.2">
      <c r="A3066" s="353">
        <v>41535</v>
      </c>
      <c r="B3066" s="225" t="s">
        <v>2700</v>
      </c>
      <c r="C3066" s="227" t="s">
        <v>1703</v>
      </c>
      <c r="D3066" s="354" t="s">
        <v>2882</v>
      </c>
      <c r="E3066" s="296" t="str">
        <f>VLOOKUP(B3066&amp;C3066,Divipola!$C$2:$F$1138,4,FALSE)</f>
        <v>15401</v>
      </c>
      <c r="F3066" s="87"/>
      <c r="G3066" s="87"/>
      <c r="H3066" s="87"/>
      <c r="I3066" s="87">
        <v>50</v>
      </c>
      <c r="J3066" s="87">
        <v>10</v>
      </c>
      <c r="K3066" s="87"/>
      <c r="L3066" s="87">
        <v>10</v>
      </c>
      <c r="M3066" s="87"/>
      <c r="N3066" s="87"/>
      <c r="O3066" s="87"/>
      <c r="P3066" s="87"/>
      <c r="Q3066" s="87"/>
      <c r="R3066" s="87"/>
      <c r="S3066" s="87"/>
      <c r="T3066" s="87"/>
      <c r="U3066" s="88"/>
      <c r="V3066" s="89"/>
      <c r="W3066" s="96">
        <v>0</v>
      </c>
      <c r="X3066" s="71">
        <f>CU3066</f>
        <v>0</v>
      </c>
      <c r="Y3066" s="71">
        <f>CY3066</f>
        <v>0</v>
      </c>
      <c r="Z3066" s="71">
        <f>DA3066+DC3066+DE3066</f>
        <v>0</v>
      </c>
      <c r="AA3066" s="71">
        <f>CW3066</f>
        <v>0</v>
      </c>
      <c r="AB3066" s="71"/>
      <c r="AC3066" s="71">
        <v>0</v>
      </c>
      <c r="AD3066" s="71">
        <f>W3066+X3066+Y3066+Z3066+AA3066+AB3066+AC3066</f>
        <v>0</v>
      </c>
      <c r="AE3066" s="72">
        <v>0</v>
      </c>
      <c r="AF3066" s="5"/>
      <c r="AG3066" s="6"/>
      <c r="AH3066" s="27" t="s">
        <v>3390</v>
      </c>
      <c r="AI3066" s="44" t="s">
        <v>3393</v>
      </c>
      <c r="AJ3066" s="26"/>
      <c r="AK3066" s="5" t="s">
        <v>4242</v>
      </c>
      <c r="AL3066" s="82" t="s">
        <v>5926</v>
      </c>
      <c r="AM3066" s="76"/>
      <c r="AN3066" s="76"/>
      <c r="AO3066" s="76"/>
      <c r="AP3066" s="76"/>
      <c r="AQ3066" s="76"/>
      <c r="AR3066" s="76"/>
      <c r="AS3066" s="76"/>
      <c r="AT3066" s="76"/>
      <c r="AU3066" s="76"/>
      <c r="AV3066" s="76"/>
      <c r="AW3066" s="76"/>
      <c r="AX3066" s="76">
        <f>+AW3066*600000</f>
        <v>0</v>
      </c>
      <c r="AY3066" s="76"/>
      <c r="AZ3066" s="76">
        <f>+AY3066*70000</f>
        <v>0</v>
      </c>
      <c r="BA3066" s="76"/>
      <c r="BB3066" s="76"/>
      <c r="BC3066" s="76"/>
      <c r="BD3066" s="76">
        <f>+BC3066*30000</f>
        <v>0</v>
      </c>
      <c r="BE3066" s="76"/>
      <c r="BF3066" s="76"/>
      <c r="BG3066" s="76"/>
      <c r="BH3066" s="76"/>
      <c r="BI3066" s="76"/>
      <c r="BJ3066" s="76"/>
      <c r="BK3066" s="76"/>
      <c r="BL3066" s="76">
        <f>+BK3066*31500</f>
        <v>0</v>
      </c>
      <c r="BM3066" s="76"/>
      <c r="BN3066" s="76"/>
      <c r="BO3066" s="76"/>
      <c r="BP3066" s="76"/>
      <c r="BQ3066" s="76"/>
      <c r="BR3066" s="76"/>
      <c r="BS3066" s="76"/>
      <c r="BT3066" s="76"/>
      <c r="BU3066" s="76"/>
      <c r="BV3066" s="76"/>
      <c r="BW3066" s="76"/>
      <c r="BX3066" s="76"/>
      <c r="BY3066" s="76"/>
      <c r="BZ3066" s="76"/>
      <c r="CA3066" s="76"/>
      <c r="CB3066" s="76"/>
      <c r="CC3066" s="76"/>
      <c r="CD3066" s="76"/>
      <c r="CE3066" s="76"/>
      <c r="CF3066" s="76">
        <f>+CE3066*28000</f>
        <v>0</v>
      </c>
      <c r="CG3066" s="76"/>
      <c r="CH3066" s="76">
        <f>+CG3066*22500</f>
        <v>0</v>
      </c>
      <c r="CI3066" s="76"/>
      <c r="CJ3066" s="76">
        <f>+CI3066*26000</f>
        <v>0</v>
      </c>
      <c r="CK3066" s="76"/>
      <c r="CL3066" s="76"/>
      <c r="CM3066" s="76"/>
      <c r="CN3066" s="76">
        <f>+CM3066*22000</f>
        <v>0</v>
      </c>
      <c r="CO3066" s="76"/>
      <c r="CP3066" s="76">
        <f>+CO3066*46000</f>
        <v>0</v>
      </c>
      <c r="CQ3066" s="76"/>
      <c r="CR3066" s="76">
        <f>+CQ3066*49000</f>
        <v>0</v>
      </c>
      <c r="CS3066" s="76"/>
      <c r="CT3066" s="76"/>
      <c r="CU3066" s="56">
        <f>AN3066+AP3066+AR3066+AT3066+AV3066+AX3066+AZ3066+BB3066+BD3066+BF3066+BH3066+BJ3066+BL3066+BN3066+BP3066+BR3066+BT3066+BV3066+BX3066+BZ3066+CB3066+CD3066+CF3066+CH3066+CJ3066+CL3066+CN3066+CP3066+CR3066+CT3066</f>
        <v>0</v>
      </c>
      <c r="CV3066" s="76"/>
      <c r="CW3066" s="76">
        <f>+CV3066*1100</f>
        <v>0</v>
      </c>
      <c r="CX3066" s="76"/>
      <c r="CY3066" s="76">
        <f>+CX3066*106250</f>
        <v>0</v>
      </c>
      <c r="CZ3066" s="76"/>
      <c r="DA3066" s="76">
        <f>+CZ3066*34500</f>
        <v>0</v>
      </c>
      <c r="DB3066" s="76"/>
      <c r="DC3066" s="76">
        <f>+DB3066*25000</f>
        <v>0</v>
      </c>
      <c r="DD3066" s="219"/>
      <c r="DE3066" s="219"/>
      <c r="DF3066" s="166"/>
      <c r="DG3066" s="116"/>
      <c r="DH3066" s="117"/>
      <c r="DI3066" s="24"/>
      <c r="DJ3066" s="24"/>
      <c r="DK3066" s="24"/>
      <c r="DL3066" s="24"/>
      <c r="DM3066" s="24"/>
      <c r="DN3066" s="24"/>
      <c r="DO3066" s="24"/>
      <c r="DP3066" s="24"/>
      <c r="DQ3066" s="24"/>
      <c r="DR3066" s="24"/>
      <c r="DS3066" s="24"/>
      <c r="DT3066" s="24"/>
      <c r="DU3066" s="24"/>
    </row>
    <row r="3067" spans="1:125" s="8" customFormat="1" ht="48" x14ac:dyDescent="0.2">
      <c r="A3067" s="77">
        <v>41535</v>
      </c>
      <c r="B3067" s="352" t="s">
        <v>2854</v>
      </c>
      <c r="C3067" s="354" t="s">
        <v>2731</v>
      </c>
      <c r="D3067" s="354" t="s">
        <v>2859</v>
      </c>
      <c r="E3067" s="296" t="str">
        <f>VLOOKUP(B3067&amp;C3067,Divipola!$C$2:$F$1138,4,FALSE)</f>
        <v>19001</v>
      </c>
      <c r="F3067" s="87"/>
      <c r="G3067" s="87"/>
      <c r="H3067" s="87"/>
      <c r="I3067" s="87">
        <v>5</v>
      </c>
      <c r="J3067" s="87">
        <v>1</v>
      </c>
      <c r="K3067" s="87">
        <v>1</v>
      </c>
      <c r="L3067" s="87"/>
      <c r="M3067" s="87"/>
      <c r="N3067" s="87"/>
      <c r="O3067" s="87"/>
      <c r="P3067" s="87"/>
      <c r="Q3067" s="87"/>
      <c r="R3067" s="87"/>
      <c r="S3067" s="87"/>
      <c r="T3067" s="87"/>
      <c r="U3067" s="88"/>
      <c r="V3067" s="89"/>
      <c r="W3067" s="96">
        <v>0</v>
      </c>
      <c r="X3067" s="71">
        <f>CU3067</f>
        <v>0</v>
      </c>
      <c r="Y3067" s="71">
        <f>CY3067</f>
        <v>0</v>
      </c>
      <c r="Z3067" s="71">
        <f>DA3067+DC3067+DE3067</f>
        <v>0</v>
      </c>
      <c r="AA3067" s="71">
        <f>CW3067</f>
        <v>0</v>
      </c>
      <c r="AB3067" s="71"/>
      <c r="AC3067" s="71">
        <v>0</v>
      </c>
      <c r="AD3067" s="71">
        <f>W3067+X3067+Y3067+Z3067+AA3067+AB3067+AC3067</f>
        <v>0</v>
      </c>
      <c r="AE3067" s="72">
        <v>0</v>
      </c>
      <c r="AF3067" s="5"/>
      <c r="AG3067" s="6"/>
      <c r="AH3067" s="27"/>
      <c r="AI3067" s="44"/>
      <c r="AJ3067" s="26"/>
      <c r="AK3067" s="5"/>
      <c r="AL3067" s="274" t="s">
        <v>5956</v>
      </c>
      <c r="AM3067" s="76"/>
      <c r="AN3067" s="76"/>
      <c r="AO3067" s="76"/>
      <c r="AP3067" s="76"/>
      <c r="AQ3067" s="76"/>
      <c r="AR3067" s="76"/>
      <c r="AS3067" s="76"/>
      <c r="AT3067" s="76"/>
      <c r="AU3067" s="76"/>
      <c r="AV3067" s="76"/>
      <c r="AW3067" s="76"/>
      <c r="AX3067" s="76">
        <f>+AW3067*600000</f>
        <v>0</v>
      </c>
      <c r="AY3067" s="76"/>
      <c r="AZ3067" s="76">
        <f>+AY3067*70000</f>
        <v>0</v>
      </c>
      <c r="BA3067" s="76"/>
      <c r="BB3067" s="76"/>
      <c r="BC3067" s="76"/>
      <c r="BD3067" s="76">
        <f>+BC3067*30000</f>
        <v>0</v>
      </c>
      <c r="BE3067" s="76"/>
      <c r="BF3067" s="76"/>
      <c r="BG3067" s="76"/>
      <c r="BH3067" s="76"/>
      <c r="BI3067" s="76"/>
      <c r="BJ3067" s="76"/>
      <c r="BK3067" s="76"/>
      <c r="BL3067" s="76">
        <f>+BK3067*31500</f>
        <v>0</v>
      </c>
      <c r="BM3067" s="76"/>
      <c r="BN3067" s="76"/>
      <c r="BO3067" s="76"/>
      <c r="BP3067" s="76"/>
      <c r="BQ3067" s="76"/>
      <c r="BR3067" s="76"/>
      <c r="BS3067" s="76"/>
      <c r="BT3067" s="76"/>
      <c r="BU3067" s="76"/>
      <c r="BV3067" s="76"/>
      <c r="BW3067" s="76"/>
      <c r="BX3067" s="76"/>
      <c r="BY3067" s="76"/>
      <c r="BZ3067" s="76"/>
      <c r="CA3067" s="76"/>
      <c r="CB3067" s="76"/>
      <c r="CC3067" s="76"/>
      <c r="CD3067" s="76"/>
      <c r="CE3067" s="76"/>
      <c r="CF3067" s="76">
        <f>+CE3067*28000</f>
        <v>0</v>
      </c>
      <c r="CG3067" s="76"/>
      <c r="CH3067" s="76">
        <f>+CG3067*22500</f>
        <v>0</v>
      </c>
      <c r="CI3067" s="76"/>
      <c r="CJ3067" s="76">
        <f>+CI3067*26000</f>
        <v>0</v>
      </c>
      <c r="CK3067" s="76"/>
      <c r="CL3067" s="76"/>
      <c r="CM3067" s="76"/>
      <c r="CN3067" s="76">
        <f>+CM3067*22000</f>
        <v>0</v>
      </c>
      <c r="CO3067" s="76"/>
      <c r="CP3067" s="76">
        <f>+CO3067*46000</f>
        <v>0</v>
      </c>
      <c r="CQ3067" s="76"/>
      <c r="CR3067" s="76">
        <f>+CQ3067*49000</f>
        <v>0</v>
      </c>
      <c r="CS3067" s="76"/>
      <c r="CT3067" s="76"/>
      <c r="CU3067" s="56">
        <f>AN3067+AP3067+AR3067+AT3067+AV3067+AX3067+AZ3067+BB3067+BD3067+BF3067+BH3067+BJ3067+BL3067+BN3067+BP3067+BR3067+BT3067+BV3067+BX3067+BZ3067+CB3067+CD3067+CF3067+CH3067+CJ3067+CL3067+CN3067+CP3067+CR3067+CT3067</f>
        <v>0</v>
      </c>
      <c r="CV3067" s="76"/>
      <c r="CW3067" s="76">
        <f>+CV3067*1100</f>
        <v>0</v>
      </c>
      <c r="CX3067" s="76"/>
      <c r="CY3067" s="76">
        <f>+CX3067*106250</f>
        <v>0</v>
      </c>
      <c r="CZ3067" s="76"/>
      <c r="DA3067" s="76">
        <f>+CZ3067*34500</f>
        <v>0</v>
      </c>
      <c r="DB3067" s="76"/>
      <c r="DC3067" s="76">
        <f>+DB3067*25000</f>
        <v>0</v>
      </c>
      <c r="DD3067" s="219"/>
      <c r="DE3067" s="219"/>
      <c r="DF3067" s="166"/>
      <c r="DG3067" s="116"/>
      <c r="DH3067" s="117"/>
      <c r="DI3067" s="24"/>
      <c r="DJ3067" s="24"/>
      <c r="DK3067" s="24"/>
      <c r="DL3067" s="24"/>
      <c r="DM3067" s="24"/>
      <c r="DN3067" s="24"/>
      <c r="DO3067" s="24"/>
      <c r="DP3067" s="24"/>
      <c r="DQ3067" s="24"/>
      <c r="DR3067" s="24"/>
      <c r="DS3067" s="24"/>
      <c r="DT3067" s="24"/>
      <c r="DU3067" s="24"/>
    </row>
    <row r="3068" spans="1:125" s="8" customFormat="1" ht="48" x14ac:dyDescent="0.2">
      <c r="A3068" s="77">
        <v>41535</v>
      </c>
      <c r="B3068" s="352" t="s">
        <v>2852</v>
      </c>
      <c r="C3068" s="354" t="s">
        <v>1218</v>
      </c>
      <c r="D3068" s="354" t="s">
        <v>3088</v>
      </c>
      <c r="E3068" s="296" t="str">
        <f>VLOOKUP(B3068&amp;C3068,Divipola!$C$2:$F$1138,4,FALSE)</f>
        <v>27075</v>
      </c>
      <c r="F3068" s="87"/>
      <c r="G3068" s="87"/>
      <c r="H3068" s="87"/>
      <c r="I3068" s="87">
        <v>50</v>
      </c>
      <c r="J3068" s="87">
        <v>12</v>
      </c>
      <c r="K3068" s="87"/>
      <c r="L3068" s="87">
        <v>12</v>
      </c>
      <c r="M3068" s="87"/>
      <c r="N3068" s="87"/>
      <c r="O3068" s="87"/>
      <c r="P3068" s="87"/>
      <c r="Q3068" s="87"/>
      <c r="R3068" s="87"/>
      <c r="S3068" s="87"/>
      <c r="T3068" s="87"/>
      <c r="U3068" s="88"/>
      <c r="V3068" s="89"/>
      <c r="W3068" s="96">
        <v>0</v>
      </c>
      <c r="X3068" s="71">
        <f>CU3068</f>
        <v>0</v>
      </c>
      <c r="Y3068" s="71">
        <f>CY3068</f>
        <v>0</v>
      </c>
      <c r="Z3068" s="71">
        <f>DA3068+DC3068+DE3068</f>
        <v>0</v>
      </c>
      <c r="AA3068" s="71">
        <f>CW3068</f>
        <v>0</v>
      </c>
      <c r="AB3068" s="71"/>
      <c r="AC3068" s="71">
        <v>0</v>
      </c>
      <c r="AD3068" s="71">
        <f>W3068+X3068+Y3068+Z3068+AA3068+AB3068+AC3068</f>
        <v>0</v>
      </c>
      <c r="AE3068" s="72">
        <v>0</v>
      </c>
      <c r="AF3068" s="5"/>
      <c r="AG3068" s="6"/>
      <c r="AH3068" s="27"/>
      <c r="AI3068" s="44"/>
      <c r="AJ3068" s="26"/>
      <c r="AK3068" s="5"/>
      <c r="AL3068" s="274" t="s">
        <v>5964</v>
      </c>
      <c r="AM3068" s="76"/>
      <c r="AN3068" s="76"/>
      <c r="AO3068" s="76"/>
      <c r="AP3068" s="76"/>
      <c r="AQ3068" s="76"/>
      <c r="AR3068" s="76"/>
      <c r="AS3068" s="76"/>
      <c r="AT3068" s="76"/>
      <c r="AU3068" s="76"/>
      <c r="AV3068" s="76"/>
      <c r="AW3068" s="76"/>
      <c r="AX3068" s="76">
        <f>+AW3068*600000</f>
        <v>0</v>
      </c>
      <c r="AY3068" s="76"/>
      <c r="AZ3068" s="76">
        <f>+AY3068*70000</f>
        <v>0</v>
      </c>
      <c r="BA3068" s="76"/>
      <c r="BB3068" s="76"/>
      <c r="BC3068" s="76"/>
      <c r="BD3068" s="76">
        <f>+BC3068*30000</f>
        <v>0</v>
      </c>
      <c r="BE3068" s="76"/>
      <c r="BF3068" s="76"/>
      <c r="BG3068" s="76"/>
      <c r="BH3068" s="76"/>
      <c r="BI3068" s="76"/>
      <c r="BJ3068" s="76"/>
      <c r="BK3068" s="76"/>
      <c r="BL3068" s="76">
        <f>+BK3068*31500</f>
        <v>0</v>
      </c>
      <c r="BM3068" s="76"/>
      <c r="BN3068" s="76"/>
      <c r="BO3068" s="76"/>
      <c r="BP3068" s="76"/>
      <c r="BQ3068" s="76"/>
      <c r="BR3068" s="76"/>
      <c r="BS3068" s="76"/>
      <c r="BT3068" s="76"/>
      <c r="BU3068" s="76"/>
      <c r="BV3068" s="76"/>
      <c r="BW3068" s="76"/>
      <c r="BX3068" s="76"/>
      <c r="BY3068" s="76"/>
      <c r="BZ3068" s="76"/>
      <c r="CA3068" s="76"/>
      <c r="CB3068" s="76"/>
      <c r="CC3068" s="76"/>
      <c r="CD3068" s="76"/>
      <c r="CE3068" s="76"/>
      <c r="CF3068" s="76">
        <f>+CE3068*28000</f>
        <v>0</v>
      </c>
      <c r="CG3068" s="76"/>
      <c r="CH3068" s="76">
        <f>+CG3068*22500</f>
        <v>0</v>
      </c>
      <c r="CI3068" s="76"/>
      <c r="CJ3068" s="76">
        <f>+CI3068*26000</f>
        <v>0</v>
      </c>
      <c r="CK3068" s="76"/>
      <c r="CL3068" s="76"/>
      <c r="CM3068" s="76"/>
      <c r="CN3068" s="76">
        <f>+CM3068*22000</f>
        <v>0</v>
      </c>
      <c r="CO3068" s="76"/>
      <c r="CP3068" s="76">
        <f>+CO3068*46000</f>
        <v>0</v>
      </c>
      <c r="CQ3068" s="76"/>
      <c r="CR3068" s="76">
        <f>+CQ3068*49000</f>
        <v>0</v>
      </c>
      <c r="CS3068" s="76"/>
      <c r="CT3068" s="76"/>
      <c r="CU3068" s="56">
        <f>AN3068+AP3068+AR3068+AT3068+AV3068+AX3068+AZ3068+BB3068+BD3068+BF3068+BH3068+BJ3068+BL3068+BN3068+BP3068+BR3068+BT3068+BV3068+BX3068+BZ3068+CB3068+CD3068+CF3068+CH3068+CJ3068+CL3068+CN3068+CP3068+CR3068+CT3068</f>
        <v>0</v>
      </c>
      <c r="CV3068" s="76"/>
      <c r="CW3068" s="76">
        <f>+CV3068*1100</f>
        <v>0</v>
      </c>
      <c r="CX3068" s="76"/>
      <c r="CY3068" s="76">
        <f>+CX3068*106250</f>
        <v>0</v>
      </c>
      <c r="CZ3068" s="76"/>
      <c r="DA3068" s="76">
        <f>+CZ3068*34500</f>
        <v>0</v>
      </c>
      <c r="DB3068" s="76"/>
      <c r="DC3068" s="76">
        <f>+DB3068*25000</f>
        <v>0</v>
      </c>
      <c r="DD3068" s="219"/>
      <c r="DE3068" s="219"/>
      <c r="DF3068" s="166"/>
      <c r="DG3068" s="116"/>
      <c r="DH3068" s="117"/>
      <c r="DI3068" s="24"/>
      <c r="DJ3068" s="24"/>
      <c r="DK3068" s="24"/>
      <c r="DL3068" s="24"/>
      <c r="DM3068" s="24"/>
      <c r="DN3068" s="24"/>
      <c r="DO3068" s="24"/>
      <c r="DP3068" s="24"/>
      <c r="DQ3068" s="24"/>
      <c r="DR3068" s="24"/>
      <c r="DS3068" s="24"/>
      <c r="DT3068" s="24"/>
      <c r="DU3068" s="24"/>
    </row>
    <row r="3069" spans="1:125" s="8" customFormat="1" ht="108" x14ac:dyDescent="0.2">
      <c r="A3069" s="77">
        <v>41535</v>
      </c>
      <c r="B3069" s="352" t="s">
        <v>2860</v>
      </c>
      <c r="C3069" s="354" t="s">
        <v>2776</v>
      </c>
      <c r="D3069" s="354" t="s">
        <v>2859</v>
      </c>
      <c r="E3069" s="296" t="str">
        <f>VLOOKUP(B3069&amp;C3069,Divipola!$C$2:$F$1138,4,FALSE)</f>
        <v>63001</v>
      </c>
      <c r="F3069" s="87"/>
      <c r="G3069" s="87"/>
      <c r="H3069" s="87"/>
      <c r="I3069" s="87">
        <v>13</v>
      </c>
      <c r="J3069" s="87">
        <v>3</v>
      </c>
      <c r="K3069" s="87"/>
      <c r="L3069" s="87">
        <v>3</v>
      </c>
      <c r="M3069" s="87"/>
      <c r="N3069" s="87"/>
      <c r="O3069" s="87"/>
      <c r="P3069" s="87"/>
      <c r="Q3069" s="87"/>
      <c r="R3069" s="87"/>
      <c r="S3069" s="87"/>
      <c r="T3069" s="87"/>
      <c r="U3069" s="88"/>
      <c r="V3069" s="89"/>
      <c r="W3069" s="96">
        <v>0</v>
      </c>
      <c r="X3069" s="71">
        <f>CU3069</f>
        <v>0</v>
      </c>
      <c r="Y3069" s="71">
        <f>CY3069</f>
        <v>0</v>
      </c>
      <c r="Z3069" s="71">
        <f>DA3069+DC3069+DE3069</f>
        <v>0</v>
      </c>
      <c r="AA3069" s="71">
        <f>CW3069</f>
        <v>0</v>
      </c>
      <c r="AB3069" s="71"/>
      <c r="AC3069" s="71">
        <v>0</v>
      </c>
      <c r="AD3069" s="71">
        <f>W3069+X3069+Y3069+Z3069+AA3069+AB3069+AC3069</f>
        <v>0</v>
      </c>
      <c r="AE3069" s="72">
        <v>0</v>
      </c>
      <c r="AF3069" s="5"/>
      <c r="AG3069" s="6"/>
      <c r="AH3069" s="27"/>
      <c r="AI3069" s="44"/>
      <c r="AJ3069" s="26"/>
      <c r="AK3069" s="5"/>
      <c r="AL3069" s="274" t="s">
        <v>5978</v>
      </c>
      <c r="AM3069" s="76"/>
      <c r="AN3069" s="76"/>
      <c r="AO3069" s="76"/>
      <c r="AP3069" s="76"/>
      <c r="AQ3069" s="76"/>
      <c r="AR3069" s="76"/>
      <c r="AS3069" s="76"/>
      <c r="AT3069" s="76"/>
      <c r="AU3069" s="76"/>
      <c r="AV3069" s="76"/>
      <c r="AW3069" s="76"/>
      <c r="AX3069" s="76">
        <f>+AW3069*600000</f>
        <v>0</v>
      </c>
      <c r="AY3069" s="76"/>
      <c r="AZ3069" s="76">
        <f>+AY3069*70000</f>
        <v>0</v>
      </c>
      <c r="BA3069" s="76"/>
      <c r="BB3069" s="76"/>
      <c r="BC3069" s="76"/>
      <c r="BD3069" s="76">
        <f>+BC3069*30000</f>
        <v>0</v>
      </c>
      <c r="BE3069" s="76"/>
      <c r="BF3069" s="76"/>
      <c r="BG3069" s="76"/>
      <c r="BH3069" s="76"/>
      <c r="BI3069" s="76"/>
      <c r="BJ3069" s="76"/>
      <c r="BK3069" s="76"/>
      <c r="BL3069" s="76">
        <f>+BK3069*31500</f>
        <v>0</v>
      </c>
      <c r="BM3069" s="76"/>
      <c r="BN3069" s="76"/>
      <c r="BO3069" s="76"/>
      <c r="BP3069" s="76"/>
      <c r="BQ3069" s="76"/>
      <c r="BR3069" s="76"/>
      <c r="BS3069" s="76"/>
      <c r="BT3069" s="76"/>
      <c r="BU3069" s="76"/>
      <c r="BV3069" s="76"/>
      <c r="BW3069" s="76"/>
      <c r="BX3069" s="76"/>
      <c r="BY3069" s="76"/>
      <c r="BZ3069" s="76"/>
      <c r="CA3069" s="76"/>
      <c r="CB3069" s="76"/>
      <c r="CC3069" s="76"/>
      <c r="CD3069" s="76"/>
      <c r="CE3069" s="76"/>
      <c r="CF3069" s="76">
        <f>+CE3069*28000</f>
        <v>0</v>
      </c>
      <c r="CG3069" s="76"/>
      <c r="CH3069" s="76">
        <f>+CG3069*22500</f>
        <v>0</v>
      </c>
      <c r="CI3069" s="76"/>
      <c r="CJ3069" s="76">
        <f>+CI3069*26000</f>
        <v>0</v>
      </c>
      <c r="CK3069" s="76"/>
      <c r="CL3069" s="76"/>
      <c r="CM3069" s="76"/>
      <c r="CN3069" s="76">
        <f>+CM3069*22000</f>
        <v>0</v>
      </c>
      <c r="CO3069" s="76"/>
      <c r="CP3069" s="76">
        <f>+CO3069*46000</f>
        <v>0</v>
      </c>
      <c r="CQ3069" s="76"/>
      <c r="CR3069" s="76">
        <f>+CQ3069*49000</f>
        <v>0</v>
      </c>
      <c r="CS3069" s="76"/>
      <c r="CT3069" s="76"/>
      <c r="CU3069" s="56">
        <f>AN3069+AP3069+AR3069+AT3069+AV3069+AX3069+AZ3069+BB3069+BD3069+BF3069+BH3069+BJ3069+BL3069+BN3069+BP3069+BR3069+BT3069+BV3069+BX3069+BZ3069+CB3069+CD3069+CF3069+CH3069+CJ3069+CL3069+CN3069+CP3069+CR3069+CT3069</f>
        <v>0</v>
      </c>
      <c r="CV3069" s="76"/>
      <c r="CW3069" s="76">
        <f>+CV3069*1100</f>
        <v>0</v>
      </c>
      <c r="CX3069" s="76"/>
      <c r="CY3069" s="76">
        <f>+CX3069*106250</f>
        <v>0</v>
      </c>
      <c r="CZ3069" s="76"/>
      <c r="DA3069" s="76">
        <f>+CZ3069*34500</f>
        <v>0</v>
      </c>
      <c r="DB3069" s="76"/>
      <c r="DC3069" s="76">
        <f>+DB3069*25000</f>
        <v>0</v>
      </c>
      <c r="DD3069" s="219"/>
      <c r="DE3069" s="219"/>
      <c r="DF3069" s="166"/>
      <c r="DG3069" s="116"/>
      <c r="DH3069" s="117"/>
      <c r="DI3069" s="24"/>
      <c r="DJ3069" s="24"/>
      <c r="DK3069" s="24"/>
      <c r="DL3069" s="24"/>
      <c r="DM3069" s="24"/>
      <c r="DN3069" s="24"/>
      <c r="DO3069" s="24"/>
      <c r="DP3069" s="24"/>
      <c r="DQ3069" s="24"/>
      <c r="DR3069" s="24"/>
      <c r="DS3069" s="24"/>
      <c r="DT3069" s="24"/>
      <c r="DU3069" s="24"/>
    </row>
    <row r="3070" spans="1:125" s="8" customFormat="1" ht="72" x14ac:dyDescent="0.2">
      <c r="A3070" s="77">
        <v>41535</v>
      </c>
      <c r="B3070" s="352" t="s">
        <v>2847</v>
      </c>
      <c r="C3070" s="354" t="s">
        <v>1378</v>
      </c>
      <c r="D3070" s="354" t="s">
        <v>2846</v>
      </c>
      <c r="E3070" s="296" t="str">
        <f>VLOOKUP(B3070&amp;C3070,Divipola!$C$2:$F$1138,4,FALSE)</f>
        <v>68077</v>
      </c>
      <c r="F3070" s="87"/>
      <c r="G3070" s="87"/>
      <c r="H3070" s="87"/>
      <c r="I3070" s="87"/>
      <c r="J3070" s="87"/>
      <c r="K3070" s="87"/>
      <c r="L3070" s="87"/>
      <c r="M3070" s="87"/>
      <c r="N3070" s="87"/>
      <c r="O3070" s="87"/>
      <c r="P3070" s="87"/>
      <c r="Q3070" s="87"/>
      <c r="R3070" s="87"/>
      <c r="S3070" s="87"/>
      <c r="T3070" s="87"/>
      <c r="U3070" s="88">
        <v>1</v>
      </c>
      <c r="V3070" s="89"/>
      <c r="W3070" s="96">
        <v>0</v>
      </c>
      <c r="X3070" s="71">
        <f>CU3070</f>
        <v>0</v>
      </c>
      <c r="Y3070" s="71">
        <f>CY3070</f>
        <v>0</v>
      </c>
      <c r="Z3070" s="71">
        <f>DA3070+DC3070+DE3070</f>
        <v>0</v>
      </c>
      <c r="AA3070" s="71">
        <f>CW3070</f>
        <v>0</v>
      </c>
      <c r="AB3070" s="71"/>
      <c r="AC3070" s="71">
        <v>0</v>
      </c>
      <c r="AD3070" s="71">
        <f>W3070+X3070+Y3070+Z3070+AA3070+AB3070+AC3070</f>
        <v>0</v>
      </c>
      <c r="AE3070" s="72">
        <v>0</v>
      </c>
      <c r="AF3070" s="5"/>
      <c r="AG3070" s="6"/>
      <c r="AH3070" s="27"/>
      <c r="AI3070" s="44"/>
      <c r="AJ3070" s="26"/>
      <c r="AK3070" s="5"/>
      <c r="AL3070" s="274" t="s">
        <v>5965</v>
      </c>
      <c r="AM3070" s="76"/>
      <c r="AN3070" s="76"/>
      <c r="AO3070" s="76"/>
      <c r="AP3070" s="76"/>
      <c r="AQ3070" s="76"/>
      <c r="AR3070" s="76"/>
      <c r="AS3070" s="76"/>
      <c r="AT3070" s="76"/>
      <c r="AU3070" s="76"/>
      <c r="AV3070" s="76"/>
      <c r="AW3070" s="76"/>
      <c r="AX3070" s="76">
        <f>+AW3070*600000</f>
        <v>0</v>
      </c>
      <c r="AY3070" s="76"/>
      <c r="AZ3070" s="76">
        <f>+AY3070*70000</f>
        <v>0</v>
      </c>
      <c r="BA3070" s="76"/>
      <c r="BB3070" s="76"/>
      <c r="BC3070" s="76"/>
      <c r="BD3070" s="76">
        <f>+BC3070*30000</f>
        <v>0</v>
      </c>
      <c r="BE3070" s="76"/>
      <c r="BF3070" s="76"/>
      <c r="BG3070" s="76"/>
      <c r="BH3070" s="76"/>
      <c r="BI3070" s="76"/>
      <c r="BJ3070" s="76"/>
      <c r="BK3070" s="76"/>
      <c r="BL3070" s="76">
        <f>+BK3070*31500</f>
        <v>0</v>
      </c>
      <c r="BM3070" s="76"/>
      <c r="BN3070" s="76"/>
      <c r="BO3070" s="76"/>
      <c r="BP3070" s="76"/>
      <c r="BQ3070" s="76"/>
      <c r="BR3070" s="76"/>
      <c r="BS3070" s="76"/>
      <c r="BT3070" s="76"/>
      <c r="BU3070" s="76"/>
      <c r="BV3070" s="76"/>
      <c r="BW3070" s="76"/>
      <c r="BX3070" s="76"/>
      <c r="BY3070" s="76"/>
      <c r="BZ3070" s="76"/>
      <c r="CA3070" s="76"/>
      <c r="CB3070" s="76"/>
      <c r="CC3070" s="76"/>
      <c r="CD3070" s="76"/>
      <c r="CE3070" s="76"/>
      <c r="CF3070" s="76">
        <f>+CE3070*28000</f>
        <v>0</v>
      </c>
      <c r="CG3070" s="76"/>
      <c r="CH3070" s="76">
        <f>+CG3070*22500</f>
        <v>0</v>
      </c>
      <c r="CI3070" s="76"/>
      <c r="CJ3070" s="76">
        <f>+CI3070*26000</f>
        <v>0</v>
      </c>
      <c r="CK3070" s="76"/>
      <c r="CL3070" s="76"/>
      <c r="CM3070" s="76"/>
      <c r="CN3070" s="76">
        <f>+CM3070*22000</f>
        <v>0</v>
      </c>
      <c r="CO3070" s="76"/>
      <c r="CP3070" s="76">
        <f>+CO3070*46000</f>
        <v>0</v>
      </c>
      <c r="CQ3070" s="76"/>
      <c r="CR3070" s="76">
        <f>+CQ3070*49000</f>
        <v>0</v>
      </c>
      <c r="CS3070" s="76"/>
      <c r="CT3070" s="76"/>
      <c r="CU3070" s="56">
        <f>AN3070+AP3070+AR3070+AT3070+AV3070+AX3070+AZ3070+BB3070+BD3070+BF3070+BH3070+BJ3070+BL3070+BN3070+BP3070+BR3070+BT3070+BV3070+BX3070+BZ3070+CB3070+CD3070+CF3070+CH3070+CJ3070+CL3070+CN3070+CP3070+CR3070+CT3070</f>
        <v>0</v>
      </c>
      <c r="CV3070" s="76"/>
      <c r="CW3070" s="76">
        <f>+CV3070*1100</f>
        <v>0</v>
      </c>
      <c r="CX3070" s="76"/>
      <c r="CY3070" s="76">
        <f>+CX3070*106250</f>
        <v>0</v>
      </c>
      <c r="CZ3070" s="76"/>
      <c r="DA3070" s="76">
        <f>+CZ3070*34500</f>
        <v>0</v>
      </c>
      <c r="DB3070" s="76"/>
      <c r="DC3070" s="76">
        <f>+DB3070*25000</f>
        <v>0</v>
      </c>
      <c r="DD3070" s="219"/>
      <c r="DE3070" s="219"/>
      <c r="DF3070" s="166"/>
      <c r="DG3070" s="116"/>
      <c r="DH3070" s="117"/>
      <c r="DI3070" s="24"/>
      <c r="DJ3070" s="24"/>
      <c r="DK3070" s="24"/>
      <c r="DL3070" s="24"/>
      <c r="DM3070" s="24"/>
      <c r="DN3070" s="24"/>
      <c r="DO3070" s="24"/>
      <c r="DP3070" s="24"/>
      <c r="DQ3070" s="24"/>
      <c r="DR3070" s="24"/>
      <c r="DS3070" s="24"/>
      <c r="DT3070" s="24"/>
      <c r="DU3070" s="24"/>
    </row>
    <row r="3071" spans="1:125" s="8" customFormat="1" ht="96" x14ac:dyDescent="0.2">
      <c r="A3071" s="77">
        <v>41535</v>
      </c>
      <c r="B3071" s="352" t="s">
        <v>1326</v>
      </c>
      <c r="C3071" s="354" t="s">
        <v>1850</v>
      </c>
      <c r="D3071" s="354" t="s">
        <v>2882</v>
      </c>
      <c r="E3071" s="296" t="str">
        <f>VLOOKUP(B3071&amp;C3071,Divipola!$C$2:$F$1138,4,FALSE)</f>
        <v>70820</v>
      </c>
      <c r="F3071" s="87"/>
      <c r="G3071" s="87"/>
      <c r="H3071" s="87"/>
      <c r="I3071" s="87"/>
      <c r="J3071" s="87"/>
      <c r="K3071" s="87"/>
      <c r="L3071" s="87"/>
      <c r="M3071" s="87"/>
      <c r="N3071" s="87"/>
      <c r="O3071" s="87"/>
      <c r="P3071" s="87"/>
      <c r="Q3071" s="87"/>
      <c r="R3071" s="87"/>
      <c r="S3071" s="87"/>
      <c r="T3071" s="87"/>
      <c r="U3071" s="88"/>
      <c r="V3071" s="89"/>
      <c r="W3071" s="96">
        <v>0</v>
      </c>
      <c r="X3071" s="71">
        <f>CU3071</f>
        <v>0</v>
      </c>
      <c r="Y3071" s="71">
        <f>CY3071</f>
        <v>0</v>
      </c>
      <c r="Z3071" s="71">
        <f>DA3071+DC3071+DE3071</f>
        <v>0</v>
      </c>
      <c r="AA3071" s="71">
        <f>CW3071</f>
        <v>0</v>
      </c>
      <c r="AB3071" s="71"/>
      <c r="AC3071" s="71">
        <v>0</v>
      </c>
      <c r="AD3071" s="71">
        <f>W3071+X3071+Y3071+Z3071+AA3071+AB3071+AC3071</f>
        <v>0</v>
      </c>
      <c r="AE3071" s="72">
        <v>0</v>
      </c>
      <c r="AF3071" s="5"/>
      <c r="AG3071" s="6"/>
      <c r="AH3071" s="27"/>
      <c r="AI3071" s="44"/>
      <c r="AJ3071" s="26"/>
      <c r="AK3071" s="5"/>
      <c r="AL3071" s="274" t="s">
        <v>5957</v>
      </c>
      <c r="AM3071" s="76"/>
      <c r="AN3071" s="76"/>
      <c r="AO3071" s="76"/>
      <c r="AP3071" s="76"/>
      <c r="AQ3071" s="76"/>
      <c r="AR3071" s="76"/>
      <c r="AS3071" s="76"/>
      <c r="AT3071" s="76"/>
      <c r="AU3071" s="76"/>
      <c r="AV3071" s="76"/>
      <c r="AW3071" s="76"/>
      <c r="AX3071" s="76">
        <f>+AW3071*600000</f>
        <v>0</v>
      </c>
      <c r="AY3071" s="76"/>
      <c r="AZ3071" s="76">
        <f>+AY3071*70000</f>
        <v>0</v>
      </c>
      <c r="BA3071" s="76"/>
      <c r="BB3071" s="76"/>
      <c r="BC3071" s="76"/>
      <c r="BD3071" s="76">
        <f>+BC3071*30000</f>
        <v>0</v>
      </c>
      <c r="BE3071" s="76"/>
      <c r="BF3071" s="76"/>
      <c r="BG3071" s="76"/>
      <c r="BH3071" s="76"/>
      <c r="BI3071" s="76"/>
      <c r="BJ3071" s="76"/>
      <c r="BK3071" s="76"/>
      <c r="BL3071" s="76">
        <f>+BK3071*31500</f>
        <v>0</v>
      </c>
      <c r="BM3071" s="76"/>
      <c r="BN3071" s="76"/>
      <c r="BO3071" s="76"/>
      <c r="BP3071" s="76"/>
      <c r="BQ3071" s="76"/>
      <c r="BR3071" s="76"/>
      <c r="BS3071" s="76"/>
      <c r="BT3071" s="76"/>
      <c r="BU3071" s="76"/>
      <c r="BV3071" s="76"/>
      <c r="BW3071" s="76"/>
      <c r="BX3071" s="76"/>
      <c r="BY3071" s="76"/>
      <c r="BZ3071" s="76"/>
      <c r="CA3071" s="76"/>
      <c r="CB3071" s="76"/>
      <c r="CC3071" s="76"/>
      <c r="CD3071" s="76"/>
      <c r="CE3071" s="76"/>
      <c r="CF3071" s="76">
        <f>+CE3071*28000</f>
        <v>0</v>
      </c>
      <c r="CG3071" s="76"/>
      <c r="CH3071" s="76">
        <f>+CG3071*22500</f>
        <v>0</v>
      </c>
      <c r="CI3071" s="76"/>
      <c r="CJ3071" s="76">
        <f>+CI3071*26000</f>
        <v>0</v>
      </c>
      <c r="CK3071" s="76"/>
      <c r="CL3071" s="76"/>
      <c r="CM3071" s="76"/>
      <c r="CN3071" s="76">
        <f>+CM3071*22000</f>
        <v>0</v>
      </c>
      <c r="CO3071" s="76"/>
      <c r="CP3071" s="76">
        <f>+CO3071*46000</f>
        <v>0</v>
      </c>
      <c r="CQ3071" s="76"/>
      <c r="CR3071" s="76">
        <f>+CQ3071*49000</f>
        <v>0</v>
      </c>
      <c r="CS3071" s="76"/>
      <c r="CT3071" s="76"/>
      <c r="CU3071" s="56">
        <f>AN3071+AP3071+AR3071+AT3071+AV3071+AX3071+AZ3071+BB3071+BD3071+BF3071+BH3071+BJ3071+BL3071+BN3071+BP3071+BR3071+BT3071+BV3071+BX3071+BZ3071+CB3071+CD3071+CF3071+CH3071+CJ3071+CL3071+CN3071+CP3071+CR3071+CT3071</f>
        <v>0</v>
      </c>
      <c r="CV3071" s="76"/>
      <c r="CW3071" s="76">
        <f>+CV3071*1100</f>
        <v>0</v>
      </c>
      <c r="CX3071" s="76"/>
      <c r="CY3071" s="76">
        <f>+CX3071*106250</f>
        <v>0</v>
      </c>
      <c r="CZ3071" s="76"/>
      <c r="DA3071" s="76">
        <f>+CZ3071*34500</f>
        <v>0</v>
      </c>
      <c r="DB3071" s="76"/>
      <c r="DC3071" s="76">
        <f>+DB3071*25000</f>
        <v>0</v>
      </c>
      <c r="DD3071" s="219"/>
      <c r="DE3071" s="219"/>
      <c r="DF3071" s="166"/>
      <c r="DG3071" s="116"/>
      <c r="DH3071" s="117"/>
      <c r="DI3071" s="24"/>
      <c r="DJ3071" s="24"/>
      <c r="DK3071" s="24"/>
      <c r="DL3071" s="24"/>
      <c r="DM3071" s="24"/>
      <c r="DN3071" s="24"/>
      <c r="DO3071" s="24"/>
      <c r="DP3071" s="24"/>
      <c r="DQ3071" s="24"/>
      <c r="DR3071" s="24"/>
      <c r="DS3071" s="24"/>
      <c r="DT3071" s="24"/>
      <c r="DU3071" s="24"/>
    </row>
    <row r="3072" spans="1:125" s="8" customFormat="1" ht="60" x14ac:dyDescent="0.2">
      <c r="A3072" s="77">
        <v>41535</v>
      </c>
      <c r="B3072" s="78" t="s">
        <v>2848</v>
      </c>
      <c r="C3072" s="75" t="s">
        <v>2755</v>
      </c>
      <c r="D3072" s="75" t="s">
        <v>3088</v>
      </c>
      <c r="E3072" s="296" t="str">
        <f>VLOOKUP(B3072&amp;C3072,Divipola!$C$2:$F$1138,4,FALSE)</f>
        <v>73001</v>
      </c>
      <c r="F3072" s="87"/>
      <c r="G3072" s="87"/>
      <c r="H3072" s="87"/>
      <c r="I3072" s="87">
        <v>5</v>
      </c>
      <c r="J3072" s="87">
        <v>1</v>
      </c>
      <c r="K3072" s="87"/>
      <c r="L3072" s="87">
        <v>1</v>
      </c>
      <c r="M3072" s="87"/>
      <c r="N3072" s="87"/>
      <c r="O3072" s="87"/>
      <c r="P3072" s="87"/>
      <c r="Q3072" s="87"/>
      <c r="R3072" s="87"/>
      <c r="S3072" s="87"/>
      <c r="T3072" s="87"/>
      <c r="U3072" s="88"/>
      <c r="V3072" s="89"/>
      <c r="W3072" s="96">
        <v>0</v>
      </c>
      <c r="X3072" s="71">
        <f>CU3072</f>
        <v>0</v>
      </c>
      <c r="Y3072" s="71">
        <f>CY3072</f>
        <v>0</v>
      </c>
      <c r="Z3072" s="71">
        <f>DA3072+DC3072+DE3072</f>
        <v>0</v>
      </c>
      <c r="AA3072" s="71">
        <f>CW3072</f>
        <v>0</v>
      </c>
      <c r="AB3072" s="71"/>
      <c r="AC3072" s="71">
        <v>0</v>
      </c>
      <c r="AD3072" s="71">
        <f>W3072+X3072+Y3072+Z3072+AA3072+AB3072+AC3072</f>
        <v>0</v>
      </c>
      <c r="AE3072" s="72">
        <v>0</v>
      </c>
      <c r="AF3072" s="5"/>
      <c r="AG3072" s="6"/>
      <c r="AH3072" s="27"/>
      <c r="AI3072" s="44"/>
      <c r="AJ3072" s="26"/>
      <c r="AK3072" s="5"/>
      <c r="AL3072" s="82" t="s">
        <v>5966</v>
      </c>
      <c r="AM3072" s="76"/>
      <c r="AN3072" s="76"/>
      <c r="AO3072" s="76"/>
      <c r="AP3072" s="76"/>
      <c r="AQ3072" s="76"/>
      <c r="AR3072" s="76"/>
      <c r="AS3072" s="76"/>
      <c r="AT3072" s="76"/>
      <c r="AU3072" s="76"/>
      <c r="AV3072" s="76"/>
      <c r="AW3072" s="76"/>
      <c r="AX3072" s="76">
        <f>+AW3072*600000</f>
        <v>0</v>
      </c>
      <c r="AY3072" s="76"/>
      <c r="AZ3072" s="76">
        <f>+AY3072*70000</f>
        <v>0</v>
      </c>
      <c r="BA3072" s="76"/>
      <c r="BB3072" s="76"/>
      <c r="BC3072" s="76"/>
      <c r="BD3072" s="76">
        <f>+BC3072*30000</f>
        <v>0</v>
      </c>
      <c r="BE3072" s="76"/>
      <c r="BF3072" s="76"/>
      <c r="BG3072" s="76"/>
      <c r="BH3072" s="76"/>
      <c r="BI3072" s="76"/>
      <c r="BJ3072" s="76"/>
      <c r="BK3072" s="76"/>
      <c r="BL3072" s="76">
        <f>+BK3072*31500</f>
        <v>0</v>
      </c>
      <c r="BM3072" s="76"/>
      <c r="BN3072" s="76"/>
      <c r="BO3072" s="76"/>
      <c r="BP3072" s="76"/>
      <c r="BQ3072" s="76"/>
      <c r="BR3072" s="76"/>
      <c r="BS3072" s="76"/>
      <c r="BT3072" s="76"/>
      <c r="BU3072" s="76"/>
      <c r="BV3072" s="76"/>
      <c r="BW3072" s="76"/>
      <c r="BX3072" s="76"/>
      <c r="BY3072" s="76"/>
      <c r="BZ3072" s="76"/>
      <c r="CA3072" s="76"/>
      <c r="CB3072" s="76"/>
      <c r="CC3072" s="76"/>
      <c r="CD3072" s="76"/>
      <c r="CE3072" s="76"/>
      <c r="CF3072" s="76">
        <f>+CE3072*28000</f>
        <v>0</v>
      </c>
      <c r="CG3072" s="76"/>
      <c r="CH3072" s="76">
        <f>+CG3072*22500</f>
        <v>0</v>
      </c>
      <c r="CI3072" s="76"/>
      <c r="CJ3072" s="76">
        <f>+CI3072*26000</f>
        <v>0</v>
      </c>
      <c r="CK3072" s="76"/>
      <c r="CL3072" s="76"/>
      <c r="CM3072" s="76"/>
      <c r="CN3072" s="76">
        <f>+CM3072*22000</f>
        <v>0</v>
      </c>
      <c r="CO3072" s="76"/>
      <c r="CP3072" s="76">
        <f>+CO3072*46000</f>
        <v>0</v>
      </c>
      <c r="CQ3072" s="76"/>
      <c r="CR3072" s="76">
        <f>+CQ3072*49000</f>
        <v>0</v>
      </c>
      <c r="CS3072" s="76"/>
      <c r="CT3072" s="76"/>
      <c r="CU3072" s="56">
        <f>AN3072+AP3072+AR3072+AT3072+AV3072+AX3072+AZ3072+BB3072+BD3072+BF3072+BH3072+BJ3072+BL3072+BN3072+BP3072+BR3072+BT3072+BV3072+BX3072+BZ3072+CB3072+CD3072+CF3072+CH3072+CJ3072+CL3072+CN3072+CP3072+CR3072+CT3072</f>
        <v>0</v>
      </c>
      <c r="CV3072" s="76"/>
      <c r="CW3072" s="76">
        <f>+CV3072*1100</f>
        <v>0</v>
      </c>
      <c r="CX3072" s="76"/>
      <c r="CY3072" s="76">
        <f>+CX3072*106250</f>
        <v>0</v>
      </c>
      <c r="CZ3072" s="76"/>
      <c r="DA3072" s="76">
        <f>+CZ3072*34500</f>
        <v>0</v>
      </c>
      <c r="DB3072" s="76"/>
      <c r="DC3072" s="76">
        <f>+DB3072*25000</f>
        <v>0</v>
      </c>
      <c r="DD3072" s="219"/>
      <c r="DE3072" s="219"/>
      <c r="DF3072" s="166"/>
      <c r="DG3072" s="116"/>
      <c r="DH3072" s="117"/>
      <c r="DI3072" s="24"/>
      <c r="DJ3072" s="24"/>
      <c r="DK3072" s="24"/>
      <c r="DL3072" s="24"/>
      <c r="DM3072" s="24"/>
      <c r="DN3072" s="24"/>
      <c r="DO3072" s="24"/>
      <c r="DP3072" s="24"/>
      <c r="DQ3072" s="24"/>
      <c r="DR3072" s="24"/>
      <c r="DS3072" s="24"/>
      <c r="DT3072" s="24"/>
      <c r="DU3072" s="24"/>
    </row>
    <row r="3073" spans="1:125" s="8" customFormat="1" ht="84" x14ac:dyDescent="0.2">
      <c r="A3073" s="77">
        <v>41535</v>
      </c>
      <c r="B3073" s="78" t="s">
        <v>2300</v>
      </c>
      <c r="C3073" s="75" t="s">
        <v>2301</v>
      </c>
      <c r="D3073" s="75" t="s">
        <v>2882</v>
      </c>
      <c r="E3073" s="296" t="str">
        <f>VLOOKUP(B3073&amp;C3073,Divipola!$C$2:$F$1138,4,FALSE)</f>
        <v>97001</v>
      </c>
      <c r="F3073" s="87"/>
      <c r="G3073" s="87"/>
      <c r="H3073" s="87"/>
      <c r="I3073" s="87">
        <v>90</v>
      </c>
      <c r="J3073" s="87"/>
      <c r="K3073" s="87"/>
      <c r="L3073" s="87"/>
      <c r="M3073" s="87"/>
      <c r="N3073" s="87"/>
      <c r="O3073" s="87"/>
      <c r="P3073" s="87"/>
      <c r="Q3073" s="87"/>
      <c r="R3073" s="87"/>
      <c r="S3073" s="87">
        <v>1</v>
      </c>
      <c r="T3073" s="87">
        <v>1</v>
      </c>
      <c r="U3073" s="88"/>
      <c r="V3073" s="89"/>
      <c r="W3073" s="96">
        <v>0</v>
      </c>
      <c r="X3073" s="71">
        <f>CU3073</f>
        <v>0</v>
      </c>
      <c r="Y3073" s="71">
        <f>CY3073</f>
        <v>0</v>
      </c>
      <c r="Z3073" s="71">
        <f>DA3073+DC3073+DE3073</f>
        <v>0</v>
      </c>
      <c r="AA3073" s="71">
        <f>CW3073</f>
        <v>0</v>
      </c>
      <c r="AB3073" s="71"/>
      <c r="AC3073" s="71">
        <v>0</v>
      </c>
      <c r="AD3073" s="71">
        <f>W3073+X3073+Y3073+Z3073+AA3073+AB3073+AC3073</f>
        <v>0</v>
      </c>
      <c r="AE3073" s="72">
        <v>0</v>
      </c>
      <c r="AF3073" s="5"/>
      <c r="AG3073" s="6"/>
      <c r="AH3073" s="27"/>
      <c r="AI3073" s="44"/>
      <c r="AJ3073" s="26"/>
      <c r="AK3073" s="5"/>
      <c r="AL3073" s="274" t="s">
        <v>5954</v>
      </c>
      <c r="AM3073" s="76"/>
      <c r="AN3073" s="76"/>
      <c r="AO3073" s="76"/>
      <c r="AP3073" s="76"/>
      <c r="AQ3073" s="76"/>
      <c r="AR3073" s="76"/>
      <c r="AS3073" s="76"/>
      <c r="AT3073" s="76"/>
      <c r="AU3073" s="76"/>
      <c r="AV3073" s="76"/>
      <c r="AW3073" s="76"/>
      <c r="AX3073" s="76">
        <f>+AW3073*600000</f>
        <v>0</v>
      </c>
      <c r="AY3073" s="76"/>
      <c r="AZ3073" s="76">
        <f>+AY3073*70000</f>
        <v>0</v>
      </c>
      <c r="BA3073" s="76"/>
      <c r="BB3073" s="76"/>
      <c r="BC3073" s="76"/>
      <c r="BD3073" s="76">
        <f>+BC3073*30000</f>
        <v>0</v>
      </c>
      <c r="BE3073" s="76"/>
      <c r="BF3073" s="76"/>
      <c r="BG3073" s="76"/>
      <c r="BH3073" s="76"/>
      <c r="BI3073" s="76"/>
      <c r="BJ3073" s="76"/>
      <c r="BK3073" s="76"/>
      <c r="BL3073" s="76">
        <f>+BK3073*31500</f>
        <v>0</v>
      </c>
      <c r="BM3073" s="76"/>
      <c r="BN3073" s="76"/>
      <c r="BO3073" s="76"/>
      <c r="BP3073" s="76"/>
      <c r="BQ3073" s="76"/>
      <c r="BR3073" s="76"/>
      <c r="BS3073" s="76"/>
      <c r="BT3073" s="76"/>
      <c r="BU3073" s="76"/>
      <c r="BV3073" s="76"/>
      <c r="BW3073" s="76"/>
      <c r="BX3073" s="76"/>
      <c r="BY3073" s="76"/>
      <c r="BZ3073" s="76"/>
      <c r="CA3073" s="76"/>
      <c r="CB3073" s="76"/>
      <c r="CC3073" s="76"/>
      <c r="CD3073" s="76"/>
      <c r="CE3073" s="76"/>
      <c r="CF3073" s="76">
        <f>+CE3073*28000</f>
        <v>0</v>
      </c>
      <c r="CG3073" s="76"/>
      <c r="CH3073" s="76">
        <f>+CG3073*22500</f>
        <v>0</v>
      </c>
      <c r="CI3073" s="76"/>
      <c r="CJ3073" s="76">
        <f>+CI3073*26000</f>
        <v>0</v>
      </c>
      <c r="CK3073" s="76"/>
      <c r="CL3073" s="76"/>
      <c r="CM3073" s="76"/>
      <c r="CN3073" s="76">
        <f>+CM3073*22000</f>
        <v>0</v>
      </c>
      <c r="CO3073" s="76"/>
      <c r="CP3073" s="76">
        <f>+CO3073*46000</f>
        <v>0</v>
      </c>
      <c r="CQ3073" s="76"/>
      <c r="CR3073" s="76">
        <f>+CQ3073*49000</f>
        <v>0</v>
      </c>
      <c r="CS3073" s="76"/>
      <c r="CT3073" s="76"/>
      <c r="CU3073" s="56">
        <f>AN3073+AP3073+AR3073+AT3073+AV3073+AX3073+AZ3073+BB3073+BD3073+BF3073+BH3073+BJ3073+BL3073+BN3073+BP3073+BR3073+BT3073+BV3073+BX3073+BZ3073+CB3073+CD3073+CF3073+CH3073+CJ3073+CL3073+CN3073+CP3073+CR3073+CT3073</f>
        <v>0</v>
      </c>
      <c r="CV3073" s="76"/>
      <c r="CW3073" s="76">
        <f>+CV3073*1100</f>
        <v>0</v>
      </c>
      <c r="CX3073" s="76"/>
      <c r="CY3073" s="76">
        <f>+CX3073*106250</f>
        <v>0</v>
      </c>
      <c r="CZ3073" s="76"/>
      <c r="DA3073" s="76">
        <f>+CZ3073*34500</f>
        <v>0</v>
      </c>
      <c r="DB3073" s="76"/>
      <c r="DC3073" s="76">
        <f>+DB3073*25000</f>
        <v>0</v>
      </c>
      <c r="DD3073" s="219"/>
      <c r="DE3073" s="219"/>
      <c r="DF3073" s="166"/>
      <c r="DG3073" s="116"/>
      <c r="DH3073" s="117"/>
      <c r="DI3073" s="24"/>
      <c r="DJ3073" s="24"/>
      <c r="DK3073" s="24"/>
      <c r="DL3073" s="24"/>
      <c r="DM3073" s="24"/>
      <c r="DN3073" s="24"/>
      <c r="DO3073" s="24"/>
      <c r="DP3073" s="24"/>
      <c r="DQ3073" s="24"/>
      <c r="DR3073" s="24"/>
      <c r="DS3073" s="24"/>
      <c r="DT3073" s="24"/>
      <c r="DU3073" s="24"/>
    </row>
    <row r="3074" spans="1:125" s="8" customFormat="1" ht="48" x14ac:dyDescent="0.2">
      <c r="A3074" s="77">
        <v>41536</v>
      </c>
      <c r="B3074" s="352" t="s">
        <v>2700</v>
      </c>
      <c r="C3074" s="354" t="s">
        <v>1325</v>
      </c>
      <c r="D3074" s="354" t="s">
        <v>2882</v>
      </c>
      <c r="E3074" s="296" t="str">
        <f>VLOOKUP(B3074&amp;C3074,Divipola!$C$2:$F$1138,4,FALSE)</f>
        <v>15109</v>
      </c>
      <c r="F3074" s="87"/>
      <c r="G3074" s="87"/>
      <c r="H3074" s="87"/>
      <c r="I3074" s="87">
        <v>485</v>
      </c>
      <c r="J3074" s="87">
        <v>97</v>
      </c>
      <c r="K3074" s="87">
        <v>2</v>
      </c>
      <c r="L3074" s="87">
        <v>95</v>
      </c>
      <c r="M3074" s="87"/>
      <c r="N3074" s="87"/>
      <c r="O3074" s="87"/>
      <c r="P3074" s="87"/>
      <c r="Q3074" s="87"/>
      <c r="R3074" s="87"/>
      <c r="S3074" s="87"/>
      <c r="T3074" s="87"/>
      <c r="U3074" s="88"/>
      <c r="V3074" s="89"/>
      <c r="W3074" s="96">
        <v>0</v>
      </c>
      <c r="X3074" s="71">
        <f>CU3074</f>
        <v>0</v>
      </c>
      <c r="Y3074" s="71">
        <f>CY3074</f>
        <v>0</v>
      </c>
      <c r="Z3074" s="71">
        <f>DA3074+DC3074+DE3074</f>
        <v>0</v>
      </c>
      <c r="AA3074" s="71">
        <f>CW3074</f>
        <v>0</v>
      </c>
      <c r="AB3074" s="71"/>
      <c r="AC3074" s="71">
        <v>0</v>
      </c>
      <c r="AD3074" s="71">
        <f>W3074+X3074+Y3074+Z3074+AA3074+AB3074+AC3074</f>
        <v>0</v>
      </c>
      <c r="AE3074" s="72">
        <v>0</v>
      </c>
      <c r="AF3074" s="5"/>
      <c r="AG3074" s="6"/>
      <c r="AH3074" s="27"/>
      <c r="AI3074" s="44"/>
      <c r="AJ3074" s="26"/>
      <c r="AK3074" s="5"/>
      <c r="AL3074" s="82" t="s">
        <v>5975</v>
      </c>
      <c r="AM3074" s="76"/>
      <c r="AN3074" s="76"/>
      <c r="AO3074" s="76"/>
      <c r="AP3074" s="76"/>
      <c r="AQ3074" s="76"/>
      <c r="AR3074" s="76"/>
      <c r="AS3074" s="76"/>
      <c r="AT3074" s="76"/>
      <c r="AU3074" s="76"/>
      <c r="AV3074" s="76"/>
      <c r="AW3074" s="76"/>
      <c r="AX3074" s="76">
        <f>+AW3074*600000</f>
        <v>0</v>
      </c>
      <c r="AY3074" s="76"/>
      <c r="AZ3074" s="76">
        <f>+AY3074*70000</f>
        <v>0</v>
      </c>
      <c r="BA3074" s="76"/>
      <c r="BB3074" s="76"/>
      <c r="BC3074" s="76"/>
      <c r="BD3074" s="76">
        <f>+BC3074*30000</f>
        <v>0</v>
      </c>
      <c r="BE3074" s="76"/>
      <c r="BF3074" s="76"/>
      <c r="BG3074" s="76"/>
      <c r="BH3074" s="76"/>
      <c r="BI3074" s="76"/>
      <c r="BJ3074" s="76"/>
      <c r="BK3074" s="76"/>
      <c r="BL3074" s="76">
        <f>+BK3074*31500</f>
        <v>0</v>
      </c>
      <c r="BM3074" s="76"/>
      <c r="BN3074" s="76"/>
      <c r="BO3074" s="76"/>
      <c r="BP3074" s="76"/>
      <c r="BQ3074" s="76"/>
      <c r="BR3074" s="76"/>
      <c r="BS3074" s="76"/>
      <c r="BT3074" s="76"/>
      <c r="BU3074" s="76"/>
      <c r="BV3074" s="76"/>
      <c r="BW3074" s="76"/>
      <c r="BX3074" s="76"/>
      <c r="BY3074" s="76"/>
      <c r="BZ3074" s="76"/>
      <c r="CA3074" s="76"/>
      <c r="CB3074" s="76"/>
      <c r="CC3074" s="76"/>
      <c r="CD3074" s="76"/>
      <c r="CE3074" s="76"/>
      <c r="CF3074" s="76">
        <f>+CE3074*28000</f>
        <v>0</v>
      </c>
      <c r="CG3074" s="76"/>
      <c r="CH3074" s="76">
        <f>+CG3074*22500</f>
        <v>0</v>
      </c>
      <c r="CI3074" s="76"/>
      <c r="CJ3074" s="76">
        <f>+CI3074*26000</f>
        <v>0</v>
      </c>
      <c r="CK3074" s="76"/>
      <c r="CL3074" s="76"/>
      <c r="CM3074" s="76"/>
      <c r="CN3074" s="76">
        <f>+CM3074*22000</f>
        <v>0</v>
      </c>
      <c r="CO3074" s="76"/>
      <c r="CP3074" s="76">
        <f>+CO3074*46000</f>
        <v>0</v>
      </c>
      <c r="CQ3074" s="76"/>
      <c r="CR3074" s="76">
        <f>+CQ3074*49000</f>
        <v>0</v>
      </c>
      <c r="CS3074" s="76"/>
      <c r="CT3074" s="76"/>
      <c r="CU3074" s="56">
        <f>AN3074+AP3074+AR3074+AT3074+AV3074+AX3074+AZ3074+BB3074+BD3074+BF3074+BH3074+BJ3074+BL3074+BN3074+BP3074+BR3074+BT3074+BV3074+BX3074+BZ3074+CB3074+CD3074+CF3074+CH3074+CJ3074+CL3074+CN3074+CP3074+CR3074+CT3074</f>
        <v>0</v>
      </c>
      <c r="CV3074" s="76"/>
      <c r="CW3074" s="76">
        <f>+CV3074*1100</f>
        <v>0</v>
      </c>
      <c r="CX3074" s="76"/>
      <c r="CY3074" s="76">
        <f>+CX3074*106250</f>
        <v>0</v>
      </c>
      <c r="CZ3074" s="76"/>
      <c r="DA3074" s="76">
        <f>+CZ3074*34500</f>
        <v>0</v>
      </c>
      <c r="DB3074" s="76"/>
      <c r="DC3074" s="76">
        <f>+DB3074*25000</f>
        <v>0</v>
      </c>
      <c r="DD3074" s="219"/>
      <c r="DE3074" s="219"/>
      <c r="DF3074" s="166"/>
      <c r="DG3074" s="116"/>
      <c r="DH3074" s="117"/>
      <c r="DI3074" s="24"/>
      <c r="DJ3074" s="24"/>
      <c r="DK3074" s="24"/>
      <c r="DL3074" s="24"/>
      <c r="DM3074" s="24"/>
      <c r="DN3074" s="24"/>
      <c r="DO3074" s="24"/>
      <c r="DP3074" s="24"/>
      <c r="DQ3074" s="24"/>
      <c r="DR3074" s="24"/>
      <c r="DS3074" s="24"/>
      <c r="DT3074" s="24"/>
      <c r="DU3074" s="24"/>
    </row>
    <row r="3075" spans="1:125" s="8" customFormat="1" ht="72" x14ac:dyDescent="0.2">
      <c r="A3075" s="77">
        <v>41536</v>
      </c>
      <c r="B3075" s="352" t="s">
        <v>2855</v>
      </c>
      <c r="C3075" s="354" t="s">
        <v>2168</v>
      </c>
      <c r="D3075" s="354" t="s">
        <v>3051</v>
      </c>
      <c r="E3075" s="296" t="str">
        <f>VLOOKUP(B3075&amp;C3075,Divipola!$C$2:$F$1138,4,FALSE)</f>
        <v>20001</v>
      </c>
      <c r="F3075" s="87"/>
      <c r="G3075" s="87"/>
      <c r="H3075" s="87"/>
      <c r="I3075" s="87"/>
      <c r="J3075" s="87"/>
      <c r="K3075" s="87"/>
      <c r="L3075" s="87"/>
      <c r="M3075" s="87">
        <v>1</v>
      </c>
      <c r="N3075" s="87"/>
      <c r="O3075" s="87"/>
      <c r="P3075" s="87"/>
      <c r="Q3075" s="87"/>
      <c r="R3075" s="87"/>
      <c r="S3075" s="87"/>
      <c r="T3075" s="87"/>
      <c r="U3075" s="88"/>
      <c r="V3075" s="89"/>
      <c r="W3075" s="96">
        <v>0</v>
      </c>
      <c r="X3075" s="71">
        <f>CU3075</f>
        <v>0</v>
      </c>
      <c r="Y3075" s="71">
        <f>CY3075</f>
        <v>0</v>
      </c>
      <c r="Z3075" s="71">
        <f>DA3075+DC3075+DE3075</f>
        <v>0</v>
      </c>
      <c r="AA3075" s="71">
        <f>CW3075</f>
        <v>0</v>
      </c>
      <c r="AB3075" s="71"/>
      <c r="AC3075" s="71">
        <v>0</v>
      </c>
      <c r="AD3075" s="71">
        <f>W3075+X3075+Y3075+Z3075+AA3075+AB3075+AC3075</f>
        <v>0</v>
      </c>
      <c r="AE3075" s="72">
        <v>0</v>
      </c>
      <c r="AF3075" s="5"/>
      <c r="AG3075" s="6"/>
      <c r="AH3075" s="27"/>
      <c r="AI3075" s="44"/>
      <c r="AJ3075" s="26"/>
      <c r="AK3075" s="5"/>
      <c r="AL3075" s="82" t="s">
        <v>5977</v>
      </c>
      <c r="AM3075" s="76"/>
      <c r="AN3075" s="76"/>
      <c r="AO3075" s="76"/>
      <c r="AP3075" s="76"/>
      <c r="AQ3075" s="76"/>
      <c r="AR3075" s="76"/>
      <c r="AS3075" s="76"/>
      <c r="AT3075" s="76"/>
      <c r="AU3075" s="76"/>
      <c r="AV3075" s="76"/>
      <c r="AW3075" s="76"/>
      <c r="AX3075" s="76">
        <f>+AW3075*600000</f>
        <v>0</v>
      </c>
      <c r="AY3075" s="76"/>
      <c r="AZ3075" s="76">
        <f>+AY3075*70000</f>
        <v>0</v>
      </c>
      <c r="BA3075" s="76"/>
      <c r="BB3075" s="76"/>
      <c r="BC3075" s="76"/>
      <c r="BD3075" s="76">
        <f>+BC3075*30000</f>
        <v>0</v>
      </c>
      <c r="BE3075" s="76"/>
      <c r="BF3075" s="76"/>
      <c r="BG3075" s="76"/>
      <c r="BH3075" s="76"/>
      <c r="BI3075" s="76"/>
      <c r="BJ3075" s="76"/>
      <c r="BK3075" s="76"/>
      <c r="BL3075" s="76">
        <f>+BK3075*31500</f>
        <v>0</v>
      </c>
      <c r="BM3075" s="76"/>
      <c r="BN3075" s="76"/>
      <c r="BO3075" s="76"/>
      <c r="BP3075" s="76"/>
      <c r="BQ3075" s="76"/>
      <c r="BR3075" s="76"/>
      <c r="BS3075" s="76"/>
      <c r="BT3075" s="76"/>
      <c r="BU3075" s="76"/>
      <c r="BV3075" s="76"/>
      <c r="BW3075" s="76"/>
      <c r="BX3075" s="76"/>
      <c r="BY3075" s="76"/>
      <c r="BZ3075" s="76"/>
      <c r="CA3075" s="76"/>
      <c r="CB3075" s="76"/>
      <c r="CC3075" s="76"/>
      <c r="CD3075" s="76"/>
      <c r="CE3075" s="76"/>
      <c r="CF3075" s="76">
        <f>+CE3075*28000</f>
        <v>0</v>
      </c>
      <c r="CG3075" s="76"/>
      <c r="CH3075" s="76">
        <f>+CG3075*22500</f>
        <v>0</v>
      </c>
      <c r="CI3075" s="76"/>
      <c r="CJ3075" s="76">
        <f>+CI3075*26000</f>
        <v>0</v>
      </c>
      <c r="CK3075" s="76"/>
      <c r="CL3075" s="76"/>
      <c r="CM3075" s="76"/>
      <c r="CN3075" s="76">
        <f>+CM3075*22000</f>
        <v>0</v>
      </c>
      <c r="CO3075" s="76"/>
      <c r="CP3075" s="76">
        <f>+CO3075*46000</f>
        <v>0</v>
      </c>
      <c r="CQ3075" s="76"/>
      <c r="CR3075" s="76">
        <f>+CQ3075*49000</f>
        <v>0</v>
      </c>
      <c r="CS3075" s="76"/>
      <c r="CT3075" s="76"/>
      <c r="CU3075" s="56">
        <f>AN3075+AP3075+AR3075+AT3075+AV3075+AX3075+AZ3075+BB3075+BD3075+BF3075+BH3075+BJ3075+BL3075+BN3075+BP3075+BR3075+BT3075+BV3075+BX3075+BZ3075+CB3075+CD3075+CF3075+CH3075+CJ3075+CL3075+CN3075+CP3075+CR3075+CT3075</f>
        <v>0</v>
      </c>
      <c r="CV3075" s="76"/>
      <c r="CW3075" s="76">
        <f>+CV3075*1100</f>
        <v>0</v>
      </c>
      <c r="CX3075" s="76"/>
      <c r="CY3075" s="76">
        <f>+CX3075*106250</f>
        <v>0</v>
      </c>
      <c r="CZ3075" s="76"/>
      <c r="DA3075" s="76">
        <f>+CZ3075*34500</f>
        <v>0</v>
      </c>
      <c r="DB3075" s="76"/>
      <c r="DC3075" s="76">
        <f>+DB3075*25000</f>
        <v>0</v>
      </c>
      <c r="DD3075" s="219"/>
      <c r="DE3075" s="219"/>
      <c r="DF3075" s="166"/>
      <c r="DG3075" s="116"/>
      <c r="DH3075" s="117"/>
      <c r="DI3075" s="24"/>
      <c r="DJ3075" s="24"/>
      <c r="DK3075" s="24"/>
      <c r="DL3075" s="24"/>
      <c r="DM3075" s="24"/>
      <c r="DN3075" s="24"/>
      <c r="DO3075" s="24"/>
      <c r="DP3075" s="24"/>
      <c r="DQ3075" s="24"/>
      <c r="DR3075" s="24"/>
      <c r="DS3075" s="24"/>
      <c r="DT3075" s="24"/>
      <c r="DU3075" s="24"/>
    </row>
    <row r="3076" spans="1:125" s="8" customFormat="1" ht="48" x14ac:dyDescent="0.2">
      <c r="A3076" s="77">
        <v>41536</v>
      </c>
      <c r="B3076" s="60" t="s">
        <v>1695</v>
      </c>
      <c r="C3076" s="55" t="s">
        <v>2296</v>
      </c>
      <c r="D3076" s="55" t="s">
        <v>2882</v>
      </c>
      <c r="E3076" s="296" t="str">
        <f>VLOOKUP(B3076&amp;C3076,Divipola!$C$2:$F$1138,4,FALSE)</f>
        <v>95025</v>
      </c>
      <c r="F3076" s="87"/>
      <c r="G3076" s="87"/>
      <c r="H3076" s="87"/>
      <c r="I3076" s="87">
        <v>80</v>
      </c>
      <c r="J3076" s="87">
        <v>16</v>
      </c>
      <c r="K3076" s="87"/>
      <c r="L3076" s="87">
        <v>16</v>
      </c>
      <c r="M3076" s="87"/>
      <c r="N3076" s="87"/>
      <c r="O3076" s="87"/>
      <c r="P3076" s="87"/>
      <c r="Q3076" s="87"/>
      <c r="R3076" s="87"/>
      <c r="S3076" s="87"/>
      <c r="T3076" s="87"/>
      <c r="U3076" s="88"/>
      <c r="V3076" s="89"/>
      <c r="W3076" s="96">
        <v>0</v>
      </c>
      <c r="X3076" s="71">
        <f>CU3076</f>
        <v>0</v>
      </c>
      <c r="Y3076" s="71">
        <f>CY3076</f>
        <v>0</v>
      </c>
      <c r="Z3076" s="71">
        <f>DA3076+DC3076+DE3076</f>
        <v>0</v>
      </c>
      <c r="AA3076" s="71">
        <f>CW3076</f>
        <v>0</v>
      </c>
      <c r="AB3076" s="71"/>
      <c r="AC3076" s="71">
        <v>0</v>
      </c>
      <c r="AD3076" s="71">
        <f>W3076+X3076+Y3076+Z3076+AA3076+AB3076+AC3076</f>
        <v>0</v>
      </c>
      <c r="AE3076" s="72">
        <v>0</v>
      </c>
      <c r="AF3076" s="5"/>
      <c r="AG3076" s="6"/>
      <c r="AH3076" s="27"/>
      <c r="AI3076" s="44"/>
      <c r="AJ3076" s="26"/>
      <c r="AK3076" s="5"/>
      <c r="AL3076" s="82" t="s">
        <v>5972</v>
      </c>
      <c r="AM3076" s="76"/>
      <c r="AN3076" s="76"/>
      <c r="AO3076" s="76"/>
      <c r="AP3076" s="76"/>
      <c r="AQ3076" s="76"/>
      <c r="AR3076" s="76"/>
      <c r="AS3076" s="76"/>
      <c r="AT3076" s="76"/>
      <c r="AU3076" s="76"/>
      <c r="AV3076" s="76"/>
      <c r="AW3076" s="76"/>
      <c r="AX3076" s="76">
        <f>+AW3076*600000</f>
        <v>0</v>
      </c>
      <c r="AY3076" s="76"/>
      <c r="AZ3076" s="76">
        <f>+AY3076*70000</f>
        <v>0</v>
      </c>
      <c r="BA3076" s="76"/>
      <c r="BB3076" s="76"/>
      <c r="BC3076" s="76"/>
      <c r="BD3076" s="76">
        <f>+BC3076*30000</f>
        <v>0</v>
      </c>
      <c r="BE3076" s="76"/>
      <c r="BF3076" s="76"/>
      <c r="BG3076" s="76"/>
      <c r="BH3076" s="76"/>
      <c r="BI3076" s="76"/>
      <c r="BJ3076" s="76"/>
      <c r="BK3076" s="76"/>
      <c r="BL3076" s="76">
        <f>+BK3076*31500</f>
        <v>0</v>
      </c>
      <c r="BM3076" s="76"/>
      <c r="BN3076" s="76"/>
      <c r="BO3076" s="76"/>
      <c r="BP3076" s="76"/>
      <c r="BQ3076" s="76"/>
      <c r="BR3076" s="76"/>
      <c r="BS3076" s="76"/>
      <c r="BT3076" s="76"/>
      <c r="BU3076" s="76"/>
      <c r="BV3076" s="76"/>
      <c r="BW3076" s="76"/>
      <c r="BX3076" s="76"/>
      <c r="BY3076" s="76"/>
      <c r="BZ3076" s="76"/>
      <c r="CA3076" s="76"/>
      <c r="CB3076" s="76"/>
      <c r="CC3076" s="76"/>
      <c r="CD3076" s="76"/>
      <c r="CE3076" s="76"/>
      <c r="CF3076" s="76">
        <f>+CE3076*28000</f>
        <v>0</v>
      </c>
      <c r="CG3076" s="76"/>
      <c r="CH3076" s="76">
        <f>+CG3076*22500</f>
        <v>0</v>
      </c>
      <c r="CI3076" s="76"/>
      <c r="CJ3076" s="76">
        <f>+CI3076*26000</f>
        <v>0</v>
      </c>
      <c r="CK3076" s="76"/>
      <c r="CL3076" s="76"/>
      <c r="CM3076" s="76"/>
      <c r="CN3076" s="76">
        <f>+CM3076*22000</f>
        <v>0</v>
      </c>
      <c r="CO3076" s="76"/>
      <c r="CP3076" s="76">
        <f>+CO3076*46000</f>
        <v>0</v>
      </c>
      <c r="CQ3076" s="76"/>
      <c r="CR3076" s="76">
        <f>+CQ3076*49000</f>
        <v>0</v>
      </c>
      <c r="CS3076" s="76"/>
      <c r="CT3076" s="76"/>
      <c r="CU3076" s="56">
        <f>AN3076+AP3076+AR3076+AT3076+AV3076+AX3076+AZ3076+BB3076+BD3076+BF3076+BH3076+BJ3076+BL3076+BN3076+BP3076+BR3076+BT3076+BV3076+BX3076+BZ3076+CB3076+CD3076+CF3076+CH3076+CJ3076+CL3076+CN3076+CP3076+CR3076+CT3076</f>
        <v>0</v>
      </c>
      <c r="CV3076" s="76"/>
      <c r="CW3076" s="76">
        <f>+CV3076*1100</f>
        <v>0</v>
      </c>
      <c r="CX3076" s="76"/>
      <c r="CY3076" s="76">
        <f>+CX3076*106250</f>
        <v>0</v>
      </c>
      <c r="CZ3076" s="76"/>
      <c r="DA3076" s="76">
        <f>+CZ3076*34500</f>
        <v>0</v>
      </c>
      <c r="DB3076" s="76"/>
      <c r="DC3076" s="76">
        <f>+DB3076*25000</f>
        <v>0</v>
      </c>
      <c r="DD3076" s="219"/>
      <c r="DE3076" s="219"/>
      <c r="DF3076" s="166"/>
      <c r="DG3076" s="116"/>
      <c r="DH3076" s="117"/>
      <c r="DI3076" s="24"/>
      <c r="DJ3076" s="24"/>
      <c r="DK3076" s="24"/>
      <c r="DL3076" s="24"/>
      <c r="DM3076" s="24"/>
      <c r="DN3076" s="24"/>
      <c r="DO3076" s="24"/>
      <c r="DP3076" s="24"/>
      <c r="DQ3076" s="24"/>
      <c r="DR3076" s="24"/>
      <c r="DS3076" s="24"/>
      <c r="DT3076" s="24"/>
      <c r="DU3076" s="24"/>
    </row>
    <row r="3077" spans="1:125" s="8" customFormat="1" ht="108" x14ac:dyDescent="0.2">
      <c r="A3077" s="77">
        <v>41536</v>
      </c>
      <c r="B3077" s="352" t="s">
        <v>2847</v>
      </c>
      <c r="C3077" s="354" t="s">
        <v>2673</v>
      </c>
      <c r="D3077" s="354" t="s">
        <v>2859</v>
      </c>
      <c r="E3077" s="296" t="str">
        <f>VLOOKUP(B3077&amp;C3077,Divipola!$C$2:$F$1138,4,FALSE)</f>
        <v>68001</v>
      </c>
      <c r="F3077" s="87"/>
      <c r="G3077" s="87"/>
      <c r="H3077" s="87"/>
      <c r="I3077" s="87">
        <v>5</v>
      </c>
      <c r="J3077" s="87">
        <v>1</v>
      </c>
      <c r="K3077" s="87"/>
      <c r="L3077" s="87">
        <v>1</v>
      </c>
      <c r="M3077" s="87"/>
      <c r="N3077" s="87"/>
      <c r="O3077" s="87"/>
      <c r="P3077" s="87"/>
      <c r="Q3077" s="87"/>
      <c r="R3077" s="87"/>
      <c r="S3077" s="87"/>
      <c r="T3077" s="87"/>
      <c r="U3077" s="88"/>
      <c r="V3077" s="89"/>
      <c r="W3077" s="96">
        <v>0</v>
      </c>
      <c r="X3077" s="71">
        <f>CU3077</f>
        <v>0</v>
      </c>
      <c r="Y3077" s="71">
        <f>CY3077</f>
        <v>0</v>
      </c>
      <c r="Z3077" s="71">
        <f>DA3077+DC3077+DE3077</f>
        <v>0</v>
      </c>
      <c r="AA3077" s="71">
        <f>CW3077</f>
        <v>0</v>
      </c>
      <c r="AB3077" s="71"/>
      <c r="AC3077" s="71">
        <v>0</v>
      </c>
      <c r="AD3077" s="71">
        <f>W3077+X3077+Y3077+Z3077+AA3077+AB3077+AC3077</f>
        <v>0</v>
      </c>
      <c r="AE3077" s="72">
        <v>0</v>
      </c>
      <c r="AF3077" s="5"/>
      <c r="AG3077" s="6"/>
      <c r="AH3077" s="27"/>
      <c r="AI3077" s="44"/>
      <c r="AJ3077" s="26"/>
      <c r="AK3077" s="5"/>
      <c r="AL3077" s="82" t="s">
        <v>5973</v>
      </c>
      <c r="AM3077" s="76"/>
      <c r="AN3077" s="76"/>
      <c r="AO3077" s="76"/>
      <c r="AP3077" s="76"/>
      <c r="AQ3077" s="76"/>
      <c r="AR3077" s="76"/>
      <c r="AS3077" s="76"/>
      <c r="AT3077" s="76"/>
      <c r="AU3077" s="76"/>
      <c r="AV3077" s="76"/>
      <c r="AW3077" s="76"/>
      <c r="AX3077" s="76">
        <f>+AW3077*600000</f>
        <v>0</v>
      </c>
      <c r="AY3077" s="76"/>
      <c r="AZ3077" s="76">
        <f>+AY3077*70000</f>
        <v>0</v>
      </c>
      <c r="BA3077" s="76"/>
      <c r="BB3077" s="76"/>
      <c r="BC3077" s="76"/>
      <c r="BD3077" s="76">
        <f>+BC3077*30000</f>
        <v>0</v>
      </c>
      <c r="BE3077" s="76"/>
      <c r="BF3077" s="76"/>
      <c r="BG3077" s="76"/>
      <c r="BH3077" s="76"/>
      <c r="BI3077" s="76"/>
      <c r="BJ3077" s="76"/>
      <c r="BK3077" s="76"/>
      <c r="BL3077" s="76">
        <f>+BK3077*31500</f>
        <v>0</v>
      </c>
      <c r="BM3077" s="76"/>
      <c r="BN3077" s="76"/>
      <c r="BO3077" s="76"/>
      <c r="BP3077" s="76"/>
      <c r="BQ3077" s="76"/>
      <c r="BR3077" s="76"/>
      <c r="BS3077" s="76"/>
      <c r="BT3077" s="76"/>
      <c r="BU3077" s="76"/>
      <c r="BV3077" s="76"/>
      <c r="BW3077" s="76"/>
      <c r="BX3077" s="76"/>
      <c r="BY3077" s="76"/>
      <c r="BZ3077" s="76"/>
      <c r="CA3077" s="76"/>
      <c r="CB3077" s="76"/>
      <c r="CC3077" s="76"/>
      <c r="CD3077" s="76"/>
      <c r="CE3077" s="76"/>
      <c r="CF3077" s="76">
        <f>+CE3077*28000</f>
        <v>0</v>
      </c>
      <c r="CG3077" s="76"/>
      <c r="CH3077" s="76">
        <f>+CG3077*22500</f>
        <v>0</v>
      </c>
      <c r="CI3077" s="76"/>
      <c r="CJ3077" s="76">
        <f>+CI3077*26000</f>
        <v>0</v>
      </c>
      <c r="CK3077" s="76"/>
      <c r="CL3077" s="76"/>
      <c r="CM3077" s="76"/>
      <c r="CN3077" s="76">
        <f>+CM3077*22000</f>
        <v>0</v>
      </c>
      <c r="CO3077" s="76"/>
      <c r="CP3077" s="76">
        <f>+CO3077*46000</f>
        <v>0</v>
      </c>
      <c r="CQ3077" s="76"/>
      <c r="CR3077" s="76">
        <f>+CQ3077*49000</f>
        <v>0</v>
      </c>
      <c r="CS3077" s="76"/>
      <c r="CT3077" s="76"/>
      <c r="CU3077" s="56">
        <f>AN3077+AP3077+AR3077+AT3077+AV3077+AX3077+AZ3077+BB3077+BD3077+BF3077+BH3077+BJ3077+BL3077+BN3077+BP3077+BR3077+BT3077+BV3077+BX3077+BZ3077+CB3077+CD3077+CF3077+CH3077+CJ3077+CL3077+CN3077+CP3077+CR3077+CT3077</f>
        <v>0</v>
      </c>
      <c r="CV3077" s="76"/>
      <c r="CW3077" s="76">
        <f>+CV3077*1100</f>
        <v>0</v>
      </c>
      <c r="CX3077" s="76"/>
      <c r="CY3077" s="76">
        <f>+CX3077*106250</f>
        <v>0</v>
      </c>
      <c r="CZ3077" s="76"/>
      <c r="DA3077" s="76">
        <f>+CZ3077*34500</f>
        <v>0</v>
      </c>
      <c r="DB3077" s="76"/>
      <c r="DC3077" s="76">
        <f>+DB3077*25000</f>
        <v>0</v>
      </c>
      <c r="DD3077" s="219"/>
      <c r="DE3077" s="219"/>
      <c r="DF3077" s="166"/>
      <c r="DG3077" s="116"/>
      <c r="DH3077" s="117"/>
      <c r="DI3077" s="24"/>
      <c r="DJ3077" s="24"/>
      <c r="DK3077" s="24"/>
      <c r="DL3077" s="24"/>
      <c r="DM3077" s="24"/>
      <c r="DN3077" s="24"/>
      <c r="DO3077" s="24"/>
      <c r="DP3077" s="24"/>
      <c r="DQ3077" s="24"/>
      <c r="DR3077" s="24"/>
      <c r="DS3077" s="24"/>
      <c r="DT3077" s="24"/>
      <c r="DU3077" s="24"/>
    </row>
    <row r="3078" spans="1:125" s="8" customFormat="1" ht="48" x14ac:dyDescent="0.2">
      <c r="A3078" s="77">
        <v>41536</v>
      </c>
      <c r="B3078" s="225" t="s">
        <v>2848</v>
      </c>
      <c r="C3078" s="227" t="s">
        <v>1684</v>
      </c>
      <c r="D3078" s="354" t="s">
        <v>3051</v>
      </c>
      <c r="E3078" s="296" t="str">
        <f>VLOOKUP(B3078&amp;C3078,Divipola!$C$2:$F$1138,4,FALSE)</f>
        <v>73055</v>
      </c>
      <c r="F3078" s="87"/>
      <c r="G3078" s="87"/>
      <c r="H3078" s="87"/>
      <c r="I3078" s="87">
        <v>25</v>
      </c>
      <c r="J3078" s="87">
        <v>5</v>
      </c>
      <c r="K3078" s="87"/>
      <c r="L3078" s="87">
        <v>5</v>
      </c>
      <c r="M3078" s="87">
        <v>1</v>
      </c>
      <c r="N3078" s="87"/>
      <c r="O3078" s="87"/>
      <c r="P3078" s="87"/>
      <c r="Q3078" s="87"/>
      <c r="R3078" s="87"/>
      <c r="S3078" s="87"/>
      <c r="T3078" s="87"/>
      <c r="U3078" s="88"/>
      <c r="V3078" s="89"/>
      <c r="W3078" s="96">
        <v>0</v>
      </c>
      <c r="X3078" s="71">
        <f>CU3078</f>
        <v>0</v>
      </c>
      <c r="Y3078" s="71">
        <f>CY3078</f>
        <v>0</v>
      </c>
      <c r="Z3078" s="71">
        <f>DA3078+DC3078+DE3078</f>
        <v>0</v>
      </c>
      <c r="AA3078" s="71">
        <f>CW3078</f>
        <v>0</v>
      </c>
      <c r="AB3078" s="71"/>
      <c r="AC3078" s="71">
        <v>0</v>
      </c>
      <c r="AD3078" s="71">
        <f>W3078+X3078+Y3078+Z3078+AA3078+AB3078+AC3078</f>
        <v>0</v>
      </c>
      <c r="AE3078" s="72">
        <v>0</v>
      </c>
      <c r="AF3078" s="5"/>
      <c r="AG3078" s="6"/>
      <c r="AH3078" s="27"/>
      <c r="AI3078" s="44"/>
      <c r="AJ3078" s="26"/>
      <c r="AK3078" s="5"/>
      <c r="AL3078" s="82" t="s">
        <v>5971</v>
      </c>
      <c r="AM3078" s="76"/>
      <c r="AN3078" s="76"/>
      <c r="AO3078" s="76"/>
      <c r="AP3078" s="76"/>
      <c r="AQ3078" s="76"/>
      <c r="AR3078" s="76"/>
      <c r="AS3078" s="76"/>
      <c r="AT3078" s="76"/>
      <c r="AU3078" s="76"/>
      <c r="AV3078" s="76"/>
      <c r="AW3078" s="76"/>
      <c r="AX3078" s="76">
        <f>+AW3078*600000</f>
        <v>0</v>
      </c>
      <c r="AY3078" s="76"/>
      <c r="AZ3078" s="76">
        <f>+AY3078*70000</f>
        <v>0</v>
      </c>
      <c r="BA3078" s="76"/>
      <c r="BB3078" s="76"/>
      <c r="BC3078" s="76"/>
      <c r="BD3078" s="76">
        <f>+BC3078*30000</f>
        <v>0</v>
      </c>
      <c r="BE3078" s="76"/>
      <c r="BF3078" s="76"/>
      <c r="BG3078" s="76"/>
      <c r="BH3078" s="76"/>
      <c r="BI3078" s="76"/>
      <c r="BJ3078" s="76"/>
      <c r="BK3078" s="76"/>
      <c r="BL3078" s="76">
        <f>+BK3078*31500</f>
        <v>0</v>
      </c>
      <c r="BM3078" s="76"/>
      <c r="BN3078" s="76"/>
      <c r="BO3078" s="76"/>
      <c r="BP3078" s="76"/>
      <c r="BQ3078" s="76"/>
      <c r="BR3078" s="76"/>
      <c r="BS3078" s="76"/>
      <c r="BT3078" s="76"/>
      <c r="BU3078" s="76"/>
      <c r="BV3078" s="76"/>
      <c r="BW3078" s="76"/>
      <c r="BX3078" s="76"/>
      <c r="BY3078" s="76"/>
      <c r="BZ3078" s="76"/>
      <c r="CA3078" s="76"/>
      <c r="CB3078" s="76"/>
      <c r="CC3078" s="76"/>
      <c r="CD3078" s="76"/>
      <c r="CE3078" s="76"/>
      <c r="CF3078" s="76">
        <f>+CE3078*28000</f>
        <v>0</v>
      </c>
      <c r="CG3078" s="76"/>
      <c r="CH3078" s="76">
        <f>+CG3078*22500</f>
        <v>0</v>
      </c>
      <c r="CI3078" s="76"/>
      <c r="CJ3078" s="76">
        <f>+CI3078*26000</f>
        <v>0</v>
      </c>
      <c r="CK3078" s="76"/>
      <c r="CL3078" s="76"/>
      <c r="CM3078" s="76"/>
      <c r="CN3078" s="76">
        <f>+CM3078*22000</f>
        <v>0</v>
      </c>
      <c r="CO3078" s="76"/>
      <c r="CP3078" s="76">
        <f>+CO3078*46000</f>
        <v>0</v>
      </c>
      <c r="CQ3078" s="76"/>
      <c r="CR3078" s="76">
        <f>+CQ3078*49000</f>
        <v>0</v>
      </c>
      <c r="CS3078" s="76"/>
      <c r="CT3078" s="76"/>
      <c r="CU3078" s="56">
        <f>AN3078+AP3078+AR3078+AT3078+AV3078+AX3078+AZ3078+BB3078+BD3078+BF3078+BH3078+BJ3078+BL3078+BN3078+BP3078+BR3078+BT3078+BV3078+BX3078+BZ3078+CB3078+CD3078+CF3078+CH3078+CJ3078+CL3078+CN3078+CP3078+CR3078+CT3078</f>
        <v>0</v>
      </c>
      <c r="CV3078" s="76"/>
      <c r="CW3078" s="76">
        <f>+CV3078*1100</f>
        <v>0</v>
      </c>
      <c r="CX3078" s="76"/>
      <c r="CY3078" s="76">
        <f>+CX3078*106250</f>
        <v>0</v>
      </c>
      <c r="CZ3078" s="76"/>
      <c r="DA3078" s="76">
        <f>+CZ3078*34500</f>
        <v>0</v>
      </c>
      <c r="DB3078" s="76"/>
      <c r="DC3078" s="76">
        <f>+DB3078*25000</f>
        <v>0</v>
      </c>
      <c r="DD3078" s="219"/>
      <c r="DE3078" s="219"/>
      <c r="DF3078" s="166"/>
      <c r="DG3078" s="116"/>
      <c r="DH3078" s="117"/>
      <c r="DI3078" s="24"/>
      <c r="DJ3078" s="24"/>
      <c r="DK3078" s="24"/>
      <c r="DL3078" s="24"/>
      <c r="DM3078" s="24"/>
      <c r="DN3078" s="24"/>
      <c r="DO3078" s="24"/>
      <c r="DP3078" s="24"/>
      <c r="DQ3078" s="24"/>
      <c r="DR3078" s="24"/>
      <c r="DS3078" s="24"/>
      <c r="DT3078" s="24"/>
      <c r="DU3078" s="24"/>
    </row>
    <row r="3079" spans="1:125" s="8" customFormat="1" ht="36" x14ac:dyDescent="0.2">
      <c r="A3079" s="77">
        <v>41536</v>
      </c>
      <c r="B3079" s="225" t="s">
        <v>2848</v>
      </c>
      <c r="C3079" s="227" t="s">
        <v>2213</v>
      </c>
      <c r="D3079" s="354" t="s">
        <v>2882</v>
      </c>
      <c r="E3079" s="296" t="str">
        <f>VLOOKUP(B3079&amp;C3079,Divipola!$C$2:$F$1138,4,FALSE)</f>
        <v>73152</v>
      </c>
      <c r="F3079" s="87"/>
      <c r="G3079" s="87"/>
      <c r="H3079" s="87"/>
      <c r="I3079" s="87">
        <v>15</v>
      </c>
      <c r="J3079" s="87">
        <v>3</v>
      </c>
      <c r="K3079" s="87"/>
      <c r="L3079" s="87">
        <v>3</v>
      </c>
      <c r="M3079" s="87"/>
      <c r="N3079" s="87"/>
      <c r="O3079" s="87"/>
      <c r="P3079" s="87"/>
      <c r="Q3079" s="87"/>
      <c r="R3079" s="87"/>
      <c r="S3079" s="87"/>
      <c r="T3079" s="87"/>
      <c r="U3079" s="88"/>
      <c r="V3079" s="89"/>
      <c r="W3079" s="96">
        <v>0</v>
      </c>
      <c r="X3079" s="71">
        <f>CU3079</f>
        <v>0</v>
      </c>
      <c r="Y3079" s="71">
        <f>CY3079</f>
        <v>0</v>
      </c>
      <c r="Z3079" s="71">
        <f>DA3079+DC3079+DE3079</f>
        <v>0</v>
      </c>
      <c r="AA3079" s="71">
        <f>CW3079</f>
        <v>0</v>
      </c>
      <c r="AB3079" s="71"/>
      <c r="AC3079" s="71">
        <v>0</v>
      </c>
      <c r="AD3079" s="71">
        <f>W3079+X3079+Y3079+Z3079+AA3079+AB3079+AC3079</f>
        <v>0</v>
      </c>
      <c r="AE3079" s="72">
        <v>0</v>
      </c>
      <c r="AF3079" s="5"/>
      <c r="AG3079" s="6"/>
      <c r="AH3079" s="27"/>
      <c r="AI3079" s="44"/>
      <c r="AJ3079" s="26"/>
      <c r="AK3079" s="5"/>
      <c r="AL3079" s="82" t="s">
        <v>5969</v>
      </c>
      <c r="AM3079" s="76"/>
      <c r="AN3079" s="76"/>
      <c r="AO3079" s="76"/>
      <c r="AP3079" s="76"/>
      <c r="AQ3079" s="76"/>
      <c r="AR3079" s="76"/>
      <c r="AS3079" s="76"/>
      <c r="AT3079" s="76"/>
      <c r="AU3079" s="76"/>
      <c r="AV3079" s="76"/>
      <c r="AW3079" s="76"/>
      <c r="AX3079" s="76">
        <f>+AW3079*600000</f>
        <v>0</v>
      </c>
      <c r="AY3079" s="76"/>
      <c r="AZ3079" s="76">
        <f>+AY3079*70000</f>
        <v>0</v>
      </c>
      <c r="BA3079" s="76"/>
      <c r="BB3079" s="76"/>
      <c r="BC3079" s="76"/>
      <c r="BD3079" s="76">
        <f>+BC3079*30000</f>
        <v>0</v>
      </c>
      <c r="BE3079" s="76"/>
      <c r="BF3079" s="76"/>
      <c r="BG3079" s="76"/>
      <c r="BH3079" s="76"/>
      <c r="BI3079" s="76"/>
      <c r="BJ3079" s="76"/>
      <c r="BK3079" s="76"/>
      <c r="BL3079" s="76">
        <f>+BK3079*31500</f>
        <v>0</v>
      </c>
      <c r="BM3079" s="76"/>
      <c r="BN3079" s="76"/>
      <c r="BO3079" s="76"/>
      <c r="BP3079" s="76"/>
      <c r="BQ3079" s="76"/>
      <c r="BR3079" s="76"/>
      <c r="BS3079" s="76"/>
      <c r="BT3079" s="76"/>
      <c r="BU3079" s="76"/>
      <c r="BV3079" s="76"/>
      <c r="BW3079" s="76"/>
      <c r="BX3079" s="76"/>
      <c r="BY3079" s="76"/>
      <c r="BZ3079" s="76"/>
      <c r="CA3079" s="76"/>
      <c r="CB3079" s="76"/>
      <c r="CC3079" s="76"/>
      <c r="CD3079" s="76"/>
      <c r="CE3079" s="76"/>
      <c r="CF3079" s="76">
        <f>+CE3079*28000</f>
        <v>0</v>
      </c>
      <c r="CG3079" s="76"/>
      <c r="CH3079" s="76">
        <f>+CG3079*22500</f>
        <v>0</v>
      </c>
      <c r="CI3079" s="76"/>
      <c r="CJ3079" s="76">
        <f>+CI3079*26000</f>
        <v>0</v>
      </c>
      <c r="CK3079" s="76"/>
      <c r="CL3079" s="76"/>
      <c r="CM3079" s="76"/>
      <c r="CN3079" s="76">
        <f>+CM3079*22000</f>
        <v>0</v>
      </c>
      <c r="CO3079" s="76"/>
      <c r="CP3079" s="76">
        <f>+CO3079*46000</f>
        <v>0</v>
      </c>
      <c r="CQ3079" s="76"/>
      <c r="CR3079" s="76">
        <f>+CQ3079*49000</f>
        <v>0</v>
      </c>
      <c r="CS3079" s="76"/>
      <c r="CT3079" s="76"/>
      <c r="CU3079" s="56">
        <f>AN3079+AP3079+AR3079+AT3079+AV3079+AX3079+AZ3079+BB3079+BD3079+BF3079+BH3079+BJ3079+BL3079+BN3079+BP3079+BR3079+BT3079+BV3079+BX3079+BZ3079+CB3079+CD3079+CF3079+CH3079+CJ3079+CL3079+CN3079+CP3079+CR3079+CT3079</f>
        <v>0</v>
      </c>
      <c r="CV3079" s="76"/>
      <c r="CW3079" s="76">
        <f>+CV3079*1100</f>
        <v>0</v>
      </c>
      <c r="CX3079" s="76"/>
      <c r="CY3079" s="76">
        <f>+CX3079*106250</f>
        <v>0</v>
      </c>
      <c r="CZ3079" s="76"/>
      <c r="DA3079" s="76">
        <f>+CZ3079*34500</f>
        <v>0</v>
      </c>
      <c r="DB3079" s="76"/>
      <c r="DC3079" s="76">
        <f>+DB3079*25000</f>
        <v>0</v>
      </c>
      <c r="DD3079" s="219"/>
      <c r="DE3079" s="219"/>
      <c r="DF3079" s="166"/>
      <c r="DG3079" s="116"/>
      <c r="DH3079" s="117"/>
      <c r="DI3079" s="24"/>
      <c r="DJ3079" s="24"/>
      <c r="DK3079" s="24"/>
      <c r="DL3079" s="24"/>
      <c r="DM3079" s="24"/>
      <c r="DN3079" s="24"/>
      <c r="DO3079" s="24"/>
      <c r="DP3079" s="24"/>
      <c r="DQ3079" s="24"/>
      <c r="DR3079" s="24"/>
      <c r="DS3079" s="24"/>
      <c r="DT3079" s="24"/>
      <c r="DU3079" s="24"/>
    </row>
    <row r="3080" spans="1:125" s="8" customFormat="1" ht="48" x14ac:dyDescent="0.2">
      <c r="A3080" s="77">
        <v>41536</v>
      </c>
      <c r="B3080" s="352" t="s">
        <v>2848</v>
      </c>
      <c r="C3080" s="354" t="s">
        <v>1383</v>
      </c>
      <c r="D3080" s="354" t="s">
        <v>2846</v>
      </c>
      <c r="E3080" s="296" t="str">
        <f>VLOOKUP(B3080&amp;C3080,Divipola!$C$2:$F$1138,4,FALSE)</f>
        <v>73483</v>
      </c>
      <c r="F3080" s="87"/>
      <c r="G3080" s="87"/>
      <c r="H3080" s="87"/>
      <c r="I3080" s="87"/>
      <c r="J3080" s="87"/>
      <c r="K3080" s="87"/>
      <c r="L3080" s="87"/>
      <c r="M3080" s="87"/>
      <c r="N3080" s="87"/>
      <c r="O3080" s="87"/>
      <c r="P3080" s="87"/>
      <c r="Q3080" s="87"/>
      <c r="R3080" s="87"/>
      <c r="S3080" s="87"/>
      <c r="T3080" s="87"/>
      <c r="U3080" s="88">
        <v>10</v>
      </c>
      <c r="V3080" s="89"/>
      <c r="W3080" s="96">
        <v>0</v>
      </c>
      <c r="X3080" s="71">
        <f>CU3080</f>
        <v>0</v>
      </c>
      <c r="Y3080" s="71">
        <f>CY3080</f>
        <v>0</v>
      </c>
      <c r="Z3080" s="71">
        <f>DA3080+DC3080+DE3080</f>
        <v>0</v>
      </c>
      <c r="AA3080" s="71">
        <f>CW3080</f>
        <v>0</v>
      </c>
      <c r="AB3080" s="71"/>
      <c r="AC3080" s="71">
        <v>0</v>
      </c>
      <c r="AD3080" s="71">
        <f>W3080+X3080+Y3080+Z3080+AA3080+AB3080+AC3080</f>
        <v>0</v>
      </c>
      <c r="AE3080" s="72">
        <v>0</v>
      </c>
      <c r="AF3080" s="5"/>
      <c r="AG3080" s="6"/>
      <c r="AH3080" s="27"/>
      <c r="AI3080" s="44"/>
      <c r="AJ3080" s="26"/>
      <c r="AK3080" s="5"/>
      <c r="AL3080" s="82" t="s">
        <v>5974</v>
      </c>
      <c r="AM3080" s="76"/>
      <c r="AN3080" s="76"/>
      <c r="AO3080" s="76"/>
      <c r="AP3080" s="76"/>
      <c r="AQ3080" s="76"/>
      <c r="AR3080" s="76"/>
      <c r="AS3080" s="76"/>
      <c r="AT3080" s="76"/>
      <c r="AU3080" s="76"/>
      <c r="AV3080" s="76"/>
      <c r="AW3080" s="76"/>
      <c r="AX3080" s="76">
        <f>+AW3080*600000</f>
        <v>0</v>
      </c>
      <c r="AY3080" s="76"/>
      <c r="AZ3080" s="76">
        <f>+AY3080*70000</f>
        <v>0</v>
      </c>
      <c r="BA3080" s="76"/>
      <c r="BB3080" s="76"/>
      <c r="BC3080" s="76"/>
      <c r="BD3080" s="76">
        <f>+BC3080*30000</f>
        <v>0</v>
      </c>
      <c r="BE3080" s="76"/>
      <c r="BF3080" s="76"/>
      <c r="BG3080" s="76"/>
      <c r="BH3080" s="76"/>
      <c r="BI3080" s="76"/>
      <c r="BJ3080" s="76"/>
      <c r="BK3080" s="76"/>
      <c r="BL3080" s="76">
        <f>+BK3080*31500</f>
        <v>0</v>
      </c>
      <c r="BM3080" s="76"/>
      <c r="BN3080" s="76"/>
      <c r="BO3080" s="76"/>
      <c r="BP3080" s="76"/>
      <c r="BQ3080" s="76"/>
      <c r="BR3080" s="76"/>
      <c r="BS3080" s="76"/>
      <c r="BT3080" s="76"/>
      <c r="BU3080" s="76"/>
      <c r="BV3080" s="76"/>
      <c r="BW3080" s="76"/>
      <c r="BX3080" s="76"/>
      <c r="BY3080" s="76"/>
      <c r="BZ3080" s="76"/>
      <c r="CA3080" s="76"/>
      <c r="CB3080" s="76"/>
      <c r="CC3080" s="76"/>
      <c r="CD3080" s="76"/>
      <c r="CE3080" s="76"/>
      <c r="CF3080" s="76">
        <f>+CE3080*28000</f>
        <v>0</v>
      </c>
      <c r="CG3080" s="76"/>
      <c r="CH3080" s="76">
        <f>+CG3080*22500</f>
        <v>0</v>
      </c>
      <c r="CI3080" s="76"/>
      <c r="CJ3080" s="76">
        <f>+CI3080*26000</f>
        <v>0</v>
      </c>
      <c r="CK3080" s="76"/>
      <c r="CL3080" s="76"/>
      <c r="CM3080" s="76"/>
      <c r="CN3080" s="76">
        <f>+CM3080*22000</f>
        <v>0</v>
      </c>
      <c r="CO3080" s="76"/>
      <c r="CP3080" s="76">
        <f>+CO3080*46000</f>
        <v>0</v>
      </c>
      <c r="CQ3080" s="76"/>
      <c r="CR3080" s="76">
        <f>+CQ3080*49000</f>
        <v>0</v>
      </c>
      <c r="CS3080" s="76"/>
      <c r="CT3080" s="76"/>
      <c r="CU3080" s="56">
        <f>AN3080+AP3080+AR3080+AT3080+AV3080+AX3080+AZ3080+BB3080+BD3080+BF3080+BH3080+BJ3080+BL3080+BN3080+BP3080+BR3080+BT3080+BV3080+BX3080+BZ3080+CB3080+CD3080+CF3080+CH3080+CJ3080+CL3080+CN3080+CP3080+CR3080+CT3080</f>
        <v>0</v>
      </c>
      <c r="CV3080" s="76"/>
      <c r="CW3080" s="76">
        <f>+CV3080*1100</f>
        <v>0</v>
      </c>
      <c r="CX3080" s="76"/>
      <c r="CY3080" s="76">
        <f>+CX3080*106250</f>
        <v>0</v>
      </c>
      <c r="CZ3080" s="76"/>
      <c r="DA3080" s="76">
        <f>+CZ3080*34500</f>
        <v>0</v>
      </c>
      <c r="DB3080" s="76"/>
      <c r="DC3080" s="76">
        <f>+DB3080*25000</f>
        <v>0</v>
      </c>
      <c r="DD3080" s="219"/>
      <c r="DE3080" s="219"/>
      <c r="DF3080" s="166"/>
      <c r="DG3080" s="116"/>
      <c r="DH3080" s="117"/>
      <c r="DI3080" s="24"/>
      <c r="DJ3080" s="24"/>
      <c r="DK3080" s="24"/>
      <c r="DL3080" s="24"/>
      <c r="DM3080" s="24"/>
      <c r="DN3080" s="24"/>
      <c r="DO3080" s="24"/>
      <c r="DP3080" s="24"/>
      <c r="DQ3080" s="24"/>
      <c r="DR3080" s="24"/>
      <c r="DS3080" s="24"/>
      <c r="DT3080" s="24"/>
      <c r="DU3080" s="24"/>
    </row>
    <row r="3081" spans="1:125" s="8" customFormat="1" ht="84" x14ac:dyDescent="0.2">
      <c r="A3081" s="77">
        <v>41536</v>
      </c>
      <c r="B3081" s="352" t="s">
        <v>2848</v>
      </c>
      <c r="C3081" s="354" t="s">
        <v>2211</v>
      </c>
      <c r="D3081" s="354" t="s">
        <v>2882</v>
      </c>
      <c r="E3081" s="296" t="str">
        <f>VLOOKUP(B3081&amp;C3081,Divipola!$C$2:$F$1138,4,FALSE)</f>
        <v>73861</v>
      </c>
      <c r="F3081" s="87"/>
      <c r="G3081" s="87"/>
      <c r="H3081" s="87"/>
      <c r="I3081" s="87">
        <v>5</v>
      </c>
      <c r="J3081" s="87">
        <v>1</v>
      </c>
      <c r="K3081" s="87"/>
      <c r="L3081" s="87">
        <v>1</v>
      </c>
      <c r="M3081" s="87"/>
      <c r="N3081" s="87"/>
      <c r="O3081" s="87"/>
      <c r="P3081" s="87"/>
      <c r="Q3081" s="87"/>
      <c r="R3081" s="87"/>
      <c r="S3081" s="87"/>
      <c r="T3081" s="87"/>
      <c r="U3081" s="88"/>
      <c r="V3081" s="89"/>
      <c r="W3081" s="96">
        <v>0</v>
      </c>
      <c r="X3081" s="71">
        <f>CU3081</f>
        <v>0</v>
      </c>
      <c r="Y3081" s="71">
        <f>CY3081</f>
        <v>0</v>
      </c>
      <c r="Z3081" s="71">
        <f>DA3081+DC3081+DE3081</f>
        <v>0</v>
      </c>
      <c r="AA3081" s="71">
        <f>CW3081</f>
        <v>0</v>
      </c>
      <c r="AB3081" s="71"/>
      <c r="AC3081" s="71">
        <v>0</v>
      </c>
      <c r="AD3081" s="71">
        <f>W3081+X3081+Y3081+Z3081+AA3081+AB3081+AC3081</f>
        <v>0</v>
      </c>
      <c r="AE3081" s="72">
        <v>0</v>
      </c>
      <c r="AF3081" s="5"/>
      <c r="AG3081" s="6"/>
      <c r="AH3081" s="27"/>
      <c r="AI3081" s="44"/>
      <c r="AJ3081" s="26"/>
      <c r="AK3081" s="5"/>
      <c r="AL3081" s="82" t="s">
        <v>5968</v>
      </c>
      <c r="AM3081" s="76"/>
      <c r="AN3081" s="76"/>
      <c r="AO3081" s="76"/>
      <c r="AP3081" s="76"/>
      <c r="AQ3081" s="76"/>
      <c r="AR3081" s="76"/>
      <c r="AS3081" s="76"/>
      <c r="AT3081" s="76"/>
      <c r="AU3081" s="76"/>
      <c r="AV3081" s="76"/>
      <c r="AW3081" s="76"/>
      <c r="AX3081" s="76">
        <f>+AW3081*600000</f>
        <v>0</v>
      </c>
      <c r="AY3081" s="76"/>
      <c r="AZ3081" s="76">
        <f>+AY3081*70000</f>
        <v>0</v>
      </c>
      <c r="BA3081" s="76"/>
      <c r="BB3081" s="76"/>
      <c r="BC3081" s="76"/>
      <c r="BD3081" s="76">
        <f>+BC3081*30000</f>
        <v>0</v>
      </c>
      <c r="BE3081" s="76"/>
      <c r="BF3081" s="76"/>
      <c r="BG3081" s="76"/>
      <c r="BH3081" s="76"/>
      <c r="BI3081" s="76"/>
      <c r="BJ3081" s="76"/>
      <c r="BK3081" s="76"/>
      <c r="BL3081" s="76">
        <f>+BK3081*31500</f>
        <v>0</v>
      </c>
      <c r="BM3081" s="76"/>
      <c r="BN3081" s="76"/>
      <c r="BO3081" s="76"/>
      <c r="BP3081" s="76"/>
      <c r="BQ3081" s="76"/>
      <c r="BR3081" s="76"/>
      <c r="BS3081" s="76"/>
      <c r="BT3081" s="76"/>
      <c r="BU3081" s="76"/>
      <c r="BV3081" s="76"/>
      <c r="BW3081" s="76"/>
      <c r="BX3081" s="76"/>
      <c r="BY3081" s="76"/>
      <c r="BZ3081" s="76"/>
      <c r="CA3081" s="76"/>
      <c r="CB3081" s="76"/>
      <c r="CC3081" s="76"/>
      <c r="CD3081" s="76"/>
      <c r="CE3081" s="76"/>
      <c r="CF3081" s="76">
        <f>+CE3081*28000</f>
        <v>0</v>
      </c>
      <c r="CG3081" s="76"/>
      <c r="CH3081" s="76">
        <f>+CG3081*22500</f>
        <v>0</v>
      </c>
      <c r="CI3081" s="76"/>
      <c r="CJ3081" s="76">
        <f>+CI3081*26000</f>
        <v>0</v>
      </c>
      <c r="CK3081" s="76"/>
      <c r="CL3081" s="76"/>
      <c r="CM3081" s="76"/>
      <c r="CN3081" s="76">
        <f>+CM3081*22000</f>
        <v>0</v>
      </c>
      <c r="CO3081" s="76"/>
      <c r="CP3081" s="76">
        <f>+CO3081*46000</f>
        <v>0</v>
      </c>
      <c r="CQ3081" s="76"/>
      <c r="CR3081" s="76">
        <f>+CQ3081*49000</f>
        <v>0</v>
      </c>
      <c r="CS3081" s="76"/>
      <c r="CT3081" s="76"/>
      <c r="CU3081" s="56">
        <f>AN3081+AP3081+AR3081+AT3081+AV3081+AX3081+AZ3081+BB3081+BD3081+BF3081+BH3081+BJ3081+BL3081+BN3081+BP3081+BR3081+BT3081+BV3081+BX3081+BZ3081+CB3081+CD3081+CF3081+CH3081+CJ3081+CL3081+CN3081+CP3081+CR3081+CT3081</f>
        <v>0</v>
      </c>
      <c r="CV3081" s="76"/>
      <c r="CW3081" s="76">
        <f>+CV3081*1100</f>
        <v>0</v>
      </c>
      <c r="CX3081" s="76"/>
      <c r="CY3081" s="76">
        <f>+CX3081*106250</f>
        <v>0</v>
      </c>
      <c r="CZ3081" s="76"/>
      <c r="DA3081" s="76">
        <f>+CZ3081*34500</f>
        <v>0</v>
      </c>
      <c r="DB3081" s="76"/>
      <c r="DC3081" s="76">
        <f>+DB3081*25000</f>
        <v>0</v>
      </c>
      <c r="DD3081" s="219"/>
      <c r="DE3081" s="219"/>
      <c r="DF3081" s="166"/>
      <c r="DG3081" s="116"/>
      <c r="DH3081" s="117"/>
      <c r="DI3081" s="24"/>
      <c r="DJ3081" s="24"/>
      <c r="DK3081" s="24"/>
      <c r="DL3081" s="24"/>
      <c r="DM3081" s="24"/>
      <c r="DN3081" s="24"/>
      <c r="DO3081" s="24"/>
      <c r="DP3081" s="24"/>
      <c r="DQ3081" s="24"/>
      <c r="DR3081" s="24"/>
      <c r="DS3081" s="24"/>
      <c r="DT3081" s="24"/>
      <c r="DU3081" s="24"/>
    </row>
    <row r="3082" spans="1:125" s="8" customFormat="1" ht="60" x14ac:dyDescent="0.2">
      <c r="A3082" s="77">
        <v>41536</v>
      </c>
      <c r="B3082" s="352" t="s">
        <v>2848</v>
      </c>
      <c r="C3082" s="354" t="s">
        <v>1258</v>
      </c>
      <c r="D3082" s="354" t="s">
        <v>2882</v>
      </c>
      <c r="E3082" s="296" t="str">
        <f>VLOOKUP(B3082&amp;C3082,Divipola!$C$2:$F$1138,4,FALSE)</f>
        <v>73870</v>
      </c>
      <c r="F3082" s="87"/>
      <c r="G3082" s="87"/>
      <c r="H3082" s="87"/>
      <c r="I3082" s="87">
        <v>125</v>
      </c>
      <c r="J3082" s="87">
        <v>25</v>
      </c>
      <c r="K3082" s="87">
        <v>1</v>
      </c>
      <c r="L3082" s="87">
        <v>24</v>
      </c>
      <c r="M3082" s="87">
        <v>1</v>
      </c>
      <c r="N3082" s="87"/>
      <c r="O3082" s="87"/>
      <c r="P3082" s="87"/>
      <c r="Q3082" s="87"/>
      <c r="R3082" s="87"/>
      <c r="S3082" s="87">
        <v>1</v>
      </c>
      <c r="T3082" s="87"/>
      <c r="U3082" s="88"/>
      <c r="V3082" s="89"/>
      <c r="W3082" s="96">
        <v>0</v>
      </c>
      <c r="X3082" s="71">
        <f>CU3082</f>
        <v>0</v>
      </c>
      <c r="Y3082" s="71">
        <f>CY3082</f>
        <v>0</v>
      </c>
      <c r="Z3082" s="71">
        <f>DA3082+DC3082+DE3082</f>
        <v>0</v>
      </c>
      <c r="AA3082" s="71">
        <f>CW3082</f>
        <v>0</v>
      </c>
      <c r="AB3082" s="71"/>
      <c r="AC3082" s="71">
        <v>0</v>
      </c>
      <c r="AD3082" s="71">
        <f>W3082+X3082+Y3082+Z3082+AA3082+AB3082+AC3082</f>
        <v>0</v>
      </c>
      <c r="AE3082" s="72">
        <v>0</v>
      </c>
      <c r="AF3082" s="5"/>
      <c r="AG3082" s="6"/>
      <c r="AH3082" s="27"/>
      <c r="AI3082" s="44"/>
      <c r="AJ3082" s="26"/>
      <c r="AK3082" s="5"/>
      <c r="AL3082" s="82" t="s">
        <v>5970</v>
      </c>
      <c r="AM3082" s="76"/>
      <c r="AN3082" s="76"/>
      <c r="AO3082" s="76"/>
      <c r="AP3082" s="76"/>
      <c r="AQ3082" s="76"/>
      <c r="AR3082" s="76"/>
      <c r="AS3082" s="76"/>
      <c r="AT3082" s="76"/>
      <c r="AU3082" s="76"/>
      <c r="AV3082" s="76"/>
      <c r="AW3082" s="76"/>
      <c r="AX3082" s="76">
        <f>+AW3082*600000</f>
        <v>0</v>
      </c>
      <c r="AY3082" s="76"/>
      <c r="AZ3082" s="76">
        <f>+AY3082*70000</f>
        <v>0</v>
      </c>
      <c r="BA3082" s="76"/>
      <c r="BB3082" s="76"/>
      <c r="BC3082" s="76"/>
      <c r="BD3082" s="76">
        <f>+BC3082*30000</f>
        <v>0</v>
      </c>
      <c r="BE3082" s="76"/>
      <c r="BF3082" s="76"/>
      <c r="BG3082" s="76"/>
      <c r="BH3082" s="76"/>
      <c r="BI3082" s="76"/>
      <c r="BJ3082" s="76"/>
      <c r="BK3082" s="76"/>
      <c r="BL3082" s="76">
        <f>+BK3082*31500</f>
        <v>0</v>
      </c>
      <c r="BM3082" s="76"/>
      <c r="BN3082" s="76"/>
      <c r="BO3082" s="76"/>
      <c r="BP3082" s="76"/>
      <c r="BQ3082" s="76"/>
      <c r="BR3082" s="76"/>
      <c r="BS3082" s="76"/>
      <c r="BT3082" s="76"/>
      <c r="BU3082" s="76"/>
      <c r="BV3082" s="76"/>
      <c r="BW3082" s="76"/>
      <c r="BX3082" s="76"/>
      <c r="BY3082" s="76"/>
      <c r="BZ3082" s="76"/>
      <c r="CA3082" s="76"/>
      <c r="CB3082" s="76"/>
      <c r="CC3082" s="76"/>
      <c r="CD3082" s="76"/>
      <c r="CE3082" s="76"/>
      <c r="CF3082" s="76">
        <f>+CE3082*28000</f>
        <v>0</v>
      </c>
      <c r="CG3082" s="76"/>
      <c r="CH3082" s="76">
        <f>+CG3082*22500</f>
        <v>0</v>
      </c>
      <c r="CI3082" s="76"/>
      <c r="CJ3082" s="76">
        <f>+CI3082*26000</f>
        <v>0</v>
      </c>
      <c r="CK3082" s="76"/>
      <c r="CL3082" s="76"/>
      <c r="CM3082" s="76"/>
      <c r="CN3082" s="76">
        <f>+CM3082*22000</f>
        <v>0</v>
      </c>
      <c r="CO3082" s="76"/>
      <c r="CP3082" s="76">
        <f>+CO3082*46000</f>
        <v>0</v>
      </c>
      <c r="CQ3082" s="76"/>
      <c r="CR3082" s="76">
        <f>+CQ3082*49000</f>
        <v>0</v>
      </c>
      <c r="CS3082" s="76"/>
      <c r="CT3082" s="76"/>
      <c r="CU3082" s="56">
        <f>AN3082+AP3082+AR3082+AT3082+AV3082+AX3082+AZ3082+BB3082+BD3082+BF3082+BH3082+BJ3082+BL3082+BN3082+BP3082+BR3082+BT3082+BV3082+BX3082+BZ3082+CB3082+CD3082+CF3082+CH3082+CJ3082+CL3082+CN3082+CP3082+CR3082+CT3082</f>
        <v>0</v>
      </c>
      <c r="CV3082" s="76"/>
      <c r="CW3082" s="76">
        <f>+CV3082*1100</f>
        <v>0</v>
      </c>
      <c r="CX3082" s="76"/>
      <c r="CY3082" s="76">
        <f>+CX3082*106250</f>
        <v>0</v>
      </c>
      <c r="CZ3082" s="76"/>
      <c r="DA3082" s="76">
        <f>+CZ3082*34500</f>
        <v>0</v>
      </c>
      <c r="DB3082" s="76"/>
      <c r="DC3082" s="76">
        <f>+DB3082*25000</f>
        <v>0</v>
      </c>
      <c r="DD3082" s="219"/>
      <c r="DE3082" s="219"/>
      <c r="DF3082" s="166"/>
      <c r="DG3082" s="116"/>
      <c r="DH3082" s="117"/>
      <c r="DI3082" s="24"/>
      <c r="DJ3082" s="24"/>
      <c r="DK3082" s="24"/>
      <c r="DL3082" s="24"/>
      <c r="DM3082" s="24"/>
      <c r="DN3082" s="24"/>
      <c r="DO3082" s="24"/>
      <c r="DP3082" s="24"/>
      <c r="DQ3082" s="24"/>
      <c r="DR3082" s="24"/>
      <c r="DS3082" s="24"/>
      <c r="DT3082" s="24"/>
      <c r="DU3082" s="24"/>
    </row>
    <row r="3083" spans="1:125" s="8" customFormat="1" ht="48" x14ac:dyDescent="0.2">
      <c r="A3083" s="77">
        <v>41537</v>
      </c>
      <c r="B3083" s="78" t="s">
        <v>2881</v>
      </c>
      <c r="C3083" s="75" t="s">
        <v>2767</v>
      </c>
      <c r="D3083" s="75" t="s">
        <v>3051</v>
      </c>
      <c r="E3083" s="296" t="str">
        <f>VLOOKUP(B3083&amp;C3083,Divipola!$C$2:$F$1138,4,FALSE)</f>
        <v>08001</v>
      </c>
      <c r="F3083" s="87"/>
      <c r="G3083" s="87"/>
      <c r="H3083" s="87"/>
      <c r="I3083" s="87">
        <v>300</v>
      </c>
      <c r="J3083" s="87">
        <v>60</v>
      </c>
      <c r="K3083" s="87"/>
      <c r="L3083" s="87">
        <v>60</v>
      </c>
      <c r="M3083" s="87"/>
      <c r="N3083" s="87"/>
      <c r="O3083" s="87"/>
      <c r="P3083" s="87"/>
      <c r="Q3083" s="87"/>
      <c r="R3083" s="87"/>
      <c r="S3083" s="87"/>
      <c r="T3083" s="87"/>
      <c r="U3083" s="88"/>
      <c r="V3083" s="89"/>
      <c r="W3083" s="96">
        <v>0</v>
      </c>
      <c r="X3083" s="71">
        <f>CU3083</f>
        <v>0</v>
      </c>
      <c r="Y3083" s="71">
        <f>CY3083</f>
        <v>0</v>
      </c>
      <c r="Z3083" s="71">
        <f>DA3083+DC3083+DE3083</f>
        <v>0</v>
      </c>
      <c r="AA3083" s="71">
        <f>CW3083</f>
        <v>0</v>
      </c>
      <c r="AB3083" s="71"/>
      <c r="AC3083" s="71">
        <v>0</v>
      </c>
      <c r="AD3083" s="71">
        <f>W3083+X3083+Y3083+Z3083+AA3083+AB3083+AC3083</f>
        <v>0</v>
      </c>
      <c r="AE3083" s="72">
        <v>0</v>
      </c>
      <c r="AF3083" s="5"/>
      <c r="AG3083" s="6"/>
      <c r="AH3083" s="27"/>
      <c r="AI3083" s="44"/>
      <c r="AJ3083" s="26"/>
      <c r="AK3083" s="5"/>
      <c r="AL3083" s="268" t="s">
        <v>5991</v>
      </c>
      <c r="AM3083" s="76"/>
      <c r="AN3083" s="76"/>
      <c r="AO3083" s="76"/>
      <c r="AP3083" s="76"/>
      <c r="AQ3083" s="76"/>
      <c r="AR3083" s="76"/>
      <c r="AS3083" s="76"/>
      <c r="AT3083" s="76"/>
      <c r="AU3083" s="76"/>
      <c r="AV3083" s="76"/>
      <c r="AW3083" s="76"/>
      <c r="AX3083" s="76">
        <f>+AW3083*600000</f>
        <v>0</v>
      </c>
      <c r="AY3083" s="76"/>
      <c r="AZ3083" s="76">
        <f>+AY3083*70000</f>
        <v>0</v>
      </c>
      <c r="BA3083" s="76"/>
      <c r="BB3083" s="76"/>
      <c r="BC3083" s="76"/>
      <c r="BD3083" s="76">
        <f>+BC3083*30000</f>
        <v>0</v>
      </c>
      <c r="BE3083" s="76"/>
      <c r="BF3083" s="76"/>
      <c r="BG3083" s="76"/>
      <c r="BH3083" s="76"/>
      <c r="BI3083" s="76"/>
      <c r="BJ3083" s="76"/>
      <c r="BK3083" s="76"/>
      <c r="BL3083" s="76">
        <f>+BK3083*31500</f>
        <v>0</v>
      </c>
      <c r="BM3083" s="76"/>
      <c r="BN3083" s="76"/>
      <c r="BO3083" s="76"/>
      <c r="BP3083" s="76"/>
      <c r="BQ3083" s="76"/>
      <c r="BR3083" s="76"/>
      <c r="BS3083" s="76"/>
      <c r="BT3083" s="76"/>
      <c r="BU3083" s="76"/>
      <c r="BV3083" s="76"/>
      <c r="BW3083" s="76"/>
      <c r="BX3083" s="76"/>
      <c r="BY3083" s="76"/>
      <c r="BZ3083" s="76"/>
      <c r="CA3083" s="76"/>
      <c r="CB3083" s="76"/>
      <c r="CC3083" s="76"/>
      <c r="CD3083" s="76"/>
      <c r="CE3083" s="76"/>
      <c r="CF3083" s="76">
        <f>+CE3083*28000</f>
        <v>0</v>
      </c>
      <c r="CG3083" s="76"/>
      <c r="CH3083" s="76">
        <f>+CG3083*22500</f>
        <v>0</v>
      </c>
      <c r="CI3083" s="76"/>
      <c r="CJ3083" s="76">
        <f>+CI3083*26000</f>
        <v>0</v>
      </c>
      <c r="CK3083" s="76"/>
      <c r="CL3083" s="76"/>
      <c r="CM3083" s="76"/>
      <c r="CN3083" s="76">
        <f>+CM3083*22000</f>
        <v>0</v>
      </c>
      <c r="CO3083" s="76"/>
      <c r="CP3083" s="76">
        <f>+CO3083*46000</f>
        <v>0</v>
      </c>
      <c r="CQ3083" s="76"/>
      <c r="CR3083" s="76">
        <f>+CQ3083*49000</f>
        <v>0</v>
      </c>
      <c r="CS3083" s="76"/>
      <c r="CT3083" s="76"/>
      <c r="CU3083" s="56">
        <f>AN3083+AP3083+AR3083+AT3083+AV3083+AX3083+AZ3083+BB3083+BD3083+BF3083+BH3083+BJ3083+BL3083+BN3083+BP3083+BR3083+BT3083+BV3083+BX3083+BZ3083+CB3083+CD3083+CF3083+CH3083+CJ3083+CL3083+CN3083+CP3083+CR3083+CT3083</f>
        <v>0</v>
      </c>
      <c r="CV3083" s="76"/>
      <c r="CW3083" s="76">
        <f>+CV3083*1100</f>
        <v>0</v>
      </c>
      <c r="CX3083" s="76"/>
      <c r="CY3083" s="76">
        <f>+CX3083*106250</f>
        <v>0</v>
      </c>
      <c r="CZ3083" s="76"/>
      <c r="DA3083" s="76">
        <f>+CZ3083*34500</f>
        <v>0</v>
      </c>
      <c r="DB3083" s="76"/>
      <c r="DC3083" s="76">
        <f>+DB3083*25000</f>
        <v>0</v>
      </c>
      <c r="DD3083" s="219"/>
      <c r="DE3083" s="219"/>
      <c r="DF3083" s="166"/>
      <c r="DG3083" s="116"/>
      <c r="DH3083" s="117"/>
      <c r="DI3083" s="24"/>
      <c r="DJ3083" s="24"/>
      <c r="DK3083" s="24"/>
      <c r="DL3083" s="24"/>
      <c r="DM3083" s="24"/>
      <c r="DN3083" s="24"/>
      <c r="DO3083" s="24"/>
      <c r="DP3083" s="24"/>
      <c r="DQ3083" s="24"/>
      <c r="DR3083" s="24"/>
      <c r="DS3083" s="24"/>
      <c r="DT3083" s="24"/>
      <c r="DU3083" s="24"/>
    </row>
    <row r="3084" spans="1:125" s="8" customFormat="1" ht="48" x14ac:dyDescent="0.2">
      <c r="A3084" s="77">
        <v>41537</v>
      </c>
      <c r="B3084" s="352" t="s">
        <v>2855</v>
      </c>
      <c r="C3084" s="354" t="s">
        <v>2168</v>
      </c>
      <c r="D3084" s="354" t="s">
        <v>3051</v>
      </c>
      <c r="E3084" s="296" t="str">
        <f>VLOOKUP(B3084&amp;C3084,Divipola!$C$2:$F$1138,4,FALSE)</f>
        <v>20001</v>
      </c>
      <c r="F3084" s="87"/>
      <c r="G3084" s="87"/>
      <c r="H3084" s="87"/>
      <c r="I3084" s="87">
        <v>105</v>
      </c>
      <c r="J3084" s="87">
        <v>21</v>
      </c>
      <c r="K3084" s="87"/>
      <c r="L3084" s="87">
        <v>4</v>
      </c>
      <c r="M3084" s="87"/>
      <c r="N3084" s="87"/>
      <c r="O3084" s="87"/>
      <c r="P3084" s="87"/>
      <c r="Q3084" s="87"/>
      <c r="R3084" s="87"/>
      <c r="S3084" s="87"/>
      <c r="T3084" s="87"/>
      <c r="U3084" s="88"/>
      <c r="V3084" s="89"/>
      <c r="W3084" s="96">
        <v>0</v>
      </c>
      <c r="X3084" s="71">
        <f>CU3084</f>
        <v>0</v>
      </c>
      <c r="Y3084" s="71">
        <f>CY3084</f>
        <v>0</v>
      </c>
      <c r="Z3084" s="71">
        <f>DA3084+DC3084+DE3084</f>
        <v>0</v>
      </c>
      <c r="AA3084" s="71">
        <f>CW3084</f>
        <v>0</v>
      </c>
      <c r="AB3084" s="71"/>
      <c r="AC3084" s="71">
        <v>0</v>
      </c>
      <c r="AD3084" s="71">
        <f>W3084+X3084+Y3084+Z3084+AA3084+AB3084+AC3084</f>
        <v>0</v>
      </c>
      <c r="AE3084" s="72">
        <v>0</v>
      </c>
      <c r="AF3084" s="5"/>
      <c r="AG3084" s="6"/>
      <c r="AH3084" s="27"/>
      <c r="AI3084" s="44"/>
      <c r="AJ3084" s="26"/>
      <c r="AK3084" s="5"/>
      <c r="AL3084" s="82" t="s">
        <v>5992</v>
      </c>
      <c r="AM3084" s="76"/>
      <c r="AN3084" s="76"/>
      <c r="AO3084" s="76"/>
      <c r="AP3084" s="76"/>
      <c r="AQ3084" s="76"/>
      <c r="AR3084" s="76"/>
      <c r="AS3084" s="76"/>
      <c r="AT3084" s="76"/>
      <c r="AU3084" s="76"/>
      <c r="AV3084" s="76"/>
      <c r="AW3084" s="76"/>
      <c r="AX3084" s="76">
        <f>+AW3084*600000</f>
        <v>0</v>
      </c>
      <c r="AY3084" s="76"/>
      <c r="AZ3084" s="76">
        <f>+AY3084*70000</f>
        <v>0</v>
      </c>
      <c r="BA3084" s="76"/>
      <c r="BB3084" s="76"/>
      <c r="BC3084" s="76"/>
      <c r="BD3084" s="76">
        <f>+BC3084*30000</f>
        <v>0</v>
      </c>
      <c r="BE3084" s="76"/>
      <c r="BF3084" s="76"/>
      <c r="BG3084" s="76"/>
      <c r="BH3084" s="76"/>
      <c r="BI3084" s="76"/>
      <c r="BJ3084" s="76"/>
      <c r="BK3084" s="76"/>
      <c r="BL3084" s="76">
        <f>+BK3084*31500</f>
        <v>0</v>
      </c>
      <c r="BM3084" s="76"/>
      <c r="BN3084" s="76"/>
      <c r="BO3084" s="76"/>
      <c r="BP3084" s="76"/>
      <c r="BQ3084" s="76"/>
      <c r="BR3084" s="76"/>
      <c r="BS3084" s="76"/>
      <c r="BT3084" s="76"/>
      <c r="BU3084" s="76"/>
      <c r="BV3084" s="76"/>
      <c r="BW3084" s="76"/>
      <c r="BX3084" s="76"/>
      <c r="BY3084" s="76"/>
      <c r="BZ3084" s="76"/>
      <c r="CA3084" s="76"/>
      <c r="CB3084" s="76"/>
      <c r="CC3084" s="76"/>
      <c r="CD3084" s="76"/>
      <c r="CE3084" s="76"/>
      <c r="CF3084" s="76">
        <f>+CE3084*28000</f>
        <v>0</v>
      </c>
      <c r="CG3084" s="76"/>
      <c r="CH3084" s="76">
        <f>+CG3084*22500</f>
        <v>0</v>
      </c>
      <c r="CI3084" s="76"/>
      <c r="CJ3084" s="76">
        <f>+CI3084*26000</f>
        <v>0</v>
      </c>
      <c r="CK3084" s="76"/>
      <c r="CL3084" s="76"/>
      <c r="CM3084" s="76"/>
      <c r="CN3084" s="76">
        <f>+CM3084*22000</f>
        <v>0</v>
      </c>
      <c r="CO3084" s="76"/>
      <c r="CP3084" s="76">
        <f>+CO3084*46000</f>
        <v>0</v>
      </c>
      <c r="CQ3084" s="76"/>
      <c r="CR3084" s="76">
        <f>+CQ3084*49000</f>
        <v>0</v>
      </c>
      <c r="CS3084" s="76"/>
      <c r="CT3084" s="76"/>
      <c r="CU3084" s="56">
        <f>AN3084+AP3084+AR3084+AT3084+AV3084+AX3084+AZ3084+BB3084+BD3084+BF3084+BH3084+BJ3084+BL3084+BN3084+BP3084+BR3084+BT3084+BV3084+BX3084+BZ3084+CB3084+CD3084+CF3084+CH3084+CJ3084+CL3084+CN3084+CP3084+CR3084+CT3084</f>
        <v>0</v>
      </c>
      <c r="CV3084" s="76"/>
      <c r="CW3084" s="76">
        <f>+CV3084*1100</f>
        <v>0</v>
      </c>
      <c r="CX3084" s="76"/>
      <c r="CY3084" s="76">
        <f>+CX3084*106250</f>
        <v>0</v>
      </c>
      <c r="CZ3084" s="76"/>
      <c r="DA3084" s="76">
        <f>+CZ3084*34500</f>
        <v>0</v>
      </c>
      <c r="DB3084" s="76"/>
      <c r="DC3084" s="76">
        <f>+DB3084*25000</f>
        <v>0</v>
      </c>
      <c r="DD3084" s="219"/>
      <c r="DE3084" s="219"/>
      <c r="DF3084" s="166"/>
      <c r="DG3084" s="116"/>
      <c r="DH3084" s="117"/>
      <c r="DI3084" s="24"/>
      <c r="DJ3084" s="24"/>
      <c r="DK3084" s="24"/>
      <c r="DL3084" s="24"/>
      <c r="DM3084" s="24"/>
      <c r="DN3084" s="24"/>
      <c r="DO3084" s="24"/>
      <c r="DP3084" s="24"/>
      <c r="DQ3084" s="24"/>
      <c r="DR3084" s="24"/>
      <c r="DS3084" s="24"/>
      <c r="DT3084" s="24"/>
      <c r="DU3084" s="24"/>
    </row>
    <row r="3085" spans="1:125" s="8" customFormat="1" ht="72" x14ac:dyDescent="0.2">
      <c r="A3085" s="77">
        <v>41537</v>
      </c>
      <c r="B3085" s="78" t="s">
        <v>2718</v>
      </c>
      <c r="C3085" s="75" t="s">
        <v>993</v>
      </c>
      <c r="D3085" s="75" t="s">
        <v>3051</v>
      </c>
      <c r="E3085" s="296" t="str">
        <f>VLOOKUP(B3085&amp;C3085,Divipola!$C$2:$F$1138,4,FALSE)</f>
        <v>23675</v>
      </c>
      <c r="F3085" s="87"/>
      <c r="G3085" s="87"/>
      <c r="H3085" s="87"/>
      <c r="I3085" s="87">
        <v>545</v>
      </c>
      <c r="J3085" s="87">
        <v>109</v>
      </c>
      <c r="K3085" s="87"/>
      <c r="L3085" s="87">
        <v>109</v>
      </c>
      <c r="M3085" s="87"/>
      <c r="N3085" s="87"/>
      <c r="O3085" s="87"/>
      <c r="P3085" s="87"/>
      <c r="Q3085" s="87"/>
      <c r="R3085" s="87"/>
      <c r="S3085" s="87"/>
      <c r="T3085" s="87"/>
      <c r="U3085" s="88"/>
      <c r="V3085" s="89"/>
      <c r="W3085" s="96">
        <v>0</v>
      </c>
      <c r="X3085" s="71">
        <f>CU3085</f>
        <v>0</v>
      </c>
      <c r="Y3085" s="71">
        <f>CY3085</f>
        <v>0</v>
      </c>
      <c r="Z3085" s="71">
        <f>DA3085+DC3085+DE3085</f>
        <v>0</v>
      </c>
      <c r="AA3085" s="71">
        <f>CW3085</f>
        <v>0</v>
      </c>
      <c r="AB3085" s="71"/>
      <c r="AC3085" s="71">
        <v>0</v>
      </c>
      <c r="AD3085" s="71">
        <f>W3085+X3085+Y3085+Z3085+AA3085+AB3085+AC3085</f>
        <v>0</v>
      </c>
      <c r="AE3085" s="72">
        <v>0</v>
      </c>
      <c r="AF3085" s="5"/>
      <c r="AG3085" s="6"/>
      <c r="AH3085" s="27"/>
      <c r="AI3085" s="44"/>
      <c r="AJ3085" s="26"/>
      <c r="AK3085" s="5"/>
      <c r="AL3085" s="82" t="s">
        <v>5994</v>
      </c>
      <c r="AM3085" s="76"/>
      <c r="AN3085" s="76"/>
      <c r="AO3085" s="76"/>
      <c r="AP3085" s="76"/>
      <c r="AQ3085" s="76"/>
      <c r="AR3085" s="76"/>
      <c r="AS3085" s="76"/>
      <c r="AT3085" s="76"/>
      <c r="AU3085" s="76"/>
      <c r="AV3085" s="76"/>
      <c r="AW3085" s="76"/>
      <c r="AX3085" s="76">
        <f>+AW3085*600000</f>
        <v>0</v>
      </c>
      <c r="AY3085" s="76"/>
      <c r="AZ3085" s="76">
        <f>+AY3085*70000</f>
        <v>0</v>
      </c>
      <c r="BA3085" s="76"/>
      <c r="BB3085" s="76"/>
      <c r="BC3085" s="76"/>
      <c r="BD3085" s="76">
        <f>+BC3085*30000</f>
        <v>0</v>
      </c>
      <c r="BE3085" s="76"/>
      <c r="BF3085" s="76"/>
      <c r="BG3085" s="76"/>
      <c r="BH3085" s="76"/>
      <c r="BI3085" s="76"/>
      <c r="BJ3085" s="76"/>
      <c r="BK3085" s="76"/>
      <c r="BL3085" s="76">
        <f>+BK3085*31500</f>
        <v>0</v>
      </c>
      <c r="BM3085" s="76"/>
      <c r="BN3085" s="76"/>
      <c r="BO3085" s="76"/>
      <c r="BP3085" s="76"/>
      <c r="BQ3085" s="76"/>
      <c r="BR3085" s="76"/>
      <c r="BS3085" s="76"/>
      <c r="BT3085" s="76"/>
      <c r="BU3085" s="76"/>
      <c r="BV3085" s="76"/>
      <c r="BW3085" s="76"/>
      <c r="BX3085" s="76"/>
      <c r="BY3085" s="76"/>
      <c r="BZ3085" s="76"/>
      <c r="CA3085" s="76"/>
      <c r="CB3085" s="76"/>
      <c r="CC3085" s="76"/>
      <c r="CD3085" s="76"/>
      <c r="CE3085" s="76"/>
      <c r="CF3085" s="76">
        <f>+CE3085*28000</f>
        <v>0</v>
      </c>
      <c r="CG3085" s="76"/>
      <c r="CH3085" s="76">
        <f>+CG3085*22500</f>
        <v>0</v>
      </c>
      <c r="CI3085" s="76"/>
      <c r="CJ3085" s="76">
        <f>+CI3085*26000</f>
        <v>0</v>
      </c>
      <c r="CK3085" s="76"/>
      <c r="CL3085" s="76"/>
      <c r="CM3085" s="76"/>
      <c r="CN3085" s="76">
        <f>+CM3085*22000</f>
        <v>0</v>
      </c>
      <c r="CO3085" s="76"/>
      <c r="CP3085" s="76">
        <f>+CO3085*46000</f>
        <v>0</v>
      </c>
      <c r="CQ3085" s="76"/>
      <c r="CR3085" s="76">
        <f>+CQ3085*49000</f>
        <v>0</v>
      </c>
      <c r="CS3085" s="76"/>
      <c r="CT3085" s="76"/>
      <c r="CU3085" s="56">
        <f>AN3085+AP3085+AR3085+AT3085+AV3085+AX3085+AZ3085+BB3085+BD3085+BF3085+BH3085+BJ3085+BL3085+BN3085+BP3085+BR3085+BT3085+BV3085+BX3085+BZ3085+CB3085+CD3085+CF3085+CH3085+CJ3085+CL3085+CN3085+CP3085+CR3085+CT3085</f>
        <v>0</v>
      </c>
      <c r="CV3085" s="76"/>
      <c r="CW3085" s="76">
        <f>+CV3085*1100</f>
        <v>0</v>
      </c>
      <c r="CX3085" s="76"/>
      <c r="CY3085" s="76">
        <f>+CX3085*106250</f>
        <v>0</v>
      </c>
      <c r="CZ3085" s="76"/>
      <c r="DA3085" s="76">
        <f>+CZ3085*34500</f>
        <v>0</v>
      </c>
      <c r="DB3085" s="76"/>
      <c r="DC3085" s="76">
        <f>+DB3085*25000</f>
        <v>0</v>
      </c>
      <c r="DD3085" s="219"/>
      <c r="DE3085" s="219"/>
      <c r="DF3085" s="166"/>
      <c r="DG3085" s="116"/>
      <c r="DH3085" s="117"/>
      <c r="DI3085" s="24"/>
      <c r="DJ3085" s="24"/>
      <c r="DK3085" s="24"/>
      <c r="DL3085" s="24"/>
      <c r="DM3085" s="24"/>
      <c r="DN3085" s="24"/>
      <c r="DO3085" s="24"/>
      <c r="DP3085" s="24"/>
      <c r="DQ3085" s="24"/>
      <c r="DR3085" s="24"/>
      <c r="DS3085" s="24"/>
      <c r="DT3085" s="24"/>
      <c r="DU3085" s="24"/>
    </row>
    <row r="3086" spans="1:125" s="8" customFormat="1" ht="72" x14ac:dyDescent="0.2">
      <c r="A3086" s="77">
        <v>41537</v>
      </c>
      <c r="B3086" s="352" t="s">
        <v>2772</v>
      </c>
      <c r="C3086" s="354" t="s">
        <v>2690</v>
      </c>
      <c r="D3086" s="354" t="s">
        <v>2846</v>
      </c>
      <c r="E3086" s="296" t="str">
        <f>VLOOKUP(B3086&amp;C3086,Divipola!$C$2:$F$1138,4,FALSE)</f>
        <v>25513</v>
      </c>
      <c r="F3086" s="87"/>
      <c r="G3086" s="87"/>
      <c r="H3086" s="87"/>
      <c r="I3086" s="87"/>
      <c r="J3086" s="87"/>
      <c r="K3086" s="87"/>
      <c r="L3086" s="87"/>
      <c r="M3086" s="87"/>
      <c r="N3086" s="87"/>
      <c r="O3086" s="87"/>
      <c r="P3086" s="87"/>
      <c r="Q3086" s="87"/>
      <c r="R3086" s="87"/>
      <c r="S3086" s="87"/>
      <c r="T3086" s="87"/>
      <c r="U3086" s="88">
        <v>0.5</v>
      </c>
      <c r="V3086" s="89"/>
      <c r="W3086" s="96">
        <v>0</v>
      </c>
      <c r="X3086" s="71">
        <f>CU3086</f>
        <v>0</v>
      </c>
      <c r="Y3086" s="71">
        <f>CY3086</f>
        <v>0</v>
      </c>
      <c r="Z3086" s="71">
        <f>DA3086+DC3086+DE3086</f>
        <v>0</v>
      </c>
      <c r="AA3086" s="71">
        <f>CW3086</f>
        <v>0</v>
      </c>
      <c r="AB3086" s="71"/>
      <c r="AC3086" s="71">
        <v>0</v>
      </c>
      <c r="AD3086" s="71">
        <f>W3086+X3086+Y3086+Z3086+AA3086+AB3086+AC3086</f>
        <v>0</v>
      </c>
      <c r="AE3086" s="72">
        <v>0</v>
      </c>
      <c r="AF3086" s="5"/>
      <c r="AG3086" s="6"/>
      <c r="AH3086" s="27"/>
      <c r="AI3086" s="44"/>
      <c r="AJ3086" s="26"/>
      <c r="AK3086" s="5"/>
      <c r="AL3086" s="268" t="s">
        <v>6111</v>
      </c>
      <c r="AM3086" s="76"/>
      <c r="AN3086" s="76"/>
      <c r="AO3086" s="76"/>
      <c r="AP3086" s="76"/>
      <c r="AQ3086" s="76"/>
      <c r="AR3086" s="76"/>
      <c r="AS3086" s="76"/>
      <c r="AT3086" s="76"/>
      <c r="AU3086" s="76"/>
      <c r="AV3086" s="76"/>
      <c r="AW3086" s="76"/>
      <c r="AX3086" s="76">
        <f>+AW3086*600000</f>
        <v>0</v>
      </c>
      <c r="AY3086" s="76"/>
      <c r="AZ3086" s="76">
        <f>+AY3086*70000</f>
        <v>0</v>
      </c>
      <c r="BA3086" s="76"/>
      <c r="BB3086" s="76"/>
      <c r="BC3086" s="76"/>
      <c r="BD3086" s="76">
        <f>+BC3086*30000</f>
        <v>0</v>
      </c>
      <c r="BE3086" s="76"/>
      <c r="BF3086" s="76"/>
      <c r="BG3086" s="76"/>
      <c r="BH3086" s="76"/>
      <c r="BI3086" s="76"/>
      <c r="BJ3086" s="76"/>
      <c r="BK3086" s="76"/>
      <c r="BL3086" s="76">
        <f>+BK3086*31500</f>
        <v>0</v>
      </c>
      <c r="BM3086" s="76"/>
      <c r="BN3086" s="76"/>
      <c r="BO3086" s="76"/>
      <c r="BP3086" s="76"/>
      <c r="BQ3086" s="76"/>
      <c r="BR3086" s="76"/>
      <c r="BS3086" s="76"/>
      <c r="BT3086" s="76"/>
      <c r="BU3086" s="76"/>
      <c r="BV3086" s="76"/>
      <c r="BW3086" s="76"/>
      <c r="BX3086" s="76"/>
      <c r="BY3086" s="76"/>
      <c r="BZ3086" s="76"/>
      <c r="CA3086" s="76"/>
      <c r="CB3086" s="76"/>
      <c r="CC3086" s="76"/>
      <c r="CD3086" s="76"/>
      <c r="CE3086" s="76"/>
      <c r="CF3086" s="76">
        <f>+CE3086*28000</f>
        <v>0</v>
      </c>
      <c r="CG3086" s="76"/>
      <c r="CH3086" s="76">
        <f>+CG3086*22500</f>
        <v>0</v>
      </c>
      <c r="CI3086" s="76"/>
      <c r="CJ3086" s="76">
        <f>+CI3086*26000</f>
        <v>0</v>
      </c>
      <c r="CK3086" s="76"/>
      <c r="CL3086" s="76"/>
      <c r="CM3086" s="76"/>
      <c r="CN3086" s="76">
        <f>+CM3086*22000</f>
        <v>0</v>
      </c>
      <c r="CO3086" s="76"/>
      <c r="CP3086" s="76">
        <f>+CO3086*46000</f>
        <v>0</v>
      </c>
      <c r="CQ3086" s="76"/>
      <c r="CR3086" s="76">
        <f>+CQ3086*49000</f>
        <v>0</v>
      </c>
      <c r="CS3086" s="76"/>
      <c r="CT3086" s="76"/>
      <c r="CU3086" s="56">
        <f>AN3086+AP3086+AR3086+AT3086+AV3086+AX3086+AZ3086+BB3086+BD3086+BF3086+BH3086+BJ3086+BL3086+BN3086+BP3086+BR3086+BT3086+BV3086+BX3086+BZ3086+CB3086+CD3086+CF3086+CH3086+CJ3086+CL3086+CN3086+CP3086+CR3086+CT3086</f>
        <v>0</v>
      </c>
      <c r="CV3086" s="76"/>
      <c r="CW3086" s="76">
        <f>+CV3086*1100</f>
        <v>0</v>
      </c>
      <c r="CX3086" s="76"/>
      <c r="CY3086" s="76">
        <f>+CX3086*106250</f>
        <v>0</v>
      </c>
      <c r="CZ3086" s="76"/>
      <c r="DA3086" s="76">
        <f>+CZ3086*34500</f>
        <v>0</v>
      </c>
      <c r="DB3086" s="76"/>
      <c r="DC3086" s="76">
        <f>+DB3086*25000</f>
        <v>0</v>
      </c>
      <c r="DD3086" s="219"/>
      <c r="DE3086" s="219"/>
      <c r="DF3086" s="166"/>
      <c r="DG3086" s="116"/>
      <c r="DH3086" s="117"/>
      <c r="DI3086" s="24"/>
      <c r="DJ3086" s="24"/>
      <c r="DK3086" s="24"/>
      <c r="DL3086" s="24"/>
      <c r="DM3086" s="24"/>
      <c r="DN3086" s="24"/>
      <c r="DO3086" s="24"/>
      <c r="DP3086" s="24"/>
      <c r="DQ3086" s="24"/>
      <c r="DR3086" s="24"/>
      <c r="DS3086" s="24"/>
      <c r="DT3086" s="24"/>
      <c r="DU3086" s="24"/>
    </row>
    <row r="3087" spans="1:125" s="8" customFormat="1" ht="48" x14ac:dyDescent="0.2">
      <c r="A3087" s="77">
        <v>41537</v>
      </c>
      <c r="B3087" s="352" t="s">
        <v>2661</v>
      </c>
      <c r="C3087" s="354" t="s">
        <v>2005</v>
      </c>
      <c r="D3087" s="354" t="s">
        <v>2846</v>
      </c>
      <c r="E3087" s="296" t="str">
        <f>VLOOKUP(B3087&amp;C3087,Divipola!$C$2:$F$1138,4,FALSE)</f>
        <v>41801</v>
      </c>
      <c r="F3087" s="87"/>
      <c r="G3087" s="87"/>
      <c r="H3087" s="87"/>
      <c r="I3087" s="87"/>
      <c r="J3087" s="87"/>
      <c r="K3087" s="87"/>
      <c r="L3087" s="87"/>
      <c r="M3087" s="87"/>
      <c r="N3087" s="87"/>
      <c r="O3087" s="87"/>
      <c r="P3087" s="87"/>
      <c r="Q3087" s="87"/>
      <c r="R3087" s="87"/>
      <c r="S3087" s="87"/>
      <c r="T3087" s="87"/>
      <c r="U3087" s="88">
        <v>10</v>
      </c>
      <c r="V3087" s="89"/>
      <c r="W3087" s="96">
        <v>0</v>
      </c>
      <c r="X3087" s="71">
        <f>CU3087</f>
        <v>0</v>
      </c>
      <c r="Y3087" s="71">
        <f>CY3087</f>
        <v>0</v>
      </c>
      <c r="Z3087" s="71">
        <f>DA3087+DC3087+DE3087</f>
        <v>0</v>
      </c>
      <c r="AA3087" s="71">
        <f>CW3087</f>
        <v>0</v>
      </c>
      <c r="AB3087" s="71"/>
      <c r="AC3087" s="71">
        <v>0</v>
      </c>
      <c r="AD3087" s="71">
        <f>W3087+X3087+Y3087+Z3087+AA3087+AB3087+AC3087</f>
        <v>0</v>
      </c>
      <c r="AE3087" s="72">
        <v>0</v>
      </c>
      <c r="AF3087" s="5"/>
      <c r="AG3087" s="6"/>
      <c r="AH3087" s="27"/>
      <c r="AI3087" s="44"/>
      <c r="AJ3087" s="26"/>
      <c r="AK3087" s="5"/>
      <c r="AL3087" s="82" t="s">
        <v>5998</v>
      </c>
      <c r="AM3087" s="76"/>
      <c r="AN3087" s="76"/>
      <c r="AO3087" s="76"/>
      <c r="AP3087" s="76"/>
      <c r="AQ3087" s="76"/>
      <c r="AR3087" s="76"/>
      <c r="AS3087" s="76"/>
      <c r="AT3087" s="76"/>
      <c r="AU3087" s="76"/>
      <c r="AV3087" s="76"/>
      <c r="AW3087" s="76"/>
      <c r="AX3087" s="76">
        <f>+AW3087*600000</f>
        <v>0</v>
      </c>
      <c r="AY3087" s="76"/>
      <c r="AZ3087" s="76">
        <f>+AY3087*70000</f>
        <v>0</v>
      </c>
      <c r="BA3087" s="76"/>
      <c r="BB3087" s="76"/>
      <c r="BC3087" s="76"/>
      <c r="BD3087" s="76">
        <f>+BC3087*30000</f>
        <v>0</v>
      </c>
      <c r="BE3087" s="76"/>
      <c r="BF3087" s="76"/>
      <c r="BG3087" s="76"/>
      <c r="BH3087" s="76"/>
      <c r="BI3087" s="76"/>
      <c r="BJ3087" s="76"/>
      <c r="BK3087" s="76"/>
      <c r="BL3087" s="76">
        <f>+BK3087*31500</f>
        <v>0</v>
      </c>
      <c r="BM3087" s="76"/>
      <c r="BN3087" s="76"/>
      <c r="BO3087" s="76"/>
      <c r="BP3087" s="76"/>
      <c r="BQ3087" s="76"/>
      <c r="BR3087" s="76"/>
      <c r="BS3087" s="76"/>
      <c r="BT3087" s="76"/>
      <c r="BU3087" s="76"/>
      <c r="BV3087" s="76"/>
      <c r="BW3087" s="76"/>
      <c r="BX3087" s="76"/>
      <c r="BY3087" s="76"/>
      <c r="BZ3087" s="76"/>
      <c r="CA3087" s="76"/>
      <c r="CB3087" s="76"/>
      <c r="CC3087" s="76"/>
      <c r="CD3087" s="76"/>
      <c r="CE3087" s="76"/>
      <c r="CF3087" s="76">
        <f>+CE3087*28000</f>
        <v>0</v>
      </c>
      <c r="CG3087" s="76"/>
      <c r="CH3087" s="76">
        <f>+CG3087*22500</f>
        <v>0</v>
      </c>
      <c r="CI3087" s="76"/>
      <c r="CJ3087" s="76">
        <f>+CI3087*26000</f>
        <v>0</v>
      </c>
      <c r="CK3087" s="76"/>
      <c r="CL3087" s="76"/>
      <c r="CM3087" s="76"/>
      <c r="CN3087" s="76">
        <f>+CM3087*22000</f>
        <v>0</v>
      </c>
      <c r="CO3087" s="76"/>
      <c r="CP3087" s="76">
        <f>+CO3087*46000</f>
        <v>0</v>
      </c>
      <c r="CQ3087" s="76"/>
      <c r="CR3087" s="76">
        <f>+CQ3087*49000</f>
        <v>0</v>
      </c>
      <c r="CS3087" s="76"/>
      <c r="CT3087" s="76"/>
      <c r="CU3087" s="56">
        <f>AN3087+AP3087+AR3087+AT3087+AV3087+AX3087+AZ3087+BB3087+BD3087+BF3087+BH3087+BJ3087+BL3087+BN3087+BP3087+BR3087+BT3087+BV3087+BX3087+BZ3087+CB3087+CD3087+CF3087+CH3087+CJ3087+CL3087+CN3087+CP3087+CR3087+CT3087</f>
        <v>0</v>
      </c>
      <c r="CV3087" s="76"/>
      <c r="CW3087" s="76">
        <f>+CV3087*1100</f>
        <v>0</v>
      </c>
      <c r="CX3087" s="76"/>
      <c r="CY3087" s="76">
        <f>+CX3087*106250</f>
        <v>0</v>
      </c>
      <c r="CZ3087" s="76"/>
      <c r="DA3087" s="76">
        <f>+CZ3087*34500</f>
        <v>0</v>
      </c>
      <c r="DB3087" s="76"/>
      <c r="DC3087" s="76">
        <f>+DB3087*25000</f>
        <v>0</v>
      </c>
      <c r="DD3087" s="219"/>
      <c r="DE3087" s="219"/>
      <c r="DF3087" s="166"/>
      <c r="DG3087" s="116"/>
      <c r="DH3087" s="117"/>
      <c r="DI3087" s="24"/>
      <c r="DJ3087" s="24"/>
      <c r="DK3087" s="24"/>
      <c r="DL3087" s="24"/>
      <c r="DM3087" s="24"/>
      <c r="DN3087" s="24"/>
      <c r="DO3087" s="24"/>
      <c r="DP3087" s="24"/>
      <c r="DQ3087" s="24"/>
      <c r="DR3087" s="24"/>
      <c r="DS3087" s="24"/>
      <c r="DT3087" s="24"/>
      <c r="DU3087" s="24"/>
    </row>
    <row r="3088" spans="1:125" s="8" customFormat="1" ht="24" x14ac:dyDescent="0.2">
      <c r="A3088" s="228">
        <v>41537</v>
      </c>
      <c r="B3088" s="249" t="s">
        <v>2880</v>
      </c>
      <c r="C3088" s="231" t="s">
        <v>241</v>
      </c>
      <c r="D3088" s="231" t="s">
        <v>3088</v>
      </c>
      <c r="E3088" s="296" t="str">
        <f>VLOOKUP(B3088&amp;C3088,Divipola!$C$2:$F$1138,4,FALSE)</f>
        <v>54313</v>
      </c>
      <c r="F3088" s="61"/>
      <c r="G3088" s="61"/>
      <c r="H3088" s="61"/>
      <c r="I3088" s="61"/>
      <c r="J3088" s="61"/>
      <c r="K3088" s="61"/>
      <c r="L3088" s="61"/>
      <c r="M3088" s="61"/>
      <c r="N3088" s="61"/>
      <c r="O3088" s="61"/>
      <c r="P3088" s="61"/>
      <c r="Q3088" s="61"/>
      <c r="R3088" s="61"/>
      <c r="S3088" s="61"/>
      <c r="T3088" s="61"/>
      <c r="U3088" s="61"/>
      <c r="V3088" s="7"/>
      <c r="W3088" s="96">
        <v>0</v>
      </c>
      <c r="X3088" s="71">
        <f>CU3088</f>
        <v>0</v>
      </c>
      <c r="Y3088" s="71">
        <f>CY3088</f>
        <v>164517726.96000001</v>
      </c>
      <c r="Z3088" s="71">
        <f>DA3088+DC3088+DE3088</f>
        <v>0</v>
      </c>
      <c r="AA3088" s="71">
        <f>CW3088</f>
        <v>0</v>
      </c>
      <c r="AB3088" s="71"/>
      <c r="AC3088" s="71">
        <v>0</v>
      </c>
      <c r="AD3088" s="71">
        <f>W3088+X3088+Y3088+Z3088+AA3088+AB3088+AC3088</f>
        <v>164517726.96000001</v>
      </c>
      <c r="AE3088" s="72">
        <v>0</v>
      </c>
      <c r="AF3088" s="5"/>
      <c r="AG3088" s="6"/>
      <c r="AH3088" s="27"/>
      <c r="AI3088" s="44"/>
      <c r="AJ3088" s="26"/>
      <c r="AK3088" s="5"/>
      <c r="AL3088" s="82" t="s">
        <v>3089</v>
      </c>
      <c r="AM3088" s="76"/>
      <c r="AN3088" s="76"/>
      <c r="AO3088" s="76"/>
      <c r="AP3088" s="76"/>
      <c r="AQ3088" s="76"/>
      <c r="AR3088" s="76"/>
      <c r="AS3088" s="76"/>
      <c r="AT3088" s="76"/>
      <c r="AU3088" s="76"/>
      <c r="AV3088" s="76"/>
      <c r="AW3088" s="76"/>
      <c r="AX3088" s="76">
        <f>+AW3088*600000</f>
        <v>0</v>
      </c>
      <c r="AY3088" s="76"/>
      <c r="AZ3088" s="76">
        <f>+AY3088*70000</f>
        <v>0</v>
      </c>
      <c r="BA3088" s="76"/>
      <c r="BB3088" s="76"/>
      <c r="BC3088" s="76"/>
      <c r="BD3088" s="76">
        <f>+BC3088*30000</f>
        <v>0</v>
      </c>
      <c r="BE3088" s="76"/>
      <c r="BF3088" s="76"/>
      <c r="BG3088" s="76"/>
      <c r="BH3088" s="76"/>
      <c r="BI3088" s="76"/>
      <c r="BJ3088" s="76"/>
      <c r="BK3088" s="76"/>
      <c r="BL3088" s="76">
        <f>+BK3088*31500</f>
        <v>0</v>
      </c>
      <c r="BM3088" s="76"/>
      <c r="BN3088" s="76"/>
      <c r="BO3088" s="76"/>
      <c r="BP3088" s="76"/>
      <c r="BQ3088" s="76"/>
      <c r="BR3088" s="76"/>
      <c r="BS3088" s="76"/>
      <c r="BT3088" s="76"/>
      <c r="BU3088" s="76"/>
      <c r="BV3088" s="76"/>
      <c r="BW3088" s="76"/>
      <c r="BX3088" s="76"/>
      <c r="BY3088" s="76"/>
      <c r="BZ3088" s="76"/>
      <c r="CA3088" s="76"/>
      <c r="CB3088" s="76"/>
      <c r="CC3088" s="76"/>
      <c r="CD3088" s="76"/>
      <c r="CE3088" s="76"/>
      <c r="CF3088" s="76">
        <f>+CE3088*28000</f>
        <v>0</v>
      </c>
      <c r="CG3088" s="76"/>
      <c r="CH3088" s="76">
        <f>+CG3088*22500</f>
        <v>0</v>
      </c>
      <c r="CI3088" s="76"/>
      <c r="CJ3088" s="76">
        <f>+CI3088*26000</f>
        <v>0</v>
      </c>
      <c r="CK3088" s="76"/>
      <c r="CL3088" s="76"/>
      <c r="CM3088" s="76"/>
      <c r="CN3088" s="76">
        <f>+CM3088*22000</f>
        <v>0</v>
      </c>
      <c r="CO3088" s="76"/>
      <c r="CP3088" s="76">
        <f>+CO3088*46000</f>
        <v>0</v>
      </c>
      <c r="CQ3088" s="76"/>
      <c r="CR3088" s="76">
        <f>+CQ3088*49000</f>
        <v>0</v>
      </c>
      <c r="CS3088" s="76"/>
      <c r="CT3088" s="76"/>
      <c r="CU3088" s="56">
        <f>AN3088+AP3088+AR3088+AT3088+AV3088+AX3088+AZ3088+BB3088+BD3088+BF3088+BH3088+BJ3088+BL3088+BN3088+BP3088+BR3088+BT3088+BV3088+BX3088+BZ3088+CB3088+CD3088+CF3088+CH3088+CJ3088+CL3088+CN3088+CP3088+CR3088+CT3088</f>
        <v>0</v>
      </c>
      <c r="CV3088" s="76"/>
      <c r="CW3088" s="76">
        <f>+CV3088*1100</f>
        <v>0</v>
      </c>
      <c r="CX3088" s="86">
        <v>1557</v>
      </c>
      <c r="CY3088" s="86">
        <f>+CX3088*105663.28</f>
        <v>164517726.96000001</v>
      </c>
      <c r="CZ3088" s="76"/>
      <c r="DA3088" s="76">
        <f>+CZ3088*34500</f>
        <v>0</v>
      </c>
      <c r="DB3088" s="76"/>
      <c r="DC3088" s="76">
        <f>+DB3088*25000</f>
        <v>0</v>
      </c>
      <c r="DD3088" s="219"/>
      <c r="DE3088" s="219"/>
      <c r="DF3088" s="166"/>
      <c r="DG3088" s="134" t="s">
        <v>6191</v>
      </c>
      <c r="DH3088" s="117"/>
      <c r="DI3088" s="24"/>
      <c r="DJ3088" s="24"/>
      <c r="DK3088" s="24"/>
      <c r="DL3088" s="24"/>
      <c r="DM3088" s="24"/>
      <c r="DN3088" s="24"/>
      <c r="DO3088" s="24"/>
      <c r="DP3088" s="24"/>
      <c r="DQ3088" s="24"/>
      <c r="DR3088" s="24"/>
      <c r="DS3088" s="24"/>
      <c r="DT3088" s="24"/>
      <c r="DU3088" s="24"/>
    </row>
    <row r="3089" spans="1:125" s="8" customFormat="1" ht="36" x14ac:dyDescent="0.2">
      <c r="A3089" s="77">
        <v>41537</v>
      </c>
      <c r="B3089" s="352" t="s">
        <v>2847</v>
      </c>
      <c r="C3089" s="354" t="s">
        <v>301</v>
      </c>
      <c r="D3089" s="354" t="s">
        <v>4391</v>
      </c>
      <c r="E3089" s="296" t="str">
        <f>VLOOKUP(B3089&amp;C3089,Divipola!$C$2:$F$1138,4,FALSE)</f>
        <v>68079</v>
      </c>
      <c r="F3089" s="87">
        <v>1</v>
      </c>
      <c r="G3089" s="87"/>
      <c r="H3089" s="87"/>
      <c r="I3089" s="87"/>
      <c r="J3089" s="87"/>
      <c r="K3089" s="87"/>
      <c r="L3089" s="87"/>
      <c r="M3089" s="87"/>
      <c r="N3089" s="87"/>
      <c r="O3089" s="87"/>
      <c r="P3089" s="87"/>
      <c r="Q3089" s="87"/>
      <c r="R3089" s="87"/>
      <c r="S3089" s="87"/>
      <c r="T3089" s="87"/>
      <c r="U3089" s="88"/>
      <c r="V3089" s="89"/>
      <c r="W3089" s="96">
        <v>0</v>
      </c>
      <c r="X3089" s="71">
        <f>CU3089</f>
        <v>0</v>
      </c>
      <c r="Y3089" s="71">
        <f>CY3089</f>
        <v>0</v>
      </c>
      <c r="Z3089" s="71">
        <f>DA3089+DC3089+DE3089</f>
        <v>0</v>
      </c>
      <c r="AA3089" s="71">
        <f>CW3089</f>
        <v>0</v>
      </c>
      <c r="AB3089" s="71"/>
      <c r="AC3089" s="71">
        <v>0</v>
      </c>
      <c r="AD3089" s="71">
        <f>W3089+X3089+Y3089+Z3089+AA3089+AB3089+AC3089</f>
        <v>0</v>
      </c>
      <c r="AE3089" s="72">
        <v>0</v>
      </c>
      <c r="AF3089" s="5"/>
      <c r="AG3089" s="6"/>
      <c r="AH3089" s="27"/>
      <c r="AI3089" s="44"/>
      <c r="AJ3089" s="26"/>
      <c r="AK3089" s="5"/>
      <c r="AL3089" s="82" t="s">
        <v>5996</v>
      </c>
      <c r="AM3089" s="76"/>
      <c r="AN3089" s="76"/>
      <c r="AO3089" s="76"/>
      <c r="AP3089" s="76"/>
      <c r="AQ3089" s="76"/>
      <c r="AR3089" s="76"/>
      <c r="AS3089" s="76"/>
      <c r="AT3089" s="76"/>
      <c r="AU3089" s="76"/>
      <c r="AV3089" s="76"/>
      <c r="AW3089" s="76"/>
      <c r="AX3089" s="76">
        <f>+AW3089*600000</f>
        <v>0</v>
      </c>
      <c r="AY3089" s="76"/>
      <c r="AZ3089" s="76">
        <f>+AY3089*70000</f>
        <v>0</v>
      </c>
      <c r="BA3089" s="76"/>
      <c r="BB3089" s="76"/>
      <c r="BC3089" s="76"/>
      <c r="BD3089" s="76">
        <f>+BC3089*30000</f>
        <v>0</v>
      </c>
      <c r="BE3089" s="76"/>
      <c r="BF3089" s="76"/>
      <c r="BG3089" s="76"/>
      <c r="BH3089" s="76"/>
      <c r="BI3089" s="76"/>
      <c r="BJ3089" s="76"/>
      <c r="BK3089" s="76"/>
      <c r="BL3089" s="76">
        <f>+BK3089*31500</f>
        <v>0</v>
      </c>
      <c r="BM3089" s="76"/>
      <c r="BN3089" s="76"/>
      <c r="BO3089" s="76"/>
      <c r="BP3089" s="76"/>
      <c r="BQ3089" s="76"/>
      <c r="BR3089" s="76"/>
      <c r="BS3089" s="76"/>
      <c r="BT3089" s="76"/>
      <c r="BU3089" s="76"/>
      <c r="BV3089" s="76"/>
      <c r="BW3089" s="76"/>
      <c r="BX3089" s="76"/>
      <c r="BY3089" s="76"/>
      <c r="BZ3089" s="76"/>
      <c r="CA3089" s="76"/>
      <c r="CB3089" s="76"/>
      <c r="CC3089" s="76"/>
      <c r="CD3089" s="76"/>
      <c r="CE3089" s="76"/>
      <c r="CF3089" s="76">
        <f>+CE3089*28000</f>
        <v>0</v>
      </c>
      <c r="CG3089" s="76"/>
      <c r="CH3089" s="76">
        <f>+CG3089*22500</f>
        <v>0</v>
      </c>
      <c r="CI3089" s="76"/>
      <c r="CJ3089" s="76">
        <f>+CI3089*26000</f>
        <v>0</v>
      </c>
      <c r="CK3089" s="76"/>
      <c r="CL3089" s="76"/>
      <c r="CM3089" s="76"/>
      <c r="CN3089" s="76">
        <f>+CM3089*22000</f>
        <v>0</v>
      </c>
      <c r="CO3089" s="76"/>
      <c r="CP3089" s="76">
        <f>+CO3089*46000</f>
        <v>0</v>
      </c>
      <c r="CQ3089" s="76"/>
      <c r="CR3089" s="76">
        <f>+CQ3089*49000</f>
        <v>0</v>
      </c>
      <c r="CS3089" s="76"/>
      <c r="CT3089" s="76"/>
      <c r="CU3089" s="56">
        <f>AN3089+AP3089+AR3089+AT3089+AV3089+AX3089+AZ3089+BB3089+BD3089+BF3089+BH3089+BJ3089+BL3089+BN3089+BP3089+BR3089+BT3089+BV3089+BX3089+BZ3089+CB3089+CD3089+CF3089+CH3089+CJ3089+CL3089+CN3089+CP3089+CR3089+CT3089</f>
        <v>0</v>
      </c>
      <c r="CV3089" s="76"/>
      <c r="CW3089" s="76">
        <f>+CV3089*1100</f>
        <v>0</v>
      </c>
      <c r="CX3089" s="76"/>
      <c r="CY3089" s="76">
        <f>+CX3089*106250</f>
        <v>0</v>
      </c>
      <c r="CZ3089" s="76"/>
      <c r="DA3089" s="76">
        <f>+CZ3089*34500</f>
        <v>0</v>
      </c>
      <c r="DB3089" s="76"/>
      <c r="DC3089" s="76">
        <f>+DB3089*25000</f>
        <v>0</v>
      </c>
      <c r="DD3089" s="219"/>
      <c r="DE3089" s="219"/>
      <c r="DF3089" s="166"/>
      <c r="DG3089" s="116"/>
      <c r="DH3089" s="117"/>
      <c r="DI3089" s="24"/>
      <c r="DJ3089" s="24"/>
      <c r="DK3089" s="24"/>
      <c r="DL3089" s="24"/>
      <c r="DM3089" s="24"/>
      <c r="DN3089" s="24"/>
      <c r="DO3089" s="24"/>
      <c r="DP3089" s="24"/>
      <c r="DQ3089" s="24"/>
      <c r="DR3089" s="24"/>
      <c r="DS3089" s="24"/>
      <c r="DT3089" s="24"/>
      <c r="DU3089" s="24"/>
    </row>
    <row r="3090" spans="1:125" s="8" customFormat="1" ht="84" x14ac:dyDescent="0.2">
      <c r="A3090" s="77">
        <v>41537</v>
      </c>
      <c r="B3090" s="225" t="s">
        <v>2847</v>
      </c>
      <c r="C3090" s="227" t="s">
        <v>2165</v>
      </c>
      <c r="D3090" s="354" t="s">
        <v>2882</v>
      </c>
      <c r="E3090" s="296" t="str">
        <f>VLOOKUP(B3090&amp;C3090,Divipola!$C$2:$F$1138,4,FALSE)</f>
        <v>68655</v>
      </c>
      <c r="F3090" s="87"/>
      <c r="G3090" s="87"/>
      <c r="H3090" s="87"/>
      <c r="I3090" s="87">
        <v>200</v>
      </c>
      <c r="J3090" s="87">
        <v>40</v>
      </c>
      <c r="K3090" s="87"/>
      <c r="L3090" s="87">
        <v>40</v>
      </c>
      <c r="M3090" s="87"/>
      <c r="N3090" s="87"/>
      <c r="O3090" s="87"/>
      <c r="P3090" s="87"/>
      <c r="Q3090" s="87"/>
      <c r="R3090" s="87"/>
      <c r="S3090" s="87"/>
      <c r="T3090" s="87"/>
      <c r="U3090" s="88"/>
      <c r="V3090" s="89"/>
      <c r="W3090" s="96">
        <v>0</v>
      </c>
      <c r="X3090" s="71">
        <f>CU3090</f>
        <v>0</v>
      </c>
      <c r="Y3090" s="71">
        <f>CY3090</f>
        <v>0</v>
      </c>
      <c r="Z3090" s="71">
        <f>DA3090+DC3090+DE3090</f>
        <v>0</v>
      </c>
      <c r="AA3090" s="71">
        <f>CW3090</f>
        <v>0</v>
      </c>
      <c r="AB3090" s="71"/>
      <c r="AC3090" s="71">
        <v>0</v>
      </c>
      <c r="AD3090" s="71">
        <f>W3090+X3090+Y3090+Z3090+AA3090+AB3090+AC3090</f>
        <v>0</v>
      </c>
      <c r="AE3090" s="72">
        <v>0</v>
      </c>
      <c r="AF3090" s="5"/>
      <c r="AG3090" s="6"/>
      <c r="AH3090" s="27"/>
      <c r="AI3090" s="44"/>
      <c r="AJ3090" s="26"/>
      <c r="AK3090" s="5"/>
      <c r="AL3090" s="82" t="s">
        <v>5995</v>
      </c>
      <c r="AM3090" s="76"/>
      <c r="AN3090" s="76"/>
      <c r="AO3090" s="76"/>
      <c r="AP3090" s="76"/>
      <c r="AQ3090" s="76"/>
      <c r="AR3090" s="76"/>
      <c r="AS3090" s="76"/>
      <c r="AT3090" s="76"/>
      <c r="AU3090" s="76"/>
      <c r="AV3090" s="76"/>
      <c r="AW3090" s="76"/>
      <c r="AX3090" s="76">
        <f>+AW3090*600000</f>
        <v>0</v>
      </c>
      <c r="AY3090" s="76"/>
      <c r="AZ3090" s="76">
        <f>+AY3090*70000</f>
        <v>0</v>
      </c>
      <c r="BA3090" s="76"/>
      <c r="BB3090" s="76"/>
      <c r="BC3090" s="76"/>
      <c r="BD3090" s="76">
        <f>+BC3090*30000</f>
        <v>0</v>
      </c>
      <c r="BE3090" s="76"/>
      <c r="BF3090" s="76"/>
      <c r="BG3090" s="76"/>
      <c r="BH3090" s="76"/>
      <c r="BI3090" s="76"/>
      <c r="BJ3090" s="76"/>
      <c r="BK3090" s="76"/>
      <c r="BL3090" s="76">
        <f>+BK3090*31500</f>
        <v>0</v>
      </c>
      <c r="BM3090" s="76"/>
      <c r="BN3090" s="76"/>
      <c r="BO3090" s="76"/>
      <c r="BP3090" s="76"/>
      <c r="BQ3090" s="76"/>
      <c r="BR3090" s="76"/>
      <c r="BS3090" s="76"/>
      <c r="BT3090" s="76"/>
      <c r="BU3090" s="76"/>
      <c r="BV3090" s="76"/>
      <c r="BW3090" s="76"/>
      <c r="BX3090" s="76"/>
      <c r="BY3090" s="76"/>
      <c r="BZ3090" s="76"/>
      <c r="CA3090" s="76"/>
      <c r="CB3090" s="76"/>
      <c r="CC3090" s="76"/>
      <c r="CD3090" s="76"/>
      <c r="CE3090" s="76"/>
      <c r="CF3090" s="76">
        <f>+CE3090*28000</f>
        <v>0</v>
      </c>
      <c r="CG3090" s="76"/>
      <c r="CH3090" s="76">
        <f>+CG3090*22500</f>
        <v>0</v>
      </c>
      <c r="CI3090" s="76"/>
      <c r="CJ3090" s="76">
        <f>+CI3090*26000</f>
        <v>0</v>
      </c>
      <c r="CK3090" s="76"/>
      <c r="CL3090" s="76"/>
      <c r="CM3090" s="76"/>
      <c r="CN3090" s="76">
        <f>+CM3090*22000</f>
        <v>0</v>
      </c>
      <c r="CO3090" s="76"/>
      <c r="CP3090" s="76">
        <f>+CO3090*46000</f>
        <v>0</v>
      </c>
      <c r="CQ3090" s="76"/>
      <c r="CR3090" s="76">
        <f>+CQ3090*49000</f>
        <v>0</v>
      </c>
      <c r="CS3090" s="76"/>
      <c r="CT3090" s="76"/>
      <c r="CU3090" s="56">
        <f>AN3090+AP3090+AR3090+AT3090+AV3090+AX3090+AZ3090+BB3090+BD3090+BF3090+BH3090+BJ3090+BL3090+BN3090+BP3090+BR3090+BT3090+BV3090+BX3090+BZ3090+CB3090+CD3090+CF3090+CH3090+CJ3090+CL3090+CN3090+CP3090+CR3090+CT3090</f>
        <v>0</v>
      </c>
      <c r="CV3090" s="76"/>
      <c r="CW3090" s="76">
        <f>+CV3090*1100</f>
        <v>0</v>
      </c>
      <c r="CX3090" s="76"/>
      <c r="CY3090" s="76">
        <f>+CX3090*106250</f>
        <v>0</v>
      </c>
      <c r="CZ3090" s="76"/>
      <c r="DA3090" s="76">
        <f>+CZ3090*34500</f>
        <v>0</v>
      </c>
      <c r="DB3090" s="76"/>
      <c r="DC3090" s="76">
        <f>+DB3090*25000</f>
        <v>0</v>
      </c>
      <c r="DD3090" s="219"/>
      <c r="DE3090" s="219"/>
      <c r="DF3090" s="166"/>
      <c r="DG3090" s="116"/>
      <c r="DH3090" s="117"/>
      <c r="DI3090" s="24"/>
      <c r="DJ3090" s="24"/>
      <c r="DK3090" s="24"/>
      <c r="DL3090" s="24"/>
      <c r="DM3090" s="24"/>
      <c r="DN3090" s="24"/>
      <c r="DO3090" s="24"/>
      <c r="DP3090" s="24"/>
      <c r="DQ3090" s="24"/>
      <c r="DR3090" s="24"/>
      <c r="DS3090" s="24"/>
      <c r="DT3090" s="24"/>
      <c r="DU3090" s="24"/>
    </row>
    <row r="3091" spans="1:125" s="8" customFormat="1" ht="60" x14ac:dyDescent="0.2">
      <c r="A3091" s="77">
        <v>41537</v>
      </c>
      <c r="B3091" s="225" t="s">
        <v>2848</v>
      </c>
      <c r="C3091" s="227" t="s">
        <v>2755</v>
      </c>
      <c r="D3091" s="354" t="s">
        <v>2859</v>
      </c>
      <c r="E3091" s="296" t="str">
        <f>VLOOKUP(B3091&amp;C3091,Divipola!$C$2:$F$1138,4,FALSE)</f>
        <v>73001</v>
      </c>
      <c r="F3091" s="87"/>
      <c r="G3091" s="87"/>
      <c r="H3091" s="87"/>
      <c r="I3091" s="87">
        <v>5</v>
      </c>
      <c r="J3091" s="87">
        <v>1</v>
      </c>
      <c r="K3091" s="87"/>
      <c r="L3091" s="87">
        <v>1</v>
      </c>
      <c r="M3091" s="87"/>
      <c r="N3091" s="87"/>
      <c r="O3091" s="87"/>
      <c r="P3091" s="87"/>
      <c r="Q3091" s="87"/>
      <c r="R3091" s="87"/>
      <c r="S3091" s="87"/>
      <c r="T3091" s="87"/>
      <c r="U3091" s="88"/>
      <c r="V3091" s="89"/>
      <c r="W3091" s="96">
        <v>0</v>
      </c>
      <c r="X3091" s="71">
        <f>CU3091</f>
        <v>0</v>
      </c>
      <c r="Y3091" s="71">
        <f>CY3091</f>
        <v>0</v>
      </c>
      <c r="Z3091" s="71">
        <f>DA3091+DC3091+DE3091</f>
        <v>0</v>
      </c>
      <c r="AA3091" s="71">
        <f>CW3091</f>
        <v>0</v>
      </c>
      <c r="AB3091" s="71"/>
      <c r="AC3091" s="71">
        <v>0</v>
      </c>
      <c r="AD3091" s="71">
        <f>W3091+X3091+Y3091+Z3091+AA3091+AB3091+AC3091</f>
        <v>0</v>
      </c>
      <c r="AE3091" s="72">
        <v>0</v>
      </c>
      <c r="AF3091" s="5"/>
      <c r="AG3091" s="6"/>
      <c r="AH3091" s="27"/>
      <c r="AI3091" s="44"/>
      <c r="AJ3091" s="26"/>
      <c r="AK3091" s="5"/>
      <c r="AL3091" s="82" t="s">
        <v>5999</v>
      </c>
      <c r="AM3091" s="76"/>
      <c r="AN3091" s="76"/>
      <c r="AO3091" s="76"/>
      <c r="AP3091" s="76"/>
      <c r="AQ3091" s="76"/>
      <c r="AR3091" s="76"/>
      <c r="AS3091" s="76"/>
      <c r="AT3091" s="76"/>
      <c r="AU3091" s="76"/>
      <c r="AV3091" s="76"/>
      <c r="AW3091" s="76"/>
      <c r="AX3091" s="76">
        <f>+AW3091*600000</f>
        <v>0</v>
      </c>
      <c r="AY3091" s="76"/>
      <c r="AZ3091" s="76">
        <f>+AY3091*70000</f>
        <v>0</v>
      </c>
      <c r="BA3091" s="76"/>
      <c r="BB3091" s="76"/>
      <c r="BC3091" s="76"/>
      <c r="BD3091" s="76">
        <f>+BC3091*30000</f>
        <v>0</v>
      </c>
      <c r="BE3091" s="76"/>
      <c r="BF3091" s="76"/>
      <c r="BG3091" s="76"/>
      <c r="BH3091" s="76"/>
      <c r="BI3091" s="76"/>
      <c r="BJ3091" s="76"/>
      <c r="BK3091" s="76"/>
      <c r="BL3091" s="76">
        <f>+BK3091*31500</f>
        <v>0</v>
      </c>
      <c r="BM3091" s="76"/>
      <c r="BN3091" s="76"/>
      <c r="BO3091" s="76"/>
      <c r="BP3091" s="76"/>
      <c r="BQ3091" s="76"/>
      <c r="BR3091" s="76"/>
      <c r="BS3091" s="76"/>
      <c r="BT3091" s="76"/>
      <c r="BU3091" s="76"/>
      <c r="BV3091" s="76"/>
      <c r="BW3091" s="76"/>
      <c r="BX3091" s="76"/>
      <c r="BY3091" s="76"/>
      <c r="BZ3091" s="76"/>
      <c r="CA3091" s="76"/>
      <c r="CB3091" s="76"/>
      <c r="CC3091" s="76"/>
      <c r="CD3091" s="76"/>
      <c r="CE3091" s="76"/>
      <c r="CF3091" s="76">
        <f>+CE3091*28000</f>
        <v>0</v>
      </c>
      <c r="CG3091" s="76"/>
      <c r="CH3091" s="76">
        <f>+CG3091*22500</f>
        <v>0</v>
      </c>
      <c r="CI3091" s="76"/>
      <c r="CJ3091" s="76">
        <f>+CI3091*26000</f>
        <v>0</v>
      </c>
      <c r="CK3091" s="76"/>
      <c r="CL3091" s="76"/>
      <c r="CM3091" s="76"/>
      <c r="CN3091" s="76">
        <f>+CM3091*22000</f>
        <v>0</v>
      </c>
      <c r="CO3091" s="76"/>
      <c r="CP3091" s="76">
        <f>+CO3091*46000</f>
        <v>0</v>
      </c>
      <c r="CQ3091" s="76"/>
      <c r="CR3091" s="76">
        <f>+CQ3091*49000</f>
        <v>0</v>
      </c>
      <c r="CS3091" s="76"/>
      <c r="CT3091" s="76"/>
      <c r="CU3091" s="56">
        <f>AN3091+AP3091+AR3091+AT3091+AV3091+AX3091+AZ3091+BB3091+BD3091+BF3091+BH3091+BJ3091+BL3091+BN3091+BP3091+BR3091+BT3091+BV3091+BX3091+BZ3091+CB3091+CD3091+CF3091+CH3091+CJ3091+CL3091+CN3091+CP3091+CR3091+CT3091</f>
        <v>0</v>
      </c>
      <c r="CV3091" s="76"/>
      <c r="CW3091" s="76">
        <f>+CV3091*1100</f>
        <v>0</v>
      </c>
      <c r="CX3091" s="76"/>
      <c r="CY3091" s="76">
        <f>+CX3091*106250</f>
        <v>0</v>
      </c>
      <c r="CZ3091" s="76"/>
      <c r="DA3091" s="76">
        <f>+CZ3091*34500</f>
        <v>0</v>
      </c>
      <c r="DB3091" s="76"/>
      <c r="DC3091" s="76">
        <f>+DB3091*25000</f>
        <v>0</v>
      </c>
      <c r="DD3091" s="219"/>
      <c r="DE3091" s="219"/>
      <c r="DF3091" s="166"/>
      <c r="DG3091" s="116"/>
      <c r="DH3091" s="117"/>
      <c r="DI3091" s="24"/>
      <c r="DJ3091" s="24"/>
      <c r="DK3091" s="24"/>
      <c r="DL3091" s="24"/>
      <c r="DM3091" s="24"/>
      <c r="DN3091" s="24"/>
      <c r="DO3091" s="24"/>
      <c r="DP3091" s="24"/>
      <c r="DQ3091" s="24"/>
      <c r="DR3091" s="24"/>
      <c r="DS3091" s="24"/>
      <c r="DT3091" s="24"/>
      <c r="DU3091" s="24"/>
    </row>
    <row r="3092" spans="1:125" s="8" customFormat="1" ht="60" x14ac:dyDescent="0.2">
      <c r="A3092" s="77">
        <v>41537</v>
      </c>
      <c r="B3092" s="225" t="s">
        <v>2851</v>
      </c>
      <c r="C3092" s="227" t="s">
        <v>2685</v>
      </c>
      <c r="D3092" s="354" t="s">
        <v>2875</v>
      </c>
      <c r="E3092" s="296" t="str">
        <f>VLOOKUP(B3092&amp;C3092,Divipola!$C$2:$F$1138,4,FALSE)</f>
        <v>76497</v>
      </c>
      <c r="F3092" s="87"/>
      <c r="G3092" s="87"/>
      <c r="H3092" s="87"/>
      <c r="I3092" s="87">
        <v>150</v>
      </c>
      <c r="J3092" s="87">
        <v>30</v>
      </c>
      <c r="K3092" s="87"/>
      <c r="L3092" s="87">
        <v>30</v>
      </c>
      <c r="M3092" s="87"/>
      <c r="N3092" s="87"/>
      <c r="O3092" s="87"/>
      <c r="P3092" s="87"/>
      <c r="Q3092" s="87"/>
      <c r="R3092" s="87"/>
      <c r="S3092" s="87"/>
      <c r="T3092" s="87"/>
      <c r="U3092" s="88"/>
      <c r="V3092" s="89"/>
      <c r="W3092" s="96">
        <v>0</v>
      </c>
      <c r="X3092" s="71">
        <f>CU3092</f>
        <v>0</v>
      </c>
      <c r="Y3092" s="71">
        <f>CY3092</f>
        <v>0</v>
      </c>
      <c r="Z3092" s="71">
        <f>DA3092+DC3092+DE3092</f>
        <v>0</v>
      </c>
      <c r="AA3092" s="71">
        <f>CW3092</f>
        <v>0</v>
      </c>
      <c r="AB3092" s="71"/>
      <c r="AC3092" s="71">
        <v>0</v>
      </c>
      <c r="AD3092" s="71">
        <f>W3092+X3092+Y3092+Z3092+AA3092+AB3092+AC3092</f>
        <v>0</v>
      </c>
      <c r="AE3092" s="72">
        <v>0</v>
      </c>
      <c r="AF3092" s="5"/>
      <c r="AG3092" s="6"/>
      <c r="AH3092" s="27"/>
      <c r="AI3092" s="44"/>
      <c r="AJ3092" s="26"/>
      <c r="AK3092" s="5"/>
      <c r="AL3092" s="82" t="s">
        <v>5997</v>
      </c>
      <c r="AM3092" s="76"/>
      <c r="AN3092" s="76"/>
      <c r="AO3092" s="76"/>
      <c r="AP3092" s="76"/>
      <c r="AQ3092" s="76"/>
      <c r="AR3092" s="76"/>
      <c r="AS3092" s="76"/>
      <c r="AT3092" s="76"/>
      <c r="AU3092" s="76"/>
      <c r="AV3092" s="76"/>
      <c r="AW3092" s="76"/>
      <c r="AX3092" s="76">
        <f>+AW3092*600000</f>
        <v>0</v>
      </c>
      <c r="AY3092" s="76"/>
      <c r="AZ3092" s="76">
        <f>+AY3092*70000</f>
        <v>0</v>
      </c>
      <c r="BA3092" s="76"/>
      <c r="BB3092" s="76"/>
      <c r="BC3092" s="76"/>
      <c r="BD3092" s="76">
        <f>+BC3092*30000</f>
        <v>0</v>
      </c>
      <c r="BE3092" s="76"/>
      <c r="BF3092" s="76"/>
      <c r="BG3092" s="76"/>
      <c r="BH3092" s="76"/>
      <c r="BI3092" s="76"/>
      <c r="BJ3092" s="76"/>
      <c r="BK3092" s="76"/>
      <c r="BL3092" s="76">
        <f>+BK3092*31500</f>
        <v>0</v>
      </c>
      <c r="BM3092" s="76"/>
      <c r="BN3092" s="76"/>
      <c r="BO3092" s="76"/>
      <c r="BP3092" s="76"/>
      <c r="BQ3092" s="76"/>
      <c r="BR3092" s="76"/>
      <c r="BS3092" s="76"/>
      <c r="BT3092" s="76"/>
      <c r="BU3092" s="76"/>
      <c r="BV3092" s="76"/>
      <c r="BW3092" s="76"/>
      <c r="BX3092" s="76"/>
      <c r="BY3092" s="76"/>
      <c r="BZ3092" s="76"/>
      <c r="CA3092" s="76"/>
      <c r="CB3092" s="76"/>
      <c r="CC3092" s="76"/>
      <c r="CD3092" s="76"/>
      <c r="CE3092" s="76"/>
      <c r="CF3092" s="76">
        <f>+CE3092*28000</f>
        <v>0</v>
      </c>
      <c r="CG3092" s="76"/>
      <c r="CH3092" s="76">
        <f>+CG3092*22500</f>
        <v>0</v>
      </c>
      <c r="CI3092" s="76"/>
      <c r="CJ3092" s="76">
        <f>+CI3092*26000</f>
        <v>0</v>
      </c>
      <c r="CK3092" s="76"/>
      <c r="CL3092" s="76"/>
      <c r="CM3092" s="76"/>
      <c r="CN3092" s="76">
        <f>+CM3092*22000</f>
        <v>0</v>
      </c>
      <c r="CO3092" s="76"/>
      <c r="CP3092" s="76">
        <f>+CO3092*46000</f>
        <v>0</v>
      </c>
      <c r="CQ3092" s="76"/>
      <c r="CR3092" s="76">
        <f>+CQ3092*49000</f>
        <v>0</v>
      </c>
      <c r="CS3092" s="76"/>
      <c r="CT3092" s="76"/>
      <c r="CU3092" s="56">
        <f>AN3092+AP3092+AR3092+AT3092+AV3092+AX3092+AZ3092+BB3092+BD3092+BF3092+BH3092+BJ3092+BL3092+BN3092+BP3092+BR3092+BT3092+BV3092+BX3092+BZ3092+CB3092+CD3092+CF3092+CH3092+CJ3092+CL3092+CN3092+CP3092+CR3092+CT3092</f>
        <v>0</v>
      </c>
      <c r="CV3092" s="76"/>
      <c r="CW3092" s="76">
        <f>+CV3092*1100</f>
        <v>0</v>
      </c>
      <c r="CX3092" s="76"/>
      <c r="CY3092" s="76">
        <f>+CX3092*106250</f>
        <v>0</v>
      </c>
      <c r="CZ3092" s="76"/>
      <c r="DA3092" s="76">
        <f>+CZ3092*34500</f>
        <v>0</v>
      </c>
      <c r="DB3092" s="76"/>
      <c r="DC3092" s="76">
        <f>+DB3092*25000</f>
        <v>0</v>
      </c>
      <c r="DD3092" s="219"/>
      <c r="DE3092" s="219"/>
      <c r="DF3092" s="166"/>
      <c r="DG3092" s="116"/>
      <c r="DH3092" s="117"/>
      <c r="DI3092" s="24"/>
      <c r="DJ3092" s="24"/>
      <c r="DK3092" s="24"/>
      <c r="DL3092" s="24"/>
      <c r="DM3092" s="24"/>
      <c r="DN3092" s="24"/>
      <c r="DO3092" s="24"/>
      <c r="DP3092" s="24"/>
      <c r="DQ3092" s="24"/>
      <c r="DR3092" s="24"/>
      <c r="DS3092" s="24"/>
      <c r="DT3092" s="24"/>
      <c r="DU3092" s="24"/>
    </row>
    <row r="3093" spans="1:125" s="8" customFormat="1" ht="204" x14ac:dyDescent="0.2">
      <c r="A3093" s="77">
        <v>41538</v>
      </c>
      <c r="B3093" s="352" t="s">
        <v>529</v>
      </c>
      <c r="C3093" s="354" t="s">
        <v>529</v>
      </c>
      <c r="D3093" s="354" t="s">
        <v>2846</v>
      </c>
      <c r="E3093" s="296" t="str">
        <f>VLOOKUP(B3093&amp;C3093,Divipola!$C$2:$F$1138,4,FALSE)</f>
        <v>11001</v>
      </c>
      <c r="F3093" s="87"/>
      <c r="G3093" s="87"/>
      <c r="H3093" s="87"/>
      <c r="I3093" s="87"/>
      <c r="J3093" s="87"/>
      <c r="K3093" s="87"/>
      <c r="L3093" s="87"/>
      <c r="M3093" s="87"/>
      <c r="N3093" s="87"/>
      <c r="O3093" s="87"/>
      <c r="P3093" s="87"/>
      <c r="Q3093" s="87"/>
      <c r="R3093" s="87"/>
      <c r="S3093" s="87"/>
      <c r="T3093" s="87"/>
      <c r="U3093" s="88">
        <v>3.5</v>
      </c>
      <c r="V3093" s="89"/>
      <c r="W3093" s="96">
        <v>0</v>
      </c>
      <c r="X3093" s="71">
        <f>CU3093</f>
        <v>0</v>
      </c>
      <c r="Y3093" s="71">
        <f>CY3093</f>
        <v>0</v>
      </c>
      <c r="Z3093" s="71">
        <f>DA3093+DC3093+DE3093</f>
        <v>0</v>
      </c>
      <c r="AA3093" s="71">
        <f>CW3093</f>
        <v>0</v>
      </c>
      <c r="AB3093" s="71"/>
      <c r="AC3093" s="71">
        <v>0</v>
      </c>
      <c r="AD3093" s="71">
        <f>W3093+X3093+Y3093+Z3093+AA3093+AB3093+AC3093</f>
        <v>0</v>
      </c>
      <c r="AE3093" s="72">
        <v>0</v>
      </c>
      <c r="AF3093" s="5"/>
      <c r="AG3093" s="6"/>
      <c r="AH3093" s="27"/>
      <c r="AI3093" s="44"/>
      <c r="AJ3093" s="26"/>
      <c r="AK3093" s="5"/>
      <c r="AL3093" s="82" t="s">
        <v>6009</v>
      </c>
      <c r="AM3093" s="76"/>
      <c r="AN3093" s="76"/>
      <c r="AO3093" s="76"/>
      <c r="AP3093" s="76"/>
      <c r="AQ3093" s="76"/>
      <c r="AR3093" s="76"/>
      <c r="AS3093" s="76"/>
      <c r="AT3093" s="76"/>
      <c r="AU3093" s="76"/>
      <c r="AV3093" s="76"/>
      <c r="AW3093" s="76"/>
      <c r="AX3093" s="76">
        <f>+AW3093*600000</f>
        <v>0</v>
      </c>
      <c r="AY3093" s="76"/>
      <c r="AZ3093" s="76">
        <f>+AY3093*70000</f>
        <v>0</v>
      </c>
      <c r="BA3093" s="76"/>
      <c r="BB3093" s="76"/>
      <c r="BC3093" s="76"/>
      <c r="BD3093" s="76">
        <f>+BC3093*30000</f>
        <v>0</v>
      </c>
      <c r="BE3093" s="76"/>
      <c r="BF3093" s="76"/>
      <c r="BG3093" s="76"/>
      <c r="BH3093" s="76"/>
      <c r="BI3093" s="76"/>
      <c r="BJ3093" s="76"/>
      <c r="BK3093" s="76"/>
      <c r="BL3093" s="76">
        <f>+BK3093*31500</f>
        <v>0</v>
      </c>
      <c r="BM3093" s="76"/>
      <c r="BN3093" s="76"/>
      <c r="BO3093" s="76"/>
      <c r="BP3093" s="76"/>
      <c r="BQ3093" s="76"/>
      <c r="BR3093" s="76"/>
      <c r="BS3093" s="76"/>
      <c r="BT3093" s="76"/>
      <c r="BU3093" s="76"/>
      <c r="BV3093" s="76"/>
      <c r="BW3093" s="76"/>
      <c r="BX3093" s="76"/>
      <c r="BY3093" s="76"/>
      <c r="BZ3093" s="76"/>
      <c r="CA3093" s="76"/>
      <c r="CB3093" s="76"/>
      <c r="CC3093" s="76"/>
      <c r="CD3093" s="76"/>
      <c r="CE3093" s="76"/>
      <c r="CF3093" s="76">
        <f>+CE3093*28000</f>
        <v>0</v>
      </c>
      <c r="CG3093" s="76"/>
      <c r="CH3093" s="76">
        <f>+CG3093*22500</f>
        <v>0</v>
      </c>
      <c r="CI3093" s="76"/>
      <c r="CJ3093" s="76">
        <f>+CI3093*26000</f>
        <v>0</v>
      </c>
      <c r="CK3093" s="76"/>
      <c r="CL3093" s="76"/>
      <c r="CM3093" s="76"/>
      <c r="CN3093" s="76">
        <f>+CM3093*22000</f>
        <v>0</v>
      </c>
      <c r="CO3093" s="76"/>
      <c r="CP3093" s="76">
        <f>+CO3093*46000</f>
        <v>0</v>
      </c>
      <c r="CQ3093" s="76"/>
      <c r="CR3093" s="76">
        <f>+CQ3093*49000</f>
        <v>0</v>
      </c>
      <c r="CS3093" s="76"/>
      <c r="CT3093" s="76"/>
      <c r="CU3093" s="56">
        <f>AN3093+AP3093+AR3093+AT3093+AV3093+AX3093+AZ3093+BB3093+BD3093+BF3093+BH3093+BJ3093+BL3093+BN3093+BP3093+BR3093+BT3093+BV3093+BX3093+BZ3093+CB3093+CD3093+CF3093+CH3093+CJ3093+CL3093+CN3093+CP3093+CR3093+CT3093</f>
        <v>0</v>
      </c>
      <c r="CV3093" s="76"/>
      <c r="CW3093" s="76">
        <f>+CV3093*1100</f>
        <v>0</v>
      </c>
      <c r="CX3093" s="76"/>
      <c r="CY3093" s="76">
        <f>+CX3093*106250</f>
        <v>0</v>
      </c>
      <c r="CZ3093" s="76"/>
      <c r="DA3093" s="76">
        <f>+CZ3093*34500</f>
        <v>0</v>
      </c>
      <c r="DB3093" s="76"/>
      <c r="DC3093" s="76">
        <f>+DB3093*25000</f>
        <v>0</v>
      </c>
      <c r="DD3093" s="219"/>
      <c r="DE3093" s="219"/>
      <c r="DF3093" s="166"/>
      <c r="DG3093" s="116"/>
      <c r="DH3093" s="117"/>
      <c r="DI3093" s="24"/>
      <c r="DJ3093" s="24"/>
      <c r="DK3093" s="24"/>
      <c r="DL3093" s="24"/>
      <c r="DM3093" s="24"/>
      <c r="DN3093" s="24"/>
      <c r="DO3093" s="24"/>
      <c r="DP3093" s="24"/>
      <c r="DQ3093" s="24"/>
      <c r="DR3093" s="24"/>
      <c r="DS3093" s="24"/>
      <c r="DT3093" s="24"/>
      <c r="DU3093" s="24"/>
    </row>
    <row r="3094" spans="1:125" s="8" customFormat="1" ht="108" x14ac:dyDescent="0.2">
      <c r="A3094" s="77">
        <v>41538</v>
      </c>
      <c r="B3094" s="352" t="s">
        <v>2855</v>
      </c>
      <c r="C3094" s="354" t="s">
        <v>2801</v>
      </c>
      <c r="D3094" s="354" t="s">
        <v>3051</v>
      </c>
      <c r="E3094" s="296" t="str">
        <f>VLOOKUP(B3094&amp;C3094,Divipola!$C$2:$F$1138,4,FALSE)</f>
        <v>20383</v>
      </c>
      <c r="F3094" s="87"/>
      <c r="G3094" s="87"/>
      <c r="H3094" s="87"/>
      <c r="I3094" s="87">
        <v>110</v>
      </c>
      <c r="J3094" s="87">
        <v>22</v>
      </c>
      <c r="K3094" s="87"/>
      <c r="L3094" s="87">
        <v>22</v>
      </c>
      <c r="M3094" s="87"/>
      <c r="N3094" s="87"/>
      <c r="O3094" s="87"/>
      <c r="P3094" s="87"/>
      <c r="Q3094" s="87"/>
      <c r="R3094" s="87"/>
      <c r="S3094" s="87"/>
      <c r="T3094" s="87"/>
      <c r="U3094" s="88">
        <v>12</v>
      </c>
      <c r="V3094" s="89"/>
      <c r="W3094" s="96">
        <v>0</v>
      </c>
      <c r="X3094" s="71">
        <f>CU3094</f>
        <v>0</v>
      </c>
      <c r="Y3094" s="71">
        <f>CY3094</f>
        <v>0</v>
      </c>
      <c r="Z3094" s="71">
        <f>DA3094+DC3094+DE3094</f>
        <v>0</v>
      </c>
      <c r="AA3094" s="71">
        <f>CW3094</f>
        <v>0</v>
      </c>
      <c r="AB3094" s="71"/>
      <c r="AC3094" s="71">
        <v>0</v>
      </c>
      <c r="AD3094" s="71">
        <f>W3094+X3094+Y3094+Z3094+AA3094+AB3094+AC3094</f>
        <v>0</v>
      </c>
      <c r="AE3094" s="72">
        <v>0</v>
      </c>
      <c r="AF3094" s="5"/>
      <c r="AG3094" s="6"/>
      <c r="AH3094" s="27"/>
      <c r="AI3094" s="44"/>
      <c r="AJ3094" s="26"/>
      <c r="AK3094" s="5"/>
      <c r="AL3094" s="82" t="s">
        <v>6003</v>
      </c>
      <c r="AM3094" s="76"/>
      <c r="AN3094" s="76"/>
      <c r="AO3094" s="76"/>
      <c r="AP3094" s="76"/>
      <c r="AQ3094" s="76"/>
      <c r="AR3094" s="76"/>
      <c r="AS3094" s="76"/>
      <c r="AT3094" s="76"/>
      <c r="AU3094" s="76"/>
      <c r="AV3094" s="76"/>
      <c r="AW3094" s="76"/>
      <c r="AX3094" s="76">
        <f>+AW3094*600000</f>
        <v>0</v>
      </c>
      <c r="AY3094" s="76"/>
      <c r="AZ3094" s="76">
        <f>+AY3094*70000</f>
        <v>0</v>
      </c>
      <c r="BA3094" s="76"/>
      <c r="BB3094" s="76"/>
      <c r="BC3094" s="76"/>
      <c r="BD3094" s="76">
        <f>+BC3094*30000</f>
        <v>0</v>
      </c>
      <c r="BE3094" s="76"/>
      <c r="BF3094" s="76"/>
      <c r="BG3094" s="76"/>
      <c r="BH3094" s="76"/>
      <c r="BI3094" s="76"/>
      <c r="BJ3094" s="76"/>
      <c r="BK3094" s="76"/>
      <c r="BL3094" s="76">
        <f>+BK3094*31500</f>
        <v>0</v>
      </c>
      <c r="BM3094" s="76"/>
      <c r="BN3094" s="76"/>
      <c r="BO3094" s="76"/>
      <c r="BP3094" s="76"/>
      <c r="BQ3094" s="76"/>
      <c r="BR3094" s="76"/>
      <c r="BS3094" s="76"/>
      <c r="BT3094" s="76"/>
      <c r="BU3094" s="76"/>
      <c r="BV3094" s="76"/>
      <c r="BW3094" s="76"/>
      <c r="BX3094" s="76"/>
      <c r="BY3094" s="76"/>
      <c r="BZ3094" s="76"/>
      <c r="CA3094" s="76"/>
      <c r="CB3094" s="76"/>
      <c r="CC3094" s="76"/>
      <c r="CD3094" s="76"/>
      <c r="CE3094" s="76"/>
      <c r="CF3094" s="76">
        <f>+CE3094*28000</f>
        <v>0</v>
      </c>
      <c r="CG3094" s="76"/>
      <c r="CH3094" s="76">
        <f>+CG3094*22500</f>
        <v>0</v>
      </c>
      <c r="CI3094" s="76"/>
      <c r="CJ3094" s="76">
        <f>+CI3094*26000</f>
        <v>0</v>
      </c>
      <c r="CK3094" s="76"/>
      <c r="CL3094" s="76"/>
      <c r="CM3094" s="76"/>
      <c r="CN3094" s="76">
        <f>+CM3094*22000</f>
        <v>0</v>
      </c>
      <c r="CO3094" s="76"/>
      <c r="CP3094" s="76">
        <f>+CO3094*46000</f>
        <v>0</v>
      </c>
      <c r="CQ3094" s="76"/>
      <c r="CR3094" s="76">
        <f>+CQ3094*49000</f>
        <v>0</v>
      </c>
      <c r="CS3094" s="76"/>
      <c r="CT3094" s="76"/>
      <c r="CU3094" s="56">
        <f>AN3094+AP3094+AR3094+AT3094+AV3094+AX3094+AZ3094+BB3094+BD3094+BF3094+BH3094+BJ3094+BL3094+BN3094+BP3094+BR3094+BT3094+BV3094+BX3094+BZ3094+CB3094+CD3094+CF3094+CH3094+CJ3094+CL3094+CN3094+CP3094+CR3094+CT3094</f>
        <v>0</v>
      </c>
      <c r="CV3094" s="76"/>
      <c r="CW3094" s="76">
        <f>+CV3094*1100</f>
        <v>0</v>
      </c>
      <c r="CX3094" s="76"/>
      <c r="CY3094" s="76">
        <f>+CX3094*106250</f>
        <v>0</v>
      </c>
      <c r="CZ3094" s="76"/>
      <c r="DA3094" s="76">
        <f>+CZ3094*34500</f>
        <v>0</v>
      </c>
      <c r="DB3094" s="76"/>
      <c r="DC3094" s="76">
        <f>+DB3094*25000</f>
        <v>0</v>
      </c>
      <c r="DD3094" s="219"/>
      <c r="DE3094" s="219"/>
      <c r="DF3094" s="166"/>
      <c r="DG3094" s="116"/>
      <c r="DH3094" s="117"/>
      <c r="DI3094" s="24"/>
      <c r="DJ3094" s="24"/>
      <c r="DK3094" s="24"/>
      <c r="DL3094" s="24"/>
      <c r="DM3094" s="24"/>
      <c r="DN3094" s="24"/>
      <c r="DO3094" s="24"/>
      <c r="DP3094" s="24"/>
      <c r="DQ3094" s="24"/>
      <c r="DR3094" s="24"/>
      <c r="DS3094" s="24"/>
      <c r="DT3094" s="24"/>
      <c r="DU3094" s="24"/>
    </row>
    <row r="3095" spans="1:125" s="8" customFormat="1" ht="84" x14ac:dyDescent="0.2">
      <c r="A3095" s="77">
        <v>41538</v>
      </c>
      <c r="B3095" s="352" t="s">
        <v>2772</v>
      </c>
      <c r="C3095" s="354" t="s">
        <v>485</v>
      </c>
      <c r="D3095" s="354" t="s">
        <v>2846</v>
      </c>
      <c r="E3095" s="296" t="str">
        <f>VLOOKUP(B3095&amp;C3095,Divipola!$C$2:$F$1138,4,FALSE)</f>
        <v>25040</v>
      </c>
      <c r="F3095" s="87"/>
      <c r="G3095" s="87"/>
      <c r="H3095" s="87"/>
      <c r="I3095" s="87"/>
      <c r="J3095" s="87"/>
      <c r="K3095" s="87"/>
      <c r="L3095" s="87"/>
      <c r="M3095" s="87"/>
      <c r="N3095" s="87"/>
      <c r="O3095" s="87"/>
      <c r="P3095" s="87"/>
      <c r="Q3095" s="87"/>
      <c r="R3095" s="87"/>
      <c r="S3095" s="87"/>
      <c r="T3095" s="87"/>
      <c r="U3095" s="88">
        <v>1</v>
      </c>
      <c r="V3095" s="89"/>
      <c r="W3095" s="96">
        <v>0</v>
      </c>
      <c r="X3095" s="71">
        <f>CU3095</f>
        <v>0</v>
      </c>
      <c r="Y3095" s="71">
        <f>CY3095</f>
        <v>0</v>
      </c>
      <c r="Z3095" s="71">
        <f>DA3095+DC3095+DE3095</f>
        <v>0</v>
      </c>
      <c r="AA3095" s="71">
        <f>CW3095</f>
        <v>0</v>
      </c>
      <c r="AB3095" s="71"/>
      <c r="AC3095" s="71">
        <v>0</v>
      </c>
      <c r="AD3095" s="71">
        <f>W3095+X3095+Y3095+Z3095+AA3095+AB3095+AC3095</f>
        <v>0</v>
      </c>
      <c r="AE3095" s="72">
        <v>0</v>
      </c>
      <c r="AF3095" s="5"/>
      <c r="AG3095" s="6"/>
      <c r="AH3095" s="27"/>
      <c r="AI3095" s="44"/>
      <c r="AJ3095" s="26"/>
      <c r="AK3095" s="5"/>
      <c r="AL3095" s="82" t="s">
        <v>6040</v>
      </c>
      <c r="AM3095" s="76"/>
      <c r="AN3095" s="76"/>
      <c r="AO3095" s="76"/>
      <c r="AP3095" s="76"/>
      <c r="AQ3095" s="76"/>
      <c r="AR3095" s="76"/>
      <c r="AS3095" s="76"/>
      <c r="AT3095" s="76"/>
      <c r="AU3095" s="76"/>
      <c r="AV3095" s="76"/>
      <c r="AW3095" s="76"/>
      <c r="AX3095" s="76">
        <f>+AW3095*600000</f>
        <v>0</v>
      </c>
      <c r="AY3095" s="76"/>
      <c r="AZ3095" s="76">
        <f>+AY3095*70000</f>
        <v>0</v>
      </c>
      <c r="BA3095" s="76"/>
      <c r="BB3095" s="76"/>
      <c r="BC3095" s="76"/>
      <c r="BD3095" s="76">
        <f>+BC3095*30000</f>
        <v>0</v>
      </c>
      <c r="BE3095" s="76"/>
      <c r="BF3095" s="76"/>
      <c r="BG3095" s="76"/>
      <c r="BH3095" s="76"/>
      <c r="BI3095" s="76"/>
      <c r="BJ3095" s="76"/>
      <c r="BK3095" s="76"/>
      <c r="BL3095" s="76">
        <f>+BK3095*31500</f>
        <v>0</v>
      </c>
      <c r="BM3095" s="76"/>
      <c r="BN3095" s="76"/>
      <c r="BO3095" s="76"/>
      <c r="BP3095" s="76"/>
      <c r="BQ3095" s="76"/>
      <c r="BR3095" s="76"/>
      <c r="BS3095" s="76"/>
      <c r="BT3095" s="76"/>
      <c r="BU3095" s="76"/>
      <c r="BV3095" s="76"/>
      <c r="BW3095" s="76"/>
      <c r="BX3095" s="76"/>
      <c r="BY3095" s="76"/>
      <c r="BZ3095" s="76"/>
      <c r="CA3095" s="76"/>
      <c r="CB3095" s="76"/>
      <c r="CC3095" s="76"/>
      <c r="CD3095" s="76"/>
      <c r="CE3095" s="76"/>
      <c r="CF3095" s="76">
        <f>+CE3095*28000</f>
        <v>0</v>
      </c>
      <c r="CG3095" s="76"/>
      <c r="CH3095" s="76">
        <f>+CG3095*22500</f>
        <v>0</v>
      </c>
      <c r="CI3095" s="76"/>
      <c r="CJ3095" s="76">
        <f>+CI3095*26000</f>
        <v>0</v>
      </c>
      <c r="CK3095" s="76"/>
      <c r="CL3095" s="76"/>
      <c r="CM3095" s="76"/>
      <c r="CN3095" s="76">
        <f>+CM3095*22000</f>
        <v>0</v>
      </c>
      <c r="CO3095" s="76"/>
      <c r="CP3095" s="76">
        <f>+CO3095*46000</f>
        <v>0</v>
      </c>
      <c r="CQ3095" s="76"/>
      <c r="CR3095" s="76">
        <f>+CQ3095*49000</f>
        <v>0</v>
      </c>
      <c r="CS3095" s="76"/>
      <c r="CT3095" s="76"/>
      <c r="CU3095" s="56">
        <f>AN3095+AP3095+AR3095+AT3095+AV3095+AX3095+AZ3095+BB3095+BD3095+BF3095+BH3095+BJ3095+BL3095+BN3095+BP3095+BR3095+BT3095+BV3095+BX3095+BZ3095+CB3095+CD3095+CF3095+CH3095+CJ3095+CL3095+CN3095+CP3095+CR3095+CT3095</f>
        <v>0</v>
      </c>
      <c r="CV3095" s="76"/>
      <c r="CW3095" s="76">
        <f>+CV3095*1100</f>
        <v>0</v>
      </c>
      <c r="CX3095" s="76"/>
      <c r="CY3095" s="76">
        <f>+CX3095*106250</f>
        <v>0</v>
      </c>
      <c r="CZ3095" s="76"/>
      <c r="DA3095" s="76">
        <f>+CZ3095*34500</f>
        <v>0</v>
      </c>
      <c r="DB3095" s="76"/>
      <c r="DC3095" s="76">
        <f>+DB3095*25000</f>
        <v>0</v>
      </c>
      <c r="DD3095" s="219"/>
      <c r="DE3095" s="219"/>
      <c r="DF3095" s="166"/>
      <c r="DG3095" s="116"/>
      <c r="DH3095" s="117"/>
      <c r="DI3095" s="24"/>
      <c r="DJ3095" s="24"/>
      <c r="DK3095" s="24"/>
      <c r="DL3095" s="24"/>
      <c r="DM3095" s="24"/>
      <c r="DN3095" s="24"/>
      <c r="DO3095" s="24"/>
      <c r="DP3095" s="24"/>
      <c r="DQ3095" s="24"/>
      <c r="DR3095" s="24"/>
      <c r="DS3095" s="24"/>
      <c r="DT3095" s="24"/>
      <c r="DU3095" s="24"/>
    </row>
    <row r="3096" spans="1:125" s="8" customFormat="1" ht="60" x14ac:dyDescent="0.2">
      <c r="A3096" s="77">
        <v>41538</v>
      </c>
      <c r="B3096" s="78" t="s">
        <v>2772</v>
      </c>
      <c r="C3096" s="75" t="s">
        <v>1108</v>
      </c>
      <c r="D3096" s="75" t="s">
        <v>2846</v>
      </c>
      <c r="E3096" s="296" t="str">
        <f>VLOOKUP(B3096&amp;C3096,Divipola!$C$2:$F$1138,4,FALSE)</f>
        <v>25430</v>
      </c>
      <c r="F3096" s="87"/>
      <c r="G3096" s="87"/>
      <c r="H3096" s="87"/>
      <c r="I3096" s="87"/>
      <c r="J3096" s="87"/>
      <c r="K3096" s="87"/>
      <c r="L3096" s="87"/>
      <c r="M3096" s="87"/>
      <c r="N3096" s="87"/>
      <c r="O3096" s="87"/>
      <c r="P3096" s="87"/>
      <c r="Q3096" s="87"/>
      <c r="R3096" s="87"/>
      <c r="S3096" s="87"/>
      <c r="T3096" s="87"/>
      <c r="U3096" s="88">
        <v>5</v>
      </c>
      <c r="V3096" s="89"/>
      <c r="W3096" s="96">
        <v>0</v>
      </c>
      <c r="X3096" s="71">
        <f>CU3096</f>
        <v>0</v>
      </c>
      <c r="Y3096" s="71">
        <f>CY3096</f>
        <v>0</v>
      </c>
      <c r="Z3096" s="71">
        <f>DA3096+DC3096+DE3096</f>
        <v>0</v>
      </c>
      <c r="AA3096" s="71">
        <f>CW3096</f>
        <v>0</v>
      </c>
      <c r="AB3096" s="71"/>
      <c r="AC3096" s="71">
        <v>0</v>
      </c>
      <c r="AD3096" s="71">
        <f>W3096+X3096+Y3096+Z3096+AA3096+AB3096+AC3096</f>
        <v>0</v>
      </c>
      <c r="AE3096" s="72">
        <v>0</v>
      </c>
      <c r="AF3096" s="5"/>
      <c r="AG3096" s="6"/>
      <c r="AH3096" s="27"/>
      <c r="AI3096" s="44"/>
      <c r="AJ3096" s="26"/>
      <c r="AK3096" s="5"/>
      <c r="AL3096" s="268" t="s">
        <v>6002</v>
      </c>
      <c r="AM3096" s="76"/>
      <c r="AN3096" s="76"/>
      <c r="AO3096" s="76"/>
      <c r="AP3096" s="76"/>
      <c r="AQ3096" s="76"/>
      <c r="AR3096" s="76"/>
      <c r="AS3096" s="76"/>
      <c r="AT3096" s="76"/>
      <c r="AU3096" s="76"/>
      <c r="AV3096" s="76"/>
      <c r="AW3096" s="76"/>
      <c r="AX3096" s="76">
        <f>+AW3096*600000</f>
        <v>0</v>
      </c>
      <c r="AY3096" s="76"/>
      <c r="AZ3096" s="76">
        <f>+AY3096*70000</f>
        <v>0</v>
      </c>
      <c r="BA3096" s="76"/>
      <c r="BB3096" s="76"/>
      <c r="BC3096" s="76"/>
      <c r="BD3096" s="76">
        <f>+BC3096*30000</f>
        <v>0</v>
      </c>
      <c r="BE3096" s="76"/>
      <c r="BF3096" s="76"/>
      <c r="BG3096" s="76"/>
      <c r="BH3096" s="76"/>
      <c r="BI3096" s="76"/>
      <c r="BJ3096" s="76"/>
      <c r="BK3096" s="76"/>
      <c r="BL3096" s="76">
        <f>+BK3096*31500</f>
        <v>0</v>
      </c>
      <c r="BM3096" s="76"/>
      <c r="BN3096" s="76"/>
      <c r="BO3096" s="76"/>
      <c r="BP3096" s="76"/>
      <c r="BQ3096" s="76"/>
      <c r="BR3096" s="76"/>
      <c r="BS3096" s="76"/>
      <c r="BT3096" s="76"/>
      <c r="BU3096" s="76"/>
      <c r="BV3096" s="76"/>
      <c r="BW3096" s="76"/>
      <c r="BX3096" s="76"/>
      <c r="BY3096" s="76"/>
      <c r="BZ3096" s="76"/>
      <c r="CA3096" s="76"/>
      <c r="CB3096" s="76"/>
      <c r="CC3096" s="76"/>
      <c r="CD3096" s="76"/>
      <c r="CE3096" s="76"/>
      <c r="CF3096" s="76">
        <f>+CE3096*28000</f>
        <v>0</v>
      </c>
      <c r="CG3096" s="76"/>
      <c r="CH3096" s="76">
        <f>+CG3096*22500</f>
        <v>0</v>
      </c>
      <c r="CI3096" s="76"/>
      <c r="CJ3096" s="76">
        <f>+CI3096*26000</f>
        <v>0</v>
      </c>
      <c r="CK3096" s="76"/>
      <c r="CL3096" s="76"/>
      <c r="CM3096" s="76"/>
      <c r="CN3096" s="76">
        <f>+CM3096*22000</f>
        <v>0</v>
      </c>
      <c r="CO3096" s="76"/>
      <c r="CP3096" s="76">
        <f>+CO3096*46000</f>
        <v>0</v>
      </c>
      <c r="CQ3096" s="76"/>
      <c r="CR3096" s="76">
        <f>+CQ3096*49000</f>
        <v>0</v>
      </c>
      <c r="CS3096" s="76"/>
      <c r="CT3096" s="76"/>
      <c r="CU3096" s="56">
        <f>AN3096+AP3096+AR3096+AT3096+AV3096+AX3096+AZ3096+BB3096+BD3096+BF3096+BH3096+BJ3096+BL3096+BN3096+BP3096+BR3096+BT3096+BV3096+BX3096+BZ3096+CB3096+CD3096+CF3096+CH3096+CJ3096+CL3096+CN3096+CP3096+CR3096+CT3096</f>
        <v>0</v>
      </c>
      <c r="CV3096" s="76"/>
      <c r="CW3096" s="76">
        <f>+CV3096*1100</f>
        <v>0</v>
      </c>
      <c r="CX3096" s="76"/>
      <c r="CY3096" s="76">
        <f>+CX3096*106250</f>
        <v>0</v>
      </c>
      <c r="CZ3096" s="76"/>
      <c r="DA3096" s="76">
        <f>+CZ3096*34500</f>
        <v>0</v>
      </c>
      <c r="DB3096" s="76"/>
      <c r="DC3096" s="76">
        <f>+DB3096*25000</f>
        <v>0</v>
      </c>
      <c r="DD3096" s="219"/>
      <c r="DE3096" s="219"/>
      <c r="DF3096" s="166"/>
      <c r="DG3096" s="116"/>
      <c r="DH3096" s="117"/>
      <c r="DI3096" s="24"/>
      <c r="DJ3096" s="24"/>
      <c r="DK3096" s="24"/>
      <c r="DL3096" s="24"/>
      <c r="DM3096" s="24"/>
      <c r="DN3096" s="24"/>
      <c r="DO3096" s="24"/>
      <c r="DP3096" s="24"/>
      <c r="DQ3096" s="24"/>
      <c r="DR3096" s="24"/>
      <c r="DS3096" s="24"/>
      <c r="DT3096" s="24"/>
      <c r="DU3096" s="24"/>
    </row>
    <row r="3097" spans="1:125" s="8" customFormat="1" ht="84" x14ac:dyDescent="0.2">
      <c r="A3097" s="77">
        <v>41538</v>
      </c>
      <c r="B3097" s="352" t="s">
        <v>2772</v>
      </c>
      <c r="C3097" s="354" t="s">
        <v>2690</v>
      </c>
      <c r="D3097" s="354" t="s">
        <v>2846</v>
      </c>
      <c r="E3097" s="296" t="str">
        <f>VLOOKUP(B3097&amp;C3097,Divipola!$C$2:$F$1138,4,FALSE)</f>
        <v>25513</v>
      </c>
      <c r="F3097" s="87"/>
      <c r="G3097" s="87"/>
      <c r="H3097" s="87"/>
      <c r="I3097" s="87"/>
      <c r="J3097" s="87"/>
      <c r="K3097" s="87"/>
      <c r="L3097" s="87"/>
      <c r="M3097" s="87"/>
      <c r="N3097" s="87"/>
      <c r="O3097" s="87"/>
      <c r="P3097" s="87"/>
      <c r="Q3097" s="87"/>
      <c r="R3097" s="87"/>
      <c r="S3097" s="87"/>
      <c r="T3097" s="87"/>
      <c r="U3097" s="88">
        <v>9</v>
      </c>
      <c r="V3097" s="89"/>
      <c r="W3097" s="96">
        <v>0</v>
      </c>
      <c r="X3097" s="71">
        <f>CU3097</f>
        <v>0</v>
      </c>
      <c r="Y3097" s="71">
        <f>CY3097</f>
        <v>0</v>
      </c>
      <c r="Z3097" s="71">
        <f>DA3097+DC3097+DE3097</f>
        <v>0</v>
      </c>
      <c r="AA3097" s="71">
        <f>CW3097</f>
        <v>0</v>
      </c>
      <c r="AB3097" s="71"/>
      <c r="AC3097" s="71">
        <v>0</v>
      </c>
      <c r="AD3097" s="71">
        <f>W3097+X3097+Y3097+Z3097+AA3097+AB3097+AC3097</f>
        <v>0</v>
      </c>
      <c r="AE3097" s="72">
        <v>0</v>
      </c>
      <c r="AF3097" s="5"/>
      <c r="AG3097" s="6"/>
      <c r="AH3097" s="27"/>
      <c r="AI3097" s="44"/>
      <c r="AJ3097" s="26"/>
      <c r="AK3097" s="5"/>
      <c r="AL3097" s="268" t="s">
        <v>6110</v>
      </c>
      <c r="AM3097" s="76"/>
      <c r="AN3097" s="76"/>
      <c r="AO3097" s="76"/>
      <c r="AP3097" s="76"/>
      <c r="AQ3097" s="76"/>
      <c r="AR3097" s="76"/>
      <c r="AS3097" s="76"/>
      <c r="AT3097" s="76"/>
      <c r="AU3097" s="76"/>
      <c r="AV3097" s="76"/>
      <c r="AW3097" s="76"/>
      <c r="AX3097" s="76">
        <f>+AW3097*600000</f>
        <v>0</v>
      </c>
      <c r="AY3097" s="76"/>
      <c r="AZ3097" s="76">
        <f>+AY3097*70000</f>
        <v>0</v>
      </c>
      <c r="BA3097" s="76"/>
      <c r="BB3097" s="76"/>
      <c r="BC3097" s="76"/>
      <c r="BD3097" s="76">
        <f>+BC3097*30000</f>
        <v>0</v>
      </c>
      <c r="BE3097" s="76"/>
      <c r="BF3097" s="76"/>
      <c r="BG3097" s="76"/>
      <c r="BH3097" s="76"/>
      <c r="BI3097" s="76"/>
      <c r="BJ3097" s="76"/>
      <c r="BK3097" s="76"/>
      <c r="BL3097" s="76">
        <f>+BK3097*31500</f>
        <v>0</v>
      </c>
      <c r="BM3097" s="76"/>
      <c r="BN3097" s="76"/>
      <c r="BO3097" s="76"/>
      <c r="BP3097" s="76"/>
      <c r="BQ3097" s="76"/>
      <c r="BR3097" s="76"/>
      <c r="BS3097" s="76"/>
      <c r="BT3097" s="76"/>
      <c r="BU3097" s="76"/>
      <c r="BV3097" s="76"/>
      <c r="BW3097" s="76"/>
      <c r="BX3097" s="76"/>
      <c r="BY3097" s="76"/>
      <c r="BZ3097" s="76"/>
      <c r="CA3097" s="76"/>
      <c r="CB3097" s="76"/>
      <c r="CC3097" s="76"/>
      <c r="CD3097" s="76"/>
      <c r="CE3097" s="76"/>
      <c r="CF3097" s="76">
        <f>+CE3097*28000</f>
        <v>0</v>
      </c>
      <c r="CG3097" s="76"/>
      <c r="CH3097" s="76">
        <f>+CG3097*22500</f>
        <v>0</v>
      </c>
      <c r="CI3097" s="76"/>
      <c r="CJ3097" s="76">
        <f>+CI3097*26000</f>
        <v>0</v>
      </c>
      <c r="CK3097" s="76"/>
      <c r="CL3097" s="76"/>
      <c r="CM3097" s="76"/>
      <c r="CN3097" s="76">
        <f>+CM3097*22000</f>
        <v>0</v>
      </c>
      <c r="CO3097" s="76"/>
      <c r="CP3097" s="76">
        <f>+CO3097*46000</f>
        <v>0</v>
      </c>
      <c r="CQ3097" s="76"/>
      <c r="CR3097" s="76">
        <f>+CQ3097*49000</f>
        <v>0</v>
      </c>
      <c r="CS3097" s="76"/>
      <c r="CT3097" s="76"/>
      <c r="CU3097" s="56">
        <f>AN3097+AP3097+AR3097+AT3097+AV3097+AX3097+AZ3097+BB3097+BD3097+BF3097+BH3097+BJ3097+BL3097+BN3097+BP3097+BR3097+BT3097+BV3097+BX3097+BZ3097+CB3097+CD3097+CF3097+CH3097+CJ3097+CL3097+CN3097+CP3097+CR3097+CT3097</f>
        <v>0</v>
      </c>
      <c r="CV3097" s="76"/>
      <c r="CW3097" s="76">
        <f>+CV3097*1100</f>
        <v>0</v>
      </c>
      <c r="CX3097" s="76"/>
      <c r="CY3097" s="76">
        <f>+CX3097*106250</f>
        <v>0</v>
      </c>
      <c r="CZ3097" s="76"/>
      <c r="DA3097" s="76">
        <f>+CZ3097*34500</f>
        <v>0</v>
      </c>
      <c r="DB3097" s="76"/>
      <c r="DC3097" s="76">
        <f>+DB3097*25000</f>
        <v>0</v>
      </c>
      <c r="DD3097" s="219"/>
      <c r="DE3097" s="219"/>
      <c r="DF3097" s="166"/>
      <c r="DG3097" s="116"/>
      <c r="DH3097" s="117"/>
      <c r="DI3097" s="24"/>
      <c r="DJ3097" s="24"/>
      <c r="DK3097" s="24"/>
      <c r="DL3097" s="24"/>
      <c r="DM3097" s="24"/>
      <c r="DN3097" s="24"/>
      <c r="DO3097" s="24"/>
      <c r="DP3097" s="24"/>
      <c r="DQ3097" s="24"/>
      <c r="DR3097" s="24"/>
      <c r="DS3097" s="24"/>
      <c r="DT3097" s="24"/>
      <c r="DU3097" s="24"/>
    </row>
    <row r="3098" spans="1:125" s="8" customFormat="1" ht="48" x14ac:dyDescent="0.2">
      <c r="A3098" s="77">
        <v>41538</v>
      </c>
      <c r="B3098" s="352" t="s">
        <v>2811</v>
      </c>
      <c r="C3098" s="354" t="s">
        <v>521</v>
      </c>
      <c r="D3098" s="354" t="s">
        <v>2882</v>
      </c>
      <c r="E3098" s="296" t="str">
        <f>VLOOKUP(B3098&amp;C3098,Divipola!$C$2:$F$1138,4,FALSE)</f>
        <v>52520</v>
      </c>
      <c r="F3098" s="87"/>
      <c r="G3098" s="87"/>
      <c r="H3098" s="87"/>
      <c r="I3098" s="87"/>
      <c r="J3098" s="87"/>
      <c r="K3098" s="87"/>
      <c r="L3098" s="87"/>
      <c r="M3098" s="87"/>
      <c r="N3098" s="87"/>
      <c r="O3098" s="87"/>
      <c r="P3098" s="87"/>
      <c r="Q3098" s="87"/>
      <c r="R3098" s="87"/>
      <c r="S3098" s="87">
        <v>1</v>
      </c>
      <c r="T3098" s="87"/>
      <c r="U3098" s="88"/>
      <c r="V3098" s="89"/>
      <c r="W3098" s="96">
        <v>0</v>
      </c>
      <c r="X3098" s="71">
        <f>CU3098</f>
        <v>0</v>
      </c>
      <c r="Y3098" s="71">
        <f>CY3098</f>
        <v>0</v>
      </c>
      <c r="Z3098" s="71">
        <f>DA3098+DC3098+DE3098</f>
        <v>0</v>
      </c>
      <c r="AA3098" s="71">
        <f>CW3098</f>
        <v>0</v>
      </c>
      <c r="AB3098" s="71"/>
      <c r="AC3098" s="71">
        <v>0</v>
      </c>
      <c r="AD3098" s="71">
        <f>W3098+X3098+Y3098+Z3098+AA3098+AB3098+AC3098</f>
        <v>0</v>
      </c>
      <c r="AE3098" s="72">
        <v>0</v>
      </c>
      <c r="AF3098" s="5"/>
      <c r="AG3098" s="6"/>
      <c r="AH3098" s="27"/>
      <c r="AI3098" s="44"/>
      <c r="AJ3098" s="26"/>
      <c r="AK3098" s="5"/>
      <c r="AL3098" s="82" t="s">
        <v>6001</v>
      </c>
      <c r="AM3098" s="76"/>
      <c r="AN3098" s="76"/>
      <c r="AO3098" s="76"/>
      <c r="AP3098" s="76"/>
      <c r="AQ3098" s="76"/>
      <c r="AR3098" s="76"/>
      <c r="AS3098" s="76"/>
      <c r="AT3098" s="76"/>
      <c r="AU3098" s="76"/>
      <c r="AV3098" s="76"/>
      <c r="AW3098" s="76"/>
      <c r="AX3098" s="76">
        <f>+AW3098*600000</f>
        <v>0</v>
      </c>
      <c r="AY3098" s="76"/>
      <c r="AZ3098" s="76">
        <f>+AY3098*70000</f>
        <v>0</v>
      </c>
      <c r="BA3098" s="76"/>
      <c r="BB3098" s="76"/>
      <c r="BC3098" s="76"/>
      <c r="BD3098" s="76">
        <f>+BC3098*30000</f>
        <v>0</v>
      </c>
      <c r="BE3098" s="76"/>
      <c r="BF3098" s="76"/>
      <c r="BG3098" s="76"/>
      <c r="BH3098" s="76"/>
      <c r="BI3098" s="76"/>
      <c r="BJ3098" s="76"/>
      <c r="BK3098" s="76"/>
      <c r="BL3098" s="76">
        <f>+BK3098*31500</f>
        <v>0</v>
      </c>
      <c r="BM3098" s="76"/>
      <c r="BN3098" s="76"/>
      <c r="BO3098" s="76"/>
      <c r="BP3098" s="76"/>
      <c r="BQ3098" s="76"/>
      <c r="BR3098" s="76"/>
      <c r="BS3098" s="76"/>
      <c r="BT3098" s="76"/>
      <c r="BU3098" s="76"/>
      <c r="BV3098" s="76"/>
      <c r="BW3098" s="76"/>
      <c r="BX3098" s="76"/>
      <c r="BY3098" s="76"/>
      <c r="BZ3098" s="76"/>
      <c r="CA3098" s="76"/>
      <c r="CB3098" s="76"/>
      <c r="CC3098" s="76"/>
      <c r="CD3098" s="76"/>
      <c r="CE3098" s="76"/>
      <c r="CF3098" s="76">
        <f>+CE3098*28000</f>
        <v>0</v>
      </c>
      <c r="CG3098" s="76"/>
      <c r="CH3098" s="76">
        <f>+CG3098*22500</f>
        <v>0</v>
      </c>
      <c r="CI3098" s="76"/>
      <c r="CJ3098" s="76">
        <f>+CI3098*26000</f>
        <v>0</v>
      </c>
      <c r="CK3098" s="76"/>
      <c r="CL3098" s="76"/>
      <c r="CM3098" s="76"/>
      <c r="CN3098" s="76">
        <f>+CM3098*22000</f>
        <v>0</v>
      </c>
      <c r="CO3098" s="76"/>
      <c r="CP3098" s="76">
        <f>+CO3098*46000</f>
        <v>0</v>
      </c>
      <c r="CQ3098" s="76"/>
      <c r="CR3098" s="76">
        <f>+CQ3098*49000</f>
        <v>0</v>
      </c>
      <c r="CS3098" s="76"/>
      <c r="CT3098" s="76"/>
      <c r="CU3098" s="56">
        <f>AN3098+AP3098+AR3098+AT3098+AV3098+AX3098+AZ3098+BB3098+BD3098+BF3098+BH3098+BJ3098+BL3098+BN3098+BP3098+BR3098+BT3098+BV3098+BX3098+BZ3098+CB3098+CD3098+CF3098+CH3098+CJ3098+CL3098+CN3098+CP3098+CR3098+CT3098</f>
        <v>0</v>
      </c>
      <c r="CV3098" s="76"/>
      <c r="CW3098" s="76">
        <f>+CV3098*1100</f>
        <v>0</v>
      </c>
      <c r="CX3098" s="76"/>
      <c r="CY3098" s="76">
        <f>+CX3098*106250</f>
        <v>0</v>
      </c>
      <c r="CZ3098" s="76"/>
      <c r="DA3098" s="76">
        <f>+CZ3098*34500</f>
        <v>0</v>
      </c>
      <c r="DB3098" s="76"/>
      <c r="DC3098" s="76">
        <f>+DB3098*25000</f>
        <v>0</v>
      </c>
      <c r="DD3098" s="219"/>
      <c r="DE3098" s="219"/>
      <c r="DF3098" s="166"/>
      <c r="DG3098" s="116"/>
      <c r="DH3098" s="117"/>
      <c r="DI3098" s="24"/>
      <c r="DJ3098" s="24"/>
      <c r="DK3098" s="24"/>
      <c r="DL3098" s="24"/>
      <c r="DM3098" s="24"/>
      <c r="DN3098" s="24"/>
      <c r="DO3098" s="24"/>
      <c r="DP3098" s="24"/>
      <c r="DQ3098" s="24"/>
      <c r="DR3098" s="24"/>
      <c r="DS3098" s="24"/>
      <c r="DT3098" s="24"/>
      <c r="DU3098" s="24"/>
    </row>
    <row r="3099" spans="1:125" s="8" customFormat="1" ht="48" x14ac:dyDescent="0.2">
      <c r="A3099" s="77">
        <v>41538</v>
      </c>
      <c r="B3099" s="78" t="s">
        <v>2774</v>
      </c>
      <c r="C3099" s="75" t="s">
        <v>2216</v>
      </c>
      <c r="D3099" s="75" t="s">
        <v>2846</v>
      </c>
      <c r="E3099" s="296" t="str">
        <f>VLOOKUP(B3099&amp;C3099,Divipola!$C$2:$F$1138,4,FALSE)</f>
        <v>66075</v>
      </c>
      <c r="F3099" s="87"/>
      <c r="G3099" s="87"/>
      <c r="H3099" s="87"/>
      <c r="I3099" s="87"/>
      <c r="J3099" s="87"/>
      <c r="K3099" s="87"/>
      <c r="L3099" s="87"/>
      <c r="M3099" s="87"/>
      <c r="N3099" s="87"/>
      <c r="O3099" s="87"/>
      <c r="P3099" s="87"/>
      <c r="Q3099" s="87"/>
      <c r="R3099" s="87"/>
      <c r="S3099" s="87"/>
      <c r="T3099" s="87"/>
      <c r="U3099" s="88">
        <v>1.5</v>
      </c>
      <c r="V3099" s="89"/>
      <c r="W3099" s="96">
        <v>0</v>
      </c>
      <c r="X3099" s="71">
        <f>CU3099</f>
        <v>0</v>
      </c>
      <c r="Y3099" s="71">
        <f>CY3099</f>
        <v>0</v>
      </c>
      <c r="Z3099" s="71">
        <f>DA3099+DC3099+DE3099</f>
        <v>0</v>
      </c>
      <c r="AA3099" s="71">
        <f>CW3099</f>
        <v>0</v>
      </c>
      <c r="AB3099" s="71"/>
      <c r="AC3099" s="71">
        <v>0</v>
      </c>
      <c r="AD3099" s="71">
        <f>W3099+X3099+Y3099+Z3099+AA3099+AB3099+AC3099</f>
        <v>0</v>
      </c>
      <c r="AE3099" s="72">
        <v>0</v>
      </c>
      <c r="AF3099" s="5"/>
      <c r="AG3099" s="6"/>
      <c r="AH3099" s="27"/>
      <c r="AI3099" s="44"/>
      <c r="AJ3099" s="26"/>
      <c r="AK3099" s="5"/>
      <c r="AL3099" s="268" t="s">
        <v>6000</v>
      </c>
      <c r="AM3099" s="76"/>
      <c r="AN3099" s="76"/>
      <c r="AO3099" s="76"/>
      <c r="AP3099" s="76"/>
      <c r="AQ3099" s="76"/>
      <c r="AR3099" s="76"/>
      <c r="AS3099" s="76"/>
      <c r="AT3099" s="76"/>
      <c r="AU3099" s="76"/>
      <c r="AV3099" s="76"/>
      <c r="AW3099" s="76"/>
      <c r="AX3099" s="76">
        <f>+AW3099*600000</f>
        <v>0</v>
      </c>
      <c r="AY3099" s="76"/>
      <c r="AZ3099" s="76">
        <f>+AY3099*70000</f>
        <v>0</v>
      </c>
      <c r="BA3099" s="76"/>
      <c r="BB3099" s="76"/>
      <c r="BC3099" s="76"/>
      <c r="BD3099" s="76">
        <f>+BC3099*30000</f>
        <v>0</v>
      </c>
      <c r="BE3099" s="76"/>
      <c r="BF3099" s="76"/>
      <c r="BG3099" s="76"/>
      <c r="BH3099" s="76"/>
      <c r="BI3099" s="76"/>
      <c r="BJ3099" s="76"/>
      <c r="BK3099" s="76"/>
      <c r="BL3099" s="76">
        <f>+BK3099*31500</f>
        <v>0</v>
      </c>
      <c r="BM3099" s="76"/>
      <c r="BN3099" s="76"/>
      <c r="BO3099" s="76"/>
      <c r="BP3099" s="76"/>
      <c r="BQ3099" s="76"/>
      <c r="BR3099" s="76"/>
      <c r="BS3099" s="76"/>
      <c r="BT3099" s="76"/>
      <c r="BU3099" s="76"/>
      <c r="BV3099" s="76"/>
      <c r="BW3099" s="76"/>
      <c r="BX3099" s="76"/>
      <c r="BY3099" s="76"/>
      <c r="BZ3099" s="76"/>
      <c r="CA3099" s="76"/>
      <c r="CB3099" s="76"/>
      <c r="CC3099" s="76"/>
      <c r="CD3099" s="76"/>
      <c r="CE3099" s="76"/>
      <c r="CF3099" s="76">
        <f>+CE3099*28000</f>
        <v>0</v>
      </c>
      <c r="CG3099" s="76"/>
      <c r="CH3099" s="76">
        <f>+CG3099*22500</f>
        <v>0</v>
      </c>
      <c r="CI3099" s="76"/>
      <c r="CJ3099" s="76">
        <f>+CI3099*26000</f>
        <v>0</v>
      </c>
      <c r="CK3099" s="76"/>
      <c r="CL3099" s="76"/>
      <c r="CM3099" s="76"/>
      <c r="CN3099" s="76">
        <f>+CM3099*22000</f>
        <v>0</v>
      </c>
      <c r="CO3099" s="76"/>
      <c r="CP3099" s="76">
        <f>+CO3099*46000</f>
        <v>0</v>
      </c>
      <c r="CQ3099" s="76"/>
      <c r="CR3099" s="76">
        <f>+CQ3099*49000</f>
        <v>0</v>
      </c>
      <c r="CS3099" s="76"/>
      <c r="CT3099" s="76"/>
      <c r="CU3099" s="56">
        <f>AN3099+AP3099+AR3099+AT3099+AV3099+AX3099+AZ3099+BB3099+BD3099+BF3099+BH3099+BJ3099+BL3099+BN3099+BP3099+BR3099+BT3099+BV3099+BX3099+BZ3099+CB3099+CD3099+CF3099+CH3099+CJ3099+CL3099+CN3099+CP3099+CR3099+CT3099</f>
        <v>0</v>
      </c>
      <c r="CV3099" s="76"/>
      <c r="CW3099" s="76">
        <f>+CV3099*1100</f>
        <v>0</v>
      </c>
      <c r="CX3099" s="76"/>
      <c r="CY3099" s="76">
        <f>+CX3099*106250</f>
        <v>0</v>
      </c>
      <c r="CZ3099" s="76"/>
      <c r="DA3099" s="76">
        <f>+CZ3099*34500</f>
        <v>0</v>
      </c>
      <c r="DB3099" s="76"/>
      <c r="DC3099" s="76">
        <f>+DB3099*25000</f>
        <v>0</v>
      </c>
      <c r="DD3099" s="219"/>
      <c r="DE3099" s="219"/>
      <c r="DF3099" s="166"/>
      <c r="DG3099" s="116"/>
      <c r="DH3099" s="117"/>
      <c r="DI3099" s="24"/>
      <c r="DJ3099" s="24"/>
      <c r="DK3099" s="24"/>
      <c r="DL3099" s="24"/>
      <c r="DM3099" s="24"/>
      <c r="DN3099" s="24"/>
      <c r="DO3099" s="24"/>
      <c r="DP3099" s="24"/>
      <c r="DQ3099" s="24"/>
      <c r="DR3099" s="24"/>
      <c r="DS3099" s="24"/>
      <c r="DT3099" s="24"/>
      <c r="DU3099" s="24"/>
    </row>
    <row r="3100" spans="1:125" s="8" customFormat="1" ht="36" x14ac:dyDescent="0.2">
      <c r="A3100" s="77">
        <v>41539</v>
      </c>
      <c r="B3100" s="208" t="s">
        <v>2700</v>
      </c>
      <c r="C3100" s="354" t="s">
        <v>1564</v>
      </c>
      <c r="D3100" s="354" t="s">
        <v>2846</v>
      </c>
      <c r="E3100" s="296" t="str">
        <f>VLOOKUP(B3100&amp;C3100,Divipola!$C$2:$F$1138,4,FALSE)</f>
        <v>15047</v>
      </c>
      <c r="F3100" s="87"/>
      <c r="G3100" s="87"/>
      <c r="H3100" s="87"/>
      <c r="I3100" s="87"/>
      <c r="J3100" s="87"/>
      <c r="K3100" s="87"/>
      <c r="L3100" s="87"/>
      <c r="M3100" s="87"/>
      <c r="N3100" s="87"/>
      <c r="O3100" s="87"/>
      <c r="P3100" s="87"/>
      <c r="Q3100" s="87"/>
      <c r="R3100" s="87"/>
      <c r="S3100" s="87"/>
      <c r="T3100" s="87"/>
      <c r="U3100" s="88"/>
      <c r="V3100" s="89"/>
      <c r="W3100" s="96">
        <v>0</v>
      </c>
      <c r="X3100" s="71">
        <f>CU3100</f>
        <v>0</v>
      </c>
      <c r="Y3100" s="71">
        <f>CY3100</f>
        <v>0</v>
      </c>
      <c r="Z3100" s="71">
        <f>DA3100+DC3100+DE3100</f>
        <v>0</v>
      </c>
      <c r="AA3100" s="71">
        <f>CW3100</f>
        <v>0</v>
      </c>
      <c r="AB3100" s="71"/>
      <c r="AC3100" s="71">
        <v>0</v>
      </c>
      <c r="AD3100" s="71">
        <f>W3100+X3100+Y3100+Z3100+AA3100+AB3100+AC3100</f>
        <v>0</v>
      </c>
      <c r="AE3100" s="72">
        <v>0</v>
      </c>
      <c r="AF3100" s="5"/>
      <c r="AG3100" s="6"/>
      <c r="AH3100" s="27"/>
      <c r="AI3100" s="44"/>
      <c r="AJ3100" s="26"/>
      <c r="AK3100" s="5"/>
      <c r="AL3100" s="290" t="s">
        <v>6006</v>
      </c>
      <c r="AM3100" s="76"/>
      <c r="AN3100" s="76"/>
      <c r="AO3100" s="76"/>
      <c r="AP3100" s="76"/>
      <c r="AQ3100" s="76"/>
      <c r="AR3100" s="76"/>
      <c r="AS3100" s="76"/>
      <c r="AT3100" s="76"/>
      <c r="AU3100" s="76"/>
      <c r="AV3100" s="76"/>
      <c r="AW3100" s="76"/>
      <c r="AX3100" s="76">
        <f>+AW3100*600000</f>
        <v>0</v>
      </c>
      <c r="AY3100" s="76"/>
      <c r="AZ3100" s="76">
        <f>+AY3100*70000</f>
        <v>0</v>
      </c>
      <c r="BA3100" s="76"/>
      <c r="BB3100" s="76"/>
      <c r="BC3100" s="76"/>
      <c r="BD3100" s="76">
        <f>+BC3100*30000</f>
        <v>0</v>
      </c>
      <c r="BE3100" s="76"/>
      <c r="BF3100" s="76"/>
      <c r="BG3100" s="76"/>
      <c r="BH3100" s="76"/>
      <c r="BI3100" s="76"/>
      <c r="BJ3100" s="76"/>
      <c r="BK3100" s="76"/>
      <c r="BL3100" s="76">
        <f>+BK3100*31500</f>
        <v>0</v>
      </c>
      <c r="BM3100" s="76"/>
      <c r="BN3100" s="76"/>
      <c r="BO3100" s="76"/>
      <c r="BP3100" s="76"/>
      <c r="BQ3100" s="76"/>
      <c r="BR3100" s="76"/>
      <c r="BS3100" s="76"/>
      <c r="BT3100" s="76"/>
      <c r="BU3100" s="76"/>
      <c r="BV3100" s="76"/>
      <c r="BW3100" s="76"/>
      <c r="BX3100" s="76"/>
      <c r="BY3100" s="76"/>
      <c r="BZ3100" s="76"/>
      <c r="CA3100" s="76"/>
      <c r="CB3100" s="76"/>
      <c r="CC3100" s="76"/>
      <c r="CD3100" s="76"/>
      <c r="CE3100" s="76"/>
      <c r="CF3100" s="76">
        <f>+CE3100*28000</f>
        <v>0</v>
      </c>
      <c r="CG3100" s="76"/>
      <c r="CH3100" s="76">
        <f>+CG3100*22500</f>
        <v>0</v>
      </c>
      <c r="CI3100" s="76"/>
      <c r="CJ3100" s="76">
        <f>+CI3100*26000</f>
        <v>0</v>
      </c>
      <c r="CK3100" s="76"/>
      <c r="CL3100" s="76"/>
      <c r="CM3100" s="76"/>
      <c r="CN3100" s="76">
        <f>+CM3100*22000</f>
        <v>0</v>
      </c>
      <c r="CO3100" s="76"/>
      <c r="CP3100" s="76">
        <f>+CO3100*46000</f>
        <v>0</v>
      </c>
      <c r="CQ3100" s="76"/>
      <c r="CR3100" s="76">
        <f>+CQ3100*49000</f>
        <v>0</v>
      </c>
      <c r="CS3100" s="76"/>
      <c r="CT3100" s="76"/>
      <c r="CU3100" s="56">
        <f>AN3100+AP3100+AR3100+AT3100+AV3100+AX3100+AZ3100+BB3100+BD3100+BF3100+BH3100+BJ3100+BL3100+BN3100+BP3100+BR3100+BT3100+BV3100+BX3100+BZ3100+CB3100+CD3100+CF3100+CH3100+CJ3100+CL3100+CN3100+CP3100+CR3100+CT3100</f>
        <v>0</v>
      </c>
      <c r="CV3100" s="76"/>
      <c r="CW3100" s="76">
        <f>+CV3100*1100</f>
        <v>0</v>
      </c>
      <c r="CX3100" s="76"/>
      <c r="CY3100" s="76">
        <f>+CX3100*106250</f>
        <v>0</v>
      </c>
      <c r="CZ3100" s="76"/>
      <c r="DA3100" s="76">
        <f>+CZ3100*34500</f>
        <v>0</v>
      </c>
      <c r="DB3100" s="76"/>
      <c r="DC3100" s="76">
        <f>+DB3100*25000</f>
        <v>0</v>
      </c>
      <c r="DD3100" s="219"/>
      <c r="DE3100" s="219"/>
      <c r="DF3100" s="166"/>
      <c r="DG3100" s="116"/>
      <c r="DH3100" s="117"/>
      <c r="DI3100" s="24"/>
      <c r="DJ3100" s="24"/>
      <c r="DK3100" s="24"/>
      <c r="DL3100" s="24"/>
      <c r="DM3100" s="24"/>
      <c r="DN3100" s="24"/>
      <c r="DO3100" s="24"/>
      <c r="DP3100" s="24"/>
      <c r="DQ3100" s="24"/>
      <c r="DR3100" s="24"/>
      <c r="DS3100" s="24"/>
      <c r="DT3100" s="24"/>
      <c r="DU3100" s="24"/>
    </row>
    <row r="3101" spans="1:125" s="8" customFormat="1" ht="48" x14ac:dyDescent="0.2">
      <c r="A3101" s="77">
        <v>41539</v>
      </c>
      <c r="B3101" s="352" t="s">
        <v>2854</v>
      </c>
      <c r="C3101" s="354" t="s">
        <v>2731</v>
      </c>
      <c r="D3101" s="354" t="s">
        <v>2882</v>
      </c>
      <c r="E3101" s="296" t="str">
        <f>VLOOKUP(B3101&amp;C3101,Divipola!$C$2:$F$1138,4,FALSE)</f>
        <v>19001</v>
      </c>
      <c r="F3101" s="87"/>
      <c r="G3101" s="87"/>
      <c r="H3101" s="87"/>
      <c r="I3101" s="87">
        <v>100</v>
      </c>
      <c r="J3101" s="87">
        <v>20</v>
      </c>
      <c r="K3101" s="87"/>
      <c r="L3101" s="87">
        <v>20</v>
      </c>
      <c r="M3101" s="87"/>
      <c r="N3101" s="87"/>
      <c r="O3101" s="87"/>
      <c r="P3101" s="87"/>
      <c r="Q3101" s="87"/>
      <c r="R3101" s="87"/>
      <c r="S3101" s="87"/>
      <c r="T3101" s="87"/>
      <c r="U3101" s="88"/>
      <c r="V3101" s="89"/>
      <c r="W3101" s="96">
        <v>0</v>
      </c>
      <c r="X3101" s="71">
        <f>CU3101</f>
        <v>0</v>
      </c>
      <c r="Y3101" s="71">
        <f>CY3101</f>
        <v>0</v>
      </c>
      <c r="Z3101" s="71">
        <f>DA3101+DC3101+DE3101</f>
        <v>0</v>
      </c>
      <c r="AA3101" s="71">
        <f>CW3101</f>
        <v>0</v>
      </c>
      <c r="AB3101" s="71"/>
      <c r="AC3101" s="71">
        <v>0</v>
      </c>
      <c r="AD3101" s="71">
        <f>W3101+X3101+Y3101+Z3101+AA3101+AB3101+AC3101</f>
        <v>0</v>
      </c>
      <c r="AE3101" s="72">
        <v>0</v>
      </c>
      <c r="AF3101" s="5"/>
      <c r="AG3101" s="6"/>
      <c r="AH3101" s="27"/>
      <c r="AI3101" s="44"/>
      <c r="AJ3101" s="26"/>
      <c r="AK3101" s="5"/>
      <c r="AL3101" s="82" t="s">
        <v>6012</v>
      </c>
      <c r="AM3101" s="76"/>
      <c r="AN3101" s="76"/>
      <c r="AO3101" s="76"/>
      <c r="AP3101" s="76"/>
      <c r="AQ3101" s="76"/>
      <c r="AR3101" s="76"/>
      <c r="AS3101" s="76"/>
      <c r="AT3101" s="76"/>
      <c r="AU3101" s="76"/>
      <c r="AV3101" s="76"/>
      <c r="AW3101" s="76"/>
      <c r="AX3101" s="76">
        <f>+AW3101*600000</f>
        <v>0</v>
      </c>
      <c r="AY3101" s="76"/>
      <c r="AZ3101" s="76">
        <f>+AY3101*70000</f>
        <v>0</v>
      </c>
      <c r="BA3101" s="76"/>
      <c r="BB3101" s="76"/>
      <c r="BC3101" s="76"/>
      <c r="BD3101" s="76">
        <f>+BC3101*30000</f>
        <v>0</v>
      </c>
      <c r="BE3101" s="76"/>
      <c r="BF3101" s="76"/>
      <c r="BG3101" s="76"/>
      <c r="BH3101" s="76"/>
      <c r="BI3101" s="76"/>
      <c r="BJ3101" s="76"/>
      <c r="BK3101" s="76"/>
      <c r="BL3101" s="76">
        <f>+BK3101*31500</f>
        <v>0</v>
      </c>
      <c r="BM3101" s="76"/>
      <c r="BN3101" s="76"/>
      <c r="BO3101" s="76"/>
      <c r="BP3101" s="76"/>
      <c r="BQ3101" s="76"/>
      <c r="BR3101" s="76"/>
      <c r="BS3101" s="76"/>
      <c r="BT3101" s="76"/>
      <c r="BU3101" s="76"/>
      <c r="BV3101" s="76"/>
      <c r="BW3101" s="76"/>
      <c r="BX3101" s="76"/>
      <c r="BY3101" s="76"/>
      <c r="BZ3101" s="76"/>
      <c r="CA3101" s="76"/>
      <c r="CB3101" s="76"/>
      <c r="CC3101" s="76"/>
      <c r="CD3101" s="76"/>
      <c r="CE3101" s="76"/>
      <c r="CF3101" s="76">
        <f>+CE3101*28000</f>
        <v>0</v>
      </c>
      <c r="CG3101" s="76"/>
      <c r="CH3101" s="76">
        <f>+CG3101*22500</f>
        <v>0</v>
      </c>
      <c r="CI3101" s="76"/>
      <c r="CJ3101" s="76">
        <f>+CI3101*26000</f>
        <v>0</v>
      </c>
      <c r="CK3101" s="76"/>
      <c r="CL3101" s="76"/>
      <c r="CM3101" s="76"/>
      <c r="CN3101" s="76">
        <f>+CM3101*22000</f>
        <v>0</v>
      </c>
      <c r="CO3101" s="76"/>
      <c r="CP3101" s="76">
        <f>+CO3101*46000</f>
        <v>0</v>
      </c>
      <c r="CQ3101" s="76"/>
      <c r="CR3101" s="76">
        <f>+CQ3101*49000</f>
        <v>0</v>
      </c>
      <c r="CS3101" s="76"/>
      <c r="CT3101" s="76"/>
      <c r="CU3101" s="56">
        <f>AN3101+AP3101+AR3101+AT3101+AV3101+AX3101+AZ3101+BB3101+BD3101+BF3101+BH3101+BJ3101+BL3101+BN3101+BP3101+BR3101+BT3101+BV3101+BX3101+BZ3101+CB3101+CD3101+CF3101+CH3101+CJ3101+CL3101+CN3101+CP3101+CR3101+CT3101</f>
        <v>0</v>
      </c>
      <c r="CV3101" s="76"/>
      <c r="CW3101" s="76">
        <f>+CV3101*1100</f>
        <v>0</v>
      </c>
      <c r="CX3101" s="76"/>
      <c r="CY3101" s="76">
        <f>+CX3101*106250</f>
        <v>0</v>
      </c>
      <c r="CZ3101" s="76"/>
      <c r="DA3101" s="76">
        <f>+CZ3101*34500</f>
        <v>0</v>
      </c>
      <c r="DB3101" s="76"/>
      <c r="DC3101" s="76">
        <f>+DB3101*25000</f>
        <v>0</v>
      </c>
      <c r="DD3101" s="219"/>
      <c r="DE3101" s="219"/>
      <c r="DF3101" s="166"/>
      <c r="DG3101" s="116"/>
      <c r="DH3101" s="117"/>
      <c r="DI3101" s="24"/>
      <c r="DJ3101" s="24"/>
      <c r="DK3101" s="24"/>
      <c r="DL3101" s="24"/>
      <c r="DM3101" s="24"/>
      <c r="DN3101" s="24"/>
      <c r="DO3101" s="24"/>
      <c r="DP3101" s="24"/>
      <c r="DQ3101" s="24"/>
      <c r="DR3101" s="24"/>
      <c r="DS3101" s="24"/>
      <c r="DT3101" s="24"/>
      <c r="DU3101" s="24"/>
    </row>
    <row r="3102" spans="1:125" s="8" customFormat="1" ht="60" x14ac:dyDescent="0.2">
      <c r="A3102" s="77">
        <v>41539</v>
      </c>
      <c r="B3102" s="352" t="s">
        <v>2852</v>
      </c>
      <c r="C3102" s="354" t="s">
        <v>16</v>
      </c>
      <c r="D3102" s="354" t="s">
        <v>3051</v>
      </c>
      <c r="E3102" s="296" t="str">
        <f>VLOOKUP(B3102&amp;C3102,Divipola!$C$2:$F$1138,4,FALSE)</f>
        <v>27800</v>
      </c>
      <c r="F3102" s="87"/>
      <c r="G3102" s="87"/>
      <c r="H3102" s="87"/>
      <c r="I3102" s="87">
        <v>640</v>
      </c>
      <c r="J3102" s="87">
        <v>128</v>
      </c>
      <c r="K3102" s="87"/>
      <c r="L3102" s="87">
        <v>128</v>
      </c>
      <c r="M3102" s="87"/>
      <c r="N3102" s="87"/>
      <c r="O3102" s="87"/>
      <c r="P3102" s="87"/>
      <c r="Q3102" s="87"/>
      <c r="R3102" s="87"/>
      <c r="S3102" s="87"/>
      <c r="T3102" s="88"/>
      <c r="U3102" s="89"/>
      <c r="V3102" s="104"/>
      <c r="W3102" s="96">
        <v>0</v>
      </c>
      <c r="X3102" s="71">
        <f>CU3102</f>
        <v>0</v>
      </c>
      <c r="Y3102" s="71">
        <f>CY3102</f>
        <v>0</v>
      </c>
      <c r="Z3102" s="71">
        <f>DA3102+DC3102+DE3102</f>
        <v>0</v>
      </c>
      <c r="AA3102" s="71">
        <f>CW3102</f>
        <v>0</v>
      </c>
      <c r="AB3102" s="71"/>
      <c r="AC3102" s="71">
        <v>0</v>
      </c>
      <c r="AD3102" s="71">
        <f>W3102+X3102+Y3102+Z3102+AA3102+AB3102+AC3102</f>
        <v>0</v>
      </c>
      <c r="AE3102" s="72">
        <v>0</v>
      </c>
      <c r="AF3102" s="5"/>
      <c r="AG3102" s="6"/>
      <c r="AH3102" s="27"/>
      <c r="AI3102" s="44"/>
      <c r="AJ3102" s="26"/>
      <c r="AK3102" s="5"/>
      <c r="AL3102" s="82" t="s">
        <v>6091</v>
      </c>
      <c r="AM3102" s="76"/>
      <c r="AN3102" s="76"/>
      <c r="AO3102" s="76"/>
      <c r="AP3102" s="76"/>
      <c r="AQ3102" s="76"/>
      <c r="AR3102" s="76"/>
      <c r="AS3102" s="76"/>
      <c r="AT3102" s="76"/>
      <c r="AU3102" s="76"/>
      <c r="AV3102" s="76"/>
      <c r="AW3102" s="76"/>
      <c r="AX3102" s="76">
        <f>+AW3102*600000</f>
        <v>0</v>
      </c>
      <c r="AY3102" s="76"/>
      <c r="AZ3102" s="76">
        <f>+AY3102*70000</f>
        <v>0</v>
      </c>
      <c r="BA3102" s="76"/>
      <c r="BB3102" s="76"/>
      <c r="BC3102" s="76"/>
      <c r="BD3102" s="76">
        <f>+BC3102*30000</f>
        <v>0</v>
      </c>
      <c r="BE3102" s="76"/>
      <c r="BF3102" s="76"/>
      <c r="BG3102" s="76"/>
      <c r="BH3102" s="76"/>
      <c r="BI3102" s="76"/>
      <c r="BJ3102" s="76"/>
      <c r="BK3102" s="76"/>
      <c r="BL3102" s="76">
        <f>+BK3102*31500</f>
        <v>0</v>
      </c>
      <c r="BM3102" s="76"/>
      <c r="BN3102" s="76"/>
      <c r="BO3102" s="76"/>
      <c r="BP3102" s="76"/>
      <c r="BQ3102" s="76"/>
      <c r="BR3102" s="76"/>
      <c r="BS3102" s="76"/>
      <c r="BT3102" s="76"/>
      <c r="BU3102" s="76"/>
      <c r="BV3102" s="76"/>
      <c r="BW3102" s="76"/>
      <c r="BX3102" s="76"/>
      <c r="BY3102" s="76"/>
      <c r="BZ3102" s="76"/>
      <c r="CA3102" s="76"/>
      <c r="CB3102" s="76"/>
      <c r="CC3102" s="76"/>
      <c r="CD3102" s="76"/>
      <c r="CE3102" s="76"/>
      <c r="CF3102" s="76">
        <f>+CE3102*28000</f>
        <v>0</v>
      </c>
      <c r="CG3102" s="76"/>
      <c r="CH3102" s="76">
        <f>+CG3102*22500</f>
        <v>0</v>
      </c>
      <c r="CI3102" s="76"/>
      <c r="CJ3102" s="76">
        <f>+CI3102*26000</f>
        <v>0</v>
      </c>
      <c r="CK3102" s="76"/>
      <c r="CL3102" s="76"/>
      <c r="CM3102" s="76"/>
      <c r="CN3102" s="76">
        <f>+CM3102*22000</f>
        <v>0</v>
      </c>
      <c r="CO3102" s="76"/>
      <c r="CP3102" s="76">
        <f>+CO3102*46000</f>
        <v>0</v>
      </c>
      <c r="CQ3102" s="76"/>
      <c r="CR3102" s="76">
        <f>+CQ3102*49000</f>
        <v>0</v>
      </c>
      <c r="CS3102" s="76"/>
      <c r="CT3102" s="76"/>
      <c r="CU3102" s="56">
        <f>AN3102+AP3102+AR3102+AT3102+AV3102+AX3102+AZ3102+BB3102+BD3102+BF3102+BH3102+BJ3102+BL3102+BN3102+BP3102+BR3102+BT3102+BV3102+BX3102+BZ3102+CB3102+CD3102+CF3102+CH3102+CJ3102+CL3102+CN3102+CP3102+CR3102+CT3102</f>
        <v>0</v>
      </c>
      <c r="CV3102" s="76"/>
      <c r="CW3102" s="76">
        <f>+CV3102*1100</f>
        <v>0</v>
      </c>
      <c r="CX3102" s="76"/>
      <c r="CY3102" s="76">
        <f>+CX3102*106250</f>
        <v>0</v>
      </c>
      <c r="CZ3102" s="76"/>
      <c r="DA3102" s="76">
        <f>+CZ3102*34500</f>
        <v>0</v>
      </c>
      <c r="DB3102" s="76"/>
      <c r="DC3102" s="76">
        <f>+DB3102*25000</f>
        <v>0</v>
      </c>
      <c r="DD3102" s="219"/>
      <c r="DE3102" s="219"/>
      <c r="DF3102" s="166"/>
      <c r="DG3102" s="116"/>
      <c r="DH3102" s="117"/>
      <c r="DI3102" s="24"/>
      <c r="DJ3102" s="24"/>
      <c r="DK3102" s="24"/>
      <c r="DL3102" s="24"/>
      <c r="DM3102" s="24"/>
      <c r="DN3102" s="24"/>
      <c r="DO3102" s="24"/>
      <c r="DP3102" s="24"/>
      <c r="DQ3102" s="24"/>
      <c r="DR3102" s="24"/>
      <c r="DS3102" s="24"/>
      <c r="DT3102" s="24"/>
      <c r="DU3102" s="24"/>
    </row>
    <row r="3103" spans="1:125" s="8" customFormat="1" ht="60" x14ac:dyDescent="0.2">
      <c r="A3103" s="77">
        <v>41539</v>
      </c>
      <c r="B3103" s="208" t="s">
        <v>2718</v>
      </c>
      <c r="C3103" s="227" t="s">
        <v>2701</v>
      </c>
      <c r="D3103" s="354" t="s">
        <v>2882</v>
      </c>
      <c r="E3103" s="296" t="str">
        <f>VLOOKUP(B3103&amp;C3103,Divipola!$C$2:$F$1138,4,FALSE)</f>
        <v>23580</v>
      </c>
      <c r="F3103" s="87"/>
      <c r="G3103" s="87"/>
      <c r="H3103" s="87"/>
      <c r="I3103" s="87">
        <f>415*5</f>
        <v>2075</v>
      </c>
      <c r="J3103" s="87">
        <v>415</v>
      </c>
      <c r="K3103" s="87"/>
      <c r="L3103" s="87">
        <v>415</v>
      </c>
      <c r="M3103" s="87"/>
      <c r="N3103" s="87"/>
      <c r="O3103" s="87"/>
      <c r="P3103" s="87"/>
      <c r="Q3103" s="87"/>
      <c r="R3103" s="87"/>
      <c r="S3103" s="87"/>
      <c r="T3103" s="87"/>
      <c r="U3103" s="88"/>
      <c r="V3103" s="89"/>
      <c r="W3103" s="96">
        <v>0</v>
      </c>
      <c r="X3103" s="71">
        <f>CU3103</f>
        <v>17552411.240000002</v>
      </c>
      <c r="Y3103" s="71">
        <f>CY3103</f>
        <v>44093750</v>
      </c>
      <c r="Z3103" s="71">
        <f>DA3103+DC3103+DE3103</f>
        <v>73944200</v>
      </c>
      <c r="AA3103" s="71">
        <f>CW3103</f>
        <v>0</v>
      </c>
      <c r="AB3103" s="71"/>
      <c r="AC3103" s="71">
        <v>0</v>
      </c>
      <c r="AD3103" s="71">
        <f>W3103+X3103+Y3103+Z3103+AA3103+AB3103+AC3103</f>
        <v>135590361.24000001</v>
      </c>
      <c r="AE3103" s="72">
        <v>0</v>
      </c>
      <c r="AF3103" s="5"/>
      <c r="AG3103" s="6"/>
      <c r="AH3103" s="27"/>
      <c r="AI3103" s="44"/>
      <c r="AJ3103" s="26"/>
      <c r="AK3103" s="5"/>
      <c r="AL3103" s="82" t="s">
        <v>6007</v>
      </c>
      <c r="AM3103" s="76"/>
      <c r="AN3103" s="76"/>
      <c r="AO3103" s="76"/>
      <c r="AP3103" s="76"/>
      <c r="AQ3103" s="76"/>
      <c r="AR3103" s="76"/>
      <c r="AS3103" s="76"/>
      <c r="AT3103" s="76"/>
      <c r="AU3103" s="76"/>
      <c r="AV3103" s="76"/>
      <c r="AW3103" s="76"/>
      <c r="AX3103" s="76">
        <f>+AW3103*600000</f>
        <v>0</v>
      </c>
      <c r="AY3103" s="76"/>
      <c r="AZ3103" s="76">
        <f>+AY3103*70000</f>
        <v>0</v>
      </c>
      <c r="BA3103" s="76"/>
      <c r="BB3103" s="76"/>
      <c r="BC3103" s="76"/>
      <c r="BD3103" s="76">
        <f>+BC3103*30000</f>
        <v>0</v>
      </c>
      <c r="BE3103" s="76"/>
      <c r="BF3103" s="76"/>
      <c r="BG3103" s="76"/>
      <c r="BH3103" s="76"/>
      <c r="BI3103" s="76"/>
      <c r="BJ3103" s="76"/>
      <c r="BK3103" s="86">
        <v>415</v>
      </c>
      <c r="BL3103" s="86">
        <f>+BK3103*31499.8</f>
        <v>13072417</v>
      </c>
      <c r="BM3103" s="76"/>
      <c r="BN3103" s="76"/>
      <c r="BO3103" s="76"/>
      <c r="BP3103" s="76"/>
      <c r="BQ3103" s="76"/>
      <c r="BR3103" s="76"/>
      <c r="BS3103" s="76"/>
      <c r="BT3103" s="76"/>
      <c r="BU3103" s="76"/>
      <c r="BV3103" s="76"/>
      <c r="BW3103" s="76"/>
      <c r="BX3103" s="76"/>
      <c r="BY3103" s="86">
        <v>8</v>
      </c>
      <c r="BZ3103" s="86">
        <f>8*559999.28</f>
        <v>4479994.24</v>
      </c>
      <c r="CA3103" s="76"/>
      <c r="CB3103" s="76"/>
      <c r="CC3103" s="76"/>
      <c r="CD3103" s="76"/>
      <c r="CE3103" s="76"/>
      <c r="CF3103" s="76">
        <f>+CE3103*28000</f>
        <v>0</v>
      </c>
      <c r="CG3103" s="76"/>
      <c r="CH3103" s="76">
        <f>+CG3103*22500</f>
        <v>0</v>
      </c>
      <c r="CI3103" s="76"/>
      <c r="CJ3103" s="76">
        <f>+CI3103*26000</f>
        <v>0</v>
      </c>
      <c r="CK3103" s="76"/>
      <c r="CL3103" s="76"/>
      <c r="CM3103" s="76"/>
      <c r="CN3103" s="76">
        <f>+CM3103*22000</f>
        <v>0</v>
      </c>
      <c r="CO3103" s="76"/>
      <c r="CP3103" s="76">
        <f>+CO3103*46000</f>
        <v>0</v>
      </c>
      <c r="CQ3103" s="76"/>
      <c r="CR3103" s="76">
        <f>+CQ3103*49000</f>
        <v>0</v>
      </c>
      <c r="CS3103" s="76"/>
      <c r="CT3103" s="76"/>
      <c r="CU3103" s="56">
        <f>AN3103+AP3103+AR3103+AT3103+AV3103+AX3103+AZ3103+BB3103+BD3103+BF3103+BH3103+BJ3103+BL3103+BN3103+BP3103+BR3103+BT3103+BV3103+BX3103+BZ3103+CB3103+CD3103+CF3103+CH3103+CJ3103+CL3103+CN3103+CP3103+CR3103+CT3103</f>
        <v>17552411.240000002</v>
      </c>
      <c r="CV3103" s="76"/>
      <c r="CW3103" s="76">
        <f>+CV3103*1100</f>
        <v>0</v>
      </c>
      <c r="CX3103" s="86">
        <v>415</v>
      </c>
      <c r="CY3103" s="86">
        <f>+CX3103*106250</f>
        <v>44093750</v>
      </c>
      <c r="CZ3103" s="76"/>
      <c r="DA3103" s="76">
        <f>+CZ3103*34500</f>
        <v>0</v>
      </c>
      <c r="DB3103" s="86">
        <f>2000+250</f>
        <v>2250</v>
      </c>
      <c r="DC3103" s="86">
        <f>2000*31999.76+10000*199.52+250*30999.84+500*399.04</f>
        <v>73944200</v>
      </c>
      <c r="DD3103" s="219"/>
      <c r="DE3103" s="219"/>
      <c r="DF3103" s="166"/>
      <c r="DG3103" s="134" t="s">
        <v>6966</v>
      </c>
      <c r="DH3103" s="117"/>
      <c r="DI3103" s="24"/>
      <c r="DJ3103" s="24"/>
      <c r="DK3103" s="24"/>
      <c r="DL3103" s="24"/>
      <c r="DM3103" s="24"/>
      <c r="DN3103" s="24"/>
      <c r="DO3103" s="24"/>
      <c r="DP3103" s="24"/>
      <c r="DQ3103" s="24"/>
      <c r="DR3103" s="24"/>
      <c r="DS3103" s="24"/>
      <c r="DT3103" s="24"/>
      <c r="DU3103" s="24"/>
    </row>
    <row r="3104" spans="1:125" s="8" customFormat="1" ht="144" x14ac:dyDescent="0.2">
      <c r="A3104" s="77">
        <v>41539</v>
      </c>
      <c r="B3104" s="352" t="s">
        <v>2772</v>
      </c>
      <c r="C3104" s="227" t="s">
        <v>1095</v>
      </c>
      <c r="D3104" s="354" t="s">
        <v>2846</v>
      </c>
      <c r="E3104" s="296" t="str">
        <f>VLOOKUP(B3104&amp;C3104,Divipola!$C$2:$F$1138,4,FALSE)</f>
        <v>25386</v>
      </c>
      <c r="F3104" s="87"/>
      <c r="G3104" s="87"/>
      <c r="H3104" s="87"/>
      <c r="I3104" s="87"/>
      <c r="J3104" s="87"/>
      <c r="K3104" s="87"/>
      <c r="L3104" s="87"/>
      <c r="M3104" s="87"/>
      <c r="N3104" s="87"/>
      <c r="O3104" s="87"/>
      <c r="P3104" s="87"/>
      <c r="Q3104" s="87"/>
      <c r="R3104" s="87"/>
      <c r="S3104" s="87"/>
      <c r="T3104" s="87"/>
      <c r="U3104" s="88">
        <v>7</v>
      </c>
      <c r="V3104" s="89"/>
      <c r="W3104" s="96">
        <v>0</v>
      </c>
      <c r="X3104" s="71">
        <f>CU3104</f>
        <v>0</v>
      </c>
      <c r="Y3104" s="71">
        <f>CY3104</f>
        <v>0</v>
      </c>
      <c r="Z3104" s="71">
        <f>DA3104+DC3104+DE3104</f>
        <v>0</v>
      </c>
      <c r="AA3104" s="71">
        <f>CW3104</f>
        <v>0</v>
      </c>
      <c r="AB3104" s="71"/>
      <c r="AC3104" s="71">
        <v>0</v>
      </c>
      <c r="AD3104" s="71">
        <f>W3104+X3104+Y3104+Z3104+AA3104+AB3104+AC3104</f>
        <v>0</v>
      </c>
      <c r="AE3104" s="72">
        <v>0</v>
      </c>
      <c r="AF3104" s="5"/>
      <c r="AG3104" s="6"/>
      <c r="AH3104" s="27"/>
      <c r="AI3104" s="44"/>
      <c r="AJ3104" s="26"/>
      <c r="AK3104" s="5"/>
      <c r="AL3104" s="82" t="s">
        <v>6041</v>
      </c>
      <c r="AM3104" s="76"/>
      <c r="AN3104" s="76"/>
      <c r="AO3104" s="76"/>
      <c r="AP3104" s="76"/>
      <c r="AQ3104" s="76"/>
      <c r="AR3104" s="76"/>
      <c r="AS3104" s="76"/>
      <c r="AT3104" s="76"/>
      <c r="AU3104" s="76"/>
      <c r="AV3104" s="76"/>
      <c r="AW3104" s="76"/>
      <c r="AX3104" s="76">
        <f>+AW3104*600000</f>
        <v>0</v>
      </c>
      <c r="AY3104" s="76"/>
      <c r="AZ3104" s="76">
        <f>+AY3104*70000</f>
        <v>0</v>
      </c>
      <c r="BA3104" s="76"/>
      <c r="BB3104" s="76"/>
      <c r="BC3104" s="76"/>
      <c r="BD3104" s="76">
        <f>+BC3104*30000</f>
        <v>0</v>
      </c>
      <c r="BE3104" s="76"/>
      <c r="BF3104" s="76"/>
      <c r="BG3104" s="76"/>
      <c r="BH3104" s="76"/>
      <c r="BI3104" s="76"/>
      <c r="BJ3104" s="76"/>
      <c r="BK3104" s="76"/>
      <c r="BL3104" s="76">
        <f>+BK3104*31500</f>
        <v>0</v>
      </c>
      <c r="BM3104" s="76"/>
      <c r="BN3104" s="76"/>
      <c r="BO3104" s="76"/>
      <c r="BP3104" s="76"/>
      <c r="BQ3104" s="76"/>
      <c r="BR3104" s="76"/>
      <c r="BS3104" s="76"/>
      <c r="BT3104" s="76"/>
      <c r="BU3104" s="76"/>
      <c r="BV3104" s="76"/>
      <c r="BW3104" s="76"/>
      <c r="BX3104" s="76"/>
      <c r="BY3104" s="76"/>
      <c r="BZ3104" s="76"/>
      <c r="CA3104" s="76"/>
      <c r="CB3104" s="76"/>
      <c r="CC3104" s="76"/>
      <c r="CD3104" s="76"/>
      <c r="CE3104" s="76"/>
      <c r="CF3104" s="76">
        <f>+CE3104*28000</f>
        <v>0</v>
      </c>
      <c r="CG3104" s="76"/>
      <c r="CH3104" s="76">
        <f>+CG3104*22500</f>
        <v>0</v>
      </c>
      <c r="CI3104" s="76"/>
      <c r="CJ3104" s="76">
        <f>+CI3104*26000</f>
        <v>0</v>
      </c>
      <c r="CK3104" s="76"/>
      <c r="CL3104" s="76"/>
      <c r="CM3104" s="76"/>
      <c r="CN3104" s="76">
        <f>+CM3104*22000</f>
        <v>0</v>
      </c>
      <c r="CO3104" s="76"/>
      <c r="CP3104" s="76">
        <f>+CO3104*46000</f>
        <v>0</v>
      </c>
      <c r="CQ3104" s="76"/>
      <c r="CR3104" s="76">
        <f>+CQ3104*49000</f>
        <v>0</v>
      </c>
      <c r="CS3104" s="76"/>
      <c r="CT3104" s="76"/>
      <c r="CU3104" s="56">
        <f>AN3104+AP3104+AR3104+AT3104+AV3104+AX3104+AZ3104+BB3104+BD3104+BF3104+BH3104+BJ3104+BL3104+BN3104+BP3104+BR3104+BT3104+BV3104+BX3104+BZ3104+CB3104+CD3104+CF3104+CH3104+CJ3104+CL3104+CN3104+CP3104+CR3104+CT3104</f>
        <v>0</v>
      </c>
      <c r="CV3104" s="76"/>
      <c r="CW3104" s="76">
        <f>+CV3104*1100</f>
        <v>0</v>
      </c>
      <c r="CX3104" s="76"/>
      <c r="CY3104" s="76">
        <f>+CX3104*106250</f>
        <v>0</v>
      </c>
      <c r="CZ3104" s="76"/>
      <c r="DA3104" s="76">
        <f>+CZ3104*34500</f>
        <v>0</v>
      </c>
      <c r="DB3104" s="76"/>
      <c r="DC3104" s="76">
        <f>+DB3104*25000</f>
        <v>0</v>
      </c>
      <c r="DD3104" s="219"/>
      <c r="DE3104" s="219"/>
      <c r="DF3104" s="166"/>
      <c r="DG3104" s="116"/>
      <c r="DH3104" s="117"/>
      <c r="DI3104" s="24"/>
      <c r="DJ3104" s="24"/>
      <c r="DK3104" s="24"/>
      <c r="DL3104" s="24"/>
      <c r="DM3104" s="24"/>
      <c r="DN3104" s="24"/>
      <c r="DO3104" s="24"/>
      <c r="DP3104" s="24"/>
      <c r="DQ3104" s="24"/>
      <c r="DR3104" s="24"/>
      <c r="DS3104" s="24"/>
      <c r="DT3104" s="24"/>
      <c r="DU3104" s="24"/>
    </row>
    <row r="3105" spans="1:125" s="8" customFormat="1" ht="108" x14ac:dyDescent="0.2">
      <c r="A3105" s="77">
        <v>41539</v>
      </c>
      <c r="B3105" s="352" t="s">
        <v>2772</v>
      </c>
      <c r="C3105" s="354" t="s">
        <v>2690</v>
      </c>
      <c r="D3105" s="354" t="s">
        <v>2882</v>
      </c>
      <c r="E3105" s="296" t="str">
        <f>VLOOKUP(B3105&amp;C3105,Divipola!$C$2:$F$1138,4,FALSE)</f>
        <v>25513</v>
      </c>
      <c r="F3105" s="87"/>
      <c r="G3105" s="87"/>
      <c r="H3105" s="87"/>
      <c r="I3105" s="87">
        <v>200</v>
      </c>
      <c r="J3105" s="87">
        <v>43</v>
      </c>
      <c r="K3105" s="87"/>
      <c r="L3105" s="87">
        <v>43</v>
      </c>
      <c r="M3105" s="87"/>
      <c r="N3105" s="87"/>
      <c r="O3105" s="87"/>
      <c r="P3105" s="87"/>
      <c r="Q3105" s="87"/>
      <c r="R3105" s="87"/>
      <c r="S3105" s="87"/>
      <c r="T3105" s="87"/>
      <c r="U3105" s="88"/>
      <c r="V3105" s="89"/>
      <c r="W3105" s="96">
        <v>0</v>
      </c>
      <c r="X3105" s="71">
        <f>CU3105</f>
        <v>0</v>
      </c>
      <c r="Y3105" s="71">
        <f>CY3105</f>
        <v>0</v>
      </c>
      <c r="Z3105" s="71">
        <f>DA3105+DC3105+DE3105</f>
        <v>0</v>
      </c>
      <c r="AA3105" s="71">
        <f>CW3105</f>
        <v>0</v>
      </c>
      <c r="AB3105" s="71"/>
      <c r="AC3105" s="71">
        <v>0</v>
      </c>
      <c r="AD3105" s="71">
        <f>W3105+X3105+Y3105+Z3105+AA3105+AB3105+AC3105</f>
        <v>0</v>
      </c>
      <c r="AE3105" s="72">
        <v>0</v>
      </c>
      <c r="AF3105" s="5"/>
      <c r="AG3105" s="6"/>
      <c r="AH3105" s="27"/>
      <c r="AI3105" s="44"/>
      <c r="AJ3105" s="26"/>
      <c r="AK3105" s="5"/>
      <c r="AL3105" s="268" t="s">
        <v>6114</v>
      </c>
      <c r="AM3105" s="76"/>
      <c r="AN3105" s="76"/>
      <c r="AO3105" s="76"/>
      <c r="AP3105" s="76"/>
      <c r="AQ3105" s="76"/>
      <c r="AR3105" s="76"/>
      <c r="AS3105" s="76"/>
      <c r="AT3105" s="76"/>
      <c r="AU3105" s="76"/>
      <c r="AV3105" s="76"/>
      <c r="AW3105" s="76"/>
      <c r="AX3105" s="76">
        <f>+AW3105*600000</f>
        <v>0</v>
      </c>
      <c r="AY3105" s="76"/>
      <c r="AZ3105" s="76">
        <f>+AY3105*70000</f>
        <v>0</v>
      </c>
      <c r="BA3105" s="76"/>
      <c r="BB3105" s="76"/>
      <c r="BC3105" s="76"/>
      <c r="BD3105" s="76">
        <f>+BC3105*30000</f>
        <v>0</v>
      </c>
      <c r="BE3105" s="76"/>
      <c r="BF3105" s="76"/>
      <c r="BG3105" s="76"/>
      <c r="BH3105" s="76"/>
      <c r="BI3105" s="76"/>
      <c r="BJ3105" s="76"/>
      <c r="BK3105" s="76"/>
      <c r="BL3105" s="76">
        <f>+BK3105*31500</f>
        <v>0</v>
      </c>
      <c r="BM3105" s="76"/>
      <c r="BN3105" s="76"/>
      <c r="BO3105" s="76"/>
      <c r="BP3105" s="76"/>
      <c r="BQ3105" s="76"/>
      <c r="BR3105" s="76"/>
      <c r="BS3105" s="76"/>
      <c r="BT3105" s="76"/>
      <c r="BU3105" s="76"/>
      <c r="BV3105" s="76"/>
      <c r="BW3105" s="76"/>
      <c r="BX3105" s="76"/>
      <c r="BY3105" s="76"/>
      <c r="BZ3105" s="76"/>
      <c r="CA3105" s="76"/>
      <c r="CB3105" s="76"/>
      <c r="CC3105" s="76"/>
      <c r="CD3105" s="76"/>
      <c r="CE3105" s="76"/>
      <c r="CF3105" s="76">
        <f>+CE3105*28000</f>
        <v>0</v>
      </c>
      <c r="CG3105" s="76"/>
      <c r="CH3105" s="76">
        <f>+CG3105*22500</f>
        <v>0</v>
      </c>
      <c r="CI3105" s="76"/>
      <c r="CJ3105" s="76">
        <f>+CI3105*26000</f>
        <v>0</v>
      </c>
      <c r="CK3105" s="76"/>
      <c r="CL3105" s="76"/>
      <c r="CM3105" s="76"/>
      <c r="CN3105" s="76">
        <f>+CM3105*22000</f>
        <v>0</v>
      </c>
      <c r="CO3105" s="76"/>
      <c r="CP3105" s="76">
        <f>+CO3105*46000</f>
        <v>0</v>
      </c>
      <c r="CQ3105" s="76"/>
      <c r="CR3105" s="76">
        <f>+CQ3105*49000</f>
        <v>0</v>
      </c>
      <c r="CS3105" s="76"/>
      <c r="CT3105" s="76"/>
      <c r="CU3105" s="56">
        <f>AN3105+AP3105+AR3105+AT3105+AV3105+AX3105+AZ3105+BB3105+BD3105+BF3105+BH3105+BJ3105+BL3105+BN3105+BP3105+BR3105+BT3105+BV3105+BX3105+BZ3105+CB3105+CD3105+CF3105+CH3105+CJ3105+CL3105+CN3105+CP3105+CR3105+CT3105</f>
        <v>0</v>
      </c>
      <c r="CV3105" s="76"/>
      <c r="CW3105" s="76">
        <f>+CV3105*1100</f>
        <v>0</v>
      </c>
      <c r="CX3105" s="76"/>
      <c r="CY3105" s="76">
        <f>+CX3105*106250</f>
        <v>0</v>
      </c>
      <c r="CZ3105" s="76"/>
      <c r="DA3105" s="76">
        <f>+CZ3105*34500</f>
        <v>0</v>
      </c>
      <c r="DB3105" s="76"/>
      <c r="DC3105" s="76">
        <f>+DB3105*25000</f>
        <v>0</v>
      </c>
      <c r="DD3105" s="219"/>
      <c r="DE3105" s="219"/>
      <c r="DF3105" s="166"/>
      <c r="DG3105" s="116"/>
      <c r="DH3105" s="117"/>
      <c r="DI3105" s="24"/>
      <c r="DJ3105" s="24"/>
      <c r="DK3105" s="24"/>
      <c r="DL3105" s="24"/>
      <c r="DM3105" s="24"/>
      <c r="DN3105" s="24"/>
      <c r="DO3105" s="24"/>
      <c r="DP3105" s="24"/>
      <c r="DQ3105" s="24"/>
      <c r="DR3105" s="24"/>
      <c r="DS3105" s="24"/>
      <c r="DT3105" s="24"/>
      <c r="DU3105" s="24"/>
    </row>
    <row r="3106" spans="1:125" s="8" customFormat="1" ht="36" x14ac:dyDescent="0.2">
      <c r="A3106" s="77">
        <v>41539</v>
      </c>
      <c r="B3106" s="208" t="s">
        <v>2291</v>
      </c>
      <c r="C3106" s="354" t="s">
        <v>2292</v>
      </c>
      <c r="D3106" s="354" t="s">
        <v>2846</v>
      </c>
      <c r="E3106" s="296" t="str">
        <f>VLOOKUP(B3106&amp;C3106,Divipola!$C$2:$F$1138,4,FALSE)</f>
        <v>94001</v>
      </c>
      <c r="F3106" s="87"/>
      <c r="G3106" s="87"/>
      <c r="H3106" s="87"/>
      <c r="I3106" s="87"/>
      <c r="J3106" s="87"/>
      <c r="K3106" s="87"/>
      <c r="L3106" s="87"/>
      <c r="M3106" s="87"/>
      <c r="N3106" s="87"/>
      <c r="O3106" s="87"/>
      <c r="P3106" s="87"/>
      <c r="Q3106" s="87"/>
      <c r="R3106" s="87"/>
      <c r="S3106" s="87"/>
      <c r="T3106" s="87"/>
      <c r="U3106" s="88">
        <v>1</v>
      </c>
      <c r="V3106" s="89"/>
      <c r="W3106" s="96">
        <v>0</v>
      </c>
      <c r="X3106" s="71">
        <f>CU3106</f>
        <v>0</v>
      </c>
      <c r="Y3106" s="71">
        <f>CY3106</f>
        <v>0</v>
      </c>
      <c r="Z3106" s="71">
        <f>DA3106+DC3106+DE3106</f>
        <v>0</v>
      </c>
      <c r="AA3106" s="71">
        <f>CW3106</f>
        <v>0</v>
      </c>
      <c r="AB3106" s="71"/>
      <c r="AC3106" s="71">
        <v>0</v>
      </c>
      <c r="AD3106" s="71">
        <f>W3106+X3106+Y3106+Z3106+AA3106+AB3106+AC3106</f>
        <v>0</v>
      </c>
      <c r="AE3106" s="72">
        <v>0</v>
      </c>
      <c r="AF3106" s="5"/>
      <c r="AG3106" s="6"/>
      <c r="AH3106" s="27"/>
      <c r="AI3106" s="44"/>
      <c r="AJ3106" s="26"/>
      <c r="AK3106" s="5"/>
      <c r="AL3106" s="82" t="s">
        <v>6008</v>
      </c>
      <c r="AM3106" s="76"/>
      <c r="AN3106" s="76"/>
      <c r="AO3106" s="76"/>
      <c r="AP3106" s="76"/>
      <c r="AQ3106" s="76"/>
      <c r="AR3106" s="76"/>
      <c r="AS3106" s="76"/>
      <c r="AT3106" s="76"/>
      <c r="AU3106" s="76"/>
      <c r="AV3106" s="76"/>
      <c r="AW3106" s="76"/>
      <c r="AX3106" s="76">
        <f>+AW3106*600000</f>
        <v>0</v>
      </c>
      <c r="AY3106" s="76"/>
      <c r="AZ3106" s="76">
        <f>+AY3106*70000</f>
        <v>0</v>
      </c>
      <c r="BA3106" s="76"/>
      <c r="BB3106" s="76"/>
      <c r="BC3106" s="76"/>
      <c r="BD3106" s="76">
        <f>+BC3106*30000</f>
        <v>0</v>
      </c>
      <c r="BE3106" s="76"/>
      <c r="BF3106" s="76"/>
      <c r="BG3106" s="76"/>
      <c r="BH3106" s="76"/>
      <c r="BI3106" s="76"/>
      <c r="BJ3106" s="76"/>
      <c r="BK3106" s="76"/>
      <c r="BL3106" s="76">
        <f>+BK3106*31500</f>
        <v>0</v>
      </c>
      <c r="BM3106" s="76"/>
      <c r="BN3106" s="76"/>
      <c r="BO3106" s="76"/>
      <c r="BP3106" s="76"/>
      <c r="BQ3106" s="76"/>
      <c r="BR3106" s="76"/>
      <c r="BS3106" s="76"/>
      <c r="BT3106" s="76"/>
      <c r="BU3106" s="76"/>
      <c r="BV3106" s="76"/>
      <c r="BW3106" s="76"/>
      <c r="BX3106" s="76"/>
      <c r="BY3106" s="76"/>
      <c r="BZ3106" s="76"/>
      <c r="CA3106" s="76"/>
      <c r="CB3106" s="76"/>
      <c r="CC3106" s="76"/>
      <c r="CD3106" s="76"/>
      <c r="CE3106" s="76"/>
      <c r="CF3106" s="76">
        <f>+CE3106*28000</f>
        <v>0</v>
      </c>
      <c r="CG3106" s="76"/>
      <c r="CH3106" s="76">
        <f>+CG3106*22500</f>
        <v>0</v>
      </c>
      <c r="CI3106" s="76"/>
      <c r="CJ3106" s="76">
        <f>+CI3106*26000</f>
        <v>0</v>
      </c>
      <c r="CK3106" s="76"/>
      <c r="CL3106" s="76"/>
      <c r="CM3106" s="76"/>
      <c r="CN3106" s="76">
        <f>+CM3106*22000</f>
        <v>0</v>
      </c>
      <c r="CO3106" s="76"/>
      <c r="CP3106" s="76">
        <f>+CO3106*46000</f>
        <v>0</v>
      </c>
      <c r="CQ3106" s="76"/>
      <c r="CR3106" s="76">
        <f>+CQ3106*49000</f>
        <v>0</v>
      </c>
      <c r="CS3106" s="76"/>
      <c r="CT3106" s="76"/>
      <c r="CU3106" s="56">
        <f>AN3106+AP3106+AR3106+AT3106+AV3106+AX3106+AZ3106+BB3106+BD3106+BF3106+BH3106+BJ3106+BL3106+BN3106+BP3106+BR3106+BT3106+BV3106+BX3106+BZ3106+CB3106+CD3106+CF3106+CH3106+CJ3106+CL3106+CN3106+CP3106+CR3106+CT3106</f>
        <v>0</v>
      </c>
      <c r="CV3106" s="76"/>
      <c r="CW3106" s="76">
        <f>+CV3106*1100</f>
        <v>0</v>
      </c>
      <c r="CX3106" s="76"/>
      <c r="CY3106" s="76">
        <f>+CX3106*106250</f>
        <v>0</v>
      </c>
      <c r="CZ3106" s="76"/>
      <c r="DA3106" s="76">
        <f>+CZ3106*34500</f>
        <v>0</v>
      </c>
      <c r="DB3106" s="76"/>
      <c r="DC3106" s="76">
        <f>+DB3106*25000</f>
        <v>0</v>
      </c>
      <c r="DD3106" s="219"/>
      <c r="DE3106" s="219"/>
      <c r="DF3106" s="166"/>
      <c r="DG3106" s="116"/>
      <c r="DH3106" s="117"/>
      <c r="DI3106" s="24"/>
      <c r="DJ3106" s="24"/>
      <c r="DK3106" s="24"/>
      <c r="DL3106" s="24"/>
      <c r="DM3106" s="24"/>
      <c r="DN3106" s="24"/>
      <c r="DO3106" s="24"/>
      <c r="DP3106" s="24"/>
      <c r="DQ3106" s="24"/>
      <c r="DR3106" s="24"/>
      <c r="DS3106" s="24"/>
      <c r="DT3106" s="24"/>
      <c r="DU3106" s="24"/>
    </row>
    <row r="3107" spans="1:125" s="8" customFormat="1" ht="168" x14ac:dyDescent="0.2">
      <c r="A3107" s="77">
        <v>41539</v>
      </c>
      <c r="B3107" s="352" t="s">
        <v>2811</v>
      </c>
      <c r="C3107" s="354" t="s">
        <v>8</v>
      </c>
      <c r="D3107" s="354" t="s">
        <v>2846</v>
      </c>
      <c r="E3107" s="296" t="str">
        <f>VLOOKUP(B3107&amp;C3107,Divipola!$C$2:$F$1138,4,FALSE)</f>
        <v>52207</v>
      </c>
      <c r="F3107" s="87"/>
      <c r="G3107" s="87"/>
      <c r="H3107" s="87"/>
      <c r="I3107" s="87"/>
      <c r="J3107" s="87"/>
      <c r="K3107" s="87"/>
      <c r="L3107" s="87"/>
      <c r="M3107" s="87"/>
      <c r="N3107" s="87"/>
      <c r="O3107" s="87"/>
      <c r="P3107" s="87"/>
      <c r="Q3107" s="87"/>
      <c r="R3107" s="87"/>
      <c r="S3107" s="87"/>
      <c r="T3107" s="87"/>
      <c r="U3107" s="88">
        <v>8</v>
      </c>
      <c r="V3107" s="89"/>
      <c r="W3107" s="96">
        <v>0</v>
      </c>
      <c r="X3107" s="71">
        <f>CU3107</f>
        <v>0</v>
      </c>
      <c r="Y3107" s="71">
        <f>CY3107</f>
        <v>0</v>
      </c>
      <c r="Z3107" s="71">
        <f>DA3107+DC3107+DE3107</f>
        <v>0</v>
      </c>
      <c r="AA3107" s="71">
        <f>CW3107</f>
        <v>0</v>
      </c>
      <c r="AB3107" s="71"/>
      <c r="AC3107" s="71">
        <v>0</v>
      </c>
      <c r="AD3107" s="71">
        <f>W3107+X3107+Y3107+Z3107+AA3107+AB3107+AC3107</f>
        <v>0</v>
      </c>
      <c r="AE3107" s="72">
        <v>0</v>
      </c>
      <c r="AF3107" s="5"/>
      <c r="AG3107" s="6"/>
      <c r="AH3107" s="27"/>
      <c r="AI3107" s="44"/>
      <c r="AJ3107" s="26"/>
      <c r="AK3107" s="5"/>
      <c r="AL3107" s="274" t="s">
        <v>6119</v>
      </c>
      <c r="AM3107" s="76"/>
      <c r="AN3107" s="76"/>
      <c r="AO3107" s="76"/>
      <c r="AP3107" s="76"/>
      <c r="AQ3107" s="76"/>
      <c r="AR3107" s="76"/>
      <c r="AS3107" s="76"/>
      <c r="AT3107" s="76"/>
      <c r="AU3107" s="76"/>
      <c r="AV3107" s="76"/>
      <c r="AW3107" s="76"/>
      <c r="AX3107" s="76">
        <f>+AW3107*600000</f>
        <v>0</v>
      </c>
      <c r="AY3107" s="76"/>
      <c r="AZ3107" s="76">
        <f>+AY3107*70000</f>
        <v>0</v>
      </c>
      <c r="BA3107" s="76"/>
      <c r="BB3107" s="76"/>
      <c r="BC3107" s="76"/>
      <c r="BD3107" s="76">
        <f>+BC3107*30000</f>
        <v>0</v>
      </c>
      <c r="BE3107" s="76"/>
      <c r="BF3107" s="76"/>
      <c r="BG3107" s="76"/>
      <c r="BH3107" s="76"/>
      <c r="BI3107" s="76"/>
      <c r="BJ3107" s="76"/>
      <c r="BK3107" s="76"/>
      <c r="BL3107" s="76">
        <f>+BK3107*31500</f>
        <v>0</v>
      </c>
      <c r="BM3107" s="76"/>
      <c r="BN3107" s="76"/>
      <c r="BO3107" s="76"/>
      <c r="BP3107" s="76"/>
      <c r="BQ3107" s="76"/>
      <c r="BR3107" s="76"/>
      <c r="BS3107" s="76"/>
      <c r="BT3107" s="76"/>
      <c r="BU3107" s="76"/>
      <c r="BV3107" s="76"/>
      <c r="BW3107" s="76"/>
      <c r="BX3107" s="76"/>
      <c r="BY3107" s="76"/>
      <c r="BZ3107" s="76"/>
      <c r="CA3107" s="76"/>
      <c r="CB3107" s="76"/>
      <c r="CC3107" s="76"/>
      <c r="CD3107" s="76"/>
      <c r="CE3107" s="76"/>
      <c r="CF3107" s="76">
        <f>+CE3107*28000</f>
        <v>0</v>
      </c>
      <c r="CG3107" s="76"/>
      <c r="CH3107" s="76">
        <f>+CG3107*22500</f>
        <v>0</v>
      </c>
      <c r="CI3107" s="76"/>
      <c r="CJ3107" s="76">
        <f>+CI3107*26000</f>
        <v>0</v>
      </c>
      <c r="CK3107" s="76"/>
      <c r="CL3107" s="76"/>
      <c r="CM3107" s="76"/>
      <c r="CN3107" s="76">
        <f>+CM3107*22000</f>
        <v>0</v>
      </c>
      <c r="CO3107" s="76"/>
      <c r="CP3107" s="76">
        <f>+CO3107*46000</f>
        <v>0</v>
      </c>
      <c r="CQ3107" s="76"/>
      <c r="CR3107" s="76">
        <f>+CQ3107*49000</f>
        <v>0</v>
      </c>
      <c r="CS3107" s="76"/>
      <c r="CT3107" s="76"/>
      <c r="CU3107" s="56">
        <f>AN3107+AP3107+AR3107+AT3107+AV3107+AX3107+AZ3107+BB3107+BD3107+BF3107+BH3107+BJ3107+BL3107+BN3107+BP3107+BR3107+BT3107+BV3107+BX3107+BZ3107+CB3107+CD3107+CF3107+CH3107+CJ3107+CL3107+CN3107+CP3107+CR3107+CT3107</f>
        <v>0</v>
      </c>
      <c r="CV3107" s="76"/>
      <c r="CW3107" s="76">
        <f>+CV3107*1100</f>
        <v>0</v>
      </c>
      <c r="CX3107" s="76"/>
      <c r="CY3107" s="76">
        <f>+CX3107*106250</f>
        <v>0</v>
      </c>
      <c r="CZ3107" s="76"/>
      <c r="DA3107" s="76">
        <f>+CZ3107*34500</f>
        <v>0</v>
      </c>
      <c r="DB3107" s="76"/>
      <c r="DC3107" s="76">
        <f>+DB3107*25000</f>
        <v>0</v>
      </c>
      <c r="DD3107" s="219"/>
      <c r="DE3107" s="219"/>
      <c r="DF3107" s="166"/>
      <c r="DG3107" s="116"/>
      <c r="DH3107" s="117"/>
      <c r="DI3107" s="24"/>
      <c r="DJ3107" s="24"/>
      <c r="DK3107" s="24"/>
      <c r="DL3107" s="24"/>
      <c r="DM3107" s="24"/>
      <c r="DN3107" s="24"/>
      <c r="DO3107" s="24"/>
      <c r="DP3107" s="24"/>
      <c r="DQ3107" s="24"/>
      <c r="DR3107" s="24"/>
      <c r="DS3107" s="24"/>
      <c r="DT3107" s="24"/>
      <c r="DU3107" s="24"/>
    </row>
    <row r="3108" spans="1:125" s="8" customFormat="1" ht="84" x14ac:dyDescent="0.2">
      <c r="A3108" s="77">
        <v>41539</v>
      </c>
      <c r="B3108" s="78" t="s">
        <v>2811</v>
      </c>
      <c r="C3108" s="75" t="s">
        <v>518</v>
      </c>
      <c r="D3108" s="75" t="s">
        <v>2846</v>
      </c>
      <c r="E3108" s="296" t="str">
        <f>VLOOKUP(B3108&amp;C3108,Divipola!$C$2:$F$1138,4,FALSE)</f>
        <v>52699</v>
      </c>
      <c r="F3108" s="87"/>
      <c r="G3108" s="87"/>
      <c r="H3108" s="87"/>
      <c r="I3108" s="87"/>
      <c r="J3108" s="87"/>
      <c r="K3108" s="87"/>
      <c r="L3108" s="87"/>
      <c r="M3108" s="87"/>
      <c r="N3108" s="87"/>
      <c r="O3108" s="87"/>
      <c r="P3108" s="87"/>
      <c r="Q3108" s="87"/>
      <c r="R3108" s="87"/>
      <c r="S3108" s="87"/>
      <c r="T3108" s="87"/>
      <c r="U3108" s="88"/>
      <c r="V3108" s="89"/>
      <c r="W3108" s="96">
        <v>0</v>
      </c>
      <c r="X3108" s="71">
        <f>CU3108</f>
        <v>0</v>
      </c>
      <c r="Y3108" s="71">
        <f>CY3108</f>
        <v>0</v>
      </c>
      <c r="Z3108" s="71">
        <f>DA3108+DC3108+DE3108</f>
        <v>0</v>
      </c>
      <c r="AA3108" s="71">
        <f>CW3108</f>
        <v>0</v>
      </c>
      <c r="AB3108" s="71"/>
      <c r="AC3108" s="71">
        <v>0</v>
      </c>
      <c r="AD3108" s="71">
        <f>W3108+X3108+Y3108+Z3108+AA3108+AB3108+AC3108</f>
        <v>0</v>
      </c>
      <c r="AE3108" s="72">
        <v>0</v>
      </c>
      <c r="AF3108" s="5"/>
      <c r="AG3108" s="6"/>
      <c r="AH3108" s="27"/>
      <c r="AI3108" s="44"/>
      <c r="AJ3108" s="26"/>
      <c r="AK3108" s="5"/>
      <c r="AL3108" s="82" t="s">
        <v>6004</v>
      </c>
      <c r="AM3108" s="76"/>
      <c r="AN3108" s="76"/>
      <c r="AO3108" s="76"/>
      <c r="AP3108" s="76"/>
      <c r="AQ3108" s="76"/>
      <c r="AR3108" s="76"/>
      <c r="AS3108" s="76"/>
      <c r="AT3108" s="76"/>
      <c r="AU3108" s="76"/>
      <c r="AV3108" s="76"/>
      <c r="AW3108" s="76"/>
      <c r="AX3108" s="76">
        <f>+AW3108*600000</f>
        <v>0</v>
      </c>
      <c r="AY3108" s="76"/>
      <c r="AZ3108" s="76">
        <f>+AY3108*70000</f>
        <v>0</v>
      </c>
      <c r="BA3108" s="76"/>
      <c r="BB3108" s="76"/>
      <c r="BC3108" s="76"/>
      <c r="BD3108" s="76">
        <f>+BC3108*30000</f>
        <v>0</v>
      </c>
      <c r="BE3108" s="76"/>
      <c r="BF3108" s="76"/>
      <c r="BG3108" s="76"/>
      <c r="BH3108" s="76"/>
      <c r="BI3108" s="76"/>
      <c r="BJ3108" s="76"/>
      <c r="BK3108" s="76"/>
      <c r="BL3108" s="76">
        <f>+BK3108*31500</f>
        <v>0</v>
      </c>
      <c r="BM3108" s="76"/>
      <c r="BN3108" s="76"/>
      <c r="BO3108" s="76"/>
      <c r="BP3108" s="76"/>
      <c r="BQ3108" s="76"/>
      <c r="BR3108" s="76"/>
      <c r="BS3108" s="76"/>
      <c r="BT3108" s="76"/>
      <c r="BU3108" s="76"/>
      <c r="BV3108" s="76"/>
      <c r="BW3108" s="76"/>
      <c r="BX3108" s="76"/>
      <c r="BY3108" s="76"/>
      <c r="BZ3108" s="76"/>
      <c r="CA3108" s="76"/>
      <c r="CB3108" s="76"/>
      <c r="CC3108" s="76"/>
      <c r="CD3108" s="76"/>
      <c r="CE3108" s="76"/>
      <c r="CF3108" s="76">
        <f>+CE3108*28000</f>
        <v>0</v>
      </c>
      <c r="CG3108" s="76"/>
      <c r="CH3108" s="76">
        <f>+CG3108*22500</f>
        <v>0</v>
      </c>
      <c r="CI3108" s="76"/>
      <c r="CJ3108" s="76">
        <f>+CI3108*26000</f>
        <v>0</v>
      </c>
      <c r="CK3108" s="76"/>
      <c r="CL3108" s="76"/>
      <c r="CM3108" s="76"/>
      <c r="CN3108" s="76">
        <f>+CM3108*22000</f>
        <v>0</v>
      </c>
      <c r="CO3108" s="76"/>
      <c r="CP3108" s="76">
        <f>+CO3108*46000</f>
        <v>0</v>
      </c>
      <c r="CQ3108" s="76"/>
      <c r="CR3108" s="76">
        <f>+CQ3108*49000</f>
        <v>0</v>
      </c>
      <c r="CS3108" s="76"/>
      <c r="CT3108" s="76"/>
      <c r="CU3108" s="56">
        <f>AN3108+AP3108+AR3108+AT3108+AV3108+AX3108+AZ3108+BB3108+BD3108+BF3108+BH3108+BJ3108+BL3108+BN3108+BP3108+BR3108+BT3108+BV3108+BX3108+BZ3108+CB3108+CD3108+CF3108+CH3108+CJ3108+CL3108+CN3108+CP3108+CR3108+CT3108</f>
        <v>0</v>
      </c>
      <c r="CV3108" s="76"/>
      <c r="CW3108" s="76">
        <f>+CV3108*1100</f>
        <v>0</v>
      </c>
      <c r="CX3108" s="76"/>
      <c r="CY3108" s="76">
        <f>+CX3108*106250</f>
        <v>0</v>
      </c>
      <c r="CZ3108" s="76"/>
      <c r="DA3108" s="76">
        <f>+CZ3108*34500</f>
        <v>0</v>
      </c>
      <c r="DB3108" s="76"/>
      <c r="DC3108" s="76">
        <f>+DB3108*25000</f>
        <v>0</v>
      </c>
      <c r="DD3108" s="219"/>
      <c r="DE3108" s="219"/>
      <c r="DF3108" s="166"/>
      <c r="DG3108" s="116"/>
      <c r="DH3108" s="117"/>
      <c r="DI3108" s="24"/>
      <c r="DJ3108" s="24"/>
      <c r="DK3108" s="24"/>
      <c r="DL3108" s="24"/>
      <c r="DM3108" s="24"/>
      <c r="DN3108" s="24"/>
      <c r="DO3108" s="24"/>
      <c r="DP3108" s="24"/>
      <c r="DQ3108" s="24"/>
      <c r="DR3108" s="24"/>
      <c r="DS3108" s="24"/>
      <c r="DT3108" s="24"/>
      <c r="DU3108" s="24"/>
    </row>
    <row r="3109" spans="1:125" s="8" customFormat="1" ht="72" x14ac:dyDescent="0.2">
      <c r="A3109" s="77">
        <v>41539</v>
      </c>
      <c r="B3109" s="78" t="s">
        <v>2860</v>
      </c>
      <c r="C3109" s="75" t="s">
        <v>2776</v>
      </c>
      <c r="D3109" s="75" t="s">
        <v>2859</v>
      </c>
      <c r="E3109" s="296" t="str">
        <f>VLOOKUP(B3109&amp;C3109,Divipola!$C$2:$F$1138,4,FALSE)</f>
        <v>63001</v>
      </c>
      <c r="F3109" s="87"/>
      <c r="G3109" s="87"/>
      <c r="H3109" s="87"/>
      <c r="I3109" s="87">
        <v>2</v>
      </c>
      <c r="J3109" s="87">
        <v>1</v>
      </c>
      <c r="K3109" s="87"/>
      <c r="L3109" s="87">
        <v>1</v>
      </c>
      <c r="M3109" s="87"/>
      <c r="N3109" s="87"/>
      <c r="O3109" s="87"/>
      <c r="P3109" s="87"/>
      <c r="Q3109" s="87"/>
      <c r="R3109" s="87"/>
      <c r="S3109" s="87"/>
      <c r="T3109" s="87"/>
      <c r="U3109" s="88"/>
      <c r="V3109" s="89"/>
      <c r="W3109" s="96">
        <v>0</v>
      </c>
      <c r="X3109" s="71">
        <f>CU3109</f>
        <v>0</v>
      </c>
      <c r="Y3109" s="71">
        <f>CY3109</f>
        <v>0</v>
      </c>
      <c r="Z3109" s="71">
        <f>DA3109+DC3109+DE3109</f>
        <v>0</v>
      </c>
      <c r="AA3109" s="71">
        <f>CW3109</f>
        <v>0</v>
      </c>
      <c r="AB3109" s="71"/>
      <c r="AC3109" s="71">
        <v>0</v>
      </c>
      <c r="AD3109" s="71">
        <f>W3109+X3109+Y3109+Z3109+AA3109+AB3109+AC3109</f>
        <v>0</v>
      </c>
      <c r="AE3109" s="72">
        <v>0</v>
      </c>
      <c r="AF3109" s="5"/>
      <c r="AG3109" s="6"/>
      <c r="AH3109" s="27"/>
      <c r="AI3109" s="44"/>
      <c r="AJ3109" s="26"/>
      <c r="AK3109" s="5"/>
      <c r="AL3109" s="274" t="s">
        <v>6050</v>
      </c>
      <c r="AM3109" s="76"/>
      <c r="AN3109" s="76"/>
      <c r="AO3109" s="76"/>
      <c r="AP3109" s="76"/>
      <c r="AQ3109" s="76"/>
      <c r="AR3109" s="76"/>
      <c r="AS3109" s="76"/>
      <c r="AT3109" s="76"/>
      <c r="AU3109" s="76"/>
      <c r="AV3109" s="76"/>
      <c r="AW3109" s="76"/>
      <c r="AX3109" s="76">
        <f>+AW3109*600000</f>
        <v>0</v>
      </c>
      <c r="AY3109" s="76"/>
      <c r="AZ3109" s="76">
        <f>+AY3109*70000</f>
        <v>0</v>
      </c>
      <c r="BA3109" s="76"/>
      <c r="BB3109" s="76"/>
      <c r="BC3109" s="76"/>
      <c r="BD3109" s="76">
        <f>+BC3109*30000</f>
        <v>0</v>
      </c>
      <c r="BE3109" s="76"/>
      <c r="BF3109" s="76"/>
      <c r="BG3109" s="76"/>
      <c r="BH3109" s="76"/>
      <c r="BI3109" s="76"/>
      <c r="BJ3109" s="76"/>
      <c r="BK3109" s="76"/>
      <c r="BL3109" s="76">
        <f>+BK3109*31500</f>
        <v>0</v>
      </c>
      <c r="BM3109" s="76"/>
      <c r="BN3109" s="76"/>
      <c r="BO3109" s="76"/>
      <c r="BP3109" s="76"/>
      <c r="BQ3109" s="76"/>
      <c r="BR3109" s="76"/>
      <c r="BS3109" s="76"/>
      <c r="BT3109" s="76"/>
      <c r="BU3109" s="76"/>
      <c r="BV3109" s="76"/>
      <c r="BW3109" s="76"/>
      <c r="BX3109" s="76"/>
      <c r="BY3109" s="76"/>
      <c r="BZ3109" s="76"/>
      <c r="CA3109" s="76"/>
      <c r="CB3109" s="76"/>
      <c r="CC3109" s="76"/>
      <c r="CD3109" s="76"/>
      <c r="CE3109" s="76"/>
      <c r="CF3109" s="76">
        <f>+CE3109*28000</f>
        <v>0</v>
      </c>
      <c r="CG3109" s="76"/>
      <c r="CH3109" s="76">
        <f>+CG3109*22500</f>
        <v>0</v>
      </c>
      <c r="CI3109" s="76"/>
      <c r="CJ3109" s="76">
        <f>+CI3109*26000</f>
        <v>0</v>
      </c>
      <c r="CK3109" s="76"/>
      <c r="CL3109" s="76"/>
      <c r="CM3109" s="76"/>
      <c r="CN3109" s="76">
        <f>+CM3109*22000</f>
        <v>0</v>
      </c>
      <c r="CO3109" s="76"/>
      <c r="CP3109" s="76">
        <f>+CO3109*46000</f>
        <v>0</v>
      </c>
      <c r="CQ3109" s="76"/>
      <c r="CR3109" s="76">
        <f>+CQ3109*49000</f>
        <v>0</v>
      </c>
      <c r="CS3109" s="76"/>
      <c r="CT3109" s="76"/>
      <c r="CU3109" s="56">
        <f>AN3109+AP3109+AR3109+AT3109+AV3109+AX3109+AZ3109+BB3109+BD3109+BF3109+BH3109+BJ3109+BL3109+BN3109+BP3109+BR3109+BT3109+BV3109+BX3109+BZ3109+CB3109+CD3109+CF3109+CH3109+CJ3109+CL3109+CN3109+CP3109+CR3109+CT3109</f>
        <v>0</v>
      </c>
      <c r="CV3109" s="76"/>
      <c r="CW3109" s="76">
        <f>+CV3109*1100</f>
        <v>0</v>
      </c>
      <c r="CX3109" s="76"/>
      <c r="CY3109" s="76">
        <f>+CX3109*106250</f>
        <v>0</v>
      </c>
      <c r="CZ3109" s="76"/>
      <c r="DA3109" s="76">
        <f>+CZ3109*34500</f>
        <v>0</v>
      </c>
      <c r="DB3109" s="76"/>
      <c r="DC3109" s="76">
        <f>+DB3109*25000</f>
        <v>0</v>
      </c>
      <c r="DD3109" s="219"/>
      <c r="DE3109" s="219"/>
      <c r="DF3109" s="166"/>
      <c r="DG3109" s="116"/>
      <c r="DH3109" s="117"/>
      <c r="DI3109" s="24"/>
      <c r="DJ3109" s="24"/>
      <c r="DK3109" s="24"/>
      <c r="DL3109" s="24"/>
      <c r="DM3109" s="24"/>
      <c r="DN3109" s="24"/>
      <c r="DO3109" s="24"/>
      <c r="DP3109" s="24"/>
      <c r="DQ3109" s="24"/>
      <c r="DR3109" s="24"/>
      <c r="DS3109" s="24"/>
      <c r="DT3109" s="24"/>
      <c r="DU3109" s="24"/>
    </row>
    <row r="3110" spans="1:125" s="8" customFormat="1" ht="36" x14ac:dyDescent="0.2">
      <c r="A3110" s="77">
        <v>41539</v>
      </c>
      <c r="B3110" s="352" t="s">
        <v>2848</v>
      </c>
      <c r="C3110" s="227" t="s">
        <v>2191</v>
      </c>
      <c r="D3110" s="354" t="s">
        <v>2846</v>
      </c>
      <c r="E3110" s="296" t="str">
        <f>VLOOKUP(B3110&amp;C3110,Divipola!$C$2:$F$1138,4,FALSE)</f>
        <v>73319</v>
      </c>
      <c r="F3110" s="87"/>
      <c r="G3110" s="87"/>
      <c r="H3110" s="87"/>
      <c r="I3110" s="87"/>
      <c r="J3110" s="87"/>
      <c r="K3110" s="87"/>
      <c r="L3110" s="87"/>
      <c r="M3110" s="87"/>
      <c r="N3110" s="87"/>
      <c r="O3110" s="87"/>
      <c r="P3110" s="87"/>
      <c r="Q3110" s="87"/>
      <c r="R3110" s="87"/>
      <c r="S3110" s="87"/>
      <c r="T3110" s="87"/>
      <c r="U3110" s="88">
        <v>10</v>
      </c>
      <c r="V3110" s="89"/>
      <c r="W3110" s="96">
        <v>0</v>
      </c>
      <c r="X3110" s="71">
        <f>CU3110</f>
        <v>0</v>
      </c>
      <c r="Y3110" s="71">
        <f>CY3110</f>
        <v>0</v>
      </c>
      <c r="Z3110" s="71">
        <f>DA3110+DC3110+DE3110</f>
        <v>0</v>
      </c>
      <c r="AA3110" s="71">
        <f>CW3110</f>
        <v>0</v>
      </c>
      <c r="AB3110" s="71"/>
      <c r="AC3110" s="71">
        <v>0</v>
      </c>
      <c r="AD3110" s="71">
        <f>W3110+X3110+Y3110+Z3110+AA3110+AB3110+AC3110</f>
        <v>0</v>
      </c>
      <c r="AE3110" s="72">
        <v>0</v>
      </c>
      <c r="AF3110" s="5"/>
      <c r="AG3110" s="6"/>
      <c r="AH3110" s="27"/>
      <c r="AI3110" s="44"/>
      <c r="AJ3110" s="26"/>
      <c r="AK3110" s="5"/>
      <c r="AL3110" s="316" t="s">
        <v>6010</v>
      </c>
      <c r="AM3110" s="76"/>
      <c r="AN3110" s="76"/>
      <c r="AO3110" s="76"/>
      <c r="AP3110" s="76"/>
      <c r="AQ3110" s="76"/>
      <c r="AR3110" s="76"/>
      <c r="AS3110" s="76"/>
      <c r="AT3110" s="76"/>
      <c r="AU3110" s="76"/>
      <c r="AV3110" s="76"/>
      <c r="AW3110" s="76"/>
      <c r="AX3110" s="76">
        <f>+AW3110*600000</f>
        <v>0</v>
      </c>
      <c r="AY3110" s="76"/>
      <c r="AZ3110" s="76">
        <f>+AY3110*70000</f>
        <v>0</v>
      </c>
      <c r="BA3110" s="76"/>
      <c r="BB3110" s="76"/>
      <c r="BC3110" s="76"/>
      <c r="BD3110" s="76">
        <f>+BC3110*30000</f>
        <v>0</v>
      </c>
      <c r="BE3110" s="76"/>
      <c r="BF3110" s="76"/>
      <c r="BG3110" s="76"/>
      <c r="BH3110" s="76"/>
      <c r="BI3110" s="76"/>
      <c r="BJ3110" s="76"/>
      <c r="BK3110" s="76"/>
      <c r="BL3110" s="76">
        <f>+BK3110*31500</f>
        <v>0</v>
      </c>
      <c r="BM3110" s="76"/>
      <c r="BN3110" s="76"/>
      <c r="BO3110" s="76"/>
      <c r="BP3110" s="76"/>
      <c r="BQ3110" s="76"/>
      <c r="BR3110" s="76"/>
      <c r="BS3110" s="76"/>
      <c r="BT3110" s="76"/>
      <c r="BU3110" s="76"/>
      <c r="BV3110" s="76"/>
      <c r="BW3110" s="76"/>
      <c r="BX3110" s="76"/>
      <c r="BY3110" s="76"/>
      <c r="BZ3110" s="76"/>
      <c r="CA3110" s="76"/>
      <c r="CB3110" s="76"/>
      <c r="CC3110" s="76"/>
      <c r="CD3110" s="76"/>
      <c r="CE3110" s="76"/>
      <c r="CF3110" s="76">
        <f>+CE3110*28000</f>
        <v>0</v>
      </c>
      <c r="CG3110" s="76"/>
      <c r="CH3110" s="76">
        <f>+CG3110*22500</f>
        <v>0</v>
      </c>
      <c r="CI3110" s="76"/>
      <c r="CJ3110" s="76">
        <f>+CI3110*26000</f>
        <v>0</v>
      </c>
      <c r="CK3110" s="76"/>
      <c r="CL3110" s="76"/>
      <c r="CM3110" s="76"/>
      <c r="CN3110" s="76">
        <f>+CM3110*22000</f>
        <v>0</v>
      </c>
      <c r="CO3110" s="76"/>
      <c r="CP3110" s="76">
        <f>+CO3110*46000</f>
        <v>0</v>
      </c>
      <c r="CQ3110" s="76"/>
      <c r="CR3110" s="76">
        <f>+CQ3110*49000</f>
        <v>0</v>
      </c>
      <c r="CS3110" s="76"/>
      <c r="CT3110" s="76"/>
      <c r="CU3110" s="56">
        <f>AN3110+AP3110+AR3110+AT3110+AV3110+AX3110+AZ3110+BB3110+BD3110+BF3110+BH3110+BJ3110+BL3110+BN3110+BP3110+BR3110+BT3110+BV3110+BX3110+BZ3110+CB3110+CD3110+CF3110+CH3110+CJ3110+CL3110+CN3110+CP3110+CR3110+CT3110</f>
        <v>0</v>
      </c>
      <c r="CV3110" s="76"/>
      <c r="CW3110" s="76">
        <f>+CV3110*1100</f>
        <v>0</v>
      </c>
      <c r="CX3110" s="76"/>
      <c r="CY3110" s="76">
        <f>+CX3110*106250</f>
        <v>0</v>
      </c>
      <c r="CZ3110" s="76"/>
      <c r="DA3110" s="76">
        <f>+CZ3110*34500</f>
        <v>0</v>
      </c>
      <c r="DB3110" s="76"/>
      <c r="DC3110" s="76">
        <f>+DB3110*25000</f>
        <v>0</v>
      </c>
      <c r="DD3110" s="219"/>
      <c r="DE3110" s="219"/>
      <c r="DF3110" s="166"/>
      <c r="DG3110" s="116"/>
      <c r="DH3110" s="117"/>
      <c r="DI3110" s="24"/>
      <c r="DJ3110" s="24"/>
      <c r="DK3110" s="24"/>
      <c r="DL3110" s="24"/>
      <c r="DM3110" s="24"/>
      <c r="DN3110" s="24"/>
      <c r="DO3110" s="24"/>
      <c r="DP3110" s="24"/>
      <c r="DQ3110" s="24"/>
      <c r="DR3110" s="24"/>
      <c r="DS3110" s="24"/>
      <c r="DT3110" s="24"/>
      <c r="DU3110" s="24"/>
    </row>
    <row r="3111" spans="1:125" s="8" customFormat="1" ht="60" x14ac:dyDescent="0.2">
      <c r="A3111" s="77">
        <v>41539</v>
      </c>
      <c r="B3111" s="352" t="s">
        <v>2848</v>
      </c>
      <c r="C3111" s="354" t="s">
        <v>1338</v>
      </c>
      <c r="D3111" s="354" t="s">
        <v>2846</v>
      </c>
      <c r="E3111" s="296" t="str">
        <f>VLOOKUP(B3111&amp;C3111,Divipola!$C$2:$F$1138,4,FALSE)</f>
        <v>73504</v>
      </c>
      <c r="F3111" s="87"/>
      <c r="G3111" s="87"/>
      <c r="H3111" s="87"/>
      <c r="I3111" s="87"/>
      <c r="J3111" s="87"/>
      <c r="K3111" s="87"/>
      <c r="L3111" s="87"/>
      <c r="M3111" s="87"/>
      <c r="N3111" s="87"/>
      <c r="O3111" s="87"/>
      <c r="P3111" s="87"/>
      <c r="Q3111" s="87"/>
      <c r="R3111" s="87"/>
      <c r="S3111" s="87"/>
      <c r="T3111" s="87"/>
      <c r="U3111" s="88">
        <v>7.6</v>
      </c>
      <c r="V3111" s="89"/>
      <c r="W3111" s="96">
        <v>0</v>
      </c>
      <c r="X3111" s="71">
        <f>CU3111</f>
        <v>0</v>
      </c>
      <c r="Y3111" s="71">
        <f>CY3111</f>
        <v>0</v>
      </c>
      <c r="Z3111" s="71">
        <f>DA3111+DC3111+DE3111</f>
        <v>0</v>
      </c>
      <c r="AA3111" s="71">
        <f>CW3111</f>
        <v>0</v>
      </c>
      <c r="AB3111" s="71"/>
      <c r="AC3111" s="71">
        <v>0</v>
      </c>
      <c r="AD3111" s="71">
        <f>W3111+X3111+Y3111+Z3111+AA3111+AB3111+AC3111</f>
        <v>0</v>
      </c>
      <c r="AE3111" s="72">
        <v>0</v>
      </c>
      <c r="AF3111" s="5"/>
      <c r="AG3111" s="6"/>
      <c r="AH3111" s="27"/>
      <c r="AI3111" s="44"/>
      <c r="AJ3111" s="26"/>
      <c r="AK3111" s="5"/>
      <c r="AL3111" s="316" t="s">
        <v>6011</v>
      </c>
      <c r="AM3111" s="76"/>
      <c r="AN3111" s="76"/>
      <c r="AO3111" s="76"/>
      <c r="AP3111" s="76"/>
      <c r="AQ3111" s="76"/>
      <c r="AR3111" s="76"/>
      <c r="AS3111" s="76"/>
      <c r="AT3111" s="76"/>
      <c r="AU3111" s="76"/>
      <c r="AV3111" s="76"/>
      <c r="AW3111" s="76"/>
      <c r="AX3111" s="76">
        <f>+AW3111*600000</f>
        <v>0</v>
      </c>
      <c r="AY3111" s="76"/>
      <c r="AZ3111" s="76">
        <f>+AY3111*70000</f>
        <v>0</v>
      </c>
      <c r="BA3111" s="76"/>
      <c r="BB3111" s="76"/>
      <c r="BC3111" s="76"/>
      <c r="BD3111" s="76">
        <f>+BC3111*30000</f>
        <v>0</v>
      </c>
      <c r="BE3111" s="76"/>
      <c r="BF3111" s="76"/>
      <c r="BG3111" s="76"/>
      <c r="BH3111" s="76"/>
      <c r="BI3111" s="76"/>
      <c r="BJ3111" s="76"/>
      <c r="BK3111" s="76"/>
      <c r="BL3111" s="76">
        <f>+BK3111*31500</f>
        <v>0</v>
      </c>
      <c r="BM3111" s="76"/>
      <c r="BN3111" s="76"/>
      <c r="BO3111" s="76"/>
      <c r="BP3111" s="76"/>
      <c r="BQ3111" s="76"/>
      <c r="BR3111" s="76"/>
      <c r="BS3111" s="76"/>
      <c r="BT3111" s="76"/>
      <c r="BU3111" s="76"/>
      <c r="BV3111" s="76"/>
      <c r="BW3111" s="76"/>
      <c r="BX3111" s="76"/>
      <c r="BY3111" s="76"/>
      <c r="BZ3111" s="76"/>
      <c r="CA3111" s="76"/>
      <c r="CB3111" s="76"/>
      <c r="CC3111" s="76"/>
      <c r="CD3111" s="76"/>
      <c r="CE3111" s="76"/>
      <c r="CF3111" s="76">
        <f>+CE3111*28000</f>
        <v>0</v>
      </c>
      <c r="CG3111" s="76"/>
      <c r="CH3111" s="76">
        <f>+CG3111*22500</f>
        <v>0</v>
      </c>
      <c r="CI3111" s="76"/>
      <c r="CJ3111" s="76">
        <f>+CI3111*26000</f>
        <v>0</v>
      </c>
      <c r="CK3111" s="76"/>
      <c r="CL3111" s="76"/>
      <c r="CM3111" s="76"/>
      <c r="CN3111" s="76">
        <f>+CM3111*22000</f>
        <v>0</v>
      </c>
      <c r="CO3111" s="76"/>
      <c r="CP3111" s="76">
        <f>+CO3111*46000</f>
        <v>0</v>
      </c>
      <c r="CQ3111" s="76"/>
      <c r="CR3111" s="76">
        <f>+CQ3111*49000</f>
        <v>0</v>
      </c>
      <c r="CS3111" s="76"/>
      <c r="CT3111" s="76"/>
      <c r="CU3111" s="56">
        <f>AN3111+AP3111+AR3111+AT3111+AV3111+AX3111+AZ3111+BB3111+BD3111+BF3111+BH3111+BJ3111+BL3111+BN3111+BP3111+BR3111+BT3111+BV3111+BX3111+BZ3111+CB3111+CD3111+CF3111+CH3111+CJ3111+CL3111+CN3111+CP3111+CR3111+CT3111</f>
        <v>0</v>
      </c>
      <c r="CV3111" s="76"/>
      <c r="CW3111" s="76">
        <f>+CV3111*1100</f>
        <v>0</v>
      </c>
      <c r="CX3111" s="76"/>
      <c r="CY3111" s="76">
        <f>+CX3111*106250</f>
        <v>0</v>
      </c>
      <c r="CZ3111" s="76"/>
      <c r="DA3111" s="76">
        <f>+CZ3111*34500</f>
        <v>0</v>
      </c>
      <c r="DB3111" s="76"/>
      <c r="DC3111" s="76">
        <f>+DB3111*25000</f>
        <v>0</v>
      </c>
      <c r="DD3111" s="219"/>
      <c r="DE3111" s="219"/>
      <c r="DF3111" s="166"/>
      <c r="DG3111" s="116"/>
      <c r="DH3111" s="117"/>
      <c r="DI3111" s="24"/>
      <c r="DJ3111" s="24"/>
      <c r="DK3111" s="24"/>
      <c r="DL3111" s="24"/>
      <c r="DM3111" s="24"/>
      <c r="DN3111" s="24"/>
      <c r="DO3111" s="24"/>
      <c r="DP3111" s="24"/>
      <c r="DQ3111" s="24"/>
      <c r="DR3111" s="24"/>
      <c r="DS3111" s="24"/>
      <c r="DT3111" s="24"/>
      <c r="DU3111" s="24"/>
    </row>
    <row r="3112" spans="1:125" s="8" customFormat="1" ht="48" x14ac:dyDescent="0.2">
      <c r="A3112" s="77">
        <v>41539</v>
      </c>
      <c r="B3112" s="208" t="s">
        <v>2848</v>
      </c>
      <c r="C3112" s="354" t="s">
        <v>1907</v>
      </c>
      <c r="D3112" s="354" t="s">
        <v>2882</v>
      </c>
      <c r="E3112" s="296" t="str">
        <f>VLOOKUP(B3112&amp;C3112,Divipola!$C$2:$F$1138,4,FALSE)</f>
        <v>73624</v>
      </c>
      <c r="F3112" s="87"/>
      <c r="G3112" s="87"/>
      <c r="H3112" s="87"/>
      <c r="I3112" s="87"/>
      <c r="J3112" s="87"/>
      <c r="K3112" s="87"/>
      <c r="L3112" s="87"/>
      <c r="M3112" s="87"/>
      <c r="N3112" s="87"/>
      <c r="O3112" s="87"/>
      <c r="P3112" s="87"/>
      <c r="Q3112" s="87"/>
      <c r="R3112" s="87"/>
      <c r="S3112" s="87"/>
      <c r="T3112" s="87">
        <v>2</v>
      </c>
      <c r="U3112" s="88"/>
      <c r="V3112" s="89"/>
      <c r="W3112" s="96">
        <v>0</v>
      </c>
      <c r="X3112" s="71">
        <f>CU3112</f>
        <v>0</v>
      </c>
      <c r="Y3112" s="71">
        <f>CY3112</f>
        <v>0</v>
      </c>
      <c r="Z3112" s="71">
        <f>DA3112+DC3112+DE3112</f>
        <v>0</v>
      </c>
      <c r="AA3112" s="71">
        <f>CW3112</f>
        <v>0</v>
      </c>
      <c r="AB3112" s="71"/>
      <c r="AC3112" s="71">
        <v>0</v>
      </c>
      <c r="AD3112" s="71">
        <f>W3112+X3112+Y3112+Z3112+AA3112+AB3112+AC3112</f>
        <v>0</v>
      </c>
      <c r="AE3112" s="72">
        <v>0</v>
      </c>
      <c r="AF3112" s="5"/>
      <c r="AG3112" s="6"/>
      <c r="AH3112" s="27"/>
      <c r="AI3112" s="44"/>
      <c r="AJ3112" s="26"/>
      <c r="AK3112" s="5"/>
      <c r="AL3112" s="82" t="s">
        <v>6005</v>
      </c>
      <c r="AM3112" s="76"/>
      <c r="AN3112" s="76"/>
      <c r="AO3112" s="76"/>
      <c r="AP3112" s="76"/>
      <c r="AQ3112" s="76"/>
      <c r="AR3112" s="76"/>
      <c r="AS3112" s="76"/>
      <c r="AT3112" s="76"/>
      <c r="AU3112" s="76"/>
      <c r="AV3112" s="76"/>
      <c r="AW3112" s="76"/>
      <c r="AX3112" s="76">
        <f>+AW3112*600000</f>
        <v>0</v>
      </c>
      <c r="AY3112" s="76"/>
      <c r="AZ3112" s="76">
        <f>+AY3112*70000</f>
        <v>0</v>
      </c>
      <c r="BA3112" s="76"/>
      <c r="BB3112" s="76"/>
      <c r="BC3112" s="76"/>
      <c r="BD3112" s="76">
        <f>+BC3112*30000</f>
        <v>0</v>
      </c>
      <c r="BE3112" s="76"/>
      <c r="BF3112" s="76"/>
      <c r="BG3112" s="76"/>
      <c r="BH3112" s="76"/>
      <c r="BI3112" s="76"/>
      <c r="BJ3112" s="76"/>
      <c r="BK3112" s="76"/>
      <c r="BL3112" s="76">
        <f>+BK3112*31500</f>
        <v>0</v>
      </c>
      <c r="BM3112" s="76"/>
      <c r="BN3112" s="76"/>
      <c r="BO3112" s="76"/>
      <c r="BP3112" s="76"/>
      <c r="BQ3112" s="76"/>
      <c r="BR3112" s="76"/>
      <c r="BS3112" s="76"/>
      <c r="BT3112" s="76"/>
      <c r="BU3112" s="76"/>
      <c r="BV3112" s="76"/>
      <c r="BW3112" s="76"/>
      <c r="BX3112" s="76"/>
      <c r="BY3112" s="76"/>
      <c r="BZ3112" s="76"/>
      <c r="CA3112" s="76"/>
      <c r="CB3112" s="76"/>
      <c r="CC3112" s="76"/>
      <c r="CD3112" s="76"/>
      <c r="CE3112" s="76"/>
      <c r="CF3112" s="76">
        <f>+CE3112*28000</f>
        <v>0</v>
      </c>
      <c r="CG3112" s="76"/>
      <c r="CH3112" s="76">
        <f>+CG3112*22500</f>
        <v>0</v>
      </c>
      <c r="CI3112" s="76"/>
      <c r="CJ3112" s="76">
        <f>+CI3112*26000</f>
        <v>0</v>
      </c>
      <c r="CK3112" s="76"/>
      <c r="CL3112" s="76"/>
      <c r="CM3112" s="76"/>
      <c r="CN3112" s="76">
        <f>+CM3112*22000</f>
        <v>0</v>
      </c>
      <c r="CO3112" s="76"/>
      <c r="CP3112" s="76">
        <f>+CO3112*46000</f>
        <v>0</v>
      </c>
      <c r="CQ3112" s="76"/>
      <c r="CR3112" s="76">
        <f>+CQ3112*49000</f>
        <v>0</v>
      </c>
      <c r="CS3112" s="76"/>
      <c r="CT3112" s="76"/>
      <c r="CU3112" s="56">
        <f>AN3112+AP3112+AR3112+AT3112+AV3112+AX3112+AZ3112+BB3112+BD3112+BF3112+BH3112+BJ3112+BL3112+BN3112+BP3112+BR3112+BT3112+BV3112+BX3112+BZ3112+CB3112+CD3112+CF3112+CH3112+CJ3112+CL3112+CN3112+CP3112+CR3112+CT3112</f>
        <v>0</v>
      </c>
      <c r="CV3112" s="76"/>
      <c r="CW3112" s="76">
        <f>+CV3112*1100</f>
        <v>0</v>
      </c>
      <c r="CX3112" s="76"/>
      <c r="CY3112" s="76">
        <f>+CX3112*106250</f>
        <v>0</v>
      </c>
      <c r="CZ3112" s="76"/>
      <c r="DA3112" s="76">
        <f>+CZ3112*34500</f>
        <v>0</v>
      </c>
      <c r="DB3112" s="76"/>
      <c r="DC3112" s="76">
        <f>+DB3112*25000</f>
        <v>0</v>
      </c>
      <c r="DD3112" s="219"/>
      <c r="DE3112" s="219"/>
      <c r="DF3112" s="166"/>
      <c r="DG3112" s="116"/>
      <c r="DH3112" s="117"/>
      <c r="DI3112" s="24"/>
      <c r="DJ3112" s="24"/>
      <c r="DK3112" s="24"/>
      <c r="DL3112" s="24"/>
      <c r="DM3112" s="24"/>
      <c r="DN3112" s="24"/>
      <c r="DO3112" s="24"/>
      <c r="DP3112" s="24"/>
      <c r="DQ3112" s="24"/>
      <c r="DR3112" s="24"/>
      <c r="DS3112" s="24"/>
      <c r="DT3112" s="24"/>
      <c r="DU3112" s="24"/>
    </row>
    <row r="3113" spans="1:125" s="8" customFormat="1" ht="60" x14ac:dyDescent="0.2">
      <c r="A3113" s="77">
        <v>41540</v>
      </c>
      <c r="B3113" s="352" t="s">
        <v>2894</v>
      </c>
      <c r="C3113" s="354" t="s">
        <v>2702</v>
      </c>
      <c r="D3113" s="354" t="s">
        <v>2859</v>
      </c>
      <c r="E3113" s="296" t="str">
        <f>VLOOKUP(B3113&amp;C3113,Divipola!$C$2:$F$1138,4,FALSE)</f>
        <v>05088</v>
      </c>
      <c r="F3113" s="87"/>
      <c r="G3113" s="87"/>
      <c r="H3113" s="87"/>
      <c r="I3113" s="87"/>
      <c r="J3113" s="87"/>
      <c r="K3113" s="87"/>
      <c r="L3113" s="87"/>
      <c r="M3113" s="87"/>
      <c r="N3113" s="87"/>
      <c r="O3113" s="87"/>
      <c r="P3113" s="87"/>
      <c r="Q3113" s="87"/>
      <c r="R3113" s="87"/>
      <c r="S3113" s="87"/>
      <c r="T3113" s="87"/>
      <c r="U3113" s="88"/>
      <c r="V3113" s="89">
        <v>1</v>
      </c>
      <c r="W3113" s="96">
        <v>0</v>
      </c>
      <c r="X3113" s="71">
        <f>CU3113</f>
        <v>0</v>
      </c>
      <c r="Y3113" s="71">
        <f>CY3113</f>
        <v>0</v>
      </c>
      <c r="Z3113" s="71">
        <f>DA3113+DC3113+DE3113</f>
        <v>0</v>
      </c>
      <c r="AA3113" s="71">
        <f>CW3113</f>
        <v>0</v>
      </c>
      <c r="AB3113" s="71"/>
      <c r="AC3113" s="71">
        <v>0</v>
      </c>
      <c r="AD3113" s="71">
        <f>W3113+X3113+Y3113+Z3113+AA3113+AB3113+AC3113</f>
        <v>0</v>
      </c>
      <c r="AE3113" s="72">
        <v>0</v>
      </c>
      <c r="AF3113" s="5"/>
      <c r="AG3113" s="6"/>
      <c r="AH3113" s="27"/>
      <c r="AI3113" s="44"/>
      <c r="AJ3113" s="26"/>
      <c r="AK3113" s="5"/>
      <c r="AL3113" s="324" t="s">
        <v>6051</v>
      </c>
      <c r="AM3113" s="76"/>
      <c r="AN3113" s="76"/>
      <c r="AO3113" s="76"/>
      <c r="AP3113" s="76"/>
      <c r="AQ3113" s="76"/>
      <c r="AR3113" s="76"/>
      <c r="AS3113" s="76"/>
      <c r="AT3113" s="76"/>
      <c r="AU3113" s="76"/>
      <c r="AV3113" s="76"/>
      <c r="AW3113" s="76"/>
      <c r="AX3113" s="76">
        <f>+AW3113*600000</f>
        <v>0</v>
      </c>
      <c r="AY3113" s="76"/>
      <c r="AZ3113" s="76">
        <f>+AY3113*70000</f>
        <v>0</v>
      </c>
      <c r="BA3113" s="76"/>
      <c r="BB3113" s="76"/>
      <c r="BC3113" s="76"/>
      <c r="BD3113" s="76">
        <f>+BC3113*30000</f>
        <v>0</v>
      </c>
      <c r="BE3113" s="76"/>
      <c r="BF3113" s="76"/>
      <c r="BG3113" s="76"/>
      <c r="BH3113" s="76"/>
      <c r="BI3113" s="76"/>
      <c r="BJ3113" s="76"/>
      <c r="BK3113" s="76"/>
      <c r="BL3113" s="76">
        <f>+BK3113*31500</f>
        <v>0</v>
      </c>
      <c r="BM3113" s="76"/>
      <c r="BN3113" s="76"/>
      <c r="BO3113" s="76"/>
      <c r="BP3113" s="76"/>
      <c r="BQ3113" s="76"/>
      <c r="BR3113" s="76"/>
      <c r="BS3113" s="76"/>
      <c r="BT3113" s="76"/>
      <c r="BU3113" s="76"/>
      <c r="BV3113" s="76"/>
      <c r="BW3113" s="76"/>
      <c r="BX3113" s="76"/>
      <c r="BY3113" s="76"/>
      <c r="BZ3113" s="76"/>
      <c r="CA3113" s="76"/>
      <c r="CB3113" s="76"/>
      <c r="CC3113" s="76"/>
      <c r="CD3113" s="76"/>
      <c r="CE3113" s="76"/>
      <c r="CF3113" s="76">
        <f>+CE3113*28000</f>
        <v>0</v>
      </c>
      <c r="CG3113" s="76"/>
      <c r="CH3113" s="76">
        <f>+CG3113*22500</f>
        <v>0</v>
      </c>
      <c r="CI3113" s="76"/>
      <c r="CJ3113" s="76">
        <f>+CI3113*26000</f>
        <v>0</v>
      </c>
      <c r="CK3113" s="76"/>
      <c r="CL3113" s="76"/>
      <c r="CM3113" s="76"/>
      <c r="CN3113" s="76">
        <f>+CM3113*22000</f>
        <v>0</v>
      </c>
      <c r="CO3113" s="76"/>
      <c r="CP3113" s="76">
        <f>+CO3113*46000</f>
        <v>0</v>
      </c>
      <c r="CQ3113" s="76"/>
      <c r="CR3113" s="76">
        <f>+CQ3113*49000</f>
        <v>0</v>
      </c>
      <c r="CS3113" s="76"/>
      <c r="CT3113" s="76"/>
      <c r="CU3113" s="56">
        <f>AN3113+AP3113+AR3113+AT3113+AV3113+AX3113+AZ3113+BB3113+BD3113+BF3113+BH3113+BJ3113+BL3113+BN3113+BP3113+BR3113+BT3113+BV3113+BX3113+BZ3113+CB3113+CD3113+CF3113+CH3113+CJ3113+CL3113+CN3113+CP3113+CR3113+CT3113</f>
        <v>0</v>
      </c>
      <c r="CV3113" s="76"/>
      <c r="CW3113" s="76">
        <f>+CV3113*1100</f>
        <v>0</v>
      </c>
      <c r="CX3113" s="76"/>
      <c r="CY3113" s="76">
        <f>+CX3113*106250</f>
        <v>0</v>
      </c>
      <c r="CZ3113" s="76"/>
      <c r="DA3113" s="76">
        <f>+CZ3113*34500</f>
        <v>0</v>
      </c>
      <c r="DB3113" s="76"/>
      <c r="DC3113" s="76">
        <f>+DB3113*25000</f>
        <v>0</v>
      </c>
      <c r="DD3113" s="219"/>
      <c r="DE3113" s="219"/>
      <c r="DF3113" s="166"/>
      <c r="DG3113" s="116"/>
      <c r="DH3113" s="117"/>
      <c r="DI3113" s="24"/>
      <c r="DJ3113" s="24"/>
      <c r="DK3113" s="24"/>
      <c r="DL3113" s="24"/>
      <c r="DM3113" s="24"/>
      <c r="DN3113" s="24"/>
      <c r="DO3113" s="24"/>
      <c r="DP3113" s="24"/>
      <c r="DQ3113" s="24"/>
      <c r="DR3113" s="24"/>
      <c r="DS3113" s="24"/>
      <c r="DT3113" s="24"/>
      <c r="DU3113" s="24"/>
    </row>
    <row r="3114" spans="1:125" s="8" customFormat="1" ht="24" x14ac:dyDescent="0.2">
      <c r="A3114" s="77">
        <v>41540</v>
      </c>
      <c r="B3114" s="352" t="s">
        <v>2700</v>
      </c>
      <c r="C3114" s="354" t="s">
        <v>1622</v>
      </c>
      <c r="D3114" s="354" t="s">
        <v>2846</v>
      </c>
      <c r="E3114" s="296" t="str">
        <f>VLOOKUP(B3114&amp;C3114,Divipola!$C$2:$F$1138,4,FALSE)</f>
        <v>15218</v>
      </c>
      <c r="F3114" s="87"/>
      <c r="G3114" s="87"/>
      <c r="H3114" s="87"/>
      <c r="I3114" s="87"/>
      <c r="J3114" s="87"/>
      <c r="K3114" s="87"/>
      <c r="L3114" s="87"/>
      <c r="M3114" s="87"/>
      <c r="N3114" s="87"/>
      <c r="O3114" s="87"/>
      <c r="P3114" s="87"/>
      <c r="Q3114" s="87"/>
      <c r="R3114" s="87"/>
      <c r="S3114" s="87"/>
      <c r="T3114" s="87"/>
      <c r="U3114" s="88"/>
      <c r="V3114" s="89"/>
      <c r="W3114" s="96">
        <v>0</v>
      </c>
      <c r="X3114" s="71">
        <f>CU3114</f>
        <v>0</v>
      </c>
      <c r="Y3114" s="71">
        <f>CY3114</f>
        <v>0</v>
      </c>
      <c r="Z3114" s="71">
        <f>DA3114+DC3114+DE3114</f>
        <v>0</v>
      </c>
      <c r="AA3114" s="71">
        <f>CW3114</f>
        <v>0</v>
      </c>
      <c r="AB3114" s="71"/>
      <c r="AC3114" s="71">
        <v>0</v>
      </c>
      <c r="AD3114" s="71">
        <f>W3114+X3114+Y3114+Z3114+AA3114+AB3114+AC3114</f>
        <v>0</v>
      </c>
      <c r="AE3114" s="72">
        <v>0</v>
      </c>
      <c r="AF3114" s="5"/>
      <c r="AG3114" s="6"/>
      <c r="AH3114" s="27"/>
      <c r="AI3114" s="44"/>
      <c r="AJ3114" s="26"/>
      <c r="AK3114" s="5"/>
      <c r="AL3114" s="82" t="s">
        <v>6048</v>
      </c>
      <c r="AM3114" s="76"/>
      <c r="AN3114" s="76"/>
      <c r="AO3114" s="76"/>
      <c r="AP3114" s="76"/>
      <c r="AQ3114" s="76"/>
      <c r="AR3114" s="76"/>
      <c r="AS3114" s="76"/>
      <c r="AT3114" s="76"/>
      <c r="AU3114" s="76"/>
      <c r="AV3114" s="76"/>
      <c r="AW3114" s="76"/>
      <c r="AX3114" s="76">
        <f>+AW3114*600000</f>
        <v>0</v>
      </c>
      <c r="AY3114" s="76"/>
      <c r="AZ3114" s="76">
        <f>+AY3114*70000</f>
        <v>0</v>
      </c>
      <c r="BA3114" s="76"/>
      <c r="BB3114" s="76"/>
      <c r="BC3114" s="76"/>
      <c r="BD3114" s="76">
        <f>+BC3114*30000</f>
        <v>0</v>
      </c>
      <c r="BE3114" s="76"/>
      <c r="BF3114" s="76"/>
      <c r="BG3114" s="76"/>
      <c r="BH3114" s="76"/>
      <c r="BI3114" s="76"/>
      <c r="BJ3114" s="76"/>
      <c r="BK3114" s="76"/>
      <c r="BL3114" s="76">
        <f>+BK3114*31500</f>
        <v>0</v>
      </c>
      <c r="BM3114" s="76"/>
      <c r="BN3114" s="76"/>
      <c r="BO3114" s="76"/>
      <c r="BP3114" s="76"/>
      <c r="BQ3114" s="76"/>
      <c r="BR3114" s="76"/>
      <c r="BS3114" s="76"/>
      <c r="BT3114" s="76"/>
      <c r="BU3114" s="76"/>
      <c r="BV3114" s="76"/>
      <c r="BW3114" s="76"/>
      <c r="BX3114" s="76"/>
      <c r="BY3114" s="76"/>
      <c r="BZ3114" s="76"/>
      <c r="CA3114" s="76"/>
      <c r="CB3114" s="76"/>
      <c r="CC3114" s="76"/>
      <c r="CD3114" s="76"/>
      <c r="CE3114" s="76"/>
      <c r="CF3114" s="76">
        <f>+CE3114*28000</f>
        <v>0</v>
      </c>
      <c r="CG3114" s="76"/>
      <c r="CH3114" s="76">
        <f>+CG3114*22500</f>
        <v>0</v>
      </c>
      <c r="CI3114" s="76"/>
      <c r="CJ3114" s="76">
        <f>+CI3114*26000</f>
        <v>0</v>
      </c>
      <c r="CK3114" s="76"/>
      <c r="CL3114" s="76"/>
      <c r="CM3114" s="76"/>
      <c r="CN3114" s="76">
        <f>+CM3114*22000</f>
        <v>0</v>
      </c>
      <c r="CO3114" s="76"/>
      <c r="CP3114" s="76">
        <f>+CO3114*46000</f>
        <v>0</v>
      </c>
      <c r="CQ3114" s="76"/>
      <c r="CR3114" s="76">
        <f>+CQ3114*49000</f>
        <v>0</v>
      </c>
      <c r="CS3114" s="76"/>
      <c r="CT3114" s="76"/>
      <c r="CU3114" s="56">
        <f>AN3114+AP3114+AR3114+AT3114+AV3114+AX3114+AZ3114+BB3114+BD3114+BF3114+BH3114+BJ3114+BL3114+BN3114+BP3114+BR3114+BT3114+BV3114+BX3114+BZ3114+CB3114+CD3114+CF3114+CH3114+CJ3114+CL3114+CN3114+CP3114+CR3114+CT3114</f>
        <v>0</v>
      </c>
      <c r="CV3114" s="76"/>
      <c r="CW3114" s="76">
        <f>+CV3114*1100</f>
        <v>0</v>
      </c>
      <c r="CX3114" s="76"/>
      <c r="CY3114" s="76">
        <f>+CX3114*106250</f>
        <v>0</v>
      </c>
      <c r="CZ3114" s="76"/>
      <c r="DA3114" s="76">
        <f>+CZ3114*34500</f>
        <v>0</v>
      </c>
      <c r="DB3114" s="76"/>
      <c r="DC3114" s="76">
        <f>+DB3114*25000</f>
        <v>0</v>
      </c>
      <c r="DD3114" s="219"/>
      <c r="DE3114" s="219"/>
      <c r="DF3114" s="166"/>
      <c r="DG3114" s="116"/>
      <c r="DH3114" s="117"/>
      <c r="DI3114" s="24"/>
      <c r="DJ3114" s="24"/>
      <c r="DK3114" s="24"/>
      <c r="DL3114" s="24"/>
      <c r="DM3114" s="24"/>
      <c r="DN3114" s="24"/>
      <c r="DO3114" s="24"/>
      <c r="DP3114" s="24"/>
      <c r="DQ3114" s="24"/>
      <c r="DR3114" s="24"/>
      <c r="DS3114" s="24"/>
      <c r="DT3114" s="24"/>
      <c r="DU3114" s="24"/>
    </row>
    <row r="3115" spans="1:125" s="8" customFormat="1" ht="84" x14ac:dyDescent="0.2">
      <c r="A3115" s="77">
        <v>41540</v>
      </c>
      <c r="B3115" s="225" t="s">
        <v>2700</v>
      </c>
      <c r="C3115" s="227" t="s">
        <v>1625</v>
      </c>
      <c r="D3115" s="354" t="s">
        <v>2882</v>
      </c>
      <c r="E3115" s="296" t="str">
        <f>VLOOKUP(B3115&amp;C3115,Divipola!$C$2:$F$1138,4,FALSE)</f>
        <v>15223</v>
      </c>
      <c r="F3115" s="87"/>
      <c r="G3115" s="87"/>
      <c r="H3115" s="87"/>
      <c r="I3115" s="87">
        <v>125</v>
      </c>
      <c r="J3115" s="87">
        <v>30</v>
      </c>
      <c r="K3115" s="87"/>
      <c r="L3115" s="87">
        <v>30</v>
      </c>
      <c r="M3115" s="87"/>
      <c r="N3115" s="87"/>
      <c r="O3115" s="87"/>
      <c r="P3115" s="87"/>
      <c r="Q3115" s="87"/>
      <c r="R3115" s="87"/>
      <c r="S3115" s="87"/>
      <c r="T3115" s="87">
        <v>1</v>
      </c>
      <c r="U3115" s="88"/>
      <c r="V3115" s="89"/>
      <c r="W3115" s="96">
        <v>0</v>
      </c>
      <c r="X3115" s="71">
        <f>CU3115</f>
        <v>0</v>
      </c>
      <c r="Y3115" s="71">
        <f>CY3115</f>
        <v>0</v>
      </c>
      <c r="Z3115" s="71">
        <f>DA3115+DC3115+DE3115</f>
        <v>0</v>
      </c>
      <c r="AA3115" s="71">
        <f>CW3115</f>
        <v>0</v>
      </c>
      <c r="AB3115" s="71"/>
      <c r="AC3115" s="71">
        <v>0</v>
      </c>
      <c r="AD3115" s="71">
        <f>W3115+X3115+Y3115+Z3115+AA3115+AB3115+AC3115</f>
        <v>0</v>
      </c>
      <c r="AE3115" s="72">
        <v>0</v>
      </c>
      <c r="AF3115" s="5"/>
      <c r="AG3115" s="6"/>
      <c r="AH3115" s="27"/>
      <c r="AI3115" s="44"/>
      <c r="AJ3115" s="26"/>
      <c r="AK3115" s="5"/>
      <c r="AL3115" s="82" t="s">
        <v>6078</v>
      </c>
      <c r="AM3115" s="76"/>
      <c r="AN3115" s="76"/>
      <c r="AO3115" s="76"/>
      <c r="AP3115" s="76"/>
      <c r="AQ3115" s="76"/>
      <c r="AR3115" s="76"/>
      <c r="AS3115" s="76"/>
      <c r="AT3115" s="76"/>
      <c r="AU3115" s="76"/>
      <c r="AV3115" s="76"/>
      <c r="AW3115" s="76"/>
      <c r="AX3115" s="76">
        <f>+AW3115*600000</f>
        <v>0</v>
      </c>
      <c r="AY3115" s="76"/>
      <c r="AZ3115" s="76">
        <f>+AY3115*70000</f>
        <v>0</v>
      </c>
      <c r="BA3115" s="76"/>
      <c r="BB3115" s="76"/>
      <c r="BC3115" s="76"/>
      <c r="BD3115" s="76">
        <f>+BC3115*30000</f>
        <v>0</v>
      </c>
      <c r="BE3115" s="76"/>
      <c r="BF3115" s="76"/>
      <c r="BG3115" s="76"/>
      <c r="BH3115" s="76"/>
      <c r="BI3115" s="76"/>
      <c r="BJ3115" s="76"/>
      <c r="BK3115" s="76"/>
      <c r="BL3115" s="76">
        <f>+BK3115*31500</f>
        <v>0</v>
      </c>
      <c r="BM3115" s="76"/>
      <c r="BN3115" s="76"/>
      <c r="BO3115" s="76"/>
      <c r="BP3115" s="76"/>
      <c r="BQ3115" s="76"/>
      <c r="BR3115" s="76"/>
      <c r="BS3115" s="76"/>
      <c r="BT3115" s="76"/>
      <c r="BU3115" s="76"/>
      <c r="BV3115" s="76"/>
      <c r="BW3115" s="76"/>
      <c r="BX3115" s="76"/>
      <c r="BY3115" s="76"/>
      <c r="BZ3115" s="76"/>
      <c r="CA3115" s="76"/>
      <c r="CB3115" s="76"/>
      <c r="CC3115" s="76"/>
      <c r="CD3115" s="76"/>
      <c r="CE3115" s="76"/>
      <c r="CF3115" s="76">
        <f>+CE3115*28000</f>
        <v>0</v>
      </c>
      <c r="CG3115" s="76"/>
      <c r="CH3115" s="76">
        <f>+CG3115*22500</f>
        <v>0</v>
      </c>
      <c r="CI3115" s="76"/>
      <c r="CJ3115" s="76">
        <f>+CI3115*26000</f>
        <v>0</v>
      </c>
      <c r="CK3115" s="76"/>
      <c r="CL3115" s="76"/>
      <c r="CM3115" s="76"/>
      <c r="CN3115" s="76">
        <f>+CM3115*22000</f>
        <v>0</v>
      </c>
      <c r="CO3115" s="76"/>
      <c r="CP3115" s="76">
        <f>+CO3115*46000</f>
        <v>0</v>
      </c>
      <c r="CQ3115" s="76"/>
      <c r="CR3115" s="76">
        <f>+CQ3115*49000</f>
        <v>0</v>
      </c>
      <c r="CS3115" s="76"/>
      <c r="CT3115" s="76"/>
      <c r="CU3115" s="56">
        <f>AN3115+AP3115+AR3115+AT3115+AV3115+AX3115+AZ3115+BB3115+BD3115+BF3115+BH3115+BJ3115+BL3115+BN3115+BP3115+BR3115+BT3115+BV3115+BX3115+BZ3115+CB3115+CD3115+CF3115+CH3115+CJ3115+CL3115+CN3115+CP3115+CR3115+CT3115</f>
        <v>0</v>
      </c>
      <c r="CV3115" s="76"/>
      <c r="CW3115" s="76">
        <f>+CV3115*1100</f>
        <v>0</v>
      </c>
      <c r="CX3115" s="76"/>
      <c r="CY3115" s="76">
        <f>+CX3115*106250</f>
        <v>0</v>
      </c>
      <c r="CZ3115" s="76"/>
      <c r="DA3115" s="76">
        <f>+CZ3115*34500</f>
        <v>0</v>
      </c>
      <c r="DB3115" s="76"/>
      <c r="DC3115" s="76">
        <f>+DB3115*25000</f>
        <v>0</v>
      </c>
      <c r="DD3115" s="219"/>
      <c r="DE3115" s="219"/>
      <c r="DF3115" s="166"/>
      <c r="DG3115" s="116"/>
      <c r="DH3115" s="117"/>
      <c r="DI3115" s="24"/>
      <c r="DJ3115" s="24"/>
      <c r="DK3115" s="24"/>
      <c r="DL3115" s="24"/>
      <c r="DM3115" s="24"/>
      <c r="DN3115" s="24"/>
      <c r="DO3115" s="24"/>
      <c r="DP3115" s="24"/>
      <c r="DQ3115" s="24"/>
      <c r="DR3115" s="24"/>
      <c r="DS3115" s="24"/>
      <c r="DT3115" s="24"/>
      <c r="DU3115" s="24"/>
    </row>
    <row r="3116" spans="1:125" s="8" customFormat="1" ht="108" x14ac:dyDescent="0.2">
      <c r="A3116" s="77">
        <v>41540</v>
      </c>
      <c r="B3116" s="352" t="s">
        <v>2700</v>
      </c>
      <c r="C3116" s="354" t="s">
        <v>1704</v>
      </c>
      <c r="D3116" s="354" t="s">
        <v>2846</v>
      </c>
      <c r="E3116" s="296" t="str">
        <f>VLOOKUP(B3116&amp;C3116,Divipola!$C$2:$F$1138,4,FALSE)</f>
        <v>15516</v>
      </c>
      <c r="F3116" s="87"/>
      <c r="G3116" s="87"/>
      <c r="H3116" s="87"/>
      <c r="I3116" s="87"/>
      <c r="J3116" s="87"/>
      <c r="K3116" s="87"/>
      <c r="L3116" s="87"/>
      <c r="M3116" s="87"/>
      <c r="N3116" s="87"/>
      <c r="O3116" s="87"/>
      <c r="P3116" s="87"/>
      <c r="Q3116" s="87"/>
      <c r="R3116" s="87"/>
      <c r="S3116" s="87"/>
      <c r="T3116" s="87"/>
      <c r="U3116" s="88"/>
      <c r="V3116" s="89"/>
      <c r="W3116" s="96">
        <v>0</v>
      </c>
      <c r="X3116" s="71">
        <f>CU3116</f>
        <v>0</v>
      </c>
      <c r="Y3116" s="71">
        <f>CY3116</f>
        <v>0</v>
      </c>
      <c r="Z3116" s="71">
        <f>DA3116+DC3116+DE3116</f>
        <v>0</v>
      </c>
      <c r="AA3116" s="71">
        <f>CW3116</f>
        <v>0</v>
      </c>
      <c r="AB3116" s="71"/>
      <c r="AC3116" s="71">
        <v>0</v>
      </c>
      <c r="AD3116" s="71">
        <f>W3116+X3116+Y3116+Z3116+AA3116+AB3116+AC3116</f>
        <v>0</v>
      </c>
      <c r="AE3116" s="72">
        <v>0</v>
      </c>
      <c r="AF3116" s="5"/>
      <c r="AG3116" s="6"/>
      <c r="AH3116" s="27"/>
      <c r="AI3116" s="44"/>
      <c r="AJ3116" s="26"/>
      <c r="AK3116" s="5"/>
      <c r="AL3116" s="82" t="s">
        <v>6049</v>
      </c>
      <c r="AM3116" s="76"/>
      <c r="AN3116" s="76"/>
      <c r="AO3116" s="76"/>
      <c r="AP3116" s="76"/>
      <c r="AQ3116" s="76"/>
      <c r="AR3116" s="76"/>
      <c r="AS3116" s="76"/>
      <c r="AT3116" s="76"/>
      <c r="AU3116" s="76"/>
      <c r="AV3116" s="76"/>
      <c r="AW3116" s="76"/>
      <c r="AX3116" s="76">
        <f>+AW3116*600000</f>
        <v>0</v>
      </c>
      <c r="AY3116" s="76"/>
      <c r="AZ3116" s="76">
        <f>+AY3116*70000</f>
        <v>0</v>
      </c>
      <c r="BA3116" s="76"/>
      <c r="BB3116" s="76"/>
      <c r="BC3116" s="76"/>
      <c r="BD3116" s="76">
        <f>+BC3116*30000</f>
        <v>0</v>
      </c>
      <c r="BE3116" s="76"/>
      <c r="BF3116" s="76"/>
      <c r="BG3116" s="76"/>
      <c r="BH3116" s="76"/>
      <c r="BI3116" s="76"/>
      <c r="BJ3116" s="76"/>
      <c r="BK3116" s="76"/>
      <c r="BL3116" s="76">
        <f>+BK3116*31500</f>
        <v>0</v>
      </c>
      <c r="BM3116" s="76"/>
      <c r="BN3116" s="76"/>
      <c r="BO3116" s="76"/>
      <c r="BP3116" s="76"/>
      <c r="BQ3116" s="76"/>
      <c r="BR3116" s="76"/>
      <c r="BS3116" s="76"/>
      <c r="BT3116" s="76"/>
      <c r="BU3116" s="76"/>
      <c r="BV3116" s="76"/>
      <c r="BW3116" s="76"/>
      <c r="BX3116" s="76"/>
      <c r="BY3116" s="76"/>
      <c r="BZ3116" s="76"/>
      <c r="CA3116" s="76"/>
      <c r="CB3116" s="76"/>
      <c r="CC3116" s="76"/>
      <c r="CD3116" s="76"/>
      <c r="CE3116" s="76"/>
      <c r="CF3116" s="76">
        <f>+CE3116*28000</f>
        <v>0</v>
      </c>
      <c r="CG3116" s="76"/>
      <c r="CH3116" s="76">
        <f>+CG3116*22500</f>
        <v>0</v>
      </c>
      <c r="CI3116" s="76"/>
      <c r="CJ3116" s="76">
        <f>+CI3116*26000</f>
        <v>0</v>
      </c>
      <c r="CK3116" s="76"/>
      <c r="CL3116" s="76"/>
      <c r="CM3116" s="76"/>
      <c r="CN3116" s="76">
        <f>+CM3116*22000</f>
        <v>0</v>
      </c>
      <c r="CO3116" s="76"/>
      <c r="CP3116" s="76">
        <f>+CO3116*46000</f>
        <v>0</v>
      </c>
      <c r="CQ3116" s="76"/>
      <c r="CR3116" s="76">
        <f>+CQ3116*49000</f>
        <v>0</v>
      </c>
      <c r="CS3116" s="76"/>
      <c r="CT3116" s="76"/>
      <c r="CU3116" s="56">
        <f>AN3116+AP3116+AR3116+AT3116+AV3116+AX3116+AZ3116+BB3116+BD3116+BF3116+BH3116+BJ3116+BL3116+BN3116+BP3116+BR3116+BT3116+BV3116+BX3116+BZ3116+CB3116+CD3116+CF3116+CH3116+CJ3116+CL3116+CN3116+CP3116+CR3116+CT3116</f>
        <v>0</v>
      </c>
      <c r="CV3116" s="76"/>
      <c r="CW3116" s="76">
        <f>+CV3116*1100</f>
        <v>0</v>
      </c>
      <c r="CX3116" s="76"/>
      <c r="CY3116" s="76">
        <f>+CX3116*106250</f>
        <v>0</v>
      </c>
      <c r="CZ3116" s="76"/>
      <c r="DA3116" s="76">
        <f>+CZ3116*34500</f>
        <v>0</v>
      </c>
      <c r="DB3116" s="76"/>
      <c r="DC3116" s="76">
        <f>+DB3116*25000</f>
        <v>0</v>
      </c>
      <c r="DD3116" s="219"/>
      <c r="DE3116" s="219"/>
      <c r="DF3116" s="166"/>
      <c r="DG3116" s="116"/>
      <c r="DH3116" s="117"/>
      <c r="DI3116" s="24"/>
      <c r="DJ3116" s="24"/>
      <c r="DK3116" s="24"/>
      <c r="DL3116" s="24"/>
      <c r="DM3116" s="24"/>
      <c r="DN3116" s="24"/>
      <c r="DO3116" s="24"/>
      <c r="DP3116" s="24"/>
      <c r="DQ3116" s="24"/>
      <c r="DR3116" s="24"/>
      <c r="DS3116" s="24"/>
      <c r="DT3116" s="24"/>
      <c r="DU3116" s="24"/>
    </row>
    <row r="3117" spans="1:125" s="8" customFormat="1" ht="72" x14ac:dyDescent="0.2">
      <c r="A3117" s="77">
        <v>41540</v>
      </c>
      <c r="B3117" s="352" t="s">
        <v>2700</v>
      </c>
      <c r="C3117" s="354" t="s">
        <v>2010</v>
      </c>
      <c r="D3117" s="354" t="s">
        <v>2846</v>
      </c>
      <c r="E3117" s="296" t="str">
        <f>VLOOKUP(B3117&amp;C3117,Divipola!$C$2:$F$1138,4,FALSE)</f>
        <v>15646</v>
      </c>
      <c r="F3117" s="87"/>
      <c r="G3117" s="87"/>
      <c r="H3117" s="87"/>
      <c r="I3117" s="87"/>
      <c r="J3117" s="87"/>
      <c r="K3117" s="87"/>
      <c r="L3117" s="87"/>
      <c r="M3117" s="87"/>
      <c r="N3117" s="87"/>
      <c r="O3117" s="87"/>
      <c r="P3117" s="87"/>
      <c r="Q3117" s="87"/>
      <c r="R3117" s="87"/>
      <c r="S3117" s="87"/>
      <c r="T3117" s="87"/>
      <c r="U3117" s="88">
        <v>2</v>
      </c>
      <c r="V3117" s="89"/>
      <c r="W3117" s="96">
        <v>0</v>
      </c>
      <c r="X3117" s="71">
        <f>CU3117</f>
        <v>0</v>
      </c>
      <c r="Y3117" s="71">
        <f>CY3117</f>
        <v>0</v>
      </c>
      <c r="Z3117" s="71">
        <f>DA3117+DC3117+DE3117</f>
        <v>0</v>
      </c>
      <c r="AA3117" s="71">
        <f>CW3117</f>
        <v>0</v>
      </c>
      <c r="AB3117" s="71"/>
      <c r="AC3117" s="71">
        <v>0</v>
      </c>
      <c r="AD3117" s="71">
        <f>W3117+X3117+Y3117+Z3117+AA3117+AB3117+AC3117</f>
        <v>0</v>
      </c>
      <c r="AE3117" s="72">
        <v>0</v>
      </c>
      <c r="AF3117" s="5"/>
      <c r="AG3117" s="6"/>
      <c r="AH3117" s="27"/>
      <c r="AI3117" s="44"/>
      <c r="AJ3117" s="26"/>
      <c r="AK3117" s="5"/>
      <c r="AL3117" s="302" t="s">
        <v>6076</v>
      </c>
      <c r="AM3117" s="76"/>
      <c r="AN3117" s="76"/>
      <c r="AO3117" s="76"/>
      <c r="AP3117" s="76"/>
      <c r="AQ3117" s="76"/>
      <c r="AR3117" s="76"/>
      <c r="AS3117" s="76"/>
      <c r="AT3117" s="76"/>
      <c r="AU3117" s="76"/>
      <c r="AV3117" s="76"/>
      <c r="AW3117" s="76"/>
      <c r="AX3117" s="76">
        <f>+AW3117*600000</f>
        <v>0</v>
      </c>
      <c r="AY3117" s="76"/>
      <c r="AZ3117" s="76">
        <f>+AY3117*70000</f>
        <v>0</v>
      </c>
      <c r="BA3117" s="76"/>
      <c r="BB3117" s="76"/>
      <c r="BC3117" s="76"/>
      <c r="BD3117" s="76">
        <f>+BC3117*30000</f>
        <v>0</v>
      </c>
      <c r="BE3117" s="76"/>
      <c r="BF3117" s="76"/>
      <c r="BG3117" s="76"/>
      <c r="BH3117" s="76"/>
      <c r="BI3117" s="76"/>
      <c r="BJ3117" s="76"/>
      <c r="BK3117" s="76"/>
      <c r="BL3117" s="76">
        <f>+BK3117*31500</f>
        <v>0</v>
      </c>
      <c r="BM3117" s="76"/>
      <c r="BN3117" s="76"/>
      <c r="BO3117" s="76"/>
      <c r="BP3117" s="76"/>
      <c r="BQ3117" s="76"/>
      <c r="BR3117" s="76"/>
      <c r="BS3117" s="76"/>
      <c r="BT3117" s="76"/>
      <c r="BU3117" s="76"/>
      <c r="BV3117" s="76"/>
      <c r="BW3117" s="76"/>
      <c r="BX3117" s="76"/>
      <c r="BY3117" s="76"/>
      <c r="BZ3117" s="76"/>
      <c r="CA3117" s="76"/>
      <c r="CB3117" s="76"/>
      <c r="CC3117" s="76"/>
      <c r="CD3117" s="76"/>
      <c r="CE3117" s="76"/>
      <c r="CF3117" s="76">
        <f>+CE3117*28000</f>
        <v>0</v>
      </c>
      <c r="CG3117" s="76"/>
      <c r="CH3117" s="76">
        <f>+CG3117*22500</f>
        <v>0</v>
      </c>
      <c r="CI3117" s="76"/>
      <c r="CJ3117" s="76">
        <f>+CI3117*26000</f>
        <v>0</v>
      </c>
      <c r="CK3117" s="76"/>
      <c r="CL3117" s="76"/>
      <c r="CM3117" s="76"/>
      <c r="CN3117" s="76">
        <f>+CM3117*22000</f>
        <v>0</v>
      </c>
      <c r="CO3117" s="76"/>
      <c r="CP3117" s="76">
        <f>+CO3117*46000</f>
        <v>0</v>
      </c>
      <c r="CQ3117" s="76"/>
      <c r="CR3117" s="76">
        <f>+CQ3117*49000</f>
        <v>0</v>
      </c>
      <c r="CS3117" s="76"/>
      <c r="CT3117" s="76"/>
      <c r="CU3117" s="56">
        <f>AN3117+AP3117+AR3117+AT3117+AV3117+AX3117+AZ3117+BB3117+BD3117+BF3117+BH3117+BJ3117+BL3117+BN3117+BP3117+BR3117+BT3117+BV3117+BX3117+BZ3117+CB3117+CD3117+CF3117+CH3117+CJ3117+CL3117+CN3117+CP3117+CR3117+CT3117</f>
        <v>0</v>
      </c>
      <c r="CV3117" s="76"/>
      <c r="CW3117" s="76">
        <f>+CV3117*1100</f>
        <v>0</v>
      </c>
      <c r="CX3117" s="76"/>
      <c r="CY3117" s="76">
        <f>+CX3117*106250</f>
        <v>0</v>
      </c>
      <c r="CZ3117" s="76"/>
      <c r="DA3117" s="76">
        <f>+CZ3117*34500</f>
        <v>0</v>
      </c>
      <c r="DB3117" s="76"/>
      <c r="DC3117" s="76">
        <f>+DB3117*25000</f>
        <v>0</v>
      </c>
      <c r="DD3117" s="219"/>
      <c r="DE3117" s="219"/>
      <c r="DF3117" s="166"/>
      <c r="DG3117" s="116"/>
      <c r="DH3117" s="117"/>
      <c r="DI3117" s="24"/>
      <c r="DJ3117" s="24"/>
      <c r="DK3117" s="24"/>
      <c r="DL3117" s="24"/>
      <c r="DM3117" s="24"/>
      <c r="DN3117" s="24"/>
      <c r="DO3117" s="24"/>
      <c r="DP3117" s="24"/>
      <c r="DQ3117" s="24"/>
      <c r="DR3117" s="24"/>
      <c r="DS3117" s="24"/>
      <c r="DT3117" s="24"/>
      <c r="DU3117" s="24"/>
    </row>
    <row r="3118" spans="1:125" s="8" customFormat="1" ht="36" x14ac:dyDescent="0.2">
      <c r="A3118" s="77">
        <v>41540</v>
      </c>
      <c r="B3118" s="352" t="s">
        <v>2854</v>
      </c>
      <c r="C3118" s="354" t="s">
        <v>501</v>
      </c>
      <c r="D3118" s="354" t="s">
        <v>2846</v>
      </c>
      <c r="E3118" s="296" t="str">
        <f>VLOOKUP(B3118&amp;C3118,Divipola!$C$2:$F$1138,4,FALSE)</f>
        <v>19256</v>
      </c>
      <c r="F3118" s="87"/>
      <c r="G3118" s="87"/>
      <c r="H3118" s="87"/>
      <c r="I3118" s="87"/>
      <c r="J3118" s="87"/>
      <c r="K3118" s="87"/>
      <c r="L3118" s="87"/>
      <c r="M3118" s="87"/>
      <c r="N3118" s="87"/>
      <c r="O3118" s="87"/>
      <c r="P3118" s="87"/>
      <c r="Q3118" s="87"/>
      <c r="R3118" s="87"/>
      <c r="S3118" s="87"/>
      <c r="T3118" s="87"/>
      <c r="U3118" s="88"/>
      <c r="V3118" s="89"/>
      <c r="W3118" s="96">
        <v>0</v>
      </c>
      <c r="X3118" s="71">
        <f>CU3118</f>
        <v>0</v>
      </c>
      <c r="Y3118" s="71">
        <f>CY3118</f>
        <v>0</v>
      </c>
      <c r="Z3118" s="71">
        <f>DA3118+DC3118+DE3118</f>
        <v>0</v>
      </c>
      <c r="AA3118" s="71">
        <f>CW3118</f>
        <v>0</v>
      </c>
      <c r="AB3118" s="71"/>
      <c r="AC3118" s="71">
        <v>0</v>
      </c>
      <c r="AD3118" s="71">
        <f>W3118+X3118+Y3118+Z3118+AA3118+AB3118+AC3118</f>
        <v>0</v>
      </c>
      <c r="AE3118" s="72">
        <v>0</v>
      </c>
      <c r="AF3118" s="5"/>
      <c r="AG3118" s="6"/>
      <c r="AH3118" s="27"/>
      <c r="AI3118" s="44"/>
      <c r="AJ3118" s="26"/>
      <c r="AK3118" s="5"/>
      <c r="AL3118" s="82" t="s">
        <v>6043</v>
      </c>
      <c r="AM3118" s="76"/>
      <c r="AN3118" s="76"/>
      <c r="AO3118" s="76"/>
      <c r="AP3118" s="76"/>
      <c r="AQ3118" s="76"/>
      <c r="AR3118" s="76"/>
      <c r="AS3118" s="76"/>
      <c r="AT3118" s="76"/>
      <c r="AU3118" s="76"/>
      <c r="AV3118" s="76"/>
      <c r="AW3118" s="76"/>
      <c r="AX3118" s="76">
        <f>+AW3118*600000</f>
        <v>0</v>
      </c>
      <c r="AY3118" s="76"/>
      <c r="AZ3118" s="76">
        <f>+AY3118*70000</f>
        <v>0</v>
      </c>
      <c r="BA3118" s="76"/>
      <c r="BB3118" s="76"/>
      <c r="BC3118" s="76"/>
      <c r="BD3118" s="76">
        <f>+BC3118*30000</f>
        <v>0</v>
      </c>
      <c r="BE3118" s="76"/>
      <c r="BF3118" s="76"/>
      <c r="BG3118" s="76"/>
      <c r="BH3118" s="76"/>
      <c r="BI3118" s="76"/>
      <c r="BJ3118" s="76"/>
      <c r="BK3118" s="76"/>
      <c r="BL3118" s="76">
        <f>+BK3118*31500</f>
        <v>0</v>
      </c>
      <c r="BM3118" s="76"/>
      <c r="BN3118" s="76"/>
      <c r="BO3118" s="76"/>
      <c r="BP3118" s="76"/>
      <c r="BQ3118" s="76"/>
      <c r="BR3118" s="76"/>
      <c r="BS3118" s="76"/>
      <c r="BT3118" s="76"/>
      <c r="BU3118" s="76"/>
      <c r="BV3118" s="76"/>
      <c r="BW3118" s="76"/>
      <c r="BX3118" s="76"/>
      <c r="BY3118" s="76"/>
      <c r="BZ3118" s="76"/>
      <c r="CA3118" s="76"/>
      <c r="CB3118" s="76"/>
      <c r="CC3118" s="76"/>
      <c r="CD3118" s="76"/>
      <c r="CE3118" s="76"/>
      <c r="CF3118" s="76">
        <f>+CE3118*28000</f>
        <v>0</v>
      </c>
      <c r="CG3118" s="76"/>
      <c r="CH3118" s="76">
        <f>+CG3118*22500</f>
        <v>0</v>
      </c>
      <c r="CI3118" s="76"/>
      <c r="CJ3118" s="76">
        <f>+CI3118*26000</f>
        <v>0</v>
      </c>
      <c r="CK3118" s="76"/>
      <c r="CL3118" s="76"/>
      <c r="CM3118" s="76"/>
      <c r="CN3118" s="76">
        <f>+CM3118*22000</f>
        <v>0</v>
      </c>
      <c r="CO3118" s="76"/>
      <c r="CP3118" s="76">
        <f>+CO3118*46000</f>
        <v>0</v>
      </c>
      <c r="CQ3118" s="76"/>
      <c r="CR3118" s="76">
        <f>+CQ3118*49000</f>
        <v>0</v>
      </c>
      <c r="CS3118" s="76"/>
      <c r="CT3118" s="76"/>
      <c r="CU3118" s="56">
        <f>AN3118+AP3118+AR3118+AT3118+AV3118+AX3118+AZ3118+BB3118+BD3118+BF3118+BH3118+BJ3118+BL3118+BN3118+BP3118+BR3118+BT3118+BV3118+BX3118+BZ3118+CB3118+CD3118+CF3118+CH3118+CJ3118+CL3118+CN3118+CP3118+CR3118+CT3118</f>
        <v>0</v>
      </c>
      <c r="CV3118" s="76"/>
      <c r="CW3118" s="76">
        <f>+CV3118*1100</f>
        <v>0</v>
      </c>
      <c r="CX3118" s="76"/>
      <c r="CY3118" s="76">
        <f>+CX3118*106250</f>
        <v>0</v>
      </c>
      <c r="CZ3118" s="76"/>
      <c r="DA3118" s="76">
        <f>+CZ3118*34500</f>
        <v>0</v>
      </c>
      <c r="DB3118" s="76"/>
      <c r="DC3118" s="76">
        <f>+DB3118*25000</f>
        <v>0</v>
      </c>
      <c r="DD3118" s="219"/>
      <c r="DE3118" s="219"/>
      <c r="DF3118" s="166"/>
      <c r="DG3118" s="116"/>
      <c r="DH3118" s="117"/>
      <c r="DI3118" s="24"/>
      <c r="DJ3118" s="24"/>
      <c r="DK3118" s="24"/>
      <c r="DL3118" s="24"/>
      <c r="DM3118" s="24"/>
      <c r="DN3118" s="24"/>
      <c r="DO3118" s="24"/>
      <c r="DP3118" s="24"/>
      <c r="DQ3118" s="24"/>
      <c r="DR3118" s="24"/>
      <c r="DS3118" s="24"/>
      <c r="DT3118" s="24"/>
      <c r="DU3118" s="24"/>
    </row>
    <row r="3119" spans="1:125" s="8" customFormat="1" ht="96" x14ac:dyDescent="0.2">
      <c r="A3119" s="77">
        <v>41540</v>
      </c>
      <c r="B3119" s="352" t="s">
        <v>2854</v>
      </c>
      <c r="C3119" s="354" t="s">
        <v>2731</v>
      </c>
      <c r="D3119" s="354" t="s">
        <v>2846</v>
      </c>
      <c r="E3119" s="296" t="str">
        <f>VLOOKUP(B3119&amp;C3119,Divipola!$C$2:$F$1138,4,FALSE)</f>
        <v>19001</v>
      </c>
      <c r="F3119" s="87"/>
      <c r="G3119" s="87"/>
      <c r="H3119" s="87"/>
      <c r="I3119" s="87"/>
      <c r="J3119" s="87"/>
      <c r="K3119" s="87"/>
      <c r="L3119" s="87"/>
      <c r="M3119" s="87"/>
      <c r="N3119" s="87"/>
      <c r="O3119" s="87"/>
      <c r="P3119" s="87"/>
      <c r="Q3119" s="87"/>
      <c r="R3119" s="87"/>
      <c r="S3119" s="87"/>
      <c r="T3119" s="87"/>
      <c r="U3119" s="88">
        <v>2</v>
      </c>
      <c r="V3119" s="89"/>
      <c r="W3119" s="96">
        <v>0</v>
      </c>
      <c r="X3119" s="71">
        <f>CU3119</f>
        <v>0</v>
      </c>
      <c r="Y3119" s="71">
        <f>CY3119</f>
        <v>0</v>
      </c>
      <c r="Z3119" s="71">
        <f>DA3119+DC3119+DE3119</f>
        <v>0</v>
      </c>
      <c r="AA3119" s="71">
        <f>CW3119</f>
        <v>0</v>
      </c>
      <c r="AB3119" s="71"/>
      <c r="AC3119" s="71">
        <v>0</v>
      </c>
      <c r="AD3119" s="71">
        <f>W3119+X3119+Y3119+Z3119+AA3119+AB3119+AC3119</f>
        <v>0</v>
      </c>
      <c r="AE3119" s="72">
        <v>0</v>
      </c>
      <c r="AF3119" s="5"/>
      <c r="AG3119" s="6"/>
      <c r="AH3119" s="27"/>
      <c r="AI3119" s="44"/>
      <c r="AJ3119" s="26"/>
      <c r="AK3119" s="5"/>
      <c r="AL3119" s="82" t="s">
        <v>6031</v>
      </c>
      <c r="AM3119" s="76"/>
      <c r="AN3119" s="76"/>
      <c r="AO3119" s="76"/>
      <c r="AP3119" s="76"/>
      <c r="AQ3119" s="76"/>
      <c r="AR3119" s="76"/>
      <c r="AS3119" s="76"/>
      <c r="AT3119" s="76"/>
      <c r="AU3119" s="76"/>
      <c r="AV3119" s="76"/>
      <c r="AW3119" s="76"/>
      <c r="AX3119" s="76">
        <f>+AW3119*600000</f>
        <v>0</v>
      </c>
      <c r="AY3119" s="76"/>
      <c r="AZ3119" s="76">
        <f>+AY3119*70000</f>
        <v>0</v>
      </c>
      <c r="BA3119" s="76"/>
      <c r="BB3119" s="76"/>
      <c r="BC3119" s="76"/>
      <c r="BD3119" s="76">
        <f>+BC3119*30000</f>
        <v>0</v>
      </c>
      <c r="BE3119" s="76"/>
      <c r="BF3119" s="76"/>
      <c r="BG3119" s="76"/>
      <c r="BH3119" s="76"/>
      <c r="BI3119" s="76"/>
      <c r="BJ3119" s="76"/>
      <c r="BK3119" s="76"/>
      <c r="BL3119" s="76">
        <f>+BK3119*31500</f>
        <v>0</v>
      </c>
      <c r="BM3119" s="76"/>
      <c r="BN3119" s="76"/>
      <c r="BO3119" s="76"/>
      <c r="BP3119" s="76"/>
      <c r="BQ3119" s="76"/>
      <c r="BR3119" s="76"/>
      <c r="BS3119" s="76"/>
      <c r="BT3119" s="76"/>
      <c r="BU3119" s="76"/>
      <c r="BV3119" s="76"/>
      <c r="BW3119" s="76"/>
      <c r="BX3119" s="76"/>
      <c r="BY3119" s="76"/>
      <c r="BZ3119" s="76"/>
      <c r="CA3119" s="76"/>
      <c r="CB3119" s="76"/>
      <c r="CC3119" s="76"/>
      <c r="CD3119" s="76"/>
      <c r="CE3119" s="76"/>
      <c r="CF3119" s="76">
        <f>+CE3119*28000</f>
        <v>0</v>
      </c>
      <c r="CG3119" s="76"/>
      <c r="CH3119" s="76">
        <f>+CG3119*22500</f>
        <v>0</v>
      </c>
      <c r="CI3119" s="76"/>
      <c r="CJ3119" s="76">
        <f>+CI3119*26000</f>
        <v>0</v>
      </c>
      <c r="CK3119" s="76"/>
      <c r="CL3119" s="76"/>
      <c r="CM3119" s="76"/>
      <c r="CN3119" s="76">
        <f>+CM3119*22000</f>
        <v>0</v>
      </c>
      <c r="CO3119" s="76"/>
      <c r="CP3119" s="76">
        <f>+CO3119*46000</f>
        <v>0</v>
      </c>
      <c r="CQ3119" s="76"/>
      <c r="CR3119" s="76">
        <f>+CQ3119*49000</f>
        <v>0</v>
      </c>
      <c r="CS3119" s="76"/>
      <c r="CT3119" s="76"/>
      <c r="CU3119" s="56">
        <f>AN3119+AP3119+AR3119+AT3119+AV3119+AX3119+AZ3119+BB3119+BD3119+BF3119+BH3119+BJ3119+BL3119+BN3119+BP3119+BR3119+BT3119+BV3119+BX3119+BZ3119+CB3119+CD3119+CF3119+CH3119+CJ3119+CL3119+CN3119+CP3119+CR3119+CT3119</f>
        <v>0</v>
      </c>
      <c r="CV3119" s="76"/>
      <c r="CW3119" s="76">
        <f>+CV3119*1100</f>
        <v>0</v>
      </c>
      <c r="CX3119" s="76"/>
      <c r="CY3119" s="76">
        <f>+CX3119*106250</f>
        <v>0</v>
      </c>
      <c r="CZ3119" s="76"/>
      <c r="DA3119" s="76">
        <f>+CZ3119*34500</f>
        <v>0</v>
      </c>
      <c r="DB3119" s="76"/>
      <c r="DC3119" s="76">
        <f>+DB3119*25000</f>
        <v>0</v>
      </c>
      <c r="DD3119" s="219"/>
      <c r="DE3119" s="219"/>
      <c r="DF3119" s="166"/>
      <c r="DG3119" s="116"/>
      <c r="DH3119" s="117"/>
      <c r="DI3119" s="24"/>
      <c r="DJ3119" s="24"/>
      <c r="DK3119" s="24"/>
      <c r="DL3119" s="24"/>
      <c r="DM3119" s="24"/>
      <c r="DN3119" s="24"/>
      <c r="DO3119" s="24"/>
      <c r="DP3119" s="24"/>
      <c r="DQ3119" s="24"/>
      <c r="DR3119" s="24"/>
      <c r="DS3119" s="24"/>
      <c r="DT3119" s="24"/>
      <c r="DU3119" s="24"/>
    </row>
    <row r="3120" spans="1:125" s="8" customFormat="1" ht="96" x14ac:dyDescent="0.2">
      <c r="A3120" s="77">
        <v>41540</v>
      </c>
      <c r="B3120" s="352" t="s">
        <v>2854</v>
      </c>
      <c r="C3120" s="354" t="s">
        <v>867</v>
      </c>
      <c r="D3120" s="354" t="s">
        <v>2846</v>
      </c>
      <c r="E3120" s="296" t="str">
        <f>VLOOKUP(B3120&amp;C3120,Divipola!$C$2:$F$1138,4,FALSE)</f>
        <v>19693</v>
      </c>
      <c r="F3120" s="87"/>
      <c r="G3120" s="87"/>
      <c r="H3120" s="87"/>
      <c r="I3120" s="87"/>
      <c r="J3120" s="87"/>
      <c r="K3120" s="87"/>
      <c r="L3120" s="87"/>
      <c r="M3120" s="87"/>
      <c r="N3120" s="87"/>
      <c r="O3120" s="87"/>
      <c r="P3120" s="87"/>
      <c r="Q3120" s="87"/>
      <c r="R3120" s="87"/>
      <c r="S3120" s="87"/>
      <c r="T3120" s="87"/>
      <c r="U3120" s="88"/>
      <c r="V3120" s="89"/>
      <c r="W3120" s="96">
        <v>0</v>
      </c>
      <c r="X3120" s="71">
        <f>CU3120</f>
        <v>0</v>
      </c>
      <c r="Y3120" s="71">
        <f>CY3120</f>
        <v>0</v>
      </c>
      <c r="Z3120" s="71">
        <f>DA3120+DC3120+DE3120</f>
        <v>0</v>
      </c>
      <c r="AA3120" s="71">
        <f>CW3120</f>
        <v>0</v>
      </c>
      <c r="AB3120" s="71"/>
      <c r="AC3120" s="71">
        <v>0</v>
      </c>
      <c r="AD3120" s="71">
        <f>W3120+X3120+Y3120+Z3120+AA3120+AB3120+AC3120</f>
        <v>0</v>
      </c>
      <c r="AE3120" s="72">
        <v>0</v>
      </c>
      <c r="AF3120" s="5"/>
      <c r="AG3120" s="6"/>
      <c r="AH3120" s="27"/>
      <c r="AI3120" s="44"/>
      <c r="AJ3120" s="26"/>
      <c r="AK3120" s="5"/>
      <c r="AL3120" s="82" t="s">
        <v>6032</v>
      </c>
      <c r="AM3120" s="76"/>
      <c r="AN3120" s="76"/>
      <c r="AO3120" s="76"/>
      <c r="AP3120" s="76"/>
      <c r="AQ3120" s="76"/>
      <c r="AR3120" s="76"/>
      <c r="AS3120" s="76"/>
      <c r="AT3120" s="76"/>
      <c r="AU3120" s="76"/>
      <c r="AV3120" s="76"/>
      <c r="AW3120" s="76"/>
      <c r="AX3120" s="76">
        <f>+AW3120*600000</f>
        <v>0</v>
      </c>
      <c r="AY3120" s="76"/>
      <c r="AZ3120" s="76">
        <f>+AY3120*70000</f>
        <v>0</v>
      </c>
      <c r="BA3120" s="76"/>
      <c r="BB3120" s="76"/>
      <c r="BC3120" s="76"/>
      <c r="BD3120" s="76">
        <f>+BC3120*30000</f>
        <v>0</v>
      </c>
      <c r="BE3120" s="76"/>
      <c r="BF3120" s="76"/>
      <c r="BG3120" s="76"/>
      <c r="BH3120" s="76"/>
      <c r="BI3120" s="76"/>
      <c r="BJ3120" s="76"/>
      <c r="BK3120" s="76"/>
      <c r="BL3120" s="76">
        <f>+BK3120*31500</f>
        <v>0</v>
      </c>
      <c r="BM3120" s="76"/>
      <c r="BN3120" s="76"/>
      <c r="BO3120" s="76"/>
      <c r="BP3120" s="76"/>
      <c r="BQ3120" s="76"/>
      <c r="BR3120" s="76"/>
      <c r="BS3120" s="76"/>
      <c r="BT3120" s="76"/>
      <c r="BU3120" s="76"/>
      <c r="BV3120" s="76"/>
      <c r="BW3120" s="76"/>
      <c r="BX3120" s="76"/>
      <c r="BY3120" s="76"/>
      <c r="BZ3120" s="76"/>
      <c r="CA3120" s="76"/>
      <c r="CB3120" s="76"/>
      <c r="CC3120" s="76"/>
      <c r="CD3120" s="76"/>
      <c r="CE3120" s="76"/>
      <c r="CF3120" s="76">
        <f>+CE3120*28000</f>
        <v>0</v>
      </c>
      <c r="CG3120" s="76"/>
      <c r="CH3120" s="76">
        <f>+CG3120*22500</f>
        <v>0</v>
      </c>
      <c r="CI3120" s="76"/>
      <c r="CJ3120" s="76">
        <f>+CI3120*26000</f>
        <v>0</v>
      </c>
      <c r="CK3120" s="76"/>
      <c r="CL3120" s="76"/>
      <c r="CM3120" s="76"/>
      <c r="CN3120" s="76">
        <f>+CM3120*22000</f>
        <v>0</v>
      </c>
      <c r="CO3120" s="76"/>
      <c r="CP3120" s="76">
        <f>+CO3120*46000</f>
        <v>0</v>
      </c>
      <c r="CQ3120" s="76"/>
      <c r="CR3120" s="76">
        <f>+CQ3120*49000</f>
        <v>0</v>
      </c>
      <c r="CS3120" s="76"/>
      <c r="CT3120" s="76"/>
      <c r="CU3120" s="56">
        <f>AN3120+AP3120+AR3120+AT3120+AV3120+AX3120+AZ3120+BB3120+BD3120+BF3120+BH3120+BJ3120+BL3120+BN3120+BP3120+BR3120+BT3120+BV3120+BX3120+BZ3120+CB3120+CD3120+CF3120+CH3120+CJ3120+CL3120+CN3120+CP3120+CR3120+CT3120</f>
        <v>0</v>
      </c>
      <c r="CV3120" s="76"/>
      <c r="CW3120" s="76">
        <f>+CV3120*1100</f>
        <v>0</v>
      </c>
      <c r="CX3120" s="76"/>
      <c r="CY3120" s="76">
        <f>+CX3120*106250</f>
        <v>0</v>
      </c>
      <c r="CZ3120" s="76"/>
      <c r="DA3120" s="76">
        <f>+CZ3120*34500</f>
        <v>0</v>
      </c>
      <c r="DB3120" s="76"/>
      <c r="DC3120" s="76">
        <f>+DB3120*25000</f>
        <v>0</v>
      </c>
      <c r="DD3120" s="219"/>
      <c r="DE3120" s="219"/>
      <c r="DF3120" s="166"/>
      <c r="DG3120" s="116"/>
      <c r="DH3120" s="117"/>
      <c r="DI3120" s="24"/>
      <c r="DJ3120" s="24"/>
      <c r="DK3120" s="24"/>
      <c r="DL3120" s="24"/>
      <c r="DM3120" s="24"/>
      <c r="DN3120" s="24"/>
      <c r="DO3120" s="24"/>
      <c r="DP3120" s="24"/>
      <c r="DQ3120" s="24"/>
      <c r="DR3120" s="24"/>
      <c r="DS3120" s="24"/>
      <c r="DT3120" s="24"/>
      <c r="DU3120" s="24"/>
    </row>
    <row r="3121" spans="1:125" s="8" customFormat="1" ht="84" x14ac:dyDescent="0.2">
      <c r="A3121" s="77">
        <v>41540</v>
      </c>
      <c r="B3121" s="78" t="s">
        <v>2772</v>
      </c>
      <c r="C3121" s="75" t="s">
        <v>1042</v>
      </c>
      <c r="D3121" s="75" t="s">
        <v>2859</v>
      </c>
      <c r="E3121" s="296" t="str">
        <f>VLOOKUP(B3121&amp;C3121,Divipola!$C$2:$F$1138,4,FALSE)</f>
        <v>25245</v>
      </c>
      <c r="F3121" s="87"/>
      <c r="G3121" s="87"/>
      <c r="H3121" s="87"/>
      <c r="I3121" s="87">
        <v>21</v>
      </c>
      <c r="J3121" s="87">
        <v>7</v>
      </c>
      <c r="K3121" s="87">
        <v>1</v>
      </c>
      <c r="L3121" s="87"/>
      <c r="M3121" s="87"/>
      <c r="N3121" s="87"/>
      <c r="O3121" s="87"/>
      <c r="P3121" s="87"/>
      <c r="Q3121" s="87"/>
      <c r="R3121" s="87"/>
      <c r="S3121" s="87"/>
      <c r="T3121" s="87"/>
      <c r="U3121" s="88"/>
      <c r="V3121" s="89"/>
      <c r="W3121" s="96">
        <v>0</v>
      </c>
      <c r="X3121" s="71">
        <f>CU3121</f>
        <v>0</v>
      </c>
      <c r="Y3121" s="71">
        <f>CY3121</f>
        <v>0</v>
      </c>
      <c r="Z3121" s="71">
        <f>DA3121+DC3121+DE3121</f>
        <v>0</v>
      </c>
      <c r="AA3121" s="71">
        <f>CW3121</f>
        <v>0</v>
      </c>
      <c r="AB3121" s="71"/>
      <c r="AC3121" s="71">
        <v>0</v>
      </c>
      <c r="AD3121" s="71">
        <f>W3121+X3121+Y3121+Z3121+AA3121+AB3121+AC3121</f>
        <v>0</v>
      </c>
      <c r="AE3121" s="72">
        <v>0</v>
      </c>
      <c r="AF3121" s="5"/>
      <c r="AG3121" s="6"/>
      <c r="AH3121" s="27"/>
      <c r="AI3121" s="44"/>
      <c r="AJ3121" s="26"/>
      <c r="AK3121" s="5"/>
      <c r="AL3121" s="315" t="s">
        <v>6070</v>
      </c>
      <c r="AM3121" s="76"/>
      <c r="AN3121" s="76"/>
      <c r="AO3121" s="76"/>
      <c r="AP3121" s="76"/>
      <c r="AQ3121" s="76"/>
      <c r="AR3121" s="76"/>
      <c r="AS3121" s="76"/>
      <c r="AT3121" s="76"/>
      <c r="AU3121" s="76"/>
      <c r="AV3121" s="76"/>
      <c r="AW3121" s="76"/>
      <c r="AX3121" s="76">
        <f>+AW3121*600000</f>
        <v>0</v>
      </c>
      <c r="AY3121" s="76"/>
      <c r="AZ3121" s="76">
        <f>+AY3121*70000</f>
        <v>0</v>
      </c>
      <c r="BA3121" s="76"/>
      <c r="BB3121" s="76"/>
      <c r="BC3121" s="76"/>
      <c r="BD3121" s="76">
        <f>+BC3121*30000</f>
        <v>0</v>
      </c>
      <c r="BE3121" s="76"/>
      <c r="BF3121" s="76"/>
      <c r="BG3121" s="76"/>
      <c r="BH3121" s="76"/>
      <c r="BI3121" s="76"/>
      <c r="BJ3121" s="76"/>
      <c r="BK3121" s="76"/>
      <c r="BL3121" s="76">
        <f>+BK3121*31500</f>
        <v>0</v>
      </c>
      <c r="BM3121" s="76"/>
      <c r="BN3121" s="76"/>
      <c r="BO3121" s="76"/>
      <c r="BP3121" s="76"/>
      <c r="BQ3121" s="76"/>
      <c r="BR3121" s="76"/>
      <c r="BS3121" s="76"/>
      <c r="BT3121" s="76"/>
      <c r="BU3121" s="76"/>
      <c r="BV3121" s="76"/>
      <c r="BW3121" s="76"/>
      <c r="BX3121" s="76"/>
      <c r="BY3121" s="76"/>
      <c r="BZ3121" s="76"/>
      <c r="CA3121" s="76"/>
      <c r="CB3121" s="76"/>
      <c r="CC3121" s="76"/>
      <c r="CD3121" s="76"/>
      <c r="CE3121" s="76"/>
      <c r="CF3121" s="76">
        <f>+CE3121*28000</f>
        <v>0</v>
      </c>
      <c r="CG3121" s="76"/>
      <c r="CH3121" s="76">
        <f>+CG3121*22500</f>
        <v>0</v>
      </c>
      <c r="CI3121" s="76"/>
      <c r="CJ3121" s="76">
        <f>+CI3121*26000</f>
        <v>0</v>
      </c>
      <c r="CK3121" s="76"/>
      <c r="CL3121" s="76"/>
      <c r="CM3121" s="76"/>
      <c r="CN3121" s="76">
        <f>+CM3121*22000</f>
        <v>0</v>
      </c>
      <c r="CO3121" s="76"/>
      <c r="CP3121" s="76">
        <f>+CO3121*46000</f>
        <v>0</v>
      </c>
      <c r="CQ3121" s="76"/>
      <c r="CR3121" s="76">
        <f>+CQ3121*49000</f>
        <v>0</v>
      </c>
      <c r="CS3121" s="76"/>
      <c r="CT3121" s="76"/>
      <c r="CU3121" s="56">
        <f>AN3121+AP3121+AR3121+AT3121+AV3121+AX3121+AZ3121+BB3121+BD3121+BF3121+BH3121+BJ3121+BL3121+BN3121+BP3121+BR3121+BT3121+BV3121+BX3121+BZ3121+CB3121+CD3121+CF3121+CH3121+CJ3121+CL3121+CN3121+CP3121+CR3121+CT3121</f>
        <v>0</v>
      </c>
      <c r="CV3121" s="76"/>
      <c r="CW3121" s="76">
        <f>+CV3121*1100</f>
        <v>0</v>
      </c>
      <c r="CX3121" s="76"/>
      <c r="CY3121" s="76">
        <f>+CX3121*106250</f>
        <v>0</v>
      </c>
      <c r="CZ3121" s="76"/>
      <c r="DA3121" s="76">
        <f>+CZ3121*34500</f>
        <v>0</v>
      </c>
      <c r="DB3121" s="76"/>
      <c r="DC3121" s="76">
        <f>+DB3121*25000</f>
        <v>0</v>
      </c>
      <c r="DD3121" s="219"/>
      <c r="DE3121" s="219"/>
      <c r="DF3121" s="166"/>
      <c r="DG3121" s="116"/>
      <c r="DH3121" s="117"/>
      <c r="DI3121" s="24"/>
      <c r="DJ3121" s="24"/>
      <c r="DK3121" s="24"/>
      <c r="DL3121" s="24"/>
      <c r="DM3121" s="24"/>
      <c r="DN3121" s="24"/>
      <c r="DO3121" s="24"/>
      <c r="DP3121" s="24"/>
      <c r="DQ3121" s="24"/>
      <c r="DR3121" s="24"/>
      <c r="DS3121" s="24"/>
      <c r="DT3121" s="24"/>
      <c r="DU3121" s="24"/>
    </row>
    <row r="3122" spans="1:125" s="8" customFormat="1" ht="132" x14ac:dyDescent="0.2">
      <c r="A3122" s="77">
        <v>41540</v>
      </c>
      <c r="B3122" s="352" t="s">
        <v>2772</v>
      </c>
      <c r="C3122" s="354" t="s">
        <v>1100</v>
      </c>
      <c r="D3122" s="354" t="s">
        <v>2846</v>
      </c>
      <c r="E3122" s="296" t="str">
        <f>VLOOKUP(B3122&amp;C3122,Divipola!$C$2:$F$1138,4,FALSE)</f>
        <v>25398</v>
      </c>
      <c r="F3122" s="87"/>
      <c r="G3122" s="87"/>
      <c r="H3122" s="87"/>
      <c r="I3122" s="87"/>
      <c r="J3122" s="87"/>
      <c r="K3122" s="87"/>
      <c r="L3122" s="87"/>
      <c r="M3122" s="87"/>
      <c r="N3122" s="87"/>
      <c r="O3122" s="87"/>
      <c r="P3122" s="87"/>
      <c r="Q3122" s="87"/>
      <c r="R3122" s="87"/>
      <c r="S3122" s="87"/>
      <c r="T3122" s="87"/>
      <c r="U3122" s="88">
        <v>200</v>
      </c>
      <c r="V3122" s="89"/>
      <c r="W3122" s="96">
        <v>0</v>
      </c>
      <c r="X3122" s="71">
        <f>CU3122</f>
        <v>0</v>
      </c>
      <c r="Y3122" s="71">
        <f>CY3122</f>
        <v>0</v>
      </c>
      <c r="Z3122" s="71">
        <f>DA3122+DC3122+DE3122</f>
        <v>0</v>
      </c>
      <c r="AA3122" s="71">
        <f>CW3122</f>
        <v>0</v>
      </c>
      <c r="AB3122" s="71"/>
      <c r="AC3122" s="71">
        <v>0</v>
      </c>
      <c r="AD3122" s="71">
        <f>W3122+X3122+Y3122+Z3122+AA3122+AB3122+AC3122</f>
        <v>0</v>
      </c>
      <c r="AE3122" s="72">
        <v>0</v>
      </c>
      <c r="AF3122" s="5"/>
      <c r="AG3122" s="6"/>
      <c r="AH3122" s="27"/>
      <c r="AI3122" s="44"/>
      <c r="AJ3122" s="26"/>
      <c r="AK3122" s="5"/>
      <c r="AL3122" s="82" t="s">
        <v>6097</v>
      </c>
      <c r="AM3122" s="76"/>
      <c r="AN3122" s="76"/>
      <c r="AO3122" s="76"/>
      <c r="AP3122" s="76"/>
      <c r="AQ3122" s="76"/>
      <c r="AR3122" s="76"/>
      <c r="AS3122" s="76"/>
      <c r="AT3122" s="76"/>
      <c r="AU3122" s="76"/>
      <c r="AV3122" s="76"/>
      <c r="AW3122" s="76"/>
      <c r="AX3122" s="76">
        <f>+AW3122*600000</f>
        <v>0</v>
      </c>
      <c r="AY3122" s="76"/>
      <c r="AZ3122" s="76">
        <f>+AY3122*70000</f>
        <v>0</v>
      </c>
      <c r="BA3122" s="76"/>
      <c r="BB3122" s="76"/>
      <c r="BC3122" s="76"/>
      <c r="BD3122" s="76">
        <f>+BC3122*30000</f>
        <v>0</v>
      </c>
      <c r="BE3122" s="76"/>
      <c r="BF3122" s="76"/>
      <c r="BG3122" s="76"/>
      <c r="BH3122" s="76"/>
      <c r="BI3122" s="76"/>
      <c r="BJ3122" s="76"/>
      <c r="BK3122" s="76"/>
      <c r="BL3122" s="76">
        <f>+BK3122*31500</f>
        <v>0</v>
      </c>
      <c r="BM3122" s="76"/>
      <c r="BN3122" s="76"/>
      <c r="BO3122" s="76"/>
      <c r="BP3122" s="76"/>
      <c r="BQ3122" s="76"/>
      <c r="BR3122" s="76"/>
      <c r="BS3122" s="76"/>
      <c r="BT3122" s="76"/>
      <c r="BU3122" s="76"/>
      <c r="BV3122" s="76"/>
      <c r="BW3122" s="76"/>
      <c r="BX3122" s="76"/>
      <c r="BY3122" s="76"/>
      <c r="BZ3122" s="76"/>
      <c r="CA3122" s="76"/>
      <c r="CB3122" s="76"/>
      <c r="CC3122" s="76"/>
      <c r="CD3122" s="76"/>
      <c r="CE3122" s="76"/>
      <c r="CF3122" s="76">
        <f>+CE3122*28000</f>
        <v>0</v>
      </c>
      <c r="CG3122" s="76"/>
      <c r="CH3122" s="76">
        <f>+CG3122*22500</f>
        <v>0</v>
      </c>
      <c r="CI3122" s="76"/>
      <c r="CJ3122" s="76">
        <f>+CI3122*26000</f>
        <v>0</v>
      </c>
      <c r="CK3122" s="76"/>
      <c r="CL3122" s="76"/>
      <c r="CM3122" s="76"/>
      <c r="CN3122" s="76">
        <f>+CM3122*22000</f>
        <v>0</v>
      </c>
      <c r="CO3122" s="76"/>
      <c r="CP3122" s="76">
        <f>+CO3122*46000</f>
        <v>0</v>
      </c>
      <c r="CQ3122" s="76"/>
      <c r="CR3122" s="76">
        <f>+CQ3122*49000</f>
        <v>0</v>
      </c>
      <c r="CS3122" s="76"/>
      <c r="CT3122" s="76"/>
      <c r="CU3122" s="56">
        <f>AN3122+AP3122+AR3122+AT3122+AV3122+AX3122+AZ3122+BB3122+BD3122+BF3122+BH3122+BJ3122+BL3122+BN3122+BP3122+BR3122+BT3122+BV3122+BX3122+BZ3122+CB3122+CD3122+CF3122+CH3122+CJ3122+CL3122+CN3122+CP3122+CR3122+CT3122</f>
        <v>0</v>
      </c>
      <c r="CV3122" s="76"/>
      <c r="CW3122" s="76">
        <f>+CV3122*1100</f>
        <v>0</v>
      </c>
      <c r="CX3122" s="76"/>
      <c r="CY3122" s="76">
        <f>+CX3122*106250</f>
        <v>0</v>
      </c>
      <c r="CZ3122" s="76"/>
      <c r="DA3122" s="76">
        <f>+CZ3122*34500</f>
        <v>0</v>
      </c>
      <c r="DB3122" s="76"/>
      <c r="DC3122" s="76">
        <f>+DB3122*25000</f>
        <v>0</v>
      </c>
      <c r="DD3122" s="219"/>
      <c r="DE3122" s="219"/>
      <c r="DF3122" s="166"/>
      <c r="DG3122" s="116"/>
      <c r="DH3122" s="117"/>
      <c r="DI3122" s="24"/>
      <c r="DJ3122" s="24"/>
      <c r="DK3122" s="24"/>
      <c r="DL3122" s="24"/>
      <c r="DM3122" s="24"/>
      <c r="DN3122" s="24"/>
      <c r="DO3122" s="24"/>
      <c r="DP3122" s="24"/>
      <c r="DQ3122" s="24"/>
      <c r="DR3122" s="24"/>
      <c r="DS3122" s="24"/>
      <c r="DT3122" s="24"/>
      <c r="DU3122" s="24"/>
    </row>
    <row r="3123" spans="1:125" s="8" customFormat="1" ht="84" x14ac:dyDescent="0.2">
      <c r="A3123" s="77">
        <v>41540</v>
      </c>
      <c r="B3123" s="352" t="s">
        <v>2772</v>
      </c>
      <c r="C3123" s="354" t="s">
        <v>2690</v>
      </c>
      <c r="D3123" s="354" t="s">
        <v>2846</v>
      </c>
      <c r="E3123" s="296" t="str">
        <f>VLOOKUP(B3123&amp;C3123,Divipola!$C$2:$F$1138,4,FALSE)</f>
        <v>25513</v>
      </c>
      <c r="F3123" s="87"/>
      <c r="G3123" s="87"/>
      <c r="H3123" s="87"/>
      <c r="I3123" s="87"/>
      <c r="J3123" s="87"/>
      <c r="K3123" s="87"/>
      <c r="L3123" s="87"/>
      <c r="M3123" s="87"/>
      <c r="N3123" s="87"/>
      <c r="O3123" s="87"/>
      <c r="P3123" s="87"/>
      <c r="Q3123" s="87"/>
      <c r="R3123" s="87"/>
      <c r="S3123" s="87"/>
      <c r="T3123" s="87"/>
      <c r="U3123" s="88">
        <v>9</v>
      </c>
      <c r="V3123" s="89"/>
      <c r="W3123" s="96">
        <v>0</v>
      </c>
      <c r="X3123" s="71">
        <f>CU3123</f>
        <v>0</v>
      </c>
      <c r="Y3123" s="71">
        <f>CY3123</f>
        <v>0</v>
      </c>
      <c r="Z3123" s="71">
        <f>DA3123+DC3123+DE3123</f>
        <v>0</v>
      </c>
      <c r="AA3123" s="71">
        <f>CW3123</f>
        <v>0</v>
      </c>
      <c r="AB3123" s="71"/>
      <c r="AC3123" s="71">
        <v>0</v>
      </c>
      <c r="AD3123" s="71">
        <f>W3123+X3123+Y3123+Z3123+AA3123+AB3123+AC3123</f>
        <v>0</v>
      </c>
      <c r="AE3123" s="72">
        <v>0</v>
      </c>
      <c r="AF3123" s="5"/>
      <c r="AG3123" s="6"/>
      <c r="AH3123" s="27"/>
      <c r="AI3123" s="44"/>
      <c r="AJ3123" s="26"/>
      <c r="AK3123" s="5"/>
      <c r="AL3123" s="268" t="s">
        <v>6107</v>
      </c>
      <c r="AM3123" s="76"/>
      <c r="AN3123" s="76"/>
      <c r="AO3123" s="76"/>
      <c r="AP3123" s="76"/>
      <c r="AQ3123" s="76"/>
      <c r="AR3123" s="76"/>
      <c r="AS3123" s="76"/>
      <c r="AT3123" s="76"/>
      <c r="AU3123" s="76"/>
      <c r="AV3123" s="76"/>
      <c r="AW3123" s="76"/>
      <c r="AX3123" s="76">
        <f>+AW3123*600000</f>
        <v>0</v>
      </c>
      <c r="AY3123" s="76"/>
      <c r="AZ3123" s="76">
        <f>+AY3123*70000</f>
        <v>0</v>
      </c>
      <c r="BA3123" s="76"/>
      <c r="BB3123" s="76"/>
      <c r="BC3123" s="76"/>
      <c r="BD3123" s="76">
        <f>+BC3123*30000</f>
        <v>0</v>
      </c>
      <c r="BE3123" s="76"/>
      <c r="BF3123" s="76"/>
      <c r="BG3123" s="76"/>
      <c r="BH3123" s="76"/>
      <c r="BI3123" s="76"/>
      <c r="BJ3123" s="76"/>
      <c r="BK3123" s="76"/>
      <c r="BL3123" s="76">
        <f>+BK3123*31500</f>
        <v>0</v>
      </c>
      <c r="BM3123" s="76"/>
      <c r="BN3123" s="76"/>
      <c r="BO3123" s="76"/>
      <c r="BP3123" s="76"/>
      <c r="BQ3123" s="76"/>
      <c r="BR3123" s="76"/>
      <c r="BS3123" s="76"/>
      <c r="BT3123" s="76"/>
      <c r="BU3123" s="76"/>
      <c r="BV3123" s="76"/>
      <c r="BW3123" s="76"/>
      <c r="BX3123" s="76"/>
      <c r="BY3123" s="76"/>
      <c r="BZ3123" s="76"/>
      <c r="CA3123" s="76"/>
      <c r="CB3123" s="76"/>
      <c r="CC3123" s="76"/>
      <c r="CD3123" s="76"/>
      <c r="CE3123" s="76"/>
      <c r="CF3123" s="76">
        <f>+CE3123*28000</f>
        <v>0</v>
      </c>
      <c r="CG3123" s="76"/>
      <c r="CH3123" s="76">
        <f>+CG3123*22500</f>
        <v>0</v>
      </c>
      <c r="CI3123" s="76"/>
      <c r="CJ3123" s="76">
        <f>+CI3123*26000</f>
        <v>0</v>
      </c>
      <c r="CK3123" s="76"/>
      <c r="CL3123" s="76"/>
      <c r="CM3123" s="76"/>
      <c r="CN3123" s="76">
        <f>+CM3123*22000</f>
        <v>0</v>
      </c>
      <c r="CO3123" s="76"/>
      <c r="CP3123" s="76">
        <f>+CO3123*46000</f>
        <v>0</v>
      </c>
      <c r="CQ3123" s="76"/>
      <c r="CR3123" s="76">
        <f>+CQ3123*49000</f>
        <v>0</v>
      </c>
      <c r="CS3123" s="76"/>
      <c r="CT3123" s="76"/>
      <c r="CU3123" s="56">
        <f>AN3123+AP3123+AR3123+AT3123+AV3123+AX3123+AZ3123+BB3123+BD3123+BF3123+BH3123+BJ3123+BL3123+BN3123+BP3123+BR3123+BT3123+BV3123+BX3123+BZ3123+CB3123+CD3123+CF3123+CH3123+CJ3123+CL3123+CN3123+CP3123+CR3123+CT3123</f>
        <v>0</v>
      </c>
      <c r="CV3123" s="76"/>
      <c r="CW3123" s="76">
        <f>+CV3123*1100</f>
        <v>0</v>
      </c>
      <c r="CX3123" s="76"/>
      <c r="CY3123" s="76">
        <f>+CX3123*106250</f>
        <v>0</v>
      </c>
      <c r="CZ3123" s="76"/>
      <c r="DA3123" s="76">
        <f>+CZ3123*34500</f>
        <v>0</v>
      </c>
      <c r="DB3123" s="76"/>
      <c r="DC3123" s="76">
        <f>+DB3123*25000</f>
        <v>0</v>
      </c>
      <c r="DD3123" s="219"/>
      <c r="DE3123" s="219"/>
      <c r="DF3123" s="166"/>
      <c r="DG3123" s="116"/>
      <c r="DH3123" s="117"/>
      <c r="DI3123" s="24"/>
      <c r="DJ3123" s="24"/>
      <c r="DK3123" s="24"/>
      <c r="DL3123" s="24"/>
      <c r="DM3123" s="24"/>
      <c r="DN3123" s="24"/>
      <c r="DO3123" s="24"/>
      <c r="DP3123" s="24"/>
      <c r="DQ3123" s="24"/>
      <c r="DR3123" s="24"/>
      <c r="DS3123" s="24"/>
      <c r="DT3123" s="24"/>
      <c r="DU3123" s="24"/>
    </row>
    <row r="3124" spans="1:125" s="8" customFormat="1" ht="72" x14ac:dyDescent="0.2">
      <c r="A3124" s="77">
        <v>41540</v>
      </c>
      <c r="B3124" s="60" t="s">
        <v>2772</v>
      </c>
      <c r="C3124" s="55" t="s">
        <v>2690</v>
      </c>
      <c r="D3124" s="55" t="s">
        <v>2846</v>
      </c>
      <c r="E3124" s="296" t="str">
        <f>VLOOKUP(B3124&amp;C3124,Divipola!$C$2:$F$1138,4,FALSE)</f>
        <v>25513</v>
      </c>
      <c r="F3124" s="87"/>
      <c r="G3124" s="87"/>
      <c r="H3124" s="87"/>
      <c r="I3124" s="87"/>
      <c r="J3124" s="87"/>
      <c r="K3124" s="87"/>
      <c r="L3124" s="87"/>
      <c r="M3124" s="87"/>
      <c r="N3124" s="87"/>
      <c r="O3124" s="87"/>
      <c r="P3124" s="87"/>
      <c r="Q3124" s="87"/>
      <c r="R3124" s="87"/>
      <c r="S3124" s="87"/>
      <c r="T3124" s="87"/>
      <c r="U3124" s="88">
        <v>1</v>
      </c>
      <c r="V3124" s="89"/>
      <c r="W3124" s="96">
        <v>0</v>
      </c>
      <c r="X3124" s="71">
        <f>CU3124</f>
        <v>0</v>
      </c>
      <c r="Y3124" s="71">
        <f>CY3124</f>
        <v>0</v>
      </c>
      <c r="Z3124" s="71">
        <f>DA3124+DC3124+DE3124</f>
        <v>0</v>
      </c>
      <c r="AA3124" s="71">
        <f>CW3124</f>
        <v>0</v>
      </c>
      <c r="AB3124" s="71"/>
      <c r="AC3124" s="71">
        <v>0</v>
      </c>
      <c r="AD3124" s="71">
        <f>W3124+X3124+Y3124+Z3124+AA3124+AB3124+AC3124</f>
        <v>0</v>
      </c>
      <c r="AE3124" s="72">
        <v>0</v>
      </c>
      <c r="AF3124" s="5"/>
      <c r="AG3124" s="6"/>
      <c r="AH3124" s="27"/>
      <c r="AI3124" s="44"/>
      <c r="AJ3124" s="26"/>
      <c r="AK3124" s="5"/>
      <c r="AL3124" s="268" t="s">
        <v>6108</v>
      </c>
      <c r="AM3124" s="76"/>
      <c r="AN3124" s="76"/>
      <c r="AO3124" s="76"/>
      <c r="AP3124" s="76"/>
      <c r="AQ3124" s="76"/>
      <c r="AR3124" s="76"/>
      <c r="AS3124" s="76"/>
      <c r="AT3124" s="76"/>
      <c r="AU3124" s="76"/>
      <c r="AV3124" s="76"/>
      <c r="AW3124" s="76"/>
      <c r="AX3124" s="76">
        <f>+AW3124*600000</f>
        <v>0</v>
      </c>
      <c r="AY3124" s="76"/>
      <c r="AZ3124" s="76">
        <f>+AY3124*70000</f>
        <v>0</v>
      </c>
      <c r="BA3124" s="76"/>
      <c r="BB3124" s="76"/>
      <c r="BC3124" s="76"/>
      <c r="BD3124" s="76">
        <f>+BC3124*30000</f>
        <v>0</v>
      </c>
      <c r="BE3124" s="76"/>
      <c r="BF3124" s="76"/>
      <c r="BG3124" s="76"/>
      <c r="BH3124" s="76"/>
      <c r="BI3124" s="76"/>
      <c r="BJ3124" s="76"/>
      <c r="BK3124" s="76"/>
      <c r="BL3124" s="76">
        <f>+BK3124*31500</f>
        <v>0</v>
      </c>
      <c r="BM3124" s="76"/>
      <c r="BN3124" s="76"/>
      <c r="BO3124" s="76"/>
      <c r="BP3124" s="76"/>
      <c r="BQ3124" s="76"/>
      <c r="BR3124" s="76"/>
      <c r="BS3124" s="76"/>
      <c r="BT3124" s="76"/>
      <c r="BU3124" s="76"/>
      <c r="BV3124" s="76"/>
      <c r="BW3124" s="76"/>
      <c r="BX3124" s="76"/>
      <c r="BY3124" s="76"/>
      <c r="BZ3124" s="76"/>
      <c r="CA3124" s="76"/>
      <c r="CB3124" s="76"/>
      <c r="CC3124" s="76"/>
      <c r="CD3124" s="76"/>
      <c r="CE3124" s="76"/>
      <c r="CF3124" s="76">
        <f>+CE3124*28000</f>
        <v>0</v>
      </c>
      <c r="CG3124" s="76"/>
      <c r="CH3124" s="76">
        <f>+CG3124*22500</f>
        <v>0</v>
      </c>
      <c r="CI3124" s="76"/>
      <c r="CJ3124" s="76">
        <f>+CI3124*26000</f>
        <v>0</v>
      </c>
      <c r="CK3124" s="76"/>
      <c r="CL3124" s="76"/>
      <c r="CM3124" s="76"/>
      <c r="CN3124" s="76">
        <f>+CM3124*22000</f>
        <v>0</v>
      </c>
      <c r="CO3124" s="76"/>
      <c r="CP3124" s="76">
        <f>+CO3124*46000</f>
        <v>0</v>
      </c>
      <c r="CQ3124" s="76"/>
      <c r="CR3124" s="76">
        <f>+CQ3124*49000</f>
        <v>0</v>
      </c>
      <c r="CS3124" s="76"/>
      <c r="CT3124" s="76"/>
      <c r="CU3124" s="56">
        <f>AN3124+AP3124+AR3124+AT3124+AV3124+AX3124+AZ3124+BB3124+BD3124+BF3124+BH3124+BJ3124+BL3124+BN3124+BP3124+BR3124+BT3124+BV3124+BX3124+BZ3124+CB3124+CD3124+CF3124+CH3124+CJ3124+CL3124+CN3124+CP3124+CR3124+CT3124</f>
        <v>0</v>
      </c>
      <c r="CV3124" s="76"/>
      <c r="CW3124" s="76">
        <f>+CV3124*1100</f>
        <v>0</v>
      </c>
      <c r="CX3124" s="76"/>
      <c r="CY3124" s="76">
        <f>+CX3124*106250</f>
        <v>0</v>
      </c>
      <c r="CZ3124" s="76"/>
      <c r="DA3124" s="76">
        <f>+CZ3124*34500</f>
        <v>0</v>
      </c>
      <c r="DB3124" s="76"/>
      <c r="DC3124" s="76">
        <f>+DB3124*25000</f>
        <v>0</v>
      </c>
      <c r="DD3124" s="219"/>
      <c r="DE3124" s="219"/>
      <c r="DF3124" s="166"/>
      <c r="DG3124" s="116"/>
      <c r="DH3124" s="117"/>
      <c r="DI3124" s="24"/>
      <c r="DJ3124" s="24"/>
      <c r="DK3124" s="24"/>
      <c r="DL3124" s="24"/>
      <c r="DM3124" s="24"/>
      <c r="DN3124" s="24"/>
      <c r="DO3124" s="24"/>
      <c r="DP3124" s="24"/>
      <c r="DQ3124" s="24"/>
      <c r="DR3124" s="24"/>
      <c r="DS3124" s="24"/>
      <c r="DT3124" s="24"/>
      <c r="DU3124" s="24"/>
    </row>
    <row r="3125" spans="1:125" s="8" customFormat="1" ht="84" x14ac:dyDescent="0.2">
      <c r="A3125" s="77">
        <v>41540</v>
      </c>
      <c r="B3125" s="352" t="s">
        <v>2772</v>
      </c>
      <c r="C3125" s="354" t="s">
        <v>2690</v>
      </c>
      <c r="D3125" s="354" t="s">
        <v>2846</v>
      </c>
      <c r="E3125" s="296" t="str">
        <f>VLOOKUP(B3125&amp;C3125,Divipola!$C$2:$F$1138,4,FALSE)</f>
        <v>25513</v>
      </c>
      <c r="F3125" s="87"/>
      <c r="G3125" s="87"/>
      <c r="H3125" s="87"/>
      <c r="I3125" s="87"/>
      <c r="J3125" s="87"/>
      <c r="K3125" s="87"/>
      <c r="L3125" s="87"/>
      <c r="M3125" s="87"/>
      <c r="N3125" s="87"/>
      <c r="O3125" s="87"/>
      <c r="P3125" s="87"/>
      <c r="Q3125" s="87"/>
      <c r="R3125" s="87"/>
      <c r="S3125" s="87"/>
      <c r="T3125" s="87"/>
      <c r="U3125" s="88">
        <v>1.5</v>
      </c>
      <c r="V3125" s="89"/>
      <c r="W3125" s="96">
        <v>0</v>
      </c>
      <c r="X3125" s="71">
        <f>CU3125</f>
        <v>0</v>
      </c>
      <c r="Y3125" s="71">
        <f>CY3125</f>
        <v>0</v>
      </c>
      <c r="Z3125" s="71">
        <f>DA3125+DC3125+DE3125</f>
        <v>0</v>
      </c>
      <c r="AA3125" s="71">
        <f>CW3125</f>
        <v>0</v>
      </c>
      <c r="AB3125" s="71"/>
      <c r="AC3125" s="71">
        <v>0</v>
      </c>
      <c r="AD3125" s="71">
        <f>W3125+X3125+Y3125+Z3125+AA3125+AB3125+AC3125</f>
        <v>0</v>
      </c>
      <c r="AE3125" s="72">
        <v>0</v>
      </c>
      <c r="AF3125" s="5"/>
      <c r="AG3125" s="6"/>
      <c r="AH3125" s="27"/>
      <c r="AI3125" s="44"/>
      <c r="AJ3125" s="26"/>
      <c r="AK3125" s="5"/>
      <c r="AL3125" s="268" t="s">
        <v>6109</v>
      </c>
      <c r="AM3125" s="76"/>
      <c r="AN3125" s="76"/>
      <c r="AO3125" s="76"/>
      <c r="AP3125" s="76"/>
      <c r="AQ3125" s="76"/>
      <c r="AR3125" s="76"/>
      <c r="AS3125" s="76"/>
      <c r="AT3125" s="76"/>
      <c r="AU3125" s="76"/>
      <c r="AV3125" s="76"/>
      <c r="AW3125" s="76"/>
      <c r="AX3125" s="76">
        <f>+AW3125*600000</f>
        <v>0</v>
      </c>
      <c r="AY3125" s="76"/>
      <c r="AZ3125" s="76">
        <f>+AY3125*70000</f>
        <v>0</v>
      </c>
      <c r="BA3125" s="76"/>
      <c r="BB3125" s="76"/>
      <c r="BC3125" s="76"/>
      <c r="BD3125" s="76">
        <f>+BC3125*30000</f>
        <v>0</v>
      </c>
      <c r="BE3125" s="76"/>
      <c r="BF3125" s="76"/>
      <c r="BG3125" s="76"/>
      <c r="BH3125" s="76"/>
      <c r="BI3125" s="76"/>
      <c r="BJ3125" s="76"/>
      <c r="BK3125" s="76"/>
      <c r="BL3125" s="76">
        <f>+BK3125*31500</f>
        <v>0</v>
      </c>
      <c r="BM3125" s="76"/>
      <c r="BN3125" s="76"/>
      <c r="BO3125" s="76"/>
      <c r="BP3125" s="76"/>
      <c r="BQ3125" s="76"/>
      <c r="BR3125" s="76"/>
      <c r="BS3125" s="76"/>
      <c r="BT3125" s="76"/>
      <c r="BU3125" s="76"/>
      <c r="BV3125" s="76"/>
      <c r="BW3125" s="76"/>
      <c r="BX3125" s="76"/>
      <c r="BY3125" s="76"/>
      <c r="BZ3125" s="76"/>
      <c r="CA3125" s="76"/>
      <c r="CB3125" s="76"/>
      <c r="CC3125" s="76"/>
      <c r="CD3125" s="76"/>
      <c r="CE3125" s="76"/>
      <c r="CF3125" s="76">
        <f>+CE3125*28000</f>
        <v>0</v>
      </c>
      <c r="CG3125" s="76"/>
      <c r="CH3125" s="76">
        <f>+CG3125*22500</f>
        <v>0</v>
      </c>
      <c r="CI3125" s="76"/>
      <c r="CJ3125" s="76">
        <f>+CI3125*26000</f>
        <v>0</v>
      </c>
      <c r="CK3125" s="76"/>
      <c r="CL3125" s="76"/>
      <c r="CM3125" s="76"/>
      <c r="CN3125" s="76">
        <f>+CM3125*22000</f>
        <v>0</v>
      </c>
      <c r="CO3125" s="76"/>
      <c r="CP3125" s="76">
        <f>+CO3125*46000</f>
        <v>0</v>
      </c>
      <c r="CQ3125" s="76"/>
      <c r="CR3125" s="76">
        <f>+CQ3125*49000</f>
        <v>0</v>
      </c>
      <c r="CS3125" s="76"/>
      <c r="CT3125" s="76"/>
      <c r="CU3125" s="56">
        <f>AN3125+AP3125+AR3125+AT3125+AV3125+AX3125+AZ3125+BB3125+BD3125+BF3125+BH3125+BJ3125+BL3125+BN3125+BP3125+BR3125+BT3125+BV3125+BX3125+BZ3125+CB3125+CD3125+CF3125+CH3125+CJ3125+CL3125+CN3125+CP3125+CR3125+CT3125</f>
        <v>0</v>
      </c>
      <c r="CV3125" s="76"/>
      <c r="CW3125" s="76">
        <f>+CV3125*1100</f>
        <v>0</v>
      </c>
      <c r="CX3125" s="76"/>
      <c r="CY3125" s="76">
        <f>+CX3125*106250</f>
        <v>0</v>
      </c>
      <c r="CZ3125" s="76"/>
      <c r="DA3125" s="76">
        <f>+CZ3125*34500</f>
        <v>0</v>
      </c>
      <c r="DB3125" s="76"/>
      <c r="DC3125" s="76">
        <f>+DB3125*25000</f>
        <v>0</v>
      </c>
      <c r="DD3125" s="219"/>
      <c r="DE3125" s="219"/>
      <c r="DF3125" s="166"/>
      <c r="DG3125" s="116"/>
      <c r="DH3125" s="117"/>
      <c r="DI3125" s="24"/>
      <c r="DJ3125" s="24"/>
      <c r="DK3125" s="24"/>
      <c r="DL3125" s="24"/>
      <c r="DM3125" s="24"/>
      <c r="DN3125" s="24"/>
      <c r="DO3125" s="24"/>
      <c r="DP3125" s="24"/>
      <c r="DQ3125" s="24"/>
      <c r="DR3125" s="24"/>
      <c r="DS3125" s="24"/>
      <c r="DT3125" s="24"/>
      <c r="DU3125" s="24"/>
    </row>
    <row r="3126" spans="1:125" s="8" customFormat="1" ht="96" x14ac:dyDescent="0.2">
      <c r="A3126" s="77">
        <v>41540</v>
      </c>
      <c r="B3126" s="352" t="s">
        <v>2772</v>
      </c>
      <c r="C3126" s="354" t="s">
        <v>2831</v>
      </c>
      <c r="D3126" s="354" t="s">
        <v>2846</v>
      </c>
      <c r="E3126" s="296" t="str">
        <f>VLOOKUP(B3126&amp;C3126,Divipola!$C$2:$F$1138,4,FALSE)</f>
        <v>25592</v>
      </c>
      <c r="F3126" s="87"/>
      <c r="G3126" s="87"/>
      <c r="H3126" s="87"/>
      <c r="I3126" s="87"/>
      <c r="J3126" s="87"/>
      <c r="K3126" s="87"/>
      <c r="L3126" s="87"/>
      <c r="M3126" s="87"/>
      <c r="N3126" s="87"/>
      <c r="O3126" s="87"/>
      <c r="P3126" s="87"/>
      <c r="Q3126" s="87"/>
      <c r="R3126" s="87"/>
      <c r="S3126" s="87"/>
      <c r="T3126" s="87"/>
      <c r="U3126" s="88">
        <v>8</v>
      </c>
      <c r="V3126" s="89"/>
      <c r="W3126" s="96">
        <v>0</v>
      </c>
      <c r="X3126" s="71">
        <f>CU3126</f>
        <v>0</v>
      </c>
      <c r="Y3126" s="71">
        <f>CY3126</f>
        <v>0</v>
      </c>
      <c r="Z3126" s="71">
        <f>DA3126+DC3126+DE3126</f>
        <v>0</v>
      </c>
      <c r="AA3126" s="71">
        <f>CW3126</f>
        <v>0</v>
      </c>
      <c r="AB3126" s="71"/>
      <c r="AC3126" s="71">
        <v>0</v>
      </c>
      <c r="AD3126" s="71">
        <f>W3126+X3126+Y3126+Z3126+AA3126+AB3126+AC3126</f>
        <v>0</v>
      </c>
      <c r="AE3126" s="72">
        <v>0</v>
      </c>
      <c r="AF3126" s="5"/>
      <c r="AG3126" s="6"/>
      <c r="AH3126" s="27"/>
      <c r="AI3126" s="44"/>
      <c r="AJ3126" s="26"/>
      <c r="AK3126" s="5"/>
      <c r="AL3126" s="82" t="s">
        <v>6096</v>
      </c>
      <c r="AM3126" s="76"/>
      <c r="AN3126" s="76"/>
      <c r="AO3126" s="76"/>
      <c r="AP3126" s="76"/>
      <c r="AQ3126" s="76"/>
      <c r="AR3126" s="76"/>
      <c r="AS3126" s="76"/>
      <c r="AT3126" s="76"/>
      <c r="AU3126" s="76"/>
      <c r="AV3126" s="76"/>
      <c r="AW3126" s="76"/>
      <c r="AX3126" s="76">
        <f>+AW3126*600000</f>
        <v>0</v>
      </c>
      <c r="AY3126" s="76"/>
      <c r="AZ3126" s="76">
        <f>+AY3126*70000</f>
        <v>0</v>
      </c>
      <c r="BA3126" s="76"/>
      <c r="BB3126" s="76"/>
      <c r="BC3126" s="76"/>
      <c r="BD3126" s="76">
        <f>+BC3126*30000</f>
        <v>0</v>
      </c>
      <c r="BE3126" s="76"/>
      <c r="BF3126" s="76"/>
      <c r="BG3126" s="76"/>
      <c r="BH3126" s="76"/>
      <c r="BI3126" s="76"/>
      <c r="BJ3126" s="76"/>
      <c r="BK3126" s="76"/>
      <c r="BL3126" s="76">
        <f>+BK3126*31500</f>
        <v>0</v>
      </c>
      <c r="BM3126" s="76"/>
      <c r="BN3126" s="76"/>
      <c r="BO3126" s="76"/>
      <c r="BP3126" s="76"/>
      <c r="BQ3126" s="76"/>
      <c r="BR3126" s="76"/>
      <c r="BS3126" s="76"/>
      <c r="BT3126" s="76"/>
      <c r="BU3126" s="76"/>
      <c r="BV3126" s="76"/>
      <c r="BW3126" s="76"/>
      <c r="BX3126" s="76"/>
      <c r="BY3126" s="76"/>
      <c r="BZ3126" s="76"/>
      <c r="CA3126" s="76"/>
      <c r="CB3126" s="76"/>
      <c r="CC3126" s="76"/>
      <c r="CD3126" s="76"/>
      <c r="CE3126" s="76"/>
      <c r="CF3126" s="76">
        <f>+CE3126*28000</f>
        <v>0</v>
      </c>
      <c r="CG3126" s="76"/>
      <c r="CH3126" s="76">
        <f>+CG3126*22500</f>
        <v>0</v>
      </c>
      <c r="CI3126" s="76"/>
      <c r="CJ3126" s="76">
        <f>+CI3126*26000</f>
        <v>0</v>
      </c>
      <c r="CK3126" s="76"/>
      <c r="CL3126" s="76"/>
      <c r="CM3126" s="76"/>
      <c r="CN3126" s="76">
        <f>+CM3126*22000</f>
        <v>0</v>
      </c>
      <c r="CO3126" s="76"/>
      <c r="CP3126" s="76">
        <f>+CO3126*46000</f>
        <v>0</v>
      </c>
      <c r="CQ3126" s="76"/>
      <c r="CR3126" s="76">
        <f>+CQ3126*49000</f>
        <v>0</v>
      </c>
      <c r="CS3126" s="76"/>
      <c r="CT3126" s="76"/>
      <c r="CU3126" s="56">
        <f>AN3126+AP3126+AR3126+AT3126+AV3126+AX3126+AZ3126+BB3126+BD3126+BF3126+BH3126+BJ3126+BL3126+BN3126+BP3126+BR3126+BT3126+BV3126+BX3126+BZ3126+CB3126+CD3126+CF3126+CH3126+CJ3126+CL3126+CN3126+CP3126+CR3126+CT3126</f>
        <v>0</v>
      </c>
      <c r="CV3126" s="76"/>
      <c r="CW3126" s="76">
        <f>+CV3126*1100</f>
        <v>0</v>
      </c>
      <c r="CX3126" s="76"/>
      <c r="CY3126" s="76">
        <f>+CX3126*106250</f>
        <v>0</v>
      </c>
      <c r="CZ3126" s="76"/>
      <c r="DA3126" s="76">
        <f>+CZ3126*34500</f>
        <v>0</v>
      </c>
      <c r="DB3126" s="76"/>
      <c r="DC3126" s="76">
        <f>+DB3126*25000</f>
        <v>0</v>
      </c>
      <c r="DD3126" s="219"/>
      <c r="DE3126" s="219"/>
      <c r="DF3126" s="166"/>
      <c r="DG3126" s="116"/>
      <c r="DH3126" s="117"/>
      <c r="DI3126" s="24"/>
      <c r="DJ3126" s="24"/>
      <c r="DK3126" s="24"/>
      <c r="DL3126" s="24"/>
      <c r="DM3126" s="24"/>
      <c r="DN3126" s="24"/>
      <c r="DO3126" s="24"/>
      <c r="DP3126" s="24"/>
      <c r="DQ3126" s="24"/>
      <c r="DR3126" s="24"/>
      <c r="DS3126" s="24"/>
      <c r="DT3126" s="24"/>
      <c r="DU3126" s="24"/>
    </row>
    <row r="3127" spans="1:125" s="8" customFormat="1" ht="120" x14ac:dyDescent="0.2">
      <c r="A3127" s="77">
        <v>41540</v>
      </c>
      <c r="B3127" s="208" t="s">
        <v>2772</v>
      </c>
      <c r="C3127" s="354" t="s">
        <v>487</v>
      </c>
      <c r="D3127" s="354" t="s">
        <v>2882</v>
      </c>
      <c r="E3127" s="75" t="str">
        <f>VLOOKUP(B3127&amp;C3127,Divipola!$C$2:$F$1138,4,FALSE)</f>
        <v>25777</v>
      </c>
      <c r="F3127" s="87"/>
      <c r="G3127" s="87"/>
      <c r="H3127" s="87"/>
      <c r="I3127" s="87">
        <v>70</v>
      </c>
      <c r="J3127" s="87">
        <v>14</v>
      </c>
      <c r="K3127" s="87"/>
      <c r="L3127" s="87">
        <v>14</v>
      </c>
      <c r="M3127" s="87"/>
      <c r="N3127" s="87"/>
      <c r="O3127" s="87"/>
      <c r="P3127" s="87"/>
      <c r="Q3127" s="87"/>
      <c r="R3127" s="87"/>
      <c r="S3127" s="87">
        <v>6</v>
      </c>
      <c r="T3127" s="87">
        <v>1</v>
      </c>
      <c r="U3127" s="88"/>
      <c r="V3127" s="89"/>
      <c r="W3127" s="96">
        <v>0</v>
      </c>
      <c r="X3127" s="71">
        <f>CU3127</f>
        <v>0</v>
      </c>
      <c r="Y3127" s="71">
        <f>CY3127</f>
        <v>0</v>
      </c>
      <c r="Z3127" s="71">
        <f>DA3127+DC3127+DE3127</f>
        <v>0</v>
      </c>
      <c r="AA3127" s="71">
        <f>CW3127</f>
        <v>0</v>
      </c>
      <c r="AB3127" s="71"/>
      <c r="AC3127" s="71">
        <v>0</v>
      </c>
      <c r="AD3127" s="71">
        <f>W3127+X3127+Y3127+Z3127+AA3127+AB3127+AC3127</f>
        <v>0</v>
      </c>
      <c r="AE3127" s="72">
        <v>0</v>
      </c>
      <c r="AF3127" s="5"/>
      <c r="AG3127" s="6"/>
      <c r="AH3127" s="27"/>
      <c r="AI3127" s="44"/>
      <c r="AJ3127" s="26"/>
      <c r="AK3127" s="5"/>
      <c r="AL3127" s="9" t="s">
        <v>6178</v>
      </c>
      <c r="AM3127" s="76"/>
      <c r="AN3127" s="76"/>
      <c r="AO3127" s="76"/>
      <c r="AP3127" s="76"/>
      <c r="AQ3127" s="76"/>
      <c r="AR3127" s="76"/>
      <c r="AS3127" s="76"/>
      <c r="AT3127" s="76"/>
      <c r="AU3127" s="76"/>
      <c r="AV3127" s="76"/>
      <c r="AW3127" s="76"/>
      <c r="AX3127" s="76">
        <f>+AW3127*600000</f>
        <v>0</v>
      </c>
      <c r="AY3127" s="76"/>
      <c r="AZ3127" s="76">
        <f>+AY3127*70000</f>
        <v>0</v>
      </c>
      <c r="BA3127" s="76"/>
      <c r="BB3127" s="76"/>
      <c r="BC3127" s="76"/>
      <c r="BD3127" s="76">
        <f>+BC3127*30000</f>
        <v>0</v>
      </c>
      <c r="BE3127" s="76"/>
      <c r="BF3127" s="76"/>
      <c r="BG3127" s="76"/>
      <c r="BH3127" s="76"/>
      <c r="BI3127" s="76"/>
      <c r="BJ3127" s="76"/>
      <c r="BK3127" s="76"/>
      <c r="BL3127" s="76">
        <f>+BK3127*31500</f>
        <v>0</v>
      </c>
      <c r="BM3127" s="76"/>
      <c r="BN3127" s="76"/>
      <c r="BO3127" s="76"/>
      <c r="BP3127" s="76"/>
      <c r="BQ3127" s="76"/>
      <c r="BR3127" s="76"/>
      <c r="BS3127" s="76"/>
      <c r="BT3127" s="76"/>
      <c r="BU3127" s="76"/>
      <c r="BV3127" s="76"/>
      <c r="BW3127" s="76"/>
      <c r="BX3127" s="76"/>
      <c r="BY3127" s="76"/>
      <c r="BZ3127" s="76"/>
      <c r="CA3127" s="76"/>
      <c r="CB3127" s="76"/>
      <c r="CC3127" s="76"/>
      <c r="CD3127" s="76"/>
      <c r="CE3127" s="76"/>
      <c r="CF3127" s="76">
        <f>+CE3127*28000</f>
        <v>0</v>
      </c>
      <c r="CG3127" s="76"/>
      <c r="CH3127" s="76">
        <f>+CG3127*22500</f>
        <v>0</v>
      </c>
      <c r="CI3127" s="76"/>
      <c r="CJ3127" s="76">
        <f>+CI3127*26000</f>
        <v>0</v>
      </c>
      <c r="CK3127" s="76"/>
      <c r="CL3127" s="76"/>
      <c r="CM3127" s="76"/>
      <c r="CN3127" s="76">
        <f>+CM3127*22000</f>
        <v>0</v>
      </c>
      <c r="CO3127" s="76"/>
      <c r="CP3127" s="76">
        <f>+CO3127*46000</f>
        <v>0</v>
      </c>
      <c r="CQ3127" s="76"/>
      <c r="CR3127" s="76">
        <f>+CQ3127*49000</f>
        <v>0</v>
      </c>
      <c r="CS3127" s="76"/>
      <c r="CT3127" s="76"/>
      <c r="CU3127" s="56">
        <f>AN3127+AP3127+AR3127+AT3127+AV3127+AX3127+AZ3127+BB3127+BD3127+BF3127+BH3127+BJ3127+BL3127+BN3127+BP3127+BR3127+BT3127+BV3127+BX3127+BZ3127+CB3127+CD3127+CF3127+CH3127+CJ3127+CL3127+CN3127+CP3127+CR3127+CT3127</f>
        <v>0</v>
      </c>
      <c r="CV3127" s="76"/>
      <c r="CW3127" s="76">
        <f>+CV3127*1100</f>
        <v>0</v>
      </c>
      <c r="CX3127" s="76"/>
      <c r="CY3127" s="76">
        <f>+CX3127*106250</f>
        <v>0</v>
      </c>
      <c r="CZ3127" s="76"/>
      <c r="DA3127" s="76">
        <f>+CZ3127*34500</f>
        <v>0</v>
      </c>
      <c r="DB3127" s="76"/>
      <c r="DC3127" s="76">
        <f>+DB3127*25000</f>
        <v>0</v>
      </c>
      <c r="DD3127" s="219"/>
      <c r="DE3127" s="219"/>
      <c r="DF3127" s="166"/>
      <c r="DG3127" s="116"/>
      <c r="DH3127" s="117"/>
      <c r="DI3127" s="24"/>
      <c r="DJ3127" s="24"/>
      <c r="DK3127" s="24"/>
      <c r="DL3127" s="24"/>
      <c r="DM3127" s="24"/>
      <c r="DN3127" s="24"/>
      <c r="DO3127" s="24"/>
      <c r="DP3127" s="24"/>
      <c r="DQ3127" s="24"/>
      <c r="DR3127" s="24"/>
      <c r="DS3127" s="24"/>
      <c r="DT3127" s="24"/>
      <c r="DU3127" s="24"/>
    </row>
    <row r="3128" spans="1:125" s="8" customFormat="1" ht="72" x14ac:dyDescent="0.2">
      <c r="A3128" s="77">
        <v>41540</v>
      </c>
      <c r="B3128" s="60" t="s">
        <v>2811</v>
      </c>
      <c r="C3128" s="55" t="s">
        <v>2065</v>
      </c>
      <c r="D3128" s="55" t="s">
        <v>2846</v>
      </c>
      <c r="E3128" s="296" t="str">
        <f>VLOOKUP(B3128&amp;C3128,Divipola!$C$2:$F$1138,4,FALSE)</f>
        <v>52683</v>
      </c>
      <c r="F3128" s="87"/>
      <c r="G3128" s="87"/>
      <c r="H3128" s="87"/>
      <c r="I3128" s="87"/>
      <c r="J3128" s="87"/>
      <c r="K3128" s="87"/>
      <c r="L3128" s="87"/>
      <c r="M3128" s="87"/>
      <c r="N3128" s="87"/>
      <c r="O3128" s="87"/>
      <c r="P3128" s="87"/>
      <c r="Q3128" s="87"/>
      <c r="R3128" s="87"/>
      <c r="S3128" s="87"/>
      <c r="T3128" s="87"/>
      <c r="U3128" s="88">
        <v>50</v>
      </c>
      <c r="V3128" s="89"/>
      <c r="W3128" s="96">
        <v>0</v>
      </c>
      <c r="X3128" s="71">
        <f>CU3128</f>
        <v>0</v>
      </c>
      <c r="Y3128" s="71">
        <f>CY3128</f>
        <v>0</v>
      </c>
      <c r="Z3128" s="71">
        <f>DA3128+DC3128+DE3128</f>
        <v>0</v>
      </c>
      <c r="AA3128" s="71">
        <f>CW3128</f>
        <v>0</v>
      </c>
      <c r="AB3128" s="71"/>
      <c r="AC3128" s="71">
        <v>0</v>
      </c>
      <c r="AD3128" s="71">
        <f>W3128+X3128+Y3128+Z3128+AA3128+AB3128+AC3128</f>
        <v>0</v>
      </c>
      <c r="AE3128" s="72">
        <v>0</v>
      </c>
      <c r="AF3128" s="5"/>
      <c r="AG3128" s="6"/>
      <c r="AH3128" s="27"/>
      <c r="AI3128" s="44"/>
      <c r="AJ3128" s="26"/>
      <c r="AK3128" s="5"/>
      <c r="AL3128" s="268" t="s">
        <v>6079</v>
      </c>
      <c r="AM3128" s="76"/>
      <c r="AN3128" s="76"/>
      <c r="AO3128" s="76"/>
      <c r="AP3128" s="76"/>
      <c r="AQ3128" s="76"/>
      <c r="AR3128" s="76"/>
      <c r="AS3128" s="76"/>
      <c r="AT3128" s="76"/>
      <c r="AU3128" s="76"/>
      <c r="AV3128" s="76"/>
      <c r="AW3128" s="76"/>
      <c r="AX3128" s="76">
        <f>+AW3128*600000</f>
        <v>0</v>
      </c>
      <c r="AY3128" s="76"/>
      <c r="AZ3128" s="76">
        <f>+AY3128*70000</f>
        <v>0</v>
      </c>
      <c r="BA3128" s="76"/>
      <c r="BB3128" s="76"/>
      <c r="BC3128" s="76"/>
      <c r="BD3128" s="76">
        <f>+BC3128*30000</f>
        <v>0</v>
      </c>
      <c r="BE3128" s="76"/>
      <c r="BF3128" s="76"/>
      <c r="BG3128" s="76"/>
      <c r="BH3128" s="76"/>
      <c r="BI3128" s="76"/>
      <c r="BJ3128" s="76"/>
      <c r="BK3128" s="76"/>
      <c r="BL3128" s="76">
        <f>+BK3128*31500</f>
        <v>0</v>
      </c>
      <c r="BM3128" s="76"/>
      <c r="BN3128" s="76"/>
      <c r="BO3128" s="76"/>
      <c r="BP3128" s="76"/>
      <c r="BQ3128" s="76"/>
      <c r="BR3128" s="76"/>
      <c r="BS3128" s="76"/>
      <c r="BT3128" s="76"/>
      <c r="BU3128" s="76"/>
      <c r="BV3128" s="76"/>
      <c r="BW3128" s="76"/>
      <c r="BX3128" s="76"/>
      <c r="BY3128" s="76"/>
      <c r="BZ3128" s="76"/>
      <c r="CA3128" s="76"/>
      <c r="CB3128" s="76"/>
      <c r="CC3128" s="76"/>
      <c r="CD3128" s="76"/>
      <c r="CE3128" s="76"/>
      <c r="CF3128" s="76">
        <f>+CE3128*28000</f>
        <v>0</v>
      </c>
      <c r="CG3128" s="76"/>
      <c r="CH3128" s="76">
        <f>+CG3128*22500</f>
        <v>0</v>
      </c>
      <c r="CI3128" s="76"/>
      <c r="CJ3128" s="76">
        <f>+CI3128*26000</f>
        <v>0</v>
      </c>
      <c r="CK3128" s="76"/>
      <c r="CL3128" s="76"/>
      <c r="CM3128" s="76"/>
      <c r="CN3128" s="76">
        <f>+CM3128*22000</f>
        <v>0</v>
      </c>
      <c r="CO3128" s="76"/>
      <c r="CP3128" s="76">
        <f>+CO3128*46000</f>
        <v>0</v>
      </c>
      <c r="CQ3128" s="76"/>
      <c r="CR3128" s="76">
        <f>+CQ3128*49000</f>
        <v>0</v>
      </c>
      <c r="CS3128" s="76"/>
      <c r="CT3128" s="76"/>
      <c r="CU3128" s="56">
        <f>AN3128+AP3128+AR3128+AT3128+AV3128+AX3128+AZ3128+BB3128+BD3128+BF3128+BH3128+BJ3128+BL3128+BN3128+BP3128+BR3128+BT3128+BV3128+BX3128+BZ3128+CB3128+CD3128+CF3128+CH3128+CJ3128+CL3128+CN3128+CP3128+CR3128+CT3128</f>
        <v>0</v>
      </c>
      <c r="CV3128" s="76"/>
      <c r="CW3128" s="76">
        <f>+CV3128*1100</f>
        <v>0</v>
      </c>
      <c r="CX3128" s="76"/>
      <c r="CY3128" s="76">
        <f>+CX3128*106250</f>
        <v>0</v>
      </c>
      <c r="CZ3128" s="76"/>
      <c r="DA3128" s="76">
        <f>+CZ3128*34500</f>
        <v>0</v>
      </c>
      <c r="DB3128" s="76"/>
      <c r="DC3128" s="76">
        <f>+DB3128*25000</f>
        <v>0</v>
      </c>
      <c r="DD3128" s="219"/>
      <c r="DE3128" s="219"/>
      <c r="DF3128" s="166"/>
      <c r="DG3128" s="116"/>
      <c r="DH3128" s="117"/>
      <c r="DI3128" s="24"/>
      <c r="DJ3128" s="24"/>
      <c r="DK3128" s="24"/>
      <c r="DL3128" s="24"/>
      <c r="DM3128" s="24"/>
      <c r="DN3128" s="24"/>
      <c r="DO3128" s="24"/>
      <c r="DP3128" s="24"/>
      <c r="DQ3128" s="24"/>
      <c r="DR3128" s="24"/>
      <c r="DS3128" s="24"/>
      <c r="DT3128" s="24"/>
      <c r="DU3128" s="24"/>
    </row>
    <row r="3129" spans="1:125" s="8" customFormat="1" ht="84" x14ac:dyDescent="0.2">
      <c r="A3129" s="77">
        <v>41540</v>
      </c>
      <c r="B3129" s="78" t="s">
        <v>2847</v>
      </c>
      <c r="C3129" s="75" t="s">
        <v>2673</v>
      </c>
      <c r="D3129" s="75" t="s">
        <v>2846</v>
      </c>
      <c r="E3129" s="296" t="str">
        <f>VLOOKUP(B3129&amp;C3129,Divipola!$C$2:$F$1138,4,FALSE)</f>
        <v>68001</v>
      </c>
      <c r="F3129" s="87"/>
      <c r="G3129" s="87"/>
      <c r="H3129" s="87"/>
      <c r="I3129" s="87"/>
      <c r="J3129" s="87"/>
      <c r="K3129" s="87"/>
      <c r="L3129" s="87"/>
      <c r="M3129" s="87"/>
      <c r="N3129" s="87"/>
      <c r="O3129" s="87"/>
      <c r="P3129" s="87"/>
      <c r="Q3129" s="87"/>
      <c r="R3129" s="87"/>
      <c r="S3129" s="87"/>
      <c r="T3129" s="87"/>
      <c r="U3129" s="88">
        <v>1.5</v>
      </c>
      <c r="V3129" s="89"/>
      <c r="W3129" s="96">
        <v>0</v>
      </c>
      <c r="X3129" s="71">
        <f>CU3129</f>
        <v>0</v>
      </c>
      <c r="Y3129" s="71">
        <f>CY3129</f>
        <v>0</v>
      </c>
      <c r="Z3129" s="71">
        <f>DA3129+DC3129+DE3129</f>
        <v>0</v>
      </c>
      <c r="AA3129" s="71">
        <f>CW3129</f>
        <v>0</v>
      </c>
      <c r="AB3129" s="71"/>
      <c r="AC3129" s="71">
        <v>0</v>
      </c>
      <c r="AD3129" s="71">
        <f>W3129+X3129+Y3129+Z3129+AA3129+AB3129+AC3129</f>
        <v>0</v>
      </c>
      <c r="AE3129" s="72">
        <v>0</v>
      </c>
      <c r="AF3129" s="5"/>
      <c r="AG3129" s="6"/>
      <c r="AH3129" s="27"/>
      <c r="AI3129" s="44"/>
      <c r="AJ3129" s="26"/>
      <c r="AK3129" s="5"/>
      <c r="AL3129" s="82" t="s">
        <v>6030</v>
      </c>
      <c r="AM3129" s="76"/>
      <c r="AN3129" s="76"/>
      <c r="AO3129" s="76"/>
      <c r="AP3129" s="76"/>
      <c r="AQ3129" s="76"/>
      <c r="AR3129" s="76"/>
      <c r="AS3129" s="76"/>
      <c r="AT3129" s="76"/>
      <c r="AU3129" s="76"/>
      <c r="AV3129" s="76"/>
      <c r="AW3129" s="76"/>
      <c r="AX3129" s="76">
        <f>+AW3129*600000</f>
        <v>0</v>
      </c>
      <c r="AY3129" s="76"/>
      <c r="AZ3129" s="76">
        <f>+AY3129*70000</f>
        <v>0</v>
      </c>
      <c r="BA3129" s="76"/>
      <c r="BB3129" s="76"/>
      <c r="BC3129" s="76"/>
      <c r="BD3129" s="76">
        <f>+BC3129*30000</f>
        <v>0</v>
      </c>
      <c r="BE3129" s="76"/>
      <c r="BF3129" s="76"/>
      <c r="BG3129" s="76"/>
      <c r="BH3129" s="76"/>
      <c r="BI3129" s="76"/>
      <c r="BJ3129" s="76"/>
      <c r="BK3129" s="76"/>
      <c r="BL3129" s="76">
        <f>+BK3129*31500</f>
        <v>0</v>
      </c>
      <c r="BM3129" s="76"/>
      <c r="BN3129" s="76"/>
      <c r="BO3129" s="76"/>
      <c r="BP3129" s="76"/>
      <c r="BQ3129" s="76"/>
      <c r="BR3129" s="76"/>
      <c r="BS3129" s="76"/>
      <c r="BT3129" s="76"/>
      <c r="BU3129" s="76"/>
      <c r="BV3129" s="76"/>
      <c r="BW3129" s="76"/>
      <c r="BX3129" s="76"/>
      <c r="BY3129" s="76"/>
      <c r="BZ3129" s="76"/>
      <c r="CA3129" s="76"/>
      <c r="CB3129" s="76"/>
      <c r="CC3129" s="76"/>
      <c r="CD3129" s="76"/>
      <c r="CE3129" s="76"/>
      <c r="CF3129" s="76">
        <f>+CE3129*28000</f>
        <v>0</v>
      </c>
      <c r="CG3129" s="76"/>
      <c r="CH3129" s="76">
        <f>+CG3129*22500</f>
        <v>0</v>
      </c>
      <c r="CI3129" s="76"/>
      <c r="CJ3129" s="76">
        <f>+CI3129*26000</f>
        <v>0</v>
      </c>
      <c r="CK3129" s="76"/>
      <c r="CL3129" s="76"/>
      <c r="CM3129" s="76"/>
      <c r="CN3129" s="76">
        <f>+CM3129*22000</f>
        <v>0</v>
      </c>
      <c r="CO3129" s="76"/>
      <c r="CP3129" s="76">
        <f>+CO3129*46000</f>
        <v>0</v>
      </c>
      <c r="CQ3129" s="76"/>
      <c r="CR3129" s="76">
        <f>+CQ3129*49000</f>
        <v>0</v>
      </c>
      <c r="CS3129" s="76"/>
      <c r="CT3129" s="76"/>
      <c r="CU3129" s="56">
        <f>AN3129+AP3129+AR3129+AT3129+AV3129+AX3129+AZ3129+BB3129+BD3129+BF3129+BH3129+BJ3129+BL3129+BN3129+BP3129+BR3129+BT3129+BV3129+BX3129+BZ3129+CB3129+CD3129+CF3129+CH3129+CJ3129+CL3129+CN3129+CP3129+CR3129+CT3129</f>
        <v>0</v>
      </c>
      <c r="CV3129" s="76"/>
      <c r="CW3129" s="76">
        <f>+CV3129*1100</f>
        <v>0</v>
      </c>
      <c r="CX3129" s="76"/>
      <c r="CY3129" s="76">
        <f>+CX3129*106250</f>
        <v>0</v>
      </c>
      <c r="CZ3129" s="76"/>
      <c r="DA3129" s="76">
        <f>+CZ3129*34500</f>
        <v>0</v>
      </c>
      <c r="DB3129" s="76"/>
      <c r="DC3129" s="76">
        <f>+DB3129*25000</f>
        <v>0</v>
      </c>
      <c r="DD3129" s="219"/>
      <c r="DE3129" s="219"/>
      <c r="DF3129" s="166"/>
      <c r="DG3129" s="116"/>
      <c r="DH3129" s="117"/>
      <c r="DI3129" s="24"/>
      <c r="DJ3129" s="24"/>
      <c r="DK3129" s="24"/>
      <c r="DL3129" s="24"/>
      <c r="DM3129" s="24"/>
      <c r="DN3129" s="24"/>
      <c r="DO3129" s="24"/>
      <c r="DP3129" s="24"/>
      <c r="DQ3129" s="24"/>
      <c r="DR3129" s="24"/>
      <c r="DS3129" s="24"/>
      <c r="DT3129" s="24"/>
      <c r="DU3129" s="24"/>
    </row>
    <row r="3130" spans="1:125" s="8" customFormat="1" ht="36" x14ac:dyDescent="0.2">
      <c r="A3130" s="77">
        <v>41540</v>
      </c>
      <c r="B3130" s="352" t="s">
        <v>2847</v>
      </c>
      <c r="C3130" s="354" t="s">
        <v>2673</v>
      </c>
      <c r="D3130" s="354" t="s">
        <v>2846</v>
      </c>
      <c r="E3130" s="296" t="str">
        <f>VLOOKUP(B3130&amp;C3130,Divipola!$C$2:$F$1138,4,FALSE)</f>
        <v>68001</v>
      </c>
      <c r="F3130" s="87"/>
      <c r="G3130" s="87"/>
      <c r="H3130" s="87"/>
      <c r="I3130" s="87"/>
      <c r="J3130" s="87"/>
      <c r="K3130" s="87"/>
      <c r="L3130" s="87"/>
      <c r="M3130" s="87"/>
      <c r="N3130" s="87"/>
      <c r="O3130" s="87"/>
      <c r="P3130" s="87"/>
      <c r="Q3130" s="87"/>
      <c r="R3130" s="87"/>
      <c r="S3130" s="87"/>
      <c r="T3130" s="87"/>
      <c r="U3130" s="88">
        <v>1</v>
      </c>
      <c r="V3130" s="89"/>
      <c r="W3130" s="96">
        <v>0</v>
      </c>
      <c r="X3130" s="71">
        <f>CU3130</f>
        <v>0</v>
      </c>
      <c r="Y3130" s="71">
        <f>CY3130</f>
        <v>0</v>
      </c>
      <c r="Z3130" s="71">
        <f>DA3130+DC3130+DE3130</f>
        <v>0</v>
      </c>
      <c r="AA3130" s="71">
        <f>CW3130</f>
        <v>0</v>
      </c>
      <c r="AB3130" s="71"/>
      <c r="AC3130" s="71">
        <v>0</v>
      </c>
      <c r="AD3130" s="71">
        <f>W3130+X3130+Y3130+Z3130+AA3130+AB3130+AC3130</f>
        <v>0</v>
      </c>
      <c r="AE3130" s="72">
        <v>0</v>
      </c>
      <c r="AF3130" s="5"/>
      <c r="AG3130" s="6"/>
      <c r="AH3130" s="27"/>
      <c r="AI3130" s="44"/>
      <c r="AJ3130" s="26"/>
      <c r="AK3130" s="5"/>
      <c r="AL3130" s="82" t="s">
        <v>6044</v>
      </c>
      <c r="AM3130" s="76"/>
      <c r="AN3130" s="76"/>
      <c r="AO3130" s="76"/>
      <c r="AP3130" s="76"/>
      <c r="AQ3130" s="76"/>
      <c r="AR3130" s="76"/>
      <c r="AS3130" s="76"/>
      <c r="AT3130" s="76"/>
      <c r="AU3130" s="76"/>
      <c r="AV3130" s="76"/>
      <c r="AW3130" s="76"/>
      <c r="AX3130" s="76">
        <f>+AW3130*600000</f>
        <v>0</v>
      </c>
      <c r="AY3130" s="76"/>
      <c r="AZ3130" s="76">
        <f>+AY3130*70000</f>
        <v>0</v>
      </c>
      <c r="BA3130" s="76"/>
      <c r="BB3130" s="76"/>
      <c r="BC3130" s="76"/>
      <c r="BD3130" s="76">
        <f>+BC3130*30000</f>
        <v>0</v>
      </c>
      <c r="BE3130" s="76"/>
      <c r="BF3130" s="76"/>
      <c r="BG3130" s="76"/>
      <c r="BH3130" s="76"/>
      <c r="BI3130" s="76"/>
      <c r="BJ3130" s="76"/>
      <c r="BK3130" s="76"/>
      <c r="BL3130" s="76">
        <f>+BK3130*31500</f>
        <v>0</v>
      </c>
      <c r="BM3130" s="76"/>
      <c r="BN3130" s="76"/>
      <c r="BO3130" s="76"/>
      <c r="BP3130" s="76"/>
      <c r="BQ3130" s="76"/>
      <c r="BR3130" s="76"/>
      <c r="BS3130" s="76"/>
      <c r="BT3130" s="76"/>
      <c r="BU3130" s="76"/>
      <c r="BV3130" s="76"/>
      <c r="BW3130" s="76"/>
      <c r="BX3130" s="76"/>
      <c r="BY3130" s="76"/>
      <c r="BZ3130" s="76"/>
      <c r="CA3130" s="76"/>
      <c r="CB3130" s="76"/>
      <c r="CC3130" s="76"/>
      <c r="CD3130" s="76"/>
      <c r="CE3130" s="76"/>
      <c r="CF3130" s="76">
        <f>+CE3130*28000</f>
        <v>0</v>
      </c>
      <c r="CG3130" s="76"/>
      <c r="CH3130" s="76">
        <f>+CG3130*22500</f>
        <v>0</v>
      </c>
      <c r="CI3130" s="76"/>
      <c r="CJ3130" s="76">
        <f>+CI3130*26000</f>
        <v>0</v>
      </c>
      <c r="CK3130" s="76"/>
      <c r="CL3130" s="76"/>
      <c r="CM3130" s="76"/>
      <c r="CN3130" s="76">
        <f>+CM3130*22000</f>
        <v>0</v>
      </c>
      <c r="CO3130" s="76"/>
      <c r="CP3130" s="76">
        <f>+CO3130*46000</f>
        <v>0</v>
      </c>
      <c r="CQ3130" s="76"/>
      <c r="CR3130" s="76">
        <f>+CQ3130*49000</f>
        <v>0</v>
      </c>
      <c r="CS3130" s="76"/>
      <c r="CT3130" s="76"/>
      <c r="CU3130" s="56">
        <f>AN3130+AP3130+AR3130+AT3130+AV3130+AX3130+AZ3130+BB3130+BD3130+BF3130+BH3130+BJ3130+BL3130+BN3130+BP3130+BR3130+BT3130+BV3130+BX3130+BZ3130+CB3130+CD3130+CF3130+CH3130+CJ3130+CL3130+CN3130+CP3130+CR3130+CT3130</f>
        <v>0</v>
      </c>
      <c r="CV3130" s="76"/>
      <c r="CW3130" s="76">
        <f>+CV3130*1100</f>
        <v>0</v>
      </c>
      <c r="CX3130" s="76"/>
      <c r="CY3130" s="76">
        <f>+CX3130*106250</f>
        <v>0</v>
      </c>
      <c r="CZ3130" s="76"/>
      <c r="DA3130" s="76">
        <f>+CZ3130*34500</f>
        <v>0</v>
      </c>
      <c r="DB3130" s="76"/>
      <c r="DC3130" s="76">
        <f>+DB3130*25000</f>
        <v>0</v>
      </c>
      <c r="DD3130" s="219"/>
      <c r="DE3130" s="219"/>
      <c r="DF3130" s="166"/>
      <c r="DG3130" s="116"/>
      <c r="DH3130" s="117"/>
      <c r="DI3130" s="24"/>
      <c r="DJ3130" s="24"/>
      <c r="DK3130" s="24"/>
      <c r="DL3130" s="24"/>
      <c r="DM3130" s="24"/>
      <c r="DN3130" s="24"/>
      <c r="DO3130" s="24"/>
      <c r="DP3130" s="24"/>
      <c r="DQ3130" s="24"/>
      <c r="DR3130" s="24"/>
      <c r="DS3130" s="24"/>
      <c r="DT3130" s="24"/>
      <c r="DU3130" s="24"/>
    </row>
    <row r="3131" spans="1:125" s="8" customFormat="1" ht="60" x14ac:dyDescent="0.2">
      <c r="A3131" s="77">
        <v>41540</v>
      </c>
      <c r="B3131" s="352" t="s">
        <v>2847</v>
      </c>
      <c r="C3131" s="354" t="s">
        <v>2197</v>
      </c>
      <c r="D3131" s="354" t="s">
        <v>2846</v>
      </c>
      <c r="E3131" s="296" t="str">
        <f>VLOOKUP(B3131&amp;C3131,Divipola!$C$2:$F$1138,4,FALSE)</f>
        <v>68276</v>
      </c>
      <c r="F3131" s="87"/>
      <c r="G3131" s="87"/>
      <c r="H3131" s="87"/>
      <c r="I3131" s="87"/>
      <c r="J3131" s="87"/>
      <c r="K3131" s="87"/>
      <c r="L3131" s="87"/>
      <c r="M3131" s="87"/>
      <c r="N3131" s="87"/>
      <c r="O3131" s="87"/>
      <c r="P3131" s="87"/>
      <c r="Q3131" s="87"/>
      <c r="R3131" s="87"/>
      <c r="S3131" s="87"/>
      <c r="T3131" s="87"/>
      <c r="U3131" s="88">
        <v>1</v>
      </c>
      <c r="V3131" s="89"/>
      <c r="W3131" s="96">
        <v>0</v>
      </c>
      <c r="X3131" s="71">
        <f>CU3131</f>
        <v>0</v>
      </c>
      <c r="Y3131" s="71">
        <f>CY3131</f>
        <v>0</v>
      </c>
      <c r="Z3131" s="71">
        <f>DA3131+DC3131+DE3131</f>
        <v>0</v>
      </c>
      <c r="AA3131" s="71">
        <f>CW3131</f>
        <v>0</v>
      </c>
      <c r="AB3131" s="71"/>
      <c r="AC3131" s="71">
        <v>0</v>
      </c>
      <c r="AD3131" s="71">
        <f>W3131+X3131+Y3131+Z3131+AA3131+AB3131+AC3131</f>
        <v>0</v>
      </c>
      <c r="AE3131" s="72">
        <v>0</v>
      </c>
      <c r="AF3131" s="5"/>
      <c r="AG3131" s="6"/>
      <c r="AH3131" s="27"/>
      <c r="AI3131" s="44"/>
      <c r="AJ3131" s="26"/>
      <c r="AK3131" s="5"/>
      <c r="AL3131" s="82" t="s">
        <v>6058</v>
      </c>
      <c r="AM3131" s="76"/>
      <c r="AN3131" s="76"/>
      <c r="AO3131" s="76"/>
      <c r="AP3131" s="76"/>
      <c r="AQ3131" s="76"/>
      <c r="AR3131" s="76"/>
      <c r="AS3131" s="76"/>
      <c r="AT3131" s="76"/>
      <c r="AU3131" s="76"/>
      <c r="AV3131" s="76"/>
      <c r="AW3131" s="76"/>
      <c r="AX3131" s="76">
        <f>+AW3131*600000</f>
        <v>0</v>
      </c>
      <c r="AY3131" s="76"/>
      <c r="AZ3131" s="76">
        <f>+AY3131*70000</f>
        <v>0</v>
      </c>
      <c r="BA3131" s="76"/>
      <c r="BB3131" s="76"/>
      <c r="BC3131" s="76"/>
      <c r="BD3131" s="76">
        <f>+BC3131*30000</f>
        <v>0</v>
      </c>
      <c r="BE3131" s="76"/>
      <c r="BF3131" s="76"/>
      <c r="BG3131" s="76"/>
      <c r="BH3131" s="76"/>
      <c r="BI3131" s="76"/>
      <c r="BJ3131" s="76"/>
      <c r="BK3131" s="76"/>
      <c r="BL3131" s="76">
        <f>+BK3131*31500</f>
        <v>0</v>
      </c>
      <c r="BM3131" s="76"/>
      <c r="BN3131" s="76"/>
      <c r="BO3131" s="76"/>
      <c r="BP3131" s="76"/>
      <c r="BQ3131" s="76"/>
      <c r="BR3131" s="76"/>
      <c r="BS3131" s="76"/>
      <c r="BT3131" s="76"/>
      <c r="BU3131" s="76"/>
      <c r="BV3131" s="76"/>
      <c r="BW3131" s="76"/>
      <c r="BX3131" s="76"/>
      <c r="BY3131" s="76"/>
      <c r="BZ3131" s="76"/>
      <c r="CA3131" s="76"/>
      <c r="CB3131" s="76"/>
      <c r="CC3131" s="76"/>
      <c r="CD3131" s="76"/>
      <c r="CE3131" s="76"/>
      <c r="CF3131" s="76">
        <f>+CE3131*28000</f>
        <v>0</v>
      </c>
      <c r="CG3131" s="76"/>
      <c r="CH3131" s="76">
        <f>+CG3131*22500</f>
        <v>0</v>
      </c>
      <c r="CI3131" s="76"/>
      <c r="CJ3131" s="76">
        <f>+CI3131*26000</f>
        <v>0</v>
      </c>
      <c r="CK3131" s="76"/>
      <c r="CL3131" s="76"/>
      <c r="CM3131" s="76"/>
      <c r="CN3131" s="76">
        <f>+CM3131*22000</f>
        <v>0</v>
      </c>
      <c r="CO3131" s="76"/>
      <c r="CP3131" s="76">
        <f>+CO3131*46000</f>
        <v>0</v>
      </c>
      <c r="CQ3131" s="76"/>
      <c r="CR3131" s="76">
        <f>+CQ3131*49000</f>
        <v>0</v>
      </c>
      <c r="CS3131" s="76"/>
      <c r="CT3131" s="76"/>
      <c r="CU3131" s="56">
        <f>AN3131+AP3131+AR3131+AT3131+AV3131+AX3131+AZ3131+BB3131+BD3131+BF3131+BH3131+BJ3131+BL3131+BN3131+BP3131+BR3131+BT3131+BV3131+BX3131+BZ3131+CB3131+CD3131+CF3131+CH3131+CJ3131+CL3131+CN3131+CP3131+CR3131+CT3131</f>
        <v>0</v>
      </c>
      <c r="CV3131" s="76"/>
      <c r="CW3131" s="76">
        <f>+CV3131*1100</f>
        <v>0</v>
      </c>
      <c r="CX3131" s="76"/>
      <c r="CY3131" s="76">
        <f>+CX3131*106250</f>
        <v>0</v>
      </c>
      <c r="CZ3131" s="76"/>
      <c r="DA3131" s="76">
        <f>+CZ3131*34500</f>
        <v>0</v>
      </c>
      <c r="DB3131" s="76"/>
      <c r="DC3131" s="76">
        <f>+DB3131*25000</f>
        <v>0</v>
      </c>
      <c r="DD3131" s="219"/>
      <c r="DE3131" s="219"/>
      <c r="DF3131" s="166"/>
      <c r="DG3131" s="116"/>
      <c r="DH3131" s="117"/>
      <c r="DI3131" s="24"/>
      <c r="DJ3131" s="24"/>
      <c r="DK3131" s="24"/>
      <c r="DL3131" s="24"/>
      <c r="DM3131" s="24"/>
      <c r="DN3131" s="24"/>
      <c r="DO3131" s="24"/>
      <c r="DP3131" s="24"/>
      <c r="DQ3131" s="24"/>
      <c r="DR3131" s="24"/>
      <c r="DS3131" s="24"/>
      <c r="DT3131" s="24"/>
      <c r="DU3131" s="24"/>
    </row>
    <row r="3132" spans="1:125" s="8" customFormat="1" ht="60" x14ac:dyDescent="0.2">
      <c r="A3132" s="77">
        <v>41540</v>
      </c>
      <c r="B3132" s="60" t="s">
        <v>2847</v>
      </c>
      <c r="C3132" s="55" t="s">
        <v>2197</v>
      </c>
      <c r="D3132" s="55" t="s">
        <v>2846</v>
      </c>
      <c r="E3132" s="296" t="str">
        <f>VLOOKUP(B3132&amp;C3132,Divipola!$C$2:$F$1138,4,FALSE)</f>
        <v>68276</v>
      </c>
      <c r="F3132" s="87"/>
      <c r="G3132" s="87"/>
      <c r="H3132" s="87"/>
      <c r="I3132" s="87"/>
      <c r="J3132" s="87"/>
      <c r="K3132" s="87"/>
      <c r="L3132" s="87"/>
      <c r="M3132" s="87"/>
      <c r="N3132" s="87"/>
      <c r="O3132" s="87"/>
      <c r="P3132" s="87"/>
      <c r="Q3132" s="87"/>
      <c r="R3132" s="87"/>
      <c r="S3132" s="87"/>
      <c r="T3132" s="87"/>
      <c r="U3132" s="88">
        <v>1</v>
      </c>
      <c r="V3132" s="89"/>
      <c r="W3132" s="96">
        <v>0</v>
      </c>
      <c r="X3132" s="71">
        <f>CU3132</f>
        <v>0</v>
      </c>
      <c r="Y3132" s="71">
        <f>CY3132</f>
        <v>0</v>
      </c>
      <c r="Z3132" s="71">
        <f>DA3132+DC3132+DE3132</f>
        <v>0</v>
      </c>
      <c r="AA3132" s="71">
        <f>CW3132</f>
        <v>0</v>
      </c>
      <c r="AB3132" s="71"/>
      <c r="AC3132" s="71">
        <v>0</v>
      </c>
      <c r="AD3132" s="71">
        <f>W3132+X3132+Y3132+Z3132+AA3132+AB3132+AC3132</f>
        <v>0</v>
      </c>
      <c r="AE3132" s="72">
        <v>0</v>
      </c>
      <c r="AF3132" s="5"/>
      <c r="AG3132" s="6"/>
      <c r="AH3132" s="27"/>
      <c r="AI3132" s="44"/>
      <c r="AJ3132" s="26"/>
      <c r="AK3132" s="5"/>
      <c r="AL3132" s="82" t="s">
        <v>6059</v>
      </c>
      <c r="AM3132" s="76"/>
      <c r="AN3132" s="76"/>
      <c r="AO3132" s="76"/>
      <c r="AP3132" s="76"/>
      <c r="AQ3132" s="76"/>
      <c r="AR3132" s="76"/>
      <c r="AS3132" s="76"/>
      <c r="AT3132" s="76"/>
      <c r="AU3132" s="76"/>
      <c r="AV3132" s="76"/>
      <c r="AW3132" s="76"/>
      <c r="AX3132" s="76">
        <f>+AW3132*600000</f>
        <v>0</v>
      </c>
      <c r="AY3132" s="76"/>
      <c r="AZ3132" s="76">
        <f>+AY3132*70000</f>
        <v>0</v>
      </c>
      <c r="BA3132" s="76"/>
      <c r="BB3132" s="76"/>
      <c r="BC3132" s="76"/>
      <c r="BD3132" s="76">
        <f>+BC3132*30000</f>
        <v>0</v>
      </c>
      <c r="BE3132" s="76"/>
      <c r="BF3132" s="76"/>
      <c r="BG3132" s="76"/>
      <c r="BH3132" s="76"/>
      <c r="BI3132" s="76"/>
      <c r="BJ3132" s="76"/>
      <c r="BK3132" s="76"/>
      <c r="BL3132" s="76">
        <f>+BK3132*31500</f>
        <v>0</v>
      </c>
      <c r="BM3132" s="76"/>
      <c r="BN3132" s="76"/>
      <c r="BO3132" s="76"/>
      <c r="BP3132" s="76"/>
      <c r="BQ3132" s="76"/>
      <c r="BR3132" s="76"/>
      <c r="BS3132" s="76"/>
      <c r="BT3132" s="76"/>
      <c r="BU3132" s="76"/>
      <c r="BV3132" s="76"/>
      <c r="BW3132" s="76"/>
      <c r="BX3132" s="76"/>
      <c r="BY3132" s="76"/>
      <c r="BZ3132" s="76"/>
      <c r="CA3132" s="76"/>
      <c r="CB3132" s="76"/>
      <c r="CC3132" s="76"/>
      <c r="CD3132" s="76"/>
      <c r="CE3132" s="76"/>
      <c r="CF3132" s="76">
        <f>+CE3132*28000</f>
        <v>0</v>
      </c>
      <c r="CG3132" s="76"/>
      <c r="CH3132" s="76">
        <f>+CG3132*22500</f>
        <v>0</v>
      </c>
      <c r="CI3132" s="76"/>
      <c r="CJ3132" s="76">
        <f>+CI3132*26000</f>
        <v>0</v>
      </c>
      <c r="CK3132" s="76"/>
      <c r="CL3132" s="76"/>
      <c r="CM3132" s="76"/>
      <c r="CN3132" s="76">
        <f>+CM3132*22000</f>
        <v>0</v>
      </c>
      <c r="CO3132" s="76"/>
      <c r="CP3132" s="76">
        <f>+CO3132*46000</f>
        <v>0</v>
      </c>
      <c r="CQ3132" s="76"/>
      <c r="CR3132" s="76">
        <f>+CQ3132*49000</f>
        <v>0</v>
      </c>
      <c r="CS3132" s="76"/>
      <c r="CT3132" s="76"/>
      <c r="CU3132" s="56">
        <f>AN3132+AP3132+AR3132+AT3132+AV3132+AX3132+AZ3132+BB3132+BD3132+BF3132+BH3132+BJ3132+BL3132+BN3132+BP3132+BR3132+BT3132+BV3132+BX3132+BZ3132+CB3132+CD3132+CF3132+CH3132+CJ3132+CL3132+CN3132+CP3132+CR3132+CT3132</f>
        <v>0</v>
      </c>
      <c r="CV3132" s="76"/>
      <c r="CW3132" s="76">
        <f>+CV3132*1100</f>
        <v>0</v>
      </c>
      <c r="CX3132" s="76"/>
      <c r="CY3132" s="76">
        <f>+CX3132*106250</f>
        <v>0</v>
      </c>
      <c r="CZ3132" s="76"/>
      <c r="DA3132" s="76">
        <f>+CZ3132*34500</f>
        <v>0</v>
      </c>
      <c r="DB3132" s="76"/>
      <c r="DC3132" s="76">
        <f>+DB3132*25000</f>
        <v>0</v>
      </c>
      <c r="DD3132" s="219"/>
      <c r="DE3132" s="219"/>
      <c r="DF3132" s="166"/>
      <c r="DG3132" s="116"/>
      <c r="DH3132" s="117"/>
      <c r="DI3132" s="24"/>
      <c r="DJ3132" s="24"/>
      <c r="DK3132" s="24"/>
      <c r="DL3132" s="24"/>
      <c r="DM3132" s="24"/>
      <c r="DN3132" s="24"/>
      <c r="DO3132" s="24"/>
      <c r="DP3132" s="24"/>
      <c r="DQ3132" s="24"/>
      <c r="DR3132" s="24"/>
      <c r="DS3132" s="24"/>
      <c r="DT3132" s="24"/>
      <c r="DU3132" s="24"/>
    </row>
    <row r="3133" spans="1:125" s="8" customFormat="1" ht="60" x14ac:dyDescent="0.2">
      <c r="A3133" s="77">
        <v>41540</v>
      </c>
      <c r="B3133" s="78" t="s">
        <v>2847</v>
      </c>
      <c r="C3133" s="75" t="s">
        <v>2814</v>
      </c>
      <c r="D3133" s="75" t="s">
        <v>2846</v>
      </c>
      <c r="E3133" s="296" t="str">
        <f>VLOOKUP(B3133&amp;C3133,Divipola!$C$2:$F$1138,4,FALSE)</f>
        <v>68307</v>
      </c>
      <c r="F3133" s="87"/>
      <c r="G3133" s="87"/>
      <c r="H3133" s="87"/>
      <c r="I3133" s="87"/>
      <c r="J3133" s="87"/>
      <c r="K3133" s="87"/>
      <c r="L3133" s="87"/>
      <c r="M3133" s="87"/>
      <c r="N3133" s="87"/>
      <c r="O3133" s="87"/>
      <c r="P3133" s="87"/>
      <c r="Q3133" s="87"/>
      <c r="R3133" s="87"/>
      <c r="S3133" s="87"/>
      <c r="T3133" s="87"/>
      <c r="U3133" s="88">
        <v>1</v>
      </c>
      <c r="V3133" s="89"/>
      <c r="W3133" s="96">
        <v>0</v>
      </c>
      <c r="X3133" s="71">
        <f>CU3133</f>
        <v>0</v>
      </c>
      <c r="Y3133" s="71">
        <f>CY3133</f>
        <v>0</v>
      </c>
      <c r="Z3133" s="71">
        <f>DA3133+DC3133+DE3133</f>
        <v>0</v>
      </c>
      <c r="AA3133" s="71">
        <f>CW3133</f>
        <v>0</v>
      </c>
      <c r="AB3133" s="71"/>
      <c r="AC3133" s="71">
        <v>0</v>
      </c>
      <c r="AD3133" s="71">
        <f>W3133+X3133+Y3133+Z3133+AA3133+AB3133+AC3133</f>
        <v>0</v>
      </c>
      <c r="AE3133" s="72">
        <v>0</v>
      </c>
      <c r="AF3133" s="5"/>
      <c r="AG3133" s="6"/>
      <c r="AH3133" s="27"/>
      <c r="AI3133" s="44"/>
      <c r="AJ3133" s="26"/>
      <c r="AK3133" s="5"/>
      <c r="AL3133" s="82" t="s">
        <v>6052</v>
      </c>
      <c r="AM3133" s="76"/>
      <c r="AN3133" s="76"/>
      <c r="AO3133" s="76"/>
      <c r="AP3133" s="76"/>
      <c r="AQ3133" s="76"/>
      <c r="AR3133" s="76"/>
      <c r="AS3133" s="76"/>
      <c r="AT3133" s="76"/>
      <c r="AU3133" s="76"/>
      <c r="AV3133" s="76"/>
      <c r="AW3133" s="76"/>
      <c r="AX3133" s="76">
        <f>+AW3133*600000</f>
        <v>0</v>
      </c>
      <c r="AY3133" s="76"/>
      <c r="AZ3133" s="76">
        <f>+AY3133*70000</f>
        <v>0</v>
      </c>
      <c r="BA3133" s="76"/>
      <c r="BB3133" s="76"/>
      <c r="BC3133" s="76"/>
      <c r="BD3133" s="76">
        <f>+BC3133*30000</f>
        <v>0</v>
      </c>
      <c r="BE3133" s="76"/>
      <c r="BF3133" s="76"/>
      <c r="BG3133" s="76"/>
      <c r="BH3133" s="76"/>
      <c r="BI3133" s="76"/>
      <c r="BJ3133" s="76"/>
      <c r="BK3133" s="76"/>
      <c r="BL3133" s="76">
        <f>+BK3133*31500</f>
        <v>0</v>
      </c>
      <c r="BM3133" s="76"/>
      <c r="BN3133" s="76"/>
      <c r="BO3133" s="76"/>
      <c r="BP3133" s="76"/>
      <c r="BQ3133" s="76"/>
      <c r="BR3133" s="76"/>
      <c r="BS3133" s="76"/>
      <c r="BT3133" s="76"/>
      <c r="BU3133" s="76"/>
      <c r="BV3133" s="76"/>
      <c r="BW3133" s="76"/>
      <c r="BX3133" s="76"/>
      <c r="BY3133" s="76"/>
      <c r="BZ3133" s="76"/>
      <c r="CA3133" s="76"/>
      <c r="CB3133" s="76"/>
      <c r="CC3133" s="76"/>
      <c r="CD3133" s="76"/>
      <c r="CE3133" s="76"/>
      <c r="CF3133" s="76">
        <f>+CE3133*28000</f>
        <v>0</v>
      </c>
      <c r="CG3133" s="76"/>
      <c r="CH3133" s="76">
        <f>+CG3133*22500</f>
        <v>0</v>
      </c>
      <c r="CI3133" s="76"/>
      <c r="CJ3133" s="76">
        <f>+CI3133*26000</f>
        <v>0</v>
      </c>
      <c r="CK3133" s="76"/>
      <c r="CL3133" s="76"/>
      <c r="CM3133" s="76"/>
      <c r="CN3133" s="76">
        <f>+CM3133*22000</f>
        <v>0</v>
      </c>
      <c r="CO3133" s="76"/>
      <c r="CP3133" s="76">
        <f>+CO3133*46000</f>
        <v>0</v>
      </c>
      <c r="CQ3133" s="76"/>
      <c r="CR3133" s="76">
        <f>+CQ3133*49000</f>
        <v>0</v>
      </c>
      <c r="CS3133" s="76"/>
      <c r="CT3133" s="76"/>
      <c r="CU3133" s="56">
        <f>AN3133+AP3133+AR3133+AT3133+AV3133+AX3133+AZ3133+BB3133+BD3133+BF3133+BH3133+BJ3133+BL3133+BN3133+BP3133+BR3133+BT3133+BV3133+BX3133+BZ3133+CB3133+CD3133+CF3133+CH3133+CJ3133+CL3133+CN3133+CP3133+CR3133+CT3133</f>
        <v>0</v>
      </c>
      <c r="CV3133" s="76"/>
      <c r="CW3133" s="76">
        <f>+CV3133*1100</f>
        <v>0</v>
      </c>
      <c r="CX3133" s="76"/>
      <c r="CY3133" s="76">
        <f>+CX3133*106250</f>
        <v>0</v>
      </c>
      <c r="CZ3133" s="76"/>
      <c r="DA3133" s="76">
        <f>+CZ3133*34500</f>
        <v>0</v>
      </c>
      <c r="DB3133" s="76"/>
      <c r="DC3133" s="76">
        <f>+DB3133*25000</f>
        <v>0</v>
      </c>
      <c r="DD3133" s="219"/>
      <c r="DE3133" s="219"/>
      <c r="DF3133" s="166"/>
      <c r="DG3133" s="116"/>
      <c r="DH3133" s="117"/>
      <c r="DI3133" s="24"/>
      <c r="DJ3133" s="24"/>
      <c r="DK3133" s="24"/>
      <c r="DL3133" s="24"/>
      <c r="DM3133" s="24"/>
      <c r="DN3133" s="24"/>
      <c r="DO3133" s="24"/>
      <c r="DP3133" s="24"/>
      <c r="DQ3133" s="24"/>
      <c r="DR3133" s="24"/>
      <c r="DS3133" s="24"/>
      <c r="DT3133" s="24"/>
      <c r="DU3133" s="24"/>
    </row>
    <row r="3134" spans="1:125" s="8" customFormat="1" ht="60" x14ac:dyDescent="0.2">
      <c r="A3134" s="77">
        <v>41540</v>
      </c>
      <c r="B3134" s="225" t="s">
        <v>2847</v>
      </c>
      <c r="C3134" s="227" t="s">
        <v>2814</v>
      </c>
      <c r="D3134" s="354" t="s">
        <v>2846</v>
      </c>
      <c r="E3134" s="296" t="str">
        <f>VLOOKUP(B3134&amp;C3134,Divipola!$C$2:$F$1138,4,FALSE)</f>
        <v>68307</v>
      </c>
      <c r="F3134" s="87"/>
      <c r="G3134" s="87"/>
      <c r="H3134" s="87"/>
      <c r="I3134" s="87"/>
      <c r="J3134" s="87"/>
      <c r="K3134" s="87"/>
      <c r="L3134" s="87"/>
      <c r="M3134" s="87"/>
      <c r="N3134" s="87"/>
      <c r="O3134" s="87"/>
      <c r="P3134" s="87"/>
      <c r="Q3134" s="87"/>
      <c r="R3134" s="87"/>
      <c r="S3134" s="87"/>
      <c r="T3134" s="87"/>
      <c r="U3134" s="88">
        <v>1</v>
      </c>
      <c r="V3134" s="89"/>
      <c r="W3134" s="96">
        <v>0</v>
      </c>
      <c r="X3134" s="71">
        <f>CU3134</f>
        <v>0</v>
      </c>
      <c r="Y3134" s="71">
        <f>CY3134</f>
        <v>0</v>
      </c>
      <c r="Z3134" s="71">
        <f>DA3134+DC3134+DE3134</f>
        <v>0</v>
      </c>
      <c r="AA3134" s="71">
        <f>CW3134</f>
        <v>0</v>
      </c>
      <c r="AB3134" s="71"/>
      <c r="AC3134" s="71">
        <v>0</v>
      </c>
      <c r="AD3134" s="71">
        <f>W3134+X3134+Y3134+Z3134+AA3134+AB3134+AC3134</f>
        <v>0</v>
      </c>
      <c r="AE3134" s="72">
        <v>0</v>
      </c>
      <c r="AF3134" s="5"/>
      <c r="AG3134" s="6"/>
      <c r="AH3134" s="27"/>
      <c r="AI3134" s="44"/>
      <c r="AJ3134" s="26"/>
      <c r="AK3134" s="5"/>
      <c r="AL3134" s="82" t="s">
        <v>6054</v>
      </c>
      <c r="AM3134" s="76"/>
      <c r="AN3134" s="76"/>
      <c r="AO3134" s="76"/>
      <c r="AP3134" s="76"/>
      <c r="AQ3134" s="76"/>
      <c r="AR3134" s="76"/>
      <c r="AS3134" s="76"/>
      <c r="AT3134" s="76"/>
      <c r="AU3134" s="76"/>
      <c r="AV3134" s="76"/>
      <c r="AW3134" s="76"/>
      <c r="AX3134" s="76">
        <f>+AW3134*600000</f>
        <v>0</v>
      </c>
      <c r="AY3134" s="76"/>
      <c r="AZ3134" s="76">
        <f>+AY3134*70000</f>
        <v>0</v>
      </c>
      <c r="BA3134" s="76"/>
      <c r="BB3134" s="76"/>
      <c r="BC3134" s="76"/>
      <c r="BD3134" s="76">
        <f>+BC3134*30000</f>
        <v>0</v>
      </c>
      <c r="BE3134" s="76"/>
      <c r="BF3134" s="76"/>
      <c r="BG3134" s="76"/>
      <c r="BH3134" s="76"/>
      <c r="BI3134" s="76"/>
      <c r="BJ3134" s="76"/>
      <c r="BK3134" s="76"/>
      <c r="BL3134" s="76">
        <f>+BK3134*31500</f>
        <v>0</v>
      </c>
      <c r="BM3134" s="76"/>
      <c r="BN3134" s="76"/>
      <c r="BO3134" s="76"/>
      <c r="BP3134" s="76"/>
      <c r="BQ3134" s="76"/>
      <c r="BR3134" s="76"/>
      <c r="BS3134" s="76"/>
      <c r="BT3134" s="76"/>
      <c r="BU3134" s="76"/>
      <c r="BV3134" s="76"/>
      <c r="BW3134" s="76"/>
      <c r="BX3134" s="76"/>
      <c r="BY3134" s="76"/>
      <c r="BZ3134" s="76"/>
      <c r="CA3134" s="76"/>
      <c r="CB3134" s="76"/>
      <c r="CC3134" s="76"/>
      <c r="CD3134" s="76"/>
      <c r="CE3134" s="76"/>
      <c r="CF3134" s="76">
        <f>+CE3134*28000</f>
        <v>0</v>
      </c>
      <c r="CG3134" s="76"/>
      <c r="CH3134" s="76">
        <f>+CG3134*22500</f>
        <v>0</v>
      </c>
      <c r="CI3134" s="76"/>
      <c r="CJ3134" s="76">
        <f>+CI3134*26000</f>
        <v>0</v>
      </c>
      <c r="CK3134" s="76"/>
      <c r="CL3134" s="76"/>
      <c r="CM3134" s="76"/>
      <c r="CN3134" s="76">
        <f>+CM3134*22000</f>
        <v>0</v>
      </c>
      <c r="CO3134" s="76"/>
      <c r="CP3134" s="76">
        <f>+CO3134*46000</f>
        <v>0</v>
      </c>
      <c r="CQ3134" s="76"/>
      <c r="CR3134" s="76">
        <f>+CQ3134*49000</f>
        <v>0</v>
      </c>
      <c r="CS3134" s="76"/>
      <c r="CT3134" s="76"/>
      <c r="CU3134" s="56">
        <f>AN3134+AP3134+AR3134+AT3134+AV3134+AX3134+AZ3134+BB3134+BD3134+BF3134+BH3134+BJ3134+BL3134+BN3134+BP3134+BR3134+BT3134+BV3134+BX3134+BZ3134+CB3134+CD3134+CF3134+CH3134+CJ3134+CL3134+CN3134+CP3134+CR3134+CT3134</f>
        <v>0</v>
      </c>
      <c r="CV3134" s="76"/>
      <c r="CW3134" s="76">
        <f>+CV3134*1100</f>
        <v>0</v>
      </c>
      <c r="CX3134" s="76"/>
      <c r="CY3134" s="76">
        <f>+CX3134*106250</f>
        <v>0</v>
      </c>
      <c r="CZ3134" s="76"/>
      <c r="DA3134" s="76">
        <f>+CZ3134*34500</f>
        <v>0</v>
      </c>
      <c r="DB3134" s="76"/>
      <c r="DC3134" s="76">
        <f>+DB3134*25000</f>
        <v>0</v>
      </c>
      <c r="DD3134" s="219"/>
      <c r="DE3134" s="219"/>
      <c r="DF3134" s="166"/>
      <c r="DG3134" s="116"/>
      <c r="DH3134" s="117"/>
      <c r="DI3134" s="24"/>
      <c r="DJ3134" s="24"/>
      <c r="DK3134" s="24"/>
      <c r="DL3134" s="24"/>
      <c r="DM3134" s="24"/>
      <c r="DN3134" s="24"/>
      <c r="DO3134" s="24"/>
      <c r="DP3134" s="24"/>
      <c r="DQ3134" s="24"/>
      <c r="DR3134" s="24"/>
      <c r="DS3134" s="24"/>
      <c r="DT3134" s="24"/>
      <c r="DU3134" s="24"/>
    </row>
    <row r="3135" spans="1:125" s="8" customFormat="1" ht="60" x14ac:dyDescent="0.2">
      <c r="A3135" s="77">
        <v>41540</v>
      </c>
      <c r="B3135" s="225" t="s">
        <v>2847</v>
      </c>
      <c r="C3135" s="227" t="s">
        <v>2814</v>
      </c>
      <c r="D3135" s="227" t="s">
        <v>2846</v>
      </c>
      <c r="E3135" s="296" t="str">
        <f>VLOOKUP(B3135&amp;C3135,Divipola!$C$2:$F$1138,4,FALSE)</f>
        <v>68307</v>
      </c>
      <c r="F3135" s="87"/>
      <c r="G3135" s="87"/>
      <c r="H3135" s="87"/>
      <c r="I3135" s="87"/>
      <c r="J3135" s="87"/>
      <c r="K3135" s="87"/>
      <c r="L3135" s="87"/>
      <c r="M3135" s="87"/>
      <c r="N3135" s="87"/>
      <c r="O3135" s="87"/>
      <c r="P3135" s="87"/>
      <c r="Q3135" s="87"/>
      <c r="R3135" s="87"/>
      <c r="S3135" s="87"/>
      <c r="T3135" s="87"/>
      <c r="U3135" s="88">
        <v>2</v>
      </c>
      <c r="V3135" s="89"/>
      <c r="W3135" s="96">
        <v>0</v>
      </c>
      <c r="X3135" s="71">
        <f>CU3135</f>
        <v>0</v>
      </c>
      <c r="Y3135" s="71">
        <f>CY3135</f>
        <v>0</v>
      </c>
      <c r="Z3135" s="71">
        <f>DA3135+DC3135+DE3135</f>
        <v>0</v>
      </c>
      <c r="AA3135" s="71">
        <f>CW3135</f>
        <v>0</v>
      </c>
      <c r="AB3135" s="71"/>
      <c r="AC3135" s="71">
        <v>0</v>
      </c>
      <c r="AD3135" s="71">
        <f>W3135+X3135+Y3135+Z3135+AA3135+AB3135+AC3135</f>
        <v>0</v>
      </c>
      <c r="AE3135" s="72">
        <v>0</v>
      </c>
      <c r="AF3135" s="5"/>
      <c r="AG3135" s="6"/>
      <c r="AH3135" s="27"/>
      <c r="AI3135" s="44"/>
      <c r="AJ3135" s="26"/>
      <c r="AK3135" s="5"/>
      <c r="AL3135" s="82" t="s">
        <v>6055</v>
      </c>
      <c r="AM3135" s="76"/>
      <c r="AN3135" s="76"/>
      <c r="AO3135" s="76"/>
      <c r="AP3135" s="76"/>
      <c r="AQ3135" s="76"/>
      <c r="AR3135" s="76"/>
      <c r="AS3135" s="76"/>
      <c r="AT3135" s="76"/>
      <c r="AU3135" s="76"/>
      <c r="AV3135" s="76"/>
      <c r="AW3135" s="76"/>
      <c r="AX3135" s="76">
        <f>+AW3135*600000</f>
        <v>0</v>
      </c>
      <c r="AY3135" s="76"/>
      <c r="AZ3135" s="76">
        <f>+AY3135*70000</f>
        <v>0</v>
      </c>
      <c r="BA3135" s="76"/>
      <c r="BB3135" s="76"/>
      <c r="BC3135" s="76"/>
      <c r="BD3135" s="76">
        <f>+BC3135*30000</f>
        <v>0</v>
      </c>
      <c r="BE3135" s="76"/>
      <c r="BF3135" s="76"/>
      <c r="BG3135" s="76"/>
      <c r="BH3135" s="76"/>
      <c r="BI3135" s="76"/>
      <c r="BJ3135" s="76"/>
      <c r="BK3135" s="76"/>
      <c r="BL3135" s="76">
        <f>+BK3135*31500</f>
        <v>0</v>
      </c>
      <c r="BM3135" s="76"/>
      <c r="BN3135" s="76"/>
      <c r="BO3135" s="76"/>
      <c r="BP3135" s="76"/>
      <c r="BQ3135" s="76"/>
      <c r="BR3135" s="76"/>
      <c r="BS3135" s="76"/>
      <c r="BT3135" s="76"/>
      <c r="BU3135" s="76"/>
      <c r="BV3135" s="76"/>
      <c r="BW3135" s="76"/>
      <c r="BX3135" s="76"/>
      <c r="BY3135" s="76"/>
      <c r="BZ3135" s="76"/>
      <c r="CA3135" s="76"/>
      <c r="CB3135" s="76"/>
      <c r="CC3135" s="76"/>
      <c r="CD3135" s="76"/>
      <c r="CE3135" s="76"/>
      <c r="CF3135" s="76">
        <f>+CE3135*28000</f>
        <v>0</v>
      </c>
      <c r="CG3135" s="76"/>
      <c r="CH3135" s="76">
        <f>+CG3135*22500</f>
        <v>0</v>
      </c>
      <c r="CI3135" s="76"/>
      <c r="CJ3135" s="76">
        <f>+CI3135*26000</f>
        <v>0</v>
      </c>
      <c r="CK3135" s="76"/>
      <c r="CL3135" s="76"/>
      <c r="CM3135" s="76"/>
      <c r="CN3135" s="76">
        <f>+CM3135*22000</f>
        <v>0</v>
      </c>
      <c r="CO3135" s="76"/>
      <c r="CP3135" s="76">
        <f>+CO3135*46000</f>
        <v>0</v>
      </c>
      <c r="CQ3135" s="76"/>
      <c r="CR3135" s="76">
        <f>+CQ3135*49000</f>
        <v>0</v>
      </c>
      <c r="CS3135" s="76"/>
      <c r="CT3135" s="76"/>
      <c r="CU3135" s="56">
        <f>AN3135+AP3135+AR3135+AT3135+AV3135+AX3135+AZ3135+BB3135+BD3135+BF3135+BH3135+BJ3135+BL3135+BN3135+BP3135+BR3135+BT3135+BV3135+BX3135+BZ3135+CB3135+CD3135+CF3135+CH3135+CJ3135+CL3135+CN3135+CP3135+CR3135+CT3135</f>
        <v>0</v>
      </c>
      <c r="CV3135" s="76"/>
      <c r="CW3135" s="76">
        <f>+CV3135*1100</f>
        <v>0</v>
      </c>
      <c r="CX3135" s="76"/>
      <c r="CY3135" s="76">
        <f>+CX3135*106250</f>
        <v>0</v>
      </c>
      <c r="CZ3135" s="76"/>
      <c r="DA3135" s="76">
        <f>+CZ3135*34500</f>
        <v>0</v>
      </c>
      <c r="DB3135" s="76"/>
      <c r="DC3135" s="76">
        <f>+DB3135*25000</f>
        <v>0</v>
      </c>
      <c r="DD3135" s="219"/>
      <c r="DE3135" s="219"/>
      <c r="DF3135" s="166"/>
      <c r="DG3135" s="116"/>
      <c r="DH3135" s="117"/>
      <c r="DI3135" s="24"/>
      <c r="DJ3135" s="24"/>
      <c r="DK3135" s="24"/>
      <c r="DL3135" s="24"/>
      <c r="DM3135" s="24"/>
      <c r="DN3135" s="24"/>
      <c r="DO3135" s="24"/>
      <c r="DP3135" s="24"/>
      <c r="DQ3135" s="24"/>
      <c r="DR3135" s="24"/>
      <c r="DS3135" s="24"/>
      <c r="DT3135" s="24"/>
      <c r="DU3135" s="24"/>
    </row>
    <row r="3136" spans="1:125" s="8" customFormat="1" ht="36" x14ac:dyDescent="0.2">
      <c r="A3136" s="77">
        <v>41540</v>
      </c>
      <c r="B3136" s="352" t="s">
        <v>2847</v>
      </c>
      <c r="C3136" s="354" t="s">
        <v>1727</v>
      </c>
      <c r="D3136" s="354" t="s">
        <v>2846</v>
      </c>
      <c r="E3136" s="296" t="str">
        <f>VLOOKUP(B3136&amp;C3136,Divipola!$C$2:$F$1138,4,FALSE)</f>
        <v>68406</v>
      </c>
      <c r="F3136" s="87"/>
      <c r="G3136" s="87"/>
      <c r="H3136" s="87"/>
      <c r="I3136" s="87"/>
      <c r="J3136" s="87"/>
      <c r="K3136" s="87"/>
      <c r="L3136" s="87"/>
      <c r="M3136" s="87"/>
      <c r="N3136" s="87"/>
      <c r="O3136" s="87"/>
      <c r="P3136" s="87"/>
      <c r="Q3136" s="87"/>
      <c r="R3136" s="87"/>
      <c r="S3136" s="87"/>
      <c r="T3136" s="87"/>
      <c r="U3136" s="88">
        <v>3</v>
      </c>
      <c r="V3136" s="89"/>
      <c r="W3136" s="96">
        <v>0</v>
      </c>
      <c r="X3136" s="71">
        <f>CU3136</f>
        <v>0</v>
      </c>
      <c r="Y3136" s="71">
        <f>CY3136</f>
        <v>0</v>
      </c>
      <c r="Z3136" s="71">
        <f>DA3136+DC3136+DE3136</f>
        <v>0</v>
      </c>
      <c r="AA3136" s="71">
        <f>CW3136</f>
        <v>0</v>
      </c>
      <c r="AB3136" s="71"/>
      <c r="AC3136" s="71">
        <v>0</v>
      </c>
      <c r="AD3136" s="71">
        <f>W3136+X3136+Y3136+Z3136+AA3136+AB3136+AC3136</f>
        <v>0</v>
      </c>
      <c r="AE3136" s="72">
        <v>0</v>
      </c>
      <c r="AF3136" s="5"/>
      <c r="AG3136" s="6"/>
      <c r="AH3136" s="27"/>
      <c r="AI3136" s="44"/>
      <c r="AJ3136" s="26"/>
      <c r="AK3136" s="5"/>
      <c r="AL3136" s="82" t="s">
        <v>6045</v>
      </c>
      <c r="AM3136" s="76"/>
      <c r="AN3136" s="76"/>
      <c r="AO3136" s="76"/>
      <c r="AP3136" s="76"/>
      <c r="AQ3136" s="76"/>
      <c r="AR3136" s="76"/>
      <c r="AS3136" s="76"/>
      <c r="AT3136" s="76"/>
      <c r="AU3136" s="76"/>
      <c r="AV3136" s="76"/>
      <c r="AW3136" s="76"/>
      <c r="AX3136" s="76">
        <f>+AW3136*600000</f>
        <v>0</v>
      </c>
      <c r="AY3136" s="76"/>
      <c r="AZ3136" s="76">
        <f>+AY3136*70000</f>
        <v>0</v>
      </c>
      <c r="BA3136" s="76"/>
      <c r="BB3136" s="76"/>
      <c r="BC3136" s="76"/>
      <c r="BD3136" s="76">
        <f>+BC3136*30000</f>
        <v>0</v>
      </c>
      <c r="BE3136" s="76"/>
      <c r="BF3136" s="76"/>
      <c r="BG3136" s="76"/>
      <c r="BH3136" s="76"/>
      <c r="BI3136" s="76"/>
      <c r="BJ3136" s="76"/>
      <c r="BK3136" s="76"/>
      <c r="BL3136" s="76">
        <f>+BK3136*31500</f>
        <v>0</v>
      </c>
      <c r="BM3136" s="76"/>
      <c r="BN3136" s="76"/>
      <c r="BO3136" s="76"/>
      <c r="BP3136" s="76"/>
      <c r="BQ3136" s="76"/>
      <c r="BR3136" s="76"/>
      <c r="BS3136" s="76"/>
      <c r="BT3136" s="76"/>
      <c r="BU3136" s="76"/>
      <c r="BV3136" s="76"/>
      <c r="BW3136" s="76"/>
      <c r="BX3136" s="76"/>
      <c r="BY3136" s="76"/>
      <c r="BZ3136" s="76"/>
      <c r="CA3136" s="76"/>
      <c r="CB3136" s="76"/>
      <c r="CC3136" s="76"/>
      <c r="CD3136" s="76"/>
      <c r="CE3136" s="76"/>
      <c r="CF3136" s="76">
        <f>+CE3136*28000</f>
        <v>0</v>
      </c>
      <c r="CG3136" s="76"/>
      <c r="CH3136" s="76">
        <f>+CG3136*22500</f>
        <v>0</v>
      </c>
      <c r="CI3136" s="76"/>
      <c r="CJ3136" s="76">
        <f>+CI3136*26000</f>
        <v>0</v>
      </c>
      <c r="CK3136" s="76"/>
      <c r="CL3136" s="76"/>
      <c r="CM3136" s="76"/>
      <c r="CN3136" s="76">
        <f>+CM3136*22000</f>
        <v>0</v>
      </c>
      <c r="CO3136" s="76"/>
      <c r="CP3136" s="76">
        <f>+CO3136*46000</f>
        <v>0</v>
      </c>
      <c r="CQ3136" s="76"/>
      <c r="CR3136" s="76">
        <f>+CQ3136*49000</f>
        <v>0</v>
      </c>
      <c r="CS3136" s="76"/>
      <c r="CT3136" s="76"/>
      <c r="CU3136" s="56">
        <f>AN3136+AP3136+AR3136+AT3136+AV3136+AX3136+AZ3136+BB3136+BD3136+BF3136+BH3136+BJ3136+BL3136+BN3136+BP3136+BR3136+BT3136+BV3136+BX3136+BZ3136+CB3136+CD3136+CF3136+CH3136+CJ3136+CL3136+CN3136+CP3136+CR3136+CT3136</f>
        <v>0</v>
      </c>
      <c r="CV3136" s="76"/>
      <c r="CW3136" s="76">
        <f>+CV3136*1100</f>
        <v>0</v>
      </c>
      <c r="CX3136" s="76"/>
      <c r="CY3136" s="76">
        <f>+CX3136*106250</f>
        <v>0</v>
      </c>
      <c r="CZ3136" s="76"/>
      <c r="DA3136" s="76">
        <f>+CZ3136*34500</f>
        <v>0</v>
      </c>
      <c r="DB3136" s="76"/>
      <c r="DC3136" s="76">
        <f>+DB3136*25000</f>
        <v>0</v>
      </c>
      <c r="DD3136" s="219"/>
      <c r="DE3136" s="219"/>
      <c r="DF3136" s="166"/>
      <c r="DG3136" s="116"/>
      <c r="DH3136" s="117"/>
      <c r="DI3136" s="24"/>
      <c r="DJ3136" s="24"/>
      <c r="DK3136" s="24"/>
      <c r="DL3136" s="24"/>
      <c r="DM3136" s="24"/>
      <c r="DN3136" s="24"/>
      <c r="DO3136" s="24"/>
      <c r="DP3136" s="24"/>
      <c r="DQ3136" s="24"/>
      <c r="DR3136" s="24"/>
      <c r="DS3136" s="24"/>
      <c r="DT3136" s="24"/>
      <c r="DU3136" s="24"/>
    </row>
    <row r="3137" spans="1:125" s="8" customFormat="1" ht="84" x14ac:dyDescent="0.2">
      <c r="A3137" s="77">
        <v>41540</v>
      </c>
      <c r="B3137" s="352" t="s">
        <v>2851</v>
      </c>
      <c r="C3137" s="354" t="s">
        <v>2668</v>
      </c>
      <c r="D3137" s="354" t="s">
        <v>2846</v>
      </c>
      <c r="E3137" s="296" t="str">
        <f>VLOOKUP(B3137&amp;C3137,Divipola!$C$2:$F$1138,4,FALSE)</f>
        <v>76520</v>
      </c>
      <c r="F3137" s="87"/>
      <c r="G3137" s="87"/>
      <c r="H3137" s="87"/>
      <c r="I3137" s="87"/>
      <c r="J3137" s="87"/>
      <c r="K3137" s="87"/>
      <c r="L3137" s="87"/>
      <c r="M3137" s="87"/>
      <c r="N3137" s="87"/>
      <c r="O3137" s="87"/>
      <c r="P3137" s="87"/>
      <c r="Q3137" s="87"/>
      <c r="R3137" s="87"/>
      <c r="S3137" s="87"/>
      <c r="T3137" s="87"/>
      <c r="U3137" s="88">
        <v>80</v>
      </c>
      <c r="V3137" s="89"/>
      <c r="W3137" s="96">
        <v>0</v>
      </c>
      <c r="X3137" s="71">
        <f>CU3137</f>
        <v>0</v>
      </c>
      <c r="Y3137" s="71">
        <f>CY3137</f>
        <v>0</v>
      </c>
      <c r="Z3137" s="71">
        <f>DA3137+DC3137+DE3137</f>
        <v>0</v>
      </c>
      <c r="AA3137" s="71">
        <f>CW3137</f>
        <v>0</v>
      </c>
      <c r="AB3137" s="71"/>
      <c r="AC3137" s="71">
        <v>0</v>
      </c>
      <c r="AD3137" s="71">
        <f>W3137+X3137+Y3137+Z3137+AA3137+AB3137+AC3137</f>
        <v>0</v>
      </c>
      <c r="AE3137" s="72">
        <v>0</v>
      </c>
      <c r="AF3137" s="5"/>
      <c r="AG3137" s="6"/>
      <c r="AH3137" s="27"/>
      <c r="AI3137" s="44"/>
      <c r="AJ3137" s="26"/>
      <c r="AK3137" s="5"/>
      <c r="AL3137" s="82" t="s">
        <v>6046</v>
      </c>
      <c r="AM3137" s="76"/>
      <c r="AN3137" s="76"/>
      <c r="AO3137" s="76"/>
      <c r="AP3137" s="76"/>
      <c r="AQ3137" s="76"/>
      <c r="AR3137" s="76"/>
      <c r="AS3137" s="76"/>
      <c r="AT3137" s="76"/>
      <c r="AU3137" s="76"/>
      <c r="AV3137" s="76"/>
      <c r="AW3137" s="76"/>
      <c r="AX3137" s="76">
        <f>+AW3137*600000</f>
        <v>0</v>
      </c>
      <c r="AY3137" s="76"/>
      <c r="AZ3137" s="76">
        <f>+AY3137*70000</f>
        <v>0</v>
      </c>
      <c r="BA3137" s="76"/>
      <c r="BB3137" s="76"/>
      <c r="BC3137" s="76"/>
      <c r="BD3137" s="76">
        <f>+BC3137*30000</f>
        <v>0</v>
      </c>
      <c r="BE3137" s="76"/>
      <c r="BF3137" s="76"/>
      <c r="BG3137" s="76"/>
      <c r="BH3137" s="76"/>
      <c r="BI3137" s="76"/>
      <c r="BJ3137" s="76"/>
      <c r="BK3137" s="76"/>
      <c r="BL3137" s="76">
        <f>+BK3137*31500</f>
        <v>0</v>
      </c>
      <c r="BM3137" s="76"/>
      <c r="BN3137" s="76"/>
      <c r="BO3137" s="76"/>
      <c r="BP3137" s="76"/>
      <c r="BQ3137" s="76"/>
      <c r="BR3137" s="76"/>
      <c r="BS3137" s="76"/>
      <c r="BT3137" s="76"/>
      <c r="BU3137" s="76"/>
      <c r="BV3137" s="76"/>
      <c r="BW3137" s="76"/>
      <c r="BX3137" s="76"/>
      <c r="BY3137" s="76"/>
      <c r="BZ3137" s="76"/>
      <c r="CA3137" s="76"/>
      <c r="CB3137" s="76"/>
      <c r="CC3137" s="76"/>
      <c r="CD3137" s="76"/>
      <c r="CE3137" s="76"/>
      <c r="CF3137" s="76">
        <f>+CE3137*28000</f>
        <v>0</v>
      </c>
      <c r="CG3137" s="76"/>
      <c r="CH3137" s="76">
        <f>+CG3137*22500</f>
        <v>0</v>
      </c>
      <c r="CI3137" s="76"/>
      <c r="CJ3137" s="76">
        <f>+CI3137*26000</f>
        <v>0</v>
      </c>
      <c r="CK3137" s="76"/>
      <c r="CL3137" s="76"/>
      <c r="CM3137" s="76"/>
      <c r="CN3137" s="76">
        <f>+CM3137*22000</f>
        <v>0</v>
      </c>
      <c r="CO3137" s="76"/>
      <c r="CP3137" s="76">
        <f>+CO3137*46000</f>
        <v>0</v>
      </c>
      <c r="CQ3137" s="76"/>
      <c r="CR3137" s="76">
        <f>+CQ3137*49000</f>
        <v>0</v>
      </c>
      <c r="CS3137" s="76"/>
      <c r="CT3137" s="76"/>
      <c r="CU3137" s="56">
        <f>AN3137+AP3137+AR3137+AT3137+AV3137+AX3137+AZ3137+BB3137+BD3137+BF3137+BH3137+BJ3137+BL3137+BN3137+BP3137+BR3137+BT3137+BV3137+BX3137+BZ3137+CB3137+CD3137+CF3137+CH3137+CJ3137+CL3137+CN3137+CP3137+CR3137+CT3137</f>
        <v>0</v>
      </c>
      <c r="CV3137" s="76"/>
      <c r="CW3137" s="76">
        <f>+CV3137*1100</f>
        <v>0</v>
      </c>
      <c r="CX3137" s="76"/>
      <c r="CY3137" s="76">
        <f>+CX3137*106250</f>
        <v>0</v>
      </c>
      <c r="CZ3137" s="76"/>
      <c r="DA3137" s="76">
        <f>+CZ3137*34500</f>
        <v>0</v>
      </c>
      <c r="DB3137" s="76"/>
      <c r="DC3137" s="76">
        <f>+DB3137*25000</f>
        <v>0</v>
      </c>
      <c r="DD3137" s="219"/>
      <c r="DE3137" s="219"/>
      <c r="DF3137" s="166"/>
      <c r="DG3137" s="116"/>
      <c r="DH3137" s="117"/>
      <c r="DI3137" s="24"/>
      <c r="DJ3137" s="24"/>
      <c r="DK3137" s="24"/>
      <c r="DL3137" s="24"/>
      <c r="DM3137" s="24"/>
      <c r="DN3137" s="24"/>
      <c r="DO3137" s="24"/>
      <c r="DP3137" s="24"/>
      <c r="DQ3137" s="24"/>
      <c r="DR3137" s="24"/>
      <c r="DS3137" s="24"/>
      <c r="DT3137" s="24"/>
      <c r="DU3137" s="24"/>
    </row>
    <row r="3138" spans="1:125" s="8" customFormat="1" ht="132" x14ac:dyDescent="0.2">
      <c r="A3138" s="77">
        <v>41540</v>
      </c>
      <c r="B3138" s="225" t="s">
        <v>2851</v>
      </c>
      <c r="C3138" s="227" t="s">
        <v>2135</v>
      </c>
      <c r="D3138" s="354" t="s">
        <v>2859</v>
      </c>
      <c r="E3138" s="296" t="str">
        <f>VLOOKUP(B3138&amp;C3138,Divipola!$C$2:$F$1138,4,FALSE)</f>
        <v>76834</v>
      </c>
      <c r="F3138" s="87"/>
      <c r="G3138" s="87"/>
      <c r="H3138" s="87"/>
      <c r="I3138" s="87">
        <v>50</v>
      </c>
      <c r="J3138" s="87">
        <v>10</v>
      </c>
      <c r="K3138" s="87">
        <v>10</v>
      </c>
      <c r="L3138" s="87"/>
      <c r="M3138" s="87"/>
      <c r="N3138" s="87"/>
      <c r="O3138" s="87"/>
      <c r="P3138" s="87"/>
      <c r="Q3138" s="87"/>
      <c r="R3138" s="87"/>
      <c r="S3138" s="87"/>
      <c r="T3138" s="87"/>
      <c r="U3138" s="88"/>
      <c r="V3138" s="89"/>
      <c r="W3138" s="96">
        <v>0</v>
      </c>
      <c r="X3138" s="71">
        <f>CU3138</f>
        <v>0</v>
      </c>
      <c r="Y3138" s="71">
        <f>CY3138</f>
        <v>0</v>
      </c>
      <c r="Z3138" s="71">
        <f>DA3138+DC3138+DE3138</f>
        <v>0</v>
      </c>
      <c r="AA3138" s="71">
        <f>CW3138</f>
        <v>0</v>
      </c>
      <c r="AB3138" s="71"/>
      <c r="AC3138" s="71">
        <v>0</v>
      </c>
      <c r="AD3138" s="71">
        <f>W3138+X3138+Y3138+Z3138+AA3138+AB3138+AC3138</f>
        <v>0</v>
      </c>
      <c r="AE3138" s="72">
        <v>0</v>
      </c>
      <c r="AF3138" s="5"/>
      <c r="AG3138" s="6"/>
      <c r="AH3138" s="27"/>
      <c r="AI3138" s="44"/>
      <c r="AJ3138" s="26"/>
      <c r="AK3138" s="5"/>
      <c r="AL3138" s="82" t="s">
        <v>6033</v>
      </c>
      <c r="AM3138" s="76"/>
      <c r="AN3138" s="76"/>
      <c r="AO3138" s="76"/>
      <c r="AP3138" s="76"/>
      <c r="AQ3138" s="76"/>
      <c r="AR3138" s="76"/>
      <c r="AS3138" s="76"/>
      <c r="AT3138" s="76"/>
      <c r="AU3138" s="76"/>
      <c r="AV3138" s="76"/>
      <c r="AW3138" s="76"/>
      <c r="AX3138" s="76">
        <f>+AW3138*600000</f>
        <v>0</v>
      </c>
      <c r="AY3138" s="76"/>
      <c r="AZ3138" s="76">
        <f>+AY3138*70000</f>
        <v>0</v>
      </c>
      <c r="BA3138" s="76"/>
      <c r="BB3138" s="76"/>
      <c r="BC3138" s="76"/>
      <c r="BD3138" s="76">
        <f>+BC3138*30000</f>
        <v>0</v>
      </c>
      <c r="BE3138" s="76"/>
      <c r="BF3138" s="76"/>
      <c r="BG3138" s="76"/>
      <c r="BH3138" s="76"/>
      <c r="BI3138" s="76"/>
      <c r="BJ3138" s="76"/>
      <c r="BK3138" s="76"/>
      <c r="BL3138" s="76">
        <f>+BK3138*31500</f>
        <v>0</v>
      </c>
      <c r="BM3138" s="76"/>
      <c r="BN3138" s="76"/>
      <c r="BO3138" s="76"/>
      <c r="BP3138" s="76"/>
      <c r="BQ3138" s="76"/>
      <c r="BR3138" s="76"/>
      <c r="BS3138" s="76"/>
      <c r="BT3138" s="76"/>
      <c r="BU3138" s="76"/>
      <c r="BV3138" s="76"/>
      <c r="BW3138" s="76"/>
      <c r="BX3138" s="76"/>
      <c r="BY3138" s="76"/>
      <c r="BZ3138" s="76"/>
      <c r="CA3138" s="76"/>
      <c r="CB3138" s="76"/>
      <c r="CC3138" s="76"/>
      <c r="CD3138" s="76"/>
      <c r="CE3138" s="76"/>
      <c r="CF3138" s="76">
        <f>+CE3138*28000</f>
        <v>0</v>
      </c>
      <c r="CG3138" s="76"/>
      <c r="CH3138" s="76">
        <f>+CG3138*22500</f>
        <v>0</v>
      </c>
      <c r="CI3138" s="76"/>
      <c r="CJ3138" s="76">
        <f>+CI3138*26000</f>
        <v>0</v>
      </c>
      <c r="CK3138" s="76"/>
      <c r="CL3138" s="76"/>
      <c r="CM3138" s="76"/>
      <c r="CN3138" s="76">
        <f>+CM3138*22000</f>
        <v>0</v>
      </c>
      <c r="CO3138" s="76"/>
      <c r="CP3138" s="76">
        <f>+CO3138*46000</f>
        <v>0</v>
      </c>
      <c r="CQ3138" s="76"/>
      <c r="CR3138" s="76">
        <f>+CQ3138*49000</f>
        <v>0</v>
      </c>
      <c r="CS3138" s="76"/>
      <c r="CT3138" s="76"/>
      <c r="CU3138" s="56">
        <f>AN3138+AP3138+AR3138+AT3138+AV3138+AX3138+AZ3138+BB3138+BD3138+BF3138+BH3138+BJ3138+BL3138+BN3138+BP3138+BR3138+BT3138+BV3138+BX3138+BZ3138+CB3138+CD3138+CF3138+CH3138+CJ3138+CL3138+CN3138+CP3138+CR3138+CT3138</f>
        <v>0</v>
      </c>
      <c r="CV3138" s="76"/>
      <c r="CW3138" s="76">
        <f>+CV3138*1100</f>
        <v>0</v>
      </c>
      <c r="CX3138" s="76"/>
      <c r="CY3138" s="76">
        <f>+CX3138*106250</f>
        <v>0</v>
      </c>
      <c r="CZ3138" s="76"/>
      <c r="DA3138" s="76">
        <f>+CZ3138*34500</f>
        <v>0</v>
      </c>
      <c r="DB3138" s="76"/>
      <c r="DC3138" s="76">
        <f>+DB3138*25000</f>
        <v>0</v>
      </c>
      <c r="DD3138" s="219"/>
      <c r="DE3138" s="219"/>
      <c r="DF3138" s="166"/>
      <c r="DG3138" s="116"/>
      <c r="DH3138" s="117"/>
      <c r="DI3138" s="24"/>
      <c r="DJ3138" s="24"/>
      <c r="DK3138" s="24"/>
      <c r="DL3138" s="24"/>
      <c r="DM3138" s="24"/>
      <c r="DN3138" s="24"/>
      <c r="DO3138" s="24"/>
      <c r="DP3138" s="24"/>
      <c r="DQ3138" s="24"/>
      <c r="DR3138" s="24"/>
      <c r="DS3138" s="24"/>
      <c r="DT3138" s="24"/>
      <c r="DU3138" s="24"/>
    </row>
    <row r="3139" spans="1:125" s="8" customFormat="1" ht="72" x14ac:dyDescent="0.2">
      <c r="A3139" s="77">
        <v>41540</v>
      </c>
      <c r="B3139" s="352" t="s">
        <v>2851</v>
      </c>
      <c r="C3139" s="354" t="s">
        <v>2135</v>
      </c>
      <c r="D3139" s="354" t="s">
        <v>2846</v>
      </c>
      <c r="E3139" s="296" t="str">
        <f>VLOOKUP(B3139&amp;C3139,Divipola!$C$2:$F$1138,4,FALSE)</f>
        <v>76834</v>
      </c>
      <c r="F3139" s="87"/>
      <c r="G3139" s="87"/>
      <c r="H3139" s="87"/>
      <c r="I3139" s="87"/>
      <c r="J3139" s="87"/>
      <c r="K3139" s="87"/>
      <c r="L3139" s="87"/>
      <c r="M3139" s="87"/>
      <c r="N3139" s="87"/>
      <c r="O3139" s="87"/>
      <c r="P3139" s="87"/>
      <c r="Q3139" s="87"/>
      <c r="R3139" s="87"/>
      <c r="S3139" s="87"/>
      <c r="T3139" s="87"/>
      <c r="U3139" s="88">
        <v>15</v>
      </c>
      <c r="V3139" s="89"/>
      <c r="W3139" s="96">
        <v>0</v>
      </c>
      <c r="X3139" s="71">
        <f>CU3139</f>
        <v>0</v>
      </c>
      <c r="Y3139" s="71">
        <f>CY3139</f>
        <v>0</v>
      </c>
      <c r="Z3139" s="71">
        <f>DA3139+DC3139+DE3139</f>
        <v>0</v>
      </c>
      <c r="AA3139" s="71">
        <f>CW3139</f>
        <v>0</v>
      </c>
      <c r="AB3139" s="71"/>
      <c r="AC3139" s="71">
        <v>0</v>
      </c>
      <c r="AD3139" s="71">
        <f>W3139+X3139+Y3139+Z3139+AA3139+AB3139+AC3139</f>
        <v>0</v>
      </c>
      <c r="AE3139" s="72">
        <v>0</v>
      </c>
      <c r="AF3139" s="5"/>
      <c r="AG3139" s="6"/>
      <c r="AH3139" s="27"/>
      <c r="AI3139" s="44"/>
      <c r="AJ3139" s="26"/>
      <c r="AK3139" s="5"/>
      <c r="AL3139" s="82" t="s">
        <v>6047</v>
      </c>
      <c r="AM3139" s="76"/>
      <c r="AN3139" s="76"/>
      <c r="AO3139" s="76"/>
      <c r="AP3139" s="76"/>
      <c r="AQ3139" s="76"/>
      <c r="AR3139" s="76"/>
      <c r="AS3139" s="76"/>
      <c r="AT3139" s="76"/>
      <c r="AU3139" s="76"/>
      <c r="AV3139" s="76"/>
      <c r="AW3139" s="76"/>
      <c r="AX3139" s="76">
        <f>+AW3139*600000</f>
        <v>0</v>
      </c>
      <c r="AY3139" s="76"/>
      <c r="AZ3139" s="76">
        <f>+AY3139*70000</f>
        <v>0</v>
      </c>
      <c r="BA3139" s="76"/>
      <c r="BB3139" s="76"/>
      <c r="BC3139" s="76"/>
      <c r="BD3139" s="76">
        <f>+BC3139*30000</f>
        <v>0</v>
      </c>
      <c r="BE3139" s="76"/>
      <c r="BF3139" s="76"/>
      <c r="BG3139" s="76"/>
      <c r="BH3139" s="76"/>
      <c r="BI3139" s="76"/>
      <c r="BJ3139" s="76"/>
      <c r="BK3139" s="76"/>
      <c r="BL3139" s="76">
        <f>+BK3139*31500</f>
        <v>0</v>
      </c>
      <c r="BM3139" s="76"/>
      <c r="BN3139" s="76"/>
      <c r="BO3139" s="76"/>
      <c r="BP3139" s="76"/>
      <c r="BQ3139" s="76"/>
      <c r="BR3139" s="76"/>
      <c r="BS3139" s="76"/>
      <c r="BT3139" s="76"/>
      <c r="BU3139" s="76"/>
      <c r="BV3139" s="76"/>
      <c r="BW3139" s="76"/>
      <c r="BX3139" s="76"/>
      <c r="BY3139" s="76"/>
      <c r="BZ3139" s="76"/>
      <c r="CA3139" s="76"/>
      <c r="CB3139" s="76"/>
      <c r="CC3139" s="76"/>
      <c r="CD3139" s="76"/>
      <c r="CE3139" s="76"/>
      <c r="CF3139" s="76">
        <f>+CE3139*28000</f>
        <v>0</v>
      </c>
      <c r="CG3139" s="76"/>
      <c r="CH3139" s="76">
        <f>+CG3139*22500</f>
        <v>0</v>
      </c>
      <c r="CI3139" s="76"/>
      <c r="CJ3139" s="76">
        <f>+CI3139*26000</f>
        <v>0</v>
      </c>
      <c r="CK3139" s="76"/>
      <c r="CL3139" s="76"/>
      <c r="CM3139" s="76"/>
      <c r="CN3139" s="76">
        <f>+CM3139*22000</f>
        <v>0</v>
      </c>
      <c r="CO3139" s="76"/>
      <c r="CP3139" s="76">
        <f>+CO3139*46000</f>
        <v>0</v>
      </c>
      <c r="CQ3139" s="76"/>
      <c r="CR3139" s="76">
        <f>+CQ3139*49000</f>
        <v>0</v>
      </c>
      <c r="CS3139" s="76"/>
      <c r="CT3139" s="76"/>
      <c r="CU3139" s="56">
        <f>AN3139+AP3139+AR3139+AT3139+AV3139+AX3139+AZ3139+BB3139+BD3139+BF3139+BH3139+BJ3139+BL3139+BN3139+BP3139+BR3139+BT3139+BV3139+BX3139+BZ3139+CB3139+CD3139+CF3139+CH3139+CJ3139+CL3139+CN3139+CP3139+CR3139+CT3139</f>
        <v>0</v>
      </c>
      <c r="CV3139" s="76"/>
      <c r="CW3139" s="76">
        <f>+CV3139*1100</f>
        <v>0</v>
      </c>
      <c r="CX3139" s="76"/>
      <c r="CY3139" s="76">
        <f>+CX3139*106250</f>
        <v>0</v>
      </c>
      <c r="CZ3139" s="76"/>
      <c r="DA3139" s="76">
        <f>+CZ3139*34500</f>
        <v>0</v>
      </c>
      <c r="DB3139" s="76"/>
      <c r="DC3139" s="76">
        <f>+DB3139*25000</f>
        <v>0</v>
      </c>
      <c r="DD3139" s="219"/>
      <c r="DE3139" s="219"/>
      <c r="DF3139" s="166"/>
      <c r="DG3139" s="116"/>
      <c r="DH3139" s="117"/>
      <c r="DI3139" s="24"/>
      <c r="DJ3139" s="24"/>
      <c r="DK3139" s="24"/>
      <c r="DL3139" s="24"/>
      <c r="DM3139" s="24"/>
      <c r="DN3139" s="24"/>
      <c r="DO3139" s="24"/>
      <c r="DP3139" s="24"/>
      <c r="DQ3139" s="24"/>
      <c r="DR3139" s="24"/>
      <c r="DS3139" s="24"/>
      <c r="DT3139" s="24"/>
      <c r="DU3139" s="24"/>
    </row>
    <row r="3140" spans="1:125" s="8" customFormat="1" ht="108" x14ac:dyDescent="0.2">
      <c r="A3140" s="77">
        <v>41541</v>
      </c>
      <c r="B3140" s="352" t="s">
        <v>2894</v>
      </c>
      <c r="C3140" s="354" t="s">
        <v>2346</v>
      </c>
      <c r="D3140" s="354" t="s">
        <v>2882</v>
      </c>
      <c r="E3140" s="296" t="str">
        <f>VLOOKUP(B3140&amp;C3140,Divipola!$C$2:$F$1138,4,FALSE)</f>
        <v>05040</v>
      </c>
      <c r="F3140" s="87"/>
      <c r="G3140" s="87"/>
      <c r="H3140" s="87"/>
      <c r="I3140" s="87">
        <v>750</v>
      </c>
      <c r="J3140" s="87">
        <v>150</v>
      </c>
      <c r="K3140" s="87"/>
      <c r="L3140" s="87">
        <v>150</v>
      </c>
      <c r="M3140" s="87"/>
      <c r="N3140" s="87"/>
      <c r="O3140" s="87"/>
      <c r="P3140" s="87"/>
      <c r="Q3140" s="87"/>
      <c r="R3140" s="87"/>
      <c r="S3140" s="87"/>
      <c r="T3140" s="87"/>
      <c r="U3140" s="88"/>
      <c r="V3140" s="89"/>
      <c r="W3140" s="96">
        <v>0</v>
      </c>
      <c r="X3140" s="71">
        <f>CU3140</f>
        <v>0</v>
      </c>
      <c r="Y3140" s="71">
        <f>CY3140</f>
        <v>0</v>
      </c>
      <c r="Z3140" s="71">
        <f>DA3140+DC3140+DE3140</f>
        <v>0</v>
      </c>
      <c r="AA3140" s="71">
        <f>CW3140</f>
        <v>0</v>
      </c>
      <c r="AB3140" s="71"/>
      <c r="AC3140" s="71">
        <v>0</v>
      </c>
      <c r="AD3140" s="71">
        <f>W3140+X3140+Y3140+Z3140+AA3140+AB3140+AC3140</f>
        <v>0</v>
      </c>
      <c r="AE3140" s="72">
        <v>0</v>
      </c>
      <c r="AF3140" s="5"/>
      <c r="AG3140" s="6"/>
      <c r="AH3140" s="27"/>
      <c r="AI3140" s="44"/>
      <c r="AJ3140" s="26"/>
      <c r="AK3140" s="5"/>
      <c r="AL3140" s="82" t="s">
        <v>6074</v>
      </c>
      <c r="AM3140" s="76"/>
      <c r="AN3140" s="76"/>
      <c r="AO3140" s="76"/>
      <c r="AP3140" s="76"/>
      <c r="AQ3140" s="76"/>
      <c r="AR3140" s="76"/>
      <c r="AS3140" s="76"/>
      <c r="AT3140" s="76"/>
      <c r="AU3140" s="76"/>
      <c r="AV3140" s="76"/>
      <c r="AW3140" s="76"/>
      <c r="AX3140" s="76">
        <f>+AW3140*600000</f>
        <v>0</v>
      </c>
      <c r="AY3140" s="76"/>
      <c r="AZ3140" s="76">
        <f>+AY3140*70000</f>
        <v>0</v>
      </c>
      <c r="BA3140" s="76"/>
      <c r="BB3140" s="76"/>
      <c r="BC3140" s="76"/>
      <c r="BD3140" s="76">
        <f>+BC3140*30000</f>
        <v>0</v>
      </c>
      <c r="BE3140" s="76"/>
      <c r="BF3140" s="76"/>
      <c r="BG3140" s="76"/>
      <c r="BH3140" s="76"/>
      <c r="BI3140" s="76"/>
      <c r="BJ3140" s="76"/>
      <c r="BK3140" s="76"/>
      <c r="BL3140" s="76">
        <f>+BK3140*31500</f>
        <v>0</v>
      </c>
      <c r="BM3140" s="76"/>
      <c r="BN3140" s="76"/>
      <c r="BO3140" s="76"/>
      <c r="BP3140" s="76"/>
      <c r="BQ3140" s="76"/>
      <c r="BR3140" s="76"/>
      <c r="BS3140" s="76"/>
      <c r="BT3140" s="76"/>
      <c r="BU3140" s="76"/>
      <c r="BV3140" s="76"/>
      <c r="BW3140" s="76"/>
      <c r="BX3140" s="76"/>
      <c r="BY3140" s="76"/>
      <c r="BZ3140" s="76"/>
      <c r="CA3140" s="76"/>
      <c r="CB3140" s="76"/>
      <c r="CC3140" s="76"/>
      <c r="CD3140" s="76"/>
      <c r="CE3140" s="76"/>
      <c r="CF3140" s="76">
        <f>+CE3140*28000</f>
        <v>0</v>
      </c>
      <c r="CG3140" s="76"/>
      <c r="CH3140" s="76">
        <f>+CG3140*22500</f>
        <v>0</v>
      </c>
      <c r="CI3140" s="76"/>
      <c r="CJ3140" s="76">
        <f>+CI3140*26000</f>
        <v>0</v>
      </c>
      <c r="CK3140" s="76"/>
      <c r="CL3140" s="76"/>
      <c r="CM3140" s="76"/>
      <c r="CN3140" s="76">
        <f>+CM3140*22000</f>
        <v>0</v>
      </c>
      <c r="CO3140" s="76"/>
      <c r="CP3140" s="76">
        <f>+CO3140*46000</f>
        <v>0</v>
      </c>
      <c r="CQ3140" s="76"/>
      <c r="CR3140" s="76">
        <f>+CQ3140*49000</f>
        <v>0</v>
      </c>
      <c r="CS3140" s="76"/>
      <c r="CT3140" s="76"/>
      <c r="CU3140" s="56">
        <f>AN3140+AP3140+AR3140+AT3140+AV3140+AX3140+AZ3140+BB3140+BD3140+BF3140+BH3140+BJ3140+BL3140+BN3140+BP3140+BR3140+BT3140+BV3140+BX3140+BZ3140+CB3140+CD3140+CF3140+CH3140+CJ3140+CL3140+CN3140+CP3140+CR3140+CT3140</f>
        <v>0</v>
      </c>
      <c r="CV3140" s="76"/>
      <c r="CW3140" s="76">
        <f>+CV3140*1100</f>
        <v>0</v>
      </c>
      <c r="CX3140" s="76"/>
      <c r="CY3140" s="76">
        <f>+CX3140*106250</f>
        <v>0</v>
      </c>
      <c r="CZ3140" s="76"/>
      <c r="DA3140" s="76">
        <f>+CZ3140*34500</f>
        <v>0</v>
      </c>
      <c r="DB3140" s="76"/>
      <c r="DC3140" s="76">
        <f>+DB3140*25000</f>
        <v>0</v>
      </c>
      <c r="DD3140" s="219"/>
      <c r="DE3140" s="219"/>
      <c r="DF3140" s="166"/>
      <c r="DG3140" s="116"/>
      <c r="DH3140" s="117"/>
      <c r="DI3140" s="24"/>
      <c r="DJ3140" s="24"/>
      <c r="DK3140" s="24"/>
      <c r="DL3140" s="24"/>
      <c r="DM3140" s="24"/>
      <c r="DN3140" s="24"/>
      <c r="DO3140" s="24"/>
      <c r="DP3140" s="24"/>
      <c r="DQ3140" s="24"/>
      <c r="DR3140" s="24"/>
      <c r="DS3140" s="24"/>
      <c r="DT3140" s="24"/>
      <c r="DU3140" s="24"/>
    </row>
    <row r="3141" spans="1:125" s="8" customFormat="1" ht="48" x14ac:dyDescent="0.2">
      <c r="A3141" s="77">
        <v>41541</v>
      </c>
      <c r="B3141" s="352" t="s">
        <v>2894</v>
      </c>
      <c r="C3141" s="354" t="s">
        <v>1702</v>
      </c>
      <c r="D3141" s="354" t="s">
        <v>3635</v>
      </c>
      <c r="E3141" s="296" t="str">
        <f>VLOOKUP(B3141&amp;C3141,Divipola!$C$2:$F$1138,4,FALSE)</f>
        <v>05368</v>
      </c>
      <c r="F3141" s="87"/>
      <c r="G3141" s="87">
        <v>3</v>
      </c>
      <c r="H3141" s="87"/>
      <c r="I3141" s="87"/>
      <c r="J3141" s="87"/>
      <c r="K3141" s="87"/>
      <c r="L3141" s="87"/>
      <c r="M3141" s="87"/>
      <c r="N3141" s="87"/>
      <c r="O3141" s="87"/>
      <c r="P3141" s="87"/>
      <c r="Q3141" s="87"/>
      <c r="R3141" s="87"/>
      <c r="S3141" s="87"/>
      <c r="T3141" s="87"/>
      <c r="U3141" s="88"/>
      <c r="V3141" s="89"/>
      <c r="W3141" s="96">
        <v>0</v>
      </c>
      <c r="X3141" s="71">
        <f>CU3141</f>
        <v>0</v>
      </c>
      <c r="Y3141" s="71">
        <f>CY3141</f>
        <v>0</v>
      </c>
      <c r="Z3141" s="71">
        <f>DA3141+DC3141+DE3141</f>
        <v>0</v>
      </c>
      <c r="AA3141" s="71">
        <f>CW3141</f>
        <v>0</v>
      </c>
      <c r="AB3141" s="71"/>
      <c r="AC3141" s="71">
        <v>0</v>
      </c>
      <c r="AD3141" s="71">
        <f>W3141+X3141+Y3141+Z3141+AA3141+AB3141+AC3141</f>
        <v>0</v>
      </c>
      <c r="AE3141" s="72">
        <v>0</v>
      </c>
      <c r="AF3141" s="5"/>
      <c r="AG3141" s="6"/>
      <c r="AH3141" s="27"/>
      <c r="AI3141" s="44"/>
      <c r="AJ3141" s="26"/>
      <c r="AK3141" s="5"/>
      <c r="AL3141" s="82" t="s">
        <v>6077</v>
      </c>
      <c r="AM3141" s="76"/>
      <c r="AN3141" s="76"/>
      <c r="AO3141" s="76"/>
      <c r="AP3141" s="76"/>
      <c r="AQ3141" s="76"/>
      <c r="AR3141" s="76"/>
      <c r="AS3141" s="76"/>
      <c r="AT3141" s="76"/>
      <c r="AU3141" s="76"/>
      <c r="AV3141" s="76"/>
      <c r="AW3141" s="76"/>
      <c r="AX3141" s="76">
        <f>+AW3141*600000</f>
        <v>0</v>
      </c>
      <c r="AY3141" s="76"/>
      <c r="AZ3141" s="76">
        <f>+AY3141*70000</f>
        <v>0</v>
      </c>
      <c r="BA3141" s="76"/>
      <c r="BB3141" s="76"/>
      <c r="BC3141" s="76"/>
      <c r="BD3141" s="76">
        <f>+BC3141*30000</f>
        <v>0</v>
      </c>
      <c r="BE3141" s="76"/>
      <c r="BF3141" s="76"/>
      <c r="BG3141" s="76"/>
      <c r="BH3141" s="76"/>
      <c r="BI3141" s="76"/>
      <c r="BJ3141" s="76"/>
      <c r="BK3141" s="76"/>
      <c r="BL3141" s="76">
        <f>+BK3141*31500</f>
        <v>0</v>
      </c>
      <c r="BM3141" s="76"/>
      <c r="BN3141" s="76"/>
      <c r="BO3141" s="76"/>
      <c r="BP3141" s="76"/>
      <c r="BQ3141" s="76"/>
      <c r="BR3141" s="76"/>
      <c r="BS3141" s="76"/>
      <c r="BT3141" s="76"/>
      <c r="BU3141" s="76"/>
      <c r="BV3141" s="76"/>
      <c r="BW3141" s="76"/>
      <c r="BX3141" s="76"/>
      <c r="BY3141" s="76"/>
      <c r="BZ3141" s="76"/>
      <c r="CA3141" s="76"/>
      <c r="CB3141" s="76"/>
      <c r="CC3141" s="76"/>
      <c r="CD3141" s="76"/>
      <c r="CE3141" s="76"/>
      <c r="CF3141" s="76">
        <f>+CE3141*28000</f>
        <v>0</v>
      </c>
      <c r="CG3141" s="76"/>
      <c r="CH3141" s="76">
        <f>+CG3141*22500</f>
        <v>0</v>
      </c>
      <c r="CI3141" s="76"/>
      <c r="CJ3141" s="76">
        <f>+CI3141*26000</f>
        <v>0</v>
      </c>
      <c r="CK3141" s="76"/>
      <c r="CL3141" s="76"/>
      <c r="CM3141" s="76"/>
      <c r="CN3141" s="76">
        <f>+CM3141*22000</f>
        <v>0</v>
      </c>
      <c r="CO3141" s="76"/>
      <c r="CP3141" s="76">
        <f>+CO3141*46000</f>
        <v>0</v>
      </c>
      <c r="CQ3141" s="76"/>
      <c r="CR3141" s="76">
        <f>+CQ3141*49000</f>
        <v>0</v>
      </c>
      <c r="CS3141" s="76"/>
      <c r="CT3141" s="76"/>
      <c r="CU3141" s="56">
        <f>AN3141+AP3141+AR3141+AT3141+AV3141+AX3141+AZ3141+BB3141+BD3141+BF3141+BH3141+BJ3141+BL3141+BN3141+BP3141+BR3141+BT3141+BV3141+BX3141+BZ3141+CB3141+CD3141+CF3141+CH3141+CJ3141+CL3141+CN3141+CP3141+CR3141+CT3141</f>
        <v>0</v>
      </c>
      <c r="CV3141" s="76"/>
      <c r="CW3141" s="76">
        <f>+CV3141*1100</f>
        <v>0</v>
      </c>
      <c r="CX3141" s="76"/>
      <c r="CY3141" s="76">
        <f>+CX3141*106250</f>
        <v>0</v>
      </c>
      <c r="CZ3141" s="76"/>
      <c r="DA3141" s="76">
        <f>+CZ3141*34500</f>
        <v>0</v>
      </c>
      <c r="DB3141" s="76"/>
      <c r="DC3141" s="76">
        <f>+DB3141*25000</f>
        <v>0</v>
      </c>
      <c r="DD3141" s="219"/>
      <c r="DE3141" s="219"/>
      <c r="DF3141" s="166"/>
      <c r="DG3141" s="116"/>
      <c r="DH3141" s="117"/>
      <c r="DI3141" s="24"/>
      <c r="DJ3141" s="24"/>
      <c r="DK3141" s="24"/>
      <c r="DL3141" s="24"/>
      <c r="DM3141" s="24"/>
      <c r="DN3141" s="24"/>
      <c r="DO3141" s="24"/>
      <c r="DP3141" s="24"/>
      <c r="DQ3141" s="24"/>
      <c r="DR3141" s="24"/>
      <c r="DS3141" s="24"/>
      <c r="DT3141" s="24"/>
      <c r="DU3141" s="24"/>
    </row>
    <row r="3142" spans="1:125" s="8" customFormat="1" ht="96" x14ac:dyDescent="0.2">
      <c r="A3142" s="77">
        <v>41541</v>
      </c>
      <c r="B3142" s="208" t="s">
        <v>2894</v>
      </c>
      <c r="C3142" s="354" t="s">
        <v>2032</v>
      </c>
      <c r="D3142" s="354" t="s">
        <v>2846</v>
      </c>
      <c r="E3142" s="296" t="str">
        <f>VLOOKUP(B3142&amp;C3142,Divipola!$C$2:$F$1138,4,FALSE)</f>
        <v>05001</v>
      </c>
      <c r="F3142" s="87"/>
      <c r="G3142" s="87">
        <v>1</v>
      </c>
      <c r="H3142" s="87"/>
      <c r="I3142" s="87"/>
      <c r="J3142" s="87"/>
      <c r="K3142" s="87"/>
      <c r="L3142" s="87"/>
      <c r="M3142" s="87"/>
      <c r="N3142" s="87"/>
      <c r="O3142" s="87"/>
      <c r="P3142" s="87"/>
      <c r="Q3142" s="87"/>
      <c r="R3142" s="87"/>
      <c r="S3142" s="87"/>
      <c r="T3142" s="87"/>
      <c r="U3142" s="88">
        <v>70</v>
      </c>
      <c r="V3142" s="89"/>
      <c r="W3142" s="96">
        <v>0</v>
      </c>
      <c r="X3142" s="71">
        <f>CU3142</f>
        <v>0</v>
      </c>
      <c r="Y3142" s="71">
        <f>CY3142</f>
        <v>0</v>
      </c>
      <c r="Z3142" s="71">
        <f>DA3142+DC3142+DE3142</f>
        <v>0</v>
      </c>
      <c r="AA3142" s="71">
        <f>CW3142</f>
        <v>0</v>
      </c>
      <c r="AB3142" s="71"/>
      <c r="AC3142" s="71">
        <v>0</v>
      </c>
      <c r="AD3142" s="71">
        <f>W3142+X3142+Y3142+Z3142+AA3142+AB3142+AC3142</f>
        <v>0</v>
      </c>
      <c r="AE3142" s="72">
        <v>0</v>
      </c>
      <c r="AF3142" s="5"/>
      <c r="AG3142" s="6"/>
      <c r="AH3142" s="27"/>
      <c r="AI3142" s="44"/>
      <c r="AJ3142" s="26"/>
      <c r="AK3142" s="5"/>
      <c r="AL3142" s="82" t="s">
        <v>6068</v>
      </c>
      <c r="AM3142" s="76"/>
      <c r="AN3142" s="76"/>
      <c r="AO3142" s="76"/>
      <c r="AP3142" s="76"/>
      <c r="AQ3142" s="76"/>
      <c r="AR3142" s="76"/>
      <c r="AS3142" s="76"/>
      <c r="AT3142" s="76"/>
      <c r="AU3142" s="76"/>
      <c r="AV3142" s="76"/>
      <c r="AW3142" s="76"/>
      <c r="AX3142" s="76">
        <f>+AW3142*600000</f>
        <v>0</v>
      </c>
      <c r="AY3142" s="76"/>
      <c r="AZ3142" s="76">
        <f>+AY3142*70000</f>
        <v>0</v>
      </c>
      <c r="BA3142" s="76"/>
      <c r="BB3142" s="76"/>
      <c r="BC3142" s="76"/>
      <c r="BD3142" s="76">
        <f>+BC3142*30000</f>
        <v>0</v>
      </c>
      <c r="BE3142" s="76"/>
      <c r="BF3142" s="76"/>
      <c r="BG3142" s="76"/>
      <c r="BH3142" s="76"/>
      <c r="BI3142" s="76"/>
      <c r="BJ3142" s="76"/>
      <c r="BK3142" s="76"/>
      <c r="BL3142" s="76">
        <f>+BK3142*31500</f>
        <v>0</v>
      </c>
      <c r="BM3142" s="76"/>
      <c r="BN3142" s="76"/>
      <c r="BO3142" s="76"/>
      <c r="BP3142" s="76"/>
      <c r="BQ3142" s="76"/>
      <c r="BR3142" s="76"/>
      <c r="BS3142" s="76"/>
      <c r="BT3142" s="76"/>
      <c r="BU3142" s="76"/>
      <c r="BV3142" s="76"/>
      <c r="BW3142" s="76"/>
      <c r="BX3142" s="76"/>
      <c r="BY3142" s="76"/>
      <c r="BZ3142" s="76"/>
      <c r="CA3142" s="76"/>
      <c r="CB3142" s="76"/>
      <c r="CC3142" s="76"/>
      <c r="CD3142" s="76"/>
      <c r="CE3142" s="76"/>
      <c r="CF3142" s="76">
        <f>+CE3142*28000</f>
        <v>0</v>
      </c>
      <c r="CG3142" s="76"/>
      <c r="CH3142" s="76">
        <f>+CG3142*22500</f>
        <v>0</v>
      </c>
      <c r="CI3142" s="76"/>
      <c r="CJ3142" s="76">
        <f>+CI3142*26000</f>
        <v>0</v>
      </c>
      <c r="CK3142" s="76"/>
      <c r="CL3142" s="76"/>
      <c r="CM3142" s="76"/>
      <c r="CN3142" s="76">
        <f>+CM3142*22000</f>
        <v>0</v>
      </c>
      <c r="CO3142" s="76"/>
      <c r="CP3142" s="76">
        <f>+CO3142*46000</f>
        <v>0</v>
      </c>
      <c r="CQ3142" s="76"/>
      <c r="CR3142" s="76">
        <f>+CQ3142*49000</f>
        <v>0</v>
      </c>
      <c r="CS3142" s="76"/>
      <c r="CT3142" s="76"/>
      <c r="CU3142" s="56">
        <f>AN3142+AP3142+AR3142+AT3142+AV3142+AX3142+AZ3142+BB3142+BD3142+BF3142+BH3142+BJ3142+BL3142+BN3142+BP3142+BR3142+BT3142+BV3142+BX3142+BZ3142+CB3142+CD3142+CF3142+CH3142+CJ3142+CL3142+CN3142+CP3142+CR3142+CT3142</f>
        <v>0</v>
      </c>
      <c r="CV3142" s="76"/>
      <c r="CW3142" s="76">
        <f>+CV3142*1100</f>
        <v>0</v>
      </c>
      <c r="CX3142" s="76"/>
      <c r="CY3142" s="76">
        <f>+CX3142*106250</f>
        <v>0</v>
      </c>
      <c r="CZ3142" s="76"/>
      <c r="DA3142" s="76">
        <f>+CZ3142*34500</f>
        <v>0</v>
      </c>
      <c r="DB3142" s="76"/>
      <c r="DC3142" s="76">
        <f>+DB3142*25000</f>
        <v>0</v>
      </c>
      <c r="DD3142" s="219"/>
      <c r="DE3142" s="219"/>
      <c r="DF3142" s="166"/>
      <c r="DG3142" s="116"/>
      <c r="DH3142" s="117"/>
      <c r="DI3142" s="24"/>
      <c r="DJ3142" s="24"/>
      <c r="DK3142" s="24"/>
      <c r="DL3142" s="24"/>
      <c r="DM3142" s="24"/>
      <c r="DN3142" s="24"/>
      <c r="DO3142" s="24"/>
      <c r="DP3142" s="24"/>
      <c r="DQ3142" s="24"/>
      <c r="DR3142" s="24"/>
      <c r="DS3142" s="24"/>
      <c r="DT3142" s="24"/>
      <c r="DU3142" s="24"/>
    </row>
    <row r="3143" spans="1:125" s="8" customFormat="1" ht="60" x14ac:dyDescent="0.2">
      <c r="A3143" s="77">
        <v>41541</v>
      </c>
      <c r="B3143" s="78" t="s">
        <v>2894</v>
      </c>
      <c r="C3143" s="75" t="s">
        <v>2696</v>
      </c>
      <c r="D3143" s="75" t="s">
        <v>2882</v>
      </c>
      <c r="E3143" s="296" t="str">
        <f>VLOOKUP(B3143&amp;C3143,Divipola!$C$2:$F$1138,4,FALSE)</f>
        <v>05854</v>
      </c>
      <c r="F3143" s="87"/>
      <c r="G3143" s="87"/>
      <c r="H3143" s="87"/>
      <c r="I3143" s="87">
        <v>15</v>
      </c>
      <c r="J3143" s="87">
        <v>3</v>
      </c>
      <c r="K3143" s="87">
        <v>1</v>
      </c>
      <c r="L3143" s="87">
        <v>2</v>
      </c>
      <c r="M3143" s="87"/>
      <c r="N3143" s="87"/>
      <c r="O3143" s="87">
        <v>1</v>
      </c>
      <c r="P3143" s="87"/>
      <c r="Q3143" s="87"/>
      <c r="R3143" s="87"/>
      <c r="S3143" s="87"/>
      <c r="T3143" s="87"/>
      <c r="U3143" s="88"/>
      <c r="V3143" s="89"/>
      <c r="W3143" s="96">
        <v>0</v>
      </c>
      <c r="X3143" s="71">
        <f>CU3143</f>
        <v>0</v>
      </c>
      <c r="Y3143" s="71">
        <f>CY3143</f>
        <v>0</v>
      </c>
      <c r="Z3143" s="71">
        <f>DA3143+DC3143+DE3143</f>
        <v>0</v>
      </c>
      <c r="AA3143" s="71">
        <f>CW3143</f>
        <v>0</v>
      </c>
      <c r="AB3143" s="71"/>
      <c r="AC3143" s="71">
        <v>0</v>
      </c>
      <c r="AD3143" s="71">
        <f>W3143+X3143+Y3143+Z3143+AA3143+AB3143+AC3143</f>
        <v>0</v>
      </c>
      <c r="AE3143" s="72">
        <v>0</v>
      </c>
      <c r="AF3143" s="5"/>
      <c r="AG3143" s="6"/>
      <c r="AH3143" s="27"/>
      <c r="AI3143" s="44"/>
      <c r="AJ3143" s="26"/>
      <c r="AK3143" s="5"/>
      <c r="AL3143" s="274" t="s">
        <v>6122</v>
      </c>
      <c r="AM3143" s="76"/>
      <c r="AN3143" s="76"/>
      <c r="AO3143" s="76"/>
      <c r="AP3143" s="76"/>
      <c r="AQ3143" s="76"/>
      <c r="AR3143" s="76"/>
      <c r="AS3143" s="76"/>
      <c r="AT3143" s="76"/>
      <c r="AU3143" s="76"/>
      <c r="AV3143" s="76"/>
      <c r="AW3143" s="76"/>
      <c r="AX3143" s="76">
        <f>+AW3143*600000</f>
        <v>0</v>
      </c>
      <c r="AY3143" s="76"/>
      <c r="AZ3143" s="76">
        <f>+AY3143*70000</f>
        <v>0</v>
      </c>
      <c r="BA3143" s="76"/>
      <c r="BB3143" s="76"/>
      <c r="BC3143" s="76"/>
      <c r="BD3143" s="76">
        <f>+BC3143*30000</f>
        <v>0</v>
      </c>
      <c r="BE3143" s="76"/>
      <c r="BF3143" s="76"/>
      <c r="BG3143" s="76"/>
      <c r="BH3143" s="76"/>
      <c r="BI3143" s="76"/>
      <c r="BJ3143" s="76"/>
      <c r="BK3143" s="76"/>
      <c r="BL3143" s="76">
        <f>+BK3143*31500</f>
        <v>0</v>
      </c>
      <c r="BM3143" s="76"/>
      <c r="BN3143" s="76"/>
      <c r="BO3143" s="76"/>
      <c r="BP3143" s="76"/>
      <c r="BQ3143" s="76"/>
      <c r="BR3143" s="76"/>
      <c r="BS3143" s="76"/>
      <c r="BT3143" s="76"/>
      <c r="BU3143" s="76"/>
      <c r="BV3143" s="76"/>
      <c r="BW3143" s="76"/>
      <c r="BX3143" s="76"/>
      <c r="BY3143" s="76"/>
      <c r="BZ3143" s="76"/>
      <c r="CA3143" s="76"/>
      <c r="CB3143" s="76"/>
      <c r="CC3143" s="76"/>
      <c r="CD3143" s="76"/>
      <c r="CE3143" s="76"/>
      <c r="CF3143" s="76">
        <f>+CE3143*28000</f>
        <v>0</v>
      </c>
      <c r="CG3143" s="76"/>
      <c r="CH3143" s="76">
        <f>+CG3143*22500</f>
        <v>0</v>
      </c>
      <c r="CI3143" s="76"/>
      <c r="CJ3143" s="76">
        <f>+CI3143*26000</f>
        <v>0</v>
      </c>
      <c r="CK3143" s="76"/>
      <c r="CL3143" s="76"/>
      <c r="CM3143" s="76"/>
      <c r="CN3143" s="76">
        <f>+CM3143*22000</f>
        <v>0</v>
      </c>
      <c r="CO3143" s="76"/>
      <c r="CP3143" s="76">
        <f>+CO3143*46000</f>
        <v>0</v>
      </c>
      <c r="CQ3143" s="76"/>
      <c r="CR3143" s="76">
        <f>+CQ3143*49000</f>
        <v>0</v>
      </c>
      <c r="CS3143" s="76"/>
      <c r="CT3143" s="76"/>
      <c r="CU3143" s="56">
        <f>AN3143+AP3143+AR3143+AT3143+AV3143+AX3143+AZ3143+BB3143+BD3143+BF3143+BH3143+BJ3143+BL3143+BN3143+BP3143+BR3143+BT3143+BV3143+BX3143+BZ3143+CB3143+CD3143+CF3143+CH3143+CJ3143+CL3143+CN3143+CP3143+CR3143+CT3143</f>
        <v>0</v>
      </c>
      <c r="CV3143" s="76"/>
      <c r="CW3143" s="76">
        <f>+CV3143*1100</f>
        <v>0</v>
      </c>
      <c r="CX3143" s="76"/>
      <c r="CY3143" s="76">
        <f>+CX3143*106250</f>
        <v>0</v>
      </c>
      <c r="CZ3143" s="76"/>
      <c r="DA3143" s="76">
        <f>+CZ3143*34500</f>
        <v>0</v>
      </c>
      <c r="DB3143" s="76"/>
      <c r="DC3143" s="76">
        <f>+DB3143*25000</f>
        <v>0</v>
      </c>
      <c r="DD3143" s="219"/>
      <c r="DE3143" s="219"/>
      <c r="DF3143" s="166"/>
      <c r="DG3143" s="116"/>
      <c r="DH3143" s="117"/>
      <c r="DI3143" s="24"/>
      <c r="DJ3143" s="24"/>
      <c r="DK3143" s="24"/>
      <c r="DL3143" s="24"/>
      <c r="DM3143" s="24"/>
      <c r="DN3143" s="24"/>
      <c r="DO3143" s="24"/>
      <c r="DP3143" s="24"/>
      <c r="DQ3143" s="24"/>
      <c r="DR3143" s="24"/>
      <c r="DS3143" s="24"/>
      <c r="DT3143" s="24"/>
      <c r="DU3143" s="24"/>
    </row>
    <row r="3144" spans="1:125" s="8" customFormat="1" ht="72" x14ac:dyDescent="0.2">
      <c r="A3144" s="77">
        <v>41541</v>
      </c>
      <c r="B3144" s="78" t="s">
        <v>2894</v>
      </c>
      <c r="C3144" s="83" t="s">
        <v>2645</v>
      </c>
      <c r="D3144" s="75" t="s">
        <v>2882</v>
      </c>
      <c r="E3144" s="296" t="str">
        <f>VLOOKUP(B3144&amp;C3144,Divipola!$C$2:$F$1138,4,FALSE)</f>
        <v>05893</v>
      </c>
      <c r="F3144" s="87"/>
      <c r="G3144" s="87"/>
      <c r="H3144" s="87"/>
      <c r="I3144" s="87">
        <v>275</v>
      </c>
      <c r="J3144" s="87">
        <v>55</v>
      </c>
      <c r="K3144" s="87"/>
      <c r="L3144" s="87">
        <v>55</v>
      </c>
      <c r="M3144" s="87"/>
      <c r="N3144" s="87"/>
      <c r="O3144" s="87"/>
      <c r="P3144" s="87"/>
      <c r="Q3144" s="87"/>
      <c r="R3144" s="87"/>
      <c r="S3144" s="87">
        <v>6</v>
      </c>
      <c r="T3144" s="87"/>
      <c r="U3144" s="87"/>
      <c r="V3144" s="89"/>
      <c r="W3144" s="96">
        <v>0</v>
      </c>
      <c r="X3144" s="71">
        <f>CU3144</f>
        <v>0</v>
      </c>
      <c r="Y3144" s="71">
        <f>CY3144</f>
        <v>0</v>
      </c>
      <c r="Z3144" s="71">
        <f>DA3144+DC3144+DE3144</f>
        <v>0</v>
      </c>
      <c r="AA3144" s="71">
        <f>CW3144</f>
        <v>0</v>
      </c>
      <c r="AB3144" s="71"/>
      <c r="AC3144" s="71">
        <v>0</v>
      </c>
      <c r="AD3144" s="71">
        <f>W3144+X3144+Y3144+Z3144+AA3144+AB3144+AC3144</f>
        <v>0</v>
      </c>
      <c r="AE3144" s="72">
        <v>0</v>
      </c>
      <c r="AF3144" s="5"/>
      <c r="AG3144" s="6"/>
      <c r="AH3144" s="27"/>
      <c r="AI3144" s="44"/>
      <c r="AJ3144" s="26"/>
      <c r="AK3144" s="5"/>
      <c r="AL3144" s="274" t="s">
        <v>6125</v>
      </c>
      <c r="AM3144" s="76"/>
      <c r="AN3144" s="76"/>
      <c r="AO3144" s="76"/>
      <c r="AP3144" s="76"/>
      <c r="AQ3144" s="76"/>
      <c r="AR3144" s="76"/>
      <c r="AS3144" s="76"/>
      <c r="AT3144" s="76"/>
      <c r="AU3144" s="76"/>
      <c r="AV3144" s="76"/>
      <c r="AW3144" s="76"/>
      <c r="AX3144" s="76">
        <f>+AW3144*600000</f>
        <v>0</v>
      </c>
      <c r="AY3144" s="76"/>
      <c r="AZ3144" s="76">
        <f>+AY3144*70000</f>
        <v>0</v>
      </c>
      <c r="BA3144" s="76"/>
      <c r="BB3144" s="76"/>
      <c r="BC3144" s="76"/>
      <c r="BD3144" s="76">
        <f>+BC3144*30000</f>
        <v>0</v>
      </c>
      <c r="BE3144" s="76"/>
      <c r="BF3144" s="76"/>
      <c r="BG3144" s="76"/>
      <c r="BH3144" s="76"/>
      <c r="BI3144" s="76"/>
      <c r="BJ3144" s="76"/>
      <c r="BK3144" s="76"/>
      <c r="BL3144" s="76">
        <f>+BK3144*31500</f>
        <v>0</v>
      </c>
      <c r="BM3144" s="76"/>
      <c r="BN3144" s="76"/>
      <c r="BO3144" s="76"/>
      <c r="BP3144" s="76"/>
      <c r="BQ3144" s="76"/>
      <c r="BR3144" s="76"/>
      <c r="BS3144" s="76"/>
      <c r="BT3144" s="76"/>
      <c r="BU3144" s="76"/>
      <c r="BV3144" s="76"/>
      <c r="BW3144" s="76"/>
      <c r="BX3144" s="76"/>
      <c r="BY3144" s="76"/>
      <c r="BZ3144" s="76"/>
      <c r="CA3144" s="76"/>
      <c r="CB3144" s="76"/>
      <c r="CC3144" s="76"/>
      <c r="CD3144" s="76"/>
      <c r="CE3144" s="76"/>
      <c r="CF3144" s="76">
        <f>+CE3144*28000</f>
        <v>0</v>
      </c>
      <c r="CG3144" s="76"/>
      <c r="CH3144" s="76">
        <f>+CG3144*22500</f>
        <v>0</v>
      </c>
      <c r="CI3144" s="76"/>
      <c r="CJ3144" s="76">
        <f>+CI3144*26000</f>
        <v>0</v>
      </c>
      <c r="CK3144" s="76"/>
      <c r="CL3144" s="76"/>
      <c r="CM3144" s="76"/>
      <c r="CN3144" s="76">
        <f>+CM3144*22000</f>
        <v>0</v>
      </c>
      <c r="CO3144" s="76"/>
      <c r="CP3144" s="76">
        <f>+CO3144*46000</f>
        <v>0</v>
      </c>
      <c r="CQ3144" s="76"/>
      <c r="CR3144" s="76">
        <f>+CQ3144*49000</f>
        <v>0</v>
      </c>
      <c r="CS3144" s="76"/>
      <c r="CT3144" s="76"/>
      <c r="CU3144" s="56">
        <f>AN3144+AP3144+AR3144+AT3144+AV3144+AX3144+AZ3144+BB3144+BD3144+BF3144+BH3144+BJ3144+BL3144+BN3144+BP3144+BR3144+BT3144+BV3144+BX3144+BZ3144+CB3144+CD3144+CF3144+CH3144+CJ3144+CL3144+CN3144+CP3144+CR3144+CT3144</f>
        <v>0</v>
      </c>
      <c r="CV3144" s="76"/>
      <c r="CW3144" s="76">
        <f>+CV3144*1100</f>
        <v>0</v>
      </c>
      <c r="CX3144" s="76"/>
      <c r="CY3144" s="76">
        <f>+CX3144*106250</f>
        <v>0</v>
      </c>
      <c r="CZ3144" s="76"/>
      <c r="DA3144" s="76">
        <f>+CZ3144*34500</f>
        <v>0</v>
      </c>
      <c r="DB3144" s="76"/>
      <c r="DC3144" s="76">
        <f>+DB3144*25000</f>
        <v>0</v>
      </c>
      <c r="DD3144" s="219"/>
      <c r="DE3144" s="219"/>
      <c r="DF3144" s="166"/>
      <c r="DG3144" s="116"/>
      <c r="DH3144" s="117"/>
      <c r="DI3144" s="24"/>
      <c r="DJ3144" s="24"/>
      <c r="DK3144" s="24"/>
      <c r="DL3144" s="24"/>
      <c r="DM3144" s="24"/>
      <c r="DN3144" s="24"/>
      <c r="DO3144" s="24"/>
      <c r="DP3144" s="24"/>
      <c r="DQ3144" s="24"/>
      <c r="DR3144" s="24"/>
      <c r="DS3144" s="24"/>
      <c r="DT3144" s="24"/>
      <c r="DU3144" s="24"/>
    </row>
    <row r="3145" spans="1:125" s="8" customFormat="1" ht="36" x14ac:dyDescent="0.2">
      <c r="A3145" s="77">
        <v>41541</v>
      </c>
      <c r="B3145" s="208" t="s">
        <v>2700</v>
      </c>
      <c r="C3145" s="354" t="s">
        <v>1325</v>
      </c>
      <c r="D3145" s="354" t="s">
        <v>2846</v>
      </c>
      <c r="E3145" s="296" t="str">
        <f>VLOOKUP(B3145&amp;C3145,Divipola!$C$2:$F$1138,4,FALSE)</f>
        <v>15109</v>
      </c>
      <c r="F3145" s="87"/>
      <c r="G3145" s="87"/>
      <c r="H3145" s="87"/>
      <c r="I3145" s="87"/>
      <c r="J3145" s="87"/>
      <c r="K3145" s="87"/>
      <c r="L3145" s="87"/>
      <c r="M3145" s="87"/>
      <c r="N3145" s="87"/>
      <c r="O3145" s="87"/>
      <c r="P3145" s="87"/>
      <c r="Q3145" s="87"/>
      <c r="R3145" s="87"/>
      <c r="S3145" s="87"/>
      <c r="T3145" s="87"/>
      <c r="U3145" s="88"/>
      <c r="V3145" s="89"/>
      <c r="W3145" s="96">
        <v>0</v>
      </c>
      <c r="X3145" s="71">
        <f>CU3145</f>
        <v>0</v>
      </c>
      <c r="Y3145" s="71">
        <f>CY3145</f>
        <v>0</v>
      </c>
      <c r="Z3145" s="71">
        <f>DA3145+DC3145+DE3145</f>
        <v>0</v>
      </c>
      <c r="AA3145" s="71">
        <f>CW3145</f>
        <v>0</v>
      </c>
      <c r="AB3145" s="71"/>
      <c r="AC3145" s="71">
        <v>0</v>
      </c>
      <c r="AD3145" s="71">
        <f>W3145+X3145+Y3145+Z3145+AA3145+AB3145+AC3145</f>
        <v>0</v>
      </c>
      <c r="AE3145" s="72">
        <v>0</v>
      </c>
      <c r="AF3145" s="5"/>
      <c r="AG3145" s="6"/>
      <c r="AH3145" s="27"/>
      <c r="AI3145" s="44"/>
      <c r="AJ3145" s="26"/>
      <c r="AK3145" s="5"/>
      <c r="AL3145" s="82" t="s">
        <v>6065</v>
      </c>
      <c r="AM3145" s="76"/>
      <c r="AN3145" s="76"/>
      <c r="AO3145" s="76"/>
      <c r="AP3145" s="76"/>
      <c r="AQ3145" s="76"/>
      <c r="AR3145" s="76"/>
      <c r="AS3145" s="76"/>
      <c r="AT3145" s="76"/>
      <c r="AU3145" s="76"/>
      <c r="AV3145" s="76"/>
      <c r="AW3145" s="76"/>
      <c r="AX3145" s="76">
        <f>+AW3145*600000</f>
        <v>0</v>
      </c>
      <c r="AY3145" s="76"/>
      <c r="AZ3145" s="76">
        <f>+AY3145*70000</f>
        <v>0</v>
      </c>
      <c r="BA3145" s="76"/>
      <c r="BB3145" s="76"/>
      <c r="BC3145" s="76"/>
      <c r="BD3145" s="76">
        <f>+BC3145*30000</f>
        <v>0</v>
      </c>
      <c r="BE3145" s="76"/>
      <c r="BF3145" s="76"/>
      <c r="BG3145" s="76"/>
      <c r="BH3145" s="76"/>
      <c r="BI3145" s="76"/>
      <c r="BJ3145" s="76"/>
      <c r="BK3145" s="76"/>
      <c r="BL3145" s="76">
        <f>+BK3145*31500</f>
        <v>0</v>
      </c>
      <c r="BM3145" s="76"/>
      <c r="BN3145" s="76"/>
      <c r="BO3145" s="76"/>
      <c r="BP3145" s="76"/>
      <c r="BQ3145" s="76"/>
      <c r="BR3145" s="76"/>
      <c r="BS3145" s="76"/>
      <c r="BT3145" s="76"/>
      <c r="BU3145" s="76"/>
      <c r="BV3145" s="76"/>
      <c r="BW3145" s="76"/>
      <c r="BX3145" s="76"/>
      <c r="BY3145" s="76"/>
      <c r="BZ3145" s="76"/>
      <c r="CA3145" s="76"/>
      <c r="CB3145" s="76"/>
      <c r="CC3145" s="76"/>
      <c r="CD3145" s="76"/>
      <c r="CE3145" s="76"/>
      <c r="CF3145" s="76">
        <f>+CE3145*28000</f>
        <v>0</v>
      </c>
      <c r="CG3145" s="76"/>
      <c r="CH3145" s="76">
        <f>+CG3145*22500</f>
        <v>0</v>
      </c>
      <c r="CI3145" s="76"/>
      <c r="CJ3145" s="76">
        <f>+CI3145*26000</f>
        <v>0</v>
      </c>
      <c r="CK3145" s="76"/>
      <c r="CL3145" s="76"/>
      <c r="CM3145" s="76"/>
      <c r="CN3145" s="76">
        <f>+CM3145*22000</f>
        <v>0</v>
      </c>
      <c r="CO3145" s="76"/>
      <c r="CP3145" s="76">
        <f>+CO3145*46000</f>
        <v>0</v>
      </c>
      <c r="CQ3145" s="76"/>
      <c r="CR3145" s="76">
        <f>+CQ3145*49000</f>
        <v>0</v>
      </c>
      <c r="CS3145" s="76"/>
      <c r="CT3145" s="76"/>
      <c r="CU3145" s="56">
        <f>AN3145+AP3145+AR3145+AT3145+AV3145+AX3145+AZ3145+BB3145+BD3145+BF3145+BH3145+BJ3145+BL3145+BN3145+BP3145+BR3145+BT3145+BV3145+BX3145+BZ3145+CB3145+CD3145+CF3145+CH3145+CJ3145+CL3145+CN3145+CP3145+CR3145+CT3145</f>
        <v>0</v>
      </c>
      <c r="CV3145" s="76"/>
      <c r="CW3145" s="76">
        <f>+CV3145*1100</f>
        <v>0</v>
      </c>
      <c r="CX3145" s="76"/>
      <c r="CY3145" s="76">
        <f>+CX3145*106250</f>
        <v>0</v>
      </c>
      <c r="CZ3145" s="76"/>
      <c r="DA3145" s="76">
        <f>+CZ3145*34500</f>
        <v>0</v>
      </c>
      <c r="DB3145" s="76"/>
      <c r="DC3145" s="76">
        <f>+DB3145*25000</f>
        <v>0</v>
      </c>
      <c r="DD3145" s="219"/>
      <c r="DE3145" s="219"/>
      <c r="DF3145" s="166"/>
      <c r="DG3145" s="116"/>
      <c r="DH3145" s="117"/>
      <c r="DI3145" s="24"/>
      <c r="DJ3145" s="24"/>
      <c r="DK3145" s="24"/>
      <c r="DL3145" s="24"/>
      <c r="DM3145" s="24"/>
      <c r="DN3145" s="24"/>
      <c r="DO3145" s="24"/>
      <c r="DP3145" s="24"/>
      <c r="DQ3145" s="24"/>
      <c r="DR3145" s="24"/>
      <c r="DS3145" s="24"/>
      <c r="DT3145" s="24"/>
      <c r="DU3145" s="24"/>
    </row>
    <row r="3146" spans="1:125" s="8" customFormat="1" ht="84" x14ac:dyDescent="0.2">
      <c r="A3146" s="77">
        <v>41541</v>
      </c>
      <c r="B3146" s="352" t="s">
        <v>2854</v>
      </c>
      <c r="C3146" s="354" t="s">
        <v>2100</v>
      </c>
      <c r="D3146" s="354" t="s">
        <v>2846</v>
      </c>
      <c r="E3146" s="296" t="str">
        <f>VLOOKUP(B3146&amp;C3146,Divipola!$C$2:$F$1138,4,FALSE)</f>
        <v>19397</v>
      </c>
      <c r="F3146" s="87"/>
      <c r="G3146" s="87"/>
      <c r="H3146" s="87"/>
      <c r="I3146" s="87"/>
      <c r="J3146" s="87"/>
      <c r="K3146" s="87"/>
      <c r="L3146" s="87"/>
      <c r="M3146" s="87"/>
      <c r="N3146" s="87"/>
      <c r="O3146" s="87"/>
      <c r="P3146" s="87"/>
      <c r="Q3146" s="87"/>
      <c r="R3146" s="87"/>
      <c r="S3146" s="87"/>
      <c r="T3146" s="87"/>
      <c r="U3146" s="88">
        <v>4</v>
      </c>
      <c r="V3146" s="89"/>
      <c r="W3146" s="96">
        <v>0</v>
      </c>
      <c r="X3146" s="71">
        <f>CU3146</f>
        <v>0</v>
      </c>
      <c r="Y3146" s="71">
        <f>CY3146</f>
        <v>0</v>
      </c>
      <c r="Z3146" s="71">
        <f>DA3146+DC3146+DE3146</f>
        <v>0</v>
      </c>
      <c r="AA3146" s="71">
        <f>CW3146</f>
        <v>0</v>
      </c>
      <c r="AB3146" s="71"/>
      <c r="AC3146" s="71">
        <v>0</v>
      </c>
      <c r="AD3146" s="71">
        <f>W3146+X3146+Y3146+Z3146+AA3146+AB3146+AC3146</f>
        <v>0</v>
      </c>
      <c r="AE3146" s="72">
        <v>0</v>
      </c>
      <c r="AF3146" s="5"/>
      <c r="AG3146" s="6"/>
      <c r="AH3146" s="27"/>
      <c r="AI3146" s="44"/>
      <c r="AJ3146" s="26"/>
      <c r="AK3146" s="5"/>
      <c r="AL3146" s="82" t="s">
        <v>6075</v>
      </c>
      <c r="AM3146" s="76"/>
      <c r="AN3146" s="76"/>
      <c r="AO3146" s="76"/>
      <c r="AP3146" s="76"/>
      <c r="AQ3146" s="76"/>
      <c r="AR3146" s="76"/>
      <c r="AS3146" s="76"/>
      <c r="AT3146" s="76"/>
      <c r="AU3146" s="76"/>
      <c r="AV3146" s="76"/>
      <c r="AW3146" s="76"/>
      <c r="AX3146" s="76">
        <f>+AW3146*600000</f>
        <v>0</v>
      </c>
      <c r="AY3146" s="76"/>
      <c r="AZ3146" s="76">
        <f>+AY3146*70000</f>
        <v>0</v>
      </c>
      <c r="BA3146" s="76"/>
      <c r="BB3146" s="76"/>
      <c r="BC3146" s="76"/>
      <c r="BD3146" s="76">
        <f>+BC3146*30000</f>
        <v>0</v>
      </c>
      <c r="BE3146" s="76"/>
      <c r="BF3146" s="76"/>
      <c r="BG3146" s="76"/>
      <c r="BH3146" s="76"/>
      <c r="BI3146" s="76"/>
      <c r="BJ3146" s="76"/>
      <c r="BK3146" s="76"/>
      <c r="BL3146" s="76">
        <f>+BK3146*31500</f>
        <v>0</v>
      </c>
      <c r="BM3146" s="76"/>
      <c r="BN3146" s="76"/>
      <c r="BO3146" s="76"/>
      <c r="BP3146" s="76"/>
      <c r="BQ3146" s="76"/>
      <c r="BR3146" s="76"/>
      <c r="BS3146" s="76"/>
      <c r="BT3146" s="76"/>
      <c r="BU3146" s="76"/>
      <c r="BV3146" s="76"/>
      <c r="BW3146" s="76"/>
      <c r="BX3146" s="76"/>
      <c r="BY3146" s="76"/>
      <c r="BZ3146" s="76"/>
      <c r="CA3146" s="76"/>
      <c r="CB3146" s="76"/>
      <c r="CC3146" s="76"/>
      <c r="CD3146" s="76"/>
      <c r="CE3146" s="76"/>
      <c r="CF3146" s="76">
        <f>+CE3146*28000</f>
        <v>0</v>
      </c>
      <c r="CG3146" s="76"/>
      <c r="CH3146" s="76">
        <f>+CG3146*22500</f>
        <v>0</v>
      </c>
      <c r="CI3146" s="76"/>
      <c r="CJ3146" s="76">
        <f>+CI3146*26000</f>
        <v>0</v>
      </c>
      <c r="CK3146" s="76"/>
      <c r="CL3146" s="76"/>
      <c r="CM3146" s="76"/>
      <c r="CN3146" s="76">
        <f>+CM3146*22000</f>
        <v>0</v>
      </c>
      <c r="CO3146" s="76"/>
      <c r="CP3146" s="76">
        <f>+CO3146*46000</f>
        <v>0</v>
      </c>
      <c r="CQ3146" s="76"/>
      <c r="CR3146" s="76">
        <f>+CQ3146*49000</f>
        <v>0</v>
      </c>
      <c r="CS3146" s="76"/>
      <c r="CT3146" s="76"/>
      <c r="CU3146" s="56">
        <f>AN3146+AP3146+AR3146+AT3146+AV3146+AX3146+AZ3146+BB3146+BD3146+BF3146+BH3146+BJ3146+BL3146+BN3146+BP3146+BR3146+BT3146+BV3146+BX3146+BZ3146+CB3146+CD3146+CF3146+CH3146+CJ3146+CL3146+CN3146+CP3146+CR3146+CT3146</f>
        <v>0</v>
      </c>
      <c r="CV3146" s="76"/>
      <c r="CW3146" s="76">
        <f>+CV3146*1100</f>
        <v>0</v>
      </c>
      <c r="CX3146" s="76"/>
      <c r="CY3146" s="76">
        <f>+CX3146*106250</f>
        <v>0</v>
      </c>
      <c r="CZ3146" s="76"/>
      <c r="DA3146" s="76">
        <f>+CZ3146*34500</f>
        <v>0</v>
      </c>
      <c r="DB3146" s="76"/>
      <c r="DC3146" s="76">
        <f>+DB3146*25000</f>
        <v>0</v>
      </c>
      <c r="DD3146" s="219"/>
      <c r="DE3146" s="219"/>
      <c r="DF3146" s="166"/>
      <c r="DG3146" s="116"/>
      <c r="DH3146" s="117"/>
      <c r="DI3146" s="24"/>
      <c r="DJ3146" s="24"/>
      <c r="DK3146" s="24"/>
      <c r="DL3146" s="24"/>
      <c r="DM3146" s="24"/>
      <c r="DN3146" s="24"/>
      <c r="DO3146" s="24"/>
      <c r="DP3146" s="24"/>
      <c r="DQ3146" s="24"/>
      <c r="DR3146" s="24"/>
      <c r="DS3146" s="24"/>
      <c r="DT3146" s="24"/>
      <c r="DU3146" s="24"/>
    </row>
    <row r="3147" spans="1:125" s="8" customFormat="1" ht="36" x14ac:dyDescent="0.2">
      <c r="A3147" s="77">
        <v>41541</v>
      </c>
      <c r="B3147" s="208" t="s">
        <v>2855</v>
      </c>
      <c r="C3147" s="227" t="s">
        <v>2070</v>
      </c>
      <c r="D3147" s="354" t="s">
        <v>2882</v>
      </c>
      <c r="E3147" s="296" t="str">
        <f>VLOOKUP(B3147&amp;C3147,Divipola!$C$2:$F$1138,4,FALSE)</f>
        <v>20770</v>
      </c>
      <c r="F3147" s="87"/>
      <c r="G3147" s="87"/>
      <c r="H3147" s="87"/>
      <c r="I3147" s="87"/>
      <c r="J3147" s="87"/>
      <c r="K3147" s="87"/>
      <c r="L3147" s="87"/>
      <c r="M3147" s="87"/>
      <c r="N3147" s="87"/>
      <c r="O3147" s="87"/>
      <c r="P3147" s="87"/>
      <c r="Q3147" s="87"/>
      <c r="R3147" s="87"/>
      <c r="S3147" s="87"/>
      <c r="T3147" s="87"/>
      <c r="U3147" s="88"/>
      <c r="V3147" s="89"/>
      <c r="W3147" s="96">
        <v>0</v>
      </c>
      <c r="X3147" s="71">
        <f>CU3147</f>
        <v>0</v>
      </c>
      <c r="Y3147" s="71">
        <f>CY3147</f>
        <v>0</v>
      </c>
      <c r="Z3147" s="71">
        <f>DA3147+DC3147+DE3147</f>
        <v>0</v>
      </c>
      <c r="AA3147" s="71">
        <f>CW3147</f>
        <v>0</v>
      </c>
      <c r="AB3147" s="71"/>
      <c r="AC3147" s="71">
        <v>0</v>
      </c>
      <c r="AD3147" s="71">
        <f>W3147+X3147+Y3147+Z3147+AA3147+AB3147+AC3147</f>
        <v>0</v>
      </c>
      <c r="AE3147" s="72">
        <v>0</v>
      </c>
      <c r="AF3147" s="5"/>
      <c r="AG3147" s="6"/>
      <c r="AH3147" s="27"/>
      <c r="AI3147" s="44"/>
      <c r="AJ3147" s="26"/>
      <c r="AK3147" s="5"/>
      <c r="AL3147" s="82" t="s">
        <v>6066</v>
      </c>
      <c r="AM3147" s="76"/>
      <c r="AN3147" s="76"/>
      <c r="AO3147" s="76"/>
      <c r="AP3147" s="76"/>
      <c r="AQ3147" s="76"/>
      <c r="AR3147" s="76"/>
      <c r="AS3147" s="76"/>
      <c r="AT3147" s="76"/>
      <c r="AU3147" s="76"/>
      <c r="AV3147" s="76"/>
      <c r="AW3147" s="76"/>
      <c r="AX3147" s="76">
        <f>+AW3147*600000</f>
        <v>0</v>
      </c>
      <c r="AY3147" s="76"/>
      <c r="AZ3147" s="76">
        <f>+AY3147*70000</f>
        <v>0</v>
      </c>
      <c r="BA3147" s="76"/>
      <c r="BB3147" s="76"/>
      <c r="BC3147" s="76"/>
      <c r="BD3147" s="76">
        <f>+BC3147*30000</f>
        <v>0</v>
      </c>
      <c r="BE3147" s="76"/>
      <c r="BF3147" s="76"/>
      <c r="BG3147" s="76"/>
      <c r="BH3147" s="76"/>
      <c r="BI3147" s="76"/>
      <c r="BJ3147" s="76"/>
      <c r="BK3147" s="76"/>
      <c r="BL3147" s="76">
        <f>+BK3147*31500</f>
        <v>0</v>
      </c>
      <c r="BM3147" s="76"/>
      <c r="BN3147" s="76"/>
      <c r="BO3147" s="76"/>
      <c r="BP3147" s="76"/>
      <c r="BQ3147" s="76"/>
      <c r="BR3147" s="76"/>
      <c r="BS3147" s="76"/>
      <c r="BT3147" s="76"/>
      <c r="BU3147" s="76"/>
      <c r="BV3147" s="76"/>
      <c r="BW3147" s="76"/>
      <c r="BX3147" s="76"/>
      <c r="BY3147" s="76"/>
      <c r="BZ3147" s="76"/>
      <c r="CA3147" s="76"/>
      <c r="CB3147" s="76"/>
      <c r="CC3147" s="76"/>
      <c r="CD3147" s="76"/>
      <c r="CE3147" s="76"/>
      <c r="CF3147" s="76">
        <f>+CE3147*28000</f>
        <v>0</v>
      </c>
      <c r="CG3147" s="76"/>
      <c r="CH3147" s="76">
        <f>+CG3147*22500</f>
        <v>0</v>
      </c>
      <c r="CI3147" s="76"/>
      <c r="CJ3147" s="76">
        <f>+CI3147*26000</f>
        <v>0</v>
      </c>
      <c r="CK3147" s="76"/>
      <c r="CL3147" s="76"/>
      <c r="CM3147" s="76"/>
      <c r="CN3147" s="76">
        <f>+CM3147*22000</f>
        <v>0</v>
      </c>
      <c r="CO3147" s="76"/>
      <c r="CP3147" s="76">
        <f>+CO3147*46000</f>
        <v>0</v>
      </c>
      <c r="CQ3147" s="76"/>
      <c r="CR3147" s="76">
        <f>+CQ3147*49000</f>
        <v>0</v>
      </c>
      <c r="CS3147" s="76"/>
      <c r="CT3147" s="76"/>
      <c r="CU3147" s="56">
        <f>AN3147+AP3147+AR3147+AT3147+AV3147+AX3147+AZ3147+BB3147+BD3147+BF3147+BH3147+BJ3147+BL3147+BN3147+BP3147+BR3147+BT3147+BV3147+BX3147+BZ3147+CB3147+CD3147+CF3147+CH3147+CJ3147+CL3147+CN3147+CP3147+CR3147+CT3147</f>
        <v>0</v>
      </c>
      <c r="CV3147" s="76"/>
      <c r="CW3147" s="76">
        <f>+CV3147*1100</f>
        <v>0</v>
      </c>
      <c r="CX3147" s="76"/>
      <c r="CY3147" s="76">
        <f>+CX3147*106250</f>
        <v>0</v>
      </c>
      <c r="CZ3147" s="76"/>
      <c r="DA3147" s="76">
        <f>+CZ3147*34500</f>
        <v>0</v>
      </c>
      <c r="DB3147" s="76"/>
      <c r="DC3147" s="76">
        <f>+DB3147*25000</f>
        <v>0</v>
      </c>
      <c r="DD3147" s="219"/>
      <c r="DE3147" s="219"/>
      <c r="DF3147" s="166"/>
      <c r="DG3147" s="116"/>
      <c r="DH3147" s="117"/>
      <c r="DI3147" s="24"/>
      <c r="DJ3147" s="24"/>
      <c r="DK3147" s="24"/>
      <c r="DL3147" s="24"/>
      <c r="DM3147" s="24"/>
      <c r="DN3147" s="24"/>
      <c r="DO3147" s="24"/>
      <c r="DP3147" s="24"/>
      <c r="DQ3147" s="24"/>
      <c r="DR3147" s="24"/>
      <c r="DS3147" s="24"/>
      <c r="DT3147" s="24"/>
      <c r="DU3147" s="24"/>
    </row>
    <row r="3148" spans="1:125" s="8" customFormat="1" ht="108" x14ac:dyDescent="0.2">
      <c r="A3148" s="77">
        <v>41541</v>
      </c>
      <c r="B3148" s="208" t="s">
        <v>2772</v>
      </c>
      <c r="C3148" s="227" t="s">
        <v>494</v>
      </c>
      <c r="D3148" s="227" t="s">
        <v>2882</v>
      </c>
      <c r="E3148" s="296" t="str">
        <f>VLOOKUP(B3148&amp;C3148,Divipola!$C$2:$F$1138,4,FALSE)</f>
        <v>25019</v>
      </c>
      <c r="F3148" s="87"/>
      <c r="G3148" s="87"/>
      <c r="H3148" s="87"/>
      <c r="I3148" s="87">
        <v>60</v>
      </c>
      <c r="J3148" s="87">
        <v>12</v>
      </c>
      <c r="K3148" s="87"/>
      <c r="L3148" s="87">
        <v>12</v>
      </c>
      <c r="M3148" s="87"/>
      <c r="N3148" s="87"/>
      <c r="O3148" s="87"/>
      <c r="P3148" s="87"/>
      <c r="Q3148" s="87"/>
      <c r="R3148" s="87"/>
      <c r="S3148" s="87">
        <v>1</v>
      </c>
      <c r="T3148" s="87"/>
      <c r="U3148" s="88"/>
      <c r="V3148" s="89">
        <v>1</v>
      </c>
      <c r="W3148" s="96">
        <v>0</v>
      </c>
      <c r="X3148" s="71">
        <f>CU3148</f>
        <v>0</v>
      </c>
      <c r="Y3148" s="71">
        <f>CY3148</f>
        <v>0</v>
      </c>
      <c r="Z3148" s="71">
        <f>DA3148+DC3148+DE3148</f>
        <v>0</v>
      </c>
      <c r="AA3148" s="71">
        <f>CW3148</f>
        <v>0</v>
      </c>
      <c r="AB3148" s="71"/>
      <c r="AC3148" s="71">
        <v>0</v>
      </c>
      <c r="AD3148" s="71">
        <f>W3148+X3148+Y3148+Z3148+AA3148+AB3148+AC3148</f>
        <v>0</v>
      </c>
      <c r="AE3148" s="72">
        <v>0</v>
      </c>
      <c r="AF3148" s="5"/>
      <c r="AG3148" s="6"/>
      <c r="AH3148" s="27"/>
      <c r="AI3148" s="44"/>
      <c r="AJ3148" s="26"/>
      <c r="AK3148" s="5"/>
      <c r="AL3148" s="82" t="s">
        <v>6067</v>
      </c>
      <c r="AM3148" s="76"/>
      <c r="AN3148" s="76"/>
      <c r="AO3148" s="76"/>
      <c r="AP3148" s="76"/>
      <c r="AQ3148" s="76"/>
      <c r="AR3148" s="76"/>
      <c r="AS3148" s="76"/>
      <c r="AT3148" s="76"/>
      <c r="AU3148" s="76"/>
      <c r="AV3148" s="76"/>
      <c r="AW3148" s="76"/>
      <c r="AX3148" s="76">
        <f>+AW3148*600000</f>
        <v>0</v>
      </c>
      <c r="AY3148" s="76"/>
      <c r="AZ3148" s="76">
        <f>+AY3148*70000</f>
        <v>0</v>
      </c>
      <c r="BA3148" s="76"/>
      <c r="BB3148" s="76"/>
      <c r="BC3148" s="76"/>
      <c r="BD3148" s="76">
        <f>+BC3148*30000</f>
        <v>0</v>
      </c>
      <c r="BE3148" s="76"/>
      <c r="BF3148" s="76"/>
      <c r="BG3148" s="76"/>
      <c r="BH3148" s="76"/>
      <c r="BI3148" s="76"/>
      <c r="BJ3148" s="76"/>
      <c r="BK3148" s="76"/>
      <c r="BL3148" s="76">
        <f>+BK3148*31500</f>
        <v>0</v>
      </c>
      <c r="BM3148" s="76"/>
      <c r="BN3148" s="76"/>
      <c r="BO3148" s="76"/>
      <c r="BP3148" s="76"/>
      <c r="BQ3148" s="76"/>
      <c r="BR3148" s="76"/>
      <c r="BS3148" s="76"/>
      <c r="BT3148" s="76"/>
      <c r="BU3148" s="76"/>
      <c r="BV3148" s="76"/>
      <c r="BW3148" s="76"/>
      <c r="BX3148" s="76"/>
      <c r="BY3148" s="76"/>
      <c r="BZ3148" s="76"/>
      <c r="CA3148" s="76"/>
      <c r="CB3148" s="76"/>
      <c r="CC3148" s="76"/>
      <c r="CD3148" s="76"/>
      <c r="CE3148" s="76"/>
      <c r="CF3148" s="76">
        <f>+CE3148*28000</f>
        <v>0</v>
      </c>
      <c r="CG3148" s="76"/>
      <c r="CH3148" s="76">
        <f>+CG3148*22500</f>
        <v>0</v>
      </c>
      <c r="CI3148" s="76"/>
      <c r="CJ3148" s="76">
        <f>+CI3148*26000</f>
        <v>0</v>
      </c>
      <c r="CK3148" s="76"/>
      <c r="CL3148" s="76"/>
      <c r="CM3148" s="76"/>
      <c r="CN3148" s="76">
        <f>+CM3148*22000</f>
        <v>0</v>
      </c>
      <c r="CO3148" s="76"/>
      <c r="CP3148" s="76">
        <f>+CO3148*46000</f>
        <v>0</v>
      </c>
      <c r="CQ3148" s="76"/>
      <c r="CR3148" s="76">
        <f>+CQ3148*49000</f>
        <v>0</v>
      </c>
      <c r="CS3148" s="76"/>
      <c r="CT3148" s="76"/>
      <c r="CU3148" s="56">
        <f>AN3148+AP3148+AR3148+AT3148+AV3148+AX3148+AZ3148+BB3148+BD3148+BF3148+BH3148+BJ3148+BL3148+BN3148+BP3148+BR3148+BT3148+BV3148+BX3148+BZ3148+CB3148+CD3148+CF3148+CH3148+CJ3148+CL3148+CN3148+CP3148+CR3148+CT3148</f>
        <v>0</v>
      </c>
      <c r="CV3148" s="76"/>
      <c r="CW3148" s="76">
        <f>+CV3148*1100</f>
        <v>0</v>
      </c>
      <c r="CX3148" s="76"/>
      <c r="CY3148" s="76">
        <f>+CX3148*106250</f>
        <v>0</v>
      </c>
      <c r="CZ3148" s="76"/>
      <c r="DA3148" s="76">
        <f>+CZ3148*34500</f>
        <v>0</v>
      </c>
      <c r="DB3148" s="76"/>
      <c r="DC3148" s="76">
        <f>+DB3148*25000</f>
        <v>0</v>
      </c>
      <c r="DD3148" s="219"/>
      <c r="DE3148" s="219"/>
      <c r="DF3148" s="166"/>
      <c r="DG3148" s="116"/>
      <c r="DH3148" s="117"/>
      <c r="DI3148" s="24"/>
      <c r="DJ3148" s="24"/>
      <c r="DK3148" s="24"/>
      <c r="DL3148" s="24"/>
      <c r="DM3148" s="24"/>
      <c r="DN3148" s="24"/>
      <c r="DO3148" s="24"/>
      <c r="DP3148" s="24"/>
      <c r="DQ3148" s="24"/>
      <c r="DR3148" s="24"/>
      <c r="DS3148" s="24"/>
      <c r="DT3148" s="24"/>
      <c r="DU3148" s="24"/>
    </row>
    <row r="3149" spans="1:125" s="8" customFormat="1" ht="108" x14ac:dyDescent="0.2">
      <c r="A3149" s="77">
        <v>41541</v>
      </c>
      <c r="B3149" s="352" t="s">
        <v>2772</v>
      </c>
      <c r="C3149" s="227" t="s">
        <v>2827</v>
      </c>
      <c r="D3149" s="227" t="s">
        <v>2846</v>
      </c>
      <c r="E3149" s="296" t="str">
        <f>VLOOKUP(B3149&amp;C3149,Divipola!$C$2:$F$1138,4,FALSE)</f>
        <v>25099</v>
      </c>
      <c r="F3149" s="87"/>
      <c r="G3149" s="87"/>
      <c r="H3149" s="87"/>
      <c r="I3149" s="87"/>
      <c r="J3149" s="87"/>
      <c r="K3149" s="87"/>
      <c r="L3149" s="87"/>
      <c r="M3149" s="87"/>
      <c r="N3149" s="87"/>
      <c r="O3149" s="87"/>
      <c r="P3149" s="87"/>
      <c r="Q3149" s="87"/>
      <c r="R3149" s="87"/>
      <c r="S3149" s="87"/>
      <c r="T3149" s="87"/>
      <c r="U3149" s="88"/>
      <c r="V3149" s="89"/>
      <c r="W3149" s="96">
        <v>0</v>
      </c>
      <c r="X3149" s="71">
        <f>CU3149</f>
        <v>0</v>
      </c>
      <c r="Y3149" s="71">
        <f>CY3149</f>
        <v>0</v>
      </c>
      <c r="Z3149" s="71">
        <f>DA3149+DC3149+DE3149</f>
        <v>0</v>
      </c>
      <c r="AA3149" s="71">
        <f>CW3149</f>
        <v>0</v>
      </c>
      <c r="AB3149" s="71"/>
      <c r="AC3149" s="71">
        <v>0</v>
      </c>
      <c r="AD3149" s="71">
        <f>W3149+X3149+Y3149+Z3149+AA3149+AB3149+AC3149</f>
        <v>0</v>
      </c>
      <c r="AE3149" s="72">
        <v>0</v>
      </c>
      <c r="AF3149" s="5"/>
      <c r="AG3149" s="6"/>
      <c r="AH3149" s="27"/>
      <c r="AI3149" s="44"/>
      <c r="AJ3149" s="26"/>
      <c r="AK3149" s="5"/>
      <c r="AL3149" s="82" t="s">
        <v>6100</v>
      </c>
      <c r="AM3149" s="76"/>
      <c r="AN3149" s="76"/>
      <c r="AO3149" s="76"/>
      <c r="AP3149" s="76"/>
      <c r="AQ3149" s="76"/>
      <c r="AR3149" s="76"/>
      <c r="AS3149" s="76"/>
      <c r="AT3149" s="76"/>
      <c r="AU3149" s="76"/>
      <c r="AV3149" s="76"/>
      <c r="AW3149" s="76"/>
      <c r="AX3149" s="76">
        <f>+AW3149*600000</f>
        <v>0</v>
      </c>
      <c r="AY3149" s="76"/>
      <c r="AZ3149" s="76">
        <f>+AY3149*70000</f>
        <v>0</v>
      </c>
      <c r="BA3149" s="76"/>
      <c r="BB3149" s="76"/>
      <c r="BC3149" s="76"/>
      <c r="BD3149" s="76">
        <f>+BC3149*30000</f>
        <v>0</v>
      </c>
      <c r="BE3149" s="76"/>
      <c r="BF3149" s="76"/>
      <c r="BG3149" s="76"/>
      <c r="BH3149" s="76"/>
      <c r="BI3149" s="76"/>
      <c r="BJ3149" s="76"/>
      <c r="BK3149" s="76"/>
      <c r="BL3149" s="76">
        <f>+BK3149*31500</f>
        <v>0</v>
      </c>
      <c r="BM3149" s="76"/>
      <c r="BN3149" s="76"/>
      <c r="BO3149" s="76"/>
      <c r="BP3149" s="76"/>
      <c r="BQ3149" s="76"/>
      <c r="BR3149" s="76"/>
      <c r="BS3149" s="76"/>
      <c r="BT3149" s="76"/>
      <c r="BU3149" s="76"/>
      <c r="BV3149" s="76"/>
      <c r="BW3149" s="76"/>
      <c r="BX3149" s="76"/>
      <c r="BY3149" s="76"/>
      <c r="BZ3149" s="76"/>
      <c r="CA3149" s="76"/>
      <c r="CB3149" s="76"/>
      <c r="CC3149" s="76"/>
      <c r="CD3149" s="76"/>
      <c r="CE3149" s="76"/>
      <c r="CF3149" s="76">
        <f>+CE3149*28000</f>
        <v>0</v>
      </c>
      <c r="CG3149" s="76"/>
      <c r="CH3149" s="76">
        <f>+CG3149*22500</f>
        <v>0</v>
      </c>
      <c r="CI3149" s="76"/>
      <c r="CJ3149" s="76">
        <f>+CI3149*26000</f>
        <v>0</v>
      </c>
      <c r="CK3149" s="76"/>
      <c r="CL3149" s="76"/>
      <c r="CM3149" s="76"/>
      <c r="CN3149" s="76">
        <f>+CM3149*22000</f>
        <v>0</v>
      </c>
      <c r="CO3149" s="76"/>
      <c r="CP3149" s="76">
        <f>+CO3149*46000</f>
        <v>0</v>
      </c>
      <c r="CQ3149" s="76"/>
      <c r="CR3149" s="76">
        <f>+CQ3149*49000</f>
        <v>0</v>
      </c>
      <c r="CS3149" s="76"/>
      <c r="CT3149" s="76"/>
      <c r="CU3149" s="56">
        <f>AN3149+AP3149+AR3149+AT3149+AV3149+AX3149+AZ3149+BB3149+BD3149+BF3149+BH3149+BJ3149+BL3149+BN3149+BP3149+BR3149+BT3149+BV3149+BX3149+BZ3149+CB3149+CD3149+CF3149+CH3149+CJ3149+CL3149+CN3149+CP3149+CR3149+CT3149</f>
        <v>0</v>
      </c>
      <c r="CV3149" s="76"/>
      <c r="CW3149" s="76">
        <f>+CV3149*1100</f>
        <v>0</v>
      </c>
      <c r="CX3149" s="76"/>
      <c r="CY3149" s="76">
        <f>+CX3149*106250</f>
        <v>0</v>
      </c>
      <c r="CZ3149" s="76"/>
      <c r="DA3149" s="76">
        <f>+CZ3149*34500</f>
        <v>0</v>
      </c>
      <c r="DB3149" s="76"/>
      <c r="DC3149" s="76">
        <f>+DB3149*25000</f>
        <v>0</v>
      </c>
      <c r="DD3149" s="219"/>
      <c r="DE3149" s="219"/>
      <c r="DF3149" s="166"/>
      <c r="DG3149" s="116"/>
      <c r="DH3149" s="117"/>
      <c r="DI3149" s="24"/>
      <c r="DJ3149" s="24"/>
      <c r="DK3149" s="24"/>
      <c r="DL3149" s="24"/>
      <c r="DM3149" s="24"/>
      <c r="DN3149" s="24"/>
      <c r="DO3149" s="24"/>
      <c r="DP3149" s="24"/>
      <c r="DQ3149" s="24"/>
      <c r="DR3149" s="24"/>
      <c r="DS3149" s="24"/>
      <c r="DT3149" s="24"/>
      <c r="DU3149" s="24"/>
    </row>
    <row r="3150" spans="1:125" s="8" customFormat="1" ht="48" x14ac:dyDescent="0.2">
      <c r="A3150" s="77">
        <v>41541</v>
      </c>
      <c r="B3150" s="78" t="s">
        <v>2772</v>
      </c>
      <c r="C3150" s="227" t="s">
        <v>2190</v>
      </c>
      <c r="D3150" s="227" t="s">
        <v>2846</v>
      </c>
      <c r="E3150" s="296" t="str">
        <f>VLOOKUP(B3150&amp;C3150,Divipola!$C$2:$F$1138,4,FALSE)</f>
        <v>25148</v>
      </c>
      <c r="F3150" s="87"/>
      <c r="G3150" s="87"/>
      <c r="H3150" s="87"/>
      <c r="I3150" s="87"/>
      <c r="J3150" s="87"/>
      <c r="K3150" s="87"/>
      <c r="L3150" s="87"/>
      <c r="M3150" s="87"/>
      <c r="N3150" s="87"/>
      <c r="O3150" s="87"/>
      <c r="P3150" s="87"/>
      <c r="Q3150" s="87"/>
      <c r="R3150" s="87"/>
      <c r="S3150" s="87"/>
      <c r="T3150" s="87"/>
      <c r="U3150" s="88">
        <v>40</v>
      </c>
      <c r="V3150" s="89"/>
      <c r="W3150" s="96">
        <v>0</v>
      </c>
      <c r="X3150" s="71">
        <f>CU3150</f>
        <v>0</v>
      </c>
      <c r="Y3150" s="71">
        <f>CY3150</f>
        <v>0</v>
      </c>
      <c r="Z3150" s="71">
        <f>DA3150+DC3150+DE3150</f>
        <v>0</v>
      </c>
      <c r="AA3150" s="71">
        <f>CW3150</f>
        <v>0</v>
      </c>
      <c r="AB3150" s="71"/>
      <c r="AC3150" s="71">
        <v>0</v>
      </c>
      <c r="AD3150" s="71">
        <f>W3150+X3150+Y3150+Z3150+AA3150+AB3150+AC3150</f>
        <v>0</v>
      </c>
      <c r="AE3150" s="72">
        <v>0</v>
      </c>
      <c r="AF3150" s="5"/>
      <c r="AG3150" s="6"/>
      <c r="AH3150" s="27"/>
      <c r="AI3150" s="44"/>
      <c r="AJ3150" s="26"/>
      <c r="AK3150" s="5"/>
      <c r="AL3150" s="315" t="s">
        <v>6071</v>
      </c>
      <c r="AM3150" s="76"/>
      <c r="AN3150" s="76"/>
      <c r="AO3150" s="76"/>
      <c r="AP3150" s="76"/>
      <c r="AQ3150" s="76"/>
      <c r="AR3150" s="76"/>
      <c r="AS3150" s="76"/>
      <c r="AT3150" s="76"/>
      <c r="AU3150" s="76"/>
      <c r="AV3150" s="76"/>
      <c r="AW3150" s="76"/>
      <c r="AX3150" s="76">
        <f>+AW3150*600000</f>
        <v>0</v>
      </c>
      <c r="AY3150" s="76"/>
      <c r="AZ3150" s="76">
        <f>+AY3150*70000</f>
        <v>0</v>
      </c>
      <c r="BA3150" s="76"/>
      <c r="BB3150" s="76"/>
      <c r="BC3150" s="76"/>
      <c r="BD3150" s="76">
        <f>+BC3150*30000</f>
        <v>0</v>
      </c>
      <c r="BE3150" s="76"/>
      <c r="BF3150" s="76"/>
      <c r="BG3150" s="76"/>
      <c r="BH3150" s="76"/>
      <c r="BI3150" s="76"/>
      <c r="BJ3150" s="76"/>
      <c r="BK3150" s="76"/>
      <c r="BL3150" s="76">
        <f>+BK3150*31500</f>
        <v>0</v>
      </c>
      <c r="BM3150" s="76"/>
      <c r="BN3150" s="76"/>
      <c r="BO3150" s="76"/>
      <c r="BP3150" s="76"/>
      <c r="BQ3150" s="76"/>
      <c r="BR3150" s="76"/>
      <c r="BS3150" s="76"/>
      <c r="BT3150" s="76"/>
      <c r="BU3150" s="76"/>
      <c r="BV3150" s="76"/>
      <c r="BW3150" s="76"/>
      <c r="BX3150" s="76"/>
      <c r="BY3150" s="76"/>
      <c r="BZ3150" s="76"/>
      <c r="CA3150" s="76"/>
      <c r="CB3150" s="76"/>
      <c r="CC3150" s="76"/>
      <c r="CD3150" s="76"/>
      <c r="CE3150" s="76"/>
      <c r="CF3150" s="76">
        <f>+CE3150*28000</f>
        <v>0</v>
      </c>
      <c r="CG3150" s="76"/>
      <c r="CH3150" s="76">
        <f>+CG3150*22500</f>
        <v>0</v>
      </c>
      <c r="CI3150" s="76"/>
      <c r="CJ3150" s="76">
        <f>+CI3150*26000</f>
        <v>0</v>
      </c>
      <c r="CK3150" s="76"/>
      <c r="CL3150" s="76"/>
      <c r="CM3150" s="76"/>
      <c r="CN3150" s="76">
        <f>+CM3150*22000</f>
        <v>0</v>
      </c>
      <c r="CO3150" s="76"/>
      <c r="CP3150" s="76">
        <f>+CO3150*46000</f>
        <v>0</v>
      </c>
      <c r="CQ3150" s="76"/>
      <c r="CR3150" s="76">
        <f>+CQ3150*49000</f>
        <v>0</v>
      </c>
      <c r="CS3150" s="76"/>
      <c r="CT3150" s="76"/>
      <c r="CU3150" s="56">
        <f>AN3150+AP3150+AR3150+AT3150+AV3150+AX3150+AZ3150+BB3150+BD3150+BF3150+BH3150+BJ3150+BL3150+BN3150+BP3150+BR3150+BT3150+BV3150+BX3150+BZ3150+CB3150+CD3150+CF3150+CH3150+CJ3150+CL3150+CN3150+CP3150+CR3150+CT3150</f>
        <v>0</v>
      </c>
      <c r="CV3150" s="76"/>
      <c r="CW3150" s="76">
        <f>+CV3150*1100</f>
        <v>0</v>
      </c>
      <c r="CX3150" s="76"/>
      <c r="CY3150" s="76">
        <f>+CX3150*106250</f>
        <v>0</v>
      </c>
      <c r="CZ3150" s="76"/>
      <c r="DA3150" s="76">
        <f>+CZ3150*34500</f>
        <v>0</v>
      </c>
      <c r="DB3150" s="76"/>
      <c r="DC3150" s="76">
        <f>+DB3150*25000</f>
        <v>0</v>
      </c>
      <c r="DD3150" s="219"/>
      <c r="DE3150" s="219"/>
      <c r="DF3150" s="166"/>
      <c r="DG3150" s="116"/>
      <c r="DH3150" s="117"/>
      <c r="DI3150" s="24"/>
      <c r="DJ3150" s="24"/>
      <c r="DK3150" s="24"/>
      <c r="DL3150" s="24"/>
      <c r="DM3150" s="24"/>
      <c r="DN3150" s="24"/>
      <c r="DO3150" s="24"/>
      <c r="DP3150" s="24"/>
      <c r="DQ3150" s="24"/>
      <c r="DR3150" s="24"/>
      <c r="DS3150" s="24"/>
      <c r="DT3150" s="24"/>
      <c r="DU3150" s="24"/>
    </row>
    <row r="3151" spans="1:125" s="8" customFormat="1" ht="72" x14ac:dyDescent="0.2">
      <c r="A3151" s="77">
        <v>41541</v>
      </c>
      <c r="B3151" s="352" t="s">
        <v>2772</v>
      </c>
      <c r="C3151" s="354" t="s">
        <v>1336</v>
      </c>
      <c r="D3151" s="354" t="s">
        <v>2846</v>
      </c>
      <c r="E3151" s="296" t="str">
        <f>VLOOKUP(B3151&amp;C3151,Divipola!$C$2:$F$1138,4,FALSE)</f>
        <v>25394</v>
      </c>
      <c r="F3151" s="87"/>
      <c r="G3151" s="87"/>
      <c r="H3151" s="87"/>
      <c r="I3151" s="87"/>
      <c r="J3151" s="87"/>
      <c r="K3151" s="87"/>
      <c r="L3151" s="87"/>
      <c r="M3151" s="87"/>
      <c r="N3151" s="87"/>
      <c r="O3151" s="87"/>
      <c r="P3151" s="87"/>
      <c r="Q3151" s="87"/>
      <c r="R3151" s="87"/>
      <c r="S3151" s="87"/>
      <c r="T3151" s="87"/>
      <c r="U3151" s="88">
        <v>17</v>
      </c>
      <c r="V3151" s="89"/>
      <c r="W3151" s="96">
        <v>0</v>
      </c>
      <c r="X3151" s="71">
        <f>CU3151</f>
        <v>0</v>
      </c>
      <c r="Y3151" s="71">
        <f>CY3151</f>
        <v>0</v>
      </c>
      <c r="Z3151" s="71">
        <f>DA3151+DC3151+DE3151</f>
        <v>0</v>
      </c>
      <c r="AA3151" s="71">
        <f>CW3151</f>
        <v>0</v>
      </c>
      <c r="AB3151" s="71"/>
      <c r="AC3151" s="71">
        <v>0</v>
      </c>
      <c r="AD3151" s="71">
        <f>W3151+X3151+Y3151+Z3151+AA3151+AB3151+AC3151</f>
        <v>0</v>
      </c>
      <c r="AE3151" s="72">
        <v>0</v>
      </c>
      <c r="AF3151" s="5"/>
      <c r="AG3151" s="6"/>
      <c r="AH3151" s="27"/>
      <c r="AI3151" s="44"/>
      <c r="AJ3151" s="26"/>
      <c r="AK3151" s="5"/>
      <c r="AL3151" s="82" t="s">
        <v>6098</v>
      </c>
      <c r="AM3151" s="76"/>
      <c r="AN3151" s="76"/>
      <c r="AO3151" s="76"/>
      <c r="AP3151" s="76"/>
      <c r="AQ3151" s="76"/>
      <c r="AR3151" s="76"/>
      <c r="AS3151" s="76"/>
      <c r="AT3151" s="76"/>
      <c r="AU3151" s="76"/>
      <c r="AV3151" s="76"/>
      <c r="AW3151" s="76"/>
      <c r="AX3151" s="76">
        <f>+AW3151*600000</f>
        <v>0</v>
      </c>
      <c r="AY3151" s="76"/>
      <c r="AZ3151" s="76">
        <f>+AY3151*70000</f>
        <v>0</v>
      </c>
      <c r="BA3151" s="76"/>
      <c r="BB3151" s="76"/>
      <c r="BC3151" s="76"/>
      <c r="BD3151" s="76">
        <f>+BC3151*30000</f>
        <v>0</v>
      </c>
      <c r="BE3151" s="76"/>
      <c r="BF3151" s="76"/>
      <c r="BG3151" s="76"/>
      <c r="BH3151" s="76"/>
      <c r="BI3151" s="76"/>
      <c r="BJ3151" s="76"/>
      <c r="BK3151" s="76"/>
      <c r="BL3151" s="76">
        <f>+BK3151*31500</f>
        <v>0</v>
      </c>
      <c r="BM3151" s="76"/>
      <c r="BN3151" s="76"/>
      <c r="BO3151" s="76"/>
      <c r="BP3151" s="76"/>
      <c r="BQ3151" s="76"/>
      <c r="BR3151" s="76"/>
      <c r="BS3151" s="76"/>
      <c r="BT3151" s="76"/>
      <c r="BU3151" s="76"/>
      <c r="BV3151" s="76"/>
      <c r="BW3151" s="76"/>
      <c r="BX3151" s="76"/>
      <c r="BY3151" s="76"/>
      <c r="BZ3151" s="76"/>
      <c r="CA3151" s="76"/>
      <c r="CB3151" s="76"/>
      <c r="CC3151" s="76"/>
      <c r="CD3151" s="76"/>
      <c r="CE3151" s="76"/>
      <c r="CF3151" s="76">
        <f>+CE3151*28000</f>
        <v>0</v>
      </c>
      <c r="CG3151" s="76"/>
      <c r="CH3151" s="76">
        <f>+CG3151*22500</f>
        <v>0</v>
      </c>
      <c r="CI3151" s="76"/>
      <c r="CJ3151" s="76">
        <f>+CI3151*26000</f>
        <v>0</v>
      </c>
      <c r="CK3151" s="76"/>
      <c r="CL3151" s="76"/>
      <c r="CM3151" s="76"/>
      <c r="CN3151" s="76">
        <f>+CM3151*22000</f>
        <v>0</v>
      </c>
      <c r="CO3151" s="76"/>
      <c r="CP3151" s="76">
        <f>+CO3151*46000</f>
        <v>0</v>
      </c>
      <c r="CQ3151" s="76"/>
      <c r="CR3151" s="76">
        <f>+CQ3151*49000</f>
        <v>0</v>
      </c>
      <c r="CS3151" s="76"/>
      <c r="CT3151" s="76"/>
      <c r="CU3151" s="56">
        <f>AN3151+AP3151+AR3151+AT3151+AV3151+AX3151+AZ3151+BB3151+BD3151+BF3151+BH3151+BJ3151+BL3151+BN3151+BP3151+BR3151+BT3151+BV3151+BX3151+BZ3151+CB3151+CD3151+CF3151+CH3151+CJ3151+CL3151+CN3151+CP3151+CR3151+CT3151</f>
        <v>0</v>
      </c>
      <c r="CV3151" s="76"/>
      <c r="CW3151" s="76">
        <f>+CV3151*1100</f>
        <v>0</v>
      </c>
      <c r="CX3151" s="76"/>
      <c r="CY3151" s="76">
        <f>+CX3151*106250</f>
        <v>0</v>
      </c>
      <c r="CZ3151" s="76"/>
      <c r="DA3151" s="76">
        <f>+CZ3151*34500</f>
        <v>0</v>
      </c>
      <c r="DB3151" s="76"/>
      <c r="DC3151" s="76">
        <f>+DB3151*25000</f>
        <v>0</v>
      </c>
      <c r="DD3151" s="219"/>
      <c r="DE3151" s="219"/>
      <c r="DF3151" s="166"/>
      <c r="DG3151" s="116"/>
      <c r="DH3151" s="117"/>
      <c r="DI3151" s="24"/>
      <c r="DJ3151" s="24"/>
      <c r="DK3151" s="24"/>
      <c r="DL3151" s="24"/>
      <c r="DM3151" s="24"/>
      <c r="DN3151" s="24"/>
      <c r="DO3151" s="24"/>
      <c r="DP3151" s="24"/>
      <c r="DQ3151" s="24"/>
      <c r="DR3151" s="24"/>
      <c r="DS3151" s="24"/>
      <c r="DT3151" s="24"/>
      <c r="DU3151" s="24"/>
    </row>
    <row r="3152" spans="1:125" s="8" customFormat="1" ht="85.5" x14ac:dyDescent="0.2">
      <c r="A3152" s="77">
        <v>41541</v>
      </c>
      <c r="B3152" s="225" t="s">
        <v>2772</v>
      </c>
      <c r="C3152" s="227" t="s">
        <v>2100</v>
      </c>
      <c r="D3152" s="227" t="s">
        <v>2846</v>
      </c>
      <c r="E3152" s="296" t="str">
        <f>VLOOKUP(B3152&amp;C3152,Divipola!$C$2:$F$1138,4,FALSE)</f>
        <v>25402</v>
      </c>
      <c r="F3152" s="87"/>
      <c r="G3152" s="87"/>
      <c r="H3152" s="87"/>
      <c r="I3152" s="87"/>
      <c r="J3152" s="87"/>
      <c r="K3152" s="87"/>
      <c r="L3152" s="87"/>
      <c r="M3152" s="87"/>
      <c r="N3152" s="87"/>
      <c r="O3152" s="87"/>
      <c r="P3152" s="87"/>
      <c r="Q3152" s="87"/>
      <c r="R3152" s="87"/>
      <c r="S3152" s="87"/>
      <c r="T3152" s="87"/>
      <c r="U3152" s="88">
        <v>3</v>
      </c>
      <c r="V3152" s="89"/>
      <c r="W3152" s="96">
        <v>0</v>
      </c>
      <c r="X3152" s="71">
        <f>CU3152</f>
        <v>0</v>
      </c>
      <c r="Y3152" s="71">
        <f>CY3152</f>
        <v>0</v>
      </c>
      <c r="Z3152" s="71">
        <f>DA3152+DC3152+DE3152</f>
        <v>0</v>
      </c>
      <c r="AA3152" s="71">
        <f>CW3152</f>
        <v>0</v>
      </c>
      <c r="AB3152" s="71"/>
      <c r="AC3152" s="71">
        <v>0</v>
      </c>
      <c r="AD3152" s="71">
        <f>W3152+X3152+Y3152+Z3152+AA3152+AB3152+AC3152</f>
        <v>0</v>
      </c>
      <c r="AE3152" s="72">
        <v>0</v>
      </c>
      <c r="AF3152" s="5"/>
      <c r="AG3152" s="6"/>
      <c r="AH3152" s="27"/>
      <c r="AI3152" s="44"/>
      <c r="AJ3152" s="26"/>
      <c r="AK3152" s="5"/>
      <c r="AL3152" s="82" t="s">
        <v>6099</v>
      </c>
      <c r="AM3152" s="76"/>
      <c r="AN3152" s="76"/>
      <c r="AO3152" s="76"/>
      <c r="AP3152" s="76"/>
      <c r="AQ3152" s="76"/>
      <c r="AR3152" s="76"/>
      <c r="AS3152" s="76"/>
      <c r="AT3152" s="76"/>
      <c r="AU3152" s="76"/>
      <c r="AV3152" s="76"/>
      <c r="AW3152" s="76"/>
      <c r="AX3152" s="76">
        <f>+AW3152*600000</f>
        <v>0</v>
      </c>
      <c r="AY3152" s="76"/>
      <c r="AZ3152" s="76">
        <f>+AY3152*70000</f>
        <v>0</v>
      </c>
      <c r="BA3152" s="76"/>
      <c r="BB3152" s="76"/>
      <c r="BC3152" s="76"/>
      <c r="BD3152" s="76">
        <f>+BC3152*30000</f>
        <v>0</v>
      </c>
      <c r="BE3152" s="76"/>
      <c r="BF3152" s="76"/>
      <c r="BG3152" s="76"/>
      <c r="BH3152" s="76"/>
      <c r="BI3152" s="76"/>
      <c r="BJ3152" s="76"/>
      <c r="BK3152" s="76"/>
      <c r="BL3152" s="76">
        <f>+BK3152*31500</f>
        <v>0</v>
      </c>
      <c r="BM3152" s="76"/>
      <c r="BN3152" s="76"/>
      <c r="BO3152" s="76"/>
      <c r="BP3152" s="76"/>
      <c r="BQ3152" s="76"/>
      <c r="BR3152" s="76"/>
      <c r="BS3152" s="76"/>
      <c r="BT3152" s="76"/>
      <c r="BU3152" s="76"/>
      <c r="BV3152" s="76"/>
      <c r="BW3152" s="76"/>
      <c r="BX3152" s="76"/>
      <c r="BY3152" s="76"/>
      <c r="BZ3152" s="76"/>
      <c r="CA3152" s="76"/>
      <c r="CB3152" s="76"/>
      <c r="CC3152" s="76"/>
      <c r="CD3152" s="76"/>
      <c r="CE3152" s="76"/>
      <c r="CF3152" s="76">
        <f>+CE3152*28000</f>
        <v>0</v>
      </c>
      <c r="CG3152" s="76"/>
      <c r="CH3152" s="76">
        <f>+CG3152*22500</f>
        <v>0</v>
      </c>
      <c r="CI3152" s="76"/>
      <c r="CJ3152" s="76">
        <f>+CI3152*26000</f>
        <v>0</v>
      </c>
      <c r="CK3152" s="76"/>
      <c r="CL3152" s="76"/>
      <c r="CM3152" s="76"/>
      <c r="CN3152" s="76">
        <f>+CM3152*22000</f>
        <v>0</v>
      </c>
      <c r="CO3152" s="76"/>
      <c r="CP3152" s="76">
        <f>+CO3152*46000</f>
        <v>0</v>
      </c>
      <c r="CQ3152" s="76"/>
      <c r="CR3152" s="76">
        <f>+CQ3152*49000</f>
        <v>0</v>
      </c>
      <c r="CS3152" s="76"/>
      <c r="CT3152" s="76"/>
      <c r="CU3152" s="56">
        <f>AN3152+AP3152+AR3152+AT3152+AV3152+AX3152+AZ3152+BB3152+BD3152+BF3152+BH3152+BJ3152+BL3152+BN3152+BP3152+BR3152+BT3152+BV3152+BX3152+BZ3152+CB3152+CD3152+CF3152+CH3152+CJ3152+CL3152+CN3152+CP3152+CR3152+CT3152</f>
        <v>0</v>
      </c>
      <c r="CV3152" s="76"/>
      <c r="CW3152" s="76">
        <f>+CV3152*1100</f>
        <v>0</v>
      </c>
      <c r="CX3152" s="76"/>
      <c r="CY3152" s="76">
        <f>+CX3152*106250</f>
        <v>0</v>
      </c>
      <c r="CZ3152" s="76"/>
      <c r="DA3152" s="76">
        <f>+CZ3152*34500</f>
        <v>0</v>
      </c>
      <c r="DB3152" s="76"/>
      <c r="DC3152" s="76">
        <f>+DB3152*25000</f>
        <v>0</v>
      </c>
      <c r="DD3152" s="219"/>
      <c r="DE3152" s="219"/>
      <c r="DF3152" s="166"/>
      <c r="DG3152" s="116"/>
      <c r="DH3152" s="117"/>
      <c r="DI3152" s="24"/>
      <c r="DJ3152" s="24"/>
      <c r="DK3152" s="24"/>
      <c r="DL3152" s="24"/>
      <c r="DM3152" s="24"/>
      <c r="DN3152" s="24"/>
      <c r="DO3152" s="24"/>
      <c r="DP3152" s="24"/>
      <c r="DQ3152" s="24"/>
      <c r="DR3152" s="24"/>
      <c r="DS3152" s="24"/>
      <c r="DT3152" s="24"/>
      <c r="DU3152" s="24"/>
    </row>
    <row r="3153" spans="1:125" s="8" customFormat="1" ht="72" x14ac:dyDescent="0.2">
      <c r="A3153" s="77">
        <v>41541</v>
      </c>
      <c r="B3153" s="352" t="s">
        <v>2772</v>
      </c>
      <c r="C3153" s="354" t="s">
        <v>1115</v>
      </c>
      <c r="D3153" s="354" t="s">
        <v>2846</v>
      </c>
      <c r="E3153" s="296" t="str">
        <f>VLOOKUP(B3153&amp;C3153,Divipola!$C$2:$F$1138,4,FALSE)</f>
        <v>25473</v>
      </c>
      <c r="F3153" s="87"/>
      <c r="G3153" s="87"/>
      <c r="H3153" s="87"/>
      <c r="I3153" s="87"/>
      <c r="J3153" s="87"/>
      <c r="K3153" s="87"/>
      <c r="L3153" s="87"/>
      <c r="M3153" s="87"/>
      <c r="N3153" s="87"/>
      <c r="O3153" s="87"/>
      <c r="P3153" s="87"/>
      <c r="Q3153" s="87"/>
      <c r="R3153" s="87"/>
      <c r="S3153" s="87"/>
      <c r="T3153" s="87"/>
      <c r="U3153" s="88">
        <v>0.5</v>
      </c>
      <c r="V3153" s="89"/>
      <c r="W3153" s="96">
        <v>0</v>
      </c>
      <c r="X3153" s="71">
        <f>CU3153</f>
        <v>0</v>
      </c>
      <c r="Y3153" s="71">
        <f>CY3153</f>
        <v>0</v>
      </c>
      <c r="Z3153" s="71">
        <f>DA3153+DC3153+DE3153</f>
        <v>0</v>
      </c>
      <c r="AA3153" s="71">
        <f>CW3153</f>
        <v>0</v>
      </c>
      <c r="AB3153" s="71"/>
      <c r="AC3153" s="71">
        <v>0</v>
      </c>
      <c r="AD3153" s="71">
        <f>W3153+X3153+Y3153+Z3153+AA3153+AB3153+AC3153</f>
        <v>0</v>
      </c>
      <c r="AE3153" s="72">
        <v>0</v>
      </c>
      <c r="AF3153" s="5"/>
      <c r="AG3153" s="6"/>
      <c r="AH3153" s="27"/>
      <c r="AI3153" s="44"/>
      <c r="AJ3153" s="26"/>
      <c r="AK3153" s="5"/>
      <c r="AL3153" s="82" t="s">
        <v>6080</v>
      </c>
      <c r="AM3153" s="76"/>
      <c r="AN3153" s="76"/>
      <c r="AO3153" s="76"/>
      <c r="AP3153" s="76"/>
      <c r="AQ3153" s="76"/>
      <c r="AR3153" s="76"/>
      <c r="AS3153" s="76"/>
      <c r="AT3153" s="76"/>
      <c r="AU3153" s="76"/>
      <c r="AV3153" s="76"/>
      <c r="AW3153" s="76"/>
      <c r="AX3153" s="76">
        <f>+AW3153*600000</f>
        <v>0</v>
      </c>
      <c r="AY3153" s="76"/>
      <c r="AZ3153" s="76">
        <f>+AY3153*70000</f>
        <v>0</v>
      </c>
      <c r="BA3153" s="76"/>
      <c r="BB3153" s="76"/>
      <c r="BC3153" s="76"/>
      <c r="BD3153" s="76">
        <f>+BC3153*30000</f>
        <v>0</v>
      </c>
      <c r="BE3153" s="76"/>
      <c r="BF3153" s="76"/>
      <c r="BG3153" s="76"/>
      <c r="BH3153" s="76"/>
      <c r="BI3153" s="76"/>
      <c r="BJ3153" s="76"/>
      <c r="BK3153" s="76"/>
      <c r="BL3153" s="76">
        <f>+BK3153*31500</f>
        <v>0</v>
      </c>
      <c r="BM3153" s="76"/>
      <c r="BN3153" s="76"/>
      <c r="BO3153" s="76"/>
      <c r="BP3153" s="76"/>
      <c r="BQ3153" s="76"/>
      <c r="BR3153" s="76"/>
      <c r="BS3153" s="76"/>
      <c r="BT3153" s="76"/>
      <c r="BU3153" s="76"/>
      <c r="BV3153" s="76"/>
      <c r="BW3153" s="76"/>
      <c r="BX3153" s="76"/>
      <c r="BY3153" s="76"/>
      <c r="BZ3153" s="76"/>
      <c r="CA3153" s="76"/>
      <c r="CB3153" s="76"/>
      <c r="CC3153" s="76"/>
      <c r="CD3153" s="76"/>
      <c r="CE3153" s="76"/>
      <c r="CF3153" s="76">
        <f>+CE3153*28000</f>
        <v>0</v>
      </c>
      <c r="CG3153" s="76"/>
      <c r="CH3153" s="76">
        <f>+CG3153*22500</f>
        <v>0</v>
      </c>
      <c r="CI3153" s="76"/>
      <c r="CJ3153" s="76">
        <f>+CI3153*26000</f>
        <v>0</v>
      </c>
      <c r="CK3153" s="76"/>
      <c r="CL3153" s="76"/>
      <c r="CM3153" s="76"/>
      <c r="CN3153" s="76">
        <f>+CM3153*22000</f>
        <v>0</v>
      </c>
      <c r="CO3153" s="76"/>
      <c r="CP3153" s="76">
        <f>+CO3153*46000</f>
        <v>0</v>
      </c>
      <c r="CQ3153" s="76"/>
      <c r="CR3153" s="76">
        <f>+CQ3153*49000</f>
        <v>0</v>
      </c>
      <c r="CS3153" s="76"/>
      <c r="CT3153" s="76"/>
      <c r="CU3153" s="56">
        <f>AN3153+AP3153+AR3153+AT3153+AV3153+AX3153+AZ3153+BB3153+BD3153+BF3153+BH3153+BJ3153+BL3153+BN3153+BP3153+BR3153+BT3153+BV3153+BX3153+BZ3153+CB3153+CD3153+CF3153+CH3153+CJ3153+CL3153+CN3153+CP3153+CR3153+CT3153</f>
        <v>0</v>
      </c>
      <c r="CV3153" s="76"/>
      <c r="CW3153" s="76">
        <f>+CV3153*1100</f>
        <v>0</v>
      </c>
      <c r="CX3153" s="76"/>
      <c r="CY3153" s="76">
        <f>+CX3153*106250</f>
        <v>0</v>
      </c>
      <c r="CZ3153" s="76"/>
      <c r="DA3153" s="76">
        <f>+CZ3153*34500</f>
        <v>0</v>
      </c>
      <c r="DB3153" s="76"/>
      <c r="DC3153" s="76">
        <f>+DB3153*25000</f>
        <v>0</v>
      </c>
      <c r="DD3153" s="219"/>
      <c r="DE3153" s="219"/>
      <c r="DF3153" s="166"/>
      <c r="DG3153" s="116"/>
      <c r="DH3153" s="117"/>
      <c r="DI3153" s="24"/>
      <c r="DJ3153" s="24"/>
      <c r="DK3153" s="24"/>
      <c r="DL3153" s="24"/>
      <c r="DM3153" s="24"/>
      <c r="DN3153" s="24"/>
      <c r="DO3153" s="24"/>
      <c r="DP3153" s="24"/>
      <c r="DQ3153" s="24"/>
      <c r="DR3153" s="24"/>
      <c r="DS3153" s="24"/>
      <c r="DT3153" s="24"/>
      <c r="DU3153" s="24"/>
    </row>
    <row r="3154" spans="1:125" s="8" customFormat="1" ht="72" x14ac:dyDescent="0.2">
      <c r="A3154" s="77">
        <v>41541</v>
      </c>
      <c r="B3154" s="352" t="s">
        <v>2772</v>
      </c>
      <c r="C3154" s="354" t="s">
        <v>2690</v>
      </c>
      <c r="D3154" s="354" t="s">
        <v>2846</v>
      </c>
      <c r="E3154" s="296" t="str">
        <f>VLOOKUP(B3154&amp;C3154,Divipola!$C$2:$F$1138,4,FALSE)</f>
        <v>25513</v>
      </c>
      <c r="F3154" s="87"/>
      <c r="G3154" s="87"/>
      <c r="H3154" s="87"/>
      <c r="I3154" s="87"/>
      <c r="J3154" s="87"/>
      <c r="K3154" s="87"/>
      <c r="L3154" s="87"/>
      <c r="M3154" s="87"/>
      <c r="N3154" s="87"/>
      <c r="O3154" s="87"/>
      <c r="P3154" s="87"/>
      <c r="Q3154" s="87"/>
      <c r="R3154" s="87"/>
      <c r="S3154" s="87"/>
      <c r="T3154" s="87"/>
      <c r="U3154" s="88">
        <v>0.5</v>
      </c>
      <c r="V3154" s="89"/>
      <c r="W3154" s="96">
        <v>0</v>
      </c>
      <c r="X3154" s="71">
        <f>CU3154</f>
        <v>0</v>
      </c>
      <c r="Y3154" s="71">
        <f>CY3154</f>
        <v>0</v>
      </c>
      <c r="Z3154" s="71">
        <f>DA3154+DC3154+DE3154</f>
        <v>0</v>
      </c>
      <c r="AA3154" s="71">
        <f>CW3154</f>
        <v>0</v>
      </c>
      <c r="AB3154" s="71"/>
      <c r="AC3154" s="71">
        <v>0</v>
      </c>
      <c r="AD3154" s="71">
        <f>W3154+X3154+Y3154+Z3154+AA3154+AB3154+AC3154</f>
        <v>0</v>
      </c>
      <c r="AE3154" s="72">
        <v>0</v>
      </c>
      <c r="AF3154" s="5"/>
      <c r="AG3154" s="6"/>
      <c r="AH3154" s="27"/>
      <c r="AI3154" s="44"/>
      <c r="AJ3154" s="26"/>
      <c r="AK3154" s="5"/>
      <c r="AL3154" s="268" t="s">
        <v>6105</v>
      </c>
      <c r="AM3154" s="76"/>
      <c r="AN3154" s="76"/>
      <c r="AO3154" s="76"/>
      <c r="AP3154" s="76"/>
      <c r="AQ3154" s="76"/>
      <c r="AR3154" s="76"/>
      <c r="AS3154" s="76"/>
      <c r="AT3154" s="76"/>
      <c r="AU3154" s="76"/>
      <c r="AV3154" s="76"/>
      <c r="AW3154" s="76"/>
      <c r="AX3154" s="76">
        <f>+AW3154*600000</f>
        <v>0</v>
      </c>
      <c r="AY3154" s="76"/>
      <c r="AZ3154" s="76">
        <f>+AY3154*70000</f>
        <v>0</v>
      </c>
      <c r="BA3154" s="76"/>
      <c r="BB3154" s="76"/>
      <c r="BC3154" s="76"/>
      <c r="BD3154" s="76">
        <f>+BC3154*30000</f>
        <v>0</v>
      </c>
      <c r="BE3154" s="76"/>
      <c r="BF3154" s="76"/>
      <c r="BG3154" s="76"/>
      <c r="BH3154" s="76"/>
      <c r="BI3154" s="76"/>
      <c r="BJ3154" s="76"/>
      <c r="BK3154" s="76"/>
      <c r="BL3154" s="76">
        <f>+BK3154*31500</f>
        <v>0</v>
      </c>
      <c r="BM3154" s="76"/>
      <c r="BN3154" s="76"/>
      <c r="BO3154" s="76"/>
      <c r="BP3154" s="76"/>
      <c r="BQ3154" s="76"/>
      <c r="BR3154" s="76"/>
      <c r="BS3154" s="76"/>
      <c r="BT3154" s="76"/>
      <c r="BU3154" s="76"/>
      <c r="BV3154" s="76"/>
      <c r="BW3154" s="76"/>
      <c r="BX3154" s="76"/>
      <c r="BY3154" s="76"/>
      <c r="BZ3154" s="76"/>
      <c r="CA3154" s="76"/>
      <c r="CB3154" s="76"/>
      <c r="CC3154" s="76"/>
      <c r="CD3154" s="76"/>
      <c r="CE3154" s="76"/>
      <c r="CF3154" s="76">
        <f>+CE3154*28000</f>
        <v>0</v>
      </c>
      <c r="CG3154" s="76"/>
      <c r="CH3154" s="76">
        <f>+CG3154*22500</f>
        <v>0</v>
      </c>
      <c r="CI3154" s="76"/>
      <c r="CJ3154" s="76">
        <f>+CI3154*26000</f>
        <v>0</v>
      </c>
      <c r="CK3154" s="76"/>
      <c r="CL3154" s="76"/>
      <c r="CM3154" s="76"/>
      <c r="CN3154" s="76">
        <f>+CM3154*22000</f>
        <v>0</v>
      </c>
      <c r="CO3154" s="76"/>
      <c r="CP3154" s="76">
        <f>+CO3154*46000</f>
        <v>0</v>
      </c>
      <c r="CQ3154" s="76"/>
      <c r="CR3154" s="76">
        <f>+CQ3154*49000</f>
        <v>0</v>
      </c>
      <c r="CS3154" s="76"/>
      <c r="CT3154" s="76"/>
      <c r="CU3154" s="56">
        <f>AN3154+AP3154+AR3154+AT3154+AV3154+AX3154+AZ3154+BB3154+BD3154+BF3154+BH3154+BJ3154+BL3154+BN3154+BP3154+BR3154+BT3154+BV3154+BX3154+BZ3154+CB3154+CD3154+CF3154+CH3154+CJ3154+CL3154+CN3154+CP3154+CR3154+CT3154</f>
        <v>0</v>
      </c>
      <c r="CV3154" s="76"/>
      <c r="CW3154" s="76">
        <f>+CV3154*1100</f>
        <v>0</v>
      </c>
      <c r="CX3154" s="76"/>
      <c r="CY3154" s="76">
        <f>+CX3154*106250</f>
        <v>0</v>
      </c>
      <c r="CZ3154" s="76"/>
      <c r="DA3154" s="76">
        <f>+CZ3154*34500</f>
        <v>0</v>
      </c>
      <c r="DB3154" s="76"/>
      <c r="DC3154" s="76">
        <f>+DB3154*25000</f>
        <v>0</v>
      </c>
      <c r="DD3154" s="219"/>
      <c r="DE3154" s="219"/>
      <c r="DF3154" s="166"/>
      <c r="DG3154" s="116"/>
      <c r="DH3154" s="117"/>
      <c r="DI3154" s="24"/>
      <c r="DJ3154" s="24"/>
      <c r="DK3154" s="24"/>
      <c r="DL3154" s="24"/>
      <c r="DM3154" s="24"/>
      <c r="DN3154" s="24"/>
      <c r="DO3154" s="24"/>
      <c r="DP3154" s="24"/>
      <c r="DQ3154" s="24"/>
      <c r="DR3154" s="24"/>
      <c r="DS3154" s="24"/>
      <c r="DT3154" s="24"/>
      <c r="DU3154" s="24"/>
    </row>
    <row r="3155" spans="1:125" s="8" customFormat="1" ht="84" x14ac:dyDescent="0.2">
      <c r="A3155" s="77">
        <v>41541</v>
      </c>
      <c r="B3155" s="352" t="s">
        <v>2772</v>
      </c>
      <c r="C3155" s="354" t="s">
        <v>2690</v>
      </c>
      <c r="D3155" s="354" t="s">
        <v>2846</v>
      </c>
      <c r="E3155" s="296" t="str">
        <f>VLOOKUP(B3155&amp;C3155,Divipola!$C$2:$F$1138,4,FALSE)</f>
        <v>25513</v>
      </c>
      <c r="F3155" s="87"/>
      <c r="G3155" s="87"/>
      <c r="H3155" s="87"/>
      <c r="I3155" s="87"/>
      <c r="J3155" s="87"/>
      <c r="K3155" s="87"/>
      <c r="L3155" s="87"/>
      <c r="M3155" s="87"/>
      <c r="N3155" s="87"/>
      <c r="O3155" s="87"/>
      <c r="P3155" s="87"/>
      <c r="Q3155" s="87"/>
      <c r="R3155" s="87"/>
      <c r="S3155" s="87"/>
      <c r="T3155" s="87"/>
      <c r="U3155" s="88">
        <v>1.5</v>
      </c>
      <c r="V3155" s="89"/>
      <c r="W3155" s="96">
        <v>0</v>
      </c>
      <c r="X3155" s="71">
        <f>CU3155</f>
        <v>0</v>
      </c>
      <c r="Y3155" s="71">
        <f>CY3155</f>
        <v>0</v>
      </c>
      <c r="Z3155" s="71">
        <f>DA3155+DC3155+DE3155</f>
        <v>0</v>
      </c>
      <c r="AA3155" s="71">
        <f>CW3155</f>
        <v>0</v>
      </c>
      <c r="AB3155" s="71"/>
      <c r="AC3155" s="71">
        <v>0</v>
      </c>
      <c r="AD3155" s="71">
        <f>W3155+X3155+Y3155+Z3155+AA3155+AB3155+AC3155</f>
        <v>0</v>
      </c>
      <c r="AE3155" s="72">
        <v>0</v>
      </c>
      <c r="AF3155" s="5"/>
      <c r="AG3155" s="6"/>
      <c r="AH3155" s="27"/>
      <c r="AI3155" s="44"/>
      <c r="AJ3155" s="26"/>
      <c r="AK3155" s="5"/>
      <c r="AL3155" s="268" t="s">
        <v>6106</v>
      </c>
      <c r="AM3155" s="76"/>
      <c r="AN3155" s="76"/>
      <c r="AO3155" s="76"/>
      <c r="AP3155" s="76"/>
      <c r="AQ3155" s="76"/>
      <c r="AR3155" s="76"/>
      <c r="AS3155" s="76"/>
      <c r="AT3155" s="76"/>
      <c r="AU3155" s="76"/>
      <c r="AV3155" s="76"/>
      <c r="AW3155" s="76"/>
      <c r="AX3155" s="76">
        <f>+AW3155*600000</f>
        <v>0</v>
      </c>
      <c r="AY3155" s="76"/>
      <c r="AZ3155" s="76">
        <f>+AY3155*70000</f>
        <v>0</v>
      </c>
      <c r="BA3155" s="76"/>
      <c r="BB3155" s="76"/>
      <c r="BC3155" s="76"/>
      <c r="BD3155" s="76">
        <f>+BC3155*30000</f>
        <v>0</v>
      </c>
      <c r="BE3155" s="76"/>
      <c r="BF3155" s="76"/>
      <c r="BG3155" s="76"/>
      <c r="BH3155" s="76"/>
      <c r="BI3155" s="76"/>
      <c r="BJ3155" s="76"/>
      <c r="BK3155" s="76"/>
      <c r="BL3155" s="76">
        <f>+BK3155*31500</f>
        <v>0</v>
      </c>
      <c r="BM3155" s="76"/>
      <c r="BN3155" s="76"/>
      <c r="BO3155" s="76"/>
      <c r="BP3155" s="76"/>
      <c r="BQ3155" s="76"/>
      <c r="BR3155" s="76"/>
      <c r="BS3155" s="76"/>
      <c r="BT3155" s="76"/>
      <c r="BU3155" s="76"/>
      <c r="BV3155" s="76"/>
      <c r="BW3155" s="76"/>
      <c r="BX3155" s="76"/>
      <c r="BY3155" s="76"/>
      <c r="BZ3155" s="76"/>
      <c r="CA3155" s="76"/>
      <c r="CB3155" s="76"/>
      <c r="CC3155" s="76"/>
      <c r="CD3155" s="76"/>
      <c r="CE3155" s="76"/>
      <c r="CF3155" s="76">
        <f>+CE3155*28000</f>
        <v>0</v>
      </c>
      <c r="CG3155" s="76"/>
      <c r="CH3155" s="76">
        <f>+CG3155*22500</f>
        <v>0</v>
      </c>
      <c r="CI3155" s="76"/>
      <c r="CJ3155" s="76">
        <f>+CI3155*26000</f>
        <v>0</v>
      </c>
      <c r="CK3155" s="76"/>
      <c r="CL3155" s="76"/>
      <c r="CM3155" s="76"/>
      <c r="CN3155" s="76">
        <f>+CM3155*22000</f>
        <v>0</v>
      </c>
      <c r="CO3155" s="76"/>
      <c r="CP3155" s="76">
        <f>+CO3155*46000</f>
        <v>0</v>
      </c>
      <c r="CQ3155" s="76"/>
      <c r="CR3155" s="76">
        <f>+CQ3155*49000</f>
        <v>0</v>
      </c>
      <c r="CS3155" s="76"/>
      <c r="CT3155" s="76"/>
      <c r="CU3155" s="56">
        <f>AN3155+AP3155+AR3155+AT3155+AV3155+AX3155+AZ3155+BB3155+BD3155+BF3155+BH3155+BJ3155+BL3155+BN3155+BP3155+BR3155+BT3155+BV3155+BX3155+BZ3155+CB3155+CD3155+CF3155+CH3155+CJ3155+CL3155+CN3155+CP3155+CR3155+CT3155</f>
        <v>0</v>
      </c>
      <c r="CV3155" s="76"/>
      <c r="CW3155" s="76">
        <f>+CV3155*1100</f>
        <v>0</v>
      </c>
      <c r="CX3155" s="76"/>
      <c r="CY3155" s="76">
        <f>+CX3155*106250</f>
        <v>0</v>
      </c>
      <c r="CZ3155" s="76"/>
      <c r="DA3155" s="76">
        <f>+CZ3155*34500</f>
        <v>0</v>
      </c>
      <c r="DB3155" s="76"/>
      <c r="DC3155" s="76">
        <f>+DB3155*25000</f>
        <v>0</v>
      </c>
      <c r="DD3155" s="219"/>
      <c r="DE3155" s="219"/>
      <c r="DF3155" s="166"/>
      <c r="DG3155" s="116"/>
      <c r="DH3155" s="117"/>
      <c r="DI3155" s="24"/>
      <c r="DJ3155" s="24"/>
      <c r="DK3155" s="24"/>
      <c r="DL3155" s="24"/>
      <c r="DM3155" s="24"/>
      <c r="DN3155" s="24"/>
      <c r="DO3155" s="24"/>
      <c r="DP3155" s="24"/>
      <c r="DQ3155" s="24"/>
      <c r="DR3155" s="24"/>
      <c r="DS3155" s="24"/>
      <c r="DT3155" s="24"/>
      <c r="DU3155" s="24"/>
    </row>
    <row r="3156" spans="1:125" s="8" customFormat="1" ht="48" x14ac:dyDescent="0.2">
      <c r="A3156" s="77">
        <v>41541</v>
      </c>
      <c r="B3156" s="352" t="s">
        <v>2772</v>
      </c>
      <c r="C3156" s="354" t="s">
        <v>2155</v>
      </c>
      <c r="D3156" s="354" t="s">
        <v>2846</v>
      </c>
      <c r="E3156" s="296" t="str">
        <f>VLOOKUP(B3156&amp;C3156,Divipola!$C$2:$F$1138,4,FALSE)</f>
        <v>25875</v>
      </c>
      <c r="F3156" s="87"/>
      <c r="G3156" s="87"/>
      <c r="H3156" s="87"/>
      <c r="I3156" s="87"/>
      <c r="J3156" s="87"/>
      <c r="K3156" s="87"/>
      <c r="L3156" s="87"/>
      <c r="M3156" s="87"/>
      <c r="N3156" s="87"/>
      <c r="O3156" s="87"/>
      <c r="P3156" s="87"/>
      <c r="Q3156" s="87"/>
      <c r="R3156" s="87"/>
      <c r="S3156" s="87"/>
      <c r="T3156" s="87"/>
      <c r="U3156" s="88"/>
      <c r="V3156" s="89"/>
      <c r="W3156" s="96">
        <v>0</v>
      </c>
      <c r="X3156" s="71">
        <f>CU3156</f>
        <v>0</v>
      </c>
      <c r="Y3156" s="71">
        <f>CY3156</f>
        <v>0</v>
      </c>
      <c r="Z3156" s="71">
        <f>DA3156+DC3156+DE3156</f>
        <v>0</v>
      </c>
      <c r="AA3156" s="71">
        <f>CW3156</f>
        <v>0</v>
      </c>
      <c r="AB3156" s="71"/>
      <c r="AC3156" s="71">
        <v>0</v>
      </c>
      <c r="AD3156" s="71">
        <f>W3156+X3156+Y3156+Z3156+AA3156+AB3156+AC3156</f>
        <v>0</v>
      </c>
      <c r="AE3156" s="72">
        <v>0</v>
      </c>
      <c r="AF3156" s="5"/>
      <c r="AG3156" s="6"/>
      <c r="AH3156" s="27"/>
      <c r="AI3156" s="44"/>
      <c r="AJ3156" s="26"/>
      <c r="AK3156" s="5"/>
      <c r="AL3156" s="82" t="s">
        <v>6081</v>
      </c>
      <c r="AM3156" s="76"/>
      <c r="AN3156" s="76"/>
      <c r="AO3156" s="76"/>
      <c r="AP3156" s="76"/>
      <c r="AQ3156" s="76"/>
      <c r="AR3156" s="76"/>
      <c r="AS3156" s="76"/>
      <c r="AT3156" s="76"/>
      <c r="AU3156" s="76"/>
      <c r="AV3156" s="76"/>
      <c r="AW3156" s="76"/>
      <c r="AX3156" s="76">
        <f>+AW3156*600000</f>
        <v>0</v>
      </c>
      <c r="AY3156" s="76"/>
      <c r="AZ3156" s="76">
        <f>+AY3156*70000</f>
        <v>0</v>
      </c>
      <c r="BA3156" s="76"/>
      <c r="BB3156" s="76"/>
      <c r="BC3156" s="76"/>
      <c r="BD3156" s="76">
        <f>+BC3156*30000</f>
        <v>0</v>
      </c>
      <c r="BE3156" s="76"/>
      <c r="BF3156" s="76"/>
      <c r="BG3156" s="76"/>
      <c r="BH3156" s="76"/>
      <c r="BI3156" s="76"/>
      <c r="BJ3156" s="76"/>
      <c r="BK3156" s="76"/>
      <c r="BL3156" s="76">
        <f>+BK3156*31500</f>
        <v>0</v>
      </c>
      <c r="BM3156" s="76"/>
      <c r="BN3156" s="76"/>
      <c r="BO3156" s="76"/>
      <c r="BP3156" s="76"/>
      <c r="BQ3156" s="76"/>
      <c r="BR3156" s="76"/>
      <c r="BS3156" s="76"/>
      <c r="BT3156" s="76"/>
      <c r="BU3156" s="76"/>
      <c r="BV3156" s="76"/>
      <c r="BW3156" s="76"/>
      <c r="BX3156" s="76"/>
      <c r="BY3156" s="76"/>
      <c r="BZ3156" s="76"/>
      <c r="CA3156" s="76"/>
      <c r="CB3156" s="76"/>
      <c r="CC3156" s="76"/>
      <c r="CD3156" s="76"/>
      <c r="CE3156" s="76"/>
      <c r="CF3156" s="76">
        <f>+CE3156*28000</f>
        <v>0</v>
      </c>
      <c r="CG3156" s="76"/>
      <c r="CH3156" s="76">
        <f>+CG3156*22500</f>
        <v>0</v>
      </c>
      <c r="CI3156" s="76"/>
      <c r="CJ3156" s="76">
        <f>+CI3156*26000</f>
        <v>0</v>
      </c>
      <c r="CK3156" s="76"/>
      <c r="CL3156" s="76"/>
      <c r="CM3156" s="76"/>
      <c r="CN3156" s="76">
        <f>+CM3156*22000</f>
        <v>0</v>
      </c>
      <c r="CO3156" s="76"/>
      <c r="CP3156" s="76">
        <f>+CO3156*46000</f>
        <v>0</v>
      </c>
      <c r="CQ3156" s="76"/>
      <c r="CR3156" s="76">
        <f>+CQ3156*49000</f>
        <v>0</v>
      </c>
      <c r="CS3156" s="76"/>
      <c r="CT3156" s="76"/>
      <c r="CU3156" s="56">
        <f>AN3156+AP3156+AR3156+AT3156+AV3156+AX3156+AZ3156+BB3156+BD3156+BF3156+BH3156+BJ3156+BL3156+BN3156+BP3156+BR3156+BT3156+BV3156+BX3156+BZ3156+CB3156+CD3156+CF3156+CH3156+CJ3156+CL3156+CN3156+CP3156+CR3156+CT3156</f>
        <v>0</v>
      </c>
      <c r="CV3156" s="76"/>
      <c r="CW3156" s="76">
        <f>+CV3156*1100</f>
        <v>0</v>
      </c>
      <c r="CX3156" s="76"/>
      <c r="CY3156" s="76">
        <f>+CX3156*106250</f>
        <v>0</v>
      </c>
      <c r="CZ3156" s="76"/>
      <c r="DA3156" s="76">
        <f>+CZ3156*34500</f>
        <v>0</v>
      </c>
      <c r="DB3156" s="76"/>
      <c r="DC3156" s="76">
        <f>+DB3156*25000</f>
        <v>0</v>
      </c>
      <c r="DD3156" s="219"/>
      <c r="DE3156" s="219"/>
      <c r="DF3156" s="166"/>
      <c r="DG3156" s="116"/>
      <c r="DH3156" s="117"/>
      <c r="DI3156" s="24"/>
      <c r="DJ3156" s="24"/>
      <c r="DK3156" s="24"/>
      <c r="DL3156" s="24"/>
      <c r="DM3156" s="24"/>
      <c r="DN3156" s="24"/>
      <c r="DO3156" s="24"/>
      <c r="DP3156" s="24"/>
      <c r="DQ3156" s="24"/>
      <c r="DR3156" s="24"/>
      <c r="DS3156" s="24"/>
      <c r="DT3156" s="24"/>
      <c r="DU3156" s="24"/>
    </row>
    <row r="3157" spans="1:125" s="8" customFormat="1" ht="48" x14ac:dyDescent="0.2">
      <c r="A3157" s="77">
        <v>41541</v>
      </c>
      <c r="B3157" s="78" t="s">
        <v>2811</v>
      </c>
      <c r="C3157" s="75" t="s">
        <v>494</v>
      </c>
      <c r="D3157" s="75" t="s">
        <v>2846</v>
      </c>
      <c r="E3157" s="296" t="str">
        <f>VLOOKUP(B3157&amp;C3157,Divipola!$C$2:$F$1138,4,FALSE)</f>
        <v>52019</v>
      </c>
      <c r="F3157" s="87"/>
      <c r="G3157" s="87"/>
      <c r="H3157" s="87"/>
      <c r="I3157" s="87"/>
      <c r="J3157" s="87"/>
      <c r="K3157" s="87"/>
      <c r="L3157" s="87"/>
      <c r="M3157" s="87"/>
      <c r="N3157" s="87"/>
      <c r="O3157" s="87"/>
      <c r="P3157" s="87"/>
      <c r="Q3157" s="87"/>
      <c r="R3157" s="87"/>
      <c r="S3157" s="87"/>
      <c r="T3157" s="87"/>
      <c r="U3157" s="88">
        <v>1</v>
      </c>
      <c r="V3157" s="89"/>
      <c r="W3157" s="96">
        <v>0</v>
      </c>
      <c r="X3157" s="71">
        <f>CU3157</f>
        <v>0</v>
      </c>
      <c r="Y3157" s="71">
        <f>CY3157</f>
        <v>0</v>
      </c>
      <c r="Z3157" s="71">
        <f>DA3157+DC3157+DE3157</f>
        <v>0</v>
      </c>
      <c r="AA3157" s="71">
        <f>CW3157</f>
        <v>0</v>
      </c>
      <c r="AB3157" s="71"/>
      <c r="AC3157" s="71">
        <v>0</v>
      </c>
      <c r="AD3157" s="71">
        <f>W3157+X3157+Y3157+Z3157+AA3157+AB3157+AC3157</f>
        <v>0</v>
      </c>
      <c r="AE3157" s="72">
        <v>0</v>
      </c>
      <c r="AF3157" s="5"/>
      <c r="AG3157" s="6"/>
      <c r="AH3157" s="27"/>
      <c r="AI3157" s="44"/>
      <c r="AJ3157" s="26"/>
      <c r="AK3157" s="5"/>
      <c r="AL3157" s="268" t="s">
        <v>6072</v>
      </c>
      <c r="AM3157" s="76"/>
      <c r="AN3157" s="76"/>
      <c r="AO3157" s="76"/>
      <c r="AP3157" s="76"/>
      <c r="AQ3157" s="76"/>
      <c r="AR3157" s="76"/>
      <c r="AS3157" s="76"/>
      <c r="AT3157" s="76"/>
      <c r="AU3157" s="76"/>
      <c r="AV3157" s="76"/>
      <c r="AW3157" s="76"/>
      <c r="AX3157" s="76">
        <f>+AW3157*600000</f>
        <v>0</v>
      </c>
      <c r="AY3157" s="76"/>
      <c r="AZ3157" s="76">
        <f>+AY3157*70000</f>
        <v>0</v>
      </c>
      <c r="BA3157" s="76"/>
      <c r="BB3157" s="76"/>
      <c r="BC3157" s="76"/>
      <c r="BD3157" s="76">
        <f>+BC3157*30000</f>
        <v>0</v>
      </c>
      <c r="BE3157" s="76"/>
      <c r="BF3157" s="76"/>
      <c r="BG3157" s="76"/>
      <c r="BH3157" s="76"/>
      <c r="BI3157" s="76"/>
      <c r="BJ3157" s="76"/>
      <c r="BK3157" s="76"/>
      <c r="BL3157" s="76">
        <f>+BK3157*31500</f>
        <v>0</v>
      </c>
      <c r="BM3157" s="76"/>
      <c r="BN3157" s="76"/>
      <c r="BO3157" s="76"/>
      <c r="BP3157" s="76"/>
      <c r="BQ3157" s="76"/>
      <c r="BR3157" s="76"/>
      <c r="BS3157" s="76"/>
      <c r="BT3157" s="76"/>
      <c r="BU3157" s="76"/>
      <c r="BV3157" s="76"/>
      <c r="BW3157" s="76"/>
      <c r="BX3157" s="76"/>
      <c r="BY3157" s="76"/>
      <c r="BZ3157" s="76"/>
      <c r="CA3157" s="76"/>
      <c r="CB3157" s="76"/>
      <c r="CC3157" s="76"/>
      <c r="CD3157" s="76"/>
      <c r="CE3157" s="76"/>
      <c r="CF3157" s="76">
        <f>+CE3157*28000</f>
        <v>0</v>
      </c>
      <c r="CG3157" s="76"/>
      <c r="CH3157" s="76">
        <f>+CG3157*22500</f>
        <v>0</v>
      </c>
      <c r="CI3157" s="76"/>
      <c r="CJ3157" s="76">
        <f>+CI3157*26000</f>
        <v>0</v>
      </c>
      <c r="CK3157" s="76"/>
      <c r="CL3157" s="76"/>
      <c r="CM3157" s="76"/>
      <c r="CN3157" s="76">
        <f>+CM3157*22000</f>
        <v>0</v>
      </c>
      <c r="CO3157" s="76"/>
      <c r="CP3157" s="76">
        <f>+CO3157*46000</f>
        <v>0</v>
      </c>
      <c r="CQ3157" s="76"/>
      <c r="CR3157" s="76">
        <f>+CQ3157*49000</f>
        <v>0</v>
      </c>
      <c r="CS3157" s="76"/>
      <c r="CT3157" s="76"/>
      <c r="CU3157" s="56">
        <f>AN3157+AP3157+AR3157+AT3157+AV3157+AX3157+AZ3157+BB3157+BD3157+BF3157+BH3157+BJ3157+BL3157+BN3157+BP3157+BR3157+BT3157+BV3157+BX3157+BZ3157+CB3157+CD3157+CF3157+CH3157+CJ3157+CL3157+CN3157+CP3157+CR3157+CT3157</f>
        <v>0</v>
      </c>
      <c r="CV3157" s="76"/>
      <c r="CW3157" s="76">
        <f>+CV3157*1100</f>
        <v>0</v>
      </c>
      <c r="CX3157" s="76"/>
      <c r="CY3157" s="76">
        <f>+CX3157*106250</f>
        <v>0</v>
      </c>
      <c r="CZ3157" s="76"/>
      <c r="DA3157" s="76">
        <f>+CZ3157*34500</f>
        <v>0</v>
      </c>
      <c r="DB3157" s="76"/>
      <c r="DC3157" s="76">
        <f>+DB3157*25000</f>
        <v>0</v>
      </c>
      <c r="DD3157" s="219"/>
      <c r="DE3157" s="219"/>
      <c r="DF3157" s="166"/>
      <c r="DG3157" s="116"/>
      <c r="DH3157" s="117"/>
      <c r="DI3157" s="24"/>
      <c r="DJ3157" s="24"/>
      <c r="DK3157" s="24"/>
      <c r="DL3157" s="24"/>
      <c r="DM3157" s="24"/>
      <c r="DN3157" s="24"/>
      <c r="DO3157" s="24"/>
      <c r="DP3157" s="24"/>
      <c r="DQ3157" s="24"/>
      <c r="DR3157" s="24"/>
      <c r="DS3157" s="24"/>
      <c r="DT3157" s="24"/>
      <c r="DU3157" s="24"/>
    </row>
    <row r="3158" spans="1:125" s="8" customFormat="1" ht="48" x14ac:dyDescent="0.2">
      <c r="A3158" s="77">
        <v>41541</v>
      </c>
      <c r="B3158" s="352" t="s">
        <v>2811</v>
      </c>
      <c r="C3158" s="354" t="s">
        <v>1345</v>
      </c>
      <c r="D3158" s="354" t="s">
        <v>2846</v>
      </c>
      <c r="E3158" s="296" t="str">
        <f>VLOOKUP(B3158&amp;C3158,Divipola!$C$2:$F$1138,4,FALSE)</f>
        <v>52565</v>
      </c>
      <c r="F3158" s="87"/>
      <c r="G3158" s="87"/>
      <c r="H3158" s="87"/>
      <c r="I3158" s="87"/>
      <c r="J3158" s="87"/>
      <c r="K3158" s="87"/>
      <c r="L3158" s="87"/>
      <c r="M3158" s="87"/>
      <c r="N3158" s="87"/>
      <c r="O3158" s="87"/>
      <c r="P3158" s="87"/>
      <c r="Q3158" s="87"/>
      <c r="R3158" s="87"/>
      <c r="S3158" s="87"/>
      <c r="T3158" s="87"/>
      <c r="U3158" s="88">
        <v>3</v>
      </c>
      <c r="V3158" s="89"/>
      <c r="W3158" s="96">
        <v>0</v>
      </c>
      <c r="X3158" s="71">
        <f>CU3158</f>
        <v>0</v>
      </c>
      <c r="Y3158" s="71">
        <f>CY3158</f>
        <v>0</v>
      </c>
      <c r="Z3158" s="71">
        <f>DA3158+DC3158+DE3158</f>
        <v>0</v>
      </c>
      <c r="AA3158" s="71">
        <f>CW3158</f>
        <v>0</v>
      </c>
      <c r="AB3158" s="71"/>
      <c r="AC3158" s="71">
        <v>0</v>
      </c>
      <c r="AD3158" s="71">
        <f>W3158+X3158+Y3158+Z3158+AA3158+AB3158+AC3158</f>
        <v>0</v>
      </c>
      <c r="AE3158" s="72">
        <v>0</v>
      </c>
      <c r="AF3158" s="5"/>
      <c r="AG3158" s="6"/>
      <c r="AH3158" s="27"/>
      <c r="AI3158" s="44"/>
      <c r="AJ3158" s="26"/>
      <c r="AK3158" s="5"/>
      <c r="AL3158" s="331" t="s">
        <v>6073</v>
      </c>
      <c r="AM3158" s="76"/>
      <c r="AN3158" s="76"/>
      <c r="AO3158" s="76"/>
      <c r="AP3158" s="76"/>
      <c r="AQ3158" s="76"/>
      <c r="AR3158" s="76"/>
      <c r="AS3158" s="76"/>
      <c r="AT3158" s="76"/>
      <c r="AU3158" s="76"/>
      <c r="AV3158" s="76"/>
      <c r="AW3158" s="76"/>
      <c r="AX3158" s="76">
        <f>+AW3158*600000</f>
        <v>0</v>
      </c>
      <c r="AY3158" s="76"/>
      <c r="AZ3158" s="76">
        <f>+AY3158*70000</f>
        <v>0</v>
      </c>
      <c r="BA3158" s="76"/>
      <c r="BB3158" s="76"/>
      <c r="BC3158" s="76"/>
      <c r="BD3158" s="76">
        <f>+BC3158*30000</f>
        <v>0</v>
      </c>
      <c r="BE3158" s="76"/>
      <c r="BF3158" s="76"/>
      <c r="BG3158" s="76"/>
      <c r="BH3158" s="76"/>
      <c r="BI3158" s="76"/>
      <c r="BJ3158" s="76"/>
      <c r="BK3158" s="76"/>
      <c r="BL3158" s="76">
        <f>+BK3158*31500</f>
        <v>0</v>
      </c>
      <c r="BM3158" s="76"/>
      <c r="BN3158" s="76"/>
      <c r="BO3158" s="76"/>
      <c r="BP3158" s="76"/>
      <c r="BQ3158" s="76"/>
      <c r="BR3158" s="76"/>
      <c r="BS3158" s="76"/>
      <c r="BT3158" s="76"/>
      <c r="BU3158" s="76"/>
      <c r="BV3158" s="76"/>
      <c r="BW3158" s="76"/>
      <c r="BX3158" s="76"/>
      <c r="BY3158" s="76"/>
      <c r="BZ3158" s="76"/>
      <c r="CA3158" s="76"/>
      <c r="CB3158" s="76"/>
      <c r="CC3158" s="76"/>
      <c r="CD3158" s="76"/>
      <c r="CE3158" s="76"/>
      <c r="CF3158" s="76">
        <f>+CE3158*28000</f>
        <v>0</v>
      </c>
      <c r="CG3158" s="76"/>
      <c r="CH3158" s="76">
        <f>+CG3158*22500</f>
        <v>0</v>
      </c>
      <c r="CI3158" s="76"/>
      <c r="CJ3158" s="76">
        <f>+CI3158*26000</f>
        <v>0</v>
      </c>
      <c r="CK3158" s="76"/>
      <c r="CL3158" s="76"/>
      <c r="CM3158" s="76"/>
      <c r="CN3158" s="76">
        <f>+CM3158*22000</f>
        <v>0</v>
      </c>
      <c r="CO3158" s="76"/>
      <c r="CP3158" s="76">
        <f>+CO3158*46000</f>
        <v>0</v>
      </c>
      <c r="CQ3158" s="76"/>
      <c r="CR3158" s="76">
        <f>+CQ3158*49000</f>
        <v>0</v>
      </c>
      <c r="CS3158" s="76"/>
      <c r="CT3158" s="76"/>
      <c r="CU3158" s="56">
        <f>AN3158+AP3158+AR3158+AT3158+AV3158+AX3158+AZ3158+BB3158+BD3158+BF3158+BH3158+BJ3158+BL3158+BN3158+BP3158+BR3158+BT3158+BV3158+BX3158+BZ3158+CB3158+CD3158+CF3158+CH3158+CJ3158+CL3158+CN3158+CP3158+CR3158+CT3158</f>
        <v>0</v>
      </c>
      <c r="CV3158" s="76"/>
      <c r="CW3158" s="76">
        <f>+CV3158*1100</f>
        <v>0</v>
      </c>
      <c r="CX3158" s="76"/>
      <c r="CY3158" s="76">
        <f>+CX3158*106250</f>
        <v>0</v>
      </c>
      <c r="CZ3158" s="76"/>
      <c r="DA3158" s="76">
        <f>+CZ3158*34500</f>
        <v>0</v>
      </c>
      <c r="DB3158" s="76"/>
      <c r="DC3158" s="76">
        <f>+DB3158*25000</f>
        <v>0</v>
      </c>
      <c r="DD3158" s="219"/>
      <c r="DE3158" s="219"/>
      <c r="DF3158" s="166"/>
      <c r="DG3158" s="116"/>
      <c r="DH3158" s="117"/>
      <c r="DI3158" s="24"/>
      <c r="DJ3158" s="24"/>
      <c r="DK3158" s="24"/>
      <c r="DL3158" s="24"/>
      <c r="DM3158" s="24"/>
      <c r="DN3158" s="24"/>
      <c r="DO3158" s="24"/>
      <c r="DP3158" s="24"/>
      <c r="DQ3158" s="24"/>
      <c r="DR3158" s="24"/>
      <c r="DS3158" s="24"/>
      <c r="DT3158" s="24"/>
      <c r="DU3158" s="24"/>
    </row>
    <row r="3159" spans="1:125" s="8" customFormat="1" ht="36" x14ac:dyDescent="0.2">
      <c r="A3159" s="77">
        <v>41541</v>
      </c>
      <c r="B3159" s="208" t="s">
        <v>2880</v>
      </c>
      <c r="C3159" s="354" t="s">
        <v>1356</v>
      </c>
      <c r="D3159" s="354" t="s">
        <v>2846</v>
      </c>
      <c r="E3159" s="296" t="str">
        <f>VLOOKUP(B3159&amp;C3159,Divipola!$C$2:$F$1138,4,FALSE)</f>
        <v>54261</v>
      </c>
      <c r="F3159" s="87"/>
      <c r="G3159" s="87"/>
      <c r="H3159" s="87"/>
      <c r="I3159" s="87"/>
      <c r="J3159" s="87"/>
      <c r="K3159" s="87"/>
      <c r="L3159" s="87"/>
      <c r="M3159" s="87"/>
      <c r="N3159" s="87"/>
      <c r="O3159" s="87"/>
      <c r="P3159" s="87"/>
      <c r="Q3159" s="87"/>
      <c r="R3159" s="87"/>
      <c r="S3159" s="87"/>
      <c r="T3159" s="87"/>
      <c r="U3159" s="88"/>
      <c r="V3159" s="89"/>
      <c r="W3159" s="96">
        <v>0</v>
      </c>
      <c r="X3159" s="71">
        <f>CU3159</f>
        <v>0</v>
      </c>
      <c r="Y3159" s="71">
        <f>CY3159</f>
        <v>0</v>
      </c>
      <c r="Z3159" s="71">
        <f>DA3159+DC3159+DE3159</f>
        <v>0</v>
      </c>
      <c r="AA3159" s="71">
        <f>CW3159</f>
        <v>0</v>
      </c>
      <c r="AB3159" s="71"/>
      <c r="AC3159" s="71">
        <v>0</v>
      </c>
      <c r="AD3159" s="71">
        <f>W3159+X3159+Y3159+Z3159+AA3159+AB3159+AC3159</f>
        <v>0</v>
      </c>
      <c r="AE3159" s="72">
        <v>0</v>
      </c>
      <c r="AF3159" s="5"/>
      <c r="AG3159" s="6"/>
      <c r="AH3159" s="27"/>
      <c r="AI3159" s="44"/>
      <c r="AJ3159" s="26"/>
      <c r="AK3159" s="5"/>
      <c r="AL3159" s="82" t="s">
        <v>6069</v>
      </c>
      <c r="AM3159" s="76"/>
      <c r="AN3159" s="76"/>
      <c r="AO3159" s="76"/>
      <c r="AP3159" s="76"/>
      <c r="AQ3159" s="76"/>
      <c r="AR3159" s="76"/>
      <c r="AS3159" s="76"/>
      <c r="AT3159" s="76"/>
      <c r="AU3159" s="76"/>
      <c r="AV3159" s="76"/>
      <c r="AW3159" s="76"/>
      <c r="AX3159" s="76">
        <f>+AW3159*600000</f>
        <v>0</v>
      </c>
      <c r="AY3159" s="76"/>
      <c r="AZ3159" s="76">
        <f>+AY3159*70000</f>
        <v>0</v>
      </c>
      <c r="BA3159" s="76"/>
      <c r="BB3159" s="76"/>
      <c r="BC3159" s="76"/>
      <c r="BD3159" s="76">
        <f>+BC3159*30000</f>
        <v>0</v>
      </c>
      <c r="BE3159" s="76"/>
      <c r="BF3159" s="76"/>
      <c r="BG3159" s="76"/>
      <c r="BH3159" s="76"/>
      <c r="BI3159" s="76"/>
      <c r="BJ3159" s="76"/>
      <c r="BK3159" s="76"/>
      <c r="BL3159" s="76">
        <f>+BK3159*31500</f>
        <v>0</v>
      </c>
      <c r="BM3159" s="76"/>
      <c r="BN3159" s="76"/>
      <c r="BO3159" s="76"/>
      <c r="BP3159" s="76"/>
      <c r="BQ3159" s="76"/>
      <c r="BR3159" s="76"/>
      <c r="BS3159" s="76"/>
      <c r="BT3159" s="76"/>
      <c r="BU3159" s="76"/>
      <c r="BV3159" s="76"/>
      <c r="BW3159" s="76"/>
      <c r="BX3159" s="76"/>
      <c r="BY3159" s="76"/>
      <c r="BZ3159" s="76"/>
      <c r="CA3159" s="76"/>
      <c r="CB3159" s="76"/>
      <c r="CC3159" s="76"/>
      <c r="CD3159" s="76"/>
      <c r="CE3159" s="76"/>
      <c r="CF3159" s="76">
        <f>+CE3159*28000</f>
        <v>0</v>
      </c>
      <c r="CG3159" s="76"/>
      <c r="CH3159" s="76">
        <f>+CG3159*22500</f>
        <v>0</v>
      </c>
      <c r="CI3159" s="76"/>
      <c r="CJ3159" s="76">
        <f>+CI3159*26000</f>
        <v>0</v>
      </c>
      <c r="CK3159" s="76"/>
      <c r="CL3159" s="76"/>
      <c r="CM3159" s="76"/>
      <c r="CN3159" s="76">
        <f>+CM3159*22000</f>
        <v>0</v>
      </c>
      <c r="CO3159" s="76"/>
      <c r="CP3159" s="76">
        <f>+CO3159*46000</f>
        <v>0</v>
      </c>
      <c r="CQ3159" s="76"/>
      <c r="CR3159" s="76">
        <f>+CQ3159*49000</f>
        <v>0</v>
      </c>
      <c r="CS3159" s="76"/>
      <c r="CT3159" s="76"/>
      <c r="CU3159" s="56">
        <f>AN3159+AP3159+AR3159+AT3159+AV3159+AX3159+AZ3159+BB3159+BD3159+BF3159+BH3159+BJ3159+BL3159+BN3159+BP3159+BR3159+BT3159+BV3159+BX3159+BZ3159+CB3159+CD3159+CF3159+CH3159+CJ3159+CL3159+CN3159+CP3159+CR3159+CT3159</f>
        <v>0</v>
      </c>
      <c r="CV3159" s="76"/>
      <c r="CW3159" s="76">
        <f>+CV3159*1100</f>
        <v>0</v>
      </c>
      <c r="CX3159" s="76"/>
      <c r="CY3159" s="76">
        <f>+CX3159*106250</f>
        <v>0</v>
      </c>
      <c r="CZ3159" s="76"/>
      <c r="DA3159" s="76">
        <f>+CZ3159*34500</f>
        <v>0</v>
      </c>
      <c r="DB3159" s="76"/>
      <c r="DC3159" s="76">
        <f>+DB3159*25000</f>
        <v>0</v>
      </c>
      <c r="DD3159" s="219"/>
      <c r="DE3159" s="219"/>
      <c r="DF3159" s="166"/>
      <c r="DG3159" s="116"/>
      <c r="DH3159" s="117"/>
      <c r="DI3159" s="24"/>
      <c r="DJ3159" s="24"/>
      <c r="DK3159" s="24"/>
      <c r="DL3159" s="24"/>
      <c r="DM3159" s="24"/>
      <c r="DN3159" s="24"/>
      <c r="DO3159" s="24"/>
      <c r="DP3159" s="24"/>
      <c r="DQ3159" s="24"/>
      <c r="DR3159" s="24"/>
      <c r="DS3159" s="24"/>
      <c r="DT3159" s="24"/>
      <c r="DU3159" s="24"/>
    </row>
    <row r="3160" spans="1:125" s="8" customFormat="1" ht="60" x14ac:dyDescent="0.2">
      <c r="A3160" s="77">
        <v>41541</v>
      </c>
      <c r="B3160" s="225" t="s">
        <v>2847</v>
      </c>
      <c r="C3160" s="227" t="s">
        <v>2197</v>
      </c>
      <c r="D3160" s="227" t="s">
        <v>2846</v>
      </c>
      <c r="E3160" s="296" t="str">
        <f>VLOOKUP(B3160&amp;C3160,Divipola!$C$2:$F$1138,4,FALSE)</f>
        <v>68276</v>
      </c>
      <c r="F3160" s="87"/>
      <c r="G3160" s="87"/>
      <c r="H3160" s="87"/>
      <c r="I3160" s="87"/>
      <c r="J3160" s="87"/>
      <c r="K3160" s="87"/>
      <c r="L3160" s="87"/>
      <c r="M3160" s="87"/>
      <c r="N3160" s="87"/>
      <c r="O3160" s="87"/>
      <c r="P3160" s="87"/>
      <c r="Q3160" s="87"/>
      <c r="R3160" s="87"/>
      <c r="S3160" s="87"/>
      <c r="T3160" s="87"/>
      <c r="U3160" s="88">
        <v>3</v>
      </c>
      <c r="V3160" s="89"/>
      <c r="W3160" s="96">
        <v>0</v>
      </c>
      <c r="X3160" s="71">
        <f>CU3160</f>
        <v>0</v>
      </c>
      <c r="Y3160" s="71">
        <f>CY3160</f>
        <v>0</v>
      </c>
      <c r="Z3160" s="71">
        <f>DA3160+DC3160+DE3160</f>
        <v>0</v>
      </c>
      <c r="AA3160" s="71">
        <f>CW3160</f>
        <v>0</v>
      </c>
      <c r="AB3160" s="71"/>
      <c r="AC3160" s="71">
        <v>0</v>
      </c>
      <c r="AD3160" s="71">
        <f>W3160+X3160+Y3160+Z3160+AA3160+AB3160+AC3160</f>
        <v>0</v>
      </c>
      <c r="AE3160" s="72">
        <v>0</v>
      </c>
      <c r="AF3160" s="5"/>
      <c r="AG3160" s="6"/>
      <c r="AH3160" s="27"/>
      <c r="AI3160" s="44"/>
      <c r="AJ3160" s="26"/>
      <c r="AK3160" s="5"/>
      <c r="AL3160" s="82" t="s">
        <v>6060</v>
      </c>
      <c r="AM3160" s="76"/>
      <c r="AN3160" s="76"/>
      <c r="AO3160" s="76"/>
      <c r="AP3160" s="76"/>
      <c r="AQ3160" s="76"/>
      <c r="AR3160" s="76"/>
      <c r="AS3160" s="76"/>
      <c r="AT3160" s="76"/>
      <c r="AU3160" s="76"/>
      <c r="AV3160" s="76"/>
      <c r="AW3160" s="76"/>
      <c r="AX3160" s="76">
        <f>+AW3160*600000</f>
        <v>0</v>
      </c>
      <c r="AY3160" s="76"/>
      <c r="AZ3160" s="76">
        <f>+AY3160*70000</f>
        <v>0</v>
      </c>
      <c r="BA3160" s="76"/>
      <c r="BB3160" s="76"/>
      <c r="BC3160" s="76"/>
      <c r="BD3160" s="76">
        <f>+BC3160*30000</f>
        <v>0</v>
      </c>
      <c r="BE3160" s="76"/>
      <c r="BF3160" s="76"/>
      <c r="BG3160" s="76"/>
      <c r="BH3160" s="76"/>
      <c r="BI3160" s="76"/>
      <c r="BJ3160" s="76"/>
      <c r="BK3160" s="76"/>
      <c r="BL3160" s="76">
        <f>+BK3160*31500</f>
        <v>0</v>
      </c>
      <c r="BM3160" s="76"/>
      <c r="BN3160" s="76"/>
      <c r="BO3160" s="76"/>
      <c r="BP3160" s="76"/>
      <c r="BQ3160" s="76"/>
      <c r="BR3160" s="76"/>
      <c r="BS3160" s="76"/>
      <c r="BT3160" s="76"/>
      <c r="BU3160" s="76"/>
      <c r="BV3160" s="76"/>
      <c r="BW3160" s="76"/>
      <c r="BX3160" s="76"/>
      <c r="BY3160" s="76"/>
      <c r="BZ3160" s="76"/>
      <c r="CA3160" s="76"/>
      <c r="CB3160" s="76"/>
      <c r="CC3160" s="76"/>
      <c r="CD3160" s="76"/>
      <c r="CE3160" s="76"/>
      <c r="CF3160" s="76">
        <f>+CE3160*28000</f>
        <v>0</v>
      </c>
      <c r="CG3160" s="76"/>
      <c r="CH3160" s="76">
        <f>+CG3160*22500</f>
        <v>0</v>
      </c>
      <c r="CI3160" s="76"/>
      <c r="CJ3160" s="76">
        <f>+CI3160*26000</f>
        <v>0</v>
      </c>
      <c r="CK3160" s="76"/>
      <c r="CL3160" s="76"/>
      <c r="CM3160" s="76"/>
      <c r="CN3160" s="76">
        <f>+CM3160*22000</f>
        <v>0</v>
      </c>
      <c r="CO3160" s="76"/>
      <c r="CP3160" s="76">
        <f>+CO3160*46000</f>
        <v>0</v>
      </c>
      <c r="CQ3160" s="76"/>
      <c r="CR3160" s="76">
        <f>+CQ3160*49000</f>
        <v>0</v>
      </c>
      <c r="CS3160" s="76"/>
      <c r="CT3160" s="76"/>
      <c r="CU3160" s="56">
        <f>AN3160+AP3160+AR3160+AT3160+AV3160+AX3160+AZ3160+BB3160+BD3160+BF3160+BH3160+BJ3160+BL3160+BN3160+BP3160+BR3160+BT3160+BV3160+BX3160+BZ3160+CB3160+CD3160+CF3160+CH3160+CJ3160+CL3160+CN3160+CP3160+CR3160+CT3160</f>
        <v>0</v>
      </c>
      <c r="CV3160" s="76"/>
      <c r="CW3160" s="76">
        <f>+CV3160*1100</f>
        <v>0</v>
      </c>
      <c r="CX3160" s="76"/>
      <c r="CY3160" s="76">
        <f>+CX3160*106250</f>
        <v>0</v>
      </c>
      <c r="CZ3160" s="76"/>
      <c r="DA3160" s="76">
        <f>+CZ3160*34500</f>
        <v>0</v>
      </c>
      <c r="DB3160" s="76"/>
      <c r="DC3160" s="76">
        <f>+DB3160*25000</f>
        <v>0</v>
      </c>
      <c r="DD3160" s="219"/>
      <c r="DE3160" s="219"/>
      <c r="DF3160" s="166"/>
      <c r="DG3160" s="116"/>
      <c r="DH3160" s="117"/>
      <c r="DI3160" s="24"/>
      <c r="DJ3160" s="24"/>
      <c r="DK3160" s="24"/>
      <c r="DL3160" s="24"/>
      <c r="DM3160" s="24"/>
      <c r="DN3160" s="24"/>
      <c r="DO3160" s="24"/>
      <c r="DP3160" s="24"/>
      <c r="DQ3160" s="24"/>
      <c r="DR3160" s="24"/>
      <c r="DS3160" s="24"/>
      <c r="DT3160" s="24"/>
      <c r="DU3160" s="24"/>
    </row>
    <row r="3161" spans="1:125" s="8" customFormat="1" ht="72" x14ac:dyDescent="0.2">
      <c r="A3161" s="77">
        <v>41541</v>
      </c>
      <c r="B3161" s="225" t="s">
        <v>2847</v>
      </c>
      <c r="C3161" s="227" t="s">
        <v>2814</v>
      </c>
      <c r="D3161" s="354" t="s">
        <v>2846</v>
      </c>
      <c r="E3161" s="296" t="str">
        <f>VLOOKUP(B3161&amp;C3161,Divipola!$C$2:$F$1138,4,FALSE)</f>
        <v>68307</v>
      </c>
      <c r="F3161" s="87"/>
      <c r="G3161" s="87"/>
      <c r="H3161" s="87"/>
      <c r="I3161" s="87"/>
      <c r="J3161" s="87"/>
      <c r="K3161" s="87"/>
      <c r="L3161" s="325"/>
      <c r="M3161" s="87"/>
      <c r="N3161" s="87"/>
      <c r="O3161" s="87"/>
      <c r="P3161" s="87"/>
      <c r="Q3161" s="87"/>
      <c r="R3161" s="87"/>
      <c r="S3161" s="87"/>
      <c r="T3161" s="87"/>
      <c r="U3161" s="88">
        <v>0.8</v>
      </c>
      <c r="V3161" s="89"/>
      <c r="W3161" s="96">
        <v>0</v>
      </c>
      <c r="X3161" s="71">
        <f>CU3161</f>
        <v>0</v>
      </c>
      <c r="Y3161" s="71">
        <f>CY3161</f>
        <v>0</v>
      </c>
      <c r="Z3161" s="71">
        <f>DA3161+DC3161+DE3161</f>
        <v>0</v>
      </c>
      <c r="AA3161" s="71">
        <f>CW3161</f>
        <v>0</v>
      </c>
      <c r="AB3161" s="71"/>
      <c r="AC3161" s="71">
        <v>0</v>
      </c>
      <c r="AD3161" s="71">
        <f>W3161+X3161+Y3161+Z3161+AA3161+AB3161+AC3161</f>
        <v>0</v>
      </c>
      <c r="AE3161" s="72">
        <v>0</v>
      </c>
      <c r="AF3161" s="5"/>
      <c r="AG3161" s="6"/>
      <c r="AH3161" s="27"/>
      <c r="AI3161" s="44"/>
      <c r="AJ3161" s="26"/>
      <c r="AK3161" s="5"/>
      <c r="AL3161" s="82" t="s">
        <v>6053</v>
      </c>
      <c r="AM3161" s="76"/>
      <c r="AN3161" s="76"/>
      <c r="AO3161" s="76"/>
      <c r="AP3161" s="76"/>
      <c r="AQ3161" s="76"/>
      <c r="AR3161" s="76"/>
      <c r="AS3161" s="76"/>
      <c r="AT3161" s="76"/>
      <c r="AU3161" s="76"/>
      <c r="AV3161" s="76"/>
      <c r="AW3161" s="76"/>
      <c r="AX3161" s="76">
        <f>+AW3161*600000</f>
        <v>0</v>
      </c>
      <c r="AY3161" s="76"/>
      <c r="AZ3161" s="76">
        <f>+AY3161*70000</f>
        <v>0</v>
      </c>
      <c r="BA3161" s="76"/>
      <c r="BB3161" s="76"/>
      <c r="BC3161" s="76"/>
      <c r="BD3161" s="76">
        <f>+BC3161*30000</f>
        <v>0</v>
      </c>
      <c r="BE3161" s="76"/>
      <c r="BF3161" s="76"/>
      <c r="BG3161" s="76"/>
      <c r="BH3161" s="76"/>
      <c r="BI3161" s="76"/>
      <c r="BJ3161" s="76"/>
      <c r="BK3161" s="76"/>
      <c r="BL3161" s="76">
        <f>+BK3161*31500</f>
        <v>0</v>
      </c>
      <c r="BM3161" s="76"/>
      <c r="BN3161" s="76"/>
      <c r="BO3161" s="76"/>
      <c r="BP3161" s="76"/>
      <c r="BQ3161" s="76"/>
      <c r="BR3161" s="76"/>
      <c r="BS3161" s="76"/>
      <c r="BT3161" s="76"/>
      <c r="BU3161" s="76"/>
      <c r="BV3161" s="76"/>
      <c r="BW3161" s="76"/>
      <c r="BX3161" s="76"/>
      <c r="BY3161" s="76"/>
      <c r="BZ3161" s="76"/>
      <c r="CA3161" s="76"/>
      <c r="CB3161" s="76"/>
      <c r="CC3161" s="76"/>
      <c r="CD3161" s="76"/>
      <c r="CE3161" s="76"/>
      <c r="CF3161" s="76">
        <f>+CE3161*28000</f>
        <v>0</v>
      </c>
      <c r="CG3161" s="76"/>
      <c r="CH3161" s="76">
        <f>+CG3161*22500</f>
        <v>0</v>
      </c>
      <c r="CI3161" s="76"/>
      <c r="CJ3161" s="76">
        <f>+CI3161*26000</f>
        <v>0</v>
      </c>
      <c r="CK3161" s="76"/>
      <c r="CL3161" s="76"/>
      <c r="CM3161" s="76"/>
      <c r="CN3161" s="76">
        <f>+CM3161*22000</f>
        <v>0</v>
      </c>
      <c r="CO3161" s="76"/>
      <c r="CP3161" s="76">
        <f>+CO3161*46000</f>
        <v>0</v>
      </c>
      <c r="CQ3161" s="76"/>
      <c r="CR3161" s="76">
        <f>+CQ3161*49000</f>
        <v>0</v>
      </c>
      <c r="CS3161" s="76"/>
      <c r="CT3161" s="76"/>
      <c r="CU3161" s="56">
        <f>AN3161+AP3161+AR3161+AT3161+AV3161+AX3161+AZ3161+BB3161+BD3161+BF3161+BH3161+BJ3161+BL3161+BN3161+BP3161+BR3161+BT3161+BV3161+BX3161+BZ3161+CB3161+CD3161+CF3161+CH3161+CJ3161+CL3161+CN3161+CP3161+CR3161+CT3161</f>
        <v>0</v>
      </c>
      <c r="CV3161" s="76"/>
      <c r="CW3161" s="76">
        <f>+CV3161*1100</f>
        <v>0</v>
      </c>
      <c r="CX3161" s="76"/>
      <c r="CY3161" s="76">
        <f>+CX3161*106250</f>
        <v>0</v>
      </c>
      <c r="CZ3161" s="76"/>
      <c r="DA3161" s="76">
        <f>+CZ3161*34500</f>
        <v>0</v>
      </c>
      <c r="DB3161" s="76"/>
      <c r="DC3161" s="76">
        <f>+DB3161*25000</f>
        <v>0</v>
      </c>
      <c r="DD3161" s="219"/>
      <c r="DE3161" s="219"/>
      <c r="DF3161" s="166"/>
      <c r="DG3161" s="116"/>
      <c r="DH3161" s="117"/>
      <c r="DI3161" s="24"/>
      <c r="DJ3161" s="24"/>
      <c r="DK3161" s="24"/>
      <c r="DL3161" s="24"/>
      <c r="DM3161" s="24"/>
      <c r="DN3161" s="24"/>
      <c r="DO3161" s="24"/>
      <c r="DP3161" s="24"/>
      <c r="DQ3161" s="24"/>
      <c r="DR3161" s="24"/>
      <c r="DS3161" s="24"/>
      <c r="DT3161" s="24"/>
      <c r="DU3161" s="24"/>
    </row>
    <row r="3162" spans="1:125" s="8" customFormat="1" ht="60" x14ac:dyDescent="0.2">
      <c r="A3162" s="77">
        <v>41541</v>
      </c>
      <c r="B3162" s="352" t="s">
        <v>2847</v>
      </c>
      <c r="C3162" s="354" t="s">
        <v>2814</v>
      </c>
      <c r="D3162" s="354" t="s">
        <v>2846</v>
      </c>
      <c r="E3162" s="296" t="str">
        <f>VLOOKUP(B3162&amp;C3162,Divipola!$C$2:$F$1138,4,FALSE)</f>
        <v>68307</v>
      </c>
      <c r="F3162" s="87"/>
      <c r="G3162" s="87"/>
      <c r="H3162" s="87"/>
      <c r="I3162" s="87"/>
      <c r="J3162" s="87"/>
      <c r="K3162" s="87"/>
      <c r="L3162" s="87"/>
      <c r="M3162" s="87"/>
      <c r="N3162" s="87"/>
      <c r="O3162" s="87"/>
      <c r="P3162" s="87"/>
      <c r="Q3162" s="87"/>
      <c r="R3162" s="87"/>
      <c r="S3162" s="87"/>
      <c r="T3162" s="87"/>
      <c r="U3162" s="88">
        <v>0.8</v>
      </c>
      <c r="V3162" s="89"/>
      <c r="W3162" s="96">
        <v>0</v>
      </c>
      <c r="X3162" s="71">
        <f>CU3162</f>
        <v>0</v>
      </c>
      <c r="Y3162" s="71">
        <f>CY3162</f>
        <v>0</v>
      </c>
      <c r="Z3162" s="71">
        <f>DA3162+DC3162+DE3162</f>
        <v>0</v>
      </c>
      <c r="AA3162" s="71">
        <f>CW3162</f>
        <v>0</v>
      </c>
      <c r="AB3162" s="71"/>
      <c r="AC3162" s="71">
        <v>0</v>
      </c>
      <c r="AD3162" s="71">
        <f>W3162+X3162+Y3162+Z3162+AA3162+AB3162+AC3162</f>
        <v>0</v>
      </c>
      <c r="AE3162" s="72">
        <v>0</v>
      </c>
      <c r="AF3162" s="5"/>
      <c r="AG3162" s="6"/>
      <c r="AH3162" s="27"/>
      <c r="AI3162" s="44"/>
      <c r="AJ3162" s="26"/>
      <c r="AK3162" s="5"/>
      <c r="AL3162" s="82" t="s">
        <v>6056</v>
      </c>
      <c r="AM3162" s="76"/>
      <c r="AN3162" s="76"/>
      <c r="AO3162" s="76"/>
      <c r="AP3162" s="76"/>
      <c r="AQ3162" s="76"/>
      <c r="AR3162" s="76"/>
      <c r="AS3162" s="76"/>
      <c r="AT3162" s="76"/>
      <c r="AU3162" s="76"/>
      <c r="AV3162" s="76"/>
      <c r="AW3162" s="76"/>
      <c r="AX3162" s="76">
        <f>+AW3162*600000</f>
        <v>0</v>
      </c>
      <c r="AY3162" s="76"/>
      <c r="AZ3162" s="76">
        <f>+AY3162*70000</f>
        <v>0</v>
      </c>
      <c r="BA3162" s="76"/>
      <c r="BB3162" s="76"/>
      <c r="BC3162" s="76"/>
      <c r="BD3162" s="76">
        <f>+BC3162*30000</f>
        <v>0</v>
      </c>
      <c r="BE3162" s="76"/>
      <c r="BF3162" s="76"/>
      <c r="BG3162" s="76"/>
      <c r="BH3162" s="76"/>
      <c r="BI3162" s="76"/>
      <c r="BJ3162" s="76"/>
      <c r="BK3162" s="76"/>
      <c r="BL3162" s="76">
        <f>+BK3162*31500</f>
        <v>0</v>
      </c>
      <c r="BM3162" s="76"/>
      <c r="BN3162" s="76"/>
      <c r="BO3162" s="76"/>
      <c r="BP3162" s="76"/>
      <c r="BQ3162" s="76"/>
      <c r="BR3162" s="76"/>
      <c r="BS3162" s="76"/>
      <c r="BT3162" s="76"/>
      <c r="BU3162" s="76"/>
      <c r="BV3162" s="76"/>
      <c r="BW3162" s="76"/>
      <c r="BX3162" s="76"/>
      <c r="BY3162" s="76"/>
      <c r="BZ3162" s="76"/>
      <c r="CA3162" s="76"/>
      <c r="CB3162" s="76"/>
      <c r="CC3162" s="76"/>
      <c r="CD3162" s="76"/>
      <c r="CE3162" s="76"/>
      <c r="CF3162" s="76">
        <f>+CE3162*28000</f>
        <v>0</v>
      </c>
      <c r="CG3162" s="76"/>
      <c r="CH3162" s="76">
        <f>+CG3162*22500</f>
        <v>0</v>
      </c>
      <c r="CI3162" s="76"/>
      <c r="CJ3162" s="76">
        <f>+CI3162*26000</f>
        <v>0</v>
      </c>
      <c r="CK3162" s="76"/>
      <c r="CL3162" s="76"/>
      <c r="CM3162" s="76"/>
      <c r="CN3162" s="76">
        <f>+CM3162*22000</f>
        <v>0</v>
      </c>
      <c r="CO3162" s="76"/>
      <c r="CP3162" s="76">
        <f>+CO3162*46000</f>
        <v>0</v>
      </c>
      <c r="CQ3162" s="76"/>
      <c r="CR3162" s="76">
        <f>+CQ3162*49000</f>
        <v>0</v>
      </c>
      <c r="CS3162" s="76"/>
      <c r="CT3162" s="76"/>
      <c r="CU3162" s="56">
        <f>AN3162+AP3162+AR3162+AT3162+AV3162+AX3162+AZ3162+BB3162+BD3162+BF3162+BH3162+BJ3162+BL3162+BN3162+BP3162+BR3162+BT3162+BV3162+BX3162+BZ3162+CB3162+CD3162+CF3162+CH3162+CJ3162+CL3162+CN3162+CP3162+CR3162+CT3162</f>
        <v>0</v>
      </c>
      <c r="CV3162" s="76"/>
      <c r="CW3162" s="76">
        <f>+CV3162*1100</f>
        <v>0</v>
      </c>
      <c r="CX3162" s="76"/>
      <c r="CY3162" s="76">
        <f>+CX3162*106250</f>
        <v>0</v>
      </c>
      <c r="CZ3162" s="76"/>
      <c r="DA3162" s="76">
        <f>+CZ3162*34500</f>
        <v>0</v>
      </c>
      <c r="DB3162" s="76"/>
      <c r="DC3162" s="76">
        <f>+DB3162*25000</f>
        <v>0</v>
      </c>
      <c r="DD3162" s="219"/>
      <c r="DE3162" s="219"/>
      <c r="DF3162" s="166"/>
      <c r="DG3162" s="116"/>
      <c r="DH3162" s="117"/>
      <c r="DI3162" s="24"/>
      <c r="DJ3162" s="24"/>
      <c r="DK3162" s="24"/>
      <c r="DL3162" s="24"/>
      <c r="DM3162" s="24"/>
      <c r="DN3162" s="24"/>
      <c r="DO3162" s="24"/>
      <c r="DP3162" s="24"/>
      <c r="DQ3162" s="24"/>
      <c r="DR3162" s="24"/>
      <c r="DS3162" s="24"/>
      <c r="DT3162" s="24"/>
      <c r="DU3162" s="24"/>
    </row>
    <row r="3163" spans="1:125" s="8" customFormat="1" ht="60" x14ac:dyDescent="0.2">
      <c r="A3163" s="77">
        <v>41541</v>
      </c>
      <c r="B3163" s="225" t="s">
        <v>2847</v>
      </c>
      <c r="C3163" s="227" t="s">
        <v>2814</v>
      </c>
      <c r="D3163" s="354" t="s">
        <v>2846</v>
      </c>
      <c r="E3163" s="296" t="str">
        <f>VLOOKUP(B3163&amp;C3163,Divipola!$C$2:$F$1138,4,FALSE)</f>
        <v>68307</v>
      </c>
      <c r="F3163" s="87"/>
      <c r="G3163" s="87"/>
      <c r="H3163" s="87"/>
      <c r="I3163" s="87"/>
      <c r="J3163" s="87"/>
      <c r="K3163" s="87"/>
      <c r="L3163" s="87"/>
      <c r="M3163" s="87"/>
      <c r="N3163" s="87"/>
      <c r="O3163" s="87"/>
      <c r="P3163" s="87"/>
      <c r="Q3163" s="87"/>
      <c r="R3163" s="87"/>
      <c r="S3163" s="87"/>
      <c r="T3163" s="87"/>
      <c r="U3163" s="88">
        <v>0.5</v>
      </c>
      <c r="V3163" s="89"/>
      <c r="W3163" s="96">
        <v>0</v>
      </c>
      <c r="X3163" s="71">
        <f>CU3163</f>
        <v>0</v>
      </c>
      <c r="Y3163" s="71">
        <f>CY3163</f>
        <v>0</v>
      </c>
      <c r="Z3163" s="71">
        <f>DA3163+DC3163+DE3163</f>
        <v>0</v>
      </c>
      <c r="AA3163" s="71">
        <f>CW3163</f>
        <v>0</v>
      </c>
      <c r="AB3163" s="71"/>
      <c r="AC3163" s="71">
        <v>0</v>
      </c>
      <c r="AD3163" s="71">
        <f>W3163+X3163+Y3163+Z3163+AA3163+AB3163+AC3163</f>
        <v>0</v>
      </c>
      <c r="AE3163" s="72">
        <v>0</v>
      </c>
      <c r="AF3163" s="5"/>
      <c r="AG3163" s="6"/>
      <c r="AH3163" s="27"/>
      <c r="AI3163" s="44"/>
      <c r="AJ3163" s="26"/>
      <c r="AK3163" s="5"/>
      <c r="AL3163" s="82" t="s">
        <v>6057</v>
      </c>
      <c r="AM3163" s="76"/>
      <c r="AN3163" s="76"/>
      <c r="AO3163" s="76"/>
      <c r="AP3163" s="76"/>
      <c r="AQ3163" s="76"/>
      <c r="AR3163" s="76"/>
      <c r="AS3163" s="76"/>
      <c r="AT3163" s="76"/>
      <c r="AU3163" s="76"/>
      <c r="AV3163" s="76"/>
      <c r="AW3163" s="76"/>
      <c r="AX3163" s="76">
        <f>+AW3163*600000</f>
        <v>0</v>
      </c>
      <c r="AY3163" s="76"/>
      <c r="AZ3163" s="76">
        <f>+AY3163*70000</f>
        <v>0</v>
      </c>
      <c r="BA3163" s="76"/>
      <c r="BB3163" s="76"/>
      <c r="BC3163" s="76"/>
      <c r="BD3163" s="76">
        <f>+BC3163*30000</f>
        <v>0</v>
      </c>
      <c r="BE3163" s="76"/>
      <c r="BF3163" s="76"/>
      <c r="BG3163" s="76"/>
      <c r="BH3163" s="76"/>
      <c r="BI3163" s="76"/>
      <c r="BJ3163" s="76"/>
      <c r="BK3163" s="76"/>
      <c r="BL3163" s="76">
        <f>+BK3163*31500</f>
        <v>0</v>
      </c>
      <c r="BM3163" s="76"/>
      <c r="BN3163" s="76"/>
      <c r="BO3163" s="76"/>
      <c r="BP3163" s="76"/>
      <c r="BQ3163" s="76"/>
      <c r="BR3163" s="76"/>
      <c r="BS3163" s="76"/>
      <c r="BT3163" s="76"/>
      <c r="BU3163" s="76"/>
      <c r="BV3163" s="76"/>
      <c r="BW3163" s="76"/>
      <c r="BX3163" s="76"/>
      <c r="BY3163" s="76"/>
      <c r="BZ3163" s="76"/>
      <c r="CA3163" s="76"/>
      <c r="CB3163" s="76"/>
      <c r="CC3163" s="76"/>
      <c r="CD3163" s="76"/>
      <c r="CE3163" s="76"/>
      <c r="CF3163" s="76">
        <f>+CE3163*28000</f>
        <v>0</v>
      </c>
      <c r="CG3163" s="76"/>
      <c r="CH3163" s="76">
        <f>+CG3163*22500</f>
        <v>0</v>
      </c>
      <c r="CI3163" s="76"/>
      <c r="CJ3163" s="76">
        <f>+CI3163*26000</f>
        <v>0</v>
      </c>
      <c r="CK3163" s="76"/>
      <c r="CL3163" s="76"/>
      <c r="CM3163" s="76"/>
      <c r="CN3163" s="76">
        <f>+CM3163*22000</f>
        <v>0</v>
      </c>
      <c r="CO3163" s="76"/>
      <c r="CP3163" s="76">
        <f>+CO3163*46000</f>
        <v>0</v>
      </c>
      <c r="CQ3163" s="76"/>
      <c r="CR3163" s="76">
        <f>+CQ3163*49000</f>
        <v>0</v>
      </c>
      <c r="CS3163" s="76"/>
      <c r="CT3163" s="76"/>
      <c r="CU3163" s="56">
        <f>AN3163+AP3163+AR3163+AT3163+AV3163+AX3163+AZ3163+BB3163+BD3163+BF3163+BH3163+BJ3163+BL3163+BN3163+BP3163+BR3163+BT3163+BV3163+BX3163+BZ3163+CB3163+CD3163+CF3163+CH3163+CJ3163+CL3163+CN3163+CP3163+CR3163+CT3163</f>
        <v>0</v>
      </c>
      <c r="CV3163" s="76"/>
      <c r="CW3163" s="76">
        <f>+CV3163*1100</f>
        <v>0</v>
      </c>
      <c r="CX3163" s="76"/>
      <c r="CY3163" s="76">
        <f>+CX3163*106250</f>
        <v>0</v>
      </c>
      <c r="CZ3163" s="76"/>
      <c r="DA3163" s="76">
        <f>+CZ3163*34500</f>
        <v>0</v>
      </c>
      <c r="DB3163" s="76"/>
      <c r="DC3163" s="76">
        <f>+DB3163*25000</f>
        <v>0</v>
      </c>
      <c r="DD3163" s="219"/>
      <c r="DE3163" s="219"/>
      <c r="DF3163" s="166"/>
      <c r="DG3163" s="116"/>
      <c r="DH3163" s="117"/>
      <c r="DI3163" s="24"/>
      <c r="DJ3163" s="24"/>
      <c r="DK3163" s="24"/>
      <c r="DL3163" s="24"/>
      <c r="DM3163" s="24"/>
      <c r="DN3163" s="24"/>
      <c r="DO3163" s="24"/>
      <c r="DP3163" s="24"/>
      <c r="DQ3163" s="24"/>
      <c r="DR3163" s="24"/>
      <c r="DS3163" s="24"/>
      <c r="DT3163" s="24"/>
      <c r="DU3163" s="24"/>
    </row>
    <row r="3164" spans="1:125" s="8" customFormat="1" ht="36" x14ac:dyDescent="0.2">
      <c r="A3164" s="77">
        <v>41541</v>
      </c>
      <c r="B3164" s="225" t="s">
        <v>2848</v>
      </c>
      <c r="C3164" s="227" t="s">
        <v>2035</v>
      </c>
      <c r="D3164" s="354" t="s">
        <v>2846</v>
      </c>
      <c r="E3164" s="296" t="str">
        <f>VLOOKUP(B3164&amp;C3164,Divipola!$C$2:$F$1138,4,FALSE)</f>
        <v>73148</v>
      </c>
      <c r="F3164" s="87"/>
      <c r="G3164" s="87"/>
      <c r="H3164" s="87"/>
      <c r="I3164" s="87"/>
      <c r="J3164" s="87"/>
      <c r="K3164" s="87"/>
      <c r="L3164" s="87"/>
      <c r="M3164" s="87"/>
      <c r="N3164" s="87"/>
      <c r="O3164" s="87"/>
      <c r="P3164" s="87"/>
      <c r="Q3164" s="87"/>
      <c r="R3164" s="87"/>
      <c r="S3164" s="87"/>
      <c r="T3164" s="87"/>
      <c r="U3164" s="88">
        <v>1</v>
      </c>
      <c r="V3164" s="89"/>
      <c r="W3164" s="96">
        <v>0</v>
      </c>
      <c r="X3164" s="71">
        <f>CU3164</f>
        <v>0</v>
      </c>
      <c r="Y3164" s="71">
        <f>CY3164</f>
        <v>0</v>
      </c>
      <c r="Z3164" s="71">
        <f>DA3164+DC3164+DE3164</f>
        <v>0</v>
      </c>
      <c r="AA3164" s="71">
        <f>CW3164</f>
        <v>0</v>
      </c>
      <c r="AB3164" s="71"/>
      <c r="AC3164" s="71">
        <v>0</v>
      </c>
      <c r="AD3164" s="71">
        <f>W3164+X3164+Y3164+Z3164+AA3164+AB3164+AC3164</f>
        <v>0</v>
      </c>
      <c r="AE3164" s="72">
        <v>0</v>
      </c>
      <c r="AF3164" s="5"/>
      <c r="AG3164" s="6"/>
      <c r="AH3164" s="27"/>
      <c r="AI3164" s="44"/>
      <c r="AJ3164" s="26"/>
      <c r="AK3164" s="5"/>
      <c r="AL3164" s="82" t="s">
        <v>6083</v>
      </c>
      <c r="AM3164" s="76"/>
      <c r="AN3164" s="76"/>
      <c r="AO3164" s="76"/>
      <c r="AP3164" s="76"/>
      <c r="AQ3164" s="76"/>
      <c r="AR3164" s="76"/>
      <c r="AS3164" s="76"/>
      <c r="AT3164" s="76"/>
      <c r="AU3164" s="76"/>
      <c r="AV3164" s="76"/>
      <c r="AW3164" s="76"/>
      <c r="AX3164" s="76">
        <f>+AW3164*600000</f>
        <v>0</v>
      </c>
      <c r="AY3164" s="76"/>
      <c r="AZ3164" s="76">
        <f>+AY3164*70000</f>
        <v>0</v>
      </c>
      <c r="BA3164" s="76"/>
      <c r="BB3164" s="76"/>
      <c r="BC3164" s="76"/>
      <c r="BD3164" s="76">
        <f>+BC3164*30000</f>
        <v>0</v>
      </c>
      <c r="BE3164" s="76"/>
      <c r="BF3164" s="76"/>
      <c r="BG3164" s="76"/>
      <c r="BH3164" s="76"/>
      <c r="BI3164" s="76"/>
      <c r="BJ3164" s="76"/>
      <c r="BK3164" s="76"/>
      <c r="BL3164" s="76">
        <f>+BK3164*31500</f>
        <v>0</v>
      </c>
      <c r="BM3164" s="76"/>
      <c r="BN3164" s="76"/>
      <c r="BO3164" s="76"/>
      <c r="BP3164" s="76"/>
      <c r="BQ3164" s="76"/>
      <c r="BR3164" s="76"/>
      <c r="BS3164" s="76"/>
      <c r="BT3164" s="76"/>
      <c r="BU3164" s="76"/>
      <c r="BV3164" s="76"/>
      <c r="BW3164" s="76"/>
      <c r="BX3164" s="76"/>
      <c r="BY3164" s="76"/>
      <c r="BZ3164" s="76"/>
      <c r="CA3164" s="76"/>
      <c r="CB3164" s="76"/>
      <c r="CC3164" s="76"/>
      <c r="CD3164" s="76"/>
      <c r="CE3164" s="76"/>
      <c r="CF3164" s="76">
        <f>+CE3164*28000</f>
        <v>0</v>
      </c>
      <c r="CG3164" s="76"/>
      <c r="CH3164" s="76">
        <f>+CG3164*22500</f>
        <v>0</v>
      </c>
      <c r="CI3164" s="76"/>
      <c r="CJ3164" s="76">
        <f>+CI3164*26000</f>
        <v>0</v>
      </c>
      <c r="CK3164" s="76"/>
      <c r="CL3164" s="76"/>
      <c r="CM3164" s="76"/>
      <c r="CN3164" s="76">
        <f>+CM3164*22000</f>
        <v>0</v>
      </c>
      <c r="CO3164" s="76"/>
      <c r="CP3164" s="76">
        <f>+CO3164*46000</f>
        <v>0</v>
      </c>
      <c r="CQ3164" s="76"/>
      <c r="CR3164" s="76">
        <f>+CQ3164*49000</f>
        <v>0</v>
      </c>
      <c r="CS3164" s="76"/>
      <c r="CT3164" s="76"/>
      <c r="CU3164" s="56">
        <f>AN3164+AP3164+AR3164+AT3164+AV3164+AX3164+AZ3164+BB3164+BD3164+BF3164+BH3164+BJ3164+BL3164+BN3164+BP3164+BR3164+BT3164+BV3164+BX3164+BZ3164+CB3164+CD3164+CF3164+CH3164+CJ3164+CL3164+CN3164+CP3164+CR3164+CT3164</f>
        <v>0</v>
      </c>
      <c r="CV3164" s="76"/>
      <c r="CW3164" s="76">
        <f>+CV3164*1100</f>
        <v>0</v>
      </c>
      <c r="CX3164" s="76"/>
      <c r="CY3164" s="76">
        <f>+CX3164*106250</f>
        <v>0</v>
      </c>
      <c r="CZ3164" s="76"/>
      <c r="DA3164" s="76">
        <f>+CZ3164*34500</f>
        <v>0</v>
      </c>
      <c r="DB3164" s="76"/>
      <c r="DC3164" s="76">
        <f>+DB3164*25000</f>
        <v>0</v>
      </c>
      <c r="DD3164" s="219"/>
      <c r="DE3164" s="219"/>
      <c r="DF3164" s="166"/>
      <c r="DG3164" s="116"/>
      <c r="DH3164" s="117"/>
      <c r="DI3164" s="24"/>
      <c r="DJ3164" s="24"/>
      <c r="DK3164" s="24"/>
      <c r="DL3164" s="24"/>
      <c r="DM3164" s="24"/>
      <c r="DN3164" s="24"/>
      <c r="DO3164" s="24"/>
      <c r="DP3164" s="24"/>
      <c r="DQ3164" s="24"/>
      <c r="DR3164" s="24"/>
      <c r="DS3164" s="24"/>
      <c r="DT3164" s="24"/>
      <c r="DU3164" s="24"/>
    </row>
    <row r="3165" spans="1:125" s="8" customFormat="1" ht="48" x14ac:dyDescent="0.2">
      <c r="A3165" s="77">
        <v>41541</v>
      </c>
      <c r="B3165" s="225" t="s">
        <v>2848</v>
      </c>
      <c r="C3165" s="227" t="s">
        <v>2191</v>
      </c>
      <c r="D3165" s="354" t="s">
        <v>2846</v>
      </c>
      <c r="E3165" s="296" t="str">
        <f>VLOOKUP(B3165&amp;C3165,Divipola!$C$2:$F$1138,4,FALSE)</f>
        <v>73319</v>
      </c>
      <c r="F3165" s="87"/>
      <c r="G3165" s="87"/>
      <c r="H3165" s="87"/>
      <c r="I3165" s="87"/>
      <c r="J3165" s="87"/>
      <c r="K3165" s="87"/>
      <c r="L3165" s="87"/>
      <c r="M3165" s="87"/>
      <c r="N3165" s="87"/>
      <c r="O3165" s="87"/>
      <c r="P3165" s="87"/>
      <c r="Q3165" s="87"/>
      <c r="R3165" s="87"/>
      <c r="S3165" s="87"/>
      <c r="T3165" s="87"/>
      <c r="U3165" s="88">
        <v>15</v>
      </c>
      <c r="V3165" s="89"/>
      <c r="W3165" s="96">
        <v>0</v>
      </c>
      <c r="X3165" s="71">
        <f>CU3165</f>
        <v>0</v>
      </c>
      <c r="Y3165" s="71">
        <f>CY3165</f>
        <v>0</v>
      </c>
      <c r="Z3165" s="71">
        <f>DA3165+DC3165+DE3165</f>
        <v>0</v>
      </c>
      <c r="AA3165" s="71">
        <f>CW3165</f>
        <v>0</v>
      </c>
      <c r="AB3165" s="71"/>
      <c r="AC3165" s="71">
        <v>0</v>
      </c>
      <c r="AD3165" s="71">
        <f>W3165+X3165+Y3165+Z3165+AA3165+AB3165+AC3165</f>
        <v>0</v>
      </c>
      <c r="AE3165" s="72">
        <v>0</v>
      </c>
      <c r="AF3165" s="5"/>
      <c r="AG3165" s="6"/>
      <c r="AH3165" s="27"/>
      <c r="AI3165" s="44"/>
      <c r="AJ3165" s="26"/>
      <c r="AK3165" s="5"/>
      <c r="AL3165" s="82" t="s">
        <v>6085</v>
      </c>
      <c r="AM3165" s="76"/>
      <c r="AN3165" s="76"/>
      <c r="AO3165" s="76"/>
      <c r="AP3165" s="76"/>
      <c r="AQ3165" s="76"/>
      <c r="AR3165" s="76"/>
      <c r="AS3165" s="76"/>
      <c r="AT3165" s="76"/>
      <c r="AU3165" s="76"/>
      <c r="AV3165" s="76"/>
      <c r="AW3165" s="76"/>
      <c r="AX3165" s="76">
        <f>+AW3165*600000</f>
        <v>0</v>
      </c>
      <c r="AY3165" s="76"/>
      <c r="AZ3165" s="76">
        <f>+AY3165*70000</f>
        <v>0</v>
      </c>
      <c r="BA3165" s="76"/>
      <c r="BB3165" s="76"/>
      <c r="BC3165" s="76"/>
      <c r="BD3165" s="76">
        <f>+BC3165*30000</f>
        <v>0</v>
      </c>
      <c r="BE3165" s="76"/>
      <c r="BF3165" s="76"/>
      <c r="BG3165" s="76"/>
      <c r="BH3165" s="76"/>
      <c r="BI3165" s="76"/>
      <c r="BJ3165" s="76"/>
      <c r="BK3165" s="76"/>
      <c r="BL3165" s="76">
        <f>+BK3165*31500</f>
        <v>0</v>
      </c>
      <c r="BM3165" s="76"/>
      <c r="BN3165" s="76"/>
      <c r="BO3165" s="76"/>
      <c r="BP3165" s="76"/>
      <c r="BQ3165" s="76"/>
      <c r="BR3165" s="76"/>
      <c r="BS3165" s="76"/>
      <c r="BT3165" s="76"/>
      <c r="BU3165" s="76"/>
      <c r="BV3165" s="76"/>
      <c r="BW3165" s="76"/>
      <c r="BX3165" s="76"/>
      <c r="BY3165" s="76"/>
      <c r="BZ3165" s="76"/>
      <c r="CA3165" s="76"/>
      <c r="CB3165" s="76"/>
      <c r="CC3165" s="76"/>
      <c r="CD3165" s="76"/>
      <c r="CE3165" s="76"/>
      <c r="CF3165" s="76">
        <f>+CE3165*28000</f>
        <v>0</v>
      </c>
      <c r="CG3165" s="76"/>
      <c r="CH3165" s="76">
        <f>+CG3165*22500</f>
        <v>0</v>
      </c>
      <c r="CI3165" s="76"/>
      <c r="CJ3165" s="76">
        <f>+CI3165*26000</f>
        <v>0</v>
      </c>
      <c r="CK3165" s="76"/>
      <c r="CL3165" s="76"/>
      <c r="CM3165" s="76"/>
      <c r="CN3165" s="76">
        <f>+CM3165*22000</f>
        <v>0</v>
      </c>
      <c r="CO3165" s="76"/>
      <c r="CP3165" s="76">
        <f>+CO3165*46000</f>
        <v>0</v>
      </c>
      <c r="CQ3165" s="76"/>
      <c r="CR3165" s="76">
        <f>+CQ3165*49000</f>
        <v>0</v>
      </c>
      <c r="CS3165" s="76"/>
      <c r="CT3165" s="76"/>
      <c r="CU3165" s="56">
        <f>AN3165+AP3165+AR3165+AT3165+AV3165+AX3165+AZ3165+BB3165+BD3165+BF3165+BH3165+BJ3165+BL3165+BN3165+BP3165+BR3165+BT3165+BV3165+BX3165+BZ3165+CB3165+CD3165+CF3165+CH3165+CJ3165+CL3165+CN3165+CP3165+CR3165+CT3165</f>
        <v>0</v>
      </c>
      <c r="CV3165" s="76"/>
      <c r="CW3165" s="76">
        <f>+CV3165*1100</f>
        <v>0</v>
      </c>
      <c r="CX3165" s="76"/>
      <c r="CY3165" s="76">
        <f>+CX3165*106250</f>
        <v>0</v>
      </c>
      <c r="CZ3165" s="76"/>
      <c r="DA3165" s="76">
        <f>+CZ3165*34500</f>
        <v>0</v>
      </c>
      <c r="DB3165" s="76"/>
      <c r="DC3165" s="76">
        <f>+DB3165*25000</f>
        <v>0</v>
      </c>
      <c r="DD3165" s="219"/>
      <c r="DE3165" s="219"/>
      <c r="DF3165" s="166"/>
      <c r="DG3165" s="116"/>
      <c r="DH3165" s="117"/>
      <c r="DI3165" s="24"/>
      <c r="DJ3165" s="24"/>
      <c r="DK3165" s="24"/>
      <c r="DL3165" s="24"/>
      <c r="DM3165" s="24"/>
      <c r="DN3165" s="24"/>
      <c r="DO3165" s="24"/>
      <c r="DP3165" s="24"/>
      <c r="DQ3165" s="24"/>
      <c r="DR3165" s="24"/>
      <c r="DS3165" s="24"/>
      <c r="DT3165" s="24"/>
      <c r="DU3165" s="24"/>
    </row>
    <row r="3166" spans="1:125" s="8" customFormat="1" ht="36" x14ac:dyDescent="0.2">
      <c r="A3166" s="77">
        <v>41541</v>
      </c>
      <c r="B3166" s="225" t="s">
        <v>2848</v>
      </c>
      <c r="C3166" s="227" t="s">
        <v>2077</v>
      </c>
      <c r="D3166" s="354" t="s">
        <v>2846</v>
      </c>
      <c r="E3166" s="296" t="str">
        <f>VLOOKUP(B3166&amp;C3166,Divipola!$C$2:$F$1138,4,FALSE)</f>
        <v>73411</v>
      </c>
      <c r="F3166" s="87"/>
      <c r="G3166" s="87"/>
      <c r="H3166" s="87"/>
      <c r="I3166" s="87"/>
      <c r="J3166" s="87"/>
      <c r="K3166" s="87"/>
      <c r="L3166" s="87"/>
      <c r="M3166" s="87"/>
      <c r="N3166" s="87"/>
      <c r="O3166" s="87"/>
      <c r="P3166" s="87"/>
      <c r="Q3166" s="87"/>
      <c r="R3166" s="87"/>
      <c r="S3166" s="87"/>
      <c r="T3166" s="87"/>
      <c r="U3166" s="88">
        <v>1</v>
      </c>
      <c r="V3166" s="89"/>
      <c r="W3166" s="96">
        <v>0</v>
      </c>
      <c r="X3166" s="71">
        <f>CU3166</f>
        <v>0</v>
      </c>
      <c r="Y3166" s="71">
        <f>CY3166</f>
        <v>0</v>
      </c>
      <c r="Z3166" s="71">
        <f>DA3166+DC3166+DE3166</f>
        <v>0</v>
      </c>
      <c r="AA3166" s="71">
        <f>CW3166</f>
        <v>0</v>
      </c>
      <c r="AB3166" s="71"/>
      <c r="AC3166" s="71">
        <v>0</v>
      </c>
      <c r="AD3166" s="71">
        <f>W3166+X3166+Y3166+Z3166+AA3166+AB3166+AC3166</f>
        <v>0</v>
      </c>
      <c r="AE3166" s="72">
        <v>0</v>
      </c>
      <c r="AF3166" s="5"/>
      <c r="AG3166" s="6"/>
      <c r="AH3166" s="27"/>
      <c r="AI3166" s="44"/>
      <c r="AJ3166" s="26"/>
      <c r="AK3166" s="5"/>
      <c r="AL3166" s="82" t="s">
        <v>6086</v>
      </c>
      <c r="AM3166" s="76"/>
      <c r="AN3166" s="76"/>
      <c r="AO3166" s="76"/>
      <c r="AP3166" s="76"/>
      <c r="AQ3166" s="76"/>
      <c r="AR3166" s="76"/>
      <c r="AS3166" s="76"/>
      <c r="AT3166" s="76"/>
      <c r="AU3166" s="76"/>
      <c r="AV3166" s="76"/>
      <c r="AW3166" s="76"/>
      <c r="AX3166" s="76">
        <f>+AW3166*600000</f>
        <v>0</v>
      </c>
      <c r="AY3166" s="76"/>
      <c r="AZ3166" s="76">
        <f>+AY3166*70000</f>
        <v>0</v>
      </c>
      <c r="BA3166" s="76"/>
      <c r="BB3166" s="76"/>
      <c r="BC3166" s="76"/>
      <c r="BD3166" s="76">
        <f>+BC3166*30000</f>
        <v>0</v>
      </c>
      <c r="BE3166" s="76"/>
      <c r="BF3166" s="76"/>
      <c r="BG3166" s="76"/>
      <c r="BH3166" s="76"/>
      <c r="BI3166" s="76"/>
      <c r="BJ3166" s="76"/>
      <c r="BK3166" s="76"/>
      <c r="BL3166" s="76">
        <f>+BK3166*31500</f>
        <v>0</v>
      </c>
      <c r="BM3166" s="76"/>
      <c r="BN3166" s="76"/>
      <c r="BO3166" s="76"/>
      <c r="BP3166" s="76"/>
      <c r="BQ3166" s="76"/>
      <c r="BR3166" s="76"/>
      <c r="BS3166" s="76"/>
      <c r="BT3166" s="76"/>
      <c r="BU3166" s="76"/>
      <c r="BV3166" s="76"/>
      <c r="BW3166" s="76"/>
      <c r="BX3166" s="76"/>
      <c r="BY3166" s="76"/>
      <c r="BZ3166" s="76"/>
      <c r="CA3166" s="76"/>
      <c r="CB3166" s="76"/>
      <c r="CC3166" s="76"/>
      <c r="CD3166" s="76"/>
      <c r="CE3166" s="76"/>
      <c r="CF3166" s="76">
        <f>+CE3166*28000</f>
        <v>0</v>
      </c>
      <c r="CG3166" s="76"/>
      <c r="CH3166" s="76">
        <f>+CG3166*22500</f>
        <v>0</v>
      </c>
      <c r="CI3166" s="76"/>
      <c r="CJ3166" s="76">
        <f>+CI3166*26000</f>
        <v>0</v>
      </c>
      <c r="CK3166" s="76"/>
      <c r="CL3166" s="76"/>
      <c r="CM3166" s="76"/>
      <c r="CN3166" s="76">
        <f>+CM3166*22000</f>
        <v>0</v>
      </c>
      <c r="CO3166" s="76"/>
      <c r="CP3166" s="76">
        <f>+CO3166*46000</f>
        <v>0</v>
      </c>
      <c r="CQ3166" s="76"/>
      <c r="CR3166" s="76">
        <f>+CQ3166*49000</f>
        <v>0</v>
      </c>
      <c r="CS3166" s="76"/>
      <c r="CT3166" s="76"/>
      <c r="CU3166" s="56">
        <f>AN3166+AP3166+AR3166+AT3166+AV3166+AX3166+AZ3166+BB3166+BD3166+BF3166+BH3166+BJ3166+BL3166+BN3166+BP3166+BR3166+BT3166+BV3166+BX3166+BZ3166+CB3166+CD3166+CF3166+CH3166+CJ3166+CL3166+CN3166+CP3166+CR3166+CT3166</f>
        <v>0</v>
      </c>
      <c r="CV3166" s="76"/>
      <c r="CW3166" s="76">
        <f>+CV3166*1100</f>
        <v>0</v>
      </c>
      <c r="CX3166" s="76"/>
      <c r="CY3166" s="76">
        <f>+CX3166*106250</f>
        <v>0</v>
      </c>
      <c r="CZ3166" s="76"/>
      <c r="DA3166" s="76">
        <f>+CZ3166*34500</f>
        <v>0</v>
      </c>
      <c r="DB3166" s="76"/>
      <c r="DC3166" s="76">
        <f>+DB3166*25000</f>
        <v>0</v>
      </c>
      <c r="DD3166" s="219"/>
      <c r="DE3166" s="219"/>
      <c r="DF3166" s="166"/>
      <c r="DG3166" s="116"/>
      <c r="DH3166" s="117"/>
      <c r="DI3166" s="24"/>
      <c r="DJ3166" s="24"/>
      <c r="DK3166" s="24"/>
      <c r="DL3166" s="24"/>
      <c r="DM3166" s="24"/>
      <c r="DN3166" s="24"/>
      <c r="DO3166" s="24"/>
      <c r="DP3166" s="24"/>
      <c r="DQ3166" s="24"/>
      <c r="DR3166" s="24"/>
      <c r="DS3166" s="24"/>
      <c r="DT3166" s="24"/>
      <c r="DU3166" s="24"/>
    </row>
    <row r="3167" spans="1:125" s="8" customFormat="1" ht="48" x14ac:dyDescent="0.2">
      <c r="A3167" s="77">
        <v>41541</v>
      </c>
      <c r="B3167" s="352" t="s">
        <v>2848</v>
      </c>
      <c r="C3167" s="354" t="s">
        <v>1887</v>
      </c>
      <c r="D3167" s="354" t="s">
        <v>2846</v>
      </c>
      <c r="E3167" s="296" t="str">
        <f>VLOOKUP(B3167&amp;C3167,Divipola!$C$2:$F$1138,4,FALSE)</f>
        <v>73443</v>
      </c>
      <c r="F3167" s="87"/>
      <c r="G3167" s="87"/>
      <c r="H3167" s="87"/>
      <c r="I3167" s="87"/>
      <c r="J3167" s="87"/>
      <c r="K3167" s="87"/>
      <c r="L3167" s="87"/>
      <c r="M3167" s="87"/>
      <c r="N3167" s="87"/>
      <c r="O3167" s="87"/>
      <c r="P3167" s="87"/>
      <c r="Q3167" s="87"/>
      <c r="R3167" s="87"/>
      <c r="S3167" s="87"/>
      <c r="T3167" s="87"/>
      <c r="U3167" s="88"/>
      <c r="V3167" s="89"/>
      <c r="W3167" s="96">
        <v>0</v>
      </c>
      <c r="X3167" s="71">
        <f>CU3167</f>
        <v>0</v>
      </c>
      <c r="Y3167" s="71">
        <f>CY3167</f>
        <v>0</v>
      </c>
      <c r="Z3167" s="71">
        <f>DA3167+DC3167+DE3167</f>
        <v>0</v>
      </c>
      <c r="AA3167" s="71">
        <f>CW3167</f>
        <v>0</v>
      </c>
      <c r="AB3167" s="71"/>
      <c r="AC3167" s="71">
        <v>0</v>
      </c>
      <c r="AD3167" s="71">
        <f>W3167+X3167+Y3167+Z3167+AA3167+AB3167+AC3167</f>
        <v>0</v>
      </c>
      <c r="AE3167" s="72">
        <v>0</v>
      </c>
      <c r="AF3167" s="5"/>
      <c r="AG3167" s="6"/>
      <c r="AH3167" s="27"/>
      <c r="AI3167" s="44"/>
      <c r="AJ3167" s="26"/>
      <c r="AK3167" s="5"/>
      <c r="AL3167" s="82" t="s">
        <v>6088</v>
      </c>
      <c r="AM3167" s="76"/>
      <c r="AN3167" s="76"/>
      <c r="AO3167" s="76"/>
      <c r="AP3167" s="76"/>
      <c r="AQ3167" s="76"/>
      <c r="AR3167" s="76"/>
      <c r="AS3167" s="76"/>
      <c r="AT3167" s="76"/>
      <c r="AU3167" s="76"/>
      <c r="AV3167" s="76"/>
      <c r="AW3167" s="76"/>
      <c r="AX3167" s="76">
        <f>+AW3167*600000</f>
        <v>0</v>
      </c>
      <c r="AY3167" s="76"/>
      <c r="AZ3167" s="76">
        <f>+AY3167*70000</f>
        <v>0</v>
      </c>
      <c r="BA3167" s="76"/>
      <c r="BB3167" s="76"/>
      <c r="BC3167" s="76"/>
      <c r="BD3167" s="76">
        <f>+BC3167*30000</f>
        <v>0</v>
      </c>
      <c r="BE3167" s="76"/>
      <c r="BF3167" s="76"/>
      <c r="BG3167" s="76"/>
      <c r="BH3167" s="76"/>
      <c r="BI3167" s="76"/>
      <c r="BJ3167" s="76"/>
      <c r="BK3167" s="76"/>
      <c r="BL3167" s="76">
        <f>+BK3167*31500</f>
        <v>0</v>
      </c>
      <c r="BM3167" s="76"/>
      <c r="BN3167" s="76"/>
      <c r="BO3167" s="76"/>
      <c r="BP3167" s="76"/>
      <c r="BQ3167" s="76"/>
      <c r="BR3167" s="76"/>
      <c r="BS3167" s="76"/>
      <c r="BT3167" s="76"/>
      <c r="BU3167" s="76"/>
      <c r="BV3167" s="76"/>
      <c r="BW3167" s="76"/>
      <c r="BX3167" s="76"/>
      <c r="BY3167" s="76"/>
      <c r="BZ3167" s="76"/>
      <c r="CA3167" s="76"/>
      <c r="CB3167" s="76"/>
      <c r="CC3167" s="76"/>
      <c r="CD3167" s="76"/>
      <c r="CE3167" s="76"/>
      <c r="CF3167" s="76">
        <f>+CE3167*28000</f>
        <v>0</v>
      </c>
      <c r="CG3167" s="76"/>
      <c r="CH3167" s="76">
        <f>+CG3167*22500</f>
        <v>0</v>
      </c>
      <c r="CI3167" s="76"/>
      <c r="CJ3167" s="76">
        <f>+CI3167*26000</f>
        <v>0</v>
      </c>
      <c r="CK3167" s="76"/>
      <c r="CL3167" s="76"/>
      <c r="CM3167" s="76"/>
      <c r="CN3167" s="76">
        <f>+CM3167*22000</f>
        <v>0</v>
      </c>
      <c r="CO3167" s="76"/>
      <c r="CP3167" s="76">
        <f>+CO3167*46000</f>
        <v>0</v>
      </c>
      <c r="CQ3167" s="76"/>
      <c r="CR3167" s="76">
        <f>+CQ3167*49000</f>
        <v>0</v>
      </c>
      <c r="CS3167" s="76"/>
      <c r="CT3167" s="76"/>
      <c r="CU3167" s="56">
        <f>AN3167+AP3167+AR3167+AT3167+AV3167+AX3167+AZ3167+BB3167+BD3167+BF3167+BH3167+BJ3167+BL3167+BN3167+BP3167+BR3167+BT3167+BV3167+BX3167+BZ3167+CB3167+CD3167+CF3167+CH3167+CJ3167+CL3167+CN3167+CP3167+CR3167+CT3167</f>
        <v>0</v>
      </c>
      <c r="CV3167" s="76"/>
      <c r="CW3167" s="76">
        <f>+CV3167*1100</f>
        <v>0</v>
      </c>
      <c r="CX3167" s="76"/>
      <c r="CY3167" s="76">
        <f>+CX3167*106250</f>
        <v>0</v>
      </c>
      <c r="CZ3167" s="76"/>
      <c r="DA3167" s="76">
        <f>+CZ3167*34500</f>
        <v>0</v>
      </c>
      <c r="DB3167" s="76"/>
      <c r="DC3167" s="76">
        <f>+DB3167*25000</f>
        <v>0</v>
      </c>
      <c r="DD3167" s="219"/>
      <c r="DE3167" s="219"/>
      <c r="DF3167" s="166"/>
      <c r="DG3167" s="116"/>
      <c r="DH3167" s="117"/>
      <c r="DI3167" s="24"/>
      <c r="DJ3167" s="24"/>
      <c r="DK3167" s="24"/>
      <c r="DL3167" s="24"/>
      <c r="DM3167" s="24"/>
      <c r="DN3167" s="24"/>
      <c r="DO3167" s="24"/>
      <c r="DP3167" s="24"/>
      <c r="DQ3167" s="24"/>
      <c r="DR3167" s="24"/>
      <c r="DS3167" s="24"/>
      <c r="DT3167" s="24"/>
      <c r="DU3167" s="24"/>
    </row>
    <row r="3168" spans="1:125" s="8" customFormat="1" ht="36" x14ac:dyDescent="0.2">
      <c r="A3168" s="77">
        <v>41541</v>
      </c>
      <c r="B3168" s="352" t="s">
        <v>2848</v>
      </c>
      <c r="C3168" s="354" t="s">
        <v>2034</v>
      </c>
      <c r="D3168" s="354" t="s">
        <v>2846</v>
      </c>
      <c r="E3168" s="296" t="str">
        <f>VLOOKUP(B3168&amp;C3168,Divipola!$C$2:$F$1138,4,FALSE)</f>
        <v>73449</v>
      </c>
      <c r="F3168" s="87"/>
      <c r="G3168" s="87"/>
      <c r="H3168" s="87"/>
      <c r="I3168" s="87"/>
      <c r="J3168" s="87"/>
      <c r="K3168" s="87"/>
      <c r="L3168" s="87"/>
      <c r="M3168" s="87"/>
      <c r="N3168" s="87"/>
      <c r="O3168" s="87"/>
      <c r="P3168" s="87"/>
      <c r="Q3168" s="87"/>
      <c r="R3168" s="87"/>
      <c r="S3168" s="87"/>
      <c r="T3168" s="87"/>
      <c r="U3168" s="88">
        <v>2</v>
      </c>
      <c r="V3168" s="89"/>
      <c r="W3168" s="96">
        <v>0</v>
      </c>
      <c r="X3168" s="71">
        <f>CU3168</f>
        <v>0</v>
      </c>
      <c r="Y3168" s="71">
        <f>CY3168</f>
        <v>0</v>
      </c>
      <c r="Z3168" s="71">
        <f>DA3168+DC3168+DE3168</f>
        <v>0</v>
      </c>
      <c r="AA3168" s="71">
        <f>CW3168</f>
        <v>0</v>
      </c>
      <c r="AB3168" s="71"/>
      <c r="AC3168" s="71">
        <v>0</v>
      </c>
      <c r="AD3168" s="71">
        <f>W3168+X3168+Y3168+Z3168+AA3168+AB3168+AC3168</f>
        <v>0</v>
      </c>
      <c r="AE3168" s="72">
        <v>0</v>
      </c>
      <c r="AF3168" s="5"/>
      <c r="AG3168" s="6"/>
      <c r="AH3168" s="27"/>
      <c r="AI3168" s="44"/>
      <c r="AJ3168" s="26"/>
      <c r="AK3168" s="5"/>
      <c r="AL3168" s="82" t="s">
        <v>6084</v>
      </c>
      <c r="AM3168" s="76"/>
      <c r="AN3168" s="76"/>
      <c r="AO3168" s="76"/>
      <c r="AP3168" s="76"/>
      <c r="AQ3168" s="76"/>
      <c r="AR3168" s="76"/>
      <c r="AS3168" s="76"/>
      <c r="AT3168" s="76"/>
      <c r="AU3168" s="76"/>
      <c r="AV3168" s="76"/>
      <c r="AW3168" s="76"/>
      <c r="AX3168" s="76">
        <f>+AW3168*600000</f>
        <v>0</v>
      </c>
      <c r="AY3168" s="76"/>
      <c r="AZ3168" s="76">
        <f>+AY3168*70000</f>
        <v>0</v>
      </c>
      <c r="BA3168" s="76"/>
      <c r="BB3168" s="76"/>
      <c r="BC3168" s="76"/>
      <c r="BD3168" s="76">
        <f>+BC3168*30000</f>
        <v>0</v>
      </c>
      <c r="BE3168" s="76"/>
      <c r="BF3168" s="76"/>
      <c r="BG3168" s="76"/>
      <c r="BH3168" s="76"/>
      <c r="BI3168" s="76"/>
      <c r="BJ3168" s="76"/>
      <c r="BK3168" s="76"/>
      <c r="BL3168" s="76">
        <f>+BK3168*31500</f>
        <v>0</v>
      </c>
      <c r="BM3168" s="76"/>
      <c r="BN3168" s="76"/>
      <c r="BO3168" s="76"/>
      <c r="BP3168" s="76"/>
      <c r="BQ3168" s="76"/>
      <c r="BR3168" s="76"/>
      <c r="BS3168" s="76"/>
      <c r="BT3168" s="76"/>
      <c r="BU3168" s="76"/>
      <c r="BV3168" s="76"/>
      <c r="BW3168" s="76"/>
      <c r="BX3168" s="76"/>
      <c r="BY3168" s="76"/>
      <c r="BZ3168" s="76"/>
      <c r="CA3168" s="76"/>
      <c r="CB3168" s="76"/>
      <c r="CC3168" s="76"/>
      <c r="CD3168" s="76"/>
      <c r="CE3168" s="76"/>
      <c r="CF3168" s="76">
        <f>+CE3168*28000</f>
        <v>0</v>
      </c>
      <c r="CG3168" s="76"/>
      <c r="CH3168" s="76">
        <f>+CG3168*22500</f>
        <v>0</v>
      </c>
      <c r="CI3168" s="76"/>
      <c r="CJ3168" s="76">
        <f>+CI3168*26000</f>
        <v>0</v>
      </c>
      <c r="CK3168" s="76"/>
      <c r="CL3168" s="76"/>
      <c r="CM3168" s="76"/>
      <c r="CN3168" s="76">
        <f>+CM3168*22000</f>
        <v>0</v>
      </c>
      <c r="CO3168" s="76"/>
      <c r="CP3168" s="76">
        <f>+CO3168*46000</f>
        <v>0</v>
      </c>
      <c r="CQ3168" s="76"/>
      <c r="CR3168" s="76">
        <f>+CQ3168*49000</f>
        <v>0</v>
      </c>
      <c r="CS3168" s="76"/>
      <c r="CT3168" s="76"/>
      <c r="CU3168" s="56">
        <f>AN3168+AP3168+AR3168+AT3168+AV3168+AX3168+AZ3168+BB3168+BD3168+BF3168+BH3168+BJ3168+BL3168+BN3168+BP3168+BR3168+BT3168+BV3168+BX3168+BZ3168+CB3168+CD3168+CF3168+CH3168+CJ3168+CL3168+CN3168+CP3168+CR3168+CT3168</f>
        <v>0</v>
      </c>
      <c r="CV3168" s="76"/>
      <c r="CW3168" s="76">
        <f>+CV3168*1100</f>
        <v>0</v>
      </c>
      <c r="CX3168" s="76"/>
      <c r="CY3168" s="76">
        <f>+CX3168*106250</f>
        <v>0</v>
      </c>
      <c r="CZ3168" s="76"/>
      <c r="DA3168" s="76">
        <f>+CZ3168*34500</f>
        <v>0</v>
      </c>
      <c r="DB3168" s="76"/>
      <c r="DC3168" s="76">
        <f>+DB3168*25000</f>
        <v>0</v>
      </c>
      <c r="DD3168" s="219"/>
      <c r="DE3168" s="219"/>
      <c r="DF3168" s="166"/>
      <c r="DG3168" s="116"/>
      <c r="DH3168" s="117"/>
      <c r="DI3168" s="24"/>
      <c r="DJ3168" s="24"/>
      <c r="DK3168" s="24"/>
      <c r="DL3168" s="24"/>
      <c r="DM3168" s="24"/>
      <c r="DN3168" s="24"/>
      <c r="DO3168" s="24"/>
      <c r="DP3168" s="24"/>
      <c r="DQ3168" s="24"/>
      <c r="DR3168" s="24"/>
      <c r="DS3168" s="24"/>
      <c r="DT3168" s="24"/>
      <c r="DU3168" s="24"/>
    </row>
    <row r="3169" spans="1:125" s="8" customFormat="1" ht="36" x14ac:dyDescent="0.2">
      <c r="A3169" s="77">
        <v>41541</v>
      </c>
      <c r="B3169" s="352" t="s">
        <v>2848</v>
      </c>
      <c r="C3169" s="354" t="s">
        <v>1392</v>
      </c>
      <c r="D3169" s="354" t="s">
        <v>2846</v>
      </c>
      <c r="E3169" s="296" t="str">
        <f>VLOOKUP(B3169&amp;C3169,Divipola!$C$2:$F$1138,4,FALSE)</f>
        <v>73520</v>
      </c>
      <c r="F3169" s="87"/>
      <c r="G3169" s="87"/>
      <c r="H3169" s="87"/>
      <c r="I3169" s="87"/>
      <c r="J3169" s="87"/>
      <c r="K3169" s="87"/>
      <c r="L3169" s="87"/>
      <c r="M3169" s="87"/>
      <c r="N3169" s="87"/>
      <c r="O3169" s="87"/>
      <c r="P3169" s="87"/>
      <c r="Q3169" s="87"/>
      <c r="R3169" s="87"/>
      <c r="S3169" s="87"/>
      <c r="T3169" s="87"/>
      <c r="U3169" s="88">
        <v>1.5</v>
      </c>
      <c r="V3169" s="89"/>
      <c r="W3169" s="96">
        <v>0</v>
      </c>
      <c r="X3169" s="71">
        <f>CU3169</f>
        <v>0</v>
      </c>
      <c r="Y3169" s="71">
        <f>CY3169</f>
        <v>0</v>
      </c>
      <c r="Z3169" s="71">
        <f>DA3169+DC3169+DE3169</f>
        <v>0</v>
      </c>
      <c r="AA3169" s="71">
        <f>CW3169</f>
        <v>0</v>
      </c>
      <c r="AB3169" s="71"/>
      <c r="AC3169" s="71">
        <v>0</v>
      </c>
      <c r="AD3169" s="71">
        <f>W3169+X3169+Y3169+Z3169+AA3169+AB3169+AC3169</f>
        <v>0</v>
      </c>
      <c r="AE3169" s="72">
        <v>0</v>
      </c>
      <c r="AF3169" s="5"/>
      <c r="AG3169" s="6"/>
      <c r="AH3169" s="27"/>
      <c r="AI3169" s="44"/>
      <c r="AJ3169" s="26"/>
      <c r="AK3169" s="5"/>
      <c r="AL3169" s="82" t="s">
        <v>6087</v>
      </c>
      <c r="AM3169" s="76"/>
      <c r="AN3169" s="76"/>
      <c r="AO3169" s="76"/>
      <c r="AP3169" s="76"/>
      <c r="AQ3169" s="76"/>
      <c r="AR3169" s="76"/>
      <c r="AS3169" s="76"/>
      <c r="AT3169" s="76"/>
      <c r="AU3169" s="76"/>
      <c r="AV3169" s="76"/>
      <c r="AW3169" s="76"/>
      <c r="AX3169" s="76">
        <f>+AW3169*600000</f>
        <v>0</v>
      </c>
      <c r="AY3169" s="76"/>
      <c r="AZ3169" s="76">
        <f>+AY3169*70000</f>
        <v>0</v>
      </c>
      <c r="BA3169" s="76"/>
      <c r="BB3169" s="76"/>
      <c r="BC3169" s="76"/>
      <c r="BD3169" s="76">
        <f>+BC3169*30000</f>
        <v>0</v>
      </c>
      <c r="BE3169" s="76"/>
      <c r="BF3169" s="76"/>
      <c r="BG3169" s="76"/>
      <c r="BH3169" s="76"/>
      <c r="BI3169" s="76"/>
      <c r="BJ3169" s="76"/>
      <c r="BK3169" s="76"/>
      <c r="BL3169" s="76">
        <f>+BK3169*31500</f>
        <v>0</v>
      </c>
      <c r="BM3169" s="76"/>
      <c r="BN3169" s="76"/>
      <c r="BO3169" s="76"/>
      <c r="BP3169" s="76"/>
      <c r="BQ3169" s="76"/>
      <c r="BR3169" s="76"/>
      <c r="BS3169" s="76"/>
      <c r="BT3169" s="76"/>
      <c r="BU3169" s="76"/>
      <c r="BV3169" s="76"/>
      <c r="BW3169" s="76"/>
      <c r="BX3169" s="76"/>
      <c r="BY3169" s="76"/>
      <c r="BZ3169" s="76"/>
      <c r="CA3169" s="76"/>
      <c r="CB3169" s="76"/>
      <c r="CC3169" s="76"/>
      <c r="CD3169" s="76"/>
      <c r="CE3169" s="76"/>
      <c r="CF3169" s="76">
        <f>+CE3169*28000</f>
        <v>0</v>
      </c>
      <c r="CG3169" s="76"/>
      <c r="CH3169" s="76">
        <f>+CG3169*22500</f>
        <v>0</v>
      </c>
      <c r="CI3169" s="76"/>
      <c r="CJ3169" s="76">
        <f>+CI3169*26000</f>
        <v>0</v>
      </c>
      <c r="CK3169" s="76"/>
      <c r="CL3169" s="76"/>
      <c r="CM3169" s="76"/>
      <c r="CN3169" s="76">
        <f>+CM3169*22000</f>
        <v>0</v>
      </c>
      <c r="CO3169" s="76"/>
      <c r="CP3169" s="76">
        <f>+CO3169*46000</f>
        <v>0</v>
      </c>
      <c r="CQ3169" s="76"/>
      <c r="CR3169" s="76">
        <f>+CQ3169*49000</f>
        <v>0</v>
      </c>
      <c r="CS3169" s="76"/>
      <c r="CT3169" s="76"/>
      <c r="CU3169" s="56">
        <f>AN3169+AP3169+AR3169+AT3169+AV3169+AX3169+AZ3169+BB3169+BD3169+BF3169+BH3169+BJ3169+BL3169+BN3169+BP3169+BR3169+BT3169+BV3169+BX3169+BZ3169+CB3169+CD3169+CF3169+CH3169+CJ3169+CL3169+CN3169+CP3169+CR3169+CT3169</f>
        <v>0</v>
      </c>
      <c r="CV3169" s="76"/>
      <c r="CW3169" s="76">
        <f>+CV3169*1100</f>
        <v>0</v>
      </c>
      <c r="CX3169" s="76"/>
      <c r="CY3169" s="76">
        <f>+CX3169*106250</f>
        <v>0</v>
      </c>
      <c r="CZ3169" s="76"/>
      <c r="DA3169" s="76">
        <f>+CZ3169*34500</f>
        <v>0</v>
      </c>
      <c r="DB3169" s="76"/>
      <c r="DC3169" s="76">
        <f>+DB3169*25000</f>
        <v>0</v>
      </c>
      <c r="DD3169" s="219"/>
      <c r="DE3169" s="219"/>
      <c r="DF3169" s="166"/>
      <c r="DG3169" s="116"/>
      <c r="DH3169" s="117"/>
      <c r="DI3169" s="24"/>
      <c r="DJ3169" s="24"/>
      <c r="DK3169" s="24"/>
      <c r="DL3169" s="24"/>
      <c r="DM3169" s="24"/>
      <c r="DN3169" s="24"/>
      <c r="DO3169" s="24"/>
      <c r="DP3169" s="24"/>
      <c r="DQ3169" s="24"/>
      <c r="DR3169" s="24"/>
      <c r="DS3169" s="24"/>
      <c r="DT3169" s="24"/>
      <c r="DU3169" s="24"/>
    </row>
    <row r="3170" spans="1:125" s="8" customFormat="1" ht="48" x14ac:dyDescent="0.2">
      <c r="A3170" s="77">
        <v>41541</v>
      </c>
      <c r="B3170" s="352" t="s">
        <v>2848</v>
      </c>
      <c r="C3170" s="354" t="s">
        <v>1910</v>
      </c>
      <c r="D3170" s="354" t="s">
        <v>2846</v>
      </c>
      <c r="E3170" s="296" t="str">
        <f>VLOOKUP(B3170&amp;C3170,Divipola!$C$2:$F$1138,4,FALSE)</f>
        <v>73671</v>
      </c>
      <c r="F3170" s="87"/>
      <c r="G3170" s="87"/>
      <c r="H3170" s="87"/>
      <c r="I3170" s="87"/>
      <c r="J3170" s="87"/>
      <c r="K3170" s="87"/>
      <c r="L3170" s="87"/>
      <c r="M3170" s="87"/>
      <c r="N3170" s="87"/>
      <c r="O3170" s="87"/>
      <c r="P3170" s="87"/>
      <c r="Q3170" s="87"/>
      <c r="R3170" s="87"/>
      <c r="S3170" s="87"/>
      <c r="T3170" s="87"/>
      <c r="U3170" s="88">
        <v>4</v>
      </c>
      <c r="V3170" s="89"/>
      <c r="W3170" s="96">
        <v>0</v>
      </c>
      <c r="X3170" s="71">
        <f>CU3170</f>
        <v>0</v>
      </c>
      <c r="Y3170" s="71">
        <f>CY3170</f>
        <v>0</v>
      </c>
      <c r="Z3170" s="71">
        <f>DA3170+DC3170+DE3170</f>
        <v>0</v>
      </c>
      <c r="AA3170" s="71">
        <f>CW3170</f>
        <v>0</v>
      </c>
      <c r="AB3170" s="71"/>
      <c r="AC3170" s="71">
        <v>0</v>
      </c>
      <c r="AD3170" s="71">
        <f>W3170+X3170+Y3170+Z3170+AA3170+AB3170+AC3170</f>
        <v>0</v>
      </c>
      <c r="AE3170" s="72">
        <v>0</v>
      </c>
      <c r="AF3170" s="5"/>
      <c r="AG3170" s="6"/>
      <c r="AH3170" s="27"/>
      <c r="AI3170" s="44"/>
      <c r="AJ3170" s="26"/>
      <c r="AK3170" s="5"/>
      <c r="AL3170" s="82" t="s">
        <v>6082</v>
      </c>
      <c r="AM3170" s="76"/>
      <c r="AN3170" s="76"/>
      <c r="AO3170" s="76"/>
      <c r="AP3170" s="76"/>
      <c r="AQ3170" s="76"/>
      <c r="AR3170" s="76"/>
      <c r="AS3170" s="76"/>
      <c r="AT3170" s="76"/>
      <c r="AU3170" s="76"/>
      <c r="AV3170" s="76"/>
      <c r="AW3170" s="76"/>
      <c r="AX3170" s="76">
        <f>+AW3170*600000</f>
        <v>0</v>
      </c>
      <c r="AY3170" s="76"/>
      <c r="AZ3170" s="76">
        <f>+AY3170*70000</f>
        <v>0</v>
      </c>
      <c r="BA3170" s="76"/>
      <c r="BB3170" s="76"/>
      <c r="BC3170" s="76"/>
      <c r="BD3170" s="76">
        <f>+BC3170*30000</f>
        <v>0</v>
      </c>
      <c r="BE3170" s="76"/>
      <c r="BF3170" s="76"/>
      <c r="BG3170" s="76"/>
      <c r="BH3170" s="76"/>
      <c r="BI3170" s="76"/>
      <c r="BJ3170" s="76"/>
      <c r="BK3170" s="76"/>
      <c r="BL3170" s="76">
        <f>+BK3170*31500</f>
        <v>0</v>
      </c>
      <c r="BM3170" s="76"/>
      <c r="BN3170" s="76"/>
      <c r="BO3170" s="76"/>
      <c r="BP3170" s="76"/>
      <c r="BQ3170" s="76"/>
      <c r="BR3170" s="76"/>
      <c r="BS3170" s="76"/>
      <c r="BT3170" s="76"/>
      <c r="BU3170" s="76"/>
      <c r="BV3170" s="76"/>
      <c r="BW3170" s="76"/>
      <c r="BX3170" s="76"/>
      <c r="BY3170" s="76"/>
      <c r="BZ3170" s="76"/>
      <c r="CA3170" s="76"/>
      <c r="CB3170" s="76"/>
      <c r="CC3170" s="76"/>
      <c r="CD3170" s="76"/>
      <c r="CE3170" s="76"/>
      <c r="CF3170" s="76">
        <f>+CE3170*28000</f>
        <v>0</v>
      </c>
      <c r="CG3170" s="76"/>
      <c r="CH3170" s="76">
        <f>+CG3170*22500</f>
        <v>0</v>
      </c>
      <c r="CI3170" s="76"/>
      <c r="CJ3170" s="76">
        <f>+CI3170*26000</f>
        <v>0</v>
      </c>
      <c r="CK3170" s="76"/>
      <c r="CL3170" s="76"/>
      <c r="CM3170" s="76"/>
      <c r="CN3170" s="76">
        <f>+CM3170*22000</f>
        <v>0</v>
      </c>
      <c r="CO3170" s="76"/>
      <c r="CP3170" s="76">
        <f>+CO3170*46000</f>
        <v>0</v>
      </c>
      <c r="CQ3170" s="76"/>
      <c r="CR3170" s="76">
        <f>+CQ3170*49000</f>
        <v>0</v>
      </c>
      <c r="CS3170" s="76"/>
      <c r="CT3170" s="76"/>
      <c r="CU3170" s="56">
        <f>AN3170+AP3170+AR3170+AT3170+AV3170+AX3170+AZ3170+BB3170+BD3170+BF3170+BH3170+BJ3170+BL3170+BN3170+BP3170+BR3170+BT3170+BV3170+BX3170+BZ3170+CB3170+CD3170+CF3170+CH3170+CJ3170+CL3170+CN3170+CP3170+CR3170+CT3170</f>
        <v>0</v>
      </c>
      <c r="CV3170" s="76"/>
      <c r="CW3170" s="76">
        <f>+CV3170*1100</f>
        <v>0</v>
      </c>
      <c r="CX3170" s="76"/>
      <c r="CY3170" s="76">
        <f>+CX3170*106250</f>
        <v>0</v>
      </c>
      <c r="CZ3170" s="76"/>
      <c r="DA3170" s="76">
        <f>+CZ3170*34500</f>
        <v>0</v>
      </c>
      <c r="DB3170" s="76"/>
      <c r="DC3170" s="76">
        <f>+DB3170*25000</f>
        <v>0</v>
      </c>
      <c r="DD3170" s="219"/>
      <c r="DE3170" s="219"/>
      <c r="DF3170" s="166"/>
      <c r="DG3170" s="116"/>
      <c r="DH3170" s="117"/>
      <c r="DI3170" s="24"/>
      <c r="DJ3170" s="24"/>
      <c r="DK3170" s="24"/>
      <c r="DL3170" s="24"/>
      <c r="DM3170" s="24"/>
      <c r="DN3170" s="24"/>
      <c r="DO3170" s="24"/>
      <c r="DP3170" s="24"/>
      <c r="DQ3170" s="24"/>
      <c r="DR3170" s="24"/>
      <c r="DS3170" s="24"/>
      <c r="DT3170" s="24"/>
      <c r="DU3170" s="24"/>
    </row>
    <row r="3171" spans="1:125" s="8" customFormat="1" ht="36" x14ac:dyDescent="0.2">
      <c r="A3171" s="77">
        <v>41541</v>
      </c>
      <c r="B3171" s="352" t="s">
        <v>2851</v>
      </c>
      <c r="C3171" s="354" t="s">
        <v>1686</v>
      </c>
      <c r="D3171" s="354" t="s">
        <v>2846</v>
      </c>
      <c r="E3171" s="296" t="str">
        <f>VLOOKUP(B3171&amp;C3171,Divipola!$C$2:$F$1138,4,FALSE)</f>
        <v>76001</v>
      </c>
      <c r="F3171" s="87"/>
      <c r="G3171" s="87"/>
      <c r="H3171" s="87"/>
      <c r="I3171" s="87"/>
      <c r="J3171" s="87"/>
      <c r="K3171" s="87"/>
      <c r="L3171" s="87"/>
      <c r="M3171" s="87"/>
      <c r="N3171" s="87"/>
      <c r="O3171" s="87"/>
      <c r="P3171" s="87"/>
      <c r="Q3171" s="87"/>
      <c r="R3171" s="87"/>
      <c r="S3171" s="87"/>
      <c r="T3171" s="87"/>
      <c r="U3171" s="88">
        <v>5</v>
      </c>
      <c r="V3171" s="89"/>
      <c r="W3171" s="96">
        <v>0</v>
      </c>
      <c r="X3171" s="71">
        <f>CU3171</f>
        <v>0</v>
      </c>
      <c r="Y3171" s="71">
        <f>CY3171</f>
        <v>0</v>
      </c>
      <c r="Z3171" s="71">
        <f>DA3171+DC3171+DE3171</f>
        <v>0</v>
      </c>
      <c r="AA3171" s="71">
        <f>CW3171</f>
        <v>0</v>
      </c>
      <c r="AB3171" s="71"/>
      <c r="AC3171" s="71">
        <v>0</v>
      </c>
      <c r="AD3171" s="71">
        <f>W3171+X3171+Y3171+Z3171+AA3171+AB3171+AC3171</f>
        <v>0</v>
      </c>
      <c r="AE3171" s="72">
        <v>0</v>
      </c>
      <c r="AF3171" s="5"/>
      <c r="AG3171" s="6"/>
      <c r="AH3171" s="27"/>
      <c r="AI3171" s="44"/>
      <c r="AJ3171" s="26"/>
      <c r="AK3171" s="5"/>
      <c r="AL3171" s="82" t="s">
        <v>6089</v>
      </c>
      <c r="AM3171" s="76"/>
      <c r="AN3171" s="76"/>
      <c r="AO3171" s="76"/>
      <c r="AP3171" s="76"/>
      <c r="AQ3171" s="76"/>
      <c r="AR3171" s="76"/>
      <c r="AS3171" s="76"/>
      <c r="AT3171" s="76"/>
      <c r="AU3171" s="76"/>
      <c r="AV3171" s="76"/>
      <c r="AW3171" s="76"/>
      <c r="AX3171" s="76">
        <f>+AW3171*600000</f>
        <v>0</v>
      </c>
      <c r="AY3171" s="76"/>
      <c r="AZ3171" s="76">
        <f>+AY3171*70000</f>
        <v>0</v>
      </c>
      <c r="BA3171" s="76"/>
      <c r="BB3171" s="76"/>
      <c r="BC3171" s="76"/>
      <c r="BD3171" s="76">
        <f>+BC3171*30000</f>
        <v>0</v>
      </c>
      <c r="BE3171" s="76"/>
      <c r="BF3171" s="76"/>
      <c r="BG3171" s="76"/>
      <c r="BH3171" s="76"/>
      <c r="BI3171" s="76"/>
      <c r="BJ3171" s="76"/>
      <c r="BK3171" s="76"/>
      <c r="BL3171" s="76">
        <f>+BK3171*31500</f>
        <v>0</v>
      </c>
      <c r="BM3171" s="76"/>
      <c r="BN3171" s="76"/>
      <c r="BO3171" s="76"/>
      <c r="BP3171" s="76"/>
      <c r="BQ3171" s="76"/>
      <c r="BR3171" s="76"/>
      <c r="BS3171" s="76"/>
      <c r="BT3171" s="76"/>
      <c r="BU3171" s="76"/>
      <c r="BV3171" s="76"/>
      <c r="BW3171" s="76"/>
      <c r="BX3171" s="76"/>
      <c r="BY3171" s="76"/>
      <c r="BZ3171" s="76"/>
      <c r="CA3171" s="76"/>
      <c r="CB3171" s="76"/>
      <c r="CC3171" s="76"/>
      <c r="CD3171" s="76"/>
      <c r="CE3171" s="76"/>
      <c r="CF3171" s="76">
        <f>+CE3171*28000</f>
        <v>0</v>
      </c>
      <c r="CG3171" s="76"/>
      <c r="CH3171" s="76">
        <f>+CG3171*22500</f>
        <v>0</v>
      </c>
      <c r="CI3171" s="76"/>
      <c r="CJ3171" s="76">
        <f>+CI3171*26000</f>
        <v>0</v>
      </c>
      <c r="CK3171" s="76"/>
      <c r="CL3171" s="76"/>
      <c r="CM3171" s="76"/>
      <c r="CN3171" s="76">
        <f>+CM3171*22000</f>
        <v>0</v>
      </c>
      <c r="CO3171" s="76"/>
      <c r="CP3171" s="76">
        <f>+CO3171*46000</f>
        <v>0</v>
      </c>
      <c r="CQ3171" s="76"/>
      <c r="CR3171" s="76">
        <f>+CQ3171*49000</f>
        <v>0</v>
      </c>
      <c r="CS3171" s="76"/>
      <c r="CT3171" s="76"/>
      <c r="CU3171" s="56">
        <f>AN3171+AP3171+AR3171+AT3171+AV3171+AX3171+AZ3171+BB3171+BD3171+BF3171+BH3171+BJ3171+BL3171+BN3171+BP3171+BR3171+BT3171+BV3171+BX3171+BZ3171+CB3171+CD3171+CF3171+CH3171+CJ3171+CL3171+CN3171+CP3171+CR3171+CT3171</f>
        <v>0</v>
      </c>
      <c r="CV3171" s="76"/>
      <c r="CW3171" s="76">
        <f>+CV3171*1100</f>
        <v>0</v>
      </c>
      <c r="CX3171" s="76"/>
      <c r="CY3171" s="76">
        <f>+CX3171*106250</f>
        <v>0</v>
      </c>
      <c r="CZ3171" s="76"/>
      <c r="DA3171" s="76">
        <f>+CZ3171*34500</f>
        <v>0</v>
      </c>
      <c r="DB3171" s="76"/>
      <c r="DC3171" s="76">
        <f>+DB3171*25000</f>
        <v>0</v>
      </c>
      <c r="DD3171" s="219"/>
      <c r="DE3171" s="219"/>
      <c r="DF3171" s="166"/>
      <c r="DG3171" s="116"/>
      <c r="DH3171" s="117"/>
      <c r="DI3171" s="24"/>
      <c r="DJ3171" s="24"/>
      <c r="DK3171" s="24"/>
      <c r="DL3171" s="24"/>
      <c r="DM3171" s="24"/>
      <c r="DN3171" s="24"/>
      <c r="DO3171" s="24"/>
      <c r="DP3171" s="24"/>
      <c r="DQ3171" s="24"/>
      <c r="DR3171" s="24"/>
      <c r="DS3171" s="24"/>
      <c r="DT3171" s="24"/>
      <c r="DU3171" s="24"/>
    </row>
    <row r="3172" spans="1:125" s="8" customFormat="1" ht="36" x14ac:dyDescent="0.2">
      <c r="A3172" s="77">
        <v>41542</v>
      </c>
      <c r="B3172" s="78" t="s">
        <v>2778</v>
      </c>
      <c r="C3172" s="75" t="s">
        <v>1344</v>
      </c>
      <c r="D3172" s="75" t="s">
        <v>2846</v>
      </c>
      <c r="E3172" s="296" t="str">
        <f>VLOOKUP(B3172&amp;C3172,Divipola!$C$2:$F$1138,4,FALSE)</f>
        <v>85001</v>
      </c>
      <c r="F3172" s="61"/>
      <c r="G3172" s="61"/>
      <c r="H3172" s="61"/>
      <c r="I3172" s="61"/>
      <c r="J3172" s="61"/>
      <c r="K3172" s="61"/>
      <c r="L3172" s="61"/>
      <c r="M3172" s="61"/>
      <c r="N3172" s="61"/>
      <c r="O3172" s="61"/>
      <c r="P3172" s="61"/>
      <c r="Q3172" s="61"/>
      <c r="R3172" s="61"/>
      <c r="S3172" s="61"/>
      <c r="T3172" s="61"/>
      <c r="U3172" s="61"/>
      <c r="V3172" s="7"/>
      <c r="W3172" s="96">
        <v>0</v>
      </c>
      <c r="X3172" s="71">
        <f>CU3172</f>
        <v>0</v>
      </c>
      <c r="Y3172" s="71">
        <f>CY3172</f>
        <v>0</v>
      </c>
      <c r="Z3172" s="71">
        <f>DA3172+DC3172+DE3172</f>
        <v>0</v>
      </c>
      <c r="AA3172" s="71">
        <f>CW3172</f>
        <v>0</v>
      </c>
      <c r="AB3172" s="71"/>
      <c r="AC3172" s="71">
        <v>0</v>
      </c>
      <c r="AD3172" s="71">
        <f>W3172+X3172+Y3172+Z3172+AA3172+AB3172+AC3172</f>
        <v>0</v>
      </c>
      <c r="AE3172" s="72">
        <v>0</v>
      </c>
      <c r="AF3172" s="5"/>
      <c r="AG3172" s="6"/>
      <c r="AH3172" s="27"/>
      <c r="AI3172" s="44"/>
      <c r="AJ3172" s="26"/>
      <c r="AK3172" s="5"/>
      <c r="AL3172" s="268" t="s">
        <v>6102</v>
      </c>
      <c r="AM3172" s="76"/>
      <c r="AN3172" s="76"/>
      <c r="AO3172" s="76"/>
      <c r="AP3172" s="76"/>
      <c r="AQ3172" s="76"/>
      <c r="AR3172" s="76"/>
      <c r="AS3172" s="76"/>
      <c r="AT3172" s="76"/>
      <c r="AU3172" s="76"/>
      <c r="AV3172" s="76"/>
      <c r="AW3172" s="76"/>
      <c r="AX3172" s="76">
        <f>+AW3172*600000</f>
        <v>0</v>
      </c>
      <c r="AY3172" s="76"/>
      <c r="AZ3172" s="76">
        <f>+AY3172*70000</f>
        <v>0</v>
      </c>
      <c r="BA3172" s="76"/>
      <c r="BB3172" s="76"/>
      <c r="BC3172" s="76"/>
      <c r="BD3172" s="76">
        <f>+BC3172*30000</f>
        <v>0</v>
      </c>
      <c r="BE3172" s="76"/>
      <c r="BF3172" s="76"/>
      <c r="BG3172" s="76"/>
      <c r="BH3172" s="76"/>
      <c r="BI3172" s="76"/>
      <c r="BJ3172" s="76"/>
      <c r="BK3172" s="76"/>
      <c r="BL3172" s="76">
        <f>+BK3172*31500</f>
        <v>0</v>
      </c>
      <c r="BM3172" s="76"/>
      <c r="BN3172" s="76"/>
      <c r="BO3172" s="76"/>
      <c r="BP3172" s="76"/>
      <c r="BQ3172" s="76"/>
      <c r="BR3172" s="76"/>
      <c r="BS3172" s="76"/>
      <c r="BT3172" s="76"/>
      <c r="BU3172" s="76"/>
      <c r="BV3172" s="76"/>
      <c r="BW3172" s="76"/>
      <c r="BX3172" s="76"/>
      <c r="BY3172" s="76"/>
      <c r="BZ3172" s="76"/>
      <c r="CA3172" s="76"/>
      <c r="CB3172" s="76"/>
      <c r="CC3172" s="76"/>
      <c r="CD3172" s="76"/>
      <c r="CE3172" s="76"/>
      <c r="CF3172" s="76">
        <f>+CE3172*28000</f>
        <v>0</v>
      </c>
      <c r="CG3172" s="76"/>
      <c r="CH3172" s="76">
        <f>+CG3172*22500</f>
        <v>0</v>
      </c>
      <c r="CI3172" s="76"/>
      <c r="CJ3172" s="76">
        <f>+CI3172*26000</f>
        <v>0</v>
      </c>
      <c r="CK3172" s="76"/>
      <c r="CL3172" s="76"/>
      <c r="CM3172" s="76"/>
      <c r="CN3172" s="76">
        <f>+CM3172*22000</f>
        <v>0</v>
      </c>
      <c r="CO3172" s="76"/>
      <c r="CP3172" s="76">
        <f>+CO3172*46000</f>
        <v>0</v>
      </c>
      <c r="CQ3172" s="76"/>
      <c r="CR3172" s="76">
        <f>+CQ3172*49000</f>
        <v>0</v>
      </c>
      <c r="CS3172" s="76"/>
      <c r="CT3172" s="76"/>
      <c r="CU3172" s="56">
        <f>AN3172+AP3172+AR3172+AT3172+AV3172+AX3172+AZ3172+BB3172+BD3172+BF3172+BH3172+BJ3172+BL3172+BN3172+BP3172+BR3172+BT3172+BV3172+BX3172+BZ3172+CB3172+CD3172+CF3172+CH3172+CJ3172+CL3172+CN3172+CP3172+CR3172+CT3172</f>
        <v>0</v>
      </c>
      <c r="CV3172" s="76"/>
      <c r="CW3172" s="76">
        <f>+CV3172*1100</f>
        <v>0</v>
      </c>
      <c r="CX3172" s="76"/>
      <c r="CY3172" s="76">
        <f>+CX3172*106250</f>
        <v>0</v>
      </c>
      <c r="CZ3172" s="76"/>
      <c r="DA3172" s="76">
        <f>+CZ3172*34500</f>
        <v>0</v>
      </c>
      <c r="DB3172" s="76"/>
      <c r="DC3172" s="76">
        <f>+DB3172*25000</f>
        <v>0</v>
      </c>
      <c r="DD3172" s="219"/>
      <c r="DE3172" s="219"/>
      <c r="DF3172" s="166"/>
      <c r="DG3172" s="116"/>
      <c r="DH3172" s="117"/>
      <c r="DI3172" s="24"/>
      <c r="DJ3172" s="24"/>
      <c r="DK3172" s="24"/>
      <c r="DL3172" s="24"/>
      <c r="DM3172" s="24"/>
      <c r="DN3172" s="24"/>
      <c r="DO3172" s="24"/>
      <c r="DP3172" s="24"/>
      <c r="DQ3172" s="24"/>
      <c r="DR3172" s="24"/>
      <c r="DS3172" s="24"/>
      <c r="DT3172" s="24"/>
      <c r="DU3172" s="24"/>
    </row>
    <row r="3173" spans="1:125" s="8" customFormat="1" ht="72" x14ac:dyDescent="0.2">
      <c r="A3173" s="77">
        <v>41542</v>
      </c>
      <c r="B3173" s="352" t="s">
        <v>2854</v>
      </c>
      <c r="C3173" s="354" t="s">
        <v>875</v>
      </c>
      <c r="D3173" s="354" t="s">
        <v>2846</v>
      </c>
      <c r="E3173" s="296" t="str">
        <f>VLOOKUP(B3173&amp;C3173,Divipola!$C$2:$F$1138,4,FALSE)</f>
        <v>19760</v>
      </c>
      <c r="F3173" s="87"/>
      <c r="G3173" s="87"/>
      <c r="H3173" s="87"/>
      <c r="I3173" s="87"/>
      <c r="J3173" s="87"/>
      <c r="K3173" s="87"/>
      <c r="L3173" s="87"/>
      <c r="M3173" s="87"/>
      <c r="N3173" s="87"/>
      <c r="O3173" s="87"/>
      <c r="P3173" s="87"/>
      <c r="Q3173" s="87"/>
      <c r="R3173" s="87"/>
      <c r="S3173" s="87"/>
      <c r="T3173" s="87"/>
      <c r="U3173" s="88"/>
      <c r="V3173" s="89"/>
      <c r="W3173" s="96">
        <v>0</v>
      </c>
      <c r="X3173" s="71">
        <f>CU3173</f>
        <v>0</v>
      </c>
      <c r="Y3173" s="71">
        <f>CY3173</f>
        <v>0</v>
      </c>
      <c r="Z3173" s="71">
        <f>DA3173+DC3173+DE3173</f>
        <v>0</v>
      </c>
      <c r="AA3173" s="71">
        <f>CW3173</f>
        <v>0</v>
      </c>
      <c r="AB3173" s="71"/>
      <c r="AC3173" s="71">
        <v>0</v>
      </c>
      <c r="AD3173" s="71">
        <f>W3173+X3173+Y3173+Z3173+AA3173+AB3173+AC3173</f>
        <v>0</v>
      </c>
      <c r="AE3173" s="72">
        <v>0</v>
      </c>
      <c r="AF3173" s="5"/>
      <c r="AG3173" s="6"/>
      <c r="AH3173" s="27"/>
      <c r="AI3173" s="44"/>
      <c r="AJ3173" s="26"/>
      <c r="AK3173" s="5"/>
      <c r="AL3173" s="82" t="s">
        <v>6093</v>
      </c>
      <c r="AM3173" s="76"/>
      <c r="AN3173" s="76"/>
      <c r="AO3173" s="76"/>
      <c r="AP3173" s="76"/>
      <c r="AQ3173" s="76"/>
      <c r="AR3173" s="76"/>
      <c r="AS3173" s="76"/>
      <c r="AT3173" s="76"/>
      <c r="AU3173" s="76"/>
      <c r="AV3173" s="76"/>
      <c r="AW3173" s="76"/>
      <c r="AX3173" s="76">
        <f>+AW3173*600000</f>
        <v>0</v>
      </c>
      <c r="AY3173" s="76"/>
      <c r="AZ3173" s="76">
        <f>+AY3173*70000</f>
        <v>0</v>
      </c>
      <c r="BA3173" s="76"/>
      <c r="BB3173" s="76"/>
      <c r="BC3173" s="76"/>
      <c r="BD3173" s="76">
        <f>+BC3173*30000</f>
        <v>0</v>
      </c>
      <c r="BE3173" s="76"/>
      <c r="BF3173" s="76"/>
      <c r="BG3173" s="76"/>
      <c r="BH3173" s="76"/>
      <c r="BI3173" s="76"/>
      <c r="BJ3173" s="76"/>
      <c r="BK3173" s="76"/>
      <c r="BL3173" s="76">
        <f>+BK3173*31500</f>
        <v>0</v>
      </c>
      <c r="BM3173" s="76"/>
      <c r="BN3173" s="76"/>
      <c r="BO3173" s="76"/>
      <c r="BP3173" s="76"/>
      <c r="BQ3173" s="76"/>
      <c r="BR3173" s="76"/>
      <c r="BS3173" s="76"/>
      <c r="BT3173" s="76"/>
      <c r="BU3173" s="76"/>
      <c r="BV3173" s="76"/>
      <c r="BW3173" s="76"/>
      <c r="BX3173" s="76"/>
      <c r="BY3173" s="76"/>
      <c r="BZ3173" s="76"/>
      <c r="CA3173" s="76"/>
      <c r="CB3173" s="76"/>
      <c r="CC3173" s="76"/>
      <c r="CD3173" s="76"/>
      <c r="CE3173" s="76"/>
      <c r="CF3173" s="76">
        <f>+CE3173*28000</f>
        <v>0</v>
      </c>
      <c r="CG3173" s="76"/>
      <c r="CH3173" s="76">
        <f>+CG3173*22500</f>
        <v>0</v>
      </c>
      <c r="CI3173" s="76"/>
      <c r="CJ3173" s="76">
        <f>+CI3173*26000</f>
        <v>0</v>
      </c>
      <c r="CK3173" s="76"/>
      <c r="CL3173" s="76"/>
      <c r="CM3173" s="76"/>
      <c r="CN3173" s="76">
        <f>+CM3173*22000</f>
        <v>0</v>
      </c>
      <c r="CO3173" s="76"/>
      <c r="CP3173" s="76">
        <f>+CO3173*46000</f>
        <v>0</v>
      </c>
      <c r="CQ3173" s="76"/>
      <c r="CR3173" s="76">
        <f>+CQ3173*49000</f>
        <v>0</v>
      </c>
      <c r="CS3173" s="76"/>
      <c r="CT3173" s="76"/>
      <c r="CU3173" s="56">
        <f>AN3173+AP3173+AR3173+AT3173+AV3173+AX3173+AZ3173+BB3173+BD3173+BF3173+BH3173+BJ3173+BL3173+BN3173+BP3173+BR3173+BT3173+BV3173+BX3173+BZ3173+CB3173+CD3173+CF3173+CH3173+CJ3173+CL3173+CN3173+CP3173+CR3173+CT3173</f>
        <v>0</v>
      </c>
      <c r="CV3173" s="76"/>
      <c r="CW3173" s="76">
        <f>+CV3173*1100</f>
        <v>0</v>
      </c>
      <c r="CX3173" s="76"/>
      <c r="CY3173" s="76">
        <f>+CX3173*106250</f>
        <v>0</v>
      </c>
      <c r="CZ3173" s="76"/>
      <c r="DA3173" s="76">
        <f>+CZ3173*34500</f>
        <v>0</v>
      </c>
      <c r="DB3173" s="76"/>
      <c r="DC3173" s="76">
        <f>+DB3173*25000</f>
        <v>0</v>
      </c>
      <c r="DD3173" s="219"/>
      <c r="DE3173" s="219"/>
      <c r="DF3173" s="166"/>
      <c r="DG3173" s="116"/>
      <c r="DH3173" s="117"/>
      <c r="DI3173" s="24"/>
      <c r="DJ3173" s="24"/>
      <c r="DK3173" s="24"/>
      <c r="DL3173" s="24"/>
      <c r="DM3173" s="24"/>
      <c r="DN3173" s="24"/>
      <c r="DO3173" s="24"/>
      <c r="DP3173" s="24"/>
      <c r="DQ3173" s="24"/>
      <c r="DR3173" s="24"/>
      <c r="DS3173" s="24"/>
      <c r="DT3173" s="24"/>
      <c r="DU3173" s="24"/>
    </row>
    <row r="3174" spans="1:125" s="8" customFormat="1" ht="108" x14ac:dyDescent="0.2">
      <c r="A3174" s="77">
        <v>41542</v>
      </c>
      <c r="B3174" s="352" t="s">
        <v>2854</v>
      </c>
      <c r="C3174" s="354" t="s">
        <v>875</v>
      </c>
      <c r="D3174" s="354" t="s">
        <v>2882</v>
      </c>
      <c r="E3174" s="296" t="str">
        <f>VLOOKUP(B3174&amp;C3174,Divipola!$C$2:$F$1138,4,FALSE)</f>
        <v>19760</v>
      </c>
      <c r="F3174" s="87"/>
      <c r="G3174" s="87"/>
      <c r="H3174" s="87"/>
      <c r="I3174" s="87">
        <v>230</v>
      </c>
      <c r="J3174" s="87">
        <v>46</v>
      </c>
      <c r="K3174" s="87"/>
      <c r="L3174" s="87">
        <v>46</v>
      </c>
      <c r="M3174" s="87"/>
      <c r="N3174" s="87"/>
      <c r="O3174" s="87"/>
      <c r="P3174" s="87"/>
      <c r="Q3174" s="87"/>
      <c r="R3174" s="87"/>
      <c r="S3174" s="87"/>
      <c r="T3174" s="87"/>
      <c r="U3174" s="88"/>
      <c r="V3174" s="89"/>
      <c r="W3174" s="96">
        <v>0</v>
      </c>
      <c r="X3174" s="71">
        <f>CU3174</f>
        <v>0</v>
      </c>
      <c r="Y3174" s="71">
        <f>CY3174</f>
        <v>0</v>
      </c>
      <c r="Z3174" s="71">
        <f>DA3174+DC3174+DE3174</f>
        <v>0</v>
      </c>
      <c r="AA3174" s="71">
        <f>CW3174</f>
        <v>0</v>
      </c>
      <c r="AB3174" s="71"/>
      <c r="AC3174" s="71">
        <v>0</v>
      </c>
      <c r="AD3174" s="71">
        <f>W3174+X3174+Y3174+Z3174+AA3174+AB3174+AC3174</f>
        <v>0</v>
      </c>
      <c r="AE3174" s="72">
        <v>0</v>
      </c>
      <c r="AF3174" s="5"/>
      <c r="AG3174" s="6"/>
      <c r="AH3174" s="27"/>
      <c r="AI3174" s="44"/>
      <c r="AJ3174" s="26"/>
      <c r="AK3174" s="5"/>
      <c r="AL3174" s="82" t="s">
        <v>6092</v>
      </c>
      <c r="AM3174" s="76"/>
      <c r="AN3174" s="76"/>
      <c r="AO3174" s="76"/>
      <c r="AP3174" s="76"/>
      <c r="AQ3174" s="76"/>
      <c r="AR3174" s="76"/>
      <c r="AS3174" s="76"/>
      <c r="AT3174" s="76"/>
      <c r="AU3174" s="76"/>
      <c r="AV3174" s="76"/>
      <c r="AW3174" s="76"/>
      <c r="AX3174" s="76">
        <f>+AW3174*600000</f>
        <v>0</v>
      </c>
      <c r="AY3174" s="76"/>
      <c r="AZ3174" s="76">
        <f>+AY3174*70000</f>
        <v>0</v>
      </c>
      <c r="BA3174" s="76"/>
      <c r="BB3174" s="76"/>
      <c r="BC3174" s="76"/>
      <c r="BD3174" s="76">
        <f>+BC3174*30000</f>
        <v>0</v>
      </c>
      <c r="BE3174" s="76"/>
      <c r="BF3174" s="76"/>
      <c r="BG3174" s="76"/>
      <c r="BH3174" s="76"/>
      <c r="BI3174" s="76"/>
      <c r="BJ3174" s="76"/>
      <c r="BK3174" s="76"/>
      <c r="BL3174" s="76">
        <f>+BK3174*31500</f>
        <v>0</v>
      </c>
      <c r="BM3174" s="76"/>
      <c r="BN3174" s="76"/>
      <c r="BO3174" s="76"/>
      <c r="BP3174" s="76"/>
      <c r="BQ3174" s="76"/>
      <c r="BR3174" s="76"/>
      <c r="BS3174" s="76"/>
      <c r="BT3174" s="76"/>
      <c r="BU3174" s="76"/>
      <c r="BV3174" s="76"/>
      <c r="BW3174" s="76"/>
      <c r="BX3174" s="76"/>
      <c r="BY3174" s="76"/>
      <c r="BZ3174" s="76"/>
      <c r="CA3174" s="76"/>
      <c r="CB3174" s="76"/>
      <c r="CC3174" s="76"/>
      <c r="CD3174" s="76"/>
      <c r="CE3174" s="76"/>
      <c r="CF3174" s="76">
        <f>+CE3174*28000</f>
        <v>0</v>
      </c>
      <c r="CG3174" s="76"/>
      <c r="CH3174" s="76">
        <f>+CG3174*22500</f>
        <v>0</v>
      </c>
      <c r="CI3174" s="76"/>
      <c r="CJ3174" s="76">
        <f>+CI3174*26000</f>
        <v>0</v>
      </c>
      <c r="CK3174" s="76"/>
      <c r="CL3174" s="76"/>
      <c r="CM3174" s="76"/>
      <c r="CN3174" s="76">
        <f>+CM3174*22000</f>
        <v>0</v>
      </c>
      <c r="CO3174" s="76"/>
      <c r="CP3174" s="76">
        <f>+CO3174*46000</f>
        <v>0</v>
      </c>
      <c r="CQ3174" s="76"/>
      <c r="CR3174" s="76">
        <f>+CQ3174*49000</f>
        <v>0</v>
      </c>
      <c r="CS3174" s="76"/>
      <c r="CT3174" s="76"/>
      <c r="CU3174" s="56">
        <f>AN3174+AP3174+AR3174+AT3174+AV3174+AX3174+AZ3174+BB3174+BD3174+BF3174+BH3174+BJ3174+BL3174+BN3174+BP3174+BR3174+BT3174+BV3174+BX3174+BZ3174+CB3174+CD3174+CF3174+CH3174+CJ3174+CL3174+CN3174+CP3174+CR3174+CT3174</f>
        <v>0</v>
      </c>
      <c r="CV3174" s="76"/>
      <c r="CW3174" s="76">
        <f>+CV3174*1100</f>
        <v>0</v>
      </c>
      <c r="CX3174" s="76"/>
      <c r="CY3174" s="76">
        <f>+CX3174*106250</f>
        <v>0</v>
      </c>
      <c r="CZ3174" s="76"/>
      <c r="DA3174" s="76">
        <f>+CZ3174*34500</f>
        <v>0</v>
      </c>
      <c r="DB3174" s="76"/>
      <c r="DC3174" s="76">
        <f>+DB3174*25000</f>
        <v>0</v>
      </c>
      <c r="DD3174" s="219"/>
      <c r="DE3174" s="219"/>
      <c r="DF3174" s="166"/>
      <c r="DG3174" s="116"/>
      <c r="DH3174" s="117"/>
      <c r="DI3174" s="24"/>
      <c r="DJ3174" s="24"/>
      <c r="DK3174" s="24"/>
      <c r="DL3174" s="24"/>
      <c r="DM3174" s="24"/>
      <c r="DN3174" s="24"/>
      <c r="DO3174" s="24"/>
      <c r="DP3174" s="24"/>
      <c r="DQ3174" s="24"/>
      <c r="DR3174" s="24"/>
      <c r="DS3174" s="24"/>
      <c r="DT3174" s="24"/>
      <c r="DU3174" s="24"/>
    </row>
    <row r="3175" spans="1:125" s="8" customFormat="1" ht="84" x14ac:dyDescent="0.2">
      <c r="A3175" s="77">
        <v>41542</v>
      </c>
      <c r="B3175" s="352" t="s">
        <v>2772</v>
      </c>
      <c r="C3175" s="354" t="s">
        <v>2690</v>
      </c>
      <c r="D3175" s="354" t="s">
        <v>2846</v>
      </c>
      <c r="E3175" s="296" t="str">
        <f>VLOOKUP(B3175&amp;C3175,Divipola!$C$2:$F$1138,4,FALSE)</f>
        <v>25513</v>
      </c>
      <c r="F3175" s="87"/>
      <c r="G3175" s="87"/>
      <c r="H3175" s="87"/>
      <c r="I3175" s="87"/>
      <c r="J3175" s="87"/>
      <c r="K3175" s="87"/>
      <c r="L3175" s="87"/>
      <c r="M3175" s="87"/>
      <c r="N3175" s="87"/>
      <c r="O3175" s="87"/>
      <c r="P3175" s="87"/>
      <c r="Q3175" s="87"/>
      <c r="R3175" s="87"/>
      <c r="S3175" s="87"/>
      <c r="T3175" s="87"/>
      <c r="U3175" s="88">
        <v>32</v>
      </c>
      <c r="V3175" s="89"/>
      <c r="W3175" s="96">
        <v>0</v>
      </c>
      <c r="X3175" s="71">
        <f>CU3175</f>
        <v>0</v>
      </c>
      <c r="Y3175" s="71">
        <f>CY3175</f>
        <v>0</v>
      </c>
      <c r="Z3175" s="71">
        <f>DA3175+DC3175+DE3175</f>
        <v>0</v>
      </c>
      <c r="AA3175" s="71">
        <f>CW3175</f>
        <v>0</v>
      </c>
      <c r="AB3175" s="71"/>
      <c r="AC3175" s="71">
        <v>0</v>
      </c>
      <c r="AD3175" s="71">
        <f>W3175+X3175+Y3175+Z3175+AA3175+AB3175+AC3175</f>
        <v>0</v>
      </c>
      <c r="AE3175" s="72">
        <v>0</v>
      </c>
      <c r="AF3175" s="5"/>
      <c r="AG3175" s="6"/>
      <c r="AH3175" s="27"/>
      <c r="AI3175" s="44"/>
      <c r="AJ3175" s="26"/>
      <c r="AK3175" s="5"/>
      <c r="AL3175" s="268" t="s">
        <v>6104</v>
      </c>
      <c r="AM3175" s="76"/>
      <c r="AN3175" s="76"/>
      <c r="AO3175" s="76"/>
      <c r="AP3175" s="76"/>
      <c r="AQ3175" s="76"/>
      <c r="AR3175" s="76"/>
      <c r="AS3175" s="76"/>
      <c r="AT3175" s="76"/>
      <c r="AU3175" s="76"/>
      <c r="AV3175" s="76"/>
      <c r="AW3175" s="76"/>
      <c r="AX3175" s="76">
        <f>+AW3175*600000</f>
        <v>0</v>
      </c>
      <c r="AY3175" s="76"/>
      <c r="AZ3175" s="76">
        <f>+AY3175*70000</f>
        <v>0</v>
      </c>
      <c r="BA3175" s="76"/>
      <c r="BB3175" s="76"/>
      <c r="BC3175" s="76"/>
      <c r="BD3175" s="76">
        <f>+BC3175*30000</f>
        <v>0</v>
      </c>
      <c r="BE3175" s="76"/>
      <c r="BF3175" s="76"/>
      <c r="BG3175" s="76"/>
      <c r="BH3175" s="76"/>
      <c r="BI3175" s="76"/>
      <c r="BJ3175" s="76"/>
      <c r="BK3175" s="76"/>
      <c r="BL3175" s="76">
        <f>+BK3175*31500</f>
        <v>0</v>
      </c>
      <c r="BM3175" s="76"/>
      <c r="BN3175" s="76"/>
      <c r="BO3175" s="76"/>
      <c r="BP3175" s="76"/>
      <c r="BQ3175" s="76"/>
      <c r="BR3175" s="76"/>
      <c r="BS3175" s="76"/>
      <c r="BT3175" s="76"/>
      <c r="BU3175" s="76"/>
      <c r="BV3175" s="76"/>
      <c r="BW3175" s="76"/>
      <c r="BX3175" s="76"/>
      <c r="BY3175" s="76"/>
      <c r="BZ3175" s="76"/>
      <c r="CA3175" s="76"/>
      <c r="CB3175" s="76"/>
      <c r="CC3175" s="76"/>
      <c r="CD3175" s="76"/>
      <c r="CE3175" s="76"/>
      <c r="CF3175" s="76">
        <f>+CE3175*28000</f>
        <v>0</v>
      </c>
      <c r="CG3175" s="76"/>
      <c r="CH3175" s="76">
        <f>+CG3175*22500</f>
        <v>0</v>
      </c>
      <c r="CI3175" s="76"/>
      <c r="CJ3175" s="76">
        <f>+CI3175*26000</f>
        <v>0</v>
      </c>
      <c r="CK3175" s="76"/>
      <c r="CL3175" s="76"/>
      <c r="CM3175" s="76"/>
      <c r="CN3175" s="76">
        <f>+CM3175*22000</f>
        <v>0</v>
      </c>
      <c r="CO3175" s="76"/>
      <c r="CP3175" s="76">
        <f>+CO3175*46000</f>
        <v>0</v>
      </c>
      <c r="CQ3175" s="76"/>
      <c r="CR3175" s="76">
        <f>+CQ3175*49000</f>
        <v>0</v>
      </c>
      <c r="CS3175" s="76"/>
      <c r="CT3175" s="76"/>
      <c r="CU3175" s="56">
        <f>AN3175+AP3175+AR3175+AT3175+AV3175+AX3175+AZ3175+BB3175+BD3175+BF3175+BH3175+BJ3175+BL3175+BN3175+BP3175+BR3175+BT3175+BV3175+BX3175+BZ3175+CB3175+CD3175+CF3175+CH3175+CJ3175+CL3175+CN3175+CP3175+CR3175+CT3175</f>
        <v>0</v>
      </c>
      <c r="CV3175" s="76"/>
      <c r="CW3175" s="76">
        <f>+CV3175*1100</f>
        <v>0</v>
      </c>
      <c r="CX3175" s="76"/>
      <c r="CY3175" s="76">
        <f>+CX3175*106250</f>
        <v>0</v>
      </c>
      <c r="CZ3175" s="76"/>
      <c r="DA3175" s="76">
        <f>+CZ3175*34500</f>
        <v>0</v>
      </c>
      <c r="DB3175" s="76"/>
      <c r="DC3175" s="76">
        <f>+DB3175*25000</f>
        <v>0</v>
      </c>
      <c r="DD3175" s="219"/>
      <c r="DE3175" s="219"/>
      <c r="DF3175" s="166"/>
      <c r="DG3175" s="116"/>
      <c r="DH3175" s="117"/>
      <c r="DI3175" s="24"/>
      <c r="DJ3175" s="24"/>
      <c r="DK3175" s="24"/>
      <c r="DL3175" s="24"/>
      <c r="DM3175" s="24"/>
      <c r="DN3175" s="24"/>
      <c r="DO3175" s="24"/>
      <c r="DP3175" s="24"/>
      <c r="DQ3175" s="24"/>
      <c r="DR3175" s="24"/>
      <c r="DS3175" s="24"/>
      <c r="DT3175" s="24"/>
      <c r="DU3175" s="24"/>
    </row>
    <row r="3176" spans="1:125" s="8" customFormat="1" ht="84" x14ac:dyDescent="0.2">
      <c r="A3176" s="77">
        <v>41542</v>
      </c>
      <c r="B3176" s="78" t="s">
        <v>2847</v>
      </c>
      <c r="C3176" s="75" t="s">
        <v>1727</v>
      </c>
      <c r="D3176" s="75" t="s">
        <v>2846</v>
      </c>
      <c r="E3176" s="296" t="str">
        <f>VLOOKUP(B3176&amp;C3176,Divipola!$C$2:$F$1138,4,FALSE)</f>
        <v>68406</v>
      </c>
      <c r="F3176" s="87"/>
      <c r="G3176" s="87"/>
      <c r="H3176" s="87"/>
      <c r="I3176" s="87"/>
      <c r="J3176" s="87"/>
      <c r="K3176" s="87"/>
      <c r="L3176" s="87"/>
      <c r="M3176" s="87"/>
      <c r="N3176" s="87"/>
      <c r="O3176" s="87"/>
      <c r="P3176" s="87"/>
      <c r="Q3176" s="87"/>
      <c r="R3176" s="87"/>
      <c r="S3176" s="87"/>
      <c r="T3176" s="87"/>
      <c r="U3176" s="88">
        <v>10</v>
      </c>
      <c r="V3176" s="89"/>
      <c r="W3176" s="96">
        <v>0</v>
      </c>
      <c r="X3176" s="71">
        <f>CU3176</f>
        <v>0</v>
      </c>
      <c r="Y3176" s="71">
        <f>CY3176</f>
        <v>0</v>
      </c>
      <c r="Z3176" s="71">
        <f>DA3176+DC3176+DE3176</f>
        <v>0</v>
      </c>
      <c r="AA3176" s="71">
        <f>CW3176</f>
        <v>0</v>
      </c>
      <c r="AB3176" s="71"/>
      <c r="AC3176" s="71">
        <v>0</v>
      </c>
      <c r="AD3176" s="71">
        <f>W3176+X3176+Y3176+Z3176+AA3176+AB3176+AC3176</f>
        <v>0</v>
      </c>
      <c r="AE3176" s="72">
        <v>0</v>
      </c>
      <c r="AF3176" s="5"/>
      <c r="AG3176" s="6"/>
      <c r="AH3176" s="27"/>
      <c r="AI3176" s="44"/>
      <c r="AJ3176" s="26"/>
      <c r="AK3176" s="5"/>
      <c r="AL3176" s="82" t="s">
        <v>6095</v>
      </c>
      <c r="AM3176" s="76"/>
      <c r="AN3176" s="76"/>
      <c r="AO3176" s="76"/>
      <c r="AP3176" s="76"/>
      <c r="AQ3176" s="76"/>
      <c r="AR3176" s="76"/>
      <c r="AS3176" s="76"/>
      <c r="AT3176" s="76"/>
      <c r="AU3176" s="76"/>
      <c r="AV3176" s="76"/>
      <c r="AW3176" s="76"/>
      <c r="AX3176" s="76">
        <f>+AW3176*600000</f>
        <v>0</v>
      </c>
      <c r="AY3176" s="76"/>
      <c r="AZ3176" s="76">
        <f>+AY3176*70000</f>
        <v>0</v>
      </c>
      <c r="BA3176" s="76"/>
      <c r="BB3176" s="76"/>
      <c r="BC3176" s="76"/>
      <c r="BD3176" s="76">
        <f>+BC3176*30000</f>
        <v>0</v>
      </c>
      <c r="BE3176" s="76"/>
      <c r="BF3176" s="76"/>
      <c r="BG3176" s="76"/>
      <c r="BH3176" s="76"/>
      <c r="BI3176" s="76"/>
      <c r="BJ3176" s="76"/>
      <c r="BK3176" s="76"/>
      <c r="BL3176" s="76">
        <f>+BK3176*31500</f>
        <v>0</v>
      </c>
      <c r="BM3176" s="76"/>
      <c r="BN3176" s="76"/>
      <c r="BO3176" s="76"/>
      <c r="BP3176" s="76"/>
      <c r="BQ3176" s="76"/>
      <c r="BR3176" s="76"/>
      <c r="BS3176" s="76"/>
      <c r="BT3176" s="76"/>
      <c r="BU3176" s="76"/>
      <c r="BV3176" s="76"/>
      <c r="BW3176" s="76"/>
      <c r="BX3176" s="76"/>
      <c r="BY3176" s="76"/>
      <c r="BZ3176" s="76"/>
      <c r="CA3176" s="76"/>
      <c r="CB3176" s="76"/>
      <c r="CC3176" s="76"/>
      <c r="CD3176" s="76"/>
      <c r="CE3176" s="76"/>
      <c r="CF3176" s="76">
        <f>+CE3176*28000</f>
        <v>0</v>
      </c>
      <c r="CG3176" s="76"/>
      <c r="CH3176" s="76">
        <f>+CG3176*22500</f>
        <v>0</v>
      </c>
      <c r="CI3176" s="76"/>
      <c r="CJ3176" s="76">
        <f>+CI3176*26000</f>
        <v>0</v>
      </c>
      <c r="CK3176" s="76"/>
      <c r="CL3176" s="76"/>
      <c r="CM3176" s="76"/>
      <c r="CN3176" s="76">
        <f>+CM3176*22000</f>
        <v>0</v>
      </c>
      <c r="CO3176" s="76"/>
      <c r="CP3176" s="76">
        <f>+CO3176*46000</f>
        <v>0</v>
      </c>
      <c r="CQ3176" s="76"/>
      <c r="CR3176" s="76">
        <f>+CQ3176*49000</f>
        <v>0</v>
      </c>
      <c r="CS3176" s="76"/>
      <c r="CT3176" s="76"/>
      <c r="CU3176" s="56">
        <f>AN3176+AP3176+AR3176+AT3176+AV3176+AX3176+AZ3176+BB3176+BD3176+BF3176+BH3176+BJ3176+BL3176+BN3176+BP3176+BR3176+BT3176+BV3176+BX3176+BZ3176+CB3176+CD3176+CF3176+CH3176+CJ3176+CL3176+CN3176+CP3176+CR3176+CT3176</f>
        <v>0</v>
      </c>
      <c r="CV3176" s="76"/>
      <c r="CW3176" s="76">
        <f>+CV3176*1100</f>
        <v>0</v>
      </c>
      <c r="CX3176" s="76"/>
      <c r="CY3176" s="76">
        <f>+CX3176*106250</f>
        <v>0</v>
      </c>
      <c r="CZ3176" s="76"/>
      <c r="DA3176" s="76">
        <f>+CZ3176*34500</f>
        <v>0</v>
      </c>
      <c r="DB3176" s="76"/>
      <c r="DC3176" s="76">
        <f>+DB3176*25000</f>
        <v>0</v>
      </c>
      <c r="DD3176" s="219"/>
      <c r="DE3176" s="219"/>
      <c r="DF3176" s="166"/>
      <c r="DG3176" s="116"/>
      <c r="DH3176" s="117"/>
      <c r="DI3176" s="24"/>
      <c r="DJ3176" s="24"/>
      <c r="DK3176" s="24"/>
      <c r="DL3176" s="24"/>
      <c r="DM3176" s="24"/>
      <c r="DN3176" s="24"/>
      <c r="DO3176" s="24"/>
      <c r="DP3176" s="24"/>
      <c r="DQ3176" s="24"/>
      <c r="DR3176" s="24"/>
      <c r="DS3176" s="24"/>
      <c r="DT3176" s="24"/>
      <c r="DU3176" s="24"/>
    </row>
    <row r="3177" spans="1:125" s="8" customFormat="1" ht="72" x14ac:dyDescent="0.2">
      <c r="A3177" s="77">
        <v>41542</v>
      </c>
      <c r="B3177" s="60" t="s">
        <v>2851</v>
      </c>
      <c r="C3177" s="55" t="s">
        <v>2712</v>
      </c>
      <c r="D3177" s="55" t="s">
        <v>2846</v>
      </c>
      <c r="E3177" s="296" t="str">
        <f>VLOOKUP(B3177&amp;C3177,Divipola!$C$2:$F$1138,4,FALSE)</f>
        <v>76113</v>
      </c>
      <c r="F3177" s="87"/>
      <c r="G3177" s="87"/>
      <c r="H3177" s="87"/>
      <c r="I3177" s="87"/>
      <c r="J3177" s="87"/>
      <c r="K3177" s="87"/>
      <c r="L3177" s="87"/>
      <c r="M3177" s="87"/>
      <c r="N3177" s="87"/>
      <c r="O3177" s="87"/>
      <c r="P3177" s="87"/>
      <c r="Q3177" s="87"/>
      <c r="R3177" s="87"/>
      <c r="S3177" s="87"/>
      <c r="T3177" s="87"/>
      <c r="U3177" s="88"/>
      <c r="V3177" s="89"/>
      <c r="W3177" s="96">
        <v>0</v>
      </c>
      <c r="X3177" s="71">
        <f>CU3177</f>
        <v>0</v>
      </c>
      <c r="Y3177" s="71">
        <f>CY3177</f>
        <v>0</v>
      </c>
      <c r="Z3177" s="71">
        <f>DA3177+DC3177+DE3177</f>
        <v>0</v>
      </c>
      <c r="AA3177" s="71">
        <f>CW3177</f>
        <v>0</v>
      </c>
      <c r="AB3177" s="71"/>
      <c r="AC3177" s="71">
        <v>0</v>
      </c>
      <c r="AD3177" s="71">
        <f>W3177+X3177+Y3177+Z3177+AA3177+AB3177+AC3177</f>
        <v>0</v>
      </c>
      <c r="AE3177" s="72">
        <v>0</v>
      </c>
      <c r="AF3177" s="5"/>
      <c r="AG3177" s="6"/>
      <c r="AH3177" s="27"/>
      <c r="AI3177" s="44"/>
      <c r="AJ3177" s="26"/>
      <c r="AK3177" s="5"/>
      <c r="AL3177" s="82" t="s">
        <v>6101</v>
      </c>
      <c r="AM3177" s="76"/>
      <c r="AN3177" s="76"/>
      <c r="AO3177" s="76"/>
      <c r="AP3177" s="76"/>
      <c r="AQ3177" s="76"/>
      <c r="AR3177" s="76"/>
      <c r="AS3177" s="76"/>
      <c r="AT3177" s="76"/>
      <c r="AU3177" s="76"/>
      <c r="AV3177" s="76"/>
      <c r="AW3177" s="76"/>
      <c r="AX3177" s="76">
        <f>+AW3177*600000</f>
        <v>0</v>
      </c>
      <c r="AY3177" s="76"/>
      <c r="AZ3177" s="76">
        <f>+AY3177*70000</f>
        <v>0</v>
      </c>
      <c r="BA3177" s="76"/>
      <c r="BB3177" s="76"/>
      <c r="BC3177" s="76"/>
      <c r="BD3177" s="76">
        <f>+BC3177*30000</f>
        <v>0</v>
      </c>
      <c r="BE3177" s="76"/>
      <c r="BF3177" s="76"/>
      <c r="BG3177" s="76"/>
      <c r="BH3177" s="76"/>
      <c r="BI3177" s="76"/>
      <c r="BJ3177" s="76"/>
      <c r="BK3177" s="76"/>
      <c r="BL3177" s="76">
        <f>+BK3177*31500</f>
        <v>0</v>
      </c>
      <c r="BM3177" s="76"/>
      <c r="BN3177" s="76"/>
      <c r="BO3177" s="76"/>
      <c r="BP3177" s="76"/>
      <c r="BQ3177" s="76"/>
      <c r="BR3177" s="76"/>
      <c r="BS3177" s="76"/>
      <c r="BT3177" s="76"/>
      <c r="BU3177" s="76"/>
      <c r="BV3177" s="76"/>
      <c r="BW3177" s="76"/>
      <c r="BX3177" s="76"/>
      <c r="BY3177" s="76"/>
      <c r="BZ3177" s="76"/>
      <c r="CA3177" s="76"/>
      <c r="CB3177" s="76"/>
      <c r="CC3177" s="76"/>
      <c r="CD3177" s="76"/>
      <c r="CE3177" s="76"/>
      <c r="CF3177" s="76">
        <f>+CE3177*28000</f>
        <v>0</v>
      </c>
      <c r="CG3177" s="76"/>
      <c r="CH3177" s="76">
        <f>+CG3177*22500</f>
        <v>0</v>
      </c>
      <c r="CI3177" s="76"/>
      <c r="CJ3177" s="76">
        <f>+CI3177*26000</f>
        <v>0</v>
      </c>
      <c r="CK3177" s="76"/>
      <c r="CL3177" s="76"/>
      <c r="CM3177" s="76"/>
      <c r="CN3177" s="76">
        <f>+CM3177*22000</f>
        <v>0</v>
      </c>
      <c r="CO3177" s="76"/>
      <c r="CP3177" s="76">
        <f>+CO3177*46000</f>
        <v>0</v>
      </c>
      <c r="CQ3177" s="76"/>
      <c r="CR3177" s="76">
        <f>+CQ3177*49000</f>
        <v>0</v>
      </c>
      <c r="CS3177" s="76"/>
      <c r="CT3177" s="76"/>
      <c r="CU3177" s="56">
        <f>AN3177+AP3177+AR3177+AT3177+AV3177+AX3177+AZ3177+BB3177+BD3177+BF3177+BH3177+BJ3177+BL3177+BN3177+BP3177+BR3177+BT3177+BV3177+BX3177+BZ3177+CB3177+CD3177+CF3177+CH3177+CJ3177+CL3177+CN3177+CP3177+CR3177+CT3177</f>
        <v>0</v>
      </c>
      <c r="CV3177" s="76"/>
      <c r="CW3177" s="76">
        <f>+CV3177*1100</f>
        <v>0</v>
      </c>
      <c r="CX3177" s="76"/>
      <c r="CY3177" s="76">
        <f>+CX3177*106250</f>
        <v>0</v>
      </c>
      <c r="CZ3177" s="76"/>
      <c r="DA3177" s="76">
        <f>+CZ3177*34500</f>
        <v>0</v>
      </c>
      <c r="DB3177" s="76"/>
      <c r="DC3177" s="76">
        <f>+DB3177*25000</f>
        <v>0</v>
      </c>
      <c r="DD3177" s="219"/>
      <c r="DE3177" s="219"/>
      <c r="DF3177" s="166"/>
      <c r="DG3177" s="116"/>
      <c r="DH3177" s="117"/>
      <c r="DI3177" s="24"/>
      <c r="DJ3177" s="24"/>
      <c r="DK3177" s="24"/>
      <c r="DL3177" s="24"/>
      <c r="DM3177" s="24"/>
      <c r="DN3177" s="24"/>
      <c r="DO3177" s="24"/>
      <c r="DP3177" s="24"/>
      <c r="DQ3177" s="24"/>
      <c r="DR3177" s="24"/>
      <c r="DS3177" s="24"/>
      <c r="DT3177" s="24"/>
      <c r="DU3177" s="24"/>
    </row>
    <row r="3178" spans="1:125" s="8" customFormat="1" ht="48" x14ac:dyDescent="0.2">
      <c r="A3178" s="77">
        <v>41543</v>
      </c>
      <c r="B3178" s="225" t="s">
        <v>2894</v>
      </c>
      <c r="C3178" s="227" t="s">
        <v>2552</v>
      </c>
      <c r="D3178" s="354" t="s">
        <v>3017</v>
      </c>
      <c r="E3178" s="296" t="str">
        <f>VLOOKUP(B3178&amp;C3178,Divipola!$C$2:$F$1138,4,FALSE)</f>
        <v>05642</v>
      </c>
      <c r="F3178" s="87"/>
      <c r="G3178" s="87"/>
      <c r="H3178" s="87"/>
      <c r="I3178" s="87">
        <v>20</v>
      </c>
      <c r="J3178" s="87">
        <v>4</v>
      </c>
      <c r="K3178" s="87"/>
      <c r="L3178" s="87">
        <v>4</v>
      </c>
      <c r="M3178" s="87"/>
      <c r="N3178" s="87"/>
      <c r="O3178" s="87"/>
      <c r="P3178" s="87"/>
      <c r="Q3178" s="87"/>
      <c r="R3178" s="87"/>
      <c r="S3178" s="87"/>
      <c r="T3178" s="87"/>
      <c r="U3178" s="88"/>
      <c r="V3178" s="89"/>
      <c r="W3178" s="96">
        <v>0</v>
      </c>
      <c r="X3178" s="71">
        <f>CU3178</f>
        <v>0</v>
      </c>
      <c r="Y3178" s="71">
        <f>CY3178</f>
        <v>0</v>
      </c>
      <c r="Z3178" s="71">
        <f>DA3178+DC3178+DE3178</f>
        <v>0</v>
      </c>
      <c r="AA3178" s="71">
        <f>CW3178</f>
        <v>0</v>
      </c>
      <c r="AB3178" s="71"/>
      <c r="AC3178" s="71">
        <v>0</v>
      </c>
      <c r="AD3178" s="71">
        <f>W3178+X3178+Y3178+Z3178+AA3178+AB3178+AC3178</f>
        <v>0</v>
      </c>
      <c r="AE3178" s="72">
        <v>0</v>
      </c>
      <c r="AF3178" s="5"/>
      <c r="AG3178" s="6"/>
      <c r="AH3178" s="27"/>
      <c r="AI3178" s="44"/>
      <c r="AJ3178" s="26"/>
      <c r="AK3178" s="5"/>
      <c r="AL3178" s="274" t="s">
        <v>6124</v>
      </c>
      <c r="AM3178" s="76"/>
      <c r="AN3178" s="76"/>
      <c r="AO3178" s="76"/>
      <c r="AP3178" s="76"/>
      <c r="AQ3178" s="76"/>
      <c r="AR3178" s="76"/>
      <c r="AS3178" s="76"/>
      <c r="AT3178" s="76"/>
      <c r="AU3178" s="76"/>
      <c r="AV3178" s="76"/>
      <c r="AW3178" s="76"/>
      <c r="AX3178" s="76">
        <f>+AW3178*600000</f>
        <v>0</v>
      </c>
      <c r="AY3178" s="76"/>
      <c r="AZ3178" s="76">
        <f>+AY3178*70000</f>
        <v>0</v>
      </c>
      <c r="BA3178" s="76"/>
      <c r="BB3178" s="76"/>
      <c r="BC3178" s="76"/>
      <c r="BD3178" s="76">
        <f>+BC3178*30000</f>
        <v>0</v>
      </c>
      <c r="BE3178" s="76"/>
      <c r="BF3178" s="76"/>
      <c r="BG3178" s="76"/>
      <c r="BH3178" s="76"/>
      <c r="BI3178" s="76"/>
      <c r="BJ3178" s="76"/>
      <c r="BK3178" s="76"/>
      <c r="BL3178" s="76">
        <f>+BK3178*31500</f>
        <v>0</v>
      </c>
      <c r="BM3178" s="76"/>
      <c r="BN3178" s="76"/>
      <c r="BO3178" s="76"/>
      <c r="BP3178" s="76"/>
      <c r="BQ3178" s="76"/>
      <c r="BR3178" s="76"/>
      <c r="BS3178" s="76"/>
      <c r="BT3178" s="76"/>
      <c r="BU3178" s="76"/>
      <c r="BV3178" s="76"/>
      <c r="BW3178" s="76"/>
      <c r="BX3178" s="76"/>
      <c r="BY3178" s="76"/>
      <c r="BZ3178" s="76"/>
      <c r="CA3178" s="76"/>
      <c r="CB3178" s="76"/>
      <c r="CC3178" s="76"/>
      <c r="CD3178" s="76"/>
      <c r="CE3178" s="76"/>
      <c r="CF3178" s="76">
        <f>+CE3178*28000</f>
        <v>0</v>
      </c>
      <c r="CG3178" s="76"/>
      <c r="CH3178" s="76">
        <f>+CG3178*22500</f>
        <v>0</v>
      </c>
      <c r="CI3178" s="76"/>
      <c r="CJ3178" s="76">
        <f>+CI3178*26000</f>
        <v>0</v>
      </c>
      <c r="CK3178" s="76"/>
      <c r="CL3178" s="76"/>
      <c r="CM3178" s="76"/>
      <c r="CN3178" s="76">
        <f>+CM3178*22000</f>
        <v>0</v>
      </c>
      <c r="CO3178" s="76"/>
      <c r="CP3178" s="76">
        <f>+CO3178*46000</f>
        <v>0</v>
      </c>
      <c r="CQ3178" s="76"/>
      <c r="CR3178" s="76">
        <f>+CQ3178*49000</f>
        <v>0</v>
      </c>
      <c r="CS3178" s="76"/>
      <c r="CT3178" s="76"/>
      <c r="CU3178" s="56">
        <f>AN3178+AP3178+AR3178+AT3178+AV3178+AX3178+AZ3178+BB3178+BD3178+BF3178+BH3178+BJ3178+BL3178+BN3178+BP3178+BR3178+BT3178+BV3178+BX3178+BZ3178+CB3178+CD3178+CF3178+CH3178+CJ3178+CL3178+CN3178+CP3178+CR3178+CT3178</f>
        <v>0</v>
      </c>
      <c r="CV3178" s="76"/>
      <c r="CW3178" s="76">
        <f>+CV3178*1100</f>
        <v>0</v>
      </c>
      <c r="CX3178" s="76"/>
      <c r="CY3178" s="76">
        <f>+CX3178*106250</f>
        <v>0</v>
      </c>
      <c r="CZ3178" s="76"/>
      <c r="DA3178" s="76">
        <f>+CZ3178*34500</f>
        <v>0</v>
      </c>
      <c r="DB3178" s="76"/>
      <c r="DC3178" s="76">
        <f>+DB3178*25000</f>
        <v>0</v>
      </c>
      <c r="DD3178" s="219"/>
      <c r="DE3178" s="219"/>
      <c r="DF3178" s="166"/>
      <c r="DG3178" s="116"/>
      <c r="DH3178" s="117"/>
      <c r="DI3178" s="24"/>
      <c r="DJ3178" s="24"/>
      <c r="DK3178" s="24"/>
      <c r="DL3178" s="24"/>
      <c r="DM3178" s="24"/>
      <c r="DN3178" s="24"/>
      <c r="DO3178" s="24"/>
      <c r="DP3178" s="24"/>
      <c r="DQ3178" s="24"/>
      <c r="DR3178" s="24"/>
      <c r="DS3178" s="24"/>
      <c r="DT3178" s="24"/>
      <c r="DU3178" s="24"/>
    </row>
    <row r="3179" spans="1:125" s="8" customFormat="1" ht="132" x14ac:dyDescent="0.2">
      <c r="A3179" s="77">
        <v>41543</v>
      </c>
      <c r="B3179" s="225" t="s">
        <v>2854</v>
      </c>
      <c r="C3179" s="227" t="s">
        <v>2066</v>
      </c>
      <c r="D3179" s="354" t="s">
        <v>2846</v>
      </c>
      <c r="E3179" s="296" t="str">
        <f>VLOOKUP(B3179&amp;C3179,Divipola!$C$2:$F$1138,4,FALSE)</f>
        <v>19130</v>
      </c>
      <c r="F3179" s="87"/>
      <c r="G3179" s="87"/>
      <c r="H3179" s="87"/>
      <c r="I3179" s="87">
        <v>10</v>
      </c>
      <c r="J3179" s="87">
        <v>2</v>
      </c>
      <c r="K3179" s="87"/>
      <c r="L3179" s="87">
        <v>2</v>
      </c>
      <c r="M3179" s="87"/>
      <c r="N3179" s="87"/>
      <c r="O3179" s="87"/>
      <c r="P3179" s="87"/>
      <c r="Q3179" s="87"/>
      <c r="R3179" s="87"/>
      <c r="S3179" s="87"/>
      <c r="T3179" s="87"/>
      <c r="U3179" s="88">
        <v>1</v>
      </c>
      <c r="V3179" s="89"/>
      <c r="W3179" s="96">
        <v>0</v>
      </c>
      <c r="X3179" s="71">
        <f>CU3179</f>
        <v>0</v>
      </c>
      <c r="Y3179" s="71">
        <f>CY3179</f>
        <v>0</v>
      </c>
      <c r="Z3179" s="71">
        <f>DA3179+DC3179+DE3179</f>
        <v>0</v>
      </c>
      <c r="AA3179" s="71">
        <f>CW3179</f>
        <v>0</v>
      </c>
      <c r="AB3179" s="71"/>
      <c r="AC3179" s="71">
        <v>0</v>
      </c>
      <c r="AD3179" s="71">
        <f>W3179+X3179+Y3179+Z3179+AA3179+AB3179+AC3179</f>
        <v>0</v>
      </c>
      <c r="AE3179" s="72">
        <v>0</v>
      </c>
      <c r="AF3179" s="5"/>
      <c r="AG3179" s="6"/>
      <c r="AH3179" s="27"/>
      <c r="AI3179" s="44"/>
      <c r="AJ3179" s="26"/>
      <c r="AK3179" s="5"/>
      <c r="AL3179" s="268" t="s">
        <v>6113</v>
      </c>
      <c r="AM3179" s="76"/>
      <c r="AN3179" s="76"/>
      <c r="AO3179" s="76"/>
      <c r="AP3179" s="76"/>
      <c r="AQ3179" s="76"/>
      <c r="AR3179" s="76"/>
      <c r="AS3179" s="76"/>
      <c r="AT3179" s="76"/>
      <c r="AU3179" s="76"/>
      <c r="AV3179" s="76"/>
      <c r="AW3179" s="76"/>
      <c r="AX3179" s="76">
        <f>+AW3179*600000</f>
        <v>0</v>
      </c>
      <c r="AY3179" s="76"/>
      <c r="AZ3179" s="76">
        <f>+AY3179*70000</f>
        <v>0</v>
      </c>
      <c r="BA3179" s="76"/>
      <c r="BB3179" s="76"/>
      <c r="BC3179" s="76"/>
      <c r="BD3179" s="76">
        <f>+BC3179*30000</f>
        <v>0</v>
      </c>
      <c r="BE3179" s="76"/>
      <c r="BF3179" s="76"/>
      <c r="BG3179" s="76"/>
      <c r="BH3179" s="76"/>
      <c r="BI3179" s="76"/>
      <c r="BJ3179" s="76"/>
      <c r="BK3179" s="76"/>
      <c r="BL3179" s="76">
        <f>+BK3179*31500</f>
        <v>0</v>
      </c>
      <c r="BM3179" s="76"/>
      <c r="BN3179" s="76"/>
      <c r="BO3179" s="76"/>
      <c r="BP3179" s="76"/>
      <c r="BQ3179" s="76"/>
      <c r="BR3179" s="76"/>
      <c r="BS3179" s="76"/>
      <c r="BT3179" s="76"/>
      <c r="BU3179" s="76"/>
      <c r="BV3179" s="76"/>
      <c r="BW3179" s="76"/>
      <c r="BX3179" s="76"/>
      <c r="BY3179" s="76"/>
      <c r="BZ3179" s="76"/>
      <c r="CA3179" s="76"/>
      <c r="CB3179" s="76"/>
      <c r="CC3179" s="76"/>
      <c r="CD3179" s="76"/>
      <c r="CE3179" s="76"/>
      <c r="CF3179" s="76">
        <f>+CE3179*28000</f>
        <v>0</v>
      </c>
      <c r="CG3179" s="76"/>
      <c r="CH3179" s="76">
        <f>+CG3179*22500</f>
        <v>0</v>
      </c>
      <c r="CI3179" s="76"/>
      <c r="CJ3179" s="76">
        <f>+CI3179*26000</f>
        <v>0</v>
      </c>
      <c r="CK3179" s="76"/>
      <c r="CL3179" s="76"/>
      <c r="CM3179" s="76"/>
      <c r="CN3179" s="76">
        <f>+CM3179*22000</f>
        <v>0</v>
      </c>
      <c r="CO3179" s="76"/>
      <c r="CP3179" s="76">
        <f>+CO3179*46000</f>
        <v>0</v>
      </c>
      <c r="CQ3179" s="76"/>
      <c r="CR3179" s="76">
        <f>+CQ3179*49000</f>
        <v>0</v>
      </c>
      <c r="CS3179" s="76"/>
      <c r="CT3179" s="76"/>
      <c r="CU3179" s="56">
        <f>AN3179+AP3179+AR3179+AT3179+AV3179+AX3179+AZ3179+BB3179+BD3179+BF3179+BH3179+BJ3179+BL3179+BN3179+BP3179+BR3179+BT3179+BV3179+BX3179+BZ3179+CB3179+CD3179+CF3179+CH3179+CJ3179+CL3179+CN3179+CP3179+CR3179+CT3179</f>
        <v>0</v>
      </c>
      <c r="CV3179" s="76"/>
      <c r="CW3179" s="76">
        <f>+CV3179*1100</f>
        <v>0</v>
      </c>
      <c r="CX3179" s="76"/>
      <c r="CY3179" s="76">
        <f>+CX3179*106250</f>
        <v>0</v>
      </c>
      <c r="CZ3179" s="76"/>
      <c r="DA3179" s="76">
        <f>+CZ3179*34500</f>
        <v>0</v>
      </c>
      <c r="DB3179" s="76"/>
      <c r="DC3179" s="76">
        <f>+DB3179*25000</f>
        <v>0</v>
      </c>
      <c r="DD3179" s="219"/>
      <c r="DE3179" s="219"/>
      <c r="DF3179" s="166"/>
      <c r="DG3179" s="116"/>
      <c r="DH3179" s="117"/>
      <c r="DI3179" s="24"/>
      <c r="DJ3179" s="24"/>
      <c r="DK3179" s="24"/>
      <c r="DL3179" s="24"/>
      <c r="DM3179" s="24"/>
      <c r="DN3179" s="24"/>
      <c r="DO3179" s="24"/>
      <c r="DP3179" s="24"/>
      <c r="DQ3179" s="24"/>
      <c r="DR3179" s="24"/>
      <c r="DS3179" s="24"/>
      <c r="DT3179" s="24"/>
      <c r="DU3179" s="24"/>
    </row>
    <row r="3180" spans="1:125" s="8" customFormat="1" ht="60" x14ac:dyDescent="0.2">
      <c r="A3180" s="77">
        <v>41543</v>
      </c>
      <c r="B3180" s="352" t="s">
        <v>2854</v>
      </c>
      <c r="C3180" s="354" t="s">
        <v>849</v>
      </c>
      <c r="D3180" s="354" t="s">
        <v>2846</v>
      </c>
      <c r="E3180" s="296" t="str">
        <f>VLOOKUP(B3180&amp;C3180,Divipola!$C$2:$F$1138,4,FALSE)</f>
        <v>19450</v>
      </c>
      <c r="F3180" s="87"/>
      <c r="G3180" s="87"/>
      <c r="H3180" s="87"/>
      <c r="I3180" s="87"/>
      <c r="J3180" s="87"/>
      <c r="K3180" s="87"/>
      <c r="L3180" s="87"/>
      <c r="M3180" s="87"/>
      <c r="N3180" s="87"/>
      <c r="O3180" s="87"/>
      <c r="P3180" s="87"/>
      <c r="Q3180" s="87"/>
      <c r="R3180" s="87"/>
      <c r="S3180" s="87"/>
      <c r="T3180" s="87"/>
      <c r="U3180" s="88">
        <v>20</v>
      </c>
      <c r="V3180" s="89"/>
      <c r="W3180" s="96">
        <v>0</v>
      </c>
      <c r="X3180" s="71">
        <f>CU3180</f>
        <v>0</v>
      </c>
      <c r="Y3180" s="71">
        <f>CY3180</f>
        <v>0</v>
      </c>
      <c r="Z3180" s="71">
        <f>DA3180+DC3180+DE3180</f>
        <v>0</v>
      </c>
      <c r="AA3180" s="71">
        <f>CW3180</f>
        <v>0</v>
      </c>
      <c r="AB3180" s="71"/>
      <c r="AC3180" s="71">
        <v>0</v>
      </c>
      <c r="AD3180" s="71">
        <f>W3180+X3180+Y3180+Z3180+AA3180+AB3180+AC3180</f>
        <v>0</v>
      </c>
      <c r="AE3180" s="72">
        <v>0</v>
      </c>
      <c r="AF3180" s="5"/>
      <c r="AG3180" s="6"/>
      <c r="AH3180" s="27"/>
      <c r="AI3180" s="44"/>
      <c r="AJ3180" s="26"/>
      <c r="AK3180" s="5"/>
      <c r="AL3180" s="274" t="s">
        <v>6137</v>
      </c>
      <c r="AM3180" s="76"/>
      <c r="AN3180" s="76"/>
      <c r="AO3180" s="76"/>
      <c r="AP3180" s="76"/>
      <c r="AQ3180" s="76"/>
      <c r="AR3180" s="76"/>
      <c r="AS3180" s="76"/>
      <c r="AT3180" s="76"/>
      <c r="AU3180" s="76"/>
      <c r="AV3180" s="76"/>
      <c r="AW3180" s="76"/>
      <c r="AX3180" s="76">
        <f>+AW3180*600000</f>
        <v>0</v>
      </c>
      <c r="AY3180" s="76"/>
      <c r="AZ3180" s="76">
        <f>+AY3180*70000</f>
        <v>0</v>
      </c>
      <c r="BA3180" s="76"/>
      <c r="BB3180" s="76"/>
      <c r="BC3180" s="76"/>
      <c r="BD3180" s="76">
        <f>+BC3180*30000</f>
        <v>0</v>
      </c>
      <c r="BE3180" s="76"/>
      <c r="BF3180" s="76"/>
      <c r="BG3180" s="76"/>
      <c r="BH3180" s="76"/>
      <c r="BI3180" s="76"/>
      <c r="BJ3180" s="76"/>
      <c r="BK3180" s="76"/>
      <c r="BL3180" s="76">
        <f>+BK3180*31500</f>
        <v>0</v>
      </c>
      <c r="BM3180" s="76"/>
      <c r="BN3180" s="76"/>
      <c r="BO3180" s="76"/>
      <c r="BP3180" s="76"/>
      <c r="BQ3180" s="76"/>
      <c r="BR3180" s="76"/>
      <c r="BS3180" s="76"/>
      <c r="BT3180" s="76"/>
      <c r="BU3180" s="76"/>
      <c r="BV3180" s="76"/>
      <c r="BW3180" s="76"/>
      <c r="BX3180" s="76"/>
      <c r="BY3180" s="76"/>
      <c r="BZ3180" s="76"/>
      <c r="CA3180" s="76"/>
      <c r="CB3180" s="76"/>
      <c r="CC3180" s="76"/>
      <c r="CD3180" s="76"/>
      <c r="CE3180" s="76"/>
      <c r="CF3180" s="76">
        <f>+CE3180*28000</f>
        <v>0</v>
      </c>
      <c r="CG3180" s="76"/>
      <c r="CH3180" s="76">
        <f>+CG3180*22500</f>
        <v>0</v>
      </c>
      <c r="CI3180" s="76"/>
      <c r="CJ3180" s="76">
        <f>+CI3180*26000</f>
        <v>0</v>
      </c>
      <c r="CK3180" s="76"/>
      <c r="CL3180" s="76"/>
      <c r="CM3180" s="76"/>
      <c r="CN3180" s="76">
        <f>+CM3180*22000</f>
        <v>0</v>
      </c>
      <c r="CO3180" s="76"/>
      <c r="CP3180" s="76">
        <f>+CO3180*46000</f>
        <v>0</v>
      </c>
      <c r="CQ3180" s="76"/>
      <c r="CR3180" s="76">
        <f>+CQ3180*49000</f>
        <v>0</v>
      </c>
      <c r="CS3180" s="76"/>
      <c r="CT3180" s="76"/>
      <c r="CU3180" s="56">
        <f>AN3180+AP3180+AR3180+AT3180+AV3180+AX3180+AZ3180+BB3180+BD3180+BF3180+BH3180+BJ3180+BL3180+BN3180+BP3180+BR3180+BT3180+BV3180+BX3180+BZ3180+CB3180+CD3180+CF3180+CH3180+CJ3180+CL3180+CN3180+CP3180+CR3180+CT3180</f>
        <v>0</v>
      </c>
      <c r="CV3180" s="76"/>
      <c r="CW3180" s="76">
        <f>+CV3180*1100</f>
        <v>0</v>
      </c>
      <c r="CX3180" s="76"/>
      <c r="CY3180" s="76">
        <f>+CX3180*106250</f>
        <v>0</v>
      </c>
      <c r="CZ3180" s="76"/>
      <c r="DA3180" s="76">
        <f>+CZ3180*34500</f>
        <v>0</v>
      </c>
      <c r="DB3180" s="76"/>
      <c r="DC3180" s="76">
        <f>+DB3180*25000</f>
        <v>0</v>
      </c>
      <c r="DD3180" s="219"/>
      <c r="DE3180" s="219"/>
      <c r="DF3180" s="166"/>
      <c r="DG3180" s="116"/>
      <c r="DH3180" s="117"/>
      <c r="DI3180" s="24"/>
      <c r="DJ3180" s="24"/>
      <c r="DK3180" s="24"/>
      <c r="DL3180" s="24"/>
      <c r="DM3180" s="24"/>
      <c r="DN3180" s="24"/>
      <c r="DO3180" s="24"/>
      <c r="DP3180" s="24"/>
      <c r="DQ3180" s="24"/>
      <c r="DR3180" s="24"/>
      <c r="DS3180" s="24"/>
      <c r="DT3180" s="24"/>
      <c r="DU3180" s="24"/>
    </row>
    <row r="3181" spans="1:125" s="8" customFormat="1" ht="120" x14ac:dyDescent="0.2">
      <c r="A3181" s="77">
        <v>41543</v>
      </c>
      <c r="B3181" s="352" t="s">
        <v>2772</v>
      </c>
      <c r="C3181" s="354" t="s">
        <v>2190</v>
      </c>
      <c r="D3181" s="354" t="s">
        <v>2846</v>
      </c>
      <c r="E3181" s="296" t="str">
        <f>VLOOKUP(B3181&amp;C3181,Divipola!$C$2:$F$1138,4,FALSE)</f>
        <v>25148</v>
      </c>
      <c r="F3181" s="87"/>
      <c r="G3181" s="87"/>
      <c r="H3181" s="87"/>
      <c r="I3181" s="87"/>
      <c r="J3181" s="87"/>
      <c r="K3181" s="87"/>
      <c r="L3181" s="87"/>
      <c r="M3181" s="87"/>
      <c r="N3181" s="87"/>
      <c r="O3181" s="87"/>
      <c r="P3181" s="87"/>
      <c r="Q3181" s="87"/>
      <c r="R3181" s="87"/>
      <c r="S3181" s="87"/>
      <c r="T3181" s="87"/>
      <c r="U3181" s="88">
        <v>6</v>
      </c>
      <c r="V3181" s="89"/>
      <c r="W3181" s="96">
        <v>0</v>
      </c>
      <c r="X3181" s="71">
        <f>CU3181</f>
        <v>0</v>
      </c>
      <c r="Y3181" s="71">
        <f>CY3181</f>
        <v>0</v>
      </c>
      <c r="Z3181" s="71">
        <f>DA3181+DC3181+DE3181</f>
        <v>0</v>
      </c>
      <c r="AA3181" s="71">
        <f>CW3181</f>
        <v>0</v>
      </c>
      <c r="AB3181" s="71"/>
      <c r="AC3181" s="71">
        <v>0</v>
      </c>
      <c r="AD3181" s="71">
        <f>W3181+X3181+Y3181+Z3181+AA3181+AB3181+AC3181</f>
        <v>0</v>
      </c>
      <c r="AE3181" s="72">
        <v>0</v>
      </c>
      <c r="AF3181" s="5"/>
      <c r="AG3181" s="6"/>
      <c r="AH3181" s="27"/>
      <c r="AI3181" s="44"/>
      <c r="AJ3181" s="26"/>
      <c r="AK3181" s="5"/>
      <c r="AL3181" s="274" t="s">
        <v>6135</v>
      </c>
      <c r="AM3181" s="76"/>
      <c r="AN3181" s="76"/>
      <c r="AO3181" s="76"/>
      <c r="AP3181" s="76"/>
      <c r="AQ3181" s="76"/>
      <c r="AR3181" s="76"/>
      <c r="AS3181" s="76"/>
      <c r="AT3181" s="76"/>
      <c r="AU3181" s="76"/>
      <c r="AV3181" s="76"/>
      <c r="AW3181" s="76"/>
      <c r="AX3181" s="76">
        <f>+AW3181*600000</f>
        <v>0</v>
      </c>
      <c r="AY3181" s="76"/>
      <c r="AZ3181" s="76">
        <f>+AY3181*70000</f>
        <v>0</v>
      </c>
      <c r="BA3181" s="76"/>
      <c r="BB3181" s="76"/>
      <c r="BC3181" s="76"/>
      <c r="BD3181" s="76">
        <f>+BC3181*30000</f>
        <v>0</v>
      </c>
      <c r="BE3181" s="76"/>
      <c r="BF3181" s="76"/>
      <c r="BG3181" s="76"/>
      <c r="BH3181" s="76"/>
      <c r="BI3181" s="76"/>
      <c r="BJ3181" s="76"/>
      <c r="BK3181" s="76"/>
      <c r="BL3181" s="76">
        <f>+BK3181*31500</f>
        <v>0</v>
      </c>
      <c r="BM3181" s="76"/>
      <c r="BN3181" s="76"/>
      <c r="BO3181" s="76"/>
      <c r="BP3181" s="76"/>
      <c r="BQ3181" s="76"/>
      <c r="BR3181" s="76"/>
      <c r="BS3181" s="76"/>
      <c r="BT3181" s="76"/>
      <c r="BU3181" s="76"/>
      <c r="BV3181" s="76"/>
      <c r="BW3181" s="76"/>
      <c r="BX3181" s="76"/>
      <c r="BY3181" s="76"/>
      <c r="BZ3181" s="76"/>
      <c r="CA3181" s="76"/>
      <c r="CB3181" s="76"/>
      <c r="CC3181" s="76"/>
      <c r="CD3181" s="76"/>
      <c r="CE3181" s="76"/>
      <c r="CF3181" s="76">
        <f>+CE3181*28000</f>
        <v>0</v>
      </c>
      <c r="CG3181" s="76"/>
      <c r="CH3181" s="76">
        <f>+CG3181*22500</f>
        <v>0</v>
      </c>
      <c r="CI3181" s="76"/>
      <c r="CJ3181" s="76">
        <f>+CI3181*26000</f>
        <v>0</v>
      </c>
      <c r="CK3181" s="76"/>
      <c r="CL3181" s="76"/>
      <c r="CM3181" s="76"/>
      <c r="CN3181" s="76">
        <f>+CM3181*22000</f>
        <v>0</v>
      </c>
      <c r="CO3181" s="76"/>
      <c r="CP3181" s="76">
        <f>+CO3181*46000</f>
        <v>0</v>
      </c>
      <c r="CQ3181" s="76"/>
      <c r="CR3181" s="76">
        <f>+CQ3181*49000</f>
        <v>0</v>
      </c>
      <c r="CS3181" s="76"/>
      <c r="CT3181" s="76"/>
      <c r="CU3181" s="56">
        <f>AN3181+AP3181+AR3181+AT3181+AV3181+AX3181+AZ3181+BB3181+BD3181+BF3181+BH3181+BJ3181+BL3181+BN3181+BP3181+BR3181+BT3181+BV3181+BX3181+BZ3181+CB3181+CD3181+CF3181+CH3181+CJ3181+CL3181+CN3181+CP3181+CR3181+CT3181</f>
        <v>0</v>
      </c>
      <c r="CV3181" s="76"/>
      <c r="CW3181" s="76">
        <f>+CV3181*1100</f>
        <v>0</v>
      </c>
      <c r="CX3181" s="76"/>
      <c r="CY3181" s="76">
        <f>+CX3181*106250</f>
        <v>0</v>
      </c>
      <c r="CZ3181" s="76"/>
      <c r="DA3181" s="76">
        <f>+CZ3181*34500</f>
        <v>0</v>
      </c>
      <c r="DB3181" s="76"/>
      <c r="DC3181" s="76">
        <f>+DB3181*25000</f>
        <v>0</v>
      </c>
      <c r="DD3181" s="219"/>
      <c r="DE3181" s="219"/>
      <c r="DF3181" s="166"/>
      <c r="DG3181" s="116"/>
      <c r="DH3181" s="117"/>
      <c r="DI3181" s="24"/>
      <c r="DJ3181" s="24"/>
      <c r="DK3181" s="24"/>
      <c r="DL3181" s="24"/>
      <c r="DM3181" s="24"/>
      <c r="DN3181" s="24"/>
      <c r="DO3181" s="24"/>
      <c r="DP3181" s="24"/>
      <c r="DQ3181" s="24"/>
      <c r="DR3181" s="24"/>
      <c r="DS3181" s="24"/>
      <c r="DT3181" s="24"/>
      <c r="DU3181" s="24"/>
    </row>
    <row r="3182" spans="1:125" s="8" customFormat="1" ht="60" x14ac:dyDescent="0.2">
      <c r="A3182" s="77">
        <v>41543</v>
      </c>
      <c r="B3182" s="352" t="s">
        <v>2661</v>
      </c>
      <c r="C3182" s="354" t="s">
        <v>2150</v>
      </c>
      <c r="D3182" s="354" t="s">
        <v>2846</v>
      </c>
      <c r="E3182" s="296" t="str">
        <f>VLOOKUP(B3182&amp;C3182,Divipola!$C$2:$F$1138,4,FALSE)</f>
        <v>41016</v>
      </c>
      <c r="F3182" s="87"/>
      <c r="G3182" s="87"/>
      <c r="H3182" s="87"/>
      <c r="I3182" s="87"/>
      <c r="J3182" s="87"/>
      <c r="K3182" s="87"/>
      <c r="L3182" s="87"/>
      <c r="M3182" s="87"/>
      <c r="N3182" s="87"/>
      <c r="O3182" s="87"/>
      <c r="P3182" s="87"/>
      <c r="Q3182" s="87"/>
      <c r="R3182" s="87"/>
      <c r="S3182" s="87"/>
      <c r="T3182" s="87"/>
      <c r="U3182" s="88">
        <v>10</v>
      </c>
      <c r="V3182" s="89"/>
      <c r="W3182" s="96">
        <v>0</v>
      </c>
      <c r="X3182" s="71">
        <f>CU3182</f>
        <v>0</v>
      </c>
      <c r="Y3182" s="71">
        <f>CY3182</f>
        <v>0</v>
      </c>
      <c r="Z3182" s="71">
        <f>DA3182+DC3182+DE3182</f>
        <v>0</v>
      </c>
      <c r="AA3182" s="71">
        <f>CW3182</f>
        <v>0</v>
      </c>
      <c r="AB3182" s="71"/>
      <c r="AC3182" s="71">
        <v>0</v>
      </c>
      <c r="AD3182" s="71">
        <f>W3182+X3182+Y3182+Z3182+AA3182+AB3182+AC3182</f>
        <v>0</v>
      </c>
      <c r="AE3182" s="72">
        <v>0</v>
      </c>
      <c r="AF3182" s="5"/>
      <c r="AG3182" s="6"/>
      <c r="AH3182" s="27"/>
      <c r="AI3182" s="44"/>
      <c r="AJ3182" s="26"/>
      <c r="AK3182" s="5"/>
      <c r="AL3182" s="315" t="s">
        <v>6115</v>
      </c>
      <c r="AM3182" s="76"/>
      <c r="AN3182" s="76"/>
      <c r="AO3182" s="76"/>
      <c r="AP3182" s="76"/>
      <c r="AQ3182" s="76"/>
      <c r="AR3182" s="76"/>
      <c r="AS3182" s="76"/>
      <c r="AT3182" s="76"/>
      <c r="AU3182" s="76"/>
      <c r="AV3182" s="76"/>
      <c r="AW3182" s="76"/>
      <c r="AX3182" s="76">
        <f>+AW3182*600000</f>
        <v>0</v>
      </c>
      <c r="AY3182" s="76"/>
      <c r="AZ3182" s="76">
        <f>+AY3182*70000</f>
        <v>0</v>
      </c>
      <c r="BA3182" s="76"/>
      <c r="BB3182" s="76"/>
      <c r="BC3182" s="76"/>
      <c r="BD3182" s="76">
        <f>+BC3182*30000</f>
        <v>0</v>
      </c>
      <c r="BE3182" s="76"/>
      <c r="BF3182" s="76"/>
      <c r="BG3182" s="76"/>
      <c r="BH3182" s="76"/>
      <c r="BI3182" s="76"/>
      <c r="BJ3182" s="76"/>
      <c r="BK3182" s="76"/>
      <c r="BL3182" s="76">
        <f>+BK3182*31500</f>
        <v>0</v>
      </c>
      <c r="BM3182" s="76"/>
      <c r="BN3182" s="76"/>
      <c r="BO3182" s="76"/>
      <c r="BP3182" s="76"/>
      <c r="BQ3182" s="76"/>
      <c r="BR3182" s="76"/>
      <c r="BS3182" s="76"/>
      <c r="BT3182" s="76"/>
      <c r="BU3182" s="76"/>
      <c r="BV3182" s="76"/>
      <c r="BW3182" s="76"/>
      <c r="BX3182" s="76"/>
      <c r="BY3182" s="76"/>
      <c r="BZ3182" s="76"/>
      <c r="CA3182" s="76"/>
      <c r="CB3182" s="76"/>
      <c r="CC3182" s="76"/>
      <c r="CD3182" s="76"/>
      <c r="CE3182" s="76"/>
      <c r="CF3182" s="76">
        <f>+CE3182*28000</f>
        <v>0</v>
      </c>
      <c r="CG3182" s="76"/>
      <c r="CH3182" s="76">
        <f>+CG3182*22500</f>
        <v>0</v>
      </c>
      <c r="CI3182" s="76"/>
      <c r="CJ3182" s="76">
        <f>+CI3182*26000</f>
        <v>0</v>
      </c>
      <c r="CK3182" s="76"/>
      <c r="CL3182" s="76"/>
      <c r="CM3182" s="76"/>
      <c r="CN3182" s="76">
        <f>+CM3182*22000</f>
        <v>0</v>
      </c>
      <c r="CO3182" s="76"/>
      <c r="CP3182" s="76">
        <f>+CO3182*46000</f>
        <v>0</v>
      </c>
      <c r="CQ3182" s="76"/>
      <c r="CR3182" s="76">
        <f>+CQ3182*49000</f>
        <v>0</v>
      </c>
      <c r="CS3182" s="76"/>
      <c r="CT3182" s="76"/>
      <c r="CU3182" s="56">
        <f>AN3182+AP3182+AR3182+AT3182+AV3182+AX3182+AZ3182+BB3182+BD3182+BF3182+BH3182+BJ3182+BL3182+BN3182+BP3182+BR3182+BT3182+BV3182+BX3182+BZ3182+CB3182+CD3182+CF3182+CH3182+CJ3182+CL3182+CN3182+CP3182+CR3182+CT3182</f>
        <v>0</v>
      </c>
      <c r="CV3182" s="76"/>
      <c r="CW3182" s="76">
        <f>+CV3182*1100</f>
        <v>0</v>
      </c>
      <c r="CX3182" s="76"/>
      <c r="CY3182" s="76">
        <f>+CX3182*106250</f>
        <v>0</v>
      </c>
      <c r="CZ3182" s="76"/>
      <c r="DA3182" s="76">
        <f>+CZ3182*34500</f>
        <v>0</v>
      </c>
      <c r="DB3182" s="76"/>
      <c r="DC3182" s="76">
        <f>+DB3182*25000</f>
        <v>0</v>
      </c>
      <c r="DD3182" s="219"/>
      <c r="DE3182" s="219"/>
      <c r="DF3182" s="166"/>
      <c r="DG3182" s="116"/>
      <c r="DH3182" s="117"/>
      <c r="DI3182" s="24"/>
      <c r="DJ3182" s="24"/>
      <c r="DK3182" s="24"/>
      <c r="DL3182" s="24"/>
      <c r="DM3182" s="24"/>
      <c r="DN3182" s="24"/>
      <c r="DO3182" s="24"/>
      <c r="DP3182" s="24"/>
      <c r="DQ3182" s="24"/>
      <c r="DR3182" s="24"/>
      <c r="DS3182" s="24"/>
      <c r="DT3182" s="24"/>
      <c r="DU3182" s="24"/>
    </row>
    <row r="3183" spans="1:125" s="8" customFormat="1" ht="156" x14ac:dyDescent="0.2">
      <c r="A3183" s="77">
        <v>41543</v>
      </c>
      <c r="B3183" s="78" t="s">
        <v>2661</v>
      </c>
      <c r="C3183" s="75" t="s">
        <v>2169</v>
      </c>
      <c r="D3183" s="75" t="s">
        <v>2846</v>
      </c>
      <c r="E3183" s="296" t="str">
        <f>VLOOKUP(B3183&amp;C3183,Divipola!$C$2:$F$1138,4,FALSE)</f>
        <v>41001</v>
      </c>
      <c r="F3183" s="87"/>
      <c r="G3183" s="87"/>
      <c r="H3183" s="87"/>
      <c r="I3183" s="87"/>
      <c r="J3183" s="87"/>
      <c r="K3183" s="87"/>
      <c r="L3183" s="87"/>
      <c r="M3183" s="87"/>
      <c r="N3183" s="87"/>
      <c r="O3183" s="87"/>
      <c r="P3183" s="87"/>
      <c r="Q3183" s="87"/>
      <c r="R3183" s="87"/>
      <c r="S3183" s="87"/>
      <c r="T3183" s="87"/>
      <c r="U3183" s="88">
        <v>620</v>
      </c>
      <c r="V3183" s="89"/>
      <c r="W3183" s="96">
        <v>0</v>
      </c>
      <c r="X3183" s="71">
        <f>CU3183</f>
        <v>0</v>
      </c>
      <c r="Y3183" s="71">
        <f>CY3183</f>
        <v>0</v>
      </c>
      <c r="Z3183" s="71">
        <f>DA3183+DC3183+DE3183</f>
        <v>0</v>
      </c>
      <c r="AA3183" s="71">
        <f>CW3183</f>
        <v>0</v>
      </c>
      <c r="AB3183" s="71"/>
      <c r="AC3183" s="71">
        <v>0</v>
      </c>
      <c r="AD3183" s="71">
        <f>W3183+X3183+Y3183+Z3183+AA3183+AB3183+AC3183</f>
        <v>0</v>
      </c>
      <c r="AE3183" s="72">
        <v>0</v>
      </c>
      <c r="AF3183" s="5"/>
      <c r="AG3183" s="6"/>
      <c r="AH3183" s="27"/>
      <c r="AI3183" s="44"/>
      <c r="AJ3183" s="26"/>
      <c r="AK3183" s="5"/>
      <c r="AL3183" s="305" t="s">
        <v>6146</v>
      </c>
      <c r="AM3183" s="76"/>
      <c r="AN3183" s="76"/>
      <c r="AO3183" s="76"/>
      <c r="AP3183" s="76"/>
      <c r="AQ3183" s="76"/>
      <c r="AR3183" s="76"/>
      <c r="AS3183" s="76"/>
      <c r="AT3183" s="76"/>
      <c r="AU3183" s="76"/>
      <c r="AV3183" s="76"/>
      <c r="AW3183" s="76"/>
      <c r="AX3183" s="76">
        <f>+AW3183*600000</f>
        <v>0</v>
      </c>
      <c r="AY3183" s="76"/>
      <c r="AZ3183" s="76">
        <f>+AY3183*70000</f>
        <v>0</v>
      </c>
      <c r="BA3183" s="76"/>
      <c r="BB3183" s="76"/>
      <c r="BC3183" s="76"/>
      <c r="BD3183" s="76">
        <f>+BC3183*30000</f>
        <v>0</v>
      </c>
      <c r="BE3183" s="76"/>
      <c r="BF3183" s="76"/>
      <c r="BG3183" s="76"/>
      <c r="BH3183" s="76"/>
      <c r="BI3183" s="76"/>
      <c r="BJ3183" s="76"/>
      <c r="BK3183" s="76"/>
      <c r="BL3183" s="76">
        <f>+BK3183*31500</f>
        <v>0</v>
      </c>
      <c r="BM3183" s="76"/>
      <c r="BN3183" s="76"/>
      <c r="BO3183" s="76"/>
      <c r="BP3183" s="76"/>
      <c r="BQ3183" s="76"/>
      <c r="BR3183" s="76"/>
      <c r="BS3183" s="76"/>
      <c r="BT3183" s="76"/>
      <c r="BU3183" s="76"/>
      <c r="BV3183" s="76"/>
      <c r="BW3183" s="76"/>
      <c r="BX3183" s="76"/>
      <c r="BY3183" s="76"/>
      <c r="BZ3183" s="76"/>
      <c r="CA3183" s="76"/>
      <c r="CB3183" s="76"/>
      <c r="CC3183" s="76"/>
      <c r="CD3183" s="76"/>
      <c r="CE3183" s="76"/>
      <c r="CF3183" s="76">
        <f>+CE3183*28000</f>
        <v>0</v>
      </c>
      <c r="CG3183" s="76"/>
      <c r="CH3183" s="76">
        <f>+CG3183*22500</f>
        <v>0</v>
      </c>
      <c r="CI3183" s="76"/>
      <c r="CJ3183" s="76">
        <f>+CI3183*26000</f>
        <v>0</v>
      </c>
      <c r="CK3183" s="76"/>
      <c r="CL3183" s="76"/>
      <c r="CM3183" s="76"/>
      <c r="CN3183" s="76">
        <f>+CM3183*22000</f>
        <v>0</v>
      </c>
      <c r="CO3183" s="76"/>
      <c r="CP3183" s="76">
        <f>+CO3183*46000</f>
        <v>0</v>
      </c>
      <c r="CQ3183" s="76"/>
      <c r="CR3183" s="76">
        <f>+CQ3183*49000</f>
        <v>0</v>
      </c>
      <c r="CS3183" s="76"/>
      <c r="CT3183" s="76"/>
      <c r="CU3183" s="56">
        <f>AN3183+AP3183+AR3183+AT3183+AV3183+AX3183+AZ3183+BB3183+BD3183+BF3183+BH3183+BJ3183+BL3183+BN3183+BP3183+BR3183+BT3183+BV3183+BX3183+BZ3183+CB3183+CD3183+CF3183+CH3183+CJ3183+CL3183+CN3183+CP3183+CR3183+CT3183</f>
        <v>0</v>
      </c>
      <c r="CV3183" s="76"/>
      <c r="CW3183" s="76">
        <f>+CV3183*1100</f>
        <v>0</v>
      </c>
      <c r="CX3183" s="76"/>
      <c r="CY3183" s="76">
        <f>+CX3183*106250</f>
        <v>0</v>
      </c>
      <c r="CZ3183" s="76"/>
      <c r="DA3183" s="76">
        <f>+CZ3183*34500</f>
        <v>0</v>
      </c>
      <c r="DB3183" s="76"/>
      <c r="DC3183" s="76">
        <f>+DB3183*25000</f>
        <v>0</v>
      </c>
      <c r="DD3183" s="219"/>
      <c r="DE3183" s="219"/>
      <c r="DF3183" s="166"/>
      <c r="DG3183" s="116"/>
      <c r="DH3183" s="117"/>
      <c r="DI3183" s="24"/>
      <c r="DJ3183" s="24"/>
      <c r="DK3183" s="24"/>
      <c r="DL3183" s="24"/>
      <c r="DM3183" s="24"/>
      <c r="DN3183" s="24"/>
      <c r="DO3183" s="24"/>
      <c r="DP3183" s="24"/>
      <c r="DQ3183" s="24"/>
      <c r="DR3183" s="24"/>
      <c r="DS3183" s="24"/>
      <c r="DT3183" s="24"/>
      <c r="DU3183" s="24"/>
    </row>
    <row r="3184" spans="1:125" s="8" customFormat="1" ht="120" x14ac:dyDescent="0.2">
      <c r="A3184" s="77">
        <v>41543</v>
      </c>
      <c r="B3184" s="352" t="s">
        <v>2661</v>
      </c>
      <c r="C3184" s="354" t="s">
        <v>1369</v>
      </c>
      <c r="D3184" s="354" t="s">
        <v>2846</v>
      </c>
      <c r="E3184" s="296" t="str">
        <f>VLOOKUP(B3184&amp;C3184,Divipola!$C$2:$F$1138,4,FALSE)</f>
        <v>41797</v>
      </c>
      <c r="F3184" s="87"/>
      <c r="G3184" s="87"/>
      <c r="H3184" s="87"/>
      <c r="I3184" s="87"/>
      <c r="J3184" s="87"/>
      <c r="K3184" s="87"/>
      <c r="L3184" s="87"/>
      <c r="M3184" s="87"/>
      <c r="N3184" s="87"/>
      <c r="O3184" s="87"/>
      <c r="P3184" s="87"/>
      <c r="Q3184" s="87"/>
      <c r="R3184" s="87"/>
      <c r="S3184" s="87"/>
      <c r="T3184" s="87"/>
      <c r="U3184" s="88">
        <v>90</v>
      </c>
      <c r="V3184" s="89"/>
      <c r="W3184" s="96">
        <v>0</v>
      </c>
      <c r="X3184" s="71">
        <f>CU3184</f>
        <v>0</v>
      </c>
      <c r="Y3184" s="71">
        <f>CY3184</f>
        <v>0</v>
      </c>
      <c r="Z3184" s="71">
        <f>DA3184+DC3184+DE3184</f>
        <v>0</v>
      </c>
      <c r="AA3184" s="71">
        <f>CW3184</f>
        <v>0</v>
      </c>
      <c r="AB3184" s="71"/>
      <c r="AC3184" s="71">
        <v>0</v>
      </c>
      <c r="AD3184" s="71">
        <f>W3184+X3184+Y3184+Z3184+AA3184+AB3184+AC3184</f>
        <v>0</v>
      </c>
      <c r="AE3184" s="72">
        <v>0</v>
      </c>
      <c r="AF3184" s="5"/>
      <c r="AG3184" s="6"/>
      <c r="AH3184" s="27"/>
      <c r="AI3184" s="44"/>
      <c r="AJ3184" s="26"/>
      <c r="AK3184" s="5"/>
      <c r="AL3184" s="305" t="s">
        <v>6138</v>
      </c>
      <c r="AM3184" s="76"/>
      <c r="AN3184" s="76"/>
      <c r="AO3184" s="76"/>
      <c r="AP3184" s="76"/>
      <c r="AQ3184" s="76"/>
      <c r="AR3184" s="76"/>
      <c r="AS3184" s="76"/>
      <c r="AT3184" s="76"/>
      <c r="AU3184" s="76"/>
      <c r="AV3184" s="76"/>
      <c r="AW3184" s="76"/>
      <c r="AX3184" s="76">
        <f>+AW3184*600000</f>
        <v>0</v>
      </c>
      <c r="AY3184" s="76"/>
      <c r="AZ3184" s="76">
        <f>+AY3184*70000</f>
        <v>0</v>
      </c>
      <c r="BA3184" s="76"/>
      <c r="BB3184" s="76"/>
      <c r="BC3184" s="76"/>
      <c r="BD3184" s="76">
        <f>+BC3184*30000</f>
        <v>0</v>
      </c>
      <c r="BE3184" s="76"/>
      <c r="BF3184" s="76"/>
      <c r="BG3184" s="76"/>
      <c r="BH3184" s="76"/>
      <c r="BI3184" s="76"/>
      <c r="BJ3184" s="76"/>
      <c r="BK3184" s="76"/>
      <c r="BL3184" s="76">
        <f>+BK3184*31500</f>
        <v>0</v>
      </c>
      <c r="BM3184" s="76"/>
      <c r="BN3184" s="76"/>
      <c r="BO3184" s="76"/>
      <c r="BP3184" s="76"/>
      <c r="BQ3184" s="76"/>
      <c r="BR3184" s="76"/>
      <c r="BS3184" s="76"/>
      <c r="BT3184" s="76"/>
      <c r="BU3184" s="76"/>
      <c r="BV3184" s="76"/>
      <c r="BW3184" s="76"/>
      <c r="BX3184" s="76"/>
      <c r="BY3184" s="76"/>
      <c r="BZ3184" s="76"/>
      <c r="CA3184" s="76"/>
      <c r="CB3184" s="76"/>
      <c r="CC3184" s="76"/>
      <c r="CD3184" s="76"/>
      <c r="CE3184" s="76"/>
      <c r="CF3184" s="76">
        <f>+CE3184*28000</f>
        <v>0</v>
      </c>
      <c r="CG3184" s="76"/>
      <c r="CH3184" s="76">
        <f>+CG3184*22500</f>
        <v>0</v>
      </c>
      <c r="CI3184" s="76"/>
      <c r="CJ3184" s="76">
        <f>+CI3184*26000</f>
        <v>0</v>
      </c>
      <c r="CK3184" s="76"/>
      <c r="CL3184" s="76"/>
      <c r="CM3184" s="76"/>
      <c r="CN3184" s="76">
        <f>+CM3184*22000</f>
        <v>0</v>
      </c>
      <c r="CO3184" s="76"/>
      <c r="CP3184" s="76">
        <f>+CO3184*46000</f>
        <v>0</v>
      </c>
      <c r="CQ3184" s="76"/>
      <c r="CR3184" s="76">
        <f>+CQ3184*49000</f>
        <v>0</v>
      </c>
      <c r="CS3184" s="76"/>
      <c r="CT3184" s="76"/>
      <c r="CU3184" s="56">
        <f>AN3184+AP3184+AR3184+AT3184+AV3184+AX3184+AZ3184+BB3184+BD3184+BF3184+BH3184+BJ3184+BL3184+BN3184+BP3184+BR3184+BT3184+BV3184+BX3184+BZ3184+CB3184+CD3184+CF3184+CH3184+CJ3184+CL3184+CN3184+CP3184+CR3184+CT3184</f>
        <v>0</v>
      </c>
      <c r="CV3184" s="76"/>
      <c r="CW3184" s="76">
        <f>+CV3184*1100</f>
        <v>0</v>
      </c>
      <c r="CX3184" s="76"/>
      <c r="CY3184" s="76">
        <f>+CX3184*106250</f>
        <v>0</v>
      </c>
      <c r="CZ3184" s="76"/>
      <c r="DA3184" s="76">
        <f>+CZ3184*34500</f>
        <v>0</v>
      </c>
      <c r="DB3184" s="76"/>
      <c r="DC3184" s="76">
        <f>+DB3184*25000</f>
        <v>0</v>
      </c>
      <c r="DD3184" s="219"/>
      <c r="DE3184" s="219"/>
      <c r="DF3184" s="166"/>
      <c r="DG3184" s="116"/>
      <c r="DH3184" s="117"/>
      <c r="DI3184" s="24"/>
      <c r="DJ3184" s="24"/>
      <c r="DK3184" s="24"/>
      <c r="DL3184" s="24"/>
      <c r="DM3184" s="24"/>
      <c r="DN3184" s="24"/>
      <c r="DO3184" s="24"/>
      <c r="DP3184" s="24"/>
      <c r="DQ3184" s="24"/>
      <c r="DR3184" s="24"/>
      <c r="DS3184" s="24"/>
      <c r="DT3184" s="24"/>
      <c r="DU3184" s="24"/>
    </row>
    <row r="3185" spans="1:125" s="8" customFormat="1" ht="264" x14ac:dyDescent="0.2">
      <c r="A3185" s="77">
        <v>41543</v>
      </c>
      <c r="B3185" s="352" t="s">
        <v>2880</v>
      </c>
      <c r="C3185" s="354" t="s">
        <v>2091</v>
      </c>
      <c r="D3185" s="354" t="s">
        <v>3726</v>
      </c>
      <c r="E3185" s="296" t="str">
        <f>VLOOKUP(B3185&amp;C3185,Divipola!$C$2:$F$1138,4,FALSE)</f>
        <v>54820</v>
      </c>
      <c r="F3185" s="87"/>
      <c r="G3185" s="87"/>
      <c r="H3185" s="87"/>
      <c r="I3185" s="87"/>
      <c r="J3185" s="87"/>
      <c r="K3185" s="87"/>
      <c r="L3185" s="87"/>
      <c r="M3185" s="87"/>
      <c r="N3185" s="87"/>
      <c r="O3185" s="87"/>
      <c r="P3185" s="87"/>
      <c r="Q3185" s="87"/>
      <c r="R3185" s="87"/>
      <c r="S3185" s="87"/>
      <c r="T3185" s="87"/>
      <c r="U3185" s="88"/>
      <c r="V3185" s="89"/>
      <c r="W3185" s="96">
        <v>0</v>
      </c>
      <c r="X3185" s="71">
        <f>CU3185</f>
        <v>0</v>
      </c>
      <c r="Y3185" s="71">
        <f>CY3185</f>
        <v>0</v>
      </c>
      <c r="Z3185" s="71">
        <f>DA3185+DC3185+DE3185</f>
        <v>0</v>
      </c>
      <c r="AA3185" s="71">
        <f>CW3185</f>
        <v>0</v>
      </c>
      <c r="AB3185" s="71"/>
      <c r="AC3185" s="71">
        <v>0</v>
      </c>
      <c r="AD3185" s="71">
        <f>W3185+X3185+Y3185+Z3185+AA3185+AB3185+AC3185</f>
        <v>0</v>
      </c>
      <c r="AE3185" s="72">
        <v>0</v>
      </c>
      <c r="AF3185" s="5"/>
      <c r="AG3185" s="6"/>
      <c r="AH3185" s="27"/>
      <c r="AI3185" s="44"/>
      <c r="AJ3185" s="26"/>
      <c r="AK3185" s="5"/>
      <c r="AL3185" s="274" t="s">
        <v>6128</v>
      </c>
      <c r="AM3185" s="76"/>
      <c r="AN3185" s="76"/>
      <c r="AO3185" s="76"/>
      <c r="AP3185" s="76"/>
      <c r="AQ3185" s="76"/>
      <c r="AR3185" s="76"/>
      <c r="AS3185" s="76"/>
      <c r="AT3185" s="76"/>
      <c r="AU3185" s="76"/>
      <c r="AV3185" s="76"/>
      <c r="AW3185" s="76"/>
      <c r="AX3185" s="76">
        <f>+AW3185*600000</f>
        <v>0</v>
      </c>
      <c r="AY3185" s="76"/>
      <c r="AZ3185" s="76">
        <f>+AY3185*70000</f>
        <v>0</v>
      </c>
      <c r="BA3185" s="76"/>
      <c r="BB3185" s="76"/>
      <c r="BC3185" s="76"/>
      <c r="BD3185" s="76">
        <f>+BC3185*30000</f>
        <v>0</v>
      </c>
      <c r="BE3185" s="76"/>
      <c r="BF3185" s="76"/>
      <c r="BG3185" s="76"/>
      <c r="BH3185" s="76"/>
      <c r="BI3185" s="76"/>
      <c r="BJ3185" s="76"/>
      <c r="BK3185" s="76"/>
      <c r="BL3185" s="76">
        <f>+BK3185*31500</f>
        <v>0</v>
      </c>
      <c r="BM3185" s="76"/>
      <c r="BN3185" s="76"/>
      <c r="BO3185" s="76"/>
      <c r="BP3185" s="76"/>
      <c r="BQ3185" s="76"/>
      <c r="BR3185" s="76"/>
      <c r="BS3185" s="76"/>
      <c r="BT3185" s="76"/>
      <c r="BU3185" s="76"/>
      <c r="BV3185" s="76"/>
      <c r="BW3185" s="76"/>
      <c r="BX3185" s="76"/>
      <c r="BY3185" s="76"/>
      <c r="BZ3185" s="76"/>
      <c r="CA3185" s="76"/>
      <c r="CB3185" s="76"/>
      <c r="CC3185" s="76"/>
      <c r="CD3185" s="76"/>
      <c r="CE3185" s="76"/>
      <c r="CF3185" s="76">
        <f>+CE3185*28000</f>
        <v>0</v>
      </c>
      <c r="CG3185" s="76"/>
      <c r="CH3185" s="76">
        <f>+CG3185*22500</f>
        <v>0</v>
      </c>
      <c r="CI3185" s="76"/>
      <c r="CJ3185" s="76">
        <f>+CI3185*26000</f>
        <v>0</v>
      </c>
      <c r="CK3185" s="76"/>
      <c r="CL3185" s="76"/>
      <c r="CM3185" s="76"/>
      <c r="CN3185" s="76">
        <f>+CM3185*22000</f>
        <v>0</v>
      </c>
      <c r="CO3185" s="76"/>
      <c r="CP3185" s="76">
        <f>+CO3185*46000</f>
        <v>0</v>
      </c>
      <c r="CQ3185" s="76"/>
      <c r="CR3185" s="76">
        <f>+CQ3185*49000</f>
        <v>0</v>
      </c>
      <c r="CS3185" s="76"/>
      <c r="CT3185" s="76"/>
      <c r="CU3185" s="56">
        <f>AN3185+AP3185+AR3185+AT3185+AV3185+AX3185+AZ3185+BB3185+BD3185+BF3185+BH3185+BJ3185+BL3185+BN3185+BP3185+BR3185+BT3185+BV3185+BX3185+BZ3185+CB3185+CD3185+CF3185+CH3185+CJ3185+CL3185+CN3185+CP3185+CR3185+CT3185</f>
        <v>0</v>
      </c>
      <c r="CV3185" s="76"/>
      <c r="CW3185" s="76">
        <f>+CV3185*1100</f>
        <v>0</v>
      </c>
      <c r="CX3185" s="76"/>
      <c r="CY3185" s="76">
        <f>+CX3185*106250</f>
        <v>0</v>
      </c>
      <c r="CZ3185" s="76"/>
      <c r="DA3185" s="76">
        <f>+CZ3185*34500</f>
        <v>0</v>
      </c>
      <c r="DB3185" s="76"/>
      <c r="DC3185" s="76">
        <f>+DB3185*25000</f>
        <v>0</v>
      </c>
      <c r="DD3185" s="219"/>
      <c r="DE3185" s="219"/>
      <c r="DF3185" s="166"/>
      <c r="DG3185" s="116"/>
      <c r="DH3185" s="117"/>
      <c r="DI3185" s="24"/>
      <c r="DJ3185" s="24"/>
      <c r="DK3185" s="24"/>
      <c r="DL3185" s="24"/>
      <c r="DM3185" s="24"/>
      <c r="DN3185" s="24"/>
      <c r="DO3185" s="24"/>
      <c r="DP3185" s="24"/>
      <c r="DQ3185" s="24"/>
      <c r="DR3185" s="24"/>
      <c r="DS3185" s="24"/>
      <c r="DT3185" s="24"/>
      <c r="DU3185" s="24"/>
    </row>
    <row r="3186" spans="1:125" s="8" customFormat="1" ht="24" x14ac:dyDescent="0.2">
      <c r="A3186" s="77">
        <v>41543</v>
      </c>
      <c r="B3186" s="352" t="s">
        <v>2860</v>
      </c>
      <c r="C3186" s="354" t="s">
        <v>504</v>
      </c>
      <c r="D3186" s="354" t="s">
        <v>2882</v>
      </c>
      <c r="E3186" s="296" t="str">
        <f>VLOOKUP(B3186&amp;C3186,Divipola!$C$2:$F$1138,4,FALSE)</f>
        <v>63302</v>
      </c>
      <c r="F3186" s="87"/>
      <c r="G3186" s="87"/>
      <c r="H3186" s="87"/>
      <c r="I3186" s="87">
        <v>10</v>
      </c>
      <c r="J3186" s="87">
        <v>2</v>
      </c>
      <c r="K3186" s="87"/>
      <c r="L3186" s="87">
        <v>2</v>
      </c>
      <c r="M3186" s="87"/>
      <c r="N3186" s="87"/>
      <c r="O3186" s="87"/>
      <c r="P3186" s="87"/>
      <c r="Q3186" s="87"/>
      <c r="R3186" s="87"/>
      <c r="S3186" s="87"/>
      <c r="T3186" s="87"/>
      <c r="U3186" s="88"/>
      <c r="V3186" s="89"/>
      <c r="W3186" s="96">
        <v>0</v>
      </c>
      <c r="X3186" s="71">
        <f>CU3186</f>
        <v>0</v>
      </c>
      <c r="Y3186" s="71">
        <f>CY3186</f>
        <v>0</v>
      </c>
      <c r="Z3186" s="71">
        <f>DA3186+DC3186+DE3186</f>
        <v>0</v>
      </c>
      <c r="AA3186" s="71">
        <f>CW3186</f>
        <v>0</v>
      </c>
      <c r="AB3186" s="71"/>
      <c r="AC3186" s="71">
        <v>0</v>
      </c>
      <c r="AD3186" s="71">
        <f>W3186+X3186+Y3186+Z3186+AA3186+AB3186+AC3186</f>
        <v>0</v>
      </c>
      <c r="AE3186" s="72">
        <v>0</v>
      </c>
      <c r="AF3186" s="5"/>
      <c r="AG3186" s="6"/>
      <c r="AH3186" s="27"/>
      <c r="AI3186" s="44"/>
      <c r="AJ3186" s="26"/>
      <c r="AK3186" s="5"/>
      <c r="AL3186" s="268" t="s">
        <v>6112</v>
      </c>
      <c r="AM3186" s="76"/>
      <c r="AN3186" s="76"/>
      <c r="AO3186" s="76"/>
      <c r="AP3186" s="76"/>
      <c r="AQ3186" s="76"/>
      <c r="AR3186" s="76"/>
      <c r="AS3186" s="76"/>
      <c r="AT3186" s="76"/>
      <c r="AU3186" s="76"/>
      <c r="AV3186" s="76"/>
      <c r="AW3186" s="76"/>
      <c r="AX3186" s="76">
        <f>+AW3186*600000</f>
        <v>0</v>
      </c>
      <c r="AY3186" s="76"/>
      <c r="AZ3186" s="76">
        <f>+AY3186*70000</f>
        <v>0</v>
      </c>
      <c r="BA3186" s="76"/>
      <c r="BB3186" s="76"/>
      <c r="BC3186" s="76"/>
      <c r="BD3186" s="76">
        <f>+BC3186*30000</f>
        <v>0</v>
      </c>
      <c r="BE3186" s="76"/>
      <c r="BF3186" s="76"/>
      <c r="BG3186" s="76"/>
      <c r="BH3186" s="76"/>
      <c r="BI3186" s="76"/>
      <c r="BJ3186" s="76"/>
      <c r="BK3186" s="76"/>
      <c r="BL3186" s="76">
        <f>+BK3186*31500</f>
        <v>0</v>
      </c>
      <c r="BM3186" s="76"/>
      <c r="BN3186" s="76"/>
      <c r="BO3186" s="76"/>
      <c r="BP3186" s="76"/>
      <c r="BQ3186" s="76"/>
      <c r="BR3186" s="76"/>
      <c r="BS3186" s="76"/>
      <c r="BT3186" s="76"/>
      <c r="BU3186" s="76"/>
      <c r="BV3186" s="76"/>
      <c r="BW3186" s="76"/>
      <c r="BX3186" s="76"/>
      <c r="BY3186" s="76"/>
      <c r="BZ3186" s="76"/>
      <c r="CA3186" s="76"/>
      <c r="CB3186" s="76"/>
      <c r="CC3186" s="76"/>
      <c r="CD3186" s="76"/>
      <c r="CE3186" s="76"/>
      <c r="CF3186" s="76">
        <f>+CE3186*28000</f>
        <v>0</v>
      </c>
      <c r="CG3186" s="76"/>
      <c r="CH3186" s="76">
        <f>+CG3186*22500</f>
        <v>0</v>
      </c>
      <c r="CI3186" s="76"/>
      <c r="CJ3186" s="76">
        <f>+CI3186*26000</f>
        <v>0</v>
      </c>
      <c r="CK3186" s="76"/>
      <c r="CL3186" s="76"/>
      <c r="CM3186" s="76"/>
      <c r="CN3186" s="76">
        <f>+CM3186*22000</f>
        <v>0</v>
      </c>
      <c r="CO3186" s="76"/>
      <c r="CP3186" s="76">
        <f>+CO3186*46000</f>
        <v>0</v>
      </c>
      <c r="CQ3186" s="76"/>
      <c r="CR3186" s="76">
        <f>+CQ3186*49000</f>
        <v>0</v>
      </c>
      <c r="CS3186" s="76"/>
      <c r="CT3186" s="76"/>
      <c r="CU3186" s="56">
        <f>AN3186+AP3186+AR3186+AT3186+AV3186+AX3186+AZ3186+BB3186+BD3186+BF3186+BH3186+BJ3186+BL3186+BN3186+BP3186+BR3186+BT3186+BV3186+BX3186+BZ3186+CB3186+CD3186+CF3186+CH3186+CJ3186+CL3186+CN3186+CP3186+CR3186+CT3186</f>
        <v>0</v>
      </c>
      <c r="CV3186" s="76"/>
      <c r="CW3186" s="76">
        <f>+CV3186*1100</f>
        <v>0</v>
      </c>
      <c r="CX3186" s="76"/>
      <c r="CY3186" s="76">
        <f>+CX3186*106250</f>
        <v>0</v>
      </c>
      <c r="CZ3186" s="76"/>
      <c r="DA3186" s="76">
        <f>+CZ3186*34500</f>
        <v>0</v>
      </c>
      <c r="DB3186" s="76"/>
      <c r="DC3186" s="76">
        <f>+DB3186*25000</f>
        <v>0</v>
      </c>
      <c r="DD3186" s="219"/>
      <c r="DE3186" s="219"/>
      <c r="DF3186" s="166"/>
      <c r="DG3186" s="116"/>
      <c r="DH3186" s="117"/>
      <c r="DI3186" s="24"/>
      <c r="DJ3186" s="24"/>
      <c r="DK3186" s="24"/>
      <c r="DL3186" s="24"/>
      <c r="DM3186" s="24"/>
      <c r="DN3186" s="24"/>
      <c r="DO3186" s="24"/>
      <c r="DP3186" s="24"/>
      <c r="DQ3186" s="24"/>
      <c r="DR3186" s="24"/>
      <c r="DS3186" s="24"/>
      <c r="DT3186" s="24"/>
      <c r="DU3186" s="24"/>
    </row>
    <row r="3187" spans="1:125" s="8" customFormat="1" ht="24" x14ac:dyDescent="0.2">
      <c r="A3187" s="77">
        <v>41543</v>
      </c>
      <c r="B3187" s="352" t="s">
        <v>2860</v>
      </c>
      <c r="C3187" s="354" t="s">
        <v>2090</v>
      </c>
      <c r="D3187" s="354" t="s">
        <v>2882</v>
      </c>
      <c r="E3187" s="296" t="str">
        <f>VLOOKUP(B3187&amp;C3187,Divipola!$C$2:$F$1138,4,FALSE)</f>
        <v>63548</v>
      </c>
      <c r="F3187" s="87"/>
      <c r="G3187" s="87"/>
      <c r="H3187" s="87"/>
      <c r="I3187" s="87">
        <v>10</v>
      </c>
      <c r="J3187" s="87">
        <v>2</v>
      </c>
      <c r="K3187" s="87"/>
      <c r="L3187" s="87">
        <v>2</v>
      </c>
      <c r="M3187" s="87"/>
      <c r="N3187" s="87"/>
      <c r="O3187" s="87"/>
      <c r="P3187" s="87"/>
      <c r="Q3187" s="87"/>
      <c r="R3187" s="87"/>
      <c r="S3187" s="87"/>
      <c r="T3187" s="87"/>
      <c r="U3187" s="88"/>
      <c r="V3187" s="89"/>
      <c r="W3187" s="96">
        <v>0</v>
      </c>
      <c r="X3187" s="71">
        <f>CU3187</f>
        <v>0</v>
      </c>
      <c r="Y3187" s="71">
        <f>CY3187</f>
        <v>0</v>
      </c>
      <c r="Z3187" s="71">
        <f>DA3187+DC3187+DE3187</f>
        <v>0</v>
      </c>
      <c r="AA3187" s="71">
        <f>CW3187</f>
        <v>0</v>
      </c>
      <c r="AB3187" s="71"/>
      <c r="AC3187" s="71">
        <v>0</v>
      </c>
      <c r="AD3187" s="71">
        <f>W3187+X3187+Y3187+Z3187+AA3187+AB3187+AC3187</f>
        <v>0</v>
      </c>
      <c r="AE3187" s="72">
        <v>0</v>
      </c>
      <c r="AF3187" s="5"/>
      <c r="AG3187" s="6"/>
      <c r="AH3187" s="27"/>
      <c r="AI3187" s="44"/>
      <c r="AJ3187" s="26"/>
      <c r="AK3187" s="5"/>
      <c r="AL3187" s="268" t="s">
        <v>6112</v>
      </c>
      <c r="AM3187" s="76"/>
      <c r="AN3187" s="76"/>
      <c r="AO3187" s="76"/>
      <c r="AP3187" s="76"/>
      <c r="AQ3187" s="76"/>
      <c r="AR3187" s="76"/>
      <c r="AS3187" s="76"/>
      <c r="AT3187" s="76"/>
      <c r="AU3187" s="76"/>
      <c r="AV3187" s="76"/>
      <c r="AW3187" s="76"/>
      <c r="AX3187" s="76">
        <f>+AW3187*600000</f>
        <v>0</v>
      </c>
      <c r="AY3187" s="76"/>
      <c r="AZ3187" s="76">
        <f>+AY3187*70000</f>
        <v>0</v>
      </c>
      <c r="BA3187" s="76"/>
      <c r="BB3187" s="76"/>
      <c r="BC3187" s="76"/>
      <c r="BD3187" s="76">
        <f>+BC3187*30000</f>
        <v>0</v>
      </c>
      <c r="BE3187" s="76"/>
      <c r="BF3187" s="76"/>
      <c r="BG3187" s="76"/>
      <c r="BH3187" s="76"/>
      <c r="BI3187" s="76"/>
      <c r="BJ3187" s="76"/>
      <c r="BK3187" s="76"/>
      <c r="BL3187" s="76">
        <f>+BK3187*31500</f>
        <v>0</v>
      </c>
      <c r="BM3187" s="76"/>
      <c r="BN3187" s="76"/>
      <c r="BO3187" s="76"/>
      <c r="BP3187" s="76"/>
      <c r="BQ3187" s="76"/>
      <c r="BR3187" s="76"/>
      <c r="BS3187" s="76"/>
      <c r="BT3187" s="76"/>
      <c r="BU3187" s="76"/>
      <c r="BV3187" s="76"/>
      <c r="BW3187" s="76"/>
      <c r="BX3187" s="76"/>
      <c r="BY3187" s="76"/>
      <c r="BZ3187" s="76"/>
      <c r="CA3187" s="76"/>
      <c r="CB3187" s="76"/>
      <c r="CC3187" s="76"/>
      <c r="CD3187" s="76"/>
      <c r="CE3187" s="76"/>
      <c r="CF3187" s="76">
        <f>+CE3187*28000</f>
        <v>0</v>
      </c>
      <c r="CG3187" s="76"/>
      <c r="CH3187" s="76">
        <f>+CG3187*22500</f>
        <v>0</v>
      </c>
      <c r="CI3187" s="76"/>
      <c r="CJ3187" s="76">
        <f>+CI3187*26000</f>
        <v>0</v>
      </c>
      <c r="CK3187" s="76"/>
      <c r="CL3187" s="76"/>
      <c r="CM3187" s="76"/>
      <c r="CN3187" s="76">
        <f>+CM3187*22000</f>
        <v>0</v>
      </c>
      <c r="CO3187" s="76"/>
      <c r="CP3187" s="76">
        <f>+CO3187*46000</f>
        <v>0</v>
      </c>
      <c r="CQ3187" s="76"/>
      <c r="CR3187" s="76">
        <f>+CQ3187*49000</f>
        <v>0</v>
      </c>
      <c r="CS3187" s="76"/>
      <c r="CT3187" s="76"/>
      <c r="CU3187" s="56">
        <f>AN3187+AP3187+AR3187+AT3187+AV3187+AX3187+AZ3187+BB3187+BD3187+BF3187+BH3187+BJ3187+BL3187+BN3187+BP3187+BR3187+BT3187+BV3187+BX3187+BZ3187+CB3187+CD3187+CF3187+CH3187+CJ3187+CL3187+CN3187+CP3187+CR3187+CT3187</f>
        <v>0</v>
      </c>
      <c r="CV3187" s="76"/>
      <c r="CW3187" s="76">
        <f>+CV3187*1100</f>
        <v>0</v>
      </c>
      <c r="CX3187" s="76"/>
      <c r="CY3187" s="76">
        <f>+CX3187*106250</f>
        <v>0</v>
      </c>
      <c r="CZ3187" s="76"/>
      <c r="DA3187" s="76">
        <f>+CZ3187*34500</f>
        <v>0</v>
      </c>
      <c r="DB3187" s="76"/>
      <c r="DC3187" s="76">
        <f>+DB3187*25000</f>
        <v>0</v>
      </c>
      <c r="DD3187" s="219"/>
      <c r="DE3187" s="219"/>
      <c r="DF3187" s="166"/>
      <c r="DG3187" s="116"/>
      <c r="DH3187" s="117"/>
      <c r="DI3187" s="24"/>
      <c r="DJ3187" s="24"/>
      <c r="DK3187" s="24"/>
      <c r="DL3187" s="24"/>
      <c r="DM3187" s="24"/>
      <c r="DN3187" s="24"/>
      <c r="DO3187" s="24"/>
      <c r="DP3187" s="24"/>
      <c r="DQ3187" s="24"/>
      <c r="DR3187" s="24"/>
      <c r="DS3187" s="24"/>
      <c r="DT3187" s="24"/>
      <c r="DU3187" s="24"/>
    </row>
    <row r="3188" spans="1:125" s="8" customFormat="1" ht="396" x14ac:dyDescent="0.2">
      <c r="A3188" s="77">
        <v>41543</v>
      </c>
      <c r="B3188" s="78" t="s">
        <v>2848</v>
      </c>
      <c r="C3188" s="75" t="s">
        <v>2035</v>
      </c>
      <c r="D3188" s="75" t="s">
        <v>2846</v>
      </c>
      <c r="E3188" s="296" t="str">
        <f>VLOOKUP(B3188&amp;C3188,Divipola!$C$2:$F$1138,4,FALSE)</f>
        <v>73148</v>
      </c>
      <c r="F3188" s="87"/>
      <c r="G3188" s="87"/>
      <c r="H3188" s="87"/>
      <c r="I3188" s="87"/>
      <c r="J3188" s="87"/>
      <c r="K3188" s="87"/>
      <c r="L3188" s="87"/>
      <c r="M3188" s="87"/>
      <c r="N3188" s="87"/>
      <c r="O3188" s="87"/>
      <c r="P3188" s="87"/>
      <c r="Q3188" s="87"/>
      <c r="R3188" s="87"/>
      <c r="S3188" s="87"/>
      <c r="T3188" s="87"/>
      <c r="U3188" s="88">
        <v>150</v>
      </c>
      <c r="V3188" s="89"/>
      <c r="W3188" s="96">
        <v>0</v>
      </c>
      <c r="X3188" s="71">
        <f>CU3188</f>
        <v>0</v>
      </c>
      <c r="Y3188" s="71">
        <f>CY3188</f>
        <v>0</v>
      </c>
      <c r="Z3188" s="71">
        <f>DA3188+DC3188+DE3188</f>
        <v>0</v>
      </c>
      <c r="AA3188" s="71">
        <f>CW3188</f>
        <v>0</v>
      </c>
      <c r="AB3188" s="71"/>
      <c r="AC3188" s="71">
        <v>0</v>
      </c>
      <c r="AD3188" s="71">
        <f>W3188+X3188+Y3188+Z3188+AA3188+AB3188+AC3188</f>
        <v>0</v>
      </c>
      <c r="AE3188" s="72">
        <v>0</v>
      </c>
      <c r="AF3188" s="5"/>
      <c r="AG3188" s="6"/>
      <c r="AH3188" s="27"/>
      <c r="AI3188" s="44"/>
      <c r="AJ3188" s="26"/>
      <c r="AK3188" s="5"/>
      <c r="AL3188" s="268" t="s">
        <v>6121</v>
      </c>
      <c r="AM3188" s="76"/>
      <c r="AN3188" s="76"/>
      <c r="AO3188" s="76"/>
      <c r="AP3188" s="76"/>
      <c r="AQ3188" s="76"/>
      <c r="AR3188" s="76"/>
      <c r="AS3188" s="76"/>
      <c r="AT3188" s="76"/>
      <c r="AU3188" s="76"/>
      <c r="AV3188" s="76"/>
      <c r="AW3188" s="76"/>
      <c r="AX3188" s="76">
        <f>+AW3188*600000</f>
        <v>0</v>
      </c>
      <c r="AY3188" s="76"/>
      <c r="AZ3188" s="76">
        <f>+AY3188*70000</f>
        <v>0</v>
      </c>
      <c r="BA3188" s="76"/>
      <c r="BB3188" s="76"/>
      <c r="BC3188" s="76"/>
      <c r="BD3188" s="76">
        <f>+BC3188*30000</f>
        <v>0</v>
      </c>
      <c r="BE3188" s="76"/>
      <c r="BF3188" s="76"/>
      <c r="BG3188" s="76"/>
      <c r="BH3188" s="76"/>
      <c r="BI3188" s="76"/>
      <c r="BJ3188" s="76"/>
      <c r="BK3188" s="76"/>
      <c r="BL3188" s="76">
        <f>+BK3188*31500</f>
        <v>0</v>
      </c>
      <c r="BM3188" s="76"/>
      <c r="BN3188" s="76"/>
      <c r="BO3188" s="76"/>
      <c r="BP3188" s="76"/>
      <c r="BQ3188" s="76"/>
      <c r="BR3188" s="76"/>
      <c r="BS3188" s="76"/>
      <c r="BT3188" s="76"/>
      <c r="BU3188" s="76"/>
      <c r="BV3188" s="76"/>
      <c r="BW3188" s="76"/>
      <c r="BX3188" s="76"/>
      <c r="BY3188" s="76"/>
      <c r="BZ3188" s="76"/>
      <c r="CA3188" s="76"/>
      <c r="CB3188" s="76"/>
      <c r="CC3188" s="76"/>
      <c r="CD3188" s="76"/>
      <c r="CE3188" s="76"/>
      <c r="CF3188" s="76">
        <f>+CE3188*28000</f>
        <v>0</v>
      </c>
      <c r="CG3188" s="76"/>
      <c r="CH3188" s="76">
        <f>+CG3188*22500</f>
        <v>0</v>
      </c>
      <c r="CI3188" s="76"/>
      <c r="CJ3188" s="76">
        <f>+CI3188*26000</f>
        <v>0</v>
      </c>
      <c r="CK3188" s="76"/>
      <c r="CL3188" s="76"/>
      <c r="CM3188" s="76"/>
      <c r="CN3188" s="76">
        <f>+CM3188*22000</f>
        <v>0</v>
      </c>
      <c r="CO3188" s="76"/>
      <c r="CP3188" s="76">
        <f>+CO3188*46000</f>
        <v>0</v>
      </c>
      <c r="CQ3188" s="76"/>
      <c r="CR3188" s="76">
        <f>+CQ3188*49000</f>
        <v>0</v>
      </c>
      <c r="CS3188" s="76"/>
      <c r="CT3188" s="76"/>
      <c r="CU3188" s="56">
        <f>AN3188+AP3188+AR3188+AT3188+AV3188+AX3188+AZ3188+BB3188+BD3188+BF3188+BH3188+BJ3188+BL3188+BN3188+BP3188+BR3188+BT3188+BV3188+BX3188+BZ3188+CB3188+CD3188+CF3188+CH3188+CJ3188+CL3188+CN3188+CP3188+CR3188+CT3188</f>
        <v>0</v>
      </c>
      <c r="CV3188" s="76"/>
      <c r="CW3188" s="76">
        <f>+CV3188*1100</f>
        <v>0</v>
      </c>
      <c r="CX3188" s="76"/>
      <c r="CY3188" s="76">
        <f>+CX3188*106250</f>
        <v>0</v>
      </c>
      <c r="CZ3188" s="76"/>
      <c r="DA3188" s="76">
        <f>+CZ3188*34500</f>
        <v>0</v>
      </c>
      <c r="DB3188" s="76"/>
      <c r="DC3188" s="76">
        <f>+DB3188*25000</f>
        <v>0</v>
      </c>
      <c r="DD3188" s="219"/>
      <c r="DE3188" s="219"/>
      <c r="DF3188" s="166"/>
      <c r="DG3188" s="116"/>
      <c r="DH3188" s="117"/>
      <c r="DI3188" s="24"/>
      <c r="DJ3188" s="24"/>
      <c r="DK3188" s="24"/>
      <c r="DL3188" s="24"/>
      <c r="DM3188" s="24"/>
      <c r="DN3188" s="24"/>
      <c r="DO3188" s="24"/>
      <c r="DP3188" s="24"/>
      <c r="DQ3188" s="24"/>
      <c r="DR3188" s="24"/>
      <c r="DS3188" s="24"/>
      <c r="DT3188" s="24"/>
      <c r="DU3188" s="24"/>
    </row>
    <row r="3189" spans="1:125" s="8" customFormat="1" ht="84" x14ac:dyDescent="0.2">
      <c r="A3189" s="77">
        <v>41543</v>
      </c>
      <c r="B3189" s="225" t="s">
        <v>2848</v>
      </c>
      <c r="C3189" s="227" t="s">
        <v>2035</v>
      </c>
      <c r="D3189" s="354" t="s">
        <v>2846</v>
      </c>
      <c r="E3189" s="296" t="str">
        <f>VLOOKUP(B3189&amp;C3189,Divipola!$C$2:$F$1138,4,FALSE)</f>
        <v>73148</v>
      </c>
      <c r="F3189" s="87"/>
      <c r="G3189" s="87"/>
      <c r="H3189" s="87"/>
      <c r="I3189" s="87"/>
      <c r="J3189" s="87"/>
      <c r="K3189" s="87"/>
      <c r="L3189" s="87"/>
      <c r="M3189" s="87"/>
      <c r="N3189" s="87"/>
      <c r="O3189" s="87"/>
      <c r="P3189" s="87"/>
      <c r="Q3189" s="87"/>
      <c r="R3189" s="87"/>
      <c r="S3189" s="87"/>
      <c r="T3189" s="87"/>
      <c r="U3189" s="88">
        <v>50</v>
      </c>
      <c r="V3189" s="89"/>
      <c r="W3189" s="96">
        <v>0</v>
      </c>
      <c r="X3189" s="71">
        <f>CU3189</f>
        <v>0</v>
      </c>
      <c r="Y3189" s="71">
        <f>CY3189</f>
        <v>0</v>
      </c>
      <c r="Z3189" s="71">
        <f>DA3189+DC3189+DE3189</f>
        <v>0</v>
      </c>
      <c r="AA3189" s="71">
        <f>CW3189</f>
        <v>0</v>
      </c>
      <c r="AB3189" s="71"/>
      <c r="AC3189" s="71">
        <v>0</v>
      </c>
      <c r="AD3189" s="71">
        <f>W3189+X3189+Y3189+Z3189+AA3189+AB3189+AC3189</f>
        <v>0</v>
      </c>
      <c r="AE3189" s="72">
        <v>0</v>
      </c>
      <c r="AF3189" s="5"/>
      <c r="AG3189" s="6"/>
      <c r="AH3189" s="27"/>
      <c r="AI3189" s="44"/>
      <c r="AJ3189" s="26"/>
      <c r="AK3189" s="5"/>
      <c r="AL3189" s="274" t="s">
        <v>6116</v>
      </c>
      <c r="AM3189" s="76"/>
      <c r="AN3189" s="76"/>
      <c r="AO3189" s="76"/>
      <c r="AP3189" s="76"/>
      <c r="AQ3189" s="76"/>
      <c r="AR3189" s="76"/>
      <c r="AS3189" s="76"/>
      <c r="AT3189" s="76"/>
      <c r="AU3189" s="76"/>
      <c r="AV3189" s="76"/>
      <c r="AW3189" s="76"/>
      <c r="AX3189" s="76">
        <f>+AW3189*600000</f>
        <v>0</v>
      </c>
      <c r="AY3189" s="76"/>
      <c r="AZ3189" s="76">
        <f>+AY3189*70000</f>
        <v>0</v>
      </c>
      <c r="BA3189" s="76"/>
      <c r="BB3189" s="76"/>
      <c r="BC3189" s="76"/>
      <c r="BD3189" s="76">
        <f>+BC3189*30000</f>
        <v>0</v>
      </c>
      <c r="BE3189" s="76"/>
      <c r="BF3189" s="76"/>
      <c r="BG3189" s="76"/>
      <c r="BH3189" s="76"/>
      <c r="BI3189" s="76"/>
      <c r="BJ3189" s="76"/>
      <c r="BK3189" s="76"/>
      <c r="BL3189" s="76">
        <f>+BK3189*31500</f>
        <v>0</v>
      </c>
      <c r="BM3189" s="76"/>
      <c r="BN3189" s="76"/>
      <c r="BO3189" s="76"/>
      <c r="BP3189" s="76"/>
      <c r="BQ3189" s="76"/>
      <c r="BR3189" s="76"/>
      <c r="BS3189" s="76"/>
      <c r="BT3189" s="76"/>
      <c r="BU3189" s="76"/>
      <c r="BV3189" s="76"/>
      <c r="BW3189" s="76"/>
      <c r="BX3189" s="76"/>
      <c r="BY3189" s="76"/>
      <c r="BZ3189" s="76"/>
      <c r="CA3189" s="76"/>
      <c r="CB3189" s="76"/>
      <c r="CC3189" s="76"/>
      <c r="CD3189" s="76"/>
      <c r="CE3189" s="76"/>
      <c r="CF3189" s="76">
        <f>+CE3189*28000</f>
        <v>0</v>
      </c>
      <c r="CG3189" s="76"/>
      <c r="CH3189" s="76">
        <f>+CG3189*22500</f>
        <v>0</v>
      </c>
      <c r="CI3189" s="76"/>
      <c r="CJ3189" s="76">
        <f>+CI3189*26000</f>
        <v>0</v>
      </c>
      <c r="CK3189" s="76"/>
      <c r="CL3189" s="76"/>
      <c r="CM3189" s="76"/>
      <c r="CN3189" s="76">
        <f>+CM3189*22000</f>
        <v>0</v>
      </c>
      <c r="CO3189" s="76"/>
      <c r="CP3189" s="76">
        <f>+CO3189*46000</f>
        <v>0</v>
      </c>
      <c r="CQ3189" s="76"/>
      <c r="CR3189" s="76">
        <f>+CQ3189*49000</f>
        <v>0</v>
      </c>
      <c r="CS3189" s="76"/>
      <c r="CT3189" s="76"/>
      <c r="CU3189" s="56">
        <f>AN3189+AP3189+AR3189+AT3189+AV3189+AX3189+AZ3189+BB3189+BD3189+BF3189+BH3189+BJ3189+BL3189+BN3189+BP3189+BR3189+BT3189+BV3189+BX3189+BZ3189+CB3189+CD3189+CF3189+CH3189+CJ3189+CL3189+CN3189+CP3189+CR3189+CT3189</f>
        <v>0</v>
      </c>
      <c r="CV3189" s="76"/>
      <c r="CW3189" s="76">
        <f>+CV3189*1100</f>
        <v>0</v>
      </c>
      <c r="CX3189" s="76"/>
      <c r="CY3189" s="76">
        <f>+CX3189*106250</f>
        <v>0</v>
      </c>
      <c r="CZ3189" s="76"/>
      <c r="DA3189" s="76">
        <f>+CZ3189*34500</f>
        <v>0</v>
      </c>
      <c r="DB3189" s="76"/>
      <c r="DC3189" s="76">
        <f>+DB3189*25000</f>
        <v>0</v>
      </c>
      <c r="DD3189" s="219"/>
      <c r="DE3189" s="219"/>
      <c r="DF3189" s="166"/>
      <c r="DG3189" s="116"/>
      <c r="DH3189" s="117"/>
      <c r="DI3189" s="24"/>
      <c r="DJ3189" s="24"/>
      <c r="DK3189" s="24"/>
      <c r="DL3189" s="24"/>
      <c r="DM3189" s="24"/>
      <c r="DN3189" s="24"/>
      <c r="DO3189" s="24"/>
      <c r="DP3189" s="24"/>
      <c r="DQ3189" s="24"/>
      <c r="DR3189" s="24"/>
      <c r="DS3189" s="24"/>
      <c r="DT3189" s="24"/>
      <c r="DU3189" s="24"/>
    </row>
    <row r="3190" spans="1:125" s="8" customFormat="1" ht="48" x14ac:dyDescent="0.2">
      <c r="A3190" s="77">
        <v>41543</v>
      </c>
      <c r="B3190" s="352" t="s">
        <v>2848</v>
      </c>
      <c r="C3190" s="227" t="s">
        <v>2675</v>
      </c>
      <c r="D3190" s="354" t="s">
        <v>2882</v>
      </c>
      <c r="E3190" s="296" t="str">
        <f>VLOOKUP(B3190&amp;C3190,Divipola!$C$2:$F$1138,4,FALSE)</f>
        <v>73349</v>
      </c>
      <c r="F3190" s="87"/>
      <c r="G3190" s="87"/>
      <c r="H3190" s="87"/>
      <c r="I3190" s="87">
        <v>5</v>
      </c>
      <c r="J3190" s="87">
        <v>1</v>
      </c>
      <c r="K3190" s="87"/>
      <c r="L3190" s="87">
        <v>1</v>
      </c>
      <c r="M3190" s="87"/>
      <c r="N3190" s="87"/>
      <c r="O3190" s="87"/>
      <c r="P3190" s="87"/>
      <c r="Q3190" s="87"/>
      <c r="R3190" s="87"/>
      <c r="S3190" s="87"/>
      <c r="T3190" s="87"/>
      <c r="U3190" s="88"/>
      <c r="V3190" s="89"/>
      <c r="W3190" s="96">
        <v>0</v>
      </c>
      <c r="X3190" s="71">
        <f>CU3190</f>
        <v>0</v>
      </c>
      <c r="Y3190" s="71">
        <f>CY3190</f>
        <v>0</v>
      </c>
      <c r="Z3190" s="71">
        <f>DA3190+DC3190+DE3190</f>
        <v>0</v>
      </c>
      <c r="AA3190" s="71">
        <f>CW3190</f>
        <v>0</v>
      </c>
      <c r="AB3190" s="71"/>
      <c r="AC3190" s="71">
        <v>0</v>
      </c>
      <c r="AD3190" s="71">
        <f>W3190+X3190+Y3190+Z3190+AA3190+AB3190+AC3190</f>
        <v>0</v>
      </c>
      <c r="AE3190" s="72">
        <v>0</v>
      </c>
      <c r="AF3190" s="5"/>
      <c r="AG3190" s="6"/>
      <c r="AH3190" s="27"/>
      <c r="AI3190" s="44"/>
      <c r="AJ3190" s="26"/>
      <c r="AK3190" s="5"/>
      <c r="AL3190" s="82" t="s">
        <v>6103</v>
      </c>
      <c r="AM3190" s="76"/>
      <c r="AN3190" s="76"/>
      <c r="AO3190" s="76"/>
      <c r="AP3190" s="76"/>
      <c r="AQ3190" s="76"/>
      <c r="AR3190" s="76"/>
      <c r="AS3190" s="76"/>
      <c r="AT3190" s="76"/>
      <c r="AU3190" s="76"/>
      <c r="AV3190" s="76"/>
      <c r="AW3190" s="76"/>
      <c r="AX3190" s="76">
        <f>+AW3190*600000</f>
        <v>0</v>
      </c>
      <c r="AY3190" s="76"/>
      <c r="AZ3190" s="76">
        <f>+AY3190*70000</f>
        <v>0</v>
      </c>
      <c r="BA3190" s="76"/>
      <c r="BB3190" s="76"/>
      <c r="BC3190" s="76"/>
      <c r="BD3190" s="76">
        <f>+BC3190*30000</f>
        <v>0</v>
      </c>
      <c r="BE3190" s="76"/>
      <c r="BF3190" s="76"/>
      <c r="BG3190" s="76"/>
      <c r="BH3190" s="76"/>
      <c r="BI3190" s="76"/>
      <c r="BJ3190" s="76"/>
      <c r="BK3190" s="76"/>
      <c r="BL3190" s="76">
        <f>+BK3190*31500</f>
        <v>0</v>
      </c>
      <c r="BM3190" s="76"/>
      <c r="BN3190" s="76"/>
      <c r="BO3190" s="76"/>
      <c r="BP3190" s="76"/>
      <c r="BQ3190" s="76"/>
      <c r="BR3190" s="76"/>
      <c r="BS3190" s="76"/>
      <c r="BT3190" s="76"/>
      <c r="BU3190" s="76"/>
      <c r="BV3190" s="76"/>
      <c r="BW3190" s="76"/>
      <c r="BX3190" s="76"/>
      <c r="BY3190" s="76"/>
      <c r="BZ3190" s="76"/>
      <c r="CA3190" s="76"/>
      <c r="CB3190" s="76"/>
      <c r="CC3190" s="76"/>
      <c r="CD3190" s="76"/>
      <c r="CE3190" s="76"/>
      <c r="CF3190" s="76">
        <f>+CE3190*28000</f>
        <v>0</v>
      </c>
      <c r="CG3190" s="76"/>
      <c r="CH3190" s="76">
        <f>+CG3190*22500</f>
        <v>0</v>
      </c>
      <c r="CI3190" s="76"/>
      <c r="CJ3190" s="76">
        <f>+CI3190*26000</f>
        <v>0</v>
      </c>
      <c r="CK3190" s="76"/>
      <c r="CL3190" s="76"/>
      <c r="CM3190" s="76"/>
      <c r="CN3190" s="76">
        <f>+CM3190*22000</f>
        <v>0</v>
      </c>
      <c r="CO3190" s="76"/>
      <c r="CP3190" s="76">
        <f>+CO3190*46000</f>
        <v>0</v>
      </c>
      <c r="CQ3190" s="76"/>
      <c r="CR3190" s="76">
        <f>+CQ3190*49000</f>
        <v>0</v>
      </c>
      <c r="CS3190" s="76"/>
      <c r="CT3190" s="76"/>
      <c r="CU3190" s="56">
        <f>AN3190+AP3190+AR3190+AT3190+AV3190+AX3190+AZ3190+BB3190+BD3190+BF3190+BH3190+BJ3190+BL3190+BN3190+BP3190+BR3190+BT3190+BV3190+BX3190+BZ3190+CB3190+CD3190+CF3190+CH3190+CJ3190+CL3190+CN3190+CP3190+CR3190+CT3190</f>
        <v>0</v>
      </c>
      <c r="CV3190" s="76"/>
      <c r="CW3190" s="76">
        <f>+CV3190*1100</f>
        <v>0</v>
      </c>
      <c r="CX3190" s="76"/>
      <c r="CY3190" s="76">
        <f>+CX3190*106250</f>
        <v>0</v>
      </c>
      <c r="CZ3190" s="76"/>
      <c r="DA3190" s="76">
        <f>+CZ3190*34500</f>
        <v>0</v>
      </c>
      <c r="DB3190" s="76"/>
      <c r="DC3190" s="76">
        <f>+DB3190*25000</f>
        <v>0</v>
      </c>
      <c r="DD3190" s="219"/>
      <c r="DE3190" s="219"/>
      <c r="DF3190" s="166"/>
      <c r="DG3190" s="116"/>
      <c r="DH3190" s="117"/>
      <c r="DI3190" s="24"/>
      <c r="DJ3190" s="24"/>
      <c r="DK3190" s="24"/>
      <c r="DL3190" s="24"/>
      <c r="DM3190" s="24"/>
      <c r="DN3190" s="24"/>
      <c r="DO3190" s="24"/>
      <c r="DP3190" s="24"/>
      <c r="DQ3190" s="24"/>
      <c r="DR3190" s="24"/>
      <c r="DS3190" s="24"/>
      <c r="DT3190" s="24"/>
      <c r="DU3190" s="24"/>
    </row>
    <row r="3191" spans="1:125" s="8" customFormat="1" ht="48" x14ac:dyDescent="0.2">
      <c r="A3191" s="77">
        <v>41543</v>
      </c>
      <c r="B3191" s="352" t="s">
        <v>2848</v>
      </c>
      <c r="C3191" s="354" t="s">
        <v>2034</v>
      </c>
      <c r="D3191" s="354" t="s">
        <v>2846</v>
      </c>
      <c r="E3191" s="296" t="str">
        <f>VLOOKUP(B3191&amp;C3191,Divipola!$C$2:$F$1138,4,FALSE)</f>
        <v>73449</v>
      </c>
      <c r="F3191" s="87"/>
      <c r="G3191" s="87"/>
      <c r="H3191" s="87"/>
      <c r="I3191" s="87"/>
      <c r="J3191" s="87"/>
      <c r="K3191" s="87"/>
      <c r="L3191" s="87"/>
      <c r="M3191" s="87"/>
      <c r="N3191" s="87"/>
      <c r="O3191" s="87"/>
      <c r="P3191" s="87"/>
      <c r="Q3191" s="87"/>
      <c r="R3191" s="87"/>
      <c r="S3191" s="87"/>
      <c r="T3191" s="87"/>
      <c r="U3191" s="88">
        <v>1</v>
      </c>
      <c r="V3191" s="89"/>
      <c r="W3191" s="96">
        <v>0</v>
      </c>
      <c r="X3191" s="71">
        <f>CU3191</f>
        <v>0</v>
      </c>
      <c r="Y3191" s="71">
        <f>CY3191</f>
        <v>0</v>
      </c>
      <c r="Z3191" s="71">
        <f>DA3191+DC3191+DE3191</f>
        <v>0</v>
      </c>
      <c r="AA3191" s="71">
        <f>CW3191</f>
        <v>0</v>
      </c>
      <c r="AB3191" s="71"/>
      <c r="AC3191" s="71">
        <v>0</v>
      </c>
      <c r="AD3191" s="71">
        <f>W3191+X3191+Y3191+Z3191+AA3191+AB3191+AC3191</f>
        <v>0</v>
      </c>
      <c r="AE3191" s="72">
        <v>0</v>
      </c>
      <c r="AF3191" s="5"/>
      <c r="AG3191" s="6"/>
      <c r="AH3191" s="27"/>
      <c r="AI3191" s="44"/>
      <c r="AJ3191" s="26"/>
      <c r="AK3191" s="5"/>
      <c r="AL3191" s="315" t="s">
        <v>6117</v>
      </c>
      <c r="AM3191" s="76"/>
      <c r="AN3191" s="76"/>
      <c r="AO3191" s="76"/>
      <c r="AP3191" s="76"/>
      <c r="AQ3191" s="76"/>
      <c r="AR3191" s="76"/>
      <c r="AS3191" s="76"/>
      <c r="AT3191" s="76"/>
      <c r="AU3191" s="76"/>
      <c r="AV3191" s="76"/>
      <c r="AW3191" s="76"/>
      <c r="AX3191" s="76">
        <f>+AW3191*600000</f>
        <v>0</v>
      </c>
      <c r="AY3191" s="76"/>
      <c r="AZ3191" s="76">
        <f>+AY3191*70000</f>
        <v>0</v>
      </c>
      <c r="BA3191" s="76"/>
      <c r="BB3191" s="76"/>
      <c r="BC3191" s="76"/>
      <c r="BD3191" s="76">
        <f>+BC3191*30000</f>
        <v>0</v>
      </c>
      <c r="BE3191" s="76"/>
      <c r="BF3191" s="76"/>
      <c r="BG3191" s="76"/>
      <c r="BH3191" s="76"/>
      <c r="BI3191" s="76"/>
      <c r="BJ3191" s="76"/>
      <c r="BK3191" s="76"/>
      <c r="BL3191" s="76">
        <f>+BK3191*31500</f>
        <v>0</v>
      </c>
      <c r="BM3191" s="76"/>
      <c r="BN3191" s="76"/>
      <c r="BO3191" s="76"/>
      <c r="BP3191" s="76"/>
      <c r="BQ3191" s="76"/>
      <c r="BR3191" s="76"/>
      <c r="BS3191" s="76"/>
      <c r="BT3191" s="76"/>
      <c r="BU3191" s="76"/>
      <c r="BV3191" s="76"/>
      <c r="BW3191" s="76"/>
      <c r="BX3191" s="76"/>
      <c r="BY3191" s="76"/>
      <c r="BZ3191" s="76"/>
      <c r="CA3191" s="76"/>
      <c r="CB3191" s="76"/>
      <c r="CC3191" s="76"/>
      <c r="CD3191" s="76"/>
      <c r="CE3191" s="76"/>
      <c r="CF3191" s="76">
        <f>+CE3191*28000</f>
        <v>0</v>
      </c>
      <c r="CG3191" s="76"/>
      <c r="CH3191" s="76">
        <f>+CG3191*22500</f>
        <v>0</v>
      </c>
      <c r="CI3191" s="76"/>
      <c r="CJ3191" s="76">
        <f>+CI3191*26000</f>
        <v>0</v>
      </c>
      <c r="CK3191" s="76"/>
      <c r="CL3191" s="76"/>
      <c r="CM3191" s="76"/>
      <c r="CN3191" s="76">
        <f>+CM3191*22000</f>
        <v>0</v>
      </c>
      <c r="CO3191" s="76"/>
      <c r="CP3191" s="76">
        <f>+CO3191*46000</f>
        <v>0</v>
      </c>
      <c r="CQ3191" s="76"/>
      <c r="CR3191" s="76">
        <f>+CQ3191*49000</f>
        <v>0</v>
      </c>
      <c r="CS3191" s="76"/>
      <c r="CT3191" s="76"/>
      <c r="CU3191" s="56">
        <f>AN3191+AP3191+AR3191+AT3191+AV3191+AX3191+AZ3191+BB3191+BD3191+BF3191+BH3191+BJ3191+BL3191+BN3191+BP3191+BR3191+BT3191+BV3191+BX3191+BZ3191+CB3191+CD3191+CF3191+CH3191+CJ3191+CL3191+CN3191+CP3191+CR3191+CT3191</f>
        <v>0</v>
      </c>
      <c r="CV3191" s="76"/>
      <c r="CW3191" s="76">
        <f>+CV3191*1100</f>
        <v>0</v>
      </c>
      <c r="CX3191" s="76"/>
      <c r="CY3191" s="76">
        <f>+CX3191*106250</f>
        <v>0</v>
      </c>
      <c r="CZ3191" s="76"/>
      <c r="DA3191" s="76">
        <f>+CZ3191*34500</f>
        <v>0</v>
      </c>
      <c r="DB3191" s="76"/>
      <c r="DC3191" s="76">
        <f>+DB3191*25000</f>
        <v>0</v>
      </c>
      <c r="DD3191" s="219"/>
      <c r="DE3191" s="219"/>
      <c r="DF3191" s="166"/>
      <c r="DG3191" s="116"/>
      <c r="DH3191" s="117"/>
      <c r="DI3191" s="24"/>
      <c r="DJ3191" s="24"/>
      <c r="DK3191" s="24"/>
      <c r="DL3191" s="24"/>
      <c r="DM3191" s="24"/>
      <c r="DN3191" s="24"/>
      <c r="DO3191" s="24"/>
      <c r="DP3191" s="24"/>
      <c r="DQ3191" s="24"/>
      <c r="DR3191" s="24"/>
      <c r="DS3191" s="24"/>
      <c r="DT3191" s="24"/>
      <c r="DU3191" s="24"/>
    </row>
    <row r="3192" spans="1:125" s="8" customFormat="1" ht="72" x14ac:dyDescent="0.2">
      <c r="A3192" s="77">
        <v>41543</v>
      </c>
      <c r="B3192" s="352" t="s">
        <v>2848</v>
      </c>
      <c r="C3192" s="354" t="s">
        <v>1910</v>
      </c>
      <c r="D3192" s="354" t="s">
        <v>2846</v>
      </c>
      <c r="E3192" s="296" t="str">
        <f>VLOOKUP(B3192&amp;C3192,Divipola!$C$2:$F$1138,4,FALSE)</f>
        <v>73671</v>
      </c>
      <c r="F3192" s="87"/>
      <c r="G3192" s="87"/>
      <c r="H3192" s="87"/>
      <c r="I3192" s="87"/>
      <c r="J3192" s="87"/>
      <c r="K3192" s="87"/>
      <c r="L3192" s="87"/>
      <c r="M3192" s="87"/>
      <c r="N3192" s="87"/>
      <c r="O3192" s="87"/>
      <c r="P3192" s="87"/>
      <c r="Q3192" s="87"/>
      <c r="R3192" s="87"/>
      <c r="S3192" s="87"/>
      <c r="T3192" s="87"/>
      <c r="U3192" s="88">
        <v>35</v>
      </c>
      <c r="V3192" s="89"/>
      <c r="W3192" s="96">
        <v>0</v>
      </c>
      <c r="X3192" s="71">
        <f>CU3192</f>
        <v>0</v>
      </c>
      <c r="Y3192" s="71">
        <f>CY3192</f>
        <v>0</v>
      </c>
      <c r="Z3192" s="71">
        <f>DA3192+DC3192+DE3192</f>
        <v>0</v>
      </c>
      <c r="AA3192" s="71">
        <f>CW3192</f>
        <v>0</v>
      </c>
      <c r="AB3192" s="71"/>
      <c r="AC3192" s="71">
        <v>0</v>
      </c>
      <c r="AD3192" s="71">
        <f>W3192+X3192+Y3192+Z3192+AA3192+AB3192+AC3192</f>
        <v>0</v>
      </c>
      <c r="AE3192" s="72">
        <v>0</v>
      </c>
      <c r="AF3192" s="5"/>
      <c r="AG3192" s="6"/>
      <c r="AH3192" s="27"/>
      <c r="AI3192" s="44"/>
      <c r="AJ3192" s="26"/>
      <c r="AK3192" s="5"/>
      <c r="AL3192" s="274" t="s">
        <v>6118</v>
      </c>
      <c r="AM3192" s="76"/>
      <c r="AN3192" s="76"/>
      <c r="AO3192" s="76"/>
      <c r="AP3192" s="76"/>
      <c r="AQ3192" s="76"/>
      <c r="AR3192" s="76"/>
      <c r="AS3192" s="76"/>
      <c r="AT3192" s="76"/>
      <c r="AU3192" s="76"/>
      <c r="AV3192" s="76"/>
      <c r="AW3192" s="76"/>
      <c r="AX3192" s="76">
        <f>+AW3192*600000</f>
        <v>0</v>
      </c>
      <c r="AY3192" s="76"/>
      <c r="AZ3192" s="76">
        <f>+AY3192*70000</f>
        <v>0</v>
      </c>
      <c r="BA3192" s="76"/>
      <c r="BB3192" s="76"/>
      <c r="BC3192" s="76"/>
      <c r="BD3192" s="76">
        <f>+BC3192*30000</f>
        <v>0</v>
      </c>
      <c r="BE3192" s="76"/>
      <c r="BF3192" s="76"/>
      <c r="BG3192" s="76"/>
      <c r="BH3192" s="76"/>
      <c r="BI3192" s="76"/>
      <c r="BJ3192" s="76"/>
      <c r="BK3192" s="76"/>
      <c r="BL3192" s="76">
        <f>+BK3192*31500</f>
        <v>0</v>
      </c>
      <c r="BM3192" s="76"/>
      <c r="BN3192" s="76"/>
      <c r="BO3192" s="76"/>
      <c r="BP3192" s="76"/>
      <c r="BQ3192" s="76"/>
      <c r="BR3192" s="76"/>
      <c r="BS3192" s="76"/>
      <c r="BT3192" s="76"/>
      <c r="BU3192" s="76"/>
      <c r="BV3192" s="76"/>
      <c r="BW3192" s="76"/>
      <c r="BX3192" s="76"/>
      <c r="BY3192" s="76"/>
      <c r="BZ3192" s="76"/>
      <c r="CA3192" s="76"/>
      <c r="CB3192" s="76"/>
      <c r="CC3192" s="76"/>
      <c r="CD3192" s="76"/>
      <c r="CE3192" s="76"/>
      <c r="CF3192" s="76">
        <f>+CE3192*28000</f>
        <v>0</v>
      </c>
      <c r="CG3192" s="76"/>
      <c r="CH3192" s="76">
        <f>+CG3192*22500</f>
        <v>0</v>
      </c>
      <c r="CI3192" s="76"/>
      <c r="CJ3192" s="76">
        <f>+CI3192*26000</f>
        <v>0</v>
      </c>
      <c r="CK3192" s="76"/>
      <c r="CL3192" s="76"/>
      <c r="CM3192" s="76"/>
      <c r="CN3192" s="76">
        <f>+CM3192*22000</f>
        <v>0</v>
      </c>
      <c r="CO3192" s="76"/>
      <c r="CP3192" s="76">
        <f>+CO3192*46000</f>
        <v>0</v>
      </c>
      <c r="CQ3192" s="76"/>
      <c r="CR3192" s="76">
        <f>+CQ3192*49000</f>
        <v>0</v>
      </c>
      <c r="CS3192" s="76"/>
      <c r="CT3192" s="76"/>
      <c r="CU3192" s="56">
        <f>AN3192+AP3192+AR3192+AT3192+AV3192+AX3192+AZ3192+BB3192+BD3192+BF3192+BH3192+BJ3192+BL3192+BN3192+BP3192+BR3192+BT3192+BV3192+BX3192+BZ3192+CB3192+CD3192+CF3192+CH3192+CJ3192+CL3192+CN3192+CP3192+CR3192+CT3192</f>
        <v>0</v>
      </c>
      <c r="CV3192" s="76"/>
      <c r="CW3192" s="76">
        <f>+CV3192*1100</f>
        <v>0</v>
      </c>
      <c r="CX3192" s="76"/>
      <c r="CY3192" s="76">
        <f>+CX3192*106250</f>
        <v>0</v>
      </c>
      <c r="CZ3192" s="76"/>
      <c r="DA3192" s="76">
        <f>+CZ3192*34500</f>
        <v>0</v>
      </c>
      <c r="DB3192" s="76"/>
      <c r="DC3192" s="76">
        <f>+DB3192*25000</f>
        <v>0</v>
      </c>
      <c r="DD3192" s="219"/>
      <c r="DE3192" s="219"/>
      <c r="DF3192" s="166"/>
      <c r="DG3192" s="116"/>
      <c r="DH3192" s="117"/>
      <c r="DI3192" s="24"/>
      <c r="DJ3192" s="24"/>
      <c r="DK3192" s="24"/>
      <c r="DL3192" s="24"/>
      <c r="DM3192" s="24"/>
      <c r="DN3192" s="24"/>
      <c r="DO3192" s="24"/>
      <c r="DP3192" s="24"/>
      <c r="DQ3192" s="24"/>
      <c r="DR3192" s="24"/>
      <c r="DS3192" s="24"/>
      <c r="DT3192" s="24"/>
      <c r="DU3192" s="24"/>
    </row>
    <row r="3193" spans="1:125" s="8" customFormat="1" ht="132" x14ac:dyDescent="0.2">
      <c r="A3193" s="77">
        <v>41543</v>
      </c>
      <c r="B3193" s="352" t="s">
        <v>2851</v>
      </c>
      <c r="C3193" s="354" t="s">
        <v>2667</v>
      </c>
      <c r="D3193" s="354" t="s">
        <v>2846</v>
      </c>
      <c r="E3193" s="296" t="str">
        <f>VLOOKUP(B3193&amp;C3193,Divipola!$C$2:$F$1138,4,FALSE)</f>
        <v>76364</v>
      </c>
      <c r="F3193" s="87"/>
      <c r="G3193" s="87"/>
      <c r="H3193" s="87"/>
      <c r="I3193" s="87"/>
      <c r="J3193" s="87"/>
      <c r="K3193" s="87"/>
      <c r="L3193" s="87"/>
      <c r="M3193" s="87"/>
      <c r="N3193" s="87"/>
      <c r="O3193" s="87"/>
      <c r="P3193" s="87"/>
      <c r="Q3193" s="87"/>
      <c r="R3193" s="87"/>
      <c r="S3193" s="87"/>
      <c r="T3193" s="87"/>
      <c r="U3193" s="88"/>
      <c r="V3193" s="89"/>
      <c r="W3193" s="96">
        <v>0</v>
      </c>
      <c r="X3193" s="71">
        <f>CU3193</f>
        <v>0</v>
      </c>
      <c r="Y3193" s="71">
        <f>CY3193</f>
        <v>0</v>
      </c>
      <c r="Z3193" s="71">
        <f>DA3193+DC3193+DE3193</f>
        <v>0</v>
      </c>
      <c r="AA3193" s="71">
        <f>CW3193</f>
        <v>0</v>
      </c>
      <c r="AB3193" s="71"/>
      <c r="AC3193" s="71">
        <v>0</v>
      </c>
      <c r="AD3193" s="71">
        <f>W3193+X3193+Y3193+Z3193+AA3193+AB3193+AC3193</f>
        <v>0</v>
      </c>
      <c r="AE3193" s="72">
        <v>0</v>
      </c>
      <c r="AF3193" s="5"/>
      <c r="AG3193" s="6"/>
      <c r="AH3193" s="27"/>
      <c r="AI3193" s="44"/>
      <c r="AJ3193" s="26"/>
      <c r="AK3193" s="5"/>
      <c r="AL3193" s="274" t="s">
        <v>6120</v>
      </c>
      <c r="AM3193" s="76"/>
      <c r="AN3193" s="76"/>
      <c r="AO3193" s="76"/>
      <c r="AP3193" s="76"/>
      <c r="AQ3193" s="76"/>
      <c r="AR3193" s="76"/>
      <c r="AS3193" s="76"/>
      <c r="AT3193" s="76"/>
      <c r="AU3193" s="76"/>
      <c r="AV3193" s="76"/>
      <c r="AW3193" s="76"/>
      <c r="AX3193" s="76">
        <f>+AW3193*600000</f>
        <v>0</v>
      </c>
      <c r="AY3193" s="76"/>
      <c r="AZ3193" s="76">
        <f>+AY3193*70000</f>
        <v>0</v>
      </c>
      <c r="BA3193" s="76"/>
      <c r="BB3193" s="76"/>
      <c r="BC3193" s="76"/>
      <c r="BD3193" s="76">
        <f>+BC3193*30000</f>
        <v>0</v>
      </c>
      <c r="BE3193" s="76"/>
      <c r="BF3193" s="76"/>
      <c r="BG3193" s="76"/>
      <c r="BH3193" s="76"/>
      <c r="BI3193" s="76"/>
      <c r="BJ3193" s="76"/>
      <c r="BK3193" s="76"/>
      <c r="BL3193" s="76">
        <f>+BK3193*31500</f>
        <v>0</v>
      </c>
      <c r="BM3193" s="76"/>
      <c r="BN3193" s="76"/>
      <c r="BO3193" s="76"/>
      <c r="BP3193" s="76"/>
      <c r="BQ3193" s="76"/>
      <c r="BR3193" s="76"/>
      <c r="BS3193" s="76"/>
      <c r="BT3193" s="76"/>
      <c r="BU3193" s="76"/>
      <c r="BV3193" s="76"/>
      <c r="BW3193" s="76"/>
      <c r="BX3193" s="76"/>
      <c r="BY3193" s="76"/>
      <c r="BZ3193" s="76"/>
      <c r="CA3193" s="76"/>
      <c r="CB3193" s="76"/>
      <c r="CC3193" s="76"/>
      <c r="CD3193" s="76"/>
      <c r="CE3193" s="76"/>
      <c r="CF3193" s="76">
        <f>+CE3193*28000</f>
        <v>0</v>
      </c>
      <c r="CG3193" s="76"/>
      <c r="CH3193" s="76">
        <f>+CG3193*22500</f>
        <v>0</v>
      </c>
      <c r="CI3193" s="76"/>
      <c r="CJ3193" s="76">
        <f>+CI3193*26000</f>
        <v>0</v>
      </c>
      <c r="CK3193" s="76"/>
      <c r="CL3193" s="76"/>
      <c r="CM3193" s="76"/>
      <c r="CN3193" s="76">
        <f>+CM3193*22000</f>
        <v>0</v>
      </c>
      <c r="CO3193" s="76"/>
      <c r="CP3193" s="76">
        <f>+CO3193*46000</f>
        <v>0</v>
      </c>
      <c r="CQ3193" s="76"/>
      <c r="CR3193" s="76">
        <f>+CQ3193*49000</f>
        <v>0</v>
      </c>
      <c r="CS3193" s="76"/>
      <c r="CT3193" s="76"/>
      <c r="CU3193" s="56">
        <f>AN3193+AP3193+AR3193+AT3193+AV3193+AX3193+AZ3193+BB3193+BD3193+BF3193+BH3193+BJ3193+BL3193+BN3193+BP3193+BR3193+BT3193+BV3193+BX3193+BZ3193+CB3193+CD3193+CF3193+CH3193+CJ3193+CL3193+CN3193+CP3193+CR3193+CT3193</f>
        <v>0</v>
      </c>
      <c r="CV3193" s="76"/>
      <c r="CW3193" s="76">
        <f>+CV3193*1100</f>
        <v>0</v>
      </c>
      <c r="CX3193" s="76"/>
      <c r="CY3193" s="76">
        <f>+CX3193*106250</f>
        <v>0</v>
      </c>
      <c r="CZ3193" s="76"/>
      <c r="DA3193" s="76">
        <f>+CZ3193*34500</f>
        <v>0</v>
      </c>
      <c r="DB3193" s="76"/>
      <c r="DC3193" s="76">
        <f>+DB3193*25000</f>
        <v>0</v>
      </c>
      <c r="DD3193" s="219"/>
      <c r="DE3193" s="219"/>
      <c r="DF3193" s="166"/>
      <c r="DG3193" s="116"/>
      <c r="DH3193" s="117"/>
      <c r="DI3193" s="24"/>
      <c r="DJ3193" s="24"/>
      <c r="DK3193" s="24"/>
      <c r="DL3193" s="24"/>
      <c r="DM3193" s="24"/>
      <c r="DN3193" s="24"/>
      <c r="DO3193" s="24"/>
      <c r="DP3193" s="24"/>
      <c r="DQ3193" s="24"/>
      <c r="DR3193" s="24"/>
      <c r="DS3193" s="24"/>
      <c r="DT3193" s="24"/>
      <c r="DU3193" s="24"/>
    </row>
    <row r="3194" spans="1:125" s="8" customFormat="1" ht="48" x14ac:dyDescent="0.2">
      <c r="A3194" s="77">
        <v>41543</v>
      </c>
      <c r="B3194" s="78" t="s">
        <v>2847</v>
      </c>
      <c r="C3194" s="75" t="s">
        <v>1758</v>
      </c>
      <c r="D3194" s="75" t="s">
        <v>2882</v>
      </c>
      <c r="E3194" s="353" t="str">
        <f>VLOOKUP(B3194&amp;C3194,Divipola!$C$2:$F$1138,4,FALSE)</f>
        <v>68573</v>
      </c>
      <c r="F3194" s="61"/>
      <c r="G3194" s="61"/>
      <c r="H3194" s="61"/>
      <c r="I3194" s="61">
        <f>76*5</f>
        <v>380</v>
      </c>
      <c r="J3194" s="61">
        <v>76</v>
      </c>
      <c r="K3194" s="61"/>
      <c r="L3194" s="61">
        <v>76</v>
      </c>
      <c r="M3194" s="61"/>
      <c r="N3194" s="61"/>
      <c r="O3194" s="61"/>
      <c r="P3194" s="61"/>
      <c r="Q3194" s="61"/>
      <c r="R3194" s="61"/>
      <c r="S3194" s="61"/>
      <c r="T3194" s="61"/>
      <c r="U3194" s="61"/>
      <c r="V3194" s="7" t="s">
        <v>6687</v>
      </c>
      <c r="W3194" s="96">
        <v>0</v>
      </c>
      <c r="X3194" s="71">
        <f>CU3194</f>
        <v>22000000</v>
      </c>
      <c r="Y3194" s="71">
        <f>CY3194</f>
        <v>8075000</v>
      </c>
      <c r="Z3194" s="71">
        <f>DA3194+DC3194+DE3194</f>
        <v>16000000</v>
      </c>
      <c r="AA3194" s="71">
        <f>CW3194</f>
        <v>0</v>
      </c>
      <c r="AB3194" s="71"/>
      <c r="AC3194" s="71">
        <v>0</v>
      </c>
      <c r="AD3194" s="71">
        <f>W3194+X3194+Y3194+Z3194+AA3194+AB3194+AC3194</f>
        <v>46075000</v>
      </c>
      <c r="AE3194" s="72">
        <v>0</v>
      </c>
      <c r="AF3194" s="5"/>
      <c r="AG3194" s="6"/>
      <c r="AH3194" s="27"/>
      <c r="AI3194" s="44"/>
      <c r="AJ3194" s="26"/>
      <c r="AK3194" s="5"/>
      <c r="AL3194" s="9" t="s">
        <v>6859</v>
      </c>
      <c r="AM3194" s="76"/>
      <c r="AN3194" s="76"/>
      <c r="AO3194" s="76"/>
      <c r="AP3194" s="76"/>
      <c r="AQ3194" s="76"/>
      <c r="AR3194" s="76"/>
      <c r="AS3194" s="76"/>
      <c r="AT3194" s="76"/>
      <c r="AU3194" s="76"/>
      <c r="AV3194" s="76"/>
      <c r="AW3194" s="76"/>
      <c r="AX3194" s="76">
        <f>+AW3194*600000</f>
        <v>0</v>
      </c>
      <c r="AY3194" s="76">
        <v>240</v>
      </c>
      <c r="AZ3194" s="76">
        <f>+AY3194*70000</f>
        <v>16800000</v>
      </c>
      <c r="BA3194" s="76"/>
      <c r="BB3194" s="76"/>
      <c r="BC3194" s="76"/>
      <c r="BD3194" s="76">
        <f>+BC3194*30000</f>
        <v>0</v>
      </c>
      <c r="BE3194" s="76"/>
      <c r="BF3194" s="76"/>
      <c r="BG3194" s="76"/>
      <c r="BH3194" s="76"/>
      <c r="BI3194" s="76"/>
      <c r="BJ3194" s="76"/>
      <c r="BK3194" s="76"/>
      <c r="BL3194" s="76">
        <f>+BK3194*31500</f>
        <v>0</v>
      </c>
      <c r="BM3194" s="76"/>
      <c r="BN3194" s="76"/>
      <c r="BO3194" s="76"/>
      <c r="BP3194" s="76"/>
      <c r="BQ3194" s="76"/>
      <c r="BR3194" s="76"/>
      <c r="BS3194" s="76"/>
      <c r="BT3194" s="76"/>
      <c r="BU3194" s="76"/>
      <c r="BV3194" s="76"/>
      <c r="BW3194" s="76"/>
      <c r="BX3194" s="76"/>
      <c r="BY3194" s="76"/>
      <c r="BZ3194" s="76"/>
      <c r="CA3194" s="76"/>
      <c r="CB3194" s="76"/>
      <c r="CC3194" s="76"/>
      <c r="CD3194" s="76"/>
      <c r="CE3194" s="76"/>
      <c r="CF3194" s="76">
        <f>+CE3194*28000</f>
        <v>0</v>
      </c>
      <c r="CG3194" s="76"/>
      <c r="CH3194" s="76">
        <f>+CG3194*22500</f>
        <v>0</v>
      </c>
      <c r="CI3194" s="76">
        <v>200</v>
      </c>
      <c r="CJ3194" s="76">
        <f>+CI3194*26000</f>
        <v>5200000</v>
      </c>
      <c r="CK3194" s="76"/>
      <c r="CL3194" s="76"/>
      <c r="CM3194" s="76"/>
      <c r="CN3194" s="76">
        <f>+CM3194*22000</f>
        <v>0</v>
      </c>
      <c r="CO3194" s="76"/>
      <c r="CP3194" s="76">
        <f>+CO3194*46000</f>
        <v>0</v>
      </c>
      <c r="CQ3194" s="76"/>
      <c r="CR3194" s="76">
        <f>+CQ3194*49000</f>
        <v>0</v>
      </c>
      <c r="CS3194" s="76"/>
      <c r="CT3194" s="76"/>
      <c r="CU3194" s="56">
        <f>AN3194+AP3194+AR3194+AT3194+AV3194+AX3194+AZ3194+BB3194+BD3194+BF3194+BH3194+BJ3194+BL3194+BN3194+BP3194+BR3194+BT3194+BV3194+BX3194+BZ3194+CB3194+CD3194+CF3194+CH3194+CJ3194+CL3194+CN3194+CP3194+CR3194+CT3194</f>
        <v>22000000</v>
      </c>
      <c r="CV3194" s="76"/>
      <c r="CW3194" s="76">
        <f>+CV3194*1100</f>
        <v>0</v>
      </c>
      <c r="CX3194" s="76">
        <v>76</v>
      </c>
      <c r="CY3194" s="76">
        <f>+CX3194*106250</f>
        <v>8075000</v>
      </c>
      <c r="CZ3194" s="76"/>
      <c r="DA3194" s="76">
        <f>+CZ3194*34500</f>
        <v>0</v>
      </c>
      <c r="DB3194" s="76">
        <v>500</v>
      </c>
      <c r="DC3194" s="76">
        <f>500*32000</f>
        <v>16000000</v>
      </c>
      <c r="DD3194" s="219"/>
      <c r="DE3194" s="219"/>
      <c r="DF3194" s="166"/>
      <c r="DG3194" s="116"/>
      <c r="DH3194" s="117"/>
      <c r="DI3194" s="24"/>
      <c r="DJ3194" s="24"/>
      <c r="DK3194" s="24"/>
      <c r="DL3194" s="24"/>
      <c r="DM3194" s="24"/>
      <c r="DN3194" s="24"/>
      <c r="DO3194" s="24"/>
      <c r="DP3194" s="24"/>
      <c r="DQ3194" s="24"/>
      <c r="DR3194" s="24"/>
      <c r="DS3194" s="24"/>
      <c r="DT3194" s="24"/>
      <c r="DU3194" s="24"/>
    </row>
    <row r="3195" spans="1:125" s="8" customFormat="1" ht="108" x14ac:dyDescent="0.2">
      <c r="A3195" s="77">
        <v>41544</v>
      </c>
      <c r="B3195" s="352" t="s">
        <v>2894</v>
      </c>
      <c r="C3195" s="354" t="s">
        <v>2415</v>
      </c>
      <c r="D3195" s="354" t="s">
        <v>3051</v>
      </c>
      <c r="E3195" s="296" t="str">
        <f>VLOOKUP(B3195&amp;C3195,Divipola!$C$2:$F$1138,4,FALSE)</f>
        <v>05172</v>
      </c>
      <c r="F3195" s="87"/>
      <c r="G3195" s="87"/>
      <c r="H3195" s="87"/>
      <c r="I3195" s="87">
        <v>250</v>
      </c>
      <c r="J3195" s="87">
        <v>50</v>
      </c>
      <c r="K3195" s="87"/>
      <c r="L3195" s="87">
        <v>50</v>
      </c>
      <c r="M3195" s="87"/>
      <c r="N3195" s="87"/>
      <c r="O3195" s="87"/>
      <c r="P3195" s="87"/>
      <c r="Q3195" s="87"/>
      <c r="R3195" s="87"/>
      <c r="S3195" s="87"/>
      <c r="T3195" s="87"/>
      <c r="U3195" s="88"/>
      <c r="V3195" s="89"/>
      <c r="W3195" s="96">
        <v>0</v>
      </c>
      <c r="X3195" s="71">
        <f>CU3195</f>
        <v>0</v>
      </c>
      <c r="Y3195" s="71">
        <f>CY3195</f>
        <v>0</v>
      </c>
      <c r="Z3195" s="71">
        <f>DA3195+DC3195+DE3195</f>
        <v>0</v>
      </c>
      <c r="AA3195" s="71">
        <f>CW3195</f>
        <v>0</v>
      </c>
      <c r="AB3195" s="71"/>
      <c r="AC3195" s="71">
        <v>0</v>
      </c>
      <c r="AD3195" s="71">
        <f>W3195+X3195+Y3195+Z3195+AA3195+AB3195+AC3195</f>
        <v>0</v>
      </c>
      <c r="AE3195" s="72">
        <v>0</v>
      </c>
      <c r="AF3195" s="5"/>
      <c r="AG3195" s="6"/>
      <c r="AH3195" s="27"/>
      <c r="AI3195" s="44"/>
      <c r="AJ3195" s="26"/>
      <c r="AK3195" s="5"/>
      <c r="AL3195" s="274" t="s">
        <v>6123</v>
      </c>
      <c r="AM3195" s="76"/>
      <c r="AN3195" s="76"/>
      <c r="AO3195" s="76"/>
      <c r="AP3195" s="76"/>
      <c r="AQ3195" s="76"/>
      <c r="AR3195" s="76"/>
      <c r="AS3195" s="76"/>
      <c r="AT3195" s="76"/>
      <c r="AU3195" s="76"/>
      <c r="AV3195" s="76"/>
      <c r="AW3195" s="76"/>
      <c r="AX3195" s="76">
        <f>+AW3195*600000</f>
        <v>0</v>
      </c>
      <c r="AY3195" s="76"/>
      <c r="AZ3195" s="76">
        <f>+AY3195*70000</f>
        <v>0</v>
      </c>
      <c r="BA3195" s="76"/>
      <c r="BB3195" s="76"/>
      <c r="BC3195" s="76"/>
      <c r="BD3195" s="76">
        <f>+BC3195*30000</f>
        <v>0</v>
      </c>
      <c r="BE3195" s="76"/>
      <c r="BF3195" s="76"/>
      <c r="BG3195" s="76"/>
      <c r="BH3195" s="76"/>
      <c r="BI3195" s="76"/>
      <c r="BJ3195" s="76"/>
      <c r="BK3195" s="76"/>
      <c r="BL3195" s="76">
        <f>+BK3195*31500</f>
        <v>0</v>
      </c>
      <c r="BM3195" s="76"/>
      <c r="BN3195" s="76"/>
      <c r="BO3195" s="76"/>
      <c r="BP3195" s="76"/>
      <c r="BQ3195" s="76"/>
      <c r="BR3195" s="76"/>
      <c r="BS3195" s="76"/>
      <c r="BT3195" s="76"/>
      <c r="BU3195" s="76"/>
      <c r="BV3195" s="76"/>
      <c r="BW3195" s="76"/>
      <c r="BX3195" s="76"/>
      <c r="BY3195" s="76"/>
      <c r="BZ3195" s="76"/>
      <c r="CA3195" s="76"/>
      <c r="CB3195" s="76"/>
      <c r="CC3195" s="76"/>
      <c r="CD3195" s="76"/>
      <c r="CE3195" s="76"/>
      <c r="CF3195" s="76">
        <f>+CE3195*28000</f>
        <v>0</v>
      </c>
      <c r="CG3195" s="76"/>
      <c r="CH3195" s="76">
        <f>+CG3195*22500</f>
        <v>0</v>
      </c>
      <c r="CI3195" s="76"/>
      <c r="CJ3195" s="76">
        <f>+CI3195*26000</f>
        <v>0</v>
      </c>
      <c r="CK3195" s="76"/>
      <c r="CL3195" s="76"/>
      <c r="CM3195" s="76"/>
      <c r="CN3195" s="76">
        <f>+CM3195*22000</f>
        <v>0</v>
      </c>
      <c r="CO3195" s="76"/>
      <c r="CP3195" s="76">
        <f>+CO3195*46000</f>
        <v>0</v>
      </c>
      <c r="CQ3195" s="76"/>
      <c r="CR3195" s="76">
        <f>+CQ3195*49000</f>
        <v>0</v>
      </c>
      <c r="CS3195" s="76"/>
      <c r="CT3195" s="76"/>
      <c r="CU3195" s="56">
        <f>AN3195+AP3195+AR3195+AT3195+AV3195+AX3195+AZ3195+BB3195+BD3195+BF3195+BH3195+BJ3195+BL3195+BN3195+BP3195+BR3195+BT3195+BV3195+BX3195+BZ3195+CB3195+CD3195+CF3195+CH3195+CJ3195+CL3195+CN3195+CP3195+CR3195+CT3195</f>
        <v>0</v>
      </c>
      <c r="CV3195" s="76"/>
      <c r="CW3195" s="76">
        <f>+CV3195*1100</f>
        <v>0</v>
      </c>
      <c r="CX3195" s="76"/>
      <c r="CY3195" s="76">
        <f>+CX3195*106250</f>
        <v>0</v>
      </c>
      <c r="CZ3195" s="76"/>
      <c r="DA3195" s="76">
        <f>+CZ3195*34500</f>
        <v>0</v>
      </c>
      <c r="DB3195" s="76"/>
      <c r="DC3195" s="76">
        <f>+DB3195*25000</f>
        <v>0</v>
      </c>
      <c r="DD3195" s="219"/>
      <c r="DE3195" s="219"/>
      <c r="DF3195" s="166"/>
      <c r="DG3195" s="116"/>
      <c r="DH3195" s="117"/>
      <c r="DI3195" s="24"/>
      <c r="DJ3195" s="24"/>
      <c r="DK3195" s="24"/>
      <c r="DL3195" s="24"/>
      <c r="DM3195" s="24"/>
      <c r="DN3195" s="24"/>
      <c r="DO3195" s="24"/>
      <c r="DP3195" s="24"/>
      <c r="DQ3195" s="24"/>
      <c r="DR3195" s="24"/>
      <c r="DS3195" s="24"/>
      <c r="DT3195" s="24"/>
      <c r="DU3195" s="24"/>
    </row>
    <row r="3196" spans="1:125" s="8" customFormat="1" ht="24" x14ac:dyDescent="0.2">
      <c r="A3196" s="77">
        <v>41544</v>
      </c>
      <c r="B3196" s="78" t="s">
        <v>2894</v>
      </c>
      <c r="C3196" s="295" t="s">
        <v>2406</v>
      </c>
      <c r="D3196" s="75" t="s">
        <v>2882</v>
      </c>
      <c r="E3196" s="296" t="str">
        <f>VLOOKUP(B3196&amp;C3196,Divipola!$C$2:$F$1138,4,FALSE)</f>
        <v>05148</v>
      </c>
      <c r="F3196" s="93"/>
      <c r="G3196" s="93"/>
      <c r="H3196" s="93"/>
      <c r="I3196" s="93">
        <v>20</v>
      </c>
      <c r="J3196" s="93">
        <v>4</v>
      </c>
      <c r="K3196" s="93"/>
      <c r="L3196" s="93">
        <v>4</v>
      </c>
      <c r="M3196" s="93"/>
      <c r="N3196" s="93"/>
      <c r="O3196" s="93"/>
      <c r="P3196" s="93"/>
      <c r="Q3196" s="93"/>
      <c r="R3196" s="93"/>
      <c r="S3196" s="93"/>
      <c r="T3196" s="93"/>
      <c r="U3196" s="93"/>
      <c r="V3196" s="89"/>
      <c r="W3196" s="96">
        <v>0</v>
      </c>
      <c r="X3196" s="71">
        <f>CU3196</f>
        <v>0</v>
      </c>
      <c r="Y3196" s="71">
        <f>CY3196</f>
        <v>0</v>
      </c>
      <c r="Z3196" s="71">
        <f>DA3196+DC3196+DE3196</f>
        <v>0</v>
      </c>
      <c r="AA3196" s="71">
        <f>CW3196</f>
        <v>0</v>
      </c>
      <c r="AB3196" s="71"/>
      <c r="AC3196" s="71">
        <v>0</v>
      </c>
      <c r="AD3196" s="71">
        <f>W3196+X3196+Y3196+Z3196+AA3196+AB3196+AC3196</f>
        <v>0</v>
      </c>
      <c r="AE3196" s="72">
        <v>0</v>
      </c>
      <c r="AF3196" s="5"/>
      <c r="AG3196" s="6"/>
      <c r="AH3196" s="27"/>
      <c r="AI3196" s="44"/>
      <c r="AJ3196" s="26"/>
      <c r="AK3196" s="5"/>
      <c r="AL3196" s="274" t="s">
        <v>6132</v>
      </c>
      <c r="AM3196" s="76"/>
      <c r="AN3196" s="76"/>
      <c r="AO3196" s="76"/>
      <c r="AP3196" s="76"/>
      <c r="AQ3196" s="76"/>
      <c r="AR3196" s="76"/>
      <c r="AS3196" s="76"/>
      <c r="AT3196" s="76"/>
      <c r="AU3196" s="76"/>
      <c r="AV3196" s="76"/>
      <c r="AW3196" s="76"/>
      <c r="AX3196" s="76">
        <f>+AW3196*600000</f>
        <v>0</v>
      </c>
      <c r="AY3196" s="76"/>
      <c r="AZ3196" s="76">
        <f>+AY3196*70000</f>
        <v>0</v>
      </c>
      <c r="BA3196" s="76"/>
      <c r="BB3196" s="76"/>
      <c r="BC3196" s="76"/>
      <c r="BD3196" s="76">
        <f>+BC3196*30000</f>
        <v>0</v>
      </c>
      <c r="BE3196" s="76"/>
      <c r="BF3196" s="76"/>
      <c r="BG3196" s="76"/>
      <c r="BH3196" s="76"/>
      <c r="BI3196" s="76"/>
      <c r="BJ3196" s="76"/>
      <c r="BK3196" s="76"/>
      <c r="BL3196" s="76">
        <f>+BK3196*31500</f>
        <v>0</v>
      </c>
      <c r="BM3196" s="76"/>
      <c r="BN3196" s="76"/>
      <c r="BO3196" s="76"/>
      <c r="BP3196" s="76"/>
      <c r="BQ3196" s="76"/>
      <c r="BR3196" s="76"/>
      <c r="BS3196" s="76"/>
      <c r="BT3196" s="76"/>
      <c r="BU3196" s="76"/>
      <c r="BV3196" s="76"/>
      <c r="BW3196" s="76"/>
      <c r="BX3196" s="76"/>
      <c r="BY3196" s="76"/>
      <c r="BZ3196" s="76"/>
      <c r="CA3196" s="76"/>
      <c r="CB3196" s="76"/>
      <c r="CC3196" s="76"/>
      <c r="CD3196" s="76"/>
      <c r="CE3196" s="76"/>
      <c r="CF3196" s="76">
        <f>+CE3196*28000</f>
        <v>0</v>
      </c>
      <c r="CG3196" s="76"/>
      <c r="CH3196" s="76">
        <f>+CG3196*22500</f>
        <v>0</v>
      </c>
      <c r="CI3196" s="76"/>
      <c r="CJ3196" s="76">
        <f>+CI3196*26000</f>
        <v>0</v>
      </c>
      <c r="CK3196" s="76"/>
      <c r="CL3196" s="76"/>
      <c r="CM3196" s="76"/>
      <c r="CN3196" s="76">
        <f>+CM3196*22000</f>
        <v>0</v>
      </c>
      <c r="CO3196" s="76"/>
      <c r="CP3196" s="76">
        <f>+CO3196*46000</f>
        <v>0</v>
      </c>
      <c r="CQ3196" s="76"/>
      <c r="CR3196" s="76">
        <f>+CQ3196*49000</f>
        <v>0</v>
      </c>
      <c r="CS3196" s="76"/>
      <c r="CT3196" s="76"/>
      <c r="CU3196" s="56">
        <f>AN3196+AP3196+AR3196+AT3196+AV3196+AX3196+AZ3196+BB3196+BD3196+BF3196+BH3196+BJ3196+BL3196+BN3196+BP3196+BR3196+BT3196+BV3196+BX3196+BZ3196+CB3196+CD3196+CF3196+CH3196+CJ3196+CL3196+CN3196+CP3196+CR3196+CT3196</f>
        <v>0</v>
      </c>
      <c r="CV3196" s="76"/>
      <c r="CW3196" s="76">
        <f>+CV3196*1100</f>
        <v>0</v>
      </c>
      <c r="CX3196" s="76"/>
      <c r="CY3196" s="76">
        <f>+CX3196*106250</f>
        <v>0</v>
      </c>
      <c r="CZ3196" s="76"/>
      <c r="DA3196" s="76">
        <f>+CZ3196*34500</f>
        <v>0</v>
      </c>
      <c r="DB3196" s="76"/>
      <c r="DC3196" s="76">
        <f>+DB3196*25000</f>
        <v>0</v>
      </c>
      <c r="DD3196" s="219"/>
      <c r="DE3196" s="219"/>
      <c r="DF3196" s="166"/>
      <c r="DG3196" s="116"/>
      <c r="DH3196" s="117"/>
      <c r="DI3196" s="24"/>
      <c r="DJ3196" s="24"/>
      <c r="DK3196" s="24"/>
      <c r="DL3196" s="24"/>
      <c r="DM3196" s="24"/>
      <c r="DN3196" s="24"/>
      <c r="DO3196" s="24"/>
      <c r="DP3196" s="24"/>
      <c r="DQ3196" s="24"/>
      <c r="DR3196" s="24"/>
      <c r="DS3196" s="24"/>
      <c r="DT3196" s="24"/>
      <c r="DU3196" s="24"/>
    </row>
    <row r="3197" spans="1:125" s="8" customFormat="1" ht="36" x14ac:dyDescent="0.2">
      <c r="A3197" s="77">
        <v>41544</v>
      </c>
      <c r="B3197" s="78" t="s">
        <v>529</v>
      </c>
      <c r="C3197" s="78" t="s">
        <v>529</v>
      </c>
      <c r="D3197" s="75" t="s">
        <v>2846</v>
      </c>
      <c r="E3197" s="296" t="str">
        <f>VLOOKUP(B3197&amp;C3197,Divipola!$C$2:$F$1138,4,FALSE)</f>
        <v>11001</v>
      </c>
      <c r="F3197" s="87"/>
      <c r="G3197" s="87"/>
      <c r="H3197" s="87"/>
      <c r="I3197" s="87"/>
      <c r="J3197" s="87"/>
      <c r="K3197" s="87"/>
      <c r="L3197" s="87"/>
      <c r="M3197" s="87"/>
      <c r="N3197" s="87"/>
      <c r="O3197" s="87"/>
      <c r="P3197" s="87"/>
      <c r="Q3197" s="87"/>
      <c r="R3197" s="87"/>
      <c r="S3197" s="87"/>
      <c r="T3197" s="87"/>
      <c r="U3197" s="88"/>
      <c r="V3197" s="89"/>
      <c r="W3197" s="96">
        <v>0</v>
      </c>
      <c r="X3197" s="71">
        <f>CU3197</f>
        <v>0</v>
      </c>
      <c r="Y3197" s="71">
        <f>CY3197</f>
        <v>0</v>
      </c>
      <c r="Z3197" s="71">
        <f>DA3197+DC3197+DE3197</f>
        <v>0</v>
      </c>
      <c r="AA3197" s="71">
        <f>CW3197</f>
        <v>0</v>
      </c>
      <c r="AB3197" s="71"/>
      <c r="AC3197" s="71">
        <v>0</v>
      </c>
      <c r="AD3197" s="71">
        <f>W3197+X3197+Y3197+Z3197+AA3197+AB3197+AC3197</f>
        <v>0</v>
      </c>
      <c r="AE3197" s="72">
        <v>0</v>
      </c>
      <c r="AF3197" s="5"/>
      <c r="AG3197" s="6"/>
      <c r="AH3197" s="27"/>
      <c r="AI3197" s="44"/>
      <c r="AJ3197" s="26"/>
      <c r="AK3197" s="5"/>
      <c r="AL3197" s="274" t="s">
        <v>6130</v>
      </c>
      <c r="AM3197" s="76"/>
      <c r="AN3197" s="76"/>
      <c r="AO3197" s="76"/>
      <c r="AP3197" s="76"/>
      <c r="AQ3197" s="76"/>
      <c r="AR3197" s="76"/>
      <c r="AS3197" s="76"/>
      <c r="AT3197" s="76"/>
      <c r="AU3197" s="76"/>
      <c r="AV3197" s="76"/>
      <c r="AW3197" s="76"/>
      <c r="AX3197" s="76">
        <f>+AW3197*600000</f>
        <v>0</v>
      </c>
      <c r="AY3197" s="76"/>
      <c r="AZ3197" s="76">
        <f>+AY3197*70000</f>
        <v>0</v>
      </c>
      <c r="BA3197" s="76"/>
      <c r="BB3197" s="76"/>
      <c r="BC3197" s="76"/>
      <c r="BD3197" s="76">
        <f>+BC3197*30000</f>
        <v>0</v>
      </c>
      <c r="BE3197" s="76"/>
      <c r="BF3197" s="76"/>
      <c r="BG3197" s="76"/>
      <c r="BH3197" s="76"/>
      <c r="BI3197" s="76"/>
      <c r="BJ3197" s="76"/>
      <c r="BK3197" s="76"/>
      <c r="BL3197" s="76">
        <f>+BK3197*31500</f>
        <v>0</v>
      </c>
      <c r="BM3197" s="76"/>
      <c r="BN3197" s="76"/>
      <c r="BO3197" s="76"/>
      <c r="BP3197" s="76"/>
      <c r="BQ3197" s="76"/>
      <c r="BR3197" s="76"/>
      <c r="BS3197" s="76"/>
      <c r="BT3197" s="76"/>
      <c r="BU3197" s="76"/>
      <c r="BV3197" s="76"/>
      <c r="BW3197" s="76"/>
      <c r="BX3197" s="76"/>
      <c r="BY3197" s="76"/>
      <c r="BZ3197" s="76"/>
      <c r="CA3197" s="76"/>
      <c r="CB3197" s="76"/>
      <c r="CC3197" s="76"/>
      <c r="CD3197" s="76"/>
      <c r="CE3197" s="76"/>
      <c r="CF3197" s="76">
        <f>+CE3197*28000</f>
        <v>0</v>
      </c>
      <c r="CG3197" s="76"/>
      <c r="CH3197" s="76">
        <f>+CG3197*22500</f>
        <v>0</v>
      </c>
      <c r="CI3197" s="76"/>
      <c r="CJ3197" s="76">
        <f>+CI3197*26000</f>
        <v>0</v>
      </c>
      <c r="CK3197" s="76"/>
      <c r="CL3197" s="76"/>
      <c r="CM3197" s="76"/>
      <c r="CN3197" s="76">
        <f>+CM3197*22000</f>
        <v>0</v>
      </c>
      <c r="CO3197" s="76"/>
      <c r="CP3197" s="76">
        <f>+CO3197*46000</f>
        <v>0</v>
      </c>
      <c r="CQ3197" s="76"/>
      <c r="CR3197" s="76">
        <f>+CQ3197*49000</f>
        <v>0</v>
      </c>
      <c r="CS3197" s="76"/>
      <c r="CT3197" s="76"/>
      <c r="CU3197" s="56">
        <f>AN3197+AP3197+AR3197+AT3197+AV3197+AX3197+AZ3197+BB3197+BD3197+BF3197+BH3197+BJ3197+BL3197+BN3197+BP3197+BR3197+BT3197+BV3197+BX3197+BZ3197+CB3197+CD3197+CF3197+CH3197+CJ3197+CL3197+CN3197+CP3197+CR3197+CT3197</f>
        <v>0</v>
      </c>
      <c r="CV3197" s="76"/>
      <c r="CW3197" s="76">
        <f>+CV3197*1100</f>
        <v>0</v>
      </c>
      <c r="CX3197" s="76"/>
      <c r="CY3197" s="76">
        <f>+CX3197*106250</f>
        <v>0</v>
      </c>
      <c r="CZ3197" s="76"/>
      <c r="DA3197" s="76">
        <f>+CZ3197*34500</f>
        <v>0</v>
      </c>
      <c r="DB3197" s="76"/>
      <c r="DC3197" s="76">
        <f>+DB3197*25000</f>
        <v>0</v>
      </c>
      <c r="DD3197" s="219"/>
      <c r="DE3197" s="219"/>
      <c r="DF3197" s="166"/>
      <c r="DG3197" s="116"/>
      <c r="DH3197" s="117"/>
      <c r="DI3197" s="24"/>
      <c r="DJ3197" s="24"/>
      <c r="DK3197" s="24"/>
      <c r="DL3197" s="24"/>
      <c r="DM3197" s="24"/>
      <c r="DN3197" s="24"/>
      <c r="DO3197" s="24"/>
      <c r="DP3197" s="24"/>
      <c r="DQ3197" s="24"/>
      <c r="DR3197" s="24"/>
      <c r="DS3197" s="24"/>
      <c r="DT3197" s="24"/>
      <c r="DU3197" s="24"/>
    </row>
    <row r="3198" spans="1:125" s="8" customFormat="1" ht="36" x14ac:dyDescent="0.2">
      <c r="A3198" s="77">
        <v>41544</v>
      </c>
      <c r="B3198" s="352" t="s">
        <v>2700</v>
      </c>
      <c r="C3198" s="354" t="s">
        <v>9</v>
      </c>
      <c r="D3198" s="354" t="s">
        <v>2846</v>
      </c>
      <c r="E3198" s="296" t="str">
        <f>VLOOKUP(B3198&amp;C3198,Divipola!$C$2:$F$1138,4,FALSE)</f>
        <v>15097</v>
      </c>
      <c r="F3198" s="87"/>
      <c r="G3198" s="87"/>
      <c r="H3198" s="87"/>
      <c r="I3198" s="87"/>
      <c r="J3198" s="87"/>
      <c r="K3198" s="87"/>
      <c r="L3198" s="87"/>
      <c r="M3198" s="87"/>
      <c r="N3198" s="87"/>
      <c r="O3198" s="87"/>
      <c r="P3198" s="87"/>
      <c r="Q3198" s="87"/>
      <c r="R3198" s="87"/>
      <c r="S3198" s="87"/>
      <c r="T3198" s="87"/>
      <c r="U3198" s="88">
        <v>5</v>
      </c>
      <c r="V3198" s="89"/>
      <c r="W3198" s="96">
        <v>0</v>
      </c>
      <c r="X3198" s="71">
        <f>CU3198</f>
        <v>0</v>
      </c>
      <c r="Y3198" s="71">
        <f>CY3198</f>
        <v>0</v>
      </c>
      <c r="Z3198" s="71">
        <f>DA3198+DC3198+DE3198</f>
        <v>0</v>
      </c>
      <c r="AA3198" s="71">
        <f>CW3198</f>
        <v>0</v>
      </c>
      <c r="AB3198" s="71"/>
      <c r="AC3198" s="71">
        <v>0</v>
      </c>
      <c r="AD3198" s="71">
        <f>W3198+X3198+Y3198+Z3198+AA3198+AB3198+AC3198</f>
        <v>0</v>
      </c>
      <c r="AE3198" s="72">
        <v>0</v>
      </c>
      <c r="AF3198" s="5"/>
      <c r="AG3198" s="6"/>
      <c r="AH3198" s="27"/>
      <c r="AI3198" s="44"/>
      <c r="AJ3198" s="26"/>
      <c r="AK3198" s="5"/>
      <c r="AL3198" s="274" t="s">
        <v>6145</v>
      </c>
      <c r="AM3198" s="76"/>
      <c r="AN3198" s="76"/>
      <c r="AO3198" s="76"/>
      <c r="AP3198" s="76"/>
      <c r="AQ3198" s="76"/>
      <c r="AR3198" s="76"/>
      <c r="AS3198" s="76"/>
      <c r="AT3198" s="76"/>
      <c r="AU3198" s="76"/>
      <c r="AV3198" s="76"/>
      <c r="AW3198" s="76"/>
      <c r="AX3198" s="76">
        <f>+AW3198*600000</f>
        <v>0</v>
      </c>
      <c r="AY3198" s="76"/>
      <c r="AZ3198" s="76">
        <f>+AY3198*70000</f>
        <v>0</v>
      </c>
      <c r="BA3198" s="76"/>
      <c r="BB3198" s="76"/>
      <c r="BC3198" s="76"/>
      <c r="BD3198" s="76">
        <f>+BC3198*30000</f>
        <v>0</v>
      </c>
      <c r="BE3198" s="76"/>
      <c r="BF3198" s="76"/>
      <c r="BG3198" s="76"/>
      <c r="BH3198" s="76"/>
      <c r="BI3198" s="76"/>
      <c r="BJ3198" s="76"/>
      <c r="BK3198" s="76"/>
      <c r="BL3198" s="76">
        <f>+BK3198*31500</f>
        <v>0</v>
      </c>
      <c r="BM3198" s="76"/>
      <c r="BN3198" s="76"/>
      <c r="BO3198" s="76"/>
      <c r="BP3198" s="76"/>
      <c r="BQ3198" s="76"/>
      <c r="BR3198" s="76"/>
      <c r="BS3198" s="76"/>
      <c r="BT3198" s="76"/>
      <c r="BU3198" s="76"/>
      <c r="BV3198" s="76"/>
      <c r="BW3198" s="76"/>
      <c r="BX3198" s="76"/>
      <c r="BY3198" s="76"/>
      <c r="BZ3198" s="76"/>
      <c r="CA3198" s="76"/>
      <c r="CB3198" s="76"/>
      <c r="CC3198" s="76"/>
      <c r="CD3198" s="76"/>
      <c r="CE3198" s="76"/>
      <c r="CF3198" s="76">
        <f>+CE3198*28000</f>
        <v>0</v>
      </c>
      <c r="CG3198" s="76"/>
      <c r="CH3198" s="76">
        <f>+CG3198*22500</f>
        <v>0</v>
      </c>
      <c r="CI3198" s="76"/>
      <c r="CJ3198" s="76">
        <f>+CI3198*26000</f>
        <v>0</v>
      </c>
      <c r="CK3198" s="76"/>
      <c r="CL3198" s="76"/>
      <c r="CM3198" s="76"/>
      <c r="CN3198" s="76">
        <f>+CM3198*22000</f>
        <v>0</v>
      </c>
      <c r="CO3198" s="76"/>
      <c r="CP3198" s="76">
        <f>+CO3198*46000</f>
        <v>0</v>
      </c>
      <c r="CQ3198" s="76"/>
      <c r="CR3198" s="76">
        <f>+CQ3198*49000</f>
        <v>0</v>
      </c>
      <c r="CS3198" s="76"/>
      <c r="CT3198" s="76"/>
      <c r="CU3198" s="56">
        <f>AN3198+AP3198+AR3198+AT3198+AV3198+AX3198+AZ3198+BB3198+BD3198+BF3198+BH3198+BJ3198+BL3198+BN3198+BP3198+BR3198+BT3198+BV3198+BX3198+BZ3198+CB3198+CD3198+CF3198+CH3198+CJ3198+CL3198+CN3198+CP3198+CR3198+CT3198</f>
        <v>0</v>
      </c>
      <c r="CV3198" s="76"/>
      <c r="CW3198" s="76">
        <f>+CV3198*1100</f>
        <v>0</v>
      </c>
      <c r="CX3198" s="76"/>
      <c r="CY3198" s="76">
        <f>+CX3198*106250</f>
        <v>0</v>
      </c>
      <c r="CZ3198" s="76"/>
      <c r="DA3198" s="76">
        <f>+CZ3198*34500</f>
        <v>0</v>
      </c>
      <c r="DB3198" s="76"/>
      <c r="DC3198" s="76">
        <f>+DB3198*25000</f>
        <v>0</v>
      </c>
      <c r="DD3198" s="219"/>
      <c r="DE3198" s="219"/>
      <c r="DF3198" s="166"/>
      <c r="DG3198" s="116"/>
      <c r="DH3198" s="117"/>
      <c r="DI3198" s="24"/>
      <c r="DJ3198" s="24"/>
      <c r="DK3198" s="24"/>
      <c r="DL3198" s="24"/>
      <c r="DM3198" s="24"/>
      <c r="DN3198" s="24"/>
      <c r="DO3198" s="24"/>
      <c r="DP3198" s="24"/>
      <c r="DQ3198" s="24"/>
      <c r="DR3198" s="24"/>
      <c r="DS3198" s="24"/>
      <c r="DT3198" s="24"/>
      <c r="DU3198" s="24"/>
    </row>
    <row r="3199" spans="1:125" s="8" customFormat="1" ht="36" x14ac:dyDescent="0.2">
      <c r="A3199" s="77">
        <v>41544</v>
      </c>
      <c r="B3199" s="352" t="s">
        <v>2087</v>
      </c>
      <c r="C3199" s="354" t="s">
        <v>801</v>
      </c>
      <c r="D3199" s="354" t="s">
        <v>3504</v>
      </c>
      <c r="E3199" s="296" t="str">
        <f>VLOOKUP(B3199&amp;C3199,Divipola!$C$2:$F$1138,4,FALSE)</f>
        <v>18410</v>
      </c>
      <c r="F3199" s="87">
        <v>1</v>
      </c>
      <c r="G3199" s="87"/>
      <c r="H3199" s="87"/>
      <c r="I3199" s="87"/>
      <c r="J3199" s="87"/>
      <c r="K3199" s="87"/>
      <c r="L3199" s="87"/>
      <c r="M3199" s="87"/>
      <c r="N3199" s="87"/>
      <c r="O3199" s="87"/>
      <c r="P3199" s="87"/>
      <c r="Q3199" s="87"/>
      <c r="R3199" s="87"/>
      <c r="S3199" s="87"/>
      <c r="T3199" s="87"/>
      <c r="U3199" s="88"/>
      <c r="V3199" s="89"/>
      <c r="W3199" s="96">
        <v>0</v>
      </c>
      <c r="X3199" s="71">
        <f>CU3199</f>
        <v>0</v>
      </c>
      <c r="Y3199" s="71">
        <f>CY3199</f>
        <v>0</v>
      </c>
      <c r="Z3199" s="71">
        <f>DA3199+DC3199+DE3199</f>
        <v>0</v>
      </c>
      <c r="AA3199" s="71">
        <f>CW3199</f>
        <v>0</v>
      </c>
      <c r="AB3199" s="71"/>
      <c r="AC3199" s="71">
        <v>0</v>
      </c>
      <c r="AD3199" s="71">
        <f>W3199+X3199+Y3199+Z3199+AA3199+AB3199+AC3199</f>
        <v>0</v>
      </c>
      <c r="AE3199" s="72">
        <v>0</v>
      </c>
      <c r="AF3199" s="5"/>
      <c r="AG3199" s="6"/>
      <c r="AH3199" s="27"/>
      <c r="AI3199" s="44"/>
      <c r="AJ3199" s="26"/>
      <c r="AK3199" s="5"/>
      <c r="AL3199" s="274" t="s">
        <v>6131</v>
      </c>
      <c r="AM3199" s="76"/>
      <c r="AN3199" s="76"/>
      <c r="AO3199" s="76"/>
      <c r="AP3199" s="76"/>
      <c r="AQ3199" s="76"/>
      <c r="AR3199" s="76"/>
      <c r="AS3199" s="76"/>
      <c r="AT3199" s="76"/>
      <c r="AU3199" s="76"/>
      <c r="AV3199" s="76"/>
      <c r="AW3199" s="76"/>
      <c r="AX3199" s="76">
        <f>+AW3199*600000</f>
        <v>0</v>
      </c>
      <c r="AY3199" s="76"/>
      <c r="AZ3199" s="76">
        <f>+AY3199*70000</f>
        <v>0</v>
      </c>
      <c r="BA3199" s="76"/>
      <c r="BB3199" s="76"/>
      <c r="BC3199" s="76"/>
      <c r="BD3199" s="76">
        <f>+BC3199*30000</f>
        <v>0</v>
      </c>
      <c r="BE3199" s="76"/>
      <c r="BF3199" s="76"/>
      <c r="BG3199" s="76"/>
      <c r="BH3199" s="76"/>
      <c r="BI3199" s="76"/>
      <c r="BJ3199" s="76"/>
      <c r="BK3199" s="76"/>
      <c r="BL3199" s="76">
        <f>+BK3199*31500</f>
        <v>0</v>
      </c>
      <c r="BM3199" s="76"/>
      <c r="BN3199" s="76"/>
      <c r="BO3199" s="76"/>
      <c r="BP3199" s="76"/>
      <c r="BQ3199" s="76"/>
      <c r="BR3199" s="76"/>
      <c r="BS3199" s="76"/>
      <c r="BT3199" s="76"/>
      <c r="BU3199" s="76"/>
      <c r="BV3199" s="76"/>
      <c r="BW3199" s="76"/>
      <c r="BX3199" s="76"/>
      <c r="BY3199" s="76"/>
      <c r="BZ3199" s="76"/>
      <c r="CA3199" s="76"/>
      <c r="CB3199" s="76"/>
      <c r="CC3199" s="76"/>
      <c r="CD3199" s="76"/>
      <c r="CE3199" s="76"/>
      <c r="CF3199" s="76">
        <f>+CE3199*28000</f>
        <v>0</v>
      </c>
      <c r="CG3199" s="76"/>
      <c r="CH3199" s="76">
        <f>+CG3199*22500</f>
        <v>0</v>
      </c>
      <c r="CI3199" s="76"/>
      <c r="CJ3199" s="76">
        <f>+CI3199*26000</f>
        <v>0</v>
      </c>
      <c r="CK3199" s="76"/>
      <c r="CL3199" s="76"/>
      <c r="CM3199" s="76"/>
      <c r="CN3199" s="76">
        <f>+CM3199*22000</f>
        <v>0</v>
      </c>
      <c r="CO3199" s="76"/>
      <c r="CP3199" s="76">
        <f>+CO3199*46000</f>
        <v>0</v>
      </c>
      <c r="CQ3199" s="76"/>
      <c r="CR3199" s="76">
        <f>+CQ3199*49000</f>
        <v>0</v>
      </c>
      <c r="CS3199" s="76"/>
      <c r="CT3199" s="76"/>
      <c r="CU3199" s="56">
        <f>AN3199+AP3199+AR3199+AT3199+AV3199+AX3199+AZ3199+BB3199+BD3199+BF3199+BH3199+BJ3199+BL3199+BN3199+BP3199+BR3199+BT3199+BV3199+BX3199+BZ3199+CB3199+CD3199+CF3199+CH3199+CJ3199+CL3199+CN3199+CP3199+CR3199+CT3199</f>
        <v>0</v>
      </c>
      <c r="CV3199" s="76"/>
      <c r="CW3199" s="76">
        <f>+CV3199*1100</f>
        <v>0</v>
      </c>
      <c r="CX3199" s="76"/>
      <c r="CY3199" s="76">
        <f>+CX3199*106250</f>
        <v>0</v>
      </c>
      <c r="CZ3199" s="76"/>
      <c r="DA3199" s="76">
        <f>+CZ3199*34500</f>
        <v>0</v>
      </c>
      <c r="DB3199" s="76"/>
      <c r="DC3199" s="76">
        <f>+DB3199*25000</f>
        <v>0</v>
      </c>
      <c r="DD3199" s="219"/>
      <c r="DE3199" s="219"/>
      <c r="DF3199" s="166"/>
      <c r="DG3199" s="116"/>
      <c r="DH3199" s="117"/>
      <c r="DI3199" s="24"/>
      <c r="DJ3199" s="24"/>
      <c r="DK3199" s="24"/>
      <c r="DL3199" s="24"/>
      <c r="DM3199" s="24"/>
      <c r="DN3199" s="24"/>
      <c r="DO3199" s="24"/>
      <c r="DP3199" s="24"/>
      <c r="DQ3199" s="24"/>
      <c r="DR3199" s="24"/>
      <c r="DS3199" s="24"/>
      <c r="DT3199" s="24"/>
      <c r="DU3199" s="24"/>
    </row>
    <row r="3200" spans="1:125" s="8" customFormat="1" ht="204" x14ac:dyDescent="0.2">
      <c r="A3200" s="77">
        <v>41544</v>
      </c>
      <c r="B3200" s="352" t="s">
        <v>2778</v>
      </c>
      <c r="C3200" s="354" t="s">
        <v>1344</v>
      </c>
      <c r="D3200" s="354" t="s">
        <v>3051</v>
      </c>
      <c r="E3200" s="296" t="str">
        <f>VLOOKUP(B3200&amp;C3200,Divipola!$C$2:$F$1138,4,FALSE)</f>
        <v>85001</v>
      </c>
      <c r="F3200" s="87"/>
      <c r="G3200" s="87"/>
      <c r="H3200" s="87"/>
      <c r="I3200" s="87"/>
      <c r="J3200" s="87"/>
      <c r="K3200" s="87"/>
      <c r="L3200" s="87"/>
      <c r="M3200" s="87"/>
      <c r="N3200" s="87"/>
      <c r="O3200" s="87"/>
      <c r="P3200" s="87"/>
      <c r="Q3200" s="87"/>
      <c r="R3200" s="87"/>
      <c r="S3200" s="87">
        <v>1</v>
      </c>
      <c r="T3200" s="87"/>
      <c r="U3200" s="88"/>
      <c r="V3200" s="89"/>
      <c r="W3200" s="96">
        <v>0</v>
      </c>
      <c r="X3200" s="71">
        <f>CU3200</f>
        <v>0</v>
      </c>
      <c r="Y3200" s="71">
        <f>CY3200</f>
        <v>0</v>
      </c>
      <c r="Z3200" s="71">
        <f>DA3200+DC3200+DE3200</f>
        <v>0</v>
      </c>
      <c r="AA3200" s="71">
        <f>CW3200</f>
        <v>0</v>
      </c>
      <c r="AB3200" s="71"/>
      <c r="AC3200" s="71">
        <v>0</v>
      </c>
      <c r="AD3200" s="71">
        <f>W3200+X3200+Y3200+Z3200+AA3200+AB3200+AC3200</f>
        <v>0</v>
      </c>
      <c r="AE3200" s="72">
        <v>0</v>
      </c>
      <c r="AF3200" s="5"/>
      <c r="AG3200" s="6"/>
      <c r="AH3200" s="27"/>
      <c r="AI3200" s="44"/>
      <c r="AJ3200" s="26"/>
      <c r="AK3200" s="5"/>
      <c r="AL3200" s="274" t="s">
        <v>6127</v>
      </c>
      <c r="AM3200" s="76"/>
      <c r="AN3200" s="76"/>
      <c r="AO3200" s="76"/>
      <c r="AP3200" s="76"/>
      <c r="AQ3200" s="76"/>
      <c r="AR3200" s="76"/>
      <c r="AS3200" s="76"/>
      <c r="AT3200" s="76"/>
      <c r="AU3200" s="76"/>
      <c r="AV3200" s="76"/>
      <c r="AW3200" s="76"/>
      <c r="AX3200" s="76">
        <f>+AW3200*600000</f>
        <v>0</v>
      </c>
      <c r="AY3200" s="76"/>
      <c r="AZ3200" s="76">
        <f>+AY3200*70000</f>
        <v>0</v>
      </c>
      <c r="BA3200" s="76"/>
      <c r="BB3200" s="76"/>
      <c r="BC3200" s="76"/>
      <c r="BD3200" s="76">
        <f>+BC3200*30000</f>
        <v>0</v>
      </c>
      <c r="BE3200" s="76"/>
      <c r="BF3200" s="76"/>
      <c r="BG3200" s="76"/>
      <c r="BH3200" s="76"/>
      <c r="BI3200" s="76"/>
      <c r="BJ3200" s="76"/>
      <c r="BK3200" s="76"/>
      <c r="BL3200" s="76">
        <f>+BK3200*31500</f>
        <v>0</v>
      </c>
      <c r="BM3200" s="76"/>
      <c r="BN3200" s="76"/>
      <c r="BO3200" s="76"/>
      <c r="BP3200" s="76"/>
      <c r="BQ3200" s="76"/>
      <c r="BR3200" s="76"/>
      <c r="BS3200" s="76"/>
      <c r="BT3200" s="76"/>
      <c r="BU3200" s="76"/>
      <c r="BV3200" s="76"/>
      <c r="BW3200" s="76"/>
      <c r="BX3200" s="76"/>
      <c r="BY3200" s="76"/>
      <c r="BZ3200" s="76"/>
      <c r="CA3200" s="76"/>
      <c r="CB3200" s="76"/>
      <c r="CC3200" s="76"/>
      <c r="CD3200" s="76"/>
      <c r="CE3200" s="76"/>
      <c r="CF3200" s="76">
        <f>+CE3200*28000</f>
        <v>0</v>
      </c>
      <c r="CG3200" s="76"/>
      <c r="CH3200" s="76">
        <f>+CG3200*22500</f>
        <v>0</v>
      </c>
      <c r="CI3200" s="76"/>
      <c r="CJ3200" s="76">
        <f>+CI3200*26000</f>
        <v>0</v>
      </c>
      <c r="CK3200" s="76"/>
      <c r="CL3200" s="76"/>
      <c r="CM3200" s="76"/>
      <c r="CN3200" s="76">
        <f>+CM3200*22000</f>
        <v>0</v>
      </c>
      <c r="CO3200" s="76"/>
      <c r="CP3200" s="76">
        <f>+CO3200*46000</f>
        <v>0</v>
      </c>
      <c r="CQ3200" s="76"/>
      <c r="CR3200" s="76">
        <f>+CQ3200*49000</f>
        <v>0</v>
      </c>
      <c r="CS3200" s="76"/>
      <c r="CT3200" s="76"/>
      <c r="CU3200" s="56">
        <f>AN3200+AP3200+AR3200+AT3200+AV3200+AX3200+AZ3200+BB3200+BD3200+BF3200+BH3200+BJ3200+BL3200+BN3200+BP3200+BR3200+BT3200+BV3200+BX3200+BZ3200+CB3200+CD3200+CF3200+CH3200+CJ3200+CL3200+CN3200+CP3200+CR3200+CT3200</f>
        <v>0</v>
      </c>
      <c r="CV3200" s="76"/>
      <c r="CW3200" s="76">
        <f>+CV3200*1100</f>
        <v>0</v>
      </c>
      <c r="CX3200" s="76"/>
      <c r="CY3200" s="76">
        <f>+CX3200*106250</f>
        <v>0</v>
      </c>
      <c r="CZ3200" s="76"/>
      <c r="DA3200" s="76">
        <f>+CZ3200*34500</f>
        <v>0</v>
      </c>
      <c r="DB3200" s="76"/>
      <c r="DC3200" s="76">
        <f>+DB3200*25000</f>
        <v>0</v>
      </c>
      <c r="DD3200" s="219"/>
      <c r="DE3200" s="219"/>
      <c r="DF3200" s="166"/>
      <c r="DG3200" s="116"/>
      <c r="DH3200" s="117"/>
      <c r="DI3200" s="24"/>
      <c r="DJ3200" s="24"/>
      <c r="DK3200" s="24"/>
      <c r="DL3200" s="24"/>
      <c r="DM3200" s="24"/>
      <c r="DN3200" s="24"/>
      <c r="DO3200" s="24"/>
      <c r="DP3200" s="24"/>
      <c r="DQ3200" s="24"/>
      <c r="DR3200" s="24"/>
      <c r="DS3200" s="24"/>
      <c r="DT3200" s="24"/>
      <c r="DU3200" s="24"/>
    </row>
    <row r="3201" spans="1:125" s="8" customFormat="1" ht="108" x14ac:dyDescent="0.2">
      <c r="A3201" s="228">
        <v>41544</v>
      </c>
      <c r="B3201" s="249" t="s">
        <v>2854</v>
      </c>
      <c r="C3201" s="231" t="s">
        <v>2093</v>
      </c>
      <c r="D3201" s="231" t="s">
        <v>2882</v>
      </c>
      <c r="E3201" s="75" t="str">
        <f>VLOOKUP(B3201&amp;C3201,Divipola!$C$2:$F$1138,4,FALSE)</f>
        <v>19455</v>
      </c>
      <c r="F3201" s="87"/>
      <c r="G3201" s="87"/>
      <c r="H3201" s="87"/>
      <c r="I3201" s="87">
        <v>1135</v>
      </c>
      <c r="J3201" s="87">
        <v>227</v>
      </c>
      <c r="K3201" s="87"/>
      <c r="L3201" s="87">
        <v>227</v>
      </c>
      <c r="M3201" s="87">
        <v>3</v>
      </c>
      <c r="N3201" s="87"/>
      <c r="O3201" s="87"/>
      <c r="P3201" s="87"/>
      <c r="Q3201" s="87"/>
      <c r="R3201" s="87"/>
      <c r="S3201" s="87"/>
      <c r="T3201" s="87">
        <v>1</v>
      </c>
      <c r="U3201" s="88"/>
      <c r="V3201" s="89" t="s">
        <v>6192</v>
      </c>
      <c r="W3201" s="96">
        <v>0</v>
      </c>
      <c r="X3201" s="71">
        <f>CU3201</f>
        <v>26332000</v>
      </c>
      <c r="Y3201" s="71">
        <f>CY3201</f>
        <v>24118750</v>
      </c>
      <c r="Z3201" s="71">
        <f>DA3201+DC3201+DE3201</f>
        <v>72450000</v>
      </c>
      <c r="AA3201" s="71">
        <f>CW3201</f>
        <v>0</v>
      </c>
      <c r="AB3201" s="71"/>
      <c r="AC3201" s="71">
        <v>0</v>
      </c>
      <c r="AD3201" s="71">
        <f>W3201+X3201+Y3201+Z3201+AA3201+AB3201+AC3201</f>
        <v>122900750</v>
      </c>
      <c r="AE3201" s="72">
        <v>0</v>
      </c>
      <c r="AF3201" s="5"/>
      <c r="AG3201" s="6"/>
      <c r="AH3201" s="27"/>
      <c r="AI3201" s="44"/>
      <c r="AJ3201" s="26"/>
      <c r="AK3201" s="5"/>
      <c r="AL3201" s="278" t="s">
        <v>6197</v>
      </c>
      <c r="AM3201" s="76"/>
      <c r="AN3201" s="76"/>
      <c r="AO3201" s="76"/>
      <c r="AP3201" s="76"/>
      <c r="AQ3201" s="76"/>
      <c r="AR3201" s="76"/>
      <c r="AS3201" s="76"/>
      <c r="AT3201" s="76"/>
      <c r="AU3201" s="76"/>
      <c r="AV3201" s="76"/>
      <c r="AW3201" s="76"/>
      <c r="AX3201" s="76">
        <f>+AW3201*600000</f>
        <v>0</v>
      </c>
      <c r="AY3201" s="76">
        <v>227</v>
      </c>
      <c r="AZ3201" s="76">
        <f>+AY3201*70000</f>
        <v>15890000</v>
      </c>
      <c r="BA3201" s="76"/>
      <c r="BB3201" s="76"/>
      <c r="BC3201" s="76"/>
      <c r="BD3201" s="76">
        <f>+BC3201*30000</f>
        <v>0</v>
      </c>
      <c r="BE3201" s="76"/>
      <c r="BF3201" s="76"/>
      <c r="BG3201" s="76"/>
      <c r="BH3201" s="76"/>
      <c r="BI3201" s="76"/>
      <c r="BJ3201" s="76"/>
      <c r="BK3201" s="76"/>
      <c r="BL3201" s="76">
        <f>+BK3201*31500</f>
        <v>0</v>
      </c>
      <c r="BM3201" s="76"/>
      <c r="BN3201" s="76"/>
      <c r="BO3201" s="76"/>
      <c r="BP3201" s="76"/>
      <c r="BQ3201" s="76"/>
      <c r="BR3201" s="76"/>
      <c r="BS3201" s="76"/>
      <c r="BT3201" s="76"/>
      <c r="BU3201" s="76"/>
      <c r="BV3201" s="76"/>
      <c r="BW3201" s="76"/>
      <c r="BX3201" s="76"/>
      <c r="BY3201" s="76"/>
      <c r="BZ3201" s="76"/>
      <c r="CA3201" s="76"/>
      <c r="CB3201" s="76"/>
      <c r="CC3201" s="76"/>
      <c r="CD3201" s="76"/>
      <c r="CE3201" s="76"/>
      <c r="CF3201" s="76">
        <f>+CE3201*28000</f>
        <v>0</v>
      </c>
      <c r="CG3201" s="76"/>
      <c r="CH3201" s="76">
        <f>+CG3201*22500</f>
        <v>0</v>
      </c>
      <c r="CI3201" s="76"/>
      <c r="CJ3201" s="76">
        <f>+CI3201*26000</f>
        <v>0</v>
      </c>
      <c r="CK3201" s="76"/>
      <c r="CL3201" s="76"/>
      <c r="CM3201" s="76"/>
      <c r="CN3201" s="76">
        <f>+CM3201*22000</f>
        <v>0</v>
      </c>
      <c r="CO3201" s="76">
        <v>227</v>
      </c>
      <c r="CP3201" s="76">
        <f>+CO3201*46000</f>
        <v>10442000</v>
      </c>
      <c r="CQ3201" s="76"/>
      <c r="CR3201" s="76">
        <f>+CQ3201*49000</f>
        <v>0</v>
      </c>
      <c r="CS3201" s="76"/>
      <c r="CT3201" s="76"/>
      <c r="CU3201" s="56">
        <f>AN3201+AP3201+AR3201+AT3201+AV3201+AX3201+AZ3201+BB3201+BD3201+BF3201+BH3201+BJ3201+BL3201+BN3201+BP3201+BR3201+BT3201+BV3201+BX3201+BZ3201+CB3201+CD3201+CF3201+CH3201+CJ3201+CL3201+CN3201+CP3201+CR3201+CT3201</f>
        <v>26332000</v>
      </c>
      <c r="CV3201" s="76"/>
      <c r="CW3201" s="76">
        <f>+CV3201*1100</f>
        <v>0</v>
      </c>
      <c r="CX3201" s="76">
        <v>227</v>
      </c>
      <c r="CY3201" s="76">
        <f>+CX3201*106250</f>
        <v>24118750</v>
      </c>
      <c r="CZ3201" s="76"/>
      <c r="DA3201" s="76">
        <f>+CZ3201*34500</f>
        <v>0</v>
      </c>
      <c r="DB3201" s="76">
        <f>700+1570</f>
        <v>2270</v>
      </c>
      <c r="DC3201" s="76">
        <f>700*25000+1570*35000</f>
        <v>72450000</v>
      </c>
      <c r="DD3201" s="219"/>
      <c r="DE3201" s="219"/>
      <c r="DF3201" s="166"/>
      <c r="DG3201" s="116"/>
      <c r="DH3201" s="117"/>
      <c r="DI3201" s="24"/>
      <c r="DJ3201" s="24"/>
      <c r="DK3201" s="24"/>
      <c r="DL3201" s="24"/>
      <c r="DM3201" s="24"/>
      <c r="DN3201" s="24"/>
      <c r="DO3201" s="24"/>
      <c r="DP3201" s="24"/>
      <c r="DQ3201" s="24"/>
      <c r="DR3201" s="24"/>
      <c r="DS3201" s="24"/>
      <c r="DT3201" s="24"/>
      <c r="DU3201" s="24"/>
    </row>
    <row r="3202" spans="1:125" s="8" customFormat="1" ht="108" x14ac:dyDescent="0.2">
      <c r="A3202" s="77">
        <v>41544</v>
      </c>
      <c r="B3202" s="352" t="s">
        <v>2772</v>
      </c>
      <c r="C3202" s="354" t="s">
        <v>1324</v>
      </c>
      <c r="D3202" s="354" t="s">
        <v>2846</v>
      </c>
      <c r="E3202" s="296" t="str">
        <f>VLOOKUP(B3202&amp;C3202,Divipola!$C$2:$F$1138,4,FALSE)</f>
        <v>25328</v>
      </c>
      <c r="F3202" s="87"/>
      <c r="G3202" s="87"/>
      <c r="H3202" s="87"/>
      <c r="I3202" s="87"/>
      <c r="J3202" s="87"/>
      <c r="K3202" s="87"/>
      <c r="L3202" s="87"/>
      <c r="M3202" s="87"/>
      <c r="N3202" s="87"/>
      <c r="O3202" s="87"/>
      <c r="P3202" s="87"/>
      <c r="Q3202" s="87"/>
      <c r="R3202" s="87"/>
      <c r="S3202" s="87"/>
      <c r="T3202" s="87"/>
      <c r="U3202" s="88">
        <v>29</v>
      </c>
      <c r="V3202" s="89"/>
      <c r="W3202" s="96">
        <v>0</v>
      </c>
      <c r="X3202" s="71">
        <f>CU3202</f>
        <v>0</v>
      </c>
      <c r="Y3202" s="71">
        <f>CY3202</f>
        <v>0</v>
      </c>
      <c r="Z3202" s="71">
        <f>DA3202+DC3202+DE3202</f>
        <v>0</v>
      </c>
      <c r="AA3202" s="71">
        <f>CW3202</f>
        <v>0</v>
      </c>
      <c r="AB3202" s="71"/>
      <c r="AC3202" s="71">
        <v>0</v>
      </c>
      <c r="AD3202" s="71">
        <f>W3202+X3202+Y3202+Z3202+AA3202+AB3202+AC3202</f>
        <v>0</v>
      </c>
      <c r="AE3202" s="72">
        <v>0</v>
      </c>
      <c r="AF3202" s="5"/>
      <c r="AG3202" s="6"/>
      <c r="AH3202" s="27"/>
      <c r="AI3202" s="44"/>
      <c r="AJ3202" s="26"/>
      <c r="AK3202" s="5"/>
      <c r="AL3202" s="274" t="s">
        <v>6134</v>
      </c>
      <c r="AM3202" s="76"/>
      <c r="AN3202" s="76"/>
      <c r="AO3202" s="76"/>
      <c r="AP3202" s="76"/>
      <c r="AQ3202" s="76"/>
      <c r="AR3202" s="76"/>
      <c r="AS3202" s="76"/>
      <c r="AT3202" s="76"/>
      <c r="AU3202" s="76"/>
      <c r="AV3202" s="76"/>
      <c r="AW3202" s="76"/>
      <c r="AX3202" s="76">
        <f>+AW3202*600000</f>
        <v>0</v>
      </c>
      <c r="AY3202" s="76"/>
      <c r="AZ3202" s="76">
        <f>+AY3202*70000</f>
        <v>0</v>
      </c>
      <c r="BA3202" s="76"/>
      <c r="BB3202" s="76"/>
      <c r="BC3202" s="76"/>
      <c r="BD3202" s="76">
        <f>+BC3202*30000</f>
        <v>0</v>
      </c>
      <c r="BE3202" s="76"/>
      <c r="BF3202" s="76"/>
      <c r="BG3202" s="76"/>
      <c r="BH3202" s="76"/>
      <c r="BI3202" s="76"/>
      <c r="BJ3202" s="76"/>
      <c r="BK3202" s="76"/>
      <c r="BL3202" s="76">
        <f>+BK3202*31500</f>
        <v>0</v>
      </c>
      <c r="BM3202" s="76"/>
      <c r="BN3202" s="76"/>
      <c r="BO3202" s="76"/>
      <c r="BP3202" s="76"/>
      <c r="BQ3202" s="76"/>
      <c r="BR3202" s="76"/>
      <c r="BS3202" s="76"/>
      <c r="BT3202" s="76"/>
      <c r="BU3202" s="76"/>
      <c r="BV3202" s="76"/>
      <c r="BW3202" s="76"/>
      <c r="BX3202" s="76"/>
      <c r="BY3202" s="76"/>
      <c r="BZ3202" s="76"/>
      <c r="CA3202" s="76"/>
      <c r="CB3202" s="76"/>
      <c r="CC3202" s="76"/>
      <c r="CD3202" s="76"/>
      <c r="CE3202" s="76"/>
      <c r="CF3202" s="76">
        <f>+CE3202*28000</f>
        <v>0</v>
      </c>
      <c r="CG3202" s="76"/>
      <c r="CH3202" s="76">
        <f>+CG3202*22500</f>
        <v>0</v>
      </c>
      <c r="CI3202" s="76"/>
      <c r="CJ3202" s="76">
        <f>+CI3202*26000</f>
        <v>0</v>
      </c>
      <c r="CK3202" s="76"/>
      <c r="CL3202" s="76"/>
      <c r="CM3202" s="76"/>
      <c r="CN3202" s="76">
        <f>+CM3202*22000</f>
        <v>0</v>
      </c>
      <c r="CO3202" s="76"/>
      <c r="CP3202" s="76">
        <f>+CO3202*46000</f>
        <v>0</v>
      </c>
      <c r="CQ3202" s="76"/>
      <c r="CR3202" s="76">
        <f>+CQ3202*49000</f>
        <v>0</v>
      </c>
      <c r="CS3202" s="76"/>
      <c r="CT3202" s="76"/>
      <c r="CU3202" s="56">
        <f>AN3202+AP3202+AR3202+AT3202+AV3202+AX3202+AZ3202+BB3202+BD3202+BF3202+BH3202+BJ3202+BL3202+BN3202+BP3202+BR3202+BT3202+BV3202+BX3202+BZ3202+CB3202+CD3202+CF3202+CH3202+CJ3202+CL3202+CN3202+CP3202+CR3202+CT3202</f>
        <v>0</v>
      </c>
      <c r="CV3202" s="76"/>
      <c r="CW3202" s="76">
        <f>+CV3202*1100</f>
        <v>0</v>
      </c>
      <c r="CX3202" s="76"/>
      <c r="CY3202" s="76">
        <f>+CX3202*106250</f>
        <v>0</v>
      </c>
      <c r="CZ3202" s="76"/>
      <c r="DA3202" s="76">
        <f>+CZ3202*34500</f>
        <v>0</v>
      </c>
      <c r="DB3202" s="76"/>
      <c r="DC3202" s="76">
        <f>+DB3202*25000</f>
        <v>0</v>
      </c>
      <c r="DD3202" s="219"/>
      <c r="DE3202" s="219"/>
      <c r="DF3202" s="166"/>
      <c r="DG3202" s="116"/>
      <c r="DH3202" s="117"/>
      <c r="DI3202" s="24"/>
      <c r="DJ3202" s="24"/>
      <c r="DK3202" s="24"/>
      <c r="DL3202" s="24"/>
      <c r="DM3202" s="24"/>
      <c r="DN3202" s="24"/>
      <c r="DO3202" s="24"/>
      <c r="DP3202" s="24"/>
      <c r="DQ3202" s="24"/>
      <c r="DR3202" s="24"/>
      <c r="DS3202" s="24"/>
      <c r="DT3202" s="24"/>
      <c r="DU3202" s="24"/>
    </row>
    <row r="3203" spans="1:125" s="8" customFormat="1" ht="108" x14ac:dyDescent="0.2">
      <c r="A3203" s="77">
        <v>41544</v>
      </c>
      <c r="B3203" s="352" t="s">
        <v>2772</v>
      </c>
      <c r="C3203" s="354" t="s">
        <v>2051</v>
      </c>
      <c r="D3203" s="354" t="s">
        <v>2859</v>
      </c>
      <c r="E3203" s="296" t="str">
        <f>VLOOKUP(B3203&amp;C3203,Divipola!$C$2:$F$1138,4,FALSE)</f>
        <v>25799</v>
      </c>
      <c r="F3203" s="87"/>
      <c r="G3203" s="87">
        <v>9</v>
      </c>
      <c r="H3203" s="87"/>
      <c r="I3203" s="87">
        <v>9</v>
      </c>
      <c r="J3203" s="87"/>
      <c r="K3203" s="87"/>
      <c r="L3203" s="87"/>
      <c r="M3203" s="87"/>
      <c r="N3203" s="87"/>
      <c r="O3203" s="87"/>
      <c r="P3203" s="87"/>
      <c r="Q3203" s="87"/>
      <c r="R3203" s="87"/>
      <c r="S3203" s="87"/>
      <c r="T3203" s="87"/>
      <c r="U3203" s="88"/>
      <c r="V3203" s="89">
        <v>1</v>
      </c>
      <c r="W3203" s="96">
        <v>0</v>
      </c>
      <c r="X3203" s="71">
        <f>CU3203</f>
        <v>0</v>
      </c>
      <c r="Y3203" s="71">
        <f>CY3203</f>
        <v>0</v>
      </c>
      <c r="Z3203" s="71">
        <f>DA3203+DC3203+DE3203</f>
        <v>0</v>
      </c>
      <c r="AA3203" s="71">
        <f>CW3203</f>
        <v>0</v>
      </c>
      <c r="AB3203" s="71"/>
      <c r="AC3203" s="71">
        <v>0</v>
      </c>
      <c r="AD3203" s="71">
        <f>W3203+X3203+Y3203+Z3203+AA3203+AB3203+AC3203</f>
        <v>0</v>
      </c>
      <c r="AE3203" s="72">
        <v>0</v>
      </c>
      <c r="AF3203" s="5"/>
      <c r="AG3203" s="6"/>
      <c r="AH3203" s="27"/>
      <c r="AI3203" s="44"/>
      <c r="AJ3203" s="26"/>
      <c r="AK3203" s="5"/>
      <c r="AL3203" s="274" t="s">
        <v>6133</v>
      </c>
      <c r="AM3203" s="76"/>
      <c r="AN3203" s="76"/>
      <c r="AO3203" s="76"/>
      <c r="AP3203" s="76"/>
      <c r="AQ3203" s="76"/>
      <c r="AR3203" s="76"/>
      <c r="AS3203" s="76"/>
      <c r="AT3203" s="76"/>
      <c r="AU3203" s="76"/>
      <c r="AV3203" s="76"/>
      <c r="AW3203" s="76"/>
      <c r="AX3203" s="76">
        <f>+AW3203*600000</f>
        <v>0</v>
      </c>
      <c r="AY3203" s="76"/>
      <c r="AZ3203" s="76">
        <f>+AY3203*70000</f>
        <v>0</v>
      </c>
      <c r="BA3203" s="76"/>
      <c r="BB3203" s="76"/>
      <c r="BC3203" s="76"/>
      <c r="BD3203" s="76">
        <f>+BC3203*30000</f>
        <v>0</v>
      </c>
      <c r="BE3203" s="76"/>
      <c r="BF3203" s="76"/>
      <c r="BG3203" s="76"/>
      <c r="BH3203" s="76"/>
      <c r="BI3203" s="76"/>
      <c r="BJ3203" s="76"/>
      <c r="BK3203" s="76"/>
      <c r="BL3203" s="76">
        <f>+BK3203*31500</f>
        <v>0</v>
      </c>
      <c r="BM3203" s="76"/>
      <c r="BN3203" s="76"/>
      <c r="BO3203" s="76"/>
      <c r="BP3203" s="76"/>
      <c r="BQ3203" s="76"/>
      <c r="BR3203" s="76"/>
      <c r="BS3203" s="76"/>
      <c r="BT3203" s="76"/>
      <c r="BU3203" s="76"/>
      <c r="BV3203" s="76"/>
      <c r="BW3203" s="76"/>
      <c r="BX3203" s="76"/>
      <c r="BY3203" s="76"/>
      <c r="BZ3203" s="76"/>
      <c r="CA3203" s="76"/>
      <c r="CB3203" s="76"/>
      <c r="CC3203" s="76"/>
      <c r="CD3203" s="76"/>
      <c r="CE3203" s="76"/>
      <c r="CF3203" s="76">
        <f>+CE3203*28000</f>
        <v>0</v>
      </c>
      <c r="CG3203" s="76"/>
      <c r="CH3203" s="76">
        <f>+CG3203*22500</f>
        <v>0</v>
      </c>
      <c r="CI3203" s="76"/>
      <c r="CJ3203" s="76">
        <f>+CI3203*26000</f>
        <v>0</v>
      </c>
      <c r="CK3203" s="76"/>
      <c r="CL3203" s="76"/>
      <c r="CM3203" s="76"/>
      <c r="CN3203" s="76">
        <f>+CM3203*22000</f>
        <v>0</v>
      </c>
      <c r="CO3203" s="76"/>
      <c r="CP3203" s="76">
        <f>+CO3203*46000</f>
        <v>0</v>
      </c>
      <c r="CQ3203" s="76"/>
      <c r="CR3203" s="76">
        <f>+CQ3203*49000</f>
        <v>0</v>
      </c>
      <c r="CS3203" s="76"/>
      <c r="CT3203" s="76"/>
      <c r="CU3203" s="56">
        <f>AN3203+AP3203+AR3203+AT3203+AV3203+AX3203+AZ3203+BB3203+BD3203+BF3203+BH3203+BJ3203+BL3203+BN3203+BP3203+BR3203+BT3203+BV3203+BX3203+BZ3203+CB3203+CD3203+CF3203+CH3203+CJ3203+CL3203+CN3203+CP3203+CR3203+CT3203</f>
        <v>0</v>
      </c>
      <c r="CV3203" s="76"/>
      <c r="CW3203" s="76">
        <f>+CV3203*1100</f>
        <v>0</v>
      </c>
      <c r="CX3203" s="76"/>
      <c r="CY3203" s="76">
        <f>+CX3203*106250</f>
        <v>0</v>
      </c>
      <c r="CZ3203" s="76"/>
      <c r="DA3203" s="76">
        <f>+CZ3203*34500</f>
        <v>0</v>
      </c>
      <c r="DB3203" s="76"/>
      <c r="DC3203" s="76">
        <f>+DB3203*25000</f>
        <v>0</v>
      </c>
      <c r="DD3203" s="219"/>
      <c r="DE3203" s="219"/>
      <c r="DF3203" s="166"/>
      <c r="DG3203" s="116"/>
      <c r="DH3203" s="117"/>
      <c r="DI3203" s="24"/>
      <c r="DJ3203" s="24"/>
      <c r="DK3203" s="24"/>
      <c r="DL3203" s="24"/>
      <c r="DM3203" s="24"/>
      <c r="DN3203" s="24"/>
      <c r="DO3203" s="24"/>
      <c r="DP3203" s="24"/>
      <c r="DQ3203" s="24"/>
      <c r="DR3203" s="24"/>
      <c r="DS3203" s="24"/>
      <c r="DT3203" s="24"/>
      <c r="DU3203" s="24"/>
    </row>
    <row r="3204" spans="1:125" s="8" customFormat="1" ht="36" x14ac:dyDescent="0.2">
      <c r="A3204" s="77">
        <v>41544</v>
      </c>
      <c r="B3204" s="352" t="s">
        <v>2661</v>
      </c>
      <c r="C3204" s="354" t="s">
        <v>2161</v>
      </c>
      <c r="D3204" s="354" t="s">
        <v>2846</v>
      </c>
      <c r="E3204" s="296" t="str">
        <f>VLOOKUP(B3204&amp;C3204,Divipola!$C$2:$F$1138,4,FALSE)</f>
        <v>41078</v>
      </c>
      <c r="F3204" s="87"/>
      <c r="G3204" s="87"/>
      <c r="H3204" s="87"/>
      <c r="I3204" s="87"/>
      <c r="J3204" s="87"/>
      <c r="K3204" s="87"/>
      <c r="L3204" s="87"/>
      <c r="M3204" s="87"/>
      <c r="N3204" s="87"/>
      <c r="O3204" s="87"/>
      <c r="P3204" s="87"/>
      <c r="Q3204" s="87"/>
      <c r="R3204" s="87"/>
      <c r="S3204" s="87"/>
      <c r="T3204" s="87"/>
      <c r="U3204" s="88">
        <v>5</v>
      </c>
      <c r="V3204" s="89"/>
      <c r="W3204" s="96">
        <v>0</v>
      </c>
      <c r="X3204" s="71">
        <f>CU3204</f>
        <v>0</v>
      </c>
      <c r="Y3204" s="71">
        <f>CY3204</f>
        <v>0</v>
      </c>
      <c r="Z3204" s="71">
        <f>DA3204+DC3204+DE3204</f>
        <v>0</v>
      </c>
      <c r="AA3204" s="71">
        <f>CW3204</f>
        <v>0</v>
      </c>
      <c r="AB3204" s="71"/>
      <c r="AC3204" s="71">
        <v>0</v>
      </c>
      <c r="AD3204" s="71">
        <f>W3204+X3204+Y3204+Z3204+AA3204+AB3204+AC3204</f>
        <v>0</v>
      </c>
      <c r="AE3204" s="72">
        <v>0</v>
      </c>
      <c r="AF3204" s="5"/>
      <c r="AG3204" s="6"/>
      <c r="AH3204" s="27"/>
      <c r="AI3204" s="44"/>
      <c r="AJ3204" s="26"/>
      <c r="AK3204" s="5"/>
      <c r="AL3204" s="274" t="s">
        <v>6139</v>
      </c>
      <c r="AM3204" s="76"/>
      <c r="AN3204" s="76"/>
      <c r="AO3204" s="76"/>
      <c r="AP3204" s="76"/>
      <c r="AQ3204" s="76"/>
      <c r="AR3204" s="76"/>
      <c r="AS3204" s="76"/>
      <c r="AT3204" s="76"/>
      <c r="AU3204" s="76"/>
      <c r="AV3204" s="76"/>
      <c r="AW3204" s="76"/>
      <c r="AX3204" s="76">
        <f>+AW3204*600000</f>
        <v>0</v>
      </c>
      <c r="AY3204" s="76"/>
      <c r="AZ3204" s="76">
        <f>+AY3204*70000</f>
        <v>0</v>
      </c>
      <c r="BA3204" s="76"/>
      <c r="BB3204" s="76"/>
      <c r="BC3204" s="76"/>
      <c r="BD3204" s="76">
        <f>+BC3204*30000</f>
        <v>0</v>
      </c>
      <c r="BE3204" s="76"/>
      <c r="BF3204" s="76"/>
      <c r="BG3204" s="76"/>
      <c r="BH3204" s="76"/>
      <c r="BI3204" s="76"/>
      <c r="BJ3204" s="76"/>
      <c r="BK3204" s="76"/>
      <c r="BL3204" s="76">
        <f>+BK3204*31500</f>
        <v>0</v>
      </c>
      <c r="BM3204" s="76"/>
      <c r="BN3204" s="76"/>
      <c r="BO3204" s="76"/>
      <c r="BP3204" s="76"/>
      <c r="BQ3204" s="76"/>
      <c r="BR3204" s="76"/>
      <c r="BS3204" s="76"/>
      <c r="BT3204" s="76"/>
      <c r="BU3204" s="76"/>
      <c r="BV3204" s="76"/>
      <c r="BW3204" s="76"/>
      <c r="BX3204" s="76"/>
      <c r="BY3204" s="76"/>
      <c r="BZ3204" s="76"/>
      <c r="CA3204" s="76"/>
      <c r="CB3204" s="76"/>
      <c r="CC3204" s="76"/>
      <c r="CD3204" s="76"/>
      <c r="CE3204" s="76"/>
      <c r="CF3204" s="76">
        <f>+CE3204*28000</f>
        <v>0</v>
      </c>
      <c r="CG3204" s="76"/>
      <c r="CH3204" s="76">
        <f>+CG3204*22500</f>
        <v>0</v>
      </c>
      <c r="CI3204" s="76"/>
      <c r="CJ3204" s="76">
        <f>+CI3204*26000</f>
        <v>0</v>
      </c>
      <c r="CK3204" s="76"/>
      <c r="CL3204" s="76"/>
      <c r="CM3204" s="76"/>
      <c r="CN3204" s="76">
        <f>+CM3204*22000</f>
        <v>0</v>
      </c>
      <c r="CO3204" s="76"/>
      <c r="CP3204" s="76">
        <f>+CO3204*46000</f>
        <v>0</v>
      </c>
      <c r="CQ3204" s="76"/>
      <c r="CR3204" s="76">
        <f>+CQ3204*49000</f>
        <v>0</v>
      </c>
      <c r="CS3204" s="76"/>
      <c r="CT3204" s="76"/>
      <c r="CU3204" s="56">
        <f>AN3204+AP3204+AR3204+AT3204+AV3204+AX3204+AZ3204+BB3204+BD3204+BF3204+BH3204+BJ3204+BL3204+BN3204+BP3204+BR3204+BT3204+BV3204+BX3204+BZ3204+CB3204+CD3204+CF3204+CH3204+CJ3204+CL3204+CN3204+CP3204+CR3204+CT3204</f>
        <v>0</v>
      </c>
      <c r="CV3204" s="76"/>
      <c r="CW3204" s="76">
        <f>+CV3204*1100</f>
        <v>0</v>
      </c>
      <c r="CX3204" s="76"/>
      <c r="CY3204" s="76">
        <f>+CX3204*106250</f>
        <v>0</v>
      </c>
      <c r="CZ3204" s="76"/>
      <c r="DA3204" s="76">
        <f>+CZ3204*34500</f>
        <v>0</v>
      </c>
      <c r="DB3204" s="76"/>
      <c r="DC3204" s="76">
        <f>+DB3204*25000</f>
        <v>0</v>
      </c>
      <c r="DD3204" s="219"/>
      <c r="DE3204" s="219"/>
      <c r="DF3204" s="166"/>
      <c r="DG3204" s="116"/>
      <c r="DH3204" s="117"/>
      <c r="DI3204" s="24"/>
      <c r="DJ3204" s="24"/>
      <c r="DK3204" s="24"/>
      <c r="DL3204" s="24"/>
      <c r="DM3204" s="24"/>
      <c r="DN3204" s="24"/>
      <c r="DO3204" s="24"/>
      <c r="DP3204" s="24"/>
      <c r="DQ3204" s="24"/>
      <c r="DR3204" s="24"/>
      <c r="DS3204" s="24"/>
      <c r="DT3204" s="24"/>
      <c r="DU3204" s="24"/>
    </row>
    <row r="3205" spans="1:125" s="8" customFormat="1" ht="132" x14ac:dyDescent="0.2">
      <c r="A3205" s="77">
        <v>41544</v>
      </c>
      <c r="B3205" s="78" t="s">
        <v>2661</v>
      </c>
      <c r="C3205" s="75" t="s">
        <v>2</v>
      </c>
      <c r="D3205" s="75" t="s">
        <v>2846</v>
      </c>
      <c r="E3205" s="296" t="str">
        <f>VLOOKUP(B3205&amp;C3205,Divipola!$C$2:$F$1138,4,FALSE)</f>
        <v>41524</v>
      </c>
      <c r="F3205" s="87"/>
      <c r="G3205" s="87"/>
      <c r="H3205" s="87"/>
      <c r="I3205" s="87"/>
      <c r="J3205" s="87"/>
      <c r="K3205" s="87"/>
      <c r="L3205" s="87"/>
      <c r="M3205" s="87"/>
      <c r="N3205" s="87"/>
      <c r="O3205" s="87"/>
      <c r="P3205" s="87"/>
      <c r="Q3205" s="87"/>
      <c r="R3205" s="87"/>
      <c r="S3205" s="87"/>
      <c r="T3205" s="87"/>
      <c r="U3205" s="88">
        <v>500</v>
      </c>
      <c r="V3205" s="89"/>
      <c r="W3205" s="96">
        <v>0</v>
      </c>
      <c r="X3205" s="71">
        <f>CU3205</f>
        <v>0</v>
      </c>
      <c r="Y3205" s="71">
        <f>CY3205</f>
        <v>0</v>
      </c>
      <c r="Z3205" s="71">
        <f>DA3205+DC3205+DE3205</f>
        <v>0</v>
      </c>
      <c r="AA3205" s="71">
        <f>CW3205</f>
        <v>0</v>
      </c>
      <c r="AB3205" s="71"/>
      <c r="AC3205" s="71">
        <v>0</v>
      </c>
      <c r="AD3205" s="71">
        <f>W3205+X3205+Y3205+Z3205+AA3205+AB3205+AC3205</f>
        <v>0</v>
      </c>
      <c r="AE3205" s="72">
        <v>0</v>
      </c>
      <c r="AF3205" s="5"/>
      <c r="AG3205" s="6"/>
      <c r="AH3205" s="27"/>
      <c r="AI3205" s="44"/>
      <c r="AJ3205" s="26"/>
      <c r="AK3205" s="5"/>
      <c r="AL3205" s="305" t="s">
        <v>6163</v>
      </c>
      <c r="AM3205" s="76"/>
      <c r="AN3205" s="76"/>
      <c r="AO3205" s="76"/>
      <c r="AP3205" s="76"/>
      <c r="AQ3205" s="76"/>
      <c r="AR3205" s="76"/>
      <c r="AS3205" s="76"/>
      <c r="AT3205" s="76"/>
      <c r="AU3205" s="76"/>
      <c r="AV3205" s="76"/>
      <c r="AW3205" s="76"/>
      <c r="AX3205" s="76">
        <f>+AW3205*600000</f>
        <v>0</v>
      </c>
      <c r="AY3205" s="76"/>
      <c r="AZ3205" s="76">
        <f>+AY3205*70000</f>
        <v>0</v>
      </c>
      <c r="BA3205" s="76"/>
      <c r="BB3205" s="76"/>
      <c r="BC3205" s="76"/>
      <c r="BD3205" s="76">
        <f>+BC3205*30000</f>
        <v>0</v>
      </c>
      <c r="BE3205" s="76"/>
      <c r="BF3205" s="76"/>
      <c r="BG3205" s="76"/>
      <c r="BH3205" s="76"/>
      <c r="BI3205" s="76"/>
      <c r="BJ3205" s="76"/>
      <c r="BK3205" s="76"/>
      <c r="BL3205" s="76">
        <f>+BK3205*31500</f>
        <v>0</v>
      </c>
      <c r="BM3205" s="76"/>
      <c r="BN3205" s="76"/>
      <c r="BO3205" s="76"/>
      <c r="BP3205" s="76"/>
      <c r="BQ3205" s="76"/>
      <c r="BR3205" s="76"/>
      <c r="BS3205" s="76"/>
      <c r="BT3205" s="76"/>
      <c r="BU3205" s="76"/>
      <c r="BV3205" s="76"/>
      <c r="BW3205" s="76"/>
      <c r="BX3205" s="76"/>
      <c r="BY3205" s="76"/>
      <c r="BZ3205" s="76"/>
      <c r="CA3205" s="76"/>
      <c r="CB3205" s="76"/>
      <c r="CC3205" s="76"/>
      <c r="CD3205" s="76"/>
      <c r="CE3205" s="76"/>
      <c r="CF3205" s="76">
        <f>+CE3205*28000</f>
        <v>0</v>
      </c>
      <c r="CG3205" s="76"/>
      <c r="CH3205" s="76">
        <f>+CG3205*22500</f>
        <v>0</v>
      </c>
      <c r="CI3205" s="76"/>
      <c r="CJ3205" s="76">
        <f>+CI3205*26000</f>
        <v>0</v>
      </c>
      <c r="CK3205" s="76"/>
      <c r="CL3205" s="76"/>
      <c r="CM3205" s="76"/>
      <c r="CN3205" s="76">
        <f>+CM3205*22000</f>
        <v>0</v>
      </c>
      <c r="CO3205" s="76"/>
      <c r="CP3205" s="76">
        <f>+CO3205*46000</f>
        <v>0</v>
      </c>
      <c r="CQ3205" s="76"/>
      <c r="CR3205" s="76">
        <f>+CQ3205*49000</f>
        <v>0</v>
      </c>
      <c r="CS3205" s="76"/>
      <c r="CT3205" s="76"/>
      <c r="CU3205" s="56">
        <f>AN3205+AP3205+AR3205+AT3205+AV3205+AX3205+AZ3205+BB3205+BD3205+BF3205+BH3205+BJ3205+BL3205+BN3205+BP3205+BR3205+BT3205+BV3205+BX3205+BZ3205+CB3205+CD3205+CF3205+CH3205+CJ3205+CL3205+CN3205+CP3205+CR3205+CT3205</f>
        <v>0</v>
      </c>
      <c r="CV3205" s="76"/>
      <c r="CW3205" s="76">
        <f>+CV3205*1100</f>
        <v>0</v>
      </c>
      <c r="CX3205" s="76"/>
      <c r="CY3205" s="76">
        <f>+CX3205*106250</f>
        <v>0</v>
      </c>
      <c r="CZ3205" s="76"/>
      <c r="DA3205" s="76">
        <f>+CZ3205*34500</f>
        <v>0</v>
      </c>
      <c r="DB3205" s="76"/>
      <c r="DC3205" s="76">
        <f>+DB3205*25000</f>
        <v>0</v>
      </c>
      <c r="DD3205" s="219"/>
      <c r="DE3205" s="219"/>
      <c r="DF3205" s="166"/>
      <c r="DG3205" s="116"/>
      <c r="DH3205" s="117"/>
      <c r="DI3205" s="24"/>
      <c r="DJ3205" s="24"/>
      <c r="DK3205" s="24"/>
      <c r="DL3205" s="24"/>
      <c r="DM3205" s="24"/>
      <c r="DN3205" s="24"/>
      <c r="DO3205" s="24"/>
      <c r="DP3205" s="24"/>
      <c r="DQ3205" s="24"/>
      <c r="DR3205" s="24"/>
      <c r="DS3205" s="24"/>
      <c r="DT3205" s="24"/>
      <c r="DU3205" s="24"/>
    </row>
    <row r="3206" spans="1:125" s="8" customFormat="1" ht="48" x14ac:dyDescent="0.2">
      <c r="A3206" s="77">
        <v>41544</v>
      </c>
      <c r="B3206" s="352" t="s">
        <v>2811</v>
      </c>
      <c r="C3206" s="354" t="s">
        <v>2153</v>
      </c>
      <c r="D3206" s="354" t="s">
        <v>2846</v>
      </c>
      <c r="E3206" s="296" t="str">
        <f>VLOOKUP(B3206&amp;C3206,Divipola!$C$2:$F$1138,4,FALSE)</f>
        <v>52685</v>
      </c>
      <c r="F3206" s="87"/>
      <c r="G3206" s="87"/>
      <c r="H3206" s="87"/>
      <c r="I3206" s="87"/>
      <c r="J3206" s="87"/>
      <c r="K3206" s="87"/>
      <c r="L3206" s="87"/>
      <c r="M3206" s="87"/>
      <c r="N3206" s="87"/>
      <c r="O3206" s="87"/>
      <c r="P3206" s="87"/>
      <c r="Q3206" s="87"/>
      <c r="R3206" s="87"/>
      <c r="S3206" s="87"/>
      <c r="T3206" s="87"/>
      <c r="U3206" s="88"/>
      <c r="V3206" s="89"/>
      <c r="W3206" s="96">
        <v>0</v>
      </c>
      <c r="X3206" s="71">
        <f>CU3206</f>
        <v>0</v>
      </c>
      <c r="Y3206" s="71">
        <f>CY3206</f>
        <v>0</v>
      </c>
      <c r="Z3206" s="71">
        <f>DA3206+DC3206+DE3206</f>
        <v>0</v>
      </c>
      <c r="AA3206" s="71">
        <f>CW3206</f>
        <v>0</v>
      </c>
      <c r="AB3206" s="71"/>
      <c r="AC3206" s="71">
        <v>0</v>
      </c>
      <c r="AD3206" s="71">
        <f>W3206+X3206+Y3206+Z3206+AA3206+AB3206+AC3206</f>
        <v>0</v>
      </c>
      <c r="AE3206" s="72">
        <v>0</v>
      </c>
      <c r="AF3206" s="5"/>
      <c r="AG3206" s="6"/>
      <c r="AH3206" s="27"/>
      <c r="AI3206" s="44"/>
      <c r="AJ3206" s="26"/>
      <c r="AK3206" s="5"/>
      <c r="AL3206" s="274" t="s">
        <v>6126</v>
      </c>
      <c r="AM3206" s="76"/>
      <c r="AN3206" s="76"/>
      <c r="AO3206" s="76"/>
      <c r="AP3206" s="76"/>
      <c r="AQ3206" s="76"/>
      <c r="AR3206" s="76"/>
      <c r="AS3206" s="76"/>
      <c r="AT3206" s="76"/>
      <c r="AU3206" s="76"/>
      <c r="AV3206" s="76"/>
      <c r="AW3206" s="76"/>
      <c r="AX3206" s="76">
        <f>+AW3206*600000</f>
        <v>0</v>
      </c>
      <c r="AY3206" s="76"/>
      <c r="AZ3206" s="76">
        <f>+AY3206*70000</f>
        <v>0</v>
      </c>
      <c r="BA3206" s="76"/>
      <c r="BB3206" s="76"/>
      <c r="BC3206" s="76"/>
      <c r="BD3206" s="76">
        <f>+BC3206*30000</f>
        <v>0</v>
      </c>
      <c r="BE3206" s="76"/>
      <c r="BF3206" s="76"/>
      <c r="BG3206" s="76"/>
      <c r="BH3206" s="76"/>
      <c r="BI3206" s="76"/>
      <c r="BJ3206" s="76"/>
      <c r="BK3206" s="76"/>
      <c r="BL3206" s="76">
        <f>+BK3206*31500</f>
        <v>0</v>
      </c>
      <c r="BM3206" s="76"/>
      <c r="BN3206" s="76"/>
      <c r="BO3206" s="76"/>
      <c r="BP3206" s="76"/>
      <c r="BQ3206" s="76"/>
      <c r="BR3206" s="76"/>
      <c r="BS3206" s="76"/>
      <c r="BT3206" s="76"/>
      <c r="BU3206" s="76"/>
      <c r="BV3206" s="76"/>
      <c r="BW3206" s="76"/>
      <c r="BX3206" s="76"/>
      <c r="BY3206" s="76"/>
      <c r="BZ3206" s="76"/>
      <c r="CA3206" s="76"/>
      <c r="CB3206" s="76"/>
      <c r="CC3206" s="76"/>
      <c r="CD3206" s="76"/>
      <c r="CE3206" s="76"/>
      <c r="CF3206" s="76">
        <f>+CE3206*28000</f>
        <v>0</v>
      </c>
      <c r="CG3206" s="76"/>
      <c r="CH3206" s="76">
        <f>+CG3206*22500</f>
        <v>0</v>
      </c>
      <c r="CI3206" s="76"/>
      <c r="CJ3206" s="76">
        <f>+CI3206*26000</f>
        <v>0</v>
      </c>
      <c r="CK3206" s="76"/>
      <c r="CL3206" s="76"/>
      <c r="CM3206" s="76"/>
      <c r="CN3206" s="76">
        <f>+CM3206*22000</f>
        <v>0</v>
      </c>
      <c r="CO3206" s="76"/>
      <c r="CP3206" s="76">
        <f>+CO3206*46000</f>
        <v>0</v>
      </c>
      <c r="CQ3206" s="76"/>
      <c r="CR3206" s="76">
        <f>+CQ3206*49000</f>
        <v>0</v>
      </c>
      <c r="CS3206" s="76"/>
      <c r="CT3206" s="76"/>
      <c r="CU3206" s="56">
        <f>AN3206+AP3206+AR3206+AT3206+AV3206+AX3206+AZ3206+BB3206+BD3206+BF3206+BH3206+BJ3206+BL3206+BN3206+BP3206+BR3206+BT3206+BV3206+BX3206+BZ3206+CB3206+CD3206+CF3206+CH3206+CJ3206+CL3206+CN3206+CP3206+CR3206+CT3206</f>
        <v>0</v>
      </c>
      <c r="CV3206" s="76"/>
      <c r="CW3206" s="76">
        <f>+CV3206*1100</f>
        <v>0</v>
      </c>
      <c r="CX3206" s="76"/>
      <c r="CY3206" s="76">
        <f>+CX3206*106250</f>
        <v>0</v>
      </c>
      <c r="CZ3206" s="76"/>
      <c r="DA3206" s="76">
        <f>+CZ3206*34500</f>
        <v>0</v>
      </c>
      <c r="DB3206" s="76"/>
      <c r="DC3206" s="76">
        <f>+DB3206*25000</f>
        <v>0</v>
      </c>
      <c r="DD3206" s="219"/>
      <c r="DE3206" s="219"/>
      <c r="DF3206" s="166"/>
      <c r="DG3206" s="116"/>
      <c r="DH3206" s="117"/>
      <c r="DI3206" s="24"/>
      <c r="DJ3206" s="24"/>
      <c r="DK3206" s="24"/>
      <c r="DL3206" s="24"/>
      <c r="DM3206" s="24"/>
      <c r="DN3206" s="24"/>
      <c r="DO3206" s="24"/>
      <c r="DP3206" s="24"/>
      <c r="DQ3206" s="24"/>
      <c r="DR3206" s="24"/>
      <c r="DS3206" s="24"/>
      <c r="DT3206" s="24"/>
      <c r="DU3206" s="24"/>
    </row>
    <row r="3207" spans="1:125" s="8" customFormat="1" ht="72" x14ac:dyDescent="0.2">
      <c r="A3207" s="77">
        <v>41544</v>
      </c>
      <c r="B3207" s="60" t="s">
        <v>2860</v>
      </c>
      <c r="C3207" s="55" t="s">
        <v>2776</v>
      </c>
      <c r="D3207" s="55" t="s">
        <v>3425</v>
      </c>
      <c r="E3207" s="296" t="str">
        <f>VLOOKUP(B3207&amp;C3207,Divipola!$C$2:$F$1138,4,FALSE)</f>
        <v>63001</v>
      </c>
      <c r="F3207" s="87">
        <v>1</v>
      </c>
      <c r="G3207" s="87">
        <v>11</v>
      </c>
      <c r="H3207" s="87"/>
      <c r="I3207" s="87">
        <v>12</v>
      </c>
      <c r="J3207" s="87"/>
      <c r="K3207" s="87"/>
      <c r="L3207" s="87"/>
      <c r="M3207" s="87"/>
      <c r="N3207" s="87"/>
      <c r="O3207" s="87"/>
      <c r="P3207" s="87"/>
      <c r="Q3207" s="87"/>
      <c r="R3207" s="87"/>
      <c r="S3207" s="87"/>
      <c r="T3207" s="87"/>
      <c r="U3207" s="88"/>
      <c r="V3207" s="89"/>
      <c r="W3207" s="96">
        <v>0</v>
      </c>
      <c r="X3207" s="71">
        <f>CU3207</f>
        <v>0</v>
      </c>
      <c r="Y3207" s="71">
        <f>CY3207</f>
        <v>0</v>
      </c>
      <c r="Z3207" s="71">
        <f>DA3207+DC3207+DE3207</f>
        <v>0</v>
      </c>
      <c r="AA3207" s="71">
        <f>CW3207</f>
        <v>0</v>
      </c>
      <c r="AB3207" s="71"/>
      <c r="AC3207" s="71">
        <v>0</v>
      </c>
      <c r="AD3207" s="71">
        <f>W3207+X3207+Y3207+Z3207+AA3207+AB3207+AC3207</f>
        <v>0</v>
      </c>
      <c r="AE3207" s="72">
        <v>0</v>
      </c>
      <c r="AF3207" s="5"/>
      <c r="AG3207" s="6"/>
      <c r="AH3207" s="27"/>
      <c r="AI3207" s="44"/>
      <c r="AJ3207" s="26"/>
      <c r="AK3207" s="5"/>
      <c r="AL3207" s="274" t="s">
        <v>6136</v>
      </c>
      <c r="AM3207" s="76"/>
      <c r="AN3207" s="76"/>
      <c r="AO3207" s="76"/>
      <c r="AP3207" s="76"/>
      <c r="AQ3207" s="76"/>
      <c r="AR3207" s="76"/>
      <c r="AS3207" s="76"/>
      <c r="AT3207" s="76"/>
      <c r="AU3207" s="76"/>
      <c r="AV3207" s="76"/>
      <c r="AW3207" s="76"/>
      <c r="AX3207" s="76">
        <f>+AW3207*600000</f>
        <v>0</v>
      </c>
      <c r="AY3207" s="76"/>
      <c r="AZ3207" s="76">
        <f>+AY3207*70000</f>
        <v>0</v>
      </c>
      <c r="BA3207" s="76"/>
      <c r="BB3207" s="76"/>
      <c r="BC3207" s="76"/>
      <c r="BD3207" s="76">
        <f>+BC3207*30000</f>
        <v>0</v>
      </c>
      <c r="BE3207" s="76"/>
      <c r="BF3207" s="76"/>
      <c r="BG3207" s="76"/>
      <c r="BH3207" s="76"/>
      <c r="BI3207" s="76"/>
      <c r="BJ3207" s="76"/>
      <c r="BK3207" s="76"/>
      <c r="BL3207" s="76">
        <f>+BK3207*31500</f>
        <v>0</v>
      </c>
      <c r="BM3207" s="76"/>
      <c r="BN3207" s="76"/>
      <c r="BO3207" s="76"/>
      <c r="BP3207" s="76"/>
      <c r="BQ3207" s="76"/>
      <c r="BR3207" s="76"/>
      <c r="BS3207" s="76"/>
      <c r="BT3207" s="76"/>
      <c r="BU3207" s="76"/>
      <c r="BV3207" s="76"/>
      <c r="BW3207" s="76"/>
      <c r="BX3207" s="76"/>
      <c r="BY3207" s="76"/>
      <c r="BZ3207" s="76"/>
      <c r="CA3207" s="76"/>
      <c r="CB3207" s="76"/>
      <c r="CC3207" s="76"/>
      <c r="CD3207" s="76"/>
      <c r="CE3207" s="76"/>
      <c r="CF3207" s="76">
        <f>+CE3207*28000</f>
        <v>0</v>
      </c>
      <c r="CG3207" s="76"/>
      <c r="CH3207" s="76">
        <f>+CG3207*22500</f>
        <v>0</v>
      </c>
      <c r="CI3207" s="76"/>
      <c r="CJ3207" s="76">
        <f>+CI3207*26000</f>
        <v>0</v>
      </c>
      <c r="CK3207" s="76"/>
      <c r="CL3207" s="76"/>
      <c r="CM3207" s="76"/>
      <c r="CN3207" s="76">
        <f>+CM3207*22000</f>
        <v>0</v>
      </c>
      <c r="CO3207" s="76"/>
      <c r="CP3207" s="76">
        <f>+CO3207*46000</f>
        <v>0</v>
      </c>
      <c r="CQ3207" s="76"/>
      <c r="CR3207" s="76">
        <f>+CQ3207*49000</f>
        <v>0</v>
      </c>
      <c r="CS3207" s="76"/>
      <c r="CT3207" s="76"/>
      <c r="CU3207" s="56">
        <f>AN3207+AP3207+AR3207+AT3207+AV3207+AX3207+AZ3207+BB3207+BD3207+BF3207+BH3207+BJ3207+BL3207+BN3207+BP3207+BR3207+BT3207+BV3207+BX3207+BZ3207+CB3207+CD3207+CF3207+CH3207+CJ3207+CL3207+CN3207+CP3207+CR3207+CT3207</f>
        <v>0</v>
      </c>
      <c r="CV3207" s="76"/>
      <c r="CW3207" s="76">
        <f>+CV3207*1100</f>
        <v>0</v>
      </c>
      <c r="CX3207" s="76"/>
      <c r="CY3207" s="76">
        <f>+CX3207*106250</f>
        <v>0</v>
      </c>
      <c r="CZ3207" s="76"/>
      <c r="DA3207" s="76">
        <f>+CZ3207*34500</f>
        <v>0</v>
      </c>
      <c r="DB3207" s="76"/>
      <c r="DC3207" s="76">
        <f>+DB3207*25000</f>
        <v>0</v>
      </c>
      <c r="DD3207" s="219"/>
      <c r="DE3207" s="219"/>
      <c r="DF3207" s="166"/>
      <c r="DG3207" s="116"/>
      <c r="DH3207" s="117"/>
      <c r="DI3207" s="24"/>
      <c r="DJ3207" s="24"/>
      <c r="DK3207" s="24"/>
      <c r="DL3207" s="24"/>
      <c r="DM3207" s="24"/>
      <c r="DN3207" s="24"/>
      <c r="DO3207" s="24"/>
      <c r="DP3207" s="24"/>
      <c r="DQ3207" s="24"/>
      <c r="DR3207" s="24"/>
      <c r="DS3207" s="24"/>
      <c r="DT3207" s="24"/>
      <c r="DU3207" s="24"/>
    </row>
    <row r="3208" spans="1:125" s="8" customFormat="1" ht="24" x14ac:dyDescent="0.2">
      <c r="A3208" s="228">
        <v>41544</v>
      </c>
      <c r="B3208" s="229" t="s">
        <v>2774</v>
      </c>
      <c r="C3208" s="230" t="s">
        <v>2069</v>
      </c>
      <c r="D3208" s="230" t="s">
        <v>2882</v>
      </c>
      <c r="E3208" s="296" t="str">
        <f>VLOOKUP(B3208&amp;C3208,Divipola!$C$2:$F$1138,4,FALSE)</f>
        <v>66088</v>
      </c>
      <c r="F3208" s="87"/>
      <c r="G3208" s="87"/>
      <c r="H3208" s="87"/>
      <c r="I3208" s="87">
        <v>15</v>
      </c>
      <c r="J3208" s="87">
        <v>3</v>
      </c>
      <c r="K3208" s="87"/>
      <c r="L3208" s="87">
        <v>3</v>
      </c>
      <c r="M3208" s="87"/>
      <c r="N3208" s="87"/>
      <c r="O3208" s="87"/>
      <c r="P3208" s="87"/>
      <c r="Q3208" s="87"/>
      <c r="R3208" s="87"/>
      <c r="S3208" s="87"/>
      <c r="T3208" s="87"/>
      <c r="U3208" s="88"/>
      <c r="V3208" s="89"/>
      <c r="W3208" s="96">
        <v>0</v>
      </c>
      <c r="X3208" s="71">
        <f>CU3208</f>
        <v>0</v>
      </c>
      <c r="Y3208" s="71">
        <f>CY3208</f>
        <v>0</v>
      </c>
      <c r="Z3208" s="71">
        <f>DA3208+DC3208+DE3208</f>
        <v>0</v>
      </c>
      <c r="AA3208" s="71">
        <f>CW3208</f>
        <v>0</v>
      </c>
      <c r="AB3208" s="71"/>
      <c r="AC3208" s="71">
        <v>0</v>
      </c>
      <c r="AD3208" s="71">
        <f>W3208+X3208+Y3208+Z3208+AA3208+AB3208+AC3208</f>
        <v>0</v>
      </c>
      <c r="AE3208" s="72">
        <v>0</v>
      </c>
      <c r="AF3208" s="5"/>
      <c r="AG3208" s="6"/>
      <c r="AH3208" s="27"/>
      <c r="AI3208" s="44"/>
      <c r="AJ3208" s="26"/>
      <c r="AK3208" s="5"/>
      <c r="AL3208" s="326" t="s">
        <v>6155</v>
      </c>
      <c r="AM3208" s="76"/>
      <c r="AN3208" s="76"/>
      <c r="AO3208" s="76"/>
      <c r="AP3208" s="76"/>
      <c r="AQ3208" s="76"/>
      <c r="AR3208" s="76"/>
      <c r="AS3208" s="76"/>
      <c r="AT3208" s="76"/>
      <c r="AU3208" s="76"/>
      <c r="AV3208" s="76"/>
      <c r="AW3208" s="76"/>
      <c r="AX3208" s="76">
        <f>+AW3208*600000</f>
        <v>0</v>
      </c>
      <c r="AY3208" s="76"/>
      <c r="AZ3208" s="76">
        <f>+AY3208*70000</f>
        <v>0</v>
      </c>
      <c r="BA3208" s="76"/>
      <c r="BB3208" s="76"/>
      <c r="BC3208" s="76"/>
      <c r="BD3208" s="76">
        <f>+BC3208*30000</f>
        <v>0</v>
      </c>
      <c r="BE3208" s="76"/>
      <c r="BF3208" s="76"/>
      <c r="BG3208" s="76"/>
      <c r="BH3208" s="76"/>
      <c r="BI3208" s="76"/>
      <c r="BJ3208" s="76"/>
      <c r="BK3208" s="76"/>
      <c r="BL3208" s="76">
        <f>+BK3208*31500</f>
        <v>0</v>
      </c>
      <c r="BM3208" s="76"/>
      <c r="BN3208" s="76"/>
      <c r="BO3208" s="76"/>
      <c r="BP3208" s="76"/>
      <c r="BQ3208" s="76"/>
      <c r="BR3208" s="76"/>
      <c r="BS3208" s="76"/>
      <c r="BT3208" s="76"/>
      <c r="BU3208" s="76"/>
      <c r="BV3208" s="76"/>
      <c r="BW3208" s="76"/>
      <c r="BX3208" s="76"/>
      <c r="BY3208" s="76"/>
      <c r="BZ3208" s="76"/>
      <c r="CA3208" s="76"/>
      <c r="CB3208" s="76"/>
      <c r="CC3208" s="76"/>
      <c r="CD3208" s="76"/>
      <c r="CE3208" s="76"/>
      <c r="CF3208" s="76">
        <f>+CE3208*28000</f>
        <v>0</v>
      </c>
      <c r="CG3208" s="76"/>
      <c r="CH3208" s="76">
        <f>+CG3208*22500</f>
        <v>0</v>
      </c>
      <c r="CI3208" s="76"/>
      <c r="CJ3208" s="76">
        <f>+CI3208*26000</f>
        <v>0</v>
      </c>
      <c r="CK3208" s="76"/>
      <c r="CL3208" s="76"/>
      <c r="CM3208" s="76"/>
      <c r="CN3208" s="76">
        <f>+CM3208*22000</f>
        <v>0</v>
      </c>
      <c r="CO3208" s="76"/>
      <c r="CP3208" s="76">
        <f>+CO3208*46000</f>
        <v>0</v>
      </c>
      <c r="CQ3208" s="76"/>
      <c r="CR3208" s="76">
        <f>+CQ3208*49000</f>
        <v>0</v>
      </c>
      <c r="CS3208" s="76"/>
      <c r="CT3208" s="76"/>
      <c r="CU3208" s="56">
        <f>AN3208+AP3208+AR3208+AT3208+AV3208+AX3208+AZ3208+BB3208+BD3208+BF3208+BH3208+BJ3208+BL3208+BN3208+BP3208+BR3208+BT3208+BV3208+BX3208+BZ3208+CB3208+CD3208+CF3208+CH3208+CJ3208+CL3208+CN3208+CP3208+CR3208+CT3208</f>
        <v>0</v>
      </c>
      <c r="CV3208" s="76"/>
      <c r="CW3208" s="76">
        <f>+CV3208*1100</f>
        <v>0</v>
      </c>
      <c r="CX3208" s="76"/>
      <c r="CY3208" s="76">
        <f>+CX3208*106250</f>
        <v>0</v>
      </c>
      <c r="CZ3208" s="76"/>
      <c r="DA3208" s="76">
        <f>+CZ3208*34500</f>
        <v>0</v>
      </c>
      <c r="DB3208" s="76"/>
      <c r="DC3208" s="76">
        <f>+DB3208*25000</f>
        <v>0</v>
      </c>
      <c r="DD3208" s="219"/>
      <c r="DE3208" s="219"/>
      <c r="DF3208" s="166"/>
      <c r="DG3208" s="116"/>
      <c r="DH3208" s="117"/>
      <c r="DI3208" s="24"/>
      <c r="DJ3208" s="24"/>
      <c r="DK3208" s="24"/>
      <c r="DL3208" s="24"/>
      <c r="DM3208" s="24"/>
      <c r="DN3208" s="24"/>
      <c r="DO3208" s="24"/>
      <c r="DP3208" s="24"/>
      <c r="DQ3208" s="24"/>
      <c r="DR3208" s="24"/>
      <c r="DS3208" s="24"/>
      <c r="DT3208" s="24"/>
      <c r="DU3208" s="24"/>
    </row>
    <row r="3209" spans="1:125" s="8" customFormat="1" ht="24" x14ac:dyDescent="0.2">
      <c r="A3209" s="228">
        <v>41544</v>
      </c>
      <c r="B3209" s="229" t="s">
        <v>2774</v>
      </c>
      <c r="C3209" s="230" t="s">
        <v>2745</v>
      </c>
      <c r="D3209" s="230" t="s">
        <v>2882</v>
      </c>
      <c r="E3209" s="296" t="str">
        <f>VLOOKUP(B3209&amp;C3209,Divipola!$C$2:$F$1138,4,FALSE)</f>
        <v>66318</v>
      </c>
      <c r="F3209" s="87"/>
      <c r="G3209" s="87"/>
      <c r="H3209" s="87"/>
      <c r="I3209" s="87">
        <v>20</v>
      </c>
      <c r="J3209" s="87">
        <v>4</v>
      </c>
      <c r="K3209" s="87"/>
      <c r="L3209" s="87">
        <v>4</v>
      </c>
      <c r="M3209" s="87"/>
      <c r="N3209" s="87"/>
      <c r="O3209" s="87"/>
      <c r="P3209" s="87"/>
      <c r="Q3209" s="87"/>
      <c r="R3209" s="87"/>
      <c r="S3209" s="87"/>
      <c r="T3209" s="87"/>
      <c r="U3209" s="88"/>
      <c r="V3209" s="89"/>
      <c r="W3209" s="96">
        <v>0</v>
      </c>
      <c r="X3209" s="71">
        <f>CU3209</f>
        <v>0</v>
      </c>
      <c r="Y3209" s="71">
        <f>CY3209</f>
        <v>0</v>
      </c>
      <c r="Z3209" s="71">
        <f>DA3209+DC3209+DE3209</f>
        <v>0</v>
      </c>
      <c r="AA3209" s="71">
        <f>CW3209</f>
        <v>0</v>
      </c>
      <c r="AB3209" s="71"/>
      <c r="AC3209" s="71">
        <v>0</v>
      </c>
      <c r="AD3209" s="71">
        <f>W3209+X3209+Y3209+Z3209+AA3209+AB3209+AC3209</f>
        <v>0</v>
      </c>
      <c r="AE3209" s="72">
        <v>0</v>
      </c>
      <c r="AF3209" s="5"/>
      <c r="AG3209" s="6"/>
      <c r="AH3209" s="27"/>
      <c r="AI3209" s="44"/>
      <c r="AJ3209" s="26"/>
      <c r="AK3209" s="5"/>
      <c r="AL3209" s="326" t="s">
        <v>6154</v>
      </c>
      <c r="AM3209" s="76"/>
      <c r="AN3209" s="76"/>
      <c r="AO3209" s="76"/>
      <c r="AP3209" s="76"/>
      <c r="AQ3209" s="76"/>
      <c r="AR3209" s="76"/>
      <c r="AS3209" s="76"/>
      <c r="AT3209" s="76"/>
      <c r="AU3209" s="76"/>
      <c r="AV3209" s="76"/>
      <c r="AW3209" s="76"/>
      <c r="AX3209" s="76">
        <f>+AW3209*600000</f>
        <v>0</v>
      </c>
      <c r="AY3209" s="76"/>
      <c r="AZ3209" s="76">
        <f>+AY3209*70000</f>
        <v>0</v>
      </c>
      <c r="BA3209" s="76"/>
      <c r="BB3209" s="76"/>
      <c r="BC3209" s="76"/>
      <c r="BD3209" s="76">
        <f>+BC3209*30000</f>
        <v>0</v>
      </c>
      <c r="BE3209" s="76"/>
      <c r="BF3209" s="76"/>
      <c r="BG3209" s="76"/>
      <c r="BH3209" s="76"/>
      <c r="BI3209" s="76"/>
      <c r="BJ3209" s="76"/>
      <c r="BK3209" s="76"/>
      <c r="BL3209" s="76">
        <f>+BK3209*31500</f>
        <v>0</v>
      </c>
      <c r="BM3209" s="76"/>
      <c r="BN3209" s="76"/>
      <c r="BO3209" s="76"/>
      <c r="BP3209" s="76"/>
      <c r="BQ3209" s="76"/>
      <c r="BR3209" s="76"/>
      <c r="BS3209" s="76"/>
      <c r="BT3209" s="76"/>
      <c r="BU3209" s="76"/>
      <c r="BV3209" s="76"/>
      <c r="BW3209" s="76"/>
      <c r="BX3209" s="76"/>
      <c r="BY3209" s="76"/>
      <c r="BZ3209" s="76"/>
      <c r="CA3209" s="76"/>
      <c r="CB3209" s="76"/>
      <c r="CC3209" s="76"/>
      <c r="CD3209" s="76"/>
      <c r="CE3209" s="76"/>
      <c r="CF3209" s="76">
        <f>+CE3209*28000</f>
        <v>0</v>
      </c>
      <c r="CG3209" s="76"/>
      <c r="CH3209" s="76">
        <f>+CG3209*22500</f>
        <v>0</v>
      </c>
      <c r="CI3209" s="76"/>
      <c r="CJ3209" s="76">
        <f>+CI3209*26000</f>
        <v>0</v>
      </c>
      <c r="CK3209" s="76"/>
      <c r="CL3209" s="76"/>
      <c r="CM3209" s="76"/>
      <c r="CN3209" s="76">
        <f>+CM3209*22000</f>
        <v>0</v>
      </c>
      <c r="CO3209" s="76"/>
      <c r="CP3209" s="76">
        <f>+CO3209*46000</f>
        <v>0</v>
      </c>
      <c r="CQ3209" s="76"/>
      <c r="CR3209" s="76">
        <f>+CQ3209*49000</f>
        <v>0</v>
      </c>
      <c r="CS3209" s="76"/>
      <c r="CT3209" s="76"/>
      <c r="CU3209" s="56">
        <f>AN3209+AP3209+AR3209+AT3209+AV3209+AX3209+AZ3209+BB3209+BD3209+BF3209+BH3209+BJ3209+BL3209+BN3209+BP3209+BR3209+BT3209+BV3209+BX3209+BZ3209+CB3209+CD3209+CF3209+CH3209+CJ3209+CL3209+CN3209+CP3209+CR3209+CT3209</f>
        <v>0</v>
      </c>
      <c r="CV3209" s="76"/>
      <c r="CW3209" s="76">
        <f>+CV3209*1100</f>
        <v>0</v>
      </c>
      <c r="CX3209" s="76"/>
      <c r="CY3209" s="76">
        <f>+CX3209*106250</f>
        <v>0</v>
      </c>
      <c r="CZ3209" s="76"/>
      <c r="DA3209" s="76">
        <f>+CZ3209*34500</f>
        <v>0</v>
      </c>
      <c r="DB3209" s="76"/>
      <c r="DC3209" s="76">
        <f>+DB3209*25000</f>
        <v>0</v>
      </c>
      <c r="DD3209" s="219"/>
      <c r="DE3209" s="219"/>
      <c r="DF3209" s="166"/>
      <c r="DG3209" s="116"/>
      <c r="DH3209" s="117"/>
      <c r="DI3209" s="24"/>
      <c r="DJ3209" s="24"/>
      <c r="DK3209" s="24"/>
      <c r="DL3209" s="24"/>
      <c r="DM3209" s="24"/>
      <c r="DN3209" s="24"/>
      <c r="DO3209" s="24"/>
      <c r="DP3209" s="24"/>
      <c r="DQ3209" s="24"/>
      <c r="DR3209" s="24"/>
      <c r="DS3209" s="24"/>
      <c r="DT3209" s="24"/>
      <c r="DU3209" s="24"/>
    </row>
    <row r="3210" spans="1:125" s="8" customFormat="1" ht="36" x14ac:dyDescent="0.2">
      <c r="A3210" s="228">
        <v>41544</v>
      </c>
      <c r="B3210" s="229" t="s">
        <v>2774</v>
      </c>
      <c r="C3210" s="230" t="s">
        <v>2038</v>
      </c>
      <c r="D3210" s="230" t="s">
        <v>2882</v>
      </c>
      <c r="E3210" s="296" t="str">
        <f>VLOOKUP(B3210&amp;C3210,Divipola!$C$2:$F$1138,4,FALSE)</f>
        <v>66456</v>
      </c>
      <c r="F3210" s="87"/>
      <c r="G3210" s="87"/>
      <c r="H3210" s="87"/>
      <c r="I3210" s="87">
        <v>60</v>
      </c>
      <c r="J3210" s="87">
        <v>12</v>
      </c>
      <c r="K3210" s="87"/>
      <c r="L3210" s="87">
        <v>12</v>
      </c>
      <c r="M3210" s="87"/>
      <c r="N3210" s="87"/>
      <c r="O3210" s="87"/>
      <c r="P3210" s="87"/>
      <c r="Q3210" s="87"/>
      <c r="R3210" s="87"/>
      <c r="S3210" s="87">
        <v>1</v>
      </c>
      <c r="T3210" s="87"/>
      <c r="U3210" s="88"/>
      <c r="V3210" s="89"/>
      <c r="W3210" s="96">
        <v>0</v>
      </c>
      <c r="X3210" s="71">
        <f>CU3210</f>
        <v>0</v>
      </c>
      <c r="Y3210" s="71">
        <f>CY3210</f>
        <v>0</v>
      </c>
      <c r="Z3210" s="71">
        <f>DA3210+DC3210+DE3210</f>
        <v>0</v>
      </c>
      <c r="AA3210" s="71">
        <f>CW3210</f>
        <v>0</v>
      </c>
      <c r="AB3210" s="71"/>
      <c r="AC3210" s="71">
        <v>0</v>
      </c>
      <c r="AD3210" s="71">
        <f>W3210+X3210+Y3210+Z3210+AA3210+AB3210+AC3210</f>
        <v>0</v>
      </c>
      <c r="AE3210" s="72">
        <v>0</v>
      </c>
      <c r="AF3210" s="5"/>
      <c r="AG3210" s="6"/>
      <c r="AH3210" s="27"/>
      <c r="AI3210" s="44"/>
      <c r="AJ3210" s="26"/>
      <c r="AK3210" s="5"/>
      <c r="AL3210" s="326" t="s">
        <v>6153</v>
      </c>
      <c r="AM3210" s="76"/>
      <c r="AN3210" s="76"/>
      <c r="AO3210" s="76"/>
      <c r="AP3210" s="76"/>
      <c r="AQ3210" s="76"/>
      <c r="AR3210" s="76"/>
      <c r="AS3210" s="76"/>
      <c r="AT3210" s="76"/>
      <c r="AU3210" s="76"/>
      <c r="AV3210" s="76"/>
      <c r="AW3210" s="76"/>
      <c r="AX3210" s="76">
        <f>+AW3210*600000</f>
        <v>0</v>
      </c>
      <c r="AY3210" s="76"/>
      <c r="AZ3210" s="76">
        <f>+AY3210*70000</f>
        <v>0</v>
      </c>
      <c r="BA3210" s="76"/>
      <c r="BB3210" s="76"/>
      <c r="BC3210" s="76"/>
      <c r="BD3210" s="76">
        <f>+BC3210*30000</f>
        <v>0</v>
      </c>
      <c r="BE3210" s="76"/>
      <c r="BF3210" s="76"/>
      <c r="BG3210" s="76"/>
      <c r="BH3210" s="76"/>
      <c r="BI3210" s="76"/>
      <c r="BJ3210" s="76"/>
      <c r="BK3210" s="76"/>
      <c r="BL3210" s="76">
        <f>+BK3210*31500</f>
        <v>0</v>
      </c>
      <c r="BM3210" s="76"/>
      <c r="BN3210" s="76"/>
      <c r="BO3210" s="76"/>
      <c r="BP3210" s="76"/>
      <c r="BQ3210" s="76"/>
      <c r="BR3210" s="76"/>
      <c r="BS3210" s="76"/>
      <c r="BT3210" s="76"/>
      <c r="BU3210" s="76"/>
      <c r="BV3210" s="76"/>
      <c r="BW3210" s="76"/>
      <c r="BX3210" s="76"/>
      <c r="BY3210" s="76"/>
      <c r="BZ3210" s="76"/>
      <c r="CA3210" s="76"/>
      <c r="CB3210" s="76"/>
      <c r="CC3210" s="76"/>
      <c r="CD3210" s="76"/>
      <c r="CE3210" s="76"/>
      <c r="CF3210" s="76">
        <f>+CE3210*28000</f>
        <v>0</v>
      </c>
      <c r="CG3210" s="76"/>
      <c r="CH3210" s="76">
        <f>+CG3210*22500</f>
        <v>0</v>
      </c>
      <c r="CI3210" s="76"/>
      <c r="CJ3210" s="76">
        <f>+CI3210*26000</f>
        <v>0</v>
      </c>
      <c r="CK3210" s="76"/>
      <c r="CL3210" s="76"/>
      <c r="CM3210" s="76"/>
      <c r="CN3210" s="76">
        <f>+CM3210*22000</f>
        <v>0</v>
      </c>
      <c r="CO3210" s="76"/>
      <c r="CP3210" s="76">
        <f>+CO3210*46000</f>
        <v>0</v>
      </c>
      <c r="CQ3210" s="76"/>
      <c r="CR3210" s="76">
        <f>+CQ3210*49000</f>
        <v>0</v>
      </c>
      <c r="CS3210" s="76"/>
      <c r="CT3210" s="76"/>
      <c r="CU3210" s="56">
        <f>AN3210+AP3210+AR3210+AT3210+AV3210+AX3210+AZ3210+BB3210+BD3210+BF3210+BH3210+BJ3210+BL3210+BN3210+BP3210+BR3210+BT3210+BV3210+BX3210+BZ3210+CB3210+CD3210+CF3210+CH3210+CJ3210+CL3210+CN3210+CP3210+CR3210+CT3210</f>
        <v>0</v>
      </c>
      <c r="CV3210" s="76"/>
      <c r="CW3210" s="76">
        <f>+CV3210*1100</f>
        <v>0</v>
      </c>
      <c r="CX3210" s="76"/>
      <c r="CY3210" s="76">
        <f>+CX3210*106250</f>
        <v>0</v>
      </c>
      <c r="CZ3210" s="76"/>
      <c r="DA3210" s="76">
        <f>+CZ3210*34500</f>
        <v>0</v>
      </c>
      <c r="DB3210" s="76"/>
      <c r="DC3210" s="76">
        <f>+DB3210*25000</f>
        <v>0</v>
      </c>
      <c r="DD3210" s="219"/>
      <c r="DE3210" s="219"/>
      <c r="DF3210" s="166"/>
      <c r="DG3210" s="116"/>
      <c r="DH3210" s="117"/>
      <c r="DI3210" s="24"/>
      <c r="DJ3210" s="24"/>
      <c r="DK3210" s="24"/>
      <c r="DL3210" s="24"/>
      <c r="DM3210" s="24"/>
      <c r="DN3210" s="24"/>
      <c r="DO3210" s="24"/>
      <c r="DP3210" s="24"/>
      <c r="DQ3210" s="24"/>
      <c r="DR3210" s="24"/>
      <c r="DS3210" s="24"/>
      <c r="DT3210" s="24"/>
      <c r="DU3210" s="24"/>
    </row>
    <row r="3211" spans="1:125" s="8" customFormat="1" ht="60" x14ac:dyDescent="0.2">
      <c r="A3211" s="77">
        <v>41544</v>
      </c>
      <c r="B3211" s="78" t="s">
        <v>2848</v>
      </c>
      <c r="C3211" s="75" t="s">
        <v>2213</v>
      </c>
      <c r="D3211" s="75" t="s">
        <v>2882</v>
      </c>
      <c r="E3211" s="75" t="str">
        <f>VLOOKUP(B3211&amp;C3211,Divipola!$C$2:$F$1138,4,FALSE)</f>
        <v>73152</v>
      </c>
      <c r="F3211" s="61"/>
      <c r="G3211" s="61"/>
      <c r="H3211" s="61"/>
      <c r="I3211" s="61">
        <v>135</v>
      </c>
      <c r="J3211" s="61">
        <v>27</v>
      </c>
      <c r="K3211" s="61"/>
      <c r="L3211" s="61">
        <v>27</v>
      </c>
      <c r="M3211" s="61"/>
      <c r="N3211" s="61"/>
      <c r="O3211" s="61"/>
      <c r="P3211" s="61"/>
      <c r="Q3211" s="61"/>
      <c r="R3211" s="61"/>
      <c r="S3211" s="61"/>
      <c r="T3211" s="61"/>
      <c r="U3211" s="61"/>
      <c r="V3211" s="7"/>
      <c r="W3211" s="96">
        <v>0</v>
      </c>
      <c r="X3211" s="71">
        <f>CU3211</f>
        <v>1469986.7999999998</v>
      </c>
      <c r="Y3211" s="71">
        <f>CY3211</f>
        <v>3154125</v>
      </c>
      <c r="Z3211" s="71">
        <f>DA3211+DC3211+DE3211</f>
        <v>20228544</v>
      </c>
      <c r="AA3211" s="71">
        <f>CW3211</f>
        <v>0</v>
      </c>
      <c r="AB3211" s="71"/>
      <c r="AC3211" s="71">
        <v>0</v>
      </c>
      <c r="AD3211" s="71">
        <f>W3211+X3211+Y3211+Z3211+AA3211+AB3211+AC3211</f>
        <v>24852655.800000001</v>
      </c>
      <c r="AE3211" s="72">
        <v>0</v>
      </c>
      <c r="AF3211" s="5"/>
      <c r="AG3211" s="6"/>
      <c r="AH3211" s="27"/>
      <c r="AI3211" s="44"/>
      <c r="AJ3211" s="26"/>
      <c r="AK3211" s="5"/>
      <c r="AL3211" s="9" t="s">
        <v>6328</v>
      </c>
      <c r="AM3211" s="76"/>
      <c r="AN3211" s="76"/>
      <c r="AO3211" s="76"/>
      <c r="AP3211" s="76"/>
      <c r="AQ3211" s="76"/>
      <c r="AR3211" s="76"/>
      <c r="AS3211" s="76"/>
      <c r="AT3211" s="76"/>
      <c r="AU3211" s="76"/>
      <c r="AV3211" s="76"/>
      <c r="AW3211" s="76"/>
      <c r="AX3211" s="76">
        <f>+AW3211*600000</f>
        <v>0</v>
      </c>
      <c r="AY3211" s="76"/>
      <c r="AZ3211" s="76">
        <f>+AY3211*70000</f>
        <v>0</v>
      </c>
      <c r="BA3211" s="76"/>
      <c r="BB3211" s="76"/>
      <c r="BC3211" s="76"/>
      <c r="BD3211" s="76">
        <f>+BC3211*30000</f>
        <v>0</v>
      </c>
      <c r="BE3211" s="76"/>
      <c r="BF3211" s="76"/>
      <c r="BG3211" s="76"/>
      <c r="BH3211" s="76"/>
      <c r="BI3211" s="76"/>
      <c r="BJ3211" s="76"/>
      <c r="BK3211" s="76"/>
      <c r="BL3211" s="76">
        <f>+BK3211*31500</f>
        <v>0</v>
      </c>
      <c r="BM3211" s="76"/>
      <c r="BN3211" s="76"/>
      <c r="BO3211" s="76"/>
      <c r="BP3211" s="76"/>
      <c r="BQ3211" s="76"/>
      <c r="BR3211" s="76"/>
      <c r="BS3211" s="76"/>
      <c r="BT3211" s="76"/>
      <c r="BU3211" s="76"/>
      <c r="BV3211" s="76"/>
      <c r="BW3211" s="76"/>
      <c r="BX3211" s="76"/>
      <c r="BY3211" s="76"/>
      <c r="BZ3211" s="76"/>
      <c r="CA3211" s="76"/>
      <c r="CB3211" s="76"/>
      <c r="CC3211" s="76"/>
      <c r="CD3211" s="76"/>
      <c r="CE3211" s="76"/>
      <c r="CF3211" s="76">
        <f>+CE3211*28000</f>
        <v>0</v>
      </c>
      <c r="CG3211" s="76"/>
      <c r="CH3211" s="76">
        <f>+CG3211*22500</f>
        <v>0</v>
      </c>
      <c r="CI3211" s="76"/>
      <c r="CJ3211" s="76">
        <f>+CI3211*26000</f>
        <v>0</v>
      </c>
      <c r="CK3211" s="76"/>
      <c r="CL3211" s="76"/>
      <c r="CM3211" s="76"/>
      <c r="CN3211" s="76">
        <f>+CM3211*22000</f>
        <v>0</v>
      </c>
      <c r="CO3211" s="76"/>
      <c r="CP3211" s="76">
        <f>+CO3211*46000</f>
        <v>0</v>
      </c>
      <c r="CQ3211" s="86">
        <v>30</v>
      </c>
      <c r="CR3211" s="86">
        <f>+CQ3211*48999.56</f>
        <v>1469986.7999999998</v>
      </c>
      <c r="CS3211" s="76"/>
      <c r="CT3211" s="76"/>
      <c r="CU3211" s="56">
        <f>AN3211+AP3211+AR3211+AT3211+AV3211+AX3211+AZ3211+BB3211+BD3211+BF3211+BH3211+BJ3211+BL3211+BN3211+BP3211+BR3211+BT3211+BV3211+BX3211+BZ3211+CB3211+CD3211+CF3211+CH3211+CJ3211+CL3211+CN3211+CP3211+CR3211+CT3211</f>
        <v>1469986.7999999998</v>
      </c>
      <c r="CV3211" s="76"/>
      <c r="CW3211" s="76">
        <f>+CV3211*1100</f>
        <v>0</v>
      </c>
      <c r="CX3211" s="86">
        <v>30</v>
      </c>
      <c r="CY3211" s="86">
        <f>+CX3211*105137.5</f>
        <v>3154125</v>
      </c>
      <c r="CZ3211" s="86">
        <v>200</v>
      </c>
      <c r="DA3211" s="86">
        <f>+CZ3211*34449.68</f>
        <v>6889936</v>
      </c>
      <c r="DB3211" s="86">
        <v>400</v>
      </c>
      <c r="DC3211" s="86">
        <f>+DB3211*31999.76+2700*199.52</f>
        <v>13338608</v>
      </c>
      <c r="DD3211" s="219"/>
      <c r="DE3211" s="219"/>
      <c r="DF3211" s="166"/>
      <c r="DG3211" s="134" t="s">
        <v>6938</v>
      </c>
      <c r="DH3211" s="117"/>
      <c r="DI3211" s="24"/>
      <c r="DJ3211" s="24"/>
      <c r="DK3211" s="24"/>
      <c r="DL3211" s="24"/>
      <c r="DM3211" s="24"/>
      <c r="DN3211" s="24"/>
      <c r="DO3211" s="24"/>
      <c r="DP3211" s="24"/>
      <c r="DQ3211" s="24"/>
      <c r="DR3211" s="24"/>
      <c r="DS3211" s="24"/>
      <c r="DT3211" s="24"/>
      <c r="DU3211" s="24"/>
    </row>
    <row r="3212" spans="1:125" s="8" customFormat="1" ht="60" x14ac:dyDescent="0.2">
      <c r="A3212" s="77">
        <v>41544</v>
      </c>
      <c r="B3212" s="60" t="s">
        <v>2848</v>
      </c>
      <c r="C3212" s="55" t="s">
        <v>2214</v>
      </c>
      <c r="D3212" s="55" t="s">
        <v>2882</v>
      </c>
      <c r="E3212" s="296" t="str">
        <f>VLOOKUP(B3212&amp;C3212,Divipola!$C$2:$F$1138,4,FALSE)</f>
        <v>73283</v>
      </c>
      <c r="F3212" s="87"/>
      <c r="G3212" s="87"/>
      <c r="H3212" s="87"/>
      <c r="I3212" s="87"/>
      <c r="J3212" s="87"/>
      <c r="K3212" s="87"/>
      <c r="L3212" s="87"/>
      <c r="M3212" s="87"/>
      <c r="N3212" s="87"/>
      <c r="O3212" s="87"/>
      <c r="P3212" s="87"/>
      <c r="Q3212" s="87"/>
      <c r="R3212" s="87"/>
      <c r="S3212" s="87"/>
      <c r="T3212" s="87"/>
      <c r="U3212" s="88"/>
      <c r="V3212" s="89"/>
      <c r="W3212" s="96">
        <v>0</v>
      </c>
      <c r="X3212" s="71">
        <f>CU3212</f>
        <v>0</v>
      </c>
      <c r="Y3212" s="71">
        <f>CY3212</f>
        <v>0</v>
      </c>
      <c r="Z3212" s="71">
        <f>DA3212+DC3212+DE3212</f>
        <v>0</v>
      </c>
      <c r="AA3212" s="71">
        <f>CW3212</f>
        <v>0</v>
      </c>
      <c r="AB3212" s="71"/>
      <c r="AC3212" s="71">
        <v>0</v>
      </c>
      <c r="AD3212" s="71">
        <f>W3212+X3212+Y3212+Z3212+AA3212+AB3212+AC3212</f>
        <v>0</v>
      </c>
      <c r="AE3212" s="72">
        <v>0</v>
      </c>
      <c r="AF3212" s="5"/>
      <c r="AG3212" s="6"/>
      <c r="AH3212" s="27"/>
      <c r="AI3212" s="44"/>
      <c r="AJ3212" s="26"/>
      <c r="AK3212" s="5"/>
      <c r="AL3212" s="274" t="s">
        <v>6144</v>
      </c>
      <c r="AM3212" s="76"/>
      <c r="AN3212" s="76"/>
      <c r="AO3212" s="76"/>
      <c r="AP3212" s="76"/>
      <c r="AQ3212" s="76"/>
      <c r="AR3212" s="76"/>
      <c r="AS3212" s="76"/>
      <c r="AT3212" s="76"/>
      <c r="AU3212" s="76"/>
      <c r="AV3212" s="76"/>
      <c r="AW3212" s="76"/>
      <c r="AX3212" s="76">
        <f>+AW3212*600000</f>
        <v>0</v>
      </c>
      <c r="AY3212" s="76"/>
      <c r="AZ3212" s="76">
        <f>+AY3212*70000</f>
        <v>0</v>
      </c>
      <c r="BA3212" s="76"/>
      <c r="BB3212" s="76"/>
      <c r="BC3212" s="76"/>
      <c r="BD3212" s="76">
        <f>+BC3212*30000</f>
        <v>0</v>
      </c>
      <c r="BE3212" s="76"/>
      <c r="BF3212" s="76"/>
      <c r="BG3212" s="76"/>
      <c r="BH3212" s="76"/>
      <c r="BI3212" s="76"/>
      <c r="BJ3212" s="76"/>
      <c r="BK3212" s="76"/>
      <c r="BL3212" s="76">
        <f>+BK3212*31500</f>
        <v>0</v>
      </c>
      <c r="BM3212" s="76"/>
      <c r="BN3212" s="76"/>
      <c r="BO3212" s="76"/>
      <c r="BP3212" s="76"/>
      <c r="BQ3212" s="76"/>
      <c r="BR3212" s="76"/>
      <c r="BS3212" s="76"/>
      <c r="BT3212" s="76"/>
      <c r="BU3212" s="76"/>
      <c r="BV3212" s="76"/>
      <c r="BW3212" s="76"/>
      <c r="BX3212" s="76"/>
      <c r="BY3212" s="76"/>
      <c r="BZ3212" s="76"/>
      <c r="CA3212" s="76"/>
      <c r="CB3212" s="76"/>
      <c r="CC3212" s="76"/>
      <c r="CD3212" s="76"/>
      <c r="CE3212" s="76"/>
      <c r="CF3212" s="76">
        <f>+CE3212*28000</f>
        <v>0</v>
      </c>
      <c r="CG3212" s="76"/>
      <c r="CH3212" s="76">
        <f>+CG3212*22500</f>
        <v>0</v>
      </c>
      <c r="CI3212" s="76"/>
      <c r="CJ3212" s="76">
        <f>+CI3212*26000</f>
        <v>0</v>
      </c>
      <c r="CK3212" s="76"/>
      <c r="CL3212" s="76"/>
      <c r="CM3212" s="76"/>
      <c r="CN3212" s="76">
        <f>+CM3212*22000</f>
        <v>0</v>
      </c>
      <c r="CO3212" s="76"/>
      <c r="CP3212" s="76">
        <f>+CO3212*46000</f>
        <v>0</v>
      </c>
      <c r="CQ3212" s="76"/>
      <c r="CR3212" s="76">
        <f>+CQ3212*49000</f>
        <v>0</v>
      </c>
      <c r="CS3212" s="76"/>
      <c r="CT3212" s="76"/>
      <c r="CU3212" s="56">
        <f>AN3212+AP3212+AR3212+AT3212+AV3212+AX3212+AZ3212+BB3212+BD3212+BF3212+BH3212+BJ3212+BL3212+BN3212+BP3212+BR3212+BT3212+BV3212+BX3212+BZ3212+CB3212+CD3212+CF3212+CH3212+CJ3212+CL3212+CN3212+CP3212+CR3212+CT3212</f>
        <v>0</v>
      </c>
      <c r="CV3212" s="76"/>
      <c r="CW3212" s="76">
        <f>+CV3212*1100</f>
        <v>0</v>
      </c>
      <c r="CX3212" s="76"/>
      <c r="CY3212" s="76">
        <f>+CX3212*106250</f>
        <v>0</v>
      </c>
      <c r="CZ3212" s="76"/>
      <c r="DA3212" s="76">
        <f>+CZ3212*34500</f>
        <v>0</v>
      </c>
      <c r="DB3212" s="76"/>
      <c r="DC3212" s="76">
        <f>+DB3212*25000</f>
        <v>0</v>
      </c>
      <c r="DD3212" s="219"/>
      <c r="DE3212" s="219"/>
      <c r="DF3212" s="166"/>
      <c r="DG3212" s="116"/>
      <c r="DH3212" s="117"/>
      <c r="DI3212" s="24"/>
      <c r="DJ3212" s="24"/>
      <c r="DK3212" s="24"/>
      <c r="DL3212" s="24"/>
      <c r="DM3212" s="24"/>
      <c r="DN3212" s="24"/>
      <c r="DO3212" s="24"/>
      <c r="DP3212" s="24"/>
      <c r="DQ3212" s="24"/>
      <c r="DR3212" s="24"/>
      <c r="DS3212" s="24"/>
      <c r="DT3212" s="24"/>
      <c r="DU3212" s="24"/>
    </row>
    <row r="3213" spans="1:125" s="8" customFormat="1" ht="48" x14ac:dyDescent="0.2">
      <c r="A3213" s="77">
        <v>41544</v>
      </c>
      <c r="B3213" s="352" t="s">
        <v>2848</v>
      </c>
      <c r="C3213" s="354" t="s">
        <v>2191</v>
      </c>
      <c r="D3213" s="354" t="s">
        <v>2846</v>
      </c>
      <c r="E3213" s="296" t="str">
        <f>VLOOKUP(B3213&amp;C3213,Divipola!$C$2:$F$1138,4,FALSE)</f>
        <v>73319</v>
      </c>
      <c r="F3213" s="87"/>
      <c r="G3213" s="87"/>
      <c r="H3213" s="87"/>
      <c r="I3213" s="87"/>
      <c r="J3213" s="87"/>
      <c r="K3213" s="87"/>
      <c r="L3213" s="87"/>
      <c r="M3213" s="87"/>
      <c r="N3213" s="87"/>
      <c r="O3213" s="87"/>
      <c r="P3213" s="87"/>
      <c r="Q3213" s="87"/>
      <c r="R3213" s="87"/>
      <c r="S3213" s="87"/>
      <c r="T3213" s="87"/>
      <c r="U3213" s="88">
        <v>9</v>
      </c>
      <c r="V3213" s="89"/>
      <c r="W3213" s="96">
        <v>0</v>
      </c>
      <c r="X3213" s="71">
        <f>CU3213</f>
        <v>0</v>
      </c>
      <c r="Y3213" s="71">
        <f>CY3213</f>
        <v>0</v>
      </c>
      <c r="Z3213" s="71">
        <f>DA3213+DC3213+DE3213</f>
        <v>0</v>
      </c>
      <c r="AA3213" s="71">
        <f>CW3213</f>
        <v>0</v>
      </c>
      <c r="AB3213" s="71"/>
      <c r="AC3213" s="71">
        <v>0</v>
      </c>
      <c r="AD3213" s="71">
        <f>W3213+X3213+Y3213+Z3213+AA3213+AB3213+AC3213</f>
        <v>0</v>
      </c>
      <c r="AE3213" s="72">
        <v>0</v>
      </c>
      <c r="AF3213" s="5"/>
      <c r="AG3213" s="6"/>
      <c r="AH3213" s="27"/>
      <c r="AI3213" s="44"/>
      <c r="AJ3213" s="26"/>
      <c r="AK3213" s="5"/>
      <c r="AL3213" s="274" t="s">
        <v>6141</v>
      </c>
      <c r="AM3213" s="76"/>
      <c r="AN3213" s="76"/>
      <c r="AO3213" s="76"/>
      <c r="AP3213" s="76"/>
      <c r="AQ3213" s="76"/>
      <c r="AR3213" s="76"/>
      <c r="AS3213" s="76"/>
      <c r="AT3213" s="76"/>
      <c r="AU3213" s="76"/>
      <c r="AV3213" s="76"/>
      <c r="AW3213" s="76"/>
      <c r="AX3213" s="76">
        <f>+AW3213*600000</f>
        <v>0</v>
      </c>
      <c r="AY3213" s="76"/>
      <c r="AZ3213" s="76">
        <f>+AY3213*70000</f>
        <v>0</v>
      </c>
      <c r="BA3213" s="76"/>
      <c r="BB3213" s="76"/>
      <c r="BC3213" s="76"/>
      <c r="BD3213" s="76">
        <f>+BC3213*30000</f>
        <v>0</v>
      </c>
      <c r="BE3213" s="76"/>
      <c r="BF3213" s="76"/>
      <c r="BG3213" s="76"/>
      <c r="BH3213" s="76"/>
      <c r="BI3213" s="76"/>
      <c r="BJ3213" s="76"/>
      <c r="BK3213" s="76"/>
      <c r="BL3213" s="76">
        <f>+BK3213*31500</f>
        <v>0</v>
      </c>
      <c r="BM3213" s="76"/>
      <c r="BN3213" s="76"/>
      <c r="BO3213" s="76"/>
      <c r="BP3213" s="76"/>
      <c r="BQ3213" s="76"/>
      <c r="BR3213" s="76"/>
      <c r="BS3213" s="76"/>
      <c r="BT3213" s="76"/>
      <c r="BU3213" s="76"/>
      <c r="BV3213" s="76"/>
      <c r="BW3213" s="76"/>
      <c r="BX3213" s="76"/>
      <c r="BY3213" s="76"/>
      <c r="BZ3213" s="76"/>
      <c r="CA3213" s="76"/>
      <c r="CB3213" s="76"/>
      <c r="CC3213" s="76"/>
      <c r="CD3213" s="76"/>
      <c r="CE3213" s="76"/>
      <c r="CF3213" s="76">
        <f>+CE3213*28000</f>
        <v>0</v>
      </c>
      <c r="CG3213" s="76"/>
      <c r="CH3213" s="76">
        <f>+CG3213*22500</f>
        <v>0</v>
      </c>
      <c r="CI3213" s="76"/>
      <c r="CJ3213" s="76">
        <f>+CI3213*26000</f>
        <v>0</v>
      </c>
      <c r="CK3213" s="76"/>
      <c r="CL3213" s="76"/>
      <c r="CM3213" s="76"/>
      <c r="CN3213" s="76">
        <f>+CM3213*22000</f>
        <v>0</v>
      </c>
      <c r="CO3213" s="76"/>
      <c r="CP3213" s="76">
        <f>+CO3213*46000</f>
        <v>0</v>
      </c>
      <c r="CQ3213" s="76"/>
      <c r="CR3213" s="76">
        <f>+CQ3213*49000</f>
        <v>0</v>
      </c>
      <c r="CS3213" s="76"/>
      <c r="CT3213" s="76"/>
      <c r="CU3213" s="56">
        <f>AN3213+AP3213+AR3213+AT3213+AV3213+AX3213+AZ3213+BB3213+BD3213+BF3213+BH3213+BJ3213+BL3213+BN3213+BP3213+BR3213+BT3213+BV3213+BX3213+BZ3213+CB3213+CD3213+CF3213+CH3213+CJ3213+CL3213+CN3213+CP3213+CR3213+CT3213</f>
        <v>0</v>
      </c>
      <c r="CV3213" s="76"/>
      <c r="CW3213" s="76">
        <f>+CV3213*1100</f>
        <v>0</v>
      </c>
      <c r="CX3213" s="76"/>
      <c r="CY3213" s="76">
        <f>+CX3213*106250</f>
        <v>0</v>
      </c>
      <c r="CZ3213" s="76"/>
      <c r="DA3213" s="76">
        <f>+CZ3213*34500</f>
        <v>0</v>
      </c>
      <c r="DB3213" s="76"/>
      <c r="DC3213" s="76">
        <f>+DB3213*25000</f>
        <v>0</v>
      </c>
      <c r="DD3213" s="219"/>
      <c r="DE3213" s="219"/>
      <c r="DF3213" s="166"/>
      <c r="DG3213" s="116"/>
      <c r="DH3213" s="117"/>
      <c r="DI3213" s="24"/>
      <c r="DJ3213" s="24"/>
      <c r="DK3213" s="24"/>
      <c r="DL3213" s="24"/>
      <c r="DM3213" s="24"/>
      <c r="DN3213" s="24"/>
      <c r="DO3213" s="24"/>
      <c r="DP3213" s="24"/>
      <c r="DQ3213" s="24"/>
      <c r="DR3213" s="24"/>
      <c r="DS3213" s="24"/>
      <c r="DT3213" s="24"/>
      <c r="DU3213" s="24"/>
    </row>
    <row r="3214" spans="1:125" s="8" customFormat="1" ht="36" x14ac:dyDescent="0.2">
      <c r="A3214" s="77">
        <v>41544</v>
      </c>
      <c r="B3214" s="352" t="s">
        <v>2848</v>
      </c>
      <c r="C3214" s="354" t="s">
        <v>2191</v>
      </c>
      <c r="D3214" s="354" t="s">
        <v>2846</v>
      </c>
      <c r="E3214" s="296" t="str">
        <f>VLOOKUP(B3214&amp;C3214,Divipola!$C$2:$F$1138,4,FALSE)</f>
        <v>73319</v>
      </c>
      <c r="F3214" s="87"/>
      <c r="G3214" s="87"/>
      <c r="H3214" s="87"/>
      <c r="I3214" s="87"/>
      <c r="J3214" s="87"/>
      <c r="K3214" s="87"/>
      <c r="L3214" s="87"/>
      <c r="M3214" s="87"/>
      <c r="N3214" s="87"/>
      <c r="O3214" s="87"/>
      <c r="P3214" s="87"/>
      <c r="Q3214" s="87"/>
      <c r="R3214" s="87"/>
      <c r="S3214" s="87"/>
      <c r="T3214" s="87"/>
      <c r="U3214" s="88">
        <v>5</v>
      </c>
      <c r="V3214" s="89"/>
      <c r="W3214" s="96">
        <v>0</v>
      </c>
      <c r="X3214" s="71">
        <f>CU3214</f>
        <v>0</v>
      </c>
      <c r="Y3214" s="71">
        <f>CY3214</f>
        <v>0</v>
      </c>
      <c r="Z3214" s="71">
        <f>DA3214+DC3214+DE3214</f>
        <v>0</v>
      </c>
      <c r="AA3214" s="71">
        <f>CW3214</f>
        <v>0</v>
      </c>
      <c r="AB3214" s="71"/>
      <c r="AC3214" s="71">
        <v>0</v>
      </c>
      <c r="AD3214" s="71">
        <f>W3214+X3214+Y3214+Z3214+AA3214+AB3214+AC3214</f>
        <v>0</v>
      </c>
      <c r="AE3214" s="72">
        <v>0</v>
      </c>
      <c r="AF3214" s="5"/>
      <c r="AG3214" s="6"/>
      <c r="AH3214" s="27"/>
      <c r="AI3214" s="44"/>
      <c r="AJ3214" s="26"/>
      <c r="AK3214" s="5"/>
      <c r="AL3214" s="274" t="s">
        <v>6142</v>
      </c>
      <c r="AM3214" s="76"/>
      <c r="AN3214" s="76"/>
      <c r="AO3214" s="76"/>
      <c r="AP3214" s="76"/>
      <c r="AQ3214" s="76"/>
      <c r="AR3214" s="76"/>
      <c r="AS3214" s="76"/>
      <c r="AT3214" s="76"/>
      <c r="AU3214" s="76"/>
      <c r="AV3214" s="76"/>
      <c r="AW3214" s="76"/>
      <c r="AX3214" s="76">
        <f>+AW3214*600000</f>
        <v>0</v>
      </c>
      <c r="AY3214" s="76"/>
      <c r="AZ3214" s="76">
        <f>+AY3214*70000</f>
        <v>0</v>
      </c>
      <c r="BA3214" s="76"/>
      <c r="BB3214" s="76"/>
      <c r="BC3214" s="76"/>
      <c r="BD3214" s="76">
        <f>+BC3214*30000</f>
        <v>0</v>
      </c>
      <c r="BE3214" s="76"/>
      <c r="BF3214" s="76"/>
      <c r="BG3214" s="76"/>
      <c r="BH3214" s="76"/>
      <c r="BI3214" s="76"/>
      <c r="BJ3214" s="76"/>
      <c r="BK3214" s="76"/>
      <c r="BL3214" s="76">
        <f>+BK3214*31500</f>
        <v>0</v>
      </c>
      <c r="BM3214" s="76"/>
      <c r="BN3214" s="76"/>
      <c r="BO3214" s="76"/>
      <c r="BP3214" s="76"/>
      <c r="BQ3214" s="76"/>
      <c r="BR3214" s="76"/>
      <c r="BS3214" s="76"/>
      <c r="BT3214" s="76"/>
      <c r="BU3214" s="76"/>
      <c r="BV3214" s="76"/>
      <c r="BW3214" s="76"/>
      <c r="BX3214" s="76"/>
      <c r="BY3214" s="76"/>
      <c r="BZ3214" s="76"/>
      <c r="CA3214" s="76"/>
      <c r="CB3214" s="76"/>
      <c r="CC3214" s="76"/>
      <c r="CD3214" s="76"/>
      <c r="CE3214" s="76"/>
      <c r="CF3214" s="76">
        <f>+CE3214*28000</f>
        <v>0</v>
      </c>
      <c r="CG3214" s="76"/>
      <c r="CH3214" s="76">
        <f>+CG3214*22500</f>
        <v>0</v>
      </c>
      <c r="CI3214" s="76"/>
      <c r="CJ3214" s="76">
        <f>+CI3214*26000</f>
        <v>0</v>
      </c>
      <c r="CK3214" s="76"/>
      <c r="CL3214" s="76"/>
      <c r="CM3214" s="76"/>
      <c r="CN3214" s="76">
        <f>+CM3214*22000</f>
        <v>0</v>
      </c>
      <c r="CO3214" s="76"/>
      <c r="CP3214" s="76">
        <f>+CO3214*46000</f>
        <v>0</v>
      </c>
      <c r="CQ3214" s="76"/>
      <c r="CR3214" s="76">
        <f>+CQ3214*49000</f>
        <v>0</v>
      </c>
      <c r="CS3214" s="76"/>
      <c r="CT3214" s="76"/>
      <c r="CU3214" s="56">
        <f>AN3214+AP3214+AR3214+AT3214+AV3214+AX3214+AZ3214+BB3214+BD3214+BF3214+BH3214+BJ3214+BL3214+BN3214+BP3214+BR3214+BT3214+BV3214+BX3214+BZ3214+CB3214+CD3214+CF3214+CH3214+CJ3214+CL3214+CN3214+CP3214+CR3214+CT3214</f>
        <v>0</v>
      </c>
      <c r="CV3214" s="76"/>
      <c r="CW3214" s="76">
        <f>+CV3214*1100</f>
        <v>0</v>
      </c>
      <c r="CX3214" s="76"/>
      <c r="CY3214" s="76">
        <f>+CX3214*106250</f>
        <v>0</v>
      </c>
      <c r="CZ3214" s="76"/>
      <c r="DA3214" s="76">
        <f>+CZ3214*34500</f>
        <v>0</v>
      </c>
      <c r="DB3214" s="76"/>
      <c r="DC3214" s="76">
        <f>+DB3214*25000</f>
        <v>0</v>
      </c>
      <c r="DD3214" s="219"/>
      <c r="DE3214" s="219"/>
      <c r="DF3214" s="166"/>
      <c r="DG3214" s="116"/>
      <c r="DH3214" s="117"/>
      <c r="DI3214" s="24"/>
      <c r="DJ3214" s="24"/>
      <c r="DK3214" s="24"/>
      <c r="DL3214" s="24"/>
      <c r="DM3214" s="24"/>
      <c r="DN3214" s="24"/>
      <c r="DO3214" s="24"/>
      <c r="DP3214" s="24"/>
      <c r="DQ3214" s="24"/>
      <c r="DR3214" s="24"/>
      <c r="DS3214" s="24"/>
      <c r="DT3214" s="24"/>
      <c r="DU3214" s="24"/>
    </row>
    <row r="3215" spans="1:125" s="8" customFormat="1" ht="84" x14ac:dyDescent="0.2">
      <c r="A3215" s="77">
        <v>41544</v>
      </c>
      <c r="B3215" s="352" t="s">
        <v>2848</v>
      </c>
      <c r="C3215" s="354" t="s">
        <v>2077</v>
      </c>
      <c r="D3215" s="354" t="s">
        <v>2882</v>
      </c>
      <c r="E3215" s="296" t="str">
        <f>VLOOKUP(B3215&amp;C3215,Divipola!$C$2:$F$1138,4,FALSE)</f>
        <v>73411</v>
      </c>
      <c r="F3215" s="87"/>
      <c r="G3215" s="87"/>
      <c r="H3215" s="87"/>
      <c r="I3215" s="87">
        <v>164</v>
      </c>
      <c r="J3215" s="87">
        <v>41</v>
      </c>
      <c r="K3215" s="87"/>
      <c r="L3215" s="87">
        <v>41</v>
      </c>
      <c r="M3215" s="87"/>
      <c r="N3215" s="87"/>
      <c r="O3215" s="87"/>
      <c r="P3215" s="87"/>
      <c r="Q3215" s="87"/>
      <c r="R3215" s="87"/>
      <c r="S3215" s="87"/>
      <c r="T3215" s="87"/>
      <c r="U3215" s="88"/>
      <c r="V3215" s="89"/>
      <c r="W3215" s="96">
        <v>0</v>
      </c>
      <c r="X3215" s="71">
        <f>CU3215</f>
        <v>0</v>
      </c>
      <c r="Y3215" s="71">
        <f>CY3215</f>
        <v>0</v>
      </c>
      <c r="Z3215" s="71">
        <f>DA3215+DC3215+DE3215</f>
        <v>0</v>
      </c>
      <c r="AA3215" s="71">
        <f>CW3215</f>
        <v>0</v>
      </c>
      <c r="AB3215" s="71"/>
      <c r="AC3215" s="71">
        <v>0</v>
      </c>
      <c r="AD3215" s="71">
        <f>W3215+X3215+Y3215+Z3215+AA3215+AB3215+AC3215</f>
        <v>0</v>
      </c>
      <c r="AE3215" s="72">
        <v>0</v>
      </c>
      <c r="AF3215" s="5"/>
      <c r="AG3215" s="6"/>
      <c r="AH3215" s="27"/>
      <c r="AI3215" s="44"/>
      <c r="AJ3215" s="26"/>
      <c r="AK3215" s="5"/>
      <c r="AL3215" s="274" t="s">
        <v>6143</v>
      </c>
      <c r="AM3215" s="76"/>
      <c r="AN3215" s="76"/>
      <c r="AO3215" s="76"/>
      <c r="AP3215" s="76"/>
      <c r="AQ3215" s="76"/>
      <c r="AR3215" s="76"/>
      <c r="AS3215" s="76"/>
      <c r="AT3215" s="76"/>
      <c r="AU3215" s="76"/>
      <c r="AV3215" s="76"/>
      <c r="AW3215" s="76"/>
      <c r="AX3215" s="76">
        <f>+AW3215*600000</f>
        <v>0</v>
      </c>
      <c r="AY3215" s="76"/>
      <c r="AZ3215" s="76">
        <f>+AY3215*70000</f>
        <v>0</v>
      </c>
      <c r="BA3215" s="76"/>
      <c r="BB3215" s="76"/>
      <c r="BC3215" s="76"/>
      <c r="BD3215" s="76">
        <f>+BC3215*30000</f>
        <v>0</v>
      </c>
      <c r="BE3215" s="76"/>
      <c r="BF3215" s="76"/>
      <c r="BG3215" s="76"/>
      <c r="BH3215" s="76"/>
      <c r="BI3215" s="76"/>
      <c r="BJ3215" s="76"/>
      <c r="BK3215" s="76"/>
      <c r="BL3215" s="76">
        <f>+BK3215*31500</f>
        <v>0</v>
      </c>
      <c r="BM3215" s="76"/>
      <c r="BN3215" s="76"/>
      <c r="BO3215" s="76"/>
      <c r="BP3215" s="76"/>
      <c r="BQ3215" s="76"/>
      <c r="BR3215" s="76"/>
      <c r="BS3215" s="76"/>
      <c r="BT3215" s="76"/>
      <c r="BU3215" s="76"/>
      <c r="BV3215" s="76"/>
      <c r="BW3215" s="76"/>
      <c r="BX3215" s="76"/>
      <c r="BY3215" s="76"/>
      <c r="BZ3215" s="76"/>
      <c r="CA3215" s="76"/>
      <c r="CB3215" s="76"/>
      <c r="CC3215" s="76"/>
      <c r="CD3215" s="76"/>
      <c r="CE3215" s="76"/>
      <c r="CF3215" s="76">
        <f>+CE3215*28000</f>
        <v>0</v>
      </c>
      <c r="CG3215" s="76"/>
      <c r="CH3215" s="76">
        <f>+CG3215*22500</f>
        <v>0</v>
      </c>
      <c r="CI3215" s="76"/>
      <c r="CJ3215" s="76">
        <f>+CI3215*26000</f>
        <v>0</v>
      </c>
      <c r="CK3215" s="76"/>
      <c r="CL3215" s="76"/>
      <c r="CM3215" s="76"/>
      <c r="CN3215" s="76">
        <f>+CM3215*22000</f>
        <v>0</v>
      </c>
      <c r="CO3215" s="76"/>
      <c r="CP3215" s="76">
        <f>+CO3215*46000</f>
        <v>0</v>
      </c>
      <c r="CQ3215" s="76"/>
      <c r="CR3215" s="76">
        <f>+CQ3215*49000</f>
        <v>0</v>
      </c>
      <c r="CS3215" s="76"/>
      <c r="CT3215" s="76"/>
      <c r="CU3215" s="56">
        <f>AN3215+AP3215+AR3215+AT3215+AV3215+AX3215+AZ3215+BB3215+BD3215+BF3215+BH3215+BJ3215+BL3215+BN3215+BP3215+BR3215+BT3215+BV3215+BX3215+BZ3215+CB3215+CD3215+CF3215+CH3215+CJ3215+CL3215+CN3215+CP3215+CR3215+CT3215</f>
        <v>0</v>
      </c>
      <c r="CV3215" s="76"/>
      <c r="CW3215" s="76">
        <f>+CV3215*1100</f>
        <v>0</v>
      </c>
      <c r="CX3215" s="76"/>
      <c r="CY3215" s="76">
        <f>+CX3215*106250</f>
        <v>0</v>
      </c>
      <c r="CZ3215" s="76"/>
      <c r="DA3215" s="76">
        <f>+CZ3215*34500</f>
        <v>0</v>
      </c>
      <c r="DB3215" s="76"/>
      <c r="DC3215" s="76">
        <f>+DB3215*25000</f>
        <v>0</v>
      </c>
      <c r="DD3215" s="219"/>
      <c r="DE3215" s="219"/>
      <c r="DF3215" s="166"/>
      <c r="DG3215" s="116"/>
      <c r="DH3215" s="117"/>
      <c r="DI3215" s="24"/>
      <c r="DJ3215" s="24"/>
      <c r="DK3215" s="24"/>
      <c r="DL3215" s="24"/>
      <c r="DM3215" s="24"/>
      <c r="DN3215" s="24"/>
      <c r="DO3215" s="24"/>
      <c r="DP3215" s="24"/>
      <c r="DQ3215" s="24"/>
      <c r="DR3215" s="24"/>
      <c r="DS3215" s="24"/>
      <c r="DT3215" s="24"/>
      <c r="DU3215" s="24"/>
    </row>
    <row r="3216" spans="1:125" s="8" customFormat="1" ht="36" x14ac:dyDescent="0.2">
      <c r="A3216" s="77">
        <v>41544</v>
      </c>
      <c r="B3216" s="78" t="s">
        <v>2848</v>
      </c>
      <c r="C3216" s="83" t="s">
        <v>2791</v>
      </c>
      <c r="D3216" s="75" t="s">
        <v>2846</v>
      </c>
      <c r="E3216" s="296" t="str">
        <f>VLOOKUP(B3216&amp;C3216,Divipola!$C$2:$F$1138,4,FALSE)</f>
        <v>73585</v>
      </c>
      <c r="F3216" s="93"/>
      <c r="G3216" s="93"/>
      <c r="H3216" s="93"/>
      <c r="I3216" s="93"/>
      <c r="J3216" s="93"/>
      <c r="K3216" s="93"/>
      <c r="L3216" s="93"/>
      <c r="M3216" s="93"/>
      <c r="N3216" s="93"/>
      <c r="O3216" s="93"/>
      <c r="P3216" s="93"/>
      <c r="Q3216" s="93"/>
      <c r="R3216" s="93"/>
      <c r="S3216" s="93"/>
      <c r="T3216" s="93"/>
      <c r="U3216" s="93">
        <v>1</v>
      </c>
      <c r="V3216" s="89"/>
      <c r="W3216" s="96">
        <v>0</v>
      </c>
      <c r="X3216" s="71">
        <f>CU3216</f>
        <v>0</v>
      </c>
      <c r="Y3216" s="71">
        <f>CY3216</f>
        <v>0</v>
      </c>
      <c r="Z3216" s="71">
        <f>DA3216+DC3216+DE3216</f>
        <v>0</v>
      </c>
      <c r="AA3216" s="71">
        <f>CW3216</f>
        <v>0</v>
      </c>
      <c r="AB3216" s="71"/>
      <c r="AC3216" s="71">
        <v>0</v>
      </c>
      <c r="AD3216" s="71">
        <f>W3216+X3216+Y3216+Z3216+AA3216+AB3216+AC3216</f>
        <v>0</v>
      </c>
      <c r="AE3216" s="72">
        <v>0</v>
      </c>
      <c r="AF3216" s="5"/>
      <c r="AG3216" s="6"/>
      <c r="AH3216" s="27"/>
      <c r="AI3216" s="44"/>
      <c r="AJ3216" s="26"/>
      <c r="AK3216" s="5"/>
      <c r="AL3216" s="274" t="s">
        <v>6140</v>
      </c>
      <c r="AM3216" s="76"/>
      <c r="AN3216" s="76"/>
      <c r="AO3216" s="76"/>
      <c r="AP3216" s="76"/>
      <c r="AQ3216" s="76"/>
      <c r="AR3216" s="76"/>
      <c r="AS3216" s="76"/>
      <c r="AT3216" s="76"/>
      <c r="AU3216" s="76"/>
      <c r="AV3216" s="76"/>
      <c r="AW3216" s="76"/>
      <c r="AX3216" s="76">
        <f>+AW3216*600000</f>
        <v>0</v>
      </c>
      <c r="AY3216" s="76"/>
      <c r="AZ3216" s="76">
        <f>+AY3216*70000</f>
        <v>0</v>
      </c>
      <c r="BA3216" s="76"/>
      <c r="BB3216" s="76"/>
      <c r="BC3216" s="76"/>
      <c r="BD3216" s="76">
        <f>+BC3216*30000</f>
        <v>0</v>
      </c>
      <c r="BE3216" s="76"/>
      <c r="BF3216" s="76"/>
      <c r="BG3216" s="76"/>
      <c r="BH3216" s="76"/>
      <c r="BI3216" s="76"/>
      <c r="BJ3216" s="76"/>
      <c r="BK3216" s="76"/>
      <c r="BL3216" s="76">
        <f>+BK3216*31500</f>
        <v>0</v>
      </c>
      <c r="BM3216" s="76"/>
      <c r="BN3216" s="76"/>
      <c r="BO3216" s="76"/>
      <c r="BP3216" s="76"/>
      <c r="BQ3216" s="76"/>
      <c r="BR3216" s="76"/>
      <c r="BS3216" s="76"/>
      <c r="BT3216" s="76"/>
      <c r="BU3216" s="76"/>
      <c r="BV3216" s="76"/>
      <c r="BW3216" s="76"/>
      <c r="BX3216" s="76"/>
      <c r="BY3216" s="76"/>
      <c r="BZ3216" s="76"/>
      <c r="CA3216" s="76"/>
      <c r="CB3216" s="76"/>
      <c r="CC3216" s="76"/>
      <c r="CD3216" s="76"/>
      <c r="CE3216" s="76"/>
      <c r="CF3216" s="76">
        <f>+CE3216*28000</f>
        <v>0</v>
      </c>
      <c r="CG3216" s="76"/>
      <c r="CH3216" s="76">
        <f>+CG3216*22500</f>
        <v>0</v>
      </c>
      <c r="CI3216" s="76"/>
      <c r="CJ3216" s="76">
        <f>+CI3216*26000</f>
        <v>0</v>
      </c>
      <c r="CK3216" s="76"/>
      <c r="CL3216" s="76"/>
      <c r="CM3216" s="76"/>
      <c r="CN3216" s="76">
        <f>+CM3216*22000</f>
        <v>0</v>
      </c>
      <c r="CO3216" s="76"/>
      <c r="CP3216" s="76">
        <f>+CO3216*46000</f>
        <v>0</v>
      </c>
      <c r="CQ3216" s="76"/>
      <c r="CR3216" s="76">
        <f>+CQ3216*49000</f>
        <v>0</v>
      </c>
      <c r="CS3216" s="76"/>
      <c r="CT3216" s="76"/>
      <c r="CU3216" s="56">
        <f>AN3216+AP3216+AR3216+AT3216+AV3216+AX3216+AZ3216+BB3216+BD3216+BF3216+BH3216+BJ3216+BL3216+BN3216+BP3216+BR3216+BT3216+BV3216+BX3216+BZ3216+CB3216+CD3216+CF3216+CH3216+CJ3216+CL3216+CN3216+CP3216+CR3216+CT3216</f>
        <v>0</v>
      </c>
      <c r="CV3216" s="76"/>
      <c r="CW3216" s="76">
        <f>+CV3216*1100</f>
        <v>0</v>
      </c>
      <c r="CX3216" s="76"/>
      <c r="CY3216" s="76">
        <f>+CX3216*106250</f>
        <v>0</v>
      </c>
      <c r="CZ3216" s="76"/>
      <c r="DA3216" s="76">
        <f>+CZ3216*34500</f>
        <v>0</v>
      </c>
      <c r="DB3216" s="76"/>
      <c r="DC3216" s="76">
        <f>+DB3216*25000</f>
        <v>0</v>
      </c>
      <c r="DD3216" s="219"/>
      <c r="DE3216" s="219"/>
      <c r="DF3216" s="166"/>
      <c r="DG3216" s="116"/>
      <c r="DH3216" s="117"/>
      <c r="DI3216" s="24"/>
      <c r="DJ3216" s="24"/>
      <c r="DK3216" s="24"/>
      <c r="DL3216" s="24"/>
      <c r="DM3216" s="24"/>
      <c r="DN3216" s="24"/>
      <c r="DO3216" s="24"/>
      <c r="DP3216" s="24"/>
      <c r="DQ3216" s="24"/>
      <c r="DR3216" s="24"/>
      <c r="DS3216" s="24"/>
      <c r="DT3216" s="24"/>
      <c r="DU3216" s="24"/>
    </row>
    <row r="3217" spans="1:125" s="8" customFormat="1" ht="60" x14ac:dyDescent="0.2">
      <c r="A3217" s="77">
        <v>41544</v>
      </c>
      <c r="B3217" s="78" t="s">
        <v>2851</v>
      </c>
      <c r="C3217" s="75" t="s">
        <v>2667</v>
      </c>
      <c r="D3217" s="75" t="s">
        <v>2882</v>
      </c>
      <c r="E3217" s="75" t="str">
        <f>VLOOKUP(B3217&amp;C3217,Divipola!$C$2:$F$1138,4,FALSE)</f>
        <v>76364</v>
      </c>
      <c r="F3217" s="87"/>
      <c r="G3217" s="87"/>
      <c r="H3217" s="87"/>
      <c r="I3217" s="87">
        <v>143</v>
      </c>
      <c r="J3217" s="87">
        <v>37</v>
      </c>
      <c r="K3217" s="87"/>
      <c r="L3217" s="87">
        <v>37</v>
      </c>
      <c r="M3217" s="87"/>
      <c r="N3217" s="87"/>
      <c r="O3217" s="87"/>
      <c r="P3217" s="87"/>
      <c r="Q3217" s="87"/>
      <c r="R3217" s="87">
        <v>1</v>
      </c>
      <c r="S3217" s="87">
        <v>2</v>
      </c>
      <c r="T3217" s="87">
        <v>1</v>
      </c>
      <c r="U3217" s="88"/>
      <c r="V3217" s="89"/>
      <c r="W3217" s="96">
        <v>0</v>
      </c>
      <c r="X3217" s="71">
        <f>CU3217</f>
        <v>0</v>
      </c>
      <c r="Y3217" s="71">
        <f>CY3217</f>
        <v>0</v>
      </c>
      <c r="Z3217" s="71">
        <f>DA3217+DC3217+DE3217</f>
        <v>0</v>
      </c>
      <c r="AA3217" s="71">
        <f>CW3217</f>
        <v>0</v>
      </c>
      <c r="AB3217" s="71"/>
      <c r="AC3217" s="71">
        <v>0</v>
      </c>
      <c r="AD3217" s="71">
        <f>W3217+X3217+Y3217+Z3217+AA3217+AB3217+AC3217</f>
        <v>0</v>
      </c>
      <c r="AE3217" s="72">
        <v>0</v>
      </c>
      <c r="AF3217" s="5"/>
      <c r="AG3217" s="6"/>
      <c r="AH3217" s="27"/>
      <c r="AI3217" s="44"/>
      <c r="AJ3217" s="26"/>
      <c r="AK3217" s="5"/>
      <c r="AL3217" s="268" t="s">
        <v>6276</v>
      </c>
      <c r="AM3217" s="76"/>
      <c r="AN3217" s="76"/>
      <c r="AO3217" s="76"/>
      <c r="AP3217" s="76"/>
      <c r="AQ3217" s="76"/>
      <c r="AR3217" s="76"/>
      <c r="AS3217" s="76"/>
      <c r="AT3217" s="76"/>
      <c r="AU3217" s="76"/>
      <c r="AV3217" s="76"/>
      <c r="AW3217" s="76"/>
      <c r="AX3217" s="76">
        <f>+AW3217*600000</f>
        <v>0</v>
      </c>
      <c r="AY3217" s="76"/>
      <c r="AZ3217" s="76">
        <f>+AY3217*70000</f>
        <v>0</v>
      </c>
      <c r="BA3217" s="76"/>
      <c r="BB3217" s="76"/>
      <c r="BC3217" s="76"/>
      <c r="BD3217" s="76">
        <f>+BC3217*30000</f>
        <v>0</v>
      </c>
      <c r="BE3217" s="76"/>
      <c r="BF3217" s="76"/>
      <c r="BG3217" s="76"/>
      <c r="BH3217" s="76"/>
      <c r="BI3217" s="76"/>
      <c r="BJ3217" s="76"/>
      <c r="BK3217" s="76"/>
      <c r="BL3217" s="76">
        <f>+BK3217*31500</f>
        <v>0</v>
      </c>
      <c r="BM3217" s="76"/>
      <c r="BN3217" s="76"/>
      <c r="BO3217" s="76"/>
      <c r="BP3217" s="76"/>
      <c r="BQ3217" s="76"/>
      <c r="BR3217" s="76"/>
      <c r="BS3217" s="76"/>
      <c r="BT3217" s="76"/>
      <c r="BU3217" s="76"/>
      <c r="BV3217" s="76"/>
      <c r="BW3217" s="76"/>
      <c r="BX3217" s="76"/>
      <c r="BY3217" s="76"/>
      <c r="BZ3217" s="76"/>
      <c r="CA3217" s="76"/>
      <c r="CB3217" s="76"/>
      <c r="CC3217" s="76"/>
      <c r="CD3217" s="76"/>
      <c r="CE3217" s="76"/>
      <c r="CF3217" s="76">
        <f>+CE3217*28000</f>
        <v>0</v>
      </c>
      <c r="CG3217" s="76"/>
      <c r="CH3217" s="76">
        <f>+CG3217*22500</f>
        <v>0</v>
      </c>
      <c r="CI3217" s="76"/>
      <c r="CJ3217" s="76">
        <f>+CI3217*26000</f>
        <v>0</v>
      </c>
      <c r="CK3217" s="76"/>
      <c r="CL3217" s="76"/>
      <c r="CM3217" s="76"/>
      <c r="CN3217" s="76">
        <f>+CM3217*22000</f>
        <v>0</v>
      </c>
      <c r="CO3217" s="76"/>
      <c r="CP3217" s="76">
        <f>+CO3217*46000</f>
        <v>0</v>
      </c>
      <c r="CQ3217" s="76"/>
      <c r="CR3217" s="76">
        <f>+CQ3217*49000</f>
        <v>0</v>
      </c>
      <c r="CS3217" s="76"/>
      <c r="CT3217" s="76"/>
      <c r="CU3217" s="56">
        <f>AN3217+AP3217+AR3217+AT3217+AV3217+AX3217+AZ3217+BB3217+BD3217+BF3217+BH3217+BJ3217+BL3217+BN3217+BP3217+BR3217+BT3217+BV3217+BX3217+BZ3217+CB3217+CD3217+CF3217+CH3217+CJ3217+CL3217+CN3217+CP3217+CR3217+CT3217</f>
        <v>0</v>
      </c>
      <c r="CV3217" s="76"/>
      <c r="CW3217" s="76">
        <f>+CV3217*1100</f>
        <v>0</v>
      </c>
      <c r="CX3217" s="76"/>
      <c r="CY3217" s="76">
        <f>+CX3217*106250</f>
        <v>0</v>
      </c>
      <c r="CZ3217" s="76"/>
      <c r="DA3217" s="76">
        <f>+CZ3217*34500</f>
        <v>0</v>
      </c>
      <c r="DB3217" s="76"/>
      <c r="DC3217" s="76">
        <f>+DB3217*25000</f>
        <v>0</v>
      </c>
      <c r="DD3217" s="219"/>
      <c r="DE3217" s="219"/>
      <c r="DF3217" s="166"/>
      <c r="DG3217" s="116"/>
      <c r="DH3217" s="117"/>
      <c r="DI3217" s="24"/>
      <c r="DJ3217" s="24"/>
      <c r="DK3217" s="24"/>
      <c r="DL3217" s="24"/>
      <c r="DM3217" s="24"/>
      <c r="DN3217" s="24"/>
      <c r="DO3217" s="24"/>
      <c r="DP3217" s="24"/>
      <c r="DQ3217" s="24"/>
      <c r="DR3217" s="24"/>
      <c r="DS3217" s="24"/>
      <c r="DT3217" s="24"/>
      <c r="DU3217" s="24"/>
    </row>
    <row r="3218" spans="1:125" s="8" customFormat="1" ht="60" x14ac:dyDescent="0.2">
      <c r="A3218" s="353">
        <v>41545</v>
      </c>
      <c r="B3218" s="352" t="s">
        <v>2894</v>
      </c>
      <c r="C3218" s="354" t="s">
        <v>2421</v>
      </c>
      <c r="D3218" s="354" t="s">
        <v>2882</v>
      </c>
      <c r="E3218" s="296" t="str">
        <f>VLOOKUP(B3218&amp;C3218,Divipola!$C$2:$F$1138,4,FALSE)</f>
        <v>05197</v>
      </c>
      <c r="F3218" s="87"/>
      <c r="G3218" s="87"/>
      <c r="H3218" s="87"/>
      <c r="I3218" s="87">
        <v>100</v>
      </c>
      <c r="J3218" s="87">
        <v>20</v>
      </c>
      <c r="K3218" s="87"/>
      <c r="L3218" s="87">
        <v>20</v>
      </c>
      <c r="M3218" s="87"/>
      <c r="N3218" s="87"/>
      <c r="O3218" s="87"/>
      <c r="P3218" s="87"/>
      <c r="Q3218" s="87"/>
      <c r="R3218" s="87"/>
      <c r="S3218" s="87"/>
      <c r="T3218" s="87"/>
      <c r="U3218" s="88"/>
      <c r="V3218" s="89"/>
      <c r="W3218" s="96">
        <v>0</v>
      </c>
      <c r="X3218" s="71">
        <f>CU3218</f>
        <v>0</v>
      </c>
      <c r="Y3218" s="71">
        <f>CY3218</f>
        <v>0</v>
      </c>
      <c r="Z3218" s="71">
        <f>DA3218+DC3218+DE3218</f>
        <v>0</v>
      </c>
      <c r="AA3218" s="71">
        <f>CW3218</f>
        <v>0</v>
      </c>
      <c r="AB3218" s="71"/>
      <c r="AC3218" s="71">
        <v>0</v>
      </c>
      <c r="AD3218" s="71">
        <f>W3218+X3218+Y3218+Z3218+AA3218+AB3218+AC3218</f>
        <v>0</v>
      </c>
      <c r="AE3218" s="72">
        <v>0</v>
      </c>
      <c r="AF3218" s="5"/>
      <c r="AG3218" s="6"/>
      <c r="AH3218" s="27"/>
      <c r="AI3218" s="44"/>
      <c r="AJ3218" s="26"/>
      <c r="AK3218" s="5"/>
      <c r="AL3218" s="327" t="s">
        <v>6147</v>
      </c>
      <c r="AM3218" s="76"/>
      <c r="AN3218" s="76"/>
      <c r="AO3218" s="76"/>
      <c r="AP3218" s="76"/>
      <c r="AQ3218" s="76"/>
      <c r="AR3218" s="76"/>
      <c r="AS3218" s="76"/>
      <c r="AT3218" s="76"/>
      <c r="AU3218" s="76"/>
      <c r="AV3218" s="76"/>
      <c r="AW3218" s="76"/>
      <c r="AX3218" s="76">
        <f>+AW3218*600000</f>
        <v>0</v>
      </c>
      <c r="AY3218" s="76"/>
      <c r="AZ3218" s="76">
        <f>+AY3218*70000</f>
        <v>0</v>
      </c>
      <c r="BA3218" s="76"/>
      <c r="BB3218" s="76"/>
      <c r="BC3218" s="76"/>
      <c r="BD3218" s="76">
        <f>+BC3218*30000</f>
        <v>0</v>
      </c>
      <c r="BE3218" s="76"/>
      <c r="BF3218" s="76"/>
      <c r="BG3218" s="76"/>
      <c r="BH3218" s="76"/>
      <c r="BI3218" s="76"/>
      <c r="BJ3218" s="76"/>
      <c r="BK3218" s="76"/>
      <c r="BL3218" s="76">
        <f>+BK3218*31500</f>
        <v>0</v>
      </c>
      <c r="BM3218" s="76"/>
      <c r="BN3218" s="76"/>
      <c r="BO3218" s="76"/>
      <c r="BP3218" s="76"/>
      <c r="BQ3218" s="76"/>
      <c r="BR3218" s="76"/>
      <c r="BS3218" s="76"/>
      <c r="BT3218" s="76"/>
      <c r="BU3218" s="76"/>
      <c r="BV3218" s="76"/>
      <c r="BW3218" s="76"/>
      <c r="BX3218" s="76"/>
      <c r="BY3218" s="76"/>
      <c r="BZ3218" s="76"/>
      <c r="CA3218" s="76"/>
      <c r="CB3218" s="76"/>
      <c r="CC3218" s="76"/>
      <c r="CD3218" s="76"/>
      <c r="CE3218" s="76"/>
      <c r="CF3218" s="76">
        <f>+CE3218*28000</f>
        <v>0</v>
      </c>
      <c r="CG3218" s="76"/>
      <c r="CH3218" s="76">
        <f>+CG3218*22500</f>
        <v>0</v>
      </c>
      <c r="CI3218" s="76"/>
      <c r="CJ3218" s="76">
        <f>+CI3218*26000</f>
        <v>0</v>
      </c>
      <c r="CK3218" s="76"/>
      <c r="CL3218" s="76"/>
      <c r="CM3218" s="76"/>
      <c r="CN3218" s="76">
        <f>+CM3218*22000</f>
        <v>0</v>
      </c>
      <c r="CO3218" s="76"/>
      <c r="CP3218" s="76">
        <f>+CO3218*46000</f>
        <v>0</v>
      </c>
      <c r="CQ3218" s="76"/>
      <c r="CR3218" s="76">
        <f>+CQ3218*49000</f>
        <v>0</v>
      </c>
      <c r="CS3218" s="76"/>
      <c r="CT3218" s="76"/>
      <c r="CU3218" s="56">
        <f>AN3218+AP3218+AR3218+AT3218+AV3218+AX3218+AZ3218+BB3218+BD3218+BF3218+BH3218+BJ3218+BL3218+BN3218+BP3218+BR3218+BT3218+BV3218+BX3218+BZ3218+CB3218+CD3218+CF3218+CH3218+CJ3218+CL3218+CN3218+CP3218+CR3218+CT3218</f>
        <v>0</v>
      </c>
      <c r="CV3218" s="76"/>
      <c r="CW3218" s="76">
        <f>+CV3218*1100</f>
        <v>0</v>
      </c>
      <c r="CX3218" s="76"/>
      <c r="CY3218" s="76">
        <f>+CX3218*106250</f>
        <v>0</v>
      </c>
      <c r="CZ3218" s="76"/>
      <c r="DA3218" s="76">
        <f>+CZ3218*34500</f>
        <v>0</v>
      </c>
      <c r="DB3218" s="76"/>
      <c r="DC3218" s="76">
        <f>+DB3218*25000</f>
        <v>0</v>
      </c>
      <c r="DD3218" s="219"/>
      <c r="DE3218" s="219"/>
      <c r="DF3218" s="166"/>
      <c r="DG3218" s="116"/>
      <c r="DH3218" s="117"/>
      <c r="DI3218" s="24"/>
      <c r="DJ3218" s="24"/>
      <c r="DK3218" s="24"/>
      <c r="DL3218" s="24"/>
      <c r="DM3218" s="24"/>
      <c r="DN3218" s="24"/>
      <c r="DO3218" s="24"/>
      <c r="DP3218" s="24"/>
      <c r="DQ3218" s="24"/>
      <c r="DR3218" s="24"/>
      <c r="DS3218" s="24"/>
      <c r="DT3218" s="24"/>
      <c r="DU3218" s="24"/>
    </row>
    <row r="3219" spans="1:125" s="8" customFormat="1" ht="120" x14ac:dyDescent="0.2">
      <c r="A3219" s="353">
        <v>41545</v>
      </c>
      <c r="B3219" s="352" t="s">
        <v>2700</v>
      </c>
      <c r="C3219" s="354" t="s">
        <v>1362</v>
      </c>
      <c r="D3219" s="354" t="s">
        <v>2846</v>
      </c>
      <c r="E3219" s="296" t="str">
        <f>VLOOKUP(B3219&amp;C3219,Divipola!$C$2:$F$1138,4,FALSE)</f>
        <v>15087</v>
      </c>
      <c r="F3219" s="87"/>
      <c r="G3219" s="87"/>
      <c r="H3219" s="87"/>
      <c r="I3219" s="87"/>
      <c r="J3219" s="87"/>
      <c r="K3219" s="87"/>
      <c r="L3219" s="87"/>
      <c r="M3219" s="87"/>
      <c r="N3219" s="87"/>
      <c r="O3219" s="87"/>
      <c r="P3219" s="87"/>
      <c r="Q3219" s="87"/>
      <c r="R3219" s="87"/>
      <c r="S3219" s="87"/>
      <c r="T3219" s="87"/>
      <c r="U3219" s="88"/>
      <c r="V3219" s="89"/>
      <c r="W3219" s="96">
        <v>0</v>
      </c>
      <c r="X3219" s="71">
        <f>CU3219</f>
        <v>0</v>
      </c>
      <c r="Y3219" s="71">
        <f>CY3219</f>
        <v>0</v>
      </c>
      <c r="Z3219" s="71">
        <f>DA3219+DC3219+DE3219</f>
        <v>0</v>
      </c>
      <c r="AA3219" s="71">
        <f>CW3219</f>
        <v>0</v>
      </c>
      <c r="AB3219" s="71"/>
      <c r="AC3219" s="71">
        <v>0</v>
      </c>
      <c r="AD3219" s="71">
        <f>W3219+X3219+Y3219+Z3219+AA3219+AB3219+AC3219</f>
        <v>0</v>
      </c>
      <c r="AE3219" s="72">
        <v>0</v>
      </c>
      <c r="AF3219" s="5"/>
      <c r="AG3219" s="6"/>
      <c r="AH3219" s="27"/>
      <c r="AI3219" s="44"/>
      <c r="AJ3219" s="26"/>
      <c r="AK3219" s="5"/>
      <c r="AL3219" s="328" t="s">
        <v>6157</v>
      </c>
      <c r="AM3219" s="76"/>
      <c r="AN3219" s="76"/>
      <c r="AO3219" s="76"/>
      <c r="AP3219" s="76"/>
      <c r="AQ3219" s="76"/>
      <c r="AR3219" s="76"/>
      <c r="AS3219" s="76"/>
      <c r="AT3219" s="76"/>
      <c r="AU3219" s="76"/>
      <c r="AV3219" s="76"/>
      <c r="AW3219" s="76"/>
      <c r="AX3219" s="76">
        <f>+AW3219*600000</f>
        <v>0</v>
      </c>
      <c r="AY3219" s="76"/>
      <c r="AZ3219" s="76">
        <f>+AY3219*70000</f>
        <v>0</v>
      </c>
      <c r="BA3219" s="76"/>
      <c r="BB3219" s="76"/>
      <c r="BC3219" s="76"/>
      <c r="BD3219" s="76">
        <f>+BC3219*30000</f>
        <v>0</v>
      </c>
      <c r="BE3219" s="76"/>
      <c r="BF3219" s="76"/>
      <c r="BG3219" s="76"/>
      <c r="BH3219" s="76"/>
      <c r="BI3219" s="76"/>
      <c r="BJ3219" s="76"/>
      <c r="BK3219" s="76"/>
      <c r="BL3219" s="76">
        <f>+BK3219*31500</f>
        <v>0</v>
      </c>
      <c r="BM3219" s="76"/>
      <c r="BN3219" s="76"/>
      <c r="BO3219" s="76"/>
      <c r="BP3219" s="76"/>
      <c r="BQ3219" s="76"/>
      <c r="BR3219" s="76"/>
      <c r="BS3219" s="76"/>
      <c r="BT3219" s="76"/>
      <c r="BU3219" s="76"/>
      <c r="BV3219" s="76"/>
      <c r="BW3219" s="76"/>
      <c r="BX3219" s="76"/>
      <c r="BY3219" s="76"/>
      <c r="BZ3219" s="76"/>
      <c r="CA3219" s="76"/>
      <c r="CB3219" s="76"/>
      <c r="CC3219" s="76"/>
      <c r="CD3219" s="76"/>
      <c r="CE3219" s="76"/>
      <c r="CF3219" s="76">
        <f>+CE3219*28000</f>
        <v>0</v>
      </c>
      <c r="CG3219" s="76"/>
      <c r="CH3219" s="76">
        <f>+CG3219*22500</f>
        <v>0</v>
      </c>
      <c r="CI3219" s="76"/>
      <c r="CJ3219" s="76">
        <f>+CI3219*26000</f>
        <v>0</v>
      </c>
      <c r="CK3219" s="76"/>
      <c r="CL3219" s="76"/>
      <c r="CM3219" s="76"/>
      <c r="CN3219" s="76">
        <f>+CM3219*22000</f>
        <v>0</v>
      </c>
      <c r="CO3219" s="76"/>
      <c r="CP3219" s="76">
        <f>+CO3219*46000</f>
        <v>0</v>
      </c>
      <c r="CQ3219" s="76"/>
      <c r="CR3219" s="76">
        <f>+CQ3219*49000</f>
        <v>0</v>
      </c>
      <c r="CS3219" s="76"/>
      <c r="CT3219" s="76"/>
      <c r="CU3219" s="56">
        <f>AN3219+AP3219+AR3219+AT3219+AV3219+AX3219+AZ3219+BB3219+BD3219+BF3219+BH3219+BJ3219+BL3219+BN3219+BP3219+BR3219+BT3219+BV3219+BX3219+BZ3219+CB3219+CD3219+CF3219+CH3219+CJ3219+CL3219+CN3219+CP3219+CR3219+CT3219</f>
        <v>0</v>
      </c>
      <c r="CV3219" s="76"/>
      <c r="CW3219" s="76">
        <f>+CV3219*1100</f>
        <v>0</v>
      </c>
      <c r="CX3219" s="76"/>
      <c r="CY3219" s="76">
        <f>+CX3219*106250</f>
        <v>0</v>
      </c>
      <c r="CZ3219" s="76"/>
      <c r="DA3219" s="76">
        <f>+CZ3219*34500</f>
        <v>0</v>
      </c>
      <c r="DB3219" s="76"/>
      <c r="DC3219" s="76">
        <f>+DB3219*25000</f>
        <v>0</v>
      </c>
      <c r="DD3219" s="219"/>
      <c r="DE3219" s="219"/>
      <c r="DF3219" s="166"/>
      <c r="DG3219" s="116"/>
      <c r="DH3219" s="117"/>
      <c r="DI3219" s="24"/>
      <c r="DJ3219" s="24"/>
      <c r="DK3219" s="24"/>
      <c r="DL3219" s="24"/>
      <c r="DM3219" s="24"/>
      <c r="DN3219" s="24"/>
      <c r="DO3219" s="24"/>
      <c r="DP3219" s="24"/>
      <c r="DQ3219" s="24"/>
      <c r="DR3219" s="24"/>
      <c r="DS3219" s="24"/>
      <c r="DT3219" s="24"/>
      <c r="DU3219" s="24"/>
    </row>
    <row r="3220" spans="1:125" s="8" customFormat="1" ht="48" x14ac:dyDescent="0.2">
      <c r="A3220" s="228">
        <v>41545</v>
      </c>
      <c r="B3220" s="229" t="s">
        <v>2196</v>
      </c>
      <c r="C3220" s="230" t="s">
        <v>764</v>
      </c>
      <c r="D3220" s="230" t="s">
        <v>2882</v>
      </c>
      <c r="E3220" s="296" t="str">
        <f>VLOOKUP(B3220&amp;C3220,Divipola!$C$2:$F$1138,4,FALSE)</f>
        <v>17541</v>
      </c>
      <c r="F3220" s="87"/>
      <c r="G3220" s="87"/>
      <c r="H3220" s="87"/>
      <c r="I3220" s="87">
        <v>225</v>
      </c>
      <c r="J3220" s="87">
        <v>45</v>
      </c>
      <c r="K3220" s="87"/>
      <c r="L3220" s="87">
        <v>45</v>
      </c>
      <c r="M3220" s="87"/>
      <c r="N3220" s="87"/>
      <c r="O3220" s="87"/>
      <c r="P3220" s="87"/>
      <c r="Q3220" s="87"/>
      <c r="R3220" s="87"/>
      <c r="S3220" s="87"/>
      <c r="T3220" s="87"/>
      <c r="U3220" s="88"/>
      <c r="V3220" s="89"/>
      <c r="W3220" s="96">
        <v>0</v>
      </c>
      <c r="X3220" s="71">
        <f>CU3220</f>
        <v>0</v>
      </c>
      <c r="Y3220" s="71">
        <f>CY3220</f>
        <v>0</v>
      </c>
      <c r="Z3220" s="71">
        <f>DA3220+DC3220+DE3220</f>
        <v>0</v>
      </c>
      <c r="AA3220" s="71">
        <f>CW3220</f>
        <v>0</v>
      </c>
      <c r="AB3220" s="71"/>
      <c r="AC3220" s="71">
        <v>0</v>
      </c>
      <c r="AD3220" s="71">
        <f>W3220+X3220+Y3220+Z3220+AA3220+AB3220+AC3220</f>
        <v>0</v>
      </c>
      <c r="AE3220" s="72">
        <v>0</v>
      </c>
      <c r="AF3220" s="5"/>
      <c r="AG3220" s="6"/>
      <c r="AH3220" s="27"/>
      <c r="AI3220" s="44"/>
      <c r="AJ3220" s="26"/>
      <c r="AK3220" s="5"/>
      <c r="AL3220" s="326" t="s">
        <v>6156</v>
      </c>
      <c r="AM3220" s="76"/>
      <c r="AN3220" s="76"/>
      <c r="AO3220" s="76"/>
      <c r="AP3220" s="76"/>
      <c r="AQ3220" s="76"/>
      <c r="AR3220" s="76"/>
      <c r="AS3220" s="76"/>
      <c r="AT3220" s="76"/>
      <c r="AU3220" s="76"/>
      <c r="AV3220" s="76"/>
      <c r="AW3220" s="76"/>
      <c r="AX3220" s="76">
        <f>+AW3220*600000</f>
        <v>0</v>
      </c>
      <c r="AY3220" s="76"/>
      <c r="AZ3220" s="76">
        <f>+AY3220*70000</f>
        <v>0</v>
      </c>
      <c r="BA3220" s="76"/>
      <c r="BB3220" s="76"/>
      <c r="BC3220" s="76"/>
      <c r="BD3220" s="76">
        <f>+BC3220*30000</f>
        <v>0</v>
      </c>
      <c r="BE3220" s="76"/>
      <c r="BF3220" s="76"/>
      <c r="BG3220" s="76"/>
      <c r="BH3220" s="76"/>
      <c r="BI3220" s="76"/>
      <c r="BJ3220" s="76"/>
      <c r="BK3220" s="76"/>
      <c r="BL3220" s="76">
        <f>+BK3220*31500</f>
        <v>0</v>
      </c>
      <c r="BM3220" s="76"/>
      <c r="BN3220" s="76"/>
      <c r="BO3220" s="76"/>
      <c r="BP3220" s="76"/>
      <c r="BQ3220" s="76"/>
      <c r="BR3220" s="76"/>
      <c r="BS3220" s="76"/>
      <c r="BT3220" s="76"/>
      <c r="BU3220" s="76"/>
      <c r="BV3220" s="76"/>
      <c r="BW3220" s="76"/>
      <c r="BX3220" s="76"/>
      <c r="BY3220" s="76"/>
      <c r="BZ3220" s="76"/>
      <c r="CA3220" s="76"/>
      <c r="CB3220" s="76"/>
      <c r="CC3220" s="76"/>
      <c r="CD3220" s="76"/>
      <c r="CE3220" s="76"/>
      <c r="CF3220" s="76">
        <f>+CE3220*28000</f>
        <v>0</v>
      </c>
      <c r="CG3220" s="76"/>
      <c r="CH3220" s="76">
        <f>+CG3220*22500</f>
        <v>0</v>
      </c>
      <c r="CI3220" s="76"/>
      <c r="CJ3220" s="76">
        <f>+CI3220*26000</f>
        <v>0</v>
      </c>
      <c r="CK3220" s="76"/>
      <c r="CL3220" s="76"/>
      <c r="CM3220" s="76"/>
      <c r="CN3220" s="76">
        <f>+CM3220*22000</f>
        <v>0</v>
      </c>
      <c r="CO3220" s="76"/>
      <c r="CP3220" s="76">
        <f>+CO3220*46000</f>
        <v>0</v>
      </c>
      <c r="CQ3220" s="76"/>
      <c r="CR3220" s="76">
        <f>+CQ3220*49000</f>
        <v>0</v>
      </c>
      <c r="CS3220" s="76"/>
      <c r="CT3220" s="76"/>
      <c r="CU3220" s="56">
        <f>AN3220+AP3220+AR3220+AT3220+AV3220+AX3220+AZ3220+BB3220+BD3220+BF3220+BH3220+BJ3220+BL3220+BN3220+BP3220+BR3220+BT3220+BV3220+BX3220+BZ3220+CB3220+CD3220+CF3220+CH3220+CJ3220+CL3220+CN3220+CP3220+CR3220+CT3220</f>
        <v>0</v>
      </c>
      <c r="CV3220" s="76"/>
      <c r="CW3220" s="76">
        <f>+CV3220*1100</f>
        <v>0</v>
      </c>
      <c r="CX3220" s="76"/>
      <c r="CY3220" s="76">
        <f>+CX3220*106250</f>
        <v>0</v>
      </c>
      <c r="CZ3220" s="76"/>
      <c r="DA3220" s="76">
        <f>+CZ3220*34500</f>
        <v>0</v>
      </c>
      <c r="DB3220" s="76"/>
      <c r="DC3220" s="76">
        <f>+DB3220*25000</f>
        <v>0</v>
      </c>
      <c r="DD3220" s="219"/>
      <c r="DE3220" s="219"/>
      <c r="DF3220" s="166"/>
      <c r="DG3220" s="116"/>
      <c r="DH3220" s="117"/>
      <c r="DI3220" s="24"/>
      <c r="DJ3220" s="24"/>
      <c r="DK3220" s="24"/>
      <c r="DL3220" s="24"/>
      <c r="DM3220" s="24"/>
      <c r="DN3220" s="24"/>
      <c r="DO3220" s="24"/>
      <c r="DP3220" s="24"/>
      <c r="DQ3220" s="24"/>
      <c r="DR3220" s="24"/>
      <c r="DS3220" s="24"/>
      <c r="DT3220" s="24"/>
      <c r="DU3220" s="24"/>
    </row>
    <row r="3221" spans="1:125" s="8" customFormat="1" ht="48" x14ac:dyDescent="0.2">
      <c r="A3221" s="353">
        <v>41545</v>
      </c>
      <c r="B3221" s="78" t="s">
        <v>2854</v>
      </c>
      <c r="C3221" s="83" t="s">
        <v>2124</v>
      </c>
      <c r="D3221" s="75" t="s">
        <v>2882</v>
      </c>
      <c r="E3221" s="296" t="str">
        <f>VLOOKUP(B3221&amp;C3221,Divipola!$C$2:$F$1138,4,FALSE)</f>
        <v>19548</v>
      </c>
      <c r="F3221" s="87"/>
      <c r="G3221" s="87"/>
      <c r="H3221" s="87"/>
      <c r="I3221" s="87">
        <f>150*5</f>
        <v>750</v>
      </c>
      <c r="J3221" s="87">
        <v>150</v>
      </c>
      <c r="K3221" s="87"/>
      <c r="L3221" s="87">
        <v>150</v>
      </c>
      <c r="M3221" s="87"/>
      <c r="N3221" s="87"/>
      <c r="O3221" s="87"/>
      <c r="P3221" s="87"/>
      <c r="Q3221" s="87"/>
      <c r="R3221" s="87"/>
      <c r="S3221" s="87"/>
      <c r="T3221" s="87"/>
      <c r="U3221" s="87"/>
      <c r="V3221" s="89"/>
      <c r="W3221" s="96">
        <v>0</v>
      </c>
      <c r="X3221" s="71">
        <f>CU3221</f>
        <v>0</v>
      </c>
      <c r="Y3221" s="71">
        <f>CY3221</f>
        <v>0</v>
      </c>
      <c r="Z3221" s="71">
        <f>DA3221+DC3221+DE3221</f>
        <v>0</v>
      </c>
      <c r="AA3221" s="71">
        <f>CW3221</f>
        <v>0</v>
      </c>
      <c r="AB3221" s="71"/>
      <c r="AC3221" s="71">
        <v>0</v>
      </c>
      <c r="AD3221" s="71">
        <f>W3221+X3221+Y3221+Z3221+AA3221+AB3221+AC3221</f>
        <v>0</v>
      </c>
      <c r="AE3221" s="72">
        <v>0</v>
      </c>
      <c r="AF3221" s="5"/>
      <c r="AG3221" s="6"/>
      <c r="AH3221" s="27"/>
      <c r="AI3221" s="44"/>
      <c r="AJ3221" s="26"/>
      <c r="AK3221" s="5"/>
      <c r="AL3221" s="326" t="s">
        <v>6152</v>
      </c>
      <c r="AM3221" s="76"/>
      <c r="AN3221" s="76"/>
      <c r="AO3221" s="76"/>
      <c r="AP3221" s="76"/>
      <c r="AQ3221" s="76"/>
      <c r="AR3221" s="76"/>
      <c r="AS3221" s="76"/>
      <c r="AT3221" s="76"/>
      <c r="AU3221" s="76"/>
      <c r="AV3221" s="76"/>
      <c r="AW3221" s="76"/>
      <c r="AX3221" s="76">
        <f>+AW3221*600000</f>
        <v>0</v>
      </c>
      <c r="AY3221" s="76"/>
      <c r="AZ3221" s="76">
        <f>+AY3221*70000</f>
        <v>0</v>
      </c>
      <c r="BA3221" s="76"/>
      <c r="BB3221" s="76"/>
      <c r="BC3221" s="76"/>
      <c r="BD3221" s="76">
        <f>+BC3221*30000</f>
        <v>0</v>
      </c>
      <c r="BE3221" s="76"/>
      <c r="BF3221" s="76"/>
      <c r="BG3221" s="76"/>
      <c r="BH3221" s="76"/>
      <c r="BI3221" s="76"/>
      <c r="BJ3221" s="76"/>
      <c r="BK3221" s="76"/>
      <c r="BL3221" s="76">
        <f>+BK3221*31500</f>
        <v>0</v>
      </c>
      <c r="BM3221" s="76"/>
      <c r="BN3221" s="76"/>
      <c r="BO3221" s="76"/>
      <c r="BP3221" s="76"/>
      <c r="BQ3221" s="76"/>
      <c r="BR3221" s="76"/>
      <c r="BS3221" s="76"/>
      <c r="BT3221" s="76"/>
      <c r="BU3221" s="76"/>
      <c r="BV3221" s="76"/>
      <c r="BW3221" s="76"/>
      <c r="BX3221" s="76"/>
      <c r="BY3221" s="76"/>
      <c r="BZ3221" s="76"/>
      <c r="CA3221" s="76"/>
      <c r="CB3221" s="76"/>
      <c r="CC3221" s="76"/>
      <c r="CD3221" s="76"/>
      <c r="CE3221" s="76"/>
      <c r="CF3221" s="76">
        <f>+CE3221*28000</f>
        <v>0</v>
      </c>
      <c r="CG3221" s="76"/>
      <c r="CH3221" s="76">
        <f>+CG3221*22500</f>
        <v>0</v>
      </c>
      <c r="CI3221" s="76"/>
      <c r="CJ3221" s="76">
        <f>+CI3221*26000</f>
        <v>0</v>
      </c>
      <c r="CK3221" s="76"/>
      <c r="CL3221" s="76"/>
      <c r="CM3221" s="76"/>
      <c r="CN3221" s="76">
        <f>+CM3221*22000</f>
        <v>0</v>
      </c>
      <c r="CO3221" s="76"/>
      <c r="CP3221" s="76">
        <f>+CO3221*46000</f>
        <v>0</v>
      </c>
      <c r="CQ3221" s="76"/>
      <c r="CR3221" s="76">
        <f>+CQ3221*49000</f>
        <v>0</v>
      </c>
      <c r="CS3221" s="76"/>
      <c r="CT3221" s="76"/>
      <c r="CU3221" s="56">
        <f>AN3221+AP3221+AR3221+AT3221+AV3221+AX3221+AZ3221+BB3221+BD3221+BF3221+BH3221+BJ3221+BL3221+BN3221+BP3221+BR3221+BT3221+BV3221+BX3221+BZ3221+CB3221+CD3221+CF3221+CH3221+CJ3221+CL3221+CN3221+CP3221+CR3221+CT3221</f>
        <v>0</v>
      </c>
      <c r="CV3221" s="76"/>
      <c r="CW3221" s="76">
        <f>+CV3221*1100</f>
        <v>0</v>
      </c>
      <c r="CX3221" s="76"/>
      <c r="CY3221" s="76">
        <f>+CX3221*106250</f>
        <v>0</v>
      </c>
      <c r="CZ3221" s="76"/>
      <c r="DA3221" s="76">
        <f>+CZ3221*34500</f>
        <v>0</v>
      </c>
      <c r="DB3221" s="76"/>
      <c r="DC3221" s="76">
        <f>+DB3221*25000</f>
        <v>0</v>
      </c>
      <c r="DD3221" s="219"/>
      <c r="DE3221" s="219"/>
      <c r="DF3221" s="166"/>
      <c r="DG3221" s="116"/>
      <c r="DH3221" s="117"/>
      <c r="DI3221" s="24"/>
      <c r="DJ3221" s="24"/>
      <c r="DK3221" s="24"/>
      <c r="DL3221" s="24"/>
      <c r="DM3221" s="24"/>
      <c r="DN3221" s="24"/>
      <c r="DO3221" s="24"/>
      <c r="DP3221" s="24"/>
      <c r="DQ3221" s="24"/>
      <c r="DR3221" s="24"/>
      <c r="DS3221" s="24"/>
      <c r="DT3221" s="24"/>
      <c r="DU3221" s="24"/>
    </row>
    <row r="3222" spans="1:125" s="8" customFormat="1" ht="84" x14ac:dyDescent="0.2">
      <c r="A3222" s="353">
        <v>41545</v>
      </c>
      <c r="B3222" s="225" t="s">
        <v>2855</v>
      </c>
      <c r="C3222" s="227" t="s">
        <v>2749</v>
      </c>
      <c r="D3222" s="354" t="s">
        <v>2882</v>
      </c>
      <c r="E3222" s="296" t="str">
        <f>VLOOKUP(B3222&amp;C3222,Divipola!$C$2:$F$1138,4,FALSE)</f>
        <v>20011</v>
      </c>
      <c r="F3222" s="87"/>
      <c r="G3222" s="87"/>
      <c r="H3222" s="87"/>
      <c r="I3222" s="87"/>
      <c r="J3222" s="87"/>
      <c r="K3222" s="87"/>
      <c r="L3222" s="87"/>
      <c r="M3222" s="87"/>
      <c r="N3222" s="87"/>
      <c r="O3222" s="87"/>
      <c r="P3222" s="87"/>
      <c r="Q3222" s="87"/>
      <c r="R3222" s="87"/>
      <c r="S3222" s="87"/>
      <c r="T3222" s="87"/>
      <c r="U3222" s="88"/>
      <c r="V3222" s="89"/>
      <c r="W3222" s="96">
        <v>0</v>
      </c>
      <c r="X3222" s="71">
        <f>CU3222</f>
        <v>0</v>
      </c>
      <c r="Y3222" s="71">
        <f>CY3222</f>
        <v>0</v>
      </c>
      <c r="Z3222" s="71">
        <f>DA3222+DC3222+DE3222</f>
        <v>0</v>
      </c>
      <c r="AA3222" s="71">
        <f>CW3222</f>
        <v>0</v>
      </c>
      <c r="AB3222" s="71"/>
      <c r="AC3222" s="71">
        <v>0</v>
      </c>
      <c r="AD3222" s="71">
        <f>W3222+X3222+Y3222+Z3222+AA3222+AB3222+AC3222</f>
        <v>0</v>
      </c>
      <c r="AE3222" s="72">
        <v>0</v>
      </c>
      <c r="AF3222" s="5"/>
      <c r="AG3222" s="6"/>
      <c r="AH3222" s="27"/>
      <c r="AI3222" s="44"/>
      <c r="AJ3222" s="26"/>
      <c r="AK3222" s="5"/>
      <c r="AL3222" s="326" t="s">
        <v>6149</v>
      </c>
      <c r="AM3222" s="76"/>
      <c r="AN3222" s="76"/>
      <c r="AO3222" s="76"/>
      <c r="AP3222" s="76"/>
      <c r="AQ3222" s="76"/>
      <c r="AR3222" s="76"/>
      <c r="AS3222" s="76"/>
      <c r="AT3222" s="76"/>
      <c r="AU3222" s="76"/>
      <c r="AV3222" s="76"/>
      <c r="AW3222" s="76"/>
      <c r="AX3222" s="76">
        <f>+AW3222*600000</f>
        <v>0</v>
      </c>
      <c r="AY3222" s="76"/>
      <c r="AZ3222" s="76">
        <f>+AY3222*70000</f>
        <v>0</v>
      </c>
      <c r="BA3222" s="76"/>
      <c r="BB3222" s="76"/>
      <c r="BC3222" s="76"/>
      <c r="BD3222" s="76">
        <f>+BC3222*30000</f>
        <v>0</v>
      </c>
      <c r="BE3222" s="76"/>
      <c r="BF3222" s="76"/>
      <c r="BG3222" s="76"/>
      <c r="BH3222" s="76"/>
      <c r="BI3222" s="76"/>
      <c r="BJ3222" s="76"/>
      <c r="BK3222" s="76"/>
      <c r="BL3222" s="76">
        <f>+BK3222*31500</f>
        <v>0</v>
      </c>
      <c r="BM3222" s="76"/>
      <c r="BN3222" s="76"/>
      <c r="BO3222" s="76"/>
      <c r="BP3222" s="76"/>
      <c r="BQ3222" s="76"/>
      <c r="BR3222" s="76"/>
      <c r="BS3222" s="76"/>
      <c r="BT3222" s="76"/>
      <c r="BU3222" s="76"/>
      <c r="BV3222" s="76"/>
      <c r="BW3222" s="76"/>
      <c r="BX3222" s="76"/>
      <c r="BY3222" s="76"/>
      <c r="BZ3222" s="76"/>
      <c r="CA3222" s="76"/>
      <c r="CB3222" s="76"/>
      <c r="CC3222" s="76"/>
      <c r="CD3222" s="76"/>
      <c r="CE3222" s="76"/>
      <c r="CF3222" s="76">
        <f>+CE3222*28000</f>
        <v>0</v>
      </c>
      <c r="CG3222" s="76"/>
      <c r="CH3222" s="76">
        <f>+CG3222*22500</f>
        <v>0</v>
      </c>
      <c r="CI3222" s="76"/>
      <c r="CJ3222" s="76">
        <f>+CI3222*26000</f>
        <v>0</v>
      </c>
      <c r="CK3222" s="76"/>
      <c r="CL3222" s="76"/>
      <c r="CM3222" s="76"/>
      <c r="CN3222" s="76">
        <f>+CM3222*22000</f>
        <v>0</v>
      </c>
      <c r="CO3222" s="76"/>
      <c r="CP3222" s="76">
        <f>+CO3222*46000</f>
        <v>0</v>
      </c>
      <c r="CQ3222" s="76"/>
      <c r="CR3222" s="76">
        <f>+CQ3222*49000</f>
        <v>0</v>
      </c>
      <c r="CS3222" s="76"/>
      <c r="CT3222" s="76"/>
      <c r="CU3222" s="56">
        <f>AN3222+AP3222+AR3222+AT3222+AV3222+AX3222+AZ3222+BB3222+BD3222+BF3222+BH3222+BJ3222+BL3222+BN3222+BP3222+BR3222+BT3222+BV3222+BX3222+BZ3222+CB3222+CD3222+CF3222+CH3222+CJ3222+CL3222+CN3222+CP3222+CR3222+CT3222</f>
        <v>0</v>
      </c>
      <c r="CV3222" s="76"/>
      <c r="CW3222" s="76">
        <f>+CV3222*1100</f>
        <v>0</v>
      </c>
      <c r="CX3222" s="76"/>
      <c r="CY3222" s="76">
        <f>+CX3222*106250</f>
        <v>0</v>
      </c>
      <c r="CZ3222" s="76"/>
      <c r="DA3222" s="76">
        <f>+CZ3222*34500</f>
        <v>0</v>
      </c>
      <c r="DB3222" s="76"/>
      <c r="DC3222" s="76">
        <f>+DB3222*25000</f>
        <v>0</v>
      </c>
      <c r="DD3222" s="219"/>
      <c r="DE3222" s="219"/>
      <c r="DF3222" s="166"/>
      <c r="DG3222" s="116"/>
      <c r="DH3222" s="117"/>
      <c r="DI3222" s="24"/>
      <c r="DJ3222" s="24"/>
      <c r="DK3222" s="24"/>
      <c r="DL3222" s="24"/>
      <c r="DM3222" s="24"/>
      <c r="DN3222" s="24"/>
      <c r="DO3222" s="24"/>
      <c r="DP3222" s="24"/>
      <c r="DQ3222" s="24"/>
      <c r="DR3222" s="24"/>
      <c r="DS3222" s="24"/>
      <c r="DT3222" s="24"/>
      <c r="DU3222" s="24"/>
    </row>
    <row r="3223" spans="1:125" s="8" customFormat="1" ht="72" x14ac:dyDescent="0.2">
      <c r="A3223" s="353">
        <v>41545</v>
      </c>
      <c r="B3223" s="225" t="s">
        <v>2855</v>
      </c>
      <c r="C3223" s="227" t="s">
        <v>2070</v>
      </c>
      <c r="D3223" s="354" t="s">
        <v>2882</v>
      </c>
      <c r="E3223" s="296" t="str">
        <f>VLOOKUP(B3223&amp;C3223,Divipola!$C$2:$F$1138,4,FALSE)</f>
        <v>20770</v>
      </c>
      <c r="F3223" s="87"/>
      <c r="G3223" s="87"/>
      <c r="H3223" s="87"/>
      <c r="I3223" s="87">
        <v>25</v>
      </c>
      <c r="J3223" s="87">
        <v>5</v>
      </c>
      <c r="K3223" s="87">
        <v>2</v>
      </c>
      <c r="L3223" s="87">
        <v>3</v>
      </c>
      <c r="M3223" s="87"/>
      <c r="N3223" s="87"/>
      <c r="O3223" s="87"/>
      <c r="P3223" s="87"/>
      <c r="Q3223" s="87"/>
      <c r="R3223" s="87"/>
      <c r="S3223" s="87"/>
      <c r="T3223" s="87"/>
      <c r="U3223" s="88"/>
      <c r="V3223" s="89"/>
      <c r="W3223" s="96">
        <v>0</v>
      </c>
      <c r="X3223" s="71">
        <f>CU3223</f>
        <v>0</v>
      </c>
      <c r="Y3223" s="71">
        <f>CY3223</f>
        <v>0</v>
      </c>
      <c r="Z3223" s="71">
        <f>DA3223+DC3223+DE3223</f>
        <v>0</v>
      </c>
      <c r="AA3223" s="71">
        <f>CW3223</f>
        <v>0</v>
      </c>
      <c r="AB3223" s="71"/>
      <c r="AC3223" s="71">
        <v>0</v>
      </c>
      <c r="AD3223" s="71">
        <f>W3223+X3223+Y3223+Z3223+AA3223+AB3223+AC3223</f>
        <v>0</v>
      </c>
      <c r="AE3223" s="72">
        <v>0</v>
      </c>
      <c r="AF3223" s="5"/>
      <c r="AG3223" s="6"/>
      <c r="AH3223" s="27"/>
      <c r="AI3223" s="44"/>
      <c r="AJ3223" s="26"/>
      <c r="AK3223" s="5"/>
      <c r="AL3223" s="326" t="s">
        <v>6148</v>
      </c>
      <c r="AM3223" s="76"/>
      <c r="AN3223" s="76"/>
      <c r="AO3223" s="76"/>
      <c r="AP3223" s="76"/>
      <c r="AQ3223" s="76"/>
      <c r="AR3223" s="76"/>
      <c r="AS3223" s="76"/>
      <c r="AT3223" s="76"/>
      <c r="AU3223" s="76"/>
      <c r="AV3223" s="76"/>
      <c r="AW3223" s="76"/>
      <c r="AX3223" s="76">
        <f>+AW3223*600000</f>
        <v>0</v>
      </c>
      <c r="AY3223" s="76"/>
      <c r="AZ3223" s="76">
        <f>+AY3223*70000</f>
        <v>0</v>
      </c>
      <c r="BA3223" s="76"/>
      <c r="BB3223" s="76"/>
      <c r="BC3223" s="76"/>
      <c r="BD3223" s="76">
        <f>+BC3223*30000</f>
        <v>0</v>
      </c>
      <c r="BE3223" s="76"/>
      <c r="BF3223" s="76"/>
      <c r="BG3223" s="76"/>
      <c r="BH3223" s="76"/>
      <c r="BI3223" s="76"/>
      <c r="BJ3223" s="76"/>
      <c r="BK3223" s="76"/>
      <c r="BL3223" s="76">
        <f>+BK3223*31500</f>
        <v>0</v>
      </c>
      <c r="BM3223" s="76"/>
      <c r="BN3223" s="76"/>
      <c r="BO3223" s="76"/>
      <c r="BP3223" s="76"/>
      <c r="BQ3223" s="76"/>
      <c r="BR3223" s="76"/>
      <c r="BS3223" s="76"/>
      <c r="BT3223" s="76"/>
      <c r="BU3223" s="76"/>
      <c r="BV3223" s="76"/>
      <c r="BW3223" s="76"/>
      <c r="BX3223" s="76"/>
      <c r="BY3223" s="76"/>
      <c r="BZ3223" s="76"/>
      <c r="CA3223" s="76"/>
      <c r="CB3223" s="76"/>
      <c r="CC3223" s="76"/>
      <c r="CD3223" s="76"/>
      <c r="CE3223" s="76"/>
      <c r="CF3223" s="76">
        <f>+CE3223*28000</f>
        <v>0</v>
      </c>
      <c r="CG3223" s="76"/>
      <c r="CH3223" s="76">
        <f>+CG3223*22500</f>
        <v>0</v>
      </c>
      <c r="CI3223" s="76"/>
      <c r="CJ3223" s="76">
        <f>+CI3223*26000</f>
        <v>0</v>
      </c>
      <c r="CK3223" s="76"/>
      <c r="CL3223" s="76"/>
      <c r="CM3223" s="76"/>
      <c r="CN3223" s="76">
        <f>+CM3223*22000</f>
        <v>0</v>
      </c>
      <c r="CO3223" s="76"/>
      <c r="CP3223" s="76">
        <f>+CO3223*46000</f>
        <v>0</v>
      </c>
      <c r="CQ3223" s="76"/>
      <c r="CR3223" s="76">
        <f>+CQ3223*49000</f>
        <v>0</v>
      </c>
      <c r="CS3223" s="76"/>
      <c r="CT3223" s="76"/>
      <c r="CU3223" s="56">
        <f>AN3223+AP3223+AR3223+AT3223+AV3223+AX3223+AZ3223+BB3223+BD3223+BF3223+BH3223+BJ3223+BL3223+BN3223+BP3223+BR3223+BT3223+BV3223+BX3223+BZ3223+CB3223+CD3223+CF3223+CH3223+CJ3223+CL3223+CN3223+CP3223+CR3223+CT3223</f>
        <v>0</v>
      </c>
      <c r="CV3223" s="76"/>
      <c r="CW3223" s="76">
        <f>+CV3223*1100</f>
        <v>0</v>
      </c>
      <c r="CX3223" s="76"/>
      <c r="CY3223" s="76">
        <f>+CX3223*106250</f>
        <v>0</v>
      </c>
      <c r="CZ3223" s="76"/>
      <c r="DA3223" s="76">
        <f>+CZ3223*34500</f>
        <v>0</v>
      </c>
      <c r="DB3223" s="76"/>
      <c r="DC3223" s="76">
        <f>+DB3223*25000</f>
        <v>0</v>
      </c>
      <c r="DD3223" s="219"/>
      <c r="DE3223" s="219"/>
      <c r="DF3223" s="166"/>
      <c r="DG3223" s="116"/>
      <c r="DH3223" s="117"/>
      <c r="DI3223" s="24"/>
      <c r="DJ3223" s="24"/>
      <c r="DK3223" s="24"/>
      <c r="DL3223" s="24"/>
      <c r="DM3223" s="24"/>
      <c r="DN3223" s="24"/>
      <c r="DO3223" s="24"/>
      <c r="DP3223" s="24"/>
      <c r="DQ3223" s="24"/>
      <c r="DR3223" s="24"/>
      <c r="DS3223" s="24"/>
      <c r="DT3223" s="24"/>
      <c r="DU3223" s="24"/>
    </row>
    <row r="3224" spans="1:125" s="8" customFormat="1" ht="156" x14ac:dyDescent="0.2">
      <c r="A3224" s="77">
        <v>41545</v>
      </c>
      <c r="B3224" s="352" t="s">
        <v>2772</v>
      </c>
      <c r="C3224" s="354" t="s">
        <v>1010</v>
      </c>
      <c r="D3224" s="354" t="s">
        <v>2882</v>
      </c>
      <c r="E3224" s="75" t="str">
        <f>VLOOKUP(B3224&amp;C3224,Divipola!$C$2:$F$1138,4,FALSE)</f>
        <v>25001</v>
      </c>
      <c r="F3224" s="87"/>
      <c r="G3224" s="87"/>
      <c r="H3224" s="87"/>
      <c r="I3224" s="87"/>
      <c r="J3224" s="87"/>
      <c r="K3224" s="87"/>
      <c r="L3224" s="87"/>
      <c r="M3224" s="87"/>
      <c r="N3224" s="87"/>
      <c r="O3224" s="87"/>
      <c r="P3224" s="87"/>
      <c r="Q3224" s="87"/>
      <c r="R3224" s="87"/>
      <c r="S3224" s="87"/>
      <c r="T3224" s="87"/>
      <c r="U3224" s="88"/>
      <c r="V3224" s="89"/>
      <c r="W3224" s="96">
        <v>0</v>
      </c>
      <c r="X3224" s="71">
        <f>CU3224</f>
        <v>0</v>
      </c>
      <c r="Y3224" s="71">
        <f>CY3224</f>
        <v>0</v>
      </c>
      <c r="Z3224" s="71">
        <f>DA3224+DC3224+DE3224</f>
        <v>0</v>
      </c>
      <c r="AA3224" s="71">
        <f>CW3224</f>
        <v>0</v>
      </c>
      <c r="AB3224" s="71"/>
      <c r="AC3224" s="71">
        <v>0</v>
      </c>
      <c r="AD3224" s="71">
        <f>W3224+X3224+Y3224+Z3224+AA3224+AB3224+AC3224</f>
        <v>0</v>
      </c>
      <c r="AE3224" s="72">
        <v>0</v>
      </c>
      <c r="AF3224" s="5"/>
      <c r="AG3224" s="6"/>
      <c r="AH3224" s="27"/>
      <c r="AI3224" s="44"/>
      <c r="AJ3224" s="26"/>
      <c r="AK3224" s="5"/>
      <c r="AL3224" s="9" t="s">
        <v>6186</v>
      </c>
      <c r="AM3224" s="76"/>
      <c r="AN3224" s="76"/>
      <c r="AO3224" s="76"/>
      <c r="AP3224" s="76"/>
      <c r="AQ3224" s="76"/>
      <c r="AR3224" s="76"/>
      <c r="AS3224" s="76"/>
      <c r="AT3224" s="76"/>
      <c r="AU3224" s="76"/>
      <c r="AV3224" s="76"/>
      <c r="AW3224" s="76"/>
      <c r="AX3224" s="76">
        <f>+AW3224*600000</f>
        <v>0</v>
      </c>
      <c r="AY3224" s="76"/>
      <c r="AZ3224" s="76">
        <f>+AY3224*70000</f>
        <v>0</v>
      </c>
      <c r="BA3224" s="76"/>
      <c r="BB3224" s="76"/>
      <c r="BC3224" s="76"/>
      <c r="BD3224" s="76">
        <f>+BC3224*30000</f>
        <v>0</v>
      </c>
      <c r="BE3224" s="76"/>
      <c r="BF3224" s="76"/>
      <c r="BG3224" s="76"/>
      <c r="BH3224" s="76"/>
      <c r="BI3224" s="76"/>
      <c r="BJ3224" s="76"/>
      <c r="BK3224" s="76"/>
      <c r="BL3224" s="76">
        <f>+BK3224*31500</f>
        <v>0</v>
      </c>
      <c r="BM3224" s="76"/>
      <c r="BN3224" s="76"/>
      <c r="BO3224" s="76"/>
      <c r="BP3224" s="76"/>
      <c r="BQ3224" s="76"/>
      <c r="BR3224" s="76"/>
      <c r="BS3224" s="76"/>
      <c r="BT3224" s="76"/>
      <c r="BU3224" s="76"/>
      <c r="BV3224" s="76"/>
      <c r="BW3224" s="76"/>
      <c r="BX3224" s="76"/>
      <c r="BY3224" s="76"/>
      <c r="BZ3224" s="76"/>
      <c r="CA3224" s="76"/>
      <c r="CB3224" s="76"/>
      <c r="CC3224" s="76"/>
      <c r="CD3224" s="76"/>
      <c r="CE3224" s="76"/>
      <c r="CF3224" s="76">
        <f>+CE3224*28000</f>
        <v>0</v>
      </c>
      <c r="CG3224" s="76"/>
      <c r="CH3224" s="76">
        <f>+CG3224*22500</f>
        <v>0</v>
      </c>
      <c r="CI3224" s="76"/>
      <c r="CJ3224" s="76">
        <f>+CI3224*26000</f>
        <v>0</v>
      </c>
      <c r="CK3224" s="76"/>
      <c r="CL3224" s="76"/>
      <c r="CM3224" s="76"/>
      <c r="CN3224" s="76">
        <f>+CM3224*22000</f>
        <v>0</v>
      </c>
      <c r="CO3224" s="76"/>
      <c r="CP3224" s="76">
        <f>+CO3224*46000</f>
        <v>0</v>
      </c>
      <c r="CQ3224" s="76"/>
      <c r="CR3224" s="76">
        <f>+CQ3224*49000</f>
        <v>0</v>
      </c>
      <c r="CS3224" s="76"/>
      <c r="CT3224" s="76"/>
      <c r="CU3224" s="56">
        <f>AN3224+AP3224+AR3224+AT3224+AV3224+AX3224+AZ3224+BB3224+BD3224+BF3224+BH3224+BJ3224+BL3224+BN3224+BP3224+BR3224+BT3224+BV3224+BX3224+BZ3224+CB3224+CD3224+CF3224+CH3224+CJ3224+CL3224+CN3224+CP3224+CR3224+CT3224</f>
        <v>0</v>
      </c>
      <c r="CV3224" s="76"/>
      <c r="CW3224" s="76">
        <f>+CV3224*1100</f>
        <v>0</v>
      </c>
      <c r="CX3224" s="76"/>
      <c r="CY3224" s="76">
        <f>+CX3224*106250</f>
        <v>0</v>
      </c>
      <c r="CZ3224" s="76"/>
      <c r="DA3224" s="76">
        <f>+CZ3224*34500</f>
        <v>0</v>
      </c>
      <c r="DB3224" s="76"/>
      <c r="DC3224" s="76">
        <f>+DB3224*25000</f>
        <v>0</v>
      </c>
      <c r="DD3224" s="219"/>
      <c r="DE3224" s="219"/>
      <c r="DF3224" s="166"/>
      <c r="DG3224" s="116"/>
      <c r="DH3224" s="117"/>
      <c r="DI3224" s="24"/>
      <c r="DJ3224" s="24"/>
      <c r="DK3224" s="24"/>
      <c r="DL3224" s="24"/>
      <c r="DM3224" s="24"/>
      <c r="DN3224" s="24"/>
      <c r="DO3224" s="24"/>
      <c r="DP3224" s="24"/>
      <c r="DQ3224" s="24"/>
      <c r="DR3224" s="24"/>
      <c r="DS3224" s="24"/>
      <c r="DT3224" s="24"/>
      <c r="DU3224" s="24"/>
    </row>
    <row r="3225" spans="1:125" s="8" customFormat="1" ht="108" x14ac:dyDescent="0.2">
      <c r="A3225" s="353">
        <v>41545</v>
      </c>
      <c r="B3225" s="352" t="s">
        <v>2772</v>
      </c>
      <c r="C3225" s="354" t="s">
        <v>2132</v>
      </c>
      <c r="D3225" s="354" t="s">
        <v>2846</v>
      </c>
      <c r="E3225" s="296" t="str">
        <f>VLOOKUP(B3225&amp;C3225,Divipola!$C$2:$F$1138,4,FALSE)</f>
        <v>25740</v>
      </c>
      <c r="F3225" s="87"/>
      <c r="G3225" s="87"/>
      <c r="H3225" s="87"/>
      <c r="I3225" s="87"/>
      <c r="J3225" s="87"/>
      <c r="K3225" s="87"/>
      <c r="L3225" s="87"/>
      <c r="M3225" s="87"/>
      <c r="N3225" s="87"/>
      <c r="O3225" s="87"/>
      <c r="P3225" s="87"/>
      <c r="Q3225" s="87"/>
      <c r="R3225" s="87"/>
      <c r="S3225" s="87"/>
      <c r="T3225" s="87"/>
      <c r="U3225" s="88">
        <v>5</v>
      </c>
      <c r="V3225" s="89"/>
      <c r="W3225" s="96">
        <v>0</v>
      </c>
      <c r="X3225" s="71">
        <f>CU3225</f>
        <v>0</v>
      </c>
      <c r="Y3225" s="71">
        <f>CY3225</f>
        <v>0</v>
      </c>
      <c r="Z3225" s="71">
        <f>DA3225+DC3225+DE3225</f>
        <v>0</v>
      </c>
      <c r="AA3225" s="71">
        <f>CW3225</f>
        <v>0</v>
      </c>
      <c r="AB3225" s="71"/>
      <c r="AC3225" s="71">
        <v>0</v>
      </c>
      <c r="AD3225" s="71">
        <f>W3225+X3225+Y3225+Z3225+AA3225+AB3225+AC3225</f>
        <v>0</v>
      </c>
      <c r="AE3225" s="72">
        <v>0</v>
      </c>
      <c r="AF3225" s="5"/>
      <c r="AG3225" s="6"/>
      <c r="AH3225" s="27"/>
      <c r="AI3225" s="44"/>
      <c r="AJ3225" s="26"/>
      <c r="AK3225" s="5"/>
      <c r="AL3225" s="328" t="s">
        <v>6162</v>
      </c>
      <c r="AM3225" s="76"/>
      <c r="AN3225" s="76"/>
      <c r="AO3225" s="76"/>
      <c r="AP3225" s="76"/>
      <c r="AQ3225" s="76"/>
      <c r="AR3225" s="76"/>
      <c r="AS3225" s="76"/>
      <c r="AT3225" s="76"/>
      <c r="AU3225" s="76"/>
      <c r="AV3225" s="76"/>
      <c r="AW3225" s="76"/>
      <c r="AX3225" s="76">
        <f>+AW3225*600000</f>
        <v>0</v>
      </c>
      <c r="AY3225" s="76"/>
      <c r="AZ3225" s="76">
        <f>+AY3225*70000</f>
        <v>0</v>
      </c>
      <c r="BA3225" s="76"/>
      <c r="BB3225" s="76"/>
      <c r="BC3225" s="76"/>
      <c r="BD3225" s="76">
        <f>+BC3225*30000</f>
        <v>0</v>
      </c>
      <c r="BE3225" s="76"/>
      <c r="BF3225" s="76"/>
      <c r="BG3225" s="76"/>
      <c r="BH3225" s="76"/>
      <c r="BI3225" s="76"/>
      <c r="BJ3225" s="76"/>
      <c r="BK3225" s="76"/>
      <c r="BL3225" s="76">
        <f>+BK3225*31500</f>
        <v>0</v>
      </c>
      <c r="BM3225" s="76"/>
      <c r="BN3225" s="76"/>
      <c r="BO3225" s="76"/>
      <c r="BP3225" s="76"/>
      <c r="BQ3225" s="76"/>
      <c r="BR3225" s="76"/>
      <c r="BS3225" s="76"/>
      <c r="BT3225" s="76"/>
      <c r="BU3225" s="76"/>
      <c r="BV3225" s="76"/>
      <c r="BW3225" s="76"/>
      <c r="BX3225" s="76"/>
      <c r="BY3225" s="76"/>
      <c r="BZ3225" s="76"/>
      <c r="CA3225" s="76"/>
      <c r="CB3225" s="76"/>
      <c r="CC3225" s="76"/>
      <c r="CD3225" s="76"/>
      <c r="CE3225" s="76"/>
      <c r="CF3225" s="76">
        <f>+CE3225*28000</f>
        <v>0</v>
      </c>
      <c r="CG3225" s="76"/>
      <c r="CH3225" s="76">
        <f>+CG3225*22500</f>
        <v>0</v>
      </c>
      <c r="CI3225" s="76"/>
      <c r="CJ3225" s="76">
        <f>+CI3225*26000</f>
        <v>0</v>
      </c>
      <c r="CK3225" s="76"/>
      <c r="CL3225" s="76"/>
      <c r="CM3225" s="76"/>
      <c r="CN3225" s="76">
        <f>+CM3225*22000</f>
        <v>0</v>
      </c>
      <c r="CO3225" s="76"/>
      <c r="CP3225" s="76">
        <f>+CO3225*46000</f>
        <v>0</v>
      </c>
      <c r="CQ3225" s="76"/>
      <c r="CR3225" s="76">
        <f>+CQ3225*49000</f>
        <v>0</v>
      </c>
      <c r="CS3225" s="76"/>
      <c r="CT3225" s="76"/>
      <c r="CU3225" s="56">
        <f>AN3225+AP3225+AR3225+AT3225+AV3225+AX3225+AZ3225+BB3225+BD3225+BF3225+BH3225+BJ3225+BL3225+BN3225+BP3225+BR3225+BT3225+BV3225+BX3225+BZ3225+CB3225+CD3225+CF3225+CH3225+CJ3225+CL3225+CN3225+CP3225+CR3225+CT3225</f>
        <v>0</v>
      </c>
      <c r="CV3225" s="76"/>
      <c r="CW3225" s="76">
        <f>+CV3225*1100</f>
        <v>0</v>
      </c>
      <c r="CX3225" s="76"/>
      <c r="CY3225" s="76">
        <f>+CX3225*106250</f>
        <v>0</v>
      </c>
      <c r="CZ3225" s="76"/>
      <c r="DA3225" s="76">
        <f>+CZ3225*34500</f>
        <v>0</v>
      </c>
      <c r="DB3225" s="76"/>
      <c r="DC3225" s="76">
        <f>+DB3225*25000</f>
        <v>0</v>
      </c>
      <c r="DD3225" s="219"/>
      <c r="DE3225" s="219"/>
      <c r="DF3225" s="166"/>
      <c r="DG3225" s="116"/>
      <c r="DH3225" s="117"/>
      <c r="DI3225" s="24"/>
      <c r="DJ3225" s="24"/>
      <c r="DK3225" s="24"/>
      <c r="DL3225" s="24"/>
      <c r="DM3225" s="24"/>
      <c r="DN3225" s="24"/>
      <c r="DO3225" s="24"/>
      <c r="DP3225" s="24"/>
      <c r="DQ3225" s="24"/>
      <c r="DR3225" s="24"/>
      <c r="DS3225" s="24"/>
      <c r="DT3225" s="24"/>
      <c r="DU3225" s="24"/>
    </row>
    <row r="3226" spans="1:125" s="8" customFormat="1" ht="48" x14ac:dyDescent="0.2">
      <c r="A3226" s="353">
        <v>41545</v>
      </c>
      <c r="B3226" s="225" t="s">
        <v>2772</v>
      </c>
      <c r="C3226" s="227" t="s">
        <v>2056</v>
      </c>
      <c r="D3226" s="354" t="s">
        <v>2846</v>
      </c>
      <c r="E3226" s="296" t="str">
        <f>VLOOKUP(B3226&amp;C3226,Divipola!$C$2:$F$1138,4,FALSE)</f>
        <v>25843</v>
      </c>
      <c r="F3226" s="87"/>
      <c r="G3226" s="87"/>
      <c r="H3226" s="87"/>
      <c r="I3226" s="87"/>
      <c r="J3226" s="87"/>
      <c r="K3226" s="87"/>
      <c r="L3226" s="87"/>
      <c r="M3226" s="87"/>
      <c r="N3226" s="87"/>
      <c r="O3226" s="87"/>
      <c r="P3226" s="87"/>
      <c r="Q3226" s="87"/>
      <c r="R3226" s="87"/>
      <c r="S3226" s="87"/>
      <c r="T3226" s="87"/>
      <c r="U3226" s="88"/>
      <c r="V3226" s="89"/>
      <c r="W3226" s="96">
        <v>0</v>
      </c>
      <c r="X3226" s="71">
        <f>CU3226</f>
        <v>0</v>
      </c>
      <c r="Y3226" s="71">
        <f>CY3226</f>
        <v>0</v>
      </c>
      <c r="Z3226" s="71">
        <f>DA3226+DC3226+DE3226</f>
        <v>0</v>
      </c>
      <c r="AA3226" s="71">
        <f>CW3226</f>
        <v>0</v>
      </c>
      <c r="AB3226" s="71"/>
      <c r="AC3226" s="71">
        <v>0</v>
      </c>
      <c r="AD3226" s="71">
        <f>W3226+X3226+Y3226+Z3226+AA3226+AB3226+AC3226</f>
        <v>0</v>
      </c>
      <c r="AE3226" s="72">
        <v>0</v>
      </c>
      <c r="AF3226" s="5"/>
      <c r="AG3226" s="6"/>
      <c r="AH3226" s="27"/>
      <c r="AI3226" s="44"/>
      <c r="AJ3226" s="26"/>
      <c r="AK3226" s="5"/>
      <c r="AL3226" s="326" t="s">
        <v>6151</v>
      </c>
      <c r="AM3226" s="76"/>
      <c r="AN3226" s="76"/>
      <c r="AO3226" s="76"/>
      <c r="AP3226" s="76"/>
      <c r="AQ3226" s="76"/>
      <c r="AR3226" s="76"/>
      <c r="AS3226" s="76"/>
      <c r="AT3226" s="76"/>
      <c r="AU3226" s="76"/>
      <c r="AV3226" s="76"/>
      <c r="AW3226" s="76"/>
      <c r="AX3226" s="76">
        <f>+AW3226*600000</f>
        <v>0</v>
      </c>
      <c r="AY3226" s="76"/>
      <c r="AZ3226" s="76">
        <f>+AY3226*70000</f>
        <v>0</v>
      </c>
      <c r="BA3226" s="76"/>
      <c r="BB3226" s="76"/>
      <c r="BC3226" s="76"/>
      <c r="BD3226" s="76">
        <f>+BC3226*30000</f>
        <v>0</v>
      </c>
      <c r="BE3226" s="76"/>
      <c r="BF3226" s="76"/>
      <c r="BG3226" s="76"/>
      <c r="BH3226" s="76"/>
      <c r="BI3226" s="76"/>
      <c r="BJ3226" s="76"/>
      <c r="BK3226" s="76"/>
      <c r="BL3226" s="76">
        <f>+BK3226*31500</f>
        <v>0</v>
      </c>
      <c r="BM3226" s="76"/>
      <c r="BN3226" s="76"/>
      <c r="BO3226" s="76"/>
      <c r="BP3226" s="76"/>
      <c r="BQ3226" s="76"/>
      <c r="BR3226" s="76"/>
      <c r="BS3226" s="76"/>
      <c r="BT3226" s="76"/>
      <c r="BU3226" s="76"/>
      <c r="BV3226" s="76"/>
      <c r="BW3226" s="76"/>
      <c r="BX3226" s="76"/>
      <c r="BY3226" s="76"/>
      <c r="BZ3226" s="76"/>
      <c r="CA3226" s="76"/>
      <c r="CB3226" s="76"/>
      <c r="CC3226" s="76"/>
      <c r="CD3226" s="76"/>
      <c r="CE3226" s="76"/>
      <c r="CF3226" s="76">
        <f>+CE3226*28000</f>
        <v>0</v>
      </c>
      <c r="CG3226" s="76"/>
      <c r="CH3226" s="76">
        <f>+CG3226*22500</f>
        <v>0</v>
      </c>
      <c r="CI3226" s="76"/>
      <c r="CJ3226" s="76">
        <f>+CI3226*26000</f>
        <v>0</v>
      </c>
      <c r="CK3226" s="76"/>
      <c r="CL3226" s="76"/>
      <c r="CM3226" s="76"/>
      <c r="CN3226" s="76">
        <f>+CM3226*22000</f>
        <v>0</v>
      </c>
      <c r="CO3226" s="76"/>
      <c r="CP3226" s="76">
        <f>+CO3226*46000</f>
        <v>0</v>
      </c>
      <c r="CQ3226" s="76"/>
      <c r="CR3226" s="76">
        <f>+CQ3226*49000</f>
        <v>0</v>
      </c>
      <c r="CS3226" s="76"/>
      <c r="CT3226" s="76"/>
      <c r="CU3226" s="56">
        <f>AN3226+AP3226+AR3226+AT3226+AV3226+AX3226+AZ3226+BB3226+BD3226+BF3226+BH3226+BJ3226+BL3226+BN3226+BP3226+BR3226+BT3226+BV3226+BX3226+BZ3226+CB3226+CD3226+CF3226+CH3226+CJ3226+CL3226+CN3226+CP3226+CR3226+CT3226</f>
        <v>0</v>
      </c>
      <c r="CV3226" s="76"/>
      <c r="CW3226" s="76">
        <f>+CV3226*1100</f>
        <v>0</v>
      </c>
      <c r="CX3226" s="76"/>
      <c r="CY3226" s="76">
        <f>+CX3226*106250</f>
        <v>0</v>
      </c>
      <c r="CZ3226" s="76"/>
      <c r="DA3226" s="76">
        <f>+CZ3226*34500</f>
        <v>0</v>
      </c>
      <c r="DB3226" s="76"/>
      <c r="DC3226" s="76">
        <f>+DB3226*25000</f>
        <v>0</v>
      </c>
      <c r="DD3226" s="219"/>
      <c r="DE3226" s="219"/>
      <c r="DF3226" s="166"/>
      <c r="DG3226" s="116"/>
      <c r="DH3226" s="117"/>
      <c r="DI3226" s="24"/>
      <c r="DJ3226" s="24"/>
      <c r="DK3226" s="24"/>
      <c r="DL3226" s="24"/>
      <c r="DM3226" s="24"/>
      <c r="DN3226" s="24"/>
      <c r="DO3226" s="24"/>
      <c r="DP3226" s="24"/>
      <c r="DQ3226" s="24"/>
      <c r="DR3226" s="24"/>
      <c r="DS3226" s="24"/>
      <c r="DT3226" s="24"/>
      <c r="DU3226" s="24"/>
    </row>
    <row r="3227" spans="1:125" s="8" customFormat="1" ht="168" x14ac:dyDescent="0.2">
      <c r="A3227" s="353">
        <v>41545</v>
      </c>
      <c r="B3227" s="352" t="s">
        <v>2661</v>
      </c>
      <c r="C3227" s="354" t="s">
        <v>2169</v>
      </c>
      <c r="D3227" s="354" t="s">
        <v>2859</v>
      </c>
      <c r="E3227" s="296" t="str">
        <f>VLOOKUP(B3227&amp;C3227,Divipola!$C$2:$F$1138,4,FALSE)</f>
        <v>41001</v>
      </c>
      <c r="F3227" s="87"/>
      <c r="G3227" s="87"/>
      <c r="H3227" s="87"/>
      <c r="I3227" s="87">
        <v>15</v>
      </c>
      <c r="J3227" s="87">
        <v>3</v>
      </c>
      <c r="K3227" s="87"/>
      <c r="L3227" s="87">
        <v>3</v>
      </c>
      <c r="M3227" s="87"/>
      <c r="N3227" s="87"/>
      <c r="O3227" s="87"/>
      <c r="P3227" s="87"/>
      <c r="Q3227" s="87"/>
      <c r="R3227" s="87"/>
      <c r="S3227" s="87"/>
      <c r="T3227" s="87">
        <v>4</v>
      </c>
      <c r="U3227" s="88"/>
      <c r="V3227" s="89"/>
      <c r="W3227" s="96">
        <v>0</v>
      </c>
      <c r="X3227" s="71">
        <f>CU3227</f>
        <v>0</v>
      </c>
      <c r="Y3227" s="71">
        <f>CY3227</f>
        <v>0</v>
      </c>
      <c r="Z3227" s="71">
        <f>DA3227+DC3227+DE3227</f>
        <v>0</v>
      </c>
      <c r="AA3227" s="71">
        <f>CW3227</f>
        <v>0</v>
      </c>
      <c r="AB3227" s="71"/>
      <c r="AC3227" s="71">
        <v>0</v>
      </c>
      <c r="AD3227" s="71">
        <f>W3227+X3227+Y3227+Z3227+AA3227+AB3227+AC3227</f>
        <v>0</v>
      </c>
      <c r="AE3227" s="72">
        <v>0</v>
      </c>
      <c r="AF3227" s="5"/>
      <c r="AG3227" s="6"/>
      <c r="AH3227" s="27"/>
      <c r="AI3227" s="44"/>
      <c r="AJ3227" s="26"/>
      <c r="AK3227" s="5"/>
      <c r="AL3227" s="326" t="s">
        <v>6150</v>
      </c>
      <c r="AM3227" s="76"/>
      <c r="AN3227" s="76"/>
      <c r="AO3227" s="76"/>
      <c r="AP3227" s="76"/>
      <c r="AQ3227" s="76"/>
      <c r="AR3227" s="76"/>
      <c r="AS3227" s="76"/>
      <c r="AT3227" s="76"/>
      <c r="AU3227" s="76"/>
      <c r="AV3227" s="76"/>
      <c r="AW3227" s="76"/>
      <c r="AX3227" s="76">
        <f>+AW3227*600000</f>
        <v>0</v>
      </c>
      <c r="AY3227" s="76"/>
      <c r="AZ3227" s="76">
        <f>+AY3227*70000</f>
        <v>0</v>
      </c>
      <c r="BA3227" s="76"/>
      <c r="BB3227" s="76"/>
      <c r="BC3227" s="76"/>
      <c r="BD3227" s="76">
        <f>+BC3227*30000</f>
        <v>0</v>
      </c>
      <c r="BE3227" s="76"/>
      <c r="BF3227" s="76"/>
      <c r="BG3227" s="76"/>
      <c r="BH3227" s="76"/>
      <c r="BI3227" s="76"/>
      <c r="BJ3227" s="76"/>
      <c r="BK3227" s="76"/>
      <c r="BL3227" s="76">
        <f>+BK3227*31500</f>
        <v>0</v>
      </c>
      <c r="BM3227" s="76"/>
      <c r="BN3227" s="76"/>
      <c r="BO3227" s="76"/>
      <c r="BP3227" s="76"/>
      <c r="BQ3227" s="76"/>
      <c r="BR3227" s="76"/>
      <c r="BS3227" s="76"/>
      <c r="BT3227" s="76"/>
      <c r="BU3227" s="76"/>
      <c r="BV3227" s="76"/>
      <c r="BW3227" s="76"/>
      <c r="BX3227" s="76"/>
      <c r="BY3227" s="76"/>
      <c r="BZ3227" s="76"/>
      <c r="CA3227" s="76"/>
      <c r="CB3227" s="76"/>
      <c r="CC3227" s="76"/>
      <c r="CD3227" s="76"/>
      <c r="CE3227" s="76"/>
      <c r="CF3227" s="76">
        <f>+CE3227*28000</f>
        <v>0</v>
      </c>
      <c r="CG3227" s="76"/>
      <c r="CH3227" s="76">
        <f>+CG3227*22500</f>
        <v>0</v>
      </c>
      <c r="CI3227" s="76"/>
      <c r="CJ3227" s="76">
        <f>+CI3227*26000</f>
        <v>0</v>
      </c>
      <c r="CK3227" s="76"/>
      <c r="CL3227" s="76"/>
      <c r="CM3227" s="76"/>
      <c r="CN3227" s="76">
        <f>+CM3227*22000</f>
        <v>0</v>
      </c>
      <c r="CO3227" s="76"/>
      <c r="CP3227" s="76">
        <f>+CO3227*46000</f>
        <v>0</v>
      </c>
      <c r="CQ3227" s="76"/>
      <c r="CR3227" s="76">
        <f>+CQ3227*49000</f>
        <v>0</v>
      </c>
      <c r="CS3227" s="76"/>
      <c r="CT3227" s="76"/>
      <c r="CU3227" s="56">
        <f>AN3227+AP3227+AR3227+AT3227+AV3227+AX3227+AZ3227+BB3227+BD3227+BF3227+BH3227+BJ3227+BL3227+BN3227+BP3227+BR3227+BT3227+BV3227+BX3227+BZ3227+CB3227+CD3227+CF3227+CH3227+CJ3227+CL3227+CN3227+CP3227+CR3227+CT3227</f>
        <v>0</v>
      </c>
      <c r="CV3227" s="76"/>
      <c r="CW3227" s="76">
        <f>+CV3227*1100</f>
        <v>0</v>
      </c>
      <c r="CX3227" s="76"/>
      <c r="CY3227" s="76">
        <f>+CX3227*106250</f>
        <v>0</v>
      </c>
      <c r="CZ3227" s="76"/>
      <c r="DA3227" s="76">
        <f>+CZ3227*34500</f>
        <v>0</v>
      </c>
      <c r="DB3227" s="76"/>
      <c r="DC3227" s="76">
        <f>+DB3227*25000</f>
        <v>0</v>
      </c>
      <c r="DD3227" s="219"/>
      <c r="DE3227" s="219"/>
      <c r="DF3227" s="166"/>
      <c r="DG3227" s="116"/>
      <c r="DH3227" s="117"/>
      <c r="DI3227" s="24"/>
      <c r="DJ3227" s="24"/>
      <c r="DK3227" s="24"/>
      <c r="DL3227" s="24"/>
      <c r="DM3227" s="24"/>
      <c r="DN3227" s="24"/>
      <c r="DO3227" s="24"/>
      <c r="DP3227" s="24"/>
      <c r="DQ3227" s="24"/>
      <c r="DR3227" s="24"/>
      <c r="DS3227" s="24"/>
      <c r="DT3227" s="24"/>
      <c r="DU3227" s="24"/>
    </row>
    <row r="3228" spans="1:125" s="8" customFormat="1" ht="48" x14ac:dyDescent="0.2">
      <c r="A3228" s="77">
        <v>41545</v>
      </c>
      <c r="B3228" s="352" t="s">
        <v>2661</v>
      </c>
      <c r="C3228" s="354" t="s">
        <v>2105</v>
      </c>
      <c r="D3228" s="354" t="s">
        <v>2846</v>
      </c>
      <c r="E3228" s="296" t="str">
        <f>VLOOKUP(B3228&amp;C3228,Divipola!$C$2:$F$1138,4,FALSE)</f>
        <v>41615</v>
      </c>
      <c r="F3228" s="87"/>
      <c r="G3228" s="87"/>
      <c r="H3228" s="87"/>
      <c r="I3228" s="87"/>
      <c r="J3228" s="87"/>
      <c r="K3228" s="87"/>
      <c r="L3228" s="87"/>
      <c r="M3228" s="87"/>
      <c r="N3228" s="87"/>
      <c r="O3228" s="87"/>
      <c r="P3228" s="87"/>
      <c r="Q3228" s="87"/>
      <c r="R3228" s="87"/>
      <c r="S3228" s="87"/>
      <c r="T3228" s="87"/>
      <c r="U3228" s="88">
        <v>80</v>
      </c>
      <c r="V3228" s="89"/>
      <c r="W3228" s="96">
        <v>0</v>
      </c>
      <c r="X3228" s="71">
        <f>CU3228</f>
        <v>0</v>
      </c>
      <c r="Y3228" s="71">
        <f>CY3228</f>
        <v>0</v>
      </c>
      <c r="Z3228" s="71">
        <f>DA3228+DC3228+DE3228</f>
        <v>0</v>
      </c>
      <c r="AA3228" s="71">
        <f>CW3228</f>
        <v>0</v>
      </c>
      <c r="AB3228" s="71"/>
      <c r="AC3228" s="71">
        <v>0</v>
      </c>
      <c r="AD3228" s="71">
        <f>W3228+X3228+Y3228+Z3228+AA3228+AB3228+AC3228</f>
        <v>0</v>
      </c>
      <c r="AE3228" s="72">
        <v>0</v>
      </c>
      <c r="AF3228" s="5"/>
      <c r="AG3228" s="6"/>
      <c r="AH3228" s="27"/>
      <c r="AI3228" s="44"/>
      <c r="AJ3228" s="26"/>
      <c r="AK3228" s="5"/>
      <c r="AL3228" s="326" t="s">
        <v>6159</v>
      </c>
      <c r="AM3228" s="76"/>
      <c r="AN3228" s="76"/>
      <c r="AO3228" s="76"/>
      <c r="AP3228" s="76"/>
      <c r="AQ3228" s="76"/>
      <c r="AR3228" s="76"/>
      <c r="AS3228" s="76"/>
      <c r="AT3228" s="76"/>
      <c r="AU3228" s="76"/>
      <c r="AV3228" s="76"/>
      <c r="AW3228" s="76"/>
      <c r="AX3228" s="76">
        <f>+AW3228*600000</f>
        <v>0</v>
      </c>
      <c r="AY3228" s="76"/>
      <c r="AZ3228" s="76">
        <f>+AY3228*70000</f>
        <v>0</v>
      </c>
      <c r="BA3228" s="76"/>
      <c r="BB3228" s="76"/>
      <c r="BC3228" s="76"/>
      <c r="BD3228" s="76">
        <f>+BC3228*30000</f>
        <v>0</v>
      </c>
      <c r="BE3228" s="76"/>
      <c r="BF3228" s="76"/>
      <c r="BG3228" s="76"/>
      <c r="BH3228" s="76"/>
      <c r="BI3228" s="76"/>
      <c r="BJ3228" s="76"/>
      <c r="BK3228" s="76"/>
      <c r="BL3228" s="76">
        <f>+BK3228*31500</f>
        <v>0</v>
      </c>
      <c r="BM3228" s="76"/>
      <c r="BN3228" s="76"/>
      <c r="BO3228" s="76"/>
      <c r="BP3228" s="76"/>
      <c r="BQ3228" s="76"/>
      <c r="BR3228" s="76"/>
      <c r="BS3228" s="76"/>
      <c r="BT3228" s="76"/>
      <c r="BU3228" s="76"/>
      <c r="BV3228" s="76"/>
      <c r="BW3228" s="76"/>
      <c r="BX3228" s="76"/>
      <c r="BY3228" s="76"/>
      <c r="BZ3228" s="76"/>
      <c r="CA3228" s="76"/>
      <c r="CB3228" s="76"/>
      <c r="CC3228" s="76"/>
      <c r="CD3228" s="76"/>
      <c r="CE3228" s="76"/>
      <c r="CF3228" s="76">
        <f>+CE3228*28000</f>
        <v>0</v>
      </c>
      <c r="CG3228" s="76"/>
      <c r="CH3228" s="76">
        <f>+CG3228*22500</f>
        <v>0</v>
      </c>
      <c r="CI3228" s="76"/>
      <c r="CJ3228" s="76">
        <f>+CI3228*26000</f>
        <v>0</v>
      </c>
      <c r="CK3228" s="76"/>
      <c r="CL3228" s="76"/>
      <c r="CM3228" s="76"/>
      <c r="CN3228" s="76">
        <f>+CM3228*22000</f>
        <v>0</v>
      </c>
      <c r="CO3228" s="76"/>
      <c r="CP3228" s="76">
        <f>+CO3228*46000</f>
        <v>0</v>
      </c>
      <c r="CQ3228" s="76"/>
      <c r="CR3228" s="76">
        <f>+CQ3228*49000</f>
        <v>0</v>
      </c>
      <c r="CS3228" s="76"/>
      <c r="CT3228" s="76"/>
      <c r="CU3228" s="56">
        <f>AN3228+AP3228+AR3228+AT3228+AV3228+AX3228+AZ3228+BB3228+BD3228+BF3228+BH3228+BJ3228+BL3228+BN3228+BP3228+BR3228+BT3228+BV3228+BX3228+BZ3228+CB3228+CD3228+CF3228+CH3228+CJ3228+CL3228+CN3228+CP3228+CR3228+CT3228</f>
        <v>0</v>
      </c>
      <c r="CV3228" s="76"/>
      <c r="CW3228" s="76">
        <f>+CV3228*1100</f>
        <v>0</v>
      </c>
      <c r="CX3228" s="76"/>
      <c r="CY3228" s="76">
        <f>+CX3228*106250</f>
        <v>0</v>
      </c>
      <c r="CZ3228" s="76"/>
      <c r="DA3228" s="76">
        <f>+CZ3228*34500</f>
        <v>0</v>
      </c>
      <c r="DB3228" s="76"/>
      <c r="DC3228" s="76">
        <f>+DB3228*25000</f>
        <v>0</v>
      </c>
      <c r="DD3228" s="219"/>
      <c r="DE3228" s="219"/>
      <c r="DF3228" s="166"/>
      <c r="DG3228" s="116"/>
      <c r="DH3228" s="117"/>
      <c r="DI3228" s="24"/>
      <c r="DJ3228" s="24"/>
      <c r="DK3228" s="24"/>
      <c r="DL3228" s="24"/>
      <c r="DM3228" s="24"/>
      <c r="DN3228" s="24"/>
      <c r="DO3228" s="24"/>
      <c r="DP3228" s="24"/>
      <c r="DQ3228" s="24"/>
      <c r="DR3228" s="24"/>
      <c r="DS3228" s="24"/>
      <c r="DT3228" s="24"/>
      <c r="DU3228" s="24"/>
    </row>
    <row r="3229" spans="1:125" s="8" customFormat="1" ht="60" x14ac:dyDescent="0.2">
      <c r="A3229" s="77">
        <v>41545</v>
      </c>
      <c r="B3229" s="352" t="s">
        <v>2661</v>
      </c>
      <c r="C3229" s="354" t="s">
        <v>2669</v>
      </c>
      <c r="D3229" s="354" t="s">
        <v>2846</v>
      </c>
      <c r="E3229" s="296" t="str">
        <f>VLOOKUP(B3229&amp;C3229,Divipola!$C$2:$F$1138,4,FALSE)</f>
        <v>41885</v>
      </c>
      <c r="F3229" s="87"/>
      <c r="G3229" s="87"/>
      <c r="H3229" s="87"/>
      <c r="I3229" s="87"/>
      <c r="J3229" s="87"/>
      <c r="K3229" s="87"/>
      <c r="L3229" s="87"/>
      <c r="M3229" s="87"/>
      <c r="N3229" s="87"/>
      <c r="O3229" s="87"/>
      <c r="P3229" s="87"/>
      <c r="Q3229" s="87"/>
      <c r="R3229" s="87"/>
      <c r="S3229" s="87"/>
      <c r="T3229" s="87"/>
      <c r="U3229" s="88"/>
      <c r="V3229" s="89"/>
      <c r="W3229" s="96">
        <v>0</v>
      </c>
      <c r="X3229" s="71">
        <f>CU3229</f>
        <v>0</v>
      </c>
      <c r="Y3229" s="71">
        <f>CY3229</f>
        <v>0</v>
      </c>
      <c r="Z3229" s="71">
        <f>DA3229+DC3229+DE3229</f>
        <v>0</v>
      </c>
      <c r="AA3229" s="71">
        <f>CW3229</f>
        <v>0</v>
      </c>
      <c r="AB3229" s="71"/>
      <c r="AC3229" s="71">
        <v>0</v>
      </c>
      <c r="AD3229" s="71">
        <f>W3229+X3229+Y3229+Z3229+AA3229+AB3229+AC3229</f>
        <v>0</v>
      </c>
      <c r="AE3229" s="72">
        <v>0</v>
      </c>
      <c r="AF3229" s="5"/>
      <c r="AG3229" s="6"/>
      <c r="AH3229" s="27"/>
      <c r="AI3229" s="44"/>
      <c r="AJ3229" s="26"/>
      <c r="AK3229" s="5"/>
      <c r="AL3229" s="326" t="s">
        <v>6160</v>
      </c>
      <c r="AM3229" s="76"/>
      <c r="AN3229" s="76"/>
      <c r="AO3229" s="76"/>
      <c r="AP3229" s="76"/>
      <c r="AQ3229" s="76"/>
      <c r="AR3229" s="76"/>
      <c r="AS3229" s="76"/>
      <c r="AT3229" s="76"/>
      <c r="AU3229" s="76"/>
      <c r="AV3229" s="76"/>
      <c r="AW3229" s="76"/>
      <c r="AX3229" s="76">
        <f>+AW3229*600000</f>
        <v>0</v>
      </c>
      <c r="AY3229" s="76"/>
      <c r="AZ3229" s="76">
        <f>+AY3229*70000</f>
        <v>0</v>
      </c>
      <c r="BA3229" s="76"/>
      <c r="BB3229" s="76"/>
      <c r="BC3229" s="76"/>
      <c r="BD3229" s="76">
        <f>+BC3229*30000</f>
        <v>0</v>
      </c>
      <c r="BE3229" s="76"/>
      <c r="BF3229" s="76"/>
      <c r="BG3229" s="76"/>
      <c r="BH3229" s="76"/>
      <c r="BI3229" s="76"/>
      <c r="BJ3229" s="76"/>
      <c r="BK3229" s="76"/>
      <c r="BL3229" s="76">
        <f>+BK3229*31500</f>
        <v>0</v>
      </c>
      <c r="BM3229" s="76"/>
      <c r="BN3229" s="76"/>
      <c r="BO3229" s="76"/>
      <c r="BP3229" s="76"/>
      <c r="BQ3229" s="76"/>
      <c r="BR3229" s="76"/>
      <c r="BS3229" s="76"/>
      <c r="BT3229" s="76"/>
      <c r="BU3229" s="76"/>
      <c r="BV3229" s="76"/>
      <c r="BW3229" s="76"/>
      <c r="BX3229" s="76"/>
      <c r="BY3229" s="76"/>
      <c r="BZ3229" s="76"/>
      <c r="CA3229" s="76"/>
      <c r="CB3229" s="76"/>
      <c r="CC3229" s="76"/>
      <c r="CD3229" s="76"/>
      <c r="CE3229" s="76"/>
      <c r="CF3229" s="76">
        <f>+CE3229*28000</f>
        <v>0</v>
      </c>
      <c r="CG3229" s="76"/>
      <c r="CH3229" s="76">
        <f>+CG3229*22500</f>
        <v>0</v>
      </c>
      <c r="CI3229" s="76"/>
      <c r="CJ3229" s="76">
        <f>+CI3229*26000</f>
        <v>0</v>
      </c>
      <c r="CK3229" s="76"/>
      <c r="CL3229" s="76"/>
      <c r="CM3229" s="76"/>
      <c r="CN3229" s="76">
        <f>+CM3229*22000</f>
        <v>0</v>
      </c>
      <c r="CO3229" s="76"/>
      <c r="CP3229" s="76">
        <f>+CO3229*46000</f>
        <v>0</v>
      </c>
      <c r="CQ3229" s="76"/>
      <c r="CR3229" s="76">
        <f>+CQ3229*49000</f>
        <v>0</v>
      </c>
      <c r="CS3229" s="76"/>
      <c r="CT3229" s="76"/>
      <c r="CU3229" s="56">
        <f>AN3229+AP3229+AR3229+AT3229+AV3229+AX3229+AZ3229+BB3229+BD3229+BF3229+BH3229+BJ3229+BL3229+BN3229+BP3229+BR3229+BT3229+BV3229+BX3229+BZ3229+CB3229+CD3229+CF3229+CH3229+CJ3229+CL3229+CN3229+CP3229+CR3229+CT3229</f>
        <v>0</v>
      </c>
      <c r="CV3229" s="76"/>
      <c r="CW3229" s="76">
        <f>+CV3229*1100</f>
        <v>0</v>
      </c>
      <c r="CX3229" s="76"/>
      <c r="CY3229" s="76">
        <f>+CX3229*106250</f>
        <v>0</v>
      </c>
      <c r="CZ3229" s="76"/>
      <c r="DA3229" s="76">
        <f>+CZ3229*34500</f>
        <v>0</v>
      </c>
      <c r="DB3229" s="76"/>
      <c r="DC3229" s="76">
        <f>+DB3229*25000</f>
        <v>0</v>
      </c>
      <c r="DD3229" s="219"/>
      <c r="DE3229" s="219"/>
      <c r="DF3229" s="166"/>
      <c r="DG3229" s="116"/>
      <c r="DH3229" s="117"/>
      <c r="DI3229" s="24"/>
      <c r="DJ3229" s="24"/>
      <c r="DK3229" s="24"/>
      <c r="DL3229" s="24"/>
      <c r="DM3229" s="24"/>
      <c r="DN3229" s="24"/>
      <c r="DO3229" s="24"/>
      <c r="DP3229" s="24"/>
      <c r="DQ3229" s="24"/>
      <c r="DR3229" s="24"/>
      <c r="DS3229" s="24"/>
      <c r="DT3229" s="24"/>
      <c r="DU3229" s="24"/>
    </row>
    <row r="3230" spans="1:125" s="8" customFormat="1" ht="192" x14ac:dyDescent="0.2">
      <c r="A3230" s="353">
        <v>41545</v>
      </c>
      <c r="B3230" s="352" t="s">
        <v>2906</v>
      </c>
      <c r="C3230" s="354" t="s">
        <v>441</v>
      </c>
      <c r="D3230" s="354" t="s">
        <v>2882</v>
      </c>
      <c r="E3230" s="296" t="str">
        <f>VLOOKUP(B3230&amp;C3230,Divipola!$C$2:$F$1138,4,FALSE)</f>
        <v>47460</v>
      </c>
      <c r="F3230" s="87"/>
      <c r="G3230" s="87"/>
      <c r="H3230" s="87"/>
      <c r="I3230" s="87">
        <v>30</v>
      </c>
      <c r="J3230" s="87">
        <v>6</v>
      </c>
      <c r="K3230" s="87">
        <v>6</v>
      </c>
      <c r="L3230" s="87"/>
      <c r="M3230" s="87"/>
      <c r="N3230" s="87"/>
      <c r="O3230" s="87"/>
      <c r="P3230" s="87"/>
      <c r="Q3230" s="87"/>
      <c r="R3230" s="87"/>
      <c r="S3230" s="87"/>
      <c r="T3230" s="87"/>
      <c r="U3230" s="88"/>
      <c r="V3230" s="89"/>
      <c r="W3230" s="96">
        <v>0</v>
      </c>
      <c r="X3230" s="71">
        <f>CU3230</f>
        <v>0</v>
      </c>
      <c r="Y3230" s="71">
        <f>CY3230</f>
        <v>0</v>
      </c>
      <c r="Z3230" s="71">
        <f>DA3230+DC3230+DE3230</f>
        <v>0</v>
      </c>
      <c r="AA3230" s="71">
        <f>CW3230</f>
        <v>0</v>
      </c>
      <c r="AB3230" s="71"/>
      <c r="AC3230" s="71">
        <v>0</v>
      </c>
      <c r="AD3230" s="71">
        <f>W3230+X3230+Y3230+Z3230+AA3230+AB3230+AC3230</f>
        <v>0</v>
      </c>
      <c r="AE3230" s="72">
        <v>0</v>
      </c>
      <c r="AF3230" s="5"/>
      <c r="AG3230" s="6"/>
      <c r="AH3230" s="27"/>
      <c r="AI3230" s="44"/>
      <c r="AJ3230" s="26"/>
      <c r="AK3230" s="5"/>
      <c r="AL3230" s="329" t="s">
        <v>6158</v>
      </c>
      <c r="AM3230" s="76"/>
      <c r="AN3230" s="76"/>
      <c r="AO3230" s="76"/>
      <c r="AP3230" s="76"/>
      <c r="AQ3230" s="76"/>
      <c r="AR3230" s="76"/>
      <c r="AS3230" s="76"/>
      <c r="AT3230" s="76"/>
      <c r="AU3230" s="76"/>
      <c r="AV3230" s="76"/>
      <c r="AW3230" s="76"/>
      <c r="AX3230" s="76">
        <f>+AW3230*600000</f>
        <v>0</v>
      </c>
      <c r="AY3230" s="76"/>
      <c r="AZ3230" s="76">
        <f>+AY3230*70000</f>
        <v>0</v>
      </c>
      <c r="BA3230" s="76"/>
      <c r="BB3230" s="76"/>
      <c r="BC3230" s="76"/>
      <c r="BD3230" s="76">
        <f>+BC3230*30000</f>
        <v>0</v>
      </c>
      <c r="BE3230" s="76"/>
      <c r="BF3230" s="76"/>
      <c r="BG3230" s="76"/>
      <c r="BH3230" s="76"/>
      <c r="BI3230" s="76"/>
      <c r="BJ3230" s="76"/>
      <c r="BK3230" s="76"/>
      <c r="BL3230" s="76">
        <f>+BK3230*31500</f>
        <v>0</v>
      </c>
      <c r="BM3230" s="76"/>
      <c r="BN3230" s="76"/>
      <c r="BO3230" s="76"/>
      <c r="BP3230" s="76"/>
      <c r="BQ3230" s="76"/>
      <c r="BR3230" s="76"/>
      <c r="BS3230" s="76"/>
      <c r="BT3230" s="76"/>
      <c r="BU3230" s="76"/>
      <c r="BV3230" s="76"/>
      <c r="BW3230" s="76"/>
      <c r="BX3230" s="76"/>
      <c r="BY3230" s="76"/>
      <c r="BZ3230" s="76"/>
      <c r="CA3230" s="76"/>
      <c r="CB3230" s="76"/>
      <c r="CC3230" s="76"/>
      <c r="CD3230" s="76"/>
      <c r="CE3230" s="76"/>
      <c r="CF3230" s="76">
        <f>+CE3230*28000</f>
        <v>0</v>
      </c>
      <c r="CG3230" s="76"/>
      <c r="CH3230" s="76">
        <f>+CG3230*22500</f>
        <v>0</v>
      </c>
      <c r="CI3230" s="76"/>
      <c r="CJ3230" s="76">
        <f>+CI3230*26000</f>
        <v>0</v>
      </c>
      <c r="CK3230" s="76"/>
      <c r="CL3230" s="76"/>
      <c r="CM3230" s="76"/>
      <c r="CN3230" s="76">
        <f>+CM3230*22000</f>
        <v>0</v>
      </c>
      <c r="CO3230" s="76"/>
      <c r="CP3230" s="76">
        <f>+CO3230*46000</f>
        <v>0</v>
      </c>
      <c r="CQ3230" s="76"/>
      <c r="CR3230" s="76">
        <f>+CQ3230*49000</f>
        <v>0</v>
      </c>
      <c r="CS3230" s="76"/>
      <c r="CT3230" s="76"/>
      <c r="CU3230" s="56">
        <f>AN3230+AP3230+AR3230+AT3230+AV3230+AX3230+AZ3230+BB3230+BD3230+BF3230+BH3230+BJ3230+BL3230+BN3230+BP3230+BR3230+BT3230+BV3230+BX3230+BZ3230+CB3230+CD3230+CF3230+CH3230+CJ3230+CL3230+CN3230+CP3230+CR3230+CT3230</f>
        <v>0</v>
      </c>
      <c r="CV3230" s="76"/>
      <c r="CW3230" s="76">
        <f>+CV3230*1100</f>
        <v>0</v>
      </c>
      <c r="CX3230" s="76"/>
      <c r="CY3230" s="76">
        <f>+CX3230*106250</f>
        <v>0</v>
      </c>
      <c r="CZ3230" s="76"/>
      <c r="DA3230" s="76">
        <f>+CZ3230*34500</f>
        <v>0</v>
      </c>
      <c r="DB3230" s="76"/>
      <c r="DC3230" s="76">
        <f>+DB3230*25000</f>
        <v>0</v>
      </c>
      <c r="DD3230" s="219"/>
      <c r="DE3230" s="219"/>
      <c r="DF3230" s="166"/>
      <c r="DG3230" s="116"/>
      <c r="DH3230" s="117"/>
      <c r="DI3230" s="24"/>
      <c r="DJ3230" s="24"/>
      <c r="DK3230" s="24"/>
      <c r="DL3230" s="24"/>
      <c r="DM3230" s="24"/>
      <c r="DN3230" s="24"/>
      <c r="DO3230" s="24"/>
      <c r="DP3230" s="24"/>
      <c r="DQ3230" s="24"/>
      <c r="DR3230" s="24"/>
      <c r="DS3230" s="24"/>
      <c r="DT3230" s="24"/>
      <c r="DU3230" s="24"/>
    </row>
    <row r="3231" spans="1:125" s="8" customFormat="1" ht="156" x14ac:dyDescent="0.2">
      <c r="A3231" s="77">
        <v>41545</v>
      </c>
      <c r="B3231" s="352" t="s">
        <v>2854</v>
      </c>
      <c r="C3231" s="354" t="s">
        <v>2081</v>
      </c>
      <c r="D3231" s="354" t="s">
        <v>2882</v>
      </c>
      <c r="E3231" s="75" t="str">
        <f>VLOOKUP(B3231&amp;C3231,Divipola!$C$2:$F$1138,4,FALSE)</f>
        <v>19532</v>
      </c>
      <c r="F3231" s="87"/>
      <c r="G3231" s="87"/>
      <c r="H3231" s="87"/>
      <c r="I3231" s="87">
        <v>676</v>
      </c>
      <c r="J3231" s="87">
        <v>219</v>
      </c>
      <c r="K3231" s="87"/>
      <c r="L3231" s="87">
        <v>219</v>
      </c>
      <c r="M3231" s="87"/>
      <c r="N3231" s="87"/>
      <c r="O3231" s="87"/>
      <c r="P3231" s="87"/>
      <c r="Q3231" s="87"/>
      <c r="R3231" s="87"/>
      <c r="S3231" s="87"/>
      <c r="T3231" s="87"/>
      <c r="U3231" s="88"/>
      <c r="V3231" s="89"/>
      <c r="W3231" s="96">
        <v>0</v>
      </c>
      <c r="X3231" s="71">
        <f>CU3231</f>
        <v>0</v>
      </c>
      <c r="Y3231" s="71">
        <f>CY3231</f>
        <v>0</v>
      </c>
      <c r="Z3231" s="71">
        <f>DA3231+DC3231+DE3231</f>
        <v>69800000</v>
      </c>
      <c r="AA3231" s="71">
        <f>CW3231</f>
        <v>0</v>
      </c>
      <c r="AB3231" s="71"/>
      <c r="AC3231" s="71">
        <v>0</v>
      </c>
      <c r="AD3231" s="71">
        <f>W3231+X3231+Y3231+Z3231+AA3231+AB3231+AC3231</f>
        <v>69800000</v>
      </c>
      <c r="AE3231" s="72">
        <v>0</v>
      </c>
      <c r="AF3231" s="5"/>
      <c r="AG3231" s="6"/>
      <c r="AH3231" s="27"/>
      <c r="AI3231" s="44"/>
      <c r="AJ3231" s="26"/>
      <c r="AK3231" s="5"/>
      <c r="AL3231" s="274" t="s">
        <v>6249</v>
      </c>
      <c r="AM3231" s="76"/>
      <c r="AN3231" s="76"/>
      <c r="AO3231" s="76"/>
      <c r="AP3231" s="76"/>
      <c r="AQ3231" s="76"/>
      <c r="AR3231" s="76"/>
      <c r="AS3231" s="76"/>
      <c r="AT3231" s="76"/>
      <c r="AU3231" s="76"/>
      <c r="AV3231" s="76"/>
      <c r="AW3231" s="76"/>
      <c r="AX3231" s="76">
        <f>+AW3231*600000</f>
        <v>0</v>
      </c>
      <c r="AY3231" s="76"/>
      <c r="AZ3231" s="76">
        <f>+AY3231*70000</f>
        <v>0</v>
      </c>
      <c r="BA3231" s="76"/>
      <c r="BB3231" s="76"/>
      <c r="BC3231" s="76"/>
      <c r="BD3231" s="76">
        <f>+BC3231*30000</f>
        <v>0</v>
      </c>
      <c r="BE3231" s="76"/>
      <c r="BF3231" s="76"/>
      <c r="BG3231" s="76"/>
      <c r="BH3231" s="76"/>
      <c r="BI3231" s="76"/>
      <c r="BJ3231" s="76"/>
      <c r="BK3231" s="76"/>
      <c r="BL3231" s="76">
        <f>+BK3231*31500</f>
        <v>0</v>
      </c>
      <c r="BM3231" s="76"/>
      <c r="BN3231" s="76"/>
      <c r="BO3231" s="76"/>
      <c r="BP3231" s="76"/>
      <c r="BQ3231" s="76"/>
      <c r="BR3231" s="76"/>
      <c r="BS3231" s="76"/>
      <c r="BT3231" s="76"/>
      <c r="BU3231" s="76"/>
      <c r="BV3231" s="76"/>
      <c r="BW3231" s="76"/>
      <c r="BX3231" s="76"/>
      <c r="BY3231" s="76"/>
      <c r="BZ3231" s="76"/>
      <c r="CA3231" s="76"/>
      <c r="CB3231" s="76"/>
      <c r="CC3231" s="76"/>
      <c r="CD3231" s="76"/>
      <c r="CE3231" s="76"/>
      <c r="CF3231" s="76">
        <f>+CE3231*28000</f>
        <v>0</v>
      </c>
      <c r="CG3231" s="76"/>
      <c r="CH3231" s="76">
        <f>+CG3231*22500</f>
        <v>0</v>
      </c>
      <c r="CI3231" s="76"/>
      <c r="CJ3231" s="76">
        <f>+CI3231*26000</f>
        <v>0</v>
      </c>
      <c r="CK3231" s="76"/>
      <c r="CL3231" s="76"/>
      <c r="CM3231" s="76"/>
      <c r="CN3231" s="76">
        <f>+CM3231*22000</f>
        <v>0</v>
      </c>
      <c r="CO3231" s="76"/>
      <c r="CP3231" s="76">
        <f>+CO3231*46000</f>
        <v>0</v>
      </c>
      <c r="CQ3231" s="76"/>
      <c r="CR3231" s="76">
        <f>+CQ3231*49000</f>
        <v>0</v>
      </c>
      <c r="CS3231" s="76"/>
      <c r="CT3231" s="76"/>
      <c r="CU3231" s="56">
        <f>AN3231+AP3231+AR3231+AT3231+AV3231+AX3231+AZ3231+BB3231+BD3231+BF3231+BH3231+BJ3231+BL3231+BN3231+BP3231+BR3231+BT3231+BV3231+BX3231+BZ3231+CB3231+CD3231+CF3231+CH3231+CJ3231+CL3231+CN3231+CP3231+CR3231+CT3231</f>
        <v>0</v>
      </c>
      <c r="CV3231" s="76"/>
      <c r="CW3231" s="76">
        <f>+CV3231*1100</f>
        <v>0</v>
      </c>
      <c r="CX3231" s="76"/>
      <c r="CY3231" s="76">
        <f>+CX3231*106250</f>
        <v>0</v>
      </c>
      <c r="CZ3231" s="76"/>
      <c r="DA3231" s="76">
        <f>+CZ3231*34500</f>
        <v>0</v>
      </c>
      <c r="DB3231" s="76">
        <f>1000+600+300</f>
        <v>1900</v>
      </c>
      <c r="DC3231" s="76">
        <f>1000*32000+600*42000+300*42000</f>
        <v>69800000</v>
      </c>
      <c r="DD3231" s="219"/>
      <c r="DE3231" s="219"/>
      <c r="DF3231" s="166"/>
      <c r="DG3231" s="116"/>
      <c r="DH3231" s="117"/>
      <c r="DI3231" s="24"/>
      <c r="DJ3231" s="24"/>
      <c r="DK3231" s="24"/>
      <c r="DL3231" s="24"/>
      <c r="DM3231" s="24"/>
      <c r="DN3231" s="24"/>
      <c r="DO3231" s="24"/>
      <c r="DP3231" s="24"/>
      <c r="DQ3231" s="24"/>
      <c r="DR3231" s="24"/>
      <c r="DS3231" s="24"/>
      <c r="DT3231" s="24"/>
      <c r="DU3231" s="24"/>
    </row>
    <row r="3232" spans="1:125" s="8" customFormat="1" ht="120" x14ac:dyDescent="0.2">
      <c r="A3232" s="77">
        <v>41546</v>
      </c>
      <c r="B3232" s="352" t="s">
        <v>2894</v>
      </c>
      <c r="C3232" s="354" t="s">
        <v>2196</v>
      </c>
      <c r="D3232" s="354" t="s">
        <v>2875</v>
      </c>
      <c r="E3232" s="296" t="str">
        <f>VLOOKUP(B3232&amp;C3232,Divipola!$C$2:$F$1138,4,FALSE)</f>
        <v>05129</v>
      </c>
      <c r="F3232" s="87"/>
      <c r="G3232" s="87"/>
      <c r="H3232" s="87"/>
      <c r="I3232" s="87">
        <v>180</v>
      </c>
      <c r="J3232" s="87">
        <v>36</v>
      </c>
      <c r="K3232" s="87"/>
      <c r="L3232" s="87">
        <v>36</v>
      </c>
      <c r="M3232" s="87"/>
      <c r="N3232" s="87"/>
      <c r="O3232" s="87"/>
      <c r="P3232" s="87"/>
      <c r="Q3232" s="87"/>
      <c r="R3232" s="87"/>
      <c r="S3232" s="87"/>
      <c r="T3232" s="87"/>
      <c r="U3232" s="88"/>
      <c r="V3232" s="89"/>
      <c r="W3232" s="96">
        <v>0</v>
      </c>
      <c r="X3232" s="71">
        <f>CU3232</f>
        <v>0</v>
      </c>
      <c r="Y3232" s="71">
        <f>CY3232</f>
        <v>0</v>
      </c>
      <c r="Z3232" s="71">
        <f>DA3232+DC3232+DE3232</f>
        <v>0</v>
      </c>
      <c r="AA3232" s="71">
        <f>CW3232</f>
        <v>0</v>
      </c>
      <c r="AB3232" s="71"/>
      <c r="AC3232" s="71">
        <v>0</v>
      </c>
      <c r="AD3232" s="71">
        <f>W3232+X3232+Y3232+Z3232+AA3232+AB3232+AC3232</f>
        <v>0</v>
      </c>
      <c r="AE3232" s="72">
        <v>0</v>
      </c>
      <c r="AF3232" s="5"/>
      <c r="AG3232" s="6"/>
      <c r="AH3232" s="27"/>
      <c r="AI3232" s="44"/>
      <c r="AJ3232" s="26"/>
      <c r="AK3232" s="5"/>
      <c r="AL3232" s="326" t="s">
        <v>6161</v>
      </c>
      <c r="AM3232" s="76"/>
      <c r="AN3232" s="76"/>
      <c r="AO3232" s="76"/>
      <c r="AP3232" s="76"/>
      <c r="AQ3232" s="76"/>
      <c r="AR3232" s="76"/>
      <c r="AS3232" s="76"/>
      <c r="AT3232" s="76"/>
      <c r="AU3232" s="76"/>
      <c r="AV3232" s="76"/>
      <c r="AW3232" s="76"/>
      <c r="AX3232" s="76">
        <f>+AW3232*600000</f>
        <v>0</v>
      </c>
      <c r="AY3232" s="76"/>
      <c r="AZ3232" s="76">
        <f>+AY3232*70000</f>
        <v>0</v>
      </c>
      <c r="BA3232" s="76"/>
      <c r="BB3232" s="76"/>
      <c r="BC3232" s="76"/>
      <c r="BD3232" s="76">
        <f>+BC3232*30000</f>
        <v>0</v>
      </c>
      <c r="BE3232" s="76"/>
      <c r="BF3232" s="76"/>
      <c r="BG3232" s="76"/>
      <c r="BH3232" s="76"/>
      <c r="BI3232" s="76"/>
      <c r="BJ3232" s="76"/>
      <c r="BK3232" s="76"/>
      <c r="BL3232" s="76">
        <f>+BK3232*31500</f>
        <v>0</v>
      </c>
      <c r="BM3232" s="76"/>
      <c r="BN3232" s="76"/>
      <c r="BO3232" s="76"/>
      <c r="BP3232" s="76"/>
      <c r="BQ3232" s="76"/>
      <c r="BR3232" s="76"/>
      <c r="BS3232" s="76"/>
      <c r="BT3232" s="76"/>
      <c r="BU3232" s="76"/>
      <c r="BV3232" s="76"/>
      <c r="BW3232" s="76"/>
      <c r="BX3232" s="76"/>
      <c r="BY3232" s="76"/>
      <c r="BZ3232" s="76"/>
      <c r="CA3232" s="76"/>
      <c r="CB3232" s="76"/>
      <c r="CC3232" s="76"/>
      <c r="CD3232" s="76"/>
      <c r="CE3232" s="76"/>
      <c r="CF3232" s="76">
        <f>+CE3232*28000</f>
        <v>0</v>
      </c>
      <c r="CG3232" s="76"/>
      <c r="CH3232" s="76">
        <f>+CG3232*22500</f>
        <v>0</v>
      </c>
      <c r="CI3232" s="76"/>
      <c r="CJ3232" s="76">
        <f>+CI3232*26000</f>
        <v>0</v>
      </c>
      <c r="CK3232" s="76"/>
      <c r="CL3232" s="76"/>
      <c r="CM3232" s="76"/>
      <c r="CN3232" s="76">
        <f>+CM3232*22000</f>
        <v>0</v>
      </c>
      <c r="CO3232" s="76"/>
      <c r="CP3232" s="76">
        <f>+CO3232*46000</f>
        <v>0</v>
      </c>
      <c r="CQ3232" s="76"/>
      <c r="CR3232" s="76">
        <f>+CQ3232*49000</f>
        <v>0</v>
      </c>
      <c r="CS3232" s="76"/>
      <c r="CT3232" s="76"/>
      <c r="CU3232" s="56">
        <f>AN3232+AP3232+AR3232+AT3232+AV3232+AX3232+AZ3232+BB3232+BD3232+BF3232+BH3232+BJ3232+BL3232+BN3232+BP3232+BR3232+BT3232+BV3232+BX3232+BZ3232+CB3232+CD3232+CF3232+CH3232+CJ3232+CL3232+CN3232+CP3232+CR3232+CT3232</f>
        <v>0</v>
      </c>
      <c r="CV3232" s="76"/>
      <c r="CW3232" s="76">
        <f>+CV3232*1100</f>
        <v>0</v>
      </c>
      <c r="CX3232" s="76"/>
      <c r="CY3232" s="76">
        <f>+CX3232*106250</f>
        <v>0</v>
      </c>
      <c r="CZ3232" s="76"/>
      <c r="DA3232" s="76">
        <f>+CZ3232*34500</f>
        <v>0</v>
      </c>
      <c r="DB3232" s="76"/>
      <c r="DC3232" s="76">
        <f>+DB3232*25000</f>
        <v>0</v>
      </c>
      <c r="DD3232" s="219"/>
      <c r="DE3232" s="219"/>
      <c r="DF3232" s="166"/>
      <c r="DG3232" s="116"/>
      <c r="DH3232" s="117"/>
      <c r="DI3232" s="24"/>
      <c r="DJ3232" s="24"/>
      <c r="DK3232" s="24"/>
      <c r="DL3232" s="24"/>
      <c r="DM3232" s="24"/>
      <c r="DN3232" s="24"/>
      <c r="DO3232" s="24"/>
      <c r="DP3232" s="24"/>
      <c r="DQ3232" s="24"/>
      <c r="DR3232" s="24"/>
      <c r="DS3232" s="24"/>
      <c r="DT3232" s="24"/>
      <c r="DU3232" s="24"/>
    </row>
    <row r="3233" spans="1:125" s="8" customFormat="1" ht="72" x14ac:dyDescent="0.2">
      <c r="A3233" s="77">
        <v>41546</v>
      </c>
      <c r="B3233" s="352" t="s">
        <v>2772</v>
      </c>
      <c r="C3233" s="354" t="s">
        <v>2030</v>
      </c>
      <c r="D3233" s="354" t="s">
        <v>2846</v>
      </c>
      <c r="E3233" s="75" t="str">
        <f>VLOOKUP(B3233&amp;C3233,Divipola!$C$2:$F$1138,4,FALSE)</f>
        <v>25754</v>
      </c>
      <c r="F3233" s="87"/>
      <c r="G3233" s="87"/>
      <c r="H3233" s="87"/>
      <c r="I3233" s="87"/>
      <c r="J3233" s="87"/>
      <c r="K3233" s="87"/>
      <c r="L3233" s="87"/>
      <c r="M3233" s="87"/>
      <c r="N3233" s="87"/>
      <c r="O3233" s="87"/>
      <c r="P3233" s="87"/>
      <c r="Q3233" s="87"/>
      <c r="R3233" s="87"/>
      <c r="S3233" s="87"/>
      <c r="T3233" s="87"/>
      <c r="U3233" s="88">
        <v>1</v>
      </c>
      <c r="V3233" s="89"/>
      <c r="W3233" s="96">
        <v>0</v>
      </c>
      <c r="X3233" s="71">
        <f>CU3233</f>
        <v>0</v>
      </c>
      <c r="Y3233" s="71">
        <f>CY3233</f>
        <v>0</v>
      </c>
      <c r="Z3233" s="71">
        <f>DA3233+DC3233+DE3233</f>
        <v>0</v>
      </c>
      <c r="AA3233" s="71">
        <f>CW3233</f>
        <v>0</v>
      </c>
      <c r="AB3233" s="71"/>
      <c r="AC3233" s="71">
        <v>0</v>
      </c>
      <c r="AD3233" s="71">
        <f>W3233+X3233+Y3233+Z3233+AA3233+AB3233+AC3233</f>
        <v>0</v>
      </c>
      <c r="AE3233" s="72">
        <v>0</v>
      </c>
      <c r="AF3233" s="5"/>
      <c r="AG3233" s="6"/>
      <c r="AH3233" s="27"/>
      <c r="AI3233" s="44"/>
      <c r="AJ3233" s="26"/>
      <c r="AK3233" s="5"/>
      <c r="AL3233" s="9" t="s">
        <v>6184</v>
      </c>
      <c r="AM3233" s="76"/>
      <c r="AN3233" s="76"/>
      <c r="AO3233" s="76"/>
      <c r="AP3233" s="76"/>
      <c r="AQ3233" s="76"/>
      <c r="AR3233" s="76"/>
      <c r="AS3233" s="76"/>
      <c r="AT3233" s="76"/>
      <c r="AU3233" s="76"/>
      <c r="AV3233" s="76"/>
      <c r="AW3233" s="76"/>
      <c r="AX3233" s="76">
        <f>+AW3233*600000</f>
        <v>0</v>
      </c>
      <c r="AY3233" s="76"/>
      <c r="AZ3233" s="76">
        <f>+AY3233*70000</f>
        <v>0</v>
      </c>
      <c r="BA3233" s="76"/>
      <c r="BB3233" s="76"/>
      <c r="BC3233" s="76"/>
      <c r="BD3233" s="76">
        <f>+BC3233*30000</f>
        <v>0</v>
      </c>
      <c r="BE3233" s="76"/>
      <c r="BF3233" s="76"/>
      <c r="BG3233" s="76"/>
      <c r="BH3233" s="76"/>
      <c r="BI3233" s="76"/>
      <c r="BJ3233" s="76"/>
      <c r="BK3233" s="76"/>
      <c r="BL3233" s="76">
        <f>+BK3233*31500</f>
        <v>0</v>
      </c>
      <c r="BM3233" s="76"/>
      <c r="BN3233" s="76"/>
      <c r="BO3233" s="76"/>
      <c r="BP3233" s="76"/>
      <c r="BQ3233" s="76"/>
      <c r="BR3233" s="76"/>
      <c r="BS3233" s="76"/>
      <c r="BT3233" s="76"/>
      <c r="BU3233" s="76"/>
      <c r="BV3233" s="76"/>
      <c r="BW3233" s="76"/>
      <c r="BX3233" s="76"/>
      <c r="BY3233" s="76"/>
      <c r="BZ3233" s="76"/>
      <c r="CA3233" s="76"/>
      <c r="CB3233" s="76"/>
      <c r="CC3233" s="76"/>
      <c r="CD3233" s="76"/>
      <c r="CE3233" s="76"/>
      <c r="CF3233" s="76">
        <f>+CE3233*28000</f>
        <v>0</v>
      </c>
      <c r="CG3233" s="76"/>
      <c r="CH3233" s="76">
        <f>+CG3233*22500</f>
        <v>0</v>
      </c>
      <c r="CI3233" s="76"/>
      <c r="CJ3233" s="76">
        <f>+CI3233*26000</f>
        <v>0</v>
      </c>
      <c r="CK3233" s="76"/>
      <c r="CL3233" s="76"/>
      <c r="CM3233" s="76"/>
      <c r="CN3233" s="76">
        <f>+CM3233*22000</f>
        <v>0</v>
      </c>
      <c r="CO3233" s="76"/>
      <c r="CP3233" s="76">
        <f>+CO3233*46000</f>
        <v>0</v>
      </c>
      <c r="CQ3233" s="76"/>
      <c r="CR3233" s="76">
        <f>+CQ3233*49000</f>
        <v>0</v>
      </c>
      <c r="CS3233" s="76"/>
      <c r="CT3233" s="76"/>
      <c r="CU3233" s="56">
        <f>AN3233+AP3233+AR3233+AT3233+AV3233+AX3233+AZ3233+BB3233+BD3233+BF3233+BH3233+BJ3233+BL3233+BN3233+BP3233+BR3233+BT3233+BV3233+BX3233+BZ3233+CB3233+CD3233+CF3233+CH3233+CJ3233+CL3233+CN3233+CP3233+CR3233+CT3233</f>
        <v>0</v>
      </c>
      <c r="CV3233" s="76"/>
      <c r="CW3233" s="76">
        <f>+CV3233*1100</f>
        <v>0</v>
      </c>
      <c r="CX3233" s="76"/>
      <c r="CY3233" s="76">
        <f>+CX3233*106250</f>
        <v>0</v>
      </c>
      <c r="CZ3233" s="76"/>
      <c r="DA3233" s="76">
        <f>+CZ3233*34500</f>
        <v>0</v>
      </c>
      <c r="DB3233" s="76"/>
      <c r="DC3233" s="76">
        <f>+DB3233*25000</f>
        <v>0</v>
      </c>
      <c r="DD3233" s="219"/>
      <c r="DE3233" s="219"/>
      <c r="DF3233" s="166"/>
      <c r="DG3233" s="116"/>
      <c r="DH3233" s="117"/>
      <c r="DI3233" s="24"/>
      <c r="DJ3233" s="24"/>
      <c r="DK3233" s="24"/>
      <c r="DL3233" s="24"/>
      <c r="DM3233" s="24"/>
      <c r="DN3233" s="24"/>
      <c r="DO3233" s="24"/>
      <c r="DP3233" s="24"/>
      <c r="DQ3233" s="24"/>
      <c r="DR3233" s="24"/>
      <c r="DS3233" s="24"/>
      <c r="DT3233" s="24"/>
      <c r="DU3233" s="24"/>
    </row>
    <row r="3234" spans="1:125" s="8" customFormat="1" ht="204" x14ac:dyDescent="0.2">
      <c r="A3234" s="77">
        <v>41546</v>
      </c>
      <c r="B3234" s="78" t="s">
        <v>3136</v>
      </c>
      <c r="C3234" s="75" t="s">
        <v>408</v>
      </c>
      <c r="D3234" s="75" t="s">
        <v>3051</v>
      </c>
      <c r="E3234" s="75" t="str">
        <f>VLOOKUP(B3234&amp;C3234,Divipola!$C$2:$F$1138,4,FALSE)</f>
        <v>44847</v>
      </c>
      <c r="F3234" s="61"/>
      <c r="G3234" s="61"/>
      <c r="H3234" s="61"/>
      <c r="I3234" s="61">
        <v>9882</v>
      </c>
      <c r="J3234" s="61">
        <v>1647</v>
      </c>
      <c r="K3234" s="61"/>
      <c r="L3234" s="61">
        <v>512</v>
      </c>
      <c r="M3234" s="61"/>
      <c r="N3234" s="61"/>
      <c r="O3234" s="61"/>
      <c r="P3234" s="61"/>
      <c r="Q3234" s="61"/>
      <c r="R3234" s="61"/>
      <c r="S3234" s="61"/>
      <c r="T3234" s="61"/>
      <c r="U3234" s="61"/>
      <c r="V3234" s="7"/>
      <c r="W3234" s="96">
        <v>0</v>
      </c>
      <c r="X3234" s="71">
        <f>CU3234</f>
        <v>41399820</v>
      </c>
      <c r="Y3234" s="71">
        <f>CY3234</f>
        <v>95625000</v>
      </c>
      <c r="Z3234" s="71">
        <f>DA3234+DC3234+DE3234</f>
        <v>427189140</v>
      </c>
      <c r="AA3234" s="71">
        <f>CW3234</f>
        <v>0</v>
      </c>
      <c r="AB3234" s="71"/>
      <c r="AC3234" s="71">
        <v>0</v>
      </c>
      <c r="AD3234" s="71">
        <f>W3234+X3234+Y3234+Z3234+AA3234+AB3234+AC3234</f>
        <v>564213960</v>
      </c>
      <c r="AE3234" s="72">
        <v>0</v>
      </c>
      <c r="AF3234" s="5"/>
      <c r="AG3234" s="6"/>
      <c r="AH3234" s="27" t="s">
        <v>3390</v>
      </c>
      <c r="AI3234" s="44" t="s">
        <v>3393</v>
      </c>
      <c r="AJ3234" s="26"/>
      <c r="AK3234" s="5"/>
      <c r="AL3234" s="278" t="s">
        <v>6346</v>
      </c>
      <c r="AM3234" s="76"/>
      <c r="AN3234" s="76"/>
      <c r="AO3234" s="76"/>
      <c r="AP3234" s="76"/>
      <c r="AQ3234" s="76"/>
      <c r="AR3234" s="76"/>
      <c r="AS3234" s="76"/>
      <c r="AT3234" s="76"/>
      <c r="AU3234" s="76"/>
      <c r="AV3234" s="76"/>
      <c r="AW3234" s="76"/>
      <c r="AX3234" s="76">
        <f>+AW3234*600000</f>
        <v>0</v>
      </c>
      <c r="AY3234" s="76"/>
      <c r="AZ3234" s="76">
        <f>+AY3234*70000</f>
        <v>0</v>
      </c>
      <c r="BA3234" s="76"/>
      <c r="BB3234" s="76"/>
      <c r="BC3234" s="76"/>
      <c r="BD3234" s="76">
        <f>+BC3234*30000</f>
        <v>0</v>
      </c>
      <c r="BE3234" s="76"/>
      <c r="BF3234" s="76"/>
      <c r="BG3234" s="76"/>
      <c r="BH3234" s="76"/>
      <c r="BI3234" s="76"/>
      <c r="BJ3234" s="76"/>
      <c r="BK3234" s="76"/>
      <c r="BL3234" s="76">
        <f>+BK3234*31500</f>
        <v>0</v>
      </c>
      <c r="BM3234" s="76"/>
      <c r="BN3234" s="76"/>
      <c r="BO3234" s="76"/>
      <c r="BP3234" s="76"/>
      <c r="BQ3234" s="76"/>
      <c r="BR3234" s="76"/>
      <c r="BS3234" s="76"/>
      <c r="BT3234" s="76"/>
      <c r="BU3234" s="76"/>
      <c r="BV3234" s="76"/>
      <c r="BW3234" s="76"/>
      <c r="BX3234" s="76"/>
      <c r="BY3234" s="76"/>
      <c r="BZ3234" s="76"/>
      <c r="CA3234" s="76"/>
      <c r="CB3234" s="76"/>
      <c r="CC3234" s="76"/>
      <c r="CD3234" s="76"/>
      <c r="CE3234" s="76"/>
      <c r="CF3234" s="76">
        <f>+CE3234*28000</f>
        <v>0</v>
      </c>
      <c r="CG3234" s="76"/>
      <c r="CH3234" s="76">
        <f>+CG3234*22500</f>
        <v>0</v>
      </c>
      <c r="CI3234" s="76"/>
      <c r="CJ3234" s="76">
        <f>+CI3234*26000</f>
        <v>0</v>
      </c>
      <c r="CK3234" s="76"/>
      <c r="CL3234" s="76"/>
      <c r="CM3234" s="76"/>
      <c r="CN3234" s="76">
        <f>+CM3234*22000</f>
        <v>0</v>
      </c>
      <c r="CO3234" s="86">
        <v>900</v>
      </c>
      <c r="CP3234" s="86">
        <f>+CO3234*45999.8</f>
        <v>41399820</v>
      </c>
      <c r="CQ3234" s="76"/>
      <c r="CR3234" s="76">
        <f>+CQ3234*49000</f>
        <v>0</v>
      </c>
      <c r="CS3234" s="76"/>
      <c r="CT3234" s="76"/>
      <c r="CU3234" s="56">
        <f>AN3234+AP3234+AR3234+AT3234+AV3234+AX3234+AZ3234+BB3234+BD3234+BF3234+BH3234+BJ3234+BL3234+BN3234+BP3234+BR3234+BT3234+BV3234+BX3234+BZ3234+CB3234+CD3234+CF3234+CH3234+CJ3234+CL3234+CN3234+CP3234+CR3234+CT3234</f>
        <v>41399820</v>
      </c>
      <c r="CV3234" s="76"/>
      <c r="CW3234" s="76">
        <f>+CV3234*1100</f>
        <v>0</v>
      </c>
      <c r="CX3234" s="86">
        <v>900</v>
      </c>
      <c r="CY3234" s="86">
        <f>+CX3234*106250</f>
        <v>95625000</v>
      </c>
      <c r="CZ3234" s="76"/>
      <c r="DA3234" s="76">
        <f>+CZ3234*34500</f>
        <v>0</v>
      </c>
      <c r="DB3234" s="76"/>
      <c r="DC3234" s="76">
        <f>+DB3234*25000</f>
        <v>0</v>
      </c>
      <c r="DD3234" s="317" t="s">
        <v>6651</v>
      </c>
      <c r="DE3234" s="310">
        <f>900*327197.72+900*26983.92+900*94948.32+1800*12762.32</f>
        <v>427189140</v>
      </c>
      <c r="DF3234" s="166"/>
      <c r="DG3234" s="192" t="s">
        <v>6708</v>
      </c>
      <c r="DH3234" s="117"/>
      <c r="DI3234" s="24"/>
      <c r="DJ3234" s="24"/>
      <c r="DK3234" s="24"/>
      <c r="DL3234" s="24"/>
      <c r="DM3234" s="24"/>
      <c r="DN3234" s="24"/>
      <c r="DO3234" s="24"/>
      <c r="DP3234" s="24"/>
      <c r="DQ3234" s="24"/>
      <c r="DR3234" s="24"/>
      <c r="DS3234" s="24"/>
      <c r="DT3234" s="24"/>
      <c r="DU3234" s="24"/>
    </row>
    <row r="3235" spans="1:125" s="8" customFormat="1" ht="132" x14ac:dyDescent="0.2">
      <c r="A3235" s="77">
        <v>41546</v>
      </c>
      <c r="B3235" s="78" t="s">
        <v>2851</v>
      </c>
      <c r="C3235" s="75" t="s">
        <v>2754</v>
      </c>
      <c r="D3235" s="75" t="s">
        <v>3051</v>
      </c>
      <c r="E3235" s="75" t="str">
        <f>VLOOKUP(B3235&amp;C3235,Divipola!$C$2:$F$1138,4,FALSE)</f>
        <v>76109</v>
      </c>
      <c r="F3235" s="61"/>
      <c r="G3235" s="61"/>
      <c r="H3235" s="61"/>
      <c r="I3235" s="61">
        <v>6800</v>
      </c>
      <c r="J3235" s="61">
        <v>1360</v>
      </c>
      <c r="K3235" s="61">
        <v>6</v>
      </c>
      <c r="L3235" s="61"/>
      <c r="M3235" s="61"/>
      <c r="N3235" s="61"/>
      <c r="O3235" s="61"/>
      <c r="P3235" s="61"/>
      <c r="Q3235" s="61"/>
      <c r="R3235" s="61">
        <v>1</v>
      </c>
      <c r="S3235" s="61"/>
      <c r="T3235" s="61"/>
      <c r="U3235" s="61"/>
      <c r="V3235" s="7"/>
      <c r="W3235" s="96">
        <v>0</v>
      </c>
      <c r="X3235" s="71">
        <f>CU3235</f>
        <v>66639700.799999997</v>
      </c>
      <c r="Y3235" s="71">
        <f>CY3235</f>
        <v>144024000</v>
      </c>
      <c r="Z3235" s="71">
        <f>DA3235+DC3235+DE3235</f>
        <v>8199730</v>
      </c>
      <c r="AA3235" s="71">
        <f>CW3235</f>
        <v>0</v>
      </c>
      <c r="AB3235" s="71"/>
      <c r="AC3235" s="71">
        <v>0</v>
      </c>
      <c r="AD3235" s="71">
        <f>W3235+X3235+Y3235+Z3235+AA3235+AB3235+AC3235</f>
        <v>218863430.80000001</v>
      </c>
      <c r="AE3235" s="72">
        <v>0</v>
      </c>
      <c r="AF3235" s="5"/>
      <c r="AG3235" s="6"/>
      <c r="AH3235" s="27"/>
      <c r="AI3235" s="44"/>
      <c r="AJ3235" s="26"/>
      <c r="AK3235" s="5"/>
      <c r="AL3235" s="9" t="s">
        <v>6457</v>
      </c>
      <c r="AM3235" s="76"/>
      <c r="AN3235" s="76"/>
      <c r="AO3235" s="76"/>
      <c r="AP3235" s="76"/>
      <c r="AQ3235" s="76"/>
      <c r="AR3235" s="76"/>
      <c r="AS3235" s="76"/>
      <c r="AT3235" s="76"/>
      <c r="AU3235" s="76"/>
      <c r="AV3235" s="76"/>
      <c r="AW3235" s="76"/>
      <c r="AX3235" s="76">
        <f>+AW3235*600000</f>
        <v>0</v>
      </c>
      <c r="AY3235" s="76"/>
      <c r="AZ3235" s="76">
        <f>+AY3235*70000</f>
        <v>0</v>
      </c>
      <c r="BA3235" s="76"/>
      <c r="BB3235" s="76"/>
      <c r="BC3235" s="76"/>
      <c r="BD3235" s="76">
        <f>+BC3235*30000</f>
        <v>0</v>
      </c>
      <c r="BE3235" s="76"/>
      <c r="BF3235" s="76"/>
      <c r="BG3235" s="76"/>
      <c r="BH3235" s="76"/>
      <c r="BI3235" s="76"/>
      <c r="BJ3235" s="76"/>
      <c r="BK3235" s="76"/>
      <c r="BL3235" s="76">
        <f>+BK3235*31500</f>
        <v>0</v>
      </c>
      <c r="BM3235" s="76"/>
      <c r="BN3235" s="76"/>
      <c r="BO3235" s="76"/>
      <c r="BP3235" s="76"/>
      <c r="BQ3235" s="76"/>
      <c r="BR3235" s="76"/>
      <c r="BS3235" s="76"/>
      <c r="BT3235" s="76"/>
      <c r="BU3235" s="76"/>
      <c r="BV3235" s="76"/>
      <c r="BW3235" s="76"/>
      <c r="BX3235" s="76"/>
      <c r="BY3235" s="76"/>
      <c r="BZ3235" s="76"/>
      <c r="CA3235" s="76"/>
      <c r="CB3235" s="76"/>
      <c r="CC3235" s="76"/>
      <c r="CD3235" s="76"/>
      <c r="CE3235" s="76"/>
      <c r="CF3235" s="76">
        <f>+CE3235*28000</f>
        <v>0</v>
      </c>
      <c r="CG3235" s="76"/>
      <c r="CH3235" s="76">
        <f>+CG3235*22500</f>
        <v>0</v>
      </c>
      <c r="CI3235" s="76"/>
      <c r="CJ3235" s="76">
        <f>+CI3235*26000</f>
        <v>0</v>
      </c>
      <c r="CK3235" s="76"/>
      <c r="CL3235" s="76"/>
      <c r="CM3235" s="76"/>
      <c r="CN3235" s="76">
        <f>+CM3235*22000</f>
        <v>0</v>
      </c>
      <c r="CO3235" s="76"/>
      <c r="CP3235" s="76">
        <f>+CO3235*46000</f>
        <v>0</v>
      </c>
      <c r="CQ3235" s="86">
        <v>1360</v>
      </c>
      <c r="CR3235" s="86">
        <f>680*48999.56+680*49000</f>
        <v>66639700.799999997</v>
      </c>
      <c r="CS3235" s="76"/>
      <c r="CT3235" s="76"/>
      <c r="CU3235" s="56">
        <f>AN3235+AP3235+AR3235+AT3235+AV3235+AX3235+AZ3235+BB3235+BD3235+BF3235+BH3235+BJ3235+BL3235+BN3235+BP3235+BR3235+BT3235+BV3235+BX3235+BZ3235+CB3235+CD3235+CF3235+CH3235+CJ3235+CL3235+CN3235+CP3235+CR3235+CT3235</f>
        <v>66639700.799999997</v>
      </c>
      <c r="CV3235" s="76"/>
      <c r="CW3235" s="76">
        <f>+CV3235*1100</f>
        <v>0</v>
      </c>
      <c r="CX3235" s="86">
        <v>1360</v>
      </c>
      <c r="CY3235" s="86">
        <f>680*106250+680*105550</f>
        <v>144024000</v>
      </c>
      <c r="CZ3235" s="76"/>
      <c r="DA3235" s="76">
        <f>+CZ3235*34500</f>
        <v>0</v>
      </c>
      <c r="DB3235" s="86">
        <v>250</v>
      </c>
      <c r="DC3235" s="86">
        <f>125*31999.76+500*199.52+125*32000+500*200</f>
        <v>8199730</v>
      </c>
      <c r="DD3235" s="219"/>
      <c r="DE3235" s="219"/>
      <c r="DF3235" s="166"/>
      <c r="DG3235" s="192" t="s">
        <v>6939</v>
      </c>
      <c r="DH3235" s="117"/>
      <c r="DI3235" s="24"/>
      <c r="DJ3235" s="24"/>
      <c r="DK3235" s="24"/>
      <c r="DL3235" s="24"/>
      <c r="DM3235" s="24"/>
      <c r="DN3235" s="24"/>
      <c r="DO3235" s="24"/>
      <c r="DP3235" s="24"/>
      <c r="DQ3235" s="24"/>
      <c r="DR3235" s="24"/>
      <c r="DS3235" s="24"/>
      <c r="DT3235" s="24"/>
      <c r="DU3235" s="24"/>
    </row>
    <row r="3236" spans="1:125" s="8" customFormat="1" ht="48" x14ac:dyDescent="0.2">
      <c r="A3236" s="77">
        <v>41546</v>
      </c>
      <c r="B3236" s="78" t="s">
        <v>3136</v>
      </c>
      <c r="C3236" s="75" t="s">
        <v>922</v>
      </c>
      <c r="D3236" s="75" t="s">
        <v>2882</v>
      </c>
      <c r="E3236" s="75" t="str">
        <f>VLOOKUP(B3236&amp;C3236,Divipola!$C$2:$F$1138,4,FALSE)</f>
        <v>44560</v>
      </c>
      <c r="F3236" s="61"/>
      <c r="G3236" s="61"/>
      <c r="H3236" s="61"/>
      <c r="I3236" s="61">
        <v>480</v>
      </c>
      <c r="J3236" s="61">
        <v>96</v>
      </c>
      <c r="K3236" s="61"/>
      <c r="L3236" s="61">
        <v>96</v>
      </c>
      <c r="M3236" s="61"/>
      <c r="N3236" s="61"/>
      <c r="O3236" s="61"/>
      <c r="P3236" s="61"/>
      <c r="Q3236" s="61"/>
      <c r="R3236" s="61"/>
      <c r="S3236" s="61"/>
      <c r="T3236" s="61"/>
      <c r="U3236" s="61"/>
      <c r="V3236" s="7"/>
      <c r="W3236" s="96">
        <v>0</v>
      </c>
      <c r="X3236" s="71">
        <f>CU3236</f>
        <v>0</v>
      </c>
      <c r="Y3236" s="71">
        <f>CY3236</f>
        <v>0</v>
      </c>
      <c r="Z3236" s="71">
        <f>DA3236+DC3236+DE3236</f>
        <v>33305000</v>
      </c>
      <c r="AA3236" s="71">
        <f>CW3236</f>
        <v>0</v>
      </c>
      <c r="AB3236" s="71"/>
      <c r="AC3236" s="71">
        <v>0</v>
      </c>
      <c r="AD3236" s="71">
        <f>W3236+X3236+Y3236+Z3236+AA3236+AB3236+AC3236</f>
        <v>33305000</v>
      </c>
      <c r="AE3236" s="72">
        <v>0</v>
      </c>
      <c r="AF3236" s="5"/>
      <c r="AG3236" s="6"/>
      <c r="AH3236" s="27"/>
      <c r="AI3236" s="44"/>
      <c r="AJ3236" s="26"/>
      <c r="AK3236" s="5"/>
      <c r="AL3236" s="9" t="s">
        <v>6798</v>
      </c>
      <c r="AM3236" s="76"/>
      <c r="AN3236" s="76"/>
      <c r="AO3236" s="76"/>
      <c r="AP3236" s="76"/>
      <c r="AQ3236" s="76"/>
      <c r="AR3236" s="76"/>
      <c r="AS3236" s="76"/>
      <c r="AT3236" s="76"/>
      <c r="AU3236" s="76"/>
      <c r="AV3236" s="76"/>
      <c r="AW3236" s="76"/>
      <c r="AX3236" s="76">
        <f>+AW3236*600000</f>
        <v>0</v>
      </c>
      <c r="AY3236" s="76"/>
      <c r="AZ3236" s="76">
        <f>+AY3236*70000</f>
        <v>0</v>
      </c>
      <c r="BA3236" s="76"/>
      <c r="BB3236" s="76"/>
      <c r="BC3236" s="76"/>
      <c r="BD3236" s="76">
        <f>+BC3236*30000</f>
        <v>0</v>
      </c>
      <c r="BE3236" s="76"/>
      <c r="BF3236" s="76"/>
      <c r="BG3236" s="76"/>
      <c r="BH3236" s="76"/>
      <c r="BI3236" s="76"/>
      <c r="BJ3236" s="76"/>
      <c r="BK3236" s="76"/>
      <c r="BL3236" s="76">
        <f>+BK3236*31500</f>
        <v>0</v>
      </c>
      <c r="BM3236" s="76"/>
      <c r="BN3236" s="76"/>
      <c r="BO3236" s="76"/>
      <c r="BP3236" s="76"/>
      <c r="BQ3236" s="76"/>
      <c r="BR3236" s="76"/>
      <c r="BS3236" s="76"/>
      <c r="BT3236" s="76"/>
      <c r="BU3236" s="76"/>
      <c r="BV3236" s="76"/>
      <c r="BW3236" s="76"/>
      <c r="BX3236" s="76"/>
      <c r="BY3236" s="76"/>
      <c r="BZ3236" s="76"/>
      <c r="CA3236" s="76"/>
      <c r="CB3236" s="76"/>
      <c r="CC3236" s="76"/>
      <c r="CD3236" s="76"/>
      <c r="CE3236" s="76"/>
      <c r="CF3236" s="76">
        <f>+CE3236*28000</f>
        <v>0</v>
      </c>
      <c r="CG3236" s="76"/>
      <c r="CH3236" s="76">
        <f>+CG3236*22500</f>
        <v>0</v>
      </c>
      <c r="CI3236" s="76"/>
      <c r="CJ3236" s="76">
        <f>+CI3236*26000</f>
        <v>0</v>
      </c>
      <c r="CK3236" s="76"/>
      <c r="CL3236" s="76"/>
      <c r="CM3236" s="76"/>
      <c r="CN3236" s="76">
        <f>+CM3236*22000</f>
        <v>0</v>
      </c>
      <c r="CO3236" s="76"/>
      <c r="CP3236" s="76">
        <f>+CO3236*46000</f>
        <v>0</v>
      </c>
      <c r="CQ3236" s="76"/>
      <c r="CR3236" s="76">
        <f>+CQ3236*49000</f>
        <v>0</v>
      </c>
      <c r="CS3236" s="76"/>
      <c r="CT3236" s="76"/>
      <c r="CU3236" s="56">
        <f>AN3236+AP3236+AR3236+AT3236+AV3236+AX3236+AZ3236+BB3236+BD3236+BF3236+BH3236+BJ3236+BL3236+BN3236+BP3236+BR3236+BT3236+BV3236+BX3236+BZ3236+CB3236+CD3236+CF3236+CH3236+CJ3236+CL3236+CN3236+CP3236+CR3236+CT3236</f>
        <v>0</v>
      </c>
      <c r="CV3236" s="76"/>
      <c r="CW3236" s="76">
        <f>+CV3236*1100</f>
        <v>0</v>
      </c>
      <c r="CX3236" s="76"/>
      <c r="CY3236" s="76">
        <f>+CX3236*106250</f>
        <v>0</v>
      </c>
      <c r="CZ3236" s="76">
        <v>90</v>
      </c>
      <c r="DA3236" s="76">
        <f>+CZ3236*34500</f>
        <v>3105000</v>
      </c>
      <c r="DB3236" s="76">
        <f>219+476+47</f>
        <v>742</v>
      </c>
      <c r="DC3236" s="76">
        <f>219*32000+479*42000+47*42000</f>
        <v>29100000</v>
      </c>
      <c r="DD3236" s="219" t="s">
        <v>6901</v>
      </c>
      <c r="DE3236" s="219">
        <f>550*2000</f>
        <v>1100000</v>
      </c>
      <c r="DF3236" s="166"/>
      <c r="DG3236" s="116"/>
      <c r="DH3236" s="117"/>
      <c r="DI3236" s="24"/>
      <c r="DJ3236" s="24"/>
      <c r="DK3236" s="24"/>
      <c r="DL3236" s="24"/>
      <c r="DM3236" s="24"/>
      <c r="DN3236" s="24"/>
      <c r="DO3236" s="24"/>
      <c r="DP3236" s="24"/>
      <c r="DQ3236" s="24"/>
      <c r="DR3236" s="24"/>
      <c r="DS3236" s="24"/>
      <c r="DT3236" s="24"/>
      <c r="DU3236" s="24"/>
    </row>
    <row r="3237" spans="1:125" s="8" customFormat="1" ht="24" x14ac:dyDescent="0.2">
      <c r="A3237" s="77">
        <v>41547</v>
      </c>
      <c r="B3237" s="352" t="s">
        <v>2894</v>
      </c>
      <c r="C3237" s="354" t="s">
        <v>2441</v>
      </c>
      <c r="D3237" s="354" t="s">
        <v>2882</v>
      </c>
      <c r="E3237" s="75" t="str">
        <f>VLOOKUP(B3237&amp;C3237,Divipola!$C$2:$F$1138,4,FALSE)</f>
        <v>05250</v>
      </c>
      <c r="F3237" s="87"/>
      <c r="G3237" s="87"/>
      <c r="H3237" s="87"/>
      <c r="I3237" s="87">
        <v>70</v>
      </c>
      <c r="J3237" s="87">
        <v>14</v>
      </c>
      <c r="K3237" s="87"/>
      <c r="L3237" s="87">
        <v>14</v>
      </c>
      <c r="M3237" s="87"/>
      <c r="N3237" s="87"/>
      <c r="O3237" s="87"/>
      <c r="P3237" s="87"/>
      <c r="Q3237" s="87"/>
      <c r="R3237" s="87"/>
      <c r="S3237" s="87"/>
      <c r="T3237" s="87"/>
      <c r="U3237" s="88"/>
      <c r="V3237" s="89"/>
      <c r="W3237" s="96">
        <v>0</v>
      </c>
      <c r="X3237" s="71">
        <f>CU3237</f>
        <v>0</v>
      </c>
      <c r="Y3237" s="71">
        <f>CY3237</f>
        <v>0</v>
      </c>
      <c r="Z3237" s="71">
        <f>DA3237+DC3237+DE3237</f>
        <v>0</v>
      </c>
      <c r="AA3237" s="71">
        <f>CW3237</f>
        <v>0</v>
      </c>
      <c r="AB3237" s="71"/>
      <c r="AC3237" s="71">
        <v>0</v>
      </c>
      <c r="AD3237" s="71">
        <f>W3237+X3237+Y3237+Z3237+AA3237+AB3237+AC3237</f>
        <v>0</v>
      </c>
      <c r="AE3237" s="72">
        <v>0</v>
      </c>
      <c r="AF3237" s="5"/>
      <c r="AG3237" s="6"/>
      <c r="AH3237" s="27"/>
      <c r="AI3237" s="44"/>
      <c r="AJ3237" s="26"/>
      <c r="AK3237" s="5"/>
      <c r="AL3237" s="9" t="s">
        <v>6180</v>
      </c>
      <c r="AM3237" s="76"/>
      <c r="AN3237" s="76"/>
      <c r="AO3237" s="76"/>
      <c r="AP3237" s="76"/>
      <c r="AQ3237" s="76"/>
      <c r="AR3237" s="76"/>
      <c r="AS3237" s="76"/>
      <c r="AT3237" s="76"/>
      <c r="AU3237" s="76"/>
      <c r="AV3237" s="76"/>
      <c r="AW3237" s="76"/>
      <c r="AX3237" s="76">
        <f>+AW3237*600000</f>
        <v>0</v>
      </c>
      <c r="AY3237" s="76"/>
      <c r="AZ3237" s="76">
        <f>+AY3237*70000</f>
        <v>0</v>
      </c>
      <c r="BA3237" s="76"/>
      <c r="BB3237" s="76"/>
      <c r="BC3237" s="76"/>
      <c r="BD3237" s="76">
        <f>+BC3237*30000</f>
        <v>0</v>
      </c>
      <c r="BE3237" s="76"/>
      <c r="BF3237" s="76"/>
      <c r="BG3237" s="76"/>
      <c r="BH3237" s="76"/>
      <c r="BI3237" s="76"/>
      <c r="BJ3237" s="76"/>
      <c r="BK3237" s="76"/>
      <c r="BL3237" s="76">
        <f>+BK3237*31500</f>
        <v>0</v>
      </c>
      <c r="BM3237" s="76"/>
      <c r="BN3237" s="76"/>
      <c r="BO3237" s="76"/>
      <c r="BP3237" s="76"/>
      <c r="BQ3237" s="76"/>
      <c r="BR3237" s="76"/>
      <c r="BS3237" s="76"/>
      <c r="BT3237" s="76"/>
      <c r="BU3237" s="76"/>
      <c r="BV3237" s="76"/>
      <c r="BW3237" s="76"/>
      <c r="BX3237" s="76"/>
      <c r="BY3237" s="76"/>
      <c r="BZ3237" s="76"/>
      <c r="CA3237" s="76"/>
      <c r="CB3237" s="76"/>
      <c r="CC3237" s="76"/>
      <c r="CD3237" s="76"/>
      <c r="CE3237" s="76"/>
      <c r="CF3237" s="76">
        <f>+CE3237*28000</f>
        <v>0</v>
      </c>
      <c r="CG3237" s="76"/>
      <c r="CH3237" s="76">
        <f>+CG3237*22500</f>
        <v>0</v>
      </c>
      <c r="CI3237" s="76"/>
      <c r="CJ3237" s="76">
        <f>+CI3237*26000</f>
        <v>0</v>
      </c>
      <c r="CK3237" s="76"/>
      <c r="CL3237" s="76"/>
      <c r="CM3237" s="76"/>
      <c r="CN3237" s="76">
        <f>+CM3237*22000</f>
        <v>0</v>
      </c>
      <c r="CO3237" s="76"/>
      <c r="CP3237" s="76">
        <f>+CO3237*46000</f>
        <v>0</v>
      </c>
      <c r="CQ3237" s="76"/>
      <c r="CR3237" s="76">
        <f>+CQ3237*49000</f>
        <v>0</v>
      </c>
      <c r="CS3237" s="76"/>
      <c r="CT3237" s="76"/>
      <c r="CU3237" s="56">
        <f>AN3237+AP3237+AR3237+AT3237+AV3237+AX3237+AZ3237+BB3237+BD3237+BF3237+BH3237+BJ3237+BL3237+BN3237+BP3237+BR3237+BT3237+BV3237+BX3237+BZ3237+CB3237+CD3237+CF3237+CH3237+CJ3237+CL3237+CN3237+CP3237+CR3237+CT3237</f>
        <v>0</v>
      </c>
      <c r="CV3237" s="76"/>
      <c r="CW3237" s="76">
        <f>+CV3237*1100</f>
        <v>0</v>
      </c>
      <c r="CX3237" s="76"/>
      <c r="CY3237" s="76">
        <f>+CX3237*106250</f>
        <v>0</v>
      </c>
      <c r="CZ3237" s="76"/>
      <c r="DA3237" s="76">
        <f>+CZ3237*34500</f>
        <v>0</v>
      </c>
      <c r="DB3237" s="76"/>
      <c r="DC3237" s="76">
        <f>+DB3237*25000</f>
        <v>0</v>
      </c>
      <c r="DD3237" s="219"/>
      <c r="DE3237" s="219"/>
      <c r="DF3237" s="166"/>
      <c r="DG3237" s="116"/>
      <c r="DH3237" s="117"/>
      <c r="DI3237" s="24"/>
      <c r="DJ3237" s="24"/>
      <c r="DK3237" s="24"/>
      <c r="DL3237" s="24"/>
      <c r="DM3237" s="24"/>
      <c r="DN3237" s="24"/>
      <c r="DO3237" s="24"/>
      <c r="DP3237" s="24"/>
      <c r="DQ3237" s="24"/>
      <c r="DR3237" s="24"/>
      <c r="DS3237" s="24"/>
      <c r="DT3237" s="24"/>
      <c r="DU3237" s="24"/>
    </row>
    <row r="3238" spans="1:125" s="8" customFormat="1" ht="84" x14ac:dyDescent="0.2">
      <c r="A3238" s="77">
        <v>41547</v>
      </c>
      <c r="B3238" s="352" t="s">
        <v>2881</v>
      </c>
      <c r="C3238" s="354" t="s">
        <v>2767</v>
      </c>
      <c r="D3238" s="354" t="s">
        <v>3051</v>
      </c>
      <c r="E3238" s="296" t="str">
        <f>VLOOKUP(B3238&amp;C3238,Divipola!$C$2:$F$1138,4,FALSE)</f>
        <v>08001</v>
      </c>
      <c r="F3238" s="87"/>
      <c r="G3238" s="87"/>
      <c r="H3238" s="87"/>
      <c r="I3238" s="87">
        <v>25</v>
      </c>
      <c r="J3238" s="87">
        <v>5</v>
      </c>
      <c r="K3238" s="87"/>
      <c r="L3238" s="87">
        <v>5</v>
      </c>
      <c r="M3238" s="87"/>
      <c r="N3238" s="87"/>
      <c r="O3238" s="87"/>
      <c r="P3238" s="87"/>
      <c r="Q3238" s="87"/>
      <c r="R3238" s="87"/>
      <c r="S3238" s="87"/>
      <c r="T3238" s="87"/>
      <c r="U3238" s="88"/>
      <c r="V3238" s="89"/>
      <c r="W3238" s="96">
        <v>0</v>
      </c>
      <c r="X3238" s="71">
        <f>CU3238</f>
        <v>0</v>
      </c>
      <c r="Y3238" s="71">
        <f>CY3238</f>
        <v>0</v>
      </c>
      <c r="Z3238" s="71">
        <f>DA3238+DC3238+DE3238</f>
        <v>0</v>
      </c>
      <c r="AA3238" s="71">
        <f>CW3238</f>
        <v>0</v>
      </c>
      <c r="AB3238" s="71"/>
      <c r="AC3238" s="71">
        <v>0</v>
      </c>
      <c r="AD3238" s="71">
        <f>W3238+X3238+Y3238+Z3238+AA3238+AB3238+AC3238</f>
        <v>0</v>
      </c>
      <c r="AE3238" s="72">
        <v>0</v>
      </c>
      <c r="AF3238" s="5"/>
      <c r="AG3238" s="6"/>
      <c r="AH3238" s="27"/>
      <c r="AI3238" s="44"/>
      <c r="AJ3238" s="26"/>
      <c r="AK3238" s="5"/>
      <c r="AL3238" s="326" t="s">
        <v>6165</v>
      </c>
      <c r="AM3238" s="76"/>
      <c r="AN3238" s="76"/>
      <c r="AO3238" s="76"/>
      <c r="AP3238" s="76"/>
      <c r="AQ3238" s="76"/>
      <c r="AR3238" s="76"/>
      <c r="AS3238" s="76"/>
      <c r="AT3238" s="76"/>
      <c r="AU3238" s="76"/>
      <c r="AV3238" s="76"/>
      <c r="AW3238" s="76"/>
      <c r="AX3238" s="76">
        <f>+AW3238*600000</f>
        <v>0</v>
      </c>
      <c r="AY3238" s="76"/>
      <c r="AZ3238" s="76">
        <f>+AY3238*70000</f>
        <v>0</v>
      </c>
      <c r="BA3238" s="76"/>
      <c r="BB3238" s="76"/>
      <c r="BC3238" s="76"/>
      <c r="BD3238" s="76">
        <f>+BC3238*30000</f>
        <v>0</v>
      </c>
      <c r="BE3238" s="76"/>
      <c r="BF3238" s="76"/>
      <c r="BG3238" s="76"/>
      <c r="BH3238" s="76"/>
      <c r="BI3238" s="76"/>
      <c r="BJ3238" s="76"/>
      <c r="BK3238" s="76"/>
      <c r="BL3238" s="76">
        <f>+BK3238*31500</f>
        <v>0</v>
      </c>
      <c r="BM3238" s="76"/>
      <c r="BN3238" s="76"/>
      <c r="BO3238" s="76"/>
      <c r="BP3238" s="76"/>
      <c r="BQ3238" s="76"/>
      <c r="BR3238" s="76"/>
      <c r="BS3238" s="76"/>
      <c r="BT3238" s="76"/>
      <c r="BU3238" s="76"/>
      <c r="BV3238" s="76"/>
      <c r="BW3238" s="76"/>
      <c r="BX3238" s="76"/>
      <c r="BY3238" s="76"/>
      <c r="BZ3238" s="76"/>
      <c r="CA3238" s="76"/>
      <c r="CB3238" s="76"/>
      <c r="CC3238" s="76"/>
      <c r="CD3238" s="76"/>
      <c r="CE3238" s="76"/>
      <c r="CF3238" s="76">
        <f>+CE3238*28000</f>
        <v>0</v>
      </c>
      <c r="CG3238" s="76"/>
      <c r="CH3238" s="76">
        <f>+CG3238*22500</f>
        <v>0</v>
      </c>
      <c r="CI3238" s="76"/>
      <c r="CJ3238" s="76">
        <f>+CI3238*26000</f>
        <v>0</v>
      </c>
      <c r="CK3238" s="76"/>
      <c r="CL3238" s="76"/>
      <c r="CM3238" s="76"/>
      <c r="CN3238" s="76">
        <f>+CM3238*22000</f>
        <v>0</v>
      </c>
      <c r="CO3238" s="76"/>
      <c r="CP3238" s="76">
        <f>+CO3238*46000</f>
        <v>0</v>
      </c>
      <c r="CQ3238" s="76"/>
      <c r="CR3238" s="76">
        <f>+CQ3238*49000</f>
        <v>0</v>
      </c>
      <c r="CS3238" s="76"/>
      <c r="CT3238" s="76"/>
      <c r="CU3238" s="56">
        <f>AN3238+AP3238+AR3238+AT3238+AV3238+AX3238+AZ3238+BB3238+BD3238+BF3238+BH3238+BJ3238+BL3238+BN3238+BP3238+BR3238+BT3238+BV3238+BX3238+BZ3238+CB3238+CD3238+CF3238+CH3238+CJ3238+CL3238+CN3238+CP3238+CR3238+CT3238</f>
        <v>0</v>
      </c>
      <c r="CV3238" s="76"/>
      <c r="CW3238" s="76">
        <f>+CV3238*1100</f>
        <v>0</v>
      </c>
      <c r="CX3238" s="76"/>
      <c r="CY3238" s="76">
        <f>+CX3238*106250</f>
        <v>0</v>
      </c>
      <c r="CZ3238" s="76"/>
      <c r="DA3238" s="76">
        <f>+CZ3238*34500</f>
        <v>0</v>
      </c>
      <c r="DB3238" s="76"/>
      <c r="DC3238" s="76">
        <f>+DB3238*25000</f>
        <v>0</v>
      </c>
      <c r="DD3238" s="219"/>
      <c r="DE3238" s="219"/>
      <c r="DF3238" s="166"/>
      <c r="DG3238" s="116"/>
      <c r="DH3238" s="117"/>
      <c r="DI3238" s="24"/>
      <c r="DJ3238" s="24"/>
      <c r="DK3238" s="24"/>
      <c r="DL3238" s="24"/>
      <c r="DM3238" s="24"/>
      <c r="DN3238" s="24"/>
      <c r="DO3238" s="24"/>
      <c r="DP3238" s="24"/>
      <c r="DQ3238" s="24"/>
      <c r="DR3238" s="24"/>
      <c r="DS3238" s="24"/>
      <c r="DT3238" s="24"/>
      <c r="DU3238" s="24"/>
    </row>
    <row r="3239" spans="1:125" s="8" customFormat="1" ht="36" x14ac:dyDescent="0.2">
      <c r="A3239" s="77">
        <v>41547</v>
      </c>
      <c r="B3239" s="78" t="s">
        <v>2700</v>
      </c>
      <c r="C3239" s="75" t="s">
        <v>560</v>
      </c>
      <c r="D3239" s="75" t="s">
        <v>2846</v>
      </c>
      <c r="E3239" s="75" t="str">
        <f>VLOOKUP(B3239&amp;C3239,Divipola!$C$2:$F$1138,4,FALSE)</f>
        <v>15407</v>
      </c>
      <c r="F3239" s="87"/>
      <c r="G3239" s="87"/>
      <c r="H3239" s="87"/>
      <c r="I3239" s="87"/>
      <c r="J3239" s="87"/>
      <c r="K3239" s="87"/>
      <c r="L3239" s="87"/>
      <c r="M3239" s="87"/>
      <c r="N3239" s="87"/>
      <c r="O3239" s="87"/>
      <c r="P3239" s="87"/>
      <c r="Q3239" s="87"/>
      <c r="R3239" s="87"/>
      <c r="S3239" s="87"/>
      <c r="T3239" s="87"/>
      <c r="U3239" s="88">
        <v>1</v>
      </c>
      <c r="V3239" s="89"/>
      <c r="W3239" s="96">
        <v>0</v>
      </c>
      <c r="X3239" s="71">
        <f>CU3239</f>
        <v>0</v>
      </c>
      <c r="Y3239" s="71">
        <f>CY3239</f>
        <v>0</v>
      </c>
      <c r="Z3239" s="71">
        <f>DA3239+DC3239+DE3239</f>
        <v>0</v>
      </c>
      <c r="AA3239" s="71">
        <f>CW3239</f>
        <v>0</v>
      </c>
      <c r="AB3239" s="71"/>
      <c r="AC3239" s="71">
        <v>0</v>
      </c>
      <c r="AD3239" s="71">
        <f>W3239+X3239+Y3239+Z3239+AA3239+AB3239+AC3239</f>
        <v>0</v>
      </c>
      <c r="AE3239" s="72">
        <v>0</v>
      </c>
      <c r="AF3239" s="5"/>
      <c r="AG3239" s="6"/>
      <c r="AH3239" s="27"/>
      <c r="AI3239" s="44"/>
      <c r="AJ3239" s="26"/>
      <c r="AK3239" s="5"/>
      <c r="AL3239" s="9" t="s">
        <v>6179</v>
      </c>
      <c r="AM3239" s="76"/>
      <c r="AN3239" s="76"/>
      <c r="AO3239" s="76"/>
      <c r="AP3239" s="76"/>
      <c r="AQ3239" s="76"/>
      <c r="AR3239" s="76"/>
      <c r="AS3239" s="76"/>
      <c r="AT3239" s="76"/>
      <c r="AU3239" s="76"/>
      <c r="AV3239" s="76"/>
      <c r="AW3239" s="76"/>
      <c r="AX3239" s="76">
        <f>+AW3239*600000</f>
        <v>0</v>
      </c>
      <c r="AY3239" s="76"/>
      <c r="AZ3239" s="76">
        <f>+AY3239*70000</f>
        <v>0</v>
      </c>
      <c r="BA3239" s="76"/>
      <c r="BB3239" s="76"/>
      <c r="BC3239" s="76"/>
      <c r="BD3239" s="76">
        <f>+BC3239*30000</f>
        <v>0</v>
      </c>
      <c r="BE3239" s="76"/>
      <c r="BF3239" s="76"/>
      <c r="BG3239" s="76"/>
      <c r="BH3239" s="76"/>
      <c r="BI3239" s="76"/>
      <c r="BJ3239" s="76"/>
      <c r="BK3239" s="76"/>
      <c r="BL3239" s="76">
        <f>+BK3239*31500</f>
        <v>0</v>
      </c>
      <c r="BM3239" s="76"/>
      <c r="BN3239" s="76"/>
      <c r="BO3239" s="76"/>
      <c r="BP3239" s="76"/>
      <c r="BQ3239" s="76"/>
      <c r="BR3239" s="76"/>
      <c r="BS3239" s="76"/>
      <c r="BT3239" s="76"/>
      <c r="BU3239" s="76"/>
      <c r="BV3239" s="76"/>
      <c r="BW3239" s="76"/>
      <c r="BX3239" s="76"/>
      <c r="BY3239" s="76"/>
      <c r="BZ3239" s="76"/>
      <c r="CA3239" s="76"/>
      <c r="CB3239" s="76"/>
      <c r="CC3239" s="76"/>
      <c r="CD3239" s="76"/>
      <c r="CE3239" s="76"/>
      <c r="CF3239" s="76">
        <f>+CE3239*28000</f>
        <v>0</v>
      </c>
      <c r="CG3239" s="76"/>
      <c r="CH3239" s="76">
        <f>+CG3239*22500</f>
        <v>0</v>
      </c>
      <c r="CI3239" s="76"/>
      <c r="CJ3239" s="76">
        <f>+CI3239*26000</f>
        <v>0</v>
      </c>
      <c r="CK3239" s="76"/>
      <c r="CL3239" s="76"/>
      <c r="CM3239" s="76"/>
      <c r="CN3239" s="76">
        <f>+CM3239*22000</f>
        <v>0</v>
      </c>
      <c r="CO3239" s="76"/>
      <c r="CP3239" s="76">
        <f>+CO3239*46000</f>
        <v>0</v>
      </c>
      <c r="CQ3239" s="76"/>
      <c r="CR3239" s="76">
        <f>+CQ3239*49000</f>
        <v>0</v>
      </c>
      <c r="CS3239" s="76"/>
      <c r="CT3239" s="76"/>
      <c r="CU3239" s="56">
        <f>AN3239+AP3239+AR3239+AT3239+AV3239+AX3239+AZ3239+BB3239+BD3239+BF3239+BH3239+BJ3239+BL3239+BN3239+BP3239+BR3239+BT3239+BV3239+BX3239+BZ3239+CB3239+CD3239+CF3239+CH3239+CJ3239+CL3239+CN3239+CP3239+CR3239+CT3239</f>
        <v>0</v>
      </c>
      <c r="CV3239" s="76"/>
      <c r="CW3239" s="76">
        <f>+CV3239*1100</f>
        <v>0</v>
      </c>
      <c r="CX3239" s="76"/>
      <c r="CY3239" s="76">
        <f>+CX3239*106250</f>
        <v>0</v>
      </c>
      <c r="CZ3239" s="76"/>
      <c r="DA3239" s="76">
        <f>+CZ3239*34500</f>
        <v>0</v>
      </c>
      <c r="DB3239" s="76"/>
      <c r="DC3239" s="76">
        <f>+DB3239*25000</f>
        <v>0</v>
      </c>
      <c r="DD3239" s="219"/>
      <c r="DE3239" s="219"/>
      <c r="DF3239" s="166"/>
      <c r="DG3239" s="116"/>
      <c r="DH3239" s="117"/>
      <c r="DI3239" s="24"/>
      <c r="DJ3239" s="24"/>
      <c r="DK3239" s="24"/>
      <c r="DL3239" s="24"/>
      <c r="DM3239" s="24"/>
      <c r="DN3239" s="24"/>
      <c r="DO3239" s="24"/>
      <c r="DP3239" s="24"/>
      <c r="DQ3239" s="24"/>
      <c r="DR3239" s="24"/>
      <c r="DS3239" s="24"/>
      <c r="DT3239" s="24"/>
      <c r="DU3239" s="24"/>
    </row>
    <row r="3240" spans="1:125" s="8" customFormat="1" ht="36" x14ac:dyDescent="0.2">
      <c r="A3240" s="77">
        <v>41547</v>
      </c>
      <c r="B3240" s="352" t="s">
        <v>2700</v>
      </c>
      <c r="C3240" s="354" t="s">
        <v>560</v>
      </c>
      <c r="D3240" s="354" t="s">
        <v>2846</v>
      </c>
      <c r="E3240" s="75" t="str">
        <f>VLOOKUP(B3240&amp;C3240,Divipola!$C$2:$F$1138,4,FALSE)</f>
        <v>15407</v>
      </c>
      <c r="F3240" s="87"/>
      <c r="G3240" s="87"/>
      <c r="H3240" s="87"/>
      <c r="I3240" s="87"/>
      <c r="J3240" s="87"/>
      <c r="K3240" s="87"/>
      <c r="L3240" s="87"/>
      <c r="M3240" s="87"/>
      <c r="N3240" s="87"/>
      <c r="O3240" s="87"/>
      <c r="P3240" s="87"/>
      <c r="Q3240" s="87"/>
      <c r="R3240" s="87"/>
      <c r="S3240" s="87"/>
      <c r="T3240" s="87"/>
      <c r="U3240" s="88"/>
      <c r="V3240" s="89"/>
      <c r="W3240" s="96">
        <v>0</v>
      </c>
      <c r="X3240" s="71">
        <f>CU3240</f>
        <v>0</v>
      </c>
      <c r="Y3240" s="71">
        <f>CY3240</f>
        <v>0</v>
      </c>
      <c r="Z3240" s="71">
        <f>DA3240+DC3240+DE3240</f>
        <v>0</v>
      </c>
      <c r="AA3240" s="71">
        <f>CW3240</f>
        <v>0</v>
      </c>
      <c r="AB3240" s="71"/>
      <c r="AC3240" s="71">
        <v>0</v>
      </c>
      <c r="AD3240" s="71">
        <f>W3240+X3240+Y3240+Z3240+AA3240+AB3240+AC3240</f>
        <v>0</v>
      </c>
      <c r="AE3240" s="72">
        <v>0</v>
      </c>
      <c r="AF3240" s="5"/>
      <c r="AG3240" s="6"/>
      <c r="AH3240" s="27"/>
      <c r="AI3240" s="44"/>
      <c r="AJ3240" s="26"/>
      <c r="AK3240" s="5"/>
      <c r="AL3240" s="9" t="s">
        <v>6182</v>
      </c>
      <c r="AM3240" s="76"/>
      <c r="AN3240" s="76"/>
      <c r="AO3240" s="76"/>
      <c r="AP3240" s="76"/>
      <c r="AQ3240" s="76"/>
      <c r="AR3240" s="76"/>
      <c r="AS3240" s="76"/>
      <c r="AT3240" s="76"/>
      <c r="AU3240" s="76"/>
      <c r="AV3240" s="76"/>
      <c r="AW3240" s="76"/>
      <c r="AX3240" s="76">
        <f>+AW3240*600000</f>
        <v>0</v>
      </c>
      <c r="AY3240" s="76"/>
      <c r="AZ3240" s="76">
        <f>+AY3240*70000</f>
        <v>0</v>
      </c>
      <c r="BA3240" s="76"/>
      <c r="BB3240" s="76"/>
      <c r="BC3240" s="76"/>
      <c r="BD3240" s="76">
        <f>+BC3240*30000</f>
        <v>0</v>
      </c>
      <c r="BE3240" s="76"/>
      <c r="BF3240" s="76"/>
      <c r="BG3240" s="76"/>
      <c r="BH3240" s="76"/>
      <c r="BI3240" s="76"/>
      <c r="BJ3240" s="76"/>
      <c r="BK3240" s="76"/>
      <c r="BL3240" s="76">
        <f>+BK3240*31500</f>
        <v>0</v>
      </c>
      <c r="BM3240" s="76"/>
      <c r="BN3240" s="76"/>
      <c r="BO3240" s="76"/>
      <c r="BP3240" s="76"/>
      <c r="BQ3240" s="76"/>
      <c r="BR3240" s="76"/>
      <c r="BS3240" s="76"/>
      <c r="BT3240" s="76"/>
      <c r="BU3240" s="76"/>
      <c r="BV3240" s="76"/>
      <c r="BW3240" s="76"/>
      <c r="BX3240" s="76"/>
      <c r="BY3240" s="76"/>
      <c r="BZ3240" s="76"/>
      <c r="CA3240" s="76"/>
      <c r="CB3240" s="76"/>
      <c r="CC3240" s="76"/>
      <c r="CD3240" s="76"/>
      <c r="CE3240" s="76"/>
      <c r="CF3240" s="76">
        <f>+CE3240*28000</f>
        <v>0</v>
      </c>
      <c r="CG3240" s="76"/>
      <c r="CH3240" s="76">
        <f>+CG3240*22500</f>
        <v>0</v>
      </c>
      <c r="CI3240" s="76"/>
      <c r="CJ3240" s="76">
        <f>+CI3240*26000</f>
        <v>0</v>
      </c>
      <c r="CK3240" s="76"/>
      <c r="CL3240" s="76"/>
      <c r="CM3240" s="76"/>
      <c r="CN3240" s="76">
        <f>+CM3240*22000</f>
        <v>0</v>
      </c>
      <c r="CO3240" s="76"/>
      <c r="CP3240" s="76">
        <f>+CO3240*46000</f>
        <v>0</v>
      </c>
      <c r="CQ3240" s="76"/>
      <c r="CR3240" s="76">
        <f>+CQ3240*49000</f>
        <v>0</v>
      </c>
      <c r="CS3240" s="76"/>
      <c r="CT3240" s="76"/>
      <c r="CU3240" s="56">
        <f>AN3240+AP3240+AR3240+AT3240+AV3240+AX3240+AZ3240+BB3240+BD3240+BF3240+BH3240+BJ3240+BL3240+BN3240+BP3240+BR3240+BT3240+BV3240+BX3240+BZ3240+CB3240+CD3240+CF3240+CH3240+CJ3240+CL3240+CN3240+CP3240+CR3240+CT3240</f>
        <v>0</v>
      </c>
      <c r="CV3240" s="76"/>
      <c r="CW3240" s="76">
        <f>+CV3240*1100</f>
        <v>0</v>
      </c>
      <c r="CX3240" s="76"/>
      <c r="CY3240" s="76">
        <f>+CX3240*106250</f>
        <v>0</v>
      </c>
      <c r="CZ3240" s="76"/>
      <c r="DA3240" s="76">
        <f>+CZ3240*34500</f>
        <v>0</v>
      </c>
      <c r="DB3240" s="76"/>
      <c r="DC3240" s="76">
        <f>+DB3240*25000</f>
        <v>0</v>
      </c>
      <c r="DD3240" s="219"/>
      <c r="DE3240" s="219"/>
      <c r="DF3240" s="166"/>
      <c r="DG3240" s="116"/>
      <c r="DH3240" s="117"/>
      <c r="DI3240" s="24"/>
      <c r="DJ3240" s="24"/>
      <c r="DK3240" s="24"/>
      <c r="DL3240" s="24"/>
      <c r="DM3240" s="24"/>
      <c r="DN3240" s="24"/>
      <c r="DO3240" s="24"/>
      <c r="DP3240" s="24"/>
      <c r="DQ3240" s="24"/>
      <c r="DR3240" s="24"/>
      <c r="DS3240" s="24"/>
      <c r="DT3240" s="24"/>
      <c r="DU3240" s="24"/>
    </row>
    <row r="3241" spans="1:125" s="8" customFormat="1" ht="48" x14ac:dyDescent="0.2">
      <c r="A3241" s="77">
        <v>41547</v>
      </c>
      <c r="B3241" s="78" t="s">
        <v>2852</v>
      </c>
      <c r="C3241" s="75" t="s">
        <v>1327</v>
      </c>
      <c r="D3241" s="75" t="s">
        <v>2882</v>
      </c>
      <c r="E3241" s="75" t="str">
        <f>VLOOKUP(B3241&amp;C3241,Divipola!$C$2:$F$1138,4,FALSE)</f>
        <v>27001</v>
      </c>
      <c r="F3241" s="87"/>
      <c r="G3241" s="87"/>
      <c r="H3241" s="87"/>
      <c r="I3241" s="87">
        <v>50</v>
      </c>
      <c r="J3241" s="87">
        <v>10</v>
      </c>
      <c r="K3241" s="87"/>
      <c r="L3241" s="87">
        <v>10</v>
      </c>
      <c r="M3241" s="87"/>
      <c r="N3241" s="87"/>
      <c r="O3241" s="87"/>
      <c r="P3241" s="87"/>
      <c r="Q3241" s="87"/>
      <c r="R3241" s="87">
        <v>1</v>
      </c>
      <c r="S3241" s="87">
        <v>1</v>
      </c>
      <c r="T3241" s="87"/>
      <c r="U3241" s="88"/>
      <c r="V3241" s="89"/>
      <c r="W3241" s="96">
        <v>0</v>
      </c>
      <c r="X3241" s="71">
        <f>CU3241</f>
        <v>0</v>
      </c>
      <c r="Y3241" s="71">
        <f>CY3241</f>
        <v>0</v>
      </c>
      <c r="Z3241" s="71">
        <f>DA3241+DC3241+DE3241</f>
        <v>0</v>
      </c>
      <c r="AA3241" s="71">
        <f>CW3241</f>
        <v>0</v>
      </c>
      <c r="AB3241" s="71"/>
      <c r="AC3241" s="71">
        <v>0</v>
      </c>
      <c r="AD3241" s="71">
        <f>W3241+X3241+Y3241+Z3241+AA3241+AB3241+AC3241</f>
        <v>0</v>
      </c>
      <c r="AE3241" s="72">
        <v>0</v>
      </c>
      <c r="AF3241" s="5"/>
      <c r="AG3241" s="6"/>
      <c r="AH3241" s="27"/>
      <c r="AI3241" s="44"/>
      <c r="AJ3241" s="26"/>
      <c r="AK3241" s="5"/>
      <c r="AL3241" s="9" t="s">
        <v>6175</v>
      </c>
      <c r="AM3241" s="76"/>
      <c r="AN3241" s="76"/>
      <c r="AO3241" s="76"/>
      <c r="AP3241" s="76"/>
      <c r="AQ3241" s="76"/>
      <c r="AR3241" s="76"/>
      <c r="AS3241" s="76"/>
      <c r="AT3241" s="76"/>
      <c r="AU3241" s="76"/>
      <c r="AV3241" s="76"/>
      <c r="AW3241" s="76"/>
      <c r="AX3241" s="76">
        <f>+AW3241*600000</f>
        <v>0</v>
      </c>
      <c r="AY3241" s="76"/>
      <c r="AZ3241" s="76">
        <f>+AY3241*70000</f>
        <v>0</v>
      </c>
      <c r="BA3241" s="76"/>
      <c r="BB3241" s="76"/>
      <c r="BC3241" s="76"/>
      <c r="BD3241" s="76">
        <f>+BC3241*30000</f>
        <v>0</v>
      </c>
      <c r="BE3241" s="76"/>
      <c r="BF3241" s="76"/>
      <c r="BG3241" s="76"/>
      <c r="BH3241" s="76"/>
      <c r="BI3241" s="76"/>
      <c r="BJ3241" s="76"/>
      <c r="BK3241" s="76"/>
      <c r="BL3241" s="76">
        <f>+BK3241*31500</f>
        <v>0</v>
      </c>
      <c r="BM3241" s="76"/>
      <c r="BN3241" s="76"/>
      <c r="BO3241" s="76"/>
      <c r="BP3241" s="76"/>
      <c r="BQ3241" s="76"/>
      <c r="BR3241" s="76"/>
      <c r="BS3241" s="76"/>
      <c r="BT3241" s="76"/>
      <c r="BU3241" s="76"/>
      <c r="BV3241" s="76"/>
      <c r="BW3241" s="76"/>
      <c r="BX3241" s="76"/>
      <c r="BY3241" s="76"/>
      <c r="BZ3241" s="76"/>
      <c r="CA3241" s="76"/>
      <c r="CB3241" s="76"/>
      <c r="CC3241" s="76"/>
      <c r="CD3241" s="76"/>
      <c r="CE3241" s="76"/>
      <c r="CF3241" s="76">
        <f>+CE3241*28000</f>
        <v>0</v>
      </c>
      <c r="CG3241" s="76"/>
      <c r="CH3241" s="76">
        <f>+CG3241*22500</f>
        <v>0</v>
      </c>
      <c r="CI3241" s="76"/>
      <c r="CJ3241" s="76">
        <f>+CI3241*26000</f>
        <v>0</v>
      </c>
      <c r="CK3241" s="76"/>
      <c r="CL3241" s="76"/>
      <c r="CM3241" s="76"/>
      <c r="CN3241" s="76">
        <f>+CM3241*22000</f>
        <v>0</v>
      </c>
      <c r="CO3241" s="76"/>
      <c r="CP3241" s="76">
        <f>+CO3241*46000</f>
        <v>0</v>
      </c>
      <c r="CQ3241" s="76"/>
      <c r="CR3241" s="76">
        <f>+CQ3241*49000</f>
        <v>0</v>
      </c>
      <c r="CS3241" s="76"/>
      <c r="CT3241" s="76"/>
      <c r="CU3241" s="56">
        <f>AN3241+AP3241+AR3241+AT3241+AV3241+AX3241+AZ3241+BB3241+BD3241+BF3241+BH3241+BJ3241+BL3241+BN3241+BP3241+BR3241+BT3241+BV3241+BX3241+BZ3241+CB3241+CD3241+CF3241+CH3241+CJ3241+CL3241+CN3241+CP3241+CR3241+CT3241</f>
        <v>0</v>
      </c>
      <c r="CV3241" s="76"/>
      <c r="CW3241" s="76">
        <f>+CV3241*1100</f>
        <v>0</v>
      </c>
      <c r="CX3241" s="76"/>
      <c r="CY3241" s="76">
        <f>+CX3241*106250</f>
        <v>0</v>
      </c>
      <c r="CZ3241" s="76"/>
      <c r="DA3241" s="76">
        <f>+CZ3241*34500</f>
        <v>0</v>
      </c>
      <c r="DB3241" s="76"/>
      <c r="DC3241" s="76">
        <f>+DB3241*25000</f>
        <v>0</v>
      </c>
      <c r="DD3241" s="219"/>
      <c r="DE3241" s="219"/>
      <c r="DF3241" s="166"/>
      <c r="DG3241" s="116"/>
      <c r="DH3241" s="117"/>
      <c r="DI3241" s="24"/>
      <c r="DJ3241" s="24"/>
      <c r="DK3241" s="24"/>
      <c r="DL3241" s="24"/>
      <c r="DM3241" s="24"/>
      <c r="DN3241" s="24"/>
      <c r="DO3241" s="24"/>
      <c r="DP3241" s="24"/>
      <c r="DQ3241" s="24"/>
      <c r="DR3241" s="24"/>
      <c r="DS3241" s="24"/>
      <c r="DT3241" s="24"/>
      <c r="DU3241" s="24"/>
    </row>
    <row r="3242" spans="1:125" s="8" customFormat="1" ht="48" x14ac:dyDescent="0.2">
      <c r="A3242" s="77">
        <v>41547</v>
      </c>
      <c r="B3242" s="352" t="s">
        <v>2772</v>
      </c>
      <c r="C3242" s="354" t="s">
        <v>2812</v>
      </c>
      <c r="D3242" s="354" t="s">
        <v>2859</v>
      </c>
      <c r="E3242" s="296" t="str">
        <f>VLOOKUP(B3242&amp;C3242,Divipola!$C$2:$F$1138,4,FALSE)</f>
        <v>25307</v>
      </c>
      <c r="F3242" s="87"/>
      <c r="G3242" s="87"/>
      <c r="H3242" s="87"/>
      <c r="I3242" s="87">
        <v>10</v>
      </c>
      <c r="J3242" s="87">
        <v>2</v>
      </c>
      <c r="K3242" s="87">
        <v>2</v>
      </c>
      <c r="L3242" s="87"/>
      <c r="M3242" s="87"/>
      <c r="N3242" s="87"/>
      <c r="O3242" s="87"/>
      <c r="P3242" s="87"/>
      <c r="Q3242" s="87"/>
      <c r="R3242" s="87"/>
      <c r="S3242" s="87"/>
      <c r="T3242" s="87"/>
      <c r="U3242" s="88"/>
      <c r="V3242" s="89"/>
      <c r="W3242" s="96">
        <v>0</v>
      </c>
      <c r="X3242" s="71">
        <f>CU3242</f>
        <v>0</v>
      </c>
      <c r="Y3242" s="71">
        <f>CY3242</f>
        <v>0</v>
      </c>
      <c r="Z3242" s="71">
        <f>DA3242+DC3242+DE3242</f>
        <v>0</v>
      </c>
      <c r="AA3242" s="71">
        <f>CW3242</f>
        <v>0</v>
      </c>
      <c r="AB3242" s="71"/>
      <c r="AC3242" s="71">
        <v>0</v>
      </c>
      <c r="AD3242" s="71">
        <f>W3242+X3242+Y3242+Z3242+AA3242+AB3242+AC3242</f>
        <v>0</v>
      </c>
      <c r="AE3242" s="72">
        <v>0</v>
      </c>
      <c r="AF3242" s="5"/>
      <c r="AG3242" s="6"/>
      <c r="AH3242" s="27"/>
      <c r="AI3242" s="44"/>
      <c r="AJ3242" s="26"/>
      <c r="AK3242" s="5"/>
      <c r="AL3242" s="326" t="s">
        <v>6166</v>
      </c>
      <c r="AM3242" s="76"/>
      <c r="AN3242" s="76"/>
      <c r="AO3242" s="76"/>
      <c r="AP3242" s="76"/>
      <c r="AQ3242" s="76"/>
      <c r="AR3242" s="76"/>
      <c r="AS3242" s="76"/>
      <c r="AT3242" s="76"/>
      <c r="AU3242" s="76"/>
      <c r="AV3242" s="76"/>
      <c r="AW3242" s="76"/>
      <c r="AX3242" s="76">
        <f>+AW3242*600000</f>
        <v>0</v>
      </c>
      <c r="AY3242" s="76"/>
      <c r="AZ3242" s="76">
        <f>+AY3242*70000</f>
        <v>0</v>
      </c>
      <c r="BA3242" s="76"/>
      <c r="BB3242" s="76"/>
      <c r="BC3242" s="76"/>
      <c r="BD3242" s="76">
        <f>+BC3242*30000</f>
        <v>0</v>
      </c>
      <c r="BE3242" s="76"/>
      <c r="BF3242" s="76"/>
      <c r="BG3242" s="76"/>
      <c r="BH3242" s="76"/>
      <c r="BI3242" s="76"/>
      <c r="BJ3242" s="76"/>
      <c r="BK3242" s="76"/>
      <c r="BL3242" s="76">
        <f>+BK3242*31500</f>
        <v>0</v>
      </c>
      <c r="BM3242" s="76"/>
      <c r="BN3242" s="76"/>
      <c r="BO3242" s="76"/>
      <c r="BP3242" s="76"/>
      <c r="BQ3242" s="76"/>
      <c r="BR3242" s="76"/>
      <c r="BS3242" s="76"/>
      <c r="BT3242" s="76"/>
      <c r="BU3242" s="76"/>
      <c r="BV3242" s="76"/>
      <c r="BW3242" s="76"/>
      <c r="BX3242" s="76"/>
      <c r="BY3242" s="76"/>
      <c r="BZ3242" s="76"/>
      <c r="CA3242" s="76"/>
      <c r="CB3242" s="76"/>
      <c r="CC3242" s="76"/>
      <c r="CD3242" s="76"/>
      <c r="CE3242" s="76"/>
      <c r="CF3242" s="76">
        <f>+CE3242*28000</f>
        <v>0</v>
      </c>
      <c r="CG3242" s="76"/>
      <c r="CH3242" s="76">
        <f>+CG3242*22500</f>
        <v>0</v>
      </c>
      <c r="CI3242" s="76"/>
      <c r="CJ3242" s="76">
        <f>+CI3242*26000</f>
        <v>0</v>
      </c>
      <c r="CK3242" s="76"/>
      <c r="CL3242" s="76"/>
      <c r="CM3242" s="76"/>
      <c r="CN3242" s="76">
        <f>+CM3242*22000</f>
        <v>0</v>
      </c>
      <c r="CO3242" s="76"/>
      <c r="CP3242" s="76">
        <f>+CO3242*46000</f>
        <v>0</v>
      </c>
      <c r="CQ3242" s="76"/>
      <c r="CR3242" s="76">
        <f>+CQ3242*49000</f>
        <v>0</v>
      </c>
      <c r="CS3242" s="76"/>
      <c r="CT3242" s="76"/>
      <c r="CU3242" s="56">
        <f>AN3242+AP3242+AR3242+AT3242+AV3242+AX3242+AZ3242+BB3242+BD3242+BF3242+BH3242+BJ3242+BL3242+BN3242+BP3242+BR3242+BT3242+BV3242+BX3242+BZ3242+CB3242+CD3242+CF3242+CH3242+CJ3242+CL3242+CN3242+CP3242+CR3242+CT3242</f>
        <v>0</v>
      </c>
      <c r="CV3242" s="76"/>
      <c r="CW3242" s="76">
        <f>+CV3242*1100</f>
        <v>0</v>
      </c>
      <c r="CX3242" s="76"/>
      <c r="CY3242" s="76">
        <f>+CX3242*106250</f>
        <v>0</v>
      </c>
      <c r="CZ3242" s="76"/>
      <c r="DA3242" s="76">
        <f>+CZ3242*34500</f>
        <v>0</v>
      </c>
      <c r="DB3242" s="76"/>
      <c r="DC3242" s="76">
        <f>+DB3242*25000</f>
        <v>0</v>
      </c>
      <c r="DD3242" s="219"/>
      <c r="DE3242" s="219"/>
      <c r="DF3242" s="166"/>
      <c r="DG3242" s="116"/>
      <c r="DH3242" s="117"/>
      <c r="DI3242" s="24"/>
      <c r="DJ3242" s="24"/>
      <c r="DK3242" s="24"/>
      <c r="DL3242" s="24"/>
      <c r="DM3242" s="24"/>
      <c r="DN3242" s="24"/>
      <c r="DO3242" s="24"/>
      <c r="DP3242" s="24"/>
      <c r="DQ3242" s="24"/>
      <c r="DR3242" s="24"/>
      <c r="DS3242" s="24"/>
      <c r="DT3242" s="24"/>
      <c r="DU3242" s="24"/>
    </row>
    <row r="3243" spans="1:125" s="8" customFormat="1" ht="36" x14ac:dyDescent="0.2">
      <c r="A3243" s="77">
        <v>41547</v>
      </c>
      <c r="B3243" s="352" t="s">
        <v>2772</v>
      </c>
      <c r="C3243" s="354" t="s">
        <v>2812</v>
      </c>
      <c r="D3243" s="354" t="s">
        <v>2882</v>
      </c>
      <c r="E3243" s="296" t="str">
        <f>VLOOKUP(B3243&amp;C3243,Divipola!$C$2:$F$1138,4,FALSE)</f>
        <v>25307</v>
      </c>
      <c r="F3243" s="87"/>
      <c r="G3243" s="87"/>
      <c r="H3243" s="87"/>
      <c r="I3243" s="87">
        <v>50</v>
      </c>
      <c r="J3243" s="87">
        <v>10</v>
      </c>
      <c r="K3243" s="87"/>
      <c r="L3243" s="87">
        <v>10</v>
      </c>
      <c r="M3243" s="87"/>
      <c r="N3243" s="87"/>
      <c r="O3243" s="87"/>
      <c r="P3243" s="87"/>
      <c r="Q3243" s="87"/>
      <c r="R3243" s="87"/>
      <c r="S3243" s="87"/>
      <c r="T3243" s="87"/>
      <c r="U3243" s="88"/>
      <c r="V3243" s="89"/>
      <c r="W3243" s="96">
        <v>0</v>
      </c>
      <c r="X3243" s="71">
        <f>CU3243</f>
        <v>0</v>
      </c>
      <c r="Y3243" s="71">
        <f>CY3243</f>
        <v>0</v>
      </c>
      <c r="Z3243" s="71">
        <f>DA3243+DC3243+DE3243</f>
        <v>0</v>
      </c>
      <c r="AA3243" s="71">
        <f>CW3243</f>
        <v>0</v>
      </c>
      <c r="AB3243" s="71"/>
      <c r="AC3243" s="71">
        <v>0</v>
      </c>
      <c r="AD3243" s="71">
        <f>W3243+X3243+Y3243+Z3243+AA3243+AB3243+AC3243</f>
        <v>0</v>
      </c>
      <c r="AE3243" s="72">
        <v>0</v>
      </c>
      <c r="AF3243" s="5"/>
      <c r="AG3243" s="6"/>
      <c r="AH3243" s="27"/>
      <c r="AI3243" s="44"/>
      <c r="AJ3243" s="26"/>
      <c r="AK3243" s="5"/>
      <c r="AL3243" s="326" t="s">
        <v>6167</v>
      </c>
      <c r="AM3243" s="76"/>
      <c r="AN3243" s="76"/>
      <c r="AO3243" s="76"/>
      <c r="AP3243" s="76"/>
      <c r="AQ3243" s="76"/>
      <c r="AR3243" s="76"/>
      <c r="AS3243" s="76"/>
      <c r="AT3243" s="76"/>
      <c r="AU3243" s="76"/>
      <c r="AV3243" s="76"/>
      <c r="AW3243" s="76"/>
      <c r="AX3243" s="76">
        <f>+AW3243*600000</f>
        <v>0</v>
      </c>
      <c r="AY3243" s="76"/>
      <c r="AZ3243" s="76">
        <f>+AY3243*70000</f>
        <v>0</v>
      </c>
      <c r="BA3243" s="76"/>
      <c r="BB3243" s="76"/>
      <c r="BC3243" s="76"/>
      <c r="BD3243" s="76">
        <f>+BC3243*30000</f>
        <v>0</v>
      </c>
      <c r="BE3243" s="76"/>
      <c r="BF3243" s="76"/>
      <c r="BG3243" s="76"/>
      <c r="BH3243" s="76"/>
      <c r="BI3243" s="76"/>
      <c r="BJ3243" s="76"/>
      <c r="BK3243" s="76"/>
      <c r="BL3243" s="76">
        <f>+BK3243*31500</f>
        <v>0</v>
      </c>
      <c r="BM3243" s="76"/>
      <c r="BN3243" s="76"/>
      <c r="BO3243" s="76"/>
      <c r="BP3243" s="76"/>
      <c r="BQ3243" s="76"/>
      <c r="BR3243" s="76"/>
      <c r="BS3243" s="76"/>
      <c r="BT3243" s="76"/>
      <c r="BU3243" s="76"/>
      <c r="BV3243" s="76"/>
      <c r="BW3243" s="76"/>
      <c r="BX3243" s="76"/>
      <c r="BY3243" s="76"/>
      <c r="BZ3243" s="76"/>
      <c r="CA3243" s="76"/>
      <c r="CB3243" s="76"/>
      <c r="CC3243" s="76"/>
      <c r="CD3243" s="76"/>
      <c r="CE3243" s="76"/>
      <c r="CF3243" s="76">
        <f>+CE3243*28000</f>
        <v>0</v>
      </c>
      <c r="CG3243" s="76"/>
      <c r="CH3243" s="76">
        <f>+CG3243*22500</f>
        <v>0</v>
      </c>
      <c r="CI3243" s="76"/>
      <c r="CJ3243" s="76">
        <f>+CI3243*26000</f>
        <v>0</v>
      </c>
      <c r="CK3243" s="76"/>
      <c r="CL3243" s="76"/>
      <c r="CM3243" s="76"/>
      <c r="CN3243" s="76">
        <f>+CM3243*22000</f>
        <v>0</v>
      </c>
      <c r="CO3243" s="76"/>
      <c r="CP3243" s="76">
        <f>+CO3243*46000</f>
        <v>0</v>
      </c>
      <c r="CQ3243" s="76"/>
      <c r="CR3243" s="76">
        <f>+CQ3243*49000</f>
        <v>0</v>
      </c>
      <c r="CS3243" s="76"/>
      <c r="CT3243" s="76"/>
      <c r="CU3243" s="56">
        <f>AN3243+AP3243+AR3243+AT3243+AV3243+AX3243+AZ3243+BB3243+BD3243+BF3243+BH3243+BJ3243+BL3243+BN3243+BP3243+BR3243+BT3243+BV3243+BX3243+BZ3243+CB3243+CD3243+CF3243+CH3243+CJ3243+CL3243+CN3243+CP3243+CR3243+CT3243</f>
        <v>0</v>
      </c>
      <c r="CV3243" s="76"/>
      <c r="CW3243" s="76">
        <f>+CV3243*1100</f>
        <v>0</v>
      </c>
      <c r="CX3243" s="76"/>
      <c r="CY3243" s="76">
        <f>+CX3243*106250</f>
        <v>0</v>
      </c>
      <c r="CZ3243" s="76"/>
      <c r="DA3243" s="76">
        <f>+CZ3243*34500</f>
        <v>0</v>
      </c>
      <c r="DB3243" s="76"/>
      <c r="DC3243" s="76">
        <f>+DB3243*25000</f>
        <v>0</v>
      </c>
      <c r="DD3243" s="219"/>
      <c r="DE3243" s="219"/>
      <c r="DF3243" s="166"/>
      <c r="DG3243" s="116"/>
      <c r="DH3243" s="117"/>
      <c r="DI3243" s="24"/>
      <c r="DJ3243" s="24"/>
      <c r="DK3243" s="24"/>
      <c r="DL3243" s="24"/>
      <c r="DM3243" s="24"/>
      <c r="DN3243" s="24"/>
      <c r="DO3243" s="24"/>
      <c r="DP3243" s="24"/>
      <c r="DQ3243" s="24"/>
      <c r="DR3243" s="24"/>
      <c r="DS3243" s="24"/>
      <c r="DT3243" s="24"/>
      <c r="DU3243" s="24"/>
    </row>
    <row r="3244" spans="1:125" s="8" customFormat="1" ht="60" x14ac:dyDescent="0.2">
      <c r="A3244" s="77">
        <v>41547</v>
      </c>
      <c r="B3244" s="60" t="s">
        <v>2772</v>
      </c>
      <c r="C3244" s="55" t="s">
        <v>2030</v>
      </c>
      <c r="D3244" s="55" t="s">
        <v>2846</v>
      </c>
      <c r="E3244" s="75" t="str">
        <f>VLOOKUP(B3244&amp;C3244,Divipola!$C$2:$F$1138,4,FALSE)</f>
        <v>25754</v>
      </c>
      <c r="F3244" s="87"/>
      <c r="G3244" s="87"/>
      <c r="H3244" s="87"/>
      <c r="I3244" s="87"/>
      <c r="J3244" s="87"/>
      <c r="K3244" s="87"/>
      <c r="L3244" s="87"/>
      <c r="M3244" s="87"/>
      <c r="N3244" s="87"/>
      <c r="O3244" s="87"/>
      <c r="P3244" s="87"/>
      <c r="Q3244" s="87"/>
      <c r="R3244" s="87"/>
      <c r="S3244" s="87"/>
      <c r="T3244" s="87"/>
      <c r="U3244" s="88">
        <v>2</v>
      </c>
      <c r="V3244" s="89"/>
      <c r="W3244" s="96">
        <v>0</v>
      </c>
      <c r="X3244" s="71">
        <f>CU3244</f>
        <v>0</v>
      </c>
      <c r="Y3244" s="71">
        <f>CY3244</f>
        <v>0</v>
      </c>
      <c r="Z3244" s="71">
        <f>DA3244+DC3244+DE3244</f>
        <v>0</v>
      </c>
      <c r="AA3244" s="71">
        <f>CW3244</f>
        <v>0</v>
      </c>
      <c r="AB3244" s="71"/>
      <c r="AC3244" s="71">
        <v>0</v>
      </c>
      <c r="AD3244" s="71">
        <f>W3244+X3244+Y3244+Z3244+AA3244+AB3244+AC3244</f>
        <v>0</v>
      </c>
      <c r="AE3244" s="72">
        <v>0</v>
      </c>
      <c r="AF3244" s="5"/>
      <c r="AG3244" s="6"/>
      <c r="AH3244" s="27"/>
      <c r="AI3244" s="44"/>
      <c r="AJ3244" s="26"/>
      <c r="AK3244" s="5"/>
      <c r="AL3244" s="9" t="s">
        <v>6185</v>
      </c>
      <c r="AM3244" s="76"/>
      <c r="AN3244" s="76"/>
      <c r="AO3244" s="76"/>
      <c r="AP3244" s="76"/>
      <c r="AQ3244" s="76"/>
      <c r="AR3244" s="76"/>
      <c r="AS3244" s="76"/>
      <c r="AT3244" s="76"/>
      <c r="AU3244" s="76"/>
      <c r="AV3244" s="76"/>
      <c r="AW3244" s="76"/>
      <c r="AX3244" s="76">
        <f>+AW3244*600000</f>
        <v>0</v>
      </c>
      <c r="AY3244" s="76"/>
      <c r="AZ3244" s="76">
        <f>+AY3244*70000</f>
        <v>0</v>
      </c>
      <c r="BA3244" s="76"/>
      <c r="BB3244" s="76"/>
      <c r="BC3244" s="76"/>
      <c r="BD3244" s="76">
        <f>+BC3244*30000</f>
        <v>0</v>
      </c>
      <c r="BE3244" s="76"/>
      <c r="BF3244" s="76"/>
      <c r="BG3244" s="76"/>
      <c r="BH3244" s="76"/>
      <c r="BI3244" s="76"/>
      <c r="BJ3244" s="76"/>
      <c r="BK3244" s="76"/>
      <c r="BL3244" s="76">
        <f>+BK3244*31500</f>
        <v>0</v>
      </c>
      <c r="BM3244" s="76"/>
      <c r="BN3244" s="76"/>
      <c r="BO3244" s="76"/>
      <c r="BP3244" s="76"/>
      <c r="BQ3244" s="76"/>
      <c r="BR3244" s="76"/>
      <c r="BS3244" s="76"/>
      <c r="BT3244" s="76"/>
      <c r="BU3244" s="76"/>
      <c r="BV3244" s="76"/>
      <c r="BW3244" s="76"/>
      <c r="BX3244" s="76"/>
      <c r="BY3244" s="76"/>
      <c r="BZ3244" s="76"/>
      <c r="CA3244" s="76"/>
      <c r="CB3244" s="76"/>
      <c r="CC3244" s="76"/>
      <c r="CD3244" s="76"/>
      <c r="CE3244" s="76"/>
      <c r="CF3244" s="76">
        <f>+CE3244*28000</f>
        <v>0</v>
      </c>
      <c r="CG3244" s="76"/>
      <c r="CH3244" s="76">
        <f>+CG3244*22500</f>
        <v>0</v>
      </c>
      <c r="CI3244" s="76"/>
      <c r="CJ3244" s="76">
        <f>+CI3244*26000</f>
        <v>0</v>
      </c>
      <c r="CK3244" s="76"/>
      <c r="CL3244" s="76"/>
      <c r="CM3244" s="76"/>
      <c r="CN3244" s="76">
        <f>+CM3244*22000</f>
        <v>0</v>
      </c>
      <c r="CO3244" s="76"/>
      <c r="CP3244" s="76">
        <f>+CO3244*46000</f>
        <v>0</v>
      </c>
      <c r="CQ3244" s="76"/>
      <c r="CR3244" s="76">
        <f>+CQ3244*49000</f>
        <v>0</v>
      </c>
      <c r="CS3244" s="76"/>
      <c r="CT3244" s="76"/>
      <c r="CU3244" s="56">
        <f>AN3244+AP3244+AR3244+AT3244+AV3244+AX3244+AZ3244+BB3244+BD3244+BF3244+BH3244+BJ3244+BL3244+BN3244+BP3244+BR3244+BT3244+BV3244+BX3244+BZ3244+CB3244+CD3244+CF3244+CH3244+CJ3244+CL3244+CN3244+CP3244+CR3244+CT3244</f>
        <v>0</v>
      </c>
      <c r="CV3244" s="76"/>
      <c r="CW3244" s="76">
        <f>+CV3244*1100</f>
        <v>0</v>
      </c>
      <c r="CX3244" s="76"/>
      <c r="CY3244" s="76">
        <f>+CX3244*106250</f>
        <v>0</v>
      </c>
      <c r="CZ3244" s="76"/>
      <c r="DA3244" s="76">
        <f>+CZ3244*34500</f>
        <v>0</v>
      </c>
      <c r="DB3244" s="76"/>
      <c r="DC3244" s="76">
        <f>+DB3244*25000</f>
        <v>0</v>
      </c>
      <c r="DD3244" s="219"/>
      <c r="DE3244" s="219"/>
      <c r="DF3244" s="166"/>
      <c r="DG3244" s="116"/>
      <c r="DH3244" s="117"/>
      <c r="DI3244" s="24"/>
      <c r="DJ3244" s="24"/>
      <c r="DK3244" s="24"/>
      <c r="DL3244" s="24"/>
      <c r="DM3244" s="24"/>
      <c r="DN3244" s="24"/>
      <c r="DO3244" s="24"/>
      <c r="DP3244" s="24"/>
      <c r="DQ3244" s="24"/>
      <c r="DR3244" s="24"/>
      <c r="DS3244" s="24"/>
      <c r="DT3244" s="24"/>
      <c r="DU3244" s="24"/>
    </row>
    <row r="3245" spans="1:125" s="8" customFormat="1" ht="36" x14ac:dyDescent="0.2">
      <c r="A3245" s="77">
        <v>41547</v>
      </c>
      <c r="B3245" s="352" t="s">
        <v>2811</v>
      </c>
      <c r="C3245" s="354" t="s">
        <v>149</v>
      </c>
      <c r="D3245" s="354" t="s">
        <v>2846</v>
      </c>
      <c r="E3245" s="75" t="str">
        <f>VLOOKUP(B3245&amp;C3245,Divipola!$C$2:$F$1138,4,FALSE)</f>
        <v>52256</v>
      </c>
      <c r="F3245" s="87"/>
      <c r="G3245" s="87"/>
      <c r="H3245" s="87"/>
      <c r="I3245" s="87"/>
      <c r="J3245" s="87"/>
      <c r="K3245" s="87"/>
      <c r="L3245" s="87"/>
      <c r="M3245" s="87"/>
      <c r="N3245" s="87"/>
      <c r="O3245" s="87"/>
      <c r="P3245" s="87"/>
      <c r="Q3245" s="87"/>
      <c r="R3245" s="87"/>
      <c r="S3245" s="87"/>
      <c r="T3245" s="87"/>
      <c r="U3245" s="88">
        <v>12</v>
      </c>
      <c r="V3245" s="89"/>
      <c r="W3245" s="96">
        <v>0</v>
      </c>
      <c r="X3245" s="71">
        <f>CU3245</f>
        <v>0</v>
      </c>
      <c r="Y3245" s="71">
        <f>CY3245</f>
        <v>0</v>
      </c>
      <c r="Z3245" s="71">
        <f>DA3245+DC3245+DE3245</f>
        <v>0</v>
      </c>
      <c r="AA3245" s="71">
        <f>CW3245</f>
        <v>0</v>
      </c>
      <c r="AB3245" s="71"/>
      <c r="AC3245" s="71">
        <v>0</v>
      </c>
      <c r="AD3245" s="71">
        <f>W3245+X3245+Y3245+Z3245+AA3245+AB3245+AC3245</f>
        <v>0</v>
      </c>
      <c r="AE3245" s="72">
        <v>0</v>
      </c>
      <c r="AF3245" s="5"/>
      <c r="AG3245" s="6"/>
      <c r="AH3245" s="27"/>
      <c r="AI3245" s="44"/>
      <c r="AJ3245" s="26"/>
      <c r="AK3245" s="5"/>
      <c r="AL3245" s="9" t="s">
        <v>6181</v>
      </c>
      <c r="AM3245" s="76"/>
      <c r="AN3245" s="76"/>
      <c r="AO3245" s="76"/>
      <c r="AP3245" s="76"/>
      <c r="AQ3245" s="76"/>
      <c r="AR3245" s="76"/>
      <c r="AS3245" s="76"/>
      <c r="AT3245" s="76"/>
      <c r="AU3245" s="76"/>
      <c r="AV3245" s="76"/>
      <c r="AW3245" s="76"/>
      <c r="AX3245" s="76">
        <f>+AW3245*600000</f>
        <v>0</v>
      </c>
      <c r="AY3245" s="76"/>
      <c r="AZ3245" s="76">
        <f>+AY3245*70000</f>
        <v>0</v>
      </c>
      <c r="BA3245" s="76"/>
      <c r="BB3245" s="76"/>
      <c r="BC3245" s="76"/>
      <c r="BD3245" s="76">
        <f>+BC3245*30000</f>
        <v>0</v>
      </c>
      <c r="BE3245" s="76"/>
      <c r="BF3245" s="76"/>
      <c r="BG3245" s="76"/>
      <c r="BH3245" s="76"/>
      <c r="BI3245" s="76"/>
      <c r="BJ3245" s="76"/>
      <c r="BK3245" s="76"/>
      <c r="BL3245" s="76">
        <f>+BK3245*31500</f>
        <v>0</v>
      </c>
      <c r="BM3245" s="76"/>
      <c r="BN3245" s="76"/>
      <c r="BO3245" s="76"/>
      <c r="BP3245" s="76"/>
      <c r="BQ3245" s="76"/>
      <c r="BR3245" s="76"/>
      <c r="BS3245" s="76"/>
      <c r="BT3245" s="76"/>
      <c r="BU3245" s="76"/>
      <c r="BV3245" s="76"/>
      <c r="BW3245" s="76"/>
      <c r="BX3245" s="76"/>
      <c r="BY3245" s="76"/>
      <c r="BZ3245" s="76"/>
      <c r="CA3245" s="76"/>
      <c r="CB3245" s="76"/>
      <c r="CC3245" s="76"/>
      <c r="CD3245" s="76"/>
      <c r="CE3245" s="76"/>
      <c r="CF3245" s="76">
        <f>+CE3245*28000</f>
        <v>0</v>
      </c>
      <c r="CG3245" s="76"/>
      <c r="CH3245" s="76">
        <f>+CG3245*22500</f>
        <v>0</v>
      </c>
      <c r="CI3245" s="76"/>
      <c r="CJ3245" s="76">
        <f>+CI3245*26000</f>
        <v>0</v>
      </c>
      <c r="CK3245" s="76"/>
      <c r="CL3245" s="76"/>
      <c r="CM3245" s="76"/>
      <c r="CN3245" s="76">
        <f>+CM3245*22000</f>
        <v>0</v>
      </c>
      <c r="CO3245" s="76"/>
      <c r="CP3245" s="76">
        <f>+CO3245*46000</f>
        <v>0</v>
      </c>
      <c r="CQ3245" s="76"/>
      <c r="CR3245" s="76">
        <f>+CQ3245*49000</f>
        <v>0</v>
      </c>
      <c r="CS3245" s="76"/>
      <c r="CT3245" s="76"/>
      <c r="CU3245" s="56">
        <f>AN3245+AP3245+AR3245+AT3245+AV3245+AX3245+AZ3245+BB3245+BD3245+BF3245+BH3245+BJ3245+BL3245+BN3245+BP3245+BR3245+BT3245+BV3245+BX3245+BZ3245+CB3245+CD3245+CF3245+CH3245+CJ3245+CL3245+CN3245+CP3245+CR3245+CT3245</f>
        <v>0</v>
      </c>
      <c r="CV3245" s="76"/>
      <c r="CW3245" s="76">
        <f>+CV3245*1100</f>
        <v>0</v>
      </c>
      <c r="CX3245" s="76"/>
      <c r="CY3245" s="76">
        <f>+CX3245*106250</f>
        <v>0</v>
      </c>
      <c r="CZ3245" s="76"/>
      <c r="DA3245" s="76">
        <f>+CZ3245*34500</f>
        <v>0</v>
      </c>
      <c r="DB3245" s="76"/>
      <c r="DC3245" s="76">
        <f>+DB3245*25000</f>
        <v>0</v>
      </c>
      <c r="DD3245" s="219"/>
      <c r="DE3245" s="219"/>
      <c r="DF3245" s="166"/>
      <c r="DG3245" s="116"/>
      <c r="DH3245" s="117"/>
      <c r="DI3245" s="24"/>
      <c r="DJ3245" s="24"/>
      <c r="DK3245" s="24"/>
      <c r="DL3245" s="24"/>
      <c r="DM3245" s="24"/>
      <c r="DN3245" s="24"/>
      <c r="DO3245" s="24"/>
      <c r="DP3245" s="24"/>
      <c r="DQ3245" s="24"/>
      <c r="DR3245" s="24"/>
      <c r="DS3245" s="24"/>
      <c r="DT3245" s="24"/>
      <c r="DU3245" s="24"/>
    </row>
    <row r="3246" spans="1:125" s="8" customFormat="1" ht="72" x14ac:dyDescent="0.2">
      <c r="A3246" s="77">
        <v>41547</v>
      </c>
      <c r="B3246" s="78" t="s">
        <v>2880</v>
      </c>
      <c r="C3246" s="75" t="s">
        <v>2666</v>
      </c>
      <c r="D3246" s="75" t="s">
        <v>3051</v>
      </c>
      <c r="E3246" s="75" t="str">
        <f>VLOOKUP(B3246&amp;C3246,Divipola!$C$2:$F$1138,4,FALSE)</f>
        <v>54099</v>
      </c>
      <c r="F3246" s="61"/>
      <c r="G3246" s="61"/>
      <c r="H3246" s="61"/>
      <c r="I3246" s="61"/>
      <c r="J3246" s="61"/>
      <c r="K3246" s="61"/>
      <c r="L3246" s="61"/>
      <c r="M3246" s="61"/>
      <c r="N3246" s="61"/>
      <c r="O3246" s="61"/>
      <c r="P3246" s="61"/>
      <c r="Q3246" s="61"/>
      <c r="R3246" s="61"/>
      <c r="S3246" s="61"/>
      <c r="T3246" s="61"/>
      <c r="U3246" s="61"/>
      <c r="V3246" s="7"/>
      <c r="W3246" s="96">
        <v>0</v>
      </c>
      <c r="X3246" s="71">
        <f>CU3246</f>
        <v>0</v>
      </c>
      <c r="Y3246" s="71">
        <f>CY3246</f>
        <v>0</v>
      </c>
      <c r="Z3246" s="71">
        <f>DA3246+DC3246+DE3246</f>
        <v>0</v>
      </c>
      <c r="AA3246" s="71">
        <f>CW3246</f>
        <v>0</v>
      </c>
      <c r="AB3246" s="71"/>
      <c r="AC3246" s="71">
        <v>586279148</v>
      </c>
      <c r="AD3246" s="71">
        <f>W3246+X3246+Y3246+Z3246+AA3246+AB3246+AC3246</f>
        <v>586279148</v>
      </c>
      <c r="AE3246" s="72">
        <v>0</v>
      </c>
      <c r="AF3246" s="5"/>
      <c r="AG3246" s="6"/>
      <c r="AH3246" s="27"/>
      <c r="AI3246" s="44"/>
      <c r="AJ3246" s="26"/>
      <c r="AK3246" s="5"/>
      <c r="AL3246" s="9" t="s">
        <v>6169</v>
      </c>
      <c r="AM3246" s="76"/>
      <c r="AN3246" s="76"/>
      <c r="AO3246" s="76"/>
      <c r="AP3246" s="76"/>
      <c r="AQ3246" s="76"/>
      <c r="AR3246" s="76"/>
      <c r="AS3246" s="76"/>
      <c r="AT3246" s="76"/>
      <c r="AU3246" s="76"/>
      <c r="AV3246" s="76"/>
      <c r="AW3246" s="76"/>
      <c r="AX3246" s="76">
        <f>+AW3246*600000</f>
        <v>0</v>
      </c>
      <c r="AY3246" s="76"/>
      <c r="AZ3246" s="76">
        <f>+AY3246*70000</f>
        <v>0</v>
      </c>
      <c r="BA3246" s="76"/>
      <c r="BB3246" s="76"/>
      <c r="BC3246" s="76"/>
      <c r="BD3246" s="76">
        <f>+BC3246*30000</f>
        <v>0</v>
      </c>
      <c r="BE3246" s="76"/>
      <c r="BF3246" s="76"/>
      <c r="BG3246" s="76"/>
      <c r="BH3246" s="76"/>
      <c r="BI3246" s="76"/>
      <c r="BJ3246" s="76"/>
      <c r="BK3246" s="76"/>
      <c r="BL3246" s="76">
        <f>+BK3246*31500</f>
        <v>0</v>
      </c>
      <c r="BM3246" s="76"/>
      <c r="BN3246" s="76"/>
      <c r="BO3246" s="76"/>
      <c r="BP3246" s="76"/>
      <c r="BQ3246" s="76"/>
      <c r="BR3246" s="76"/>
      <c r="BS3246" s="76"/>
      <c r="BT3246" s="76"/>
      <c r="BU3246" s="76"/>
      <c r="BV3246" s="76"/>
      <c r="BW3246" s="76"/>
      <c r="BX3246" s="76"/>
      <c r="BY3246" s="76"/>
      <c r="BZ3246" s="76"/>
      <c r="CA3246" s="76"/>
      <c r="CB3246" s="76"/>
      <c r="CC3246" s="76"/>
      <c r="CD3246" s="76"/>
      <c r="CE3246" s="76"/>
      <c r="CF3246" s="76">
        <f>+CE3246*28000</f>
        <v>0</v>
      </c>
      <c r="CG3246" s="76"/>
      <c r="CH3246" s="76">
        <f>+CG3246*22500</f>
        <v>0</v>
      </c>
      <c r="CI3246" s="76"/>
      <c r="CJ3246" s="76">
        <f>+CI3246*26000</f>
        <v>0</v>
      </c>
      <c r="CK3246" s="76"/>
      <c r="CL3246" s="76"/>
      <c r="CM3246" s="76"/>
      <c r="CN3246" s="76">
        <f>+CM3246*22000</f>
        <v>0</v>
      </c>
      <c r="CO3246" s="76"/>
      <c r="CP3246" s="76">
        <f>+CO3246*46000</f>
        <v>0</v>
      </c>
      <c r="CQ3246" s="76"/>
      <c r="CR3246" s="76">
        <f>+CQ3246*49000</f>
        <v>0</v>
      </c>
      <c r="CS3246" s="76"/>
      <c r="CT3246" s="76"/>
      <c r="CU3246" s="56">
        <f>AN3246+AP3246+AR3246+AT3246+AV3246+AX3246+AZ3246+BB3246+BD3246+BF3246+BH3246+BJ3246+BL3246+BN3246+BP3246+BR3246+BT3246+BV3246+BX3246+BZ3246+CB3246+CD3246+CF3246+CH3246+CJ3246+CL3246+CN3246+CP3246+CR3246+CT3246</f>
        <v>0</v>
      </c>
      <c r="CV3246" s="76"/>
      <c r="CW3246" s="76">
        <f>+CV3246*1100</f>
        <v>0</v>
      </c>
      <c r="CX3246" s="76"/>
      <c r="CY3246" s="76">
        <f>+CX3246*106250</f>
        <v>0</v>
      </c>
      <c r="CZ3246" s="76"/>
      <c r="DA3246" s="76">
        <f>+CZ3246*34500</f>
        <v>0</v>
      </c>
      <c r="DB3246" s="76"/>
      <c r="DC3246" s="76">
        <f>+DB3246*25000</f>
        <v>0</v>
      </c>
      <c r="DD3246" s="219"/>
      <c r="DE3246" s="219"/>
      <c r="DF3246" s="166"/>
      <c r="DG3246" s="116"/>
      <c r="DH3246" s="117"/>
      <c r="DI3246" s="24"/>
      <c r="DJ3246" s="24"/>
      <c r="DK3246" s="24"/>
      <c r="DL3246" s="24"/>
      <c r="DM3246" s="24"/>
      <c r="DN3246" s="24"/>
      <c r="DO3246" s="24"/>
      <c r="DP3246" s="24"/>
      <c r="DQ3246" s="24"/>
      <c r="DR3246" s="24"/>
      <c r="DS3246" s="24"/>
      <c r="DT3246" s="24"/>
      <c r="DU3246" s="24"/>
    </row>
    <row r="3247" spans="1:125" s="8" customFormat="1" ht="48" x14ac:dyDescent="0.2">
      <c r="A3247" s="77">
        <v>41547</v>
      </c>
      <c r="B3247" s="208" t="s">
        <v>2880</v>
      </c>
      <c r="C3247" s="354" t="s">
        <v>1356</v>
      </c>
      <c r="D3247" s="354" t="s">
        <v>2846</v>
      </c>
      <c r="E3247" s="75" t="str">
        <f>VLOOKUP(B3247&amp;C3247,Divipola!$C$2:$F$1138,4,FALSE)</f>
        <v>54261</v>
      </c>
      <c r="F3247" s="87"/>
      <c r="G3247" s="87"/>
      <c r="H3247" s="87"/>
      <c r="I3247" s="87"/>
      <c r="J3247" s="87"/>
      <c r="K3247" s="87"/>
      <c r="L3247" s="87"/>
      <c r="M3247" s="87"/>
      <c r="N3247" s="87"/>
      <c r="O3247" s="87"/>
      <c r="P3247" s="87"/>
      <c r="Q3247" s="87"/>
      <c r="R3247" s="87"/>
      <c r="S3247" s="87"/>
      <c r="T3247" s="87"/>
      <c r="U3247" s="88">
        <v>5</v>
      </c>
      <c r="V3247" s="89"/>
      <c r="W3247" s="96">
        <v>0</v>
      </c>
      <c r="X3247" s="71">
        <f>CU3247</f>
        <v>0</v>
      </c>
      <c r="Y3247" s="71">
        <f>CY3247</f>
        <v>0</v>
      </c>
      <c r="Z3247" s="71">
        <f>DA3247+DC3247+DE3247</f>
        <v>0</v>
      </c>
      <c r="AA3247" s="71">
        <f>CW3247</f>
        <v>0</v>
      </c>
      <c r="AB3247" s="71"/>
      <c r="AC3247" s="71">
        <v>0</v>
      </c>
      <c r="AD3247" s="71">
        <f>W3247+X3247+Y3247+Z3247+AA3247+AB3247+AC3247</f>
        <v>0</v>
      </c>
      <c r="AE3247" s="72">
        <v>0</v>
      </c>
      <c r="AF3247" s="5"/>
      <c r="AG3247" s="6"/>
      <c r="AH3247" s="27"/>
      <c r="AI3247" s="44"/>
      <c r="AJ3247" s="26"/>
      <c r="AK3247" s="5"/>
      <c r="AL3247" s="9" t="s">
        <v>6177</v>
      </c>
      <c r="AM3247" s="76"/>
      <c r="AN3247" s="76"/>
      <c r="AO3247" s="76"/>
      <c r="AP3247" s="76"/>
      <c r="AQ3247" s="76"/>
      <c r="AR3247" s="76"/>
      <c r="AS3247" s="76"/>
      <c r="AT3247" s="76"/>
      <c r="AU3247" s="76"/>
      <c r="AV3247" s="76"/>
      <c r="AW3247" s="76"/>
      <c r="AX3247" s="76">
        <f>+AW3247*600000</f>
        <v>0</v>
      </c>
      <c r="AY3247" s="76"/>
      <c r="AZ3247" s="76">
        <f>+AY3247*70000</f>
        <v>0</v>
      </c>
      <c r="BA3247" s="76"/>
      <c r="BB3247" s="76"/>
      <c r="BC3247" s="76"/>
      <c r="BD3247" s="76">
        <f>+BC3247*30000</f>
        <v>0</v>
      </c>
      <c r="BE3247" s="76"/>
      <c r="BF3247" s="76"/>
      <c r="BG3247" s="76"/>
      <c r="BH3247" s="76"/>
      <c r="BI3247" s="76"/>
      <c r="BJ3247" s="76"/>
      <c r="BK3247" s="76"/>
      <c r="BL3247" s="76">
        <f>+BK3247*31500</f>
        <v>0</v>
      </c>
      <c r="BM3247" s="76"/>
      <c r="BN3247" s="76"/>
      <c r="BO3247" s="76"/>
      <c r="BP3247" s="76"/>
      <c r="BQ3247" s="76"/>
      <c r="BR3247" s="76"/>
      <c r="BS3247" s="76"/>
      <c r="BT3247" s="76"/>
      <c r="BU3247" s="76"/>
      <c r="BV3247" s="76"/>
      <c r="BW3247" s="76"/>
      <c r="BX3247" s="76"/>
      <c r="BY3247" s="76"/>
      <c r="BZ3247" s="76"/>
      <c r="CA3247" s="76"/>
      <c r="CB3247" s="76"/>
      <c r="CC3247" s="76"/>
      <c r="CD3247" s="76"/>
      <c r="CE3247" s="76"/>
      <c r="CF3247" s="76">
        <f>+CE3247*28000</f>
        <v>0</v>
      </c>
      <c r="CG3247" s="76"/>
      <c r="CH3247" s="76">
        <f>+CG3247*22500</f>
        <v>0</v>
      </c>
      <c r="CI3247" s="76"/>
      <c r="CJ3247" s="76">
        <f>+CI3247*26000</f>
        <v>0</v>
      </c>
      <c r="CK3247" s="76"/>
      <c r="CL3247" s="76"/>
      <c r="CM3247" s="76"/>
      <c r="CN3247" s="76">
        <f>+CM3247*22000</f>
        <v>0</v>
      </c>
      <c r="CO3247" s="76"/>
      <c r="CP3247" s="76">
        <f>+CO3247*46000</f>
        <v>0</v>
      </c>
      <c r="CQ3247" s="76"/>
      <c r="CR3247" s="76">
        <f>+CQ3247*49000</f>
        <v>0</v>
      </c>
      <c r="CS3247" s="76"/>
      <c r="CT3247" s="76"/>
      <c r="CU3247" s="56">
        <f>AN3247+AP3247+AR3247+AT3247+AV3247+AX3247+AZ3247+BB3247+BD3247+BF3247+BH3247+BJ3247+BL3247+BN3247+BP3247+BR3247+BT3247+BV3247+BX3247+BZ3247+CB3247+CD3247+CF3247+CH3247+CJ3247+CL3247+CN3247+CP3247+CR3247+CT3247</f>
        <v>0</v>
      </c>
      <c r="CV3247" s="76"/>
      <c r="CW3247" s="76">
        <f>+CV3247*1100</f>
        <v>0</v>
      </c>
      <c r="CX3247" s="76"/>
      <c r="CY3247" s="76">
        <f>+CX3247*106250</f>
        <v>0</v>
      </c>
      <c r="CZ3247" s="76"/>
      <c r="DA3247" s="76">
        <f>+CZ3247*34500</f>
        <v>0</v>
      </c>
      <c r="DB3247" s="76"/>
      <c r="DC3247" s="76">
        <f>+DB3247*25000</f>
        <v>0</v>
      </c>
      <c r="DD3247" s="219"/>
      <c r="DE3247" s="219"/>
      <c r="DF3247" s="166"/>
      <c r="DG3247" s="116"/>
      <c r="DH3247" s="117"/>
      <c r="DI3247" s="24"/>
      <c r="DJ3247" s="24"/>
      <c r="DK3247" s="24"/>
      <c r="DL3247" s="24"/>
      <c r="DM3247" s="24"/>
      <c r="DN3247" s="24"/>
      <c r="DO3247" s="24"/>
      <c r="DP3247" s="24"/>
      <c r="DQ3247" s="24"/>
      <c r="DR3247" s="24"/>
      <c r="DS3247" s="24"/>
      <c r="DT3247" s="24"/>
      <c r="DU3247" s="24"/>
    </row>
    <row r="3248" spans="1:125" s="8" customFormat="1" ht="72" x14ac:dyDescent="0.2">
      <c r="A3248" s="77">
        <v>41547</v>
      </c>
      <c r="B3248" s="78" t="s">
        <v>2774</v>
      </c>
      <c r="C3248" s="75" t="s">
        <v>1370</v>
      </c>
      <c r="D3248" s="75" t="s">
        <v>2882</v>
      </c>
      <c r="E3248" s="75" t="str">
        <f>VLOOKUP(B3248&amp;C3248,Divipola!$C$2:$F$1138,4,FALSE)</f>
        <v>66594</v>
      </c>
      <c r="F3248" s="87"/>
      <c r="G3248" s="87"/>
      <c r="H3248" s="87"/>
      <c r="I3248" s="87">
        <v>18</v>
      </c>
      <c r="J3248" s="87">
        <v>4</v>
      </c>
      <c r="K3248" s="87"/>
      <c r="L3248" s="87">
        <v>4</v>
      </c>
      <c r="M3248" s="87"/>
      <c r="N3248" s="87"/>
      <c r="O3248" s="87"/>
      <c r="P3248" s="87"/>
      <c r="Q3248" s="87"/>
      <c r="R3248" s="87"/>
      <c r="S3248" s="87"/>
      <c r="T3248" s="87"/>
      <c r="U3248" s="88"/>
      <c r="V3248" s="89"/>
      <c r="W3248" s="96">
        <v>0</v>
      </c>
      <c r="X3248" s="71">
        <f>CU3248</f>
        <v>0</v>
      </c>
      <c r="Y3248" s="71">
        <f>CY3248</f>
        <v>0</v>
      </c>
      <c r="Z3248" s="71">
        <f>DA3248+DC3248+DE3248</f>
        <v>0</v>
      </c>
      <c r="AA3248" s="71">
        <f>CW3248</f>
        <v>0</v>
      </c>
      <c r="AB3248" s="71"/>
      <c r="AC3248" s="71">
        <v>0</v>
      </c>
      <c r="AD3248" s="71">
        <f>W3248+X3248+Y3248+Z3248+AA3248+AB3248+AC3248</f>
        <v>0</v>
      </c>
      <c r="AE3248" s="72">
        <v>0</v>
      </c>
      <c r="AF3248" s="5"/>
      <c r="AG3248" s="6"/>
      <c r="AH3248" s="27"/>
      <c r="AI3248" s="44"/>
      <c r="AJ3248" s="26"/>
      <c r="AK3248" s="5"/>
      <c r="AL3248" s="332" t="s">
        <v>6213</v>
      </c>
      <c r="AM3248" s="76"/>
      <c r="AN3248" s="76"/>
      <c r="AO3248" s="76"/>
      <c r="AP3248" s="76"/>
      <c r="AQ3248" s="76"/>
      <c r="AR3248" s="76"/>
      <c r="AS3248" s="76"/>
      <c r="AT3248" s="76"/>
      <c r="AU3248" s="76"/>
      <c r="AV3248" s="76"/>
      <c r="AW3248" s="76"/>
      <c r="AX3248" s="76">
        <f>+AW3248*600000</f>
        <v>0</v>
      </c>
      <c r="AY3248" s="76"/>
      <c r="AZ3248" s="76">
        <f>+AY3248*70000</f>
        <v>0</v>
      </c>
      <c r="BA3248" s="76"/>
      <c r="BB3248" s="76"/>
      <c r="BC3248" s="76"/>
      <c r="BD3248" s="76">
        <f>+BC3248*30000</f>
        <v>0</v>
      </c>
      <c r="BE3248" s="76"/>
      <c r="BF3248" s="76"/>
      <c r="BG3248" s="76"/>
      <c r="BH3248" s="76"/>
      <c r="BI3248" s="76"/>
      <c r="BJ3248" s="76"/>
      <c r="BK3248" s="76"/>
      <c r="BL3248" s="76">
        <f>+BK3248*31500</f>
        <v>0</v>
      </c>
      <c r="BM3248" s="76"/>
      <c r="BN3248" s="76"/>
      <c r="BO3248" s="76"/>
      <c r="BP3248" s="76"/>
      <c r="BQ3248" s="76"/>
      <c r="BR3248" s="76"/>
      <c r="BS3248" s="76"/>
      <c r="BT3248" s="76"/>
      <c r="BU3248" s="76"/>
      <c r="BV3248" s="76"/>
      <c r="BW3248" s="76"/>
      <c r="BX3248" s="76"/>
      <c r="BY3248" s="76"/>
      <c r="BZ3248" s="76"/>
      <c r="CA3248" s="76"/>
      <c r="CB3248" s="76"/>
      <c r="CC3248" s="76"/>
      <c r="CD3248" s="76"/>
      <c r="CE3248" s="76"/>
      <c r="CF3248" s="76">
        <f>+CE3248*28000</f>
        <v>0</v>
      </c>
      <c r="CG3248" s="76"/>
      <c r="CH3248" s="76">
        <f>+CG3248*22500</f>
        <v>0</v>
      </c>
      <c r="CI3248" s="76"/>
      <c r="CJ3248" s="76">
        <f>+CI3248*26000</f>
        <v>0</v>
      </c>
      <c r="CK3248" s="76"/>
      <c r="CL3248" s="76"/>
      <c r="CM3248" s="76"/>
      <c r="CN3248" s="76">
        <f>+CM3248*22000</f>
        <v>0</v>
      </c>
      <c r="CO3248" s="76"/>
      <c r="CP3248" s="76">
        <f>+CO3248*46000</f>
        <v>0</v>
      </c>
      <c r="CQ3248" s="76"/>
      <c r="CR3248" s="76">
        <f>+CQ3248*49000</f>
        <v>0</v>
      </c>
      <c r="CS3248" s="76"/>
      <c r="CT3248" s="76"/>
      <c r="CU3248" s="56">
        <f>AN3248+AP3248+AR3248+AT3248+AV3248+AX3248+AZ3248+BB3248+BD3248+BF3248+BH3248+BJ3248+BL3248+BN3248+BP3248+BR3248+BT3248+BV3248+BX3248+BZ3248+CB3248+CD3248+CF3248+CH3248+CJ3248+CL3248+CN3248+CP3248+CR3248+CT3248</f>
        <v>0</v>
      </c>
      <c r="CV3248" s="76"/>
      <c r="CW3248" s="76">
        <f>+CV3248*1100</f>
        <v>0</v>
      </c>
      <c r="CX3248" s="76"/>
      <c r="CY3248" s="76">
        <f>+CX3248*106250</f>
        <v>0</v>
      </c>
      <c r="CZ3248" s="76"/>
      <c r="DA3248" s="76">
        <f>+CZ3248*34500</f>
        <v>0</v>
      </c>
      <c r="DB3248" s="76"/>
      <c r="DC3248" s="76">
        <f>+DB3248*25000</f>
        <v>0</v>
      </c>
      <c r="DD3248" s="219"/>
      <c r="DE3248" s="219"/>
      <c r="DF3248" s="166"/>
      <c r="DG3248" s="116"/>
      <c r="DH3248" s="117"/>
      <c r="DI3248" s="24"/>
      <c r="DJ3248" s="24"/>
      <c r="DK3248" s="24"/>
      <c r="DL3248" s="24"/>
      <c r="DM3248" s="24"/>
      <c r="DN3248" s="24"/>
      <c r="DO3248" s="24"/>
      <c r="DP3248" s="24"/>
      <c r="DQ3248" s="24"/>
      <c r="DR3248" s="24"/>
      <c r="DS3248" s="24"/>
      <c r="DT3248" s="24"/>
      <c r="DU3248" s="24"/>
    </row>
    <row r="3249" spans="1:125" s="8" customFormat="1" ht="108" x14ac:dyDescent="0.2">
      <c r="A3249" s="77">
        <v>41547</v>
      </c>
      <c r="B3249" s="78" t="s">
        <v>2847</v>
      </c>
      <c r="C3249" s="75" t="s">
        <v>2673</v>
      </c>
      <c r="D3249" s="75" t="s">
        <v>2859</v>
      </c>
      <c r="E3249" s="296" t="str">
        <f>VLOOKUP(B3249&amp;C3249,Divipola!$C$2:$F$1138,4,FALSE)</f>
        <v>68001</v>
      </c>
      <c r="F3249" s="87"/>
      <c r="G3249" s="87"/>
      <c r="H3249" s="87"/>
      <c r="I3249" s="87">
        <v>5</v>
      </c>
      <c r="J3249" s="87">
        <v>1</v>
      </c>
      <c r="K3249" s="87">
        <v>1</v>
      </c>
      <c r="L3249" s="87"/>
      <c r="M3249" s="87"/>
      <c r="N3249" s="87"/>
      <c r="O3249" s="87"/>
      <c r="P3249" s="87"/>
      <c r="Q3249" s="87"/>
      <c r="R3249" s="87"/>
      <c r="S3249" s="87"/>
      <c r="T3249" s="87"/>
      <c r="U3249" s="88"/>
      <c r="V3249" s="89"/>
      <c r="W3249" s="96">
        <v>0</v>
      </c>
      <c r="X3249" s="71">
        <f>CU3249</f>
        <v>0</v>
      </c>
      <c r="Y3249" s="71">
        <f>CY3249</f>
        <v>0</v>
      </c>
      <c r="Z3249" s="71">
        <f>DA3249+DC3249+DE3249</f>
        <v>0</v>
      </c>
      <c r="AA3249" s="71">
        <f>CW3249</f>
        <v>0</v>
      </c>
      <c r="AB3249" s="71"/>
      <c r="AC3249" s="71">
        <v>0</v>
      </c>
      <c r="AD3249" s="71">
        <f>W3249+X3249+Y3249+Z3249+AA3249+AB3249+AC3249</f>
        <v>0</v>
      </c>
      <c r="AE3249" s="72">
        <v>0</v>
      </c>
      <c r="AF3249" s="5"/>
      <c r="AG3249" s="6"/>
      <c r="AH3249" s="27"/>
      <c r="AI3249" s="44"/>
      <c r="AJ3249" s="26"/>
      <c r="AK3249" s="5"/>
      <c r="AL3249" s="326" t="s">
        <v>6164</v>
      </c>
      <c r="AM3249" s="76"/>
      <c r="AN3249" s="76"/>
      <c r="AO3249" s="76"/>
      <c r="AP3249" s="76"/>
      <c r="AQ3249" s="76"/>
      <c r="AR3249" s="76"/>
      <c r="AS3249" s="76"/>
      <c r="AT3249" s="76"/>
      <c r="AU3249" s="76"/>
      <c r="AV3249" s="76"/>
      <c r="AW3249" s="76"/>
      <c r="AX3249" s="76">
        <f>+AW3249*600000</f>
        <v>0</v>
      </c>
      <c r="AY3249" s="76"/>
      <c r="AZ3249" s="76">
        <f>+AY3249*70000</f>
        <v>0</v>
      </c>
      <c r="BA3249" s="76"/>
      <c r="BB3249" s="76"/>
      <c r="BC3249" s="76"/>
      <c r="BD3249" s="76">
        <f>+BC3249*30000</f>
        <v>0</v>
      </c>
      <c r="BE3249" s="76"/>
      <c r="BF3249" s="76"/>
      <c r="BG3249" s="76"/>
      <c r="BH3249" s="76"/>
      <c r="BI3249" s="76"/>
      <c r="BJ3249" s="76"/>
      <c r="BK3249" s="76"/>
      <c r="BL3249" s="76">
        <f>+BK3249*31500</f>
        <v>0</v>
      </c>
      <c r="BM3249" s="76"/>
      <c r="BN3249" s="76"/>
      <c r="BO3249" s="76"/>
      <c r="BP3249" s="76"/>
      <c r="BQ3249" s="76"/>
      <c r="BR3249" s="76"/>
      <c r="BS3249" s="76"/>
      <c r="BT3249" s="76"/>
      <c r="BU3249" s="76"/>
      <c r="BV3249" s="76"/>
      <c r="BW3249" s="76"/>
      <c r="BX3249" s="76"/>
      <c r="BY3249" s="76"/>
      <c r="BZ3249" s="76"/>
      <c r="CA3249" s="76"/>
      <c r="CB3249" s="76"/>
      <c r="CC3249" s="76"/>
      <c r="CD3249" s="76"/>
      <c r="CE3249" s="76"/>
      <c r="CF3249" s="76">
        <f>+CE3249*28000</f>
        <v>0</v>
      </c>
      <c r="CG3249" s="76"/>
      <c r="CH3249" s="76">
        <f>+CG3249*22500</f>
        <v>0</v>
      </c>
      <c r="CI3249" s="76"/>
      <c r="CJ3249" s="76">
        <f>+CI3249*26000</f>
        <v>0</v>
      </c>
      <c r="CK3249" s="76"/>
      <c r="CL3249" s="76"/>
      <c r="CM3249" s="76"/>
      <c r="CN3249" s="76">
        <f>+CM3249*22000</f>
        <v>0</v>
      </c>
      <c r="CO3249" s="76"/>
      <c r="CP3249" s="76">
        <f>+CO3249*46000</f>
        <v>0</v>
      </c>
      <c r="CQ3249" s="76"/>
      <c r="CR3249" s="76">
        <f>+CQ3249*49000</f>
        <v>0</v>
      </c>
      <c r="CS3249" s="76"/>
      <c r="CT3249" s="76"/>
      <c r="CU3249" s="56">
        <f>AN3249+AP3249+AR3249+AT3249+AV3249+AX3249+AZ3249+BB3249+BD3249+BF3249+BH3249+BJ3249+BL3249+BN3249+BP3249+BR3249+BT3249+BV3249+BX3249+BZ3249+CB3249+CD3249+CF3249+CH3249+CJ3249+CL3249+CN3249+CP3249+CR3249+CT3249</f>
        <v>0</v>
      </c>
      <c r="CV3249" s="76"/>
      <c r="CW3249" s="76">
        <f>+CV3249*1100</f>
        <v>0</v>
      </c>
      <c r="CX3249" s="76"/>
      <c r="CY3249" s="76">
        <f>+CX3249*106250</f>
        <v>0</v>
      </c>
      <c r="CZ3249" s="76"/>
      <c r="DA3249" s="76">
        <f>+CZ3249*34500</f>
        <v>0</v>
      </c>
      <c r="DB3249" s="76"/>
      <c r="DC3249" s="76">
        <f>+DB3249*25000</f>
        <v>0</v>
      </c>
      <c r="DD3249" s="219"/>
      <c r="DE3249" s="219"/>
      <c r="DF3249" s="166"/>
      <c r="DG3249" s="116"/>
      <c r="DH3249" s="117"/>
      <c r="DI3249" s="24"/>
      <c r="DJ3249" s="24"/>
      <c r="DK3249" s="24"/>
      <c r="DL3249" s="24"/>
      <c r="DM3249" s="24"/>
      <c r="DN3249" s="24"/>
      <c r="DO3249" s="24"/>
      <c r="DP3249" s="24"/>
      <c r="DQ3249" s="24"/>
      <c r="DR3249" s="24"/>
      <c r="DS3249" s="24"/>
      <c r="DT3249" s="24"/>
      <c r="DU3249" s="24"/>
    </row>
    <row r="3250" spans="1:125" s="8" customFormat="1" ht="36" x14ac:dyDescent="0.2">
      <c r="A3250" s="77">
        <v>41547</v>
      </c>
      <c r="B3250" s="208" t="s">
        <v>2848</v>
      </c>
      <c r="C3250" s="354" t="s">
        <v>1872</v>
      </c>
      <c r="D3250" s="354" t="s">
        <v>2849</v>
      </c>
      <c r="E3250" s="75" t="str">
        <f>VLOOKUP(B3250&amp;C3250,Divipola!$C$2:$F$1138,4,FALSE)</f>
        <v>73268</v>
      </c>
      <c r="F3250" s="87">
        <v>2</v>
      </c>
      <c r="G3250" s="87">
        <v>3</v>
      </c>
      <c r="H3250" s="87"/>
      <c r="I3250" s="87">
        <v>5</v>
      </c>
      <c r="J3250" s="87"/>
      <c r="K3250" s="87"/>
      <c r="L3250" s="87"/>
      <c r="M3250" s="87"/>
      <c r="N3250" s="87"/>
      <c r="O3250" s="87"/>
      <c r="P3250" s="87"/>
      <c r="Q3250" s="87"/>
      <c r="R3250" s="87"/>
      <c r="S3250" s="87"/>
      <c r="T3250" s="87"/>
      <c r="U3250" s="88"/>
      <c r="V3250" s="89"/>
      <c r="W3250" s="96">
        <v>0</v>
      </c>
      <c r="X3250" s="71">
        <f>CU3250</f>
        <v>0</v>
      </c>
      <c r="Y3250" s="71">
        <f>CY3250</f>
        <v>0</v>
      </c>
      <c r="Z3250" s="71">
        <f>DA3250+DC3250+DE3250</f>
        <v>0</v>
      </c>
      <c r="AA3250" s="71">
        <f>CW3250</f>
        <v>0</v>
      </c>
      <c r="AB3250" s="71"/>
      <c r="AC3250" s="71">
        <v>0</v>
      </c>
      <c r="AD3250" s="71">
        <f>W3250+X3250+Y3250+Z3250+AA3250+AB3250+AC3250</f>
        <v>0</v>
      </c>
      <c r="AE3250" s="72">
        <v>0</v>
      </c>
      <c r="AF3250" s="5"/>
      <c r="AG3250" s="6"/>
      <c r="AH3250" s="27"/>
      <c r="AI3250" s="44"/>
      <c r="AJ3250" s="26"/>
      <c r="AK3250" s="5"/>
      <c r="AL3250" s="9" t="s">
        <v>6176</v>
      </c>
      <c r="AM3250" s="76"/>
      <c r="AN3250" s="76"/>
      <c r="AO3250" s="76"/>
      <c r="AP3250" s="76"/>
      <c r="AQ3250" s="76"/>
      <c r="AR3250" s="76"/>
      <c r="AS3250" s="76"/>
      <c r="AT3250" s="76"/>
      <c r="AU3250" s="76"/>
      <c r="AV3250" s="76"/>
      <c r="AW3250" s="76"/>
      <c r="AX3250" s="76">
        <f>+AW3250*600000</f>
        <v>0</v>
      </c>
      <c r="AY3250" s="76"/>
      <c r="AZ3250" s="76">
        <f>+AY3250*70000</f>
        <v>0</v>
      </c>
      <c r="BA3250" s="76"/>
      <c r="BB3250" s="76"/>
      <c r="BC3250" s="76"/>
      <c r="BD3250" s="76">
        <f>+BC3250*30000</f>
        <v>0</v>
      </c>
      <c r="BE3250" s="76"/>
      <c r="BF3250" s="76"/>
      <c r="BG3250" s="76"/>
      <c r="BH3250" s="76"/>
      <c r="BI3250" s="76"/>
      <c r="BJ3250" s="76"/>
      <c r="BK3250" s="76"/>
      <c r="BL3250" s="76">
        <f>+BK3250*31500</f>
        <v>0</v>
      </c>
      <c r="BM3250" s="76"/>
      <c r="BN3250" s="76"/>
      <c r="BO3250" s="76"/>
      <c r="BP3250" s="76"/>
      <c r="BQ3250" s="76"/>
      <c r="BR3250" s="76"/>
      <c r="BS3250" s="76"/>
      <c r="BT3250" s="76"/>
      <c r="BU3250" s="76"/>
      <c r="BV3250" s="76"/>
      <c r="BW3250" s="76"/>
      <c r="BX3250" s="76"/>
      <c r="BY3250" s="76"/>
      <c r="BZ3250" s="76"/>
      <c r="CA3250" s="76"/>
      <c r="CB3250" s="76"/>
      <c r="CC3250" s="76"/>
      <c r="CD3250" s="76"/>
      <c r="CE3250" s="76"/>
      <c r="CF3250" s="76">
        <f>+CE3250*28000</f>
        <v>0</v>
      </c>
      <c r="CG3250" s="76"/>
      <c r="CH3250" s="76">
        <f>+CG3250*22500</f>
        <v>0</v>
      </c>
      <c r="CI3250" s="76"/>
      <c r="CJ3250" s="76">
        <f>+CI3250*26000</f>
        <v>0</v>
      </c>
      <c r="CK3250" s="76"/>
      <c r="CL3250" s="76"/>
      <c r="CM3250" s="76"/>
      <c r="CN3250" s="76">
        <f>+CM3250*22000</f>
        <v>0</v>
      </c>
      <c r="CO3250" s="76"/>
      <c r="CP3250" s="76">
        <f>+CO3250*46000</f>
        <v>0</v>
      </c>
      <c r="CQ3250" s="76"/>
      <c r="CR3250" s="76">
        <f>+CQ3250*49000</f>
        <v>0</v>
      </c>
      <c r="CS3250" s="76"/>
      <c r="CT3250" s="76"/>
      <c r="CU3250" s="56">
        <f>AN3250+AP3250+AR3250+AT3250+AV3250+AX3250+AZ3250+BB3250+BD3250+BF3250+BH3250+BJ3250+BL3250+BN3250+BP3250+BR3250+BT3250+BV3250+BX3250+BZ3250+CB3250+CD3250+CF3250+CH3250+CJ3250+CL3250+CN3250+CP3250+CR3250+CT3250</f>
        <v>0</v>
      </c>
      <c r="CV3250" s="76"/>
      <c r="CW3250" s="76">
        <f>+CV3250*1100</f>
        <v>0</v>
      </c>
      <c r="CX3250" s="76"/>
      <c r="CY3250" s="76">
        <f>+CX3250*106250</f>
        <v>0</v>
      </c>
      <c r="CZ3250" s="76"/>
      <c r="DA3250" s="76">
        <f>+CZ3250*34500</f>
        <v>0</v>
      </c>
      <c r="DB3250" s="76"/>
      <c r="DC3250" s="76">
        <f>+DB3250*25000</f>
        <v>0</v>
      </c>
      <c r="DD3250" s="219"/>
      <c r="DE3250" s="219"/>
      <c r="DF3250" s="166"/>
      <c r="DG3250" s="116"/>
      <c r="DH3250" s="117"/>
      <c r="DI3250" s="24"/>
      <c r="DJ3250" s="24"/>
      <c r="DK3250" s="24"/>
      <c r="DL3250" s="24"/>
      <c r="DM3250" s="24"/>
      <c r="DN3250" s="24"/>
      <c r="DO3250" s="24"/>
      <c r="DP3250" s="24"/>
      <c r="DQ3250" s="24"/>
      <c r="DR3250" s="24"/>
      <c r="DS3250" s="24"/>
      <c r="DT3250" s="24"/>
      <c r="DU3250" s="24"/>
    </row>
    <row r="3251" spans="1:125" s="8" customFormat="1" ht="72" x14ac:dyDescent="0.2">
      <c r="A3251" s="77">
        <v>41547</v>
      </c>
      <c r="B3251" s="78" t="s">
        <v>2848</v>
      </c>
      <c r="C3251" s="83" t="s">
        <v>1384</v>
      </c>
      <c r="D3251" s="75" t="s">
        <v>2846</v>
      </c>
      <c r="E3251" s="296" t="str">
        <f>VLOOKUP(B3251&amp;C3251,Divipola!$C$2:$F$1138,4,FALSE)</f>
        <v>73678</v>
      </c>
      <c r="F3251" s="93"/>
      <c r="G3251" s="93"/>
      <c r="H3251" s="93"/>
      <c r="I3251" s="93"/>
      <c r="J3251" s="93"/>
      <c r="K3251" s="93"/>
      <c r="L3251" s="93"/>
      <c r="M3251" s="93"/>
      <c r="N3251" s="93"/>
      <c r="O3251" s="93"/>
      <c r="P3251" s="93"/>
      <c r="Q3251" s="93"/>
      <c r="R3251" s="93"/>
      <c r="S3251" s="93"/>
      <c r="T3251" s="93"/>
      <c r="U3251" s="93">
        <v>80</v>
      </c>
      <c r="V3251" s="89"/>
      <c r="W3251" s="96">
        <v>0</v>
      </c>
      <c r="X3251" s="71">
        <f>CU3251</f>
        <v>0</v>
      </c>
      <c r="Y3251" s="71">
        <f>CY3251</f>
        <v>0</v>
      </c>
      <c r="Z3251" s="71">
        <f>DA3251+DC3251+DE3251</f>
        <v>0</v>
      </c>
      <c r="AA3251" s="71">
        <f>CW3251</f>
        <v>0</v>
      </c>
      <c r="AB3251" s="71"/>
      <c r="AC3251" s="71">
        <v>0</v>
      </c>
      <c r="AD3251" s="71">
        <f>W3251+X3251+Y3251+Z3251+AA3251+AB3251+AC3251</f>
        <v>0</v>
      </c>
      <c r="AE3251" s="72">
        <v>0</v>
      </c>
      <c r="AF3251" s="5"/>
      <c r="AG3251" s="6"/>
      <c r="AH3251" s="27"/>
      <c r="AI3251" s="44"/>
      <c r="AJ3251" s="26"/>
      <c r="AK3251" s="5"/>
      <c r="AL3251" s="326" t="s">
        <v>6168</v>
      </c>
      <c r="AM3251" s="76"/>
      <c r="AN3251" s="76"/>
      <c r="AO3251" s="76"/>
      <c r="AP3251" s="76"/>
      <c r="AQ3251" s="76"/>
      <c r="AR3251" s="76"/>
      <c r="AS3251" s="76"/>
      <c r="AT3251" s="76"/>
      <c r="AU3251" s="76"/>
      <c r="AV3251" s="76"/>
      <c r="AW3251" s="76"/>
      <c r="AX3251" s="76">
        <f>+AW3251*600000</f>
        <v>0</v>
      </c>
      <c r="AY3251" s="76"/>
      <c r="AZ3251" s="76">
        <f>+AY3251*70000</f>
        <v>0</v>
      </c>
      <c r="BA3251" s="76"/>
      <c r="BB3251" s="76"/>
      <c r="BC3251" s="76"/>
      <c r="BD3251" s="76">
        <f>+BC3251*30000</f>
        <v>0</v>
      </c>
      <c r="BE3251" s="76"/>
      <c r="BF3251" s="76"/>
      <c r="BG3251" s="76"/>
      <c r="BH3251" s="76"/>
      <c r="BI3251" s="76"/>
      <c r="BJ3251" s="76"/>
      <c r="BK3251" s="76"/>
      <c r="BL3251" s="76">
        <f>+BK3251*31500</f>
        <v>0</v>
      </c>
      <c r="BM3251" s="76"/>
      <c r="BN3251" s="76"/>
      <c r="BO3251" s="76"/>
      <c r="BP3251" s="76"/>
      <c r="BQ3251" s="76"/>
      <c r="BR3251" s="76"/>
      <c r="BS3251" s="76"/>
      <c r="BT3251" s="76"/>
      <c r="BU3251" s="76"/>
      <c r="BV3251" s="76"/>
      <c r="BW3251" s="76"/>
      <c r="BX3251" s="76"/>
      <c r="BY3251" s="76"/>
      <c r="BZ3251" s="76"/>
      <c r="CA3251" s="76"/>
      <c r="CB3251" s="76"/>
      <c r="CC3251" s="76"/>
      <c r="CD3251" s="76"/>
      <c r="CE3251" s="76"/>
      <c r="CF3251" s="76">
        <f>+CE3251*28000</f>
        <v>0</v>
      </c>
      <c r="CG3251" s="76"/>
      <c r="CH3251" s="76">
        <f>+CG3251*22500</f>
        <v>0</v>
      </c>
      <c r="CI3251" s="76"/>
      <c r="CJ3251" s="76">
        <f>+CI3251*26000</f>
        <v>0</v>
      </c>
      <c r="CK3251" s="76"/>
      <c r="CL3251" s="76"/>
      <c r="CM3251" s="76"/>
      <c r="CN3251" s="76">
        <f>+CM3251*22000</f>
        <v>0</v>
      </c>
      <c r="CO3251" s="76"/>
      <c r="CP3251" s="76">
        <f>+CO3251*46000</f>
        <v>0</v>
      </c>
      <c r="CQ3251" s="76"/>
      <c r="CR3251" s="76">
        <f>+CQ3251*49000</f>
        <v>0</v>
      </c>
      <c r="CS3251" s="76"/>
      <c r="CT3251" s="76"/>
      <c r="CU3251" s="56">
        <f>AN3251+AP3251+AR3251+AT3251+AV3251+AX3251+AZ3251+BB3251+BD3251+BF3251+BH3251+BJ3251+BL3251+BN3251+BP3251+BR3251+BT3251+BV3251+BX3251+BZ3251+CB3251+CD3251+CF3251+CH3251+CJ3251+CL3251+CN3251+CP3251+CR3251+CT3251</f>
        <v>0</v>
      </c>
      <c r="CV3251" s="76"/>
      <c r="CW3251" s="76">
        <f>+CV3251*1100</f>
        <v>0</v>
      </c>
      <c r="CX3251" s="76"/>
      <c r="CY3251" s="76">
        <f>+CX3251*106250</f>
        <v>0</v>
      </c>
      <c r="CZ3251" s="76"/>
      <c r="DA3251" s="76">
        <f>+CZ3251*34500</f>
        <v>0</v>
      </c>
      <c r="DB3251" s="76"/>
      <c r="DC3251" s="76">
        <f>+DB3251*25000</f>
        <v>0</v>
      </c>
      <c r="DD3251" s="219"/>
      <c r="DE3251" s="219"/>
      <c r="DF3251" s="166"/>
      <c r="DG3251" s="116"/>
      <c r="DH3251" s="117"/>
      <c r="DI3251" s="24"/>
      <c r="DJ3251" s="24"/>
      <c r="DK3251" s="24"/>
      <c r="DL3251" s="24"/>
      <c r="DM3251" s="24"/>
      <c r="DN3251" s="24"/>
      <c r="DO3251" s="24"/>
      <c r="DP3251" s="24"/>
      <c r="DQ3251" s="24"/>
      <c r="DR3251" s="24"/>
      <c r="DS3251" s="24"/>
      <c r="DT3251" s="24"/>
      <c r="DU3251" s="24"/>
    </row>
    <row r="3252" spans="1:125" s="8" customFormat="1" ht="60" x14ac:dyDescent="0.2">
      <c r="A3252" s="77">
        <v>41547</v>
      </c>
      <c r="B3252" s="352" t="s">
        <v>2851</v>
      </c>
      <c r="C3252" s="354" t="s">
        <v>1937</v>
      </c>
      <c r="D3252" s="354" t="s">
        <v>2882</v>
      </c>
      <c r="E3252" s="75" t="str">
        <f>VLOOKUP(B3252&amp;C3252,Divipola!$C$2:$F$1138,4,FALSE)</f>
        <v>76122</v>
      </c>
      <c r="F3252" s="87"/>
      <c r="G3252" s="87"/>
      <c r="H3252" s="87"/>
      <c r="I3252" s="87"/>
      <c r="J3252" s="87"/>
      <c r="K3252" s="87"/>
      <c r="L3252" s="87"/>
      <c r="M3252" s="87"/>
      <c r="N3252" s="87"/>
      <c r="O3252" s="87"/>
      <c r="P3252" s="87"/>
      <c r="Q3252" s="87"/>
      <c r="R3252" s="87"/>
      <c r="S3252" s="87"/>
      <c r="T3252" s="87"/>
      <c r="U3252" s="88"/>
      <c r="V3252" s="89">
        <v>1</v>
      </c>
      <c r="W3252" s="96">
        <v>0</v>
      </c>
      <c r="X3252" s="71">
        <f>CU3252</f>
        <v>0</v>
      </c>
      <c r="Y3252" s="71">
        <f>CY3252</f>
        <v>0</v>
      </c>
      <c r="Z3252" s="71">
        <f>DA3252+DC3252+DE3252</f>
        <v>0</v>
      </c>
      <c r="AA3252" s="71">
        <f>CW3252</f>
        <v>0</v>
      </c>
      <c r="AB3252" s="71"/>
      <c r="AC3252" s="71">
        <v>0</v>
      </c>
      <c r="AD3252" s="71">
        <f>W3252+X3252+Y3252+Z3252+AA3252+AB3252+AC3252</f>
        <v>0</v>
      </c>
      <c r="AE3252" s="72">
        <v>0</v>
      </c>
      <c r="AF3252" s="5"/>
      <c r="AG3252" s="6"/>
      <c r="AH3252" s="27"/>
      <c r="AI3252" s="44"/>
      <c r="AJ3252" s="26"/>
      <c r="AK3252" s="5"/>
      <c r="AL3252" s="9" t="s">
        <v>6183</v>
      </c>
      <c r="AM3252" s="76"/>
      <c r="AN3252" s="76"/>
      <c r="AO3252" s="76"/>
      <c r="AP3252" s="76"/>
      <c r="AQ3252" s="76"/>
      <c r="AR3252" s="76"/>
      <c r="AS3252" s="76"/>
      <c r="AT3252" s="76"/>
      <c r="AU3252" s="76"/>
      <c r="AV3252" s="76"/>
      <c r="AW3252" s="76"/>
      <c r="AX3252" s="76">
        <f>+AW3252*600000</f>
        <v>0</v>
      </c>
      <c r="AY3252" s="76"/>
      <c r="AZ3252" s="76">
        <f>+AY3252*70000</f>
        <v>0</v>
      </c>
      <c r="BA3252" s="76"/>
      <c r="BB3252" s="76"/>
      <c r="BC3252" s="76"/>
      <c r="BD3252" s="76">
        <f>+BC3252*30000</f>
        <v>0</v>
      </c>
      <c r="BE3252" s="76"/>
      <c r="BF3252" s="76"/>
      <c r="BG3252" s="76"/>
      <c r="BH3252" s="76"/>
      <c r="BI3252" s="76"/>
      <c r="BJ3252" s="76"/>
      <c r="BK3252" s="76"/>
      <c r="BL3252" s="76">
        <f>+BK3252*31500</f>
        <v>0</v>
      </c>
      <c r="BM3252" s="76"/>
      <c r="BN3252" s="76"/>
      <c r="BO3252" s="76"/>
      <c r="BP3252" s="76"/>
      <c r="BQ3252" s="76"/>
      <c r="BR3252" s="76"/>
      <c r="BS3252" s="76"/>
      <c r="BT3252" s="76"/>
      <c r="BU3252" s="76"/>
      <c r="BV3252" s="76"/>
      <c r="BW3252" s="76"/>
      <c r="BX3252" s="76"/>
      <c r="BY3252" s="76"/>
      <c r="BZ3252" s="76"/>
      <c r="CA3252" s="76"/>
      <c r="CB3252" s="76"/>
      <c r="CC3252" s="76"/>
      <c r="CD3252" s="76"/>
      <c r="CE3252" s="76"/>
      <c r="CF3252" s="76">
        <f>+CE3252*28000</f>
        <v>0</v>
      </c>
      <c r="CG3252" s="76"/>
      <c r="CH3252" s="76">
        <f>+CG3252*22500</f>
        <v>0</v>
      </c>
      <c r="CI3252" s="76"/>
      <c r="CJ3252" s="76">
        <f>+CI3252*26000</f>
        <v>0</v>
      </c>
      <c r="CK3252" s="76"/>
      <c r="CL3252" s="76"/>
      <c r="CM3252" s="76"/>
      <c r="CN3252" s="76">
        <f>+CM3252*22000</f>
        <v>0</v>
      </c>
      <c r="CO3252" s="76"/>
      <c r="CP3252" s="76">
        <f>+CO3252*46000</f>
        <v>0</v>
      </c>
      <c r="CQ3252" s="76"/>
      <c r="CR3252" s="76">
        <f>+CQ3252*49000</f>
        <v>0</v>
      </c>
      <c r="CS3252" s="76"/>
      <c r="CT3252" s="76"/>
      <c r="CU3252" s="56">
        <f>AN3252+AP3252+AR3252+AT3252+AV3252+AX3252+AZ3252+BB3252+BD3252+BF3252+BH3252+BJ3252+BL3252+BN3252+BP3252+BR3252+BT3252+BV3252+BX3252+BZ3252+CB3252+CD3252+CF3252+CH3252+CJ3252+CL3252+CN3252+CP3252+CR3252+CT3252</f>
        <v>0</v>
      </c>
      <c r="CV3252" s="76"/>
      <c r="CW3252" s="76">
        <f>+CV3252*1100</f>
        <v>0</v>
      </c>
      <c r="CX3252" s="76"/>
      <c r="CY3252" s="76">
        <f>+CX3252*106250</f>
        <v>0</v>
      </c>
      <c r="CZ3252" s="76"/>
      <c r="DA3252" s="76">
        <f>+CZ3252*34500</f>
        <v>0</v>
      </c>
      <c r="DB3252" s="76"/>
      <c r="DC3252" s="76">
        <f>+DB3252*25000</f>
        <v>0</v>
      </c>
      <c r="DD3252" s="219"/>
      <c r="DE3252" s="219"/>
      <c r="DF3252" s="166"/>
      <c r="DG3252" s="116"/>
      <c r="DH3252" s="117"/>
      <c r="DI3252" s="24"/>
      <c r="DJ3252" s="24"/>
      <c r="DK3252" s="24"/>
      <c r="DL3252" s="24"/>
      <c r="DM3252" s="24"/>
      <c r="DN3252" s="24"/>
      <c r="DO3252" s="24"/>
      <c r="DP3252" s="24"/>
      <c r="DQ3252" s="24"/>
      <c r="DR3252" s="24"/>
      <c r="DS3252" s="24"/>
      <c r="DT3252" s="24"/>
      <c r="DU3252" s="24"/>
    </row>
    <row r="3253" spans="1:125" s="8" customFormat="1" ht="120" x14ac:dyDescent="0.2">
      <c r="A3253" s="77">
        <v>41548</v>
      </c>
      <c r="B3253" s="78" t="s">
        <v>2894</v>
      </c>
      <c r="C3253" s="75" t="s">
        <v>2773</v>
      </c>
      <c r="D3253" s="75" t="s">
        <v>3121</v>
      </c>
      <c r="E3253" s="75">
        <f>VLOOKUP(B3253&amp;C3253,Divipola!$C$2:$F$1138,4,FALSE)</f>
        <v>5</v>
      </c>
      <c r="F3253" s="61"/>
      <c r="G3253" s="61"/>
      <c r="H3253" s="61"/>
      <c r="I3253" s="61"/>
      <c r="J3253" s="61"/>
      <c r="K3253" s="61"/>
      <c r="L3253" s="61"/>
      <c r="M3253" s="61"/>
      <c r="N3253" s="61"/>
      <c r="O3253" s="61"/>
      <c r="P3253" s="61"/>
      <c r="Q3253" s="61"/>
      <c r="R3253" s="61"/>
      <c r="S3253" s="61"/>
      <c r="T3253" s="61"/>
      <c r="U3253" s="61"/>
      <c r="V3253" s="7"/>
      <c r="W3253" s="96">
        <v>0</v>
      </c>
      <c r="X3253" s="71">
        <f>CU3253</f>
        <v>0</v>
      </c>
      <c r="Y3253" s="71">
        <f>CY3253</f>
        <v>0</v>
      </c>
      <c r="Z3253" s="71">
        <f>DA3253+DC3253+DE3253</f>
        <v>0</v>
      </c>
      <c r="AA3253" s="71">
        <f>CW3253</f>
        <v>0</v>
      </c>
      <c r="AB3253" s="71"/>
      <c r="AC3253" s="71">
        <v>2000000000</v>
      </c>
      <c r="AD3253" s="71">
        <f>W3253+X3253+Y3253+Z3253+AA3253+AB3253+AC3253</f>
        <v>2000000000</v>
      </c>
      <c r="AE3253" s="72">
        <v>0</v>
      </c>
      <c r="AF3253" s="5"/>
      <c r="AG3253" s="6"/>
      <c r="AH3253" s="27"/>
      <c r="AI3253" s="44"/>
      <c r="AJ3253" s="26"/>
      <c r="AK3253" s="5"/>
      <c r="AL3253" s="9" t="s">
        <v>6171</v>
      </c>
      <c r="AM3253" s="76"/>
      <c r="AN3253" s="76"/>
      <c r="AO3253" s="76"/>
      <c r="AP3253" s="76"/>
      <c r="AQ3253" s="76"/>
      <c r="AR3253" s="76"/>
      <c r="AS3253" s="76"/>
      <c r="AT3253" s="76"/>
      <c r="AU3253" s="76"/>
      <c r="AV3253" s="76"/>
      <c r="AW3253" s="76"/>
      <c r="AX3253" s="76">
        <f>+AW3253*600000</f>
        <v>0</v>
      </c>
      <c r="AY3253" s="76"/>
      <c r="AZ3253" s="76">
        <f>+AY3253*70000</f>
        <v>0</v>
      </c>
      <c r="BA3253" s="76"/>
      <c r="BB3253" s="76"/>
      <c r="BC3253" s="76"/>
      <c r="BD3253" s="76">
        <f>+BC3253*30000</f>
        <v>0</v>
      </c>
      <c r="BE3253" s="76"/>
      <c r="BF3253" s="76"/>
      <c r="BG3253" s="76"/>
      <c r="BH3253" s="76"/>
      <c r="BI3253" s="76"/>
      <c r="BJ3253" s="76"/>
      <c r="BK3253" s="76"/>
      <c r="BL3253" s="76">
        <f>+BK3253*31500</f>
        <v>0</v>
      </c>
      <c r="BM3253" s="76"/>
      <c r="BN3253" s="76"/>
      <c r="BO3253" s="76"/>
      <c r="BP3253" s="76"/>
      <c r="BQ3253" s="76"/>
      <c r="BR3253" s="76"/>
      <c r="BS3253" s="76"/>
      <c r="BT3253" s="76"/>
      <c r="BU3253" s="76"/>
      <c r="BV3253" s="76"/>
      <c r="BW3253" s="76"/>
      <c r="BX3253" s="76"/>
      <c r="BY3253" s="76"/>
      <c r="BZ3253" s="76"/>
      <c r="CA3253" s="76"/>
      <c r="CB3253" s="76"/>
      <c r="CC3253" s="76"/>
      <c r="CD3253" s="76"/>
      <c r="CE3253" s="76"/>
      <c r="CF3253" s="76">
        <f>+CE3253*28000</f>
        <v>0</v>
      </c>
      <c r="CG3253" s="76"/>
      <c r="CH3253" s="76">
        <f>+CG3253*22500</f>
        <v>0</v>
      </c>
      <c r="CI3253" s="76"/>
      <c r="CJ3253" s="76">
        <f>+CI3253*26000</f>
        <v>0</v>
      </c>
      <c r="CK3253" s="76"/>
      <c r="CL3253" s="76"/>
      <c r="CM3253" s="76"/>
      <c r="CN3253" s="76">
        <f>+CM3253*22000</f>
        <v>0</v>
      </c>
      <c r="CO3253" s="76"/>
      <c r="CP3253" s="76">
        <f>+CO3253*46000</f>
        <v>0</v>
      </c>
      <c r="CQ3253" s="76"/>
      <c r="CR3253" s="76">
        <f>+CQ3253*49000</f>
        <v>0</v>
      </c>
      <c r="CS3253" s="76"/>
      <c r="CT3253" s="76"/>
      <c r="CU3253" s="56">
        <f>AN3253+AP3253+AR3253+AT3253+AV3253+AX3253+AZ3253+BB3253+BD3253+BF3253+BH3253+BJ3253+BL3253+BN3253+BP3253+BR3253+BT3253+BV3253+BX3253+BZ3253+CB3253+CD3253+CF3253+CH3253+CJ3253+CL3253+CN3253+CP3253+CR3253+CT3253</f>
        <v>0</v>
      </c>
      <c r="CV3253" s="76"/>
      <c r="CW3253" s="76">
        <f>+CV3253*1100</f>
        <v>0</v>
      </c>
      <c r="CX3253" s="76"/>
      <c r="CY3253" s="76">
        <f>+CX3253*106250</f>
        <v>0</v>
      </c>
      <c r="CZ3253" s="76"/>
      <c r="DA3253" s="76">
        <f>+CZ3253*34500</f>
        <v>0</v>
      </c>
      <c r="DB3253" s="76"/>
      <c r="DC3253" s="76">
        <f>+DB3253*25000</f>
        <v>0</v>
      </c>
      <c r="DD3253" s="219"/>
      <c r="DE3253" s="219"/>
      <c r="DF3253" s="166"/>
      <c r="DG3253" s="134" t="s">
        <v>6686</v>
      </c>
      <c r="DH3253" s="117"/>
      <c r="DI3253" s="24"/>
      <c r="DJ3253" s="24"/>
      <c r="DK3253" s="24"/>
      <c r="DL3253" s="24"/>
      <c r="DM3253" s="24"/>
      <c r="DN3253" s="24"/>
      <c r="DO3253" s="24"/>
      <c r="DP3253" s="24"/>
      <c r="DQ3253" s="24"/>
      <c r="DR3253" s="24"/>
      <c r="DS3253" s="24"/>
      <c r="DT3253" s="24"/>
      <c r="DU3253" s="24"/>
    </row>
    <row r="3254" spans="1:125" s="8" customFormat="1" ht="156" x14ac:dyDescent="0.2">
      <c r="A3254" s="77">
        <v>41548</v>
      </c>
      <c r="B3254" s="352" t="s">
        <v>529</v>
      </c>
      <c r="C3254" s="352" t="s">
        <v>529</v>
      </c>
      <c r="D3254" s="354" t="s">
        <v>3017</v>
      </c>
      <c r="E3254" s="75" t="str">
        <f>VLOOKUP(B3254&amp;C3254,Divipola!$C$2:$F$1138,4,FALSE)</f>
        <v>11001</v>
      </c>
      <c r="F3254" s="87"/>
      <c r="G3254" s="87">
        <v>13</v>
      </c>
      <c r="H3254" s="87"/>
      <c r="I3254" s="87">
        <v>30</v>
      </c>
      <c r="J3254" s="87"/>
      <c r="K3254" s="87"/>
      <c r="L3254" s="87"/>
      <c r="M3254" s="87"/>
      <c r="N3254" s="87"/>
      <c r="O3254" s="87"/>
      <c r="P3254" s="87"/>
      <c r="Q3254" s="87"/>
      <c r="R3254" s="87"/>
      <c r="S3254" s="87">
        <v>1</v>
      </c>
      <c r="T3254" s="87"/>
      <c r="U3254" s="88"/>
      <c r="V3254" s="89"/>
      <c r="W3254" s="96">
        <v>0</v>
      </c>
      <c r="X3254" s="71">
        <f>CU3254</f>
        <v>0</v>
      </c>
      <c r="Y3254" s="71">
        <f>CY3254</f>
        <v>0</v>
      </c>
      <c r="Z3254" s="71">
        <f>DA3254+DC3254+DE3254</f>
        <v>0</v>
      </c>
      <c r="AA3254" s="71">
        <f>CW3254</f>
        <v>0</v>
      </c>
      <c r="AB3254" s="71"/>
      <c r="AC3254" s="71">
        <v>0</v>
      </c>
      <c r="AD3254" s="71">
        <f>W3254+X3254+Y3254+Z3254+AA3254+AB3254+AC3254</f>
        <v>0</v>
      </c>
      <c r="AE3254" s="72">
        <v>0</v>
      </c>
      <c r="AF3254" s="5"/>
      <c r="AG3254" s="6"/>
      <c r="AH3254" s="27"/>
      <c r="AI3254" s="44"/>
      <c r="AJ3254" s="26"/>
      <c r="AK3254" s="5"/>
      <c r="AL3254" s="276" t="s">
        <v>6201</v>
      </c>
      <c r="AM3254" s="76"/>
      <c r="AN3254" s="76"/>
      <c r="AO3254" s="76"/>
      <c r="AP3254" s="76"/>
      <c r="AQ3254" s="76"/>
      <c r="AR3254" s="76"/>
      <c r="AS3254" s="76"/>
      <c r="AT3254" s="76"/>
      <c r="AU3254" s="76"/>
      <c r="AV3254" s="76"/>
      <c r="AW3254" s="76"/>
      <c r="AX3254" s="76">
        <f>+AW3254*600000</f>
        <v>0</v>
      </c>
      <c r="AY3254" s="76"/>
      <c r="AZ3254" s="76">
        <f>+AY3254*70000</f>
        <v>0</v>
      </c>
      <c r="BA3254" s="76"/>
      <c r="BB3254" s="76"/>
      <c r="BC3254" s="76"/>
      <c r="BD3254" s="76">
        <f>+BC3254*30000</f>
        <v>0</v>
      </c>
      <c r="BE3254" s="76"/>
      <c r="BF3254" s="76"/>
      <c r="BG3254" s="76"/>
      <c r="BH3254" s="76"/>
      <c r="BI3254" s="76"/>
      <c r="BJ3254" s="76"/>
      <c r="BK3254" s="76"/>
      <c r="BL3254" s="76">
        <f>+BK3254*31500</f>
        <v>0</v>
      </c>
      <c r="BM3254" s="76"/>
      <c r="BN3254" s="76"/>
      <c r="BO3254" s="76"/>
      <c r="BP3254" s="76"/>
      <c r="BQ3254" s="76"/>
      <c r="BR3254" s="76"/>
      <c r="BS3254" s="76"/>
      <c r="BT3254" s="76"/>
      <c r="BU3254" s="76"/>
      <c r="BV3254" s="76"/>
      <c r="BW3254" s="76"/>
      <c r="BX3254" s="76"/>
      <c r="BY3254" s="76"/>
      <c r="BZ3254" s="76"/>
      <c r="CA3254" s="76"/>
      <c r="CB3254" s="76"/>
      <c r="CC3254" s="76"/>
      <c r="CD3254" s="76"/>
      <c r="CE3254" s="76"/>
      <c r="CF3254" s="76">
        <f>+CE3254*28000</f>
        <v>0</v>
      </c>
      <c r="CG3254" s="76"/>
      <c r="CH3254" s="76">
        <f>+CG3254*22500</f>
        <v>0</v>
      </c>
      <c r="CI3254" s="76"/>
      <c r="CJ3254" s="76">
        <f>+CI3254*26000</f>
        <v>0</v>
      </c>
      <c r="CK3254" s="76"/>
      <c r="CL3254" s="76"/>
      <c r="CM3254" s="76"/>
      <c r="CN3254" s="76">
        <f>+CM3254*22000</f>
        <v>0</v>
      </c>
      <c r="CO3254" s="76"/>
      <c r="CP3254" s="76">
        <f>+CO3254*46000</f>
        <v>0</v>
      </c>
      <c r="CQ3254" s="76"/>
      <c r="CR3254" s="76">
        <f>+CQ3254*49000</f>
        <v>0</v>
      </c>
      <c r="CS3254" s="76"/>
      <c r="CT3254" s="76"/>
      <c r="CU3254" s="56">
        <f>AN3254+AP3254+AR3254+AT3254+AV3254+AX3254+AZ3254+BB3254+BD3254+BF3254+BH3254+BJ3254+BL3254+BN3254+BP3254+BR3254+BT3254+BV3254+BX3254+BZ3254+CB3254+CD3254+CF3254+CH3254+CJ3254+CL3254+CN3254+CP3254+CR3254+CT3254</f>
        <v>0</v>
      </c>
      <c r="CV3254" s="76"/>
      <c r="CW3254" s="76">
        <f>+CV3254*1100</f>
        <v>0</v>
      </c>
      <c r="CX3254" s="76"/>
      <c r="CY3254" s="76">
        <f>+CX3254*106250</f>
        <v>0</v>
      </c>
      <c r="CZ3254" s="76"/>
      <c r="DA3254" s="76">
        <f>+CZ3254*34500</f>
        <v>0</v>
      </c>
      <c r="DB3254" s="76"/>
      <c r="DC3254" s="76">
        <f>+DB3254*25000</f>
        <v>0</v>
      </c>
      <c r="DD3254" s="219"/>
      <c r="DE3254" s="219"/>
      <c r="DF3254" s="166"/>
      <c r="DG3254" s="116"/>
      <c r="DH3254" s="117"/>
      <c r="DI3254" s="24"/>
      <c r="DJ3254" s="24"/>
      <c r="DK3254" s="24"/>
      <c r="DL3254" s="24"/>
      <c r="DM3254" s="24"/>
      <c r="DN3254" s="24"/>
      <c r="DO3254" s="24"/>
      <c r="DP3254" s="24"/>
      <c r="DQ3254" s="24"/>
      <c r="DR3254" s="24"/>
      <c r="DS3254" s="24"/>
      <c r="DT3254" s="24"/>
      <c r="DU3254" s="24"/>
    </row>
    <row r="3255" spans="1:125" s="8" customFormat="1" ht="60" x14ac:dyDescent="0.2">
      <c r="A3255" s="228">
        <v>41548</v>
      </c>
      <c r="B3255" s="231" t="s">
        <v>2778</v>
      </c>
      <c r="C3255" s="231" t="s">
        <v>1344</v>
      </c>
      <c r="D3255" s="231" t="s">
        <v>2936</v>
      </c>
      <c r="E3255" s="75" t="str">
        <f>VLOOKUP(B3255&amp;C3255,Divipola!$C$2:$F$1138,4,FALSE)</f>
        <v>85001</v>
      </c>
      <c r="F3255" s="93">
        <v>2</v>
      </c>
      <c r="G3255" s="93"/>
      <c r="H3255" s="93"/>
      <c r="I3255" s="93"/>
      <c r="J3255" s="93"/>
      <c r="K3255" s="93"/>
      <c r="L3255" s="93"/>
      <c r="M3255" s="93"/>
      <c r="N3255" s="93"/>
      <c r="O3255" s="93"/>
      <c r="P3255" s="93"/>
      <c r="Q3255" s="93"/>
      <c r="R3255" s="93"/>
      <c r="S3255" s="93"/>
      <c r="T3255" s="93"/>
      <c r="U3255" s="93"/>
      <c r="V3255" s="93"/>
      <c r="W3255" s="96">
        <v>0</v>
      </c>
      <c r="X3255" s="71">
        <f>CU3255</f>
        <v>0</v>
      </c>
      <c r="Y3255" s="71">
        <f>CY3255</f>
        <v>0</v>
      </c>
      <c r="Z3255" s="71">
        <f>DA3255+DC3255+DE3255</f>
        <v>0</v>
      </c>
      <c r="AA3255" s="71">
        <f>CW3255</f>
        <v>0</v>
      </c>
      <c r="AB3255" s="71"/>
      <c r="AC3255" s="71">
        <v>0</v>
      </c>
      <c r="AD3255" s="71">
        <f>W3255+X3255+Y3255+Z3255+AA3255+AB3255+AC3255</f>
        <v>0</v>
      </c>
      <c r="AE3255" s="72">
        <v>0</v>
      </c>
      <c r="AF3255" s="5"/>
      <c r="AG3255" s="6"/>
      <c r="AH3255" s="27"/>
      <c r="AI3255" s="44"/>
      <c r="AJ3255" s="26"/>
      <c r="AK3255" s="5"/>
      <c r="AL3255" s="330" t="s">
        <v>6199</v>
      </c>
      <c r="AM3255" s="76"/>
      <c r="AN3255" s="76"/>
      <c r="AO3255" s="76"/>
      <c r="AP3255" s="76"/>
      <c r="AQ3255" s="76"/>
      <c r="AR3255" s="76"/>
      <c r="AS3255" s="76"/>
      <c r="AT3255" s="76"/>
      <c r="AU3255" s="76"/>
      <c r="AV3255" s="76"/>
      <c r="AW3255" s="76"/>
      <c r="AX3255" s="76">
        <f>+AW3255*600000</f>
        <v>0</v>
      </c>
      <c r="AY3255" s="76"/>
      <c r="AZ3255" s="76">
        <f>+AY3255*70000</f>
        <v>0</v>
      </c>
      <c r="BA3255" s="76"/>
      <c r="BB3255" s="76"/>
      <c r="BC3255" s="76"/>
      <c r="BD3255" s="76">
        <f>+BC3255*30000</f>
        <v>0</v>
      </c>
      <c r="BE3255" s="76"/>
      <c r="BF3255" s="76"/>
      <c r="BG3255" s="76"/>
      <c r="BH3255" s="76"/>
      <c r="BI3255" s="76"/>
      <c r="BJ3255" s="76"/>
      <c r="BK3255" s="76"/>
      <c r="BL3255" s="76">
        <f>+BK3255*31500</f>
        <v>0</v>
      </c>
      <c r="BM3255" s="76"/>
      <c r="BN3255" s="76"/>
      <c r="BO3255" s="76"/>
      <c r="BP3255" s="76"/>
      <c r="BQ3255" s="76"/>
      <c r="BR3255" s="76"/>
      <c r="BS3255" s="76"/>
      <c r="BT3255" s="76"/>
      <c r="BU3255" s="76"/>
      <c r="BV3255" s="76"/>
      <c r="BW3255" s="76"/>
      <c r="BX3255" s="76"/>
      <c r="BY3255" s="76"/>
      <c r="BZ3255" s="76"/>
      <c r="CA3255" s="76"/>
      <c r="CB3255" s="76"/>
      <c r="CC3255" s="76"/>
      <c r="CD3255" s="76"/>
      <c r="CE3255" s="76"/>
      <c r="CF3255" s="76">
        <f>+CE3255*28000</f>
        <v>0</v>
      </c>
      <c r="CG3255" s="76"/>
      <c r="CH3255" s="76">
        <f>+CG3255*22500</f>
        <v>0</v>
      </c>
      <c r="CI3255" s="76"/>
      <c r="CJ3255" s="76">
        <f>+CI3255*26000</f>
        <v>0</v>
      </c>
      <c r="CK3255" s="76"/>
      <c r="CL3255" s="76"/>
      <c r="CM3255" s="76"/>
      <c r="CN3255" s="76">
        <f>+CM3255*22000</f>
        <v>0</v>
      </c>
      <c r="CO3255" s="76"/>
      <c r="CP3255" s="76">
        <f>+CO3255*46000</f>
        <v>0</v>
      </c>
      <c r="CQ3255" s="76"/>
      <c r="CR3255" s="76">
        <f>+CQ3255*49000</f>
        <v>0</v>
      </c>
      <c r="CS3255" s="76"/>
      <c r="CT3255" s="76"/>
      <c r="CU3255" s="56">
        <f>AN3255+AP3255+AR3255+AT3255+AV3255+AX3255+AZ3255+BB3255+BD3255+BF3255+BH3255+BJ3255+BL3255+BN3255+BP3255+BR3255+BT3255+BV3255+BX3255+BZ3255+CB3255+CD3255+CF3255+CH3255+CJ3255+CL3255+CN3255+CP3255+CR3255+CT3255</f>
        <v>0</v>
      </c>
      <c r="CV3255" s="76"/>
      <c r="CW3255" s="76">
        <f>+CV3255*1100</f>
        <v>0</v>
      </c>
      <c r="CX3255" s="76"/>
      <c r="CY3255" s="76">
        <f>+CX3255*106250</f>
        <v>0</v>
      </c>
      <c r="CZ3255" s="76"/>
      <c r="DA3255" s="76">
        <f>+CZ3255*34500</f>
        <v>0</v>
      </c>
      <c r="DB3255" s="76"/>
      <c r="DC3255" s="76">
        <f>+DB3255*25000</f>
        <v>0</v>
      </c>
      <c r="DD3255" s="219"/>
      <c r="DE3255" s="219"/>
      <c r="DF3255" s="166"/>
      <c r="DG3255" s="116"/>
      <c r="DH3255" s="117"/>
      <c r="DI3255" s="24"/>
      <c r="DJ3255" s="24"/>
      <c r="DK3255" s="24"/>
      <c r="DL3255" s="24"/>
      <c r="DM3255" s="24"/>
      <c r="DN3255" s="24"/>
      <c r="DO3255" s="24"/>
      <c r="DP3255" s="24"/>
      <c r="DQ3255" s="24"/>
      <c r="DR3255" s="24"/>
      <c r="DS3255" s="24"/>
      <c r="DT3255" s="24"/>
      <c r="DU3255" s="24"/>
    </row>
    <row r="3256" spans="1:125" s="8" customFormat="1" ht="60" x14ac:dyDescent="0.2">
      <c r="A3256" s="248">
        <v>41548</v>
      </c>
      <c r="B3256" s="249" t="s">
        <v>2854</v>
      </c>
      <c r="C3256" s="231" t="s">
        <v>2738</v>
      </c>
      <c r="D3256" s="231" t="s">
        <v>2882</v>
      </c>
      <c r="E3256" s="75" t="str">
        <f>VLOOKUP(B3256&amp;C3256,Divipola!$C$2:$F$1138,4,FALSE)</f>
        <v>19473</v>
      </c>
      <c r="F3256" s="87"/>
      <c r="G3256" s="87"/>
      <c r="H3256" s="87"/>
      <c r="I3256" s="87">
        <v>250</v>
      </c>
      <c r="J3256" s="87">
        <v>50</v>
      </c>
      <c r="K3256" s="87"/>
      <c r="L3256" s="87">
        <v>50</v>
      </c>
      <c r="M3256" s="87"/>
      <c r="N3256" s="87"/>
      <c r="O3256" s="87"/>
      <c r="P3256" s="87"/>
      <c r="Q3256" s="87"/>
      <c r="R3256" s="87"/>
      <c r="S3256" s="87"/>
      <c r="T3256" s="87"/>
      <c r="U3256" s="88"/>
      <c r="V3256" s="89"/>
      <c r="W3256" s="96">
        <v>0</v>
      </c>
      <c r="X3256" s="71">
        <f>CU3256</f>
        <v>0</v>
      </c>
      <c r="Y3256" s="71">
        <f>CY3256</f>
        <v>0</v>
      </c>
      <c r="Z3256" s="71">
        <f>DA3256+DC3256+DE3256</f>
        <v>0</v>
      </c>
      <c r="AA3256" s="71">
        <f>CW3256</f>
        <v>0</v>
      </c>
      <c r="AB3256" s="71"/>
      <c r="AC3256" s="71">
        <v>0</v>
      </c>
      <c r="AD3256" s="71">
        <f>W3256+X3256+Y3256+Z3256+AA3256+AB3256+AC3256</f>
        <v>0</v>
      </c>
      <c r="AE3256" s="72">
        <v>0</v>
      </c>
      <c r="AF3256" s="5"/>
      <c r="AG3256" s="6"/>
      <c r="AH3256" s="27"/>
      <c r="AI3256" s="44"/>
      <c r="AJ3256" s="26"/>
      <c r="AK3256" s="5"/>
      <c r="AL3256" s="268" t="s">
        <v>6193</v>
      </c>
      <c r="AM3256" s="76"/>
      <c r="AN3256" s="76"/>
      <c r="AO3256" s="76"/>
      <c r="AP3256" s="76"/>
      <c r="AQ3256" s="76"/>
      <c r="AR3256" s="76"/>
      <c r="AS3256" s="76"/>
      <c r="AT3256" s="76"/>
      <c r="AU3256" s="76"/>
      <c r="AV3256" s="76"/>
      <c r="AW3256" s="76"/>
      <c r="AX3256" s="76">
        <f>+AW3256*600000</f>
        <v>0</v>
      </c>
      <c r="AY3256" s="76"/>
      <c r="AZ3256" s="76">
        <f>+AY3256*70000</f>
        <v>0</v>
      </c>
      <c r="BA3256" s="76"/>
      <c r="BB3256" s="76"/>
      <c r="BC3256" s="76"/>
      <c r="BD3256" s="76">
        <f>+BC3256*30000</f>
        <v>0</v>
      </c>
      <c r="BE3256" s="76"/>
      <c r="BF3256" s="76"/>
      <c r="BG3256" s="76"/>
      <c r="BH3256" s="76"/>
      <c r="BI3256" s="76"/>
      <c r="BJ3256" s="76"/>
      <c r="BK3256" s="76"/>
      <c r="BL3256" s="76">
        <f>+BK3256*31500</f>
        <v>0</v>
      </c>
      <c r="BM3256" s="76"/>
      <c r="BN3256" s="76"/>
      <c r="BO3256" s="76"/>
      <c r="BP3256" s="76"/>
      <c r="BQ3256" s="76"/>
      <c r="BR3256" s="76"/>
      <c r="BS3256" s="76"/>
      <c r="BT3256" s="76"/>
      <c r="BU3256" s="76"/>
      <c r="BV3256" s="76"/>
      <c r="BW3256" s="76"/>
      <c r="BX3256" s="76"/>
      <c r="BY3256" s="76"/>
      <c r="BZ3256" s="76"/>
      <c r="CA3256" s="76"/>
      <c r="CB3256" s="76"/>
      <c r="CC3256" s="76"/>
      <c r="CD3256" s="76"/>
      <c r="CE3256" s="76"/>
      <c r="CF3256" s="76">
        <f>+CE3256*28000</f>
        <v>0</v>
      </c>
      <c r="CG3256" s="76"/>
      <c r="CH3256" s="76">
        <f>+CG3256*22500</f>
        <v>0</v>
      </c>
      <c r="CI3256" s="76"/>
      <c r="CJ3256" s="76">
        <f>+CI3256*26000</f>
        <v>0</v>
      </c>
      <c r="CK3256" s="76"/>
      <c r="CL3256" s="76"/>
      <c r="CM3256" s="76"/>
      <c r="CN3256" s="76">
        <f>+CM3256*22000</f>
        <v>0</v>
      </c>
      <c r="CO3256" s="76"/>
      <c r="CP3256" s="76">
        <f>+CO3256*46000</f>
        <v>0</v>
      </c>
      <c r="CQ3256" s="76"/>
      <c r="CR3256" s="76">
        <f>+CQ3256*49000</f>
        <v>0</v>
      </c>
      <c r="CS3256" s="76"/>
      <c r="CT3256" s="76"/>
      <c r="CU3256" s="56">
        <f>AN3256+AP3256+AR3256+AT3256+AV3256+AX3256+AZ3256+BB3256+BD3256+BF3256+BH3256+BJ3256+BL3256+BN3256+BP3256+BR3256+BT3256+BV3256+BX3256+BZ3256+CB3256+CD3256+CF3256+CH3256+CJ3256+CL3256+CN3256+CP3256+CR3256+CT3256</f>
        <v>0</v>
      </c>
      <c r="CV3256" s="76"/>
      <c r="CW3256" s="76">
        <f>+CV3256*1100</f>
        <v>0</v>
      </c>
      <c r="CX3256" s="76"/>
      <c r="CY3256" s="76">
        <f>+CX3256*106250</f>
        <v>0</v>
      </c>
      <c r="CZ3256" s="76"/>
      <c r="DA3256" s="76">
        <f>+CZ3256*34500</f>
        <v>0</v>
      </c>
      <c r="DB3256" s="76"/>
      <c r="DC3256" s="76">
        <f>+DB3256*25000</f>
        <v>0</v>
      </c>
      <c r="DD3256" s="219"/>
      <c r="DE3256" s="219"/>
      <c r="DF3256" s="166"/>
      <c r="DG3256" s="116"/>
      <c r="DH3256" s="117"/>
      <c r="DI3256" s="24"/>
      <c r="DJ3256" s="24"/>
      <c r="DK3256" s="24"/>
      <c r="DL3256" s="24"/>
      <c r="DM3256" s="24"/>
      <c r="DN3256" s="24"/>
      <c r="DO3256" s="24"/>
      <c r="DP3256" s="24"/>
      <c r="DQ3256" s="24"/>
      <c r="DR3256" s="24"/>
      <c r="DS3256" s="24"/>
      <c r="DT3256" s="24"/>
      <c r="DU3256" s="24"/>
    </row>
    <row r="3257" spans="1:125" s="8" customFormat="1" ht="48" x14ac:dyDescent="0.2">
      <c r="A3257" s="77">
        <v>41548</v>
      </c>
      <c r="B3257" s="352" t="s">
        <v>2854</v>
      </c>
      <c r="C3257" s="354" t="s">
        <v>2678</v>
      </c>
      <c r="D3257" s="354" t="s">
        <v>2882</v>
      </c>
      <c r="E3257" s="75" t="str">
        <f>VLOOKUP(B3257&amp;C3257,Divipola!$C$2:$F$1138,4,FALSE)</f>
        <v>19701</v>
      </c>
      <c r="F3257" s="87"/>
      <c r="G3257" s="87"/>
      <c r="H3257" s="87"/>
      <c r="I3257" s="87">
        <v>5</v>
      </c>
      <c r="J3257" s="87">
        <v>1</v>
      </c>
      <c r="K3257" s="87"/>
      <c r="L3257" s="87">
        <v>1</v>
      </c>
      <c r="M3257" s="87"/>
      <c r="N3257" s="87"/>
      <c r="O3257" s="87"/>
      <c r="P3257" s="87"/>
      <c r="Q3257" s="87"/>
      <c r="R3257" s="87"/>
      <c r="S3257" s="87"/>
      <c r="T3257" s="87"/>
      <c r="U3257" s="88"/>
      <c r="V3257" s="89"/>
      <c r="W3257" s="96">
        <v>0</v>
      </c>
      <c r="X3257" s="71">
        <f>CU3257</f>
        <v>0</v>
      </c>
      <c r="Y3257" s="71">
        <f>CY3257</f>
        <v>0</v>
      </c>
      <c r="Z3257" s="71">
        <f>DA3257+DC3257+DE3257</f>
        <v>0</v>
      </c>
      <c r="AA3257" s="71">
        <f>CW3257</f>
        <v>0</v>
      </c>
      <c r="AB3257" s="71"/>
      <c r="AC3257" s="71">
        <v>0</v>
      </c>
      <c r="AD3257" s="71">
        <f>W3257+X3257+Y3257+Z3257+AA3257+AB3257+AC3257</f>
        <v>0</v>
      </c>
      <c r="AE3257" s="72">
        <v>0</v>
      </c>
      <c r="AF3257" s="5"/>
      <c r="AG3257" s="6"/>
      <c r="AH3257" s="27"/>
      <c r="AI3257" s="44"/>
      <c r="AJ3257" s="26"/>
      <c r="AK3257" s="5"/>
      <c r="AL3257" s="82" t="s">
        <v>6202</v>
      </c>
      <c r="AM3257" s="76"/>
      <c r="AN3257" s="76"/>
      <c r="AO3257" s="76"/>
      <c r="AP3257" s="76"/>
      <c r="AQ3257" s="76"/>
      <c r="AR3257" s="76"/>
      <c r="AS3257" s="76"/>
      <c r="AT3257" s="76"/>
      <c r="AU3257" s="76"/>
      <c r="AV3257" s="76"/>
      <c r="AW3257" s="76"/>
      <c r="AX3257" s="76">
        <f>+AW3257*600000</f>
        <v>0</v>
      </c>
      <c r="AY3257" s="76"/>
      <c r="AZ3257" s="76">
        <f>+AY3257*70000</f>
        <v>0</v>
      </c>
      <c r="BA3257" s="76"/>
      <c r="BB3257" s="76"/>
      <c r="BC3257" s="76"/>
      <c r="BD3257" s="76">
        <f>+BC3257*30000</f>
        <v>0</v>
      </c>
      <c r="BE3257" s="76"/>
      <c r="BF3257" s="76"/>
      <c r="BG3257" s="76"/>
      <c r="BH3257" s="76"/>
      <c r="BI3257" s="76"/>
      <c r="BJ3257" s="76"/>
      <c r="BK3257" s="76"/>
      <c r="BL3257" s="76">
        <f>+BK3257*31500</f>
        <v>0</v>
      </c>
      <c r="BM3257" s="76"/>
      <c r="BN3257" s="76"/>
      <c r="BO3257" s="76"/>
      <c r="BP3257" s="76"/>
      <c r="BQ3257" s="76"/>
      <c r="BR3257" s="76"/>
      <c r="BS3257" s="76"/>
      <c r="BT3257" s="76"/>
      <c r="BU3257" s="76"/>
      <c r="BV3257" s="76"/>
      <c r="BW3257" s="76"/>
      <c r="BX3257" s="76"/>
      <c r="BY3257" s="76"/>
      <c r="BZ3257" s="76"/>
      <c r="CA3257" s="76"/>
      <c r="CB3257" s="76"/>
      <c r="CC3257" s="76"/>
      <c r="CD3257" s="76"/>
      <c r="CE3257" s="76"/>
      <c r="CF3257" s="76">
        <f>+CE3257*28000</f>
        <v>0</v>
      </c>
      <c r="CG3257" s="76"/>
      <c r="CH3257" s="76">
        <f>+CG3257*22500</f>
        <v>0</v>
      </c>
      <c r="CI3257" s="76"/>
      <c r="CJ3257" s="76">
        <f>+CI3257*26000</f>
        <v>0</v>
      </c>
      <c r="CK3257" s="76"/>
      <c r="CL3257" s="76"/>
      <c r="CM3257" s="76"/>
      <c r="CN3257" s="76">
        <f>+CM3257*22000</f>
        <v>0</v>
      </c>
      <c r="CO3257" s="76"/>
      <c r="CP3257" s="76">
        <f>+CO3257*46000</f>
        <v>0</v>
      </c>
      <c r="CQ3257" s="76"/>
      <c r="CR3257" s="76">
        <f>+CQ3257*49000</f>
        <v>0</v>
      </c>
      <c r="CS3257" s="76"/>
      <c r="CT3257" s="76"/>
      <c r="CU3257" s="56">
        <f>AN3257+AP3257+AR3257+AT3257+AV3257+AX3257+AZ3257+BB3257+BD3257+BF3257+BH3257+BJ3257+BL3257+BN3257+BP3257+BR3257+BT3257+BV3257+BX3257+BZ3257+CB3257+CD3257+CF3257+CH3257+CJ3257+CL3257+CN3257+CP3257+CR3257+CT3257</f>
        <v>0</v>
      </c>
      <c r="CV3257" s="76"/>
      <c r="CW3257" s="76">
        <f>+CV3257*1100</f>
        <v>0</v>
      </c>
      <c r="CX3257" s="76"/>
      <c r="CY3257" s="76">
        <f>+CX3257*106250</f>
        <v>0</v>
      </c>
      <c r="CZ3257" s="76"/>
      <c r="DA3257" s="76">
        <f>+CZ3257*34500</f>
        <v>0</v>
      </c>
      <c r="DB3257" s="76"/>
      <c r="DC3257" s="76">
        <f>+DB3257*25000</f>
        <v>0</v>
      </c>
      <c r="DD3257" s="219"/>
      <c r="DE3257" s="219"/>
      <c r="DF3257" s="166"/>
      <c r="DG3257" s="116"/>
      <c r="DH3257" s="117"/>
      <c r="DI3257" s="24"/>
      <c r="DJ3257" s="24"/>
      <c r="DK3257" s="24"/>
      <c r="DL3257" s="24"/>
      <c r="DM3257" s="24"/>
      <c r="DN3257" s="24"/>
      <c r="DO3257" s="24"/>
      <c r="DP3257" s="24"/>
      <c r="DQ3257" s="24"/>
      <c r="DR3257" s="24"/>
      <c r="DS3257" s="24"/>
      <c r="DT3257" s="24"/>
      <c r="DU3257" s="24"/>
    </row>
    <row r="3258" spans="1:125" s="8" customFormat="1" ht="72" x14ac:dyDescent="0.2">
      <c r="A3258" s="228">
        <v>41548</v>
      </c>
      <c r="B3258" s="249" t="s">
        <v>2854</v>
      </c>
      <c r="C3258" s="231" t="s">
        <v>875</v>
      </c>
      <c r="D3258" s="231" t="s">
        <v>2882</v>
      </c>
      <c r="E3258" s="75" t="str">
        <f>VLOOKUP(B3258&amp;C3258,Divipola!$C$2:$F$1138,4,FALSE)</f>
        <v>19760</v>
      </c>
      <c r="F3258" s="87"/>
      <c r="G3258" s="87"/>
      <c r="H3258" s="87"/>
      <c r="I3258" s="87">
        <v>1065</v>
      </c>
      <c r="J3258" s="87">
        <v>213</v>
      </c>
      <c r="K3258" s="87"/>
      <c r="L3258" s="87">
        <v>213</v>
      </c>
      <c r="M3258" s="87"/>
      <c r="N3258" s="87"/>
      <c r="O3258" s="87"/>
      <c r="P3258" s="87"/>
      <c r="Q3258" s="87"/>
      <c r="R3258" s="87"/>
      <c r="S3258" s="87">
        <v>7</v>
      </c>
      <c r="T3258" s="87"/>
      <c r="U3258" s="88"/>
      <c r="V3258" s="89"/>
      <c r="W3258" s="96">
        <v>0</v>
      </c>
      <c r="X3258" s="71">
        <f>CU3258</f>
        <v>0</v>
      </c>
      <c r="Y3258" s="71">
        <f>CY3258</f>
        <v>0</v>
      </c>
      <c r="Z3258" s="71">
        <f>DA3258+DC3258+DE3258</f>
        <v>0</v>
      </c>
      <c r="AA3258" s="71">
        <f>CW3258</f>
        <v>0</v>
      </c>
      <c r="AB3258" s="71"/>
      <c r="AC3258" s="71">
        <v>0</v>
      </c>
      <c r="AD3258" s="71">
        <f>W3258+X3258+Y3258+Z3258+AA3258+AB3258+AC3258</f>
        <v>0</v>
      </c>
      <c r="AE3258" s="72">
        <v>0</v>
      </c>
      <c r="AF3258" s="5"/>
      <c r="AG3258" s="6"/>
      <c r="AH3258" s="27"/>
      <c r="AI3258" s="44"/>
      <c r="AJ3258" s="26"/>
      <c r="AK3258" s="5"/>
      <c r="AL3258" s="278" t="s">
        <v>6198</v>
      </c>
      <c r="AM3258" s="76"/>
      <c r="AN3258" s="76"/>
      <c r="AO3258" s="76"/>
      <c r="AP3258" s="76"/>
      <c r="AQ3258" s="76"/>
      <c r="AR3258" s="76"/>
      <c r="AS3258" s="76"/>
      <c r="AT3258" s="76"/>
      <c r="AU3258" s="76"/>
      <c r="AV3258" s="76"/>
      <c r="AW3258" s="76"/>
      <c r="AX3258" s="76">
        <f>+AW3258*600000</f>
        <v>0</v>
      </c>
      <c r="AY3258" s="76"/>
      <c r="AZ3258" s="76">
        <f>+AY3258*70000</f>
        <v>0</v>
      </c>
      <c r="BA3258" s="76"/>
      <c r="BB3258" s="76"/>
      <c r="BC3258" s="76"/>
      <c r="BD3258" s="76">
        <f>+BC3258*30000</f>
        <v>0</v>
      </c>
      <c r="BE3258" s="76"/>
      <c r="BF3258" s="76"/>
      <c r="BG3258" s="76"/>
      <c r="BH3258" s="76"/>
      <c r="BI3258" s="76"/>
      <c r="BJ3258" s="76"/>
      <c r="BK3258" s="76"/>
      <c r="BL3258" s="76">
        <f>+BK3258*31500</f>
        <v>0</v>
      </c>
      <c r="BM3258" s="76"/>
      <c r="BN3258" s="76"/>
      <c r="BO3258" s="76"/>
      <c r="BP3258" s="76"/>
      <c r="BQ3258" s="76"/>
      <c r="BR3258" s="76"/>
      <c r="BS3258" s="76"/>
      <c r="BT3258" s="76"/>
      <c r="BU3258" s="76"/>
      <c r="BV3258" s="76"/>
      <c r="BW3258" s="76"/>
      <c r="BX3258" s="76"/>
      <c r="BY3258" s="76"/>
      <c r="BZ3258" s="76"/>
      <c r="CA3258" s="76"/>
      <c r="CB3258" s="76"/>
      <c r="CC3258" s="76"/>
      <c r="CD3258" s="76"/>
      <c r="CE3258" s="76"/>
      <c r="CF3258" s="76">
        <f>+CE3258*28000</f>
        <v>0</v>
      </c>
      <c r="CG3258" s="76"/>
      <c r="CH3258" s="76">
        <f>+CG3258*22500</f>
        <v>0</v>
      </c>
      <c r="CI3258" s="76"/>
      <c r="CJ3258" s="76">
        <f>+CI3258*26000</f>
        <v>0</v>
      </c>
      <c r="CK3258" s="76"/>
      <c r="CL3258" s="76"/>
      <c r="CM3258" s="76"/>
      <c r="CN3258" s="76">
        <f>+CM3258*22000</f>
        <v>0</v>
      </c>
      <c r="CO3258" s="76"/>
      <c r="CP3258" s="76">
        <f>+CO3258*46000</f>
        <v>0</v>
      </c>
      <c r="CQ3258" s="76"/>
      <c r="CR3258" s="76">
        <f>+CQ3258*49000</f>
        <v>0</v>
      </c>
      <c r="CS3258" s="76"/>
      <c r="CT3258" s="76"/>
      <c r="CU3258" s="56">
        <f>AN3258+AP3258+AR3258+AT3258+AV3258+AX3258+AZ3258+BB3258+BD3258+BF3258+BH3258+BJ3258+BL3258+BN3258+BP3258+BR3258+BT3258+BV3258+BX3258+BZ3258+CB3258+CD3258+CF3258+CH3258+CJ3258+CL3258+CN3258+CP3258+CR3258+CT3258</f>
        <v>0</v>
      </c>
      <c r="CV3258" s="76"/>
      <c r="CW3258" s="76">
        <f>+CV3258*1100</f>
        <v>0</v>
      </c>
      <c r="CX3258" s="76"/>
      <c r="CY3258" s="76">
        <f>+CX3258*106250</f>
        <v>0</v>
      </c>
      <c r="CZ3258" s="76"/>
      <c r="DA3258" s="76">
        <f>+CZ3258*34500</f>
        <v>0</v>
      </c>
      <c r="DB3258" s="76"/>
      <c r="DC3258" s="76">
        <f>+DB3258*25000</f>
        <v>0</v>
      </c>
      <c r="DD3258" s="219"/>
      <c r="DE3258" s="219"/>
      <c r="DF3258" s="166"/>
      <c r="DG3258" s="116"/>
      <c r="DH3258" s="117"/>
      <c r="DI3258" s="24"/>
      <c r="DJ3258" s="24"/>
      <c r="DK3258" s="24"/>
      <c r="DL3258" s="24"/>
      <c r="DM3258" s="24"/>
      <c r="DN3258" s="24"/>
      <c r="DO3258" s="24"/>
      <c r="DP3258" s="24"/>
      <c r="DQ3258" s="24"/>
      <c r="DR3258" s="24"/>
      <c r="DS3258" s="24"/>
      <c r="DT3258" s="24"/>
      <c r="DU3258" s="24"/>
    </row>
    <row r="3259" spans="1:125" s="8" customFormat="1" ht="108" x14ac:dyDescent="0.2">
      <c r="A3259" s="77">
        <v>41548</v>
      </c>
      <c r="B3259" s="78" t="s">
        <v>2854</v>
      </c>
      <c r="C3259" s="75" t="s">
        <v>491</v>
      </c>
      <c r="D3259" s="75" t="s">
        <v>2882</v>
      </c>
      <c r="E3259" s="75" t="str">
        <f>VLOOKUP(B3259&amp;C3259,Divipola!$C$2:$F$1138,4,FALSE)</f>
        <v>19807</v>
      </c>
      <c r="F3259" s="87"/>
      <c r="G3259" s="87"/>
      <c r="H3259" s="87"/>
      <c r="I3259" s="87">
        <v>1275</v>
      </c>
      <c r="J3259" s="87">
        <v>425</v>
      </c>
      <c r="K3259" s="87"/>
      <c r="L3259" s="87">
        <v>425</v>
      </c>
      <c r="M3259" s="87"/>
      <c r="N3259" s="87"/>
      <c r="O3259" s="87"/>
      <c r="P3259" s="87"/>
      <c r="Q3259" s="87"/>
      <c r="R3259" s="87">
        <v>1</v>
      </c>
      <c r="S3259" s="87">
        <v>10</v>
      </c>
      <c r="T3259" s="88">
        <v>1</v>
      </c>
      <c r="U3259" s="89">
        <v>90</v>
      </c>
      <c r="V3259" s="155"/>
      <c r="W3259" s="96">
        <v>0</v>
      </c>
      <c r="X3259" s="71">
        <f>CU3259</f>
        <v>0</v>
      </c>
      <c r="Y3259" s="71">
        <f>CY3259</f>
        <v>0</v>
      </c>
      <c r="Z3259" s="71">
        <f>DA3259+DC3259+DE3259</f>
        <v>153400000</v>
      </c>
      <c r="AA3259" s="71">
        <f>CW3259</f>
        <v>0</v>
      </c>
      <c r="AB3259" s="71"/>
      <c r="AC3259" s="71">
        <v>0</v>
      </c>
      <c r="AD3259" s="71">
        <f>W3259+X3259+Y3259+Z3259+AA3259+AB3259+AC3259</f>
        <v>153400000</v>
      </c>
      <c r="AE3259" s="72">
        <v>0</v>
      </c>
      <c r="AF3259" s="5"/>
      <c r="AG3259" s="6"/>
      <c r="AH3259" s="27"/>
      <c r="AI3259" s="44"/>
      <c r="AJ3259" s="26"/>
      <c r="AK3259" s="5"/>
      <c r="AL3259" s="268" t="s">
        <v>6247</v>
      </c>
      <c r="AM3259" s="76"/>
      <c r="AN3259" s="76"/>
      <c r="AO3259" s="76"/>
      <c r="AP3259" s="76"/>
      <c r="AQ3259" s="76"/>
      <c r="AR3259" s="76"/>
      <c r="AS3259" s="76"/>
      <c r="AT3259" s="76"/>
      <c r="AU3259" s="76"/>
      <c r="AV3259" s="76"/>
      <c r="AW3259" s="76"/>
      <c r="AX3259" s="76">
        <f>+AW3259*600000</f>
        <v>0</v>
      </c>
      <c r="AY3259" s="76"/>
      <c r="AZ3259" s="76">
        <f>+AY3259*70000</f>
        <v>0</v>
      </c>
      <c r="BA3259" s="76"/>
      <c r="BB3259" s="76"/>
      <c r="BC3259" s="76"/>
      <c r="BD3259" s="76">
        <f>+BC3259*30000</f>
        <v>0</v>
      </c>
      <c r="BE3259" s="76"/>
      <c r="BF3259" s="76"/>
      <c r="BG3259" s="76"/>
      <c r="BH3259" s="76"/>
      <c r="BI3259" s="76"/>
      <c r="BJ3259" s="76"/>
      <c r="BK3259" s="76"/>
      <c r="BL3259" s="76">
        <f>+BK3259*31500</f>
        <v>0</v>
      </c>
      <c r="BM3259" s="76"/>
      <c r="BN3259" s="76"/>
      <c r="BO3259" s="76"/>
      <c r="BP3259" s="76"/>
      <c r="BQ3259" s="76"/>
      <c r="BR3259" s="76"/>
      <c r="BS3259" s="76"/>
      <c r="BT3259" s="76"/>
      <c r="BU3259" s="76"/>
      <c r="BV3259" s="76"/>
      <c r="BW3259" s="76"/>
      <c r="BX3259" s="76"/>
      <c r="BY3259" s="76"/>
      <c r="BZ3259" s="76"/>
      <c r="CA3259" s="76"/>
      <c r="CB3259" s="76"/>
      <c r="CC3259" s="76"/>
      <c r="CD3259" s="76"/>
      <c r="CE3259" s="76"/>
      <c r="CF3259" s="76">
        <f>+CE3259*28000</f>
        <v>0</v>
      </c>
      <c r="CG3259" s="76"/>
      <c r="CH3259" s="76">
        <f>+CG3259*22500</f>
        <v>0</v>
      </c>
      <c r="CI3259" s="76"/>
      <c r="CJ3259" s="76">
        <f>+CI3259*26000</f>
        <v>0</v>
      </c>
      <c r="CK3259" s="76"/>
      <c r="CL3259" s="76"/>
      <c r="CM3259" s="76"/>
      <c r="CN3259" s="76">
        <f>+CM3259*22000</f>
        <v>0</v>
      </c>
      <c r="CO3259" s="76"/>
      <c r="CP3259" s="76">
        <f>+CO3259*46000</f>
        <v>0</v>
      </c>
      <c r="CQ3259" s="76"/>
      <c r="CR3259" s="76">
        <f>+CQ3259*49000</f>
        <v>0</v>
      </c>
      <c r="CS3259" s="76"/>
      <c r="CT3259" s="76"/>
      <c r="CU3259" s="56">
        <f>AN3259+AP3259+AR3259+AT3259+AV3259+AX3259+AZ3259+BB3259+BD3259+BF3259+BH3259+BJ3259+BL3259+BN3259+BP3259+BR3259+BT3259+BV3259+BX3259+BZ3259+CB3259+CD3259+CF3259+CH3259+CJ3259+CL3259+CN3259+CP3259+CR3259+CT3259</f>
        <v>0</v>
      </c>
      <c r="CV3259" s="76"/>
      <c r="CW3259" s="76">
        <f>+CV3259*1100</f>
        <v>0</v>
      </c>
      <c r="CX3259" s="76"/>
      <c r="CY3259" s="76">
        <f>+CX3259*106250</f>
        <v>0</v>
      </c>
      <c r="CZ3259" s="76"/>
      <c r="DA3259" s="76">
        <f>+CZ3259*34500</f>
        <v>0</v>
      </c>
      <c r="DB3259" s="76">
        <f>200+2000+1000+500</f>
        <v>3700</v>
      </c>
      <c r="DC3259" s="76">
        <f>200*32000+2000*42000+1000*42000+500*42000</f>
        <v>153400000</v>
      </c>
      <c r="DD3259" s="219"/>
      <c r="DE3259" s="219"/>
      <c r="DF3259" s="166"/>
      <c r="DG3259" s="116"/>
      <c r="DH3259" s="117"/>
      <c r="DI3259" s="24"/>
      <c r="DJ3259" s="24"/>
      <c r="DK3259" s="24"/>
      <c r="DL3259" s="24"/>
      <c r="DM3259" s="24"/>
      <c r="DN3259" s="24"/>
      <c r="DO3259" s="24"/>
      <c r="DP3259" s="24"/>
      <c r="DQ3259" s="24"/>
      <c r="DR3259" s="24"/>
      <c r="DS3259" s="24"/>
      <c r="DT3259" s="24"/>
      <c r="DU3259" s="24"/>
    </row>
    <row r="3260" spans="1:125" s="8" customFormat="1" ht="36" x14ac:dyDescent="0.2">
      <c r="A3260" s="248">
        <v>41548</v>
      </c>
      <c r="B3260" s="229" t="s">
        <v>2661</v>
      </c>
      <c r="C3260" s="230" t="s">
        <v>2169</v>
      </c>
      <c r="D3260" s="230" t="s">
        <v>2846</v>
      </c>
      <c r="E3260" s="75" t="str">
        <f>VLOOKUP(B3260&amp;C3260,Divipola!$C$2:$F$1138,4,FALSE)</f>
        <v>41001</v>
      </c>
      <c r="F3260" s="87"/>
      <c r="G3260" s="87"/>
      <c r="H3260" s="87"/>
      <c r="I3260" s="87"/>
      <c r="J3260" s="87"/>
      <c r="K3260" s="87"/>
      <c r="L3260" s="87"/>
      <c r="M3260" s="87"/>
      <c r="N3260" s="87"/>
      <c r="O3260" s="87"/>
      <c r="P3260" s="87"/>
      <c r="Q3260" s="87"/>
      <c r="R3260" s="87"/>
      <c r="S3260" s="87"/>
      <c r="T3260" s="87"/>
      <c r="U3260" s="88">
        <v>2</v>
      </c>
      <c r="V3260" s="89"/>
      <c r="W3260" s="96">
        <v>0</v>
      </c>
      <c r="X3260" s="71">
        <f>CU3260</f>
        <v>0</v>
      </c>
      <c r="Y3260" s="71">
        <f>CY3260</f>
        <v>0</v>
      </c>
      <c r="Z3260" s="71">
        <f>DA3260+DC3260+DE3260</f>
        <v>0</v>
      </c>
      <c r="AA3260" s="71">
        <f>CW3260</f>
        <v>0</v>
      </c>
      <c r="AB3260" s="71"/>
      <c r="AC3260" s="71">
        <v>0</v>
      </c>
      <c r="AD3260" s="71">
        <f>W3260+X3260+Y3260+Z3260+AA3260+AB3260+AC3260</f>
        <v>0</v>
      </c>
      <c r="AE3260" s="72">
        <v>0</v>
      </c>
      <c r="AF3260" s="5"/>
      <c r="AG3260" s="6"/>
      <c r="AH3260" s="27"/>
      <c r="AI3260" s="44"/>
      <c r="AJ3260" s="26"/>
      <c r="AK3260" s="5"/>
      <c r="AL3260" s="82" t="s">
        <v>6195</v>
      </c>
      <c r="AM3260" s="76"/>
      <c r="AN3260" s="76"/>
      <c r="AO3260" s="76"/>
      <c r="AP3260" s="76"/>
      <c r="AQ3260" s="76"/>
      <c r="AR3260" s="76"/>
      <c r="AS3260" s="76"/>
      <c r="AT3260" s="76"/>
      <c r="AU3260" s="76"/>
      <c r="AV3260" s="76"/>
      <c r="AW3260" s="76"/>
      <c r="AX3260" s="76">
        <f>+AW3260*600000</f>
        <v>0</v>
      </c>
      <c r="AY3260" s="76"/>
      <c r="AZ3260" s="76">
        <f>+AY3260*70000</f>
        <v>0</v>
      </c>
      <c r="BA3260" s="76"/>
      <c r="BB3260" s="76"/>
      <c r="BC3260" s="76"/>
      <c r="BD3260" s="76">
        <f>+BC3260*30000</f>
        <v>0</v>
      </c>
      <c r="BE3260" s="76"/>
      <c r="BF3260" s="76"/>
      <c r="BG3260" s="76"/>
      <c r="BH3260" s="76"/>
      <c r="BI3260" s="76"/>
      <c r="BJ3260" s="76"/>
      <c r="BK3260" s="76"/>
      <c r="BL3260" s="76">
        <f>+BK3260*31500</f>
        <v>0</v>
      </c>
      <c r="BM3260" s="76"/>
      <c r="BN3260" s="76"/>
      <c r="BO3260" s="76"/>
      <c r="BP3260" s="76"/>
      <c r="BQ3260" s="76"/>
      <c r="BR3260" s="76"/>
      <c r="BS3260" s="76"/>
      <c r="BT3260" s="76"/>
      <c r="BU3260" s="76"/>
      <c r="BV3260" s="76"/>
      <c r="BW3260" s="76"/>
      <c r="BX3260" s="76"/>
      <c r="BY3260" s="76"/>
      <c r="BZ3260" s="76"/>
      <c r="CA3260" s="76"/>
      <c r="CB3260" s="76"/>
      <c r="CC3260" s="76"/>
      <c r="CD3260" s="76"/>
      <c r="CE3260" s="76"/>
      <c r="CF3260" s="76">
        <f>+CE3260*28000</f>
        <v>0</v>
      </c>
      <c r="CG3260" s="76"/>
      <c r="CH3260" s="76">
        <f>+CG3260*22500</f>
        <v>0</v>
      </c>
      <c r="CI3260" s="76"/>
      <c r="CJ3260" s="76">
        <f>+CI3260*26000</f>
        <v>0</v>
      </c>
      <c r="CK3260" s="76"/>
      <c r="CL3260" s="76"/>
      <c r="CM3260" s="76"/>
      <c r="CN3260" s="76">
        <f>+CM3260*22000</f>
        <v>0</v>
      </c>
      <c r="CO3260" s="76"/>
      <c r="CP3260" s="76">
        <f>+CO3260*46000</f>
        <v>0</v>
      </c>
      <c r="CQ3260" s="76"/>
      <c r="CR3260" s="76">
        <f>+CQ3260*49000</f>
        <v>0</v>
      </c>
      <c r="CS3260" s="76"/>
      <c r="CT3260" s="76"/>
      <c r="CU3260" s="56">
        <f>AN3260+AP3260+AR3260+AT3260+AV3260+AX3260+AZ3260+BB3260+BD3260+BF3260+BH3260+BJ3260+BL3260+BN3260+BP3260+BR3260+BT3260+BV3260+BX3260+BZ3260+CB3260+CD3260+CF3260+CH3260+CJ3260+CL3260+CN3260+CP3260+CR3260+CT3260</f>
        <v>0</v>
      </c>
      <c r="CV3260" s="76"/>
      <c r="CW3260" s="76">
        <f>+CV3260*1100</f>
        <v>0</v>
      </c>
      <c r="CX3260" s="76"/>
      <c r="CY3260" s="76">
        <f>+CX3260*106250</f>
        <v>0</v>
      </c>
      <c r="CZ3260" s="76"/>
      <c r="DA3260" s="76">
        <f>+CZ3260*34500</f>
        <v>0</v>
      </c>
      <c r="DB3260" s="76"/>
      <c r="DC3260" s="76">
        <f>+DB3260*25000</f>
        <v>0</v>
      </c>
      <c r="DD3260" s="219"/>
      <c r="DE3260" s="219"/>
      <c r="DF3260" s="166"/>
      <c r="DG3260" s="116"/>
      <c r="DH3260" s="117"/>
      <c r="DI3260" s="24"/>
      <c r="DJ3260" s="24"/>
      <c r="DK3260" s="24"/>
      <c r="DL3260" s="24"/>
      <c r="DM3260" s="24"/>
      <c r="DN3260" s="24"/>
      <c r="DO3260" s="24"/>
      <c r="DP3260" s="24"/>
      <c r="DQ3260" s="24"/>
      <c r="DR3260" s="24"/>
      <c r="DS3260" s="24"/>
      <c r="DT3260" s="24"/>
      <c r="DU3260" s="24"/>
    </row>
    <row r="3261" spans="1:125" s="8" customFormat="1" ht="144" x14ac:dyDescent="0.2">
      <c r="A3261" s="77">
        <v>41548</v>
      </c>
      <c r="B3261" s="352" t="s">
        <v>2880</v>
      </c>
      <c r="C3261" s="354" t="s">
        <v>481</v>
      </c>
      <c r="D3261" s="354" t="s">
        <v>3635</v>
      </c>
      <c r="E3261" s="75" t="str">
        <f>VLOOKUP(B3261&amp;C3261,Divipola!$C$2:$F$1138,4,FALSE)</f>
        <v>54720</v>
      </c>
      <c r="F3261" s="87"/>
      <c r="G3261" s="87">
        <v>7</v>
      </c>
      <c r="H3261" s="87"/>
      <c r="I3261" s="87">
        <v>7</v>
      </c>
      <c r="J3261" s="87"/>
      <c r="K3261" s="87"/>
      <c r="L3261" s="87"/>
      <c r="M3261" s="87"/>
      <c r="N3261" s="87"/>
      <c r="O3261" s="87"/>
      <c r="P3261" s="87"/>
      <c r="Q3261" s="87"/>
      <c r="R3261" s="87"/>
      <c r="S3261" s="87"/>
      <c r="T3261" s="87"/>
      <c r="U3261" s="88"/>
      <c r="V3261" s="89"/>
      <c r="W3261" s="96">
        <v>0</v>
      </c>
      <c r="X3261" s="71">
        <f>CU3261</f>
        <v>0</v>
      </c>
      <c r="Y3261" s="71">
        <f>CY3261</f>
        <v>0</v>
      </c>
      <c r="Z3261" s="71">
        <f>DA3261+DC3261+DE3261</f>
        <v>0</v>
      </c>
      <c r="AA3261" s="71">
        <f>CW3261</f>
        <v>0</v>
      </c>
      <c r="AB3261" s="71"/>
      <c r="AC3261" s="71">
        <v>0</v>
      </c>
      <c r="AD3261" s="71">
        <f>W3261+X3261+Y3261+Z3261+AA3261+AB3261+AC3261</f>
        <v>0</v>
      </c>
      <c r="AE3261" s="72">
        <v>0</v>
      </c>
      <c r="AF3261" s="5"/>
      <c r="AG3261" s="6"/>
      <c r="AH3261" s="27"/>
      <c r="AI3261" s="44"/>
      <c r="AJ3261" s="26"/>
      <c r="AK3261" s="5"/>
      <c r="AL3261" s="276" t="s">
        <v>6200</v>
      </c>
      <c r="AM3261" s="76"/>
      <c r="AN3261" s="76"/>
      <c r="AO3261" s="76"/>
      <c r="AP3261" s="76"/>
      <c r="AQ3261" s="76"/>
      <c r="AR3261" s="76"/>
      <c r="AS3261" s="76"/>
      <c r="AT3261" s="76"/>
      <c r="AU3261" s="76"/>
      <c r="AV3261" s="76"/>
      <c r="AW3261" s="76"/>
      <c r="AX3261" s="76">
        <f>+AW3261*600000</f>
        <v>0</v>
      </c>
      <c r="AY3261" s="76"/>
      <c r="AZ3261" s="76">
        <f>+AY3261*70000</f>
        <v>0</v>
      </c>
      <c r="BA3261" s="76"/>
      <c r="BB3261" s="76"/>
      <c r="BC3261" s="76"/>
      <c r="BD3261" s="76">
        <f>+BC3261*30000</f>
        <v>0</v>
      </c>
      <c r="BE3261" s="76"/>
      <c r="BF3261" s="76"/>
      <c r="BG3261" s="76"/>
      <c r="BH3261" s="76"/>
      <c r="BI3261" s="76"/>
      <c r="BJ3261" s="76"/>
      <c r="BK3261" s="76"/>
      <c r="BL3261" s="76">
        <f>+BK3261*31500</f>
        <v>0</v>
      </c>
      <c r="BM3261" s="76"/>
      <c r="BN3261" s="76"/>
      <c r="BO3261" s="76"/>
      <c r="BP3261" s="76"/>
      <c r="BQ3261" s="76"/>
      <c r="BR3261" s="76"/>
      <c r="BS3261" s="76"/>
      <c r="BT3261" s="76"/>
      <c r="BU3261" s="76"/>
      <c r="BV3261" s="76"/>
      <c r="BW3261" s="76"/>
      <c r="BX3261" s="76"/>
      <c r="BY3261" s="76"/>
      <c r="BZ3261" s="76"/>
      <c r="CA3261" s="76"/>
      <c r="CB3261" s="76"/>
      <c r="CC3261" s="76"/>
      <c r="CD3261" s="76"/>
      <c r="CE3261" s="76"/>
      <c r="CF3261" s="76">
        <f>+CE3261*28000</f>
        <v>0</v>
      </c>
      <c r="CG3261" s="76"/>
      <c r="CH3261" s="76">
        <f>+CG3261*22500</f>
        <v>0</v>
      </c>
      <c r="CI3261" s="76"/>
      <c r="CJ3261" s="76">
        <f>+CI3261*26000</f>
        <v>0</v>
      </c>
      <c r="CK3261" s="76"/>
      <c r="CL3261" s="76"/>
      <c r="CM3261" s="76"/>
      <c r="CN3261" s="76">
        <f>+CM3261*22000</f>
        <v>0</v>
      </c>
      <c r="CO3261" s="76"/>
      <c r="CP3261" s="76">
        <f>+CO3261*46000</f>
        <v>0</v>
      </c>
      <c r="CQ3261" s="76"/>
      <c r="CR3261" s="76">
        <f>+CQ3261*49000</f>
        <v>0</v>
      </c>
      <c r="CS3261" s="76"/>
      <c r="CT3261" s="76"/>
      <c r="CU3261" s="56">
        <f>AN3261+AP3261+AR3261+AT3261+AV3261+AX3261+AZ3261+BB3261+BD3261+BF3261+BH3261+BJ3261+BL3261+BN3261+BP3261+BR3261+BT3261+BV3261+BX3261+BZ3261+CB3261+CD3261+CF3261+CH3261+CJ3261+CL3261+CN3261+CP3261+CR3261+CT3261</f>
        <v>0</v>
      </c>
      <c r="CV3261" s="76"/>
      <c r="CW3261" s="76">
        <f>+CV3261*1100</f>
        <v>0</v>
      </c>
      <c r="CX3261" s="76"/>
      <c r="CY3261" s="76">
        <f>+CX3261*106250</f>
        <v>0</v>
      </c>
      <c r="CZ3261" s="76"/>
      <c r="DA3261" s="76">
        <f>+CZ3261*34500</f>
        <v>0</v>
      </c>
      <c r="DB3261" s="76"/>
      <c r="DC3261" s="76">
        <f>+DB3261*25000</f>
        <v>0</v>
      </c>
      <c r="DD3261" s="219"/>
      <c r="DE3261" s="219"/>
      <c r="DF3261" s="166"/>
      <c r="DG3261" s="116"/>
      <c r="DH3261" s="117"/>
      <c r="DI3261" s="24"/>
      <c r="DJ3261" s="24"/>
      <c r="DK3261" s="24"/>
      <c r="DL3261" s="24"/>
      <c r="DM3261" s="24"/>
      <c r="DN3261" s="24"/>
      <c r="DO3261" s="24"/>
      <c r="DP3261" s="24"/>
      <c r="DQ3261" s="24"/>
      <c r="DR3261" s="24"/>
      <c r="DS3261" s="24"/>
      <c r="DT3261" s="24"/>
      <c r="DU3261" s="24"/>
    </row>
    <row r="3262" spans="1:125" s="8" customFormat="1" ht="36" x14ac:dyDescent="0.2">
      <c r="A3262" s="228">
        <v>41548</v>
      </c>
      <c r="B3262" s="229" t="s">
        <v>2847</v>
      </c>
      <c r="C3262" s="230" t="s">
        <v>2673</v>
      </c>
      <c r="D3262" s="230" t="s">
        <v>2846</v>
      </c>
      <c r="E3262" s="75" t="str">
        <f>VLOOKUP(B3262&amp;C3262,Divipola!$C$2:$F$1138,4,FALSE)</f>
        <v>68001</v>
      </c>
      <c r="F3262" s="87"/>
      <c r="G3262" s="87"/>
      <c r="H3262" s="87"/>
      <c r="I3262" s="87"/>
      <c r="J3262" s="87"/>
      <c r="K3262" s="87"/>
      <c r="L3262" s="87"/>
      <c r="M3262" s="87"/>
      <c r="N3262" s="87"/>
      <c r="O3262" s="87"/>
      <c r="P3262" s="87"/>
      <c r="Q3262" s="87"/>
      <c r="R3262" s="87"/>
      <c r="S3262" s="87"/>
      <c r="T3262" s="87"/>
      <c r="U3262" s="88">
        <v>2</v>
      </c>
      <c r="V3262" s="89"/>
      <c r="W3262" s="96">
        <v>0</v>
      </c>
      <c r="X3262" s="71">
        <f>CU3262</f>
        <v>0</v>
      </c>
      <c r="Y3262" s="71">
        <f>CY3262</f>
        <v>0</v>
      </c>
      <c r="Z3262" s="71">
        <f>DA3262+DC3262+DE3262</f>
        <v>0</v>
      </c>
      <c r="AA3262" s="71">
        <f>CW3262</f>
        <v>0</v>
      </c>
      <c r="AB3262" s="71"/>
      <c r="AC3262" s="71">
        <v>0</v>
      </c>
      <c r="AD3262" s="71">
        <f>W3262+X3262+Y3262+Z3262+AA3262+AB3262+AC3262</f>
        <v>0</v>
      </c>
      <c r="AE3262" s="72">
        <v>0</v>
      </c>
      <c r="AF3262" s="5"/>
      <c r="AG3262" s="6"/>
      <c r="AH3262" s="27"/>
      <c r="AI3262" s="44"/>
      <c r="AJ3262" s="26"/>
      <c r="AK3262" s="5"/>
      <c r="AL3262" s="82" t="s">
        <v>6194</v>
      </c>
      <c r="AM3262" s="76"/>
      <c r="AN3262" s="76"/>
      <c r="AO3262" s="76"/>
      <c r="AP3262" s="76"/>
      <c r="AQ3262" s="76"/>
      <c r="AR3262" s="76"/>
      <c r="AS3262" s="76"/>
      <c r="AT3262" s="76"/>
      <c r="AU3262" s="76"/>
      <c r="AV3262" s="76"/>
      <c r="AW3262" s="76"/>
      <c r="AX3262" s="76">
        <f>+AW3262*600000</f>
        <v>0</v>
      </c>
      <c r="AY3262" s="76"/>
      <c r="AZ3262" s="76">
        <f>+AY3262*70000</f>
        <v>0</v>
      </c>
      <c r="BA3262" s="76"/>
      <c r="BB3262" s="76"/>
      <c r="BC3262" s="76"/>
      <c r="BD3262" s="76">
        <f>+BC3262*30000</f>
        <v>0</v>
      </c>
      <c r="BE3262" s="76"/>
      <c r="BF3262" s="76"/>
      <c r="BG3262" s="76"/>
      <c r="BH3262" s="76"/>
      <c r="BI3262" s="76"/>
      <c r="BJ3262" s="76"/>
      <c r="BK3262" s="76"/>
      <c r="BL3262" s="76">
        <f>+BK3262*31500</f>
        <v>0</v>
      </c>
      <c r="BM3262" s="76"/>
      <c r="BN3262" s="76"/>
      <c r="BO3262" s="76"/>
      <c r="BP3262" s="76"/>
      <c r="BQ3262" s="76"/>
      <c r="BR3262" s="76"/>
      <c r="BS3262" s="76"/>
      <c r="BT3262" s="76"/>
      <c r="BU3262" s="76"/>
      <c r="BV3262" s="76"/>
      <c r="BW3262" s="76"/>
      <c r="BX3262" s="76"/>
      <c r="BY3262" s="76"/>
      <c r="BZ3262" s="76"/>
      <c r="CA3262" s="76"/>
      <c r="CB3262" s="76"/>
      <c r="CC3262" s="76"/>
      <c r="CD3262" s="76"/>
      <c r="CE3262" s="76"/>
      <c r="CF3262" s="76">
        <f>+CE3262*28000</f>
        <v>0</v>
      </c>
      <c r="CG3262" s="76"/>
      <c r="CH3262" s="76">
        <f>+CG3262*22500</f>
        <v>0</v>
      </c>
      <c r="CI3262" s="76"/>
      <c r="CJ3262" s="76">
        <f>+CI3262*26000</f>
        <v>0</v>
      </c>
      <c r="CK3262" s="76"/>
      <c r="CL3262" s="76"/>
      <c r="CM3262" s="76"/>
      <c r="CN3262" s="76">
        <f>+CM3262*22000</f>
        <v>0</v>
      </c>
      <c r="CO3262" s="76"/>
      <c r="CP3262" s="76">
        <f>+CO3262*46000</f>
        <v>0</v>
      </c>
      <c r="CQ3262" s="76"/>
      <c r="CR3262" s="76">
        <f>+CQ3262*49000</f>
        <v>0</v>
      </c>
      <c r="CS3262" s="76"/>
      <c r="CT3262" s="76"/>
      <c r="CU3262" s="56">
        <f>AN3262+AP3262+AR3262+AT3262+AV3262+AX3262+AZ3262+BB3262+BD3262+BF3262+BH3262+BJ3262+BL3262+BN3262+BP3262+BR3262+BT3262+BV3262+BX3262+BZ3262+CB3262+CD3262+CF3262+CH3262+CJ3262+CL3262+CN3262+CP3262+CR3262+CT3262</f>
        <v>0</v>
      </c>
      <c r="CV3262" s="76"/>
      <c r="CW3262" s="76">
        <f>+CV3262*1100</f>
        <v>0</v>
      </c>
      <c r="CX3262" s="76"/>
      <c r="CY3262" s="76">
        <f>+CX3262*106250</f>
        <v>0</v>
      </c>
      <c r="CZ3262" s="76"/>
      <c r="DA3262" s="76">
        <f>+CZ3262*34500</f>
        <v>0</v>
      </c>
      <c r="DB3262" s="76"/>
      <c r="DC3262" s="76">
        <f>+DB3262*25000</f>
        <v>0</v>
      </c>
      <c r="DD3262" s="219"/>
      <c r="DE3262" s="219"/>
      <c r="DF3262" s="166"/>
      <c r="DG3262" s="116"/>
      <c r="DH3262" s="117"/>
      <c r="DI3262" s="24"/>
      <c r="DJ3262" s="24"/>
      <c r="DK3262" s="24"/>
      <c r="DL3262" s="24"/>
      <c r="DM3262" s="24"/>
      <c r="DN3262" s="24"/>
      <c r="DO3262" s="24"/>
      <c r="DP3262" s="24"/>
      <c r="DQ3262" s="24"/>
      <c r="DR3262" s="24"/>
      <c r="DS3262" s="24"/>
      <c r="DT3262" s="24"/>
      <c r="DU3262" s="24"/>
    </row>
    <row r="3263" spans="1:125" s="8" customFormat="1" ht="72" x14ac:dyDescent="0.2">
      <c r="A3263" s="228">
        <v>41548</v>
      </c>
      <c r="B3263" s="229" t="s">
        <v>2309</v>
      </c>
      <c r="C3263" s="230" t="s">
        <v>2310</v>
      </c>
      <c r="D3263" s="230" t="s">
        <v>3051</v>
      </c>
      <c r="E3263" s="75" t="str">
        <f>VLOOKUP(B3263&amp;C3263,Divipola!$C$2:$F$1138,4,FALSE)</f>
        <v>99001</v>
      </c>
      <c r="F3263" s="87"/>
      <c r="G3263" s="87"/>
      <c r="H3263" s="87"/>
      <c r="I3263" s="87"/>
      <c r="J3263" s="87"/>
      <c r="K3263" s="87"/>
      <c r="L3263" s="87"/>
      <c r="M3263" s="87"/>
      <c r="N3263" s="87"/>
      <c r="O3263" s="87"/>
      <c r="P3263" s="87"/>
      <c r="Q3263" s="87"/>
      <c r="R3263" s="87"/>
      <c r="S3263" s="87"/>
      <c r="T3263" s="87"/>
      <c r="U3263" s="88"/>
      <c r="V3263" s="89"/>
      <c r="W3263" s="96">
        <v>0</v>
      </c>
      <c r="X3263" s="71">
        <f>CU3263</f>
        <v>0</v>
      </c>
      <c r="Y3263" s="71">
        <f>CY3263</f>
        <v>0</v>
      </c>
      <c r="Z3263" s="71">
        <f>DA3263+DC3263+DE3263</f>
        <v>0</v>
      </c>
      <c r="AA3263" s="71">
        <f>CW3263</f>
        <v>0</v>
      </c>
      <c r="AB3263" s="71"/>
      <c r="AC3263" s="71">
        <v>0</v>
      </c>
      <c r="AD3263" s="71">
        <f>W3263+X3263+Y3263+Z3263+AA3263+AB3263+AC3263</f>
        <v>0</v>
      </c>
      <c r="AE3263" s="72">
        <v>0</v>
      </c>
      <c r="AF3263" s="5"/>
      <c r="AG3263" s="6"/>
      <c r="AH3263" s="27"/>
      <c r="AI3263" s="44"/>
      <c r="AJ3263" s="26"/>
      <c r="AK3263" s="5"/>
      <c r="AL3263" s="82" t="s">
        <v>6196</v>
      </c>
      <c r="AM3263" s="76"/>
      <c r="AN3263" s="76"/>
      <c r="AO3263" s="76"/>
      <c r="AP3263" s="76"/>
      <c r="AQ3263" s="76"/>
      <c r="AR3263" s="76"/>
      <c r="AS3263" s="76"/>
      <c r="AT3263" s="76"/>
      <c r="AU3263" s="76"/>
      <c r="AV3263" s="76"/>
      <c r="AW3263" s="76"/>
      <c r="AX3263" s="76">
        <f>+AW3263*600000</f>
        <v>0</v>
      </c>
      <c r="AY3263" s="76"/>
      <c r="AZ3263" s="76">
        <f>+AY3263*70000</f>
        <v>0</v>
      </c>
      <c r="BA3263" s="76"/>
      <c r="BB3263" s="76"/>
      <c r="BC3263" s="76"/>
      <c r="BD3263" s="76">
        <f>+BC3263*30000</f>
        <v>0</v>
      </c>
      <c r="BE3263" s="76"/>
      <c r="BF3263" s="76"/>
      <c r="BG3263" s="76"/>
      <c r="BH3263" s="76"/>
      <c r="BI3263" s="76"/>
      <c r="BJ3263" s="76"/>
      <c r="BK3263" s="76"/>
      <c r="BL3263" s="76">
        <f>+BK3263*31500</f>
        <v>0</v>
      </c>
      <c r="BM3263" s="76"/>
      <c r="BN3263" s="76"/>
      <c r="BO3263" s="76"/>
      <c r="BP3263" s="76"/>
      <c r="BQ3263" s="76"/>
      <c r="BR3263" s="76"/>
      <c r="BS3263" s="76"/>
      <c r="BT3263" s="76"/>
      <c r="BU3263" s="76"/>
      <c r="BV3263" s="76"/>
      <c r="BW3263" s="76"/>
      <c r="BX3263" s="76"/>
      <c r="BY3263" s="76"/>
      <c r="BZ3263" s="76"/>
      <c r="CA3263" s="76"/>
      <c r="CB3263" s="76"/>
      <c r="CC3263" s="76"/>
      <c r="CD3263" s="76"/>
      <c r="CE3263" s="76"/>
      <c r="CF3263" s="76">
        <f>+CE3263*28000</f>
        <v>0</v>
      </c>
      <c r="CG3263" s="76"/>
      <c r="CH3263" s="76">
        <f>+CG3263*22500</f>
        <v>0</v>
      </c>
      <c r="CI3263" s="76"/>
      <c r="CJ3263" s="76">
        <f>+CI3263*26000</f>
        <v>0</v>
      </c>
      <c r="CK3263" s="76"/>
      <c r="CL3263" s="76"/>
      <c r="CM3263" s="76"/>
      <c r="CN3263" s="76">
        <f>+CM3263*22000</f>
        <v>0</v>
      </c>
      <c r="CO3263" s="76"/>
      <c r="CP3263" s="76">
        <f>+CO3263*46000</f>
        <v>0</v>
      </c>
      <c r="CQ3263" s="76"/>
      <c r="CR3263" s="76">
        <f>+CQ3263*49000</f>
        <v>0</v>
      </c>
      <c r="CS3263" s="76"/>
      <c r="CT3263" s="76"/>
      <c r="CU3263" s="56">
        <f>AN3263+AP3263+AR3263+AT3263+AV3263+AX3263+AZ3263+BB3263+BD3263+BF3263+BH3263+BJ3263+BL3263+BN3263+BP3263+BR3263+BT3263+BV3263+BX3263+BZ3263+CB3263+CD3263+CF3263+CH3263+CJ3263+CL3263+CN3263+CP3263+CR3263+CT3263</f>
        <v>0</v>
      </c>
      <c r="CV3263" s="76"/>
      <c r="CW3263" s="76">
        <f>+CV3263*1100</f>
        <v>0</v>
      </c>
      <c r="CX3263" s="76"/>
      <c r="CY3263" s="76">
        <f>+CX3263*106250</f>
        <v>0</v>
      </c>
      <c r="CZ3263" s="76"/>
      <c r="DA3263" s="76">
        <f>+CZ3263*34500</f>
        <v>0</v>
      </c>
      <c r="DB3263" s="76"/>
      <c r="DC3263" s="76">
        <f>+DB3263*25000</f>
        <v>0</v>
      </c>
      <c r="DD3263" s="219"/>
      <c r="DE3263" s="219"/>
      <c r="DF3263" s="166"/>
      <c r="DG3263" s="116"/>
      <c r="DH3263" s="117"/>
      <c r="DI3263" s="24"/>
      <c r="DJ3263" s="24"/>
      <c r="DK3263" s="24"/>
      <c r="DL3263" s="24"/>
      <c r="DM3263" s="24"/>
      <c r="DN3263" s="24"/>
      <c r="DO3263" s="24"/>
      <c r="DP3263" s="24"/>
      <c r="DQ3263" s="24"/>
      <c r="DR3263" s="24"/>
      <c r="DS3263" s="24"/>
      <c r="DT3263" s="24"/>
      <c r="DU3263" s="24"/>
    </row>
    <row r="3264" spans="1:125" s="8" customFormat="1" ht="132" x14ac:dyDescent="0.2">
      <c r="A3264" s="77">
        <v>41548</v>
      </c>
      <c r="B3264" s="352" t="s">
        <v>2772</v>
      </c>
      <c r="C3264" s="354" t="s">
        <v>1022</v>
      </c>
      <c r="D3264" s="354" t="s">
        <v>2882</v>
      </c>
      <c r="E3264" s="75" t="str">
        <f>VLOOKUP(B3264&amp;C3264,Divipola!$C$2:$F$1138,4,FALSE)</f>
        <v>25123</v>
      </c>
      <c r="F3264" s="87"/>
      <c r="G3264" s="87"/>
      <c r="H3264" s="87"/>
      <c r="I3264" s="87">
        <v>14</v>
      </c>
      <c r="J3264" s="87">
        <v>7</v>
      </c>
      <c r="K3264" s="87"/>
      <c r="L3264" s="87">
        <v>7</v>
      </c>
      <c r="M3264" s="87"/>
      <c r="N3264" s="87"/>
      <c r="O3264" s="87"/>
      <c r="P3264" s="87"/>
      <c r="Q3264" s="87"/>
      <c r="R3264" s="87"/>
      <c r="S3264" s="87"/>
      <c r="T3264" s="87">
        <v>2</v>
      </c>
      <c r="U3264" s="88"/>
      <c r="V3264" s="89"/>
      <c r="W3264" s="96">
        <v>0</v>
      </c>
      <c r="X3264" s="71">
        <f>CU3264</f>
        <v>0</v>
      </c>
      <c r="Y3264" s="71">
        <f>CY3264</f>
        <v>0</v>
      </c>
      <c r="Z3264" s="71">
        <f>DA3264+DC3264+DE3264</f>
        <v>0</v>
      </c>
      <c r="AA3264" s="71">
        <f>CW3264</f>
        <v>0</v>
      </c>
      <c r="AB3264" s="71"/>
      <c r="AC3264" s="71">
        <v>0</v>
      </c>
      <c r="AD3264" s="71">
        <f>W3264+X3264+Y3264+Z3264+AA3264+AB3264+AC3264</f>
        <v>0</v>
      </c>
      <c r="AE3264" s="72">
        <v>0</v>
      </c>
      <c r="AF3264" s="5"/>
      <c r="AG3264" s="6"/>
      <c r="AH3264" s="27"/>
      <c r="AI3264" s="44"/>
      <c r="AJ3264" s="26"/>
      <c r="AK3264" s="5"/>
      <c r="AL3264" s="274" t="s">
        <v>6383</v>
      </c>
      <c r="AM3264" s="76"/>
      <c r="AN3264" s="76"/>
      <c r="AO3264" s="76"/>
      <c r="AP3264" s="76"/>
      <c r="AQ3264" s="76"/>
      <c r="AR3264" s="76"/>
      <c r="AS3264" s="76"/>
      <c r="AT3264" s="76"/>
      <c r="AU3264" s="76"/>
      <c r="AV3264" s="76"/>
      <c r="AW3264" s="76"/>
      <c r="AX3264" s="76">
        <f>+AW3264*600000</f>
        <v>0</v>
      </c>
      <c r="AY3264" s="76"/>
      <c r="AZ3264" s="76">
        <f>+AY3264*70000</f>
        <v>0</v>
      </c>
      <c r="BA3264" s="76"/>
      <c r="BB3264" s="76"/>
      <c r="BC3264" s="76"/>
      <c r="BD3264" s="76">
        <f>+BC3264*30000</f>
        <v>0</v>
      </c>
      <c r="BE3264" s="76"/>
      <c r="BF3264" s="76"/>
      <c r="BG3264" s="76"/>
      <c r="BH3264" s="76"/>
      <c r="BI3264" s="76"/>
      <c r="BJ3264" s="76"/>
      <c r="BK3264" s="76"/>
      <c r="BL3264" s="76">
        <f>+BK3264*31500</f>
        <v>0</v>
      </c>
      <c r="BM3264" s="76"/>
      <c r="BN3264" s="76"/>
      <c r="BO3264" s="76"/>
      <c r="BP3264" s="76"/>
      <c r="BQ3264" s="76"/>
      <c r="BR3264" s="76"/>
      <c r="BS3264" s="76"/>
      <c r="BT3264" s="76"/>
      <c r="BU3264" s="76"/>
      <c r="BV3264" s="76"/>
      <c r="BW3264" s="76"/>
      <c r="BX3264" s="76"/>
      <c r="BY3264" s="76"/>
      <c r="BZ3264" s="76"/>
      <c r="CA3264" s="76"/>
      <c r="CB3264" s="76"/>
      <c r="CC3264" s="76"/>
      <c r="CD3264" s="76"/>
      <c r="CE3264" s="76"/>
      <c r="CF3264" s="76">
        <f>+CE3264*28000</f>
        <v>0</v>
      </c>
      <c r="CG3264" s="76"/>
      <c r="CH3264" s="76">
        <f>+CG3264*22500</f>
        <v>0</v>
      </c>
      <c r="CI3264" s="76"/>
      <c r="CJ3264" s="76">
        <f>+CI3264*26000</f>
        <v>0</v>
      </c>
      <c r="CK3264" s="76"/>
      <c r="CL3264" s="76"/>
      <c r="CM3264" s="76"/>
      <c r="CN3264" s="76">
        <f>+CM3264*22000</f>
        <v>0</v>
      </c>
      <c r="CO3264" s="76"/>
      <c r="CP3264" s="76">
        <f>+CO3264*46000</f>
        <v>0</v>
      </c>
      <c r="CQ3264" s="76"/>
      <c r="CR3264" s="76">
        <f>+CQ3264*49000</f>
        <v>0</v>
      </c>
      <c r="CS3264" s="76"/>
      <c r="CT3264" s="76"/>
      <c r="CU3264" s="56">
        <f>AN3264+AP3264+AR3264+AT3264+AV3264+AX3264+AZ3264+BB3264+BD3264+BF3264+BH3264+BJ3264+BL3264+BN3264+BP3264+BR3264+BT3264+BV3264+BX3264+BZ3264+CB3264+CD3264+CF3264+CH3264+CJ3264+CL3264+CN3264+CP3264+CR3264+CT3264</f>
        <v>0</v>
      </c>
      <c r="CV3264" s="76"/>
      <c r="CW3264" s="76">
        <f>+CV3264*1100</f>
        <v>0</v>
      </c>
      <c r="CX3264" s="76"/>
      <c r="CY3264" s="76">
        <f>+CX3264*106250</f>
        <v>0</v>
      </c>
      <c r="CZ3264" s="76"/>
      <c r="DA3264" s="76">
        <f>+CZ3264*34500</f>
        <v>0</v>
      </c>
      <c r="DB3264" s="76"/>
      <c r="DC3264" s="76">
        <f>+DB3264*25000</f>
        <v>0</v>
      </c>
      <c r="DD3264" s="219"/>
      <c r="DE3264" s="219"/>
      <c r="DF3264" s="166"/>
      <c r="DG3264" s="116"/>
      <c r="DH3264" s="117"/>
      <c r="DI3264" s="24"/>
      <c r="DJ3264" s="24"/>
      <c r="DK3264" s="24"/>
      <c r="DL3264" s="24"/>
      <c r="DM3264" s="24"/>
      <c r="DN3264" s="24"/>
      <c r="DO3264" s="24"/>
      <c r="DP3264" s="24"/>
      <c r="DQ3264" s="24"/>
      <c r="DR3264" s="24"/>
      <c r="DS3264" s="24"/>
      <c r="DT3264" s="24"/>
      <c r="DU3264" s="24"/>
    </row>
    <row r="3265" spans="1:125" s="8" customFormat="1" ht="144" x14ac:dyDescent="0.2">
      <c r="A3265" s="353">
        <v>41548</v>
      </c>
      <c r="B3265" s="352" t="s">
        <v>2854</v>
      </c>
      <c r="C3265" s="354" t="s">
        <v>501</v>
      </c>
      <c r="D3265" s="354" t="s">
        <v>2882</v>
      </c>
      <c r="E3265" s="75" t="str">
        <f>VLOOKUP(B3265&amp;C3265,Divipola!$C$2:$F$1138,4,FALSE)</f>
        <v>19256</v>
      </c>
      <c r="F3265" s="87"/>
      <c r="G3265" s="87"/>
      <c r="H3265" s="87"/>
      <c r="I3265" s="87">
        <v>580</v>
      </c>
      <c r="J3265" s="87">
        <v>145</v>
      </c>
      <c r="K3265" s="87"/>
      <c r="L3265" s="87">
        <v>145</v>
      </c>
      <c r="M3265" s="87"/>
      <c r="N3265" s="87"/>
      <c r="O3265" s="87"/>
      <c r="P3265" s="87"/>
      <c r="Q3265" s="87"/>
      <c r="R3265" s="87"/>
      <c r="S3265" s="87"/>
      <c r="T3265" s="88"/>
      <c r="U3265" s="89"/>
      <c r="V3265" s="333"/>
      <c r="W3265" s="96">
        <v>0</v>
      </c>
      <c r="X3265" s="71">
        <f>CU3265</f>
        <v>0</v>
      </c>
      <c r="Y3265" s="71">
        <f>CY3265</f>
        <v>0</v>
      </c>
      <c r="Z3265" s="71">
        <f>DA3265+DC3265+DE3265</f>
        <v>240556000</v>
      </c>
      <c r="AA3265" s="71">
        <f>CW3265</f>
        <v>0</v>
      </c>
      <c r="AB3265" s="71"/>
      <c r="AC3265" s="71">
        <v>0</v>
      </c>
      <c r="AD3265" s="71">
        <f>W3265+X3265+Y3265+Z3265+AA3265+AB3265+AC3265</f>
        <v>240556000</v>
      </c>
      <c r="AE3265" s="72">
        <v>0</v>
      </c>
      <c r="AF3265" s="5"/>
      <c r="AG3265" s="6"/>
      <c r="AH3265" s="27"/>
      <c r="AI3265" s="44"/>
      <c r="AJ3265" s="26"/>
      <c r="AK3265" s="5"/>
      <c r="AL3265" s="268" t="s">
        <v>6455</v>
      </c>
      <c r="AM3265" s="76"/>
      <c r="AN3265" s="76"/>
      <c r="AO3265" s="76"/>
      <c r="AP3265" s="76"/>
      <c r="AQ3265" s="76"/>
      <c r="AR3265" s="76"/>
      <c r="AS3265" s="76"/>
      <c r="AT3265" s="76"/>
      <c r="AU3265" s="76"/>
      <c r="AV3265" s="76"/>
      <c r="AW3265" s="76"/>
      <c r="AX3265" s="76">
        <f>+AW3265*600000</f>
        <v>0</v>
      </c>
      <c r="AY3265" s="76"/>
      <c r="AZ3265" s="76">
        <f>+AY3265*70000</f>
        <v>0</v>
      </c>
      <c r="BA3265" s="76"/>
      <c r="BB3265" s="76"/>
      <c r="BC3265" s="76"/>
      <c r="BD3265" s="76">
        <f>+BC3265*30000</f>
        <v>0</v>
      </c>
      <c r="BE3265" s="76"/>
      <c r="BF3265" s="76"/>
      <c r="BG3265" s="76"/>
      <c r="BH3265" s="76"/>
      <c r="BI3265" s="76"/>
      <c r="BJ3265" s="76"/>
      <c r="BK3265" s="76"/>
      <c r="BL3265" s="76">
        <f>+BK3265*31500</f>
        <v>0</v>
      </c>
      <c r="BM3265" s="76"/>
      <c r="BN3265" s="76"/>
      <c r="BO3265" s="76"/>
      <c r="BP3265" s="76"/>
      <c r="BQ3265" s="76"/>
      <c r="BR3265" s="76"/>
      <c r="BS3265" s="76"/>
      <c r="BT3265" s="76"/>
      <c r="BU3265" s="76"/>
      <c r="BV3265" s="76"/>
      <c r="BW3265" s="76"/>
      <c r="BX3265" s="76"/>
      <c r="BY3265" s="76"/>
      <c r="BZ3265" s="76"/>
      <c r="CA3265" s="76"/>
      <c r="CB3265" s="76"/>
      <c r="CC3265" s="76"/>
      <c r="CD3265" s="76"/>
      <c r="CE3265" s="76"/>
      <c r="CF3265" s="76">
        <f>+CE3265*28000</f>
        <v>0</v>
      </c>
      <c r="CG3265" s="76"/>
      <c r="CH3265" s="76">
        <f>+CG3265*22500</f>
        <v>0</v>
      </c>
      <c r="CI3265" s="76"/>
      <c r="CJ3265" s="76">
        <f>+CI3265*26000</f>
        <v>0</v>
      </c>
      <c r="CK3265" s="76"/>
      <c r="CL3265" s="76"/>
      <c r="CM3265" s="76"/>
      <c r="CN3265" s="76">
        <f>+CM3265*22000</f>
        <v>0</v>
      </c>
      <c r="CO3265" s="76"/>
      <c r="CP3265" s="76">
        <f>+CO3265*46000</f>
        <v>0</v>
      </c>
      <c r="CQ3265" s="76"/>
      <c r="CR3265" s="76">
        <f>+CQ3265*49000</f>
        <v>0</v>
      </c>
      <c r="CS3265" s="76"/>
      <c r="CT3265" s="76"/>
      <c r="CU3265" s="56">
        <f>AN3265+AP3265+AR3265+AT3265+AV3265+AX3265+AZ3265+BB3265+BD3265+BF3265+BH3265+BJ3265+BL3265+BN3265+BP3265+BR3265+BT3265+BV3265+BX3265+BZ3265+CB3265+CD3265+CF3265+CH3265+CJ3265+CL3265+CN3265+CP3265+CR3265+CT3265</f>
        <v>0</v>
      </c>
      <c r="CV3265" s="76"/>
      <c r="CW3265" s="76">
        <f>+CV3265*1100</f>
        <v>0</v>
      </c>
      <c r="CX3265" s="76"/>
      <c r="CY3265" s="76">
        <f>+CX3265*106250</f>
        <v>0</v>
      </c>
      <c r="CZ3265" s="76"/>
      <c r="DA3265" s="76">
        <f>+CZ3265*34500</f>
        <v>0</v>
      </c>
      <c r="DB3265" s="76">
        <f>5000+1500+418</f>
        <v>6918</v>
      </c>
      <c r="DC3265" s="76">
        <f>5000*32000+1500*42000+418*42000</f>
        <v>240556000</v>
      </c>
      <c r="DD3265" s="219"/>
      <c r="DE3265" s="219"/>
      <c r="DF3265" s="166"/>
      <c r="DG3265" s="116"/>
      <c r="DH3265" s="117"/>
      <c r="DI3265" s="24"/>
      <c r="DJ3265" s="24"/>
      <c r="DK3265" s="24"/>
      <c r="DL3265" s="24"/>
      <c r="DM3265" s="24"/>
      <c r="DN3265" s="24"/>
      <c r="DO3265" s="24"/>
      <c r="DP3265" s="24"/>
      <c r="DQ3265" s="24"/>
      <c r="DR3265" s="24"/>
      <c r="DS3265" s="24"/>
      <c r="DT3265" s="24"/>
      <c r="DU3265" s="24"/>
    </row>
    <row r="3266" spans="1:125" s="8" customFormat="1" ht="180" x14ac:dyDescent="0.2">
      <c r="A3266" s="77">
        <v>41549</v>
      </c>
      <c r="B3266" s="78" t="s">
        <v>2772</v>
      </c>
      <c r="C3266" s="75" t="s">
        <v>486</v>
      </c>
      <c r="D3266" s="75" t="s">
        <v>2882</v>
      </c>
      <c r="E3266" s="75" t="str">
        <f>VLOOKUP(B3266&amp;C3266,Divipola!$C$2:$F$1138,4,FALSE)</f>
        <v>25491</v>
      </c>
      <c r="F3266" s="87"/>
      <c r="G3266" s="87"/>
      <c r="H3266" s="87"/>
      <c r="I3266" s="87">
        <v>500</v>
      </c>
      <c r="J3266" s="87">
        <v>100</v>
      </c>
      <c r="K3266" s="87"/>
      <c r="L3266" s="87">
        <v>100</v>
      </c>
      <c r="M3266" s="87"/>
      <c r="N3266" s="87"/>
      <c r="O3266" s="87"/>
      <c r="P3266" s="87"/>
      <c r="Q3266" s="87"/>
      <c r="R3266" s="87"/>
      <c r="S3266" s="87"/>
      <c r="T3266" s="87"/>
      <c r="U3266" s="88"/>
      <c r="V3266" s="89"/>
      <c r="W3266" s="96">
        <v>0</v>
      </c>
      <c r="X3266" s="71">
        <f>CU3266</f>
        <v>10428000</v>
      </c>
      <c r="Y3266" s="71">
        <f>CY3266</f>
        <v>0</v>
      </c>
      <c r="Z3266" s="71">
        <f>DA3266+DC3266+DE3266</f>
        <v>18677000</v>
      </c>
      <c r="AA3266" s="71">
        <f>CW3266</f>
        <v>0</v>
      </c>
      <c r="AB3266" s="71"/>
      <c r="AC3266" s="71">
        <v>0</v>
      </c>
      <c r="AD3266" s="71">
        <f>W3266+X3266+Y3266+Z3266+AA3266+AB3266+AC3266</f>
        <v>29105000</v>
      </c>
      <c r="AE3266" s="72">
        <v>0</v>
      </c>
      <c r="AF3266" s="5"/>
      <c r="AG3266" s="6"/>
      <c r="AH3266" s="27"/>
      <c r="AI3266" s="44"/>
      <c r="AJ3266" s="26"/>
      <c r="AK3266" s="5"/>
      <c r="AL3266" s="9" t="s">
        <v>6223</v>
      </c>
      <c r="AM3266" s="76"/>
      <c r="AN3266" s="76"/>
      <c r="AO3266" s="76"/>
      <c r="AP3266" s="76"/>
      <c r="AQ3266" s="76"/>
      <c r="AR3266" s="76"/>
      <c r="AS3266" s="76"/>
      <c r="AT3266" s="76"/>
      <c r="AU3266" s="76"/>
      <c r="AV3266" s="76"/>
      <c r="AW3266" s="76"/>
      <c r="AX3266" s="76">
        <f>+AW3266*600000</f>
        <v>0</v>
      </c>
      <c r="AY3266" s="86">
        <v>88</v>
      </c>
      <c r="AZ3266" s="86">
        <f>+AY3266*70000</f>
        <v>6160000</v>
      </c>
      <c r="BA3266" s="76"/>
      <c r="BB3266" s="76"/>
      <c r="BC3266" s="76"/>
      <c r="BD3266" s="76">
        <f>+BC3266*30000</f>
        <v>0</v>
      </c>
      <c r="BE3266" s="76"/>
      <c r="BF3266" s="76"/>
      <c r="BG3266" s="76"/>
      <c r="BH3266" s="76"/>
      <c r="BI3266" s="76"/>
      <c r="BJ3266" s="76"/>
      <c r="BK3266" s="76"/>
      <c r="BL3266" s="76">
        <f>+BK3266*31500</f>
        <v>0</v>
      </c>
      <c r="BM3266" s="76"/>
      <c r="BN3266" s="76"/>
      <c r="BO3266" s="76"/>
      <c r="BP3266" s="76"/>
      <c r="BQ3266" s="76"/>
      <c r="BR3266" s="76"/>
      <c r="BS3266" s="76"/>
      <c r="BT3266" s="76"/>
      <c r="BU3266" s="76"/>
      <c r="BV3266" s="76"/>
      <c r="BW3266" s="76"/>
      <c r="BX3266" s="76"/>
      <c r="BY3266" s="76"/>
      <c r="BZ3266" s="76"/>
      <c r="CA3266" s="76"/>
      <c r="CB3266" s="76"/>
      <c r="CC3266" s="76"/>
      <c r="CD3266" s="76"/>
      <c r="CE3266" s="76"/>
      <c r="CF3266" s="76">
        <f>+CE3266*28000</f>
        <v>0</v>
      </c>
      <c r="CG3266" s="86">
        <v>88</v>
      </c>
      <c r="CH3266" s="86">
        <f>+CG3266*22500</f>
        <v>1980000</v>
      </c>
      <c r="CI3266" s="86">
        <v>88</v>
      </c>
      <c r="CJ3266" s="86">
        <f>+CI3266*26000</f>
        <v>2288000</v>
      </c>
      <c r="CK3266" s="76"/>
      <c r="CL3266" s="76"/>
      <c r="CM3266" s="76"/>
      <c r="CN3266" s="76">
        <f>+CM3266*22000</f>
        <v>0</v>
      </c>
      <c r="CO3266" s="76"/>
      <c r="CP3266" s="76">
        <f>+CO3266*46000</f>
        <v>0</v>
      </c>
      <c r="CQ3266" s="76"/>
      <c r="CR3266" s="76">
        <f>+CQ3266*49000</f>
        <v>0</v>
      </c>
      <c r="CS3266" s="76"/>
      <c r="CT3266" s="76"/>
      <c r="CU3266" s="56">
        <f>AN3266+AP3266+AR3266+AT3266+AV3266+AX3266+AZ3266+BB3266+BD3266+BF3266+BH3266+BJ3266+BL3266+BN3266+BP3266+BR3266+BT3266+BV3266+BX3266+BZ3266+CB3266+CD3266+CF3266+CH3266+CJ3266+CL3266+CN3266+CP3266+CR3266+CT3266</f>
        <v>10428000</v>
      </c>
      <c r="CV3266" s="76"/>
      <c r="CW3266" s="76">
        <f>+CV3266*1100</f>
        <v>0</v>
      </c>
      <c r="CX3266" s="76"/>
      <c r="CY3266" s="76">
        <f>+CX3266*106250</f>
        <v>0</v>
      </c>
      <c r="CZ3266" s="76"/>
      <c r="DA3266" s="76">
        <f>+CZ3266*34500</f>
        <v>0</v>
      </c>
      <c r="DB3266" s="86">
        <f>12+392+116+30</f>
        <v>550</v>
      </c>
      <c r="DC3266" s="86">
        <f>12*21250+392*31000+116*41000+30*49000+110*400</f>
        <v>18677000</v>
      </c>
      <c r="DD3266" s="219"/>
      <c r="DE3266" s="219"/>
      <c r="DF3266" s="166"/>
      <c r="DG3266" s="134" t="s">
        <v>6921</v>
      </c>
      <c r="DH3266" s="117"/>
      <c r="DI3266" s="24"/>
      <c r="DJ3266" s="24"/>
      <c r="DK3266" s="24"/>
      <c r="DL3266" s="24"/>
      <c r="DM3266" s="24"/>
      <c r="DN3266" s="24"/>
      <c r="DO3266" s="24"/>
      <c r="DP3266" s="24"/>
      <c r="DQ3266" s="24"/>
      <c r="DR3266" s="24"/>
      <c r="DS3266" s="24"/>
      <c r="DT3266" s="24"/>
      <c r="DU3266" s="24"/>
    </row>
    <row r="3267" spans="1:125" s="8" customFormat="1" ht="108" x14ac:dyDescent="0.2">
      <c r="A3267" s="353">
        <v>41549</v>
      </c>
      <c r="B3267" s="352" t="s">
        <v>2772</v>
      </c>
      <c r="C3267" s="354" t="s">
        <v>1323</v>
      </c>
      <c r="D3267" s="354" t="s">
        <v>2882</v>
      </c>
      <c r="E3267" s="75" t="str">
        <f>VLOOKUP(B3267&amp;C3267,Divipola!$C$2:$F$1138,4,FALSE)</f>
        <v>25645</v>
      </c>
      <c r="F3267" s="87"/>
      <c r="G3267" s="87"/>
      <c r="H3267" s="87"/>
      <c r="I3267" s="87">
        <v>20</v>
      </c>
      <c r="J3267" s="87">
        <v>5</v>
      </c>
      <c r="K3267" s="87"/>
      <c r="L3267" s="87">
        <v>5</v>
      </c>
      <c r="M3267" s="87"/>
      <c r="N3267" s="87"/>
      <c r="O3267" s="87"/>
      <c r="P3267" s="87"/>
      <c r="Q3267" s="87"/>
      <c r="R3267" s="87"/>
      <c r="S3267" s="87"/>
      <c r="T3267" s="87"/>
      <c r="U3267" s="88"/>
      <c r="V3267" s="89"/>
      <c r="W3267" s="96">
        <v>0</v>
      </c>
      <c r="X3267" s="71">
        <f>CU3267</f>
        <v>0</v>
      </c>
      <c r="Y3267" s="71">
        <f>CY3267</f>
        <v>0</v>
      </c>
      <c r="Z3267" s="71">
        <f>DA3267+DC3267+DE3267</f>
        <v>0</v>
      </c>
      <c r="AA3267" s="71">
        <f>CW3267</f>
        <v>0</v>
      </c>
      <c r="AB3267" s="71"/>
      <c r="AC3267" s="71">
        <v>0</v>
      </c>
      <c r="AD3267" s="71">
        <f>W3267+X3267+Y3267+Z3267+AA3267+AB3267+AC3267</f>
        <v>0</v>
      </c>
      <c r="AE3267" s="72">
        <v>0</v>
      </c>
      <c r="AF3267" s="5"/>
      <c r="AG3267" s="6"/>
      <c r="AH3267" s="27"/>
      <c r="AI3267" s="44"/>
      <c r="AJ3267" s="26"/>
      <c r="AK3267" s="5"/>
      <c r="AL3267" s="82" t="s">
        <v>6222</v>
      </c>
      <c r="AM3267" s="76"/>
      <c r="AN3267" s="76"/>
      <c r="AO3267" s="76"/>
      <c r="AP3267" s="76"/>
      <c r="AQ3267" s="76"/>
      <c r="AR3267" s="76"/>
      <c r="AS3267" s="76"/>
      <c r="AT3267" s="76"/>
      <c r="AU3267" s="76"/>
      <c r="AV3267" s="76"/>
      <c r="AW3267" s="76"/>
      <c r="AX3267" s="76">
        <f>+AW3267*600000</f>
        <v>0</v>
      </c>
      <c r="AY3267" s="76"/>
      <c r="AZ3267" s="76">
        <f>+AY3267*70000</f>
        <v>0</v>
      </c>
      <c r="BA3267" s="76"/>
      <c r="BB3267" s="76"/>
      <c r="BC3267" s="76"/>
      <c r="BD3267" s="76">
        <f>+BC3267*30000</f>
        <v>0</v>
      </c>
      <c r="BE3267" s="76"/>
      <c r="BF3267" s="76"/>
      <c r="BG3267" s="76"/>
      <c r="BH3267" s="76"/>
      <c r="BI3267" s="76"/>
      <c r="BJ3267" s="76"/>
      <c r="BK3267" s="76"/>
      <c r="BL3267" s="76">
        <f>+BK3267*31500</f>
        <v>0</v>
      </c>
      <c r="BM3267" s="76"/>
      <c r="BN3267" s="76"/>
      <c r="BO3267" s="76"/>
      <c r="BP3267" s="76"/>
      <c r="BQ3267" s="76"/>
      <c r="BR3267" s="76"/>
      <c r="BS3267" s="76"/>
      <c r="BT3267" s="76"/>
      <c r="BU3267" s="76"/>
      <c r="BV3267" s="76"/>
      <c r="BW3267" s="76"/>
      <c r="BX3267" s="76"/>
      <c r="BY3267" s="76"/>
      <c r="BZ3267" s="76"/>
      <c r="CA3267" s="76"/>
      <c r="CB3267" s="76"/>
      <c r="CC3267" s="76"/>
      <c r="CD3267" s="76"/>
      <c r="CE3267" s="76"/>
      <c r="CF3267" s="76">
        <f>+CE3267*28000</f>
        <v>0</v>
      </c>
      <c r="CG3267" s="76"/>
      <c r="CH3267" s="76">
        <f>+CG3267*22500</f>
        <v>0</v>
      </c>
      <c r="CI3267" s="76"/>
      <c r="CJ3267" s="76">
        <f>+CI3267*26000</f>
        <v>0</v>
      </c>
      <c r="CK3267" s="76"/>
      <c r="CL3267" s="76"/>
      <c r="CM3267" s="76"/>
      <c r="CN3267" s="76">
        <f>+CM3267*22000</f>
        <v>0</v>
      </c>
      <c r="CO3267" s="76"/>
      <c r="CP3267" s="76">
        <f>+CO3267*46000</f>
        <v>0</v>
      </c>
      <c r="CQ3267" s="76"/>
      <c r="CR3267" s="76">
        <f>+CQ3267*49000</f>
        <v>0</v>
      </c>
      <c r="CS3267" s="76"/>
      <c r="CT3267" s="76"/>
      <c r="CU3267" s="56">
        <f>AN3267+AP3267+AR3267+AT3267+AV3267+AX3267+AZ3267+BB3267+BD3267+BF3267+BH3267+BJ3267+BL3267+BN3267+BP3267+BR3267+BT3267+BV3267+BX3267+BZ3267+CB3267+CD3267+CF3267+CH3267+CJ3267+CL3267+CN3267+CP3267+CR3267+CT3267</f>
        <v>0</v>
      </c>
      <c r="CV3267" s="76"/>
      <c r="CW3267" s="76">
        <f>+CV3267*1100</f>
        <v>0</v>
      </c>
      <c r="CX3267" s="76"/>
      <c r="CY3267" s="76">
        <f>+CX3267*106250</f>
        <v>0</v>
      </c>
      <c r="CZ3267" s="76"/>
      <c r="DA3267" s="76">
        <f>+CZ3267*34500</f>
        <v>0</v>
      </c>
      <c r="DB3267" s="76"/>
      <c r="DC3267" s="76">
        <f>+DB3267*25000</f>
        <v>0</v>
      </c>
      <c r="DD3267" s="219"/>
      <c r="DE3267" s="219"/>
      <c r="DF3267" s="166"/>
      <c r="DG3267" s="116"/>
      <c r="DH3267" s="117"/>
      <c r="DI3267" s="24"/>
      <c r="DJ3267" s="24"/>
      <c r="DK3267" s="24"/>
      <c r="DL3267" s="24"/>
      <c r="DM3267" s="24"/>
      <c r="DN3267" s="24"/>
      <c r="DO3267" s="24"/>
      <c r="DP3267" s="24"/>
      <c r="DQ3267" s="24"/>
      <c r="DR3267" s="24"/>
      <c r="DS3267" s="24"/>
      <c r="DT3267" s="24"/>
      <c r="DU3267" s="24"/>
    </row>
    <row r="3268" spans="1:125" s="8" customFormat="1" ht="36" x14ac:dyDescent="0.2">
      <c r="A3268" s="77">
        <v>41549</v>
      </c>
      <c r="B3268" s="78" t="s">
        <v>2661</v>
      </c>
      <c r="C3268" s="75" t="s">
        <v>517</v>
      </c>
      <c r="D3268" s="75" t="s">
        <v>2846</v>
      </c>
      <c r="E3268" s="75" t="str">
        <f>VLOOKUP(B3268&amp;C3268,Divipola!$C$2:$F$1138,4,FALSE)</f>
        <v>41298</v>
      </c>
      <c r="F3268" s="87"/>
      <c r="G3268" s="87"/>
      <c r="H3268" s="87"/>
      <c r="I3268" s="87"/>
      <c r="J3268" s="87"/>
      <c r="K3268" s="87"/>
      <c r="L3268" s="87"/>
      <c r="M3268" s="87"/>
      <c r="N3268" s="87"/>
      <c r="O3268" s="87"/>
      <c r="P3268" s="87"/>
      <c r="Q3268" s="87"/>
      <c r="R3268" s="87"/>
      <c r="S3268" s="87"/>
      <c r="T3268" s="87"/>
      <c r="U3268" s="88">
        <v>6</v>
      </c>
      <c r="V3268" s="89"/>
      <c r="W3268" s="96">
        <v>0</v>
      </c>
      <c r="X3268" s="71">
        <f>CU3268</f>
        <v>0</v>
      </c>
      <c r="Y3268" s="71">
        <f>CY3268</f>
        <v>0</v>
      </c>
      <c r="Z3268" s="71">
        <f>DA3268+DC3268+DE3268</f>
        <v>0</v>
      </c>
      <c r="AA3268" s="71">
        <f>CW3268</f>
        <v>0</v>
      </c>
      <c r="AB3268" s="71"/>
      <c r="AC3268" s="71">
        <v>0</v>
      </c>
      <c r="AD3268" s="71">
        <f>W3268+X3268+Y3268+Z3268+AA3268+AB3268+AC3268</f>
        <v>0</v>
      </c>
      <c r="AE3268" s="72">
        <v>0</v>
      </c>
      <c r="AF3268" s="5"/>
      <c r="AG3268" s="6"/>
      <c r="AH3268" s="27"/>
      <c r="AI3268" s="44"/>
      <c r="AJ3268" s="26"/>
      <c r="AK3268" s="5"/>
      <c r="AL3268" s="276" t="s">
        <v>6209</v>
      </c>
      <c r="AM3268" s="76"/>
      <c r="AN3268" s="76"/>
      <c r="AO3268" s="76"/>
      <c r="AP3268" s="76"/>
      <c r="AQ3268" s="76"/>
      <c r="AR3268" s="76"/>
      <c r="AS3268" s="76"/>
      <c r="AT3268" s="76"/>
      <c r="AU3268" s="76"/>
      <c r="AV3268" s="76"/>
      <c r="AW3268" s="76"/>
      <c r="AX3268" s="76">
        <f>+AW3268*600000</f>
        <v>0</v>
      </c>
      <c r="AY3268" s="76"/>
      <c r="AZ3268" s="76">
        <f>+AY3268*70000</f>
        <v>0</v>
      </c>
      <c r="BA3268" s="76"/>
      <c r="BB3268" s="76"/>
      <c r="BC3268" s="76"/>
      <c r="BD3268" s="76">
        <f>+BC3268*30000</f>
        <v>0</v>
      </c>
      <c r="BE3268" s="76"/>
      <c r="BF3268" s="76"/>
      <c r="BG3268" s="76"/>
      <c r="BH3268" s="76"/>
      <c r="BI3268" s="76"/>
      <c r="BJ3268" s="76"/>
      <c r="BK3268" s="76"/>
      <c r="BL3268" s="76">
        <f>+BK3268*31500</f>
        <v>0</v>
      </c>
      <c r="BM3268" s="76"/>
      <c r="BN3268" s="76"/>
      <c r="BO3268" s="76"/>
      <c r="BP3268" s="76"/>
      <c r="BQ3268" s="76"/>
      <c r="BR3268" s="76"/>
      <c r="BS3268" s="76"/>
      <c r="BT3268" s="76"/>
      <c r="BU3268" s="76"/>
      <c r="BV3268" s="76"/>
      <c r="BW3268" s="76"/>
      <c r="BX3268" s="76"/>
      <c r="BY3268" s="76"/>
      <c r="BZ3268" s="76"/>
      <c r="CA3268" s="76"/>
      <c r="CB3268" s="76"/>
      <c r="CC3268" s="76"/>
      <c r="CD3268" s="76"/>
      <c r="CE3268" s="76"/>
      <c r="CF3268" s="76">
        <f>+CE3268*28000</f>
        <v>0</v>
      </c>
      <c r="CG3268" s="76"/>
      <c r="CH3268" s="76">
        <f>+CG3268*22500</f>
        <v>0</v>
      </c>
      <c r="CI3268" s="76"/>
      <c r="CJ3268" s="76">
        <f>+CI3268*26000</f>
        <v>0</v>
      </c>
      <c r="CK3268" s="76"/>
      <c r="CL3268" s="76"/>
      <c r="CM3268" s="76"/>
      <c r="CN3268" s="76">
        <f>+CM3268*22000</f>
        <v>0</v>
      </c>
      <c r="CO3268" s="76"/>
      <c r="CP3268" s="76">
        <f>+CO3268*46000</f>
        <v>0</v>
      </c>
      <c r="CQ3268" s="76"/>
      <c r="CR3268" s="76">
        <f>+CQ3268*49000</f>
        <v>0</v>
      </c>
      <c r="CS3268" s="76"/>
      <c r="CT3268" s="76"/>
      <c r="CU3268" s="56">
        <f>AN3268+AP3268+AR3268+AT3268+AV3268+AX3268+AZ3268+BB3268+BD3268+BF3268+BH3268+BJ3268+BL3268+BN3268+BP3268+BR3268+BT3268+BV3268+BX3268+BZ3268+CB3268+CD3268+CF3268+CH3268+CJ3268+CL3268+CN3268+CP3268+CR3268+CT3268</f>
        <v>0</v>
      </c>
      <c r="CV3268" s="76"/>
      <c r="CW3268" s="76">
        <f>+CV3268*1100</f>
        <v>0</v>
      </c>
      <c r="CX3268" s="76"/>
      <c r="CY3268" s="76">
        <f>+CX3268*106250</f>
        <v>0</v>
      </c>
      <c r="CZ3268" s="76"/>
      <c r="DA3268" s="76">
        <f>+CZ3268*34500</f>
        <v>0</v>
      </c>
      <c r="DB3268" s="76"/>
      <c r="DC3268" s="76">
        <f>+DB3268*25000</f>
        <v>0</v>
      </c>
      <c r="DD3268" s="219"/>
      <c r="DE3268" s="219"/>
      <c r="DF3268" s="166"/>
      <c r="DG3268" s="116"/>
      <c r="DH3268" s="117"/>
      <c r="DI3268" s="24"/>
      <c r="DJ3268" s="24"/>
      <c r="DK3268" s="24"/>
      <c r="DL3268" s="24"/>
      <c r="DM3268" s="24"/>
      <c r="DN3268" s="24"/>
      <c r="DO3268" s="24"/>
      <c r="DP3268" s="24"/>
      <c r="DQ3268" s="24"/>
      <c r="DR3268" s="24"/>
      <c r="DS3268" s="24"/>
      <c r="DT3268" s="24"/>
      <c r="DU3268" s="24"/>
    </row>
    <row r="3269" spans="1:125" s="8" customFormat="1" ht="36" x14ac:dyDescent="0.2">
      <c r="A3269" s="353">
        <v>41549</v>
      </c>
      <c r="B3269" s="352" t="s">
        <v>2661</v>
      </c>
      <c r="C3269" s="354" t="s">
        <v>517</v>
      </c>
      <c r="D3269" s="354" t="s">
        <v>2882</v>
      </c>
      <c r="E3269" s="75" t="str">
        <f>VLOOKUP(B3269&amp;C3269,Divipola!$C$2:$F$1138,4,FALSE)</f>
        <v>41298</v>
      </c>
      <c r="F3269" s="61"/>
      <c r="G3269" s="61"/>
      <c r="H3269" s="61"/>
      <c r="I3269" s="61">
        <v>25</v>
      </c>
      <c r="J3269" s="61">
        <v>5</v>
      </c>
      <c r="K3269" s="61"/>
      <c r="L3269" s="61">
        <v>5</v>
      </c>
      <c r="M3269" s="61"/>
      <c r="N3269" s="61"/>
      <c r="O3269" s="61"/>
      <c r="P3269" s="61"/>
      <c r="Q3269" s="61"/>
      <c r="R3269" s="61"/>
      <c r="S3269" s="61"/>
      <c r="T3269" s="61"/>
      <c r="U3269" s="61"/>
      <c r="V3269" s="7"/>
      <c r="W3269" s="96">
        <v>0</v>
      </c>
      <c r="X3269" s="71">
        <f>CU3269</f>
        <v>0</v>
      </c>
      <c r="Y3269" s="71">
        <f>CY3269</f>
        <v>0</v>
      </c>
      <c r="Z3269" s="71">
        <f>DA3269+DC3269+DE3269</f>
        <v>0</v>
      </c>
      <c r="AA3269" s="71">
        <f>CW3269</f>
        <v>0</v>
      </c>
      <c r="AB3269" s="71"/>
      <c r="AC3269" s="71">
        <v>0</v>
      </c>
      <c r="AD3269" s="71">
        <f>W3269+X3269+Y3269+Z3269+AA3269+AB3269+AC3269</f>
        <v>0</v>
      </c>
      <c r="AE3269" s="72">
        <v>0</v>
      </c>
      <c r="AF3269" s="5"/>
      <c r="AG3269" s="6"/>
      <c r="AH3269" s="27"/>
      <c r="AI3269" s="44"/>
      <c r="AJ3269" s="26"/>
      <c r="AK3269" s="5"/>
      <c r="AL3269" s="82" t="s">
        <v>6219</v>
      </c>
      <c r="AM3269" s="76"/>
      <c r="AN3269" s="76"/>
      <c r="AO3269" s="76"/>
      <c r="AP3269" s="76"/>
      <c r="AQ3269" s="76"/>
      <c r="AR3269" s="76"/>
      <c r="AS3269" s="76"/>
      <c r="AT3269" s="76"/>
      <c r="AU3269" s="76"/>
      <c r="AV3269" s="76"/>
      <c r="AW3269" s="76"/>
      <c r="AX3269" s="76">
        <f>+AW3269*600000</f>
        <v>0</v>
      </c>
      <c r="AY3269" s="76"/>
      <c r="AZ3269" s="76">
        <f>+AY3269*70000</f>
        <v>0</v>
      </c>
      <c r="BA3269" s="76"/>
      <c r="BB3269" s="76"/>
      <c r="BC3269" s="76"/>
      <c r="BD3269" s="76">
        <f>+BC3269*30000</f>
        <v>0</v>
      </c>
      <c r="BE3269" s="76"/>
      <c r="BF3269" s="76"/>
      <c r="BG3269" s="76"/>
      <c r="BH3269" s="76"/>
      <c r="BI3269" s="76"/>
      <c r="BJ3269" s="76"/>
      <c r="BK3269" s="76"/>
      <c r="BL3269" s="76">
        <f>+BK3269*31500</f>
        <v>0</v>
      </c>
      <c r="BM3269" s="76"/>
      <c r="BN3269" s="76"/>
      <c r="BO3269" s="76"/>
      <c r="BP3269" s="76"/>
      <c r="BQ3269" s="76"/>
      <c r="BR3269" s="76"/>
      <c r="BS3269" s="76"/>
      <c r="BT3269" s="76"/>
      <c r="BU3269" s="76"/>
      <c r="BV3269" s="76"/>
      <c r="BW3269" s="76"/>
      <c r="BX3269" s="76"/>
      <c r="BY3269" s="76"/>
      <c r="BZ3269" s="76"/>
      <c r="CA3269" s="76"/>
      <c r="CB3269" s="76"/>
      <c r="CC3269" s="76"/>
      <c r="CD3269" s="76"/>
      <c r="CE3269" s="76"/>
      <c r="CF3269" s="76">
        <f>+CE3269*28000</f>
        <v>0</v>
      </c>
      <c r="CG3269" s="76"/>
      <c r="CH3269" s="76">
        <f>+CG3269*22500</f>
        <v>0</v>
      </c>
      <c r="CI3269" s="76"/>
      <c r="CJ3269" s="76">
        <f>+CI3269*26000</f>
        <v>0</v>
      </c>
      <c r="CK3269" s="76"/>
      <c r="CL3269" s="76"/>
      <c r="CM3269" s="76"/>
      <c r="CN3269" s="76">
        <f>+CM3269*22000</f>
        <v>0</v>
      </c>
      <c r="CO3269" s="76"/>
      <c r="CP3269" s="76">
        <f>+CO3269*46000</f>
        <v>0</v>
      </c>
      <c r="CQ3269" s="76"/>
      <c r="CR3269" s="76">
        <f>+CQ3269*49000</f>
        <v>0</v>
      </c>
      <c r="CS3269" s="76"/>
      <c r="CT3269" s="76"/>
      <c r="CU3269" s="56">
        <f>AN3269+AP3269+AR3269+AT3269+AV3269+AX3269+AZ3269+BB3269+BD3269+BF3269+BH3269+BJ3269+BL3269+BN3269+BP3269+BR3269+BT3269+BV3269+BX3269+BZ3269+CB3269+CD3269+CF3269+CH3269+CJ3269+CL3269+CN3269+CP3269+CR3269+CT3269</f>
        <v>0</v>
      </c>
      <c r="CV3269" s="76"/>
      <c r="CW3269" s="76">
        <f>+CV3269*1100</f>
        <v>0</v>
      </c>
      <c r="CX3269" s="76"/>
      <c r="CY3269" s="76">
        <f>+CX3269*106250</f>
        <v>0</v>
      </c>
      <c r="CZ3269" s="76"/>
      <c r="DA3269" s="76">
        <f>+CZ3269*34500</f>
        <v>0</v>
      </c>
      <c r="DB3269" s="76"/>
      <c r="DC3269" s="76">
        <f>+DB3269*25000</f>
        <v>0</v>
      </c>
      <c r="DD3269" s="219"/>
      <c r="DE3269" s="219"/>
      <c r="DF3269" s="166"/>
      <c r="DG3269" s="116"/>
      <c r="DH3269" s="117"/>
      <c r="DI3269" s="24"/>
      <c r="DJ3269" s="24"/>
      <c r="DK3269" s="24"/>
      <c r="DL3269" s="24"/>
      <c r="DM3269" s="24"/>
      <c r="DN3269" s="24"/>
      <c r="DO3269" s="24"/>
      <c r="DP3269" s="24"/>
      <c r="DQ3269" s="24"/>
      <c r="DR3269" s="24"/>
      <c r="DS3269" s="24"/>
      <c r="DT3269" s="24"/>
      <c r="DU3269" s="24"/>
    </row>
    <row r="3270" spans="1:125" s="8" customFormat="1" ht="48" x14ac:dyDescent="0.2">
      <c r="A3270" s="77">
        <v>41549</v>
      </c>
      <c r="B3270" s="78" t="s">
        <v>2661</v>
      </c>
      <c r="C3270" s="75" t="s">
        <v>2662</v>
      </c>
      <c r="D3270" s="351" t="s">
        <v>2882</v>
      </c>
      <c r="E3270" s="75" t="str">
        <f>VLOOKUP(B3270&amp;C3270,Divipola!$C$2:$F$1138,4,FALSE)</f>
        <v>41483</v>
      </c>
      <c r="F3270" s="93"/>
      <c r="G3270" s="93"/>
      <c r="H3270" s="93"/>
      <c r="I3270" s="93"/>
      <c r="J3270" s="93"/>
      <c r="K3270" s="93"/>
      <c r="L3270" s="93"/>
      <c r="M3270" s="93"/>
      <c r="N3270" s="93"/>
      <c r="O3270" s="93"/>
      <c r="P3270" s="93"/>
      <c r="Q3270" s="93"/>
      <c r="R3270" s="93"/>
      <c r="S3270" s="93"/>
      <c r="T3270" s="93"/>
      <c r="U3270" s="93"/>
      <c r="V3270" s="89"/>
      <c r="W3270" s="96">
        <v>0</v>
      </c>
      <c r="X3270" s="71">
        <f>CU3270</f>
        <v>0</v>
      </c>
      <c r="Y3270" s="71">
        <f>CY3270</f>
        <v>0</v>
      </c>
      <c r="Z3270" s="71">
        <f>DA3270+DC3270+DE3270</f>
        <v>0</v>
      </c>
      <c r="AA3270" s="71">
        <f>CW3270</f>
        <v>0</v>
      </c>
      <c r="AB3270" s="71"/>
      <c r="AC3270" s="71">
        <v>0</v>
      </c>
      <c r="AD3270" s="71">
        <f>W3270+X3270+Y3270+Z3270+AA3270+AB3270+AC3270</f>
        <v>0</v>
      </c>
      <c r="AE3270" s="72">
        <v>0</v>
      </c>
      <c r="AF3270" s="5"/>
      <c r="AG3270" s="6"/>
      <c r="AH3270" s="27"/>
      <c r="AI3270" s="44"/>
      <c r="AJ3270" s="26"/>
      <c r="AK3270" s="5"/>
      <c r="AL3270" s="276" t="s">
        <v>6211</v>
      </c>
      <c r="AM3270" s="76"/>
      <c r="AN3270" s="76"/>
      <c r="AO3270" s="76"/>
      <c r="AP3270" s="76"/>
      <c r="AQ3270" s="76"/>
      <c r="AR3270" s="76"/>
      <c r="AS3270" s="76"/>
      <c r="AT3270" s="76"/>
      <c r="AU3270" s="76"/>
      <c r="AV3270" s="76"/>
      <c r="AW3270" s="76"/>
      <c r="AX3270" s="76">
        <f>+AW3270*600000</f>
        <v>0</v>
      </c>
      <c r="AY3270" s="76"/>
      <c r="AZ3270" s="76">
        <f>+AY3270*70000</f>
        <v>0</v>
      </c>
      <c r="BA3270" s="76"/>
      <c r="BB3270" s="76"/>
      <c r="BC3270" s="76"/>
      <c r="BD3270" s="76">
        <f>+BC3270*30000</f>
        <v>0</v>
      </c>
      <c r="BE3270" s="76"/>
      <c r="BF3270" s="76"/>
      <c r="BG3270" s="76"/>
      <c r="BH3270" s="76"/>
      <c r="BI3270" s="76"/>
      <c r="BJ3270" s="76"/>
      <c r="BK3270" s="76"/>
      <c r="BL3270" s="76">
        <f>+BK3270*31500</f>
        <v>0</v>
      </c>
      <c r="BM3270" s="76"/>
      <c r="BN3270" s="76"/>
      <c r="BO3270" s="76"/>
      <c r="BP3270" s="76"/>
      <c r="BQ3270" s="76"/>
      <c r="BR3270" s="76"/>
      <c r="BS3270" s="76"/>
      <c r="BT3270" s="76"/>
      <c r="BU3270" s="76"/>
      <c r="BV3270" s="76"/>
      <c r="BW3270" s="76"/>
      <c r="BX3270" s="76"/>
      <c r="BY3270" s="76"/>
      <c r="BZ3270" s="76"/>
      <c r="CA3270" s="76"/>
      <c r="CB3270" s="76"/>
      <c r="CC3270" s="76"/>
      <c r="CD3270" s="76"/>
      <c r="CE3270" s="76"/>
      <c r="CF3270" s="76">
        <f>+CE3270*28000</f>
        <v>0</v>
      </c>
      <c r="CG3270" s="76"/>
      <c r="CH3270" s="76">
        <f>+CG3270*22500</f>
        <v>0</v>
      </c>
      <c r="CI3270" s="76"/>
      <c r="CJ3270" s="76">
        <f>+CI3270*26000</f>
        <v>0</v>
      </c>
      <c r="CK3270" s="76"/>
      <c r="CL3270" s="76"/>
      <c r="CM3270" s="76"/>
      <c r="CN3270" s="76">
        <f>+CM3270*22000</f>
        <v>0</v>
      </c>
      <c r="CO3270" s="76"/>
      <c r="CP3270" s="76">
        <f>+CO3270*46000</f>
        <v>0</v>
      </c>
      <c r="CQ3270" s="76"/>
      <c r="CR3270" s="76">
        <f>+CQ3270*49000</f>
        <v>0</v>
      </c>
      <c r="CS3270" s="76"/>
      <c r="CT3270" s="76"/>
      <c r="CU3270" s="56">
        <f>AN3270+AP3270+AR3270+AT3270+AV3270+AX3270+AZ3270+BB3270+BD3270+BF3270+BH3270+BJ3270+BL3270+BN3270+BP3270+BR3270+BT3270+BV3270+BX3270+BZ3270+CB3270+CD3270+CF3270+CH3270+CJ3270+CL3270+CN3270+CP3270+CR3270+CT3270</f>
        <v>0</v>
      </c>
      <c r="CV3270" s="76"/>
      <c r="CW3270" s="76">
        <f>+CV3270*1100</f>
        <v>0</v>
      </c>
      <c r="CX3270" s="76"/>
      <c r="CY3270" s="76">
        <f>+CX3270*106250</f>
        <v>0</v>
      </c>
      <c r="CZ3270" s="76"/>
      <c r="DA3270" s="76">
        <f>+CZ3270*34500</f>
        <v>0</v>
      </c>
      <c r="DB3270" s="76"/>
      <c r="DC3270" s="76">
        <f>+DB3270*25000</f>
        <v>0</v>
      </c>
      <c r="DD3270" s="219"/>
      <c r="DE3270" s="219"/>
      <c r="DF3270" s="166"/>
      <c r="DG3270" s="116"/>
      <c r="DH3270" s="117"/>
      <c r="DI3270" s="24"/>
      <c r="DJ3270" s="24"/>
      <c r="DK3270" s="24"/>
      <c r="DL3270" s="24"/>
      <c r="DM3270" s="24"/>
      <c r="DN3270" s="24"/>
      <c r="DO3270" s="24"/>
      <c r="DP3270" s="24"/>
      <c r="DQ3270" s="24"/>
      <c r="DR3270" s="24"/>
      <c r="DS3270" s="24"/>
      <c r="DT3270" s="24"/>
      <c r="DU3270" s="24"/>
    </row>
    <row r="3271" spans="1:125" s="8" customFormat="1" ht="48" x14ac:dyDescent="0.2">
      <c r="A3271" s="5">
        <v>41549</v>
      </c>
      <c r="B3271" s="84" t="s">
        <v>2661</v>
      </c>
      <c r="C3271" s="84" t="s">
        <v>2169</v>
      </c>
      <c r="D3271" s="75" t="s">
        <v>2846</v>
      </c>
      <c r="E3271" s="75" t="str">
        <f>VLOOKUP(B3271&amp;C3271,Divipola!$C$2:$F$1138,4,FALSE)</f>
        <v>41001</v>
      </c>
      <c r="F3271" s="89"/>
      <c r="G3271" s="89"/>
      <c r="H3271" s="89"/>
      <c r="I3271" s="89"/>
      <c r="J3271" s="89"/>
      <c r="K3271" s="89"/>
      <c r="L3271" s="89"/>
      <c r="M3271" s="89"/>
      <c r="N3271" s="89"/>
      <c r="O3271" s="89"/>
      <c r="P3271" s="89"/>
      <c r="Q3271" s="89"/>
      <c r="R3271" s="89"/>
      <c r="S3271" s="89"/>
      <c r="T3271" s="89"/>
      <c r="U3271" s="89">
        <v>120</v>
      </c>
      <c r="V3271" s="89"/>
      <c r="W3271" s="96">
        <v>0</v>
      </c>
      <c r="X3271" s="71">
        <f>CU3271</f>
        <v>0</v>
      </c>
      <c r="Y3271" s="71">
        <f>CY3271</f>
        <v>0</v>
      </c>
      <c r="Z3271" s="71">
        <f>DA3271+DC3271+DE3271</f>
        <v>0</v>
      </c>
      <c r="AA3271" s="71">
        <f>CW3271</f>
        <v>0</v>
      </c>
      <c r="AB3271" s="71"/>
      <c r="AC3271" s="71">
        <v>0</v>
      </c>
      <c r="AD3271" s="71">
        <f>W3271+X3271+Y3271+Z3271+AA3271+AB3271+AC3271</f>
        <v>0</v>
      </c>
      <c r="AE3271" s="72">
        <v>0</v>
      </c>
      <c r="AF3271" s="5"/>
      <c r="AG3271" s="6"/>
      <c r="AH3271" s="27"/>
      <c r="AI3271" s="44"/>
      <c r="AJ3271" s="26"/>
      <c r="AK3271" s="5"/>
      <c r="AL3271" s="276" t="s">
        <v>6210</v>
      </c>
      <c r="AM3271" s="76"/>
      <c r="AN3271" s="76"/>
      <c r="AO3271" s="76"/>
      <c r="AP3271" s="76"/>
      <c r="AQ3271" s="76"/>
      <c r="AR3271" s="76"/>
      <c r="AS3271" s="76"/>
      <c r="AT3271" s="76"/>
      <c r="AU3271" s="76"/>
      <c r="AV3271" s="76"/>
      <c r="AW3271" s="76"/>
      <c r="AX3271" s="76">
        <f>+AW3271*600000</f>
        <v>0</v>
      </c>
      <c r="AY3271" s="76"/>
      <c r="AZ3271" s="76">
        <f>+AY3271*70000</f>
        <v>0</v>
      </c>
      <c r="BA3271" s="76"/>
      <c r="BB3271" s="76"/>
      <c r="BC3271" s="76"/>
      <c r="BD3271" s="76">
        <f>+BC3271*30000</f>
        <v>0</v>
      </c>
      <c r="BE3271" s="76"/>
      <c r="BF3271" s="76"/>
      <c r="BG3271" s="76"/>
      <c r="BH3271" s="76"/>
      <c r="BI3271" s="76"/>
      <c r="BJ3271" s="76"/>
      <c r="BK3271" s="76"/>
      <c r="BL3271" s="76">
        <f>+BK3271*31500</f>
        <v>0</v>
      </c>
      <c r="BM3271" s="76"/>
      <c r="BN3271" s="76"/>
      <c r="BO3271" s="76"/>
      <c r="BP3271" s="76"/>
      <c r="BQ3271" s="76"/>
      <c r="BR3271" s="76"/>
      <c r="BS3271" s="76"/>
      <c r="BT3271" s="76"/>
      <c r="BU3271" s="76"/>
      <c r="BV3271" s="76"/>
      <c r="BW3271" s="76"/>
      <c r="BX3271" s="76"/>
      <c r="BY3271" s="76"/>
      <c r="BZ3271" s="76"/>
      <c r="CA3271" s="76"/>
      <c r="CB3271" s="76"/>
      <c r="CC3271" s="76"/>
      <c r="CD3271" s="76"/>
      <c r="CE3271" s="76"/>
      <c r="CF3271" s="76">
        <f>+CE3271*28000</f>
        <v>0</v>
      </c>
      <c r="CG3271" s="76"/>
      <c r="CH3271" s="76">
        <f>+CG3271*22500</f>
        <v>0</v>
      </c>
      <c r="CI3271" s="76"/>
      <c r="CJ3271" s="76">
        <f>+CI3271*26000</f>
        <v>0</v>
      </c>
      <c r="CK3271" s="76"/>
      <c r="CL3271" s="76"/>
      <c r="CM3271" s="76"/>
      <c r="CN3271" s="76">
        <f>+CM3271*22000</f>
        <v>0</v>
      </c>
      <c r="CO3271" s="76"/>
      <c r="CP3271" s="76">
        <f>+CO3271*46000</f>
        <v>0</v>
      </c>
      <c r="CQ3271" s="76"/>
      <c r="CR3271" s="76">
        <f>+CQ3271*49000</f>
        <v>0</v>
      </c>
      <c r="CS3271" s="76"/>
      <c r="CT3271" s="76"/>
      <c r="CU3271" s="56">
        <f>AN3271+AP3271+AR3271+AT3271+AV3271+AX3271+AZ3271+BB3271+BD3271+BF3271+BH3271+BJ3271+BL3271+BN3271+BP3271+BR3271+BT3271+BV3271+BX3271+BZ3271+CB3271+CD3271+CF3271+CH3271+CJ3271+CL3271+CN3271+CP3271+CR3271+CT3271</f>
        <v>0</v>
      </c>
      <c r="CV3271" s="76"/>
      <c r="CW3271" s="76">
        <f>+CV3271*1100</f>
        <v>0</v>
      </c>
      <c r="CX3271" s="76"/>
      <c r="CY3271" s="76">
        <f>+CX3271*106250</f>
        <v>0</v>
      </c>
      <c r="CZ3271" s="76"/>
      <c r="DA3271" s="76">
        <f>+CZ3271*34500</f>
        <v>0</v>
      </c>
      <c r="DB3271" s="76"/>
      <c r="DC3271" s="76">
        <f>+DB3271*25000</f>
        <v>0</v>
      </c>
      <c r="DD3271" s="219"/>
      <c r="DE3271" s="219"/>
      <c r="DF3271" s="166"/>
      <c r="DG3271" s="116"/>
      <c r="DH3271" s="117"/>
      <c r="DI3271" s="24"/>
      <c r="DJ3271" s="24"/>
      <c r="DK3271" s="24"/>
      <c r="DL3271" s="24"/>
      <c r="DM3271" s="24"/>
      <c r="DN3271" s="24"/>
      <c r="DO3271" s="24"/>
      <c r="DP3271" s="24"/>
      <c r="DQ3271" s="24"/>
      <c r="DR3271" s="24"/>
      <c r="DS3271" s="24"/>
      <c r="DT3271" s="24"/>
      <c r="DU3271" s="24"/>
    </row>
    <row r="3272" spans="1:125" s="8" customFormat="1" ht="36" x14ac:dyDescent="0.2">
      <c r="A3272" s="353">
        <v>41549</v>
      </c>
      <c r="B3272" s="352" t="s">
        <v>2661</v>
      </c>
      <c r="C3272" s="354" t="s">
        <v>2162</v>
      </c>
      <c r="D3272" s="354" t="s">
        <v>2846</v>
      </c>
      <c r="E3272" s="75" t="str">
        <f>VLOOKUP(B3272&amp;C3272,Divipola!$C$2:$F$1138,4,FALSE)</f>
        <v>41518</v>
      </c>
      <c r="F3272" s="87"/>
      <c r="G3272" s="87"/>
      <c r="H3272" s="87"/>
      <c r="I3272" s="87"/>
      <c r="J3272" s="87"/>
      <c r="K3272" s="87"/>
      <c r="L3272" s="87"/>
      <c r="M3272" s="87"/>
      <c r="N3272" s="87"/>
      <c r="O3272" s="87"/>
      <c r="P3272" s="87"/>
      <c r="Q3272" s="87"/>
      <c r="R3272" s="87"/>
      <c r="S3272" s="87"/>
      <c r="T3272" s="87"/>
      <c r="U3272" s="88">
        <v>4</v>
      </c>
      <c r="V3272" s="89"/>
      <c r="W3272" s="96">
        <v>0</v>
      </c>
      <c r="X3272" s="71">
        <f>CU3272</f>
        <v>0</v>
      </c>
      <c r="Y3272" s="71">
        <f>CY3272</f>
        <v>0</v>
      </c>
      <c r="Z3272" s="71">
        <f>DA3272+DC3272+DE3272</f>
        <v>0</v>
      </c>
      <c r="AA3272" s="71">
        <f>CW3272</f>
        <v>0</v>
      </c>
      <c r="AB3272" s="71"/>
      <c r="AC3272" s="71">
        <v>0</v>
      </c>
      <c r="AD3272" s="71">
        <f>W3272+X3272+Y3272+Z3272+AA3272+AB3272+AC3272</f>
        <v>0</v>
      </c>
      <c r="AE3272" s="72">
        <v>0</v>
      </c>
      <c r="AF3272" s="5"/>
      <c r="AG3272" s="6"/>
      <c r="AH3272" s="27"/>
      <c r="AI3272" s="44"/>
      <c r="AJ3272" s="26"/>
      <c r="AK3272" s="5"/>
      <c r="AL3272" s="276" t="s">
        <v>6207</v>
      </c>
      <c r="AM3272" s="76"/>
      <c r="AN3272" s="76"/>
      <c r="AO3272" s="76"/>
      <c r="AP3272" s="76"/>
      <c r="AQ3272" s="76"/>
      <c r="AR3272" s="76"/>
      <c r="AS3272" s="76"/>
      <c r="AT3272" s="76"/>
      <c r="AU3272" s="76"/>
      <c r="AV3272" s="76"/>
      <c r="AW3272" s="76"/>
      <c r="AX3272" s="76">
        <f>+AW3272*600000</f>
        <v>0</v>
      </c>
      <c r="AY3272" s="76"/>
      <c r="AZ3272" s="76">
        <f>+AY3272*70000</f>
        <v>0</v>
      </c>
      <c r="BA3272" s="76"/>
      <c r="BB3272" s="76"/>
      <c r="BC3272" s="76"/>
      <c r="BD3272" s="76">
        <f>+BC3272*30000</f>
        <v>0</v>
      </c>
      <c r="BE3272" s="76"/>
      <c r="BF3272" s="76"/>
      <c r="BG3272" s="76"/>
      <c r="BH3272" s="76"/>
      <c r="BI3272" s="76"/>
      <c r="BJ3272" s="76"/>
      <c r="BK3272" s="76"/>
      <c r="BL3272" s="76">
        <f>+BK3272*31500</f>
        <v>0</v>
      </c>
      <c r="BM3272" s="76"/>
      <c r="BN3272" s="76"/>
      <c r="BO3272" s="76"/>
      <c r="BP3272" s="76"/>
      <c r="BQ3272" s="76"/>
      <c r="BR3272" s="76"/>
      <c r="BS3272" s="76"/>
      <c r="BT3272" s="76"/>
      <c r="BU3272" s="76"/>
      <c r="BV3272" s="76"/>
      <c r="BW3272" s="76"/>
      <c r="BX3272" s="76"/>
      <c r="BY3272" s="76"/>
      <c r="BZ3272" s="76"/>
      <c r="CA3272" s="76"/>
      <c r="CB3272" s="76"/>
      <c r="CC3272" s="76"/>
      <c r="CD3272" s="76"/>
      <c r="CE3272" s="76"/>
      <c r="CF3272" s="76">
        <f>+CE3272*28000</f>
        <v>0</v>
      </c>
      <c r="CG3272" s="76"/>
      <c r="CH3272" s="76">
        <f>+CG3272*22500</f>
        <v>0</v>
      </c>
      <c r="CI3272" s="76"/>
      <c r="CJ3272" s="76">
        <f>+CI3272*26000</f>
        <v>0</v>
      </c>
      <c r="CK3272" s="76"/>
      <c r="CL3272" s="76"/>
      <c r="CM3272" s="76"/>
      <c r="CN3272" s="76">
        <f>+CM3272*22000</f>
        <v>0</v>
      </c>
      <c r="CO3272" s="76"/>
      <c r="CP3272" s="76">
        <f>+CO3272*46000</f>
        <v>0</v>
      </c>
      <c r="CQ3272" s="76"/>
      <c r="CR3272" s="76">
        <f>+CQ3272*49000</f>
        <v>0</v>
      </c>
      <c r="CS3272" s="76"/>
      <c r="CT3272" s="76"/>
      <c r="CU3272" s="56">
        <f>AN3272+AP3272+AR3272+AT3272+AV3272+AX3272+AZ3272+BB3272+BD3272+BF3272+BH3272+BJ3272+BL3272+BN3272+BP3272+BR3272+BT3272+BV3272+BX3272+BZ3272+CB3272+CD3272+CF3272+CH3272+CJ3272+CL3272+CN3272+CP3272+CR3272+CT3272</f>
        <v>0</v>
      </c>
      <c r="CV3272" s="76"/>
      <c r="CW3272" s="76">
        <f>+CV3272*1100</f>
        <v>0</v>
      </c>
      <c r="CX3272" s="76"/>
      <c r="CY3272" s="76">
        <f>+CX3272*106250</f>
        <v>0</v>
      </c>
      <c r="CZ3272" s="76"/>
      <c r="DA3272" s="76">
        <f>+CZ3272*34500</f>
        <v>0</v>
      </c>
      <c r="DB3272" s="76"/>
      <c r="DC3272" s="76">
        <f>+DB3272*25000</f>
        <v>0</v>
      </c>
      <c r="DD3272" s="219"/>
      <c r="DE3272" s="219"/>
      <c r="DF3272" s="166"/>
      <c r="DG3272" s="116"/>
      <c r="DH3272" s="117"/>
      <c r="DI3272" s="24"/>
      <c r="DJ3272" s="24"/>
      <c r="DK3272" s="24"/>
      <c r="DL3272" s="24"/>
      <c r="DM3272" s="24"/>
      <c r="DN3272" s="24"/>
      <c r="DO3272" s="24"/>
      <c r="DP3272" s="24"/>
      <c r="DQ3272" s="24"/>
      <c r="DR3272" s="24"/>
      <c r="DS3272" s="24"/>
      <c r="DT3272" s="24"/>
      <c r="DU3272" s="24"/>
    </row>
    <row r="3273" spans="1:125" s="8" customFormat="1" ht="36" x14ac:dyDescent="0.2">
      <c r="A3273" s="353">
        <v>41549</v>
      </c>
      <c r="B3273" s="352" t="s">
        <v>2661</v>
      </c>
      <c r="C3273" s="354" t="s">
        <v>2162</v>
      </c>
      <c r="D3273" s="354" t="s">
        <v>2846</v>
      </c>
      <c r="E3273" s="75" t="str">
        <f>VLOOKUP(B3273&amp;C3273,Divipola!$C$2:$F$1138,4,FALSE)</f>
        <v>41518</v>
      </c>
      <c r="F3273" s="87"/>
      <c r="G3273" s="87"/>
      <c r="H3273" s="87"/>
      <c r="I3273" s="87"/>
      <c r="J3273" s="87"/>
      <c r="K3273" s="87"/>
      <c r="L3273" s="87"/>
      <c r="M3273" s="87"/>
      <c r="N3273" s="87"/>
      <c r="O3273" s="87"/>
      <c r="P3273" s="87"/>
      <c r="Q3273" s="87"/>
      <c r="R3273" s="87"/>
      <c r="S3273" s="87"/>
      <c r="T3273" s="87"/>
      <c r="U3273" s="88">
        <v>2</v>
      </c>
      <c r="V3273" s="89"/>
      <c r="W3273" s="96">
        <v>0</v>
      </c>
      <c r="X3273" s="71">
        <f>CU3273</f>
        <v>0</v>
      </c>
      <c r="Y3273" s="71">
        <f>CY3273</f>
        <v>0</v>
      </c>
      <c r="Z3273" s="71">
        <f>DA3273+DC3273+DE3273</f>
        <v>0</v>
      </c>
      <c r="AA3273" s="71">
        <f>CW3273</f>
        <v>0</v>
      </c>
      <c r="AB3273" s="71"/>
      <c r="AC3273" s="71">
        <v>0</v>
      </c>
      <c r="AD3273" s="71">
        <f>W3273+X3273+Y3273+Z3273+AA3273+AB3273+AC3273</f>
        <v>0</v>
      </c>
      <c r="AE3273" s="72">
        <v>0</v>
      </c>
      <c r="AF3273" s="5"/>
      <c r="AG3273" s="6"/>
      <c r="AH3273" s="27"/>
      <c r="AI3273" s="44"/>
      <c r="AJ3273" s="26"/>
      <c r="AK3273" s="5"/>
      <c r="AL3273" s="276" t="s">
        <v>6208</v>
      </c>
      <c r="AM3273" s="76"/>
      <c r="AN3273" s="76"/>
      <c r="AO3273" s="76"/>
      <c r="AP3273" s="76"/>
      <c r="AQ3273" s="76"/>
      <c r="AR3273" s="76"/>
      <c r="AS3273" s="76"/>
      <c r="AT3273" s="76"/>
      <c r="AU3273" s="76"/>
      <c r="AV3273" s="76"/>
      <c r="AW3273" s="76"/>
      <c r="AX3273" s="76">
        <f>+AW3273*600000</f>
        <v>0</v>
      </c>
      <c r="AY3273" s="76"/>
      <c r="AZ3273" s="76">
        <f>+AY3273*70000</f>
        <v>0</v>
      </c>
      <c r="BA3273" s="76"/>
      <c r="BB3273" s="76"/>
      <c r="BC3273" s="76"/>
      <c r="BD3273" s="76">
        <f>+BC3273*30000</f>
        <v>0</v>
      </c>
      <c r="BE3273" s="76"/>
      <c r="BF3273" s="76"/>
      <c r="BG3273" s="76"/>
      <c r="BH3273" s="76"/>
      <c r="BI3273" s="76"/>
      <c r="BJ3273" s="76"/>
      <c r="BK3273" s="76"/>
      <c r="BL3273" s="76">
        <f>+BK3273*31500</f>
        <v>0</v>
      </c>
      <c r="BM3273" s="76"/>
      <c r="BN3273" s="76"/>
      <c r="BO3273" s="76"/>
      <c r="BP3273" s="76"/>
      <c r="BQ3273" s="76"/>
      <c r="BR3273" s="76"/>
      <c r="BS3273" s="76"/>
      <c r="BT3273" s="76"/>
      <c r="BU3273" s="76"/>
      <c r="BV3273" s="76"/>
      <c r="BW3273" s="76"/>
      <c r="BX3273" s="76"/>
      <c r="BY3273" s="76"/>
      <c r="BZ3273" s="76"/>
      <c r="CA3273" s="76"/>
      <c r="CB3273" s="76"/>
      <c r="CC3273" s="76"/>
      <c r="CD3273" s="76"/>
      <c r="CE3273" s="76"/>
      <c r="CF3273" s="76">
        <f>+CE3273*28000</f>
        <v>0</v>
      </c>
      <c r="CG3273" s="76"/>
      <c r="CH3273" s="76">
        <f>+CG3273*22500</f>
        <v>0</v>
      </c>
      <c r="CI3273" s="76"/>
      <c r="CJ3273" s="76">
        <f>+CI3273*26000</f>
        <v>0</v>
      </c>
      <c r="CK3273" s="76"/>
      <c r="CL3273" s="76"/>
      <c r="CM3273" s="76"/>
      <c r="CN3273" s="76">
        <f>+CM3273*22000</f>
        <v>0</v>
      </c>
      <c r="CO3273" s="76"/>
      <c r="CP3273" s="76">
        <f>+CO3273*46000</f>
        <v>0</v>
      </c>
      <c r="CQ3273" s="76"/>
      <c r="CR3273" s="76">
        <f>+CQ3273*49000</f>
        <v>0</v>
      </c>
      <c r="CS3273" s="76"/>
      <c r="CT3273" s="76"/>
      <c r="CU3273" s="56">
        <f>AN3273+AP3273+AR3273+AT3273+AV3273+AX3273+AZ3273+BB3273+BD3273+BF3273+BH3273+BJ3273+BL3273+BN3273+BP3273+BR3273+BT3273+BV3273+BX3273+BZ3273+CB3273+CD3273+CF3273+CH3273+CJ3273+CL3273+CN3273+CP3273+CR3273+CT3273</f>
        <v>0</v>
      </c>
      <c r="CV3273" s="76"/>
      <c r="CW3273" s="76">
        <f>+CV3273*1100</f>
        <v>0</v>
      </c>
      <c r="CX3273" s="76"/>
      <c r="CY3273" s="76">
        <f>+CX3273*106250</f>
        <v>0</v>
      </c>
      <c r="CZ3273" s="76"/>
      <c r="DA3273" s="76">
        <f>+CZ3273*34500</f>
        <v>0</v>
      </c>
      <c r="DB3273" s="76"/>
      <c r="DC3273" s="76">
        <f>+DB3273*25000</f>
        <v>0</v>
      </c>
      <c r="DD3273" s="219"/>
      <c r="DE3273" s="219"/>
      <c r="DF3273" s="166"/>
      <c r="DG3273" s="116"/>
      <c r="DH3273" s="117"/>
      <c r="DI3273" s="24"/>
      <c r="DJ3273" s="24"/>
      <c r="DK3273" s="24"/>
      <c r="DL3273" s="24"/>
      <c r="DM3273" s="24"/>
      <c r="DN3273" s="24"/>
      <c r="DO3273" s="24"/>
      <c r="DP3273" s="24"/>
      <c r="DQ3273" s="24"/>
      <c r="DR3273" s="24"/>
      <c r="DS3273" s="24"/>
      <c r="DT3273" s="24"/>
      <c r="DU3273" s="24"/>
    </row>
    <row r="3274" spans="1:125" s="8" customFormat="1" ht="60" x14ac:dyDescent="0.2">
      <c r="A3274" s="77">
        <v>41549</v>
      </c>
      <c r="B3274" s="352" t="s">
        <v>2860</v>
      </c>
      <c r="C3274" s="354" t="s">
        <v>2198</v>
      </c>
      <c r="D3274" s="354" t="s">
        <v>2859</v>
      </c>
      <c r="E3274" s="75" t="str">
        <f>VLOOKUP(B3274&amp;C3274,Divipola!$C$2:$F$1138,4,FALSE)</f>
        <v>63130</v>
      </c>
      <c r="F3274" s="87"/>
      <c r="G3274" s="87"/>
      <c r="H3274" s="87"/>
      <c r="I3274" s="87">
        <v>10</v>
      </c>
      <c r="J3274" s="87">
        <v>2</v>
      </c>
      <c r="K3274" s="87"/>
      <c r="L3274" s="87">
        <v>1</v>
      </c>
      <c r="M3274" s="87"/>
      <c r="N3274" s="87"/>
      <c r="O3274" s="87"/>
      <c r="P3274" s="87"/>
      <c r="Q3274" s="87"/>
      <c r="R3274" s="87"/>
      <c r="S3274" s="87"/>
      <c r="T3274" s="87"/>
      <c r="U3274" s="88"/>
      <c r="V3274" s="89"/>
      <c r="W3274" s="96">
        <v>0</v>
      </c>
      <c r="X3274" s="71">
        <f>CU3274</f>
        <v>0</v>
      </c>
      <c r="Y3274" s="71">
        <f>CY3274</f>
        <v>0</v>
      </c>
      <c r="Z3274" s="71">
        <f>DA3274+DC3274+DE3274</f>
        <v>0</v>
      </c>
      <c r="AA3274" s="71">
        <f>CW3274</f>
        <v>0</v>
      </c>
      <c r="AB3274" s="71"/>
      <c r="AC3274" s="71">
        <v>0</v>
      </c>
      <c r="AD3274" s="71">
        <f>W3274+X3274+Y3274+Z3274+AA3274+AB3274+AC3274</f>
        <v>0</v>
      </c>
      <c r="AE3274" s="72">
        <v>0</v>
      </c>
      <c r="AF3274" s="5"/>
      <c r="AG3274" s="6"/>
      <c r="AH3274" s="27"/>
      <c r="AI3274" s="44"/>
      <c r="AJ3274" s="26"/>
      <c r="AK3274" s="5"/>
      <c r="AL3274" s="82" t="s">
        <v>6214</v>
      </c>
      <c r="AM3274" s="76"/>
      <c r="AN3274" s="76"/>
      <c r="AO3274" s="76"/>
      <c r="AP3274" s="76"/>
      <c r="AQ3274" s="76"/>
      <c r="AR3274" s="76"/>
      <c r="AS3274" s="76"/>
      <c r="AT3274" s="76"/>
      <c r="AU3274" s="76"/>
      <c r="AV3274" s="76"/>
      <c r="AW3274" s="76"/>
      <c r="AX3274" s="76">
        <f>+AW3274*600000</f>
        <v>0</v>
      </c>
      <c r="AY3274" s="76"/>
      <c r="AZ3274" s="76">
        <f>+AY3274*70000</f>
        <v>0</v>
      </c>
      <c r="BA3274" s="76"/>
      <c r="BB3274" s="76"/>
      <c r="BC3274" s="76"/>
      <c r="BD3274" s="76">
        <f>+BC3274*30000</f>
        <v>0</v>
      </c>
      <c r="BE3274" s="76"/>
      <c r="BF3274" s="76"/>
      <c r="BG3274" s="76"/>
      <c r="BH3274" s="76"/>
      <c r="BI3274" s="76"/>
      <c r="BJ3274" s="76"/>
      <c r="BK3274" s="76"/>
      <c r="BL3274" s="76">
        <f>+BK3274*31500</f>
        <v>0</v>
      </c>
      <c r="BM3274" s="76"/>
      <c r="BN3274" s="76"/>
      <c r="BO3274" s="76"/>
      <c r="BP3274" s="76"/>
      <c r="BQ3274" s="76"/>
      <c r="BR3274" s="76"/>
      <c r="BS3274" s="76"/>
      <c r="BT3274" s="76"/>
      <c r="BU3274" s="76"/>
      <c r="BV3274" s="76"/>
      <c r="BW3274" s="76"/>
      <c r="BX3274" s="76"/>
      <c r="BY3274" s="76"/>
      <c r="BZ3274" s="76"/>
      <c r="CA3274" s="76"/>
      <c r="CB3274" s="76"/>
      <c r="CC3274" s="76"/>
      <c r="CD3274" s="76"/>
      <c r="CE3274" s="76"/>
      <c r="CF3274" s="76">
        <f>+CE3274*28000</f>
        <v>0</v>
      </c>
      <c r="CG3274" s="76"/>
      <c r="CH3274" s="76">
        <f>+CG3274*22500</f>
        <v>0</v>
      </c>
      <c r="CI3274" s="76"/>
      <c r="CJ3274" s="76">
        <f>+CI3274*26000</f>
        <v>0</v>
      </c>
      <c r="CK3274" s="76"/>
      <c r="CL3274" s="76"/>
      <c r="CM3274" s="76"/>
      <c r="CN3274" s="76">
        <f>+CM3274*22000</f>
        <v>0</v>
      </c>
      <c r="CO3274" s="76"/>
      <c r="CP3274" s="76">
        <f>+CO3274*46000</f>
        <v>0</v>
      </c>
      <c r="CQ3274" s="76"/>
      <c r="CR3274" s="76">
        <f>+CQ3274*49000</f>
        <v>0</v>
      </c>
      <c r="CS3274" s="76"/>
      <c r="CT3274" s="76"/>
      <c r="CU3274" s="56">
        <f>AN3274+AP3274+AR3274+AT3274+AV3274+AX3274+AZ3274+BB3274+BD3274+BF3274+BH3274+BJ3274+BL3274+BN3274+BP3274+BR3274+BT3274+BV3274+BX3274+BZ3274+CB3274+CD3274+CF3274+CH3274+CJ3274+CL3274+CN3274+CP3274+CR3274+CT3274</f>
        <v>0</v>
      </c>
      <c r="CV3274" s="76"/>
      <c r="CW3274" s="76">
        <f>+CV3274*1100</f>
        <v>0</v>
      </c>
      <c r="CX3274" s="76"/>
      <c r="CY3274" s="76">
        <f>+CX3274*106250</f>
        <v>0</v>
      </c>
      <c r="CZ3274" s="76"/>
      <c r="DA3274" s="76">
        <f>+CZ3274*34500</f>
        <v>0</v>
      </c>
      <c r="DB3274" s="76"/>
      <c r="DC3274" s="76">
        <f>+DB3274*25000</f>
        <v>0</v>
      </c>
      <c r="DD3274" s="219"/>
      <c r="DE3274" s="219"/>
      <c r="DF3274" s="166"/>
      <c r="DG3274" s="116"/>
      <c r="DH3274" s="117"/>
      <c r="DI3274" s="24"/>
      <c r="DJ3274" s="24"/>
      <c r="DK3274" s="24"/>
      <c r="DL3274" s="24"/>
      <c r="DM3274" s="24"/>
      <c r="DN3274" s="24"/>
      <c r="DO3274" s="24"/>
      <c r="DP3274" s="24"/>
      <c r="DQ3274" s="24"/>
      <c r="DR3274" s="24"/>
      <c r="DS3274" s="24"/>
      <c r="DT3274" s="24"/>
      <c r="DU3274" s="24"/>
    </row>
    <row r="3275" spans="1:125" s="8" customFormat="1" ht="60" x14ac:dyDescent="0.2">
      <c r="A3275" s="353">
        <v>41549</v>
      </c>
      <c r="B3275" s="352" t="s">
        <v>2774</v>
      </c>
      <c r="C3275" s="354" t="s">
        <v>2073</v>
      </c>
      <c r="D3275" s="354" t="s">
        <v>2882</v>
      </c>
      <c r="E3275" s="75" t="str">
        <f>VLOOKUP(B3275&amp;C3275,Divipola!$C$2:$F$1138,4,FALSE)</f>
        <v>66383</v>
      </c>
      <c r="F3275" s="87"/>
      <c r="G3275" s="87"/>
      <c r="H3275" s="87"/>
      <c r="I3275" s="87">
        <v>10</v>
      </c>
      <c r="J3275" s="87">
        <v>3</v>
      </c>
      <c r="K3275" s="87"/>
      <c r="L3275" s="87">
        <v>3</v>
      </c>
      <c r="M3275" s="87"/>
      <c r="N3275" s="87"/>
      <c r="O3275" s="87"/>
      <c r="P3275" s="87"/>
      <c r="Q3275" s="87"/>
      <c r="R3275" s="87"/>
      <c r="S3275" s="87"/>
      <c r="T3275" s="87"/>
      <c r="U3275" s="88"/>
      <c r="V3275" s="89"/>
      <c r="W3275" s="96">
        <v>0</v>
      </c>
      <c r="X3275" s="71">
        <f>CU3275</f>
        <v>0</v>
      </c>
      <c r="Y3275" s="71">
        <f>CY3275</f>
        <v>0</v>
      </c>
      <c r="Z3275" s="71">
        <f>DA3275+DC3275+DE3275</f>
        <v>0</v>
      </c>
      <c r="AA3275" s="71">
        <f>CW3275</f>
        <v>0</v>
      </c>
      <c r="AB3275" s="71"/>
      <c r="AC3275" s="71">
        <v>0</v>
      </c>
      <c r="AD3275" s="71">
        <f>W3275+X3275+Y3275+Z3275+AA3275+AB3275+AC3275</f>
        <v>0</v>
      </c>
      <c r="AE3275" s="72">
        <v>0</v>
      </c>
      <c r="AF3275" s="5"/>
      <c r="AG3275" s="6"/>
      <c r="AH3275" s="27"/>
      <c r="AI3275" s="44"/>
      <c r="AJ3275" s="26"/>
      <c r="AK3275" s="5"/>
      <c r="AL3275" s="82" t="s">
        <v>6216</v>
      </c>
      <c r="AM3275" s="76"/>
      <c r="AN3275" s="76"/>
      <c r="AO3275" s="76"/>
      <c r="AP3275" s="76"/>
      <c r="AQ3275" s="76"/>
      <c r="AR3275" s="76"/>
      <c r="AS3275" s="76"/>
      <c r="AT3275" s="76"/>
      <c r="AU3275" s="76"/>
      <c r="AV3275" s="76"/>
      <c r="AW3275" s="76"/>
      <c r="AX3275" s="76">
        <f>+AW3275*600000</f>
        <v>0</v>
      </c>
      <c r="AY3275" s="76"/>
      <c r="AZ3275" s="76">
        <f>+AY3275*70000</f>
        <v>0</v>
      </c>
      <c r="BA3275" s="76"/>
      <c r="BB3275" s="76"/>
      <c r="BC3275" s="76"/>
      <c r="BD3275" s="76">
        <f>+BC3275*30000</f>
        <v>0</v>
      </c>
      <c r="BE3275" s="76"/>
      <c r="BF3275" s="76"/>
      <c r="BG3275" s="76"/>
      <c r="BH3275" s="76"/>
      <c r="BI3275" s="76"/>
      <c r="BJ3275" s="76"/>
      <c r="BK3275" s="76"/>
      <c r="BL3275" s="76">
        <f>+BK3275*31500</f>
        <v>0</v>
      </c>
      <c r="BM3275" s="76"/>
      <c r="BN3275" s="76"/>
      <c r="BO3275" s="76"/>
      <c r="BP3275" s="76"/>
      <c r="BQ3275" s="76"/>
      <c r="BR3275" s="76"/>
      <c r="BS3275" s="76"/>
      <c r="BT3275" s="76"/>
      <c r="BU3275" s="76"/>
      <c r="BV3275" s="76"/>
      <c r="BW3275" s="76"/>
      <c r="BX3275" s="76"/>
      <c r="BY3275" s="76"/>
      <c r="BZ3275" s="76"/>
      <c r="CA3275" s="76"/>
      <c r="CB3275" s="76"/>
      <c r="CC3275" s="76"/>
      <c r="CD3275" s="76"/>
      <c r="CE3275" s="76"/>
      <c r="CF3275" s="76">
        <f>+CE3275*28000</f>
        <v>0</v>
      </c>
      <c r="CG3275" s="76"/>
      <c r="CH3275" s="76">
        <f>+CG3275*22500</f>
        <v>0</v>
      </c>
      <c r="CI3275" s="76"/>
      <c r="CJ3275" s="76">
        <f>+CI3275*26000</f>
        <v>0</v>
      </c>
      <c r="CK3275" s="76"/>
      <c r="CL3275" s="76"/>
      <c r="CM3275" s="76"/>
      <c r="CN3275" s="76">
        <f>+CM3275*22000</f>
        <v>0</v>
      </c>
      <c r="CO3275" s="76"/>
      <c r="CP3275" s="76">
        <f>+CO3275*46000</f>
        <v>0</v>
      </c>
      <c r="CQ3275" s="76"/>
      <c r="CR3275" s="76">
        <f>+CQ3275*49000</f>
        <v>0</v>
      </c>
      <c r="CS3275" s="76"/>
      <c r="CT3275" s="76"/>
      <c r="CU3275" s="56">
        <f>AN3275+AP3275+AR3275+AT3275+AV3275+AX3275+AZ3275+BB3275+BD3275+BF3275+BH3275+BJ3275+BL3275+BN3275+BP3275+BR3275+BT3275+BV3275+BX3275+BZ3275+CB3275+CD3275+CF3275+CH3275+CJ3275+CL3275+CN3275+CP3275+CR3275+CT3275</f>
        <v>0</v>
      </c>
      <c r="CV3275" s="76"/>
      <c r="CW3275" s="76">
        <f>+CV3275*1100</f>
        <v>0</v>
      </c>
      <c r="CX3275" s="76"/>
      <c r="CY3275" s="76">
        <f>+CX3275*106250</f>
        <v>0</v>
      </c>
      <c r="CZ3275" s="76"/>
      <c r="DA3275" s="76">
        <f>+CZ3275*34500</f>
        <v>0</v>
      </c>
      <c r="DB3275" s="76"/>
      <c r="DC3275" s="76">
        <f>+DB3275*25000</f>
        <v>0</v>
      </c>
      <c r="DD3275" s="219"/>
      <c r="DE3275" s="219"/>
      <c r="DF3275" s="166"/>
      <c r="DG3275" s="116"/>
      <c r="DH3275" s="117"/>
      <c r="DI3275" s="24"/>
      <c r="DJ3275" s="24"/>
      <c r="DK3275" s="24"/>
      <c r="DL3275" s="24"/>
      <c r="DM3275" s="24"/>
      <c r="DN3275" s="24"/>
      <c r="DO3275" s="24"/>
      <c r="DP3275" s="24"/>
      <c r="DQ3275" s="24"/>
      <c r="DR3275" s="24"/>
      <c r="DS3275" s="24"/>
      <c r="DT3275" s="24"/>
      <c r="DU3275" s="24"/>
    </row>
    <row r="3276" spans="1:125" s="8" customFormat="1" ht="48" x14ac:dyDescent="0.2">
      <c r="A3276" s="77">
        <v>41549</v>
      </c>
      <c r="B3276" s="78" t="s">
        <v>2774</v>
      </c>
      <c r="C3276" s="75" t="s">
        <v>2038</v>
      </c>
      <c r="D3276" s="75" t="s">
        <v>2882</v>
      </c>
      <c r="E3276" s="75" t="str">
        <f>VLOOKUP(B3276&amp;C3276,Divipola!$C$2:$F$1138,4,FALSE)</f>
        <v>66456</v>
      </c>
      <c r="F3276" s="87"/>
      <c r="G3276" s="87"/>
      <c r="H3276" s="87"/>
      <c r="I3276" s="87"/>
      <c r="J3276" s="87"/>
      <c r="K3276" s="87"/>
      <c r="L3276" s="87"/>
      <c r="M3276" s="87"/>
      <c r="N3276" s="87"/>
      <c r="O3276" s="87"/>
      <c r="P3276" s="87"/>
      <c r="Q3276" s="87"/>
      <c r="R3276" s="87"/>
      <c r="S3276" s="87"/>
      <c r="T3276" s="87"/>
      <c r="U3276" s="87"/>
      <c r="V3276" s="89"/>
      <c r="W3276" s="96">
        <v>0</v>
      </c>
      <c r="X3276" s="71">
        <f>CU3276</f>
        <v>0</v>
      </c>
      <c r="Y3276" s="71">
        <f>CY3276</f>
        <v>0</v>
      </c>
      <c r="Z3276" s="71">
        <f>DA3276+DC3276+DE3276</f>
        <v>0</v>
      </c>
      <c r="AA3276" s="71">
        <f>CW3276</f>
        <v>0</v>
      </c>
      <c r="AB3276" s="71"/>
      <c r="AC3276" s="71">
        <v>0</v>
      </c>
      <c r="AD3276" s="71">
        <f>W3276+X3276+Y3276+Z3276+AA3276+AB3276+AC3276</f>
        <v>0</v>
      </c>
      <c r="AE3276" s="72">
        <v>0</v>
      </c>
      <c r="AF3276" s="5"/>
      <c r="AG3276" s="6"/>
      <c r="AH3276" s="27"/>
      <c r="AI3276" s="44"/>
      <c r="AJ3276" s="26"/>
      <c r="AK3276" s="5"/>
      <c r="AL3276" s="276" t="s">
        <v>6212</v>
      </c>
      <c r="AM3276" s="76"/>
      <c r="AN3276" s="76"/>
      <c r="AO3276" s="76"/>
      <c r="AP3276" s="76"/>
      <c r="AQ3276" s="76"/>
      <c r="AR3276" s="76"/>
      <c r="AS3276" s="76"/>
      <c r="AT3276" s="76"/>
      <c r="AU3276" s="76"/>
      <c r="AV3276" s="76"/>
      <c r="AW3276" s="76"/>
      <c r="AX3276" s="76">
        <f>+AW3276*600000</f>
        <v>0</v>
      </c>
      <c r="AY3276" s="76"/>
      <c r="AZ3276" s="76">
        <f>+AY3276*70000</f>
        <v>0</v>
      </c>
      <c r="BA3276" s="76"/>
      <c r="BB3276" s="76"/>
      <c r="BC3276" s="76"/>
      <c r="BD3276" s="76">
        <f>+BC3276*30000</f>
        <v>0</v>
      </c>
      <c r="BE3276" s="76"/>
      <c r="BF3276" s="76"/>
      <c r="BG3276" s="76"/>
      <c r="BH3276" s="76"/>
      <c r="BI3276" s="76"/>
      <c r="BJ3276" s="76"/>
      <c r="BK3276" s="76"/>
      <c r="BL3276" s="76">
        <f>+BK3276*31500</f>
        <v>0</v>
      </c>
      <c r="BM3276" s="76"/>
      <c r="BN3276" s="76"/>
      <c r="BO3276" s="76"/>
      <c r="BP3276" s="76"/>
      <c r="BQ3276" s="76"/>
      <c r="BR3276" s="76"/>
      <c r="BS3276" s="76"/>
      <c r="BT3276" s="76"/>
      <c r="BU3276" s="76"/>
      <c r="BV3276" s="76"/>
      <c r="BW3276" s="76"/>
      <c r="BX3276" s="76"/>
      <c r="BY3276" s="76"/>
      <c r="BZ3276" s="76"/>
      <c r="CA3276" s="76"/>
      <c r="CB3276" s="76"/>
      <c r="CC3276" s="76"/>
      <c r="CD3276" s="76"/>
      <c r="CE3276" s="76"/>
      <c r="CF3276" s="76">
        <f>+CE3276*28000</f>
        <v>0</v>
      </c>
      <c r="CG3276" s="76"/>
      <c r="CH3276" s="76">
        <f>+CG3276*22500</f>
        <v>0</v>
      </c>
      <c r="CI3276" s="76"/>
      <c r="CJ3276" s="76">
        <f>+CI3276*26000</f>
        <v>0</v>
      </c>
      <c r="CK3276" s="76"/>
      <c r="CL3276" s="76"/>
      <c r="CM3276" s="76"/>
      <c r="CN3276" s="76">
        <f>+CM3276*22000</f>
        <v>0</v>
      </c>
      <c r="CO3276" s="76"/>
      <c r="CP3276" s="76">
        <f>+CO3276*46000</f>
        <v>0</v>
      </c>
      <c r="CQ3276" s="76"/>
      <c r="CR3276" s="76">
        <f>+CQ3276*49000</f>
        <v>0</v>
      </c>
      <c r="CS3276" s="76"/>
      <c r="CT3276" s="76"/>
      <c r="CU3276" s="56">
        <f>AN3276+AP3276+AR3276+AT3276+AV3276+AX3276+AZ3276+BB3276+BD3276+BF3276+BH3276+BJ3276+BL3276+BN3276+BP3276+BR3276+BT3276+BV3276+BX3276+BZ3276+CB3276+CD3276+CF3276+CH3276+CJ3276+CL3276+CN3276+CP3276+CR3276+CT3276</f>
        <v>0</v>
      </c>
      <c r="CV3276" s="76"/>
      <c r="CW3276" s="76">
        <f>+CV3276*1100</f>
        <v>0</v>
      </c>
      <c r="CX3276" s="76"/>
      <c r="CY3276" s="76">
        <f>+CX3276*106250</f>
        <v>0</v>
      </c>
      <c r="CZ3276" s="76"/>
      <c r="DA3276" s="76">
        <f>+CZ3276*34500</f>
        <v>0</v>
      </c>
      <c r="DB3276" s="76"/>
      <c r="DC3276" s="76">
        <f>+DB3276*25000</f>
        <v>0</v>
      </c>
      <c r="DD3276" s="219"/>
      <c r="DE3276" s="219"/>
      <c r="DF3276" s="166"/>
      <c r="DG3276" s="116"/>
      <c r="DH3276" s="117"/>
      <c r="DI3276" s="24"/>
      <c r="DJ3276" s="24"/>
      <c r="DK3276" s="24"/>
      <c r="DL3276" s="24"/>
      <c r="DM3276" s="24"/>
      <c r="DN3276" s="24"/>
      <c r="DO3276" s="24"/>
      <c r="DP3276" s="24"/>
      <c r="DQ3276" s="24"/>
      <c r="DR3276" s="24"/>
      <c r="DS3276" s="24"/>
      <c r="DT3276" s="24"/>
      <c r="DU3276" s="24"/>
    </row>
    <row r="3277" spans="1:125" s="8" customFormat="1" ht="60" x14ac:dyDescent="0.2">
      <c r="A3277" s="228">
        <v>41549</v>
      </c>
      <c r="B3277" s="229" t="s">
        <v>2847</v>
      </c>
      <c r="C3277" s="230" t="s">
        <v>2684</v>
      </c>
      <c r="D3277" s="230" t="s">
        <v>3088</v>
      </c>
      <c r="E3277" s="75" t="str">
        <f>VLOOKUP(B3277&amp;C3277,Divipola!$C$2:$F$1138,4,FALSE)</f>
        <v>68081</v>
      </c>
      <c r="F3277" s="87"/>
      <c r="G3277" s="87"/>
      <c r="H3277" s="87"/>
      <c r="I3277" s="87"/>
      <c r="J3277" s="87"/>
      <c r="K3277" s="87"/>
      <c r="L3277" s="87"/>
      <c r="M3277" s="87"/>
      <c r="N3277" s="87"/>
      <c r="O3277" s="87"/>
      <c r="P3277" s="87"/>
      <c r="Q3277" s="87"/>
      <c r="R3277" s="87"/>
      <c r="S3277" s="87"/>
      <c r="T3277" s="87"/>
      <c r="U3277" s="88"/>
      <c r="V3277" s="89"/>
      <c r="W3277" s="96">
        <v>0</v>
      </c>
      <c r="X3277" s="71">
        <f>CU3277</f>
        <v>0</v>
      </c>
      <c r="Y3277" s="71">
        <f>CY3277</f>
        <v>0</v>
      </c>
      <c r="Z3277" s="71">
        <f>DA3277+DC3277+DE3277</f>
        <v>0</v>
      </c>
      <c r="AA3277" s="71">
        <f>CW3277</f>
        <v>0</v>
      </c>
      <c r="AB3277" s="71"/>
      <c r="AC3277" s="71">
        <v>0</v>
      </c>
      <c r="AD3277" s="71">
        <f>W3277+X3277+Y3277+Z3277+AA3277+AB3277+AC3277</f>
        <v>0</v>
      </c>
      <c r="AE3277" s="72">
        <v>0</v>
      </c>
      <c r="AF3277" s="5"/>
      <c r="AG3277" s="6"/>
      <c r="AH3277" s="27"/>
      <c r="AI3277" s="44"/>
      <c r="AJ3277" s="26"/>
      <c r="AK3277" s="5"/>
      <c r="AL3277" s="276" t="s">
        <v>6205</v>
      </c>
      <c r="AM3277" s="76"/>
      <c r="AN3277" s="76"/>
      <c r="AO3277" s="76"/>
      <c r="AP3277" s="76"/>
      <c r="AQ3277" s="76"/>
      <c r="AR3277" s="76"/>
      <c r="AS3277" s="76"/>
      <c r="AT3277" s="76"/>
      <c r="AU3277" s="76"/>
      <c r="AV3277" s="76"/>
      <c r="AW3277" s="76"/>
      <c r="AX3277" s="76">
        <f>+AW3277*600000</f>
        <v>0</v>
      </c>
      <c r="AY3277" s="76"/>
      <c r="AZ3277" s="76">
        <f>+AY3277*70000</f>
        <v>0</v>
      </c>
      <c r="BA3277" s="76"/>
      <c r="BB3277" s="76"/>
      <c r="BC3277" s="76"/>
      <c r="BD3277" s="76">
        <f>+BC3277*30000</f>
        <v>0</v>
      </c>
      <c r="BE3277" s="76"/>
      <c r="BF3277" s="76"/>
      <c r="BG3277" s="76"/>
      <c r="BH3277" s="76"/>
      <c r="BI3277" s="76"/>
      <c r="BJ3277" s="76"/>
      <c r="BK3277" s="76"/>
      <c r="BL3277" s="76">
        <f>+BK3277*31500</f>
        <v>0</v>
      </c>
      <c r="BM3277" s="76"/>
      <c r="BN3277" s="76"/>
      <c r="BO3277" s="76"/>
      <c r="BP3277" s="76"/>
      <c r="BQ3277" s="76"/>
      <c r="BR3277" s="76"/>
      <c r="BS3277" s="76"/>
      <c r="BT3277" s="76"/>
      <c r="BU3277" s="76"/>
      <c r="BV3277" s="76"/>
      <c r="BW3277" s="76"/>
      <c r="BX3277" s="76"/>
      <c r="BY3277" s="76"/>
      <c r="BZ3277" s="76"/>
      <c r="CA3277" s="76"/>
      <c r="CB3277" s="76"/>
      <c r="CC3277" s="76"/>
      <c r="CD3277" s="76"/>
      <c r="CE3277" s="76"/>
      <c r="CF3277" s="76">
        <f>+CE3277*28000</f>
        <v>0</v>
      </c>
      <c r="CG3277" s="76"/>
      <c r="CH3277" s="76">
        <f>+CG3277*22500</f>
        <v>0</v>
      </c>
      <c r="CI3277" s="76"/>
      <c r="CJ3277" s="76">
        <f>+CI3277*26000</f>
        <v>0</v>
      </c>
      <c r="CK3277" s="76"/>
      <c r="CL3277" s="76"/>
      <c r="CM3277" s="76"/>
      <c r="CN3277" s="76">
        <f>+CM3277*22000</f>
        <v>0</v>
      </c>
      <c r="CO3277" s="76"/>
      <c r="CP3277" s="76">
        <f>+CO3277*46000</f>
        <v>0</v>
      </c>
      <c r="CQ3277" s="76"/>
      <c r="CR3277" s="76">
        <f>+CQ3277*49000</f>
        <v>0</v>
      </c>
      <c r="CS3277" s="76"/>
      <c r="CT3277" s="76"/>
      <c r="CU3277" s="56">
        <f>AN3277+AP3277+AR3277+AT3277+AV3277+AX3277+AZ3277+BB3277+BD3277+BF3277+BH3277+BJ3277+BL3277+BN3277+BP3277+BR3277+BT3277+BV3277+BX3277+BZ3277+CB3277+CD3277+CF3277+CH3277+CJ3277+CL3277+CN3277+CP3277+CR3277+CT3277</f>
        <v>0</v>
      </c>
      <c r="CV3277" s="76"/>
      <c r="CW3277" s="76">
        <f>+CV3277*1100</f>
        <v>0</v>
      </c>
      <c r="CX3277" s="76"/>
      <c r="CY3277" s="76">
        <f>+CX3277*106250</f>
        <v>0</v>
      </c>
      <c r="CZ3277" s="76"/>
      <c r="DA3277" s="76">
        <f>+CZ3277*34500</f>
        <v>0</v>
      </c>
      <c r="DB3277" s="76"/>
      <c r="DC3277" s="76">
        <f>+DB3277*25000</f>
        <v>0</v>
      </c>
      <c r="DD3277" s="219"/>
      <c r="DE3277" s="219"/>
      <c r="DF3277" s="166"/>
      <c r="DG3277" s="116"/>
      <c r="DH3277" s="117"/>
      <c r="DI3277" s="24"/>
      <c r="DJ3277" s="24"/>
      <c r="DK3277" s="24"/>
      <c r="DL3277" s="24"/>
      <c r="DM3277" s="24"/>
      <c r="DN3277" s="24"/>
      <c r="DO3277" s="24"/>
      <c r="DP3277" s="24"/>
      <c r="DQ3277" s="24"/>
      <c r="DR3277" s="24"/>
      <c r="DS3277" s="24"/>
      <c r="DT3277" s="24"/>
      <c r="DU3277" s="24"/>
    </row>
    <row r="3278" spans="1:125" s="8" customFormat="1" ht="192" x14ac:dyDescent="0.2">
      <c r="A3278" s="248">
        <v>41549</v>
      </c>
      <c r="B3278" s="249" t="s">
        <v>2847</v>
      </c>
      <c r="C3278" s="231" t="s">
        <v>2684</v>
      </c>
      <c r="D3278" s="231" t="s">
        <v>3051</v>
      </c>
      <c r="E3278" s="75" t="str">
        <f>VLOOKUP(B3278&amp;C3278,Divipola!$C$2:$F$1138,4,FALSE)</f>
        <v>68081</v>
      </c>
      <c r="F3278" s="87"/>
      <c r="G3278" s="87"/>
      <c r="H3278" s="87"/>
      <c r="I3278" s="87">
        <v>360</v>
      </c>
      <c r="J3278" s="87">
        <v>72</v>
      </c>
      <c r="K3278" s="87">
        <v>3</v>
      </c>
      <c r="L3278" s="87">
        <v>69</v>
      </c>
      <c r="M3278" s="87">
        <v>1</v>
      </c>
      <c r="N3278" s="87"/>
      <c r="O3278" s="87"/>
      <c r="P3278" s="87"/>
      <c r="Q3278" s="87"/>
      <c r="R3278" s="87"/>
      <c r="S3278" s="87"/>
      <c r="T3278" s="87"/>
      <c r="U3278" s="88"/>
      <c r="V3278" s="89"/>
      <c r="W3278" s="96">
        <v>0</v>
      </c>
      <c r="X3278" s="71">
        <f>CU3278</f>
        <v>0</v>
      </c>
      <c r="Y3278" s="71">
        <f>CY3278</f>
        <v>0</v>
      </c>
      <c r="Z3278" s="71">
        <f>DA3278+DC3278+DE3278</f>
        <v>0</v>
      </c>
      <c r="AA3278" s="71">
        <f>CW3278</f>
        <v>0</v>
      </c>
      <c r="AB3278" s="71"/>
      <c r="AC3278" s="71">
        <v>0</v>
      </c>
      <c r="AD3278" s="71">
        <f>W3278+X3278+Y3278+Z3278+AA3278+AB3278+AC3278</f>
        <v>0</v>
      </c>
      <c r="AE3278" s="72">
        <v>0</v>
      </c>
      <c r="AF3278" s="5"/>
      <c r="AG3278" s="6"/>
      <c r="AH3278" s="27"/>
      <c r="AI3278" s="44"/>
      <c r="AJ3278" s="26"/>
      <c r="AK3278" s="5"/>
      <c r="AL3278" s="276" t="s">
        <v>6204</v>
      </c>
      <c r="AM3278" s="76"/>
      <c r="AN3278" s="76"/>
      <c r="AO3278" s="76"/>
      <c r="AP3278" s="76"/>
      <c r="AQ3278" s="76"/>
      <c r="AR3278" s="76"/>
      <c r="AS3278" s="76"/>
      <c r="AT3278" s="76"/>
      <c r="AU3278" s="76"/>
      <c r="AV3278" s="76"/>
      <c r="AW3278" s="76"/>
      <c r="AX3278" s="76">
        <f>+AW3278*600000</f>
        <v>0</v>
      </c>
      <c r="AY3278" s="76"/>
      <c r="AZ3278" s="76">
        <f>+AY3278*70000</f>
        <v>0</v>
      </c>
      <c r="BA3278" s="76"/>
      <c r="BB3278" s="76"/>
      <c r="BC3278" s="76"/>
      <c r="BD3278" s="76">
        <f>+BC3278*30000</f>
        <v>0</v>
      </c>
      <c r="BE3278" s="76"/>
      <c r="BF3278" s="76"/>
      <c r="BG3278" s="76"/>
      <c r="BH3278" s="76"/>
      <c r="BI3278" s="76"/>
      <c r="BJ3278" s="76"/>
      <c r="BK3278" s="76"/>
      <c r="BL3278" s="76">
        <f>+BK3278*31500</f>
        <v>0</v>
      </c>
      <c r="BM3278" s="76"/>
      <c r="BN3278" s="76"/>
      <c r="BO3278" s="76"/>
      <c r="BP3278" s="76"/>
      <c r="BQ3278" s="76"/>
      <c r="BR3278" s="76"/>
      <c r="BS3278" s="76"/>
      <c r="BT3278" s="76"/>
      <c r="BU3278" s="76"/>
      <c r="BV3278" s="76"/>
      <c r="BW3278" s="76"/>
      <c r="BX3278" s="76"/>
      <c r="BY3278" s="76"/>
      <c r="BZ3278" s="76"/>
      <c r="CA3278" s="76"/>
      <c r="CB3278" s="76"/>
      <c r="CC3278" s="76"/>
      <c r="CD3278" s="76"/>
      <c r="CE3278" s="76"/>
      <c r="CF3278" s="76">
        <f>+CE3278*28000</f>
        <v>0</v>
      </c>
      <c r="CG3278" s="76"/>
      <c r="CH3278" s="76">
        <f>+CG3278*22500</f>
        <v>0</v>
      </c>
      <c r="CI3278" s="76"/>
      <c r="CJ3278" s="76">
        <f>+CI3278*26000</f>
        <v>0</v>
      </c>
      <c r="CK3278" s="76"/>
      <c r="CL3278" s="76"/>
      <c r="CM3278" s="76"/>
      <c r="CN3278" s="76">
        <f>+CM3278*22000</f>
        <v>0</v>
      </c>
      <c r="CO3278" s="76"/>
      <c r="CP3278" s="76">
        <f>+CO3278*46000</f>
        <v>0</v>
      </c>
      <c r="CQ3278" s="76"/>
      <c r="CR3278" s="76">
        <f>+CQ3278*49000</f>
        <v>0</v>
      </c>
      <c r="CS3278" s="76"/>
      <c r="CT3278" s="76"/>
      <c r="CU3278" s="56">
        <f>AN3278+AP3278+AR3278+AT3278+AV3278+AX3278+AZ3278+BB3278+BD3278+BF3278+BH3278+BJ3278+BL3278+BN3278+BP3278+BR3278+BT3278+BV3278+BX3278+BZ3278+CB3278+CD3278+CF3278+CH3278+CJ3278+CL3278+CN3278+CP3278+CR3278+CT3278</f>
        <v>0</v>
      </c>
      <c r="CV3278" s="76"/>
      <c r="CW3278" s="76">
        <f>+CV3278*1100</f>
        <v>0</v>
      </c>
      <c r="CX3278" s="76"/>
      <c r="CY3278" s="76">
        <f>+CX3278*106250</f>
        <v>0</v>
      </c>
      <c r="CZ3278" s="76"/>
      <c r="DA3278" s="76">
        <f>+CZ3278*34500</f>
        <v>0</v>
      </c>
      <c r="DB3278" s="76"/>
      <c r="DC3278" s="76">
        <f>+DB3278*25000</f>
        <v>0</v>
      </c>
      <c r="DD3278" s="219"/>
      <c r="DE3278" s="219"/>
      <c r="DF3278" s="166"/>
      <c r="DG3278" s="116"/>
      <c r="DH3278" s="117"/>
      <c r="DI3278" s="24"/>
      <c r="DJ3278" s="24"/>
      <c r="DK3278" s="24"/>
      <c r="DL3278" s="24"/>
      <c r="DM3278" s="24"/>
      <c r="DN3278" s="24"/>
      <c r="DO3278" s="24"/>
      <c r="DP3278" s="24"/>
      <c r="DQ3278" s="24"/>
      <c r="DR3278" s="24"/>
      <c r="DS3278" s="24"/>
      <c r="DT3278" s="24"/>
      <c r="DU3278" s="24"/>
    </row>
    <row r="3279" spans="1:125" s="8" customFormat="1" ht="60" x14ac:dyDescent="0.2">
      <c r="A3279" s="77">
        <v>41549</v>
      </c>
      <c r="B3279" s="78" t="s">
        <v>2847</v>
      </c>
      <c r="C3279" s="75" t="s">
        <v>2796</v>
      </c>
      <c r="D3279" s="75" t="s">
        <v>3051</v>
      </c>
      <c r="E3279" s="75" t="str">
        <f>VLOOKUP(B3279&amp;C3279,Divipola!$C$2:$F$1138,4,FALSE)</f>
        <v>68444</v>
      </c>
      <c r="F3279" s="87"/>
      <c r="G3279" s="87"/>
      <c r="H3279" s="87"/>
      <c r="I3279" s="87">
        <v>150</v>
      </c>
      <c r="J3279" s="87">
        <v>30</v>
      </c>
      <c r="K3279" s="87"/>
      <c r="L3279" s="87">
        <v>30</v>
      </c>
      <c r="M3279" s="87"/>
      <c r="N3279" s="87"/>
      <c r="O3279" s="87"/>
      <c r="P3279" s="87"/>
      <c r="Q3279" s="87"/>
      <c r="R3279" s="87"/>
      <c r="S3279" s="87"/>
      <c r="T3279" s="87"/>
      <c r="U3279" s="88"/>
      <c r="V3279" s="89"/>
      <c r="W3279" s="96">
        <v>0</v>
      </c>
      <c r="X3279" s="71">
        <f>CU3279</f>
        <v>0</v>
      </c>
      <c r="Y3279" s="71">
        <f>CY3279</f>
        <v>0</v>
      </c>
      <c r="Z3279" s="71">
        <f>DA3279+DC3279+DE3279</f>
        <v>0</v>
      </c>
      <c r="AA3279" s="71">
        <f>CW3279</f>
        <v>0</v>
      </c>
      <c r="AB3279" s="71"/>
      <c r="AC3279" s="71">
        <v>0</v>
      </c>
      <c r="AD3279" s="71">
        <f>W3279+X3279+Y3279+Z3279+AA3279+AB3279+AC3279</f>
        <v>0</v>
      </c>
      <c r="AE3279" s="72">
        <v>0</v>
      </c>
      <c r="AF3279" s="5"/>
      <c r="AG3279" s="6"/>
      <c r="AH3279" s="27"/>
      <c r="AI3279" s="44"/>
      <c r="AJ3279" s="26"/>
      <c r="AK3279" s="5"/>
      <c r="AL3279" s="82" t="s">
        <v>6238</v>
      </c>
      <c r="AM3279" s="76"/>
      <c r="AN3279" s="76"/>
      <c r="AO3279" s="76"/>
      <c r="AP3279" s="76"/>
      <c r="AQ3279" s="76"/>
      <c r="AR3279" s="76"/>
      <c r="AS3279" s="76"/>
      <c r="AT3279" s="76"/>
      <c r="AU3279" s="76"/>
      <c r="AV3279" s="76"/>
      <c r="AW3279" s="76"/>
      <c r="AX3279" s="76">
        <f>+AW3279*600000</f>
        <v>0</v>
      </c>
      <c r="AY3279" s="76"/>
      <c r="AZ3279" s="76">
        <f>+AY3279*70000</f>
        <v>0</v>
      </c>
      <c r="BA3279" s="76"/>
      <c r="BB3279" s="76"/>
      <c r="BC3279" s="76"/>
      <c r="BD3279" s="76">
        <f>+BC3279*30000</f>
        <v>0</v>
      </c>
      <c r="BE3279" s="76"/>
      <c r="BF3279" s="76"/>
      <c r="BG3279" s="76"/>
      <c r="BH3279" s="76"/>
      <c r="BI3279" s="76"/>
      <c r="BJ3279" s="76"/>
      <c r="BK3279" s="76"/>
      <c r="BL3279" s="76">
        <f>+BK3279*31500</f>
        <v>0</v>
      </c>
      <c r="BM3279" s="76"/>
      <c r="BN3279" s="76"/>
      <c r="BO3279" s="76"/>
      <c r="BP3279" s="76"/>
      <c r="BQ3279" s="76"/>
      <c r="BR3279" s="76"/>
      <c r="BS3279" s="76"/>
      <c r="BT3279" s="76"/>
      <c r="BU3279" s="76"/>
      <c r="BV3279" s="76"/>
      <c r="BW3279" s="76"/>
      <c r="BX3279" s="76"/>
      <c r="BY3279" s="76"/>
      <c r="BZ3279" s="76"/>
      <c r="CA3279" s="76"/>
      <c r="CB3279" s="76"/>
      <c r="CC3279" s="76"/>
      <c r="CD3279" s="76"/>
      <c r="CE3279" s="76"/>
      <c r="CF3279" s="76">
        <f>+CE3279*28000</f>
        <v>0</v>
      </c>
      <c r="CG3279" s="76"/>
      <c r="CH3279" s="76">
        <f>+CG3279*22500</f>
        <v>0</v>
      </c>
      <c r="CI3279" s="76"/>
      <c r="CJ3279" s="76">
        <f>+CI3279*26000</f>
        <v>0</v>
      </c>
      <c r="CK3279" s="76"/>
      <c r="CL3279" s="76"/>
      <c r="CM3279" s="76"/>
      <c r="CN3279" s="76">
        <f>+CM3279*22000</f>
        <v>0</v>
      </c>
      <c r="CO3279" s="76"/>
      <c r="CP3279" s="76">
        <f>+CO3279*46000</f>
        <v>0</v>
      </c>
      <c r="CQ3279" s="76"/>
      <c r="CR3279" s="76">
        <f>+CQ3279*49000</f>
        <v>0</v>
      </c>
      <c r="CS3279" s="76"/>
      <c r="CT3279" s="76"/>
      <c r="CU3279" s="56">
        <f>AN3279+AP3279+AR3279+AT3279+AV3279+AX3279+AZ3279+BB3279+BD3279+BF3279+BH3279+BJ3279+BL3279+BN3279+BP3279+BR3279+BT3279+BV3279+BX3279+BZ3279+CB3279+CD3279+CF3279+CH3279+CJ3279+CL3279+CN3279+CP3279+CR3279+CT3279</f>
        <v>0</v>
      </c>
      <c r="CV3279" s="76"/>
      <c r="CW3279" s="76">
        <f>+CV3279*1100</f>
        <v>0</v>
      </c>
      <c r="CX3279" s="76"/>
      <c r="CY3279" s="76">
        <f>+CX3279*106250</f>
        <v>0</v>
      </c>
      <c r="CZ3279" s="76"/>
      <c r="DA3279" s="76">
        <f>+CZ3279*34500</f>
        <v>0</v>
      </c>
      <c r="DB3279" s="76"/>
      <c r="DC3279" s="76">
        <f>+DB3279*25000</f>
        <v>0</v>
      </c>
      <c r="DD3279" s="219"/>
      <c r="DE3279" s="219"/>
      <c r="DF3279" s="166"/>
      <c r="DG3279" s="116"/>
      <c r="DH3279" s="117"/>
      <c r="DI3279" s="24"/>
      <c r="DJ3279" s="24"/>
      <c r="DK3279" s="24"/>
      <c r="DL3279" s="24"/>
      <c r="DM3279" s="24"/>
      <c r="DN3279" s="24"/>
      <c r="DO3279" s="24"/>
      <c r="DP3279" s="24"/>
      <c r="DQ3279" s="24"/>
      <c r="DR3279" s="24"/>
      <c r="DS3279" s="24"/>
      <c r="DT3279" s="24"/>
      <c r="DU3279" s="24"/>
    </row>
    <row r="3280" spans="1:125" s="8" customFormat="1" ht="72" x14ac:dyDescent="0.2">
      <c r="A3280" s="77">
        <v>41549</v>
      </c>
      <c r="B3280" s="352" t="s">
        <v>2848</v>
      </c>
      <c r="C3280" s="354" t="s">
        <v>2128</v>
      </c>
      <c r="D3280" s="354" t="s">
        <v>2882</v>
      </c>
      <c r="E3280" s="75" t="str">
        <f>VLOOKUP(B3280&amp;C3280,Divipola!$C$2:$F$1138,4,FALSE)</f>
        <v>73124</v>
      </c>
      <c r="F3280" s="87"/>
      <c r="G3280" s="87"/>
      <c r="H3280" s="87"/>
      <c r="I3280" s="87">
        <v>20</v>
      </c>
      <c r="J3280" s="87">
        <v>4</v>
      </c>
      <c r="K3280" s="87"/>
      <c r="L3280" s="87">
        <v>4</v>
      </c>
      <c r="M3280" s="87"/>
      <c r="N3280" s="87"/>
      <c r="O3280" s="87"/>
      <c r="P3280" s="87"/>
      <c r="Q3280" s="87"/>
      <c r="R3280" s="87"/>
      <c r="S3280" s="87"/>
      <c r="T3280" s="87"/>
      <c r="U3280" s="88"/>
      <c r="V3280" s="89"/>
      <c r="W3280" s="96">
        <v>0</v>
      </c>
      <c r="X3280" s="71">
        <f>CU3280</f>
        <v>0</v>
      </c>
      <c r="Y3280" s="71">
        <f>CY3280</f>
        <v>0</v>
      </c>
      <c r="Z3280" s="71">
        <f>DA3280+DC3280+DE3280</f>
        <v>0</v>
      </c>
      <c r="AA3280" s="71">
        <f>CW3280</f>
        <v>0</v>
      </c>
      <c r="AB3280" s="71"/>
      <c r="AC3280" s="71">
        <v>0</v>
      </c>
      <c r="AD3280" s="71">
        <f>W3280+X3280+Y3280+Z3280+AA3280+AB3280+AC3280</f>
        <v>0</v>
      </c>
      <c r="AE3280" s="72">
        <v>0</v>
      </c>
      <c r="AF3280" s="5"/>
      <c r="AG3280" s="6"/>
      <c r="AH3280" s="27"/>
      <c r="AI3280" s="44"/>
      <c r="AJ3280" s="26"/>
      <c r="AK3280" s="5"/>
      <c r="AL3280" s="315" t="s">
        <v>6215</v>
      </c>
      <c r="AM3280" s="76"/>
      <c r="AN3280" s="76"/>
      <c r="AO3280" s="76"/>
      <c r="AP3280" s="76"/>
      <c r="AQ3280" s="76"/>
      <c r="AR3280" s="76"/>
      <c r="AS3280" s="76"/>
      <c r="AT3280" s="76"/>
      <c r="AU3280" s="76"/>
      <c r="AV3280" s="76"/>
      <c r="AW3280" s="76"/>
      <c r="AX3280" s="76">
        <f>+AW3280*600000</f>
        <v>0</v>
      </c>
      <c r="AY3280" s="76"/>
      <c r="AZ3280" s="76">
        <f>+AY3280*70000</f>
        <v>0</v>
      </c>
      <c r="BA3280" s="76"/>
      <c r="BB3280" s="76"/>
      <c r="BC3280" s="76"/>
      <c r="BD3280" s="76">
        <f>+BC3280*30000</f>
        <v>0</v>
      </c>
      <c r="BE3280" s="76"/>
      <c r="BF3280" s="76"/>
      <c r="BG3280" s="76"/>
      <c r="BH3280" s="76"/>
      <c r="BI3280" s="76"/>
      <c r="BJ3280" s="76"/>
      <c r="BK3280" s="76"/>
      <c r="BL3280" s="76">
        <f>+BK3280*31500</f>
        <v>0</v>
      </c>
      <c r="BM3280" s="76"/>
      <c r="BN3280" s="76"/>
      <c r="BO3280" s="76"/>
      <c r="BP3280" s="76"/>
      <c r="BQ3280" s="76"/>
      <c r="BR3280" s="76"/>
      <c r="BS3280" s="76"/>
      <c r="BT3280" s="76"/>
      <c r="BU3280" s="76"/>
      <c r="BV3280" s="76"/>
      <c r="BW3280" s="76"/>
      <c r="BX3280" s="76"/>
      <c r="BY3280" s="76"/>
      <c r="BZ3280" s="76"/>
      <c r="CA3280" s="76"/>
      <c r="CB3280" s="76"/>
      <c r="CC3280" s="76"/>
      <c r="CD3280" s="76"/>
      <c r="CE3280" s="76"/>
      <c r="CF3280" s="76">
        <f>+CE3280*28000</f>
        <v>0</v>
      </c>
      <c r="CG3280" s="76"/>
      <c r="CH3280" s="76">
        <f>+CG3280*22500</f>
        <v>0</v>
      </c>
      <c r="CI3280" s="76"/>
      <c r="CJ3280" s="76">
        <f>+CI3280*26000</f>
        <v>0</v>
      </c>
      <c r="CK3280" s="76"/>
      <c r="CL3280" s="76"/>
      <c r="CM3280" s="76"/>
      <c r="CN3280" s="76">
        <f>+CM3280*22000</f>
        <v>0</v>
      </c>
      <c r="CO3280" s="76"/>
      <c r="CP3280" s="76">
        <f>+CO3280*46000</f>
        <v>0</v>
      </c>
      <c r="CQ3280" s="76"/>
      <c r="CR3280" s="76">
        <f>+CQ3280*49000</f>
        <v>0</v>
      </c>
      <c r="CS3280" s="76"/>
      <c r="CT3280" s="76"/>
      <c r="CU3280" s="56">
        <f>AN3280+AP3280+AR3280+AT3280+AV3280+AX3280+AZ3280+BB3280+BD3280+BF3280+BH3280+BJ3280+BL3280+BN3280+BP3280+BR3280+BT3280+BV3280+BX3280+BZ3280+CB3280+CD3280+CF3280+CH3280+CJ3280+CL3280+CN3280+CP3280+CR3280+CT3280</f>
        <v>0</v>
      </c>
      <c r="CV3280" s="76"/>
      <c r="CW3280" s="76">
        <f>+CV3280*1100</f>
        <v>0</v>
      </c>
      <c r="CX3280" s="76"/>
      <c r="CY3280" s="76">
        <f>+CX3280*106250</f>
        <v>0</v>
      </c>
      <c r="CZ3280" s="76"/>
      <c r="DA3280" s="76">
        <f>+CZ3280*34500</f>
        <v>0</v>
      </c>
      <c r="DB3280" s="76"/>
      <c r="DC3280" s="76">
        <f>+DB3280*25000</f>
        <v>0</v>
      </c>
      <c r="DD3280" s="219"/>
      <c r="DE3280" s="219"/>
      <c r="DF3280" s="166"/>
      <c r="DG3280" s="116"/>
      <c r="DH3280" s="117"/>
      <c r="DI3280" s="24"/>
      <c r="DJ3280" s="24"/>
      <c r="DK3280" s="24"/>
      <c r="DL3280" s="24"/>
      <c r="DM3280" s="24"/>
      <c r="DN3280" s="24"/>
      <c r="DO3280" s="24"/>
      <c r="DP3280" s="24"/>
      <c r="DQ3280" s="24"/>
      <c r="DR3280" s="24"/>
      <c r="DS3280" s="24"/>
      <c r="DT3280" s="24"/>
      <c r="DU3280" s="24"/>
    </row>
    <row r="3281" spans="1:125" s="8" customFormat="1" ht="60" x14ac:dyDescent="0.2">
      <c r="A3281" s="228">
        <v>41549</v>
      </c>
      <c r="B3281" s="229" t="s">
        <v>2848</v>
      </c>
      <c r="C3281" s="230" t="s">
        <v>2755</v>
      </c>
      <c r="D3281" s="230" t="s">
        <v>2846</v>
      </c>
      <c r="E3281" s="75" t="str">
        <f>VLOOKUP(B3281&amp;C3281,Divipola!$C$2:$F$1138,4,FALSE)</f>
        <v>73001</v>
      </c>
      <c r="F3281" s="87"/>
      <c r="G3281" s="87"/>
      <c r="H3281" s="87"/>
      <c r="I3281" s="87"/>
      <c r="J3281" s="87"/>
      <c r="K3281" s="87"/>
      <c r="L3281" s="87"/>
      <c r="M3281" s="87"/>
      <c r="N3281" s="87"/>
      <c r="O3281" s="87"/>
      <c r="P3281" s="87"/>
      <c r="Q3281" s="87"/>
      <c r="R3281" s="87"/>
      <c r="S3281" s="87"/>
      <c r="T3281" s="87"/>
      <c r="U3281" s="88"/>
      <c r="V3281" s="89"/>
      <c r="W3281" s="96">
        <v>0</v>
      </c>
      <c r="X3281" s="71">
        <f>CU3281</f>
        <v>0</v>
      </c>
      <c r="Y3281" s="71">
        <f>CY3281</f>
        <v>0</v>
      </c>
      <c r="Z3281" s="71">
        <f>DA3281+DC3281+DE3281</f>
        <v>0</v>
      </c>
      <c r="AA3281" s="71">
        <f>CW3281</f>
        <v>0</v>
      </c>
      <c r="AB3281" s="71"/>
      <c r="AC3281" s="71">
        <v>0</v>
      </c>
      <c r="AD3281" s="71">
        <f>W3281+X3281+Y3281+Z3281+AA3281+AB3281+AC3281</f>
        <v>0</v>
      </c>
      <c r="AE3281" s="72">
        <v>0</v>
      </c>
      <c r="AF3281" s="5"/>
      <c r="AG3281" s="6"/>
      <c r="AH3281" s="27"/>
      <c r="AI3281" s="44"/>
      <c r="AJ3281" s="26"/>
      <c r="AK3281" s="5"/>
      <c r="AL3281" s="276" t="s">
        <v>6206</v>
      </c>
      <c r="AM3281" s="76"/>
      <c r="AN3281" s="76"/>
      <c r="AO3281" s="76"/>
      <c r="AP3281" s="76"/>
      <c r="AQ3281" s="76"/>
      <c r="AR3281" s="76"/>
      <c r="AS3281" s="76"/>
      <c r="AT3281" s="76"/>
      <c r="AU3281" s="76"/>
      <c r="AV3281" s="76"/>
      <c r="AW3281" s="76"/>
      <c r="AX3281" s="76">
        <f>+AW3281*600000</f>
        <v>0</v>
      </c>
      <c r="AY3281" s="76"/>
      <c r="AZ3281" s="76">
        <f>+AY3281*70000</f>
        <v>0</v>
      </c>
      <c r="BA3281" s="76"/>
      <c r="BB3281" s="76"/>
      <c r="BC3281" s="76"/>
      <c r="BD3281" s="76">
        <f>+BC3281*30000</f>
        <v>0</v>
      </c>
      <c r="BE3281" s="76"/>
      <c r="BF3281" s="76"/>
      <c r="BG3281" s="76"/>
      <c r="BH3281" s="76"/>
      <c r="BI3281" s="76"/>
      <c r="BJ3281" s="76"/>
      <c r="BK3281" s="76"/>
      <c r="BL3281" s="76">
        <f>+BK3281*31500</f>
        <v>0</v>
      </c>
      <c r="BM3281" s="76"/>
      <c r="BN3281" s="76"/>
      <c r="BO3281" s="76"/>
      <c r="BP3281" s="76"/>
      <c r="BQ3281" s="76"/>
      <c r="BR3281" s="76"/>
      <c r="BS3281" s="76"/>
      <c r="BT3281" s="76"/>
      <c r="BU3281" s="76"/>
      <c r="BV3281" s="76"/>
      <c r="BW3281" s="76"/>
      <c r="BX3281" s="76"/>
      <c r="BY3281" s="76"/>
      <c r="BZ3281" s="76"/>
      <c r="CA3281" s="76"/>
      <c r="CB3281" s="76"/>
      <c r="CC3281" s="76"/>
      <c r="CD3281" s="76"/>
      <c r="CE3281" s="76"/>
      <c r="CF3281" s="76">
        <f>+CE3281*28000</f>
        <v>0</v>
      </c>
      <c r="CG3281" s="76"/>
      <c r="CH3281" s="76">
        <f>+CG3281*22500</f>
        <v>0</v>
      </c>
      <c r="CI3281" s="76"/>
      <c r="CJ3281" s="76">
        <f>+CI3281*26000</f>
        <v>0</v>
      </c>
      <c r="CK3281" s="76"/>
      <c r="CL3281" s="76"/>
      <c r="CM3281" s="76"/>
      <c r="CN3281" s="76">
        <f>+CM3281*22000</f>
        <v>0</v>
      </c>
      <c r="CO3281" s="76"/>
      <c r="CP3281" s="76">
        <f>+CO3281*46000</f>
        <v>0</v>
      </c>
      <c r="CQ3281" s="76"/>
      <c r="CR3281" s="76">
        <f>+CQ3281*49000</f>
        <v>0</v>
      </c>
      <c r="CS3281" s="76"/>
      <c r="CT3281" s="76"/>
      <c r="CU3281" s="56">
        <f>AN3281+AP3281+AR3281+AT3281+AV3281+AX3281+AZ3281+BB3281+BD3281+BF3281+BH3281+BJ3281+BL3281+BN3281+BP3281+BR3281+BT3281+BV3281+BX3281+BZ3281+CB3281+CD3281+CF3281+CH3281+CJ3281+CL3281+CN3281+CP3281+CR3281+CT3281</f>
        <v>0</v>
      </c>
      <c r="CV3281" s="76"/>
      <c r="CW3281" s="76">
        <f>+CV3281*1100</f>
        <v>0</v>
      </c>
      <c r="CX3281" s="76"/>
      <c r="CY3281" s="76">
        <f>+CX3281*106250</f>
        <v>0</v>
      </c>
      <c r="CZ3281" s="76"/>
      <c r="DA3281" s="76">
        <f>+CZ3281*34500</f>
        <v>0</v>
      </c>
      <c r="DB3281" s="76"/>
      <c r="DC3281" s="76">
        <f>+DB3281*25000</f>
        <v>0</v>
      </c>
      <c r="DD3281" s="219"/>
      <c r="DE3281" s="219"/>
      <c r="DF3281" s="166"/>
      <c r="DG3281" s="116"/>
      <c r="DH3281" s="117"/>
      <c r="DI3281" s="24"/>
      <c r="DJ3281" s="24"/>
      <c r="DK3281" s="24"/>
      <c r="DL3281" s="24"/>
      <c r="DM3281" s="24"/>
      <c r="DN3281" s="24"/>
      <c r="DO3281" s="24"/>
      <c r="DP3281" s="24"/>
      <c r="DQ3281" s="24"/>
      <c r="DR3281" s="24"/>
      <c r="DS3281" s="24"/>
      <c r="DT3281" s="24"/>
      <c r="DU3281" s="24"/>
    </row>
    <row r="3282" spans="1:125" s="8" customFormat="1" ht="252" x14ac:dyDescent="0.2">
      <c r="A3282" s="77">
        <v>41549</v>
      </c>
      <c r="B3282" s="352" t="s">
        <v>2772</v>
      </c>
      <c r="C3282" s="354" t="s">
        <v>1336</v>
      </c>
      <c r="D3282" s="354" t="s">
        <v>2882</v>
      </c>
      <c r="E3282" s="75" t="str">
        <f>VLOOKUP(B3282&amp;C3282,Divipola!$C$2:$F$1138,4,FALSE)</f>
        <v>25394</v>
      </c>
      <c r="F3282" s="87"/>
      <c r="G3282" s="87"/>
      <c r="H3282" s="87"/>
      <c r="I3282" s="87">
        <v>15</v>
      </c>
      <c r="J3282" s="87">
        <v>6</v>
      </c>
      <c r="K3282" s="87"/>
      <c r="L3282" s="87">
        <v>6</v>
      </c>
      <c r="M3282" s="87"/>
      <c r="N3282" s="87"/>
      <c r="O3282" s="87"/>
      <c r="P3282" s="87"/>
      <c r="Q3282" s="87"/>
      <c r="R3282" s="87"/>
      <c r="S3282" s="87"/>
      <c r="T3282" s="87">
        <v>8</v>
      </c>
      <c r="U3282" s="88"/>
      <c r="V3282" s="89"/>
      <c r="W3282" s="96">
        <v>0</v>
      </c>
      <c r="X3282" s="71">
        <f>CU3282</f>
        <v>0</v>
      </c>
      <c r="Y3282" s="71">
        <f>CY3282</f>
        <v>0</v>
      </c>
      <c r="Z3282" s="71">
        <f>DA3282+DC3282+DE3282</f>
        <v>0</v>
      </c>
      <c r="AA3282" s="71">
        <f>CW3282</f>
        <v>0</v>
      </c>
      <c r="AB3282" s="71"/>
      <c r="AC3282" s="71">
        <v>0</v>
      </c>
      <c r="AD3282" s="71">
        <f>W3282+X3282+Y3282+Z3282+AA3282+AB3282+AC3282</f>
        <v>0</v>
      </c>
      <c r="AE3282" s="72">
        <v>0</v>
      </c>
      <c r="AF3282" s="5"/>
      <c r="AG3282" s="6"/>
      <c r="AH3282" s="27"/>
      <c r="AI3282" s="44"/>
      <c r="AJ3282" s="26"/>
      <c r="AK3282" s="5"/>
      <c r="AL3282" s="274" t="s">
        <v>6384</v>
      </c>
      <c r="AM3282" s="76"/>
      <c r="AN3282" s="76"/>
      <c r="AO3282" s="76"/>
      <c r="AP3282" s="76"/>
      <c r="AQ3282" s="76"/>
      <c r="AR3282" s="76"/>
      <c r="AS3282" s="76"/>
      <c r="AT3282" s="76"/>
      <c r="AU3282" s="76"/>
      <c r="AV3282" s="76"/>
      <c r="AW3282" s="76"/>
      <c r="AX3282" s="76">
        <f>+AW3282*600000</f>
        <v>0</v>
      </c>
      <c r="AY3282" s="76"/>
      <c r="AZ3282" s="76">
        <f>+AY3282*70000</f>
        <v>0</v>
      </c>
      <c r="BA3282" s="76"/>
      <c r="BB3282" s="76"/>
      <c r="BC3282" s="76"/>
      <c r="BD3282" s="76">
        <f>+BC3282*30000</f>
        <v>0</v>
      </c>
      <c r="BE3282" s="76"/>
      <c r="BF3282" s="76"/>
      <c r="BG3282" s="76"/>
      <c r="BH3282" s="76"/>
      <c r="BI3282" s="76"/>
      <c r="BJ3282" s="76"/>
      <c r="BK3282" s="76"/>
      <c r="BL3282" s="76">
        <f>+BK3282*31500</f>
        <v>0</v>
      </c>
      <c r="BM3282" s="76"/>
      <c r="BN3282" s="76"/>
      <c r="BO3282" s="76"/>
      <c r="BP3282" s="76"/>
      <c r="BQ3282" s="76"/>
      <c r="BR3282" s="76"/>
      <c r="BS3282" s="76"/>
      <c r="BT3282" s="76"/>
      <c r="BU3282" s="76"/>
      <c r="BV3282" s="76"/>
      <c r="BW3282" s="76"/>
      <c r="BX3282" s="76"/>
      <c r="BY3282" s="76"/>
      <c r="BZ3282" s="76"/>
      <c r="CA3282" s="76"/>
      <c r="CB3282" s="76"/>
      <c r="CC3282" s="76"/>
      <c r="CD3282" s="76"/>
      <c r="CE3282" s="76"/>
      <c r="CF3282" s="76">
        <f>+CE3282*28000</f>
        <v>0</v>
      </c>
      <c r="CG3282" s="76"/>
      <c r="CH3282" s="76">
        <f>+CG3282*22500</f>
        <v>0</v>
      </c>
      <c r="CI3282" s="76"/>
      <c r="CJ3282" s="76">
        <f>+CI3282*26000</f>
        <v>0</v>
      </c>
      <c r="CK3282" s="76"/>
      <c r="CL3282" s="76"/>
      <c r="CM3282" s="76"/>
      <c r="CN3282" s="76">
        <f>+CM3282*22000</f>
        <v>0</v>
      </c>
      <c r="CO3282" s="76"/>
      <c r="CP3282" s="76">
        <f>+CO3282*46000</f>
        <v>0</v>
      </c>
      <c r="CQ3282" s="76"/>
      <c r="CR3282" s="76">
        <f>+CQ3282*49000</f>
        <v>0</v>
      </c>
      <c r="CS3282" s="76"/>
      <c r="CT3282" s="76"/>
      <c r="CU3282" s="56">
        <f>AN3282+AP3282+AR3282+AT3282+AV3282+AX3282+AZ3282+BB3282+BD3282+BF3282+BH3282+BJ3282+BL3282+BN3282+BP3282+BR3282+BT3282+BV3282+BX3282+BZ3282+CB3282+CD3282+CF3282+CH3282+CJ3282+CL3282+CN3282+CP3282+CR3282+CT3282</f>
        <v>0</v>
      </c>
      <c r="CV3282" s="76"/>
      <c r="CW3282" s="76">
        <f>+CV3282*1100</f>
        <v>0</v>
      </c>
      <c r="CX3282" s="76"/>
      <c r="CY3282" s="76">
        <f>+CX3282*106250</f>
        <v>0</v>
      </c>
      <c r="CZ3282" s="76"/>
      <c r="DA3282" s="76">
        <f>+CZ3282*34500</f>
        <v>0</v>
      </c>
      <c r="DB3282" s="76"/>
      <c r="DC3282" s="76">
        <f>+DB3282*25000</f>
        <v>0</v>
      </c>
      <c r="DD3282" s="219"/>
      <c r="DE3282" s="219"/>
      <c r="DF3282" s="166"/>
      <c r="DG3282" s="116"/>
      <c r="DH3282" s="117"/>
      <c r="DI3282" s="24"/>
      <c r="DJ3282" s="24"/>
      <c r="DK3282" s="24"/>
      <c r="DL3282" s="24"/>
      <c r="DM3282" s="24"/>
      <c r="DN3282" s="24"/>
      <c r="DO3282" s="24"/>
      <c r="DP3282" s="24"/>
      <c r="DQ3282" s="24"/>
      <c r="DR3282" s="24"/>
      <c r="DS3282" s="24"/>
      <c r="DT3282" s="24"/>
      <c r="DU3282" s="24"/>
    </row>
    <row r="3283" spans="1:125" s="8" customFormat="1" ht="24" x14ac:dyDescent="0.2">
      <c r="A3283" s="360">
        <v>41550</v>
      </c>
      <c r="B3283" s="352" t="s">
        <v>2881</v>
      </c>
      <c r="C3283" s="354" t="s">
        <v>2680</v>
      </c>
      <c r="D3283" s="354" t="s">
        <v>3051</v>
      </c>
      <c r="E3283" s="75" t="str">
        <f>VLOOKUP(B3283&amp;C3283,Divipola!$C$2:$F$1138,4,FALSE)</f>
        <v>08758</v>
      </c>
      <c r="F3283" s="87"/>
      <c r="G3283" s="87"/>
      <c r="H3283" s="87"/>
      <c r="I3283" s="87">
        <v>40</v>
      </c>
      <c r="J3283" s="87">
        <v>8</v>
      </c>
      <c r="K3283" s="87"/>
      <c r="L3283" s="87">
        <v>8</v>
      </c>
      <c r="M3283" s="87"/>
      <c r="N3283" s="87"/>
      <c r="O3283" s="87"/>
      <c r="P3283" s="87"/>
      <c r="Q3283" s="87"/>
      <c r="R3283" s="87"/>
      <c r="S3283" s="87"/>
      <c r="T3283" s="87"/>
      <c r="U3283" s="88"/>
      <c r="V3283" s="89"/>
      <c r="W3283" s="96">
        <v>0</v>
      </c>
      <c r="X3283" s="71">
        <f>CU3283</f>
        <v>0</v>
      </c>
      <c r="Y3283" s="71">
        <f>CY3283</f>
        <v>0</v>
      </c>
      <c r="Z3283" s="71">
        <f>DA3283+DC3283+DE3283</f>
        <v>0</v>
      </c>
      <c r="AA3283" s="71">
        <f>CW3283</f>
        <v>0</v>
      </c>
      <c r="AB3283" s="71"/>
      <c r="AC3283" s="71">
        <v>0</v>
      </c>
      <c r="AD3283" s="71">
        <f>W3283+X3283+Y3283+Z3283+AA3283+AB3283+AC3283</f>
        <v>0</v>
      </c>
      <c r="AE3283" s="72">
        <v>0</v>
      </c>
      <c r="AF3283" s="5"/>
      <c r="AG3283" s="6"/>
      <c r="AH3283" s="27"/>
      <c r="AI3283" s="44"/>
      <c r="AJ3283" s="26"/>
      <c r="AK3283" s="5"/>
      <c r="AL3283" s="82" t="s">
        <v>6220</v>
      </c>
      <c r="AM3283" s="76"/>
      <c r="AN3283" s="76"/>
      <c r="AO3283" s="76"/>
      <c r="AP3283" s="76"/>
      <c r="AQ3283" s="76"/>
      <c r="AR3283" s="76"/>
      <c r="AS3283" s="76"/>
      <c r="AT3283" s="76"/>
      <c r="AU3283" s="76"/>
      <c r="AV3283" s="76"/>
      <c r="AW3283" s="76"/>
      <c r="AX3283" s="76">
        <f>+AW3283*600000</f>
        <v>0</v>
      </c>
      <c r="AY3283" s="76"/>
      <c r="AZ3283" s="76">
        <f>+AY3283*70000</f>
        <v>0</v>
      </c>
      <c r="BA3283" s="76"/>
      <c r="BB3283" s="76"/>
      <c r="BC3283" s="76"/>
      <c r="BD3283" s="76">
        <f>+BC3283*30000</f>
        <v>0</v>
      </c>
      <c r="BE3283" s="76"/>
      <c r="BF3283" s="76"/>
      <c r="BG3283" s="76"/>
      <c r="BH3283" s="76"/>
      <c r="BI3283" s="76"/>
      <c r="BJ3283" s="76"/>
      <c r="BK3283" s="76"/>
      <c r="BL3283" s="76">
        <f>+BK3283*31500</f>
        <v>0</v>
      </c>
      <c r="BM3283" s="76"/>
      <c r="BN3283" s="76"/>
      <c r="BO3283" s="76"/>
      <c r="BP3283" s="76"/>
      <c r="BQ3283" s="76"/>
      <c r="BR3283" s="76"/>
      <c r="BS3283" s="76"/>
      <c r="BT3283" s="76"/>
      <c r="BU3283" s="76"/>
      <c r="BV3283" s="76"/>
      <c r="BW3283" s="76"/>
      <c r="BX3283" s="76"/>
      <c r="BY3283" s="76"/>
      <c r="BZ3283" s="76"/>
      <c r="CA3283" s="76"/>
      <c r="CB3283" s="76"/>
      <c r="CC3283" s="76"/>
      <c r="CD3283" s="76"/>
      <c r="CE3283" s="76"/>
      <c r="CF3283" s="76">
        <f>+CE3283*28000</f>
        <v>0</v>
      </c>
      <c r="CG3283" s="76"/>
      <c r="CH3283" s="76">
        <f>+CG3283*22500</f>
        <v>0</v>
      </c>
      <c r="CI3283" s="76"/>
      <c r="CJ3283" s="76">
        <f>+CI3283*26000</f>
        <v>0</v>
      </c>
      <c r="CK3283" s="76"/>
      <c r="CL3283" s="76"/>
      <c r="CM3283" s="76"/>
      <c r="CN3283" s="76">
        <f>+CM3283*22000</f>
        <v>0</v>
      </c>
      <c r="CO3283" s="76"/>
      <c r="CP3283" s="76">
        <f>+CO3283*46000</f>
        <v>0</v>
      </c>
      <c r="CQ3283" s="76"/>
      <c r="CR3283" s="76">
        <f>+CQ3283*49000</f>
        <v>0</v>
      </c>
      <c r="CS3283" s="76"/>
      <c r="CT3283" s="76"/>
      <c r="CU3283" s="56">
        <f>AN3283+AP3283+AR3283+AT3283+AV3283+AX3283+AZ3283+BB3283+BD3283+BF3283+BH3283+BJ3283+BL3283+BN3283+BP3283+BR3283+BT3283+BV3283+BX3283+BZ3283+CB3283+CD3283+CF3283+CH3283+CJ3283+CL3283+CN3283+CP3283+CR3283+CT3283</f>
        <v>0</v>
      </c>
      <c r="CV3283" s="76"/>
      <c r="CW3283" s="76">
        <f>+CV3283*1100</f>
        <v>0</v>
      </c>
      <c r="CX3283" s="76"/>
      <c r="CY3283" s="76">
        <f>+CX3283*106250</f>
        <v>0</v>
      </c>
      <c r="CZ3283" s="76"/>
      <c r="DA3283" s="76">
        <f>+CZ3283*34500</f>
        <v>0</v>
      </c>
      <c r="DB3283" s="76"/>
      <c r="DC3283" s="76">
        <f>+DB3283*25000</f>
        <v>0</v>
      </c>
      <c r="DD3283" s="219"/>
      <c r="DE3283" s="219"/>
      <c r="DF3283" s="166"/>
      <c r="DG3283" s="116"/>
      <c r="DH3283" s="117"/>
      <c r="DI3283" s="24"/>
      <c r="DJ3283" s="24"/>
      <c r="DK3283" s="24"/>
      <c r="DL3283" s="24"/>
      <c r="DM3283" s="24"/>
      <c r="DN3283" s="24"/>
      <c r="DO3283" s="24"/>
      <c r="DP3283" s="24"/>
      <c r="DQ3283" s="24"/>
      <c r="DR3283" s="24"/>
      <c r="DS3283" s="24"/>
      <c r="DT3283" s="24"/>
      <c r="DU3283" s="24"/>
    </row>
    <row r="3284" spans="1:125" s="8" customFormat="1" ht="60" x14ac:dyDescent="0.2">
      <c r="A3284" s="353">
        <v>41550</v>
      </c>
      <c r="B3284" s="352" t="s">
        <v>2661</v>
      </c>
      <c r="C3284" s="354" t="s">
        <v>366</v>
      </c>
      <c r="D3284" s="354" t="s">
        <v>3051</v>
      </c>
      <c r="E3284" s="75" t="str">
        <f>VLOOKUP(B3284&amp;C3284,Divipola!$C$2:$F$1138,4,FALSE)</f>
        <v>41548</v>
      </c>
      <c r="F3284" s="87"/>
      <c r="G3284" s="87"/>
      <c r="H3284" s="87"/>
      <c r="I3284" s="87">
        <v>30</v>
      </c>
      <c r="J3284" s="87">
        <v>6</v>
      </c>
      <c r="K3284" s="87"/>
      <c r="L3284" s="87">
        <v>6</v>
      </c>
      <c r="M3284" s="87"/>
      <c r="N3284" s="87"/>
      <c r="O3284" s="87"/>
      <c r="P3284" s="87"/>
      <c r="Q3284" s="87"/>
      <c r="R3284" s="87"/>
      <c r="S3284" s="87"/>
      <c r="T3284" s="87"/>
      <c r="U3284" s="88"/>
      <c r="V3284" s="89"/>
      <c r="W3284" s="96">
        <v>0</v>
      </c>
      <c r="X3284" s="71">
        <f>CU3284</f>
        <v>0</v>
      </c>
      <c r="Y3284" s="71">
        <f>CY3284</f>
        <v>0</v>
      </c>
      <c r="Z3284" s="71">
        <f>DA3284+DC3284+DE3284</f>
        <v>0</v>
      </c>
      <c r="AA3284" s="71">
        <f>CW3284</f>
        <v>0</v>
      </c>
      <c r="AB3284" s="71"/>
      <c r="AC3284" s="71">
        <v>0</v>
      </c>
      <c r="AD3284" s="71">
        <f>W3284+X3284+Y3284+Z3284+AA3284+AB3284+AC3284</f>
        <v>0</v>
      </c>
      <c r="AE3284" s="72">
        <v>0</v>
      </c>
      <c r="AF3284" s="5"/>
      <c r="AG3284" s="6"/>
      <c r="AH3284" s="27"/>
      <c r="AI3284" s="44"/>
      <c r="AJ3284" s="26"/>
      <c r="AK3284" s="5"/>
      <c r="AL3284" s="82" t="s">
        <v>6221</v>
      </c>
      <c r="AM3284" s="76"/>
      <c r="AN3284" s="76"/>
      <c r="AO3284" s="76"/>
      <c r="AP3284" s="76"/>
      <c r="AQ3284" s="76"/>
      <c r="AR3284" s="76"/>
      <c r="AS3284" s="76"/>
      <c r="AT3284" s="76"/>
      <c r="AU3284" s="76"/>
      <c r="AV3284" s="76"/>
      <c r="AW3284" s="76"/>
      <c r="AX3284" s="76">
        <f>+AW3284*600000</f>
        <v>0</v>
      </c>
      <c r="AY3284" s="76"/>
      <c r="AZ3284" s="76">
        <f>+AY3284*70000</f>
        <v>0</v>
      </c>
      <c r="BA3284" s="76"/>
      <c r="BB3284" s="76"/>
      <c r="BC3284" s="76"/>
      <c r="BD3284" s="76">
        <f>+BC3284*30000</f>
        <v>0</v>
      </c>
      <c r="BE3284" s="76"/>
      <c r="BF3284" s="76"/>
      <c r="BG3284" s="76"/>
      <c r="BH3284" s="76"/>
      <c r="BI3284" s="76"/>
      <c r="BJ3284" s="76"/>
      <c r="BK3284" s="76"/>
      <c r="BL3284" s="76">
        <f>+BK3284*31500</f>
        <v>0</v>
      </c>
      <c r="BM3284" s="76"/>
      <c r="BN3284" s="76"/>
      <c r="BO3284" s="76"/>
      <c r="BP3284" s="76"/>
      <c r="BQ3284" s="76"/>
      <c r="BR3284" s="76"/>
      <c r="BS3284" s="76"/>
      <c r="BT3284" s="76"/>
      <c r="BU3284" s="76"/>
      <c r="BV3284" s="76"/>
      <c r="BW3284" s="76"/>
      <c r="BX3284" s="76"/>
      <c r="BY3284" s="76"/>
      <c r="BZ3284" s="76"/>
      <c r="CA3284" s="76"/>
      <c r="CB3284" s="76"/>
      <c r="CC3284" s="76"/>
      <c r="CD3284" s="76"/>
      <c r="CE3284" s="76"/>
      <c r="CF3284" s="76">
        <f>+CE3284*28000</f>
        <v>0</v>
      </c>
      <c r="CG3284" s="76"/>
      <c r="CH3284" s="76">
        <f>+CG3284*22500</f>
        <v>0</v>
      </c>
      <c r="CI3284" s="76"/>
      <c r="CJ3284" s="76">
        <f>+CI3284*26000</f>
        <v>0</v>
      </c>
      <c r="CK3284" s="76"/>
      <c r="CL3284" s="76"/>
      <c r="CM3284" s="76"/>
      <c r="CN3284" s="76">
        <f>+CM3284*22000</f>
        <v>0</v>
      </c>
      <c r="CO3284" s="76"/>
      <c r="CP3284" s="76">
        <f>+CO3284*46000</f>
        <v>0</v>
      </c>
      <c r="CQ3284" s="76"/>
      <c r="CR3284" s="76">
        <f>+CQ3284*49000</f>
        <v>0</v>
      </c>
      <c r="CS3284" s="76"/>
      <c r="CT3284" s="76"/>
      <c r="CU3284" s="56">
        <f>AN3284+AP3284+AR3284+AT3284+AV3284+AX3284+AZ3284+BB3284+BD3284+BF3284+BH3284+BJ3284+BL3284+BN3284+BP3284+BR3284+BT3284+BV3284+BX3284+BZ3284+CB3284+CD3284+CF3284+CH3284+CJ3284+CL3284+CN3284+CP3284+CR3284+CT3284</f>
        <v>0</v>
      </c>
      <c r="CV3284" s="76"/>
      <c r="CW3284" s="76">
        <f>+CV3284*1100</f>
        <v>0</v>
      </c>
      <c r="CX3284" s="76"/>
      <c r="CY3284" s="76">
        <f>+CX3284*106250</f>
        <v>0</v>
      </c>
      <c r="CZ3284" s="76"/>
      <c r="DA3284" s="76">
        <f>+CZ3284*34500</f>
        <v>0</v>
      </c>
      <c r="DB3284" s="76"/>
      <c r="DC3284" s="76">
        <f>+DB3284*25000</f>
        <v>0</v>
      </c>
      <c r="DD3284" s="219"/>
      <c r="DE3284" s="219"/>
      <c r="DF3284" s="166"/>
      <c r="DG3284" s="116"/>
      <c r="DH3284" s="117"/>
      <c r="DI3284" s="24"/>
      <c r="DJ3284" s="24"/>
      <c r="DK3284" s="24"/>
      <c r="DL3284" s="24"/>
      <c r="DM3284" s="24"/>
      <c r="DN3284" s="24"/>
      <c r="DO3284" s="24"/>
      <c r="DP3284" s="24"/>
      <c r="DQ3284" s="24"/>
      <c r="DR3284" s="24"/>
      <c r="DS3284" s="24"/>
      <c r="DT3284" s="24"/>
      <c r="DU3284" s="24"/>
    </row>
    <row r="3285" spans="1:125" s="8" customFormat="1" ht="36" x14ac:dyDescent="0.2">
      <c r="A3285" s="353">
        <v>41550</v>
      </c>
      <c r="B3285" s="352" t="s">
        <v>2880</v>
      </c>
      <c r="C3285" s="354" t="s">
        <v>2734</v>
      </c>
      <c r="D3285" s="354" t="s">
        <v>2846</v>
      </c>
      <c r="E3285" s="75" t="str">
        <f>VLOOKUP(B3285&amp;C3285,Divipola!$C$2:$F$1138,4,FALSE)</f>
        <v>54405</v>
      </c>
      <c r="F3285" s="87"/>
      <c r="G3285" s="87"/>
      <c r="H3285" s="87"/>
      <c r="I3285" s="87"/>
      <c r="J3285" s="87"/>
      <c r="K3285" s="87"/>
      <c r="L3285" s="87"/>
      <c r="M3285" s="87"/>
      <c r="N3285" s="87"/>
      <c r="O3285" s="87"/>
      <c r="P3285" s="87"/>
      <c r="Q3285" s="87"/>
      <c r="R3285" s="87"/>
      <c r="S3285" s="87"/>
      <c r="T3285" s="87"/>
      <c r="U3285" s="88"/>
      <c r="V3285" s="89"/>
      <c r="W3285" s="96">
        <v>0</v>
      </c>
      <c r="X3285" s="71">
        <f>CU3285</f>
        <v>0</v>
      </c>
      <c r="Y3285" s="71">
        <f>CY3285</f>
        <v>0</v>
      </c>
      <c r="Z3285" s="71">
        <f>DA3285+DC3285+DE3285</f>
        <v>0</v>
      </c>
      <c r="AA3285" s="71">
        <f>CW3285</f>
        <v>0</v>
      </c>
      <c r="AB3285" s="71"/>
      <c r="AC3285" s="71">
        <v>0</v>
      </c>
      <c r="AD3285" s="71">
        <f>W3285+X3285+Y3285+Z3285+AA3285+AB3285+AC3285</f>
        <v>0</v>
      </c>
      <c r="AE3285" s="72">
        <v>0</v>
      </c>
      <c r="AF3285" s="5"/>
      <c r="AG3285" s="6"/>
      <c r="AH3285" s="27"/>
      <c r="AI3285" s="44"/>
      <c r="AJ3285" s="26"/>
      <c r="AK3285" s="5"/>
      <c r="AL3285" s="82" t="s">
        <v>6217</v>
      </c>
      <c r="AM3285" s="76"/>
      <c r="AN3285" s="76"/>
      <c r="AO3285" s="76"/>
      <c r="AP3285" s="76"/>
      <c r="AQ3285" s="76"/>
      <c r="AR3285" s="76"/>
      <c r="AS3285" s="76"/>
      <c r="AT3285" s="76"/>
      <c r="AU3285" s="76"/>
      <c r="AV3285" s="76"/>
      <c r="AW3285" s="76"/>
      <c r="AX3285" s="76">
        <f>+AW3285*600000</f>
        <v>0</v>
      </c>
      <c r="AY3285" s="76"/>
      <c r="AZ3285" s="76">
        <f>+AY3285*70000</f>
        <v>0</v>
      </c>
      <c r="BA3285" s="76"/>
      <c r="BB3285" s="76"/>
      <c r="BC3285" s="76"/>
      <c r="BD3285" s="76">
        <f>+BC3285*30000</f>
        <v>0</v>
      </c>
      <c r="BE3285" s="76"/>
      <c r="BF3285" s="76"/>
      <c r="BG3285" s="76"/>
      <c r="BH3285" s="76"/>
      <c r="BI3285" s="76"/>
      <c r="BJ3285" s="76"/>
      <c r="BK3285" s="76"/>
      <c r="BL3285" s="76">
        <f>+BK3285*31500</f>
        <v>0</v>
      </c>
      <c r="BM3285" s="76"/>
      <c r="BN3285" s="76"/>
      <c r="BO3285" s="76"/>
      <c r="BP3285" s="76"/>
      <c r="BQ3285" s="76"/>
      <c r="BR3285" s="76"/>
      <c r="BS3285" s="76"/>
      <c r="BT3285" s="76"/>
      <c r="BU3285" s="76"/>
      <c r="BV3285" s="76"/>
      <c r="BW3285" s="76"/>
      <c r="BX3285" s="76"/>
      <c r="BY3285" s="76"/>
      <c r="BZ3285" s="76"/>
      <c r="CA3285" s="76"/>
      <c r="CB3285" s="76"/>
      <c r="CC3285" s="76"/>
      <c r="CD3285" s="76"/>
      <c r="CE3285" s="76"/>
      <c r="CF3285" s="76">
        <f>+CE3285*28000</f>
        <v>0</v>
      </c>
      <c r="CG3285" s="76"/>
      <c r="CH3285" s="76">
        <f>+CG3285*22500</f>
        <v>0</v>
      </c>
      <c r="CI3285" s="76"/>
      <c r="CJ3285" s="76">
        <f>+CI3285*26000</f>
        <v>0</v>
      </c>
      <c r="CK3285" s="76"/>
      <c r="CL3285" s="76"/>
      <c r="CM3285" s="76"/>
      <c r="CN3285" s="76">
        <f>+CM3285*22000</f>
        <v>0</v>
      </c>
      <c r="CO3285" s="76"/>
      <c r="CP3285" s="76">
        <f>+CO3285*46000</f>
        <v>0</v>
      </c>
      <c r="CQ3285" s="76"/>
      <c r="CR3285" s="76">
        <f>+CQ3285*49000</f>
        <v>0</v>
      </c>
      <c r="CS3285" s="76"/>
      <c r="CT3285" s="76"/>
      <c r="CU3285" s="56">
        <f>AN3285+AP3285+AR3285+AT3285+AV3285+AX3285+AZ3285+BB3285+BD3285+BF3285+BH3285+BJ3285+BL3285+BN3285+BP3285+BR3285+BT3285+BV3285+BX3285+BZ3285+CB3285+CD3285+CF3285+CH3285+CJ3285+CL3285+CN3285+CP3285+CR3285+CT3285</f>
        <v>0</v>
      </c>
      <c r="CV3285" s="76"/>
      <c r="CW3285" s="76">
        <f>+CV3285*1100</f>
        <v>0</v>
      </c>
      <c r="CX3285" s="76"/>
      <c r="CY3285" s="76">
        <f>+CX3285*106250</f>
        <v>0</v>
      </c>
      <c r="CZ3285" s="76"/>
      <c r="DA3285" s="76">
        <f>+CZ3285*34500</f>
        <v>0</v>
      </c>
      <c r="DB3285" s="76"/>
      <c r="DC3285" s="76">
        <f>+DB3285*25000</f>
        <v>0</v>
      </c>
      <c r="DD3285" s="219"/>
      <c r="DE3285" s="219"/>
      <c r="DF3285" s="166"/>
      <c r="DG3285" s="116"/>
      <c r="DH3285" s="117"/>
      <c r="DI3285" s="24"/>
      <c r="DJ3285" s="24"/>
      <c r="DK3285" s="24"/>
      <c r="DL3285" s="24"/>
      <c r="DM3285" s="24"/>
      <c r="DN3285" s="24"/>
      <c r="DO3285" s="24"/>
      <c r="DP3285" s="24"/>
      <c r="DQ3285" s="24"/>
      <c r="DR3285" s="24"/>
      <c r="DS3285" s="24"/>
      <c r="DT3285" s="24"/>
      <c r="DU3285" s="24"/>
    </row>
    <row r="3286" spans="1:125" s="8" customFormat="1" ht="300" x14ac:dyDescent="0.2">
      <c r="A3286" s="5">
        <v>41550</v>
      </c>
      <c r="B3286" s="84" t="s">
        <v>3131</v>
      </c>
      <c r="C3286" s="84" t="s">
        <v>2747</v>
      </c>
      <c r="D3286" s="75" t="s">
        <v>3088</v>
      </c>
      <c r="E3286" s="75" t="str">
        <f>VLOOKUP(B3286&amp;C3286,Divipola!$C$2:$F$1138,4,FALSE)</f>
        <v>86001</v>
      </c>
      <c r="F3286" s="89"/>
      <c r="G3286" s="89"/>
      <c r="H3286" s="89"/>
      <c r="I3286" s="89">
        <v>11</v>
      </c>
      <c r="J3286" s="89">
        <v>2</v>
      </c>
      <c r="K3286" s="89"/>
      <c r="L3286" s="89">
        <v>2</v>
      </c>
      <c r="M3286" s="89">
        <v>1</v>
      </c>
      <c r="N3286" s="89"/>
      <c r="O3286" s="89"/>
      <c r="P3286" s="89"/>
      <c r="Q3286" s="89"/>
      <c r="R3286" s="89"/>
      <c r="S3286" s="89"/>
      <c r="T3286" s="89"/>
      <c r="U3286" s="89"/>
      <c r="V3286" s="89"/>
      <c r="W3286" s="96">
        <v>0</v>
      </c>
      <c r="X3286" s="71">
        <f>CU3286</f>
        <v>0</v>
      </c>
      <c r="Y3286" s="71">
        <f>CY3286</f>
        <v>0</v>
      </c>
      <c r="Z3286" s="71">
        <f>DA3286+DC3286+DE3286</f>
        <v>0</v>
      </c>
      <c r="AA3286" s="71">
        <f>CW3286</f>
        <v>0</v>
      </c>
      <c r="AB3286" s="71"/>
      <c r="AC3286" s="71">
        <v>0</v>
      </c>
      <c r="AD3286" s="71">
        <f>W3286+X3286+Y3286+Z3286+AA3286+AB3286+AC3286</f>
        <v>0</v>
      </c>
      <c r="AE3286" s="72">
        <v>0</v>
      </c>
      <c r="AF3286" s="5"/>
      <c r="AG3286" s="6"/>
      <c r="AH3286" s="27"/>
      <c r="AI3286" s="44"/>
      <c r="AJ3286" s="26"/>
      <c r="AK3286" s="5"/>
      <c r="AL3286" s="278" t="s">
        <v>6224</v>
      </c>
      <c r="AM3286" s="76"/>
      <c r="AN3286" s="76"/>
      <c r="AO3286" s="76"/>
      <c r="AP3286" s="76"/>
      <c r="AQ3286" s="76"/>
      <c r="AR3286" s="76"/>
      <c r="AS3286" s="76"/>
      <c r="AT3286" s="76"/>
      <c r="AU3286" s="76"/>
      <c r="AV3286" s="76"/>
      <c r="AW3286" s="76"/>
      <c r="AX3286" s="76">
        <f>+AW3286*600000</f>
        <v>0</v>
      </c>
      <c r="AY3286" s="76"/>
      <c r="AZ3286" s="76">
        <f>+AY3286*70000</f>
        <v>0</v>
      </c>
      <c r="BA3286" s="76"/>
      <c r="BB3286" s="76"/>
      <c r="BC3286" s="76"/>
      <c r="BD3286" s="76">
        <f>+BC3286*30000</f>
        <v>0</v>
      </c>
      <c r="BE3286" s="76"/>
      <c r="BF3286" s="76"/>
      <c r="BG3286" s="76"/>
      <c r="BH3286" s="76"/>
      <c r="BI3286" s="76"/>
      <c r="BJ3286" s="76"/>
      <c r="BK3286" s="76"/>
      <c r="BL3286" s="76">
        <f>+BK3286*31500</f>
        <v>0</v>
      </c>
      <c r="BM3286" s="76"/>
      <c r="BN3286" s="76"/>
      <c r="BO3286" s="76"/>
      <c r="BP3286" s="76"/>
      <c r="BQ3286" s="76"/>
      <c r="BR3286" s="76"/>
      <c r="BS3286" s="76"/>
      <c r="BT3286" s="76"/>
      <c r="BU3286" s="76"/>
      <c r="BV3286" s="76"/>
      <c r="BW3286" s="76"/>
      <c r="BX3286" s="76"/>
      <c r="BY3286" s="76"/>
      <c r="BZ3286" s="76"/>
      <c r="CA3286" s="76"/>
      <c r="CB3286" s="76"/>
      <c r="CC3286" s="76"/>
      <c r="CD3286" s="76"/>
      <c r="CE3286" s="76"/>
      <c r="CF3286" s="76">
        <f>+CE3286*28000</f>
        <v>0</v>
      </c>
      <c r="CG3286" s="76"/>
      <c r="CH3286" s="76">
        <f>+CG3286*22500</f>
        <v>0</v>
      </c>
      <c r="CI3286" s="76"/>
      <c r="CJ3286" s="76">
        <f>+CI3286*26000</f>
        <v>0</v>
      </c>
      <c r="CK3286" s="76"/>
      <c r="CL3286" s="76"/>
      <c r="CM3286" s="76"/>
      <c r="CN3286" s="76">
        <f>+CM3286*22000</f>
        <v>0</v>
      </c>
      <c r="CO3286" s="76"/>
      <c r="CP3286" s="76">
        <f>+CO3286*46000</f>
        <v>0</v>
      </c>
      <c r="CQ3286" s="76"/>
      <c r="CR3286" s="76">
        <f>+CQ3286*49000</f>
        <v>0</v>
      </c>
      <c r="CS3286" s="76"/>
      <c r="CT3286" s="76"/>
      <c r="CU3286" s="56">
        <f>AN3286+AP3286+AR3286+AT3286+AV3286+AX3286+AZ3286+BB3286+BD3286+BF3286+BH3286+BJ3286+BL3286+BN3286+BP3286+BR3286+BT3286+BV3286+BX3286+BZ3286+CB3286+CD3286+CF3286+CH3286+CJ3286+CL3286+CN3286+CP3286+CR3286+CT3286</f>
        <v>0</v>
      </c>
      <c r="CV3286" s="76"/>
      <c r="CW3286" s="76">
        <f>+CV3286*1100</f>
        <v>0</v>
      </c>
      <c r="CX3286" s="76"/>
      <c r="CY3286" s="76">
        <f>+CX3286*106250</f>
        <v>0</v>
      </c>
      <c r="CZ3286" s="76"/>
      <c r="DA3286" s="76">
        <f>+CZ3286*34500</f>
        <v>0</v>
      </c>
      <c r="DB3286" s="76"/>
      <c r="DC3286" s="76">
        <f>+DB3286*25000</f>
        <v>0</v>
      </c>
      <c r="DD3286" s="219"/>
      <c r="DE3286" s="219"/>
      <c r="DF3286" s="166"/>
      <c r="DG3286" s="116"/>
      <c r="DH3286" s="117"/>
      <c r="DI3286" s="24"/>
      <c r="DJ3286" s="24"/>
      <c r="DK3286" s="24"/>
      <c r="DL3286" s="24"/>
      <c r="DM3286" s="24"/>
      <c r="DN3286" s="24"/>
      <c r="DO3286" s="24"/>
      <c r="DP3286" s="24"/>
      <c r="DQ3286" s="24"/>
      <c r="DR3286" s="24"/>
      <c r="DS3286" s="24"/>
      <c r="DT3286" s="24"/>
      <c r="DU3286" s="24"/>
    </row>
    <row r="3287" spans="1:125" s="8" customFormat="1" ht="72" x14ac:dyDescent="0.2">
      <c r="A3287" s="77">
        <v>41550</v>
      </c>
      <c r="B3287" s="75" t="s">
        <v>3131</v>
      </c>
      <c r="C3287" s="75" t="s">
        <v>2270</v>
      </c>
      <c r="D3287" s="75" t="s">
        <v>2859</v>
      </c>
      <c r="E3287" s="75" t="str">
        <f>VLOOKUP(B3287&amp;C3287,Divipola!$C$2:$F$1138,4,FALSE)</f>
        <v>86571</v>
      </c>
      <c r="F3287" s="93"/>
      <c r="G3287" s="93"/>
      <c r="H3287" s="93"/>
      <c r="I3287" s="93">
        <v>10</v>
      </c>
      <c r="J3287" s="93">
        <v>2</v>
      </c>
      <c r="K3287" s="93">
        <v>1</v>
      </c>
      <c r="L3287" s="93">
        <v>1</v>
      </c>
      <c r="M3287" s="93"/>
      <c r="N3287" s="93"/>
      <c r="O3287" s="93"/>
      <c r="P3287" s="93"/>
      <c r="Q3287" s="93"/>
      <c r="R3287" s="93"/>
      <c r="S3287" s="93"/>
      <c r="T3287" s="93"/>
      <c r="U3287" s="93"/>
      <c r="V3287" s="93"/>
      <c r="W3287" s="96">
        <v>0</v>
      </c>
      <c r="X3287" s="71">
        <f>CU3287</f>
        <v>0</v>
      </c>
      <c r="Y3287" s="71">
        <f>CY3287</f>
        <v>0</v>
      </c>
      <c r="Z3287" s="71">
        <f>DA3287+DC3287+DE3287</f>
        <v>0</v>
      </c>
      <c r="AA3287" s="71">
        <f>CW3287</f>
        <v>0</v>
      </c>
      <c r="AB3287" s="71"/>
      <c r="AC3287" s="71">
        <v>0</v>
      </c>
      <c r="AD3287" s="71">
        <f>W3287+X3287+Y3287+Z3287+AA3287+AB3287+AC3287</f>
        <v>0</v>
      </c>
      <c r="AE3287" s="72">
        <v>0</v>
      </c>
      <c r="AF3287" s="5"/>
      <c r="AG3287" s="6"/>
      <c r="AH3287" s="27"/>
      <c r="AI3287" s="44"/>
      <c r="AJ3287" s="26"/>
      <c r="AK3287" s="5"/>
      <c r="AL3287" s="268" t="s">
        <v>6225</v>
      </c>
      <c r="AM3287" s="76"/>
      <c r="AN3287" s="76"/>
      <c r="AO3287" s="76"/>
      <c r="AP3287" s="76"/>
      <c r="AQ3287" s="76"/>
      <c r="AR3287" s="76"/>
      <c r="AS3287" s="76"/>
      <c r="AT3287" s="76"/>
      <c r="AU3287" s="76"/>
      <c r="AV3287" s="76"/>
      <c r="AW3287" s="76"/>
      <c r="AX3287" s="76">
        <f>+AW3287*600000</f>
        <v>0</v>
      </c>
      <c r="AY3287" s="76"/>
      <c r="AZ3287" s="76">
        <f>+AY3287*70000</f>
        <v>0</v>
      </c>
      <c r="BA3287" s="76"/>
      <c r="BB3287" s="76"/>
      <c r="BC3287" s="76"/>
      <c r="BD3287" s="76">
        <f>+BC3287*30000</f>
        <v>0</v>
      </c>
      <c r="BE3287" s="76"/>
      <c r="BF3287" s="76"/>
      <c r="BG3287" s="76"/>
      <c r="BH3287" s="76"/>
      <c r="BI3287" s="76"/>
      <c r="BJ3287" s="76"/>
      <c r="BK3287" s="76"/>
      <c r="BL3287" s="76">
        <f>+BK3287*31500</f>
        <v>0</v>
      </c>
      <c r="BM3287" s="76"/>
      <c r="BN3287" s="76"/>
      <c r="BO3287" s="76"/>
      <c r="BP3287" s="76"/>
      <c r="BQ3287" s="76"/>
      <c r="BR3287" s="76"/>
      <c r="BS3287" s="76"/>
      <c r="BT3287" s="76"/>
      <c r="BU3287" s="76"/>
      <c r="BV3287" s="76"/>
      <c r="BW3287" s="76"/>
      <c r="BX3287" s="76"/>
      <c r="BY3287" s="76"/>
      <c r="BZ3287" s="76"/>
      <c r="CA3287" s="76"/>
      <c r="CB3287" s="76"/>
      <c r="CC3287" s="76"/>
      <c r="CD3287" s="76"/>
      <c r="CE3287" s="76"/>
      <c r="CF3287" s="76">
        <f>+CE3287*28000</f>
        <v>0</v>
      </c>
      <c r="CG3287" s="76"/>
      <c r="CH3287" s="76">
        <f>+CG3287*22500</f>
        <v>0</v>
      </c>
      <c r="CI3287" s="76"/>
      <c r="CJ3287" s="76">
        <f>+CI3287*26000</f>
        <v>0</v>
      </c>
      <c r="CK3287" s="76"/>
      <c r="CL3287" s="76"/>
      <c r="CM3287" s="76"/>
      <c r="CN3287" s="76">
        <f>+CM3287*22000</f>
        <v>0</v>
      </c>
      <c r="CO3287" s="76"/>
      <c r="CP3287" s="76">
        <f>+CO3287*46000</f>
        <v>0</v>
      </c>
      <c r="CQ3287" s="76"/>
      <c r="CR3287" s="76">
        <f>+CQ3287*49000</f>
        <v>0</v>
      </c>
      <c r="CS3287" s="76"/>
      <c r="CT3287" s="76"/>
      <c r="CU3287" s="56">
        <f>AN3287+AP3287+AR3287+AT3287+AV3287+AX3287+AZ3287+BB3287+BD3287+BF3287+BH3287+BJ3287+BL3287+BN3287+BP3287+BR3287+BT3287+BV3287+BX3287+BZ3287+CB3287+CD3287+CF3287+CH3287+CJ3287+CL3287+CN3287+CP3287+CR3287+CT3287</f>
        <v>0</v>
      </c>
      <c r="CV3287" s="76"/>
      <c r="CW3287" s="76">
        <f>+CV3287*1100</f>
        <v>0</v>
      </c>
      <c r="CX3287" s="76"/>
      <c r="CY3287" s="76">
        <f>+CX3287*106250</f>
        <v>0</v>
      </c>
      <c r="CZ3287" s="76"/>
      <c r="DA3287" s="76">
        <f>+CZ3287*34500</f>
        <v>0</v>
      </c>
      <c r="DB3287" s="76"/>
      <c r="DC3287" s="76">
        <f>+DB3287*25000</f>
        <v>0</v>
      </c>
      <c r="DD3287" s="219"/>
      <c r="DE3287" s="219"/>
      <c r="DF3287" s="166"/>
      <c r="DG3287" s="116"/>
      <c r="DH3287" s="117"/>
      <c r="DI3287" s="24"/>
      <c r="DJ3287" s="24"/>
      <c r="DK3287" s="24"/>
      <c r="DL3287" s="24"/>
      <c r="DM3287" s="24"/>
      <c r="DN3287" s="24"/>
      <c r="DO3287" s="24"/>
      <c r="DP3287" s="24"/>
      <c r="DQ3287" s="24"/>
      <c r="DR3287" s="24"/>
      <c r="DS3287" s="24"/>
      <c r="DT3287" s="24"/>
      <c r="DU3287" s="24"/>
    </row>
    <row r="3288" spans="1:125" s="8" customFormat="1" ht="48" x14ac:dyDescent="0.2">
      <c r="A3288" s="353">
        <v>41550</v>
      </c>
      <c r="B3288" s="352" t="s">
        <v>2851</v>
      </c>
      <c r="C3288" s="354" t="s">
        <v>1686</v>
      </c>
      <c r="D3288" s="354" t="s">
        <v>3088</v>
      </c>
      <c r="E3288" s="75" t="str">
        <f>VLOOKUP(B3288&amp;C3288,Divipola!$C$2:$F$1138,4,FALSE)</f>
        <v>76001</v>
      </c>
      <c r="F3288" s="87"/>
      <c r="G3288" s="87"/>
      <c r="H3288" s="87"/>
      <c r="I3288" s="87"/>
      <c r="J3288" s="87"/>
      <c r="K3288" s="87"/>
      <c r="L3288" s="87"/>
      <c r="M3288" s="87">
        <v>1</v>
      </c>
      <c r="N3288" s="87"/>
      <c r="O3288" s="87"/>
      <c r="P3288" s="87"/>
      <c r="Q3288" s="87"/>
      <c r="R3288" s="87"/>
      <c r="S3288" s="87"/>
      <c r="T3288" s="87"/>
      <c r="U3288" s="88"/>
      <c r="V3288" s="89"/>
      <c r="W3288" s="96">
        <v>0</v>
      </c>
      <c r="X3288" s="71">
        <f>CU3288</f>
        <v>0</v>
      </c>
      <c r="Y3288" s="71">
        <f>CY3288</f>
        <v>0</v>
      </c>
      <c r="Z3288" s="71">
        <f>DA3288+DC3288+DE3288</f>
        <v>0</v>
      </c>
      <c r="AA3288" s="71">
        <f>CW3288</f>
        <v>0</v>
      </c>
      <c r="AB3288" s="71"/>
      <c r="AC3288" s="71">
        <v>0</v>
      </c>
      <c r="AD3288" s="71">
        <f>W3288+X3288+Y3288+Z3288+AA3288+AB3288+AC3288</f>
        <v>0</v>
      </c>
      <c r="AE3288" s="72">
        <v>0</v>
      </c>
      <c r="AF3288" s="5"/>
      <c r="AG3288" s="6"/>
      <c r="AH3288" s="27"/>
      <c r="AI3288" s="44"/>
      <c r="AJ3288" s="26"/>
      <c r="AK3288" s="5"/>
      <c r="AL3288" s="82" t="s">
        <v>6218</v>
      </c>
      <c r="AM3288" s="76"/>
      <c r="AN3288" s="76"/>
      <c r="AO3288" s="76"/>
      <c r="AP3288" s="76"/>
      <c r="AQ3288" s="76"/>
      <c r="AR3288" s="76"/>
      <c r="AS3288" s="76"/>
      <c r="AT3288" s="76"/>
      <c r="AU3288" s="76"/>
      <c r="AV3288" s="76"/>
      <c r="AW3288" s="76"/>
      <c r="AX3288" s="76">
        <f>+AW3288*600000</f>
        <v>0</v>
      </c>
      <c r="AY3288" s="76"/>
      <c r="AZ3288" s="76">
        <f>+AY3288*70000</f>
        <v>0</v>
      </c>
      <c r="BA3288" s="76"/>
      <c r="BB3288" s="76"/>
      <c r="BC3288" s="76"/>
      <c r="BD3288" s="76">
        <f>+BC3288*30000</f>
        <v>0</v>
      </c>
      <c r="BE3288" s="76"/>
      <c r="BF3288" s="76"/>
      <c r="BG3288" s="76"/>
      <c r="BH3288" s="76"/>
      <c r="BI3288" s="76"/>
      <c r="BJ3288" s="76"/>
      <c r="BK3288" s="76"/>
      <c r="BL3288" s="76">
        <f>+BK3288*31500</f>
        <v>0</v>
      </c>
      <c r="BM3288" s="76"/>
      <c r="BN3288" s="76"/>
      <c r="BO3288" s="76"/>
      <c r="BP3288" s="76"/>
      <c r="BQ3288" s="76"/>
      <c r="BR3288" s="76"/>
      <c r="BS3288" s="76"/>
      <c r="BT3288" s="76"/>
      <c r="BU3288" s="76"/>
      <c r="BV3288" s="76"/>
      <c r="BW3288" s="76"/>
      <c r="BX3288" s="76"/>
      <c r="BY3288" s="76"/>
      <c r="BZ3288" s="76"/>
      <c r="CA3288" s="76"/>
      <c r="CB3288" s="76"/>
      <c r="CC3288" s="76"/>
      <c r="CD3288" s="76"/>
      <c r="CE3288" s="76"/>
      <c r="CF3288" s="76">
        <f>+CE3288*28000</f>
        <v>0</v>
      </c>
      <c r="CG3288" s="76"/>
      <c r="CH3288" s="76">
        <f>+CG3288*22500</f>
        <v>0</v>
      </c>
      <c r="CI3288" s="76"/>
      <c r="CJ3288" s="76">
        <f>+CI3288*26000</f>
        <v>0</v>
      </c>
      <c r="CK3288" s="76"/>
      <c r="CL3288" s="76"/>
      <c r="CM3288" s="76"/>
      <c r="CN3288" s="76">
        <f>+CM3288*22000</f>
        <v>0</v>
      </c>
      <c r="CO3288" s="76"/>
      <c r="CP3288" s="76">
        <f>+CO3288*46000</f>
        <v>0</v>
      </c>
      <c r="CQ3288" s="76"/>
      <c r="CR3288" s="76">
        <f>+CQ3288*49000</f>
        <v>0</v>
      </c>
      <c r="CS3288" s="76"/>
      <c r="CT3288" s="76"/>
      <c r="CU3288" s="56">
        <f>AN3288+AP3288+AR3288+AT3288+AV3288+AX3288+AZ3288+BB3288+BD3288+BF3288+BH3288+BJ3288+BL3288+BN3288+BP3288+BR3288+BT3288+BV3288+BX3288+BZ3288+CB3288+CD3288+CF3288+CH3288+CJ3288+CL3288+CN3288+CP3288+CR3288+CT3288</f>
        <v>0</v>
      </c>
      <c r="CV3288" s="76"/>
      <c r="CW3288" s="76">
        <f>+CV3288*1100</f>
        <v>0</v>
      </c>
      <c r="CX3288" s="76"/>
      <c r="CY3288" s="76">
        <f>+CX3288*106250</f>
        <v>0</v>
      </c>
      <c r="CZ3288" s="76"/>
      <c r="DA3288" s="76">
        <f>+CZ3288*34500</f>
        <v>0</v>
      </c>
      <c r="DB3288" s="76"/>
      <c r="DC3288" s="76">
        <f>+DB3288*25000</f>
        <v>0</v>
      </c>
      <c r="DD3288" s="219"/>
      <c r="DE3288" s="219"/>
      <c r="DF3288" s="166"/>
      <c r="DG3288" s="116"/>
      <c r="DH3288" s="117"/>
      <c r="DI3288" s="24"/>
      <c r="DJ3288" s="24"/>
      <c r="DK3288" s="24"/>
      <c r="DL3288" s="24"/>
      <c r="DM3288" s="24"/>
      <c r="DN3288" s="24"/>
      <c r="DO3288" s="24"/>
      <c r="DP3288" s="24"/>
      <c r="DQ3288" s="24"/>
      <c r="DR3288" s="24"/>
      <c r="DS3288" s="24"/>
      <c r="DT3288" s="24"/>
      <c r="DU3288" s="24"/>
    </row>
    <row r="3289" spans="1:125" s="8" customFormat="1" ht="240" x14ac:dyDescent="0.2">
      <c r="A3289" s="77">
        <v>41551</v>
      </c>
      <c r="B3289" s="78" t="s">
        <v>2894</v>
      </c>
      <c r="C3289" s="75" t="s">
        <v>1384</v>
      </c>
      <c r="D3289" s="75" t="s">
        <v>3051</v>
      </c>
      <c r="E3289" s="75" t="str">
        <f>VLOOKUP(B3289&amp;C3289,Divipola!$C$2:$F$1138,4,FALSE)</f>
        <v>05660</v>
      </c>
      <c r="F3289" s="87">
        <v>1</v>
      </c>
      <c r="G3289" s="87"/>
      <c r="H3289" s="87">
        <v>1</v>
      </c>
      <c r="I3289" s="87">
        <v>5</v>
      </c>
      <c r="J3289" s="87"/>
      <c r="K3289" s="87"/>
      <c r="L3289" s="87"/>
      <c r="M3289" s="87"/>
      <c r="N3289" s="87"/>
      <c r="O3289" s="87"/>
      <c r="P3289" s="87"/>
      <c r="Q3289" s="87"/>
      <c r="R3289" s="87"/>
      <c r="S3289" s="87"/>
      <c r="T3289" s="87"/>
      <c r="U3289" s="88"/>
      <c r="V3289" s="89"/>
      <c r="W3289" s="96">
        <v>0</v>
      </c>
      <c r="X3289" s="71">
        <f>CU3289</f>
        <v>0</v>
      </c>
      <c r="Y3289" s="71">
        <f>CY3289</f>
        <v>0</v>
      </c>
      <c r="Z3289" s="71">
        <f>DA3289+DC3289+DE3289</f>
        <v>0</v>
      </c>
      <c r="AA3289" s="71">
        <f>CW3289</f>
        <v>0</v>
      </c>
      <c r="AB3289" s="71"/>
      <c r="AC3289" s="71">
        <v>0</v>
      </c>
      <c r="AD3289" s="71">
        <f>W3289+X3289+Y3289+Z3289+AA3289+AB3289+AC3289</f>
        <v>0</v>
      </c>
      <c r="AE3289" s="72">
        <v>0</v>
      </c>
      <c r="AF3289" s="5"/>
      <c r="AG3289" s="6"/>
      <c r="AH3289" s="27"/>
      <c r="AI3289" s="44"/>
      <c r="AJ3289" s="26"/>
      <c r="AK3289" s="5"/>
      <c r="AL3289" s="268" t="s">
        <v>6229</v>
      </c>
      <c r="AM3289" s="76"/>
      <c r="AN3289" s="76"/>
      <c r="AO3289" s="76"/>
      <c r="AP3289" s="76"/>
      <c r="AQ3289" s="76"/>
      <c r="AR3289" s="76"/>
      <c r="AS3289" s="76"/>
      <c r="AT3289" s="76"/>
      <c r="AU3289" s="76"/>
      <c r="AV3289" s="76"/>
      <c r="AW3289" s="76"/>
      <c r="AX3289" s="76">
        <f>+AW3289*600000</f>
        <v>0</v>
      </c>
      <c r="AY3289" s="76"/>
      <c r="AZ3289" s="76">
        <f>+AY3289*70000</f>
        <v>0</v>
      </c>
      <c r="BA3289" s="76"/>
      <c r="BB3289" s="76"/>
      <c r="BC3289" s="76"/>
      <c r="BD3289" s="76">
        <f>+BC3289*30000</f>
        <v>0</v>
      </c>
      <c r="BE3289" s="76"/>
      <c r="BF3289" s="76"/>
      <c r="BG3289" s="76"/>
      <c r="BH3289" s="76"/>
      <c r="BI3289" s="76"/>
      <c r="BJ3289" s="76"/>
      <c r="BK3289" s="76"/>
      <c r="BL3289" s="76">
        <f>+BK3289*31500</f>
        <v>0</v>
      </c>
      <c r="BM3289" s="76"/>
      <c r="BN3289" s="76"/>
      <c r="BO3289" s="76"/>
      <c r="BP3289" s="76"/>
      <c r="BQ3289" s="76"/>
      <c r="BR3289" s="76"/>
      <c r="BS3289" s="76"/>
      <c r="BT3289" s="76"/>
      <c r="BU3289" s="76"/>
      <c r="BV3289" s="76"/>
      <c r="BW3289" s="76"/>
      <c r="BX3289" s="76"/>
      <c r="BY3289" s="76"/>
      <c r="BZ3289" s="76"/>
      <c r="CA3289" s="76"/>
      <c r="CB3289" s="76"/>
      <c r="CC3289" s="76"/>
      <c r="CD3289" s="76"/>
      <c r="CE3289" s="76"/>
      <c r="CF3289" s="76">
        <f>+CE3289*28000</f>
        <v>0</v>
      </c>
      <c r="CG3289" s="76"/>
      <c r="CH3289" s="76">
        <f>+CG3289*22500</f>
        <v>0</v>
      </c>
      <c r="CI3289" s="76"/>
      <c r="CJ3289" s="76">
        <f>+CI3289*26000</f>
        <v>0</v>
      </c>
      <c r="CK3289" s="76"/>
      <c r="CL3289" s="76"/>
      <c r="CM3289" s="76"/>
      <c r="CN3289" s="76">
        <f>+CM3289*22000</f>
        <v>0</v>
      </c>
      <c r="CO3289" s="76"/>
      <c r="CP3289" s="76">
        <f>+CO3289*46000</f>
        <v>0</v>
      </c>
      <c r="CQ3289" s="76"/>
      <c r="CR3289" s="76">
        <f>+CQ3289*49000</f>
        <v>0</v>
      </c>
      <c r="CS3289" s="76"/>
      <c r="CT3289" s="76"/>
      <c r="CU3289" s="56">
        <f>AN3289+AP3289+AR3289+AT3289+AV3289+AX3289+AZ3289+BB3289+BD3289+BF3289+BH3289+BJ3289+BL3289+BN3289+BP3289+BR3289+BT3289+BV3289+BX3289+BZ3289+CB3289+CD3289+CF3289+CH3289+CJ3289+CL3289+CN3289+CP3289+CR3289+CT3289</f>
        <v>0</v>
      </c>
      <c r="CV3289" s="76"/>
      <c r="CW3289" s="76">
        <f>+CV3289*1100</f>
        <v>0</v>
      </c>
      <c r="CX3289" s="76"/>
      <c r="CY3289" s="76">
        <f>+CX3289*106250</f>
        <v>0</v>
      </c>
      <c r="CZ3289" s="76"/>
      <c r="DA3289" s="76">
        <f>+CZ3289*34500</f>
        <v>0</v>
      </c>
      <c r="DB3289" s="76"/>
      <c r="DC3289" s="76">
        <f>+DB3289*25000</f>
        <v>0</v>
      </c>
      <c r="DD3289" s="219"/>
      <c r="DE3289" s="219"/>
      <c r="DF3289" s="166"/>
      <c r="DG3289" s="116"/>
      <c r="DH3289" s="117"/>
      <c r="DI3289" s="24"/>
      <c r="DJ3289" s="24"/>
      <c r="DK3289" s="24"/>
      <c r="DL3289" s="24"/>
      <c r="DM3289" s="24"/>
      <c r="DN3289" s="24"/>
      <c r="DO3289" s="24"/>
      <c r="DP3289" s="24"/>
      <c r="DQ3289" s="24"/>
      <c r="DR3289" s="24"/>
      <c r="DS3289" s="24"/>
      <c r="DT3289" s="24"/>
      <c r="DU3289" s="24"/>
    </row>
    <row r="3290" spans="1:125" s="8" customFormat="1" ht="192" x14ac:dyDescent="0.2">
      <c r="A3290" s="353">
        <v>41551</v>
      </c>
      <c r="B3290" s="352" t="s">
        <v>2700</v>
      </c>
      <c r="C3290" s="354" t="s">
        <v>2085</v>
      </c>
      <c r="D3290" s="354" t="s">
        <v>3051</v>
      </c>
      <c r="E3290" s="75" t="str">
        <f>VLOOKUP(B3290&amp;C3290,Divipola!$C$2:$F$1138,4,FALSE)</f>
        <v>15690</v>
      </c>
      <c r="F3290" s="87"/>
      <c r="G3290" s="87"/>
      <c r="H3290" s="87"/>
      <c r="I3290" s="87">
        <v>502</v>
      </c>
      <c r="J3290" s="87">
        <v>120</v>
      </c>
      <c r="K3290" s="87"/>
      <c r="L3290" s="87">
        <v>120</v>
      </c>
      <c r="M3290" s="87"/>
      <c r="N3290" s="87"/>
      <c r="O3290" s="87"/>
      <c r="P3290" s="87"/>
      <c r="Q3290" s="87"/>
      <c r="R3290" s="87">
        <v>1</v>
      </c>
      <c r="S3290" s="87"/>
      <c r="T3290" s="87"/>
      <c r="U3290" s="88"/>
      <c r="V3290" s="89"/>
      <c r="W3290" s="96">
        <v>0</v>
      </c>
      <c r="X3290" s="71">
        <f>CU3290</f>
        <v>3038000</v>
      </c>
      <c r="Y3290" s="71">
        <f>CY3290</f>
        <v>6544100</v>
      </c>
      <c r="Z3290" s="71">
        <f>DA3290+DC3290+DE3290</f>
        <v>4500000</v>
      </c>
      <c r="AA3290" s="71">
        <f>CW3290</f>
        <v>0</v>
      </c>
      <c r="AB3290" s="71"/>
      <c r="AC3290" s="71">
        <v>0</v>
      </c>
      <c r="AD3290" s="71">
        <f>W3290+X3290+Y3290+Z3290+AA3290+AB3290+AC3290</f>
        <v>14082100</v>
      </c>
      <c r="AE3290" s="72">
        <v>0</v>
      </c>
      <c r="AF3290" s="5"/>
      <c r="AG3290" s="6"/>
      <c r="AH3290" s="27"/>
      <c r="AI3290" s="44"/>
      <c r="AJ3290" s="26"/>
      <c r="AK3290" s="5"/>
      <c r="AL3290" s="82" t="s">
        <v>6234</v>
      </c>
      <c r="AM3290" s="76"/>
      <c r="AN3290" s="76"/>
      <c r="AO3290" s="76"/>
      <c r="AP3290" s="76"/>
      <c r="AQ3290" s="76"/>
      <c r="AR3290" s="76"/>
      <c r="AS3290" s="76"/>
      <c r="AT3290" s="76"/>
      <c r="AU3290" s="76"/>
      <c r="AV3290" s="76"/>
      <c r="AW3290" s="76"/>
      <c r="AX3290" s="76">
        <f>+AW3290*600000</f>
        <v>0</v>
      </c>
      <c r="AY3290" s="76"/>
      <c r="AZ3290" s="76">
        <f>+AY3290*70000</f>
        <v>0</v>
      </c>
      <c r="BA3290" s="76"/>
      <c r="BB3290" s="76"/>
      <c r="BC3290" s="76"/>
      <c r="BD3290" s="76">
        <f>+BC3290*30000</f>
        <v>0</v>
      </c>
      <c r="BE3290" s="76"/>
      <c r="BF3290" s="76"/>
      <c r="BG3290" s="76"/>
      <c r="BH3290" s="76"/>
      <c r="BI3290" s="76"/>
      <c r="BJ3290" s="76"/>
      <c r="BK3290" s="76"/>
      <c r="BL3290" s="76">
        <f>+BK3290*31500</f>
        <v>0</v>
      </c>
      <c r="BM3290" s="76"/>
      <c r="BN3290" s="76"/>
      <c r="BO3290" s="76"/>
      <c r="BP3290" s="76"/>
      <c r="BQ3290" s="76"/>
      <c r="BR3290" s="76"/>
      <c r="BS3290" s="76"/>
      <c r="BT3290" s="76"/>
      <c r="BU3290" s="76"/>
      <c r="BV3290" s="76"/>
      <c r="BW3290" s="76"/>
      <c r="BX3290" s="76"/>
      <c r="BY3290" s="76"/>
      <c r="BZ3290" s="76"/>
      <c r="CA3290" s="76"/>
      <c r="CB3290" s="76"/>
      <c r="CC3290" s="76"/>
      <c r="CD3290" s="76"/>
      <c r="CE3290" s="76"/>
      <c r="CF3290" s="76">
        <f>+CE3290*28000</f>
        <v>0</v>
      </c>
      <c r="CG3290" s="76"/>
      <c r="CH3290" s="76">
        <f>+CG3290*22500</f>
        <v>0</v>
      </c>
      <c r="CI3290" s="76"/>
      <c r="CJ3290" s="76">
        <f>+CI3290*26000</f>
        <v>0</v>
      </c>
      <c r="CK3290" s="76"/>
      <c r="CL3290" s="76"/>
      <c r="CM3290" s="76"/>
      <c r="CN3290" s="76">
        <f>+CM3290*22000</f>
        <v>0</v>
      </c>
      <c r="CO3290" s="76"/>
      <c r="CP3290" s="76">
        <f>+CO3290*46000</f>
        <v>0</v>
      </c>
      <c r="CQ3290" s="86">
        <v>62</v>
      </c>
      <c r="CR3290" s="86">
        <f>+CQ3290*49000</f>
        <v>3038000</v>
      </c>
      <c r="CS3290" s="76"/>
      <c r="CT3290" s="76"/>
      <c r="CU3290" s="56">
        <f>AN3290+AP3290+AR3290+AT3290+AV3290+AX3290+AZ3290+BB3290+BD3290+BF3290+BH3290+BJ3290+BL3290+BN3290+BP3290+BR3290+BT3290+BV3290+BX3290+BZ3290+CB3290+CD3290+CF3290+CH3290+CJ3290+CL3290+CN3290+CP3290+CR3290+CT3290</f>
        <v>3038000</v>
      </c>
      <c r="CV3290" s="76"/>
      <c r="CW3290" s="76">
        <f>+CV3290*1100</f>
        <v>0</v>
      </c>
      <c r="CX3290" s="86">
        <v>62</v>
      </c>
      <c r="CY3290" s="86">
        <f>+CX3290*105550</f>
        <v>6544100</v>
      </c>
      <c r="CZ3290" s="76"/>
      <c r="DA3290" s="76">
        <f>+CZ3290*34500</f>
        <v>0</v>
      </c>
      <c r="DB3290" s="76"/>
      <c r="DC3290" s="76">
        <f>+DB3290*25000</f>
        <v>0</v>
      </c>
      <c r="DD3290" s="358" t="s">
        <v>6414</v>
      </c>
      <c r="DE3290" s="318">
        <f>100*45000</f>
        <v>4500000</v>
      </c>
      <c r="DF3290" s="166"/>
      <c r="DG3290" s="134" t="s">
        <v>6924</v>
      </c>
      <c r="DH3290" s="117"/>
      <c r="DI3290" s="24"/>
      <c r="DJ3290" s="24"/>
      <c r="DK3290" s="24"/>
      <c r="DL3290" s="24"/>
      <c r="DM3290" s="24"/>
      <c r="DN3290" s="24"/>
      <c r="DO3290" s="24"/>
      <c r="DP3290" s="24"/>
      <c r="DQ3290" s="24"/>
      <c r="DR3290" s="24"/>
      <c r="DS3290" s="24"/>
      <c r="DT3290" s="24"/>
      <c r="DU3290" s="24"/>
    </row>
    <row r="3291" spans="1:125" s="8" customFormat="1" ht="84" x14ac:dyDescent="0.2">
      <c r="A3291" s="77">
        <v>41551</v>
      </c>
      <c r="B3291" s="352" t="s">
        <v>2906</v>
      </c>
      <c r="C3291" s="354" t="s">
        <v>472</v>
      </c>
      <c r="D3291" s="354" t="s">
        <v>3051</v>
      </c>
      <c r="E3291" s="75" t="str">
        <f>VLOOKUP(B3291&amp;C3291,Divipola!$C$2:$F$1138,4,FALSE)</f>
        <v>47798</v>
      </c>
      <c r="F3291" s="87"/>
      <c r="G3291" s="87"/>
      <c r="H3291" s="87"/>
      <c r="I3291" s="87">
        <v>150</v>
      </c>
      <c r="J3291" s="87">
        <v>30</v>
      </c>
      <c r="K3291" s="87"/>
      <c r="L3291" s="87">
        <v>30</v>
      </c>
      <c r="M3291" s="87"/>
      <c r="N3291" s="87"/>
      <c r="O3291" s="87"/>
      <c r="P3291" s="87"/>
      <c r="Q3291" s="87"/>
      <c r="R3291" s="87"/>
      <c r="S3291" s="87"/>
      <c r="T3291" s="87"/>
      <c r="U3291" s="88"/>
      <c r="V3291" s="89"/>
      <c r="W3291" s="96">
        <v>0</v>
      </c>
      <c r="X3291" s="71">
        <f>CU3291</f>
        <v>0</v>
      </c>
      <c r="Y3291" s="71">
        <f>CY3291</f>
        <v>0</v>
      </c>
      <c r="Z3291" s="71">
        <f>DA3291+DC3291+DE3291</f>
        <v>0</v>
      </c>
      <c r="AA3291" s="71">
        <f>CW3291</f>
        <v>0</v>
      </c>
      <c r="AB3291" s="71"/>
      <c r="AC3291" s="71">
        <v>0</v>
      </c>
      <c r="AD3291" s="71">
        <f>W3291+X3291+Y3291+Z3291+AA3291+AB3291+AC3291</f>
        <v>0</v>
      </c>
      <c r="AE3291" s="72">
        <v>0</v>
      </c>
      <c r="AF3291" s="5"/>
      <c r="AG3291" s="6"/>
      <c r="AH3291" s="27"/>
      <c r="AI3291" s="44"/>
      <c r="AJ3291" s="26"/>
      <c r="AK3291" s="5"/>
      <c r="AL3291" s="82" t="s">
        <v>6230</v>
      </c>
      <c r="AM3291" s="76"/>
      <c r="AN3291" s="76"/>
      <c r="AO3291" s="76"/>
      <c r="AP3291" s="76"/>
      <c r="AQ3291" s="76"/>
      <c r="AR3291" s="76"/>
      <c r="AS3291" s="76"/>
      <c r="AT3291" s="76"/>
      <c r="AU3291" s="76"/>
      <c r="AV3291" s="76"/>
      <c r="AW3291" s="76"/>
      <c r="AX3291" s="76">
        <f>+AW3291*600000</f>
        <v>0</v>
      </c>
      <c r="AY3291" s="76"/>
      <c r="AZ3291" s="76">
        <f>+AY3291*70000</f>
        <v>0</v>
      </c>
      <c r="BA3291" s="76"/>
      <c r="BB3291" s="76"/>
      <c r="BC3291" s="76"/>
      <c r="BD3291" s="76">
        <f>+BC3291*30000</f>
        <v>0</v>
      </c>
      <c r="BE3291" s="76"/>
      <c r="BF3291" s="76"/>
      <c r="BG3291" s="76"/>
      <c r="BH3291" s="76"/>
      <c r="BI3291" s="76"/>
      <c r="BJ3291" s="76"/>
      <c r="BK3291" s="76"/>
      <c r="BL3291" s="76">
        <f>+BK3291*31500</f>
        <v>0</v>
      </c>
      <c r="BM3291" s="76"/>
      <c r="BN3291" s="76"/>
      <c r="BO3291" s="76"/>
      <c r="BP3291" s="76"/>
      <c r="BQ3291" s="76"/>
      <c r="BR3291" s="76"/>
      <c r="BS3291" s="76"/>
      <c r="BT3291" s="76"/>
      <c r="BU3291" s="76"/>
      <c r="BV3291" s="76"/>
      <c r="BW3291" s="76"/>
      <c r="BX3291" s="76"/>
      <c r="BY3291" s="76"/>
      <c r="BZ3291" s="76"/>
      <c r="CA3291" s="76"/>
      <c r="CB3291" s="76"/>
      <c r="CC3291" s="76"/>
      <c r="CD3291" s="76"/>
      <c r="CE3291" s="76"/>
      <c r="CF3291" s="76">
        <f>+CE3291*28000</f>
        <v>0</v>
      </c>
      <c r="CG3291" s="76"/>
      <c r="CH3291" s="76">
        <f>+CG3291*22500</f>
        <v>0</v>
      </c>
      <c r="CI3291" s="76"/>
      <c r="CJ3291" s="76">
        <f>+CI3291*26000</f>
        <v>0</v>
      </c>
      <c r="CK3291" s="76"/>
      <c r="CL3291" s="76"/>
      <c r="CM3291" s="76"/>
      <c r="CN3291" s="76">
        <f>+CM3291*22000</f>
        <v>0</v>
      </c>
      <c r="CO3291" s="76"/>
      <c r="CP3291" s="76">
        <f>+CO3291*46000</f>
        <v>0</v>
      </c>
      <c r="CQ3291" s="76"/>
      <c r="CR3291" s="76">
        <f>+CQ3291*49000</f>
        <v>0</v>
      </c>
      <c r="CS3291" s="76"/>
      <c r="CT3291" s="76"/>
      <c r="CU3291" s="56">
        <f>AN3291+AP3291+AR3291+AT3291+AV3291+AX3291+AZ3291+BB3291+BD3291+BF3291+BH3291+BJ3291+BL3291+BN3291+BP3291+BR3291+BT3291+BV3291+BX3291+BZ3291+CB3291+CD3291+CF3291+CH3291+CJ3291+CL3291+CN3291+CP3291+CR3291+CT3291</f>
        <v>0</v>
      </c>
      <c r="CV3291" s="76"/>
      <c r="CW3291" s="76">
        <f>+CV3291*1100</f>
        <v>0</v>
      </c>
      <c r="CX3291" s="76"/>
      <c r="CY3291" s="76">
        <f>+CX3291*106250</f>
        <v>0</v>
      </c>
      <c r="CZ3291" s="76"/>
      <c r="DA3291" s="76">
        <f>+CZ3291*34500</f>
        <v>0</v>
      </c>
      <c r="DB3291" s="76"/>
      <c r="DC3291" s="76">
        <f>+DB3291*25000</f>
        <v>0</v>
      </c>
      <c r="DD3291" s="219"/>
      <c r="DE3291" s="219"/>
      <c r="DF3291" s="166"/>
      <c r="DG3291" s="116"/>
      <c r="DH3291" s="117"/>
      <c r="DI3291" s="24"/>
      <c r="DJ3291" s="24"/>
      <c r="DK3291" s="24"/>
      <c r="DL3291" s="24"/>
      <c r="DM3291" s="24"/>
      <c r="DN3291" s="24"/>
      <c r="DO3291" s="24"/>
      <c r="DP3291" s="24"/>
      <c r="DQ3291" s="24"/>
      <c r="DR3291" s="24"/>
      <c r="DS3291" s="24"/>
      <c r="DT3291" s="24"/>
      <c r="DU3291" s="24"/>
    </row>
    <row r="3292" spans="1:125" s="8" customFormat="1" ht="108" x14ac:dyDescent="0.2">
      <c r="A3292" s="77">
        <v>41551</v>
      </c>
      <c r="B3292" s="352" t="s">
        <v>2847</v>
      </c>
      <c r="C3292" s="354" t="s">
        <v>2673</v>
      </c>
      <c r="D3292" s="354" t="s">
        <v>2859</v>
      </c>
      <c r="E3292" s="75" t="str">
        <f>VLOOKUP(B3292&amp;C3292,Divipola!$C$2:$F$1138,4,FALSE)</f>
        <v>68001</v>
      </c>
      <c r="F3292" s="87"/>
      <c r="G3292" s="87"/>
      <c r="H3292" s="87"/>
      <c r="I3292" s="87"/>
      <c r="J3292" s="87"/>
      <c r="K3292" s="87"/>
      <c r="L3292" s="87"/>
      <c r="M3292" s="87"/>
      <c r="N3292" s="87"/>
      <c r="O3292" s="87"/>
      <c r="P3292" s="87"/>
      <c r="Q3292" s="87"/>
      <c r="R3292" s="87"/>
      <c r="S3292" s="87"/>
      <c r="T3292" s="87"/>
      <c r="U3292" s="88"/>
      <c r="V3292" s="89"/>
      <c r="W3292" s="96">
        <v>0</v>
      </c>
      <c r="X3292" s="71">
        <f>CU3292</f>
        <v>0</v>
      </c>
      <c r="Y3292" s="71">
        <f>CY3292</f>
        <v>0</v>
      </c>
      <c r="Z3292" s="71">
        <f>DA3292+DC3292+DE3292</f>
        <v>0</v>
      </c>
      <c r="AA3292" s="71">
        <f>CW3292</f>
        <v>0</v>
      </c>
      <c r="AB3292" s="71"/>
      <c r="AC3292" s="71">
        <v>0</v>
      </c>
      <c r="AD3292" s="71">
        <f>W3292+X3292+Y3292+Z3292+AA3292+AB3292+AC3292</f>
        <v>0</v>
      </c>
      <c r="AE3292" s="72">
        <v>0</v>
      </c>
      <c r="AF3292" s="5"/>
      <c r="AG3292" s="6"/>
      <c r="AH3292" s="27"/>
      <c r="AI3292" s="44"/>
      <c r="AJ3292" s="26"/>
      <c r="AK3292" s="5"/>
      <c r="AL3292" s="268" t="s">
        <v>6228</v>
      </c>
      <c r="AM3292" s="76"/>
      <c r="AN3292" s="76"/>
      <c r="AO3292" s="76"/>
      <c r="AP3292" s="76"/>
      <c r="AQ3292" s="76"/>
      <c r="AR3292" s="76"/>
      <c r="AS3292" s="76"/>
      <c r="AT3292" s="76"/>
      <c r="AU3292" s="76"/>
      <c r="AV3292" s="76"/>
      <c r="AW3292" s="76"/>
      <c r="AX3292" s="76">
        <f>+AW3292*600000</f>
        <v>0</v>
      </c>
      <c r="AY3292" s="76"/>
      <c r="AZ3292" s="76">
        <f>+AY3292*70000</f>
        <v>0</v>
      </c>
      <c r="BA3292" s="76"/>
      <c r="BB3292" s="76"/>
      <c r="BC3292" s="76"/>
      <c r="BD3292" s="76">
        <f>+BC3292*30000</f>
        <v>0</v>
      </c>
      <c r="BE3292" s="76"/>
      <c r="BF3292" s="76"/>
      <c r="BG3292" s="76"/>
      <c r="BH3292" s="76"/>
      <c r="BI3292" s="76"/>
      <c r="BJ3292" s="76"/>
      <c r="BK3292" s="76"/>
      <c r="BL3292" s="76">
        <f>+BK3292*31500</f>
        <v>0</v>
      </c>
      <c r="BM3292" s="76"/>
      <c r="BN3292" s="76"/>
      <c r="BO3292" s="76"/>
      <c r="BP3292" s="76"/>
      <c r="BQ3292" s="76"/>
      <c r="BR3292" s="76"/>
      <c r="BS3292" s="76"/>
      <c r="BT3292" s="76"/>
      <c r="BU3292" s="76"/>
      <c r="BV3292" s="76"/>
      <c r="BW3292" s="76"/>
      <c r="BX3292" s="76"/>
      <c r="BY3292" s="76"/>
      <c r="BZ3292" s="76"/>
      <c r="CA3292" s="76"/>
      <c r="CB3292" s="76"/>
      <c r="CC3292" s="76"/>
      <c r="CD3292" s="76"/>
      <c r="CE3292" s="76"/>
      <c r="CF3292" s="76">
        <f>+CE3292*28000</f>
        <v>0</v>
      </c>
      <c r="CG3292" s="76"/>
      <c r="CH3292" s="76">
        <f>+CG3292*22500</f>
        <v>0</v>
      </c>
      <c r="CI3292" s="76"/>
      <c r="CJ3292" s="76">
        <f>+CI3292*26000</f>
        <v>0</v>
      </c>
      <c r="CK3292" s="76"/>
      <c r="CL3292" s="76"/>
      <c r="CM3292" s="76"/>
      <c r="CN3292" s="76">
        <f>+CM3292*22000</f>
        <v>0</v>
      </c>
      <c r="CO3292" s="76"/>
      <c r="CP3292" s="76">
        <f>+CO3292*46000</f>
        <v>0</v>
      </c>
      <c r="CQ3292" s="76"/>
      <c r="CR3292" s="76">
        <f>+CQ3292*49000</f>
        <v>0</v>
      </c>
      <c r="CS3292" s="76"/>
      <c r="CT3292" s="76"/>
      <c r="CU3292" s="56">
        <f>AN3292+AP3292+AR3292+AT3292+AV3292+AX3292+AZ3292+BB3292+BD3292+BF3292+BH3292+BJ3292+BL3292+BN3292+BP3292+BR3292+BT3292+BV3292+BX3292+BZ3292+CB3292+CD3292+CF3292+CH3292+CJ3292+CL3292+CN3292+CP3292+CR3292+CT3292</f>
        <v>0</v>
      </c>
      <c r="CV3292" s="76"/>
      <c r="CW3292" s="76">
        <f>+CV3292*1100</f>
        <v>0</v>
      </c>
      <c r="CX3292" s="76"/>
      <c r="CY3292" s="76">
        <f>+CX3292*106250</f>
        <v>0</v>
      </c>
      <c r="CZ3292" s="76"/>
      <c r="DA3292" s="76">
        <f>+CZ3292*34500</f>
        <v>0</v>
      </c>
      <c r="DB3292" s="76"/>
      <c r="DC3292" s="76">
        <f>+DB3292*25000</f>
        <v>0</v>
      </c>
      <c r="DD3292" s="219"/>
      <c r="DE3292" s="219"/>
      <c r="DF3292" s="166"/>
      <c r="DG3292" s="116"/>
      <c r="DH3292" s="117"/>
      <c r="DI3292" s="24"/>
      <c r="DJ3292" s="24"/>
      <c r="DK3292" s="24"/>
      <c r="DL3292" s="24"/>
      <c r="DM3292" s="24"/>
      <c r="DN3292" s="24"/>
      <c r="DO3292" s="24"/>
      <c r="DP3292" s="24"/>
      <c r="DQ3292" s="24"/>
      <c r="DR3292" s="24"/>
      <c r="DS3292" s="24"/>
      <c r="DT3292" s="24"/>
      <c r="DU3292" s="24"/>
    </row>
    <row r="3293" spans="1:125" s="8" customFormat="1" ht="132" x14ac:dyDescent="0.2">
      <c r="A3293" s="77">
        <v>41551</v>
      </c>
      <c r="B3293" s="352" t="s">
        <v>2847</v>
      </c>
      <c r="C3293" s="354" t="s">
        <v>2814</v>
      </c>
      <c r="D3293" s="354" t="s">
        <v>3017</v>
      </c>
      <c r="E3293" s="75" t="str">
        <f>VLOOKUP(B3293&amp;C3293,Divipola!$C$2:$F$1138,4,FALSE)</f>
        <v>68307</v>
      </c>
      <c r="F3293" s="87"/>
      <c r="G3293" s="87">
        <v>3</v>
      </c>
      <c r="H3293" s="87"/>
      <c r="I3293" s="87">
        <v>5</v>
      </c>
      <c r="J3293" s="87">
        <v>1</v>
      </c>
      <c r="K3293" s="87">
        <v>1</v>
      </c>
      <c r="L3293" s="87"/>
      <c r="M3293" s="87"/>
      <c r="N3293" s="87"/>
      <c r="O3293" s="87"/>
      <c r="P3293" s="87"/>
      <c r="Q3293" s="87"/>
      <c r="R3293" s="87"/>
      <c r="S3293" s="87"/>
      <c r="T3293" s="87"/>
      <c r="U3293" s="88"/>
      <c r="V3293" s="89"/>
      <c r="W3293" s="96">
        <v>0</v>
      </c>
      <c r="X3293" s="71">
        <f>CU3293</f>
        <v>0</v>
      </c>
      <c r="Y3293" s="71">
        <f>CY3293</f>
        <v>0</v>
      </c>
      <c r="Z3293" s="71">
        <f>DA3293+DC3293+DE3293</f>
        <v>0</v>
      </c>
      <c r="AA3293" s="71">
        <f>CW3293</f>
        <v>0</v>
      </c>
      <c r="AB3293" s="71"/>
      <c r="AC3293" s="71">
        <v>0</v>
      </c>
      <c r="AD3293" s="71">
        <f>W3293+X3293+Y3293+Z3293+AA3293+AB3293+AC3293</f>
        <v>0</v>
      </c>
      <c r="AE3293" s="72">
        <v>0</v>
      </c>
      <c r="AF3293" s="5"/>
      <c r="AG3293" s="6"/>
      <c r="AH3293" s="27"/>
      <c r="AI3293" s="44"/>
      <c r="AJ3293" s="26"/>
      <c r="AK3293" s="5"/>
      <c r="AL3293" s="268" t="s">
        <v>6227</v>
      </c>
      <c r="AM3293" s="76"/>
      <c r="AN3293" s="76"/>
      <c r="AO3293" s="76"/>
      <c r="AP3293" s="76"/>
      <c r="AQ3293" s="76"/>
      <c r="AR3293" s="76"/>
      <c r="AS3293" s="76"/>
      <c r="AT3293" s="76"/>
      <c r="AU3293" s="76"/>
      <c r="AV3293" s="76"/>
      <c r="AW3293" s="76"/>
      <c r="AX3293" s="76">
        <f>+AW3293*600000</f>
        <v>0</v>
      </c>
      <c r="AY3293" s="76"/>
      <c r="AZ3293" s="76">
        <f>+AY3293*70000</f>
        <v>0</v>
      </c>
      <c r="BA3293" s="76"/>
      <c r="BB3293" s="76"/>
      <c r="BC3293" s="76"/>
      <c r="BD3293" s="76">
        <f>+BC3293*30000</f>
        <v>0</v>
      </c>
      <c r="BE3293" s="76"/>
      <c r="BF3293" s="76"/>
      <c r="BG3293" s="76"/>
      <c r="BH3293" s="76"/>
      <c r="BI3293" s="76"/>
      <c r="BJ3293" s="76"/>
      <c r="BK3293" s="76"/>
      <c r="BL3293" s="76">
        <f>+BK3293*31500</f>
        <v>0</v>
      </c>
      <c r="BM3293" s="76"/>
      <c r="BN3293" s="76"/>
      <c r="BO3293" s="76"/>
      <c r="BP3293" s="76"/>
      <c r="BQ3293" s="76"/>
      <c r="BR3293" s="76"/>
      <c r="BS3293" s="76"/>
      <c r="BT3293" s="76"/>
      <c r="BU3293" s="76"/>
      <c r="BV3293" s="76"/>
      <c r="BW3293" s="76"/>
      <c r="BX3293" s="76"/>
      <c r="BY3293" s="76"/>
      <c r="BZ3293" s="76"/>
      <c r="CA3293" s="76"/>
      <c r="CB3293" s="76"/>
      <c r="CC3293" s="76"/>
      <c r="CD3293" s="76"/>
      <c r="CE3293" s="76"/>
      <c r="CF3293" s="76">
        <f>+CE3293*28000</f>
        <v>0</v>
      </c>
      <c r="CG3293" s="76"/>
      <c r="CH3293" s="76">
        <f>+CG3293*22500</f>
        <v>0</v>
      </c>
      <c r="CI3293" s="76"/>
      <c r="CJ3293" s="76">
        <f>+CI3293*26000</f>
        <v>0</v>
      </c>
      <c r="CK3293" s="76"/>
      <c r="CL3293" s="76"/>
      <c r="CM3293" s="76"/>
      <c r="CN3293" s="76">
        <f>+CM3293*22000</f>
        <v>0</v>
      </c>
      <c r="CO3293" s="76"/>
      <c r="CP3293" s="76">
        <f>+CO3293*46000</f>
        <v>0</v>
      </c>
      <c r="CQ3293" s="76"/>
      <c r="CR3293" s="76">
        <f>+CQ3293*49000</f>
        <v>0</v>
      </c>
      <c r="CS3293" s="76"/>
      <c r="CT3293" s="76"/>
      <c r="CU3293" s="56">
        <f>AN3293+AP3293+AR3293+AT3293+AV3293+AX3293+AZ3293+BB3293+BD3293+BF3293+BH3293+BJ3293+BL3293+BN3293+BP3293+BR3293+BT3293+BV3293+BX3293+BZ3293+CB3293+CD3293+CF3293+CH3293+CJ3293+CL3293+CN3293+CP3293+CR3293+CT3293</f>
        <v>0</v>
      </c>
      <c r="CV3293" s="76"/>
      <c r="CW3293" s="76">
        <f>+CV3293*1100</f>
        <v>0</v>
      </c>
      <c r="CX3293" s="76"/>
      <c r="CY3293" s="76">
        <f>+CX3293*106250</f>
        <v>0</v>
      </c>
      <c r="CZ3293" s="76"/>
      <c r="DA3293" s="76">
        <f>+CZ3293*34500</f>
        <v>0</v>
      </c>
      <c r="DB3293" s="76"/>
      <c r="DC3293" s="76">
        <f>+DB3293*25000</f>
        <v>0</v>
      </c>
      <c r="DD3293" s="219"/>
      <c r="DE3293" s="219"/>
      <c r="DF3293" s="166"/>
      <c r="DG3293" s="116"/>
      <c r="DH3293" s="117"/>
      <c r="DI3293" s="24"/>
      <c r="DJ3293" s="24"/>
      <c r="DK3293" s="24"/>
      <c r="DL3293" s="24"/>
      <c r="DM3293" s="24"/>
      <c r="DN3293" s="24"/>
      <c r="DO3293" s="24"/>
      <c r="DP3293" s="24"/>
      <c r="DQ3293" s="24"/>
      <c r="DR3293" s="24"/>
      <c r="DS3293" s="24"/>
      <c r="DT3293" s="24"/>
      <c r="DU3293" s="24"/>
    </row>
    <row r="3294" spans="1:125" s="8" customFormat="1" ht="72" x14ac:dyDescent="0.2">
      <c r="A3294" s="5">
        <v>41551</v>
      </c>
      <c r="B3294" s="84" t="s">
        <v>2851</v>
      </c>
      <c r="C3294" s="84" t="s">
        <v>2751</v>
      </c>
      <c r="D3294" s="75" t="s">
        <v>3051</v>
      </c>
      <c r="E3294" s="75" t="str">
        <f>VLOOKUP(B3294&amp;C3294,Divipola!$C$2:$F$1138,4,FALSE)</f>
        <v>76828</v>
      </c>
      <c r="F3294" s="89"/>
      <c r="G3294" s="89"/>
      <c r="H3294" s="89"/>
      <c r="I3294" s="89"/>
      <c r="J3294" s="89"/>
      <c r="K3294" s="89"/>
      <c r="L3294" s="89"/>
      <c r="M3294" s="89">
        <v>1</v>
      </c>
      <c r="N3294" s="89"/>
      <c r="O3294" s="89"/>
      <c r="P3294" s="89"/>
      <c r="Q3294" s="89"/>
      <c r="R3294" s="89"/>
      <c r="S3294" s="89"/>
      <c r="T3294" s="89"/>
      <c r="U3294" s="89"/>
      <c r="V3294" s="89"/>
      <c r="W3294" s="96">
        <v>0</v>
      </c>
      <c r="X3294" s="71">
        <f>CU3294</f>
        <v>0</v>
      </c>
      <c r="Y3294" s="71">
        <f>CY3294</f>
        <v>0</v>
      </c>
      <c r="Z3294" s="71">
        <f>DA3294+DC3294+DE3294</f>
        <v>0</v>
      </c>
      <c r="AA3294" s="71">
        <f>CW3294</f>
        <v>0</v>
      </c>
      <c r="AB3294" s="71"/>
      <c r="AC3294" s="71">
        <v>0</v>
      </c>
      <c r="AD3294" s="71">
        <f>W3294+X3294+Y3294+Z3294+AA3294+AB3294+AC3294</f>
        <v>0</v>
      </c>
      <c r="AE3294" s="72">
        <v>0</v>
      </c>
      <c r="AF3294" s="5"/>
      <c r="AG3294" s="6"/>
      <c r="AH3294" s="27"/>
      <c r="AI3294" s="44"/>
      <c r="AJ3294" s="26"/>
      <c r="AK3294" s="5"/>
      <c r="AL3294" s="82" t="s">
        <v>6971</v>
      </c>
      <c r="AM3294" s="76"/>
      <c r="AN3294" s="76"/>
      <c r="AO3294" s="76"/>
      <c r="AP3294" s="76"/>
      <c r="AQ3294" s="76"/>
      <c r="AR3294" s="76"/>
      <c r="AS3294" s="76"/>
      <c r="AT3294" s="76"/>
      <c r="AU3294" s="76"/>
      <c r="AV3294" s="76"/>
      <c r="AW3294" s="76"/>
      <c r="AX3294" s="76">
        <f>+AW3294*600000</f>
        <v>0</v>
      </c>
      <c r="AY3294" s="76"/>
      <c r="AZ3294" s="76">
        <f>+AY3294*70000</f>
        <v>0</v>
      </c>
      <c r="BA3294" s="76"/>
      <c r="BB3294" s="76"/>
      <c r="BC3294" s="76"/>
      <c r="BD3294" s="76">
        <f>+BC3294*30000</f>
        <v>0</v>
      </c>
      <c r="BE3294" s="76"/>
      <c r="BF3294" s="76"/>
      <c r="BG3294" s="76"/>
      <c r="BH3294" s="76"/>
      <c r="BI3294" s="76"/>
      <c r="BJ3294" s="76"/>
      <c r="BK3294" s="76"/>
      <c r="BL3294" s="76">
        <f>+BK3294*31500</f>
        <v>0</v>
      </c>
      <c r="BM3294" s="76"/>
      <c r="BN3294" s="76"/>
      <c r="BO3294" s="76"/>
      <c r="BP3294" s="76"/>
      <c r="BQ3294" s="76"/>
      <c r="BR3294" s="76"/>
      <c r="BS3294" s="76"/>
      <c r="BT3294" s="76"/>
      <c r="BU3294" s="76"/>
      <c r="BV3294" s="76"/>
      <c r="BW3294" s="76"/>
      <c r="BX3294" s="76"/>
      <c r="BY3294" s="76"/>
      <c r="BZ3294" s="76"/>
      <c r="CA3294" s="76"/>
      <c r="CB3294" s="76"/>
      <c r="CC3294" s="76"/>
      <c r="CD3294" s="76"/>
      <c r="CE3294" s="76"/>
      <c r="CF3294" s="76">
        <f>+CE3294*28000</f>
        <v>0</v>
      </c>
      <c r="CG3294" s="76"/>
      <c r="CH3294" s="76">
        <f>+CG3294*22500</f>
        <v>0</v>
      </c>
      <c r="CI3294" s="76"/>
      <c r="CJ3294" s="76">
        <f>+CI3294*26000</f>
        <v>0</v>
      </c>
      <c r="CK3294" s="76"/>
      <c r="CL3294" s="76"/>
      <c r="CM3294" s="76"/>
      <c r="CN3294" s="76">
        <f>+CM3294*22000</f>
        <v>0</v>
      </c>
      <c r="CO3294" s="76"/>
      <c r="CP3294" s="76">
        <f>+CO3294*46000</f>
        <v>0</v>
      </c>
      <c r="CQ3294" s="76"/>
      <c r="CR3294" s="76">
        <f>+CQ3294*49000</f>
        <v>0</v>
      </c>
      <c r="CS3294" s="76"/>
      <c r="CT3294" s="76"/>
      <c r="CU3294" s="56">
        <f>AN3294+AP3294+AR3294+AT3294+AV3294+AX3294+AZ3294+BB3294+BD3294+BF3294+BH3294+BJ3294+BL3294+BN3294+BP3294+BR3294+BT3294+BV3294+BX3294+BZ3294+CB3294+CD3294+CF3294+CH3294+CJ3294+CL3294+CN3294+CP3294+CR3294+CT3294</f>
        <v>0</v>
      </c>
      <c r="CV3294" s="76"/>
      <c r="CW3294" s="76">
        <f>+CV3294*1100</f>
        <v>0</v>
      </c>
      <c r="CX3294" s="76"/>
      <c r="CY3294" s="76">
        <f>+CX3294*106250</f>
        <v>0</v>
      </c>
      <c r="CZ3294" s="76"/>
      <c r="DA3294" s="76">
        <f>+CZ3294*34500</f>
        <v>0</v>
      </c>
      <c r="DB3294" s="76"/>
      <c r="DC3294" s="76">
        <f>+DB3294*25000</f>
        <v>0</v>
      </c>
      <c r="DD3294" s="219"/>
      <c r="DE3294" s="219"/>
      <c r="DF3294" s="166"/>
      <c r="DG3294" s="116"/>
      <c r="DH3294" s="117"/>
      <c r="DI3294" s="24"/>
      <c r="DJ3294" s="24"/>
      <c r="DK3294" s="24"/>
      <c r="DL3294" s="24"/>
      <c r="DM3294" s="24"/>
      <c r="DN3294" s="24"/>
      <c r="DO3294" s="24"/>
      <c r="DP3294" s="24"/>
      <c r="DQ3294" s="24"/>
      <c r="DR3294" s="24"/>
      <c r="DS3294" s="24"/>
      <c r="DT3294" s="24"/>
      <c r="DU3294" s="24"/>
    </row>
    <row r="3295" spans="1:125" s="8" customFormat="1" ht="192" x14ac:dyDescent="0.2">
      <c r="A3295" s="353">
        <v>41552</v>
      </c>
      <c r="B3295" s="352" t="s">
        <v>2036</v>
      </c>
      <c r="C3295" s="354" t="s">
        <v>1374</v>
      </c>
      <c r="D3295" s="354" t="s">
        <v>3726</v>
      </c>
      <c r="E3295" s="75" t="str">
        <f>VLOOKUP(B3295&amp;C3295,Divipola!$C$2:$F$1138,4,FALSE)</f>
        <v>81065</v>
      </c>
      <c r="F3295" s="87"/>
      <c r="G3295" s="87"/>
      <c r="H3295" s="87"/>
      <c r="I3295" s="87"/>
      <c r="J3295" s="87"/>
      <c r="K3295" s="87"/>
      <c r="L3295" s="87"/>
      <c r="M3295" s="87"/>
      <c r="N3295" s="87"/>
      <c r="O3295" s="87"/>
      <c r="P3295" s="87"/>
      <c r="Q3295" s="87"/>
      <c r="R3295" s="87"/>
      <c r="S3295" s="87"/>
      <c r="T3295" s="87"/>
      <c r="U3295" s="88"/>
      <c r="V3295" s="89"/>
      <c r="W3295" s="96">
        <v>0</v>
      </c>
      <c r="X3295" s="71">
        <f>CU3295</f>
        <v>0</v>
      </c>
      <c r="Y3295" s="71">
        <f>CY3295</f>
        <v>0</v>
      </c>
      <c r="Z3295" s="71">
        <f>DA3295+DC3295+DE3295</f>
        <v>0</v>
      </c>
      <c r="AA3295" s="71">
        <f>CW3295</f>
        <v>0</v>
      </c>
      <c r="AB3295" s="71"/>
      <c r="AC3295" s="71">
        <v>0</v>
      </c>
      <c r="AD3295" s="71">
        <f>W3295+X3295+Y3295+Z3295+AA3295+AB3295+AC3295</f>
        <v>0</v>
      </c>
      <c r="AE3295" s="72">
        <v>0</v>
      </c>
      <c r="AF3295" s="5"/>
      <c r="AG3295" s="6"/>
      <c r="AH3295" s="27"/>
      <c r="AI3295" s="44"/>
      <c r="AJ3295" s="26"/>
      <c r="AK3295" s="5"/>
      <c r="AL3295" s="82" t="s">
        <v>6233</v>
      </c>
      <c r="AM3295" s="76"/>
      <c r="AN3295" s="76"/>
      <c r="AO3295" s="76"/>
      <c r="AP3295" s="76"/>
      <c r="AQ3295" s="76"/>
      <c r="AR3295" s="76"/>
      <c r="AS3295" s="76"/>
      <c r="AT3295" s="76"/>
      <c r="AU3295" s="76"/>
      <c r="AV3295" s="76"/>
      <c r="AW3295" s="76"/>
      <c r="AX3295" s="76">
        <f>+AW3295*600000</f>
        <v>0</v>
      </c>
      <c r="AY3295" s="76"/>
      <c r="AZ3295" s="76">
        <f>+AY3295*70000</f>
        <v>0</v>
      </c>
      <c r="BA3295" s="76"/>
      <c r="BB3295" s="76"/>
      <c r="BC3295" s="76"/>
      <c r="BD3295" s="76">
        <f>+BC3295*30000</f>
        <v>0</v>
      </c>
      <c r="BE3295" s="76"/>
      <c r="BF3295" s="76"/>
      <c r="BG3295" s="76"/>
      <c r="BH3295" s="76"/>
      <c r="BI3295" s="76"/>
      <c r="BJ3295" s="76"/>
      <c r="BK3295" s="76"/>
      <c r="BL3295" s="76">
        <f>+BK3295*31500</f>
        <v>0</v>
      </c>
      <c r="BM3295" s="76"/>
      <c r="BN3295" s="76"/>
      <c r="BO3295" s="76"/>
      <c r="BP3295" s="76"/>
      <c r="BQ3295" s="76"/>
      <c r="BR3295" s="76"/>
      <c r="BS3295" s="76"/>
      <c r="BT3295" s="76"/>
      <c r="BU3295" s="76"/>
      <c r="BV3295" s="76"/>
      <c r="BW3295" s="76"/>
      <c r="BX3295" s="76"/>
      <c r="BY3295" s="76"/>
      <c r="BZ3295" s="76"/>
      <c r="CA3295" s="76"/>
      <c r="CB3295" s="76"/>
      <c r="CC3295" s="76"/>
      <c r="CD3295" s="76"/>
      <c r="CE3295" s="76"/>
      <c r="CF3295" s="76">
        <f>+CE3295*28000</f>
        <v>0</v>
      </c>
      <c r="CG3295" s="76"/>
      <c r="CH3295" s="76">
        <f>+CG3295*22500</f>
        <v>0</v>
      </c>
      <c r="CI3295" s="76"/>
      <c r="CJ3295" s="76">
        <f>+CI3295*26000</f>
        <v>0</v>
      </c>
      <c r="CK3295" s="76"/>
      <c r="CL3295" s="76"/>
      <c r="CM3295" s="76"/>
      <c r="CN3295" s="76">
        <f>+CM3295*22000</f>
        <v>0</v>
      </c>
      <c r="CO3295" s="76"/>
      <c r="CP3295" s="76">
        <f>+CO3295*46000</f>
        <v>0</v>
      </c>
      <c r="CQ3295" s="76"/>
      <c r="CR3295" s="76">
        <f>+CQ3295*49000</f>
        <v>0</v>
      </c>
      <c r="CS3295" s="76"/>
      <c r="CT3295" s="76"/>
      <c r="CU3295" s="56">
        <f>AN3295+AP3295+AR3295+AT3295+AV3295+AX3295+AZ3295+BB3295+BD3295+BF3295+BH3295+BJ3295+BL3295+BN3295+BP3295+BR3295+BT3295+BV3295+BX3295+BZ3295+CB3295+CD3295+CF3295+CH3295+CJ3295+CL3295+CN3295+CP3295+CR3295+CT3295</f>
        <v>0</v>
      </c>
      <c r="CV3295" s="76"/>
      <c r="CW3295" s="76">
        <f>+CV3295*1100</f>
        <v>0</v>
      </c>
      <c r="CX3295" s="76"/>
      <c r="CY3295" s="76">
        <f>+CX3295*106250</f>
        <v>0</v>
      </c>
      <c r="CZ3295" s="76"/>
      <c r="DA3295" s="76">
        <f>+CZ3295*34500</f>
        <v>0</v>
      </c>
      <c r="DB3295" s="76"/>
      <c r="DC3295" s="76">
        <f>+DB3295*25000</f>
        <v>0</v>
      </c>
      <c r="DD3295" s="219"/>
      <c r="DE3295" s="219"/>
      <c r="DF3295" s="166"/>
      <c r="DG3295" s="116"/>
      <c r="DH3295" s="117"/>
      <c r="DI3295" s="24"/>
      <c r="DJ3295" s="24"/>
      <c r="DK3295" s="24"/>
      <c r="DL3295" s="24"/>
      <c r="DM3295" s="24"/>
      <c r="DN3295" s="24"/>
      <c r="DO3295" s="24"/>
      <c r="DP3295" s="24"/>
      <c r="DQ3295" s="24"/>
      <c r="DR3295" s="24"/>
      <c r="DS3295" s="24"/>
      <c r="DT3295" s="24"/>
      <c r="DU3295" s="24"/>
    </row>
    <row r="3296" spans="1:125" s="8" customFormat="1" ht="24" x14ac:dyDescent="0.2">
      <c r="A3296" s="77">
        <v>41552</v>
      </c>
      <c r="B3296" s="78" t="s">
        <v>2196</v>
      </c>
      <c r="C3296" s="75" t="s">
        <v>2112</v>
      </c>
      <c r="D3296" s="75" t="s">
        <v>2882</v>
      </c>
      <c r="E3296" s="75" t="str">
        <f>VLOOKUP(B3296&amp;C3296,Divipola!$C$2:$F$1138,4,FALSE)</f>
        <v>17524</v>
      </c>
      <c r="F3296" s="87"/>
      <c r="G3296" s="87"/>
      <c r="H3296" s="87"/>
      <c r="I3296" s="87"/>
      <c r="J3296" s="87"/>
      <c r="K3296" s="87"/>
      <c r="L3296" s="87"/>
      <c r="M3296" s="87"/>
      <c r="N3296" s="87"/>
      <c r="O3296" s="87"/>
      <c r="P3296" s="87"/>
      <c r="Q3296" s="87"/>
      <c r="R3296" s="87"/>
      <c r="S3296" s="87"/>
      <c r="T3296" s="87"/>
      <c r="U3296" s="88"/>
      <c r="V3296" s="89"/>
      <c r="W3296" s="96">
        <v>0</v>
      </c>
      <c r="X3296" s="71">
        <f>CU3296</f>
        <v>0</v>
      </c>
      <c r="Y3296" s="71">
        <f>CY3296</f>
        <v>0</v>
      </c>
      <c r="Z3296" s="71">
        <f>DA3296+DC3296+DE3296</f>
        <v>0</v>
      </c>
      <c r="AA3296" s="71">
        <f>CW3296</f>
        <v>0</v>
      </c>
      <c r="AB3296" s="71"/>
      <c r="AC3296" s="71">
        <v>0</v>
      </c>
      <c r="AD3296" s="71">
        <f>W3296+X3296+Y3296+Z3296+AA3296+AB3296+AC3296</f>
        <v>0</v>
      </c>
      <c r="AE3296" s="72">
        <v>0</v>
      </c>
      <c r="AF3296" s="5"/>
      <c r="AG3296" s="6"/>
      <c r="AH3296" s="27"/>
      <c r="AI3296" s="44"/>
      <c r="AJ3296" s="26"/>
      <c r="AK3296" s="5"/>
      <c r="AL3296" s="82" t="s">
        <v>6235</v>
      </c>
      <c r="AM3296" s="76"/>
      <c r="AN3296" s="76"/>
      <c r="AO3296" s="76"/>
      <c r="AP3296" s="76"/>
      <c r="AQ3296" s="76"/>
      <c r="AR3296" s="76"/>
      <c r="AS3296" s="76"/>
      <c r="AT3296" s="76"/>
      <c r="AU3296" s="76"/>
      <c r="AV3296" s="76"/>
      <c r="AW3296" s="76"/>
      <c r="AX3296" s="76">
        <f>+AW3296*600000</f>
        <v>0</v>
      </c>
      <c r="AY3296" s="76"/>
      <c r="AZ3296" s="76">
        <f>+AY3296*70000</f>
        <v>0</v>
      </c>
      <c r="BA3296" s="76"/>
      <c r="BB3296" s="76"/>
      <c r="BC3296" s="76"/>
      <c r="BD3296" s="76">
        <f>+BC3296*30000</f>
        <v>0</v>
      </c>
      <c r="BE3296" s="76"/>
      <c r="BF3296" s="76"/>
      <c r="BG3296" s="76"/>
      <c r="BH3296" s="76"/>
      <c r="BI3296" s="76"/>
      <c r="BJ3296" s="76"/>
      <c r="BK3296" s="76"/>
      <c r="BL3296" s="76">
        <f>+BK3296*31500</f>
        <v>0</v>
      </c>
      <c r="BM3296" s="76"/>
      <c r="BN3296" s="76"/>
      <c r="BO3296" s="76"/>
      <c r="BP3296" s="76"/>
      <c r="BQ3296" s="76"/>
      <c r="BR3296" s="76"/>
      <c r="BS3296" s="76"/>
      <c r="BT3296" s="76"/>
      <c r="BU3296" s="76"/>
      <c r="BV3296" s="76"/>
      <c r="BW3296" s="76"/>
      <c r="BX3296" s="76"/>
      <c r="BY3296" s="76"/>
      <c r="BZ3296" s="76"/>
      <c r="CA3296" s="76"/>
      <c r="CB3296" s="76"/>
      <c r="CC3296" s="76"/>
      <c r="CD3296" s="76"/>
      <c r="CE3296" s="76"/>
      <c r="CF3296" s="76">
        <f>+CE3296*28000</f>
        <v>0</v>
      </c>
      <c r="CG3296" s="76"/>
      <c r="CH3296" s="76">
        <f>+CG3296*22500</f>
        <v>0</v>
      </c>
      <c r="CI3296" s="76"/>
      <c r="CJ3296" s="76">
        <f>+CI3296*26000</f>
        <v>0</v>
      </c>
      <c r="CK3296" s="76"/>
      <c r="CL3296" s="76"/>
      <c r="CM3296" s="76"/>
      <c r="CN3296" s="76">
        <f>+CM3296*22000</f>
        <v>0</v>
      </c>
      <c r="CO3296" s="76"/>
      <c r="CP3296" s="76">
        <f>+CO3296*46000</f>
        <v>0</v>
      </c>
      <c r="CQ3296" s="76"/>
      <c r="CR3296" s="76">
        <f>+CQ3296*49000</f>
        <v>0</v>
      </c>
      <c r="CS3296" s="76"/>
      <c r="CT3296" s="76"/>
      <c r="CU3296" s="56">
        <f>AN3296+AP3296+AR3296+AT3296+AV3296+AX3296+AZ3296+BB3296+BD3296+BF3296+BH3296+BJ3296+BL3296+BN3296+BP3296+BR3296+BT3296+BV3296+BX3296+BZ3296+CB3296+CD3296+CF3296+CH3296+CJ3296+CL3296+CN3296+CP3296+CR3296+CT3296</f>
        <v>0</v>
      </c>
      <c r="CV3296" s="76"/>
      <c r="CW3296" s="76">
        <f>+CV3296*1100</f>
        <v>0</v>
      </c>
      <c r="CX3296" s="76"/>
      <c r="CY3296" s="76">
        <f>+CX3296*106250</f>
        <v>0</v>
      </c>
      <c r="CZ3296" s="76"/>
      <c r="DA3296" s="76">
        <f>+CZ3296*34500</f>
        <v>0</v>
      </c>
      <c r="DB3296" s="76"/>
      <c r="DC3296" s="76">
        <f>+DB3296*25000</f>
        <v>0</v>
      </c>
      <c r="DD3296" s="219"/>
      <c r="DE3296" s="219"/>
      <c r="DF3296" s="166"/>
      <c r="DG3296" s="116"/>
      <c r="DH3296" s="117"/>
      <c r="DI3296" s="24"/>
      <c r="DJ3296" s="24"/>
      <c r="DK3296" s="24"/>
      <c r="DL3296" s="24"/>
      <c r="DM3296" s="24"/>
      <c r="DN3296" s="24"/>
      <c r="DO3296" s="24"/>
      <c r="DP3296" s="24"/>
      <c r="DQ3296" s="24"/>
      <c r="DR3296" s="24"/>
      <c r="DS3296" s="24"/>
      <c r="DT3296" s="24"/>
      <c r="DU3296" s="24"/>
    </row>
    <row r="3297" spans="1:125" s="8" customFormat="1" ht="36" x14ac:dyDescent="0.2">
      <c r="A3297" s="353">
        <v>41552</v>
      </c>
      <c r="B3297" s="352" t="s">
        <v>2855</v>
      </c>
      <c r="C3297" s="354" t="s">
        <v>503</v>
      </c>
      <c r="D3297" s="354" t="s">
        <v>3051</v>
      </c>
      <c r="E3297" s="75" t="str">
        <f>VLOOKUP(B3297&amp;C3297,Divipola!$C$2:$F$1138,4,FALSE)</f>
        <v>20175</v>
      </c>
      <c r="F3297" s="87"/>
      <c r="G3297" s="87"/>
      <c r="H3297" s="87"/>
      <c r="I3297" s="87">
        <v>10</v>
      </c>
      <c r="J3297" s="87">
        <v>2</v>
      </c>
      <c r="K3297" s="87">
        <v>2</v>
      </c>
      <c r="L3297" s="87"/>
      <c r="M3297" s="87"/>
      <c r="N3297" s="87"/>
      <c r="O3297" s="87"/>
      <c r="P3297" s="87"/>
      <c r="Q3297" s="87"/>
      <c r="R3297" s="87"/>
      <c r="S3297" s="87"/>
      <c r="T3297" s="87"/>
      <c r="U3297" s="88"/>
      <c r="V3297" s="89"/>
      <c r="W3297" s="96">
        <v>0</v>
      </c>
      <c r="X3297" s="71">
        <f>CU3297</f>
        <v>0</v>
      </c>
      <c r="Y3297" s="71">
        <f>CY3297</f>
        <v>0</v>
      </c>
      <c r="Z3297" s="71">
        <f>DA3297+DC3297+DE3297</f>
        <v>0</v>
      </c>
      <c r="AA3297" s="71">
        <f>CW3297</f>
        <v>0</v>
      </c>
      <c r="AB3297" s="71"/>
      <c r="AC3297" s="71">
        <v>0</v>
      </c>
      <c r="AD3297" s="71">
        <f>W3297+X3297+Y3297+Z3297+AA3297+AB3297+AC3297</f>
        <v>0</v>
      </c>
      <c r="AE3297" s="72">
        <v>0</v>
      </c>
      <c r="AF3297" s="5"/>
      <c r="AG3297" s="6"/>
      <c r="AH3297" s="27"/>
      <c r="AI3297" s="44"/>
      <c r="AJ3297" s="26"/>
      <c r="AK3297" s="5"/>
      <c r="AL3297" s="82" t="s">
        <v>6232</v>
      </c>
      <c r="AM3297" s="76"/>
      <c r="AN3297" s="76"/>
      <c r="AO3297" s="76"/>
      <c r="AP3297" s="76"/>
      <c r="AQ3297" s="76"/>
      <c r="AR3297" s="76"/>
      <c r="AS3297" s="76"/>
      <c r="AT3297" s="76"/>
      <c r="AU3297" s="76"/>
      <c r="AV3297" s="76"/>
      <c r="AW3297" s="76"/>
      <c r="AX3297" s="76">
        <f>+AW3297*600000</f>
        <v>0</v>
      </c>
      <c r="AY3297" s="76"/>
      <c r="AZ3297" s="76">
        <f>+AY3297*70000</f>
        <v>0</v>
      </c>
      <c r="BA3297" s="76"/>
      <c r="BB3297" s="76"/>
      <c r="BC3297" s="76"/>
      <c r="BD3297" s="76">
        <f>+BC3297*30000</f>
        <v>0</v>
      </c>
      <c r="BE3297" s="76"/>
      <c r="BF3297" s="76"/>
      <c r="BG3297" s="76"/>
      <c r="BH3297" s="76"/>
      <c r="BI3297" s="76"/>
      <c r="BJ3297" s="76"/>
      <c r="BK3297" s="76"/>
      <c r="BL3297" s="76">
        <f>+BK3297*31500</f>
        <v>0</v>
      </c>
      <c r="BM3297" s="76"/>
      <c r="BN3297" s="76"/>
      <c r="BO3297" s="76"/>
      <c r="BP3297" s="76"/>
      <c r="BQ3297" s="76"/>
      <c r="BR3297" s="76"/>
      <c r="BS3297" s="76"/>
      <c r="BT3297" s="76"/>
      <c r="BU3297" s="76"/>
      <c r="BV3297" s="76"/>
      <c r="BW3297" s="76"/>
      <c r="BX3297" s="76"/>
      <c r="BY3297" s="76"/>
      <c r="BZ3297" s="76"/>
      <c r="CA3297" s="76"/>
      <c r="CB3297" s="76"/>
      <c r="CC3297" s="76"/>
      <c r="CD3297" s="76"/>
      <c r="CE3297" s="76"/>
      <c r="CF3297" s="76">
        <f>+CE3297*28000</f>
        <v>0</v>
      </c>
      <c r="CG3297" s="76"/>
      <c r="CH3297" s="76">
        <f>+CG3297*22500</f>
        <v>0</v>
      </c>
      <c r="CI3297" s="76"/>
      <c r="CJ3297" s="76">
        <f>+CI3297*26000</f>
        <v>0</v>
      </c>
      <c r="CK3297" s="76"/>
      <c r="CL3297" s="76"/>
      <c r="CM3297" s="76"/>
      <c r="CN3297" s="76">
        <f>+CM3297*22000</f>
        <v>0</v>
      </c>
      <c r="CO3297" s="76"/>
      <c r="CP3297" s="76">
        <f>+CO3297*46000</f>
        <v>0</v>
      </c>
      <c r="CQ3297" s="76"/>
      <c r="CR3297" s="76">
        <f>+CQ3297*49000</f>
        <v>0</v>
      </c>
      <c r="CS3297" s="76"/>
      <c r="CT3297" s="76"/>
      <c r="CU3297" s="56">
        <f>AN3297+AP3297+AR3297+AT3297+AV3297+AX3297+AZ3297+BB3297+BD3297+BF3297+BH3297+BJ3297+BL3297+BN3297+BP3297+BR3297+BT3297+BV3297+BX3297+BZ3297+CB3297+CD3297+CF3297+CH3297+CJ3297+CL3297+CN3297+CP3297+CR3297+CT3297</f>
        <v>0</v>
      </c>
      <c r="CV3297" s="76"/>
      <c r="CW3297" s="76">
        <f>+CV3297*1100</f>
        <v>0</v>
      </c>
      <c r="CX3297" s="76"/>
      <c r="CY3297" s="76">
        <f>+CX3297*106250</f>
        <v>0</v>
      </c>
      <c r="CZ3297" s="76"/>
      <c r="DA3297" s="76">
        <f>+CZ3297*34500</f>
        <v>0</v>
      </c>
      <c r="DB3297" s="76"/>
      <c r="DC3297" s="76">
        <f>+DB3297*25000</f>
        <v>0</v>
      </c>
      <c r="DD3297" s="219"/>
      <c r="DE3297" s="219"/>
      <c r="DF3297" s="166"/>
      <c r="DG3297" s="116"/>
      <c r="DH3297" s="117"/>
      <c r="DI3297" s="24"/>
      <c r="DJ3297" s="24"/>
      <c r="DK3297" s="24"/>
      <c r="DL3297" s="24"/>
      <c r="DM3297" s="24"/>
      <c r="DN3297" s="24"/>
      <c r="DO3297" s="24"/>
      <c r="DP3297" s="24"/>
      <c r="DQ3297" s="24"/>
      <c r="DR3297" s="24"/>
      <c r="DS3297" s="24"/>
      <c r="DT3297" s="24"/>
      <c r="DU3297" s="24"/>
    </row>
    <row r="3298" spans="1:125" s="8" customFormat="1" ht="48" x14ac:dyDescent="0.2">
      <c r="A3298" s="77">
        <v>41552</v>
      </c>
      <c r="B3298" s="78" t="s">
        <v>2772</v>
      </c>
      <c r="C3298" s="83" t="s">
        <v>2030</v>
      </c>
      <c r="D3298" s="75" t="s">
        <v>2846</v>
      </c>
      <c r="E3298" s="75" t="str">
        <f>VLOOKUP(B3298&amp;C3298,Divipola!$C$2:$F$1138,4,FALSE)</f>
        <v>25754</v>
      </c>
      <c r="F3298" s="93"/>
      <c r="G3298" s="93"/>
      <c r="H3298" s="93"/>
      <c r="I3298" s="93"/>
      <c r="J3298" s="93"/>
      <c r="K3298" s="93"/>
      <c r="L3298" s="93"/>
      <c r="M3298" s="93"/>
      <c r="N3298" s="93"/>
      <c r="O3298" s="93"/>
      <c r="P3298" s="93"/>
      <c r="Q3298" s="93"/>
      <c r="R3298" s="93"/>
      <c r="S3298" s="93"/>
      <c r="T3298" s="93"/>
      <c r="U3298" s="93"/>
      <c r="V3298" s="89"/>
      <c r="W3298" s="96">
        <v>0</v>
      </c>
      <c r="X3298" s="71">
        <f>CU3298</f>
        <v>0</v>
      </c>
      <c r="Y3298" s="71">
        <f>CY3298</f>
        <v>0</v>
      </c>
      <c r="Z3298" s="71">
        <f>DA3298+DC3298+DE3298</f>
        <v>0</v>
      </c>
      <c r="AA3298" s="71">
        <f>CW3298</f>
        <v>0</v>
      </c>
      <c r="AB3298" s="71"/>
      <c r="AC3298" s="71">
        <v>0</v>
      </c>
      <c r="AD3298" s="71">
        <f>W3298+X3298+Y3298+Z3298+AA3298+AB3298+AC3298</f>
        <v>0</v>
      </c>
      <c r="AE3298" s="72">
        <v>0</v>
      </c>
      <c r="AF3298" s="5"/>
      <c r="AG3298" s="6"/>
      <c r="AH3298" s="27"/>
      <c r="AI3298" s="44"/>
      <c r="AJ3298" s="26"/>
      <c r="AK3298" s="5"/>
      <c r="AL3298" s="82" t="s">
        <v>6237</v>
      </c>
      <c r="AM3298" s="76"/>
      <c r="AN3298" s="76"/>
      <c r="AO3298" s="76"/>
      <c r="AP3298" s="76"/>
      <c r="AQ3298" s="76"/>
      <c r="AR3298" s="76"/>
      <c r="AS3298" s="76"/>
      <c r="AT3298" s="76"/>
      <c r="AU3298" s="76"/>
      <c r="AV3298" s="76"/>
      <c r="AW3298" s="76"/>
      <c r="AX3298" s="76">
        <f>+AW3298*600000</f>
        <v>0</v>
      </c>
      <c r="AY3298" s="76"/>
      <c r="AZ3298" s="76">
        <f>+AY3298*70000</f>
        <v>0</v>
      </c>
      <c r="BA3298" s="76"/>
      <c r="BB3298" s="76"/>
      <c r="BC3298" s="76"/>
      <c r="BD3298" s="76">
        <f>+BC3298*30000</f>
        <v>0</v>
      </c>
      <c r="BE3298" s="76"/>
      <c r="BF3298" s="76"/>
      <c r="BG3298" s="76"/>
      <c r="BH3298" s="76"/>
      <c r="BI3298" s="76"/>
      <c r="BJ3298" s="76"/>
      <c r="BK3298" s="76"/>
      <c r="BL3298" s="76">
        <f>+BK3298*31500</f>
        <v>0</v>
      </c>
      <c r="BM3298" s="76"/>
      <c r="BN3298" s="76"/>
      <c r="BO3298" s="76"/>
      <c r="BP3298" s="76"/>
      <c r="BQ3298" s="76"/>
      <c r="BR3298" s="76"/>
      <c r="BS3298" s="76"/>
      <c r="BT3298" s="76"/>
      <c r="BU3298" s="76"/>
      <c r="BV3298" s="76"/>
      <c r="BW3298" s="76"/>
      <c r="BX3298" s="76"/>
      <c r="BY3298" s="76"/>
      <c r="BZ3298" s="76"/>
      <c r="CA3298" s="76"/>
      <c r="CB3298" s="76"/>
      <c r="CC3298" s="76"/>
      <c r="CD3298" s="76"/>
      <c r="CE3298" s="76"/>
      <c r="CF3298" s="76">
        <f>+CE3298*28000</f>
        <v>0</v>
      </c>
      <c r="CG3298" s="76"/>
      <c r="CH3298" s="76">
        <f>+CG3298*22500</f>
        <v>0</v>
      </c>
      <c r="CI3298" s="76"/>
      <c r="CJ3298" s="76">
        <f>+CI3298*26000</f>
        <v>0</v>
      </c>
      <c r="CK3298" s="76"/>
      <c r="CL3298" s="76"/>
      <c r="CM3298" s="76"/>
      <c r="CN3298" s="76">
        <f>+CM3298*22000</f>
        <v>0</v>
      </c>
      <c r="CO3298" s="76"/>
      <c r="CP3298" s="76">
        <f>+CO3298*46000</f>
        <v>0</v>
      </c>
      <c r="CQ3298" s="76"/>
      <c r="CR3298" s="76">
        <f>+CQ3298*49000</f>
        <v>0</v>
      </c>
      <c r="CS3298" s="76"/>
      <c r="CT3298" s="76"/>
      <c r="CU3298" s="56">
        <f>AN3298+AP3298+AR3298+AT3298+AV3298+AX3298+AZ3298+BB3298+BD3298+BF3298+BH3298+BJ3298+BL3298+BN3298+BP3298+BR3298+BT3298+BV3298+BX3298+BZ3298+CB3298+CD3298+CF3298+CH3298+CJ3298+CL3298+CN3298+CP3298+CR3298+CT3298</f>
        <v>0</v>
      </c>
      <c r="CV3298" s="76"/>
      <c r="CW3298" s="76">
        <f>+CV3298*1100</f>
        <v>0</v>
      </c>
      <c r="CX3298" s="76"/>
      <c r="CY3298" s="76">
        <f>+CX3298*106250</f>
        <v>0</v>
      </c>
      <c r="CZ3298" s="76"/>
      <c r="DA3298" s="76">
        <f>+CZ3298*34500</f>
        <v>0</v>
      </c>
      <c r="DB3298" s="76"/>
      <c r="DC3298" s="76">
        <f>+DB3298*25000</f>
        <v>0</v>
      </c>
      <c r="DD3298" s="219"/>
      <c r="DE3298" s="219"/>
      <c r="DF3298" s="166"/>
      <c r="DG3298" s="116"/>
      <c r="DH3298" s="117"/>
      <c r="DI3298" s="24"/>
      <c r="DJ3298" s="24"/>
      <c r="DK3298" s="24"/>
      <c r="DL3298" s="24"/>
      <c r="DM3298" s="24"/>
      <c r="DN3298" s="24"/>
      <c r="DO3298" s="24"/>
      <c r="DP3298" s="24"/>
      <c r="DQ3298" s="24"/>
      <c r="DR3298" s="24"/>
      <c r="DS3298" s="24"/>
      <c r="DT3298" s="24"/>
      <c r="DU3298" s="24"/>
    </row>
    <row r="3299" spans="1:125" s="8" customFormat="1" ht="132" x14ac:dyDescent="0.2">
      <c r="A3299" s="77">
        <v>41552</v>
      </c>
      <c r="B3299" s="75" t="s">
        <v>2772</v>
      </c>
      <c r="C3299" s="75" t="s">
        <v>1199</v>
      </c>
      <c r="D3299" s="75" t="s">
        <v>2882</v>
      </c>
      <c r="E3299" s="75" t="str">
        <f>VLOOKUP(B3299&amp;C3299,Divipola!$C$2:$F$1138,4,FALSE)</f>
        <v>25871</v>
      </c>
      <c r="F3299" s="93"/>
      <c r="G3299" s="93"/>
      <c r="H3299" s="93"/>
      <c r="I3299" s="93">
        <v>56</v>
      </c>
      <c r="J3299" s="93">
        <v>14</v>
      </c>
      <c r="K3299" s="93"/>
      <c r="L3299" s="93">
        <v>7</v>
      </c>
      <c r="M3299" s="93">
        <v>1</v>
      </c>
      <c r="N3299" s="93"/>
      <c r="O3299" s="93"/>
      <c r="P3299" s="93"/>
      <c r="Q3299" s="93"/>
      <c r="R3299" s="93"/>
      <c r="S3299" s="93"/>
      <c r="T3299" s="93"/>
      <c r="U3299" s="93"/>
      <c r="V3299" s="93"/>
      <c r="W3299" s="96">
        <v>0</v>
      </c>
      <c r="X3299" s="71">
        <f>CU3299</f>
        <v>0</v>
      </c>
      <c r="Y3299" s="71">
        <f>CY3299</f>
        <v>0</v>
      </c>
      <c r="Z3299" s="71">
        <f>DA3299+DC3299+DE3299</f>
        <v>0</v>
      </c>
      <c r="AA3299" s="71">
        <f>CW3299</f>
        <v>0</v>
      </c>
      <c r="AB3299" s="71"/>
      <c r="AC3299" s="71">
        <v>0</v>
      </c>
      <c r="AD3299" s="71">
        <f>W3299+X3299+Y3299+Z3299+AA3299+AB3299+AC3299</f>
        <v>0</v>
      </c>
      <c r="AE3299" s="72">
        <v>0</v>
      </c>
      <c r="AF3299" s="5"/>
      <c r="AG3299" s="6"/>
      <c r="AH3299" s="27"/>
      <c r="AI3299" s="44"/>
      <c r="AJ3299" s="26"/>
      <c r="AK3299" s="5"/>
      <c r="AL3299" s="268" t="s">
        <v>6274</v>
      </c>
      <c r="AM3299" s="76"/>
      <c r="AN3299" s="76"/>
      <c r="AO3299" s="76"/>
      <c r="AP3299" s="76"/>
      <c r="AQ3299" s="76"/>
      <c r="AR3299" s="76"/>
      <c r="AS3299" s="76"/>
      <c r="AT3299" s="76"/>
      <c r="AU3299" s="76"/>
      <c r="AV3299" s="76"/>
      <c r="AW3299" s="76"/>
      <c r="AX3299" s="76">
        <f>+AW3299*600000</f>
        <v>0</v>
      </c>
      <c r="AY3299" s="76"/>
      <c r="AZ3299" s="76">
        <f>+AY3299*70000</f>
        <v>0</v>
      </c>
      <c r="BA3299" s="76"/>
      <c r="BB3299" s="76"/>
      <c r="BC3299" s="76"/>
      <c r="BD3299" s="76">
        <f>+BC3299*30000</f>
        <v>0</v>
      </c>
      <c r="BE3299" s="76"/>
      <c r="BF3299" s="76"/>
      <c r="BG3299" s="76"/>
      <c r="BH3299" s="76"/>
      <c r="BI3299" s="76"/>
      <c r="BJ3299" s="76"/>
      <c r="BK3299" s="76"/>
      <c r="BL3299" s="76">
        <f>+BK3299*31500</f>
        <v>0</v>
      </c>
      <c r="BM3299" s="76"/>
      <c r="BN3299" s="76"/>
      <c r="BO3299" s="76"/>
      <c r="BP3299" s="76"/>
      <c r="BQ3299" s="76"/>
      <c r="BR3299" s="76"/>
      <c r="BS3299" s="76"/>
      <c r="BT3299" s="76"/>
      <c r="BU3299" s="76"/>
      <c r="BV3299" s="76"/>
      <c r="BW3299" s="76"/>
      <c r="BX3299" s="76"/>
      <c r="BY3299" s="76"/>
      <c r="BZ3299" s="76"/>
      <c r="CA3299" s="76"/>
      <c r="CB3299" s="76"/>
      <c r="CC3299" s="76"/>
      <c r="CD3299" s="76"/>
      <c r="CE3299" s="76"/>
      <c r="CF3299" s="76">
        <f>+CE3299*28000</f>
        <v>0</v>
      </c>
      <c r="CG3299" s="76"/>
      <c r="CH3299" s="76">
        <f>+CG3299*22500</f>
        <v>0</v>
      </c>
      <c r="CI3299" s="76"/>
      <c r="CJ3299" s="76">
        <f>+CI3299*26000</f>
        <v>0</v>
      </c>
      <c r="CK3299" s="76"/>
      <c r="CL3299" s="76"/>
      <c r="CM3299" s="76"/>
      <c r="CN3299" s="76">
        <f>+CM3299*22000</f>
        <v>0</v>
      </c>
      <c r="CO3299" s="76"/>
      <c r="CP3299" s="76">
        <f>+CO3299*46000</f>
        <v>0</v>
      </c>
      <c r="CQ3299" s="76"/>
      <c r="CR3299" s="76">
        <f>+CQ3299*49000</f>
        <v>0</v>
      </c>
      <c r="CS3299" s="76"/>
      <c r="CT3299" s="76"/>
      <c r="CU3299" s="56">
        <f>AN3299+AP3299+AR3299+AT3299+AV3299+AX3299+AZ3299+BB3299+BD3299+BF3299+BH3299+BJ3299+BL3299+BN3299+BP3299+BR3299+BT3299+BV3299+BX3299+BZ3299+CB3299+CD3299+CF3299+CH3299+CJ3299+CL3299+CN3299+CP3299+CR3299+CT3299</f>
        <v>0</v>
      </c>
      <c r="CV3299" s="76"/>
      <c r="CW3299" s="76">
        <f>+CV3299*1100</f>
        <v>0</v>
      </c>
      <c r="CX3299" s="76"/>
      <c r="CY3299" s="76">
        <f>+CX3299*106250</f>
        <v>0</v>
      </c>
      <c r="CZ3299" s="76"/>
      <c r="DA3299" s="76">
        <f>+CZ3299*34500</f>
        <v>0</v>
      </c>
      <c r="DB3299" s="76"/>
      <c r="DC3299" s="76">
        <f>+DB3299*25000</f>
        <v>0</v>
      </c>
      <c r="DD3299" s="219"/>
      <c r="DE3299" s="219"/>
      <c r="DF3299" s="166"/>
      <c r="DG3299" s="116"/>
      <c r="DH3299" s="117"/>
      <c r="DI3299" s="24"/>
      <c r="DJ3299" s="24"/>
      <c r="DK3299" s="24"/>
      <c r="DL3299" s="24"/>
      <c r="DM3299" s="24"/>
      <c r="DN3299" s="24"/>
      <c r="DO3299" s="24"/>
      <c r="DP3299" s="24"/>
      <c r="DQ3299" s="24"/>
      <c r="DR3299" s="24"/>
      <c r="DS3299" s="24"/>
      <c r="DT3299" s="24"/>
      <c r="DU3299" s="24"/>
    </row>
    <row r="3300" spans="1:125" s="8" customFormat="1" ht="48" x14ac:dyDescent="0.2">
      <c r="A3300" s="77">
        <v>41552</v>
      </c>
      <c r="B3300" s="78" t="s">
        <v>2661</v>
      </c>
      <c r="C3300" s="75" t="s">
        <v>2169</v>
      </c>
      <c r="D3300" s="75" t="s">
        <v>2846</v>
      </c>
      <c r="E3300" s="75" t="str">
        <f>VLOOKUP(B3300&amp;C3300,Divipola!$C$2:$F$1138,4,FALSE)</f>
        <v>41001</v>
      </c>
      <c r="F3300" s="87"/>
      <c r="G3300" s="87"/>
      <c r="H3300" s="87"/>
      <c r="I3300" s="87"/>
      <c r="J3300" s="87"/>
      <c r="K3300" s="87"/>
      <c r="L3300" s="87"/>
      <c r="M3300" s="87"/>
      <c r="N3300" s="87"/>
      <c r="O3300" s="87"/>
      <c r="P3300" s="87"/>
      <c r="Q3300" s="87"/>
      <c r="R3300" s="87"/>
      <c r="S3300" s="87"/>
      <c r="T3300" s="87"/>
      <c r="U3300" s="88">
        <v>10</v>
      </c>
      <c r="V3300" s="89"/>
      <c r="W3300" s="96">
        <v>0</v>
      </c>
      <c r="X3300" s="71">
        <f>CU3300</f>
        <v>0</v>
      </c>
      <c r="Y3300" s="71">
        <f>CY3300</f>
        <v>0</v>
      </c>
      <c r="Z3300" s="71">
        <f>DA3300+DC3300+DE3300</f>
        <v>0</v>
      </c>
      <c r="AA3300" s="71">
        <f>CW3300</f>
        <v>0</v>
      </c>
      <c r="AB3300" s="71"/>
      <c r="AC3300" s="71">
        <v>0</v>
      </c>
      <c r="AD3300" s="71">
        <f>W3300+X3300+Y3300+Z3300+AA3300+AB3300+AC3300</f>
        <v>0</v>
      </c>
      <c r="AE3300" s="72">
        <v>0</v>
      </c>
      <c r="AF3300" s="5"/>
      <c r="AG3300" s="6"/>
      <c r="AH3300" s="27"/>
      <c r="AI3300" s="44"/>
      <c r="AJ3300" s="26"/>
      <c r="AK3300" s="5"/>
      <c r="AL3300" s="274" t="s">
        <v>6239</v>
      </c>
      <c r="AM3300" s="76"/>
      <c r="AN3300" s="76"/>
      <c r="AO3300" s="76"/>
      <c r="AP3300" s="76"/>
      <c r="AQ3300" s="76"/>
      <c r="AR3300" s="76"/>
      <c r="AS3300" s="76"/>
      <c r="AT3300" s="76"/>
      <c r="AU3300" s="76"/>
      <c r="AV3300" s="76"/>
      <c r="AW3300" s="76"/>
      <c r="AX3300" s="76">
        <f>+AW3300*600000</f>
        <v>0</v>
      </c>
      <c r="AY3300" s="76"/>
      <c r="AZ3300" s="76">
        <f>+AY3300*70000</f>
        <v>0</v>
      </c>
      <c r="BA3300" s="76"/>
      <c r="BB3300" s="76"/>
      <c r="BC3300" s="76"/>
      <c r="BD3300" s="76">
        <f>+BC3300*30000</f>
        <v>0</v>
      </c>
      <c r="BE3300" s="76"/>
      <c r="BF3300" s="76"/>
      <c r="BG3300" s="76"/>
      <c r="BH3300" s="76"/>
      <c r="BI3300" s="76"/>
      <c r="BJ3300" s="76"/>
      <c r="BK3300" s="76"/>
      <c r="BL3300" s="76">
        <f>+BK3300*31500</f>
        <v>0</v>
      </c>
      <c r="BM3300" s="76"/>
      <c r="BN3300" s="76"/>
      <c r="BO3300" s="76"/>
      <c r="BP3300" s="76"/>
      <c r="BQ3300" s="76"/>
      <c r="BR3300" s="76"/>
      <c r="BS3300" s="76"/>
      <c r="BT3300" s="76"/>
      <c r="BU3300" s="76"/>
      <c r="BV3300" s="76"/>
      <c r="BW3300" s="76"/>
      <c r="BX3300" s="76"/>
      <c r="BY3300" s="76"/>
      <c r="BZ3300" s="76"/>
      <c r="CA3300" s="76"/>
      <c r="CB3300" s="76"/>
      <c r="CC3300" s="76"/>
      <c r="CD3300" s="76"/>
      <c r="CE3300" s="76"/>
      <c r="CF3300" s="76">
        <f>+CE3300*28000</f>
        <v>0</v>
      </c>
      <c r="CG3300" s="76"/>
      <c r="CH3300" s="76">
        <f>+CG3300*22500</f>
        <v>0</v>
      </c>
      <c r="CI3300" s="76"/>
      <c r="CJ3300" s="76">
        <f>+CI3300*26000</f>
        <v>0</v>
      </c>
      <c r="CK3300" s="76"/>
      <c r="CL3300" s="76"/>
      <c r="CM3300" s="76"/>
      <c r="CN3300" s="76">
        <f>+CM3300*22000</f>
        <v>0</v>
      </c>
      <c r="CO3300" s="76"/>
      <c r="CP3300" s="76">
        <f>+CO3300*46000</f>
        <v>0</v>
      </c>
      <c r="CQ3300" s="76"/>
      <c r="CR3300" s="76">
        <f>+CQ3300*49000</f>
        <v>0</v>
      </c>
      <c r="CS3300" s="76"/>
      <c r="CT3300" s="76"/>
      <c r="CU3300" s="56">
        <f>AN3300+AP3300+AR3300+AT3300+AV3300+AX3300+AZ3300+BB3300+BD3300+BF3300+BH3300+BJ3300+BL3300+BN3300+BP3300+BR3300+BT3300+BV3300+BX3300+BZ3300+CB3300+CD3300+CF3300+CH3300+CJ3300+CL3300+CN3300+CP3300+CR3300+CT3300</f>
        <v>0</v>
      </c>
      <c r="CV3300" s="76"/>
      <c r="CW3300" s="76">
        <f>+CV3300*1100</f>
        <v>0</v>
      </c>
      <c r="CX3300" s="76"/>
      <c r="CY3300" s="76">
        <f>+CX3300*106250</f>
        <v>0</v>
      </c>
      <c r="CZ3300" s="76"/>
      <c r="DA3300" s="76">
        <f>+CZ3300*34500</f>
        <v>0</v>
      </c>
      <c r="DB3300" s="76"/>
      <c r="DC3300" s="76">
        <f>+DB3300*25000</f>
        <v>0</v>
      </c>
      <c r="DD3300" s="219"/>
      <c r="DE3300" s="219"/>
      <c r="DF3300" s="166"/>
      <c r="DG3300" s="116"/>
      <c r="DH3300" s="117"/>
      <c r="DI3300" s="24"/>
      <c r="DJ3300" s="24"/>
      <c r="DK3300" s="24"/>
      <c r="DL3300" s="24"/>
      <c r="DM3300" s="24"/>
      <c r="DN3300" s="24"/>
      <c r="DO3300" s="24"/>
      <c r="DP3300" s="24"/>
      <c r="DQ3300" s="24"/>
      <c r="DR3300" s="24"/>
      <c r="DS3300" s="24"/>
      <c r="DT3300" s="24"/>
      <c r="DU3300" s="24"/>
    </row>
    <row r="3301" spans="1:125" s="8" customFormat="1" ht="48" x14ac:dyDescent="0.2">
      <c r="A3301" s="353">
        <v>41552</v>
      </c>
      <c r="B3301" s="352" t="s">
        <v>2906</v>
      </c>
      <c r="C3301" s="354" t="s">
        <v>421</v>
      </c>
      <c r="D3301" s="354" t="s">
        <v>3051</v>
      </c>
      <c r="E3301" s="75" t="str">
        <f>VLOOKUP(B3301&amp;C3301,Divipola!$C$2:$F$1138,4,FALSE)</f>
        <v>47058</v>
      </c>
      <c r="F3301" s="87"/>
      <c r="G3301" s="87"/>
      <c r="H3301" s="87"/>
      <c r="I3301" s="87">
        <v>25</v>
      </c>
      <c r="J3301" s="87">
        <v>5</v>
      </c>
      <c r="K3301" s="87">
        <v>5</v>
      </c>
      <c r="L3301" s="87"/>
      <c r="M3301" s="87"/>
      <c r="N3301" s="87"/>
      <c r="O3301" s="87"/>
      <c r="P3301" s="87"/>
      <c r="Q3301" s="87"/>
      <c r="R3301" s="87"/>
      <c r="S3301" s="87"/>
      <c r="T3301" s="87"/>
      <c r="U3301" s="88"/>
      <c r="V3301" s="89"/>
      <c r="W3301" s="96">
        <v>0</v>
      </c>
      <c r="X3301" s="71">
        <f>CU3301</f>
        <v>0</v>
      </c>
      <c r="Y3301" s="71">
        <f>CY3301</f>
        <v>0</v>
      </c>
      <c r="Z3301" s="71">
        <f>DA3301+DC3301+DE3301</f>
        <v>0</v>
      </c>
      <c r="AA3301" s="71">
        <f>CW3301</f>
        <v>0</v>
      </c>
      <c r="AB3301" s="71"/>
      <c r="AC3301" s="71">
        <v>0</v>
      </c>
      <c r="AD3301" s="71">
        <f>W3301+X3301+Y3301+Z3301+AA3301+AB3301+AC3301</f>
        <v>0</v>
      </c>
      <c r="AE3301" s="72">
        <v>0</v>
      </c>
      <c r="AF3301" s="5"/>
      <c r="AG3301" s="6"/>
      <c r="AH3301" s="27"/>
      <c r="AI3301" s="44"/>
      <c r="AJ3301" s="26"/>
      <c r="AK3301" s="5"/>
      <c r="AL3301" s="82" t="s">
        <v>6231</v>
      </c>
      <c r="AM3301" s="76"/>
      <c r="AN3301" s="76"/>
      <c r="AO3301" s="76"/>
      <c r="AP3301" s="76"/>
      <c r="AQ3301" s="76"/>
      <c r="AR3301" s="76"/>
      <c r="AS3301" s="76"/>
      <c r="AT3301" s="76"/>
      <c r="AU3301" s="76"/>
      <c r="AV3301" s="76"/>
      <c r="AW3301" s="76"/>
      <c r="AX3301" s="76">
        <f>+AW3301*600000</f>
        <v>0</v>
      </c>
      <c r="AY3301" s="76"/>
      <c r="AZ3301" s="76">
        <f>+AY3301*70000</f>
        <v>0</v>
      </c>
      <c r="BA3301" s="76"/>
      <c r="BB3301" s="76"/>
      <c r="BC3301" s="76"/>
      <c r="BD3301" s="76">
        <f>+BC3301*30000</f>
        <v>0</v>
      </c>
      <c r="BE3301" s="76"/>
      <c r="BF3301" s="76"/>
      <c r="BG3301" s="76"/>
      <c r="BH3301" s="76"/>
      <c r="BI3301" s="76"/>
      <c r="BJ3301" s="76"/>
      <c r="BK3301" s="76"/>
      <c r="BL3301" s="76">
        <f>+BK3301*31500</f>
        <v>0</v>
      </c>
      <c r="BM3301" s="76"/>
      <c r="BN3301" s="76"/>
      <c r="BO3301" s="76"/>
      <c r="BP3301" s="76"/>
      <c r="BQ3301" s="76"/>
      <c r="BR3301" s="76"/>
      <c r="BS3301" s="76"/>
      <c r="BT3301" s="76"/>
      <c r="BU3301" s="76"/>
      <c r="BV3301" s="76"/>
      <c r="BW3301" s="76"/>
      <c r="BX3301" s="76"/>
      <c r="BY3301" s="76"/>
      <c r="BZ3301" s="76"/>
      <c r="CA3301" s="76"/>
      <c r="CB3301" s="76"/>
      <c r="CC3301" s="76"/>
      <c r="CD3301" s="76"/>
      <c r="CE3301" s="76"/>
      <c r="CF3301" s="76">
        <f>+CE3301*28000</f>
        <v>0</v>
      </c>
      <c r="CG3301" s="76"/>
      <c r="CH3301" s="76">
        <f>+CG3301*22500</f>
        <v>0</v>
      </c>
      <c r="CI3301" s="76"/>
      <c r="CJ3301" s="76">
        <f>+CI3301*26000</f>
        <v>0</v>
      </c>
      <c r="CK3301" s="76"/>
      <c r="CL3301" s="76"/>
      <c r="CM3301" s="76"/>
      <c r="CN3301" s="76">
        <f>+CM3301*22000</f>
        <v>0</v>
      </c>
      <c r="CO3301" s="76"/>
      <c r="CP3301" s="76">
        <f>+CO3301*46000</f>
        <v>0</v>
      </c>
      <c r="CQ3301" s="76"/>
      <c r="CR3301" s="76">
        <f>+CQ3301*49000</f>
        <v>0</v>
      </c>
      <c r="CS3301" s="76"/>
      <c r="CT3301" s="76"/>
      <c r="CU3301" s="56">
        <f>AN3301+AP3301+AR3301+AT3301+AV3301+AX3301+AZ3301+BB3301+BD3301+BF3301+BH3301+BJ3301+BL3301+BN3301+BP3301+BR3301+BT3301+BV3301+BX3301+BZ3301+CB3301+CD3301+CF3301+CH3301+CJ3301+CL3301+CN3301+CP3301+CR3301+CT3301</f>
        <v>0</v>
      </c>
      <c r="CV3301" s="76"/>
      <c r="CW3301" s="76">
        <f>+CV3301*1100</f>
        <v>0</v>
      </c>
      <c r="CX3301" s="76"/>
      <c r="CY3301" s="76">
        <f>+CX3301*106250</f>
        <v>0</v>
      </c>
      <c r="CZ3301" s="76"/>
      <c r="DA3301" s="76">
        <f>+CZ3301*34500</f>
        <v>0</v>
      </c>
      <c r="DB3301" s="76"/>
      <c r="DC3301" s="76">
        <f>+DB3301*25000</f>
        <v>0</v>
      </c>
      <c r="DD3301" s="219"/>
      <c r="DE3301" s="219"/>
      <c r="DF3301" s="166"/>
      <c r="DG3301" s="116"/>
      <c r="DH3301" s="117"/>
      <c r="DI3301" s="24"/>
      <c r="DJ3301" s="24"/>
      <c r="DK3301" s="24"/>
      <c r="DL3301" s="24"/>
      <c r="DM3301" s="24"/>
      <c r="DN3301" s="24"/>
      <c r="DO3301" s="24"/>
      <c r="DP3301" s="24"/>
      <c r="DQ3301" s="24"/>
      <c r="DR3301" s="24"/>
      <c r="DS3301" s="24"/>
      <c r="DT3301" s="24"/>
      <c r="DU3301" s="24"/>
    </row>
    <row r="3302" spans="1:125" s="8" customFormat="1" ht="72" x14ac:dyDescent="0.2">
      <c r="A3302" s="77">
        <v>41552</v>
      </c>
      <c r="B3302" s="352" t="s">
        <v>2774</v>
      </c>
      <c r="C3302" s="354" t="s">
        <v>284</v>
      </c>
      <c r="D3302" s="354" t="s">
        <v>2859</v>
      </c>
      <c r="E3302" s="75" t="str">
        <f>VLOOKUP(B3302&amp;C3302,Divipola!$C$2:$F$1138,4,FALSE)</f>
        <v>66170</v>
      </c>
      <c r="F3302" s="87"/>
      <c r="G3302" s="87">
        <v>3</v>
      </c>
      <c r="H3302" s="87"/>
      <c r="I3302" s="87">
        <v>3</v>
      </c>
      <c r="J3302" s="87"/>
      <c r="K3302" s="87"/>
      <c r="L3302" s="87"/>
      <c r="M3302" s="87"/>
      <c r="N3302" s="87"/>
      <c r="O3302" s="87"/>
      <c r="P3302" s="87"/>
      <c r="Q3302" s="87"/>
      <c r="R3302" s="87"/>
      <c r="S3302" s="87"/>
      <c r="T3302" s="87"/>
      <c r="U3302" s="88"/>
      <c r="V3302" s="89">
        <v>1</v>
      </c>
      <c r="W3302" s="96">
        <v>0</v>
      </c>
      <c r="X3302" s="71">
        <f>CU3302</f>
        <v>0</v>
      </c>
      <c r="Y3302" s="71">
        <f>CY3302</f>
        <v>0</v>
      </c>
      <c r="Z3302" s="71">
        <f>DA3302+DC3302+DE3302</f>
        <v>0</v>
      </c>
      <c r="AA3302" s="71">
        <f>CW3302</f>
        <v>0</v>
      </c>
      <c r="AB3302" s="71"/>
      <c r="AC3302" s="71">
        <v>0</v>
      </c>
      <c r="AD3302" s="71">
        <f>W3302+X3302+Y3302+Z3302+AA3302+AB3302+AC3302</f>
        <v>0</v>
      </c>
      <c r="AE3302" s="72">
        <v>0</v>
      </c>
      <c r="AF3302" s="5"/>
      <c r="AG3302" s="6"/>
      <c r="AH3302" s="27"/>
      <c r="AI3302" s="44"/>
      <c r="AJ3302" s="26"/>
      <c r="AK3302" s="5"/>
      <c r="AL3302" s="82" t="s">
        <v>6240</v>
      </c>
      <c r="AM3302" s="76"/>
      <c r="AN3302" s="76"/>
      <c r="AO3302" s="76"/>
      <c r="AP3302" s="76"/>
      <c r="AQ3302" s="76"/>
      <c r="AR3302" s="76"/>
      <c r="AS3302" s="76"/>
      <c r="AT3302" s="76"/>
      <c r="AU3302" s="76"/>
      <c r="AV3302" s="76"/>
      <c r="AW3302" s="76"/>
      <c r="AX3302" s="76">
        <f>+AW3302*600000</f>
        <v>0</v>
      </c>
      <c r="AY3302" s="76"/>
      <c r="AZ3302" s="76">
        <f>+AY3302*70000</f>
        <v>0</v>
      </c>
      <c r="BA3302" s="76"/>
      <c r="BB3302" s="76"/>
      <c r="BC3302" s="76"/>
      <c r="BD3302" s="76">
        <f>+BC3302*30000</f>
        <v>0</v>
      </c>
      <c r="BE3302" s="76"/>
      <c r="BF3302" s="76"/>
      <c r="BG3302" s="76"/>
      <c r="BH3302" s="76"/>
      <c r="BI3302" s="76"/>
      <c r="BJ3302" s="76"/>
      <c r="BK3302" s="76"/>
      <c r="BL3302" s="76">
        <f>+BK3302*31500</f>
        <v>0</v>
      </c>
      <c r="BM3302" s="76"/>
      <c r="BN3302" s="76"/>
      <c r="BO3302" s="76"/>
      <c r="BP3302" s="76"/>
      <c r="BQ3302" s="76"/>
      <c r="BR3302" s="76"/>
      <c r="BS3302" s="76"/>
      <c r="BT3302" s="76"/>
      <c r="BU3302" s="76"/>
      <c r="BV3302" s="76"/>
      <c r="BW3302" s="76"/>
      <c r="BX3302" s="76"/>
      <c r="BY3302" s="76"/>
      <c r="BZ3302" s="76"/>
      <c r="CA3302" s="76"/>
      <c r="CB3302" s="76"/>
      <c r="CC3302" s="76"/>
      <c r="CD3302" s="76"/>
      <c r="CE3302" s="76"/>
      <c r="CF3302" s="76">
        <f>+CE3302*28000</f>
        <v>0</v>
      </c>
      <c r="CG3302" s="76"/>
      <c r="CH3302" s="76">
        <f>+CG3302*22500</f>
        <v>0</v>
      </c>
      <c r="CI3302" s="76"/>
      <c r="CJ3302" s="76">
        <f>+CI3302*26000</f>
        <v>0</v>
      </c>
      <c r="CK3302" s="76"/>
      <c r="CL3302" s="76"/>
      <c r="CM3302" s="76"/>
      <c r="CN3302" s="76">
        <f>+CM3302*22000</f>
        <v>0</v>
      </c>
      <c r="CO3302" s="76"/>
      <c r="CP3302" s="76">
        <f>+CO3302*46000</f>
        <v>0</v>
      </c>
      <c r="CQ3302" s="76"/>
      <c r="CR3302" s="76">
        <f>+CQ3302*49000</f>
        <v>0</v>
      </c>
      <c r="CS3302" s="76"/>
      <c r="CT3302" s="76"/>
      <c r="CU3302" s="56">
        <f>AN3302+AP3302+AR3302+AT3302+AV3302+AX3302+AZ3302+BB3302+BD3302+BF3302+BH3302+BJ3302+BL3302+BN3302+BP3302+BR3302+BT3302+BV3302+BX3302+BZ3302+CB3302+CD3302+CF3302+CH3302+CJ3302+CL3302+CN3302+CP3302+CR3302+CT3302</f>
        <v>0</v>
      </c>
      <c r="CV3302" s="76"/>
      <c r="CW3302" s="76">
        <f>+CV3302*1100</f>
        <v>0</v>
      </c>
      <c r="CX3302" s="76"/>
      <c r="CY3302" s="76">
        <f>+CX3302*106250</f>
        <v>0</v>
      </c>
      <c r="CZ3302" s="76"/>
      <c r="DA3302" s="76">
        <f>+CZ3302*34500</f>
        <v>0</v>
      </c>
      <c r="DB3302" s="76"/>
      <c r="DC3302" s="76">
        <f>+DB3302*25000</f>
        <v>0</v>
      </c>
      <c r="DD3302" s="219"/>
      <c r="DE3302" s="219"/>
      <c r="DF3302" s="166"/>
      <c r="DG3302" s="116"/>
      <c r="DH3302" s="117"/>
      <c r="DI3302" s="24"/>
      <c r="DJ3302" s="24"/>
      <c r="DK3302" s="24"/>
      <c r="DL3302" s="24"/>
      <c r="DM3302" s="24"/>
      <c r="DN3302" s="24"/>
      <c r="DO3302" s="24"/>
      <c r="DP3302" s="24"/>
      <c r="DQ3302" s="24"/>
      <c r="DR3302" s="24"/>
      <c r="DS3302" s="24"/>
      <c r="DT3302" s="24"/>
      <c r="DU3302" s="24"/>
    </row>
    <row r="3303" spans="1:125" s="8" customFormat="1" ht="96" x14ac:dyDescent="0.2">
      <c r="A3303" s="77">
        <v>41552</v>
      </c>
      <c r="B3303" s="75" t="s">
        <v>2851</v>
      </c>
      <c r="C3303" s="75" t="s">
        <v>1686</v>
      </c>
      <c r="D3303" s="75" t="s">
        <v>2859</v>
      </c>
      <c r="E3303" s="75" t="str">
        <f>VLOOKUP(B3303&amp;C3303,Divipola!$C$2:$F$1138,4,FALSE)</f>
        <v>76001</v>
      </c>
      <c r="F3303" s="93"/>
      <c r="G3303" s="93"/>
      <c r="H3303" s="93"/>
      <c r="I3303" s="93"/>
      <c r="J3303" s="93"/>
      <c r="K3303" s="93"/>
      <c r="L3303" s="93"/>
      <c r="M3303" s="93"/>
      <c r="N3303" s="93"/>
      <c r="O3303" s="93"/>
      <c r="P3303" s="93"/>
      <c r="Q3303" s="93"/>
      <c r="R3303" s="93"/>
      <c r="S3303" s="93"/>
      <c r="T3303" s="93"/>
      <c r="U3303" s="93"/>
      <c r="V3303" s="93">
        <v>6</v>
      </c>
      <c r="W3303" s="96">
        <v>0</v>
      </c>
      <c r="X3303" s="71">
        <f>CU3303</f>
        <v>0</v>
      </c>
      <c r="Y3303" s="71">
        <f>CY3303</f>
        <v>0</v>
      </c>
      <c r="Z3303" s="71">
        <f>DA3303+DC3303+DE3303</f>
        <v>0</v>
      </c>
      <c r="AA3303" s="71">
        <f>CW3303</f>
        <v>0</v>
      </c>
      <c r="AB3303" s="71"/>
      <c r="AC3303" s="71">
        <v>0</v>
      </c>
      <c r="AD3303" s="71">
        <f>W3303+X3303+Y3303+Z3303+AA3303+AB3303+AC3303</f>
        <v>0</v>
      </c>
      <c r="AE3303" s="72">
        <v>0</v>
      </c>
      <c r="AF3303" s="5"/>
      <c r="AG3303" s="6"/>
      <c r="AH3303" s="27"/>
      <c r="AI3303" s="44"/>
      <c r="AJ3303" s="26"/>
      <c r="AK3303" s="5"/>
      <c r="AL3303" s="82" t="s">
        <v>6236</v>
      </c>
      <c r="AM3303" s="76"/>
      <c r="AN3303" s="76"/>
      <c r="AO3303" s="76"/>
      <c r="AP3303" s="76"/>
      <c r="AQ3303" s="76"/>
      <c r="AR3303" s="76"/>
      <c r="AS3303" s="76"/>
      <c r="AT3303" s="76"/>
      <c r="AU3303" s="76"/>
      <c r="AV3303" s="76"/>
      <c r="AW3303" s="76"/>
      <c r="AX3303" s="76">
        <f>+AW3303*600000</f>
        <v>0</v>
      </c>
      <c r="AY3303" s="76"/>
      <c r="AZ3303" s="76">
        <f>+AY3303*70000</f>
        <v>0</v>
      </c>
      <c r="BA3303" s="76"/>
      <c r="BB3303" s="76"/>
      <c r="BC3303" s="76"/>
      <c r="BD3303" s="76">
        <f>+BC3303*30000</f>
        <v>0</v>
      </c>
      <c r="BE3303" s="76"/>
      <c r="BF3303" s="76"/>
      <c r="BG3303" s="76"/>
      <c r="BH3303" s="76"/>
      <c r="BI3303" s="76"/>
      <c r="BJ3303" s="76"/>
      <c r="BK3303" s="76"/>
      <c r="BL3303" s="76">
        <f>+BK3303*31500</f>
        <v>0</v>
      </c>
      <c r="BM3303" s="76"/>
      <c r="BN3303" s="76"/>
      <c r="BO3303" s="76"/>
      <c r="BP3303" s="76"/>
      <c r="BQ3303" s="76"/>
      <c r="BR3303" s="76"/>
      <c r="BS3303" s="76"/>
      <c r="BT3303" s="76"/>
      <c r="BU3303" s="76"/>
      <c r="BV3303" s="76"/>
      <c r="BW3303" s="76"/>
      <c r="BX3303" s="76"/>
      <c r="BY3303" s="76"/>
      <c r="BZ3303" s="76"/>
      <c r="CA3303" s="76"/>
      <c r="CB3303" s="76"/>
      <c r="CC3303" s="76"/>
      <c r="CD3303" s="76"/>
      <c r="CE3303" s="76"/>
      <c r="CF3303" s="76">
        <f>+CE3303*28000</f>
        <v>0</v>
      </c>
      <c r="CG3303" s="76"/>
      <c r="CH3303" s="76">
        <f>+CG3303*22500</f>
        <v>0</v>
      </c>
      <c r="CI3303" s="76"/>
      <c r="CJ3303" s="76">
        <f>+CI3303*26000</f>
        <v>0</v>
      </c>
      <c r="CK3303" s="76"/>
      <c r="CL3303" s="76"/>
      <c r="CM3303" s="76"/>
      <c r="CN3303" s="76">
        <f>+CM3303*22000</f>
        <v>0</v>
      </c>
      <c r="CO3303" s="76"/>
      <c r="CP3303" s="76">
        <f>+CO3303*46000</f>
        <v>0</v>
      </c>
      <c r="CQ3303" s="76"/>
      <c r="CR3303" s="76">
        <f>+CQ3303*49000</f>
        <v>0</v>
      </c>
      <c r="CS3303" s="76"/>
      <c r="CT3303" s="76"/>
      <c r="CU3303" s="56">
        <f>AN3303+AP3303+AR3303+AT3303+AV3303+AX3303+AZ3303+BB3303+BD3303+BF3303+BH3303+BJ3303+BL3303+BN3303+BP3303+BR3303+BT3303+BV3303+BX3303+BZ3303+CB3303+CD3303+CF3303+CH3303+CJ3303+CL3303+CN3303+CP3303+CR3303+CT3303</f>
        <v>0</v>
      </c>
      <c r="CV3303" s="76"/>
      <c r="CW3303" s="76">
        <f>+CV3303*1100</f>
        <v>0</v>
      </c>
      <c r="CX3303" s="76"/>
      <c r="CY3303" s="76">
        <f>+CX3303*106250</f>
        <v>0</v>
      </c>
      <c r="CZ3303" s="76"/>
      <c r="DA3303" s="76">
        <f>+CZ3303*34500</f>
        <v>0</v>
      </c>
      <c r="DB3303" s="76"/>
      <c r="DC3303" s="76">
        <f>+DB3303*25000</f>
        <v>0</v>
      </c>
      <c r="DD3303" s="219"/>
      <c r="DE3303" s="219"/>
      <c r="DF3303" s="166"/>
      <c r="DG3303" s="116"/>
      <c r="DH3303" s="117"/>
      <c r="DI3303" s="24"/>
      <c r="DJ3303" s="24"/>
      <c r="DK3303" s="24"/>
      <c r="DL3303" s="24"/>
      <c r="DM3303" s="24"/>
      <c r="DN3303" s="24"/>
      <c r="DO3303" s="24"/>
      <c r="DP3303" s="24"/>
      <c r="DQ3303" s="24"/>
      <c r="DR3303" s="24"/>
      <c r="DS3303" s="24"/>
      <c r="DT3303" s="24"/>
      <c r="DU3303" s="24"/>
    </row>
    <row r="3304" spans="1:125" s="8" customFormat="1" ht="108" x14ac:dyDescent="0.2">
      <c r="A3304" s="77">
        <v>41552</v>
      </c>
      <c r="B3304" s="78" t="s">
        <v>2777</v>
      </c>
      <c r="C3304" s="75" t="s">
        <v>2008</v>
      </c>
      <c r="D3304" s="75" t="s">
        <v>2882</v>
      </c>
      <c r="E3304" s="75" t="str">
        <f>VLOOKUP(B3304&amp;C3304,Divipola!$C$2:$F$1138,4,FALSE)</f>
        <v>13468</v>
      </c>
      <c r="F3304" s="61"/>
      <c r="G3304" s="61"/>
      <c r="H3304" s="61"/>
      <c r="I3304" s="61">
        <v>1745</v>
      </c>
      <c r="J3304" s="61">
        <v>349</v>
      </c>
      <c r="K3304" s="61"/>
      <c r="L3304" s="61">
        <v>349</v>
      </c>
      <c r="M3304" s="61"/>
      <c r="N3304" s="61"/>
      <c r="O3304" s="61"/>
      <c r="P3304" s="61"/>
      <c r="Q3304" s="61"/>
      <c r="R3304" s="61"/>
      <c r="S3304" s="61"/>
      <c r="T3304" s="61"/>
      <c r="U3304" s="61"/>
      <c r="V3304" s="7"/>
      <c r="W3304" s="96">
        <v>0</v>
      </c>
      <c r="X3304" s="71">
        <f>CU3304</f>
        <v>0</v>
      </c>
      <c r="Y3304" s="71">
        <f>CY3304</f>
        <v>0</v>
      </c>
      <c r="Z3304" s="71">
        <f>DA3304+DC3304+DE3304</f>
        <v>0</v>
      </c>
      <c r="AA3304" s="71">
        <f>CW3304</f>
        <v>0</v>
      </c>
      <c r="AB3304" s="71"/>
      <c r="AC3304" s="71">
        <v>0</v>
      </c>
      <c r="AD3304" s="71">
        <f>W3304+X3304+Y3304+Z3304+AA3304+AB3304+AC3304</f>
        <v>0</v>
      </c>
      <c r="AE3304" s="72">
        <v>0</v>
      </c>
      <c r="AF3304" s="5"/>
      <c r="AG3304" s="6"/>
      <c r="AH3304" s="27" t="s">
        <v>3390</v>
      </c>
      <c r="AI3304" s="44" t="s">
        <v>3393</v>
      </c>
      <c r="AJ3304" s="26"/>
      <c r="AK3304" s="5" t="s">
        <v>4242</v>
      </c>
      <c r="AL3304" s="9" t="s">
        <v>6853</v>
      </c>
      <c r="AM3304" s="76"/>
      <c r="AN3304" s="76"/>
      <c r="AO3304" s="76"/>
      <c r="AP3304" s="76"/>
      <c r="AQ3304" s="76"/>
      <c r="AR3304" s="76"/>
      <c r="AS3304" s="76"/>
      <c r="AT3304" s="76"/>
      <c r="AU3304" s="76"/>
      <c r="AV3304" s="76"/>
      <c r="AW3304" s="76"/>
      <c r="AX3304" s="76">
        <f>+AW3304*600000</f>
        <v>0</v>
      </c>
      <c r="AY3304" s="76"/>
      <c r="AZ3304" s="76">
        <f>+AY3304*70000</f>
        <v>0</v>
      </c>
      <c r="BA3304" s="76"/>
      <c r="BB3304" s="76"/>
      <c r="BC3304" s="76"/>
      <c r="BD3304" s="76">
        <f>+BC3304*30000</f>
        <v>0</v>
      </c>
      <c r="BE3304" s="76"/>
      <c r="BF3304" s="76"/>
      <c r="BG3304" s="76"/>
      <c r="BH3304" s="76"/>
      <c r="BI3304" s="76"/>
      <c r="BJ3304" s="76"/>
      <c r="BK3304" s="76"/>
      <c r="BL3304" s="76">
        <f>+BK3304*31500</f>
        <v>0</v>
      </c>
      <c r="BM3304" s="76"/>
      <c r="BN3304" s="76"/>
      <c r="BO3304" s="76"/>
      <c r="BP3304" s="76"/>
      <c r="BQ3304" s="76"/>
      <c r="BR3304" s="76"/>
      <c r="BS3304" s="76"/>
      <c r="BT3304" s="76"/>
      <c r="BU3304" s="76"/>
      <c r="BV3304" s="76"/>
      <c r="BW3304" s="76"/>
      <c r="BX3304" s="76"/>
      <c r="BY3304" s="76"/>
      <c r="BZ3304" s="76"/>
      <c r="CA3304" s="76"/>
      <c r="CB3304" s="76"/>
      <c r="CC3304" s="76"/>
      <c r="CD3304" s="76"/>
      <c r="CE3304" s="76"/>
      <c r="CF3304" s="76">
        <f>+CE3304*28000</f>
        <v>0</v>
      </c>
      <c r="CG3304" s="76"/>
      <c r="CH3304" s="76">
        <f>+CG3304*22500</f>
        <v>0</v>
      </c>
      <c r="CI3304" s="76"/>
      <c r="CJ3304" s="76">
        <f>+CI3304*26000</f>
        <v>0</v>
      </c>
      <c r="CK3304" s="76"/>
      <c r="CL3304" s="76"/>
      <c r="CM3304" s="76"/>
      <c r="CN3304" s="76">
        <f>+CM3304*22000</f>
        <v>0</v>
      </c>
      <c r="CO3304" s="76"/>
      <c r="CP3304" s="76">
        <f>+CO3304*46000</f>
        <v>0</v>
      </c>
      <c r="CQ3304" s="76"/>
      <c r="CR3304" s="76">
        <f>+CQ3304*49000</f>
        <v>0</v>
      </c>
      <c r="CS3304" s="76"/>
      <c r="CT3304" s="76"/>
      <c r="CU3304" s="56">
        <f>AN3304+AP3304+AR3304+AT3304+AV3304+AX3304+AZ3304+BB3304+BD3304+BF3304+BH3304+BJ3304+BL3304+BN3304+BP3304+BR3304+BT3304+BV3304+BX3304+BZ3304+CB3304+CD3304+CF3304+CH3304+CJ3304+CL3304+CN3304+CP3304+CR3304+CT3304</f>
        <v>0</v>
      </c>
      <c r="CV3304" s="76"/>
      <c r="CW3304" s="76">
        <f>+CV3304*1100</f>
        <v>0</v>
      </c>
      <c r="CX3304" s="76"/>
      <c r="CY3304" s="76">
        <f>+CX3304*106250</f>
        <v>0</v>
      </c>
      <c r="CZ3304" s="76"/>
      <c r="DA3304" s="76">
        <f>+CZ3304*34500</f>
        <v>0</v>
      </c>
      <c r="DB3304" s="76"/>
      <c r="DC3304" s="76">
        <f>+DB3304*25000</f>
        <v>0</v>
      </c>
      <c r="DD3304" s="219"/>
      <c r="DE3304" s="219"/>
      <c r="DF3304" s="166"/>
      <c r="DG3304" s="116"/>
      <c r="DH3304" s="117"/>
      <c r="DI3304" s="24"/>
      <c r="DJ3304" s="24"/>
      <c r="DK3304" s="24"/>
      <c r="DL3304" s="24"/>
      <c r="DM3304" s="24"/>
      <c r="DN3304" s="24"/>
      <c r="DO3304" s="24"/>
      <c r="DP3304" s="24"/>
      <c r="DQ3304" s="24"/>
      <c r="DR3304" s="24"/>
      <c r="DS3304" s="24"/>
      <c r="DT3304" s="24"/>
      <c r="DU3304" s="24"/>
    </row>
    <row r="3305" spans="1:125" s="8" customFormat="1" ht="108" x14ac:dyDescent="0.2">
      <c r="A3305" s="353">
        <v>41553</v>
      </c>
      <c r="B3305" s="352" t="s">
        <v>2852</v>
      </c>
      <c r="C3305" s="354" t="s">
        <v>502</v>
      </c>
      <c r="D3305" s="354" t="s">
        <v>3504</v>
      </c>
      <c r="E3305" s="75" t="str">
        <f>VLOOKUP(B3305&amp;C3305,Divipola!$C$2:$F$1138,4,FALSE)</f>
        <v>27006</v>
      </c>
      <c r="F3305" s="87">
        <v>4</v>
      </c>
      <c r="G3305" s="87">
        <v>2</v>
      </c>
      <c r="H3305" s="87"/>
      <c r="I3305" s="87">
        <v>6</v>
      </c>
      <c r="J3305" s="87"/>
      <c r="K3305" s="87"/>
      <c r="L3305" s="87"/>
      <c r="M3305" s="87"/>
      <c r="N3305" s="87"/>
      <c r="O3305" s="87"/>
      <c r="P3305" s="87"/>
      <c r="Q3305" s="87"/>
      <c r="R3305" s="87"/>
      <c r="S3305" s="87"/>
      <c r="T3305" s="87"/>
      <c r="U3305" s="88"/>
      <c r="V3305" s="89"/>
      <c r="W3305" s="96">
        <v>0</v>
      </c>
      <c r="X3305" s="71">
        <f>CU3305</f>
        <v>0</v>
      </c>
      <c r="Y3305" s="71">
        <f>CY3305</f>
        <v>0</v>
      </c>
      <c r="Z3305" s="71">
        <f>DA3305+DC3305+DE3305</f>
        <v>0</v>
      </c>
      <c r="AA3305" s="71">
        <f>CW3305</f>
        <v>0</v>
      </c>
      <c r="AB3305" s="71"/>
      <c r="AC3305" s="71">
        <v>0</v>
      </c>
      <c r="AD3305" s="71">
        <f>W3305+X3305+Y3305+Z3305+AA3305+AB3305+AC3305</f>
        <v>0</v>
      </c>
      <c r="AE3305" s="72">
        <v>0</v>
      </c>
      <c r="AF3305" s="5"/>
      <c r="AG3305" s="6"/>
      <c r="AH3305" s="27"/>
      <c r="AI3305" s="44"/>
      <c r="AJ3305" s="26"/>
      <c r="AK3305" s="5"/>
      <c r="AL3305" s="82" t="s">
        <v>6241</v>
      </c>
      <c r="AM3305" s="76"/>
      <c r="AN3305" s="76"/>
      <c r="AO3305" s="76"/>
      <c r="AP3305" s="76"/>
      <c r="AQ3305" s="76"/>
      <c r="AR3305" s="76"/>
      <c r="AS3305" s="76"/>
      <c r="AT3305" s="76"/>
      <c r="AU3305" s="76"/>
      <c r="AV3305" s="76"/>
      <c r="AW3305" s="76"/>
      <c r="AX3305" s="76">
        <f>+AW3305*600000</f>
        <v>0</v>
      </c>
      <c r="AY3305" s="76"/>
      <c r="AZ3305" s="76">
        <f>+AY3305*70000</f>
        <v>0</v>
      </c>
      <c r="BA3305" s="76"/>
      <c r="BB3305" s="76"/>
      <c r="BC3305" s="76"/>
      <c r="BD3305" s="76">
        <f>+BC3305*30000</f>
        <v>0</v>
      </c>
      <c r="BE3305" s="76"/>
      <c r="BF3305" s="76"/>
      <c r="BG3305" s="76"/>
      <c r="BH3305" s="76"/>
      <c r="BI3305" s="76"/>
      <c r="BJ3305" s="76"/>
      <c r="BK3305" s="76"/>
      <c r="BL3305" s="76">
        <f>+BK3305*31500</f>
        <v>0</v>
      </c>
      <c r="BM3305" s="76"/>
      <c r="BN3305" s="76"/>
      <c r="BO3305" s="76"/>
      <c r="BP3305" s="76"/>
      <c r="BQ3305" s="76"/>
      <c r="BR3305" s="76"/>
      <c r="BS3305" s="76"/>
      <c r="BT3305" s="76"/>
      <c r="BU3305" s="76"/>
      <c r="BV3305" s="76"/>
      <c r="BW3305" s="76"/>
      <c r="BX3305" s="76"/>
      <c r="BY3305" s="76"/>
      <c r="BZ3305" s="76"/>
      <c r="CA3305" s="76"/>
      <c r="CB3305" s="76"/>
      <c r="CC3305" s="76"/>
      <c r="CD3305" s="76"/>
      <c r="CE3305" s="76"/>
      <c r="CF3305" s="76">
        <f>+CE3305*28000</f>
        <v>0</v>
      </c>
      <c r="CG3305" s="76"/>
      <c r="CH3305" s="76">
        <f>+CG3305*22500</f>
        <v>0</v>
      </c>
      <c r="CI3305" s="76"/>
      <c r="CJ3305" s="76">
        <f>+CI3305*26000</f>
        <v>0</v>
      </c>
      <c r="CK3305" s="76"/>
      <c r="CL3305" s="76"/>
      <c r="CM3305" s="76"/>
      <c r="CN3305" s="76">
        <f>+CM3305*22000</f>
        <v>0</v>
      </c>
      <c r="CO3305" s="76"/>
      <c r="CP3305" s="76">
        <f>+CO3305*46000</f>
        <v>0</v>
      </c>
      <c r="CQ3305" s="76"/>
      <c r="CR3305" s="76">
        <f>+CQ3305*49000</f>
        <v>0</v>
      </c>
      <c r="CS3305" s="76"/>
      <c r="CT3305" s="76"/>
      <c r="CU3305" s="56">
        <f>AN3305+AP3305+AR3305+AT3305+AV3305+AX3305+AZ3305+BB3305+BD3305+BF3305+BH3305+BJ3305+BL3305+BN3305+BP3305+BR3305+BT3305+BV3305+BX3305+BZ3305+CB3305+CD3305+CF3305+CH3305+CJ3305+CL3305+CN3305+CP3305+CR3305+CT3305</f>
        <v>0</v>
      </c>
      <c r="CV3305" s="76"/>
      <c r="CW3305" s="76">
        <f>+CV3305*1100</f>
        <v>0</v>
      </c>
      <c r="CX3305" s="76"/>
      <c r="CY3305" s="76">
        <f>+CX3305*106250</f>
        <v>0</v>
      </c>
      <c r="CZ3305" s="76"/>
      <c r="DA3305" s="76">
        <f>+CZ3305*34500</f>
        <v>0</v>
      </c>
      <c r="DB3305" s="76"/>
      <c r="DC3305" s="76">
        <f>+DB3305*25000</f>
        <v>0</v>
      </c>
      <c r="DD3305" s="219"/>
      <c r="DE3305" s="219"/>
      <c r="DF3305" s="166"/>
      <c r="DG3305" s="116"/>
      <c r="DH3305" s="117"/>
      <c r="DI3305" s="24"/>
      <c r="DJ3305" s="24"/>
      <c r="DK3305" s="24"/>
      <c r="DL3305" s="24"/>
      <c r="DM3305" s="24"/>
      <c r="DN3305" s="24"/>
      <c r="DO3305" s="24"/>
      <c r="DP3305" s="24"/>
      <c r="DQ3305" s="24"/>
      <c r="DR3305" s="24"/>
      <c r="DS3305" s="24"/>
      <c r="DT3305" s="24"/>
      <c r="DU3305" s="24"/>
    </row>
    <row r="3306" spans="1:125" s="8" customFormat="1" ht="48" x14ac:dyDescent="0.2">
      <c r="A3306" s="77">
        <v>41553</v>
      </c>
      <c r="B3306" s="78" t="s">
        <v>2772</v>
      </c>
      <c r="C3306" s="75" t="s">
        <v>2030</v>
      </c>
      <c r="D3306" s="75" t="s">
        <v>2846</v>
      </c>
      <c r="E3306" s="75" t="str">
        <f>VLOOKUP(B3306&amp;C3306,Divipola!$C$2:$F$1138,4,FALSE)</f>
        <v>25754</v>
      </c>
      <c r="F3306" s="61"/>
      <c r="G3306" s="61"/>
      <c r="H3306" s="61"/>
      <c r="I3306" s="61"/>
      <c r="J3306" s="61"/>
      <c r="K3306" s="61"/>
      <c r="L3306" s="61"/>
      <c r="M3306" s="61"/>
      <c r="N3306" s="61"/>
      <c r="O3306" s="61"/>
      <c r="P3306" s="61"/>
      <c r="Q3306" s="61"/>
      <c r="R3306" s="61"/>
      <c r="S3306" s="61"/>
      <c r="T3306" s="61"/>
      <c r="U3306" s="61"/>
      <c r="V3306" s="7"/>
      <c r="W3306" s="96">
        <v>0</v>
      </c>
      <c r="X3306" s="71">
        <f>CU3306</f>
        <v>0</v>
      </c>
      <c r="Y3306" s="71">
        <f>CY3306</f>
        <v>0</v>
      </c>
      <c r="Z3306" s="71">
        <f>DA3306+DC3306+DE3306</f>
        <v>0</v>
      </c>
      <c r="AA3306" s="71">
        <f>CW3306</f>
        <v>0</v>
      </c>
      <c r="AB3306" s="71"/>
      <c r="AC3306" s="71">
        <v>0</v>
      </c>
      <c r="AD3306" s="71">
        <f>W3306+X3306+Y3306+Z3306+AA3306+AB3306+AC3306</f>
        <v>0</v>
      </c>
      <c r="AE3306" s="72">
        <v>0</v>
      </c>
      <c r="AF3306" s="5"/>
      <c r="AG3306" s="6"/>
      <c r="AH3306" s="27"/>
      <c r="AI3306" s="44"/>
      <c r="AJ3306" s="26"/>
      <c r="AK3306" s="5"/>
      <c r="AL3306" s="268" t="s">
        <v>6243</v>
      </c>
      <c r="AM3306" s="76"/>
      <c r="AN3306" s="76"/>
      <c r="AO3306" s="76"/>
      <c r="AP3306" s="76"/>
      <c r="AQ3306" s="76"/>
      <c r="AR3306" s="76"/>
      <c r="AS3306" s="76"/>
      <c r="AT3306" s="76"/>
      <c r="AU3306" s="76"/>
      <c r="AV3306" s="76"/>
      <c r="AW3306" s="76"/>
      <c r="AX3306" s="76">
        <f>+AW3306*600000</f>
        <v>0</v>
      </c>
      <c r="AY3306" s="76"/>
      <c r="AZ3306" s="76">
        <f>+AY3306*70000</f>
        <v>0</v>
      </c>
      <c r="BA3306" s="76"/>
      <c r="BB3306" s="76"/>
      <c r="BC3306" s="76"/>
      <c r="BD3306" s="76">
        <f>+BC3306*30000</f>
        <v>0</v>
      </c>
      <c r="BE3306" s="76"/>
      <c r="BF3306" s="76"/>
      <c r="BG3306" s="76"/>
      <c r="BH3306" s="76"/>
      <c r="BI3306" s="76"/>
      <c r="BJ3306" s="76"/>
      <c r="BK3306" s="76"/>
      <c r="BL3306" s="76">
        <f>+BK3306*31500</f>
        <v>0</v>
      </c>
      <c r="BM3306" s="76"/>
      <c r="BN3306" s="76"/>
      <c r="BO3306" s="76"/>
      <c r="BP3306" s="76"/>
      <c r="BQ3306" s="76"/>
      <c r="BR3306" s="76"/>
      <c r="BS3306" s="76"/>
      <c r="BT3306" s="76"/>
      <c r="BU3306" s="76"/>
      <c r="BV3306" s="76"/>
      <c r="BW3306" s="76"/>
      <c r="BX3306" s="76"/>
      <c r="BY3306" s="76"/>
      <c r="BZ3306" s="76"/>
      <c r="CA3306" s="76"/>
      <c r="CB3306" s="76"/>
      <c r="CC3306" s="76"/>
      <c r="CD3306" s="76"/>
      <c r="CE3306" s="76"/>
      <c r="CF3306" s="76">
        <f>+CE3306*28000</f>
        <v>0</v>
      </c>
      <c r="CG3306" s="76"/>
      <c r="CH3306" s="76">
        <f>+CG3306*22500</f>
        <v>0</v>
      </c>
      <c r="CI3306" s="76"/>
      <c r="CJ3306" s="76">
        <f>+CI3306*26000</f>
        <v>0</v>
      </c>
      <c r="CK3306" s="76"/>
      <c r="CL3306" s="76"/>
      <c r="CM3306" s="76"/>
      <c r="CN3306" s="76">
        <f>+CM3306*22000</f>
        <v>0</v>
      </c>
      <c r="CO3306" s="76"/>
      <c r="CP3306" s="76">
        <f>+CO3306*46000</f>
        <v>0</v>
      </c>
      <c r="CQ3306" s="76"/>
      <c r="CR3306" s="76">
        <f>+CQ3306*49000</f>
        <v>0</v>
      </c>
      <c r="CS3306" s="76"/>
      <c r="CT3306" s="76"/>
      <c r="CU3306" s="56">
        <f>AN3306+AP3306+AR3306+AT3306+AV3306+AX3306+AZ3306+BB3306+BD3306+BF3306+BH3306+BJ3306+BL3306+BN3306+BP3306+BR3306+BT3306+BV3306+BX3306+BZ3306+CB3306+CD3306+CF3306+CH3306+CJ3306+CL3306+CN3306+CP3306+CR3306+CT3306</f>
        <v>0</v>
      </c>
      <c r="CV3306" s="76"/>
      <c r="CW3306" s="76">
        <f>+CV3306*1100</f>
        <v>0</v>
      </c>
      <c r="CX3306" s="76"/>
      <c r="CY3306" s="76">
        <f>+CX3306*106250</f>
        <v>0</v>
      </c>
      <c r="CZ3306" s="76"/>
      <c r="DA3306" s="76">
        <f>+CZ3306*34500</f>
        <v>0</v>
      </c>
      <c r="DB3306" s="76"/>
      <c r="DC3306" s="76">
        <f>+DB3306*25000</f>
        <v>0</v>
      </c>
      <c r="DD3306" s="219"/>
      <c r="DE3306" s="219"/>
      <c r="DF3306" s="166"/>
      <c r="DG3306" s="116"/>
      <c r="DH3306" s="117"/>
      <c r="DI3306" s="24"/>
      <c r="DJ3306" s="24"/>
      <c r="DK3306" s="24"/>
      <c r="DL3306" s="24"/>
      <c r="DM3306" s="24"/>
      <c r="DN3306" s="24"/>
      <c r="DO3306" s="24"/>
      <c r="DP3306" s="24"/>
      <c r="DQ3306" s="24"/>
      <c r="DR3306" s="24"/>
      <c r="DS3306" s="24"/>
      <c r="DT3306" s="24"/>
      <c r="DU3306" s="24"/>
    </row>
    <row r="3307" spans="1:125" s="8" customFormat="1" ht="72" x14ac:dyDescent="0.2">
      <c r="A3307" s="77">
        <v>41553</v>
      </c>
      <c r="B3307" s="78" t="s">
        <v>2880</v>
      </c>
      <c r="C3307" s="75" t="s">
        <v>1349</v>
      </c>
      <c r="D3307" s="75" t="s">
        <v>4948</v>
      </c>
      <c r="E3307" s="75" t="str">
        <f>VLOOKUP(B3307&amp;C3307,Divipola!$C$2:$F$1138,4,FALSE)</f>
        <v>54660</v>
      </c>
      <c r="F3307" s="87">
        <v>1</v>
      </c>
      <c r="G3307" s="87">
        <v>1</v>
      </c>
      <c r="H3307" s="87"/>
      <c r="I3307" s="87"/>
      <c r="J3307" s="87"/>
      <c r="K3307" s="87"/>
      <c r="L3307" s="87"/>
      <c r="M3307" s="87"/>
      <c r="N3307" s="87"/>
      <c r="O3307" s="87"/>
      <c r="P3307" s="87"/>
      <c r="Q3307" s="87"/>
      <c r="R3307" s="87"/>
      <c r="S3307" s="87"/>
      <c r="T3307" s="87"/>
      <c r="U3307" s="88"/>
      <c r="V3307" s="89"/>
      <c r="W3307" s="96">
        <v>0</v>
      </c>
      <c r="X3307" s="71">
        <f>CU3307</f>
        <v>0</v>
      </c>
      <c r="Y3307" s="71">
        <f>CY3307</f>
        <v>0</v>
      </c>
      <c r="Z3307" s="71">
        <f>DA3307+DC3307+DE3307</f>
        <v>0</v>
      </c>
      <c r="AA3307" s="71">
        <f>CW3307</f>
        <v>0</v>
      </c>
      <c r="AB3307" s="71"/>
      <c r="AC3307" s="71">
        <v>0</v>
      </c>
      <c r="AD3307" s="71">
        <f>W3307+X3307+Y3307+Z3307+AA3307+AB3307+AC3307</f>
        <v>0</v>
      </c>
      <c r="AE3307" s="72">
        <v>0</v>
      </c>
      <c r="AF3307" s="5"/>
      <c r="AG3307" s="6"/>
      <c r="AH3307" s="27"/>
      <c r="AI3307" s="44"/>
      <c r="AJ3307" s="26"/>
      <c r="AK3307" s="5"/>
      <c r="AL3307" s="82" t="s">
        <v>6242</v>
      </c>
      <c r="AM3307" s="76"/>
      <c r="AN3307" s="76"/>
      <c r="AO3307" s="76"/>
      <c r="AP3307" s="76"/>
      <c r="AQ3307" s="76"/>
      <c r="AR3307" s="76"/>
      <c r="AS3307" s="76"/>
      <c r="AT3307" s="76"/>
      <c r="AU3307" s="76"/>
      <c r="AV3307" s="76"/>
      <c r="AW3307" s="76"/>
      <c r="AX3307" s="76">
        <f>+AW3307*600000</f>
        <v>0</v>
      </c>
      <c r="AY3307" s="76"/>
      <c r="AZ3307" s="76">
        <f>+AY3307*70000</f>
        <v>0</v>
      </c>
      <c r="BA3307" s="76"/>
      <c r="BB3307" s="76"/>
      <c r="BC3307" s="76"/>
      <c r="BD3307" s="76">
        <f>+BC3307*30000</f>
        <v>0</v>
      </c>
      <c r="BE3307" s="76"/>
      <c r="BF3307" s="76"/>
      <c r="BG3307" s="76"/>
      <c r="BH3307" s="76"/>
      <c r="BI3307" s="76"/>
      <c r="BJ3307" s="76"/>
      <c r="BK3307" s="76"/>
      <c r="BL3307" s="76">
        <f>+BK3307*31500</f>
        <v>0</v>
      </c>
      <c r="BM3307" s="76"/>
      <c r="BN3307" s="76"/>
      <c r="BO3307" s="76"/>
      <c r="BP3307" s="76"/>
      <c r="BQ3307" s="76"/>
      <c r="BR3307" s="76"/>
      <c r="BS3307" s="76"/>
      <c r="BT3307" s="76"/>
      <c r="BU3307" s="76"/>
      <c r="BV3307" s="76"/>
      <c r="BW3307" s="76"/>
      <c r="BX3307" s="76"/>
      <c r="BY3307" s="76"/>
      <c r="BZ3307" s="76"/>
      <c r="CA3307" s="76"/>
      <c r="CB3307" s="76"/>
      <c r="CC3307" s="76"/>
      <c r="CD3307" s="76"/>
      <c r="CE3307" s="76"/>
      <c r="CF3307" s="76">
        <f>+CE3307*28000</f>
        <v>0</v>
      </c>
      <c r="CG3307" s="76"/>
      <c r="CH3307" s="76">
        <f>+CG3307*22500</f>
        <v>0</v>
      </c>
      <c r="CI3307" s="76"/>
      <c r="CJ3307" s="76">
        <f>+CI3307*26000</f>
        <v>0</v>
      </c>
      <c r="CK3307" s="76"/>
      <c r="CL3307" s="76"/>
      <c r="CM3307" s="76"/>
      <c r="CN3307" s="76">
        <f>+CM3307*22000</f>
        <v>0</v>
      </c>
      <c r="CO3307" s="76"/>
      <c r="CP3307" s="76">
        <f>+CO3307*46000</f>
        <v>0</v>
      </c>
      <c r="CQ3307" s="76"/>
      <c r="CR3307" s="76">
        <f>+CQ3307*49000</f>
        <v>0</v>
      </c>
      <c r="CS3307" s="76"/>
      <c r="CT3307" s="76"/>
      <c r="CU3307" s="56">
        <f>AN3307+AP3307+AR3307+AT3307+AV3307+AX3307+AZ3307+BB3307+BD3307+BF3307+BH3307+BJ3307+BL3307+BN3307+BP3307+BR3307+BT3307+BV3307+BX3307+BZ3307+CB3307+CD3307+CF3307+CH3307+CJ3307+CL3307+CN3307+CP3307+CR3307+CT3307</f>
        <v>0</v>
      </c>
      <c r="CV3307" s="76"/>
      <c r="CW3307" s="76">
        <f>+CV3307*1100</f>
        <v>0</v>
      </c>
      <c r="CX3307" s="76"/>
      <c r="CY3307" s="76">
        <f>+CX3307*106250</f>
        <v>0</v>
      </c>
      <c r="CZ3307" s="76"/>
      <c r="DA3307" s="76">
        <f>+CZ3307*34500</f>
        <v>0</v>
      </c>
      <c r="DB3307" s="76"/>
      <c r="DC3307" s="76">
        <f>+DB3307*25000</f>
        <v>0</v>
      </c>
      <c r="DD3307" s="219"/>
      <c r="DE3307" s="219"/>
      <c r="DF3307" s="166"/>
      <c r="DG3307" s="116"/>
      <c r="DH3307" s="117"/>
      <c r="DI3307" s="24"/>
      <c r="DJ3307" s="24"/>
      <c r="DK3307" s="24"/>
      <c r="DL3307" s="24"/>
      <c r="DM3307" s="24"/>
      <c r="DN3307" s="24"/>
      <c r="DO3307" s="24"/>
      <c r="DP3307" s="24"/>
      <c r="DQ3307" s="24"/>
      <c r="DR3307" s="24"/>
      <c r="DS3307" s="24"/>
      <c r="DT3307" s="24"/>
      <c r="DU3307" s="24"/>
    </row>
    <row r="3308" spans="1:125" s="8" customFormat="1" ht="60" x14ac:dyDescent="0.2">
      <c r="A3308" s="77">
        <v>41553</v>
      </c>
      <c r="B3308" s="352" t="s">
        <v>2774</v>
      </c>
      <c r="C3308" s="354" t="s">
        <v>284</v>
      </c>
      <c r="D3308" s="354" t="s">
        <v>2882</v>
      </c>
      <c r="E3308" s="75" t="str">
        <f>VLOOKUP(B3308&amp;C3308,Divipola!$C$2:$F$1138,4,FALSE)</f>
        <v>66170</v>
      </c>
      <c r="F3308" s="87"/>
      <c r="G3308" s="87"/>
      <c r="H3308" s="87"/>
      <c r="I3308" s="87">
        <v>470</v>
      </c>
      <c r="J3308" s="87">
        <v>94</v>
      </c>
      <c r="K3308" s="87"/>
      <c r="L3308" s="87">
        <v>94</v>
      </c>
      <c r="M3308" s="87"/>
      <c r="N3308" s="87"/>
      <c r="O3308" s="87"/>
      <c r="P3308" s="87"/>
      <c r="Q3308" s="87"/>
      <c r="R3308" s="87"/>
      <c r="S3308" s="87"/>
      <c r="T3308" s="87"/>
      <c r="U3308" s="88"/>
      <c r="V3308" s="89"/>
      <c r="W3308" s="96">
        <v>0</v>
      </c>
      <c r="X3308" s="71">
        <f>CU3308</f>
        <v>0</v>
      </c>
      <c r="Y3308" s="71">
        <f>CY3308</f>
        <v>0</v>
      </c>
      <c r="Z3308" s="71">
        <f>DA3308+DC3308+DE3308</f>
        <v>0</v>
      </c>
      <c r="AA3308" s="71">
        <f>CW3308</f>
        <v>0</v>
      </c>
      <c r="AB3308" s="71"/>
      <c r="AC3308" s="71">
        <v>0</v>
      </c>
      <c r="AD3308" s="71">
        <f>W3308+X3308+Y3308+Z3308+AA3308+AB3308+AC3308</f>
        <v>0</v>
      </c>
      <c r="AE3308" s="72">
        <v>0</v>
      </c>
      <c r="AF3308" s="5"/>
      <c r="AG3308" s="6"/>
      <c r="AH3308" s="27" t="s">
        <v>3390</v>
      </c>
      <c r="AI3308" s="44" t="s">
        <v>3391</v>
      </c>
      <c r="AJ3308" s="26"/>
      <c r="AK3308" s="5" t="s">
        <v>6674</v>
      </c>
      <c r="AL3308" s="315" t="s">
        <v>6248</v>
      </c>
      <c r="AM3308" s="76"/>
      <c r="AN3308" s="76"/>
      <c r="AO3308" s="76"/>
      <c r="AP3308" s="76"/>
      <c r="AQ3308" s="76"/>
      <c r="AR3308" s="76"/>
      <c r="AS3308" s="76"/>
      <c r="AT3308" s="76"/>
      <c r="AU3308" s="76"/>
      <c r="AV3308" s="76"/>
      <c r="AW3308" s="76"/>
      <c r="AX3308" s="76">
        <f>+AW3308*600000</f>
        <v>0</v>
      </c>
      <c r="AY3308" s="76"/>
      <c r="AZ3308" s="76">
        <f>+AY3308*70000</f>
        <v>0</v>
      </c>
      <c r="BA3308" s="76"/>
      <c r="BB3308" s="76"/>
      <c r="BC3308" s="76"/>
      <c r="BD3308" s="76">
        <f>+BC3308*30000</f>
        <v>0</v>
      </c>
      <c r="BE3308" s="76"/>
      <c r="BF3308" s="76"/>
      <c r="BG3308" s="76"/>
      <c r="BH3308" s="76"/>
      <c r="BI3308" s="76"/>
      <c r="BJ3308" s="76"/>
      <c r="BK3308" s="76"/>
      <c r="BL3308" s="76">
        <f>+BK3308*31500</f>
        <v>0</v>
      </c>
      <c r="BM3308" s="76"/>
      <c r="BN3308" s="76"/>
      <c r="BO3308" s="76"/>
      <c r="BP3308" s="76"/>
      <c r="BQ3308" s="76"/>
      <c r="BR3308" s="76"/>
      <c r="BS3308" s="76"/>
      <c r="BT3308" s="76"/>
      <c r="BU3308" s="76"/>
      <c r="BV3308" s="76"/>
      <c r="BW3308" s="76"/>
      <c r="BX3308" s="76"/>
      <c r="BY3308" s="76"/>
      <c r="BZ3308" s="76"/>
      <c r="CA3308" s="76"/>
      <c r="CB3308" s="76"/>
      <c r="CC3308" s="76"/>
      <c r="CD3308" s="76"/>
      <c r="CE3308" s="76"/>
      <c r="CF3308" s="76">
        <f>+CE3308*28000</f>
        <v>0</v>
      </c>
      <c r="CG3308" s="76"/>
      <c r="CH3308" s="76">
        <f>+CG3308*22500</f>
        <v>0</v>
      </c>
      <c r="CI3308" s="76"/>
      <c r="CJ3308" s="76">
        <f>+CI3308*26000</f>
        <v>0</v>
      </c>
      <c r="CK3308" s="76"/>
      <c r="CL3308" s="76"/>
      <c r="CM3308" s="76"/>
      <c r="CN3308" s="76">
        <f>+CM3308*22000</f>
        <v>0</v>
      </c>
      <c r="CO3308" s="76"/>
      <c r="CP3308" s="76">
        <f>+CO3308*46000</f>
        <v>0</v>
      </c>
      <c r="CQ3308" s="76"/>
      <c r="CR3308" s="76">
        <f>+CQ3308*49000</f>
        <v>0</v>
      </c>
      <c r="CS3308" s="76"/>
      <c r="CT3308" s="76"/>
      <c r="CU3308" s="56">
        <f>AN3308+AP3308+AR3308+AT3308+AV3308+AX3308+AZ3308+BB3308+BD3308+BF3308+BH3308+BJ3308+BL3308+BN3308+BP3308+BR3308+BT3308+BV3308+BX3308+BZ3308+CB3308+CD3308+CF3308+CH3308+CJ3308+CL3308+CN3308+CP3308+CR3308+CT3308</f>
        <v>0</v>
      </c>
      <c r="CV3308" s="76"/>
      <c r="CW3308" s="76">
        <f>+CV3308*1100</f>
        <v>0</v>
      </c>
      <c r="CX3308" s="76"/>
      <c r="CY3308" s="76">
        <f>+CX3308*106250</f>
        <v>0</v>
      </c>
      <c r="CZ3308" s="76"/>
      <c r="DA3308" s="76">
        <f>+CZ3308*34500</f>
        <v>0</v>
      </c>
      <c r="DB3308" s="76"/>
      <c r="DC3308" s="76">
        <f>+DB3308*25000</f>
        <v>0</v>
      </c>
      <c r="DD3308" s="219"/>
      <c r="DE3308" s="219"/>
      <c r="DF3308" s="166"/>
      <c r="DG3308" s="116"/>
      <c r="DH3308" s="117"/>
      <c r="DI3308" s="24"/>
      <c r="DJ3308" s="24"/>
      <c r="DK3308" s="24"/>
      <c r="DL3308" s="24"/>
      <c r="DM3308" s="24"/>
      <c r="DN3308" s="24"/>
      <c r="DO3308" s="24"/>
      <c r="DP3308" s="24"/>
      <c r="DQ3308" s="24"/>
      <c r="DR3308" s="24"/>
      <c r="DS3308" s="24"/>
      <c r="DT3308" s="24"/>
      <c r="DU3308" s="24"/>
    </row>
    <row r="3309" spans="1:125" s="8" customFormat="1" ht="144" x14ac:dyDescent="0.2">
      <c r="A3309" s="353">
        <v>41553</v>
      </c>
      <c r="B3309" s="352" t="s">
        <v>2774</v>
      </c>
      <c r="C3309" s="354" t="s">
        <v>1347</v>
      </c>
      <c r="D3309" s="354" t="s">
        <v>2882</v>
      </c>
      <c r="E3309" s="75" t="str">
        <f>VLOOKUP(B3309&amp;C3309,Divipola!$C$2:$F$1138,4,FALSE)</f>
        <v>66001</v>
      </c>
      <c r="F3309" s="87"/>
      <c r="G3309" s="87"/>
      <c r="H3309" s="87"/>
      <c r="I3309" s="87">
        <v>250</v>
      </c>
      <c r="J3309" s="87">
        <v>50</v>
      </c>
      <c r="K3309" s="87"/>
      <c r="L3309" s="87">
        <v>50</v>
      </c>
      <c r="M3309" s="87"/>
      <c r="N3309" s="87"/>
      <c r="O3309" s="87"/>
      <c r="P3309" s="87"/>
      <c r="Q3309" s="87"/>
      <c r="R3309" s="87"/>
      <c r="S3309" s="87"/>
      <c r="T3309" s="88"/>
      <c r="U3309" s="89"/>
      <c r="V3309" s="104"/>
      <c r="W3309" s="96">
        <v>0</v>
      </c>
      <c r="X3309" s="71">
        <f>CU3309</f>
        <v>0</v>
      </c>
      <c r="Y3309" s="71">
        <f>CY3309</f>
        <v>0</v>
      </c>
      <c r="Z3309" s="71">
        <f>DA3309+DC3309+DE3309</f>
        <v>0</v>
      </c>
      <c r="AA3309" s="71">
        <f>CW3309</f>
        <v>0</v>
      </c>
      <c r="AB3309" s="71"/>
      <c r="AC3309" s="71">
        <v>0</v>
      </c>
      <c r="AD3309" s="71">
        <f>W3309+X3309+Y3309+Z3309+AA3309+AB3309+AC3309</f>
        <v>0</v>
      </c>
      <c r="AE3309" s="72">
        <v>0</v>
      </c>
      <c r="AF3309" s="5"/>
      <c r="AG3309" s="6"/>
      <c r="AH3309" s="27"/>
      <c r="AI3309" s="44"/>
      <c r="AJ3309" s="26"/>
      <c r="AK3309" s="5"/>
      <c r="AL3309" s="268" t="s">
        <v>6251</v>
      </c>
      <c r="AM3309" s="76"/>
      <c r="AN3309" s="76"/>
      <c r="AO3309" s="76"/>
      <c r="AP3309" s="76"/>
      <c r="AQ3309" s="76"/>
      <c r="AR3309" s="76"/>
      <c r="AS3309" s="76"/>
      <c r="AT3309" s="76"/>
      <c r="AU3309" s="76"/>
      <c r="AV3309" s="76"/>
      <c r="AW3309" s="76"/>
      <c r="AX3309" s="76">
        <f>+AW3309*600000</f>
        <v>0</v>
      </c>
      <c r="AY3309" s="76"/>
      <c r="AZ3309" s="76">
        <f>+AY3309*70000</f>
        <v>0</v>
      </c>
      <c r="BA3309" s="76"/>
      <c r="BB3309" s="76"/>
      <c r="BC3309" s="76"/>
      <c r="BD3309" s="76">
        <f>+BC3309*30000</f>
        <v>0</v>
      </c>
      <c r="BE3309" s="76"/>
      <c r="BF3309" s="76"/>
      <c r="BG3309" s="76"/>
      <c r="BH3309" s="76"/>
      <c r="BI3309" s="76"/>
      <c r="BJ3309" s="76"/>
      <c r="BK3309" s="76"/>
      <c r="BL3309" s="76">
        <f>+BK3309*31500</f>
        <v>0</v>
      </c>
      <c r="BM3309" s="76"/>
      <c r="BN3309" s="76"/>
      <c r="BO3309" s="76"/>
      <c r="BP3309" s="76"/>
      <c r="BQ3309" s="76"/>
      <c r="BR3309" s="76"/>
      <c r="BS3309" s="76"/>
      <c r="BT3309" s="76"/>
      <c r="BU3309" s="76"/>
      <c r="BV3309" s="76"/>
      <c r="BW3309" s="76"/>
      <c r="BX3309" s="76"/>
      <c r="BY3309" s="76"/>
      <c r="BZ3309" s="76"/>
      <c r="CA3309" s="76"/>
      <c r="CB3309" s="76"/>
      <c r="CC3309" s="76"/>
      <c r="CD3309" s="76"/>
      <c r="CE3309" s="76"/>
      <c r="CF3309" s="76">
        <f>+CE3309*28000</f>
        <v>0</v>
      </c>
      <c r="CG3309" s="76"/>
      <c r="CH3309" s="76">
        <f>+CG3309*22500</f>
        <v>0</v>
      </c>
      <c r="CI3309" s="76"/>
      <c r="CJ3309" s="76">
        <f>+CI3309*26000</f>
        <v>0</v>
      </c>
      <c r="CK3309" s="76"/>
      <c r="CL3309" s="76"/>
      <c r="CM3309" s="76"/>
      <c r="CN3309" s="76">
        <f>+CM3309*22000</f>
        <v>0</v>
      </c>
      <c r="CO3309" s="76"/>
      <c r="CP3309" s="76">
        <f>+CO3309*46000</f>
        <v>0</v>
      </c>
      <c r="CQ3309" s="76"/>
      <c r="CR3309" s="76">
        <f>+CQ3309*49000</f>
        <v>0</v>
      </c>
      <c r="CS3309" s="76"/>
      <c r="CT3309" s="76"/>
      <c r="CU3309" s="56">
        <f>AN3309+AP3309+AR3309+AT3309+AV3309+AX3309+AZ3309+BB3309+BD3309+BF3309+BH3309+BJ3309+BL3309+BN3309+BP3309+BR3309+BT3309+BV3309+BX3309+BZ3309+CB3309+CD3309+CF3309+CH3309+CJ3309+CL3309+CN3309+CP3309+CR3309+CT3309</f>
        <v>0</v>
      </c>
      <c r="CV3309" s="76"/>
      <c r="CW3309" s="76">
        <f>+CV3309*1100</f>
        <v>0</v>
      </c>
      <c r="CX3309" s="76"/>
      <c r="CY3309" s="76">
        <f>+CX3309*106250</f>
        <v>0</v>
      </c>
      <c r="CZ3309" s="76"/>
      <c r="DA3309" s="76">
        <f>+CZ3309*34500</f>
        <v>0</v>
      </c>
      <c r="DB3309" s="76"/>
      <c r="DC3309" s="76">
        <f>+DB3309*25000</f>
        <v>0</v>
      </c>
      <c r="DD3309" s="219"/>
      <c r="DE3309" s="219"/>
      <c r="DF3309" s="166"/>
      <c r="DG3309" s="116"/>
      <c r="DH3309" s="117"/>
      <c r="DI3309" s="24"/>
      <c r="DJ3309" s="24"/>
      <c r="DK3309" s="24"/>
      <c r="DL3309" s="24"/>
      <c r="DM3309" s="24"/>
      <c r="DN3309" s="24"/>
      <c r="DO3309" s="24"/>
      <c r="DP3309" s="24"/>
      <c r="DQ3309" s="24"/>
      <c r="DR3309" s="24"/>
      <c r="DS3309" s="24"/>
      <c r="DT3309" s="24"/>
      <c r="DU3309" s="24"/>
    </row>
    <row r="3310" spans="1:125" s="8" customFormat="1" ht="48" x14ac:dyDescent="0.2">
      <c r="A3310" s="77">
        <v>41554</v>
      </c>
      <c r="B3310" s="78" t="s">
        <v>2777</v>
      </c>
      <c r="C3310" s="75" t="s">
        <v>2783</v>
      </c>
      <c r="D3310" s="75" t="s">
        <v>3051</v>
      </c>
      <c r="E3310" s="75" t="str">
        <f>VLOOKUP(B3310&amp;C3310,Divipola!$C$2:$F$1138,4,FALSE)</f>
        <v>13001</v>
      </c>
      <c r="F3310" s="87"/>
      <c r="G3310" s="87">
        <v>1</v>
      </c>
      <c r="H3310" s="87"/>
      <c r="I3310" s="87">
        <v>70</v>
      </c>
      <c r="J3310" s="87">
        <v>15</v>
      </c>
      <c r="K3310" s="87"/>
      <c r="L3310" s="87">
        <v>10</v>
      </c>
      <c r="M3310" s="87"/>
      <c r="N3310" s="87"/>
      <c r="O3310" s="87"/>
      <c r="P3310" s="87"/>
      <c r="Q3310" s="87"/>
      <c r="R3310" s="87"/>
      <c r="S3310" s="87"/>
      <c r="T3310" s="87"/>
      <c r="U3310" s="88"/>
      <c r="V3310" s="89"/>
      <c r="W3310" s="96">
        <v>0</v>
      </c>
      <c r="X3310" s="71">
        <f>CU3310</f>
        <v>0</v>
      </c>
      <c r="Y3310" s="71">
        <f>CY3310</f>
        <v>0</v>
      </c>
      <c r="Z3310" s="71">
        <f>DA3310+DC3310+DE3310</f>
        <v>0</v>
      </c>
      <c r="AA3310" s="71">
        <f>CW3310</f>
        <v>0</v>
      </c>
      <c r="AB3310" s="71"/>
      <c r="AC3310" s="71">
        <v>0</v>
      </c>
      <c r="AD3310" s="71">
        <f>W3310+X3310+Y3310+Z3310+AA3310+AB3310+AC3310</f>
        <v>0</v>
      </c>
      <c r="AE3310" s="72">
        <v>0</v>
      </c>
      <c r="AF3310" s="5"/>
      <c r="AG3310" s="6"/>
      <c r="AH3310" s="27"/>
      <c r="AI3310" s="44"/>
      <c r="AJ3310" s="26"/>
      <c r="AK3310" s="5"/>
      <c r="AL3310" s="268" t="s">
        <v>6250</v>
      </c>
      <c r="AM3310" s="76"/>
      <c r="AN3310" s="76"/>
      <c r="AO3310" s="76"/>
      <c r="AP3310" s="76"/>
      <c r="AQ3310" s="76"/>
      <c r="AR3310" s="76"/>
      <c r="AS3310" s="76"/>
      <c r="AT3310" s="76"/>
      <c r="AU3310" s="76"/>
      <c r="AV3310" s="76"/>
      <c r="AW3310" s="76"/>
      <c r="AX3310" s="76">
        <f>+AW3310*600000</f>
        <v>0</v>
      </c>
      <c r="AY3310" s="76"/>
      <c r="AZ3310" s="76">
        <f>+AY3310*70000</f>
        <v>0</v>
      </c>
      <c r="BA3310" s="76"/>
      <c r="BB3310" s="76"/>
      <c r="BC3310" s="76"/>
      <c r="BD3310" s="76">
        <f>+BC3310*30000</f>
        <v>0</v>
      </c>
      <c r="BE3310" s="76"/>
      <c r="BF3310" s="76"/>
      <c r="BG3310" s="76"/>
      <c r="BH3310" s="76"/>
      <c r="BI3310" s="76"/>
      <c r="BJ3310" s="76"/>
      <c r="BK3310" s="76"/>
      <c r="BL3310" s="76">
        <f>+BK3310*31500</f>
        <v>0</v>
      </c>
      <c r="BM3310" s="76"/>
      <c r="BN3310" s="76"/>
      <c r="BO3310" s="76"/>
      <c r="BP3310" s="76"/>
      <c r="BQ3310" s="76"/>
      <c r="BR3310" s="76"/>
      <c r="BS3310" s="76"/>
      <c r="BT3310" s="76"/>
      <c r="BU3310" s="76"/>
      <c r="BV3310" s="76"/>
      <c r="BW3310" s="76"/>
      <c r="BX3310" s="76"/>
      <c r="BY3310" s="76"/>
      <c r="BZ3310" s="76"/>
      <c r="CA3310" s="76"/>
      <c r="CB3310" s="76"/>
      <c r="CC3310" s="76"/>
      <c r="CD3310" s="76"/>
      <c r="CE3310" s="76"/>
      <c r="CF3310" s="76">
        <f>+CE3310*28000</f>
        <v>0</v>
      </c>
      <c r="CG3310" s="76"/>
      <c r="CH3310" s="76">
        <f>+CG3310*22500</f>
        <v>0</v>
      </c>
      <c r="CI3310" s="76"/>
      <c r="CJ3310" s="76">
        <f>+CI3310*26000</f>
        <v>0</v>
      </c>
      <c r="CK3310" s="76"/>
      <c r="CL3310" s="76"/>
      <c r="CM3310" s="76"/>
      <c r="CN3310" s="76">
        <f>+CM3310*22000</f>
        <v>0</v>
      </c>
      <c r="CO3310" s="76"/>
      <c r="CP3310" s="76">
        <f>+CO3310*46000</f>
        <v>0</v>
      </c>
      <c r="CQ3310" s="76"/>
      <c r="CR3310" s="76">
        <f>+CQ3310*49000</f>
        <v>0</v>
      </c>
      <c r="CS3310" s="76"/>
      <c r="CT3310" s="76"/>
      <c r="CU3310" s="56">
        <f>AN3310+AP3310+AR3310+AT3310+AV3310+AX3310+AZ3310+BB3310+BD3310+BF3310+BH3310+BJ3310+BL3310+BN3310+BP3310+BR3310+BT3310+BV3310+BX3310+BZ3310+CB3310+CD3310+CF3310+CH3310+CJ3310+CL3310+CN3310+CP3310+CR3310+CT3310</f>
        <v>0</v>
      </c>
      <c r="CV3310" s="76"/>
      <c r="CW3310" s="76">
        <f>+CV3310*1100</f>
        <v>0</v>
      </c>
      <c r="CX3310" s="76"/>
      <c r="CY3310" s="76">
        <f>+CX3310*106250</f>
        <v>0</v>
      </c>
      <c r="CZ3310" s="76"/>
      <c r="DA3310" s="76">
        <f>+CZ3310*34500</f>
        <v>0</v>
      </c>
      <c r="DB3310" s="76"/>
      <c r="DC3310" s="76">
        <f>+DB3310*25000</f>
        <v>0</v>
      </c>
      <c r="DD3310" s="219"/>
      <c r="DE3310" s="219"/>
      <c r="DF3310" s="166"/>
      <c r="DG3310" s="116"/>
      <c r="DH3310" s="117"/>
      <c r="DI3310" s="24"/>
      <c r="DJ3310" s="24"/>
      <c r="DK3310" s="24"/>
      <c r="DL3310" s="24"/>
      <c r="DM3310" s="24"/>
      <c r="DN3310" s="24"/>
      <c r="DO3310" s="24"/>
      <c r="DP3310" s="24"/>
      <c r="DQ3310" s="24"/>
      <c r="DR3310" s="24"/>
      <c r="DS3310" s="24"/>
      <c r="DT3310" s="24"/>
      <c r="DU3310" s="24"/>
    </row>
    <row r="3311" spans="1:125" s="8" customFormat="1" ht="36" x14ac:dyDescent="0.2">
      <c r="A3311" s="77">
        <v>41554</v>
      </c>
      <c r="B3311" s="78" t="s">
        <v>2661</v>
      </c>
      <c r="C3311" s="75" t="s">
        <v>2</v>
      </c>
      <c r="D3311" s="75" t="s">
        <v>2846</v>
      </c>
      <c r="E3311" s="75" t="str">
        <f>VLOOKUP(B3311&amp;C3311,Divipola!$C$2:$F$1138,4,FALSE)</f>
        <v>41524</v>
      </c>
      <c r="F3311" s="87"/>
      <c r="G3311" s="87"/>
      <c r="H3311" s="87"/>
      <c r="I3311" s="87"/>
      <c r="J3311" s="87"/>
      <c r="K3311" s="87"/>
      <c r="L3311" s="87"/>
      <c r="M3311" s="87"/>
      <c r="N3311" s="87"/>
      <c r="O3311" s="87"/>
      <c r="P3311" s="87"/>
      <c r="Q3311" s="87"/>
      <c r="R3311" s="87"/>
      <c r="S3311" s="87"/>
      <c r="T3311" s="87"/>
      <c r="U3311" s="88">
        <v>1</v>
      </c>
      <c r="V3311" s="89"/>
      <c r="W3311" s="96">
        <v>0</v>
      </c>
      <c r="X3311" s="71">
        <f>CU3311</f>
        <v>0</v>
      </c>
      <c r="Y3311" s="71">
        <f>CY3311</f>
        <v>0</v>
      </c>
      <c r="Z3311" s="71">
        <f>DA3311+DC3311+DE3311</f>
        <v>0</v>
      </c>
      <c r="AA3311" s="71">
        <f>CW3311</f>
        <v>0</v>
      </c>
      <c r="AB3311" s="71"/>
      <c r="AC3311" s="71">
        <v>0</v>
      </c>
      <c r="AD3311" s="71">
        <f>W3311+X3311+Y3311+Z3311+AA3311+AB3311+AC3311</f>
        <v>0</v>
      </c>
      <c r="AE3311" s="72">
        <v>0</v>
      </c>
      <c r="AF3311" s="5"/>
      <c r="AG3311" s="6"/>
      <c r="AH3311" s="27"/>
      <c r="AI3311" s="44"/>
      <c r="AJ3311" s="26"/>
      <c r="AK3311" s="5"/>
      <c r="AL3311" s="268" t="s">
        <v>6257</v>
      </c>
      <c r="AM3311" s="76"/>
      <c r="AN3311" s="76"/>
      <c r="AO3311" s="76"/>
      <c r="AP3311" s="76"/>
      <c r="AQ3311" s="76"/>
      <c r="AR3311" s="76"/>
      <c r="AS3311" s="76"/>
      <c r="AT3311" s="76"/>
      <c r="AU3311" s="76"/>
      <c r="AV3311" s="76"/>
      <c r="AW3311" s="76"/>
      <c r="AX3311" s="76">
        <f>+AW3311*600000</f>
        <v>0</v>
      </c>
      <c r="AY3311" s="76"/>
      <c r="AZ3311" s="76">
        <f>+AY3311*70000</f>
        <v>0</v>
      </c>
      <c r="BA3311" s="76"/>
      <c r="BB3311" s="76"/>
      <c r="BC3311" s="76"/>
      <c r="BD3311" s="76">
        <f>+BC3311*30000</f>
        <v>0</v>
      </c>
      <c r="BE3311" s="76"/>
      <c r="BF3311" s="76"/>
      <c r="BG3311" s="76"/>
      <c r="BH3311" s="76"/>
      <c r="BI3311" s="76"/>
      <c r="BJ3311" s="76"/>
      <c r="BK3311" s="76"/>
      <c r="BL3311" s="76">
        <f>+BK3311*31500</f>
        <v>0</v>
      </c>
      <c r="BM3311" s="76"/>
      <c r="BN3311" s="76"/>
      <c r="BO3311" s="76"/>
      <c r="BP3311" s="76"/>
      <c r="BQ3311" s="76"/>
      <c r="BR3311" s="76"/>
      <c r="BS3311" s="76"/>
      <c r="BT3311" s="76"/>
      <c r="BU3311" s="76"/>
      <c r="BV3311" s="76"/>
      <c r="BW3311" s="76"/>
      <c r="BX3311" s="76"/>
      <c r="BY3311" s="76"/>
      <c r="BZ3311" s="76"/>
      <c r="CA3311" s="76"/>
      <c r="CB3311" s="76"/>
      <c r="CC3311" s="76"/>
      <c r="CD3311" s="76"/>
      <c r="CE3311" s="76"/>
      <c r="CF3311" s="76">
        <f>+CE3311*28000</f>
        <v>0</v>
      </c>
      <c r="CG3311" s="76"/>
      <c r="CH3311" s="76">
        <f>+CG3311*22500</f>
        <v>0</v>
      </c>
      <c r="CI3311" s="76"/>
      <c r="CJ3311" s="76">
        <f>+CI3311*26000</f>
        <v>0</v>
      </c>
      <c r="CK3311" s="76"/>
      <c r="CL3311" s="76"/>
      <c r="CM3311" s="76"/>
      <c r="CN3311" s="76">
        <f>+CM3311*22000</f>
        <v>0</v>
      </c>
      <c r="CO3311" s="76"/>
      <c r="CP3311" s="76">
        <f>+CO3311*46000</f>
        <v>0</v>
      </c>
      <c r="CQ3311" s="76"/>
      <c r="CR3311" s="76">
        <f>+CQ3311*49000</f>
        <v>0</v>
      </c>
      <c r="CS3311" s="76"/>
      <c r="CT3311" s="76"/>
      <c r="CU3311" s="56">
        <f>AN3311+AP3311+AR3311+AT3311+AV3311+AX3311+AZ3311+BB3311+BD3311+BF3311+BH3311+BJ3311+BL3311+BN3311+BP3311+BR3311+BT3311+BV3311+BX3311+BZ3311+CB3311+CD3311+CF3311+CH3311+CJ3311+CL3311+CN3311+CP3311+CR3311+CT3311</f>
        <v>0</v>
      </c>
      <c r="CV3311" s="76"/>
      <c r="CW3311" s="76">
        <f>+CV3311*1100</f>
        <v>0</v>
      </c>
      <c r="CX3311" s="76"/>
      <c r="CY3311" s="76">
        <f>+CX3311*106250</f>
        <v>0</v>
      </c>
      <c r="CZ3311" s="76"/>
      <c r="DA3311" s="76">
        <f>+CZ3311*34500</f>
        <v>0</v>
      </c>
      <c r="DB3311" s="76"/>
      <c r="DC3311" s="76">
        <f>+DB3311*25000</f>
        <v>0</v>
      </c>
      <c r="DD3311" s="219"/>
      <c r="DE3311" s="219"/>
      <c r="DF3311" s="166"/>
      <c r="DG3311" s="116"/>
      <c r="DH3311" s="117"/>
      <c r="DI3311" s="24"/>
      <c r="DJ3311" s="24"/>
      <c r="DK3311" s="24"/>
      <c r="DL3311" s="24"/>
      <c r="DM3311" s="24"/>
      <c r="DN3311" s="24"/>
      <c r="DO3311" s="24"/>
      <c r="DP3311" s="24"/>
      <c r="DQ3311" s="24"/>
      <c r="DR3311" s="24"/>
      <c r="DS3311" s="24"/>
      <c r="DT3311" s="24"/>
      <c r="DU3311" s="24"/>
    </row>
    <row r="3312" spans="1:125" s="8" customFormat="1" ht="48" x14ac:dyDescent="0.2">
      <c r="A3312" s="353">
        <v>41554</v>
      </c>
      <c r="B3312" s="75" t="s">
        <v>2661</v>
      </c>
      <c r="C3312" s="75" t="s">
        <v>2164</v>
      </c>
      <c r="D3312" s="75" t="s">
        <v>2846</v>
      </c>
      <c r="E3312" s="75" t="str">
        <f>VLOOKUP(B3312&amp;C3312,Divipola!$C$2:$F$1138,4,FALSE)</f>
        <v>41799</v>
      </c>
      <c r="F3312" s="93"/>
      <c r="G3312" s="93"/>
      <c r="H3312" s="93"/>
      <c r="I3312" s="93"/>
      <c r="J3312" s="93"/>
      <c r="K3312" s="93"/>
      <c r="L3312" s="93"/>
      <c r="M3312" s="93"/>
      <c r="N3312" s="93"/>
      <c r="O3312" s="93"/>
      <c r="P3312" s="93"/>
      <c r="Q3312" s="93"/>
      <c r="R3312" s="93"/>
      <c r="S3312" s="93"/>
      <c r="T3312" s="93"/>
      <c r="U3312" s="93">
        <v>70</v>
      </c>
      <c r="V3312" s="93"/>
      <c r="W3312" s="96">
        <v>0</v>
      </c>
      <c r="X3312" s="71">
        <f>CU3312</f>
        <v>0</v>
      </c>
      <c r="Y3312" s="71">
        <f>CY3312</f>
        <v>0</v>
      </c>
      <c r="Z3312" s="71">
        <f>DA3312+DC3312+DE3312</f>
        <v>0</v>
      </c>
      <c r="AA3312" s="71">
        <f>CW3312</f>
        <v>0</v>
      </c>
      <c r="AB3312" s="71"/>
      <c r="AC3312" s="71">
        <v>0</v>
      </c>
      <c r="AD3312" s="71">
        <f>W3312+X3312+Y3312+Z3312+AA3312+AB3312+AC3312</f>
        <v>0</v>
      </c>
      <c r="AE3312" s="72">
        <v>0</v>
      </c>
      <c r="AF3312" s="5"/>
      <c r="AG3312" s="6"/>
      <c r="AH3312" s="27"/>
      <c r="AI3312" s="44"/>
      <c r="AJ3312" s="26"/>
      <c r="AK3312" s="5"/>
      <c r="AL3312" s="268" t="s">
        <v>6254</v>
      </c>
      <c r="AM3312" s="76"/>
      <c r="AN3312" s="76"/>
      <c r="AO3312" s="76"/>
      <c r="AP3312" s="76"/>
      <c r="AQ3312" s="76"/>
      <c r="AR3312" s="76"/>
      <c r="AS3312" s="76"/>
      <c r="AT3312" s="76"/>
      <c r="AU3312" s="76"/>
      <c r="AV3312" s="76"/>
      <c r="AW3312" s="76"/>
      <c r="AX3312" s="76">
        <f>+AW3312*600000</f>
        <v>0</v>
      </c>
      <c r="AY3312" s="76"/>
      <c r="AZ3312" s="76">
        <f>+AY3312*70000</f>
        <v>0</v>
      </c>
      <c r="BA3312" s="76"/>
      <c r="BB3312" s="76"/>
      <c r="BC3312" s="76"/>
      <c r="BD3312" s="76">
        <f>+BC3312*30000</f>
        <v>0</v>
      </c>
      <c r="BE3312" s="76"/>
      <c r="BF3312" s="76"/>
      <c r="BG3312" s="76"/>
      <c r="BH3312" s="76"/>
      <c r="BI3312" s="76"/>
      <c r="BJ3312" s="76"/>
      <c r="BK3312" s="76"/>
      <c r="BL3312" s="76">
        <f>+BK3312*31500</f>
        <v>0</v>
      </c>
      <c r="BM3312" s="76"/>
      <c r="BN3312" s="76"/>
      <c r="BO3312" s="76"/>
      <c r="BP3312" s="76"/>
      <c r="BQ3312" s="76"/>
      <c r="BR3312" s="76"/>
      <c r="BS3312" s="76"/>
      <c r="BT3312" s="76"/>
      <c r="BU3312" s="76"/>
      <c r="BV3312" s="76"/>
      <c r="BW3312" s="76"/>
      <c r="BX3312" s="76"/>
      <c r="BY3312" s="76"/>
      <c r="BZ3312" s="76"/>
      <c r="CA3312" s="76"/>
      <c r="CB3312" s="76"/>
      <c r="CC3312" s="76"/>
      <c r="CD3312" s="76"/>
      <c r="CE3312" s="76"/>
      <c r="CF3312" s="76">
        <f>+CE3312*28000</f>
        <v>0</v>
      </c>
      <c r="CG3312" s="76"/>
      <c r="CH3312" s="76">
        <f>+CG3312*22500</f>
        <v>0</v>
      </c>
      <c r="CI3312" s="76"/>
      <c r="CJ3312" s="76">
        <f>+CI3312*26000</f>
        <v>0</v>
      </c>
      <c r="CK3312" s="76"/>
      <c r="CL3312" s="76"/>
      <c r="CM3312" s="76"/>
      <c r="CN3312" s="76">
        <f>+CM3312*22000</f>
        <v>0</v>
      </c>
      <c r="CO3312" s="76"/>
      <c r="CP3312" s="76">
        <f>+CO3312*46000</f>
        <v>0</v>
      </c>
      <c r="CQ3312" s="76"/>
      <c r="CR3312" s="76">
        <f>+CQ3312*49000</f>
        <v>0</v>
      </c>
      <c r="CS3312" s="76"/>
      <c r="CT3312" s="76"/>
      <c r="CU3312" s="56">
        <f>AN3312+AP3312+AR3312+AT3312+AV3312+AX3312+AZ3312+BB3312+BD3312+BF3312+BH3312+BJ3312+BL3312+BN3312+BP3312+BR3312+BT3312+BV3312+BX3312+BZ3312+CB3312+CD3312+CF3312+CH3312+CJ3312+CL3312+CN3312+CP3312+CR3312+CT3312</f>
        <v>0</v>
      </c>
      <c r="CV3312" s="76"/>
      <c r="CW3312" s="76">
        <f>+CV3312*1100</f>
        <v>0</v>
      </c>
      <c r="CX3312" s="76"/>
      <c r="CY3312" s="76">
        <f>+CX3312*106250</f>
        <v>0</v>
      </c>
      <c r="CZ3312" s="76"/>
      <c r="DA3312" s="76">
        <f>+CZ3312*34500</f>
        <v>0</v>
      </c>
      <c r="DB3312" s="76"/>
      <c r="DC3312" s="76">
        <f>+DB3312*25000</f>
        <v>0</v>
      </c>
      <c r="DD3312" s="219"/>
      <c r="DE3312" s="219"/>
      <c r="DF3312" s="166"/>
      <c r="DG3312" s="116"/>
      <c r="DH3312" s="117"/>
      <c r="DI3312" s="24"/>
      <c r="DJ3312" s="24"/>
      <c r="DK3312" s="24"/>
      <c r="DL3312" s="24"/>
      <c r="DM3312" s="24"/>
      <c r="DN3312" s="24"/>
      <c r="DO3312" s="24"/>
      <c r="DP3312" s="24"/>
      <c r="DQ3312" s="24"/>
      <c r="DR3312" s="24"/>
      <c r="DS3312" s="24"/>
      <c r="DT3312" s="24"/>
      <c r="DU3312" s="24"/>
    </row>
    <row r="3313" spans="1:125" s="8" customFormat="1" ht="48" x14ac:dyDescent="0.2">
      <c r="A3313" s="77">
        <v>41554</v>
      </c>
      <c r="B3313" s="78" t="s">
        <v>2661</v>
      </c>
      <c r="C3313" s="75" t="s">
        <v>2669</v>
      </c>
      <c r="D3313" s="351" t="s">
        <v>2846</v>
      </c>
      <c r="E3313" s="75" t="str">
        <f>VLOOKUP(B3313&amp;C3313,Divipola!$C$2:$F$1138,4,FALSE)</f>
        <v>41885</v>
      </c>
      <c r="F3313" s="93"/>
      <c r="G3313" s="93"/>
      <c r="H3313" s="93"/>
      <c r="I3313" s="93"/>
      <c r="J3313" s="93"/>
      <c r="K3313" s="93"/>
      <c r="L3313" s="93"/>
      <c r="M3313" s="93"/>
      <c r="N3313" s="93"/>
      <c r="O3313" s="93"/>
      <c r="P3313" s="93"/>
      <c r="Q3313" s="93"/>
      <c r="R3313" s="93"/>
      <c r="S3313" s="93"/>
      <c r="T3313" s="93"/>
      <c r="U3313" s="93">
        <v>6</v>
      </c>
      <c r="V3313" s="89"/>
      <c r="W3313" s="96">
        <v>0</v>
      </c>
      <c r="X3313" s="71">
        <f>CU3313</f>
        <v>0</v>
      </c>
      <c r="Y3313" s="71">
        <f>CY3313</f>
        <v>0</v>
      </c>
      <c r="Z3313" s="71">
        <f>DA3313+DC3313+DE3313</f>
        <v>0</v>
      </c>
      <c r="AA3313" s="71">
        <f>CW3313</f>
        <v>0</v>
      </c>
      <c r="AB3313" s="71"/>
      <c r="AC3313" s="71">
        <v>0</v>
      </c>
      <c r="AD3313" s="71">
        <f>W3313+X3313+Y3313+Z3313+AA3313+AB3313+AC3313</f>
        <v>0</v>
      </c>
      <c r="AE3313" s="72">
        <v>0</v>
      </c>
      <c r="AF3313" s="5"/>
      <c r="AG3313" s="6"/>
      <c r="AH3313" s="27"/>
      <c r="AI3313" s="44"/>
      <c r="AJ3313" s="26"/>
      <c r="AK3313" s="5"/>
      <c r="AL3313" s="268" t="s">
        <v>6255</v>
      </c>
      <c r="AM3313" s="76"/>
      <c r="AN3313" s="76"/>
      <c r="AO3313" s="76"/>
      <c r="AP3313" s="76"/>
      <c r="AQ3313" s="76"/>
      <c r="AR3313" s="76"/>
      <c r="AS3313" s="76"/>
      <c r="AT3313" s="76"/>
      <c r="AU3313" s="76"/>
      <c r="AV3313" s="76"/>
      <c r="AW3313" s="76"/>
      <c r="AX3313" s="76">
        <f>+AW3313*600000</f>
        <v>0</v>
      </c>
      <c r="AY3313" s="76"/>
      <c r="AZ3313" s="76">
        <f>+AY3313*70000</f>
        <v>0</v>
      </c>
      <c r="BA3313" s="76"/>
      <c r="BB3313" s="76"/>
      <c r="BC3313" s="76"/>
      <c r="BD3313" s="76">
        <f>+BC3313*30000</f>
        <v>0</v>
      </c>
      <c r="BE3313" s="76"/>
      <c r="BF3313" s="76"/>
      <c r="BG3313" s="76"/>
      <c r="BH3313" s="76"/>
      <c r="BI3313" s="76"/>
      <c r="BJ3313" s="76"/>
      <c r="BK3313" s="76"/>
      <c r="BL3313" s="76">
        <f>+BK3313*31500</f>
        <v>0</v>
      </c>
      <c r="BM3313" s="76"/>
      <c r="BN3313" s="76"/>
      <c r="BO3313" s="76"/>
      <c r="BP3313" s="76"/>
      <c r="BQ3313" s="76"/>
      <c r="BR3313" s="76"/>
      <c r="BS3313" s="76"/>
      <c r="BT3313" s="76"/>
      <c r="BU3313" s="76"/>
      <c r="BV3313" s="76"/>
      <c r="BW3313" s="76"/>
      <c r="BX3313" s="76"/>
      <c r="BY3313" s="76"/>
      <c r="BZ3313" s="76"/>
      <c r="CA3313" s="76"/>
      <c r="CB3313" s="76"/>
      <c r="CC3313" s="76"/>
      <c r="CD3313" s="76"/>
      <c r="CE3313" s="76"/>
      <c r="CF3313" s="76">
        <f>+CE3313*28000</f>
        <v>0</v>
      </c>
      <c r="CG3313" s="76"/>
      <c r="CH3313" s="76">
        <f>+CG3313*22500</f>
        <v>0</v>
      </c>
      <c r="CI3313" s="76"/>
      <c r="CJ3313" s="76">
        <f>+CI3313*26000</f>
        <v>0</v>
      </c>
      <c r="CK3313" s="76"/>
      <c r="CL3313" s="76"/>
      <c r="CM3313" s="76"/>
      <c r="CN3313" s="76">
        <f>+CM3313*22000</f>
        <v>0</v>
      </c>
      <c r="CO3313" s="76"/>
      <c r="CP3313" s="76">
        <f>+CO3313*46000</f>
        <v>0</v>
      </c>
      <c r="CQ3313" s="76"/>
      <c r="CR3313" s="76">
        <f>+CQ3313*49000</f>
        <v>0</v>
      </c>
      <c r="CS3313" s="76"/>
      <c r="CT3313" s="76"/>
      <c r="CU3313" s="56">
        <f>AN3313+AP3313+AR3313+AT3313+AV3313+AX3313+AZ3313+BB3313+BD3313+BF3313+BH3313+BJ3313+BL3313+BN3313+BP3313+BR3313+BT3313+BV3313+BX3313+BZ3313+CB3313+CD3313+CF3313+CH3313+CJ3313+CL3313+CN3313+CP3313+CR3313+CT3313</f>
        <v>0</v>
      </c>
      <c r="CV3313" s="76"/>
      <c r="CW3313" s="76">
        <f>+CV3313*1100</f>
        <v>0</v>
      </c>
      <c r="CX3313" s="76"/>
      <c r="CY3313" s="76">
        <f>+CX3313*106250</f>
        <v>0</v>
      </c>
      <c r="CZ3313" s="76"/>
      <c r="DA3313" s="76">
        <f>+CZ3313*34500</f>
        <v>0</v>
      </c>
      <c r="DB3313" s="76"/>
      <c r="DC3313" s="76">
        <f>+DB3313*25000</f>
        <v>0</v>
      </c>
      <c r="DD3313" s="219"/>
      <c r="DE3313" s="219"/>
      <c r="DF3313" s="166"/>
      <c r="DG3313" s="116"/>
      <c r="DH3313" s="117"/>
      <c r="DI3313" s="24"/>
      <c r="DJ3313" s="24"/>
      <c r="DK3313" s="24"/>
      <c r="DL3313" s="24"/>
      <c r="DM3313" s="24"/>
      <c r="DN3313" s="24"/>
      <c r="DO3313" s="24"/>
      <c r="DP3313" s="24"/>
      <c r="DQ3313" s="24"/>
      <c r="DR3313" s="24"/>
      <c r="DS3313" s="24"/>
      <c r="DT3313" s="24"/>
      <c r="DU3313" s="24"/>
    </row>
    <row r="3314" spans="1:125" s="8" customFormat="1" ht="48" x14ac:dyDescent="0.2">
      <c r="A3314" s="353">
        <v>41554</v>
      </c>
      <c r="B3314" s="78" t="s">
        <v>2661</v>
      </c>
      <c r="C3314" s="83" t="s">
        <v>2669</v>
      </c>
      <c r="D3314" s="75" t="s">
        <v>2846</v>
      </c>
      <c r="E3314" s="75" t="str">
        <f>VLOOKUP(B3314&amp;C3314,Divipola!$C$2:$F$1138,4,FALSE)</f>
        <v>41885</v>
      </c>
      <c r="F3314" s="93"/>
      <c r="G3314" s="93"/>
      <c r="H3314" s="93"/>
      <c r="I3314" s="93"/>
      <c r="J3314" s="93"/>
      <c r="K3314" s="93"/>
      <c r="L3314" s="93"/>
      <c r="M3314" s="93"/>
      <c r="N3314" s="93"/>
      <c r="O3314" s="93"/>
      <c r="P3314" s="93"/>
      <c r="Q3314" s="93"/>
      <c r="R3314" s="93"/>
      <c r="S3314" s="93"/>
      <c r="T3314" s="93"/>
      <c r="U3314" s="125">
        <v>1.5</v>
      </c>
      <c r="V3314" s="89"/>
      <c r="W3314" s="96">
        <v>0</v>
      </c>
      <c r="X3314" s="71">
        <f>CU3314</f>
        <v>0</v>
      </c>
      <c r="Y3314" s="71">
        <f>CY3314</f>
        <v>0</v>
      </c>
      <c r="Z3314" s="71">
        <f>DA3314+DC3314+DE3314</f>
        <v>0</v>
      </c>
      <c r="AA3314" s="71">
        <f>CW3314</f>
        <v>0</v>
      </c>
      <c r="AB3314" s="71"/>
      <c r="AC3314" s="71">
        <v>0</v>
      </c>
      <c r="AD3314" s="71">
        <f>W3314+X3314+Y3314+Z3314+AA3314+AB3314+AC3314</f>
        <v>0</v>
      </c>
      <c r="AE3314" s="72">
        <v>0</v>
      </c>
      <c r="AF3314" s="5"/>
      <c r="AG3314" s="6"/>
      <c r="AH3314" s="27"/>
      <c r="AI3314" s="44"/>
      <c r="AJ3314" s="26"/>
      <c r="AK3314" s="5"/>
      <c r="AL3314" s="268" t="s">
        <v>6256</v>
      </c>
      <c r="AM3314" s="76"/>
      <c r="AN3314" s="76"/>
      <c r="AO3314" s="76"/>
      <c r="AP3314" s="76"/>
      <c r="AQ3314" s="76"/>
      <c r="AR3314" s="76"/>
      <c r="AS3314" s="76"/>
      <c r="AT3314" s="76"/>
      <c r="AU3314" s="76"/>
      <c r="AV3314" s="76"/>
      <c r="AW3314" s="76"/>
      <c r="AX3314" s="76">
        <f>+AW3314*600000</f>
        <v>0</v>
      </c>
      <c r="AY3314" s="76"/>
      <c r="AZ3314" s="76">
        <f>+AY3314*70000</f>
        <v>0</v>
      </c>
      <c r="BA3314" s="76"/>
      <c r="BB3314" s="76"/>
      <c r="BC3314" s="76"/>
      <c r="BD3314" s="76">
        <f>+BC3314*30000</f>
        <v>0</v>
      </c>
      <c r="BE3314" s="76"/>
      <c r="BF3314" s="76"/>
      <c r="BG3314" s="76"/>
      <c r="BH3314" s="76"/>
      <c r="BI3314" s="76"/>
      <c r="BJ3314" s="76"/>
      <c r="BK3314" s="76"/>
      <c r="BL3314" s="76">
        <f>+BK3314*31500</f>
        <v>0</v>
      </c>
      <c r="BM3314" s="76"/>
      <c r="BN3314" s="76"/>
      <c r="BO3314" s="76"/>
      <c r="BP3314" s="76"/>
      <c r="BQ3314" s="76"/>
      <c r="BR3314" s="76"/>
      <c r="BS3314" s="76"/>
      <c r="BT3314" s="76"/>
      <c r="BU3314" s="76"/>
      <c r="BV3314" s="76"/>
      <c r="BW3314" s="76"/>
      <c r="BX3314" s="76"/>
      <c r="BY3314" s="76"/>
      <c r="BZ3314" s="76"/>
      <c r="CA3314" s="76"/>
      <c r="CB3314" s="76"/>
      <c r="CC3314" s="76"/>
      <c r="CD3314" s="76"/>
      <c r="CE3314" s="76"/>
      <c r="CF3314" s="76">
        <f>+CE3314*28000</f>
        <v>0</v>
      </c>
      <c r="CG3314" s="76"/>
      <c r="CH3314" s="76">
        <f>+CG3314*22500</f>
        <v>0</v>
      </c>
      <c r="CI3314" s="76"/>
      <c r="CJ3314" s="76">
        <f>+CI3314*26000</f>
        <v>0</v>
      </c>
      <c r="CK3314" s="76"/>
      <c r="CL3314" s="76"/>
      <c r="CM3314" s="76"/>
      <c r="CN3314" s="76">
        <f>+CM3314*22000</f>
        <v>0</v>
      </c>
      <c r="CO3314" s="76"/>
      <c r="CP3314" s="76">
        <f>+CO3314*46000</f>
        <v>0</v>
      </c>
      <c r="CQ3314" s="76"/>
      <c r="CR3314" s="76">
        <f>+CQ3314*49000</f>
        <v>0</v>
      </c>
      <c r="CS3314" s="76"/>
      <c r="CT3314" s="76"/>
      <c r="CU3314" s="56">
        <f>AN3314+AP3314+AR3314+AT3314+AV3314+AX3314+AZ3314+BB3314+BD3314+BF3314+BH3314+BJ3314+BL3314+BN3314+BP3314+BR3314+BT3314+BV3314+BX3314+BZ3314+CB3314+CD3314+CF3314+CH3314+CJ3314+CL3314+CN3314+CP3314+CR3314+CT3314</f>
        <v>0</v>
      </c>
      <c r="CV3314" s="76"/>
      <c r="CW3314" s="76">
        <f>+CV3314*1100</f>
        <v>0</v>
      </c>
      <c r="CX3314" s="76"/>
      <c r="CY3314" s="76">
        <f>+CX3314*106250</f>
        <v>0</v>
      </c>
      <c r="CZ3314" s="76"/>
      <c r="DA3314" s="76">
        <f>+CZ3314*34500</f>
        <v>0</v>
      </c>
      <c r="DB3314" s="76"/>
      <c r="DC3314" s="76">
        <f>+DB3314*25000</f>
        <v>0</v>
      </c>
      <c r="DD3314" s="219"/>
      <c r="DE3314" s="219"/>
      <c r="DF3314" s="166"/>
      <c r="DG3314" s="116"/>
      <c r="DH3314" s="117"/>
      <c r="DI3314" s="24"/>
      <c r="DJ3314" s="24"/>
      <c r="DK3314" s="24"/>
      <c r="DL3314" s="24"/>
      <c r="DM3314" s="24"/>
      <c r="DN3314" s="24"/>
      <c r="DO3314" s="24"/>
      <c r="DP3314" s="24"/>
      <c r="DQ3314" s="24"/>
      <c r="DR3314" s="24"/>
      <c r="DS3314" s="24"/>
      <c r="DT3314" s="24"/>
      <c r="DU3314" s="24"/>
    </row>
    <row r="3315" spans="1:125" s="8" customFormat="1" ht="36" x14ac:dyDescent="0.2">
      <c r="A3315" s="77">
        <v>41554</v>
      </c>
      <c r="B3315" s="352" t="s">
        <v>2774</v>
      </c>
      <c r="C3315" s="354" t="s">
        <v>2745</v>
      </c>
      <c r="D3315" s="354" t="s">
        <v>3051</v>
      </c>
      <c r="E3315" s="75" t="str">
        <f>VLOOKUP(B3315&amp;C3315,Divipola!$C$2:$F$1138,4,FALSE)</f>
        <v>66318</v>
      </c>
      <c r="F3315" s="87"/>
      <c r="G3315" s="87"/>
      <c r="H3315" s="87"/>
      <c r="I3315" s="87">
        <v>165</v>
      </c>
      <c r="J3315" s="87">
        <v>33</v>
      </c>
      <c r="K3315" s="87"/>
      <c r="L3315" s="87">
        <v>33</v>
      </c>
      <c r="M3315" s="87"/>
      <c r="N3315" s="87"/>
      <c r="O3315" s="87"/>
      <c r="P3315" s="87"/>
      <c r="Q3315" s="87"/>
      <c r="R3315" s="87"/>
      <c r="S3315" s="87"/>
      <c r="T3315" s="87"/>
      <c r="U3315" s="88"/>
      <c r="V3315" s="89"/>
      <c r="W3315" s="96">
        <v>0</v>
      </c>
      <c r="X3315" s="71">
        <f>CU3315</f>
        <v>0</v>
      </c>
      <c r="Y3315" s="71">
        <f>CY3315</f>
        <v>0</v>
      </c>
      <c r="Z3315" s="71">
        <f>DA3315+DC3315+DE3315</f>
        <v>0</v>
      </c>
      <c r="AA3315" s="71">
        <f>CW3315</f>
        <v>0</v>
      </c>
      <c r="AB3315" s="71"/>
      <c r="AC3315" s="71">
        <v>0</v>
      </c>
      <c r="AD3315" s="71">
        <f>W3315+X3315+Y3315+Z3315+AA3315+AB3315+AC3315</f>
        <v>0</v>
      </c>
      <c r="AE3315" s="72">
        <v>0</v>
      </c>
      <c r="AF3315" s="5"/>
      <c r="AG3315" s="6"/>
      <c r="AH3315" s="27"/>
      <c r="AI3315" s="44"/>
      <c r="AJ3315" s="26"/>
      <c r="AK3315" s="5"/>
      <c r="AL3315" s="268" t="s">
        <v>6252</v>
      </c>
      <c r="AM3315" s="76"/>
      <c r="AN3315" s="76"/>
      <c r="AO3315" s="76"/>
      <c r="AP3315" s="76"/>
      <c r="AQ3315" s="76"/>
      <c r="AR3315" s="76"/>
      <c r="AS3315" s="76"/>
      <c r="AT3315" s="76"/>
      <c r="AU3315" s="76"/>
      <c r="AV3315" s="76"/>
      <c r="AW3315" s="76"/>
      <c r="AX3315" s="76">
        <f>+AW3315*600000</f>
        <v>0</v>
      </c>
      <c r="AY3315" s="76"/>
      <c r="AZ3315" s="76">
        <f>+AY3315*70000</f>
        <v>0</v>
      </c>
      <c r="BA3315" s="76"/>
      <c r="BB3315" s="76"/>
      <c r="BC3315" s="76"/>
      <c r="BD3315" s="76">
        <f>+BC3315*30000</f>
        <v>0</v>
      </c>
      <c r="BE3315" s="76"/>
      <c r="BF3315" s="76"/>
      <c r="BG3315" s="76"/>
      <c r="BH3315" s="76"/>
      <c r="BI3315" s="76"/>
      <c r="BJ3315" s="76"/>
      <c r="BK3315" s="76"/>
      <c r="BL3315" s="76">
        <f>+BK3315*31500</f>
        <v>0</v>
      </c>
      <c r="BM3315" s="76"/>
      <c r="BN3315" s="76"/>
      <c r="BO3315" s="76"/>
      <c r="BP3315" s="76"/>
      <c r="BQ3315" s="76"/>
      <c r="BR3315" s="76"/>
      <c r="BS3315" s="76"/>
      <c r="BT3315" s="76"/>
      <c r="BU3315" s="76"/>
      <c r="BV3315" s="76"/>
      <c r="BW3315" s="76"/>
      <c r="BX3315" s="76"/>
      <c r="BY3315" s="76"/>
      <c r="BZ3315" s="76"/>
      <c r="CA3315" s="76"/>
      <c r="CB3315" s="76"/>
      <c r="CC3315" s="76"/>
      <c r="CD3315" s="76"/>
      <c r="CE3315" s="76"/>
      <c r="CF3315" s="76">
        <f>+CE3315*28000</f>
        <v>0</v>
      </c>
      <c r="CG3315" s="76"/>
      <c r="CH3315" s="76">
        <f>+CG3315*22500</f>
        <v>0</v>
      </c>
      <c r="CI3315" s="76"/>
      <c r="CJ3315" s="76">
        <f>+CI3315*26000</f>
        <v>0</v>
      </c>
      <c r="CK3315" s="76"/>
      <c r="CL3315" s="76"/>
      <c r="CM3315" s="76"/>
      <c r="CN3315" s="76">
        <f>+CM3315*22000</f>
        <v>0</v>
      </c>
      <c r="CO3315" s="76"/>
      <c r="CP3315" s="76">
        <f>+CO3315*46000</f>
        <v>0</v>
      </c>
      <c r="CQ3315" s="76"/>
      <c r="CR3315" s="76">
        <f>+CQ3315*49000</f>
        <v>0</v>
      </c>
      <c r="CS3315" s="76"/>
      <c r="CT3315" s="76"/>
      <c r="CU3315" s="56">
        <f>AN3315+AP3315+AR3315+AT3315+AV3315+AX3315+AZ3315+BB3315+BD3315+BF3315+BH3315+BJ3315+BL3315+BN3315+BP3315+BR3315+BT3315+BV3315+BX3315+BZ3315+CB3315+CD3315+CF3315+CH3315+CJ3315+CL3315+CN3315+CP3315+CR3315+CT3315</f>
        <v>0</v>
      </c>
      <c r="CV3315" s="76"/>
      <c r="CW3315" s="76">
        <f>+CV3315*1100</f>
        <v>0</v>
      </c>
      <c r="CX3315" s="76"/>
      <c r="CY3315" s="76">
        <f>+CX3315*106250</f>
        <v>0</v>
      </c>
      <c r="CZ3315" s="76"/>
      <c r="DA3315" s="76">
        <f>+CZ3315*34500</f>
        <v>0</v>
      </c>
      <c r="DB3315" s="76"/>
      <c r="DC3315" s="76">
        <f>+DB3315*25000</f>
        <v>0</v>
      </c>
      <c r="DD3315" s="219"/>
      <c r="DE3315" s="219"/>
      <c r="DF3315" s="166"/>
      <c r="DG3315" s="116"/>
      <c r="DH3315" s="117"/>
      <c r="DI3315" s="24"/>
      <c r="DJ3315" s="24"/>
      <c r="DK3315" s="24"/>
      <c r="DL3315" s="24"/>
      <c r="DM3315" s="24"/>
      <c r="DN3315" s="24"/>
      <c r="DO3315" s="24"/>
      <c r="DP3315" s="24"/>
      <c r="DQ3315" s="24"/>
      <c r="DR3315" s="24"/>
      <c r="DS3315" s="24"/>
      <c r="DT3315" s="24"/>
      <c r="DU3315" s="24"/>
    </row>
    <row r="3316" spans="1:125" s="8" customFormat="1" ht="36" x14ac:dyDescent="0.2">
      <c r="A3316" s="353">
        <v>41554</v>
      </c>
      <c r="B3316" s="78" t="s">
        <v>2774</v>
      </c>
      <c r="C3316" s="75" t="s">
        <v>2038</v>
      </c>
      <c r="D3316" s="75" t="s">
        <v>3051</v>
      </c>
      <c r="E3316" s="75" t="str">
        <f>VLOOKUP(B3316&amp;C3316,Divipola!$C$2:$F$1138,4,FALSE)</f>
        <v>66456</v>
      </c>
      <c r="F3316" s="87"/>
      <c r="G3316" s="87"/>
      <c r="H3316" s="87"/>
      <c r="I3316" s="87">
        <v>100</v>
      </c>
      <c r="J3316" s="87">
        <v>20</v>
      </c>
      <c r="K3316" s="87"/>
      <c r="L3316" s="87">
        <v>20</v>
      </c>
      <c r="M3316" s="87"/>
      <c r="N3316" s="87"/>
      <c r="O3316" s="87"/>
      <c r="P3316" s="87"/>
      <c r="Q3316" s="87"/>
      <c r="R3316" s="87"/>
      <c r="S3316" s="87"/>
      <c r="T3316" s="87"/>
      <c r="U3316" s="88"/>
      <c r="V3316" s="89"/>
      <c r="W3316" s="96">
        <v>0</v>
      </c>
      <c r="X3316" s="71">
        <f>CU3316</f>
        <v>0</v>
      </c>
      <c r="Y3316" s="71">
        <f>CY3316</f>
        <v>0</v>
      </c>
      <c r="Z3316" s="71">
        <f>DA3316+DC3316+DE3316</f>
        <v>0</v>
      </c>
      <c r="AA3316" s="71">
        <f>CW3316</f>
        <v>0</v>
      </c>
      <c r="AB3316" s="71"/>
      <c r="AC3316" s="71">
        <v>0</v>
      </c>
      <c r="AD3316" s="71">
        <f>W3316+X3316+Y3316+Z3316+AA3316+AB3316+AC3316</f>
        <v>0</v>
      </c>
      <c r="AE3316" s="72">
        <v>0</v>
      </c>
      <c r="AF3316" s="5"/>
      <c r="AG3316" s="6"/>
      <c r="AH3316" s="27"/>
      <c r="AI3316" s="44"/>
      <c r="AJ3316" s="26"/>
      <c r="AK3316" s="5"/>
      <c r="AL3316" s="268" t="s">
        <v>6253</v>
      </c>
      <c r="AM3316" s="76"/>
      <c r="AN3316" s="76"/>
      <c r="AO3316" s="76"/>
      <c r="AP3316" s="76"/>
      <c r="AQ3316" s="76"/>
      <c r="AR3316" s="76"/>
      <c r="AS3316" s="76"/>
      <c r="AT3316" s="76"/>
      <c r="AU3316" s="76"/>
      <c r="AV3316" s="76"/>
      <c r="AW3316" s="76"/>
      <c r="AX3316" s="76">
        <f>+AW3316*600000</f>
        <v>0</v>
      </c>
      <c r="AY3316" s="76"/>
      <c r="AZ3316" s="76">
        <f>+AY3316*70000</f>
        <v>0</v>
      </c>
      <c r="BA3316" s="76"/>
      <c r="BB3316" s="76"/>
      <c r="BC3316" s="76"/>
      <c r="BD3316" s="76">
        <f>+BC3316*30000</f>
        <v>0</v>
      </c>
      <c r="BE3316" s="76"/>
      <c r="BF3316" s="76"/>
      <c r="BG3316" s="76"/>
      <c r="BH3316" s="76"/>
      <c r="BI3316" s="76"/>
      <c r="BJ3316" s="76"/>
      <c r="BK3316" s="76"/>
      <c r="BL3316" s="76">
        <f>+BK3316*31500</f>
        <v>0</v>
      </c>
      <c r="BM3316" s="76"/>
      <c r="BN3316" s="76"/>
      <c r="BO3316" s="76"/>
      <c r="BP3316" s="76"/>
      <c r="BQ3316" s="76"/>
      <c r="BR3316" s="76"/>
      <c r="BS3316" s="76"/>
      <c r="BT3316" s="76"/>
      <c r="BU3316" s="76"/>
      <c r="BV3316" s="76"/>
      <c r="BW3316" s="76"/>
      <c r="BX3316" s="76"/>
      <c r="BY3316" s="76"/>
      <c r="BZ3316" s="76"/>
      <c r="CA3316" s="76"/>
      <c r="CB3316" s="76"/>
      <c r="CC3316" s="76"/>
      <c r="CD3316" s="76"/>
      <c r="CE3316" s="76"/>
      <c r="CF3316" s="76">
        <f>+CE3316*28000</f>
        <v>0</v>
      </c>
      <c r="CG3316" s="76"/>
      <c r="CH3316" s="76">
        <f>+CG3316*22500</f>
        <v>0</v>
      </c>
      <c r="CI3316" s="76"/>
      <c r="CJ3316" s="76">
        <f>+CI3316*26000</f>
        <v>0</v>
      </c>
      <c r="CK3316" s="76"/>
      <c r="CL3316" s="76"/>
      <c r="CM3316" s="76"/>
      <c r="CN3316" s="76">
        <f>+CM3316*22000</f>
        <v>0</v>
      </c>
      <c r="CO3316" s="76"/>
      <c r="CP3316" s="76">
        <f>+CO3316*46000</f>
        <v>0</v>
      </c>
      <c r="CQ3316" s="76"/>
      <c r="CR3316" s="76">
        <f>+CQ3316*49000</f>
        <v>0</v>
      </c>
      <c r="CS3316" s="76"/>
      <c r="CT3316" s="76"/>
      <c r="CU3316" s="56">
        <f>AN3316+AP3316+AR3316+AT3316+AV3316+AX3316+AZ3316+BB3316+BD3316+BF3316+BH3316+BJ3316+BL3316+BN3316+BP3316+BR3316+BT3316+BV3316+BX3316+BZ3316+CB3316+CD3316+CF3316+CH3316+CJ3316+CL3316+CN3316+CP3316+CR3316+CT3316</f>
        <v>0</v>
      </c>
      <c r="CV3316" s="76"/>
      <c r="CW3316" s="76">
        <f>+CV3316*1100</f>
        <v>0</v>
      </c>
      <c r="CX3316" s="76"/>
      <c r="CY3316" s="76">
        <f>+CX3316*106250</f>
        <v>0</v>
      </c>
      <c r="CZ3316" s="76"/>
      <c r="DA3316" s="76">
        <f>+CZ3316*34500</f>
        <v>0</v>
      </c>
      <c r="DB3316" s="76"/>
      <c r="DC3316" s="76">
        <f>+DB3316*25000</f>
        <v>0</v>
      </c>
      <c r="DD3316" s="219"/>
      <c r="DE3316" s="219"/>
      <c r="DF3316" s="166"/>
      <c r="DG3316" s="116"/>
      <c r="DH3316" s="117"/>
      <c r="DI3316" s="24"/>
      <c r="DJ3316" s="24"/>
      <c r="DK3316" s="24"/>
      <c r="DL3316" s="24"/>
      <c r="DM3316" s="24"/>
      <c r="DN3316" s="24"/>
      <c r="DO3316" s="24"/>
      <c r="DP3316" s="24"/>
      <c r="DQ3316" s="24"/>
      <c r="DR3316" s="24"/>
      <c r="DS3316" s="24"/>
      <c r="DT3316" s="24"/>
      <c r="DU3316" s="24"/>
    </row>
    <row r="3317" spans="1:125" s="8" customFormat="1" ht="96" x14ac:dyDescent="0.2">
      <c r="A3317" s="353">
        <v>41555</v>
      </c>
      <c r="B3317" s="352" t="s">
        <v>2881</v>
      </c>
      <c r="C3317" s="354" t="s">
        <v>2547</v>
      </c>
      <c r="D3317" s="354" t="s">
        <v>3017</v>
      </c>
      <c r="E3317" s="75" t="str">
        <f>VLOOKUP(B3317&amp;C3317,Divipola!$C$2:$F$1138,4,FALSE)</f>
        <v>08638</v>
      </c>
      <c r="F3317" s="87">
        <v>2</v>
      </c>
      <c r="G3317" s="87"/>
      <c r="H3317" s="87"/>
      <c r="I3317" s="87"/>
      <c r="J3317" s="87"/>
      <c r="K3317" s="87"/>
      <c r="L3317" s="87"/>
      <c r="M3317" s="87"/>
      <c r="N3317" s="87"/>
      <c r="O3317" s="87"/>
      <c r="P3317" s="87"/>
      <c r="Q3317" s="87"/>
      <c r="R3317" s="87"/>
      <c r="S3317" s="87"/>
      <c r="T3317" s="87"/>
      <c r="U3317" s="88"/>
      <c r="V3317" s="89"/>
      <c r="W3317" s="96">
        <v>0</v>
      </c>
      <c r="X3317" s="71">
        <f>CU3317</f>
        <v>0</v>
      </c>
      <c r="Y3317" s="71">
        <f>CY3317</f>
        <v>0</v>
      </c>
      <c r="Z3317" s="71">
        <f>DA3317+DC3317+DE3317</f>
        <v>0</v>
      </c>
      <c r="AA3317" s="71">
        <f>CW3317</f>
        <v>0</v>
      </c>
      <c r="AB3317" s="71"/>
      <c r="AC3317" s="71">
        <v>0</v>
      </c>
      <c r="AD3317" s="71">
        <f>W3317+X3317+Y3317+Z3317+AA3317+AB3317+AC3317</f>
        <v>0</v>
      </c>
      <c r="AE3317" s="72">
        <v>0</v>
      </c>
      <c r="AF3317" s="5"/>
      <c r="AG3317" s="6"/>
      <c r="AH3317" s="27"/>
      <c r="AI3317" s="44"/>
      <c r="AJ3317" s="26"/>
      <c r="AK3317" s="5"/>
      <c r="AL3317" s="268" t="s">
        <v>6259</v>
      </c>
      <c r="AM3317" s="76"/>
      <c r="AN3317" s="76"/>
      <c r="AO3317" s="76"/>
      <c r="AP3317" s="76"/>
      <c r="AQ3317" s="76"/>
      <c r="AR3317" s="76"/>
      <c r="AS3317" s="76"/>
      <c r="AT3317" s="76"/>
      <c r="AU3317" s="76"/>
      <c r="AV3317" s="76"/>
      <c r="AW3317" s="76"/>
      <c r="AX3317" s="76">
        <f>+AW3317*600000</f>
        <v>0</v>
      </c>
      <c r="AY3317" s="76"/>
      <c r="AZ3317" s="76">
        <f>+AY3317*70000</f>
        <v>0</v>
      </c>
      <c r="BA3317" s="76"/>
      <c r="BB3317" s="76"/>
      <c r="BC3317" s="76"/>
      <c r="BD3317" s="76">
        <f>+BC3317*30000</f>
        <v>0</v>
      </c>
      <c r="BE3317" s="76"/>
      <c r="BF3317" s="76"/>
      <c r="BG3317" s="76"/>
      <c r="BH3317" s="76"/>
      <c r="BI3317" s="76"/>
      <c r="BJ3317" s="76"/>
      <c r="BK3317" s="76"/>
      <c r="BL3317" s="76">
        <f>+BK3317*31500</f>
        <v>0</v>
      </c>
      <c r="BM3317" s="76"/>
      <c r="BN3317" s="76"/>
      <c r="BO3317" s="76"/>
      <c r="BP3317" s="76"/>
      <c r="BQ3317" s="76"/>
      <c r="BR3317" s="76"/>
      <c r="BS3317" s="76"/>
      <c r="BT3317" s="76"/>
      <c r="BU3317" s="76"/>
      <c r="BV3317" s="76"/>
      <c r="BW3317" s="76"/>
      <c r="BX3317" s="76"/>
      <c r="BY3317" s="76"/>
      <c r="BZ3317" s="76"/>
      <c r="CA3317" s="76"/>
      <c r="CB3317" s="76"/>
      <c r="CC3317" s="76"/>
      <c r="CD3317" s="76"/>
      <c r="CE3317" s="76"/>
      <c r="CF3317" s="76">
        <f>+CE3317*28000</f>
        <v>0</v>
      </c>
      <c r="CG3317" s="76"/>
      <c r="CH3317" s="76">
        <f>+CG3317*22500</f>
        <v>0</v>
      </c>
      <c r="CI3317" s="76"/>
      <c r="CJ3317" s="76">
        <f>+CI3317*26000</f>
        <v>0</v>
      </c>
      <c r="CK3317" s="76"/>
      <c r="CL3317" s="76"/>
      <c r="CM3317" s="76"/>
      <c r="CN3317" s="76">
        <f>+CM3317*22000</f>
        <v>0</v>
      </c>
      <c r="CO3317" s="76"/>
      <c r="CP3317" s="76">
        <f>+CO3317*46000</f>
        <v>0</v>
      </c>
      <c r="CQ3317" s="76"/>
      <c r="CR3317" s="76">
        <f>+CQ3317*49000</f>
        <v>0</v>
      </c>
      <c r="CS3317" s="76"/>
      <c r="CT3317" s="76"/>
      <c r="CU3317" s="56">
        <f>AN3317+AP3317+AR3317+AT3317+AV3317+AX3317+AZ3317+BB3317+BD3317+BF3317+BH3317+BJ3317+BL3317+BN3317+BP3317+BR3317+BT3317+BV3317+BX3317+BZ3317+CB3317+CD3317+CF3317+CH3317+CJ3317+CL3317+CN3317+CP3317+CR3317+CT3317</f>
        <v>0</v>
      </c>
      <c r="CV3317" s="76"/>
      <c r="CW3317" s="76">
        <f>+CV3317*1100</f>
        <v>0</v>
      </c>
      <c r="CX3317" s="76"/>
      <c r="CY3317" s="76">
        <f>+CX3317*106250</f>
        <v>0</v>
      </c>
      <c r="CZ3317" s="76"/>
      <c r="DA3317" s="76">
        <f>+CZ3317*34500</f>
        <v>0</v>
      </c>
      <c r="DB3317" s="76"/>
      <c r="DC3317" s="76">
        <f>+DB3317*25000</f>
        <v>0</v>
      </c>
      <c r="DD3317" s="219"/>
      <c r="DE3317" s="219"/>
      <c r="DF3317" s="166"/>
      <c r="DG3317" s="116"/>
      <c r="DH3317" s="117"/>
      <c r="DI3317" s="24"/>
      <c r="DJ3317" s="24"/>
      <c r="DK3317" s="24"/>
      <c r="DL3317" s="24"/>
      <c r="DM3317" s="24"/>
      <c r="DN3317" s="24"/>
      <c r="DO3317" s="24"/>
      <c r="DP3317" s="24"/>
      <c r="DQ3317" s="24"/>
      <c r="DR3317" s="24"/>
      <c r="DS3317" s="24"/>
      <c r="DT3317" s="24"/>
      <c r="DU3317" s="24"/>
    </row>
    <row r="3318" spans="1:125" s="8" customFormat="1" ht="36" x14ac:dyDescent="0.2">
      <c r="A3318" s="77">
        <v>41555</v>
      </c>
      <c r="B3318" s="84" t="s">
        <v>2854</v>
      </c>
      <c r="C3318" s="84" t="s">
        <v>2731</v>
      </c>
      <c r="D3318" s="75" t="s">
        <v>2846</v>
      </c>
      <c r="E3318" s="75" t="str">
        <f>VLOOKUP(B3318&amp;C3318,Divipola!$C$2:$F$1138,4,FALSE)</f>
        <v>19001</v>
      </c>
      <c r="F3318" s="89"/>
      <c r="G3318" s="89"/>
      <c r="H3318" s="89"/>
      <c r="I3318" s="89"/>
      <c r="J3318" s="89"/>
      <c r="K3318" s="89"/>
      <c r="L3318" s="89"/>
      <c r="M3318" s="89"/>
      <c r="N3318" s="89"/>
      <c r="O3318" s="89"/>
      <c r="P3318" s="89"/>
      <c r="Q3318" s="89"/>
      <c r="R3318" s="89"/>
      <c r="S3318" s="89"/>
      <c r="T3318" s="89"/>
      <c r="U3318" s="89">
        <v>1</v>
      </c>
      <c r="V3318" s="89"/>
      <c r="W3318" s="96">
        <v>0</v>
      </c>
      <c r="X3318" s="71">
        <f>CU3318</f>
        <v>0</v>
      </c>
      <c r="Y3318" s="71">
        <f>CY3318</f>
        <v>0</v>
      </c>
      <c r="Z3318" s="71">
        <f>DA3318+DC3318+DE3318</f>
        <v>0</v>
      </c>
      <c r="AA3318" s="71">
        <f>CW3318</f>
        <v>0</v>
      </c>
      <c r="AB3318" s="71"/>
      <c r="AC3318" s="71">
        <v>0</v>
      </c>
      <c r="AD3318" s="71">
        <f>W3318+X3318+Y3318+Z3318+AA3318+AB3318+AC3318</f>
        <v>0</v>
      </c>
      <c r="AE3318" s="72">
        <v>0</v>
      </c>
      <c r="AF3318" s="5"/>
      <c r="AG3318" s="6"/>
      <c r="AH3318" s="27"/>
      <c r="AI3318" s="44"/>
      <c r="AJ3318" s="26"/>
      <c r="AK3318" s="5"/>
      <c r="AL3318" s="268" t="s">
        <v>6266</v>
      </c>
      <c r="AM3318" s="76"/>
      <c r="AN3318" s="76"/>
      <c r="AO3318" s="76"/>
      <c r="AP3318" s="76"/>
      <c r="AQ3318" s="76"/>
      <c r="AR3318" s="76"/>
      <c r="AS3318" s="76"/>
      <c r="AT3318" s="76"/>
      <c r="AU3318" s="76"/>
      <c r="AV3318" s="76"/>
      <c r="AW3318" s="76"/>
      <c r="AX3318" s="76">
        <f>+AW3318*600000</f>
        <v>0</v>
      </c>
      <c r="AY3318" s="76"/>
      <c r="AZ3318" s="76">
        <f>+AY3318*70000</f>
        <v>0</v>
      </c>
      <c r="BA3318" s="76"/>
      <c r="BB3318" s="76"/>
      <c r="BC3318" s="76"/>
      <c r="BD3318" s="76">
        <f>+BC3318*30000</f>
        <v>0</v>
      </c>
      <c r="BE3318" s="76"/>
      <c r="BF3318" s="76"/>
      <c r="BG3318" s="76"/>
      <c r="BH3318" s="76"/>
      <c r="BI3318" s="76"/>
      <c r="BJ3318" s="76"/>
      <c r="BK3318" s="76"/>
      <c r="BL3318" s="76">
        <f>+BK3318*31500</f>
        <v>0</v>
      </c>
      <c r="BM3318" s="76"/>
      <c r="BN3318" s="76"/>
      <c r="BO3318" s="76"/>
      <c r="BP3318" s="76"/>
      <c r="BQ3318" s="76"/>
      <c r="BR3318" s="76"/>
      <c r="BS3318" s="76"/>
      <c r="BT3318" s="76"/>
      <c r="BU3318" s="76"/>
      <c r="BV3318" s="76"/>
      <c r="BW3318" s="76"/>
      <c r="BX3318" s="76"/>
      <c r="BY3318" s="76"/>
      <c r="BZ3318" s="76"/>
      <c r="CA3318" s="76"/>
      <c r="CB3318" s="76"/>
      <c r="CC3318" s="76"/>
      <c r="CD3318" s="76"/>
      <c r="CE3318" s="76"/>
      <c r="CF3318" s="76">
        <f>+CE3318*28000</f>
        <v>0</v>
      </c>
      <c r="CG3318" s="76"/>
      <c r="CH3318" s="76">
        <f>+CG3318*22500</f>
        <v>0</v>
      </c>
      <c r="CI3318" s="76"/>
      <c r="CJ3318" s="76">
        <f>+CI3318*26000</f>
        <v>0</v>
      </c>
      <c r="CK3318" s="76"/>
      <c r="CL3318" s="76"/>
      <c r="CM3318" s="76"/>
      <c r="CN3318" s="76">
        <f>+CM3318*22000</f>
        <v>0</v>
      </c>
      <c r="CO3318" s="76"/>
      <c r="CP3318" s="76">
        <f>+CO3318*46000</f>
        <v>0</v>
      </c>
      <c r="CQ3318" s="76"/>
      <c r="CR3318" s="76">
        <f>+CQ3318*49000</f>
        <v>0</v>
      </c>
      <c r="CS3318" s="76"/>
      <c r="CT3318" s="76"/>
      <c r="CU3318" s="56">
        <f>AN3318+AP3318+AR3318+AT3318+AV3318+AX3318+AZ3318+BB3318+BD3318+BF3318+BH3318+BJ3318+BL3318+BN3318+BP3318+BR3318+BT3318+BV3318+BX3318+BZ3318+CB3318+CD3318+CF3318+CH3318+CJ3318+CL3318+CN3318+CP3318+CR3318+CT3318</f>
        <v>0</v>
      </c>
      <c r="CV3318" s="76"/>
      <c r="CW3318" s="76">
        <f>+CV3318*1100</f>
        <v>0</v>
      </c>
      <c r="CX3318" s="76"/>
      <c r="CY3318" s="76">
        <f>+CX3318*106250</f>
        <v>0</v>
      </c>
      <c r="CZ3318" s="76"/>
      <c r="DA3318" s="76">
        <f>+CZ3318*34500</f>
        <v>0</v>
      </c>
      <c r="DB3318" s="76"/>
      <c r="DC3318" s="76">
        <f>+DB3318*25000</f>
        <v>0</v>
      </c>
      <c r="DD3318" s="219"/>
      <c r="DE3318" s="219"/>
      <c r="DF3318" s="166"/>
      <c r="DG3318" s="116"/>
      <c r="DH3318" s="117"/>
      <c r="DI3318" s="24"/>
      <c r="DJ3318" s="24"/>
      <c r="DK3318" s="24"/>
      <c r="DL3318" s="24"/>
      <c r="DM3318" s="24"/>
      <c r="DN3318" s="24"/>
      <c r="DO3318" s="24"/>
      <c r="DP3318" s="24"/>
      <c r="DQ3318" s="24"/>
      <c r="DR3318" s="24"/>
      <c r="DS3318" s="24"/>
      <c r="DT3318" s="24"/>
      <c r="DU3318" s="24"/>
    </row>
    <row r="3319" spans="1:125" s="8" customFormat="1" ht="60" x14ac:dyDescent="0.2">
      <c r="A3319" s="353">
        <v>41555</v>
      </c>
      <c r="B3319" s="352" t="s">
        <v>2854</v>
      </c>
      <c r="C3319" s="354" t="s">
        <v>491</v>
      </c>
      <c r="D3319" s="354" t="s">
        <v>3088</v>
      </c>
      <c r="E3319" s="75" t="str">
        <f>VLOOKUP(B3319&amp;C3319,Divipola!$C$2:$F$1138,4,FALSE)</f>
        <v>19807</v>
      </c>
      <c r="F3319" s="61"/>
      <c r="G3319" s="61"/>
      <c r="H3319" s="61"/>
      <c r="I3319" s="61"/>
      <c r="J3319" s="61"/>
      <c r="K3319" s="61"/>
      <c r="L3319" s="61"/>
      <c r="M3319" s="61"/>
      <c r="N3319" s="61"/>
      <c r="O3319" s="61"/>
      <c r="P3319" s="61"/>
      <c r="Q3319" s="61"/>
      <c r="R3319" s="61"/>
      <c r="S3319" s="61"/>
      <c r="T3319" s="61"/>
      <c r="U3319" s="61"/>
      <c r="V3319" s="7"/>
      <c r="W3319" s="96">
        <v>0</v>
      </c>
      <c r="X3319" s="71">
        <f>CU3319</f>
        <v>0</v>
      </c>
      <c r="Y3319" s="71">
        <f>CY3319</f>
        <v>0</v>
      </c>
      <c r="Z3319" s="71">
        <f>DA3319+DC3319+DE3319</f>
        <v>0</v>
      </c>
      <c r="AA3319" s="71">
        <f>CW3319</f>
        <v>0</v>
      </c>
      <c r="AB3319" s="71"/>
      <c r="AC3319" s="71">
        <v>0</v>
      </c>
      <c r="AD3319" s="71">
        <f>W3319+X3319+Y3319+Z3319+AA3319+AB3319+AC3319</f>
        <v>0</v>
      </c>
      <c r="AE3319" s="72">
        <v>0</v>
      </c>
      <c r="AF3319" s="5"/>
      <c r="AG3319" s="6"/>
      <c r="AH3319" s="27"/>
      <c r="AI3319" s="44"/>
      <c r="AJ3319" s="26"/>
      <c r="AK3319" s="5"/>
      <c r="AL3319" s="268" t="s">
        <v>6268</v>
      </c>
      <c r="AM3319" s="76"/>
      <c r="AN3319" s="76"/>
      <c r="AO3319" s="76"/>
      <c r="AP3319" s="76"/>
      <c r="AQ3319" s="76"/>
      <c r="AR3319" s="76"/>
      <c r="AS3319" s="76"/>
      <c r="AT3319" s="76"/>
      <c r="AU3319" s="76"/>
      <c r="AV3319" s="76"/>
      <c r="AW3319" s="76"/>
      <c r="AX3319" s="76">
        <f>+AW3319*600000</f>
        <v>0</v>
      </c>
      <c r="AY3319" s="76"/>
      <c r="AZ3319" s="76">
        <f>+AY3319*70000</f>
        <v>0</v>
      </c>
      <c r="BA3319" s="76"/>
      <c r="BB3319" s="76"/>
      <c r="BC3319" s="76"/>
      <c r="BD3319" s="76">
        <f>+BC3319*30000</f>
        <v>0</v>
      </c>
      <c r="BE3319" s="76"/>
      <c r="BF3319" s="76"/>
      <c r="BG3319" s="76"/>
      <c r="BH3319" s="76"/>
      <c r="BI3319" s="76"/>
      <c r="BJ3319" s="76"/>
      <c r="BK3319" s="76"/>
      <c r="BL3319" s="76">
        <f>+BK3319*31500</f>
        <v>0</v>
      </c>
      <c r="BM3319" s="76"/>
      <c r="BN3319" s="76"/>
      <c r="BO3319" s="76"/>
      <c r="BP3319" s="76"/>
      <c r="BQ3319" s="76"/>
      <c r="BR3319" s="76"/>
      <c r="BS3319" s="76"/>
      <c r="BT3319" s="76"/>
      <c r="BU3319" s="76"/>
      <c r="BV3319" s="76"/>
      <c r="BW3319" s="76"/>
      <c r="BX3319" s="76"/>
      <c r="BY3319" s="76"/>
      <c r="BZ3319" s="76"/>
      <c r="CA3319" s="76"/>
      <c r="CB3319" s="76"/>
      <c r="CC3319" s="76"/>
      <c r="CD3319" s="76"/>
      <c r="CE3319" s="76"/>
      <c r="CF3319" s="76">
        <f>+CE3319*28000</f>
        <v>0</v>
      </c>
      <c r="CG3319" s="76"/>
      <c r="CH3319" s="76">
        <f>+CG3319*22500</f>
        <v>0</v>
      </c>
      <c r="CI3319" s="76"/>
      <c r="CJ3319" s="76">
        <f>+CI3319*26000</f>
        <v>0</v>
      </c>
      <c r="CK3319" s="76"/>
      <c r="CL3319" s="76"/>
      <c r="CM3319" s="76"/>
      <c r="CN3319" s="76">
        <f>+CM3319*22000</f>
        <v>0</v>
      </c>
      <c r="CO3319" s="76"/>
      <c r="CP3319" s="76">
        <f>+CO3319*46000</f>
        <v>0</v>
      </c>
      <c r="CQ3319" s="76"/>
      <c r="CR3319" s="76">
        <f>+CQ3319*49000</f>
        <v>0</v>
      </c>
      <c r="CS3319" s="76"/>
      <c r="CT3319" s="76"/>
      <c r="CU3319" s="56">
        <f>AN3319+AP3319+AR3319+AT3319+AV3319+AX3319+AZ3319+BB3319+BD3319+BF3319+BH3319+BJ3319+BL3319+BN3319+BP3319+BR3319+BT3319+BV3319+BX3319+BZ3319+CB3319+CD3319+CF3319+CH3319+CJ3319+CL3319+CN3319+CP3319+CR3319+CT3319</f>
        <v>0</v>
      </c>
      <c r="CV3319" s="76"/>
      <c r="CW3319" s="76">
        <f>+CV3319*1100</f>
        <v>0</v>
      </c>
      <c r="CX3319" s="76"/>
      <c r="CY3319" s="76">
        <f>+CX3319*106250</f>
        <v>0</v>
      </c>
      <c r="CZ3319" s="76"/>
      <c r="DA3319" s="76">
        <f>+CZ3319*34500</f>
        <v>0</v>
      </c>
      <c r="DB3319" s="76"/>
      <c r="DC3319" s="76">
        <f>+DB3319*25000</f>
        <v>0</v>
      </c>
      <c r="DD3319" s="219"/>
      <c r="DE3319" s="219"/>
      <c r="DF3319" s="166"/>
      <c r="DG3319" s="116"/>
      <c r="DH3319" s="117"/>
      <c r="DI3319" s="24"/>
      <c r="DJ3319" s="24"/>
      <c r="DK3319" s="24"/>
      <c r="DL3319" s="24"/>
      <c r="DM3319" s="24"/>
      <c r="DN3319" s="24"/>
      <c r="DO3319" s="24"/>
      <c r="DP3319" s="24"/>
      <c r="DQ3319" s="24"/>
      <c r="DR3319" s="24"/>
      <c r="DS3319" s="24"/>
      <c r="DT3319" s="24"/>
      <c r="DU3319" s="24"/>
    </row>
    <row r="3320" spans="1:125" s="8" customFormat="1" ht="48" x14ac:dyDescent="0.2">
      <c r="A3320" s="77">
        <v>41555</v>
      </c>
      <c r="B3320" s="78" t="s">
        <v>2855</v>
      </c>
      <c r="C3320" s="75" t="s">
        <v>909</v>
      </c>
      <c r="D3320" s="75" t="s">
        <v>2859</v>
      </c>
      <c r="E3320" s="75" t="str">
        <f>VLOOKUP(B3320&amp;C3320,Divipola!$C$2:$F$1138,4,FALSE)</f>
        <v>20238</v>
      </c>
      <c r="F3320" s="87"/>
      <c r="G3320" s="87"/>
      <c r="H3320" s="87"/>
      <c r="I3320" s="87">
        <v>5</v>
      </c>
      <c r="J3320" s="87">
        <v>1</v>
      </c>
      <c r="K3320" s="87"/>
      <c r="L3320" s="87">
        <v>1</v>
      </c>
      <c r="M3320" s="87"/>
      <c r="N3320" s="87"/>
      <c r="O3320" s="87"/>
      <c r="P3320" s="87"/>
      <c r="Q3320" s="87"/>
      <c r="R3320" s="87"/>
      <c r="S3320" s="87"/>
      <c r="T3320" s="87"/>
      <c r="U3320" s="88"/>
      <c r="V3320" s="89"/>
      <c r="W3320" s="96">
        <v>0</v>
      </c>
      <c r="X3320" s="71">
        <f>CU3320</f>
        <v>0</v>
      </c>
      <c r="Y3320" s="71">
        <f>CY3320</f>
        <v>0</v>
      </c>
      <c r="Z3320" s="71">
        <f>DA3320+DC3320+DE3320</f>
        <v>0</v>
      </c>
      <c r="AA3320" s="71">
        <f>CW3320</f>
        <v>0</v>
      </c>
      <c r="AB3320" s="71"/>
      <c r="AC3320" s="71">
        <v>0</v>
      </c>
      <c r="AD3320" s="71">
        <f>W3320+X3320+Y3320+Z3320+AA3320+AB3320+AC3320</f>
        <v>0</v>
      </c>
      <c r="AE3320" s="72">
        <v>0</v>
      </c>
      <c r="AF3320" s="5"/>
      <c r="AG3320" s="6"/>
      <c r="AH3320" s="27"/>
      <c r="AI3320" s="44"/>
      <c r="AJ3320" s="26"/>
      <c r="AK3320" s="5"/>
      <c r="AL3320" s="268" t="s">
        <v>6263</v>
      </c>
      <c r="AM3320" s="76"/>
      <c r="AN3320" s="76"/>
      <c r="AO3320" s="76"/>
      <c r="AP3320" s="76"/>
      <c r="AQ3320" s="76"/>
      <c r="AR3320" s="76"/>
      <c r="AS3320" s="76"/>
      <c r="AT3320" s="76"/>
      <c r="AU3320" s="76"/>
      <c r="AV3320" s="76"/>
      <c r="AW3320" s="76"/>
      <c r="AX3320" s="76">
        <f>+AW3320*600000</f>
        <v>0</v>
      </c>
      <c r="AY3320" s="76"/>
      <c r="AZ3320" s="76">
        <f>+AY3320*70000</f>
        <v>0</v>
      </c>
      <c r="BA3320" s="76"/>
      <c r="BB3320" s="76"/>
      <c r="BC3320" s="76"/>
      <c r="BD3320" s="76">
        <f>+BC3320*30000</f>
        <v>0</v>
      </c>
      <c r="BE3320" s="76"/>
      <c r="BF3320" s="76"/>
      <c r="BG3320" s="76"/>
      <c r="BH3320" s="76"/>
      <c r="BI3320" s="76"/>
      <c r="BJ3320" s="76"/>
      <c r="BK3320" s="76"/>
      <c r="BL3320" s="76">
        <f>+BK3320*31500</f>
        <v>0</v>
      </c>
      <c r="BM3320" s="76"/>
      <c r="BN3320" s="76"/>
      <c r="BO3320" s="76"/>
      <c r="BP3320" s="76"/>
      <c r="BQ3320" s="76"/>
      <c r="BR3320" s="76"/>
      <c r="BS3320" s="76"/>
      <c r="BT3320" s="76"/>
      <c r="BU3320" s="76"/>
      <c r="BV3320" s="76"/>
      <c r="BW3320" s="76"/>
      <c r="BX3320" s="76"/>
      <c r="BY3320" s="76"/>
      <c r="BZ3320" s="76"/>
      <c r="CA3320" s="76"/>
      <c r="CB3320" s="76"/>
      <c r="CC3320" s="76"/>
      <c r="CD3320" s="76"/>
      <c r="CE3320" s="76"/>
      <c r="CF3320" s="76">
        <f>+CE3320*28000</f>
        <v>0</v>
      </c>
      <c r="CG3320" s="76"/>
      <c r="CH3320" s="76">
        <f>+CG3320*22500</f>
        <v>0</v>
      </c>
      <c r="CI3320" s="76"/>
      <c r="CJ3320" s="76">
        <f>+CI3320*26000</f>
        <v>0</v>
      </c>
      <c r="CK3320" s="76"/>
      <c r="CL3320" s="76"/>
      <c r="CM3320" s="76"/>
      <c r="CN3320" s="76">
        <f>+CM3320*22000</f>
        <v>0</v>
      </c>
      <c r="CO3320" s="76"/>
      <c r="CP3320" s="76">
        <f>+CO3320*46000</f>
        <v>0</v>
      </c>
      <c r="CQ3320" s="76"/>
      <c r="CR3320" s="76">
        <f>+CQ3320*49000</f>
        <v>0</v>
      </c>
      <c r="CS3320" s="76"/>
      <c r="CT3320" s="76"/>
      <c r="CU3320" s="56">
        <f>AN3320+AP3320+AR3320+AT3320+AV3320+AX3320+AZ3320+BB3320+BD3320+BF3320+BH3320+BJ3320+BL3320+BN3320+BP3320+BR3320+BT3320+BV3320+BX3320+BZ3320+CB3320+CD3320+CF3320+CH3320+CJ3320+CL3320+CN3320+CP3320+CR3320+CT3320</f>
        <v>0</v>
      </c>
      <c r="CV3320" s="76"/>
      <c r="CW3320" s="76">
        <f>+CV3320*1100</f>
        <v>0</v>
      </c>
      <c r="CX3320" s="76"/>
      <c r="CY3320" s="76">
        <f>+CX3320*106250</f>
        <v>0</v>
      </c>
      <c r="CZ3320" s="76"/>
      <c r="DA3320" s="76">
        <f>+CZ3320*34500</f>
        <v>0</v>
      </c>
      <c r="DB3320" s="76"/>
      <c r="DC3320" s="76">
        <f>+DB3320*25000</f>
        <v>0</v>
      </c>
      <c r="DD3320" s="219"/>
      <c r="DE3320" s="219"/>
      <c r="DF3320" s="166"/>
      <c r="DG3320" s="116"/>
      <c r="DH3320" s="117"/>
      <c r="DI3320" s="24"/>
      <c r="DJ3320" s="24"/>
      <c r="DK3320" s="24"/>
      <c r="DL3320" s="24"/>
      <c r="DM3320" s="24"/>
      <c r="DN3320" s="24"/>
      <c r="DO3320" s="24"/>
      <c r="DP3320" s="24"/>
      <c r="DQ3320" s="24"/>
      <c r="DR3320" s="24"/>
      <c r="DS3320" s="24"/>
      <c r="DT3320" s="24"/>
      <c r="DU3320" s="24"/>
    </row>
    <row r="3321" spans="1:125" s="8" customFormat="1" ht="132" x14ac:dyDescent="0.2">
      <c r="A3321" s="77">
        <v>41555</v>
      </c>
      <c r="B3321" s="78" t="s">
        <v>2772</v>
      </c>
      <c r="C3321" s="75" t="s">
        <v>2664</v>
      </c>
      <c r="D3321" s="75" t="s">
        <v>2846</v>
      </c>
      <c r="E3321" s="75" t="str">
        <f>VLOOKUP(B3321&amp;C3321,Divipola!$C$2:$F$1138,4,FALSE)</f>
        <v>25815</v>
      </c>
      <c r="F3321" s="87"/>
      <c r="G3321" s="87"/>
      <c r="H3321" s="87"/>
      <c r="I3321" s="87"/>
      <c r="J3321" s="87"/>
      <c r="K3321" s="87"/>
      <c r="L3321" s="87"/>
      <c r="M3321" s="87"/>
      <c r="N3321" s="87"/>
      <c r="O3321" s="87"/>
      <c r="P3321" s="87"/>
      <c r="Q3321" s="87"/>
      <c r="R3321" s="87"/>
      <c r="S3321" s="87"/>
      <c r="T3321" s="87"/>
      <c r="U3321" s="88">
        <v>5</v>
      </c>
      <c r="V3321" s="89"/>
      <c r="W3321" s="96">
        <v>0</v>
      </c>
      <c r="X3321" s="71">
        <f>CU3321</f>
        <v>0</v>
      </c>
      <c r="Y3321" s="71">
        <f>CY3321</f>
        <v>0</v>
      </c>
      <c r="Z3321" s="71">
        <f>DA3321+DC3321+DE3321</f>
        <v>0</v>
      </c>
      <c r="AA3321" s="71">
        <f>CW3321</f>
        <v>0</v>
      </c>
      <c r="AB3321" s="71"/>
      <c r="AC3321" s="71">
        <v>0</v>
      </c>
      <c r="AD3321" s="71">
        <f>W3321+X3321+Y3321+Z3321+AA3321+AB3321+AC3321</f>
        <v>0</v>
      </c>
      <c r="AE3321" s="72">
        <v>0</v>
      </c>
      <c r="AF3321" s="5"/>
      <c r="AG3321" s="6"/>
      <c r="AH3321" s="27"/>
      <c r="AI3321" s="44"/>
      <c r="AJ3321" s="26"/>
      <c r="AK3321" s="5"/>
      <c r="AL3321" s="268" t="s">
        <v>6273</v>
      </c>
      <c r="AM3321" s="76"/>
      <c r="AN3321" s="76"/>
      <c r="AO3321" s="76"/>
      <c r="AP3321" s="76"/>
      <c r="AQ3321" s="76"/>
      <c r="AR3321" s="76"/>
      <c r="AS3321" s="76"/>
      <c r="AT3321" s="76"/>
      <c r="AU3321" s="76"/>
      <c r="AV3321" s="76"/>
      <c r="AW3321" s="76"/>
      <c r="AX3321" s="76">
        <f>+AW3321*600000</f>
        <v>0</v>
      </c>
      <c r="AY3321" s="76"/>
      <c r="AZ3321" s="76">
        <f>+AY3321*70000</f>
        <v>0</v>
      </c>
      <c r="BA3321" s="76"/>
      <c r="BB3321" s="76"/>
      <c r="BC3321" s="76"/>
      <c r="BD3321" s="76">
        <f>+BC3321*30000</f>
        <v>0</v>
      </c>
      <c r="BE3321" s="76"/>
      <c r="BF3321" s="76"/>
      <c r="BG3321" s="76"/>
      <c r="BH3321" s="76"/>
      <c r="BI3321" s="76"/>
      <c r="BJ3321" s="76"/>
      <c r="BK3321" s="76"/>
      <c r="BL3321" s="76">
        <f>+BK3321*31500</f>
        <v>0</v>
      </c>
      <c r="BM3321" s="76"/>
      <c r="BN3321" s="76"/>
      <c r="BO3321" s="76"/>
      <c r="BP3321" s="76"/>
      <c r="BQ3321" s="76"/>
      <c r="BR3321" s="76"/>
      <c r="BS3321" s="76"/>
      <c r="BT3321" s="76"/>
      <c r="BU3321" s="76"/>
      <c r="BV3321" s="76"/>
      <c r="BW3321" s="76"/>
      <c r="BX3321" s="76"/>
      <c r="BY3321" s="76"/>
      <c r="BZ3321" s="76"/>
      <c r="CA3321" s="76"/>
      <c r="CB3321" s="76"/>
      <c r="CC3321" s="76"/>
      <c r="CD3321" s="76"/>
      <c r="CE3321" s="76"/>
      <c r="CF3321" s="76">
        <f>+CE3321*28000</f>
        <v>0</v>
      </c>
      <c r="CG3321" s="76"/>
      <c r="CH3321" s="76">
        <f>+CG3321*22500</f>
        <v>0</v>
      </c>
      <c r="CI3321" s="76"/>
      <c r="CJ3321" s="76">
        <f>+CI3321*26000</f>
        <v>0</v>
      </c>
      <c r="CK3321" s="76"/>
      <c r="CL3321" s="76"/>
      <c r="CM3321" s="76"/>
      <c r="CN3321" s="76">
        <f>+CM3321*22000</f>
        <v>0</v>
      </c>
      <c r="CO3321" s="76"/>
      <c r="CP3321" s="76">
        <f>+CO3321*46000</f>
        <v>0</v>
      </c>
      <c r="CQ3321" s="76"/>
      <c r="CR3321" s="76">
        <f>+CQ3321*49000</f>
        <v>0</v>
      </c>
      <c r="CS3321" s="76"/>
      <c r="CT3321" s="76"/>
      <c r="CU3321" s="56">
        <f>AN3321+AP3321+AR3321+AT3321+AV3321+AX3321+AZ3321+BB3321+BD3321+BF3321+BH3321+BJ3321+BL3321+BN3321+BP3321+BR3321+BT3321+BV3321+BX3321+BZ3321+CB3321+CD3321+CF3321+CH3321+CJ3321+CL3321+CN3321+CP3321+CR3321+CT3321</f>
        <v>0</v>
      </c>
      <c r="CV3321" s="76"/>
      <c r="CW3321" s="76">
        <f>+CV3321*1100</f>
        <v>0</v>
      </c>
      <c r="CX3321" s="76"/>
      <c r="CY3321" s="76">
        <f>+CX3321*106250</f>
        <v>0</v>
      </c>
      <c r="CZ3321" s="76"/>
      <c r="DA3321" s="76">
        <f>+CZ3321*34500</f>
        <v>0</v>
      </c>
      <c r="DB3321" s="76"/>
      <c r="DC3321" s="76">
        <f>+DB3321*25000</f>
        <v>0</v>
      </c>
      <c r="DD3321" s="219"/>
      <c r="DE3321" s="219"/>
      <c r="DF3321" s="166"/>
      <c r="DG3321" s="116"/>
      <c r="DH3321" s="117"/>
      <c r="DI3321" s="24"/>
      <c r="DJ3321" s="24"/>
      <c r="DK3321" s="24"/>
      <c r="DL3321" s="24"/>
      <c r="DM3321" s="24"/>
      <c r="DN3321" s="24"/>
      <c r="DO3321" s="24"/>
      <c r="DP3321" s="24"/>
      <c r="DQ3321" s="24"/>
      <c r="DR3321" s="24"/>
      <c r="DS3321" s="24"/>
      <c r="DT3321" s="24"/>
      <c r="DU3321" s="24"/>
    </row>
    <row r="3322" spans="1:125" s="8" customFormat="1" ht="24" x14ac:dyDescent="0.2">
      <c r="A3322" s="77">
        <v>41555</v>
      </c>
      <c r="B3322" s="352" t="s">
        <v>2661</v>
      </c>
      <c r="C3322" s="354" t="s">
        <v>2169</v>
      </c>
      <c r="D3322" s="354" t="s">
        <v>2846</v>
      </c>
      <c r="E3322" s="75" t="str">
        <f>VLOOKUP(B3322&amp;C3322,Divipola!$C$2:$F$1138,4,FALSE)</f>
        <v>41001</v>
      </c>
      <c r="F3322" s="87"/>
      <c r="G3322" s="87"/>
      <c r="H3322" s="87"/>
      <c r="I3322" s="87"/>
      <c r="J3322" s="87"/>
      <c r="K3322" s="87"/>
      <c r="L3322" s="87"/>
      <c r="M3322" s="87"/>
      <c r="N3322" s="87"/>
      <c r="O3322" s="87"/>
      <c r="P3322" s="87"/>
      <c r="Q3322" s="87"/>
      <c r="R3322" s="87"/>
      <c r="S3322" s="87"/>
      <c r="T3322" s="87"/>
      <c r="U3322" s="88"/>
      <c r="V3322" s="89"/>
      <c r="W3322" s="96">
        <v>0</v>
      </c>
      <c r="X3322" s="71">
        <f>CU3322</f>
        <v>0</v>
      </c>
      <c r="Y3322" s="71">
        <f>CY3322</f>
        <v>0</v>
      </c>
      <c r="Z3322" s="71">
        <f>DA3322+DC3322+DE3322</f>
        <v>0</v>
      </c>
      <c r="AA3322" s="71">
        <f>CW3322</f>
        <v>0</v>
      </c>
      <c r="AB3322" s="71"/>
      <c r="AC3322" s="71">
        <v>0</v>
      </c>
      <c r="AD3322" s="71">
        <f>W3322+X3322+Y3322+Z3322+AA3322+AB3322+AC3322</f>
        <v>0</v>
      </c>
      <c r="AE3322" s="72">
        <v>0</v>
      </c>
      <c r="AF3322" s="5"/>
      <c r="AG3322" s="6"/>
      <c r="AH3322" s="27"/>
      <c r="AI3322" s="44"/>
      <c r="AJ3322" s="26"/>
      <c r="AK3322" s="5"/>
      <c r="AL3322" s="268" t="s">
        <v>6265</v>
      </c>
      <c r="AM3322" s="76"/>
      <c r="AN3322" s="76"/>
      <c r="AO3322" s="76"/>
      <c r="AP3322" s="76"/>
      <c r="AQ3322" s="76"/>
      <c r="AR3322" s="76"/>
      <c r="AS3322" s="76"/>
      <c r="AT3322" s="76"/>
      <c r="AU3322" s="76"/>
      <c r="AV3322" s="76"/>
      <c r="AW3322" s="76"/>
      <c r="AX3322" s="76">
        <f>+AW3322*600000</f>
        <v>0</v>
      </c>
      <c r="AY3322" s="76"/>
      <c r="AZ3322" s="76">
        <f>+AY3322*70000</f>
        <v>0</v>
      </c>
      <c r="BA3322" s="76"/>
      <c r="BB3322" s="76"/>
      <c r="BC3322" s="76"/>
      <c r="BD3322" s="76">
        <f>+BC3322*30000</f>
        <v>0</v>
      </c>
      <c r="BE3322" s="76"/>
      <c r="BF3322" s="76"/>
      <c r="BG3322" s="76"/>
      <c r="BH3322" s="76"/>
      <c r="BI3322" s="76"/>
      <c r="BJ3322" s="76"/>
      <c r="BK3322" s="76"/>
      <c r="BL3322" s="76">
        <f>+BK3322*31500</f>
        <v>0</v>
      </c>
      <c r="BM3322" s="76"/>
      <c r="BN3322" s="76"/>
      <c r="BO3322" s="76"/>
      <c r="BP3322" s="76"/>
      <c r="BQ3322" s="76"/>
      <c r="BR3322" s="76"/>
      <c r="BS3322" s="76"/>
      <c r="BT3322" s="76"/>
      <c r="BU3322" s="76"/>
      <c r="BV3322" s="76"/>
      <c r="BW3322" s="76"/>
      <c r="BX3322" s="76"/>
      <c r="BY3322" s="76"/>
      <c r="BZ3322" s="76"/>
      <c r="CA3322" s="76"/>
      <c r="CB3322" s="76"/>
      <c r="CC3322" s="76"/>
      <c r="CD3322" s="76"/>
      <c r="CE3322" s="76"/>
      <c r="CF3322" s="76">
        <f>+CE3322*28000</f>
        <v>0</v>
      </c>
      <c r="CG3322" s="76"/>
      <c r="CH3322" s="76">
        <f>+CG3322*22500</f>
        <v>0</v>
      </c>
      <c r="CI3322" s="76"/>
      <c r="CJ3322" s="76">
        <f>+CI3322*26000</f>
        <v>0</v>
      </c>
      <c r="CK3322" s="76"/>
      <c r="CL3322" s="76"/>
      <c r="CM3322" s="76"/>
      <c r="CN3322" s="76">
        <f>+CM3322*22000</f>
        <v>0</v>
      </c>
      <c r="CO3322" s="76"/>
      <c r="CP3322" s="76">
        <f>+CO3322*46000</f>
        <v>0</v>
      </c>
      <c r="CQ3322" s="76"/>
      <c r="CR3322" s="76">
        <f>+CQ3322*49000</f>
        <v>0</v>
      </c>
      <c r="CS3322" s="76"/>
      <c r="CT3322" s="76"/>
      <c r="CU3322" s="56">
        <f>AN3322+AP3322+AR3322+AT3322+AV3322+AX3322+AZ3322+BB3322+BD3322+BF3322+BH3322+BJ3322+BL3322+BN3322+BP3322+BR3322+BT3322+BV3322+BX3322+BZ3322+CB3322+CD3322+CF3322+CH3322+CJ3322+CL3322+CN3322+CP3322+CR3322+CT3322</f>
        <v>0</v>
      </c>
      <c r="CV3322" s="76"/>
      <c r="CW3322" s="76">
        <f>+CV3322*1100</f>
        <v>0</v>
      </c>
      <c r="CX3322" s="76"/>
      <c r="CY3322" s="76">
        <f>+CX3322*106250</f>
        <v>0</v>
      </c>
      <c r="CZ3322" s="76"/>
      <c r="DA3322" s="76">
        <f>+CZ3322*34500</f>
        <v>0</v>
      </c>
      <c r="DB3322" s="76"/>
      <c r="DC3322" s="76">
        <f>+DB3322*25000</f>
        <v>0</v>
      </c>
      <c r="DD3322" s="219"/>
      <c r="DE3322" s="219"/>
      <c r="DF3322" s="166"/>
      <c r="DG3322" s="116"/>
      <c r="DH3322" s="117"/>
      <c r="DI3322" s="24"/>
      <c r="DJ3322" s="24"/>
      <c r="DK3322" s="24"/>
      <c r="DL3322" s="24"/>
      <c r="DM3322" s="24"/>
      <c r="DN3322" s="24"/>
      <c r="DO3322" s="24"/>
      <c r="DP3322" s="24"/>
      <c r="DQ3322" s="24"/>
      <c r="DR3322" s="24"/>
      <c r="DS3322" s="24"/>
      <c r="DT3322" s="24"/>
      <c r="DU3322" s="24"/>
    </row>
    <row r="3323" spans="1:125" s="8" customFormat="1" ht="36" x14ac:dyDescent="0.2">
      <c r="A3323" s="77">
        <v>41555</v>
      </c>
      <c r="B3323" s="352" t="s">
        <v>2661</v>
      </c>
      <c r="C3323" s="354" t="s">
        <v>2669</v>
      </c>
      <c r="D3323" s="354" t="s">
        <v>2846</v>
      </c>
      <c r="E3323" s="75" t="str">
        <f>VLOOKUP(B3323&amp;C3323,Divipola!$C$2:$F$1138,4,FALSE)</f>
        <v>41885</v>
      </c>
      <c r="F3323" s="87"/>
      <c r="G3323" s="87"/>
      <c r="H3323" s="87"/>
      <c r="I3323" s="87"/>
      <c r="J3323" s="87"/>
      <c r="K3323" s="87"/>
      <c r="L3323" s="87"/>
      <c r="M3323" s="87"/>
      <c r="N3323" s="87"/>
      <c r="O3323" s="87"/>
      <c r="P3323" s="87"/>
      <c r="Q3323" s="87"/>
      <c r="R3323" s="87"/>
      <c r="S3323" s="87"/>
      <c r="T3323" s="87"/>
      <c r="U3323" s="88"/>
      <c r="V3323" s="89"/>
      <c r="W3323" s="96">
        <v>0</v>
      </c>
      <c r="X3323" s="71">
        <f>CU3323</f>
        <v>0</v>
      </c>
      <c r="Y3323" s="71">
        <f>CY3323</f>
        <v>0</v>
      </c>
      <c r="Z3323" s="71">
        <f>DA3323+DC3323+DE3323</f>
        <v>0</v>
      </c>
      <c r="AA3323" s="71">
        <f>CW3323</f>
        <v>0</v>
      </c>
      <c r="AB3323" s="71"/>
      <c r="AC3323" s="71">
        <v>0</v>
      </c>
      <c r="AD3323" s="71">
        <f>W3323+X3323+Y3323+Z3323+AA3323+AB3323+AC3323</f>
        <v>0</v>
      </c>
      <c r="AE3323" s="72">
        <v>0</v>
      </c>
      <c r="AF3323" s="5"/>
      <c r="AG3323" s="6"/>
      <c r="AH3323" s="27"/>
      <c r="AI3323" s="44"/>
      <c r="AJ3323" s="26"/>
      <c r="AK3323" s="5"/>
      <c r="AL3323" s="268" t="s">
        <v>6264</v>
      </c>
      <c r="AM3323" s="76"/>
      <c r="AN3323" s="76"/>
      <c r="AO3323" s="76"/>
      <c r="AP3323" s="76"/>
      <c r="AQ3323" s="76"/>
      <c r="AR3323" s="76"/>
      <c r="AS3323" s="76"/>
      <c r="AT3323" s="76"/>
      <c r="AU3323" s="76"/>
      <c r="AV3323" s="76"/>
      <c r="AW3323" s="76"/>
      <c r="AX3323" s="76">
        <f>+AW3323*600000</f>
        <v>0</v>
      </c>
      <c r="AY3323" s="76"/>
      <c r="AZ3323" s="76">
        <f>+AY3323*70000</f>
        <v>0</v>
      </c>
      <c r="BA3323" s="76"/>
      <c r="BB3323" s="76"/>
      <c r="BC3323" s="76"/>
      <c r="BD3323" s="76">
        <f>+BC3323*30000</f>
        <v>0</v>
      </c>
      <c r="BE3323" s="76"/>
      <c r="BF3323" s="76"/>
      <c r="BG3323" s="76"/>
      <c r="BH3323" s="76"/>
      <c r="BI3323" s="76"/>
      <c r="BJ3323" s="76"/>
      <c r="BK3323" s="76"/>
      <c r="BL3323" s="76">
        <f>+BK3323*31500</f>
        <v>0</v>
      </c>
      <c r="BM3323" s="76"/>
      <c r="BN3323" s="76"/>
      <c r="BO3323" s="76"/>
      <c r="BP3323" s="76"/>
      <c r="BQ3323" s="76"/>
      <c r="BR3323" s="76"/>
      <c r="BS3323" s="76"/>
      <c r="BT3323" s="76"/>
      <c r="BU3323" s="76"/>
      <c r="BV3323" s="76"/>
      <c r="BW3323" s="76"/>
      <c r="BX3323" s="76"/>
      <c r="BY3323" s="76"/>
      <c r="BZ3323" s="76"/>
      <c r="CA3323" s="76"/>
      <c r="CB3323" s="76"/>
      <c r="CC3323" s="76"/>
      <c r="CD3323" s="76"/>
      <c r="CE3323" s="76"/>
      <c r="CF3323" s="76">
        <f>+CE3323*28000</f>
        <v>0</v>
      </c>
      <c r="CG3323" s="76"/>
      <c r="CH3323" s="76">
        <f>+CG3323*22500</f>
        <v>0</v>
      </c>
      <c r="CI3323" s="76"/>
      <c r="CJ3323" s="76">
        <f>+CI3323*26000</f>
        <v>0</v>
      </c>
      <c r="CK3323" s="76"/>
      <c r="CL3323" s="76"/>
      <c r="CM3323" s="76"/>
      <c r="CN3323" s="76">
        <f>+CM3323*22000</f>
        <v>0</v>
      </c>
      <c r="CO3323" s="76"/>
      <c r="CP3323" s="76">
        <f>+CO3323*46000</f>
        <v>0</v>
      </c>
      <c r="CQ3323" s="76"/>
      <c r="CR3323" s="76">
        <f>+CQ3323*49000</f>
        <v>0</v>
      </c>
      <c r="CS3323" s="76"/>
      <c r="CT3323" s="76"/>
      <c r="CU3323" s="56">
        <f>AN3323+AP3323+AR3323+AT3323+AV3323+AX3323+AZ3323+BB3323+BD3323+BF3323+BH3323+BJ3323+BL3323+BN3323+BP3323+BR3323+BT3323+BV3323+BX3323+BZ3323+CB3323+CD3323+CF3323+CH3323+CJ3323+CL3323+CN3323+CP3323+CR3323+CT3323</f>
        <v>0</v>
      </c>
      <c r="CV3323" s="76"/>
      <c r="CW3323" s="76">
        <f>+CV3323*1100</f>
        <v>0</v>
      </c>
      <c r="CX3323" s="76"/>
      <c r="CY3323" s="76">
        <f>+CX3323*106250</f>
        <v>0</v>
      </c>
      <c r="CZ3323" s="76"/>
      <c r="DA3323" s="76">
        <f>+CZ3323*34500</f>
        <v>0</v>
      </c>
      <c r="DB3323" s="76"/>
      <c r="DC3323" s="76">
        <f>+DB3323*25000</f>
        <v>0</v>
      </c>
      <c r="DD3323" s="219"/>
      <c r="DE3323" s="219"/>
      <c r="DF3323" s="166"/>
      <c r="DG3323" s="116"/>
      <c r="DH3323" s="117"/>
      <c r="DI3323" s="24"/>
      <c r="DJ3323" s="24"/>
      <c r="DK3323" s="24"/>
      <c r="DL3323" s="24"/>
      <c r="DM3323" s="24"/>
      <c r="DN3323" s="24"/>
      <c r="DO3323" s="24"/>
      <c r="DP3323" s="24"/>
      <c r="DQ3323" s="24"/>
      <c r="DR3323" s="24"/>
      <c r="DS3323" s="24"/>
      <c r="DT3323" s="24"/>
      <c r="DU3323" s="24"/>
    </row>
    <row r="3324" spans="1:125" s="8" customFormat="1" ht="60" x14ac:dyDescent="0.2">
      <c r="A3324" s="353">
        <v>41555</v>
      </c>
      <c r="B3324" s="352" t="s">
        <v>2811</v>
      </c>
      <c r="C3324" s="354" t="s">
        <v>1345</v>
      </c>
      <c r="D3324" s="354" t="s">
        <v>2846</v>
      </c>
      <c r="E3324" s="75" t="str">
        <f>VLOOKUP(B3324&amp;C3324,Divipola!$C$2:$F$1138,4,FALSE)</f>
        <v>52565</v>
      </c>
      <c r="F3324" s="87"/>
      <c r="G3324" s="87"/>
      <c r="H3324" s="87"/>
      <c r="I3324" s="87"/>
      <c r="J3324" s="87"/>
      <c r="K3324" s="87"/>
      <c r="L3324" s="87"/>
      <c r="M3324" s="87"/>
      <c r="N3324" s="87"/>
      <c r="O3324" s="87"/>
      <c r="P3324" s="87"/>
      <c r="Q3324" s="87"/>
      <c r="R3324" s="87"/>
      <c r="S3324" s="87"/>
      <c r="T3324" s="87"/>
      <c r="U3324" s="88">
        <v>1</v>
      </c>
      <c r="V3324" s="89"/>
      <c r="W3324" s="96">
        <v>0</v>
      </c>
      <c r="X3324" s="71">
        <f>CU3324</f>
        <v>0</v>
      </c>
      <c r="Y3324" s="71">
        <f>CY3324</f>
        <v>0</v>
      </c>
      <c r="Z3324" s="71">
        <f>DA3324+DC3324+DE3324</f>
        <v>0</v>
      </c>
      <c r="AA3324" s="71">
        <f>CW3324</f>
        <v>0</v>
      </c>
      <c r="AB3324" s="71"/>
      <c r="AC3324" s="71">
        <v>0</v>
      </c>
      <c r="AD3324" s="71">
        <f>W3324+X3324+Y3324+Z3324+AA3324+AB3324+AC3324</f>
        <v>0</v>
      </c>
      <c r="AE3324" s="72">
        <v>0</v>
      </c>
      <c r="AF3324" s="5"/>
      <c r="AG3324" s="6"/>
      <c r="AH3324" s="27"/>
      <c r="AI3324" s="44"/>
      <c r="AJ3324" s="26"/>
      <c r="AK3324" s="5"/>
      <c r="AL3324" s="9" t="s">
        <v>6300</v>
      </c>
      <c r="AM3324" s="76"/>
      <c r="AN3324" s="76"/>
      <c r="AO3324" s="76"/>
      <c r="AP3324" s="76"/>
      <c r="AQ3324" s="76"/>
      <c r="AR3324" s="76"/>
      <c r="AS3324" s="76"/>
      <c r="AT3324" s="76"/>
      <c r="AU3324" s="76"/>
      <c r="AV3324" s="76"/>
      <c r="AW3324" s="76"/>
      <c r="AX3324" s="76">
        <f>+AW3324*600000</f>
        <v>0</v>
      </c>
      <c r="AY3324" s="76"/>
      <c r="AZ3324" s="76">
        <f>+AY3324*70000</f>
        <v>0</v>
      </c>
      <c r="BA3324" s="76"/>
      <c r="BB3324" s="76"/>
      <c r="BC3324" s="76"/>
      <c r="BD3324" s="76">
        <f>+BC3324*30000</f>
        <v>0</v>
      </c>
      <c r="BE3324" s="76"/>
      <c r="BF3324" s="76"/>
      <c r="BG3324" s="76"/>
      <c r="BH3324" s="76"/>
      <c r="BI3324" s="76"/>
      <c r="BJ3324" s="76"/>
      <c r="BK3324" s="76"/>
      <c r="BL3324" s="76">
        <f>+BK3324*31500</f>
        <v>0</v>
      </c>
      <c r="BM3324" s="76"/>
      <c r="BN3324" s="76"/>
      <c r="BO3324" s="76"/>
      <c r="BP3324" s="76"/>
      <c r="BQ3324" s="76"/>
      <c r="BR3324" s="76"/>
      <c r="BS3324" s="76"/>
      <c r="BT3324" s="76"/>
      <c r="BU3324" s="76"/>
      <c r="BV3324" s="76"/>
      <c r="BW3324" s="76"/>
      <c r="BX3324" s="76"/>
      <c r="BY3324" s="76"/>
      <c r="BZ3324" s="76"/>
      <c r="CA3324" s="76"/>
      <c r="CB3324" s="76"/>
      <c r="CC3324" s="76"/>
      <c r="CD3324" s="76"/>
      <c r="CE3324" s="76"/>
      <c r="CF3324" s="76">
        <f>+CE3324*28000</f>
        <v>0</v>
      </c>
      <c r="CG3324" s="76"/>
      <c r="CH3324" s="76">
        <f>+CG3324*22500</f>
        <v>0</v>
      </c>
      <c r="CI3324" s="76"/>
      <c r="CJ3324" s="76">
        <f>+CI3324*26000</f>
        <v>0</v>
      </c>
      <c r="CK3324" s="76"/>
      <c r="CL3324" s="76"/>
      <c r="CM3324" s="76"/>
      <c r="CN3324" s="76">
        <f>+CM3324*22000</f>
        <v>0</v>
      </c>
      <c r="CO3324" s="76"/>
      <c r="CP3324" s="76">
        <f>+CO3324*46000</f>
        <v>0</v>
      </c>
      <c r="CQ3324" s="76"/>
      <c r="CR3324" s="76">
        <f>+CQ3324*49000</f>
        <v>0</v>
      </c>
      <c r="CS3324" s="76"/>
      <c r="CT3324" s="76"/>
      <c r="CU3324" s="56">
        <f>AN3324+AP3324+AR3324+AT3324+AV3324+AX3324+AZ3324+BB3324+BD3324+BF3324+BH3324+BJ3324+BL3324+BN3324+BP3324+BR3324+BT3324+BV3324+BX3324+BZ3324+CB3324+CD3324+CF3324+CH3324+CJ3324+CL3324+CN3324+CP3324+CR3324+CT3324</f>
        <v>0</v>
      </c>
      <c r="CV3324" s="76"/>
      <c r="CW3324" s="76">
        <f>+CV3324*1100</f>
        <v>0</v>
      </c>
      <c r="CX3324" s="76"/>
      <c r="CY3324" s="76">
        <f>+CX3324*106250</f>
        <v>0</v>
      </c>
      <c r="CZ3324" s="76"/>
      <c r="DA3324" s="76">
        <f>+CZ3324*34500</f>
        <v>0</v>
      </c>
      <c r="DB3324" s="76"/>
      <c r="DC3324" s="76">
        <f>+DB3324*25000</f>
        <v>0</v>
      </c>
      <c r="DD3324" s="219"/>
      <c r="DE3324" s="219"/>
      <c r="DF3324" s="166"/>
      <c r="DG3324" s="116"/>
      <c r="DH3324" s="117"/>
      <c r="DI3324" s="24"/>
      <c r="DJ3324" s="24"/>
      <c r="DK3324" s="24"/>
      <c r="DL3324" s="24"/>
      <c r="DM3324" s="24"/>
      <c r="DN3324" s="24"/>
      <c r="DO3324" s="24"/>
      <c r="DP3324" s="24"/>
      <c r="DQ3324" s="24"/>
      <c r="DR3324" s="24"/>
      <c r="DS3324" s="24"/>
      <c r="DT3324" s="24"/>
      <c r="DU3324" s="24"/>
    </row>
    <row r="3325" spans="1:125" s="8" customFormat="1" ht="96" x14ac:dyDescent="0.2">
      <c r="A3325" s="77">
        <v>41555</v>
      </c>
      <c r="B3325" s="75" t="s">
        <v>2860</v>
      </c>
      <c r="C3325" s="75" t="s">
        <v>2776</v>
      </c>
      <c r="D3325" s="75" t="s">
        <v>3017</v>
      </c>
      <c r="E3325" s="75" t="str">
        <f>VLOOKUP(B3325&amp;C3325,Divipola!$C$2:$F$1138,4,FALSE)</f>
        <v>63001</v>
      </c>
      <c r="F3325" s="93"/>
      <c r="G3325" s="93">
        <v>3</v>
      </c>
      <c r="H3325" s="93"/>
      <c r="I3325" s="93"/>
      <c r="J3325" s="93"/>
      <c r="K3325" s="93"/>
      <c r="L3325" s="93"/>
      <c r="M3325" s="93"/>
      <c r="N3325" s="93"/>
      <c r="O3325" s="93"/>
      <c r="P3325" s="93"/>
      <c r="Q3325" s="93"/>
      <c r="R3325" s="93"/>
      <c r="S3325" s="93"/>
      <c r="T3325" s="93"/>
      <c r="U3325" s="93"/>
      <c r="V3325" s="93"/>
      <c r="W3325" s="96">
        <v>0</v>
      </c>
      <c r="X3325" s="71">
        <f>CU3325</f>
        <v>0</v>
      </c>
      <c r="Y3325" s="71">
        <f>CY3325</f>
        <v>0</v>
      </c>
      <c r="Z3325" s="71">
        <f>DA3325+DC3325+DE3325</f>
        <v>0</v>
      </c>
      <c r="AA3325" s="71">
        <f>CW3325</f>
        <v>0</v>
      </c>
      <c r="AB3325" s="71"/>
      <c r="AC3325" s="71">
        <v>0</v>
      </c>
      <c r="AD3325" s="71">
        <f>W3325+X3325+Y3325+Z3325+AA3325+AB3325+AC3325</f>
        <v>0</v>
      </c>
      <c r="AE3325" s="72">
        <v>0</v>
      </c>
      <c r="AF3325" s="5"/>
      <c r="AG3325" s="6"/>
      <c r="AH3325" s="27"/>
      <c r="AI3325" s="44"/>
      <c r="AJ3325" s="26"/>
      <c r="AK3325" s="5"/>
      <c r="AL3325" s="268" t="s">
        <v>6267</v>
      </c>
      <c r="AM3325" s="76"/>
      <c r="AN3325" s="76"/>
      <c r="AO3325" s="76"/>
      <c r="AP3325" s="76"/>
      <c r="AQ3325" s="76"/>
      <c r="AR3325" s="76"/>
      <c r="AS3325" s="76"/>
      <c r="AT3325" s="76"/>
      <c r="AU3325" s="76"/>
      <c r="AV3325" s="76"/>
      <c r="AW3325" s="76"/>
      <c r="AX3325" s="76">
        <f>+AW3325*600000</f>
        <v>0</v>
      </c>
      <c r="AY3325" s="76"/>
      <c r="AZ3325" s="76">
        <f>+AY3325*70000</f>
        <v>0</v>
      </c>
      <c r="BA3325" s="76"/>
      <c r="BB3325" s="76"/>
      <c r="BC3325" s="76"/>
      <c r="BD3325" s="76">
        <f>+BC3325*30000</f>
        <v>0</v>
      </c>
      <c r="BE3325" s="76"/>
      <c r="BF3325" s="76"/>
      <c r="BG3325" s="76"/>
      <c r="BH3325" s="76"/>
      <c r="BI3325" s="76"/>
      <c r="BJ3325" s="76"/>
      <c r="BK3325" s="76"/>
      <c r="BL3325" s="76">
        <f>+BK3325*31500</f>
        <v>0</v>
      </c>
      <c r="BM3325" s="76"/>
      <c r="BN3325" s="76"/>
      <c r="BO3325" s="76"/>
      <c r="BP3325" s="76"/>
      <c r="BQ3325" s="76"/>
      <c r="BR3325" s="76"/>
      <c r="BS3325" s="76"/>
      <c r="BT3325" s="76"/>
      <c r="BU3325" s="76"/>
      <c r="BV3325" s="76"/>
      <c r="BW3325" s="76"/>
      <c r="BX3325" s="76"/>
      <c r="BY3325" s="76"/>
      <c r="BZ3325" s="76"/>
      <c r="CA3325" s="76"/>
      <c r="CB3325" s="76"/>
      <c r="CC3325" s="76"/>
      <c r="CD3325" s="76"/>
      <c r="CE3325" s="76"/>
      <c r="CF3325" s="76">
        <f>+CE3325*28000</f>
        <v>0</v>
      </c>
      <c r="CG3325" s="76"/>
      <c r="CH3325" s="76">
        <f>+CG3325*22500</f>
        <v>0</v>
      </c>
      <c r="CI3325" s="76"/>
      <c r="CJ3325" s="76">
        <f>+CI3325*26000</f>
        <v>0</v>
      </c>
      <c r="CK3325" s="76"/>
      <c r="CL3325" s="76"/>
      <c r="CM3325" s="76"/>
      <c r="CN3325" s="76">
        <f>+CM3325*22000</f>
        <v>0</v>
      </c>
      <c r="CO3325" s="76"/>
      <c r="CP3325" s="76">
        <f>+CO3325*46000</f>
        <v>0</v>
      </c>
      <c r="CQ3325" s="76"/>
      <c r="CR3325" s="76">
        <f>+CQ3325*49000</f>
        <v>0</v>
      </c>
      <c r="CS3325" s="76"/>
      <c r="CT3325" s="76"/>
      <c r="CU3325" s="56">
        <f>AN3325+AP3325+AR3325+AT3325+AV3325+AX3325+AZ3325+BB3325+BD3325+BF3325+BH3325+BJ3325+BL3325+BN3325+BP3325+BR3325+BT3325+BV3325+BX3325+BZ3325+CB3325+CD3325+CF3325+CH3325+CJ3325+CL3325+CN3325+CP3325+CR3325+CT3325</f>
        <v>0</v>
      </c>
      <c r="CV3325" s="76"/>
      <c r="CW3325" s="76">
        <f>+CV3325*1100</f>
        <v>0</v>
      </c>
      <c r="CX3325" s="76"/>
      <c r="CY3325" s="76">
        <f>+CX3325*106250</f>
        <v>0</v>
      </c>
      <c r="CZ3325" s="76"/>
      <c r="DA3325" s="76">
        <f>+CZ3325*34500</f>
        <v>0</v>
      </c>
      <c r="DB3325" s="76"/>
      <c r="DC3325" s="76">
        <f>+DB3325*25000</f>
        <v>0</v>
      </c>
      <c r="DD3325" s="219"/>
      <c r="DE3325" s="219"/>
      <c r="DF3325" s="166"/>
      <c r="DG3325" s="116"/>
      <c r="DH3325" s="117"/>
      <c r="DI3325" s="24"/>
      <c r="DJ3325" s="24"/>
      <c r="DK3325" s="24"/>
      <c r="DL3325" s="24"/>
      <c r="DM3325" s="24"/>
      <c r="DN3325" s="24"/>
      <c r="DO3325" s="24"/>
      <c r="DP3325" s="24"/>
      <c r="DQ3325" s="24"/>
      <c r="DR3325" s="24"/>
      <c r="DS3325" s="24"/>
      <c r="DT3325" s="24"/>
      <c r="DU3325" s="24"/>
    </row>
    <row r="3326" spans="1:125" s="8" customFormat="1" ht="60" x14ac:dyDescent="0.2">
      <c r="A3326" s="77">
        <v>41555</v>
      </c>
      <c r="B3326" s="78" t="s">
        <v>2852</v>
      </c>
      <c r="C3326" s="75" t="s">
        <v>2697</v>
      </c>
      <c r="D3326" s="75" t="s">
        <v>2859</v>
      </c>
      <c r="E3326" s="75" t="str">
        <f>VLOOKUP(B3326&amp;C3326,Divipola!$C$2:$F$1138,4,FALSE)</f>
        <v>27787</v>
      </c>
      <c r="F3326" s="61"/>
      <c r="G3326" s="61"/>
      <c r="H3326" s="61"/>
      <c r="I3326" s="61">
        <v>9</v>
      </c>
      <c r="J3326" s="61">
        <v>2</v>
      </c>
      <c r="K3326" s="61">
        <v>2</v>
      </c>
      <c r="L3326" s="61"/>
      <c r="M3326" s="61"/>
      <c r="N3326" s="61"/>
      <c r="O3326" s="61"/>
      <c r="P3326" s="61"/>
      <c r="Q3326" s="61"/>
      <c r="R3326" s="61"/>
      <c r="S3326" s="61"/>
      <c r="T3326" s="61"/>
      <c r="U3326" s="61"/>
      <c r="V3326" s="7"/>
      <c r="W3326" s="96">
        <v>0</v>
      </c>
      <c r="X3326" s="71">
        <f>CU3326</f>
        <v>0</v>
      </c>
      <c r="Y3326" s="71">
        <f>CY3326</f>
        <v>0</v>
      </c>
      <c r="Z3326" s="71">
        <f>DA3326+DC3326+DE3326</f>
        <v>0</v>
      </c>
      <c r="AA3326" s="71">
        <f>CW3326</f>
        <v>0</v>
      </c>
      <c r="AB3326" s="71"/>
      <c r="AC3326" s="71">
        <v>0</v>
      </c>
      <c r="AD3326" s="71">
        <f>W3326+X3326+Y3326+Z3326+AA3326+AB3326+AC3326</f>
        <v>0</v>
      </c>
      <c r="AE3326" s="72">
        <v>0</v>
      </c>
      <c r="AF3326" s="5"/>
      <c r="AG3326" s="6"/>
      <c r="AH3326" s="27" t="s">
        <v>3390</v>
      </c>
      <c r="AI3326" s="44" t="s">
        <v>3393</v>
      </c>
      <c r="AJ3326" s="26"/>
      <c r="AK3326" s="5" t="s">
        <v>6676</v>
      </c>
      <c r="AL3326" s="9" t="s">
        <v>6695</v>
      </c>
      <c r="AM3326" s="76"/>
      <c r="AN3326" s="76"/>
      <c r="AO3326" s="76"/>
      <c r="AP3326" s="76"/>
      <c r="AQ3326" s="76"/>
      <c r="AR3326" s="76"/>
      <c r="AS3326" s="76"/>
      <c r="AT3326" s="76"/>
      <c r="AU3326" s="76"/>
      <c r="AV3326" s="76"/>
      <c r="AW3326" s="76"/>
      <c r="AX3326" s="76">
        <f>+AW3326*600000</f>
        <v>0</v>
      </c>
      <c r="AY3326" s="76"/>
      <c r="AZ3326" s="76">
        <f>+AY3326*70000</f>
        <v>0</v>
      </c>
      <c r="BA3326" s="76"/>
      <c r="BB3326" s="76"/>
      <c r="BC3326" s="76"/>
      <c r="BD3326" s="76">
        <f>+BC3326*30000</f>
        <v>0</v>
      </c>
      <c r="BE3326" s="76"/>
      <c r="BF3326" s="76"/>
      <c r="BG3326" s="76"/>
      <c r="BH3326" s="76"/>
      <c r="BI3326" s="76"/>
      <c r="BJ3326" s="76"/>
      <c r="BK3326" s="76"/>
      <c r="BL3326" s="76">
        <f>+BK3326*31500</f>
        <v>0</v>
      </c>
      <c r="BM3326" s="76"/>
      <c r="BN3326" s="76"/>
      <c r="BO3326" s="76"/>
      <c r="BP3326" s="76"/>
      <c r="BQ3326" s="76"/>
      <c r="BR3326" s="76"/>
      <c r="BS3326" s="76"/>
      <c r="BT3326" s="76"/>
      <c r="BU3326" s="76"/>
      <c r="BV3326" s="76"/>
      <c r="BW3326" s="76"/>
      <c r="BX3326" s="76"/>
      <c r="BY3326" s="76"/>
      <c r="BZ3326" s="76"/>
      <c r="CA3326" s="76"/>
      <c r="CB3326" s="76"/>
      <c r="CC3326" s="76"/>
      <c r="CD3326" s="76"/>
      <c r="CE3326" s="76"/>
      <c r="CF3326" s="76">
        <f>+CE3326*28000</f>
        <v>0</v>
      </c>
      <c r="CG3326" s="76"/>
      <c r="CH3326" s="76">
        <f>+CG3326*22500</f>
        <v>0</v>
      </c>
      <c r="CI3326" s="76"/>
      <c r="CJ3326" s="76">
        <f>+CI3326*26000</f>
        <v>0</v>
      </c>
      <c r="CK3326" s="76"/>
      <c r="CL3326" s="76"/>
      <c r="CM3326" s="76"/>
      <c r="CN3326" s="76">
        <f>+CM3326*22000</f>
        <v>0</v>
      </c>
      <c r="CO3326" s="76"/>
      <c r="CP3326" s="76">
        <f>+CO3326*46000</f>
        <v>0</v>
      </c>
      <c r="CQ3326" s="76"/>
      <c r="CR3326" s="76">
        <f>+CQ3326*49000</f>
        <v>0</v>
      </c>
      <c r="CS3326" s="76"/>
      <c r="CT3326" s="76"/>
      <c r="CU3326" s="56">
        <f>AN3326+AP3326+AR3326+AT3326+AV3326+AX3326+AZ3326+BB3326+BD3326+BF3326+BH3326+BJ3326+BL3326+BN3326+BP3326+BR3326+BT3326+BV3326+BX3326+BZ3326+CB3326+CD3326+CF3326+CH3326+CJ3326+CL3326+CN3326+CP3326+CR3326+CT3326</f>
        <v>0</v>
      </c>
      <c r="CV3326" s="76"/>
      <c r="CW3326" s="76">
        <f>+CV3326*1100</f>
        <v>0</v>
      </c>
      <c r="CX3326" s="76"/>
      <c r="CY3326" s="76">
        <f>+CX3326*106250</f>
        <v>0</v>
      </c>
      <c r="CZ3326" s="76"/>
      <c r="DA3326" s="76">
        <f>+CZ3326*34500</f>
        <v>0</v>
      </c>
      <c r="DB3326" s="76"/>
      <c r="DC3326" s="76">
        <f>+DB3326*25000</f>
        <v>0</v>
      </c>
      <c r="DD3326" s="219"/>
      <c r="DE3326" s="219"/>
      <c r="DF3326" s="166"/>
      <c r="DG3326" s="116"/>
      <c r="DH3326" s="117"/>
      <c r="DI3326" s="24"/>
      <c r="DJ3326" s="24"/>
      <c r="DK3326" s="24"/>
      <c r="DL3326" s="24"/>
      <c r="DM3326" s="24"/>
      <c r="DN3326" s="24"/>
      <c r="DO3326" s="24"/>
      <c r="DP3326" s="24"/>
      <c r="DQ3326" s="24"/>
      <c r="DR3326" s="24"/>
      <c r="DS3326" s="24"/>
      <c r="DT3326" s="24"/>
      <c r="DU3326" s="24"/>
    </row>
    <row r="3327" spans="1:125" s="8" customFormat="1" ht="48" x14ac:dyDescent="0.2">
      <c r="A3327" s="77">
        <v>41556</v>
      </c>
      <c r="B3327" s="352" t="s">
        <v>2700</v>
      </c>
      <c r="C3327" s="354" t="s">
        <v>1325</v>
      </c>
      <c r="D3327" s="354" t="s">
        <v>2846</v>
      </c>
      <c r="E3327" s="75" t="str">
        <f>VLOOKUP(B3327&amp;C3327,Divipola!$C$2:$F$1138,4,FALSE)</f>
        <v>15109</v>
      </c>
      <c r="F3327" s="87"/>
      <c r="G3327" s="87"/>
      <c r="H3327" s="87"/>
      <c r="I3327" s="87"/>
      <c r="J3327" s="87"/>
      <c r="K3327" s="87"/>
      <c r="L3327" s="87"/>
      <c r="M3327" s="87"/>
      <c r="N3327" s="87"/>
      <c r="O3327" s="87"/>
      <c r="P3327" s="87"/>
      <c r="Q3327" s="87"/>
      <c r="R3327" s="87"/>
      <c r="S3327" s="87"/>
      <c r="T3327" s="87"/>
      <c r="U3327" s="88">
        <v>5</v>
      </c>
      <c r="V3327" s="89"/>
      <c r="W3327" s="96">
        <v>0</v>
      </c>
      <c r="X3327" s="71">
        <f>CU3327</f>
        <v>0</v>
      </c>
      <c r="Y3327" s="71">
        <f>CY3327</f>
        <v>0</v>
      </c>
      <c r="Z3327" s="71">
        <f>DA3327+DC3327+DE3327</f>
        <v>0</v>
      </c>
      <c r="AA3327" s="71">
        <f>CW3327</f>
        <v>0</v>
      </c>
      <c r="AB3327" s="71"/>
      <c r="AC3327" s="71">
        <v>0</v>
      </c>
      <c r="AD3327" s="71">
        <f>W3327+X3327+Y3327+Z3327+AA3327+AB3327+AC3327</f>
        <v>0</v>
      </c>
      <c r="AE3327" s="72">
        <v>0</v>
      </c>
      <c r="AF3327" s="5"/>
      <c r="AG3327" s="6"/>
      <c r="AH3327" s="27"/>
      <c r="AI3327" s="44"/>
      <c r="AJ3327" s="26"/>
      <c r="AK3327" s="5"/>
      <c r="AL3327" s="268" t="s">
        <v>6291</v>
      </c>
      <c r="AM3327" s="76"/>
      <c r="AN3327" s="76"/>
      <c r="AO3327" s="76"/>
      <c r="AP3327" s="76"/>
      <c r="AQ3327" s="76"/>
      <c r="AR3327" s="76"/>
      <c r="AS3327" s="76"/>
      <c r="AT3327" s="76"/>
      <c r="AU3327" s="76"/>
      <c r="AV3327" s="76"/>
      <c r="AW3327" s="76"/>
      <c r="AX3327" s="76">
        <f>+AW3327*600000</f>
        <v>0</v>
      </c>
      <c r="AY3327" s="76"/>
      <c r="AZ3327" s="76">
        <f>+AY3327*70000</f>
        <v>0</v>
      </c>
      <c r="BA3327" s="76"/>
      <c r="BB3327" s="76"/>
      <c r="BC3327" s="76"/>
      <c r="BD3327" s="76">
        <f>+BC3327*30000</f>
        <v>0</v>
      </c>
      <c r="BE3327" s="76"/>
      <c r="BF3327" s="76"/>
      <c r="BG3327" s="76"/>
      <c r="BH3327" s="76"/>
      <c r="BI3327" s="76"/>
      <c r="BJ3327" s="76"/>
      <c r="BK3327" s="76"/>
      <c r="BL3327" s="76">
        <f>+BK3327*31500</f>
        <v>0</v>
      </c>
      <c r="BM3327" s="76"/>
      <c r="BN3327" s="76"/>
      <c r="BO3327" s="76"/>
      <c r="BP3327" s="76"/>
      <c r="BQ3327" s="76"/>
      <c r="BR3327" s="76"/>
      <c r="BS3327" s="76"/>
      <c r="BT3327" s="76"/>
      <c r="BU3327" s="76"/>
      <c r="BV3327" s="76"/>
      <c r="BW3327" s="76"/>
      <c r="BX3327" s="76"/>
      <c r="BY3327" s="76"/>
      <c r="BZ3327" s="76"/>
      <c r="CA3327" s="76"/>
      <c r="CB3327" s="76"/>
      <c r="CC3327" s="76"/>
      <c r="CD3327" s="76"/>
      <c r="CE3327" s="76"/>
      <c r="CF3327" s="76">
        <f>+CE3327*28000</f>
        <v>0</v>
      </c>
      <c r="CG3327" s="76"/>
      <c r="CH3327" s="76">
        <f>+CG3327*22500</f>
        <v>0</v>
      </c>
      <c r="CI3327" s="76"/>
      <c r="CJ3327" s="76">
        <f>+CI3327*26000</f>
        <v>0</v>
      </c>
      <c r="CK3327" s="76"/>
      <c r="CL3327" s="76"/>
      <c r="CM3327" s="76"/>
      <c r="CN3327" s="76">
        <f>+CM3327*22000</f>
        <v>0</v>
      </c>
      <c r="CO3327" s="76"/>
      <c r="CP3327" s="76">
        <f>+CO3327*46000</f>
        <v>0</v>
      </c>
      <c r="CQ3327" s="76"/>
      <c r="CR3327" s="76">
        <f>+CQ3327*49000</f>
        <v>0</v>
      </c>
      <c r="CS3327" s="76"/>
      <c r="CT3327" s="76"/>
      <c r="CU3327" s="56">
        <f>AN3327+AP3327+AR3327+AT3327+AV3327+AX3327+AZ3327+BB3327+BD3327+BF3327+BH3327+BJ3327+BL3327+BN3327+BP3327+BR3327+BT3327+BV3327+BX3327+BZ3327+CB3327+CD3327+CF3327+CH3327+CJ3327+CL3327+CN3327+CP3327+CR3327+CT3327</f>
        <v>0</v>
      </c>
      <c r="CV3327" s="76"/>
      <c r="CW3327" s="76">
        <f>+CV3327*1100</f>
        <v>0</v>
      </c>
      <c r="CX3327" s="76"/>
      <c r="CY3327" s="76">
        <f>+CX3327*106250</f>
        <v>0</v>
      </c>
      <c r="CZ3327" s="76"/>
      <c r="DA3327" s="76">
        <f>+CZ3327*34500</f>
        <v>0</v>
      </c>
      <c r="DB3327" s="76"/>
      <c r="DC3327" s="76">
        <f>+DB3327*25000</f>
        <v>0</v>
      </c>
      <c r="DD3327" s="219"/>
      <c r="DE3327" s="219"/>
      <c r="DF3327" s="166"/>
      <c r="DG3327" s="116"/>
      <c r="DH3327" s="117"/>
      <c r="DI3327" s="24"/>
      <c r="DJ3327" s="24"/>
      <c r="DK3327" s="24"/>
      <c r="DL3327" s="24"/>
      <c r="DM3327" s="24"/>
      <c r="DN3327" s="24"/>
      <c r="DO3327" s="24"/>
      <c r="DP3327" s="24"/>
      <c r="DQ3327" s="24"/>
      <c r="DR3327" s="24"/>
      <c r="DS3327" s="24"/>
      <c r="DT3327" s="24"/>
      <c r="DU3327" s="24"/>
    </row>
    <row r="3328" spans="1:125" s="8" customFormat="1" ht="60" x14ac:dyDescent="0.2">
      <c r="A3328" s="77">
        <v>41556</v>
      </c>
      <c r="B3328" s="78" t="s">
        <v>2700</v>
      </c>
      <c r="C3328" s="83" t="s">
        <v>663</v>
      </c>
      <c r="D3328" s="75" t="s">
        <v>2846</v>
      </c>
      <c r="E3328" s="75" t="str">
        <f>VLOOKUP(B3328&amp;C3328,Divipola!$C$2:$F$1138,4,FALSE)</f>
        <v>15753</v>
      </c>
      <c r="F3328" s="93"/>
      <c r="G3328" s="93"/>
      <c r="H3328" s="93"/>
      <c r="I3328" s="93"/>
      <c r="J3328" s="93"/>
      <c r="K3328" s="93"/>
      <c r="L3328" s="93"/>
      <c r="M3328" s="93"/>
      <c r="N3328" s="93"/>
      <c r="O3328" s="93"/>
      <c r="P3328" s="93"/>
      <c r="Q3328" s="93"/>
      <c r="R3328" s="93"/>
      <c r="S3328" s="93"/>
      <c r="T3328" s="93"/>
      <c r="U3328" s="93">
        <v>1</v>
      </c>
      <c r="V3328" s="89"/>
      <c r="W3328" s="96">
        <v>0</v>
      </c>
      <c r="X3328" s="71">
        <f>CU3328</f>
        <v>0</v>
      </c>
      <c r="Y3328" s="71">
        <f>CY3328</f>
        <v>0</v>
      </c>
      <c r="Z3328" s="71">
        <f>DA3328+DC3328+DE3328</f>
        <v>0</v>
      </c>
      <c r="AA3328" s="71">
        <f>CW3328</f>
        <v>0</v>
      </c>
      <c r="AB3328" s="71"/>
      <c r="AC3328" s="71">
        <v>0</v>
      </c>
      <c r="AD3328" s="71">
        <f>W3328+X3328+Y3328+Z3328+AA3328+AB3328+AC3328</f>
        <v>0</v>
      </c>
      <c r="AE3328" s="72">
        <v>0</v>
      </c>
      <c r="AF3328" s="5"/>
      <c r="AG3328" s="6"/>
      <c r="AH3328" s="27"/>
      <c r="AI3328" s="44"/>
      <c r="AJ3328" s="26"/>
      <c r="AK3328" s="5"/>
      <c r="AL3328" s="9" t="s">
        <v>6298</v>
      </c>
      <c r="AM3328" s="76"/>
      <c r="AN3328" s="76"/>
      <c r="AO3328" s="76"/>
      <c r="AP3328" s="76"/>
      <c r="AQ3328" s="76"/>
      <c r="AR3328" s="76"/>
      <c r="AS3328" s="76"/>
      <c r="AT3328" s="76"/>
      <c r="AU3328" s="76"/>
      <c r="AV3328" s="76"/>
      <c r="AW3328" s="76"/>
      <c r="AX3328" s="76">
        <f>+AW3328*600000</f>
        <v>0</v>
      </c>
      <c r="AY3328" s="76"/>
      <c r="AZ3328" s="76">
        <f>+AY3328*70000</f>
        <v>0</v>
      </c>
      <c r="BA3328" s="76"/>
      <c r="BB3328" s="76"/>
      <c r="BC3328" s="76"/>
      <c r="BD3328" s="76">
        <f>+BC3328*30000</f>
        <v>0</v>
      </c>
      <c r="BE3328" s="76"/>
      <c r="BF3328" s="76"/>
      <c r="BG3328" s="76"/>
      <c r="BH3328" s="76"/>
      <c r="BI3328" s="76"/>
      <c r="BJ3328" s="76"/>
      <c r="BK3328" s="76"/>
      <c r="BL3328" s="76">
        <f>+BK3328*31500</f>
        <v>0</v>
      </c>
      <c r="BM3328" s="76"/>
      <c r="BN3328" s="76"/>
      <c r="BO3328" s="76"/>
      <c r="BP3328" s="76"/>
      <c r="BQ3328" s="76"/>
      <c r="BR3328" s="76"/>
      <c r="BS3328" s="76"/>
      <c r="BT3328" s="76"/>
      <c r="BU3328" s="76"/>
      <c r="BV3328" s="76"/>
      <c r="BW3328" s="76"/>
      <c r="BX3328" s="76"/>
      <c r="BY3328" s="76"/>
      <c r="BZ3328" s="76"/>
      <c r="CA3328" s="76"/>
      <c r="CB3328" s="76"/>
      <c r="CC3328" s="76"/>
      <c r="CD3328" s="76"/>
      <c r="CE3328" s="76"/>
      <c r="CF3328" s="76">
        <f>+CE3328*28000</f>
        <v>0</v>
      </c>
      <c r="CG3328" s="76"/>
      <c r="CH3328" s="76">
        <f>+CG3328*22500</f>
        <v>0</v>
      </c>
      <c r="CI3328" s="76"/>
      <c r="CJ3328" s="76">
        <f>+CI3328*26000</f>
        <v>0</v>
      </c>
      <c r="CK3328" s="76"/>
      <c r="CL3328" s="76"/>
      <c r="CM3328" s="76"/>
      <c r="CN3328" s="76">
        <f>+CM3328*22000</f>
        <v>0</v>
      </c>
      <c r="CO3328" s="76"/>
      <c r="CP3328" s="76">
        <f>+CO3328*46000</f>
        <v>0</v>
      </c>
      <c r="CQ3328" s="76"/>
      <c r="CR3328" s="76">
        <f>+CQ3328*49000</f>
        <v>0</v>
      </c>
      <c r="CS3328" s="76"/>
      <c r="CT3328" s="76"/>
      <c r="CU3328" s="56">
        <f>AN3328+AP3328+AR3328+AT3328+AV3328+AX3328+AZ3328+BB3328+BD3328+BF3328+BH3328+BJ3328+BL3328+BN3328+BP3328+BR3328+BT3328+BV3328+BX3328+BZ3328+CB3328+CD3328+CF3328+CH3328+CJ3328+CL3328+CN3328+CP3328+CR3328+CT3328</f>
        <v>0</v>
      </c>
      <c r="CV3328" s="76"/>
      <c r="CW3328" s="76">
        <f>+CV3328*1100</f>
        <v>0</v>
      </c>
      <c r="CX3328" s="76"/>
      <c r="CY3328" s="76">
        <f>+CX3328*106250</f>
        <v>0</v>
      </c>
      <c r="CZ3328" s="76"/>
      <c r="DA3328" s="76">
        <f>+CZ3328*34500</f>
        <v>0</v>
      </c>
      <c r="DB3328" s="76"/>
      <c r="DC3328" s="76">
        <f>+DB3328*25000</f>
        <v>0</v>
      </c>
      <c r="DD3328" s="219"/>
      <c r="DE3328" s="219"/>
      <c r="DF3328" s="166"/>
      <c r="DG3328" s="116"/>
      <c r="DH3328" s="117"/>
      <c r="DI3328" s="24"/>
      <c r="DJ3328" s="24"/>
      <c r="DK3328" s="24"/>
      <c r="DL3328" s="24"/>
      <c r="DM3328" s="24"/>
      <c r="DN3328" s="24"/>
      <c r="DO3328" s="24"/>
      <c r="DP3328" s="24"/>
      <c r="DQ3328" s="24"/>
      <c r="DR3328" s="24"/>
      <c r="DS3328" s="24"/>
      <c r="DT3328" s="24"/>
      <c r="DU3328" s="24"/>
    </row>
    <row r="3329" spans="1:125" s="8" customFormat="1" ht="120" x14ac:dyDescent="0.2">
      <c r="A3329" s="353">
        <v>41556</v>
      </c>
      <c r="B3329" s="352" t="s">
        <v>2772</v>
      </c>
      <c r="C3329" s="354" t="s">
        <v>2132</v>
      </c>
      <c r="D3329" s="354" t="s">
        <v>2846</v>
      </c>
      <c r="E3329" s="75" t="str">
        <f>VLOOKUP(B3329&amp;C3329,Divipola!$C$2:$F$1138,4,FALSE)</f>
        <v>25740</v>
      </c>
      <c r="F3329" s="87"/>
      <c r="G3329" s="87"/>
      <c r="H3329" s="87"/>
      <c r="I3329" s="87"/>
      <c r="J3329" s="87"/>
      <c r="K3329" s="87"/>
      <c r="L3329" s="87"/>
      <c r="M3329" s="87"/>
      <c r="N3329" s="87"/>
      <c r="O3329" s="87"/>
      <c r="P3329" s="87"/>
      <c r="Q3329" s="87"/>
      <c r="R3329" s="87"/>
      <c r="S3329" s="87"/>
      <c r="T3329" s="87"/>
      <c r="U3329" s="88">
        <v>10</v>
      </c>
      <c r="V3329" s="89"/>
      <c r="W3329" s="96">
        <v>0</v>
      </c>
      <c r="X3329" s="71">
        <f>CU3329</f>
        <v>0</v>
      </c>
      <c r="Y3329" s="71">
        <f>CY3329</f>
        <v>0</v>
      </c>
      <c r="Z3329" s="71">
        <f>DA3329+DC3329+DE3329</f>
        <v>0</v>
      </c>
      <c r="AA3329" s="71">
        <f>CW3329</f>
        <v>0</v>
      </c>
      <c r="AB3329" s="71"/>
      <c r="AC3329" s="71">
        <v>0</v>
      </c>
      <c r="AD3329" s="71">
        <f>W3329+X3329+Y3329+Z3329+AA3329+AB3329+AC3329</f>
        <v>0</v>
      </c>
      <c r="AE3329" s="72">
        <v>0</v>
      </c>
      <c r="AF3329" s="5"/>
      <c r="AG3329" s="6"/>
      <c r="AH3329" s="27"/>
      <c r="AI3329" s="44"/>
      <c r="AJ3329" s="26"/>
      <c r="AK3329" s="5"/>
      <c r="AL3329" s="268" t="s">
        <v>6271</v>
      </c>
      <c r="AM3329" s="76"/>
      <c r="AN3329" s="76"/>
      <c r="AO3329" s="76"/>
      <c r="AP3329" s="76"/>
      <c r="AQ3329" s="76"/>
      <c r="AR3329" s="76"/>
      <c r="AS3329" s="76"/>
      <c r="AT3329" s="76"/>
      <c r="AU3329" s="76"/>
      <c r="AV3329" s="76"/>
      <c r="AW3329" s="76"/>
      <c r="AX3329" s="76">
        <f>+AW3329*600000</f>
        <v>0</v>
      </c>
      <c r="AY3329" s="76"/>
      <c r="AZ3329" s="76">
        <f>+AY3329*70000</f>
        <v>0</v>
      </c>
      <c r="BA3329" s="76"/>
      <c r="BB3329" s="76"/>
      <c r="BC3329" s="76"/>
      <c r="BD3329" s="76">
        <f>+BC3329*30000</f>
        <v>0</v>
      </c>
      <c r="BE3329" s="76"/>
      <c r="BF3329" s="76"/>
      <c r="BG3329" s="76"/>
      <c r="BH3329" s="76"/>
      <c r="BI3329" s="76"/>
      <c r="BJ3329" s="76"/>
      <c r="BK3329" s="76"/>
      <c r="BL3329" s="76">
        <f>+BK3329*31500</f>
        <v>0</v>
      </c>
      <c r="BM3329" s="76"/>
      <c r="BN3329" s="76"/>
      <c r="BO3329" s="76"/>
      <c r="BP3329" s="76"/>
      <c r="BQ3329" s="76"/>
      <c r="BR3329" s="76"/>
      <c r="BS3329" s="76"/>
      <c r="BT3329" s="76"/>
      <c r="BU3329" s="76"/>
      <c r="BV3329" s="76"/>
      <c r="BW3329" s="76"/>
      <c r="BX3329" s="76"/>
      <c r="BY3329" s="76"/>
      <c r="BZ3329" s="76"/>
      <c r="CA3329" s="76"/>
      <c r="CB3329" s="76"/>
      <c r="CC3329" s="76"/>
      <c r="CD3329" s="76"/>
      <c r="CE3329" s="76"/>
      <c r="CF3329" s="76">
        <f>+CE3329*28000</f>
        <v>0</v>
      </c>
      <c r="CG3329" s="76"/>
      <c r="CH3329" s="76">
        <f>+CG3329*22500</f>
        <v>0</v>
      </c>
      <c r="CI3329" s="76"/>
      <c r="CJ3329" s="76">
        <f>+CI3329*26000</f>
        <v>0</v>
      </c>
      <c r="CK3329" s="76"/>
      <c r="CL3329" s="76"/>
      <c r="CM3329" s="76"/>
      <c r="CN3329" s="76">
        <f>+CM3329*22000</f>
        <v>0</v>
      </c>
      <c r="CO3329" s="76"/>
      <c r="CP3329" s="76">
        <f>+CO3329*46000</f>
        <v>0</v>
      </c>
      <c r="CQ3329" s="76"/>
      <c r="CR3329" s="76">
        <f>+CQ3329*49000</f>
        <v>0</v>
      </c>
      <c r="CS3329" s="76"/>
      <c r="CT3329" s="76"/>
      <c r="CU3329" s="56">
        <f>AN3329+AP3329+AR3329+AT3329+AV3329+AX3329+AZ3329+BB3329+BD3329+BF3329+BH3329+BJ3329+BL3329+BN3329+BP3329+BR3329+BT3329+BV3329+BX3329+BZ3329+CB3329+CD3329+CF3329+CH3329+CJ3329+CL3329+CN3329+CP3329+CR3329+CT3329</f>
        <v>0</v>
      </c>
      <c r="CV3329" s="76"/>
      <c r="CW3329" s="76">
        <f>+CV3329*1100</f>
        <v>0</v>
      </c>
      <c r="CX3329" s="76"/>
      <c r="CY3329" s="76">
        <f>+CX3329*106250</f>
        <v>0</v>
      </c>
      <c r="CZ3329" s="76"/>
      <c r="DA3329" s="76">
        <f>+CZ3329*34500</f>
        <v>0</v>
      </c>
      <c r="DB3329" s="76"/>
      <c r="DC3329" s="76">
        <f>+DB3329*25000</f>
        <v>0</v>
      </c>
      <c r="DD3329" s="219"/>
      <c r="DE3329" s="219"/>
      <c r="DF3329" s="166"/>
      <c r="DG3329" s="116"/>
      <c r="DH3329" s="117"/>
      <c r="DI3329" s="24"/>
      <c r="DJ3329" s="24"/>
      <c r="DK3329" s="24"/>
      <c r="DL3329" s="24"/>
      <c r="DM3329" s="24"/>
      <c r="DN3329" s="24"/>
      <c r="DO3329" s="24"/>
      <c r="DP3329" s="24"/>
      <c r="DQ3329" s="24"/>
      <c r="DR3329" s="24"/>
      <c r="DS3329" s="24"/>
      <c r="DT3329" s="24"/>
      <c r="DU3329" s="24"/>
    </row>
    <row r="3330" spans="1:125" s="8" customFormat="1" ht="36" x14ac:dyDescent="0.2">
      <c r="A3330" s="353">
        <v>41556</v>
      </c>
      <c r="B3330" s="352" t="s">
        <v>2811</v>
      </c>
      <c r="C3330" s="354" t="s">
        <v>142</v>
      </c>
      <c r="D3330" s="354" t="s">
        <v>2859</v>
      </c>
      <c r="E3330" s="75" t="str">
        <f>VLOOKUP(B3330&amp;C3330,Divipola!$C$2:$F$1138,4,FALSE)</f>
        <v>52240</v>
      </c>
      <c r="F3330" s="87"/>
      <c r="G3330" s="87"/>
      <c r="H3330" s="87"/>
      <c r="I3330" s="87">
        <v>3</v>
      </c>
      <c r="J3330" s="87">
        <v>1</v>
      </c>
      <c r="K3330" s="87">
        <v>1</v>
      </c>
      <c r="L3330" s="87"/>
      <c r="M3330" s="87"/>
      <c r="N3330" s="87"/>
      <c r="O3330" s="87"/>
      <c r="P3330" s="87"/>
      <c r="Q3330" s="87"/>
      <c r="R3330" s="87"/>
      <c r="S3330" s="87"/>
      <c r="T3330" s="87"/>
      <c r="U3330" s="88"/>
      <c r="V3330" s="89"/>
      <c r="W3330" s="96">
        <v>0</v>
      </c>
      <c r="X3330" s="71">
        <f>CU3330</f>
        <v>0</v>
      </c>
      <c r="Y3330" s="71">
        <f>CY3330</f>
        <v>0</v>
      </c>
      <c r="Z3330" s="71">
        <f>DA3330+DC3330+DE3330</f>
        <v>0</v>
      </c>
      <c r="AA3330" s="71">
        <f>CW3330</f>
        <v>0</v>
      </c>
      <c r="AB3330" s="71"/>
      <c r="AC3330" s="71">
        <v>0</v>
      </c>
      <c r="AD3330" s="71">
        <f>W3330+X3330+Y3330+Z3330+AA3330+AB3330+AC3330</f>
        <v>0</v>
      </c>
      <c r="AE3330" s="72">
        <v>0</v>
      </c>
      <c r="AF3330" s="5"/>
      <c r="AG3330" s="6"/>
      <c r="AH3330" s="27"/>
      <c r="AI3330" s="44"/>
      <c r="AJ3330" s="26"/>
      <c r="AK3330" s="5"/>
      <c r="AL3330" s="268" t="s">
        <v>6269</v>
      </c>
      <c r="AM3330" s="76"/>
      <c r="AN3330" s="76"/>
      <c r="AO3330" s="76"/>
      <c r="AP3330" s="76"/>
      <c r="AQ3330" s="76"/>
      <c r="AR3330" s="76"/>
      <c r="AS3330" s="76"/>
      <c r="AT3330" s="76"/>
      <c r="AU3330" s="76"/>
      <c r="AV3330" s="76"/>
      <c r="AW3330" s="76"/>
      <c r="AX3330" s="76">
        <f>+AW3330*600000</f>
        <v>0</v>
      </c>
      <c r="AY3330" s="76"/>
      <c r="AZ3330" s="76">
        <f>+AY3330*70000</f>
        <v>0</v>
      </c>
      <c r="BA3330" s="76"/>
      <c r="BB3330" s="76"/>
      <c r="BC3330" s="76"/>
      <c r="BD3330" s="76">
        <f>+BC3330*30000</f>
        <v>0</v>
      </c>
      <c r="BE3330" s="76"/>
      <c r="BF3330" s="76"/>
      <c r="BG3330" s="76"/>
      <c r="BH3330" s="76"/>
      <c r="BI3330" s="76"/>
      <c r="BJ3330" s="76"/>
      <c r="BK3330" s="76"/>
      <c r="BL3330" s="76">
        <f>+BK3330*31500</f>
        <v>0</v>
      </c>
      <c r="BM3330" s="76"/>
      <c r="BN3330" s="76"/>
      <c r="BO3330" s="76"/>
      <c r="BP3330" s="76"/>
      <c r="BQ3330" s="76"/>
      <c r="BR3330" s="76"/>
      <c r="BS3330" s="76"/>
      <c r="BT3330" s="76"/>
      <c r="BU3330" s="76"/>
      <c r="BV3330" s="76"/>
      <c r="BW3330" s="76"/>
      <c r="BX3330" s="76"/>
      <c r="BY3330" s="76"/>
      <c r="BZ3330" s="76"/>
      <c r="CA3330" s="76"/>
      <c r="CB3330" s="76"/>
      <c r="CC3330" s="76"/>
      <c r="CD3330" s="76"/>
      <c r="CE3330" s="76"/>
      <c r="CF3330" s="76">
        <f>+CE3330*28000</f>
        <v>0</v>
      </c>
      <c r="CG3330" s="76"/>
      <c r="CH3330" s="76">
        <f>+CG3330*22500</f>
        <v>0</v>
      </c>
      <c r="CI3330" s="76"/>
      <c r="CJ3330" s="76">
        <f>+CI3330*26000</f>
        <v>0</v>
      </c>
      <c r="CK3330" s="76"/>
      <c r="CL3330" s="76"/>
      <c r="CM3330" s="76"/>
      <c r="CN3330" s="76">
        <f>+CM3330*22000</f>
        <v>0</v>
      </c>
      <c r="CO3330" s="76"/>
      <c r="CP3330" s="76">
        <f>+CO3330*46000</f>
        <v>0</v>
      </c>
      <c r="CQ3330" s="76"/>
      <c r="CR3330" s="76">
        <f>+CQ3330*49000</f>
        <v>0</v>
      </c>
      <c r="CS3330" s="76"/>
      <c r="CT3330" s="76"/>
      <c r="CU3330" s="56">
        <f>AN3330+AP3330+AR3330+AT3330+AV3330+AX3330+AZ3330+BB3330+BD3330+BF3330+BH3330+BJ3330+BL3330+BN3330+BP3330+BR3330+BT3330+BV3330+BX3330+BZ3330+CB3330+CD3330+CF3330+CH3330+CJ3330+CL3330+CN3330+CP3330+CR3330+CT3330</f>
        <v>0</v>
      </c>
      <c r="CV3330" s="76"/>
      <c r="CW3330" s="76">
        <f>+CV3330*1100</f>
        <v>0</v>
      </c>
      <c r="CX3330" s="76"/>
      <c r="CY3330" s="76">
        <f>+CX3330*106250</f>
        <v>0</v>
      </c>
      <c r="CZ3330" s="76"/>
      <c r="DA3330" s="76">
        <f>+CZ3330*34500</f>
        <v>0</v>
      </c>
      <c r="DB3330" s="76"/>
      <c r="DC3330" s="76">
        <f>+DB3330*25000</f>
        <v>0</v>
      </c>
      <c r="DD3330" s="219"/>
      <c r="DE3330" s="219"/>
      <c r="DF3330" s="166"/>
      <c r="DG3330" s="116"/>
      <c r="DH3330" s="117"/>
      <c r="DI3330" s="24"/>
      <c r="DJ3330" s="24"/>
      <c r="DK3330" s="24"/>
      <c r="DL3330" s="24"/>
      <c r="DM3330" s="24"/>
      <c r="DN3330" s="24"/>
      <c r="DO3330" s="24"/>
      <c r="DP3330" s="24"/>
      <c r="DQ3330" s="24"/>
      <c r="DR3330" s="24"/>
      <c r="DS3330" s="24"/>
      <c r="DT3330" s="24"/>
      <c r="DU3330" s="24"/>
    </row>
    <row r="3331" spans="1:125" s="8" customFormat="1" ht="72" x14ac:dyDescent="0.2">
      <c r="A3331" s="77">
        <v>41556</v>
      </c>
      <c r="B3331" s="78" t="s">
        <v>2811</v>
      </c>
      <c r="C3331" s="75" t="s">
        <v>2065</v>
      </c>
      <c r="D3331" s="75" t="s">
        <v>2846</v>
      </c>
      <c r="E3331" s="75" t="str">
        <f>VLOOKUP(B3331&amp;C3331,Divipola!$C$2:$F$1138,4,FALSE)</f>
        <v>52683</v>
      </c>
      <c r="F3331" s="87"/>
      <c r="G3331" s="87"/>
      <c r="H3331" s="87"/>
      <c r="I3331" s="87"/>
      <c r="J3331" s="87"/>
      <c r="K3331" s="87"/>
      <c r="L3331" s="87"/>
      <c r="M3331" s="87"/>
      <c r="N3331" s="87"/>
      <c r="O3331" s="87"/>
      <c r="P3331" s="87"/>
      <c r="Q3331" s="87"/>
      <c r="R3331" s="87"/>
      <c r="S3331" s="87"/>
      <c r="T3331" s="87"/>
      <c r="U3331" s="88">
        <v>42</v>
      </c>
      <c r="V3331" s="89"/>
      <c r="W3331" s="96">
        <v>0</v>
      </c>
      <c r="X3331" s="71">
        <f>CU3331</f>
        <v>0</v>
      </c>
      <c r="Y3331" s="71">
        <f>CY3331</f>
        <v>0</v>
      </c>
      <c r="Z3331" s="71">
        <f>DA3331+DC3331+DE3331</f>
        <v>0</v>
      </c>
      <c r="AA3331" s="71">
        <f>CW3331</f>
        <v>0</v>
      </c>
      <c r="AB3331" s="71"/>
      <c r="AC3331" s="71">
        <v>0</v>
      </c>
      <c r="AD3331" s="71">
        <f>W3331+X3331+Y3331+Z3331+AA3331+AB3331+AC3331</f>
        <v>0</v>
      </c>
      <c r="AE3331" s="72">
        <v>0</v>
      </c>
      <c r="AF3331" s="5"/>
      <c r="AG3331" s="6"/>
      <c r="AH3331" s="27"/>
      <c r="AI3331" s="44"/>
      <c r="AJ3331" s="26"/>
      <c r="AK3331" s="5"/>
      <c r="AL3331" s="9" t="s">
        <v>6299</v>
      </c>
      <c r="AM3331" s="76"/>
      <c r="AN3331" s="76"/>
      <c r="AO3331" s="76"/>
      <c r="AP3331" s="76"/>
      <c r="AQ3331" s="76"/>
      <c r="AR3331" s="76"/>
      <c r="AS3331" s="76"/>
      <c r="AT3331" s="76"/>
      <c r="AU3331" s="76"/>
      <c r="AV3331" s="76"/>
      <c r="AW3331" s="76"/>
      <c r="AX3331" s="76">
        <f>+AW3331*600000</f>
        <v>0</v>
      </c>
      <c r="AY3331" s="76"/>
      <c r="AZ3331" s="76">
        <f>+AY3331*70000</f>
        <v>0</v>
      </c>
      <c r="BA3331" s="76"/>
      <c r="BB3331" s="76"/>
      <c r="BC3331" s="76"/>
      <c r="BD3331" s="76">
        <f>+BC3331*30000</f>
        <v>0</v>
      </c>
      <c r="BE3331" s="76"/>
      <c r="BF3331" s="76"/>
      <c r="BG3331" s="76"/>
      <c r="BH3331" s="76"/>
      <c r="BI3331" s="76"/>
      <c r="BJ3331" s="76"/>
      <c r="BK3331" s="76"/>
      <c r="BL3331" s="76">
        <f>+BK3331*31500</f>
        <v>0</v>
      </c>
      <c r="BM3331" s="76"/>
      <c r="BN3331" s="76"/>
      <c r="BO3331" s="76"/>
      <c r="BP3331" s="76"/>
      <c r="BQ3331" s="76"/>
      <c r="BR3331" s="76"/>
      <c r="BS3331" s="76"/>
      <c r="BT3331" s="76"/>
      <c r="BU3331" s="76"/>
      <c r="BV3331" s="76"/>
      <c r="BW3331" s="76"/>
      <c r="BX3331" s="76"/>
      <c r="BY3331" s="76"/>
      <c r="BZ3331" s="76"/>
      <c r="CA3331" s="76"/>
      <c r="CB3331" s="76"/>
      <c r="CC3331" s="76"/>
      <c r="CD3331" s="76"/>
      <c r="CE3331" s="76"/>
      <c r="CF3331" s="76">
        <f>+CE3331*28000</f>
        <v>0</v>
      </c>
      <c r="CG3331" s="76"/>
      <c r="CH3331" s="76">
        <f>+CG3331*22500</f>
        <v>0</v>
      </c>
      <c r="CI3331" s="76"/>
      <c r="CJ3331" s="76">
        <f>+CI3331*26000</f>
        <v>0</v>
      </c>
      <c r="CK3331" s="76"/>
      <c r="CL3331" s="76"/>
      <c r="CM3331" s="76"/>
      <c r="CN3331" s="76">
        <f>+CM3331*22000</f>
        <v>0</v>
      </c>
      <c r="CO3331" s="76"/>
      <c r="CP3331" s="76">
        <f>+CO3331*46000</f>
        <v>0</v>
      </c>
      <c r="CQ3331" s="76"/>
      <c r="CR3331" s="76">
        <f>+CQ3331*49000</f>
        <v>0</v>
      </c>
      <c r="CS3331" s="76"/>
      <c r="CT3331" s="76"/>
      <c r="CU3331" s="56">
        <f>AN3331+AP3331+AR3331+AT3331+AV3331+AX3331+AZ3331+BB3331+BD3331+BF3331+BH3331+BJ3331+BL3331+BN3331+BP3331+BR3331+BT3331+BV3331+BX3331+BZ3331+CB3331+CD3331+CF3331+CH3331+CJ3331+CL3331+CN3331+CP3331+CR3331+CT3331</f>
        <v>0</v>
      </c>
      <c r="CV3331" s="76"/>
      <c r="CW3331" s="76">
        <f>+CV3331*1100</f>
        <v>0</v>
      </c>
      <c r="CX3331" s="76"/>
      <c r="CY3331" s="76">
        <f>+CX3331*106250</f>
        <v>0</v>
      </c>
      <c r="CZ3331" s="76"/>
      <c r="DA3331" s="76">
        <f>+CZ3331*34500</f>
        <v>0</v>
      </c>
      <c r="DB3331" s="76"/>
      <c r="DC3331" s="76">
        <f>+DB3331*25000</f>
        <v>0</v>
      </c>
      <c r="DD3331" s="219"/>
      <c r="DE3331" s="219"/>
      <c r="DF3331" s="166"/>
      <c r="DG3331" s="116"/>
      <c r="DH3331" s="117"/>
      <c r="DI3331" s="24"/>
      <c r="DJ3331" s="24"/>
      <c r="DK3331" s="24"/>
      <c r="DL3331" s="24"/>
      <c r="DM3331" s="24"/>
      <c r="DN3331" s="24"/>
      <c r="DO3331" s="24"/>
      <c r="DP3331" s="24"/>
      <c r="DQ3331" s="24"/>
      <c r="DR3331" s="24"/>
      <c r="DS3331" s="24"/>
      <c r="DT3331" s="24"/>
      <c r="DU3331" s="24"/>
    </row>
    <row r="3332" spans="1:125" s="8" customFormat="1" ht="120" x14ac:dyDescent="0.2">
      <c r="A3332" s="353">
        <v>41556</v>
      </c>
      <c r="B3332" s="352" t="s">
        <v>3131</v>
      </c>
      <c r="C3332" s="354" t="s">
        <v>2747</v>
      </c>
      <c r="D3332" s="354" t="s">
        <v>3051</v>
      </c>
      <c r="E3332" s="75" t="str">
        <f>VLOOKUP(B3332&amp;C3332,Divipola!$C$2:$F$1138,4,FALSE)</f>
        <v>86001</v>
      </c>
      <c r="F3332" s="87"/>
      <c r="G3332" s="87"/>
      <c r="H3332" s="87"/>
      <c r="I3332" s="87">
        <v>250</v>
      </c>
      <c r="J3332" s="87">
        <v>50</v>
      </c>
      <c r="K3332" s="87"/>
      <c r="L3332" s="87">
        <v>50</v>
      </c>
      <c r="M3332" s="87"/>
      <c r="N3332" s="87"/>
      <c r="O3332" s="87"/>
      <c r="P3332" s="87"/>
      <c r="Q3332" s="87"/>
      <c r="R3332" s="87"/>
      <c r="S3332" s="87"/>
      <c r="T3332" s="87"/>
      <c r="U3332" s="88"/>
      <c r="V3332" s="89"/>
      <c r="W3332" s="96">
        <v>0</v>
      </c>
      <c r="X3332" s="71">
        <f>CU3332</f>
        <v>0</v>
      </c>
      <c r="Y3332" s="71">
        <f>CY3332</f>
        <v>0</v>
      </c>
      <c r="Z3332" s="71">
        <f>DA3332+DC3332+DE3332</f>
        <v>0</v>
      </c>
      <c r="AA3332" s="71">
        <f>CW3332</f>
        <v>0</v>
      </c>
      <c r="AB3332" s="71"/>
      <c r="AC3332" s="71">
        <v>0</v>
      </c>
      <c r="AD3332" s="71">
        <f>W3332+X3332+Y3332+Z3332+AA3332+AB3332+AC3332</f>
        <v>0</v>
      </c>
      <c r="AE3332" s="72">
        <v>0</v>
      </c>
      <c r="AF3332" s="5"/>
      <c r="AG3332" s="6"/>
      <c r="AH3332" s="27"/>
      <c r="AI3332" s="44"/>
      <c r="AJ3332" s="26"/>
      <c r="AK3332" s="5"/>
      <c r="AL3332" s="268" t="s">
        <v>6277</v>
      </c>
      <c r="AM3332" s="76"/>
      <c r="AN3332" s="76"/>
      <c r="AO3332" s="76"/>
      <c r="AP3332" s="76"/>
      <c r="AQ3332" s="76"/>
      <c r="AR3332" s="76"/>
      <c r="AS3332" s="76"/>
      <c r="AT3332" s="76"/>
      <c r="AU3332" s="76"/>
      <c r="AV3332" s="76"/>
      <c r="AW3332" s="76"/>
      <c r="AX3332" s="76">
        <f>+AW3332*600000</f>
        <v>0</v>
      </c>
      <c r="AY3332" s="76"/>
      <c r="AZ3332" s="76">
        <f>+AY3332*70000</f>
        <v>0</v>
      </c>
      <c r="BA3332" s="76"/>
      <c r="BB3332" s="76"/>
      <c r="BC3332" s="76"/>
      <c r="BD3332" s="76">
        <f>+BC3332*30000</f>
        <v>0</v>
      </c>
      <c r="BE3332" s="76"/>
      <c r="BF3332" s="76"/>
      <c r="BG3332" s="76"/>
      <c r="BH3332" s="76"/>
      <c r="BI3332" s="76"/>
      <c r="BJ3332" s="76"/>
      <c r="BK3332" s="76"/>
      <c r="BL3332" s="76">
        <f>+BK3332*31500</f>
        <v>0</v>
      </c>
      <c r="BM3332" s="76"/>
      <c r="BN3332" s="76"/>
      <c r="BO3332" s="76"/>
      <c r="BP3332" s="76"/>
      <c r="BQ3332" s="76"/>
      <c r="BR3332" s="76"/>
      <c r="BS3332" s="76"/>
      <c r="BT3332" s="76"/>
      <c r="BU3332" s="76"/>
      <c r="BV3332" s="76"/>
      <c r="BW3332" s="76"/>
      <c r="BX3332" s="76"/>
      <c r="BY3332" s="76"/>
      <c r="BZ3332" s="76"/>
      <c r="CA3332" s="76"/>
      <c r="CB3332" s="76"/>
      <c r="CC3332" s="76"/>
      <c r="CD3332" s="76"/>
      <c r="CE3332" s="76"/>
      <c r="CF3332" s="76">
        <f>+CE3332*28000</f>
        <v>0</v>
      </c>
      <c r="CG3332" s="76"/>
      <c r="CH3332" s="76">
        <f>+CG3332*22500</f>
        <v>0</v>
      </c>
      <c r="CI3332" s="76"/>
      <c r="CJ3332" s="76">
        <f>+CI3332*26000</f>
        <v>0</v>
      </c>
      <c r="CK3332" s="76"/>
      <c r="CL3332" s="76"/>
      <c r="CM3332" s="76"/>
      <c r="CN3332" s="76">
        <f>+CM3332*22000</f>
        <v>0</v>
      </c>
      <c r="CO3332" s="76"/>
      <c r="CP3332" s="76">
        <f>+CO3332*46000</f>
        <v>0</v>
      </c>
      <c r="CQ3332" s="76"/>
      <c r="CR3332" s="76">
        <f>+CQ3332*49000</f>
        <v>0</v>
      </c>
      <c r="CS3332" s="76"/>
      <c r="CT3332" s="76"/>
      <c r="CU3332" s="56">
        <f>AN3332+AP3332+AR3332+AT3332+AV3332+AX3332+AZ3332+BB3332+BD3332+BF3332+BH3332+BJ3332+BL3332+BN3332+BP3332+BR3332+BT3332+BV3332+BX3332+BZ3332+CB3332+CD3332+CF3332+CH3332+CJ3332+CL3332+CN3332+CP3332+CR3332+CT3332</f>
        <v>0</v>
      </c>
      <c r="CV3332" s="76"/>
      <c r="CW3332" s="76">
        <f>+CV3332*1100</f>
        <v>0</v>
      </c>
      <c r="CX3332" s="76"/>
      <c r="CY3332" s="76">
        <f>+CX3332*106250</f>
        <v>0</v>
      </c>
      <c r="CZ3332" s="76"/>
      <c r="DA3332" s="76">
        <f>+CZ3332*34500</f>
        <v>0</v>
      </c>
      <c r="DB3332" s="76"/>
      <c r="DC3332" s="76">
        <f>+DB3332*25000</f>
        <v>0</v>
      </c>
      <c r="DD3332" s="219"/>
      <c r="DE3332" s="219"/>
      <c r="DF3332" s="166"/>
      <c r="DG3332" s="116"/>
      <c r="DH3332" s="117"/>
      <c r="DI3332" s="24"/>
      <c r="DJ3332" s="24"/>
      <c r="DK3332" s="24"/>
      <c r="DL3332" s="24"/>
      <c r="DM3332" s="24"/>
      <c r="DN3332" s="24"/>
      <c r="DO3332" s="24"/>
      <c r="DP3332" s="24"/>
      <c r="DQ3332" s="24"/>
      <c r="DR3332" s="24"/>
      <c r="DS3332" s="24"/>
      <c r="DT3332" s="24"/>
      <c r="DU3332" s="24"/>
    </row>
    <row r="3333" spans="1:125" s="8" customFormat="1" ht="84" x14ac:dyDescent="0.2">
      <c r="A3333" s="77">
        <v>41556</v>
      </c>
      <c r="B3333" s="352" t="s">
        <v>2848</v>
      </c>
      <c r="C3333" s="354" t="s">
        <v>2035</v>
      </c>
      <c r="D3333" s="354" t="s">
        <v>2846</v>
      </c>
      <c r="E3333" s="75" t="str">
        <f>VLOOKUP(B3333&amp;C3333,Divipola!$C$2:$F$1138,4,FALSE)</f>
        <v>73148</v>
      </c>
      <c r="F3333" s="87"/>
      <c r="G3333" s="87"/>
      <c r="H3333" s="87"/>
      <c r="I3333" s="87"/>
      <c r="J3333" s="87"/>
      <c r="K3333" s="87"/>
      <c r="L3333" s="87"/>
      <c r="M3333" s="87"/>
      <c r="N3333" s="87"/>
      <c r="O3333" s="87"/>
      <c r="P3333" s="87"/>
      <c r="Q3333" s="87"/>
      <c r="R3333" s="87"/>
      <c r="S3333" s="87"/>
      <c r="T3333" s="87"/>
      <c r="U3333" s="88">
        <v>97</v>
      </c>
      <c r="V3333" s="89"/>
      <c r="W3333" s="96">
        <v>0</v>
      </c>
      <c r="X3333" s="71">
        <f>CU3333</f>
        <v>0</v>
      </c>
      <c r="Y3333" s="71">
        <f>CY3333</f>
        <v>0</v>
      </c>
      <c r="Z3333" s="71">
        <f>DA3333+DC3333+DE3333</f>
        <v>0</v>
      </c>
      <c r="AA3333" s="71">
        <f>CW3333</f>
        <v>0</v>
      </c>
      <c r="AB3333" s="71"/>
      <c r="AC3333" s="71">
        <v>0</v>
      </c>
      <c r="AD3333" s="71">
        <f>W3333+X3333+Y3333+Z3333+AA3333+AB3333+AC3333</f>
        <v>0</v>
      </c>
      <c r="AE3333" s="72">
        <v>0</v>
      </c>
      <c r="AF3333" s="5"/>
      <c r="AG3333" s="6"/>
      <c r="AH3333" s="27"/>
      <c r="AI3333" s="44"/>
      <c r="AJ3333" s="26"/>
      <c r="AK3333" s="5"/>
      <c r="AL3333" s="82" t="s">
        <v>6288</v>
      </c>
      <c r="AM3333" s="76"/>
      <c r="AN3333" s="76"/>
      <c r="AO3333" s="76"/>
      <c r="AP3333" s="76"/>
      <c r="AQ3333" s="76"/>
      <c r="AR3333" s="76"/>
      <c r="AS3333" s="76"/>
      <c r="AT3333" s="76"/>
      <c r="AU3333" s="76"/>
      <c r="AV3333" s="76"/>
      <c r="AW3333" s="76"/>
      <c r="AX3333" s="76">
        <f>+AW3333*600000</f>
        <v>0</v>
      </c>
      <c r="AY3333" s="76"/>
      <c r="AZ3333" s="76">
        <f>+AY3333*70000</f>
        <v>0</v>
      </c>
      <c r="BA3333" s="76"/>
      <c r="BB3333" s="76"/>
      <c r="BC3333" s="76"/>
      <c r="BD3333" s="76">
        <f>+BC3333*30000</f>
        <v>0</v>
      </c>
      <c r="BE3333" s="76"/>
      <c r="BF3333" s="76"/>
      <c r="BG3333" s="76"/>
      <c r="BH3333" s="76"/>
      <c r="BI3333" s="76"/>
      <c r="BJ3333" s="76"/>
      <c r="BK3333" s="76"/>
      <c r="BL3333" s="76">
        <f>+BK3333*31500</f>
        <v>0</v>
      </c>
      <c r="BM3333" s="76"/>
      <c r="BN3333" s="76"/>
      <c r="BO3333" s="76"/>
      <c r="BP3333" s="76"/>
      <c r="BQ3333" s="76"/>
      <c r="BR3333" s="76"/>
      <c r="BS3333" s="76"/>
      <c r="BT3333" s="76"/>
      <c r="BU3333" s="76"/>
      <c r="BV3333" s="76"/>
      <c r="BW3333" s="76"/>
      <c r="BX3333" s="76"/>
      <c r="BY3333" s="76"/>
      <c r="BZ3333" s="76"/>
      <c r="CA3333" s="76"/>
      <c r="CB3333" s="76"/>
      <c r="CC3333" s="76"/>
      <c r="CD3333" s="76"/>
      <c r="CE3333" s="76"/>
      <c r="CF3333" s="76">
        <f>+CE3333*28000</f>
        <v>0</v>
      </c>
      <c r="CG3333" s="76"/>
      <c r="CH3333" s="76">
        <f>+CG3333*22500</f>
        <v>0</v>
      </c>
      <c r="CI3333" s="76"/>
      <c r="CJ3333" s="76">
        <f>+CI3333*26000</f>
        <v>0</v>
      </c>
      <c r="CK3333" s="76"/>
      <c r="CL3333" s="76"/>
      <c r="CM3333" s="76"/>
      <c r="CN3333" s="76">
        <f>+CM3333*22000</f>
        <v>0</v>
      </c>
      <c r="CO3333" s="76"/>
      <c r="CP3333" s="76">
        <f>+CO3333*46000</f>
        <v>0</v>
      </c>
      <c r="CQ3333" s="76"/>
      <c r="CR3333" s="76">
        <f>+CQ3333*49000</f>
        <v>0</v>
      </c>
      <c r="CS3333" s="76"/>
      <c r="CT3333" s="76"/>
      <c r="CU3333" s="56">
        <f>AN3333+AP3333+AR3333+AT3333+AV3333+AX3333+AZ3333+BB3333+BD3333+BF3333+BH3333+BJ3333+BL3333+BN3333+BP3333+BR3333+BT3333+BV3333+BX3333+BZ3333+CB3333+CD3333+CF3333+CH3333+CJ3333+CL3333+CN3333+CP3333+CR3333+CT3333</f>
        <v>0</v>
      </c>
      <c r="CV3333" s="76"/>
      <c r="CW3333" s="76">
        <f>+CV3333*1100</f>
        <v>0</v>
      </c>
      <c r="CX3333" s="76"/>
      <c r="CY3333" s="76">
        <f>+CX3333*106250</f>
        <v>0</v>
      </c>
      <c r="CZ3333" s="76"/>
      <c r="DA3333" s="76">
        <f>+CZ3333*34500</f>
        <v>0</v>
      </c>
      <c r="DB3333" s="76"/>
      <c r="DC3333" s="76">
        <f>+DB3333*25000</f>
        <v>0</v>
      </c>
      <c r="DD3333" s="219"/>
      <c r="DE3333" s="219"/>
      <c r="DF3333" s="166"/>
      <c r="DG3333" s="116"/>
      <c r="DH3333" s="117"/>
      <c r="DI3333" s="24"/>
      <c r="DJ3333" s="24"/>
      <c r="DK3333" s="24"/>
      <c r="DL3333" s="24"/>
      <c r="DM3333" s="24"/>
      <c r="DN3333" s="24"/>
      <c r="DO3333" s="24"/>
      <c r="DP3333" s="24"/>
      <c r="DQ3333" s="24"/>
      <c r="DR3333" s="24"/>
      <c r="DS3333" s="24"/>
      <c r="DT3333" s="24"/>
      <c r="DU3333" s="24"/>
    </row>
    <row r="3334" spans="1:125" s="8" customFormat="1" ht="36" x14ac:dyDescent="0.2">
      <c r="A3334" s="77">
        <v>41556</v>
      </c>
      <c r="B3334" s="78" t="s">
        <v>2848</v>
      </c>
      <c r="C3334" s="75" t="s">
        <v>1383</v>
      </c>
      <c r="D3334" s="75" t="s">
        <v>2846</v>
      </c>
      <c r="E3334" s="75" t="str">
        <f>VLOOKUP(B3334&amp;C3334,Divipola!$C$2:$F$1138,4,FALSE)</f>
        <v>73483</v>
      </c>
      <c r="F3334" s="87"/>
      <c r="G3334" s="87"/>
      <c r="H3334" s="87"/>
      <c r="I3334" s="87"/>
      <c r="J3334" s="87"/>
      <c r="K3334" s="87"/>
      <c r="L3334" s="87"/>
      <c r="M3334" s="87"/>
      <c r="N3334" s="87"/>
      <c r="O3334" s="87"/>
      <c r="P3334" s="87"/>
      <c r="Q3334" s="87"/>
      <c r="R3334" s="87"/>
      <c r="S3334" s="87"/>
      <c r="T3334" s="87"/>
      <c r="U3334" s="88"/>
      <c r="V3334" s="89"/>
      <c r="W3334" s="96">
        <v>0</v>
      </c>
      <c r="X3334" s="71">
        <f>CU3334</f>
        <v>0</v>
      </c>
      <c r="Y3334" s="71">
        <f>CY3334</f>
        <v>0</v>
      </c>
      <c r="Z3334" s="71">
        <f>DA3334+DC3334+DE3334</f>
        <v>0</v>
      </c>
      <c r="AA3334" s="71">
        <f>CW3334</f>
        <v>0</v>
      </c>
      <c r="AB3334" s="71"/>
      <c r="AC3334" s="71">
        <v>0</v>
      </c>
      <c r="AD3334" s="71">
        <f>W3334+X3334+Y3334+Z3334+AA3334+AB3334+AC3334</f>
        <v>0</v>
      </c>
      <c r="AE3334" s="72">
        <v>0</v>
      </c>
      <c r="AF3334" s="5"/>
      <c r="AG3334" s="6"/>
      <c r="AH3334" s="27"/>
      <c r="AI3334" s="44"/>
      <c r="AJ3334" s="26"/>
      <c r="AK3334" s="5"/>
      <c r="AL3334" s="268" t="s">
        <v>6275</v>
      </c>
      <c r="AM3334" s="76"/>
      <c r="AN3334" s="76"/>
      <c r="AO3334" s="76"/>
      <c r="AP3334" s="76"/>
      <c r="AQ3334" s="76"/>
      <c r="AR3334" s="76"/>
      <c r="AS3334" s="76"/>
      <c r="AT3334" s="76"/>
      <c r="AU3334" s="76"/>
      <c r="AV3334" s="76"/>
      <c r="AW3334" s="76"/>
      <c r="AX3334" s="76">
        <f>+AW3334*600000</f>
        <v>0</v>
      </c>
      <c r="AY3334" s="76"/>
      <c r="AZ3334" s="76">
        <f>+AY3334*70000</f>
        <v>0</v>
      </c>
      <c r="BA3334" s="76"/>
      <c r="BB3334" s="76"/>
      <c r="BC3334" s="76"/>
      <c r="BD3334" s="76">
        <f>+BC3334*30000</f>
        <v>0</v>
      </c>
      <c r="BE3334" s="76"/>
      <c r="BF3334" s="76"/>
      <c r="BG3334" s="76"/>
      <c r="BH3334" s="76"/>
      <c r="BI3334" s="76"/>
      <c r="BJ3334" s="76"/>
      <c r="BK3334" s="76"/>
      <c r="BL3334" s="76">
        <f>+BK3334*31500</f>
        <v>0</v>
      </c>
      <c r="BM3334" s="76"/>
      <c r="BN3334" s="76"/>
      <c r="BO3334" s="76"/>
      <c r="BP3334" s="76"/>
      <c r="BQ3334" s="76"/>
      <c r="BR3334" s="76"/>
      <c r="BS3334" s="76"/>
      <c r="BT3334" s="76"/>
      <c r="BU3334" s="76"/>
      <c r="BV3334" s="76"/>
      <c r="BW3334" s="76"/>
      <c r="BX3334" s="76"/>
      <c r="BY3334" s="76"/>
      <c r="BZ3334" s="76"/>
      <c r="CA3334" s="76"/>
      <c r="CB3334" s="76"/>
      <c r="CC3334" s="76"/>
      <c r="CD3334" s="76"/>
      <c r="CE3334" s="76"/>
      <c r="CF3334" s="76">
        <f>+CE3334*28000</f>
        <v>0</v>
      </c>
      <c r="CG3334" s="76"/>
      <c r="CH3334" s="76">
        <f>+CG3334*22500</f>
        <v>0</v>
      </c>
      <c r="CI3334" s="76"/>
      <c r="CJ3334" s="76">
        <f>+CI3334*26000</f>
        <v>0</v>
      </c>
      <c r="CK3334" s="76"/>
      <c r="CL3334" s="76"/>
      <c r="CM3334" s="76"/>
      <c r="CN3334" s="76">
        <f>+CM3334*22000</f>
        <v>0</v>
      </c>
      <c r="CO3334" s="76"/>
      <c r="CP3334" s="76">
        <f>+CO3334*46000</f>
        <v>0</v>
      </c>
      <c r="CQ3334" s="76"/>
      <c r="CR3334" s="76">
        <f>+CQ3334*49000</f>
        <v>0</v>
      </c>
      <c r="CS3334" s="76"/>
      <c r="CT3334" s="76"/>
      <c r="CU3334" s="56">
        <f>AN3334+AP3334+AR3334+AT3334+AV3334+AX3334+AZ3334+BB3334+BD3334+BF3334+BH3334+BJ3334+BL3334+BN3334+BP3334+BR3334+BT3334+BV3334+BX3334+BZ3334+CB3334+CD3334+CF3334+CH3334+CJ3334+CL3334+CN3334+CP3334+CR3334+CT3334</f>
        <v>0</v>
      </c>
      <c r="CV3334" s="76"/>
      <c r="CW3334" s="76">
        <f>+CV3334*1100</f>
        <v>0</v>
      </c>
      <c r="CX3334" s="76"/>
      <c r="CY3334" s="76">
        <f>+CX3334*106250</f>
        <v>0</v>
      </c>
      <c r="CZ3334" s="76"/>
      <c r="DA3334" s="76">
        <f>+CZ3334*34500</f>
        <v>0</v>
      </c>
      <c r="DB3334" s="76"/>
      <c r="DC3334" s="76">
        <f>+DB3334*25000</f>
        <v>0</v>
      </c>
      <c r="DD3334" s="219"/>
      <c r="DE3334" s="219"/>
      <c r="DF3334" s="166"/>
      <c r="DG3334" s="116"/>
      <c r="DH3334" s="117"/>
      <c r="DI3334" s="24"/>
      <c r="DJ3334" s="24"/>
      <c r="DK3334" s="24"/>
      <c r="DL3334" s="24"/>
      <c r="DM3334" s="24"/>
      <c r="DN3334" s="24"/>
      <c r="DO3334" s="24"/>
      <c r="DP3334" s="24"/>
      <c r="DQ3334" s="24"/>
      <c r="DR3334" s="24"/>
      <c r="DS3334" s="24"/>
      <c r="DT3334" s="24"/>
      <c r="DU3334" s="24"/>
    </row>
    <row r="3335" spans="1:125" s="8" customFormat="1" ht="48" x14ac:dyDescent="0.2">
      <c r="A3335" s="77">
        <v>41557</v>
      </c>
      <c r="B3335" s="352" t="s">
        <v>2700</v>
      </c>
      <c r="C3335" s="354" t="s">
        <v>1705</v>
      </c>
      <c r="D3335" s="354" t="s">
        <v>2882</v>
      </c>
      <c r="E3335" s="75" t="str">
        <f>VLOOKUP(B3335&amp;C3335,Divipola!$C$2:$F$1138,4,FALSE)</f>
        <v>15572</v>
      </c>
      <c r="F3335" s="61"/>
      <c r="G3335" s="61"/>
      <c r="H3335" s="61"/>
      <c r="I3335" s="61"/>
      <c r="J3335" s="61"/>
      <c r="K3335" s="61"/>
      <c r="L3335" s="61"/>
      <c r="M3335" s="61"/>
      <c r="N3335" s="61"/>
      <c r="O3335" s="61"/>
      <c r="P3335" s="61"/>
      <c r="Q3335" s="61"/>
      <c r="R3335" s="61"/>
      <c r="S3335" s="61"/>
      <c r="T3335" s="61"/>
      <c r="U3335" s="61"/>
      <c r="V3335" s="7"/>
      <c r="W3335" s="96">
        <v>0</v>
      </c>
      <c r="X3335" s="71">
        <f>CU3335</f>
        <v>0</v>
      </c>
      <c r="Y3335" s="71">
        <f>CY3335</f>
        <v>0</v>
      </c>
      <c r="Z3335" s="71">
        <f>DA3335+DC3335+DE3335</f>
        <v>0</v>
      </c>
      <c r="AA3335" s="71">
        <f>CW3335</f>
        <v>0</v>
      </c>
      <c r="AB3335" s="71"/>
      <c r="AC3335" s="71">
        <v>0</v>
      </c>
      <c r="AD3335" s="71">
        <f>W3335+X3335+Y3335+Z3335+AA3335+AB3335+AC3335</f>
        <v>0</v>
      </c>
      <c r="AE3335" s="72">
        <v>0</v>
      </c>
      <c r="AF3335" s="5"/>
      <c r="AG3335" s="6"/>
      <c r="AH3335" s="27"/>
      <c r="AI3335" s="44"/>
      <c r="AJ3335" s="26"/>
      <c r="AK3335" s="5"/>
      <c r="AL3335" s="82" t="s">
        <v>6284</v>
      </c>
      <c r="AM3335" s="76"/>
      <c r="AN3335" s="76"/>
      <c r="AO3335" s="76"/>
      <c r="AP3335" s="76"/>
      <c r="AQ3335" s="76"/>
      <c r="AR3335" s="76"/>
      <c r="AS3335" s="76"/>
      <c r="AT3335" s="76"/>
      <c r="AU3335" s="76"/>
      <c r="AV3335" s="76"/>
      <c r="AW3335" s="76"/>
      <c r="AX3335" s="76">
        <f>+AW3335*600000</f>
        <v>0</v>
      </c>
      <c r="AY3335" s="76"/>
      <c r="AZ3335" s="76">
        <f>+AY3335*70000</f>
        <v>0</v>
      </c>
      <c r="BA3335" s="76"/>
      <c r="BB3335" s="76"/>
      <c r="BC3335" s="76"/>
      <c r="BD3335" s="76">
        <f>+BC3335*30000</f>
        <v>0</v>
      </c>
      <c r="BE3335" s="76"/>
      <c r="BF3335" s="76"/>
      <c r="BG3335" s="76"/>
      <c r="BH3335" s="76"/>
      <c r="BI3335" s="76"/>
      <c r="BJ3335" s="76"/>
      <c r="BK3335" s="76"/>
      <c r="BL3335" s="76">
        <f>+BK3335*31500</f>
        <v>0</v>
      </c>
      <c r="BM3335" s="76"/>
      <c r="BN3335" s="76"/>
      <c r="BO3335" s="76"/>
      <c r="BP3335" s="76"/>
      <c r="BQ3335" s="76"/>
      <c r="BR3335" s="76"/>
      <c r="BS3335" s="76"/>
      <c r="BT3335" s="76"/>
      <c r="BU3335" s="76"/>
      <c r="BV3335" s="76"/>
      <c r="BW3335" s="76"/>
      <c r="BX3335" s="76"/>
      <c r="BY3335" s="76"/>
      <c r="BZ3335" s="76"/>
      <c r="CA3335" s="76"/>
      <c r="CB3335" s="76"/>
      <c r="CC3335" s="76"/>
      <c r="CD3335" s="76"/>
      <c r="CE3335" s="76"/>
      <c r="CF3335" s="76">
        <f>+CE3335*28000</f>
        <v>0</v>
      </c>
      <c r="CG3335" s="76"/>
      <c r="CH3335" s="76">
        <f>+CG3335*22500</f>
        <v>0</v>
      </c>
      <c r="CI3335" s="76"/>
      <c r="CJ3335" s="76">
        <f>+CI3335*26000</f>
        <v>0</v>
      </c>
      <c r="CK3335" s="76"/>
      <c r="CL3335" s="76"/>
      <c r="CM3335" s="76"/>
      <c r="CN3335" s="76">
        <f>+CM3335*22000</f>
        <v>0</v>
      </c>
      <c r="CO3335" s="76"/>
      <c r="CP3335" s="76">
        <f>+CO3335*46000</f>
        <v>0</v>
      </c>
      <c r="CQ3335" s="76"/>
      <c r="CR3335" s="76">
        <f>+CQ3335*49000</f>
        <v>0</v>
      </c>
      <c r="CS3335" s="76"/>
      <c r="CT3335" s="76"/>
      <c r="CU3335" s="56">
        <f>AN3335+AP3335+AR3335+AT3335+AV3335+AX3335+AZ3335+BB3335+BD3335+BF3335+BH3335+BJ3335+BL3335+BN3335+BP3335+BR3335+BT3335+BV3335+BX3335+BZ3335+CB3335+CD3335+CF3335+CH3335+CJ3335+CL3335+CN3335+CP3335+CR3335+CT3335</f>
        <v>0</v>
      </c>
      <c r="CV3335" s="76"/>
      <c r="CW3335" s="76">
        <f>+CV3335*1100</f>
        <v>0</v>
      </c>
      <c r="CX3335" s="76"/>
      <c r="CY3335" s="76">
        <f>+CX3335*106250</f>
        <v>0</v>
      </c>
      <c r="CZ3335" s="76"/>
      <c r="DA3335" s="76">
        <f>+CZ3335*34500</f>
        <v>0</v>
      </c>
      <c r="DB3335" s="76"/>
      <c r="DC3335" s="76">
        <f>+DB3335*25000</f>
        <v>0</v>
      </c>
      <c r="DD3335" s="219"/>
      <c r="DE3335" s="219"/>
      <c r="DF3335" s="166"/>
      <c r="DG3335" s="116"/>
      <c r="DH3335" s="117"/>
      <c r="DI3335" s="24"/>
      <c r="DJ3335" s="24"/>
      <c r="DK3335" s="24"/>
      <c r="DL3335" s="24"/>
      <c r="DM3335" s="24"/>
      <c r="DN3335" s="24"/>
      <c r="DO3335" s="24"/>
      <c r="DP3335" s="24"/>
      <c r="DQ3335" s="24"/>
      <c r="DR3335" s="24"/>
      <c r="DS3335" s="24"/>
      <c r="DT3335" s="24"/>
      <c r="DU3335" s="24"/>
    </row>
    <row r="3336" spans="1:125" s="8" customFormat="1" ht="216" x14ac:dyDescent="0.2">
      <c r="A3336" s="77">
        <v>41557</v>
      </c>
      <c r="B3336" s="352" t="s">
        <v>2854</v>
      </c>
      <c r="C3336" s="354" t="s">
        <v>831</v>
      </c>
      <c r="D3336" s="354" t="s">
        <v>2882</v>
      </c>
      <c r="E3336" s="75" t="str">
        <f>VLOOKUP(B3336&amp;C3336,Divipola!$C$2:$F$1138,4,FALSE)</f>
        <v>19137</v>
      </c>
      <c r="F3336" s="87"/>
      <c r="G3336" s="87"/>
      <c r="H3336" s="87"/>
      <c r="I3336" s="87">
        <f>23*5</f>
        <v>115</v>
      </c>
      <c r="J3336" s="87">
        <v>23</v>
      </c>
      <c r="K3336" s="87">
        <v>2</v>
      </c>
      <c r="L3336" s="87">
        <v>21</v>
      </c>
      <c r="M3336" s="87"/>
      <c r="N3336" s="87"/>
      <c r="O3336" s="87"/>
      <c r="P3336" s="87"/>
      <c r="Q3336" s="87"/>
      <c r="R3336" s="87"/>
      <c r="S3336" s="87"/>
      <c r="T3336" s="87"/>
      <c r="U3336" s="88"/>
      <c r="V3336" s="89"/>
      <c r="W3336" s="96">
        <v>0</v>
      </c>
      <c r="X3336" s="71">
        <f>CU3336</f>
        <v>0</v>
      </c>
      <c r="Y3336" s="71">
        <f>CY3336</f>
        <v>0</v>
      </c>
      <c r="Z3336" s="71">
        <f>DA3336+DC3336+DE3336</f>
        <v>0</v>
      </c>
      <c r="AA3336" s="71">
        <f>CW3336</f>
        <v>0</v>
      </c>
      <c r="AB3336" s="71"/>
      <c r="AC3336" s="71">
        <v>0</v>
      </c>
      <c r="AD3336" s="71">
        <f>W3336+X3336+Y3336+Z3336+AA3336+AB3336+AC3336</f>
        <v>0</v>
      </c>
      <c r="AE3336" s="72">
        <v>0</v>
      </c>
      <c r="AF3336" s="5"/>
      <c r="AG3336" s="6"/>
      <c r="AH3336" s="27"/>
      <c r="AI3336" s="44"/>
      <c r="AJ3336" s="26"/>
      <c r="AK3336" s="5"/>
      <c r="AL3336" s="274" t="s">
        <v>6290</v>
      </c>
      <c r="AM3336" s="76"/>
      <c r="AN3336" s="76"/>
      <c r="AO3336" s="76"/>
      <c r="AP3336" s="76"/>
      <c r="AQ3336" s="76"/>
      <c r="AR3336" s="76"/>
      <c r="AS3336" s="76"/>
      <c r="AT3336" s="76"/>
      <c r="AU3336" s="76"/>
      <c r="AV3336" s="76"/>
      <c r="AW3336" s="76"/>
      <c r="AX3336" s="76">
        <f>+AW3336*600000</f>
        <v>0</v>
      </c>
      <c r="AY3336" s="76"/>
      <c r="AZ3336" s="76">
        <f>+AY3336*70000</f>
        <v>0</v>
      </c>
      <c r="BA3336" s="76"/>
      <c r="BB3336" s="76"/>
      <c r="BC3336" s="76"/>
      <c r="BD3336" s="76">
        <f>+BC3336*30000</f>
        <v>0</v>
      </c>
      <c r="BE3336" s="76"/>
      <c r="BF3336" s="76"/>
      <c r="BG3336" s="76"/>
      <c r="BH3336" s="76"/>
      <c r="BI3336" s="76"/>
      <c r="BJ3336" s="76"/>
      <c r="BK3336" s="76"/>
      <c r="BL3336" s="76">
        <f>+BK3336*31500</f>
        <v>0</v>
      </c>
      <c r="BM3336" s="76"/>
      <c r="BN3336" s="76"/>
      <c r="BO3336" s="76"/>
      <c r="BP3336" s="76"/>
      <c r="BQ3336" s="76"/>
      <c r="BR3336" s="76"/>
      <c r="BS3336" s="76"/>
      <c r="BT3336" s="76"/>
      <c r="BU3336" s="76"/>
      <c r="BV3336" s="76"/>
      <c r="BW3336" s="76"/>
      <c r="BX3336" s="76"/>
      <c r="BY3336" s="76"/>
      <c r="BZ3336" s="76"/>
      <c r="CA3336" s="76"/>
      <c r="CB3336" s="76"/>
      <c r="CC3336" s="76"/>
      <c r="CD3336" s="76"/>
      <c r="CE3336" s="76"/>
      <c r="CF3336" s="76">
        <f>+CE3336*28000</f>
        <v>0</v>
      </c>
      <c r="CG3336" s="76"/>
      <c r="CH3336" s="76">
        <f>+CG3336*22500</f>
        <v>0</v>
      </c>
      <c r="CI3336" s="76"/>
      <c r="CJ3336" s="76">
        <f>+CI3336*26000</f>
        <v>0</v>
      </c>
      <c r="CK3336" s="76"/>
      <c r="CL3336" s="76"/>
      <c r="CM3336" s="76"/>
      <c r="CN3336" s="76">
        <f>+CM3336*22000</f>
        <v>0</v>
      </c>
      <c r="CO3336" s="76"/>
      <c r="CP3336" s="76">
        <f>+CO3336*46000</f>
        <v>0</v>
      </c>
      <c r="CQ3336" s="76"/>
      <c r="CR3336" s="76">
        <f>+CQ3336*49000</f>
        <v>0</v>
      </c>
      <c r="CS3336" s="76"/>
      <c r="CT3336" s="76"/>
      <c r="CU3336" s="56">
        <f>AN3336+AP3336+AR3336+AT3336+AV3336+AX3336+AZ3336+BB3336+BD3336+BF3336+BH3336+BJ3336+BL3336+BN3336+BP3336+BR3336+BT3336+BV3336+BX3336+BZ3336+CB3336+CD3336+CF3336+CH3336+CJ3336+CL3336+CN3336+CP3336+CR3336+CT3336</f>
        <v>0</v>
      </c>
      <c r="CV3336" s="76"/>
      <c r="CW3336" s="76">
        <f>+CV3336*1100</f>
        <v>0</v>
      </c>
      <c r="CX3336" s="76"/>
      <c r="CY3336" s="76">
        <f>+CX3336*106250</f>
        <v>0</v>
      </c>
      <c r="CZ3336" s="76"/>
      <c r="DA3336" s="76">
        <f>+CZ3336*34500</f>
        <v>0</v>
      </c>
      <c r="DB3336" s="76"/>
      <c r="DC3336" s="76">
        <f>+DB3336*25000</f>
        <v>0</v>
      </c>
      <c r="DD3336" s="219"/>
      <c r="DE3336" s="219"/>
      <c r="DF3336" s="166"/>
      <c r="DG3336" s="116"/>
      <c r="DH3336" s="117"/>
      <c r="DI3336" s="24"/>
      <c r="DJ3336" s="24"/>
      <c r="DK3336" s="24"/>
      <c r="DL3336" s="24"/>
      <c r="DM3336" s="24"/>
      <c r="DN3336" s="24"/>
      <c r="DO3336" s="24"/>
      <c r="DP3336" s="24"/>
      <c r="DQ3336" s="24"/>
      <c r="DR3336" s="24"/>
      <c r="DS3336" s="24"/>
      <c r="DT3336" s="24"/>
      <c r="DU3336" s="24"/>
    </row>
    <row r="3337" spans="1:125" s="8" customFormat="1" ht="48" x14ac:dyDescent="0.2">
      <c r="A3337" s="77">
        <v>41557</v>
      </c>
      <c r="B3337" s="352" t="s">
        <v>2855</v>
      </c>
      <c r="C3337" s="354" t="s">
        <v>909</v>
      </c>
      <c r="D3337" s="354" t="s">
        <v>2882</v>
      </c>
      <c r="E3337" s="75" t="str">
        <f>VLOOKUP(B3337&amp;C3337,Divipola!$C$2:$F$1138,4,FALSE)</f>
        <v>20238</v>
      </c>
      <c r="F3337" s="61"/>
      <c r="G3337" s="61"/>
      <c r="H3337" s="61"/>
      <c r="I3337" s="61"/>
      <c r="J3337" s="61"/>
      <c r="K3337" s="61"/>
      <c r="L3337" s="61"/>
      <c r="M3337" s="61"/>
      <c r="N3337" s="61"/>
      <c r="O3337" s="61"/>
      <c r="P3337" s="61"/>
      <c r="Q3337" s="61"/>
      <c r="R3337" s="61"/>
      <c r="S3337" s="61"/>
      <c r="T3337" s="61"/>
      <c r="U3337" s="61"/>
      <c r="V3337" s="7"/>
      <c r="W3337" s="96">
        <v>0</v>
      </c>
      <c r="X3337" s="71">
        <f>CU3337</f>
        <v>0</v>
      </c>
      <c r="Y3337" s="71">
        <f>CY3337</f>
        <v>0</v>
      </c>
      <c r="Z3337" s="71">
        <f>DA3337+DC3337+DE3337</f>
        <v>0</v>
      </c>
      <c r="AA3337" s="71">
        <f>CW3337</f>
        <v>0</v>
      </c>
      <c r="AB3337" s="71"/>
      <c r="AC3337" s="71">
        <v>0</v>
      </c>
      <c r="AD3337" s="71">
        <f>W3337+X3337+Y3337+Z3337+AA3337+AB3337+AC3337</f>
        <v>0</v>
      </c>
      <c r="AE3337" s="72">
        <v>0</v>
      </c>
      <c r="AF3337" s="5"/>
      <c r="AG3337" s="6"/>
      <c r="AH3337" s="27"/>
      <c r="AI3337" s="44"/>
      <c r="AJ3337" s="26"/>
      <c r="AK3337" s="5"/>
      <c r="AL3337" s="82" t="s">
        <v>6282</v>
      </c>
      <c r="AM3337" s="76"/>
      <c r="AN3337" s="76"/>
      <c r="AO3337" s="76"/>
      <c r="AP3337" s="76"/>
      <c r="AQ3337" s="76"/>
      <c r="AR3337" s="76"/>
      <c r="AS3337" s="76"/>
      <c r="AT3337" s="76"/>
      <c r="AU3337" s="76"/>
      <c r="AV3337" s="76"/>
      <c r="AW3337" s="76"/>
      <c r="AX3337" s="76">
        <f>+AW3337*600000</f>
        <v>0</v>
      </c>
      <c r="AY3337" s="76"/>
      <c r="AZ3337" s="76">
        <f>+AY3337*70000</f>
        <v>0</v>
      </c>
      <c r="BA3337" s="76"/>
      <c r="BB3337" s="76"/>
      <c r="BC3337" s="76"/>
      <c r="BD3337" s="76">
        <f>+BC3337*30000</f>
        <v>0</v>
      </c>
      <c r="BE3337" s="76"/>
      <c r="BF3337" s="76"/>
      <c r="BG3337" s="76"/>
      <c r="BH3337" s="76"/>
      <c r="BI3337" s="76"/>
      <c r="BJ3337" s="76"/>
      <c r="BK3337" s="76"/>
      <c r="BL3337" s="76">
        <f>+BK3337*31500</f>
        <v>0</v>
      </c>
      <c r="BM3337" s="76"/>
      <c r="BN3337" s="76"/>
      <c r="BO3337" s="76"/>
      <c r="BP3337" s="76"/>
      <c r="BQ3337" s="76"/>
      <c r="BR3337" s="76"/>
      <c r="BS3337" s="76"/>
      <c r="BT3337" s="76"/>
      <c r="BU3337" s="76"/>
      <c r="BV3337" s="76"/>
      <c r="BW3337" s="76"/>
      <c r="BX3337" s="76"/>
      <c r="BY3337" s="76"/>
      <c r="BZ3337" s="76"/>
      <c r="CA3337" s="76"/>
      <c r="CB3337" s="76"/>
      <c r="CC3337" s="76"/>
      <c r="CD3337" s="76"/>
      <c r="CE3337" s="76"/>
      <c r="CF3337" s="76">
        <f>+CE3337*28000</f>
        <v>0</v>
      </c>
      <c r="CG3337" s="76"/>
      <c r="CH3337" s="76">
        <f>+CG3337*22500</f>
        <v>0</v>
      </c>
      <c r="CI3337" s="76"/>
      <c r="CJ3337" s="76">
        <f>+CI3337*26000</f>
        <v>0</v>
      </c>
      <c r="CK3337" s="76"/>
      <c r="CL3337" s="76"/>
      <c r="CM3337" s="76"/>
      <c r="CN3337" s="76">
        <f>+CM3337*22000</f>
        <v>0</v>
      </c>
      <c r="CO3337" s="76"/>
      <c r="CP3337" s="76">
        <f>+CO3337*46000</f>
        <v>0</v>
      </c>
      <c r="CQ3337" s="76"/>
      <c r="CR3337" s="76">
        <f>+CQ3337*49000</f>
        <v>0</v>
      </c>
      <c r="CS3337" s="76"/>
      <c r="CT3337" s="76"/>
      <c r="CU3337" s="56">
        <f>AN3337+AP3337+AR3337+AT3337+AV3337+AX3337+AZ3337+BB3337+BD3337+BF3337+BH3337+BJ3337+BL3337+BN3337+BP3337+BR3337+BT3337+BV3337+BX3337+BZ3337+CB3337+CD3337+CF3337+CH3337+CJ3337+CL3337+CN3337+CP3337+CR3337+CT3337</f>
        <v>0</v>
      </c>
      <c r="CV3337" s="76"/>
      <c r="CW3337" s="76">
        <f>+CV3337*1100</f>
        <v>0</v>
      </c>
      <c r="CX3337" s="76"/>
      <c r="CY3337" s="76">
        <f>+CX3337*106250</f>
        <v>0</v>
      </c>
      <c r="CZ3337" s="76"/>
      <c r="DA3337" s="76">
        <f>+CZ3337*34500</f>
        <v>0</v>
      </c>
      <c r="DB3337" s="76"/>
      <c r="DC3337" s="76">
        <f>+DB3337*25000</f>
        <v>0</v>
      </c>
      <c r="DD3337" s="219"/>
      <c r="DE3337" s="219"/>
      <c r="DF3337" s="166"/>
      <c r="DG3337" s="116"/>
      <c r="DH3337" s="117"/>
      <c r="DI3337" s="24"/>
      <c r="DJ3337" s="24"/>
      <c r="DK3337" s="24"/>
      <c r="DL3337" s="24"/>
      <c r="DM3337" s="24"/>
      <c r="DN3337" s="24"/>
      <c r="DO3337" s="24"/>
      <c r="DP3337" s="24"/>
      <c r="DQ3337" s="24"/>
      <c r="DR3337" s="24"/>
      <c r="DS3337" s="24"/>
      <c r="DT3337" s="24"/>
      <c r="DU3337" s="24"/>
    </row>
    <row r="3338" spans="1:125" s="8" customFormat="1" ht="48" x14ac:dyDescent="0.2">
      <c r="A3338" s="77">
        <v>41557</v>
      </c>
      <c r="B3338" s="352" t="s">
        <v>2661</v>
      </c>
      <c r="C3338" s="354" t="s">
        <v>2162</v>
      </c>
      <c r="D3338" s="354" t="s">
        <v>2846</v>
      </c>
      <c r="E3338" s="75" t="str">
        <f>VLOOKUP(B3338&amp;C3338,Divipola!$C$2:$F$1138,4,FALSE)</f>
        <v>41518</v>
      </c>
      <c r="F3338" s="87"/>
      <c r="G3338" s="87"/>
      <c r="H3338" s="87"/>
      <c r="I3338" s="87"/>
      <c r="J3338" s="87"/>
      <c r="K3338" s="87"/>
      <c r="L3338" s="87"/>
      <c r="M3338" s="87"/>
      <c r="N3338" s="87"/>
      <c r="O3338" s="87"/>
      <c r="P3338" s="87"/>
      <c r="Q3338" s="87"/>
      <c r="R3338" s="87"/>
      <c r="S3338" s="87"/>
      <c r="T3338" s="87"/>
      <c r="U3338" s="88">
        <v>3</v>
      </c>
      <c r="V3338" s="89"/>
      <c r="W3338" s="96">
        <v>0</v>
      </c>
      <c r="X3338" s="71">
        <f>CU3338</f>
        <v>0</v>
      </c>
      <c r="Y3338" s="71">
        <f>CY3338</f>
        <v>0</v>
      </c>
      <c r="Z3338" s="71">
        <f>DA3338+DC3338+DE3338</f>
        <v>0</v>
      </c>
      <c r="AA3338" s="71">
        <f>CW3338</f>
        <v>0</v>
      </c>
      <c r="AB3338" s="71"/>
      <c r="AC3338" s="71">
        <v>0</v>
      </c>
      <c r="AD3338" s="71">
        <f>W3338+X3338+Y3338+Z3338+AA3338+AB3338+AC3338</f>
        <v>0</v>
      </c>
      <c r="AE3338" s="72">
        <v>0</v>
      </c>
      <c r="AF3338" s="5"/>
      <c r="AG3338" s="6"/>
      <c r="AH3338" s="27"/>
      <c r="AI3338" s="44"/>
      <c r="AJ3338" s="26"/>
      <c r="AK3338" s="5"/>
      <c r="AL3338" s="82" t="s">
        <v>6287</v>
      </c>
      <c r="AM3338" s="76"/>
      <c r="AN3338" s="76"/>
      <c r="AO3338" s="76"/>
      <c r="AP3338" s="76"/>
      <c r="AQ3338" s="76"/>
      <c r="AR3338" s="76"/>
      <c r="AS3338" s="76"/>
      <c r="AT3338" s="76"/>
      <c r="AU3338" s="76"/>
      <c r="AV3338" s="76"/>
      <c r="AW3338" s="76"/>
      <c r="AX3338" s="76">
        <f>+AW3338*600000</f>
        <v>0</v>
      </c>
      <c r="AY3338" s="76"/>
      <c r="AZ3338" s="76">
        <f>+AY3338*70000</f>
        <v>0</v>
      </c>
      <c r="BA3338" s="76"/>
      <c r="BB3338" s="76"/>
      <c r="BC3338" s="76"/>
      <c r="BD3338" s="76">
        <f>+BC3338*30000</f>
        <v>0</v>
      </c>
      <c r="BE3338" s="76"/>
      <c r="BF3338" s="76"/>
      <c r="BG3338" s="76"/>
      <c r="BH3338" s="76"/>
      <c r="BI3338" s="76"/>
      <c r="BJ3338" s="76"/>
      <c r="BK3338" s="76"/>
      <c r="BL3338" s="76">
        <f>+BK3338*31500</f>
        <v>0</v>
      </c>
      <c r="BM3338" s="76"/>
      <c r="BN3338" s="76"/>
      <c r="BO3338" s="76"/>
      <c r="BP3338" s="76"/>
      <c r="BQ3338" s="76"/>
      <c r="BR3338" s="76"/>
      <c r="BS3338" s="76"/>
      <c r="BT3338" s="76"/>
      <c r="BU3338" s="76"/>
      <c r="BV3338" s="76"/>
      <c r="BW3338" s="76"/>
      <c r="BX3338" s="76"/>
      <c r="BY3338" s="76"/>
      <c r="BZ3338" s="76"/>
      <c r="CA3338" s="76"/>
      <c r="CB3338" s="76"/>
      <c r="CC3338" s="76"/>
      <c r="CD3338" s="76"/>
      <c r="CE3338" s="76"/>
      <c r="CF3338" s="76">
        <f>+CE3338*28000</f>
        <v>0</v>
      </c>
      <c r="CG3338" s="76"/>
      <c r="CH3338" s="76">
        <f>+CG3338*22500</f>
        <v>0</v>
      </c>
      <c r="CI3338" s="76"/>
      <c r="CJ3338" s="76">
        <f>+CI3338*26000</f>
        <v>0</v>
      </c>
      <c r="CK3338" s="76"/>
      <c r="CL3338" s="76"/>
      <c r="CM3338" s="76"/>
      <c r="CN3338" s="76">
        <f>+CM3338*22000</f>
        <v>0</v>
      </c>
      <c r="CO3338" s="76"/>
      <c r="CP3338" s="76">
        <f>+CO3338*46000</f>
        <v>0</v>
      </c>
      <c r="CQ3338" s="76"/>
      <c r="CR3338" s="76">
        <f>+CQ3338*49000</f>
        <v>0</v>
      </c>
      <c r="CS3338" s="76"/>
      <c r="CT3338" s="76"/>
      <c r="CU3338" s="56">
        <f>AN3338+AP3338+AR3338+AT3338+AV3338+AX3338+AZ3338+BB3338+BD3338+BF3338+BH3338+BJ3338+BL3338+BN3338+BP3338+BR3338+BT3338+BV3338+BX3338+BZ3338+CB3338+CD3338+CF3338+CH3338+CJ3338+CL3338+CN3338+CP3338+CR3338+CT3338</f>
        <v>0</v>
      </c>
      <c r="CV3338" s="76"/>
      <c r="CW3338" s="76">
        <f>+CV3338*1100</f>
        <v>0</v>
      </c>
      <c r="CX3338" s="76"/>
      <c r="CY3338" s="76">
        <f>+CX3338*106250</f>
        <v>0</v>
      </c>
      <c r="CZ3338" s="76"/>
      <c r="DA3338" s="76">
        <f>+CZ3338*34500</f>
        <v>0</v>
      </c>
      <c r="DB3338" s="76"/>
      <c r="DC3338" s="76">
        <f>+DB3338*25000</f>
        <v>0</v>
      </c>
      <c r="DD3338" s="219"/>
      <c r="DE3338" s="219"/>
      <c r="DF3338" s="166"/>
      <c r="DG3338" s="116"/>
      <c r="DH3338" s="117"/>
      <c r="DI3338" s="24"/>
      <c r="DJ3338" s="24"/>
      <c r="DK3338" s="24"/>
      <c r="DL3338" s="24"/>
      <c r="DM3338" s="24"/>
      <c r="DN3338" s="24"/>
      <c r="DO3338" s="24"/>
      <c r="DP3338" s="24"/>
      <c r="DQ3338" s="24"/>
      <c r="DR3338" s="24"/>
      <c r="DS3338" s="24"/>
      <c r="DT3338" s="24"/>
      <c r="DU3338" s="24"/>
    </row>
    <row r="3339" spans="1:125" s="8" customFormat="1" ht="48" x14ac:dyDescent="0.2">
      <c r="A3339" s="77">
        <v>41557</v>
      </c>
      <c r="B3339" s="352" t="s">
        <v>2661</v>
      </c>
      <c r="C3339" s="354" t="s">
        <v>2105</v>
      </c>
      <c r="D3339" s="354" t="s">
        <v>2846</v>
      </c>
      <c r="E3339" s="75" t="str">
        <f>VLOOKUP(B3339&amp;C3339,Divipola!$C$2:$F$1138,4,FALSE)</f>
        <v>41615</v>
      </c>
      <c r="F3339" s="87"/>
      <c r="G3339" s="87"/>
      <c r="H3339" s="87"/>
      <c r="I3339" s="87"/>
      <c r="J3339" s="87"/>
      <c r="K3339" s="87"/>
      <c r="L3339" s="87"/>
      <c r="M3339" s="87"/>
      <c r="N3339" s="87"/>
      <c r="O3339" s="87"/>
      <c r="P3339" s="87"/>
      <c r="Q3339" s="87"/>
      <c r="R3339" s="87"/>
      <c r="S3339" s="87"/>
      <c r="T3339" s="87"/>
      <c r="U3339" s="88">
        <v>35</v>
      </c>
      <c r="V3339" s="89"/>
      <c r="W3339" s="96">
        <v>0</v>
      </c>
      <c r="X3339" s="71">
        <f>CU3339</f>
        <v>0</v>
      </c>
      <c r="Y3339" s="71">
        <f>CY3339</f>
        <v>0</v>
      </c>
      <c r="Z3339" s="71">
        <f>DA3339+DC3339+DE3339</f>
        <v>0</v>
      </c>
      <c r="AA3339" s="71">
        <f>CW3339</f>
        <v>0</v>
      </c>
      <c r="AB3339" s="71"/>
      <c r="AC3339" s="71">
        <v>0</v>
      </c>
      <c r="AD3339" s="71">
        <f>W3339+X3339+Y3339+Z3339+AA3339+AB3339+AC3339</f>
        <v>0</v>
      </c>
      <c r="AE3339" s="72">
        <v>0</v>
      </c>
      <c r="AF3339" s="5"/>
      <c r="AG3339" s="6"/>
      <c r="AH3339" s="27"/>
      <c r="AI3339" s="44"/>
      <c r="AJ3339" s="26"/>
      <c r="AK3339" s="5"/>
      <c r="AL3339" s="82" t="s">
        <v>6286</v>
      </c>
      <c r="AM3339" s="76"/>
      <c r="AN3339" s="76"/>
      <c r="AO3339" s="76"/>
      <c r="AP3339" s="76"/>
      <c r="AQ3339" s="76"/>
      <c r="AR3339" s="76"/>
      <c r="AS3339" s="76"/>
      <c r="AT3339" s="76"/>
      <c r="AU3339" s="76"/>
      <c r="AV3339" s="76"/>
      <c r="AW3339" s="76"/>
      <c r="AX3339" s="76">
        <f>+AW3339*600000</f>
        <v>0</v>
      </c>
      <c r="AY3339" s="76"/>
      <c r="AZ3339" s="76">
        <f>+AY3339*70000</f>
        <v>0</v>
      </c>
      <c r="BA3339" s="76"/>
      <c r="BB3339" s="76"/>
      <c r="BC3339" s="76"/>
      <c r="BD3339" s="76">
        <f>+BC3339*30000</f>
        <v>0</v>
      </c>
      <c r="BE3339" s="76"/>
      <c r="BF3339" s="76"/>
      <c r="BG3339" s="76"/>
      <c r="BH3339" s="76"/>
      <c r="BI3339" s="76"/>
      <c r="BJ3339" s="76"/>
      <c r="BK3339" s="76"/>
      <c r="BL3339" s="76">
        <f>+BK3339*31500</f>
        <v>0</v>
      </c>
      <c r="BM3339" s="76"/>
      <c r="BN3339" s="76"/>
      <c r="BO3339" s="76"/>
      <c r="BP3339" s="76"/>
      <c r="BQ3339" s="76"/>
      <c r="BR3339" s="76"/>
      <c r="BS3339" s="76"/>
      <c r="BT3339" s="76"/>
      <c r="BU3339" s="76"/>
      <c r="BV3339" s="76"/>
      <c r="BW3339" s="76"/>
      <c r="BX3339" s="76"/>
      <c r="BY3339" s="76"/>
      <c r="BZ3339" s="76"/>
      <c r="CA3339" s="76"/>
      <c r="CB3339" s="76"/>
      <c r="CC3339" s="76"/>
      <c r="CD3339" s="76"/>
      <c r="CE3339" s="76"/>
      <c r="CF3339" s="76">
        <f>+CE3339*28000</f>
        <v>0</v>
      </c>
      <c r="CG3339" s="76"/>
      <c r="CH3339" s="76">
        <f>+CG3339*22500</f>
        <v>0</v>
      </c>
      <c r="CI3339" s="76"/>
      <c r="CJ3339" s="76">
        <f>+CI3339*26000</f>
        <v>0</v>
      </c>
      <c r="CK3339" s="76"/>
      <c r="CL3339" s="76"/>
      <c r="CM3339" s="76"/>
      <c r="CN3339" s="76">
        <f>+CM3339*22000</f>
        <v>0</v>
      </c>
      <c r="CO3339" s="76"/>
      <c r="CP3339" s="76">
        <f>+CO3339*46000</f>
        <v>0</v>
      </c>
      <c r="CQ3339" s="76"/>
      <c r="CR3339" s="76">
        <f>+CQ3339*49000</f>
        <v>0</v>
      </c>
      <c r="CS3339" s="76"/>
      <c r="CT3339" s="76"/>
      <c r="CU3339" s="56">
        <f>AN3339+AP3339+AR3339+AT3339+AV3339+AX3339+AZ3339+BB3339+BD3339+BF3339+BH3339+BJ3339+BL3339+BN3339+BP3339+BR3339+BT3339+BV3339+BX3339+BZ3339+CB3339+CD3339+CF3339+CH3339+CJ3339+CL3339+CN3339+CP3339+CR3339+CT3339</f>
        <v>0</v>
      </c>
      <c r="CV3339" s="76"/>
      <c r="CW3339" s="76">
        <f>+CV3339*1100</f>
        <v>0</v>
      </c>
      <c r="CX3339" s="76"/>
      <c r="CY3339" s="76">
        <f>+CX3339*106250</f>
        <v>0</v>
      </c>
      <c r="CZ3339" s="76"/>
      <c r="DA3339" s="76">
        <f>+CZ3339*34500</f>
        <v>0</v>
      </c>
      <c r="DB3339" s="76"/>
      <c r="DC3339" s="76">
        <f>+DB3339*25000</f>
        <v>0</v>
      </c>
      <c r="DD3339" s="219"/>
      <c r="DE3339" s="219"/>
      <c r="DF3339" s="166"/>
      <c r="DG3339" s="116"/>
      <c r="DH3339" s="117"/>
      <c r="DI3339" s="24"/>
      <c r="DJ3339" s="24"/>
      <c r="DK3339" s="24"/>
      <c r="DL3339" s="24"/>
      <c r="DM3339" s="24"/>
      <c r="DN3339" s="24"/>
      <c r="DO3339" s="24"/>
      <c r="DP3339" s="24"/>
      <c r="DQ3339" s="24"/>
      <c r="DR3339" s="24"/>
      <c r="DS3339" s="24"/>
      <c r="DT3339" s="24"/>
      <c r="DU3339" s="24"/>
    </row>
    <row r="3340" spans="1:125" s="8" customFormat="1" ht="48" x14ac:dyDescent="0.2">
      <c r="A3340" s="353">
        <v>41557</v>
      </c>
      <c r="B3340" s="352" t="s">
        <v>2811</v>
      </c>
      <c r="C3340" s="354" t="s">
        <v>2839</v>
      </c>
      <c r="D3340" s="354" t="s">
        <v>2846</v>
      </c>
      <c r="E3340" s="75" t="str">
        <f>VLOOKUP(B3340&amp;C3340,Divipola!$C$2:$F$1138,4,FALSE)</f>
        <v>52835</v>
      </c>
      <c r="F3340" s="61"/>
      <c r="G3340" s="61"/>
      <c r="H3340" s="61"/>
      <c r="I3340" s="61"/>
      <c r="J3340" s="61"/>
      <c r="K3340" s="61"/>
      <c r="L3340" s="61"/>
      <c r="M3340" s="61"/>
      <c r="N3340" s="61"/>
      <c r="O3340" s="61"/>
      <c r="P3340" s="61"/>
      <c r="Q3340" s="61"/>
      <c r="R3340" s="61"/>
      <c r="S3340" s="61"/>
      <c r="T3340" s="61"/>
      <c r="U3340" s="61"/>
      <c r="V3340" s="7"/>
      <c r="W3340" s="96">
        <v>0</v>
      </c>
      <c r="X3340" s="71">
        <f>CU3340</f>
        <v>0</v>
      </c>
      <c r="Y3340" s="71">
        <f>CY3340</f>
        <v>0</v>
      </c>
      <c r="Z3340" s="71">
        <f>DA3340+DC3340+DE3340</f>
        <v>0</v>
      </c>
      <c r="AA3340" s="71">
        <f>CW3340</f>
        <v>0</v>
      </c>
      <c r="AB3340" s="71"/>
      <c r="AC3340" s="71">
        <v>0</v>
      </c>
      <c r="AD3340" s="71">
        <f>W3340+X3340+Y3340+Z3340+AA3340+AB3340+AC3340</f>
        <v>0</v>
      </c>
      <c r="AE3340" s="72">
        <v>0</v>
      </c>
      <c r="AF3340" s="5"/>
      <c r="AG3340" s="6"/>
      <c r="AH3340" s="27"/>
      <c r="AI3340" s="44"/>
      <c r="AJ3340" s="26"/>
      <c r="AK3340" s="5"/>
      <c r="AL3340" s="82" t="s">
        <v>6283</v>
      </c>
      <c r="AM3340" s="76"/>
      <c r="AN3340" s="76"/>
      <c r="AO3340" s="76"/>
      <c r="AP3340" s="76"/>
      <c r="AQ3340" s="76"/>
      <c r="AR3340" s="76"/>
      <c r="AS3340" s="76"/>
      <c r="AT3340" s="76"/>
      <c r="AU3340" s="76"/>
      <c r="AV3340" s="76"/>
      <c r="AW3340" s="76"/>
      <c r="AX3340" s="76">
        <f>+AW3340*600000</f>
        <v>0</v>
      </c>
      <c r="AY3340" s="76"/>
      <c r="AZ3340" s="76">
        <f>+AY3340*70000</f>
        <v>0</v>
      </c>
      <c r="BA3340" s="76"/>
      <c r="BB3340" s="76"/>
      <c r="BC3340" s="76"/>
      <c r="BD3340" s="76">
        <f>+BC3340*30000</f>
        <v>0</v>
      </c>
      <c r="BE3340" s="76"/>
      <c r="BF3340" s="76"/>
      <c r="BG3340" s="76"/>
      <c r="BH3340" s="76"/>
      <c r="BI3340" s="76"/>
      <c r="BJ3340" s="76"/>
      <c r="BK3340" s="76"/>
      <c r="BL3340" s="76">
        <f>+BK3340*31500</f>
        <v>0</v>
      </c>
      <c r="BM3340" s="76"/>
      <c r="BN3340" s="76"/>
      <c r="BO3340" s="76"/>
      <c r="BP3340" s="76"/>
      <c r="BQ3340" s="76"/>
      <c r="BR3340" s="76"/>
      <c r="BS3340" s="76"/>
      <c r="BT3340" s="76"/>
      <c r="BU3340" s="76"/>
      <c r="BV3340" s="76"/>
      <c r="BW3340" s="76"/>
      <c r="BX3340" s="76"/>
      <c r="BY3340" s="76"/>
      <c r="BZ3340" s="76"/>
      <c r="CA3340" s="76"/>
      <c r="CB3340" s="76"/>
      <c r="CC3340" s="76"/>
      <c r="CD3340" s="76"/>
      <c r="CE3340" s="76"/>
      <c r="CF3340" s="76">
        <f>+CE3340*28000</f>
        <v>0</v>
      </c>
      <c r="CG3340" s="76"/>
      <c r="CH3340" s="76">
        <f>+CG3340*22500</f>
        <v>0</v>
      </c>
      <c r="CI3340" s="76"/>
      <c r="CJ3340" s="76">
        <f>+CI3340*26000</f>
        <v>0</v>
      </c>
      <c r="CK3340" s="76"/>
      <c r="CL3340" s="76"/>
      <c r="CM3340" s="76"/>
      <c r="CN3340" s="76">
        <f>+CM3340*22000</f>
        <v>0</v>
      </c>
      <c r="CO3340" s="76"/>
      <c r="CP3340" s="76">
        <f>+CO3340*46000</f>
        <v>0</v>
      </c>
      <c r="CQ3340" s="76"/>
      <c r="CR3340" s="76">
        <f>+CQ3340*49000</f>
        <v>0</v>
      </c>
      <c r="CS3340" s="76"/>
      <c r="CT3340" s="76"/>
      <c r="CU3340" s="56">
        <f>AN3340+AP3340+AR3340+AT3340+AV3340+AX3340+AZ3340+BB3340+BD3340+BF3340+BH3340+BJ3340+BL3340+BN3340+BP3340+BR3340+BT3340+BV3340+BX3340+BZ3340+CB3340+CD3340+CF3340+CH3340+CJ3340+CL3340+CN3340+CP3340+CR3340+CT3340</f>
        <v>0</v>
      </c>
      <c r="CV3340" s="76"/>
      <c r="CW3340" s="76">
        <f>+CV3340*1100</f>
        <v>0</v>
      </c>
      <c r="CX3340" s="76"/>
      <c r="CY3340" s="76">
        <f>+CX3340*106250</f>
        <v>0</v>
      </c>
      <c r="CZ3340" s="76"/>
      <c r="DA3340" s="76">
        <f>+CZ3340*34500</f>
        <v>0</v>
      </c>
      <c r="DB3340" s="76"/>
      <c r="DC3340" s="76">
        <f>+DB3340*25000</f>
        <v>0</v>
      </c>
      <c r="DD3340" s="219"/>
      <c r="DE3340" s="219"/>
      <c r="DF3340" s="166"/>
      <c r="DG3340" s="116"/>
      <c r="DH3340" s="117"/>
      <c r="DI3340" s="24"/>
      <c r="DJ3340" s="24"/>
      <c r="DK3340" s="24"/>
      <c r="DL3340" s="24"/>
      <c r="DM3340" s="24"/>
      <c r="DN3340" s="24"/>
      <c r="DO3340" s="24"/>
      <c r="DP3340" s="24"/>
      <c r="DQ3340" s="24"/>
      <c r="DR3340" s="24"/>
      <c r="DS3340" s="24"/>
      <c r="DT3340" s="24"/>
      <c r="DU3340" s="24"/>
    </row>
    <row r="3341" spans="1:125" s="8" customFormat="1" ht="60" x14ac:dyDescent="0.2">
      <c r="A3341" s="77">
        <v>41557</v>
      </c>
      <c r="B3341" s="78" t="s">
        <v>2774</v>
      </c>
      <c r="C3341" s="75" t="s">
        <v>2216</v>
      </c>
      <c r="D3341" s="75" t="s">
        <v>2859</v>
      </c>
      <c r="E3341" s="75" t="str">
        <f>VLOOKUP(B3341&amp;C3341,Divipola!$C$2:$F$1138,4,FALSE)</f>
        <v>66075</v>
      </c>
      <c r="F3341" s="87"/>
      <c r="G3341" s="87"/>
      <c r="H3341" s="87"/>
      <c r="I3341" s="87">
        <v>5</v>
      </c>
      <c r="J3341" s="87">
        <v>1</v>
      </c>
      <c r="K3341" s="87">
        <v>1</v>
      </c>
      <c r="L3341" s="87"/>
      <c r="M3341" s="87"/>
      <c r="N3341" s="87"/>
      <c r="O3341" s="87"/>
      <c r="P3341" s="87"/>
      <c r="Q3341" s="87"/>
      <c r="R3341" s="87"/>
      <c r="S3341" s="87"/>
      <c r="T3341" s="87"/>
      <c r="U3341" s="88"/>
      <c r="V3341" s="89"/>
      <c r="W3341" s="96">
        <v>0</v>
      </c>
      <c r="X3341" s="71">
        <f>CU3341</f>
        <v>0</v>
      </c>
      <c r="Y3341" s="71">
        <f>CY3341</f>
        <v>0</v>
      </c>
      <c r="Z3341" s="71">
        <f>DA3341+DC3341+DE3341</f>
        <v>0</v>
      </c>
      <c r="AA3341" s="71">
        <f>CW3341</f>
        <v>0</v>
      </c>
      <c r="AB3341" s="71"/>
      <c r="AC3341" s="71">
        <v>0</v>
      </c>
      <c r="AD3341" s="71">
        <f>W3341+X3341+Y3341+Z3341+AA3341+AB3341+AC3341</f>
        <v>0</v>
      </c>
      <c r="AE3341" s="72">
        <v>0</v>
      </c>
      <c r="AF3341" s="5"/>
      <c r="AG3341" s="6"/>
      <c r="AH3341" s="27"/>
      <c r="AI3341" s="44"/>
      <c r="AJ3341" s="26"/>
      <c r="AK3341" s="5"/>
      <c r="AL3341" s="268" t="s">
        <v>6289</v>
      </c>
      <c r="AM3341" s="76"/>
      <c r="AN3341" s="76"/>
      <c r="AO3341" s="76"/>
      <c r="AP3341" s="76"/>
      <c r="AQ3341" s="76"/>
      <c r="AR3341" s="76"/>
      <c r="AS3341" s="76"/>
      <c r="AT3341" s="76"/>
      <c r="AU3341" s="76"/>
      <c r="AV3341" s="76"/>
      <c r="AW3341" s="76"/>
      <c r="AX3341" s="76">
        <f>+AW3341*600000</f>
        <v>0</v>
      </c>
      <c r="AY3341" s="76"/>
      <c r="AZ3341" s="76">
        <f>+AY3341*70000</f>
        <v>0</v>
      </c>
      <c r="BA3341" s="76"/>
      <c r="BB3341" s="76"/>
      <c r="BC3341" s="76"/>
      <c r="BD3341" s="76">
        <f>+BC3341*30000</f>
        <v>0</v>
      </c>
      <c r="BE3341" s="76"/>
      <c r="BF3341" s="76"/>
      <c r="BG3341" s="76"/>
      <c r="BH3341" s="76"/>
      <c r="BI3341" s="76"/>
      <c r="BJ3341" s="76"/>
      <c r="BK3341" s="76"/>
      <c r="BL3341" s="76">
        <f>+BK3341*31500</f>
        <v>0</v>
      </c>
      <c r="BM3341" s="76"/>
      <c r="BN3341" s="76"/>
      <c r="BO3341" s="76"/>
      <c r="BP3341" s="76"/>
      <c r="BQ3341" s="76"/>
      <c r="BR3341" s="76"/>
      <c r="BS3341" s="76"/>
      <c r="BT3341" s="76"/>
      <c r="BU3341" s="76"/>
      <c r="BV3341" s="76"/>
      <c r="BW3341" s="76"/>
      <c r="BX3341" s="76"/>
      <c r="BY3341" s="76"/>
      <c r="BZ3341" s="76"/>
      <c r="CA3341" s="76"/>
      <c r="CB3341" s="76"/>
      <c r="CC3341" s="76"/>
      <c r="CD3341" s="76"/>
      <c r="CE3341" s="76"/>
      <c r="CF3341" s="76">
        <f>+CE3341*28000</f>
        <v>0</v>
      </c>
      <c r="CG3341" s="76"/>
      <c r="CH3341" s="76">
        <f>+CG3341*22500</f>
        <v>0</v>
      </c>
      <c r="CI3341" s="76"/>
      <c r="CJ3341" s="76">
        <f>+CI3341*26000</f>
        <v>0</v>
      </c>
      <c r="CK3341" s="76"/>
      <c r="CL3341" s="76"/>
      <c r="CM3341" s="76"/>
      <c r="CN3341" s="76">
        <f>+CM3341*22000</f>
        <v>0</v>
      </c>
      <c r="CO3341" s="76"/>
      <c r="CP3341" s="76">
        <f>+CO3341*46000</f>
        <v>0</v>
      </c>
      <c r="CQ3341" s="76"/>
      <c r="CR3341" s="76">
        <f>+CQ3341*49000</f>
        <v>0</v>
      </c>
      <c r="CS3341" s="76"/>
      <c r="CT3341" s="76"/>
      <c r="CU3341" s="56">
        <f>AN3341+AP3341+AR3341+AT3341+AV3341+AX3341+AZ3341+BB3341+BD3341+BF3341+BH3341+BJ3341+BL3341+BN3341+BP3341+BR3341+BT3341+BV3341+BX3341+BZ3341+CB3341+CD3341+CF3341+CH3341+CJ3341+CL3341+CN3341+CP3341+CR3341+CT3341</f>
        <v>0</v>
      </c>
      <c r="CV3341" s="76"/>
      <c r="CW3341" s="76">
        <f>+CV3341*1100</f>
        <v>0</v>
      </c>
      <c r="CX3341" s="76"/>
      <c r="CY3341" s="76">
        <f>+CX3341*106250</f>
        <v>0</v>
      </c>
      <c r="CZ3341" s="76"/>
      <c r="DA3341" s="76">
        <f>+CZ3341*34500</f>
        <v>0</v>
      </c>
      <c r="DB3341" s="76"/>
      <c r="DC3341" s="76">
        <f>+DB3341*25000</f>
        <v>0</v>
      </c>
      <c r="DD3341" s="219"/>
      <c r="DE3341" s="219"/>
      <c r="DF3341" s="166"/>
      <c r="DG3341" s="116"/>
      <c r="DH3341" s="117"/>
      <c r="DI3341" s="24"/>
      <c r="DJ3341" s="24"/>
      <c r="DK3341" s="24"/>
      <c r="DL3341" s="24"/>
      <c r="DM3341" s="24"/>
      <c r="DN3341" s="24"/>
      <c r="DO3341" s="24"/>
      <c r="DP3341" s="24"/>
      <c r="DQ3341" s="24"/>
      <c r="DR3341" s="24"/>
      <c r="DS3341" s="24"/>
      <c r="DT3341" s="24"/>
      <c r="DU3341" s="24"/>
    </row>
    <row r="3342" spans="1:125" s="8" customFormat="1" ht="96" x14ac:dyDescent="0.2">
      <c r="A3342" s="77">
        <v>41557</v>
      </c>
      <c r="B3342" s="78" t="s">
        <v>2847</v>
      </c>
      <c r="C3342" s="75" t="s">
        <v>2673</v>
      </c>
      <c r="D3342" s="75" t="s">
        <v>2846</v>
      </c>
      <c r="E3342" s="75" t="str">
        <f>VLOOKUP(B3342&amp;C3342,Divipola!$C$2:$F$1138,4,FALSE)</f>
        <v>68001</v>
      </c>
      <c r="F3342" s="61"/>
      <c r="G3342" s="61"/>
      <c r="H3342" s="61"/>
      <c r="I3342" s="61"/>
      <c r="J3342" s="61"/>
      <c r="K3342" s="61"/>
      <c r="L3342" s="61"/>
      <c r="M3342" s="61"/>
      <c r="N3342" s="61"/>
      <c r="O3342" s="61"/>
      <c r="P3342" s="61"/>
      <c r="Q3342" s="61"/>
      <c r="R3342" s="61"/>
      <c r="S3342" s="61"/>
      <c r="T3342" s="61"/>
      <c r="U3342" s="335">
        <v>0.6</v>
      </c>
      <c r="V3342" s="7"/>
      <c r="W3342" s="96">
        <v>0</v>
      </c>
      <c r="X3342" s="71">
        <f>CU3342</f>
        <v>0</v>
      </c>
      <c r="Y3342" s="71">
        <f>CY3342</f>
        <v>0</v>
      </c>
      <c r="Z3342" s="71">
        <f>DA3342+DC3342+DE3342</f>
        <v>0</v>
      </c>
      <c r="AA3342" s="71">
        <f>CW3342</f>
        <v>0</v>
      </c>
      <c r="AB3342" s="71"/>
      <c r="AC3342" s="71">
        <v>0</v>
      </c>
      <c r="AD3342" s="71">
        <f>W3342+X3342+Y3342+Z3342+AA3342+AB3342+AC3342</f>
        <v>0</v>
      </c>
      <c r="AE3342" s="72">
        <v>0</v>
      </c>
      <c r="AF3342" s="5"/>
      <c r="AG3342" s="6"/>
      <c r="AH3342" s="27"/>
      <c r="AI3342" s="44"/>
      <c r="AJ3342" s="26"/>
      <c r="AK3342" s="5"/>
      <c r="AL3342" s="268" t="s">
        <v>6280</v>
      </c>
      <c r="AM3342" s="76"/>
      <c r="AN3342" s="76"/>
      <c r="AO3342" s="76"/>
      <c r="AP3342" s="76"/>
      <c r="AQ3342" s="76"/>
      <c r="AR3342" s="76"/>
      <c r="AS3342" s="76"/>
      <c r="AT3342" s="76"/>
      <c r="AU3342" s="76"/>
      <c r="AV3342" s="76"/>
      <c r="AW3342" s="76"/>
      <c r="AX3342" s="76">
        <f>+AW3342*600000</f>
        <v>0</v>
      </c>
      <c r="AY3342" s="76"/>
      <c r="AZ3342" s="76">
        <f>+AY3342*70000</f>
        <v>0</v>
      </c>
      <c r="BA3342" s="76"/>
      <c r="BB3342" s="76"/>
      <c r="BC3342" s="76"/>
      <c r="BD3342" s="76">
        <f>+BC3342*30000</f>
        <v>0</v>
      </c>
      <c r="BE3342" s="76"/>
      <c r="BF3342" s="76"/>
      <c r="BG3342" s="76"/>
      <c r="BH3342" s="76"/>
      <c r="BI3342" s="76"/>
      <c r="BJ3342" s="76"/>
      <c r="BK3342" s="76"/>
      <c r="BL3342" s="76">
        <f>+BK3342*31500</f>
        <v>0</v>
      </c>
      <c r="BM3342" s="76"/>
      <c r="BN3342" s="76"/>
      <c r="BO3342" s="76"/>
      <c r="BP3342" s="76"/>
      <c r="BQ3342" s="76"/>
      <c r="BR3342" s="76"/>
      <c r="BS3342" s="76"/>
      <c r="BT3342" s="76"/>
      <c r="BU3342" s="76"/>
      <c r="BV3342" s="76"/>
      <c r="BW3342" s="76"/>
      <c r="BX3342" s="76"/>
      <c r="BY3342" s="76"/>
      <c r="BZ3342" s="76"/>
      <c r="CA3342" s="76"/>
      <c r="CB3342" s="76"/>
      <c r="CC3342" s="76"/>
      <c r="CD3342" s="76"/>
      <c r="CE3342" s="76"/>
      <c r="CF3342" s="76">
        <f>+CE3342*28000</f>
        <v>0</v>
      </c>
      <c r="CG3342" s="76"/>
      <c r="CH3342" s="76">
        <f>+CG3342*22500</f>
        <v>0</v>
      </c>
      <c r="CI3342" s="76"/>
      <c r="CJ3342" s="76">
        <f>+CI3342*26000</f>
        <v>0</v>
      </c>
      <c r="CK3342" s="76"/>
      <c r="CL3342" s="76"/>
      <c r="CM3342" s="76"/>
      <c r="CN3342" s="76">
        <f>+CM3342*22000</f>
        <v>0</v>
      </c>
      <c r="CO3342" s="76"/>
      <c r="CP3342" s="76">
        <f>+CO3342*46000</f>
        <v>0</v>
      </c>
      <c r="CQ3342" s="76"/>
      <c r="CR3342" s="76">
        <f>+CQ3342*49000</f>
        <v>0</v>
      </c>
      <c r="CS3342" s="76"/>
      <c r="CT3342" s="76"/>
      <c r="CU3342" s="56">
        <f>AN3342+AP3342+AR3342+AT3342+AV3342+AX3342+AZ3342+BB3342+BD3342+BF3342+BH3342+BJ3342+BL3342+BN3342+BP3342+BR3342+BT3342+BV3342+BX3342+BZ3342+CB3342+CD3342+CF3342+CH3342+CJ3342+CL3342+CN3342+CP3342+CR3342+CT3342</f>
        <v>0</v>
      </c>
      <c r="CV3342" s="76"/>
      <c r="CW3342" s="76">
        <f>+CV3342*1100</f>
        <v>0</v>
      </c>
      <c r="CX3342" s="76"/>
      <c r="CY3342" s="76">
        <f>+CX3342*106250</f>
        <v>0</v>
      </c>
      <c r="CZ3342" s="76"/>
      <c r="DA3342" s="76">
        <f>+CZ3342*34500</f>
        <v>0</v>
      </c>
      <c r="DB3342" s="76"/>
      <c r="DC3342" s="76">
        <f>+DB3342*25000</f>
        <v>0</v>
      </c>
      <c r="DD3342" s="219"/>
      <c r="DE3342" s="219"/>
      <c r="DF3342" s="166"/>
      <c r="DG3342" s="116"/>
      <c r="DH3342" s="117"/>
      <c r="DI3342" s="24"/>
      <c r="DJ3342" s="24"/>
      <c r="DK3342" s="24"/>
      <c r="DL3342" s="24"/>
      <c r="DM3342" s="24"/>
      <c r="DN3342" s="24"/>
      <c r="DO3342" s="24"/>
      <c r="DP3342" s="24"/>
      <c r="DQ3342" s="24"/>
      <c r="DR3342" s="24"/>
      <c r="DS3342" s="24"/>
      <c r="DT3342" s="24"/>
      <c r="DU3342" s="24"/>
    </row>
    <row r="3343" spans="1:125" s="8" customFormat="1" ht="144" x14ac:dyDescent="0.2">
      <c r="A3343" s="353">
        <v>41557</v>
      </c>
      <c r="B3343" s="352" t="s">
        <v>2847</v>
      </c>
      <c r="C3343" s="354" t="s">
        <v>479</v>
      </c>
      <c r="D3343" s="354" t="s">
        <v>3051</v>
      </c>
      <c r="E3343" s="75" t="str">
        <f>VLOOKUP(B3343&amp;C3343,Divipola!$C$2:$F$1138,4,FALSE)</f>
        <v>68547</v>
      </c>
      <c r="F3343" s="61"/>
      <c r="G3343" s="61"/>
      <c r="H3343" s="61"/>
      <c r="I3343" s="61"/>
      <c r="J3343" s="61"/>
      <c r="K3343" s="61"/>
      <c r="L3343" s="61"/>
      <c r="M3343" s="61"/>
      <c r="N3343" s="61"/>
      <c r="O3343" s="61"/>
      <c r="P3343" s="61"/>
      <c r="Q3343" s="61"/>
      <c r="R3343" s="61"/>
      <c r="S3343" s="61"/>
      <c r="T3343" s="61"/>
      <c r="U3343" s="61"/>
      <c r="V3343" s="7"/>
      <c r="W3343" s="96">
        <v>0</v>
      </c>
      <c r="X3343" s="71">
        <f>CU3343</f>
        <v>0</v>
      </c>
      <c r="Y3343" s="71">
        <f>CY3343</f>
        <v>0</v>
      </c>
      <c r="Z3343" s="71">
        <f>DA3343+DC3343+DE3343</f>
        <v>0</v>
      </c>
      <c r="AA3343" s="71">
        <f>CW3343</f>
        <v>0</v>
      </c>
      <c r="AB3343" s="71"/>
      <c r="AC3343" s="71">
        <v>0</v>
      </c>
      <c r="AD3343" s="71">
        <f>W3343+X3343+Y3343+Z3343+AA3343+AB3343+AC3343</f>
        <v>0</v>
      </c>
      <c r="AE3343" s="72">
        <v>0</v>
      </c>
      <c r="AF3343" s="5"/>
      <c r="AG3343" s="6"/>
      <c r="AH3343" s="27"/>
      <c r="AI3343" s="44"/>
      <c r="AJ3343" s="26"/>
      <c r="AK3343" s="5"/>
      <c r="AL3343" s="82" t="s">
        <v>6281</v>
      </c>
      <c r="AM3343" s="76"/>
      <c r="AN3343" s="76"/>
      <c r="AO3343" s="76"/>
      <c r="AP3343" s="76"/>
      <c r="AQ3343" s="76"/>
      <c r="AR3343" s="76"/>
      <c r="AS3343" s="76"/>
      <c r="AT3343" s="76"/>
      <c r="AU3343" s="76"/>
      <c r="AV3343" s="76"/>
      <c r="AW3343" s="76"/>
      <c r="AX3343" s="76">
        <f>+AW3343*600000</f>
        <v>0</v>
      </c>
      <c r="AY3343" s="76"/>
      <c r="AZ3343" s="76">
        <f>+AY3343*70000</f>
        <v>0</v>
      </c>
      <c r="BA3343" s="76"/>
      <c r="BB3343" s="76"/>
      <c r="BC3343" s="76"/>
      <c r="BD3343" s="76">
        <f>+BC3343*30000</f>
        <v>0</v>
      </c>
      <c r="BE3343" s="76"/>
      <c r="BF3343" s="76"/>
      <c r="BG3343" s="76"/>
      <c r="BH3343" s="76"/>
      <c r="BI3343" s="76"/>
      <c r="BJ3343" s="76"/>
      <c r="BK3343" s="76"/>
      <c r="BL3343" s="76">
        <f>+BK3343*31500</f>
        <v>0</v>
      </c>
      <c r="BM3343" s="76"/>
      <c r="BN3343" s="76"/>
      <c r="BO3343" s="76"/>
      <c r="BP3343" s="76"/>
      <c r="BQ3343" s="76"/>
      <c r="BR3343" s="76"/>
      <c r="BS3343" s="76"/>
      <c r="BT3343" s="76"/>
      <c r="BU3343" s="76"/>
      <c r="BV3343" s="76"/>
      <c r="BW3343" s="76"/>
      <c r="BX3343" s="76"/>
      <c r="BY3343" s="76"/>
      <c r="BZ3343" s="76"/>
      <c r="CA3343" s="76"/>
      <c r="CB3343" s="76"/>
      <c r="CC3343" s="76"/>
      <c r="CD3343" s="76"/>
      <c r="CE3343" s="76"/>
      <c r="CF3343" s="76">
        <f>+CE3343*28000</f>
        <v>0</v>
      </c>
      <c r="CG3343" s="76"/>
      <c r="CH3343" s="76">
        <f>+CG3343*22500</f>
        <v>0</v>
      </c>
      <c r="CI3343" s="76"/>
      <c r="CJ3343" s="76">
        <f>+CI3343*26000</f>
        <v>0</v>
      </c>
      <c r="CK3343" s="76"/>
      <c r="CL3343" s="76"/>
      <c r="CM3343" s="76"/>
      <c r="CN3343" s="76">
        <f>+CM3343*22000</f>
        <v>0</v>
      </c>
      <c r="CO3343" s="76"/>
      <c r="CP3343" s="76">
        <f>+CO3343*46000</f>
        <v>0</v>
      </c>
      <c r="CQ3343" s="76"/>
      <c r="CR3343" s="76">
        <f>+CQ3343*49000</f>
        <v>0</v>
      </c>
      <c r="CS3343" s="76"/>
      <c r="CT3343" s="76"/>
      <c r="CU3343" s="56">
        <f>AN3343+AP3343+AR3343+AT3343+AV3343+AX3343+AZ3343+BB3343+BD3343+BF3343+BH3343+BJ3343+BL3343+BN3343+BP3343+BR3343+BT3343+BV3343+BX3343+BZ3343+CB3343+CD3343+CF3343+CH3343+CJ3343+CL3343+CN3343+CP3343+CR3343+CT3343</f>
        <v>0</v>
      </c>
      <c r="CV3343" s="76"/>
      <c r="CW3343" s="76">
        <f>+CV3343*1100</f>
        <v>0</v>
      </c>
      <c r="CX3343" s="76"/>
      <c r="CY3343" s="76">
        <f>+CX3343*106250</f>
        <v>0</v>
      </c>
      <c r="CZ3343" s="76"/>
      <c r="DA3343" s="76">
        <f>+CZ3343*34500</f>
        <v>0</v>
      </c>
      <c r="DB3343" s="76"/>
      <c r="DC3343" s="76">
        <f>+DB3343*25000</f>
        <v>0</v>
      </c>
      <c r="DD3343" s="219"/>
      <c r="DE3343" s="219"/>
      <c r="DF3343" s="166"/>
      <c r="DG3343" s="116"/>
      <c r="DH3343" s="117"/>
      <c r="DI3343" s="24"/>
      <c r="DJ3343" s="24"/>
      <c r="DK3343" s="24"/>
      <c r="DL3343" s="24"/>
      <c r="DM3343" s="24"/>
      <c r="DN3343" s="24"/>
      <c r="DO3343" s="24"/>
      <c r="DP3343" s="24"/>
      <c r="DQ3343" s="24"/>
      <c r="DR3343" s="24"/>
      <c r="DS3343" s="24"/>
      <c r="DT3343" s="24"/>
      <c r="DU3343" s="24"/>
    </row>
    <row r="3344" spans="1:125" s="8" customFormat="1" ht="144" x14ac:dyDescent="0.2">
      <c r="A3344" s="77">
        <v>41557</v>
      </c>
      <c r="B3344" s="78" t="s">
        <v>1326</v>
      </c>
      <c r="C3344" s="75" t="s">
        <v>1823</v>
      </c>
      <c r="D3344" s="75" t="s">
        <v>3051</v>
      </c>
      <c r="E3344" s="75" t="str">
        <f>VLOOKUP(B3344&amp;C3344,Divipola!$C$2:$F$1138,4,FALSE)</f>
        <v>70429</v>
      </c>
      <c r="F3344" s="61"/>
      <c r="G3344" s="61"/>
      <c r="H3344" s="61"/>
      <c r="I3344" s="61"/>
      <c r="J3344" s="61"/>
      <c r="K3344" s="61"/>
      <c r="L3344" s="61"/>
      <c r="M3344" s="61"/>
      <c r="N3344" s="61"/>
      <c r="O3344" s="61"/>
      <c r="P3344" s="61"/>
      <c r="Q3344" s="61"/>
      <c r="R3344" s="61"/>
      <c r="S3344" s="61"/>
      <c r="T3344" s="61"/>
      <c r="U3344" s="61"/>
      <c r="V3344" s="7"/>
      <c r="W3344" s="96">
        <v>0</v>
      </c>
      <c r="X3344" s="71">
        <f>CU3344</f>
        <v>0</v>
      </c>
      <c r="Y3344" s="71">
        <f>CY3344</f>
        <v>0</v>
      </c>
      <c r="Z3344" s="71">
        <f>DA3344+DC3344+DE3344</f>
        <v>0</v>
      </c>
      <c r="AA3344" s="71">
        <f>CW3344</f>
        <v>0</v>
      </c>
      <c r="AB3344" s="71"/>
      <c r="AC3344" s="71">
        <v>582899725</v>
      </c>
      <c r="AD3344" s="71">
        <f>W3344+X3344+Y3344+Z3344+AA3344+AB3344+AC3344</f>
        <v>582899725</v>
      </c>
      <c r="AE3344" s="72">
        <v>0</v>
      </c>
      <c r="AF3344" s="5"/>
      <c r="AG3344" s="6"/>
      <c r="AH3344" s="27"/>
      <c r="AI3344" s="44"/>
      <c r="AJ3344" s="26"/>
      <c r="AK3344" s="5"/>
      <c r="AL3344" s="9" t="s">
        <v>6278</v>
      </c>
      <c r="AM3344" s="76"/>
      <c r="AN3344" s="76"/>
      <c r="AO3344" s="76"/>
      <c r="AP3344" s="76"/>
      <c r="AQ3344" s="76"/>
      <c r="AR3344" s="76"/>
      <c r="AS3344" s="76"/>
      <c r="AT3344" s="76"/>
      <c r="AU3344" s="76"/>
      <c r="AV3344" s="76"/>
      <c r="AW3344" s="76"/>
      <c r="AX3344" s="76">
        <f>+AW3344*600000</f>
        <v>0</v>
      </c>
      <c r="AY3344" s="76"/>
      <c r="AZ3344" s="76">
        <f>+AY3344*70000</f>
        <v>0</v>
      </c>
      <c r="BA3344" s="76"/>
      <c r="BB3344" s="76"/>
      <c r="BC3344" s="76"/>
      <c r="BD3344" s="76">
        <f>+BC3344*30000</f>
        <v>0</v>
      </c>
      <c r="BE3344" s="76"/>
      <c r="BF3344" s="76"/>
      <c r="BG3344" s="76"/>
      <c r="BH3344" s="76"/>
      <c r="BI3344" s="76"/>
      <c r="BJ3344" s="76"/>
      <c r="BK3344" s="76"/>
      <c r="BL3344" s="76">
        <f>+BK3344*31500</f>
        <v>0</v>
      </c>
      <c r="BM3344" s="76"/>
      <c r="BN3344" s="76"/>
      <c r="BO3344" s="76"/>
      <c r="BP3344" s="76"/>
      <c r="BQ3344" s="76"/>
      <c r="BR3344" s="76"/>
      <c r="BS3344" s="76"/>
      <c r="BT3344" s="76"/>
      <c r="BU3344" s="76"/>
      <c r="BV3344" s="76"/>
      <c r="BW3344" s="76"/>
      <c r="BX3344" s="76"/>
      <c r="BY3344" s="76"/>
      <c r="BZ3344" s="76"/>
      <c r="CA3344" s="76"/>
      <c r="CB3344" s="76"/>
      <c r="CC3344" s="76"/>
      <c r="CD3344" s="76"/>
      <c r="CE3344" s="76"/>
      <c r="CF3344" s="76">
        <f>+CE3344*28000</f>
        <v>0</v>
      </c>
      <c r="CG3344" s="76"/>
      <c r="CH3344" s="76">
        <f>+CG3344*22500</f>
        <v>0</v>
      </c>
      <c r="CI3344" s="76"/>
      <c r="CJ3344" s="76">
        <f>+CI3344*26000</f>
        <v>0</v>
      </c>
      <c r="CK3344" s="76"/>
      <c r="CL3344" s="76"/>
      <c r="CM3344" s="76"/>
      <c r="CN3344" s="76">
        <f>+CM3344*22000</f>
        <v>0</v>
      </c>
      <c r="CO3344" s="76"/>
      <c r="CP3344" s="76">
        <f>+CO3344*46000</f>
        <v>0</v>
      </c>
      <c r="CQ3344" s="76"/>
      <c r="CR3344" s="76">
        <f>+CQ3344*49000</f>
        <v>0</v>
      </c>
      <c r="CS3344" s="76"/>
      <c r="CT3344" s="76"/>
      <c r="CU3344" s="56">
        <f>AN3344+AP3344+AR3344+AT3344+AV3344+AX3344+AZ3344+BB3344+BD3344+BF3344+BH3344+BJ3344+BL3344+BN3344+BP3344+BR3344+BT3344+BV3344+BX3344+BZ3344+CB3344+CD3344+CF3344+CH3344+CJ3344+CL3344+CN3344+CP3344+CR3344+CT3344</f>
        <v>0</v>
      </c>
      <c r="CV3344" s="76"/>
      <c r="CW3344" s="76">
        <f>+CV3344*1100</f>
        <v>0</v>
      </c>
      <c r="CX3344" s="76"/>
      <c r="CY3344" s="76">
        <f>+CX3344*106250</f>
        <v>0</v>
      </c>
      <c r="CZ3344" s="76"/>
      <c r="DA3344" s="76">
        <f>+CZ3344*34500</f>
        <v>0</v>
      </c>
      <c r="DB3344" s="76"/>
      <c r="DC3344" s="76">
        <f>+DB3344*25000</f>
        <v>0</v>
      </c>
      <c r="DD3344" s="219"/>
      <c r="DE3344" s="219"/>
      <c r="DF3344" s="166"/>
      <c r="DG3344" s="116"/>
      <c r="DH3344" s="117"/>
      <c r="DI3344" s="24"/>
      <c r="DJ3344" s="24"/>
      <c r="DK3344" s="24"/>
      <c r="DL3344" s="24"/>
      <c r="DM3344" s="24"/>
      <c r="DN3344" s="24"/>
      <c r="DO3344" s="24"/>
      <c r="DP3344" s="24"/>
      <c r="DQ3344" s="24"/>
      <c r="DR3344" s="24"/>
      <c r="DS3344" s="24"/>
      <c r="DT3344" s="24"/>
      <c r="DU3344" s="24"/>
    </row>
    <row r="3345" spans="1:125" s="8" customFormat="1" ht="48" x14ac:dyDescent="0.2">
      <c r="A3345" s="77">
        <v>41557</v>
      </c>
      <c r="B3345" s="78" t="s">
        <v>2848</v>
      </c>
      <c r="C3345" s="75" t="s">
        <v>1393</v>
      </c>
      <c r="D3345" s="75" t="s">
        <v>2846</v>
      </c>
      <c r="E3345" s="75" t="str">
        <f>VLOOKUP(B3345&amp;C3345,Divipola!$C$2:$F$1138,4,FALSE)</f>
        <v>73168</v>
      </c>
      <c r="F3345" s="87"/>
      <c r="G3345" s="87"/>
      <c r="H3345" s="87"/>
      <c r="I3345" s="87"/>
      <c r="J3345" s="87"/>
      <c r="K3345" s="87"/>
      <c r="L3345" s="87"/>
      <c r="M3345" s="87"/>
      <c r="N3345" s="87"/>
      <c r="O3345" s="87"/>
      <c r="P3345" s="87"/>
      <c r="Q3345" s="87"/>
      <c r="R3345" s="87"/>
      <c r="S3345" s="87"/>
      <c r="T3345" s="87"/>
      <c r="U3345" s="88">
        <v>1</v>
      </c>
      <c r="V3345" s="89"/>
      <c r="W3345" s="96">
        <v>0</v>
      </c>
      <c r="X3345" s="71">
        <f>CU3345</f>
        <v>0</v>
      </c>
      <c r="Y3345" s="71">
        <f>CY3345</f>
        <v>0</v>
      </c>
      <c r="Z3345" s="71">
        <f>DA3345+DC3345+DE3345</f>
        <v>0</v>
      </c>
      <c r="AA3345" s="71">
        <f>CW3345</f>
        <v>0</v>
      </c>
      <c r="AB3345" s="71"/>
      <c r="AC3345" s="71">
        <v>0</v>
      </c>
      <c r="AD3345" s="71">
        <f>W3345+X3345+Y3345+Z3345+AA3345+AB3345+AC3345</f>
        <v>0</v>
      </c>
      <c r="AE3345" s="72">
        <v>0</v>
      </c>
      <c r="AF3345" s="5"/>
      <c r="AG3345" s="6"/>
      <c r="AH3345" s="27"/>
      <c r="AI3345" s="44"/>
      <c r="AJ3345" s="26"/>
      <c r="AK3345" s="5"/>
      <c r="AL3345" s="82" t="s">
        <v>6285</v>
      </c>
      <c r="AM3345" s="76"/>
      <c r="AN3345" s="76"/>
      <c r="AO3345" s="76"/>
      <c r="AP3345" s="76"/>
      <c r="AQ3345" s="76"/>
      <c r="AR3345" s="76"/>
      <c r="AS3345" s="76"/>
      <c r="AT3345" s="76"/>
      <c r="AU3345" s="76"/>
      <c r="AV3345" s="76"/>
      <c r="AW3345" s="76"/>
      <c r="AX3345" s="76">
        <f>+AW3345*600000</f>
        <v>0</v>
      </c>
      <c r="AY3345" s="76"/>
      <c r="AZ3345" s="76">
        <f>+AY3345*70000</f>
        <v>0</v>
      </c>
      <c r="BA3345" s="76"/>
      <c r="BB3345" s="76"/>
      <c r="BC3345" s="76"/>
      <c r="BD3345" s="76">
        <f>+BC3345*30000</f>
        <v>0</v>
      </c>
      <c r="BE3345" s="76"/>
      <c r="BF3345" s="76"/>
      <c r="BG3345" s="76"/>
      <c r="BH3345" s="76"/>
      <c r="BI3345" s="76"/>
      <c r="BJ3345" s="76"/>
      <c r="BK3345" s="76"/>
      <c r="BL3345" s="76">
        <f>+BK3345*31500</f>
        <v>0</v>
      </c>
      <c r="BM3345" s="76"/>
      <c r="BN3345" s="76"/>
      <c r="BO3345" s="76"/>
      <c r="BP3345" s="76"/>
      <c r="BQ3345" s="76"/>
      <c r="BR3345" s="76"/>
      <c r="BS3345" s="76"/>
      <c r="BT3345" s="76"/>
      <c r="BU3345" s="76"/>
      <c r="BV3345" s="76"/>
      <c r="BW3345" s="76"/>
      <c r="BX3345" s="76"/>
      <c r="BY3345" s="76"/>
      <c r="BZ3345" s="76"/>
      <c r="CA3345" s="76"/>
      <c r="CB3345" s="76"/>
      <c r="CC3345" s="76"/>
      <c r="CD3345" s="76"/>
      <c r="CE3345" s="76"/>
      <c r="CF3345" s="76">
        <f>+CE3345*28000</f>
        <v>0</v>
      </c>
      <c r="CG3345" s="76"/>
      <c r="CH3345" s="76">
        <f>+CG3345*22500</f>
        <v>0</v>
      </c>
      <c r="CI3345" s="76"/>
      <c r="CJ3345" s="76">
        <f>+CI3345*26000</f>
        <v>0</v>
      </c>
      <c r="CK3345" s="76"/>
      <c r="CL3345" s="76"/>
      <c r="CM3345" s="76"/>
      <c r="CN3345" s="76">
        <f>+CM3345*22000</f>
        <v>0</v>
      </c>
      <c r="CO3345" s="76"/>
      <c r="CP3345" s="76">
        <f>+CO3345*46000</f>
        <v>0</v>
      </c>
      <c r="CQ3345" s="76"/>
      <c r="CR3345" s="76">
        <f>+CQ3345*49000</f>
        <v>0</v>
      </c>
      <c r="CS3345" s="76"/>
      <c r="CT3345" s="76"/>
      <c r="CU3345" s="56">
        <f>AN3345+AP3345+AR3345+AT3345+AV3345+AX3345+AZ3345+BB3345+BD3345+BF3345+BH3345+BJ3345+BL3345+BN3345+BP3345+BR3345+BT3345+BV3345+BX3345+BZ3345+CB3345+CD3345+CF3345+CH3345+CJ3345+CL3345+CN3345+CP3345+CR3345+CT3345</f>
        <v>0</v>
      </c>
      <c r="CV3345" s="76"/>
      <c r="CW3345" s="76">
        <f>+CV3345*1100</f>
        <v>0</v>
      </c>
      <c r="CX3345" s="76"/>
      <c r="CY3345" s="76">
        <f>+CX3345*106250</f>
        <v>0</v>
      </c>
      <c r="CZ3345" s="76"/>
      <c r="DA3345" s="76">
        <f>+CZ3345*34500</f>
        <v>0</v>
      </c>
      <c r="DB3345" s="76"/>
      <c r="DC3345" s="76">
        <f>+DB3345*25000</f>
        <v>0</v>
      </c>
      <c r="DD3345" s="219"/>
      <c r="DE3345" s="219"/>
      <c r="DF3345" s="166"/>
      <c r="DG3345" s="116"/>
      <c r="DH3345" s="117"/>
      <c r="DI3345" s="24"/>
      <c r="DJ3345" s="24"/>
      <c r="DK3345" s="24"/>
      <c r="DL3345" s="24"/>
      <c r="DM3345" s="24"/>
      <c r="DN3345" s="24"/>
      <c r="DO3345" s="24"/>
      <c r="DP3345" s="24"/>
      <c r="DQ3345" s="24"/>
      <c r="DR3345" s="24"/>
      <c r="DS3345" s="24"/>
      <c r="DT3345" s="24"/>
      <c r="DU3345" s="24"/>
    </row>
    <row r="3346" spans="1:125" s="8" customFormat="1" ht="120" x14ac:dyDescent="0.2">
      <c r="A3346" s="77">
        <v>41557</v>
      </c>
      <c r="B3346" s="352" t="s">
        <v>2848</v>
      </c>
      <c r="C3346" s="354" t="s">
        <v>2791</v>
      </c>
      <c r="D3346" s="354" t="s">
        <v>2846</v>
      </c>
      <c r="E3346" s="75" t="str">
        <f>VLOOKUP(B3346&amp;C3346,Divipola!$C$2:$F$1138,4,FALSE)</f>
        <v>73585</v>
      </c>
      <c r="F3346" s="87"/>
      <c r="G3346" s="87"/>
      <c r="H3346" s="87"/>
      <c r="I3346" s="87"/>
      <c r="J3346" s="87"/>
      <c r="K3346" s="87"/>
      <c r="L3346" s="87"/>
      <c r="M3346" s="87"/>
      <c r="N3346" s="87"/>
      <c r="O3346" s="87"/>
      <c r="P3346" s="87"/>
      <c r="Q3346" s="87"/>
      <c r="R3346" s="87"/>
      <c r="S3346" s="87"/>
      <c r="T3346" s="87"/>
      <c r="U3346" s="88">
        <v>20</v>
      </c>
      <c r="V3346" s="89"/>
      <c r="W3346" s="96">
        <v>0</v>
      </c>
      <c r="X3346" s="71">
        <f>CU3346</f>
        <v>0</v>
      </c>
      <c r="Y3346" s="71">
        <f>CY3346</f>
        <v>0</v>
      </c>
      <c r="Z3346" s="71">
        <f>DA3346+DC3346+DE3346</f>
        <v>0</v>
      </c>
      <c r="AA3346" s="71">
        <f>CW3346</f>
        <v>0</v>
      </c>
      <c r="AB3346" s="71"/>
      <c r="AC3346" s="71">
        <v>0</v>
      </c>
      <c r="AD3346" s="71">
        <f>W3346+X3346+Y3346+Z3346+AA3346+AB3346+AC3346</f>
        <v>0</v>
      </c>
      <c r="AE3346" s="72">
        <v>0</v>
      </c>
      <c r="AF3346" s="5"/>
      <c r="AG3346" s="6"/>
      <c r="AH3346" s="27"/>
      <c r="AI3346" s="44"/>
      <c r="AJ3346" s="26"/>
      <c r="AK3346" s="5"/>
      <c r="AL3346" s="278" t="s">
        <v>6308</v>
      </c>
      <c r="AM3346" s="76"/>
      <c r="AN3346" s="76"/>
      <c r="AO3346" s="76"/>
      <c r="AP3346" s="76"/>
      <c r="AQ3346" s="76"/>
      <c r="AR3346" s="76"/>
      <c r="AS3346" s="76"/>
      <c r="AT3346" s="76"/>
      <c r="AU3346" s="76"/>
      <c r="AV3346" s="76"/>
      <c r="AW3346" s="76"/>
      <c r="AX3346" s="76">
        <f>+AW3346*600000</f>
        <v>0</v>
      </c>
      <c r="AY3346" s="76"/>
      <c r="AZ3346" s="76">
        <f>+AY3346*70000</f>
        <v>0</v>
      </c>
      <c r="BA3346" s="76"/>
      <c r="BB3346" s="76"/>
      <c r="BC3346" s="76"/>
      <c r="BD3346" s="76">
        <f>+BC3346*30000</f>
        <v>0</v>
      </c>
      <c r="BE3346" s="76"/>
      <c r="BF3346" s="76"/>
      <c r="BG3346" s="76"/>
      <c r="BH3346" s="76"/>
      <c r="BI3346" s="76"/>
      <c r="BJ3346" s="76"/>
      <c r="BK3346" s="76"/>
      <c r="BL3346" s="76">
        <f>+BK3346*31500</f>
        <v>0</v>
      </c>
      <c r="BM3346" s="76"/>
      <c r="BN3346" s="76"/>
      <c r="BO3346" s="76"/>
      <c r="BP3346" s="76"/>
      <c r="BQ3346" s="76"/>
      <c r="BR3346" s="76"/>
      <c r="BS3346" s="76"/>
      <c r="BT3346" s="76"/>
      <c r="BU3346" s="76"/>
      <c r="BV3346" s="76"/>
      <c r="BW3346" s="76"/>
      <c r="BX3346" s="76"/>
      <c r="BY3346" s="76"/>
      <c r="BZ3346" s="76"/>
      <c r="CA3346" s="76"/>
      <c r="CB3346" s="76"/>
      <c r="CC3346" s="76"/>
      <c r="CD3346" s="76"/>
      <c r="CE3346" s="76"/>
      <c r="CF3346" s="76">
        <f>+CE3346*28000</f>
        <v>0</v>
      </c>
      <c r="CG3346" s="76"/>
      <c r="CH3346" s="76">
        <f>+CG3346*22500</f>
        <v>0</v>
      </c>
      <c r="CI3346" s="76"/>
      <c r="CJ3346" s="76">
        <f>+CI3346*26000</f>
        <v>0</v>
      </c>
      <c r="CK3346" s="76"/>
      <c r="CL3346" s="76"/>
      <c r="CM3346" s="76"/>
      <c r="CN3346" s="76">
        <f>+CM3346*22000</f>
        <v>0</v>
      </c>
      <c r="CO3346" s="76"/>
      <c r="CP3346" s="76">
        <f>+CO3346*46000</f>
        <v>0</v>
      </c>
      <c r="CQ3346" s="76"/>
      <c r="CR3346" s="76">
        <f>+CQ3346*49000</f>
        <v>0</v>
      </c>
      <c r="CS3346" s="76"/>
      <c r="CT3346" s="76"/>
      <c r="CU3346" s="56">
        <f>AN3346+AP3346+AR3346+AT3346+AV3346+AX3346+AZ3346+BB3346+BD3346+BF3346+BH3346+BJ3346+BL3346+BN3346+BP3346+BR3346+BT3346+BV3346+BX3346+BZ3346+CB3346+CD3346+CF3346+CH3346+CJ3346+CL3346+CN3346+CP3346+CR3346+CT3346</f>
        <v>0</v>
      </c>
      <c r="CV3346" s="76"/>
      <c r="CW3346" s="76">
        <f>+CV3346*1100</f>
        <v>0</v>
      </c>
      <c r="CX3346" s="76"/>
      <c r="CY3346" s="76">
        <f>+CX3346*106250</f>
        <v>0</v>
      </c>
      <c r="CZ3346" s="76"/>
      <c r="DA3346" s="76">
        <f>+CZ3346*34500</f>
        <v>0</v>
      </c>
      <c r="DB3346" s="76"/>
      <c r="DC3346" s="76">
        <f>+DB3346*25000</f>
        <v>0</v>
      </c>
      <c r="DD3346" s="219"/>
      <c r="DE3346" s="219"/>
      <c r="DF3346" s="166"/>
      <c r="DG3346" s="116"/>
      <c r="DH3346" s="117"/>
      <c r="DI3346" s="24"/>
      <c r="DJ3346" s="24"/>
      <c r="DK3346" s="24"/>
      <c r="DL3346" s="24"/>
      <c r="DM3346" s="24"/>
      <c r="DN3346" s="24"/>
      <c r="DO3346" s="24"/>
      <c r="DP3346" s="24"/>
      <c r="DQ3346" s="24"/>
      <c r="DR3346" s="24"/>
      <c r="DS3346" s="24"/>
      <c r="DT3346" s="24"/>
      <c r="DU3346" s="24"/>
    </row>
    <row r="3347" spans="1:125" s="8" customFormat="1" ht="168" x14ac:dyDescent="0.2">
      <c r="A3347" s="77">
        <v>41557</v>
      </c>
      <c r="B3347" s="78" t="s">
        <v>2772</v>
      </c>
      <c r="C3347" s="75" t="s">
        <v>2157</v>
      </c>
      <c r="D3347" s="75" t="s">
        <v>2882</v>
      </c>
      <c r="E3347" s="75" t="str">
        <f>VLOOKUP(B3347&amp;C3347,Divipola!$C$2:$F$1138,4,FALSE)</f>
        <v>25885</v>
      </c>
      <c r="F3347" s="87"/>
      <c r="G3347" s="87"/>
      <c r="H3347" s="87"/>
      <c r="I3347" s="87">
        <v>100</v>
      </c>
      <c r="J3347" s="87">
        <v>28</v>
      </c>
      <c r="K3347" s="87"/>
      <c r="L3347" s="87">
        <v>28</v>
      </c>
      <c r="M3347" s="87"/>
      <c r="N3347" s="87"/>
      <c r="O3347" s="87"/>
      <c r="P3347" s="87"/>
      <c r="Q3347" s="87"/>
      <c r="R3347" s="87">
        <v>1</v>
      </c>
      <c r="S3347" s="87">
        <v>1</v>
      </c>
      <c r="T3347" s="87"/>
      <c r="U3347" s="88"/>
      <c r="V3347" s="89"/>
      <c r="W3347" s="96">
        <v>0</v>
      </c>
      <c r="X3347" s="71">
        <f>CU3347</f>
        <v>0</v>
      </c>
      <c r="Y3347" s="71">
        <f>CY3347</f>
        <v>0</v>
      </c>
      <c r="Z3347" s="71">
        <f>DA3347+DC3347+DE3347</f>
        <v>0</v>
      </c>
      <c r="AA3347" s="71">
        <f>CW3347</f>
        <v>0</v>
      </c>
      <c r="AB3347" s="71"/>
      <c r="AC3347" s="71">
        <v>0</v>
      </c>
      <c r="AD3347" s="71">
        <f>W3347+X3347+Y3347+Z3347+AA3347+AB3347+AC3347</f>
        <v>0</v>
      </c>
      <c r="AE3347" s="72">
        <v>0</v>
      </c>
      <c r="AF3347" s="5"/>
      <c r="AG3347" s="6"/>
      <c r="AH3347" s="27"/>
      <c r="AI3347" s="44"/>
      <c r="AJ3347" s="26"/>
      <c r="AK3347" s="5"/>
      <c r="AL3347" s="274" t="s">
        <v>6385</v>
      </c>
      <c r="AM3347" s="76"/>
      <c r="AN3347" s="76"/>
      <c r="AO3347" s="76"/>
      <c r="AP3347" s="76"/>
      <c r="AQ3347" s="76"/>
      <c r="AR3347" s="76"/>
      <c r="AS3347" s="76"/>
      <c r="AT3347" s="76"/>
      <c r="AU3347" s="76"/>
      <c r="AV3347" s="76"/>
      <c r="AW3347" s="76"/>
      <c r="AX3347" s="76">
        <f>+AW3347*600000</f>
        <v>0</v>
      </c>
      <c r="AY3347" s="76"/>
      <c r="AZ3347" s="76">
        <f>+AY3347*70000</f>
        <v>0</v>
      </c>
      <c r="BA3347" s="76"/>
      <c r="BB3347" s="76"/>
      <c r="BC3347" s="76"/>
      <c r="BD3347" s="76">
        <f>+BC3347*30000</f>
        <v>0</v>
      </c>
      <c r="BE3347" s="76"/>
      <c r="BF3347" s="76"/>
      <c r="BG3347" s="76"/>
      <c r="BH3347" s="76"/>
      <c r="BI3347" s="76"/>
      <c r="BJ3347" s="76"/>
      <c r="BK3347" s="76"/>
      <c r="BL3347" s="76">
        <f>+BK3347*31500</f>
        <v>0</v>
      </c>
      <c r="BM3347" s="76"/>
      <c r="BN3347" s="76"/>
      <c r="BO3347" s="76"/>
      <c r="BP3347" s="76"/>
      <c r="BQ3347" s="76"/>
      <c r="BR3347" s="76"/>
      <c r="BS3347" s="76"/>
      <c r="BT3347" s="76"/>
      <c r="BU3347" s="76"/>
      <c r="BV3347" s="76"/>
      <c r="BW3347" s="76"/>
      <c r="BX3347" s="76"/>
      <c r="BY3347" s="76"/>
      <c r="BZ3347" s="76"/>
      <c r="CA3347" s="76"/>
      <c r="CB3347" s="76"/>
      <c r="CC3347" s="76"/>
      <c r="CD3347" s="76"/>
      <c r="CE3347" s="76"/>
      <c r="CF3347" s="76">
        <f>+CE3347*28000</f>
        <v>0</v>
      </c>
      <c r="CG3347" s="76"/>
      <c r="CH3347" s="76">
        <f>+CG3347*22500</f>
        <v>0</v>
      </c>
      <c r="CI3347" s="76"/>
      <c r="CJ3347" s="76">
        <f>+CI3347*26000</f>
        <v>0</v>
      </c>
      <c r="CK3347" s="76"/>
      <c r="CL3347" s="76"/>
      <c r="CM3347" s="76"/>
      <c r="CN3347" s="76">
        <f>+CM3347*22000</f>
        <v>0</v>
      </c>
      <c r="CO3347" s="76"/>
      <c r="CP3347" s="76">
        <f>+CO3347*46000</f>
        <v>0</v>
      </c>
      <c r="CQ3347" s="76"/>
      <c r="CR3347" s="76">
        <f>+CQ3347*49000</f>
        <v>0</v>
      </c>
      <c r="CS3347" s="76"/>
      <c r="CT3347" s="76"/>
      <c r="CU3347" s="56">
        <f>AN3347+AP3347+AR3347+AT3347+AV3347+AX3347+AZ3347+BB3347+BD3347+BF3347+BH3347+BJ3347+BL3347+BN3347+BP3347+BR3347+BT3347+BV3347+BX3347+BZ3347+CB3347+CD3347+CF3347+CH3347+CJ3347+CL3347+CN3347+CP3347+CR3347+CT3347</f>
        <v>0</v>
      </c>
      <c r="CV3347" s="76"/>
      <c r="CW3347" s="76">
        <f>+CV3347*1100</f>
        <v>0</v>
      </c>
      <c r="CX3347" s="76"/>
      <c r="CY3347" s="76">
        <f>+CX3347*106250</f>
        <v>0</v>
      </c>
      <c r="CZ3347" s="76"/>
      <c r="DA3347" s="76">
        <f>+CZ3347*34500</f>
        <v>0</v>
      </c>
      <c r="DB3347" s="76"/>
      <c r="DC3347" s="76">
        <f>+DB3347*25000</f>
        <v>0</v>
      </c>
      <c r="DD3347" s="219"/>
      <c r="DE3347" s="219"/>
      <c r="DF3347" s="166"/>
      <c r="DG3347" s="116"/>
      <c r="DH3347" s="117"/>
      <c r="DI3347" s="24"/>
      <c r="DJ3347" s="24"/>
      <c r="DK3347" s="24"/>
      <c r="DL3347" s="24"/>
      <c r="DM3347" s="24"/>
      <c r="DN3347" s="24"/>
      <c r="DO3347" s="24"/>
      <c r="DP3347" s="24"/>
      <c r="DQ3347" s="24"/>
      <c r="DR3347" s="24"/>
      <c r="DS3347" s="24"/>
      <c r="DT3347" s="24"/>
      <c r="DU3347" s="24"/>
    </row>
    <row r="3348" spans="1:125" s="8" customFormat="1" ht="60" x14ac:dyDescent="0.2">
      <c r="A3348" s="77">
        <v>41558</v>
      </c>
      <c r="B3348" s="78" t="s">
        <v>2700</v>
      </c>
      <c r="C3348" s="75" t="s">
        <v>611</v>
      </c>
      <c r="D3348" s="351" t="s">
        <v>2846</v>
      </c>
      <c r="E3348" s="75" t="str">
        <f>VLOOKUP(B3348&amp;C3348,Divipola!$C$2:$F$1138,4,FALSE)</f>
        <v>15537</v>
      </c>
      <c r="F3348" s="93"/>
      <c r="G3348" s="93"/>
      <c r="H3348" s="93"/>
      <c r="I3348" s="93"/>
      <c r="J3348" s="93"/>
      <c r="K3348" s="93"/>
      <c r="L3348" s="93"/>
      <c r="M3348" s="93"/>
      <c r="N3348" s="93"/>
      <c r="O3348" s="93"/>
      <c r="P3348" s="93"/>
      <c r="Q3348" s="93"/>
      <c r="R3348" s="93"/>
      <c r="S3348" s="93"/>
      <c r="T3348" s="93"/>
      <c r="U3348" s="93">
        <v>1</v>
      </c>
      <c r="V3348" s="89"/>
      <c r="W3348" s="96">
        <v>0</v>
      </c>
      <c r="X3348" s="71">
        <f>CU3348</f>
        <v>0</v>
      </c>
      <c r="Y3348" s="71">
        <f>CY3348</f>
        <v>0</v>
      </c>
      <c r="Z3348" s="71">
        <f>DA3348+DC3348+DE3348</f>
        <v>0</v>
      </c>
      <c r="AA3348" s="71">
        <f>CW3348</f>
        <v>0</v>
      </c>
      <c r="AB3348" s="71"/>
      <c r="AC3348" s="71">
        <v>0</v>
      </c>
      <c r="AD3348" s="71">
        <f>W3348+X3348+Y3348+Z3348+AA3348+AB3348+AC3348</f>
        <v>0</v>
      </c>
      <c r="AE3348" s="72">
        <v>0</v>
      </c>
      <c r="AF3348" s="5"/>
      <c r="AG3348" s="6"/>
      <c r="AH3348" s="27"/>
      <c r="AI3348" s="44"/>
      <c r="AJ3348" s="26"/>
      <c r="AK3348" s="5"/>
      <c r="AL3348" s="9" t="s">
        <v>6297</v>
      </c>
      <c r="AM3348" s="76"/>
      <c r="AN3348" s="76"/>
      <c r="AO3348" s="76"/>
      <c r="AP3348" s="76"/>
      <c r="AQ3348" s="76"/>
      <c r="AR3348" s="76"/>
      <c r="AS3348" s="76"/>
      <c r="AT3348" s="76"/>
      <c r="AU3348" s="76"/>
      <c r="AV3348" s="76"/>
      <c r="AW3348" s="76"/>
      <c r="AX3348" s="76">
        <f>+AW3348*600000</f>
        <v>0</v>
      </c>
      <c r="AY3348" s="76"/>
      <c r="AZ3348" s="76">
        <f>+AY3348*70000</f>
        <v>0</v>
      </c>
      <c r="BA3348" s="76"/>
      <c r="BB3348" s="76"/>
      <c r="BC3348" s="76"/>
      <c r="BD3348" s="76">
        <f>+BC3348*30000</f>
        <v>0</v>
      </c>
      <c r="BE3348" s="76"/>
      <c r="BF3348" s="76"/>
      <c r="BG3348" s="76"/>
      <c r="BH3348" s="76"/>
      <c r="BI3348" s="76"/>
      <c r="BJ3348" s="76"/>
      <c r="BK3348" s="76"/>
      <c r="BL3348" s="76">
        <f>+BK3348*31500</f>
        <v>0</v>
      </c>
      <c r="BM3348" s="76"/>
      <c r="BN3348" s="76"/>
      <c r="BO3348" s="76"/>
      <c r="BP3348" s="76"/>
      <c r="BQ3348" s="76"/>
      <c r="BR3348" s="76"/>
      <c r="BS3348" s="76"/>
      <c r="BT3348" s="76"/>
      <c r="BU3348" s="76"/>
      <c r="BV3348" s="76"/>
      <c r="BW3348" s="76"/>
      <c r="BX3348" s="76"/>
      <c r="BY3348" s="76"/>
      <c r="BZ3348" s="76"/>
      <c r="CA3348" s="76"/>
      <c r="CB3348" s="76"/>
      <c r="CC3348" s="76"/>
      <c r="CD3348" s="76"/>
      <c r="CE3348" s="76"/>
      <c r="CF3348" s="76">
        <f>+CE3348*28000</f>
        <v>0</v>
      </c>
      <c r="CG3348" s="76"/>
      <c r="CH3348" s="76">
        <f>+CG3348*22500</f>
        <v>0</v>
      </c>
      <c r="CI3348" s="76"/>
      <c r="CJ3348" s="76">
        <f>+CI3348*26000</f>
        <v>0</v>
      </c>
      <c r="CK3348" s="76"/>
      <c r="CL3348" s="76"/>
      <c r="CM3348" s="76"/>
      <c r="CN3348" s="76">
        <f>+CM3348*22000</f>
        <v>0</v>
      </c>
      <c r="CO3348" s="76"/>
      <c r="CP3348" s="76">
        <f>+CO3348*46000</f>
        <v>0</v>
      </c>
      <c r="CQ3348" s="76"/>
      <c r="CR3348" s="76">
        <f>+CQ3348*49000</f>
        <v>0</v>
      </c>
      <c r="CS3348" s="76"/>
      <c r="CT3348" s="76"/>
      <c r="CU3348" s="56">
        <f>AN3348+AP3348+AR3348+AT3348+AV3348+AX3348+AZ3348+BB3348+BD3348+BF3348+BH3348+BJ3348+BL3348+BN3348+BP3348+BR3348+BT3348+BV3348+BX3348+BZ3348+CB3348+CD3348+CF3348+CH3348+CJ3348+CL3348+CN3348+CP3348+CR3348+CT3348</f>
        <v>0</v>
      </c>
      <c r="CV3348" s="76"/>
      <c r="CW3348" s="76">
        <f>+CV3348*1100</f>
        <v>0</v>
      </c>
      <c r="CX3348" s="76"/>
      <c r="CY3348" s="76">
        <f>+CX3348*106250</f>
        <v>0</v>
      </c>
      <c r="CZ3348" s="76"/>
      <c r="DA3348" s="76">
        <f>+CZ3348*34500</f>
        <v>0</v>
      </c>
      <c r="DB3348" s="76"/>
      <c r="DC3348" s="76">
        <f>+DB3348*25000</f>
        <v>0</v>
      </c>
      <c r="DD3348" s="219"/>
      <c r="DE3348" s="219"/>
      <c r="DF3348" s="166"/>
      <c r="DG3348" s="116"/>
      <c r="DH3348" s="117"/>
      <c r="DI3348" s="24"/>
      <c r="DJ3348" s="24"/>
      <c r="DK3348" s="24"/>
      <c r="DL3348" s="24"/>
      <c r="DM3348" s="24"/>
      <c r="DN3348" s="24"/>
      <c r="DO3348" s="24"/>
      <c r="DP3348" s="24"/>
      <c r="DQ3348" s="24"/>
      <c r="DR3348" s="24"/>
      <c r="DS3348" s="24"/>
      <c r="DT3348" s="24"/>
      <c r="DU3348" s="24"/>
    </row>
    <row r="3349" spans="1:125" s="8" customFormat="1" ht="48" x14ac:dyDescent="0.2">
      <c r="A3349" s="5">
        <v>41558</v>
      </c>
      <c r="B3349" s="84" t="s">
        <v>2661</v>
      </c>
      <c r="C3349" s="84" t="s">
        <v>3</v>
      </c>
      <c r="D3349" s="75" t="s">
        <v>2846</v>
      </c>
      <c r="E3349" s="75" t="str">
        <f>VLOOKUP(B3349&amp;C3349,Divipola!$C$2:$F$1138,4,FALSE)</f>
        <v>41013</v>
      </c>
      <c r="F3349" s="89"/>
      <c r="G3349" s="89"/>
      <c r="H3349" s="89"/>
      <c r="I3349" s="89"/>
      <c r="J3349" s="89"/>
      <c r="K3349" s="89"/>
      <c r="L3349" s="89"/>
      <c r="M3349" s="89"/>
      <c r="N3349" s="89"/>
      <c r="O3349" s="89"/>
      <c r="P3349" s="89"/>
      <c r="Q3349" s="89"/>
      <c r="R3349" s="89"/>
      <c r="S3349" s="89"/>
      <c r="T3349" s="89"/>
      <c r="U3349" s="89">
        <v>30</v>
      </c>
      <c r="V3349" s="89"/>
      <c r="W3349" s="96">
        <v>0</v>
      </c>
      <c r="X3349" s="71">
        <f>CU3349</f>
        <v>0</v>
      </c>
      <c r="Y3349" s="71">
        <f>CY3349</f>
        <v>0</v>
      </c>
      <c r="Z3349" s="71">
        <f>DA3349+DC3349+DE3349</f>
        <v>0</v>
      </c>
      <c r="AA3349" s="71">
        <f>CW3349</f>
        <v>0</v>
      </c>
      <c r="AB3349" s="71"/>
      <c r="AC3349" s="71">
        <v>0</v>
      </c>
      <c r="AD3349" s="71">
        <f>W3349+X3349+Y3349+Z3349+AA3349+AB3349+AC3349</f>
        <v>0</v>
      </c>
      <c r="AE3349" s="72">
        <v>0</v>
      </c>
      <c r="AF3349" s="5"/>
      <c r="AG3349" s="6"/>
      <c r="AH3349" s="27"/>
      <c r="AI3349" s="44"/>
      <c r="AJ3349" s="26"/>
      <c r="AK3349" s="5"/>
      <c r="AL3349" s="9" t="s">
        <v>6296</v>
      </c>
      <c r="AM3349" s="76"/>
      <c r="AN3349" s="76"/>
      <c r="AO3349" s="76"/>
      <c r="AP3349" s="76"/>
      <c r="AQ3349" s="76"/>
      <c r="AR3349" s="76"/>
      <c r="AS3349" s="76"/>
      <c r="AT3349" s="76"/>
      <c r="AU3349" s="76"/>
      <c r="AV3349" s="76"/>
      <c r="AW3349" s="76"/>
      <c r="AX3349" s="76">
        <f>+AW3349*600000</f>
        <v>0</v>
      </c>
      <c r="AY3349" s="76"/>
      <c r="AZ3349" s="76">
        <f>+AY3349*70000</f>
        <v>0</v>
      </c>
      <c r="BA3349" s="76"/>
      <c r="BB3349" s="76"/>
      <c r="BC3349" s="76"/>
      <c r="BD3349" s="76">
        <f>+BC3349*30000</f>
        <v>0</v>
      </c>
      <c r="BE3349" s="76"/>
      <c r="BF3349" s="76"/>
      <c r="BG3349" s="76"/>
      <c r="BH3349" s="76"/>
      <c r="BI3349" s="76"/>
      <c r="BJ3349" s="76"/>
      <c r="BK3349" s="76"/>
      <c r="BL3349" s="76">
        <f>+BK3349*31500</f>
        <v>0</v>
      </c>
      <c r="BM3349" s="76"/>
      <c r="BN3349" s="76"/>
      <c r="BO3349" s="76"/>
      <c r="BP3349" s="76"/>
      <c r="BQ3349" s="76"/>
      <c r="BR3349" s="76"/>
      <c r="BS3349" s="76"/>
      <c r="BT3349" s="76"/>
      <c r="BU3349" s="76"/>
      <c r="BV3349" s="76"/>
      <c r="BW3349" s="76"/>
      <c r="BX3349" s="76"/>
      <c r="BY3349" s="76"/>
      <c r="BZ3349" s="76"/>
      <c r="CA3349" s="76"/>
      <c r="CB3349" s="76"/>
      <c r="CC3349" s="76"/>
      <c r="CD3349" s="76"/>
      <c r="CE3349" s="76"/>
      <c r="CF3349" s="76">
        <f>+CE3349*28000</f>
        <v>0</v>
      </c>
      <c r="CG3349" s="76"/>
      <c r="CH3349" s="76">
        <f>+CG3349*22500</f>
        <v>0</v>
      </c>
      <c r="CI3349" s="76"/>
      <c r="CJ3349" s="76">
        <f>+CI3349*26000</f>
        <v>0</v>
      </c>
      <c r="CK3349" s="76"/>
      <c r="CL3349" s="76"/>
      <c r="CM3349" s="76"/>
      <c r="CN3349" s="76">
        <f>+CM3349*22000</f>
        <v>0</v>
      </c>
      <c r="CO3349" s="76"/>
      <c r="CP3349" s="76">
        <f>+CO3349*46000</f>
        <v>0</v>
      </c>
      <c r="CQ3349" s="76"/>
      <c r="CR3349" s="76">
        <f>+CQ3349*49000</f>
        <v>0</v>
      </c>
      <c r="CS3349" s="76"/>
      <c r="CT3349" s="76"/>
      <c r="CU3349" s="56">
        <f>AN3349+AP3349+AR3349+AT3349+AV3349+AX3349+AZ3349+BB3349+BD3349+BF3349+BH3349+BJ3349+BL3349+BN3349+BP3349+BR3349+BT3349+BV3349+BX3349+BZ3349+CB3349+CD3349+CF3349+CH3349+CJ3349+CL3349+CN3349+CP3349+CR3349+CT3349</f>
        <v>0</v>
      </c>
      <c r="CV3349" s="76"/>
      <c r="CW3349" s="76">
        <f>+CV3349*1100</f>
        <v>0</v>
      </c>
      <c r="CX3349" s="76"/>
      <c r="CY3349" s="76">
        <f>+CX3349*106250</f>
        <v>0</v>
      </c>
      <c r="CZ3349" s="76"/>
      <c r="DA3349" s="76">
        <f>+CZ3349*34500</f>
        <v>0</v>
      </c>
      <c r="DB3349" s="76"/>
      <c r="DC3349" s="76">
        <f>+DB3349*25000</f>
        <v>0</v>
      </c>
      <c r="DD3349" s="219"/>
      <c r="DE3349" s="219"/>
      <c r="DF3349" s="166"/>
      <c r="DG3349" s="116"/>
      <c r="DH3349" s="117"/>
      <c r="DI3349" s="24"/>
      <c r="DJ3349" s="24"/>
      <c r="DK3349" s="24"/>
      <c r="DL3349" s="24"/>
      <c r="DM3349" s="24"/>
      <c r="DN3349" s="24"/>
      <c r="DO3349" s="24"/>
      <c r="DP3349" s="24"/>
      <c r="DQ3349" s="24"/>
      <c r="DR3349" s="24"/>
      <c r="DS3349" s="24"/>
      <c r="DT3349" s="24"/>
      <c r="DU3349" s="24"/>
    </row>
    <row r="3350" spans="1:125" s="8" customFormat="1" ht="48" x14ac:dyDescent="0.2">
      <c r="A3350" s="353">
        <v>41558</v>
      </c>
      <c r="B3350" s="352" t="s">
        <v>2661</v>
      </c>
      <c r="C3350" s="354" t="s">
        <v>2</v>
      </c>
      <c r="D3350" s="354" t="s">
        <v>2846</v>
      </c>
      <c r="E3350" s="75" t="str">
        <f>VLOOKUP(B3350&amp;C3350,Divipola!$C$2:$F$1138,4,FALSE)</f>
        <v>41524</v>
      </c>
      <c r="F3350" s="87"/>
      <c r="G3350" s="87"/>
      <c r="H3350" s="87"/>
      <c r="I3350" s="87"/>
      <c r="J3350" s="87"/>
      <c r="K3350" s="87"/>
      <c r="L3350" s="87"/>
      <c r="M3350" s="87"/>
      <c r="N3350" s="87"/>
      <c r="O3350" s="87"/>
      <c r="P3350" s="87"/>
      <c r="Q3350" s="87"/>
      <c r="R3350" s="87"/>
      <c r="S3350" s="87"/>
      <c r="T3350" s="87"/>
      <c r="U3350" s="88">
        <v>50</v>
      </c>
      <c r="V3350" s="89"/>
      <c r="W3350" s="96">
        <v>0</v>
      </c>
      <c r="X3350" s="71">
        <f>CU3350</f>
        <v>0</v>
      </c>
      <c r="Y3350" s="71">
        <f>CY3350</f>
        <v>0</v>
      </c>
      <c r="Z3350" s="71">
        <f>DA3350+DC3350+DE3350</f>
        <v>0</v>
      </c>
      <c r="AA3350" s="71">
        <f>CW3350</f>
        <v>0</v>
      </c>
      <c r="AB3350" s="71"/>
      <c r="AC3350" s="71">
        <v>0</v>
      </c>
      <c r="AD3350" s="71">
        <f>W3350+X3350+Y3350+Z3350+AA3350+AB3350+AC3350</f>
        <v>0</v>
      </c>
      <c r="AE3350" s="72">
        <v>0</v>
      </c>
      <c r="AF3350" s="5"/>
      <c r="AG3350" s="6"/>
      <c r="AH3350" s="27"/>
      <c r="AI3350" s="44"/>
      <c r="AJ3350" s="26"/>
      <c r="AK3350" s="5"/>
      <c r="AL3350" s="9" t="s">
        <v>6294</v>
      </c>
      <c r="AM3350" s="76"/>
      <c r="AN3350" s="76"/>
      <c r="AO3350" s="76"/>
      <c r="AP3350" s="76"/>
      <c r="AQ3350" s="76"/>
      <c r="AR3350" s="76"/>
      <c r="AS3350" s="76"/>
      <c r="AT3350" s="76"/>
      <c r="AU3350" s="76"/>
      <c r="AV3350" s="76"/>
      <c r="AW3350" s="76"/>
      <c r="AX3350" s="76">
        <f>+AW3350*600000</f>
        <v>0</v>
      </c>
      <c r="AY3350" s="76"/>
      <c r="AZ3350" s="76">
        <f>+AY3350*70000</f>
        <v>0</v>
      </c>
      <c r="BA3350" s="76"/>
      <c r="BB3350" s="76"/>
      <c r="BC3350" s="76"/>
      <c r="BD3350" s="76">
        <f>+BC3350*30000</f>
        <v>0</v>
      </c>
      <c r="BE3350" s="76"/>
      <c r="BF3350" s="76"/>
      <c r="BG3350" s="76"/>
      <c r="BH3350" s="76"/>
      <c r="BI3350" s="76"/>
      <c r="BJ3350" s="76"/>
      <c r="BK3350" s="76"/>
      <c r="BL3350" s="76">
        <f>+BK3350*31500</f>
        <v>0</v>
      </c>
      <c r="BM3350" s="76"/>
      <c r="BN3350" s="76"/>
      <c r="BO3350" s="76"/>
      <c r="BP3350" s="76"/>
      <c r="BQ3350" s="76"/>
      <c r="BR3350" s="76"/>
      <c r="BS3350" s="76"/>
      <c r="BT3350" s="76"/>
      <c r="BU3350" s="76"/>
      <c r="BV3350" s="76"/>
      <c r="BW3350" s="76"/>
      <c r="BX3350" s="76"/>
      <c r="BY3350" s="76"/>
      <c r="BZ3350" s="76"/>
      <c r="CA3350" s="76"/>
      <c r="CB3350" s="76"/>
      <c r="CC3350" s="76"/>
      <c r="CD3350" s="76"/>
      <c r="CE3350" s="76"/>
      <c r="CF3350" s="76">
        <f>+CE3350*28000</f>
        <v>0</v>
      </c>
      <c r="CG3350" s="76"/>
      <c r="CH3350" s="76">
        <f>+CG3350*22500</f>
        <v>0</v>
      </c>
      <c r="CI3350" s="76"/>
      <c r="CJ3350" s="76">
        <f>+CI3350*26000</f>
        <v>0</v>
      </c>
      <c r="CK3350" s="76"/>
      <c r="CL3350" s="76"/>
      <c r="CM3350" s="76"/>
      <c r="CN3350" s="76">
        <f>+CM3350*22000</f>
        <v>0</v>
      </c>
      <c r="CO3350" s="76"/>
      <c r="CP3350" s="76">
        <f>+CO3350*46000</f>
        <v>0</v>
      </c>
      <c r="CQ3350" s="76"/>
      <c r="CR3350" s="76">
        <f>+CQ3350*49000</f>
        <v>0</v>
      </c>
      <c r="CS3350" s="76"/>
      <c r="CT3350" s="76"/>
      <c r="CU3350" s="56">
        <f>AN3350+AP3350+AR3350+AT3350+AV3350+AX3350+AZ3350+BB3350+BD3350+BF3350+BH3350+BJ3350+BL3350+BN3350+BP3350+BR3350+BT3350+BV3350+BX3350+BZ3350+CB3350+CD3350+CF3350+CH3350+CJ3350+CL3350+CN3350+CP3350+CR3350+CT3350</f>
        <v>0</v>
      </c>
      <c r="CV3350" s="76"/>
      <c r="CW3350" s="76">
        <f>+CV3350*1100</f>
        <v>0</v>
      </c>
      <c r="CX3350" s="76"/>
      <c r="CY3350" s="76">
        <f>+CX3350*106250</f>
        <v>0</v>
      </c>
      <c r="CZ3350" s="76"/>
      <c r="DA3350" s="76">
        <f>+CZ3350*34500</f>
        <v>0</v>
      </c>
      <c r="DB3350" s="76"/>
      <c r="DC3350" s="76">
        <f>+DB3350*25000</f>
        <v>0</v>
      </c>
      <c r="DD3350" s="219"/>
      <c r="DE3350" s="219"/>
      <c r="DF3350" s="166"/>
      <c r="DG3350" s="116"/>
      <c r="DH3350" s="117"/>
      <c r="DI3350" s="24"/>
      <c r="DJ3350" s="24"/>
      <c r="DK3350" s="24"/>
      <c r="DL3350" s="24"/>
      <c r="DM3350" s="24"/>
      <c r="DN3350" s="24"/>
      <c r="DO3350" s="24"/>
      <c r="DP3350" s="24"/>
      <c r="DQ3350" s="24"/>
      <c r="DR3350" s="24"/>
      <c r="DS3350" s="24"/>
      <c r="DT3350" s="24"/>
      <c r="DU3350" s="24"/>
    </row>
    <row r="3351" spans="1:125" s="8" customFormat="1" ht="60" x14ac:dyDescent="0.2">
      <c r="A3351" s="77">
        <v>41558</v>
      </c>
      <c r="B3351" s="78" t="s">
        <v>2661</v>
      </c>
      <c r="C3351" s="75" t="s">
        <v>2164</v>
      </c>
      <c r="D3351" s="75" t="s">
        <v>2846</v>
      </c>
      <c r="E3351" s="75" t="str">
        <f>VLOOKUP(B3351&amp;C3351,Divipola!$C$2:$F$1138,4,FALSE)</f>
        <v>41799</v>
      </c>
      <c r="F3351" s="87"/>
      <c r="G3351" s="87"/>
      <c r="H3351" s="87"/>
      <c r="I3351" s="87"/>
      <c r="J3351" s="87"/>
      <c r="K3351" s="87"/>
      <c r="L3351" s="87"/>
      <c r="M3351" s="87"/>
      <c r="N3351" s="87"/>
      <c r="O3351" s="87"/>
      <c r="P3351" s="87"/>
      <c r="Q3351" s="87"/>
      <c r="R3351" s="87"/>
      <c r="S3351" s="87"/>
      <c r="T3351" s="87"/>
      <c r="U3351" s="88">
        <v>90</v>
      </c>
      <c r="V3351" s="89"/>
      <c r="W3351" s="96">
        <v>0</v>
      </c>
      <c r="X3351" s="71">
        <f>CU3351</f>
        <v>0</v>
      </c>
      <c r="Y3351" s="71">
        <f>CY3351</f>
        <v>0</v>
      </c>
      <c r="Z3351" s="71">
        <f>DA3351+DC3351+DE3351</f>
        <v>0</v>
      </c>
      <c r="AA3351" s="71">
        <f>CW3351</f>
        <v>0</v>
      </c>
      <c r="AB3351" s="71"/>
      <c r="AC3351" s="71">
        <v>0</v>
      </c>
      <c r="AD3351" s="71">
        <f>W3351+X3351+Y3351+Z3351+AA3351+AB3351+AC3351</f>
        <v>0</v>
      </c>
      <c r="AE3351" s="72">
        <v>0</v>
      </c>
      <c r="AF3351" s="5"/>
      <c r="AG3351" s="6"/>
      <c r="AH3351" s="27"/>
      <c r="AI3351" s="44"/>
      <c r="AJ3351" s="26"/>
      <c r="AK3351" s="5"/>
      <c r="AL3351" s="9" t="s">
        <v>6295</v>
      </c>
      <c r="AM3351" s="76"/>
      <c r="AN3351" s="76"/>
      <c r="AO3351" s="76"/>
      <c r="AP3351" s="76"/>
      <c r="AQ3351" s="76"/>
      <c r="AR3351" s="76"/>
      <c r="AS3351" s="76"/>
      <c r="AT3351" s="76"/>
      <c r="AU3351" s="76"/>
      <c r="AV3351" s="76"/>
      <c r="AW3351" s="76"/>
      <c r="AX3351" s="76">
        <f>+AW3351*600000</f>
        <v>0</v>
      </c>
      <c r="AY3351" s="76"/>
      <c r="AZ3351" s="76">
        <f>+AY3351*70000</f>
        <v>0</v>
      </c>
      <c r="BA3351" s="76"/>
      <c r="BB3351" s="76"/>
      <c r="BC3351" s="76"/>
      <c r="BD3351" s="76">
        <f>+BC3351*30000</f>
        <v>0</v>
      </c>
      <c r="BE3351" s="76"/>
      <c r="BF3351" s="76"/>
      <c r="BG3351" s="76"/>
      <c r="BH3351" s="76"/>
      <c r="BI3351" s="76"/>
      <c r="BJ3351" s="76"/>
      <c r="BK3351" s="76"/>
      <c r="BL3351" s="76">
        <f>+BK3351*31500</f>
        <v>0</v>
      </c>
      <c r="BM3351" s="76"/>
      <c r="BN3351" s="76"/>
      <c r="BO3351" s="76"/>
      <c r="BP3351" s="76"/>
      <c r="BQ3351" s="76"/>
      <c r="BR3351" s="76"/>
      <c r="BS3351" s="76"/>
      <c r="BT3351" s="76"/>
      <c r="BU3351" s="76"/>
      <c r="BV3351" s="76"/>
      <c r="BW3351" s="76"/>
      <c r="BX3351" s="76"/>
      <c r="BY3351" s="76"/>
      <c r="BZ3351" s="76"/>
      <c r="CA3351" s="76"/>
      <c r="CB3351" s="76"/>
      <c r="CC3351" s="76"/>
      <c r="CD3351" s="76"/>
      <c r="CE3351" s="76"/>
      <c r="CF3351" s="76">
        <f>+CE3351*28000</f>
        <v>0</v>
      </c>
      <c r="CG3351" s="76"/>
      <c r="CH3351" s="76">
        <f>+CG3351*22500</f>
        <v>0</v>
      </c>
      <c r="CI3351" s="76"/>
      <c r="CJ3351" s="76">
        <f>+CI3351*26000</f>
        <v>0</v>
      </c>
      <c r="CK3351" s="76"/>
      <c r="CL3351" s="76"/>
      <c r="CM3351" s="76"/>
      <c r="CN3351" s="76">
        <f>+CM3351*22000</f>
        <v>0</v>
      </c>
      <c r="CO3351" s="76"/>
      <c r="CP3351" s="76">
        <f>+CO3351*46000</f>
        <v>0</v>
      </c>
      <c r="CQ3351" s="76"/>
      <c r="CR3351" s="76">
        <f>+CQ3351*49000</f>
        <v>0</v>
      </c>
      <c r="CS3351" s="76"/>
      <c r="CT3351" s="76"/>
      <c r="CU3351" s="56">
        <f>AN3351+AP3351+AR3351+AT3351+AV3351+AX3351+AZ3351+BB3351+BD3351+BF3351+BH3351+BJ3351+BL3351+BN3351+BP3351+BR3351+BT3351+BV3351+BX3351+BZ3351+CB3351+CD3351+CF3351+CH3351+CJ3351+CL3351+CN3351+CP3351+CR3351+CT3351</f>
        <v>0</v>
      </c>
      <c r="CV3351" s="76"/>
      <c r="CW3351" s="76">
        <f>+CV3351*1100</f>
        <v>0</v>
      </c>
      <c r="CX3351" s="76"/>
      <c r="CY3351" s="76">
        <f>+CX3351*106250</f>
        <v>0</v>
      </c>
      <c r="CZ3351" s="76"/>
      <c r="DA3351" s="76">
        <f>+CZ3351*34500</f>
        <v>0</v>
      </c>
      <c r="DB3351" s="76"/>
      <c r="DC3351" s="76">
        <f>+DB3351*25000</f>
        <v>0</v>
      </c>
      <c r="DD3351" s="219"/>
      <c r="DE3351" s="219"/>
      <c r="DF3351" s="166"/>
      <c r="DG3351" s="116"/>
      <c r="DH3351" s="117"/>
      <c r="DI3351" s="24"/>
      <c r="DJ3351" s="24"/>
      <c r="DK3351" s="24"/>
      <c r="DL3351" s="24"/>
      <c r="DM3351" s="24"/>
      <c r="DN3351" s="24"/>
      <c r="DO3351" s="24"/>
      <c r="DP3351" s="24"/>
      <c r="DQ3351" s="24"/>
      <c r="DR3351" s="24"/>
      <c r="DS3351" s="24"/>
      <c r="DT3351" s="24"/>
      <c r="DU3351" s="24"/>
    </row>
    <row r="3352" spans="1:125" s="8" customFormat="1" ht="48" x14ac:dyDescent="0.2">
      <c r="A3352" s="77">
        <v>41558</v>
      </c>
      <c r="B3352" s="78" t="s">
        <v>2811</v>
      </c>
      <c r="C3352" s="75" t="s">
        <v>2131</v>
      </c>
      <c r="D3352" s="75" t="s">
        <v>2859</v>
      </c>
      <c r="E3352" s="75" t="str">
        <f>VLOOKUP(B3352&amp;C3352,Divipola!$C$2:$F$1138,4,FALSE)</f>
        <v>52001</v>
      </c>
      <c r="F3352" s="87"/>
      <c r="G3352" s="87"/>
      <c r="H3352" s="87"/>
      <c r="I3352" s="87">
        <v>4</v>
      </c>
      <c r="J3352" s="87">
        <v>1</v>
      </c>
      <c r="K3352" s="87"/>
      <c r="L3352" s="87">
        <v>1</v>
      </c>
      <c r="M3352" s="87"/>
      <c r="N3352" s="87"/>
      <c r="O3352" s="87"/>
      <c r="P3352" s="87"/>
      <c r="Q3352" s="87"/>
      <c r="R3352" s="87"/>
      <c r="S3352" s="87"/>
      <c r="T3352" s="87"/>
      <c r="U3352" s="88"/>
      <c r="V3352" s="89"/>
      <c r="W3352" s="96">
        <v>0</v>
      </c>
      <c r="X3352" s="71">
        <f>CU3352</f>
        <v>0</v>
      </c>
      <c r="Y3352" s="71">
        <f>CY3352</f>
        <v>0</v>
      </c>
      <c r="Z3352" s="71">
        <f>DA3352+DC3352+DE3352</f>
        <v>0</v>
      </c>
      <c r="AA3352" s="71">
        <f>CW3352</f>
        <v>0</v>
      </c>
      <c r="AB3352" s="71"/>
      <c r="AC3352" s="71">
        <v>0</v>
      </c>
      <c r="AD3352" s="71">
        <f>W3352+X3352+Y3352+Z3352+AA3352+AB3352+AC3352</f>
        <v>0</v>
      </c>
      <c r="AE3352" s="72">
        <v>0</v>
      </c>
      <c r="AF3352" s="5"/>
      <c r="AG3352" s="6"/>
      <c r="AH3352" s="27"/>
      <c r="AI3352" s="44"/>
      <c r="AJ3352" s="26"/>
      <c r="AK3352" s="5"/>
      <c r="AL3352" s="268" t="s">
        <v>6303</v>
      </c>
      <c r="AM3352" s="76"/>
      <c r="AN3352" s="76"/>
      <c r="AO3352" s="76"/>
      <c r="AP3352" s="76"/>
      <c r="AQ3352" s="76"/>
      <c r="AR3352" s="76"/>
      <c r="AS3352" s="76"/>
      <c r="AT3352" s="76"/>
      <c r="AU3352" s="76"/>
      <c r="AV3352" s="76"/>
      <c r="AW3352" s="76"/>
      <c r="AX3352" s="76">
        <f>+AW3352*600000</f>
        <v>0</v>
      </c>
      <c r="AY3352" s="76"/>
      <c r="AZ3352" s="76">
        <f>+AY3352*70000</f>
        <v>0</v>
      </c>
      <c r="BA3352" s="76"/>
      <c r="BB3352" s="76"/>
      <c r="BC3352" s="76"/>
      <c r="BD3352" s="76">
        <f>+BC3352*30000</f>
        <v>0</v>
      </c>
      <c r="BE3352" s="76"/>
      <c r="BF3352" s="76"/>
      <c r="BG3352" s="76"/>
      <c r="BH3352" s="76"/>
      <c r="BI3352" s="76"/>
      <c r="BJ3352" s="76"/>
      <c r="BK3352" s="76"/>
      <c r="BL3352" s="76">
        <f>+BK3352*31500</f>
        <v>0</v>
      </c>
      <c r="BM3352" s="76"/>
      <c r="BN3352" s="76"/>
      <c r="BO3352" s="76"/>
      <c r="BP3352" s="76"/>
      <c r="BQ3352" s="76"/>
      <c r="BR3352" s="76"/>
      <c r="BS3352" s="76"/>
      <c r="BT3352" s="76"/>
      <c r="BU3352" s="76"/>
      <c r="BV3352" s="76"/>
      <c r="BW3352" s="76"/>
      <c r="BX3352" s="76"/>
      <c r="BY3352" s="76"/>
      <c r="BZ3352" s="76"/>
      <c r="CA3352" s="76"/>
      <c r="CB3352" s="76"/>
      <c r="CC3352" s="76"/>
      <c r="CD3352" s="76"/>
      <c r="CE3352" s="76"/>
      <c r="CF3352" s="76">
        <f>+CE3352*28000</f>
        <v>0</v>
      </c>
      <c r="CG3352" s="76"/>
      <c r="CH3352" s="76">
        <f>+CG3352*22500</f>
        <v>0</v>
      </c>
      <c r="CI3352" s="76"/>
      <c r="CJ3352" s="76">
        <f>+CI3352*26000</f>
        <v>0</v>
      </c>
      <c r="CK3352" s="76"/>
      <c r="CL3352" s="76"/>
      <c r="CM3352" s="76"/>
      <c r="CN3352" s="76">
        <f>+CM3352*22000</f>
        <v>0</v>
      </c>
      <c r="CO3352" s="76"/>
      <c r="CP3352" s="76">
        <f>+CO3352*46000</f>
        <v>0</v>
      </c>
      <c r="CQ3352" s="76"/>
      <c r="CR3352" s="76">
        <f>+CQ3352*49000</f>
        <v>0</v>
      </c>
      <c r="CS3352" s="76"/>
      <c r="CT3352" s="76"/>
      <c r="CU3352" s="56">
        <f>AN3352+AP3352+AR3352+AT3352+AV3352+AX3352+AZ3352+BB3352+BD3352+BF3352+BH3352+BJ3352+BL3352+BN3352+BP3352+BR3352+BT3352+BV3352+BX3352+BZ3352+CB3352+CD3352+CF3352+CH3352+CJ3352+CL3352+CN3352+CP3352+CR3352+CT3352</f>
        <v>0</v>
      </c>
      <c r="CV3352" s="76"/>
      <c r="CW3352" s="76">
        <f>+CV3352*1100</f>
        <v>0</v>
      </c>
      <c r="CX3352" s="76"/>
      <c r="CY3352" s="76">
        <f>+CX3352*106250</f>
        <v>0</v>
      </c>
      <c r="CZ3352" s="76"/>
      <c r="DA3352" s="76">
        <f>+CZ3352*34500</f>
        <v>0</v>
      </c>
      <c r="DB3352" s="76"/>
      <c r="DC3352" s="76">
        <f>+DB3352*25000</f>
        <v>0</v>
      </c>
      <c r="DD3352" s="219"/>
      <c r="DE3352" s="219"/>
      <c r="DF3352" s="166"/>
      <c r="DG3352" s="116"/>
      <c r="DH3352" s="117"/>
      <c r="DI3352" s="24"/>
      <c r="DJ3352" s="24"/>
      <c r="DK3352" s="24"/>
      <c r="DL3352" s="24"/>
      <c r="DM3352" s="24"/>
      <c r="DN3352" s="24"/>
      <c r="DO3352" s="24"/>
      <c r="DP3352" s="24"/>
      <c r="DQ3352" s="24"/>
      <c r="DR3352" s="24"/>
      <c r="DS3352" s="24"/>
      <c r="DT3352" s="24"/>
      <c r="DU3352" s="24"/>
    </row>
    <row r="3353" spans="1:125" s="8" customFormat="1" ht="84" x14ac:dyDescent="0.2">
      <c r="A3353" s="77">
        <v>41558</v>
      </c>
      <c r="B3353" s="78" t="s">
        <v>2774</v>
      </c>
      <c r="C3353" s="75" t="s">
        <v>1347</v>
      </c>
      <c r="D3353" s="75" t="s">
        <v>2859</v>
      </c>
      <c r="E3353" s="75" t="str">
        <f>VLOOKUP(B3353&amp;C3353,Divipola!$C$2:$F$1138,4,FALSE)</f>
        <v>66001</v>
      </c>
      <c r="F3353" s="87"/>
      <c r="G3353" s="87"/>
      <c r="H3353" s="87"/>
      <c r="I3353" s="87">
        <v>10</v>
      </c>
      <c r="J3353" s="87">
        <v>2</v>
      </c>
      <c r="K3353" s="87">
        <v>2</v>
      </c>
      <c r="L3353" s="87"/>
      <c r="M3353" s="87"/>
      <c r="N3353" s="87"/>
      <c r="O3353" s="87"/>
      <c r="P3353" s="87"/>
      <c r="Q3353" s="87"/>
      <c r="R3353" s="87"/>
      <c r="S3353" s="87"/>
      <c r="T3353" s="87"/>
      <c r="U3353" s="87"/>
      <c r="V3353" s="89"/>
      <c r="W3353" s="96">
        <v>0</v>
      </c>
      <c r="X3353" s="71">
        <f>CU3353</f>
        <v>0</v>
      </c>
      <c r="Y3353" s="71">
        <f>CY3353</f>
        <v>0</v>
      </c>
      <c r="Z3353" s="71">
        <f>DA3353+DC3353+DE3353</f>
        <v>0</v>
      </c>
      <c r="AA3353" s="71">
        <f>CW3353</f>
        <v>0</v>
      </c>
      <c r="AB3353" s="71"/>
      <c r="AC3353" s="71">
        <v>0</v>
      </c>
      <c r="AD3353" s="71">
        <f>W3353+X3353+Y3353+Z3353+AA3353+AB3353+AC3353</f>
        <v>0</v>
      </c>
      <c r="AE3353" s="72">
        <v>0</v>
      </c>
      <c r="AF3353" s="5"/>
      <c r="AG3353" s="6"/>
      <c r="AH3353" s="27"/>
      <c r="AI3353" s="44"/>
      <c r="AJ3353" s="26"/>
      <c r="AK3353" s="5"/>
      <c r="AL3353" s="9" t="s">
        <v>6301</v>
      </c>
      <c r="AM3353" s="76"/>
      <c r="AN3353" s="76"/>
      <c r="AO3353" s="76"/>
      <c r="AP3353" s="76"/>
      <c r="AQ3353" s="76"/>
      <c r="AR3353" s="76"/>
      <c r="AS3353" s="76"/>
      <c r="AT3353" s="76"/>
      <c r="AU3353" s="76"/>
      <c r="AV3353" s="76"/>
      <c r="AW3353" s="76"/>
      <c r="AX3353" s="76">
        <f>+AW3353*600000</f>
        <v>0</v>
      </c>
      <c r="AY3353" s="76"/>
      <c r="AZ3353" s="76">
        <f>+AY3353*70000</f>
        <v>0</v>
      </c>
      <c r="BA3353" s="76"/>
      <c r="BB3353" s="76"/>
      <c r="BC3353" s="76"/>
      <c r="BD3353" s="76">
        <f>+BC3353*30000</f>
        <v>0</v>
      </c>
      <c r="BE3353" s="76"/>
      <c r="BF3353" s="76"/>
      <c r="BG3353" s="76"/>
      <c r="BH3353" s="76"/>
      <c r="BI3353" s="76"/>
      <c r="BJ3353" s="76"/>
      <c r="BK3353" s="76"/>
      <c r="BL3353" s="76">
        <f>+BK3353*31500</f>
        <v>0</v>
      </c>
      <c r="BM3353" s="76"/>
      <c r="BN3353" s="76"/>
      <c r="BO3353" s="76"/>
      <c r="BP3353" s="76"/>
      <c r="BQ3353" s="76"/>
      <c r="BR3353" s="76"/>
      <c r="BS3353" s="76"/>
      <c r="BT3353" s="76"/>
      <c r="BU3353" s="76"/>
      <c r="BV3353" s="76"/>
      <c r="BW3353" s="76"/>
      <c r="BX3353" s="76"/>
      <c r="BY3353" s="76"/>
      <c r="BZ3353" s="76"/>
      <c r="CA3353" s="76"/>
      <c r="CB3353" s="76"/>
      <c r="CC3353" s="76"/>
      <c r="CD3353" s="76"/>
      <c r="CE3353" s="76"/>
      <c r="CF3353" s="76">
        <f>+CE3353*28000</f>
        <v>0</v>
      </c>
      <c r="CG3353" s="76"/>
      <c r="CH3353" s="76">
        <f>+CG3353*22500</f>
        <v>0</v>
      </c>
      <c r="CI3353" s="76"/>
      <c r="CJ3353" s="76">
        <f>+CI3353*26000</f>
        <v>0</v>
      </c>
      <c r="CK3353" s="76"/>
      <c r="CL3353" s="76"/>
      <c r="CM3353" s="76"/>
      <c r="CN3353" s="76">
        <f>+CM3353*22000</f>
        <v>0</v>
      </c>
      <c r="CO3353" s="76"/>
      <c r="CP3353" s="76">
        <f>+CO3353*46000</f>
        <v>0</v>
      </c>
      <c r="CQ3353" s="76"/>
      <c r="CR3353" s="76">
        <f>+CQ3353*49000</f>
        <v>0</v>
      </c>
      <c r="CS3353" s="76"/>
      <c r="CT3353" s="76"/>
      <c r="CU3353" s="56">
        <f>AN3353+AP3353+AR3353+AT3353+AV3353+AX3353+AZ3353+BB3353+BD3353+BF3353+BH3353+BJ3353+BL3353+BN3353+BP3353+BR3353+BT3353+BV3353+BX3353+BZ3353+CB3353+CD3353+CF3353+CH3353+CJ3353+CL3353+CN3353+CP3353+CR3353+CT3353</f>
        <v>0</v>
      </c>
      <c r="CV3353" s="76"/>
      <c r="CW3353" s="76">
        <f>+CV3353*1100</f>
        <v>0</v>
      </c>
      <c r="CX3353" s="76"/>
      <c r="CY3353" s="76">
        <f>+CX3353*106250</f>
        <v>0</v>
      </c>
      <c r="CZ3353" s="76"/>
      <c r="DA3353" s="76">
        <f>+CZ3353*34500</f>
        <v>0</v>
      </c>
      <c r="DB3353" s="76"/>
      <c r="DC3353" s="76">
        <f>+DB3353*25000</f>
        <v>0</v>
      </c>
      <c r="DD3353" s="219"/>
      <c r="DE3353" s="219"/>
      <c r="DF3353" s="166"/>
      <c r="DG3353" s="116"/>
      <c r="DH3353" s="117"/>
      <c r="DI3353" s="24"/>
      <c r="DJ3353" s="24"/>
      <c r="DK3353" s="24"/>
      <c r="DL3353" s="24"/>
      <c r="DM3353" s="24"/>
      <c r="DN3353" s="24"/>
      <c r="DO3353" s="24"/>
      <c r="DP3353" s="24"/>
      <c r="DQ3353" s="24"/>
      <c r="DR3353" s="24"/>
      <c r="DS3353" s="24"/>
      <c r="DT3353" s="24"/>
      <c r="DU3353" s="24"/>
    </row>
    <row r="3354" spans="1:125" s="8" customFormat="1" ht="60" x14ac:dyDescent="0.2">
      <c r="A3354" s="77">
        <v>41558</v>
      </c>
      <c r="B3354" s="352" t="s">
        <v>1326</v>
      </c>
      <c r="C3354" s="354" t="s">
        <v>1850</v>
      </c>
      <c r="D3354" s="354" t="s">
        <v>3051</v>
      </c>
      <c r="E3354" s="75" t="str">
        <f>VLOOKUP(B3354&amp;C3354,Divipola!$C$2:$F$1138,4,FALSE)</f>
        <v>70820</v>
      </c>
      <c r="F3354" s="87"/>
      <c r="G3354" s="87"/>
      <c r="H3354" s="87"/>
      <c r="I3354" s="87"/>
      <c r="J3354" s="87"/>
      <c r="K3354" s="87"/>
      <c r="L3354" s="87"/>
      <c r="M3354" s="87"/>
      <c r="N3354" s="87"/>
      <c r="O3354" s="87"/>
      <c r="P3354" s="87"/>
      <c r="Q3354" s="87"/>
      <c r="R3354" s="87"/>
      <c r="S3354" s="87"/>
      <c r="T3354" s="87"/>
      <c r="U3354" s="88"/>
      <c r="V3354" s="89"/>
      <c r="W3354" s="96">
        <v>0</v>
      </c>
      <c r="X3354" s="71">
        <f>CU3354</f>
        <v>0</v>
      </c>
      <c r="Y3354" s="71">
        <f>CY3354</f>
        <v>0</v>
      </c>
      <c r="Z3354" s="71">
        <f>DA3354+DC3354+DE3354</f>
        <v>0</v>
      </c>
      <c r="AA3354" s="71">
        <f>CW3354</f>
        <v>0</v>
      </c>
      <c r="AB3354" s="71"/>
      <c r="AC3354" s="71">
        <v>0</v>
      </c>
      <c r="AD3354" s="71">
        <f>W3354+X3354+Y3354+Z3354+AA3354+AB3354+AC3354</f>
        <v>0</v>
      </c>
      <c r="AE3354" s="72">
        <v>0</v>
      </c>
      <c r="AF3354" s="5"/>
      <c r="AG3354" s="6"/>
      <c r="AH3354" s="27"/>
      <c r="AI3354" s="44"/>
      <c r="AJ3354" s="26"/>
      <c r="AK3354" s="5"/>
      <c r="AL3354" s="82" t="s">
        <v>6292</v>
      </c>
      <c r="AM3354" s="76"/>
      <c r="AN3354" s="76"/>
      <c r="AO3354" s="76"/>
      <c r="AP3354" s="76"/>
      <c r="AQ3354" s="76"/>
      <c r="AR3354" s="76"/>
      <c r="AS3354" s="76"/>
      <c r="AT3354" s="76"/>
      <c r="AU3354" s="76"/>
      <c r="AV3354" s="76"/>
      <c r="AW3354" s="76"/>
      <c r="AX3354" s="76">
        <f>+AW3354*600000</f>
        <v>0</v>
      </c>
      <c r="AY3354" s="76"/>
      <c r="AZ3354" s="76">
        <f>+AY3354*70000</f>
        <v>0</v>
      </c>
      <c r="BA3354" s="76"/>
      <c r="BB3354" s="76"/>
      <c r="BC3354" s="76"/>
      <c r="BD3354" s="76">
        <f>+BC3354*30000</f>
        <v>0</v>
      </c>
      <c r="BE3354" s="76"/>
      <c r="BF3354" s="76"/>
      <c r="BG3354" s="76"/>
      <c r="BH3354" s="76"/>
      <c r="BI3354" s="76"/>
      <c r="BJ3354" s="76"/>
      <c r="BK3354" s="76"/>
      <c r="BL3354" s="76">
        <f>+BK3354*31500</f>
        <v>0</v>
      </c>
      <c r="BM3354" s="76"/>
      <c r="BN3354" s="76"/>
      <c r="BO3354" s="76"/>
      <c r="BP3354" s="76"/>
      <c r="BQ3354" s="76"/>
      <c r="BR3354" s="76"/>
      <c r="BS3354" s="76"/>
      <c r="BT3354" s="76"/>
      <c r="BU3354" s="76"/>
      <c r="BV3354" s="76"/>
      <c r="BW3354" s="76"/>
      <c r="BX3354" s="76"/>
      <c r="BY3354" s="76"/>
      <c r="BZ3354" s="76"/>
      <c r="CA3354" s="76"/>
      <c r="CB3354" s="76"/>
      <c r="CC3354" s="76"/>
      <c r="CD3354" s="76"/>
      <c r="CE3354" s="76"/>
      <c r="CF3354" s="76">
        <f>+CE3354*28000</f>
        <v>0</v>
      </c>
      <c r="CG3354" s="76"/>
      <c r="CH3354" s="76">
        <f>+CG3354*22500</f>
        <v>0</v>
      </c>
      <c r="CI3354" s="76"/>
      <c r="CJ3354" s="76">
        <f>+CI3354*26000</f>
        <v>0</v>
      </c>
      <c r="CK3354" s="76"/>
      <c r="CL3354" s="76"/>
      <c r="CM3354" s="76"/>
      <c r="CN3354" s="76">
        <f>+CM3354*22000</f>
        <v>0</v>
      </c>
      <c r="CO3354" s="76"/>
      <c r="CP3354" s="76">
        <f>+CO3354*46000</f>
        <v>0</v>
      </c>
      <c r="CQ3354" s="76"/>
      <c r="CR3354" s="76">
        <f>+CQ3354*49000</f>
        <v>0</v>
      </c>
      <c r="CS3354" s="76"/>
      <c r="CT3354" s="76"/>
      <c r="CU3354" s="56">
        <f>AN3354+AP3354+AR3354+AT3354+AV3354+AX3354+AZ3354+BB3354+BD3354+BF3354+BH3354+BJ3354+BL3354+BN3354+BP3354+BR3354+BT3354+BV3354+BX3354+BZ3354+CB3354+CD3354+CF3354+CH3354+CJ3354+CL3354+CN3354+CP3354+CR3354+CT3354</f>
        <v>0</v>
      </c>
      <c r="CV3354" s="76"/>
      <c r="CW3354" s="76">
        <f>+CV3354*1100</f>
        <v>0</v>
      </c>
      <c r="CX3354" s="76"/>
      <c r="CY3354" s="76">
        <f>+CX3354*106250</f>
        <v>0</v>
      </c>
      <c r="CZ3354" s="76"/>
      <c r="DA3354" s="76">
        <f>+CZ3354*34500</f>
        <v>0</v>
      </c>
      <c r="DB3354" s="76"/>
      <c r="DC3354" s="76">
        <f>+DB3354*25000</f>
        <v>0</v>
      </c>
      <c r="DD3354" s="219"/>
      <c r="DE3354" s="219"/>
      <c r="DF3354" s="166"/>
      <c r="DG3354" s="116"/>
      <c r="DH3354" s="117"/>
      <c r="DI3354" s="24"/>
      <c r="DJ3354" s="24"/>
      <c r="DK3354" s="24"/>
      <c r="DL3354" s="24"/>
      <c r="DM3354" s="24"/>
      <c r="DN3354" s="24"/>
      <c r="DO3354" s="24"/>
      <c r="DP3354" s="24"/>
      <c r="DQ3354" s="24"/>
      <c r="DR3354" s="24"/>
      <c r="DS3354" s="24"/>
      <c r="DT3354" s="24"/>
      <c r="DU3354" s="24"/>
    </row>
    <row r="3355" spans="1:125" s="8" customFormat="1" ht="60" x14ac:dyDescent="0.2">
      <c r="A3355" s="77">
        <v>41558</v>
      </c>
      <c r="B3355" s="78" t="s">
        <v>2848</v>
      </c>
      <c r="C3355" s="75" t="s">
        <v>2055</v>
      </c>
      <c r="D3355" s="75" t="s">
        <v>2859</v>
      </c>
      <c r="E3355" s="75" t="str">
        <f>VLOOKUP(B3355&amp;C3355,Divipola!$C$2:$F$1138,4,FALSE)</f>
        <v>73275</v>
      </c>
      <c r="F3355" s="87"/>
      <c r="G3355" s="87"/>
      <c r="H3355" s="87"/>
      <c r="I3355" s="87">
        <v>5</v>
      </c>
      <c r="J3355" s="87">
        <v>1</v>
      </c>
      <c r="K3355" s="87"/>
      <c r="L3355" s="87">
        <v>1</v>
      </c>
      <c r="M3355" s="87"/>
      <c r="N3355" s="87"/>
      <c r="O3355" s="87"/>
      <c r="P3355" s="87"/>
      <c r="Q3355" s="87"/>
      <c r="R3355" s="87"/>
      <c r="S3355" s="87"/>
      <c r="T3355" s="87"/>
      <c r="U3355" s="88"/>
      <c r="V3355" s="89"/>
      <c r="W3355" s="96">
        <v>0</v>
      </c>
      <c r="X3355" s="71">
        <f>CU3355</f>
        <v>0</v>
      </c>
      <c r="Y3355" s="71">
        <f>CY3355</f>
        <v>0</v>
      </c>
      <c r="Z3355" s="71">
        <f>DA3355+DC3355+DE3355</f>
        <v>0</v>
      </c>
      <c r="AA3355" s="71">
        <f>CW3355</f>
        <v>0</v>
      </c>
      <c r="AB3355" s="71"/>
      <c r="AC3355" s="71">
        <v>0</v>
      </c>
      <c r="AD3355" s="71">
        <f>W3355+X3355+Y3355+Z3355+AA3355+AB3355+AC3355</f>
        <v>0</v>
      </c>
      <c r="AE3355" s="72">
        <v>0</v>
      </c>
      <c r="AF3355" s="5"/>
      <c r="AG3355" s="6"/>
      <c r="AH3355" s="27"/>
      <c r="AI3355" s="44"/>
      <c r="AJ3355" s="26"/>
      <c r="AK3355" s="5"/>
      <c r="AL3355" s="315" t="s">
        <v>6302</v>
      </c>
      <c r="AM3355" s="76"/>
      <c r="AN3355" s="76"/>
      <c r="AO3355" s="76"/>
      <c r="AP3355" s="76"/>
      <c r="AQ3355" s="76"/>
      <c r="AR3355" s="76"/>
      <c r="AS3355" s="76"/>
      <c r="AT3355" s="76"/>
      <c r="AU3355" s="76"/>
      <c r="AV3355" s="76"/>
      <c r="AW3355" s="76"/>
      <c r="AX3355" s="76">
        <f>+AW3355*600000</f>
        <v>0</v>
      </c>
      <c r="AY3355" s="76"/>
      <c r="AZ3355" s="76">
        <f>+AY3355*70000</f>
        <v>0</v>
      </c>
      <c r="BA3355" s="76"/>
      <c r="BB3355" s="76"/>
      <c r="BC3355" s="76"/>
      <c r="BD3355" s="76">
        <f>+BC3355*30000</f>
        <v>0</v>
      </c>
      <c r="BE3355" s="76"/>
      <c r="BF3355" s="76"/>
      <c r="BG3355" s="76"/>
      <c r="BH3355" s="76"/>
      <c r="BI3355" s="76"/>
      <c r="BJ3355" s="76"/>
      <c r="BK3355" s="76"/>
      <c r="BL3355" s="76">
        <f>+BK3355*31500</f>
        <v>0</v>
      </c>
      <c r="BM3355" s="76"/>
      <c r="BN3355" s="76"/>
      <c r="BO3355" s="76"/>
      <c r="BP3355" s="76"/>
      <c r="BQ3355" s="76"/>
      <c r="BR3355" s="76"/>
      <c r="BS3355" s="76"/>
      <c r="BT3355" s="76"/>
      <c r="BU3355" s="76"/>
      <c r="BV3355" s="76"/>
      <c r="BW3355" s="76"/>
      <c r="BX3355" s="76"/>
      <c r="BY3355" s="76"/>
      <c r="BZ3355" s="76"/>
      <c r="CA3355" s="76"/>
      <c r="CB3355" s="76"/>
      <c r="CC3355" s="76"/>
      <c r="CD3355" s="76"/>
      <c r="CE3355" s="76"/>
      <c r="CF3355" s="76">
        <f>+CE3355*28000</f>
        <v>0</v>
      </c>
      <c r="CG3355" s="76"/>
      <c r="CH3355" s="76">
        <f>+CG3355*22500</f>
        <v>0</v>
      </c>
      <c r="CI3355" s="76"/>
      <c r="CJ3355" s="76">
        <f>+CI3355*26000</f>
        <v>0</v>
      </c>
      <c r="CK3355" s="76"/>
      <c r="CL3355" s="76"/>
      <c r="CM3355" s="76"/>
      <c r="CN3355" s="76">
        <f>+CM3355*22000</f>
        <v>0</v>
      </c>
      <c r="CO3355" s="76"/>
      <c r="CP3355" s="76">
        <f>+CO3355*46000</f>
        <v>0</v>
      </c>
      <c r="CQ3355" s="76"/>
      <c r="CR3355" s="76">
        <f>+CQ3355*49000</f>
        <v>0</v>
      </c>
      <c r="CS3355" s="76"/>
      <c r="CT3355" s="76"/>
      <c r="CU3355" s="56">
        <f>AN3355+AP3355+AR3355+AT3355+AV3355+AX3355+AZ3355+BB3355+BD3355+BF3355+BH3355+BJ3355+BL3355+BN3355+BP3355+BR3355+BT3355+BV3355+BX3355+BZ3355+CB3355+CD3355+CF3355+CH3355+CJ3355+CL3355+CN3355+CP3355+CR3355+CT3355</f>
        <v>0</v>
      </c>
      <c r="CV3355" s="76"/>
      <c r="CW3355" s="76">
        <f>+CV3355*1100</f>
        <v>0</v>
      </c>
      <c r="CX3355" s="76"/>
      <c r="CY3355" s="76">
        <f>+CX3355*106250</f>
        <v>0</v>
      </c>
      <c r="CZ3355" s="76"/>
      <c r="DA3355" s="76">
        <f>+CZ3355*34500</f>
        <v>0</v>
      </c>
      <c r="DB3355" s="76"/>
      <c r="DC3355" s="76">
        <f>+DB3355*25000</f>
        <v>0</v>
      </c>
      <c r="DD3355" s="219"/>
      <c r="DE3355" s="219"/>
      <c r="DF3355" s="166"/>
      <c r="DG3355" s="116"/>
      <c r="DH3355" s="117"/>
      <c r="DI3355" s="24"/>
      <c r="DJ3355" s="24"/>
      <c r="DK3355" s="24"/>
      <c r="DL3355" s="24"/>
      <c r="DM3355" s="24"/>
      <c r="DN3355" s="24"/>
      <c r="DO3355" s="24"/>
      <c r="DP3355" s="24"/>
      <c r="DQ3355" s="24"/>
      <c r="DR3355" s="24"/>
      <c r="DS3355" s="24"/>
      <c r="DT3355" s="24"/>
      <c r="DU3355" s="24"/>
    </row>
    <row r="3356" spans="1:125" s="8" customFormat="1" ht="132" x14ac:dyDescent="0.2">
      <c r="A3356" s="5">
        <v>41558</v>
      </c>
      <c r="B3356" s="84" t="s">
        <v>2777</v>
      </c>
      <c r="C3356" s="84" t="s">
        <v>2783</v>
      </c>
      <c r="D3356" s="75" t="s">
        <v>2859</v>
      </c>
      <c r="E3356" s="75" t="str">
        <f>VLOOKUP(B3356&amp;C3356,Divipola!$C$2:$F$1138,4,FALSE)</f>
        <v>13001</v>
      </c>
      <c r="F3356" s="89"/>
      <c r="G3356" s="89"/>
      <c r="H3356" s="89"/>
      <c r="I3356" s="89">
        <v>5</v>
      </c>
      <c r="J3356" s="89">
        <v>1</v>
      </c>
      <c r="K3356" s="89">
        <v>1</v>
      </c>
      <c r="L3356" s="89"/>
      <c r="M3356" s="89"/>
      <c r="N3356" s="89"/>
      <c r="O3356" s="89"/>
      <c r="P3356" s="89"/>
      <c r="Q3356" s="89"/>
      <c r="R3356" s="89"/>
      <c r="S3356" s="89"/>
      <c r="T3356" s="89"/>
      <c r="U3356" s="89"/>
      <c r="V3356" s="89"/>
      <c r="W3356" s="96">
        <v>0</v>
      </c>
      <c r="X3356" s="71">
        <f>CU3356</f>
        <v>0</v>
      </c>
      <c r="Y3356" s="71">
        <f>CY3356</f>
        <v>0</v>
      </c>
      <c r="Z3356" s="71">
        <f>DA3356+DC3356+DE3356</f>
        <v>0</v>
      </c>
      <c r="AA3356" s="71">
        <f>CW3356</f>
        <v>0</v>
      </c>
      <c r="AB3356" s="71"/>
      <c r="AC3356" s="71">
        <v>0</v>
      </c>
      <c r="AD3356" s="71">
        <f>W3356+X3356+Y3356+Z3356+AA3356+AB3356+AC3356</f>
        <v>0</v>
      </c>
      <c r="AE3356" s="72">
        <v>0</v>
      </c>
      <c r="AF3356" s="5"/>
      <c r="AG3356" s="6"/>
      <c r="AH3356" s="27"/>
      <c r="AI3356" s="44"/>
      <c r="AJ3356" s="26"/>
      <c r="AK3356" s="5"/>
      <c r="AL3356" s="9" t="s">
        <v>6620</v>
      </c>
      <c r="AM3356" s="76"/>
      <c r="AN3356" s="76"/>
      <c r="AO3356" s="76"/>
      <c r="AP3356" s="76"/>
      <c r="AQ3356" s="76"/>
      <c r="AR3356" s="76"/>
      <c r="AS3356" s="76"/>
      <c r="AT3356" s="76"/>
      <c r="AU3356" s="76"/>
      <c r="AV3356" s="76"/>
      <c r="AW3356" s="76"/>
      <c r="AX3356" s="76">
        <f>+AW3356*600000</f>
        <v>0</v>
      </c>
      <c r="AY3356" s="76"/>
      <c r="AZ3356" s="76">
        <f>+AY3356*70000</f>
        <v>0</v>
      </c>
      <c r="BA3356" s="76"/>
      <c r="BB3356" s="76"/>
      <c r="BC3356" s="76"/>
      <c r="BD3356" s="76">
        <f>+BC3356*30000</f>
        <v>0</v>
      </c>
      <c r="BE3356" s="76"/>
      <c r="BF3356" s="76"/>
      <c r="BG3356" s="76"/>
      <c r="BH3356" s="76"/>
      <c r="BI3356" s="76"/>
      <c r="BJ3356" s="76"/>
      <c r="BK3356" s="76"/>
      <c r="BL3356" s="76">
        <f>+BK3356*31500</f>
        <v>0</v>
      </c>
      <c r="BM3356" s="76"/>
      <c r="BN3356" s="76"/>
      <c r="BO3356" s="76"/>
      <c r="BP3356" s="76"/>
      <c r="BQ3356" s="76"/>
      <c r="BR3356" s="76"/>
      <c r="BS3356" s="76"/>
      <c r="BT3356" s="76"/>
      <c r="BU3356" s="76"/>
      <c r="BV3356" s="76"/>
      <c r="BW3356" s="76"/>
      <c r="BX3356" s="76"/>
      <c r="BY3356" s="76"/>
      <c r="BZ3356" s="76"/>
      <c r="CA3356" s="76"/>
      <c r="CB3356" s="76"/>
      <c r="CC3356" s="76"/>
      <c r="CD3356" s="76"/>
      <c r="CE3356" s="76"/>
      <c r="CF3356" s="76">
        <f>+CE3356*28000</f>
        <v>0</v>
      </c>
      <c r="CG3356" s="76"/>
      <c r="CH3356" s="76">
        <f>+CG3356*22500</f>
        <v>0</v>
      </c>
      <c r="CI3356" s="76"/>
      <c r="CJ3356" s="76">
        <f>+CI3356*26000</f>
        <v>0</v>
      </c>
      <c r="CK3356" s="76"/>
      <c r="CL3356" s="76"/>
      <c r="CM3356" s="76"/>
      <c r="CN3356" s="76">
        <f>+CM3356*22000</f>
        <v>0</v>
      </c>
      <c r="CO3356" s="76"/>
      <c r="CP3356" s="76">
        <f>+CO3356*46000</f>
        <v>0</v>
      </c>
      <c r="CQ3356" s="76"/>
      <c r="CR3356" s="76">
        <f>+CQ3356*49000</f>
        <v>0</v>
      </c>
      <c r="CS3356" s="76"/>
      <c r="CT3356" s="76"/>
      <c r="CU3356" s="56">
        <f>AN3356+AP3356+AR3356+AT3356+AV3356+AX3356+AZ3356+BB3356+BD3356+BF3356+BH3356+BJ3356+BL3356+BN3356+BP3356+BR3356+BT3356+BV3356+BX3356+BZ3356+CB3356+CD3356+CF3356+CH3356+CJ3356+CL3356+CN3356+CP3356+CR3356+CT3356</f>
        <v>0</v>
      </c>
      <c r="CV3356" s="76"/>
      <c r="CW3356" s="76">
        <f>+CV3356*1100</f>
        <v>0</v>
      </c>
      <c r="CX3356" s="76"/>
      <c r="CY3356" s="76">
        <f>+CX3356*106250</f>
        <v>0</v>
      </c>
      <c r="CZ3356" s="76"/>
      <c r="DA3356" s="76">
        <f>+CZ3356*34500</f>
        <v>0</v>
      </c>
      <c r="DB3356" s="76"/>
      <c r="DC3356" s="76">
        <f>+DB3356*25000</f>
        <v>0</v>
      </c>
      <c r="DD3356" s="219"/>
      <c r="DE3356" s="219"/>
      <c r="DF3356" s="166"/>
      <c r="DG3356" s="116"/>
      <c r="DH3356" s="117"/>
      <c r="DI3356" s="24"/>
      <c r="DJ3356" s="24"/>
      <c r="DK3356" s="24"/>
      <c r="DL3356" s="24"/>
      <c r="DM3356" s="24"/>
      <c r="DN3356" s="24"/>
      <c r="DO3356" s="24"/>
      <c r="DP3356" s="24"/>
      <c r="DQ3356" s="24"/>
      <c r="DR3356" s="24"/>
      <c r="DS3356" s="24"/>
      <c r="DT3356" s="24"/>
      <c r="DU3356" s="24"/>
    </row>
    <row r="3357" spans="1:125" s="8" customFormat="1" ht="60" x14ac:dyDescent="0.2">
      <c r="A3357" s="5">
        <v>41559</v>
      </c>
      <c r="B3357" s="84" t="s">
        <v>2852</v>
      </c>
      <c r="C3357" s="84" t="s">
        <v>1327</v>
      </c>
      <c r="D3357" s="75" t="s">
        <v>3088</v>
      </c>
      <c r="E3357" s="75" t="str">
        <f>VLOOKUP(B3357&amp;C3357,Divipola!$C$2:$F$1138,4,FALSE)</f>
        <v>27001</v>
      </c>
      <c r="F3357" s="89"/>
      <c r="G3357" s="89">
        <v>1</v>
      </c>
      <c r="H3357" s="89"/>
      <c r="I3357" s="89">
        <v>5</v>
      </c>
      <c r="J3357" s="89">
        <v>1</v>
      </c>
      <c r="K3357" s="89"/>
      <c r="L3357" s="89">
        <v>1</v>
      </c>
      <c r="M3357" s="89"/>
      <c r="N3357" s="89"/>
      <c r="O3357" s="89"/>
      <c r="P3357" s="89"/>
      <c r="Q3357" s="89"/>
      <c r="R3357" s="89"/>
      <c r="S3357" s="89"/>
      <c r="T3357" s="89"/>
      <c r="U3357" s="89"/>
      <c r="V3357" s="89"/>
      <c r="W3357" s="96">
        <v>0</v>
      </c>
      <c r="X3357" s="71">
        <f>CU3357</f>
        <v>0</v>
      </c>
      <c r="Y3357" s="71">
        <f>CY3357</f>
        <v>0</v>
      </c>
      <c r="Z3357" s="71">
        <f>DA3357+DC3357+DE3357</f>
        <v>0</v>
      </c>
      <c r="AA3357" s="71">
        <f>CW3357</f>
        <v>0</v>
      </c>
      <c r="AB3357" s="71"/>
      <c r="AC3357" s="71">
        <v>0</v>
      </c>
      <c r="AD3357" s="71">
        <f>W3357+X3357+Y3357+Z3357+AA3357+AB3357+AC3357</f>
        <v>0</v>
      </c>
      <c r="AE3357" s="72">
        <v>0</v>
      </c>
      <c r="AF3357" s="5"/>
      <c r="AG3357" s="6"/>
      <c r="AH3357" s="27"/>
      <c r="AI3357" s="44"/>
      <c r="AJ3357" s="26"/>
      <c r="AK3357" s="5"/>
      <c r="AL3357" s="268" t="s">
        <v>6307</v>
      </c>
      <c r="AM3357" s="76"/>
      <c r="AN3357" s="76"/>
      <c r="AO3357" s="76"/>
      <c r="AP3357" s="76"/>
      <c r="AQ3357" s="76"/>
      <c r="AR3357" s="76"/>
      <c r="AS3357" s="76"/>
      <c r="AT3357" s="76"/>
      <c r="AU3357" s="76"/>
      <c r="AV3357" s="76"/>
      <c r="AW3357" s="76"/>
      <c r="AX3357" s="76">
        <f>+AW3357*600000</f>
        <v>0</v>
      </c>
      <c r="AY3357" s="76"/>
      <c r="AZ3357" s="76">
        <f>+AY3357*70000</f>
        <v>0</v>
      </c>
      <c r="BA3357" s="76"/>
      <c r="BB3357" s="76"/>
      <c r="BC3357" s="76"/>
      <c r="BD3357" s="76">
        <f>+BC3357*30000</f>
        <v>0</v>
      </c>
      <c r="BE3357" s="76"/>
      <c r="BF3357" s="76"/>
      <c r="BG3357" s="76"/>
      <c r="BH3357" s="76"/>
      <c r="BI3357" s="76"/>
      <c r="BJ3357" s="76"/>
      <c r="BK3357" s="76"/>
      <c r="BL3357" s="76">
        <f>+BK3357*31500</f>
        <v>0</v>
      </c>
      <c r="BM3357" s="76"/>
      <c r="BN3357" s="76"/>
      <c r="BO3357" s="76"/>
      <c r="BP3357" s="76"/>
      <c r="BQ3357" s="76"/>
      <c r="BR3357" s="76"/>
      <c r="BS3357" s="76"/>
      <c r="BT3357" s="76"/>
      <c r="BU3357" s="76"/>
      <c r="BV3357" s="76"/>
      <c r="BW3357" s="76"/>
      <c r="BX3357" s="76"/>
      <c r="BY3357" s="76"/>
      <c r="BZ3357" s="76"/>
      <c r="CA3357" s="76"/>
      <c r="CB3357" s="76"/>
      <c r="CC3357" s="76"/>
      <c r="CD3357" s="76"/>
      <c r="CE3357" s="76"/>
      <c r="CF3357" s="76">
        <f>+CE3357*28000</f>
        <v>0</v>
      </c>
      <c r="CG3357" s="76"/>
      <c r="CH3357" s="76">
        <f>+CG3357*22500</f>
        <v>0</v>
      </c>
      <c r="CI3357" s="76"/>
      <c r="CJ3357" s="76">
        <f>+CI3357*26000</f>
        <v>0</v>
      </c>
      <c r="CK3357" s="76"/>
      <c r="CL3357" s="76"/>
      <c r="CM3357" s="76"/>
      <c r="CN3357" s="76">
        <f>+CM3357*22000</f>
        <v>0</v>
      </c>
      <c r="CO3357" s="76"/>
      <c r="CP3357" s="76">
        <f>+CO3357*46000</f>
        <v>0</v>
      </c>
      <c r="CQ3357" s="76"/>
      <c r="CR3357" s="76">
        <f>+CQ3357*49000</f>
        <v>0</v>
      </c>
      <c r="CS3357" s="76"/>
      <c r="CT3357" s="76"/>
      <c r="CU3357" s="56">
        <f>AN3357+AP3357+AR3357+AT3357+AV3357+AX3357+AZ3357+BB3357+BD3357+BF3357+BH3357+BJ3357+BL3357+BN3357+BP3357+BR3357+BT3357+BV3357+BX3357+BZ3357+CB3357+CD3357+CF3357+CH3357+CJ3357+CL3357+CN3357+CP3357+CR3357+CT3357</f>
        <v>0</v>
      </c>
      <c r="CV3357" s="76"/>
      <c r="CW3357" s="76">
        <f>+CV3357*1100</f>
        <v>0</v>
      </c>
      <c r="CX3357" s="76"/>
      <c r="CY3357" s="76">
        <f>+CX3357*106250</f>
        <v>0</v>
      </c>
      <c r="CZ3357" s="76"/>
      <c r="DA3357" s="76">
        <f>+CZ3357*34500</f>
        <v>0</v>
      </c>
      <c r="DB3357" s="76"/>
      <c r="DC3357" s="76">
        <f>+DB3357*25000</f>
        <v>0</v>
      </c>
      <c r="DD3357" s="219"/>
      <c r="DE3357" s="219"/>
      <c r="DF3357" s="166"/>
      <c r="DG3357" s="116"/>
      <c r="DH3357" s="117"/>
      <c r="DI3357" s="24"/>
      <c r="DJ3357" s="24"/>
      <c r="DK3357" s="24"/>
      <c r="DL3357" s="24"/>
      <c r="DM3357" s="24"/>
      <c r="DN3357" s="24"/>
      <c r="DO3357" s="24"/>
      <c r="DP3357" s="24"/>
      <c r="DQ3357" s="24"/>
      <c r="DR3357" s="24"/>
      <c r="DS3357" s="24"/>
      <c r="DT3357" s="24"/>
      <c r="DU3357" s="24"/>
    </row>
    <row r="3358" spans="1:125" s="8" customFormat="1" ht="108" x14ac:dyDescent="0.2">
      <c r="A3358" s="77">
        <v>41559</v>
      </c>
      <c r="B3358" s="78" t="s">
        <v>506</v>
      </c>
      <c r="C3358" s="75" t="s">
        <v>1287</v>
      </c>
      <c r="D3358" s="75" t="s">
        <v>4391</v>
      </c>
      <c r="E3358" s="75" t="str">
        <f>VLOOKUP(B3358&amp;C3358,Divipola!$C$2:$F$1138,4,FALSE)</f>
        <v>50110</v>
      </c>
      <c r="F3358" s="87"/>
      <c r="G3358" s="87"/>
      <c r="H3358" s="87">
        <v>1</v>
      </c>
      <c r="I3358" s="87">
        <v>3</v>
      </c>
      <c r="J3358" s="87"/>
      <c r="K3358" s="87"/>
      <c r="L3358" s="87"/>
      <c r="M3358" s="87"/>
      <c r="N3358" s="87"/>
      <c r="O3358" s="87"/>
      <c r="P3358" s="87"/>
      <c r="Q3358" s="87"/>
      <c r="R3358" s="87"/>
      <c r="S3358" s="87"/>
      <c r="T3358" s="87"/>
      <c r="U3358" s="88"/>
      <c r="V3358" s="89"/>
      <c r="W3358" s="96">
        <v>0</v>
      </c>
      <c r="X3358" s="71">
        <f>CU3358</f>
        <v>0</v>
      </c>
      <c r="Y3358" s="71">
        <f>CY3358</f>
        <v>0</v>
      </c>
      <c r="Z3358" s="71">
        <f>DA3358+DC3358+DE3358</f>
        <v>0</v>
      </c>
      <c r="AA3358" s="71">
        <f>CW3358</f>
        <v>0</v>
      </c>
      <c r="AB3358" s="71"/>
      <c r="AC3358" s="71">
        <v>0</v>
      </c>
      <c r="AD3358" s="71">
        <f>W3358+X3358+Y3358+Z3358+AA3358+AB3358+AC3358</f>
        <v>0</v>
      </c>
      <c r="AE3358" s="72">
        <v>0</v>
      </c>
      <c r="AF3358" s="5"/>
      <c r="AG3358" s="6"/>
      <c r="AH3358" s="27"/>
      <c r="AI3358" s="44"/>
      <c r="AJ3358" s="26"/>
      <c r="AK3358" s="5"/>
      <c r="AL3358" s="268" t="s">
        <v>6306</v>
      </c>
      <c r="AM3358" s="76"/>
      <c r="AN3358" s="76"/>
      <c r="AO3358" s="76"/>
      <c r="AP3358" s="76"/>
      <c r="AQ3358" s="76"/>
      <c r="AR3358" s="76"/>
      <c r="AS3358" s="76"/>
      <c r="AT3358" s="76"/>
      <c r="AU3358" s="76"/>
      <c r="AV3358" s="76"/>
      <c r="AW3358" s="76"/>
      <c r="AX3358" s="76">
        <f>+AW3358*600000</f>
        <v>0</v>
      </c>
      <c r="AY3358" s="76"/>
      <c r="AZ3358" s="76">
        <f>+AY3358*70000</f>
        <v>0</v>
      </c>
      <c r="BA3358" s="76"/>
      <c r="BB3358" s="76"/>
      <c r="BC3358" s="76"/>
      <c r="BD3358" s="76">
        <f>+BC3358*30000</f>
        <v>0</v>
      </c>
      <c r="BE3358" s="76"/>
      <c r="BF3358" s="76"/>
      <c r="BG3358" s="76"/>
      <c r="BH3358" s="76"/>
      <c r="BI3358" s="76"/>
      <c r="BJ3358" s="76"/>
      <c r="BK3358" s="76"/>
      <c r="BL3358" s="76">
        <f>+BK3358*31500</f>
        <v>0</v>
      </c>
      <c r="BM3358" s="76"/>
      <c r="BN3358" s="76"/>
      <c r="BO3358" s="76"/>
      <c r="BP3358" s="76"/>
      <c r="BQ3358" s="76"/>
      <c r="BR3358" s="76"/>
      <c r="BS3358" s="76"/>
      <c r="BT3358" s="76"/>
      <c r="BU3358" s="76"/>
      <c r="BV3358" s="76"/>
      <c r="BW3358" s="76"/>
      <c r="BX3358" s="76"/>
      <c r="BY3358" s="76"/>
      <c r="BZ3358" s="76"/>
      <c r="CA3358" s="76"/>
      <c r="CB3358" s="76"/>
      <c r="CC3358" s="76"/>
      <c r="CD3358" s="76"/>
      <c r="CE3358" s="76"/>
      <c r="CF3358" s="76">
        <f>+CE3358*28000</f>
        <v>0</v>
      </c>
      <c r="CG3358" s="76"/>
      <c r="CH3358" s="76">
        <f>+CG3358*22500</f>
        <v>0</v>
      </c>
      <c r="CI3358" s="76"/>
      <c r="CJ3358" s="76">
        <f>+CI3358*26000</f>
        <v>0</v>
      </c>
      <c r="CK3358" s="76"/>
      <c r="CL3358" s="76"/>
      <c r="CM3358" s="76"/>
      <c r="CN3358" s="76">
        <f>+CM3358*22000</f>
        <v>0</v>
      </c>
      <c r="CO3358" s="76"/>
      <c r="CP3358" s="76">
        <f>+CO3358*46000</f>
        <v>0</v>
      </c>
      <c r="CQ3358" s="76"/>
      <c r="CR3358" s="76">
        <f>+CQ3358*49000</f>
        <v>0</v>
      </c>
      <c r="CS3358" s="76"/>
      <c r="CT3358" s="76"/>
      <c r="CU3358" s="56">
        <f>AN3358+AP3358+AR3358+AT3358+AV3358+AX3358+AZ3358+BB3358+BD3358+BF3358+BH3358+BJ3358+BL3358+BN3358+BP3358+BR3358+BT3358+BV3358+BX3358+BZ3358+CB3358+CD3358+CF3358+CH3358+CJ3358+CL3358+CN3358+CP3358+CR3358+CT3358</f>
        <v>0</v>
      </c>
      <c r="CV3358" s="76"/>
      <c r="CW3358" s="76">
        <f>+CV3358*1100</f>
        <v>0</v>
      </c>
      <c r="CX3358" s="76"/>
      <c r="CY3358" s="76">
        <f>+CX3358*106250</f>
        <v>0</v>
      </c>
      <c r="CZ3358" s="76"/>
      <c r="DA3358" s="76">
        <f>+CZ3358*34500</f>
        <v>0</v>
      </c>
      <c r="DB3358" s="76"/>
      <c r="DC3358" s="76">
        <f>+DB3358*25000</f>
        <v>0</v>
      </c>
      <c r="DD3358" s="219"/>
      <c r="DE3358" s="219"/>
      <c r="DF3358" s="166"/>
      <c r="DG3358" s="116"/>
      <c r="DH3358" s="117"/>
      <c r="DI3358" s="24"/>
      <c r="DJ3358" s="24"/>
      <c r="DK3358" s="24"/>
      <c r="DL3358" s="24"/>
      <c r="DM3358" s="24"/>
      <c r="DN3358" s="24"/>
      <c r="DO3358" s="24"/>
      <c r="DP3358" s="24"/>
      <c r="DQ3358" s="24"/>
      <c r="DR3358" s="24"/>
      <c r="DS3358" s="24"/>
      <c r="DT3358" s="24"/>
      <c r="DU3358" s="24"/>
    </row>
    <row r="3359" spans="1:125" s="8" customFormat="1" ht="84" x14ac:dyDescent="0.2">
      <c r="A3359" s="353">
        <v>41559</v>
      </c>
      <c r="B3359" s="352" t="s">
        <v>2811</v>
      </c>
      <c r="C3359" s="354" t="s">
        <v>498</v>
      </c>
      <c r="D3359" s="354" t="s">
        <v>2846</v>
      </c>
      <c r="E3359" s="75" t="str">
        <f>VLOOKUP(B3359&amp;C3359,Divipola!$C$2:$F$1138,4,FALSE)</f>
        <v>52233</v>
      </c>
      <c r="F3359" s="87"/>
      <c r="G3359" s="87"/>
      <c r="H3359" s="87"/>
      <c r="I3359" s="87"/>
      <c r="J3359" s="87"/>
      <c r="K3359" s="87"/>
      <c r="L3359" s="87"/>
      <c r="M3359" s="87"/>
      <c r="N3359" s="87"/>
      <c r="O3359" s="87"/>
      <c r="P3359" s="87"/>
      <c r="Q3359" s="87"/>
      <c r="R3359" s="87"/>
      <c r="S3359" s="87"/>
      <c r="T3359" s="87"/>
      <c r="U3359" s="88">
        <v>65</v>
      </c>
      <c r="V3359" s="89"/>
      <c r="W3359" s="96">
        <v>0</v>
      </c>
      <c r="X3359" s="71">
        <f>CU3359</f>
        <v>0</v>
      </c>
      <c r="Y3359" s="71">
        <f>CY3359</f>
        <v>0</v>
      </c>
      <c r="Z3359" s="71">
        <f>DA3359+DC3359+DE3359</f>
        <v>0</v>
      </c>
      <c r="AA3359" s="71">
        <f>CW3359</f>
        <v>0</v>
      </c>
      <c r="AB3359" s="71"/>
      <c r="AC3359" s="71">
        <v>0</v>
      </c>
      <c r="AD3359" s="71">
        <f>W3359+X3359+Y3359+Z3359+AA3359+AB3359+AC3359</f>
        <v>0</v>
      </c>
      <c r="AE3359" s="72">
        <v>0</v>
      </c>
      <c r="AF3359" s="5"/>
      <c r="AG3359" s="6"/>
      <c r="AH3359" s="27"/>
      <c r="AI3359" s="44"/>
      <c r="AJ3359" s="26"/>
      <c r="AK3359" s="5"/>
      <c r="AL3359" s="268" t="s">
        <v>6305</v>
      </c>
      <c r="AM3359" s="76"/>
      <c r="AN3359" s="76"/>
      <c r="AO3359" s="76"/>
      <c r="AP3359" s="76"/>
      <c r="AQ3359" s="76"/>
      <c r="AR3359" s="76"/>
      <c r="AS3359" s="76"/>
      <c r="AT3359" s="76"/>
      <c r="AU3359" s="76"/>
      <c r="AV3359" s="76"/>
      <c r="AW3359" s="76"/>
      <c r="AX3359" s="76">
        <f>+AW3359*600000</f>
        <v>0</v>
      </c>
      <c r="AY3359" s="76"/>
      <c r="AZ3359" s="76">
        <f>+AY3359*70000</f>
        <v>0</v>
      </c>
      <c r="BA3359" s="76"/>
      <c r="BB3359" s="76"/>
      <c r="BC3359" s="76"/>
      <c r="BD3359" s="76">
        <f>+BC3359*30000</f>
        <v>0</v>
      </c>
      <c r="BE3359" s="76"/>
      <c r="BF3359" s="76"/>
      <c r="BG3359" s="76"/>
      <c r="BH3359" s="76"/>
      <c r="BI3359" s="76"/>
      <c r="BJ3359" s="76"/>
      <c r="BK3359" s="76"/>
      <c r="BL3359" s="76">
        <f>+BK3359*31500</f>
        <v>0</v>
      </c>
      <c r="BM3359" s="76"/>
      <c r="BN3359" s="76"/>
      <c r="BO3359" s="76"/>
      <c r="BP3359" s="76"/>
      <c r="BQ3359" s="76"/>
      <c r="BR3359" s="76"/>
      <c r="BS3359" s="76"/>
      <c r="BT3359" s="76"/>
      <c r="BU3359" s="76"/>
      <c r="BV3359" s="76"/>
      <c r="BW3359" s="76"/>
      <c r="BX3359" s="76"/>
      <c r="BY3359" s="76"/>
      <c r="BZ3359" s="76"/>
      <c r="CA3359" s="76"/>
      <c r="CB3359" s="76"/>
      <c r="CC3359" s="76"/>
      <c r="CD3359" s="76"/>
      <c r="CE3359" s="76"/>
      <c r="CF3359" s="76">
        <f>+CE3359*28000</f>
        <v>0</v>
      </c>
      <c r="CG3359" s="76"/>
      <c r="CH3359" s="76">
        <f>+CG3359*22500</f>
        <v>0</v>
      </c>
      <c r="CI3359" s="76"/>
      <c r="CJ3359" s="76">
        <f>+CI3359*26000</f>
        <v>0</v>
      </c>
      <c r="CK3359" s="76"/>
      <c r="CL3359" s="76"/>
      <c r="CM3359" s="76"/>
      <c r="CN3359" s="76">
        <f>+CM3359*22000</f>
        <v>0</v>
      </c>
      <c r="CO3359" s="76"/>
      <c r="CP3359" s="76">
        <f>+CO3359*46000</f>
        <v>0</v>
      </c>
      <c r="CQ3359" s="76"/>
      <c r="CR3359" s="76">
        <f>+CQ3359*49000</f>
        <v>0</v>
      </c>
      <c r="CS3359" s="76"/>
      <c r="CT3359" s="76"/>
      <c r="CU3359" s="56">
        <f>AN3359+AP3359+AR3359+AT3359+AV3359+AX3359+AZ3359+BB3359+BD3359+BF3359+BH3359+BJ3359+BL3359+BN3359+BP3359+BR3359+BT3359+BV3359+BX3359+BZ3359+CB3359+CD3359+CF3359+CH3359+CJ3359+CL3359+CN3359+CP3359+CR3359+CT3359</f>
        <v>0</v>
      </c>
      <c r="CV3359" s="76"/>
      <c r="CW3359" s="76">
        <f>+CV3359*1100</f>
        <v>0</v>
      </c>
      <c r="CX3359" s="76"/>
      <c r="CY3359" s="76">
        <f>+CX3359*106250</f>
        <v>0</v>
      </c>
      <c r="CZ3359" s="76"/>
      <c r="DA3359" s="76">
        <f>+CZ3359*34500</f>
        <v>0</v>
      </c>
      <c r="DB3359" s="76"/>
      <c r="DC3359" s="76">
        <f>+DB3359*25000</f>
        <v>0</v>
      </c>
      <c r="DD3359" s="219"/>
      <c r="DE3359" s="219"/>
      <c r="DF3359" s="166"/>
      <c r="DG3359" s="116"/>
      <c r="DH3359" s="117"/>
      <c r="DI3359" s="24"/>
      <c r="DJ3359" s="24"/>
      <c r="DK3359" s="24"/>
      <c r="DL3359" s="24"/>
      <c r="DM3359" s="24"/>
      <c r="DN3359" s="24"/>
      <c r="DO3359" s="24"/>
      <c r="DP3359" s="24"/>
      <c r="DQ3359" s="24"/>
      <c r="DR3359" s="24"/>
      <c r="DS3359" s="24"/>
      <c r="DT3359" s="24"/>
      <c r="DU3359" s="24"/>
    </row>
    <row r="3360" spans="1:125" s="8" customFormat="1" ht="72" x14ac:dyDescent="0.2">
      <c r="A3360" s="77">
        <v>41559</v>
      </c>
      <c r="B3360" s="78" t="s">
        <v>2774</v>
      </c>
      <c r="C3360" s="75" t="s">
        <v>2790</v>
      </c>
      <c r="D3360" s="75" t="s">
        <v>2882</v>
      </c>
      <c r="E3360" s="75" t="str">
        <f>VLOOKUP(B3360&amp;C3360,Divipola!$C$2:$F$1138,4,FALSE)</f>
        <v>66682</v>
      </c>
      <c r="F3360" s="87"/>
      <c r="G3360" s="87"/>
      <c r="H3360" s="87"/>
      <c r="I3360" s="87">
        <v>260</v>
      </c>
      <c r="J3360" s="87">
        <v>52</v>
      </c>
      <c r="K3360" s="87"/>
      <c r="L3360" s="87">
        <v>52</v>
      </c>
      <c r="M3360" s="87"/>
      <c r="N3360" s="87"/>
      <c r="O3360" s="87"/>
      <c r="P3360" s="87"/>
      <c r="Q3360" s="87"/>
      <c r="R3360" s="87"/>
      <c r="S3360" s="87"/>
      <c r="T3360" s="87"/>
      <c r="U3360" s="88"/>
      <c r="V3360" s="89"/>
      <c r="W3360" s="96">
        <v>0</v>
      </c>
      <c r="X3360" s="71">
        <f>CU3360</f>
        <v>0</v>
      </c>
      <c r="Y3360" s="71">
        <f>CY3360</f>
        <v>0</v>
      </c>
      <c r="Z3360" s="71">
        <f>DA3360+DC3360+DE3360</f>
        <v>0</v>
      </c>
      <c r="AA3360" s="71">
        <f>CW3360</f>
        <v>0</v>
      </c>
      <c r="AB3360" s="71"/>
      <c r="AC3360" s="71">
        <v>0</v>
      </c>
      <c r="AD3360" s="71">
        <f>W3360+X3360+Y3360+Z3360+AA3360+AB3360+AC3360</f>
        <v>0</v>
      </c>
      <c r="AE3360" s="72">
        <v>0</v>
      </c>
      <c r="AF3360" s="5"/>
      <c r="AG3360" s="6"/>
      <c r="AH3360" s="27"/>
      <c r="AI3360" s="44"/>
      <c r="AJ3360" s="26"/>
      <c r="AK3360" s="5"/>
      <c r="AL3360" s="268" t="s">
        <v>6309</v>
      </c>
      <c r="AM3360" s="76"/>
      <c r="AN3360" s="76"/>
      <c r="AO3360" s="76"/>
      <c r="AP3360" s="76"/>
      <c r="AQ3360" s="76"/>
      <c r="AR3360" s="76"/>
      <c r="AS3360" s="76"/>
      <c r="AT3360" s="76"/>
      <c r="AU3360" s="76"/>
      <c r="AV3360" s="76"/>
      <c r="AW3360" s="76"/>
      <c r="AX3360" s="76">
        <f>+AW3360*600000</f>
        <v>0</v>
      </c>
      <c r="AY3360" s="76"/>
      <c r="AZ3360" s="76">
        <f>+AY3360*70000</f>
        <v>0</v>
      </c>
      <c r="BA3360" s="76"/>
      <c r="BB3360" s="76"/>
      <c r="BC3360" s="76"/>
      <c r="BD3360" s="76">
        <f>+BC3360*30000</f>
        <v>0</v>
      </c>
      <c r="BE3360" s="76"/>
      <c r="BF3360" s="76"/>
      <c r="BG3360" s="76"/>
      <c r="BH3360" s="76"/>
      <c r="BI3360" s="76"/>
      <c r="BJ3360" s="76"/>
      <c r="BK3360" s="76"/>
      <c r="BL3360" s="76">
        <f>+BK3360*31500</f>
        <v>0</v>
      </c>
      <c r="BM3360" s="76"/>
      <c r="BN3360" s="76"/>
      <c r="BO3360" s="76"/>
      <c r="BP3360" s="76"/>
      <c r="BQ3360" s="76"/>
      <c r="BR3360" s="76"/>
      <c r="BS3360" s="76"/>
      <c r="BT3360" s="76"/>
      <c r="BU3360" s="76"/>
      <c r="BV3360" s="76"/>
      <c r="BW3360" s="76"/>
      <c r="BX3360" s="76"/>
      <c r="BY3360" s="76"/>
      <c r="BZ3360" s="76"/>
      <c r="CA3360" s="76"/>
      <c r="CB3360" s="76"/>
      <c r="CC3360" s="76"/>
      <c r="CD3360" s="76"/>
      <c r="CE3360" s="76"/>
      <c r="CF3360" s="76">
        <f>+CE3360*28000</f>
        <v>0</v>
      </c>
      <c r="CG3360" s="76"/>
      <c r="CH3360" s="76">
        <f>+CG3360*22500</f>
        <v>0</v>
      </c>
      <c r="CI3360" s="76"/>
      <c r="CJ3360" s="76">
        <f>+CI3360*26000</f>
        <v>0</v>
      </c>
      <c r="CK3360" s="76"/>
      <c r="CL3360" s="76"/>
      <c r="CM3360" s="76"/>
      <c r="CN3360" s="76">
        <f>+CM3360*22000</f>
        <v>0</v>
      </c>
      <c r="CO3360" s="76"/>
      <c r="CP3360" s="76">
        <f>+CO3360*46000</f>
        <v>0</v>
      </c>
      <c r="CQ3360" s="76"/>
      <c r="CR3360" s="76">
        <f>+CQ3360*49000</f>
        <v>0</v>
      </c>
      <c r="CS3360" s="76"/>
      <c r="CT3360" s="76"/>
      <c r="CU3360" s="56">
        <f>AN3360+AP3360+AR3360+AT3360+AV3360+AX3360+AZ3360+BB3360+BD3360+BF3360+BH3360+BJ3360+BL3360+BN3360+BP3360+BR3360+BT3360+BV3360+BX3360+BZ3360+CB3360+CD3360+CF3360+CH3360+CJ3360+CL3360+CN3360+CP3360+CR3360+CT3360</f>
        <v>0</v>
      </c>
      <c r="CV3360" s="76"/>
      <c r="CW3360" s="76">
        <f>+CV3360*1100</f>
        <v>0</v>
      </c>
      <c r="CX3360" s="76"/>
      <c r="CY3360" s="76">
        <f>+CX3360*106250</f>
        <v>0</v>
      </c>
      <c r="CZ3360" s="76"/>
      <c r="DA3360" s="76">
        <f>+CZ3360*34500</f>
        <v>0</v>
      </c>
      <c r="DB3360" s="76"/>
      <c r="DC3360" s="76">
        <f>+DB3360*25000</f>
        <v>0</v>
      </c>
      <c r="DD3360" s="219"/>
      <c r="DE3360" s="219"/>
      <c r="DF3360" s="166"/>
      <c r="DG3360" s="116"/>
      <c r="DH3360" s="117"/>
      <c r="DI3360" s="24"/>
      <c r="DJ3360" s="24"/>
      <c r="DK3360" s="24"/>
      <c r="DL3360" s="24"/>
      <c r="DM3360" s="24"/>
      <c r="DN3360" s="24"/>
      <c r="DO3360" s="24"/>
      <c r="DP3360" s="24"/>
      <c r="DQ3360" s="24"/>
      <c r="DR3360" s="24"/>
      <c r="DS3360" s="24"/>
      <c r="DT3360" s="24"/>
      <c r="DU3360" s="24"/>
    </row>
    <row r="3361" spans="1:125" s="8" customFormat="1" ht="84" x14ac:dyDescent="0.2">
      <c r="A3361" s="353">
        <v>41559</v>
      </c>
      <c r="B3361" s="352" t="s">
        <v>2848</v>
      </c>
      <c r="C3361" s="354" t="s">
        <v>2755</v>
      </c>
      <c r="D3361" s="354" t="s">
        <v>3051</v>
      </c>
      <c r="E3361" s="75" t="str">
        <f>VLOOKUP(B3361&amp;C3361,Divipola!$C$2:$F$1138,4,FALSE)</f>
        <v>73001</v>
      </c>
      <c r="F3361" s="87"/>
      <c r="G3361" s="87"/>
      <c r="H3361" s="87"/>
      <c r="I3361" s="87">
        <v>10</v>
      </c>
      <c r="J3361" s="87">
        <v>2</v>
      </c>
      <c r="K3361" s="87"/>
      <c r="L3361" s="87">
        <v>2</v>
      </c>
      <c r="M3361" s="87"/>
      <c r="N3361" s="87"/>
      <c r="O3361" s="87"/>
      <c r="P3361" s="87"/>
      <c r="Q3361" s="87">
        <v>1</v>
      </c>
      <c r="R3361" s="87">
        <v>1</v>
      </c>
      <c r="S3361" s="87">
        <v>1</v>
      </c>
      <c r="T3361" s="87"/>
      <c r="U3361" s="88"/>
      <c r="V3361" s="89"/>
      <c r="W3361" s="96">
        <v>0</v>
      </c>
      <c r="X3361" s="71">
        <f>CU3361</f>
        <v>0</v>
      </c>
      <c r="Y3361" s="71">
        <f>CY3361</f>
        <v>0</v>
      </c>
      <c r="Z3361" s="71">
        <f>DA3361+DC3361+DE3361</f>
        <v>0</v>
      </c>
      <c r="AA3361" s="71">
        <f>CW3361</f>
        <v>0</v>
      </c>
      <c r="AB3361" s="71"/>
      <c r="AC3361" s="71">
        <v>0</v>
      </c>
      <c r="AD3361" s="71">
        <f>W3361+X3361+Y3361+Z3361+AA3361+AB3361+AC3361</f>
        <v>0</v>
      </c>
      <c r="AE3361" s="72">
        <v>0</v>
      </c>
      <c r="AF3361" s="5"/>
      <c r="AG3361" s="6"/>
      <c r="AH3361" s="27"/>
      <c r="AI3361" s="44"/>
      <c r="AJ3361" s="26"/>
      <c r="AK3361" s="5"/>
      <c r="AL3361" s="82" t="s">
        <v>6312</v>
      </c>
      <c r="AM3361" s="76"/>
      <c r="AN3361" s="76"/>
      <c r="AO3361" s="76"/>
      <c r="AP3361" s="76"/>
      <c r="AQ3361" s="76"/>
      <c r="AR3361" s="76"/>
      <c r="AS3361" s="76"/>
      <c r="AT3361" s="76"/>
      <c r="AU3361" s="76"/>
      <c r="AV3361" s="76"/>
      <c r="AW3361" s="76"/>
      <c r="AX3361" s="76">
        <f>+AW3361*600000</f>
        <v>0</v>
      </c>
      <c r="AY3361" s="76"/>
      <c r="AZ3361" s="76">
        <f>+AY3361*70000</f>
        <v>0</v>
      </c>
      <c r="BA3361" s="76"/>
      <c r="BB3361" s="76"/>
      <c r="BC3361" s="76"/>
      <c r="BD3361" s="76">
        <f>+BC3361*30000</f>
        <v>0</v>
      </c>
      <c r="BE3361" s="76"/>
      <c r="BF3361" s="76"/>
      <c r="BG3361" s="76"/>
      <c r="BH3361" s="76"/>
      <c r="BI3361" s="76"/>
      <c r="BJ3361" s="76"/>
      <c r="BK3361" s="76"/>
      <c r="BL3361" s="76">
        <f>+BK3361*31500</f>
        <v>0</v>
      </c>
      <c r="BM3361" s="76"/>
      <c r="BN3361" s="76"/>
      <c r="BO3361" s="76"/>
      <c r="BP3361" s="76"/>
      <c r="BQ3361" s="76"/>
      <c r="BR3361" s="76"/>
      <c r="BS3361" s="76"/>
      <c r="BT3361" s="76"/>
      <c r="BU3361" s="76"/>
      <c r="BV3361" s="76"/>
      <c r="BW3361" s="76"/>
      <c r="BX3361" s="76"/>
      <c r="BY3361" s="76"/>
      <c r="BZ3361" s="76"/>
      <c r="CA3361" s="76"/>
      <c r="CB3361" s="76"/>
      <c r="CC3361" s="76"/>
      <c r="CD3361" s="76"/>
      <c r="CE3361" s="76"/>
      <c r="CF3361" s="76">
        <f>+CE3361*28000</f>
        <v>0</v>
      </c>
      <c r="CG3361" s="76"/>
      <c r="CH3361" s="76">
        <f>+CG3361*22500</f>
        <v>0</v>
      </c>
      <c r="CI3361" s="76"/>
      <c r="CJ3361" s="76">
        <f>+CI3361*26000</f>
        <v>0</v>
      </c>
      <c r="CK3361" s="76"/>
      <c r="CL3361" s="76"/>
      <c r="CM3361" s="76"/>
      <c r="CN3361" s="76">
        <f>+CM3361*22000</f>
        <v>0</v>
      </c>
      <c r="CO3361" s="76"/>
      <c r="CP3361" s="76">
        <f>+CO3361*46000</f>
        <v>0</v>
      </c>
      <c r="CQ3361" s="76"/>
      <c r="CR3361" s="76">
        <f>+CQ3361*49000</f>
        <v>0</v>
      </c>
      <c r="CS3361" s="76"/>
      <c r="CT3361" s="76"/>
      <c r="CU3361" s="56">
        <f>AN3361+AP3361+AR3361+AT3361+AV3361+AX3361+AZ3361+BB3361+BD3361+BF3361+BH3361+BJ3361+BL3361+BN3361+BP3361+BR3361+BT3361+BV3361+BX3361+BZ3361+CB3361+CD3361+CF3361+CH3361+CJ3361+CL3361+CN3361+CP3361+CR3361+CT3361</f>
        <v>0</v>
      </c>
      <c r="CV3361" s="76"/>
      <c r="CW3361" s="76">
        <f>+CV3361*1100</f>
        <v>0</v>
      </c>
      <c r="CX3361" s="76"/>
      <c r="CY3361" s="76">
        <f>+CX3361*106250</f>
        <v>0</v>
      </c>
      <c r="CZ3361" s="76"/>
      <c r="DA3361" s="76">
        <f>+CZ3361*34500</f>
        <v>0</v>
      </c>
      <c r="DB3361" s="76"/>
      <c r="DC3361" s="76">
        <f>+DB3361*25000</f>
        <v>0</v>
      </c>
      <c r="DD3361" s="219"/>
      <c r="DE3361" s="219"/>
      <c r="DF3361" s="166"/>
      <c r="DG3361" s="116"/>
      <c r="DH3361" s="117"/>
      <c r="DI3361" s="24"/>
      <c r="DJ3361" s="24"/>
      <c r="DK3361" s="24"/>
      <c r="DL3361" s="24"/>
      <c r="DM3361" s="24"/>
      <c r="DN3361" s="24"/>
      <c r="DO3361" s="24"/>
      <c r="DP3361" s="24"/>
      <c r="DQ3361" s="24"/>
      <c r="DR3361" s="24"/>
      <c r="DS3361" s="24"/>
      <c r="DT3361" s="24"/>
      <c r="DU3361" s="24"/>
    </row>
    <row r="3362" spans="1:125" s="8" customFormat="1" ht="60" x14ac:dyDescent="0.2">
      <c r="A3362" s="353">
        <v>41559</v>
      </c>
      <c r="B3362" s="352" t="s">
        <v>2848</v>
      </c>
      <c r="C3362" s="354" t="s">
        <v>1257</v>
      </c>
      <c r="D3362" s="354" t="s">
        <v>2846</v>
      </c>
      <c r="E3362" s="75" t="str">
        <f>VLOOKUP(B3362&amp;C3362,Divipola!$C$2:$F$1138,4,FALSE)</f>
        <v>73547</v>
      </c>
      <c r="F3362" s="87"/>
      <c r="G3362" s="87"/>
      <c r="H3362" s="87"/>
      <c r="I3362" s="87"/>
      <c r="J3362" s="87"/>
      <c r="K3362" s="87"/>
      <c r="L3362" s="87"/>
      <c r="M3362" s="87"/>
      <c r="N3362" s="87"/>
      <c r="O3362" s="87"/>
      <c r="P3362" s="87"/>
      <c r="Q3362" s="87"/>
      <c r="R3362" s="87"/>
      <c r="S3362" s="87"/>
      <c r="T3362" s="87"/>
      <c r="U3362" s="88"/>
      <c r="V3362" s="89"/>
      <c r="W3362" s="96">
        <v>0</v>
      </c>
      <c r="X3362" s="71">
        <f>CU3362</f>
        <v>0</v>
      </c>
      <c r="Y3362" s="71">
        <f>CY3362</f>
        <v>0</v>
      </c>
      <c r="Z3362" s="71">
        <f>DA3362+DC3362+DE3362</f>
        <v>0</v>
      </c>
      <c r="AA3362" s="71">
        <f>CW3362</f>
        <v>0</v>
      </c>
      <c r="AB3362" s="71"/>
      <c r="AC3362" s="71">
        <v>0</v>
      </c>
      <c r="AD3362" s="71">
        <f>W3362+X3362+Y3362+Z3362+AA3362+AB3362+AC3362</f>
        <v>0</v>
      </c>
      <c r="AE3362" s="72">
        <v>0</v>
      </c>
      <c r="AF3362" s="5"/>
      <c r="AG3362" s="6"/>
      <c r="AH3362" s="27"/>
      <c r="AI3362" s="44"/>
      <c r="AJ3362" s="26"/>
      <c r="AK3362" s="5"/>
      <c r="AL3362" s="82" t="s">
        <v>6311</v>
      </c>
      <c r="AM3362" s="76"/>
      <c r="AN3362" s="76"/>
      <c r="AO3362" s="76"/>
      <c r="AP3362" s="76"/>
      <c r="AQ3362" s="76"/>
      <c r="AR3362" s="76"/>
      <c r="AS3362" s="76"/>
      <c r="AT3362" s="76"/>
      <c r="AU3362" s="76"/>
      <c r="AV3362" s="76"/>
      <c r="AW3362" s="76"/>
      <c r="AX3362" s="76">
        <f>+AW3362*600000</f>
        <v>0</v>
      </c>
      <c r="AY3362" s="76"/>
      <c r="AZ3362" s="76">
        <f>+AY3362*70000</f>
        <v>0</v>
      </c>
      <c r="BA3362" s="76"/>
      <c r="BB3362" s="76"/>
      <c r="BC3362" s="76"/>
      <c r="BD3362" s="76">
        <f>+BC3362*30000</f>
        <v>0</v>
      </c>
      <c r="BE3362" s="76"/>
      <c r="BF3362" s="76"/>
      <c r="BG3362" s="76"/>
      <c r="BH3362" s="76"/>
      <c r="BI3362" s="76"/>
      <c r="BJ3362" s="76"/>
      <c r="BK3362" s="76"/>
      <c r="BL3362" s="76">
        <f>+BK3362*31500</f>
        <v>0</v>
      </c>
      <c r="BM3362" s="76"/>
      <c r="BN3362" s="76"/>
      <c r="BO3362" s="76"/>
      <c r="BP3362" s="76"/>
      <c r="BQ3362" s="76"/>
      <c r="BR3362" s="76"/>
      <c r="BS3362" s="76"/>
      <c r="BT3362" s="76"/>
      <c r="BU3362" s="76"/>
      <c r="BV3362" s="76"/>
      <c r="BW3362" s="76"/>
      <c r="BX3362" s="76"/>
      <c r="BY3362" s="76"/>
      <c r="BZ3362" s="76"/>
      <c r="CA3362" s="76"/>
      <c r="CB3362" s="76"/>
      <c r="CC3362" s="76"/>
      <c r="CD3362" s="76"/>
      <c r="CE3362" s="76"/>
      <c r="CF3362" s="76">
        <f>+CE3362*28000</f>
        <v>0</v>
      </c>
      <c r="CG3362" s="76"/>
      <c r="CH3362" s="76">
        <f>+CG3362*22500</f>
        <v>0</v>
      </c>
      <c r="CI3362" s="76"/>
      <c r="CJ3362" s="76">
        <f>+CI3362*26000</f>
        <v>0</v>
      </c>
      <c r="CK3362" s="76"/>
      <c r="CL3362" s="76"/>
      <c r="CM3362" s="76"/>
      <c r="CN3362" s="76">
        <f>+CM3362*22000</f>
        <v>0</v>
      </c>
      <c r="CO3362" s="76"/>
      <c r="CP3362" s="76">
        <f>+CO3362*46000</f>
        <v>0</v>
      </c>
      <c r="CQ3362" s="76"/>
      <c r="CR3362" s="76">
        <f>+CQ3362*49000</f>
        <v>0</v>
      </c>
      <c r="CS3362" s="76"/>
      <c r="CT3362" s="76"/>
      <c r="CU3362" s="56">
        <f>AN3362+AP3362+AR3362+AT3362+AV3362+AX3362+AZ3362+BB3362+BD3362+BF3362+BH3362+BJ3362+BL3362+BN3362+BP3362+BR3362+BT3362+BV3362+BX3362+BZ3362+CB3362+CD3362+CF3362+CH3362+CJ3362+CL3362+CN3362+CP3362+CR3362+CT3362</f>
        <v>0</v>
      </c>
      <c r="CV3362" s="76"/>
      <c r="CW3362" s="76">
        <f>+CV3362*1100</f>
        <v>0</v>
      </c>
      <c r="CX3362" s="76"/>
      <c r="CY3362" s="76">
        <f>+CX3362*106250</f>
        <v>0</v>
      </c>
      <c r="CZ3362" s="76"/>
      <c r="DA3362" s="76">
        <f>+CZ3362*34500</f>
        <v>0</v>
      </c>
      <c r="DB3362" s="76"/>
      <c r="DC3362" s="76">
        <f>+DB3362*25000</f>
        <v>0</v>
      </c>
      <c r="DD3362" s="219"/>
      <c r="DE3362" s="219"/>
      <c r="DF3362" s="166"/>
      <c r="DG3362" s="116"/>
      <c r="DH3362" s="117"/>
      <c r="DI3362" s="24"/>
      <c r="DJ3362" s="24"/>
      <c r="DK3362" s="24"/>
      <c r="DL3362" s="24"/>
      <c r="DM3362" s="24"/>
      <c r="DN3362" s="24"/>
      <c r="DO3362" s="24"/>
      <c r="DP3362" s="24"/>
      <c r="DQ3362" s="24"/>
      <c r="DR3362" s="24"/>
      <c r="DS3362" s="24"/>
      <c r="DT3362" s="24"/>
      <c r="DU3362" s="24"/>
    </row>
    <row r="3363" spans="1:125" s="8" customFormat="1" ht="36" x14ac:dyDescent="0.2">
      <c r="A3363" s="77">
        <v>41559</v>
      </c>
      <c r="B3363" s="208" t="s">
        <v>2851</v>
      </c>
      <c r="C3363" s="354" t="s">
        <v>1939</v>
      </c>
      <c r="D3363" s="354" t="s">
        <v>2882</v>
      </c>
      <c r="E3363" s="75" t="str">
        <f>VLOOKUP(B3363&amp;C3363,Divipola!$C$2:$F$1138,4,FALSE)</f>
        <v>76126</v>
      </c>
      <c r="F3363" s="87"/>
      <c r="G3363" s="87"/>
      <c r="H3363" s="87"/>
      <c r="I3363" s="87">
        <v>405</v>
      </c>
      <c r="J3363" s="87">
        <v>81</v>
      </c>
      <c r="K3363" s="87"/>
      <c r="L3363" s="87">
        <v>81</v>
      </c>
      <c r="M3363" s="87"/>
      <c r="N3363" s="87"/>
      <c r="O3363" s="87"/>
      <c r="P3363" s="87"/>
      <c r="Q3363" s="87"/>
      <c r="R3363" s="87"/>
      <c r="S3363" s="87"/>
      <c r="T3363" s="87"/>
      <c r="U3363" s="88"/>
      <c r="V3363" s="89"/>
      <c r="W3363" s="96">
        <v>0</v>
      </c>
      <c r="X3363" s="71">
        <f>CU3363</f>
        <v>0</v>
      </c>
      <c r="Y3363" s="71">
        <f>CY3363</f>
        <v>0</v>
      </c>
      <c r="Z3363" s="71">
        <f>DA3363+DC3363+DE3363</f>
        <v>0</v>
      </c>
      <c r="AA3363" s="71">
        <f>CW3363</f>
        <v>0</v>
      </c>
      <c r="AB3363" s="71"/>
      <c r="AC3363" s="71">
        <v>0</v>
      </c>
      <c r="AD3363" s="71">
        <f>W3363+X3363+Y3363+Z3363+AA3363+AB3363+AC3363</f>
        <v>0</v>
      </c>
      <c r="AE3363" s="72">
        <v>0</v>
      </c>
      <c r="AF3363" s="5"/>
      <c r="AG3363" s="6"/>
      <c r="AH3363" s="27"/>
      <c r="AI3363" s="44"/>
      <c r="AJ3363" s="26"/>
      <c r="AK3363" s="5"/>
      <c r="AL3363" s="82" t="s">
        <v>6304</v>
      </c>
      <c r="AM3363" s="76"/>
      <c r="AN3363" s="76"/>
      <c r="AO3363" s="76"/>
      <c r="AP3363" s="76"/>
      <c r="AQ3363" s="76"/>
      <c r="AR3363" s="76"/>
      <c r="AS3363" s="76"/>
      <c r="AT3363" s="76"/>
      <c r="AU3363" s="76"/>
      <c r="AV3363" s="76"/>
      <c r="AW3363" s="76"/>
      <c r="AX3363" s="76">
        <f>+AW3363*600000</f>
        <v>0</v>
      </c>
      <c r="AY3363" s="76"/>
      <c r="AZ3363" s="76">
        <f>+AY3363*70000</f>
        <v>0</v>
      </c>
      <c r="BA3363" s="76"/>
      <c r="BB3363" s="76"/>
      <c r="BC3363" s="76"/>
      <c r="BD3363" s="76">
        <f>+BC3363*30000</f>
        <v>0</v>
      </c>
      <c r="BE3363" s="76"/>
      <c r="BF3363" s="76"/>
      <c r="BG3363" s="76"/>
      <c r="BH3363" s="76"/>
      <c r="BI3363" s="76"/>
      <c r="BJ3363" s="76"/>
      <c r="BK3363" s="76"/>
      <c r="BL3363" s="76">
        <f>+BK3363*31500</f>
        <v>0</v>
      </c>
      <c r="BM3363" s="76"/>
      <c r="BN3363" s="76"/>
      <c r="BO3363" s="76"/>
      <c r="BP3363" s="76"/>
      <c r="BQ3363" s="76"/>
      <c r="BR3363" s="76"/>
      <c r="BS3363" s="76"/>
      <c r="BT3363" s="76"/>
      <c r="BU3363" s="76"/>
      <c r="BV3363" s="76"/>
      <c r="BW3363" s="76"/>
      <c r="BX3363" s="76"/>
      <c r="BY3363" s="76"/>
      <c r="BZ3363" s="76"/>
      <c r="CA3363" s="76"/>
      <c r="CB3363" s="76"/>
      <c r="CC3363" s="76"/>
      <c r="CD3363" s="76"/>
      <c r="CE3363" s="76"/>
      <c r="CF3363" s="76">
        <f>+CE3363*28000</f>
        <v>0</v>
      </c>
      <c r="CG3363" s="76"/>
      <c r="CH3363" s="76">
        <f>+CG3363*22500</f>
        <v>0</v>
      </c>
      <c r="CI3363" s="76"/>
      <c r="CJ3363" s="76">
        <f>+CI3363*26000</f>
        <v>0</v>
      </c>
      <c r="CK3363" s="76"/>
      <c r="CL3363" s="76"/>
      <c r="CM3363" s="76"/>
      <c r="CN3363" s="76">
        <f>+CM3363*22000</f>
        <v>0</v>
      </c>
      <c r="CO3363" s="76"/>
      <c r="CP3363" s="76">
        <f>+CO3363*46000</f>
        <v>0</v>
      </c>
      <c r="CQ3363" s="76"/>
      <c r="CR3363" s="76">
        <f>+CQ3363*49000</f>
        <v>0</v>
      </c>
      <c r="CS3363" s="76"/>
      <c r="CT3363" s="76"/>
      <c r="CU3363" s="56">
        <f>AN3363+AP3363+AR3363+AT3363+AV3363+AX3363+AZ3363+BB3363+BD3363+BF3363+BH3363+BJ3363+BL3363+BN3363+BP3363+BR3363+BT3363+BV3363+BX3363+BZ3363+CB3363+CD3363+CF3363+CH3363+CJ3363+CL3363+CN3363+CP3363+CR3363+CT3363</f>
        <v>0</v>
      </c>
      <c r="CV3363" s="76"/>
      <c r="CW3363" s="76">
        <f>+CV3363*1100</f>
        <v>0</v>
      </c>
      <c r="CX3363" s="76"/>
      <c r="CY3363" s="76">
        <f>+CX3363*106250</f>
        <v>0</v>
      </c>
      <c r="CZ3363" s="76"/>
      <c r="DA3363" s="76">
        <f>+CZ3363*34500</f>
        <v>0</v>
      </c>
      <c r="DB3363" s="76"/>
      <c r="DC3363" s="76">
        <f>+DB3363*25000</f>
        <v>0</v>
      </c>
      <c r="DD3363" s="219"/>
      <c r="DE3363" s="219"/>
      <c r="DF3363" s="166"/>
      <c r="DG3363" s="116"/>
      <c r="DH3363" s="117"/>
      <c r="DI3363" s="24"/>
      <c r="DJ3363" s="24"/>
      <c r="DK3363" s="24"/>
      <c r="DL3363" s="24"/>
      <c r="DM3363" s="24"/>
      <c r="DN3363" s="24"/>
      <c r="DO3363" s="24"/>
      <c r="DP3363" s="24"/>
      <c r="DQ3363" s="24"/>
      <c r="DR3363" s="24"/>
      <c r="DS3363" s="24"/>
      <c r="DT3363" s="24"/>
      <c r="DU3363" s="24"/>
    </row>
    <row r="3364" spans="1:125" s="8" customFormat="1" ht="409.5" x14ac:dyDescent="0.2">
      <c r="A3364" s="353">
        <v>41560</v>
      </c>
      <c r="B3364" s="352" t="s">
        <v>2894</v>
      </c>
      <c r="C3364" s="354" t="s">
        <v>2032</v>
      </c>
      <c r="D3364" s="354" t="s">
        <v>3017</v>
      </c>
      <c r="E3364" s="75" t="str">
        <f>VLOOKUP(B3364&amp;C3364,Divipola!$C$2:$F$1138,4,FALSE)</f>
        <v>05001</v>
      </c>
      <c r="F3364" s="89">
        <v>11</v>
      </c>
      <c r="G3364" s="89">
        <v>2</v>
      </c>
      <c r="H3364" s="89"/>
      <c r="I3364" s="89">
        <v>525</v>
      </c>
      <c r="J3364" s="89">
        <v>151</v>
      </c>
      <c r="K3364" s="87"/>
      <c r="L3364" s="87"/>
      <c r="M3364" s="87"/>
      <c r="N3364" s="87"/>
      <c r="O3364" s="87"/>
      <c r="P3364" s="87"/>
      <c r="Q3364" s="87"/>
      <c r="R3364" s="87"/>
      <c r="S3364" s="87"/>
      <c r="T3364" s="87"/>
      <c r="U3364" s="88"/>
      <c r="V3364" s="89">
        <v>2</v>
      </c>
      <c r="W3364" s="96">
        <v>0</v>
      </c>
      <c r="X3364" s="71">
        <f>CU3364</f>
        <v>0</v>
      </c>
      <c r="Y3364" s="71">
        <f>CY3364</f>
        <v>0</v>
      </c>
      <c r="Z3364" s="71">
        <f>DA3364+DC3364+DE3364</f>
        <v>0</v>
      </c>
      <c r="AA3364" s="71">
        <f>CW3364</f>
        <v>0</v>
      </c>
      <c r="AB3364" s="71"/>
      <c r="AC3364" s="71">
        <f>50000000+200000000</f>
        <v>250000000</v>
      </c>
      <c r="AD3364" s="71">
        <f>W3364+X3364+Y3364+Z3364+AA3364+AB3364+AC3364</f>
        <v>250000000</v>
      </c>
      <c r="AE3364" s="72">
        <v>0</v>
      </c>
      <c r="AF3364" s="5"/>
      <c r="AG3364" s="6"/>
      <c r="AH3364" s="27"/>
      <c r="AI3364" s="44"/>
      <c r="AJ3364" s="26"/>
      <c r="AK3364" s="5"/>
      <c r="AL3364" s="82" t="s">
        <v>6444</v>
      </c>
      <c r="AM3364" s="76"/>
      <c r="AN3364" s="76"/>
      <c r="AO3364" s="76"/>
      <c r="AP3364" s="76"/>
      <c r="AQ3364" s="76"/>
      <c r="AR3364" s="76"/>
      <c r="AS3364" s="76"/>
      <c r="AT3364" s="76"/>
      <c r="AU3364" s="76"/>
      <c r="AV3364" s="76"/>
      <c r="AW3364" s="76"/>
      <c r="AX3364" s="76">
        <f>+AW3364*600000</f>
        <v>0</v>
      </c>
      <c r="AY3364" s="76"/>
      <c r="AZ3364" s="76">
        <f>+AY3364*70000</f>
        <v>0</v>
      </c>
      <c r="BA3364" s="76"/>
      <c r="BB3364" s="76"/>
      <c r="BC3364" s="76"/>
      <c r="BD3364" s="76">
        <f>+BC3364*30000</f>
        <v>0</v>
      </c>
      <c r="BE3364" s="76"/>
      <c r="BF3364" s="76"/>
      <c r="BG3364" s="76"/>
      <c r="BH3364" s="76"/>
      <c r="BI3364" s="76"/>
      <c r="BJ3364" s="76"/>
      <c r="BK3364" s="76"/>
      <c r="BL3364" s="76">
        <f>+BK3364*31500</f>
        <v>0</v>
      </c>
      <c r="BM3364" s="76"/>
      <c r="BN3364" s="76"/>
      <c r="BO3364" s="76"/>
      <c r="BP3364" s="76"/>
      <c r="BQ3364" s="76"/>
      <c r="BR3364" s="76"/>
      <c r="BS3364" s="76"/>
      <c r="BT3364" s="76"/>
      <c r="BU3364" s="76"/>
      <c r="BV3364" s="76"/>
      <c r="BW3364" s="76"/>
      <c r="BX3364" s="76"/>
      <c r="BY3364" s="76"/>
      <c r="BZ3364" s="76"/>
      <c r="CA3364" s="76"/>
      <c r="CB3364" s="76"/>
      <c r="CC3364" s="76"/>
      <c r="CD3364" s="76"/>
      <c r="CE3364" s="76"/>
      <c r="CF3364" s="76">
        <f>+CE3364*28000</f>
        <v>0</v>
      </c>
      <c r="CG3364" s="76"/>
      <c r="CH3364" s="76">
        <f>+CG3364*22500</f>
        <v>0</v>
      </c>
      <c r="CI3364" s="76"/>
      <c r="CJ3364" s="76">
        <f>+CI3364*26000</f>
        <v>0</v>
      </c>
      <c r="CK3364" s="76"/>
      <c r="CL3364" s="76"/>
      <c r="CM3364" s="76"/>
      <c r="CN3364" s="76">
        <f>+CM3364*22000</f>
        <v>0</v>
      </c>
      <c r="CO3364" s="76"/>
      <c r="CP3364" s="76">
        <f>+CO3364*46000</f>
        <v>0</v>
      </c>
      <c r="CQ3364" s="76"/>
      <c r="CR3364" s="76">
        <f>+CQ3364*49000</f>
        <v>0</v>
      </c>
      <c r="CS3364" s="76"/>
      <c r="CT3364" s="76"/>
      <c r="CU3364" s="56">
        <f>AN3364+AP3364+AR3364+AT3364+AV3364+AX3364+AZ3364+BB3364+BD3364+BF3364+BH3364+BJ3364+BL3364+BN3364+BP3364+BR3364+BT3364+BV3364+BX3364+BZ3364+CB3364+CD3364+CF3364+CH3364+CJ3364+CL3364+CN3364+CP3364+CR3364+CT3364</f>
        <v>0</v>
      </c>
      <c r="CV3364" s="76"/>
      <c r="CW3364" s="76">
        <f>+CV3364*1100</f>
        <v>0</v>
      </c>
      <c r="CX3364" s="76"/>
      <c r="CY3364" s="76">
        <f>+CX3364*106250</f>
        <v>0</v>
      </c>
      <c r="CZ3364" s="76"/>
      <c r="DA3364" s="76">
        <f>+CZ3364*34500</f>
        <v>0</v>
      </c>
      <c r="DB3364" s="76"/>
      <c r="DC3364" s="76">
        <f>+DB3364*25000</f>
        <v>0</v>
      </c>
      <c r="DD3364" s="219"/>
      <c r="DE3364" s="219"/>
      <c r="DF3364" s="166"/>
      <c r="DG3364" s="116"/>
      <c r="DH3364" s="117"/>
      <c r="DI3364" s="24"/>
      <c r="DJ3364" s="24"/>
      <c r="DK3364" s="24"/>
      <c r="DL3364" s="24"/>
      <c r="DM3364" s="24"/>
      <c r="DN3364" s="24"/>
      <c r="DO3364" s="24"/>
      <c r="DP3364" s="24"/>
      <c r="DQ3364" s="24"/>
      <c r="DR3364" s="24"/>
      <c r="DS3364" s="24"/>
      <c r="DT3364" s="24"/>
      <c r="DU3364" s="24"/>
    </row>
    <row r="3365" spans="1:125" s="8" customFormat="1" ht="84" x14ac:dyDescent="0.2">
      <c r="A3365" s="77">
        <v>41560</v>
      </c>
      <c r="B3365" s="78" t="s">
        <v>2851</v>
      </c>
      <c r="C3365" s="75" t="s">
        <v>2667</v>
      </c>
      <c r="D3365" s="75" t="s">
        <v>3205</v>
      </c>
      <c r="E3365" s="75" t="str">
        <f>VLOOKUP(B3365&amp;C3365,Divipola!$C$2:$F$1138,4,FALSE)</f>
        <v>76364</v>
      </c>
      <c r="F3365" s="87"/>
      <c r="G3365" s="87"/>
      <c r="H3365" s="87"/>
      <c r="I3365" s="87"/>
      <c r="J3365" s="87"/>
      <c r="K3365" s="87"/>
      <c r="L3365" s="87"/>
      <c r="M3365" s="87"/>
      <c r="N3365" s="87"/>
      <c r="O3365" s="87"/>
      <c r="P3365" s="87"/>
      <c r="Q3365" s="87"/>
      <c r="R3365" s="87"/>
      <c r="S3365" s="87"/>
      <c r="T3365" s="87"/>
      <c r="U3365" s="88"/>
      <c r="V3365" s="89"/>
      <c r="W3365" s="96">
        <v>0</v>
      </c>
      <c r="X3365" s="71">
        <f>CU3365</f>
        <v>0</v>
      </c>
      <c r="Y3365" s="71">
        <f>CY3365</f>
        <v>0</v>
      </c>
      <c r="Z3365" s="71">
        <f>DA3365+DC3365+DE3365</f>
        <v>0</v>
      </c>
      <c r="AA3365" s="71">
        <f>CW3365</f>
        <v>0</v>
      </c>
      <c r="AB3365" s="71"/>
      <c r="AC3365" s="71">
        <v>0</v>
      </c>
      <c r="AD3365" s="71">
        <f>W3365+X3365+Y3365+Z3365+AA3365+AB3365+AC3365</f>
        <v>0</v>
      </c>
      <c r="AE3365" s="72">
        <v>0</v>
      </c>
      <c r="AF3365" s="5"/>
      <c r="AG3365" s="6"/>
      <c r="AH3365" s="27"/>
      <c r="AI3365" s="44"/>
      <c r="AJ3365" s="26"/>
      <c r="AK3365" s="5"/>
      <c r="AL3365" s="268" t="s">
        <v>6310</v>
      </c>
      <c r="AM3365" s="76"/>
      <c r="AN3365" s="76"/>
      <c r="AO3365" s="76"/>
      <c r="AP3365" s="76"/>
      <c r="AQ3365" s="76"/>
      <c r="AR3365" s="76"/>
      <c r="AS3365" s="76"/>
      <c r="AT3365" s="76"/>
      <c r="AU3365" s="76"/>
      <c r="AV3365" s="76"/>
      <c r="AW3365" s="76"/>
      <c r="AX3365" s="76">
        <f>+AW3365*600000</f>
        <v>0</v>
      </c>
      <c r="AY3365" s="76"/>
      <c r="AZ3365" s="76">
        <f>+AY3365*70000</f>
        <v>0</v>
      </c>
      <c r="BA3365" s="76"/>
      <c r="BB3365" s="76"/>
      <c r="BC3365" s="76"/>
      <c r="BD3365" s="76">
        <f>+BC3365*30000</f>
        <v>0</v>
      </c>
      <c r="BE3365" s="76"/>
      <c r="BF3365" s="76"/>
      <c r="BG3365" s="76"/>
      <c r="BH3365" s="76"/>
      <c r="BI3365" s="76"/>
      <c r="BJ3365" s="76"/>
      <c r="BK3365" s="76"/>
      <c r="BL3365" s="76">
        <f>+BK3365*31500</f>
        <v>0</v>
      </c>
      <c r="BM3365" s="76"/>
      <c r="BN3365" s="76"/>
      <c r="BO3365" s="76"/>
      <c r="BP3365" s="76"/>
      <c r="BQ3365" s="76"/>
      <c r="BR3365" s="76"/>
      <c r="BS3365" s="76"/>
      <c r="BT3365" s="76"/>
      <c r="BU3365" s="76"/>
      <c r="BV3365" s="76"/>
      <c r="BW3365" s="76"/>
      <c r="BX3365" s="76"/>
      <c r="BY3365" s="76"/>
      <c r="BZ3365" s="76"/>
      <c r="CA3365" s="76"/>
      <c r="CB3365" s="76"/>
      <c r="CC3365" s="76"/>
      <c r="CD3365" s="76"/>
      <c r="CE3365" s="76"/>
      <c r="CF3365" s="76">
        <f>+CE3365*28000</f>
        <v>0</v>
      </c>
      <c r="CG3365" s="76"/>
      <c r="CH3365" s="76">
        <f>+CG3365*22500</f>
        <v>0</v>
      </c>
      <c r="CI3365" s="76"/>
      <c r="CJ3365" s="76">
        <f>+CI3365*26000</f>
        <v>0</v>
      </c>
      <c r="CK3365" s="76"/>
      <c r="CL3365" s="76"/>
      <c r="CM3365" s="76"/>
      <c r="CN3365" s="76">
        <f>+CM3365*22000</f>
        <v>0</v>
      </c>
      <c r="CO3365" s="76"/>
      <c r="CP3365" s="76">
        <f>+CO3365*46000</f>
        <v>0</v>
      </c>
      <c r="CQ3365" s="76"/>
      <c r="CR3365" s="76">
        <f>+CQ3365*49000</f>
        <v>0</v>
      </c>
      <c r="CS3365" s="76"/>
      <c r="CT3365" s="76"/>
      <c r="CU3365" s="56">
        <f>AN3365+AP3365+AR3365+AT3365+AV3365+AX3365+AZ3365+BB3365+BD3365+BF3365+BH3365+BJ3365+BL3365+BN3365+BP3365+BR3365+BT3365+BV3365+BX3365+BZ3365+CB3365+CD3365+CF3365+CH3365+CJ3365+CL3365+CN3365+CP3365+CR3365+CT3365</f>
        <v>0</v>
      </c>
      <c r="CV3365" s="76"/>
      <c r="CW3365" s="76">
        <f>+CV3365*1100</f>
        <v>0</v>
      </c>
      <c r="CX3365" s="76"/>
      <c r="CY3365" s="76">
        <f>+CX3365*106250</f>
        <v>0</v>
      </c>
      <c r="CZ3365" s="76"/>
      <c r="DA3365" s="76">
        <f>+CZ3365*34500</f>
        <v>0</v>
      </c>
      <c r="DB3365" s="76"/>
      <c r="DC3365" s="76">
        <f>+DB3365*25000</f>
        <v>0</v>
      </c>
      <c r="DD3365" s="219"/>
      <c r="DE3365" s="219"/>
      <c r="DF3365" s="166"/>
      <c r="DG3365" s="116"/>
      <c r="DH3365" s="117"/>
      <c r="DI3365" s="24"/>
      <c r="DJ3365" s="24"/>
      <c r="DK3365" s="24"/>
      <c r="DL3365" s="24"/>
      <c r="DM3365" s="24"/>
      <c r="DN3365" s="24"/>
      <c r="DO3365" s="24"/>
      <c r="DP3365" s="24"/>
      <c r="DQ3365" s="24"/>
      <c r="DR3365" s="24"/>
      <c r="DS3365" s="24"/>
      <c r="DT3365" s="24"/>
      <c r="DU3365" s="24"/>
    </row>
    <row r="3366" spans="1:125" s="8" customFormat="1" ht="108" x14ac:dyDescent="0.2">
      <c r="A3366" s="353">
        <v>41560</v>
      </c>
      <c r="B3366" s="352" t="s">
        <v>2772</v>
      </c>
      <c r="C3366" s="354" t="s">
        <v>2215</v>
      </c>
      <c r="D3366" s="354" t="s">
        <v>3017</v>
      </c>
      <c r="E3366" s="75" t="str">
        <f>VLOOKUP(B3366&amp;C3366,Divipola!$C$2:$F$1138,4,FALSE)</f>
        <v>25320</v>
      </c>
      <c r="F3366" s="87"/>
      <c r="G3366" s="87"/>
      <c r="H3366" s="87"/>
      <c r="I3366" s="87">
        <v>10</v>
      </c>
      <c r="J3366" s="87">
        <v>2</v>
      </c>
      <c r="K3366" s="87"/>
      <c r="L3366" s="87">
        <v>2</v>
      </c>
      <c r="M3366" s="87"/>
      <c r="N3366" s="87"/>
      <c r="O3366" s="87"/>
      <c r="P3366" s="87"/>
      <c r="Q3366" s="87"/>
      <c r="R3366" s="87"/>
      <c r="S3366" s="87"/>
      <c r="T3366" s="87"/>
      <c r="U3366" s="88"/>
      <c r="V3366" s="89"/>
      <c r="W3366" s="96">
        <v>0</v>
      </c>
      <c r="X3366" s="71">
        <f>CU3366</f>
        <v>0</v>
      </c>
      <c r="Y3366" s="71">
        <f>CY3366</f>
        <v>0</v>
      </c>
      <c r="Z3366" s="71">
        <f>DA3366+DC3366+DE3366</f>
        <v>0</v>
      </c>
      <c r="AA3366" s="71">
        <f>CW3366</f>
        <v>0</v>
      </c>
      <c r="AB3366" s="71"/>
      <c r="AC3366" s="71">
        <v>0</v>
      </c>
      <c r="AD3366" s="71">
        <f>W3366+X3366+Y3366+Z3366+AA3366+AB3366+AC3366</f>
        <v>0</v>
      </c>
      <c r="AE3366" s="72">
        <v>0</v>
      </c>
      <c r="AF3366" s="5"/>
      <c r="AG3366" s="6"/>
      <c r="AH3366" s="27"/>
      <c r="AI3366" s="44"/>
      <c r="AJ3366" s="26"/>
      <c r="AK3366" s="5"/>
      <c r="AL3366" s="82" t="s">
        <v>6395</v>
      </c>
      <c r="AM3366" s="76"/>
      <c r="AN3366" s="76"/>
      <c r="AO3366" s="76"/>
      <c r="AP3366" s="76"/>
      <c r="AQ3366" s="76"/>
      <c r="AR3366" s="76"/>
      <c r="AS3366" s="76"/>
      <c r="AT3366" s="76"/>
      <c r="AU3366" s="76"/>
      <c r="AV3366" s="76"/>
      <c r="AW3366" s="76"/>
      <c r="AX3366" s="76">
        <f>+AW3366*600000</f>
        <v>0</v>
      </c>
      <c r="AY3366" s="76"/>
      <c r="AZ3366" s="76">
        <f>+AY3366*70000</f>
        <v>0</v>
      </c>
      <c r="BA3366" s="76"/>
      <c r="BB3366" s="76"/>
      <c r="BC3366" s="76"/>
      <c r="BD3366" s="76">
        <f>+BC3366*30000</f>
        <v>0</v>
      </c>
      <c r="BE3366" s="76"/>
      <c r="BF3366" s="76"/>
      <c r="BG3366" s="76"/>
      <c r="BH3366" s="76"/>
      <c r="BI3366" s="76"/>
      <c r="BJ3366" s="76"/>
      <c r="BK3366" s="76"/>
      <c r="BL3366" s="76">
        <f>+BK3366*31500</f>
        <v>0</v>
      </c>
      <c r="BM3366" s="76"/>
      <c r="BN3366" s="76"/>
      <c r="BO3366" s="76"/>
      <c r="BP3366" s="76"/>
      <c r="BQ3366" s="76"/>
      <c r="BR3366" s="76"/>
      <c r="BS3366" s="76"/>
      <c r="BT3366" s="76"/>
      <c r="BU3366" s="76"/>
      <c r="BV3366" s="76"/>
      <c r="BW3366" s="76"/>
      <c r="BX3366" s="76"/>
      <c r="BY3366" s="76"/>
      <c r="BZ3366" s="76"/>
      <c r="CA3366" s="76"/>
      <c r="CB3366" s="76"/>
      <c r="CC3366" s="76"/>
      <c r="CD3366" s="76"/>
      <c r="CE3366" s="76"/>
      <c r="CF3366" s="76">
        <f>+CE3366*28000</f>
        <v>0</v>
      </c>
      <c r="CG3366" s="76"/>
      <c r="CH3366" s="76">
        <f>+CG3366*22500</f>
        <v>0</v>
      </c>
      <c r="CI3366" s="76"/>
      <c r="CJ3366" s="76">
        <f>+CI3366*26000</f>
        <v>0</v>
      </c>
      <c r="CK3366" s="76"/>
      <c r="CL3366" s="76"/>
      <c r="CM3366" s="76"/>
      <c r="CN3366" s="76">
        <f>+CM3366*22000</f>
        <v>0</v>
      </c>
      <c r="CO3366" s="76"/>
      <c r="CP3366" s="76">
        <f>+CO3366*46000</f>
        <v>0</v>
      </c>
      <c r="CQ3366" s="76"/>
      <c r="CR3366" s="76">
        <f>+CQ3366*49000</f>
        <v>0</v>
      </c>
      <c r="CS3366" s="76"/>
      <c r="CT3366" s="76"/>
      <c r="CU3366" s="56">
        <f>AN3366+AP3366+AR3366+AT3366+AV3366+AX3366+AZ3366+BB3366+BD3366+BF3366+BH3366+BJ3366+BL3366+BN3366+BP3366+BR3366+BT3366+BV3366+BX3366+BZ3366+CB3366+CD3366+CF3366+CH3366+CJ3366+CL3366+CN3366+CP3366+CR3366+CT3366</f>
        <v>0</v>
      </c>
      <c r="CV3366" s="76"/>
      <c r="CW3366" s="76">
        <f>+CV3366*1100</f>
        <v>0</v>
      </c>
      <c r="CX3366" s="76"/>
      <c r="CY3366" s="76">
        <f>+CX3366*106250</f>
        <v>0</v>
      </c>
      <c r="CZ3366" s="76"/>
      <c r="DA3366" s="76">
        <f>+CZ3366*34500</f>
        <v>0</v>
      </c>
      <c r="DB3366" s="76"/>
      <c r="DC3366" s="76">
        <f>+DB3366*25000</f>
        <v>0</v>
      </c>
      <c r="DD3366" s="219"/>
      <c r="DE3366" s="219"/>
      <c r="DF3366" s="166"/>
      <c r="DG3366" s="116"/>
      <c r="DH3366" s="117"/>
      <c r="DI3366" s="24"/>
      <c r="DJ3366" s="24"/>
      <c r="DK3366" s="24"/>
      <c r="DL3366" s="24"/>
      <c r="DM3366" s="24"/>
      <c r="DN3366" s="24"/>
      <c r="DO3366" s="24"/>
      <c r="DP3366" s="24"/>
      <c r="DQ3366" s="24"/>
      <c r="DR3366" s="24"/>
      <c r="DS3366" s="24"/>
      <c r="DT3366" s="24"/>
      <c r="DU3366" s="24"/>
    </row>
    <row r="3367" spans="1:125" s="8" customFormat="1" ht="60" x14ac:dyDescent="0.2">
      <c r="A3367" s="353">
        <v>41561</v>
      </c>
      <c r="B3367" s="352" t="s">
        <v>2881</v>
      </c>
      <c r="C3367" s="354" t="s">
        <v>2767</v>
      </c>
      <c r="D3367" s="354" t="s">
        <v>3017</v>
      </c>
      <c r="E3367" s="75" t="str">
        <f>VLOOKUP(B3367&amp;C3367,Divipola!$C$2:$F$1138,4,FALSE)</f>
        <v>08001</v>
      </c>
      <c r="F3367" s="87"/>
      <c r="G3367" s="87"/>
      <c r="H3367" s="87"/>
      <c r="I3367" s="87">
        <v>8</v>
      </c>
      <c r="J3367" s="87">
        <v>2</v>
      </c>
      <c r="K3367" s="87">
        <v>2</v>
      </c>
      <c r="L3367" s="87"/>
      <c r="M3367" s="87"/>
      <c r="N3367" s="87"/>
      <c r="O3367" s="87"/>
      <c r="P3367" s="87"/>
      <c r="Q3367" s="87"/>
      <c r="R3367" s="87"/>
      <c r="S3367" s="87"/>
      <c r="T3367" s="87"/>
      <c r="U3367" s="88"/>
      <c r="V3367" s="89"/>
      <c r="W3367" s="96">
        <v>0</v>
      </c>
      <c r="X3367" s="71">
        <f>CU3367</f>
        <v>0</v>
      </c>
      <c r="Y3367" s="71">
        <f>CY3367</f>
        <v>0</v>
      </c>
      <c r="Z3367" s="71">
        <f>DA3367+DC3367+DE3367</f>
        <v>0</v>
      </c>
      <c r="AA3367" s="71">
        <f>CW3367</f>
        <v>0</v>
      </c>
      <c r="AB3367" s="71"/>
      <c r="AC3367" s="71">
        <v>0</v>
      </c>
      <c r="AD3367" s="71">
        <f>W3367+X3367+Y3367+Z3367+AA3367+AB3367+AC3367</f>
        <v>0</v>
      </c>
      <c r="AE3367" s="72">
        <v>0</v>
      </c>
      <c r="AF3367" s="5"/>
      <c r="AG3367" s="6"/>
      <c r="AH3367" s="27"/>
      <c r="AI3367" s="44"/>
      <c r="AJ3367" s="26"/>
      <c r="AK3367" s="5"/>
      <c r="AL3367" s="82" t="s">
        <v>6313</v>
      </c>
      <c r="AM3367" s="76"/>
      <c r="AN3367" s="76"/>
      <c r="AO3367" s="76"/>
      <c r="AP3367" s="76"/>
      <c r="AQ3367" s="76"/>
      <c r="AR3367" s="76"/>
      <c r="AS3367" s="76"/>
      <c r="AT3367" s="76"/>
      <c r="AU3367" s="76"/>
      <c r="AV3367" s="76"/>
      <c r="AW3367" s="76"/>
      <c r="AX3367" s="76">
        <f>+AW3367*600000</f>
        <v>0</v>
      </c>
      <c r="AY3367" s="76"/>
      <c r="AZ3367" s="76">
        <f>+AY3367*70000</f>
        <v>0</v>
      </c>
      <c r="BA3367" s="76"/>
      <c r="BB3367" s="76"/>
      <c r="BC3367" s="76"/>
      <c r="BD3367" s="76">
        <f>+BC3367*30000</f>
        <v>0</v>
      </c>
      <c r="BE3367" s="76"/>
      <c r="BF3367" s="76"/>
      <c r="BG3367" s="76"/>
      <c r="BH3367" s="76"/>
      <c r="BI3367" s="76"/>
      <c r="BJ3367" s="76"/>
      <c r="BK3367" s="76"/>
      <c r="BL3367" s="76">
        <f>+BK3367*31500</f>
        <v>0</v>
      </c>
      <c r="BM3367" s="76"/>
      <c r="BN3367" s="76"/>
      <c r="BO3367" s="76"/>
      <c r="BP3367" s="76"/>
      <c r="BQ3367" s="76"/>
      <c r="BR3367" s="76"/>
      <c r="BS3367" s="76"/>
      <c r="BT3367" s="76"/>
      <c r="BU3367" s="76"/>
      <c r="BV3367" s="76"/>
      <c r="BW3367" s="76"/>
      <c r="BX3367" s="76"/>
      <c r="BY3367" s="76"/>
      <c r="BZ3367" s="76"/>
      <c r="CA3367" s="76"/>
      <c r="CB3367" s="76"/>
      <c r="CC3367" s="76"/>
      <c r="CD3367" s="76"/>
      <c r="CE3367" s="76"/>
      <c r="CF3367" s="76">
        <f>+CE3367*28000</f>
        <v>0</v>
      </c>
      <c r="CG3367" s="76"/>
      <c r="CH3367" s="76">
        <f>+CG3367*22500</f>
        <v>0</v>
      </c>
      <c r="CI3367" s="76"/>
      <c r="CJ3367" s="76">
        <f>+CI3367*26000</f>
        <v>0</v>
      </c>
      <c r="CK3367" s="76"/>
      <c r="CL3367" s="76"/>
      <c r="CM3367" s="76"/>
      <c r="CN3367" s="76">
        <f>+CM3367*22000</f>
        <v>0</v>
      </c>
      <c r="CO3367" s="76"/>
      <c r="CP3367" s="76">
        <f>+CO3367*46000</f>
        <v>0</v>
      </c>
      <c r="CQ3367" s="76"/>
      <c r="CR3367" s="76">
        <f>+CQ3367*49000</f>
        <v>0</v>
      </c>
      <c r="CS3367" s="76"/>
      <c r="CT3367" s="76"/>
      <c r="CU3367" s="56">
        <f>AN3367+AP3367+AR3367+AT3367+AV3367+AX3367+AZ3367+BB3367+BD3367+BF3367+BH3367+BJ3367+BL3367+BN3367+BP3367+BR3367+BT3367+BV3367+BX3367+BZ3367+CB3367+CD3367+CF3367+CH3367+CJ3367+CL3367+CN3367+CP3367+CR3367+CT3367</f>
        <v>0</v>
      </c>
      <c r="CV3367" s="76"/>
      <c r="CW3367" s="76">
        <f>+CV3367*1100</f>
        <v>0</v>
      </c>
      <c r="CX3367" s="76"/>
      <c r="CY3367" s="76">
        <f>+CX3367*106250</f>
        <v>0</v>
      </c>
      <c r="CZ3367" s="76"/>
      <c r="DA3367" s="76">
        <f>+CZ3367*34500</f>
        <v>0</v>
      </c>
      <c r="DB3367" s="76"/>
      <c r="DC3367" s="76">
        <f>+DB3367*25000</f>
        <v>0</v>
      </c>
      <c r="DD3367" s="219"/>
      <c r="DE3367" s="219"/>
      <c r="DF3367" s="166"/>
      <c r="DG3367" s="116"/>
      <c r="DH3367" s="117"/>
      <c r="DI3367" s="24"/>
      <c r="DJ3367" s="24"/>
      <c r="DK3367" s="24"/>
      <c r="DL3367" s="24"/>
      <c r="DM3367" s="24"/>
      <c r="DN3367" s="24"/>
      <c r="DO3367" s="24"/>
      <c r="DP3367" s="24"/>
      <c r="DQ3367" s="24"/>
      <c r="DR3367" s="24"/>
      <c r="DS3367" s="24"/>
      <c r="DT3367" s="24"/>
      <c r="DU3367" s="24"/>
    </row>
    <row r="3368" spans="1:125" s="8" customFormat="1" ht="60" x14ac:dyDescent="0.2">
      <c r="A3368" s="77">
        <v>41561</v>
      </c>
      <c r="B3368" s="78" t="s">
        <v>529</v>
      </c>
      <c r="C3368" s="78" t="s">
        <v>529</v>
      </c>
      <c r="D3368" s="75" t="s">
        <v>2859</v>
      </c>
      <c r="E3368" s="75" t="str">
        <f>VLOOKUP(B3368&amp;C3368,Divipola!$C$2:$F$1138,4,FALSE)</f>
        <v>11001</v>
      </c>
      <c r="F3368" s="87"/>
      <c r="G3368" s="87"/>
      <c r="H3368" s="87"/>
      <c r="I3368" s="87">
        <v>5</v>
      </c>
      <c r="J3368" s="87">
        <v>1</v>
      </c>
      <c r="K3368" s="87"/>
      <c r="L3368" s="87">
        <v>1</v>
      </c>
      <c r="M3368" s="87"/>
      <c r="N3368" s="87"/>
      <c r="O3368" s="87"/>
      <c r="P3368" s="87"/>
      <c r="Q3368" s="87"/>
      <c r="R3368" s="87"/>
      <c r="S3368" s="87"/>
      <c r="T3368" s="87"/>
      <c r="U3368" s="88"/>
      <c r="V3368" s="89">
        <v>2</v>
      </c>
      <c r="W3368" s="96">
        <v>0</v>
      </c>
      <c r="X3368" s="71">
        <f>CU3368</f>
        <v>0</v>
      </c>
      <c r="Y3368" s="71">
        <f>CY3368</f>
        <v>0</v>
      </c>
      <c r="Z3368" s="71">
        <f>DA3368+DC3368+DE3368</f>
        <v>0</v>
      </c>
      <c r="AA3368" s="71">
        <f>CW3368</f>
        <v>0</v>
      </c>
      <c r="AB3368" s="71"/>
      <c r="AC3368" s="71">
        <v>0</v>
      </c>
      <c r="AD3368" s="71">
        <f>W3368+X3368+Y3368+Z3368+AA3368+AB3368+AC3368</f>
        <v>0</v>
      </c>
      <c r="AE3368" s="72">
        <v>0</v>
      </c>
      <c r="AF3368" s="5"/>
      <c r="AG3368" s="6"/>
      <c r="AH3368" s="27"/>
      <c r="AI3368" s="44"/>
      <c r="AJ3368" s="26"/>
      <c r="AK3368" s="5"/>
      <c r="AL3368" s="9" t="s">
        <v>6315</v>
      </c>
      <c r="AM3368" s="76"/>
      <c r="AN3368" s="76"/>
      <c r="AO3368" s="76"/>
      <c r="AP3368" s="76"/>
      <c r="AQ3368" s="76"/>
      <c r="AR3368" s="76"/>
      <c r="AS3368" s="76"/>
      <c r="AT3368" s="76"/>
      <c r="AU3368" s="76"/>
      <c r="AV3368" s="76"/>
      <c r="AW3368" s="76"/>
      <c r="AX3368" s="76">
        <f>+AW3368*600000</f>
        <v>0</v>
      </c>
      <c r="AY3368" s="76"/>
      <c r="AZ3368" s="76">
        <f>+AY3368*70000</f>
        <v>0</v>
      </c>
      <c r="BA3368" s="76"/>
      <c r="BB3368" s="76"/>
      <c r="BC3368" s="76"/>
      <c r="BD3368" s="76">
        <f>+BC3368*30000</f>
        <v>0</v>
      </c>
      <c r="BE3368" s="76"/>
      <c r="BF3368" s="76"/>
      <c r="BG3368" s="76"/>
      <c r="BH3368" s="76"/>
      <c r="BI3368" s="76"/>
      <c r="BJ3368" s="76"/>
      <c r="BK3368" s="76"/>
      <c r="BL3368" s="76">
        <f>+BK3368*31500</f>
        <v>0</v>
      </c>
      <c r="BM3368" s="76"/>
      <c r="BN3368" s="76"/>
      <c r="BO3368" s="76"/>
      <c r="BP3368" s="76"/>
      <c r="BQ3368" s="76"/>
      <c r="BR3368" s="76"/>
      <c r="BS3368" s="76"/>
      <c r="BT3368" s="76"/>
      <c r="BU3368" s="76"/>
      <c r="BV3368" s="76"/>
      <c r="BW3368" s="76"/>
      <c r="BX3368" s="76"/>
      <c r="BY3368" s="76"/>
      <c r="BZ3368" s="76"/>
      <c r="CA3368" s="76"/>
      <c r="CB3368" s="76"/>
      <c r="CC3368" s="76"/>
      <c r="CD3368" s="76"/>
      <c r="CE3368" s="76"/>
      <c r="CF3368" s="76">
        <f>+CE3368*28000</f>
        <v>0</v>
      </c>
      <c r="CG3368" s="76"/>
      <c r="CH3368" s="76">
        <f>+CG3368*22500</f>
        <v>0</v>
      </c>
      <c r="CI3368" s="76"/>
      <c r="CJ3368" s="76">
        <f>+CI3368*26000</f>
        <v>0</v>
      </c>
      <c r="CK3368" s="76"/>
      <c r="CL3368" s="76"/>
      <c r="CM3368" s="76"/>
      <c r="CN3368" s="76">
        <f>+CM3368*22000</f>
        <v>0</v>
      </c>
      <c r="CO3368" s="76"/>
      <c r="CP3368" s="76">
        <f>+CO3368*46000</f>
        <v>0</v>
      </c>
      <c r="CQ3368" s="76"/>
      <c r="CR3368" s="76">
        <f>+CQ3368*49000</f>
        <v>0</v>
      </c>
      <c r="CS3368" s="76"/>
      <c r="CT3368" s="76"/>
      <c r="CU3368" s="56">
        <f>AN3368+AP3368+AR3368+AT3368+AV3368+AX3368+AZ3368+BB3368+BD3368+BF3368+BH3368+BJ3368+BL3368+BN3368+BP3368+BR3368+BT3368+BV3368+BX3368+BZ3368+CB3368+CD3368+CF3368+CH3368+CJ3368+CL3368+CN3368+CP3368+CR3368+CT3368</f>
        <v>0</v>
      </c>
      <c r="CV3368" s="76"/>
      <c r="CW3368" s="76">
        <f>+CV3368*1100</f>
        <v>0</v>
      </c>
      <c r="CX3368" s="76"/>
      <c r="CY3368" s="76">
        <f>+CX3368*106250</f>
        <v>0</v>
      </c>
      <c r="CZ3368" s="76"/>
      <c r="DA3368" s="76">
        <f>+CZ3368*34500</f>
        <v>0</v>
      </c>
      <c r="DB3368" s="76"/>
      <c r="DC3368" s="76">
        <f>+DB3368*25000</f>
        <v>0</v>
      </c>
      <c r="DD3368" s="219"/>
      <c r="DE3368" s="219"/>
      <c r="DF3368" s="166"/>
      <c r="DG3368" s="116"/>
      <c r="DH3368" s="117"/>
      <c r="DI3368" s="24"/>
      <c r="DJ3368" s="24"/>
      <c r="DK3368" s="24"/>
      <c r="DL3368" s="24"/>
      <c r="DM3368" s="24"/>
      <c r="DN3368" s="24"/>
      <c r="DO3368" s="24"/>
      <c r="DP3368" s="24"/>
      <c r="DQ3368" s="24"/>
      <c r="DR3368" s="24"/>
      <c r="DS3368" s="24"/>
      <c r="DT3368" s="24"/>
      <c r="DU3368" s="24"/>
    </row>
    <row r="3369" spans="1:125" s="8" customFormat="1" ht="180" x14ac:dyDescent="0.2">
      <c r="A3369" s="77">
        <v>41561</v>
      </c>
      <c r="B3369" s="352" t="s">
        <v>2700</v>
      </c>
      <c r="C3369" s="354" t="s">
        <v>2671</v>
      </c>
      <c r="D3369" s="354" t="s">
        <v>2936</v>
      </c>
      <c r="E3369" s="75" t="str">
        <f>VLOOKUP(B3369&amp;C3369,Divipola!$C$2:$F$1138,4,FALSE)</f>
        <v>15001</v>
      </c>
      <c r="F3369" s="87">
        <v>1</v>
      </c>
      <c r="G3369" s="87">
        <v>1</v>
      </c>
      <c r="H3369" s="87"/>
      <c r="I3369" s="87">
        <v>50</v>
      </c>
      <c r="J3369" s="87">
        <v>10</v>
      </c>
      <c r="K3369" s="87"/>
      <c r="L3369" s="87">
        <v>1</v>
      </c>
      <c r="M3369" s="87"/>
      <c r="N3369" s="87"/>
      <c r="O3369" s="87"/>
      <c r="P3369" s="87"/>
      <c r="Q3369" s="87"/>
      <c r="R3369" s="87"/>
      <c r="S3369" s="87"/>
      <c r="T3369" s="87"/>
      <c r="U3369" s="88"/>
      <c r="V3369" s="89"/>
      <c r="W3369" s="96">
        <v>0</v>
      </c>
      <c r="X3369" s="71">
        <f>CU3369</f>
        <v>0</v>
      </c>
      <c r="Y3369" s="71">
        <f>CY3369</f>
        <v>0</v>
      </c>
      <c r="Z3369" s="71">
        <f>DA3369+DC3369+DE3369</f>
        <v>0</v>
      </c>
      <c r="AA3369" s="71">
        <f>CW3369</f>
        <v>0</v>
      </c>
      <c r="AB3369" s="71"/>
      <c r="AC3369" s="71">
        <v>0</v>
      </c>
      <c r="AD3369" s="71">
        <f>W3369+X3369+Y3369+Z3369+AA3369+AB3369+AC3369</f>
        <v>0</v>
      </c>
      <c r="AE3369" s="72">
        <v>0</v>
      </c>
      <c r="AF3369" s="5"/>
      <c r="AG3369" s="6"/>
      <c r="AH3369" s="27"/>
      <c r="AI3369" s="44"/>
      <c r="AJ3369" s="26"/>
      <c r="AK3369" s="5"/>
      <c r="AL3369" s="82" t="s">
        <v>6314</v>
      </c>
      <c r="AM3369" s="76"/>
      <c r="AN3369" s="76"/>
      <c r="AO3369" s="76"/>
      <c r="AP3369" s="76"/>
      <c r="AQ3369" s="76"/>
      <c r="AR3369" s="76"/>
      <c r="AS3369" s="76"/>
      <c r="AT3369" s="76"/>
      <c r="AU3369" s="76"/>
      <c r="AV3369" s="76"/>
      <c r="AW3369" s="76"/>
      <c r="AX3369" s="76">
        <f>+AW3369*600000</f>
        <v>0</v>
      </c>
      <c r="AY3369" s="76"/>
      <c r="AZ3369" s="76">
        <f>+AY3369*70000</f>
        <v>0</v>
      </c>
      <c r="BA3369" s="76"/>
      <c r="BB3369" s="76"/>
      <c r="BC3369" s="76"/>
      <c r="BD3369" s="76">
        <f>+BC3369*30000</f>
        <v>0</v>
      </c>
      <c r="BE3369" s="76"/>
      <c r="BF3369" s="76"/>
      <c r="BG3369" s="76"/>
      <c r="BH3369" s="76"/>
      <c r="BI3369" s="76"/>
      <c r="BJ3369" s="76"/>
      <c r="BK3369" s="76"/>
      <c r="BL3369" s="76">
        <f>+BK3369*31500</f>
        <v>0</v>
      </c>
      <c r="BM3369" s="76"/>
      <c r="BN3369" s="76"/>
      <c r="BO3369" s="76"/>
      <c r="BP3369" s="76"/>
      <c r="BQ3369" s="76"/>
      <c r="BR3369" s="76"/>
      <c r="BS3369" s="76"/>
      <c r="BT3369" s="76"/>
      <c r="BU3369" s="76"/>
      <c r="BV3369" s="76"/>
      <c r="BW3369" s="76"/>
      <c r="BX3369" s="76"/>
      <c r="BY3369" s="76"/>
      <c r="BZ3369" s="76"/>
      <c r="CA3369" s="76"/>
      <c r="CB3369" s="76"/>
      <c r="CC3369" s="76"/>
      <c r="CD3369" s="76"/>
      <c r="CE3369" s="76"/>
      <c r="CF3369" s="76">
        <f>+CE3369*28000</f>
        <v>0</v>
      </c>
      <c r="CG3369" s="76"/>
      <c r="CH3369" s="76">
        <f>+CG3369*22500</f>
        <v>0</v>
      </c>
      <c r="CI3369" s="76"/>
      <c r="CJ3369" s="76">
        <f>+CI3369*26000</f>
        <v>0</v>
      </c>
      <c r="CK3369" s="76"/>
      <c r="CL3369" s="76"/>
      <c r="CM3369" s="76"/>
      <c r="CN3369" s="76">
        <f>+CM3369*22000</f>
        <v>0</v>
      </c>
      <c r="CO3369" s="76"/>
      <c r="CP3369" s="76">
        <f>+CO3369*46000</f>
        <v>0</v>
      </c>
      <c r="CQ3369" s="76"/>
      <c r="CR3369" s="76">
        <f>+CQ3369*49000</f>
        <v>0</v>
      </c>
      <c r="CS3369" s="76"/>
      <c r="CT3369" s="76"/>
      <c r="CU3369" s="56">
        <f>AN3369+AP3369+AR3369+AT3369+AV3369+AX3369+AZ3369+BB3369+BD3369+BF3369+BH3369+BJ3369+BL3369+BN3369+BP3369+BR3369+BT3369+BV3369+BX3369+BZ3369+CB3369+CD3369+CF3369+CH3369+CJ3369+CL3369+CN3369+CP3369+CR3369+CT3369</f>
        <v>0</v>
      </c>
      <c r="CV3369" s="76"/>
      <c r="CW3369" s="76">
        <f>+CV3369*1100</f>
        <v>0</v>
      </c>
      <c r="CX3369" s="76"/>
      <c r="CY3369" s="76">
        <f>+CX3369*106250</f>
        <v>0</v>
      </c>
      <c r="CZ3369" s="76"/>
      <c r="DA3369" s="76">
        <f>+CZ3369*34500</f>
        <v>0</v>
      </c>
      <c r="DB3369" s="76"/>
      <c r="DC3369" s="76">
        <f>+DB3369*25000</f>
        <v>0</v>
      </c>
      <c r="DD3369" s="219"/>
      <c r="DE3369" s="219"/>
      <c r="DF3369" s="166"/>
      <c r="DG3369" s="116"/>
      <c r="DH3369" s="117"/>
      <c r="DI3369" s="24"/>
      <c r="DJ3369" s="24"/>
      <c r="DK3369" s="24"/>
      <c r="DL3369" s="24"/>
      <c r="DM3369" s="24"/>
      <c r="DN3369" s="24"/>
      <c r="DO3369" s="24"/>
      <c r="DP3369" s="24"/>
      <c r="DQ3369" s="24"/>
      <c r="DR3369" s="24"/>
      <c r="DS3369" s="24"/>
      <c r="DT3369" s="24"/>
      <c r="DU3369" s="24"/>
    </row>
    <row r="3370" spans="1:125" s="8" customFormat="1" ht="72" x14ac:dyDescent="0.2">
      <c r="A3370" s="77">
        <v>41561</v>
      </c>
      <c r="B3370" s="352" t="s">
        <v>2906</v>
      </c>
      <c r="C3370" s="354" t="s">
        <v>418</v>
      </c>
      <c r="D3370" s="354" t="s">
        <v>3051</v>
      </c>
      <c r="E3370" s="75" t="str">
        <f>VLOOKUP(B3370&amp;C3370,Divipola!$C$2:$F$1138,4,FALSE)</f>
        <v>47053</v>
      </c>
      <c r="F3370" s="87"/>
      <c r="G3370" s="87"/>
      <c r="H3370" s="87"/>
      <c r="I3370" s="87"/>
      <c r="J3370" s="87"/>
      <c r="K3370" s="87"/>
      <c r="L3370" s="87"/>
      <c r="M3370" s="87"/>
      <c r="N3370" s="87"/>
      <c r="O3370" s="87"/>
      <c r="P3370" s="87"/>
      <c r="Q3370" s="87"/>
      <c r="R3370" s="87"/>
      <c r="S3370" s="87"/>
      <c r="T3370" s="87"/>
      <c r="U3370" s="88"/>
      <c r="V3370" s="89"/>
      <c r="W3370" s="96">
        <v>0</v>
      </c>
      <c r="X3370" s="71">
        <f>CU3370</f>
        <v>0</v>
      </c>
      <c r="Y3370" s="71">
        <f>CY3370</f>
        <v>0</v>
      </c>
      <c r="Z3370" s="71">
        <f>DA3370+DC3370+DE3370</f>
        <v>0</v>
      </c>
      <c r="AA3370" s="71">
        <f>CW3370</f>
        <v>0</v>
      </c>
      <c r="AB3370" s="71"/>
      <c r="AC3370" s="71">
        <v>0</v>
      </c>
      <c r="AD3370" s="71">
        <f>W3370+X3370+Y3370+Z3370+AA3370+AB3370+AC3370</f>
        <v>0</v>
      </c>
      <c r="AE3370" s="72">
        <v>0</v>
      </c>
      <c r="AF3370" s="5"/>
      <c r="AG3370" s="6"/>
      <c r="AH3370" s="27"/>
      <c r="AI3370" s="44"/>
      <c r="AJ3370" s="26"/>
      <c r="AK3370" s="5"/>
      <c r="AL3370" s="82" t="s">
        <v>6319</v>
      </c>
      <c r="AM3370" s="76"/>
      <c r="AN3370" s="76"/>
      <c r="AO3370" s="76"/>
      <c r="AP3370" s="76"/>
      <c r="AQ3370" s="76"/>
      <c r="AR3370" s="76"/>
      <c r="AS3370" s="76"/>
      <c r="AT3370" s="76"/>
      <c r="AU3370" s="76"/>
      <c r="AV3370" s="76"/>
      <c r="AW3370" s="76"/>
      <c r="AX3370" s="76">
        <f>+AW3370*600000</f>
        <v>0</v>
      </c>
      <c r="AY3370" s="76"/>
      <c r="AZ3370" s="76">
        <f>+AY3370*70000</f>
        <v>0</v>
      </c>
      <c r="BA3370" s="76"/>
      <c r="BB3370" s="76"/>
      <c r="BC3370" s="76"/>
      <c r="BD3370" s="76">
        <f>+BC3370*30000</f>
        <v>0</v>
      </c>
      <c r="BE3370" s="76"/>
      <c r="BF3370" s="76"/>
      <c r="BG3370" s="76"/>
      <c r="BH3370" s="76"/>
      <c r="BI3370" s="76"/>
      <c r="BJ3370" s="76"/>
      <c r="BK3370" s="76"/>
      <c r="BL3370" s="76">
        <f>+BK3370*31500</f>
        <v>0</v>
      </c>
      <c r="BM3370" s="76"/>
      <c r="BN3370" s="76"/>
      <c r="BO3370" s="76"/>
      <c r="BP3370" s="76"/>
      <c r="BQ3370" s="76"/>
      <c r="BR3370" s="76"/>
      <c r="BS3370" s="76"/>
      <c r="BT3370" s="76"/>
      <c r="BU3370" s="76"/>
      <c r="BV3370" s="76"/>
      <c r="BW3370" s="76"/>
      <c r="BX3370" s="76"/>
      <c r="BY3370" s="76"/>
      <c r="BZ3370" s="76"/>
      <c r="CA3370" s="76"/>
      <c r="CB3370" s="76"/>
      <c r="CC3370" s="76"/>
      <c r="CD3370" s="76"/>
      <c r="CE3370" s="76"/>
      <c r="CF3370" s="76">
        <f>+CE3370*28000</f>
        <v>0</v>
      </c>
      <c r="CG3370" s="76"/>
      <c r="CH3370" s="76">
        <f>+CG3370*22500</f>
        <v>0</v>
      </c>
      <c r="CI3370" s="76"/>
      <c r="CJ3370" s="76">
        <f>+CI3370*26000</f>
        <v>0</v>
      </c>
      <c r="CK3370" s="76"/>
      <c r="CL3370" s="76"/>
      <c r="CM3370" s="76"/>
      <c r="CN3370" s="76">
        <f>+CM3370*22000</f>
        <v>0</v>
      </c>
      <c r="CO3370" s="76"/>
      <c r="CP3370" s="76">
        <f>+CO3370*46000</f>
        <v>0</v>
      </c>
      <c r="CQ3370" s="76"/>
      <c r="CR3370" s="76">
        <f>+CQ3370*49000</f>
        <v>0</v>
      </c>
      <c r="CS3370" s="76"/>
      <c r="CT3370" s="76"/>
      <c r="CU3370" s="56">
        <f>AN3370+AP3370+AR3370+AT3370+AV3370+AX3370+AZ3370+BB3370+BD3370+BF3370+BH3370+BJ3370+BL3370+BN3370+BP3370+BR3370+BT3370+BV3370+BX3370+BZ3370+CB3370+CD3370+CF3370+CH3370+CJ3370+CL3370+CN3370+CP3370+CR3370+CT3370</f>
        <v>0</v>
      </c>
      <c r="CV3370" s="76"/>
      <c r="CW3370" s="76">
        <f>+CV3370*1100</f>
        <v>0</v>
      </c>
      <c r="CX3370" s="76"/>
      <c r="CY3370" s="76">
        <f>+CX3370*106250</f>
        <v>0</v>
      </c>
      <c r="CZ3370" s="76"/>
      <c r="DA3370" s="76">
        <f>+CZ3370*34500</f>
        <v>0</v>
      </c>
      <c r="DB3370" s="76"/>
      <c r="DC3370" s="76">
        <f>+DB3370*25000</f>
        <v>0</v>
      </c>
      <c r="DD3370" s="219"/>
      <c r="DE3370" s="219"/>
      <c r="DF3370" s="166"/>
      <c r="DG3370" s="116"/>
      <c r="DH3370" s="117"/>
      <c r="DI3370" s="24"/>
      <c r="DJ3370" s="24"/>
      <c r="DK3370" s="24"/>
      <c r="DL3370" s="24"/>
      <c r="DM3370" s="24"/>
      <c r="DN3370" s="24"/>
      <c r="DO3370" s="24"/>
      <c r="DP3370" s="24"/>
      <c r="DQ3370" s="24"/>
      <c r="DR3370" s="24"/>
      <c r="DS3370" s="24"/>
      <c r="DT3370" s="24"/>
      <c r="DU3370" s="24"/>
    </row>
    <row r="3371" spans="1:125" s="8" customFormat="1" ht="72" x14ac:dyDescent="0.2">
      <c r="A3371" s="77">
        <v>41561</v>
      </c>
      <c r="B3371" s="78" t="s">
        <v>2906</v>
      </c>
      <c r="C3371" s="75" t="s">
        <v>437</v>
      </c>
      <c r="D3371" s="75" t="s">
        <v>3051</v>
      </c>
      <c r="E3371" s="75" t="str">
        <f>VLOOKUP(B3371&amp;C3371,Divipola!$C$2:$F$1138,4,FALSE)</f>
        <v>47288</v>
      </c>
      <c r="F3371" s="87"/>
      <c r="G3371" s="87"/>
      <c r="H3371" s="87"/>
      <c r="I3371" s="87">
        <v>4000</v>
      </c>
      <c r="J3371" s="87">
        <v>800</v>
      </c>
      <c r="K3371" s="87"/>
      <c r="L3371" s="87">
        <v>800</v>
      </c>
      <c r="M3371" s="87"/>
      <c r="N3371" s="87"/>
      <c r="O3371" s="87"/>
      <c r="P3371" s="87"/>
      <c r="Q3371" s="87"/>
      <c r="R3371" s="87"/>
      <c r="S3371" s="87"/>
      <c r="T3371" s="87"/>
      <c r="U3371" s="88"/>
      <c r="V3371" s="89"/>
      <c r="W3371" s="96">
        <v>0</v>
      </c>
      <c r="X3371" s="71">
        <f>CU3371</f>
        <v>0</v>
      </c>
      <c r="Y3371" s="71">
        <f>CY3371</f>
        <v>0</v>
      </c>
      <c r="Z3371" s="71">
        <f>DA3371+DC3371+DE3371</f>
        <v>0</v>
      </c>
      <c r="AA3371" s="71">
        <f>CW3371</f>
        <v>0</v>
      </c>
      <c r="AB3371" s="71"/>
      <c r="AC3371" s="71">
        <v>0</v>
      </c>
      <c r="AD3371" s="71">
        <f>W3371+X3371+Y3371+Z3371+AA3371+AB3371+AC3371</f>
        <v>0</v>
      </c>
      <c r="AE3371" s="72">
        <v>0</v>
      </c>
      <c r="AF3371" s="5"/>
      <c r="AG3371" s="6"/>
      <c r="AH3371" s="27"/>
      <c r="AI3371" s="44"/>
      <c r="AJ3371" s="26"/>
      <c r="AK3371" s="5"/>
      <c r="AL3371" s="268" t="s">
        <v>6320</v>
      </c>
      <c r="AM3371" s="76"/>
      <c r="AN3371" s="76"/>
      <c r="AO3371" s="76"/>
      <c r="AP3371" s="76"/>
      <c r="AQ3371" s="76"/>
      <c r="AR3371" s="76"/>
      <c r="AS3371" s="76"/>
      <c r="AT3371" s="76"/>
      <c r="AU3371" s="76"/>
      <c r="AV3371" s="76"/>
      <c r="AW3371" s="76"/>
      <c r="AX3371" s="76">
        <f>+AW3371*600000</f>
        <v>0</v>
      </c>
      <c r="AY3371" s="76"/>
      <c r="AZ3371" s="76">
        <f>+AY3371*70000</f>
        <v>0</v>
      </c>
      <c r="BA3371" s="76"/>
      <c r="BB3371" s="76"/>
      <c r="BC3371" s="76"/>
      <c r="BD3371" s="76">
        <f>+BC3371*30000</f>
        <v>0</v>
      </c>
      <c r="BE3371" s="76"/>
      <c r="BF3371" s="76"/>
      <c r="BG3371" s="76"/>
      <c r="BH3371" s="76"/>
      <c r="BI3371" s="76"/>
      <c r="BJ3371" s="76"/>
      <c r="BK3371" s="76"/>
      <c r="BL3371" s="76">
        <f>+BK3371*31500</f>
        <v>0</v>
      </c>
      <c r="BM3371" s="76"/>
      <c r="BN3371" s="76"/>
      <c r="BO3371" s="76"/>
      <c r="BP3371" s="76"/>
      <c r="BQ3371" s="76"/>
      <c r="BR3371" s="76"/>
      <c r="BS3371" s="76"/>
      <c r="BT3371" s="76"/>
      <c r="BU3371" s="76"/>
      <c r="BV3371" s="76"/>
      <c r="BW3371" s="76"/>
      <c r="BX3371" s="76"/>
      <c r="BY3371" s="76"/>
      <c r="BZ3371" s="76"/>
      <c r="CA3371" s="76"/>
      <c r="CB3371" s="76"/>
      <c r="CC3371" s="76"/>
      <c r="CD3371" s="76"/>
      <c r="CE3371" s="76"/>
      <c r="CF3371" s="76">
        <f>+CE3371*28000</f>
        <v>0</v>
      </c>
      <c r="CG3371" s="76"/>
      <c r="CH3371" s="76">
        <f>+CG3371*22500</f>
        <v>0</v>
      </c>
      <c r="CI3371" s="76"/>
      <c r="CJ3371" s="76">
        <f>+CI3371*26000</f>
        <v>0</v>
      </c>
      <c r="CK3371" s="76"/>
      <c r="CL3371" s="76"/>
      <c r="CM3371" s="76"/>
      <c r="CN3371" s="76">
        <f>+CM3371*22000</f>
        <v>0</v>
      </c>
      <c r="CO3371" s="76"/>
      <c r="CP3371" s="76">
        <f>+CO3371*46000</f>
        <v>0</v>
      </c>
      <c r="CQ3371" s="76"/>
      <c r="CR3371" s="76">
        <f>+CQ3371*49000</f>
        <v>0</v>
      </c>
      <c r="CS3371" s="76"/>
      <c r="CT3371" s="76"/>
      <c r="CU3371" s="56">
        <f>AN3371+AP3371+AR3371+AT3371+AV3371+AX3371+AZ3371+BB3371+BD3371+BF3371+BH3371+BJ3371+BL3371+BN3371+BP3371+BR3371+BT3371+BV3371+BX3371+BZ3371+CB3371+CD3371+CF3371+CH3371+CJ3371+CL3371+CN3371+CP3371+CR3371+CT3371</f>
        <v>0</v>
      </c>
      <c r="CV3371" s="76"/>
      <c r="CW3371" s="76">
        <f>+CV3371*1100</f>
        <v>0</v>
      </c>
      <c r="CX3371" s="76"/>
      <c r="CY3371" s="76">
        <f>+CX3371*106250</f>
        <v>0</v>
      </c>
      <c r="CZ3371" s="76"/>
      <c r="DA3371" s="76">
        <f>+CZ3371*34500</f>
        <v>0</v>
      </c>
      <c r="DB3371" s="76"/>
      <c r="DC3371" s="76">
        <f>+DB3371*25000</f>
        <v>0</v>
      </c>
      <c r="DD3371" s="219"/>
      <c r="DE3371" s="219"/>
      <c r="DF3371" s="166"/>
      <c r="DG3371" s="116"/>
      <c r="DH3371" s="117"/>
      <c r="DI3371" s="24"/>
      <c r="DJ3371" s="24"/>
      <c r="DK3371" s="24"/>
      <c r="DL3371" s="24"/>
      <c r="DM3371" s="24"/>
      <c r="DN3371" s="24"/>
      <c r="DO3371" s="24"/>
      <c r="DP3371" s="24"/>
      <c r="DQ3371" s="24"/>
      <c r="DR3371" s="24"/>
      <c r="DS3371" s="24"/>
      <c r="DT3371" s="24"/>
      <c r="DU3371" s="24"/>
    </row>
    <row r="3372" spans="1:125" s="8" customFormat="1" ht="72" x14ac:dyDescent="0.2">
      <c r="A3372" s="77">
        <v>41562</v>
      </c>
      <c r="B3372" s="208" t="s">
        <v>2855</v>
      </c>
      <c r="C3372" s="354" t="s">
        <v>2168</v>
      </c>
      <c r="D3372" s="354" t="s">
        <v>3504</v>
      </c>
      <c r="E3372" s="75" t="str">
        <f>VLOOKUP(B3372&amp;C3372,Divipola!$C$2:$F$1138,4,FALSE)</f>
        <v>20001</v>
      </c>
      <c r="F3372" s="87"/>
      <c r="G3372" s="87">
        <v>5</v>
      </c>
      <c r="H3372" s="87"/>
      <c r="I3372" s="87">
        <v>5</v>
      </c>
      <c r="J3372" s="87"/>
      <c r="K3372" s="87"/>
      <c r="L3372" s="87"/>
      <c r="M3372" s="87"/>
      <c r="N3372" s="87"/>
      <c r="O3372" s="87"/>
      <c r="P3372" s="87"/>
      <c r="Q3372" s="87"/>
      <c r="R3372" s="87"/>
      <c r="S3372" s="87"/>
      <c r="T3372" s="87"/>
      <c r="U3372" s="88"/>
      <c r="V3372" s="89"/>
      <c r="W3372" s="96">
        <v>0</v>
      </c>
      <c r="X3372" s="71">
        <f>CU3372</f>
        <v>0</v>
      </c>
      <c r="Y3372" s="71">
        <f>CY3372</f>
        <v>0</v>
      </c>
      <c r="Z3372" s="71">
        <f>DA3372+DC3372+DE3372</f>
        <v>0</v>
      </c>
      <c r="AA3372" s="71">
        <f>CW3372</f>
        <v>0</v>
      </c>
      <c r="AB3372" s="71"/>
      <c r="AC3372" s="71">
        <v>0</v>
      </c>
      <c r="AD3372" s="71">
        <f>W3372+X3372+Y3372+Z3372+AA3372+AB3372+AC3372</f>
        <v>0</v>
      </c>
      <c r="AE3372" s="72">
        <v>0</v>
      </c>
      <c r="AF3372" s="5"/>
      <c r="AG3372" s="6"/>
      <c r="AH3372" s="27"/>
      <c r="AI3372" s="44"/>
      <c r="AJ3372" s="26"/>
      <c r="AK3372" s="5"/>
      <c r="AL3372" s="82" t="s">
        <v>6321</v>
      </c>
      <c r="AM3372" s="76"/>
      <c r="AN3372" s="76"/>
      <c r="AO3372" s="76"/>
      <c r="AP3372" s="76"/>
      <c r="AQ3372" s="76"/>
      <c r="AR3372" s="76"/>
      <c r="AS3372" s="76"/>
      <c r="AT3372" s="76"/>
      <c r="AU3372" s="76"/>
      <c r="AV3372" s="76"/>
      <c r="AW3372" s="76"/>
      <c r="AX3372" s="76">
        <f>+AW3372*600000</f>
        <v>0</v>
      </c>
      <c r="AY3372" s="76"/>
      <c r="AZ3372" s="76">
        <f>+AY3372*70000</f>
        <v>0</v>
      </c>
      <c r="BA3372" s="76"/>
      <c r="BB3372" s="76"/>
      <c r="BC3372" s="76"/>
      <c r="BD3372" s="76">
        <f>+BC3372*30000</f>
        <v>0</v>
      </c>
      <c r="BE3372" s="76"/>
      <c r="BF3372" s="76"/>
      <c r="BG3372" s="76"/>
      <c r="BH3372" s="76"/>
      <c r="BI3372" s="76"/>
      <c r="BJ3372" s="76"/>
      <c r="BK3372" s="76"/>
      <c r="BL3372" s="76">
        <f>+BK3372*31500</f>
        <v>0</v>
      </c>
      <c r="BM3372" s="76"/>
      <c r="BN3372" s="76"/>
      <c r="BO3372" s="76"/>
      <c r="BP3372" s="76"/>
      <c r="BQ3372" s="76"/>
      <c r="BR3372" s="76"/>
      <c r="BS3372" s="76"/>
      <c r="BT3372" s="76"/>
      <c r="BU3372" s="76"/>
      <c r="BV3372" s="76"/>
      <c r="BW3372" s="76"/>
      <c r="BX3372" s="76"/>
      <c r="BY3372" s="76"/>
      <c r="BZ3372" s="76"/>
      <c r="CA3372" s="76"/>
      <c r="CB3372" s="76"/>
      <c r="CC3372" s="76"/>
      <c r="CD3372" s="76"/>
      <c r="CE3372" s="76"/>
      <c r="CF3372" s="76">
        <f>+CE3372*28000</f>
        <v>0</v>
      </c>
      <c r="CG3372" s="76"/>
      <c r="CH3372" s="76">
        <f>+CG3372*22500</f>
        <v>0</v>
      </c>
      <c r="CI3372" s="76"/>
      <c r="CJ3372" s="76">
        <f>+CI3372*26000</f>
        <v>0</v>
      </c>
      <c r="CK3372" s="76"/>
      <c r="CL3372" s="76"/>
      <c r="CM3372" s="76"/>
      <c r="CN3372" s="76">
        <f>+CM3372*22000</f>
        <v>0</v>
      </c>
      <c r="CO3372" s="76"/>
      <c r="CP3372" s="76">
        <f>+CO3372*46000</f>
        <v>0</v>
      </c>
      <c r="CQ3372" s="76"/>
      <c r="CR3372" s="76">
        <f>+CQ3372*49000</f>
        <v>0</v>
      </c>
      <c r="CS3372" s="76"/>
      <c r="CT3372" s="76"/>
      <c r="CU3372" s="56">
        <f>AN3372+AP3372+AR3372+AT3372+AV3372+AX3372+AZ3372+BB3372+BD3372+BF3372+BH3372+BJ3372+BL3372+BN3372+BP3372+BR3372+BT3372+BV3372+BX3372+BZ3372+CB3372+CD3372+CF3372+CH3372+CJ3372+CL3372+CN3372+CP3372+CR3372+CT3372</f>
        <v>0</v>
      </c>
      <c r="CV3372" s="76"/>
      <c r="CW3372" s="76">
        <f>+CV3372*1100</f>
        <v>0</v>
      </c>
      <c r="CX3372" s="76"/>
      <c r="CY3372" s="76">
        <f>+CX3372*106250</f>
        <v>0</v>
      </c>
      <c r="CZ3372" s="76"/>
      <c r="DA3372" s="76">
        <f>+CZ3372*34500</f>
        <v>0</v>
      </c>
      <c r="DB3372" s="76"/>
      <c r="DC3372" s="76">
        <f>+DB3372*25000</f>
        <v>0</v>
      </c>
      <c r="DD3372" s="219"/>
      <c r="DE3372" s="219"/>
      <c r="DF3372" s="166"/>
      <c r="DG3372" s="116"/>
      <c r="DH3372" s="117"/>
      <c r="DI3372" s="24"/>
      <c r="DJ3372" s="24"/>
      <c r="DK3372" s="24"/>
      <c r="DL3372" s="24"/>
      <c r="DM3372" s="24"/>
      <c r="DN3372" s="24"/>
      <c r="DO3372" s="24"/>
      <c r="DP3372" s="24"/>
      <c r="DQ3372" s="24"/>
      <c r="DR3372" s="24"/>
      <c r="DS3372" s="24"/>
      <c r="DT3372" s="24"/>
      <c r="DU3372" s="24"/>
    </row>
    <row r="3373" spans="1:125" s="8" customFormat="1" ht="60" x14ac:dyDescent="0.2">
      <c r="A3373" s="77">
        <v>41562</v>
      </c>
      <c r="B3373" s="78" t="s">
        <v>2848</v>
      </c>
      <c r="C3373" s="75" t="s">
        <v>2755</v>
      </c>
      <c r="D3373" s="75" t="s">
        <v>3088</v>
      </c>
      <c r="E3373" s="75" t="str">
        <f>VLOOKUP(B3373&amp;C3373,Divipola!$C$2:$F$1138,4,FALSE)</f>
        <v>73001</v>
      </c>
      <c r="F3373" s="87"/>
      <c r="G3373" s="87"/>
      <c r="H3373" s="87"/>
      <c r="I3373" s="87">
        <v>10</v>
      </c>
      <c r="J3373" s="87">
        <v>2</v>
      </c>
      <c r="K3373" s="87"/>
      <c r="L3373" s="87">
        <v>2</v>
      </c>
      <c r="M3373" s="87"/>
      <c r="N3373" s="87"/>
      <c r="O3373" s="87"/>
      <c r="P3373" s="87"/>
      <c r="Q3373" s="87"/>
      <c r="R3373" s="87"/>
      <c r="S3373" s="87"/>
      <c r="T3373" s="87"/>
      <c r="U3373" s="88"/>
      <c r="V3373" s="89"/>
      <c r="W3373" s="96">
        <v>0</v>
      </c>
      <c r="X3373" s="71">
        <f>CU3373</f>
        <v>0</v>
      </c>
      <c r="Y3373" s="71">
        <f>CY3373</f>
        <v>0</v>
      </c>
      <c r="Z3373" s="71">
        <f>DA3373+DC3373+DE3373</f>
        <v>0</v>
      </c>
      <c r="AA3373" s="71">
        <f>CW3373</f>
        <v>0</v>
      </c>
      <c r="AB3373" s="71"/>
      <c r="AC3373" s="71">
        <v>0</v>
      </c>
      <c r="AD3373" s="71">
        <f>W3373+X3373+Y3373+Z3373+AA3373+AB3373+AC3373</f>
        <v>0</v>
      </c>
      <c r="AE3373" s="72">
        <v>0</v>
      </c>
      <c r="AF3373" s="5"/>
      <c r="AG3373" s="6"/>
      <c r="AH3373" s="27"/>
      <c r="AI3373" s="44"/>
      <c r="AJ3373" s="26"/>
      <c r="AK3373" s="5"/>
      <c r="AL3373" s="268" t="s">
        <v>6322</v>
      </c>
      <c r="AM3373" s="76"/>
      <c r="AN3373" s="76"/>
      <c r="AO3373" s="76"/>
      <c r="AP3373" s="76"/>
      <c r="AQ3373" s="76"/>
      <c r="AR3373" s="76"/>
      <c r="AS3373" s="76"/>
      <c r="AT3373" s="76"/>
      <c r="AU3373" s="76"/>
      <c r="AV3373" s="76"/>
      <c r="AW3373" s="76"/>
      <c r="AX3373" s="76">
        <f>+AW3373*600000</f>
        <v>0</v>
      </c>
      <c r="AY3373" s="76"/>
      <c r="AZ3373" s="76">
        <f>+AY3373*70000</f>
        <v>0</v>
      </c>
      <c r="BA3373" s="76"/>
      <c r="BB3373" s="76"/>
      <c r="BC3373" s="76"/>
      <c r="BD3373" s="76">
        <f>+BC3373*30000</f>
        <v>0</v>
      </c>
      <c r="BE3373" s="76"/>
      <c r="BF3373" s="76"/>
      <c r="BG3373" s="76"/>
      <c r="BH3373" s="76"/>
      <c r="BI3373" s="76"/>
      <c r="BJ3373" s="76"/>
      <c r="BK3373" s="76"/>
      <c r="BL3373" s="76">
        <f>+BK3373*31500</f>
        <v>0</v>
      </c>
      <c r="BM3373" s="76"/>
      <c r="BN3373" s="76"/>
      <c r="BO3373" s="76"/>
      <c r="BP3373" s="76"/>
      <c r="BQ3373" s="76"/>
      <c r="BR3373" s="76"/>
      <c r="BS3373" s="76"/>
      <c r="BT3373" s="76"/>
      <c r="BU3373" s="76"/>
      <c r="BV3373" s="76"/>
      <c r="BW3373" s="76"/>
      <c r="BX3373" s="76"/>
      <c r="BY3373" s="76"/>
      <c r="BZ3373" s="76"/>
      <c r="CA3373" s="76"/>
      <c r="CB3373" s="76"/>
      <c r="CC3373" s="76"/>
      <c r="CD3373" s="76"/>
      <c r="CE3373" s="76"/>
      <c r="CF3373" s="76">
        <f>+CE3373*28000</f>
        <v>0</v>
      </c>
      <c r="CG3373" s="76"/>
      <c r="CH3373" s="76">
        <f>+CG3373*22500</f>
        <v>0</v>
      </c>
      <c r="CI3373" s="76"/>
      <c r="CJ3373" s="76">
        <f>+CI3373*26000</f>
        <v>0</v>
      </c>
      <c r="CK3373" s="76"/>
      <c r="CL3373" s="76"/>
      <c r="CM3373" s="76"/>
      <c r="CN3373" s="76">
        <f>+CM3373*22000</f>
        <v>0</v>
      </c>
      <c r="CO3373" s="76"/>
      <c r="CP3373" s="76">
        <f>+CO3373*46000</f>
        <v>0</v>
      </c>
      <c r="CQ3373" s="76"/>
      <c r="CR3373" s="76">
        <f>+CQ3373*49000</f>
        <v>0</v>
      </c>
      <c r="CS3373" s="76"/>
      <c r="CT3373" s="76"/>
      <c r="CU3373" s="56">
        <f>AN3373+AP3373+AR3373+AT3373+AV3373+AX3373+AZ3373+BB3373+BD3373+BF3373+BH3373+BJ3373+BL3373+BN3373+BP3373+BR3373+BT3373+BV3373+BX3373+BZ3373+CB3373+CD3373+CF3373+CH3373+CJ3373+CL3373+CN3373+CP3373+CR3373+CT3373</f>
        <v>0</v>
      </c>
      <c r="CV3373" s="76"/>
      <c r="CW3373" s="76">
        <f>+CV3373*1100</f>
        <v>0</v>
      </c>
      <c r="CX3373" s="76"/>
      <c r="CY3373" s="76">
        <f>+CX3373*106250</f>
        <v>0</v>
      </c>
      <c r="CZ3373" s="76"/>
      <c r="DA3373" s="76">
        <f>+CZ3373*34500</f>
        <v>0</v>
      </c>
      <c r="DB3373" s="76"/>
      <c r="DC3373" s="76">
        <f>+DB3373*25000</f>
        <v>0</v>
      </c>
      <c r="DD3373" s="219"/>
      <c r="DE3373" s="219"/>
      <c r="DF3373" s="166"/>
      <c r="DG3373" s="116"/>
      <c r="DH3373" s="117"/>
      <c r="DI3373" s="24"/>
      <c r="DJ3373" s="24"/>
      <c r="DK3373" s="24"/>
      <c r="DL3373" s="24"/>
      <c r="DM3373" s="24"/>
      <c r="DN3373" s="24"/>
      <c r="DO3373" s="24"/>
      <c r="DP3373" s="24"/>
      <c r="DQ3373" s="24"/>
      <c r="DR3373" s="24"/>
      <c r="DS3373" s="24"/>
      <c r="DT3373" s="24"/>
      <c r="DU3373" s="24"/>
    </row>
    <row r="3374" spans="1:125" s="8" customFormat="1" ht="60" x14ac:dyDescent="0.2">
      <c r="A3374" s="77">
        <v>41562</v>
      </c>
      <c r="B3374" s="78" t="s">
        <v>2777</v>
      </c>
      <c r="C3374" s="75" t="s">
        <v>2170</v>
      </c>
      <c r="D3374" s="75" t="s">
        <v>2882</v>
      </c>
      <c r="E3374" s="353" t="str">
        <f>VLOOKUP(B3374&amp;C3374,Divipola!$C$2:$F$1138,4,FALSE)</f>
        <v>13052</v>
      </c>
      <c r="F3374" s="61"/>
      <c r="G3374" s="61"/>
      <c r="H3374" s="61"/>
      <c r="I3374" s="61">
        <v>975</v>
      </c>
      <c r="J3374" s="61">
        <v>195</v>
      </c>
      <c r="K3374" s="61"/>
      <c r="L3374" s="61">
        <v>195</v>
      </c>
      <c r="M3374" s="61"/>
      <c r="N3374" s="61"/>
      <c r="O3374" s="61"/>
      <c r="P3374" s="61"/>
      <c r="Q3374" s="61"/>
      <c r="R3374" s="61"/>
      <c r="S3374" s="61"/>
      <c r="T3374" s="61"/>
      <c r="U3374" s="61"/>
      <c r="V3374" s="7"/>
      <c r="W3374" s="96">
        <v>0</v>
      </c>
      <c r="X3374" s="71">
        <f>CU3374</f>
        <v>0</v>
      </c>
      <c r="Y3374" s="71">
        <f>CY3374</f>
        <v>0</v>
      </c>
      <c r="Z3374" s="71">
        <f>DA3374+DC3374+DE3374</f>
        <v>0</v>
      </c>
      <c r="AA3374" s="71">
        <f>CW3374</f>
        <v>0</v>
      </c>
      <c r="AB3374" s="71"/>
      <c r="AC3374" s="71">
        <v>0</v>
      </c>
      <c r="AD3374" s="71">
        <f>W3374+X3374+Y3374+Z3374+AA3374+AB3374+AC3374</f>
        <v>0</v>
      </c>
      <c r="AE3374" s="72">
        <v>0</v>
      </c>
      <c r="AF3374" s="5"/>
      <c r="AG3374" s="6"/>
      <c r="AH3374" s="27" t="s">
        <v>3390</v>
      </c>
      <c r="AI3374" s="44" t="s">
        <v>3393</v>
      </c>
      <c r="AJ3374" s="26"/>
      <c r="AK3374" s="5" t="s">
        <v>4242</v>
      </c>
      <c r="AL3374" s="9" t="s">
        <v>6876</v>
      </c>
      <c r="AM3374" s="76"/>
      <c r="AN3374" s="76"/>
      <c r="AO3374" s="76"/>
      <c r="AP3374" s="76"/>
      <c r="AQ3374" s="76"/>
      <c r="AR3374" s="76"/>
      <c r="AS3374" s="76"/>
      <c r="AT3374" s="76"/>
      <c r="AU3374" s="76"/>
      <c r="AV3374" s="76"/>
      <c r="AW3374" s="76"/>
      <c r="AX3374" s="76">
        <f>+AW3374*600000</f>
        <v>0</v>
      </c>
      <c r="AY3374" s="76"/>
      <c r="AZ3374" s="76">
        <f>+AY3374*70000</f>
        <v>0</v>
      </c>
      <c r="BA3374" s="76"/>
      <c r="BB3374" s="76"/>
      <c r="BC3374" s="76"/>
      <c r="BD3374" s="76">
        <f>+BC3374*30000</f>
        <v>0</v>
      </c>
      <c r="BE3374" s="76"/>
      <c r="BF3374" s="76"/>
      <c r="BG3374" s="76"/>
      <c r="BH3374" s="76"/>
      <c r="BI3374" s="76"/>
      <c r="BJ3374" s="76"/>
      <c r="BK3374" s="76"/>
      <c r="BL3374" s="76">
        <f>+BK3374*31500</f>
        <v>0</v>
      </c>
      <c r="BM3374" s="76"/>
      <c r="BN3374" s="76"/>
      <c r="BO3374" s="76"/>
      <c r="BP3374" s="76"/>
      <c r="BQ3374" s="76"/>
      <c r="BR3374" s="76"/>
      <c r="BS3374" s="76"/>
      <c r="BT3374" s="76"/>
      <c r="BU3374" s="76"/>
      <c r="BV3374" s="76"/>
      <c r="BW3374" s="76"/>
      <c r="BX3374" s="76"/>
      <c r="BY3374" s="76"/>
      <c r="BZ3374" s="76"/>
      <c r="CA3374" s="76"/>
      <c r="CB3374" s="76"/>
      <c r="CC3374" s="76"/>
      <c r="CD3374" s="76"/>
      <c r="CE3374" s="76"/>
      <c r="CF3374" s="76">
        <f>+CE3374*28000</f>
        <v>0</v>
      </c>
      <c r="CG3374" s="76"/>
      <c r="CH3374" s="76">
        <f>+CG3374*22500</f>
        <v>0</v>
      </c>
      <c r="CI3374" s="76"/>
      <c r="CJ3374" s="76">
        <f>+CI3374*26000</f>
        <v>0</v>
      </c>
      <c r="CK3374" s="76"/>
      <c r="CL3374" s="76"/>
      <c r="CM3374" s="76"/>
      <c r="CN3374" s="76">
        <f>+CM3374*22000</f>
        <v>0</v>
      </c>
      <c r="CO3374" s="76"/>
      <c r="CP3374" s="76">
        <f>+CO3374*46000</f>
        <v>0</v>
      </c>
      <c r="CQ3374" s="76"/>
      <c r="CR3374" s="76">
        <f>+CQ3374*49000</f>
        <v>0</v>
      </c>
      <c r="CS3374" s="76"/>
      <c r="CT3374" s="76"/>
      <c r="CU3374" s="56">
        <f>AN3374+AP3374+AR3374+AT3374+AV3374+AX3374+AZ3374+BB3374+BD3374+BF3374+BH3374+BJ3374+BL3374+BN3374+BP3374+BR3374+BT3374+BV3374+BX3374+BZ3374+CB3374+CD3374+CF3374+CH3374+CJ3374+CL3374+CN3374+CP3374+CR3374+CT3374</f>
        <v>0</v>
      </c>
      <c r="CV3374" s="76"/>
      <c r="CW3374" s="76">
        <f>+CV3374*1100</f>
        <v>0</v>
      </c>
      <c r="CX3374" s="76"/>
      <c r="CY3374" s="76">
        <f>+CX3374*106250</f>
        <v>0</v>
      </c>
      <c r="CZ3374" s="76"/>
      <c r="DA3374" s="76">
        <f>+CZ3374*34500</f>
        <v>0</v>
      </c>
      <c r="DB3374" s="76"/>
      <c r="DC3374" s="76">
        <f>+DB3374*25000</f>
        <v>0</v>
      </c>
      <c r="DD3374" s="219"/>
      <c r="DE3374" s="219"/>
      <c r="DF3374" s="166"/>
      <c r="DG3374" s="116"/>
      <c r="DH3374" s="117"/>
      <c r="DI3374" s="24"/>
      <c r="DJ3374" s="24"/>
      <c r="DK3374" s="24"/>
      <c r="DL3374" s="24"/>
      <c r="DM3374" s="24"/>
      <c r="DN3374" s="24"/>
      <c r="DO3374" s="24"/>
      <c r="DP3374" s="24"/>
      <c r="DQ3374" s="24"/>
      <c r="DR3374" s="24"/>
      <c r="DS3374" s="24"/>
      <c r="DT3374" s="24"/>
      <c r="DU3374" s="24"/>
    </row>
    <row r="3375" spans="1:125" s="8" customFormat="1" ht="168" x14ac:dyDescent="0.2">
      <c r="A3375" s="77">
        <v>41563</v>
      </c>
      <c r="B3375" s="78" t="s">
        <v>2777</v>
      </c>
      <c r="C3375" s="75" t="s">
        <v>2783</v>
      </c>
      <c r="D3375" s="75" t="s">
        <v>3051</v>
      </c>
      <c r="E3375" s="75" t="str">
        <f>VLOOKUP(B3375&amp;C3375,Divipola!$C$2:$F$1138,4,FALSE)</f>
        <v>13001</v>
      </c>
      <c r="F3375" s="87">
        <v>1</v>
      </c>
      <c r="G3375" s="87">
        <v>1</v>
      </c>
      <c r="H3375" s="87"/>
      <c r="I3375" s="87">
        <v>2</v>
      </c>
      <c r="J3375" s="87"/>
      <c r="K3375" s="87"/>
      <c r="L3375" s="87"/>
      <c r="M3375" s="87"/>
      <c r="N3375" s="87"/>
      <c r="O3375" s="87"/>
      <c r="P3375" s="87"/>
      <c r="Q3375" s="87"/>
      <c r="R3375" s="87"/>
      <c r="S3375" s="87"/>
      <c r="T3375" s="87"/>
      <c r="U3375" s="88"/>
      <c r="V3375" s="89"/>
      <c r="W3375" s="96">
        <v>0</v>
      </c>
      <c r="X3375" s="71">
        <f>CU3375</f>
        <v>0</v>
      </c>
      <c r="Y3375" s="71">
        <f>CY3375</f>
        <v>0</v>
      </c>
      <c r="Z3375" s="71">
        <f>DA3375+DC3375+DE3375</f>
        <v>0</v>
      </c>
      <c r="AA3375" s="71">
        <f>CW3375</f>
        <v>0</v>
      </c>
      <c r="AB3375" s="71"/>
      <c r="AC3375" s="71">
        <v>0</v>
      </c>
      <c r="AD3375" s="71">
        <f>W3375+X3375+Y3375+Z3375+AA3375+AB3375+AC3375</f>
        <v>0</v>
      </c>
      <c r="AE3375" s="72">
        <v>0</v>
      </c>
      <c r="AF3375" s="5"/>
      <c r="AG3375" s="6"/>
      <c r="AH3375" s="27"/>
      <c r="AI3375" s="44"/>
      <c r="AJ3375" s="26"/>
      <c r="AK3375" s="5"/>
      <c r="AL3375" s="268" t="s">
        <v>6342</v>
      </c>
      <c r="AM3375" s="76"/>
      <c r="AN3375" s="76"/>
      <c r="AO3375" s="76"/>
      <c r="AP3375" s="76"/>
      <c r="AQ3375" s="76"/>
      <c r="AR3375" s="76"/>
      <c r="AS3375" s="76"/>
      <c r="AT3375" s="76"/>
      <c r="AU3375" s="76"/>
      <c r="AV3375" s="76"/>
      <c r="AW3375" s="76"/>
      <c r="AX3375" s="76">
        <f>+AW3375*600000</f>
        <v>0</v>
      </c>
      <c r="AY3375" s="76"/>
      <c r="AZ3375" s="76">
        <f>+AY3375*70000</f>
        <v>0</v>
      </c>
      <c r="BA3375" s="76"/>
      <c r="BB3375" s="76"/>
      <c r="BC3375" s="76"/>
      <c r="BD3375" s="76">
        <f>+BC3375*30000</f>
        <v>0</v>
      </c>
      <c r="BE3375" s="76"/>
      <c r="BF3375" s="76"/>
      <c r="BG3375" s="76"/>
      <c r="BH3375" s="76"/>
      <c r="BI3375" s="76"/>
      <c r="BJ3375" s="76"/>
      <c r="BK3375" s="76"/>
      <c r="BL3375" s="76">
        <f>+BK3375*31500</f>
        <v>0</v>
      </c>
      <c r="BM3375" s="76"/>
      <c r="BN3375" s="76"/>
      <c r="BO3375" s="76"/>
      <c r="BP3375" s="76"/>
      <c r="BQ3375" s="76"/>
      <c r="BR3375" s="76"/>
      <c r="BS3375" s="76"/>
      <c r="BT3375" s="76"/>
      <c r="BU3375" s="76"/>
      <c r="BV3375" s="76"/>
      <c r="BW3375" s="76"/>
      <c r="BX3375" s="76"/>
      <c r="BY3375" s="76"/>
      <c r="BZ3375" s="76"/>
      <c r="CA3375" s="76"/>
      <c r="CB3375" s="76"/>
      <c r="CC3375" s="76"/>
      <c r="CD3375" s="76"/>
      <c r="CE3375" s="76"/>
      <c r="CF3375" s="76">
        <f>+CE3375*28000</f>
        <v>0</v>
      </c>
      <c r="CG3375" s="76"/>
      <c r="CH3375" s="76">
        <f>+CG3375*22500</f>
        <v>0</v>
      </c>
      <c r="CI3375" s="76"/>
      <c r="CJ3375" s="76">
        <f>+CI3375*26000</f>
        <v>0</v>
      </c>
      <c r="CK3375" s="76"/>
      <c r="CL3375" s="76"/>
      <c r="CM3375" s="76"/>
      <c r="CN3375" s="76">
        <f>+CM3375*22000</f>
        <v>0</v>
      </c>
      <c r="CO3375" s="76"/>
      <c r="CP3375" s="76">
        <f>+CO3375*46000</f>
        <v>0</v>
      </c>
      <c r="CQ3375" s="76"/>
      <c r="CR3375" s="76">
        <f>+CQ3375*49000</f>
        <v>0</v>
      </c>
      <c r="CS3375" s="76"/>
      <c r="CT3375" s="76"/>
      <c r="CU3375" s="56">
        <f>AN3375+AP3375+AR3375+AT3375+AV3375+AX3375+AZ3375+BB3375+BD3375+BF3375+BH3375+BJ3375+BL3375+BN3375+BP3375+BR3375+BT3375+BV3375+BX3375+BZ3375+CB3375+CD3375+CF3375+CH3375+CJ3375+CL3375+CN3375+CP3375+CR3375+CT3375</f>
        <v>0</v>
      </c>
      <c r="CV3375" s="76"/>
      <c r="CW3375" s="76">
        <f>+CV3375*1100</f>
        <v>0</v>
      </c>
      <c r="CX3375" s="76"/>
      <c r="CY3375" s="76">
        <f>+CX3375*106250</f>
        <v>0</v>
      </c>
      <c r="CZ3375" s="76"/>
      <c r="DA3375" s="76">
        <f>+CZ3375*34500</f>
        <v>0</v>
      </c>
      <c r="DB3375" s="76"/>
      <c r="DC3375" s="76">
        <f>+DB3375*25000</f>
        <v>0</v>
      </c>
      <c r="DD3375" s="219"/>
      <c r="DE3375" s="219"/>
      <c r="DF3375" s="166"/>
      <c r="DG3375" s="116"/>
      <c r="DH3375" s="117"/>
      <c r="DI3375" s="24"/>
      <c r="DJ3375" s="24"/>
      <c r="DK3375" s="24"/>
      <c r="DL3375" s="24"/>
      <c r="DM3375" s="24"/>
      <c r="DN3375" s="24"/>
      <c r="DO3375" s="24"/>
      <c r="DP3375" s="24"/>
      <c r="DQ3375" s="24"/>
      <c r="DR3375" s="24"/>
      <c r="DS3375" s="24"/>
      <c r="DT3375" s="24"/>
      <c r="DU3375" s="24"/>
    </row>
    <row r="3376" spans="1:125" s="8" customFormat="1" ht="60" x14ac:dyDescent="0.2">
      <c r="A3376" s="77">
        <v>41563</v>
      </c>
      <c r="B3376" s="352" t="s">
        <v>2777</v>
      </c>
      <c r="C3376" s="354" t="s">
        <v>2760</v>
      </c>
      <c r="D3376" s="354" t="s">
        <v>3051</v>
      </c>
      <c r="E3376" s="75" t="str">
        <f>VLOOKUP(B3376&amp;C3376,Divipola!$C$2:$F$1138,4,FALSE)</f>
        <v>13430</v>
      </c>
      <c r="F3376" s="87"/>
      <c r="G3376" s="87"/>
      <c r="H3376" s="87"/>
      <c r="I3376" s="87"/>
      <c r="J3376" s="87"/>
      <c r="K3376" s="87"/>
      <c r="L3376" s="87"/>
      <c r="M3376" s="87"/>
      <c r="N3376" s="87"/>
      <c r="O3376" s="87"/>
      <c r="P3376" s="87"/>
      <c r="Q3376" s="87"/>
      <c r="R3376" s="87"/>
      <c r="S3376" s="87"/>
      <c r="T3376" s="87"/>
      <c r="U3376" s="88"/>
      <c r="V3376" s="89"/>
      <c r="W3376" s="96">
        <v>0</v>
      </c>
      <c r="X3376" s="71">
        <f>CU3376</f>
        <v>0</v>
      </c>
      <c r="Y3376" s="71">
        <f>CY3376</f>
        <v>0</v>
      </c>
      <c r="Z3376" s="71">
        <f>DA3376+DC3376+DE3376</f>
        <v>0</v>
      </c>
      <c r="AA3376" s="71">
        <f>CW3376</f>
        <v>0</v>
      </c>
      <c r="AB3376" s="71"/>
      <c r="AC3376" s="71">
        <v>0</v>
      </c>
      <c r="AD3376" s="71">
        <f>W3376+X3376+Y3376+Z3376+AA3376+AB3376+AC3376</f>
        <v>0</v>
      </c>
      <c r="AE3376" s="72">
        <v>0</v>
      </c>
      <c r="AF3376" s="5"/>
      <c r="AG3376" s="6"/>
      <c r="AH3376" s="27"/>
      <c r="AI3376" s="44"/>
      <c r="AJ3376" s="26"/>
      <c r="AK3376" s="5"/>
      <c r="AL3376" s="82" t="s">
        <v>6336</v>
      </c>
      <c r="AM3376" s="76"/>
      <c r="AN3376" s="76"/>
      <c r="AO3376" s="76"/>
      <c r="AP3376" s="76"/>
      <c r="AQ3376" s="76"/>
      <c r="AR3376" s="76"/>
      <c r="AS3376" s="76"/>
      <c r="AT3376" s="76"/>
      <c r="AU3376" s="76"/>
      <c r="AV3376" s="76"/>
      <c r="AW3376" s="76"/>
      <c r="AX3376" s="76">
        <f>+AW3376*600000</f>
        <v>0</v>
      </c>
      <c r="AY3376" s="76"/>
      <c r="AZ3376" s="76">
        <f>+AY3376*70000</f>
        <v>0</v>
      </c>
      <c r="BA3376" s="76"/>
      <c r="BB3376" s="76"/>
      <c r="BC3376" s="76"/>
      <c r="BD3376" s="76">
        <f>+BC3376*30000</f>
        <v>0</v>
      </c>
      <c r="BE3376" s="76"/>
      <c r="BF3376" s="76"/>
      <c r="BG3376" s="76"/>
      <c r="BH3376" s="76"/>
      <c r="BI3376" s="76"/>
      <c r="BJ3376" s="76"/>
      <c r="BK3376" s="76"/>
      <c r="BL3376" s="76">
        <f>+BK3376*31500</f>
        <v>0</v>
      </c>
      <c r="BM3376" s="76"/>
      <c r="BN3376" s="76"/>
      <c r="BO3376" s="76"/>
      <c r="BP3376" s="76"/>
      <c r="BQ3376" s="76"/>
      <c r="BR3376" s="76"/>
      <c r="BS3376" s="76"/>
      <c r="BT3376" s="76"/>
      <c r="BU3376" s="76"/>
      <c r="BV3376" s="76"/>
      <c r="BW3376" s="76"/>
      <c r="BX3376" s="76"/>
      <c r="BY3376" s="76"/>
      <c r="BZ3376" s="76"/>
      <c r="CA3376" s="76"/>
      <c r="CB3376" s="76"/>
      <c r="CC3376" s="76"/>
      <c r="CD3376" s="76"/>
      <c r="CE3376" s="76"/>
      <c r="CF3376" s="76">
        <f>+CE3376*28000</f>
        <v>0</v>
      </c>
      <c r="CG3376" s="76"/>
      <c r="CH3376" s="76">
        <f>+CG3376*22500</f>
        <v>0</v>
      </c>
      <c r="CI3376" s="76"/>
      <c r="CJ3376" s="76">
        <f>+CI3376*26000</f>
        <v>0</v>
      </c>
      <c r="CK3376" s="76"/>
      <c r="CL3376" s="76"/>
      <c r="CM3376" s="76"/>
      <c r="CN3376" s="76">
        <f>+CM3376*22000</f>
        <v>0</v>
      </c>
      <c r="CO3376" s="76"/>
      <c r="CP3376" s="76">
        <f>+CO3376*46000</f>
        <v>0</v>
      </c>
      <c r="CQ3376" s="76"/>
      <c r="CR3376" s="76">
        <f>+CQ3376*49000</f>
        <v>0</v>
      </c>
      <c r="CS3376" s="76"/>
      <c r="CT3376" s="76"/>
      <c r="CU3376" s="56">
        <f>AN3376+AP3376+AR3376+AT3376+AV3376+AX3376+AZ3376+BB3376+BD3376+BF3376+BH3376+BJ3376+BL3376+BN3376+BP3376+BR3376+BT3376+BV3376+BX3376+BZ3376+CB3376+CD3376+CF3376+CH3376+CJ3376+CL3376+CN3376+CP3376+CR3376+CT3376</f>
        <v>0</v>
      </c>
      <c r="CV3376" s="76"/>
      <c r="CW3376" s="76">
        <f>+CV3376*1100</f>
        <v>0</v>
      </c>
      <c r="CX3376" s="76"/>
      <c r="CY3376" s="76">
        <f>+CX3376*106250</f>
        <v>0</v>
      </c>
      <c r="CZ3376" s="76"/>
      <c r="DA3376" s="76">
        <f>+CZ3376*34500</f>
        <v>0</v>
      </c>
      <c r="DB3376" s="76"/>
      <c r="DC3376" s="76">
        <f>+DB3376*25000</f>
        <v>0</v>
      </c>
      <c r="DD3376" s="219"/>
      <c r="DE3376" s="219"/>
      <c r="DF3376" s="166"/>
      <c r="DG3376" s="116"/>
      <c r="DH3376" s="117"/>
      <c r="DI3376" s="24"/>
      <c r="DJ3376" s="24"/>
      <c r="DK3376" s="24"/>
      <c r="DL3376" s="24"/>
      <c r="DM3376" s="24"/>
      <c r="DN3376" s="24"/>
      <c r="DO3376" s="24"/>
      <c r="DP3376" s="24"/>
      <c r="DQ3376" s="24"/>
      <c r="DR3376" s="24"/>
      <c r="DS3376" s="24"/>
      <c r="DT3376" s="24"/>
      <c r="DU3376" s="24"/>
    </row>
    <row r="3377" spans="1:125" s="8" customFormat="1" ht="60" x14ac:dyDescent="0.2">
      <c r="A3377" s="77">
        <v>41563</v>
      </c>
      <c r="B3377" s="352" t="s">
        <v>2777</v>
      </c>
      <c r="C3377" s="354" t="s">
        <v>2750</v>
      </c>
      <c r="D3377" s="354" t="s">
        <v>3051</v>
      </c>
      <c r="E3377" s="75" t="str">
        <f>VLOOKUP(B3377&amp;C3377,Divipola!$C$2:$F$1138,4,FALSE)</f>
        <v>13549</v>
      </c>
      <c r="F3377" s="87"/>
      <c r="G3377" s="87"/>
      <c r="H3377" s="87"/>
      <c r="I3377" s="87"/>
      <c r="J3377" s="87"/>
      <c r="K3377" s="87"/>
      <c r="L3377" s="87"/>
      <c r="M3377" s="87"/>
      <c r="N3377" s="87"/>
      <c r="O3377" s="87"/>
      <c r="P3377" s="87"/>
      <c r="Q3377" s="87"/>
      <c r="R3377" s="87"/>
      <c r="S3377" s="87"/>
      <c r="T3377" s="87"/>
      <c r="U3377" s="88"/>
      <c r="V3377" s="89"/>
      <c r="W3377" s="96">
        <v>0</v>
      </c>
      <c r="X3377" s="71">
        <f>CU3377</f>
        <v>0</v>
      </c>
      <c r="Y3377" s="71">
        <f>CY3377</f>
        <v>0</v>
      </c>
      <c r="Z3377" s="71">
        <f>DA3377+DC3377+DE3377</f>
        <v>0</v>
      </c>
      <c r="AA3377" s="71">
        <f>CW3377</f>
        <v>0</v>
      </c>
      <c r="AB3377" s="71"/>
      <c r="AC3377" s="71">
        <v>0</v>
      </c>
      <c r="AD3377" s="71">
        <f>W3377+X3377+Y3377+Z3377+AA3377+AB3377+AC3377</f>
        <v>0</v>
      </c>
      <c r="AE3377" s="72">
        <v>0</v>
      </c>
      <c r="AF3377" s="5"/>
      <c r="AG3377" s="6"/>
      <c r="AH3377" s="27"/>
      <c r="AI3377" s="44"/>
      <c r="AJ3377" s="26"/>
      <c r="AK3377" s="5"/>
      <c r="AL3377" s="82" t="s">
        <v>6336</v>
      </c>
      <c r="AM3377" s="76"/>
      <c r="AN3377" s="76"/>
      <c r="AO3377" s="76"/>
      <c r="AP3377" s="76"/>
      <c r="AQ3377" s="76"/>
      <c r="AR3377" s="76"/>
      <c r="AS3377" s="76"/>
      <c r="AT3377" s="76"/>
      <c r="AU3377" s="76"/>
      <c r="AV3377" s="76"/>
      <c r="AW3377" s="76"/>
      <c r="AX3377" s="76">
        <f>+AW3377*600000</f>
        <v>0</v>
      </c>
      <c r="AY3377" s="76"/>
      <c r="AZ3377" s="76">
        <f>+AY3377*70000</f>
        <v>0</v>
      </c>
      <c r="BA3377" s="76"/>
      <c r="BB3377" s="76"/>
      <c r="BC3377" s="76"/>
      <c r="BD3377" s="76">
        <f>+BC3377*30000</f>
        <v>0</v>
      </c>
      <c r="BE3377" s="76"/>
      <c r="BF3377" s="76"/>
      <c r="BG3377" s="76"/>
      <c r="BH3377" s="76"/>
      <c r="BI3377" s="76"/>
      <c r="BJ3377" s="76"/>
      <c r="BK3377" s="76"/>
      <c r="BL3377" s="76">
        <f>+BK3377*31500</f>
        <v>0</v>
      </c>
      <c r="BM3377" s="76"/>
      <c r="BN3377" s="76"/>
      <c r="BO3377" s="76"/>
      <c r="BP3377" s="76"/>
      <c r="BQ3377" s="76"/>
      <c r="BR3377" s="76"/>
      <c r="BS3377" s="76"/>
      <c r="BT3377" s="76"/>
      <c r="BU3377" s="76"/>
      <c r="BV3377" s="76"/>
      <c r="BW3377" s="76"/>
      <c r="BX3377" s="76"/>
      <c r="BY3377" s="76"/>
      <c r="BZ3377" s="76"/>
      <c r="CA3377" s="76"/>
      <c r="CB3377" s="76"/>
      <c r="CC3377" s="76"/>
      <c r="CD3377" s="76"/>
      <c r="CE3377" s="76"/>
      <c r="CF3377" s="76">
        <f>+CE3377*28000</f>
        <v>0</v>
      </c>
      <c r="CG3377" s="76"/>
      <c r="CH3377" s="76">
        <f>+CG3377*22500</f>
        <v>0</v>
      </c>
      <c r="CI3377" s="76"/>
      <c r="CJ3377" s="76">
        <f>+CI3377*26000</f>
        <v>0</v>
      </c>
      <c r="CK3377" s="76"/>
      <c r="CL3377" s="76"/>
      <c r="CM3377" s="76"/>
      <c r="CN3377" s="76">
        <f>+CM3377*22000</f>
        <v>0</v>
      </c>
      <c r="CO3377" s="76"/>
      <c r="CP3377" s="76">
        <f>+CO3377*46000</f>
        <v>0</v>
      </c>
      <c r="CQ3377" s="76"/>
      <c r="CR3377" s="76">
        <f>+CQ3377*49000</f>
        <v>0</v>
      </c>
      <c r="CS3377" s="76"/>
      <c r="CT3377" s="76"/>
      <c r="CU3377" s="56">
        <f>AN3377+AP3377+AR3377+AT3377+AV3377+AX3377+AZ3377+BB3377+BD3377+BF3377+BH3377+BJ3377+BL3377+BN3377+BP3377+BR3377+BT3377+BV3377+BX3377+BZ3377+CB3377+CD3377+CF3377+CH3377+CJ3377+CL3377+CN3377+CP3377+CR3377+CT3377</f>
        <v>0</v>
      </c>
      <c r="CV3377" s="76"/>
      <c r="CW3377" s="76">
        <f>+CV3377*1100</f>
        <v>0</v>
      </c>
      <c r="CX3377" s="76"/>
      <c r="CY3377" s="76">
        <f>+CX3377*106250</f>
        <v>0</v>
      </c>
      <c r="CZ3377" s="76"/>
      <c r="DA3377" s="76">
        <f>+CZ3377*34500</f>
        <v>0</v>
      </c>
      <c r="DB3377" s="76"/>
      <c r="DC3377" s="76">
        <f>+DB3377*25000</f>
        <v>0</v>
      </c>
      <c r="DD3377" s="219"/>
      <c r="DE3377" s="219"/>
      <c r="DF3377" s="166"/>
      <c r="DG3377" s="116"/>
      <c r="DH3377" s="117"/>
      <c r="DI3377" s="24"/>
      <c r="DJ3377" s="24"/>
      <c r="DK3377" s="24"/>
      <c r="DL3377" s="24"/>
      <c r="DM3377" s="24"/>
      <c r="DN3377" s="24"/>
      <c r="DO3377" s="24"/>
      <c r="DP3377" s="24"/>
      <c r="DQ3377" s="24"/>
      <c r="DR3377" s="24"/>
      <c r="DS3377" s="24"/>
      <c r="DT3377" s="24"/>
      <c r="DU3377" s="24"/>
    </row>
    <row r="3378" spans="1:125" s="8" customFormat="1" ht="60" x14ac:dyDescent="0.2">
      <c r="A3378" s="353">
        <v>41563</v>
      </c>
      <c r="B3378" s="78" t="s">
        <v>2777</v>
      </c>
      <c r="C3378" s="75" t="s">
        <v>1515</v>
      </c>
      <c r="D3378" s="75" t="s">
        <v>3051</v>
      </c>
      <c r="E3378" s="75" t="str">
        <f>VLOOKUP(B3378&amp;C3378,Divipola!$C$2:$F$1138,4,FALSE)</f>
        <v>13647</v>
      </c>
      <c r="F3378" s="87"/>
      <c r="G3378" s="87"/>
      <c r="H3378" s="87"/>
      <c r="I3378" s="87"/>
      <c r="J3378" s="87"/>
      <c r="K3378" s="87"/>
      <c r="L3378" s="87"/>
      <c r="M3378" s="87"/>
      <c r="N3378" s="87"/>
      <c r="O3378" s="87"/>
      <c r="P3378" s="87"/>
      <c r="Q3378" s="87"/>
      <c r="R3378" s="87"/>
      <c r="S3378" s="87"/>
      <c r="T3378" s="87"/>
      <c r="U3378" s="88"/>
      <c r="V3378" s="89"/>
      <c r="W3378" s="96">
        <v>0</v>
      </c>
      <c r="X3378" s="71">
        <f>CU3378</f>
        <v>0</v>
      </c>
      <c r="Y3378" s="71">
        <f>CY3378</f>
        <v>0</v>
      </c>
      <c r="Z3378" s="71">
        <f>DA3378+DC3378+DE3378</f>
        <v>0</v>
      </c>
      <c r="AA3378" s="71">
        <f>CW3378</f>
        <v>0</v>
      </c>
      <c r="AB3378" s="71"/>
      <c r="AC3378" s="71">
        <v>0</v>
      </c>
      <c r="AD3378" s="71">
        <f>W3378+X3378+Y3378+Z3378+AA3378+AB3378+AC3378</f>
        <v>0</v>
      </c>
      <c r="AE3378" s="72">
        <v>0</v>
      </c>
      <c r="AF3378" s="5"/>
      <c r="AG3378" s="6"/>
      <c r="AH3378" s="27"/>
      <c r="AI3378" s="44"/>
      <c r="AJ3378" s="26"/>
      <c r="AK3378" s="5"/>
      <c r="AL3378" s="9" t="s">
        <v>6336</v>
      </c>
      <c r="AM3378" s="76"/>
      <c r="AN3378" s="76"/>
      <c r="AO3378" s="76"/>
      <c r="AP3378" s="76"/>
      <c r="AQ3378" s="76"/>
      <c r="AR3378" s="76"/>
      <c r="AS3378" s="76"/>
      <c r="AT3378" s="76"/>
      <c r="AU3378" s="76"/>
      <c r="AV3378" s="76"/>
      <c r="AW3378" s="76"/>
      <c r="AX3378" s="76">
        <f>+AW3378*600000</f>
        <v>0</v>
      </c>
      <c r="AY3378" s="76"/>
      <c r="AZ3378" s="76">
        <f>+AY3378*70000</f>
        <v>0</v>
      </c>
      <c r="BA3378" s="76"/>
      <c r="BB3378" s="76"/>
      <c r="BC3378" s="76"/>
      <c r="BD3378" s="76">
        <f>+BC3378*30000</f>
        <v>0</v>
      </c>
      <c r="BE3378" s="76"/>
      <c r="BF3378" s="76"/>
      <c r="BG3378" s="76"/>
      <c r="BH3378" s="76"/>
      <c r="BI3378" s="76"/>
      <c r="BJ3378" s="76"/>
      <c r="BK3378" s="76"/>
      <c r="BL3378" s="76">
        <f>+BK3378*31500</f>
        <v>0</v>
      </c>
      <c r="BM3378" s="76"/>
      <c r="BN3378" s="76"/>
      <c r="BO3378" s="76"/>
      <c r="BP3378" s="76"/>
      <c r="BQ3378" s="76"/>
      <c r="BR3378" s="76"/>
      <c r="BS3378" s="76"/>
      <c r="BT3378" s="76"/>
      <c r="BU3378" s="76"/>
      <c r="BV3378" s="76"/>
      <c r="BW3378" s="76"/>
      <c r="BX3378" s="76"/>
      <c r="BY3378" s="76"/>
      <c r="BZ3378" s="76"/>
      <c r="CA3378" s="76"/>
      <c r="CB3378" s="76"/>
      <c r="CC3378" s="76"/>
      <c r="CD3378" s="76"/>
      <c r="CE3378" s="76"/>
      <c r="CF3378" s="76">
        <f>+CE3378*28000</f>
        <v>0</v>
      </c>
      <c r="CG3378" s="76"/>
      <c r="CH3378" s="76">
        <f>+CG3378*22500</f>
        <v>0</v>
      </c>
      <c r="CI3378" s="76"/>
      <c r="CJ3378" s="76">
        <f>+CI3378*26000</f>
        <v>0</v>
      </c>
      <c r="CK3378" s="76"/>
      <c r="CL3378" s="76"/>
      <c r="CM3378" s="76"/>
      <c r="CN3378" s="76">
        <f>+CM3378*22000</f>
        <v>0</v>
      </c>
      <c r="CO3378" s="76"/>
      <c r="CP3378" s="76">
        <f>+CO3378*46000</f>
        <v>0</v>
      </c>
      <c r="CQ3378" s="76"/>
      <c r="CR3378" s="76">
        <f>+CQ3378*49000</f>
        <v>0</v>
      </c>
      <c r="CS3378" s="76"/>
      <c r="CT3378" s="76"/>
      <c r="CU3378" s="56">
        <f>AN3378+AP3378+AR3378+AT3378+AV3378+AX3378+AZ3378+BB3378+BD3378+BF3378+BH3378+BJ3378+BL3378+BN3378+BP3378+BR3378+BT3378+BV3378+BX3378+BZ3378+CB3378+CD3378+CF3378+CH3378+CJ3378+CL3378+CN3378+CP3378+CR3378+CT3378</f>
        <v>0</v>
      </c>
      <c r="CV3378" s="76"/>
      <c r="CW3378" s="76">
        <f>+CV3378*1100</f>
        <v>0</v>
      </c>
      <c r="CX3378" s="76"/>
      <c r="CY3378" s="76">
        <f>+CX3378*106250</f>
        <v>0</v>
      </c>
      <c r="CZ3378" s="76"/>
      <c r="DA3378" s="76">
        <f>+CZ3378*34500</f>
        <v>0</v>
      </c>
      <c r="DB3378" s="76"/>
      <c r="DC3378" s="76">
        <f>+DB3378*25000</f>
        <v>0</v>
      </c>
      <c r="DD3378" s="219"/>
      <c r="DE3378" s="219"/>
      <c r="DF3378" s="166"/>
      <c r="DG3378" s="116"/>
      <c r="DH3378" s="117"/>
      <c r="DI3378" s="24"/>
      <c r="DJ3378" s="24"/>
      <c r="DK3378" s="24"/>
      <c r="DL3378" s="24"/>
      <c r="DM3378" s="24"/>
      <c r="DN3378" s="24"/>
      <c r="DO3378" s="24"/>
      <c r="DP3378" s="24"/>
      <c r="DQ3378" s="24"/>
      <c r="DR3378" s="24"/>
      <c r="DS3378" s="24"/>
      <c r="DT3378" s="24"/>
      <c r="DU3378" s="24"/>
    </row>
    <row r="3379" spans="1:125" s="8" customFormat="1" ht="60" x14ac:dyDescent="0.2">
      <c r="A3379" s="353">
        <v>41563</v>
      </c>
      <c r="B3379" s="352" t="s">
        <v>2777</v>
      </c>
      <c r="C3379" s="354" t="s">
        <v>1540</v>
      </c>
      <c r="D3379" s="354" t="s">
        <v>3051</v>
      </c>
      <c r="E3379" s="75" t="str">
        <f>VLOOKUP(B3379&amp;C3379,Divipola!$C$2:$F$1138,4,FALSE)</f>
        <v>13760</v>
      </c>
      <c r="F3379" s="87"/>
      <c r="G3379" s="87"/>
      <c r="H3379" s="87"/>
      <c r="I3379" s="87"/>
      <c r="J3379" s="87"/>
      <c r="K3379" s="87"/>
      <c r="L3379" s="87"/>
      <c r="M3379" s="87"/>
      <c r="N3379" s="87"/>
      <c r="O3379" s="87"/>
      <c r="P3379" s="87"/>
      <c r="Q3379" s="87"/>
      <c r="R3379" s="87"/>
      <c r="S3379" s="87"/>
      <c r="T3379" s="87"/>
      <c r="U3379" s="88"/>
      <c r="V3379" s="89"/>
      <c r="W3379" s="96">
        <v>0</v>
      </c>
      <c r="X3379" s="71">
        <f>CU3379</f>
        <v>0</v>
      </c>
      <c r="Y3379" s="71">
        <f>CY3379</f>
        <v>0</v>
      </c>
      <c r="Z3379" s="71">
        <f>DA3379+DC3379+DE3379</f>
        <v>0</v>
      </c>
      <c r="AA3379" s="71">
        <f>CW3379</f>
        <v>0</v>
      </c>
      <c r="AB3379" s="71"/>
      <c r="AC3379" s="71">
        <v>0</v>
      </c>
      <c r="AD3379" s="71">
        <f>W3379+X3379+Y3379+Z3379+AA3379+AB3379+AC3379</f>
        <v>0</v>
      </c>
      <c r="AE3379" s="72">
        <v>0</v>
      </c>
      <c r="AF3379" s="5"/>
      <c r="AG3379" s="6"/>
      <c r="AH3379" s="27"/>
      <c r="AI3379" s="44"/>
      <c r="AJ3379" s="26"/>
      <c r="AK3379" s="5"/>
      <c r="AL3379" s="82" t="s">
        <v>6336</v>
      </c>
      <c r="AM3379" s="76"/>
      <c r="AN3379" s="76"/>
      <c r="AO3379" s="76"/>
      <c r="AP3379" s="76"/>
      <c r="AQ3379" s="76"/>
      <c r="AR3379" s="76"/>
      <c r="AS3379" s="76"/>
      <c r="AT3379" s="76"/>
      <c r="AU3379" s="76"/>
      <c r="AV3379" s="76"/>
      <c r="AW3379" s="76"/>
      <c r="AX3379" s="76">
        <f>+AW3379*600000</f>
        <v>0</v>
      </c>
      <c r="AY3379" s="76"/>
      <c r="AZ3379" s="76">
        <f>+AY3379*70000</f>
        <v>0</v>
      </c>
      <c r="BA3379" s="76"/>
      <c r="BB3379" s="76"/>
      <c r="BC3379" s="76"/>
      <c r="BD3379" s="76">
        <f>+BC3379*30000</f>
        <v>0</v>
      </c>
      <c r="BE3379" s="76"/>
      <c r="BF3379" s="76"/>
      <c r="BG3379" s="76"/>
      <c r="BH3379" s="76"/>
      <c r="BI3379" s="76"/>
      <c r="BJ3379" s="76"/>
      <c r="BK3379" s="76"/>
      <c r="BL3379" s="76">
        <f>+BK3379*31500</f>
        <v>0</v>
      </c>
      <c r="BM3379" s="76"/>
      <c r="BN3379" s="76"/>
      <c r="BO3379" s="76"/>
      <c r="BP3379" s="76"/>
      <c r="BQ3379" s="76"/>
      <c r="BR3379" s="76"/>
      <c r="BS3379" s="76"/>
      <c r="BT3379" s="76"/>
      <c r="BU3379" s="76"/>
      <c r="BV3379" s="76"/>
      <c r="BW3379" s="76"/>
      <c r="BX3379" s="76"/>
      <c r="BY3379" s="76"/>
      <c r="BZ3379" s="76"/>
      <c r="CA3379" s="76"/>
      <c r="CB3379" s="76"/>
      <c r="CC3379" s="76"/>
      <c r="CD3379" s="76"/>
      <c r="CE3379" s="76"/>
      <c r="CF3379" s="76">
        <f>+CE3379*28000</f>
        <v>0</v>
      </c>
      <c r="CG3379" s="76"/>
      <c r="CH3379" s="76">
        <f>+CG3379*22500</f>
        <v>0</v>
      </c>
      <c r="CI3379" s="76"/>
      <c r="CJ3379" s="76">
        <f>+CI3379*26000</f>
        <v>0</v>
      </c>
      <c r="CK3379" s="76"/>
      <c r="CL3379" s="76"/>
      <c r="CM3379" s="76"/>
      <c r="CN3379" s="76">
        <f>+CM3379*22000</f>
        <v>0</v>
      </c>
      <c r="CO3379" s="76"/>
      <c r="CP3379" s="76">
        <f>+CO3379*46000</f>
        <v>0</v>
      </c>
      <c r="CQ3379" s="76"/>
      <c r="CR3379" s="76">
        <f>+CQ3379*49000</f>
        <v>0</v>
      </c>
      <c r="CS3379" s="76"/>
      <c r="CT3379" s="76"/>
      <c r="CU3379" s="56">
        <f>AN3379+AP3379+AR3379+AT3379+AV3379+AX3379+AZ3379+BB3379+BD3379+BF3379+BH3379+BJ3379+BL3379+BN3379+BP3379+BR3379+BT3379+BV3379+BX3379+BZ3379+CB3379+CD3379+CF3379+CH3379+CJ3379+CL3379+CN3379+CP3379+CR3379+CT3379</f>
        <v>0</v>
      </c>
      <c r="CV3379" s="76"/>
      <c r="CW3379" s="76">
        <f>+CV3379*1100</f>
        <v>0</v>
      </c>
      <c r="CX3379" s="76"/>
      <c r="CY3379" s="76">
        <f>+CX3379*106250</f>
        <v>0</v>
      </c>
      <c r="CZ3379" s="76"/>
      <c r="DA3379" s="76">
        <f>+CZ3379*34500</f>
        <v>0</v>
      </c>
      <c r="DB3379" s="76"/>
      <c r="DC3379" s="76">
        <f>+DB3379*25000</f>
        <v>0</v>
      </c>
      <c r="DD3379" s="219"/>
      <c r="DE3379" s="219"/>
      <c r="DF3379" s="166"/>
      <c r="DG3379" s="116"/>
      <c r="DH3379" s="117"/>
      <c r="DI3379" s="24"/>
      <c r="DJ3379" s="24"/>
      <c r="DK3379" s="24"/>
      <c r="DL3379" s="24"/>
      <c r="DM3379" s="24"/>
      <c r="DN3379" s="24"/>
      <c r="DO3379" s="24"/>
      <c r="DP3379" s="24"/>
      <c r="DQ3379" s="24"/>
      <c r="DR3379" s="24"/>
      <c r="DS3379" s="24"/>
      <c r="DT3379" s="24"/>
      <c r="DU3379" s="24"/>
    </row>
    <row r="3380" spans="1:125" s="8" customFormat="1" ht="48" x14ac:dyDescent="0.2">
      <c r="A3380" s="353">
        <v>41563</v>
      </c>
      <c r="B3380" s="75" t="s">
        <v>2854</v>
      </c>
      <c r="C3380" s="75" t="s">
        <v>822</v>
      </c>
      <c r="D3380" s="75" t="s">
        <v>2846</v>
      </c>
      <c r="E3380" s="75" t="str">
        <f>VLOOKUP(B3380&amp;C3380,Divipola!$C$2:$F$1138,4,FALSE)</f>
        <v>19022</v>
      </c>
      <c r="F3380" s="93"/>
      <c r="G3380" s="93"/>
      <c r="H3380" s="93"/>
      <c r="I3380" s="93">
        <v>70</v>
      </c>
      <c r="J3380" s="93">
        <v>14</v>
      </c>
      <c r="K3380" s="93">
        <v>14</v>
      </c>
      <c r="L3380" s="93"/>
      <c r="M3380" s="93"/>
      <c r="N3380" s="93"/>
      <c r="O3380" s="93"/>
      <c r="P3380" s="93"/>
      <c r="Q3380" s="93"/>
      <c r="R3380" s="93"/>
      <c r="S3380" s="93"/>
      <c r="T3380" s="93"/>
      <c r="U3380" s="93">
        <v>10</v>
      </c>
      <c r="V3380" s="93"/>
      <c r="W3380" s="96">
        <v>0</v>
      </c>
      <c r="X3380" s="71">
        <f>CU3380</f>
        <v>0</v>
      </c>
      <c r="Y3380" s="71">
        <f>CY3380</f>
        <v>0</v>
      </c>
      <c r="Z3380" s="71">
        <f>DA3380+DC3380+DE3380</f>
        <v>0</v>
      </c>
      <c r="AA3380" s="71">
        <f>CW3380</f>
        <v>0</v>
      </c>
      <c r="AB3380" s="71"/>
      <c r="AC3380" s="71">
        <v>0</v>
      </c>
      <c r="AD3380" s="71">
        <f>W3380+X3380+Y3380+Z3380+AA3380+AB3380+AC3380</f>
        <v>0</v>
      </c>
      <c r="AE3380" s="72">
        <v>0</v>
      </c>
      <c r="AF3380" s="5"/>
      <c r="AG3380" s="6"/>
      <c r="AH3380" s="27"/>
      <c r="AI3380" s="44"/>
      <c r="AJ3380" s="26"/>
      <c r="AK3380" s="5"/>
      <c r="AL3380" s="330" t="s">
        <v>6338</v>
      </c>
      <c r="AM3380" s="76"/>
      <c r="AN3380" s="76"/>
      <c r="AO3380" s="76"/>
      <c r="AP3380" s="76"/>
      <c r="AQ3380" s="76"/>
      <c r="AR3380" s="76"/>
      <c r="AS3380" s="76"/>
      <c r="AT3380" s="76"/>
      <c r="AU3380" s="76"/>
      <c r="AV3380" s="76"/>
      <c r="AW3380" s="76"/>
      <c r="AX3380" s="76">
        <f>+AW3380*600000</f>
        <v>0</v>
      </c>
      <c r="AY3380" s="76"/>
      <c r="AZ3380" s="76">
        <f>+AY3380*70000</f>
        <v>0</v>
      </c>
      <c r="BA3380" s="76"/>
      <c r="BB3380" s="76"/>
      <c r="BC3380" s="76"/>
      <c r="BD3380" s="76">
        <f>+BC3380*30000</f>
        <v>0</v>
      </c>
      <c r="BE3380" s="76"/>
      <c r="BF3380" s="76"/>
      <c r="BG3380" s="76"/>
      <c r="BH3380" s="76"/>
      <c r="BI3380" s="76"/>
      <c r="BJ3380" s="76"/>
      <c r="BK3380" s="76"/>
      <c r="BL3380" s="76">
        <f>+BK3380*31500</f>
        <v>0</v>
      </c>
      <c r="BM3380" s="76"/>
      <c r="BN3380" s="76"/>
      <c r="BO3380" s="76"/>
      <c r="BP3380" s="76"/>
      <c r="BQ3380" s="76"/>
      <c r="BR3380" s="76"/>
      <c r="BS3380" s="76"/>
      <c r="BT3380" s="76"/>
      <c r="BU3380" s="76"/>
      <c r="BV3380" s="76"/>
      <c r="BW3380" s="76"/>
      <c r="BX3380" s="76"/>
      <c r="BY3380" s="76"/>
      <c r="BZ3380" s="76"/>
      <c r="CA3380" s="76"/>
      <c r="CB3380" s="76"/>
      <c r="CC3380" s="76"/>
      <c r="CD3380" s="76"/>
      <c r="CE3380" s="76"/>
      <c r="CF3380" s="76">
        <f>+CE3380*28000</f>
        <v>0</v>
      </c>
      <c r="CG3380" s="76"/>
      <c r="CH3380" s="76">
        <f>+CG3380*22500</f>
        <v>0</v>
      </c>
      <c r="CI3380" s="76"/>
      <c r="CJ3380" s="76">
        <f>+CI3380*26000</f>
        <v>0</v>
      </c>
      <c r="CK3380" s="76"/>
      <c r="CL3380" s="76"/>
      <c r="CM3380" s="76"/>
      <c r="CN3380" s="76">
        <f>+CM3380*22000</f>
        <v>0</v>
      </c>
      <c r="CO3380" s="76"/>
      <c r="CP3380" s="76">
        <f>+CO3380*46000</f>
        <v>0</v>
      </c>
      <c r="CQ3380" s="76"/>
      <c r="CR3380" s="76">
        <f>+CQ3380*49000</f>
        <v>0</v>
      </c>
      <c r="CS3380" s="76"/>
      <c r="CT3380" s="76"/>
      <c r="CU3380" s="56">
        <f>AN3380+AP3380+AR3380+AT3380+AV3380+AX3380+AZ3380+BB3380+BD3380+BF3380+BH3380+BJ3380+BL3380+BN3380+BP3380+BR3380+BT3380+BV3380+BX3380+BZ3380+CB3380+CD3380+CF3380+CH3380+CJ3380+CL3380+CN3380+CP3380+CR3380+CT3380</f>
        <v>0</v>
      </c>
      <c r="CV3380" s="76"/>
      <c r="CW3380" s="76">
        <f>+CV3380*1100</f>
        <v>0</v>
      </c>
      <c r="CX3380" s="76"/>
      <c r="CY3380" s="76">
        <f>+CX3380*106250</f>
        <v>0</v>
      </c>
      <c r="CZ3380" s="76"/>
      <c r="DA3380" s="76">
        <f>+CZ3380*34500</f>
        <v>0</v>
      </c>
      <c r="DB3380" s="76"/>
      <c r="DC3380" s="76">
        <f>+DB3380*25000</f>
        <v>0</v>
      </c>
      <c r="DD3380" s="219"/>
      <c r="DE3380" s="219"/>
      <c r="DF3380" s="166"/>
      <c r="DG3380" s="116"/>
      <c r="DH3380" s="117"/>
      <c r="DI3380" s="24"/>
      <c r="DJ3380" s="24"/>
      <c r="DK3380" s="24"/>
      <c r="DL3380" s="24"/>
      <c r="DM3380" s="24"/>
      <c r="DN3380" s="24"/>
      <c r="DO3380" s="24"/>
      <c r="DP3380" s="24"/>
      <c r="DQ3380" s="24"/>
      <c r="DR3380" s="24"/>
      <c r="DS3380" s="24"/>
      <c r="DT3380" s="24"/>
      <c r="DU3380" s="24"/>
    </row>
    <row r="3381" spans="1:125" s="8" customFormat="1" ht="48" x14ac:dyDescent="0.2">
      <c r="A3381" s="77">
        <v>41563</v>
      </c>
      <c r="B3381" s="78" t="s">
        <v>2854</v>
      </c>
      <c r="C3381" s="75" t="s">
        <v>822</v>
      </c>
      <c r="D3381" s="351" t="s">
        <v>2882</v>
      </c>
      <c r="E3381" s="75" t="str">
        <f>VLOOKUP(B3381&amp;C3381,Divipola!$C$2:$F$1138,4,FALSE)</f>
        <v>19022</v>
      </c>
      <c r="F3381" s="93"/>
      <c r="G3381" s="93"/>
      <c r="H3381" s="93"/>
      <c r="I3381" s="93">
        <v>75</v>
      </c>
      <c r="J3381" s="93">
        <v>15</v>
      </c>
      <c r="K3381" s="93">
        <v>15</v>
      </c>
      <c r="L3381" s="93"/>
      <c r="M3381" s="93"/>
      <c r="N3381" s="93"/>
      <c r="O3381" s="93"/>
      <c r="P3381" s="93"/>
      <c r="Q3381" s="93"/>
      <c r="R3381" s="93"/>
      <c r="S3381" s="93"/>
      <c r="T3381" s="93"/>
      <c r="U3381" s="93">
        <v>10</v>
      </c>
      <c r="V3381" s="89"/>
      <c r="W3381" s="96">
        <v>0</v>
      </c>
      <c r="X3381" s="71">
        <f>CU3381</f>
        <v>0</v>
      </c>
      <c r="Y3381" s="71">
        <f>CY3381</f>
        <v>0</v>
      </c>
      <c r="Z3381" s="71">
        <f>DA3381+DC3381+DE3381</f>
        <v>0</v>
      </c>
      <c r="AA3381" s="71">
        <f>CW3381</f>
        <v>0</v>
      </c>
      <c r="AB3381" s="71"/>
      <c r="AC3381" s="71">
        <v>0</v>
      </c>
      <c r="AD3381" s="71">
        <f>W3381+X3381+Y3381+Z3381+AA3381+AB3381+AC3381</f>
        <v>0</v>
      </c>
      <c r="AE3381" s="72">
        <v>0</v>
      </c>
      <c r="AF3381" s="5"/>
      <c r="AG3381" s="6"/>
      <c r="AH3381" s="27"/>
      <c r="AI3381" s="44"/>
      <c r="AJ3381" s="26"/>
      <c r="AK3381" s="5"/>
      <c r="AL3381" s="301" t="s">
        <v>6339</v>
      </c>
      <c r="AM3381" s="76"/>
      <c r="AN3381" s="76"/>
      <c r="AO3381" s="76"/>
      <c r="AP3381" s="76"/>
      <c r="AQ3381" s="76"/>
      <c r="AR3381" s="76"/>
      <c r="AS3381" s="76"/>
      <c r="AT3381" s="76"/>
      <c r="AU3381" s="76"/>
      <c r="AV3381" s="76"/>
      <c r="AW3381" s="76"/>
      <c r="AX3381" s="76">
        <f>+AW3381*600000</f>
        <v>0</v>
      </c>
      <c r="AY3381" s="76"/>
      <c r="AZ3381" s="76">
        <f>+AY3381*70000</f>
        <v>0</v>
      </c>
      <c r="BA3381" s="76"/>
      <c r="BB3381" s="76"/>
      <c r="BC3381" s="76"/>
      <c r="BD3381" s="76">
        <f>+BC3381*30000</f>
        <v>0</v>
      </c>
      <c r="BE3381" s="76"/>
      <c r="BF3381" s="76"/>
      <c r="BG3381" s="76"/>
      <c r="BH3381" s="76"/>
      <c r="BI3381" s="76"/>
      <c r="BJ3381" s="76"/>
      <c r="BK3381" s="76"/>
      <c r="BL3381" s="76">
        <f>+BK3381*31500</f>
        <v>0</v>
      </c>
      <c r="BM3381" s="76"/>
      <c r="BN3381" s="76"/>
      <c r="BO3381" s="76"/>
      <c r="BP3381" s="76"/>
      <c r="BQ3381" s="76"/>
      <c r="BR3381" s="76"/>
      <c r="BS3381" s="76"/>
      <c r="BT3381" s="76"/>
      <c r="BU3381" s="76"/>
      <c r="BV3381" s="76"/>
      <c r="BW3381" s="76"/>
      <c r="BX3381" s="76"/>
      <c r="BY3381" s="76"/>
      <c r="BZ3381" s="76"/>
      <c r="CA3381" s="76"/>
      <c r="CB3381" s="76"/>
      <c r="CC3381" s="76"/>
      <c r="CD3381" s="76"/>
      <c r="CE3381" s="76"/>
      <c r="CF3381" s="76">
        <f>+CE3381*28000</f>
        <v>0</v>
      </c>
      <c r="CG3381" s="76"/>
      <c r="CH3381" s="76">
        <f>+CG3381*22500</f>
        <v>0</v>
      </c>
      <c r="CI3381" s="76"/>
      <c r="CJ3381" s="76">
        <f>+CI3381*26000</f>
        <v>0</v>
      </c>
      <c r="CK3381" s="76"/>
      <c r="CL3381" s="76"/>
      <c r="CM3381" s="76"/>
      <c r="CN3381" s="76">
        <f>+CM3381*22000</f>
        <v>0</v>
      </c>
      <c r="CO3381" s="76"/>
      <c r="CP3381" s="76">
        <f>+CO3381*46000</f>
        <v>0</v>
      </c>
      <c r="CQ3381" s="76"/>
      <c r="CR3381" s="76">
        <f>+CQ3381*49000</f>
        <v>0</v>
      </c>
      <c r="CS3381" s="76"/>
      <c r="CT3381" s="76"/>
      <c r="CU3381" s="56">
        <f>AN3381+AP3381+AR3381+AT3381+AV3381+AX3381+AZ3381+BB3381+BD3381+BF3381+BH3381+BJ3381+BL3381+BN3381+BP3381+BR3381+BT3381+BV3381+BX3381+BZ3381+CB3381+CD3381+CF3381+CH3381+CJ3381+CL3381+CN3381+CP3381+CR3381+CT3381</f>
        <v>0</v>
      </c>
      <c r="CV3381" s="76"/>
      <c r="CW3381" s="76">
        <f>+CV3381*1100</f>
        <v>0</v>
      </c>
      <c r="CX3381" s="76"/>
      <c r="CY3381" s="76">
        <f>+CX3381*106250</f>
        <v>0</v>
      </c>
      <c r="CZ3381" s="76"/>
      <c r="DA3381" s="76">
        <f>+CZ3381*34500</f>
        <v>0</v>
      </c>
      <c r="DB3381" s="76"/>
      <c r="DC3381" s="76">
        <f>+DB3381*25000</f>
        <v>0</v>
      </c>
      <c r="DD3381" s="219"/>
      <c r="DE3381" s="219"/>
      <c r="DF3381" s="166"/>
      <c r="DG3381" s="116"/>
      <c r="DH3381" s="117"/>
      <c r="DI3381" s="24"/>
      <c r="DJ3381" s="24"/>
      <c r="DK3381" s="24"/>
      <c r="DL3381" s="24"/>
      <c r="DM3381" s="24"/>
      <c r="DN3381" s="24"/>
      <c r="DO3381" s="24"/>
      <c r="DP3381" s="24"/>
      <c r="DQ3381" s="24"/>
      <c r="DR3381" s="24"/>
      <c r="DS3381" s="24"/>
      <c r="DT3381" s="24"/>
      <c r="DU3381" s="24"/>
    </row>
    <row r="3382" spans="1:125" s="8" customFormat="1" ht="60" x14ac:dyDescent="0.2">
      <c r="A3382" s="353">
        <v>41563</v>
      </c>
      <c r="B3382" s="352" t="s">
        <v>2854</v>
      </c>
      <c r="C3382" s="354" t="s">
        <v>2216</v>
      </c>
      <c r="D3382" s="354" t="s">
        <v>3051</v>
      </c>
      <c r="E3382" s="75" t="str">
        <f>VLOOKUP(B3382&amp;C3382,Divipola!$C$2:$F$1138,4,FALSE)</f>
        <v>19075</v>
      </c>
      <c r="F3382" s="87"/>
      <c r="G3382" s="87"/>
      <c r="H3382" s="87"/>
      <c r="I3382" s="87">
        <f>40*5</f>
        <v>200</v>
      </c>
      <c r="J3382" s="87">
        <v>40</v>
      </c>
      <c r="K3382" s="87"/>
      <c r="L3382" s="87">
        <v>40</v>
      </c>
      <c r="M3382" s="87"/>
      <c r="N3382" s="87"/>
      <c r="O3382" s="87"/>
      <c r="P3382" s="87"/>
      <c r="Q3382" s="87"/>
      <c r="R3382" s="87"/>
      <c r="S3382" s="87"/>
      <c r="T3382" s="87"/>
      <c r="U3382" s="88"/>
      <c r="V3382" s="89"/>
      <c r="W3382" s="96">
        <v>0</v>
      </c>
      <c r="X3382" s="71">
        <f>CU3382</f>
        <v>0</v>
      </c>
      <c r="Y3382" s="71">
        <f>CY3382</f>
        <v>0</v>
      </c>
      <c r="Z3382" s="71">
        <f>DA3382+DC3382+DE3382</f>
        <v>0</v>
      </c>
      <c r="AA3382" s="71">
        <f>CW3382</f>
        <v>0</v>
      </c>
      <c r="AB3382" s="71"/>
      <c r="AC3382" s="71">
        <v>0</v>
      </c>
      <c r="AD3382" s="71">
        <f>W3382+X3382+Y3382+Z3382+AA3382+AB3382+AC3382</f>
        <v>0</v>
      </c>
      <c r="AE3382" s="72">
        <v>0</v>
      </c>
      <c r="AF3382" s="5"/>
      <c r="AG3382" s="6"/>
      <c r="AH3382" s="27"/>
      <c r="AI3382" s="44"/>
      <c r="AJ3382" s="26"/>
      <c r="AK3382" s="5"/>
      <c r="AL3382" s="82" t="s">
        <v>6335</v>
      </c>
      <c r="AM3382" s="76"/>
      <c r="AN3382" s="76"/>
      <c r="AO3382" s="76"/>
      <c r="AP3382" s="76"/>
      <c r="AQ3382" s="76"/>
      <c r="AR3382" s="76"/>
      <c r="AS3382" s="76"/>
      <c r="AT3382" s="76"/>
      <c r="AU3382" s="76"/>
      <c r="AV3382" s="76"/>
      <c r="AW3382" s="76"/>
      <c r="AX3382" s="76">
        <f>+AW3382*600000</f>
        <v>0</v>
      </c>
      <c r="AY3382" s="76"/>
      <c r="AZ3382" s="76">
        <f>+AY3382*70000</f>
        <v>0</v>
      </c>
      <c r="BA3382" s="76"/>
      <c r="BB3382" s="76"/>
      <c r="BC3382" s="76"/>
      <c r="BD3382" s="76">
        <f>+BC3382*30000</f>
        <v>0</v>
      </c>
      <c r="BE3382" s="76"/>
      <c r="BF3382" s="76"/>
      <c r="BG3382" s="76"/>
      <c r="BH3382" s="76"/>
      <c r="BI3382" s="76"/>
      <c r="BJ3382" s="76"/>
      <c r="BK3382" s="76"/>
      <c r="BL3382" s="76">
        <f>+BK3382*31500</f>
        <v>0</v>
      </c>
      <c r="BM3382" s="76"/>
      <c r="BN3382" s="76"/>
      <c r="BO3382" s="76"/>
      <c r="BP3382" s="76"/>
      <c r="BQ3382" s="76"/>
      <c r="BR3382" s="76"/>
      <c r="BS3382" s="76"/>
      <c r="BT3382" s="76"/>
      <c r="BU3382" s="76"/>
      <c r="BV3382" s="76"/>
      <c r="BW3382" s="76"/>
      <c r="BX3382" s="76"/>
      <c r="BY3382" s="76"/>
      <c r="BZ3382" s="76"/>
      <c r="CA3382" s="76"/>
      <c r="CB3382" s="76"/>
      <c r="CC3382" s="76"/>
      <c r="CD3382" s="76"/>
      <c r="CE3382" s="76"/>
      <c r="CF3382" s="76">
        <f>+CE3382*28000</f>
        <v>0</v>
      </c>
      <c r="CG3382" s="76"/>
      <c r="CH3382" s="76">
        <f>+CG3382*22500</f>
        <v>0</v>
      </c>
      <c r="CI3382" s="76"/>
      <c r="CJ3382" s="76">
        <f>+CI3382*26000</f>
        <v>0</v>
      </c>
      <c r="CK3382" s="76"/>
      <c r="CL3382" s="76"/>
      <c r="CM3382" s="76"/>
      <c r="CN3382" s="76">
        <f>+CM3382*22000</f>
        <v>0</v>
      </c>
      <c r="CO3382" s="76"/>
      <c r="CP3382" s="76">
        <f>+CO3382*46000</f>
        <v>0</v>
      </c>
      <c r="CQ3382" s="76"/>
      <c r="CR3382" s="76">
        <f>+CQ3382*49000</f>
        <v>0</v>
      </c>
      <c r="CS3382" s="76"/>
      <c r="CT3382" s="76"/>
      <c r="CU3382" s="56">
        <f>AN3382+AP3382+AR3382+AT3382+AV3382+AX3382+AZ3382+BB3382+BD3382+BF3382+BH3382+BJ3382+BL3382+BN3382+BP3382+BR3382+BT3382+BV3382+BX3382+BZ3382+CB3382+CD3382+CF3382+CH3382+CJ3382+CL3382+CN3382+CP3382+CR3382+CT3382</f>
        <v>0</v>
      </c>
      <c r="CV3382" s="76"/>
      <c r="CW3382" s="76">
        <f>+CV3382*1100</f>
        <v>0</v>
      </c>
      <c r="CX3382" s="76"/>
      <c r="CY3382" s="76">
        <f>+CX3382*106250</f>
        <v>0</v>
      </c>
      <c r="CZ3382" s="76"/>
      <c r="DA3382" s="76">
        <f>+CZ3382*34500</f>
        <v>0</v>
      </c>
      <c r="DB3382" s="76"/>
      <c r="DC3382" s="76">
        <f>+DB3382*25000</f>
        <v>0</v>
      </c>
      <c r="DD3382" s="219"/>
      <c r="DE3382" s="219"/>
      <c r="DF3382" s="166"/>
      <c r="DG3382" s="116"/>
      <c r="DH3382" s="117"/>
      <c r="DI3382" s="24"/>
      <c r="DJ3382" s="24"/>
      <c r="DK3382" s="24"/>
      <c r="DL3382" s="24"/>
      <c r="DM3382" s="24"/>
      <c r="DN3382" s="24"/>
      <c r="DO3382" s="24"/>
      <c r="DP3382" s="24"/>
      <c r="DQ3382" s="24"/>
      <c r="DR3382" s="24"/>
      <c r="DS3382" s="24"/>
      <c r="DT3382" s="24"/>
      <c r="DU3382" s="24"/>
    </row>
    <row r="3383" spans="1:125" s="8" customFormat="1" ht="48" x14ac:dyDescent="0.2">
      <c r="A3383" s="77">
        <v>41563</v>
      </c>
      <c r="B3383" s="78" t="s">
        <v>2854</v>
      </c>
      <c r="C3383" s="75" t="s">
        <v>2731</v>
      </c>
      <c r="D3383" s="75" t="s">
        <v>2859</v>
      </c>
      <c r="E3383" s="75" t="str">
        <f>VLOOKUP(B3383&amp;C3383,Divipola!$C$2:$F$1138,4,FALSE)</f>
        <v>19001</v>
      </c>
      <c r="F3383" s="87"/>
      <c r="G3383" s="87"/>
      <c r="H3383" s="87"/>
      <c r="I3383" s="87"/>
      <c r="J3383" s="87"/>
      <c r="K3383" s="87"/>
      <c r="L3383" s="87"/>
      <c r="M3383" s="87"/>
      <c r="N3383" s="87"/>
      <c r="O3383" s="87"/>
      <c r="P3383" s="87"/>
      <c r="Q3383" s="87"/>
      <c r="R3383" s="87"/>
      <c r="S3383" s="87"/>
      <c r="T3383" s="87"/>
      <c r="U3383" s="88"/>
      <c r="V3383" s="89"/>
      <c r="W3383" s="96">
        <v>0</v>
      </c>
      <c r="X3383" s="71">
        <f>CU3383</f>
        <v>0</v>
      </c>
      <c r="Y3383" s="71">
        <f>CY3383</f>
        <v>0</v>
      </c>
      <c r="Z3383" s="71">
        <f>DA3383+DC3383+DE3383</f>
        <v>0</v>
      </c>
      <c r="AA3383" s="71">
        <f>CW3383</f>
        <v>0</v>
      </c>
      <c r="AB3383" s="71"/>
      <c r="AC3383" s="71">
        <v>0</v>
      </c>
      <c r="AD3383" s="71">
        <f>W3383+X3383+Y3383+Z3383+AA3383+AB3383+AC3383</f>
        <v>0</v>
      </c>
      <c r="AE3383" s="72">
        <v>0</v>
      </c>
      <c r="AF3383" s="5"/>
      <c r="AG3383" s="6"/>
      <c r="AH3383" s="27"/>
      <c r="AI3383" s="44"/>
      <c r="AJ3383" s="26"/>
      <c r="AK3383" s="5"/>
      <c r="AL3383" s="268" t="s">
        <v>6334</v>
      </c>
      <c r="AM3383" s="76"/>
      <c r="AN3383" s="76"/>
      <c r="AO3383" s="76"/>
      <c r="AP3383" s="76"/>
      <c r="AQ3383" s="76"/>
      <c r="AR3383" s="76"/>
      <c r="AS3383" s="76"/>
      <c r="AT3383" s="76"/>
      <c r="AU3383" s="76"/>
      <c r="AV3383" s="76"/>
      <c r="AW3383" s="76"/>
      <c r="AX3383" s="76">
        <f>+AW3383*600000</f>
        <v>0</v>
      </c>
      <c r="AY3383" s="76"/>
      <c r="AZ3383" s="76">
        <f>+AY3383*70000</f>
        <v>0</v>
      </c>
      <c r="BA3383" s="76"/>
      <c r="BB3383" s="76"/>
      <c r="BC3383" s="76"/>
      <c r="BD3383" s="76">
        <f>+BC3383*30000</f>
        <v>0</v>
      </c>
      <c r="BE3383" s="76"/>
      <c r="BF3383" s="76"/>
      <c r="BG3383" s="76"/>
      <c r="BH3383" s="76"/>
      <c r="BI3383" s="76"/>
      <c r="BJ3383" s="76"/>
      <c r="BK3383" s="76"/>
      <c r="BL3383" s="76">
        <f>+BK3383*31500</f>
        <v>0</v>
      </c>
      <c r="BM3383" s="76"/>
      <c r="BN3383" s="76"/>
      <c r="BO3383" s="76"/>
      <c r="BP3383" s="76"/>
      <c r="BQ3383" s="76"/>
      <c r="BR3383" s="76"/>
      <c r="BS3383" s="76"/>
      <c r="BT3383" s="76"/>
      <c r="BU3383" s="76"/>
      <c r="BV3383" s="76"/>
      <c r="BW3383" s="76"/>
      <c r="BX3383" s="76"/>
      <c r="BY3383" s="76"/>
      <c r="BZ3383" s="76"/>
      <c r="CA3383" s="76"/>
      <c r="CB3383" s="76"/>
      <c r="CC3383" s="76"/>
      <c r="CD3383" s="76"/>
      <c r="CE3383" s="76"/>
      <c r="CF3383" s="76">
        <f>+CE3383*28000</f>
        <v>0</v>
      </c>
      <c r="CG3383" s="76"/>
      <c r="CH3383" s="76">
        <f>+CG3383*22500</f>
        <v>0</v>
      </c>
      <c r="CI3383" s="76"/>
      <c r="CJ3383" s="76">
        <f>+CI3383*26000</f>
        <v>0</v>
      </c>
      <c r="CK3383" s="76"/>
      <c r="CL3383" s="76"/>
      <c r="CM3383" s="76"/>
      <c r="CN3383" s="76">
        <f>+CM3383*22000</f>
        <v>0</v>
      </c>
      <c r="CO3383" s="76"/>
      <c r="CP3383" s="76">
        <f>+CO3383*46000</f>
        <v>0</v>
      </c>
      <c r="CQ3383" s="76"/>
      <c r="CR3383" s="76">
        <f>+CQ3383*49000</f>
        <v>0</v>
      </c>
      <c r="CS3383" s="76"/>
      <c r="CT3383" s="76"/>
      <c r="CU3383" s="56">
        <f>AN3383+AP3383+AR3383+AT3383+AV3383+AX3383+AZ3383+BB3383+BD3383+BF3383+BH3383+BJ3383+BL3383+BN3383+BP3383+BR3383+BT3383+BV3383+BX3383+BZ3383+CB3383+CD3383+CF3383+CH3383+CJ3383+CL3383+CN3383+CP3383+CR3383+CT3383</f>
        <v>0</v>
      </c>
      <c r="CV3383" s="76"/>
      <c r="CW3383" s="76">
        <f>+CV3383*1100</f>
        <v>0</v>
      </c>
      <c r="CX3383" s="76"/>
      <c r="CY3383" s="76">
        <f>+CX3383*106250</f>
        <v>0</v>
      </c>
      <c r="CZ3383" s="76"/>
      <c r="DA3383" s="76">
        <f>+CZ3383*34500</f>
        <v>0</v>
      </c>
      <c r="DB3383" s="76"/>
      <c r="DC3383" s="76">
        <f>+DB3383*25000</f>
        <v>0</v>
      </c>
      <c r="DD3383" s="219"/>
      <c r="DE3383" s="219"/>
      <c r="DF3383" s="166"/>
      <c r="DG3383" s="116"/>
      <c r="DH3383" s="117"/>
      <c r="DI3383" s="24"/>
      <c r="DJ3383" s="24"/>
      <c r="DK3383" s="24"/>
      <c r="DL3383" s="24"/>
      <c r="DM3383" s="24"/>
      <c r="DN3383" s="24"/>
      <c r="DO3383" s="24"/>
      <c r="DP3383" s="24"/>
      <c r="DQ3383" s="24"/>
      <c r="DR3383" s="24"/>
      <c r="DS3383" s="24"/>
      <c r="DT3383" s="24"/>
      <c r="DU3383" s="24"/>
    </row>
    <row r="3384" spans="1:125" s="8" customFormat="1" ht="36" x14ac:dyDescent="0.2">
      <c r="A3384" s="353">
        <v>41563</v>
      </c>
      <c r="B3384" s="352" t="s">
        <v>2854</v>
      </c>
      <c r="C3384" s="354" t="s">
        <v>881</v>
      </c>
      <c r="D3384" s="354" t="s">
        <v>3088</v>
      </c>
      <c r="E3384" s="75" t="str">
        <f>VLOOKUP(B3384&amp;C3384,Divipola!$C$2:$F$1138,4,FALSE)</f>
        <v>19809</v>
      </c>
      <c r="F3384" s="87"/>
      <c r="G3384" s="87"/>
      <c r="H3384" s="87"/>
      <c r="I3384" s="87">
        <v>10</v>
      </c>
      <c r="J3384" s="87">
        <v>2</v>
      </c>
      <c r="K3384" s="87"/>
      <c r="L3384" s="87">
        <v>2</v>
      </c>
      <c r="M3384" s="87"/>
      <c r="N3384" s="87"/>
      <c r="O3384" s="87"/>
      <c r="P3384" s="87"/>
      <c r="Q3384" s="87"/>
      <c r="R3384" s="87"/>
      <c r="S3384" s="87"/>
      <c r="T3384" s="87"/>
      <c r="U3384" s="88"/>
      <c r="V3384" s="89"/>
      <c r="W3384" s="96">
        <v>0</v>
      </c>
      <c r="X3384" s="71">
        <f>CU3384</f>
        <v>0</v>
      </c>
      <c r="Y3384" s="71">
        <f>CY3384</f>
        <v>0</v>
      </c>
      <c r="Z3384" s="71">
        <f>DA3384+DC3384+DE3384</f>
        <v>0</v>
      </c>
      <c r="AA3384" s="71">
        <f>CW3384</f>
        <v>0</v>
      </c>
      <c r="AB3384" s="71"/>
      <c r="AC3384" s="71">
        <v>0</v>
      </c>
      <c r="AD3384" s="71">
        <f>W3384+X3384+Y3384+Z3384+AA3384+AB3384+AC3384</f>
        <v>0</v>
      </c>
      <c r="AE3384" s="72">
        <v>0</v>
      </c>
      <c r="AF3384" s="5"/>
      <c r="AG3384" s="6"/>
      <c r="AH3384" s="27"/>
      <c r="AI3384" s="44"/>
      <c r="AJ3384" s="26"/>
      <c r="AK3384" s="5"/>
      <c r="AL3384" s="82" t="s">
        <v>6341</v>
      </c>
      <c r="AM3384" s="76"/>
      <c r="AN3384" s="76"/>
      <c r="AO3384" s="76"/>
      <c r="AP3384" s="76"/>
      <c r="AQ3384" s="76"/>
      <c r="AR3384" s="76"/>
      <c r="AS3384" s="76"/>
      <c r="AT3384" s="76"/>
      <c r="AU3384" s="76"/>
      <c r="AV3384" s="76"/>
      <c r="AW3384" s="76"/>
      <c r="AX3384" s="76">
        <f>+AW3384*600000</f>
        <v>0</v>
      </c>
      <c r="AY3384" s="76"/>
      <c r="AZ3384" s="76">
        <f>+AY3384*70000</f>
        <v>0</v>
      </c>
      <c r="BA3384" s="76"/>
      <c r="BB3384" s="76"/>
      <c r="BC3384" s="76"/>
      <c r="BD3384" s="76">
        <f>+BC3384*30000</f>
        <v>0</v>
      </c>
      <c r="BE3384" s="76"/>
      <c r="BF3384" s="76"/>
      <c r="BG3384" s="76"/>
      <c r="BH3384" s="76"/>
      <c r="BI3384" s="76"/>
      <c r="BJ3384" s="76"/>
      <c r="BK3384" s="76"/>
      <c r="BL3384" s="76">
        <f>+BK3384*31500</f>
        <v>0</v>
      </c>
      <c r="BM3384" s="76"/>
      <c r="BN3384" s="76"/>
      <c r="BO3384" s="76"/>
      <c r="BP3384" s="76"/>
      <c r="BQ3384" s="76"/>
      <c r="BR3384" s="76"/>
      <c r="BS3384" s="76"/>
      <c r="BT3384" s="76"/>
      <c r="BU3384" s="76"/>
      <c r="BV3384" s="76"/>
      <c r="BW3384" s="76"/>
      <c r="BX3384" s="76"/>
      <c r="BY3384" s="76"/>
      <c r="BZ3384" s="76"/>
      <c r="CA3384" s="76"/>
      <c r="CB3384" s="76"/>
      <c r="CC3384" s="76"/>
      <c r="CD3384" s="76"/>
      <c r="CE3384" s="76"/>
      <c r="CF3384" s="76">
        <f>+CE3384*28000</f>
        <v>0</v>
      </c>
      <c r="CG3384" s="76"/>
      <c r="CH3384" s="76">
        <f>+CG3384*22500</f>
        <v>0</v>
      </c>
      <c r="CI3384" s="76"/>
      <c r="CJ3384" s="76">
        <f>+CI3384*26000</f>
        <v>0</v>
      </c>
      <c r="CK3384" s="76"/>
      <c r="CL3384" s="76"/>
      <c r="CM3384" s="76"/>
      <c r="CN3384" s="76">
        <f>+CM3384*22000</f>
        <v>0</v>
      </c>
      <c r="CO3384" s="76"/>
      <c r="CP3384" s="76">
        <f>+CO3384*46000</f>
        <v>0</v>
      </c>
      <c r="CQ3384" s="76"/>
      <c r="CR3384" s="76">
        <f>+CQ3384*49000</f>
        <v>0</v>
      </c>
      <c r="CS3384" s="76"/>
      <c r="CT3384" s="76"/>
      <c r="CU3384" s="56">
        <f>AN3384+AP3384+AR3384+AT3384+AV3384+AX3384+AZ3384+BB3384+BD3384+BF3384+BH3384+BJ3384+BL3384+BN3384+BP3384+BR3384+BT3384+BV3384+BX3384+BZ3384+CB3384+CD3384+CF3384+CH3384+CJ3384+CL3384+CN3384+CP3384+CR3384+CT3384</f>
        <v>0</v>
      </c>
      <c r="CV3384" s="76"/>
      <c r="CW3384" s="76">
        <f>+CV3384*1100</f>
        <v>0</v>
      </c>
      <c r="CX3384" s="76"/>
      <c r="CY3384" s="76">
        <f>+CX3384*106250</f>
        <v>0</v>
      </c>
      <c r="CZ3384" s="76"/>
      <c r="DA3384" s="76">
        <f>+CZ3384*34500</f>
        <v>0</v>
      </c>
      <c r="DB3384" s="76"/>
      <c r="DC3384" s="76">
        <f>+DB3384*25000</f>
        <v>0</v>
      </c>
      <c r="DD3384" s="219"/>
      <c r="DE3384" s="219"/>
      <c r="DF3384" s="166"/>
      <c r="DG3384" s="116"/>
      <c r="DH3384" s="117"/>
      <c r="DI3384" s="24"/>
      <c r="DJ3384" s="24"/>
      <c r="DK3384" s="24"/>
      <c r="DL3384" s="24"/>
      <c r="DM3384" s="24"/>
      <c r="DN3384" s="24"/>
      <c r="DO3384" s="24"/>
      <c r="DP3384" s="24"/>
      <c r="DQ3384" s="24"/>
      <c r="DR3384" s="24"/>
      <c r="DS3384" s="24"/>
      <c r="DT3384" s="24"/>
      <c r="DU3384" s="24"/>
    </row>
    <row r="3385" spans="1:125" s="8" customFormat="1" ht="36" x14ac:dyDescent="0.2">
      <c r="A3385" s="353">
        <v>41563</v>
      </c>
      <c r="B3385" s="78" t="s">
        <v>2854</v>
      </c>
      <c r="C3385" s="83" t="s">
        <v>881</v>
      </c>
      <c r="D3385" s="75" t="s">
        <v>2859</v>
      </c>
      <c r="E3385" s="75" t="str">
        <f>VLOOKUP(B3385&amp;C3385,Divipola!$C$2:$F$1138,4,FALSE)</f>
        <v>19809</v>
      </c>
      <c r="F3385" s="93"/>
      <c r="G3385" s="93"/>
      <c r="H3385" s="93"/>
      <c r="I3385" s="93">
        <v>35</v>
      </c>
      <c r="J3385" s="93">
        <v>7</v>
      </c>
      <c r="K3385" s="93"/>
      <c r="L3385" s="93">
        <v>7</v>
      </c>
      <c r="M3385" s="93"/>
      <c r="N3385" s="93"/>
      <c r="O3385" s="93"/>
      <c r="P3385" s="93"/>
      <c r="Q3385" s="93"/>
      <c r="R3385" s="93"/>
      <c r="S3385" s="93"/>
      <c r="T3385" s="93"/>
      <c r="U3385" s="93"/>
      <c r="V3385" s="89"/>
      <c r="W3385" s="96">
        <v>0</v>
      </c>
      <c r="X3385" s="71">
        <f>CU3385</f>
        <v>0</v>
      </c>
      <c r="Y3385" s="71">
        <f>CY3385</f>
        <v>0</v>
      </c>
      <c r="Z3385" s="71">
        <f>DA3385+DC3385+DE3385</f>
        <v>0</v>
      </c>
      <c r="AA3385" s="71">
        <f>CW3385</f>
        <v>0</v>
      </c>
      <c r="AB3385" s="71"/>
      <c r="AC3385" s="71">
        <v>0</v>
      </c>
      <c r="AD3385" s="71">
        <f>W3385+X3385+Y3385+Z3385+AA3385+AB3385+AC3385</f>
        <v>0</v>
      </c>
      <c r="AE3385" s="72">
        <v>0</v>
      </c>
      <c r="AF3385" s="5"/>
      <c r="AG3385" s="6"/>
      <c r="AH3385" s="27"/>
      <c r="AI3385" s="44"/>
      <c r="AJ3385" s="26"/>
      <c r="AK3385" s="5"/>
      <c r="AL3385" s="82" t="s">
        <v>6340</v>
      </c>
      <c r="AM3385" s="76"/>
      <c r="AN3385" s="76"/>
      <c r="AO3385" s="76"/>
      <c r="AP3385" s="76"/>
      <c r="AQ3385" s="76"/>
      <c r="AR3385" s="76"/>
      <c r="AS3385" s="76"/>
      <c r="AT3385" s="76"/>
      <c r="AU3385" s="76"/>
      <c r="AV3385" s="76"/>
      <c r="AW3385" s="76"/>
      <c r="AX3385" s="76">
        <f>+AW3385*600000</f>
        <v>0</v>
      </c>
      <c r="AY3385" s="76"/>
      <c r="AZ3385" s="76">
        <f>+AY3385*70000</f>
        <v>0</v>
      </c>
      <c r="BA3385" s="76"/>
      <c r="BB3385" s="76"/>
      <c r="BC3385" s="76"/>
      <c r="BD3385" s="76">
        <f>+BC3385*30000</f>
        <v>0</v>
      </c>
      <c r="BE3385" s="76"/>
      <c r="BF3385" s="76"/>
      <c r="BG3385" s="76"/>
      <c r="BH3385" s="76"/>
      <c r="BI3385" s="76"/>
      <c r="BJ3385" s="76"/>
      <c r="BK3385" s="76"/>
      <c r="BL3385" s="76">
        <f>+BK3385*31500</f>
        <v>0</v>
      </c>
      <c r="BM3385" s="76"/>
      <c r="BN3385" s="76"/>
      <c r="BO3385" s="76"/>
      <c r="BP3385" s="76"/>
      <c r="BQ3385" s="76"/>
      <c r="BR3385" s="76"/>
      <c r="BS3385" s="76"/>
      <c r="BT3385" s="76"/>
      <c r="BU3385" s="76"/>
      <c r="BV3385" s="76"/>
      <c r="BW3385" s="76"/>
      <c r="BX3385" s="76"/>
      <c r="BY3385" s="76"/>
      <c r="BZ3385" s="76"/>
      <c r="CA3385" s="76"/>
      <c r="CB3385" s="76"/>
      <c r="CC3385" s="76"/>
      <c r="CD3385" s="76"/>
      <c r="CE3385" s="76"/>
      <c r="CF3385" s="76">
        <f>+CE3385*28000</f>
        <v>0</v>
      </c>
      <c r="CG3385" s="76"/>
      <c r="CH3385" s="76">
        <f>+CG3385*22500</f>
        <v>0</v>
      </c>
      <c r="CI3385" s="76"/>
      <c r="CJ3385" s="76">
        <f>+CI3385*26000</f>
        <v>0</v>
      </c>
      <c r="CK3385" s="76"/>
      <c r="CL3385" s="76"/>
      <c r="CM3385" s="76"/>
      <c r="CN3385" s="76">
        <f>+CM3385*22000</f>
        <v>0</v>
      </c>
      <c r="CO3385" s="76"/>
      <c r="CP3385" s="76">
        <f>+CO3385*46000</f>
        <v>0</v>
      </c>
      <c r="CQ3385" s="76"/>
      <c r="CR3385" s="76">
        <f>+CQ3385*49000</f>
        <v>0</v>
      </c>
      <c r="CS3385" s="76"/>
      <c r="CT3385" s="76"/>
      <c r="CU3385" s="56">
        <f>AN3385+AP3385+AR3385+AT3385+AV3385+AX3385+AZ3385+BB3385+BD3385+BF3385+BH3385+BJ3385+BL3385+BN3385+BP3385+BR3385+BT3385+BV3385+BX3385+BZ3385+CB3385+CD3385+CF3385+CH3385+CJ3385+CL3385+CN3385+CP3385+CR3385+CT3385</f>
        <v>0</v>
      </c>
      <c r="CV3385" s="76"/>
      <c r="CW3385" s="76">
        <f>+CV3385*1100</f>
        <v>0</v>
      </c>
      <c r="CX3385" s="76"/>
      <c r="CY3385" s="76">
        <f>+CX3385*106250</f>
        <v>0</v>
      </c>
      <c r="CZ3385" s="76"/>
      <c r="DA3385" s="76">
        <f>+CZ3385*34500</f>
        <v>0</v>
      </c>
      <c r="DB3385" s="76"/>
      <c r="DC3385" s="76">
        <f>+DB3385*25000</f>
        <v>0</v>
      </c>
      <c r="DD3385" s="219"/>
      <c r="DE3385" s="219"/>
      <c r="DF3385" s="166"/>
      <c r="DG3385" s="116"/>
      <c r="DH3385" s="117"/>
      <c r="DI3385" s="24"/>
      <c r="DJ3385" s="24"/>
      <c r="DK3385" s="24"/>
      <c r="DL3385" s="24"/>
      <c r="DM3385" s="24"/>
      <c r="DN3385" s="24"/>
      <c r="DO3385" s="24"/>
      <c r="DP3385" s="24"/>
      <c r="DQ3385" s="24"/>
      <c r="DR3385" s="24"/>
      <c r="DS3385" s="24"/>
      <c r="DT3385" s="24"/>
      <c r="DU3385" s="24"/>
    </row>
    <row r="3386" spans="1:125" s="8" customFormat="1" ht="108" x14ac:dyDescent="0.2">
      <c r="A3386" s="77">
        <v>41563</v>
      </c>
      <c r="B3386" s="78" t="s">
        <v>2847</v>
      </c>
      <c r="C3386" s="75" t="s">
        <v>2673</v>
      </c>
      <c r="D3386" s="75" t="s">
        <v>2846</v>
      </c>
      <c r="E3386" s="75" t="str">
        <f>VLOOKUP(B3386&amp;C3386,Divipola!$C$2:$F$1138,4,FALSE)</f>
        <v>68001</v>
      </c>
      <c r="F3386" s="61"/>
      <c r="G3386" s="61"/>
      <c r="H3386" s="61"/>
      <c r="I3386" s="61"/>
      <c r="J3386" s="61"/>
      <c r="K3386" s="61"/>
      <c r="L3386" s="61"/>
      <c r="M3386" s="61"/>
      <c r="N3386" s="61"/>
      <c r="O3386" s="61"/>
      <c r="P3386" s="61"/>
      <c r="Q3386" s="61"/>
      <c r="R3386" s="61"/>
      <c r="S3386" s="61"/>
      <c r="T3386" s="61"/>
      <c r="U3386" s="61"/>
      <c r="V3386" s="7"/>
      <c r="W3386" s="96">
        <v>0</v>
      </c>
      <c r="X3386" s="71">
        <f>CU3386</f>
        <v>0</v>
      </c>
      <c r="Y3386" s="71">
        <f>CY3386</f>
        <v>0</v>
      </c>
      <c r="Z3386" s="71">
        <f>DA3386+DC3386+DE3386</f>
        <v>0</v>
      </c>
      <c r="AA3386" s="71">
        <f>CW3386</f>
        <v>0</v>
      </c>
      <c r="AB3386" s="71"/>
      <c r="AC3386" s="71">
        <v>0</v>
      </c>
      <c r="AD3386" s="71">
        <f>W3386+X3386+Y3386+Z3386+AA3386+AB3386+AC3386</f>
        <v>0</v>
      </c>
      <c r="AE3386" s="72">
        <v>0</v>
      </c>
      <c r="AF3386" s="5"/>
      <c r="AG3386" s="6"/>
      <c r="AH3386" s="27"/>
      <c r="AI3386" s="44"/>
      <c r="AJ3386" s="26"/>
      <c r="AK3386" s="5"/>
      <c r="AL3386" s="268" t="s">
        <v>6330</v>
      </c>
      <c r="AM3386" s="76"/>
      <c r="AN3386" s="76"/>
      <c r="AO3386" s="76"/>
      <c r="AP3386" s="76"/>
      <c r="AQ3386" s="76"/>
      <c r="AR3386" s="76"/>
      <c r="AS3386" s="76"/>
      <c r="AT3386" s="76"/>
      <c r="AU3386" s="76"/>
      <c r="AV3386" s="76"/>
      <c r="AW3386" s="76"/>
      <c r="AX3386" s="76">
        <f>+AW3386*600000</f>
        <v>0</v>
      </c>
      <c r="AY3386" s="76"/>
      <c r="AZ3386" s="76">
        <f>+AY3386*70000</f>
        <v>0</v>
      </c>
      <c r="BA3386" s="76"/>
      <c r="BB3386" s="76"/>
      <c r="BC3386" s="76"/>
      <c r="BD3386" s="76">
        <f>+BC3386*30000</f>
        <v>0</v>
      </c>
      <c r="BE3386" s="76"/>
      <c r="BF3386" s="76"/>
      <c r="BG3386" s="76"/>
      <c r="BH3386" s="76"/>
      <c r="BI3386" s="76"/>
      <c r="BJ3386" s="76"/>
      <c r="BK3386" s="76"/>
      <c r="BL3386" s="76">
        <f>+BK3386*31500</f>
        <v>0</v>
      </c>
      <c r="BM3386" s="76"/>
      <c r="BN3386" s="76"/>
      <c r="BO3386" s="76"/>
      <c r="BP3386" s="76"/>
      <c r="BQ3386" s="76"/>
      <c r="BR3386" s="76"/>
      <c r="BS3386" s="76"/>
      <c r="BT3386" s="76"/>
      <c r="BU3386" s="76"/>
      <c r="BV3386" s="76"/>
      <c r="BW3386" s="76"/>
      <c r="BX3386" s="76"/>
      <c r="BY3386" s="76"/>
      <c r="BZ3386" s="76"/>
      <c r="CA3386" s="76"/>
      <c r="CB3386" s="76"/>
      <c r="CC3386" s="76"/>
      <c r="CD3386" s="76"/>
      <c r="CE3386" s="76"/>
      <c r="CF3386" s="76">
        <f>+CE3386*28000</f>
        <v>0</v>
      </c>
      <c r="CG3386" s="76"/>
      <c r="CH3386" s="76">
        <f>+CG3386*22500</f>
        <v>0</v>
      </c>
      <c r="CI3386" s="76"/>
      <c r="CJ3386" s="76">
        <f>+CI3386*26000</f>
        <v>0</v>
      </c>
      <c r="CK3386" s="76"/>
      <c r="CL3386" s="76"/>
      <c r="CM3386" s="76"/>
      <c r="CN3386" s="76">
        <f>+CM3386*22000</f>
        <v>0</v>
      </c>
      <c r="CO3386" s="76"/>
      <c r="CP3386" s="76">
        <f>+CO3386*46000</f>
        <v>0</v>
      </c>
      <c r="CQ3386" s="76"/>
      <c r="CR3386" s="76">
        <f>+CQ3386*49000</f>
        <v>0</v>
      </c>
      <c r="CS3386" s="76"/>
      <c r="CT3386" s="76"/>
      <c r="CU3386" s="56">
        <f>AN3386+AP3386+AR3386+AT3386+AV3386+AX3386+AZ3386+BB3386+BD3386+BF3386+BH3386+BJ3386+BL3386+BN3386+BP3386+BR3386+BT3386+BV3386+BX3386+BZ3386+CB3386+CD3386+CF3386+CH3386+CJ3386+CL3386+CN3386+CP3386+CR3386+CT3386</f>
        <v>0</v>
      </c>
      <c r="CV3386" s="76"/>
      <c r="CW3386" s="76">
        <f>+CV3386*1100</f>
        <v>0</v>
      </c>
      <c r="CX3386" s="76"/>
      <c r="CY3386" s="76">
        <f>+CX3386*106250</f>
        <v>0</v>
      </c>
      <c r="CZ3386" s="76"/>
      <c r="DA3386" s="76">
        <f>+CZ3386*34500</f>
        <v>0</v>
      </c>
      <c r="DB3386" s="76"/>
      <c r="DC3386" s="76">
        <f>+DB3386*25000</f>
        <v>0</v>
      </c>
      <c r="DD3386" s="219"/>
      <c r="DE3386" s="219"/>
      <c r="DF3386" s="166"/>
      <c r="DG3386" s="116"/>
      <c r="DH3386" s="117"/>
      <c r="DI3386" s="24"/>
      <c r="DJ3386" s="24"/>
      <c r="DK3386" s="24"/>
      <c r="DL3386" s="24"/>
      <c r="DM3386" s="24"/>
      <c r="DN3386" s="24"/>
      <c r="DO3386" s="24"/>
      <c r="DP3386" s="24"/>
      <c r="DQ3386" s="24"/>
      <c r="DR3386" s="24"/>
      <c r="DS3386" s="24"/>
      <c r="DT3386" s="24"/>
      <c r="DU3386" s="24"/>
    </row>
    <row r="3387" spans="1:125" s="8" customFormat="1" ht="84" x14ac:dyDescent="0.2">
      <c r="A3387" s="353">
        <v>41563</v>
      </c>
      <c r="B3387" s="352" t="s">
        <v>2847</v>
      </c>
      <c r="C3387" s="354" t="s">
        <v>2197</v>
      </c>
      <c r="D3387" s="354" t="s">
        <v>2846</v>
      </c>
      <c r="E3387" s="75" t="str">
        <f>VLOOKUP(B3387&amp;C3387,Divipola!$C$2:$F$1138,4,FALSE)</f>
        <v>68276</v>
      </c>
      <c r="F3387" s="61"/>
      <c r="G3387" s="61"/>
      <c r="H3387" s="61"/>
      <c r="I3387" s="61"/>
      <c r="J3387" s="61"/>
      <c r="K3387" s="61"/>
      <c r="L3387" s="61"/>
      <c r="M3387" s="61"/>
      <c r="N3387" s="61"/>
      <c r="O3387" s="61"/>
      <c r="P3387" s="61"/>
      <c r="Q3387" s="61"/>
      <c r="R3387" s="61"/>
      <c r="S3387" s="61"/>
      <c r="T3387" s="61"/>
      <c r="U3387" s="61"/>
      <c r="V3387" s="7"/>
      <c r="W3387" s="96">
        <v>0</v>
      </c>
      <c r="X3387" s="71">
        <f>CU3387</f>
        <v>0</v>
      </c>
      <c r="Y3387" s="71">
        <f>CY3387</f>
        <v>0</v>
      </c>
      <c r="Z3387" s="71">
        <f>DA3387+DC3387+DE3387</f>
        <v>0</v>
      </c>
      <c r="AA3387" s="71">
        <f>CW3387</f>
        <v>0</v>
      </c>
      <c r="AB3387" s="71"/>
      <c r="AC3387" s="71">
        <v>0</v>
      </c>
      <c r="AD3387" s="71">
        <f>W3387+X3387+Y3387+Z3387+AA3387+AB3387+AC3387</f>
        <v>0</v>
      </c>
      <c r="AE3387" s="72">
        <v>0</v>
      </c>
      <c r="AF3387" s="5"/>
      <c r="AG3387" s="6"/>
      <c r="AH3387" s="27"/>
      <c r="AI3387" s="44"/>
      <c r="AJ3387" s="26"/>
      <c r="AK3387" s="5"/>
      <c r="AL3387" s="82" t="s">
        <v>6331</v>
      </c>
      <c r="AM3387" s="76"/>
      <c r="AN3387" s="76"/>
      <c r="AO3387" s="76"/>
      <c r="AP3387" s="76"/>
      <c r="AQ3387" s="76"/>
      <c r="AR3387" s="76"/>
      <c r="AS3387" s="76"/>
      <c r="AT3387" s="76"/>
      <c r="AU3387" s="76"/>
      <c r="AV3387" s="76"/>
      <c r="AW3387" s="76"/>
      <c r="AX3387" s="76">
        <f>+AW3387*600000</f>
        <v>0</v>
      </c>
      <c r="AY3387" s="76"/>
      <c r="AZ3387" s="76">
        <f>+AY3387*70000</f>
        <v>0</v>
      </c>
      <c r="BA3387" s="76"/>
      <c r="BB3387" s="76"/>
      <c r="BC3387" s="76"/>
      <c r="BD3387" s="76">
        <f>+BC3387*30000</f>
        <v>0</v>
      </c>
      <c r="BE3387" s="76"/>
      <c r="BF3387" s="76"/>
      <c r="BG3387" s="76"/>
      <c r="BH3387" s="76"/>
      <c r="BI3387" s="76"/>
      <c r="BJ3387" s="76"/>
      <c r="BK3387" s="76"/>
      <c r="BL3387" s="76">
        <f>+BK3387*31500</f>
        <v>0</v>
      </c>
      <c r="BM3387" s="76"/>
      <c r="BN3387" s="76"/>
      <c r="BO3387" s="76"/>
      <c r="BP3387" s="76"/>
      <c r="BQ3387" s="76"/>
      <c r="BR3387" s="76"/>
      <c r="BS3387" s="76"/>
      <c r="BT3387" s="76"/>
      <c r="BU3387" s="76"/>
      <c r="BV3387" s="76"/>
      <c r="BW3387" s="76"/>
      <c r="BX3387" s="76"/>
      <c r="BY3387" s="76"/>
      <c r="BZ3387" s="76"/>
      <c r="CA3387" s="76"/>
      <c r="CB3387" s="76"/>
      <c r="CC3387" s="76"/>
      <c r="CD3387" s="76"/>
      <c r="CE3387" s="76"/>
      <c r="CF3387" s="76">
        <f>+CE3387*28000</f>
        <v>0</v>
      </c>
      <c r="CG3387" s="76"/>
      <c r="CH3387" s="76">
        <f>+CG3387*22500</f>
        <v>0</v>
      </c>
      <c r="CI3387" s="76"/>
      <c r="CJ3387" s="76">
        <f>+CI3387*26000</f>
        <v>0</v>
      </c>
      <c r="CK3387" s="76"/>
      <c r="CL3387" s="76"/>
      <c r="CM3387" s="76"/>
      <c r="CN3387" s="76">
        <f>+CM3387*22000</f>
        <v>0</v>
      </c>
      <c r="CO3387" s="76"/>
      <c r="CP3387" s="76">
        <f>+CO3387*46000</f>
        <v>0</v>
      </c>
      <c r="CQ3387" s="76"/>
      <c r="CR3387" s="76">
        <f>+CQ3387*49000</f>
        <v>0</v>
      </c>
      <c r="CS3387" s="76"/>
      <c r="CT3387" s="76"/>
      <c r="CU3387" s="56">
        <f>AN3387+AP3387+AR3387+AT3387+AV3387+AX3387+AZ3387+BB3387+BD3387+BF3387+BH3387+BJ3387+BL3387+BN3387+BP3387+BR3387+BT3387+BV3387+BX3387+BZ3387+CB3387+CD3387+CF3387+CH3387+CJ3387+CL3387+CN3387+CP3387+CR3387+CT3387</f>
        <v>0</v>
      </c>
      <c r="CV3387" s="76"/>
      <c r="CW3387" s="76">
        <f>+CV3387*1100</f>
        <v>0</v>
      </c>
      <c r="CX3387" s="76"/>
      <c r="CY3387" s="76">
        <f>+CX3387*106250</f>
        <v>0</v>
      </c>
      <c r="CZ3387" s="76"/>
      <c r="DA3387" s="76">
        <f>+CZ3387*34500</f>
        <v>0</v>
      </c>
      <c r="DB3387" s="76"/>
      <c r="DC3387" s="76">
        <f>+DB3387*25000</f>
        <v>0</v>
      </c>
      <c r="DD3387" s="219"/>
      <c r="DE3387" s="219"/>
      <c r="DF3387" s="166"/>
      <c r="DG3387" s="116"/>
      <c r="DH3387" s="117"/>
      <c r="DI3387" s="24"/>
      <c r="DJ3387" s="24"/>
      <c r="DK3387" s="24"/>
      <c r="DL3387" s="24"/>
      <c r="DM3387" s="24"/>
      <c r="DN3387" s="24"/>
      <c r="DO3387" s="24"/>
      <c r="DP3387" s="24"/>
      <c r="DQ3387" s="24"/>
      <c r="DR3387" s="24"/>
      <c r="DS3387" s="24"/>
      <c r="DT3387" s="24"/>
      <c r="DU3387" s="24"/>
    </row>
    <row r="3388" spans="1:125" s="8" customFormat="1" ht="120" x14ac:dyDescent="0.2">
      <c r="A3388" s="353">
        <v>41563</v>
      </c>
      <c r="B3388" s="352" t="s">
        <v>2847</v>
      </c>
      <c r="C3388" s="354" t="s">
        <v>1780</v>
      </c>
      <c r="D3388" s="354" t="s">
        <v>3051</v>
      </c>
      <c r="E3388" s="75" t="str">
        <f>VLOOKUP(B3388&amp;C3388,Divipola!$C$2:$F$1138,4,FALSE)</f>
        <v>68755</v>
      </c>
      <c r="F3388" s="61"/>
      <c r="G3388" s="61"/>
      <c r="H3388" s="61"/>
      <c r="I3388" s="61"/>
      <c r="J3388" s="61"/>
      <c r="K3388" s="61"/>
      <c r="L3388" s="61"/>
      <c r="M3388" s="61">
        <v>1</v>
      </c>
      <c r="N3388" s="61"/>
      <c r="O3388" s="61"/>
      <c r="P3388" s="61"/>
      <c r="Q3388" s="61"/>
      <c r="R3388" s="61"/>
      <c r="S3388" s="61"/>
      <c r="T3388" s="61"/>
      <c r="U3388" s="61"/>
      <c r="V3388" s="7"/>
      <c r="W3388" s="96">
        <v>0</v>
      </c>
      <c r="X3388" s="71">
        <f>CU3388</f>
        <v>0</v>
      </c>
      <c r="Y3388" s="71">
        <f>CY3388</f>
        <v>0</v>
      </c>
      <c r="Z3388" s="71">
        <f>DA3388+DC3388+DE3388</f>
        <v>0</v>
      </c>
      <c r="AA3388" s="71">
        <f>CW3388</f>
        <v>0</v>
      </c>
      <c r="AB3388" s="71"/>
      <c r="AC3388" s="71">
        <v>0</v>
      </c>
      <c r="AD3388" s="71">
        <f>W3388+X3388+Y3388+Z3388+AA3388+AB3388+AC3388</f>
        <v>0</v>
      </c>
      <c r="AE3388" s="72">
        <v>0</v>
      </c>
      <c r="AF3388" s="5"/>
      <c r="AG3388" s="6"/>
      <c r="AH3388" s="27"/>
      <c r="AI3388" s="44"/>
      <c r="AJ3388" s="26"/>
      <c r="AK3388" s="5"/>
      <c r="AL3388" s="82" t="s">
        <v>6332</v>
      </c>
      <c r="AM3388" s="76"/>
      <c r="AN3388" s="76"/>
      <c r="AO3388" s="76"/>
      <c r="AP3388" s="76"/>
      <c r="AQ3388" s="76"/>
      <c r="AR3388" s="76"/>
      <c r="AS3388" s="76"/>
      <c r="AT3388" s="76"/>
      <c r="AU3388" s="76"/>
      <c r="AV3388" s="76"/>
      <c r="AW3388" s="76"/>
      <c r="AX3388" s="76">
        <f>+AW3388*600000</f>
        <v>0</v>
      </c>
      <c r="AY3388" s="76"/>
      <c r="AZ3388" s="76">
        <f>+AY3388*70000</f>
        <v>0</v>
      </c>
      <c r="BA3388" s="76"/>
      <c r="BB3388" s="76"/>
      <c r="BC3388" s="76"/>
      <c r="BD3388" s="76">
        <f>+BC3388*30000</f>
        <v>0</v>
      </c>
      <c r="BE3388" s="76"/>
      <c r="BF3388" s="76"/>
      <c r="BG3388" s="76"/>
      <c r="BH3388" s="76"/>
      <c r="BI3388" s="76"/>
      <c r="BJ3388" s="76"/>
      <c r="BK3388" s="76"/>
      <c r="BL3388" s="76">
        <f>+BK3388*31500</f>
        <v>0</v>
      </c>
      <c r="BM3388" s="76"/>
      <c r="BN3388" s="76"/>
      <c r="BO3388" s="76"/>
      <c r="BP3388" s="76"/>
      <c r="BQ3388" s="76"/>
      <c r="BR3388" s="76"/>
      <c r="BS3388" s="76"/>
      <c r="BT3388" s="76"/>
      <c r="BU3388" s="76"/>
      <c r="BV3388" s="76"/>
      <c r="BW3388" s="76"/>
      <c r="BX3388" s="76"/>
      <c r="BY3388" s="76"/>
      <c r="BZ3388" s="76"/>
      <c r="CA3388" s="76"/>
      <c r="CB3388" s="76"/>
      <c r="CC3388" s="76"/>
      <c r="CD3388" s="76"/>
      <c r="CE3388" s="76"/>
      <c r="CF3388" s="76">
        <f>+CE3388*28000</f>
        <v>0</v>
      </c>
      <c r="CG3388" s="76"/>
      <c r="CH3388" s="76">
        <f>+CG3388*22500</f>
        <v>0</v>
      </c>
      <c r="CI3388" s="76"/>
      <c r="CJ3388" s="76">
        <f>+CI3388*26000</f>
        <v>0</v>
      </c>
      <c r="CK3388" s="76"/>
      <c r="CL3388" s="76"/>
      <c r="CM3388" s="76"/>
      <c r="CN3388" s="76">
        <f>+CM3388*22000</f>
        <v>0</v>
      </c>
      <c r="CO3388" s="76"/>
      <c r="CP3388" s="76">
        <f>+CO3388*46000</f>
        <v>0</v>
      </c>
      <c r="CQ3388" s="76"/>
      <c r="CR3388" s="76">
        <f>+CQ3388*49000</f>
        <v>0</v>
      </c>
      <c r="CS3388" s="76"/>
      <c r="CT3388" s="76"/>
      <c r="CU3388" s="56">
        <f>AN3388+AP3388+AR3388+AT3388+AV3388+AX3388+AZ3388+BB3388+BD3388+BF3388+BH3388+BJ3388+BL3388+BN3388+BP3388+BR3388+BT3388+BV3388+BX3388+BZ3388+CB3388+CD3388+CF3388+CH3388+CJ3388+CL3388+CN3388+CP3388+CR3388+CT3388</f>
        <v>0</v>
      </c>
      <c r="CV3388" s="76"/>
      <c r="CW3388" s="76">
        <f>+CV3388*1100</f>
        <v>0</v>
      </c>
      <c r="CX3388" s="76"/>
      <c r="CY3388" s="76">
        <f>+CX3388*106250</f>
        <v>0</v>
      </c>
      <c r="CZ3388" s="76"/>
      <c r="DA3388" s="76">
        <f>+CZ3388*34500</f>
        <v>0</v>
      </c>
      <c r="DB3388" s="76"/>
      <c r="DC3388" s="76">
        <f>+DB3388*25000</f>
        <v>0</v>
      </c>
      <c r="DD3388" s="219"/>
      <c r="DE3388" s="219"/>
      <c r="DF3388" s="166"/>
      <c r="DG3388" s="116"/>
      <c r="DH3388" s="117"/>
      <c r="DI3388" s="24"/>
      <c r="DJ3388" s="24"/>
      <c r="DK3388" s="24"/>
      <c r="DL3388" s="24"/>
      <c r="DM3388" s="24"/>
      <c r="DN3388" s="24"/>
      <c r="DO3388" s="24"/>
      <c r="DP3388" s="24"/>
      <c r="DQ3388" s="24"/>
      <c r="DR3388" s="24"/>
      <c r="DS3388" s="24"/>
      <c r="DT3388" s="24"/>
      <c r="DU3388" s="24"/>
    </row>
    <row r="3389" spans="1:125" s="8" customFormat="1" ht="96" x14ac:dyDescent="0.2">
      <c r="A3389" s="77">
        <v>41563</v>
      </c>
      <c r="B3389" s="352" t="s">
        <v>2848</v>
      </c>
      <c r="C3389" s="354" t="s">
        <v>2191</v>
      </c>
      <c r="D3389" s="354" t="s">
        <v>3051</v>
      </c>
      <c r="E3389" s="75" t="str">
        <f>VLOOKUP(B3389&amp;C3389,Divipola!$C$2:$F$1138,4,FALSE)</f>
        <v>73319</v>
      </c>
      <c r="F3389" s="61"/>
      <c r="G3389" s="61"/>
      <c r="H3389" s="61"/>
      <c r="I3389" s="61"/>
      <c r="J3389" s="61"/>
      <c r="K3389" s="61"/>
      <c r="L3389" s="61"/>
      <c r="M3389" s="61"/>
      <c r="N3389" s="61"/>
      <c r="O3389" s="61"/>
      <c r="P3389" s="61"/>
      <c r="Q3389" s="61"/>
      <c r="R3389" s="61"/>
      <c r="S3389" s="61"/>
      <c r="T3389" s="61"/>
      <c r="U3389" s="61"/>
      <c r="V3389" s="7"/>
      <c r="W3389" s="96">
        <v>0</v>
      </c>
      <c r="X3389" s="71">
        <f>CU3389</f>
        <v>0</v>
      </c>
      <c r="Y3389" s="71">
        <f>CY3389</f>
        <v>0</v>
      </c>
      <c r="Z3389" s="71">
        <f>DA3389+DC3389+DE3389</f>
        <v>0</v>
      </c>
      <c r="AA3389" s="71">
        <f>CW3389</f>
        <v>0</v>
      </c>
      <c r="AB3389" s="71"/>
      <c r="AC3389" s="71">
        <v>0</v>
      </c>
      <c r="AD3389" s="71">
        <f>W3389+X3389+Y3389+Z3389+AA3389+AB3389+AC3389</f>
        <v>0</v>
      </c>
      <c r="AE3389" s="72">
        <v>0</v>
      </c>
      <c r="AF3389" s="5"/>
      <c r="AG3389" s="6"/>
      <c r="AH3389" s="27"/>
      <c r="AI3389" s="44"/>
      <c r="AJ3389" s="26"/>
      <c r="AK3389" s="5"/>
      <c r="AL3389" s="82" t="s">
        <v>6333</v>
      </c>
      <c r="AM3389" s="76"/>
      <c r="AN3389" s="76"/>
      <c r="AO3389" s="76"/>
      <c r="AP3389" s="76"/>
      <c r="AQ3389" s="76"/>
      <c r="AR3389" s="76"/>
      <c r="AS3389" s="76"/>
      <c r="AT3389" s="76"/>
      <c r="AU3389" s="76"/>
      <c r="AV3389" s="76"/>
      <c r="AW3389" s="76"/>
      <c r="AX3389" s="76">
        <f>+AW3389*600000</f>
        <v>0</v>
      </c>
      <c r="AY3389" s="76"/>
      <c r="AZ3389" s="76">
        <f>+AY3389*70000</f>
        <v>0</v>
      </c>
      <c r="BA3389" s="76"/>
      <c r="BB3389" s="76"/>
      <c r="BC3389" s="76"/>
      <c r="BD3389" s="76">
        <f>+BC3389*30000</f>
        <v>0</v>
      </c>
      <c r="BE3389" s="76"/>
      <c r="BF3389" s="76"/>
      <c r="BG3389" s="76"/>
      <c r="BH3389" s="76"/>
      <c r="BI3389" s="76"/>
      <c r="BJ3389" s="76"/>
      <c r="BK3389" s="76"/>
      <c r="BL3389" s="76">
        <f>+BK3389*31500</f>
        <v>0</v>
      </c>
      <c r="BM3389" s="76"/>
      <c r="BN3389" s="76"/>
      <c r="BO3389" s="76"/>
      <c r="BP3389" s="76"/>
      <c r="BQ3389" s="76"/>
      <c r="BR3389" s="76"/>
      <c r="BS3389" s="76"/>
      <c r="BT3389" s="76"/>
      <c r="BU3389" s="76"/>
      <c r="BV3389" s="76"/>
      <c r="BW3389" s="76"/>
      <c r="BX3389" s="76"/>
      <c r="BY3389" s="76"/>
      <c r="BZ3389" s="76"/>
      <c r="CA3389" s="76"/>
      <c r="CB3389" s="76"/>
      <c r="CC3389" s="76"/>
      <c r="CD3389" s="76"/>
      <c r="CE3389" s="76"/>
      <c r="CF3389" s="76">
        <f>+CE3389*28000</f>
        <v>0</v>
      </c>
      <c r="CG3389" s="76"/>
      <c r="CH3389" s="76">
        <f>+CG3389*22500</f>
        <v>0</v>
      </c>
      <c r="CI3389" s="76"/>
      <c r="CJ3389" s="76">
        <f>+CI3389*26000</f>
        <v>0</v>
      </c>
      <c r="CK3389" s="76"/>
      <c r="CL3389" s="76"/>
      <c r="CM3389" s="76"/>
      <c r="CN3389" s="76">
        <f>+CM3389*22000</f>
        <v>0</v>
      </c>
      <c r="CO3389" s="76"/>
      <c r="CP3389" s="76">
        <f>+CO3389*46000</f>
        <v>0</v>
      </c>
      <c r="CQ3389" s="76"/>
      <c r="CR3389" s="76">
        <f>+CQ3389*49000</f>
        <v>0</v>
      </c>
      <c r="CS3389" s="76"/>
      <c r="CT3389" s="76"/>
      <c r="CU3389" s="56">
        <f>AN3389+AP3389+AR3389+AT3389+AV3389+AX3389+AZ3389+BB3389+BD3389+BF3389+BH3389+BJ3389+BL3389+BN3389+BP3389+BR3389+BT3389+BV3389+BX3389+BZ3389+CB3389+CD3389+CF3389+CH3389+CJ3389+CL3389+CN3389+CP3389+CR3389+CT3389</f>
        <v>0</v>
      </c>
      <c r="CV3389" s="76"/>
      <c r="CW3389" s="76">
        <f>+CV3389*1100</f>
        <v>0</v>
      </c>
      <c r="CX3389" s="76"/>
      <c r="CY3389" s="76">
        <f>+CX3389*106250</f>
        <v>0</v>
      </c>
      <c r="CZ3389" s="76"/>
      <c r="DA3389" s="76">
        <f>+CZ3389*34500</f>
        <v>0</v>
      </c>
      <c r="DB3389" s="76"/>
      <c r="DC3389" s="76">
        <f>+DB3389*25000</f>
        <v>0</v>
      </c>
      <c r="DD3389" s="219"/>
      <c r="DE3389" s="219"/>
      <c r="DF3389" s="166"/>
      <c r="DG3389" s="116"/>
      <c r="DH3389" s="117"/>
      <c r="DI3389" s="24"/>
      <c r="DJ3389" s="24"/>
      <c r="DK3389" s="24"/>
      <c r="DL3389" s="24"/>
      <c r="DM3389" s="24"/>
      <c r="DN3389" s="24"/>
      <c r="DO3389" s="24"/>
      <c r="DP3389" s="24"/>
      <c r="DQ3389" s="24"/>
      <c r="DR3389" s="24"/>
      <c r="DS3389" s="24"/>
      <c r="DT3389" s="24"/>
      <c r="DU3389" s="24"/>
    </row>
    <row r="3390" spans="1:125" s="8" customFormat="1" ht="48" x14ac:dyDescent="0.2">
      <c r="A3390" s="77">
        <v>41563</v>
      </c>
      <c r="B3390" s="84" t="s">
        <v>2851</v>
      </c>
      <c r="C3390" s="84" t="s">
        <v>2688</v>
      </c>
      <c r="D3390" s="75" t="s">
        <v>3088</v>
      </c>
      <c r="E3390" s="75" t="str">
        <f>VLOOKUP(B3390&amp;C3390,Divipola!$C$2:$F$1138,4,FALSE)</f>
        <v>76736</v>
      </c>
      <c r="F3390" s="89"/>
      <c r="G3390" s="89"/>
      <c r="H3390" s="89"/>
      <c r="I3390" s="89"/>
      <c r="J3390" s="89"/>
      <c r="K3390" s="89"/>
      <c r="L3390" s="89"/>
      <c r="M3390" s="89">
        <v>1</v>
      </c>
      <c r="N3390" s="89"/>
      <c r="O3390" s="89"/>
      <c r="P3390" s="89"/>
      <c r="Q3390" s="89"/>
      <c r="R3390" s="89"/>
      <c r="S3390" s="89"/>
      <c r="T3390" s="89"/>
      <c r="U3390" s="89"/>
      <c r="V3390" s="89"/>
      <c r="W3390" s="96">
        <v>0</v>
      </c>
      <c r="X3390" s="71">
        <f>CU3390</f>
        <v>0</v>
      </c>
      <c r="Y3390" s="71">
        <f>CY3390</f>
        <v>0</v>
      </c>
      <c r="Z3390" s="71">
        <f>DA3390+DC3390+DE3390</f>
        <v>0</v>
      </c>
      <c r="AA3390" s="71">
        <f>CW3390</f>
        <v>0</v>
      </c>
      <c r="AB3390" s="71"/>
      <c r="AC3390" s="71">
        <v>0</v>
      </c>
      <c r="AD3390" s="71">
        <f>W3390+X3390+Y3390+Z3390+AA3390+AB3390+AC3390</f>
        <v>0</v>
      </c>
      <c r="AE3390" s="72">
        <v>0</v>
      </c>
      <c r="AF3390" s="5"/>
      <c r="AG3390" s="6"/>
      <c r="AH3390" s="27"/>
      <c r="AI3390" s="44"/>
      <c r="AJ3390" s="26"/>
      <c r="AK3390" s="5"/>
      <c r="AL3390" s="342" t="s">
        <v>6337</v>
      </c>
      <c r="AM3390" s="76"/>
      <c r="AN3390" s="76"/>
      <c r="AO3390" s="76"/>
      <c r="AP3390" s="76"/>
      <c r="AQ3390" s="76"/>
      <c r="AR3390" s="76"/>
      <c r="AS3390" s="76"/>
      <c r="AT3390" s="76"/>
      <c r="AU3390" s="76"/>
      <c r="AV3390" s="76"/>
      <c r="AW3390" s="76"/>
      <c r="AX3390" s="76">
        <f>+AW3390*600000</f>
        <v>0</v>
      </c>
      <c r="AY3390" s="76"/>
      <c r="AZ3390" s="76">
        <f>+AY3390*70000</f>
        <v>0</v>
      </c>
      <c r="BA3390" s="76"/>
      <c r="BB3390" s="76"/>
      <c r="BC3390" s="76"/>
      <c r="BD3390" s="76">
        <f>+BC3390*30000</f>
        <v>0</v>
      </c>
      <c r="BE3390" s="76"/>
      <c r="BF3390" s="76"/>
      <c r="BG3390" s="76"/>
      <c r="BH3390" s="76"/>
      <c r="BI3390" s="76"/>
      <c r="BJ3390" s="76"/>
      <c r="BK3390" s="76"/>
      <c r="BL3390" s="76">
        <f>+BK3390*31500</f>
        <v>0</v>
      </c>
      <c r="BM3390" s="76"/>
      <c r="BN3390" s="76"/>
      <c r="BO3390" s="76"/>
      <c r="BP3390" s="76"/>
      <c r="BQ3390" s="76"/>
      <c r="BR3390" s="76"/>
      <c r="BS3390" s="76"/>
      <c r="BT3390" s="76"/>
      <c r="BU3390" s="76"/>
      <c r="BV3390" s="76"/>
      <c r="BW3390" s="76"/>
      <c r="BX3390" s="76"/>
      <c r="BY3390" s="76"/>
      <c r="BZ3390" s="76"/>
      <c r="CA3390" s="76"/>
      <c r="CB3390" s="76"/>
      <c r="CC3390" s="76"/>
      <c r="CD3390" s="76"/>
      <c r="CE3390" s="76"/>
      <c r="CF3390" s="76">
        <f>+CE3390*28000</f>
        <v>0</v>
      </c>
      <c r="CG3390" s="76"/>
      <c r="CH3390" s="76">
        <f>+CG3390*22500</f>
        <v>0</v>
      </c>
      <c r="CI3390" s="76"/>
      <c r="CJ3390" s="76">
        <f>+CI3390*26000</f>
        <v>0</v>
      </c>
      <c r="CK3390" s="76"/>
      <c r="CL3390" s="76"/>
      <c r="CM3390" s="76"/>
      <c r="CN3390" s="76">
        <f>+CM3390*22000</f>
        <v>0</v>
      </c>
      <c r="CO3390" s="76"/>
      <c r="CP3390" s="76">
        <f>+CO3390*46000</f>
        <v>0</v>
      </c>
      <c r="CQ3390" s="76"/>
      <c r="CR3390" s="76">
        <f>+CQ3390*49000</f>
        <v>0</v>
      </c>
      <c r="CS3390" s="76"/>
      <c r="CT3390" s="76"/>
      <c r="CU3390" s="56">
        <f>AN3390+AP3390+AR3390+AT3390+AV3390+AX3390+AZ3390+BB3390+BD3390+BF3390+BH3390+BJ3390+BL3390+BN3390+BP3390+BR3390+BT3390+BV3390+BX3390+BZ3390+CB3390+CD3390+CF3390+CH3390+CJ3390+CL3390+CN3390+CP3390+CR3390+CT3390</f>
        <v>0</v>
      </c>
      <c r="CV3390" s="76"/>
      <c r="CW3390" s="76">
        <f>+CV3390*1100</f>
        <v>0</v>
      </c>
      <c r="CX3390" s="76"/>
      <c r="CY3390" s="76">
        <f>+CX3390*106250</f>
        <v>0</v>
      </c>
      <c r="CZ3390" s="76"/>
      <c r="DA3390" s="76">
        <f>+CZ3390*34500</f>
        <v>0</v>
      </c>
      <c r="DB3390" s="76"/>
      <c r="DC3390" s="76">
        <f>+DB3390*25000</f>
        <v>0</v>
      </c>
      <c r="DD3390" s="219"/>
      <c r="DE3390" s="219"/>
      <c r="DF3390" s="166"/>
      <c r="DG3390" s="116"/>
      <c r="DH3390" s="117"/>
      <c r="DI3390" s="24"/>
      <c r="DJ3390" s="24"/>
      <c r="DK3390" s="24"/>
      <c r="DL3390" s="24"/>
      <c r="DM3390" s="24"/>
      <c r="DN3390" s="24"/>
      <c r="DO3390" s="24"/>
      <c r="DP3390" s="24"/>
      <c r="DQ3390" s="24"/>
      <c r="DR3390" s="24"/>
      <c r="DS3390" s="24"/>
      <c r="DT3390" s="24"/>
      <c r="DU3390" s="24"/>
    </row>
    <row r="3391" spans="1:125" s="8" customFormat="1" ht="48" x14ac:dyDescent="0.2">
      <c r="A3391" s="353">
        <v>41563</v>
      </c>
      <c r="B3391" s="352" t="s">
        <v>2881</v>
      </c>
      <c r="C3391" s="354" t="s">
        <v>490</v>
      </c>
      <c r="D3391" s="354" t="s">
        <v>3051</v>
      </c>
      <c r="E3391" s="75" t="str">
        <f>VLOOKUP(B3391&amp;C3391,Divipola!$C$2:$F$1138,4,FALSE)</f>
        <v>08606</v>
      </c>
      <c r="F3391" s="87"/>
      <c r="G3391" s="87"/>
      <c r="H3391" s="87"/>
      <c r="I3391" s="87">
        <v>300</v>
      </c>
      <c r="J3391" s="87">
        <v>60</v>
      </c>
      <c r="K3391" s="87"/>
      <c r="L3391" s="87">
        <v>60</v>
      </c>
      <c r="M3391" s="87"/>
      <c r="N3391" s="87"/>
      <c r="O3391" s="87"/>
      <c r="P3391" s="87"/>
      <c r="Q3391" s="87"/>
      <c r="R3391" s="87"/>
      <c r="S3391" s="87"/>
      <c r="T3391" s="87"/>
      <c r="U3391" s="88"/>
      <c r="V3391" s="89"/>
      <c r="W3391" s="96">
        <v>0</v>
      </c>
      <c r="X3391" s="71">
        <f>CU3391</f>
        <v>0</v>
      </c>
      <c r="Y3391" s="71">
        <f>CY3391</f>
        <v>0</v>
      </c>
      <c r="Z3391" s="71">
        <f>DA3391+DC3391+DE3391</f>
        <v>0</v>
      </c>
      <c r="AA3391" s="71">
        <f>CW3391</f>
        <v>0</v>
      </c>
      <c r="AB3391" s="71"/>
      <c r="AC3391" s="71">
        <v>0</v>
      </c>
      <c r="AD3391" s="71">
        <f>W3391+X3391+Y3391+Z3391+AA3391+AB3391+AC3391</f>
        <v>0</v>
      </c>
      <c r="AE3391" s="72">
        <v>0</v>
      </c>
      <c r="AF3391" s="5"/>
      <c r="AG3391" s="6"/>
      <c r="AH3391" s="27"/>
      <c r="AI3391" s="44"/>
      <c r="AJ3391" s="26"/>
      <c r="AK3391" s="5"/>
      <c r="AL3391" s="82" t="s">
        <v>6351</v>
      </c>
      <c r="AM3391" s="76"/>
      <c r="AN3391" s="76"/>
      <c r="AO3391" s="76"/>
      <c r="AP3391" s="76"/>
      <c r="AQ3391" s="76"/>
      <c r="AR3391" s="76"/>
      <c r="AS3391" s="76"/>
      <c r="AT3391" s="76"/>
      <c r="AU3391" s="76"/>
      <c r="AV3391" s="76"/>
      <c r="AW3391" s="76"/>
      <c r="AX3391" s="76">
        <f>+AW3391*600000</f>
        <v>0</v>
      </c>
      <c r="AY3391" s="76"/>
      <c r="AZ3391" s="76">
        <f>+AY3391*70000</f>
        <v>0</v>
      </c>
      <c r="BA3391" s="76"/>
      <c r="BB3391" s="76"/>
      <c r="BC3391" s="76"/>
      <c r="BD3391" s="76">
        <f>+BC3391*30000</f>
        <v>0</v>
      </c>
      <c r="BE3391" s="76"/>
      <c r="BF3391" s="76"/>
      <c r="BG3391" s="76"/>
      <c r="BH3391" s="76"/>
      <c r="BI3391" s="76"/>
      <c r="BJ3391" s="76"/>
      <c r="BK3391" s="76"/>
      <c r="BL3391" s="76">
        <f>+BK3391*31500</f>
        <v>0</v>
      </c>
      <c r="BM3391" s="76"/>
      <c r="BN3391" s="76"/>
      <c r="BO3391" s="76"/>
      <c r="BP3391" s="76"/>
      <c r="BQ3391" s="76"/>
      <c r="BR3391" s="76"/>
      <c r="BS3391" s="76"/>
      <c r="BT3391" s="76"/>
      <c r="BU3391" s="76"/>
      <c r="BV3391" s="76"/>
      <c r="BW3391" s="76"/>
      <c r="BX3391" s="76"/>
      <c r="BY3391" s="76"/>
      <c r="BZ3391" s="76"/>
      <c r="CA3391" s="76"/>
      <c r="CB3391" s="76"/>
      <c r="CC3391" s="76"/>
      <c r="CD3391" s="76"/>
      <c r="CE3391" s="76"/>
      <c r="CF3391" s="76">
        <f>+CE3391*28000</f>
        <v>0</v>
      </c>
      <c r="CG3391" s="76"/>
      <c r="CH3391" s="76">
        <f>+CG3391*22500</f>
        <v>0</v>
      </c>
      <c r="CI3391" s="76"/>
      <c r="CJ3391" s="76">
        <f>+CI3391*26000</f>
        <v>0</v>
      </c>
      <c r="CK3391" s="76"/>
      <c r="CL3391" s="76"/>
      <c r="CM3391" s="76"/>
      <c r="CN3391" s="76">
        <f>+CM3391*22000</f>
        <v>0</v>
      </c>
      <c r="CO3391" s="76"/>
      <c r="CP3391" s="76">
        <f>+CO3391*46000</f>
        <v>0</v>
      </c>
      <c r="CQ3391" s="76"/>
      <c r="CR3391" s="76">
        <f>+CQ3391*49000</f>
        <v>0</v>
      </c>
      <c r="CS3391" s="76"/>
      <c r="CT3391" s="76"/>
      <c r="CU3391" s="56">
        <f>AN3391+AP3391+AR3391+AT3391+AV3391+AX3391+AZ3391+BB3391+BD3391+BF3391+BH3391+BJ3391+BL3391+BN3391+BP3391+BR3391+BT3391+BV3391+BX3391+BZ3391+CB3391+CD3391+CF3391+CH3391+CJ3391+CL3391+CN3391+CP3391+CR3391+CT3391</f>
        <v>0</v>
      </c>
      <c r="CV3391" s="76"/>
      <c r="CW3391" s="76">
        <f>+CV3391*1100</f>
        <v>0</v>
      </c>
      <c r="CX3391" s="76"/>
      <c r="CY3391" s="76">
        <f>+CX3391*106250</f>
        <v>0</v>
      </c>
      <c r="CZ3391" s="76"/>
      <c r="DA3391" s="76">
        <f>+CZ3391*34500</f>
        <v>0</v>
      </c>
      <c r="DB3391" s="76"/>
      <c r="DC3391" s="76">
        <f>+DB3391*25000</f>
        <v>0</v>
      </c>
      <c r="DD3391" s="219"/>
      <c r="DE3391" s="219"/>
      <c r="DF3391" s="166"/>
      <c r="DG3391" s="116"/>
      <c r="DH3391" s="117"/>
      <c r="DI3391" s="24"/>
      <c r="DJ3391" s="24"/>
      <c r="DK3391" s="24"/>
      <c r="DL3391" s="24"/>
      <c r="DM3391" s="24"/>
      <c r="DN3391" s="24"/>
      <c r="DO3391" s="24"/>
      <c r="DP3391" s="24"/>
      <c r="DQ3391" s="24"/>
      <c r="DR3391" s="24"/>
      <c r="DS3391" s="24"/>
      <c r="DT3391" s="24"/>
      <c r="DU3391" s="24"/>
    </row>
    <row r="3392" spans="1:125" s="8" customFormat="1" ht="36" x14ac:dyDescent="0.2">
      <c r="A3392" s="353">
        <v>41563</v>
      </c>
      <c r="B3392" s="352" t="s">
        <v>2881</v>
      </c>
      <c r="C3392" s="354" t="s">
        <v>2757</v>
      </c>
      <c r="D3392" s="354" t="s">
        <v>3051</v>
      </c>
      <c r="E3392" s="75" t="str">
        <f>VLOOKUP(B3392&amp;C3392,Divipola!$C$2:$F$1138,4,FALSE)</f>
        <v>08141</v>
      </c>
      <c r="F3392" s="87"/>
      <c r="G3392" s="87"/>
      <c r="H3392" s="87"/>
      <c r="I3392" s="87">
        <v>40</v>
      </c>
      <c r="J3392" s="87">
        <v>8</v>
      </c>
      <c r="K3392" s="87"/>
      <c r="L3392" s="87">
        <v>8</v>
      </c>
      <c r="M3392" s="87"/>
      <c r="N3392" s="87"/>
      <c r="O3392" s="87"/>
      <c r="P3392" s="87"/>
      <c r="Q3392" s="87"/>
      <c r="R3392" s="87"/>
      <c r="S3392" s="87"/>
      <c r="T3392" s="87"/>
      <c r="U3392" s="88"/>
      <c r="V3392" s="89"/>
      <c r="W3392" s="96">
        <v>0</v>
      </c>
      <c r="X3392" s="71">
        <f>CU3392</f>
        <v>0</v>
      </c>
      <c r="Y3392" s="71">
        <f>CY3392</f>
        <v>0</v>
      </c>
      <c r="Z3392" s="71">
        <f>DA3392+DC3392+DE3392</f>
        <v>0</v>
      </c>
      <c r="AA3392" s="71">
        <f>CW3392</f>
        <v>0</v>
      </c>
      <c r="AB3392" s="71"/>
      <c r="AC3392" s="71">
        <v>0</v>
      </c>
      <c r="AD3392" s="71">
        <f>W3392+X3392+Y3392+Z3392+AA3392+AB3392+AC3392</f>
        <v>0</v>
      </c>
      <c r="AE3392" s="72">
        <v>0</v>
      </c>
      <c r="AF3392" s="5"/>
      <c r="AG3392" s="6"/>
      <c r="AH3392" s="27"/>
      <c r="AI3392" s="44"/>
      <c r="AJ3392" s="26"/>
      <c r="AK3392" s="5"/>
      <c r="AL3392" s="82" t="s">
        <v>6352</v>
      </c>
      <c r="AM3392" s="76"/>
      <c r="AN3392" s="76"/>
      <c r="AO3392" s="76"/>
      <c r="AP3392" s="76"/>
      <c r="AQ3392" s="76"/>
      <c r="AR3392" s="76"/>
      <c r="AS3392" s="76"/>
      <c r="AT3392" s="76"/>
      <c r="AU3392" s="76"/>
      <c r="AV3392" s="76"/>
      <c r="AW3392" s="76"/>
      <c r="AX3392" s="76">
        <f>+AW3392*600000</f>
        <v>0</v>
      </c>
      <c r="AY3392" s="76"/>
      <c r="AZ3392" s="76">
        <f>+AY3392*70000</f>
        <v>0</v>
      </c>
      <c r="BA3392" s="76"/>
      <c r="BB3392" s="76"/>
      <c r="BC3392" s="76"/>
      <c r="BD3392" s="76">
        <f>+BC3392*30000</f>
        <v>0</v>
      </c>
      <c r="BE3392" s="76"/>
      <c r="BF3392" s="76"/>
      <c r="BG3392" s="76"/>
      <c r="BH3392" s="76"/>
      <c r="BI3392" s="76"/>
      <c r="BJ3392" s="76"/>
      <c r="BK3392" s="76"/>
      <c r="BL3392" s="76">
        <f>+BK3392*31500</f>
        <v>0</v>
      </c>
      <c r="BM3392" s="76"/>
      <c r="BN3392" s="76"/>
      <c r="BO3392" s="76"/>
      <c r="BP3392" s="76"/>
      <c r="BQ3392" s="76"/>
      <c r="BR3392" s="76"/>
      <c r="BS3392" s="76"/>
      <c r="BT3392" s="76"/>
      <c r="BU3392" s="76"/>
      <c r="BV3392" s="76"/>
      <c r="BW3392" s="76"/>
      <c r="BX3392" s="76"/>
      <c r="BY3392" s="76"/>
      <c r="BZ3392" s="76"/>
      <c r="CA3392" s="76"/>
      <c r="CB3392" s="76"/>
      <c r="CC3392" s="76"/>
      <c r="CD3392" s="76"/>
      <c r="CE3392" s="76"/>
      <c r="CF3392" s="76">
        <f>+CE3392*28000</f>
        <v>0</v>
      </c>
      <c r="CG3392" s="76"/>
      <c r="CH3392" s="76">
        <f>+CG3392*22500</f>
        <v>0</v>
      </c>
      <c r="CI3392" s="76"/>
      <c r="CJ3392" s="76">
        <f>+CI3392*26000</f>
        <v>0</v>
      </c>
      <c r="CK3392" s="76"/>
      <c r="CL3392" s="76"/>
      <c r="CM3392" s="76"/>
      <c r="CN3392" s="76">
        <f>+CM3392*22000</f>
        <v>0</v>
      </c>
      <c r="CO3392" s="76"/>
      <c r="CP3392" s="76">
        <f>+CO3392*46000</f>
        <v>0</v>
      </c>
      <c r="CQ3392" s="76"/>
      <c r="CR3392" s="76">
        <f>+CQ3392*49000</f>
        <v>0</v>
      </c>
      <c r="CS3392" s="76"/>
      <c r="CT3392" s="76"/>
      <c r="CU3392" s="56">
        <f>AN3392+AP3392+AR3392+AT3392+AV3392+AX3392+AZ3392+BB3392+BD3392+BF3392+BH3392+BJ3392+BL3392+BN3392+BP3392+BR3392+BT3392+BV3392+BX3392+BZ3392+CB3392+CD3392+CF3392+CH3392+CJ3392+CL3392+CN3392+CP3392+CR3392+CT3392</f>
        <v>0</v>
      </c>
      <c r="CV3392" s="76"/>
      <c r="CW3392" s="76">
        <f>+CV3392*1100</f>
        <v>0</v>
      </c>
      <c r="CX3392" s="76"/>
      <c r="CY3392" s="76">
        <f>+CX3392*106250</f>
        <v>0</v>
      </c>
      <c r="CZ3392" s="76"/>
      <c r="DA3392" s="76">
        <f>+CZ3392*34500</f>
        <v>0</v>
      </c>
      <c r="DB3392" s="76"/>
      <c r="DC3392" s="76">
        <f>+DB3392*25000</f>
        <v>0</v>
      </c>
      <c r="DD3392" s="219"/>
      <c r="DE3392" s="219"/>
      <c r="DF3392" s="166"/>
      <c r="DG3392" s="116"/>
      <c r="DH3392" s="117"/>
      <c r="DI3392" s="24"/>
      <c r="DJ3392" s="24"/>
      <c r="DK3392" s="24"/>
      <c r="DL3392" s="24"/>
      <c r="DM3392" s="24"/>
      <c r="DN3392" s="24"/>
      <c r="DO3392" s="24"/>
      <c r="DP3392" s="24"/>
      <c r="DQ3392" s="24"/>
      <c r="DR3392" s="24"/>
      <c r="DS3392" s="24"/>
      <c r="DT3392" s="24"/>
      <c r="DU3392" s="24"/>
    </row>
    <row r="3393" spans="1:125" s="8" customFormat="1" ht="48" x14ac:dyDescent="0.2">
      <c r="A3393" s="353">
        <v>41563</v>
      </c>
      <c r="B3393" s="352" t="s">
        <v>2718</v>
      </c>
      <c r="C3393" s="354" t="s">
        <v>949</v>
      </c>
      <c r="D3393" s="354" t="s">
        <v>3051</v>
      </c>
      <c r="E3393" s="75" t="str">
        <f>VLOOKUP(B3393&amp;C3393,Divipola!$C$2:$F$1138,4,FALSE)</f>
        <v>23090</v>
      </c>
      <c r="F3393" s="87"/>
      <c r="G3393" s="87"/>
      <c r="H3393" s="87"/>
      <c r="I3393" s="87">
        <f>238*5</f>
        <v>1190</v>
      </c>
      <c r="J3393" s="87">
        <v>238</v>
      </c>
      <c r="K3393" s="87"/>
      <c r="L3393" s="87">
        <v>30</v>
      </c>
      <c r="M3393" s="87"/>
      <c r="N3393" s="87"/>
      <c r="O3393" s="87"/>
      <c r="P3393" s="87"/>
      <c r="Q3393" s="87"/>
      <c r="R3393" s="87"/>
      <c r="S3393" s="87"/>
      <c r="T3393" s="87"/>
      <c r="U3393" s="88"/>
      <c r="V3393" s="89"/>
      <c r="W3393" s="96">
        <v>0</v>
      </c>
      <c r="X3393" s="71">
        <f>CU3393</f>
        <v>10674946.4</v>
      </c>
      <c r="Y3393" s="71">
        <f>CY3393</f>
        <v>26562500</v>
      </c>
      <c r="Z3393" s="71">
        <f>DA3393+DC3393+DE3393</f>
        <v>0</v>
      </c>
      <c r="AA3393" s="71">
        <f>CW3393</f>
        <v>10996800</v>
      </c>
      <c r="AB3393" s="71"/>
      <c r="AC3393" s="71">
        <v>0</v>
      </c>
      <c r="AD3393" s="71">
        <f>W3393+X3393+Y3393+Z3393+AA3393+AB3393+AC3393</f>
        <v>48234246.399999999</v>
      </c>
      <c r="AE3393" s="72">
        <v>0</v>
      </c>
      <c r="AF3393" s="5"/>
      <c r="AG3393" s="6"/>
      <c r="AH3393" s="27"/>
      <c r="AI3393" s="44"/>
      <c r="AJ3393" s="26"/>
      <c r="AK3393" s="5"/>
      <c r="AL3393" s="82" t="s">
        <v>6642</v>
      </c>
      <c r="AM3393" s="76"/>
      <c r="AN3393" s="76"/>
      <c r="AO3393" s="76"/>
      <c r="AP3393" s="76"/>
      <c r="AQ3393" s="76"/>
      <c r="AR3393" s="76"/>
      <c r="AS3393" s="76"/>
      <c r="AT3393" s="76"/>
      <c r="AU3393" s="76"/>
      <c r="AV3393" s="76"/>
      <c r="AW3393" s="76"/>
      <c r="AX3393" s="76">
        <f>+AW3393*600000</f>
        <v>0</v>
      </c>
      <c r="AY3393" s="76"/>
      <c r="AZ3393" s="76">
        <f>+AY3393*70000</f>
        <v>0</v>
      </c>
      <c r="BA3393" s="76"/>
      <c r="BB3393" s="76"/>
      <c r="BC3393" s="76"/>
      <c r="BD3393" s="76">
        <f>+BC3393*30000</f>
        <v>0</v>
      </c>
      <c r="BE3393" s="76"/>
      <c r="BF3393" s="76"/>
      <c r="BG3393" s="76"/>
      <c r="BH3393" s="76"/>
      <c r="BI3393" s="76"/>
      <c r="BJ3393" s="76"/>
      <c r="BK3393" s="86">
        <v>250</v>
      </c>
      <c r="BL3393" s="86">
        <f>+BK3393*31499.8</f>
        <v>7874950</v>
      </c>
      <c r="BM3393" s="76"/>
      <c r="BN3393" s="76"/>
      <c r="BO3393" s="76"/>
      <c r="BP3393" s="76"/>
      <c r="BQ3393" s="76"/>
      <c r="BR3393" s="76"/>
      <c r="BS3393" s="76"/>
      <c r="BT3393" s="76"/>
      <c r="BU3393" s="76"/>
      <c r="BV3393" s="76"/>
      <c r="BW3393" s="76"/>
      <c r="BX3393" s="76"/>
      <c r="BY3393" s="86">
        <v>5</v>
      </c>
      <c r="BZ3393" s="86">
        <f>5*559999.28</f>
        <v>2799996.4000000004</v>
      </c>
      <c r="CA3393" s="76"/>
      <c r="CB3393" s="76"/>
      <c r="CC3393" s="76"/>
      <c r="CD3393" s="76"/>
      <c r="CE3393" s="76"/>
      <c r="CF3393" s="76">
        <f>+CE3393*28000</f>
        <v>0</v>
      </c>
      <c r="CG3393" s="76"/>
      <c r="CH3393" s="76">
        <f>+CG3393*22500</f>
        <v>0</v>
      </c>
      <c r="CI3393" s="76"/>
      <c r="CJ3393" s="76">
        <f>+CI3393*26000</f>
        <v>0</v>
      </c>
      <c r="CK3393" s="76"/>
      <c r="CL3393" s="76"/>
      <c r="CM3393" s="76"/>
      <c r="CN3393" s="76">
        <f>+CM3393*22000</f>
        <v>0</v>
      </c>
      <c r="CO3393" s="76"/>
      <c r="CP3393" s="76">
        <f>+CO3393*46000</f>
        <v>0</v>
      </c>
      <c r="CQ3393" s="76"/>
      <c r="CR3393" s="76">
        <f>+CQ3393*49000</f>
        <v>0</v>
      </c>
      <c r="CS3393" s="76"/>
      <c r="CT3393" s="76"/>
      <c r="CU3393" s="56">
        <f>AN3393+AP3393+AR3393+AT3393+AV3393+AX3393+AZ3393+BB3393+BD3393+BF3393+BH3393+BJ3393+BL3393+BN3393+BP3393+BR3393+BT3393+BV3393+BX3393+BZ3393+CB3393+CD3393+CF3393+CH3393+CJ3393+CL3393+CN3393+CP3393+CR3393+CT3393</f>
        <v>10674946.4</v>
      </c>
      <c r="CV3393" s="86">
        <v>10000</v>
      </c>
      <c r="CW3393" s="86">
        <f>+CV3393*1099.68</f>
        <v>10996800</v>
      </c>
      <c r="CX3393" s="86">
        <v>250</v>
      </c>
      <c r="CY3393" s="86">
        <f>+CX3393*106250</f>
        <v>26562500</v>
      </c>
      <c r="CZ3393" s="76"/>
      <c r="DA3393" s="76">
        <f>+CZ3393*34500</f>
        <v>0</v>
      </c>
      <c r="DB3393" s="76"/>
      <c r="DC3393" s="76">
        <f>+DB3393*25000</f>
        <v>0</v>
      </c>
      <c r="DD3393" s="219"/>
      <c r="DE3393" s="219"/>
      <c r="DF3393" s="166"/>
      <c r="DG3393" s="134" t="s">
        <v>6922</v>
      </c>
      <c r="DH3393" s="117"/>
      <c r="DI3393" s="24"/>
      <c r="DJ3393" s="24"/>
      <c r="DK3393" s="24"/>
      <c r="DL3393" s="24"/>
      <c r="DM3393" s="24"/>
      <c r="DN3393" s="24"/>
      <c r="DO3393" s="24"/>
      <c r="DP3393" s="24"/>
      <c r="DQ3393" s="24"/>
      <c r="DR3393" s="24"/>
      <c r="DS3393" s="24"/>
      <c r="DT3393" s="24"/>
      <c r="DU3393" s="24"/>
    </row>
    <row r="3394" spans="1:125" s="8" customFormat="1" ht="48" x14ac:dyDescent="0.2">
      <c r="A3394" s="77">
        <v>41564</v>
      </c>
      <c r="B3394" s="78" t="s">
        <v>2881</v>
      </c>
      <c r="C3394" s="75" t="s">
        <v>2547</v>
      </c>
      <c r="D3394" s="75" t="s">
        <v>2882</v>
      </c>
      <c r="E3394" s="75" t="str">
        <f>VLOOKUP(B3394&amp;C3394,Divipola!$C$2:$F$1138,4,FALSE)</f>
        <v>08638</v>
      </c>
      <c r="F3394" s="61"/>
      <c r="G3394" s="61"/>
      <c r="H3394" s="61"/>
      <c r="I3394" s="61"/>
      <c r="J3394" s="61"/>
      <c r="K3394" s="61"/>
      <c r="L3394" s="61"/>
      <c r="M3394" s="61"/>
      <c r="N3394" s="61"/>
      <c r="O3394" s="61"/>
      <c r="P3394" s="61"/>
      <c r="Q3394" s="61"/>
      <c r="R3394" s="61"/>
      <c r="S3394" s="61"/>
      <c r="T3394" s="61"/>
      <c r="U3394" s="61"/>
      <c r="V3394" s="7"/>
      <c r="W3394" s="96">
        <v>48000000</v>
      </c>
      <c r="X3394" s="71">
        <f>CU3394</f>
        <v>0</v>
      </c>
      <c r="Y3394" s="71">
        <f>CY3394</f>
        <v>0</v>
      </c>
      <c r="Z3394" s="71">
        <f>DA3394+DC3394+DE3394</f>
        <v>0</v>
      </c>
      <c r="AA3394" s="71">
        <f>CW3394</f>
        <v>0</v>
      </c>
      <c r="AB3394" s="71"/>
      <c r="AC3394" s="71">
        <v>0</v>
      </c>
      <c r="AD3394" s="71">
        <f>W3394+X3394+Y3394+Z3394+AA3394+AB3394+AC3394</f>
        <v>48000000</v>
      </c>
      <c r="AE3394" s="72">
        <v>0</v>
      </c>
      <c r="AF3394" s="5"/>
      <c r="AG3394" s="6"/>
      <c r="AH3394" s="27"/>
      <c r="AI3394" s="44"/>
      <c r="AJ3394" s="26"/>
      <c r="AK3394" s="5"/>
      <c r="AL3394" s="9" t="s">
        <v>6345</v>
      </c>
      <c r="AM3394" s="76"/>
      <c r="AN3394" s="76"/>
      <c r="AO3394" s="76"/>
      <c r="AP3394" s="76"/>
      <c r="AQ3394" s="76"/>
      <c r="AR3394" s="76"/>
      <c r="AS3394" s="76"/>
      <c r="AT3394" s="76"/>
      <c r="AU3394" s="76"/>
      <c r="AV3394" s="76"/>
      <c r="AW3394" s="76"/>
      <c r="AX3394" s="76">
        <f>+AW3394*600000</f>
        <v>0</v>
      </c>
      <c r="AY3394" s="76"/>
      <c r="AZ3394" s="76">
        <f>+AY3394*70000</f>
        <v>0</v>
      </c>
      <c r="BA3394" s="76"/>
      <c r="BB3394" s="76"/>
      <c r="BC3394" s="76"/>
      <c r="BD3394" s="76">
        <f>+BC3394*30000</f>
        <v>0</v>
      </c>
      <c r="BE3394" s="76"/>
      <c r="BF3394" s="76"/>
      <c r="BG3394" s="76"/>
      <c r="BH3394" s="76"/>
      <c r="BI3394" s="76"/>
      <c r="BJ3394" s="76"/>
      <c r="BK3394" s="76"/>
      <c r="BL3394" s="76">
        <f>+BK3394*31500</f>
        <v>0</v>
      </c>
      <c r="BM3394" s="76"/>
      <c r="BN3394" s="76"/>
      <c r="BO3394" s="76"/>
      <c r="BP3394" s="76"/>
      <c r="BQ3394" s="76"/>
      <c r="BR3394" s="76"/>
      <c r="BS3394" s="76"/>
      <c r="BT3394" s="76"/>
      <c r="BU3394" s="76"/>
      <c r="BV3394" s="76"/>
      <c r="BW3394" s="76"/>
      <c r="BX3394" s="76"/>
      <c r="BY3394" s="76"/>
      <c r="BZ3394" s="76"/>
      <c r="CA3394" s="76"/>
      <c r="CB3394" s="76"/>
      <c r="CC3394" s="76"/>
      <c r="CD3394" s="76"/>
      <c r="CE3394" s="76"/>
      <c r="CF3394" s="76">
        <f>+CE3394*28000</f>
        <v>0</v>
      </c>
      <c r="CG3394" s="76"/>
      <c r="CH3394" s="76">
        <f>+CG3394*22500</f>
        <v>0</v>
      </c>
      <c r="CI3394" s="76"/>
      <c r="CJ3394" s="76">
        <f>+CI3394*26000</f>
        <v>0</v>
      </c>
      <c r="CK3394" s="76"/>
      <c r="CL3394" s="76"/>
      <c r="CM3394" s="76"/>
      <c r="CN3394" s="76">
        <f>+CM3394*22000</f>
        <v>0</v>
      </c>
      <c r="CO3394" s="76"/>
      <c r="CP3394" s="76">
        <f>+CO3394*46000</f>
        <v>0</v>
      </c>
      <c r="CQ3394" s="76"/>
      <c r="CR3394" s="76">
        <f>+CQ3394*49000</f>
        <v>0</v>
      </c>
      <c r="CS3394" s="76"/>
      <c r="CT3394" s="76"/>
      <c r="CU3394" s="56">
        <f>AN3394+AP3394+AR3394+AT3394+AV3394+AX3394+AZ3394+BB3394+BD3394+BF3394+BH3394+BJ3394+BL3394+BN3394+BP3394+BR3394+BT3394+BV3394+BX3394+BZ3394+CB3394+CD3394+CF3394+CH3394+CJ3394+CL3394+CN3394+CP3394+CR3394+CT3394</f>
        <v>0</v>
      </c>
      <c r="CV3394" s="76"/>
      <c r="CW3394" s="76">
        <f>+CV3394*1100</f>
        <v>0</v>
      </c>
      <c r="CX3394" s="76"/>
      <c r="CY3394" s="76">
        <f>+CX3394*106250</f>
        <v>0</v>
      </c>
      <c r="CZ3394" s="76"/>
      <c r="DA3394" s="76">
        <f>+CZ3394*34500</f>
        <v>0</v>
      </c>
      <c r="DB3394" s="76"/>
      <c r="DC3394" s="76">
        <f>+DB3394*25000</f>
        <v>0</v>
      </c>
      <c r="DD3394" s="219"/>
      <c r="DE3394" s="219"/>
      <c r="DF3394" s="166"/>
      <c r="DG3394" s="116"/>
      <c r="DH3394" s="117"/>
      <c r="DI3394" s="24"/>
      <c r="DJ3394" s="24"/>
      <c r="DK3394" s="24"/>
      <c r="DL3394" s="24"/>
      <c r="DM3394" s="24"/>
      <c r="DN3394" s="24"/>
      <c r="DO3394" s="24"/>
      <c r="DP3394" s="24"/>
      <c r="DQ3394" s="24"/>
      <c r="DR3394" s="24"/>
      <c r="DS3394" s="24"/>
      <c r="DT3394" s="24"/>
      <c r="DU3394" s="24"/>
    </row>
    <row r="3395" spans="1:125" s="8" customFormat="1" ht="144" x14ac:dyDescent="0.2">
      <c r="A3395" s="353">
        <v>41564</v>
      </c>
      <c r="B3395" s="352" t="s">
        <v>2894</v>
      </c>
      <c r="C3395" s="354" t="s">
        <v>2199</v>
      </c>
      <c r="D3395" s="354" t="s">
        <v>2849</v>
      </c>
      <c r="E3395" s="75" t="str">
        <f>VLOOKUP(B3395&amp;C3395,Divipola!$C$2:$F$1138,4,FALSE)</f>
        <v>05591</v>
      </c>
      <c r="F3395" s="87">
        <v>1</v>
      </c>
      <c r="G3395" s="87">
        <v>12</v>
      </c>
      <c r="H3395" s="87"/>
      <c r="I3395" s="87"/>
      <c r="J3395" s="87"/>
      <c r="K3395" s="87"/>
      <c r="L3395" s="87"/>
      <c r="M3395" s="87"/>
      <c r="N3395" s="87"/>
      <c r="O3395" s="87"/>
      <c r="P3395" s="87"/>
      <c r="Q3395" s="87"/>
      <c r="R3395" s="87"/>
      <c r="S3395" s="87"/>
      <c r="T3395" s="87"/>
      <c r="U3395" s="88"/>
      <c r="V3395" s="89"/>
      <c r="W3395" s="96">
        <v>0</v>
      </c>
      <c r="X3395" s="71">
        <f>CU3395</f>
        <v>0</v>
      </c>
      <c r="Y3395" s="71">
        <f>CY3395</f>
        <v>0</v>
      </c>
      <c r="Z3395" s="71">
        <f>DA3395+DC3395+DE3395</f>
        <v>0</v>
      </c>
      <c r="AA3395" s="71">
        <f>CW3395</f>
        <v>0</v>
      </c>
      <c r="AB3395" s="71"/>
      <c r="AC3395" s="71">
        <v>0</v>
      </c>
      <c r="AD3395" s="71">
        <f>W3395+X3395+Y3395+Z3395+AA3395+AB3395+AC3395</f>
        <v>0</v>
      </c>
      <c r="AE3395" s="72">
        <v>0</v>
      </c>
      <c r="AF3395" s="5"/>
      <c r="AG3395" s="6"/>
      <c r="AH3395" s="27"/>
      <c r="AI3395" s="44"/>
      <c r="AJ3395" s="26"/>
      <c r="AK3395" s="5"/>
      <c r="AL3395" s="82" t="s">
        <v>6350</v>
      </c>
      <c r="AM3395" s="76"/>
      <c r="AN3395" s="76"/>
      <c r="AO3395" s="76"/>
      <c r="AP3395" s="76"/>
      <c r="AQ3395" s="76"/>
      <c r="AR3395" s="76"/>
      <c r="AS3395" s="76"/>
      <c r="AT3395" s="76"/>
      <c r="AU3395" s="76"/>
      <c r="AV3395" s="76"/>
      <c r="AW3395" s="76"/>
      <c r="AX3395" s="76">
        <f>+AW3395*600000</f>
        <v>0</v>
      </c>
      <c r="AY3395" s="76"/>
      <c r="AZ3395" s="76">
        <f>+AY3395*70000</f>
        <v>0</v>
      </c>
      <c r="BA3395" s="76"/>
      <c r="BB3395" s="76"/>
      <c r="BC3395" s="76"/>
      <c r="BD3395" s="76">
        <f>+BC3395*30000</f>
        <v>0</v>
      </c>
      <c r="BE3395" s="76"/>
      <c r="BF3395" s="76"/>
      <c r="BG3395" s="76"/>
      <c r="BH3395" s="76"/>
      <c r="BI3395" s="76"/>
      <c r="BJ3395" s="76"/>
      <c r="BK3395" s="76"/>
      <c r="BL3395" s="76">
        <f>+BK3395*31500</f>
        <v>0</v>
      </c>
      <c r="BM3395" s="76"/>
      <c r="BN3395" s="76"/>
      <c r="BO3395" s="76"/>
      <c r="BP3395" s="76"/>
      <c r="BQ3395" s="76"/>
      <c r="BR3395" s="76"/>
      <c r="BS3395" s="76"/>
      <c r="BT3395" s="76"/>
      <c r="BU3395" s="76"/>
      <c r="BV3395" s="76"/>
      <c r="BW3395" s="76"/>
      <c r="BX3395" s="76"/>
      <c r="BY3395" s="76"/>
      <c r="BZ3395" s="76"/>
      <c r="CA3395" s="76"/>
      <c r="CB3395" s="76"/>
      <c r="CC3395" s="76"/>
      <c r="CD3395" s="76"/>
      <c r="CE3395" s="76"/>
      <c r="CF3395" s="76">
        <f>+CE3395*28000</f>
        <v>0</v>
      </c>
      <c r="CG3395" s="76"/>
      <c r="CH3395" s="76">
        <f>+CG3395*22500</f>
        <v>0</v>
      </c>
      <c r="CI3395" s="76"/>
      <c r="CJ3395" s="76">
        <f>+CI3395*26000</f>
        <v>0</v>
      </c>
      <c r="CK3395" s="76"/>
      <c r="CL3395" s="76"/>
      <c r="CM3395" s="76"/>
      <c r="CN3395" s="76">
        <f>+CM3395*22000</f>
        <v>0</v>
      </c>
      <c r="CO3395" s="76"/>
      <c r="CP3395" s="76">
        <f>+CO3395*46000</f>
        <v>0</v>
      </c>
      <c r="CQ3395" s="76"/>
      <c r="CR3395" s="76">
        <f>+CQ3395*49000</f>
        <v>0</v>
      </c>
      <c r="CS3395" s="76"/>
      <c r="CT3395" s="76"/>
      <c r="CU3395" s="56">
        <f>AN3395+AP3395+AR3395+AT3395+AV3395+AX3395+AZ3395+BB3395+BD3395+BF3395+BH3395+BJ3395+BL3395+BN3395+BP3395+BR3395+BT3395+BV3395+BX3395+BZ3395+CB3395+CD3395+CF3395+CH3395+CJ3395+CL3395+CN3395+CP3395+CR3395+CT3395</f>
        <v>0</v>
      </c>
      <c r="CV3395" s="76"/>
      <c r="CW3395" s="76">
        <f>+CV3395*1100</f>
        <v>0</v>
      </c>
      <c r="CX3395" s="76"/>
      <c r="CY3395" s="76">
        <f>+CX3395*106250</f>
        <v>0</v>
      </c>
      <c r="CZ3395" s="76"/>
      <c r="DA3395" s="76">
        <f>+CZ3395*34500</f>
        <v>0</v>
      </c>
      <c r="DB3395" s="76"/>
      <c r="DC3395" s="76">
        <f>+DB3395*25000</f>
        <v>0</v>
      </c>
      <c r="DD3395" s="219"/>
      <c r="DE3395" s="219"/>
      <c r="DF3395" s="166"/>
      <c r="DG3395" s="116"/>
      <c r="DH3395" s="117"/>
      <c r="DI3395" s="24"/>
      <c r="DJ3395" s="24"/>
      <c r="DK3395" s="24"/>
      <c r="DL3395" s="24"/>
      <c r="DM3395" s="24"/>
      <c r="DN3395" s="24"/>
      <c r="DO3395" s="24"/>
      <c r="DP3395" s="24"/>
      <c r="DQ3395" s="24"/>
      <c r="DR3395" s="24"/>
      <c r="DS3395" s="24"/>
      <c r="DT3395" s="24"/>
      <c r="DU3395" s="24"/>
    </row>
    <row r="3396" spans="1:125" s="8" customFormat="1" ht="96" x14ac:dyDescent="0.2">
      <c r="A3396" s="353">
        <v>41564</v>
      </c>
      <c r="B3396" s="352" t="s">
        <v>2860</v>
      </c>
      <c r="C3396" s="354" t="s">
        <v>2776</v>
      </c>
      <c r="D3396" s="354" t="s">
        <v>3088</v>
      </c>
      <c r="E3396" s="75" t="str">
        <f>VLOOKUP(B3396&amp;C3396,Divipola!$C$2:$F$1138,4,FALSE)</f>
        <v>63001</v>
      </c>
      <c r="F3396" s="87"/>
      <c r="G3396" s="87"/>
      <c r="H3396" s="87"/>
      <c r="I3396" s="87">
        <v>15</v>
      </c>
      <c r="J3396" s="87">
        <v>3</v>
      </c>
      <c r="K3396" s="87"/>
      <c r="L3396" s="87">
        <v>2</v>
      </c>
      <c r="M3396" s="87">
        <v>1</v>
      </c>
      <c r="N3396" s="87"/>
      <c r="O3396" s="87"/>
      <c r="P3396" s="87"/>
      <c r="Q3396" s="87"/>
      <c r="R3396" s="87"/>
      <c r="S3396" s="87"/>
      <c r="T3396" s="87"/>
      <c r="U3396" s="88"/>
      <c r="V3396" s="89"/>
      <c r="W3396" s="96">
        <v>0</v>
      </c>
      <c r="X3396" s="71">
        <f>CU3396</f>
        <v>0</v>
      </c>
      <c r="Y3396" s="71">
        <f>CY3396</f>
        <v>0</v>
      </c>
      <c r="Z3396" s="71">
        <f>DA3396+DC3396+DE3396</f>
        <v>0</v>
      </c>
      <c r="AA3396" s="71">
        <f>CW3396</f>
        <v>0</v>
      </c>
      <c r="AB3396" s="71"/>
      <c r="AC3396" s="71">
        <v>0</v>
      </c>
      <c r="AD3396" s="71">
        <f>W3396+X3396+Y3396+Z3396+AA3396+AB3396+AC3396</f>
        <v>0</v>
      </c>
      <c r="AE3396" s="72">
        <v>0</v>
      </c>
      <c r="AF3396" s="5"/>
      <c r="AG3396" s="6"/>
      <c r="AH3396" s="27"/>
      <c r="AI3396" s="44"/>
      <c r="AJ3396" s="26"/>
      <c r="AK3396" s="5"/>
      <c r="AL3396" s="82" t="s">
        <v>6353</v>
      </c>
      <c r="AM3396" s="76"/>
      <c r="AN3396" s="76"/>
      <c r="AO3396" s="76"/>
      <c r="AP3396" s="76"/>
      <c r="AQ3396" s="76"/>
      <c r="AR3396" s="76"/>
      <c r="AS3396" s="76"/>
      <c r="AT3396" s="76"/>
      <c r="AU3396" s="76"/>
      <c r="AV3396" s="76"/>
      <c r="AW3396" s="76"/>
      <c r="AX3396" s="76">
        <f>+AW3396*600000</f>
        <v>0</v>
      </c>
      <c r="AY3396" s="76"/>
      <c r="AZ3396" s="76">
        <f>+AY3396*70000</f>
        <v>0</v>
      </c>
      <c r="BA3396" s="76"/>
      <c r="BB3396" s="76"/>
      <c r="BC3396" s="76"/>
      <c r="BD3396" s="76">
        <f>+BC3396*30000</f>
        <v>0</v>
      </c>
      <c r="BE3396" s="76"/>
      <c r="BF3396" s="76"/>
      <c r="BG3396" s="76"/>
      <c r="BH3396" s="76"/>
      <c r="BI3396" s="76"/>
      <c r="BJ3396" s="76"/>
      <c r="BK3396" s="76"/>
      <c r="BL3396" s="76">
        <f>+BK3396*31500</f>
        <v>0</v>
      </c>
      <c r="BM3396" s="76"/>
      <c r="BN3396" s="76"/>
      <c r="BO3396" s="76"/>
      <c r="BP3396" s="76"/>
      <c r="BQ3396" s="76"/>
      <c r="BR3396" s="76"/>
      <c r="BS3396" s="76"/>
      <c r="BT3396" s="76"/>
      <c r="BU3396" s="76"/>
      <c r="BV3396" s="76"/>
      <c r="BW3396" s="76"/>
      <c r="BX3396" s="76"/>
      <c r="BY3396" s="76"/>
      <c r="BZ3396" s="76"/>
      <c r="CA3396" s="76"/>
      <c r="CB3396" s="76"/>
      <c r="CC3396" s="76"/>
      <c r="CD3396" s="76"/>
      <c r="CE3396" s="76"/>
      <c r="CF3396" s="76">
        <f>+CE3396*28000</f>
        <v>0</v>
      </c>
      <c r="CG3396" s="76"/>
      <c r="CH3396" s="76">
        <f>+CG3396*22500</f>
        <v>0</v>
      </c>
      <c r="CI3396" s="76"/>
      <c r="CJ3396" s="76">
        <f>+CI3396*26000</f>
        <v>0</v>
      </c>
      <c r="CK3396" s="76"/>
      <c r="CL3396" s="76"/>
      <c r="CM3396" s="76"/>
      <c r="CN3396" s="76">
        <f>+CM3396*22000</f>
        <v>0</v>
      </c>
      <c r="CO3396" s="76"/>
      <c r="CP3396" s="76">
        <f>+CO3396*46000</f>
        <v>0</v>
      </c>
      <c r="CQ3396" s="76"/>
      <c r="CR3396" s="76">
        <f>+CQ3396*49000</f>
        <v>0</v>
      </c>
      <c r="CS3396" s="76"/>
      <c r="CT3396" s="76"/>
      <c r="CU3396" s="56">
        <f>AN3396+AP3396+AR3396+AT3396+AV3396+AX3396+AZ3396+BB3396+BD3396+BF3396+BH3396+BJ3396+BL3396+BN3396+BP3396+BR3396+BT3396+BV3396+BX3396+BZ3396+CB3396+CD3396+CF3396+CH3396+CJ3396+CL3396+CN3396+CP3396+CR3396+CT3396</f>
        <v>0</v>
      </c>
      <c r="CV3396" s="76"/>
      <c r="CW3396" s="76">
        <f>+CV3396*1100</f>
        <v>0</v>
      </c>
      <c r="CX3396" s="76"/>
      <c r="CY3396" s="76">
        <f>+CX3396*106250</f>
        <v>0</v>
      </c>
      <c r="CZ3396" s="76"/>
      <c r="DA3396" s="76">
        <f>+CZ3396*34500</f>
        <v>0</v>
      </c>
      <c r="DB3396" s="76"/>
      <c r="DC3396" s="76">
        <f>+DB3396*25000</f>
        <v>0</v>
      </c>
      <c r="DD3396" s="219"/>
      <c r="DE3396" s="219"/>
      <c r="DF3396" s="166"/>
      <c r="DG3396" s="116"/>
      <c r="DH3396" s="117"/>
      <c r="DI3396" s="24"/>
      <c r="DJ3396" s="24"/>
      <c r="DK3396" s="24"/>
      <c r="DL3396" s="24"/>
      <c r="DM3396" s="24"/>
      <c r="DN3396" s="24"/>
      <c r="DO3396" s="24"/>
      <c r="DP3396" s="24"/>
      <c r="DQ3396" s="24"/>
      <c r="DR3396" s="24"/>
      <c r="DS3396" s="24"/>
      <c r="DT3396" s="24"/>
      <c r="DU3396" s="24"/>
    </row>
    <row r="3397" spans="1:125" s="8" customFormat="1" ht="84" x14ac:dyDescent="0.2">
      <c r="A3397" s="77">
        <v>41564</v>
      </c>
      <c r="B3397" s="78" t="s">
        <v>2700</v>
      </c>
      <c r="C3397" s="75" t="s">
        <v>1705</v>
      </c>
      <c r="D3397" s="75" t="s">
        <v>3051</v>
      </c>
      <c r="E3397" s="75" t="str">
        <f>VLOOKUP(B3397&amp;C3397,Divipola!$C$2:$F$1138,4,FALSE)</f>
        <v>15572</v>
      </c>
      <c r="F3397" s="87"/>
      <c r="G3397" s="87"/>
      <c r="H3397" s="87"/>
      <c r="I3397" s="87">
        <v>700</v>
      </c>
      <c r="J3397" s="87">
        <v>140</v>
      </c>
      <c r="K3397" s="87"/>
      <c r="L3397" s="87">
        <v>140</v>
      </c>
      <c r="M3397" s="87"/>
      <c r="N3397" s="87"/>
      <c r="O3397" s="87"/>
      <c r="P3397" s="87"/>
      <c r="Q3397" s="87"/>
      <c r="R3397" s="87"/>
      <c r="S3397" s="87"/>
      <c r="T3397" s="87"/>
      <c r="U3397" s="88"/>
      <c r="V3397" s="89"/>
      <c r="W3397" s="96">
        <v>0</v>
      </c>
      <c r="X3397" s="71">
        <f>CU3397</f>
        <v>0</v>
      </c>
      <c r="Y3397" s="71">
        <f>CY3397</f>
        <v>0</v>
      </c>
      <c r="Z3397" s="71">
        <f>DA3397+DC3397+DE3397</f>
        <v>0</v>
      </c>
      <c r="AA3397" s="71">
        <f>CW3397</f>
        <v>0</v>
      </c>
      <c r="AB3397" s="71"/>
      <c r="AC3397" s="71">
        <v>0</v>
      </c>
      <c r="AD3397" s="71">
        <f>W3397+X3397+Y3397+Z3397+AA3397+AB3397+AC3397</f>
        <v>0</v>
      </c>
      <c r="AE3397" s="72">
        <v>0</v>
      </c>
      <c r="AF3397" s="5"/>
      <c r="AG3397" s="6"/>
      <c r="AH3397" s="27"/>
      <c r="AI3397" s="44"/>
      <c r="AJ3397" s="26"/>
      <c r="AK3397" s="5"/>
      <c r="AL3397" s="9" t="s">
        <v>6354</v>
      </c>
      <c r="AM3397" s="76"/>
      <c r="AN3397" s="76"/>
      <c r="AO3397" s="76"/>
      <c r="AP3397" s="76"/>
      <c r="AQ3397" s="76"/>
      <c r="AR3397" s="76"/>
      <c r="AS3397" s="76"/>
      <c r="AT3397" s="76"/>
      <c r="AU3397" s="76"/>
      <c r="AV3397" s="76"/>
      <c r="AW3397" s="76"/>
      <c r="AX3397" s="76">
        <f>+AW3397*600000</f>
        <v>0</v>
      </c>
      <c r="AY3397" s="76"/>
      <c r="AZ3397" s="76">
        <f>+AY3397*70000</f>
        <v>0</v>
      </c>
      <c r="BA3397" s="76"/>
      <c r="BB3397" s="76"/>
      <c r="BC3397" s="76"/>
      <c r="BD3397" s="76">
        <f>+BC3397*30000</f>
        <v>0</v>
      </c>
      <c r="BE3397" s="76"/>
      <c r="BF3397" s="76"/>
      <c r="BG3397" s="76"/>
      <c r="BH3397" s="76"/>
      <c r="BI3397" s="76"/>
      <c r="BJ3397" s="76"/>
      <c r="BK3397" s="76"/>
      <c r="BL3397" s="76">
        <f>+BK3397*31500</f>
        <v>0</v>
      </c>
      <c r="BM3397" s="76"/>
      <c r="BN3397" s="76"/>
      <c r="BO3397" s="76"/>
      <c r="BP3397" s="76"/>
      <c r="BQ3397" s="76"/>
      <c r="BR3397" s="76"/>
      <c r="BS3397" s="76"/>
      <c r="BT3397" s="76"/>
      <c r="BU3397" s="76"/>
      <c r="BV3397" s="76"/>
      <c r="BW3397" s="76"/>
      <c r="BX3397" s="76"/>
      <c r="BY3397" s="76"/>
      <c r="BZ3397" s="76"/>
      <c r="CA3397" s="76"/>
      <c r="CB3397" s="76"/>
      <c r="CC3397" s="76"/>
      <c r="CD3397" s="76"/>
      <c r="CE3397" s="76"/>
      <c r="CF3397" s="76">
        <f>+CE3397*28000</f>
        <v>0</v>
      </c>
      <c r="CG3397" s="76"/>
      <c r="CH3397" s="76">
        <f>+CG3397*22500</f>
        <v>0</v>
      </c>
      <c r="CI3397" s="76"/>
      <c r="CJ3397" s="76">
        <f>+CI3397*26000</f>
        <v>0</v>
      </c>
      <c r="CK3397" s="76"/>
      <c r="CL3397" s="76"/>
      <c r="CM3397" s="76"/>
      <c r="CN3397" s="76">
        <f>+CM3397*22000</f>
        <v>0</v>
      </c>
      <c r="CO3397" s="76"/>
      <c r="CP3397" s="76">
        <f>+CO3397*46000</f>
        <v>0</v>
      </c>
      <c r="CQ3397" s="76"/>
      <c r="CR3397" s="76">
        <f>+CQ3397*49000</f>
        <v>0</v>
      </c>
      <c r="CS3397" s="76"/>
      <c r="CT3397" s="76"/>
      <c r="CU3397" s="56">
        <f>AN3397+AP3397+AR3397+AT3397+AV3397+AX3397+AZ3397+BB3397+BD3397+BF3397+BH3397+BJ3397+BL3397+BN3397+BP3397+BR3397+BT3397+BV3397+BX3397+BZ3397+CB3397+CD3397+CF3397+CH3397+CJ3397+CL3397+CN3397+CP3397+CR3397+CT3397</f>
        <v>0</v>
      </c>
      <c r="CV3397" s="76"/>
      <c r="CW3397" s="76">
        <f>+CV3397*1100</f>
        <v>0</v>
      </c>
      <c r="CX3397" s="76"/>
      <c r="CY3397" s="76">
        <f>+CX3397*106250</f>
        <v>0</v>
      </c>
      <c r="CZ3397" s="76"/>
      <c r="DA3397" s="76">
        <f>+CZ3397*34500</f>
        <v>0</v>
      </c>
      <c r="DB3397" s="76"/>
      <c r="DC3397" s="76">
        <f>+DB3397*25000</f>
        <v>0</v>
      </c>
      <c r="DD3397" s="219"/>
      <c r="DE3397" s="219"/>
      <c r="DF3397" s="166"/>
      <c r="DG3397" s="116"/>
      <c r="DH3397" s="117"/>
      <c r="DI3397" s="24"/>
      <c r="DJ3397" s="24"/>
      <c r="DK3397" s="24"/>
      <c r="DL3397" s="24"/>
      <c r="DM3397" s="24"/>
      <c r="DN3397" s="24"/>
      <c r="DO3397" s="24"/>
      <c r="DP3397" s="24"/>
      <c r="DQ3397" s="24"/>
      <c r="DR3397" s="24"/>
      <c r="DS3397" s="24"/>
      <c r="DT3397" s="24"/>
      <c r="DU3397" s="24"/>
    </row>
    <row r="3398" spans="1:125" s="8" customFormat="1" ht="156" x14ac:dyDescent="0.2">
      <c r="A3398" s="353">
        <v>41564</v>
      </c>
      <c r="B3398" s="352" t="s">
        <v>2848</v>
      </c>
      <c r="C3398" s="354" t="s">
        <v>2214</v>
      </c>
      <c r="D3398" s="354" t="s">
        <v>3017</v>
      </c>
      <c r="E3398" s="75" t="str">
        <f>VLOOKUP(B3398&amp;C3398,Divipola!$C$2:$F$1138,4,FALSE)</f>
        <v>73283</v>
      </c>
      <c r="F3398" s="87"/>
      <c r="G3398" s="87">
        <v>3</v>
      </c>
      <c r="H3398" s="87"/>
      <c r="I3398" s="87">
        <v>3</v>
      </c>
      <c r="J3398" s="87"/>
      <c r="K3398" s="87"/>
      <c r="L3398" s="87"/>
      <c r="M3398" s="87"/>
      <c r="N3398" s="87"/>
      <c r="O3398" s="87">
        <v>1</v>
      </c>
      <c r="P3398" s="87"/>
      <c r="Q3398" s="87"/>
      <c r="R3398" s="87"/>
      <c r="S3398" s="87"/>
      <c r="T3398" s="87"/>
      <c r="U3398" s="88"/>
      <c r="V3398" s="89"/>
      <c r="W3398" s="96">
        <v>0</v>
      </c>
      <c r="X3398" s="71">
        <f>CU3398</f>
        <v>0</v>
      </c>
      <c r="Y3398" s="71">
        <f>CY3398</f>
        <v>0</v>
      </c>
      <c r="Z3398" s="71">
        <f>DA3398+DC3398+DE3398</f>
        <v>0</v>
      </c>
      <c r="AA3398" s="71">
        <f>CW3398</f>
        <v>0</v>
      </c>
      <c r="AB3398" s="71"/>
      <c r="AC3398" s="71">
        <v>0</v>
      </c>
      <c r="AD3398" s="71">
        <f>W3398+X3398+Y3398+Z3398+AA3398+AB3398+AC3398</f>
        <v>0</v>
      </c>
      <c r="AE3398" s="72">
        <v>0</v>
      </c>
      <c r="AF3398" s="5"/>
      <c r="AG3398" s="6"/>
      <c r="AH3398" s="27"/>
      <c r="AI3398" s="44"/>
      <c r="AJ3398" s="26"/>
      <c r="AK3398" s="5"/>
      <c r="AL3398" s="274" t="s">
        <v>6355</v>
      </c>
      <c r="AM3398" s="76"/>
      <c r="AN3398" s="76"/>
      <c r="AO3398" s="76"/>
      <c r="AP3398" s="76"/>
      <c r="AQ3398" s="76"/>
      <c r="AR3398" s="76"/>
      <c r="AS3398" s="76"/>
      <c r="AT3398" s="76"/>
      <c r="AU3398" s="76"/>
      <c r="AV3398" s="76"/>
      <c r="AW3398" s="76"/>
      <c r="AX3398" s="76">
        <f>+AW3398*600000</f>
        <v>0</v>
      </c>
      <c r="AY3398" s="76"/>
      <c r="AZ3398" s="76">
        <f>+AY3398*70000</f>
        <v>0</v>
      </c>
      <c r="BA3398" s="76"/>
      <c r="BB3398" s="76"/>
      <c r="BC3398" s="76"/>
      <c r="BD3398" s="76">
        <f>+BC3398*30000</f>
        <v>0</v>
      </c>
      <c r="BE3398" s="76"/>
      <c r="BF3398" s="76"/>
      <c r="BG3398" s="76"/>
      <c r="BH3398" s="76"/>
      <c r="BI3398" s="76"/>
      <c r="BJ3398" s="76"/>
      <c r="BK3398" s="76"/>
      <c r="BL3398" s="76">
        <f>+BK3398*31500</f>
        <v>0</v>
      </c>
      <c r="BM3398" s="76"/>
      <c r="BN3398" s="76"/>
      <c r="BO3398" s="76"/>
      <c r="BP3398" s="76"/>
      <c r="BQ3398" s="76"/>
      <c r="BR3398" s="76"/>
      <c r="BS3398" s="76"/>
      <c r="BT3398" s="76"/>
      <c r="BU3398" s="76"/>
      <c r="BV3398" s="76"/>
      <c r="BW3398" s="76"/>
      <c r="BX3398" s="76"/>
      <c r="BY3398" s="76"/>
      <c r="BZ3398" s="76"/>
      <c r="CA3398" s="76"/>
      <c r="CB3398" s="76"/>
      <c r="CC3398" s="76"/>
      <c r="CD3398" s="76"/>
      <c r="CE3398" s="76"/>
      <c r="CF3398" s="76">
        <f>+CE3398*28000</f>
        <v>0</v>
      </c>
      <c r="CG3398" s="76"/>
      <c r="CH3398" s="76">
        <f>+CG3398*22500</f>
        <v>0</v>
      </c>
      <c r="CI3398" s="76"/>
      <c r="CJ3398" s="76">
        <f>+CI3398*26000</f>
        <v>0</v>
      </c>
      <c r="CK3398" s="76"/>
      <c r="CL3398" s="76"/>
      <c r="CM3398" s="76"/>
      <c r="CN3398" s="76">
        <f>+CM3398*22000</f>
        <v>0</v>
      </c>
      <c r="CO3398" s="76"/>
      <c r="CP3398" s="76">
        <f>+CO3398*46000</f>
        <v>0</v>
      </c>
      <c r="CQ3398" s="76"/>
      <c r="CR3398" s="76">
        <f>+CQ3398*49000</f>
        <v>0</v>
      </c>
      <c r="CS3398" s="76"/>
      <c r="CT3398" s="76"/>
      <c r="CU3398" s="56">
        <f>AN3398+AP3398+AR3398+AT3398+AV3398+AX3398+AZ3398+BB3398+BD3398+BF3398+BH3398+BJ3398+BL3398+BN3398+BP3398+BR3398+BT3398+BV3398+BX3398+BZ3398+CB3398+CD3398+CF3398+CH3398+CJ3398+CL3398+CN3398+CP3398+CR3398+CT3398</f>
        <v>0</v>
      </c>
      <c r="CV3398" s="76"/>
      <c r="CW3398" s="76">
        <f>+CV3398*1100</f>
        <v>0</v>
      </c>
      <c r="CX3398" s="76"/>
      <c r="CY3398" s="76">
        <f>+CX3398*106250</f>
        <v>0</v>
      </c>
      <c r="CZ3398" s="76"/>
      <c r="DA3398" s="76">
        <f>+CZ3398*34500</f>
        <v>0</v>
      </c>
      <c r="DB3398" s="76"/>
      <c r="DC3398" s="76">
        <f>+DB3398*25000</f>
        <v>0</v>
      </c>
      <c r="DD3398" s="219"/>
      <c r="DE3398" s="219"/>
      <c r="DF3398" s="166"/>
      <c r="DG3398" s="116"/>
      <c r="DH3398" s="117"/>
      <c r="DI3398" s="24"/>
      <c r="DJ3398" s="24"/>
      <c r="DK3398" s="24"/>
      <c r="DL3398" s="24"/>
      <c r="DM3398" s="24"/>
      <c r="DN3398" s="24"/>
      <c r="DO3398" s="24"/>
      <c r="DP3398" s="24"/>
      <c r="DQ3398" s="24"/>
      <c r="DR3398" s="24"/>
      <c r="DS3398" s="24"/>
      <c r="DT3398" s="24"/>
      <c r="DU3398" s="24"/>
    </row>
    <row r="3399" spans="1:125" s="8" customFormat="1" ht="144" x14ac:dyDescent="0.2">
      <c r="A3399" s="77">
        <v>41564</v>
      </c>
      <c r="B3399" s="78" t="s">
        <v>2894</v>
      </c>
      <c r="C3399" s="75" t="s">
        <v>2539</v>
      </c>
      <c r="D3399" s="75" t="s">
        <v>3635</v>
      </c>
      <c r="E3399" s="75" t="str">
        <f>VLOOKUP(B3399&amp;C3399,Divipola!$C$2:$F$1138,4,FALSE)</f>
        <v>05604</v>
      </c>
      <c r="F3399" s="87">
        <v>3</v>
      </c>
      <c r="G3399" s="87">
        <v>2</v>
      </c>
      <c r="H3399" s="87"/>
      <c r="I3399" s="87">
        <v>5</v>
      </c>
      <c r="J3399" s="87"/>
      <c r="K3399" s="87"/>
      <c r="L3399" s="87"/>
      <c r="M3399" s="87"/>
      <c r="N3399" s="87"/>
      <c r="O3399" s="87"/>
      <c r="P3399" s="87"/>
      <c r="Q3399" s="87"/>
      <c r="R3399" s="87"/>
      <c r="S3399" s="87"/>
      <c r="T3399" s="87"/>
      <c r="U3399" s="88"/>
      <c r="V3399" s="89"/>
      <c r="W3399" s="96">
        <v>0</v>
      </c>
      <c r="X3399" s="71">
        <f>CU3399</f>
        <v>0</v>
      </c>
      <c r="Y3399" s="71">
        <f>CY3399</f>
        <v>0</v>
      </c>
      <c r="Z3399" s="71">
        <f>DA3399+DC3399+DE3399</f>
        <v>0</v>
      </c>
      <c r="AA3399" s="71">
        <f>CW3399</f>
        <v>0</v>
      </c>
      <c r="AB3399" s="71"/>
      <c r="AC3399" s="71">
        <v>0</v>
      </c>
      <c r="AD3399" s="71">
        <f>W3399+X3399+Y3399+Z3399+AA3399+AB3399+AC3399</f>
        <v>0</v>
      </c>
      <c r="AE3399" s="72">
        <v>0</v>
      </c>
      <c r="AF3399" s="5"/>
      <c r="AG3399" s="6"/>
      <c r="AH3399" s="27"/>
      <c r="AI3399" s="44"/>
      <c r="AJ3399" s="26"/>
      <c r="AK3399" s="5"/>
      <c r="AL3399" s="326" t="s">
        <v>6362</v>
      </c>
      <c r="AM3399" s="76"/>
      <c r="AN3399" s="76"/>
      <c r="AO3399" s="76"/>
      <c r="AP3399" s="76"/>
      <c r="AQ3399" s="76"/>
      <c r="AR3399" s="76"/>
      <c r="AS3399" s="76"/>
      <c r="AT3399" s="76"/>
      <c r="AU3399" s="76"/>
      <c r="AV3399" s="76"/>
      <c r="AW3399" s="76"/>
      <c r="AX3399" s="76">
        <f>+AW3399*600000</f>
        <v>0</v>
      </c>
      <c r="AY3399" s="76"/>
      <c r="AZ3399" s="76">
        <f>+AY3399*70000</f>
        <v>0</v>
      </c>
      <c r="BA3399" s="76"/>
      <c r="BB3399" s="76"/>
      <c r="BC3399" s="76"/>
      <c r="BD3399" s="76">
        <f>+BC3399*30000</f>
        <v>0</v>
      </c>
      <c r="BE3399" s="76"/>
      <c r="BF3399" s="76"/>
      <c r="BG3399" s="76"/>
      <c r="BH3399" s="76"/>
      <c r="BI3399" s="76"/>
      <c r="BJ3399" s="76"/>
      <c r="BK3399" s="76"/>
      <c r="BL3399" s="76">
        <f>+BK3399*31500</f>
        <v>0</v>
      </c>
      <c r="BM3399" s="76"/>
      <c r="BN3399" s="76"/>
      <c r="BO3399" s="76"/>
      <c r="BP3399" s="76"/>
      <c r="BQ3399" s="76"/>
      <c r="BR3399" s="76"/>
      <c r="BS3399" s="76"/>
      <c r="BT3399" s="76"/>
      <c r="BU3399" s="76"/>
      <c r="BV3399" s="76"/>
      <c r="BW3399" s="76"/>
      <c r="BX3399" s="76"/>
      <c r="BY3399" s="76"/>
      <c r="BZ3399" s="76"/>
      <c r="CA3399" s="76"/>
      <c r="CB3399" s="76"/>
      <c r="CC3399" s="76"/>
      <c r="CD3399" s="76"/>
      <c r="CE3399" s="76"/>
      <c r="CF3399" s="76">
        <f>+CE3399*28000</f>
        <v>0</v>
      </c>
      <c r="CG3399" s="76"/>
      <c r="CH3399" s="76">
        <f>+CG3399*22500</f>
        <v>0</v>
      </c>
      <c r="CI3399" s="76"/>
      <c r="CJ3399" s="76">
        <f>+CI3399*26000</f>
        <v>0</v>
      </c>
      <c r="CK3399" s="76"/>
      <c r="CL3399" s="76"/>
      <c r="CM3399" s="76"/>
      <c r="CN3399" s="76">
        <f>+CM3399*22000</f>
        <v>0</v>
      </c>
      <c r="CO3399" s="76"/>
      <c r="CP3399" s="76">
        <f>+CO3399*46000</f>
        <v>0</v>
      </c>
      <c r="CQ3399" s="76"/>
      <c r="CR3399" s="76">
        <f>+CQ3399*49000</f>
        <v>0</v>
      </c>
      <c r="CS3399" s="76"/>
      <c r="CT3399" s="76"/>
      <c r="CU3399" s="56">
        <f>AN3399+AP3399+AR3399+AT3399+AV3399+AX3399+AZ3399+BB3399+BD3399+BF3399+BH3399+BJ3399+BL3399+BN3399+BP3399+BR3399+BT3399+BV3399+BX3399+BZ3399+CB3399+CD3399+CF3399+CH3399+CJ3399+CL3399+CN3399+CP3399+CR3399+CT3399</f>
        <v>0</v>
      </c>
      <c r="CV3399" s="76"/>
      <c r="CW3399" s="76">
        <f>+CV3399*1100</f>
        <v>0</v>
      </c>
      <c r="CX3399" s="76"/>
      <c r="CY3399" s="76">
        <f>+CX3399*106250</f>
        <v>0</v>
      </c>
      <c r="CZ3399" s="76"/>
      <c r="DA3399" s="76">
        <f>+CZ3399*34500</f>
        <v>0</v>
      </c>
      <c r="DB3399" s="76"/>
      <c r="DC3399" s="76">
        <f>+DB3399*25000</f>
        <v>0</v>
      </c>
      <c r="DD3399" s="219"/>
      <c r="DE3399" s="219"/>
      <c r="DF3399" s="166"/>
      <c r="DG3399" s="116"/>
      <c r="DH3399" s="117"/>
      <c r="DI3399" s="24"/>
      <c r="DJ3399" s="24"/>
      <c r="DK3399" s="24"/>
      <c r="DL3399" s="24"/>
      <c r="DM3399" s="24"/>
      <c r="DN3399" s="24"/>
      <c r="DO3399" s="24"/>
      <c r="DP3399" s="24"/>
      <c r="DQ3399" s="24"/>
      <c r="DR3399" s="24"/>
      <c r="DS3399" s="24"/>
      <c r="DT3399" s="24"/>
      <c r="DU3399" s="24"/>
    </row>
    <row r="3400" spans="1:125" s="8" customFormat="1" ht="84" x14ac:dyDescent="0.2">
      <c r="A3400" s="353">
        <v>41564</v>
      </c>
      <c r="B3400" s="208" t="s">
        <v>2772</v>
      </c>
      <c r="C3400" s="354" t="s">
        <v>488</v>
      </c>
      <c r="D3400" s="354" t="s">
        <v>2882</v>
      </c>
      <c r="E3400" s="75" t="str">
        <f>VLOOKUP(B3400&amp;C3400,Divipola!$C$2:$F$1138,4,FALSE)</f>
        <v>25823</v>
      </c>
      <c r="F3400" s="87"/>
      <c r="G3400" s="87"/>
      <c r="H3400" s="87"/>
      <c r="I3400" s="87">
        <v>80</v>
      </c>
      <c r="J3400" s="87">
        <v>16</v>
      </c>
      <c r="K3400" s="87"/>
      <c r="L3400" s="87">
        <v>16</v>
      </c>
      <c r="M3400" s="87"/>
      <c r="N3400" s="87"/>
      <c r="O3400" s="87"/>
      <c r="P3400" s="87"/>
      <c r="Q3400" s="87"/>
      <c r="R3400" s="87"/>
      <c r="S3400" s="87"/>
      <c r="T3400" s="87"/>
      <c r="U3400" s="88"/>
      <c r="V3400" s="89"/>
      <c r="W3400" s="96">
        <v>0</v>
      </c>
      <c r="X3400" s="71">
        <f>CU3400</f>
        <v>0</v>
      </c>
      <c r="Y3400" s="71">
        <f>CY3400</f>
        <v>0</v>
      </c>
      <c r="Z3400" s="71">
        <f>DA3400+DC3400+DE3400</f>
        <v>0</v>
      </c>
      <c r="AA3400" s="71">
        <f>CW3400</f>
        <v>0</v>
      </c>
      <c r="AB3400" s="71"/>
      <c r="AC3400" s="71">
        <v>0</v>
      </c>
      <c r="AD3400" s="71">
        <f>W3400+X3400+Y3400+Z3400+AA3400+AB3400+AC3400</f>
        <v>0</v>
      </c>
      <c r="AE3400" s="72">
        <v>0</v>
      </c>
      <c r="AF3400" s="5"/>
      <c r="AG3400" s="6"/>
      <c r="AH3400" s="27"/>
      <c r="AI3400" s="44"/>
      <c r="AJ3400" s="26"/>
      <c r="AK3400" s="5"/>
      <c r="AL3400" s="82" t="s">
        <v>6430</v>
      </c>
      <c r="AM3400" s="76"/>
      <c r="AN3400" s="76"/>
      <c r="AO3400" s="76"/>
      <c r="AP3400" s="76"/>
      <c r="AQ3400" s="76"/>
      <c r="AR3400" s="76"/>
      <c r="AS3400" s="76"/>
      <c r="AT3400" s="76"/>
      <c r="AU3400" s="76"/>
      <c r="AV3400" s="76"/>
      <c r="AW3400" s="76"/>
      <c r="AX3400" s="76">
        <f>+AW3400*600000</f>
        <v>0</v>
      </c>
      <c r="AY3400" s="76"/>
      <c r="AZ3400" s="76">
        <f>+AY3400*70000</f>
        <v>0</v>
      </c>
      <c r="BA3400" s="76"/>
      <c r="BB3400" s="76"/>
      <c r="BC3400" s="76"/>
      <c r="BD3400" s="76">
        <f>+BC3400*30000</f>
        <v>0</v>
      </c>
      <c r="BE3400" s="76"/>
      <c r="BF3400" s="76"/>
      <c r="BG3400" s="76"/>
      <c r="BH3400" s="76"/>
      <c r="BI3400" s="76"/>
      <c r="BJ3400" s="76"/>
      <c r="BK3400" s="76"/>
      <c r="BL3400" s="76">
        <f>+BK3400*31500</f>
        <v>0</v>
      </c>
      <c r="BM3400" s="76"/>
      <c r="BN3400" s="76"/>
      <c r="BO3400" s="76"/>
      <c r="BP3400" s="76"/>
      <c r="BQ3400" s="76"/>
      <c r="BR3400" s="76"/>
      <c r="BS3400" s="76"/>
      <c r="BT3400" s="76"/>
      <c r="BU3400" s="76"/>
      <c r="BV3400" s="76"/>
      <c r="BW3400" s="76"/>
      <c r="BX3400" s="76"/>
      <c r="BY3400" s="76"/>
      <c r="BZ3400" s="76"/>
      <c r="CA3400" s="76"/>
      <c r="CB3400" s="76"/>
      <c r="CC3400" s="76"/>
      <c r="CD3400" s="76"/>
      <c r="CE3400" s="76"/>
      <c r="CF3400" s="76">
        <f>+CE3400*28000</f>
        <v>0</v>
      </c>
      <c r="CG3400" s="76"/>
      <c r="CH3400" s="76">
        <f>+CG3400*22500</f>
        <v>0</v>
      </c>
      <c r="CI3400" s="76"/>
      <c r="CJ3400" s="76">
        <f>+CI3400*26000</f>
        <v>0</v>
      </c>
      <c r="CK3400" s="76"/>
      <c r="CL3400" s="76"/>
      <c r="CM3400" s="76"/>
      <c r="CN3400" s="76">
        <f>+CM3400*22000</f>
        <v>0</v>
      </c>
      <c r="CO3400" s="76"/>
      <c r="CP3400" s="76">
        <f>+CO3400*46000</f>
        <v>0</v>
      </c>
      <c r="CQ3400" s="76"/>
      <c r="CR3400" s="76">
        <f>+CQ3400*49000</f>
        <v>0</v>
      </c>
      <c r="CS3400" s="76"/>
      <c r="CT3400" s="76"/>
      <c r="CU3400" s="56">
        <f>AN3400+AP3400+AR3400+AT3400+AV3400+AX3400+AZ3400+BB3400+BD3400+BF3400+BH3400+BJ3400+BL3400+BN3400+BP3400+BR3400+BT3400+BV3400+BX3400+BZ3400+CB3400+CD3400+CF3400+CH3400+CJ3400+CL3400+CN3400+CP3400+CR3400+CT3400</f>
        <v>0</v>
      </c>
      <c r="CV3400" s="76"/>
      <c r="CW3400" s="76">
        <f>+CV3400*1100</f>
        <v>0</v>
      </c>
      <c r="CX3400" s="76"/>
      <c r="CY3400" s="76">
        <f>+CX3400*106250</f>
        <v>0</v>
      </c>
      <c r="CZ3400" s="76"/>
      <c r="DA3400" s="76">
        <f>+CZ3400*34500</f>
        <v>0</v>
      </c>
      <c r="DB3400" s="76"/>
      <c r="DC3400" s="76">
        <f>+DB3400*25000</f>
        <v>0</v>
      </c>
      <c r="DD3400" s="219"/>
      <c r="DE3400" s="219"/>
      <c r="DF3400" s="166"/>
      <c r="DG3400" s="116"/>
      <c r="DH3400" s="117"/>
      <c r="DI3400" s="24"/>
      <c r="DJ3400" s="24"/>
      <c r="DK3400" s="24"/>
      <c r="DL3400" s="24"/>
      <c r="DM3400" s="24"/>
      <c r="DN3400" s="24"/>
      <c r="DO3400" s="24"/>
      <c r="DP3400" s="24"/>
      <c r="DQ3400" s="24"/>
      <c r="DR3400" s="24"/>
      <c r="DS3400" s="24"/>
      <c r="DT3400" s="24"/>
      <c r="DU3400" s="24"/>
    </row>
    <row r="3401" spans="1:125" s="8" customFormat="1" ht="36" x14ac:dyDescent="0.2">
      <c r="A3401" s="77">
        <v>41564</v>
      </c>
      <c r="B3401" s="78" t="s">
        <v>2036</v>
      </c>
      <c r="C3401" s="75" t="s">
        <v>1374</v>
      </c>
      <c r="D3401" s="75" t="s">
        <v>2882</v>
      </c>
      <c r="E3401" s="75" t="str">
        <f>VLOOKUP(B3401&amp;C3401,Divipola!$C$2:$F$1138,4,FALSE)</f>
        <v>81065</v>
      </c>
      <c r="F3401" s="61"/>
      <c r="G3401" s="61"/>
      <c r="H3401" s="61"/>
      <c r="I3401" s="61"/>
      <c r="J3401" s="61"/>
      <c r="K3401" s="61"/>
      <c r="L3401" s="61"/>
      <c r="M3401" s="61"/>
      <c r="N3401" s="61"/>
      <c r="O3401" s="61"/>
      <c r="P3401" s="61"/>
      <c r="Q3401" s="61"/>
      <c r="R3401" s="61"/>
      <c r="S3401" s="61">
        <v>1</v>
      </c>
      <c r="T3401" s="61"/>
      <c r="U3401" s="61"/>
      <c r="V3401" s="7"/>
      <c r="W3401" s="96">
        <v>0</v>
      </c>
      <c r="X3401" s="71">
        <f>CU3401</f>
        <v>0</v>
      </c>
      <c r="Y3401" s="71">
        <f>CY3401</f>
        <v>0</v>
      </c>
      <c r="Z3401" s="71">
        <f>DA3401+DC3401+DE3401</f>
        <v>0</v>
      </c>
      <c r="AA3401" s="71">
        <f>CW3401</f>
        <v>0</v>
      </c>
      <c r="AB3401" s="71"/>
      <c r="AC3401" s="71">
        <v>0</v>
      </c>
      <c r="AD3401" s="71">
        <f>W3401+X3401+Y3401+Z3401+AA3401+AB3401+AC3401</f>
        <v>0</v>
      </c>
      <c r="AE3401" s="72">
        <v>0</v>
      </c>
      <c r="AF3401" s="5"/>
      <c r="AG3401" s="6"/>
      <c r="AH3401" s="27"/>
      <c r="AI3401" s="44"/>
      <c r="AJ3401" s="26"/>
      <c r="AK3401" s="5"/>
      <c r="AL3401" s="9" t="s">
        <v>6786</v>
      </c>
      <c r="AM3401" s="76"/>
      <c r="AN3401" s="76"/>
      <c r="AO3401" s="76"/>
      <c r="AP3401" s="76"/>
      <c r="AQ3401" s="76"/>
      <c r="AR3401" s="76"/>
      <c r="AS3401" s="76"/>
      <c r="AT3401" s="76"/>
      <c r="AU3401" s="76"/>
      <c r="AV3401" s="76"/>
      <c r="AW3401" s="76"/>
      <c r="AX3401" s="76">
        <f>+AW3401*600000</f>
        <v>0</v>
      </c>
      <c r="AY3401" s="76"/>
      <c r="AZ3401" s="76">
        <f>+AY3401*70000</f>
        <v>0</v>
      </c>
      <c r="BA3401" s="76"/>
      <c r="BB3401" s="76"/>
      <c r="BC3401" s="76"/>
      <c r="BD3401" s="76">
        <f>+BC3401*30000</f>
        <v>0</v>
      </c>
      <c r="BE3401" s="76"/>
      <c r="BF3401" s="76"/>
      <c r="BG3401" s="76"/>
      <c r="BH3401" s="76"/>
      <c r="BI3401" s="76"/>
      <c r="BJ3401" s="76"/>
      <c r="BK3401" s="76"/>
      <c r="BL3401" s="76">
        <f>+BK3401*31500</f>
        <v>0</v>
      </c>
      <c r="BM3401" s="76"/>
      <c r="BN3401" s="76"/>
      <c r="BO3401" s="76"/>
      <c r="BP3401" s="76"/>
      <c r="BQ3401" s="76"/>
      <c r="BR3401" s="76"/>
      <c r="BS3401" s="76"/>
      <c r="BT3401" s="76"/>
      <c r="BU3401" s="76"/>
      <c r="BV3401" s="76"/>
      <c r="BW3401" s="76"/>
      <c r="BX3401" s="76"/>
      <c r="BY3401" s="76"/>
      <c r="BZ3401" s="76"/>
      <c r="CA3401" s="76"/>
      <c r="CB3401" s="76"/>
      <c r="CC3401" s="76"/>
      <c r="CD3401" s="76"/>
      <c r="CE3401" s="76"/>
      <c r="CF3401" s="76">
        <f>+CE3401*28000</f>
        <v>0</v>
      </c>
      <c r="CG3401" s="76"/>
      <c r="CH3401" s="76">
        <f>+CG3401*22500</f>
        <v>0</v>
      </c>
      <c r="CI3401" s="76"/>
      <c r="CJ3401" s="76">
        <f>+CI3401*26000</f>
        <v>0</v>
      </c>
      <c r="CK3401" s="76"/>
      <c r="CL3401" s="76"/>
      <c r="CM3401" s="76"/>
      <c r="CN3401" s="76">
        <f>+CM3401*22000</f>
        <v>0</v>
      </c>
      <c r="CO3401" s="76"/>
      <c r="CP3401" s="76">
        <f>+CO3401*46000</f>
        <v>0</v>
      </c>
      <c r="CQ3401" s="76"/>
      <c r="CR3401" s="76">
        <f>+CQ3401*49000</f>
        <v>0</v>
      </c>
      <c r="CS3401" s="76"/>
      <c r="CT3401" s="76"/>
      <c r="CU3401" s="56">
        <f>AN3401+AP3401+AR3401+AT3401+AV3401+AX3401+AZ3401+BB3401+BD3401+BF3401+BH3401+BJ3401+BL3401+BN3401+BP3401+BR3401+BT3401+BV3401+BX3401+BZ3401+CB3401+CD3401+CF3401+CH3401+CJ3401+CL3401+CN3401+CP3401+CR3401+CT3401</f>
        <v>0</v>
      </c>
      <c r="CV3401" s="76"/>
      <c r="CW3401" s="76">
        <f>+CV3401*1100</f>
        <v>0</v>
      </c>
      <c r="CX3401" s="76"/>
      <c r="CY3401" s="76">
        <f>+CX3401*106250</f>
        <v>0</v>
      </c>
      <c r="CZ3401" s="76"/>
      <c r="DA3401" s="76">
        <f>+CZ3401*34500</f>
        <v>0</v>
      </c>
      <c r="DB3401" s="76"/>
      <c r="DC3401" s="76">
        <f>+DB3401*25000</f>
        <v>0</v>
      </c>
      <c r="DD3401" s="219"/>
      <c r="DE3401" s="219"/>
      <c r="DF3401" s="166"/>
      <c r="DG3401" s="116"/>
      <c r="DH3401" s="117"/>
      <c r="DI3401" s="24"/>
      <c r="DJ3401" s="24"/>
      <c r="DK3401" s="24"/>
      <c r="DL3401" s="24"/>
      <c r="DM3401" s="24"/>
      <c r="DN3401" s="24"/>
      <c r="DO3401" s="24"/>
      <c r="DP3401" s="24"/>
      <c r="DQ3401" s="24"/>
      <c r="DR3401" s="24"/>
      <c r="DS3401" s="24"/>
      <c r="DT3401" s="24"/>
      <c r="DU3401" s="24"/>
    </row>
    <row r="3402" spans="1:125" s="8" customFormat="1" ht="60" x14ac:dyDescent="0.2">
      <c r="A3402" s="77">
        <v>41565</v>
      </c>
      <c r="B3402" s="78" t="s">
        <v>3136</v>
      </c>
      <c r="C3402" s="75" t="s">
        <v>408</v>
      </c>
      <c r="D3402" s="75" t="s">
        <v>3425</v>
      </c>
      <c r="E3402" s="75" t="str">
        <f>VLOOKUP(B3402&amp;C3402,Divipola!$C$2:$F$1138,4,FALSE)</f>
        <v>44847</v>
      </c>
      <c r="F3402" s="87">
        <v>3</v>
      </c>
      <c r="G3402" s="87"/>
      <c r="H3402" s="87"/>
      <c r="I3402" s="87"/>
      <c r="J3402" s="87"/>
      <c r="K3402" s="87"/>
      <c r="L3402" s="87"/>
      <c r="M3402" s="87"/>
      <c r="N3402" s="87"/>
      <c r="O3402" s="87"/>
      <c r="P3402" s="87"/>
      <c r="Q3402" s="87"/>
      <c r="R3402" s="87"/>
      <c r="S3402" s="87"/>
      <c r="T3402" s="87"/>
      <c r="U3402" s="88"/>
      <c r="V3402" s="89"/>
      <c r="W3402" s="96">
        <v>0</v>
      </c>
      <c r="X3402" s="71">
        <f>CU3402</f>
        <v>0</v>
      </c>
      <c r="Y3402" s="71">
        <f>CY3402</f>
        <v>0</v>
      </c>
      <c r="Z3402" s="71">
        <f>DA3402+DC3402+DE3402</f>
        <v>0</v>
      </c>
      <c r="AA3402" s="71">
        <f>CW3402</f>
        <v>0</v>
      </c>
      <c r="AB3402" s="71"/>
      <c r="AC3402" s="71">
        <v>0</v>
      </c>
      <c r="AD3402" s="71">
        <f>W3402+X3402+Y3402+Z3402+AA3402+AB3402+AC3402</f>
        <v>0</v>
      </c>
      <c r="AE3402" s="72">
        <v>0</v>
      </c>
      <c r="AF3402" s="5"/>
      <c r="AG3402" s="6"/>
      <c r="AH3402" s="27"/>
      <c r="AI3402" s="44"/>
      <c r="AJ3402" s="26"/>
      <c r="AK3402" s="5"/>
      <c r="AL3402" s="268" t="s">
        <v>6356</v>
      </c>
      <c r="AM3402" s="76"/>
      <c r="AN3402" s="76"/>
      <c r="AO3402" s="76"/>
      <c r="AP3402" s="76"/>
      <c r="AQ3402" s="76"/>
      <c r="AR3402" s="76"/>
      <c r="AS3402" s="76"/>
      <c r="AT3402" s="76"/>
      <c r="AU3402" s="76"/>
      <c r="AV3402" s="76"/>
      <c r="AW3402" s="76"/>
      <c r="AX3402" s="76">
        <f>+AW3402*600000</f>
        <v>0</v>
      </c>
      <c r="AY3402" s="76"/>
      <c r="AZ3402" s="76">
        <f>+AY3402*70000</f>
        <v>0</v>
      </c>
      <c r="BA3402" s="76"/>
      <c r="BB3402" s="76"/>
      <c r="BC3402" s="76"/>
      <c r="BD3402" s="76">
        <f>+BC3402*30000</f>
        <v>0</v>
      </c>
      <c r="BE3402" s="76"/>
      <c r="BF3402" s="76"/>
      <c r="BG3402" s="76"/>
      <c r="BH3402" s="76"/>
      <c r="BI3402" s="76"/>
      <c r="BJ3402" s="76"/>
      <c r="BK3402" s="76"/>
      <c r="BL3402" s="76">
        <f>+BK3402*31500</f>
        <v>0</v>
      </c>
      <c r="BM3402" s="76"/>
      <c r="BN3402" s="76"/>
      <c r="BO3402" s="76"/>
      <c r="BP3402" s="76"/>
      <c r="BQ3402" s="76"/>
      <c r="BR3402" s="76"/>
      <c r="BS3402" s="76"/>
      <c r="BT3402" s="76"/>
      <c r="BU3402" s="76"/>
      <c r="BV3402" s="76"/>
      <c r="BW3402" s="76"/>
      <c r="BX3402" s="76"/>
      <c r="BY3402" s="76"/>
      <c r="BZ3402" s="76"/>
      <c r="CA3402" s="76"/>
      <c r="CB3402" s="76"/>
      <c r="CC3402" s="76"/>
      <c r="CD3402" s="76"/>
      <c r="CE3402" s="76"/>
      <c r="CF3402" s="76">
        <f>+CE3402*28000</f>
        <v>0</v>
      </c>
      <c r="CG3402" s="76"/>
      <c r="CH3402" s="76">
        <f>+CG3402*22500</f>
        <v>0</v>
      </c>
      <c r="CI3402" s="76"/>
      <c r="CJ3402" s="76">
        <f>+CI3402*26000</f>
        <v>0</v>
      </c>
      <c r="CK3402" s="76"/>
      <c r="CL3402" s="76"/>
      <c r="CM3402" s="76"/>
      <c r="CN3402" s="76">
        <f>+CM3402*22000</f>
        <v>0</v>
      </c>
      <c r="CO3402" s="76"/>
      <c r="CP3402" s="76">
        <f>+CO3402*46000</f>
        <v>0</v>
      </c>
      <c r="CQ3402" s="76"/>
      <c r="CR3402" s="76">
        <f>+CQ3402*49000</f>
        <v>0</v>
      </c>
      <c r="CS3402" s="76"/>
      <c r="CT3402" s="76"/>
      <c r="CU3402" s="56">
        <f>AN3402+AP3402+AR3402+AT3402+AV3402+AX3402+AZ3402+BB3402+BD3402+BF3402+BH3402+BJ3402+BL3402+BN3402+BP3402+BR3402+BT3402+BV3402+BX3402+BZ3402+CB3402+CD3402+CF3402+CH3402+CJ3402+CL3402+CN3402+CP3402+CR3402+CT3402</f>
        <v>0</v>
      </c>
      <c r="CV3402" s="76"/>
      <c r="CW3402" s="76">
        <f>+CV3402*1100</f>
        <v>0</v>
      </c>
      <c r="CX3402" s="76"/>
      <c r="CY3402" s="76">
        <f>+CX3402*106250</f>
        <v>0</v>
      </c>
      <c r="CZ3402" s="76"/>
      <c r="DA3402" s="76">
        <f>+CZ3402*34500</f>
        <v>0</v>
      </c>
      <c r="DB3402" s="76"/>
      <c r="DC3402" s="76">
        <f>+DB3402*25000</f>
        <v>0</v>
      </c>
      <c r="DD3402" s="219"/>
      <c r="DE3402" s="219"/>
      <c r="DF3402" s="166"/>
      <c r="DG3402" s="116"/>
      <c r="DH3402" s="117"/>
      <c r="DI3402" s="24"/>
      <c r="DJ3402" s="24"/>
      <c r="DK3402" s="24"/>
      <c r="DL3402" s="24"/>
      <c r="DM3402" s="24"/>
      <c r="DN3402" s="24"/>
      <c r="DO3402" s="24"/>
      <c r="DP3402" s="24"/>
      <c r="DQ3402" s="24"/>
      <c r="DR3402" s="24"/>
      <c r="DS3402" s="24"/>
      <c r="DT3402" s="24"/>
      <c r="DU3402" s="24"/>
    </row>
    <row r="3403" spans="1:125" s="8" customFormat="1" ht="36" x14ac:dyDescent="0.2">
      <c r="A3403" s="353">
        <v>41565</v>
      </c>
      <c r="B3403" s="352" t="s">
        <v>3136</v>
      </c>
      <c r="C3403" s="354" t="s">
        <v>2204</v>
      </c>
      <c r="D3403" s="354" t="s">
        <v>3051</v>
      </c>
      <c r="E3403" s="75" t="str">
        <f>VLOOKUP(B3403&amp;C3403,Divipola!$C$2:$F$1138,4,FALSE)</f>
        <v>44001</v>
      </c>
      <c r="F3403" s="87"/>
      <c r="G3403" s="87"/>
      <c r="H3403" s="87"/>
      <c r="I3403" s="87"/>
      <c r="J3403" s="87"/>
      <c r="K3403" s="87"/>
      <c r="L3403" s="87"/>
      <c r="M3403" s="87">
        <v>1</v>
      </c>
      <c r="N3403" s="87"/>
      <c r="O3403" s="87"/>
      <c r="P3403" s="87"/>
      <c r="Q3403" s="87"/>
      <c r="R3403" s="87"/>
      <c r="S3403" s="87"/>
      <c r="T3403" s="87"/>
      <c r="U3403" s="88"/>
      <c r="V3403" s="89"/>
      <c r="W3403" s="96">
        <v>0</v>
      </c>
      <c r="X3403" s="71">
        <f>CU3403</f>
        <v>0</v>
      </c>
      <c r="Y3403" s="71">
        <f>CY3403</f>
        <v>0</v>
      </c>
      <c r="Z3403" s="71">
        <f>DA3403+DC3403+DE3403</f>
        <v>0</v>
      </c>
      <c r="AA3403" s="71">
        <f>CW3403</f>
        <v>0</v>
      </c>
      <c r="AB3403" s="71"/>
      <c r="AC3403" s="71">
        <v>0</v>
      </c>
      <c r="AD3403" s="71">
        <f>W3403+X3403+Y3403+Z3403+AA3403+AB3403+AC3403</f>
        <v>0</v>
      </c>
      <c r="AE3403" s="72">
        <v>0</v>
      </c>
      <c r="AF3403" s="5"/>
      <c r="AG3403" s="6"/>
      <c r="AH3403" s="27"/>
      <c r="AI3403" s="44"/>
      <c r="AJ3403" s="26"/>
      <c r="AK3403" s="5"/>
      <c r="AL3403" s="82" t="s">
        <v>6357</v>
      </c>
      <c r="AM3403" s="76"/>
      <c r="AN3403" s="76"/>
      <c r="AO3403" s="76"/>
      <c r="AP3403" s="76"/>
      <c r="AQ3403" s="76"/>
      <c r="AR3403" s="76"/>
      <c r="AS3403" s="76"/>
      <c r="AT3403" s="76"/>
      <c r="AU3403" s="76"/>
      <c r="AV3403" s="76"/>
      <c r="AW3403" s="76"/>
      <c r="AX3403" s="76">
        <f>+AW3403*600000</f>
        <v>0</v>
      </c>
      <c r="AY3403" s="76"/>
      <c r="AZ3403" s="76">
        <f>+AY3403*70000</f>
        <v>0</v>
      </c>
      <c r="BA3403" s="76"/>
      <c r="BB3403" s="76"/>
      <c r="BC3403" s="76"/>
      <c r="BD3403" s="76">
        <f>+BC3403*30000</f>
        <v>0</v>
      </c>
      <c r="BE3403" s="76"/>
      <c r="BF3403" s="76"/>
      <c r="BG3403" s="76"/>
      <c r="BH3403" s="76"/>
      <c r="BI3403" s="76"/>
      <c r="BJ3403" s="76"/>
      <c r="BK3403" s="76"/>
      <c r="BL3403" s="76">
        <f>+BK3403*31500</f>
        <v>0</v>
      </c>
      <c r="BM3403" s="76"/>
      <c r="BN3403" s="76"/>
      <c r="BO3403" s="76"/>
      <c r="BP3403" s="76"/>
      <c r="BQ3403" s="76"/>
      <c r="BR3403" s="76"/>
      <c r="BS3403" s="76"/>
      <c r="BT3403" s="76"/>
      <c r="BU3403" s="76"/>
      <c r="BV3403" s="76"/>
      <c r="BW3403" s="76"/>
      <c r="BX3403" s="76"/>
      <c r="BY3403" s="76"/>
      <c r="BZ3403" s="76"/>
      <c r="CA3403" s="76"/>
      <c r="CB3403" s="76"/>
      <c r="CC3403" s="76"/>
      <c r="CD3403" s="76"/>
      <c r="CE3403" s="76"/>
      <c r="CF3403" s="76">
        <f>+CE3403*28000</f>
        <v>0</v>
      </c>
      <c r="CG3403" s="76"/>
      <c r="CH3403" s="76">
        <f>+CG3403*22500</f>
        <v>0</v>
      </c>
      <c r="CI3403" s="76"/>
      <c r="CJ3403" s="76">
        <f>+CI3403*26000</f>
        <v>0</v>
      </c>
      <c r="CK3403" s="76"/>
      <c r="CL3403" s="76"/>
      <c r="CM3403" s="76"/>
      <c r="CN3403" s="76">
        <f>+CM3403*22000</f>
        <v>0</v>
      </c>
      <c r="CO3403" s="76"/>
      <c r="CP3403" s="76">
        <f>+CO3403*46000</f>
        <v>0</v>
      </c>
      <c r="CQ3403" s="76"/>
      <c r="CR3403" s="76">
        <f>+CQ3403*49000</f>
        <v>0</v>
      </c>
      <c r="CS3403" s="76"/>
      <c r="CT3403" s="76"/>
      <c r="CU3403" s="56">
        <f>AN3403+AP3403+AR3403+AT3403+AV3403+AX3403+AZ3403+BB3403+BD3403+BF3403+BH3403+BJ3403+BL3403+BN3403+BP3403+BR3403+BT3403+BV3403+BX3403+BZ3403+CB3403+CD3403+CF3403+CH3403+CJ3403+CL3403+CN3403+CP3403+CR3403+CT3403</f>
        <v>0</v>
      </c>
      <c r="CV3403" s="76"/>
      <c r="CW3403" s="76">
        <f>+CV3403*1100</f>
        <v>0</v>
      </c>
      <c r="CX3403" s="76"/>
      <c r="CY3403" s="76">
        <f>+CX3403*106250</f>
        <v>0</v>
      </c>
      <c r="CZ3403" s="76"/>
      <c r="DA3403" s="76">
        <f>+CZ3403*34500</f>
        <v>0</v>
      </c>
      <c r="DB3403" s="76"/>
      <c r="DC3403" s="76">
        <f>+DB3403*25000</f>
        <v>0</v>
      </c>
      <c r="DD3403" s="219"/>
      <c r="DE3403" s="219"/>
      <c r="DF3403" s="166"/>
      <c r="DG3403" s="116"/>
      <c r="DH3403" s="117"/>
      <c r="DI3403" s="24"/>
      <c r="DJ3403" s="24"/>
      <c r="DK3403" s="24"/>
      <c r="DL3403" s="24"/>
      <c r="DM3403" s="24"/>
      <c r="DN3403" s="24"/>
      <c r="DO3403" s="24"/>
      <c r="DP3403" s="24"/>
      <c r="DQ3403" s="24"/>
      <c r="DR3403" s="24"/>
      <c r="DS3403" s="24"/>
      <c r="DT3403" s="24"/>
      <c r="DU3403" s="24"/>
    </row>
    <row r="3404" spans="1:125" s="8" customFormat="1" ht="60" x14ac:dyDescent="0.2">
      <c r="A3404" s="77">
        <v>41565</v>
      </c>
      <c r="B3404" s="352" t="s">
        <v>3136</v>
      </c>
      <c r="C3404" s="354" t="s">
        <v>403</v>
      </c>
      <c r="D3404" s="354" t="s">
        <v>2882</v>
      </c>
      <c r="E3404" s="75" t="str">
        <f>VLOOKUP(B3404&amp;C3404,Divipola!$C$2:$F$1138,4,FALSE)</f>
        <v>44430</v>
      </c>
      <c r="F3404" s="87"/>
      <c r="G3404" s="87"/>
      <c r="H3404" s="87"/>
      <c r="I3404" s="87">
        <v>70</v>
      </c>
      <c r="J3404" s="87">
        <v>14</v>
      </c>
      <c r="K3404" s="87"/>
      <c r="L3404" s="87">
        <v>14</v>
      </c>
      <c r="M3404" s="87"/>
      <c r="N3404" s="87"/>
      <c r="O3404" s="87"/>
      <c r="P3404" s="87"/>
      <c r="Q3404" s="87"/>
      <c r="R3404" s="87"/>
      <c r="S3404" s="87"/>
      <c r="T3404" s="87"/>
      <c r="U3404" s="88"/>
      <c r="V3404" s="89"/>
      <c r="W3404" s="96">
        <v>0</v>
      </c>
      <c r="X3404" s="71">
        <f>CU3404</f>
        <v>0</v>
      </c>
      <c r="Y3404" s="71">
        <f>CY3404</f>
        <v>0</v>
      </c>
      <c r="Z3404" s="71">
        <f>DA3404+DC3404+DE3404</f>
        <v>0</v>
      </c>
      <c r="AA3404" s="71">
        <f>CW3404</f>
        <v>0</v>
      </c>
      <c r="AB3404" s="71"/>
      <c r="AC3404" s="71">
        <v>0</v>
      </c>
      <c r="AD3404" s="71">
        <f>W3404+X3404+Y3404+Z3404+AA3404+AB3404+AC3404</f>
        <v>0</v>
      </c>
      <c r="AE3404" s="72">
        <v>0</v>
      </c>
      <c r="AF3404" s="5"/>
      <c r="AG3404" s="6"/>
      <c r="AH3404" s="27"/>
      <c r="AI3404" s="44"/>
      <c r="AJ3404" s="26"/>
      <c r="AK3404" s="5"/>
      <c r="AL3404" s="82" t="s">
        <v>6358</v>
      </c>
      <c r="AM3404" s="76"/>
      <c r="AN3404" s="76"/>
      <c r="AO3404" s="76"/>
      <c r="AP3404" s="76"/>
      <c r="AQ3404" s="76"/>
      <c r="AR3404" s="76"/>
      <c r="AS3404" s="76"/>
      <c r="AT3404" s="76"/>
      <c r="AU3404" s="76"/>
      <c r="AV3404" s="76"/>
      <c r="AW3404" s="76"/>
      <c r="AX3404" s="76">
        <f>+AW3404*600000</f>
        <v>0</v>
      </c>
      <c r="AY3404" s="76"/>
      <c r="AZ3404" s="76">
        <f>+AY3404*70000</f>
        <v>0</v>
      </c>
      <c r="BA3404" s="76"/>
      <c r="BB3404" s="76"/>
      <c r="BC3404" s="76"/>
      <c r="BD3404" s="76">
        <f>+BC3404*30000</f>
        <v>0</v>
      </c>
      <c r="BE3404" s="76"/>
      <c r="BF3404" s="76"/>
      <c r="BG3404" s="76"/>
      <c r="BH3404" s="76"/>
      <c r="BI3404" s="76"/>
      <c r="BJ3404" s="76"/>
      <c r="BK3404" s="76"/>
      <c r="BL3404" s="76">
        <f>+BK3404*31500</f>
        <v>0</v>
      </c>
      <c r="BM3404" s="76"/>
      <c r="BN3404" s="76"/>
      <c r="BO3404" s="76"/>
      <c r="BP3404" s="76"/>
      <c r="BQ3404" s="76"/>
      <c r="BR3404" s="76"/>
      <c r="BS3404" s="76"/>
      <c r="BT3404" s="76"/>
      <c r="BU3404" s="76"/>
      <c r="BV3404" s="76"/>
      <c r="BW3404" s="76"/>
      <c r="BX3404" s="76"/>
      <c r="BY3404" s="76"/>
      <c r="BZ3404" s="76"/>
      <c r="CA3404" s="76"/>
      <c r="CB3404" s="76"/>
      <c r="CC3404" s="76"/>
      <c r="CD3404" s="76"/>
      <c r="CE3404" s="76"/>
      <c r="CF3404" s="76">
        <f>+CE3404*28000</f>
        <v>0</v>
      </c>
      <c r="CG3404" s="76"/>
      <c r="CH3404" s="76">
        <f>+CG3404*22500</f>
        <v>0</v>
      </c>
      <c r="CI3404" s="76"/>
      <c r="CJ3404" s="76">
        <f>+CI3404*26000</f>
        <v>0</v>
      </c>
      <c r="CK3404" s="76"/>
      <c r="CL3404" s="76"/>
      <c r="CM3404" s="76"/>
      <c r="CN3404" s="76">
        <f>+CM3404*22000</f>
        <v>0</v>
      </c>
      <c r="CO3404" s="76"/>
      <c r="CP3404" s="76">
        <f>+CO3404*46000</f>
        <v>0</v>
      </c>
      <c r="CQ3404" s="76"/>
      <c r="CR3404" s="76">
        <f>+CQ3404*49000</f>
        <v>0</v>
      </c>
      <c r="CS3404" s="76"/>
      <c r="CT3404" s="76"/>
      <c r="CU3404" s="56">
        <f>AN3404+AP3404+AR3404+AT3404+AV3404+AX3404+AZ3404+BB3404+BD3404+BF3404+BH3404+BJ3404+BL3404+BN3404+BP3404+BR3404+BT3404+BV3404+BX3404+BZ3404+CB3404+CD3404+CF3404+CH3404+CJ3404+CL3404+CN3404+CP3404+CR3404+CT3404</f>
        <v>0</v>
      </c>
      <c r="CV3404" s="76"/>
      <c r="CW3404" s="76">
        <f>+CV3404*1100</f>
        <v>0</v>
      </c>
      <c r="CX3404" s="76"/>
      <c r="CY3404" s="76">
        <f>+CX3404*106250</f>
        <v>0</v>
      </c>
      <c r="CZ3404" s="76"/>
      <c r="DA3404" s="76">
        <f>+CZ3404*34500</f>
        <v>0</v>
      </c>
      <c r="DB3404" s="76"/>
      <c r="DC3404" s="76">
        <f>+DB3404*25000</f>
        <v>0</v>
      </c>
      <c r="DD3404" s="219"/>
      <c r="DE3404" s="219"/>
      <c r="DF3404" s="166"/>
      <c r="DG3404" s="116"/>
      <c r="DH3404" s="117"/>
      <c r="DI3404" s="24"/>
      <c r="DJ3404" s="24"/>
      <c r="DK3404" s="24"/>
      <c r="DL3404" s="24"/>
      <c r="DM3404" s="24"/>
      <c r="DN3404" s="24"/>
      <c r="DO3404" s="24"/>
      <c r="DP3404" s="24"/>
      <c r="DQ3404" s="24"/>
      <c r="DR3404" s="24"/>
      <c r="DS3404" s="24"/>
      <c r="DT3404" s="24"/>
      <c r="DU3404" s="24"/>
    </row>
    <row r="3405" spans="1:125" s="8" customFormat="1" ht="228" x14ac:dyDescent="0.2">
      <c r="A3405" s="248">
        <v>41565</v>
      </c>
      <c r="B3405" s="229" t="s">
        <v>2894</v>
      </c>
      <c r="C3405" s="230" t="s">
        <v>2381</v>
      </c>
      <c r="D3405" s="230" t="s">
        <v>3635</v>
      </c>
      <c r="E3405" s="75" t="str">
        <f>VLOOKUP(B3405&amp;C3405,Divipola!$C$2:$F$1138,4,FALSE)</f>
        <v>05113</v>
      </c>
      <c r="F3405" s="87"/>
      <c r="G3405" s="87">
        <v>2</v>
      </c>
      <c r="H3405" s="87">
        <v>3</v>
      </c>
      <c r="I3405" s="87"/>
      <c r="J3405" s="87"/>
      <c r="K3405" s="87"/>
      <c r="L3405" s="87"/>
      <c r="M3405" s="87"/>
      <c r="N3405" s="87"/>
      <c r="O3405" s="87"/>
      <c r="P3405" s="87"/>
      <c r="Q3405" s="87"/>
      <c r="R3405" s="87"/>
      <c r="S3405" s="87"/>
      <c r="T3405" s="87"/>
      <c r="U3405" s="88"/>
      <c r="V3405" s="89"/>
      <c r="W3405" s="96">
        <v>0</v>
      </c>
      <c r="X3405" s="71">
        <f>CU3405</f>
        <v>0</v>
      </c>
      <c r="Y3405" s="71">
        <f>CY3405</f>
        <v>0</v>
      </c>
      <c r="Z3405" s="71">
        <f>DA3405+DC3405+DE3405</f>
        <v>0</v>
      </c>
      <c r="AA3405" s="71">
        <f>CW3405</f>
        <v>0</v>
      </c>
      <c r="AB3405" s="71"/>
      <c r="AC3405" s="71">
        <v>0</v>
      </c>
      <c r="AD3405" s="71">
        <f>W3405+X3405+Y3405+Z3405+AA3405+AB3405+AC3405</f>
        <v>0</v>
      </c>
      <c r="AE3405" s="72">
        <v>0</v>
      </c>
      <c r="AF3405" s="5"/>
      <c r="AG3405" s="6"/>
      <c r="AH3405" s="27"/>
      <c r="AI3405" s="44"/>
      <c r="AJ3405" s="26"/>
      <c r="AK3405" s="5"/>
      <c r="AL3405" s="82" t="s">
        <v>6959</v>
      </c>
      <c r="AM3405" s="76"/>
      <c r="AN3405" s="76"/>
      <c r="AO3405" s="76"/>
      <c r="AP3405" s="76"/>
      <c r="AQ3405" s="76"/>
      <c r="AR3405" s="76"/>
      <c r="AS3405" s="76"/>
      <c r="AT3405" s="76"/>
      <c r="AU3405" s="76"/>
      <c r="AV3405" s="76"/>
      <c r="AW3405" s="76"/>
      <c r="AX3405" s="76">
        <f>+AW3405*600000</f>
        <v>0</v>
      </c>
      <c r="AY3405" s="76"/>
      <c r="AZ3405" s="76">
        <f>+AY3405*70000</f>
        <v>0</v>
      </c>
      <c r="BA3405" s="76"/>
      <c r="BB3405" s="76"/>
      <c r="BC3405" s="76"/>
      <c r="BD3405" s="76">
        <f>+BC3405*30000</f>
        <v>0</v>
      </c>
      <c r="BE3405" s="76"/>
      <c r="BF3405" s="76"/>
      <c r="BG3405" s="76"/>
      <c r="BH3405" s="76"/>
      <c r="BI3405" s="76"/>
      <c r="BJ3405" s="76"/>
      <c r="BK3405" s="76"/>
      <c r="BL3405" s="76">
        <f>+BK3405*31500</f>
        <v>0</v>
      </c>
      <c r="BM3405" s="76"/>
      <c r="BN3405" s="76"/>
      <c r="BO3405" s="76"/>
      <c r="BP3405" s="76"/>
      <c r="BQ3405" s="76"/>
      <c r="BR3405" s="76"/>
      <c r="BS3405" s="76"/>
      <c r="BT3405" s="76"/>
      <c r="BU3405" s="76"/>
      <c r="BV3405" s="76"/>
      <c r="BW3405" s="76"/>
      <c r="BX3405" s="76"/>
      <c r="BY3405" s="76"/>
      <c r="BZ3405" s="76"/>
      <c r="CA3405" s="76"/>
      <c r="CB3405" s="76"/>
      <c r="CC3405" s="76"/>
      <c r="CD3405" s="76"/>
      <c r="CE3405" s="76"/>
      <c r="CF3405" s="76">
        <f>+CE3405*28000</f>
        <v>0</v>
      </c>
      <c r="CG3405" s="76"/>
      <c r="CH3405" s="76">
        <f>+CG3405*22500</f>
        <v>0</v>
      </c>
      <c r="CI3405" s="76"/>
      <c r="CJ3405" s="76">
        <f>+CI3405*26000</f>
        <v>0</v>
      </c>
      <c r="CK3405" s="76"/>
      <c r="CL3405" s="76"/>
      <c r="CM3405" s="76"/>
      <c r="CN3405" s="76">
        <f>+CM3405*22000</f>
        <v>0</v>
      </c>
      <c r="CO3405" s="76"/>
      <c r="CP3405" s="76">
        <f>+CO3405*46000</f>
        <v>0</v>
      </c>
      <c r="CQ3405" s="76"/>
      <c r="CR3405" s="76">
        <f>+CQ3405*49000</f>
        <v>0</v>
      </c>
      <c r="CS3405" s="76"/>
      <c r="CT3405" s="76"/>
      <c r="CU3405" s="56">
        <f>AN3405+AP3405+AR3405+AT3405+AV3405+AX3405+AZ3405+BB3405+BD3405+BF3405+BH3405+BJ3405+BL3405+BN3405+BP3405+BR3405+BT3405+BV3405+BX3405+BZ3405+CB3405+CD3405+CF3405+CH3405+CJ3405+CL3405+CN3405+CP3405+CR3405+CT3405</f>
        <v>0</v>
      </c>
      <c r="CV3405" s="76"/>
      <c r="CW3405" s="76">
        <f>+CV3405*1100</f>
        <v>0</v>
      </c>
      <c r="CX3405" s="76"/>
      <c r="CY3405" s="76">
        <f>+CX3405*106250</f>
        <v>0</v>
      </c>
      <c r="CZ3405" s="76"/>
      <c r="DA3405" s="76">
        <f>+CZ3405*34500</f>
        <v>0</v>
      </c>
      <c r="DB3405" s="76"/>
      <c r="DC3405" s="76">
        <f>+DB3405*25000</f>
        <v>0</v>
      </c>
      <c r="DD3405" s="219"/>
      <c r="DE3405" s="219"/>
      <c r="DF3405" s="166"/>
      <c r="DG3405" s="116"/>
      <c r="DH3405" s="117"/>
      <c r="DI3405" s="24"/>
      <c r="DJ3405" s="24"/>
      <c r="DK3405" s="24"/>
      <c r="DL3405" s="24"/>
      <c r="DM3405" s="24"/>
      <c r="DN3405" s="24"/>
      <c r="DO3405" s="24"/>
      <c r="DP3405" s="24"/>
      <c r="DQ3405" s="24"/>
      <c r="DR3405" s="24"/>
      <c r="DS3405" s="24"/>
      <c r="DT3405" s="24"/>
      <c r="DU3405" s="24"/>
    </row>
    <row r="3406" spans="1:125" s="8" customFormat="1" ht="204" x14ac:dyDescent="0.2">
      <c r="A3406" s="353">
        <v>41565</v>
      </c>
      <c r="B3406" s="352" t="s">
        <v>2855</v>
      </c>
      <c r="C3406" s="354" t="s">
        <v>2168</v>
      </c>
      <c r="D3406" s="354" t="s">
        <v>2882</v>
      </c>
      <c r="E3406" s="75" t="str">
        <f>VLOOKUP(B3406&amp;C3406,Divipola!$C$2:$F$1138,4,FALSE)</f>
        <v>20001</v>
      </c>
      <c r="F3406" s="87"/>
      <c r="G3406" s="87"/>
      <c r="H3406" s="87"/>
      <c r="I3406" s="87">
        <v>5</v>
      </c>
      <c r="J3406" s="87">
        <v>2</v>
      </c>
      <c r="K3406" s="87"/>
      <c r="L3406" s="87">
        <v>2</v>
      </c>
      <c r="M3406" s="87"/>
      <c r="N3406" s="87"/>
      <c r="O3406" s="87"/>
      <c r="P3406" s="87"/>
      <c r="Q3406" s="87"/>
      <c r="R3406" s="87"/>
      <c r="S3406" s="87">
        <v>1</v>
      </c>
      <c r="T3406" s="87">
        <v>1</v>
      </c>
      <c r="U3406" s="88"/>
      <c r="V3406" s="89"/>
      <c r="W3406" s="96">
        <v>0</v>
      </c>
      <c r="X3406" s="71">
        <f>CU3406</f>
        <v>0</v>
      </c>
      <c r="Y3406" s="71">
        <f>CY3406</f>
        <v>0</v>
      </c>
      <c r="Z3406" s="71">
        <f>DA3406+DC3406+DE3406</f>
        <v>0</v>
      </c>
      <c r="AA3406" s="71">
        <f>CW3406</f>
        <v>0</v>
      </c>
      <c r="AB3406" s="71"/>
      <c r="AC3406" s="71">
        <v>0</v>
      </c>
      <c r="AD3406" s="71">
        <f>W3406+X3406+Y3406+Z3406+AA3406+AB3406+AC3406</f>
        <v>0</v>
      </c>
      <c r="AE3406" s="72">
        <v>0</v>
      </c>
      <c r="AF3406" s="5"/>
      <c r="AG3406" s="6"/>
      <c r="AH3406" s="27"/>
      <c r="AI3406" s="44"/>
      <c r="AJ3406" s="26"/>
      <c r="AK3406" s="5"/>
      <c r="AL3406" s="326" t="s">
        <v>6363</v>
      </c>
      <c r="AM3406" s="76"/>
      <c r="AN3406" s="76"/>
      <c r="AO3406" s="76"/>
      <c r="AP3406" s="76"/>
      <c r="AQ3406" s="76"/>
      <c r="AR3406" s="76"/>
      <c r="AS3406" s="76"/>
      <c r="AT3406" s="76"/>
      <c r="AU3406" s="76"/>
      <c r="AV3406" s="76"/>
      <c r="AW3406" s="76"/>
      <c r="AX3406" s="76">
        <f>+AW3406*600000</f>
        <v>0</v>
      </c>
      <c r="AY3406" s="76"/>
      <c r="AZ3406" s="76">
        <f>+AY3406*70000</f>
        <v>0</v>
      </c>
      <c r="BA3406" s="76"/>
      <c r="BB3406" s="76"/>
      <c r="BC3406" s="76"/>
      <c r="BD3406" s="76">
        <f>+BC3406*30000</f>
        <v>0</v>
      </c>
      <c r="BE3406" s="76"/>
      <c r="BF3406" s="76"/>
      <c r="BG3406" s="76"/>
      <c r="BH3406" s="76"/>
      <c r="BI3406" s="76"/>
      <c r="BJ3406" s="76"/>
      <c r="BK3406" s="76"/>
      <c r="BL3406" s="76">
        <f>+BK3406*31500</f>
        <v>0</v>
      </c>
      <c r="BM3406" s="76"/>
      <c r="BN3406" s="76"/>
      <c r="BO3406" s="76"/>
      <c r="BP3406" s="76"/>
      <c r="BQ3406" s="76"/>
      <c r="BR3406" s="76"/>
      <c r="BS3406" s="76"/>
      <c r="BT3406" s="76"/>
      <c r="BU3406" s="76"/>
      <c r="BV3406" s="76"/>
      <c r="BW3406" s="76"/>
      <c r="BX3406" s="76"/>
      <c r="BY3406" s="76"/>
      <c r="BZ3406" s="76"/>
      <c r="CA3406" s="76"/>
      <c r="CB3406" s="76"/>
      <c r="CC3406" s="76"/>
      <c r="CD3406" s="76"/>
      <c r="CE3406" s="76"/>
      <c r="CF3406" s="76">
        <f>+CE3406*28000</f>
        <v>0</v>
      </c>
      <c r="CG3406" s="76"/>
      <c r="CH3406" s="76">
        <f>+CG3406*22500</f>
        <v>0</v>
      </c>
      <c r="CI3406" s="76"/>
      <c r="CJ3406" s="76">
        <f>+CI3406*26000</f>
        <v>0</v>
      </c>
      <c r="CK3406" s="76"/>
      <c r="CL3406" s="76"/>
      <c r="CM3406" s="76"/>
      <c r="CN3406" s="76">
        <f>+CM3406*22000</f>
        <v>0</v>
      </c>
      <c r="CO3406" s="76"/>
      <c r="CP3406" s="76">
        <f>+CO3406*46000</f>
        <v>0</v>
      </c>
      <c r="CQ3406" s="76"/>
      <c r="CR3406" s="76">
        <f>+CQ3406*49000</f>
        <v>0</v>
      </c>
      <c r="CS3406" s="76"/>
      <c r="CT3406" s="76"/>
      <c r="CU3406" s="56">
        <f>AN3406+AP3406+AR3406+AT3406+AV3406+AX3406+AZ3406+BB3406+BD3406+BF3406+BH3406+BJ3406+BL3406+BN3406+BP3406+BR3406+BT3406+BV3406+BX3406+BZ3406+CB3406+CD3406+CF3406+CH3406+CJ3406+CL3406+CN3406+CP3406+CR3406+CT3406</f>
        <v>0</v>
      </c>
      <c r="CV3406" s="76"/>
      <c r="CW3406" s="76">
        <f>+CV3406*1100</f>
        <v>0</v>
      </c>
      <c r="CX3406" s="76"/>
      <c r="CY3406" s="76">
        <f>+CX3406*106250</f>
        <v>0</v>
      </c>
      <c r="CZ3406" s="76"/>
      <c r="DA3406" s="76">
        <f>+CZ3406*34500</f>
        <v>0</v>
      </c>
      <c r="DB3406" s="76"/>
      <c r="DC3406" s="76">
        <f>+DB3406*25000</f>
        <v>0</v>
      </c>
      <c r="DD3406" s="219"/>
      <c r="DE3406" s="219"/>
      <c r="DF3406" s="166"/>
      <c r="DG3406" s="116"/>
      <c r="DH3406" s="117"/>
      <c r="DI3406" s="24"/>
      <c r="DJ3406" s="24"/>
      <c r="DK3406" s="24"/>
      <c r="DL3406" s="24"/>
      <c r="DM3406" s="24"/>
      <c r="DN3406" s="24"/>
      <c r="DO3406" s="24"/>
      <c r="DP3406" s="24"/>
      <c r="DQ3406" s="24"/>
      <c r="DR3406" s="24"/>
      <c r="DS3406" s="24"/>
      <c r="DT3406" s="24"/>
      <c r="DU3406" s="24"/>
    </row>
    <row r="3407" spans="1:125" s="8" customFormat="1" ht="48" x14ac:dyDescent="0.2">
      <c r="A3407" s="77">
        <v>41565</v>
      </c>
      <c r="B3407" s="78" t="s">
        <v>2852</v>
      </c>
      <c r="C3407" s="75" t="s">
        <v>2784</v>
      </c>
      <c r="D3407" s="75" t="s">
        <v>2859</v>
      </c>
      <c r="E3407" s="75" t="str">
        <f>VLOOKUP(B3407&amp;C3407,Divipola!$C$2:$F$1138,4,FALSE)</f>
        <v>27025</v>
      </c>
      <c r="F3407" s="87"/>
      <c r="G3407" s="87"/>
      <c r="H3407" s="87"/>
      <c r="I3407" s="87">
        <v>65</v>
      </c>
      <c r="J3407" s="87">
        <v>13</v>
      </c>
      <c r="K3407" s="87">
        <v>13</v>
      </c>
      <c r="L3407" s="87"/>
      <c r="M3407" s="87"/>
      <c r="N3407" s="87"/>
      <c r="O3407" s="87"/>
      <c r="P3407" s="87"/>
      <c r="Q3407" s="87"/>
      <c r="R3407" s="87"/>
      <c r="S3407" s="87"/>
      <c r="T3407" s="87"/>
      <c r="U3407" s="88"/>
      <c r="V3407" s="89"/>
      <c r="W3407" s="96">
        <v>0</v>
      </c>
      <c r="X3407" s="71">
        <f>CU3407</f>
        <v>0</v>
      </c>
      <c r="Y3407" s="71">
        <f>CY3407</f>
        <v>0</v>
      </c>
      <c r="Z3407" s="71">
        <f>DA3407+DC3407+DE3407</f>
        <v>0</v>
      </c>
      <c r="AA3407" s="71">
        <f>CW3407</f>
        <v>0</v>
      </c>
      <c r="AB3407" s="71"/>
      <c r="AC3407" s="71">
        <v>0</v>
      </c>
      <c r="AD3407" s="71">
        <f>W3407+X3407+Y3407+Z3407+AA3407+AB3407+AC3407</f>
        <v>0</v>
      </c>
      <c r="AE3407" s="72">
        <v>0</v>
      </c>
      <c r="AF3407" s="5"/>
      <c r="AG3407" s="6"/>
      <c r="AH3407" s="27"/>
      <c r="AI3407" s="44"/>
      <c r="AJ3407" s="26"/>
      <c r="AK3407" s="5"/>
      <c r="AL3407" s="343" t="s">
        <v>6364</v>
      </c>
      <c r="AM3407" s="76"/>
      <c r="AN3407" s="76"/>
      <c r="AO3407" s="76"/>
      <c r="AP3407" s="76"/>
      <c r="AQ3407" s="76"/>
      <c r="AR3407" s="76"/>
      <c r="AS3407" s="76"/>
      <c r="AT3407" s="76"/>
      <c r="AU3407" s="76"/>
      <c r="AV3407" s="76"/>
      <c r="AW3407" s="76"/>
      <c r="AX3407" s="76">
        <f>+AW3407*600000</f>
        <v>0</v>
      </c>
      <c r="AY3407" s="76"/>
      <c r="AZ3407" s="76">
        <f>+AY3407*70000</f>
        <v>0</v>
      </c>
      <c r="BA3407" s="76"/>
      <c r="BB3407" s="76"/>
      <c r="BC3407" s="76"/>
      <c r="BD3407" s="76">
        <f>+BC3407*30000</f>
        <v>0</v>
      </c>
      <c r="BE3407" s="76"/>
      <c r="BF3407" s="76"/>
      <c r="BG3407" s="76"/>
      <c r="BH3407" s="76"/>
      <c r="BI3407" s="76"/>
      <c r="BJ3407" s="76"/>
      <c r="BK3407" s="76"/>
      <c r="BL3407" s="76">
        <f>+BK3407*31500</f>
        <v>0</v>
      </c>
      <c r="BM3407" s="76"/>
      <c r="BN3407" s="76"/>
      <c r="BO3407" s="76"/>
      <c r="BP3407" s="76"/>
      <c r="BQ3407" s="76"/>
      <c r="BR3407" s="76"/>
      <c r="BS3407" s="76"/>
      <c r="BT3407" s="76"/>
      <c r="BU3407" s="76"/>
      <c r="BV3407" s="76"/>
      <c r="BW3407" s="76"/>
      <c r="BX3407" s="76"/>
      <c r="BY3407" s="76"/>
      <c r="BZ3407" s="76"/>
      <c r="CA3407" s="76"/>
      <c r="CB3407" s="76"/>
      <c r="CC3407" s="76"/>
      <c r="CD3407" s="76"/>
      <c r="CE3407" s="76"/>
      <c r="CF3407" s="76">
        <f>+CE3407*28000</f>
        <v>0</v>
      </c>
      <c r="CG3407" s="76"/>
      <c r="CH3407" s="76">
        <f>+CG3407*22500</f>
        <v>0</v>
      </c>
      <c r="CI3407" s="76"/>
      <c r="CJ3407" s="76">
        <f>+CI3407*26000</f>
        <v>0</v>
      </c>
      <c r="CK3407" s="76"/>
      <c r="CL3407" s="76"/>
      <c r="CM3407" s="76"/>
      <c r="CN3407" s="76">
        <f>+CM3407*22000</f>
        <v>0</v>
      </c>
      <c r="CO3407" s="76"/>
      <c r="CP3407" s="76">
        <f>+CO3407*46000</f>
        <v>0</v>
      </c>
      <c r="CQ3407" s="76"/>
      <c r="CR3407" s="76">
        <f>+CQ3407*49000</f>
        <v>0</v>
      </c>
      <c r="CS3407" s="76"/>
      <c r="CT3407" s="76"/>
      <c r="CU3407" s="56">
        <f>AN3407+AP3407+AR3407+AT3407+AV3407+AX3407+AZ3407+BB3407+BD3407+BF3407+BH3407+BJ3407+BL3407+BN3407+BP3407+BR3407+BT3407+BV3407+BX3407+BZ3407+CB3407+CD3407+CF3407+CH3407+CJ3407+CL3407+CN3407+CP3407+CR3407+CT3407</f>
        <v>0</v>
      </c>
      <c r="CV3407" s="76"/>
      <c r="CW3407" s="76">
        <f>+CV3407*1100</f>
        <v>0</v>
      </c>
      <c r="CX3407" s="76"/>
      <c r="CY3407" s="76">
        <f>+CX3407*106250</f>
        <v>0</v>
      </c>
      <c r="CZ3407" s="76"/>
      <c r="DA3407" s="76">
        <f>+CZ3407*34500</f>
        <v>0</v>
      </c>
      <c r="DB3407" s="76"/>
      <c r="DC3407" s="76">
        <f>+DB3407*25000</f>
        <v>0</v>
      </c>
      <c r="DD3407" s="219"/>
      <c r="DE3407" s="219"/>
      <c r="DF3407" s="166"/>
      <c r="DG3407" s="116"/>
      <c r="DH3407" s="117"/>
      <c r="DI3407" s="24"/>
      <c r="DJ3407" s="24"/>
      <c r="DK3407" s="24"/>
      <c r="DL3407" s="24"/>
      <c r="DM3407" s="24"/>
      <c r="DN3407" s="24"/>
      <c r="DO3407" s="24"/>
      <c r="DP3407" s="24"/>
      <c r="DQ3407" s="24"/>
      <c r="DR3407" s="24"/>
      <c r="DS3407" s="24"/>
      <c r="DT3407" s="24"/>
      <c r="DU3407" s="24"/>
    </row>
    <row r="3408" spans="1:125" s="8" customFormat="1" ht="96" x14ac:dyDescent="0.2">
      <c r="A3408" s="77">
        <v>41565</v>
      </c>
      <c r="B3408" s="78" t="s">
        <v>2772</v>
      </c>
      <c r="C3408" s="75" t="s">
        <v>2190</v>
      </c>
      <c r="D3408" s="351" t="s">
        <v>2882</v>
      </c>
      <c r="E3408" s="75" t="str">
        <f>VLOOKUP(B3408&amp;C3408,Divipola!$C$2:$F$1138,4,FALSE)</f>
        <v>25148</v>
      </c>
      <c r="F3408" s="87"/>
      <c r="G3408" s="87"/>
      <c r="H3408" s="87"/>
      <c r="I3408" s="87"/>
      <c r="J3408" s="87"/>
      <c r="K3408" s="87"/>
      <c r="L3408" s="87"/>
      <c r="M3408" s="87"/>
      <c r="N3408" s="87"/>
      <c r="O3408" s="87"/>
      <c r="P3408" s="87"/>
      <c r="Q3408" s="87"/>
      <c r="R3408" s="87"/>
      <c r="S3408" s="87"/>
      <c r="T3408" s="87"/>
      <c r="U3408" s="87"/>
      <c r="V3408" s="89"/>
      <c r="W3408" s="96">
        <v>0</v>
      </c>
      <c r="X3408" s="71">
        <f>CU3408</f>
        <v>0</v>
      </c>
      <c r="Y3408" s="71">
        <f>CY3408</f>
        <v>0</v>
      </c>
      <c r="Z3408" s="71">
        <f>DA3408+DC3408+DE3408</f>
        <v>0</v>
      </c>
      <c r="AA3408" s="71">
        <f>CW3408</f>
        <v>0</v>
      </c>
      <c r="AB3408" s="71"/>
      <c r="AC3408" s="71">
        <v>0</v>
      </c>
      <c r="AD3408" s="71">
        <f>W3408+X3408+Y3408+Z3408+AA3408+AB3408+AC3408</f>
        <v>0</v>
      </c>
      <c r="AE3408" s="72">
        <v>0</v>
      </c>
      <c r="AF3408" s="5"/>
      <c r="AG3408" s="6"/>
      <c r="AH3408" s="27"/>
      <c r="AI3408" s="44"/>
      <c r="AJ3408" s="26"/>
      <c r="AK3408" s="5"/>
      <c r="AL3408" s="366" t="s">
        <v>6367</v>
      </c>
      <c r="AM3408" s="76"/>
      <c r="AN3408" s="76"/>
      <c r="AO3408" s="76"/>
      <c r="AP3408" s="76"/>
      <c r="AQ3408" s="76"/>
      <c r="AR3408" s="76"/>
      <c r="AS3408" s="76"/>
      <c r="AT3408" s="76"/>
      <c r="AU3408" s="76"/>
      <c r="AV3408" s="76"/>
      <c r="AW3408" s="76"/>
      <c r="AX3408" s="76">
        <f>+AW3408*600000</f>
        <v>0</v>
      </c>
      <c r="AY3408" s="76"/>
      <c r="AZ3408" s="76">
        <f>+AY3408*70000</f>
        <v>0</v>
      </c>
      <c r="BA3408" s="76"/>
      <c r="BB3408" s="76"/>
      <c r="BC3408" s="76"/>
      <c r="BD3408" s="76">
        <f>+BC3408*30000</f>
        <v>0</v>
      </c>
      <c r="BE3408" s="76"/>
      <c r="BF3408" s="76"/>
      <c r="BG3408" s="76"/>
      <c r="BH3408" s="76"/>
      <c r="BI3408" s="76"/>
      <c r="BJ3408" s="76"/>
      <c r="BK3408" s="76"/>
      <c r="BL3408" s="76">
        <f>+BK3408*31500</f>
        <v>0</v>
      </c>
      <c r="BM3408" s="76"/>
      <c r="BN3408" s="76"/>
      <c r="BO3408" s="76"/>
      <c r="BP3408" s="76"/>
      <c r="BQ3408" s="76"/>
      <c r="BR3408" s="76"/>
      <c r="BS3408" s="76"/>
      <c r="BT3408" s="76"/>
      <c r="BU3408" s="76"/>
      <c r="BV3408" s="76"/>
      <c r="BW3408" s="76"/>
      <c r="BX3408" s="76"/>
      <c r="BY3408" s="76"/>
      <c r="BZ3408" s="76"/>
      <c r="CA3408" s="76"/>
      <c r="CB3408" s="76"/>
      <c r="CC3408" s="76"/>
      <c r="CD3408" s="76"/>
      <c r="CE3408" s="76"/>
      <c r="CF3408" s="76">
        <f>+CE3408*28000</f>
        <v>0</v>
      </c>
      <c r="CG3408" s="76"/>
      <c r="CH3408" s="76">
        <f>+CG3408*22500</f>
        <v>0</v>
      </c>
      <c r="CI3408" s="76"/>
      <c r="CJ3408" s="76">
        <f>+CI3408*26000</f>
        <v>0</v>
      </c>
      <c r="CK3408" s="76"/>
      <c r="CL3408" s="76"/>
      <c r="CM3408" s="76"/>
      <c r="CN3408" s="76">
        <f>+CM3408*22000</f>
        <v>0</v>
      </c>
      <c r="CO3408" s="76"/>
      <c r="CP3408" s="76">
        <f>+CO3408*46000</f>
        <v>0</v>
      </c>
      <c r="CQ3408" s="76"/>
      <c r="CR3408" s="76">
        <f>+CQ3408*49000</f>
        <v>0</v>
      </c>
      <c r="CS3408" s="76"/>
      <c r="CT3408" s="76"/>
      <c r="CU3408" s="56">
        <f>AN3408+AP3408+AR3408+AT3408+AV3408+AX3408+AZ3408+BB3408+BD3408+BF3408+BH3408+BJ3408+BL3408+BN3408+BP3408+BR3408+BT3408+BV3408+BX3408+BZ3408+CB3408+CD3408+CF3408+CH3408+CJ3408+CL3408+CN3408+CP3408+CR3408+CT3408</f>
        <v>0</v>
      </c>
      <c r="CV3408" s="76"/>
      <c r="CW3408" s="76">
        <f>+CV3408*1100</f>
        <v>0</v>
      </c>
      <c r="CX3408" s="76"/>
      <c r="CY3408" s="76">
        <f>+CX3408*106250</f>
        <v>0</v>
      </c>
      <c r="CZ3408" s="76"/>
      <c r="DA3408" s="76">
        <f>+CZ3408*34500</f>
        <v>0</v>
      </c>
      <c r="DB3408" s="76"/>
      <c r="DC3408" s="76">
        <f>+DB3408*25000</f>
        <v>0</v>
      </c>
      <c r="DD3408" s="219"/>
      <c r="DE3408" s="219"/>
      <c r="DF3408" s="166"/>
      <c r="DG3408" s="116"/>
      <c r="DH3408" s="117"/>
      <c r="DI3408" s="24"/>
      <c r="DJ3408" s="24"/>
      <c r="DK3408" s="24"/>
      <c r="DL3408" s="24"/>
      <c r="DM3408" s="24"/>
      <c r="DN3408" s="24"/>
      <c r="DO3408" s="24"/>
      <c r="DP3408" s="24"/>
      <c r="DQ3408" s="24"/>
      <c r="DR3408" s="24"/>
      <c r="DS3408" s="24"/>
      <c r="DT3408" s="24"/>
      <c r="DU3408" s="24"/>
    </row>
    <row r="3409" spans="1:125" s="8" customFormat="1" ht="120" x14ac:dyDescent="0.2">
      <c r="A3409" s="77">
        <v>41565</v>
      </c>
      <c r="B3409" s="78" t="s">
        <v>2848</v>
      </c>
      <c r="C3409" s="75" t="s">
        <v>1872</v>
      </c>
      <c r="D3409" s="75" t="s">
        <v>2882</v>
      </c>
      <c r="E3409" s="75" t="str">
        <f>VLOOKUP(B3409&amp;C3409,Divipola!$C$2:$F$1138,4,FALSE)</f>
        <v>73268</v>
      </c>
      <c r="F3409" s="87"/>
      <c r="G3409" s="87"/>
      <c r="H3409" s="87"/>
      <c r="I3409" s="87"/>
      <c r="J3409" s="87"/>
      <c r="K3409" s="87"/>
      <c r="L3409" s="87"/>
      <c r="M3409" s="87"/>
      <c r="N3409" s="87"/>
      <c r="O3409" s="87"/>
      <c r="P3409" s="87"/>
      <c r="Q3409" s="87"/>
      <c r="R3409" s="87"/>
      <c r="S3409" s="87"/>
      <c r="T3409" s="87"/>
      <c r="U3409" s="88"/>
      <c r="V3409" s="89"/>
      <c r="W3409" s="96">
        <v>0</v>
      </c>
      <c r="X3409" s="71">
        <f>CU3409</f>
        <v>0</v>
      </c>
      <c r="Y3409" s="71">
        <f>CY3409</f>
        <v>0</v>
      </c>
      <c r="Z3409" s="71">
        <f>DA3409+DC3409+DE3409</f>
        <v>0</v>
      </c>
      <c r="AA3409" s="71">
        <f>CW3409</f>
        <v>0</v>
      </c>
      <c r="AB3409" s="71"/>
      <c r="AC3409" s="71">
        <v>0</v>
      </c>
      <c r="AD3409" s="71">
        <f>W3409+X3409+Y3409+Z3409+AA3409+AB3409+AC3409</f>
        <v>0</v>
      </c>
      <c r="AE3409" s="72">
        <v>0</v>
      </c>
      <c r="AF3409" s="5"/>
      <c r="AG3409" s="6"/>
      <c r="AH3409" s="27"/>
      <c r="AI3409" s="44"/>
      <c r="AJ3409" s="26"/>
      <c r="AK3409" s="5"/>
      <c r="AL3409" s="274" t="s">
        <v>6370</v>
      </c>
      <c r="AM3409" s="76"/>
      <c r="AN3409" s="76"/>
      <c r="AO3409" s="76"/>
      <c r="AP3409" s="76"/>
      <c r="AQ3409" s="76"/>
      <c r="AR3409" s="76"/>
      <c r="AS3409" s="76"/>
      <c r="AT3409" s="76"/>
      <c r="AU3409" s="76"/>
      <c r="AV3409" s="76"/>
      <c r="AW3409" s="76"/>
      <c r="AX3409" s="76">
        <f>+AW3409*600000</f>
        <v>0</v>
      </c>
      <c r="AY3409" s="76"/>
      <c r="AZ3409" s="76">
        <f>+AY3409*70000</f>
        <v>0</v>
      </c>
      <c r="BA3409" s="76"/>
      <c r="BB3409" s="76"/>
      <c r="BC3409" s="76"/>
      <c r="BD3409" s="76">
        <f>+BC3409*30000</f>
        <v>0</v>
      </c>
      <c r="BE3409" s="76"/>
      <c r="BF3409" s="76"/>
      <c r="BG3409" s="76"/>
      <c r="BH3409" s="76"/>
      <c r="BI3409" s="76"/>
      <c r="BJ3409" s="76"/>
      <c r="BK3409" s="76"/>
      <c r="BL3409" s="76">
        <f>+BK3409*31500</f>
        <v>0</v>
      </c>
      <c r="BM3409" s="76"/>
      <c r="BN3409" s="76"/>
      <c r="BO3409" s="76"/>
      <c r="BP3409" s="76"/>
      <c r="BQ3409" s="76"/>
      <c r="BR3409" s="76"/>
      <c r="BS3409" s="76"/>
      <c r="BT3409" s="76"/>
      <c r="BU3409" s="76"/>
      <c r="BV3409" s="76"/>
      <c r="BW3409" s="76"/>
      <c r="BX3409" s="76"/>
      <c r="BY3409" s="76"/>
      <c r="BZ3409" s="76"/>
      <c r="CA3409" s="76"/>
      <c r="CB3409" s="76"/>
      <c r="CC3409" s="76"/>
      <c r="CD3409" s="76"/>
      <c r="CE3409" s="76"/>
      <c r="CF3409" s="76">
        <f>+CE3409*28000</f>
        <v>0</v>
      </c>
      <c r="CG3409" s="76"/>
      <c r="CH3409" s="76">
        <f>+CG3409*22500</f>
        <v>0</v>
      </c>
      <c r="CI3409" s="76"/>
      <c r="CJ3409" s="76">
        <f>+CI3409*26000</f>
        <v>0</v>
      </c>
      <c r="CK3409" s="76"/>
      <c r="CL3409" s="76"/>
      <c r="CM3409" s="76"/>
      <c r="CN3409" s="76">
        <f>+CM3409*22000</f>
        <v>0</v>
      </c>
      <c r="CO3409" s="76"/>
      <c r="CP3409" s="76">
        <f>+CO3409*46000</f>
        <v>0</v>
      </c>
      <c r="CQ3409" s="76"/>
      <c r="CR3409" s="76">
        <f>+CQ3409*49000</f>
        <v>0</v>
      </c>
      <c r="CS3409" s="76"/>
      <c r="CT3409" s="76"/>
      <c r="CU3409" s="56">
        <f>AN3409+AP3409+AR3409+AT3409+AV3409+AX3409+AZ3409+BB3409+BD3409+BF3409+BH3409+BJ3409+BL3409+BN3409+BP3409+BR3409+BT3409+BV3409+BX3409+BZ3409+CB3409+CD3409+CF3409+CH3409+CJ3409+CL3409+CN3409+CP3409+CR3409+CT3409</f>
        <v>0</v>
      </c>
      <c r="CV3409" s="76"/>
      <c r="CW3409" s="76">
        <f>+CV3409*1100</f>
        <v>0</v>
      </c>
      <c r="CX3409" s="76"/>
      <c r="CY3409" s="76">
        <f>+CX3409*106250</f>
        <v>0</v>
      </c>
      <c r="CZ3409" s="76"/>
      <c r="DA3409" s="76">
        <f>+CZ3409*34500</f>
        <v>0</v>
      </c>
      <c r="DB3409" s="76"/>
      <c r="DC3409" s="76">
        <f>+DB3409*25000</f>
        <v>0</v>
      </c>
      <c r="DD3409" s="219"/>
      <c r="DE3409" s="219"/>
      <c r="DF3409" s="166"/>
      <c r="DG3409" s="116"/>
      <c r="DH3409" s="117"/>
      <c r="DI3409" s="24"/>
      <c r="DJ3409" s="24"/>
      <c r="DK3409" s="24"/>
      <c r="DL3409" s="24"/>
      <c r="DM3409" s="24"/>
      <c r="DN3409" s="24"/>
      <c r="DO3409" s="24"/>
      <c r="DP3409" s="24"/>
      <c r="DQ3409" s="24"/>
      <c r="DR3409" s="24"/>
      <c r="DS3409" s="24"/>
      <c r="DT3409" s="24"/>
      <c r="DU3409" s="24"/>
    </row>
    <row r="3410" spans="1:125" s="8" customFormat="1" ht="120" x14ac:dyDescent="0.2">
      <c r="A3410" s="353">
        <v>41565</v>
      </c>
      <c r="B3410" s="352" t="s">
        <v>2848</v>
      </c>
      <c r="C3410" s="354" t="s">
        <v>2755</v>
      </c>
      <c r="D3410" s="354" t="s">
        <v>2882</v>
      </c>
      <c r="E3410" s="75" t="str">
        <f>VLOOKUP(B3410&amp;C3410,Divipola!$C$2:$F$1138,4,FALSE)</f>
        <v>73001</v>
      </c>
      <c r="F3410" s="87"/>
      <c r="G3410" s="87"/>
      <c r="H3410" s="87"/>
      <c r="I3410" s="87">
        <v>15</v>
      </c>
      <c r="J3410" s="87">
        <v>3</v>
      </c>
      <c r="K3410" s="87"/>
      <c r="L3410" s="87">
        <v>3</v>
      </c>
      <c r="M3410" s="87"/>
      <c r="N3410" s="87"/>
      <c r="O3410" s="87"/>
      <c r="P3410" s="87"/>
      <c r="Q3410" s="87"/>
      <c r="R3410" s="87"/>
      <c r="S3410" s="87"/>
      <c r="T3410" s="87"/>
      <c r="U3410" s="88"/>
      <c r="V3410" s="89"/>
      <c r="W3410" s="96">
        <v>0</v>
      </c>
      <c r="X3410" s="71">
        <f>CU3410</f>
        <v>0</v>
      </c>
      <c r="Y3410" s="71">
        <f>CY3410</f>
        <v>0</v>
      </c>
      <c r="Z3410" s="71">
        <f>DA3410+DC3410+DE3410</f>
        <v>0</v>
      </c>
      <c r="AA3410" s="71">
        <f>CW3410</f>
        <v>0</v>
      </c>
      <c r="AB3410" s="71"/>
      <c r="AC3410" s="71">
        <v>0</v>
      </c>
      <c r="AD3410" s="71">
        <f>W3410+X3410+Y3410+Z3410+AA3410+AB3410+AC3410</f>
        <v>0</v>
      </c>
      <c r="AE3410" s="72">
        <v>0</v>
      </c>
      <c r="AF3410" s="5"/>
      <c r="AG3410" s="6"/>
      <c r="AH3410" s="27"/>
      <c r="AI3410" s="44"/>
      <c r="AJ3410" s="26"/>
      <c r="AK3410" s="5"/>
      <c r="AL3410" s="82" t="s">
        <v>6371</v>
      </c>
      <c r="AM3410" s="76"/>
      <c r="AN3410" s="76"/>
      <c r="AO3410" s="76"/>
      <c r="AP3410" s="76"/>
      <c r="AQ3410" s="76"/>
      <c r="AR3410" s="76"/>
      <c r="AS3410" s="76"/>
      <c r="AT3410" s="76"/>
      <c r="AU3410" s="76"/>
      <c r="AV3410" s="76"/>
      <c r="AW3410" s="76"/>
      <c r="AX3410" s="76">
        <f>+AW3410*600000</f>
        <v>0</v>
      </c>
      <c r="AY3410" s="76"/>
      <c r="AZ3410" s="76">
        <f>+AY3410*70000</f>
        <v>0</v>
      </c>
      <c r="BA3410" s="76"/>
      <c r="BB3410" s="76"/>
      <c r="BC3410" s="76"/>
      <c r="BD3410" s="76">
        <f>+BC3410*30000</f>
        <v>0</v>
      </c>
      <c r="BE3410" s="76"/>
      <c r="BF3410" s="76"/>
      <c r="BG3410" s="76"/>
      <c r="BH3410" s="76"/>
      <c r="BI3410" s="76"/>
      <c r="BJ3410" s="76"/>
      <c r="BK3410" s="76"/>
      <c r="BL3410" s="76">
        <f>+BK3410*31500</f>
        <v>0</v>
      </c>
      <c r="BM3410" s="76"/>
      <c r="BN3410" s="76"/>
      <c r="BO3410" s="76"/>
      <c r="BP3410" s="76"/>
      <c r="BQ3410" s="76"/>
      <c r="BR3410" s="76"/>
      <c r="BS3410" s="76"/>
      <c r="BT3410" s="76"/>
      <c r="BU3410" s="76"/>
      <c r="BV3410" s="76"/>
      <c r="BW3410" s="76"/>
      <c r="BX3410" s="76"/>
      <c r="BY3410" s="76"/>
      <c r="BZ3410" s="76"/>
      <c r="CA3410" s="76"/>
      <c r="CB3410" s="76"/>
      <c r="CC3410" s="76"/>
      <c r="CD3410" s="76"/>
      <c r="CE3410" s="76"/>
      <c r="CF3410" s="76">
        <f>+CE3410*28000</f>
        <v>0</v>
      </c>
      <c r="CG3410" s="76"/>
      <c r="CH3410" s="76">
        <f>+CG3410*22500</f>
        <v>0</v>
      </c>
      <c r="CI3410" s="76"/>
      <c r="CJ3410" s="76">
        <f>+CI3410*26000</f>
        <v>0</v>
      </c>
      <c r="CK3410" s="76"/>
      <c r="CL3410" s="76"/>
      <c r="CM3410" s="76"/>
      <c r="CN3410" s="76">
        <f>+CM3410*22000</f>
        <v>0</v>
      </c>
      <c r="CO3410" s="76"/>
      <c r="CP3410" s="76">
        <f>+CO3410*46000</f>
        <v>0</v>
      </c>
      <c r="CQ3410" s="76"/>
      <c r="CR3410" s="76">
        <f>+CQ3410*49000</f>
        <v>0</v>
      </c>
      <c r="CS3410" s="76"/>
      <c r="CT3410" s="76"/>
      <c r="CU3410" s="56">
        <f>AN3410+AP3410+AR3410+AT3410+AV3410+AX3410+AZ3410+BB3410+BD3410+BF3410+BH3410+BJ3410+BL3410+BN3410+BP3410+BR3410+BT3410+BV3410+BX3410+BZ3410+CB3410+CD3410+CF3410+CH3410+CJ3410+CL3410+CN3410+CP3410+CR3410+CT3410</f>
        <v>0</v>
      </c>
      <c r="CV3410" s="76"/>
      <c r="CW3410" s="76">
        <f>+CV3410*1100</f>
        <v>0</v>
      </c>
      <c r="CX3410" s="76"/>
      <c r="CY3410" s="76">
        <f>+CX3410*106250</f>
        <v>0</v>
      </c>
      <c r="CZ3410" s="76"/>
      <c r="DA3410" s="76">
        <f>+CZ3410*34500</f>
        <v>0</v>
      </c>
      <c r="DB3410" s="76"/>
      <c r="DC3410" s="76">
        <f>+DB3410*25000</f>
        <v>0</v>
      </c>
      <c r="DD3410" s="219"/>
      <c r="DE3410" s="219"/>
      <c r="DF3410" s="166"/>
      <c r="DG3410" s="116"/>
      <c r="DH3410" s="117"/>
      <c r="DI3410" s="24"/>
      <c r="DJ3410" s="24"/>
      <c r="DK3410" s="24"/>
      <c r="DL3410" s="24"/>
      <c r="DM3410" s="24"/>
      <c r="DN3410" s="24"/>
      <c r="DO3410" s="24"/>
      <c r="DP3410" s="24"/>
      <c r="DQ3410" s="24"/>
      <c r="DR3410" s="24"/>
      <c r="DS3410" s="24"/>
      <c r="DT3410" s="24"/>
      <c r="DU3410" s="24"/>
    </row>
    <row r="3411" spans="1:125" s="8" customFormat="1" ht="72" x14ac:dyDescent="0.2">
      <c r="A3411" s="77">
        <v>41565</v>
      </c>
      <c r="B3411" s="84" t="s">
        <v>2700</v>
      </c>
      <c r="C3411" s="84" t="s">
        <v>666</v>
      </c>
      <c r="D3411" s="75" t="s">
        <v>3635</v>
      </c>
      <c r="E3411" s="75" t="str">
        <f>VLOOKUP(B3411&amp;C3411,Divipola!$C$2:$F$1138,4,FALSE)</f>
        <v>15755</v>
      </c>
      <c r="F3411" s="89">
        <v>1</v>
      </c>
      <c r="G3411" s="89"/>
      <c r="H3411" s="89"/>
      <c r="I3411" s="89">
        <v>1</v>
      </c>
      <c r="J3411" s="89"/>
      <c r="K3411" s="89"/>
      <c r="L3411" s="89"/>
      <c r="M3411" s="89"/>
      <c r="N3411" s="89"/>
      <c r="O3411" s="89"/>
      <c r="P3411" s="89"/>
      <c r="Q3411" s="89"/>
      <c r="R3411" s="89"/>
      <c r="S3411" s="89"/>
      <c r="T3411" s="89"/>
      <c r="U3411" s="89"/>
      <c r="V3411" s="89"/>
      <c r="W3411" s="96">
        <v>0</v>
      </c>
      <c r="X3411" s="71">
        <f>CU3411</f>
        <v>0</v>
      </c>
      <c r="Y3411" s="71">
        <f>CY3411</f>
        <v>0</v>
      </c>
      <c r="Z3411" s="71">
        <f>DA3411+DC3411+DE3411</f>
        <v>0</v>
      </c>
      <c r="AA3411" s="71">
        <f>CW3411</f>
        <v>0</v>
      </c>
      <c r="AB3411" s="71"/>
      <c r="AC3411" s="71">
        <v>0</v>
      </c>
      <c r="AD3411" s="71">
        <f>W3411+X3411+Y3411+Z3411+AA3411+AB3411+AC3411</f>
        <v>0</v>
      </c>
      <c r="AE3411" s="72">
        <v>0</v>
      </c>
      <c r="AF3411" s="5"/>
      <c r="AG3411" s="6"/>
      <c r="AH3411" s="27"/>
      <c r="AI3411" s="44"/>
      <c r="AJ3411" s="26"/>
      <c r="AK3411" s="5"/>
      <c r="AL3411" s="326" t="s">
        <v>6386</v>
      </c>
      <c r="AM3411" s="76"/>
      <c r="AN3411" s="76"/>
      <c r="AO3411" s="76"/>
      <c r="AP3411" s="76"/>
      <c r="AQ3411" s="76"/>
      <c r="AR3411" s="76"/>
      <c r="AS3411" s="76"/>
      <c r="AT3411" s="76"/>
      <c r="AU3411" s="76"/>
      <c r="AV3411" s="76"/>
      <c r="AW3411" s="76"/>
      <c r="AX3411" s="76">
        <f>+AW3411*600000</f>
        <v>0</v>
      </c>
      <c r="AY3411" s="76"/>
      <c r="AZ3411" s="76">
        <f>+AY3411*70000</f>
        <v>0</v>
      </c>
      <c r="BA3411" s="76"/>
      <c r="BB3411" s="76"/>
      <c r="BC3411" s="76"/>
      <c r="BD3411" s="76">
        <f>+BC3411*30000</f>
        <v>0</v>
      </c>
      <c r="BE3411" s="76"/>
      <c r="BF3411" s="76"/>
      <c r="BG3411" s="76"/>
      <c r="BH3411" s="76"/>
      <c r="BI3411" s="76"/>
      <c r="BJ3411" s="76"/>
      <c r="BK3411" s="76"/>
      <c r="BL3411" s="76">
        <f>+BK3411*31500</f>
        <v>0</v>
      </c>
      <c r="BM3411" s="76"/>
      <c r="BN3411" s="76"/>
      <c r="BO3411" s="76"/>
      <c r="BP3411" s="76"/>
      <c r="BQ3411" s="76"/>
      <c r="BR3411" s="76"/>
      <c r="BS3411" s="76"/>
      <c r="BT3411" s="76"/>
      <c r="BU3411" s="76"/>
      <c r="BV3411" s="76"/>
      <c r="BW3411" s="76"/>
      <c r="BX3411" s="76"/>
      <c r="BY3411" s="76"/>
      <c r="BZ3411" s="76"/>
      <c r="CA3411" s="76"/>
      <c r="CB3411" s="76"/>
      <c r="CC3411" s="76"/>
      <c r="CD3411" s="76"/>
      <c r="CE3411" s="76"/>
      <c r="CF3411" s="76">
        <f>+CE3411*28000</f>
        <v>0</v>
      </c>
      <c r="CG3411" s="76"/>
      <c r="CH3411" s="76">
        <f>+CG3411*22500</f>
        <v>0</v>
      </c>
      <c r="CI3411" s="76"/>
      <c r="CJ3411" s="76">
        <f>+CI3411*26000</f>
        <v>0</v>
      </c>
      <c r="CK3411" s="76"/>
      <c r="CL3411" s="76"/>
      <c r="CM3411" s="76"/>
      <c r="CN3411" s="76">
        <f>+CM3411*22000</f>
        <v>0</v>
      </c>
      <c r="CO3411" s="76"/>
      <c r="CP3411" s="76">
        <f>+CO3411*46000</f>
        <v>0</v>
      </c>
      <c r="CQ3411" s="76"/>
      <c r="CR3411" s="76">
        <f>+CQ3411*49000</f>
        <v>0</v>
      </c>
      <c r="CS3411" s="76"/>
      <c r="CT3411" s="76"/>
      <c r="CU3411" s="56">
        <f>AN3411+AP3411+AR3411+AT3411+AV3411+AX3411+AZ3411+BB3411+BD3411+BF3411+BH3411+BJ3411+BL3411+BN3411+BP3411+BR3411+BT3411+BV3411+BX3411+BZ3411+CB3411+CD3411+CF3411+CH3411+CJ3411+CL3411+CN3411+CP3411+CR3411+CT3411</f>
        <v>0</v>
      </c>
      <c r="CV3411" s="76"/>
      <c r="CW3411" s="76">
        <f>+CV3411*1100</f>
        <v>0</v>
      </c>
      <c r="CX3411" s="76"/>
      <c r="CY3411" s="76">
        <f>+CX3411*106250</f>
        <v>0</v>
      </c>
      <c r="CZ3411" s="76"/>
      <c r="DA3411" s="76">
        <f>+CZ3411*34500</f>
        <v>0</v>
      </c>
      <c r="DB3411" s="76"/>
      <c r="DC3411" s="76">
        <f>+DB3411*25000</f>
        <v>0</v>
      </c>
      <c r="DD3411" s="219"/>
      <c r="DE3411" s="219"/>
      <c r="DF3411" s="166"/>
      <c r="DG3411" s="116"/>
      <c r="DH3411" s="117"/>
      <c r="DI3411" s="24"/>
      <c r="DJ3411" s="24"/>
      <c r="DK3411" s="24"/>
      <c r="DL3411" s="24"/>
      <c r="DM3411" s="24"/>
      <c r="DN3411" s="24"/>
      <c r="DO3411" s="24"/>
      <c r="DP3411" s="24"/>
      <c r="DQ3411" s="24"/>
      <c r="DR3411" s="24"/>
      <c r="DS3411" s="24"/>
      <c r="DT3411" s="24"/>
      <c r="DU3411" s="24"/>
    </row>
    <row r="3412" spans="1:125" s="8" customFormat="1" ht="96" x14ac:dyDescent="0.2">
      <c r="A3412" s="353">
        <v>41565</v>
      </c>
      <c r="B3412" s="352" t="s">
        <v>2718</v>
      </c>
      <c r="C3412" s="354" t="s">
        <v>2701</v>
      </c>
      <c r="D3412" s="354" t="s">
        <v>3051</v>
      </c>
      <c r="E3412" s="75" t="str">
        <f>VLOOKUP(B3412&amp;C3412,Divipola!$C$2:$F$1138,4,FALSE)</f>
        <v>23580</v>
      </c>
      <c r="F3412" s="87"/>
      <c r="G3412" s="87"/>
      <c r="H3412" s="87"/>
      <c r="I3412" s="87">
        <v>2250</v>
      </c>
      <c r="J3412" s="87">
        <v>450</v>
      </c>
      <c r="K3412" s="87"/>
      <c r="L3412" s="87">
        <v>450</v>
      </c>
      <c r="M3412" s="87"/>
      <c r="N3412" s="87"/>
      <c r="O3412" s="87"/>
      <c r="P3412" s="87"/>
      <c r="Q3412" s="87"/>
      <c r="R3412" s="87"/>
      <c r="S3412" s="87"/>
      <c r="T3412" s="87"/>
      <c r="U3412" s="88"/>
      <c r="V3412" s="89"/>
      <c r="W3412" s="96">
        <v>0</v>
      </c>
      <c r="X3412" s="71">
        <f>CU3412</f>
        <v>0</v>
      </c>
      <c r="Y3412" s="71">
        <f>CY3412</f>
        <v>0</v>
      </c>
      <c r="Z3412" s="71">
        <f>DA3412+DC3412+DE3412</f>
        <v>0</v>
      </c>
      <c r="AA3412" s="71">
        <f>CW3412</f>
        <v>0</v>
      </c>
      <c r="AB3412" s="71"/>
      <c r="AC3412" s="71">
        <v>0</v>
      </c>
      <c r="AD3412" s="71">
        <f>W3412+X3412+Y3412+Z3412+AA3412+AB3412+AC3412</f>
        <v>0</v>
      </c>
      <c r="AE3412" s="72">
        <v>0</v>
      </c>
      <c r="AF3412" s="5"/>
      <c r="AG3412" s="6"/>
      <c r="AH3412" s="27"/>
      <c r="AI3412" s="44"/>
      <c r="AJ3412" s="26"/>
      <c r="AK3412" s="5"/>
      <c r="AL3412" s="82" t="s">
        <v>6388</v>
      </c>
      <c r="AM3412" s="76"/>
      <c r="AN3412" s="76"/>
      <c r="AO3412" s="76"/>
      <c r="AP3412" s="76"/>
      <c r="AQ3412" s="76"/>
      <c r="AR3412" s="76"/>
      <c r="AS3412" s="76"/>
      <c r="AT3412" s="76"/>
      <c r="AU3412" s="76"/>
      <c r="AV3412" s="76"/>
      <c r="AW3412" s="76"/>
      <c r="AX3412" s="76">
        <f>+AW3412*600000</f>
        <v>0</v>
      </c>
      <c r="AY3412" s="76"/>
      <c r="AZ3412" s="76">
        <f>+AY3412*70000</f>
        <v>0</v>
      </c>
      <c r="BA3412" s="76"/>
      <c r="BB3412" s="76"/>
      <c r="BC3412" s="76"/>
      <c r="BD3412" s="76">
        <f>+BC3412*30000</f>
        <v>0</v>
      </c>
      <c r="BE3412" s="76"/>
      <c r="BF3412" s="76"/>
      <c r="BG3412" s="76"/>
      <c r="BH3412" s="76"/>
      <c r="BI3412" s="76"/>
      <c r="BJ3412" s="76"/>
      <c r="BK3412" s="76"/>
      <c r="BL3412" s="76">
        <f>+BK3412*31500</f>
        <v>0</v>
      </c>
      <c r="BM3412" s="76"/>
      <c r="BN3412" s="76"/>
      <c r="BO3412" s="76"/>
      <c r="BP3412" s="76"/>
      <c r="BQ3412" s="76"/>
      <c r="BR3412" s="76"/>
      <c r="BS3412" s="76"/>
      <c r="BT3412" s="76"/>
      <c r="BU3412" s="76"/>
      <c r="BV3412" s="76"/>
      <c r="BW3412" s="76"/>
      <c r="BX3412" s="76"/>
      <c r="BY3412" s="76"/>
      <c r="BZ3412" s="76"/>
      <c r="CA3412" s="76"/>
      <c r="CB3412" s="76"/>
      <c r="CC3412" s="76"/>
      <c r="CD3412" s="76"/>
      <c r="CE3412" s="76"/>
      <c r="CF3412" s="76">
        <f>+CE3412*28000</f>
        <v>0</v>
      </c>
      <c r="CG3412" s="76"/>
      <c r="CH3412" s="76">
        <f>+CG3412*22500</f>
        <v>0</v>
      </c>
      <c r="CI3412" s="76"/>
      <c r="CJ3412" s="76">
        <f>+CI3412*26000</f>
        <v>0</v>
      </c>
      <c r="CK3412" s="76"/>
      <c r="CL3412" s="76"/>
      <c r="CM3412" s="76"/>
      <c r="CN3412" s="76">
        <f>+CM3412*22000</f>
        <v>0</v>
      </c>
      <c r="CO3412" s="76"/>
      <c r="CP3412" s="76">
        <f>+CO3412*46000</f>
        <v>0</v>
      </c>
      <c r="CQ3412" s="76"/>
      <c r="CR3412" s="76">
        <f>+CQ3412*49000</f>
        <v>0</v>
      </c>
      <c r="CS3412" s="76"/>
      <c r="CT3412" s="76"/>
      <c r="CU3412" s="56">
        <f>AN3412+AP3412+AR3412+AT3412+AV3412+AX3412+AZ3412+BB3412+BD3412+BF3412+BH3412+BJ3412+BL3412+BN3412+BP3412+BR3412+BT3412+BV3412+BX3412+BZ3412+CB3412+CD3412+CF3412+CH3412+CJ3412+CL3412+CN3412+CP3412+CR3412+CT3412</f>
        <v>0</v>
      </c>
      <c r="CV3412" s="76"/>
      <c r="CW3412" s="76">
        <f>+CV3412*1100</f>
        <v>0</v>
      </c>
      <c r="CX3412" s="76"/>
      <c r="CY3412" s="76">
        <f>+CX3412*106250</f>
        <v>0</v>
      </c>
      <c r="CZ3412" s="76"/>
      <c r="DA3412" s="76">
        <f>+CZ3412*34500</f>
        <v>0</v>
      </c>
      <c r="DB3412" s="76"/>
      <c r="DC3412" s="76">
        <f>+DB3412*25000</f>
        <v>0</v>
      </c>
      <c r="DD3412" s="219"/>
      <c r="DE3412" s="219"/>
      <c r="DF3412" s="166"/>
      <c r="DG3412" s="116"/>
      <c r="DH3412" s="117"/>
      <c r="DI3412" s="24"/>
      <c r="DJ3412" s="24"/>
      <c r="DK3412" s="24"/>
      <c r="DL3412" s="24"/>
      <c r="DM3412" s="24"/>
      <c r="DN3412" s="24"/>
      <c r="DO3412" s="24"/>
      <c r="DP3412" s="24"/>
      <c r="DQ3412" s="24"/>
      <c r="DR3412" s="24"/>
      <c r="DS3412" s="24"/>
      <c r="DT3412" s="24"/>
      <c r="DU3412" s="24"/>
    </row>
    <row r="3413" spans="1:125" s="8" customFormat="1" ht="60" x14ac:dyDescent="0.2">
      <c r="A3413" s="77">
        <v>41565</v>
      </c>
      <c r="B3413" s="78" t="s">
        <v>2851</v>
      </c>
      <c r="C3413" s="75" t="s">
        <v>2218</v>
      </c>
      <c r="D3413" s="75" t="s">
        <v>2882</v>
      </c>
      <c r="E3413" s="75" t="str">
        <f>VLOOKUP(B3413&amp;C3413,Divipola!$C$2:$F$1138,4,FALSE)</f>
        <v>76246</v>
      </c>
      <c r="F3413" s="61"/>
      <c r="G3413" s="61"/>
      <c r="H3413" s="61"/>
      <c r="I3413" s="61">
        <v>15</v>
      </c>
      <c r="J3413" s="61">
        <v>3</v>
      </c>
      <c r="K3413" s="61"/>
      <c r="L3413" s="61">
        <v>3</v>
      </c>
      <c r="M3413" s="61"/>
      <c r="N3413" s="61"/>
      <c r="O3413" s="61"/>
      <c r="P3413" s="61"/>
      <c r="Q3413" s="61"/>
      <c r="R3413" s="61"/>
      <c r="S3413" s="61"/>
      <c r="T3413" s="61"/>
      <c r="U3413" s="61">
        <v>352.7</v>
      </c>
      <c r="V3413" s="7"/>
      <c r="W3413" s="96">
        <v>0</v>
      </c>
      <c r="X3413" s="71">
        <f>CU3413</f>
        <v>0</v>
      </c>
      <c r="Y3413" s="71">
        <f>CY3413</f>
        <v>0</v>
      </c>
      <c r="Z3413" s="71">
        <f>DA3413+DC3413+DE3413</f>
        <v>0</v>
      </c>
      <c r="AA3413" s="71">
        <f>CW3413</f>
        <v>0</v>
      </c>
      <c r="AB3413" s="71"/>
      <c r="AC3413" s="71">
        <v>0</v>
      </c>
      <c r="AD3413" s="71">
        <f>W3413+X3413+Y3413+Z3413+AA3413+AB3413+AC3413</f>
        <v>0</v>
      </c>
      <c r="AE3413" s="72">
        <v>0</v>
      </c>
      <c r="AF3413" s="5"/>
      <c r="AG3413" s="6"/>
      <c r="AH3413" s="27"/>
      <c r="AI3413" s="44"/>
      <c r="AJ3413" s="26"/>
      <c r="AK3413" s="5"/>
      <c r="AL3413" s="9" t="s">
        <v>6728</v>
      </c>
      <c r="AM3413" s="76"/>
      <c r="AN3413" s="76"/>
      <c r="AO3413" s="76"/>
      <c r="AP3413" s="76"/>
      <c r="AQ3413" s="76"/>
      <c r="AR3413" s="76"/>
      <c r="AS3413" s="76"/>
      <c r="AT3413" s="76"/>
      <c r="AU3413" s="76"/>
      <c r="AV3413" s="76"/>
      <c r="AW3413" s="76"/>
      <c r="AX3413" s="76">
        <f>+AW3413*600000</f>
        <v>0</v>
      </c>
      <c r="AY3413" s="76"/>
      <c r="AZ3413" s="76">
        <f>+AY3413*70000</f>
        <v>0</v>
      </c>
      <c r="BA3413" s="76"/>
      <c r="BB3413" s="76"/>
      <c r="BC3413" s="76"/>
      <c r="BD3413" s="76">
        <f>+BC3413*30000</f>
        <v>0</v>
      </c>
      <c r="BE3413" s="76"/>
      <c r="BF3413" s="76"/>
      <c r="BG3413" s="76"/>
      <c r="BH3413" s="76"/>
      <c r="BI3413" s="76"/>
      <c r="BJ3413" s="76"/>
      <c r="BK3413" s="76"/>
      <c r="BL3413" s="76">
        <f>+BK3413*31500</f>
        <v>0</v>
      </c>
      <c r="BM3413" s="76"/>
      <c r="BN3413" s="76"/>
      <c r="BO3413" s="76"/>
      <c r="BP3413" s="76"/>
      <c r="BQ3413" s="76"/>
      <c r="BR3413" s="76"/>
      <c r="BS3413" s="76"/>
      <c r="BT3413" s="76"/>
      <c r="BU3413" s="76"/>
      <c r="BV3413" s="76"/>
      <c r="BW3413" s="76"/>
      <c r="BX3413" s="76"/>
      <c r="BY3413" s="76"/>
      <c r="BZ3413" s="76"/>
      <c r="CA3413" s="76"/>
      <c r="CB3413" s="76"/>
      <c r="CC3413" s="76"/>
      <c r="CD3413" s="76"/>
      <c r="CE3413" s="76"/>
      <c r="CF3413" s="76">
        <f>+CE3413*28000</f>
        <v>0</v>
      </c>
      <c r="CG3413" s="76"/>
      <c r="CH3413" s="76">
        <f>+CG3413*22500</f>
        <v>0</v>
      </c>
      <c r="CI3413" s="76"/>
      <c r="CJ3413" s="76">
        <f>+CI3413*26000</f>
        <v>0</v>
      </c>
      <c r="CK3413" s="76"/>
      <c r="CL3413" s="76"/>
      <c r="CM3413" s="76"/>
      <c r="CN3413" s="76">
        <f>+CM3413*22000</f>
        <v>0</v>
      </c>
      <c r="CO3413" s="76"/>
      <c r="CP3413" s="76">
        <f>+CO3413*46000</f>
        <v>0</v>
      </c>
      <c r="CQ3413" s="76"/>
      <c r="CR3413" s="76">
        <f>+CQ3413*49000</f>
        <v>0</v>
      </c>
      <c r="CS3413" s="76"/>
      <c r="CT3413" s="76"/>
      <c r="CU3413" s="56">
        <f>AN3413+AP3413+AR3413+AT3413+AV3413+AX3413+AZ3413+BB3413+BD3413+BF3413+BH3413+BJ3413+BL3413+BN3413+BP3413+BR3413+BT3413+BV3413+BX3413+BZ3413+CB3413+CD3413+CF3413+CH3413+CJ3413+CL3413+CN3413+CP3413+CR3413+CT3413</f>
        <v>0</v>
      </c>
      <c r="CV3413" s="76"/>
      <c r="CW3413" s="76">
        <f>+CV3413*1100</f>
        <v>0</v>
      </c>
      <c r="CX3413" s="76"/>
      <c r="CY3413" s="76">
        <f>+CX3413*106250</f>
        <v>0</v>
      </c>
      <c r="CZ3413" s="76"/>
      <c r="DA3413" s="76">
        <f>+CZ3413*34500</f>
        <v>0</v>
      </c>
      <c r="DB3413" s="76"/>
      <c r="DC3413" s="76">
        <f>+DB3413*25000</f>
        <v>0</v>
      </c>
      <c r="DD3413" s="219"/>
      <c r="DE3413" s="219"/>
      <c r="DF3413" s="166"/>
      <c r="DG3413" s="116"/>
      <c r="DH3413" s="117"/>
      <c r="DI3413" s="24"/>
      <c r="DJ3413" s="24"/>
      <c r="DK3413" s="24"/>
      <c r="DL3413" s="24"/>
      <c r="DM3413" s="24"/>
      <c r="DN3413" s="24"/>
      <c r="DO3413" s="24"/>
      <c r="DP3413" s="24"/>
      <c r="DQ3413" s="24"/>
      <c r="DR3413" s="24"/>
      <c r="DS3413" s="24"/>
      <c r="DT3413" s="24"/>
      <c r="DU3413" s="24"/>
    </row>
    <row r="3414" spans="1:125" s="8" customFormat="1" ht="96" x14ac:dyDescent="0.2">
      <c r="A3414" s="5">
        <v>41566</v>
      </c>
      <c r="B3414" s="84" t="s">
        <v>2847</v>
      </c>
      <c r="C3414" s="84" t="s">
        <v>2137</v>
      </c>
      <c r="D3414" s="75" t="s">
        <v>3017</v>
      </c>
      <c r="E3414" s="75" t="str">
        <f>VLOOKUP(B3414&amp;C3414,Divipola!$C$2:$F$1138,4,FALSE)</f>
        <v>68745</v>
      </c>
      <c r="F3414" s="89"/>
      <c r="G3414" s="89"/>
      <c r="H3414" s="89"/>
      <c r="I3414" s="89"/>
      <c r="J3414" s="89"/>
      <c r="K3414" s="89"/>
      <c r="L3414" s="89"/>
      <c r="M3414" s="89"/>
      <c r="N3414" s="89"/>
      <c r="O3414" s="89"/>
      <c r="P3414" s="89"/>
      <c r="Q3414" s="89"/>
      <c r="R3414" s="89"/>
      <c r="S3414" s="89">
        <v>1</v>
      </c>
      <c r="T3414" s="89"/>
      <c r="U3414" s="89"/>
      <c r="V3414" s="89"/>
      <c r="W3414" s="96">
        <v>0</v>
      </c>
      <c r="X3414" s="71">
        <f>CU3414</f>
        <v>0</v>
      </c>
      <c r="Y3414" s="71">
        <f>CY3414</f>
        <v>0</v>
      </c>
      <c r="Z3414" s="71">
        <f>DA3414+DC3414+DE3414</f>
        <v>0</v>
      </c>
      <c r="AA3414" s="71">
        <f>CW3414</f>
        <v>0</v>
      </c>
      <c r="AB3414" s="71"/>
      <c r="AC3414" s="71">
        <v>0</v>
      </c>
      <c r="AD3414" s="71">
        <f>W3414+X3414+Y3414+Z3414+AA3414+AB3414+AC3414</f>
        <v>0</v>
      </c>
      <c r="AE3414" s="72">
        <v>0</v>
      </c>
      <c r="AF3414" s="5"/>
      <c r="AG3414" s="6"/>
      <c r="AH3414" s="27"/>
      <c r="AI3414" s="44"/>
      <c r="AJ3414" s="26"/>
      <c r="AK3414" s="5"/>
      <c r="AL3414" s="326" t="s">
        <v>6365</v>
      </c>
      <c r="AM3414" s="76"/>
      <c r="AN3414" s="76"/>
      <c r="AO3414" s="76"/>
      <c r="AP3414" s="76"/>
      <c r="AQ3414" s="76"/>
      <c r="AR3414" s="76"/>
      <c r="AS3414" s="76"/>
      <c r="AT3414" s="76"/>
      <c r="AU3414" s="76"/>
      <c r="AV3414" s="76"/>
      <c r="AW3414" s="76"/>
      <c r="AX3414" s="76">
        <f>+AW3414*600000</f>
        <v>0</v>
      </c>
      <c r="AY3414" s="76"/>
      <c r="AZ3414" s="76">
        <f>+AY3414*70000</f>
        <v>0</v>
      </c>
      <c r="BA3414" s="76"/>
      <c r="BB3414" s="76"/>
      <c r="BC3414" s="76"/>
      <c r="BD3414" s="76">
        <f>+BC3414*30000</f>
        <v>0</v>
      </c>
      <c r="BE3414" s="76"/>
      <c r="BF3414" s="76"/>
      <c r="BG3414" s="76"/>
      <c r="BH3414" s="76"/>
      <c r="BI3414" s="76"/>
      <c r="BJ3414" s="76"/>
      <c r="BK3414" s="76"/>
      <c r="BL3414" s="76">
        <f>+BK3414*31500</f>
        <v>0</v>
      </c>
      <c r="BM3414" s="76"/>
      <c r="BN3414" s="76"/>
      <c r="BO3414" s="76"/>
      <c r="BP3414" s="76"/>
      <c r="BQ3414" s="76"/>
      <c r="BR3414" s="76"/>
      <c r="BS3414" s="76"/>
      <c r="BT3414" s="76"/>
      <c r="BU3414" s="76"/>
      <c r="BV3414" s="76"/>
      <c r="BW3414" s="76"/>
      <c r="BX3414" s="76"/>
      <c r="BY3414" s="76"/>
      <c r="BZ3414" s="76"/>
      <c r="CA3414" s="76"/>
      <c r="CB3414" s="76"/>
      <c r="CC3414" s="76"/>
      <c r="CD3414" s="76"/>
      <c r="CE3414" s="76"/>
      <c r="CF3414" s="76">
        <f>+CE3414*28000</f>
        <v>0</v>
      </c>
      <c r="CG3414" s="76"/>
      <c r="CH3414" s="76">
        <f>+CG3414*22500</f>
        <v>0</v>
      </c>
      <c r="CI3414" s="76"/>
      <c r="CJ3414" s="76">
        <f>+CI3414*26000</f>
        <v>0</v>
      </c>
      <c r="CK3414" s="76"/>
      <c r="CL3414" s="76"/>
      <c r="CM3414" s="76"/>
      <c r="CN3414" s="76">
        <f>+CM3414*22000</f>
        <v>0</v>
      </c>
      <c r="CO3414" s="76"/>
      <c r="CP3414" s="76">
        <f>+CO3414*46000</f>
        <v>0</v>
      </c>
      <c r="CQ3414" s="76"/>
      <c r="CR3414" s="76">
        <f>+CQ3414*49000</f>
        <v>0</v>
      </c>
      <c r="CS3414" s="76"/>
      <c r="CT3414" s="76"/>
      <c r="CU3414" s="56">
        <f>AN3414+AP3414+AR3414+AT3414+AV3414+AX3414+AZ3414+BB3414+BD3414+BF3414+BH3414+BJ3414+BL3414+BN3414+BP3414+BR3414+BT3414+BV3414+BX3414+BZ3414+CB3414+CD3414+CF3414+CH3414+CJ3414+CL3414+CN3414+CP3414+CR3414+CT3414</f>
        <v>0</v>
      </c>
      <c r="CV3414" s="76"/>
      <c r="CW3414" s="76">
        <f>+CV3414*1100</f>
        <v>0</v>
      </c>
      <c r="CX3414" s="76"/>
      <c r="CY3414" s="76">
        <f>+CX3414*106250</f>
        <v>0</v>
      </c>
      <c r="CZ3414" s="76"/>
      <c r="DA3414" s="76">
        <f>+CZ3414*34500</f>
        <v>0</v>
      </c>
      <c r="DB3414" s="76"/>
      <c r="DC3414" s="76">
        <f>+DB3414*25000</f>
        <v>0</v>
      </c>
      <c r="DD3414" s="219"/>
      <c r="DE3414" s="219"/>
      <c r="DF3414" s="166"/>
      <c r="DG3414" s="116"/>
      <c r="DH3414" s="117"/>
      <c r="DI3414" s="24"/>
      <c r="DJ3414" s="24"/>
      <c r="DK3414" s="24"/>
      <c r="DL3414" s="24"/>
      <c r="DM3414" s="24"/>
      <c r="DN3414" s="24"/>
      <c r="DO3414" s="24"/>
      <c r="DP3414" s="24"/>
      <c r="DQ3414" s="24"/>
      <c r="DR3414" s="24"/>
      <c r="DS3414" s="24"/>
      <c r="DT3414" s="24"/>
      <c r="DU3414" s="24"/>
    </row>
    <row r="3415" spans="1:125" s="8" customFormat="1" ht="132" x14ac:dyDescent="0.2">
      <c r="A3415" s="77">
        <v>41566</v>
      </c>
      <c r="B3415" s="75" t="s">
        <v>2847</v>
      </c>
      <c r="C3415" s="75" t="s">
        <v>2137</v>
      </c>
      <c r="D3415" s="75" t="s">
        <v>3088</v>
      </c>
      <c r="E3415" s="75" t="str">
        <f>VLOOKUP(B3415&amp;C3415,Divipola!$C$2:$F$1138,4,FALSE)</f>
        <v>68745</v>
      </c>
      <c r="F3415" s="87"/>
      <c r="G3415" s="87"/>
      <c r="H3415" s="87"/>
      <c r="I3415" s="87"/>
      <c r="J3415" s="87"/>
      <c r="K3415" s="87"/>
      <c r="L3415" s="87"/>
      <c r="M3415" s="87">
        <v>1</v>
      </c>
      <c r="N3415" s="87"/>
      <c r="O3415" s="87"/>
      <c r="P3415" s="87"/>
      <c r="Q3415" s="87"/>
      <c r="R3415" s="87"/>
      <c r="S3415" s="87"/>
      <c r="T3415" s="87"/>
      <c r="U3415" s="87"/>
      <c r="V3415" s="87"/>
      <c r="W3415" s="96">
        <v>0</v>
      </c>
      <c r="X3415" s="71">
        <f>CU3415</f>
        <v>0</v>
      </c>
      <c r="Y3415" s="71">
        <f>CY3415</f>
        <v>0</v>
      </c>
      <c r="Z3415" s="71">
        <f>DA3415+DC3415+DE3415</f>
        <v>0</v>
      </c>
      <c r="AA3415" s="71">
        <f>CW3415</f>
        <v>0</v>
      </c>
      <c r="AB3415" s="71"/>
      <c r="AC3415" s="71">
        <v>0</v>
      </c>
      <c r="AD3415" s="71">
        <f>W3415+X3415+Y3415+Z3415+AA3415+AB3415+AC3415</f>
        <v>0</v>
      </c>
      <c r="AE3415" s="72">
        <v>0</v>
      </c>
      <c r="AF3415" s="5"/>
      <c r="AG3415" s="6"/>
      <c r="AH3415" s="27"/>
      <c r="AI3415" s="44"/>
      <c r="AJ3415" s="26"/>
      <c r="AK3415" s="5"/>
      <c r="AL3415" s="330" t="s">
        <v>6366</v>
      </c>
      <c r="AM3415" s="76"/>
      <c r="AN3415" s="76"/>
      <c r="AO3415" s="76"/>
      <c r="AP3415" s="76"/>
      <c r="AQ3415" s="76"/>
      <c r="AR3415" s="76"/>
      <c r="AS3415" s="76"/>
      <c r="AT3415" s="76"/>
      <c r="AU3415" s="76"/>
      <c r="AV3415" s="76"/>
      <c r="AW3415" s="76"/>
      <c r="AX3415" s="76">
        <f>+AW3415*600000</f>
        <v>0</v>
      </c>
      <c r="AY3415" s="76"/>
      <c r="AZ3415" s="76">
        <f>+AY3415*70000</f>
        <v>0</v>
      </c>
      <c r="BA3415" s="76"/>
      <c r="BB3415" s="76"/>
      <c r="BC3415" s="76"/>
      <c r="BD3415" s="76">
        <f>+BC3415*30000</f>
        <v>0</v>
      </c>
      <c r="BE3415" s="76"/>
      <c r="BF3415" s="76"/>
      <c r="BG3415" s="76"/>
      <c r="BH3415" s="76"/>
      <c r="BI3415" s="76"/>
      <c r="BJ3415" s="76"/>
      <c r="BK3415" s="76"/>
      <c r="BL3415" s="76">
        <f>+BK3415*31500</f>
        <v>0</v>
      </c>
      <c r="BM3415" s="76"/>
      <c r="BN3415" s="76"/>
      <c r="BO3415" s="76"/>
      <c r="BP3415" s="76"/>
      <c r="BQ3415" s="76"/>
      <c r="BR3415" s="76"/>
      <c r="BS3415" s="76"/>
      <c r="BT3415" s="76"/>
      <c r="BU3415" s="76"/>
      <c r="BV3415" s="76"/>
      <c r="BW3415" s="76"/>
      <c r="BX3415" s="76"/>
      <c r="BY3415" s="76"/>
      <c r="BZ3415" s="76"/>
      <c r="CA3415" s="76"/>
      <c r="CB3415" s="76"/>
      <c r="CC3415" s="76"/>
      <c r="CD3415" s="76"/>
      <c r="CE3415" s="76"/>
      <c r="CF3415" s="76">
        <f>+CE3415*28000</f>
        <v>0</v>
      </c>
      <c r="CG3415" s="76"/>
      <c r="CH3415" s="76">
        <f>+CG3415*22500</f>
        <v>0</v>
      </c>
      <c r="CI3415" s="76"/>
      <c r="CJ3415" s="76">
        <f>+CI3415*26000</f>
        <v>0</v>
      </c>
      <c r="CK3415" s="76"/>
      <c r="CL3415" s="76"/>
      <c r="CM3415" s="76"/>
      <c r="CN3415" s="76">
        <f>+CM3415*22000</f>
        <v>0</v>
      </c>
      <c r="CO3415" s="76"/>
      <c r="CP3415" s="76">
        <f>+CO3415*46000</f>
        <v>0</v>
      </c>
      <c r="CQ3415" s="76"/>
      <c r="CR3415" s="76">
        <f>+CQ3415*49000</f>
        <v>0</v>
      </c>
      <c r="CS3415" s="76"/>
      <c r="CT3415" s="76"/>
      <c r="CU3415" s="56">
        <f>AN3415+AP3415+AR3415+AT3415+AV3415+AX3415+AZ3415+BB3415+BD3415+BF3415+BH3415+BJ3415+BL3415+BN3415+BP3415+BR3415+BT3415+BV3415+BX3415+BZ3415+CB3415+CD3415+CF3415+CH3415+CJ3415+CL3415+CN3415+CP3415+CR3415+CT3415</f>
        <v>0</v>
      </c>
      <c r="CV3415" s="76"/>
      <c r="CW3415" s="76">
        <f>+CV3415*1100</f>
        <v>0</v>
      </c>
      <c r="CX3415" s="76"/>
      <c r="CY3415" s="76">
        <f>+CX3415*106250</f>
        <v>0</v>
      </c>
      <c r="CZ3415" s="76"/>
      <c r="DA3415" s="76">
        <f>+CZ3415*34500</f>
        <v>0</v>
      </c>
      <c r="DB3415" s="76"/>
      <c r="DC3415" s="76">
        <f>+DB3415*25000</f>
        <v>0</v>
      </c>
      <c r="DD3415" s="219"/>
      <c r="DE3415" s="219"/>
      <c r="DF3415" s="166"/>
      <c r="DG3415" s="116"/>
      <c r="DH3415" s="117"/>
      <c r="DI3415" s="24"/>
      <c r="DJ3415" s="24"/>
      <c r="DK3415" s="24"/>
      <c r="DL3415" s="24"/>
      <c r="DM3415" s="24"/>
      <c r="DN3415" s="24"/>
      <c r="DO3415" s="24"/>
      <c r="DP3415" s="24"/>
      <c r="DQ3415" s="24"/>
      <c r="DR3415" s="24"/>
      <c r="DS3415" s="24"/>
      <c r="DT3415" s="24"/>
      <c r="DU3415" s="24"/>
    </row>
    <row r="3416" spans="1:125" s="8" customFormat="1" ht="72" x14ac:dyDescent="0.2">
      <c r="A3416" s="77">
        <v>41566</v>
      </c>
      <c r="B3416" s="78" t="s">
        <v>529</v>
      </c>
      <c r="C3416" s="78" t="s">
        <v>529</v>
      </c>
      <c r="D3416" s="75" t="s">
        <v>4391</v>
      </c>
      <c r="E3416" s="75" t="str">
        <f>VLOOKUP(B3416&amp;C3416,Divipola!$C$2:$F$1138,4,FALSE)</f>
        <v>11001</v>
      </c>
      <c r="F3416" s="87">
        <v>1</v>
      </c>
      <c r="G3416" s="87"/>
      <c r="H3416" s="87"/>
      <c r="I3416" s="87"/>
      <c r="J3416" s="87"/>
      <c r="K3416" s="87"/>
      <c r="L3416" s="87"/>
      <c r="M3416" s="87"/>
      <c r="N3416" s="87"/>
      <c r="O3416" s="87"/>
      <c r="P3416" s="87"/>
      <c r="Q3416" s="87"/>
      <c r="R3416" s="87"/>
      <c r="S3416" s="87"/>
      <c r="T3416" s="87"/>
      <c r="U3416" s="87"/>
      <c r="V3416" s="89"/>
      <c r="W3416" s="96">
        <v>0</v>
      </c>
      <c r="X3416" s="71">
        <f>CU3416</f>
        <v>0</v>
      </c>
      <c r="Y3416" s="71">
        <f>CY3416</f>
        <v>0</v>
      </c>
      <c r="Z3416" s="71">
        <f>DA3416+DC3416+DE3416</f>
        <v>0</v>
      </c>
      <c r="AA3416" s="71">
        <f>CW3416</f>
        <v>0</v>
      </c>
      <c r="AB3416" s="71"/>
      <c r="AC3416" s="71">
        <v>0</v>
      </c>
      <c r="AD3416" s="71">
        <f>W3416+X3416+Y3416+Z3416+AA3416+AB3416+AC3416</f>
        <v>0</v>
      </c>
      <c r="AE3416" s="72">
        <v>0</v>
      </c>
      <c r="AF3416" s="5"/>
      <c r="AG3416" s="6"/>
      <c r="AH3416" s="27"/>
      <c r="AI3416" s="44"/>
      <c r="AJ3416" s="26"/>
      <c r="AK3416" s="5"/>
      <c r="AL3416" s="328" t="s">
        <v>6368</v>
      </c>
      <c r="AM3416" s="76"/>
      <c r="AN3416" s="76"/>
      <c r="AO3416" s="76"/>
      <c r="AP3416" s="76"/>
      <c r="AQ3416" s="76"/>
      <c r="AR3416" s="76"/>
      <c r="AS3416" s="76"/>
      <c r="AT3416" s="76"/>
      <c r="AU3416" s="76"/>
      <c r="AV3416" s="76"/>
      <c r="AW3416" s="76"/>
      <c r="AX3416" s="76">
        <f>+AW3416*600000</f>
        <v>0</v>
      </c>
      <c r="AY3416" s="76"/>
      <c r="AZ3416" s="76">
        <f>+AY3416*70000</f>
        <v>0</v>
      </c>
      <c r="BA3416" s="76"/>
      <c r="BB3416" s="76"/>
      <c r="BC3416" s="76"/>
      <c r="BD3416" s="76">
        <f>+BC3416*30000</f>
        <v>0</v>
      </c>
      <c r="BE3416" s="76"/>
      <c r="BF3416" s="76"/>
      <c r="BG3416" s="76"/>
      <c r="BH3416" s="76"/>
      <c r="BI3416" s="76"/>
      <c r="BJ3416" s="76"/>
      <c r="BK3416" s="76"/>
      <c r="BL3416" s="76">
        <f>+BK3416*31500</f>
        <v>0</v>
      </c>
      <c r="BM3416" s="76"/>
      <c r="BN3416" s="76"/>
      <c r="BO3416" s="76"/>
      <c r="BP3416" s="76"/>
      <c r="BQ3416" s="76"/>
      <c r="BR3416" s="76"/>
      <c r="BS3416" s="76"/>
      <c r="BT3416" s="76"/>
      <c r="BU3416" s="76"/>
      <c r="BV3416" s="76"/>
      <c r="BW3416" s="76"/>
      <c r="BX3416" s="76"/>
      <c r="BY3416" s="76"/>
      <c r="BZ3416" s="76"/>
      <c r="CA3416" s="76"/>
      <c r="CB3416" s="76"/>
      <c r="CC3416" s="76"/>
      <c r="CD3416" s="76"/>
      <c r="CE3416" s="76"/>
      <c r="CF3416" s="76">
        <f>+CE3416*28000</f>
        <v>0</v>
      </c>
      <c r="CG3416" s="76"/>
      <c r="CH3416" s="76">
        <f>+CG3416*22500</f>
        <v>0</v>
      </c>
      <c r="CI3416" s="76"/>
      <c r="CJ3416" s="76">
        <f>+CI3416*26000</f>
        <v>0</v>
      </c>
      <c r="CK3416" s="76"/>
      <c r="CL3416" s="76"/>
      <c r="CM3416" s="76"/>
      <c r="CN3416" s="76">
        <f>+CM3416*22000</f>
        <v>0</v>
      </c>
      <c r="CO3416" s="76"/>
      <c r="CP3416" s="76">
        <f>+CO3416*46000</f>
        <v>0</v>
      </c>
      <c r="CQ3416" s="76"/>
      <c r="CR3416" s="76">
        <f>+CQ3416*49000</f>
        <v>0</v>
      </c>
      <c r="CS3416" s="76"/>
      <c r="CT3416" s="76"/>
      <c r="CU3416" s="56">
        <f>AN3416+AP3416+AR3416+AT3416+AV3416+AX3416+AZ3416+BB3416+BD3416+BF3416+BH3416+BJ3416+BL3416+BN3416+BP3416+BR3416+BT3416+BV3416+BX3416+BZ3416+CB3416+CD3416+CF3416+CH3416+CJ3416+CL3416+CN3416+CP3416+CR3416+CT3416</f>
        <v>0</v>
      </c>
      <c r="CV3416" s="76"/>
      <c r="CW3416" s="76">
        <f>+CV3416*1100</f>
        <v>0</v>
      </c>
      <c r="CX3416" s="76"/>
      <c r="CY3416" s="76">
        <f>+CX3416*106250</f>
        <v>0</v>
      </c>
      <c r="CZ3416" s="76"/>
      <c r="DA3416" s="76">
        <f>+CZ3416*34500</f>
        <v>0</v>
      </c>
      <c r="DB3416" s="76"/>
      <c r="DC3416" s="76">
        <f>+DB3416*25000</f>
        <v>0</v>
      </c>
      <c r="DD3416" s="219"/>
      <c r="DE3416" s="219"/>
      <c r="DF3416" s="166"/>
      <c r="DG3416" s="116"/>
      <c r="DH3416" s="117"/>
      <c r="DI3416" s="24"/>
      <c r="DJ3416" s="24"/>
      <c r="DK3416" s="24"/>
      <c r="DL3416" s="24"/>
      <c r="DM3416" s="24"/>
      <c r="DN3416" s="24"/>
      <c r="DO3416" s="24"/>
      <c r="DP3416" s="24"/>
      <c r="DQ3416" s="24"/>
      <c r="DR3416" s="24"/>
      <c r="DS3416" s="24"/>
      <c r="DT3416" s="24"/>
      <c r="DU3416" s="24"/>
    </row>
    <row r="3417" spans="1:125" s="8" customFormat="1" ht="72" x14ac:dyDescent="0.2">
      <c r="A3417" s="353">
        <v>41566</v>
      </c>
      <c r="B3417" s="352" t="s">
        <v>2848</v>
      </c>
      <c r="C3417" s="354" t="s">
        <v>515</v>
      </c>
      <c r="D3417" s="354" t="s">
        <v>3051</v>
      </c>
      <c r="E3417" s="75" t="str">
        <f>VLOOKUP(B3417&amp;C3417,Divipola!$C$2:$F$1138,4,FALSE)</f>
        <v>73030</v>
      </c>
      <c r="F3417" s="87"/>
      <c r="G3417" s="87"/>
      <c r="H3417" s="87"/>
      <c r="I3417" s="87">
        <v>325</v>
      </c>
      <c r="J3417" s="87">
        <v>65</v>
      </c>
      <c r="K3417" s="87"/>
      <c r="L3417" s="87">
        <v>65</v>
      </c>
      <c r="M3417" s="87"/>
      <c r="N3417" s="87"/>
      <c r="O3417" s="87"/>
      <c r="P3417" s="87"/>
      <c r="Q3417" s="87"/>
      <c r="R3417" s="87"/>
      <c r="S3417" s="87"/>
      <c r="T3417" s="87"/>
      <c r="U3417" s="88"/>
      <c r="V3417" s="89"/>
      <c r="W3417" s="96">
        <v>0</v>
      </c>
      <c r="X3417" s="71">
        <f>CU3417</f>
        <v>0</v>
      </c>
      <c r="Y3417" s="71">
        <f>CY3417</f>
        <v>0</v>
      </c>
      <c r="Z3417" s="71">
        <f>DA3417+DC3417+DE3417</f>
        <v>0</v>
      </c>
      <c r="AA3417" s="71">
        <f>CW3417</f>
        <v>0</v>
      </c>
      <c r="AB3417" s="71"/>
      <c r="AC3417" s="71">
        <v>0</v>
      </c>
      <c r="AD3417" s="71">
        <f>W3417+X3417+Y3417+Z3417+AA3417+AB3417+AC3417</f>
        <v>0</v>
      </c>
      <c r="AE3417" s="72">
        <v>0</v>
      </c>
      <c r="AF3417" s="5"/>
      <c r="AG3417" s="6"/>
      <c r="AH3417" s="27"/>
      <c r="AI3417" s="44"/>
      <c r="AJ3417" s="26"/>
      <c r="AK3417" s="5"/>
      <c r="AL3417" s="327" t="s">
        <v>6369</v>
      </c>
      <c r="AM3417" s="76"/>
      <c r="AN3417" s="76"/>
      <c r="AO3417" s="76"/>
      <c r="AP3417" s="76"/>
      <c r="AQ3417" s="76"/>
      <c r="AR3417" s="76"/>
      <c r="AS3417" s="76"/>
      <c r="AT3417" s="76"/>
      <c r="AU3417" s="76"/>
      <c r="AV3417" s="76"/>
      <c r="AW3417" s="76"/>
      <c r="AX3417" s="76">
        <f>+AW3417*600000</f>
        <v>0</v>
      </c>
      <c r="AY3417" s="76"/>
      <c r="AZ3417" s="76">
        <f>+AY3417*70000</f>
        <v>0</v>
      </c>
      <c r="BA3417" s="76"/>
      <c r="BB3417" s="76"/>
      <c r="BC3417" s="76"/>
      <c r="BD3417" s="76">
        <f>+BC3417*30000</f>
        <v>0</v>
      </c>
      <c r="BE3417" s="76"/>
      <c r="BF3417" s="76"/>
      <c r="BG3417" s="76"/>
      <c r="BH3417" s="76"/>
      <c r="BI3417" s="76"/>
      <c r="BJ3417" s="76"/>
      <c r="BK3417" s="76"/>
      <c r="BL3417" s="76">
        <f>+BK3417*31500</f>
        <v>0</v>
      </c>
      <c r="BM3417" s="76"/>
      <c r="BN3417" s="76"/>
      <c r="BO3417" s="76"/>
      <c r="BP3417" s="76"/>
      <c r="BQ3417" s="76"/>
      <c r="BR3417" s="76"/>
      <c r="BS3417" s="76"/>
      <c r="BT3417" s="76"/>
      <c r="BU3417" s="76"/>
      <c r="BV3417" s="76"/>
      <c r="BW3417" s="76"/>
      <c r="BX3417" s="76"/>
      <c r="BY3417" s="76"/>
      <c r="BZ3417" s="76"/>
      <c r="CA3417" s="76"/>
      <c r="CB3417" s="76"/>
      <c r="CC3417" s="76"/>
      <c r="CD3417" s="76"/>
      <c r="CE3417" s="76"/>
      <c r="CF3417" s="76">
        <f>+CE3417*28000</f>
        <v>0</v>
      </c>
      <c r="CG3417" s="76"/>
      <c r="CH3417" s="76">
        <f>+CG3417*22500</f>
        <v>0</v>
      </c>
      <c r="CI3417" s="76"/>
      <c r="CJ3417" s="76">
        <f>+CI3417*26000</f>
        <v>0</v>
      </c>
      <c r="CK3417" s="76"/>
      <c r="CL3417" s="76"/>
      <c r="CM3417" s="76"/>
      <c r="CN3417" s="76">
        <f>+CM3417*22000</f>
        <v>0</v>
      </c>
      <c r="CO3417" s="76"/>
      <c r="CP3417" s="76">
        <f>+CO3417*46000</f>
        <v>0</v>
      </c>
      <c r="CQ3417" s="76"/>
      <c r="CR3417" s="76">
        <f>+CQ3417*49000</f>
        <v>0</v>
      </c>
      <c r="CS3417" s="76"/>
      <c r="CT3417" s="76"/>
      <c r="CU3417" s="56">
        <f>AN3417+AP3417+AR3417+AT3417+AV3417+AX3417+AZ3417+BB3417+BD3417+BF3417+BH3417+BJ3417+BL3417+BN3417+BP3417+BR3417+BT3417+BV3417+BX3417+BZ3417+CB3417+CD3417+CF3417+CH3417+CJ3417+CL3417+CN3417+CP3417+CR3417+CT3417</f>
        <v>0</v>
      </c>
      <c r="CV3417" s="76"/>
      <c r="CW3417" s="76">
        <f>+CV3417*1100</f>
        <v>0</v>
      </c>
      <c r="CX3417" s="76"/>
      <c r="CY3417" s="76">
        <f>+CX3417*106250</f>
        <v>0</v>
      </c>
      <c r="CZ3417" s="76"/>
      <c r="DA3417" s="76">
        <f>+CZ3417*34500</f>
        <v>0</v>
      </c>
      <c r="DB3417" s="76"/>
      <c r="DC3417" s="76">
        <f>+DB3417*25000</f>
        <v>0</v>
      </c>
      <c r="DD3417" s="219"/>
      <c r="DE3417" s="219"/>
      <c r="DF3417" s="166"/>
      <c r="DG3417" s="116"/>
      <c r="DH3417" s="117"/>
      <c r="DI3417" s="24"/>
      <c r="DJ3417" s="24"/>
      <c r="DK3417" s="24"/>
      <c r="DL3417" s="24"/>
      <c r="DM3417" s="24"/>
      <c r="DN3417" s="24"/>
      <c r="DO3417" s="24"/>
      <c r="DP3417" s="24"/>
      <c r="DQ3417" s="24"/>
      <c r="DR3417" s="24"/>
      <c r="DS3417" s="24"/>
      <c r="DT3417" s="24"/>
      <c r="DU3417" s="24"/>
    </row>
    <row r="3418" spans="1:125" s="8" customFormat="1" ht="60" x14ac:dyDescent="0.2">
      <c r="A3418" s="77">
        <v>41566</v>
      </c>
      <c r="B3418" s="352" t="s">
        <v>2774</v>
      </c>
      <c r="C3418" s="354" t="s">
        <v>1370</v>
      </c>
      <c r="D3418" s="354" t="s">
        <v>2882</v>
      </c>
      <c r="E3418" s="75" t="str">
        <f>VLOOKUP(B3418&amp;C3418,Divipola!$C$2:$F$1138,4,FALSE)</f>
        <v>66594</v>
      </c>
      <c r="F3418" s="87"/>
      <c r="G3418" s="87"/>
      <c r="H3418" s="87"/>
      <c r="I3418" s="87">
        <v>280</v>
      </c>
      <c r="J3418" s="87">
        <v>56</v>
      </c>
      <c r="K3418" s="87"/>
      <c r="L3418" s="87">
        <v>56</v>
      </c>
      <c r="M3418" s="87"/>
      <c r="N3418" s="87"/>
      <c r="O3418" s="87"/>
      <c r="P3418" s="87"/>
      <c r="Q3418" s="87"/>
      <c r="R3418" s="87"/>
      <c r="S3418" s="87"/>
      <c r="T3418" s="87"/>
      <c r="U3418" s="88"/>
      <c r="V3418" s="89"/>
      <c r="W3418" s="96">
        <v>0</v>
      </c>
      <c r="X3418" s="71">
        <f>CU3418</f>
        <v>0</v>
      </c>
      <c r="Y3418" s="71">
        <f>CY3418</f>
        <v>0</v>
      </c>
      <c r="Z3418" s="71">
        <f>DA3418+DC3418+DE3418</f>
        <v>0</v>
      </c>
      <c r="AA3418" s="71">
        <f>CW3418</f>
        <v>0</v>
      </c>
      <c r="AB3418" s="71"/>
      <c r="AC3418" s="71">
        <v>0</v>
      </c>
      <c r="AD3418" s="71">
        <f>W3418+X3418+Y3418+Z3418+AA3418+AB3418+AC3418</f>
        <v>0</v>
      </c>
      <c r="AE3418" s="72">
        <v>0</v>
      </c>
      <c r="AF3418" s="5"/>
      <c r="AG3418" s="6"/>
      <c r="AH3418" s="27"/>
      <c r="AI3418" s="44"/>
      <c r="AJ3418" s="26"/>
      <c r="AK3418" s="5"/>
      <c r="AL3418" s="82" t="s">
        <v>6378</v>
      </c>
      <c r="AM3418" s="76"/>
      <c r="AN3418" s="76"/>
      <c r="AO3418" s="76"/>
      <c r="AP3418" s="76"/>
      <c r="AQ3418" s="76"/>
      <c r="AR3418" s="76"/>
      <c r="AS3418" s="76"/>
      <c r="AT3418" s="76"/>
      <c r="AU3418" s="76"/>
      <c r="AV3418" s="76"/>
      <c r="AW3418" s="76"/>
      <c r="AX3418" s="76">
        <f>+AW3418*600000</f>
        <v>0</v>
      </c>
      <c r="AY3418" s="76"/>
      <c r="AZ3418" s="76">
        <f>+AY3418*70000</f>
        <v>0</v>
      </c>
      <c r="BA3418" s="76"/>
      <c r="BB3418" s="76"/>
      <c r="BC3418" s="76"/>
      <c r="BD3418" s="76">
        <f>+BC3418*30000</f>
        <v>0</v>
      </c>
      <c r="BE3418" s="76"/>
      <c r="BF3418" s="76"/>
      <c r="BG3418" s="76"/>
      <c r="BH3418" s="76"/>
      <c r="BI3418" s="76"/>
      <c r="BJ3418" s="76"/>
      <c r="BK3418" s="76"/>
      <c r="BL3418" s="76">
        <f>+BK3418*31500</f>
        <v>0</v>
      </c>
      <c r="BM3418" s="76"/>
      <c r="BN3418" s="76"/>
      <c r="BO3418" s="76"/>
      <c r="BP3418" s="76"/>
      <c r="BQ3418" s="76"/>
      <c r="BR3418" s="76"/>
      <c r="BS3418" s="76"/>
      <c r="BT3418" s="76"/>
      <c r="BU3418" s="76"/>
      <c r="BV3418" s="76"/>
      <c r="BW3418" s="76"/>
      <c r="BX3418" s="76"/>
      <c r="BY3418" s="76"/>
      <c r="BZ3418" s="76"/>
      <c r="CA3418" s="76"/>
      <c r="CB3418" s="76"/>
      <c r="CC3418" s="76"/>
      <c r="CD3418" s="76"/>
      <c r="CE3418" s="76"/>
      <c r="CF3418" s="76">
        <f>+CE3418*28000</f>
        <v>0</v>
      </c>
      <c r="CG3418" s="76"/>
      <c r="CH3418" s="76">
        <f>+CG3418*22500</f>
        <v>0</v>
      </c>
      <c r="CI3418" s="76"/>
      <c r="CJ3418" s="76">
        <f>+CI3418*26000</f>
        <v>0</v>
      </c>
      <c r="CK3418" s="76"/>
      <c r="CL3418" s="76"/>
      <c r="CM3418" s="76"/>
      <c r="CN3418" s="76">
        <f>+CM3418*22000</f>
        <v>0</v>
      </c>
      <c r="CO3418" s="76"/>
      <c r="CP3418" s="76">
        <f>+CO3418*46000</f>
        <v>0</v>
      </c>
      <c r="CQ3418" s="76"/>
      <c r="CR3418" s="76">
        <f>+CQ3418*49000</f>
        <v>0</v>
      </c>
      <c r="CS3418" s="76"/>
      <c r="CT3418" s="76"/>
      <c r="CU3418" s="56">
        <f>AN3418+AP3418+AR3418+AT3418+AV3418+AX3418+AZ3418+BB3418+BD3418+BF3418+BH3418+BJ3418+BL3418+BN3418+BP3418+BR3418+BT3418+BV3418+BX3418+BZ3418+CB3418+CD3418+CF3418+CH3418+CJ3418+CL3418+CN3418+CP3418+CR3418+CT3418</f>
        <v>0</v>
      </c>
      <c r="CV3418" s="76"/>
      <c r="CW3418" s="76">
        <f>+CV3418*1100</f>
        <v>0</v>
      </c>
      <c r="CX3418" s="76"/>
      <c r="CY3418" s="76">
        <f>+CX3418*106250</f>
        <v>0</v>
      </c>
      <c r="CZ3418" s="76"/>
      <c r="DA3418" s="76">
        <f>+CZ3418*34500</f>
        <v>0</v>
      </c>
      <c r="DB3418" s="76"/>
      <c r="DC3418" s="76">
        <f>+DB3418*25000</f>
        <v>0</v>
      </c>
      <c r="DD3418" s="219"/>
      <c r="DE3418" s="219"/>
      <c r="DF3418" s="166"/>
      <c r="DG3418" s="116"/>
      <c r="DH3418" s="117"/>
      <c r="DI3418" s="24"/>
      <c r="DJ3418" s="24"/>
      <c r="DK3418" s="24"/>
      <c r="DL3418" s="24"/>
      <c r="DM3418" s="24"/>
      <c r="DN3418" s="24"/>
      <c r="DO3418" s="24"/>
      <c r="DP3418" s="24"/>
      <c r="DQ3418" s="24"/>
      <c r="DR3418" s="24"/>
      <c r="DS3418" s="24"/>
      <c r="DT3418" s="24"/>
      <c r="DU3418" s="24"/>
    </row>
    <row r="3419" spans="1:125" s="8" customFormat="1" ht="72" x14ac:dyDescent="0.2">
      <c r="A3419" s="353">
        <v>41566</v>
      </c>
      <c r="B3419" s="352" t="s">
        <v>2718</v>
      </c>
      <c r="C3419" s="354" t="s">
        <v>970</v>
      </c>
      <c r="D3419" s="354" t="s">
        <v>3088</v>
      </c>
      <c r="E3419" s="75" t="str">
        <f>VLOOKUP(B3419&amp;C3419,Divipola!$C$2:$F$1138,4,FALSE)</f>
        <v>23466</v>
      </c>
      <c r="F3419" s="87"/>
      <c r="G3419" s="87">
        <v>2</v>
      </c>
      <c r="H3419" s="87"/>
      <c r="I3419" s="87"/>
      <c r="J3419" s="87"/>
      <c r="K3419" s="87"/>
      <c r="L3419" s="87"/>
      <c r="M3419" s="87"/>
      <c r="N3419" s="87"/>
      <c r="O3419" s="87"/>
      <c r="P3419" s="87"/>
      <c r="Q3419" s="87"/>
      <c r="R3419" s="87"/>
      <c r="S3419" s="87"/>
      <c r="T3419" s="87"/>
      <c r="U3419" s="88"/>
      <c r="V3419" s="89"/>
      <c r="W3419" s="96">
        <v>0</v>
      </c>
      <c r="X3419" s="71">
        <f>CU3419</f>
        <v>0</v>
      </c>
      <c r="Y3419" s="71">
        <f>CY3419</f>
        <v>0</v>
      </c>
      <c r="Z3419" s="71">
        <f>DA3419+DC3419+DE3419</f>
        <v>0</v>
      </c>
      <c r="AA3419" s="71">
        <f>CW3419</f>
        <v>0</v>
      </c>
      <c r="AB3419" s="71"/>
      <c r="AC3419" s="71">
        <v>0</v>
      </c>
      <c r="AD3419" s="71">
        <f>W3419+X3419+Y3419+Z3419+AA3419+AB3419+AC3419</f>
        <v>0</v>
      </c>
      <c r="AE3419" s="72">
        <v>0</v>
      </c>
      <c r="AF3419" s="5"/>
      <c r="AG3419" s="6"/>
      <c r="AH3419" s="27"/>
      <c r="AI3419" s="44"/>
      <c r="AJ3419" s="26"/>
      <c r="AK3419" s="5"/>
      <c r="AL3419" s="82" t="s">
        <v>6389</v>
      </c>
      <c r="AM3419" s="76"/>
      <c r="AN3419" s="76"/>
      <c r="AO3419" s="76"/>
      <c r="AP3419" s="76"/>
      <c r="AQ3419" s="76"/>
      <c r="AR3419" s="76"/>
      <c r="AS3419" s="76"/>
      <c r="AT3419" s="76"/>
      <c r="AU3419" s="76"/>
      <c r="AV3419" s="76"/>
      <c r="AW3419" s="76"/>
      <c r="AX3419" s="76">
        <f>+AW3419*600000</f>
        <v>0</v>
      </c>
      <c r="AY3419" s="76"/>
      <c r="AZ3419" s="76">
        <f>+AY3419*70000</f>
        <v>0</v>
      </c>
      <c r="BA3419" s="76"/>
      <c r="BB3419" s="76"/>
      <c r="BC3419" s="76"/>
      <c r="BD3419" s="76">
        <f>+BC3419*30000</f>
        <v>0</v>
      </c>
      <c r="BE3419" s="76"/>
      <c r="BF3419" s="76"/>
      <c r="BG3419" s="76"/>
      <c r="BH3419" s="76"/>
      <c r="BI3419" s="76"/>
      <c r="BJ3419" s="76"/>
      <c r="BK3419" s="76"/>
      <c r="BL3419" s="76">
        <f>+BK3419*31500</f>
        <v>0</v>
      </c>
      <c r="BM3419" s="76"/>
      <c r="BN3419" s="76"/>
      <c r="BO3419" s="76"/>
      <c r="BP3419" s="76"/>
      <c r="BQ3419" s="76"/>
      <c r="BR3419" s="76"/>
      <c r="BS3419" s="76"/>
      <c r="BT3419" s="76"/>
      <c r="BU3419" s="76"/>
      <c r="BV3419" s="76"/>
      <c r="BW3419" s="76"/>
      <c r="BX3419" s="76"/>
      <c r="BY3419" s="76"/>
      <c r="BZ3419" s="76"/>
      <c r="CA3419" s="76"/>
      <c r="CB3419" s="76"/>
      <c r="CC3419" s="76"/>
      <c r="CD3419" s="76"/>
      <c r="CE3419" s="76"/>
      <c r="CF3419" s="76">
        <f>+CE3419*28000</f>
        <v>0</v>
      </c>
      <c r="CG3419" s="76"/>
      <c r="CH3419" s="76">
        <f>+CG3419*22500</f>
        <v>0</v>
      </c>
      <c r="CI3419" s="76"/>
      <c r="CJ3419" s="76">
        <f>+CI3419*26000</f>
        <v>0</v>
      </c>
      <c r="CK3419" s="76"/>
      <c r="CL3419" s="76"/>
      <c r="CM3419" s="76"/>
      <c r="CN3419" s="76">
        <f>+CM3419*22000</f>
        <v>0</v>
      </c>
      <c r="CO3419" s="76"/>
      <c r="CP3419" s="76">
        <f>+CO3419*46000</f>
        <v>0</v>
      </c>
      <c r="CQ3419" s="76"/>
      <c r="CR3419" s="76">
        <f>+CQ3419*49000</f>
        <v>0</v>
      </c>
      <c r="CS3419" s="76"/>
      <c r="CT3419" s="76"/>
      <c r="CU3419" s="56">
        <f>AN3419+AP3419+AR3419+AT3419+AV3419+AX3419+AZ3419+BB3419+BD3419+BF3419+BH3419+BJ3419+BL3419+BN3419+BP3419+BR3419+BT3419+BV3419+BX3419+BZ3419+CB3419+CD3419+CF3419+CH3419+CJ3419+CL3419+CN3419+CP3419+CR3419+CT3419</f>
        <v>0</v>
      </c>
      <c r="CV3419" s="76"/>
      <c r="CW3419" s="76">
        <f>+CV3419*1100</f>
        <v>0</v>
      </c>
      <c r="CX3419" s="76"/>
      <c r="CY3419" s="76">
        <f>+CX3419*106250</f>
        <v>0</v>
      </c>
      <c r="CZ3419" s="76"/>
      <c r="DA3419" s="76">
        <f>+CZ3419*34500</f>
        <v>0</v>
      </c>
      <c r="DB3419" s="76"/>
      <c r="DC3419" s="76">
        <f>+DB3419*25000</f>
        <v>0</v>
      </c>
      <c r="DD3419" s="219"/>
      <c r="DE3419" s="219"/>
      <c r="DF3419" s="166"/>
      <c r="DG3419" s="116"/>
      <c r="DH3419" s="117"/>
      <c r="DI3419" s="24"/>
      <c r="DJ3419" s="24"/>
      <c r="DK3419" s="24"/>
      <c r="DL3419" s="24"/>
      <c r="DM3419" s="24"/>
      <c r="DN3419" s="24"/>
      <c r="DO3419" s="24"/>
      <c r="DP3419" s="24"/>
      <c r="DQ3419" s="24"/>
      <c r="DR3419" s="24"/>
      <c r="DS3419" s="24"/>
      <c r="DT3419" s="24"/>
      <c r="DU3419" s="24"/>
    </row>
    <row r="3420" spans="1:125" s="8" customFormat="1" ht="84" x14ac:dyDescent="0.2">
      <c r="A3420" s="77">
        <v>41567</v>
      </c>
      <c r="B3420" s="78" t="s">
        <v>2847</v>
      </c>
      <c r="C3420" s="75" t="s">
        <v>301</v>
      </c>
      <c r="D3420" s="75" t="s">
        <v>3088</v>
      </c>
      <c r="E3420" s="75" t="str">
        <f>VLOOKUP(B3420&amp;C3420,Divipola!$C$2:$F$1138,4,FALSE)</f>
        <v>68079</v>
      </c>
      <c r="F3420" s="87"/>
      <c r="G3420" s="87"/>
      <c r="H3420" s="87"/>
      <c r="I3420" s="87"/>
      <c r="J3420" s="87"/>
      <c r="K3420" s="87"/>
      <c r="L3420" s="87"/>
      <c r="M3420" s="87">
        <v>1</v>
      </c>
      <c r="N3420" s="87"/>
      <c r="O3420" s="87"/>
      <c r="P3420" s="87"/>
      <c r="Q3420" s="87"/>
      <c r="R3420" s="87"/>
      <c r="S3420" s="87"/>
      <c r="T3420" s="87"/>
      <c r="U3420" s="88"/>
      <c r="V3420" s="89"/>
      <c r="W3420" s="96">
        <v>0</v>
      </c>
      <c r="X3420" s="71">
        <f>CU3420</f>
        <v>0</v>
      </c>
      <c r="Y3420" s="71">
        <f>CY3420</f>
        <v>0</v>
      </c>
      <c r="Z3420" s="71">
        <f>DA3420+DC3420+DE3420</f>
        <v>0</v>
      </c>
      <c r="AA3420" s="71">
        <f>CW3420</f>
        <v>0</v>
      </c>
      <c r="AB3420" s="71"/>
      <c r="AC3420" s="71">
        <v>0</v>
      </c>
      <c r="AD3420" s="71">
        <f>W3420+X3420+Y3420+Z3420+AA3420+AB3420+AC3420</f>
        <v>0</v>
      </c>
      <c r="AE3420" s="72">
        <v>0</v>
      </c>
      <c r="AF3420" s="5"/>
      <c r="AG3420" s="6"/>
      <c r="AH3420" s="27"/>
      <c r="AI3420" s="44"/>
      <c r="AJ3420" s="26"/>
      <c r="AK3420" s="5"/>
      <c r="AL3420" s="268" t="s">
        <v>6372</v>
      </c>
      <c r="AM3420" s="76"/>
      <c r="AN3420" s="76"/>
      <c r="AO3420" s="76"/>
      <c r="AP3420" s="76"/>
      <c r="AQ3420" s="76"/>
      <c r="AR3420" s="76"/>
      <c r="AS3420" s="76"/>
      <c r="AT3420" s="76"/>
      <c r="AU3420" s="76"/>
      <c r="AV3420" s="76"/>
      <c r="AW3420" s="76"/>
      <c r="AX3420" s="76">
        <f>+AW3420*600000</f>
        <v>0</v>
      </c>
      <c r="AY3420" s="76"/>
      <c r="AZ3420" s="76">
        <f>+AY3420*70000</f>
        <v>0</v>
      </c>
      <c r="BA3420" s="76"/>
      <c r="BB3420" s="76"/>
      <c r="BC3420" s="76"/>
      <c r="BD3420" s="76">
        <f>+BC3420*30000</f>
        <v>0</v>
      </c>
      <c r="BE3420" s="76"/>
      <c r="BF3420" s="76"/>
      <c r="BG3420" s="76"/>
      <c r="BH3420" s="76"/>
      <c r="BI3420" s="76"/>
      <c r="BJ3420" s="76"/>
      <c r="BK3420" s="76"/>
      <c r="BL3420" s="76">
        <f>+BK3420*31500</f>
        <v>0</v>
      </c>
      <c r="BM3420" s="76"/>
      <c r="BN3420" s="76"/>
      <c r="BO3420" s="76"/>
      <c r="BP3420" s="76"/>
      <c r="BQ3420" s="76"/>
      <c r="BR3420" s="76"/>
      <c r="BS3420" s="76"/>
      <c r="BT3420" s="76"/>
      <c r="BU3420" s="76"/>
      <c r="BV3420" s="76"/>
      <c r="BW3420" s="76"/>
      <c r="BX3420" s="76"/>
      <c r="BY3420" s="76"/>
      <c r="BZ3420" s="76"/>
      <c r="CA3420" s="76"/>
      <c r="CB3420" s="76"/>
      <c r="CC3420" s="76"/>
      <c r="CD3420" s="76"/>
      <c r="CE3420" s="76"/>
      <c r="CF3420" s="76">
        <f>+CE3420*28000</f>
        <v>0</v>
      </c>
      <c r="CG3420" s="76"/>
      <c r="CH3420" s="76">
        <f>+CG3420*22500</f>
        <v>0</v>
      </c>
      <c r="CI3420" s="76"/>
      <c r="CJ3420" s="76">
        <f>+CI3420*26000</f>
        <v>0</v>
      </c>
      <c r="CK3420" s="76"/>
      <c r="CL3420" s="76"/>
      <c r="CM3420" s="76"/>
      <c r="CN3420" s="76">
        <f>+CM3420*22000</f>
        <v>0</v>
      </c>
      <c r="CO3420" s="76"/>
      <c r="CP3420" s="76">
        <f>+CO3420*46000</f>
        <v>0</v>
      </c>
      <c r="CQ3420" s="76"/>
      <c r="CR3420" s="76">
        <f>+CQ3420*49000</f>
        <v>0</v>
      </c>
      <c r="CS3420" s="76"/>
      <c r="CT3420" s="76"/>
      <c r="CU3420" s="56">
        <f>AN3420+AP3420+AR3420+AT3420+AV3420+AX3420+AZ3420+BB3420+BD3420+BF3420+BH3420+BJ3420+BL3420+BN3420+BP3420+BR3420+BT3420+BV3420+BX3420+BZ3420+CB3420+CD3420+CF3420+CH3420+CJ3420+CL3420+CN3420+CP3420+CR3420+CT3420</f>
        <v>0</v>
      </c>
      <c r="CV3420" s="76"/>
      <c r="CW3420" s="76">
        <f>+CV3420*1100</f>
        <v>0</v>
      </c>
      <c r="CX3420" s="76"/>
      <c r="CY3420" s="76">
        <f>+CX3420*106250</f>
        <v>0</v>
      </c>
      <c r="CZ3420" s="76"/>
      <c r="DA3420" s="76">
        <f>+CZ3420*34500</f>
        <v>0</v>
      </c>
      <c r="DB3420" s="76"/>
      <c r="DC3420" s="76">
        <f>+DB3420*25000</f>
        <v>0</v>
      </c>
      <c r="DD3420" s="219"/>
      <c r="DE3420" s="219"/>
      <c r="DF3420" s="166"/>
      <c r="DG3420" s="116"/>
      <c r="DH3420" s="117"/>
      <c r="DI3420" s="24"/>
      <c r="DJ3420" s="24"/>
      <c r="DK3420" s="24"/>
      <c r="DL3420" s="24"/>
      <c r="DM3420" s="24"/>
      <c r="DN3420" s="24"/>
      <c r="DO3420" s="24"/>
      <c r="DP3420" s="24"/>
      <c r="DQ3420" s="24"/>
      <c r="DR3420" s="24"/>
      <c r="DS3420" s="24"/>
      <c r="DT3420" s="24"/>
      <c r="DU3420" s="24"/>
    </row>
    <row r="3421" spans="1:125" s="8" customFormat="1" ht="48" x14ac:dyDescent="0.2">
      <c r="A3421" s="353">
        <v>41567</v>
      </c>
      <c r="B3421" s="352" t="s">
        <v>2848</v>
      </c>
      <c r="C3421" s="354" t="s">
        <v>2674</v>
      </c>
      <c r="D3421" s="354" t="s">
        <v>2882</v>
      </c>
      <c r="E3421" s="75" t="str">
        <f>VLOOKUP(B3421&amp;C3421,Divipola!$C$2:$F$1138,4,FALSE)</f>
        <v>73352</v>
      </c>
      <c r="F3421" s="87"/>
      <c r="G3421" s="87"/>
      <c r="H3421" s="87"/>
      <c r="I3421" s="87">
        <v>15</v>
      </c>
      <c r="J3421" s="87">
        <v>3</v>
      </c>
      <c r="K3421" s="87"/>
      <c r="L3421" s="87">
        <v>3</v>
      </c>
      <c r="M3421" s="87"/>
      <c r="N3421" s="87"/>
      <c r="O3421" s="87"/>
      <c r="P3421" s="87"/>
      <c r="Q3421" s="87"/>
      <c r="R3421" s="87"/>
      <c r="S3421" s="87"/>
      <c r="T3421" s="87"/>
      <c r="U3421" s="88"/>
      <c r="V3421" s="89"/>
      <c r="W3421" s="96">
        <v>0</v>
      </c>
      <c r="X3421" s="71">
        <f>CU3421</f>
        <v>0</v>
      </c>
      <c r="Y3421" s="71">
        <f>CY3421</f>
        <v>0</v>
      </c>
      <c r="Z3421" s="71">
        <f>DA3421+DC3421+DE3421</f>
        <v>0</v>
      </c>
      <c r="AA3421" s="71">
        <f>CW3421</f>
        <v>0</v>
      </c>
      <c r="AB3421" s="71"/>
      <c r="AC3421" s="71">
        <v>0</v>
      </c>
      <c r="AD3421" s="71">
        <f>W3421+X3421+Y3421+Z3421+AA3421+AB3421+AC3421</f>
        <v>0</v>
      </c>
      <c r="AE3421" s="72">
        <v>0</v>
      </c>
      <c r="AF3421" s="5"/>
      <c r="AG3421" s="6"/>
      <c r="AH3421" s="27"/>
      <c r="AI3421" s="44"/>
      <c r="AJ3421" s="26"/>
      <c r="AK3421" s="5"/>
      <c r="AL3421" s="82" t="s">
        <v>6373</v>
      </c>
      <c r="AM3421" s="76"/>
      <c r="AN3421" s="76"/>
      <c r="AO3421" s="76"/>
      <c r="AP3421" s="76"/>
      <c r="AQ3421" s="76"/>
      <c r="AR3421" s="76"/>
      <c r="AS3421" s="76"/>
      <c r="AT3421" s="76"/>
      <c r="AU3421" s="76"/>
      <c r="AV3421" s="76"/>
      <c r="AW3421" s="76"/>
      <c r="AX3421" s="76">
        <f>+AW3421*600000</f>
        <v>0</v>
      </c>
      <c r="AY3421" s="76"/>
      <c r="AZ3421" s="76">
        <f>+AY3421*70000</f>
        <v>0</v>
      </c>
      <c r="BA3421" s="76"/>
      <c r="BB3421" s="76"/>
      <c r="BC3421" s="76"/>
      <c r="BD3421" s="76">
        <f>+BC3421*30000</f>
        <v>0</v>
      </c>
      <c r="BE3421" s="76"/>
      <c r="BF3421" s="76"/>
      <c r="BG3421" s="76"/>
      <c r="BH3421" s="76"/>
      <c r="BI3421" s="76"/>
      <c r="BJ3421" s="76"/>
      <c r="BK3421" s="76"/>
      <c r="BL3421" s="76">
        <f>+BK3421*31500</f>
        <v>0</v>
      </c>
      <c r="BM3421" s="76"/>
      <c r="BN3421" s="76"/>
      <c r="BO3421" s="76"/>
      <c r="BP3421" s="76"/>
      <c r="BQ3421" s="76"/>
      <c r="BR3421" s="76"/>
      <c r="BS3421" s="76"/>
      <c r="BT3421" s="76"/>
      <c r="BU3421" s="76"/>
      <c r="BV3421" s="76"/>
      <c r="BW3421" s="76"/>
      <c r="BX3421" s="76"/>
      <c r="BY3421" s="76"/>
      <c r="BZ3421" s="76"/>
      <c r="CA3421" s="76"/>
      <c r="CB3421" s="76"/>
      <c r="CC3421" s="76"/>
      <c r="CD3421" s="76"/>
      <c r="CE3421" s="76"/>
      <c r="CF3421" s="76">
        <f>+CE3421*28000</f>
        <v>0</v>
      </c>
      <c r="CG3421" s="76"/>
      <c r="CH3421" s="76">
        <f>+CG3421*22500</f>
        <v>0</v>
      </c>
      <c r="CI3421" s="76"/>
      <c r="CJ3421" s="76">
        <f>+CI3421*26000</f>
        <v>0</v>
      </c>
      <c r="CK3421" s="76"/>
      <c r="CL3421" s="76"/>
      <c r="CM3421" s="76"/>
      <c r="CN3421" s="76">
        <f>+CM3421*22000</f>
        <v>0</v>
      </c>
      <c r="CO3421" s="76"/>
      <c r="CP3421" s="76">
        <f>+CO3421*46000</f>
        <v>0</v>
      </c>
      <c r="CQ3421" s="76"/>
      <c r="CR3421" s="76">
        <f>+CQ3421*49000</f>
        <v>0</v>
      </c>
      <c r="CS3421" s="76"/>
      <c r="CT3421" s="76"/>
      <c r="CU3421" s="56">
        <f>AN3421+AP3421+AR3421+AT3421+AV3421+AX3421+AZ3421+BB3421+BD3421+BF3421+BH3421+BJ3421+BL3421+BN3421+BP3421+BR3421+BT3421+BV3421+BX3421+BZ3421+CB3421+CD3421+CF3421+CH3421+CJ3421+CL3421+CN3421+CP3421+CR3421+CT3421</f>
        <v>0</v>
      </c>
      <c r="CV3421" s="76"/>
      <c r="CW3421" s="76">
        <f>+CV3421*1100</f>
        <v>0</v>
      </c>
      <c r="CX3421" s="76"/>
      <c r="CY3421" s="76">
        <f>+CX3421*106250</f>
        <v>0</v>
      </c>
      <c r="CZ3421" s="76"/>
      <c r="DA3421" s="76">
        <f>+CZ3421*34500</f>
        <v>0</v>
      </c>
      <c r="DB3421" s="76"/>
      <c r="DC3421" s="76">
        <f>+DB3421*25000</f>
        <v>0</v>
      </c>
      <c r="DD3421" s="219"/>
      <c r="DE3421" s="219"/>
      <c r="DF3421" s="166"/>
      <c r="DG3421" s="116"/>
      <c r="DH3421" s="117"/>
      <c r="DI3421" s="24"/>
      <c r="DJ3421" s="24"/>
      <c r="DK3421" s="24"/>
      <c r="DL3421" s="24"/>
      <c r="DM3421" s="24"/>
      <c r="DN3421" s="24"/>
      <c r="DO3421" s="24"/>
      <c r="DP3421" s="24"/>
      <c r="DQ3421" s="24"/>
      <c r="DR3421" s="24"/>
      <c r="DS3421" s="24"/>
      <c r="DT3421" s="24"/>
      <c r="DU3421" s="24"/>
    </row>
    <row r="3422" spans="1:125" s="8" customFormat="1" ht="48" x14ac:dyDescent="0.2">
      <c r="A3422" s="77">
        <v>41567</v>
      </c>
      <c r="B3422" s="352" t="s">
        <v>2854</v>
      </c>
      <c r="C3422" s="354" t="s">
        <v>2081</v>
      </c>
      <c r="D3422" s="354" t="s">
        <v>2882</v>
      </c>
      <c r="E3422" s="75" t="str">
        <f>VLOOKUP(B3422&amp;C3422,Divipola!$C$2:$F$1138,4,FALSE)</f>
        <v>19532</v>
      </c>
      <c r="F3422" s="87"/>
      <c r="G3422" s="87"/>
      <c r="H3422" s="87"/>
      <c r="I3422" s="87">
        <v>165</v>
      </c>
      <c r="J3422" s="87">
        <v>34</v>
      </c>
      <c r="K3422" s="87"/>
      <c r="L3422" s="87">
        <v>34</v>
      </c>
      <c r="M3422" s="87"/>
      <c r="N3422" s="87"/>
      <c r="O3422" s="87"/>
      <c r="P3422" s="87"/>
      <c r="Q3422" s="87"/>
      <c r="R3422" s="87"/>
      <c r="S3422" s="87"/>
      <c r="T3422" s="87"/>
      <c r="U3422" s="88"/>
      <c r="V3422" s="89"/>
      <c r="W3422" s="96">
        <v>0</v>
      </c>
      <c r="X3422" s="71">
        <f>CU3422</f>
        <v>0</v>
      </c>
      <c r="Y3422" s="71">
        <f>CY3422</f>
        <v>0</v>
      </c>
      <c r="Z3422" s="71">
        <f>DA3422+DC3422+DE3422</f>
        <v>0</v>
      </c>
      <c r="AA3422" s="71">
        <f>CW3422</f>
        <v>0</v>
      </c>
      <c r="AB3422" s="71"/>
      <c r="AC3422" s="71">
        <v>0</v>
      </c>
      <c r="AD3422" s="71">
        <f>W3422+X3422+Y3422+Z3422+AA3422+AB3422+AC3422</f>
        <v>0</v>
      </c>
      <c r="AE3422" s="72">
        <v>0</v>
      </c>
      <c r="AF3422" s="5"/>
      <c r="AG3422" s="6"/>
      <c r="AH3422" s="27"/>
      <c r="AI3422" s="44"/>
      <c r="AJ3422" s="26"/>
      <c r="AK3422" s="5"/>
      <c r="AL3422" s="82" t="s">
        <v>6374</v>
      </c>
      <c r="AM3422" s="76"/>
      <c r="AN3422" s="76"/>
      <c r="AO3422" s="76"/>
      <c r="AP3422" s="76"/>
      <c r="AQ3422" s="76"/>
      <c r="AR3422" s="76"/>
      <c r="AS3422" s="76"/>
      <c r="AT3422" s="76"/>
      <c r="AU3422" s="76"/>
      <c r="AV3422" s="76"/>
      <c r="AW3422" s="76"/>
      <c r="AX3422" s="76">
        <f>+AW3422*600000</f>
        <v>0</v>
      </c>
      <c r="AY3422" s="76"/>
      <c r="AZ3422" s="76">
        <f>+AY3422*70000</f>
        <v>0</v>
      </c>
      <c r="BA3422" s="76"/>
      <c r="BB3422" s="76"/>
      <c r="BC3422" s="76"/>
      <c r="BD3422" s="76">
        <f>+BC3422*30000</f>
        <v>0</v>
      </c>
      <c r="BE3422" s="76"/>
      <c r="BF3422" s="76"/>
      <c r="BG3422" s="76"/>
      <c r="BH3422" s="76"/>
      <c r="BI3422" s="76"/>
      <c r="BJ3422" s="76"/>
      <c r="BK3422" s="76"/>
      <c r="BL3422" s="76">
        <f>+BK3422*31500</f>
        <v>0</v>
      </c>
      <c r="BM3422" s="76"/>
      <c r="BN3422" s="76"/>
      <c r="BO3422" s="76"/>
      <c r="BP3422" s="76"/>
      <c r="BQ3422" s="76"/>
      <c r="BR3422" s="76"/>
      <c r="BS3422" s="76"/>
      <c r="BT3422" s="76"/>
      <c r="BU3422" s="76"/>
      <c r="BV3422" s="76"/>
      <c r="BW3422" s="76"/>
      <c r="BX3422" s="76"/>
      <c r="BY3422" s="76"/>
      <c r="BZ3422" s="76"/>
      <c r="CA3422" s="76"/>
      <c r="CB3422" s="76"/>
      <c r="CC3422" s="76"/>
      <c r="CD3422" s="76"/>
      <c r="CE3422" s="76"/>
      <c r="CF3422" s="76">
        <f>+CE3422*28000</f>
        <v>0</v>
      </c>
      <c r="CG3422" s="76"/>
      <c r="CH3422" s="76">
        <f>+CG3422*22500</f>
        <v>0</v>
      </c>
      <c r="CI3422" s="76"/>
      <c r="CJ3422" s="76">
        <f>+CI3422*26000</f>
        <v>0</v>
      </c>
      <c r="CK3422" s="76"/>
      <c r="CL3422" s="76"/>
      <c r="CM3422" s="76"/>
      <c r="CN3422" s="76">
        <f>+CM3422*22000</f>
        <v>0</v>
      </c>
      <c r="CO3422" s="76"/>
      <c r="CP3422" s="76">
        <f>+CO3422*46000</f>
        <v>0</v>
      </c>
      <c r="CQ3422" s="76"/>
      <c r="CR3422" s="76">
        <f>+CQ3422*49000</f>
        <v>0</v>
      </c>
      <c r="CS3422" s="76"/>
      <c r="CT3422" s="76"/>
      <c r="CU3422" s="56">
        <f>AN3422+AP3422+AR3422+AT3422+AV3422+AX3422+AZ3422+BB3422+BD3422+BF3422+BH3422+BJ3422+BL3422+BN3422+BP3422+BR3422+BT3422+BV3422+BX3422+BZ3422+CB3422+CD3422+CF3422+CH3422+CJ3422+CL3422+CN3422+CP3422+CR3422+CT3422</f>
        <v>0</v>
      </c>
      <c r="CV3422" s="76"/>
      <c r="CW3422" s="76">
        <f>+CV3422*1100</f>
        <v>0</v>
      </c>
      <c r="CX3422" s="76"/>
      <c r="CY3422" s="76">
        <f>+CX3422*106250</f>
        <v>0</v>
      </c>
      <c r="CZ3422" s="76"/>
      <c r="DA3422" s="76">
        <f>+CZ3422*34500</f>
        <v>0</v>
      </c>
      <c r="DB3422" s="76"/>
      <c r="DC3422" s="76">
        <f>+DB3422*25000</f>
        <v>0</v>
      </c>
      <c r="DD3422" s="219"/>
      <c r="DE3422" s="219"/>
      <c r="DF3422" s="166"/>
      <c r="DG3422" s="116"/>
      <c r="DH3422" s="117"/>
      <c r="DI3422" s="24"/>
      <c r="DJ3422" s="24"/>
      <c r="DK3422" s="24"/>
      <c r="DL3422" s="24"/>
      <c r="DM3422" s="24"/>
      <c r="DN3422" s="24"/>
      <c r="DO3422" s="24"/>
      <c r="DP3422" s="24"/>
      <c r="DQ3422" s="24"/>
      <c r="DR3422" s="24"/>
      <c r="DS3422" s="24"/>
      <c r="DT3422" s="24"/>
      <c r="DU3422" s="24"/>
    </row>
    <row r="3423" spans="1:125" s="8" customFormat="1" ht="36" x14ac:dyDescent="0.2">
      <c r="A3423" s="77">
        <v>41567</v>
      </c>
      <c r="B3423" s="352" t="s">
        <v>2854</v>
      </c>
      <c r="C3423" s="354" t="s">
        <v>491</v>
      </c>
      <c r="D3423" s="354" t="s">
        <v>2882</v>
      </c>
      <c r="E3423" s="75" t="str">
        <f>VLOOKUP(B3423&amp;C3423,Divipola!$C$2:$F$1138,4,FALSE)</f>
        <v>19807</v>
      </c>
      <c r="F3423" s="87"/>
      <c r="G3423" s="87"/>
      <c r="H3423" s="87"/>
      <c r="I3423" s="87">
        <v>15</v>
      </c>
      <c r="J3423" s="87">
        <v>3</v>
      </c>
      <c r="K3423" s="87"/>
      <c r="L3423" s="87">
        <v>3</v>
      </c>
      <c r="M3423" s="87"/>
      <c r="N3423" s="87"/>
      <c r="O3423" s="87"/>
      <c r="P3423" s="87"/>
      <c r="Q3423" s="87"/>
      <c r="R3423" s="87"/>
      <c r="S3423" s="87"/>
      <c r="T3423" s="87"/>
      <c r="U3423" s="88"/>
      <c r="V3423" s="89"/>
      <c r="W3423" s="96">
        <v>0</v>
      </c>
      <c r="X3423" s="71">
        <f>CU3423</f>
        <v>0</v>
      </c>
      <c r="Y3423" s="71">
        <f>CY3423</f>
        <v>0</v>
      </c>
      <c r="Z3423" s="71">
        <f>DA3423+DC3423+DE3423</f>
        <v>0</v>
      </c>
      <c r="AA3423" s="71">
        <f>CW3423</f>
        <v>0</v>
      </c>
      <c r="AB3423" s="71"/>
      <c r="AC3423" s="71">
        <v>0</v>
      </c>
      <c r="AD3423" s="71">
        <f>W3423+X3423+Y3423+Z3423+AA3423+AB3423+AC3423</f>
        <v>0</v>
      </c>
      <c r="AE3423" s="72">
        <v>0</v>
      </c>
      <c r="AF3423" s="5"/>
      <c r="AG3423" s="6"/>
      <c r="AH3423" s="27"/>
      <c r="AI3423" s="44"/>
      <c r="AJ3423" s="26"/>
      <c r="AK3423" s="5"/>
      <c r="AL3423" s="82" t="s">
        <v>6375</v>
      </c>
      <c r="AM3423" s="76"/>
      <c r="AN3423" s="76"/>
      <c r="AO3423" s="76"/>
      <c r="AP3423" s="76"/>
      <c r="AQ3423" s="76"/>
      <c r="AR3423" s="76"/>
      <c r="AS3423" s="76"/>
      <c r="AT3423" s="76"/>
      <c r="AU3423" s="76"/>
      <c r="AV3423" s="76"/>
      <c r="AW3423" s="76"/>
      <c r="AX3423" s="76">
        <f>+AW3423*600000</f>
        <v>0</v>
      </c>
      <c r="AY3423" s="76"/>
      <c r="AZ3423" s="76">
        <f>+AY3423*70000</f>
        <v>0</v>
      </c>
      <c r="BA3423" s="76"/>
      <c r="BB3423" s="76"/>
      <c r="BC3423" s="76"/>
      <c r="BD3423" s="76">
        <f>+BC3423*30000</f>
        <v>0</v>
      </c>
      <c r="BE3423" s="76"/>
      <c r="BF3423" s="76"/>
      <c r="BG3423" s="76"/>
      <c r="BH3423" s="76"/>
      <c r="BI3423" s="76"/>
      <c r="BJ3423" s="76"/>
      <c r="BK3423" s="76"/>
      <c r="BL3423" s="76">
        <f>+BK3423*31500</f>
        <v>0</v>
      </c>
      <c r="BM3423" s="76"/>
      <c r="BN3423" s="76"/>
      <c r="BO3423" s="76"/>
      <c r="BP3423" s="76"/>
      <c r="BQ3423" s="76"/>
      <c r="BR3423" s="76"/>
      <c r="BS3423" s="76"/>
      <c r="BT3423" s="76"/>
      <c r="BU3423" s="76"/>
      <c r="BV3423" s="76"/>
      <c r="BW3423" s="76"/>
      <c r="BX3423" s="76"/>
      <c r="BY3423" s="76"/>
      <c r="BZ3423" s="76"/>
      <c r="CA3423" s="76"/>
      <c r="CB3423" s="76"/>
      <c r="CC3423" s="76"/>
      <c r="CD3423" s="76"/>
      <c r="CE3423" s="76"/>
      <c r="CF3423" s="76">
        <f>+CE3423*28000</f>
        <v>0</v>
      </c>
      <c r="CG3423" s="76"/>
      <c r="CH3423" s="76">
        <f>+CG3423*22500</f>
        <v>0</v>
      </c>
      <c r="CI3423" s="76"/>
      <c r="CJ3423" s="76">
        <f>+CI3423*26000</f>
        <v>0</v>
      </c>
      <c r="CK3423" s="76"/>
      <c r="CL3423" s="76"/>
      <c r="CM3423" s="76"/>
      <c r="CN3423" s="76">
        <f>+CM3423*22000</f>
        <v>0</v>
      </c>
      <c r="CO3423" s="76"/>
      <c r="CP3423" s="76">
        <f>+CO3423*46000</f>
        <v>0</v>
      </c>
      <c r="CQ3423" s="76"/>
      <c r="CR3423" s="76">
        <f>+CQ3423*49000</f>
        <v>0</v>
      </c>
      <c r="CS3423" s="76"/>
      <c r="CT3423" s="76"/>
      <c r="CU3423" s="56">
        <f>AN3423+AP3423+AR3423+AT3423+AV3423+AX3423+AZ3423+BB3423+BD3423+BF3423+BH3423+BJ3423+BL3423+BN3423+BP3423+BR3423+BT3423+BV3423+BX3423+BZ3423+CB3423+CD3423+CF3423+CH3423+CJ3423+CL3423+CN3423+CP3423+CR3423+CT3423</f>
        <v>0</v>
      </c>
      <c r="CV3423" s="76"/>
      <c r="CW3423" s="76">
        <f>+CV3423*1100</f>
        <v>0</v>
      </c>
      <c r="CX3423" s="76"/>
      <c r="CY3423" s="76">
        <f>+CX3423*106250</f>
        <v>0</v>
      </c>
      <c r="CZ3423" s="76"/>
      <c r="DA3423" s="76">
        <f>+CZ3423*34500</f>
        <v>0</v>
      </c>
      <c r="DB3423" s="76"/>
      <c r="DC3423" s="76">
        <f>+DB3423*25000</f>
        <v>0</v>
      </c>
      <c r="DD3423" s="219"/>
      <c r="DE3423" s="219"/>
      <c r="DF3423" s="166"/>
      <c r="DG3423" s="116"/>
      <c r="DH3423" s="117"/>
      <c r="DI3423" s="24"/>
      <c r="DJ3423" s="24"/>
      <c r="DK3423" s="24"/>
      <c r="DL3423" s="24"/>
      <c r="DM3423" s="24"/>
      <c r="DN3423" s="24"/>
      <c r="DO3423" s="24"/>
      <c r="DP3423" s="24"/>
      <c r="DQ3423" s="24"/>
      <c r="DR3423" s="24"/>
      <c r="DS3423" s="24"/>
      <c r="DT3423" s="24"/>
      <c r="DU3423" s="24"/>
    </row>
    <row r="3424" spans="1:125" s="8" customFormat="1" ht="84" x14ac:dyDescent="0.2">
      <c r="A3424" s="77">
        <v>41567</v>
      </c>
      <c r="B3424" s="78" t="s">
        <v>2777</v>
      </c>
      <c r="C3424" s="75" t="s">
        <v>2783</v>
      </c>
      <c r="D3424" s="75" t="s">
        <v>2859</v>
      </c>
      <c r="E3424" s="75" t="str">
        <f>VLOOKUP(B3424&amp;C3424,Divipola!$C$2:$F$1138,4,FALSE)</f>
        <v>13001</v>
      </c>
      <c r="F3424" s="87"/>
      <c r="G3424" s="87"/>
      <c r="H3424" s="87"/>
      <c r="I3424" s="87">
        <v>5</v>
      </c>
      <c r="J3424" s="87">
        <v>1</v>
      </c>
      <c r="K3424" s="87">
        <v>1</v>
      </c>
      <c r="L3424" s="87"/>
      <c r="M3424" s="87"/>
      <c r="N3424" s="87"/>
      <c r="O3424" s="87"/>
      <c r="P3424" s="87"/>
      <c r="Q3424" s="87"/>
      <c r="R3424" s="87"/>
      <c r="S3424" s="87"/>
      <c r="T3424" s="87"/>
      <c r="U3424" s="88"/>
      <c r="V3424" s="89"/>
      <c r="W3424" s="96">
        <v>0</v>
      </c>
      <c r="X3424" s="71">
        <f>CU3424</f>
        <v>0</v>
      </c>
      <c r="Y3424" s="71">
        <f>CY3424</f>
        <v>0</v>
      </c>
      <c r="Z3424" s="71">
        <f>DA3424+DC3424+DE3424</f>
        <v>0</v>
      </c>
      <c r="AA3424" s="71">
        <f>CW3424</f>
        <v>0</v>
      </c>
      <c r="AB3424" s="71"/>
      <c r="AC3424" s="71">
        <v>0</v>
      </c>
      <c r="AD3424" s="71">
        <f>W3424+X3424+Y3424+Z3424+AA3424+AB3424+AC3424</f>
        <v>0</v>
      </c>
      <c r="AE3424" s="72">
        <v>0</v>
      </c>
      <c r="AF3424" s="5"/>
      <c r="AG3424" s="6"/>
      <c r="AH3424" s="27"/>
      <c r="AI3424" s="44"/>
      <c r="AJ3424" s="26"/>
      <c r="AK3424" s="5"/>
      <c r="AL3424" s="268" t="s">
        <v>6376</v>
      </c>
      <c r="AM3424" s="76"/>
      <c r="AN3424" s="76"/>
      <c r="AO3424" s="76"/>
      <c r="AP3424" s="76"/>
      <c r="AQ3424" s="76"/>
      <c r="AR3424" s="76"/>
      <c r="AS3424" s="76"/>
      <c r="AT3424" s="76"/>
      <c r="AU3424" s="76"/>
      <c r="AV3424" s="76"/>
      <c r="AW3424" s="76"/>
      <c r="AX3424" s="76">
        <f>+AW3424*600000</f>
        <v>0</v>
      </c>
      <c r="AY3424" s="76"/>
      <c r="AZ3424" s="76">
        <f>+AY3424*70000</f>
        <v>0</v>
      </c>
      <c r="BA3424" s="76"/>
      <c r="BB3424" s="76"/>
      <c r="BC3424" s="76"/>
      <c r="BD3424" s="76">
        <f>+BC3424*30000</f>
        <v>0</v>
      </c>
      <c r="BE3424" s="76"/>
      <c r="BF3424" s="76"/>
      <c r="BG3424" s="76"/>
      <c r="BH3424" s="76"/>
      <c r="BI3424" s="76"/>
      <c r="BJ3424" s="76"/>
      <c r="BK3424" s="76"/>
      <c r="BL3424" s="76">
        <f>+BK3424*31500</f>
        <v>0</v>
      </c>
      <c r="BM3424" s="76"/>
      <c r="BN3424" s="76"/>
      <c r="BO3424" s="76"/>
      <c r="BP3424" s="76"/>
      <c r="BQ3424" s="76"/>
      <c r="BR3424" s="76"/>
      <c r="BS3424" s="76"/>
      <c r="BT3424" s="76"/>
      <c r="BU3424" s="76"/>
      <c r="BV3424" s="76"/>
      <c r="BW3424" s="76"/>
      <c r="BX3424" s="76"/>
      <c r="BY3424" s="76"/>
      <c r="BZ3424" s="76"/>
      <c r="CA3424" s="76"/>
      <c r="CB3424" s="76"/>
      <c r="CC3424" s="76"/>
      <c r="CD3424" s="76"/>
      <c r="CE3424" s="76"/>
      <c r="CF3424" s="76">
        <f>+CE3424*28000</f>
        <v>0</v>
      </c>
      <c r="CG3424" s="76"/>
      <c r="CH3424" s="76">
        <f>+CG3424*22500</f>
        <v>0</v>
      </c>
      <c r="CI3424" s="76"/>
      <c r="CJ3424" s="76">
        <f>+CI3424*26000</f>
        <v>0</v>
      </c>
      <c r="CK3424" s="76"/>
      <c r="CL3424" s="76"/>
      <c r="CM3424" s="76"/>
      <c r="CN3424" s="76">
        <f>+CM3424*22000</f>
        <v>0</v>
      </c>
      <c r="CO3424" s="76"/>
      <c r="CP3424" s="76">
        <f>+CO3424*46000</f>
        <v>0</v>
      </c>
      <c r="CQ3424" s="76"/>
      <c r="CR3424" s="76">
        <f>+CQ3424*49000</f>
        <v>0</v>
      </c>
      <c r="CS3424" s="76"/>
      <c r="CT3424" s="76"/>
      <c r="CU3424" s="56">
        <f>AN3424+AP3424+AR3424+AT3424+AV3424+AX3424+AZ3424+BB3424+BD3424+BF3424+BH3424+BJ3424+BL3424+BN3424+BP3424+BR3424+BT3424+BV3424+BX3424+BZ3424+CB3424+CD3424+CF3424+CH3424+CJ3424+CL3424+CN3424+CP3424+CR3424+CT3424</f>
        <v>0</v>
      </c>
      <c r="CV3424" s="76"/>
      <c r="CW3424" s="76">
        <f>+CV3424*1100</f>
        <v>0</v>
      </c>
      <c r="CX3424" s="76"/>
      <c r="CY3424" s="76">
        <f>+CX3424*106250</f>
        <v>0</v>
      </c>
      <c r="CZ3424" s="76"/>
      <c r="DA3424" s="76">
        <f>+CZ3424*34500</f>
        <v>0</v>
      </c>
      <c r="DB3424" s="76"/>
      <c r="DC3424" s="76">
        <f>+DB3424*25000</f>
        <v>0</v>
      </c>
      <c r="DD3424" s="219"/>
      <c r="DE3424" s="219"/>
      <c r="DF3424" s="166"/>
      <c r="DG3424" s="116"/>
      <c r="DH3424" s="117"/>
      <c r="DI3424" s="24"/>
      <c r="DJ3424" s="24"/>
      <c r="DK3424" s="24"/>
      <c r="DL3424" s="24"/>
      <c r="DM3424" s="24"/>
      <c r="DN3424" s="24"/>
      <c r="DO3424" s="24"/>
      <c r="DP3424" s="24"/>
      <c r="DQ3424" s="24"/>
      <c r="DR3424" s="24"/>
      <c r="DS3424" s="24"/>
      <c r="DT3424" s="24"/>
      <c r="DU3424" s="24"/>
    </row>
    <row r="3425" spans="1:125" s="8" customFormat="1" ht="60" x14ac:dyDescent="0.2">
      <c r="A3425" s="353">
        <v>41567</v>
      </c>
      <c r="B3425" s="352" t="s">
        <v>2036</v>
      </c>
      <c r="C3425" s="354" t="s">
        <v>2036</v>
      </c>
      <c r="D3425" s="354" t="s">
        <v>2859</v>
      </c>
      <c r="E3425" s="75" t="str">
        <f>VLOOKUP(B3425&amp;C3425,Divipola!$C$2:$F$1138,4,FALSE)</f>
        <v>81001</v>
      </c>
      <c r="F3425" s="87"/>
      <c r="G3425" s="87"/>
      <c r="H3425" s="87"/>
      <c r="I3425" s="87"/>
      <c r="J3425" s="87"/>
      <c r="K3425" s="87"/>
      <c r="L3425" s="87">
        <v>1</v>
      </c>
      <c r="M3425" s="87"/>
      <c r="N3425" s="87"/>
      <c r="O3425" s="87"/>
      <c r="P3425" s="87"/>
      <c r="Q3425" s="87"/>
      <c r="R3425" s="87"/>
      <c r="S3425" s="87"/>
      <c r="T3425" s="87"/>
      <c r="U3425" s="88"/>
      <c r="V3425" s="89"/>
      <c r="W3425" s="96">
        <v>0</v>
      </c>
      <c r="X3425" s="71">
        <f>CU3425</f>
        <v>0</v>
      </c>
      <c r="Y3425" s="71">
        <f>CY3425</f>
        <v>0</v>
      </c>
      <c r="Z3425" s="71">
        <f>DA3425+DC3425+DE3425</f>
        <v>0</v>
      </c>
      <c r="AA3425" s="71">
        <f>CW3425</f>
        <v>0</v>
      </c>
      <c r="AB3425" s="71"/>
      <c r="AC3425" s="71">
        <v>0</v>
      </c>
      <c r="AD3425" s="71">
        <f>W3425+X3425+Y3425+Z3425+AA3425+AB3425+AC3425</f>
        <v>0</v>
      </c>
      <c r="AE3425" s="72">
        <v>0</v>
      </c>
      <c r="AF3425" s="5"/>
      <c r="AG3425" s="6"/>
      <c r="AH3425" s="27"/>
      <c r="AI3425" s="44"/>
      <c r="AJ3425" s="26"/>
      <c r="AK3425" s="5"/>
      <c r="AL3425" s="82" t="s">
        <v>6379</v>
      </c>
      <c r="AM3425" s="76"/>
      <c r="AN3425" s="76"/>
      <c r="AO3425" s="76"/>
      <c r="AP3425" s="76"/>
      <c r="AQ3425" s="76"/>
      <c r="AR3425" s="76"/>
      <c r="AS3425" s="76"/>
      <c r="AT3425" s="76"/>
      <c r="AU3425" s="76"/>
      <c r="AV3425" s="76"/>
      <c r="AW3425" s="76"/>
      <c r="AX3425" s="76">
        <f>+AW3425*600000</f>
        <v>0</v>
      </c>
      <c r="AY3425" s="76"/>
      <c r="AZ3425" s="76">
        <f>+AY3425*70000</f>
        <v>0</v>
      </c>
      <c r="BA3425" s="76"/>
      <c r="BB3425" s="76"/>
      <c r="BC3425" s="76"/>
      <c r="BD3425" s="76">
        <f>+BC3425*30000</f>
        <v>0</v>
      </c>
      <c r="BE3425" s="76"/>
      <c r="BF3425" s="76"/>
      <c r="BG3425" s="76"/>
      <c r="BH3425" s="76"/>
      <c r="BI3425" s="76"/>
      <c r="BJ3425" s="76"/>
      <c r="BK3425" s="76"/>
      <c r="BL3425" s="76">
        <f>+BK3425*31500</f>
        <v>0</v>
      </c>
      <c r="BM3425" s="76"/>
      <c r="BN3425" s="76"/>
      <c r="BO3425" s="76"/>
      <c r="BP3425" s="76"/>
      <c r="BQ3425" s="76"/>
      <c r="BR3425" s="76"/>
      <c r="BS3425" s="76"/>
      <c r="BT3425" s="76"/>
      <c r="BU3425" s="76"/>
      <c r="BV3425" s="76"/>
      <c r="BW3425" s="76"/>
      <c r="BX3425" s="76"/>
      <c r="BY3425" s="76"/>
      <c r="BZ3425" s="76"/>
      <c r="CA3425" s="76"/>
      <c r="CB3425" s="76"/>
      <c r="CC3425" s="76"/>
      <c r="CD3425" s="76"/>
      <c r="CE3425" s="76"/>
      <c r="CF3425" s="76">
        <f>+CE3425*28000</f>
        <v>0</v>
      </c>
      <c r="CG3425" s="76"/>
      <c r="CH3425" s="76">
        <f>+CG3425*22500</f>
        <v>0</v>
      </c>
      <c r="CI3425" s="76"/>
      <c r="CJ3425" s="76">
        <f>+CI3425*26000</f>
        <v>0</v>
      </c>
      <c r="CK3425" s="76"/>
      <c r="CL3425" s="76"/>
      <c r="CM3425" s="76"/>
      <c r="CN3425" s="76">
        <f>+CM3425*22000</f>
        <v>0</v>
      </c>
      <c r="CO3425" s="76"/>
      <c r="CP3425" s="76">
        <f>+CO3425*46000</f>
        <v>0</v>
      </c>
      <c r="CQ3425" s="76"/>
      <c r="CR3425" s="76">
        <f>+CQ3425*49000</f>
        <v>0</v>
      </c>
      <c r="CS3425" s="76"/>
      <c r="CT3425" s="76"/>
      <c r="CU3425" s="56">
        <f>AN3425+AP3425+AR3425+AT3425+AV3425+AX3425+AZ3425+BB3425+BD3425+BF3425+BH3425+BJ3425+BL3425+BN3425+BP3425+BR3425+BT3425+BV3425+BX3425+BZ3425+CB3425+CD3425+CF3425+CH3425+CJ3425+CL3425+CN3425+CP3425+CR3425+CT3425</f>
        <v>0</v>
      </c>
      <c r="CV3425" s="76"/>
      <c r="CW3425" s="76">
        <f>+CV3425*1100</f>
        <v>0</v>
      </c>
      <c r="CX3425" s="76"/>
      <c r="CY3425" s="76">
        <f>+CX3425*106250</f>
        <v>0</v>
      </c>
      <c r="CZ3425" s="76"/>
      <c r="DA3425" s="76">
        <f>+CZ3425*34500</f>
        <v>0</v>
      </c>
      <c r="DB3425" s="76"/>
      <c r="DC3425" s="76">
        <f>+DB3425*25000</f>
        <v>0</v>
      </c>
      <c r="DD3425" s="219"/>
      <c r="DE3425" s="219"/>
      <c r="DF3425" s="166"/>
      <c r="DG3425" s="116"/>
      <c r="DH3425" s="117"/>
      <c r="DI3425" s="24"/>
      <c r="DJ3425" s="24"/>
      <c r="DK3425" s="24"/>
      <c r="DL3425" s="24"/>
      <c r="DM3425" s="24"/>
      <c r="DN3425" s="24"/>
      <c r="DO3425" s="24"/>
      <c r="DP3425" s="24"/>
      <c r="DQ3425" s="24"/>
      <c r="DR3425" s="24"/>
      <c r="DS3425" s="24"/>
      <c r="DT3425" s="24"/>
      <c r="DU3425" s="24"/>
    </row>
    <row r="3426" spans="1:125" s="8" customFormat="1" ht="168" x14ac:dyDescent="0.2">
      <c r="A3426" s="77">
        <v>41567</v>
      </c>
      <c r="B3426" s="352" t="s">
        <v>2772</v>
      </c>
      <c r="C3426" s="354" t="s">
        <v>2834</v>
      </c>
      <c r="D3426" s="354" t="s">
        <v>2882</v>
      </c>
      <c r="E3426" s="75" t="str">
        <f>VLOOKUP(B3426&amp;C3426,Divipola!$C$2:$F$1138,4,FALSE)</f>
        <v>25851</v>
      </c>
      <c r="F3426" s="87"/>
      <c r="G3426" s="87"/>
      <c r="H3426" s="87"/>
      <c r="I3426" s="87">
        <v>110</v>
      </c>
      <c r="J3426" s="87">
        <v>22</v>
      </c>
      <c r="K3426" s="87"/>
      <c r="L3426" s="87">
        <v>22</v>
      </c>
      <c r="M3426" s="87"/>
      <c r="N3426" s="87"/>
      <c r="O3426" s="87"/>
      <c r="P3426" s="87"/>
      <c r="Q3426" s="87"/>
      <c r="R3426" s="87"/>
      <c r="S3426" s="87"/>
      <c r="T3426" s="87"/>
      <c r="U3426" s="88"/>
      <c r="V3426" s="89"/>
      <c r="W3426" s="96">
        <v>0</v>
      </c>
      <c r="X3426" s="71">
        <f>CU3426</f>
        <v>0</v>
      </c>
      <c r="Y3426" s="71">
        <f>CY3426</f>
        <v>0</v>
      </c>
      <c r="Z3426" s="71">
        <f>DA3426+DC3426+DE3426</f>
        <v>0</v>
      </c>
      <c r="AA3426" s="71">
        <f>CW3426</f>
        <v>0</v>
      </c>
      <c r="AB3426" s="71"/>
      <c r="AC3426" s="71">
        <v>0</v>
      </c>
      <c r="AD3426" s="71">
        <f>W3426+X3426+Y3426+Z3426+AA3426+AB3426+AC3426</f>
        <v>0</v>
      </c>
      <c r="AE3426" s="72">
        <v>0</v>
      </c>
      <c r="AF3426" s="5"/>
      <c r="AG3426" s="6"/>
      <c r="AH3426" s="27"/>
      <c r="AI3426" s="44"/>
      <c r="AJ3426" s="26"/>
      <c r="AK3426" s="5"/>
      <c r="AL3426" s="82" t="s">
        <v>6394</v>
      </c>
      <c r="AM3426" s="76"/>
      <c r="AN3426" s="76"/>
      <c r="AO3426" s="76"/>
      <c r="AP3426" s="76"/>
      <c r="AQ3426" s="76"/>
      <c r="AR3426" s="76"/>
      <c r="AS3426" s="76"/>
      <c r="AT3426" s="76"/>
      <c r="AU3426" s="76"/>
      <c r="AV3426" s="76"/>
      <c r="AW3426" s="76"/>
      <c r="AX3426" s="76">
        <f>+AW3426*600000</f>
        <v>0</v>
      </c>
      <c r="AY3426" s="76"/>
      <c r="AZ3426" s="76">
        <f>+AY3426*70000</f>
        <v>0</v>
      </c>
      <c r="BA3426" s="76"/>
      <c r="BB3426" s="76"/>
      <c r="BC3426" s="76"/>
      <c r="BD3426" s="76">
        <f>+BC3426*30000</f>
        <v>0</v>
      </c>
      <c r="BE3426" s="76"/>
      <c r="BF3426" s="76"/>
      <c r="BG3426" s="76"/>
      <c r="BH3426" s="76"/>
      <c r="BI3426" s="76"/>
      <c r="BJ3426" s="76"/>
      <c r="BK3426" s="76"/>
      <c r="BL3426" s="76">
        <f>+BK3426*31500</f>
        <v>0</v>
      </c>
      <c r="BM3426" s="76"/>
      <c r="BN3426" s="76"/>
      <c r="BO3426" s="76"/>
      <c r="BP3426" s="76"/>
      <c r="BQ3426" s="76"/>
      <c r="BR3426" s="76"/>
      <c r="BS3426" s="76"/>
      <c r="BT3426" s="76"/>
      <c r="BU3426" s="76"/>
      <c r="BV3426" s="76"/>
      <c r="BW3426" s="76"/>
      <c r="BX3426" s="76"/>
      <c r="BY3426" s="76"/>
      <c r="BZ3426" s="76"/>
      <c r="CA3426" s="76"/>
      <c r="CB3426" s="76"/>
      <c r="CC3426" s="76"/>
      <c r="CD3426" s="76"/>
      <c r="CE3426" s="76"/>
      <c r="CF3426" s="76">
        <f>+CE3426*28000</f>
        <v>0</v>
      </c>
      <c r="CG3426" s="76"/>
      <c r="CH3426" s="76">
        <f>+CG3426*22500</f>
        <v>0</v>
      </c>
      <c r="CI3426" s="76"/>
      <c r="CJ3426" s="76">
        <f>+CI3426*26000</f>
        <v>0</v>
      </c>
      <c r="CK3426" s="76"/>
      <c r="CL3426" s="76"/>
      <c r="CM3426" s="76"/>
      <c r="CN3426" s="76">
        <f>+CM3426*22000</f>
        <v>0</v>
      </c>
      <c r="CO3426" s="76"/>
      <c r="CP3426" s="76">
        <f>+CO3426*46000</f>
        <v>0</v>
      </c>
      <c r="CQ3426" s="76"/>
      <c r="CR3426" s="76">
        <f>+CQ3426*49000</f>
        <v>0</v>
      </c>
      <c r="CS3426" s="76"/>
      <c r="CT3426" s="76"/>
      <c r="CU3426" s="56">
        <f>AN3426+AP3426+AR3426+AT3426+AV3426+AX3426+AZ3426+BB3426+BD3426+BF3426+BH3426+BJ3426+BL3426+BN3426+BP3426+BR3426+BT3426+BV3426+BX3426+BZ3426+CB3426+CD3426+CF3426+CH3426+CJ3426+CL3426+CN3426+CP3426+CR3426+CT3426</f>
        <v>0</v>
      </c>
      <c r="CV3426" s="76"/>
      <c r="CW3426" s="76">
        <f>+CV3426*1100</f>
        <v>0</v>
      </c>
      <c r="CX3426" s="76"/>
      <c r="CY3426" s="76">
        <f>+CX3426*106250</f>
        <v>0</v>
      </c>
      <c r="CZ3426" s="76"/>
      <c r="DA3426" s="76">
        <f>+CZ3426*34500</f>
        <v>0</v>
      </c>
      <c r="DB3426" s="76"/>
      <c r="DC3426" s="76">
        <f>+DB3426*25000</f>
        <v>0</v>
      </c>
      <c r="DD3426" s="219"/>
      <c r="DE3426" s="219"/>
      <c r="DF3426" s="166"/>
      <c r="DG3426" s="116"/>
      <c r="DH3426" s="117"/>
      <c r="DI3426" s="24"/>
      <c r="DJ3426" s="24"/>
      <c r="DK3426" s="24"/>
      <c r="DL3426" s="24"/>
      <c r="DM3426" s="24"/>
      <c r="DN3426" s="24"/>
      <c r="DO3426" s="24"/>
      <c r="DP3426" s="24"/>
      <c r="DQ3426" s="24"/>
      <c r="DR3426" s="24"/>
      <c r="DS3426" s="24"/>
      <c r="DT3426" s="24"/>
      <c r="DU3426" s="24"/>
    </row>
    <row r="3427" spans="1:125" s="8" customFormat="1" ht="60" x14ac:dyDescent="0.2">
      <c r="A3427" s="353">
        <v>41567</v>
      </c>
      <c r="B3427" s="352" t="s">
        <v>2852</v>
      </c>
      <c r="C3427" s="354" t="s">
        <v>1327</v>
      </c>
      <c r="D3427" s="354" t="s">
        <v>4391</v>
      </c>
      <c r="E3427" s="75" t="str">
        <f>VLOOKUP(B3427&amp;C3427,Divipola!$C$2:$F$1138,4,FALSE)</f>
        <v>27001</v>
      </c>
      <c r="F3427" s="87">
        <v>1</v>
      </c>
      <c r="G3427" s="87"/>
      <c r="H3427" s="87">
        <v>1</v>
      </c>
      <c r="I3427" s="87"/>
      <c r="J3427" s="87"/>
      <c r="K3427" s="87"/>
      <c r="L3427" s="87"/>
      <c r="M3427" s="87"/>
      <c r="N3427" s="87"/>
      <c r="O3427" s="87"/>
      <c r="P3427" s="87"/>
      <c r="Q3427" s="87"/>
      <c r="R3427" s="87"/>
      <c r="S3427" s="87"/>
      <c r="T3427" s="87"/>
      <c r="U3427" s="88"/>
      <c r="V3427" s="89"/>
      <c r="W3427" s="96">
        <v>0</v>
      </c>
      <c r="X3427" s="71">
        <f>CU3427</f>
        <v>0</v>
      </c>
      <c r="Y3427" s="71">
        <f>CY3427</f>
        <v>0</v>
      </c>
      <c r="Z3427" s="71">
        <f>DA3427+DC3427+DE3427</f>
        <v>0</v>
      </c>
      <c r="AA3427" s="71">
        <f>CW3427</f>
        <v>0</v>
      </c>
      <c r="AB3427" s="71"/>
      <c r="AC3427" s="71">
        <v>0</v>
      </c>
      <c r="AD3427" s="71">
        <f>W3427+X3427+Y3427+Z3427+AA3427+AB3427+AC3427</f>
        <v>0</v>
      </c>
      <c r="AE3427" s="72">
        <v>0</v>
      </c>
      <c r="AF3427" s="5"/>
      <c r="AG3427" s="6"/>
      <c r="AH3427" s="27"/>
      <c r="AI3427" s="44"/>
      <c r="AJ3427" s="26"/>
      <c r="AK3427" s="5"/>
      <c r="AL3427" s="82" t="s">
        <v>6401</v>
      </c>
      <c r="AM3427" s="76"/>
      <c r="AN3427" s="76"/>
      <c r="AO3427" s="76"/>
      <c r="AP3427" s="76"/>
      <c r="AQ3427" s="76"/>
      <c r="AR3427" s="76"/>
      <c r="AS3427" s="76"/>
      <c r="AT3427" s="76"/>
      <c r="AU3427" s="76"/>
      <c r="AV3427" s="76"/>
      <c r="AW3427" s="76"/>
      <c r="AX3427" s="76">
        <f>+AW3427*600000</f>
        <v>0</v>
      </c>
      <c r="AY3427" s="76"/>
      <c r="AZ3427" s="76">
        <f>+AY3427*70000</f>
        <v>0</v>
      </c>
      <c r="BA3427" s="76"/>
      <c r="BB3427" s="76"/>
      <c r="BC3427" s="76"/>
      <c r="BD3427" s="76">
        <f>+BC3427*30000</f>
        <v>0</v>
      </c>
      <c r="BE3427" s="76"/>
      <c r="BF3427" s="76"/>
      <c r="BG3427" s="76"/>
      <c r="BH3427" s="76"/>
      <c r="BI3427" s="76"/>
      <c r="BJ3427" s="76"/>
      <c r="BK3427" s="76"/>
      <c r="BL3427" s="76">
        <f>+BK3427*31500</f>
        <v>0</v>
      </c>
      <c r="BM3427" s="76"/>
      <c r="BN3427" s="76"/>
      <c r="BO3427" s="76"/>
      <c r="BP3427" s="76"/>
      <c r="BQ3427" s="76"/>
      <c r="BR3427" s="76"/>
      <c r="BS3427" s="76"/>
      <c r="BT3427" s="76"/>
      <c r="BU3427" s="76"/>
      <c r="BV3427" s="76"/>
      <c r="BW3427" s="76"/>
      <c r="BX3427" s="76"/>
      <c r="BY3427" s="76"/>
      <c r="BZ3427" s="76"/>
      <c r="CA3427" s="76"/>
      <c r="CB3427" s="76"/>
      <c r="CC3427" s="76"/>
      <c r="CD3427" s="76"/>
      <c r="CE3427" s="76"/>
      <c r="CF3427" s="76">
        <f>+CE3427*28000</f>
        <v>0</v>
      </c>
      <c r="CG3427" s="76"/>
      <c r="CH3427" s="76">
        <f>+CG3427*22500</f>
        <v>0</v>
      </c>
      <c r="CI3427" s="76"/>
      <c r="CJ3427" s="76">
        <f>+CI3427*26000</f>
        <v>0</v>
      </c>
      <c r="CK3427" s="76"/>
      <c r="CL3427" s="76"/>
      <c r="CM3427" s="76"/>
      <c r="CN3427" s="76">
        <f>+CM3427*22000</f>
        <v>0</v>
      </c>
      <c r="CO3427" s="76"/>
      <c r="CP3427" s="76">
        <f>+CO3427*46000</f>
        <v>0</v>
      </c>
      <c r="CQ3427" s="76"/>
      <c r="CR3427" s="76">
        <f>+CQ3427*49000</f>
        <v>0</v>
      </c>
      <c r="CS3427" s="76"/>
      <c r="CT3427" s="76"/>
      <c r="CU3427" s="56">
        <f>AN3427+AP3427+AR3427+AT3427+AV3427+AX3427+AZ3427+BB3427+BD3427+BF3427+BH3427+BJ3427+BL3427+BN3427+BP3427+BR3427+BT3427+BV3427+BX3427+BZ3427+CB3427+CD3427+CF3427+CH3427+CJ3427+CL3427+CN3427+CP3427+CR3427+CT3427</f>
        <v>0</v>
      </c>
      <c r="CV3427" s="76"/>
      <c r="CW3427" s="76">
        <f>+CV3427*1100</f>
        <v>0</v>
      </c>
      <c r="CX3427" s="76"/>
      <c r="CY3427" s="76">
        <f>+CX3427*106250</f>
        <v>0</v>
      </c>
      <c r="CZ3427" s="76"/>
      <c r="DA3427" s="76">
        <f>+CZ3427*34500</f>
        <v>0</v>
      </c>
      <c r="DB3427" s="76"/>
      <c r="DC3427" s="76">
        <f>+DB3427*25000</f>
        <v>0</v>
      </c>
      <c r="DD3427" s="219"/>
      <c r="DE3427" s="219"/>
      <c r="DF3427" s="166"/>
      <c r="DG3427" s="116"/>
      <c r="DH3427" s="117"/>
      <c r="DI3427" s="24"/>
      <c r="DJ3427" s="24"/>
      <c r="DK3427" s="24"/>
      <c r="DL3427" s="24"/>
      <c r="DM3427" s="24"/>
      <c r="DN3427" s="24"/>
      <c r="DO3427" s="24"/>
      <c r="DP3427" s="24"/>
      <c r="DQ3427" s="24"/>
      <c r="DR3427" s="24"/>
      <c r="DS3427" s="24"/>
      <c r="DT3427" s="24"/>
      <c r="DU3427" s="24"/>
    </row>
    <row r="3428" spans="1:125" s="8" customFormat="1" ht="84" x14ac:dyDescent="0.2">
      <c r="A3428" s="353">
        <v>41567</v>
      </c>
      <c r="B3428" s="352" t="s">
        <v>2848</v>
      </c>
      <c r="C3428" s="354" t="s">
        <v>2077</v>
      </c>
      <c r="D3428" s="354" t="s">
        <v>3205</v>
      </c>
      <c r="E3428" s="75" t="str">
        <f>VLOOKUP(B3428&amp;C3428,Divipola!$C$2:$F$1138,4,FALSE)</f>
        <v>73411</v>
      </c>
      <c r="F3428" s="87"/>
      <c r="G3428" s="87"/>
      <c r="H3428" s="87"/>
      <c r="I3428" s="87">
        <v>34</v>
      </c>
      <c r="J3428" s="87">
        <v>8</v>
      </c>
      <c r="K3428" s="87"/>
      <c r="L3428" s="87">
        <v>8</v>
      </c>
      <c r="M3428" s="87"/>
      <c r="N3428" s="87"/>
      <c r="O3428" s="87"/>
      <c r="P3428" s="87"/>
      <c r="Q3428" s="87"/>
      <c r="R3428" s="87"/>
      <c r="S3428" s="87"/>
      <c r="T3428" s="87"/>
      <c r="U3428" s="88"/>
      <c r="V3428" s="89"/>
      <c r="W3428" s="96">
        <v>0</v>
      </c>
      <c r="X3428" s="71">
        <f>CU3428</f>
        <v>0</v>
      </c>
      <c r="Y3428" s="71">
        <f>CY3428</f>
        <v>0</v>
      </c>
      <c r="Z3428" s="71">
        <f>DA3428+DC3428+DE3428</f>
        <v>0</v>
      </c>
      <c r="AA3428" s="71">
        <f>CW3428</f>
        <v>0</v>
      </c>
      <c r="AB3428" s="71"/>
      <c r="AC3428" s="71">
        <v>0</v>
      </c>
      <c r="AD3428" s="71">
        <f>W3428+X3428+Y3428+Z3428+AA3428+AB3428+AC3428</f>
        <v>0</v>
      </c>
      <c r="AE3428" s="72">
        <v>0</v>
      </c>
      <c r="AF3428" s="5"/>
      <c r="AG3428" s="6"/>
      <c r="AH3428" s="27"/>
      <c r="AI3428" s="44"/>
      <c r="AJ3428" s="26"/>
      <c r="AK3428" s="5"/>
      <c r="AL3428" s="274" t="s">
        <v>6412</v>
      </c>
      <c r="AM3428" s="76"/>
      <c r="AN3428" s="76"/>
      <c r="AO3428" s="76"/>
      <c r="AP3428" s="76"/>
      <c r="AQ3428" s="76"/>
      <c r="AR3428" s="76"/>
      <c r="AS3428" s="76"/>
      <c r="AT3428" s="76"/>
      <c r="AU3428" s="76"/>
      <c r="AV3428" s="76"/>
      <c r="AW3428" s="76"/>
      <c r="AX3428" s="76">
        <f>+AW3428*600000</f>
        <v>0</v>
      </c>
      <c r="AY3428" s="76"/>
      <c r="AZ3428" s="76">
        <f>+AY3428*70000</f>
        <v>0</v>
      </c>
      <c r="BA3428" s="76"/>
      <c r="BB3428" s="76"/>
      <c r="BC3428" s="76"/>
      <c r="BD3428" s="76">
        <f>+BC3428*30000</f>
        <v>0</v>
      </c>
      <c r="BE3428" s="76"/>
      <c r="BF3428" s="76"/>
      <c r="BG3428" s="76"/>
      <c r="BH3428" s="76"/>
      <c r="BI3428" s="76"/>
      <c r="BJ3428" s="76"/>
      <c r="BK3428" s="76"/>
      <c r="BL3428" s="76">
        <f>+BK3428*31500</f>
        <v>0</v>
      </c>
      <c r="BM3428" s="76"/>
      <c r="BN3428" s="76"/>
      <c r="BO3428" s="76"/>
      <c r="BP3428" s="76"/>
      <c r="BQ3428" s="76"/>
      <c r="BR3428" s="76"/>
      <c r="BS3428" s="76"/>
      <c r="BT3428" s="76"/>
      <c r="BU3428" s="76"/>
      <c r="BV3428" s="76"/>
      <c r="BW3428" s="76"/>
      <c r="BX3428" s="76"/>
      <c r="BY3428" s="76"/>
      <c r="BZ3428" s="76"/>
      <c r="CA3428" s="76"/>
      <c r="CB3428" s="76"/>
      <c r="CC3428" s="76"/>
      <c r="CD3428" s="76"/>
      <c r="CE3428" s="76"/>
      <c r="CF3428" s="76">
        <f>+CE3428*28000</f>
        <v>0</v>
      </c>
      <c r="CG3428" s="76"/>
      <c r="CH3428" s="76">
        <f>+CG3428*22500</f>
        <v>0</v>
      </c>
      <c r="CI3428" s="76"/>
      <c r="CJ3428" s="76">
        <f>+CI3428*26000</f>
        <v>0</v>
      </c>
      <c r="CK3428" s="76"/>
      <c r="CL3428" s="76"/>
      <c r="CM3428" s="76"/>
      <c r="CN3428" s="76">
        <f>+CM3428*22000</f>
        <v>0</v>
      </c>
      <c r="CO3428" s="76"/>
      <c r="CP3428" s="76">
        <f>+CO3428*46000</f>
        <v>0</v>
      </c>
      <c r="CQ3428" s="76"/>
      <c r="CR3428" s="76">
        <f>+CQ3428*49000</f>
        <v>0</v>
      </c>
      <c r="CS3428" s="76"/>
      <c r="CT3428" s="76"/>
      <c r="CU3428" s="56">
        <f>AN3428+AP3428+AR3428+AT3428+AV3428+AX3428+AZ3428+BB3428+BD3428+BF3428+BH3428+BJ3428+BL3428+BN3428+BP3428+BR3428+BT3428+BV3428+BX3428+BZ3428+CB3428+CD3428+CF3428+CH3428+CJ3428+CL3428+CN3428+CP3428+CR3428+CT3428</f>
        <v>0</v>
      </c>
      <c r="CV3428" s="76"/>
      <c r="CW3428" s="76">
        <f>+CV3428*1100</f>
        <v>0</v>
      </c>
      <c r="CX3428" s="76"/>
      <c r="CY3428" s="76">
        <f>+CX3428*106250</f>
        <v>0</v>
      </c>
      <c r="CZ3428" s="76"/>
      <c r="DA3428" s="76">
        <f>+CZ3428*34500</f>
        <v>0</v>
      </c>
      <c r="DB3428" s="76"/>
      <c r="DC3428" s="76">
        <f>+DB3428*25000</f>
        <v>0</v>
      </c>
      <c r="DD3428" s="219"/>
      <c r="DE3428" s="219"/>
      <c r="DF3428" s="166"/>
      <c r="DG3428" s="116"/>
      <c r="DH3428" s="117"/>
      <c r="DI3428" s="24"/>
      <c r="DJ3428" s="24"/>
      <c r="DK3428" s="24"/>
      <c r="DL3428" s="24"/>
      <c r="DM3428" s="24"/>
      <c r="DN3428" s="24"/>
      <c r="DO3428" s="24"/>
      <c r="DP3428" s="24"/>
      <c r="DQ3428" s="24"/>
      <c r="DR3428" s="24"/>
      <c r="DS3428" s="24"/>
      <c r="DT3428" s="24"/>
      <c r="DU3428" s="24"/>
    </row>
    <row r="3429" spans="1:125" s="8" customFormat="1" ht="24" x14ac:dyDescent="0.2">
      <c r="A3429" s="77">
        <v>41567</v>
      </c>
      <c r="B3429" s="78" t="s">
        <v>2880</v>
      </c>
      <c r="C3429" s="75" t="s">
        <v>241</v>
      </c>
      <c r="D3429" s="75" t="s">
        <v>3088</v>
      </c>
      <c r="E3429" s="75" t="str">
        <f>VLOOKUP(B3429&amp;C3429,Divipola!$C$2:$F$1138,4,FALSE)</f>
        <v>54313</v>
      </c>
      <c r="F3429" s="61"/>
      <c r="G3429" s="61"/>
      <c r="H3429" s="61"/>
      <c r="I3429" s="61"/>
      <c r="J3429" s="61"/>
      <c r="K3429" s="61"/>
      <c r="L3429" s="61"/>
      <c r="M3429" s="61"/>
      <c r="N3429" s="61"/>
      <c r="O3429" s="61"/>
      <c r="P3429" s="61"/>
      <c r="Q3429" s="61"/>
      <c r="R3429" s="61"/>
      <c r="S3429" s="61"/>
      <c r="T3429" s="61"/>
      <c r="U3429" s="61"/>
      <c r="V3429" s="7"/>
      <c r="W3429" s="96">
        <v>0</v>
      </c>
      <c r="X3429" s="71">
        <f>CU3429</f>
        <v>0</v>
      </c>
      <c r="Y3429" s="71">
        <f>CY3429</f>
        <v>165431250</v>
      </c>
      <c r="Z3429" s="71">
        <f>DA3429+DC3429+DE3429</f>
        <v>0</v>
      </c>
      <c r="AA3429" s="71">
        <f>CW3429</f>
        <v>0</v>
      </c>
      <c r="AB3429" s="71"/>
      <c r="AC3429" s="71">
        <v>0</v>
      </c>
      <c r="AD3429" s="71">
        <f>W3429+X3429+Y3429+Z3429+AA3429+AB3429+AC3429</f>
        <v>165431250</v>
      </c>
      <c r="AE3429" s="72">
        <v>0</v>
      </c>
      <c r="AF3429" s="5"/>
      <c r="AG3429" s="6"/>
      <c r="AH3429" s="27"/>
      <c r="AI3429" s="44"/>
      <c r="AJ3429" s="26"/>
      <c r="AK3429" s="5"/>
      <c r="AL3429" s="82" t="s">
        <v>3089</v>
      </c>
      <c r="AM3429" s="76"/>
      <c r="AN3429" s="76"/>
      <c r="AO3429" s="76"/>
      <c r="AP3429" s="76"/>
      <c r="AQ3429" s="76"/>
      <c r="AR3429" s="76"/>
      <c r="AS3429" s="76"/>
      <c r="AT3429" s="76"/>
      <c r="AU3429" s="76"/>
      <c r="AV3429" s="76"/>
      <c r="AW3429" s="76"/>
      <c r="AX3429" s="76">
        <f>+AW3429*600000</f>
        <v>0</v>
      </c>
      <c r="AY3429" s="76"/>
      <c r="AZ3429" s="76">
        <f>+AY3429*70000</f>
        <v>0</v>
      </c>
      <c r="BA3429" s="76"/>
      <c r="BB3429" s="76"/>
      <c r="BC3429" s="76"/>
      <c r="BD3429" s="76">
        <f>+BC3429*30000</f>
        <v>0</v>
      </c>
      <c r="BE3429" s="76"/>
      <c r="BF3429" s="76"/>
      <c r="BG3429" s="76"/>
      <c r="BH3429" s="76"/>
      <c r="BI3429" s="76"/>
      <c r="BJ3429" s="76"/>
      <c r="BK3429" s="76"/>
      <c r="BL3429" s="76">
        <f>+BK3429*31500</f>
        <v>0</v>
      </c>
      <c r="BM3429" s="76"/>
      <c r="BN3429" s="76"/>
      <c r="BO3429" s="76"/>
      <c r="BP3429" s="76"/>
      <c r="BQ3429" s="76"/>
      <c r="BR3429" s="76"/>
      <c r="BS3429" s="76"/>
      <c r="BT3429" s="76"/>
      <c r="BU3429" s="76"/>
      <c r="BV3429" s="76"/>
      <c r="BW3429" s="76"/>
      <c r="BX3429" s="76"/>
      <c r="BY3429" s="76"/>
      <c r="BZ3429" s="76"/>
      <c r="CA3429" s="76"/>
      <c r="CB3429" s="76"/>
      <c r="CC3429" s="76"/>
      <c r="CD3429" s="76"/>
      <c r="CE3429" s="76"/>
      <c r="CF3429" s="76">
        <f>+CE3429*28000</f>
        <v>0</v>
      </c>
      <c r="CG3429" s="76"/>
      <c r="CH3429" s="76">
        <f>+CG3429*22500</f>
        <v>0</v>
      </c>
      <c r="CI3429" s="76"/>
      <c r="CJ3429" s="76">
        <f>+CI3429*26000</f>
        <v>0</v>
      </c>
      <c r="CK3429" s="76"/>
      <c r="CL3429" s="76"/>
      <c r="CM3429" s="76"/>
      <c r="CN3429" s="76">
        <f>+CM3429*22000</f>
        <v>0</v>
      </c>
      <c r="CO3429" s="76"/>
      <c r="CP3429" s="76">
        <f>+CO3429*46000</f>
        <v>0</v>
      </c>
      <c r="CQ3429" s="76"/>
      <c r="CR3429" s="76">
        <f>+CQ3429*49000</f>
        <v>0</v>
      </c>
      <c r="CS3429" s="76"/>
      <c r="CT3429" s="76"/>
      <c r="CU3429" s="56">
        <f>AN3429+AP3429+AR3429+AT3429+AV3429+AX3429+AZ3429+BB3429+BD3429+BF3429+BH3429+BJ3429+BL3429+BN3429+BP3429+BR3429+BT3429+BV3429+BX3429+BZ3429+CB3429+CD3429+CF3429+CH3429+CJ3429+CL3429+CN3429+CP3429+CR3429+CT3429</f>
        <v>0</v>
      </c>
      <c r="CV3429" s="76"/>
      <c r="CW3429" s="76">
        <f>+CV3429*1100</f>
        <v>0</v>
      </c>
      <c r="CX3429" s="76">
        <v>1557</v>
      </c>
      <c r="CY3429" s="76">
        <f>+CX3429*106250</f>
        <v>165431250</v>
      </c>
      <c r="CZ3429" s="76"/>
      <c r="DA3429" s="76">
        <f>+CZ3429*34500</f>
        <v>0</v>
      </c>
      <c r="DB3429" s="76"/>
      <c r="DC3429" s="76">
        <f>+DB3429*25000</f>
        <v>0</v>
      </c>
      <c r="DD3429" s="219"/>
      <c r="DE3429" s="219"/>
      <c r="DF3429" s="166"/>
      <c r="DG3429" s="116"/>
      <c r="DH3429" s="117"/>
      <c r="DI3429" s="24"/>
      <c r="DJ3429" s="24"/>
      <c r="DK3429" s="24"/>
      <c r="DL3429" s="24"/>
      <c r="DM3429" s="24"/>
      <c r="DN3429" s="24"/>
      <c r="DO3429" s="24"/>
      <c r="DP3429" s="24"/>
      <c r="DQ3429" s="24"/>
      <c r="DR3429" s="24"/>
      <c r="DS3429" s="24"/>
      <c r="DT3429" s="24"/>
      <c r="DU3429" s="24"/>
    </row>
    <row r="3430" spans="1:125" s="8" customFormat="1" ht="132" x14ac:dyDescent="0.2">
      <c r="A3430" s="77">
        <v>41568</v>
      </c>
      <c r="B3430" s="352" t="s">
        <v>2774</v>
      </c>
      <c r="C3430" s="354" t="s">
        <v>1347</v>
      </c>
      <c r="D3430" s="354" t="s">
        <v>2882</v>
      </c>
      <c r="E3430" s="75" t="str">
        <f>VLOOKUP(B3430&amp;C3430,Divipola!$C$2:$F$1138,4,FALSE)</f>
        <v>66001</v>
      </c>
      <c r="F3430" s="87"/>
      <c r="G3430" s="87"/>
      <c r="H3430" s="87"/>
      <c r="I3430" s="87">
        <v>95</v>
      </c>
      <c r="J3430" s="87">
        <v>19</v>
      </c>
      <c r="K3430" s="87"/>
      <c r="L3430" s="87">
        <v>19</v>
      </c>
      <c r="M3430" s="87"/>
      <c r="N3430" s="87"/>
      <c r="O3430" s="87"/>
      <c r="P3430" s="87"/>
      <c r="Q3430" s="87"/>
      <c r="R3430" s="87"/>
      <c r="S3430" s="87"/>
      <c r="T3430" s="87"/>
      <c r="U3430" s="88"/>
      <c r="V3430" s="89"/>
      <c r="W3430" s="96">
        <v>0</v>
      </c>
      <c r="X3430" s="71">
        <f>CU3430</f>
        <v>0</v>
      </c>
      <c r="Y3430" s="71">
        <f>CY3430</f>
        <v>0</v>
      </c>
      <c r="Z3430" s="71">
        <f>DA3430+DC3430+DE3430</f>
        <v>0</v>
      </c>
      <c r="AA3430" s="71">
        <f>CW3430</f>
        <v>0</v>
      </c>
      <c r="AB3430" s="71"/>
      <c r="AC3430" s="71">
        <v>0</v>
      </c>
      <c r="AD3430" s="71">
        <f>W3430+X3430+Y3430+Z3430+AA3430+AB3430+AC3430</f>
        <v>0</v>
      </c>
      <c r="AE3430" s="72">
        <v>0</v>
      </c>
      <c r="AF3430" s="5"/>
      <c r="AG3430" s="6"/>
      <c r="AH3430" s="27"/>
      <c r="AI3430" s="44"/>
      <c r="AJ3430" s="26"/>
      <c r="AK3430" s="5"/>
      <c r="AL3430" s="82" t="s">
        <v>6377</v>
      </c>
      <c r="AM3430" s="76"/>
      <c r="AN3430" s="76"/>
      <c r="AO3430" s="76"/>
      <c r="AP3430" s="76"/>
      <c r="AQ3430" s="76"/>
      <c r="AR3430" s="76"/>
      <c r="AS3430" s="76"/>
      <c r="AT3430" s="76"/>
      <c r="AU3430" s="76"/>
      <c r="AV3430" s="76"/>
      <c r="AW3430" s="76"/>
      <c r="AX3430" s="76">
        <f>+AW3430*600000</f>
        <v>0</v>
      </c>
      <c r="AY3430" s="76"/>
      <c r="AZ3430" s="76">
        <f>+AY3430*70000</f>
        <v>0</v>
      </c>
      <c r="BA3430" s="76"/>
      <c r="BB3430" s="76"/>
      <c r="BC3430" s="76"/>
      <c r="BD3430" s="76">
        <f>+BC3430*30000</f>
        <v>0</v>
      </c>
      <c r="BE3430" s="76"/>
      <c r="BF3430" s="76"/>
      <c r="BG3430" s="76"/>
      <c r="BH3430" s="76"/>
      <c r="BI3430" s="76"/>
      <c r="BJ3430" s="76"/>
      <c r="BK3430" s="76"/>
      <c r="BL3430" s="76">
        <f>+BK3430*31500</f>
        <v>0</v>
      </c>
      <c r="BM3430" s="76"/>
      <c r="BN3430" s="76"/>
      <c r="BO3430" s="76"/>
      <c r="BP3430" s="76"/>
      <c r="BQ3430" s="76"/>
      <c r="BR3430" s="76"/>
      <c r="BS3430" s="76"/>
      <c r="BT3430" s="76"/>
      <c r="BU3430" s="76"/>
      <c r="BV3430" s="76"/>
      <c r="BW3430" s="76"/>
      <c r="BX3430" s="76"/>
      <c r="BY3430" s="76"/>
      <c r="BZ3430" s="76"/>
      <c r="CA3430" s="76"/>
      <c r="CB3430" s="76"/>
      <c r="CC3430" s="76"/>
      <c r="CD3430" s="76"/>
      <c r="CE3430" s="76"/>
      <c r="CF3430" s="76">
        <f>+CE3430*28000</f>
        <v>0</v>
      </c>
      <c r="CG3430" s="76"/>
      <c r="CH3430" s="76">
        <f>+CG3430*22500</f>
        <v>0</v>
      </c>
      <c r="CI3430" s="76"/>
      <c r="CJ3430" s="76">
        <f>+CI3430*26000</f>
        <v>0</v>
      </c>
      <c r="CK3430" s="76"/>
      <c r="CL3430" s="76"/>
      <c r="CM3430" s="76"/>
      <c r="CN3430" s="76">
        <f>+CM3430*22000</f>
        <v>0</v>
      </c>
      <c r="CO3430" s="76"/>
      <c r="CP3430" s="76">
        <f>+CO3430*46000</f>
        <v>0</v>
      </c>
      <c r="CQ3430" s="76"/>
      <c r="CR3430" s="76">
        <f>+CQ3430*49000</f>
        <v>0</v>
      </c>
      <c r="CS3430" s="76"/>
      <c r="CT3430" s="76"/>
      <c r="CU3430" s="56">
        <f>AN3430+AP3430+AR3430+AT3430+AV3430+AX3430+AZ3430+BB3430+BD3430+BF3430+BH3430+BJ3430+BL3430+BN3430+BP3430+BR3430+BT3430+BV3430+BX3430+BZ3430+CB3430+CD3430+CF3430+CH3430+CJ3430+CL3430+CN3430+CP3430+CR3430+CT3430</f>
        <v>0</v>
      </c>
      <c r="CV3430" s="76"/>
      <c r="CW3430" s="76">
        <f>+CV3430*1100</f>
        <v>0</v>
      </c>
      <c r="CX3430" s="76"/>
      <c r="CY3430" s="76">
        <f>+CX3430*106250</f>
        <v>0</v>
      </c>
      <c r="CZ3430" s="76"/>
      <c r="DA3430" s="76">
        <f>+CZ3430*34500</f>
        <v>0</v>
      </c>
      <c r="DB3430" s="76"/>
      <c r="DC3430" s="76">
        <f>+DB3430*25000</f>
        <v>0</v>
      </c>
      <c r="DD3430" s="219"/>
      <c r="DE3430" s="219"/>
      <c r="DF3430" s="166"/>
      <c r="DG3430" s="116"/>
      <c r="DH3430" s="117"/>
      <c r="DI3430" s="24"/>
      <c r="DJ3430" s="24"/>
      <c r="DK3430" s="24"/>
      <c r="DL3430" s="24"/>
      <c r="DM3430" s="24"/>
      <c r="DN3430" s="24"/>
      <c r="DO3430" s="24"/>
      <c r="DP3430" s="24"/>
      <c r="DQ3430" s="24"/>
      <c r="DR3430" s="24"/>
      <c r="DS3430" s="24"/>
      <c r="DT3430" s="24"/>
      <c r="DU3430" s="24"/>
    </row>
    <row r="3431" spans="1:125" s="8" customFormat="1" ht="60" x14ac:dyDescent="0.2">
      <c r="A3431" s="353">
        <v>41568</v>
      </c>
      <c r="B3431" s="78" t="s">
        <v>1326</v>
      </c>
      <c r="C3431" s="75" t="s">
        <v>1850</v>
      </c>
      <c r="D3431" s="75" t="s">
        <v>2882</v>
      </c>
      <c r="E3431" s="75" t="str">
        <f>VLOOKUP(B3431&amp;C3431,Divipola!$C$2:$F$1138,4,FALSE)</f>
        <v>70820</v>
      </c>
      <c r="F3431" s="87"/>
      <c r="G3431" s="87"/>
      <c r="H3431" s="87"/>
      <c r="I3431" s="87">
        <v>26</v>
      </c>
      <c r="J3431" s="87">
        <v>4</v>
      </c>
      <c r="K3431" s="87"/>
      <c r="L3431" s="87">
        <v>4</v>
      </c>
      <c r="M3431" s="87"/>
      <c r="N3431" s="87"/>
      <c r="O3431" s="87"/>
      <c r="P3431" s="87"/>
      <c r="Q3431" s="87"/>
      <c r="R3431" s="87"/>
      <c r="S3431" s="87"/>
      <c r="T3431" s="87"/>
      <c r="U3431" s="88"/>
      <c r="V3431" s="89"/>
      <c r="W3431" s="96">
        <v>0</v>
      </c>
      <c r="X3431" s="71">
        <f>CU3431</f>
        <v>0</v>
      </c>
      <c r="Y3431" s="71">
        <f>CY3431</f>
        <v>0</v>
      </c>
      <c r="Z3431" s="71">
        <f>DA3431+DC3431+DE3431</f>
        <v>0</v>
      </c>
      <c r="AA3431" s="71">
        <f>CW3431</f>
        <v>0</v>
      </c>
      <c r="AB3431" s="71"/>
      <c r="AC3431" s="71">
        <v>0</v>
      </c>
      <c r="AD3431" s="71">
        <f>W3431+X3431+Y3431+Z3431+AA3431+AB3431+AC3431</f>
        <v>0</v>
      </c>
      <c r="AE3431" s="72">
        <v>0</v>
      </c>
      <c r="AF3431" s="5"/>
      <c r="AG3431" s="6"/>
      <c r="AH3431" s="27"/>
      <c r="AI3431" s="44"/>
      <c r="AJ3431" s="26"/>
      <c r="AK3431" s="5"/>
      <c r="AL3431" s="82" t="s">
        <v>6380</v>
      </c>
      <c r="AM3431" s="76"/>
      <c r="AN3431" s="76"/>
      <c r="AO3431" s="76"/>
      <c r="AP3431" s="76"/>
      <c r="AQ3431" s="76"/>
      <c r="AR3431" s="76"/>
      <c r="AS3431" s="76"/>
      <c r="AT3431" s="76"/>
      <c r="AU3431" s="76"/>
      <c r="AV3431" s="76"/>
      <c r="AW3431" s="76"/>
      <c r="AX3431" s="76">
        <f>+AW3431*600000</f>
        <v>0</v>
      </c>
      <c r="AY3431" s="76"/>
      <c r="AZ3431" s="76">
        <f>+AY3431*70000</f>
        <v>0</v>
      </c>
      <c r="BA3431" s="76"/>
      <c r="BB3431" s="76"/>
      <c r="BC3431" s="76"/>
      <c r="BD3431" s="76">
        <f>+BC3431*30000</f>
        <v>0</v>
      </c>
      <c r="BE3431" s="76"/>
      <c r="BF3431" s="76"/>
      <c r="BG3431" s="76"/>
      <c r="BH3431" s="76"/>
      <c r="BI3431" s="76"/>
      <c r="BJ3431" s="76"/>
      <c r="BK3431" s="76"/>
      <c r="BL3431" s="76">
        <f>+BK3431*31500</f>
        <v>0</v>
      </c>
      <c r="BM3431" s="76"/>
      <c r="BN3431" s="76"/>
      <c r="BO3431" s="76"/>
      <c r="BP3431" s="76"/>
      <c r="BQ3431" s="76"/>
      <c r="BR3431" s="76"/>
      <c r="BS3431" s="76"/>
      <c r="BT3431" s="76"/>
      <c r="BU3431" s="76"/>
      <c r="BV3431" s="76"/>
      <c r="BW3431" s="76"/>
      <c r="BX3431" s="76"/>
      <c r="BY3431" s="76"/>
      <c r="BZ3431" s="76"/>
      <c r="CA3431" s="76"/>
      <c r="CB3431" s="76"/>
      <c r="CC3431" s="76"/>
      <c r="CD3431" s="76"/>
      <c r="CE3431" s="76"/>
      <c r="CF3431" s="76">
        <f>+CE3431*28000</f>
        <v>0</v>
      </c>
      <c r="CG3431" s="76"/>
      <c r="CH3431" s="76">
        <f>+CG3431*22500</f>
        <v>0</v>
      </c>
      <c r="CI3431" s="76"/>
      <c r="CJ3431" s="76">
        <f>+CI3431*26000</f>
        <v>0</v>
      </c>
      <c r="CK3431" s="76"/>
      <c r="CL3431" s="76"/>
      <c r="CM3431" s="76"/>
      <c r="CN3431" s="76">
        <f>+CM3431*22000</f>
        <v>0</v>
      </c>
      <c r="CO3431" s="76"/>
      <c r="CP3431" s="76">
        <f>+CO3431*46000</f>
        <v>0</v>
      </c>
      <c r="CQ3431" s="76"/>
      <c r="CR3431" s="76">
        <f>+CQ3431*49000</f>
        <v>0</v>
      </c>
      <c r="CS3431" s="76"/>
      <c r="CT3431" s="76"/>
      <c r="CU3431" s="56">
        <f>AN3431+AP3431+AR3431+AT3431+AV3431+AX3431+AZ3431+BB3431+BD3431+BF3431+BH3431+BJ3431+BL3431+BN3431+BP3431+BR3431+BT3431+BV3431+BX3431+BZ3431+CB3431+CD3431+CF3431+CH3431+CJ3431+CL3431+CN3431+CP3431+CR3431+CT3431</f>
        <v>0</v>
      </c>
      <c r="CV3431" s="76"/>
      <c r="CW3431" s="76">
        <f>+CV3431*1100</f>
        <v>0</v>
      </c>
      <c r="CX3431" s="76"/>
      <c r="CY3431" s="76">
        <f>+CX3431*106250</f>
        <v>0</v>
      </c>
      <c r="CZ3431" s="76"/>
      <c r="DA3431" s="76">
        <f>+CZ3431*34500</f>
        <v>0</v>
      </c>
      <c r="DB3431" s="76"/>
      <c r="DC3431" s="76">
        <f>+DB3431*25000</f>
        <v>0</v>
      </c>
      <c r="DD3431" s="219"/>
      <c r="DE3431" s="219"/>
      <c r="DF3431" s="166"/>
      <c r="DG3431" s="116"/>
      <c r="DH3431" s="117"/>
      <c r="DI3431" s="24"/>
      <c r="DJ3431" s="24"/>
      <c r="DK3431" s="24"/>
      <c r="DL3431" s="24"/>
      <c r="DM3431" s="24"/>
      <c r="DN3431" s="24"/>
      <c r="DO3431" s="24"/>
      <c r="DP3431" s="24"/>
      <c r="DQ3431" s="24"/>
      <c r="DR3431" s="24"/>
      <c r="DS3431" s="24"/>
      <c r="DT3431" s="24"/>
      <c r="DU3431" s="24"/>
    </row>
    <row r="3432" spans="1:125" s="8" customFormat="1" ht="96" x14ac:dyDescent="0.2">
      <c r="A3432" s="77">
        <v>41568</v>
      </c>
      <c r="B3432" s="78" t="s">
        <v>2848</v>
      </c>
      <c r="C3432" s="75" t="s">
        <v>2737</v>
      </c>
      <c r="D3432" s="75" t="s">
        <v>4391</v>
      </c>
      <c r="E3432" s="75" t="str">
        <f>VLOOKUP(B3432&amp;C3432,Divipola!$C$2:$F$1138,4,FALSE)</f>
        <v>73555</v>
      </c>
      <c r="F3432" s="87">
        <v>1</v>
      </c>
      <c r="G3432" s="87"/>
      <c r="H3432" s="87"/>
      <c r="I3432" s="87">
        <v>1</v>
      </c>
      <c r="J3432" s="87"/>
      <c r="K3432" s="87"/>
      <c r="L3432" s="87"/>
      <c r="M3432" s="87"/>
      <c r="N3432" s="87"/>
      <c r="O3432" s="87"/>
      <c r="P3432" s="87"/>
      <c r="Q3432" s="87"/>
      <c r="R3432" s="87"/>
      <c r="S3432" s="87"/>
      <c r="T3432" s="87"/>
      <c r="U3432" s="88"/>
      <c r="V3432" s="89"/>
      <c r="W3432" s="96">
        <v>0</v>
      </c>
      <c r="X3432" s="71">
        <f>CU3432</f>
        <v>0</v>
      </c>
      <c r="Y3432" s="71">
        <f>CY3432</f>
        <v>0</v>
      </c>
      <c r="Z3432" s="71">
        <f>DA3432+DC3432+DE3432</f>
        <v>0</v>
      </c>
      <c r="AA3432" s="71">
        <f>CW3432</f>
        <v>0</v>
      </c>
      <c r="AB3432" s="71"/>
      <c r="AC3432" s="71">
        <v>0</v>
      </c>
      <c r="AD3432" s="71">
        <f>W3432+X3432+Y3432+Z3432+AA3432+AB3432+AC3432</f>
        <v>0</v>
      </c>
      <c r="AE3432" s="72">
        <v>0</v>
      </c>
      <c r="AF3432" s="5"/>
      <c r="AG3432" s="6"/>
      <c r="AH3432" s="27"/>
      <c r="AI3432" s="44"/>
      <c r="AJ3432" s="26"/>
      <c r="AK3432" s="5"/>
      <c r="AL3432" s="274" t="s">
        <v>6381</v>
      </c>
      <c r="AM3432" s="76"/>
      <c r="AN3432" s="76"/>
      <c r="AO3432" s="76"/>
      <c r="AP3432" s="76"/>
      <c r="AQ3432" s="76"/>
      <c r="AR3432" s="76"/>
      <c r="AS3432" s="76"/>
      <c r="AT3432" s="76"/>
      <c r="AU3432" s="76"/>
      <c r="AV3432" s="76"/>
      <c r="AW3432" s="76"/>
      <c r="AX3432" s="76">
        <f>+AW3432*600000</f>
        <v>0</v>
      </c>
      <c r="AY3432" s="76"/>
      <c r="AZ3432" s="76">
        <f>+AY3432*70000</f>
        <v>0</v>
      </c>
      <c r="BA3432" s="76"/>
      <c r="BB3432" s="76"/>
      <c r="BC3432" s="76"/>
      <c r="BD3432" s="76">
        <f>+BC3432*30000</f>
        <v>0</v>
      </c>
      <c r="BE3432" s="76"/>
      <c r="BF3432" s="76"/>
      <c r="BG3432" s="76"/>
      <c r="BH3432" s="76"/>
      <c r="BI3432" s="76"/>
      <c r="BJ3432" s="76"/>
      <c r="BK3432" s="76"/>
      <c r="BL3432" s="76">
        <f>+BK3432*31500</f>
        <v>0</v>
      </c>
      <c r="BM3432" s="76"/>
      <c r="BN3432" s="76"/>
      <c r="BO3432" s="76"/>
      <c r="BP3432" s="76"/>
      <c r="BQ3432" s="76"/>
      <c r="BR3432" s="76"/>
      <c r="BS3432" s="76"/>
      <c r="BT3432" s="76"/>
      <c r="BU3432" s="76"/>
      <c r="BV3432" s="76"/>
      <c r="BW3432" s="76"/>
      <c r="BX3432" s="76"/>
      <c r="BY3432" s="76"/>
      <c r="BZ3432" s="76"/>
      <c r="CA3432" s="76"/>
      <c r="CB3432" s="76"/>
      <c r="CC3432" s="76"/>
      <c r="CD3432" s="76"/>
      <c r="CE3432" s="76"/>
      <c r="CF3432" s="76">
        <f>+CE3432*28000</f>
        <v>0</v>
      </c>
      <c r="CG3432" s="76"/>
      <c r="CH3432" s="76">
        <f>+CG3432*22500</f>
        <v>0</v>
      </c>
      <c r="CI3432" s="76"/>
      <c r="CJ3432" s="76">
        <f>+CI3432*26000</f>
        <v>0</v>
      </c>
      <c r="CK3432" s="76"/>
      <c r="CL3432" s="76"/>
      <c r="CM3432" s="76"/>
      <c r="CN3432" s="76">
        <f>+CM3432*22000</f>
        <v>0</v>
      </c>
      <c r="CO3432" s="76"/>
      <c r="CP3432" s="76">
        <f>+CO3432*46000</f>
        <v>0</v>
      </c>
      <c r="CQ3432" s="76"/>
      <c r="CR3432" s="76">
        <f>+CQ3432*49000</f>
        <v>0</v>
      </c>
      <c r="CS3432" s="76"/>
      <c r="CT3432" s="76"/>
      <c r="CU3432" s="56">
        <f>AN3432+AP3432+AR3432+AT3432+AV3432+AX3432+AZ3432+BB3432+BD3432+BF3432+BH3432+BJ3432+BL3432+BN3432+BP3432+BR3432+BT3432+BV3432+BX3432+BZ3432+CB3432+CD3432+CF3432+CH3432+CJ3432+CL3432+CN3432+CP3432+CR3432+CT3432</f>
        <v>0</v>
      </c>
      <c r="CV3432" s="76"/>
      <c r="CW3432" s="76">
        <f>+CV3432*1100</f>
        <v>0</v>
      </c>
      <c r="CX3432" s="76"/>
      <c r="CY3432" s="76">
        <f>+CX3432*106250</f>
        <v>0</v>
      </c>
      <c r="CZ3432" s="76"/>
      <c r="DA3432" s="76">
        <f>+CZ3432*34500</f>
        <v>0</v>
      </c>
      <c r="DB3432" s="76"/>
      <c r="DC3432" s="76">
        <f>+DB3432*25000</f>
        <v>0</v>
      </c>
      <c r="DD3432" s="219"/>
      <c r="DE3432" s="219"/>
      <c r="DF3432" s="166"/>
      <c r="DG3432" s="116"/>
      <c r="DH3432" s="117"/>
      <c r="DI3432" s="24"/>
      <c r="DJ3432" s="24"/>
      <c r="DK3432" s="24"/>
      <c r="DL3432" s="24"/>
      <c r="DM3432" s="24"/>
      <c r="DN3432" s="24"/>
      <c r="DO3432" s="24"/>
      <c r="DP3432" s="24"/>
      <c r="DQ3432" s="24"/>
      <c r="DR3432" s="24"/>
      <c r="DS3432" s="24"/>
      <c r="DT3432" s="24"/>
      <c r="DU3432" s="24"/>
    </row>
    <row r="3433" spans="1:125" s="8" customFormat="1" ht="36" x14ac:dyDescent="0.2">
      <c r="A3433" s="77">
        <v>41568</v>
      </c>
      <c r="B3433" s="352" t="s">
        <v>2847</v>
      </c>
      <c r="C3433" s="354" t="s">
        <v>2673</v>
      </c>
      <c r="D3433" s="354" t="s">
        <v>2846</v>
      </c>
      <c r="E3433" s="75" t="str">
        <f>VLOOKUP(B3433&amp;C3433,Divipola!$C$2:$F$1138,4,FALSE)</f>
        <v>68001</v>
      </c>
      <c r="F3433" s="87"/>
      <c r="G3433" s="87"/>
      <c r="H3433" s="87"/>
      <c r="I3433" s="87"/>
      <c r="J3433" s="87"/>
      <c r="K3433" s="87"/>
      <c r="L3433" s="87"/>
      <c r="M3433" s="87"/>
      <c r="N3433" s="87"/>
      <c r="O3433" s="87"/>
      <c r="P3433" s="87"/>
      <c r="Q3433" s="87"/>
      <c r="R3433" s="87"/>
      <c r="S3433" s="87"/>
      <c r="T3433" s="87"/>
      <c r="U3433" s="88">
        <v>2</v>
      </c>
      <c r="V3433" s="89"/>
      <c r="W3433" s="96">
        <v>0</v>
      </c>
      <c r="X3433" s="71">
        <f>CU3433</f>
        <v>0</v>
      </c>
      <c r="Y3433" s="71">
        <f>CY3433</f>
        <v>0</v>
      </c>
      <c r="Z3433" s="71">
        <f>DA3433+DC3433+DE3433</f>
        <v>0</v>
      </c>
      <c r="AA3433" s="71">
        <f>CW3433</f>
        <v>0</v>
      </c>
      <c r="AB3433" s="71"/>
      <c r="AC3433" s="71">
        <v>0</v>
      </c>
      <c r="AD3433" s="71">
        <f>W3433+X3433+Y3433+Z3433+AA3433+AB3433+AC3433</f>
        <v>0</v>
      </c>
      <c r="AE3433" s="72">
        <v>0</v>
      </c>
      <c r="AF3433" s="5"/>
      <c r="AG3433" s="6"/>
      <c r="AH3433" s="27"/>
      <c r="AI3433" s="44"/>
      <c r="AJ3433" s="26"/>
      <c r="AK3433" s="5"/>
      <c r="AL3433" s="82" t="s">
        <v>6382</v>
      </c>
      <c r="AM3433" s="76"/>
      <c r="AN3433" s="76"/>
      <c r="AO3433" s="76"/>
      <c r="AP3433" s="76"/>
      <c r="AQ3433" s="76"/>
      <c r="AR3433" s="76"/>
      <c r="AS3433" s="76"/>
      <c r="AT3433" s="76"/>
      <c r="AU3433" s="76"/>
      <c r="AV3433" s="76"/>
      <c r="AW3433" s="76"/>
      <c r="AX3433" s="76">
        <f>+AW3433*600000</f>
        <v>0</v>
      </c>
      <c r="AY3433" s="76"/>
      <c r="AZ3433" s="76">
        <f>+AY3433*70000</f>
        <v>0</v>
      </c>
      <c r="BA3433" s="76"/>
      <c r="BB3433" s="76"/>
      <c r="BC3433" s="76"/>
      <c r="BD3433" s="76">
        <f>+BC3433*30000</f>
        <v>0</v>
      </c>
      <c r="BE3433" s="76"/>
      <c r="BF3433" s="76"/>
      <c r="BG3433" s="76"/>
      <c r="BH3433" s="76"/>
      <c r="BI3433" s="76"/>
      <c r="BJ3433" s="76"/>
      <c r="BK3433" s="76"/>
      <c r="BL3433" s="76">
        <f>+BK3433*31500</f>
        <v>0</v>
      </c>
      <c r="BM3433" s="76"/>
      <c r="BN3433" s="76"/>
      <c r="BO3433" s="76"/>
      <c r="BP3433" s="76"/>
      <c r="BQ3433" s="76"/>
      <c r="BR3433" s="76"/>
      <c r="BS3433" s="76"/>
      <c r="BT3433" s="76"/>
      <c r="BU3433" s="76"/>
      <c r="BV3433" s="76"/>
      <c r="BW3433" s="76"/>
      <c r="BX3433" s="76"/>
      <c r="BY3433" s="76"/>
      <c r="BZ3433" s="76"/>
      <c r="CA3433" s="76"/>
      <c r="CB3433" s="76"/>
      <c r="CC3433" s="76"/>
      <c r="CD3433" s="76"/>
      <c r="CE3433" s="76"/>
      <c r="CF3433" s="76">
        <f>+CE3433*28000</f>
        <v>0</v>
      </c>
      <c r="CG3433" s="76"/>
      <c r="CH3433" s="76">
        <f>+CG3433*22500</f>
        <v>0</v>
      </c>
      <c r="CI3433" s="76"/>
      <c r="CJ3433" s="76">
        <f>+CI3433*26000</f>
        <v>0</v>
      </c>
      <c r="CK3433" s="76"/>
      <c r="CL3433" s="76"/>
      <c r="CM3433" s="76"/>
      <c r="CN3433" s="76">
        <f>+CM3433*22000</f>
        <v>0</v>
      </c>
      <c r="CO3433" s="76"/>
      <c r="CP3433" s="76">
        <f>+CO3433*46000</f>
        <v>0</v>
      </c>
      <c r="CQ3433" s="76"/>
      <c r="CR3433" s="76">
        <f>+CQ3433*49000</f>
        <v>0</v>
      </c>
      <c r="CS3433" s="76"/>
      <c r="CT3433" s="76"/>
      <c r="CU3433" s="56">
        <f>AN3433+AP3433+AR3433+AT3433+AV3433+AX3433+AZ3433+BB3433+BD3433+BF3433+BH3433+BJ3433+BL3433+BN3433+BP3433+BR3433+BT3433+BV3433+BX3433+BZ3433+CB3433+CD3433+CF3433+CH3433+CJ3433+CL3433+CN3433+CP3433+CR3433+CT3433</f>
        <v>0</v>
      </c>
      <c r="CV3433" s="76"/>
      <c r="CW3433" s="76">
        <f>+CV3433*1100</f>
        <v>0</v>
      </c>
      <c r="CX3433" s="76"/>
      <c r="CY3433" s="76">
        <f>+CX3433*106250</f>
        <v>0</v>
      </c>
      <c r="CZ3433" s="76"/>
      <c r="DA3433" s="76">
        <f>+CZ3433*34500</f>
        <v>0</v>
      </c>
      <c r="DB3433" s="76"/>
      <c r="DC3433" s="76">
        <f>+DB3433*25000</f>
        <v>0</v>
      </c>
      <c r="DD3433" s="219"/>
      <c r="DE3433" s="219"/>
      <c r="DF3433" s="166"/>
      <c r="DG3433" s="116"/>
      <c r="DH3433" s="117"/>
      <c r="DI3433" s="24"/>
      <c r="DJ3433" s="24"/>
      <c r="DK3433" s="24"/>
      <c r="DL3433" s="24"/>
      <c r="DM3433" s="24"/>
      <c r="DN3433" s="24"/>
      <c r="DO3433" s="24"/>
      <c r="DP3433" s="24"/>
      <c r="DQ3433" s="24"/>
      <c r="DR3433" s="24"/>
      <c r="DS3433" s="24"/>
      <c r="DT3433" s="24"/>
      <c r="DU3433" s="24"/>
    </row>
    <row r="3434" spans="1:125" s="8" customFormat="1" ht="96" x14ac:dyDescent="0.2">
      <c r="A3434" s="77">
        <v>41568</v>
      </c>
      <c r="B3434" s="78" t="s">
        <v>2906</v>
      </c>
      <c r="C3434" s="75" t="s">
        <v>429</v>
      </c>
      <c r="D3434" s="75" t="s">
        <v>3051</v>
      </c>
      <c r="E3434" s="75" t="str">
        <f>VLOOKUP(B3434&amp;C3434,Divipola!$C$2:$F$1138,4,FALSE)</f>
        <v>47189</v>
      </c>
      <c r="F3434" s="87"/>
      <c r="G3434" s="87"/>
      <c r="H3434" s="87"/>
      <c r="I3434" s="87"/>
      <c r="J3434" s="87"/>
      <c r="K3434" s="87"/>
      <c r="L3434" s="87"/>
      <c r="M3434" s="87"/>
      <c r="N3434" s="87"/>
      <c r="O3434" s="87"/>
      <c r="P3434" s="87"/>
      <c r="Q3434" s="87"/>
      <c r="R3434" s="87"/>
      <c r="S3434" s="87"/>
      <c r="T3434" s="87"/>
      <c r="U3434" s="88"/>
      <c r="V3434" s="89"/>
      <c r="W3434" s="96">
        <v>0</v>
      </c>
      <c r="X3434" s="71">
        <f>CU3434</f>
        <v>0</v>
      </c>
      <c r="Y3434" s="71">
        <f>CY3434</f>
        <v>0</v>
      </c>
      <c r="Z3434" s="71">
        <f>DA3434+DC3434+DE3434</f>
        <v>0</v>
      </c>
      <c r="AA3434" s="71">
        <f>CW3434</f>
        <v>0</v>
      </c>
      <c r="AB3434" s="71"/>
      <c r="AC3434" s="71">
        <v>0</v>
      </c>
      <c r="AD3434" s="71">
        <f>W3434+X3434+Y3434+Z3434+AA3434+AB3434+AC3434</f>
        <v>0</v>
      </c>
      <c r="AE3434" s="72">
        <v>0</v>
      </c>
      <c r="AF3434" s="5"/>
      <c r="AG3434" s="6"/>
      <c r="AH3434" s="27"/>
      <c r="AI3434" s="44"/>
      <c r="AJ3434" s="26"/>
      <c r="AK3434" s="5"/>
      <c r="AL3434" s="268" t="s">
        <v>6387</v>
      </c>
      <c r="AM3434" s="76"/>
      <c r="AN3434" s="76"/>
      <c r="AO3434" s="76"/>
      <c r="AP3434" s="76"/>
      <c r="AQ3434" s="76"/>
      <c r="AR3434" s="76"/>
      <c r="AS3434" s="76"/>
      <c r="AT3434" s="76"/>
      <c r="AU3434" s="76"/>
      <c r="AV3434" s="76"/>
      <c r="AW3434" s="76"/>
      <c r="AX3434" s="76">
        <f>+AW3434*600000</f>
        <v>0</v>
      </c>
      <c r="AY3434" s="76"/>
      <c r="AZ3434" s="76">
        <f>+AY3434*70000</f>
        <v>0</v>
      </c>
      <c r="BA3434" s="76"/>
      <c r="BB3434" s="76"/>
      <c r="BC3434" s="76"/>
      <c r="BD3434" s="76">
        <f>+BC3434*30000</f>
        <v>0</v>
      </c>
      <c r="BE3434" s="76"/>
      <c r="BF3434" s="76"/>
      <c r="BG3434" s="76"/>
      <c r="BH3434" s="76"/>
      <c r="BI3434" s="76"/>
      <c r="BJ3434" s="76"/>
      <c r="BK3434" s="76"/>
      <c r="BL3434" s="76">
        <f>+BK3434*31500</f>
        <v>0</v>
      </c>
      <c r="BM3434" s="76"/>
      <c r="BN3434" s="76"/>
      <c r="BO3434" s="76"/>
      <c r="BP3434" s="76"/>
      <c r="BQ3434" s="76"/>
      <c r="BR3434" s="76"/>
      <c r="BS3434" s="76"/>
      <c r="BT3434" s="76"/>
      <c r="BU3434" s="76"/>
      <c r="BV3434" s="76"/>
      <c r="BW3434" s="76"/>
      <c r="BX3434" s="76"/>
      <c r="BY3434" s="76"/>
      <c r="BZ3434" s="76"/>
      <c r="CA3434" s="76"/>
      <c r="CB3434" s="76"/>
      <c r="CC3434" s="76"/>
      <c r="CD3434" s="76"/>
      <c r="CE3434" s="76"/>
      <c r="CF3434" s="76">
        <f>+CE3434*28000</f>
        <v>0</v>
      </c>
      <c r="CG3434" s="76"/>
      <c r="CH3434" s="76">
        <f>+CG3434*22500</f>
        <v>0</v>
      </c>
      <c r="CI3434" s="76"/>
      <c r="CJ3434" s="76">
        <f>+CI3434*26000</f>
        <v>0</v>
      </c>
      <c r="CK3434" s="76"/>
      <c r="CL3434" s="76"/>
      <c r="CM3434" s="76"/>
      <c r="CN3434" s="76">
        <f>+CM3434*22000</f>
        <v>0</v>
      </c>
      <c r="CO3434" s="76"/>
      <c r="CP3434" s="76">
        <f>+CO3434*46000</f>
        <v>0</v>
      </c>
      <c r="CQ3434" s="76"/>
      <c r="CR3434" s="76">
        <f>+CQ3434*49000</f>
        <v>0</v>
      </c>
      <c r="CS3434" s="76"/>
      <c r="CT3434" s="76"/>
      <c r="CU3434" s="56">
        <f>AN3434+AP3434+AR3434+AT3434+AV3434+AX3434+AZ3434+BB3434+BD3434+BF3434+BH3434+BJ3434+BL3434+BN3434+BP3434+BR3434+BT3434+BV3434+BX3434+BZ3434+CB3434+CD3434+CF3434+CH3434+CJ3434+CL3434+CN3434+CP3434+CR3434+CT3434</f>
        <v>0</v>
      </c>
      <c r="CV3434" s="76"/>
      <c r="CW3434" s="76">
        <f>+CV3434*1100</f>
        <v>0</v>
      </c>
      <c r="CX3434" s="76"/>
      <c r="CY3434" s="76">
        <f>+CX3434*106250</f>
        <v>0</v>
      </c>
      <c r="CZ3434" s="76"/>
      <c r="DA3434" s="76">
        <f>+CZ3434*34500</f>
        <v>0</v>
      </c>
      <c r="DB3434" s="76"/>
      <c r="DC3434" s="76">
        <f>+DB3434*25000</f>
        <v>0</v>
      </c>
      <c r="DD3434" s="219"/>
      <c r="DE3434" s="219"/>
      <c r="DF3434" s="166"/>
      <c r="DG3434" s="116"/>
      <c r="DH3434" s="117"/>
      <c r="DI3434" s="24"/>
      <c r="DJ3434" s="24"/>
      <c r="DK3434" s="24"/>
      <c r="DL3434" s="24"/>
      <c r="DM3434" s="24"/>
      <c r="DN3434" s="24"/>
      <c r="DO3434" s="24"/>
      <c r="DP3434" s="24"/>
      <c r="DQ3434" s="24"/>
      <c r="DR3434" s="24"/>
      <c r="DS3434" s="24"/>
      <c r="DT3434" s="24"/>
      <c r="DU3434" s="24"/>
    </row>
    <row r="3435" spans="1:125" s="8" customFormat="1" ht="96" x14ac:dyDescent="0.2">
      <c r="A3435" s="353">
        <v>41568</v>
      </c>
      <c r="B3435" s="352" t="s">
        <v>2772</v>
      </c>
      <c r="C3435" s="354" t="s">
        <v>1372</v>
      </c>
      <c r="D3435" s="354" t="s">
        <v>2846</v>
      </c>
      <c r="E3435" s="75" t="str">
        <f>VLOOKUP(B3435&amp;C3435,Divipola!$C$2:$F$1138,4,FALSE)</f>
        <v>25817</v>
      </c>
      <c r="F3435" s="87"/>
      <c r="G3435" s="87"/>
      <c r="H3435" s="87"/>
      <c r="I3435" s="87"/>
      <c r="J3435" s="87"/>
      <c r="K3435" s="87"/>
      <c r="L3435" s="87"/>
      <c r="M3435" s="87"/>
      <c r="N3435" s="87"/>
      <c r="O3435" s="87"/>
      <c r="P3435" s="87"/>
      <c r="Q3435" s="87"/>
      <c r="R3435" s="87"/>
      <c r="S3435" s="87"/>
      <c r="T3435" s="87"/>
      <c r="U3435" s="88">
        <v>3</v>
      </c>
      <c r="V3435" s="89"/>
      <c r="W3435" s="96">
        <v>0</v>
      </c>
      <c r="X3435" s="71">
        <f>CU3435</f>
        <v>0</v>
      </c>
      <c r="Y3435" s="71">
        <f>CY3435</f>
        <v>0</v>
      </c>
      <c r="Z3435" s="71">
        <f>DA3435+DC3435+DE3435</f>
        <v>0</v>
      </c>
      <c r="AA3435" s="71">
        <f>CW3435</f>
        <v>0</v>
      </c>
      <c r="AB3435" s="71"/>
      <c r="AC3435" s="71">
        <v>0</v>
      </c>
      <c r="AD3435" s="71">
        <f>W3435+X3435+Y3435+Z3435+AA3435+AB3435+AC3435</f>
        <v>0</v>
      </c>
      <c r="AE3435" s="72">
        <v>0</v>
      </c>
      <c r="AF3435" s="5"/>
      <c r="AG3435" s="6"/>
      <c r="AH3435" s="27"/>
      <c r="AI3435" s="44"/>
      <c r="AJ3435" s="26"/>
      <c r="AK3435" s="5"/>
      <c r="AL3435" s="82" t="s">
        <v>6398</v>
      </c>
      <c r="AM3435" s="76"/>
      <c r="AN3435" s="76"/>
      <c r="AO3435" s="76"/>
      <c r="AP3435" s="76"/>
      <c r="AQ3435" s="76"/>
      <c r="AR3435" s="76"/>
      <c r="AS3435" s="76"/>
      <c r="AT3435" s="76"/>
      <c r="AU3435" s="76"/>
      <c r="AV3435" s="76"/>
      <c r="AW3435" s="76"/>
      <c r="AX3435" s="76">
        <f>+AW3435*600000</f>
        <v>0</v>
      </c>
      <c r="AY3435" s="76"/>
      <c r="AZ3435" s="76">
        <f>+AY3435*70000</f>
        <v>0</v>
      </c>
      <c r="BA3435" s="76"/>
      <c r="BB3435" s="76"/>
      <c r="BC3435" s="76"/>
      <c r="BD3435" s="76">
        <f>+BC3435*30000</f>
        <v>0</v>
      </c>
      <c r="BE3435" s="76"/>
      <c r="BF3435" s="76"/>
      <c r="BG3435" s="76"/>
      <c r="BH3435" s="76"/>
      <c r="BI3435" s="76"/>
      <c r="BJ3435" s="76"/>
      <c r="BK3435" s="76"/>
      <c r="BL3435" s="76">
        <f>+BK3435*31500</f>
        <v>0</v>
      </c>
      <c r="BM3435" s="76"/>
      <c r="BN3435" s="76"/>
      <c r="BO3435" s="76"/>
      <c r="BP3435" s="76"/>
      <c r="BQ3435" s="76"/>
      <c r="BR3435" s="76"/>
      <c r="BS3435" s="76"/>
      <c r="BT3435" s="76"/>
      <c r="BU3435" s="76"/>
      <c r="BV3435" s="76"/>
      <c r="BW3435" s="76"/>
      <c r="BX3435" s="76"/>
      <c r="BY3435" s="76"/>
      <c r="BZ3435" s="76"/>
      <c r="CA3435" s="76"/>
      <c r="CB3435" s="76"/>
      <c r="CC3435" s="76"/>
      <c r="CD3435" s="76"/>
      <c r="CE3435" s="76"/>
      <c r="CF3435" s="76">
        <f>+CE3435*28000</f>
        <v>0</v>
      </c>
      <c r="CG3435" s="76"/>
      <c r="CH3435" s="76">
        <f>+CG3435*22500</f>
        <v>0</v>
      </c>
      <c r="CI3435" s="76"/>
      <c r="CJ3435" s="76">
        <f>+CI3435*26000</f>
        <v>0</v>
      </c>
      <c r="CK3435" s="76"/>
      <c r="CL3435" s="76"/>
      <c r="CM3435" s="76"/>
      <c r="CN3435" s="76">
        <f>+CM3435*22000</f>
        <v>0</v>
      </c>
      <c r="CO3435" s="76"/>
      <c r="CP3435" s="76">
        <f>+CO3435*46000</f>
        <v>0</v>
      </c>
      <c r="CQ3435" s="76"/>
      <c r="CR3435" s="76">
        <f>+CQ3435*49000</f>
        <v>0</v>
      </c>
      <c r="CS3435" s="76"/>
      <c r="CT3435" s="76"/>
      <c r="CU3435" s="56">
        <f>AN3435+AP3435+AR3435+AT3435+AV3435+AX3435+AZ3435+BB3435+BD3435+BF3435+BH3435+BJ3435+BL3435+BN3435+BP3435+BR3435+BT3435+BV3435+BX3435+BZ3435+CB3435+CD3435+CF3435+CH3435+CJ3435+CL3435+CN3435+CP3435+CR3435+CT3435</f>
        <v>0</v>
      </c>
      <c r="CV3435" s="76"/>
      <c r="CW3435" s="76">
        <f>+CV3435*1100</f>
        <v>0</v>
      </c>
      <c r="CX3435" s="76"/>
      <c r="CY3435" s="76">
        <f>+CX3435*106250</f>
        <v>0</v>
      </c>
      <c r="CZ3435" s="76"/>
      <c r="DA3435" s="76">
        <f>+CZ3435*34500</f>
        <v>0</v>
      </c>
      <c r="DB3435" s="76"/>
      <c r="DC3435" s="76">
        <f>+DB3435*25000</f>
        <v>0</v>
      </c>
      <c r="DD3435" s="219"/>
      <c r="DE3435" s="219"/>
      <c r="DF3435" s="166"/>
      <c r="DG3435" s="116"/>
      <c r="DH3435" s="117"/>
      <c r="DI3435" s="24"/>
      <c r="DJ3435" s="24"/>
      <c r="DK3435" s="24"/>
      <c r="DL3435" s="24"/>
      <c r="DM3435" s="24"/>
      <c r="DN3435" s="24"/>
      <c r="DO3435" s="24"/>
      <c r="DP3435" s="24"/>
      <c r="DQ3435" s="24"/>
      <c r="DR3435" s="24"/>
      <c r="DS3435" s="24"/>
      <c r="DT3435" s="24"/>
      <c r="DU3435" s="24"/>
    </row>
    <row r="3436" spans="1:125" s="8" customFormat="1" ht="108" x14ac:dyDescent="0.2">
      <c r="A3436" s="77">
        <v>41568</v>
      </c>
      <c r="B3436" s="78" t="s">
        <v>2881</v>
      </c>
      <c r="C3436" s="75" t="s">
        <v>2767</v>
      </c>
      <c r="D3436" s="75" t="s">
        <v>2882</v>
      </c>
      <c r="E3436" s="75" t="str">
        <f>VLOOKUP(B3436&amp;C3436,Divipola!$C$2:$F$1138,4,FALSE)</f>
        <v>08001</v>
      </c>
      <c r="F3436" s="87"/>
      <c r="G3436" s="87"/>
      <c r="H3436" s="87"/>
      <c r="I3436" s="87">
        <v>45</v>
      </c>
      <c r="J3436" s="87">
        <v>9</v>
      </c>
      <c r="K3436" s="87"/>
      <c r="L3436" s="87">
        <v>9</v>
      </c>
      <c r="M3436" s="87"/>
      <c r="N3436" s="87"/>
      <c r="O3436" s="87"/>
      <c r="P3436" s="87"/>
      <c r="Q3436" s="87"/>
      <c r="R3436" s="87"/>
      <c r="S3436" s="87"/>
      <c r="T3436" s="87"/>
      <c r="U3436" s="88"/>
      <c r="V3436" s="89"/>
      <c r="W3436" s="96">
        <v>0</v>
      </c>
      <c r="X3436" s="71">
        <f>CU3436</f>
        <v>0</v>
      </c>
      <c r="Y3436" s="71">
        <f>CY3436</f>
        <v>0</v>
      </c>
      <c r="Z3436" s="71">
        <f>DA3436+DC3436+DE3436</f>
        <v>0</v>
      </c>
      <c r="AA3436" s="71">
        <f>CW3436</f>
        <v>0</v>
      </c>
      <c r="AB3436" s="71"/>
      <c r="AC3436" s="71">
        <v>0</v>
      </c>
      <c r="AD3436" s="71">
        <f>W3436+X3436+Y3436+Z3436+AA3436+AB3436+AC3436</f>
        <v>0</v>
      </c>
      <c r="AE3436" s="72">
        <v>0</v>
      </c>
      <c r="AF3436" s="5"/>
      <c r="AG3436" s="6"/>
      <c r="AH3436" s="27"/>
      <c r="AI3436" s="44"/>
      <c r="AJ3436" s="26"/>
      <c r="AK3436" s="5"/>
      <c r="AL3436" s="268" t="s">
        <v>6400</v>
      </c>
      <c r="AM3436" s="76"/>
      <c r="AN3436" s="76"/>
      <c r="AO3436" s="76"/>
      <c r="AP3436" s="76"/>
      <c r="AQ3436" s="76"/>
      <c r="AR3436" s="76"/>
      <c r="AS3436" s="76"/>
      <c r="AT3436" s="76"/>
      <c r="AU3436" s="76"/>
      <c r="AV3436" s="76"/>
      <c r="AW3436" s="76"/>
      <c r="AX3436" s="76">
        <f>+AW3436*600000</f>
        <v>0</v>
      </c>
      <c r="AY3436" s="76"/>
      <c r="AZ3436" s="76">
        <f>+AY3436*70000</f>
        <v>0</v>
      </c>
      <c r="BA3436" s="76"/>
      <c r="BB3436" s="76"/>
      <c r="BC3436" s="76"/>
      <c r="BD3436" s="76">
        <f>+BC3436*30000</f>
        <v>0</v>
      </c>
      <c r="BE3436" s="76"/>
      <c r="BF3436" s="76"/>
      <c r="BG3436" s="76"/>
      <c r="BH3436" s="76"/>
      <c r="BI3436" s="76"/>
      <c r="BJ3436" s="76"/>
      <c r="BK3436" s="76"/>
      <c r="BL3436" s="76">
        <f>+BK3436*31500</f>
        <v>0</v>
      </c>
      <c r="BM3436" s="76"/>
      <c r="BN3436" s="76"/>
      <c r="BO3436" s="76"/>
      <c r="BP3436" s="76"/>
      <c r="BQ3436" s="76"/>
      <c r="BR3436" s="76"/>
      <c r="BS3436" s="76"/>
      <c r="BT3436" s="76"/>
      <c r="BU3436" s="76"/>
      <c r="BV3436" s="76"/>
      <c r="BW3436" s="76"/>
      <c r="BX3436" s="76"/>
      <c r="BY3436" s="76"/>
      <c r="BZ3436" s="76"/>
      <c r="CA3436" s="76"/>
      <c r="CB3436" s="76"/>
      <c r="CC3436" s="76"/>
      <c r="CD3436" s="76"/>
      <c r="CE3436" s="76"/>
      <c r="CF3436" s="76">
        <f>+CE3436*28000</f>
        <v>0</v>
      </c>
      <c r="CG3436" s="76"/>
      <c r="CH3436" s="76">
        <f>+CG3436*22500</f>
        <v>0</v>
      </c>
      <c r="CI3436" s="76"/>
      <c r="CJ3436" s="76">
        <f>+CI3436*26000</f>
        <v>0</v>
      </c>
      <c r="CK3436" s="76"/>
      <c r="CL3436" s="76"/>
      <c r="CM3436" s="76"/>
      <c r="CN3436" s="76">
        <f>+CM3436*22000</f>
        <v>0</v>
      </c>
      <c r="CO3436" s="76"/>
      <c r="CP3436" s="76">
        <f>+CO3436*46000</f>
        <v>0</v>
      </c>
      <c r="CQ3436" s="76"/>
      <c r="CR3436" s="76">
        <f>+CQ3436*49000</f>
        <v>0</v>
      </c>
      <c r="CS3436" s="76"/>
      <c r="CT3436" s="76"/>
      <c r="CU3436" s="56">
        <f>AN3436+AP3436+AR3436+AT3436+AV3436+AX3436+AZ3436+BB3436+BD3436+BF3436+BH3436+BJ3436+BL3436+BN3436+BP3436+BR3436+BT3436+BV3436+BX3436+BZ3436+CB3436+CD3436+CF3436+CH3436+CJ3436+CL3436+CN3436+CP3436+CR3436+CT3436</f>
        <v>0</v>
      </c>
      <c r="CV3436" s="76"/>
      <c r="CW3436" s="76">
        <f>+CV3436*1100</f>
        <v>0</v>
      </c>
      <c r="CX3436" s="76"/>
      <c r="CY3436" s="76">
        <f>+CX3436*106250</f>
        <v>0</v>
      </c>
      <c r="CZ3436" s="76"/>
      <c r="DA3436" s="76">
        <f>+CZ3436*34500</f>
        <v>0</v>
      </c>
      <c r="DB3436" s="76"/>
      <c r="DC3436" s="76">
        <f>+DB3436*25000</f>
        <v>0</v>
      </c>
      <c r="DD3436" s="219"/>
      <c r="DE3436" s="219"/>
      <c r="DF3436" s="166"/>
      <c r="DG3436" s="116"/>
      <c r="DH3436" s="117"/>
      <c r="DI3436" s="24"/>
      <c r="DJ3436" s="24"/>
      <c r="DK3436" s="24"/>
      <c r="DL3436" s="24"/>
      <c r="DM3436" s="24"/>
      <c r="DN3436" s="24"/>
      <c r="DO3436" s="24"/>
      <c r="DP3436" s="24"/>
      <c r="DQ3436" s="24"/>
      <c r="DR3436" s="24"/>
      <c r="DS3436" s="24"/>
      <c r="DT3436" s="24"/>
      <c r="DU3436" s="24"/>
    </row>
    <row r="3437" spans="1:125" s="8" customFormat="1" ht="60" x14ac:dyDescent="0.2">
      <c r="A3437" s="353">
        <v>41568</v>
      </c>
      <c r="B3437" s="352" t="s">
        <v>2774</v>
      </c>
      <c r="C3437" s="354" t="s">
        <v>2039</v>
      </c>
      <c r="D3437" s="354" t="s">
        <v>3088</v>
      </c>
      <c r="E3437" s="75" t="str">
        <f>VLOOKUP(B3437&amp;C3437,Divipola!$C$2:$F$1138,4,FALSE)</f>
        <v>66440</v>
      </c>
      <c r="F3437" s="87"/>
      <c r="G3437" s="87"/>
      <c r="H3437" s="87"/>
      <c r="I3437" s="87"/>
      <c r="J3437" s="87"/>
      <c r="K3437" s="87"/>
      <c r="L3437" s="87"/>
      <c r="M3437" s="87">
        <v>1</v>
      </c>
      <c r="N3437" s="87"/>
      <c r="O3437" s="87"/>
      <c r="P3437" s="87"/>
      <c r="Q3437" s="87"/>
      <c r="R3437" s="87"/>
      <c r="S3437" s="87"/>
      <c r="T3437" s="87"/>
      <c r="U3437" s="88"/>
      <c r="V3437" s="89"/>
      <c r="W3437" s="96">
        <v>0</v>
      </c>
      <c r="X3437" s="71">
        <f>CU3437</f>
        <v>0</v>
      </c>
      <c r="Y3437" s="71">
        <f>CY3437</f>
        <v>0</v>
      </c>
      <c r="Z3437" s="71">
        <f>DA3437+DC3437+DE3437</f>
        <v>0</v>
      </c>
      <c r="AA3437" s="71">
        <f>CW3437</f>
        <v>0</v>
      </c>
      <c r="AB3437" s="71"/>
      <c r="AC3437" s="71">
        <v>0</v>
      </c>
      <c r="AD3437" s="71">
        <f>W3437+X3437+Y3437+Z3437+AA3437+AB3437+AC3437</f>
        <v>0</v>
      </c>
      <c r="AE3437" s="72">
        <v>0</v>
      </c>
      <c r="AF3437" s="5"/>
      <c r="AG3437" s="6"/>
      <c r="AH3437" s="27"/>
      <c r="AI3437" s="44"/>
      <c r="AJ3437" s="26"/>
      <c r="AK3437" s="5"/>
      <c r="AL3437" s="82" t="s">
        <v>6403</v>
      </c>
      <c r="AM3437" s="76"/>
      <c r="AN3437" s="76"/>
      <c r="AO3437" s="76"/>
      <c r="AP3437" s="76"/>
      <c r="AQ3437" s="76"/>
      <c r="AR3437" s="76"/>
      <c r="AS3437" s="76"/>
      <c r="AT3437" s="76"/>
      <c r="AU3437" s="76"/>
      <c r="AV3437" s="76"/>
      <c r="AW3437" s="76"/>
      <c r="AX3437" s="76">
        <f>+AW3437*600000</f>
        <v>0</v>
      </c>
      <c r="AY3437" s="76"/>
      <c r="AZ3437" s="76">
        <f>+AY3437*70000</f>
        <v>0</v>
      </c>
      <c r="BA3437" s="76"/>
      <c r="BB3437" s="76"/>
      <c r="BC3437" s="76"/>
      <c r="BD3437" s="76">
        <f>+BC3437*30000</f>
        <v>0</v>
      </c>
      <c r="BE3437" s="76"/>
      <c r="BF3437" s="76"/>
      <c r="BG3437" s="76"/>
      <c r="BH3437" s="76"/>
      <c r="BI3437" s="76"/>
      <c r="BJ3437" s="76"/>
      <c r="BK3437" s="76"/>
      <c r="BL3437" s="76">
        <f>+BK3437*31500</f>
        <v>0</v>
      </c>
      <c r="BM3437" s="76"/>
      <c r="BN3437" s="76"/>
      <c r="BO3437" s="76"/>
      <c r="BP3437" s="76"/>
      <c r="BQ3437" s="76"/>
      <c r="BR3437" s="76"/>
      <c r="BS3437" s="76"/>
      <c r="BT3437" s="76"/>
      <c r="BU3437" s="76"/>
      <c r="BV3437" s="76"/>
      <c r="BW3437" s="76"/>
      <c r="BX3437" s="76"/>
      <c r="BY3437" s="76"/>
      <c r="BZ3437" s="76"/>
      <c r="CA3437" s="76"/>
      <c r="CB3437" s="76"/>
      <c r="CC3437" s="76"/>
      <c r="CD3437" s="76"/>
      <c r="CE3437" s="76"/>
      <c r="CF3437" s="76">
        <f>+CE3437*28000</f>
        <v>0</v>
      </c>
      <c r="CG3437" s="76"/>
      <c r="CH3437" s="76">
        <f>+CG3437*22500</f>
        <v>0</v>
      </c>
      <c r="CI3437" s="76"/>
      <c r="CJ3437" s="76">
        <f>+CI3437*26000</f>
        <v>0</v>
      </c>
      <c r="CK3437" s="76"/>
      <c r="CL3437" s="76"/>
      <c r="CM3437" s="76"/>
      <c r="CN3437" s="76">
        <f>+CM3437*22000</f>
        <v>0</v>
      </c>
      <c r="CO3437" s="76"/>
      <c r="CP3437" s="76">
        <f>+CO3437*46000</f>
        <v>0</v>
      </c>
      <c r="CQ3437" s="76"/>
      <c r="CR3437" s="76">
        <f>+CQ3437*49000</f>
        <v>0</v>
      </c>
      <c r="CS3437" s="76"/>
      <c r="CT3437" s="76"/>
      <c r="CU3437" s="56">
        <f>AN3437+AP3437+AR3437+AT3437+AV3437+AX3437+AZ3437+BB3437+BD3437+BF3437+BH3437+BJ3437+BL3437+BN3437+BP3437+BR3437+BT3437+BV3437+BX3437+BZ3437+CB3437+CD3437+CF3437+CH3437+CJ3437+CL3437+CN3437+CP3437+CR3437+CT3437</f>
        <v>0</v>
      </c>
      <c r="CV3437" s="76"/>
      <c r="CW3437" s="76">
        <f>+CV3437*1100</f>
        <v>0</v>
      </c>
      <c r="CX3437" s="76"/>
      <c r="CY3437" s="76">
        <f>+CX3437*106250</f>
        <v>0</v>
      </c>
      <c r="CZ3437" s="76"/>
      <c r="DA3437" s="76">
        <f>+CZ3437*34500</f>
        <v>0</v>
      </c>
      <c r="DB3437" s="76"/>
      <c r="DC3437" s="76">
        <f>+DB3437*25000</f>
        <v>0</v>
      </c>
      <c r="DD3437" s="219"/>
      <c r="DE3437" s="219"/>
      <c r="DF3437" s="166"/>
      <c r="DG3437" s="116"/>
      <c r="DH3437" s="117"/>
      <c r="DI3437" s="24"/>
      <c r="DJ3437" s="24"/>
      <c r="DK3437" s="24"/>
      <c r="DL3437" s="24"/>
      <c r="DM3437" s="24"/>
      <c r="DN3437" s="24"/>
      <c r="DO3437" s="24"/>
      <c r="DP3437" s="24"/>
      <c r="DQ3437" s="24"/>
      <c r="DR3437" s="24"/>
      <c r="DS3437" s="24"/>
      <c r="DT3437" s="24"/>
      <c r="DU3437" s="24"/>
    </row>
    <row r="3438" spans="1:125" s="8" customFormat="1" ht="72" x14ac:dyDescent="0.2">
      <c r="A3438" s="77">
        <v>41569</v>
      </c>
      <c r="B3438" s="78" t="s">
        <v>3136</v>
      </c>
      <c r="C3438" s="75" t="s">
        <v>2204</v>
      </c>
      <c r="D3438" s="75" t="s">
        <v>4391</v>
      </c>
      <c r="E3438" s="75" t="str">
        <f>VLOOKUP(B3438&amp;C3438,Divipola!$C$2:$F$1138,4,FALSE)</f>
        <v>44001</v>
      </c>
      <c r="F3438" s="87"/>
      <c r="G3438" s="87"/>
      <c r="H3438" s="87">
        <v>1</v>
      </c>
      <c r="I3438" s="87"/>
      <c r="J3438" s="87"/>
      <c r="K3438" s="87"/>
      <c r="L3438" s="87"/>
      <c r="M3438" s="87"/>
      <c r="N3438" s="87"/>
      <c r="O3438" s="87"/>
      <c r="P3438" s="87"/>
      <c r="Q3438" s="87"/>
      <c r="R3438" s="87"/>
      <c r="S3438" s="87"/>
      <c r="T3438" s="87"/>
      <c r="U3438" s="88"/>
      <c r="V3438" s="89"/>
      <c r="W3438" s="96">
        <v>0</v>
      </c>
      <c r="X3438" s="71">
        <f>CU3438</f>
        <v>0</v>
      </c>
      <c r="Y3438" s="71">
        <f>CY3438</f>
        <v>0</v>
      </c>
      <c r="Z3438" s="71">
        <f>DA3438+DC3438+DE3438</f>
        <v>0</v>
      </c>
      <c r="AA3438" s="71">
        <f>CW3438</f>
        <v>0</v>
      </c>
      <c r="AB3438" s="71"/>
      <c r="AC3438" s="71">
        <v>0</v>
      </c>
      <c r="AD3438" s="71">
        <f>W3438+X3438+Y3438+Z3438+AA3438+AB3438+AC3438</f>
        <v>0</v>
      </c>
      <c r="AE3438" s="72">
        <v>0</v>
      </c>
      <c r="AF3438" s="5"/>
      <c r="AG3438" s="6"/>
      <c r="AH3438" s="27"/>
      <c r="AI3438" s="44"/>
      <c r="AJ3438" s="26"/>
      <c r="AK3438" s="5"/>
      <c r="AL3438" s="268" t="s">
        <v>6390</v>
      </c>
      <c r="AM3438" s="76"/>
      <c r="AN3438" s="76"/>
      <c r="AO3438" s="76"/>
      <c r="AP3438" s="76"/>
      <c r="AQ3438" s="76"/>
      <c r="AR3438" s="76"/>
      <c r="AS3438" s="76"/>
      <c r="AT3438" s="76"/>
      <c r="AU3438" s="76"/>
      <c r="AV3438" s="76"/>
      <c r="AW3438" s="76"/>
      <c r="AX3438" s="76">
        <f>+AW3438*600000</f>
        <v>0</v>
      </c>
      <c r="AY3438" s="76"/>
      <c r="AZ3438" s="76">
        <f>+AY3438*70000</f>
        <v>0</v>
      </c>
      <c r="BA3438" s="76"/>
      <c r="BB3438" s="76"/>
      <c r="BC3438" s="76"/>
      <c r="BD3438" s="76">
        <f>+BC3438*30000</f>
        <v>0</v>
      </c>
      <c r="BE3438" s="76"/>
      <c r="BF3438" s="76"/>
      <c r="BG3438" s="76"/>
      <c r="BH3438" s="76"/>
      <c r="BI3438" s="76"/>
      <c r="BJ3438" s="76"/>
      <c r="BK3438" s="76"/>
      <c r="BL3438" s="76">
        <f>+BK3438*31500</f>
        <v>0</v>
      </c>
      <c r="BM3438" s="76"/>
      <c r="BN3438" s="76"/>
      <c r="BO3438" s="76"/>
      <c r="BP3438" s="76"/>
      <c r="BQ3438" s="76"/>
      <c r="BR3438" s="76"/>
      <c r="BS3438" s="76"/>
      <c r="BT3438" s="76"/>
      <c r="BU3438" s="76"/>
      <c r="BV3438" s="76"/>
      <c r="BW3438" s="76"/>
      <c r="BX3438" s="76"/>
      <c r="BY3438" s="76"/>
      <c r="BZ3438" s="76"/>
      <c r="CA3438" s="76"/>
      <c r="CB3438" s="76"/>
      <c r="CC3438" s="76"/>
      <c r="CD3438" s="76"/>
      <c r="CE3438" s="76"/>
      <c r="CF3438" s="76">
        <f>+CE3438*28000</f>
        <v>0</v>
      </c>
      <c r="CG3438" s="76"/>
      <c r="CH3438" s="76">
        <f>+CG3438*22500</f>
        <v>0</v>
      </c>
      <c r="CI3438" s="76"/>
      <c r="CJ3438" s="76">
        <f>+CI3438*26000</f>
        <v>0</v>
      </c>
      <c r="CK3438" s="76"/>
      <c r="CL3438" s="76"/>
      <c r="CM3438" s="76"/>
      <c r="CN3438" s="76">
        <f>+CM3438*22000</f>
        <v>0</v>
      </c>
      <c r="CO3438" s="76"/>
      <c r="CP3438" s="76">
        <f>+CO3438*46000</f>
        <v>0</v>
      </c>
      <c r="CQ3438" s="76"/>
      <c r="CR3438" s="76">
        <f>+CQ3438*49000</f>
        <v>0</v>
      </c>
      <c r="CS3438" s="76"/>
      <c r="CT3438" s="76"/>
      <c r="CU3438" s="56">
        <f>AN3438+AP3438+AR3438+AT3438+AV3438+AX3438+AZ3438+BB3438+BD3438+BF3438+BH3438+BJ3438+BL3438+BN3438+BP3438+BR3438+BT3438+BV3438+BX3438+BZ3438+CB3438+CD3438+CF3438+CH3438+CJ3438+CL3438+CN3438+CP3438+CR3438+CT3438</f>
        <v>0</v>
      </c>
      <c r="CV3438" s="76"/>
      <c r="CW3438" s="76">
        <f>+CV3438*1100</f>
        <v>0</v>
      </c>
      <c r="CX3438" s="76"/>
      <c r="CY3438" s="76">
        <f>+CX3438*106250</f>
        <v>0</v>
      </c>
      <c r="CZ3438" s="76"/>
      <c r="DA3438" s="76">
        <f>+CZ3438*34500</f>
        <v>0</v>
      </c>
      <c r="DB3438" s="76"/>
      <c r="DC3438" s="76">
        <f>+DB3438*25000</f>
        <v>0</v>
      </c>
      <c r="DD3438" s="219"/>
      <c r="DE3438" s="219"/>
      <c r="DF3438" s="166"/>
      <c r="DG3438" s="116"/>
      <c r="DH3438" s="117"/>
      <c r="DI3438" s="24"/>
      <c r="DJ3438" s="24"/>
      <c r="DK3438" s="24"/>
      <c r="DL3438" s="24"/>
      <c r="DM3438" s="24"/>
      <c r="DN3438" s="24"/>
      <c r="DO3438" s="24"/>
      <c r="DP3438" s="24"/>
      <c r="DQ3438" s="24"/>
      <c r="DR3438" s="24"/>
      <c r="DS3438" s="24"/>
      <c r="DT3438" s="24"/>
      <c r="DU3438" s="24"/>
    </row>
    <row r="3439" spans="1:125" s="8" customFormat="1" ht="84" x14ac:dyDescent="0.2">
      <c r="A3439" s="353">
        <v>41569</v>
      </c>
      <c r="B3439" s="352" t="s">
        <v>3136</v>
      </c>
      <c r="C3439" s="354" t="s">
        <v>389</v>
      </c>
      <c r="D3439" s="354" t="s">
        <v>4391</v>
      </c>
      <c r="E3439" s="75" t="str">
        <f>VLOOKUP(B3439&amp;C3439,Divipola!$C$2:$F$1138,4,FALSE)</f>
        <v>44090</v>
      </c>
      <c r="F3439" s="87"/>
      <c r="G3439" s="87"/>
      <c r="H3439" s="87">
        <v>1</v>
      </c>
      <c r="I3439" s="87"/>
      <c r="J3439" s="87"/>
      <c r="K3439" s="87"/>
      <c r="L3439" s="87"/>
      <c r="M3439" s="87"/>
      <c r="N3439" s="87"/>
      <c r="O3439" s="87"/>
      <c r="P3439" s="87"/>
      <c r="Q3439" s="87"/>
      <c r="R3439" s="87"/>
      <c r="S3439" s="87"/>
      <c r="T3439" s="87"/>
      <c r="U3439" s="88"/>
      <c r="V3439" s="89"/>
      <c r="W3439" s="96">
        <v>0</v>
      </c>
      <c r="X3439" s="71">
        <f>CU3439</f>
        <v>0</v>
      </c>
      <c r="Y3439" s="71">
        <f>CY3439</f>
        <v>0</v>
      </c>
      <c r="Z3439" s="71">
        <f>DA3439+DC3439+DE3439</f>
        <v>0</v>
      </c>
      <c r="AA3439" s="71">
        <f>CW3439</f>
        <v>0</v>
      </c>
      <c r="AB3439" s="71"/>
      <c r="AC3439" s="71">
        <v>0</v>
      </c>
      <c r="AD3439" s="71">
        <f>W3439+X3439+Y3439+Z3439+AA3439+AB3439+AC3439</f>
        <v>0</v>
      </c>
      <c r="AE3439" s="72">
        <v>0</v>
      </c>
      <c r="AF3439" s="5"/>
      <c r="AG3439" s="6"/>
      <c r="AH3439" s="27"/>
      <c r="AI3439" s="44"/>
      <c r="AJ3439" s="26"/>
      <c r="AK3439" s="5"/>
      <c r="AL3439" s="82" t="s">
        <v>6391</v>
      </c>
      <c r="AM3439" s="76"/>
      <c r="AN3439" s="76"/>
      <c r="AO3439" s="76"/>
      <c r="AP3439" s="76"/>
      <c r="AQ3439" s="76"/>
      <c r="AR3439" s="76"/>
      <c r="AS3439" s="76"/>
      <c r="AT3439" s="76"/>
      <c r="AU3439" s="76"/>
      <c r="AV3439" s="76"/>
      <c r="AW3439" s="76"/>
      <c r="AX3439" s="76">
        <f>+AW3439*600000</f>
        <v>0</v>
      </c>
      <c r="AY3439" s="76"/>
      <c r="AZ3439" s="76">
        <f>+AY3439*70000</f>
        <v>0</v>
      </c>
      <c r="BA3439" s="76"/>
      <c r="BB3439" s="76"/>
      <c r="BC3439" s="76"/>
      <c r="BD3439" s="76">
        <f>+BC3439*30000</f>
        <v>0</v>
      </c>
      <c r="BE3439" s="76"/>
      <c r="BF3439" s="76"/>
      <c r="BG3439" s="76"/>
      <c r="BH3439" s="76"/>
      <c r="BI3439" s="76"/>
      <c r="BJ3439" s="76"/>
      <c r="BK3439" s="76"/>
      <c r="BL3439" s="76">
        <f>+BK3439*31500</f>
        <v>0</v>
      </c>
      <c r="BM3439" s="76"/>
      <c r="BN3439" s="76"/>
      <c r="BO3439" s="76"/>
      <c r="BP3439" s="76"/>
      <c r="BQ3439" s="76"/>
      <c r="BR3439" s="76"/>
      <c r="BS3439" s="76"/>
      <c r="BT3439" s="76"/>
      <c r="BU3439" s="76"/>
      <c r="BV3439" s="76"/>
      <c r="BW3439" s="76"/>
      <c r="BX3439" s="76"/>
      <c r="BY3439" s="76"/>
      <c r="BZ3439" s="76"/>
      <c r="CA3439" s="76"/>
      <c r="CB3439" s="76"/>
      <c r="CC3439" s="76"/>
      <c r="CD3439" s="76"/>
      <c r="CE3439" s="76"/>
      <c r="CF3439" s="76">
        <f>+CE3439*28000</f>
        <v>0</v>
      </c>
      <c r="CG3439" s="76"/>
      <c r="CH3439" s="76">
        <f>+CG3439*22500</f>
        <v>0</v>
      </c>
      <c r="CI3439" s="76"/>
      <c r="CJ3439" s="76">
        <f>+CI3439*26000</f>
        <v>0</v>
      </c>
      <c r="CK3439" s="76"/>
      <c r="CL3439" s="76"/>
      <c r="CM3439" s="76"/>
      <c r="CN3439" s="76">
        <f>+CM3439*22000</f>
        <v>0</v>
      </c>
      <c r="CO3439" s="76"/>
      <c r="CP3439" s="76">
        <f>+CO3439*46000</f>
        <v>0</v>
      </c>
      <c r="CQ3439" s="76"/>
      <c r="CR3439" s="76">
        <f>+CQ3439*49000</f>
        <v>0</v>
      </c>
      <c r="CS3439" s="76"/>
      <c r="CT3439" s="76"/>
      <c r="CU3439" s="56">
        <f>AN3439+AP3439+AR3439+AT3439+AV3439+AX3439+AZ3439+BB3439+BD3439+BF3439+BH3439+BJ3439+BL3439+BN3439+BP3439+BR3439+BT3439+BV3439+BX3439+BZ3439+CB3439+CD3439+CF3439+CH3439+CJ3439+CL3439+CN3439+CP3439+CR3439+CT3439</f>
        <v>0</v>
      </c>
      <c r="CV3439" s="76"/>
      <c r="CW3439" s="76">
        <f>+CV3439*1100</f>
        <v>0</v>
      </c>
      <c r="CX3439" s="76"/>
      <c r="CY3439" s="76">
        <f>+CX3439*106250</f>
        <v>0</v>
      </c>
      <c r="CZ3439" s="76"/>
      <c r="DA3439" s="76">
        <f>+CZ3439*34500</f>
        <v>0</v>
      </c>
      <c r="DB3439" s="76"/>
      <c r="DC3439" s="76">
        <f>+DB3439*25000</f>
        <v>0</v>
      </c>
      <c r="DD3439" s="219"/>
      <c r="DE3439" s="219"/>
      <c r="DF3439" s="166"/>
      <c r="DG3439" s="116"/>
      <c r="DH3439" s="117"/>
      <c r="DI3439" s="24"/>
      <c r="DJ3439" s="24"/>
      <c r="DK3439" s="24"/>
      <c r="DL3439" s="24"/>
      <c r="DM3439" s="24"/>
      <c r="DN3439" s="24"/>
      <c r="DO3439" s="24"/>
      <c r="DP3439" s="24"/>
      <c r="DQ3439" s="24"/>
      <c r="DR3439" s="24"/>
      <c r="DS3439" s="24"/>
      <c r="DT3439" s="24"/>
      <c r="DU3439" s="24"/>
    </row>
    <row r="3440" spans="1:125" s="8" customFormat="1" ht="132" x14ac:dyDescent="0.2">
      <c r="A3440" s="77">
        <v>41569</v>
      </c>
      <c r="B3440" s="352" t="s">
        <v>1326</v>
      </c>
      <c r="C3440" s="354" t="s">
        <v>1339</v>
      </c>
      <c r="D3440" s="354" t="s">
        <v>3051</v>
      </c>
      <c r="E3440" s="75" t="str">
        <f>VLOOKUP(B3440&amp;C3440,Divipola!$C$2:$F$1138,4,FALSE)</f>
        <v>70713</v>
      </c>
      <c r="F3440" s="87"/>
      <c r="G3440" s="87"/>
      <c r="H3440" s="87"/>
      <c r="I3440" s="87">
        <v>150</v>
      </c>
      <c r="J3440" s="87">
        <v>23</v>
      </c>
      <c r="K3440" s="87"/>
      <c r="L3440" s="87">
        <v>23</v>
      </c>
      <c r="M3440" s="87"/>
      <c r="N3440" s="87"/>
      <c r="O3440" s="87"/>
      <c r="P3440" s="87"/>
      <c r="Q3440" s="87"/>
      <c r="R3440" s="87"/>
      <c r="S3440" s="87"/>
      <c r="T3440" s="87"/>
      <c r="U3440" s="88"/>
      <c r="V3440" s="89"/>
      <c r="W3440" s="96">
        <v>0</v>
      </c>
      <c r="X3440" s="71">
        <f>CU3440</f>
        <v>0</v>
      </c>
      <c r="Y3440" s="71">
        <f>CY3440</f>
        <v>0</v>
      </c>
      <c r="Z3440" s="71">
        <f>DA3440+DC3440+DE3440</f>
        <v>0</v>
      </c>
      <c r="AA3440" s="71">
        <f>CW3440</f>
        <v>0</v>
      </c>
      <c r="AB3440" s="71"/>
      <c r="AC3440" s="71">
        <v>0</v>
      </c>
      <c r="AD3440" s="71">
        <f>W3440+X3440+Y3440+Z3440+AA3440+AB3440+AC3440</f>
        <v>0</v>
      </c>
      <c r="AE3440" s="72">
        <v>0</v>
      </c>
      <c r="AF3440" s="5"/>
      <c r="AG3440" s="6"/>
      <c r="AH3440" s="27"/>
      <c r="AI3440" s="44"/>
      <c r="AJ3440" s="26"/>
      <c r="AK3440" s="5"/>
      <c r="AL3440" s="82" t="s">
        <v>6392</v>
      </c>
      <c r="AM3440" s="76"/>
      <c r="AN3440" s="76"/>
      <c r="AO3440" s="76"/>
      <c r="AP3440" s="76"/>
      <c r="AQ3440" s="76"/>
      <c r="AR3440" s="76"/>
      <c r="AS3440" s="76"/>
      <c r="AT3440" s="76"/>
      <c r="AU3440" s="76"/>
      <c r="AV3440" s="76"/>
      <c r="AW3440" s="76"/>
      <c r="AX3440" s="76">
        <f>+AW3440*600000</f>
        <v>0</v>
      </c>
      <c r="AY3440" s="76"/>
      <c r="AZ3440" s="76">
        <f>+AY3440*70000</f>
        <v>0</v>
      </c>
      <c r="BA3440" s="76"/>
      <c r="BB3440" s="76"/>
      <c r="BC3440" s="76"/>
      <c r="BD3440" s="76">
        <f>+BC3440*30000</f>
        <v>0</v>
      </c>
      <c r="BE3440" s="76"/>
      <c r="BF3440" s="76"/>
      <c r="BG3440" s="76"/>
      <c r="BH3440" s="76"/>
      <c r="BI3440" s="76"/>
      <c r="BJ3440" s="76"/>
      <c r="BK3440" s="76"/>
      <c r="BL3440" s="76">
        <f>+BK3440*31500</f>
        <v>0</v>
      </c>
      <c r="BM3440" s="76"/>
      <c r="BN3440" s="76"/>
      <c r="BO3440" s="76"/>
      <c r="BP3440" s="76"/>
      <c r="BQ3440" s="76"/>
      <c r="BR3440" s="76"/>
      <c r="BS3440" s="76"/>
      <c r="BT3440" s="76"/>
      <c r="BU3440" s="76"/>
      <c r="BV3440" s="76"/>
      <c r="BW3440" s="76"/>
      <c r="BX3440" s="76"/>
      <c r="BY3440" s="76"/>
      <c r="BZ3440" s="76"/>
      <c r="CA3440" s="76"/>
      <c r="CB3440" s="76"/>
      <c r="CC3440" s="76"/>
      <c r="CD3440" s="76"/>
      <c r="CE3440" s="76"/>
      <c r="CF3440" s="76">
        <f>+CE3440*28000</f>
        <v>0</v>
      </c>
      <c r="CG3440" s="76"/>
      <c r="CH3440" s="76">
        <f>+CG3440*22500</f>
        <v>0</v>
      </c>
      <c r="CI3440" s="76"/>
      <c r="CJ3440" s="76">
        <f>+CI3440*26000</f>
        <v>0</v>
      </c>
      <c r="CK3440" s="76"/>
      <c r="CL3440" s="76"/>
      <c r="CM3440" s="76"/>
      <c r="CN3440" s="76">
        <f>+CM3440*22000</f>
        <v>0</v>
      </c>
      <c r="CO3440" s="76"/>
      <c r="CP3440" s="76">
        <f>+CO3440*46000</f>
        <v>0</v>
      </c>
      <c r="CQ3440" s="76"/>
      <c r="CR3440" s="76">
        <f>+CQ3440*49000</f>
        <v>0</v>
      </c>
      <c r="CS3440" s="76"/>
      <c r="CT3440" s="76"/>
      <c r="CU3440" s="56">
        <f>AN3440+AP3440+AR3440+AT3440+AV3440+AX3440+AZ3440+BB3440+BD3440+BF3440+BH3440+BJ3440+BL3440+BN3440+BP3440+BR3440+BT3440+BV3440+BX3440+BZ3440+CB3440+CD3440+CF3440+CH3440+CJ3440+CL3440+CN3440+CP3440+CR3440+CT3440</f>
        <v>0</v>
      </c>
      <c r="CV3440" s="76"/>
      <c r="CW3440" s="76">
        <f>+CV3440*1100</f>
        <v>0</v>
      </c>
      <c r="CX3440" s="76"/>
      <c r="CY3440" s="76">
        <f>+CX3440*106250</f>
        <v>0</v>
      </c>
      <c r="CZ3440" s="76"/>
      <c r="DA3440" s="76">
        <f>+CZ3440*34500</f>
        <v>0</v>
      </c>
      <c r="DB3440" s="76"/>
      <c r="DC3440" s="76">
        <f>+DB3440*25000</f>
        <v>0</v>
      </c>
      <c r="DD3440" s="219"/>
      <c r="DE3440" s="219"/>
      <c r="DF3440" s="166"/>
      <c r="DG3440" s="116"/>
      <c r="DH3440" s="117"/>
      <c r="DI3440" s="24"/>
      <c r="DJ3440" s="24"/>
      <c r="DK3440" s="24"/>
      <c r="DL3440" s="24"/>
      <c r="DM3440" s="24"/>
      <c r="DN3440" s="24"/>
      <c r="DO3440" s="24"/>
      <c r="DP3440" s="24"/>
      <c r="DQ3440" s="24"/>
      <c r="DR3440" s="24"/>
      <c r="DS3440" s="24"/>
      <c r="DT3440" s="24"/>
      <c r="DU3440" s="24"/>
    </row>
    <row r="3441" spans="1:125" s="8" customFormat="1" ht="60" x14ac:dyDescent="0.2">
      <c r="A3441" s="77">
        <v>41569</v>
      </c>
      <c r="B3441" s="78" t="s">
        <v>2772</v>
      </c>
      <c r="C3441" s="75" t="s">
        <v>1334</v>
      </c>
      <c r="D3441" s="75" t="s">
        <v>2846</v>
      </c>
      <c r="E3441" s="75" t="str">
        <f>VLOOKUP(B3441&amp;C3441,Divipola!$C$2:$F$1138,4,FALSE)</f>
        <v>25317</v>
      </c>
      <c r="F3441" s="87"/>
      <c r="G3441" s="87"/>
      <c r="H3441" s="87"/>
      <c r="I3441" s="87"/>
      <c r="J3441" s="87"/>
      <c r="K3441" s="87"/>
      <c r="L3441" s="87"/>
      <c r="M3441" s="87"/>
      <c r="N3441" s="87"/>
      <c r="O3441" s="87"/>
      <c r="P3441" s="87"/>
      <c r="Q3441" s="87"/>
      <c r="R3441" s="87"/>
      <c r="S3441" s="87"/>
      <c r="T3441" s="87"/>
      <c r="U3441" s="88"/>
      <c r="V3441" s="89"/>
      <c r="W3441" s="96">
        <v>0</v>
      </c>
      <c r="X3441" s="71">
        <f>CU3441</f>
        <v>0</v>
      </c>
      <c r="Y3441" s="71">
        <f>CY3441</f>
        <v>0</v>
      </c>
      <c r="Z3441" s="71">
        <f>DA3441+DC3441+DE3441</f>
        <v>0</v>
      </c>
      <c r="AA3441" s="71">
        <f>CW3441</f>
        <v>0</v>
      </c>
      <c r="AB3441" s="71"/>
      <c r="AC3441" s="71">
        <v>0</v>
      </c>
      <c r="AD3441" s="71">
        <f>W3441+X3441+Y3441+Z3441+AA3441+AB3441+AC3441</f>
        <v>0</v>
      </c>
      <c r="AE3441" s="72">
        <v>0</v>
      </c>
      <c r="AF3441" s="5"/>
      <c r="AG3441" s="6"/>
      <c r="AH3441" s="27"/>
      <c r="AI3441" s="44"/>
      <c r="AJ3441" s="26"/>
      <c r="AK3441" s="5"/>
      <c r="AL3441" s="268" t="s">
        <v>6393</v>
      </c>
      <c r="AM3441" s="76"/>
      <c r="AN3441" s="76"/>
      <c r="AO3441" s="76"/>
      <c r="AP3441" s="76"/>
      <c r="AQ3441" s="76"/>
      <c r="AR3441" s="76"/>
      <c r="AS3441" s="76"/>
      <c r="AT3441" s="76"/>
      <c r="AU3441" s="76"/>
      <c r="AV3441" s="76"/>
      <c r="AW3441" s="76"/>
      <c r="AX3441" s="76">
        <f>+AW3441*600000</f>
        <v>0</v>
      </c>
      <c r="AY3441" s="76"/>
      <c r="AZ3441" s="76">
        <f>+AY3441*70000</f>
        <v>0</v>
      </c>
      <c r="BA3441" s="76"/>
      <c r="BB3441" s="76"/>
      <c r="BC3441" s="76"/>
      <c r="BD3441" s="76">
        <f>+BC3441*30000</f>
        <v>0</v>
      </c>
      <c r="BE3441" s="76"/>
      <c r="BF3441" s="76"/>
      <c r="BG3441" s="76"/>
      <c r="BH3441" s="76"/>
      <c r="BI3441" s="76"/>
      <c r="BJ3441" s="76"/>
      <c r="BK3441" s="76"/>
      <c r="BL3441" s="76">
        <f>+BK3441*31500</f>
        <v>0</v>
      </c>
      <c r="BM3441" s="76"/>
      <c r="BN3441" s="76"/>
      <c r="BO3441" s="76"/>
      <c r="BP3441" s="76"/>
      <c r="BQ3441" s="76"/>
      <c r="BR3441" s="76"/>
      <c r="BS3441" s="76"/>
      <c r="BT3441" s="76"/>
      <c r="BU3441" s="76"/>
      <c r="BV3441" s="76"/>
      <c r="BW3441" s="76"/>
      <c r="BX3441" s="76"/>
      <c r="BY3441" s="76"/>
      <c r="BZ3441" s="76"/>
      <c r="CA3441" s="76"/>
      <c r="CB3441" s="76"/>
      <c r="CC3441" s="76"/>
      <c r="CD3441" s="76"/>
      <c r="CE3441" s="76"/>
      <c r="CF3441" s="76">
        <f>+CE3441*28000</f>
        <v>0</v>
      </c>
      <c r="CG3441" s="76"/>
      <c r="CH3441" s="76">
        <f>+CG3441*22500</f>
        <v>0</v>
      </c>
      <c r="CI3441" s="76"/>
      <c r="CJ3441" s="76">
        <f>+CI3441*26000</f>
        <v>0</v>
      </c>
      <c r="CK3441" s="76"/>
      <c r="CL3441" s="76"/>
      <c r="CM3441" s="76"/>
      <c r="CN3441" s="76">
        <f>+CM3441*22000</f>
        <v>0</v>
      </c>
      <c r="CO3441" s="76"/>
      <c r="CP3441" s="76">
        <f>+CO3441*46000</f>
        <v>0</v>
      </c>
      <c r="CQ3441" s="76"/>
      <c r="CR3441" s="76">
        <f>+CQ3441*49000</f>
        <v>0</v>
      </c>
      <c r="CS3441" s="76"/>
      <c r="CT3441" s="76"/>
      <c r="CU3441" s="56">
        <f>AN3441+AP3441+AR3441+AT3441+AV3441+AX3441+AZ3441+BB3441+BD3441+BF3441+BH3441+BJ3441+BL3441+BN3441+BP3441+BR3441+BT3441+BV3441+BX3441+BZ3441+CB3441+CD3441+CF3441+CH3441+CJ3441+CL3441+CN3441+CP3441+CR3441+CT3441</f>
        <v>0</v>
      </c>
      <c r="CV3441" s="76"/>
      <c r="CW3441" s="76">
        <f>+CV3441*1100</f>
        <v>0</v>
      </c>
      <c r="CX3441" s="76"/>
      <c r="CY3441" s="76">
        <f>+CX3441*106250</f>
        <v>0</v>
      </c>
      <c r="CZ3441" s="76"/>
      <c r="DA3441" s="76">
        <f>+CZ3441*34500</f>
        <v>0</v>
      </c>
      <c r="DB3441" s="76"/>
      <c r="DC3441" s="76">
        <f>+DB3441*25000</f>
        <v>0</v>
      </c>
      <c r="DD3441" s="219"/>
      <c r="DE3441" s="219"/>
      <c r="DF3441" s="166"/>
      <c r="DG3441" s="116"/>
      <c r="DH3441" s="117"/>
      <c r="DI3441" s="24"/>
      <c r="DJ3441" s="24"/>
      <c r="DK3441" s="24"/>
      <c r="DL3441" s="24"/>
      <c r="DM3441" s="24"/>
      <c r="DN3441" s="24"/>
      <c r="DO3441" s="24"/>
      <c r="DP3441" s="24"/>
      <c r="DQ3441" s="24"/>
      <c r="DR3441" s="24"/>
      <c r="DS3441" s="24"/>
      <c r="DT3441" s="24"/>
      <c r="DU3441" s="24"/>
    </row>
    <row r="3442" spans="1:125" s="8" customFormat="1" ht="180" x14ac:dyDescent="0.2">
      <c r="A3442" s="353">
        <v>41569</v>
      </c>
      <c r="B3442" s="352" t="s">
        <v>2811</v>
      </c>
      <c r="C3442" s="354" t="s">
        <v>2839</v>
      </c>
      <c r="D3442" s="354" t="s">
        <v>4947</v>
      </c>
      <c r="E3442" s="75" t="str">
        <f>VLOOKUP(B3442&amp;C3442,Divipola!$C$2:$F$1138,4,FALSE)</f>
        <v>52835</v>
      </c>
      <c r="F3442" s="87"/>
      <c r="G3442" s="87">
        <v>13</v>
      </c>
      <c r="H3442" s="87"/>
      <c r="I3442" s="87">
        <v>13</v>
      </c>
      <c r="J3442" s="87"/>
      <c r="K3442" s="87"/>
      <c r="L3442" s="87"/>
      <c r="M3442" s="87"/>
      <c r="N3442" s="87"/>
      <c r="O3442" s="87"/>
      <c r="P3442" s="87"/>
      <c r="Q3442" s="87"/>
      <c r="R3442" s="87"/>
      <c r="S3442" s="87"/>
      <c r="T3442" s="87"/>
      <c r="U3442" s="88"/>
      <c r="V3442" s="89">
        <v>1</v>
      </c>
      <c r="W3442" s="96">
        <v>0</v>
      </c>
      <c r="X3442" s="71">
        <f>CU3442</f>
        <v>0</v>
      </c>
      <c r="Y3442" s="71">
        <f>CY3442</f>
        <v>0</v>
      </c>
      <c r="Z3442" s="71">
        <f>DA3442+DC3442+DE3442</f>
        <v>0</v>
      </c>
      <c r="AA3442" s="71">
        <f>CW3442</f>
        <v>0</v>
      </c>
      <c r="AB3442" s="71"/>
      <c r="AC3442" s="71">
        <v>0</v>
      </c>
      <c r="AD3442" s="71">
        <f>W3442+X3442+Y3442+Z3442+AA3442+AB3442+AC3442</f>
        <v>0</v>
      </c>
      <c r="AE3442" s="72">
        <v>0</v>
      </c>
      <c r="AF3442" s="5"/>
      <c r="AG3442" s="6"/>
      <c r="AH3442" s="27"/>
      <c r="AI3442" s="44"/>
      <c r="AJ3442" s="26"/>
      <c r="AK3442" s="5"/>
      <c r="AL3442" s="82" t="s">
        <v>6399</v>
      </c>
      <c r="AM3442" s="76"/>
      <c r="AN3442" s="76"/>
      <c r="AO3442" s="76"/>
      <c r="AP3442" s="76"/>
      <c r="AQ3442" s="76"/>
      <c r="AR3442" s="76"/>
      <c r="AS3442" s="76"/>
      <c r="AT3442" s="76"/>
      <c r="AU3442" s="76"/>
      <c r="AV3442" s="76"/>
      <c r="AW3442" s="76"/>
      <c r="AX3442" s="76">
        <f>+AW3442*600000</f>
        <v>0</v>
      </c>
      <c r="AY3442" s="76"/>
      <c r="AZ3442" s="76">
        <f>+AY3442*70000</f>
        <v>0</v>
      </c>
      <c r="BA3442" s="76"/>
      <c r="BB3442" s="76"/>
      <c r="BC3442" s="76"/>
      <c r="BD3442" s="76">
        <f>+BC3442*30000</f>
        <v>0</v>
      </c>
      <c r="BE3442" s="76"/>
      <c r="BF3442" s="76"/>
      <c r="BG3442" s="76"/>
      <c r="BH3442" s="76"/>
      <c r="BI3442" s="76"/>
      <c r="BJ3442" s="76"/>
      <c r="BK3442" s="76"/>
      <c r="BL3442" s="76">
        <f>+BK3442*31500</f>
        <v>0</v>
      </c>
      <c r="BM3442" s="76"/>
      <c r="BN3442" s="76"/>
      <c r="BO3442" s="76"/>
      <c r="BP3442" s="76"/>
      <c r="BQ3442" s="76"/>
      <c r="BR3442" s="76"/>
      <c r="BS3442" s="76"/>
      <c r="BT3442" s="76"/>
      <c r="BU3442" s="76"/>
      <c r="BV3442" s="76"/>
      <c r="BW3442" s="76"/>
      <c r="BX3442" s="76"/>
      <c r="BY3442" s="76"/>
      <c r="BZ3442" s="76"/>
      <c r="CA3442" s="76"/>
      <c r="CB3442" s="76"/>
      <c r="CC3442" s="76"/>
      <c r="CD3442" s="76"/>
      <c r="CE3442" s="76"/>
      <c r="CF3442" s="76">
        <f>+CE3442*28000</f>
        <v>0</v>
      </c>
      <c r="CG3442" s="76"/>
      <c r="CH3442" s="76">
        <f>+CG3442*22500</f>
        <v>0</v>
      </c>
      <c r="CI3442" s="76"/>
      <c r="CJ3442" s="76">
        <f>+CI3442*26000</f>
        <v>0</v>
      </c>
      <c r="CK3442" s="76"/>
      <c r="CL3442" s="76"/>
      <c r="CM3442" s="76"/>
      <c r="CN3442" s="76">
        <f>+CM3442*22000</f>
        <v>0</v>
      </c>
      <c r="CO3442" s="76"/>
      <c r="CP3442" s="76">
        <f>+CO3442*46000</f>
        <v>0</v>
      </c>
      <c r="CQ3442" s="76"/>
      <c r="CR3442" s="76">
        <f>+CQ3442*49000</f>
        <v>0</v>
      </c>
      <c r="CS3442" s="76"/>
      <c r="CT3442" s="76"/>
      <c r="CU3442" s="56">
        <f>AN3442+AP3442+AR3442+AT3442+AV3442+AX3442+AZ3442+BB3442+BD3442+BF3442+BH3442+BJ3442+BL3442+BN3442+BP3442+BR3442+BT3442+BV3442+BX3442+BZ3442+CB3442+CD3442+CF3442+CH3442+CJ3442+CL3442+CN3442+CP3442+CR3442+CT3442</f>
        <v>0</v>
      </c>
      <c r="CV3442" s="76"/>
      <c r="CW3442" s="76">
        <f>+CV3442*1100</f>
        <v>0</v>
      </c>
      <c r="CX3442" s="76"/>
      <c r="CY3442" s="76">
        <f>+CX3442*106250</f>
        <v>0</v>
      </c>
      <c r="CZ3442" s="76"/>
      <c r="DA3442" s="76">
        <f>+CZ3442*34500</f>
        <v>0</v>
      </c>
      <c r="DB3442" s="76"/>
      <c r="DC3442" s="76">
        <f>+DB3442*25000</f>
        <v>0</v>
      </c>
      <c r="DD3442" s="219"/>
      <c r="DE3442" s="219"/>
      <c r="DF3442" s="166"/>
      <c r="DG3442" s="116"/>
      <c r="DH3442" s="117"/>
      <c r="DI3442" s="24"/>
      <c r="DJ3442" s="24"/>
      <c r="DK3442" s="24"/>
      <c r="DL3442" s="24"/>
      <c r="DM3442" s="24"/>
      <c r="DN3442" s="24"/>
      <c r="DO3442" s="24"/>
      <c r="DP3442" s="24"/>
      <c r="DQ3442" s="24"/>
      <c r="DR3442" s="24"/>
      <c r="DS3442" s="24"/>
      <c r="DT3442" s="24"/>
      <c r="DU3442" s="24"/>
    </row>
    <row r="3443" spans="1:125" s="8" customFormat="1" ht="36" x14ac:dyDescent="0.2">
      <c r="A3443" s="353">
        <v>41569</v>
      </c>
      <c r="B3443" s="352" t="s">
        <v>2906</v>
      </c>
      <c r="C3443" s="354" t="s">
        <v>441</v>
      </c>
      <c r="D3443" s="354" t="s">
        <v>3051</v>
      </c>
      <c r="E3443" s="75" t="str">
        <f>VLOOKUP(B3443&amp;C3443,Divipola!$C$2:$F$1138,4,FALSE)</f>
        <v>47460</v>
      </c>
      <c r="F3443" s="87"/>
      <c r="G3443" s="87"/>
      <c r="H3443" s="87"/>
      <c r="I3443" s="87">
        <v>25</v>
      </c>
      <c r="J3443" s="87">
        <v>5</v>
      </c>
      <c r="K3443" s="87"/>
      <c r="L3443" s="87">
        <v>5</v>
      </c>
      <c r="M3443" s="87"/>
      <c r="N3443" s="87"/>
      <c r="O3443" s="87"/>
      <c r="P3443" s="87"/>
      <c r="Q3443" s="87"/>
      <c r="R3443" s="87"/>
      <c r="S3443" s="87"/>
      <c r="T3443" s="87"/>
      <c r="U3443" s="88"/>
      <c r="V3443" s="89"/>
      <c r="W3443" s="96">
        <v>0</v>
      </c>
      <c r="X3443" s="71">
        <f>CU3443</f>
        <v>0</v>
      </c>
      <c r="Y3443" s="71">
        <f>CY3443</f>
        <v>0</v>
      </c>
      <c r="Z3443" s="71">
        <f>DA3443+DC3443+DE3443</f>
        <v>0</v>
      </c>
      <c r="AA3443" s="71">
        <f>CW3443</f>
        <v>0</v>
      </c>
      <c r="AB3443" s="71"/>
      <c r="AC3443" s="71">
        <v>0</v>
      </c>
      <c r="AD3443" s="71">
        <f>W3443+X3443+Y3443+Z3443+AA3443+AB3443+AC3443</f>
        <v>0</v>
      </c>
      <c r="AE3443" s="72">
        <v>0</v>
      </c>
      <c r="AF3443" s="5"/>
      <c r="AG3443" s="6"/>
      <c r="AH3443" s="27"/>
      <c r="AI3443" s="44"/>
      <c r="AJ3443" s="26"/>
      <c r="AK3443" s="5"/>
      <c r="AL3443" s="82" t="s">
        <v>6402</v>
      </c>
      <c r="AM3443" s="76"/>
      <c r="AN3443" s="76"/>
      <c r="AO3443" s="76"/>
      <c r="AP3443" s="76"/>
      <c r="AQ3443" s="76"/>
      <c r="AR3443" s="76"/>
      <c r="AS3443" s="76"/>
      <c r="AT3443" s="76"/>
      <c r="AU3443" s="76"/>
      <c r="AV3443" s="76"/>
      <c r="AW3443" s="76"/>
      <c r="AX3443" s="76">
        <f>+AW3443*600000</f>
        <v>0</v>
      </c>
      <c r="AY3443" s="76"/>
      <c r="AZ3443" s="76">
        <f>+AY3443*70000</f>
        <v>0</v>
      </c>
      <c r="BA3443" s="76"/>
      <c r="BB3443" s="76"/>
      <c r="BC3443" s="76"/>
      <c r="BD3443" s="76">
        <f>+BC3443*30000</f>
        <v>0</v>
      </c>
      <c r="BE3443" s="76"/>
      <c r="BF3443" s="76"/>
      <c r="BG3443" s="76"/>
      <c r="BH3443" s="76"/>
      <c r="BI3443" s="76"/>
      <c r="BJ3443" s="76"/>
      <c r="BK3443" s="76"/>
      <c r="BL3443" s="76">
        <f>+BK3443*31500</f>
        <v>0</v>
      </c>
      <c r="BM3443" s="76"/>
      <c r="BN3443" s="76"/>
      <c r="BO3443" s="76"/>
      <c r="BP3443" s="76"/>
      <c r="BQ3443" s="76"/>
      <c r="BR3443" s="76"/>
      <c r="BS3443" s="76"/>
      <c r="BT3443" s="76"/>
      <c r="BU3443" s="76"/>
      <c r="BV3443" s="76"/>
      <c r="BW3443" s="76"/>
      <c r="BX3443" s="76"/>
      <c r="BY3443" s="76"/>
      <c r="BZ3443" s="76"/>
      <c r="CA3443" s="76"/>
      <c r="CB3443" s="76"/>
      <c r="CC3443" s="76"/>
      <c r="CD3443" s="76"/>
      <c r="CE3443" s="76"/>
      <c r="CF3443" s="76">
        <f>+CE3443*28000</f>
        <v>0</v>
      </c>
      <c r="CG3443" s="76"/>
      <c r="CH3443" s="76">
        <f>+CG3443*22500</f>
        <v>0</v>
      </c>
      <c r="CI3443" s="76"/>
      <c r="CJ3443" s="76">
        <f>+CI3443*26000</f>
        <v>0</v>
      </c>
      <c r="CK3443" s="76"/>
      <c r="CL3443" s="76"/>
      <c r="CM3443" s="76"/>
      <c r="CN3443" s="76">
        <f>+CM3443*22000</f>
        <v>0</v>
      </c>
      <c r="CO3443" s="76"/>
      <c r="CP3443" s="76">
        <f>+CO3443*46000</f>
        <v>0</v>
      </c>
      <c r="CQ3443" s="76"/>
      <c r="CR3443" s="76">
        <f>+CQ3443*49000</f>
        <v>0</v>
      </c>
      <c r="CS3443" s="76"/>
      <c r="CT3443" s="76"/>
      <c r="CU3443" s="56">
        <f>AN3443+AP3443+AR3443+AT3443+AV3443+AX3443+AZ3443+BB3443+BD3443+BF3443+BH3443+BJ3443+BL3443+BN3443+BP3443+BR3443+BT3443+BV3443+BX3443+BZ3443+CB3443+CD3443+CF3443+CH3443+CJ3443+CL3443+CN3443+CP3443+CR3443+CT3443</f>
        <v>0</v>
      </c>
      <c r="CV3443" s="76"/>
      <c r="CW3443" s="76">
        <f>+CV3443*1100</f>
        <v>0</v>
      </c>
      <c r="CX3443" s="76"/>
      <c r="CY3443" s="76">
        <f>+CX3443*106250</f>
        <v>0</v>
      </c>
      <c r="CZ3443" s="76"/>
      <c r="DA3443" s="76">
        <f>+CZ3443*34500</f>
        <v>0</v>
      </c>
      <c r="DB3443" s="76"/>
      <c r="DC3443" s="76">
        <f>+DB3443*25000</f>
        <v>0</v>
      </c>
      <c r="DD3443" s="219"/>
      <c r="DE3443" s="219"/>
      <c r="DF3443" s="166"/>
      <c r="DG3443" s="116"/>
      <c r="DH3443" s="117"/>
      <c r="DI3443" s="24"/>
      <c r="DJ3443" s="24"/>
      <c r="DK3443" s="24"/>
      <c r="DL3443" s="24"/>
      <c r="DM3443" s="24"/>
      <c r="DN3443" s="24"/>
      <c r="DO3443" s="24"/>
      <c r="DP3443" s="24"/>
      <c r="DQ3443" s="24"/>
      <c r="DR3443" s="24"/>
      <c r="DS3443" s="24"/>
      <c r="DT3443" s="24"/>
      <c r="DU3443" s="24"/>
    </row>
    <row r="3444" spans="1:125" s="8" customFormat="1" ht="132" x14ac:dyDescent="0.2">
      <c r="A3444" s="353">
        <v>41570</v>
      </c>
      <c r="B3444" s="78" t="s">
        <v>2772</v>
      </c>
      <c r="C3444" s="75" t="s">
        <v>2190</v>
      </c>
      <c r="D3444" s="75" t="s">
        <v>3088</v>
      </c>
      <c r="E3444" s="75" t="str">
        <f>VLOOKUP(B3444&amp;C3444,Divipola!$C$2:$F$1138,4,FALSE)</f>
        <v>25148</v>
      </c>
      <c r="F3444" s="87"/>
      <c r="G3444" s="87"/>
      <c r="H3444" s="87"/>
      <c r="I3444" s="87"/>
      <c r="J3444" s="87"/>
      <c r="K3444" s="87"/>
      <c r="L3444" s="87"/>
      <c r="M3444" s="87">
        <v>1</v>
      </c>
      <c r="N3444" s="87"/>
      <c r="O3444" s="87"/>
      <c r="P3444" s="87"/>
      <c r="Q3444" s="87"/>
      <c r="R3444" s="87"/>
      <c r="S3444" s="87"/>
      <c r="T3444" s="87"/>
      <c r="U3444" s="88"/>
      <c r="V3444" s="89"/>
      <c r="W3444" s="96">
        <v>0</v>
      </c>
      <c r="X3444" s="71">
        <f>CU3444</f>
        <v>0</v>
      </c>
      <c r="Y3444" s="71">
        <f>CY3444</f>
        <v>0</v>
      </c>
      <c r="Z3444" s="71">
        <f>DA3444+DC3444+DE3444</f>
        <v>0</v>
      </c>
      <c r="AA3444" s="71">
        <f>CW3444</f>
        <v>0</v>
      </c>
      <c r="AB3444" s="71"/>
      <c r="AC3444" s="71">
        <v>0</v>
      </c>
      <c r="AD3444" s="71">
        <f>W3444+X3444+Y3444+Z3444+AA3444+AB3444+AC3444</f>
        <v>0</v>
      </c>
      <c r="AE3444" s="72">
        <v>0</v>
      </c>
      <c r="AF3444" s="5"/>
      <c r="AG3444" s="6"/>
      <c r="AH3444" s="27"/>
      <c r="AI3444" s="44"/>
      <c r="AJ3444" s="26"/>
      <c r="AK3444" s="5"/>
      <c r="AL3444" s="278" t="s">
        <v>6407</v>
      </c>
      <c r="AM3444" s="76"/>
      <c r="AN3444" s="76"/>
      <c r="AO3444" s="76"/>
      <c r="AP3444" s="76"/>
      <c r="AQ3444" s="76"/>
      <c r="AR3444" s="76"/>
      <c r="AS3444" s="76"/>
      <c r="AT3444" s="76"/>
      <c r="AU3444" s="76"/>
      <c r="AV3444" s="76"/>
      <c r="AW3444" s="76"/>
      <c r="AX3444" s="76">
        <f>+AW3444*600000</f>
        <v>0</v>
      </c>
      <c r="AY3444" s="76"/>
      <c r="AZ3444" s="76">
        <f>+AY3444*70000</f>
        <v>0</v>
      </c>
      <c r="BA3444" s="76"/>
      <c r="BB3444" s="76"/>
      <c r="BC3444" s="76"/>
      <c r="BD3444" s="76">
        <f>+BC3444*30000</f>
        <v>0</v>
      </c>
      <c r="BE3444" s="76"/>
      <c r="BF3444" s="76"/>
      <c r="BG3444" s="76"/>
      <c r="BH3444" s="76"/>
      <c r="BI3444" s="76"/>
      <c r="BJ3444" s="76"/>
      <c r="BK3444" s="76"/>
      <c r="BL3444" s="76">
        <f>+BK3444*31500</f>
        <v>0</v>
      </c>
      <c r="BM3444" s="76"/>
      <c r="BN3444" s="76"/>
      <c r="BO3444" s="76"/>
      <c r="BP3444" s="76"/>
      <c r="BQ3444" s="76"/>
      <c r="BR3444" s="76"/>
      <c r="BS3444" s="76"/>
      <c r="BT3444" s="76"/>
      <c r="BU3444" s="76"/>
      <c r="BV3444" s="76"/>
      <c r="BW3444" s="76"/>
      <c r="BX3444" s="76"/>
      <c r="BY3444" s="76"/>
      <c r="BZ3444" s="76"/>
      <c r="CA3444" s="76"/>
      <c r="CB3444" s="76"/>
      <c r="CC3444" s="76"/>
      <c r="CD3444" s="76"/>
      <c r="CE3444" s="76"/>
      <c r="CF3444" s="76">
        <f>+CE3444*28000</f>
        <v>0</v>
      </c>
      <c r="CG3444" s="76"/>
      <c r="CH3444" s="76">
        <f>+CG3444*22500</f>
        <v>0</v>
      </c>
      <c r="CI3444" s="76"/>
      <c r="CJ3444" s="76">
        <f>+CI3444*26000</f>
        <v>0</v>
      </c>
      <c r="CK3444" s="76"/>
      <c r="CL3444" s="76"/>
      <c r="CM3444" s="76"/>
      <c r="CN3444" s="76">
        <f>+CM3444*22000</f>
        <v>0</v>
      </c>
      <c r="CO3444" s="76"/>
      <c r="CP3444" s="76">
        <f>+CO3444*46000</f>
        <v>0</v>
      </c>
      <c r="CQ3444" s="76"/>
      <c r="CR3444" s="76">
        <f>+CQ3444*49000</f>
        <v>0</v>
      </c>
      <c r="CS3444" s="76"/>
      <c r="CT3444" s="76"/>
      <c r="CU3444" s="56">
        <f>AN3444+AP3444+AR3444+AT3444+AV3444+AX3444+AZ3444+BB3444+BD3444+BF3444+BH3444+BJ3444+BL3444+BN3444+BP3444+BR3444+BT3444+BV3444+BX3444+BZ3444+CB3444+CD3444+CF3444+CH3444+CJ3444+CL3444+CN3444+CP3444+CR3444+CT3444</f>
        <v>0</v>
      </c>
      <c r="CV3444" s="76"/>
      <c r="CW3444" s="76">
        <f>+CV3444*1100</f>
        <v>0</v>
      </c>
      <c r="CX3444" s="76"/>
      <c r="CY3444" s="76">
        <f>+CX3444*106250</f>
        <v>0</v>
      </c>
      <c r="CZ3444" s="76"/>
      <c r="DA3444" s="76">
        <f>+CZ3444*34500</f>
        <v>0</v>
      </c>
      <c r="DB3444" s="76"/>
      <c r="DC3444" s="76">
        <f>+DB3444*25000</f>
        <v>0</v>
      </c>
      <c r="DD3444" s="219"/>
      <c r="DE3444" s="219"/>
      <c r="DF3444" s="166"/>
      <c r="DG3444" s="116"/>
      <c r="DH3444" s="117"/>
      <c r="DI3444" s="24"/>
      <c r="DJ3444" s="24"/>
      <c r="DK3444" s="24"/>
      <c r="DL3444" s="24"/>
      <c r="DM3444" s="24"/>
      <c r="DN3444" s="24"/>
      <c r="DO3444" s="24"/>
      <c r="DP3444" s="24"/>
      <c r="DQ3444" s="24"/>
      <c r="DR3444" s="24"/>
      <c r="DS3444" s="24"/>
      <c r="DT3444" s="24"/>
      <c r="DU3444" s="24"/>
    </row>
    <row r="3445" spans="1:125" s="8" customFormat="1" ht="36" x14ac:dyDescent="0.2">
      <c r="A3445" s="77">
        <v>41570</v>
      </c>
      <c r="B3445" s="78" t="s">
        <v>3136</v>
      </c>
      <c r="C3445" s="75" t="s">
        <v>394</v>
      </c>
      <c r="D3445" s="75" t="s">
        <v>2882</v>
      </c>
      <c r="E3445" s="75" t="str">
        <f>VLOOKUP(B3445&amp;C3445,Divipola!$C$2:$F$1138,4,FALSE)</f>
        <v>44110</v>
      </c>
      <c r="F3445" s="61"/>
      <c r="G3445" s="61"/>
      <c r="H3445" s="61"/>
      <c r="I3445" s="61">
        <v>350</v>
      </c>
      <c r="J3445" s="61">
        <v>86</v>
      </c>
      <c r="K3445" s="61">
        <v>14</v>
      </c>
      <c r="L3445" s="61">
        <v>72</v>
      </c>
      <c r="M3445" s="61"/>
      <c r="N3445" s="61"/>
      <c r="O3445" s="61"/>
      <c r="P3445" s="61"/>
      <c r="Q3445" s="61"/>
      <c r="R3445" s="61"/>
      <c r="S3445" s="61"/>
      <c r="T3445" s="61"/>
      <c r="U3445" s="61"/>
      <c r="V3445" s="7"/>
      <c r="W3445" s="96">
        <v>0</v>
      </c>
      <c r="X3445" s="71">
        <f>CU3445</f>
        <v>8170000</v>
      </c>
      <c r="Y3445" s="71">
        <f>CY3445</f>
        <v>9137500</v>
      </c>
      <c r="Z3445" s="71">
        <f>DA3445+DC3445+DE3445</f>
        <v>63740000</v>
      </c>
      <c r="AA3445" s="71">
        <f>CW3445</f>
        <v>0</v>
      </c>
      <c r="AB3445" s="71"/>
      <c r="AC3445" s="71">
        <v>0</v>
      </c>
      <c r="AD3445" s="71">
        <f>W3445+X3445+Y3445+Z3445+AA3445+AB3445+AC3445</f>
        <v>81047500</v>
      </c>
      <c r="AE3445" s="72">
        <v>0</v>
      </c>
      <c r="AF3445" s="5"/>
      <c r="AG3445" s="6"/>
      <c r="AH3445" s="27"/>
      <c r="AI3445" s="44"/>
      <c r="AJ3445" s="26"/>
      <c r="AK3445" s="5"/>
      <c r="AL3445" s="9" t="s">
        <v>6641</v>
      </c>
      <c r="AM3445" s="76"/>
      <c r="AN3445" s="76"/>
      <c r="AO3445" s="76"/>
      <c r="AP3445" s="76"/>
      <c r="AQ3445" s="76"/>
      <c r="AR3445" s="76"/>
      <c r="AS3445" s="76"/>
      <c r="AT3445" s="76"/>
      <c r="AU3445" s="76"/>
      <c r="AV3445" s="76"/>
      <c r="AW3445" s="76"/>
      <c r="AX3445" s="76">
        <f>+AW3445*600000</f>
        <v>0</v>
      </c>
      <c r="AY3445" s="76"/>
      <c r="AZ3445" s="76">
        <f>+AY3445*70000</f>
        <v>0</v>
      </c>
      <c r="BA3445" s="76"/>
      <c r="BB3445" s="76"/>
      <c r="BC3445" s="76"/>
      <c r="BD3445" s="76">
        <f>+BC3445*30000</f>
        <v>0</v>
      </c>
      <c r="BE3445" s="76"/>
      <c r="BF3445" s="76"/>
      <c r="BG3445" s="76"/>
      <c r="BH3445" s="76"/>
      <c r="BI3445" s="76"/>
      <c r="BJ3445" s="76"/>
      <c r="BK3445" s="76"/>
      <c r="BL3445" s="76">
        <f>+BK3445*31500</f>
        <v>0</v>
      </c>
      <c r="BM3445" s="76"/>
      <c r="BN3445" s="76"/>
      <c r="BO3445" s="76"/>
      <c r="BP3445" s="76"/>
      <c r="BQ3445" s="76"/>
      <c r="BR3445" s="76"/>
      <c r="BS3445" s="76"/>
      <c r="BT3445" s="76"/>
      <c r="BU3445" s="76"/>
      <c r="BV3445" s="76"/>
      <c r="BW3445" s="76"/>
      <c r="BX3445" s="76"/>
      <c r="BY3445" s="76"/>
      <c r="BZ3445" s="76"/>
      <c r="CA3445" s="76"/>
      <c r="CB3445" s="76"/>
      <c r="CC3445" s="76"/>
      <c r="CD3445" s="76"/>
      <c r="CE3445" s="76"/>
      <c r="CF3445" s="76">
        <f>+CE3445*28000</f>
        <v>0</v>
      </c>
      <c r="CG3445" s="76"/>
      <c r="CH3445" s="76">
        <f>+CG3445*22500</f>
        <v>0</v>
      </c>
      <c r="CI3445" s="76"/>
      <c r="CJ3445" s="76">
        <f>+CI3445*26000</f>
        <v>0</v>
      </c>
      <c r="CK3445" s="76"/>
      <c r="CL3445" s="76"/>
      <c r="CM3445" s="76"/>
      <c r="CN3445" s="76">
        <f>+CM3445*22000</f>
        <v>0</v>
      </c>
      <c r="CO3445" s="76">
        <v>86</v>
      </c>
      <c r="CP3445" s="76">
        <f>+CO3445*46000</f>
        <v>3956000</v>
      </c>
      <c r="CQ3445" s="76">
        <v>86</v>
      </c>
      <c r="CR3445" s="76">
        <f>+CQ3445*49000</f>
        <v>4214000</v>
      </c>
      <c r="CS3445" s="76"/>
      <c r="CT3445" s="76"/>
      <c r="CU3445" s="56">
        <f>AN3445+AP3445+AR3445+AT3445+AV3445+AX3445+AZ3445+BB3445+BD3445+BF3445+BH3445+BJ3445+BL3445+BN3445+BP3445+BR3445+BT3445+BV3445+BX3445+BZ3445+CB3445+CD3445+CF3445+CH3445+CJ3445+CL3445+CN3445+CP3445+CR3445+CT3445</f>
        <v>8170000</v>
      </c>
      <c r="CV3445" s="76"/>
      <c r="CW3445" s="76">
        <f>+CV3445*1100</f>
        <v>0</v>
      </c>
      <c r="CX3445" s="76">
        <v>86</v>
      </c>
      <c r="CY3445" s="76">
        <f>+CX3445*106250</f>
        <v>9137500</v>
      </c>
      <c r="CZ3445" s="76"/>
      <c r="DA3445" s="76">
        <f>+CZ3445*34500</f>
        <v>0</v>
      </c>
      <c r="DB3445" s="76">
        <f>1354+360+6+120</f>
        <v>1840</v>
      </c>
      <c r="DC3445" s="76">
        <f>1354*32000+360*42000+6*42000+120*42000</f>
        <v>63740000</v>
      </c>
      <c r="DD3445" s="219"/>
      <c r="DE3445" s="219"/>
      <c r="DF3445" s="166"/>
      <c r="DG3445" s="116"/>
      <c r="DH3445" s="117"/>
      <c r="DI3445" s="24"/>
      <c r="DJ3445" s="24"/>
      <c r="DK3445" s="24"/>
      <c r="DL3445" s="24"/>
      <c r="DM3445" s="24"/>
      <c r="DN3445" s="24"/>
      <c r="DO3445" s="24"/>
      <c r="DP3445" s="24"/>
      <c r="DQ3445" s="24"/>
      <c r="DR3445" s="24"/>
      <c r="DS3445" s="24"/>
      <c r="DT3445" s="24"/>
      <c r="DU3445" s="24"/>
    </row>
    <row r="3446" spans="1:125" s="8" customFormat="1" ht="60" x14ac:dyDescent="0.2">
      <c r="A3446" s="77">
        <v>41571</v>
      </c>
      <c r="B3446" s="352" t="s">
        <v>2772</v>
      </c>
      <c r="C3446" s="354" t="s">
        <v>2030</v>
      </c>
      <c r="D3446" s="354" t="s">
        <v>3051</v>
      </c>
      <c r="E3446" s="75" t="str">
        <f>VLOOKUP(B3446&amp;C3446,Divipola!$C$2:$F$1138,4,FALSE)</f>
        <v>25754</v>
      </c>
      <c r="F3446" s="87"/>
      <c r="G3446" s="87"/>
      <c r="H3446" s="87"/>
      <c r="I3446" s="87">
        <v>100</v>
      </c>
      <c r="J3446" s="87">
        <v>20</v>
      </c>
      <c r="K3446" s="87"/>
      <c r="L3446" s="87">
        <v>20</v>
      </c>
      <c r="M3446" s="87"/>
      <c r="N3446" s="87"/>
      <c r="O3446" s="87"/>
      <c r="P3446" s="87"/>
      <c r="Q3446" s="87"/>
      <c r="R3446" s="87"/>
      <c r="S3446" s="87"/>
      <c r="T3446" s="87"/>
      <c r="U3446" s="88"/>
      <c r="V3446" s="89"/>
      <c r="W3446" s="96">
        <v>0</v>
      </c>
      <c r="X3446" s="71">
        <f>CU3446</f>
        <v>0</v>
      </c>
      <c r="Y3446" s="71">
        <f>CY3446</f>
        <v>0</v>
      </c>
      <c r="Z3446" s="71">
        <f>DA3446+DC3446+DE3446</f>
        <v>0</v>
      </c>
      <c r="AA3446" s="71">
        <f>CW3446</f>
        <v>0</v>
      </c>
      <c r="AB3446" s="71"/>
      <c r="AC3446" s="71">
        <v>0</v>
      </c>
      <c r="AD3446" s="71">
        <f>W3446+X3446+Y3446+Z3446+AA3446+AB3446+AC3446</f>
        <v>0</v>
      </c>
      <c r="AE3446" s="72">
        <v>0</v>
      </c>
      <c r="AF3446" s="5"/>
      <c r="AG3446" s="6"/>
      <c r="AH3446" s="27"/>
      <c r="AI3446" s="44"/>
      <c r="AJ3446" s="26"/>
      <c r="AK3446" s="5"/>
      <c r="AL3446" s="82" t="s">
        <v>6405</v>
      </c>
      <c r="AM3446" s="76"/>
      <c r="AN3446" s="76"/>
      <c r="AO3446" s="76"/>
      <c r="AP3446" s="76"/>
      <c r="AQ3446" s="76"/>
      <c r="AR3446" s="76"/>
      <c r="AS3446" s="76"/>
      <c r="AT3446" s="76"/>
      <c r="AU3446" s="76"/>
      <c r="AV3446" s="76"/>
      <c r="AW3446" s="76"/>
      <c r="AX3446" s="76">
        <f>+AW3446*600000</f>
        <v>0</v>
      </c>
      <c r="AY3446" s="76"/>
      <c r="AZ3446" s="76">
        <f>+AY3446*70000</f>
        <v>0</v>
      </c>
      <c r="BA3446" s="76"/>
      <c r="BB3446" s="76"/>
      <c r="BC3446" s="76"/>
      <c r="BD3446" s="76">
        <f>+BC3446*30000</f>
        <v>0</v>
      </c>
      <c r="BE3446" s="76"/>
      <c r="BF3446" s="76"/>
      <c r="BG3446" s="76"/>
      <c r="BH3446" s="76"/>
      <c r="BI3446" s="76"/>
      <c r="BJ3446" s="76"/>
      <c r="BK3446" s="76"/>
      <c r="BL3446" s="76">
        <f>+BK3446*31500</f>
        <v>0</v>
      </c>
      <c r="BM3446" s="76"/>
      <c r="BN3446" s="76"/>
      <c r="BO3446" s="76"/>
      <c r="BP3446" s="76"/>
      <c r="BQ3446" s="76"/>
      <c r="BR3446" s="76"/>
      <c r="BS3446" s="76"/>
      <c r="BT3446" s="76"/>
      <c r="BU3446" s="76"/>
      <c r="BV3446" s="76"/>
      <c r="BW3446" s="76"/>
      <c r="BX3446" s="76"/>
      <c r="BY3446" s="76"/>
      <c r="BZ3446" s="76"/>
      <c r="CA3446" s="76"/>
      <c r="CB3446" s="76"/>
      <c r="CC3446" s="76"/>
      <c r="CD3446" s="76"/>
      <c r="CE3446" s="76"/>
      <c r="CF3446" s="76">
        <f>+CE3446*28000</f>
        <v>0</v>
      </c>
      <c r="CG3446" s="76"/>
      <c r="CH3446" s="76">
        <f>+CG3446*22500</f>
        <v>0</v>
      </c>
      <c r="CI3446" s="76"/>
      <c r="CJ3446" s="76">
        <f>+CI3446*26000</f>
        <v>0</v>
      </c>
      <c r="CK3446" s="76"/>
      <c r="CL3446" s="76"/>
      <c r="CM3446" s="76"/>
      <c r="CN3446" s="76">
        <f>+CM3446*22000</f>
        <v>0</v>
      </c>
      <c r="CO3446" s="76"/>
      <c r="CP3446" s="76">
        <f>+CO3446*46000</f>
        <v>0</v>
      </c>
      <c r="CQ3446" s="76"/>
      <c r="CR3446" s="76">
        <f>+CQ3446*49000</f>
        <v>0</v>
      </c>
      <c r="CS3446" s="76"/>
      <c r="CT3446" s="76"/>
      <c r="CU3446" s="56">
        <f>AN3446+AP3446+AR3446+AT3446+AV3446+AX3446+AZ3446+BB3446+BD3446+BF3446+BH3446+BJ3446+BL3446+BN3446+BP3446+BR3446+BT3446+BV3446+BX3446+BZ3446+CB3446+CD3446+CF3446+CH3446+CJ3446+CL3446+CN3446+CP3446+CR3446+CT3446</f>
        <v>0</v>
      </c>
      <c r="CV3446" s="76"/>
      <c r="CW3446" s="76">
        <f>+CV3446*1100</f>
        <v>0</v>
      </c>
      <c r="CX3446" s="76"/>
      <c r="CY3446" s="76">
        <f>+CX3446*106250</f>
        <v>0</v>
      </c>
      <c r="CZ3446" s="76"/>
      <c r="DA3446" s="76">
        <f>+CZ3446*34500</f>
        <v>0</v>
      </c>
      <c r="DB3446" s="76"/>
      <c r="DC3446" s="76">
        <f>+DB3446*25000</f>
        <v>0</v>
      </c>
      <c r="DD3446" s="219"/>
      <c r="DE3446" s="219"/>
      <c r="DF3446" s="166"/>
      <c r="DG3446" s="116"/>
      <c r="DH3446" s="117"/>
      <c r="DI3446" s="24"/>
      <c r="DJ3446" s="24"/>
      <c r="DK3446" s="24"/>
      <c r="DL3446" s="24"/>
      <c r="DM3446" s="24"/>
      <c r="DN3446" s="24"/>
      <c r="DO3446" s="24"/>
      <c r="DP3446" s="24"/>
      <c r="DQ3446" s="24"/>
      <c r="DR3446" s="24"/>
      <c r="DS3446" s="24"/>
      <c r="DT3446" s="24"/>
      <c r="DU3446" s="24"/>
    </row>
    <row r="3447" spans="1:125" s="8" customFormat="1" ht="144" x14ac:dyDescent="0.2">
      <c r="A3447" s="77">
        <v>41571</v>
      </c>
      <c r="B3447" s="78" t="s">
        <v>2661</v>
      </c>
      <c r="C3447" s="75" t="s">
        <v>2669</v>
      </c>
      <c r="D3447" s="75" t="s">
        <v>2882</v>
      </c>
      <c r="E3447" s="75" t="str">
        <f>VLOOKUP(B3447&amp;C3447,Divipola!$C$2:$F$1138,4,FALSE)</f>
        <v>41885</v>
      </c>
      <c r="F3447" s="87"/>
      <c r="G3447" s="87"/>
      <c r="H3447" s="87"/>
      <c r="I3447" s="87">
        <v>280</v>
      </c>
      <c r="J3447" s="87">
        <v>56</v>
      </c>
      <c r="K3447" s="87"/>
      <c r="L3447" s="87">
        <v>56</v>
      </c>
      <c r="M3447" s="87"/>
      <c r="N3447" s="87"/>
      <c r="O3447" s="87"/>
      <c r="P3447" s="87"/>
      <c r="Q3447" s="87"/>
      <c r="R3447" s="87"/>
      <c r="S3447" s="87"/>
      <c r="T3447" s="87"/>
      <c r="U3447" s="88"/>
      <c r="V3447" s="89"/>
      <c r="W3447" s="96">
        <v>0</v>
      </c>
      <c r="X3447" s="71">
        <f>CU3447</f>
        <v>39099308</v>
      </c>
      <c r="Y3447" s="71">
        <f>CY3447</f>
        <v>10625000</v>
      </c>
      <c r="Z3447" s="71">
        <f>DA3447+DC3447+DE3447</f>
        <v>26396960</v>
      </c>
      <c r="AA3447" s="71">
        <f>CW3447</f>
        <v>0</v>
      </c>
      <c r="AB3447" s="71"/>
      <c r="AC3447" s="71">
        <v>0</v>
      </c>
      <c r="AD3447" s="71">
        <f>W3447+X3447+Y3447+Z3447+AA3447+AB3447+AC3447</f>
        <v>76121268</v>
      </c>
      <c r="AE3447" s="72">
        <v>0</v>
      </c>
      <c r="AF3447" s="5"/>
      <c r="AG3447" s="6"/>
      <c r="AH3447" s="27"/>
      <c r="AI3447" s="44"/>
      <c r="AJ3447" s="26"/>
      <c r="AK3447" s="5"/>
      <c r="AL3447" s="268" t="s">
        <v>6427</v>
      </c>
      <c r="AM3447" s="76"/>
      <c r="AN3447" s="76"/>
      <c r="AO3447" s="76"/>
      <c r="AP3447" s="76"/>
      <c r="AQ3447" s="76"/>
      <c r="AR3447" s="76"/>
      <c r="AS3447" s="76"/>
      <c r="AT3447" s="76"/>
      <c r="AU3447" s="76"/>
      <c r="AV3447" s="76"/>
      <c r="AW3447" s="76"/>
      <c r="AX3447" s="76">
        <f>+AW3447*600000</f>
        <v>0</v>
      </c>
      <c r="AY3447" s="86">
        <v>300</v>
      </c>
      <c r="AZ3447" s="86">
        <f>+AY3447*69999.04</f>
        <v>20999711.999999996</v>
      </c>
      <c r="BA3447" s="76"/>
      <c r="BB3447" s="76"/>
      <c r="BC3447" s="76"/>
      <c r="BD3447" s="76">
        <f>+BC3447*30000</f>
        <v>0</v>
      </c>
      <c r="BE3447" s="76"/>
      <c r="BF3447" s="76"/>
      <c r="BG3447" s="76"/>
      <c r="BH3447" s="76"/>
      <c r="BI3447" s="76"/>
      <c r="BJ3447" s="76"/>
      <c r="BK3447" s="76"/>
      <c r="BL3447" s="76">
        <f>+BK3447*31500</f>
        <v>0</v>
      </c>
      <c r="BM3447" s="76"/>
      <c r="BN3447" s="76"/>
      <c r="BO3447" s="76"/>
      <c r="BP3447" s="76"/>
      <c r="BQ3447" s="76"/>
      <c r="BR3447" s="76"/>
      <c r="BS3447" s="76"/>
      <c r="BT3447" s="76"/>
      <c r="BU3447" s="76"/>
      <c r="BV3447" s="76"/>
      <c r="BW3447" s="76"/>
      <c r="BX3447" s="76"/>
      <c r="BY3447" s="76"/>
      <c r="BZ3447" s="76"/>
      <c r="CA3447" s="76"/>
      <c r="CB3447" s="76"/>
      <c r="CC3447" s="76"/>
      <c r="CD3447" s="76"/>
      <c r="CE3447" s="76"/>
      <c r="CF3447" s="76">
        <f>+CE3447*28000</f>
        <v>0</v>
      </c>
      <c r="CG3447" s="76"/>
      <c r="CH3447" s="76">
        <f>+CG3447*22500</f>
        <v>0</v>
      </c>
      <c r="CI3447" s="86">
        <f>300+300</f>
        <v>600</v>
      </c>
      <c r="CJ3447" s="86">
        <f>+CI3447*22499.36</f>
        <v>13499616</v>
      </c>
      <c r="CK3447" s="76"/>
      <c r="CL3447" s="76"/>
      <c r="CM3447" s="76"/>
      <c r="CN3447" s="76">
        <f>+CM3447*22000</f>
        <v>0</v>
      </c>
      <c r="CO3447" s="86">
        <v>100</v>
      </c>
      <c r="CP3447" s="86">
        <f>+CO3447*45999.8</f>
        <v>4599980</v>
      </c>
      <c r="CQ3447" s="76"/>
      <c r="CR3447" s="76">
        <f>+CQ3447*49000</f>
        <v>0</v>
      </c>
      <c r="CS3447" s="76"/>
      <c r="CT3447" s="76"/>
      <c r="CU3447" s="56">
        <f>AN3447+AP3447+AR3447+AT3447+AV3447+AX3447+AZ3447+BB3447+BD3447+BF3447+BH3447+BJ3447+BL3447+BN3447+BP3447+BR3447+BT3447+BV3447+BX3447+BZ3447+CB3447+CD3447+CF3447+CH3447+CJ3447+CL3447+CN3447+CP3447+CR3447+CT3447</f>
        <v>39099308</v>
      </c>
      <c r="CV3447" s="76"/>
      <c r="CW3447" s="76">
        <f>+CV3447*1100</f>
        <v>0</v>
      </c>
      <c r="CX3447" s="86">
        <v>100</v>
      </c>
      <c r="CY3447" s="86">
        <f>+CX3447*106250</f>
        <v>10625000</v>
      </c>
      <c r="CZ3447" s="76"/>
      <c r="DA3447" s="76">
        <f>+CZ3447*34500</f>
        <v>0</v>
      </c>
      <c r="DB3447" s="86">
        <v>1000</v>
      </c>
      <c r="DC3447" s="86">
        <f>1000*25000.32+7000*199.52</f>
        <v>26396960</v>
      </c>
      <c r="DD3447" s="219"/>
      <c r="DE3447" s="219"/>
      <c r="DF3447" s="166"/>
      <c r="DG3447" s="134" t="s">
        <v>6925</v>
      </c>
      <c r="DH3447" s="117"/>
      <c r="DI3447" s="24"/>
      <c r="DJ3447" s="24"/>
      <c r="DK3447" s="24"/>
      <c r="DL3447" s="24"/>
      <c r="DM3447" s="24"/>
      <c r="DN3447" s="24"/>
      <c r="DO3447" s="24"/>
      <c r="DP3447" s="24"/>
      <c r="DQ3447" s="24"/>
      <c r="DR3447" s="24"/>
      <c r="DS3447" s="24"/>
      <c r="DT3447" s="24"/>
      <c r="DU3447" s="24"/>
    </row>
    <row r="3448" spans="1:125" s="8" customFormat="1" ht="168" x14ac:dyDescent="0.2">
      <c r="A3448" s="353">
        <v>41571</v>
      </c>
      <c r="B3448" s="352" t="s">
        <v>2661</v>
      </c>
      <c r="C3448" s="354" t="s">
        <v>2080</v>
      </c>
      <c r="D3448" s="354" t="s">
        <v>2882</v>
      </c>
      <c r="E3448" s="75" t="str">
        <f>VLOOKUP(B3448&amp;C3448,Divipola!$C$2:$F$1138,4,FALSE)</f>
        <v>41349</v>
      </c>
      <c r="F3448" s="87"/>
      <c r="G3448" s="87"/>
      <c r="H3448" s="87"/>
      <c r="I3448" s="87">
        <v>1965</v>
      </c>
      <c r="J3448" s="87">
        <v>393</v>
      </c>
      <c r="K3448" s="87"/>
      <c r="L3448" s="87">
        <v>393</v>
      </c>
      <c r="M3448" s="87"/>
      <c r="N3448" s="87"/>
      <c r="O3448" s="87"/>
      <c r="P3448" s="87"/>
      <c r="Q3448" s="87"/>
      <c r="R3448" s="87"/>
      <c r="S3448" s="87"/>
      <c r="T3448" s="87"/>
      <c r="U3448" s="88"/>
      <c r="V3448" s="89"/>
      <c r="W3448" s="96">
        <v>0</v>
      </c>
      <c r="X3448" s="71">
        <f>CU3448</f>
        <v>144750533.88</v>
      </c>
      <c r="Y3448" s="71">
        <f>CY3448</f>
        <v>41756250</v>
      </c>
      <c r="Z3448" s="71">
        <f>DA3448+DC3448+DE3448</f>
        <v>136818427.20000002</v>
      </c>
      <c r="AA3448" s="71">
        <f>CW3448</f>
        <v>0</v>
      </c>
      <c r="AB3448" s="71"/>
      <c r="AC3448" s="71">
        <v>0</v>
      </c>
      <c r="AD3448" s="71">
        <f>W3448+X3448+Y3448+Z3448+AA3448+AB3448+AC3448</f>
        <v>323325211.08000004</v>
      </c>
      <c r="AE3448" s="72">
        <v>0</v>
      </c>
      <c r="AF3448" s="5"/>
      <c r="AG3448" s="6"/>
      <c r="AH3448" s="27"/>
      <c r="AI3448" s="44"/>
      <c r="AJ3448" s="26"/>
      <c r="AK3448" s="5"/>
      <c r="AL3448" s="82" t="s">
        <v>6428</v>
      </c>
      <c r="AM3448" s="76"/>
      <c r="AN3448" s="76"/>
      <c r="AO3448" s="76"/>
      <c r="AP3448" s="76"/>
      <c r="AQ3448" s="76"/>
      <c r="AR3448" s="76"/>
      <c r="AS3448" s="76"/>
      <c r="AT3448" s="76"/>
      <c r="AU3448" s="76"/>
      <c r="AV3448" s="76"/>
      <c r="AW3448" s="76"/>
      <c r="AX3448" s="76">
        <f>+AW3448*600000</f>
        <v>0</v>
      </c>
      <c r="AY3448" s="86">
        <v>1179</v>
      </c>
      <c r="AZ3448" s="86">
        <f>+AY3448*69999.04</f>
        <v>82528868.159999996</v>
      </c>
      <c r="BA3448" s="76"/>
      <c r="BB3448" s="76"/>
      <c r="BC3448" s="76"/>
      <c r="BD3448" s="76">
        <f>+BC3448*30000</f>
        <v>0</v>
      </c>
      <c r="BE3448" s="76"/>
      <c r="BF3448" s="76"/>
      <c r="BG3448" s="76"/>
      <c r="BH3448" s="76"/>
      <c r="BI3448" s="76"/>
      <c r="BJ3448" s="76"/>
      <c r="BK3448" s="76"/>
      <c r="BL3448" s="76">
        <f>+BK3448*31500</f>
        <v>0</v>
      </c>
      <c r="BM3448" s="76"/>
      <c r="BN3448" s="76"/>
      <c r="BO3448" s="76"/>
      <c r="BP3448" s="76"/>
      <c r="BQ3448" s="76"/>
      <c r="BR3448" s="76"/>
      <c r="BS3448" s="76"/>
      <c r="BT3448" s="76"/>
      <c r="BU3448" s="76"/>
      <c r="BV3448" s="76"/>
      <c r="BW3448" s="76"/>
      <c r="BX3448" s="76"/>
      <c r="BY3448" s="76"/>
      <c r="BZ3448" s="76"/>
      <c r="CA3448" s="76"/>
      <c r="CB3448" s="76"/>
      <c r="CC3448" s="76"/>
      <c r="CD3448" s="76"/>
      <c r="CE3448" s="76"/>
      <c r="CF3448" s="76">
        <f>+CE3448*28000</f>
        <v>0</v>
      </c>
      <c r="CG3448" s="76"/>
      <c r="CH3448" s="76">
        <f>+CG3448*22500</f>
        <v>0</v>
      </c>
      <c r="CI3448" s="86">
        <f>1179+783</f>
        <v>1962</v>
      </c>
      <c r="CJ3448" s="86">
        <f>+CI3448*22499.36</f>
        <v>44143744.32</v>
      </c>
      <c r="CK3448" s="76"/>
      <c r="CL3448" s="76"/>
      <c r="CM3448" s="76"/>
      <c r="CN3448" s="76">
        <f>+CM3448*22000</f>
        <v>0</v>
      </c>
      <c r="CO3448" s="86">
        <v>393</v>
      </c>
      <c r="CP3448" s="86">
        <f>+CO3448*45999.8</f>
        <v>18077921.400000002</v>
      </c>
      <c r="CQ3448" s="76"/>
      <c r="CR3448" s="76">
        <f>+CQ3448*49000</f>
        <v>0</v>
      </c>
      <c r="CS3448" s="76"/>
      <c r="CT3448" s="76"/>
      <c r="CU3448" s="56">
        <f>AN3448+AP3448+AR3448+AT3448+AV3448+AX3448+AZ3448+BB3448+BD3448+BF3448+BH3448+BJ3448+BL3448+BN3448+BP3448+BR3448+BT3448+BV3448+BX3448+BZ3448+CB3448+CD3448+CF3448+CH3448+CJ3448+CL3448+CN3448+CP3448+CR3448+CT3448</f>
        <v>144750533.88</v>
      </c>
      <c r="CV3448" s="76"/>
      <c r="CW3448" s="76">
        <f>+CV3448*1100</f>
        <v>0</v>
      </c>
      <c r="CX3448" s="86">
        <v>393</v>
      </c>
      <c r="CY3448" s="86">
        <f>+CX3448*106250</f>
        <v>41756250</v>
      </c>
      <c r="CZ3448" s="76"/>
      <c r="DA3448" s="76">
        <f>+CZ3448*34500</f>
        <v>0</v>
      </c>
      <c r="DB3448" s="86">
        <v>5120</v>
      </c>
      <c r="DC3448" s="86">
        <f>5120*25000.32+44190*199.52</f>
        <v>136818427.20000002</v>
      </c>
      <c r="DD3448" s="219"/>
      <c r="DE3448" s="219"/>
      <c r="DF3448" s="166"/>
      <c r="DG3448" s="134" t="s">
        <v>6925</v>
      </c>
      <c r="DH3448" s="117"/>
      <c r="DI3448" s="24"/>
      <c r="DJ3448" s="24"/>
      <c r="DK3448" s="24"/>
      <c r="DL3448" s="24"/>
      <c r="DM3448" s="24"/>
      <c r="DN3448" s="24"/>
      <c r="DO3448" s="24"/>
      <c r="DP3448" s="24"/>
      <c r="DQ3448" s="24"/>
      <c r="DR3448" s="24"/>
      <c r="DS3448" s="24"/>
      <c r="DT3448" s="24"/>
      <c r="DU3448" s="24"/>
    </row>
    <row r="3449" spans="1:125" s="8" customFormat="1" ht="156" x14ac:dyDescent="0.2">
      <c r="A3449" s="77">
        <v>41571</v>
      </c>
      <c r="B3449" s="352" t="s">
        <v>2661</v>
      </c>
      <c r="C3449" s="354" t="s">
        <v>1386</v>
      </c>
      <c r="D3449" s="354" t="s">
        <v>2882</v>
      </c>
      <c r="E3449" s="75" t="str">
        <f>VLOOKUP(B3449&amp;C3449,Divipola!$C$2:$F$1138,4,FALSE)</f>
        <v>41306</v>
      </c>
      <c r="F3449" s="87"/>
      <c r="G3449" s="87"/>
      <c r="H3449" s="87"/>
      <c r="I3449" s="87">
        <v>675</v>
      </c>
      <c r="J3449" s="87">
        <v>135</v>
      </c>
      <c r="K3449" s="87"/>
      <c r="L3449" s="87">
        <v>135</v>
      </c>
      <c r="M3449" s="87"/>
      <c r="N3449" s="87"/>
      <c r="O3449" s="87"/>
      <c r="P3449" s="87"/>
      <c r="Q3449" s="87"/>
      <c r="R3449" s="87"/>
      <c r="S3449" s="87"/>
      <c r="T3449" s="87"/>
      <c r="U3449" s="88"/>
      <c r="V3449" s="89"/>
      <c r="W3449" s="96">
        <v>0</v>
      </c>
      <c r="X3449" s="71">
        <f>CU3449</f>
        <v>52784065.799999997</v>
      </c>
      <c r="Y3449" s="71">
        <f>CY3449</f>
        <v>14343750</v>
      </c>
      <c r="Z3449" s="71">
        <f>DA3449+DC3449+DE3449</f>
        <v>35155052.799999997</v>
      </c>
      <c r="AA3449" s="71">
        <f>CW3449</f>
        <v>0</v>
      </c>
      <c r="AB3449" s="71"/>
      <c r="AC3449" s="71">
        <v>0</v>
      </c>
      <c r="AD3449" s="71">
        <f>W3449+X3449+Y3449+Z3449+AA3449+AB3449+AC3449</f>
        <v>102282868.59999999</v>
      </c>
      <c r="AE3449" s="72">
        <v>0</v>
      </c>
      <c r="AF3449" s="5"/>
      <c r="AG3449" s="6"/>
      <c r="AH3449" s="27"/>
      <c r="AI3449" s="44"/>
      <c r="AJ3449" s="26"/>
      <c r="AK3449" s="5"/>
      <c r="AL3449" s="82" t="s">
        <v>6429</v>
      </c>
      <c r="AM3449" s="76"/>
      <c r="AN3449" s="76"/>
      <c r="AO3449" s="76"/>
      <c r="AP3449" s="76"/>
      <c r="AQ3449" s="76"/>
      <c r="AR3449" s="76"/>
      <c r="AS3449" s="76"/>
      <c r="AT3449" s="76"/>
      <c r="AU3449" s="76"/>
      <c r="AV3449" s="76"/>
      <c r="AW3449" s="76"/>
      <c r="AX3449" s="76">
        <f>+AW3449*600000</f>
        <v>0</v>
      </c>
      <c r="AY3449" s="86">
        <v>405</v>
      </c>
      <c r="AZ3449" s="86">
        <f>+AY3449*69999.04</f>
        <v>28349611.199999999</v>
      </c>
      <c r="BA3449" s="76"/>
      <c r="BB3449" s="76"/>
      <c r="BC3449" s="76"/>
      <c r="BD3449" s="76">
        <f>+BC3449*30000</f>
        <v>0</v>
      </c>
      <c r="BE3449" s="76"/>
      <c r="BF3449" s="76"/>
      <c r="BG3449" s="76"/>
      <c r="BH3449" s="76"/>
      <c r="BI3449" s="76"/>
      <c r="BJ3449" s="76"/>
      <c r="BK3449" s="76"/>
      <c r="BL3449" s="76">
        <f>+BK3449*31500</f>
        <v>0</v>
      </c>
      <c r="BM3449" s="76"/>
      <c r="BN3449" s="76"/>
      <c r="BO3449" s="76"/>
      <c r="BP3449" s="76"/>
      <c r="BQ3449" s="76"/>
      <c r="BR3449" s="76"/>
      <c r="BS3449" s="76"/>
      <c r="BT3449" s="76"/>
      <c r="BU3449" s="76"/>
      <c r="BV3449" s="76"/>
      <c r="BW3449" s="76"/>
      <c r="BX3449" s="76"/>
      <c r="BY3449" s="76"/>
      <c r="BZ3449" s="76"/>
      <c r="CA3449" s="76"/>
      <c r="CB3449" s="76"/>
      <c r="CC3449" s="76"/>
      <c r="CD3449" s="76"/>
      <c r="CE3449" s="76"/>
      <c r="CF3449" s="76">
        <f>+CE3449*28000</f>
        <v>0</v>
      </c>
      <c r="CG3449" s="76"/>
      <c r="CH3449" s="76">
        <f>+CG3449*22500</f>
        <v>0</v>
      </c>
      <c r="CI3449" s="86">
        <f>405+405</f>
        <v>810</v>
      </c>
      <c r="CJ3449" s="86">
        <f>+CI3449*22499.36</f>
        <v>18224481.600000001</v>
      </c>
      <c r="CK3449" s="76"/>
      <c r="CL3449" s="76"/>
      <c r="CM3449" s="76"/>
      <c r="CN3449" s="76">
        <f>+CM3449*22000</f>
        <v>0</v>
      </c>
      <c r="CO3449" s="86">
        <v>135</v>
      </c>
      <c r="CP3449" s="86">
        <f>+CO3449*45999.8</f>
        <v>6209973</v>
      </c>
      <c r="CQ3449" s="76"/>
      <c r="CR3449" s="76">
        <f>+CQ3449*49000</f>
        <v>0</v>
      </c>
      <c r="CS3449" s="76"/>
      <c r="CT3449" s="76"/>
      <c r="CU3449" s="56">
        <f>AN3449+AP3449+AR3449+AT3449+AV3449+AX3449+AZ3449+BB3449+BD3449+BF3449+BH3449+BJ3449+BL3449+BN3449+BP3449+BR3449+BT3449+BV3449+BX3449+BZ3449+CB3449+CD3449+CF3449+CH3449+CJ3449+CL3449+CN3449+CP3449+CR3449+CT3449</f>
        <v>52784065.799999997</v>
      </c>
      <c r="CV3449" s="76"/>
      <c r="CW3449" s="76">
        <f>+CV3449*1100</f>
        <v>0</v>
      </c>
      <c r="CX3449" s="86">
        <v>135</v>
      </c>
      <c r="CY3449" s="86">
        <f>+CX3449*106250</f>
        <v>14343750</v>
      </c>
      <c r="CZ3449" s="76"/>
      <c r="DA3449" s="76">
        <f>+CZ3449*34500</f>
        <v>0</v>
      </c>
      <c r="DB3449" s="86">
        <v>1350</v>
      </c>
      <c r="DC3449" s="86">
        <f>1350*25000.32+7040*199.52</f>
        <v>35155052.799999997</v>
      </c>
      <c r="DD3449" s="219"/>
      <c r="DE3449" s="219"/>
      <c r="DF3449" s="166"/>
      <c r="DG3449" s="134" t="s">
        <v>6925</v>
      </c>
      <c r="DH3449" s="117"/>
      <c r="DI3449" s="24"/>
      <c r="DJ3449" s="24"/>
      <c r="DK3449" s="24"/>
      <c r="DL3449" s="24"/>
      <c r="DM3449" s="24"/>
      <c r="DN3449" s="24"/>
      <c r="DO3449" s="24"/>
      <c r="DP3449" s="24"/>
      <c r="DQ3449" s="24"/>
      <c r="DR3449" s="24"/>
      <c r="DS3449" s="24"/>
      <c r="DT3449" s="24"/>
      <c r="DU3449" s="24"/>
    </row>
    <row r="3450" spans="1:125" s="8" customFormat="1" ht="168" x14ac:dyDescent="0.2">
      <c r="A3450" s="353">
        <v>41571</v>
      </c>
      <c r="B3450" s="352" t="s">
        <v>2848</v>
      </c>
      <c r="C3450" s="354" t="s">
        <v>1859</v>
      </c>
      <c r="D3450" s="354" t="s">
        <v>2882</v>
      </c>
      <c r="E3450" s="75" t="str">
        <f>VLOOKUP(B3450&amp;C3450,Divipola!$C$2:$F$1138,4,FALSE)</f>
        <v>73043</v>
      </c>
      <c r="F3450" s="87"/>
      <c r="G3450" s="87"/>
      <c r="H3450" s="87"/>
      <c r="I3450" s="87">
        <v>85</v>
      </c>
      <c r="J3450" s="87">
        <v>17</v>
      </c>
      <c r="K3450" s="87"/>
      <c r="L3450" s="87">
        <v>17</v>
      </c>
      <c r="M3450" s="87"/>
      <c r="N3450" s="87"/>
      <c r="O3450" s="87"/>
      <c r="P3450" s="87"/>
      <c r="Q3450" s="87"/>
      <c r="R3450" s="87"/>
      <c r="S3450" s="87"/>
      <c r="T3450" s="87"/>
      <c r="U3450" s="88"/>
      <c r="V3450" s="89"/>
      <c r="W3450" s="96">
        <v>0</v>
      </c>
      <c r="X3450" s="71">
        <f>CU3450</f>
        <v>0</v>
      </c>
      <c r="Y3450" s="71">
        <f>CY3450</f>
        <v>0</v>
      </c>
      <c r="Z3450" s="71">
        <f>DA3450+DC3450+DE3450</f>
        <v>0</v>
      </c>
      <c r="AA3450" s="71">
        <f>CW3450</f>
        <v>0</v>
      </c>
      <c r="AB3450" s="71"/>
      <c r="AC3450" s="71">
        <v>0</v>
      </c>
      <c r="AD3450" s="71">
        <f>W3450+X3450+Y3450+Z3450+AA3450+AB3450+AC3450</f>
        <v>0</v>
      </c>
      <c r="AE3450" s="72">
        <v>0</v>
      </c>
      <c r="AF3450" s="5"/>
      <c r="AG3450" s="6"/>
      <c r="AH3450" s="27"/>
      <c r="AI3450" s="44"/>
      <c r="AJ3450" s="26"/>
      <c r="AK3450" s="5"/>
      <c r="AL3450" s="82" t="s">
        <v>6406</v>
      </c>
      <c r="AM3450" s="76"/>
      <c r="AN3450" s="76"/>
      <c r="AO3450" s="76"/>
      <c r="AP3450" s="76"/>
      <c r="AQ3450" s="76"/>
      <c r="AR3450" s="76"/>
      <c r="AS3450" s="76"/>
      <c r="AT3450" s="76"/>
      <c r="AU3450" s="76"/>
      <c r="AV3450" s="76"/>
      <c r="AW3450" s="76"/>
      <c r="AX3450" s="76">
        <f>+AW3450*600000</f>
        <v>0</v>
      </c>
      <c r="AY3450" s="76"/>
      <c r="AZ3450" s="76">
        <f>+AY3450*70000</f>
        <v>0</v>
      </c>
      <c r="BA3450" s="76"/>
      <c r="BB3450" s="76"/>
      <c r="BC3450" s="76"/>
      <c r="BD3450" s="76">
        <f>+BC3450*30000</f>
        <v>0</v>
      </c>
      <c r="BE3450" s="76"/>
      <c r="BF3450" s="76"/>
      <c r="BG3450" s="76"/>
      <c r="BH3450" s="76"/>
      <c r="BI3450" s="76"/>
      <c r="BJ3450" s="76"/>
      <c r="BK3450" s="76"/>
      <c r="BL3450" s="76">
        <f>+BK3450*31500</f>
        <v>0</v>
      </c>
      <c r="BM3450" s="76"/>
      <c r="BN3450" s="76"/>
      <c r="BO3450" s="76"/>
      <c r="BP3450" s="76"/>
      <c r="BQ3450" s="76"/>
      <c r="BR3450" s="76"/>
      <c r="BS3450" s="76"/>
      <c r="BT3450" s="76"/>
      <c r="BU3450" s="76"/>
      <c r="BV3450" s="76"/>
      <c r="BW3450" s="76"/>
      <c r="BX3450" s="76"/>
      <c r="BY3450" s="76"/>
      <c r="BZ3450" s="76"/>
      <c r="CA3450" s="76"/>
      <c r="CB3450" s="76"/>
      <c r="CC3450" s="76"/>
      <c r="CD3450" s="76"/>
      <c r="CE3450" s="76"/>
      <c r="CF3450" s="76">
        <f>+CE3450*28000</f>
        <v>0</v>
      </c>
      <c r="CG3450" s="76"/>
      <c r="CH3450" s="76">
        <f>+CG3450*22500</f>
        <v>0</v>
      </c>
      <c r="CI3450" s="76"/>
      <c r="CJ3450" s="76">
        <f>+CI3450*26000</f>
        <v>0</v>
      </c>
      <c r="CK3450" s="76"/>
      <c r="CL3450" s="76"/>
      <c r="CM3450" s="76"/>
      <c r="CN3450" s="76">
        <f>+CM3450*22000</f>
        <v>0</v>
      </c>
      <c r="CO3450" s="76"/>
      <c r="CP3450" s="76">
        <f>+CO3450*46000</f>
        <v>0</v>
      </c>
      <c r="CQ3450" s="76"/>
      <c r="CR3450" s="76">
        <f>+CQ3450*49000</f>
        <v>0</v>
      </c>
      <c r="CS3450" s="76"/>
      <c r="CT3450" s="76"/>
      <c r="CU3450" s="56">
        <f>AN3450+AP3450+AR3450+AT3450+AV3450+AX3450+AZ3450+BB3450+BD3450+BF3450+BH3450+BJ3450+BL3450+BN3450+BP3450+BR3450+BT3450+BV3450+BX3450+BZ3450+CB3450+CD3450+CF3450+CH3450+CJ3450+CL3450+CN3450+CP3450+CR3450+CT3450</f>
        <v>0</v>
      </c>
      <c r="CV3450" s="76"/>
      <c r="CW3450" s="76">
        <f>+CV3450*1100</f>
        <v>0</v>
      </c>
      <c r="CX3450" s="76"/>
      <c r="CY3450" s="76">
        <f>+CX3450*106250</f>
        <v>0</v>
      </c>
      <c r="CZ3450" s="76"/>
      <c r="DA3450" s="76">
        <f>+CZ3450*34500</f>
        <v>0</v>
      </c>
      <c r="DB3450" s="76"/>
      <c r="DC3450" s="76">
        <f>+DB3450*25000</f>
        <v>0</v>
      </c>
      <c r="DD3450" s="219"/>
      <c r="DE3450" s="219"/>
      <c r="DF3450" s="166"/>
      <c r="DG3450" s="116"/>
      <c r="DH3450" s="117"/>
      <c r="DI3450" s="24"/>
      <c r="DJ3450" s="24"/>
      <c r="DK3450" s="24"/>
      <c r="DL3450" s="24"/>
      <c r="DM3450" s="24"/>
      <c r="DN3450" s="24"/>
      <c r="DO3450" s="24"/>
      <c r="DP3450" s="24"/>
      <c r="DQ3450" s="24"/>
      <c r="DR3450" s="24"/>
      <c r="DS3450" s="24"/>
      <c r="DT3450" s="24"/>
      <c r="DU3450" s="24"/>
    </row>
    <row r="3451" spans="1:125" s="8" customFormat="1" ht="120" x14ac:dyDescent="0.2">
      <c r="A3451" s="77">
        <v>41571</v>
      </c>
      <c r="B3451" s="352" t="s">
        <v>2848</v>
      </c>
      <c r="C3451" s="354" t="s">
        <v>1915</v>
      </c>
      <c r="D3451" s="354" t="s">
        <v>2882</v>
      </c>
      <c r="E3451" s="75" t="str">
        <f>VLOOKUP(B3451&amp;C3451,Divipola!$C$2:$F$1138,4,FALSE)</f>
        <v>73686</v>
      </c>
      <c r="F3451" s="87"/>
      <c r="G3451" s="87"/>
      <c r="H3451" s="87"/>
      <c r="I3451" s="87">
        <v>25</v>
      </c>
      <c r="J3451" s="87">
        <v>5</v>
      </c>
      <c r="K3451" s="87"/>
      <c r="L3451" s="87">
        <v>5</v>
      </c>
      <c r="M3451" s="87"/>
      <c r="N3451" s="87"/>
      <c r="O3451" s="87"/>
      <c r="P3451" s="87"/>
      <c r="Q3451" s="87"/>
      <c r="R3451" s="87"/>
      <c r="S3451" s="87"/>
      <c r="T3451" s="87"/>
      <c r="U3451" s="88"/>
      <c r="V3451" s="89"/>
      <c r="W3451" s="96">
        <v>0</v>
      </c>
      <c r="X3451" s="71">
        <f>CU3451</f>
        <v>0</v>
      </c>
      <c r="Y3451" s="71">
        <f>CY3451</f>
        <v>0</v>
      </c>
      <c r="Z3451" s="71">
        <f>DA3451+DC3451+DE3451</f>
        <v>0</v>
      </c>
      <c r="AA3451" s="71">
        <f>CW3451</f>
        <v>0</v>
      </c>
      <c r="AB3451" s="71"/>
      <c r="AC3451" s="71">
        <v>0</v>
      </c>
      <c r="AD3451" s="71">
        <f>W3451+X3451+Y3451+Z3451+AA3451+AB3451+AC3451</f>
        <v>0</v>
      </c>
      <c r="AE3451" s="72">
        <v>0</v>
      </c>
      <c r="AF3451" s="5"/>
      <c r="AG3451" s="6"/>
      <c r="AH3451" s="27"/>
      <c r="AI3451" s="44"/>
      <c r="AJ3451" s="26"/>
      <c r="AK3451" s="5"/>
      <c r="AL3451" s="82" t="s">
        <v>6409</v>
      </c>
      <c r="AM3451" s="76"/>
      <c r="AN3451" s="76"/>
      <c r="AO3451" s="76"/>
      <c r="AP3451" s="76"/>
      <c r="AQ3451" s="76"/>
      <c r="AR3451" s="76"/>
      <c r="AS3451" s="76"/>
      <c r="AT3451" s="76"/>
      <c r="AU3451" s="76"/>
      <c r="AV3451" s="76"/>
      <c r="AW3451" s="76"/>
      <c r="AX3451" s="76">
        <f>+AW3451*600000</f>
        <v>0</v>
      </c>
      <c r="AY3451" s="76"/>
      <c r="AZ3451" s="76">
        <f>+AY3451*70000</f>
        <v>0</v>
      </c>
      <c r="BA3451" s="76"/>
      <c r="BB3451" s="76"/>
      <c r="BC3451" s="76"/>
      <c r="BD3451" s="76">
        <f>+BC3451*30000</f>
        <v>0</v>
      </c>
      <c r="BE3451" s="76"/>
      <c r="BF3451" s="76"/>
      <c r="BG3451" s="76"/>
      <c r="BH3451" s="76"/>
      <c r="BI3451" s="76"/>
      <c r="BJ3451" s="76"/>
      <c r="BK3451" s="76"/>
      <c r="BL3451" s="76">
        <f>+BK3451*31500</f>
        <v>0</v>
      </c>
      <c r="BM3451" s="76"/>
      <c r="BN3451" s="76"/>
      <c r="BO3451" s="76"/>
      <c r="BP3451" s="76"/>
      <c r="BQ3451" s="76"/>
      <c r="BR3451" s="76"/>
      <c r="BS3451" s="76"/>
      <c r="BT3451" s="76"/>
      <c r="BU3451" s="76"/>
      <c r="BV3451" s="76"/>
      <c r="BW3451" s="76"/>
      <c r="BX3451" s="76"/>
      <c r="BY3451" s="76"/>
      <c r="BZ3451" s="76"/>
      <c r="CA3451" s="76"/>
      <c r="CB3451" s="76"/>
      <c r="CC3451" s="76"/>
      <c r="CD3451" s="76"/>
      <c r="CE3451" s="76"/>
      <c r="CF3451" s="76">
        <f>+CE3451*28000</f>
        <v>0</v>
      </c>
      <c r="CG3451" s="76"/>
      <c r="CH3451" s="76">
        <f>+CG3451*22500</f>
        <v>0</v>
      </c>
      <c r="CI3451" s="76"/>
      <c r="CJ3451" s="76">
        <f>+CI3451*26000</f>
        <v>0</v>
      </c>
      <c r="CK3451" s="76"/>
      <c r="CL3451" s="76"/>
      <c r="CM3451" s="76"/>
      <c r="CN3451" s="76">
        <f>+CM3451*22000</f>
        <v>0</v>
      </c>
      <c r="CO3451" s="76"/>
      <c r="CP3451" s="76">
        <f>+CO3451*46000</f>
        <v>0</v>
      </c>
      <c r="CQ3451" s="76"/>
      <c r="CR3451" s="76">
        <f>+CQ3451*49000</f>
        <v>0</v>
      </c>
      <c r="CS3451" s="76"/>
      <c r="CT3451" s="76"/>
      <c r="CU3451" s="56">
        <f>AN3451+AP3451+AR3451+AT3451+AV3451+AX3451+AZ3451+BB3451+BD3451+BF3451+BH3451+BJ3451+BL3451+BN3451+BP3451+BR3451+BT3451+BV3451+BX3451+BZ3451+CB3451+CD3451+CF3451+CH3451+CJ3451+CL3451+CN3451+CP3451+CR3451+CT3451</f>
        <v>0</v>
      </c>
      <c r="CV3451" s="76"/>
      <c r="CW3451" s="76">
        <f>+CV3451*1100</f>
        <v>0</v>
      </c>
      <c r="CX3451" s="76"/>
      <c r="CY3451" s="76">
        <f>+CX3451*106250</f>
        <v>0</v>
      </c>
      <c r="CZ3451" s="76"/>
      <c r="DA3451" s="76">
        <f>+CZ3451*34500</f>
        <v>0</v>
      </c>
      <c r="DB3451" s="76"/>
      <c r="DC3451" s="76">
        <f>+DB3451*25000</f>
        <v>0</v>
      </c>
      <c r="DD3451" s="219"/>
      <c r="DE3451" s="219"/>
      <c r="DF3451" s="166"/>
      <c r="DG3451" s="116"/>
      <c r="DH3451" s="117"/>
      <c r="DI3451" s="24"/>
      <c r="DJ3451" s="24"/>
      <c r="DK3451" s="24"/>
      <c r="DL3451" s="24"/>
      <c r="DM3451" s="24"/>
      <c r="DN3451" s="24"/>
      <c r="DO3451" s="24"/>
      <c r="DP3451" s="24"/>
      <c r="DQ3451" s="24"/>
      <c r="DR3451" s="24"/>
      <c r="DS3451" s="24"/>
      <c r="DT3451" s="24"/>
      <c r="DU3451" s="24"/>
    </row>
    <row r="3452" spans="1:125" s="8" customFormat="1" ht="36" x14ac:dyDescent="0.2">
      <c r="A3452" s="77">
        <v>41571</v>
      </c>
      <c r="B3452" s="84" t="s">
        <v>2860</v>
      </c>
      <c r="C3452" s="84" t="s">
        <v>476</v>
      </c>
      <c r="D3452" s="75" t="s">
        <v>2882</v>
      </c>
      <c r="E3452" s="75" t="str">
        <f>VLOOKUP(B3452&amp;C3452,Divipola!$C$2:$F$1138,4,FALSE)</f>
        <v>63272</v>
      </c>
      <c r="F3452" s="89"/>
      <c r="G3452" s="89"/>
      <c r="H3452" s="89"/>
      <c r="I3452" s="89">
        <v>10</v>
      </c>
      <c r="J3452" s="89">
        <v>2</v>
      </c>
      <c r="K3452" s="89"/>
      <c r="L3452" s="89">
        <v>2</v>
      </c>
      <c r="M3452" s="89"/>
      <c r="N3452" s="89"/>
      <c r="O3452" s="89"/>
      <c r="P3452" s="89"/>
      <c r="Q3452" s="89"/>
      <c r="R3452" s="89"/>
      <c r="S3452" s="89"/>
      <c r="T3452" s="89"/>
      <c r="U3452" s="89"/>
      <c r="V3452" s="89"/>
      <c r="W3452" s="96">
        <v>0</v>
      </c>
      <c r="X3452" s="71">
        <f>CU3452</f>
        <v>0</v>
      </c>
      <c r="Y3452" s="71">
        <f>CY3452</f>
        <v>0</v>
      </c>
      <c r="Z3452" s="71">
        <f>DA3452+DC3452+DE3452</f>
        <v>0</v>
      </c>
      <c r="AA3452" s="71">
        <f>CW3452</f>
        <v>0</v>
      </c>
      <c r="AB3452" s="71"/>
      <c r="AC3452" s="71">
        <v>0</v>
      </c>
      <c r="AD3452" s="71">
        <f>W3452+X3452+Y3452+Z3452+AA3452+AB3452+AC3452</f>
        <v>0</v>
      </c>
      <c r="AE3452" s="72">
        <v>0</v>
      </c>
      <c r="AF3452" s="5"/>
      <c r="AG3452" s="6"/>
      <c r="AH3452" s="27"/>
      <c r="AI3452" s="44"/>
      <c r="AJ3452" s="26"/>
      <c r="AK3452" s="5"/>
      <c r="AL3452" s="342" t="s">
        <v>6408</v>
      </c>
      <c r="AM3452" s="76"/>
      <c r="AN3452" s="76"/>
      <c r="AO3452" s="76"/>
      <c r="AP3452" s="76"/>
      <c r="AQ3452" s="76"/>
      <c r="AR3452" s="76"/>
      <c r="AS3452" s="76"/>
      <c r="AT3452" s="76"/>
      <c r="AU3452" s="76"/>
      <c r="AV3452" s="76"/>
      <c r="AW3452" s="76"/>
      <c r="AX3452" s="76">
        <f>+AW3452*600000</f>
        <v>0</v>
      </c>
      <c r="AY3452" s="76"/>
      <c r="AZ3452" s="76">
        <f>+AY3452*70000</f>
        <v>0</v>
      </c>
      <c r="BA3452" s="76"/>
      <c r="BB3452" s="76"/>
      <c r="BC3452" s="76"/>
      <c r="BD3452" s="76">
        <f>+BC3452*30000</f>
        <v>0</v>
      </c>
      <c r="BE3452" s="76"/>
      <c r="BF3452" s="76"/>
      <c r="BG3452" s="76"/>
      <c r="BH3452" s="76"/>
      <c r="BI3452" s="76"/>
      <c r="BJ3452" s="76"/>
      <c r="BK3452" s="76"/>
      <c r="BL3452" s="76">
        <f>+BK3452*31500</f>
        <v>0</v>
      </c>
      <c r="BM3452" s="76"/>
      <c r="BN3452" s="76"/>
      <c r="BO3452" s="76"/>
      <c r="BP3452" s="76"/>
      <c r="BQ3452" s="76"/>
      <c r="BR3452" s="76"/>
      <c r="BS3452" s="76"/>
      <c r="BT3452" s="76"/>
      <c r="BU3452" s="76"/>
      <c r="BV3452" s="76"/>
      <c r="BW3452" s="76"/>
      <c r="BX3452" s="76"/>
      <c r="BY3452" s="76"/>
      <c r="BZ3452" s="76"/>
      <c r="CA3452" s="76"/>
      <c r="CB3452" s="76"/>
      <c r="CC3452" s="76"/>
      <c r="CD3452" s="76"/>
      <c r="CE3452" s="76"/>
      <c r="CF3452" s="76">
        <f>+CE3452*28000</f>
        <v>0</v>
      </c>
      <c r="CG3452" s="76"/>
      <c r="CH3452" s="76">
        <f>+CG3452*22500</f>
        <v>0</v>
      </c>
      <c r="CI3452" s="76"/>
      <c r="CJ3452" s="76">
        <f>+CI3452*26000</f>
        <v>0</v>
      </c>
      <c r="CK3452" s="76"/>
      <c r="CL3452" s="76"/>
      <c r="CM3452" s="76"/>
      <c r="CN3452" s="76">
        <f>+CM3452*22000</f>
        <v>0</v>
      </c>
      <c r="CO3452" s="76"/>
      <c r="CP3452" s="76">
        <f>+CO3452*46000</f>
        <v>0</v>
      </c>
      <c r="CQ3452" s="76"/>
      <c r="CR3452" s="76">
        <f>+CQ3452*49000</f>
        <v>0</v>
      </c>
      <c r="CS3452" s="76"/>
      <c r="CT3452" s="76"/>
      <c r="CU3452" s="56">
        <f>AN3452+AP3452+AR3452+AT3452+AV3452+AX3452+AZ3452+BB3452+BD3452+BF3452+BH3452+BJ3452+BL3452+BN3452+BP3452+BR3452+BT3452+BV3452+BX3452+BZ3452+CB3452+CD3452+CF3452+CH3452+CJ3452+CL3452+CN3452+CP3452+CR3452+CT3452</f>
        <v>0</v>
      </c>
      <c r="CV3452" s="76"/>
      <c r="CW3452" s="76">
        <f>+CV3452*1100</f>
        <v>0</v>
      </c>
      <c r="CX3452" s="76"/>
      <c r="CY3452" s="76">
        <f>+CX3452*106250</f>
        <v>0</v>
      </c>
      <c r="CZ3452" s="76"/>
      <c r="DA3452" s="76">
        <f>+CZ3452*34500</f>
        <v>0</v>
      </c>
      <c r="DB3452" s="76"/>
      <c r="DC3452" s="76">
        <f>+DB3452*25000</f>
        <v>0</v>
      </c>
      <c r="DD3452" s="219"/>
      <c r="DE3452" s="219"/>
      <c r="DF3452" s="166"/>
      <c r="DG3452" s="116"/>
      <c r="DH3452" s="117"/>
      <c r="DI3452" s="24"/>
      <c r="DJ3452" s="24"/>
      <c r="DK3452" s="24"/>
      <c r="DL3452" s="24"/>
      <c r="DM3452" s="24"/>
      <c r="DN3452" s="24"/>
      <c r="DO3452" s="24"/>
      <c r="DP3452" s="24"/>
      <c r="DQ3452" s="24"/>
      <c r="DR3452" s="24"/>
      <c r="DS3452" s="24"/>
      <c r="DT3452" s="24"/>
      <c r="DU3452" s="24"/>
    </row>
    <row r="3453" spans="1:125" s="8" customFormat="1" ht="84" x14ac:dyDescent="0.2">
      <c r="A3453" s="77">
        <v>41571</v>
      </c>
      <c r="B3453" s="78" t="s">
        <v>2811</v>
      </c>
      <c r="C3453" s="75" t="s">
        <v>2114</v>
      </c>
      <c r="D3453" s="75" t="s">
        <v>2875</v>
      </c>
      <c r="E3453" s="75" t="str">
        <f>VLOOKUP(B3453&amp;C3453,Divipola!$C$2:$F$1138,4,FALSE)</f>
        <v>52720</v>
      </c>
      <c r="F3453" s="87"/>
      <c r="G3453" s="87"/>
      <c r="H3453" s="87"/>
      <c r="I3453" s="87"/>
      <c r="J3453" s="87"/>
      <c r="K3453" s="87"/>
      <c r="L3453" s="87"/>
      <c r="M3453" s="87"/>
      <c r="N3453" s="87"/>
      <c r="O3453" s="87"/>
      <c r="P3453" s="87"/>
      <c r="Q3453" s="87"/>
      <c r="R3453" s="87">
        <v>1</v>
      </c>
      <c r="S3453" s="87"/>
      <c r="T3453" s="87">
        <v>1</v>
      </c>
      <c r="U3453" s="88"/>
      <c r="V3453" s="89"/>
      <c r="W3453" s="96">
        <v>0</v>
      </c>
      <c r="X3453" s="71">
        <f>CU3453</f>
        <v>0</v>
      </c>
      <c r="Y3453" s="71">
        <f>CY3453</f>
        <v>0</v>
      </c>
      <c r="Z3453" s="71">
        <f>DA3453+DC3453+DE3453</f>
        <v>0</v>
      </c>
      <c r="AA3453" s="71">
        <f>CW3453</f>
        <v>0</v>
      </c>
      <c r="AB3453" s="71"/>
      <c r="AC3453" s="71">
        <v>0</v>
      </c>
      <c r="AD3453" s="71">
        <f>W3453+X3453+Y3453+Z3453+AA3453+AB3453+AC3453</f>
        <v>0</v>
      </c>
      <c r="AE3453" s="72">
        <v>0</v>
      </c>
      <c r="AF3453" s="5"/>
      <c r="AG3453" s="6"/>
      <c r="AH3453" s="27"/>
      <c r="AI3453" s="44"/>
      <c r="AJ3453" s="26"/>
      <c r="AK3453" s="5"/>
      <c r="AL3453" s="276" t="s">
        <v>6410</v>
      </c>
      <c r="AM3453" s="76"/>
      <c r="AN3453" s="76"/>
      <c r="AO3453" s="76"/>
      <c r="AP3453" s="76"/>
      <c r="AQ3453" s="76"/>
      <c r="AR3453" s="76"/>
      <c r="AS3453" s="76"/>
      <c r="AT3453" s="76"/>
      <c r="AU3453" s="76"/>
      <c r="AV3453" s="76"/>
      <c r="AW3453" s="76"/>
      <c r="AX3453" s="76">
        <f>+AW3453*600000</f>
        <v>0</v>
      </c>
      <c r="AY3453" s="76"/>
      <c r="AZ3453" s="76">
        <f>+AY3453*70000</f>
        <v>0</v>
      </c>
      <c r="BA3453" s="76"/>
      <c r="BB3453" s="76"/>
      <c r="BC3453" s="76"/>
      <c r="BD3453" s="76">
        <f>+BC3453*30000</f>
        <v>0</v>
      </c>
      <c r="BE3453" s="76"/>
      <c r="BF3453" s="76"/>
      <c r="BG3453" s="76"/>
      <c r="BH3453" s="76"/>
      <c r="BI3453" s="76"/>
      <c r="BJ3453" s="76"/>
      <c r="BK3453" s="76"/>
      <c r="BL3453" s="76">
        <f>+BK3453*31500</f>
        <v>0</v>
      </c>
      <c r="BM3453" s="76"/>
      <c r="BN3453" s="76"/>
      <c r="BO3453" s="76"/>
      <c r="BP3453" s="76"/>
      <c r="BQ3453" s="76"/>
      <c r="BR3453" s="76"/>
      <c r="BS3453" s="76"/>
      <c r="BT3453" s="76"/>
      <c r="BU3453" s="76"/>
      <c r="BV3453" s="76"/>
      <c r="BW3453" s="76"/>
      <c r="BX3453" s="76"/>
      <c r="BY3453" s="76"/>
      <c r="BZ3453" s="76"/>
      <c r="CA3453" s="76"/>
      <c r="CB3453" s="76"/>
      <c r="CC3453" s="76"/>
      <c r="CD3453" s="76"/>
      <c r="CE3453" s="76"/>
      <c r="CF3453" s="76">
        <f>+CE3453*28000</f>
        <v>0</v>
      </c>
      <c r="CG3453" s="76"/>
      <c r="CH3453" s="76">
        <f>+CG3453*22500</f>
        <v>0</v>
      </c>
      <c r="CI3453" s="76"/>
      <c r="CJ3453" s="76">
        <f>+CI3453*26000</f>
        <v>0</v>
      </c>
      <c r="CK3453" s="76"/>
      <c r="CL3453" s="76"/>
      <c r="CM3453" s="76"/>
      <c r="CN3453" s="76">
        <f>+CM3453*22000</f>
        <v>0</v>
      </c>
      <c r="CO3453" s="76"/>
      <c r="CP3453" s="76">
        <f>+CO3453*46000</f>
        <v>0</v>
      </c>
      <c r="CQ3453" s="76"/>
      <c r="CR3453" s="76">
        <f>+CQ3453*49000</f>
        <v>0</v>
      </c>
      <c r="CS3453" s="76"/>
      <c r="CT3453" s="76"/>
      <c r="CU3453" s="56">
        <f>AN3453+AP3453+AR3453+AT3453+AV3453+AX3453+AZ3453+BB3453+BD3453+BF3453+BH3453+BJ3453+BL3453+BN3453+BP3453+BR3453+BT3453+BV3453+BX3453+BZ3453+CB3453+CD3453+CF3453+CH3453+CJ3453+CL3453+CN3453+CP3453+CR3453+CT3453</f>
        <v>0</v>
      </c>
      <c r="CV3453" s="76"/>
      <c r="CW3453" s="76">
        <f>+CV3453*1100</f>
        <v>0</v>
      </c>
      <c r="CX3453" s="76"/>
      <c r="CY3453" s="76">
        <f>+CX3453*106250</f>
        <v>0</v>
      </c>
      <c r="CZ3453" s="76"/>
      <c r="DA3453" s="76">
        <f>+CZ3453*34500</f>
        <v>0</v>
      </c>
      <c r="DB3453" s="76"/>
      <c r="DC3453" s="76">
        <f>+DB3453*25000</f>
        <v>0</v>
      </c>
      <c r="DD3453" s="219"/>
      <c r="DE3453" s="219"/>
      <c r="DF3453" s="166"/>
      <c r="DG3453" s="116"/>
      <c r="DH3453" s="117"/>
      <c r="DI3453" s="24"/>
      <c r="DJ3453" s="24"/>
      <c r="DK3453" s="24"/>
      <c r="DL3453" s="24"/>
      <c r="DM3453" s="24"/>
      <c r="DN3453" s="24"/>
      <c r="DO3453" s="24"/>
      <c r="DP3453" s="24"/>
      <c r="DQ3453" s="24"/>
      <c r="DR3453" s="24"/>
      <c r="DS3453" s="24"/>
      <c r="DT3453" s="24"/>
      <c r="DU3453" s="24"/>
    </row>
    <row r="3454" spans="1:125" s="8" customFormat="1" ht="72" x14ac:dyDescent="0.2">
      <c r="A3454" s="353">
        <v>41571</v>
      </c>
      <c r="B3454" s="352" t="s">
        <v>2774</v>
      </c>
      <c r="C3454" s="354" t="s">
        <v>2790</v>
      </c>
      <c r="D3454" s="354" t="s">
        <v>3425</v>
      </c>
      <c r="E3454" s="75" t="str">
        <f>VLOOKUP(B3454&amp;C3454,Divipola!$C$2:$F$1138,4,FALSE)</f>
        <v>66682</v>
      </c>
      <c r="F3454" s="87"/>
      <c r="G3454" s="87"/>
      <c r="H3454" s="87"/>
      <c r="I3454" s="87">
        <v>6</v>
      </c>
      <c r="J3454" s="87">
        <v>2</v>
      </c>
      <c r="K3454" s="87"/>
      <c r="L3454" s="87">
        <v>2</v>
      </c>
      <c r="M3454" s="87"/>
      <c r="N3454" s="87"/>
      <c r="O3454" s="87"/>
      <c r="P3454" s="87"/>
      <c r="Q3454" s="87"/>
      <c r="R3454" s="87"/>
      <c r="S3454" s="87"/>
      <c r="T3454" s="87"/>
      <c r="U3454" s="88"/>
      <c r="V3454" s="89"/>
      <c r="W3454" s="96">
        <v>0</v>
      </c>
      <c r="X3454" s="71">
        <f>CU3454</f>
        <v>0</v>
      </c>
      <c r="Y3454" s="71">
        <f>CY3454</f>
        <v>0</v>
      </c>
      <c r="Z3454" s="71">
        <f>DA3454+DC3454+DE3454</f>
        <v>0</v>
      </c>
      <c r="AA3454" s="71">
        <f>CW3454</f>
        <v>0</v>
      </c>
      <c r="AB3454" s="71"/>
      <c r="AC3454" s="71">
        <v>0</v>
      </c>
      <c r="AD3454" s="71">
        <f>W3454+X3454+Y3454+Z3454+AA3454+AB3454+AC3454</f>
        <v>0</v>
      </c>
      <c r="AE3454" s="72">
        <v>0</v>
      </c>
      <c r="AF3454" s="5"/>
      <c r="AG3454" s="6"/>
      <c r="AH3454" s="27"/>
      <c r="AI3454" s="44"/>
      <c r="AJ3454" s="26"/>
      <c r="AK3454" s="5"/>
      <c r="AL3454" s="82" t="s">
        <v>6411</v>
      </c>
      <c r="AM3454" s="76"/>
      <c r="AN3454" s="76"/>
      <c r="AO3454" s="76"/>
      <c r="AP3454" s="76"/>
      <c r="AQ3454" s="76"/>
      <c r="AR3454" s="76"/>
      <c r="AS3454" s="76"/>
      <c r="AT3454" s="76"/>
      <c r="AU3454" s="76"/>
      <c r="AV3454" s="76"/>
      <c r="AW3454" s="76"/>
      <c r="AX3454" s="76">
        <f>+AW3454*600000</f>
        <v>0</v>
      </c>
      <c r="AY3454" s="76"/>
      <c r="AZ3454" s="76">
        <f>+AY3454*70000</f>
        <v>0</v>
      </c>
      <c r="BA3454" s="76"/>
      <c r="BB3454" s="76"/>
      <c r="BC3454" s="76"/>
      <c r="BD3454" s="76">
        <f>+BC3454*30000</f>
        <v>0</v>
      </c>
      <c r="BE3454" s="76"/>
      <c r="BF3454" s="76"/>
      <c r="BG3454" s="76"/>
      <c r="BH3454" s="76"/>
      <c r="BI3454" s="76"/>
      <c r="BJ3454" s="76"/>
      <c r="BK3454" s="76"/>
      <c r="BL3454" s="76">
        <f>+BK3454*31500</f>
        <v>0</v>
      </c>
      <c r="BM3454" s="76"/>
      <c r="BN3454" s="76"/>
      <c r="BO3454" s="76"/>
      <c r="BP3454" s="76"/>
      <c r="BQ3454" s="76"/>
      <c r="BR3454" s="76"/>
      <c r="BS3454" s="76"/>
      <c r="BT3454" s="76"/>
      <c r="BU3454" s="76"/>
      <c r="BV3454" s="76"/>
      <c r="BW3454" s="76"/>
      <c r="BX3454" s="76"/>
      <c r="BY3454" s="76"/>
      <c r="BZ3454" s="76"/>
      <c r="CA3454" s="76"/>
      <c r="CB3454" s="76"/>
      <c r="CC3454" s="76"/>
      <c r="CD3454" s="76"/>
      <c r="CE3454" s="76"/>
      <c r="CF3454" s="76">
        <f>+CE3454*28000</f>
        <v>0</v>
      </c>
      <c r="CG3454" s="76"/>
      <c r="CH3454" s="76">
        <f>+CG3454*22500</f>
        <v>0</v>
      </c>
      <c r="CI3454" s="76"/>
      <c r="CJ3454" s="76">
        <f>+CI3454*26000</f>
        <v>0</v>
      </c>
      <c r="CK3454" s="76"/>
      <c r="CL3454" s="76"/>
      <c r="CM3454" s="76"/>
      <c r="CN3454" s="76">
        <f>+CM3454*22000</f>
        <v>0</v>
      </c>
      <c r="CO3454" s="76"/>
      <c r="CP3454" s="76">
        <f>+CO3454*46000</f>
        <v>0</v>
      </c>
      <c r="CQ3454" s="76"/>
      <c r="CR3454" s="76">
        <f>+CQ3454*49000</f>
        <v>0</v>
      </c>
      <c r="CS3454" s="76"/>
      <c r="CT3454" s="76"/>
      <c r="CU3454" s="56">
        <f>AN3454+AP3454+AR3454+AT3454+AV3454+AX3454+AZ3454+BB3454+BD3454+BF3454+BH3454+BJ3454+BL3454+BN3454+BP3454+BR3454+BT3454+BV3454+BX3454+BZ3454+CB3454+CD3454+CF3454+CH3454+CJ3454+CL3454+CN3454+CP3454+CR3454+CT3454</f>
        <v>0</v>
      </c>
      <c r="CV3454" s="76"/>
      <c r="CW3454" s="76">
        <f>+CV3454*1100</f>
        <v>0</v>
      </c>
      <c r="CX3454" s="76"/>
      <c r="CY3454" s="76">
        <f>+CX3454*106250</f>
        <v>0</v>
      </c>
      <c r="CZ3454" s="76"/>
      <c r="DA3454" s="76">
        <f>+CZ3454*34500</f>
        <v>0</v>
      </c>
      <c r="DB3454" s="76"/>
      <c r="DC3454" s="76">
        <f>+DB3454*25000</f>
        <v>0</v>
      </c>
      <c r="DD3454" s="219"/>
      <c r="DE3454" s="219"/>
      <c r="DF3454" s="166"/>
      <c r="DG3454" s="116"/>
      <c r="DH3454" s="117"/>
      <c r="DI3454" s="24"/>
      <c r="DJ3454" s="24"/>
      <c r="DK3454" s="24"/>
      <c r="DL3454" s="24"/>
      <c r="DM3454" s="24"/>
      <c r="DN3454" s="24"/>
      <c r="DO3454" s="24"/>
      <c r="DP3454" s="24"/>
      <c r="DQ3454" s="24"/>
      <c r="DR3454" s="24"/>
      <c r="DS3454" s="24"/>
      <c r="DT3454" s="24"/>
      <c r="DU3454" s="24"/>
    </row>
    <row r="3455" spans="1:125" s="8" customFormat="1" ht="72" x14ac:dyDescent="0.2">
      <c r="A3455" s="353">
        <v>41571</v>
      </c>
      <c r="B3455" s="352" t="s">
        <v>2774</v>
      </c>
      <c r="C3455" s="354" t="s">
        <v>2038</v>
      </c>
      <c r="D3455" s="354" t="s">
        <v>3088</v>
      </c>
      <c r="E3455" s="75" t="str">
        <f>VLOOKUP(B3455&amp;C3455,Divipola!$C$2:$F$1138,4,FALSE)</f>
        <v>66456</v>
      </c>
      <c r="F3455" s="87"/>
      <c r="G3455" s="87"/>
      <c r="H3455" s="87"/>
      <c r="I3455" s="87">
        <v>4</v>
      </c>
      <c r="J3455" s="87">
        <v>1</v>
      </c>
      <c r="K3455" s="87"/>
      <c r="L3455" s="87">
        <v>1</v>
      </c>
      <c r="M3455" s="87"/>
      <c r="N3455" s="87"/>
      <c r="O3455" s="87"/>
      <c r="P3455" s="87"/>
      <c r="Q3455" s="87"/>
      <c r="R3455" s="87"/>
      <c r="S3455" s="87"/>
      <c r="T3455" s="87"/>
      <c r="U3455" s="88"/>
      <c r="V3455" s="89"/>
      <c r="W3455" s="96">
        <v>0</v>
      </c>
      <c r="X3455" s="71">
        <f>CU3455</f>
        <v>0</v>
      </c>
      <c r="Y3455" s="71">
        <f>CY3455</f>
        <v>0</v>
      </c>
      <c r="Z3455" s="71">
        <f>DA3455+DC3455+DE3455</f>
        <v>0</v>
      </c>
      <c r="AA3455" s="71">
        <f>CW3455</f>
        <v>0</v>
      </c>
      <c r="AB3455" s="71"/>
      <c r="AC3455" s="71">
        <v>0</v>
      </c>
      <c r="AD3455" s="71">
        <f>W3455+X3455+Y3455+Z3455+AA3455+AB3455+AC3455</f>
        <v>0</v>
      </c>
      <c r="AE3455" s="72">
        <v>0</v>
      </c>
      <c r="AF3455" s="5"/>
      <c r="AG3455" s="6"/>
      <c r="AH3455" s="27"/>
      <c r="AI3455" s="44"/>
      <c r="AJ3455" s="26"/>
      <c r="AK3455" s="5"/>
      <c r="AL3455" s="274" t="s">
        <v>6413</v>
      </c>
      <c r="AM3455" s="76"/>
      <c r="AN3455" s="76"/>
      <c r="AO3455" s="76"/>
      <c r="AP3455" s="76"/>
      <c r="AQ3455" s="76"/>
      <c r="AR3455" s="76"/>
      <c r="AS3455" s="76"/>
      <c r="AT3455" s="76"/>
      <c r="AU3455" s="76"/>
      <c r="AV3455" s="76"/>
      <c r="AW3455" s="76"/>
      <c r="AX3455" s="76">
        <f>+AW3455*600000</f>
        <v>0</v>
      </c>
      <c r="AY3455" s="76"/>
      <c r="AZ3455" s="76">
        <f>+AY3455*70000</f>
        <v>0</v>
      </c>
      <c r="BA3455" s="76"/>
      <c r="BB3455" s="76"/>
      <c r="BC3455" s="76"/>
      <c r="BD3455" s="76">
        <f>+BC3455*30000</f>
        <v>0</v>
      </c>
      <c r="BE3455" s="76"/>
      <c r="BF3455" s="76"/>
      <c r="BG3455" s="76"/>
      <c r="BH3455" s="76"/>
      <c r="BI3455" s="76"/>
      <c r="BJ3455" s="76"/>
      <c r="BK3455" s="76"/>
      <c r="BL3455" s="76">
        <f>+BK3455*31500</f>
        <v>0</v>
      </c>
      <c r="BM3455" s="76"/>
      <c r="BN3455" s="76"/>
      <c r="BO3455" s="76"/>
      <c r="BP3455" s="76"/>
      <c r="BQ3455" s="76"/>
      <c r="BR3455" s="76"/>
      <c r="BS3455" s="76"/>
      <c r="BT3455" s="76"/>
      <c r="BU3455" s="76"/>
      <c r="BV3455" s="76"/>
      <c r="BW3455" s="76"/>
      <c r="BX3455" s="76"/>
      <c r="BY3455" s="76"/>
      <c r="BZ3455" s="76"/>
      <c r="CA3455" s="76"/>
      <c r="CB3455" s="76"/>
      <c r="CC3455" s="76"/>
      <c r="CD3455" s="76"/>
      <c r="CE3455" s="76"/>
      <c r="CF3455" s="76">
        <f>+CE3455*28000</f>
        <v>0</v>
      </c>
      <c r="CG3455" s="76"/>
      <c r="CH3455" s="76">
        <f>+CG3455*22500</f>
        <v>0</v>
      </c>
      <c r="CI3455" s="76"/>
      <c r="CJ3455" s="76">
        <f>+CI3455*26000</f>
        <v>0</v>
      </c>
      <c r="CK3455" s="76"/>
      <c r="CL3455" s="76"/>
      <c r="CM3455" s="76"/>
      <c r="CN3455" s="76">
        <f>+CM3455*22000</f>
        <v>0</v>
      </c>
      <c r="CO3455" s="76"/>
      <c r="CP3455" s="76">
        <f>+CO3455*46000</f>
        <v>0</v>
      </c>
      <c r="CQ3455" s="76"/>
      <c r="CR3455" s="76">
        <f>+CQ3455*49000</f>
        <v>0</v>
      </c>
      <c r="CS3455" s="76"/>
      <c r="CT3455" s="76"/>
      <c r="CU3455" s="56">
        <f>AN3455+AP3455+AR3455+AT3455+AV3455+AX3455+AZ3455+BB3455+BD3455+BF3455+BH3455+BJ3455+BL3455+BN3455+BP3455+BR3455+BT3455+BV3455+BX3455+BZ3455+CB3455+CD3455+CF3455+CH3455+CJ3455+CL3455+CN3455+CP3455+CR3455+CT3455</f>
        <v>0</v>
      </c>
      <c r="CV3455" s="76"/>
      <c r="CW3455" s="76">
        <f>+CV3455*1100</f>
        <v>0</v>
      </c>
      <c r="CX3455" s="76"/>
      <c r="CY3455" s="76">
        <f>+CX3455*106250</f>
        <v>0</v>
      </c>
      <c r="CZ3455" s="76"/>
      <c r="DA3455" s="76">
        <f>+CZ3455*34500</f>
        <v>0</v>
      </c>
      <c r="DB3455" s="76"/>
      <c r="DC3455" s="76">
        <f>+DB3455*25000</f>
        <v>0</v>
      </c>
      <c r="DD3455" s="219"/>
      <c r="DE3455" s="219"/>
      <c r="DF3455" s="166"/>
      <c r="DG3455" s="116"/>
      <c r="DH3455" s="117"/>
      <c r="DI3455" s="24"/>
      <c r="DJ3455" s="24"/>
      <c r="DK3455" s="24"/>
      <c r="DL3455" s="24"/>
      <c r="DM3455" s="24"/>
      <c r="DN3455" s="24"/>
      <c r="DO3455" s="24"/>
      <c r="DP3455" s="24"/>
      <c r="DQ3455" s="24"/>
      <c r="DR3455" s="24"/>
      <c r="DS3455" s="24"/>
      <c r="DT3455" s="24"/>
      <c r="DU3455" s="24"/>
    </row>
    <row r="3456" spans="1:125" s="8" customFormat="1" ht="60" x14ac:dyDescent="0.2">
      <c r="A3456" s="77">
        <v>41571</v>
      </c>
      <c r="B3456" s="78" t="s">
        <v>2661</v>
      </c>
      <c r="C3456" s="75" t="s">
        <v>2005</v>
      </c>
      <c r="D3456" s="75" t="s">
        <v>2882</v>
      </c>
      <c r="E3456" s="75" t="str">
        <f>VLOOKUP(B3456&amp;C3456,Divipola!$C$2:$F$1138,4,FALSE)</f>
        <v>41801</v>
      </c>
      <c r="F3456" s="61"/>
      <c r="G3456" s="61"/>
      <c r="H3456" s="61"/>
      <c r="I3456" s="61">
        <v>20</v>
      </c>
      <c r="J3456" s="61">
        <v>4</v>
      </c>
      <c r="K3456" s="61"/>
      <c r="L3456" s="61">
        <v>4</v>
      </c>
      <c r="M3456" s="61"/>
      <c r="N3456" s="61"/>
      <c r="O3456" s="61"/>
      <c r="P3456" s="61"/>
      <c r="Q3456" s="61"/>
      <c r="R3456" s="61"/>
      <c r="S3456" s="61"/>
      <c r="T3456" s="61"/>
      <c r="U3456" s="61"/>
      <c r="V3456" s="7"/>
      <c r="W3456" s="96">
        <v>0</v>
      </c>
      <c r="X3456" s="71">
        <f>CU3456</f>
        <v>1563972.32</v>
      </c>
      <c r="Y3456" s="71">
        <f>CY3456</f>
        <v>425000</v>
      </c>
      <c r="Z3456" s="71">
        <f>DA3456+DC3456+DE3456</f>
        <v>1071840</v>
      </c>
      <c r="AA3456" s="71">
        <f>CW3456</f>
        <v>0</v>
      </c>
      <c r="AB3456" s="71"/>
      <c r="AC3456" s="71">
        <v>0</v>
      </c>
      <c r="AD3456" s="71">
        <f>W3456+X3456+Y3456+Z3456+AA3456+AB3456+AC3456</f>
        <v>3060812.3200000003</v>
      </c>
      <c r="AE3456" s="72">
        <v>0</v>
      </c>
      <c r="AF3456" s="5"/>
      <c r="AG3456" s="6"/>
      <c r="AH3456" s="27"/>
      <c r="AI3456" s="44"/>
      <c r="AJ3456" s="26"/>
      <c r="AK3456" s="5"/>
      <c r="AL3456" s="9" t="s">
        <v>6423</v>
      </c>
      <c r="AM3456" s="76"/>
      <c r="AN3456" s="76"/>
      <c r="AO3456" s="76"/>
      <c r="AP3456" s="76"/>
      <c r="AQ3456" s="76"/>
      <c r="AR3456" s="76"/>
      <c r="AS3456" s="76"/>
      <c r="AT3456" s="76"/>
      <c r="AU3456" s="76"/>
      <c r="AV3456" s="76"/>
      <c r="AW3456" s="76"/>
      <c r="AX3456" s="76">
        <f>+AW3456*600000</f>
        <v>0</v>
      </c>
      <c r="AY3456" s="86">
        <v>12</v>
      </c>
      <c r="AZ3456" s="86">
        <f>+AY3456*69999.04</f>
        <v>839988.48</v>
      </c>
      <c r="BA3456" s="76"/>
      <c r="BB3456" s="76"/>
      <c r="BC3456" s="76"/>
      <c r="BD3456" s="76">
        <f>+BC3456*30000</f>
        <v>0</v>
      </c>
      <c r="BE3456" s="76"/>
      <c r="BF3456" s="76"/>
      <c r="BG3456" s="76"/>
      <c r="BH3456" s="76"/>
      <c r="BI3456" s="76"/>
      <c r="BJ3456" s="76"/>
      <c r="BK3456" s="76"/>
      <c r="BL3456" s="76">
        <f>+BK3456*31500</f>
        <v>0</v>
      </c>
      <c r="BM3456" s="76"/>
      <c r="BN3456" s="76"/>
      <c r="BO3456" s="76"/>
      <c r="BP3456" s="76"/>
      <c r="BQ3456" s="76"/>
      <c r="BR3456" s="76"/>
      <c r="BS3456" s="76"/>
      <c r="BT3456" s="76"/>
      <c r="BU3456" s="76"/>
      <c r="BV3456" s="76"/>
      <c r="BW3456" s="76"/>
      <c r="BX3456" s="76"/>
      <c r="BY3456" s="76"/>
      <c r="BZ3456" s="76"/>
      <c r="CA3456" s="76"/>
      <c r="CB3456" s="76"/>
      <c r="CC3456" s="76"/>
      <c r="CD3456" s="76"/>
      <c r="CE3456" s="76"/>
      <c r="CF3456" s="76">
        <f>+CE3456*28000</f>
        <v>0</v>
      </c>
      <c r="CG3456" s="76"/>
      <c r="CH3456" s="76">
        <f>+CG3456*22500</f>
        <v>0</v>
      </c>
      <c r="CI3456" s="86">
        <f>12+12</f>
        <v>24</v>
      </c>
      <c r="CJ3456" s="86">
        <f>+CI3456*22499.36</f>
        <v>539984.64000000001</v>
      </c>
      <c r="CK3456" s="76"/>
      <c r="CL3456" s="76"/>
      <c r="CM3456" s="76"/>
      <c r="CN3456" s="76">
        <f>+CM3456*22000</f>
        <v>0</v>
      </c>
      <c r="CO3456" s="86">
        <v>4</v>
      </c>
      <c r="CP3456" s="86">
        <f>+CO3456*45999.8</f>
        <v>183999.2</v>
      </c>
      <c r="CQ3456" s="76"/>
      <c r="CR3456" s="76">
        <f>+CQ3456*49000</f>
        <v>0</v>
      </c>
      <c r="CS3456" s="76"/>
      <c r="CT3456" s="76"/>
      <c r="CU3456" s="56">
        <f>AN3456+AP3456+AR3456+AT3456+AV3456+AX3456+AZ3456+BB3456+BD3456+BF3456+BH3456+BJ3456+BL3456+BN3456+BP3456+BR3456+BT3456+BV3456+BX3456+BZ3456+CB3456+CD3456+CF3456+CH3456+CJ3456+CL3456+CN3456+CP3456+CR3456+CT3456</f>
        <v>1563972.32</v>
      </c>
      <c r="CV3456" s="76"/>
      <c r="CW3456" s="76">
        <f>+CV3456*1100</f>
        <v>0</v>
      </c>
      <c r="CX3456" s="86">
        <v>4</v>
      </c>
      <c r="CY3456" s="86">
        <f>+CX3456*106250</f>
        <v>425000</v>
      </c>
      <c r="CZ3456" s="76"/>
      <c r="DA3456" s="76">
        <f>+CZ3456*34500</f>
        <v>0</v>
      </c>
      <c r="DB3456" s="86">
        <v>40</v>
      </c>
      <c r="DC3456" s="86">
        <f>40*25000.32+360*199.52</f>
        <v>1071840</v>
      </c>
      <c r="DD3456" s="219"/>
      <c r="DE3456" s="219"/>
      <c r="DF3456" s="166"/>
      <c r="DG3456" s="134" t="s">
        <v>6925</v>
      </c>
      <c r="DH3456" s="117"/>
      <c r="DI3456" s="24"/>
      <c r="DJ3456" s="24"/>
      <c r="DK3456" s="24"/>
      <c r="DL3456" s="24"/>
      <c r="DM3456" s="24"/>
      <c r="DN3456" s="24"/>
      <c r="DO3456" s="24"/>
      <c r="DP3456" s="24"/>
      <c r="DQ3456" s="24"/>
      <c r="DR3456" s="24"/>
      <c r="DS3456" s="24"/>
      <c r="DT3456" s="24"/>
      <c r="DU3456" s="24"/>
    </row>
    <row r="3457" spans="1:125" s="8" customFormat="1" ht="156" x14ac:dyDescent="0.2">
      <c r="A3457" s="353">
        <v>41571</v>
      </c>
      <c r="B3457" s="352" t="s">
        <v>2847</v>
      </c>
      <c r="C3457" s="354" t="s">
        <v>2197</v>
      </c>
      <c r="D3457" s="354" t="s">
        <v>2859</v>
      </c>
      <c r="E3457" s="75" t="str">
        <f>VLOOKUP(B3457&amp;C3457,Divipola!$C$2:$F$1138,4,FALSE)</f>
        <v>68276</v>
      </c>
      <c r="F3457" s="87"/>
      <c r="G3457" s="87"/>
      <c r="H3457" s="87"/>
      <c r="I3457" s="87"/>
      <c r="J3457" s="87"/>
      <c r="K3457" s="87"/>
      <c r="L3457" s="87"/>
      <c r="M3457" s="87"/>
      <c r="N3457" s="87"/>
      <c r="O3457" s="87"/>
      <c r="P3457" s="87"/>
      <c r="Q3457" s="87"/>
      <c r="R3457" s="87"/>
      <c r="S3457" s="87"/>
      <c r="T3457" s="87"/>
      <c r="U3457" s="88"/>
      <c r="V3457" s="89"/>
      <c r="W3457" s="96">
        <v>0</v>
      </c>
      <c r="X3457" s="71">
        <f>CU3457</f>
        <v>0</v>
      </c>
      <c r="Y3457" s="71">
        <f>CY3457</f>
        <v>0</v>
      </c>
      <c r="Z3457" s="71">
        <f>DA3457+DC3457+DE3457</f>
        <v>0</v>
      </c>
      <c r="AA3457" s="71">
        <f>CW3457</f>
        <v>0</v>
      </c>
      <c r="AB3457" s="71"/>
      <c r="AC3457" s="71">
        <v>0</v>
      </c>
      <c r="AD3457" s="71">
        <f>W3457+X3457+Y3457+Z3457+AA3457+AB3457+AC3457</f>
        <v>0</v>
      </c>
      <c r="AE3457" s="72">
        <v>0</v>
      </c>
      <c r="AF3457" s="5"/>
      <c r="AG3457" s="6"/>
      <c r="AH3457" s="27"/>
      <c r="AI3457" s="44"/>
      <c r="AJ3457" s="26"/>
      <c r="AK3457" s="5"/>
      <c r="AL3457" s="82" t="s">
        <v>6425</v>
      </c>
      <c r="AM3457" s="76"/>
      <c r="AN3457" s="76"/>
      <c r="AO3457" s="76"/>
      <c r="AP3457" s="76"/>
      <c r="AQ3457" s="76"/>
      <c r="AR3457" s="76"/>
      <c r="AS3457" s="76"/>
      <c r="AT3457" s="76"/>
      <c r="AU3457" s="76"/>
      <c r="AV3457" s="76"/>
      <c r="AW3457" s="76"/>
      <c r="AX3457" s="76">
        <f>+AW3457*600000</f>
        <v>0</v>
      </c>
      <c r="AY3457" s="76"/>
      <c r="AZ3457" s="76">
        <f>+AY3457*70000</f>
        <v>0</v>
      </c>
      <c r="BA3457" s="76"/>
      <c r="BB3457" s="76"/>
      <c r="BC3457" s="76"/>
      <c r="BD3457" s="76">
        <f>+BC3457*30000</f>
        <v>0</v>
      </c>
      <c r="BE3457" s="76"/>
      <c r="BF3457" s="76"/>
      <c r="BG3457" s="76"/>
      <c r="BH3457" s="76"/>
      <c r="BI3457" s="76"/>
      <c r="BJ3457" s="76"/>
      <c r="BK3457" s="76"/>
      <c r="BL3457" s="76">
        <f>+BK3457*31500</f>
        <v>0</v>
      </c>
      <c r="BM3457" s="76"/>
      <c r="BN3457" s="76"/>
      <c r="BO3457" s="76"/>
      <c r="BP3457" s="76"/>
      <c r="BQ3457" s="76"/>
      <c r="BR3457" s="76"/>
      <c r="BS3457" s="76"/>
      <c r="BT3457" s="76"/>
      <c r="BU3457" s="76"/>
      <c r="BV3457" s="76"/>
      <c r="BW3457" s="76"/>
      <c r="BX3457" s="76"/>
      <c r="BY3457" s="76"/>
      <c r="BZ3457" s="76"/>
      <c r="CA3457" s="76"/>
      <c r="CB3457" s="76"/>
      <c r="CC3457" s="76"/>
      <c r="CD3457" s="76"/>
      <c r="CE3457" s="76"/>
      <c r="CF3457" s="76">
        <f>+CE3457*28000</f>
        <v>0</v>
      </c>
      <c r="CG3457" s="76"/>
      <c r="CH3457" s="76">
        <f>+CG3457*22500</f>
        <v>0</v>
      </c>
      <c r="CI3457" s="76"/>
      <c r="CJ3457" s="76">
        <f>+CI3457*26000</f>
        <v>0</v>
      </c>
      <c r="CK3457" s="76"/>
      <c r="CL3457" s="76"/>
      <c r="CM3457" s="76"/>
      <c r="CN3457" s="76">
        <f>+CM3457*22000</f>
        <v>0</v>
      </c>
      <c r="CO3457" s="76"/>
      <c r="CP3457" s="76">
        <f>+CO3457*46000</f>
        <v>0</v>
      </c>
      <c r="CQ3457" s="76"/>
      <c r="CR3457" s="76">
        <f>+CQ3457*49000</f>
        <v>0</v>
      </c>
      <c r="CS3457" s="76"/>
      <c r="CT3457" s="76"/>
      <c r="CU3457" s="56">
        <f>AN3457+AP3457+AR3457+AT3457+AV3457+AX3457+AZ3457+BB3457+BD3457+BF3457+BH3457+BJ3457+BL3457+BN3457+BP3457+BR3457+BT3457+BV3457+BX3457+BZ3457+CB3457+CD3457+CF3457+CH3457+CJ3457+CL3457+CN3457+CP3457+CR3457+CT3457</f>
        <v>0</v>
      </c>
      <c r="CV3457" s="76"/>
      <c r="CW3457" s="76">
        <f>+CV3457*1100</f>
        <v>0</v>
      </c>
      <c r="CX3457" s="76"/>
      <c r="CY3457" s="76">
        <f>+CX3457*106250</f>
        <v>0</v>
      </c>
      <c r="CZ3457" s="76"/>
      <c r="DA3457" s="76">
        <f>+CZ3457*34500</f>
        <v>0</v>
      </c>
      <c r="DB3457" s="76"/>
      <c r="DC3457" s="76">
        <f>+DB3457*25000</f>
        <v>0</v>
      </c>
      <c r="DD3457" s="219"/>
      <c r="DE3457" s="219"/>
      <c r="DF3457" s="166"/>
      <c r="DG3457" s="116"/>
      <c r="DH3457" s="117"/>
      <c r="DI3457" s="24"/>
      <c r="DJ3457" s="24"/>
      <c r="DK3457" s="24"/>
      <c r="DL3457" s="24"/>
      <c r="DM3457" s="24"/>
      <c r="DN3457" s="24"/>
      <c r="DO3457" s="24"/>
      <c r="DP3457" s="24"/>
      <c r="DQ3457" s="24"/>
      <c r="DR3457" s="24"/>
      <c r="DS3457" s="24"/>
      <c r="DT3457" s="24"/>
      <c r="DU3457" s="24"/>
    </row>
    <row r="3458" spans="1:125" s="8" customFormat="1" ht="36" x14ac:dyDescent="0.2">
      <c r="A3458" s="77">
        <v>41571</v>
      </c>
      <c r="B3458" s="78" t="s">
        <v>2854</v>
      </c>
      <c r="C3458" s="75" t="s">
        <v>491</v>
      </c>
      <c r="D3458" s="75" t="s">
        <v>2882</v>
      </c>
      <c r="E3458" s="75" t="str">
        <f>VLOOKUP(B3458&amp;C3458,Divipola!$C$2:$F$1138,4,FALSE)</f>
        <v>19807</v>
      </c>
      <c r="F3458" s="87"/>
      <c r="G3458" s="87"/>
      <c r="H3458" s="87"/>
      <c r="I3458" s="87">
        <v>80</v>
      </c>
      <c r="J3458" s="87">
        <v>16</v>
      </c>
      <c r="K3458" s="87"/>
      <c r="L3458" s="87">
        <v>16</v>
      </c>
      <c r="M3458" s="87"/>
      <c r="N3458" s="87"/>
      <c r="O3458" s="87"/>
      <c r="P3458" s="87"/>
      <c r="Q3458" s="87"/>
      <c r="R3458" s="87"/>
      <c r="S3458" s="87"/>
      <c r="T3458" s="87"/>
      <c r="U3458" s="88"/>
      <c r="V3458" s="89"/>
      <c r="W3458" s="96">
        <v>0</v>
      </c>
      <c r="X3458" s="71">
        <f>CU3458</f>
        <v>0</v>
      </c>
      <c r="Y3458" s="71">
        <f>CY3458</f>
        <v>0</v>
      </c>
      <c r="Z3458" s="71">
        <f>DA3458+DC3458+DE3458</f>
        <v>0</v>
      </c>
      <c r="AA3458" s="71">
        <f>CW3458</f>
        <v>0</v>
      </c>
      <c r="AB3458" s="71"/>
      <c r="AC3458" s="71">
        <v>0</v>
      </c>
      <c r="AD3458" s="71">
        <f>W3458+X3458+Y3458+Z3458+AA3458+AB3458+AC3458</f>
        <v>0</v>
      </c>
      <c r="AE3458" s="72">
        <v>0</v>
      </c>
      <c r="AF3458" s="5"/>
      <c r="AG3458" s="6"/>
      <c r="AH3458" s="27"/>
      <c r="AI3458" s="44"/>
      <c r="AJ3458" s="26"/>
      <c r="AK3458" s="5"/>
      <c r="AL3458" s="268" t="s">
        <v>6431</v>
      </c>
      <c r="AM3458" s="76"/>
      <c r="AN3458" s="76"/>
      <c r="AO3458" s="76"/>
      <c r="AP3458" s="76"/>
      <c r="AQ3458" s="76"/>
      <c r="AR3458" s="76"/>
      <c r="AS3458" s="76"/>
      <c r="AT3458" s="76"/>
      <c r="AU3458" s="76"/>
      <c r="AV3458" s="76"/>
      <c r="AW3458" s="76"/>
      <c r="AX3458" s="76">
        <f>+AW3458*600000</f>
        <v>0</v>
      </c>
      <c r="AY3458" s="76"/>
      <c r="AZ3458" s="76">
        <f>+AY3458*70000</f>
        <v>0</v>
      </c>
      <c r="BA3458" s="76"/>
      <c r="BB3458" s="76"/>
      <c r="BC3458" s="76"/>
      <c r="BD3458" s="76">
        <f>+BC3458*30000</f>
        <v>0</v>
      </c>
      <c r="BE3458" s="76"/>
      <c r="BF3458" s="76"/>
      <c r="BG3458" s="76"/>
      <c r="BH3458" s="76"/>
      <c r="BI3458" s="76"/>
      <c r="BJ3458" s="76"/>
      <c r="BK3458" s="76"/>
      <c r="BL3458" s="76">
        <f>+BK3458*31500</f>
        <v>0</v>
      </c>
      <c r="BM3458" s="76"/>
      <c r="BN3458" s="76"/>
      <c r="BO3458" s="76"/>
      <c r="BP3458" s="76"/>
      <c r="BQ3458" s="76"/>
      <c r="BR3458" s="76"/>
      <c r="BS3458" s="76"/>
      <c r="BT3458" s="76"/>
      <c r="BU3458" s="76"/>
      <c r="BV3458" s="76"/>
      <c r="BW3458" s="76"/>
      <c r="BX3458" s="76"/>
      <c r="BY3458" s="76"/>
      <c r="BZ3458" s="76"/>
      <c r="CA3458" s="76"/>
      <c r="CB3458" s="76"/>
      <c r="CC3458" s="76"/>
      <c r="CD3458" s="76"/>
      <c r="CE3458" s="76"/>
      <c r="CF3458" s="76">
        <f>+CE3458*28000</f>
        <v>0</v>
      </c>
      <c r="CG3458" s="76"/>
      <c r="CH3458" s="76">
        <f>+CG3458*22500</f>
        <v>0</v>
      </c>
      <c r="CI3458" s="76"/>
      <c r="CJ3458" s="76">
        <f>+CI3458*26000</f>
        <v>0</v>
      </c>
      <c r="CK3458" s="76"/>
      <c r="CL3458" s="76"/>
      <c r="CM3458" s="76"/>
      <c r="CN3458" s="76">
        <f>+CM3458*22000</f>
        <v>0</v>
      </c>
      <c r="CO3458" s="76"/>
      <c r="CP3458" s="76">
        <f>+CO3458*46000</f>
        <v>0</v>
      </c>
      <c r="CQ3458" s="76"/>
      <c r="CR3458" s="76">
        <f>+CQ3458*49000</f>
        <v>0</v>
      </c>
      <c r="CS3458" s="76"/>
      <c r="CT3458" s="76"/>
      <c r="CU3458" s="56">
        <f>AN3458+AP3458+AR3458+AT3458+AV3458+AX3458+AZ3458+BB3458+BD3458+BF3458+BH3458+BJ3458+BL3458+BN3458+BP3458+BR3458+BT3458+BV3458+BX3458+BZ3458+CB3458+CD3458+CF3458+CH3458+CJ3458+CL3458+CN3458+CP3458+CR3458+CT3458</f>
        <v>0</v>
      </c>
      <c r="CV3458" s="76"/>
      <c r="CW3458" s="76">
        <f>+CV3458*1100</f>
        <v>0</v>
      </c>
      <c r="CX3458" s="76"/>
      <c r="CY3458" s="76">
        <f>+CX3458*106250</f>
        <v>0</v>
      </c>
      <c r="CZ3458" s="76"/>
      <c r="DA3458" s="76">
        <f>+CZ3458*34500</f>
        <v>0</v>
      </c>
      <c r="DB3458" s="76"/>
      <c r="DC3458" s="76">
        <f>+DB3458*25000</f>
        <v>0</v>
      </c>
      <c r="DD3458" s="219"/>
      <c r="DE3458" s="219"/>
      <c r="DF3458" s="166"/>
      <c r="DG3458" s="116"/>
      <c r="DH3458" s="117"/>
      <c r="DI3458" s="24"/>
      <c r="DJ3458" s="24"/>
      <c r="DK3458" s="24"/>
      <c r="DL3458" s="24"/>
      <c r="DM3458" s="24"/>
      <c r="DN3458" s="24"/>
      <c r="DO3458" s="24"/>
      <c r="DP3458" s="24"/>
      <c r="DQ3458" s="24"/>
      <c r="DR3458" s="24"/>
      <c r="DS3458" s="24"/>
      <c r="DT3458" s="24"/>
      <c r="DU3458" s="24"/>
    </row>
    <row r="3459" spans="1:125" s="8" customFormat="1" ht="72" x14ac:dyDescent="0.2">
      <c r="A3459" s="353">
        <v>41571</v>
      </c>
      <c r="B3459" s="352" t="s">
        <v>2774</v>
      </c>
      <c r="C3459" s="354" t="s">
        <v>2037</v>
      </c>
      <c r="D3459" s="354" t="s">
        <v>3425</v>
      </c>
      <c r="E3459" s="75" t="str">
        <f>VLOOKUP(B3459&amp;C3459,Divipola!$C$2:$F$1138,4,FALSE)</f>
        <v>66045</v>
      </c>
      <c r="F3459" s="87"/>
      <c r="G3459" s="87"/>
      <c r="H3459" s="87"/>
      <c r="I3459" s="87">
        <v>15</v>
      </c>
      <c r="J3459" s="87">
        <v>3</v>
      </c>
      <c r="K3459" s="87"/>
      <c r="L3459" s="87">
        <v>2</v>
      </c>
      <c r="M3459" s="87"/>
      <c r="N3459" s="87"/>
      <c r="O3459" s="87"/>
      <c r="P3459" s="87"/>
      <c r="Q3459" s="87"/>
      <c r="R3459" s="87"/>
      <c r="S3459" s="87"/>
      <c r="T3459" s="87"/>
      <c r="U3459" s="88"/>
      <c r="V3459" s="89"/>
      <c r="W3459" s="96">
        <v>0</v>
      </c>
      <c r="X3459" s="71">
        <f>CU3459</f>
        <v>0</v>
      </c>
      <c r="Y3459" s="71">
        <f>CY3459</f>
        <v>0</v>
      </c>
      <c r="Z3459" s="71">
        <f>DA3459+DC3459+DE3459</f>
        <v>0</v>
      </c>
      <c r="AA3459" s="71">
        <f>CW3459</f>
        <v>0</v>
      </c>
      <c r="AB3459" s="71"/>
      <c r="AC3459" s="71">
        <v>0</v>
      </c>
      <c r="AD3459" s="71">
        <f>W3459+X3459+Y3459+Z3459+AA3459+AB3459+AC3459</f>
        <v>0</v>
      </c>
      <c r="AE3459" s="72">
        <v>0</v>
      </c>
      <c r="AF3459" s="5"/>
      <c r="AG3459" s="6"/>
      <c r="AH3459" s="27"/>
      <c r="AI3459" s="44"/>
      <c r="AJ3459" s="26"/>
      <c r="AK3459" s="5"/>
      <c r="AL3459" s="82" t="s">
        <v>6434</v>
      </c>
      <c r="AM3459" s="76"/>
      <c r="AN3459" s="76"/>
      <c r="AO3459" s="76"/>
      <c r="AP3459" s="76"/>
      <c r="AQ3459" s="76"/>
      <c r="AR3459" s="76"/>
      <c r="AS3459" s="76"/>
      <c r="AT3459" s="76"/>
      <c r="AU3459" s="76"/>
      <c r="AV3459" s="76"/>
      <c r="AW3459" s="76"/>
      <c r="AX3459" s="76">
        <f>+AW3459*600000</f>
        <v>0</v>
      </c>
      <c r="AY3459" s="76"/>
      <c r="AZ3459" s="76">
        <f>+AY3459*70000</f>
        <v>0</v>
      </c>
      <c r="BA3459" s="76"/>
      <c r="BB3459" s="76"/>
      <c r="BC3459" s="76"/>
      <c r="BD3459" s="76">
        <f>+BC3459*30000</f>
        <v>0</v>
      </c>
      <c r="BE3459" s="76"/>
      <c r="BF3459" s="76"/>
      <c r="BG3459" s="76"/>
      <c r="BH3459" s="76"/>
      <c r="BI3459" s="76"/>
      <c r="BJ3459" s="76"/>
      <c r="BK3459" s="76"/>
      <c r="BL3459" s="76">
        <f>+BK3459*31500</f>
        <v>0</v>
      </c>
      <c r="BM3459" s="76"/>
      <c r="BN3459" s="76"/>
      <c r="BO3459" s="76"/>
      <c r="BP3459" s="76"/>
      <c r="BQ3459" s="76"/>
      <c r="BR3459" s="76"/>
      <c r="BS3459" s="76"/>
      <c r="BT3459" s="76"/>
      <c r="BU3459" s="76"/>
      <c r="BV3459" s="76"/>
      <c r="BW3459" s="76"/>
      <c r="BX3459" s="76"/>
      <c r="BY3459" s="76"/>
      <c r="BZ3459" s="76"/>
      <c r="CA3459" s="76"/>
      <c r="CB3459" s="76"/>
      <c r="CC3459" s="76"/>
      <c r="CD3459" s="76"/>
      <c r="CE3459" s="76"/>
      <c r="CF3459" s="76">
        <f>+CE3459*28000</f>
        <v>0</v>
      </c>
      <c r="CG3459" s="76"/>
      <c r="CH3459" s="76">
        <f>+CG3459*22500</f>
        <v>0</v>
      </c>
      <c r="CI3459" s="76"/>
      <c r="CJ3459" s="76">
        <f>+CI3459*26000</f>
        <v>0</v>
      </c>
      <c r="CK3459" s="76"/>
      <c r="CL3459" s="76"/>
      <c r="CM3459" s="76"/>
      <c r="CN3459" s="76">
        <f>+CM3459*22000</f>
        <v>0</v>
      </c>
      <c r="CO3459" s="76"/>
      <c r="CP3459" s="76">
        <f>+CO3459*46000</f>
        <v>0</v>
      </c>
      <c r="CQ3459" s="76"/>
      <c r="CR3459" s="76">
        <f>+CQ3459*49000</f>
        <v>0</v>
      </c>
      <c r="CS3459" s="76"/>
      <c r="CT3459" s="76"/>
      <c r="CU3459" s="56">
        <f>AN3459+AP3459+AR3459+AT3459+AV3459+AX3459+AZ3459+BB3459+BD3459+BF3459+BH3459+BJ3459+BL3459+BN3459+BP3459+BR3459+BT3459+BV3459+BX3459+BZ3459+CB3459+CD3459+CF3459+CH3459+CJ3459+CL3459+CN3459+CP3459+CR3459+CT3459</f>
        <v>0</v>
      </c>
      <c r="CV3459" s="76"/>
      <c r="CW3459" s="76">
        <f>+CV3459*1100</f>
        <v>0</v>
      </c>
      <c r="CX3459" s="76"/>
      <c r="CY3459" s="76">
        <f>+CX3459*106250</f>
        <v>0</v>
      </c>
      <c r="CZ3459" s="76"/>
      <c r="DA3459" s="76">
        <f>+CZ3459*34500</f>
        <v>0</v>
      </c>
      <c r="DB3459" s="76"/>
      <c r="DC3459" s="76">
        <f>+DB3459*25000</f>
        <v>0</v>
      </c>
      <c r="DD3459" s="219"/>
      <c r="DE3459" s="219"/>
      <c r="DF3459" s="166"/>
      <c r="DG3459" s="116"/>
      <c r="DH3459" s="117"/>
      <c r="DI3459" s="24"/>
      <c r="DJ3459" s="24"/>
      <c r="DK3459" s="24"/>
      <c r="DL3459" s="24"/>
      <c r="DM3459" s="24"/>
      <c r="DN3459" s="24"/>
      <c r="DO3459" s="24"/>
      <c r="DP3459" s="24"/>
      <c r="DQ3459" s="24"/>
      <c r="DR3459" s="24"/>
      <c r="DS3459" s="24"/>
      <c r="DT3459" s="24"/>
      <c r="DU3459" s="24"/>
    </row>
    <row r="3460" spans="1:125" s="8" customFormat="1" ht="60" x14ac:dyDescent="0.2">
      <c r="A3460" s="353">
        <v>41571</v>
      </c>
      <c r="B3460" s="352" t="s">
        <v>2852</v>
      </c>
      <c r="C3460" s="354" t="s">
        <v>1327</v>
      </c>
      <c r="D3460" s="354" t="s">
        <v>3088</v>
      </c>
      <c r="E3460" s="75" t="str">
        <f>VLOOKUP(B3460&amp;C3460,Divipola!$C$2:$F$1138,4,FALSE)</f>
        <v>27001</v>
      </c>
      <c r="F3460" s="87"/>
      <c r="G3460" s="87"/>
      <c r="H3460" s="87"/>
      <c r="I3460" s="87">
        <v>5</v>
      </c>
      <c r="J3460" s="87">
        <v>1</v>
      </c>
      <c r="K3460" s="87">
        <v>1</v>
      </c>
      <c r="L3460" s="87"/>
      <c r="M3460" s="87"/>
      <c r="N3460" s="87"/>
      <c r="O3460" s="87"/>
      <c r="P3460" s="87"/>
      <c r="Q3460" s="87"/>
      <c r="R3460" s="87"/>
      <c r="S3460" s="87"/>
      <c r="T3460" s="87"/>
      <c r="U3460" s="88"/>
      <c r="V3460" s="89"/>
      <c r="W3460" s="96">
        <v>0</v>
      </c>
      <c r="X3460" s="71">
        <f>CU3460</f>
        <v>0</v>
      </c>
      <c r="Y3460" s="71">
        <f>CY3460</f>
        <v>0</v>
      </c>
      <c r="Z3460" s="71">
        <f>DA3460+DC3460+DE3460</f>
        <v>0</v>
      </c>
      <c r="AA3460" s="71">
        <f>CW3460</f>
        <v>0</v>
      </c>
      <c r="AB3460" s="71"/>
      <c r="AC3460" s="71">
        <v>0</v>
      </c>
      <c r="AD3460" s="71">
        <f>W3460+X3460+Y3460+Z3460+AA3460+AB3460+AC3460</f>
        <v>0</v>
      </c>
      <c r="AE3460" s="72">
        <v>0</v>
      </c>
      <c r="AF3460" s="5"/>
      <c r="AG3460" s="6"/>
      <c r="AH3460" s="27"/>
      <c r="AI3460" s="44"/>
      <c r="AJ3460" s="26"/>
      <c r="AK3460" s="5"/>
      <c r="AL3460" s="82" t="s">
        <v>6433</v>
      </c>
      <c r="AM3460" s="76"/>
      <c r="AN3460" s="76"/>
      <c r="AO3460" s="76"/>
      <c r="AP3460" s="76"/>
      <c r="AQ3460" s="76"/>
      <c r="AR3460" s="76"/>
      <c r="AS3460" s="76"/>
      <c r="AT3460" s="76"/>
      <c r="AU3460" s="76"/>
      <c r="AV3460" s="76"/>
      <c r="AW3460" s="76"/>
      <c r="AX3460" s="76">
        <f>+AW3460*600000</f>
        <v>0</v>
      </c>
      <c r="AY3460" s="76"/>
      <c r="AZ3460" s="76">
        <f>+AY3460*70000</f>
        <v>0</v>
      </c>
      <c r="BA3460" s="76"/>
      <c r="BB3460" s="76"/>
      <c r="BC3460" s="76"/>
      <c r="BD3460" s="76">
        <f>+BC3460*30000</f>
        <v>0</v>
      </c>
      <c r="BE3460" s="76"/>
      <c r="BF3460" s="76"/>
      <c r="BG3460" s="76"/>
      <c r="BH3460" s="76"/>
      <c r="BI3460" s="76"/>
      <c r="BJ3460" s="76"/>
      <c r="BK3460" s="76"/>
      <c r="BL3460" s="76">
        <f>+BK3460*31500</f>
        <v>0</v>
      </c>
      <c r="BM3460" s="76"/>
      <c r="BN3460" s="76"/>
      <c r="BO3460" s="76"/>
      <c r="BP3460" s="76"/>
      <c r="BQ3460" s="76"/>
      <c r="BR3460" s="76"/>
      <c r="BS3460" s="76"/>
      <c r="BT3460" s="76"/>
      <c r="BU3460" s="76"/>
      <c r="BV3460" s="76"/>
      <c r="BW3460" s="76"/>
      <c r="BX3460" s="76"/>
      <c r="BY3460" s="76"/>
      <c r="BZ3460" s="76"/>
      <c r="CA3460" s="76"/>
      <c r="CB3460" s="76"/>
      <c r="CC3460" s="76"/>
      <c r="CD3460" s="76"/>
      <c r="CE3460" s="76"/>
      <c r="CF3460" s="76">
        <f>+CE3460*28000</f>
        <v>0</v>
      </c>
      <c r="CG3460" s="76"/>
      <c r="CH3460" s="76">
        <f>+CG3460*22500</f>
        <v>0</v>
      </c>
      <c r="CI3460" s="76"/>
      <c r="CJ3460" s="76">
        <f>+CI3460*26000</f>
        <v>0</v>
      </c>
      <c r="CK3460" s="76"/>
      <c r="CL3460" s="76"/>
      <c r="CM3460" s="76"/>
      <c r="CN3460" s="76">
        <f>+CM3460*22000</f>
        <v>0</v>
      </c>
      <c r="CO3460" s="76"/>
      <c r="CP3460" s="76">
        <f>+CO3460*46000</f>
        <v>0</v>
      </c>
      <c r="CQ3460" s="76"/>
      <c r="CR3460" s="76">
        <f>+CQ3460*49000</f>
        <v>0</v>
      </c>
      <c r="CS3460" s="76"/>
      <c r="CT3460" s="76"/>
      <c r="CU3460" s="56">
        <f>AN3460+AP3460+AR3460+AT3460+AV3460+AX3460+AZ3460+BB3460+BD3460+BF3460+BH3460+BJ3460+BL3460+BN3460+BP3460+BR3460+BT3460+BV3460+BX3460+BZ3460+CB3460+CD3460+CF3460+CH3460+CJ3460+CL3460+CN3460+CP3460+CR3460+CT3460</f>
        <v>0</v>
      </c>
      <c r="CV3460" s="76"/>
      <c r="CW3460" s="76">
        <f>+CV3460*1100</f>
        <v>0</v>
      </c>
      <c r="CX3460" s="76"/>
      <c r="CY3460" s="76">
        <f>+CX3460*106250</f>
        <v>0</v>
      </c>
      <c r="CZ3460" s="76"/>
      <c r="DA3460" s="76">
        <f>+CZ3460*34500</f>
        <v>0</v>
      </c>
      <c r="DB3460" s="76"/>
      <c r="DC3460" s="76">
        <f>+DB3460*25000</f>
        <v>0</v>
      </c>
      <c r="DD3460" s="219"/>
      <c r="DE3460" s="219"/>
      <c r="DF3460" s="166"/>
      <c r="DG3460" s="116"/>
      <c r="DH3460" s="117"/>
      <c r="DI3460" s="24"/>
      <c r="DJ3460" s="24"/>
      <c r="DK3460" s="24"/>
      <c r="DL3460" s="24"/>
      <c r="DM3460" s="24"/>
      <c r="DN3460" s="24"/>
      <c r="DO3460" s="24"/>
      <c r="DP3460" s="24"/>
      <c r="DQ3460" s="24"/>
      <c r="DR3460" s="24"/>
      <c r="DS3460" s="24"/>
      <c r="DT3460" s="24"/>
      <c r="DU3460" s="24"/>
    </row>
    <row r="3461" spans="1:125" s="8" customFormat="1" ht="48" x14ac:dyDescent="0.2">
      <c r="A3461" s="77">
        <v>41571</v>
      </c>
      <c r="B3461" s="78" t="s">
        <v>2854</v>
      </c>
      <c r="C3461" s="75" t="s">
        <v>2216</v>
      </c>
      <c r="D3461" s="75" t="s">
        <v>2882</v>
      </c>
      <c r="E3461" s="75" t="str">
        <f>VLOOKUP(B3461&amp;C3461,Divipola!$C$2:$F$1138,4,FALSE)</f>
        <v>19075</v>
      </c>
      <c r="F3461" s="87"/>
      <c r="G3461" s="87"/>
      <c r="H3461" s="87"/>
      <c r="I3461" s="87">
        <v>315</v>
      </c>
      <c r="J3461" s="87">
        <v>63</v>
      </c>
      <c r="K3461" s="87"/>
      <c r="L3461" s="87">
        <v>63</v>
      </c>
      <c r="M3461" s="87"/>
      <c r="N3461" s="87"/>
      <c r="O3461" s="87"/>
      <c r="P3461" s="87"/>
      <c r="Q3461" s="87"/>
      <c r="R3461" s="87"/>
      <c r="S3461" s="87"/>
      <c r="T3461" s="87"/>
      <c r="U3461" s="88"/>
      <c r="V3461" s="89"/>
      <c r="W3461" s="96">
        <v>0</v>
      </c>
      <c r="X3461" s="71">
        <f>CU3461</f>
        <v>0</v>
      </c>
      <c r="Y3461" s="71">
        <f>CY3461</f>
        <v>0</v>
      </c>
      <c r="Z3461" s="71">
        <f>DA3461+DC3461+DE3461</f>
        <v>0</v>
      </c>
      <c r="AA3461" s="71">
        <f>CW3461</f>
        <v>0</v>
      </c>
      <c r="AB3461" s="71"/>
      <c r="AC3461" s="71">
        <v>0</v>
      </c>
      <c r="AD3461" s="71">
        <f>W3461+X3461+Y3461+Z3461+AA3461+AB3461+AC3461</f>
        <v>0</v>
      </c>
      <c r="AE3461" s="72">
        <v>0</v>
      </c>
      <c r="AF3461" s="5"/>
      <c r="AG3461" s="6"/>
      <c r="AH3461" s="27"/>
      <c r="AI3461" s="44"/>
      <c r="AJ3461" s="26"/>
      <c r="AK3461" s="5"/>
      <c r="AL3461" s="268" t="s">
        <v>6441</v>
      </c>
      <c r="AM3461" s="76"/>
      <c r="AN3461" s="76"/>
      <c r="AO3461" s="76"/>
      <c r="AP3461" s="76"/>
      <c r="AQ3461" s="76"/>
      <c r="AR3461" s="76"/>
      <c r="AS3461" s="76"/>
      <c r="AT3461" s="76"/>
      <c r="AU3461" s="76"/>
      <c r="AV3461" s="76"/>
      <c r="AW3461" s="76"/>
      <c r="AX3461" s="76">
        <f>+AW3461*600000</f>
        <v>0</v>
      </c>
      <c r="AY3461" s="76"/>
      <c r="AZ3461" s="76">
        <f>+AY3461*70000</f>
        <v>0</v>
      </c>
      <c r="BA3461" s="76"/>
      <c r="BB3461" s="76"/>
      <c r="BC3461" s="76"/>
      <c r="BD3461" s="76">
        <f>+BC3461*30000</f>
        <v>0</v>
      </c>
      <c r="BE3461" s="76"/>
      <c r="BF3461" s="76"/>
      <c r="BG3461" s="76"/>
      <c r="BH3461" s="76"/>
      <c r="BI3461" s="76"/>
      <c r="BJ3461" s="76"/>
      <c r="BK3461" s="76"/>
      <c r="BL3461" s="76">
        <f>+BK3461*31500</f>
        <v>0</v>
      </c>
      <c r="BM3461" s="76"/>
      <c r="BN3461" s="76"/>
      <c r="BO3461" s="76"/>
      <c r="BP3461" s="76"/>
      <c r="BQ3461" s="76"/>
      <c r="BR3461" s="76"/>
      <c r="BS3461" s="76"/>
      <c r="BT3461" s="76"/>
      <c r="BU3461" s="76"/>
      <c r="BV3461" s="76"/>
      <c r="BW3461" s="76"/>
      <c r="BX3461" s="76"/>
      <c r="BY3461" s="76"/>
      <c r="BZ3461" s="76"/>
      <c r="CA3461" s="76"/>
      <c r="CB3461" s="76"/>
      <c r="CC3461" s="76"/>
      <c r="CD3461" s="76"/>
      <c r="CE3461" s="76"/>
      <c r="CF3461" s="76">
        <f>+CE3461*28000</f>
        <v>0</v>
      </c>
      <c r="CG3461" s="76"/>
      <c r="CH3461" s="76">
        <f>+CG3461*22500</f>
        <v>0</v>
      </c>
      <c r="CI3461" s="76"/>
      <c r="CJ3461" s="76">
        <f>+CI3461*26000</f>
        <v>0</v>
      </c>
      <c r="CK3461" s="76"/>
      <c r="CL3461" s="76"/>
      <c r="CM3461" s="76"/>
      <c r="CN3461" s="76">
        <f>+CM3461*22000</f>
        <v>0</v>
      </c>
      <c r="CO3461" s="76"/>
      <c r="CP3461" s="76">
        <f>+CO3461*46000</f>
        <v>0</v>
      </c>
      <c r="CQ3461" s="76"/>
      <c r="CR3461" s="76">
        <f>+CQ3461*49000</f>
        <v>0</v>
      </c>
      <c r="CS3461" s="76"/>
      <c r="CT3461" s="76"/>
      <c r="CU3461" s="56">
        <f>AN3461+AP3461+AR3461+AT3461+AV3461+AX3461+AZ3461+BB3461+BD3461+BF3461+BH3461+BJ3461+BL3461+BN3461+BP3461+BR3461+BT3461+BV3461+BX3461+BZ3461+CB3461+CD3461+CF3461+CH3461+CJ3461+CL3461+CN3461+CP3461+CR3461+CT3461</f>
        <v>0</v>
      </c>
      <c r="CV3461" s="76"/>
      <c r="CW3461" s="76">
        <f>+CV3461*1100</f>
        <v>0</v>
      </c>
      <c r="CX3461" s="76"/>
      <c r="CY3461" s="76">
        <f>+CX3461*106250</f>
        <v>0</v>
      </c>
      <c r="CZ3461" s="76"/>
      <c r="DA3461" s="76">
        <f>+CZ3461*34500</f>
        <v>0</v>
      </c>
      <c r="DB3461" s="76"/>
      <c r="DC3461" s="76">
        <f>+DB3461*25000</f>
        <v>0</v>
      </c>
      <c r="DD3461" s="219"/>
      <c r="DE3461" s="219"/>
      <c r="DF3461" s="166"/>
      <c r="DG3461" s="116"/>
      <c r="DH3461" s="117"/>
      <c r="DI3461" s="24"/>
      <c r="DJ3461" s="24"/>
      <c r="DK3461" s="24"/>
      <c r="DL3461" s="24"/>
      <c r="DM3461" s="24"/>
      <c r="DN3461" s="24"/>
      <c r="DO3461" s="24"/>
      <c r="DP3461" s="24"/>
      <c r="DQ3461" s="24"/>
      <c r="DR3461" s="24"/>
      <c r="DS3461" s="24"/>
      <c r="DT3461" s="24"/>
      <c r="DU3461" s="24"/>
    </row>
    <row r="3462" spans="1:125" s="8" customFormat="1" ht="180" x14ac:dyDescent="0.2">
      <c r="A3462" s="77">
        <v>41571</v>
      </c>
      <c r="B3462" s="78" t="s">
        <v>2894</v>
      </c>
      <c r="C3462" s="75" t="s">
        <v>2780</v>
      </c>
      <c r="D3462" s="75" t="s">
        <v>4391</v>
      </c>
      <c r="E3462" s="75" t="str">
        <f>VLOOKUP(B3462&amp;C3462,Divipola!$C$2:$F$1138,4,FALSE)</f>
        <v>05031</v>
      </c>
      <c r="F3462" s="87">
        <v>2</v>
      </c>
      <c r="G3462" s="87"/>
      <c r="H3462" s="87"/>
      <c r="I3462" s="87"/>
      <c r="J3462" s="87"/>
      <c r="K3462" s="87"/>
      <c r="L3462" s="87"/>
      <c r="M3462" s="87"/>
      <c r="N3462" s="87"/>
      <c r="O3462" s="87"/>
      <c r="P3462" s="87"/>
      <c r="Q3462" s="87"/>
      <c r="R3462" s="87"/>
      <c r="S3462" s="87"/>
      <c r="T3462" s="87"/>
      <c r="U3462" s="88"/>
      <c r="V3462" s="89"/>
      <c r="W3462" s="96">
        <v>0</v>
      </c>
      <c r="X3462" s="71">
        <f>CU3462</f>
        <v>0</v>
      </c>
      <c r="Y3462" s="71">
        <f>CY3462</f>
        <v>0</v>
      </c>
      <c r="Z3462" s="71">
        <f>DA3462+DC3462+DE3462</f>
        <v>0</v>
      </c>
      <c r="AA3462" s="71">
        <f>CW3462</f>
        <v>0</v>
      </c>
      <c r="AB3462" s="71"/>
      <c r="AC3462" s="71">
        <v>0</v>
      </c>
      <c r="AD3462" s="71">
        <f>W3462+X3462+Y3462+Z3462+AA3462+AB3462+AC3462</f>
        <v>0</v>
      </c>
      <c r="AE3462" s="72">
        <v>0</v>
      </c>
      <c r="AF3462" s="5"/>
      <c r="AG3462" s="6"/>
      <c r="AH3462" s="27"/>
      <c r="AI3462" s="44"/>
      <c r="AJ3462" s="26"/>
      <c r="AK3462" s="5"/>
      <c r="AL3462" s="326" t="s">
        <v>6450</v>
      </c>
      <c r="AM3462" s="76"/>
      <c r="AN3462" s="76"/>
      <c r="AO3462" s="76"/>
      <c r="AP3462" s="76"/>
      <c r="AQ3462" s="76"/>
      <c r="AR3462" s="76"/>
      <c r="AS3462" s="76"/>
      <c r="AT3462" s="76"/>
      <c r="AU3462" s="76"/>
      <c r="AV3462" s="76"/>
      <c r="AW3462" s="76"/>
      <c r="AX3462" s="76">
        <f>+AW3462*600000</f>
        <v>0</v>
      </c>
      <c r="AY3462" s="76"/>
      <c r="AZ3462" s="76">
        <f>+AY3462*70000</f>
        <v>0</v>
      </c>
      <c r="BA3462" s="76"/>
      <c r="BB3462" s="76"/>
      <c r="BC3462" s="76"/>
      <c r="BD3462" s="76">
        <f>+BC3462*30000</f>
        <v>0</v>
      </c>
      <c r="BE3462" s="76"/>
      <c r="BF3462" s="76"/>
      <c r="BG3462" s="76"/>
      <c r="BH3462" s="76"/>
      <c r="BI3462" s="76"/>
      <c r="BJ3462" s="76"/>
      <c r="BK3462" s="76"/>
      <c r="BL3462" s="76">
        <f>+BK3462*31500</f>
        <v>0</v>
      </c>
      <c r="BM3462" s="76"/>
      <c r="BN3462" s="76"/>
      <c r="BO3462" s="76"/>
      <c r="BP3462" s="76"/>
      <c r="BQ3462" s="76"/>
      <c r="BR3462" s="76"/>
      <c r="BS3462" s="76"/>
      <c r="BT3462" s="76"/>
      <c r="BU3462" s="76"/>
      <c r="BV3462" s="76"/>
      <c r="BW3462" s="76"/>
      <c r="BX3462" s="76"/>
      <c r="BY3462" s="76"/>
      <c r="BZ3462" s="76"/>
      <c r="CA3462" s="76"/>
      <c r="CB3462" s="76"/>
      <c r="CC3462" s="76"/>
      <c r="CD3462" s="76"/>
      <c r="CE3462" s="76"/>
      <c r="CF3462" s="76">
        <f>+CE3462*28000</f>
        <v>0</v>
      </c>
      <c r="CG3462" s="76"/>
      <c r="CH3462" s="76">
        <f>+CG3462*22500</f>
        <v>0</v>
      </c>
      <c r="CI3462" s="76"/>
      <c r="CJ3462" s="76">
        <f>+CI3462*26000</f>
        <v>0</v>
      </c>
      <c r="CK3462" s="76"/>
      <c r="CL3462" s="76"/>
      <c r="CM3462" s="76"/>
      <c r="CN3462" s="76">
        <f>+CM3462*22000</f>
        <v>0</v>
      </c>
      <c r="CO3462" s="76"/>
      <c r="CP3462" s="76">
        <f>+CO3462*46000</f>
        <v>0</v>
      </c>
      <c r="CQ3462" s="76"/>
      <c r="CR3462" s="76">
        <f>+CQ3462*49000</f>
        <v>0</v>
      </c>
      <c r="CS3462" s="76"/>
      <c r="CT3462" s="76"/>
      <c r="CU3462" s="56">
        <f>AN3462+AP3462+AR3462+AT3462+AV3462+AX3462+AZ3462+BB3462+BD3462+BF3462+BH3462+BJ3462+BL3462+BN3462+BP3462+BR3462+BT3462+BV3462+BX3462+BZ3462+CB3462+CD3462+CF3462+CH3462+CJ3462+CL3462+CN3462+CP3462+CR3462+CT3462</f>
        <v>0</v>
      </c>
      <c r="CV3462" s="76"/>
      <c r="CW3462" s="76">
        <f>+CV3462*1100</f>
        <v>0</v>
      </c>
      <c r="CX3462" s="76"/>
      <c r="CY3462" s="76">
        <f>+CX3462*106250</f>
        <v>0</v>
      </c>
      <c r="CZ3462" s="76"/>
      <c r="DA3462" s="76">
        <f>+CZ3462*34500</f>
        <v>0</v>
      </c>
      <c r="DB3462" s="76"/>
      <c r="DC3462" s="76">
        <f>+DB3462*25000</f>
        <v>0</v>
      </c>
      <c r="DD3462" s="219"/>
      <c r="DE3462" s="219"/>
      <c r="DF3462" s="166"/>
      <c r="DG3462" s="116"/>
      <c r="DH3462" s="117"/>
      <c r="DI3462" s="24"/>
      <c r="DJ3462" s="24"/>
      <c r="DK3462" s="24"/>
      <c r="DL3462" s="24"/>
      <c r="DM3462" s="24"/>
      <c r="DN3462" s="24"/>
      <c r="DO3462" s="24"/>
      <c r="DP3462" s="24"/>
      <c r="DQ3462" s="24"/>
      <c r="DR3462" s="24"/>
      <c r="DS3462" s="24"/>
      <c r="DT3462" s="24"/>
      <c r="DU3462" s="24"/>
    </row>
    <row r="3463" spans="1:125" s="8" customFormat="1" ht="120" x14ac:dyDescent="0.2">
      <c r="A3463" s="77">
        <v>41572</v>
      </c>
      <c r="B3463" s="78" t="s">
        <v>2847</v>
      </c>
      <c r="C3463" s="75" t="s">
        <v>2673</v>
      </c>
      <c r="D3463" s="75" t="s">
        <v>2859</v>
      </c>
      <c r="E3463" s="75" t="str">
        <f>VLOOKUP(B3463&amp;C3463,Divipola!$C$2:$F$1138,4,FALSE)</f>
        <v>68001</v>
      </c>
      <c r="F3463" s="87"/>
      <c r="G3463" s="87"/>
      <c r="H3463" s="87"/>
      <c r="I3463" s="87">
        <v>5</v>
      </c>
      <c r="J3463" s="87">
        <v>1</v>
      </c>
      <c r="K3463" s="87"/>
      <c r="L3463" s="87">
        <v>1</v>
      </c>
      <c r="M3463" s="87"/>
      <c r="N3463" s="87"/>
      <c r="O3463" s="87"/>
      <c r="P3463" s="87"/>
      <c r="Q3463" s="87"/>
      <c r="R3463" s="87"/>
      <c r="S3463" s="87"/>
      <c r="T3463" s="87"/>
      <c r="U3463" s="88"/>
      <c r="V3463" s="89"/>
      <c r="W3463" s="96">
        <v>0</v>
      </c>
      <c r="X3463" s="71">
        <f>CU3463</f>
        <v>0</v>
      </c>
      <c r="Y3463" s="71">
        <f>CY3463</f>
        <v>0</v>
      </c>
      <c r="Z3463" s="71">
        <f>DA3463+DC3463+DE3463</f>
        <v>0</v>
      </c>
      <c r="AA3463" s="71">
        <f>CW3463</f>
        <v>0</v>
      </c>
      <c r="AB3463" s="71"/>
      <c r="AC3463" s="71">
        <v>0</v>
      </c>
      <c r="AD3463" s="71">
        <f>W3463+X3463+Y3463+Z3463+AA3463+AB3463+AC3463</f>
        <v>0</v>
      </c>
      <c r="AE3463" s="72">
        <v>0</v>
      </c>
      <c r="AF3463" s="5"/>
      <c r="AG3463" s="6"/>
      <c r="AH3463" s="27"/>
      <c r="AI3463" s="44"/>
      <c r="AJ3463" s="26"/>
      <c r="AK3463" s="5"/>
      <c r="AL3463" s="268" t="s">
        <v>6424</v>
      </c>
      <c r="AM3463" s="76"/>
      <c r="AN3463" s="76"/>
      <c r="AO3463" s="76"/>
      <c r="AP3463" s="76"/>
      <c r="AQ3463" s="76"/>
      <c r="AR3463" s="76"/>
      <c r="AS3463" s="76"/>
      <c r="AT3463" s="76"/>
      <c r="AU3463" s="76"/>
      <c r="AV3463" s="76"/>
      <c r="AW3463" s="76"/>
      <c r="AX3463" s="76">
        <f>+AW3463*600000</f>
        <v>0</v>
      </c>
      <c r="AY3463" s="76"/>
      <c r="AZ3463" s="76">
        <f>+AY3463*70000</f>
        <v>0</v>
      </c>
      <c r="BA3463" s="76"/>
      <c r="BB3463" s="76"/>
      <c r="BC3463" s="76"/>
      <c r="BD3463" s="76">
        <f>+BC3463*30000</f>
        <v>0</v>
      </c>
      <c r="BE3463" s="76"/>
      <c r="BF3463" s="76"/>
      <c r="BG3463" s="76"/>
      <c r="BH3463" s="76"/>
      <c r="BI3463" s="76"/>
      <c r="BJ3463" s="76"/>
      <c r="BK3463" s="76"/>
      <c r="BL3463" s="76">
        <f>+BK3463*31500</f>
        <v>0</v>
      </c>
      <c r="BM3463" s="76"/>
      <c r="BN3463" s="76"/>
      <c r="BO3463" s="76"/>
      <c r="BP3463" s="76"/>
      <c r="BQ3463" s="76"/>
      <c r="BR3463" s="76"/>
      <c r="BS3463" s="76"/>
      <c r="BT3463" s="76"/>
      <c r="BU3463" s="76"/>
      <c r="BV3463" s="76"/>
      <c r="BW3463" s="76"/>
      <c r="BX3463" s="76"/>
      <c r="BY3463" s="76"/>
      <c r="BZ3463" s="76"/>
      <c r="CA3463" s="76"/>
      <c r="CB3463" s="76"/>
      <c r="CC3463" s="76"/>
      <c r="CD3463" s="76"/>
      <c r="CE3463" s="76"/>
      <c r="CF3463" s="76">
        <f>+CE3463*28000</f>
        <v>0</v>
      </c>
      <c r="CG3463" s="76"/>
      <c r="CH3463" s="76">
        <f>+CG3463*22500</f>
        <v>0</v>
      </c>
      <c r="CI3463" s="76"/>
      <c r="CJ3463" s="76">
        <f>+CI3463*26000</f>
        <v>0</v>
      </c>
      <c r="CK3463" s="76"/>
      <c r="CL3463" s="76"/>
      <c r="CM3463" s="76"/>
      <c r="CN3463" s="76">
        <f>+CM3463*22000</f>
        <v>0</v>
      </c>
      <c r="CO3463" s="76"/>
      <c r="CP3463" s="76">
        <f>+CO3463*46000</f>
        <v>0</v>
      </c>
      <c r="CQ3463" s="76"/>
      <c r="CR3463" s="76">
        <f>+CQ3463*49000</f>
        <v>0</v>
      </c>
      <c r="CS3463" s="76"/>
      <c r="CT3463" s="76"/>
      <c r="CU3463" s="56">
        <f>AN3463+AP3463+AR3463+AT3463+AV3463+AX3463+AZ3463+BB3463+BD3463+BF3463+BH3463+BJ3463+BL3463+BN3463+BP3463+BR3463+BT3463+BV3463+BX3463+BZ3463+CB3463+CD3463+CF3463+CH3463+CJ3463+CL3463+CN3463+CP3463+CR3463+CT3463</f>
        <v>0</v>
      </c>
      <c r="CV3463" s="76"/>
      <c r="CW3463" s="76">
        <f>+CV3463*1100</f>
        <v>0</v>
      </c>
      <c r="CX3463" s="76"/>
      <c r="CY3463" s="76">
        <f>+CX3463*106250</f>
        <v>0</v>
      </c>
      <c r="CZ3463" s="76"/>
      <c r="DA3463" s="76">
        <f>+CZ3463*34500</f>
        <v>0</v>
      </c>
      <c r="DB3463" s="76"/>
      <c r="DC3463" s="76">
        <f>+DB3463*25000</f>
        <v>0</v>
      </c>
      <c r="DD3463" s="219"/>
      <c r="DE3463" s="219"/>
      <c r="DF3463" s="166"/>
      <c r="DG3463" s="116"/>
      <c r="DH3463" s="117"/>
      <c r="DI3463" s="24"/>
      <c r="DJ3463" s="24"/>
      <c r="DK3463" s="24"/>
      <c r="DL3463" s="24"/>
      <c r="DM3463" s="24"/>
      <c r="DN3463" s="24"/>
      <c r="DO3463" s="24"/>
      <c r="DP3463" s="24"/>
      <c r="DQ3463" s="24"/>
      <c r="DR3463" s="24"/>
      <c r="DS3463" s="24"/>
      <c r="DT3463" s="24"/>
      <c r="DU3463" s="24"/>
    </row>
    <row r="3464" spans="1:125" s="8" customFormat="1" ht="120" x14ac:dyDescent="0.2">
      <c r="A3464" s="77">
        <v>41572</v>
      </c>
      <c r="B3464" s="203" t="s">
        <v>2772</v>
      </c>
      <c r="C3464" s="203" t="s">
        <v>2132</v>
      </c>
      <c r="D3464" s="75" t="s">
        <v>2846</v>
      </c>
      <c r="E3464" s="75" t="str">
        <f>VLOOKUP(B3464&amp;C3464,Divipola!$C$2:$F$1138,4,FALSE)</f>
        <v>25740</v>
      </c>
      <c r="F3464" s="89"/>
      <c r="G3464" s="89"/>
      <c r="H3464" s="89"/>
      <c r="I3464" s="89"/>
      <c r="J3464" s="89"/>
      <c r="K3464" s="89"/>
      <c r="L3464" s="89"/>
      <c r="M3464" s="89"/>
      <c r="N3464" s="89"/>
      <c r="O3464" s="89"/>
      <c r="P3464" s="89"/>
      <c r="Q3464" s="89"/>
      <c r="R3464" s="89"/>
      <c r="S3464" s="89"/>
      <c r="T3464" s="89"/>
      <c r="U3464" s="89">
        <v>7</v>
      </c>
      <c r="V3464" s="89"/>
      <c r="W3464" s="96">
        <v>0</v>
      </c>
      <c r="X3464" s="71">
        <f>CU3464</f>
        <v>0</v>
      </c>
      <c r="Y3464" s="71">
        <f>CY3464</f>
        <v>0</v>
      </c>
      <c r="Z3464" s="71">
        <f>DA3464+DC3464+DE3464</f>
        <v>0</v>
      </c>
      <c r="AA3464" s="71">
        <f>CW3464</f>
        <v>0</v>
      </c>
      <c r="AB3464" s="71"/>
      <c r="AC3464" s="71">
        <v>0</v>
      </c>
      <c r="AD3464" s="71">
        <f>W3464+X3464+Y3464+Z3464+AA3464+AB3464+AC3464</f>
        <v>0</v>
      </c>
      <c r="AE3464" s="72">
        <v>0</v>
      </c>
      <c r="AF3464" s="5"/>
      <c r="AG3464" s="6"/>
      <c r="AH3464" s="27"/>
      <c r="AI3464" s="44"/>
      <c r="AJ3464" s="26"/>
      <c r="AK3464" s="5"/>
      <c r="AL3464" s="365" t="s">
        <v>6440</v>
      </c>
      <c r="AM3464" s="76"/>
      <c r="AN3464" s="76"/>
      <c r="AO3464" s="76"/>
      <c r="AP3464" s="76"/>
      <c r="AQ3464" s="76"/>
      <c r="AR3464" s="76"/>
      <c r="AS3464" s="76"/>
      <c r="AT3464" s="76"/>
      <c r="AU3464" s="76"/>
      <c r="AV3464" s="76"/>
      <c r="AW3464" s="76"/>
      <c r="AX3464" s="76">
        <f>+AW3464*600000</f>
        <v>0</v>
      </c>
      <c r="AY3464" s="76"/>
      <c r="AZ3464" s="76">
        <f>+AY3464*70000</f>
        <v>0</v>
      </c>
      <c r="BA3464" s="76"/>
      <c r="BB3464" s="76"/>
      <c r="BC3464" s="76"/>
      <c r="BD3464" s="76">
        <f>+BC3464*30000</f>
        <v>0</v>
      </c>
      <c r="BE3464" s="76"/>
      <c r="BF3464" s="76"/>
      <c r="BG3464" s="76"/>
      <c r="BH3464" s="76"/>
      <c r="BI3464" s="76"/>
      <c r="BJ3464" s="76"/>
      <c r="BK3464" s="76"/>
      <c r="BL3464" s="76">
        <f>+BK3464*31500</f>
        <v>0</v>
      </c>
      <c r="BM3464" s="76"/>
      <c r="BN3464" s="76"/>
      <c r="BO3464" s="76"/>
      <c r="BP3464" s="76"/>
      <c r="BQ3464" s="76"/>
      <c r="BR3464" s="76"/>
      <c r="BS3464" s="76"/>
      <c r="BT3464" s="76"/>
      <c r="BU3464" s="76"/>
      <c r="BV3464" s="76"/>
      <c r="BW3464" s="76"/>
      <c r="BX3464" s="76"/>
      <c r="BY3464" s="76"/>
      <c r="BZ3464" s="76"/>
      <c r="CA3464" s="76"/>
      <c r="CB3464" s="76"/>
      <c r="CC3464" s="76"/>
      <c r="CD3464" s="76"/>
      <c r="CE3464" s="76"/>
      <c r="CF3464" s="76">
        <f>+CE3464*28000</f>
        <v>0</v>
      </c>
      <c r="CG3464" s="76"/>
      <c r="CH3464" s="76">
        <f>+CG3464*22500</f>
        <v>0</v>
      </c>
      <c r="CI3464" s="76"/>
      <c r="CJ3464" s="76">
        <f>+CI3464*26000</f>
        <v>0</v>
      </c>
      <c r="CK3464" s="76"/>
      <c r="CL3464" s="76"/>
      <c r="CM3464" s="76"/>
      <c r="CN3464" s="76">
        <f>+CM3464*22000</f>
        <v>0</v>
      </c>
      <c r="CO3464" s="76"/>
      <c r="CP3464" s="76">
        <f>+CO3464*46000</f>
        <v>0</v>
      </c>
      <c r="CQ3464" s="76"/>
      <c r="CR3464" s="76">
        <f>+CQ3464*49000</f>
        <v>0</v>
      </c>
      <c r="CS3464" s="76"/>
      <c r="CT3464" s="76"/>
      <c r="CU3464" s="56">
        <f>AN3464+AP3464+AR3464+AT3464+AV3464+AX3464+AZ3464+BB3464+BD3464+BF3464+BH3464+BJ3464+BL3464+BN3464+BP3464+BR3464+BT3464+BV3464+BX3464+BZ3464+CB3464+CD3464+CF3464+CH3464+CJ3464+CL3464+CN3464+CP3464+CR3464+CT3464</f>
        <v>0</v>
      </c>
      <c r="CV3464" s="76"/>
      <c r="CW3464" s="76">
        <f>+CV3464*1100</f>
        <v>0</v>
      </c>
      <c r="CX3464" s="76"/>
      <c r="CY3464" s="76">
        <f>+CX3464*106250</f>
        <v>0</v>
      </c>
      <c r="CZ3464" s="76"/>
      <c r="DA3464" s="76">
        <f>+CZ3464*34500</f>
        <v>0</v>
      </c>
      <c r="DB3464" s="76"/>
      <c r="DC3464" s="76">
        <f>+DB3464*25000</f>
        <v>0</v>
      </c>
      <c r="DD3464" s="219"/>
      <c r="DE3464" s="219"/>
      <c r="DF3464" s="166"/>
      <c r="DG3464" s="116"/>
      <c r="DH3464" s="117"/>
      <c r="DI3464" s="24"/>
      <c r="DJ3464" s="24"/>
      <c r="DK3464" s="24"/>
      <c r="DL3464" s="24"/>
      <c r="DM3464" s="24"/>
      <c r="DN3464" s="24"/>
      <c r="DO3464" s="24"/>
      <c r="DP3464" s="24"/>
      <c r="DQ3464" s="24"/>
      <c r="DR3464" s="24"/>
      <c r="DS3464" s="24"/>
      <c r="DT3464" s="24"/>
      <c r="DU3464" s="24"/>
    </row>
    <row r="3465" spans="1:125" s="8" customFormat="1" ht="36" x14ac:dyDescent="0.2">
      <c r="A3465" s="353">
        <v>41572</v>
      </c>
      <c r="B3465" s="352" t="s">
        <v>2774</v>
      </c>
      <c r="C3465" s="354" t="s">
        <v>2069</v>
      </c>
      <c r="D3465" s="354" t="s">
        <v>2859</v>
      </c>
      <c r="E3465" s="75" t="str">
        <f>VLOOKUP(B3465&amp;C3465,Divipola!$C$2:$F$1138,4,FALSE)</f>
        <v>66088</v>
      </c>
      <c r="F3465" s="87"/>
      <c r="G3465" s="87"/>
      <c r="H3465" s="87"/>
      <c r="I3465" s="87">
        <v>10</v>
      </c>
      <c r="J3465" s="87">
        <v>2</v>
      </c>
      <c r="K3465" s="87"/>
      <c r="L3465" s="87">
        <v>2</v>
      </c>
      <c r="M3465" s="87"/>
      <c r="N3465" s="87"/>
      <c r="O3465" s="87"/>
      <c r="P3465" s="87"/>
      <c r="Q3465" s="87"/>
      <c r="R3465" s="87"/>
      <c r="S3465" s="87"/>
      <c r="T3465" s="87"/>
      <c r="U3465" s="88"/>
      <c r="V3465" s="89">
        <v>1</v>
      </c>
      <c r="W3465" s="96">
        <v>0</v>
      </c>
      <c r="X3465" s="71">
        <f>CU3465</f>
        <v>0</v>
      </c>
      <c r="Y3465" s="71">
        <f>CY3465</f>
        <v>0</v>
      </c>
      <c r="Z3465" s="71">
        <f>DA3465+DC3465+DE3465</f>
        <v>0</v>
      </c>
      <c r="AA3465" s="71">
        <f>CW3465</f>
        <v>0</v>
      </c>
      <c r="AB3465" s="71"/>
      <c r="AC3465" s="71">
        <v>0</v>
      </c>
      <c r="AD3465" s="71">
        <f>W3465+X3465+Y3465+Z3465+AA3465+AB3465+AC3465</f>
        <v>0</v>
      </c>
      <c r="AE3465" s="72">
        <v>0</v>
      </c>
      <c r="AF3465" s="5"/>
      <c r="AG3465" s="6"/>
      <c r="AH3465" s="27"/>
      <c r="AI3465" s="44"/>
      <c r="AJ3465" s="26"/>
      <c r="AK3465" s="5"/>
      <c r="AL3465" s="82" t="s">
        <v>6432</v>
      </c>
      <c r="AM3465" s="76"/>
      <c r="AN3465" s="76"/>
      <c r="AO3465" s="76"/>
      <c r="AP3465" s="76"/>
      <c r="AQ3465" s="76"/>
      <c r="AR3465" s="76"/>
      <c r="AS3465" s="76"/>
      <c r="AT3465" s="76"/>
      <c r="AU3465" s="76"/>
      <c r="AV3465" s="76"/>
      <c r="AW3465" s="76"/>
      <c r="AX3465" s="76">
        <f>+AW3465*600000</f>
        <v>0</v>
      </c>
      <c r="AY3465" s="76"/>
      <c r="AZ3465" s="76">
        <f>+AY3465*70000</f>
        <v>0</v>
      </c>
      <c r="BA3465" s="76"/>
      <c r="BB3465" s="76"/>
      <c r="BC3465" s="76"/>
      <c r="BD3465" s="76">
        <f>+BC3465*30000</f>
        <v>0</v>
      </c>
      <c r="BE3465" s="76"/>
      <c r="BF3465" s="76"/>
      <c r="BG3465" s="76"/>
      <c r="BH3465" s="76"/>
      <c r="BI3465" s="76"/>
      <c r="BJ3465" s="76"/>
      <c r="BK3465" s="76"/>
      <c r="BL3465" s="76">
        <f>+BK3465*31500</f>
        <v>0</v>
      </c>
      <c r="BM3465" s="76"/>
      <c r="BN3465" s="76"/>
      <c r="BO3465" s="76"/>
      <c r="BP3465" s="76"/>
      <c r="BQ3465" s="76"/>
      <c r="BR3465" s="76"/>
      <c r="BS3465" s="76"/>
      <c r="BT3465" s="76"/>
      <c r="BU3465" s="76"/>
      <c r="BV3465" s="76"/>
      <c r="BW3465" s="76"/>
      <c r="BX3465" s="76"/>
      <c r="BY3465" s="76"/>
      <c r="BZ3465" s="76"/>
      <c r="CA3465" s="76"/>
      <c r="CB3465" s="76"/>
      <c r="CC3465" s="76"/>
      <c r="CD3465" s="76"/>
      <c r="CE3465" s="76"/>
      <c r="CF3465" s="76">
        <f>+CE3465*28000</f>
        <v>0</v>
      </c>
      <c r="CG3465" s="76"/>
      <c r="CH3465" s="76">
        <f>+CG3465*22500</f>
        <v>0</v>
      </c>
      <c r="CI3465" s="76"/>
      <c r="CJ3465" s="76">
        <f>+CI3465*26000</f>
        <v>0</v>
      </c>
      <c r="CK3465" s="76"/>
      <c r="CL3465" s="76"/>
      <c r="CM3465" s="76"/>
      <c r="CN3465" s="76">
        <f>+CM3465*22000</f>
        <v>0</v>
      </c>
      <c r="CO3465" s="76"/>
      <c r="CP3465" s="76">
        <f>+CO3465*46000</f>
        <v>0</v>
      </c>
      <c r="CQ3465" s="76"/>
      <c r="CR3465" s="76">
        <f>+CQ3465*49000</f>
        <v>0</v>
      </c>
      <c r="CS3465" s="76"/>
      <c r="CT3465" s="76"/>
      <c r="CU3465" s="56">
        <f>AN3465+AP3465+AR3465+AT3465+AV3465+AX3465+AZ3465+BB3465+BD3465+BF3465+BH3465+BJ3465+BL3465+BN3465+BP3465+BR3465+BT3465+BV3465+BX3465+BZ3465+CB3465+CD3465+CF3465+CH3465+CJ3465+CL3465+CN3465+CP3465+CR3465+CT3465</f>
        <v>0</v>
      </c>
      <c r="CV3465" s="76"/>
      <c r="CW3465" s="76">
        <f>+CV3465*1100</f>
        <v>0</v>
      </c>
      <c r="CX3465" s="76"/>
      <c r="CY3465" s="76">
        <f>+CX3465*106250</f>
        <v>0</v>
      </c>
      <c r="CZ3465" s="76"/>
      <c r="DA3465" s="76">
        <f>+CZ3465*34500</f>
        <v>0</v>
      </c>
      <c r="DB3465" s="76"/>
      <c r="DC3465" s="76">
        <f>+DB3465*25000</f>
        <v>0</v>
      </c>
      <c r="DD3465" s="219"/>
      <c r="DE3465" s="219"/>
      <c r="DF3465" s="166"/>
      <c r="DG3465" s="116"/>
      <c r="DH3465" s="117"/>
      <c r="DI3465" s="24"/>
      <c r="DJ3465" s="24"/>
      <c r="DK3465" s="24"/>
      <c r="DL3465" s="24"/>
      <c r="DM3465" s="24"/>
      <c r="DN3465" s="24"/>
      <c r="DO3465" s="24"/>
      <c r="DP3465" s="24"/>
      <c r="DQ3465" s="24"/>
      <c r="DR3465" s="24"/>
      <c r="DS3465" s="24"/>
      <c r="DT3465" s="24"/>
      <c r="DU3465" s="24"/>
    </row>
    <row r="3466" spans="1:125" s="8" customFormat="1" ht="72" x14ac:dyDescent="0.2">
      <c r="A3466" s="77">
        <v>41572</v>
      </c>
      <c r="B3466" s="78" t="s">
        <v>2700</v>
      </c>
      <c r="C3466" s="75" t="s">
        <v>1564</v>
      </c>
      <c r="D3466" s="75" t="s">
        <v>2846</v>
      </c>
      <c r="E3466" s="75" t="str">
        <f>VLOOKUP(B3466&amp;C3466,Divipola!$C$2:$F$1138,4,FALSE)</f>
        <v>15047</v>
      </c>
      <c r="F3466" s="87"/>
      <c r="G3466" s="87"/>
      <c r="H3466" s="87"/>
      <c r="I3466" s="87"/>
      <c r="J3466" s="87"/>
      <c r="K3466" s="87"/>
      <c r="L3466" s="87"/>
      <c r="M3466" s="87"/>
      <c r="N3466" s="87"/>
      <c r="O3466" s="87"/>
      <c r="P3466" s="87"/>
      <c r="Q3466" s="87"/>
      <c r="R3466" s="87"/>
      <c r="S3466" s="87"/>
      <c r="T3466" s="87"/>
      <c r="U3466" s="88">
        <v>2</v>
      </c>
      <c r="V3466" s="89"/>
      <c r="W3466" s="96">
        <v>0</v>
      </c>
      <c r="X3466" s="71">
        <f>CU3466</f>
        <v>0</v>
      </c>
      <c r="Y3466" s="71">
        <f>CY3466</f>
        <v>0</v>
      </c>
      <c r="Z3466" s="71">
        <f>DA3466+DC3466+DE3466</f>
        <v>0</v>
      </c>
      <c r="AA3466" s="71">
        <f>CW3466</f>
        <v>0</v>
      </c>
      <c r="AB3466" s="71"/>
      <c r="AC3466" s="71">
        <v>0</v>
      </c>
      <c r="AD3466" s="71">
        <f>W3466+X3466+Y3466+Z3466+AA3466+AB3466+AC3466</f>
        <v>0</v>
      </c>
      <c r="AE3466" s="72">
        <v>0</v>
      </c>
      <c r="AF3466" s="5"/>
      <c r="AG3466" s="6"/>
      <c r="AH3466" s="27"/>
      <c r="AI3466" s="44"/>
      <c r="AJ3466" s="26"/>
      <c r="AK3466" s="5"/>
      <c r="AL3466" s="326" t="s">
        <v>6435</v>
      </c>
      <c r="AM3466" s="76"/>
      <c r="AN3466" s="76"/>
      <c r="AO3466" s="76"/>
      <c r="AP3466" s="76"/>
      <c r="AQ3466" s="76"/>
      <c r="AR3466" s="76"/>
      <c r="AS3466" s="76"/>
      <c r="AT3466" s="76"/>
      <c r="AU3466" s="76"/>
      <c r="AV3466" s="76"/>
      <c r="AW3466" s="76"/>
      <c r="AX3466" s="76">
        <f>+AW3466*600000</f>
        <v>0</v>
      </c>
      <c r="AY3466" s="76"/>
      <c r="AZ3466" s="76">
        <f>+AY3466*70000</f>
        <v>0</v>
      </c>
      <c r="BA3466" s="76"/>
      <c r="BB3466" s="76"/>
      <c r="BC3466" s="76"/>
      <c r="BD3466" s="76">
        <f>+BC3466*30000</f>
        <v>0</v>
      </c>
      <c r="BE3466" s="76"/>
      <c r="BF3466" s="76"/>
      <c r="BG3466" s="76"/>
      <c r="BH3466" s="76"/>
      <c r="BI3466" s="76"/>
      <c r="BJ3466" s="76"/>
      <c r="BK3466" s="76"/>
      <c r="BL3466" s="76">
        <f>+BK3466*31500</f>
        <v>0</v>
      </c>
      <c r="BM3466" s="76"/>
      <c r="BN3466" s="76"/>
      <c r="BO3466" s="76"/>
      <c r="BP3466" s="76"/>
      <c r="BQ3466" s="76"/>
      <c r="BR3466" s="76"/>
      <c r="BS3466" s="76"/>
      <c r="BT3466" s="76"/>
      <c r="BU3466" s="76"/>
      <c r="BV3466" s="76"/>
      <c r="BW3466" s="76"/>
      <c r="BX3466" s="76"/>
      <c r="BY3466" s="76"/>
      <c r="BZ3466" s="76"/>
      <c r="CA3466" s="76"/>
      <c r="CB3466" s="76"/>
      <c r="CC3466" s="76"/>
      <c r="CD3466" s="76"/>
      <c r="CE3466" s="76"/>
      <c r="CF3466" s="76">
        <f>+CE3466*28000</f>
        <v>0</v>
      </c>
      <c r="CG3466" s="76"/>
      <c r="CH3466" s="76">
        <f>+CG3466*22500</f>
        <v>0</v>
      </c>
      <c r="CI3466" s="76"/>
      <c r="CJ3466" s="76">
        <f>+CI3466*26000</f>
        <v>0</v>
      </c>
      <c r="CK3466" s="76"/>
      <c r="CL3466" s="76"/>
      <c r="CM3466" s="76"/>
      <c r="CN3466" s="76">
        <f>+CM3466*22000</f>
        <v>0</v>
      </c>
      <c r="CO3466" s="76"/>
      <c r="CP3466" s="76">
        <f>+CO3466*46000</f>
        <v>0</v>
      </c>
      <c r="CQ3466" s="76"/>
      <c r="CR3466" s="76">
        <f>+CQ3466*49000</f>
        <v>0</v>
      </c>
      <c r="CS3466" s="76"/>
      <c r="CT3466" s="76"/>
      <c r="CU3466" s="56">
        <f>AN3466+AP3466+AR3466+AT3466+AV3466+AX3466+AZ3466+BB3466+BD3466+BF3466+BH3466+BJ3466+BL3466+BN3466+BP3466+BR3466+BT3466+BV3466+BX3466+BZ3466+CB3466+CD3466+CF3466+CH3466+CJ3466+CL3466+CN3466+CP3466+CR3466+CT3466</f>
        <v>0</v>
      </c>
      <c r="CV3466" s="76"/>
      <c r="CW3466" s="76">
        <f>+CV3466*1100</f>
        <v>0</v>
      </c>
      <c r="CX3466" s="76"/>
      <c r="CY3466" s="76">
        <f>+CX3466*106250</f>
        <v>0</v>
      </c>
      <c r="CZ3466" s="76"/>
      <c r="DA3466" s="76">
        <f>+CZ3466*34500</f>
        <v>0</v>
      </c>
      <c r="DB3466" s="76"/>
      <c r="DC3466" s="76">
        <f>+DB3466*25000</f>
        <v>0</v>
      </c>
      <c r="DD3466" s="219"/>
      <c r="DE3466" s="219"/>
      <c r="DF3466" s="166"/>
      <c r="DG3466" s="116"/>
      <c r="DH3466" s="117"/>
      <c r="DI3466" s="24"/>
      <c r="DJ3466" s="24"/>
      <c r="DK3466" s="24"/>
      <c r="DL3466" s="24"/>
      <c r="DM3466" s="24"/>
      <c r="DN3466" s="24"/>
      <c r="DO3466" s="24"/>
      <c r="DP3466" s="24"/>
      <c r="DQ3466" s="24"/>
      <c r="DR3466" s="24"/>
      <c r="DS3466" s="24"/>
      <c r="DT3466" s="24"/>
      <c r="DU3466" s="24"/>
    </row>
    <row r="3467" spans="1:125" s="8" customFormat="1" ht="96" x14ac:dyDescent="0.2">
      <c r="A3467" s="353">
        <v>41572</v>
      </c>
      <c r="B3467" s="352" t="s">
        <v>2847</v>
      </c>
      <c r="C3467" s="354" t="s">
        <v>2673</v>
      </c>
      <c r="D3467" s="354" t="s">
        <v>2846</v>
      </c>
      <c r="E3467" s="75" t="str">
        <f>VLOOKUP(B3467&amp;C3467,Divipola!$C$2:$F$1138,4,FALSE)</f>
        <v>68001</v>
      </c>
      <c r="F3467" s="87"/>
      <c r="G3467" s="87"/>
      <c r="H3467" s="87"/>
      <c r="I3467" s="87"/>
      <c r="J3467" s="87"/>
      <c r="K3467" s="87"/>
      <c r="L3467" s="87"/>
      <c r="M3467" s="87"/>
      <c r="N3467" s="87"/>
      <c r="O3467" s="87"/>
      <c r="P3467" s="87"/>
      <c r="Q3467" s="87"/>
      <c r="R3467" s="87"/>
      <c r="S3467" s="87"/>
      <c r="T3467" s="87"/>
      <c r="U3467" s="88">
        <v>2</v>
      </c>
      <c r="V3467" s="89"/>
      <c r="W3467" s="96">
        <v>0</v>
      </c>
      <c r="X3467" s="71">
        <f>CU3467</f>
        <v>0</v>
      </c>
      <c r="Y3467" s="71">
        <f>CY3467</f>
        <v>0</v>
      </c>
      <c r="Z3467" s="71">
        <f>DA3467+DC3467+DE3467</f>
        <v>0</v>
      </c>
      <c r="AA3467" s="71">
        <f>CW3467</f>
        <v>0</v>
      </c>
      <c r="AB3467" s="71"/>
      <c r="AC3467" s="71">
        <v>0</v>
      </c>
      <c r="AD3467" s="71">
        <f>W3467+X3467+Y3467+Z3467+AA3467+AB3467+AC3467</f>
        <v>0</v>
      </c>
      <c r="AE3467" s="72">
        <v>0</v>
      </c>
      <c r="AF3467" s="5"/>
      <c r="AG3467" s="6"/>
      <c r="AH3467" s="27"/>
      <c r="AI3467" s="44"/>
      <c r="AJ3467" s="26"/>
      <c r="AK3467" s="5"/>
      <c r="AL3467" s="327" t="s">
        <v>6436</v>
      </c>
      <c r="AM3467" s="76"/>
      <c r="AN3467" s="76"/>
      <c r="AO3467" s="76"/>
      <c r="AP3467" s="76"/>
      <c r="AQ3467" s="76"/>
      <c r="AR3467" s="76"/>
      <c r="AS3467" s="76"/>
      <c r="AT3467" s="76"/>
      <c r="AU3467" s="76"/>
      <c r="AV3467" s="76"/>
      <c r="AW3467" s="76"/>
      <c r="AX3467" s="76">
        <f>+AW3467*600000</f>
        <v>0</v>
      </c>
      <c r="AY3467" s="76"/>
      <c r="AZ3467" s="76">
        <f>+AY3467*70000</f>
        <v>0</v>
      </c>
      <c r="BA3467" s="76"/>
      <c r="BB3467" s="76"/>
      <c r="BC3467" s="76"/>
      <c r="BD3467" s="76">
        <f>+BC3467*30000</f>
        <v>0</v>
      </c>
      <c r="BE3467" s="76"/>
      <c r="BF3467" s="76"/>
      <c r="BG3467" s="76"/>
      <c r="BH3467" s="76"/>
      <c r="BI3467" s="76"/>
      <c r="BJ3467" s="76"/>
      <c r="BK3467" s="76"/>
      <c r="BL3467" s="76">
        <f>+BK3467*31500</f>
        <v>0</v>
      </c>
      <c r="BM3467" s="76"/>
      <c r="BN3467" s="76"/>
      <c r="BO3467" s="76"/>
      <c r="BP3467" s="76"/>
      <c r="BQ3467" s="76"/>
      <c r="BR3467" s="76"/>
      <c r="BS3467" s="76"/>
      <c r="BT3467" s="76"/>
      <c r="BU3467" s="76"/>
      <c r="BV3467" s="76"/>
      <c r="BW3467" s="76"/>
      <c r="BX3467" s="76"/>
      <c r="BY3467" s="76"/>
      <c r="BZ3467" s="76"/>
      <c r="CA3467" s="76"/>
      <c r="CB3467" s="76"/>
      <c r="CC3467" s="76"/>
      <c r="CD3467" s="76"/>
      <c r="CE3467" s="76"/>
      <c r="CF3467" s="76">
        <f>+CE3467*28000</f>
        <v>0</v>
      </c>
      <c r="CG3467" s="76"/>
      <c r="CH3467" s="76">
        <f>+CG3467*22500</f>
        <v>0</v>
      </c>
      <c r="CI3467" s="76"/>
      <c r="CJ3467" s="76">
        <f>+CI3467*26000</f>
        <v>0</v>
      </c>
      <c r="CK3467" s="76"/>
      <c r="CL3467" s="76"/>
      <c r="CM3467" s="76"/>
      <c r="CN3467" s="76">
        <f>+CM3467*22000</f>
        <v>0</v>
      </c>
      <c r="CO3467" s="76"/>
      <c r="CP3467" s="76">
        <f>+CO3467*46000</f>
        <v>0</v>
      </c>
      <c r="CQ3467" s="76"/>
      <c r="CR3467" s="76">
        <f>+CQ3467*49000</f>
        <v>0</v>
      </c>
      <c r="CS3467" s="76"/>
      <c r="CT3467" s="76"/>
      <c r="CU3467" s="56">
        <f>AN3467+AP3467+AR3467+AT3467+AV3467+AX3467+AZ3467+BB3467+BD3467+BF3467+BH3467+BJ3467+BL3467+BN3467+BP3467+BR3467+BT3467+BV3467+BX3467+BZ3467+CB3467+CD3467+CF3467+CH3467+CJ3467+CL3467+CN3467+CP3467+CR3467+CT3467</f>
        <v>0</v>
      </c>
      <c r="CV3467" s="76"/>
      <c r="CW3467" s="76">
        <f>+CV3467*1100</f>
        <v>0</v>
      </c>
      <c r="CX3467" s="76"/>
      <c r="CY3467" s="76">
        <f>+CX3467*106250</f>
        <v>0</v>
      </c>
      <c r="CZ3467" s="76"/>
      <c r="DA3467" s="76">
        <f>+CZ3467*34500</f>
        <v>0</v>
      </c>
      <c r="DB3467" s="76"/>
      <c r="DC3467" s="76">
        <f>+DB3467*25000</f>
        <v>0</v>
      </c>
      <c r="DD3467" s="219"/>
      <c r="DE3467" s="219"/>
      <c r="DF3467" s="166"/>
      <c r="DG3467" s="116"/>
      <c r="DH3467" s="117"/>
      <c r="DI3467" s="24"/>
      <c r="DJ3467" s="24"/>
      <c r="DK3467" s="24"/>
      <c r="DL3467" s="24"/>
      <c r="DM3467" s="24"/>
      <c r="DN3467" s="24"/>
      <c r="DO3467" s="24"/>
      <c r="DP3467" s="24"/>
      <c r="DQ3467" s="24"/>
      <c r="DR3467" s="24"/>
      <c r="DS3467" s="24"/>
      <c r="DT3467" s="24"/>
      <c r="DU3467" s="24"/>
    </row>
    <row r="3468" spans="1:125" s="8" customFormat="1" ht="108" x14ac:dyDescent="0.2">
      <c r="A3468" s="353">
        <v>41572</v>
      </c>
      <c r="B3468" s="352" t="s">
        <v>2847</v>
      </c>
      <c r="C3468" s="354" t="s">
        <v>2673</v>
      </c>
      <c r="D3468" s="354" t="s">
        <v>2846</v>
      </c>
      <c r="E3468" s="75" t="str">
        <f>VLOOKUP(B3468&amp;C3468,Divipola!$C$2:$F$1138,4,FALSE)</f>
        <v>68001</v>
      </c>
      <c r="F3468" s="87"/>
      <c r="G3468" s="87"/>
      <c r="H3468" s="87"/>
      <c r="I3468" s="87"/>
      <c r="J3468" s="87"/>
      <c r="K3468" s="87"/>
      <c r="L3468" s="87"/>
      <c r="M3468" s="87"/>
      <c r="N3468" s="87"/>
      <c r="O3468" s="87"/>
      <c r="P3468" s="87"/>
      <c r="Q3468" s="87"/>
      <c r="R3468" s="87"/>
      <c r="S3468" s="87"/>
      <c r="T3468" s="87"/>
      <c r="U3468" s="88">
        <v>15</v>
      </c>
      <c r="V3468" s="89"/>
      <c r="W3468" s="96">
        <v>0</v>
      </c>
      <c r="X3468" s="71">
        <f>CU3468</f>
        <v>0</v>
      </c>
      <c r="Y3468" s="71">
        <f>CY3468</f>
        <v>0</v>
      </c>
      <c r="Z3468" s="71">
        <f>DA3468+DC3468+DE3468</f>
        <v>0</v>
      </c>
      <c r="AA3468" s="71">
        <f>CW3468</f>
        <v>0</v>
      </c>
      <c r="AB3468" s="71"/>
      <c r="AC3468" s="71">
        <v>0</v>
      </c>
      <c r="AD3468" s="71">
        <f>W3468+X3468+Y3468+Z3468+AA3468+AB3468+AC3468</f>
        <v>0</v>
      </c>
      <c r="AE3468" s="72">
        <v>0</v>
      </c>
      <c r="AF3468" s="5"/>
      <c r="AG3468" s="6"/>
      <c r="AH3468" s="27"/>
      <c r="AI3468" s="44"/>
      <c r="AJ3468" s="26"/>
      <c r="AK3468" s="5"/>
      <c r="AL3468" s="327" t="s">
        <v>6437</v>
      </c>
      <c r="AM3468" s="76"/>
      <c r="AN3468" s="76"/>
      <c r="AO3468" s="76"/>
      <c r="AP3468" s="76"/>
      <c r="AQ3468" s="76"/>
      <c r="AR3468" s="76"/>
      <c r="AS3468" s="76"/>
      <c r="AT3468" s="76"/>
      <c r="AU3468" s="76"/>
      <c r="AV3468" s="76"/>
      <c r="AW3468" s="76"/>
      <c r="AX3468" s="76">
        <f>+AW3468*600000</f>
        <v>0</v>
      </c>
      <c r="AY3468" s="76"/>
      <c r="AZ3468" s="76">
        <f>+AY3468*70000</f>
        <v>0</v>
      </c>
      <c r="BA3468" s="76"/>
      <c r="BB3468" s="76"/>
      <c r="BC3468" s="76"/>
      <c r="BD3468" s="76">
        <f>+BC3468*30000</f>
        <v>0</v>
      </c>
      <c r="BE3468" s="76"/>
      <c r="BF3468" s="76"/>
      <c r="BG3468" s="76"/>
      <c r="BH3468" s="76"/>
      <c r="BI3468" s="76"/>
      <c r="BJ3468" s="76"/>
      <c r="BK3468" s="76"/>
      <c r="BL3468" s="76">
        <f>+BK3468*31500</f>
        <v>0</v>
      </c>
      <c r="BM3468" s="76"/>
      <c r="BN3468" s="76"/>
      <c r="BO3468" s="76"/>
      <c r="BP3468" s="76"/>
      <c r="BQ3468" s="76"/>
      <c r="BR3468" s="76"/>
      <c r="BS3468" s="76"/>
      <c r="BT3468" s="76"/>
      <c r="BU3468" s="76"/>
      <c r="BV3468" s="76"/>
      <c r="BW3468" s="76"/>
      <c r="BX3468" s="76"/>
      <c r="BY3468" s="76"/>
      <c r="BZ3468" s="76"/>
      <c r="CA3468" s="76"/>
      <c r="CB3468" s="76"/>
      <c r="CC3468" s="76"/>
      <c r="CD3468" s="76"/>
      <c r="CE3468" s="76"/>
      <c r="CF3468" s="76">
        <f>+CE3468*28000</f>
        <v>0</v>
      </c>
      <c r="CG3468" s="76"/>
      <c r="CH3468" s="76">
        <f>+CG3468*22500</f>
        <v>0</v>
      </c>
      <c r="CI3468" s="76"/>
      <c r="CJ3468" s="76">
        <f>+CI3468*26000</f>
        <v>0</v>
      </c>
      <c r="CK3468" s="76"/>
      <c r="CL3468" s="76"/>
      <c r="CM3468" s="76"/>
      <c r="CN3468" s="76">
        <f>+CM3468*22000</f>
        <v>0</v>
      </c>
      <c r="CO3468" s="76"/>
      <c r="CP3468" s="76">
        <f>+CO3468*46000</f>
        <v>0</v>
      </c>
      <c r="CQ3468" s="76"/>
      <c r="CR3468" s="76">
        <f>+CQ3468*49000</f>
        <v>0</v>
      </c>
      <c r="CS3468" s="76"/>
      <c r="CT3468" s="76"/>
      <c r="CU3468" s="56">
        <f>AN3468+AP3468+AR3468+AT3468+AV3468+AX3468+AZ3468+BB3468+BD3468+BF3468+BH3468+BJ3468+BL3468+BN3468+BP3468+BR3468+BT3468+BV3468+BX3468+BZ3468+CB3468+CD3468+CF3468+CH3468+CJ3468+CL3468+CN3468+CP3468+CR3468+CT3468</f>
        <v>0</v>
      </c>
      <c r="CV3468" s="76"/>
      <c r="CW3468" s="76">
        <f>+CV3468*1100</f>
        <v>0</v>
      </c>
      <c r="CX3468" s="76"/>
      <c r="CY3468" s="76">
        <f>+CX3468*106250</f>
        <v>0</v>
      </c>
      <c r="CZ3468" s="76"/>
      <c r="DA3468" s="76">
        <f>+CZ3468*34500</f>
        <v>0</v>
      </c>
      <c r="DB3468" s="76"/>
      <c r="DC3468" s="76">
        <f>+DB3468*25000</f>
        <v>0</v>
      </c>
      <c r="DD3468" s="219"/>
      <c r="DE3468" s="219"/>
      <c r="DF3468" s="166"/>
      <c r="DG3468" s="116"/>
      <c r="DH3468" s="117"/>
      <c r="DI3468" s="24"/>
      <c r="DJ3468" s="24"/>
      <c r="DK3468" s="24"/>
      <c r="DL3468" s="24"/>
      <c r="DM3468" s="24"/>
      <c r="DN3468" s="24"/>
      <c r="DO3468" s="24"/>
      <c r="DP3468" s="24"/>
      <c r="DQ3468" s="24"/>
      <c r="DR3468" s="24"/>
      <c r="DS3468" s="24"/>
      <c r="DT3468" s="24"/>
      <c r="DU3468" s="24"/>
    </row>
    <row r="3469" spans="1:125" s="8" customFormat="1" ht="72" x14ac:dyDescent="0.2">
      <c r="A3469" s="5">
        <v>41572</v>
      </c>
      <c r="B3469" s="84" t="s">
        <v>2848</v>
      </c>
      <c r="C3469" s="84" t="s">
        <v>2035</v>
      </c>
      <c r="D3469" s="75" t="s">
        <v>2846</v>
      </c>
      <c r="E3469" s="75" t="str">
        <f>VLOOKUP(B3469&amp;C3469,Divipola!$C$2:$F$1138,4,FALSE)</f>
        <v>73148</v>
      </c>
      <c r="F3469" s="89"/>
      <c r="G3469" s="89"/>
      <c r="H3469" s="89"/>
      <c r="I3469" s="89"/>
      <c r="J3469" s="89"/>
      <c r="K3469" s="89"/>
      <c r="L3469" s="89"/>
      <c r="M3469" s="89"/>
      <c r="N3469" s="89"/>
      <c r="O3469" s="89"/>
      <c r="P3469" s="89"/>
      <c r="Q3469" s="89"/>
      <c r="R3469" s="89"/>
      <c r="S3469" s="89"/>
      <c r="T3469" s="89"/>
      <c r="U3469" s="89">
        <v>4</v>
      </c>
      <c r="V3469" s="89"/>
      <c r="W3469" s="96">
        <v>0</v>
      </c>
      <c r="X3469" s="71">
        <f>CU3469</f>
        <v>0</v>
      </c>
      <c r="Y3469" s="71">
        <f>CY3469</f>
        <v>0</v>
      </c>
      <c r="Z3469" s="71">
        <f>DA3469+DC3469+DE3469</f>
        <v>0</v>
      </c>
      <c r="AA3469" s="71">
        <f>CW3469</f>
        <v>0</v>
      </c>
      <c r="AB3469" s="71"/>
      <c r="AC3469" s="71">
        <v>0</v>
      </c>
      <c r="AD3469" s="71">
        <f>W3469+X3469+Y3469+Z3469+AA3469+AB3469+AC3469</f>
        <v>0</v>
      </c>
      <c r="AE3469" s="72">
        <v>0</v>
      </c>
      <c r="AF3469" s="5"/>
      <c r="AG3469" s="6"/>
      <c r="AH3469" s="27"/>
      <c r="AI3469" s="44"/>
      <c r="AJ3469" s="26"/>
      <c r="AK3469" s="5"/>
      <c r="AL3469" s="343" t="s">
        <v>6439</v>
      </c>
      <c r="AM3469" s="76"/>
      <c r="AN3469" s="76"/>
      <c r="AO3469" s="76"/>
      <c r="AP3469" s="76"/>
      <c r="AQ3469" s="76"/>
      <c r="AR3469" s="76"/>
      <c r="AS3469" s="76"/>
      <c r="AT3469" s="76"/>
      <c r="AU3469" s="76"/>
      <c r="AV3469" s="76"/>
      <c r="AW3469" s="76"/>
      <c r="AX3469" s="76">
        <f>+AW3469*600000</f>
        <v>0</v>
      </c>
      <c r="AY3469" s="76"/>
      <c r="AZ3469" s="76">
        <f>+AY3469*70000</f>
        <v>0</v>
      </c>
      <c r="BA3469" s="76"/>
      <c r="BB3469" s="76"/>
      <c r="BC3469" s="76"/>
      <c r="BD3469" s="76">
        <f>+BC3469*30000</f>
        <v>0</v>
      </c>
      <c r="BE3469" s="76"/>
      <c r="BF3469" s="76"/>
      <c r="BG3469" s="76"/>
      <c r="BH3469" s="76"/>
      <c r="BI3469" s="76"/>
      <c r="BJ3469" s="76"/>
      <c r="BK3469" s="76"/>
      <c r="BL3469" s="76">
        <f>+BK3469*31500</f>
        <v>0</v>
      </c>
      <c r="BM3469" s="76"/>
      <c r="BN3469" s="76"/>
      <c r="BO3469" s="76"/>
      <c r="BP3469" s="76"/>
      <c r="BQ3469" s="76"/>
      <c r="BR3469" s="76"/>
      <c r="BS3469" s="76"/>
      <c r="BT3469" s="76"/>
      <c r="BU3469" s="76"/>
      <c r="BV3469" s="76"/>
      <c r="BW3469" s="76"/>
      <c r="BX3469" s="76"/>
      <c r="BY3469" s="76"/>
      <c r="BZ3469" s="76"/>
      <c r="CA3469" s="76"/>
      <c r="CB3469" s="76"/>
      <c r="CC3469" s="76"/>
      <c r="CD3469" s="76"/>
      <c r="CE3469" s="76"/>
      <c r="CF3469" s="76">
        <f>+CE3469*28000</f>
        <v>0</v>
      </c>
      <c r="CG3469" s="76"/>
      <c r="CH3469" s="76">
        <f>+CG3469*22500</f>
        <v>0</v>
      </c>
      <c r="CI3469" s="76"/>
      <c r="CJ3469" s="76">
        <f>+CI3469*26000</f>
        <v>0</v>
      </c>
      <c r="CK3469" s="76"/>
      <c r="CL3469" s="76"/>
      <c r="CM3469" s="76"/>
      <c r="CN3469" s="76">
        <f>+CM3469*22000</f>
        <v>0</v>
      </c>
      <c r="CO3469" s="76"/>
      <c r="CP3469" s="76">
        <f>+CO3469*46000</f>
        <v>0</v>
      </c>
      <c r="CQ3469" s="76"/>
      <c r="CR3469" s="76">
        <f>+CQ3469*49000</f>
        <v>0</v>
      </c>
      <c r="CS3469" s="76"/>
      <c r="CT3469" s="76"/>
      <c r="CU3469" s="56">
        <f>AN3469+AP3469+AR3469+AT3469+AV3469+AX3469+AZ3469+BB3469+BD3469+BF3469+BH3469+BJ3469+BL3469+BN3469+BP3469+BR3469+BT3469+BV3469+BX3469+BZ3469+CB3469+CD3469+CF3469+CH3469+CJ3469+CL3469+CN3469+CP3469+CR3469+CT3469</f>
        <v>0</v>
      </c>
      <c r="CV3469" s="76"/>
      <c r="CW3469" s="76">
        <f>+CV3469*1100</f>
        <v>0</v>
      </c>
      <c r="CX3469" s="76"/>
      <c r="CY3469" s="76">
        <f>+CX3469*106250</f>
        <v>0</v>
      </c>
      <c r="CZ3469" s="76"/>
      <c r="DA3469" s="76">
        <f>+CZ3469*34500</f>
        <v>0</v>
      </c>
      <c r="DB3469" s="76"/>
      <c r="DC3469" s="76">
        <f>+DB3469*25000</f>
        <v>0</v>
      </c>
      <c r="DD3469" s="219"/>
      <c r="DE3469" s="219"/>
      <c r="DF3469" s="166"/>
      <c r="DG3469" s="116"/>
      <c r="DH3469" s="117"/>
      <c r="DI3469" s="24"/>
      <c r="DJ3469" s="24"/>
      <c r="DK3469" s="24"/>
      <c r="DL3469" s="24"/>
      <c r="DM3469" s="24"/>
      <c r="DN3469" s="24"/>
      <c r="DO3469" s="24"/>
      <c r="DP3469" s="24"/>
      <c r="DQ3469" s="24"/>
      <c r="DR3469" s="24"/>
      <c r="DS3469" s="24"/>
      <c r="DT3469" s="24"/>
      <c r="DU3469" s="24"/>
    </row>
    <row r="3470" spans="1:125" s="8" customFormat="1" ht="72" x14ac:dyDescent="0.2">
      <c r="A3470" s="77">
        <v>41572</v>
      </c>
      <c r="B3470" s="78" t="s">
        <v>2772</v>
      </c>
      <c r="C3470" s="75" t="s">
        <v>2690</v>
      </c>
      <c r="D3470" s="75" t="s">
        <v>2846</v>
      </c>
      <c r="E3470" s="75" t="str">
        <f>VLOOKUP(B3470&amp;C3470,Divipola!$C$2:$F$1138,4,FALSE)</f>
        <v>25513</v>
      </c>
      <c r="F3470" s="87"/>
      <c r="G3470" s="87"/>
      <c r="H3470" s="87"/>
      <c r="I3470" s="87"/>
      <c r="J3470" s="87"/>
      <c r="K3470" s="87"/>
      <c r="L3470" s="87"/>
      <c r="M3470" s="87"/>
      <c r="N3470" s="87"/>
      <c r="O3470" s="87"/>
      <c r="P3470" s="87"/>
      <c r="Q3470" s="87"/>
      <c r="R3470" s="87"/>
      <c r="S3470" s="87"/>
      <c r="T3470" s="87"/>
      <c r="U3470" s="127">
        <v>5</v>
      </c>
      <c r="V3470" s="89"/>
      <c r="W3470" s="96">
        <v>0</v>
      </c>
      <c r="X3470" s="71">
        <f>CU3470</f>
        <v>0</v>
      </c>
      <c r="Y3470" s="71">
        <f>CY3470</f>
        <v>0</v>
      </c>
      <c r="Z3470" s="71">
        <f>DA3470+DC3470+DE3470</f>
        <v>0</v>
      </c>
      <c r="AA3470" s="71">
        <f>CW3470</f>
        <v>0</v>
      </c>
      <c r="AB3470" s="71"/>
      <c r="AC3470" s="71">
        <v>0</v>
      </c>
      <c r="AD3470" s="71">
        <f>W3470+X3470+Y3470+Z3470+AA3470+AB3470+AC3470</f>
        <v>0</v>
      </c>
      <c r="AE3470" s="72">
        <v>0</v>
      </c>
      <c r="AF3470" s="5"/>
      <c r="AG3470" s="6"/>
      <c r="AH3470" s="27"/>
      <c r="AI3470" s="44"/>
      <c r="AJ3470" s="26"/>
      <c r="AK3470" s="5"/>
      <c r="AL3470" s="82" t="s">
        <v>6460</v>
      </c>
      <c r="AM3470" s="76"/>
      <c r="AN3470" s="76"/>
      <c r="AO3470" s="76"/>
      <c r="AP3470" s="76"/>
      <c r="AQ3470" s="76"/>
      <c r="AR3470" s="76"/>
      <c r="AS3470" s="76"/>
      <c r="AT3470" s="76"/>
      <c r="AU3470" s="76"/>
      <c r="AV3470" s="76"/>
      <c r="AW3470" s="76"/>
      <c r="AX3470" s="76">
        <f>+AW3470*600000</f>
        <v>0</v>
      </c>
      <c r="AY3470" s="76"/>
      <c r="AZ3470" s="76">
        <f>+AY3470*70000</f>
        <v>0</v>
      </c>
      <c r="BA3470" s="76"/>
      <c r="BB3470" s="76"/>
      <c r="BC3470" s="76"/>
      <c r="BD3470" s="76">
        <f>+BC3470*30000</f>
        <v>0</v>
      </c>
      <c r="BE3470" s="76"/>
      <c r="BF3470" s="76"/>
      <c r="BG3470" s="76"/>
      <c r="BH3470" s="76"/>
      <c r="BI3470" s="76"/>
      <c r="BJ3470" s="76"/>
      <c r="BK3470" s="76"/>
      <c r="BL3470" s="76">
        <f>+BK3470*31500</f>
        <v>0</v>
      </c>
      <c r="BM3470" s="76"/>
      <c r="BN3470" s="76"/>
      <c r="BO3470" s="76"/>
      <c r="BP3470" s="76"/>
      <c r="BQ3470" s="76"/>
      <c r="BR3470" s="76"/>
      <c r="BS3470" s="76"/>
      <c r="BT3470" s="76"/>
      <c r="BU3470" s="76"/>
      <c r="BV3470" s="76"/>
      <c r="BW3470" s="76"/>
      <c r="BX3470" s="76"/>
      <c r="BY3470" s="76"/>
      <c r="BZ3470" s="76"/>
      <c r="CA3470" s="76"/>
      <c r="CB3470" s="76"/>
      <c r="CC3470" s="76"/>
      <c r="CD3470" s="76"/>
      <c r="CE3470" s="76"/>
      <c r="CF3470" s="76">
        <f>+CE3470*28000</f>
        <v>0</v>
      </c>
      <c r="CG3470" s="76"/>
      <c r="CH3470" s="76">
        <f>+CG3470*22500</f>
        <v>0</v>
      </c>
      <c r="CI3470" s="76"/>
      <c r="CJ3470" s="76">
        <f>+CI3470*26000</f>
        <v>0</v>
      </c>
      <c r="CK3470" s="76"/>
      <c r="CL3470" s="76"/>
      <c r="CM3470" s="76"/>
      <c r="CN3470" s="76">
        <f>+CM3470*22000</f>
        <v>0</v>
      </c>
      <c r="CO3470" s="76"/>
      <c r="CP3470" s="76">
        <f>+CO3470*46000</f>
        <v>0</v>
      </c>
      <c r="CQ3470" s="76"/>
      <c r="CR3470" s="76">
        <f>+CQ3470*49000</f>
        <v>0</v>
      </c>
      <c r="CS3470" s="76"/>
      <c r="CT3470" s="76"/>
      <c r="CU3470" s="56">
        <f>AN3470+AP3470+AR3470+AT3470+AV3470+AX3470+AZ3470+BB3470+BD3470+BF3470+BH3470+BJ3470+BL3470+BN3470+BP3470+BR3470+BT3470+BV3470+BX3470+BZ3470+CB3470+CD3470+CF3470+CH3470+CJ3470+CL3470+CN3470+CP3470+CR3470+CT3470</f>
        <v>0</v>
      </c>
      <c r="CV3470" s="76"/>
      <c r="CW3470" s="76">
        <f>+CV3470*1100</f>
        <v>0</v>
      </c>
      <c r="CX3470" s="76"/>
      <c r="CY3470" s="76">
        <f>+CX3470*106250</f>
        <v>0</v>
      </c>
      <c r="CZ3470" s="76"/>
      <c r="DA3470" s="76">
        <f>+CZ3470*34500</f>
        <v>0</v>
      </c>
      <c r="DB3470" s="76"/>
      <c r="DC3470" s="76">
        <f>+DB3470*25000</f>
        <v>0</v>
      </c>
      <c r="DD3470" s="219"/>
      <c r="DE3470" s="219"/>
      <c r="DF3470" s="166"/>
      <c r="DG3470" s="116"/>
      <c r="DH3470" s="117"/>
      <c r="DI3470" s="24"/>
      <c r="DJ3470" s="24"/>
      <c r="DK3470" s="24"/>
      <c r="DL3470" s="24"/>
      <c r="DM3470" s="24"/>
      <c r="DN3470" s="24"/>
      <c r="DO3470" s="24"/>
      <c r="DP3470" s="24"/>
      <c r="DQ3470" s="24"/>
      <c r="DR3470" s="24"/>
      <c r="DS3470" s="24"/>
      <c r="DT3470" s="24"/>
      <c r="DU3470" s="24"/>
    </row>
    <row r="3471" spans="1:125" s="8" customFormat="1" ht="156" x14ac:dyDescent="0.2">
      <c r="A3471" s="77">
        <v>41572</v>
      </c>
      <c r="B3471" s="78" t="s">
        <v>2772</v>
      </c>
      <c r="C3471" s="75" t="s">
        <v>2030</v>
      </c>
      <c r="D3471" s="75" t="s">
        <v>2846</v>
      </c>
      <c r="E3471" s="75" t="str">
        <f>VLOOKUP(B3471&amp;C3471,Divipola!$C$2:$F$1138,4,FALSE)</f>
        <v>25754</v>
      </c>
      <c r="F3471" s="87"/>
      <c r="G3471" s="87"/>
      <c r="H3471" s="87"/>
      <c r="I3471" s="87"/>
      <c r="J3471" s="87"/>
      <c r="K3471" s="87"/>
      <c r="L3471" s="87"/>
      <c r="M3471" s="87"/>
      <c r="N3471" s="87"/>
      <c r="O3471" s="87"/>
      <c r="P3471" s="87"/>
      <c r="Q3471" s="87"/>
      <c r="R3471" s="87"/>
      <c r="S3471" s="87"/>
      <c r="T3471" s="87"/>
      <c r="U3471" s="88">
        <v>7</v>
      </c>
      <c r="V3471" s="89"/>
      <c r="W3471" s="96">
        <v>0</v>
      </c>
      <c r="X3471" s="71">
        <f>CU3471</f>
        <v>0</v>
      </c>
      <c r="Y3471" s="71">
        <f>CY3471</f>
        <v>0</v>
      </c>
      <c r="Z3471" s="71">
        <f>DA3471+DC3471+DE3471</f>
        <v>0</v>
      </c>
      <c r="AA3471" s="71">
        <f>CW3471</f>
        <v>0</v>
      </c>
      <c r="AB3471" s="71"/>
      <c r="AC3471" s="71">
        <v>0</v>
      </c>
      <c r="AD3471" s="71">
        <f>W3471+X3471+Y3471+Z3471+AA3471+AB3471+AC3471</f>
        <v>0</v>
      </c>
      <c r="AE3471" s="72">
        <v>0</v>
      </c>
      <c r="AF3471" s="5"/>
      <c r="AG3471" s="6"/>
      <c r="AH3471" s="27"/>
      <c r="AI3471" s="44"/>
      <c r="AJ3471" s="26"/>
      <c r="AK3471" s="5"/>
      <c r="AL3471" s="9" t="s">
        <v>6485</v>
      </c>
      <c r="AM3471" s="76"/>
      <c r="AN3471" s="76"/>
      <c r="AO3471" s="76"/>
      <c r="AP3471" s="76"/>
      <c r="AQ3471" s="76"/>
      <c r="AR3471" s="76"/>
      <c r="AS3471" s="76"/>
      <c r="AT3471" s="76"/>
      <c r="AU3471" s="76"/>
      <c r="AV3471" s="76"/>
      <c r="AW3471" s="76"/>
      <c r="AX3471" s="76">
        <f>+AW3471*600000</f>
        <v>0</v>
      </c>
      <c r="AY3471" s="76"/>
      <c r="AZ3471" s="76">
        <f>+AY3471*70000</f>
        <v>0</v>
      </c>
      <c r="BA3471" s="76"/>
      <c r="BB3471" s="76"/>
      <c r="BC3471" s="76"/>
      <c r="BD3471" s="76">
        <f>+BC3471*30000</f>
        <v>0</v>
      </c>
      <c r="BE3471" s="76"/>
      <c r="BF3471" s="76"/>
      <c r="BG3471" s="76"/>
      <c r="BH3471" s="76"/>
      <c r="BI3471" s="76"/>
      <c r="BJ3471" s="76"/>
      <c r="BK3471" s="76"/>
      <c r="BL3471" s="76">
        <f>+BK3471*31500</f>
        <v>0</v>
      </c>
      <c r="BM3471" s="76"/>
      <c r="BN3471" s="76"/>
      <c r="BO3471" s="76"/>
      <c r="BP3471" s="76"/>
      <c r="BQ3471" s="76"/>
      <c r="BR3471" s="76"/>
      <c r="BS3471" s="76"/>
      <c r="BT3471" s="76"/>
      <c r="BU3471" s="76"/>
      <c r="BV3471" s="76"/>
      <c r="BW3471" s="76"/>
      <c r="BX3471" s="76"/>
      <c r="BY3471" s="76"/>
      <c r="BZ3471" s="76"/>
      <c r="CA3471" s="76"/>
      <c r="CB3471" s="76"/>
      <c r="CC3471" s="76"/>
      <c r="CD3471" s="76"/>
      <c r="CE3471" s="76"/>
      <c r="CF3471" s="76">
        <f>+CE3471*28000</f>
        <v>0</v>
      </c>
      <c r="CG3471" s="76"/>
      <c r="CH3471" s="76">
        <f>+CG3471*22500</f>
        <v>0</v>
      </c>
      <c r="CI3471" s="76"/>
      <c r="CJ3471" s="76">
        <f>+CI3471*26000</f>
        <v>0</v>
      </c>
      <c r="CK3471" s="76"/>
      <c r="CL3471" s="76"/>
      <c r="CM3471" s="76"/>
      <c r="CN3471" s="76">
        <f>+CM3471*22000</f>
        <v>0</v>
      </c>
      <c r="CO3471" s="76"/>
      <c r="CP3471" s="76">
        <f>+CO3471*46000</f>
        <v>0</v>
      </c>
      <c r="CQ3471" s="76"/>
      <c r="CR3471" s="76">
        <f>+CQ3471*49000</f>
        <v>0</v>
      </c>
      <c r="CS3471" s="76"/>
      <c r="CT3471" s="76"/>
      <c r="CU3471" s="56">
        <f>AN3471+AP3471+AR3471+AT3471+AV3471+AX3471+AZ3471+BB3471+BD3471+BF3471+BH3471+BJ3471+BL3471+BN3471+BP3471+BR3471+BT3471+BV3471+BX3471+BZ3471+CB3471+CD3471+CF3471+CH3471+CJ3471+CL3471+CN3471+CP3471+CR3471+CT3471</f>
        <v>0</v>
      </c>
      <c r="CV3471" s="76"/>
      <c r="CW3471" s="76">
        <f>+CV3471*1100</f>
        <v>0</v>
      </c>
      <c r="CX3471" s="76"/>
      <c r="CY3471" s="76">
        <f>+CX3471*106250</f>
        <v>0</v>
      </c>
      <c r="CZ3471" s="76"/>
      <c r="DA3471" s="76">
        <f>+CZ3471*34500</f>
        <v>0</v>
      </c>
      <c r="DB3471" s="76"/>
      <c r="DC3471" s="76">
        <f>+DB3471*25000</f>
        <v>0</v>
      </c>
      <c r="DD3471" s="219"/>
      <c r="DE3471" s="219"/>
      <c r="DF3471" s="166"/>
      <c r="DG3471" s="116"/>
      <c r="DH3471" s="117"/>
      <c r="DI3471" s="24"/>
      <c r="DJ3471" s="24"/>
      <c r="DK3471" s="24"/>
      <c r="DL3471" s="24"/>
      <c r="DM3471" s="24"/>
      <c r="DN3471" s="24"/>
      <c r="DO3471" s="24"/>
      <c r="DP3471" s="24"/>
      <c r="DQ3471" s="24"/>
      <c r="DR3471" s="24"/>
      <c r="DS3471" s="24"/>
      <c r="DT3471" s="24"/>
      <c r="DU3471" s="24"/>
    </row>
    <row r="3472" spans="1:125" s="8" customFormat="1" ht="96" x14ac:dyDescent="0.2">
      <c r="A3472" s="77">
        <v>41572</v>
      </c>
      <c r="B3472" s="78" t="s">
        <v>2851</v>
      </c>
      <c r="C3472" s="75" t="s">
        <v>2159</v>
      </c>
      <c r="D3472" s="75" t="s">
        <v>3051</v>
      </c>
      <c r="E3472" s="75" t="str">
        <f>VLOOKUP(B3472&amp;C3472,Divipola!$C$2:$F$1138,4,FALSE)</f>
        <v>76670</v>
      </c>
      <c r="F3472" s="61"/>
      <c r="G3472" s="61"/>
      <c r="H3472" s="61"/>
      <c r="I3472" s="61">
        <v>5</v>
      </c>
      <c r="J3472" s="61">
        <v>1</v>
      </c>
      <c r="K3472" s="61"/>
      <c r="L3472" s="61">
        <v>1</v>
      </c>
      <c r="M3472" s="61"/>
      <c r="N3472" s="61"/>
      <c r="O3472" s="61"/>
      <c r="P3472" s="61"/>
      <c r="Q3472" s="61"/>
      <c r="R3472" s="61"/>
      <c r="S3472" s="61"/>
      <c r="T3472" s="61"/>
      <c r="U3472" s="61"/>
      <c r="V3472" s="7"/>
      <c r="W3472" s="96">
        <v>0</v>
      </c>
      <c r="X3472" s="71">
        <f>CU3472</f>
        <v>0</v>
      </c>
      <c r="Y3472" s="71">
        <f>CY3472</f>
        <v>0</v>
      </c>
      <c r="Z3472" s="71">
        <f>DA3472+DC3472+DE3472</f>
        <v>0</v>
      </c>
      <c r="AA3472" s="71">
        <f>CW3472</f>
        <v>0</v>
      </c>
      <c r="AB3472" s="71"/>
      <c r="AC3472" s="71">
        <v>0</v>
      </c>
      <c r="AD3472" s="71">
        <f>W3472+X3472+Y3472+Z3472+AA3472+AB3472+AC3472</f>
        <v>0</v>
      </c>
      <c r="AE3472" s="72">
        <v>0</v>
      </c>
      <c r="AF3472" s="5"/>
      <c r="AG3472" s="6"/>
      <c r="AH3472" s="27"/>
      <c r="AI3472" s="44"/>
      <c r="AJ3472" s="26"/>
      <c r="AK3472" s="5"/>
      <c r="AL3472" s="9" t="s">
        <v>6727</v>
      </c>
      <c r="AM3472" s="76"/>
      <c r="AN3472" s="76"/>
      <c r="AO3472" s="76"/>
      <c r="AP3472" s="76"/>
      <c r="AQ3472" s="76"/>
      <c r="AR3472" s="76"/>
      <c r="AS3472" s="76"/>
      <c r="AT3472" s="76"/>
      <c r="AU3472" s="76"/>
      <c r="AV3472" s="76"/>
      <c r="AW3472" s="76"/>
      <c r="AX3472" s="76">
        <f>+AW3472*600000</f>
        <v>0</v>
      </c>
      <c r="AY3472" s="76"/>
      <c r="AZ3472" s="76">
        <f>+AY3472*70000</f>
        <v>0</v>
      </c>
      <c r="BA3472" s="76"/>
      <c r="BB3472" s="76"/>
      <c r="BC3472" s="76"/>
      <c r="BD3472" s="76">
        <f>+BC3472*30000</f>
        <v>0</v>
      </c>
      <c r="BE3472" s="76"/>
      <c r="BF3472" s="76"/>
      <c r="BG3472" s="76"/>
      <c r="BH3472" s="76"/>
      <c r="BI3472" s="76"/>
      <c r="BJ3472" s="76"/>
      <c r="BK3472" s="76"/>
      <c r="BL3472" s="76">
        <f>+BK3472*31500</f>
        <v>0</v>
      </c>
      <c r="BM3472" s="76"/>
      <c r="BN3472" s="76"/>
      <c r="BO3472" s="76"/>
      <c r="BP3472" s="76"/>
      <c r="BQ3472" s="76"/>
      <c r="BR3472" s="76"/>
      <c r="BS3472" s="76"/>
      <c r="BT3472" s="76"/>
      <c r="BU3472" s="76"/>
      <c r="BV3472" s="76"/>
      <c r="BW3472" s="76"/>
      <c r="BX3472" s="76"/>
      <c r="BY3472" s="76"/>
      <c r="BZ3472" s="76"/>
      <c r="CA3472" s="76"/>
      <c r="CB3472" s="76"/>
      <c r="CC3472" s="76"/>
      <c r="CD3472" s="76"/>
      <c r="CE3472" s="76"/>
      <c r="CF3472" s="76">
        <f>+CE3472*28000</f>
        <v>0</v>
      </c>
      <c r="CG3472" s="76"/>
      <c r="CH3472" s="76">
        <f>+CG3472*22500</f>
        <v>0</v>
      </c>
      <c r="CI3472" s="76"/>
      <c r="CJ3472" s="76">
        <f>+CI3472*26000</f>
        <v>0</v>
      </c>
      <c r="CK3472" s="76"/>
      <c r="CL3472" s="76"/>
      <c r="CM3472" s="76"/>
      <c r="CN3472" s="76">
        <f>+CM3472*22000</f>
        <v>0</v>
      </c>
      <c r="CO3472" s="76"/>
      <c r="CP3472" s="76">
        <f>+CO3472*46000</f>
        <v>0</v>
      </c>
      <c r="CQ3472" s="76"/>
      <c r="CR3472" s="76">
        <f>+CQ3472*49000</f>
        <v>0</v>
      </c>
      <c r="CS3472" s="76"/>
      <c r="CT3472" s="76"/>
      <c r="CU3472" s="56">
        <f>AN3472+AP3472+AR3472+AT3472+AV3472+AX3472+AZ3472+BB3472+BD3472+BF3472+BH3472+BJ3472+BL3472+BN3472+BP3472+BR3472+BT3472+BV3472+BX3472+BZ3472+CB3472+CD3472+CF3472+CH3472+CJ3472+CL3472+CN3472+CP3472+CR3472+CT3472</f>
        <v>0</v>
      </c>
      <c r="CV3472" s="76"/>
      <c r="CW3472" s="76">
        <f>+CV3472*1100</f>
        <v>0</v>
      </c>
      <c r="CX3472" s="76"/>
      <c r="CY3472" s="76">
        <f>+CX3472*106250</f>
        <v>0</v>
      </c>
      <c r="CZ3472" s="76"/>
      <c r="DA3472" s="76">
        <f>+CZ3472*34500</f>
        <v>0</v>
      </c>
      <c r="DB3472" s="76"/>
      <c r="DC3472" s="76">
        <f>+DB3472*25000</f>
        <v>0</v>
      </c>
      <c r="DD3472" s="219"/>
      <c r="DE3472" s="219"/>
      <c r="DF3472" s="166"/>
      <c r="DG3472" s="116"/>
      <c r="DH3472" s="117"/>
      <c r="DI3472" s="24"/>
      <c r="DJ3472" s="24"/>
      <c r="DK3472" s="24"/>
      <c r="DL3472" s="24"/>
      <c r="DM3472" s="24"/>
      <c r="DN3472" s="24"/>
      <c r="DO3472" s="24"/>
      <c r="DP3472" s="24"/>
      <c r="DQ3472" s="24"/>
      <c r="DR3472" s="24"/>
      <c r="DS3472" s="24"/>
      <c r="DT3472" s="24"/>
      <c r="DU3472" s="24"/>
    </row>
    <row r="3473" spans="1:125" s="8" customFormat="1" ht="60" x14ac:dyDescent="0.2">
      <c r="A3473" s="77">
        <v>41573</v>
      </c>
      <c r="B3473" s="78" t="s">
        <v>2811</v>
      </c>
      <c r="C3473" s="75" t="s">
        <v>2131</v>
      </c>
      <c r="D3473" s="75" t="s">
        <v>2859</v>
      </c>
      <c r="E3473" s="75" t="str">
        <f>VLOOKUP(B3473&amp;C3473,Divipola!$C$2:$F$1138,4,FALSE)</f>
        <v>52001</v>
      </c>
      <c r="F3473" s="87"/>
      <c r="G3473" s="87"/>
      <c r="H3473" s="87"/>
      <c r="I3473" s="87"/>
      <c r="J3473" s="87"/>
      <c r="K3473" s="87"/>
      <c r="L3473" s="87"/>
      <c r="M3473" s="87"/>
      <c r="N3473" s="87"/>
      <c r="O3473" s="87"/>
      <c r="P3473" s="87"/>
      <c r="Q3473" s="87"/>
      <c r="R3473" s="87"/>
      <c r="S3473" s="87"/>
      <c r="T3473" s="87"/>
      <c r="U3473" s="88"/>
      <c r="V3473" s="89">
        <v>1</v>
      </c>
      <c r="W3473" s="96">
        <v>0</v>
      </c>
      <c r="X3473" s="71">
        <f>CU3473</f>
        <v>0</v>
      </c>
      <c r="Y3473" s="71">
        <f>CY3473</f>
        <v>0</v>
      </c>
      <c r="Z3473" s="71">
        <f>DA3473+DC3473+DE3473</f>
        <v>0</v>
      </c>
      <c r="AA3473" s="71">
        <f>CW3473</f>
        <v>0</v>
      </c>
      <c r="AB3473" s="71"/>
      <c r="AC3473" s="71">
        <v>0</v>
      </c>
      <c r="AD3473" s="71">
        <f>W3473+X3473+Y3473+Z3473+AA3473+AB3473+AC3473</f>
        <v>0</v>
      </c>
      <c r="AE3473" s="72">
        <v>0</v>
      </c>
      <c r="AF3473" s="5"/>
      <c r="AG3473" s="6"/>
      <c r="AH3473" s="27"/>
      <c r="AI3473" s="44"/>
      <c r="AJ3473" s="26"/>
      <c r="AK3473" s="5"/>
      <c r="AL3473" s="327" t="s">
        <v>6438</v>
      </c>
      <c r="AM3473" s="76"/>
      <c r="AN3473" s="76"/>
      <c r="AO3473" s="76"/>
      <c r="AP3473" s="76"/>
      <c r="AQ3473" s="76"/>
      <c r="AR3473" s="76"/>
      <c r="AS3473" s="76"/>
      <c r="AT3473" s="76"/>
      <c r="AU3473" s="76"/>
      <c r="AV3473" s="76"/>
      <c r="AW3473" s="76"/>
      <c r="AX3473" s="76">
        <f>+AW3473*600000</f>
        <v>0</v>
      </c>
      <c r="AY3473" s="76"/>
      <c r="AZ3473" s="76">
        <f>+AY3473*70000</f>
        <v>0</v>
      </c>
      <c r="BA3473" s="76"/>
      <c r="BB3473" s="76"/>
      <c r="BC3473" s="76"/>
      <c r="BD3473" s="76">
        <f>+BC3473*30000</f>
        <v>0</v>
      </c>
      <c r="BE3473" s="76"/>
      <c r="BF3473" s="76"/>
      <c r="BG3473" s="76"/>
      <c r="BH3473" s="76"/>
      <c r="BI3473" s="76"/>
      <c r="BJ3473" s="76"/>
      <c r="BK3473" s="76"/>
      <c r="BL3473" s="76">
        <f>+BK3473*31500</f>
        <v>0</v>
      </c>
      <c r="BM3473" s="76"/>
      <c r="BN3473" s="76"/>
      <c r="BO3473" s="76"/>
      <c r="BP3473" s="76"/>
      <c r="BQ3473" s="76"/>
      <c r="BR3473" s="76"/>
      <c r="BS3473" s="76"/>
      <c r="BT3473" s="76"/>
      <c r="BU3473" s="76"/>
      <c r="BV3473" s="76"/>
      <c r="BW3473" s="76"/>
      <c r="BX3473" s="76"/>
      <c r="BY3473" s="76"/>
      <c r="BZ3473" s="76"/>
      <c r="CA3473" s="76"/>
      <c r="CB3473" s="76"/>
      <c r="CC3473" s="76"/>
      <c r="CD3473" s="76"/>
      <c r="CE3473" s="76"/>
      <c r="CF3473" s="76">
        <f>+CE3473*28000</f>
        <v>0</v>
      </c>
      <c r="CG3473" s="76"/>
      <c r="CH3473" s="76">
        <f>+CG3473*22500</f>
        <v>0</v>
      </c>
      <c r="CI3473" s="76"/>
      <c r="CJ3473" s="76">
        <f>+CI3473*26000</f>
        <v>0</v>
      </c>
      <c r="CK3473" s="76"/>
      <c r="CL3473" s="76"/>
      <c r="CM3473" s="76"/>
      <c r="CN3473" s="76">
        <f>+CM3473*22000</f>
        <v>0</v>
      </c>
      <c r="CO3473" s="76"/>
      <c r="CP3473" s="76">
        <f>+CO3473*46000</f>
        <v>0</v>
      </c>
      <c r="CQ3473" s="76"/>
      <c r="CR3473" s="76">
        <f>+CQ3473*49000</f>
        <v>0</v>
      </c>
      <c r="CS3473" s="76"/>
      <c r="CT3473" s="76"/>
      <c r="CU3473" s="56">
        <f>AN3473+AP3473+AR3473+AT3473+AV3473+AX3473+AZ3473+BB3473+BD3473+BF3473+BH3473+BJ3473+BL3473+BN3473+BP3473+BR3473+BT3473+BV3473+BX3473+BZ3473+CB3473+CD3473+CF3473+CH3473+CJ3473+CL3473+CN3473+CP3473+CR3473+CT3473</f>
        <v>0</v>
      </c>
      <c r="CV3473" s="76"/>
      <c r="CW3473" s="76">
        <f>+CV3473*1100</f>
        <v>0</v>
      </c>
      <c r="CX3473" s="76"/>
      <c r="CY3473" s="76">
        <f>+CX3473*106250</f>
        <v>0</v>
      </c>
      <c r="CZ3473" s="76"/>
      <c r="DA3473" s="76">
        <f>+CZ3473*34500</f>
        <v>0</v>
      </c>
      <c r="DB3473" s="76"/>
      <c r="DC3473" s="76">
        <f>+DB3473*25000</f>
        <v>0</v>
      </c>
      <c r="DD3473" s="219"/>
      <c r="DE3473" s="219"/>
      <c r="DF3473" s="166"/>
      <c r="DG3473" s="116"/>
      <c r="DH3473" s="117"/>
      <c r="DI3473" s="24"/>
      <c r="DJ3473" s="24"/>
      <c r="DK3473" s="24"/>
      <c r="DL3473" s="24"/>
      <c r="DM3473" s="24"/>
      <c r="DN3473" s="24"/>
      <c r="DO3473" s="24"/>
      <c r="DP3473" s="24"/>
      <c r="DQ3473" s="24"/>
      <c r="DR3473" s="24"/>
      <c r="DS3473" s="24"/>
      <c r="DT3473" s="24"/>
      <c r="DU3473" s="24"/>
    </row>
    <row r="3474" spans="1:125" s="8" customFormat="1" ht="72" x14ac:dyDescent="0.2">
      <c r="A3474" s="353">
        <v>41573</v>
      </c>
      <c r="B3474" s="352" t="s">
        <v>2881</v>
      </c>
      <c r="C3474" s="354" t="s">
        <v>1430</v>
      </c>
      <c r="D3474" s="354" t="s">
        <v>2882</v>
      </c>
      <c r="E3474" s="75" t="str">
        <f>VLOOKUP(B3474&amp;C3474,Divipola!$C$2:$F$1138,4,FALSE)</f>
        <v>08573</v>
      </c>
      <c r="F3474" s="87"/>
      <c r="G3474" s="87"/>
      <c r="H3474" s="87"/>
      <c r="I3474" s="87"/>
      <c r="J3474" s="87"/>
      <c r="K3474" s="87"/>
      <c r="L3474" s="87"/>
      <c r="M3474" s="87"/>
      <c r="N3474" s="87"/>
      <c r="O3474" s="87"/>
      <c r="P3474" s="87"/>
      <c r="Q3474" s="87"/>
      <c r="R3474" s="87"/>
      <c r="S3474" s="87"/>
      <c r="T3474" s="87"/>
      <c r="U3474" s="88"/>
      <c r="V3474" s="89"/>
      <c r="W3474" s="96">
        <v>0</v>
      </c>
      <c r="X3474" s="71">
        <f>CU3474</f>
        <v>0</v>
      </c>
      <c r="Y3474" s="71">
        <f>CY3474</f>
        <v>0</v>
      </c>
      <c r="Z3474" s="71">
        <f>DA3474+DC3474+DE3474</f>
        <v>0</v>
      </c>
      <c r="AA3474" s="71">
        <f>CW3474</f>
        <v>0</v>
      </c>
      <c r="AB3474" s="71"/>
      <c r="AC3474" s="71">
        <v>0</v>
      </c>
      <c r="AD3474" s="71">
        <f>W3474+X3474+Y3474+Z3474+AA3474+AB3474+AC3474</f>
        <v>0</v>
      </c>
      <c r="AE3474" s="72">
        <v>0</v>
      </c>
      <c r="AF3474" s="5"/>
      <c r="AG3474" s="6"/>
      <c r="AH3474" s="27"/>
      <c r="AI3474" s="44"/>
      <c r="AJ3474" s="26"/>
      <c r="AK3474" s="5"/>
      <c r="AL3474" s="82" t="s">
        <v>6442</v>
      </c>
      <c r="AM3474" s="76"/>
      <c r="AN3474" s="76"/>
      <c r="AO3474" s="76"/>
      <c r="AP3474" s="76"/>
      <c r="AQ3474" s="76"/>
      <c r="AR3474" s="76"/>
      <c r="AS3474" s="76"/>
      <c r="AT3474" s="76"/>
      <c r="AU3474" s="76"/>
      <c r="AV3474" s="76"/>
      <c r="AW3474" s="76"/>
      <c r="AX3474" s="76">
        <f>+AW3474*600000</f>
        <v>0</v>
      </c>
      <c r="AY3474" s="76"/>
      <c r="AZ3474" s="76">
        <f>+AY3474*70000</f>
        <v>0</v>
      </c>
      <c r="BA3474" s="76"/>
      <c r="BB3474" s="76"/>
      <c r="BC3474" s="76"/>
      <c r="BD3474" s="76">
        <f>+BC3474*30000</f>
        <v>0</v>
      </c>
      <c r="BE3474" s="76"/>
      <c r="BF3474" s="76"/>
      <c r="BG3474" s="76"/>
      <c r="BH3474" s="76"/>
      <c r="BI3474" s="76"/>
      <c r="BJ3474" s="76"/>
      <c r="BK3474" s="76"/>
      <c r="BL3474" s="76">
        <f>+BK3474*31500</f>
        <v>0</v>
      </c>
      <c r="BM3474" s="76"/>
      <c r="BN3474" s="76"/>
      <c r="BO3474" s="76"/>
      <c r="BP3474" s="76"/>
      <c r="BQ3474" s="76"/>
      <c r="BR3474" s="76"/>
      <c r="BS3474" s="76"/>
      <c r="BT3474" s="76"/>
      <c r="BU3474" s="76"/>
      <c r="BV3474" s="76"/>
      <c r="BW3474" s="76"/>
      <c r="BX3474" s="76"/>
      <c r="BY3474" s="76"/>
      <c r="BZ3474" s="76"/>
      <c r="CA3474" s="76"/>
      <c r="CB3474" s="76"/>
      <c r="CC3474" s="76"/>
      <c r="CD3474" s="76"/>
      <c r="CE3474" s="76"/>
      <c r="CF3474" s="76">
        <f>+CE3474*28000</f>
        <v>0</v>
      </c>
      <c r="CG3474" s="76"/>
      <c r="CH3474" s="76">
        <f>+CG3474*22500</f>
        <v>0</v>
      </c>
      <c r="CI3474" s="76"/>
      <c r="CJ3474" s="76">
        <f>+CI3474*26000</f>
        <v>0</v>
      </c>
      <c r="CK3474" s="76"/>
      <c r="CL3474" s="76"/>
      <c r="CM3474" s="76"/>
      <c r="CN3474" s="76">
        <f>+CM3474*22000</f>
        <v>0</v>
      </c>
      <c r="CO3474" s="76"/>
      <c r="CP3474" s="76">
        <f>+CO3474*46000</f>
        <v>0</v>
      </c>
      <c r="CQ3474" s="76"/>
      <c r="CR3474" s="76">
        <f>+CQ3474*49000</f>
        <v>0</v>
      </c>
      <c r="CS3474" s="76"/>
      <c r="CT3474" s="76"/>
      <c r="CU3474" s="56">
        <f>AN3474+AP3474+AR3474+AT3474+AV3474+AX3474+AZ3474+BB3474+BD3474+BF3474+BH3474+BJ3474+BL3474+BN3474+BP3474+BR3474+BT3474+BV3474+BX3474+BZ3474+CB3474+CD3474+CF3474+CH3474+CJ3474+CL3474+CN3474+CP3474+CR3474+CT3474</f>
        <v>0</v>
      </c>
      <c r="CV3474" s="76"/>
      <c r="CW3474" s="76">
        <f>+CV3474*1100</f>
        <v>0</v>
      </c>
      <c r="CX3474" s="76"/>
      <c r="CY3474" s="76">
        <f>+CX3474*106250</f>
        <v>0</v>
      </c>
      <c r="CZ3474" s="76"/>
      <c r="DA3474" s="76">
        <f>+CZ3474*34500</f>
        <v>0</v>
      </c>
      <c r="DB3474" s="76"/>
      <c r="DC3474" s="76">
        <f>+DB3474*25000</f>
        <v>0</v>
      </c>
      <c r="DD3474" s="219"/>
      <c r="DE3474" s="219"/>
      <c r="DF3474" s="166"/>
      <c r="DG3474" s="116"/>
      <c r="DH3474" s="117"/>
      <c r="DI3474" s="24"/>
      <c r="DJ3474" s="24"/>
      <c r="DK3474" s="24"/>
      <c r="DL3474" s="24"/>
      <c r="DM3474" s="24"/>
      <c r="DN3474" s="24"/>
      <c r="DO3474" s="24"/>
      <c r="DP3474" s="24"/>
      <c r="DQ3474" s="24"/>
      <c r="DR3474" s="24"/>
      <c r="DS3474" s="24"/>
      <c r="DT3474" s="24"/>
      <c r="DU3474" s="24"/>
    </row>
    <row r="3475" spans="1:125" s="8" customFormat="1" ht="324" x14ac:dyDescent="0.2">
      <c r="A3475" s="77">
        <v>41573</v>
      </c>
      <c r="B3475" s="78" t="s">
        <v>2718</v>
      </c>
      <c r="C3475" s="75" t="s">
        <v>999</v>
      </c>
      <c r="D3475" s="75" t="s">
        <v>2849</v>
      </c>
      <c r="E3475" s="75" t="str">
        <f>VLOOKUP(B3475&amp;C3475,Divipola!$C$2:$F$1138,4,FALSE)</f>
        <v>23686</v>
      </c>
      <c r="F3475" s="87">
        <v>5</v>
      </c>
      <c r="G3475" s="87">
        <v>1</v>
      </c>
      <c r="H3475" s="87"/>
      <c r="I3475" s="87"/>
      <c r="J3475" s="87"/>
      <c r="K3475" s="87"/>
      <c r="L3475" s="87"/>
      <c r="M3475" s="87"/>
      <c r="N3475" s="87"/>
      <c r="O3475" s="87"/>
      <c r="P3475" s="87"/>
      <c r="Q3475" s="87"/>
      <c r="R3475" s="87"/>
      <c r="S3475" s="87"/>
      <c r="T3475" s="87"/>
      <c r="U3475" s="88"/>
      <c r="V3475" s="89"/>
      <c r="W3475" s="96">
        <v>0</v>
      </c>
      <c r="X3475" s="71">
        <f>CU3475</f>
        <v>0</v>
      </c>
      <c r="Y3475" s="71">
        <f>CY3475</f>
        <v>0</v>
      </c>
      <c r="Z3475" s="71">
        <f>DA3475+DC3475+DE3475</f>
        <v>0</v>
      </c>
      <c r="AA3475" s="71">
        <f>CW3475</f>
        <v>0</v>
      </c>
      <c r="AB3475" s="71"/>
      <c r="AC3475" s="71">
        <v>0</v>
      </c>
      <c r="AD3475" s="71">
        <f>W3475+X3475+Y3475+Z3475+AA3475+AB3475+AC3475</f>
        <v>0</v>
      </c>
      <c r="AE3475" s="72">
        <v>0</v>
      </c>
      <c r="AF3475" s="5"/>
      <c r="AG3475" s="6"/>
      <c r="AH3475" s="27"/>
      <c r="AI3475" s="44"/>
      <c r="AJ3475" s="26"/>
      <c r="AK3475" s="5"/>
      <c r="AL3475" s="278" t="s">
        <v>6443</v>
      </c>
      <c r="AM3475" s="76"/>
      <c r="AN3475" s="76"/>
      <c r="AO3475" s="76"/>
      <c r="AP3475" s="76"/>
      <c r="AQ3475" s="76"/>
      <c r="AR3475" s="76"/>
      <c r="AS3475" s="76"/>
      <c r="AT3475" s="76"/>
      <c r="AU3475" s="76"/>
      <c r="AV3475" s="76"/>
      <c r="AW3475" s="76"/>
      <c r="AX3475" s="76">
        <f>+AW3475*600000</f>
        <v>0</v>
      </c>
      <c r="AY3475" s="76"/>
      <c r="AZ3475" s="76">
        <f>+AY3475*70000</f>
        <v>0</v>
      </c>
      <c r="BA3475" s="76"/>
      <c r="BB3475" s="76"/>
      <c r="BC3475" s="76"/>
      <c r="BD3475" s="76">
        <f>+BC3475*30000</f>
        <v>0</v>
      </c>
      <c r="BE3475" s="76"/>
      <c r="BF3475" s="76"/>
      <c r="BG3475" s="76"/>
      <c r="BH3475" s="76"/>
      <c r="BI3475" s="76"/>
      <c r="BJ3475" s="76"/>
      <c r="BK3475" s="76"/>
      <c r="BL3475" s="76">
        <f>+BK3475*31500</f>
        <v>0</v>
      </c>
      <c r="BM3475" s="76"/>
      <c r="BN3475" s="76"/>
      <c r="BO3475" s="76"/>
      <c r="BP3475" s="76"/>
      <c r="BQ3475" s="76"/>
      <c r="BR3475" s="76"/>
      <c r="BS3475" s="76"/>
      <c r="BT3475" s="76"/>
      <c r="BU3475" s="76"/>
      <c r="BV3475" s="76"/>
      <c r="BW3475" s="76"/>
      <c r="BX3475" s="76"/>
      <c r="BY3475" s="76"/>
      <c r="BZ3475" s="76"/>
      <c r="CA3475" s="76"/>
      <c r="CB3475" s="76"/>
      <c r="CC3475" s="76"/>
      <c r="CD3475" s="76"/>
      <c r="CE3475" s="76"/>
      <c r="CF3475" s="76">
        <f>+CE3475*28000</f>
        <v>0</v>
      </c>
      <c r="CG3475" s="76"/>
      <c r="CH3475" s="76">
        <f>+CG3475*22500</f>
        <v>0</v>
      </c>
      <c r="CI3475" s="76"/>
      <c r="CJ3475" s="76">
        <f>+CI3475*26000</f>
        <v>0</v>
      </c>
      <c r="CK3475" s="76"/>
      <c r="CL3475" s="76"/>
      <c r="CM3475" s="76"/>
      <c r="CN3475" s="76">
        <f>+CM3475*22000</f>
        <v>0</v>
      </c>
      <c r="CO3475" s="76"/>
      <c r="CP3475" s="76">
        <f>+CO3475*46000</f>
        <v>0</v>
      </c>
      <c r="CQ3475" s="76"/>
      <c r="CR3475" s="76">
        <f>+CQ3475*49000</f>
        <v>0</v>
      </c>
      <c r="CS3475" s="76"/>
      <c r="CT3475" s="76"/>
      <c r="CU3475" s="56">
        <f>AN3475+AP3475+AR3475+AT3475+AV3475+AX3475+AZ3475+BB3475+BD3475+BF3475+BH3475+BJ3475+BL3475+BN3475+BP3475+BR3475+BT3475+BV3475+BX3475+BZ3475+CB3475+CD3475+CF3475+CH3475+CJ3475+CL3475+CN3475+CP3475+CR3475+CT3475</f>
        <v>0</v>
      </c>
      <c r="CV3475" s="76"/>
      <c r="CW3475" s="76">
        <f>+CV3475*1100</f>
        <v>0</v>
      </c>
      <c r="CX3475" s="76"/>
      <c r="CY3475" s="76">
        <f>+CX3475*106250</f>
        <v>0</v>
      </c>
      <c r="CZ3475" s="76"/>
      <c r="DA3475" s="76">
        <f>+CZ3475*34500</f>
        <v>0</v>
      </c>
      <c r="DB3475" s="76"/>
      <c r="DC3475" s="76">
        <f>+DB3475*25000</f>
        <v>0</v>
      </c>
      <c r="DD3475" s="219"/>
      <c r="DE3475" s="219"/>
      <c r="DF3475" s="166"/>
      <c r="DG3475" s="116"/>
      <c r="DH3475" s="117"/>
      <c r="DI3475" s="24"/>
      <c r="DJ3475" s="24"/>
      <c r="DK3475" s="24"/>
      <c r="DL3475" s="24"/>
      <c r="DM3475" s="24"/>
      <c r="DN3475" s="24"/>
      <c r="DO3475" s="24"/>
      <c r="DP3475" s="24"/>
      <c r="DQ3475" s="24"/>
      <c r="DR3475" s="24"/>
      <c r="DS3475" s="24"/>
      <c r="DT3475" s="24"/>
      <c r="DU3475" s="24"/>
    </row>
    <row r="3476" spans="1:125" s="8" customFormat="1" ht="60" x14ac:dyDescent="0.2">
      <c r="A3476" s="77">
        <v>41573</v>
      </c>
      <c r="B3476" s="352" t="s">
        <v>2811</v>
      </c>
      <c r="C3476" s="354" t="s">
        <v>2839</v>
      </c>
      <c r="D3476" s="354" t="s">
        <v>2859</v>
      </c>
      <c r="E3476" s="75" t="str">
        <f>VLOOKUP(B3476&amp;C3476,Divipola!$C$2:$F$1138,4,FALSE)</f>
        <v>52835</v>
      </c>
      <c r="F3476" s="87"/>
      <c r="G3476" s="87"/>
      <c r="H3476" s="87"/>
      <c r="I3476" s="87">
        <f>35*5</f>
        <v>175</v>
      </c>
      <c r="J3476" s="87">
        <v>35</v>
      </c>
      <c r="K3476" s="87">
        <v>15</v>
      </c>
      <c r="L3476" s="87">
        <v>12</v>
      </c>
      <c r="M3476" s="87"/>
      <c r="N3476" s="87"/>
      <c r="O3476" s="87"/>
      <c r="P3476" s="87"/>
      <c r="Q3476" s="87"/>
      <c r="R3476" s="87"/>
      <c r="S3476" s="87"/>
      <c r="T3476" s="87"/>
      <c r="U3476" s="88"/>
      <c r="V3476" s="89"/>
      <c r="W3476" s="96">
        <v>0</v>
      </c>
      <c r="X3476" s="71">
        <f>CU3476</f>
        <v>4234945.3999999994</v>
      </c>
      <c r="Y3476" s="71">
        <f>CY3476</f>
        <v>3681668.2</v>
      </c>
      <c r="Z3476" s="71">
        <f>DA3476+DC3476+DE3476</f>
        <v>269064518.72000003</v>
      </c>
      <c r="AA3476" s="71">
        <f>CW3476</f>
        <v>0</v>
      </c>
      <c r="AB3476" s="71"/>
      <c r="AC3476" s="71">
        <v>0</v>
      </c>
      <c r="AD3476" s="71">
        <f>W3476+X3476+Y3476+Z3476+AA3476+AB3476+AC3476</f>
        <v>276981132.32000005</v>
      </c>
      <c r="AE3476" s="72">
        <v>0</v>
      </c>
      <c r="AF3476" s="5"/>
      <c r="AG3476" s="6"/>
      <c r="AH3476" s="27"/>
      <c r="AI3476" s="44"/>
      <c r="AJ3476" s="26"/>
      <c r="AK3476" s="5"/>
      <c r="AL3476" s="327" t="s">
        <v>6448</v>
      </c>
      <c r="AM3476" s="76"/>
      <c r="AN3476" s="76"/>
      <c r="AO3476" s="76"/>
      <c r="AP3476" s="76"/>
      <c r="AQ3476" s="76"/>
      <c r="AR3476" s="76"/>
      <c r="AS3476" s="76"/>
      <c r="AT3476" s="76"/>
      <c r="AU3476" s="76"/>
      <c r="AV3476" s="76"/>
      <c r="AW3476" s="76"/>
      <c r="AX3476" s="76">
        <f>+AW3476*600000</f>
        <v>0</v>
      </c>
      <c r="AY3476" s="76"/>
      <c r="AZ3476" s="76">
        <f>+AY3476*70000</f>
        <v>0</v>
      </c>
      <c r="BA3476" s="76"/>
      <c r="BB3476" s="76"/>
      <c r="BC3476" s="76"/>
      <c r="BD3476" s="76">
        <f>+BC3476*30000</f>
        <v>0</v>
      </c>
      <c r="BE3476" s="76"/>
      <c r="BF3476" s="76"/>
      <c r="BG3476" s="76"/>
      <c r="BH3476" s="76"/>
      <c r="BI3476" s="76"/>
      <c r="BJ3476" s="76"/>
      <c r="BK3476" s="76"/>
      <c r="BL3476" s="76">
        <f>+BK3476*31500</f>
        <v>0</v>
      </c>
      <c r="BM3476" s="76"/>
      <c r="BN3476" s="76"/>
      <c r="BO3476" s="76"/>
      <c r="BP3476" s="76"/>
      <c r="BQ3476" s="76"/>
      <c r="BR3476" s="76"/>
      <c r="BS3476" s="76"/>
      <c r="BT3476" s="76"/>
      <c r="BU3476" s="76"/>
      <c r="BV3476" s="76"/>
      <c r="BW3476" s="76"/>
      <c r="BX3476" s="76"/>
      <c r="BY3476" s="76"/>
      <c r="BZ3476" s="76"/>
      <c r="CA3476" s="76"/>
      <c r="CB3476" s="76"/>
      <c r="CC3476" s="76"/>
      <c r="CD3476" s="76"/>
      <c r="CE3476" s="76"/>
      <c r="CF3476" s="76">
        <f>+CE3476*28000</f>
        <v>0</v>
      </c>
      <c r="CG3476" s="76"/>
      <c r="CH3476" s="76">
        <f>+CG3476*22500</f>
        <v>0</v>
      </c>
      <c r="CI3476" s="86">
        <v>35</v>
      </c>
      <c r="CJ3476" s="86">
        <f>+CI3476*25999.08</f>
        <v>909967.8</v>
      </c>
      <c r="CK3476" s="76"/>
      <c r="CL3476" s="76"/>
      <c r="CM3476" s="76"/>
      <c r="CN3476" s="76">
        <f>+CM3476*22000</f>
        <v>0</v>
      </c>
      <c r="CO3476" s="86">
        <v>35</v>
      </c>
      <c r="CP3476" s="86">
        <f>+CO3476*45999.8</f>
        <v>1609993</v>
      </c>
      <c r="CQ3476" s="86">
        <v>35</v>
      </c>
      <c r="CR3476" s="86">
        <f>+CQ3476*48999.56</f>
        <v>1714984.5999999999</v>
      </c>
      <c r="CS3476" s="76"/>
      <c r="CT3476" s="76"/>
      <c r="CU3476" s="56">
        <f>AN3476+AP3476+AR3476+AT3476+AV3476+AX3476+AZ3476+BB3476+BD3476+BF3476+BH3476+BJ3476+BL3476+BN3476+BP3476+BR3476+BT3476+BV3476+BX3476+BZ3476+CB3476+CD3476+CF3476+CH3476+CJ3476+CL3476+CN3476+CP3476+CR3476+CT3476</f>
        <v>4234945.3999999994</v>
      </c>
      <c r="CV3476" s="76"/>
      <c r="CW3476" s="76">
        <f>+CV3476*1100</f>
        <v>0</v>
      </c>
      <c r="CX3476" s="86">
        <v>35</v>
      </c>
      <c r="CY3476" s="86">
        <f>+CX3476*105190.52</f>
        <v>3681668.2</v>
      </c>
      <c r="CZ3476" s="76"/>
      <c r="DA3476" s="76">
        <f>+CZ3476*34500</f>
        <v>0</v>
      </c>
      <c r="DB3476" s="76"/>
      <c r="DC3476" s="76">
        <f>+DB3476*25000</f>
        <v>0</v>
      </c>
      <c r="DD3476" s="231" t="s">
        <v>6586</v>
      </c>
      <c r="DE3476" s="223">
        <v>269064518.72000003</v>
      </c>
      <c r="DF3476" s="166"/>
      <c r="DG3476" s="134" t="s">
        <v>6940</v>
      </c>
      <c r="DH3476" s="117"/>
      <c r="DI3476" s="24"/>
      <c r="DJ3476" s="24"/>
      <c r="DK3476" s="24"/>
      <c r="DL3476" s="24"/>
      <c r="DM3476" s="24"/>
      <c r="DN3476" s="24"/>
      <c r="DO3476" s="24"/>
      <c r="DP3476" s="24"/>
      <c r="DQ3476" s="24"/>
      <c r="DR3476" s="24"/>
      <c r="DS3476" s="24"/>
      <c r="DT3476" s="24"/>
      <c r="DU3476" s="24"/>
    </row>
    <row r="3477" spans="1:125" s="8" customFormat="1" ht="84" x14ac:dyDescent="0.2">
      <c r="A3477" s="77">
        <v>41573</v>
      </c>
      <c r="B3477" s="352" t="s">
        <v>2772</v>
      </c>
      <c r="C3477" s="354" t="s">
        <v>1082</v>
      </c>
      <c r="D3477" s="354" t="s">
        <v>2846</v>
      </c>
      <c r="E3477" s="75" t="str">
        <f>VLOOKUP(B3477&amp;C3477,Divipola!$C$2:$F$1138,4,FALSE)</f>
        <v>25326</v>
      </c>
      <c r="F3477" s="87"/>
      <c r="G3477" s="87"/>
      <c r="H3477" s="87"/>
      <c r="I3477" s="87"/>
      <c r="J3477" s="87"/>
      <c r="K3477" s="87"/>
      <c r="L3477" s="87"/>
      <c r="M3477" s="87"/>
      <c r="N3477" s="87"/>
      <c r="O3477" s="87"/>
      <c r="P3477" s="87"/>
      <c r="Q3477" s="87"/>
      <c r="R3477" s="87"/>
      <c r="S3477" s="87"/>
      <c r="T3477" s="87"/>
      <c r="U3477" s="127">
        <v>0.5</v>
      </c>
      <c r="V3477" s="89"/>
      <c r="W3477" s="96">
        <v>0</v>
      </c>
      <c r="X3477" s="71">
        <f>CU3477</f>
        <v>0</v>
      </c>
      <c r="Y3477" s="71">
        <f>CY3477</f>
        <v>0</v>
      </c>
      <c r="Z3477" s="71">
        <f>DA3477+DC3477+DE3477</f>
        <v>0</v>
      </c>
      <c r="AA3477" s="71">
        <f>CW3477</f>
        <v>0</v>
      </c>
      <c r="AB3477" s="71"/>
      <c r="AC3477" s="71">
        <v>0</v>
      </c>
      <c r="AD3477" s="71">
        <f>W3477+X3477+Y3477+Z3477+AA3477+AB3477+AC3477</f>
        <v>0</v>
      </c>
      <c r="AE3477" s="72">
        <v>0</v>
      </c>
      <c r="AF3477" s="5"/>
      <c r="AG3477" s="6"/>
      <c r="AH3477" s="27"/>
      <c r="AI3477" s="44"/>
      <c r="AJ3477" s="26"/>
      <c r="AK3477" s="5"/>
      <c r="AL3477" s="82" t="s">
        <v>6458</v>
      </c>
      <c r="AM3477" s="76"/>
      <c r="AN3477" s="76"/>
      <c r="AO3477" s="76"/>
      <c r="AP3477" s="76"/>
      <c r="AQ3477" s="76"/>
      <c r="AR3477" s="76"/>
      <c r="AS3477" s="76"/>
      <c r="AT3477" s="76"/>
      <c r="AU3477" s="76"/>
      <c r="AV3477" s="76"/>
      <c r="AW3477" s="76"/>
      <c r="AX3477" s="76">
        <f>+AW3477*600000</f>
        <v>0</v>
      </c>
      <c r="AY3477" s="76"/>
      <c r="AZ3477" s="76">
        <f>+AY3477*70000</f>
        <v>0</v>
      </c>
      <c r="BA3477" s="76"/>
      <c r="BB3477" s="76"/>
      <c r="BC3477" s="76"/>
      <c r="BD3477" s="76">
        <f>+BC3477*30000</f>
        <v>0</v>
      </c>
      <c r="BE3477" s="76"/>
      <c r="BF3477" s="76"/>
      <c r="BG3477" s="76"/>
      <c r="BH3477" s="76"/>
      <c r="BI3477" s="76"/>
      <c r="BJ3477" s="76"/>
      <c r="BK3477" s="76"/>
      <c r="BL3477" s="76">
        <f>+BK3477*31500</f>
        <v>0</v>
      </c>
      <c r="BM3477" s="76"/>
      <c r="BN3477" s="76"/>
      <c r="BO3477" s="76"/>
      <c r="BP3477" s="76"/>
      <c r="BQ3477" s="76"/>
      <c r="BR3477" s="76"/>
      <c r="BS3477" s="76"/>
      <c r="BT3477" s="76"/>
      <c r="BU3477" s="76"/>
      <c r="BV3477" s="76"/>
      <c r="BW3477" s="76"/>
      <c r="BX3477" s="76"/>
      <c r="BY3477" s="76"/>
      <c r="BZ3477" s="76"/>
      <c r="CA3477" s="76"/>
      <c r="CB3477" s="76"/>
      <c r="CC3477" s="76"/>
      <c r="CD3477" s="76"/>
      <c r="CE3477" s="76"/>
      <c r="CF3477" s="76">
        <f>+CE3477*28000</f>
        <v>0</v>
      </c>
      <c r="CG3477" s="76"/>
      <c r="CH3477" s="76">
        <f>+CG3477*22500</f>
        <v>0</v>
      </c>
      <c r="CI3477" s="76"/>
      <c r="CJ3477" s="76">
        <f>+CI3477*26000</f>
        <v>0</v>
      </c>
      <c r="CK3477" s="76"/>
      <c r="CL3477" s="76"/>
      <c r="CM3477" s="76"/>
      <c r="CN3477" s="76">
        <f>+CM3477*22000</f>
        <v>0</v>
      </c>
      <c r="CO3477" s="76"/>
      <c r="CP3477" s="76">
        <f>+CO3477*46000</f>
        <v>0</v>
      </c>
      <c r="CQ3477" s="76"/>
      <c r="CR3477" s="76">
        <f>+CQ3477*49000</f>
        <v>0</v>
      </c>
      <c r="CS3477" s="76"/>
      <c r="CT3477" s="76"/>
      <c r="CU3477" s="56">
        <f>AN3477+AP3477+AR3477+AT3477+AV3477+AX3477+AZ3477+BB3477+BD3477+BF3477+BH3477+BJ3477+BL3477+BN3477+BP3477+BR3477+BT3477+BV3477+BX3477+BZ3477+CB3477+CD3477+CF3477+CH3477+CJ3477+CL3477+CN3477+CP3477+CR3477+CT3477</f>
        <v>0</v>
      </c>
      <c r="CV3477" s="76"/>
      <c r="CW3477" s="76">
        <f>+CV3477*1100</f>
        <v>0</v>
      </c>
      <c r="CX3477" s="76"/>
      <c r="CY3477" s="76">
        <f>+CX3477*106250</f>
        <v>0</v>
      </c>
      <c r="CZ3477" s="76"/>
      <c r="DA3477" s="76">
        <f>+CZ3477*34500</f>
        <v>0</v>
      </c>
      <c r="DB3477" s="76"/>
      <c r="DC3477" s="76">
        <f>+DB3477*25000</f>
        <v>0</v>
      </c>
      <c r="DD3477" s="219"/>
      <c r="DE3477" s="219"/>
      <c r="DF3477" s="166"/>
      <c r="DG3477" s="116"/>
      <c r="DH3477" s="117"/>
      <c r="DI3477" s="24"/>
      <c r="DJ3477" s="24"/>
      <c r="DK3477" s="24"/>
      <c r="DL3477" s="24"/>
      <c r="DM3477" s="24"/>
      <c r="DN3477" s="24"/>
      <c r="DO3477" s="24"/>
      <c r="DP3477" s="24"/>
      <c r="DQ3477" s="24"/>
      <c r="DR3477" s="24"/>
      <c r="DS3477" s="24"/>
      <c r="DT3477" s="24"/>
      <c r="DU3477" s="24"/>
    </row>
    <row r="3478" spans="1:125" s="8" customFormat="1" ht="84" x14ac:dyDescent="0.2">
      <c r="A3478" s="353">
        <v>41573</v>
      </c>
      <c r="B3478" s="352" t="s">
        <v>2854</v>
      </c>
      <c r="C3478" s="354" t="s">
        <v>860</v>
      </c>
      <c r="D3478" s="354" t="s">
        <v>2882</v>
      </c>
      <c r="E3478" s="75" t="str">
        <f>VLOOKUP(B3478&amp;C3478,Divipola!$C$2:$F$1138,4,FALSE)</f>
        <v>19573</v>
      </c>
      <c r="F3478" s="87"/>
      <c r="G3478" s="87"/>
      <c r="H3478" s="87"/>
      <c r="I3478" s="87">
        <v>200</v>
      </c>
      <c r="J3478" s="87">
        <v>40</v>
      </c>
      <c r="K3478" s="87"/>
      <c r="L3478" s="87">
        <v>40</v>
      </c>
      <c r="M3478" s="87"/>
      <c r="N3478" s="87"/>
      <c r="O3478" s="87"/>
      <c r="P3478" s="87"/>
      <c r="Q3478" s="87"/>
      <c r="R3478" s="87"/>
      <c r="S3478" s="87"/>
      <c r="T3478" s="87"/>
      <c r="U3478" s="88"/>
      <c r="V3478" s="89"/>
      <c r="W3478" s="96">
        <v>0</v>
      </c>
      <c r="X3478" s="71">
        <f>CU3478</f>
        <v>0</v>
      </c>
      <c r="Y3478" s="71">
        <f>CY3478</f>
        <v>0</v>
      </c>
      <c r="Z3478" s="71">
        <f>DA3478+DC3478+DE3478</f>
        <v>0</v>
      </c>
      <c r="AA3478" s="71">
        <f>CW3478</f>
        <v>0</v>
      </c>
      <c r="AB3478" s="71"/>
      <c r="AC3478" s="71">
        <v>0</v>
      </c>
      <c r="AD3478" s="71">
        <f>W3478+X3478+Y3478+Z3478+AA3478+AB3478+AC3478</f>
        <v>0</v>
      </c>
      <c r="AE3478" s="72">
        <v>0</v>
      </c>
      <c r="AF3478" s="5"/>
      <c r="AG3478" s="6"/>
      <c r="AH3478" s="27"/>
      <c r="AI3478" s="44"/>
      <c r="AJ3478" s="26"/>
      <c r="AK3478" s="5"/>
      <c r="AL3478" s="82" t="s">
        <v>6482</v>
      </c>
      <c r="AM3478" s="76"/>
      <c r="AN3478" s="76"/>
      <c r="AO3478" s="76"/>
      <c r="AP3478" s="76"/>
      <c r="AQ3478" s="76"/>
      <c r="AR3478" s="76"/>
      <c r="AS3478" s="76"/>
      <c r="AT3478" s="76"/>
      <c r="AU3478" s="76"/>
      <c r="AV3478" s="76"/>
      <c r="AW3478" s="76"/>
      <c r="AX3478" s="76">
        <f>+AW3478*600000</f>
        <v>0</v>
      </c>
      <c r="AY3478" s="76"/>
      <c r="AZ3478" s="76">
        <f>+AY3478*70000</f>
        <v>0</v>
      </c>
      <c r="BA3478" s="76"/>
      <c r="BB3478" s="76"/>
      <c r="BC3478" s="76"/>
      <c r="BD3478" s="76">
        <f>+BC3478*30000</f>
        <v>0</v>
      </c>
      <c r="BE3478" s="76"/>
      <c r="BF3478" s="76"/>
      <c r="BG3478" s="76"/>
      <c r="BH3478" s="76"/>
      <c r="BI3478" s="76"/>
      <c r="BJ3478" s="76"/>
      <c r="BK3478" s="76"/>
      <c r="BL3478" s="76">
        <f>+BK3478*31500</f>
        <v>0</v>
      </c>
      <c r="BM3478" s="76"/>
      <c r="BN3478" s="76"/>
      <c r="BO3478" s="76"/>
      <c r="BP3478" s="76"/>
      <c r="BQ3478" s="76"/>
      <c r="BR3478" s="76"/>
      <c r="BS3478" s="76"/>
      <c r="BT3478" s="76"/>
      <c r="BU3478" s="76"/>
      <c r="BV3478" s="76"/>
      <c r="BW3478" s="76"/>
      <c r="BX3478" s="76"/>
      <c r="BY3478" s="76"/>
      <c r="BZ3478" s="76"/>
      <c r="CA3478" s="76"/>
      <c r="CB3478" s="76"/>
      <c r="CC3478" s="76"/>
      <c r="CD3478" s="76"/>
      <c r="CE3478" s="76"/>
      <c r="CF3478" s="76">
        <f>+CE3478*28000</f>
        <v>0</v>
      </c>
      <c r="CG3478" s="76"/>
      <c r="CH3478" s="76">
        <f>+CG3478*22500</f>
        <v>0</v>
      </c>
      <c r="CI3478" s="76"/>
      <c r="CJ3478" s="76">
        <f>+CI3478*26000</f>
        <v>0</v>
      </c>
      <c r="CK3478" s="76"/>
      <c r="CL3478" s="76"/>
      <c r="CM3478" s="76"/>
      <c r="CN3478" s="76">
        <f>+CM3478*22000</f>
        <v>0</v>
      </c>
      <c r="CO3478" s="76"/>
      <c r="CP3478" s="76">
        <f>+CO3478*46000</f>
        <v>0</v>
      </c>
      <c r="CQ3478" s="76"/>
      <c r="CR3478" s="76">
        <f>+CQ3478*49000</f>
        <v>0</v>
      </c>
      <c r="CS3478" s="76"/>
      <c r="CT3478" s="76"/>
      <c r="CU3478" s="56">
        <f>AN3478+AP3478+AR3478+AT3478+AV3478+AX3478+AZ3478+BB3478+BD3478+BF3478+BH3478+BJ3478+BL3478+BN3478+BP3478+BR3478+BT3478+BV3478+BX3478+BZ3478+CB3478+CD3478+CF3478+CH3478+CJ3478+CL3478+CN3478+CP3478+CR3478+CT3478</f>
        <v>0</v>
      </c>
      <c r="CV3478" s="76"/>
      <c r="CW3478" s="76">
        <f>+CV3478*1100</f>
        <v>0</v>
      </c>
      <c r="CX3478" s="76"/>
      <c r="CY3478" s="76">
        <f>+CX3478*106250</f>
        <v>0</v>
      </c>
      <c r="CZ3478" s="76"/>
      <c r="DA3478" s="76">
        <f>+CZ3478*34500</f>
        <v>0</v>
      </c>
      <c r="DB3478" s="76"/>
      <c r="DC3478" s="76">
        <f>+DB3478*25000</f>
        <v>0</v>
      </c>
      <c r="DD3478" s="219"/>
      <c r="DE3478" s="219"/>
      <c r="DF3478" s="166"/>
      <c r="DG3478" s="116"/>
      <c r="DH3478" s="117"/>
      <c r="DI3478" s="24"/>
      <c r="DJ3478" s="24"/>
      <c r="DK3478" s="24"/>
      <c r="DL3478" s="24"/>
      <c r="DM3478" s="24"/>
      <c r="DN3478" s="24"/>
      <c r="DO3478" s="24"/>
      <c r="DP3478" s="24"/>
      <c r="DQ3478" s="24"/>
      <c r="DR3478" s="24"/>
      <c r="DS3478" s="24"/>
      <c r="DT3478" s="24"/>
      <c r="DU3478" s="24"/>
    </row>
    <row r="3479" spans="1:125" s="8" customFormat="1" ht="36" x14ac:dyDescent="0.2">
      <c r="A3479" s="77">
        <v>41574</v>
      </c>
      <c r="B3479" s="78" t="s">
        <v>2881</v>
      </c>
      <c r="C3479" s="75" t="s">
        <v>1407</v>
      </c>
      <c r="D3479" s="75" t="s">
        <v>2882</v>
      </c>
      <c r="E3479" s="75" t="str">
        <f>VLOOKUP(B3479&amp;C3479,Divipola!$C$2:$F$1138,4,FALSE)</f>
        <v>08372</v>
      </c>
      <c r="F3479" s="87"/>
      <c r="G3479" s="87"/>
      <c r="H3479" s="87"/>
      <c r="I3479" s="87">
        <v>20</v>
      </c>
      <c r="J3479" s="87">
        <v>4</v>
      </c>
      <c r="K3479" s="87"/>
      <c r="L3479" s="87">
        <v>4</v>
      </c>
      <c r="M3479" s="87"/>
      <c r="N3479" s="87"/>
      <c r="O3479" s="87"/>
      <c r="P3479" s="87"/>
      <c r="Q3479" s="87"/>
      <c r="R3479" s="87"/>
      <c r="S3479" s="87"/>
      <c r="T3479" s="87"/>
      <c r="U3479" s="88"/>
      <c r="V3479" s="89"/>
      <c r="W3479" s="96">
        <v>0</v>
      </c>
      <c r="X3479" s="71">
        <f>CU3479</f>
        <v>0</v>
      </c>
      <c r="Y3479" s="71">
        <f>CY3479</f>
        <v>0</v>
      </c>
      <c r="Z3479" s="71">
        <f>DA3479+DC3479+DE3479</f>
        <v>0</v>
      </c>
      <c r="AA3479" s="71">
        <f>CW3479</f>
        <v>0</v>
      </c>
      <c r="AB3479" s="71"/>
      <c r="AC3479" s="71">
        <v>0</v>
      </c>
      <c r="AD3479" s="71">
        <f>W3479+X3479+Y3479+Z3479+AA3479+AB3479+AC3479</f>
        <v>0</v>
      </c>
      <c r="AE3479" s="72">
        <v>0</v>
      </c>
      <c r="AF3479" s="5"/>
      <c r="AG3479" s="6"/>
      <c r="AH3479" s="27"/>
      <c r="AI3479" s="44"/>
      <c r="AJ3479" s="26"/>
      <c r="AK3479" s="5"/>
      <c r="AL3479" s="268" t="s">
        <v>6445</v>
      </c>
      <c r="AM3479" s="76"/>
      <c r="AN3479" s="76"/>
      <c r="AO3479" s="76"/>
      <c r="AP3479" s="76"/>
      <c r="AQ3479" s="76"/>
      <c r="AR3479" s="76"/>
      <c r="AS3479" s="76"/>
      <c r="AT3479" s="76"/>
      <c r="AU3479" s="76"/>
      <c r="AV3479" s="76"/>
      <c r="AW3479" s="76"/>
      <c r="AX3479" s="76">
        <f>+AW3479*600000</f>
        <v>0</v>
      </c>
      <c r="AY3479" s="76"/>
      <c r="AZ3479" s="76">
        <f>+AY3479*70000</f>
        <v>0</v>
      </c>
      <c r="BA3479" s="76"/>
      <c r="BB3479" s="76"/>
      <c r="BC3479" s="76"/>
      <c r="BD3479" s="76">
        <f>+BC3479*30000</f>
        <v>0</v>
      </c>
      <c r="BE3479" s="76"/>
      <c r="BF3479" s="76"/>
      <c r="BG3479" s="76"/>
      <c r="BH3479" s="76"/>
      <c r="BI3479" s="76"/>
      <c r="BJ3479" s="76"/>
      <c r="BK3479" s="76"/>
      <c r="BL3479" s="76">
        <f>+BK3479*31500</f>
        <v>0</v>
      </c>
      <c r="BM3479" s="76"/>
      <c r="BN3479" s="76"/>
      <c r="BO3479" s="76"/>
      <c r="BP3479" s="76"/>
      <c r="BQ3479" s="76"/>
      <c r="BR3479" s="76"/>
      <c r="BS3479" s="76"/>
      <c r="BT3479" s="76"/>
      <c r="BU3479" s="76"/>
      <c r="BV3479" s="76"/>
      <c r="BW3479" s="76"/>
      <c r="BX3479" s="76"/>
      <c r="BY3479" s="76"/>
      <c r="BZ3479" s="76"/>
      <c r="CA3479" s="76"/>
      <c r="CB3479" s="76"/>
      <c r="CC3479" s="76"/>
      <c r="CD3479" s="76"/>
      <c r="CE3479" s="76"/>
      <c r="CF3479" s="76">
        <f>+CE3479*28000</f>
        <v>0</v>
      </c>
      <c r="CG3479" s="76"/>
      <c r="CH3479" s="76">
        <f>+CG3479*22500</f>
        <v>0</v>
      </c>
      <c r="CI3479" s="76"/>
      <c r="CJ3479" s="76">
        <f>+CI3479*26000</f>
        <v>0</v>
      </c>
      <c r="CK3479" s="76"/>
      <c r="CL3479" s="76"/>
      <c r="CM3479" s="76"/>
      <c r="CN3479" s="76">
        <f>+CM3479*22000</f>
        <v>0</v>
      </c>
      <c r="CO3479" s="76"/>
      <c r="CP3479" s="76">
        <f>+CO3479*46000</f>
        <v>0</v>
      </c>
      <c r="CQ3479" s="76"/>
      <c r="CR3479" s="76">
        <f>+CQ3479*49000</f>
        <v>0</v>
      </c>
      <c r="CS3479" s="76"/>
      <c r="CT3479" s="76"/>
      <c r="CU3479" s="56">
        <f>AN3479+AP3479+AR3479+AT3479+AV3479+AX3479+AZ3479+BB3479+BD3479+BF3479+BH3479+BJ3479+BL3479+BN3479+BP3479+BR3479+BT3479+BV3479+BX3479+BZ3479+CB3479+CD3479+CF3479+CH3479+CJ3479+CL3479+CN3479+CP3479+CR3479+CT3479</f>
        <v>0</v>
      </c>
      <c r="CV3479" s="76"/>
      <c r="CW3479" s="76">
        <f>+CV3479*1100</f>
        <v>0</v>
      </c>
      <c r="CX3479" s="76"/>
      <c r="CY3479" s="76">
        <f>+CX3479*106250</f>
        <v>0</v>
      </c>
      <c r="CZ3479" s="76"/>
      <c r="DA3479" s="76">
        <f>+CZ3479*34500</f>
        <v>0</v>
      </c>
      <c r="DB3479" s="76"/>
      <c r="DC3479" s="76">
        <f>+DB3479*25000</f>
        <v>0</v>
      </c>
      <c r="DD3479" s="219"/>
      <c r="DE3479" s="219"/>
      <c r="DF3479" s="166"/>
      <c r="DG3479" s="116"/>
      <c r="DH3479" s="117"/>
      <c r="DI3479" s="24"/>
      <c r="DJ3479" s="24"/>
      <c r="DK3479" s="24"/>
      <c r="DL3479" s="24"/>
      <c r="DM3479" s="24"/>
      <c r="DN3479" s="24"/>
      <c r="DO3479" s="24"/>
      <c r="DP3479" s="24"/>
      <c r="DQ3479" s="24"/>
      <c r="DR3479" s="24"/>
      <c r="DS3479" s="24"/>
      <c r="DT3479" s="24"/>
      <c r="DU3479" s="24"/>
    </row>
    <row r="3480" spans="1:125" s="8" customFormat="1" ht="60" x14ac:dyDescent="0.2">
      <c r="A3480" s="77">
        <v>41574</v>
      </c>
      <c r="B3480" s="352" t="s">
        <v>2881</v>
      </c>
      <c r="C3480" s="354" t="s">
        <v>2757</v>
      </c>
      <c r="D3480" s="354" t="s">
        <v>2882</v>
      </c>
      <c r="E3480" s="75" t="str">
        <f>VLOOKUP(B3480&amp;C3480,Divipola!$C$2:$F$1138,4,FALSE)</f>
        <v>08141</v>
      </c>
      <c r="F3480" s="87"/>
      <c r="G3480" s="87"/>
      <c r="H3480" s="87"/>
      <c r="I3480" s="87"/>
      <c r="J3480" s="87"/>
      <c r="K3480" s="87"/>
      <c r="L3480" s="87"/>
      <c r="M3480" s="87"/>
      <c r="N3480" s="87"/>
      <c r="O3480" s="87"/>
      <c r="P3480" s="87"/>
      <c r="Q3480" s="87"/>
      <c r="R3480" s="87"/>
      <c r="S3480" s="87"/>
      <c r="T3480" s="87"/>
      <c r="U3480" s="88"/>
      <c r="V3480" s="89"/>
      <c r="W3480" s="96">
        <v>0</v>
      </c>
      <c r="X3480" s="71">
        <f>CU3480</f>
        <v>0</v>
      </c>
      <c r="Y3480" s="71">
        <f>CY3480</f>
        <v>0</v>
      </c>
      <c r="Z3480" s="71">
        <f>DA3480+DC3480+DE3480</f>
        <v>0</v>
      </c>
      <c r="AA3480" s="71">
        <f>CW3480</f>
        <v>0</v>
      </c>
      <c r="AB3480" s="71"/>
      <c r="AC3480" s="71">
        <v>0</v>
      </c>
      <c r="AD3480" s="71">
        <f>W3480+X3480+Y3480+Z3480+AA3480+AB3480+AC3480</f>
        <v>0</v>
      </c>
      <c r="AE3480" s="72">
        <v>0</v>
      </c>
      <c r="AF3480" s="5"/>
      <c r="AG3480" s="6"/>
      <c r="AH3480" s="27"/>
      <c r="AI3480" s="44"/>
      <c r="AJ3480" s="26"/>
      <c r="AK3480" s="5"/>
      <c r="AL3480" s="82" t="s">
        <v>6446</v>
      </c>
      <c r="AM3480" s="76"/>
      <c r="AN3480" s="76"/>
      <c r="AO3480" s="76"/>
      <c r="AP3480" s="76"/>
      <c r="AQ3480" s="76"/>
      <c r="AR3480" s="76"/>
      <c r="AS3480" s="76"/>
      <c r="AT3480" s="76"/>
      <c r="AU3480" s="76"/>
      <c r="AV3480" s="76"/>
      <c r="AW3480" s="76"/>
      <c r="AX3480" s="76">
        <f>+AW3480*600000</f>
        <v>0</v>
      </c>
      <c r="AY3480" s="76"/>
      <c r="AZ3480" s="76">
        <f>+AY3480*70000</f>
        <v>0</v>
      </c>
      <c r="BA3480" s="76"/>
      <c r="BB3480" s="76"/>
      <c r="BC3480" s="76"/>
      <c r="BD3480" s="76">
        <f>+BC3480*30000</f>
        <v>0</v>
      </c>
      <c r="BE3480" s="76"/>
      <c r="BF3480" s="76"/>
      <c r="BG3480" s="76"/>
      <c r="BH3480" s="76"/>
      <c r="BI3480" s="76"/>
      <c r="BJ3480" s="76"/>
      <c r="BK3480" s="76"/>
      <c r="BL3480" s="76">
        <f>+BK3480*31500</f>
        <v>0</v>
      </c>
      <c r="BM3480" s="76"/>
      <c r="BN3480" s="76"/>
      <c r="BO3480" s="76"/>
      <c r="BP3480" s="76"/>
      <c r="BQ3480" s="76"/>
      <c r="BR3480" s="76"/>
      <c r="BS3480" s="76"/>
      <c r="BT3480" s="76"/>
      <c r="BU3480" s="76"/>
      <c r="BV3480" s="76"/>
      <c r="BW3480" s="76"/>
      <c r="BX3480" s="76"/>
      <c r="BY3480" s="76"/>
      <c r="BZ3480" s="76"/>
      <c r="CA3480" s="76"/>
      <c r="CB3480" s="76"/>
      <c r="CC3480" s="76"/>
      <c r="CD3480" s="76"/>
      <c r="CE3480" s="76"/>
      <c r="CF3480" s="76">
        <f>+CE3480*28000</f>
        <v>0</v>
      </c>
      <c r="CG3480" s="76"/>
      <c r="CH3480" s="76">
        <f>+CG3480*22500</f>
        <v>0</v>
      </c>
      <c r="CI3480" s="76"/>
      <c r="CJ3480" s="76">
        <f>+CI3480*26000</f>
        <v>0</v>
      </c>
      <c r="CK3480" s="76"/>
      <c r="CL3480" s="76"/>
      <c r="CM3480" s="76"/>
      <c r="CN3480" s="76">
        <f>+CM3480*22000</f>
        <v>0</v>
      </c>
      <c r="CO3480" s="76"/>
      <c r="CP3480" s="76">
        <f>+CO3480*46000</f>
        <v>0</v>
      </c>
      <c r="CQ3480" s="76"/>
      <c r="CR3480" s="76">
        <f>+CQ3480*49000</f>
        <v>0</v>
      </c>
      <c r="CS3480" s="76"/>
      <c r="CT3480" s="76"/>
      <c r="CU3480" s="56">
        <f>AN3480+AP3480+AR3480+AT3480+AV3480+AX3480+AZ3480+BB3480+BD3480+BF3480+BH3480+BJ3480+BL3480+BN3480+BP3480+BR3480+BT3480+BV3480+BX3480+BZ3480+CB3480+CD3480+CF3480+CH3480+CJ3480+CL3480+CN3480+CP3480+CR3480+CT3480</f>
        <v>0</v>
      </c>
      <c r="CV3480" s="76"/>
      <c r="CW3480" s="76">
        <f>+CV3480*1100</f>
        <v>0</v>
      </c>
      <c r="CX3480" s="76"/>
      <c r="CY3480" s="76">
        <f>+CX3480*106250</f>
        <v>0</v>
      </c>
      <c r="CZ3480" s="76"/>
      <c r="DA3480" s="76">
        <f>+CZ3480*34500</f>
        <v>0</v>
      </c>
      <c r="DB3480" s="76"/>
      <c r="DC3480" s="76">
        <f>+DB3480*25000</f>
        <v>0</v>
      </c>
      <c r="DD3480" s="219"/>
      <c r="DE3480" s="219"/>
      <c r="DF3480" s="166"/>
      <c r="DG3480" s="116"/>
      <c r="DH3480" s="117"/>
      <c r="DI3480" s="24"/>
      <c r="DJ3480" s="24"/>
      <c r="DK3480" s="24"/>
      <c r="DL3480" s="24"/>
      <c r="DM3480" s="24"/>
      <c r="DN3480" s="24"/>
      <c r="DO3480" s="24"/>
      <c r="DP3480" s="24"/>
      <c r="DQ3480" s="24"/>
      <c r="DR3480" s="24"/>
      <c r="DS3480" s="24"/>
      <c r="DT3480" s="24"/>
      <c r="DU3480" s="24"/>
    </row>
    <row r="3481" spans="1:125" s="8" customFormat="1" ht="60" x14ac:dyDescent="0.2">
      <c r="A3481" s="77">
        <v>41574</v>
      </c>
      <c r="B3481" s="352" t="s">
        <v>2848</v>
      </c>
      <c r="C3481" s="354" t="s">
        <v>2191</v>
      </c>
      <c r="D3481" s="354" t="s">
        <v>2882</v>
      </c>
      <c r="E3481" s="75" t="str">
        <f>VLOOKUP(B3481&amp;C3481,Divipola!$C$2:$F$1138,4,FALSE)</f>
        <v>73319</v>
      </c>
      <c r="F3481" s="87"/>
      <c r="G3481" s="87"/>
      <c r="H3481" s="87"/>
      <c r="I3481" s="87">
        <v>5</v>
      </c>
      <c r="J3481" s="87">
        <v>1</v>
      </c>
      <c r="K3481" s="87"/>
      <c r="L3481" s="87">
        <v>1</v>
      </c>
      <c r="M3481" s="87"/>
      <c r="N3481" s="87"/>
      <c r="O3481" s="87"/>
      <c r="P3481" s="87"/>
      <c r="Q3481" s="87"/>
      <c r="R3481" s="87"/>
      <c r="S3481" s="87"/>
      <c r="T3481" s="87"/>
      <c r="U3481" s="88"/>
      <c r="V3481" s="89"/>
      <c r="W3481" s="96">
        <v>0</v>
      </c>
      <c r="X3481" s="71">
        <f>CU3481</f>
        <v>0</v>
      </c>
      <c r="Y3481" s="71">
        <f>CY3481</f>
        <v>0</v>
      </c>
      <c r="Z3481" s="71">
        <f>DA3481+DC3481+DE3481</f>
        <v>0</v>
      </c>
      <c r="AA3481" s="71">
        <f>CW3481</f>
        <v>0</v>
      </c>
      <c r="AB3481" s="71"/>
      <c r="AC3481" s="71">
        <v>0</v>
      </c>
      <c r="AD3481" s="71">
        <f>W3481+X3481+Y3481+Z3481+AA3481+AB3481+AC3481</f>
        <v>0</v>
      </c>
      <c r="AE3481" s="72">
        <v>0</v>
      </c>
      <c r="AF3481" s="5"/>
      <c r="AG3481" s="6"/>
      <c r="AH3481" s="27"/>
      <c r="AI3481" s="44"/>
      <c r="AJ3481" s="26"/>
      <c r="AK3481" s="5"/>
      <c r="AL3481" s="315" t="s">
        <v>6447</v>
      </c>
      <c r="AM3481" s="76"/>
      <c r="AN3481" s="76"/>
      <c r="AO3481" s="76"/>
      <c r="AP3481" s="76"/>
      <c r="AQ3481" s="76"/>
      <c r="AR3481" s="76"/>
      <c r="AS3481" s="76"/>
      <c r="AT3481" s="76"/>
      <c r="AU3481" s="76"/>
      <c r="AV3481" s="76"/>
      <c r="AW3481" s="76"/>
      <c r="AX3481" s="76">
        <f>+AW3481*600000</f>
        <v>0</v>
      </c>
      <c r="AY3481" s="76"/>
      <c r="AZ3481" s="76">
        <f>+AY3481*70000</f>
        <v>0</v>
      </c>
      <c r="BA3481" s="76"/>
      <c r="BB3481" s="76"/>
      <c r="BC3481" s="76"/>
      <c r="BD3481" s="76">
        <f>+BC3481*30000</f>
        <v>0</v>
      </c>
      <c r="BE3481" s="76"/>
      <c r="BF3481" s="76"/>
      <c r="BG3481" s="76"/>
      <c r="BH3481" s="76"/>
      <c r="BI3481" s="76"/>
      <c r="BJ3481" s="76"/>
      <c r="BK3481" s="76"/>
      <c r="BL3481" s="76">
        <f>+BK3481*31500</f>
        <v>0</v>
      </c>
      <c r="BM3481" s="76"/>
      <c r="BN3481" s="76"/>
      <c r="BO3481" s="76"/>
      <c r="BP3481" s="76"/>
      <c r="BQ3481" s="76"/>
      <c r="BR3481" s="76"/>
      <c r="BS3481" s="76"/>
      <c r="BT3481" s="76"/>
      <c r="BU3481" s="76"/>
      <c r="BV3481" s="76"/>
      <c r="BW3481" s="76"/>
      <c r="BX3481" s="76"/>
      <c r="BY3481" s="76"/>
      <c r="BZ3481" s="76"/>
      <c r="CA3481" s="76"/>
      <c r="CB3481" s="76"/>
      <c r="CC3481" s="76"/>
      <c r="CD3481" s="76"/>
      <c r="CE3481" s="76"/>
      <c r="CF3481" s="76">
        <f>+CE3481*28000</f>
        <v>0</v>
      </c>
      <c r="CG3481" s="76"/>
      <c r="CH3481" s="76">
        <f>+CG3481*22500</f>
        <v>0</v>
      </c>
      <c r="CI3481" s="76"/>
      <c r="CJ3481" s="76">
        <f>+CI3481*26000</f>
        <v>0</v>
      </c>
      <c r="CK3481" s="76"/>
      <c r="CL3481" s="76"/>
      <c r="CM3481" s="76"/>
      <c r="CN3481" s="76">
        <f>+CM3481*22000</f>
        <v>0</v>
      </c>
      <c r="CO3481" s="76"/>
      <c r="CP3481" s="76">
        <f>+CO3481*46000</f>
        <v>0</v>
      </c>
      <c r="CQ3481" s="76"/>
      <c r="CR3481" s="76">
        <f>+CQ3481*49000</f>
        <v>0</v>
      </c>
      <c r="CS3481" s="76"/>
      <c r="CT3481" s="76"/>
      <c r="CU3481" s="56">
        <f>AN3481+AP3481+AR3481+AT3481+AV3481+AX3481+AZ3481+BB3481+BD3481+BF3481+BH3481+BJ3481+BL3481+BN3481+BP3481+BR3481+BT3481+BV3481+BX3481+BZ3481+CB3481+CD3481+CF3481+CH3481+CJ3481+CL3481+CN3481+CP3481+CR3481+CT3481</f>
        <v>0</v>
      </c>
      <c r="CV3481" s="76"/>
      <c r="CW3481" s="76">
        <f>+CV3481*1100</f>
        <v>0</v>
      </c>
      <c r="CX3481" s="76"/>
      <c r="CY3481" s="76">
        <f>+CX3481*106250</f>
        <v>0</v>
      </c>
      <c r="CZ3481" s="76"/>
      <c r="DA3481" s="76">
        <f>+CZ3481*34500</f>
        <v>0</v>
      </c>
      <c r="DB3481" s="76"/>
      <c r="DC3481" s="76">
        <f>+DB3481*25000</f>
        <v>0</v>
      </c>
      <c r="DD3481" s="219"/>
      <c r="DE3481" s="219"/>
      <c r="DF3481" s="166"/>
      <c r="DG3481" s="116"/>
      <c r="DH3481" s="117"/>
      <c r="DI3481" s="24"/>
      <c r="DJ3481" s="24"/>
      <c r="DK3481" s="24"/>
      <c r="DL3481" s="24"/>
      <c r="DM3481" s="24"/>
      <c r="DN3481" s="24"/>
      <c r="DO3481" s="24"/>
      <c r="DP3481" s="24"/>
      <c r="DQ3481" s="24"/>
      <c r="DR3481" s="24"/>
      <c r="DS3481" s="24"/>
      <c r="DT3481" s="24"/>
      <c r="DU3481" s="24"/>
    </row>
    <row r="3482" spans="1:125" s="8" customFormat="1" ht="60" x14ac:dyDescent="0.2">
      <c r="A3482" s="77">
        <v>41574</v>
      </c>
      <c r="B3482" s="84" t="s">
        <v>2848</v>
      </c>
      <c r="C3482" s="84" t="s">
        <v>2077</v>
      </c>
      <c r="D3482" s="75" t="s">
        <v>3017</v>
      </c>
      <c r="E3482" s="75" t="str">
        <f>VLOOKUP(B3482&amp;C3482,Divipola!$C$2:$F$1138,4,FALSE)</f>
        <v>73411</v>
      </c>
      <c r="F3482" s="89"/>
      <c r="G3482" s="89"/>
      <c r="H3482" s="89"/>
      <c r="I3482" s="89">
        <v>10</v>
      </c>
      <c r="J3482" s="89">
        <v>2</v>
      </c>
      <c r="K3482" s="89">
        <v>1</v>
      </c>
      <c r="L3482" s="89">
        <v>1</v>
      </c>
      <c r="M3482" s="89"/>
      <c r="N3482" s="89"/>
      <c r="O3482" s="89"/>
      <c r="P3482" s="89"/>
      <c r="Q3482" s="89"/>
      <c r="R3482" s="89"/>
      <c r="S3482" s="89"/>
      <c r="T3482" s="89"/>
      <c r="U3482" s="89"/>
      <c r="V3482" s="89"/>
      <c r="W3482" s="96">
        <v>0</v>
      </c>
      <c r="X3482" s="71">
        <f>CU3482</f>
        <v>0</v>
      </c>
      <c r="Y3482" s="71">
        <f>CY3482</f>
        <v>0</v>
      </c>
      <c r="Z3482" s="71">
        <f>DA3482+DC3482+DE3482</f>
        <v>0</v>
      </c>
      <c r="AA3482" s="71">
        <f>CW3482</f>
        <v>0</v>
      </c>
      <c r="AB3482" s="71"/>
      <c r="AC3482" s="71">
        <v>0</v>
      </c>
      <c r="AD3482" s="71">
        <f>W3482+X3482+Y3482+Z3482+AA3482+AB3482+AC3482</f>
        <v>0</v>
      </c>
      <c r="AE3482" s="72">
        <v>0</v>
      </c>
      <c r="AF3482" s="5"/>
      <c r="AG3482" s="6"/>
      <c r="AH3482" s="27"/>
      <c r="AI3482" s="44"/>
      <c r="AJ3482" s="26"/>
      <c r="AK3482" s="5"/>
      <c r="AL3482" s="326" t="s">
        <v>6449</v>
      </c>
      <c r="AM3482" s="76"/>
      <c r="AN3482" s="76"/>
      <c r="AO3482" s="76"/>
      <c r="AP3482" s="76"/>
      <c r="AQ3482" s="76"/>
      <c r="AR3482" s="76"/>
      <c r="AS3482" s="76"/>
      <c r="AT3482" s="76"/>
      <c r="AU3482" s="76"/>
      <c r="AV3482" s="76"/>
      <c r="AW3482" s="76"/>
      <c r="AX3482" s="76">
        <f>+AW3482*600000</f>
        <v>0</v>
      </c>
      <c r="AY3482" s="76"/>
      <c r="AZ3482" s="76">
        <f>+AY3482*70000</f>
        <v>0</v>
      </c>
      <c r="BA3482" s="76"/>
      <c r="BB3482" s="76"/>
      <c r="BC3482" s="76"/>
      <c r="BD3482" s="76">
        <f>+BC3482*30000</f>
        <v>0</v>
      </c>
      <c r="BE3482" s="76"/>
      <c r="BF3482" s="76"/>
      <c r="BG3482" s="76"/>
      <c r="BH3482" s="76"/>
      <c r="BI3482" s="76"/>
      <c r="BJ3482" s="76"/>
      <c r="BK3482" s="76"/>
      <c r="BL3482" s="76">
        <f>+BK3482*31500</f>
        <v>0</v>
      </c>
      <c r="BM3482" s="76"/>
      <c r="BN3482" s="76"/>
      <c r="BO3482" s="76"/>
      <c r="BP3482" s="76"/>
      <c r="BQ3482" s="76"/>
      <c r="BR3482" s="76"/>
      <c r="BS3482" s="76"/>
      <c r="BT3482" s="76"/>
      <c r="BU3482" s="76"/>
      <c r="BV3482" s="76"/>
      <c r="BW3482" s="76"/>
      <c r="BX3482" s="76"/>
      <c r="BY3482" s="76"/>
      <c r="BZ3482" s="76"/>
      <c r="CA3482" s="76"/>
      <c r="CB3482" s="76"/>
      <c r="CC3482" s="76"/>
      <c r="CD3482" s="76"/>
      <c r="CE3482" s="76"/>
      <c r="CF3482" s="76">
        <f>+CE3482*28000</f>
        <v>0</v>
      </c>
      <c r="CG3482" s="76"/>
      <c r="CH3482" s="76">
        <f>+CG3482*22500</f>
        <v>0</v>
      </c>
      <c r="CI3482" s="76"/>
      <c r="CJ3482" s="76">
        <f>+CI3482*26000</f>
        <v>0</v>
      </c>
      <c r="CK3482" s="76"/>
      <c r="CL3482" s="76"/>
      <c r="CM3482" s="76"/>
      <c r="CN3482" s="76">
        <f>+CM3482*22000</f>
        <v>0</v>
      </c>
      <c r="CO3482" s="76"/>
      <c r="CP3482" s="76">
        <f>+CO3482*46000</f>
        <v>0</v>
      </c>
      <c r="CQ3482" s="76"/>
      <c r="CR3482" s="76">
        <f>+CQ3482*49000</f>
        <v>0</v>
      </c>
      <c r="CS3482" s="76"/>
      <c r="CT3482" s="76"/>
      <c r="CU3482" s="56">
        <f>AN3482+AP3482+AR3482+AT3482+AV3482+AX3482+AZ3482+BB3482+BD3482+BF3482+BH3482+BJ3482+BL3482+BN3482+BP3482+BR3482+BT3482+BV3482+BX3482+BZ3482+CB3482+CD3482+CF3482+CH3482+CJ3482+CL3482+CN3482+CP3482+CR3482+CT3482</f>
        <v>0</v>
      </c>
      <c r="CV3482" s="76"/>
      <c r="CW3482" s="76">
        <f>+CV3482*1100</f>
        <v>0</v>
      </c>
      <c r="CX3482" s="76"/>
      <c r="CY3482" s="76">
        <f>+CX3482*106250</f>
        <v>0</v>
      </c>
      <c r="CZ3482" s="76"/>
      <c r="DA3482" s="76">
        <f>+CZ3482*34500</f>
        <v>0</v>
      </c>
      <c r="DB3482" s="76"/>
      <c r="DC3482" s="76">
        <f>+DB3482*25000</f>
        <v>0</v>
      </c>
      <c r="DD3482" s="219"/>
      <c r="DE3482" s="219"/>
      <c r="DF3482" s="166"/>
      <c r="DG3482" s="116"/>
      <c r="DH3482" s="117"/>
      <c r="DI3482" s="24"/>
      <c r="DJ3482" s="24"/>
      <c r="DK3482" s="24"/>
      <c r="DL3482" s="24"/>
      <c r="DM3482" s="24"/>
      <c r="DN3482" s="24"/>
      <c r="DO3482" s="24"/>
      <c r="DP3482" s="24"/>
      <c r="DQ3482" s="24"/>
      <c r="DR3482" s="24"/>
      <c r="DS3482" s="24"/>
      <c r="DT3482" s="24"/>
      <c r="DU3482" s="24"/>
    </row>
    <row r="3483" spans="1:125" s="8" customFormat="1" ht="84" x14ac:dyDescent="0.2">
      <c r="A3483" s="353">
        <v>41574</v>
      </c>
      <c r="B3483" s="352" t="s">
        <v>2851</v>
      </c>
      <c r="C3483" s="354" t="s">
        <v>2667</v>
      </c>
      <c r="D3483" s="354" t="s">
        <v>2882</v>
      </c>
      <c r="E3483" s="75" t="str">
        <f>VLOOKUP(B3483&amp;C3483,Divipola!$C$2:$F$1138,4,FALSE)</f>
        <v>76364</v>
      </c>
      <c r="F3483" s="87"/>
      <c r="G3483" s="87"/>
      <c r="H3483" s="87"/>
      <c r="I3483" s="87">
        <v>70</v>
      </c>
      <c r="J3483" s="87">
        <v>14</v>
      </c>
      <c r="K3483" s="87"/>
      <c r="L3483" s="87">
        <v>14</v>
      </c>
      <c r="M3483" s="87"/>
      <c r="N3483" s="87"/>
      <c r="O3483" s="87"/>
      <c r="P3483" s="87"/>
      <c r="Q3483" s="87"/>
      <c r="R3483" s="87"/>
      <c r="S3483" s="87"/>
      <c r="T3483" s="87"/>
      <c r="U3483" s="88"/>
      <c r="V3483" s="89"/>
      <c r="W3483" s="96">
        <v>0</v>
      </c>
      <c r="X3483" s="71">
        <f>CU3483</f>
        <v>0</v>
      </c>
      <c r="Y3483" s="71">
        <f>CY3483</f>
        <v>0</v>
      </c>
      <c r="Z3483" s="71">
        <f>DA3483+DC3483+DE3483</f>
        <v>0</v>
      </c>
      <c r="AA3483" s="71">
        <f>CW3483</f>
        <v>0</v>
      </c>
      <c r="AB3483" s="71"/>
      <c r="AC3483" s="71">
        <v>0</v>
      </c>
      <c r="AD3483" s="71">
        <f>W3483+X3483+Y3483+Z3483+AA3483+AB3483+AC3483</f>
        <v>0</v>
      </c>
      <c r="AE3483" s="72">
        <v>0</v>
      </c>
      <c r="AF3483" s="5"/>
      <c r="AG3483" s="6"/>
      <c r="AH3483" s="27"/>
      <c r="AI3483" s="44"/>
      <c r="AJ3483" s="26"/>
      <c r="AK3483" s="5"/>
      <c r="AL3483" s="82" t="s">
        <v>6451</v>
      </c>
      <c r="AM3483" s="76"/>
      <c r="AN3483" s="76"/>
      <c r="AO3483" s="76"/>
      <c r="AP3483" s="76"/>
      <c r="AQ3483" s="76"/>
      <c r="AR3483" s="76"/>
      <c r="AS3483" s="76"/>
      <c r="AT3483" s="76"/>
      <c r="AU3483" s="76"/>
      <c r="AV3483" s="76"/>
      <c r="AW3483" s="76"/>
      <c r="AX3483" s="76">
        <f>+AW3483*600000</f>
        <v>0</v>
      </c>
      <c r="AY3483" s="76"/>
      <c r="AZ3483" s="76">
        <f>+AY3483*70000</f>
        <v>0</v>
      </c>
      <c r="BA3483" s="76"/>
      <c r="BB3483" s="76"/>
      <c r="BC3483" s="76"/>
      <c r="BD3483" s="76">
        <f>+BC3483*30000</f>
        <v>0</v>
      </c>
      <c r="BE3483" s="76"/>
      <c r="BF3483" s="76"/>
      <c r="BG3483" s="76"/>
      <c r="BH3483" s="76"/>
      <c r="BI3483" s="76"/>
      <c r="BJ3483" s="76"/>
      <c r="BK3483" s="76"/>
      <c r="BL3483" s="76">
        <f>+BK3483*31500</f>
        <v>0</v>
      </c>
      <c r="BM3483" s="76"/>
      <c r="BN3483" s="76"/>
      <c r="BO3483" s="76"/>
      <c r="BP3483" s="76"/>
      <c r="BQ3483" s="76"/>
      <c r="BR3483" s="76"/>
      <c r="BS3483" s="76"/>
      <c r="BT3483" s="76"/>
      <c r="BU3483" s="76"/>
      <c r="BV3483" s="76"/>
      <c r="BW3483" s="76"/>
      <c r="BX3483" s="76"/>
      <c r="BY3483" s="76"/>
      <c r="BZ3483" s="76"/>
      <c r="CA3483" s="76"/>
      <c r="CB3483" s="76"/>
      <c r="CC3483" s="76"/>
      <c r="CD3483" s="76"/>
      <c r="CE3483" s="76"/>
      <c r="CF3483" s="76">
        <f>+CE3483*28000</f>
        <v>0</v>
      </c>
      <c r="CG3483" s="76"/>
      <c r="CH3483" s="76">
        <f>+CG3483*22500</f>
        <v>0</v>
      </c>
      <c r="CI3483" s="76"/>
      <c r="CJ3483" s="76">
        <f>+CI3483*26000</f>
        <v>0</v>
      </c>
      <c r="CK3483" s="76"/>
      <c r="CL3483" s="76"/>
      <c r="CM3483" s="76"/>
      <c r="CN3483" s="76">
        <f>+CM3483*22000</f>
        <v>0</v>
      </c>
      <c r="CO3483" s="76"/>
      <c r="CP3483" s="76">
        <f>+CO3483*46000</f>
        <v>0</v>
      </c>
      <c r="CQ3483" s="76"/>
      <c r="CR3483" s="76">
        <f>+CQ3483*49000</f>
        <v>0</v>
      </c>
      <c r="CS3483" s="76"/>
      <c r="CT3483" s="76"/>
      <c r="CU3483" s="56">
        <f>AN3483+AP3483+AR3483+AT3483+AV3483+AX3483+AZ3483+BB3483+BD3483+BF3483+BH3483+BJ3483+BL3483+BN3483+BP3483+BR3483+BT3483+BV3483+BX3483+BZ3483+CB3483+CD3483+CF3483+CH3483+CJ3483+CL3483+CN3483+CP3483+CR3483+CT3483</f>
        <v>0</v>
      </c>
      <c r="CV3483" s="76"/>
      <c r="CW3483" s="76">
        <f>+CV3483*1100</f>
        <v>0</v>
      </c>
      <c r="CX3483" s="76"/>
      <c r="CY3483" s="76">
        <f>+CX3483*106250</f>
        <v>0</v>
      </c>
      <c r="CZ3483" s="76"/>
      <c r="DA3483" s="76">
        <f>+CZ3483*34500</f>
        <v>0</v>
      </c>
      <c r="DB3483" s="76"/>
      <c r="DC3483" s="76">
        <f>+DB3483*25000</f>
        <v>0</v>
      </c>
      <c r="DD3483" s="219"/>
      <c r="DE3483" s="219"/>
      <c r="DF3483" s="166"/>
      <c r="DG3483" s="116"/>
      <c r="DH3483" s="117"/>
      <c r="DI3483" s="24"/>
      <c r="DJ3483" s="24"/>
      <c r="DK3483" s="24"/>
      <c r="DL3483" s="24"/>
      <c r="DM3483" s="24"/>
      <c r="DN3483" s="24"/>
      <c r="DO3483" s="24"/>
      <c r="DP3483" s="24"/>
      <c r="DQ3483" s="24"/>
      <c r="DR3483" s="24"/>
      <c r="DS3483" s="24"/>
      <c r="DT3483" s="24"/>
      <c r="DU3483" s="24"/>
    </row>
    <row r="3484" spans="1:125" s="8" customFormat="1" ht="60" x14ac:dyDescent="0.2">
      <c r="A3484" s="353">
        <v>41574</v>
      </c>
      <c r="B3484" s="352" t="s">
        <v>2860</v>
      </c>
      <c r="C3484" s="354" t="s">
        <v>476</v>
      </c>
      <c r="D3484" s="354" t="s">
        <v>2882</v>
      </c>
      <c r="E3484" s="75" t="str">
        <f>VLOOKUP(B3484&amp;C3484,Divipola!$C$2:$F$1138,4,FALSE)</f>
        <v>63272</v>
      </c>
      <c r="F3484" s="87"/>
      <c r="G3484" s="87"/>
      <c r="H3484" s="87"/>
      <c r="I3484" s="87">
        <v>20</v>
      </c>
      <c r="J3484" s="87">
        <v>4</v>
      </c>
      <c r="K3484" s="87"/>
      <c r="L3484" s="87">
        <v>4</v>
      </c>
      <c r="M3484" s="87"/>
      <c r="N3484" s="87"/>
      <c r="O3484" s="87"/>
      <c r="P3484" s="87"/>
      <c r="Q3484" s="87"/>
      <c r="R3484" s="87"/>
      <c r="S3484" s="87"/>
      <c r="T3484" s="87"/>
      <c r="U3484" s="88"/>
      <c r="V3484" s="89"/>
      <c r="W3484" s="96">
        <v>0</v>
      </c>
      <c r="X3484" s="71">
        <f>CU3484</f>
        <v>0</v>
      </c>
      <c r="Y3484" s="71">
        <f>CY3484</f>
        <v>0</v>
      </c>
      <c r="Z3484" s="71">
        <f>DA3484+DC3484+DE3484</f>
        <v>0</v>
      </c>
      <c r="AA3484" s="71">
        <f>CW3484</f>
        <v>0</v>
      </c>
      <c r="AB3484" s="71"/>
      <c r="AC3484" s="71">
        <v>0</v>
      </c>
      <c r="AD3484" s="71">
        <f>W3484+X3484+Y3484+Z3484+AA3484+AB3484+AC3484</f>
        <v>0</v>
      </c>
      <c r="AE3484" s="72">
        <v>0</v>
      </c>
      <c r="AF3484" s="5"/>
      <c r="AG3484" s="6"/>
      <c r="AH3484" s="27"/>
      <c r="AI3484" s="44"/>
      <c r="AJ3484" s="26"/>
      <c r="AK3484" s="5"/>
      <c r="AL3484" s="82" t="s">
        <v>6480</v>
      </c>
      <c r="AM3484" s="76"/>
      <c r="AN3484" s="76"/>
      <c r="AO3484" s="76"/>
      <c r="AP3484" s="76"/>
      <c r="AQ3484" s="76"/>
      <c r="AR3484" s="76"/>
      <c r="AS3484" s="76"/>
      <c r="AT3484" s="76"/>
      <c r="AU3484" s="76"/>
      <c r="AV3484" s="76"/>
      <c r="AW3484" s="76"/>
      <c r="AX3484" s="76">
        <f>+AW3484*600000</f>
        <v>0</v>
      </c>
      <c r="AY3484" s="76"/>
      <c r="AZ3484" s="76">
        <f>+AY3484*70000</f>
        <v>0</v>
      </c>
      <c r="BA3484" s="76"/>
      <c r="BB3484" s="76"/>
      <c r="BC3484" s="76"/>
      <c r="BD3484" s="76">
        <f>+BC3484*30000</f>
        <v>0</v>
      </c>
      <c r="BE3484" s="76"/>
      <c r="BF3484" s="76"/>
      <c r="BG3484" s="76"/>
      <c r="BH3484" s="76"/>
      <c r="BI3484" s="76"/>
      <c r="BJ3484" s="76"/>
      <c r="BK3484" s="76"/>
      <c r="BL3484" s="76">
        <f>+BK3484*31500</f>
        <v>0</v>
      </c>
      <c r="BM3484" s="76"/>
      <c r="BN3484" s="76"/>
      <c r="BO3484" s="76"/>
      <c r="BP3484" s="76"/>
      <c r="BQ3484" s="76"/>
      <c r="BR3484" s="76"/>
      <c r="BS3484" s="76"/>
      <c r="BT3484" s="76"/>
      <c r="BU3484" s="76"/>
      <c r="BV3484" s="76"/>
      <c r="BW3484" s="76"/>
      <c r="BX3484" s="76"/>
      <c r="BY3484" s="76"/>
      <c r="BZ3484" s="76"/>
      <c r="CA3484" s="76"/>
      <c r="CB3484" s="76"/>
      <c r="CC3484" s="76"/>
      <c r="CD3484" s="76"/>
      <c r="CE3484" s="76"/>
      <c r="CF3484" s="76">
        <f>+CE3484*28000</f>
        <v>0</v>
      </c>
      <c r="CG3484" s="76"/>
      <c r="CH3484" s="76">
        <f>+CG3484*22500</f>
        <v>0</v>
      </c>
      <c r="CI3484" s="76"/>
      <c r="CJ3484" s="76">
        <f>+CI3484*26000</f>
        <v>0</v>
      </c>
      <c r="CK3484" s="76"/>
      <c r="CL3484" s="76"/>
      <c r="CM3484" s="76"/>
      <c r="CN3484" s="76">
        <f>+CM3484*22000</f>
        <v>0</v>
      </c>
      <c r="CO3484" s="76"/>
      <c r="CP3484" s="76">
        <f>+CO3484*46000</f>
        <v>0</v>
      </c>
      <c r="CQ3484" s="76"/>
      <c r="CR3484" s="76">
        <f>+CQ3484*49000</f>
        <v>0</v>
      </c>
      <c r="CS3484" s="76"/>
      <c r="CT3484" s="76"/>
      <c r="CU3484" s="56">
        <f>AN3484+AP3484+AR3484+AT3484+AV3484+AX3484+AZ3484+BB3484+BD3484+BF3484+BH3484+BJ3484+BL3484+BN3484+BP3484+BR3484+BT3484+BV3484+BX3484+BZ3484+CB3484+CD3484+CF3484+CH3484+CJ3484+CL3484+CN3484+CP3484+CR3484+CT3484</f>
        <v>0</v>
      </c>
      <c r="CV3484" s="76"/>
      <c r="CW3484" s="76">
        <f>+CV3484*1100</f>
        <v>0</v>
      </c>
      <c r="CX3484" s="76"/>
      <c r="CY3484" s="76">
        <f>+CX3484*106250</f>
        <v>0</v>
      </c>
      <c r="CZ3484" s="76"/>
      <c r="DA3484" s="76">
        <f>+CZ3484*34500</f>
        <v>0</v>
      </c>
      <c r="DB3484" s="76"/>
      <c r="DC3484" s="76">
        <f>+DB3484*25000</f>
        <v>0</v>
      </c>
      <c r="DD3484" s="219"/>
      <c r="DE3484" s="219"/>
      <c r="DF3484" s="166"/>
      <c r="DG3484" s="116"/>
      <c r="DH3484" s="117"/>
      <c r="DI3484" s="24"/>
      <c r="DJ3484" s="24"/>
      <c r="DK3484" s="24"/>
      <c r="DL3484" s="24"/>
      <c r="DM3484" s="24"/>
      <c r="DN3484" s="24"/>
      <c r="DO3484" s="24"/>
      <c r="DP3484" s="24"/>
      <c r="DQ3484" s="24"/>
      <c r="DR3484" s="24"/>
      <c r="DS3484" s="24"/>
      <c r="DT3484" s="24"/>
      <c r="DU3484" s="24"/>
    </row>
    <row r="3485" spans="1:125" s="8" customFormat="1" ht="84" x14ac:dyDescent="0.2">
      <c r="A3485" s="353">
        <v>41574</v>
      </c>
      <c r="B3485" s="352" t="s">
        <v>2852</v>
      </c>
      <c r="C3485" s="354" t="s">
        <v>2836</v>
      </c>
      <c r="D3485" s="354" t="s">
        <v>4391</v>
      </c>
      <c r="E3485" s="75" t="str">
        <f>VLOOKUP(B3485&amp;C3485,Divipola!$C$2:$F$1138,4,FALSE)</f>
        <v>27205</v>
      </c>
      <c r="F3485" s="87"/>
      <c r="G3485" s="87"/>
      <c r="H3485" s="87">
        <v>1</v>
      </c>
      <c r="I3485" s="87">
        <v>4</v>
      </c>
      <c r="J3485" s="87"/>
      <c r="K3485" s="87"/>
      <c r="L3485" s="87"/>
      <c r="M3485" s="87"/>
      <c r="N3485" s="87"/>
      <c r="O3485" s="87"/>
      <c r="P3485" s="87"/>
      <c r="Q3485" s="87"/>
      <c r="R3485" s="87"/>
      <c r="S3485" s="87"/>
      <c r="T3485" s="87"/>
      <c r="U3485" s="88"/>
      <c r="V3485" s="89"/>
      <c r="W3485" s="96">
        <v>0</v>
      </c>
      <c r="X3485" s="71">
        <f>CU3485</f>
        <v>0</v>
      </c>
      <c r="Y3485" s="71">
        <f>CY3485</f>
        <v>0</v>
      </c>
      <c r="Z3485" s="71">
        <f>DA3485+DC3485+DE3485</f>
        <v>0</v>
      </c>
      <c r="AA3485" s="71">
        <f>CW3485</f>
        <v>0</v>
      </c>
      <c r="AB3485" s="71"/>
      <c r="AC3485" s="71">
        <v>0</v>
      </c>
      <c r="AD3485" s="71">
        <f>W3485+X3485+Y3485+Z3485+AA3485+AB3485+AC3485</f>
        <v>0</v>
      </c>
      <c r="AE3485" s="72">
        <v>0</v>
      </c>
      <c r="AF3485" s="5"/>
      <c r="AG3485" s="6"/>
      <c r="AH3485" s="27"/>
      <c r="AI3485" s="44"/>
      <c r="AJ3485" s="26"/>
      <c r="AK3485" s="5"/>
      <c r="AL3485" s="82" t="s">
        <v>6484</v>
      </c>
      <c r="AM3485" s="76"/>
      <c r="AN3485" s="76"/>
      <c r="AO3485" s="76"/>
      <c r="AP3485" s="76"/>
      <c r="AQ3485" s="76"/>
      <c r="AR3485" s="76"/>
      <c r="AS3485" s="76"/>
      <c r="AT3485" s="76"/>
      <c r="AU3485" s="76"/>
      <c r="AV3485" s="76"/>
      <c r="AW3485" s="76"/>
      <c r="AX3485" s="76">
        <f>+AW3485*600000</f>
        <v>0</v>
      </c>
      <c r="AY3485" s="76"/>
      <c r="AZ3485" s="76">
        <f>+AY3485*70000</f>
        <v>0</v>
      </c>
      <c r="BA3485" s="76"/>
      <c r="BB3485" s="76"/>
      <c r="BC3485" s="76"/>
      <c r="BD3485" s="76">
        <f>+BC3485*30000</f>
        <v>0</v>
      </c>
      <c r="BE3485" s="76"/>
      <c r="BF3485" s="76"/>
      <c r="BG3485" s="76"/>
      <c r="BH3485" s="76"/>
      <c r="BI3485" s="76"/>
      <c r="BJ3485" s="76"/>
      <c r="BK3485" s="76"/>
      <c r="BL3485" s="76">
        <f>+BK3485*31500</f>
        <v>0</v>
      </c>
      <c r="BM3485" s="76"/>
      <c r="BN3485" s="76"/>
      <c r="BO3485" s="76"/>
      <c r="BP3485" s="76"/>
      <c r="BQ3485" s="76"/>
      <c r="BR3485" s="76"/>
      <c r="BS3485" s="76"/>
      <c r="BT3485" s="76"/>
      <c r="BU3485" s="76"/>
      <c r="BV3485" s="76"/>
      <c r="BW3485" s="76"/>
      <c r="BX3485" s="76"/>
      <c r="BY3485" s="76"/>
      <c r="BZ3485" s="76"/>
      <c r="CA3485" s="76"/>
      <c r="CB3485" s="76"/>
      <c r="CC3485" s="76"/>
      <c r="CD3485" s="76"/>
      <c r="CE3485" s="76"/>
      <c r="CF3485" s="76">
        <f>+CE3485*28000</f>
        <v>0</v>
      </c>
      <c r="CG3485" s="76"/>
      <c r="CH3485" s="76">
        <f>+CG3485*22500</f>
        <v>0</v>
      </c>
      <c r="CI3485" s="76"/>
      <c r="CJ3485" s="76">
        <f>+CI3485*26000</f>
        <v>0</v>
      </c>
      <c r="CK3485" s="76"/>
      <c r="CL3485" s="76"/>
      <c r="CM3485" s="76"/>
      <c r="CN3485" s="76">
        <f>+CM3485*22000</f>
        <v>0</v>
      </c>
      <c r="CO3485" s="76"/>
      <c r="CP3485" s="76">
        <f>+CO3485*46000</f>
        <v>0</v>
      </c>
      <c r="CQ3485" s="76"/>
      <c r="CR3485" s="76">
        <f>+CQ3485*49000</f>
        <v>0</v>
      </c>
      <c r="CS3485" s="76"/>
      <c r="CT3485" s="76"/>
      <c r="CU3485" s="56">
        <f>AN3485+AP3485+AR3485+AT3485+AV3485+AX3485+AZ3485+BB3485+BD3485+BF3485+BH3485+BJ3485+BL3485+BN3485+BP3485+BR3485+BT3485+BV3485+BX3485+BZ3485+CB3485+CD3485+CF3485+CH3485+CJ3485+CL3485+CN3485+CP3485+CR3485+CT3485</f>
        <v>0</v>
      </c>
      <c r="CV3485" s="76"/>
      <c r="CW3485" s="76">
        <f>+CV3485*1100</f>
        <v>0</v>
      </c>
      <c r="CX3485" s="76"/>
      <c r="CY3485" s="76">
        <f>+CX3485*106250</f>
        <v>0</v>
      </c>
      <c r="CZ3485" s="76"/>
      <c r="DA3485" s="76">
        <f>+CZ3485*34500</f>
        <v>0</v>
      </c>
      <c r="DB3485" s="76"/>
      <c r="DC3485" s="76">
        <f>+DB3485*25000</f>
        <v>0</v>
      </c>
      <c r="DD3485" s="219"/>
      <c r="DE3485" s="219"/>
      <c r="DF3485" s="166"/>
      <c r="DG3485" s="116"/>
      <c r="DH3485" s="117"/>
      <c r="DI3485" s="24"/>
      <c r="DJ3485" s="24"/>
      <c r="DK3485" s="24"/>
      <c r="DL3485" s="24"/>
      <c r="DM3485" s="24"/>
      <c r="DN3485" s="24"/>
      <c r="DO3485" s="24"/>
      <c r="DP3485" s="24"/>
      <c r="DQ3485" s="24"/>
      <c r="DR3485" s="24"/>
      <c r="DS3485" s="24"/>
      <c r="DT3485" s="24"/>
      <c r="DU3485" s="24"/>
    </row>
    <row r="3486" spans="1:125" s="8" customFormat="1" ht="72" x14ac:dyDescent="0.2">
      <c r="A3486" s="77">
        <v>41575</v>
      </c>
      <c r="B3486" s="352" t="s">
        <v>2772</v>
      </c>
      <c r="C3486" s="354" t="s">
        <v>1110</v>
      </c>
      <c r="D3486" s="354" t="s">
        <v>2846</v>
      </c>
      <c r="E3486" s="75" t="str">
        <f>VLOOKUP(B3486&amp;C3486,Divipola!$C$2:$F$1138,4,FALSE)</f>
        <v>25436</v>
      </c>
      <c r="F3486" s="87"/>
      <c r="G3486" s="87"/>
      <c r="H3486" s="87"/>
      <c r="I3486" s="87"/>
      <c r="J3486" s="87"/>
      <c r="K3486" s="87"/>
      <c r="L3486" s="87"/>
      <c r="M3486" s="87"/>
      <c r="N3486" s="87"/>
      <c r="O3486" s="87"/>
      <c r="P3486" s="87"/>
      <c r="Q3486" s="87"/>
      <c r="R3486" s="87"/>
      <c r="S3486" s="87"/>
      <c r="T3486" s="87"/>
      <c r="U3486" s="127">
        <v>0.5</v>
      </c>
      <c r="V3486" s="89"/>
      <c r="W3486" s="96">
        <v>0</v>
      </c>
      <c r="X3486" s="71">
        <f>CU3486</f>
        <v>0</v>
      </c>
      <c r="Y3486" s="71">
        <f>CY3486</f>
        <v>0</v>
      </c>
      <c r="Z3486" s="71">
        <f>DA3486+DC3486+DE3486</f>
        <v>0</v>
      </c>
      <c r="AA3486" s="71">
        <f>CW3486</f>
        <v>0</v>
      </c>
      <c r="AB3486" s="71"/>
      <c r="AC3486" s="71">
        <v>0</v>
      </c>
      <c r="AD3486" s="71">
        <f>W3486+X3486+Y3486+Z3486+AA3486+AB3486+AC3486</f>
        <v>0</v>
      </c>
      <c r="AE3486" s="72">
        <v>0</v>
      </c>
      <c r="AF3486" s="5"/>
      <c r="AG3486" s="6"/>
      <c r="AH3486" s="27"/>
      <c r="AI3486" s="44"/>
      <c r="AJ3486" s="26"/>
      <c r="AK3486" s="5"/>
      <c r="AL3486" s="82" t="s">
        <v>6459</v>
      </c>
      <c r="AM3486" s="76"/>
      <c r="AN3486" s="76"/>
      <c r="AO3486" s="76"/>
      <c r="AP3486" s="76"/>
      <c r="AQ3486" s="76"/>
      <c r="AR3486" s="76"/>
      <c r="AS3486" s="76"/>
      <c r="AT3486" s="76"/>
      <c r="AU3486" s="76"/>
      <c r="AV3486" s="76"/>
      <c r="AW3486" s="76"/>
      <c r="AX3486" s="76">
        <f>+AW3486*600000</f>
        <v>0</v>
      </c>
      <c r="AY3486" s="76"/>
      <c r="AZ3486" s="76">
        <f>+AY3486*70000</f>
        <v>0</v>
      </c>
      <c r="BA3486" s="76"/>
      <c r="BB3486" s="76"/>
      <c r="BC3486" s="76"/>
      <c r="BD3486" s="76">
        <f>+BC3486*30000</f>
        <v>0</v>
      </c>
      <c r="BE3486" s="76"/>
      <c r="BF3486" s="76"/>
      <c r="BG3486" s="76"/>
      <c r="BH3486" s="76"/>
      <c r="BI3486" s="76"/>
      <c r="BJ3486" s="76"/>
      <c r="BK3486" s="76"/>
      <c r="BL3486" s="76">
        <f>+BK3486*31500</f>
        <v>0</v>
      </c>
      <c r="BM3486" s="76"/>
      <c r="BN3486" s="76"/>
      <c r="BO3486" s="76"/>
      <c r="BP3486" s="76"/>
      <c r="BQ3486" s="76"/>
      <c r="BR3486" s="76"/>
      <c r="BS3486" s="76"/>
      <c r="BT3486" s="76"/>
      <c r="BU3486" s="76"/>
      <c r="BV3486" s="76"/>
      <c r="BW3486" s="76"/>
      <c r="BX3486" s="76"/>
      <c r="BY3486" s="76"/>
      <c r="BZ3486" s="76"/>
      <c r="CA3486" s="76"/>
      <c r="CB3486" s="76"/>
      <c r="CC3486" s="76"/>
      <c r="CD3486" s="76"/>
      <c r="CE3486" s="76"/>
      <c r="CF3486" s="76">
        <f>+CE3486*28000</f>
        <v>0</v>
      </c>
      <c r="CG3486" s="76"/>
      <c r="CH3486" s="76">
        <f>+CG3486*22500</f>
        <v>0</v>
      </c>
      <c r="CI3486" s="76"/>
      <c r="CJ3486" s="76">
        <f>+CI3486*26000</f>
        <v>0</v>
      </c>
      <c r="CK3486" s="76"/>
      <c r="CL3486" s="76"/>
      <c r="CM3486" s="76"/>
      <c r="CN3486" s="76">
        <f>+CM3486*22000</f>
        <v>0</v>
      </c>
      <c r="CO3486" s="76"/>
      <c r="CP3486" s="76">
        <f>+CO3486*46000</f>
        <v>0</v>
      </c>
      <c r="CQ3486" s="76"/>
      <c r="CR3486" s="76">
        <f>+CQ3486*49000</f>
        <v>0</v>
      </c>
      <c r="CS3486" s="76"/>
      <c r="CT3486" s="76"/>
      <c r="CU3486" s="56">
        <f>AN3486+AP3486+AR3486+AT3486+AV3486+AX3486+AZ3486+BB3486+BD3486+BF3486+BH3486+BJ3486+BL3486+BN3486+BP3486+BR3486+BT3486+BV3486+BX3486+BZ3486+CB3486+CD3486+CF3486+CH3486+CJ3486+CL3486+CN3486+CP3486+CR3486+CT3486</f>
        <v>0</v>
      </c>
      <c r="CV3486" s="76"/>
      <c r="CW3486" s="76">
        <f>+CV3486*1100</f>
        <v>0</v>
      </c>
      <c r="CX3486" s="76"/>
      <c r="CY3486" s="76">
        <f>+CX3486*106250</f>
        <v>0</v>
      </c>
      <c r="CZ3486" s="76"/>
      <c r="DA3486" s="76">
        <f>+CZ3486*34500</f>
        <v>0</v>
      </c>
      <c r="DB3486" s="76"/>
      <c r="DC3486" s="76">
        <f>+DB3486*25000</f>
        <v>0</v>
      </c>
      <c r="DD3486" s="219"/>
      <c r="DE3486" s="219"/>
      <c r="DF3486" s="166"/>
      <c r="DG3486" s="116"/>
      <c r="DH3486" s="117"/>
      <c r="DI3486" s="24"/>
      <c r="DJ3486" s="24"/>
      <c r="DK3486" s="24"/>
      <c r="DL3486" s="24"/>
      <c r="DM3486" s="24"/>
      <c r="DN3486" s="24"/>
      <c r="DO3486" s="24"/>
      <c r="DP3486" s="24"/>
      <c r="DQ3486" s="24"/>
      <c r="DR3486" s="24"/>
      <c r="DS3486" s="24"/>
      <c r="DT3486" s="24"/>
      <c r="DU3486" s="24"/>
    </row>
    <row r="3487" spans="1:125" s="8" customFormat="1" ht="156" x14ac:dyDescent="0.2">
      <c r="A3487" s="77">
        <v>41575</v>
      </c>
      <c r="B3487" s="78" t="s">
        <v>529</v>
      </c>
      <c r="C3487" s="78" t="s">
        <v>529</v>
      </c>
      <c r="D3487" s="75" t="s">
        <v>3051</v>
      </c>
      <c r="E3487" s="75" t="str">
        <f>VLOOKUP(B3487&amp;C3487,Divipola!$C$2:$F$1138,4,FALSE)</f>
        <v>11001</v>
      </c>
      <c r="F3487" s="87"/>
      <c r="G3487" s="87"/>
      <c r="H3487" s="87"/>
      <c r="I3487" s="87"/>
      <c r="J3487" s="87"/>
      <c r="K3487" s="87"/>
      <c r="L3487" s="87"/>
      <c r="M3487" s="87">
        <v>2</v>
      </c>
      <c r="N3487" s="87"/>
      <c r="O3487" s="87"/>
      <c r="P3487" s="87"/>
      <c r="Q3487" s="87"/>
      <c r="R3487" s="87"/>
      <c r="S3487" s="87">
        <v>1</v>
      </c>
      <c r="T3487" s="87"/>
      <c r="U3487" s="88"/>
      <c r="V3487" s="89"/>
      <c r="W3487" s="96">
        <v>0</v>
      </c>
      <c r="X3487" s="71">
        <f>CU3487</f>
        <v>0</v>
      </c>
      <c r="Y3487" s="71">
        <f>CY3487</f>
        <v>0</v>
      </c>
      <c r="Z3487" s="71">
        <f>DA3487+DC3487+DE3487</f>
        <v>0</v>
      </c>
      <c r="AA3487" s="71">
        <f>CW3487</f>
        <v>0</v>
      </c>
      <c r="AB3487" s="71"/>
      <c r="AC3487" s="71">
        <v>0</v>
      </c>
      <c r="AD3487" s="71">
        <f>W3487+X3487+Y3487+Z3487+AA3487+AB3487+AC3487</f>
        <v>0</v>
      </c>
      <c r="AE3487" s="72">
        <v>0</v>
      </c>
      <c r="AF3487" s="5"/>
      <c r="AG3487" s="6"/>
      <c r="AH3487" s="27"/>
      <c r="AI3487" s="44"/>
      <c r="AJ3487" s="26"/>
      <c r="AK3487" s="5"/>
      <c r="AL3487" s="82" t="s">
        <v>6461</v>
      </c>
      <c r="AM3487" s="76"/>
      <c r="AN3487" s="76"/>
      <c r="AO3487" s="76"/>
      <c r="AP3487" s="76"/>
      <c r="AQ3487" s="76"/>
      <c r="AR3487" s="76"/>
      <c r="AS3487" s="76"/>
      <c r="AT3487" s="76"/>
      <c r="AU3487" s="76"/>
      <c r="AV3487" s="76"/>
      <c r="AW3487" s="76"/>
      <c r="AX3487" s="76">
        <f>+AW3487*600000</f>
        <v>0</v>
      </c>
      <c r="AY3487" s="76"/>
      <c r="AZ3487" s="76">
        <f>+AY3487*70000</f>
        <v>0</v>
      </c>
      <c r="BA3487" s="76"/>
      <c r="BB3487" s="76"/>
      <c r="BC3487" s="76"/>
      <c r="BD3487" s="76">
        <f>+BC3487*30000</f>
        <v>0</v>
      </c>
      <c r="BE3487" s="76"/>
      <c r="BF3487" s="76"/>
      <c r="BG3487" s="76"/>
      <c r="BH3487" s="76"/>
      <c r="BI3487" s="76"/>
      <c r="BJ3487" s="76"/>
      <c r="BK3487" s="76"/>
      <c r="BL3487" s="76">
        <f>+BK3487*31500</f>
        <v>0</v>
      </c>
      <c r="BM3487" s="76"/>
      <c r="BN3487" s="76"/>
      <c r="BO3487" s="76"/>
      <c r="BP3487" s="76"/>
      <c r="BQ3487" s="76"/>
      <c r="BR3487" s="76"/>
      <c r="BS3487" s="76"/>
      <c r="BT3487" s="76"/>
      <c r="BU3487" s="76"/>
      <c r="BV3487" s="76"/>
      <c r="BW3487" s="76"/>
      <c r="BX3487" s="76"/>
      <c r="BY3487" s="76"/>
      <c r="BZ3487" s="76"/>
      <c r="CA3487" s="76"/>
      <c r="CB3487" s="76"/>
      <c r="CC3487" s="76"/>
      <c r="CD3487" s="76"/>
      <c r="CE3487" s="76"/>
      <c r="CF3487" s="76">
        <f>+CE3487*28000</f>
        <v>0</v>
      </c>
      <c r="CG3487" s="76"/>
      <c r="CH3487" s="76">
        <f>+CG3487*22500</f>
        <v>0</v>
      </c>
      <c r="CI3487" s="76"/>
      <c r="CJ3487" s="76">
        <f>+CI3487*26000</f>
        <v>0</v>
      </c>
      <c r="CK3487" s="76"/>
      <c r="CL3487" s="76"/>
      <c r="CM3487" s="76"/>
      <c r="CN3487" s="76">
        <f>+CM3487*22000</f>
        <v>0</v>
      </c>
      <c r="CO3487" s="76"/>
      <c r="CP3487" s="76">
        <f>+CO3487*46000</f>
        <v>0</v>
      </c>
      <c r="CQ3487" s="76"/>
      <c r="CR3487" s="76">
        <f>+CQ3487*49000</f>
        <v>0</v>
      </c>
      <c r="CS3487" s="76"/>
      <c r="CT3487" s="76"/>
      <c r="CU3487" s="56">
        <f>AN3487+AP3487+AR3487+AT3487+AV3487+AX3487+AZ3487+BB3487+BD3487+BF3487+BH3487+BJ3487+BL3487+BN3487+BP3487+BR3487+BT3487+BV3487+BX3487+BZ3487+CB3487+CD3487+CF3487+CH3487+CJ3487+CL3487+CN3487+CP3487+CR3487+CT3487</f>
        <v>0</v>
      </c>
      <c r="CV3487" s="76"/>
      <c r="CW3487" s="76">
        <f>+CV3487*1100</f>
        <v>0</v>
      </c>
      <c r="CX3487" s="76"/>
      <c r="CY3487" s="76">
        <f>+CX3487*106250</f>
        <v>0</v>
      </c>
      <c r="CZ3487" s="76"/>
      <c r="DA3487" s="76">
        <f>+CZ3487*34500</f>
        <v>0</v>
      </c>
      <c r="DB3487" s="76"/>
      <c r="DC3487" s="76">
        <f>+DB3487*25000</f>
        <v>0</v>
      </c>
      <c r="DD3487" s="219"/>
      <c r="DE3487" s="219"/>
      <c r="DF3487" s="166"/>
      <c r="DG3487" s="116"/>
      <c r="DH3487" s="117"/>
      <c r="DI3487" s="24"/>
      <c r="DJ3487" s="24"/>
      <c r="DK3487" s="24"/>
      <c r="DL3487" s="24"/>
      <c r="DM3487" s="24"/>
      <c r="DN3487" s="24"/>
      <c r="DO3487" s="24"/>
      <c r="DP3487" s="24"/>
      <c r="DQ3487" s="24"/>
      <c r="DR3487" s="24"/>
      <c r="DS3487" s="24"/>
      <c r="DT3487" s="24"/>
      <c r="DU3487" s="24"/>
    </row>
    <row r="3488" spans="1:125" s="8" customFormat="1" ht="72" x14ac:dyDescent="0.2">
      <c r="A3488" s="353">
        <v>41576</v>
      </c>
      <c r="B3488" s="352" t="s">
        <v>2860</v>
      </c>
      <c r="C3488" s="354" t="s">
        <v>2173</v>
      </c>
      <c r="D3488" s="354" t="s">
        <v>2859</v>
      </c>
      <c r="E3488" s="75" t="str">
        <f>VLOOKUP(B3488&amp;C3488,Divipola!$C$2:$F$1138,4,FALSE)</f>
        <v>63470</v>
      </c>
      <c r="F3488" s="87"/>
      <c r="G3488" s="87"/>
      <c r="H3488" s="87"/>
      <c r="I3488" s="87">
        <v>5</v>
      </c>
      <c r="J3488" s="87">
        <v>1</v>
      </c>
      <c r="K3488" s="87">
        <v>1</v>
      </c>
      <c r="L3488" s="87"/>
      <c r="M3488" s="87"/>
      <c r="N3488" s="87"/>
      <c r="O3488" s="87"/>
      <c r="P3488" s="87"/>
      <c r="Q3488" s="87"/>
      <c r="R3488" s="87"/>
      <c r="S3488" s="87"/>
      <c r="T3488" s="87"/>
      <c r="U3488" s="88"/>
      <c r="V3488" s="89"/>
      <c r="W3488" s="96">
        <v>0</v>
      </c>
      <c r="X3488" s="71">
        <f>CU3488</f>
        <v>0</v>
      </c>
      <c r="Y3488" s="71">
        <f>CY3488</f>
        <v>0</v>
      </c>
      <c r="Z3488" s="71">
        <f>DA3488+DC3488+DE3488</f>
        <v>0</v>
      </c>
      <c r="AA3488" s="71">
        <f>CW3488</f>
        <v>0</v>
      </c>
      <c r="AB3488" s="71"/>
      <c r="AC3488" s="71">
        <v>0</v>
      </c>
      <c r="AD3488" s="71">
        <f>W3488+X3488+Y3488+Z3488+AA3488+AB3488+AC3488</f>
        <v>0</v>
      </c>
      <c r="AE3488" s="72">
        <v>0</v>
      </c>
      <c r="AF3488" s="5"/>
      <c r="AG3488" s="6"/>
      <c r="AH3488" s="27"/>
      <c r="AI3488" s="44"/>
      <c r="AJ3488" s="26"/>
      <c r="AK3488" s="5"/>
      <c r="AL3488" s="82" t="s">
        <v>6479</v>
      </c>
      <c r="AM3488" s="76"/>
      <c r="AN3488" s="76"/>
      <c r="AO3488" s="76"/>
      <c r="AP3488" s="76"/>
      <c r="AQ3488" s="76"/>
      <c r="AR3488" s="76"/>
      <c r="AS3488" s="76"/>
      <c r="AT3488" s="76"/>
      <c r="AU3488" s="76"/>
      <c r="AV3488" s="76"/>
      <c r="AW3488" s="76"/>
      <c r="AX3488" s="76">
        <f>+AW3488*600000</f>
        <v>0</v>
      </c>
      <c r="AY3488" s="76"/>
      <c r="AZ3488" s="76">
        <f>+AY3488*70000</f>
        <v>0</v>
      </c>
      <c r="BA3488" s="76"/>
      <c r="BB3488" s="76"/>
      <c r="BC3488" s="76"/>
      <c r="BD3488" s="76">
        <f>+BC3488*30000</f>
        <v>0</v>
      </c>
      <c r="BE3488" s="76"/>
      <c r="BF3488" s="76"/>
      <c r="BG3488" s="76"/>
      <c r="BH3488" s="76"/>
      <c r="BI3488" s="76"/>
      <c r="BJ3488" s="76"/>
      <c r="BK3488" s="76"/>
      <c r="BL3488" s="76">
        <f>+BK3488*31500</f>
        <v>0</v>
      </c>
      <c r="BM3488" s="76"/>
      <c r="BN3488" s="76"/>
      <c r="BO3488" s="76"/>
      <c r="BP3488" s="76"/>
      <c r="BQ3488" s="76"/>
      <c r="BR3488" s="76"/>
      <c r="BS3488" s="76"/>
      <c r="BT3488" s="76"/>
      <c r="BU3488" s="76"/>
      <c r="BV3488" s="76"/>
      <c r="BW3488" s="76"/>
      <c r="BX3488" s="76"/>
      <c r="BY3488" s="76"/>
      <c r="BZ3488" s="76"/>
      <c r="CA3488" s="76"/>
      <c r="CB3488" s="76"/>
      <c r="CC3488" s="76"/>
      <c r="CD3488" s="76"/>
      <c r="CE3488" s="76"/>
      <c r="CF3488" s="76">
        <f>+CE3488*28000</f>
        <v>0</v>
      </c>
      <c r="CG3488" s="76"/>
      <c r="CH3488" s="76">
        <f>+CG3488*22500</f>
        <v>0</v>
      </c>
      <c r="CI3488" s="76"/>
      <c r="CJ3488" s="76">
        <f>+CI3488*26000</f>
        <v>0</v>
      </c>
      <c r="CK3488" s="76"/>
      <c r="CL3488" s="76"/>
      <c r="CM3488" s="76"/>
      <c r="CN3488" s="76">
        <f>+CM3488*22000</f>
        <v>0</v>
      </c>
      <c r="CO3488" s="76"/>
      <c r="CP3488" s="76">
        <f>+CO3488*46000</f>
        <v>0</v>
      </c>
      <c r="CQ3488" s="76"/>
      <c r="CR3488" s="76">
        <f>+CQ3488*49000</f>
        <v>0</v>
      </c>
      <c r="CS3488" s="76"/>
      <c r="CT3488" s="76"/>
      <c r="CU3488" s="56">
        <f>AN3488+AP3488+AR3488+AT3488+AV3488+AX3488+AZ3488+BB3488+BD3488+BF3488+BH3488+BJ3488+BL3488+BN3488+BP3488+BR3488+BT3488+BV3488+BX3488+BZ3488+CB3488+CD3488+CF3488+CH3488+CJ3488+CL3488+CN3488+CP3488+CR3488+CT3488</f>
        <v>0</v>
      </c>
      <c r="CV3488" s="76"/>
      <c r="CW3488" s="76">
        <f>+CV3488*1100</f>
        <v>0</v>
      </c>
      <c r="CX3488" s="76"/>
      <c r="CY3488" s="76">
        <f>+CX3488*106250</f>
        <v>0</v>
      </c>
      <c r="CZ3488" s="76"/>
      <c r="DA3488" s="76">
        <f>+CZ3488*34500</f>
        <v>0</v>
      </c>
      <c r="DB3488" s="76"/>
      <c r="DC3488" s="76">
        <f>+DB3488*25000</f>
        <v>0</v>
      </c>
      <c r="DD3488" s="219"/>
      <c r="DE3488" s="219"/>
      <c r="DF3488" s="166"/>
      <c r="DG3488" s="116"/>
      <c r="DH3488" s="117"/>
      <c r="DI3488" s="24"/>
      <c r="DJ3488" s="24"/>
      <c r="DK3488" s="24"/>
      <c r="DL3488" s="24"/>
      <c r="DM3488" s="24"/>
      <c r="DN3488" s="24"/>
      <c r="DO3488" s="24"/>
      <c r="DP3488" s="24"/>
      <c r="DQ3488" s="24"/>
      <c r="DR3488" s="24"/>
      <c r="DS3488" s="24"/>
      <c r="DT3488" s="24"/>
      <c r="DU3488" s="24"/>
    </row>
    <row r="3489" spans="1:125" s="8" customFormat="1" ht="168" x14ac:dyDescent="0.2">
      <c r="A3489" s="77">
        <v>41576</v>
      </c>
      <c r="B3489" s="352" t="s">
        <v>2894</v>
      </c>
      <c r="C3489" s="354" t="s">
        <v>2340</v>
      </c>
      <c r="D3489" s="354" t="s">
        <v>3088</v>
      </c>
      <c r="E3489" s="75" t="str">
        <f>VLOOKUP(B3489&amp;C3489,Divipola!$C$2:$F$1138,4,FALSE)</f>
        <v>05036</v>
      </c>
      <c r="F3489" s="87">
        <v>1</v>
      </c>
      <c r="G3489" s="87"/>
      <c r="H3489" s="87"/>
      <c r="I3489" s="87"/>
      <c r="J3489" s="87"/>
      <c r="K3489" s="87"/>
      <c r="L3489" s="87"/>
      <c r="M3489" s="87">
        <v>1</v>
      </c>
      <c r="N3489" s="87"/>
      <c r="O3489" s="87"/>
      <c r="P3489" s="87"/>
      <c r="Q3489" s="87"/>
      <c r="R3489" s="87"/>
      <c r="S3489" s="87"/>
      <c r="T3489" s="87"/>
      <c r="U3489" s="88"/>
      <c r="V3489" s="89"/>
      <c r="W3489" s="96">
        <v>0</v>
      </c>
      <c r="X3489" s="71">
        <f>CU3489</f>
        <v>0</v>
      </c>
      <c r="Y3489" s="71">
        <f>CY3489</f>
        <v>0</v>
      </c>
      <c r="Z3489" s="71">
        <f>DA3489+DC3489+DE3489</f>
        <v>0</v>
      </c>
      <c r="AA3489" s="71">
        <f>CW3489</f>
        <v>0</v>
      </c>
      <c r="AB3489" s="71"/>
      <c r="AC3489" s="71">
        <v>0</v>
      </c>
      <c r="AD3489" s="71">
        <f>W3489+X3489+Y3489+Z3489+AA3489+AB3489+AC3489</f>
        <v>0</v>
      </c>
      <c r="AE3489" s="72">
        <v>0</v>
      </c>
      <c r="AF3489" s="5"/>
      <c r="AG3489" s="6"/>
      <c r="AH3489" s="27"/>
      <c r="AI3489" s="44"/>
      <c r="AJ3489" s="26"/>
      <c r="AK3489" s="5"/>
      <c r="AL3489" s="82" t="s">
        <v>6481</v>
      </c>
      <c r="AM3489" s="76"/>
      <c r="AN3489" s="76"/>
      <c r="AO3489" s="76"/>
      <c r="AP3489" s="76"/>
      <c r="AQ3489" s="76"/>
      <c r="AR3489" s="76"/>
      <c r="AS3489" s="76"/>
      <c r="AT3489" s="76"/>
      <c r="AU3489" s="76"/>
      <c r="AV3489" s="76"/>
      <c r="AW3489" s="76"/>
      <c r="AX3489" s="76">
        <f>+AW3489*600000</f>
        <v>0</v>
      </c>
      <c r="AY3489" s="76"/>
      <c r="AZ3489" s="76">
        <f>+AY3489*70000</f>
        <v>0</v>
      </c>
      <c r="BA3489" s="76"/>
      <c r="BB3489" s="76"/>
      <c r="BC3489" s="76"/>
      <c r="BD3489" s="76">
        <f>+BC3489*30000</f>
        <v>0</v>
      </c>
      <c r="BE3489" s="76"/>
      <c r="BF3489" s="76"/>
      <c r="BG3489" s="76"/>
      <c r="BH3489" s="76"/>
      <c r="BI3489" s="76"/>
      <c r="BJ3489" s="76"/>
      <c r="BK3489" s="76"/>
      <c r="BL3489" s="76">
        <f>+BK3489*31500</f>
        <v>0</v>
      </c>
      <c r="BM3489" s="76"/>
      <c r="BN3489" s="76"/>
      <c r="BO3489" s="76"/>
      <c r="BP3489" s="76"/>
      <c r="BQ3489" s="76"/>
      <c r="BR3489" s="76"/>
      <c r="BS3489" s="76"/>
      <c r="BT3489" s="76"/>
      <c r="BU3489" s="76"/>
      <c r="BV3489" s="76"/>
      <c r="BW3489" s="76"/>
      <c r="BX3489" s="76"/>
      <c r="BY3489" s="76"/>
      <c r="BZ3489" s="76"/>
      <c r="CA3489" s="76"/>
      <c r="CB3489" s="76"/>
      <c r="CC3489" s="76"/>
      <c r="CD3489" s="76"/>
      <c r="CE3489" s="76"/>
      <c r="CF3489" s="76">
        <f>+CE3489*28000</f>
        <v>0</v>
      </c>
      <c r="CG3489" s="76"/>
      <c r="CH3489" s="76">
        <f>+CG3489*22500</f>
        <v>0</v>
      </c>
      <c r="CI3489" s="76"/>
      <c r="CJ3489" s="76">
        <f>+CI3489*26000</f>
        <v>0</v>
      </c>
      <c r="CK3489" s="76"/>
      <c r="CL3489" s="76"/>
      <c r="CM3489" s="76"/>
      <c r="CN3489" s="76">
        <f>+CM3489*22000</f>
        <v>0</v>
      </c>
      <c r="CO3489" s="76"/>
      <c r="CP3489" s="76">
        <f>+CO3489*46000</f>
        <v>0</v>
      </c>
      <c r="CQ3489" s="76"/>
      <c r="CR3489" s="76">
        <f>+CQ3489*49000</f>
        <v>0</v>
      </c>
      <c r="CS3489" s="76"/>
      <c r="CT3489" s="76"/>
      <c r="CU3489" s="56">
        <f>AN3489+AP3489+AR3489+AT3489+AV3489+AX3489+AZ3489+BB3489+BD3489+BF3489+BH3489+BJ3489+BL3489+BN3489+BP3489+BR3489+BT3489+BV3489+BX3489+BZ3489+CB3489+CD3489+CF3489+CH3489+CJ3489+CL3489+CN3489+CP3489+CR3489+CT3489</f>
        <v>0</v>
      </c>
      <c r="CV3489" s="76"/>
      <c r="CW3489" s="76">
        <f>+CV3489*1100</f>
        <v>0</v>
      </c>
      <c r="CX3489" s="76"/>
      <c r="CY3489" s="76">
        <f>+CX3489*106250</f>
        <v>0</v>
      </c>
      <c r="CZ3489" s="76"/>
      <c r="DA3489" s="76">
        <f>+CZ3489*34500</f>
        <v>0</v>
      </c>
      <c r="DB3489" s="76"/>
      <c r="DC3489" s="76">
        <f>+DB3489*25000</f>
        <v>0</v>
      </c>
      <c r="DD3489" s="219"/>
      <c r="DE3489" s="219"/>
      <c r="DF3489" s="166"/>
      <c r="DG3489" s="116"/>
      <c r="DH3489" s="117"/>
      <c r="DI3489" s="24"/>
      <c r="DJ3489" s="24"/>
      <c r="DK3489" s="24"/>
      <c r="DL3489" s="24"/>
      <c r="DM3489" s="24"/>
      <c r="DN3489" s="24"/>
      <c r="DO3489" s="24"/>
      <c r="DP3489" s="24"/>
      <c r="DQ3489" s="24"/>
      <c r="DR3489" s="24"/>
      <c r="DS3489" s="24"/>
      <c r="DT3489" s="24"/>
      <c r="DU3489" s="24"/>
    </row>
    <row r="3490" spans="1:125" s="8" customFormat="1" ht="72" x14ac:dyDescent="0.2">
      <c r="A3490" s="77">
        <v>41576</v>
      </c>
      <c r="B3490" s="352" t="s">
        <v>2894</v>
      </c>
      <c r="C3490" s="354" t="s">
        <v>2032</v>
      </c>
      <c r="D3490" s="354" t="s">
        <v>2875</v>
      </c>
      <c r="E3490" s="75" t="str">
        <f>VLOOKUP(B3490&amp;C3490,Divipola!$C$2:$F$1138,4,FALSE)</f>
        <v>05001</v>
      </c>
      <c r="F3490" s="87"/>
      <c r="G3490" s="87"/>
      <c r="H3490" s="87"/>
      <c r="I3490" s="87"/>
      <c r="J3490" s="87"/>
      <c r="K3490" s="87"/>
      <c r="L3490" s="87"/>
      <c r="M3490" s="87"/>
      <c r="N3490" s="87"/>
      <c r="O3490" s="87"/>
      <c r="P3490" s="87"/>
      <c r="Q3490" s="87"/>
      <c r="R3490" s="87"/>
      <c r="S3490" s="87"/>
      <c r="T3490" s="87"/>
      <c r="U3490" s="88"/>
      <c r="V3490" s="89"/>
      <c r="W3490" s="96">
        <v>0</v>
      </c>
      <c r="X3490" s="71">
        <f>CU3490</f>
        <v>0</v>
      </c>
      <c r="Y3490" s="71">
        <f>CY3490</f>
        <v>0</v>
      </c>
      <c r="Z3490" s="71">
        <f>DA3490+DC3490+DE3490</f>
        <v>0</v>
      </c>
      <c r="AA3490" s="71">
        <f>CW3490</f>
        <v>0</v>
      </c>
      <c r="AB3490" s="71"/>
      <c r="AC3490" s="71">
        <v>0</v>
      </c>
      <c r="AD3490" s="71">
        <f>W3490+X3490+Y3490+Z3490+AA3490+AB3490+AC3490</f>
        <v>0</v>
      </c>
      <c r="AE3490" s="72">
        <v>0</v>
      </c>
      <c r="AF3490" s="5"/>
      <c r="AG3490" s="6"/>
      <c r="AH3490" s="27"/>
      <c r="AI3490" s="44"/>
      <c r="AJ3490" s="26"/>
      <c r="AK3490" s="5"/>
      <c r="AL3490" s="82" t="s">
        <v>6483</v>
      </c>
      <c r="AM3490" s="76"/>
      <c r="AN3490" s="76"/>
      <c r="AO3490" s="76"/>
      <c r="AP3490" s="76"/>
      <c r="AQ3490" s="76"/>
      <c r="AR3490" s="76"/>
      <c r="AS3490" s="76"/>
      <c r="AT3490" s="76"/>
      <c r="AU3490" s="76"/>
      <c r="AV3490" s="76"/>
      <c r="AW3490" s="76"/>
      <c r="AX3490" s="76">
        <f>+AW3490*600000</f>
        <v>0</v>
      </c>
      <c r="AY3490" s="76"/>
      <c r="AZ3490" s="76">
        <f>+AY3490*70000</f>
        <v>0</v>
      </c>
      <c r="BA3490" s="76"/>
      <c r="BB3490" s="76"/>
      <c r="BC3490" s="76"/>
      <c r="BD3490" s="76">
        <f>+BC3490*30000</f>
        <v>0</v>
      </c>
      <c r="BE3490" s="76"/>
      <c r="BF3490" s="76"/>
      <c r="BG3490" s="76"/>
      <c r="BH3490" s="76"/>
      <c r="BI3490" s="76"/>
      <c r="BJ3490" s="76"/>
      <c r="BK3490" s="76"/>
      <c r="BL3490" s="76">
        <f>+BK3490*31500</f>
        <v>0</v>
      </c>
      <c r="BM3490" s="76"/>
      <c r="BN3490" s="76"/>
      <c r="BO3490" s="76"/>
      <c r="BP3490" s="76"/>
      <c r="BQ3490" s="76"/>
      <c r="BR3490" s="76"/>
      <c r="BS3490" s="76"/>
      <c r="BT3490" s="76"/>
      <c r="BU3490" s="76"/>
      <c r="BV3490" s="76"/>
      <c r="BW3490" s="76"/>
      <c r="BX3490" s="76"/>
      <c r="BY3490" s="76"/>
      <c r="BZ3490" s="76"/>
      <c r="CA3490" s="76"/>
      <c r="CB3490" s="76"/>
      <c r="CC3490" s="76"/>
      <c r="CD3490" s="76"/>
      <c r="CE3490" s="76"/>
      <c r="CF3490" s="76">
        <f>+CE3490*28000</f>
        <v>0</v>
      </c>
      <c r="CG3490" s="76"/>
      <c r="CH3490" s="76">
        <f>+CG3490*22500</f>
        <v>0</v>
      </c>
      <c r="CI3490" s="76"/>
      <c r="CJ3490" s="76">
        <f>+CI3490*26000</f>
        <v>0</v>
      </c>
      <c r="CK3490" s="76"/>
      <c r="CL3490" s="76"/>
      <c r="CM3490" s="76"/>
      <c r="CN3490" s="76">
        <f>+CM3490*22000</f>
        <v>0</v>
      </c>
      <c r="CO3490" s="76"/>
      <c r="CP3490" s="76">
        <f>+CO3490*46000</f>
        <v>0</v>
      </c>
      <c r="CQ3490" s="76"/>
      <c r="CR3490" s="76">
        <f>+CQ3490*49000</f>
        <v>0</v>
      </c>
      <c r="CS3490" s="76"/>
      <c r="CT3490" s="76"/>
      <c r="CU3490" s="56">
        <f>AN3490+AP3490+AR3490+AT3490+AV3490+AX3490+AZ3490+BB3490+BD3490+BF3490+BH3490+BJ3490+BL3490+BN3490+BP3490+BR3490+BT3490+BV3490+BX3490+BZ3490+CB3490+CD3490+CF3490+CH3490+CJ3490+CL3490+CN3490+CP3490+CR3490+CT3490</f>
        <v>0</v>
      </c>
      <c r="CV3490" s="76"/>
      <c r="CW3490" s="76">
        <f>+CV3490*1100</f>
        <v>0</v>
      </c>
      <c r="CX3490" s="76"/>
      <c r="CY3490" s="76">
        <f>+CX3490*106250</f>
        <v>0</v>
      </c>
      <c r="CZ3490" s="76"/>
      <c r="DA3490" s="76">
        <f>+CZ3490*34500</f>
        <v>0</v>
      </c>
      <c r="DB3490" s="76"/>
      <c r="DC3490" s="76">
        <f>+DB3490*25000</f>
        <v>0</v>
      </c>
      <c r="DD3490" s="219"/>
      <c r="DE3490" s="219"/>
      <c r="DF3490" s="166"/>
      <c r="DG3490" s="116"/>
      <c r="DH3490" s="117"/>
      <c r="DI3490" s="24"/>
      <c r="DJ3490" s="24"/>
      <c r="DK3490" s="24"/>
      <c r="DL3490" s="24"/>
      <c r="DM3490" s="24"/>
      <c r="DN3490" s="24"/>
      <c r="DO3490" s="24"/>
      <c r="DP3490" s="24"/>
      <c r="DQ3490" s="24"/>
      <c r="DR3490" s="24"/>
      <c r="DS3490" s="24"/>
      <c r="DT3490" s="24"/>
      <c r="DU3490" s="24"/>
    </row>
    <row r="3491" spans="1:125" s="8" customFormat="1" ht="36" x14ac:dyDescent="0.2">
      <c r="A3491" s="77">
        <v>41576</v>
      </c>
      <c r="B3491" s="75" t="s">
        <v>2852</v>
      </c>
      <c r="C3491" s="75" t="s">
        <v>1327</v>
      </c>
      <c r="D3491" s="75" t="s">
        <v>3088</v>
      </c>
      <c r="E3491" s="75" t="str">
        <f>VLOOKUP(B3491&amp;C3491,Divipola!$C$2:$F$1138,4,FALSE)</f>
        <v>27001</v>
      </c>
      <c r="F3491" s="93"/>
      <c r="G3491" s="93">
        <v>1</v>
      </c>
      <c r="H3491" s="93"/>
      <c r="I3491" s="93">
        <v>5</v>
      </c>
      <c r="J3491" s="93">
        <v>1</v>
      </c>
      <c r="K3491" s="93">
        <v>1</v>
      </c>
      <c r="L3491" s="93"/>
      <c r="M3491" s="93"/>
      <c r="N3491" s="93"/>
      <c r="O3491" s="93"/>
      <c r="P3491" s="93"/>
      <c r="Q3491" s="93"/>
      <c r="R3491" s="93"/>
      <c r="S3491" s="93"/>
      <c r="T3491" s="93"/>
      <c r="U3491" s="93"/>
      <c r="V3491" s="93"/>
      <c r="W3491" s="96">
        <v>0</v>
      </c>
      <c r="X3491" s="71">
        <f>CU3491</f>
        <v>0</v>
      </c>
      <c r="Y3491" s="71">
        <f>CY3491</f>
        <v>0</v>
      </c>
      <c r="Z3491" s="71">
        <f>DA3491+DC3491+DE3491</f>
        <v>0</v>
      </c>
      <c r="AA3491" s="71">
        <f>CW3491</f>
        <v>0</v>
      </c>
      <c r="AB3491" s="71"/>
      <c r="AC3491" s="71">
        <v>0</v>
      </c>
      <c r="AD3491" s="71">
        <f>W3491+X3491+Y3491+Z3491+AA3491+AB3491+AC3491</f>
        <v>0</v>
      </c>
      <c r="AE3491" s="72">
        <v>0</v>
      </c>
      <c r="AF3491" s="5"/>
      <c r="AG3491" s="6"/>
      <c r="AH3491" s="27"/>
      <c r="AI3491" s="44"/>
      <c r="AJ3491" s="26"/>
      <c r="AK3491" s="5"/>
      <c r="AL3491" s="330" t="s">
        <v>6486</v>
      </c>
      <c r="AM3491" s="76"/>
      <c r="AN3491" s="76"/>
      <c r="AO3491" s="76"/>
      <c r="AP3491" s="76"/>
      <c r="AQ3491" s="76"/>
      <c r="AR3491" s="76"/>
      <c r="AS3491" s="76"/>
      <c r="AT3491" s="76"/>
      <c r="AU3491" s="76"/>
      <c r="AV3491" s="76"/>
      <c r="AW3491" s="76"/>
      <c r="AX3491" s="76">
        <f>+AW3491*600000</f>
        <v>0</v>
      </c>
      <c r="AY3491" s="76"/>
      <c r="AZ3491" s="76">
        <f>+AY3491*70000</f>
        <v>0</v>
      </c>
      <c r="BA3491" s="76"/>
      <c r="BB3491" s="76"/>
      <c r="BC3491" s="76"/>
      <c r="BD3491" s="76">
        <f>+BC3491*30000</f>
        <v>0</v>
      </c>
      <c r="BE3491" s="76"/>
      <c r="BF3491" s="76"/>
      <c r="BG3491" s="76"/>
      <c r="BH3491" s="76"/>
      <c r="BI3491" s="76"/>
      <c r="BJ3491" s="76"/>
      <c r="BK3491" s="76"/>
      <c r="BL3491" s="76">
        <f>+BK3491*31500</f>
        <v>0</v>
      </c>
      <c r="BM3491" s="76"/>
      <c r="BN3491" s="76"/>
      <c r="BO3491" s="76"/>
      <c r="BP3491" s="76"/>
      <c r="BQ3491" s="76"/>
      <c r="BR3491" s="76"/>
      <c r="BS3491" s="76"/>
      <c r="BT3491" s="76"/>
      <c r="BU3491" s="76"/>
      <c r="BV3491" s="76"/>
      <c r="BW3491" s="76"/>
      <c r="BX3491" s="76"/>
      <c r="BY3491" s="76"/>
      <c r="BZ3491" s="76"/>
      <c r="CA3491" s="76"/>
      <c r="CB3491" s="76"/>
      <c r="CC3491" s="76"/>
      <c r="CD3491" s="76"/>
      <c r="CE3491" s="76"/>
      <c r="CF3491" s="76">
        <f>+CE3491*28000</f>
        <v>0</v>
      </c>
      <c r="CG3491" s="76"/>
      <c r="CH3491" s="76">
        <f>+CG3491*22500</f>
        <v>0</v>
      </c>
      <c r="CI3491" s="76"/>
      <c r="CJ3491" s="76">
        <f>+CI3491*26000</f>
        <v>0</v>
      </c>
      <c r="CK3491" s="76"/>
      <c r="CL3491" s="76"/>
      <c r="CM3491" s="76"/>
      <c r="CN3491" s="76">
        <f>+CM3491*22000</f>
        <v>0</v>
      </c>
      <c r="CO3491" s="76"/>
      <c r="CP3491" s="76">
        <f>+CO3491*46000</f>
        <v>0</v>
      </c>
      <c r="CQ3491" s="76"/>
      <c r="CR3491" s="76">
        <f>+CQ3491*49000</f>
        <v>0</v>
      </c>
      <c r="CS3491" s="76"/>
      <c r="CT3491" s="76"/>
      <c r="CU3491" s="56">
        <f>AN3491+AP3491+AR3491+AT3491+AV3491+AX3491+AZ3491+BB3491+BD3491+BF3491+BH3491+BJ3491+BL3491+BN3491+BP3491+BR3491+BT3491+BV3491+BX3491+BZ3491+CB3491+CD3491+CF3491+CH3491+CJ3491+CL3491+CN3491+CP3491+CR3491+CT3491</f>
        <v>0</v>
      </c>
      <c r="CV3491" s="76"/>
      <c r="CW3491" s="76">
        <f>+CV3491*1100</f>
        <v>0</v>
      </c>
      <c r="CX3491" s="76"/>
      <c r="CY3491" s="76">
        <f>+CX3491*106250</f>
        <v>0</v>
      </c>
      <c r="CZ3491" s="76"/>
      <c r="DA3491" s="76">
        <f>+CZ3491*34500</f>
        <v>0</v>
      </c>
      <c r="DB3491" s="76"/>
      <c r="DC3491" s="76">
        <f>+DB3491*25000</f>
        <v>0</v>
      </c>
      <c r="DD3491" s="219"/>
      <c r="DE3491" s="219"/>
      <c r="DF3491" s="166"/>
      <c r="DG3491" s="116"/>
      <c r="DH3491" s="117"/>
      <c r="DI3491" s="24"/>
      <c r="DJ3491" s="24"/>
      <c r="DK3491" s="24"/>
      <c r="DL3491" s="24"/>
      <c r="DM3491" s="24"/>
      <c r="DN3491" s="24"/>
      <c r="DO3491" s="24"/>
      <c r="DP3491" s="24"/>
      <c r="DQ3491" s="24"/>
      <c r="DR3491" s="24"/>
      <c r="DS3491" s="24"/>
      <c r="DT3491" s="24"/>
      <c r="DU3491" s="24"/>
    </row>
    <row r="3492" spans="1:125" s="8" customFormat="1" ht="300" x14ac:dyDescent="0.2">
      <c r="A3492" s="77">
        <v>41576</v>
      </c>
      <c r="B3492" s="78" t="s">
        <v>2894</v>
      </c>
      <c r="C3492" s="75" t="s">
        <v>2479</v>
      </c>
      <c r="D3492" s="351" t="s">
        <v>4391</v>
      </c>
      <c r="E3492" s="75" t="str">
        <f>VLOOKUP(B3492&amp;C3492,Divipola!$C$2:$F$1138,4,FALSE)</f>
        <v>05361</v>
      </c>
      <c r="F3492" s="93" t="s">
        <v>6492</v>
      </c>
      <c r="G3492" s="93"/>
      <c r="H3492" s="93">
        <v>4</v>
      </c>
      <c r="I3492" s="93">
        <v>5</v>
      </c>
      <c r="J3492" s="93"/>
      <c r="K3492" s="93"/>
      <c r="L3492" s="93"/>
      <c r="M3492" s="93"/>
      <c r="N3492" s="93"/>
      <c r="O3492" s="93"/>
      <c r="P3492" s="93"/>
      <c r="Q3492" s="93"/>
      <c r="R3492" s="93"/>
      <c r="S3492" s="93"/>
      <c r="T3492" s="93"/>
      <c r="U3492" s="93"/>
      <c r="V3492" s="89"/>
      <c r="W3492" s="96">
        <v>0</v>
      </c>
      <c r="X3492" s="71">
        <f>CU3492</f>
        <v>0</v>
      </c>
      <c r="Y3492" s="71">
        <f>CY3492</f>
        <v>0</v>
      </c>
      <c r="Z3492" s="71">
        <f>DA3492+DC3492+DE3492</f>
        <v>0</v>
      </c>
      <c r="AA3492" s="71">
        <f>CW3492</f>
        <v>0</v>
      </c>
      <c r="AB3492" s="71"/>
      <c r="AC3492" s="71">
        <v>0</v>
      </c>
      <c r="AD3492" s="71">
        <f>W3492+X3492+Y3492+Z3492+AA3492+AB3492+AC3492</f>
        <v>0</v>
      </c>
      <c r="AE3492" s="72">
        <v>0</v>
      </c>
      <c r="AF3492" s="5"/>
      <c r="AG3492" s="6"/>
      <c r="AH3492" s="27"/>
      <c r="AI3492" s="44"/>
      <c r="AJ3492" s="26"/>
      <c r="AK3492" s="5"/>
      <c r="AL3492" s="82" t="s">
        <v>6487</v>
      </c>
      <c r="AM3492" s="76"/>
      <c r="AN3492" s="76"/>
      <c r="AO3492" s="76"/>
      <c r="AP3492" s="76"/>
      <c r="AQ3492" s="76"/>
      <c r="AR3492" s="76"/>
      <c r="AS3492" s="76"/>
      <c r="AT3492" s="76"/>
      <c r="AU3492" s="76"/>
      <c r="AV3492" s="76"/>
      <c r="AW3492" s="76"/>
      <c r="AX3492" s="76">
        <f>+AW3492*600000</f>
        <v>0</v>
      </c>
      <c r="AY3492" s="76"/>
      <c r="AZ3492" s="76">
        <f>+AY3492*70000</f>
        <v>0</v>
      </c>
      <c r="BA3492" s="76"/>
      <c r="BB3492" s="76"/>
      <c r="BC3492" s="76"/>
      <c r="BD3492" s="76">
        <f>+BC3492*30000</f>
        <v>0</v>
      </c>
      <c r="BE3492" s="76"/>
      <c r="BF3492" s="76"/>
      <c r="BG3492" s="76"/>
      <c r="BH3492" s="76"/>
      <c r="BI3492" s="76"/>
      <c r="BJ3492" s="76"/>
      <c r="BK3492" s="76"/>
      <c r="BL3492" s="76">
        <f>+BK3492*31500</f>
        <v>0</v>
      </c>
      <c r="BM3492" s="76"/>
      <c r="BN3492" s="76"/>
      <c r="BO3492" s="76"/>
      <c r="BP3492" s="76"/>
      <c r="BQ3492" s="76"/>
      <c r="BR3492" s="76"/>
      <c r="BS3492" s="76"/>
      <c r="BT3492" s="76"/>
      <c r="BU3492" s="76"/>
      <c r="BV3492" s="76"/>
      <c r="BW3492" s="76"/>
      <c r="BX3492" s="76"/>
      <c r="BY3492" s="76"/>
      <c r="BZ3492" s="76"/>
      <c r="CA3492" s="76"/>
      <c r="CB3492" s="76"/>
      <c r="CC3492" s="76"/>
      <c r="CD3492" s="76"/>
      <c r="CE3492" s="76"/>
      <c r="CF3492" s="76">
        <f>+CE3492*28000</f>
        <v>0</v>
      </c>
      <c r="CG3492" s="76"/>
      <c r="CH3492" s="76">
        <f>+CG3492*22500</f>
        <v>0</v>
      </c>
      <c r="CI3492" s="76"/>
      <c r="CJ3492" s="76">
        <f>+CI3492*26000</f>
        <v>0</v>
      </c>
      <c r="CK3492" s="76"/>
      <c r="CL3492" s="76"/>
      <c r="CM3492" s="76"/>
      <c r="CN3492" s="76">
        <f>+CM3492*22000</f>
        <v>0</v>
      </c>
      <c r="CO3492" s="76"/>
      <c r="CP3492" s="76">
        <f>+CO3492*46000</f>
        <v>0</v>
      </c>
      <c r="CQ3492" s="76"/>
      <c r="CR3492" s="76">
        <f>+CQ3492*49000</f>
        <v>0</v>
      </c>
      <c r="CS3492" s="76"/>
      <c r="CT3492" s="76"/>
      <c r="CU3492" s="56">
        <f>AN3492+AP3492+AR3492+AT3492+AV3492+AX3492+AZ3492+BB3492+BD3492+BF3492+BH3492+BJ3492+BL3492+BN3492+BP3492+BR3492+BT3492+BV3492+BX3492+BZ3492+CB3492+CD3492+CF3492+CH3492+CJ3492+CL3492+CN3492+CP3492+CR3492+CT3492</f>
        <v>0</v>
      </c>
      <c r="CV3492" s="76"/>
      <c r="CW3492" s="76">
        <f>+CV3492*1100</f>
        <v>0</v>
      </c>
      <c r="CX3492" s="76"/>
      <c r="CY3492" s="76">
        <f>+CX3492*106250</f>
        <v>0</v>
      </c>
      <c r="CZ3492" s="76"/>
      <c r="DA3492" s="76">
        <f>+CZ3492*34500</f>
        <v>0</v>
      </c>
      <c r="DB3492" s="76"/>
      <c r="DC3492" s="76">
        <f>+DB3492*25000</f>
        <v>0</v>
      </c>
      <c r="DD3492" s="219"/>
      <c r="DE3492" s="219"/>
      <c r="DF3492" s="166"/>
      <c r="DG3492" s="116"/>
      <c r="DH3492" s="117"/>
      <c r="DI3492" s="24"/>
      <c r="DJ3492" s="24"/>
      <c r="DK3492" s="24"/>
      <c r="DL3492" s="24"/>
      <c r="DM3492" s="24"/>
      <c r="DN3492" s="24"/>
      <c r="DO3492" s="24"/>
      <c r="DP3492" s="24"/>
      <c r="DQ3492" s="24"/>
      <c r="DR3492" s="24"/>
      <c r="DS3492" s="24"/>
      <c r="DT3492" s="24"/>
      <c r="DU3492" s="24"/>
    </row>
    <row r="3493" spans="1:125" s="8" customFormat="1" ht="48" x14ac:dyDescent="0.2">
      <c r="A3493" s="77">
        <v>41576</v>
      </c>
      <c r="B3493" s="203" t="s">
        <v>2774</v>
      </c>
      <c r="C3493" s="75" t="s">
        <v>2216</v>
      </c>
      <c r="D3493" s="75" t="s">
        <v>2882</v>
      </c>
      <c r="E3493" s="75" t="str">
        <f>VLOOKUP(B3493&amp;C3493,Divipola!$C$2:$F$1138,4,FALSE)</f>
        <v>66075</v>
      </c>
      <c r="F3493" s="93"/>
      <c r="G3493" s="93"/>
      <c r="H3493" s="93"/>
      <c r="I3493" s="93">
        <v>10</v>
      </c>
      <c r="J3493" s="93">
        <v>2</v>
      </c>
      <c r="K3493" s="93"/>
      <c r="L3493" s="93">
        <v>2</v>
      </c>
      <c r="M3493" s="93"/>
      <c r="N3493" s="93"/>
      <c r="O3493" s="93"/>
      <c r="P3493" s="93"/>
      <c r="Q3493" s="93"/>
      <c r="R3493" s="93"/>
      <c r="S3493" s="93"/>
      <c r="T3493" s="93"/>
      <c r="U3493" s="93"/>
      <c r="V3493" s="93"/>
      <c r="W3493" s="96">
        <v>0</v>
      </c>
      <c r="X3493" s="71">
        <f>CU3493</f>
        <v>0</v>
      </c>
      <c r="Y3493" s="71">
        <f>CY3493</f>
        <v>0</v>
      </c>
      <c r="Z3493" s="71">
        <f>DA3493+DC3493+DE3493</f>
        <v>0</v>
      </c>
      <c r="AA3493" s="71">
        <f>CW3493</f>
        <v>0</v>
      </c>
      <c r="AB3493" s="71"/>
      <c r="AC3493" s="71">
        <v>0</v>
      </c>
      <c r="AD3493" s="71">
        <f>W3493+X3493+Y3493+Z3493+AA3493+AB3493+AC3493</f>
        <v>0</v>
      </c>
      <c r="AE3493" s="72">
        <v>0</v>
      </c>
      <c r="AF3493" s="5"/>
      <c r="AG3493" s="6"/>
      <c r="AH3493" s="27"/>
      <c r="AI3493" s="44"/>
      <c r="AJ3493" s="26"/>
      <c r="AK3493" s="5"/>
      <c r="AL3493" s="268" t="s">
        <v>6501</v>
      </c>
      <c r="AM3493" s="76"/>
      <c r="AN3493" s="76"/>
      <c r="AO3493" s="76"/>
      <c r="AP3493" s="76"/>
      <c r="AQ3493" s="76"/>
      <c r="AR3493" s="76"/>
      <c r="AS3493" s="76"/>
      <c r="AT3493" s="76"/>
      <c r="AU3493" s="76"/>
      <c r="AV3493" s="76"/>
      <c r="AW3493" s="76"/>
      <c r="AX3493" s="76">
        <f>+AW3493*600000</f>
        <v>0</v>
      </c>
      <c r="AY3493" s="76"/>
      <c r="AZ3493" s="76">
        <f>+AY3493*70000</f>
        <v>0</v>
      </c>
      <c r="BA3493" s="76"/>
      <c r="BB3493" s="76"/>
      <c r="BC3493" s="76"/>
      <c r="BD3493" s="76">
        <f>+BC3493*30000</f>
        <v>0</v>
      </c>
      <c r="BE3493" s="76"/>
      <c r="BF3493" s="76"/>
      <c r="BG3493" s="76"/>
      <c r="BH3493" s="76"/>
      <c r="BI3493" s="76"/>
      <c r="BJ3493" s="76"/>
      <c r="BK3493" s="76"/>
      <c r="BL3493" s="76">
        <f>+BK3493*31500</f>
        <v>0</v>
      </c>
      <c r="BM3493" s="76"/>
      <c r="BN3493" s="76"/>
      <c r="BO3493" s="76"/>
      <c r="BP3493" s="76"/>
      <c r="BQ3493" s="76"/>
      <c r="BR3493" s="76"/>
      <c r="BS3493" s="76"/>
      <c r="BT3493" s="76"/>
      <c r="BU3493" s="76"/>
      <c r="BV3493" s="76"/>
      <c r="BW3493" s="76"/>
      <c r="BX3493" s="76"/>
      <c r="BY3493" s="76"/>
      <c r="BZ3493" s="76"/>
      <c r="CA3493" s="76"/>
      <c r="CB3493" s="76"/>
      <c r="CC3493" s="76"/>
      <c r="CD3493" s="76"/>
      <c r="CE3493" s="76"/>
      <c r="CF3493" s="76">
        <f>+CE3493*28000</f>
        <v>0</v>
      </c>
      <c r="CG3493" s="76"/>
      <c r="CH3493" s="76">
        <f>+CG3493*22500</f>
        <v>0</v>
      </c>
      <c r="CI3493" s="76"/>
      <c r="CJ3493" s="76">
        <f>+CI3493*26000</f>
        <v>0</v>
      </c>
      <c r="CK3493" s="76"/>
      <c r="CL3493" s="76"/>
      <c r="CM3493" s="76"/>
      <c r="CN3493" s="76">
        <f>+CM3493*22000</f>
        <v>0</v>
      </c>
      <c r="CO3493" s="76"/>
      <c r="CP3493" s="76">
        <f>+CO3493*46000</f>
        <v>0</v>
      </c>
      <c r="CQ3493" s="76"/>
      <c r="CR3493" s="76">
        <f>+CQ3493*49000</f>
        <v>0</v>
      </c>
      <c r="CS3493" s="76"/>
      <c r="CT3493" s="76"/>
      <c r="CU3493" s="56">
        <f>AN3493+AP3493+AR3493+AT3493+AV3493+AX3493+AZ3493+BB3493+BD3493+BF3493+BH3493+BJ3493+BL3493+BN3493+BP3493+BR3493+BT3493+BV3493+BX3493+BZ3493+CB3493+CD3493+CF3493+CH3493+CJ3493+CL3493+CN3493+CP3493+CR3493+CT3493</f>
        <v>0</v>
      </c>
      <c r="CV3493" s="76"/>
      <c r="CW3493" s="76">
        <f>+CV3493*1100</f>
        <v>0</v>
      </c>
      <c r="CX3493" s="76"/>
      <c r="CY3493" s="76">
        <f>+CX3493*106250</f>
        <v>0</v>
      </c>
      <c r="CZ3493" s="76"/>
      <c r="DA3493" s="76">
        <f>+CZ3493*34500</f>
        <v>0</v>
      </c>
      <c r="DB3493" s="76"/>
      <c r="DC3493" s="76">
        <f>+DB3493*25000</f>
        <v>0</v>
      </c>
      <c r="DD3493" s="219"/>
      <c r="DE3493" s="219"/>
      <c r="DF3493" s="166"/>
      <c r="DG3493" s="116"/>
      <c r="DH3493" s="117"/>
      <c r="DI3493" s="24"/>
      <c r="DJ3493" s="24"/>
      <c r="DK3493" s="24"/>
      <c r="DL3493" s="24"/>
      <c r="DM3493" s="24"/>
      <c r="DN3493" s="24"/>
      <c r="DO3493" s="24"/>
      <c r="DP3493" s="24"/>
      <c r="DQ3493" s="24"/>
      <c r="DR3493" s="24"/>
      <c r="DS3493" s="24"/>
      <c r="DT3493" s="24"/>
      <c r="DU3493" s="24"/>
    </row>
    <row r="3494" spans="1:125" s="8" customFormat="1" ht="72" x14ac:dyDescent="0.2">
      <c r="A3494" s="77">
        <v>41576</v>
      </c>
      <c r="B3494" s="203" t="s">
        <v>2774</v>
      </c>
      <c r="C3494" s="83" t="s">
        <v>2039</v>
      </c>
      <c r="D3494" s="75" t="s">
        <v>2882</v>
      </c>
      <c r="E3494" s="75" t="str">
        <f>VLOOKUP(B3494&amp;C3494,Divipola!$C$2:$F$1138,4,FALSE)</f>
        <v>66440</v>
      </c>
      <c r="F3494" s="93"/>
      <c r="G3494" s="93"/>
      <c r="H3494" s="93"/>
      <c r="I3494" s="93">
        <v>35</v>
      </c>
      <c r="J3494" s="93">
        <v>7</v>
      </c>
      <c r="K3494" s="93"/>
      <c r="L3494" s="93">
        <v>7</v>
      </c>
      <c r="M3494" s="93"/>
      <c r="N3494" s="93"/>
      <c r="O3494" s="93"/>
      <c r="P3494" s="93">
        <v>1</v>
      </c>
      <c r="Q3494" s="93"/>
      <c r="R3494" s="93"/>
      <c r="S3494" s="93"/>
      <c r="T3494" s="93"/>
      <c r="U3494" s="93"/>
      <c r="V3494" s="89"/>
      <c r="W3494" s="96">
        <v>0</v>
      </c>
      <c r="X3494" s="71">
        <f>CU3494</f>
        <v>0</v>
      </c>
      <c r="Y3494" s="71">
        <f>CY3494</f>
        <v>0</v>
      </c>
      <c r="Z3494" s="71">
        <f>DA3494+DC3494+DE3494</f>
        <v>0</v>
      </c>
      <c r="AA3494" s="71">
        <f>CW3494</f>
        <v>0</v>
      </c>
      <c r="AB3494" s="71"/>
      <c r="AC3494" s="71">
        <v>0</v>
      </c>
      <c r="AD3494" s="71">
        <f>W3494+X3494+Y3494+Z3494+AA3494+AB3494+AC3494</f>
        <v>0</v>
      </c>
      <c r="AE3494" s="72">
        <v>0</v>
      </c>
      <c r="AF3494" s="5"/>
      <c r="AG3494" s="6"/>
      <c r="AH3494" s="27"/>
      <c r="AI3494" s="44"/>
      <c r="AJ3494" s="26"/>
      <c r="AK3494" s="5"/>
      <c r="AL3494" s="268" t="s">
        <v>6503</v>
      </c>
      <c r="AM3494" s="76"/>
      <c r="AN3494" s="76"/>
      <c r="AO3494" s="76"/>
      <c r="AP3494" s="76"/>
      <c r="AQ3494" s="76"/>
      <c r="AR3494" s="76"/>
      <c r="AS3494" s="76"/>
      <c r="AT3494" s="76"/>
      <c r="AU3494" s="76"/>
      <c r="AV3494" s="76"/>
      <c r="AW3494" s="76"/>
      <c r="AX3494" s="76">
        <f>+AW3494*600000</f>
        <v>0</v>
      </c>
      <c r="AY3494" s="76"/>
      <c r="AZ3494" s="76">
        <f>+AY3494*70000</f>
        <v>0</v>
      </c>
      <c r="BA3494" s="76"/>
      <c r="BB3494" s="76"/>
      <c r="BC3494" s="76"/>
      <c r="BD3494" s="76">
        <f>+BC3494*30000</f>
        <v>0</v>
      </c>
      <c r="BE3494" s="76"/>
      <c r="BF3494" s="76"/>
      <c r="BG3494" s="76"/>
      <c r="BH3494" s="76"/>
      <c r="BI3494" s="76"/>
      <c r="BJ3494" s="76"/>
      <c r="BK3494" s="76"/>
      <c r="BL3494" s="76">
        <f>+BK3494*31500</f>
        <v>0</v>
      </c>
      <c r="BM3494" s="76"/>
      <c r="BN3494" s="76"/>
      <c r="BO3494" s="76"/>
      <c r="BP3494" s="76"/>
      <c r="BQ3494" s="76"/>
      <c r="BR3494" s="76"/>
      <c r="BS3494" s="76"/>
      <c r="BT3494" s="76"/>
      <c r="BU3494" s="76"/>
      <c r="BV3494" s="76"/>
      <c r="BW3494" s="76"/>
      <c r="BX3494" s="76"/>
      <c r="BY3494" s="76"/>
      <c r="BZ3494" s="76"/>
      <c r="CA3494" s="76"/>
      <c r="CB3494" s="76"/>
      <c r="CC3494" s="76"/>
      <c r="CD3494" s="76"/>
      <c r="CE3494" s="76"/>
      <c r="CF3494" s="76">
        <f>+CE3494*28000</f>
        <v>0</v>
      </c>
      <c r="CG3494" s="76"/>
      <c r="CH3494" s="76">
        <f>+CG3494*22500</f>
        <v>0</v>
      </c>
      <c r="CI3494" s="76"/>
      <c r="CJ3494" s="76">
        <f>+CI3494*26000</f>
        <v>0</v>
      </c>
      <c r="CK3494" s="76"/>
      <c r="CL3494" s="76"/>
      <c r="CM3494" s="76"/>
      <c r="CN3494" s="76">
        <f>+CM3494*22000</f>
        <v>0</v>
      </c>
      <c r="CO3494" s="76"/>
      <c r="CP3494" s="76">
        <f>+CO3494*46000</f>
        <v>0</v>
      </c>
      <c r="CQ3494" s="76"/>
      <c r="CR3494" s="76">
        <f>+CQ3494*49000</f>
        <v>0</v>
      </c>
      <c r="CS3494" s="76"/>
      <c r="CT3494" s="76"/>
      <c r="CU3494" s="56">
        <f>AN3494+AP3494+AR3494+AT3494+AV3494+AX3494+AZ3494+BB3494+BD3494+BF3494+BH3494+BJ3494+BL3494+BN3494+BP3494+BR3494+BT3494+BV3494+BX3494+BZ3494+CB3494+CD3494+CF3494+CH3494+CJ3494+CL3494+CN3494+CP3494+CR3494+CT3494</f>
        <v>0</v>
      </c>
      <c r="CV3494" s="76"/>
      <c r="CW3494" s="76">
        <f>+CV3494*1100</f>
        <v>0</v>
      </c>
      <c r="CX3494" s="76"/>
      <c r="CY3494" s="76">
        <f>+CX3494*106250</f>
        <v>0</v>
      </c>
      <c r="CZ3494" s="76"/>
      <c r="DA3494" s="76">
        <f>+CZ3494*34500</f>
        <v>0</v>
      </c>
      <c r="DB3494" s="76"/>
      <c r="DC3494" s="76">
        <f>+DB3494*25000</f>
        <v>0</v>
      </c>
      <c r="DD3494" s="219"/>
      <c r="DE3494" s="219"/>
      <c r="DF3494" s="166"/>
      <c r="DG3494" s="116"/>
      <c r="DH3494" s="117"/>
      <c r="DI3494" s="24"/>
      <c r="DJ3494" s="24"/>
      <c r="DK3494" s="24"/>
      <c r="DL3494" s="24"/>
      <c r="DM3494" s="24"/>
      <c r="DN3494" s="24"/>
      <c r="DO3494" s="24"/>
      <c r="DP3494" s="24"/>
      <c r="DQ3494" s="24"/>
      <c r="DR3494" s="24"/>
      <c r="DS3494" s="24"/>
      <c r="DT3494" s="24"/>
      <c r="DU3494" s="24"/>
    </row>
    <row r="3495" spans="1:125" s="8" customFormat="1" ht="48" x14ac:dyDescent="0.2">
      <c r="A3495" s="353">
        <v>41576</v>
      </c>
      <c r="B3495" s="352" t="s">
        <v>2852</v>
      </c>
      <c r="C3495" s="354" t="s">
        <v>1225</v>
      </c>
      <c r="D3495" s="354" t="s">
        <v>2859</v>
      </c>
      <c r="E3495" s="75" t="str">
        <f>VLOOKUP(B3495&amp;C3495,Divipola!$C$2:$F$1138,4,FALSE)</f>
        <v>27099</v>
      </c>
      <c r="F3495" s="87"/>
      <c r="G3495" s="87">
        <v>2</v>
      </c>
      <c r="H3495" s="87"/>
      <c r="I3495" s="87">
        <v>20</v>
      </c>
      <c r="J3495" s="87">
        <v>4</v>
      </c>
      <c r="K3495" s="87">
        <v>4</v>
      </c>
      <c r="L3495" s="87"/>
      <c r="M3495" s="87"/>
      <c r="N3495" s="87"/>
      <c r="O3495" s="87"/>
      <c r="P3495" s="87"/>
      <c r="Q3495" s="87"/>
      <c r="R3495" s="87"/>
      <c r="S3495" s="87"/>
      <c r="T3495" s="87"/>
      <c r="U3495" s="88"/>
      <c r="V3495" s="89"/>
      <c r="W3495" s="96">
        <v>0</v>
      </c>
      <c r="X3495" s="71">
        <f>CU3495</f>
        <v>0</v>
      </c>
      <c r="Y3495" s="71">
        <f>CY3495</f>
        <v>0</v>
      </c>
      <c r="Z3495" s="71">
        <f>DA3495+DC3495+DE3495</f>
        <v>0</v>
      </c>
      <c r="AA3495" s="71">
        <f>CW3495</f>
        <v>0</v>
      </c>
      <c r="AB3495" s="71"/>
      <c r="AC3495" s="71">
        <v>0</v>
      </c>
      <c r="AD3495" s="71">
        <f>W3495+X3495+Y3495+Z3495+AA3495+AB3495+AC3495</f>
        <v>0</v>
      </c>
      <c r="AE3495" s="72">
        <v>0</v>
      </c>
      <c r="AF3495" s="5"/>
      <c r="AG3495" s="6"/>
      <c r="AH3495" s="27"/>
      <c r="AI3495" s="44"/>
      <c r="AJ3495" s="26"/>
      <c r="AK3495" s="5"/>
      <c r="AL3495" s="268" t="s">
        <v>6510</v>
      </c>
      <c r="AM3495" s="76"/>
      <c r="AN3495" s="76"/>
      <c r="AO3495" s="76"/>
      <c r="AP3495" s="76"/>
      <c r="AQ3495" s="76"/>
      <c r="AR3495" s="76"/>
      <c r="AS3495" s="76"/>
      <c r="AT3495" s="76"/>
      <c r="AU3495" s="76"/>
      <c r="AV3495" s="76"/>
      <c r="AW3495" s="76"/>
      <c r="AX3495" s="76">
        <f>+AW3495*600000</f>
        <v>0</v>
      </c>
      <c r="AY3495" s="76"/>
      <c r="AZ3495" s="76">
        <f>+AY3495*70000</f>
        <v>0</v>
      </c>
      <c r="BA3495" s="76"/>
      <c r="BB3495" s="76"/>
      <c r="BC3495" s="76"/>
      <c r="BD3495" s="76">
        <f>+BC3495*30000</f>
        <v>0</v>
      </c>
      <c r="BE3495" s="76"/>
      <c r="BF3495" s="76"/>
      <c r="BG3495" s="76"/>
      <c r="BH3495" s="76"/>
      <c r="BI3495" s="76"/>
      <c r="BJ3495" s="76"/>
      <c r="BK3495" s="76"/>
      <c r="BL3495" s="76">
        <f>+BK3495*31500</f>
        <v>0</v>
      </c>
      <c r="BM3495" s="76"/>
      <c r="BN3495" s="76"/>
      <c r="BO3495" s="76"/>
      <c r="BP3495" s="76"/>
      <c r="BQ3495" s="76"/>
      <c r="BR3495" s="76"/>
      <c r="BS3495" s="76"/>
      <c r="BT3495" s="76"/>
      <c r="BU3495" s="76"/>
      <c r="BV3495" s="76"/>
      <c r="BW3495" s="76"/>
      <c r="BX3495" s="76"/>
      <c r="BY3495" s="76"/>
      <c r="BZ3495" s="76"/>
      <c r="CA3495" s="76"/>
      <c r="CB3495" s="76"/>
      <c r="CC3495" s="76"/>
      <c r="CD3495" s="76"/>
      <c r="CE3495" s="76"/>
      <c r="CF3495" s="76">
        <f>+CE3495*28000</f>
        <v>0</v>
      </c>
      <c r="CG3495" s="76"/>
      <c r="CH3495" s="76">
        <f>+CG3495*22500</f>
        <v>0</v>
      </c>
      <c r="CI3495" s="76"/>
      <c r="CJ3495" s="76">
        <f>+CI3495*26000</f>
        <v>0</v>
      </c>
      <c r="CK3495" s="76"/>
      <c r="CL3495" s="76"/>
      <c r="CM3495" s="76"/>
      <c r="CN3495" s="76">
        <f>+CM3495*22000</f>
        <v>0</v>
      </c>
      <c r="CO3495" s="76"/>
      <c r="CP3495" s="76">
        <f>+CO3495*46000</f>
        <v>0</v>
      </c>
      <c r="CQ3495" s="76"/>
      <c r="CR3495" s="76">
        <f>+CQ3495*49000</f>
        <v>0</v>
      </c>
      <c r="CS3495" s="76"/>
      <c r="CT3495" s="76"/>
      <c r="CU3495" s="56">
        <f>AN3495+AP3495+AR3495+AT3495+AV3495+AX3495+AZ3495+BB3495+BD3495+BF3495+BH3495+BJ3495+BL3495+BN3495+BP3495+BR3495+BT3495+BV3495+BX3495+BZ3495+CB3495+CD3495+CF3495+CH3495+CJ3495+CL3495+CN3495+CP3495+CR3495+CT3495</f>
        <v>0</v>
      </c>
      <c r="CV3495" s="76"/>
      <c r="CW3495" s="76">
        <f>+CV3495*1100</f>
        <v>0</v>
      </c>
      <c r="CX3495" s="76"/>
      <c r="CY3495" s="76">
        <f>+CX3495*106250</f>
        <v>0</v>
      </c>
      <c r="CZ3495" s="76"/>
      <c r="DA3495" s="76">
        <f>+CZ3495*34500</f>
        <v>0</v>
      </c>
      <c r="DB3495" s="76"/>
      <c r="DC3495" s="76">
        <f>+DB3495*25000</f>
        <v>0</v>
      </c>
      <c r="DD3495" s="219"/>
      <c r="DE3495" s="219"/>
      <c r="DF3495" s="166"/>
      <c r="DG3495" s="116"/>
      <c r="DH3495" s="117"/>
      <c r="DI3495" s="24"/>
      <c r="DJ3495" s="24"/>
      <c r="DK3495" s="24"/>
      <c r="DL3495" s="24"/>
      <c r="DM3495" s="24"/>
      <c r="DN3495" s="24"/>
      <c r="DO3495" s="24"/>
      <c r="DP3495" s="24"/>
      <c r="DQ3495" s="24"/>
      <c r="DR3495" s="24"/>
      <c r="DS3495" s="24"/>
      <c r="DT3495" s="24"/>
      <c r="DU3495" s="24"/>
    </row>
    <row r="3496" spans="1:125" s="8" customFormat="1" ht="48" x14ac:dyDescent="0.2">
      <c r="A3496" s="77">
        <v>41576</v>
      </c>
      <c r="B3496" s="208" t="s">
        <v>2774</v>
      </c>
      <c r="C3496" s="354" t="s">
        <v>2790</v>
      </c>
      <c r="D3496" s="354" t="s">
        <v>2882</v>
      </c>
      <c r="E3496" s="75" t="str">
        <f>VLOOKUP(B3496&amp;C3496,Divipola!$C$2:$F$1138,4,FALSE)</f>
        <v>66682</v>
      </c>
      <c r="F3496" s="87"/>
      <c r="G3496" s="87"/>
      <c r="H3496" s="87"/>
      <c r="I3496" s="87">
        <v>75</v>
      </c>
      <c r="J3496" s="87">
        <v>15</v>
      </c>
      <c r="K3496" s="87"/>
      <c r="L3496" s="87">
        <v>15</v>
      </c>
      <c r="M3496" s="87"/>
      <c r="N3496" s="87"/>
      <c r="O3496" s="87"/>
      <c r="P3496" s="87"/>
      <c r="Q3496" s="87"/>
      <c r="R3496" s="87"/>
      <c r="S3496" s="87"/>
      <c r="T3496" s="87"/>
      <c r="U3496" s="88"/>
      <c r="V3496" s="89"/>
      <c r="W3496" s="96">
        <v>0</v>
      </c>
      <c r="X3496" s="71">
        <f>CU3496</f>
        <v>0</v>
      </c>
      <c r="Y3496" s="71">
        <f>CY3496</f>
        <v>0</v>
      </c>
      <c r="Z3496" s="71">
        <f>DA3496+DC3496+DE3496</f>
        <v>0</v>
      </c>
      <c r="AA3496" s="71">
        <f>CW3496</f>
        <v>0</v>
      </c>
      <c r="AB3496" s="71"/>
      <c r="AC3496" s="71">
        <v>0</v>
      </c>
      <c r="AD3496" s="71">
        <f>W3496+X3496+Y3496+Z3496+AA3496+AB3496+AC3496</f>
        <v>0</v>
      </c>
      <c r="AE3496" s="72">
        <v>0</v>
      </c>
      <c r="AF3496" s="5"/>
      <c r="AG3496" s="6"/>
      <c r="AH3496" s="27"/>
      <c r="AI3496" s="44"/>
      <c r="AJ3496" s="26"/>
      <c r="AK3496" s="5"/>
      <c r="AL3496" s="82" t="s">
        <v>6548</v>
      </c>
      <c r="AM3496" s="76"/>
      <c r="AN3496" s="76"/>
      <c r="AO3496" s="76"/>
      <c r="AP3496" s="76"/>
      <c r="AQ3496" s="76"/>
      <c r="AR3496" s="76"/>
      <c r="AS3496" s="76"/>
      <c r="AT3496" s="76"/>
      <c r="AU3496" s="76"/>
      <c r="AV3496" s="76"/>
      <c r="AW3496" s="76"/>
      <c r="AX3496" s="76">
        <f>+AW3496*600000</f>
        <v>0</v>
      </c>
      <c r="AY3496" s="76"/>
      <c r="AZ3496" s="76">
        <f>+AY3496*70000</f>
        <v>0</v>
      </c>
      <c r="BA3496" s="76"/>
      <c r="BB3496" s="76"/>
      <c r="BC3496" s="76"/>
      <c r="BD3496" s="76">
        <f>+BC3496*30000</f>
        <v>0</v>
      </c>
      <c r="BE3496" s="76"/>
      <c r="BF3496" s="76"/>
      <c r="BG3496" s="76"/>
      <c r="BH3496" s="76"/>
      <c r="BI3496" s="76"/>
      <c r="BJ3496" s="76"/>
      <c r="BK3496" s="76"/>
      <c r="BL3496" s="76">
        <f>+BK3496*31500</f>
        <v>0</v>
      </c>
      <c r="BM3496" s="76"/>
      <c r="BN3496" s="76"/>
      <c r="BO3496" s="76"/>
      <c r="BP3496" s="76"/>
      <c r="BQ3496" s="76"/>
      <c r="BR3496" s="76"/>
      <c r="BS3496" s="76"/>
      <c r="BT3496" s="76"/>
      <c r="BU3496" s="76"/>
      <c r="BV3496" s="76"/>
      <c r="BW3496" s="76"/>
      <c r="BX3496" s="76"/>
      <c r="BY3496" s="76"/>
      <c r="BZ3496" s="76"/>
      <c r="CA3496" s="76"/>
      <c r="CB3496" s="76"/>
      <c r="CC3496" s="76"/>
      <c r="CD3496" s="76"/>
      <c r="CE3496" s="76"/>
      <c r="CF3496" s="76">
        <f>+CE3496*28000</f>
        <v>0</v>
      </c>
      <c r="CG3496" s="76"/>
      <c r="CH3496" s="76">
        <f>+CG3496*22500</f>
        <v>0</v>
      </c>
      <c r="CI3496" s="76"/>
      <c r="CJ3496" s="76">
        <f>+CI3496*26000</f>
        <v>0</v>
      </c>
      <c r="CK3496" s="76"/>
      <c r="CL3496" s="76"/>
      <c r="CM3496" s="76"/>
      <c r="CN3496" s="76">
        <f>+CM3496*22000</f>
        <v>0</v>
      </c>
      <c r="CO3496" s="76"/>
      <c r="CP3496" s="76">
        <f>+CO3496*46000</f>
        <v>0</v>
      </c>
      <c r="CQ3496" s="76"/>
      <c r="CR3496" s="76">
        <f>+CQ3496*49000</f>
        <v>0</v>
      </c>
      <c r="CS3496" s="76"/>
      <c r="CT3496" s="76"/>
      <c r="CU3496" s="56">
        <f>AN3496+AP3496+AR3496+AT3496+AV3496+AX3496+AZ3496+BB3496+BD3496+BF3496+BH3496+BJ3496+BL3496+BN3496+BP3496+BR3496+BT3496+BV3496+BX3496+BZ3496+CB3496+CD3496+CF3496+CH3496+CJ3496+CL3496+CN3496+CP3496+CR3496+CT3496</f>
        <v>0</v>
      </c>
      <c r="CV3496" s="76"/>
      <c r="CW3496" s="76">
        <f>+CV3496*1100</f>
        <v>0</v>
      </c>
      <c r="CX3496" s="76"/>
      <c r="CY3496" s="76">
        <f>+CX3496*106250</f>
        <v>0</v>
      </c>
      <c r="CZ3496" s="76"/>
      <c r="DA3496" s="76">
        <f>+CZ3496*34500</f>
        <v>0</v>
      </c>
      <c r="DB3496" s="76"/>
      <c r="DC3496" s="76">
        <f>+DB3496*25000</f>
        <v>0</v>
      </c>
      <c r="DD3496" s="219"/>
      <c r="DE3496" s="219"/>
      <c r="DF3496" s="166"/>
      <c r="DG3496" s="116"/>
      <c r="DH3496" s="117"/>
      <c r="DI3496" s="24"/>
      <c r="DJ3496" s="24"/>
      <c r="DK3496" s="24"/>
      <c r="DL3496" s="24"/>
      <c r="DM3496" s="24"/>
      <c r="DN3496" s="24"/>
      <c r="DO3496" s="24"/>
      <c r="DP3496" s="24"/>
      <c r="DQ3496" s="24"/>
      <c r="DR3496" s="24"/>
      <c r="DS3496" s="24"/>
      <c r="DT3496" s="24"/>
      <c r="DU3496" s="24"/>
    </row>
    <row r="3497" spans="1:125" s="8" customFormat="1" ht="96" x14ac:dyDescent="0.2">
      <c r="A3497" s="77">
        <v>41577</v>
      </c>
      <c r="B3497" s="78" t="s">
        <v>2847</v>
      </c>
      <c r="C3497" s="75" t="s">
        <v>2673</v>
      </c>
      <c r="D3497" s="75" t="s">
        <v>2846</v>
      </c>
      <c r="E3497" s="75" t="str">
        <f>VLOOKUP(B3497&amp;C3497,Divipola!$C$2:$F$1138,4,FALSE)</f>
        <v>68001</v>
      </c>
      <c r="F3497" s="87"/>
      <c r="G3497" s="87"/>
      <c r="H3497" s="87"/>
      <c r="I3497" s="87"/>
      <c r="J3497" s="87"/>
      <c r="K3497" s="87"/>
      <c r="L3497" s="87"/>
      <c r="M3497" s="87"/>
      <c r="N3497" s="87"/>
      <c r="O3497" s="87"/>
      <c r="P3497" s="87"/>
      <c r="Q3497" s="87"/>
      <c r="R3497" s="87"/>
      <c r="S3497" s="87"/>
      <c r="T3497" s="87"/>
      <c r="U3497" s="88">
        <v>0.5</v>
      </c>
      <c r="V3497" s="89"/>
      <c r="W3497" s="96">
        <v>0</v>
      </c>
      <c r="X3497" s="71">
        <f>CU3497</f>
        <v>0</v>
      </c>
      <c r="Y3497" s="71">
        <f>CY3497</f>
        <v>0</v>
      </c>
      <c r="Z3497" s="71">
        <f>DA3497+DC3497+DE3497</f>
        <v>0</v>
      </c>
      <c r="AA3497" s="71">
        <f>CW3497</f>
        <v>0</v>
      </c>
      <c r="AB3497" s="71"/>
      <c r="AC3497" s="71">
        <v>0</v>
      </c>
      <c r="AD3497" s="71">
        <f>W3497+X3497+Y3497+Z3497+AA3497+AB3497+AC3497</f>
        <v>0</v>
      </c>
      <c r="AE3497" s="72">
        <v>0</v>
      </c>
      <c r="AF3497" s="5"/>
      <c r="AG3497" s="6"/>
      <c r="AH3497" s="27"/>
      <c r="AI3497" s="44"/>
      <c r="AJ3497" s="26"/>
      <c r="AK3497" s="5"/>
      <c r="AL3497" s="268" t="s">
        <v>6494</v>
      </c>
      <c r="AM3497" s="76"/>
      <c r="AN3497" s="76"/>
      <c r="AO3497" s="76"/>
      <c r="AP3497" s="76"/>
      <c r="AQ3497" s="76"/>
      <c r="AR3497" s="76"/>
      <c r="AS3497" s="76"/>
      <c r="AT3497" s="76"/>
      <c r="AU3497" s="76"/>
      <c r="AV3497" s="76"/>
      <c r="AW3497" s="76"/>
      <c r="AX3497" s="76">
        <f>+AW3497*600000</f>
        <v>0</v>
      </c>
      <c r="AY3497" s="76"/>
      <c r="AZ3497" s="76">
        <f>+AY3497*70000</f>
        <v>0</v>
      </c>
      <c r="BA3497" s="76"/>
      <c r="BB3497" s="76"/>
      <c r="BC3497" s="76"/>
      <c r="BD3497" s="76">
        <f>+BC3497*30000</f>
        <v>0</v>
      </c>
      <c r="BE3497" s="76"/>
      <c r="BF3497" s="76"/>
      <c r="BG3497" s="76"/>
      <c r="BH3497" s="76"/>
      <c r="BI3497" s="76"/>
      <c r="BJ3497" s="76"/>
      <c r="BK3497" s="76"/>
      <c r="BL3497" s="76">
        <f>+BK3497*31500</f>
        <v>0</v>
      </c>
      <c r="BM3497" s="76"/>
      <c r="BN3497" s="76"/>
      <c r="BO3497" s="76"/>
      <c r="BP3497" s="76"/>
      <c r="BQ3497" s="76"/>
      <c r="BR3497" s="76"/>
      <c r="BS3497" s="76"/>
      <c r="BT3497" s="76"/>
      <c r="BU3497" s="76"/>
      <c r="BV3497" s="76"/>
      <c r="BW3497" s="76"/>
      <c r="BX3497" s="76"/>
      <c r="BY3497" s="76"/>
      <c r="BZ3497" s="76"/>
      <c r="CA3497" s="76"/>
      <c r="CB3497" s="76"/>
      <c r="CC3497" s="76"/>
      <c r="CD3497" s="76"/>
      <c r="CE3497" s="76"/>
      <c r="CF3497" s="76">
        <f>+CE3497*28000</f>
        <v>0</v>
      </c>
      <c r="CG3497" s="76"/>
      <c r="CH3497" s="76">
        <f>+CG3497*22500</f>
        <v>0</v>
      </c>
      <c r="CI3497" s="76"/>
      <c r="CJ3497" s="76">
        <f>+CI3497*26000</f>
        <v>0</v>
      </c>
      <c r="CK3497" s="76"/>
      <c r="CL3497" s="76"/>
      <c r="CM3497" s="76"/>
      <c r="CN3497" s="76">
        <f>+CM3497*22000</f>
        <v>0</v>
      </c>
      <c r="CO3497" s="76"/>
      <c r="CP3497" s="76">
        <f>+CO3497*46000</f>
        <v>0</v>
      </c>
      <c r="CQ3497" s="76"/>
      <c r="CR3497" s="76">
        <f>+CQ3497*49000</f>
        <v>0</v>
      </c>
      <c r="CS3497" s="76"/>
      <c r="CT3497" s="76"/>
      <c r="CU3497" s="56">
        <f>AN3497+AP3497+AR3497+AT3497+AV3497+AX3497+AZ3497+BB3497+BD3497+BF3497+BH3497+BJ3497+BL3497+BN3497+BP3497+BR3497+BT3497+BV3497+BX3497+BZ3497+CB3497+CD3497+CF3497+CH3497+CJ3497+CL3497+CN3497+CP3497+CR3497+CT3497</f>
        <v>0</v>
      </c>
      <c r="CV3497" s="76"/>
      <c r="CW3497" s="76">
        <f>+CV3497*1100</f>
        <v>0</v>
      </c>
      <c r="CX3497" s="76"/>
      <c r="CY3497" s="76">
        <f>+CX3497*106250</f>
        <v>0</v>
      </c>
      <c r="CZ3497" s="76"/>
      <c r="DA3497" s="76">
        <f>+CZ3497*34500</f>
        <v>0</v>
      </c>
      <c r="DB3497" s="76"/>
      <c r="DC3497" s="76">
        <f>+DB3497*25000</f>
        <v>0</v>
      </c>
      <c r="DD3497" s="219"/>
      <c r="DE3497" s="219"/>
      <c r="DF3497" s="166"/>
      <c r="DG3497" s="116"/>
      <c r="DH3497" s="117"/>
      <c r="DI3497" s="24"/>
      <c r="DJ3497" s="24"/>
      <c r="DK3497" s="24"/>
      <c r="DL3497" s="24"/>
      <c r="DM3497" s="24"/>
      <c r="DN3497" s="24"/>
      <c r="DO3497" s="24"/>
      <c r="DP3497" s="24"/>
      <c r="DQ3497" s="24"/>
      <c r="DR3497" s="24"/>
      <c r="DS3497" s="24"/>
      <c r="DT3497" s="24"/>
      <c r="DU3497" s="24"/>
    </row>
    <row r="3498" spans="1:125" s="8" customFormat="1" ht="60" x14ac:dyDescent="0.2">
      <c r="A3498" s="77">
        <v>41577</v>
      </c>
      <c r="B3498" s="208" t="s">
        <v>529</v>
      </c>
      <c r="C3498" s="208" t="s">
        <v>529</v>
      </c>
      <c r="D3498" s="354" t="s">
        <v>3051</v>
      </c>
      <c r="E3498" s="75" t="str">
        <f>VLOOKUP(B3498&amp;C3498,Divipola!$C$2:$F$1138,4,FALSE)</f>
        <v>11001</v>
      </c>
      <c r="F3498" s="87"/>
      <c r="G3498" s="87"/>
      <c r="H3498" s="87"/>
      <c r="I3498" s="87"/>
      <c r="J3498" s="87"/>
      <c r="K3498" s="87"/>
      <c r="L3498" s="87"/>
      <c r="M3498" s="87"/>
      <c r="N3498" s="87"/>
      <c r="O3498" s="87"/>
      <c r="P3498" s="87"/>
      <c r="Q3498" s="87"/>
      <c r="R3498" s="87"/>
      <c r="S3498" s="87">
        <v>1</v>
      </c>
      <c r="T3498" s="87"/>
      <c r="U3498" s="88"/>
      <c r="V3498" s="89"/>
      <c r="W3498" s="96">
        <v>0</v>
      </c>
      <c r="X3498" s="71">
        <f>CU3498</f>
        <v>0</v>
      </c>
      <c r="Y3498" s="71">
        <f>CY3498</f>
        <v>0</v>
      </c>
      <c r="Z3498" s="71">
        <f>DA3498+DC3498+DE3498</f>
        <v>0</v>
      </c>
      <c r="AA3498" s="71">
        <f>CW3498</f>
        <v>0</v>
      </c>
      <c r="AB3498" s="71"/>
      <c r="AC3498" s="71">
        <v>0</v>
      </c>
      <c r="AD3498" s="71">
        <f>W3498+X3498+Y3498+Z3498+AA3498+AB3498+AC3498</f>
        <v>0</v>
      </c>
      <c r="AE3498" s="72">
        <v>0</v>
      </c>
      <c r="AF3498" s="5"/>
      <c r="AG3498" s="6"/>
      <c r="AH3498" s="27"/>
      <c r="AI3498" s="44"/>
      <c r="AJ3498" s="26"/>
      <c r="AK3498" s="5"/>
      <c r="AL3498" s="268" t="s">
        <v>6497</v>
      </c>
      <c r="AM3498" s="76"/>
      <c r="AN3498" s="76"/>
      <c r="AO3498" s="76"/>
      <c r="AP3498" s="76"/>
      <c r="AQ3498" s="76"/>
      <c r="AR3498" s="76"/>
      <c r="AS3498" s="76"/>
      <c r="AT3498" s="76"/>
      <c r="AU3498" s="76"/>
      <c r="AV3498" s="76"/>
      <c r="AW3498" s="76"/>
      <c r="AX3498" s="76">
        <f>+AW3498*600000</f>
        <v>0</v>
      </c>
      <c r="AY3498" s="76"/>
      <c r="AZ3498" s="76">
        <f>+AY3498*70000</f>
        <v>0</v>
      </c>
      <c r="BA3498" s="76"/>
      <c r="BB3498" s="76"/>
      <c r="BC3498" s="76"/>
      <c r="BD3498" s="76">
        <f>+BC3498*30000</f>
        <v>0</v>
      </c>
      <c r="BE3498" s="76"/>
      <c r="BF3498" s="76"/>
      <c r="BG3498" s="76"/>
      <c r="BH3498" s="76"/>
      <c r="BI3498" s="76"/>
      <c r="BJ3498" s="76"/>
      <c r="BK3498" s="76"/>
      <c r="BL3498" s="76">
        <f>+BK3498*31500</f>
        <v>0</v>
      </c>
      <c r="BM3498" s="76"/>
      <c r="BN3498" s="76"/>
      <c r="BO3498" s="76"/>
      <c r="BP3498" s="76"/>
      <c r="BQ3498" s="76"/>
      <c r="BR3498" s="76"/>
      <c r="BS3498" s="76"/>
      <c r="BT3498" s="76"/>
      <c r="BU3498" s="76"/>
      <c r="BV3498" s="76"/>
      <c r="BW3498" s="76"/>
      <c r="BX3498" s="76"/>
      <c r="BY3498" s="76"/>
      <c r="BZ3498" s="76"/>
      <c r="CA3498" s="76"/>
      <c r="CB3498" s="76"/>
      <c r="CC3498" s="76"/>
      <c r="CD3498" s="76"/>
      <c r="CE3498" s="76"/>
      <c r="CF3498" s="76">
        <f>+CE3498*28000</f>
        <v>0</v>
      </c>
      <c r="CG3498" s="76"/>
      <c r="CH3498" s="76">
        <f>+CG3498*22500</f>
        <v>0</v>
      </c>
      <c r="CI3498" s="76"/>
      <c r="CJ3498" s="76">
        <f>+CI3498*26000</f>
        <v>0</v>
      </c>
      <c r="CK3498" s="76"/>
      <c r="CL3498" s="76"/>
      <c r="CM3498" s="76"/>
      <c r="CN3498" s="76">
        <f>+CM3498*22000</f>
        <v>0</v>
      </c>
      <c r="CO3498" s="76"/>
      <c r="CP3498" s="76">
        <f>+CO3498*46000</f>
        <v>0</v>
      </c>
      <c r="CQ3498" s="76"/>
      <c r="CR3498" s="76">
        <f>+CQ3498*49000</f>
        <v>0</v>
      </c>
      <c r="CS3498" s="76"/>
      <c r="CT3498" s="76"/>
      <c r="CU3498" s="56">
        <f>AN3498+AP3498+AR3498+AT3498+AV3498+AX3498+AZ3498+BB3498+BD3498+BF3498+BH3498+BJ3498+BL3498+BN3498+BP3498+BR3498+BT3498+BV3498+BX3498+BZ3498+CB3498+CD3498+CF3498+CH3498+CJ3498+CL3498+CN3498+CP3498+CR3498+CT3498</f>
        <v>0</v>
      </c>
      <c r="CV3498" s="76"/>
      <c r="CW3498" s="76">
        <f>+CV3498*1100</f>
        <v>0</v>
      </c>
      <c r="CX3498" s="76"/>
      <c r="CY3498" s="76">
        <f>+CX3498*106250</f>
        <v>0</v>
      </c>
      <c r="CZ3498" s="76"/>
      <c r="DA3498" s="76">
        <f>+CZ3498*34500</f>
        <v>0</v>
      </c>
      <c r="DB3498" s="76"/>
      <c r="DC3498" s="76">
        <f>+DB3498*25000</f>
        <v>0</v>
      </c>
      <c r="DD3498" s="219"/>
      <c r="DE3498" s="219"/>
      <c r="DF3498" s="166"/>
      <c r="DG3498" s="116"/>
      <c r="DH3498" s="117"/>
      <c r="DI3498" s="24"/>
      <c r="DJ3498" s="24"/>
      <c r="DK3498" s="24"/>
      <c r="DL3498" s="24"/>
      <c r="DM3498" s="24"/>
      <c r="DN3498" s="24"/>
      <c r="DO3498" s="24"/>
      <c r="DP3498" s="24"/>
      <c r="DQ3498" s="24"/>
      <c r="DR3498" s="24"/>
      <c r="DS3498" s="24"/>
      <c r="DT3498" s="24"/>
      <c r="DU3498" s="24"/>
    </row>
    <row r="3499" spans="1:125" s="8" customFormat="1" ht="108" x14ac:dyDescent="0.2">
      <c r="A3499" s="77">
        <v>41577</v>
      </c>
      <c r="B3499" s="208" t="s">
        <v>2772</v>
      </c>
      <c r="C3499" s="354" t="s">
        <v>2030</v>
      </c>
      <c r="D3499" s="354" t="s">
        <v>2936</v>
      </c>
      <c r="E3499" s="75" t="str">
        <f>VLOOKUP(B3499&amp;C3499,Divipola!$C$2:$F$1138,4,FALSE)</f>
        <v>25754</v>
      </c>
      <c r="F3499" s="87">
        <v>3</v>
      </c>
      <c r="G3499" s="87">
        <v>1</v>
      </c>
      <c r="H3499" s="87"/>
      <c r="I3499" s="87">
        <v>4</v>
      </c>
      <c r="J3499" s="87">
        <v>1</v>
      </c>
      <c r="K3499" s="87">
        <v>1</v>
      </c>
      <c r="L3499" s="87"/>
      <c r="M3499" s="87"/>
      <c r="N3499" s="87"/>
      <c r="O3499" s="87"/>
      <c r="P3499" s="87"/>
      <c r="Q3499" s="87"/>
      <c r="R3499" s="87"/>
      <c r="S3499" s="87"/>
      <c r="T3499" s="87"/>
      <c r="U3499" s="88"/>
      <c r="V3499" s="89"/>
      <c r="W3499" s="96">
        <v>0</v>
      </c>
      <c r="X3499" s="71">
        <f>CU3499</f>
        <v>0</v>
      </c>
      <c r="Y3499" s="71">
        <f>CY3499</f>
        <v>0</v>
      </c>
      <c r="Z3499" s="71">
        <f>DA3499+DC3499+DE3499</f>
        <v>0</v>
      </c>
      <c r="AA3499" s="71">
        <f>CW3499</f>
        <v>0</v>
      </c>
      <c r="AB3499" s="71"/>
      <c r="AC3499" s="71">
        <v>0</v>
      </c>
      <c r="AD3499" s="71">
        <f>W3499+X3499+Y3499+Z3499+AA3499+AB3499+AC3499</f>
        <v>0</v>
      </c>
      <c r="AE3499" s="72">
        <v>0</v>
      </c>
      <c r="AF3499" s="5"/>
      <c r="AG3499" s="6"/>
      <c r="AH3499" s="27"/>
      <c r="AI3499" s="44"/>
      <c r="AJ3499" s="26"/>
      <c r="AK3499" s="5"/>
      <c r="AL3499" s="268" t="s">
        <v>6498</v>
      </c>
      <c r="AM3499" s="76"/>
      <c r="AN3499" s="76"/>
      <c r="AO3499" s="76"/>
      <c r="AP3499" s="76"/>
      <c r="AQ3499" s="76"/>
      <c r="AR3499" s="76"/>
      <c r="AS3499" s="76"/>
      <c r="AT3499" s="76"/>
      <c r="AU3499" s="76"/>
      <c r="AV3499" s="76"/>
      <c r="AW3499" s="76"/>
      <c r="AX3499" s="76">
        <f>+AW3499*600000</f>
        <v>0</v>
      </c>
      <c r="AY3499" s="76"/>
      <c r="AZ3499" s="76">
        <f>+AY3499*70000</f>
        <v>0</v>
      </c>
      <c r="BA3499" s="76"/>
      <c r="BB3499" s="76"/>
      <c r="BC3499" s="76"/>
      <c r="BD3499" s="76">
        <f>+BC3499*30000</f>
        <v>0</v>
      </c>
      <c r="BE3499" s="76"/>
      <c r="BF3499" s="76"/>
      <c r="BG3499" s="76"/>
      <c r="BH3499" s="76"/>
      <c r="BI3499" s="76"/>
      <c r="BJ3499" s="76"/>
      <c r="BK3499" s="76"/>
      <c r="BL3499" s="76">
        <f>+BK3499*31500</f>
        <v>0</v>
      </c>
      <c r="BM3499" s="76"/>
      <c r="BN3499" s="76"/>
      <c r="BO3499" s="76"/>
      <c r="BP3499" s="76"/>
      <c r="BQ3499" s="76"/>
      <c r="BR3499" s="76"/>
      <c r="BS3499" s="76"/>
      <c r="BT3499" s="76"/>
      <c r="BU3499" s="76"/>
      <c r="BV3499" s="76"/>
      <c r="BW3499" s="76"/>
      <c r="BX3499" s="76"/>
      <c r="BY3499" s="76"/>
      <c r="BZ3499" s="76"/>
      <c r="CA3499" s="76"/>
      <c r="CB3499" s="76"/>
      <c r="CC3499" s="76"/>
      <c r="CD3499" s="76"/>
      <c r="CE3499" s="76"/>
      <c r="CF3499" s="76">
        <f>+CE3499*28000</f>
        <v>0</v>
      </c>
      <c r="CG3499" s="76"/>
      <c r="CH3499" s="76">
        <f>+CG3499*22500</f>
        <v>0</v>
      </c>
      <c r="CI3499" s="76"/>
      <c r="CJ3499" s="76">
        <f>+CI3499*26000</f>
        <v>0</v>
      </c>
      <c r="CK3499" s="76"/>
      <c r="CL3499" s="76"/>
      <c r="CM3499" s="76"/>
      <c r="CN3499" s="76">
        <f>+CM3499*22000</f>
        <v>0</v>
      </c>
      <c r="CO3499" s="76"/>
      <c r="CP3499" s="76">
        <f>+CO3499*46000</f>
        <v>0</v>
      </c>
      <c r="CQ3499" s="76"/>
      <c r="CR3499" s="76">
        <f>+CQ3499*49000</f>
        <v>0</v>
      </c>
      <c r="CS3499" s="76"/>
      <c r="CT3499" s="76"/>
      <c r="CU3499" s="56">
        <f>AN3499+AP3499+AR3499+AT3499+AV3499+AX3499+AZ3499+BB3499+BD3499+BF3499+BH3499+BJ3499+BL3499+BN3499+BP3499+BR3499+BT3499+BV3499+BX3499+BZ3499+CB3499+CD3499+CF3499+CH3499+CJ3499+CL3499+CN3499+CP3499+CR3499+CT3499</f>
        <v>0</v>
      </c>
      <c r="CV3499" s="76"/>
      <c r="CW3499" s="76">
        <f>+CV3499*1100</f>
        <v>0</v>
      </c>
      <c r="CX3499" s="76"/>
      <c r="CY3499" s="76">
        <f>+CX3499*106250</f>
        <v>0</v>
      </c>
      <c r="CZ3499" s="76"/>
      <c r="DA3499" s="76">
        <f>+CZ3499*34500</f>
        <v>0</v>
      </c>
      <c r="DB3499" s="76"/>
      <c r="DC3499" s="76">
        <f>+DB3499*25000</f>
        <v>0</v>
      </c>
      <c r="DD3499" s="219"/>
      <c r="DE3499" s="219"/>
      <c r="DF3499" s="166"/>
      <c r="DG3499" s="116"/>
      <c r="DH3499" s="117"/>
      <c r="DI3499" s="24"/>
      <c r="DJ3499" s="24"/>
      <c r="DK3499" s="24"/>
      <c r="DL3499" s="24"/>
      <c r="DM3499" s="24"/>
      <c r="DN3499" s="24"/>
      <c r="DO3499" s="24"/>
      <c r="DP3499" s="24"/>
      <c r="DQ3499" s="24"/>
      <c r="DR3499" s="24"/>
      <c r="DS3499" s="24"/>
      <c r="DT3499" s="24"/>
      <c r="DU3499" s="24"/>
    </row>
    <row r="3500" spans="1:125" s="8" customFormat="1" ht="84" x14ac:dyDescent="0.2">
      <c r="A3500" s="77">
        <v>41577</v>
      </c>
      <c r="B3500" s="208" t="s">
        <v>2848</v>
      </c>
      <c r="C3500" s="354" t="s">
        <v>1685</v>
      </c>
      <c r="D3500" s="354" t="s">
        <v>2882</v>
      </c>
      <c r="E3500" s="75" t="str">
        <f>VLOOKUP(B3500&amp;C3500,Divipola!$C$2:$F$1138,4,FALSE)</f>
        <v>73873</v>
      </c>
      <c r="F3500" s="87"/>
      <c r="G3500" s="87"/>
      <c r="H3500" s="87"/>
      <c r="I3500" s="87">
        <v>250</v>
      </c>
      <c r="J3500" s="87">
        <v>50</v>
      </c>
      <c r="K3500" s="87"/>
      <c r="L3500" s="87">
        <v>50</v>
      </c>
      <c r="M3500" s="87"/>
      <c r="N3500" s="87"/>
      <c r="O3500" s="87"/>
      <c r="P3500" s="87"/>
      <c r="Q3500" s="87"/>
      <c r="R3500" s="87"/>
      <c r="S3500" s="87"/>
      <c r="T3500" s="87">
        <v>2</v>
      </c>
      <c r="U3500" s="88"/>
      <c r="V3500" s="89">
        <v>1</v>
      </c>
      <c r="W3500" s="96">
        <v>0</v>
      </c>
      <c r="X3500" s="71">
        <f>CU3500</f>
        <v>0</v>
      </c>
      <c r="Y3500" s="71">
        <f>CY3500</f>
        <v>0</v>
      </c>
      <c r="Z3500" s="71">
        <f>DA3500+DC3500+DE3500</f>
        <v>0</v>
      </c>
      <c r="AA3500" s="71">
        <f>CW3500</f>
        <v>0</v>
      </c>
      <c r="AB3500" s="71"/>
      <c r="AC3500" s="71">
        <v>0</v>
      </c>
      <c r="AD3500" s="71">
        <f>W3500+X3500+Y3500+Z3500+AA3500+AB3500+AC3500</f>
        <v>0</v>
      </c>
      <c r="AE3500" s="72">
        <v>0</v>
      </c>
      <c r="AF3500" s="5"/>
      <c r="AG3500" s="6"/>
      <c r="AH3500" s="27"/>
      <c r="AI3500" s="44"/>
      <c r="AJ3500" s="26"/>
      <c r="AK3500" s="5"/>
      <c r="AL3500" s="268" t="s">
        <v>6499</v>
      </c>
      <c r="AM3500" s="76"/>
      <c r="AN3500" s="76"/>
      <c r="AO3500" s="76"/>
      <c r="AP3500" s="76"/>
      <c r="AQ3500" s="76"/>
      <c r="AR3500" s="76"/>
      <c r="AS3500" s="76"/>
      <c r="AT3500" s="76"/>
      <c r="AU3500" s="76"/>
      <c r="AV3500" s="76"/>
      <c r="AW3500" s="76"/>
      <c r="AX3500" s="76">
        <f>+AW3500*600000</f>
        <v>0</v>
      </c>
      <c r="AY3500" s="76"/>
      <c r="AZ3500" s="76">
        <f>+AY3500*70000</f>
        <v>0</v>
      </c>
      <c r="BA3500" s="76"/>
      <c r="BB3500" s="76"/>
      <c r="BC3500" s="76"/>
      <c r="BD3500" s="76">
        <f>+BC3500*30000</f>
        <v>0</v>
      </c>
      <c r="BE3500" s="76"/>
      <c r="BF3500" s="76"/>
      <c r="BG3500" s="76"/>
      <c r="BH3500" s="76"/>
      <c r="BI3500" s="76"/>
      <c r="BJ3500" s="76"/>
      <c r="BK3500" s="76"/>
      <c r="BL3500" s="76">
        <f>+BK3500*31500</f>
        <v>0</v>
      </c>
      <c r="BM3500" s="76"/>
      <c r="BN3500" s="76"/>
      <c r="BO3500" s="76"/>
      <c r="BP3500" s="76"/>
      <c r="BQ3500" s="76"/>
      <c r="BR3500" s="76"/>
      <c r="BS3500" s="76"/>
      <c r="BT3500" s="76"/>
      <c r="BU3500" s="76"/>
      <c r="BV3500" s="76"/>
      <c r="BW3500" s="76"/>
      <c r="BX3500" s="76"/>
      <c r="BY3500" s="76"/>
      <c r="BZ3500" s="76"/>
      <c r="CA3500" s="76"/>
      <c r="CB3500" s="76"/>
      <c r="CC3500" s="76"/>
      <c r="CD3500" s="76"/>
      <c r="CE3500" s="76"/>
      <c r="CF3500" s="76">
        <f>+CE3500*28000</f>
        <v>0</v>
      </c>
      <c r="CG3500" s="76"/>
      <c r="CH3500" s="76">
        <f>+CG3500*22500</f>
        <v>0</v>
      </c>
      <c r="CI3500" s="76"/>
      <c r="CJ3500" s="76">
        <f>+CI3500*26000</f>
        <v>0</v>
      </c>
      <c r="CK3500" s="76"/>
      <c r="CL3500" s="76"/>
      <c r="CM3500" s="76"/>
      <c r="CN3500" s="76">
        <f>+CM3500*22000</f>
        <v>0</v>
      </c>
      <c r="CO3500" s="76"/>
      <c r="CP3500" s="76">
        <f>+CO3500*46000</f>
        <v>0</v>
      </c>
      <c r="CQ3500" s="76"/>
      <c r="CR3500" s="76">
        <f>+CQ3500*49000</f>
        <v>0</v>
      </c>
      <c r="CS3500" s="76"/>
      <c r="CT3500" s="76"/>
      <c r="CU3500" s="56">
        <f>AN3500+AP3500+AR3500+AT3500+AV3500+AX3500+AZ3500+BB3500+BD3500+BF3500+BH3500+BJ3500+BL3500+BN3500+BP3500+BR3500+BT3500+BV3500+BX3500+BZ3500+CB3500+CD3500+CF3500+CH3500+CJ3500+CL3500+CN3500+CP3500+CR3500+CT3500</f>
        <v>0</v>
      </c>
      <c r="CV3500" s="76"/>
      <c r="CW3500" s="76">
        <f>+CV3500*1100</f>
        <v>0</v>
      </c>
      <c r="CX3500" s="76"/>
      <c r="CY3500" s="76">
        <f>+CX3500*106250</f>
        <v>0</v>
      </c>
      <c r="CZ3500" s="76"/>
      <c r="DA3500" s="76">
        <f>+CZ3500*34500</f>
        <v>0</v>
      </c>
      <c r="DB3500" s="76"/>
      <c r="DC3500" s="76">
        <f>+DB3500*25000</f>
        <v>0</v>
      </c>
      <c r="DD3500" s="219"/>
      <c r="DE3500" s="219"/>
      <c r="DF3500" s="166"/>
      <c r="DG3500" s="116"/>
      <c r="DH3500" s="117"/>
      <c r="DI3500" s="24"/>
      <c r="DJ3500" s="24"/>
      <c r="DK3500" s="24"/>
      <c r="DL3500" s="24"/>
      <c r="DM3500" s="24"/>
      <c r="DN3500" s="24"/>
      <c r="DO3500" s="24"/>
      <c r="DP3500" s="24"/>
      <c r="DQ3500" s="24"/>
      <c r="DR3500" s="24"/>
      <c r="DS3500" s="24"/>
      <c r="DT3500" s="24"/>
      <c r="DU3500" s="24"/>
    </row>
    <row r="3501" spans="1:125" s="8" customFormat="1" ht="120" x14ac:dyDescent="0.2">
      <c r="A3501" s="77">
        <v>41577</v>
      </c>
      <c r="B3501" s="208" t="s">
        <v>2774</v>
      </c>
      <c r="C3501" s="354" t="s">
        <v>284</v>
      </c>
      <c r="D3501" s="354" t="s">
        <v>3051</v>
      </c>
      <c r="E3501" s="75" t="str">
        <f>VLOOKUP(B3501&amp;C3501,Divipola!$C$2:$F$1138,4,FALSE)</f>
        <v>66170</v>
      </c>
      <c r="F3501" s="87"/>
      <c r="G3501" s="87"/>
      <c r="H3501" s="87"/>
      <c r="I3501" s="87">
        <f>128*5</f>
        <v>640</v>
      </c>
      <c r="J3501" s="87">
        <f>21+107</f>
        <v>128</v>
      </c>
      <c r="K3501" s="87"/>
      <c r="L3501" s="87">
        <v>128</v>
      </c>
      <c r="M3501" s="87"/>
      <c r="N3501" s="87"/>
      <c r="O3501" s="87"/>
      <c r="P3501" s="87"/>
      <c r="Q3501" s="87"/>
      <c r="R3501" s="87"/>
      <c r="S3501" s="87"/>
      <c r="T3501" s="87"/>
      <c r="U3501" s="88"/>
      <c r="V3501" s="89"/>
      <c r="W3501" s="96">
        <v>0</v>
      </c>
      <c r="X3501" s="71">
        <f>CU3501</f>
        <v>0</v>
      </c>
      <c r="Y3501" s="71">
        <f>CY3501</f>
        <v>0</v>
      </c>
      <c r="Z3501" s="71">
        <f>DA3501+DC3501+DE3501</f>
        <v>0</v>
      </c>
      <c r="AA3501" s="71">
        <f>CW3501</f>
        <v>0</v>
      </c>
      <c r="AB3501" s="71"/>
      <c r="AC3501" s="71">
        <v>0</v>
      </c>
      <c r="AD3501" s="71">
        <f>W3501+X3501+Y3501+Z3501+AA3501+AB3501+AC3501</f>
        <v>0</v>
      </c>
      <c r="AE3501" s="72">
        <v>0</v>
      </c>
      <c r="AF3501" s="5"/>
      <c r="AG3501" s="6"/>
      <c r="AH3501" s="27" t="s">
        <v>3390</v>
      </c>
      <c r="AI3501" s="44" t="s">
        <v>3391</v>
      </c>
      <c r="AJ3501" s="26"/>
      <c r="AK3501" s="5" t="s">
        <v>6674</v>
      </c>
      <c r="AL3501" s="268" t="s">
        <v>6505</v>
      </c>
      <c r="AM3501" s="76"/>
      <c r="AN3501" s="76"/>
      <c r="AO3501" s="76"/>
      <c r="AP3501" s="76"/>
      <c r="AQ3501" s="76"/>
      <c r="AR3501" s="76"/>
      <c r="AS3501" s="76"/>
      <c r="AT3501" s="76"/>
      <c r="AU3501" s="76"/>
      <c r="AV3501" s="76"/>
      <c r="AW3501" s="76"/>
      <c r="AX3501" s="76">
        <f>+AW3501*600000</f>
        <v>0</v>
      </c>
      <c r="AY3501" s="76"/>
      <c r="AZ3501" s="76">
        <f>+AY3501*70000</f>
        <v>0</v>
      </c>
      <c r="BA3501" s="76"/>
      <c r="BB3501" s="76"/>
      <c r="BC3501" s="76"/>
      <c r="BD3501" s="76">
        <f>+BC3501*30000</f>
        <v>0</v>
      </c>
      <c r="BE3501" s="76"/>
      <c r="BF3501" s="76"/>
      <c r="BG3501" s="76"/>
      <c r="BH3501" s="76"/>
      <c r="BI3501" s="76"/>
      <c r="BJ3501" s="76"/>
      <c r="BK3501" s="76"/>
      <c r="BL3501" s="76">
        <f>+BK3501*31500</f>
        <v>0</v>
      </c>
      <c r="BM3501" s="76"/>
      <c r="BN3501" s="76"/>
      <c r="BO3501" s="76"/>
      <c r="BP3501" s="76"/>
      <c r="BQ3501" s="76"/>
      <c r="BR3501" s="76"/>
      <c r="BS3501" s="76"/>
      <c r="BT3501" s="76"/>
      <c r="BU3501" s="76"/>
      <c r="BV3501" s="76"/>
      <c r="BW3501" s="76"/>
      <c r="BX3501" s="76"/>
      <c r="BY3501" s="76"/>
      <c r="BZ3501" s="76"/>
      <c r="CA3501" s="76"/>
      <c r="CB3501" s="76"/>
      <c r="CC3501" s="76"/>
      <c r="CD3501" s="76"/>
      <c r="CE3501" s="76"/>
      <c r="CF3501" s="76">
        <f>+CE3501*28000</f>
        <v>0</v>
      </c>
      <c r="CG3501" s="76"/>
      <c r="CH3501" s="76">
        <f>+CG3501*22500</f>
        <v>0</v>
      </c>
      <c r="CI3501" s="76"/>
      <c r="CJ3501" s="76">
        <f>+CI3501*26000</f>
        <v>0</v>
      </c>
      <c r="CK3501" s="76"/>
      <c r="CL3501" s="76"/>
      <c r="CM3501" s="76"/>
      <c r="CN3501" s="76">
        <f>+CM3501*22000</f>
        <v>0</v>
      </c>
      <c r="CO3501" s="76"/>
      <c r="CP3501" s="76">
        <f>+CO3501*46000</f>
        <v>0</v>
      </c>
      <c r="CQ3501" s="76"/>
      <c r="CR3501" s="76">
        <f>+CQ3501*49000</f>
        <v>0</v>
      </c>
      <c r="CS3501" s="76"/>
      <c r="CT3501" s="76"/>
      <c r="CU3501" s="56">
        <f>AN3501+AP3501+AR3501+AT3501+AV3501+AX3501+AZ3501+BB3501+BD3501+BF3501+BH3501+BJ3501+BL3501+BN3501+BP3501+BR3501+BT3501+BV3501+BX3501+BZ3501+CB3501+CD3501+CF3501+CH3501+CJ3501+CL3501+CN3501+CP3501+CR3501+CT3501</f>
        <v>0</v>
      </c>
      <c r="CV3501" s="76"/>
      <c r="CW3501" s="76">
        <f>+CV3501*1100</f>
        <v>0</v>
      </c>
      <c r="CX3501" s="76"/>
      <c r="CY3501" s="76">
        <f>+CX3501*106250</f>
        <v>0</v>
      </c>
      <c r="CZ3501" s="76"/>
      <c r="DA3501" s="76">
        <f>+CZ3501*34500</f>
        <v>0</v>
      </c>
      <c r="DB3501" s="76"/>
      <c r="DC3501" s="76">
        <f>+DB3501*25000</f>
        <v>0</v>
      </c>
      <c r="DD3501" s="219"/>
      <c r="DE3501" s="219"/>
      <c r="DF3501" s="166"/>
      <c r="DG3501" s="116"/>
      <c r="DH3501" s="117"/>
      <c r="DI3501" s="24"/>
      <c r="DJ3501" s="24"/>
      <c r="DK3501" s="24"/>
      <c r="DL3501" s="24"/>
      <c r="DM3501" s="24"/>
      <c r="DN3501" s="24"/>
      <c r="DO3501" s="24"/>
      <c r="DP3501" s="24"/>
      <c r="DQ3501" s="24"/>
      <c r="DR3501" s="24"/>
      <c r="DS3501" s="24"/>
      <c r="DT3501" s="24"/>
      <c r="DU3501" s="24"/>
    </row>
    <row r="3502" spans="1:125" s="8" customFormat="1" ht="48" x14ac:dyDescent="0.2">
      <c r="A3502" s="77">
        <v>41577</v>
      </c>
      <c r="B3502" s="203" t="s">
        <v>2774</v>
      </c>
      <c r="C3502" s="203" t="s">
        <v>1347</v>
      </c>
      <c r="D3502" s="75" t="s">
        <v>3205</v>
      </c>
      <c r="E3502" s="75" t="str">
        <f>VLOOKUP(B3502&amp;C3502,Divipola!$C$2:$F$1138,4,FALSE)</f>
        <v>66001</v>
      </c>
      <c r="F3502" s="89"/>
      <c r="G3502" s="89"/>
      <c r="H3502" s="89"/>
      <c r="I3502" s="89"/>
      <c r="J3502" s="89"/>
      <c r="K3502" s="89"/>
      <c r="L3502" s="89"/>
      <c r="M3502" s="89"/>
      <c r="N3502" s="89"/>
      <c r="O3502" s="89"/>
      <c r="P3502" s="89"/>
      <c r="Q3502" s="89"/>
      <c r="R3502" s="89"/>
      <c r="S3502" s="89"/>
      <c r="T3502" s="89"/>
      <c r="U3502" s="89"/>
      <c r="V3502" s="89"/>
      <c r="W3502" s="96">
        <v>0</v>
      </c>
      <c r="X3502" s="71">
        <f>CU3502</f>
        <v>0</v>
      </c>
      <c r="Y3502" s="71">
        <f>CY3502</f>
        <v>0</v>
      </c>
      <c r="Z3502" s="71">
        <f>DA3502+DC3502+DE3502</f>
        <v>0</v>
      </c>
      <c r="AA3502" s="71">
        <f>CW3502</f>
        <v>0</v>
      </c>
      <c r="AB3502" s="71"/>
      <c r="AC3502" s="71">
        <v>0</v>
      </c>
      <c r="AD3502" s="71">
        <f>W3502+X3502+Y3502+Z3502+AA3502+AB3502+AC3502</f>
        <v>0</v>
      </c>
      <c r="AE3502" s="72">
        <v>0</v>
      </c>
      <c r="AF3502" s="5"/>
      <c r="AG3502" s="6"/>
      <c r="AH3502" s="27"/>
      <c r="AI3502" s="44"/>
      <c r="AJ3502" s="26"/>
      <c r="AK3502" s="5"/>
      <c r="AL3502" s="345" t="s">
        <v>6500</v>
      </c>
      <c r="AM3502" s="76"/>
      <c r="AN3502" s="76"/>
      <c r="AO3502" s="76"/>
      <c r="AP3502" s="76"/>
      <c r="AQ3502" s="76"/>
      <c r="AR3502" s="76"/>
      <c r="AS3502" s="76"/>
      <c r="AT3502" s="76"/>
      <c r="AU3502" s="76"/>
      <c r="AV3502" s="76"/>
      <c r="AW3502" s="76"/>
      <c r="AX3502" s="76">
        <f>+AW3502*600000</f>
        <v>0</v>
      </c>
      <c r="AY3502" s="76"/>
      <c r="AZ3502" s="76">
        <f>+AY3502*70000</f>
        <v>0</v>
      </c>
      <c r="BA3502" s="76"/>
      <c r="BB3502" s="76"/>
      <c r="BC3502" s="76"/>
      <c r="BD3502" s="76">
        <f>+BC3502*30000</f>
        <v>0</v>
      </c>
      <c r="BE3502" s="76"/>
      <c r="BF3502" s="76"/>
      <c r="BG3502" s="76"/>
      <c r="BH3502" s="76"/>
      <c r="BI3502" s="76"/>
      <c r="BJ3502" s="76"/>
      <c r="BK3502" s="76"/>
      <c r="BL3502" s="76">
        <f>+BK3502*31500</f>
        <v>0</v>
      </c>
      <c r="BM3502" s="76"/>
      <c r="BN3502" s="76"/>
      <c r="BO3502" s="76"/>
      <c r="BP3502" s="76"/>
      <c r="BQ3502" s="76"/>
      <c r="BR3502" s="76"/>
      <c r="BS3502" s="76"/>
      <c r="BT3502" s="76"/>
      <c r="BU3502" s="76"/>
      <c r="BV3502" s="76"/>
      <c r="BW3502" s="76"/>
      <c r="BX3502" s="76"/>
      <c r="BY3502" s="76"/>
      <c r="BZ3502" s="76"/>
      <c r="CA3502" s="76"/>
      <c r="CB3502" s="76"/>
      <c r="CC3502" s="76"/>
      <c r="CD3502" s="76"/>
      <c r="CE3502" s="76"/>
      <c r="CF3502" s="76">
        <f>+CE3502*28000</f>
        <v>0</v>
      </c>
      <c r="CG3502" s="76"/>
      <c r="CH3502" s="76">
        <f>+CG3502*22500</f>
        <v>0</v>
      </c>
      <c r="CI3502" s="76"/>
      <c r="CJ3502" s="76">
        <f>+CI3502*26000</f>
        <v>0</v>
      </c>
      <c r="CK3502" s="76"/>
      <c r="CL3502" s="76"/>
      <c r="CM3502" s="76"/>
      <c r="CN3502" s="76">
        <f>+CM3502*22000</f>
        <v>0</v>
      </c>
      <c r="CO3502" s="76"/>
      <c r="CP3502" s="76">
        <f>+CO3502*46000</f>
        <v>0</v>
      </c>
      <c r="CQ3502" s="76"/>
      <c r="CR3502" s="76">
        <f>+CQ3502*49000</f>
        <v>0</v>
      </c>
      <c r="CS3502" s="76"/>
      <c r="CT3502" s="76"/>
      <c r="CU3502" s="56">
        <f>AN3502+AP3502+AR3502+AT3502+AV3502+AX3502+AZ3502+BB3502+BD3502+BF3502+BH3502+BJ3502+BL3502+BN3502+BP3502+BR3502+BT3502+BV3502+BX3502+BZ3502+CB3502+CD3502+CF3502+CH3502+CJ3502+CL3502+CN3502+CP3502+CR3502+CT3502</f>
        <v>0</v>
      </c>
      <c r="CV3502" s="76"/>
      <c r="CW3502" s="76">
        <f>+CV3502*1100</f>
        <v>0</v>
      </c>
      <c r="CX3502" s="76"/>
      <c r="CY3502" s="76">
        <f>+CX3502*106250</f>
        <v>0</v>
      </c>
      <c r="CZ3502" s="76"/>
      <c r="DA3502" s="76">
        <f>+CZ3502*34500</f>
        <v>0</v>
      </c>
      <c r="DB3502" s="76"/>
      <c r="DC3502" s="76">
        <f>+DB3502*25000</f>
        <v>0</v>
      </c>
      <c r="DD3502" s="219"/>
      <c r="DE3502" s="219"/>
      <c r="DF3502" s="166"/>
      <c r="DG3502" s="116"/>
      <c r="DH3502" s="117"/>
      <c r="DI3502" s="24"/>
      <c r="DJ3502" s="24"/>
      <c r="DK3502" s="24"/>
      <c r="DL3502" s="24"/>
      <c r="DM3502" s="24"/>
      <c r="DN3502" s="24"/>
      <c r="DO3502" s="24"/>
      <c r="DP3502" s="24"/>
      <c r="DQ3502" s="24"/>
      <c r="DR3502" s="24"/>
      <c r="DS3502" s="24"/>
      <c r="DT3502" s="24"/>
      <c r="DU3502" s="24"/>
    </row>
    <row r="3503" spans="1:125" s="8" customFormat="1" ht="36" x14ac:dyDescent="0.2">
      <c r="A3503" s="77">
        <v>41577</v>
      </c>
      <c r="B3503" s="203" t="s">
        <v>2774</v>
      </c>
      <c r="C3503" s="75" t="s">
        <v>2073</v>
      </c>
      <c r="D3503" s="351" t="s">
        <v>2882</v>
      </c>
      <c r="E3503" s="75" t="str">
        <f>VLOOKUP(B3503&amp;C3503,Divipola!$C$2:$F$1138,4,FALSE)</f>
        <v>66383</v>
      </c>
      <c r="F3503" s="93"/>
      <c r="G3503" s="93"/>
      <c r="H3503" s="93"/>
      <c r="I3503" s="93"/>
      <c r="J3503" s="93"/>
      <c r="K3503" s="93"/>
      <c r="L3503" s="93"/>
      <c r="M3503" s="93"/>
      <c r="N3503" s="93"/>
      <c r="O3503" s="93"/>
      <c r="P3503" s="93"/>
      <c r="Q3503" s="93"/>
      <c r="R3503" s="93"/>
      <c r="S3503" s="93">
        <v>1</v>
      </c>
      <c r="T3503" s="93"/>
      <c r="U3503" s="93"/>
      <c r="V3503" s="89"/>
      <c r="W3503" s="96">
        <v>0</v>
      </c>
      <c r="X3503" s="71">
        <f>CU3503</f>
        <v>0</v>
      </c>
      <c r="Y3503" s="71">
        <f>CY3503</f>
        <v>0</v>
      </c>
      <c r="Z3503" s="71">
        <f>DA3503+DC3503+DE3503</f>
        <v>0</v>
      </c>
      <c r="AA3503" s="71">
        <f>CW3503</f>
        <v>0</v>
      </c>
      <c r="AB3503" s="71"/>
      <c r="AC3503" s="71">
        <v>0</v>
      </c>
      <c r="AD3503" s="71">
        <f>W3503+X3503+Y3503+Z3503+AA3503+AB3503+AC3503</f>
        <v>0</v>
      </c>
      <c r="AE3503" s="72">
        <v>0</v>
      </c>
      <c r="AF3503" s="5"/>
      <c r="AG3503" s="6"/>
      <c r="AH3503" s="27"/>
      <c r="AI3503" s="44"/>
      <c r="AJ3503" s="26"/>
      <c r="AK3503" s="5"/>
      <c r="AL3503" s="268" t="s">
        <v>6502</v>
      </c>
      <c r="AM3503" s="76"/>
      <c r="AN3503" s="76"/>
      <c r="AO3503" s="76"/>
      <c r="AP3503" s="76"/>
      <c r="AQ3503" s="76"/>
      <c r="AR3503" s="76"/>
      <c r="AS3503" s="76"/>
      <c r="AT3503" s="76"/>
      <c r="AU3503" s="76"/>
      <c r="AV3503" s="76"/>
      <c r="AW3503" s="76"/>
      <c r="AX3503" s="76">
        <f>+AW3503*600000</f>
        <v>0</v>
      </c>
      <c r="AY3503" s="76"/>
      <c r="AZ3503" s="76">
        <f>+AY3503*70000</f>
        <v>0</v>
      </c>
      <c r="BA3503" s="76"/>
      <c r="BB3503" s="76"/>
      <c r="BC3503" s="76"/>
      <c r="BD3503" s="76">
        <f>+BC3503*30000</f>
        <v>0</v>
      </c>
      <c r="BE3503" s="76"/>
      <c r="BF3503" s="76"/>
      <c r="BG3503" s="76"/>
      <c r="BH3503" s="76"/>
      <c r="BI3503" s="76"/>
      <c r="BJ3503" s="76"/>
      <c r="BK3503" s="76"/>
      <c r="BL3503" s="76">
        <f>+BK3503*31500</f>
        <v>0</v>
      </c>
      <c r="BM3503" s="76"/>
      <c r="BN3503" s="76"/>
      <c r="BO3503" s="76"/>
      <c r="BP3503" s="76"/>
      <c r="BQ3503" s="76"/>
      <c r="BR3503" s="76"/>
      <c r="BS3503" s="76"/>
      <c r="BT3503" s="76"/>
      <c r="BU3503" s="76"/>
      <c r="BV3503" s="76"/>
      <c r="BW3503" s="76"/>
      <c r="BX3503" s="76"/>
      <c r="BY3503" s="76"/>
      <c r="BZ3503" s="76"/>
      <c r="CA3503" s="76"/>
      <c r="CB3503" s="76"/>
      <c r="CC3503" s="76"/>
      <c r="CD3503" s="76"/>
      <c r="CE3503" s="76"/>
      <c r="CF3503" s="76">
        <f>+CE3503*28000</f>
        <v>0</v>
      </c>
      <c r="CG3503" s="76"/>
      <c r="CH3503" s="76">
        <f>+CG3503*22500</f>
        <v>0</v>
      </c>
      <c r="CI3503" s="76"/>
      <c r="CJ3503" s="76">
        <f>+CI3503*26000</f>
        <v>0</v>
      </c>
      <c r="CK3503" s="76"/>
      <c r="CL3503" s="76"/>
      <c r="CM3503" s="76"/>
      <c r="CN3503" s="76">
        <f>+CM3503*22000</f>
        <v>0</v>
      </c>
      <c r="CO3503" s="76"/>
      <c r="CP3503" s="76">
        <f>+CO3503*46000</f>
        <v>0</v>
      </c>
      <c r="CQ3503" s="76"/>
      <c r="CR3503" s="76">
        <f>+CQ3503*49000</f>
        <v>0</v>
      </c>
      <c r="CS3503" s="76"/>
      <c r="CT3503" s="76"/>
      <c r="CU3503" s="56">
        <f>AN3503+AP3503+AR3503+AT3503+AV3503+AX3503+AZ3503+BB3503+BD3503+BF3503+BH3503+BJ3503+BL3503+BN3503+BP3503+BR3503+BT3503+BV3503+BX3503+BZ3503+CB3503+CD3503+CF3503+CH3503+CJ3503+CL3503+CN3503+CP3503+CR3503+CT3503</f>
        <v>0</v>
      </c>
      <c r="CV3503" s="76"/>
      <c r="CW3503" s="76">
        <f>+CV3503*1100</f>
        <v>0</v>
      </c>
      <c r="CX3503" s="76"/>
      <c r="CY3503" s="76">
        <f>+CX3503*106250</f>
        <v>0</v>
      </c>
      <c r="CZ3503" s="76"/>
      <c r="DA3503" s="76">
        <f>+CZ3503*34500</f>
        <v>0</v>
      </c>
      <c r="DB3503" s="76"/>
      <c r="DC3503" s="76">
        <f>+DB3503*25000</f>
        <v>0</v>
      </c>
      <c r="DD3503" s="219"/>
      <c r="DE3503" s="219"/>
      <c r="DF3503" s="166"/>
      <c r="DG3503" s="116"/>
      <c r="DH3503" s="117"/>
      <c r="DI3503" s="24"/>
      <c r="DJ3503" s="24"/>
      <c r="DK3503" s="24"/>
      <c r="DL3503" s="24"/>
      <c r="DM3503" s="24"/>
      <c r="DN3503" s="24"/>
      <c r="DO3503" s="24"/>
      <c r="DP3503" s="24"/>
      <c r="DQ3503" s="24"/>
      <c r="DR3503" s="24"/>
      <c r="DS3503" s="24"/>
      <c r="DT3503" s="24"/>
      <c r="DU3503" s="24"/>
    </row>
    <row r="3504" spans="1:125" s="8" customFormat="1" ht="48" x14ac:dyDescent="0.2">
      <c r="A3504" s="77">
        <v>41577</v>
      </c>
      <c r="B3504" s="203" t="s">
        <v>2774</v>
      </c>
      <c r="C3504" s="75" t="s">
        <v>2790</v>
      </c>
      <c r="D3504" s="75" t="s">
        <v>2882</v>
      </c>
      <c r="E3504" s="75" t="str">
        <f>VLOOKUP(B3504&amp;C3504,Divipola!$C$2:$F$1138,4,FALSE)</f>
        <v>66682</v>
      </c>
      <c r="F3504" s="87"/>
      <c r="G3504" s="87"/>
      <c r="H3504" s="87"/>
      <c r="I3504" s="87">
        <v>10</v>
      </c>
      <c r="J3504" s="87">
        <v>2</v>
      </c>
      <c r="K3504" s="87"/>
      <c r="L3504" s="87">
        <v>2</v>
      </c>
      <c r="M3504" s="87"/>
      <c r="N3504" s="87"/>
      <c r="O3504" s="87"/>
      <c r="P3504" s="87"/>
      <c r="Q3504" s="87"/>
      <c r="R3504" s="87"/>
      <c r="S3504" s="87"/>
      <c r="T3504" s="87"/>
      <c r="U3504" s="88"/>
      <c r="V3504" s="89"/>
      <c r="W3504" s="96">
        <v>0</v>
      </c>
      <c r="X3504" s="71">
        <f>CU3504</f>
        <v>0</v>
      </c>
      <c r="Y3504" s="71">
        <f>CY3504</f>
        <v>0</v>
      </c>
      <c r="Z3504" s="71">
        <f>DA3504+DC3504+DE3504</f>
        <v>0</v>
      </c>
      <c r="AA3504" s="71">
        <f>CW3504</f>
        <v>0</v>
      </c>
      <c r="AB3504" s="71"/>
      <c r="AC3504" s="71">
        <v>0</v>
      </c>
      <c r="AD3504" s="71">
        <f>W3504+X3504+Y3504+Z3504+AA3504+AB3504+AC3504</f>
        <v>0</v>
      </c>
      <c r="AE3504" s="72">
        <v>0</v>
      </c>
      <c r="AF3504" s="5"/>
      <c r="AG3504" s="6"/>
      <c r="AH3504" s="27"/>
      <c r="AI3504" s="44"/>
      <c r="AJ3504" s="26"/>
      <c r="AK3504" s="5"/>
      <c r="AL3504" s="268" t="s">
        <v>6504</v>
      </c>
      <c r="AM3504" s="76"/>
      <c r="AN3504" s="76"/>
      <c r="AO3504" s="76"/>
      <c r="AP3504" s="76"/>
      <c r="AQ3504" s="76"/>
      <c r="AR3504" s="76"/>
      <c r="AS3504" s="76"/>
      <c r="AT3504" s="76"/>
      <c r="AU3504" s="76"/>
      <c r="AV3504" s="76"/>
      <c r="AW3504" s="76"/>
      <c r="AX3504" s="76">
        <f>+AW3504*600000</f>
        <v>0</v>
      </c>
      <c r="AY3504" s="76"/>
      <c r="AZ3504" s="76">
        <f>+AY3504*70000</f>
        <v>0</v>
      </c>
      <c r="BA3504" s="76"/>
      <c r="BB3504" s="76"/>
      <c r="BC3504" s="76"/>
      <c r="BD3504" s="76">
        <f>+BC3504*30000</f>
        <v>0</v>
      </c>
      <c r="BE3504" s="76"/>
      <c r="BF3504" s="76"/>
      <c r="BG3504" s="76"/>
      <c r="BH3504" s="76"/>
      <c r="BI3504" s="76"/>
      <c r="BJ3504" s="76"/>
      <c r="BK3504" s="76"/>
      <c r="BL3504" s="76">
        <f>+BK3504*31500</f>
        <v>0</v>
      </c>
      <c r="BM3504" s="76"/>
      <c r="BN3504" s="76"/>
      <c r="BO3504" s="76"/>
      <c r="BP3504" s="76"/>
      <c r="BQ3504" s="76"/>
      <c r="BR3504" s="76"/>
      <c r="BS3504" s="76"/>
      <c r="BT3504" s="76"/>
      <c r="BU3504" s="76"/>
      <c r="BV3504" s="76"/>
      <c r="BW3504" s="76"/>
      <c r="BX3504" s="76"/>
      <c r="BY3504" s="76"/>
      <c r="BZ3504" s="76"/>
      <c r="CA3504" s="76"/>
      <c r="CB3504" s="76"/>
      <c r="CC3504" s="76"/>
      <c r="CD3504" s="76"/>
      <c r="CE3504" s="76"/>
      <c r="CF3504" s="76">
        <f>+CE3504*28000</f>
        <v>0</v>
      </c>
      <c r="CG3504" s="76"/>
      <c r="CH3504" s="76">
        <f>+CG3504*22500</f>
        <v>0</v>
      </c>
      <c r="CI3504" s="76"/>
      <c r="CJ3504" s="76">
        <f>+CI3504*26000</f>
        <v>0</v>
      </c>
      <c r="CK3504" s="76"/>
      <c r="CL3504" s="76"/>
      <c r="CM3504" s="76"/>
      <c r="CN3504" s="76">
        <f>+CM3504*22000</f>
        <v>0</v>
      </c>
      <c r="CO3504" s="76"/>
      <c r="CP3504" s="76">
        <f>+CO3504*46000</f>
        <v>0</v>
      </c>
      <c r="CQ3504" s="76"/>
      <c r="CR3504" s="76">
        <f>+CQ3504*49000</f>
        <v>0</v>
      </c>
      <c r="CS3504" s="76"/>
      <c r="CT3504" s="76"/>
      <c r="CU3504" s="56">
        <f>AN3504+AP3504+AR3504+AT3504+AV3504+AX3504+AZ3504+BB3504+BD3504+BF3504+BH3504+BJ3504+BL3504+BN3504+BP3504+BR3504+BT3504+BV3504+BX3504+BZ3504+CB3504+CD3504+CF3504+CH3504+CJ3504+CL3504+CN3504+CP3504+CR3504+CT3504</f>
        <v>0</v>
      </c>
      <c r="CV3504" s="76"/>
      <c r="CW3504" s="76">
        <f>+CV3504*1100</f>
        <v>0</v>
      </c>
      <c r="CX3504" s="76"/>
      <c r="CY3504" s="76">
        <f>+CX3504*106250</f>
        <v>0</v>
      </c>
      <c r="CZ3504" s="76"/>
      <c r="DA3504" s="76">
        <f>+CZ3504*34500</f>
        <v>0</v>
      </c>
      <c r="DB3504" s="76"/>
      <c r="DC3504" s="76">
        <f>+DB3504*25000</f>
        <v>0</v>
      </c>
      <c r="DD3504" s="219"/>
      <c r="DE3504" s="219"/>
      <c r="DF3504" s="166"/>
      <c r="DG3504" s="116"/>
      <c r="DH3504" s="117"/>
      <c r="DI3504" s="24"/>
      <c r="DJ3504" s="24"/>
      <c r="DK3504" s="24"/>
      <c r="DL3504" s="24"/>
      <c r="DM3504" s="24"/>
      <c r="DN3504" s="24"/>
      <c r="DO3504" s="24"/>
      <c r="DP3504" s="24"/>
      <c r="DQ3504" s="24"/>
      <c r="DR3504" s="24"/>
      <c r="DS3504" s="24"/>
      <c r="DT3504" s="24"/>
      <c r="DU3504" s="24"/>
    </row>
    <row r="3505" spans="1:125" s="8" customFormat="1" ht="96" x14ac:dyDescent="0.2">
      <c r="A3505" s="77">
        <v>41577</v>
      </c>
      <c r="B3505" s="78" t="s">
        <v>2860</v>
      </c>
      <c r="C3505" s="75" t="s">
        <v>2776</v>
      </c>
      <c r="D3505" s="75" t="s">
        <v>3051</v>
      </c>
      <c r="E3505" s="75" t="str">
        <f>VLOOKUP(B3505&amp;C3505,Divipola!$C$2:$F$1138,4,FALSE)</f>
        <v>63001</v>
      </c>
      <c r="F3505" s="87"/>
      <c r="G3505" s="87"/>
      <c r="H3505" s="87"/>
      <c r="I3505" s="87"/>
      <c r="J3505" s="87"/>
      <c r="K3505" s="87"/>
      <c r="L3505" s="87"/>
      <c r="M3505" s="87"/>
      <c r="N3505" s="87"/>
      <c r="O3505" s="87"/>
      <c r="P3505" s="87"/>
      <c r="Q3505" s="87"/>
      <c r="R3505" s="87"/>
      <c r="S3505" s="87"/>
      <c r="T3505" s="87"/>
      <c r="U3505" s="88"/>
      <c r="V3505" s="89"/>
      <c r="W3505" s="96">
        <v>0</v>
      </c>
      <c r="X3505" s="71">
        <f>CU3505</f>
        <v>0</v>
      </c>
      <c r="Y3505" s="71">
        <f>CY3505</f>
        <v>0</v>
      </c>
      <c r="Z3505" s="71">
        <f>DA3505+DC3505+DE3505</f>
        <v>0</v>
      </c>
      <c r="AA3505" s="71">
        <f>CW3505</f>
        <v>0</v>
      </c>
      <c r="AB3505" s="71"/>
      <c r="AC3505" s="71">
        <v>0</v>
      </c>
      <c r="AD3505" s="71">
        <f>W3505+X3505+Y3505+Z3505+AA3505+AB3505+AC3505</f>
        <v>0</v>
      </c>
      <c r="AE3505" s="72">
        <v>0</v>
      </c>
      <c r="AF3505" s="5"/>
      <c r="AG3505" s="6"/>
      <c r="AH3505" s="27"/>
      <c r="AI3505" s="44"/>
      <c r="AJ3505" s="26"/>
      <c r="AK3505" s="5"/>
      <c r="AL3505" s="345" t="s">
        <v>6506</v>
      </c>
      <c r="AM3505" s="76"/>
      <c r="AN3505" s="76"/>
      <c r="AO3505" s="76"/>
      <c r="AP3505" s="76"/>
      <c r="AQ3505" s="76"/>
      <c r="AR3505" s="76"/>
      <c r="AS3505" s="76"/>
      <c r="AT3505" s="76"/>
      <c r="AU3505" s="76"/>
      <c r="AV3505" s="76"/>
      <c r="AW3505" s="76"/>
      <c r="AX3505" s="76">
        <f>+AW3505*600000</f>
        <v>0</v>
      </c>
      <c r="AY3505" s="76"/>
      <c r="AZ3505" s="76">
        <f>+AY3505*70000</f>
        <v>0</v>
      </c>
      <c r="BA3505" s="76"/>
      <c r="BB3505" s="76"/>
      <c r="BC3505" s="76"/>
      <c r="BD3505" s="76">
        <f>+BC3505*30000</f>
        <v>0</v>
      </c>
      <c r="BE3505" s="76"/>
      <c r="BF3505" s="76"/>
      <c r="BG3505" s="76"/>
      <c r="BH3505" s="76"/>
      <c r="BI3505" s="76"/>
      <c r="BJ3505" s="76"/>
      <c r="BK3505" s="76"/>
      <c r="BL3505" s="76">
        <f>+BK3505*31500</f>
        <v>0</v>
      </c>
      <c r="BM3505" s="76"/>
      <c r="BN3505" s="76"/>
      <c r="BO3505" s="76"/>
      <c r="BP3505" s="76"/>
      <c r="BQ3505" s="76"/>
      <c r="BR3505" s="76"/>
      <c r="BS3505" s="76"/>
      <c r="BT3505" s="76"/>
      <c r="BU3505" s="76"/>
      <c r="BV3505" s="76"/>
      <c r="BW3505" s="76"/>
      <c r="BX3505" s="76"/>
      <c r="BY3505" s="76"/>
      <c r="BZ3505" s="76"/>
      <c r="CA3505" s="76"/>
      <c r="CB3505" s="76"/>
      <c r="CC3505" s="76"/>
      <c r="CD3505" s="76"/>
      <c r="CE3505" s="76"/>
      <c r="CF3505" s="76">
        <f>+CE3505*28000</f>
        <v>0</v>
      </c>
      <c r="CG3505" s="76"/>
      <c r="CH3505" s="76">
        <f>+CG3505*22500</f>
        <v>0</v>
      </c>
      <c r="CI3505" s="76"/>
      <c r="CJ3505" s="76">
        <f>+CI3505*26000</f>
        <v>0</v>
      </c>
      <c r="CK3505" s="76"/>
      <c r="CL3505" s="76"/>
      <c r="CM3505" s="76"/>
      <c r="CN3505" s="76">
        <f>+CM3505*22000</f>
        <v>0</v>
      </c>
      <c r="CO3505" s="76"/>
      <c r="CP3505" s="76">
        <f>+CO3505*46000</f>
        <v>0</v>
      </c>
      <c r="CQ3505" s="76"/>
      <c r="CR3505" s="76">
        <f>+CQ3505*49000</f>
        <v>0</v>
      </c>
      <c r="CS3505" s="76"/>
      <c r="CT3505" s="76"/>
      <c r="CU3505" s="56">
        <f>AN3505+AP3505+AR3505+AT3505+AV3505+AX3505+AZ3505+BB3505+BD3505+BF3505+BH3505+BJ3505+BL3505+BN3505+BP3505+BR3505+BT3505+BV3505+BX3505+BZ3505+CB3505+CD3505+CF3505+CH3505+CJ3505+CL3505+CN3505+CP3505+CR3505+CT3505</f>
        <v>0</v>
      </c>
      <c r="CV3505" s="76"/>
      <c r="CW3505" s="76">
        <f>+CV3505*1100</f>
        <v>0</v>
      </c>
      <c r="CX3505" s="76"/>
      <c r="CY3505" s="76">
        <f>+CX3505*106250</f>
        <v>0</v>
      </c>
      <c r="CZ3505" s="76"/>
      <c r="DA3505" s="76">
        <f>+CZ3505*34500</f>
        <v>0</v>
      </c>
      <c r="DB3505" s="76"/>
      <c r="DC3505" s="76">
        <f>+DB3505*25000</f>
        <v>0</v>
      </c>
      <c r="DD3505" s="219"/>
      <c r="DE3505" s="219"/>
      <c r="DF3505" s="166"/>
      <c r="DG3505" s="116"/>
      <c r="DH3505" s="117"/>
      <c r="DI3505" s="24"/>
      <c r="DJ3505" s="24"/>
      <c r="DK3505" s="24"/>
      <c r="DL3505" s="24"/>
      <c r="DM3505" s="24"/>
      <c r="DN3505" s="24"/>
      <c r="DO3505" s="24"/>
      <c r="DP3505" s="24"/>
      <c r="DQ3505" s="24"/>
      <c r="DR3505" s="24"/>
      <c r="DS3505" s="24"/>
      <c r="DT3505" s="24"/>
      <c r="DU3505" s="24"/>
    </row>
    <row r="3506" spans="1:125" s="8" customFormat="1" ht="36" x14ac:dyDescent="0.2">
      <c r="A3506" s="353">
        <v>41577</v>
      </c>
      <c r="B3506" s="352" t="s">
        <v>2661</v>
      </c>
      <c r="C3506" s="354" t="s">
        <v>1351</v>
      </c>
      <c r="D3506" s="354" t="s">
        <v>2882</v>
      </c>
      <c r="E3506" s="75" t="str">
        <f>VLOOKUP(B3506&amp;C3506,Divipola!$C$2:$F$1138,4,FALSE)</f>
        <v>41551</v>
      </c>
      <c r="F3506" s="87"/>
      <c r="G3506" s="87"/>
      <c r="H3506" s="87"/>
      <c r="I3506" s="87"/>
      <c r="J3506" s="87"/>
      <c r="K3506" s="87"/>
      <c r="L3506" s="87"/>
      <c r="M3506" s="87"/>
      <c r="N3506" s="87"/>
      <c r="O3506" s="87"/>
      <c r="P3506" s="87"/>
      <c r="Q3506" s="87"/>
      <c r="R3506" s="87"/>
      <c r="S3506" s="87"/>
      <c r="T3506" s="87"/>
      <c r="U3506" s="88"/>
      <c r="V3506" s="89"/>
      <c r="W3506" s="96">
        <v>0</v>
      </c>
      <c r="X3506" s="71">
        <f>CU3506</f>
        <v>0</v>
      </c>
      <c r="Y3506" s="71">
        <f>CY3506</f>
        <v>0</v>
      </c>
      <c r="Z3506" s="71">
        <f>DA3506+DC3506+DE3506</f>
        <v>0</v>
      </c>
      <c r="AA3506" s="71">
        <f>CW3506</f>
        <v>0</v>
      </c>
      <c r="AB3506" s="71"/>
      <c r="AC3506" s="71">
        <v>0</v>
      </c>
      <c r="AD3506" s="71">
        <f>W3506+X3506+Y3506+Z3506+AA3506+AB3506+AC3506</f>
        <v>0</v>
      </c>
      <c r="AE3506" s="72">
        <v>0</v>
      </c>
      <c r="AF3506" s="5"/>
      <c r="AG3506" s="6"/>
      <c r="AH3506" s="27"/>
      <c r="AI3506" s="44"/>
      <c r="AJ3506" s="26"/>
      <c r="AK3506" s="5"/>
      <c r="AL3506" s="268" t="s">
        <v>6507</v>
      </c>
      <c r="AM3506" s="76"/>
      <c r="AN3506" s="76"/>
      <c r="AO3506" s="76"/>
      <c r="AP3506" s="76"/>
      <c r="AQ3506" s="76"/>
      <c r="AR3506" s="76"/>
      <c r="AS3506" s="76"/>
      <c r="AT3506" s="76"/>
      <c r="AU3506" s="76"/>
      <c r="AV3506" s="76"/>
      <c r="AW3506" s="76"/>
      <c r="AX3506" s="76">
        <f>+AW3506*600000</f>
        <v>0</v>
      </c>
      <c r="AY3506" s="76"/>
      <c r="AZ3506" s="76">
        <f>+AY3506*70000</f>
        <v>0</v>
      </c>
      <c r="BA3506" s="76"/>
      <c r="BB3506" s="76"/>
      <c r="BC3506" s="76"/>
      <c r="BD3506" s="76">
        <f>+BC3506*30000</f>
        <v>0</v>
      </c>
      <c r="BE3506" s="76"/>
      <c r="BF3506" s="76"/>
      <c r="BG3506" s="76"/>
      <c r="BH3506" s="76"/>
      <c r="BI3506" s="76"/>
      <c r="BJ3506" s="76"/>
      <c r="BK3506" s="76"/>
      <c r="BL3506" s="76">
        <f>+BK3506*31500</f>
        <v>0</v>
      </c>
      <c r="BM3506" s="76"/>
      <c r="BN3506" s="76"/>
      <c r="BO3506" s="76"/>
      <c r="BP3506" s="76"/>
      <c r="BQ3506" s="76"/>
      <c r="BR3506" s="76"/>
      <c r="BS3506" s="76"/>
      <c r="BT3506" s="76"/>
      <c r="BU3506" s="76"/>
      <c r="BV3506" s="76"/>
      <c r="BW3506" s="76"/>
      <c r="BX3506" s="76"/>
      <c r="BY3506" s="76"/>
      <c r="BZ3506" s="76"/>
      <c r="CA3506" s="76"/>
      <c r="CB3506" s="76"/>
      <c r="CC3506" s="76"/>
      <c r="CD3506" s="76"/>
      <c r="CE3506" s="76"/>
      <c r="CF3506" s="76">
        <f>+CE3506*28000</f>
        <v>0</v>
      </c>
      <c r="CG3506" s="76"/>
      <c r="CH3506" s="76">
        <f>+CG3506*22500</f>
        <v>0</v>
      </c>
      <c r="CI3506" s="76"/>
      <c r="CJ3506" s="76">
        <f>+CI3506*26000</f>
        <v>0</v>
      </c>
      <c r="CK3506" s="76"/>
      <c r="CL3506" s="76"/>
      <c r="CM3506" s="76"/>
      <c r="CN3506" s="76">
        <f>+CM3506*22000</f>
        <v>0</v>
      </c>
      <c r="CO3506" s="76"/>
      <c r="CP3506" s="76">
        <f>+CO3506*46000</f>
        <v>0</v>
      </c>
      <c r="CQ3506" s="76"/>
      <c r="CR3506" s="76">
        <f>+CQ3506*49000</f>
        <v>0</v>
      </c>
      <c r="CS3506" s="76"/>
      <c r="CT3506" s="76"/>
      <c r="CU3506" s="56">
        <f>AN3506+AP3506+AR3506+AT3506+AV3506+AX3506+AZ3506+BB3506+BD3506+BF3506+BH3506+BJ3506+BL3506+BN3506+BP3506+BR3506+BT3506+BV3506+BX3506+BZ3506+CB3506+CD3506+CF3506+CH3506+CJ3506+CL3506+CN3506+CP3506+CR3506+CT3506</f>
        <v>0</v>
      </c>
      <c r="CV3506" s="76"/>
      <c r="CW3506" s="76">
        <f>+CV3506*1100</f>
        <v>0</v>
      </c>
      <c r="CX3506" s="76"/>
      <c r="CY3506" s="76">
        <f>+CX3506*106250</f>
        <v>0</v>
      </c>
      <c r="CZ3506" s="76"/>
      <c r="DA3506" s="76">
        <f>+CZ3506*34500</f>
        <v>0</v>
      </c>
      <c r="DB3506" s="76"/>
      <c r="DC3506" s="76">
        <f>+DB3506*25000</f>
        <v>0</v>
      </c>
      <c r="DD3506" s="219"/>
      <c r="DE3506" s="219"/>
      <c r="DF3506" s="166"/>
      <c r="DG3506" s="116"/>
      <c r="DH3506" s="117"/>
      <c r="DI3506" s="24"/>
      <c r="DJ3506" s="24"/>
      <c r="DK3506" s="24"/>
      <c r="DL3506" s="24"/>
      <c r="DM3506" s="24"/>
      <c r="DN3506" s="24"/>
      <c r="DO3506" s="24"/>
      <c r="DP3506" s="24"/>
      <c r="DQ3506" s="24"/>
      <c r="DR3506" s="24"/>
      <c r="DS3506" s="24"/>
      <c r="DT3506" s="24"/>
      <c r="DU3506" s="24"/>
    </row>
    <row r="3507" spans="1:125" s="8" customFormat="1" ht="36" x14ac:dyDescent="0.2">
      <c r="A3507" s="353">
        <v>41577</v>
      </c>
      <c r="B3507" s="352" t="s">
        <v>2661</v>
      </c>
      <c r="C3507" s="354" t="s">
        <v>2150</v>
      </c>
      <c r="D3507" s="354" t="s">
        <v>2882</v>
      </c>
      <c r="E3507" s="75" t="str">
        <f>VLOOKUP(B3507&amp;C3507,Divipola!$C$2:$F$1138,4,FALSE)</f>
        <v>41016</v>
      </c>
      <c r="F3507" s="87"/>
      <c r="G3507" s="87"/>
      <c r="H3507" s="87"/>
      <c r="I3507" s="87">
        <v>5</v>
      </c>
      <c r="J3507" s="87">
        <v>1</v>
      </c>
      <c r="K3507" s="87"/>
      <c r="L3507" s="87">
        <v>1</v>
      </c>
      <c r="M3507" s="87"/>
      <c r="N3507" s="87"/>
      <c r="O3507" s="87"/>
      <c r="P3507" s="87"/>
      <c r="Q3507" s="87"/>
      <c r="R3507" s="87"/>
      <c r="S3507" s="87"/>
      <c r="T3507" s="87"/>
      <c r="U3507" s="88"/>
      <c r="V3507" s="89"/>
      <c r="W3507" s="96">
        <v>0</v>
      </c>
      <c r="X3507" s="71">
        <f>CU3507</f>
        <v>0</v>
      </c>
      <c r="Y3507" s="71">
        <f>CY3507</f>
        <v>0</v>
      </c>
      <c r="Z3507" s="71">
        <f>DA3507+DC3507+DE3507</f>
        <v>0</v>
      </c>
      <c r="AA3507" s="71">
        <f>CW3507</f>
        <v>0</v>
      </c>
      <c r="AB3507" s="71"/>
      <c r="AC3507" s="71">
        <v>0</v>
      </c>
      <c r="AD3507" s="71">
        <f>W3507+X3507+Y3507+Z3507+AA3507+AB3507+AC3507</f>
        <v>0</v>
      </c>
      <c r="AE3507" s="72">
        <v>0</v>
      </c>
      <c r="AF3507" s="5"/>
      <c r="AG3507" s="6"/>
      <c r="AH3507" s="27"/>
      <c r="AI3507" s="44"/>
      <c r="AJ3507" s="26"/>
      <c r="AK3507" s="5"/>
      <c r="AL3507" s="345" t="s">
        <v>6508</v>
      </c>
      <c r="AM3507" s="76"/>
      <c r="AN3507" s="76"/>
      <c r="AO3507" s="76"/>
      <c r="AP3507" s="76"/>
      <c r="AQ3507" s="76"/>
      <c r="AR3507" s="76"/>
      <c r="AS3507" s="76"/>
      <c r="AT3507" s="76"/>
      <c r="AU3507" s="76"/>
      <c r="AV3507" s="76"/>
      <c r="AW3507" s="76"/>
      <c r="AX3507" s="76">
        <f>+AW3507*600000</f>
        <v>0</v>
      </c>
      <c r="AY3507" s="76"/>
      <c r="AZ3507" s="76">
        <f>+AY3507*70000</f>
        <v>0</v>
      </c>
      <c r="BA3507" s="76"/>
      <c r="BB3507" s="76"/>
      <c r="BC3507" s="76"/>
      <c r="BD3507" s="76">
        <f>+BC3507*30000</f>
        <v>0</v>
      </c>
      <c r="BE3507" s="76"/>
      <c r="BF3507" s="76"/>
      <c r="BG3507" s="76"/>
      <c r="BH3507" s="76"/>
      <c r="BI3507" s="76"/>
      <c r="BJ3507" s="76"/>
      <c r="BK3507" s="76"/>
      <c r="BL3507" s="76">
        <f>+BK3507*31500</f>
        <v>0</v>
      </c>
      <c r="BM3507" s="76"/>
      <c r="BN3507" s="76"/>
      <c r="BO3507" s="76"/>
      <c r="BP3507" s="76"/>
      <c r="BQ3507" s="76"/>
      <c r="BR3507" s="76"/>
      <c r="BS3507" s="76"/>
      <c r="BT3507" s="76"/>
      <c r="BU3507" s="76"/>
      <c r="BV3507" s="76"/>
      <c r="BW3507" s="76"/>
      <c r="BX3507" s="76"/>
      <c r="BY3507" s="76"/>
      <c r="BZ3507" s="76"/>
      <c r="CA3507" s="76"/>
      <c r="CB3507" s="76"/>
      <c r="CC3507" s="76"/>
      <c r="CD3507" s="76"/>
      <c r="CE3507" s="76"/>
      <c r="CF3507" s="76">
        <f>+CE3507*28000</f>
        <v>0</v>
      </c>
      <c r="CG3507" s="76"/>
      <c r="CH3507" s="76">
        <f>+CG3507*22500</f>
        <v>0</v>
      </c>
      <c r="CI3507" s="76"/>
      <c r="CJ3507" s="76">
        <f>+CI3507*26000</f>
        <v>0</v>
      </c>
      <c r="CK3507" s="76"/>
      <c r="CL3507" s="76"/>
      <c r="CM3507" s="76"/>
      <c r="CN3507" s="76">
        <f>+CM3507*22000</f>
        <v>0</v>
      </c>
      <c r="CO3507" s="76"/>
      <c r="CP3507" s="76">
        <f>+CO3507*46000</f>
        <v>0</v>
      </c>
      <c r="CQ3507" s="76"/>
      <c r="CR3507" s="76">
        <f>+CQ3507*49000</f>
        <v>0</v>
      </c>
      <c r="CS3507" s="76"/>
      <c r="CT3507" s="76"/>
      <c r="CU3507" s="56">
        <f>AN3507+AP3507+AR3507+AT3507+AV3507+AX3507+AZ3507+BB3507+BD3507+BF3507+BH3507+BJ3507+BL3507+BN3507+BP3507+BR3507+BT3507+BV3507+BX3507+BZ3507+CB3507+CD3507+CF3507+CH3507+CJ3507+CL3507+CN3507+CP3507+CR3507+CT3507</f>
        <v>0</v>
      </c>
      <c r="CV3507" s="76"/>
      <c r="CW3507" s="76">
        <f>+CV3507*1100</f>
        <v>0</v>
      </c>
      <c r="CX3507" s="76"/>
      <c r="CY3507" s="76">
        <f>+CX3507*106250</f>
        <v>0</v>
      </c>
      <c r="CZ3507" s="76"/>
      <c r="DA3507" s="76">
        <f>+CZ3507*34500</f>
        <v>0</v>
      </c>
      <c r="DB3507" s="76"/>
      <c r="DC3507" s="76">
        <f>+DB3507*25000</f>
        <v>0</v>
      </c>
      <c r="DD3507" s="219"/>
      <c r="DE3507" s="219"/>
      <c r="DF3507" s="166"/>
      <c r="DG3507" s="116"/>
      <c r="DH3507" s="117"/>
      <c r="DI3507" s="24"/>
      <c r="DJ3507" s="24"/>
      <c r="DK3507" s="24"/>
      <c r="DL3507" s="24"/>
      <c r="DM3507" s="24"/>
      <c r="DN3507" s="24"/>
      <c r="DO3507" s="24"/>
      <c r="DP3507" s="24"/>
      <c r="DQ3507" s="24"/>
      <c r="DR3507" s="24"/>
      <c r="DS3507" s="24"/>
      <c r="DT3507" s="24"/>
      <c r="DU3507" s="24"/>
    </row>
    <row r="3508" spans="1:125" s="8" customFormat="1" ht="36" x14ac:dyDescent="0.2">
      <c r="A3508" s="353">
        <v>41577</v>
      </c>
      <c r="B3508" s="352" t="s">
        <v>2196</v>
      </c>
      <c r="C3508" s="354" t="s">
        <v>523</v>
      </c>
      <c r="D3508" s="354" t="s">
        <v>2882</v>
      </c>
      <c r="E3508" s="75" t="str">
        <f>VLOOKUP(B3508&amp;C3508,Divipola!$C$2:$F$1138,4,FALSE)</f>
        <v>17174</v>
      </c>
      <c r="F3508" s="87"/>
      <c r="G3508" s="87"/>
      <c r="H3508" s="87"/>
      <c r="I3508" s="87"/>
      <c r="J3508" s="87"/>
      <c r="K3508" s="87"/>
      <c r="L3508" s="87"/>
      <c r="M3508" s="87"/>
      <c r="N3508" s="87"/>
      <c r="O3508" s="87"/>
      <c r="P3508" s="87"/>
      <c r="Q3508" s="87"/>
      <c r="R3508" s="87"/>
      <c r="S3508" s="87"/>
      <c r="T3508" s="87"/>
      <c r="U3508" s="88"/>
      <c r="V3508" s="89"/>
      <c r="W3508" s="96">
        <v>0</v>
      </c>
      <c r="X3508" s="71">
        <f>CU3508</f>
        <v>0</v>
      </c>
      <c r="Y3508" s="71">
        <f>CY3508</f>
        <v>0</v>
      </c>
      <c r="Z3508" s="71">
        <f>DA3508+DC3508+DE3508</f>
        <v>0</v>
      </c>
      <c r="AA3508" s="71">
        <f>CW3508</f>
        <v>0</v>
      </c>
      <c r="AB3508" s="71"/>
      <c r="AC3508" s="71">
        <v>0</v>
      </c>
      <c r="AD3508" s="71">
        <f>W3508+X3508+Y3508+Z3508+AA3508+AB3508+AC3508</f>
        <v>0</v>
      </c>
      <c r="AE3508" s="72">
        <v>0</v>
      </c>
      <c r="AF3508" s="5"/>
      <c r="AG3508" s="6"/>
      <c r="AH3508" s="27"/>
      <c r="AI3508" s="44"/>
      <c r="AJ3508" s="26"/>
      <c r="AK3508" s="5"/>
      <c r="AL3508" s="268" t="s">
        <v>6509</v>
      </c>
      <c r="AM3508" s="76"/>
      <c r="AN3508" s="76"/>
      <c r="AO3508" s="76"/>
      <c r="AP3508" s="76"/>
      <c r="AQ3508" s="76"/>
      <c r="AR3508" s="76"/>
      <c r="AS3508" s="76"/>
      <c r="AT3508" s="76"/>
      <c r="AU3508" s="76"/>
      <c r="AV3508" s="76"/>
      <c r="AW3508" s="76"/>
      <c r="AX3508" s="76">
        <f>+AW3508*600000</f>
        <v>0</v>
      </c>
      <c r="AY3508" s="76"/>
      <c r="AZ3508" s="76">
        <f>+AY3508*70000</f>
        <v>0</v>
      </c>
      <c r="BA3508" s="76"/>
      <c r="BB3508" s="76"/>
      <c r="BC3508" s="76"/>
      <c r="BD3508" s="76">
        <f>+BC3508*30000</f>
        <v>0</v>
      </c>
      <c r="BE3508" s="76"/>
      <c r="BF3508" s="76"/>
      <c r="BG3508" s="76"/>
      <c r="BH3508" s="76"/>
      <c r="BI3508" s="76"/>
      <c r="BJ3508" s="76"/>
      <c r="BK3508" s="76"/>
      <c r="BL3508" s="76">
        <f>+BK3508*31500</f>
        <v>0</v>
      </c>
      <c r="BM3508" s="76"/>
      <c r="BN3508" s="76"/>
      <c r="BO3508" s="76"/>
      <c r="BP3508" s="76"/>
      <c r="BQ3508" s="76"/>
      <c r="BR3508" s="76"/>
      <c r="BS3508" s="76"/>
      <c r="BT3508" s="76"/>
      <c r="BU3508" s="76"/>
      <c r="BV3508" s="76"/>
      <c r="BW3508" s="76"/>
      <c r="BX3508" s="76"/>
      <c r="BY3508" s="76"/>
      <c r="BZ3508" s="76"/>
      <c r="CA3508" s="76"/>
      <c r="CB3508" s="76"/>
      <c r="CC3508" s="76"/>
      <c r="CD3508" s="76"/>
      <c r="CE3508" s="76"/>
      <c r="CF3508" s="76">
        <f>+CE3508*28000</f>
        <v>0</v>
      </c>
      <c r="CG3508" s="76"/>
      <c r="CH3508" s="76">
        <f>+CG3508*22500</f>
        <v>0</v>
      </c>
      <c r="CI3508" s="76"/>
      <c r="CJ3508" s="76">
        <f>+CI3508*26000</f>
        <v>0</v>
      </c>
      <c r="CK3508" s="76"/>
      <c r="CL3508" s="76"/>
      <c r="CM3508" s="76"/>
      <c r="CN3508" s="76">
        <f>+CM3508*22000</f>
        <v>0</v>
      </c>
      <c r="CO3508" s="76"/>
      <c r="CP3508" s="76">
        <f>+CO3508*46000</f>
        <v>0</v>
      </c>
      <c r="CQ3508" s="76"/>
      <c r="CR3508" s="76">
        <f>+CQ3508*49000</f>
        <v>0</v>
      </c>
      <c r="CS3508" s="76"/>
      <c r="CT3508" s="76"/>
      <c r="CU3508" s="56">
        <f>AN3508+AP3508+AR3508+AT3508+AV3508+AX3508+AZ3508+BB3508+BD3508+BF3508+BH3508+BJ3508+BL3508+BN3508+BP3508+BR3508+BT3508+BV3508+BX3508+BZ3508+CB3508+CD3508+CF3508+CH3508+CJ3508+CL3508+CN3508+CP3508+CR3508+CT3508</f>
        <v>0</v>
      </c>
      <c r="CV3508" s="76"/>
      <c r="CW3508" s="76">
        <f>+CV3508*1100</f>
        <v>0</v>
      </c>
      <c r="CX3508" s="76"/>
      <c r="CY3508" s="76">
        <f>+CX3508*106250</f>
        <v>0</v>
      </c>
      <c r="CZ3508" s="76"/>
      <c r="DA3508" s="76">
        <f>+CZ3508*34500</f>
        <v>0</v>
      </c>
      <c r="DB3508" s="76"/>
      <c r="DC3508" s="76">
        <f>+DB3508*25000</f>
        <v>0</v>
      </c>
      <c r="DD3508" s="219"/>
      <c r="DE3508" s="219"/>
      <c r="DF3508" s="166"/>
      <c r="DG3508" s="116"/>
      <c r="DH3508" s="117"/>
      <c r="DI3508" s="24"/>
      <c r="DJ3508" s="24"/>
      <c r="DK3508" s="24"/>
      <c r="DL3508" s="24"/>
      <c r="DM3508" s="24"/>
      <c r="DN3508" s="24"/>
      <c r="DO3508" s="24"/>
      <c r="DP3508" s="24"/>
      <c r="DQ3508" s="24"/>
      <c r="DR3508" s="24"/>
      <c r="DS3508" s="24"/>
      <c r="DT3508" s="24"/>
      <c r="DU3508" s="24"/>
    </row>
    <row r="3509" spans="1:125" s="8" customFormat="1" ht="84" x14ac:dyDescent="0.2">
      <c r="A3509" s="5">
        <v>41577</v>
      </c>
      <c r="B3509" s="84" t="s">
        <v>2847</v>
      </c>
      <c r="C3509" s="84" t="s">
        <v>2197</v>
      </c>
      <c r="D3509" s="75" t="s">
        <v>2846</v>
      </c>
      <c r="E3509" s="75" t="str">
        <f>VLOOKUP(B3509&amp;C3509,Divipola!$C$2:$F$1138,4,FALSE)</f>
        <v>68276</v>
      </c>
      <c r="F3509" s="89"/>
      <c r="G3509" s="89"/>
      <c r="H3509" s="89"/>
      <c r="I3509" s="89"/>
      <c r="J3509" s="89"/>
      <c r="K3509" s="89"/>
      <c r="L3509" s="89"/>
      <c r="M3509" s="89"/>
      <c r="N3509" s="89"/>
      <c r="O3509" s="89"/>
      <c r="P3509" s="89"/>
      <c r="Q3509" s="89"/>
      <c r="R3509" s="89"/>
      <c r="S3509" s="89"/>
      <c r="T3509" s="89"/>
      <c r="U3509" s="89">
        <v>2</v>
      </c>
      <c r="V3509" s="89"/>
      <c r="W3509" s="96">
        <v>0</v>
      </c>
      <c r="X3509" s="71">
        <f>CU3509</f>
        <v>0</v>
      </c>
      <c r="Y3509" s="71">
        <f>CY3509</f>
        <v>0</v>
      </c>
      <c r="Z3509" s="71">
        <f>DA3509+DC3509+DE3509</f>
        <v>0</v>
      </c>
      <c r="AA3509" s="71">
        <f>CW3509</f>
        <v>0</v>
      </c>
      <c r="AB3509" s="71"/>
      <c r="AC3509" s="71">
        <v>0</v>
      </c>
      <c r="AD3509" s="71">
        <f>W3509+X3509+Y3509+Z3509+AA3509+AB3509+AC3509</f>
        <v>0</v>
      </c>
      <c r="AE3509" s="72">
        <v>0</v>
      </c>
      <c r="AF3509" s="5"/>
      <c r="AG3509" s="6"/>
      <c r="AH3509" s="27"/>
      <c r="AI3509" s="44"/>
      <c r="AJ3509" s="26"/>
      <c r="AK3509" s="5"/>
      <c r="AL3509" s="345" t="s">
        <v>6511</v>
      </c>
      <c r="AM3509" s="76"/>
      <c r="AN3509" s="76"/>
      <c r="AO3509" s="76"/>
      <c r="AP3509" s="76"/>
      <c r="AQ3509" s="76"/>
      <c r="AR3509" s="76"/>
      <c r="AS3509" s="76"/>
      <c r="AT3509" s="76"/>
      <c r="AU3509" s="76"/>
      <c r="AV3509" s="76"/>
      <c r="AW3509" s="76"/>
      <c r="AX3509" s="76">
        <f>+AW3509*600000</f>
        <v>0</v>
      </c>
      <c r="AY3509" s="76"/>
      <c r="AZ3509" s="76">
        <f>+AY3509*70000</f>
        <v>0</v>
      </c>
      <c r="BA3509" s="76"/>
      <c r="BB3509" s="76"/>
      <c r="BC3509" s="76"/>
      <c r="BD3509" s="76">
        <f>+BC3509*30000</f>
        <v>0</v>
      </c>
      <c r="BE3509" s="76"/>
      <c r="BF3509" s="76"/>
      <c r="BG3509" s="76"/>
      <c r="BH3509" s="76"/>
      <c r="BI3509" s="76"/>
      <c r="BJ3509" s="76"/>
      <c r="BK3509" s="76"/>
      <c r="BL3509" s="76">
        <f>+BK3509*31500</f>
        <v>0</v>
      </c>
      <c r="BM3509" s="76"/>
      <c r="BN3509" s="76"/>
      <c r="BO3509" s="76"/>
      <c r="BP3509" s="76"/>
      <c r="BQ3509" s="76"/>
      <c r="BR3509" s="76"/>
      <c r="BS3509" s="76"/>
      <c r="BT3509" s="76"/>
      <c r="BU3509" s="76"/>
      <c r="BV3509" s="76"/>
      <c r="BW3509" s="76"/>
      <c r="BX3509" s="76"/>
      <c r="BY3509" s="76"/>
      <c r="BZ3509" s="76"/>
      <c r="CA3509" s="76"/>
      <c r="CB3509" s="76"/>
      <c r="CC3509" s="76"/>
      <c r="CD3509" s="76"/>
      <c r="CE3509" s="76"/>
      <c r="CF3509" s="76">
        <f>+CE3509*28000</f>
        <v>0</v>
      </c>
      <c r="CG3509" s="76"/>
      <c r="CH3509" s="76">
        <f>+CG3509*22500</f>
        <v>0</v>
      </c>
      <c r="CI3509" s="76"/>
      <c r="CJ3509" s="76">
        <f>+CI3509*26000</f>
        <v>0</v>
      </c>
      <c r="CK3509" s="76"/>
      <c r="CL3509" s="76"/>
      <c r="CM3509" s="76"/>
      <c r="CN3509" s="76">
        <f>+CM3509*22000</f>
        <v>0</v>
      </c>
      <c r="CO3509" s="76"/>
      <c r="CP3509" s="76">
        <f>+CO3509*46000</f>
        <v>0</v>
      </c>
      <c r="CQ3509" s="76"/>
      <c r="CR3509" s="76">
        <f>+CQ3509*49000</f>
        <v>0</v>
      </c>
      <c r="CS3509" s="76"/>
      <c r="CT3509" s="76"/>
      <c r="CU3509" s="56">
        <f>AN3509+AP3509+AR3509+AT3509+AV3509+AX3509+AZ3509+BB3509+BD3509+BF3509+BH3509+BJ3509+BL3509+BN3509+BP3509+BR3509+BT3509+BV3509+BX3509+BZ3509+CB3509+CD3509+CF3509+CH3509+CJ3509+CL3509+CN3509+CP3509+CR3509+CT3509</f>
        <v>0</v>
      </c>
      <c r="CV3509" s="76"/>
      <c r="CW3509" s="76">
        <f>+CV3509*1100</f>
        <v>0</v>
      </c>
      <c r="CX3509" s="76"/>
      <c r="CY3509" s="76">
        <f>+CX3509*106250</f>
        <v>0</v>
      </c>
      <c r="CZ3509" s="76"/>
      <c r="DA3509" s="76">
        <f>+CZ3509*34500</f>
        <v>0</v>
      </c>
      <c r="DB3509" s="76"/>
      <c r="DC3509" s="76">
        <f>+DB3509*25000</f>
        <v>0</v>
      </c>
      <c r="DD3509" s="219"/>
      <c r="DE3509" s="219"/>
      <c r="DF3509" s="166"/>
      <c r="DG3509" s="116"/>
      <c r="DH3509" s="117"/>
      <c r="DI3509" s="24"/>
      <c r="DJ3509" s="24"/>
      <c r="DK3509" s="24"/>
      <c r="DL3509" s="24"/>
      <c r="DM3509" s="24"/>
      <c r="DN3509" s="24"/>
      <c r="DO3509" s="24"/>
      <c r="DP3509" s="24"/>
      <c r="DQ3509" s="24"/>
      <c r="DR3509" s="24"/>
      <c r="DS3509" s="24"/>
      <c r="DT3509" s="24"/>
      <c r="DU3509" s="24"/>
    </row>
    <row r="3510" spans="1:125" s="8" customFormat="1" ht="36" x14ac:dyDescent="0.2">
      <c r="A3510" s="77">
        <v>41577</v>
      </c>
      <c r="B3510" s="75" t="s">
        <v>2848</v>
      </c>
      <c r="C3510" s="75" t="s">
        <v>1383</v>
      </c>
      <c r="D3510" s="75" t="s">
        <v>2882</v>
      </c>
      <c r="E3510" s="75" t="str">
        <f>VLOOKUP(B3510&amp;C3510,Divipola!$C$2:$F$1138,4,FALSE)</f>
        <v>73483</v>
      </c>
      <c r="F3510" s="93"/>
      <c r="G3510" s="93"/>
      <c r="H3510" s="93"/>
      <c r="I3510" s="93"/>
      <c r="J3510" s="93"/>
      <c r="K3510" s="93"/>
      <c r="L3510" s="93"/>
      <c r="M3510" s="93"/>
      <c r="N3510" s="93"/>
      <c r="O3510" s="93"/>
      <c r="P3510" s="93"/>
      <c r="Q3510" s="93"/>
      <c r="R3510" s="93"/>
      <c r="S3510" s="93"/>
      <c r="T3510" s="93"/>
      <c r="U3510" s="93"/>
      <c r="V3510" s="93"/>
      <c r="W3510" s="96">
        <v>0</v>
      </c>
      <c r="X3510" s="71">
        <f>CU3510</f>
        <v>0</v>
      </c>
      <c r="Y3510" s="71">
        <f>CY3510</f>
        <v>0</v>
      </c>
      <c r="Z3510" s="71">
        <f>DA3510+DC3510+DE3510</f>
        <v>0</v>
      </c>
      <c r="AA3510" s="71">
        <f>CW3510</f>
        <v>0</v>
      </c>
      <c r="AB3510" s="71"/>
      <c r="AC3510" s="71">
        <v>0</v>
      </c>
      <c r="AD3510" s="71">
        <f>W3510+X3510+Y3510+Z3510+AA3510+AB3510+AC3510</f>
        <v>0</v>
      </c>
      <c r="AE3510" s="72">
        <v>0</v>
      </c>
      <c r="AF3510" s="5"/>
      <c r="AG3510" s="6"/>
      <c r="AH3510" s="27"/>
      <c r="AI3510" s="44"/>
      <c r="AJ3510" s="26"/>
      <c r="AK3510" s="5"/>
      <c r="AL3510" s="268" t="s">
        <v>6512</v>
      </c>
      <c r="AM3510" s="76"/>
      <c r="AN3510" s="76"/>
      <c r="AO3510" s="76"/>
      <c r="AP3510" s="76"/>
      <c r="AQ3510" s="76"/>
      <c r="AR3510" s="76"/>
      <c r="AS3510" s="76"/>
      <c r="AT3510" s="76"/>
      <c r="AU3510" s="76"/>
      <c r="AV3510" s="76"/>
      <c r="AW3510" s="76"/>
      <c r="AX3510" s="76">
        <f>+AW3510*600000</f>
        <v>0</v>
      </c>
      <c r="AY3510" s="76"/>
      <c r="AZ3510" s="76">
        <f>+AY3510*70000</f>
        <v>0</v>
      </c>
      <c r="BA3510" s="76"/>
      <c r="BB3510" s="76"/>
      <c r="BC3510" s="76"/>
      <c r="BD3510" s="76">
        <f>+BC3510*30000</f>
        <v>0</v>
      </c>
      <c r="BE3510" s="76"/>
      <c r="BF3510" s="76"/>
      <c r="BG3510" s="76"/>
      <c r="BH3510" s="76"/>
      <c r="BI3510" s="76"/>
      <c r="BJ3510" s="76"/>
      <c r="BK3510" s="76"/>
      <c r="BL3510" s="76">
        <f>+BK3510*31500</f>
        <v>0</v>
      </c>
      <c r="BM3510" s="76"/>
      <c r="BN3510" s="76"/>
      <c r="BO3510" s="76"/>
      <c r="BP3510" s="76"/>
      <c r="BQ3510" s="76"/>
      <c r="BR3510" s="76"/>
      <c r="BS3510" s="76"/>
      <c r="BT3510" s="76"/>
      <c r="BU3510" s="76"/>
      <c r="BV3510" s="76"/>
      <c r="BW3510" s="76"/>
      <c r="BX3510" s="76"/>
      <c r="BY3510" s="76"/>
      <c r="BZ3510" s="76"/>
      <c r="CA3510" s="76"/>
      <c r="CB3510" s="76"/>
      <c r="CC3510" s="76"/>
      <c r="CD3510" s="76"/>
      <c r="CE3510" s="76"/>
      <c r="CF3510" s="76">
        <f>+CE3510*28000</f>
        <v>0</v>
      </c>
      <c r="CG3510" s="76"/>
      <c r="CH3510" s="76">
        <f>+CG3510*22500</f>
        <v>0</v>
      </c>
      <c r="CI3510" s="76"/>
      <c r="CJ3510" s="76">
        <f>+CI3510*26000</f>
        <v>0</v>
      </c>
      <c r="CK3510" s="76"/>
      <c r="CL3510" s="76"/>
      <c r="CM3510" s="76"/>
      <c r="CN3510" s="76">
        <f>+CM3510*22000</f>
        <v>0</v>
      </c>
      <c r="CO3510" s="76"/>
      <c r="CP3510" s="76">
        <f>+CO3510*46000</f>
        <v>0</v>
      </c>
      <c r="CQ3510" s="76"/>
      <c r="CR3510" s="76">
        <f>+CQ3510*49000</f>
        <v>0</v>
      </c>
      <c r="CS3510" s="76"/>
      <c r="CT3510" s="76"/>
      <c r="CU3510" s="56">
        <f>AN3510+AP3510+AR3510+AT3510+AV3510+AX3510+AZ3510+BB3510+BD3510+BF3510+BH3510+BJ3510+BL3510+BN3510+BP3510+BR3510+BT3510+BV3510+BX3510+BZ3510+CB3510+CD3510+CF3510+CH3510+CJ3510+CL3510+CN3510+CP3510+CR3510+CT3510</f>
        <v>0</v>
      </c>
      <c r="CV3510" s="76"/>
      <c r="CW3510" s="76">
        <f>+CV3510*1100</f>
        <v>0</v>
      </c>
      <c r="CX3510" s="76"/>
      <c r="CY3510" s="76">
        <f>+CX3510*106250</f>
        <v>0</v>
      </c>
      <c r="CZ3510" s="76"/>
      <c r="DA3510" s="76">
        <f>+CZ3510*34500</f>
        <v>0</v>
      </c>
      <c r="DB3510" s="76"/>
      <c r="DC3510" s="76">
        <f>+DB3510*25000</f>
        <v>0</v>
      </c>
      <c r="DD3510" s="219"/>
      <c r="DE3510" s="219"/>
      <c r="DF3510" s="166"/>
      <c r="DG3510" s="116"/>
      <c r="DH3510" s="117"/>
      <c r="DI3510" s="24"/>
      <c r="DJ3510" s="24"/>
      <c r="DK3510" s="24"/>
      <c r="DL3510" s="24"/>
      <c r="DM3510" s="24"/>
      <c r="DN3510" s="24"/>
      <c r="DO3510" s="24"/>
      <c r="DP3510" s="24"/>
      <c r="DQ3510" s="24"/>
      <c r="DR3510" s="24"/>
      <c r="DS3510" s="24"/>
      <c r="DT3510" s="24"/>
      <c r="DU3510" s="24"/>
    </row>
    <row r="3511" spans="1:125" s="8" customFormat="1" ht="36" x14ac:dyDescent="0.2">
      <c r="A3511" s="77">
        <v>41577</v>
      </c>
      <c r="B3511" s="78" t="s">
        <v>2848</v>
      </c>
      <c r="C3511" s="75" t="s">
        <v>2674</v>
      </c>
      <c r="D3511" s="351" t="s">
        <v>2882</v>
      </c>
      <c r="E3511" s="75" t="str">
        <f>VLOOKUP(B3511&amp;C3511,Divipola!$C$2:$F$1138,4,FALSE)</f>
        <v>73352</v>
      </c>
      <c r="F3511" s="93"/>
      <c r="G3511" s="93"/>
      <c r="H3511" s="93"/>
      <c r="I3511" s="93"/>
      <c r="J3511" s="93"/>
      <c r="K3511" s="93"/>
      <c r="L3511" s="93"/>
      <c r="M3511" s="93"/>
      <c r="N3511" s="93"/>
      <c r="O3511" s="93"/>
      <c r="P3511" s="93"/>
      <c r="Q3511" s="93"/>
      <c r="R3511" s="93"/>
      <c r="S3511" s="93"/>
      <c r="T3511" s="93"/>
      <c r="U3511" s="93"/>
      <c r="V3511" s="89"/>
      <c r="W3511" s="96">
        <v>0</v>
      </c>
      <c r="X3511" s="71">
        <f>CU3511</f>
        <v>0</v>
      </c>
      <c r="Y3511" s="71">
        <f>CY3511</f>
        <v>0</v>
      </c>
      <c r="Z3511" s="71">
        <f>DA3511+DC3511+DE3511</f>
        <v>0</v>
      </c>
      <c r="AA3511" s="71">
        <f>CW3511</f>
        <v>0</v>
      </c>
      <c r="AB3511" s="71"/>
      <c r="AC3511" s="71">
        <v>0</v>
      </c>
      <c r="AD3511" s="71">
        <f>W3511+X3511+Y3511+Z3511+AA3511+AB3511+AC3511</f>
        <v>0</v>
      </c>
      <c r="AE3511" s="72">
        <v>0</v>
      </c>
      <c r="AF3511" s="5"/>
      <c r="AG3511" s="6"/>
      <c r="AH3511" s="27"/>
      <c r="AI3511" s="44"/>
      <c r="AJ3511" s="26"/>
      <c r="AK3511" s="5"/>
      <c r="AL3511" s="268" t="s">
        <v>6512</v>
      </c>
      <c r="AM3511" s="76"/>
      <c r="AN3511" s="76"/>
      <c r="AO3511" s="76"/>
      <c r="AP3511" s="76"/>
      <c r="AQ3511" s="76"/>
      <c r="AR3511" s="76"/>
      <c r="AS3511" s="76"/>
      <c r="AT3511" s="76"/>
      <c r="AU3511" s="76"/>
      <c r="AV3511" s="76"/>
      <c r="AW3511" s="76"/>
      <c r="AX3511" s="76">
        <f>+AW3511*600000</f>
        <v>0</v>
      </c>
      <c r="AY3511" s="76"/>
      <c r="AZ3511" s="76">
        <f>+AY3511*70000</f>
        <v>0</v>
      </c>
      <c r="BA3511" s="76"/>
      <c r="BB3511" s="76"/>
      <c r="BC3511" s="76"/>
      <c r="BD3511" s="76">
        <f>+BC3511*30000</f>
        <v>0</v>
      </c>
      <c r="BE3511" s="76"/>
      <c r="BF3511" s="76"/>
      <c r="BG3511" s="76"/>
      <c r="BH3511" s="76"/>
      <c r="BI3511" s="76"/>
      <c r="BJ3511" s="76"/>
      <c r="BK3511" s="76"/>
      <c r="BL3511" s="76">
        <f>+BK3511*31500</f>
        <v>0</v>
      </c>
      <c r="BM3511" s="76"/>
      <c r="BN3511" s="76"/>
      <c r="BO3511" s="76"/>
      <c r="BP3511" s="76"/>
      <c r="BQ3511" s="76"/>
      <c r="BR3511" s="76"/>
      <c r="BS3511" s="76"/>
      <c r="BT3511" s="76"/>
      <c r="BU3511" s="76"/>
      <c r="BV3511" s="76"/>
      <c r="BW3511" s="76"/>
      <c r="BX3511" s="76"/>
      <c r="BY3511" s="76"/>
      <c r="BZ3511" s="76"/>
      <c r="CA3511" s="76"/>
      <c r="CB3511" s="76"/>
      <c r="CC3511" s="76"/>
      <c r="CD3511" s="76"/>
      <c r="CE3511" s="76"/>
      <c r="CF3511" s="76">
        <f>+CE3511*28000</f>
        <v>0</v>
      </c>
      <c r="CG3511" s="76"/>
      <c r="CH3511" s="76">
        <f>+CG3511*22500</f>
        <v>0</v>
      </c>
      <c r="CI3511" s="76"/>
      <c r="CJ3511" s="76">
        <f>+CI3511*26000</f>
        <v>0</v>
      </c>
      <c r="CK3511" s="76"/>
      <c r="CL3511" s="76"/>
      <c r="CM3511" s="76"/>
      <c r="CN3511" s="76">
        <f>+CM3511*22000</f>
        <v>0</v>
      </c>
      <c r="CO3511" s="76"/>
      <c r="CP3511" s="76">
        <f>+CO3511*46000</f>
        <v>0</v>
      </c>
      <c r="CQ3511" s="76"/>
      <c r="CR3511" s="76">
        <f>+CQ3511*49000</f>
        <v>0</v>
      </c>
      <c r="CS3511" s="76"/>
      <c r="CT3511" s="76"/>
      <c r="CU3511" s="56">
        <f>AN3511+AP3511+AR3511+AT3511+AV3511+AX3511+AZ3511+BB3511+BD3511+BF3511+BH3511+BJ3511+BL3511+BN3511+BP3511+BR3511+BT3511+BV3511+BX3511+BZ3511+CB3511+CD3511+CF3511+CH3511+CJ3511+CL3511+CN3511+CP3511+CR3511+CT3511</f>
        <v>0</v>
      </c>
      <c r="CV3511" s="76"/>
      <c r="CW3511" s="76">
        <f>+CV3511*1100</f>
        <v>0</v>
      </c>
      <c r="CX3511" s="76"/>
      <c r="CY3511" s="76">
        <f>+CX3511*106250</f>
        <v>0</v>
      </c>
      <c r="CZ3511" s="76"/>
      <c r="DA3511" s="76">
        <f>+CZ3511*34500</f>
        <v>0</v>
      </c>
      <c r="DB3511" s="76"/>
      <c r="DC3511" s="76">
        <f>+DB3511*25000</f>
        <v>0</v>
      </c>
      <c r="DD3511" s="219"/>
      <c r="DE3511" s="219"/>
      <c r="DF3511" s="166"/>
      <c r="DG3511" s="116"/>
      <c r="DH3511" s="117"/>
      <c r="DI3511" s="24"/>
      <c r="DJ3511" s="24"/>
      <c r="DK3511" s="24"/>
      <c r="DL3511" s="24"/>
      <c r="DM3511" s="24"/>
      <c r="DN3511" s="24"/>
      <c r="DO3511" s="24"/>
      <c r="DP3511" s="24"/>
      <c r="DQ3511" s="24"/>
      <c r="DR3511" s="24"/>
      <c r="DS3511" s="24"/>
      <c r="DT3511" s="24"/>
      <c r="DU3511" s="24"/>
    </row>
    <row r="3512" spans="1:125" s="8" customFormat="1" ht="36" x14ac:dyDescent="0.2">
      <c r="A3512" s="77">
        <v>41577</v>
      </c>
      <c r="B3512" s="78" t="s">
        <v>2848</v>
      </c>
      <c r="C3512" s="83" t="s">
        <v>2034</v>
      </c>
      <c r="D3512" s="75" t="s">
        <v>2882</v>
      </c>
      <c r="E3512" s="75" t="str">
        <f>VLOOKUP(B3512&amp;C3512,Divipola!$C$2:$F$1138,4,FALSE)</f>
        <v>73449</v>
      </c>
      <c r="F3512" s="93"/>
      <c r="G3512" s="93"/>
      <c r="H3512" s="93"/>
      <c r="I3512" s="93"/>
      <c r="J3512" s="93"/>
      <c r="K3512" s="93"/>
      <c r="L3512" s="93"/>
      <c r="M3512" s="93"/>
      <c r="N3512" s="93"/>
      <c r="O3512" s="93"/>
      <c r="P3512" s="93"/>
      <c r="Q3512" s="93"/>
      <c r="R3512" s="93"/>
      <c r="S3512" s="93"/>
      <c r="T3512" s="93"/>
      <c r="U3512" s="93"/>
      <c r="V3512" s="89"/>
      <c r="W3512" s="96">
        <v>0</v>
      </c>
      <c r="X3512" s="71">
        <f>CU3512</f>
        <v>0</v>
      </c>
      <c r="Y3512" s="71">
        <f>CY3512</f>
        <v>0</v>
      </c>
      <c r="Z3512" s="71">
        <f>DA3512+DC3512+DE3512</f>
        <v>0</v>
      </c>
      <c r="AA3512" s="71">
        <f>CW3512</f>
        <v>0</v>
      </c>
      <c r="AB3512" s="71"/>
      <c r="AC3512" s="71">
        <v>0</v>
      </c>
      <c r="AD3512" s="71">
        <f>W3512+X3512+Y3512+Z3512+AA3512+AB3512+AC3512</f>
        <v>0</v>
      </c>
      <c r="AE3512" s="72">
        <v>0</v>
      </c>
      <c r="AF3512" s="5"/>
      <c r="AG3512" s="6"/>
      <c r="AH3512" s="27"/>
      <c r="AI3512" s="44"/>
      <c r="AJ3512" s="26"/>
      <c r="AK3512" s="5"/>
      <c r="AL3512" s="268" t="s">
        <v>6512</v>
      </c>
      <c r="AM3512" s="76"/>
      <c r="AN3512" s="76"/>
      <c r="AO3512" s="76"/>
      <c r="AP3512" s="76"/>
      <c r="AQ3512" s="76"/>
      <c r="AR3512" s="76"/>
      <c r="AS3512" s="76"/>
      <c r="AT3512" s="76"/>
      <c r="AU3512" s="76"/>
      <c r="AV3512" s="76"/>
      <c r="AW3512" s="76"/>
      <c r="AX3512" s="76">
        <f>+AW3512*600000</f>
        <v>0</v>
      </c>
      <c r="AY3512" s="76"/>
      <c r="AZ3512" s="76">
        <f>+AY3512*70000</f>
        <v>0</v>
      </c>
      <c r="BA3512" s="76"/>
      <c r="BB3512" s="76"/>
      <c r="BC3512" s="76"/>
      <c r="BD3512" s="76">
        <f>+BC3512*30000</f>
        <v>0</v>
      </c>
      <c r="BE3512" s="76"/>
      <c r="BF3512" s="76"/>
      <c r="BG3512" s="76"/>
      <c r="BH3512" s="76"/>
      <c r="BI3512" s="76"/>
      <c r="BJ3512" s="76"/>
      <c r="BK3512" s="76"/>
      <c r="BL3512" s="76">
        <f>+BK3512*31500</f>
        <v>0</v>
      </c>
      <c r="BM3512" s="76"/>
      <c r="BN3512" s="76"/>
      <c r="BO3512" s="76"/>
      <c r="BP3512" s="76"/>
      <c r="BQ3512" s="76"/>
      <c r="BR3512" s="76"/>
      <c r="BS3512" s="76"/>
      <c r="BT3512" s="76"/>
      <c r="BU3512" s="76"/>
      <c r="BV3512" s="76"/>
      <c r="BW3512" s="76"/>
      <c r="BX3512" s="76"/>
      <c r="BY3512" s="76"/>
      <c r="BZ3512" s="76"/>
      <c r="CA3512" s="76"/>
      <c r="CB3512" s="76"/>
      <c r="CC3512" s="76"/>
      <c r="CD3512" s="76"/>
      <c r="CE3512" s="76"/>
      <c r="CF3512" s="76">
        <f>+CE3512*28000</f>
        <v>0</v>
      </c>
      <c r="CG3512" s="76"/>
      <c r="CH3512" s="76">
        <f>+CG3512*22500</f>
        <v>0</v>
      </c>
      <c r="CI3512" s="76"/>
      <c r="CJ3512" s="76">
        <f>+CI3512*26000</f>
        <v>0</v>
      </c>
      <c r="CK3512" s="76"/>
      <c r="CL3512" s="76"/>
      <c r="CM3512" s="76"/>
      <c r="CN3512" s="76">
        <f>+CM3512*22000</f>
        <v>0</v>
      </c>
      <c r="CO3512" s="76"/>
      <c r="CP3512" s="76">
        <f>+CO3512*46000</f>
        <v>0</v>
      </c>
      <c r="CQ3512" s="76"/>
      <c r="CR3512" s="76">
        <f>+CQ3512*49000</f>
        <v>0</v>
      </c>
      <c r="CS3512" s="76"/>
      <c r="CT3512" s="76"/>
      <c r="CU3512" s="56">
        <f>AN3512+AP3512+AR3512+AT3512+AV3512+AX3512+AZ3512+BB3512+BD3512+BF3512+BH3512+BJ3512+BL3512+BN3512+BP3512+BR3512+BT3512+BV3512+BX3512+BZ3512+CB3512+CD3512+CF3512+CH3512+CJ3512+CL3512+CN3512+CP3512+CR3512+CT3512</f>
        <v>0</v>
      </c>
      <c r="CV3512" s="76"/>
      <c r="CW3512" s="76">
        <f>+CV3512*1100</f>
        <v>0</v>
      </c>
      <c r="CX3512" s="76"/>
      <c r="CY3512" s="76">
        <f>+CX3512*106250</f>
        <v>0</v>
      </c>
      <c r="CZ3512" s="76"/>
      <c r="DA3512" s="76">
        <f>+CZ3512*34500</f>
        <v>0</v>
      </c>
      <c r="DB3512" s="76"/>
      <c r="DC3512" s="76">
        <f>+DB3512*25000</f>
        <v>0</v>
      </c>
      <c r="DD3512" s="219"/>
      <c r="DE3512" s="219"/>
      <c r="DF3512" s="166"/>
      <c r="DG3512" s="116"/>
      <c r="DH3512" s="117"/>
      <c r="DI3512" s="24"/>
      <c r="DJ3512" s="24"/>
      <c r="DK3512" s="24"/>
      <c r="DL3512" s="24"/>
      <c r="DM3512" s="24"/>
      <c r="DN3512" s="24"/>
      <c r="DO3512" s="24"/>
      <c r="DP3512" s="24"/>
      <c r="DQ3512" s="24"/>
      <c r="DR3512" s="24"/>
      <c r="DS3512" s="24"/>
      <c r="DT3512" s="24"/>
      <c r="DU3512" s="24"/>
    </row>
    <row r="3513" spans="1:125" s="8" customFormat="1" ht="36" x14ac:dyDescent="0.2">
      <c r="A3513" s="77">
        <v>41577</v>
      </c>
      <c r="B3513" s="78" t="s">
        <v>2848</v>
      </c>
      <c r="C3513" s="75" t="s">
        <v>2055</v>
      </c>
      <c r="D3513" s="75" t="s">
        <v>2882</v>
      </c>
      <c r="E3513" s="75" t="str">
        <f>VLOOKUP(B3513&amp;C3513,Divipola!$C$2:$F$1138,4,FALSE)</f>
        <v>73275</v>
      </c>
      <c r="F3513" s="87"/>
      <c r="G3513" s="87"/>
      <c r="H3513" s="87"/>
      <c r="I3513" s="87"/>
      <c r="J3513" s="87"/>
      <c r="K3513" s="87"/>
      <c r="L3513" s="87"/>
      <c r="M3513" s="87"/>
      <c r="N3513" s="87"/>
      <c r="O3513" s="87"/>
      <c r="P3513" s="87"/>
      <c r="Q3513" s="87"/>
      <c r="R3513" s="87"/>
      <c r="S3513" s="87"/>
      <c r="T3513" s="87"/>
      <c r="U3513" s="88"/>
      <c r="V3513" s="89"/>
      <c r="W3513" s="96">
        <v>0</v>
      </c>
      <c r="X3513" s="71">
        <f>CU3513</f>
        <v>0</v>
      </c>
      <c r="Y3513" s="71">
        <f>CY3513</f>
        <v>0</v>
      </c>
      <c r="Z3513" s="71">
        <f>DA3513+DC3513+DE3513</f>
        <v>0</v>
      </c>
      <c r="AA3513" s="71">
        <f>CW3513</f>
        <v>0</v>
      </c>
      <c r="AB3513" s="71"/>
      <c r="AC3513" s="71">
        <v>0</v>
      </c>
      <c r="AD3513" s="71">
        <f>W3513+X3513+Y3513+Z3513+AA3513+AB3513+AC3513</f>
        <v>0</v>
      </c>
      <c r="AE3513" s="72">
        <v>0</v>
      </c>
      <c r="AF3513" s="5"/>
      <c r="AG3513" s="6"/>
      <c r="AH3513" s="27"/>
      <c r="AI3513" s="44"/>
      <c r="AJ3513" s="26"/>
      <c r="AK3513" s="5"/>
      <c r="AL3513" s="268" t="s">
        <v>6512</v>
      </c>
      <c r="AM3513" s="76"/>
      <c r="AN3513" s="76"/>
      <c r="AO3513" s="76"/>
      <c r="AP3513" s="76"/>
      <c r="AQ3513" s="76"/>
      <c r="AR3513" s="76"/>
      <c r="AS3513" s="76"/>
      <c r="AT3513" s="76"/>
      <c r="AU3513" s="76"/>
      <c r="AV3513" s="76"/>
      <c r="AW3513" s="76"/>
      <c r="AX3513" s="76">
        <f>+AW3513*600000</f>
        <v>0</v>
      </c>
      <c r="AY3513" s="76"/>
      <c r="AZ3513" s="76">
        <f>+AY3513*70000</f>
        <v>0</v>
      </c>
      <c r="BA3513" s="76"/>
      <c r="BB3513" s="76"/>
      <c r="BC3513" s="76"/>
      <c r="BD3513" s="76">
        <f>+BC3513*30000</f>
        <v>0</v>
      </c>
      <c r="BE3513" s="76"/>
      <c r="BF3513" s="76"/>
      <c r="BG3513" s="76"/>
      <c r="BH3513" s="76"/>
      <c r="BI3513" s="76"/>
      <c r="BJ3513" s="76"/>
      <c r="BK3513" s="76"/>
      <c r="BL3513" s="76">
        <f>+BK3513*31500</f>
        <v>0</v>
      </c>
      <c r="BM3513" s="76"/>
      <c r="BN3513" s="76"/>
      <c r="BO3513" s="76"/>
      <c r="BP3513" s="76"/>
      <c r="BQ3513" s="76"/>
      <c r="BR3513" s="76"/>
      <c r="BS3513" s="76"/>
      <c r="BT3513" s="76"/>
      <c r="BU3513" s="76"/>
      <c r="BV3513" s="76"/>
      <c r="BW3513" s="76"/>
      <c r="BX3513" s="76"/>
      <c r="BY3513" s="76"/>
      <c r="BZ3513" s="76"/>
      <c r="CA3513" s="76"/>
      <c r="CB3513" s="76"/>
      <c r="CC3513" s="76"/>
      <c r="CD3513" s="76"/>
      <c r="CE3513" s="76"/>
      <c r="CF3513" s="76">
        <f>+CE3513*28000</f>
        <v>0</v>
      </c>
      <c r="CG3513" s="76"/>
      <c r="CH3513" s="76">
        <f>+CG3513*22500</f>
        <v>0</v>
      </c>
      <c r="CI3513" s="76"/>
      <c r="CJ3513" s="76">
        <f>+CI3513*26000</f>
        <v>0</v>
      </c>
      <c r="CK3513" s="76"/>
      <c r="CL3513" s="76"/>
      <c r="CM3513" s="76"/>
      <c r="CN3513" s="76">
        <f>+CM3513*22000</f>
        <v>0</v>
      </c>
      <c r="CO3513" s="76"/>
      <c r="CP3513" s="76">
        <f>+CO3513*46000</f>
        <v>0</v>
      </c>
      <c r="CQ3513" s="76"/>
      <c r="CR3513" s="76">
        <f>+CQ3513*49000</f>
        <v>0</v>
      </c>
      <c r="CS3513" s="76"/>
      <c r="CT3513" s="76"/>
      <c r="CU3513" s="56">
        <f>AN3513+AP3513+AR3513+AT3513+AV3513+AX3513+AZ3513+BB3513+BD3513+BF3513+BH3513+BJ3513+BL3513+BN3513+BP3513+BR3513+BT3513+BV3513+BX3513+BZ3513+CB3513+CD3513+CF3513+CH3513+CJ3513+CL3513+CN3513+CP3513+CR3513+CT3513</f>
        <v>0</v>
      </c>
      <c r="CV3513" s="76"/>
      <c r="CW3513" s="76">
        <f>+CV3513*1100</f>
        <v>0</v>
      </c>
      <c r="CX3513" s="76"/>
      <c r="CY3513" s="76">
        <f>+CX3513*106250</f>
        <v>0</v>
      </c>
      <c r="CZ3513" s="76"/>
      <c r="DA3513" s="76">
        <f>+CZ3513*34500</f>
        <v>0</v>
      </c>
      <c r="DB3513" s="76"/>
      <c r="DC3513" s="76">
        <f>+DB3513*25000</f>
        <v>0</v>
      </c>
      <c r="DD3513" s="219"/>
      <c r="DE3513" s="219"/>
      <c r="DF3513" s="166"/>
      <c r="DG3513" s="116"/>
      <c r="DH3513" s="117"/>
      <c r="DI3513" s="24"/>
      <c r="DJ3513" s="24"/>
      <c r="DK3513" s="24"/>
      <c r="DL3513" s="24"/>
      <c r="DM3513" s="24"/>
      <c r="DN3513" s="24"/>
      <c r="DO3513" s="24"/>
      <c r="DP3513" s="24"/>
      <c r="DQ3513" s="24"/>
      <c r="DR3513" s="24"/>
      <c r="DS3513" s="24"/>
      <c r="DT3513" s="24"/>
      <c r="DU3513" s="24"/>
    </row>
    <row r="3514" spans="1:125" s="8" customFormat="1" ht="36" x14ac:dyDescent="0.2">
      <c r="A3514" s="353">
        <v>41577</v>
      </c>
      <c r="B3514" s="352" t="s">
        <v>2848</v>
      </c>
      <c r="C3514" s="354" t="s">
        <v>2791</v>
      </c>
      <c r="D3514" s="354" t="s">
        <v>2882</v>
      </c>
      <c r="E3514" s="75" t="str">
        <f>VLOOKUP(B3514&amp;C3514,Divipola!$C$2:$F$1138,4,FALSE)</f>
        <v>73585</v>
      </c>
      <c r="F3514" s="87"/>
      <c r="G3514" s="87"/>
      <c r="H3514" s="87"/>
      <c r="I3514" s="87"/>
      <c r="J3514" s="87"/>
      <c r="K3514" s="87"/>
      <c r="L3514" s="87"/>
      <c r="M3514" s="87"/>
      <c r="N3514" s="87"/>
      <c r="O3514" s="87"/>
      <c r="P3514" s="87"/>
      <c r="Q3514" s="87"/>
      <c r="R3514" s="87"/>
      <c r="S3514" s="87"/>
      <c r="T3514" s="87"/>
      <c r="U3514" s="88"/>
      <c r="V3514" s="89"/>
      <c r="W3514" s="96">
        <v>0</v>
      </c>
      <c r="X3514" s="71">
        <f>CU3514</f>
        <v>0</v>
      </c>
      <c r="Y3514" s="71">
        <f>CY3514</f>
        <v>0</v>
      </c>
      <c r="Z3514" s="71">
        <f>DA3514+DC3514+DE3514</f>
        <v>0</v>
      </c>
      <c r="AA3514" s="71">
        <f>CW3514</f>
        <v>0</v>
      </c>
      <c r="AB3514" s="71"/>
      <c r="AC3514" s="71">
        <v>0</v>
      </c>
      <c r="AD3514" s="71">
        <f>W3514+X3514+Y3514+Z3514+AA3514+AB3514+AC3514</f>
        <v>0</v>
      </c>
      <c r="AE3514" s="72">
        <v>0</v>
      </c>
      <c r="AF3514" s="5"/>
      <c r="AG3514" s="6"/>
      <c r="AH3514" s="27"/>
      <c r="AI3514" s="44"/>
      <c r="AJ3514" s="26"/>
      <c r="AK3514" s="5"/>
      <c r="AL3514" s="268" t="s">
        <v>6512</v>
      </c>
      <c r="AM3514" s="76"/>
      <c r="AN3514" s="76"/>
      <c r="AO3514" s="76"/>
      <c r="AP3514" s="76"/>
      <c r="AQ3514" s="76"/>
      <c r="AR3514" s="76"/>
      <c r="AS3514" s="76"/>
      <c r="AT3514" s="76"/>
      <c r="AU3514" s="76"/>
      <c r="AV3514" s="76"/>
      <c r="AW3514" s="76"/>
      <c r="AX3514" s="76">
        <f>+AW3514*600000</f>
        <v>0</v>
      </c>
      <c r="AY3514" s="76"/>
      <c r="AZ3514" s="76">
        <f>+AY3514*70000</f>
        <v>0</v>
      </c>
      <c r="BA3514" s="76"/>
      <c r="BB3514" s="76"/>
      <c r="BC3514" s="76"/>
      <c r="BD3514" s="76">
        <f>+BC3514*30000</f>
        <v>0</v>
      </c>
      <c r="BE3514" s="76"/>
      <c r="BF3514" s="76"/>
      <c r="BG3514" s="76"/>
      <c r="BH3514" s="76"/>
      <c r="BI3514" s="76"/>
      <c r="BJ3514" s="76"/>
      <c r="BK3514" s="76"/>
      <c r="BL3514" s="76">
        <f>+BK3514*31500</f>
        <v>0</v>
      </c>
      <c r="BM3514" s="76"/>
      <c r="BN3514" s="76"/>
      <c r="BO3514" s="76"/>
      <c r="BP3514" s="76"/>
      <c r="BQ3514" s="76"/>
      <c r="BR3514" s="76"/>
      <c r="BS3514" s="76"/>
      <c r="BT3514" s="76"/>
      <c r="BU3514" s="76"/>
      <c r="BV3514" s="76"/>
      <c r="BW3514" s="76"/>
      <c r="BX3514" s="76"/>
      <c r="BY3514" s="76"/>
      <c r="BZ3514" s="76"/>
      <c r="CA3514" s="76"/>
      <c r="CB3514" s="76"/>
      <c r="CC3514" s="76"/>
      <c r="CD3514" s="76"/>
      <c r="CE3514" s="76"/>
      <c r="CF3514" s="76">
        <f>+CE3514*28000</f>
        <v>0</v>
      </c>
      <c r="CG3514" s="76"/>
      <c r="CH3514" s="76">
        <f>+CG3514*22500</f>
        <v>0</v>
      </c>
      <c r="CI3514" s="76"/>
      <c r="CJ3514" s="76">
        <f>+CI3514*26000</f>
        <v>0</v>
      </c>
      <c r="CK3514" s="76"/>
      <c r="CL3514" s="76"/>
      <c r="CM3514" s="76"/>
      <c r="CN3514" s="76">
        <f>+CM3514*22000</f>
        <v>0</v>
      </c>
      <c r="CO3514" s="76"/>
      <c r="CP3514" s="76">
        <f>+CO3514*46000</f>
        <v>0</v>
      </c>
      <c r="CQ3514" s="76"/>
      <c r="CR3514" s="76">
        <f>+CQ3514*49000</f>
        <v>0</v>
      </c>
      <c r="CS3514" s="76"/>
      <c r="CT3514" s="76"/>
      <c r="CU3514" s="56">
        <f>AN3514+AP3514+AR3514+AT3514+AV3514+AX3514+AZ3514+BB3514+BD3514+BF3514+BH3514+BJ3514+BL3514+BN3514+BP3514+BR3514+BT3514+BV3514+BX3514+BZ3514+CB3514+CD3514+CF3514+CH3514+CJ3514+CL3514+CN3514+CP3514+CR3514+CT3514</f>
        <v>0</v>
      </c>
      <c r="CV3514" s="76"/>
      <c r="CW3514" s="76">
        <f>+CV3514*1100</f>
        <v>0</v>
      </c>
      <c r="CX3514" s="76"/>
      <c r="CY3514" s="76">
        <f>+CX3514*106250</f>
        <v>0</v>
      </c>
      <c r="CZ3514" s="76"/>
      <c r="DA3514" s="76">
        <f>+CZ3514*34500</f>
        <v>0</v>
      </c>
      <c r="DB3514" s="76"/>
      <c r="DC3514" s="76">
        <f>+DB3514*25000</f>
        <v>0</v>
      </c>
      <c r="DD3514" s="219"/>
      <c r="DE3514" s="219"/>
      <c r="DF3514" s="166"/>
      <c r="DG3514" s="116"/>
      <c r="DH3514" s="117"/>
      <c r="DI3514" s="24"/>
      <c r="DJ3514" s="24"/>
      <c r="DK3514" s="24"/>
      <c r="DL3514" s="24"/>
      <c r="DM3514" s="24"/>
      <c r="DN3514" s="24"/>
      <c r="DO3514" s="24"/>
      <c r="DP3514" s="24"/>
      <c r="DQ3514" s="24"/>
      <c r="DR3514" s="24"/>
      <c r="DS3514" s="24"/>
      <c r="DT3514" s="24"/>
      <c r="DU3514" s="24"/>
    </row>
    <row r="3515" spans="1:125" s="8" customFormat="1" ht="132" x14ac:dyDescent="0.2">
      <c r="A3515" s="77">
        <v>41577</v>
      </c>
      <c r="B3515" s="352" t="s">
        <v>2772</v>
      </c>
      <c r="C3515" s="354" t="s">
        <v>2167</v>
      </c>
      <c r="D3515" s="354" t="s">
        <v>2875</v>
      </c>
      <c r="E3515" s="75" t="str">
        <f>VLOOKUP(B3515&amp;C3515,Divipola!$C$2:$F$1138,4,FALSE)</f>
        <v>25377</v>
      </c>
      <c r="F3515" s="87"/>
      <c r="G3515" s="87"/>
      <c r="H3515" s="87"/>
      <c r="I3515" s="87">
        <v>5</v>
      </c>
      <c r="J3515" s="87">
        <v>1</v>
      </c>
      <c r="K3515" s="87"/>
      <c r="L3515" s="87">
        <v>1</v>
      </c>
      <c r="M3515" s="87"/>
      <c r="N3515" s="87"/>
      <c r="O3515" s="87"/>
      <c r="P3515" s="87"/>
      <c r="Q3515" s="87"/>
      <c r="R3515" s="87"/>
      <c r="S3515" s="87"/>
      <c r="T3515" s="87"/>
      <c r="U3515" s="88"/>
      <c r="V3515" s="89"/>
      <c r="W3515" s="96">
        <v>0</v>
      </c>
      <c r="X3515" s="71">
        <f>CU3515</f>
        <v>0</v>
      </c>
      <c r="Y3515" s="71">
        <f>CY3515</f>
        <v>0</v>
      </c>
      <c r="Z3515" s="71">
        <f>DA3515+DC3515+DE3515</f>
        <v>0</v>
      </c>
      <c r="AA3515" s="71">
        <f>CW3515</f>
        <v>0</v>
      </c>
      <c r="AB3515" s="71"/>
      <c r="AC3515" s="71">
        <v>0</v>
      </c>
      <c r="AD3515" s="71">
        <f>W3515+X3515+Y3515+Z3515+AA3515+AB3515+AC3515</f>
        <v>0</v>
      </c>
      <c r="AE3515" s="72">
        <v>0</v>
      </c>
      <c r="AF3515" s="5"/>
      <c r="AG3515" s="6"/>
      <c r="AH3515" s="27"/>
      <c r="AI3515" s="44"/>
      <c r="AJ3515" s="26"/>
      <c r="AK3515" s="5"/>
      <c r="AL3515" s="274" t="s">
        <v>6519</v>
      </c>
      <c r="AM3515" s="76"/>
      <c r="AN3515" s="76"/>
      <c r="AO3515" s="76"/>
      <c r="AP3515" s="76"/>
      <c r="AQ3515" s="76"/>
      <c r="AR3515" s="76"/>
      <c r="AS3515" s="76"/>
      <c r="AT3515" s="76"/>
      <c r="AU3515" s="76"/>
      <c r="AV3515" s="76"/>
      <c r="AW3515" s="76"/>
      <c r="AX3515" s="76">
        <f>+AW3515*600000</f>
        <v>0</v>
      </c>
      <c r="AY3515" s="76"/>
      <c r="AZ3515" s="76">
        <f>+AY3515*70000</f>
        <v>0</v>
      </c>
      <c r="BA3515" s="76"/>
      <c r="BB3515" s="76"/>
      <c r="BC3515" s="76"/>
      <c r="BD3515" s="76">
        <f>+BC3515*30000</f>
        <v>0</v>
      </c>
      <c r="BE3515" s="76"/>
      <c r="BF3515" s="76"/>
      <c r="BG3515" s="76"/>
      <c r="BH3515" s="76"/>
      <c r="BI3515" s="76"/>
      <c r="BJ3515" s="76"/>
      <c r="BK3515" s="76"/>
      <c r="BL3515" s="76">
        <f>+BK3515*31500</f>
        <v>0</v>
      </c>
      <c r="BM3515" s="76"/>
      <c r="BN3515" s="76"/>
      <c r="BO3515" s="76"/>
      <c r="BP3515" s="76"/>
      <c r="BQ3515" s="76"/>
      <c r="BR3515" s="76"/>
      <c r="BS3515" s="76"/>
      <c r="BT3515" s="76"/>
      <c r="BU3515" s="76"/>
      <c r="BV3515" s="76"/>
      <c r="BW3515" s="76"/>
      <c r="BX3515" s="76"/>
      <c r="BY3515" s="76"/>
      <c r="BZ3515" s="76"/>
      <c r="CA3515" s="76"/>
      <c r="CB3515" s="76"/>
      <c r="CC3515" s="76"/>
      <c r="CD3515" s="76"/>
      <c r="CE3515" s="76"/>
      <c r="CF3515" s="76">
        <f>+CE3515*28000</f>
        <v>0</v>
      </c>
      <c r="CG3515" s="76"/>
      <c r="CH3515" s="76">
        <f>+CG3515*22500</f>
        <v>0</v>
      </c>
      <c r="CI3515" s="76"/>
      <c r="CJ3515" s="76">
        <f>+CI3515*26000</f>
        <v>0</v>
      </c>
      <c r="CK3515" s="76"/>
      <c r="CL3515" s="76"/>
      <c r="CM3515" s="76"/>
      <c r="CN3515" s="76">
        <f>+CM3515*22000</f>
        <v>0</v>
      </c>
      <c r="CO3515" s="76"/>
      <c r="CP3515" s="76">
        <f>+CO3515*46000</f>
        <v>0</v>
      </c>
      <c r="CQ3515" s="76"/>
      <c r="CR3515" s="76">
        <f>+CQ3515*49000</f>
        <v>0</v>
      </c>
      <c r="CS3515" s="76"/>
      <c r="CT3515" s="76"/>
      <c r="CU3515" s="56">
        <f>AN3515+AP3515+AR3515+AT3515+AV3515+AX3515+AZ3515+BB3515+BD3515+BF3515+BH3515+BJ3515+BL3515+BN3515+BP3515+BR3515+BT3515+BV3515+BX3515+BZ3515+CB3515+CD3515+CF3515+CH3515+CJ3515+CL3515+CN3515+CP3515+CR3515+CT3515</f>
        <v>0</v>
      </c>
      <c r="CV3515" s="76"/>
      <c r="CW3515" s="76">
        <f>+CV3515*1100</f>
        <v>0</v>
      </c>
      <c r="CX3515" s="76"/>
      <c r="CY3515" s="76">
        <f>+CX3515*106250</f>
        <v>0</v>
      </c>
      <c r="CZ3515" s="76"/>
      <c r="DA3515" s="76">
        <f>+CZ3515*34500</f>
        <v>0</v>
      </c>
      <c r="DB3515" s="76"/>
      <c r="DC3515" s="76">
        <f>+DB3515*25000</f>
        <v>0</v>
      </c>
      <c r="DD3515" s="219"/>
      <c r="DE3515" s="219"/>
      <c r="DF3515" s="166"/>
      <c r="DG3515" s="116"/>
      <c r="DH3515" s="117"/>
      <c r="DI3515" s="24"/>
      <c r="DJ3515" s="24"/>
      <c r="DK3515" s="24"/>
      <c r="DL3515" s="24"/>
      <c r="DM3515" s="24"/>
      <c r="DN3515" s="24"/>
      <c r="DO3515" s="24"/>
      <c r="DP3515" s="24"/>
      <c r="DQ3515" s="24"/>
      <c r="DR3515" s="24"/>
      <c r="DS3515" s="24"/>
      <c r="DT3515" s="24"/>
      <c r="DU3515" s="24"/>
    </row>
    <row r="3516" spans="1:125" s="8" customFormat="1" ht="120" x14ac:dyDescent="0.2">
      <c r="A3516" s="77">
        <v>41577</v>
      </c>
      <c r="B3516" s="352" t="s">
        <v>2772</v>
      </c>
      <c r="C3516" s="354" t="s">
        <v>2665</v>
      </c>
      <c r="D3516" s="354" t="s">
        <v>3051</v>
      </c>
      <c r="E3516" s="75" t="str">
        <f>VLOOKUP(B3516&amp;C3516,Divipola!$C$2:$F$1138,4,FALSE)</f>
        <v>25599</v>
      </c>
      <c r="F3516" s="87"/>
      <c r="G3516" s="87"/>
      <c r="H3516" s="87"/>
      <c r="I3516" s="87">
        <v>65</v>
      </c>
      <c r="J3516" s="87">
        <v>13</v>
      </c>
      <c r="K3516" s="87"/>
      <c r="L3516" s="87">
        <v>13</v>
      </c>
      <c r="M3516" s="87"/>
      <c r="N3516" s="87"/>
      <c r="O3516" s="87"/>
      <c r="P3516" s="87"/>
      <c r="Q3516" s="87"/>
      <c r="R3516" s="87"/>
      <c r="S3516" s="87"/>
      <c r="T3516" s="87"/>
      <c r="U3516" s="88"/>
      <c r="V3516" s="89"/>
      <c r="W3516" s="96">
        <v>0</v>
      </c>
      <c r="X3516" s="71">
        <f>CU3516</f>
        <v>0</v>
      </c>
      <c r="Y3516" s="71">
        <f>CY3516</f>
        <v>0</v>
      </c>
      <c r="Z3516" s="71">
        <f>DA3516+DC3516+DE3516</f>
        <v>0</v>
      </c>
      <c r="AA3516" s="71">
        <f>CW3516</f>
        <v>0</v>
      </c>
      <c r="AB3516" s="71"/>
      <c r="AC3516" s="71">
        <v>0</v>
      </c>
      <c r="AD3516" s="71">
        <f>W3516+X3516+Y3516+Z3516+AA3516+AB3516+AC3516</f>
        <v>0</v>
      </c>
      <c r="AE3516" s="72">
        <v>0</v>
      </c>
      <c r="AF3516" s="5"/>
      <c r="AG3516" s="6"/>
      <c r="AH3516" s="27"/>
      <c r="AI3516" s="44"/>
      <c r="AJ3516" s="26"/>
      <c r="AK3516" s="5"/>
      <c r="AL3516" s="274" t="s">
        <v>6520</v>
      </c>
      <c r="AM3516" s="76"/>
      <c r="AN3516" s="76"/>
      <c r="AO3516" s="76"/>
      <c r="AP3516" s="76"/>
      <c r="AQ3516" s="76"/>
      <c r="AR3516" s="76"/>
      <c r="AS3516" s="76"/>
      <c r="AT3516" s="76"/>
      <c r="AU3516" s="76"/>
      <c r="AV3516" s="76"/>
      <c r="AW3516" s="76"/>
      <c r="AX3516" s="76">
        <f>+AW3516*600000</f>
        <v>0</v>
      </c>
      <c r="AY3516" s="76"/>
      <c r="AZ3516" s="76">
        <f>+AY3516*70000</f>
        <v>0</v>
      </c>
      <c r="BA3516" s="76"/>
      <c r="BB3516" s="76"/>
      <c r="BC3516" s="76"/>
      <c r="BD3516" s="76">
        <f>+BC3516*30000</f>
        <v>0</v>
      </c>
      <c r="BE3516" s="76"/>
      <c r="BF3516" s="76"/>
      <c r="BG3516" s="76"/>
      <c r="BH3516" s="76"/>
      <c r="BI3516" s="76"/>
      <c r="BJ3516" s="76"/>
      <c r="BK3516" s="76"/>
      <c r="BL3516" s="76">
        <f>+BK3516*31500</f>
        <v>0</v>
      </c>
      <c r="BM3516" s="76"/>
      <c r="BN3516" s="76"/>
      <c r="BO3516" s="76"/>
      <c r="BP3516" s="76"/>
      <c r="BQ3516" s="76"/>
      <c r="BR3516" s="76"/>
      <c r="BS3516" s="76"/>
      <c r="BT3516" s="76"/>
      <c r="BU3516" s="76"/>
      <c r="BV3516" s="76"/>
      <c r="BW3516" s="76"/>
      <c r="BX3516" s="76"/>
      <c r="BY3516" s="76"/>
      <c r="BZ3516" s="76"/>
      <c r="CA3516" s="76"/>
      <c r="CB3516" s="76"/>
      <c r="CC3516" s="76"/>
      <c r="CD3516" s="76"/>
      <c r="CE3516" s="76"/>
      <c r="CF3516" s="76">
        <f>+CE3516*28000</f>
        <v>0</v>
      </c>
      <c r="CG3516" s="76"/>
      <c r="CH3516" s="76">
        <f>+CG3516*22500</f>
        <v>0</v>
      </c>
      <c r="CI3516" s="76"/>
      <c r="CJ3516" s="76">
        <f>+CI3516*26000</f>
        <v>0</v>
      </c>
      <c r="CK3516" s="76"/>
      <c r="CL3516" s="76"/>
      <c r="CM3516" s="76"/>
      <c r="CN3516" s="76">
        <f>+CM3516*22000</f>
        <v>0</v>
      </c>
      <c r="CO3516" s="76"/>
      <c r="CP3516" s="76">
        <f>+CO3516*46000</f>
        <v>0</v>
      </c>
      <c r="CQ3516" s="76"/>
      <c r="CR3516" s="76">
        <f>+CQ3516*49000</f>
        <v>0</v>
      </c>
      <c r="CS3516" s="76"/>
      <c r="CT3516" s="76"/>
      <c r="CU3516" s="56">
        <f>AN3516+AP3516+AR3516+AT3516+AV3516+AX3516+AZ3516+BB3516+BD3516+BF3516+BH3516+BJ3516+BL3516+BN3516+BP3516+BR3516+BT3516+BV3516+BX3516+BZ3516+CB3516+CD3516+CF3516+CH3516+CJ3516+CL3516+CN3516+CP3516+CR3516+CT3516</f>
        <v>0</v>
      </c>
      <c r="CV3516" s="76"/>
      <c r="CW3516" s="76">
        <f>+CV3516*1100</f>
        <v>0</v>
      </c>
      <c r="CX3516" s="76"/>
      <c r="CY3516" s="76">
        <f>+CX3516*106250</f>
        <v>0</v>
      </c>
      <c r="CZ3516" s="76"/>
      <c r="DA3516" s="76">
        <f>+CZ3516*34500</f>
        <v>0</v>
      </c>
      <c r="DB3516" s="76"/>
      <c r="DC3516" s="76">
        <f>+DB3516*25000</f>
        <v>0</v>
      </c>
      <c r="DD3516" s="219"/>
      <c r="DE3516" s="219"/>
      <c r="DF3516" s="166"/>
      <c r="DG3516" s="116"/>
      <c r="DH3516" s="117"/>
      <c r="DI3516" s="24"/>
      <c r="DJ3516" s="24"/>
      <c r="DK3516" s="24"/>
      <c r="DL3516" s="24"/>
      <c r="DM3516" s="24"/>
      <c r="DN3516" s="24"/>
      <c r="DO3516" s="24"/>
      <c r="DP3516" s="24"/>
      <c r="DQ3516" s="24"/>
      <c r="DR3516" s="24"/>
      <c r="DS3516" s="24"/>
      <c r="DT3516" s="24"/>
      <c r="DU3516" s="24"/>
    </row>
    <row r="3517" spans="1:125" s="8" customFormat="1" ht="108" x14ac:dyDescent="0.2">
      <c r="A3517" s="77">
        <v>41577</v>
      </c>
      <c r="B3517" s="78" t="s">
        <v>2772</v>
      </c>
      <c r="C3517" s="75" t="s">
        <v>1133</v>
      </c>
      <c r="D3517" s="75" t="s">
        <v>2882</v>
      </c>
      <c r="E3517" s="75" t="str">
        <f>VLOOKUP(B3517&amp;C3517,Divipola!$C$2:$F$1138,4,FALSE)</f>
        <v>25535</v>
      </c>
      <c r="F3517" s="87"/>
      <c r="G3517" s="87"/>
      <c r="H3517" s="87"/>
      <c r="I3517" s="87">
        <v>65</v>
      </c>
      <c r="J3517" s="87">
        <v>13</v>
      </c>
      <c r="K3517" s="87">
        <v>1</v>
      </c>
      <c r="L3517" s="87">
        <v>12</v>
      </c>
      <c r="M3517" s="87"/>
      <c r="N3517" s="87"/>
      <c r="O3517" s="87"/>
      <c r="P3517" s="87"/>
      <c r="Q3517" s="87"/>
      <c r="R3517" s="87"/>
      <c r="S3517" s="87"/>
      <c r="T3517" s="87"/>
      <c r="U3517" s="88"/>
      <c r="V3517" s="89"/>
      <c r="W3517" s="96">
        <v>0</v>
      </c>
      <c r="X3517" s="71">
        <f>CU3517</f>
        <v>0</v>
      </c>
      <c r="Y3517" s="71">
        <f>CY3517</f>
        <v>0</v>
      </c>
      <c r="Z3517" s="71">
        <f>DA3517+DC3517+DE3517</f>
        <v>0</v>
      </c>
      <c r="AA3517" s="71">
        <f>CW3517</f>
        <v>0</v>
      </c>
      <c r="AB3517" s="71"/>
      <c r="AC3517" s="71">
        <v>0</v>
      </c>
      <c r="AD3517" s="71">
        <f>W3517+X3517+Y3517+Z3517+AA3517+AB3517+AC3517</f>
        <v>0</v>
      </c>
      <c r="AE3517" s="72">
        <v>0</v>
      </c>
      <c r="AF3517" s="5"/>
      <c r="AG3517" s="6"/>
      <c r="AH3517" s="27"/>
      <c r="AI3517" s="44"/>
      <c r="AJ3517" s="26"/>
      <c r="AK3517" s="5"/>
      <c r="AL3517" s="274" t="s">
        <v>6521</v>
      </c>
      <c r="AM3517" s="76"/>
      <c r="AN3517" s="76"/>
      <c r="AO3517" s="76"/>
      <c r="AP3517" s="76"/>
      <c r="AQ3517" s="76"/>
      <c r="AR3517" s="76"/>
      <c r="AS3517" s="76"/>
      <c r="AT3517" s="76"/>
      <c r="AU3517" s="76"/>
      <c r="AV3517" s="76"/>
      <c r="AW3517" s="76"/>
      <c r="AX3517" s="76">
        <f>+AW3517*600000</f>
        <v>0</v>
      </c>
      <c r="AY3517" s="76"/>
      <c r="AZ3517" s="76">
        <f>+AY3517*70000</f>
        <v>0</v>
      </c>
      <c r="BA3517" s="76"/>
      <c r="BB3517" s="76"/>
      <c r="BC3517" s="76"/>
      <c r="BD3517" s="76">
        <f>+BC3517*30000</f>
        <v>0</v>
      </c>
      <c r="BE3517" s="76"/>
      <c r="BF3517" s="76"/>
      <c r="BG3517" s="76"/>
      <c r="BH3517" s="76"/>
      <c r="BI3517" s="76"/>
      <c r="BJ3517" s="76"/>
      <c r="BK3517" s="76"/>
      <c r="BL3517" s="76">
        <f>+BK3517*31500</f>
        <v>0</v>
      </c>
      <c r="BM3517" s="76"/>
      <c r="BN3517" s="76"/>
      <c r="BO3517" s="76"/>
      <c r="BP3517" s="76"/>
      <c r="BQ3517" s="76"/>
      <c r="BR3517" s="76"/>
      <c r="BS3517" s="76"/>
      <c r="BT3517" s="76"/>
      <c r="BU3517" s="76"/>
      <c r="BV3517" s="76"/>
      <c r="BW3517" s="76"/>
      <c r="BX3517" s="76"/>
      <c r="BY3517" s="76"/>
      <c r="BZ3517" s="76"/>
      <c r="CA3517" s="76"/>
      <c r="CB3517" s="76"/>
      <c r="CC3517" s="76"/>
      <c r="CD3517" s="76"/>
      <c r="CE3517" s="76"/>
      <c r="CF3517" s="76">
        <f>+CE3517*28000</f>
        <v>0</v>
      </c>
      <c r="CG3517" s="76"/>
      <c r="CH3517" s="76">
        <f>+CG3517*22500</f>
        <v>0</v>
      </c>
      <c r="CI3517" s="76"/>
      <c r="CJ3517" s="76">
        <f>+CI3517*26000</f>
        <v>0</v>
      </c>
      <c r="CK3517" s="76"/>
      <c r="CL3517" s="76"/>
      <c r="CM3517" s="76"/>
      <c r="CN3517" s="76">
        <f>+CM3517*22000</f>
        <v>0</v>
      </c>
      <c r="CO3517" s="76"/>
      <c r="CP3517" s="76">
        <f>+CO3517*46000</f>
        <v>0</v>
      </c>
      <c r="CQ3517" s="76"/>
      <c r="CR3517" s="76">
        <f>+CQ3517*49000</f>
        <v>0</v>
      </c>
      <c r="CS3517" s="76"/>
      <c r="CT3517" s="76"/>
      <c r="CU3517" s="56">
        <f>AN3517+AP3517+AR3517+AT3517+AV3517+AX3517+AZ3517+BB3517+BD3517+BF3517+BH3517+BJ3517+BL3517+BN3517+BP3517+BR3517+BT3517+BV3517+BX3517+BZ3517+CB3517+CD3517+CF3517+CH3517+CJ3517+CL3517+CN3517+CP3517+CR3517+CT3517</f>
        <v>0</v>
      </c>
      <c r="CV3517" s="76"/>
      <c r="CW3517" s="76">
        <f>+CV3517*1100</f>
        <v>0</v>
      </c>
      <c r="CX3517" s="76"/>
      <c r="CY3517" s="76">
        <f>+CX3517*106250</f>
        <v>0</v>
      </c>
      <c r="CZ3517" s="76"/>
      <c r="DA3517" s="76">
        <f>+CZ3517*34500</f>
        <v>0</v>
      </c>
      <c r="DB3517" s="76"/>
      <c r="DC3517" s="76">
        <f>+DB3517*25000</f>
        <v>0</v>
      </c>
      <c r="DD3517" s="219"/>
      <c r="DE3517" s="219"/>
      <c r="DF3517" s="166"/>
      <c r="DG3517" s="116"/>
      <c r="DH3517" s="117"/>
      <c r="DI3517" s="24"/>
      <c r="DJ3517" s="24"/>
      <c r="DK3517" s="24"/>
      <c r="DL3517" s="24"/>
      <c r="DM3517" s="24"/>
      <c r="DN3517" s="24"/>
      <c r="DO3517" s="24"/>
      <c r="DP3517" s="24"/>
      <c r="DQ3517" s="24"/>
      <c r="DR3517" s="24"/>
      <c r="DS3517" s="24"/>
      <c r="DT3517" s="24"/>
      <c r="DU3517" s="24"/>
    </row>
    <row r="3518" spans="1:125" s="8" customFormat="1" ht="108" x14ac:dyDescent="0.2">
      <c r="A3518" s="77">
        <v>41577</v>
      </c>
      <c r="B3518" s="84" t="s">
        <v>2772</v>
      </c>
      <c r="C3518" s="84" t="s">
        <v>2672</v>
      </c>
      <c r="D3518" s="75" t="s">
        <v>2882</v>
      </c>
      <c r="E3518" s="75" t="str">
        <f>VLOOKUP(B3518&amp;C3518,Divipola!$C$2:$F$1138,4,FALSE)</f>
        <v>25290</v>
      </c>
      <c r="F3518" s="89"/>
      <c r="G3518" s="89"/>
      <c r="H3518" s="89"/>
      <c r="I3518" s="89">
        <v>5</v>
      </c>
      <c r="J3518" s="89">
        <v>1</v>
      </c>
      <c r="K3518" s="89"/>
      <c r="L3518" s="89">
        <v>1</v>
      </c>
      <c r="M3518" s="89"/>
      <c r="N3518" s="89"/>
      <c r="O3518" s="89"/>
      <c r="P3518" s="89"/>
      <c r="Q3518" s="89"/>
      <c r="R3518" s="89"/>
      <c r="S3518" s="89"/>
      <c r="T3518" s="89"/>
      <c r="U3518" s="89"/>
      <c r="V3518" s="89"/>
      <c r="W3518" s="96">
        <v>0</v>
      </c>
      <c r="X3518" s="71">
        <f>CU3518</f>
        <v>0</v>
      </c>
      <c r="Y3518" s="71">
        <f>CY3518</f>
        <v>0</v>
      </c>
      <c r="Z3518" s="71">
        <f>DA3518+DC3518+DE3518</f>
        <v>0</v>
      </c>
      <c r="AA3518" s="71">
        <f>CW3518</f>
        <v>0</v>
      </c>
      <c r="AB3518" s="71"/>
      <c r="AC3518" s="71">
        <v>0</v>
      </c>
      <c r="AD3518" s="71">
        <f>W3518+X3518+Y3518+Z3518+AA3518+AB3518+AC3518</f>
        <v>0</v>
      </c>
      <c r="AE3518" s="72">
        <v>0</v>
      </c>
      <c r="AF3518" s="5"/>
      <c r="AG3518" s="6"/>
      <c r="AH3518" s="27"/>
      <c r="AI3518" s="44"/>
      <c r="AJ3518" s="26"/>
      <c r="AK3518" s="5"/>
      <c r="AL3518" s="274" t="s">
        <v>6522</v>
      </c>
      <c r="AM3518" s="76"/>
      <c r="AN3518" s="76"/>
      <c r="AO3518" s="76"/>
      <c r="AP3518" s="76"/>
      <c r="AQ3518" s="76"/>
      <c r="AR3518" s="76"/>
      <c r="AS3518" s="76"/>
      <c r="AT3518" s="76"/>
      <c r="AU3518" s="76"/>
      <c r="AV3518" s="76"/>
      <c r="AW3518" s="76"/>
      <c r="AX3518" s="76">
        <f>+AW3518*600000</f>
        <v>0</v>
      </c>
      <c r="AY3518" s="76"/>
      <c r="AZ3518" s="76">
        <f>+AY3518*70000</f>
        <v>0</v>
      </c>
      <c r="BA3518" s="76"/>
      <c r="BB3518" s="76"/>
      <c r="BC3518" s="76"/>
      <c r="BD3518" s="76">
        <f>+BC3518*30000</f>
        <v>0</v>
      </c>
      <c r="BE3518" s="76"/>
      <c r="BF3518" s="76"/>
      <c r="BG3518" s="76"/>
      <c r="BH3518" s="76"/>
      <c r="BI3518" s="76"/>
      <c r="BJ3518" s="76"/>
      <c r="BK3518" s="76"/>
      <c r="BL3518" s="76">
        <f>+BK3518*31500</f>
        <v>0</v>
      </c>
      <c r="BM3518" s="76"/>
      <c r="BN3518" s="76"/>
      <c r="BO3518" s="76"/>
      <c r="BP3518" s="76"/>
      <c r="BQ3518" s="76"/>
      <c r="BR3518" s="76"/>
      <c r="BS3518" s="76"/>
      <c r="BT3518" s="76"/>
      <c r="BU3518" s="76"/>
      <c r="BV3518" s="76"/>
      <c r="BW3518" s="76"/>
      <c r="BX3518" s="76"/>
      <c r="BY3518" s="76"/>
      <c r="BZ3518" s="76"/>
      <c r="CA3518" s="76"/>
      <c r="CB3518" s="76"/>
      <c r="CC3518" s="76"/>
      <c r="CD3518" s="76"/>
      <c r="CE3518" s="76"/>
      <c r="CF3518" s="76">
        <f>+CE3518*28000</f>
        <v>0</v>
      </c>
      <c r="CG3518" s="76"/>
      <c r="CH3518" s="76">
        <f>+CG3518*22500</f>
        <v>0</v>
      </c>
      <c r="CI3518" s="76"/>
      <c r="CJ3518" s="76">
        <f>+CI3518*26000</f>
        <v>0</v>
      </c>
      <c r="CK3518" s="76"/>
      <c r="CL3518" s="76"/>
      <c r="CM3518" s="76"/>
      <c r="CN3518" s="76">
        <f>+CM3518*22000</f>
        <v>0</v>
      </c>
      <c r="CO3518" s="76"/>
      <c r="CP3518" s="76">
        <f>+CO3518*46000</f>
        <v>0</v>
      </c>
      <c r="CQ3518" s="76"/>
      <c r="CR3518" s="76">
        <f>+CQ3518*49000</f>
        <v>0</v>
      </c>
      <c r="CS3518" s="76"/>
      <c r="CT3518" s="76"/>
      <c r="CU3518" s="56">
        <f>AN3518+AP3518+AR3518+AT3518+AV3518+AX3518+AZ3518+BB3518+BD3518+BF3518+BH3518+BJ3518+BL3518+BN3518+BP3518+BR3518+BT3518+BV3518+BX3518+BZ3518+CB3518+CD3518+CF3518+CH3518+CJ3518+CL3518+CN3518+CP3518+CR3518+CT3518</f>
        <v>0</v>
      </c>
      <c r="CV3518" s="76"/>
      <c r="CW3518" s="76">
        <f>+CV3518*1100</f>
        <v>0</v>
      </c>
      <c r="CX3518" s="76"/>
      <c r="CY3518" s="76">
        <f>+CX3518*106250</f>
        <v>0</v>
      </c>
      <c r="CZ3518" s="76"/>
      <c r="DA3518" s="76">
        <f>+CZ3518*34500</f>
        <v>0</v>
      </c>
      <c r="DB3518" s="76"/>
      <c r="DC3518" s="76">
        <f>+DB3518*25000</f>
        <v>0</v>
      </c>
      <c r="DD3518" s="219"/>
      <c r="DE3518" s="219"/>
      <c r="DF3518" s="166"/>
      <c r="DG3518" s="116"/>
      <c r="DH3518" s="117"/>
      <c r="DI3518" s="24"/>
      <c r="DJ3518" s="24"/>
      <c r="DK3518" s="24"/>
      <c r="DL3518" s="24"/>
      <c r="DM3518" s="24"/>
      <c r="DN3518" s="24"/>
      <c r="DO3518" s="24"/>
      <c r="DP3518" s="24"/>
      <c r="DQ3518" s="24"/>
      <c r="DR3518" s="24"/>
      <c r="DS3518" s="24"/>
      <c r="DT3518" s="24"/>
      <c r="DU3518" s="24"/>
    </row>
    <row r="3519" spans="1:125" s="8" customFormat="1" ht="180" x14ac:dyDescent="0.2">
      <c r="A3519" s="77">
        <v>41577</v>
      </c>
      <c r="B3519" s="78" t="s">
        <v>2811</v>
      </c>
      <c r="C3519" s="75" t="s">
        <v>2061</v>
      </c>
      <c r="D3519" s="351" t="s">
        <v>3205</v>
      </c>
      <c r="E3519" s="75" t="str">
        <f>VLOOKUP(B3519&amp;C3519,Divipola!$C$2:$F$1138,4,FALSE)</f>
        <v>52788</v>
      </c>
      <c r="F3519" s="87"/>
      <c r="G3519" s="87">
        <v>1</v>
      </c>
      <c r="H3519" s="87"/>
      <c r="I3519" s="87">
        <v>50</v>
      </c>
      <c r="J3519" s="87">
        <v>10</v>
      </c>
      <c r="K3519" s="87"/>
      <c r="L3519" s="87">
        <v>10</v>
      </c>
      <c r="M3519" s="87"/>
      <c r="N3519" s="87"/>
      <c r="O3519" s="87">
        <v>4</v>
      </c>
      <c r="P3519" s="87"/>
      <c r="Q3519" s="87"/>
      <c r="R3519" s="87"/>
      <c r="S3519" s="87"/>
      <c r="T3519" s="87"/>
      <c r="U3519" s="87"/>
      <c r="V3519" s="89"/>
      <c r="W3519" s="96">
        <v>0</v>
      </c>
      <c r="X3519" s="71">
        <f>CU3519</f>
        <v>0</v>
      </c>
      <c r="Y3519" s="71">
        <f>CY3519</f>
        <v>0</v>
      </c>
      <c r="Z3519" s="71">
        <f>DA3519+DC3519+DE3519</f>
        <v>0</v>
      </c>
      <c r="AA3519" s="71">
        <f>CW3519</f>
        <v>0</v>
      </c>
      <c r="AB3519" s="71"/>
      <c r="AC3519" s="71">
        <v>0</v>
      </c>
      <c r="AD3519" s="71">
        <f>W3519+X3519+Y3519+Z3519+AA3519+AB3519+AC3519</f>
        <v>0</v>
      </c>
      <c r="AE3519" s="72">
        <v>0</v>
      </c>
      <c r="AF3519" s="5"/>
      <c r="AG3519" s="6"/>
      <c r="AH3519" s="27"/>
      <c r="AI3519" s="44"/>
      <c r="AJ3519" s="26"/>
      <c r="AK3519" s="5"/>
      <c r="AL3519" s="276" t="s">
        <v>6523</v>
      </c>
      <c r="AM3519" s="76"/>
      <c r="AN3519" s="76"/>
      <c r="AO3519" s="76"/>
      <c r="AP3519" s="76"/>
      <c r="AQ3519" s="76"/>
      <c r="AR3519" s="76"/>
      <c r="AS3519" s="76"/>
      <c r="AT3519" s="76"/>
      <c r="AU3519" s="76"/>
      <c r="AV3519" s="76"/>
      <c r="AW3519" s="76"/>
      <c r="AX3519" s="76">
        <f>+AW3519*600000</f>
        <v>0</v>
      </c>
      <c r="AY3519" s="76"/>
      <c r="AZ3519" s="76">
        <f>+AY3519*70000</f>
        <v>0</v>
      </c>
      <c r="BA3519" s="76"/>
      <c r="BB3519" s="76"/>
      <c r="BC3519" s="76"/>
      <c r="BD3519" s="76">
        <f>+BC3519*30000</f>
        <v>0</v>
      </c>
      <c r="BE3519" s="76"/>
      <c r="BF3519" s="76"/>
      <c r="BG3519" s="76"/>
      <c r="BH3519" s="76"/>
      <c r="BI3519" s="76"/>
      <c r="BJ3519" s="76"/>
      <c r="BK3519" s="76"/>
      <c r="BL3519" s="76">
        <f>+BK3519*31500</f>
        <v>0</v>
      </c>
      <c r="BM3519" s="76"/>
      <c r="BN3519" s="76"/>
      <c r="BO3519" s="76"/>
      <c r="BP3519" s="76"/>
      <c r="BQ3519" s="76"/>
      <c r="BR3519" s="76"/>
      <c r="BS3519" s="76"/>
      <c r="BT3519" s="76"/>
      <c r="BU3519" s="76"/>
      <c r="BV3519" s="76"/>
      <c r="BW3519" s="76"/>
      <c r="BX3519" s="76"/>
      <c r="BY3519" s="76"/>
      <c r="BZ3519" s="76"/>
      <c r="CA3519" s="76"/>
      <c r="CB3519" s="76"/>
      <c r="CC3519" s="76"/>
      <c r="CD3519" s="76"/>
      <c r="CE3519" s="76"/>
      <c r="CF3519" s="76">
        <f>+CE3519*28000</f>
        <v>0</v>
      </c>
      <c r="CG3519" s="76"/>
      <c r="CH3519" s="76">
        <f>+CG3519*22500</f>
        <v>0</v>
      </c>
      <c r="CI3519" s="76"/>
      <c r="CJ3519" s="76">
        <f>+CI3519*26000</f>
        <v>0</v>
      </c>
      <c r="CK3519" s="76"/>
      <c r="CL3519" s="76"/>
      <c r="CM3519" s="76"/>
      <c r="CN3519" s="76">
        <f>+CM3519*22000</f>
        <v>0</v>
      </c>
      <c r="CO3519" s="76"/>
      <c r="CP3519" s="76">
        <f>+CO3519*46000</f>
        <v>0</v>
      </c>
      <c r="CQ3519" s="76"/>
      <c r="CR3519" s="76">
        <f>+CQ3519*49000</f>
        <v>0</v>
      </c>
      <c r="CS3519" s="76"/>
      <c r="CT3519" s="76"/>
      <c r="CU3519" s="56">
        <f>AN3519+AP3519+AR3519+AT3519+AV3519+AX3519+AZ3519+BB3519+BD3519+BF3519+BH3519+BJ3519+BL3519+BN3519+BP3519+BR3519+BT3519+BV3519+BX3519+BZ3519+CB3519+CD3519+CF3519+CH3519+CJ3519+CL3519+CN3519+CP3519+CR3519+CT3519</f>
        <v>0</v>
      </c>
      <c r="CV3519" s="76"/>
      <c r="CW3519" s="76">
        <f>+CV3519*1100</f>
        <v>0</v>
      </c>
      <c r="CX3519" s="76"/>
      <c r="CY3519" s="76">
        <f>+CX3519*106250</f>
        <v>0</v>
      </c>
      <c r="CZ3519" s="76"/>
      <c r="DA3519" s="76">
        <f>+CZ3519*34500</f>
        <v>0</v>
      </c>
      <c r="DB3519" s="76"/>
      <c r="DC3519" s="76">
        <f>+DB3519*25000</f>
        <v>0</v>
      </c>
      <c r="DD3519" s="219"/>
      <c r="DE3519" s="219"/>
      <c r="DF3519" s="166"/>
      <c r="DG3519" s="116"/>
      <c r="DH3519" s="117"/>
      <c r="DI3519" s="24"/>
      <c r="DJ3519" s="24"/>
      <c r="DK3519" s="24"/>
      <c r="DL3519" s="24"/>
      <c r="DM3519" s="24"/>
      <c r="DN3519" s="24"/>
      <c r="DO3519" s="24"/>
      <c r="DP3519" s="24"/>
      <c r="DQ3519" s="24"/>
      <c r="DR3519" s="24"/>
      <c r="DS3519" s="24"/>
      <c r="DT3519" s="24"/>
      <c r="DU3519" s="24"/>
    </row>
    <row r="3520" spans="1:125" s="8" customFormat="1" ht="96" x14ac:dyDescent="0.2">
      <c r="A3520" s="353">
        <v>41577</v>
      </c>
      <c r="B3520" s="352" t="s">
        <v>2851</v>
      </c>
      <c r="C3520" s="354" t="s">
        <v>1361</v>
      </c>
      <c r="D3520" s="354" t="s">
        <v>3051</v>
      </c>
      <c r="E3520" s="75" t="str">
        <f>VLOOKUP(B3520&amp;C3520,Divipola!$C$2:$F$1138,4,FALSE)</f>
        <v>76377</v>
      </c>
      <c r="F3520" s="87"/>
      <c r="G3520" s="87"/>
      <c r="H3520" s="87"/>
      <c r="I3520" s="87"/>
      <c r="J3520" s="87"/>
      <c r="K3520" s="87"/>
      <c r="L3520" s="87"/>
      <c r="M3520" s="87"/>
      <c r="N3520" s="87">
        <v>1</v>
      </c>
      <c r="O3520" s="87"/>
      <c r="P3520" s="87"/>
      <c r="Q3520" s="87"/>
      <c r="R3520" s="87"/>
      <c r="S3520" s="87"/>
      <c r="T3520" s="87"/>
      <c r="U3520" s="88"/>
      <c r="V3520" s="89"/>
      <c r="W3520" s="96">
        <v>0</v>
      </c>
      <c r="X3520" s="71">
        <f>CU3520</f>
        <v>0</v>
      </c>
      <c r="Y3520" s="71">
        <f>CY3520</f>
        <v>0</v>
      </c>
      <c r="Z3520" s="71">
        <f>DA3520+DC3520+DE3520</f>
        <v>0</v>
      </c>
      <c r="AA3520" s="71">
        <f>CW3520</f>
        <v>0</v>
      </c>
      <c r="AB3520" s="71"/>
      <c r="AC3520" s="71">
        <v>0</v>
      </c>
      <c r="AD3520" s="71">
        <f>W3520+X3520+Y3520+Z3520+AA3520+AB3520+AC3520</f>
        <v>0</v>
      </c>
      <c r="AE3520" s="72">
        <v>0</v>
      </c>
      <c r="AF3520" s="5"/>
      <c r="AG3520" s="6"/>
      <c r="AH3520" s="27" t="s">
        <v>3390</v>
      </c>
      <c r="AI3520" s="44" t="s">
        <v>3393</v>
      </c>
      <c r="AJ3520" s="26"/>
      <c r="AK3520" s="5" t="s">
        <v>4242</v>
      </c>
      <c r="AL3520" s="268" t="s">
        <v>6539</v>
      </c>
      <c r="AM3520" s="76"/>
      <c r="AN3520" s="76"/>
      <c r="AO3520" s="76"/>
      <c r="AP3520" s="76"/>
      <c r="AQ3520" s="76"/>
      <c r="AR3520" s="76"/>
      <c r="AS3520" s="76"/>
      <c r="AT3520" s="76"/>
      <c r="AU3520" s="76"/>
      <c r="AV3520" s="76"/>
      <c r="AW3520" s="76"/>
      <c r="AX3520" s="76">
        <f>+AW3520*600000</f>
        <v>0</v>
      </c>
      <c r="AY3520" s="76"/>
      <c r="AZ3520" s="76">
        <f>+AY3520*70000</f>
        <v>0</v>
      </c>
      <c r="BA3520" s="76"/>
      <c r="BB3520" s="76"/>
      <c r="BC3520" s="76"/>
      <c r="BD3520" s="76">
        <f>+BC3520*30000</f>
        <v>0</v>
      </c>
      <c r="BE3520" s="76"/>
      <c r="BF3520" s="76"/>
      <c r="BG3520" s="76"/>
      <c r="BH3520" s="76"/>
      <c r="BI3520" s="76"/>
      <c r="BJ3520" s="76"/>
      <c r="BK3520" s="76"/>
      <c r="BL3520" s="76">
        <f>+BK3520*31500</f>
        <v>0</v>
      </c>
      <c r="BM3520" s="76"/>
      <c r="BN3520" s="76"/>
      <c r="BO3520" s="76"/>
      <c r="BP3520" s="76"/>
      <c r="BQ3520" s="76"/>
      <c r="BR3520" s="76"/>
      <c r="BS3520" s="76"/>
      <c r="BT3520" s="76"/>
      <c r="BU3520" s="76"/>
      <c r="BV3520" s="76"/>
      <c r="BW3520" s="76"/>
      <c r="BX3520" s="76"/>
      <c r="BY3520" s="76"/>
      <c r="BZ3520" s="76"/>
      <c r="CA3520" s="76"/>
      <c r="CB3520" s="76"/>
      <c r="CC3520" s="76"/>
      <c r="CD3520" s="76"/>
      <c r="CE3520" s="76"/>
      <c r="CF3520" s="76">
        <f>+CE3520*28000</f>
        <v>0</v>
      </c>
      <c r="CG3520" s="76"/>
      <c r="CH3520" s="76">
        <f>+CG3520*22500</f>
        <v>0</v>
      </c>
      <c r="CI3520" s="76"/>
      <c r="CJ3520" s="76">
        <f>+CI3520*26000</f>
        <v>0</v>
      </c>
      <c r="CK3520" s="76"/>
      <c r="CL3520" s="76"/>
      <c r="CM3520" s="76"/>
      <c r="CN3520" s="76">
        <f>+CM3520*22000</f>
        <v>0</v>
      </c>
      <c r="CO3520" s="76"/>
      <c r="CP3520" s="76">
        <f>+CO3520*46000</f>
        <v>0</v>
      </c>
      <c r="CQ3520" s="76"/>
      <c r="CR3520" s="76">
        <f>+CQ3520*49000</f>
        <v>0</v>
      </c>
      <c r="CS3520" s="76"/>
      <c r="CT3520" s="76"/>
      <c r="CU3520" s="56">
        <f>AN3520+AP3520+AR3520+AT3520+AV3520+AX3520+AZ3520+BB3520+BD3520+BF3520+BH3520+BJ3520+BL3520+BN3520+BP3520+BR3520+BT3520+BV3520+BX3520+BZ3520+CB3520+CD3520+CF3520+CH3520+CJ3520+CL3520+CN3520+CP3520+CR3520+CT3520</f>
        <v>0</v>
      </c>
      <c r="CV3520" s="76"/>
      <c r="CW3520" s="76">
        <f>+CV3520*1100</f>
        <v>0</v>
      </c>
      <c r="CX3520" s="76"/>
      <c r="CY3520" s="76">
        <f>+CX3520*106250</f>
        <v>0</v>
      </c>
      <c r="CZ3520" s="76"/>
      <c r="DA3520" s="76">
        <f>+CZ3520*34500</f>
        <v>0</v>
      </c>
      <c r="DB3520" s="76"/>
      <c r="DC3520" s="76">
        <f>+DB3520*25000</f>
        <v>0</v>
      </c>
      <c r="DD3520" s="219"/>
      <c r="DE3520" s="219"/>
      <c r="DF3520" s="166"/>
      <c r="DG3520" s="116"/>
      <c r="DH3520" s="117"/>
      <c r="DI3520" s="24"/>
      <c r="DJ3520" s="24"/>
      <c r="DK3520" s="24"/>
      <c r="DL3520" s="24"/>
      <c r="DM3520" s="24"/>
      <c r="DN3520" s="24"/>
      <c r="DO3520" s="24"/>
      <c r="DP3520" s="24"/>
      <c r="DQ3520" s="24"/>
      <c r="DR3520" s="24"/>
      <c r="DS3520" s="24"/>
      <c r="DT3520" s="24"/>
      <c r="DU3520" s="24"/>
    </row>
    <row r="3521" spans="1:125" s="8" customFormat="1" ht="22.5" x14ac:dyDescent="0.2">
      <c r="A3521" s="77">
        <v>41577</v>
      </c>
      <c r="B3521" s="352" t="s">
        <v>2880</v>
      </c>
      <c r="C3521" s="231" t="s">
        <v>496</v>
      </c>
      <c r="D3521" s="354" t="s">
        <v>3051</v>
      </c>
      <c r="E3521" s="75" t="str">
        <f>VLOOKUP(B3521&amp;C3521,Divipola!$C$2:$F$1138,4,FALSE)</f>
        <v>54128</v>
      </c>
      <c r="F3521" s="61"/>
      <c r="G3521" s="61"/>
      <c r="H3521" s="61"/>
      <c r="I3521" s="61"/>
      <c r="J3521" s="61"/>
      <c r="K3521" s="61"/>
      <c r="L3521" s="61"/>
      <c r="M3521" s="61"/>
      <c r="N3521" s="61"/>
      <c r="O3521" s="61"/>
      <c r="P3521" s="61"/>
      <c r="Q3521" s="61"/>
      <c r="R3521" s="61"/>
      <c r="S3521" s="61"/>
      <c r="T3521" s="61"/>
      <c r="U3521" s="61"/>
      <c r="V3521" s="7"/>
      <c r="W3521" s="96">
        <v>0</v>
      </c>
      <c r="X3521" s="71">
        <f>CU3521</f>
        <v>0</v>
      </c>
      <c r="Y3521" s="71">
        <f>CY3521</f>
        <v>0</v>
      </c>
      <c r="Z3521" s="71">
        <f>DA3521+DC3521+DE3521</f>
        <v>50178647.799999997</v>
      </c>
      <c r="AA3521" s="71">
        <f>CW3521</f>
        <v>0</v>
      </c>
      <c r="AB3521" s="71"/>
      <c r="AC3521" s="71">
        <v>0</v>
      </c>
      <c r="AD3521" s="71">
        <f>W3521+X3521+Y3521+Z3521+AA3521+AB3521+AC3521</f>
        <v>50178647.799999997</v>
      </c>
      <c r="AE3521" s="72">
        <v>0</v>
      </c>
      <c r="AF3521" s="5"/>
      <c r="AG3521" s="6"/>
      <c r="AH3521" s="27"/>
      <c r="AI3521" s="44"/>
      <c r="AJ3521" s="26"/>
      <c r="AK3521" s="5"/>
      <c r="AL3521" s="9"/>
      <c r="AM3521" s="76"/>
      <c r="AN3521" s="76"/>
      <c r="AO3521" s="76"/>
      <c r="AP3521" s="76"/>
      <c r="AQ3521" s="76"/>
      <c r="AR3521" s="76"/>
      <c r="AS3521" s="76"/>
      <c r="AT3521" s="76"/>
      <c r="AU3521" s="76"/>
      <c r="AV3521" s="76"/>
      <c r="AW3521" s="76"/>
      <c r="AX3521" s="76">
        <f>+AW3521*600000</f>
        <v>0</v>
      </c>
      <c r="AY3521" s="76"/>
      <c r="AZ3521" s="76">
        <f>+AY3521*70000</f>
        <v>0</v>
      </c>
      <c r="BA3521" s="76"/>
      <c r="BB3521" s="76"/>
      <c r="BC3521" s="76"/>
      <c r="BD3521" s="76">
        <f>+BC3521*30000</f>
        <v>0</v>
      </c>
      <c r="BE3521" s="76"/>
      <c r="BF3521" s="76"/>
      <c r="BG3521" s="76"/>
      <c r="BH3521" s="76"/>
      <c r="BI3521" s="76"/>
      <c r="BJ3521" s="76"/>
      <c r="BK3521" s="76"/>
      <c r="BL3521" s="76">
        <f>+BK3521*31500</f>
        <v>0</v>
      </c>
      <c r="BM3521" s="76"/>
      <c r="BN3521" s="76"/>
      <c r="BO3521" s="76"/>
      <c r="BP3521" s="76"/>
      <c r="BQ3521" s="76"/>
      <c r="BR3521" s="76"/>
      <c r="BS3521" s="76"/>
      <c r="BT3521" s="76"/>
      <c r="BU3521" s="76"/>
      <c r="BV3521" s="76"/>
      <c r="BW3521" s="76"/>
      <c r="BX3521" s="76"/>
      <c r="BY3521" s="76"/>
      <c r="BZ3521" s="76"/>
      <c r="CA3521" s="76"/>
      <c r="CB3521" s="76"/>
      <c r="CC3521" s="76"/>
      <c r="CD3521" s="76"/>
      <c r="CE3521" s="76"/>
      <c r="CF3521" s="76">
        <f>+CE3521*28000</f>
        <v>0</v>
      </c>
      <c r="CG3521" s="76"/>
      <c r="CH3521" s="76">
        <f>+CG3521*22500</f>
        <v>0</v>
      </c>
      <c r="CI3521" s="76"/>
      <c r="CJ3521" s="76">
        <f>+CI3521*26000</f>
        <v>0</v>
      </c>
      <c r="CK3521" s="76"/>
      <c r="CL3521" s="76"/>
      <c r="CM3521" s="76"/>
      <c r="CN3521" s="76">
        <f>+CM3521*22000</f>
        <v>0</v>
      </c>
      <c r="CO3521" s="76"/>
      <c r="CP3521" s="76">
        <f>+CO3521*46000</f>
        <v>0</v>
      </c>
      <c r="CQ3521" s="76"/>
      <c r="CR3521" s="76">
        <f>+CQ3521*49000</f>
        <v>0</v>
      </c>
      <c r="CS3521" s="76"/>
      <c r="CT3521" s="76"/>
      <c r="CU3521" s="56">
        <f>AN3521+AP3521+AR3521+AT3521+AV3521+AX3521+AZ3521+BB3521+BD3521+BF3521+BH3521+BJ3521+BL3521+BN3521+BP3521+BR3521+BT3521+BV3521+BX3521+BZ3521+CB3521+CD3521+CF3521+CH3521+CJ3521+CL3521+CN3521+CP3521+CR3521+CT3521</f>
        <v>0</v>
      </c>
      <c r="CV3521" s="76"/>
      <c r="CW3521" s="76">
        <f>+CV3521*1100</f>
        <v>0</v>
      </c>
      <c r="CX3521" s="76"/>
      <c r="CY3521" s="76">
        <f>+CX3521*106250</f>
        <v>0</v>
      </c>
      <c r="CZ3521" s="76"/>
      <c r="DA3521" s="76">
        <f>+CZ3521*34500</f>
        <v>0</v>
      </c>
      <c r="DB3521" s="76"/>
      <c r="DC3521" s="76">
        <f>+DB3521*25000</f>
        <v>0</v>
      </c>
      <c r="DD3521" s="231" t="s">
        <v>6587</v>
      </c>
      <c r="DE3521" s="223">
        <v>50178647.799999997</v>
      </c>
      <c r="DF3521" s="166"/>
      <c r="DG3521" s="134" t="s">
        <v>6941</v>
      </c>
      <c r="DH3521" s="117"/>
      <c r="DI3521" s="24"/>
      <c r="DJ3521" s="24"/>
      <c r="DK3521" s="24"/>
      <c r="DL3521" s="24"/>
      <c r="DM3521" s="24"/>
      <c r="DN3521" s="24"/>
      <c r="DO3521" s="24"/>
      <c r="DP3521" s="24"/>
      <c r="DQ3521" s="24"/>
      <c r="DR3521" s="24"/>
      <c r="DS3521" s="24"/>
      <c r="DT3521" s="24"/>
      <c r="DU3521" s="24"/>
    </row>
    <row r="3522" spans="1:125" s="8" customFormat="1" ht="84" x14ac:dyDescent="0.2">
      <c r="A3522" s="77">
        <v>41578</v>
      </c>
      <c r="B3522" s="78" t="s">
        <v>2854</v>
      </c>
      <c r="C3522" s="75" t="s">
        <v>514</v>
      </c>
      <c r="D3522" s="75" t="s">
        <v>3051</v>
      </c>
      <c r="E3522" s="75" t="str">
        <f>VLOOKUP(B3522&amp;C3522,Divipola!$C$2:$F$1138,4,FALSE)</f>
        <v>19821</v>
      </c>
      <c r="F3522" s="87"/>
      <c r="G3522" s="87"/>
      <c r="H3522" s="87"/>
      <c r="I3522" s="87"/>
      <c r="J3522" s="87"/>
      <c r="K3522" s="87"/>
      <c r="L3522" s="87"/>
      <c r="M3522" s="87">
        <v>1</v>
      </c>
      <c r="N3522" s="87"/>
      <c r="O3522" s="87"/>
      <c r="P3522" s="87"/>
      <c r="Q3522" s="87"/>
      <c r="R3522" s="87"/>
      <c r="S3522" s="87"/>
      <c r="T3522" s="87"/>
      <c r="U3522" s="88"/>
      <c r="V3522" s="89"/>
      <c r="W3522" s="96">
        <v>0</v>
      </c>
      <c r="X3522" s="71">
        <f>CU3522</f>
        <v>0</v>
      </c>
      <c r="Y3522" s="71">
        <f>CY3522</f>
        <v>0</v>
      </c>
      <c r="Z3522" s="71">
        <f>DA3522+DC3522+DE3522</f>
        <v>0</v>
      </c>
      <c r="AA3522" s="71">
        <f>CW3522</f>
        <v>0</v>
      </c>
      <c r="AB3522" s="71"/>
      <c r="AC3522" s="71">
        <v>0</v>
      </c>
      <c r="AD3522" s="71">
        <f>W3522+X3522+Y3522+Z3522+AA3522+AB3522+AC3522</f>
        <v>0</v>
      </c>
      <c r="AE3522" s="72">
        <v>0</v>
      </c>
      <c r="AF3522" s="5"/>
      <c r="AG3522" s="6"/>
      <c r="AH3522" s="27"/>
      <c r="AI3522" s="44"/>
      <c r="AJ3522" s="26"/>
      <c r="AK3522" s="5"/>
      <c r="AL3522" s="268" t="s">
        <v>6515</v>
      </c>
      <c r="AM3522" s="76"/>
      <c r="AN3522" s="76"/>
      <c r="AO3522" s="76"/>
      <c r="AP3522" s="76"/>
      <c r="AQ3522" s="76"/>
      <c r="AR3522" s="76"/>
      <c r="AS3522" s="76"/>
      <c r="AT3522" s="76"/>
      <c r="AU3522" s="76"/>
      <c r="AV3522" s="76"/>
      <c r="AW3522" s="76"/>
      <c r="AX3522" s="76">
        <f>+AW3522*600000</f>
        <v>0</v>
      </c>
      <c r="AY3522" s="76"/>
      <c r="AZ3522" s="76">
        <f>+AY3522*70000</f>
        <v>0</v>
      </c>
      <c r="BA3522" s="76"/>
      <c r="BB3522" s="76"/>
      <c r="BC3522" s="76"/>
      <c r="BD3522" s="76">
        <f>+BC3522*30000</f>
        <v>0</v>
      </c>
      <c r="BE3522" s="76"/>
      <c r="BF3522" s="76"/>
      <c r="BG3522" s="76"/>
      <c r="BH3522" s="76"/>
      <c r="BI3522" s="76"/>
      <c r="BJ3522" s="76"/>
      <c r="BK3522" s="76"/>
      <c r="BL3522" s="76">
        <f>+BK3522*31500</f>
        <v>0</v>
      </c>
      <c r="BM3522" s="76"/>
      <c r="BN3522" s="76"/>
      <c r="BO3522" s="76"/>
      <c r="BP3522" s="76"/>
      <c r="BQ3522" s="76"/>
      <c r="BR3522" s="76"/>
      <c r="BS3522" s="76"/>
      <c r="BT3522" s="76"/>
      <c r="BU3522" s="76"/>
      <c r="BV3522" s="76"/>
      <c r="BW3522" s="76"/>
      <c r="BX3522" s="76"/>
      <c r="BY3522" s="76"/>
      <c r="BZ3522" s="76"/>
      <c r="CA3522" s="76"/>
      <c r="CB3522" s="76"/>
      <c r="CC3522" s="76"/>
      <c r="CD3522" s="76"/>
      <c r="CE3522" s="76"/>
      <c r="CF3522" s="76">
        <f>+CE3522*28000</f>
        <v>0</v>
      </c>
      <c r="CG3522" s="76"/>
      <c r="CH3522" s="76">
        <f>+CG3522*22500</f>
        <v>0</v>
      </c>
      <c r="CI3522" s="76"/>
      <c r="CJ3522" s="76">
        <f>+CI3522*26000</f>
        <v>0</v>
      </c>
      <c r="CK3522" s="76"/>
      <c r="CL3522" s="76"/>
      <c r="CM3522" s="76"/>
      <c r="CN3522" s="76">
        <f>+CM3522*22000</f>
        <v>0</v>
      </c>
      <c r="CO3522" s="76"/>
      <c r="CP3522" s="76">
        <f>+CO3522*46000</f>
        <v>0</v>
      </c>
      <c r="CQ3522" s="76"/>
      <c r="CR3522" s="76">
        <f>+CQ3522*49000</f>
        <v>0</v>
      </c>
      <c r="CS3522" s="76"/>
      <c r="CT3522" s="76"/>
      <c r="CU3522" s="56">
        <f>AN3522+AP3522+AR3522+AT3522+AV3522+AX3522+AZ3522+BB3522+BD3522+BF3522+BH3522+BJ3522+BL3522+BN3522+BP3522+BR3522+BT3522+BV3522+BX3522+BZ3522+CB3522+CD3522+CF3522+CH3522+CJ3522+CL3522+CN3522+CP3522+CR3522+CT3522</f>
        <v>0</v>
      </c>
      <c r="CV3522" s="76"/>
      <c r="CW3522" s="76">
        <f>+CV3522*1100</f>
        <v>0</v>
      </c>
      <c r="CX3522" s="76"/>
      <c r="CY3522" s="76">
        <f>+CX3522*106250</f>
        <v>0</v>
      </c>
      <c r="CZ3522" s="76"/>
      <c r="DA3522" s="76">
        <f>+CZ3522*34500</f>
        <v>0</v>
      </c>
      <c r="DB3522" s="76"/>
      <c r="DC3522" s="76">
        <f>+DB3522*25000</f>
        <v>0</v>
      </c>
      <c r="DD3522" s="219"/>
      <c r="DE3522" s="219"/>
      <c r="DF3522" s="166"/>
      <c r="DG3522" s="116"/>
      <c r="DH3522" s="117"/>
      <c r="DI3522" s="24"/>
      <c r="DJ3522" s="24"/>
      <c r="DK3522" s="24"/>
      <c r="DL3522" s="24"/>
      <c r="DM3522" s="24"/>
      <c r="DN3522" s="24"/>
      <c r="DO3522" s="24"/>
      <c r="DP3522" s="24"/>
      <c r="DQ3522" s="24"/>
      <c r="DR3522" s="24"/>
      <c r="DS3522" s="24"/>
      <c r="DT3522" s="24"/>
      <c r="DU3522" s="24"/>
    </row>
    <row r="3523" spans="1:125" s="8" customFormat="1" ht="60" x14ac:dyDescent="0.2">
      <c r="A3523" s="353">
        <v>41578</v>
      </c>
      <c r="B3523" s="352" t="s">
        <v>2854</v>
      </c>
      <c r="C3523" s="354" t="s">
        <v>1326</v>
      </c>
      <c r="D3523" s="354" t="s">
        <v>3051</v>
      </c>
      <c r="E3523" s="75" t="str">
        <f>VLOOKUP(B3523&amp;C3523,Divipola!$C$2:$F$1138,4,FALSE)</f>
        <v>19785</v>
      </c>
      <c r="F3523" s="87"/>
      <c r="G3523" s="87"/>
      <c r="H3523" s="87"/>
      <c r="I3523" s="87">
        <v>350</v>
      </c>
      <c r="J3523" s="87">
        <v>70</v>
      </c>
      <c r="K3523" s="87"/>
      <c r="L3523" s="87">
        <v>70</v>
      </c>
      <c r="M3523" s="87"/>
      <c r="N3523" s="87"/>
      <c r="O3523" s="87"/>
      <c r="P3523" s="87"/>
      <c r="Q3523" s="87"/>
      <c r="R3523" s="87"/>
      <c r="S3523" s="87"/>
      <c r="T3523" s="87"/>
      <c r="U3523" s="88"/>
      <c r="V3523" s="89"/>
      <c r="W3523" s="96">
        <v>0</v>
      </c>
      <c r="X3523" s="71">
        <f>CU3523</f>
        <v>0</v>
      </c>
      <c r="Y3523" s="71">
        <f>CY3523</f>
        <v>0</v>
      </c>
      <c r="Z3523" s="71">
        <f>DA3523+DC3523+DE3523</f>
        <v>0</v>
      </c>
      <c r="AA3523" s="71">
        <f>CW3523</f>
        <v>0</v>
      </c>
      <c r="AB3523" s="71"/>
      <c r="AC3523" s="71">
        <v>0</v>
      </c>
      <c r="AD3523" s="71">
        <f>W3523+X3523+Y3523+Z3523+AA3523+AB3523+AC3523</f>
        <v>0</v>
      </c>
      <c r="AE3523" s="72">
        <v>0</v>
      </c>
      <c r="AF3523" s="5"/>
      <c r="AG3523" s="6"/>
      <c r="AH3523" s="27"/>
      <c r="AI3523" s="44"/>
      <c r="AJ3523" s="26"/>
      <c r="AK3523" s="5"/>
      <c r="AL3523" s="82" t="s">
        <v>6516</v>
      </c>
      <c r="AM3523" s="76"/>
      <c r="AN3523" s="76"/>
      <c r="AO3523" s="76"/>
      <c r="AP3523" s="76"/>
      <c r="AQ3523" s="76"/>
      <c r="AR3523" s="76"/>
      <c r="AS3523" s="76"/>
      <c r="AT3523" s="76"/>
      <c r="AU3523" s="76"/>
      <c r="AV3523" s="76"/>
      <c r="AW3523" s="76"/>
      <c r="AX3523" s="76">
        <f>+AW3523*600000</f>
        <v>0</v>
      </c>
      <c r="AY3523" s="76"/>
      <c r="AZ3523" s="76">
        <f>+AY3523*70000</f>
        <v>0</v>
      </c>
      <c r="BA3523" s="76"/>
      <c r="BB3523" s="76"/>
      <c r="BC3523" s="76"/>
      <c r="BD3523" s="76">
        <f>+BC3523*30000</f>
        <v>0</v>
      </c>
      <c r="BE3523" s="76"/>
      <c r="BF3523" s="76"/>
      <c r="BG3523" s="76"/>
      <c r="BH3523" s="76"/>
      <c r="BI3523" s="76"/>
      <c r="BJ3523" s="76"/>
      <c r="BK3523" s="76"/>
      <c r="BL3523" s="76">
        <f>+BK3523*31500</f>
        <v>0</v>
      </c>
      <c r="BM3523" s="76"/>
      <c r="BN3523" s="76"/>
      <c r="BO3523" s="76"/>
      <c r="BP3523" s="76"/>
      <c r="BQ3523" s="76"/>
      <c r="BR3523" s="76"/>
      <c r="BS3523" s="76"/>
      <c r="BT3523" s="76"/>
      <c r="BU3523" s="76"/>
      <c r="BV3523" s="76"/>
      <c r="BW3523" s="76"/>
      <c r="BX3523" s="76"/>
      <c r="BY3523" s="76"/>
      <c r="BZ3523" s="76"/>
      <c r="CA3523" s="76"/>
      <c r="CB3523" s="76"/>
      <c r="CC3523" s="76"/>
      <c r="CD3523" s="76"/>
      <c r="CE3523" s="76"/>
      <c r="CF3523" s="76">
        <f>+CE3523*28000</f>
        <v>0</v>
      </c>
      <c r="CG3523" s="76"/>
      <c r="CH3523" s="76">
        <f>+CG3523*22500</f>
        <v>0</v>
      </c>
      <c r="CI3523" s="76"/>
      <c r="CJ3523" s="76">
        <f>+CI3523*26000</f>
        <v>0</v>
      </c>
      <c r="CK3523" s="76"/>
      <c r="CL3523" s="76"/>
      <c r="CM3523" s="76"/>
      <c r="CN3523" s="76">
        <f>+CM3523*22000</f>
        <v>0</v>
      </c>
      <c r="CO3523" s="76"/>
      <c r="CP3523" s="76">
        <f>+CO3523*46000</f>
        <v>0</v>
      </c>
      <c r="CQ3523" s="76"/>
      <c r="CR3523" s="76">
        <f>+CQ3523*49000</f>
        <v>0</v>
      </c>
      <c r="CS3523" s="76"/>
      <c r="CT3523" s="76"/>
      <c r="CU3523" s="56">
        <f>AN3523+AP3523+AR3523+AT3523+AV3523+AX3523+AZ3523+BB3523+BD3523+BF3523+BH3523+BJ3523+BL3523+BN3523+BP3523+BR3523+BT3523+BV3523+BX3523+BZ3523+CB3523+CD3523+CF3523+CH3523+CJ3523+CL3523+CN3523+CP3523+CR3523+CT3523</f>
        <v>0</v>
      </c>
      <c r="CV3523" s="76"/>
      <c r="CW3523" s="76">
        <f>+CV3523*1100</f>
        <v>0</v>
      </c>
      <c r="CX3523" s="76"/>
      <c r="CY3523" s="76">
        <f>+CX3523*106250</f>
        <v>0</v>
      </c>
      <c r="CZ3523" s="76"/>
      <c r="DA3523" s="76">
        <f>+CZ3523*34500</f>
        <v>0</v>
      </c>
      <c r="DB3523" s="76"/>
      <c r="DC3523" s="76">
        <f>+DB3523*25000</f>
        <v>0</v>
      </c>
      <c r="DD3523" s="219"/>
      <c r="DE3523" s="219"/>
      <c r="DF3523" s="166"/>
      <c r="DG3523" s="116"/>
      <c r="DH3523" s="117"/>
      <c r="DI3523" s="24"/>
      <c r="DJ3523" s="24"/>
      <c r="DK3523" s="24"/>
      <c r="DL3523" s="24"/>
      <c r="DM3523" s="24"/>
      <c r="DN3523" s="24"/>
      <c r="DO3523" s="24"/>
      <c r="DP3523" s="24"/>
      <c r="DQ3523" s="24"/>
      <c r="DR3523" s="24"/>
      <c r="DS3523" s="24"/>
      <c r="DT3523" s="24"/>
      <c r="DU3523" s="24"/>
    </row>
    <row r="3524" spans="1:125" s="8" customFormat="1" ht="120" x14ac:dyDescent="0.2">
      <c r="A3524" s="77">
        <v>41578</v>
      </c>
      <c r="B3524" s="78" t="s">
        <v>2772</v>
      </c>
      <c r="C3524" s="75" t="s">
        <v>2030</v>
      </c>
      <c r="D3524" s="75" t="s">
        <v>3205</v>
      </c>
      <c r="E3524" s="75" t="str">
        <f>VLOOKUP(B3524&amp;C3524,Divipola!$C$2:$F$1138,4,FALSE)</f>
        <v>25754</v>
      </c>
      <c r="F3524" s="87"/>
      <c r="G3524" s="87"/>
      <c r="H3524" s="87"/>
      <c r="I3524" s="87">
        <v>70</v>
      </c>
      <c r="J3524" s="87">
        <v>12</v>
      </c>
      <c r="K3524" s="87">
        <v>3</v>
      </c>
      <c r="L3524" s="87">
        <v>9</v>
      </c>
      <c r="M3524" s="87"/>
      <c r="N3524" s="87"/>
      <c r="O3524" s="87"/>
      <c r="P3524" s="87"/>
      <c r="Q3524" s="87"/>
      <c r="R3524" s="87"/>
      <c r="S3524" s="87"/>
      <c r="T3524" s="87"/>
      <c r="U3524" s="88"/>
      <c r="V3524" s="89"/>
      <c r="W3524" s="96">
        <v>0</v>
      </c>
      <c r="X3524" s="71">
        <f>CU3524</f>
        <v>0</v>
      </c>
      <c r="Y3524" s="71">
        <f>CY3524</f>
        <v>0</v>
      </c>
      <c r="Z3524" s="71">
        <f>DA3524+DC3524+DE3524</f>
        <v>0</v>
      </c>
      <c r="AA3524" s="71">
        <f>CW3524</f>
        <v>0</v>
      </c>
      <c r="AB3524" s="71"/>
      <c r="AC3524" s="71">
        <v>0</v>
      </c>
      <c r="AD3524" s="71">
        <f>W3524+X3524+Y3524+Z3524+AA3524+AB3524+AC3524</f>
        <v>0</v>
      </c>
      <c r="AE3524" s="72">
        <v>0</v>
      </c>
      <c r="AF3524" s="5"/>
      <c r="AG3524" s="6"/>
      <c r="AH3524" s="27"/>
      <c r="AI3524" s="44"/>
      <c r="AJ3524" s="26"/>
      <c r="AK3524" s="5"/>
      <c r="AL3524" s="274" t="s">
        <v>6524</v>
      </c>
      <c r="AM3524" s="76"/>
      <c r="AN3524" s="76"/>
      <c r="AO3524" s="76"/>
      <c r="AP3524" s="76"/>
      <c r="AQ3524" s="76"/>
      <c r="AR3524" s="76"/>
      <c r="AS3524" s="76"/>
      <c r="AT3524" s="76"/>
      <c r="AU3524" s="76"/>
      <c r="AV3524" s="76"/>
      <c r="AW3524" s="76"/>
      <c r="AX3524" s="76">
        <f>+AW3524*600000</f>
        <v>0</v>
      </c>
      <c r="AY3524" s="76"/>
      <c r="AZ3524" s="76">
        <f>+AY3524*70000</f>
        <v>0</v>
      </c>
      <c r="BA3524" s="76"/>
      <c r="BB3524" s="76"/>
      <c r="BC3524" s="76"/>
      <c r="BD3524" s="76">
        <f>+BC3524*30000</f>
        <v>0</v>
      </c>
      <c r="BE3524" s="76"/>
      <c r="BF3524" s="76"/>
      <c r="BG3524" s="76"/>
      <c r="BH3524" s="76"/>
      <c r="BI3524" s="76"/>
      <c r="BJ3524" s="76"/>
      <c r="BK3524" s="76"/>
      <c r="BL3524" s="76">
        <f>+BK3524*31500</f>
        <v>0</v>
      </c>
      <c r="BM3524" s="76"/>
      <c r="BN3524" s="76"/>
      <c r="BO3524" s="76"/>
      <c r="BP3524" s="76"/>
      <c r="BQ3524" s="76"/>
      <c r="BR3524" s="76"/>
      <c r="BS3524" s="76"/>
      <c r="BT3524" s="76"/>
      <c r="BU3524" s="76"/>
      <c r="BV3524" s="76"/>
      <c r="BW3524" s="76"/>
      <c r="BX3524" s="76"/>
      <c r="BY3524" s="76"/>
      <c r="BZ3524" s="76"/>
      <c r="CA3524" s="76"/>
      <c r="CB3524" s="76"/>
      <c r="CC3524" s="76"/>
      <c r="CD3524" s="76"/>
      <c r="CE3524" s="76"/>
      <c r="CF3524" s="76">
        <f>+CE3524*28000</f>
        <v>0</v>
      </c>
      <c r="CG3524" s="76"/>
      <c r="CH3524" s="76">
        <f>+CG3524*22500</f>
        <v>0</v>
      </c>
      <c r="CI3524" s="76"/>
      <c r="CJ3524" s="76">
        <f>+CI3524*26000</f>
        <v>0</v>
      </c>
      <c r="CK3524" s="76"/>
      <c r="CL3524" s="76"/>
      <c r="CM3524" s="76"/>
      <c r="CN3524" s="76">
        <f>+CM3524*22000</f>
        <v>0</v>
      </c>
      <c r="CO3524" s="76"/>
      <c r="CP3524" s="76">
        <f>+CO3524*46000</f>
        <v>0</v>
      </c>
      <c r="CQ3524" s="76"/>
      <c r="CR3524" s="76">
        <f>+CQ3524*49000</f>
        <v>0</v>
      </c>
      <c r="CS3524" s="76"/>
      <c r="CT3524" s="76"/>
      <c r="CU3524" s="56">
        <f>AN3524+AP3524+AR3524+AT3524+AV3524+AX3524+AZ3524+BB3524+BD3524+BF3524+BH3524+BJ3524+BL3524+BN3524+BP3524+BR3524+BT3524+BV3524+BX3524+BZ3524+CB3524+CD3524+CF3524+CH3524+CJ3524+CL3524+CN3524+CP3524+CR3524+CT3524</f>
        <v>0</v>
      </c>
      <c r="CV3524" s="76"/>
      <c r="CW3524" s="76">
        <f>+CV3524*1100</f>
        <v>0</v>
      </c>
      <c r="CX3524" s="76"/>
      <c r="CY3524" s="76">
        <f>+CX3524*106250</f>
        <v>0</v>
      </c>
      <c r="CZ3524" s="76"/>
      <c r="DA3524" s="76">
        <f>+CZ3524*34500</f>
        <v>0</v>
      </c>
      <c r="DB3524" s="76"/>
      <c r="DC3524" s="76">
        <f>+DB3524*25000</f>
        <v>0</v>
      </c>
      <c r="DD3524" s="219"/>
      <c r="DE3524" s="219"/>
      <c r="DF3524" s="166"/>
      <c r="DG3524" s="116"/>
      <c r="DH3524" s="117"/>
      <c r="DI3524" s="24"/>
      <c r="DJ3524" s="24"/>
      <c r="DK3524" s="24"/>
      <c r="DL3524" s="24"/>
      <c r="DM3524" s="24"/>
      <c r="DN3524" s="24"/>
      <c r="DO3524" s="24"/>
      <c r="DP3524" s="24"/>
      <c r="DQ3524" s="24"/>
      <c r="DR3524" s="24"/>
      <c r="DS3524" s="24"/>
      <c r="DT3524" s="24"/>
      <c r="DU3524" s="24"/>
    </row>
    <row r="3525" spans="1:125" s="8" customFormat="1" ht="60" x14ac:dyDescent="0.2">
      <c r="A3525" s="77">
        <v>41578</v>
      </c>
      <c r="B3525" s="352" t="s">
        <v>2661</v>
      </c>
      <c r="C3525" s="354" t="s">
        <v>2838</v>
      </c>
      <c r="D3525" s="354" t="s">
        <v>2882</v>
      </c>
      <c r="E3525" s="75" t="str">
        <f>VLOOKUP(B3525&amp;C3525,Divipola!$C$2:$F$1138,4,FALSE)</f>
        <v>41132</v>
      </c>
      <c r="F3525" s="87"/>
      <c r="G3525" s="87"/>
      <c r="H3525" s="87"/>
      <c r="I3525" s="87">
        <v>20</v>
      </c>
      <c r="J3525" s="87">
        <v>4</v>
      </c>
      <c r="K3525" s="87"/>
      <c r="L3525" s="87">
        <v>4</v>
      </c>
      <c r="M3525" s="87"/>
      <c r="N3525" s="87"/>
      <c r="O3525" s="87"/>
      <c r="P3525" s="87"/>
      <c r="Q3525" s="87"/>
      <c r="R3525" s="87"/>
      <c r="S3525" s="87"/>
      <c r="T3525" s="87"/>
      <c r="U3525" s="88"/>
      <c r="V3525" s="89"/>
      <c r="W3525" s="96">
        <v>0</v>
      </c>
      <c r="X3525" s="71">
        <f>CU3525</f>
        <v>0</v>
      </c>
      <c r="Y3525" s="71">
        <f>CY3525</f>
        <v>0</v>
      </c>
      <c r="Z3525" s="71">
        <f>DA3525+DC3525+DE3525</f>
        <v>0</v>
      </c>
      <c r="AA3525" s="71">
        <f>CW3525</f>
        <v>0</v>
      </c>
      <c r="AB3525" s="71"/>
      <c r="AC3525" s="71">
        <v>0</v>
      </c>
      <c r="AD3525" s="71">
        <f>W3525+X3525+Y3525+Z3525+AA3525+AB3525+AC3525</f>
        <v>0</v>
      </c>
      <c r="AE3525" s="72">
        <v>0</v>
      </c>
      <c r="AF3525" s="5"/>
      <c r="AG3525" s="6"/>
      <c r="AH3525" s="27"/>
      <c r="AI3525" s="44"/>
      <c r="AJ3525" s="26"/>
      <c r="AK3525" s="5"/>
      <c r="AL3525" s="82" t="s">
        <v>6517</v>
      </c>
      <c r="AM3525" s="76"/>
      <c r="AN3525" s="76"/>
      <c r="AO3525" s="76"/>
      <c r="AP3525" s="76"/>
      <c r="AQ3525" s="76"/>
      <c r="AR3525" s="76"/>
      <c r="AS3525" s="76"/>
      <c r="AT3525" s="76"/>
      <c r="AU3525" s="76"/>
      <c r="AV3525" s="76"/>
      <c r="AW3525" s="76"/>
      <c r="AX3525" s="76">
        <f>+AW3525*600000</f>
        <v>0</v>
      </c>
      <c r="AY3525" s="76"/>
      <c r="AZ3525" s="76">
        <f>+AY3525*70000</f>
        <v>0</v>
      </c>
      <c r="BA3525" s="76"/>
      <c r="BB3525" s="76"/>
      <c r="BC3525" s="76"/>
      <c r="BD3525" s="76">
        <f>+BC3525*30000</f>
        <v>0</v>
      </c>
      <c r="BE3525" s="76"/>
      <c r="BF3525" s="76"/>
      <c r="BG3525" s="76"/>
      <c r="BH3525" s="76"/>
      <c r="BI3525" s="76"/>
      <c r="BJ3525" s="76"/>
      <c r="BK3525" s="76"/>
      <c r="BL3525" s="76">
        <f>+BK3525*31500</f>
        <v>0</v>
      </c>
      <c r="BM3525" s="76"/>
      <c r="BN3525" s="76"/>
      <c r="BO3525" s="76"/>
      <c r="BP3525" s="76"/>
      <c r="BQ3525" s="76"/>
      <c r="BR3525" s="76"/>
      <c r="BS3525" s="76"/>
      <c r="BT3525" s="76"/>
      <c r="BU3525" s="76"/>
      <c r="BV3525" s="76"/>
      <c r="BW3525" s="76"/>
      <c r="BX3525" s="76"/>
      <c r="BY3525" s="76"/>
      <c r="BZ3525" s="76"/>
      <c r="CA3525" s="76"/>
      <c r="CB3525" s="76"/>
      <c r="CC3525" s="76"/>
      <c r="CD3525" s="76"/>
      <c r="CE3525" s="76"/>
      <c r="CF3525" s="76">
        <f>+CE3525*28000</f>
        <v>0</v>
      </c>
      <c r="CG3525" s="76"/>
      <c r="CH3525" s="76">
        <f>+CG3525*22500</f>
        <v>0</v>
      </c>
      <c r="CI3525" s="76"/>
      <c r="CJ3525" s="76">
        <f>+CI3525*26000</f>
        <v>0</v>
      </c>
      <c r="CK3525" s="76"/>
      <c r="CL3525" s="76"/>
      <c r="CM3525" s="76"/>
      <c r="CN3525" s="76">
        <f>+CM3525*22000</f>
        <v>0</v>
      </c>
      <c r="CO3525" s="76"/>
      <c r="CP3525" s="76">
        <f>+CO3525*46000</f>
        <v>0</v>
      </c>
      <c r="CQ3525" s="76"/>
      <c r="CR3525" s="76">
        <f>+CQ3525*49000</f>
        <v>0</v>
      </c>
      <c r="CS3525" s="76"/>
      <c r="CT3525" s="76"/>
      <c r="CU3525" s="56">
        <f>AN3525+AP3525+AR3525+AT3525+AV3525+AX3525+AZ3525+BB3525+BD3525+BF3525+BH3525+BJ3525+BL3525+BN3525+BP3525+BR3525+BT3525+BV3525+BX3525+BZ3525+CB3525+CD3525+CF3525+CH3525+CJ3525+CL3525+CN3525+CP3525+CR3525+CT3525</f>
        <v>0</v>
      </c>
      <c r="CV3525" s="76"/>
      <c r="CW3525" s="76">
        <f>+CV3525*1100</f>
        <v>0</v>
      </c>
      <c r="CX3525" s="76"/>
      <c r="CY3525" s="76">
        <f>+CX3525*106250</f>
        <v>0</v>
      </c>
      <c r="CZ3525" s="76"/>
      <c r="DA3525" s="76">
        <f>+CZ3525*34500</f>
        <v>0</v>
      </c>
      <c r="DB3525" s="76"/>
      <c r="DC3525" s="76">
        <f>+DB3525*25000</f>
        <v>0</v>
      </c>
      <c r="DD3525" s="219"/>
      <c r="DE3525" s="219"/>
      <c r="DF3525" s="166"/>
      <c r="DG3525" s="116"/>
      <c r="DH3525" s="117"/>
      <c r="DI3525" s="24"/>
      <c r="DJ3525" s="24"/>
      <c r="DK3525" s="24"/>
      <c r="DL3525" s="24"/>
      <c r="DM3525" s="24"/>
      <c r="DN3525" s="24"/>
      <c r="DO3525" s="24"/>
      <c r="DP3525" s="24"/>
      <c r="DQ3525" s="24"/>
      <c r="DR3525" s="24"/>
      <c r="DS3525" s="24"/>
      <c r="DT3525" s="24"/>
      <c r="DU3525" s="24"/>
    </row>
    <row r="3526" spans="1:125" s="8" customFormat="1" ht="48" x14ac:dyDescent="0.2">
      <c r="A3526" s="77">
        <v>41578</v>
      </c>
      <c r="B3526" s="352" t="s">
        <v>2661</v>
      </c>
      <c r="C3526" s="354" t="s">
        <v>2082</v>
      </c>
      <c r="D3526" s="354" t="s">
        <v>2882</v>
      </c>
      <c r="E3526" s="75" t="str">
        <f>VLOOKUP(B3526&amp;C3526,Divipola!$C$2:$F$1138,4,FALSE)</f>
        <v>41357</v>
      </c>
      <c r="F3526" s="87"/>
      <c r="G3526" s="87"/>
      <c r="H3526" s="87"/>
      <c r="I3526" s="87">
        <v>5</v>
      </c>
      <c r="J3526" s="87">
        <v>1</v>
      </c>
      <c r="K3526" s="87"/>
      <c r="L3526" s="87">
        <v>1</v>
      </c>
      <c r="M3526" s="87"/>
      <c r="N3526" s="87"/>
      <c r="O3526" s="87"/>
      <c r="P3526" s="87"/>
      <c r="Q3526" s="87"/>
      <c r="R3526" s="87"/>
      <c r="S3526" s="87"/>
      <c r="T3526" s="87"/>
      <c r="U3526" s="88"/>
      <c r="V3526" s="89"/>
      <c r="W3526" s="96">
        <v>0</v>
      </c>
      <c r="X3526" s="71">
        <f>CU3526</f>
        <v>0</v>
      </c>
      <c r="Y3526" s="71">
        <f>CY3526</f>
        <v>0</v>
      </c>
      <c r="Z3526" s="71">
        <f>DA3526+DC3526+DE3526</f>
        <v>0</v>
      </c>
      <c r="AA3526" s="71">
        <f>CW3526</f>
        <v>0</v>
      </c>
      <c r="AB3526" s="71"/>
      <c r="AC3526" s="71">
        <v>0</v>
      </c>
      <c r="AD3526" s="71">
        <f>W3526+X3526+Y3526+Z3526+AA3526+AB3526+AC3526</f>
        <v>0</v>
      </c>
      <c r="AE3526" s="72">
        <v>0</v>
      </c>
      <c r="AF3526" s="5"/>
      <c r="AG3526" s="6"/>
      <c r="AH3526" s="27"/>
      <c r="AI3526" s="44"/>
      <c r="AJ3526" s="26"/>
      <c r="AK3526" s="5"/>
      <c r="AL3526" s="82" t="s">
        <v>6518</v>
      </c>
      <c r="AM3526" s="76"/>
      <c r="AN3526" s="76"/>
      <c r="AO3526" s="76"/>
      <c r="AP3526" s="76"/>
      <c r="AQ3526" s="76"/>
      <c r="AR3526" s="76"/>
      <c r="AS3526" s="76"/>
      <c r="AT3526" s="76"/>
      <c r="AU3526" s="76"/>
      <c r="AV3526" s="76"/>
      <c r="AW3526" s="76"/>
      <c r="AX3526" s="76">
        <f>+AW3526*600000</f>
        <v>0</v>
      </c>
      <c r="AY3526" s="76"/>
      <c r="AZ3526" s="76">
        <f>+AY3526*70000</f>
        <v>0</v>
      </c>
      <c r="BA3526" s="76"/>
      <c r="BB3526" s="76"/>
      <c r="BC3526" s="76"/>
      <c r="BD3526" s="76">
        <f>+BC3526*30000</f>
        <v>0</v>
      </c>
      <c r="BE3526" s="76"/>
      <c r="BF3526" s="76"/>
      <c r="BG3526" s="76"/>
      <c r="BH3526" s="76"/>
      <c r="BI3526" s="76"/>
      <c r="BJ3526" s="76"/>
      <c r="BK3526" s="76"/>
      <c r="BL3526" s="76">
        <f>+BK3526*31500</f>
        <v>0</v>
      </c>
      <c r="BM3526" s="76"/>
      <c r="BN3526" s="76"/>
      <c r="BO3526" s="76"/>
      <c r="BP3526" s="76"/>
      <c r="BQ3526" s="76"/>
      <c r="BR3526" s="76"/>
      <c r="BS3526" s="76"/>
      <c r="BT3526" s="76"/>
      <c r="BU3526" s="76"/>
      <c r="BV3526" s="76"/>
      <c r="BW3526" s="76"/>
      <c r="BX3526" s="76"/>
      <c r="BY3526" s="76"/>
      <c r="BZ3526" s="76"/>
      <c r="CA3526" s="76"/>
      <c r="CB3526" s="76"/>
      <c r="CC3526" s="76"/>
      <c r="CD3526" s="76"/>
      <c r="CE3526" s="76"/>
      <c r="CF3526" s="76">
        <f>+CE3526*28000</f>
        <v>0</v>
      </c>
      <c r="CG3526" s="76"/>
      <c r="CH3526" s="76">
        <f>+CG3526*22500</f>
        <v>0</v>
      </c>
      <c r="CI3526" s="76"/>
      <c r="CJ3526" s="76">
        <f>+CI3526*26000</f>
        <v>0</v>
      </c>
      <c r="CK3526" s="76"/>
      <c r="CL3526" s="76"/>
      <c r="CM3526" s="76"/>
      <c r="CN3526" s="76">
        <f>+CM3526*22000</f>
        <v>0</v>
      </c>
      <c r="CO3526" s="76"/>
      <c r="CP3526" s="76">
        <f>+CO3526*46000</f>
        <v>0</v>
      </c>
      <c r="CQ3526" s="76"/>
      <c r="CR3526" s="76">
        <f>+CQ3526*49000</f>
        <v>0</v>
      </c>
      <c r="CS3526" s="76"/>
      <c r="CT3526" s="76"/>
      <c r="CU3526" s="56">
        <f>AN3526+AP3526+AR3526+AT3526+AV3526+AX3526+AZ3526+BB3526+BD3526+BF3526+BH3526+BJ3526+BL3526+BN3526+BP3526+BR3526+BT3526+BV3526+BX3526+BZ3526+CB3526+CD3526+CF3526+CH3526+CJ3526+CL3526+CN3526+CP3526+CR3526+CT3526</f>
        <v>0</v>
      </c>
      <c r="CV3526" s="76"/>
      <c r="CW3526" s="76">
        <f>+CV3526*1100</f>
        <v>0</v>
      </c>
      <c r="CX3526" s="76"/>
      <c r="CY3526" s="76">
        <f>+CX3526*106250</f>
        <v>0</v>
      </c>
      <c r="CZ3526" s="76"/>
      <c r="DA3526" s="76">
        <f>+CZ3526*34500</f>
        <v>0</v>
      </c>
      <c r="DB3526" s="76"/>
      <c r="DC3526" s="76">
        <f>+DB3526*25000</f>
        <v>0</v>
      </c>
      <c r="DD3526" s="219"/>
      <c r="DE3526" s="219"/>
      <c r="DF3526" s="166"/>
      <c r="DG3526" s="116"/>
      <c r="DH3526" s="117"/>
      <c r="DI3526" s="24"/>
      <c r="DJ3526" s="24"/>
      <c r="DK3526" s="24"/>
      <c r="DL3526" s="24"/>
      <c r="DM3526" s="24"/>
      <c r="DN3526" s="24"/>
      <c r="DO3526" s="24"/>
      <c r="DP3526" s="24"/>
      <c r="DQ3526" s="24"/>
      <c r="DR3526" s="24"/>
      <c r="DS3526" s="24"/>
      <c r="DT3526" s="24"/>
      <c r="DU3526" s="24"/>
    </row>
    <row r="3527" spans="1:125" s="8" customFormat="1" ht="48" x14ac:dyDescent="0.2">
      <c r="A3527" s="77">
        <v>41578</v>
      </c>
      <c r="B3527" s="352" t="s">
        <v>2851</v>
      </c>
      <c r="C3527" s="354" t="s">
        <v>107</v>
      </c>
      <c r="D3527" s="354" t="s">
        <v>3205</v>
      </c>
      <c r="E3527" s="75" t="str">
        <f>VLOOKUP(B3527&amp;C3527,Divipola!$C$2:$F$1138,4,FALSE)</f>
        <v>76606</v>
      </c>
      <c r="F3527" s="87"/>
      <c r="G3527" s="87"/>
      <c r="H3527" s="87"/>
      <c r="I3527" s="87"/>
      <c r="J3527" s="87"/>
      <c r="K3527" s="87"/>
      <c r="L3527" s="87"/>
      <c r="M3527" s="87"/>
      <c r="N3527" s="87">
        <v>1</v>
      </c>
      <c r="O3527" s="87"/>
      <c r="P3527" s="87"/>
      <c r="Q3527" s="87"/>
      <c r="R3527" s="87"/>
      <c r="S3527" s="87"/>
      <c r="T3527" s="87"/>
      <c r="U3527" s="88"/>
      <c r="V3527" s="89"/>
      <c r="W3527" s="96">
        <v>0</v>
      </c>
      <c r="X3527" s="71">
        <f>CU3527</f>
        <v>0</v>
      </c>
      <c r="Y3527" s="71">
        <f>CY3527</f>
        <v>0</v>
      </c>
      <c r="Z3527" s="71">
        <f>DA3527+DC3527+DE3527</f>
        <v>0</v>
      </c>
      <c r="AA3527" s="71">
        <f>CW3527</f>
        <v>0</v>
      </c>
      <c r="AB3527" s="71"/>
      <c r="AC3527" s="71">
        <v>0</v>
      </c>
      <c r="AD3527" s="71">
        <f>W3527+X3527+Y3527+Z3527+AA3527+AB3527+AC3527</f>
        <v>0</v>
      </c>
      <c r="AE3527" s="72">
        <v>0</v>
      </c>
      <c r="AF3527" s="5"/>
      <c r="AG3527" s="6"/>
      <c r="AH3527" s="27"/>
      <c r="AI3527" s="44"/>
      <c r="AJ3527" s="26"/>
      <c r="AK3527" s="5"/>
      <c r="AL3527" s="82" t="s">
        <v>6529</v>
      </c>
      <c r="AM3527" s="76"/>
      <c r="AN3527" s="76"/>
      <c r="AO3527" s="76"/>
      <c r="AP3527" s="76"/>
      <c r="AQ3527" s="76"/>
      <c r="AR3527" s="76"/>
      <c r="AS3527" s="76"/>
      <c r="AT3527" s="76"/>
      <c r="AU3527" s="76"/>
      <c r="AV3527" s="76"/>
      <c r="AW3527" s="76"/>
      <c r="AX3527" s="76">
        <f>+AW3527*600000</f>
        <v>0</v>
      </c>
      <c r="AY3527" s="76"/>
      <c r="AZ3527" s="76">
        <f>+AY3527*70000</f>
        <v>0</v>
      </c>
      <c r="BA3527" s="76"/>
      <c r="BB3527" s="76"/>
      <c r="BC3527" s="76"/>
      <c r="BD3527" s="76">
        <f>+BC3527*30000</f>
        <v>0</v>
      </c>
      <c r="BE3527" s="76"/>
      <c r="BF3527" s="76"/>
      <c r="BG3527" s="76"/>
      <c r="BH3527" s="76"/>
      <c r="BI3527" s="76"/>
      <c r="BJ3527" s="76"/>
      <c r="BK3527" s="76"/>
      <c r="BL3527" s="76">
        <f>+BK3527*31500</f>
        <v>0</v>
      </c>
      <c r="BM3527" s="76"/>
      <c r="BN3527" s="76"/>
      <c r="BO3527" s="76"/>
      <c r="BP3527" s="76"/>
      <c r="BQ3527" s="76"/>
      <c r="BR3527" s="76"/>
      <c r="BS3527" s="76"/>
      <c r="BT3527" s="76"/>
      <c r="BU3527" s="76"/>
      <c r="BV3527" s="76"/>
      <c r="BW3527" s="76"/>
      <c r="BX3527" s="76"/>
      <c r="BY3527" s="76"/>
      <c r="BZ3527" s="76"/>
      <c r="CA3527" s="76"/>
      <c r="CB3527" s="76"/>
      <c r="CC3527" s="76"/>
      <c r="CD3527" s="76"/>
      <c r="CE3527" s="76"/>
      <c r="CF3527" s="76">
        <f>+CE3527*28000</f>
        <v>0</v>
      </c>
      <c r="CG3527" s="76"/>
      <c r="CH3527" s="76">
        <f>+CG3527*22500</f>
        <v>0</v>
      </c>
      <c r="CI3527" s="76"/>
      <c r="CJ3527" s="76">
        <f>+CI3527*26000</f>
        <v>0</v>
      </c>
      <c r="CK3527" s="76"/>
      <c r="CL3527" s="76"/>
      <c r="CM3527" s="76"/>
      <c r="CN3527" s="76">
        <f>+CM3527*22000</f>
        <v>0</v>
      </c>
      <c r="CO3527" s="76"/>
      <c r="CP3527" s="76">
        <f>+CO3527*46000</f>
        <v>0</v>
      </c>
      <c r="CQ3527" s="76"/>
      <c r="CR3527" s="76">
        <f>+CQ3527*49000</f>
        <v>0</v>
      </c>
      <c r="CS3527" s="76"/>
      <c r="CT3527" s="76"/>
      <c r="CU3527" s="56">
        <f>AN3527+AP3527+AR3527+AT3527+AV3527+AX3527+AZ3527+BB3527+BD3527+BF3527+BH3527+BJ3527+BL3527+BN3527+BP3527+BR3527+BT3527+BV3527+BX3527+BZ3527+CB3527+CD3527+CF3527+CH3527+CJ3527+CL3527+CN3527+CP3527+CR3527+CT3527</f>
        <v>0</v>
      </c>
      <c r="CV3527" s="76"/>
      <c r="CW3527" s="76">
        <f>+CV3527*1100</f>
        <v>0</v>
      </c>
      <c r="CX3527" s="76"/>
      <c r="CY3527" s="76">
        <f>+CX3527*106250</f>
        <v>0</v>
      </c>
      <c r="CZ3527" s="76"/>
      <c r="DA3527" s="76">
        <f>+CZ3527*34500</f>
        <v>0</v>
      </c>
      <c r="DB3527" s="76"/>
      <c r="DC3527" s="76">
        <f>+DB3527*25000</f>
        <v>0</v>
      </c>
      <c r="DD3527" s="219"/>
      <c r="DE3527" s="219"/>
      <c r="DF3527" s="166"/>
      <c r="DG3527" s="116"/>
      <c r="DH3527" s="117"/>
      <c r="DI3527" s="24"/>
      <c r="DJ3527" s="24"/>
      <c r="DK3527" s="24"/>
      <c r="DL3527" s="24"/>
      <c r="DM3527" s="24"/>
      <c r="DN3527" s="24"/>
      <c r="DO3527" s="24"/>
      <c r="DP3527" s="24"/>
      <c r="DQ3527" s="24"/>
      <c r="DR3527" s="24"/>
      <c r="DS3527" s="24"/>
      <c r="DT3527" s="24"/>
      <c r="DU3527" s="24"/>
    </row>
    <row r="3528" spans="1:125" s="8" customFormat="1" ht="144" x14ac:dyDescent="0.2">
      <c r="A3528" s="77">
        <v>41578</v>
      </c>
      <c r="B3528" s="352" t="s">
        <v>2906</v>
      </c>
      <c r="C3528" s="354" t="s">
        <v>437</v>
      </c>
      <c r="D3528" s="354" t="s">
        <v>3051</v>
      </c>
      <c r="E3528" s="75" t="str">
        <f>VLOOKUP(B3528&amp;C3528,Divipola!$C$2:$F$1138,4,FALSE)</f>
        <v>47288</v>
      </c>
      <c r="F3528" s="87"/>
      <c r="G3528" s="87"/>
      <c r="H3528" s="87"/>
      <c r="I3528" s="87"/>
      <c r="J3528" s="87"/>
      <c r="K3528" s="87"/>
      <c r="L3528" s="87"/>
      <c r="M3528" s="87"/>
      <c r="N3528" s="87"/>
      <c r="O3528" s="87"/>
      <c r="P3528" s="87"/>
      <c r="Q3528" s="87"/>
      <c r="R3528" s="87"/>
      <c r="S3528" s="87"/>
      <c r="T3528" s="87"/>
      <c r="U3528" s="88"/>
      <c r="V3528" s="89"/>
      <c r="W3528" s="96">
        <v>0</v>
      </c>
      <c r="X3528" s="71">
        <f>CU3528</f>
        <v>0</v>
      </c>
      <c r="Y3528" s="71">
        <f>CY3528</f>
        <v>0</v>
      </c>
      <c r="Z3528" s="71">
        <f>DA3528+DC3528+DE3528</f>
        <v>0</v>
      </c>
      <c r="AA3528" s="71">
        <f>CW3528</f>
        <v>0</v>
      </c>
      <c r="AB3528" s="71"/>
      <c r="AC3528" s="71">
        <v>0</v>
      </c>
      <c r="AD3528" s="71">
        <f>W3528+X3528+Y3528+Z3528+AA3528+AB3528+AC3528</f>
        <v>0</v>
      </c>
      <c r="AE3528" s="72">
        <v>0</v>
      </c>
      <c r="AF3528" s="5"/>
      <c r="AG3528" s="6"/>
      <c r="AH3528" s="27"/>
      <c r="AI3528" s="44"/>
      <c r="AJ3528" s="26"/>
      <c r="AK3528" s="5"/>
      <c r="AL3528" s="82" t="s">
        <v>6530</v>
      </c>
      <c r="AM3528" s="76"/>
      <c r="AN3528" s="76"/>
      <c r="AO3528" s="76"/>
      <c r="AP3528" s="76"/>
      <c r="AQ3528" s="76"/>
      <c r="AR3528" s="76"/>
      <c r="AS3528" s="76"/>
      <c r="AT3528" s="76"/>
      <c r="AU3528" s="76"/>
      <c r="AV3528" s="76"/>
      <c r="AW3528" s="76"/>
      <c r="AX3528" s="76">
        <f>+AW3528*600000</f>
        <v>0</v>
      </c>
      <c r="AY3528" s="76"/>
      <c r="AZ3528" s="76">
        <f>+AY3528*70000</f>
        <v>0</v>
      </c>
      <c r="BA3528" s="76"/>
      <c r="BB3528" s="76"/>
      <c r="BC3528" s="76"/>
      <c r="BD3528" s="76">
        <f>+BC3528*30000</f>
        <v>0</v>
      </c>
      <c r="BE3528" s="76"/>
      <c r="BF3528" s="76"/>
      <c r="BG3528" s="76"/>
      <c r="BH3528" s="76"/>
      <c r="BI3528" s="76"/>
      <c r="BJ3528" s="76"/>
      <c r="BK3528" s="76"/>
      <c r="BL3528" s="76">
        <f>+BK3528*31500</f>
        <v>0</v>
      </c>
      <c r="BM3528" s="76"/>
      <c r="BN3528" s="76"/>
      <c r="BO3528" s="76"/>
      <c r="BP3528" s="76"/>
      <c r="BQ3528" s="76"/>
      <c r="BR3528" s="76"/>
      <c r="BS3528" s="76"/>
      <c r="BT3528" s="76"/>
      <c r="BU3528" s="76"/>
      <c r="BV3528" s="76"/>
      <c r="BW3528" s="76"/>
      <c r="BX3528" s="76"/>
      <c r="BY3528" s="76"/>
      <c r="BZ3528" s="76"/>
      <c r="CA3528" s="76"/>
      <c r="CB3528" s="76"/>
      <c r="CC3528" s="76"/>
      <c r="CD3528" s="76"/>
      <c r="CE3528" s="76"/>
      <c r="CF3528" s="76">
        <f>+CE3528*28000</f>
        <v>0</v>
      </c>
      <c r="CG3528" s="76"/>
      <c r="CH3528" s="76">
        <f>+CG3528*22500</f>
        <v>0</v>
      </c>
      <c r="CI3528" s="76"/>
      <c r="CJ3528" s="76">
        <f>+CI3528*26000</f>
        <v>0</v>
      </c>
      <c r="CK3528" s="76"/>
      <c r="CL3528" s="76"/>
      <c r="CM3528" s="76"/>
      <c r="CN3528" s="76">
        <f>+CM3528*22000</f>
        <v>0</v>
      </c>
      <c r="CO3528" s="76"/>
      <c r="CP3528" s="76">
        <f>+CO3528*46000</f>
        <v>0</v>
      </c>
      <c r="CQ3528" s="76"/>
      <c r="CR3528" s="76">
        <f>+CQ3528*49000</f>
        <v>0</v>
      </c>
      <c r="CS3528" s="76"/>
      <c r="CT3528" s="76"/>
      <c r="CU3528" s="56">
        <f>AN3528+AP3528+AR3528+AT3528+AV3528+AX3528+AZ3528+BB3528+BD3528+BF3528+BH3528+BJ3528+BL3528+BN3528+BP3528+BR3528+BT3528+BV3528+BX3528+BZ3528+CB3528+CD3528+CF3528+CH3528+CJ3528+CL3528+CN3528+CP3528+CR3528+CT3528</f>
        <v>0</v>
      </c>
      <c r="CV3528" s="76"/>
      <c r="CW3528" s="76">
        <f>+CV3528*1100</f>
        <v>0</v>
      </c>
      <c r="CX3528" s="76"/>
      <c r="CY3528" s="76">
        <f>+CX3528*106250</f>
        <v>0</v>
      </c>
      <c r="CZ3528" s="76"/>
      <c r="DA3528" s="76">
        <f>+CZ3528*34500</f>
        <v>0</v>
      </c>
      <c r="DB3528" s="76"/>
      <c r="DC3528" s="76">
        <f>+DB3528*25000</f>
        <v>0</v>
      </c>
      <c r="DD3528" s="219"/>
      <c r="DE3528" s="219"/>
      <c r="DF3528" s="166"/>
      <c r="DG3528" s="116"/>
      <c r="DH3528" s="117"/>
      <c r="DI3528" s="24"/>
      <c r="DJ3528" s="24"/>
      <c r="DK3528" s="24"/>
      <c r="DL3528" s="24"/>
      <c r="DM3528" s="24"/>
      <c r="DN3528" s="24"/>
      <c r="DO3528" s="24"/>
      <c r="DP3528" s="24"/>
      <c r="DQ3528" s="24"/>
      <c r="DR3528" s="24"/>
      <c r="DS3528" s="24"/>
      <c r="DT3528" s="24"/>
      <c r="DU3528" s="24"/>
    </row>
    <row r="3529" spans="1:125" s="8" customFormat="1" ht="72" x14ac:dyDescent="0.2">
      <c r="A3529" s="77">
        <v>41578</v>
      </c>
      <c r="B3529" s="75" t="s">
        <v>2772</v>
      </c>
      <c r="C3529" s="75" t="s">
        <v>1095</v>
      </c>
      <c r="D3529" s="75" t="s">
        <v>2859</v>
      </c>
      <c r="E3529" s="75" t="str">
        <f>VLOOKUP(B3529&amp;C3529,Divipola!$C$2:$F$1138,4,FALSE)</f>
        <v>25386</v>
      </c>
      <c r="F3529" s="272"/>
      <c r="G3529" s="272"/>
      <c r="H3529" s="272"/>
      <c r="I3529" s="272"/>
      <c r="J3529" s="272"/>
      <c r="K3529" s="272"/>
      <c r="L3529" s="272"/>
      <c r="M3529" s="272"/>
      <c r="N3529" s="272"/>
      <c r="O3529" s="272"/>
      <c r="P3529" s="272"/>
      <c r="Q3529" s="272"/>
      <c r="R3529" s="272"/>
      <c r="S3529" s="272"/>
      <c r="T3529" s="272"/>
      <c r="U3529" s="272"/>
      <c r="V3529" s="272"/>
      <c r="W3529" s="96">
        <v>0</v>
      </c>
      <c r="X3529" s="71">
        <f>CU3529</f>
        <v>0</v>
      </c>
      <c r="Y3529" s="71">
        <f>CY3529</f>
        <v>0</v>
      </c>
      <c r="Z3529" s="71">
        <f>DA3529+DC3529+DE3529</f>
        <v>0</v>
      </c>
      <c r="AA3529" s="71">
        <f>CW3529</f>
        <v>0</v>
      </c>
      <c r="AB3529" s="71"/>
      <c r="AC3529" s="71">
        <v>0</v>
      </c>
      <c r="AD3529" s="71">
        <f>W3529+X3529+Y3529+Z3529+AA3529+AB3529+AC3529</f>
        <v>0</v>
      </c>
      <c r="AE3529" s="72">
        <v>0</v>
      </c>
      <c r="AF3529" s="5"/>
      <c r="AG3529" s="6"/>
      <c r="AH3529" s="27"/>
      <c r="AI3529" s="44"/>
      <c r="AJ3529" s="26"/>
      <c r="AK3529" s="5"/>
      <c r="AL3529" s="330" t="s">
        <v>6531</v>
      </c>
      <c r="AM3529" s="76"/>
      <c r="AN3529" s="76"/>
      <c r="AO3529" s="76"/>
      <c r="AP3529" s="76"/>
      <c r="AQ3529" s="76"/>
      <c r="AR3529" s="76"/>
      <c r="AS3529" s="76"/>
      <c r="AT3529" s="76"/>
      <c r="AU3529" s="76"/>
      <c r="AV3529" s="76"/>
      <c r="AW3529" s="76"/>
      <c r="AX3529" s="76">
        <f>+AW3529*600000</f>
        <v>0</v>
      </c>
      <c r="AY3529" s="76"/>
      <c r="AZ3529" s="76">
        <f>+AY3529*70000</f>
        <v>0</v>
      </c>
      <c r="BA3529" s="76"/>
      <c r="BB3529" s="76"/>
      <c r="BC3529" s="76"/>
      <c r="BD3529" s="76">
        <f>+BC3529*30000</f>
        <v>0</v>
      </c>
      <c r="BE3529" s="76"/>
      <c r="BF3529" s="76"/>
      <c r="BG3529" s="76"/>
      <c r="BH3529" s="76"/>
      <c r="BI3529" s="76"/>
      <c r="BJ3529" s="76"/>
      <c r="BK3529" s="76"/>
      <c r="BL3529" s="76">
        <f>+BK3529*31500</f>
        <v>0</v>
      </c>
      <c r="BM3529" s="76"/>
      <c r="BN3529" s="76"/>
      <c r="BO3529" s="76"/>
      <c r="BP3529" s="76"/>
      <c r="BQ3529" s="76"/>
      <c r="BR3529" s="76"/>
      <c r="BS3529" s="76"/>
      <c r="BT3529" s="76"/>
      <c r="BU3529" s="76"/>
      <c r="BV3529" s="76"/>
      <c r="BW3529" s="76"/>
      <c r="BX3529" s="76"/>
      <c r="BY3529" s="76"/>
      <c r="BZ3529" s="76"/>
      <c r="CA3529" s="76"/>
      <c r="CB3529" s="76"/>
      <c r="CC3529" s="76"/>
      <c r="CD3529" s="76"/>
      <c r="CE3529" s="76"/>
      <c r="CF3529" s="76">
        <f>+CE3529*28000</f>
        <v>0</v>
      </c>
      <c r="CG3529" s="76"/>
      <c r="CH3529" s="76">
        <f>+CG3529*22500</f>
        <v>0</v>
      </c>
      <c r="CI3529" s="76"/>
      <c r="CJ3529" s="76">
        <f>+CI3529*26000</f>
        <v>0</v>
      </c>
      <c r="CK3529" s="76"/>
      <c r="CL3529" s="76"/>
      <c r="CM3529" s="76"/>
      <c r="CN3529" s="76">
        <f>+CM3529*22000</f>
        <v>0</v>
      </c>
      <c r="CO3529" s="76"/>
      <c r="CP3529" s="76">
        <f>+CO3529*46000</f>
        <v>0</v>
      </c>
      <c r="CQ3529" s="76"/>
      <c r="CR3529" s="76">
        <f>+CQ3529*49000</f>
        <v>0</v>
      </c>
      <c r="CS3529" s="76"/>
      <c r="CT3529" s="76"/>
      <c r="CU3529" s="56">
        <f>AN3529+AP3529+AR3529+AT3529+AV3529+AX3529+AZ3529+BB3529+BD3529+BF3529+BH3529+BJ3529+BL3529+BN3529+BP3529+BR3529+BT3529+BV3529+BX3529+BZ3529+CB3529+CD3529+CF3529+CH3529+CJ3529+CL3529+CN3529+CP3529+CR3529+CT3529</f>
        <v>0</v>
      </c>
      <c r="CV3529" s="76"/>
      <c r="CW3529" s="76">
        <f>+CV3529*1100</f>
        <v>0</v>
      </c>
      <c r="CX3529" s="76"/>
      <c r="CY3529" s="76">
        <f>+CX3529*106250</f>
        <v>0</v>
      </c>
      <c r="CZ3529" s="76"/>
      <c r="DA3529" s="76">
        <f>+CZ3529*34500</f>
        <v>0</v>
      </c>
      <c r="DB3529" s="76"/>
      <c r="DC3529" s="76">
        <f>+DB3529*25000</f>
        <v>0</v>
      </c>
      <c r="DD3529" s="219"/>
      <c r="DE3529" s="219"/>
      <c r="DF3529" s="166"/>
      <c r="DG3529" s="116"/>
      <c r="DH3529" s="117"/>
      <c r="DI3529" s="24"/>
      <c r="DJ3529" s="24"/>
      <c r="DK3529" s="24"/>
      <c r="DL3529" s="24"/>
      <c r="DM3529" s="24"/>
      <c r="DN3529" s="24"/>
      <c r="DO3529" s="24"/>
      <c r="DP3529" s="24"/>
      <c r="DQ3529" s="24"/>
      <c r="DR3529" s="24"/>
      <c r="DS3529" s="24"/>
      <c r="DT3529" s="24"/>
      <c r="DU3529" s="24"/>
    </row>
    <row r="3530" spans="1:125" s="8" customFormat="1" ht="96" x14ac:dyDescent="0.2">
      <c r="A3530" s="5">
        <v>41578</v>
      </c>
      <c r="B3530" s="84" t="s">
        <v>2772</v>
      </c>
      <c r="C3530" s="84" t="s">
        <v>2051</v>
      </c>
      <c r="D3530" s="75" t="s">
        <v>2859</v>
      </c>
      <c r="E3530" s="75" t="str">
        <f>VLOOKUP(B3530&amp;C3530,Divipola!$C$2:$F$1138,4,FALSE)</f>
        <v>25799</v>
      </c>
      <c r="F3530" s="89"/>
      <c r="G3530" s="89"/>
      <c r="H3530" s="89"/>
      <c r="I3530" s="89">
        <v>5</v>
      </c>
      <c r="J3530" s="89">
        <v>1</v>
      </c>
      <c r="K3530" s="89"/>
      <c r="L3530" s="89">
        <v>1</v>
      </c>
      <c r="M3530" s="89"/>
      <c r="N3530" s="89"/>
      <c r="O3530" s="89"/>
      <c r="P3530" s="89"/>
      <c r="Q3530" s="89"/>
      <c r="R3530" s="89"/>
      <c r="S3530" s="89"/>
      <c r="T3530" s="89"/>
      <c r="U3530" s="89"/>
      <c r="V3530" s="89"/>
      <c r="W3530" s="96">
        <v>0</v>
      </c>
      <c r="X3530" s="71">
        <f>CU3530</f>
        <v>0</v>
      </c>
      <c r="Y3530" s="71">
        <f>CY3530</f>
        <v>0</v>
      </c>
      <c r="Z3530" s="71">
        <f>DA3530+DC3530+DE3530</f>
        <v>0</v>
      </c>
      <c r="AA3530" s="71">
        <f>CW3530</f>
        <v>0</v>
      </c>
      <c r="AB3530" s="71"/>
      <c r="AC3530" s="71">
        <v>0</v>
      </c>
      <c r="AD3530" s="71">
        <f>W3530+X3530+Y3530+Z3530+AA3530+AB3530+AC3530</f>
        <v>0</v>
      </c>
      <c r="AE3530" s="72">
        <v>0</v>
      </c>
      <c r="AF3530" s="5"/>
      <c r="AG3530" s="6"/>
      <c r="AH3530" s="27"/>
      <c r="AI3530" s="44"/>
      <c r="AJ3530" s="26"/>
      <c r="AK3530" s="5"/>
      <c r="AL3530" s="268" t="s">
        <v>6543</v>
      </c>
      <c r="AM3530" s="76"/>
      <c r="AN3530" s="76"/>
      <c r="AO3530" s="76"/>
      <c r="AP3530" s="76"/>
      <c r="AQ3530" s="76"/>
      <c r="AR3530" s="76"/>
      <c r="AS3530" s="76"/>
      <c r="AT3530" s="76"/>
      <c r="AU3530" s="76"/>
      <c r="AV3530" s="76"/>
      <c r="AW3530" s="76"/>
      <c r="AX3530" s="76">
        <f>+AW3530*600000</f>
        <v>0</v>
      </c>
      <c r="AY3530" s="76"/>
      <c r="AZ3530" s="76">
        <f>+AY3530*70000</f>
        <v>0</v>
      </c>
      <c r="BA3530" s="76"/>
      <c r="BB3530" s="76"/>
      <c r="BC3530" s="76"/>
      <c r="BD3530" s="76">
        <f>+BC3530*30000</f>
        <v>0</v>
      </c>
      <c r="BE3530" s="76"/>
      <c r="BF3530" s="76"/>
      <c r="BG3530" s="76"/>
      <c r="BH3530" s="76"/>
      <c r="BI3530" s="76"/>
      <c r="BJ3530" s="76"/>
      <c r="BK3530" s="76"/>
      <c r="BL3530" s="76">
        <f>+BK3530*31500</f>
        <v>0</v>
      </c>
      <c r="BM3530" s="76"/>
      <c r="BN3530" s="76"/>
      <c r="BO3530" s="76"/>
      <c r="BP3530" s="76"/>
      <c r="BQ3530" s="76"/>
      <c r="BR3530" s="76"/>
      <c r="BS3530" s="76"/>
      <c r="BT3530" s="76"/>
      <c r="BU3530" s="76"/>
      <c r="BV3530" s="76"/>
      <c r="BW3530" s="76"/>
      <c r="BX3530" s="76"/>
      <c r="BY3530" s="76"/>
      <c r="BZ3530" s="76"/>
      <c r="CA3530" s="76"/>
      <c r="CB3530" s="76"/>
      <c r="CC3530" s="76"/>
      <c r="CD3530" s="76"/>
      <c r="CE3530" s="76"/>
      <c r="CF3530" s="76">
        <f>+CE3530*28000</f>
        <v>0</v>
      </c>
      <c r="CG3530" s="76"/>
      <c r="CH3530" s="76">
        <f>+CG3530*22500</f>
        <v>0</v>
      </c>
      <c r="CI3530" s="76"/>
      <c r="CJ3530" s="76">
        <f>+CI3530*26000</f>
        <v>0</v>
      </c>
      <c r="CK3530" s="76"/>
      <c r="CL3530" s="76"/>
      <c r="CM3530" s="76"/>
      <c r="CN3530" s="76">
        <f>+CM3530*22000</f>
        <v>0</v>
      </c>
      <c r="CO3530" s="76"/>
      <c r="CP3530" s="76">
        <f>+CO3530*46000</f>
        <v>0</v>
      </c>
      <c r="CQ3530" s="76"/>
      <c r="CR3530" s="76">
        <f>+CQ3530*49000</f>
        <v>0</v>
      </c>
      <c r="CS3530" s="76"/>
      <c r="CT3530" s="76"/>
      <c r="CU3530" s="56">
        <f>AN3530+AP3530+AR3530+AT3530+AV3530+AX3530+AZ3530+BB3530+BD3530+BF3530+BH3530+BJ3530+BL3530+BN3530+BP3530+BR3530+BT3530+BV3530+BX3530+BZ3530+CB3530+CD3530+CF3530+CH3530+CJ3530+CL3530+CN3530+CP3530+CR3530+CT3530</f>
        <v>0</v>
      </c>
      <c r="CV3530" s="76"/>
      <c r="CW3530" s="76">
        <f>+CV3530*1100</f>
        <v>0</v>
      </c>
      <c r="CX3530" s="76"/>
      <c r="CY3530" s="76">
        <f>+CX3530*106250</f>
        <v>0</v>
      </c>
      <c r="CZ3530" s="76"/>
      <c r="DA3530" s="76">
        <f>+CZ3530*34500</f>
        <v>0</v>
      </c>
      <c r="DB3530" s="76"/>
      <c r="DC3530" s="76">
        <f>+DB3530*25000</f>
        <v>0</v>
      </c>
      <c r="DD3530" s="219"/>
      <c r="DE3530" s="219"/>
      <c r="DF3530" s="166"/>
      <c r="DG3530" s="116"/>
      <c r="DH3530" s="117"/>
      <c r="DI3530" s="24"/>
      <c r="DJ3530" s="24"/>
      <c r="DK3530" s="24"/>
      <c r="DL3530" s="24"/>
      <c r="DM3530" s="24"/>
      <c r="DN3530" s="24"/>
      <c r="DO3530" s="24"/>
      <c r="DP3530" s="24"/>
      <c r="DQ3530" s="24"/>
      <c r="DR3530" s="24"/>
      <c r="DS3530" s="24"/>
      <c r="DT3530" s="24"/>
      <c r="DU3530" s="24"/>
    </row>
    <row r="3531" spans="1:125" s="8" customFormat="1" ht="48" x14ac:dyDescent="0.2">
      <c r="A3531" s="77">
        <v>41578</v>
      </c>
      <c r="B3531" s="208" t="s">
        <v>2848</v>
      </c>
      <c r="C3531" s="354" t="s">
        <v>2788</v>
      </c>
      <c r="D3531" s="354" t="s">
        <v>2846</v>
      </c>
      <c r="E3531" s="75" t="str">
        <f>VLOOKUP(B3531&amp;C3531,Divipola!$C$2:$F$1138,4,FALSE)</f>
        <v>73200</v>
      </c>
      <c r="F3531" s="87"/>
      <c r="G3531" s="87"/>
      <c r="H3531" s="87"/>
      <c r="I3531" s="87"/>
      <c r="J3531" s="87"/>
      <c r="K3531" s="87"/>
      <c r="L3531" s="87"/>
      <c r="M3531" s="87"/>
      <c r="N3531" s="87"/>
      <c r="O3531" s="87"/>
      <c r="P3531" s="87"/>
      <c r="Q3531" s="87"/>
      <c r="R3531" s="87"/>
      <c r="S3531" s="87"/>
      <c r="T3531" s="87"/>
      <c r="U3531" s="88">
        <v>80</v>
      </c>
      <c r="V3531" s="89"/>
      <c r="W3531" s="96">
        <v>0</v>
      </c>
      <c r="X3531" s="71">
        <f>CU3531</f>
        <v>0</v>
      </c>
      <c r="Y3531" s="71">
        <f>CY3531</f>
        <v>0</v>
      </c>
      <c r="Z3531" s="71">
        <f>DA3531+DC3531+DE3531</f>
        <v>0</v>
      </c>
      <c r="AA3531" s="71">
        <f>CW3531</f>
        <v>0</v>
      </c>
      <c r="AB3531" s="71"/>
      <c r="AC3531" s="71">
        <v>0</v>
      </c>
      <c r="AD3531" s="71">
        <f>W3531+X3531+Y3531+Z3531+AA3531+AB3531+AC3531</f>
        <v>0</v>
      </c>
      <c r="AE3531" s="72">
        <v>0</v>
      </c>
      <c r="AF3531" s="5"/>
      <c r="AG3531" s="6"/>
      <c r="AH3531" s="27"/>
      <c r="AI3531" s="44"/>
      <c r="AJ3531" s="26"/>
      <c r="AK3531" s="5"/>
      <c r="AL3531" s="82" t="s">
        <v>6547</v>
      </c>
      <c r="AM3531" s="76"/>
      <c r="AN3531" s="76"/>
      <c r="AO3531" s="76"/>
      <c r="AP3531" s="76"/>
      <c r="AQ3531" s="76"/>
      <c r="AR3531" s="76"/>
      <c r="AS3531" s="76"/>
      <c r="AT3531" s="76"/>
      <c r="AU3531" s="76"/>
      <c r="AV3531" s="76"/>
      <c r="AW3531" s="76"/>
      <c r="AX3531" s="76">
        <f>+AW3531*600000</f>
        <v>0</v>
      </c>
      <c r="AY3531" s="76"/>
      <c r="AZ3531" s="76">
        <f>+AY3531*70000</f>
        <v>0</v>
      </c>
      <c r="BA3531" s="76"/>
      <c r="BB3531" s="76"/>
      <c r="BC3531" s="76"/>
      <c r="BD3531" s="76">
        <f>+BC3531*30000</f>
        <v>0</v>
      </c>
      <c r="BE3531" s="76"/>
      <c r="BF3531" s="76"/>
      <c r="BG3531" s="76"/>
      <c r="BH3531" s="76"/>
      <c r="BI3531" s="76"/>
      <c r="BJ3531" s="76"/>
      <c r="BK3531" s="76"/>
      <c r="BL3531" s="76">
        <f>+BK3531*31500</f>
        <v>0</v>
      </c>
      <c r="BM3531" s="76"/>
      <c r="BN3531" s="76"/>
      <c r="BO3531" s="76"/>
      <c r="BP3531" s="76"/>
      <c r="BQ3531" s="76"/>
      <c r="BR3531" s="76"/>
      <c r="BS3531" s="76"/>
      <c r="BT3531" s="76"/>
      <c r="BU3531" s="76"/>
      <c r="BV3531" s="76"/>
      <c r="BW3531" s="76"/>
      <c r="BX3531" s="76"/>
      <c r="BY3531" s="76"/>
      <c r="BZ3531" s="76"/>
      <c r="CA3531" s="76"/>
      <c r="CB3531" s="76"/>
      <c r="CC3531" s="76"/>
      <c r="CD3531" s="76"/>
      <c r="CE3531" s="76"/>
      <c r="CF3531" s="76">
        <f>+CE3531*28000</f>
        <v>0</v>
      </c>
      <c r="CG3531" s="76"/>
      <c r="CH3531" s="76">
        <f>+CG3531*22500</f>
        <v>0</v>
      </c>
      <c r="CI3531" s="76"/>
      <c r="CJ3531" s="76">
        <f>+CI3531*26000</f>
        <v>0</v>
      </c>
      <c r="CK3531" s="76"/>
      <c r="CL3531" s="76"/>
      <c r="CM3531" s="76"/>
      <c r="CN3531" s="76">
        <f>+CM3531*22000</f>
        <v>0</v>
      </c>
      <c r="CO3531" s="76"/>
      <c r="CP3531" s="76">
        <f>+CO3531*46000</f>
        <v>0</v>
      </c>
      <c r="CQ3531" s="76"/>
      <c r="CR3531" s="76">
        <f>+CQ3531*49000</f>
        <v>0</v>
      </c>
      <c r="CS3531" s="76"/>
      <c r="CT3531" s="76"/>
      <c r="CU3531" s="56">
        <f>AN3531+AP3531+AR3531+AT3531+AV3531+AX3531+AZ3531+BB3531+BD3531+BF3531+BH3531+BJ3531+BL3531+BN3531+BP3531+BR3531+BT3531+BV3531+BX3531+BZ3531+CB3531+CD3531+CF3531+CH3531+CJ3531+CL3531+CN3531+CP3531+CR3531+CT3531</f>
        <v>0</v>
      </c>
      <c r="CV3531" s="76"/>
      <c r="CW3531" s="76">
        <f>+CV3531*1100</f>
        <v>0</v>
      </c>
      <c r="CX3531" s="76"/>
      <c r="CY3531" s="76">
        <f>+CX3531*106250</f>
        <v>0</v>
      </c>
      <c r="CZ3531" s="76"/>
      <c r="DA3531" s="76">
        <f>+CZ3531*34500</f>
        <v>0</v>
      </c>
      <c r="DB3531" s="76"/>
      <c r="DC3531" s="76">
        <f>+DB3531*25000</f>
        <v>0</v>
      </c>
      <c r="DD3531" s="219"/>
      <c r="DE3531" s="219"/>
      <c r="DF3531" s="166"/>
      <c r="DG3531" s="116"/>
      <c r="DH3531" s="117"/>
      <c r="DI3531" s="24"/>
      <c r="DJ3531" s="24"/>
      <c r="DK3531" s="24"/>
      <c r="DL3531" s="24"/>
      <c r="DM3531" s="24"/>
      <c r="DN3531" s="24"/>
      <c r="DO3531" s="24"/>
      <c r="DP3531" s="24"/>
      <c r="DQ3531" s="24"/>
      <c r="DR3531" s="24"/>
      <c r="DS3531" s="24"/>
      <c r="DT3531" s="24"/>
      <c r="DU3531" s="24"/>
    </row>
    <row r="3532" spans="1:125" s="8" customFormat="1" ht="36" x14ac:dyDescent="0.2">
      <c r="A3532" s="353">
        <v>41578</v>
      </c>
      <c r="B3532" s="352" t="s">
        <v>2894</v>
      </c>
      <c r="C3532" s="354" t="s">
        <v>2406</v>
      </c>
      <c r="D3532" s="354" t="s">
        <v>2882</v>
      </c>
      <c r="E3532" s="75" t="str">
        <f>VLOOKUP(B3532&amp;C3532,Divipola!$C$2:$F$1138,4,FALSE)</f>
        <v>05148</v>
      </c>
      <c r="F3532" s="87"/>
      <c r="G3532" s="87"/>
      <c r="H3532" s="87"/>
      <c r="I3532" s="87">
        <v>19</v>
      </c>
      <c r="J3532" s="87">
        <v>5</v>
      </c>
      <c r="K3532" s="87"/>
      <c r="L3532" s="87">
        <v>5</v>
      </c>
      <c r="M3532" s="87"/>
      <c r="N3532" s="87"/>
      <c r="O3532" s="87"/>
      <c r="P3532" s="87"/>
      <c r="Q3532" s="87"/>
      <c r="R3532" s="87"/>
      <c r="S3532" s="87"/>
      <c r="T3532" s="87"/>
      <c r="U3532" s="88"/>
      <c r="V3532" s="89"/>
      <c r="W3532" s="96">
        <v>0</v>
      </c>
      <c r="X3532" s="71">
        <f>CU3532</f>
        <v>0</v>
      </c>
      <c r="Y3532" s="71">
        <f>CY3532</f>
        <v>0</v>
      </c>
      <c r="Z3532" s="71">
        <f>DA3532+DC3532+DE3532</f>
        <v>0</v>
      </c>
      <c r="AA3532" s="71">
        <f>CW3532</f>
        <v>0</v>
      </c>
      <c r="AB3532" s="71"/>
      <c r="AC3532" s="71">
        <v>0</v>
      </c>
      <c r="AD3532" s="71">
        <f>W3532+X3532+Y3532+Z3532+AA3532+AB3532+AC3532</f>
        <v>0</v>
      </c>
      <c r="AE3532" s="72">
        <v>0</v>
      </c>
      <c r="AF3532" s="5"/>
      <c r="AG3532" s="6"/>
      <c r="AH3532" s="27"/>
      <c r="AI3532" s="44"/>
      <c r="AJ3532" s="26"/>
      <c r="AK3532" s="5"/>
      <c r="AL3532" s="9" t="s">
        <v>6555</v>
      </c>
      <c r="AM3532" s="76"/>
      <c r="AN3532" s="76"/>
      <c r="AO3532" s="76"/>
      <c r="AP3532" s="76"/>
      <c r="AQ3532" s="76"/>
      <c r="AR3532" s="76"/>
      <c r="AS3532" s="76"/>
      <c r="AT3532" s="76"/>
      <c r="AU3532" s="76"/>
      <c r="AV3532" s="76"/>
      <c r="AW3532" s="76"/>
      <c r="AX3532" s="76">
        <f>+AW3532*600000</f>
        <v>0</v>
      </c>
      <c r="AY3532" s="76"/>
      <c r="AZ3532" s="76">
        <f>+AY3532*70000</f>
        <v>0</v>
      </c>
      <c r="BA3532" s="76"/>
      <c r="BB3532" s="76"/>
      <c r="BC3532" s="76"/>
      <c r="BD3532" s="76">
        <f>+BC3532*30000</f>
        <v>0</v>
      </c>
      <c r="BE3532" s="76"/>
      <c r="BF3532" s="76"/>
      <c r="BG3532" s="76"/>
      <c r="BH3532" s="76"/>
      <c r="BI3532" s="76"/>
      <c r="BJ3532" s="76"/>
      <c r="BK3532" s="76"/>
      <c r="BL3532" s="76">
        <f>+BK3532*31500</f>
        <v>0</v>
      </c>
      <c r="BM3532" s="76"/>
      <c r="BN3532" s="76"/>
      <c r="BO3532" s="76"/>
      <c r="BP3532" s="76"/>
      <c r="BQ3532" s="76"/>
      <c r="BR3532" s="76"/>
      <c r="BS3532" s="76"/>
      <c r="BT3532" s="76"/>
      <c r="BU3532" s="76"/>
      <c r="BV3532" s="76"/>
      <c r="BW3532" s="76"/>
      <c r="BX3532" s="76"/>
      <c r="BY3532" s="76"/>
      <c r="BZ3532" s="76"/>
      <c r="CA3532" s="76"/>
      <c r="CB3532" s="76"/>
      <c r="CC3532" s="76"/>
      <c r="CD3532" s="76"/>
      <c r="CE3532" s="76"/>
      <c r="CF3532" s="76">
        <f>+CE3532*28000</f>
        <v>0</v>
      </c>
      <c r="CG3532" s="76"/>
      <c r="CH3532" s="76">
        <f>+CG3532*22500</f>
        <v>0</v>
      </c>
      <c r="CI3532" s="76"/>
      <c r="CJ3532" s="76">
        <f>+CI3532*26000</f>
        <v>0</v>
      </c>
      <c r="CK3532" s="76"/>
      <c r="CL3532" s="76"/>
      <c r="CM3532" s="76"/>
      <c r="CN3532" s="76">
        <f>+CM3532*22000</f>
        <v>0</v>
      </c>
      <c r="CO3532" s="76"/>
      <c r="CP3532" s="76">
        <f>+CO3532*46000</f>
        <v>0</v>
      </c>
      <c r="CQ3532" s="76"/>
      <c r="CR3532" s="76">
        <f>+CQ3532*49000</f>
        <v>0</v>
      </c>
      <c r="CS3532" s="76"/>
      <c r="CT3532" s="76"/>
      <c r="CU3532" s="56">
        <f>AN3532+AP3532+AR3532+AT3532+AV3532+AX3532+AZ3532+BB3532+BD3532+BF3532+BH3532+BJ3532+BL3532+BN3532+BP3532+BR3532+BT3532+BV3532+BX3532+BZ3532+CB3532+CD3532+CF3532+CH3532+CJ3532+CL3532+CN3532+CP3532+CR3532+CT3532</f>
        <v>0</v>
      </c>
      <c r="CV3532" s="76"/>
      <c r="CW3532" s="76">
        <f>+CV3532*1100</f>
        <v>0</v>
      </c>
      <c r="CX3532" s="76"/>
      <c r="CY3532" s="76">
        <f>+CX3532*106250</f>
        <v>0</v>
      </c>
      <c r="CZ3532" s="76"/>
      <c r="DA3532" s="76">
        <f>+CZ3532*34500</f>
        <v>0</v>
      </c>
      <c r="DB3532" s="76"/>
      <c r="DC3532" s="76">
        <f>+DB3532*25000</f>
        <v>0</v>
      </c>
      <c r="DD3532" s="219"/>
      <c r="DE3532" s="219"/>
      <c r="DF3532" s="166"/>
      <c r="DG3532" s="116"/>
      <c r="DH3532" s="117"/>
      <c r="DI3532" s="24"/>
      <c r="DJ3532" s="24"/>
      <c r="DK3532" s="24"/>
      <c r="DL3532" s="24"/>
      <c r="DM3532" s="24"/>
      <c r="DN3532" s="24"/>
      <c r="DO3532" s="24"/>
      <c r="DP3532" s="24"/>
      <c r="DQ3532" s="24"/>
      <c r="DR3532" s="24"/>
      <c r="DS3532" s="24"/>
      <c r="DT3532" s="24"/>
      <c r="DU3532" s="24"/>
    </row>
    <row r="3533" spans="1:125" s="8" customFormat="1" ht="24" x14ac:dyDescent="0.2">
      <c r="A3533" s="77">
        <v>41578</v>
      </c>
      <c r="B3533" s="78" t="s">
        <v>2851</v>
      </c>
      <c r="C3533" s="75" t="s">
        <v>107</v>
      </c>
      <c r="D3533" s="75" t="s">
        <v>3088</v>
      </c>
      <c r="E3533" s="353" t="str">
        <f>VLOOKUP(B3533&amp;C3533,Divipola!$C$2:$F$1138,4,FALSE)</f>
        <v>76606</v>
      </c>
      <c r="F3533" s="61"/>
      <c r="G3533" s="61"/>
      <c r="H3533" s="61"/>
      <c r="I3533" s="61"/>
      <c r="J3533" s="61"/>
      <c r="K3533" s="61"/>
      <c r="L3533" s="61"/>
      <c r="M3533" s="61">
        <v>1</v>
      </c>
      <c r="N3533" s="61">
        <v>1</v>
      </c>
      <c r="O3533" s="61"/>
      <c r="P3533" s="61"/>
      <c r="Q3533" s="61"/>
      <c r="R3533" s="61"/>
      <c r="S3533" s="61"/>
      <c r="T3533" s="61"/>
      <c r="U3533" s="61"/>
      <c r="V3533" s="7"/>
      <c r="W3533" s="96">
        <v>0</v>
      </c>
      <c r="X3533" s="71">
        <f>CU3533</f>
        <v>0</v>
      </c>
      <c r="Y3533" s="71">
        <f>CY3533</f>
        <v>0</v>
      </c>
      <c r="Z3533" s="71">
        <f>DA3533+DC3533+DE3533</f>
        <v>0</v>
      </c>
      <c r="AA3533" s="71">
        <f>CW3533</f>
        <v>0</v>
      </c>
      <c r="AB3533" s="71"/>
      <c r="AC3533" s="71">
        <v>0</v>
      </c>
      <c r="AD3533" s="71">
        <f>W3533+X3533+Y3533+Z3533+AA3533+AB3533+AC3533</f>
        <v>0</v>
      </c>
      <c r="AE3533" s="72">
        <v>0</v>
      </c>
      <c r="AF3533" s="5"/>
      <c r="AG3533" s="6"/>
      <c r="AH3533" s="27"/>
      <c r="AI3533" s="44"/>
      <c r="AJ3533" s="26"/>
      <c r="AK3533" s="5"/>
      <c r="AL3533" s="9" t="s">
        <v>6907</v>
      </c>
      <c r="AM3533" s="76"/>
      <c r="AN3533" s="76"/>
      <c r="AO3533" s="76"/>
      <c r="AP3533" s="76"/>
      <c r="AQ3533" s="76"/>
      <c r="AR3533" s="76"/>
      <c r="AS3533" s="76"/>
      <c r="AT3533" s="76"/>
      <c r="AU3533" s="76"/>
      <c r="AV3533" s="76"/>
      <c r="AW3533" s="76"/>
      <c r="AX3533" s="76">
        <f>+AW3533*600000</f>
        <v>0</v>
      </c>
      <c r="AY3533" s="76"/>
      <c r="AZ3533" s="76">
        <f>+AY3533*70000</f>
        <v>0</v>
      </c>
      <c r="BA3533" s="76"/>
      <c r="BB3533" s="76"/>
      <c r="BC3533" s="76"/>
      <c r="BD3533" s="76">
        <f>+BC3533*30000</f>
        <v>0</v>
      </c>
      <c r="BE3533" s="76"/>
      <c r="BF3533" s="76"/>
      <c r="BG3533" s="76"/>
      <c r="BH3533" s="76"/>
      <c r="BI3533" s="76"/>
      <c r="BJ3533" s="76"/>
      <c r="BK3533" s="76"/>
      <c r="BL3533" s="76">
        <f>+BK3533*31500</f>
        <v>0</v>
      </c>
      <c r="BM3533" s="76"/>
      <c r="BN3533" s="76"/>
      <c r="BO3533" s="76"/>
      <c r="BP3533" s="76"/>
      <c r="BQ3533" s="76"/>
      <c r="BR3533" s="76"/>
      <c r="BS3533" s="76"/>
      <c r="BT3533" s="76"/>
      <c r="BU3533" s="76"/>
      <c r="BV3533" s="76"/>
      <c r="BW3533" s="76"/>
      <c r="BX3533" s="76"/>
      <c r="BY3533" s="76"/>
      <c r="BZ3533" s="76"/>
      <c r="CA3533" s="76"/>
      <c r="CB3533" s="76"/>
      <c r="CC3533" s="76"/>
      <c r="CD3533" s="76"/>
      <c r="CE3533" s="76"/>
      <c r="CF3533" s="76">
        <f>+CE3533*28000</f>
        <v>0</v>
      </c>
      <c r="CG3533" s="76"/>
      <c r="CH3533" s="76">
        <f>+CG3533*22500</f>
        <v>0</v>
      </c>
      <c r="CI3533" s="76"/>
      <c r="CJ3533" s="76">
        <f>+CI3533*26000</f>
        <v>0</v>
      </c>
      <c r="CK3533" s="76"/>
      <c r="CL3533" s="76"/>
      <c r="CM3533" s="76"/>
      <c r="CN3533" s="76">
        <f>+CM3533*22000</f>
        <v>0</v>
      </c>
      <c r="CO3533" s="76"/>
      <c r="CP3533" s="76">
        <f>+CO3533*46000</f>
        <v>0</v>
      </c>
      <c r="CQ3533" s="76"/>
      <c r="CR3533" s="76">
        <f>+CQ3533*49000</f>
        <v>0</v>
      </c>
      <c r="CS3533" s="76"/>
      <c r="CT3533" s="76"/>
      <c r="CU3533" s="56">
        <f>AN3533+AP3533+AR3533+AT3533+AV3533+AX3533+AZ3533+BB3533+BD3533+BF3533+BH3533+BJ3533+BL3533+BN3533+BP3533+BR3533+BT3533+BV3533+BX3533+BZ3533+CB3533+CD3533+CF3533+CH3533+CJ3533+CL3533+CN3533+CP3533+CR3533+CT3533</f>
        <v>0</v>
      </c>
      <c r="CV3533" s="76"/>
      <c r="CW3533" s="76">
        <f>+CV3533*1100</f>
        <v>0</v>
      </c>
      <c r="CX3533" s="76"/>
      <c r="CY3533" s="76">
        <f>+CX3533*106250</f>
        <v>0</v>
      </c>
      <c r="CZ3533" s="76"/>
      <c r="DA3533" s="76">
        <f>+CZ3533*34500</f>
        <v>0</v>
      </c>
      <c r="DB3533" s="76"/>
      <c r="DC3533" s="76">
        <f>+DB3533*25000</f>
        <v>0</v>
      </c>
      <c r="DD3533" s="219"/>
      <c r="DE3533" s="219"/>
      <c r="DF3533" s="166"/>
      <c r="DG3533" s="116"/>
      <c r="DH3533" s="117"/>
      <c r="DI3533" s="24"/>
      <c r="DJ3533" s="24"/>
      <c r="DK3533" s="24"/>
      <c r="DL3533" s="24"/>
      <c r="DM3533" s="24"/>
      <c r="DN3533" s="24"/>
      <c r="DO3533" s="24"/>
      <c r="DP3533" s="24"/>
      <c r="DQ3533" s="24"/>
      <c r="DR3533" s="24"/>
      <c r="DS3533" s="24"/>
      <c r="DT3533" s="24"/>
      <c r="DU3533" s="24"/>
    </row>
    <row r="3534" spans="1:125" s="8" customFormat="1" ht="120" x14ac:dyDescent="0.2">
      <c r="A3534" s="77">
        <v>41579</v>
      </c>
      <c r="B3534" s="78" t="s">
        <v>2894</v>
      </c>
      <c r="C3534" s="75" t="s">
        <v>2695</v>
      </c>
      <c r="D3534" s="75" t="s">
        <v>3051</v>
      </c>
      <c r="E3534" s="75" t="str">
        <f>VLOOKUP(B3534&amp;C3534,Divipola!$C$2:$F$1138,4,FALSE)</f>
        <v>05093</v>
      </c>
      <c r="F3534" s="61"/>
      <c r="G3534" s="61"/>
      <c r="H3534" s="61"/>
      <c r="I3534" s="61"/>
      <c r="J3534" s="61"/>
      <c r="K3534" s="61"/>
      <c r="L3534" s="61"/>
      <c r="M3534" s="61"/>
      <c r="N3534" s="61"/>
      <c r="O3534" s="61"/>
      <c r="P3534" s="61"/>
      <c r="Q3534" s="61"/>
      <c r="R3534" s="61"/>
      <c r="S3534" s="61"/>
      <c r="T3534" s="61"/>
      <c r="U3534" s="61"/>
      <c r="V3534" s="7"/>
      <c r="W3534" s="96">
        <v>0</v>
      </c>
      <c r="X3534" s="71">
        <f>CU3534</f>
        <v>0</v>
      </c>
      <c r="Y3534" s="71">
        <f>CY3534</f>
        <v>0</v>
      </c>
      <c r="Z3534" s="71">
        <f>DA3534+DC3534+DE3534</f>
        <v>0</v>
      </c>
      <c r="AA3534" s="71">
        <f>CW3534</f>
        <v>0</v>
      </c>
      <c r="AB3534" s="71"/>
      <c r="AC3534" s="71">
        <v>1000000000</v>
      </c>
      <c r="AD3534" s="71">
        <f>W3534+X3534+Y3534+Z3534+AA3534+AB3534+AC3534</f>
        <v>1000000000</v>
      </c>
      <c r="AE3534" s="72">
        <v>0</v>
      </c>
      <c r="AF3534" s="5"/>
      <c r="AG3534" s="6"/>
      <c r="AH3534" s="27"/>
      <c r="AI3534" s="44"/>
      <c r="AJ3534" s="26"/>
      <c r="AK3534" s="5"/>
      <c r="AL3534" s="9" t="s">
        <v>6525</v>
      </c>
      <c r="AM3534" s="76"/>
      <c r="AN3534" s="76"/>
      <c r="AO3534" s="76"/>
      <c r="AP3534" s="76"/>
      <c r="AQ3534" s="76"/>
      <c r="AR3534" s="76"/>
      <c r="AS3534" s="76"/>
      <c r="AT3534" s="76"/>
      <c r="AU3534" s="76"/>
      <c r="AV3534" s="76"/>
      <c r="AW3534" s="76"/>
      <c r="AX3534" s="76">
        <f>+AW3534*600000</f>
        <v>0</v>
      </c>
      <c r="AY3534" s="76"/>
      <c r="AZ3534" s="76">
        <f>+AY3534*70000</f>
        <v>0</v>
      </c>
      <c r="BA3534" s="76"/>
      <c r="BB3534" s="76"/>
      <c r="BC3534" s="76"/>
      <c r="BD3534" s="76">
        <f>+BC3534*30000</f>
        <v>0</v>
      </c>
      <c r="BE3534" s="76"/>
      <c r="BF3534" s="76"/>
      <c r="BG3534" s="76"/>
      <c r="BH3534" s="76"/>
      <c r="BI3534" s="76"/>
      <c r="BJ3534" s="76"/>
      <c r="BK3534" s="76"/>
      <c r="BL3534" s="76">
        <f>+BK3534*31500</f>
        <v>0</v>
      </c>
      <c r="BM3534" s="76"/>
      <c r="BN3534" s="76"/>
      <c r="BO3534" s="76"/>
      <c r="BP3534" s="76"/>
      <c r="BQ3534" s="76"/>
      <c r="BR3534" s="76"/>
      <c r="BS3534" s="76"/>
      <c r="BT3534" s="76"/>
      <c r="BU3534" s="76"/>
      <c r="BV3534" s="76"/>
      <c r="BW3534" s="76"/>
      <c r="BX3534" s="76"/>
      <c r="BY3534" s="76"/>
      <c r="BZ3534" s="76"/>
      <c r="CA3534" s="76"/>
      <c r="CB3534" s="76"/>
      <c r="CC3534" s="76"/>
      <c r="CD3534" s="76"/>
      <c r="CE3534" s="76"/>
      <c r="CF3534" s="76">
        <f>+CE3534*28000</f>
        <v>0</v>
      </c>
      <c r="CG3534" s="76"/>
      <c r="CH3534" s="76">
        <f>+CG3534*22500</f>
        <v>0</v>
      </c>
      <c r="CI3534" s="76"/>
      <c r="CJ3534" s="76">
        <f>+CI3534*26000</f>
        <v>0</v>
      </c>
      <c r="CK3534" s="76"/>
      <c r="CL3534" s="76"/>
      <c r="CM3534" s="76"/>
      <c r="CN3534" s="76">
        <f>+CM3534*22000</f>
        <v>0</v>
      </c>
      <c r="CO3534" s="76"/>
      <c r="CP3534" s="76">
        <f>+CO3534*46000</f>
        <v>0</v>
      </c>
      <c r="CQ3534" s="76"/>
      <c r="CR3534" s="76">
        <f>+CQ3534*49000</f>
        <v>0</v>
      </c>
      <c r="CS3534" s="76"/>
      <c r="CT3534" s="76"/>
      <c r="CU3534" s="56">
        <f>AN3534+AP3534+AR3534+AT3534+AV3534+AX3534+AZ3534+BB3534+BD3534+BF3534+BH3534+BJ3534+BL3534+BN3534+BP3534+BR3534+BT3534+BV3534+BX3534+BZ3534+CB3534+CD3534+CF3534+CH3534+CJ3534+CL3534+CN3534+CP3534+CR3534+CT3534</f>
        <v>0</v>
      </c>
      <c r="CV3534" s="76"/>
      <c r="CW3534" s="76">
        <f>+CV3534*1100</f>
        <v>0</v>
      </c>
      <c r="CX3534" s="76"/>
      <c r="CY3534" s="76">
        <f>+CX3534*106250</f>
        <v>0</v>
      </c>
      <c r="CZ3534" s="76"/>
      <c r="DA3534" s="76">
        <f>+CZ3534*34500</f>
        <v>0</v>
      </c>
      <c r="DB3534" s="76"/>
      <c r="DC3534" s="76">
        <f>+DB3534*25000</f>
        <v>0</v>
      </c>
      <c r="DD3534" s="219"/>
      <c r="DE3534" s="219"/>
      <c r="DF3534" s="166"/>
      <c r="DG3534" s="116"/>
      <c r="DH3534" s="117"/>
      <c r="DI3534" s="24"/>
      <c r="DJ3534" s="24"/>
      <c r="DK3534" s="24"/>
      <c r="DL3534" s="24"/>
      <c r="DM3534" s="24"/>
      <c r="DN3534" s="24"/>
      <c r="DO3534" s="24"/>
      <c r="DP3534" s="24"/>
      <c r="DQ3534" s="24"/>
      <c r="DR3534" s="24"/>
      <c r="DS3534" s="24"/>
      <c r="DT3534" s="24"/>
      <c r="DU3534" s="24"/>
    </row>
    <row r="3535" spans="1:125" s="8" customFormat="1" ht="60" x14ac:dyDescent="0.2">
      <c r="A3535" s="77">
        <v>41579</v>
      </c>
      <c r="B3535" s="78" t="s">
        <v>2196</v>
      </c>
      <c r="C3535" s="75" t="s">
        <v>524</v>
      </c>
      <c r="D3535" s="75" t="s">
        <v>3051</v>
      </c>
      <c r="E3535" s="75" t="str">
        <f>VLOOKUP(B3535&amp;C3535,Divipola!$C$2:$F$1138,4,FALSE)</f>
        <v>17495</v>
      </c>
      <c r="F3535" s="61"/>
      <c r="G3535" s="61"/>
      <c r="H3535" s="61"/>
      <c r="I3535" s="61"/>
      <c r="J3535" s="61"/>
      <c r="K3535" s="61"/>
      <c r="L3535" s="61"/>
      <c r="M3535" s="61"/>
      <c r="N3535" s="61"/>
      <c r="O3535" s="61"/>
      <c r="P3535" s="61"/>
      <c r="Q3535" s="61"/>
      <c r="R3535" s="61"/>
      <c r="S3535" s="61"/>
      <c r="T3535" s="61"/>
      <c r="U3535" s="61"/>
      <c r="V3535" s="7"/>
      <c r="W3535" s="96">
        <v>0</v>
      </c>
      <c r="X3535" s="71">
        <f>CU3535</f>
        <v>0</v>
      </c>
      <c r="Y3535" s="71">
        <f>CY3535</f>
        <v>0</v>
      </c>
      <c r="Z3535" s="71">
        <f>DA3535+DC3535+DE3535</f>
        <v>0</v>
      </c>
      <c r="AA3535" s="71">
        <f>CW3535</f>
        <v>0</v>
      </c>
      <c r="AB3535" s="71"/>
      <c r="AC3535" s="71">
        <v>210000000</v>
      </c>
      <c r="AD3535" s="71">
        <f>W3535+X3535+Y3535+Z3535+AA3535+AB3535+AC3535</f>
        <v>210000000</v>
      </c>
      <c r="AE3535" s="72">
        <v>0</v>
      </c>
      <c r="AF3535" s="5"/>
      <c r="AG3535" s="6"/>
      <c r="AH3535" s="27"/>
      <c r="AI3535" s="44"/>
      <c r="AJ3535" s="26"/>
      <c r="AK3535" s="5"/>
      <c r="AL3535" s="9" t="s">
        <v>6526</v>
      </c>
      <c r="AM3535" s="76"/>
      <c r="AN3535" s="76"/>
      <c r="AO3535" s="76"/>
      <c r="AP3535" s="76"/>
      <c r="AQ3535" s="76"/>
      <c r="AR3535" s="76"/>
      <c r="AS3535" s="76"/>
      <c r="AT3535" s="76"/>
      <c r="AU3535" s="76"/>
      <c r="AV3535" s="76"/>
      <c r="AW3535" s="76"/>
      <c r="AX3535" s="76">
        <f>+AW3535*600000</f>
        <v>0</v>
      </c>
      <c r="AY3535" s="76"/>
      <c r="AZ3535" s="76">
        <f>+AY3535*70000</f>
        <v>0</v>
      </c>
      <c r="BA3535" s="76"/>
      <c r="BB3535" s="76"/>
      <c r="BC3535" s="76"/>
      <c r="BD3535" s="76">
        <f>+BC3535*30000</f>
        <v>0</v>
      </c>
      <c r="BE3535" s="76"/>
      <c r="BF3535" s="76"/>
      <c r="BG3535" s="76"/>
      <c r="BH3535" s="76"/>
      <c r="BI3535" s="76"/>
      <c r="BJ3535" s="76"/>
      <c r="BK3535" s="76"/>
      <c r="BL3535" s="76">
        <f>+BK3535*31500</f>
        <v>0</v>
      </c>
      <c r="BM3535" s="76"/>
      <c r="BN3535" s="76"/>
      <c r="BO3535" s="76"/>
      <c r="BP3535" s="76"/>
      <c r="BQ3535" s="76"/>
      <c r="BR3535" s="76"/>
      <c r="BS3535" s="76"/>
      <c r="BT3535" s="76"/>
      <c r="BU3535" s="76"/>
      <c r="BV3535" s="76"/>
      <c r="BW3535" s="76"/>
      <c r="BX3535" s="76"/>
      <c r="BY3535" s="76"/>
      <c r="BZ3535" s="76"/>
      <c r="CA3535" s="76"/>
      <c r="CB3535" s="76"/>
      <c r="CC3535" s="76"/>
      <c r="CD3535" s="76"/>
      <c r="CE3535" s="76"/>
      <c r="CF3535" s="76">
        <f>+CE3535*28000</f>
        <v>0</v>
      </c>
      <c r="CG3535" s="76"/>
      <c r="CH3535" s="76">
        <f>+CG3535*22500</f>
        <v>0</v>
      </c>
      <c r="CI3535" s="76"/>
      <c r="CJ3535" s="76">
        <f>+CI3535*26000</f>
        <v>0</v>
      </c>
      <c r="CK3535" s="76"/>
      <c r="CL3535" s="76"/>
      <c r="CM3535" s="76"/>
      <c r="CN3535" s="76">
        <f>+CM3535*22000</f>
        <v>0</v>
      </c>
      <c r="CO3535" s="76"/>
      <c r="CP3535" s="76">
        <f>+CO3535*46000</f>
        <v>0</v>
      </c>
      <c r="CQ3535" s="76"/>
      <c r="CR3535" s="76">
        <f>+CQ3535*49000</f>
        <v>0</v>
      </c>
      <c r="CS3535" s="76"/>
      <c r="CT3535" s="76"/>
      <c r="CU3535" s="56">
        <f>AN3535+AP3535+AR3535+AT3535+AV3535+AX3535+AZ3535+BB3535+BD3535+BF3535+BH3535+BJ3535+BL3535+BN3535+BP3535+BR3535+BT3535+BV3535+BX3535+BZ3535+CB3535+CD3535+CF3535+CH3535+CJ3535+CL3535+CN3535+CP3535+CR3535+CT3535</f>
        <v>0</v>
      </c>
      <c r="CV3535" s="76"/>
      <c r="CW3535" s="76">
        <f>+CV3535*1100</f>
        <v>0</v>
      </c>
      <c r="CX3535" s="76"/>
      <c r="CY3535" s="76">
        <f>+CX3535*106250</f>
        <v>0</v>
      </c>
      <c r="CZ3535" s="76"/>
      <c r="DA3535" s="76">
        <f>+CZ3535*34500</f>
        <v>0</v>
      </c>
      <c r="DB3535" s="76"/>
      <c r="DC3535" s="76">
        <f>+DB3535*25000</f>
        <v>0</v>
      </c>
      <c r="DD3535" s="219"/>
      <c r="DE3535" s="219"/>
      <c r="DF3535" s="166"/>
      <c r="DG3535" s="116"/>
      <c r="DH3535" s="117"/>
      <c r="DI3535" s="24"/>
      <c r="DJ3535" s="24"/>
      <c r="DK3535" s="24"/>
      <c r="DL3535" s="24"/>
      <c r="DM3535" s="24"/>
      <c r="DN3535" s="24"/>
      <c r="DO3535" s="24"/>
      <c r="DP3535" s="24"/>
      <c r="DQ3535" s="24"/>
      <c r="DR3535" s="24"/>
      <c r="DS3535" s="24"/>
      <c r="DT3535" s="24"/>
      <c r="DU3535" s="24"/>
    </row>
    <row r="3536" spans="1:125" s="8" customFormat="1" ht="60" x14ac:dyDescent="0.2">
      <c r="A3536" s="77">
        <v>41579</v>
      </c>
      <c r="B3536" s="78" t="s">
        <v>2894</v>
      </c>
      <c r="C3536" s="75" t="s">
        <v>2780</v>
      </c>
      <c r="D3536" s="75" t="s">
        <v>3051</v>
      </c>
      <c r="E3536" s="75" t="str">
        <f>VLOOKUP(B3536&amp;C3536,Divipola!$C$2:$F$1138,4,FALSE)</f>
        <v>05031</v>
      </c>
      <c r="F3536" s="61"/>
      <c r="G3536" s="61"/>
      <c r="H3536" s="61"/>
      <c r="I3536" s="61"/>
      <c r="J3536" s="61"/>
      <c r="K3536" s="61"/>
      <c r="L3536" s="61"/>
      <c r="M3536" s="61"/>
      <c r="N3536" s="61"/>
      <c r="O3536" s="61"/>
      <c r="P3536" s="61"/>
      <c r="Q3536" s="61"/>
      <c r="R3536" s="61"/>
      <c r="S3536" s="61"/>
      <c r="T3536" s="61"/>
      <c r="U3536" s="61"/>
      <c r="V3536" s="7"/>
      <c r="W3536" s="96">
        <v>0</v>
      </c>
      <c r="X3536" s="71">
        <f>CU3536</f>
        <v>0</v>
      </c>
      <c r="Y3536" s="71">
        <f>CY3536</f>
        <v>0</v>
      </c>
      <c r="Z3536" s="71">
        <f>DA3536+DC3536+DE3536</f>
        <v>0</v>
      </c>
      <c r="AA3536" s="71">
        <f>CW3536</f>
        <v>0</v>
      </c>
      <c r="AB3536" s="71"/>
      <c r="AC3536" s="71">
        <v>1165000000</v>
      </c>
      <c r="AD3536" s="71">
        <f>W3536+X3536+Y3536+Z3536+AA3536+AB3536+AC3536</f>
        <v>1165000000</v>
      </c>
      <c r="AE3536" s="72">
        <v>0</v>
      </c>
      <c r="AF3536" s="5"/>
      <c r="AG3536" s="6"/>
      <c r="AH3536" s="27"/>
      <c r="AI3536" s="44"/>
      <c r="AJ3536" s="26"/>
      <c r="AK3536" s="5"/>
      <c r="AL3536" s="9" t="s">
        <v>6527</v>
      </c>
      <c r="AM3536" s="76"/>
      <c r="AN3536" s="76"/>
      <c r="AO3536" s="76"/>
      <c r="AP3536" s="76"/>
      <c r="AQ3536" s="76"/>
      <c r="AR3536" s="76"/>
      <c r="AS3536" s="76"/>
      <c r="AT3536" s="76"/>
      <c r="AU3536" s="76"/>
      <c r="AV3536" s="76"/>
      <c r="AW3536" s="76"/>
      <c r="AX3536" s="76">
        <f>+AW3536*600000</f>
        <v>0</v>
      </c>
      <c r="AY3536" s="76"/>
      <c r="AZ3536" s="76">
        <f>+AY3536*70000</f>
        <v>0</v>
      </c>
      <c r="BA3536" s="76"/>
      <c r="BB3536" s="76"/>
      <c r="BC3536" s="76"/>
      <c r="BD3536" s="76">
        <f>+BC3536*30000</f>
        <v>0</v>
      </c>
      <c r="BE3536" s="76"/>
      <c r="BF3536" s="76"/>
      <c r="BG3536" s="76"/>
      <c r="BH3536" s="76"/>
      <c r="BI3536" s="76"/>
      <c r="BJ3536" s="76"/>
      <c r="BK3536" s="76"/>
      <c r="BL3536" s="76">
        <f>+BK3536*31500</f>
        <v>0</v>
      </c>
      <c r="BM3536" s="76"/>
      <c r="BN3536" s="76"/>
      <c r="BO3536" s="76"/>
      <c r="BP3536" s="76"/>
      <c r="BQ3536" s="76"/>
      <c r="BR3536" s="76"/>
      <c r="BS3536" s="76"/>
      <c r="BT3536" s="76"/>
      <c r="BU3536" s="76"/>
      <c r="BV3536" s="76"/>
      <c r="BW3536" s="76"/>
      <c r="BX3536" s="76"/>
      <c r="BY3536" s="76"/>
      <c r="BZ3536" s="76"/>
      <c r="CA3536" s="76"/>
      <c r="CB3536" s="76"/>
      <c r="CC3536" s="76"/>
      <c r="CD3536" s="76"/>
      <c r="CE3536" s="76"/>
      <c r="CF3536" s="76">
        <f>+CE3536*28000</f>
        <v>0</v>
      </c>
      <c r="CG3536" s="76"/>
      <c r="CH3536" s="76">
        <f>+CG3536*22500</f>
        <v>0</v>
      </c>
      <c r="CI3536" s="76"/>
      <c r="CJ3536" s="76">
        <f>+CI3536*26000</f>
        <v>0</v>
      </c>
      <c r="CK3536" s="76"/>
      <c r="CL3536" s="76"/>
      <c r="CM3536" s="76"/>
      <c r="CN3536" s="76">
        <f>+CM3536*22000</f>
        <v>0</v>
      </c>
      <c r="CO3536" s="76"/>
      <c r="CP3536" s="76">
        <f>+CO3536*46000</f>
        <v>0</v>
      </c>
      <c r="CQ3536" s="76"/>
      <c r="CR3536" s="76">
        <f>+CQ3536*49000</f>
        <v>0</v>
      </c>
      <c r="CS3536" s="76"/>
      <c r="CT3536" s="76"/>
      <c r="CU3536" s="56">
        <f>AN3536+AP3536+AR3536+AT3536+AV3536+AX3536+AZ3536+BB3536+BD3536+BF3536+BH3536+BJ3536+BL3536+BN3536+BP3536+BR3536+BT3536+BV3536+BX3536+BZ3536+CB3536+CD3536+CF3536+CH3536+CJ3536+CL3536+CN3536+CP3536+CR3536+CT3536</f>
        <v>0</v>
      </c>
      <c r="CV3536" s="76"/>
      <c r="CW3536" s="76">
        <f>+CV3536*1100</f>
        <v>0</v>
      </c>
      <c r="CX3536" s="76"/>
      <c r="CY3536" s="76">
        <f>+CX3536*106250</f>
        <v>0</v>
      </c>
      <c r="CZ3536" s="76"/>
      <c r="DA3536" s="76">
        <f>+CZ3536*34500</f>
        <v>0</v>
      </c>
      <c r="DB3536" s="76"/>
      <c r="DC3536" s="76">
        <f>+DB3536*25000</f>
        <v>0</v>
      </c>
      <c r="DD3536" s="219"/>
      <c r="DE3536" s="219"/>
      <c r="DF3536" s="166"/>
      <c r="DG3536" s="116"/>
      <c r="DH3536" s="117"/>
      <c r="DI3536" s="24"/>
      <c r="DJ3536" s="24"/>
      <c r="DK3536" s="24"/>
      <c r="DL3536" s="24"/>
      <c r="DM3536" s="24"/>
      <c r="DN3536" s="24"/>
      <c r="DO3536" s="24"/>
      <c r="DP3536" s="24"/>
      <c r="DQ3536" s="24"/>
      <c r="DR3536" s="24"/>
      <c r="DS3536" s="24"/>
      <c r="DT3536" s="24"/>
      <c r="DU3536" s="24"/>
    </row>
    <row r="3537" spans="1:125" s="8" customFormat="1" ht="108" x14ac:dyDescent="0.2">
      <c r="A3537" s="77">
        <v>41579</v>
      </c>
      <c r="B3537" s="78" t="s">
        <v>2894</v>
      </c>
      <c r="C3537" s="75" t="s">
        <v>2511</v>
      </c>
      <c r="D3537" s="75" t="s">
        <v>3051</v>
      </c>
      <c r="E3537" s="75" t="str">
        <f>VLOOKUP(B3537&amp;C3537,Divipola!$C$2:$F$1138,4,FALSE)</f>
        <v>05480</v>
      </c>
      <c r="F3537" s="61"/>
      <c r="G3537" s="61"/>
      <c r="H3537" s="61"/>
      <c r="I3537" s="61"/>
      <c r="J3537" s="61"/>
      <c r="K3537" s="61"/>
      <c r="L3537" s="61"/>
      <c r="M3537" s="61"/>
      <c r="N3537" s="61"/>
      <c r="O3537" s="61"/>
      <c r="P3537" s="61"/>
      <c r="Q3537" s="61"/>
      <c r="R3537" s="61"/>
      <c r="S3537" s="61"/>
      <c r="T3537" s="61"/>
      <c r="U3537" s="61"/>
      <c r="V3537" s="7"/>
      <c r="W3537" s="96">
        <v>0</v>
      </c>
      <c r="X3537" s="71">
        <f>CU3537</f>
        <v>0</v>
      </c>
      <c r="Y3537" s="71">
        <f>CY3537</f>
        <v>0</v>
      </c>
      <c r="Z3537" s="71">
        <f>DA3537+DC3537+DE3537</f>
        <v>0</v>
      </c>
      <c r="AA3537" s="71">
        <f>CW3537</f>
        <v>0</v>
      </c>
      <c r="AB3537" s="71"/>
      <c r="AC3537" s="71">
        <v>1000000000</v>
      </c>
      <c r="AD3537" s="71">
        <f>W3537+X3537+Y3537+Z3537+AA3537+AB3537+AC3537</f>
        <v>1000000000</v>
      </c>
      <c r="AE3537" s="72">
        <v>0</v>
      </c>
      <c r="AF3537" s="5"/>
      <c r="AG3537" s="6"/>
      <c r="AH3537" s="27"/>
      <c r="AI3537" s="44"/>
      <c r="AJ3537" s="26"/>
      <c r="AK3537" s="5"/>
      <c r="AL3537" s="9" t="s">
        <v>6528</v>
      </c>
      <c r="AM3537" s="76"/>
      <c r="AN3537" s="76"/>
      <c r="AO3537" s="76"/>
      <c r="AP3537" s="76"/>
      <c r="AQ3537" s="76"/>
      <c r="AR3537" s="76"/>
      <c r="AS3537" s="76"/>
      <c r="AT3537" s="76"/>
      <c r="AU3537" s="76"/>
      <c r="AV3537" s="76"/>
      <c r="AW3537" s="76"/>
      <c r="AX3537" s="76">
        <f>+AW3537*600000</f>
        <v>0</v>
      </c>
      <c r="AY3537" s="76"/>
      <c r="AZ3537" s="76">
        <f>+AY3537*70000</f>
        <v>0</v>
      </c>
      <c r="BA3537" s="76"/>
      <c r="BB3537" s="76"/>
      <c r="BC3537" s="76"/>
      <c r="BD3537" s="76">
        <f>+BC3537*30000</f>
        <v>0</v>
      </c>
      <c r="BE3537" s="76"/>
      <c r="BF3537" s="76"/>
      <c r="BG3537" s="76"/>
      <c r="BH3537" s="76"/>
      <c r="BI3537" s="76"/>
      <c r="BJ3537" s="76"/>
      <c r="BK3537" s="76"/>
      <c r="BL3537" s="76">
        <f>+BK3537*31500</f>
        <v>0</v>
      </c>
      <c r="BM3537" s="76"/>
      <c r="BN3537" s="76"/>
      <c r="BO3537" s="76"/>
      <c r="BP3537" s="76"/>
      <c r="BQ3537" s="76"/>
      <c r="BR3537" s="76"/>
      <c r="BS3537" s="76"/>
      <c r="BT3537" s="76"/>
      <c r="BU3537" s="76"/>
      <c r="BV3537" s="76"/>
      <c r="BW3537" s="76"/>
      <c r="BX3537" s="76"/>
      <c r="BY3537" s="76"/>
      <c r="BZ3537" s="76"/>
      <c r="CA3537" s="76"/>
      <c r="CB3537" s="76"/>
      <c r="CC3537" s="76"/>
      <c r="CD3537" s="76"/>
      <c r="CE3537" s="76"/>
      <c r="CF3537" s="76">
        <f>+CE3537*28000</f>
        <v>0</v>
      </c>
      <c r="CG3537" s="76"/>
      <c r="CH3537" s="76">
        <f>+CG3537*22500</f>
        <v>0</v>
      </c>
      <c r="CI3537" s="76"/>
      <c r="CJ3537" s="76">
        <f>+CI3537*26000</f>
        <v>0</v>
      </c>
      <c r="CK3537" s="76"/>
      <c r="CL3537" s="76"/>
      <c r="CM3537" s="76"/>
      <c r="CN3537" s="76">
        <f>+CM3537*22000</f>
        <v>0</v>
      </c>
      <c r="CO3537" s="76"/>
      <c r="CP3537" s="76">
        <f>+CO3537*46000</f>
        <v>0</v>
      </c>
      <c r="CQ3537" s="76"/>
      <c r="CR3537" s="76">
        <f>+CQ3537*49000</f>
        <v>0</v>
      </c>
      <c r="CS3537" s="76"/>
      <c r="CT3537" s="76"/>
      <c r="CU3537" s="56">
        <f>AN3537+AP3537+AR3537+AT3537+AV3537+AX3537+AZ3537+BB3537+BD3537+BF3537+BH3537+BJ3537+BL3537+BN3537+BP3537+BR3537+BT3537+BV3537+BX3537+BZ3537+CB3537+CD3537+CF3537+CH3537+CJ3537+CL3537+CN3537+CP3537+CR3537+CT3537</f>
        <v>0</v>
      </c>
      <c r="CV3537" s="76"/>
      <c r="CW3537" s="76">
        <f>+CV3537*1100</f>
        <v>0</v>
      </c>
      <c r="CX3537" s="76"/>
      <c r="CY3537" s="76">
        <f>+CX3537*106250</f>
        <v>0</v>
      </c>
      <c r="CZ3537" s="76"/>
      <c r="DA3537" s="76">
        <f>+CZ3537*34500</f>
        <v>0</v>
      </c>
      <c r="DB3537" s="76"/>
      <c r="DC3537" s="76">
        <f>+DB3537*25000</f>
        <v>0</v>
      </c>
      <c r="DD3537" s="219"/>
      <c r="DE3537" s="219"/>
      <c r="DF3537" s="166"/>
      <c r="DG3537" s="116"/>
      <c r="DH3537" s="117"/>
      <c r="DI3537" s="24"/>
      <c r="DJ3537" s="24"/>
      <c r="DK3537" s="24"/>
      <c r="DL3537" s="24"/>
      <c r="DM3537" s="24"/>
      <c r="DN3537" s="24"/>
      <c r="DO3537" s="24"/>
      <c r="DP3537" s="24"/>
      <c r="DQ3537" s="24"/>
      <c r="DR3537" s="24"/>
      <c r="DS3537" s="24"/>
      <c r="DT3537" s="24"/>
      <c r="DU3537" s="24"/>
    </row>
    <row r="3538" spans="1:125" s="8" customFormat="1" ht="72" x14ac:dyDescent="0.2">
      <c r="A3538" s="77">
        <v>41579</v>
      </c>
      <c r="B3538" s="78" t="s">
        <v>2778</v>
      </c>
      <c r="C3538" s="75" t="s">
        <v>509</v>
      </c>
      <c r="D3538" s="75" t="s">
        <v>3051</v>
      </c>
      <c r="E3538" s="75" t="str">
        <f>VLOOKUP(B3538&amp;C3538,Divipola!$C$2:$F$1138,4,FALSE)</f>
        <v>85125</v>
      </c>
      <c r="F3538" s="87"/>
      <c r="G3538" s="87"/>
      <c r="H3538" s="87"/>
      <c r="I3538" s="87"/>
      <c r="J3538" s="87"/>
      <c r="K3538" s="87"/>
      <c r="L3538" s="87"/>
      <c r="M3538" s="87"/>
      <c r="N3538" s="87"/>
      <c r="O3538" s="87"/>
      <c r="P3538" s="87"/>
      <c r="Q3538" s="87"/>
      <c r="R3538" s="87"/>
      <c r="S3538" s="87"/>
      <c r="T3538" s="87"/>
      <c r="U3538" s="88"/>
      <c r="V3538" s="89"/>
      <c r="W3538" s="96">
        <v>0</v>
      </c>
      <c r="X3538" s="71">
        <f>CU3538</f>
        <v>0</v>
      </c>
      <c r="Y3538" s="71">
        <f>CY3538</f>
        <v>0</v>
      </c>
      <c r="Z3538" s="71">
        <f>DA3538+DC3538+DE3538</f>
        <v>0</v>
      </c>
      <c r="AA3538" s="71">
        <f>CW3538</f>
        <v>0</v>
      </c>
      <c r="AB3538" s="71"/>
      <c r="AC3538" s="71">
        <v>0</v>
      </c>
      <c r="AD3538" s="71">
        <f>W3538+X3538+Y3538+Z3538+AA3538+AB3538+AC3538</f>
        <v>0</v>
      </c>
      <c r="AE3538" s="72">
        <v>0</v>
      </c>
      <c r="AF3538" s="5"/>
      <c r="AG3538" s="6"/>
      <c r="AH3538" s="27"/>
      <c r="AI3538" s="44"/>
      <c r="AJ3538" s="26"/>
      <c r="AK3538" s="5"/>
      <c r="AL3538" s="268" t="s">
        <v>6532</v>
      </c>
      <c r="AM3538" s="76"/>
      <c r="AN3538" s="76"/>
      <c r="AO3538" s="76"/>
      <c r="AP3538" s="76"/>
      <c r="AQ3538" s="76"/>
      <c r="AR3538" s="76"/>
      <c r="AS3538" s="76"/>
      <c r="AT3538" s="76"/>
      <c r="AU3538" s="76"/>
      <c r="AV3538" s="76"/>
      <c r="AW3538" s="76"/>
      <c r="AX3538" s="76">
        <f>+AW3538*600000</f>
        <v>0</v>
      </c>
      <c r="AY3538" s="76"/>
      <c r="AZ3538" s="76">
        <f>+AY3538*70000</f>
        <v>0</v>
      </c>
      <c r="BA3538" s="76"/>
      <c r="BB3538" s="76"/>
      <c r="BC3538" s="76"/>
      <c r="BD3538" s="76">
        <f>+BC3538*30000</f>
        <v>0</v>
      </c>
      <c r="BE3538" s="76"/>
      <c r="BF3538" s="76"/>
      <c r="BG3538" s="76"/>
      <c r="BH3538" s="76"/>
      <c r="BI3538" s="76"/>
      <c r="BJ3538" s="76"/>
      <c r="BK3538" s="76"/>
      <c r="BL3538" s="76">
        <f>+BK3538*31500</f>
        <v>0</v>
      </c>
      <c r="BM3538" s="76"/>
      <c r="BN3538" s="76"/>
      <c r="BO3538" s="76"/>
      <c r="BP3538" s="76"/>
      <c r="BQ3538" s="76"/>
      <c r="BR3538" s="76"/>
      <c r="BS3538" s="76"/>
      <c r="BT3538" s="76"/>
      <c r="BU3538" s="76"/>
      <c r="BV3538" s="76"/>
      <c r="BW3538" s="76"/>
      <c r="BX3538" s="76"/>
      <c r="BY3538" s="76"/>
      <c r="BZ3538" s="76"/>
      <c r="CA3538" s="76"/>
      <c r="CB3538" s="76"/>
      <c r="CC3538" s="76"/>
      <c r="CD3538" s="76"/>
      <c r="CE3538" s="76"/>
      <c r="CF3538" s="76">
        <f>+CE3538*28000</f>
        <v>0</v>
      </c>
      <c r="CG3538" s="76"/>
      <c r="CH3538" s="76">
        <f>+CG3538*22500</f>
        <v>0</v>
      </c>
      <c r="CI3538" s="76"/>
      <c r="CJ3538" s="76">
        <f>+CI3538*26000</f>
        <v>0</v>
      </c>
      <c r="CK3538" s="76"/>
      <c r="CL3538" s="76"/>
      <c r="CM3538" s="76"/>
      <c r="CN3538" s="76">
        <f>+CM3538*22000</f>
        <v>0</v>
      </c>
      <c r="CO3538" s="76"/>
      <c r="CP3538" s="76">
        <f>+CO3538*46000</f>
        <v>0</v>
      </c>
      <c r="CQ3538" s="76"/>
      <c r="CR3538" s="76">
        <f>+CQ3538*49000</f>
        <v>0</v>
      </c>
      <c r="CS3538" s="76"/>
      <c r="CT3538" s="76"/>
      <c r="CU3538" s="56">
        <f>AN3538+AP3538+AR3538+AT3538+AV3538+AX3538+AZ3538+BB3538+BD3538+BF3538+BH3538+BJ3538+BL3538+BN3538+BP3538+BR3538+BT3538+BV3538+BX3538+BZ3538+CB3538+CD3538+CF3538+CH3538+CJ3538+CL3538+CN3538+CP3538+CR3538+CT3538</f>
        <v>0</v>
      </c>
      <c r="CV3538" s="76"/>
      <c r="CW3538" s="76">
        <f>+CV3538*1100</f>
        <v>0</v>
      </c>
      <c r="CX3538" s="76"/>
      <c r="CY3538" s="76">
        <f>+CX3538*106250</f>
        <v>0</v>
      </c>
      <c r="CZ3538" s="76"/>
      <c r="DA3538" s="76">
        <f>+CZ3538*34500</f>
        <v>0</v>
      </c>
      <c r="DB3538" s="76"/>
      <c r="DC3538" s="76">
        <f>+DB3538*25000</f>
        <v>0</v>
      </c>
      <c r="DD3538" s="219"/>
      <c r="DE3538" s="219"/>
      <c r="DF3538" s="166"/>
      <c r="DG3538" s="116"/>
      <c r="DH3538" s="117"/>
      <c r="DI3538" s="24"/>
      <c r="DJ3538" s="24"/>
      <c r="DK3538" s="24"/>
      <c r="DL3538" s="24"/>
      <c r="DM3538" s="24"/>
      <c r="DN3538" s="24"/>
      <c r="DO3538" s="24"/>
      <c r="DP3538" s="24"/>
      <c r="DQ3538" s="24"/>
      <c r="DR3538" s="24"/>
      <c r="DS3538" s="24"/>
      <c r="DT3538" s="24"/>
      <c r="DU3538" s="24"/>
    </row>
    <row r="3539" spans="1:125" s="8" customFormat="1" ht="48" x14ac:dyDescent="0.2">
      <c r="A3539" s="353">
        <v>41579</v>
      </c>
      <c r="B3539" s="352" t="s">
        <v>2778</v>
      </c>
      <c r="C3539" s="354" t="s">
        <v>1343</v>
      </c>
      <c r="D3539" s="354" t="s">
        <v>4391</v>
      </c>
      <c r="E3539" s="75" t="str">
        <f>VLOOKUP(B3539&amp;C3539,Divipola!$C$2:$F$1138,4,FALSE)</f>
        <v>85139</v>
      </c>
      <c r="F3539" s="87"/>
      <c r="G3539" s="87"/>
      <c r="H3539" s="87">
        <v>1</v>
      </c>
      <c r="I3539" s="87"/>
      <c r="J3539" s="87"/>
      <c r="K3539" s="87"/>
      <c r="L3539" s="87"/>
      <c r="M3539" s="87"/>
      <c r="N3539" s="87"/>
      <c r="O3539" s="87"/>
      <c r="P3539" s="87"/>
      <c r="Q3539" s="87"/>
      <c r="R3539" s="87"/>
      <c r="S3539" s="87"/>
      <c r="T3539" s="87"/>
      <c r="U3539" s="88"/>
      <c r="V3539" s="89"/>
      <c r="W3539" s="96">
        <v>0</v>
      </c>
      <c r="X3539" s="71">
        <f>CU3539</f>
        <v>0</v>
      </c>
      <c r="Y3539" s="71">
        <f>CY3539</f>
        <v>0</v>
      </c>
      <c r="Z3539" s="71">
        <f>DA3539+DC3539+DE3539</f>
        <v>0</v>
      </c>
      <c r="AA3539" s="71">
        <f>CW3539</f>
        <v>0</v>
      </c>
      <c r="AB3539" s="71"/>
      <c r="AC3539" s="71">
        <v>0</v>
      </c>
      <c r="AD3539" s="71">
        <f>W3539+X3539+Y3539+Z3539+AA3539+AB3539+AC3539</f>
        <v>0</v>
      </c>
      <c r="AE3539" s="72">
        <v>0</v>
      </c>
      <c r="AF3539" s="5"/>
      <c r="AG3539" s="6"/>
      <c r="AH3539" s="27"/>
      <c r="AI3539" s="44"/>
      <c r="AJ3539" s="26"/>
      <c r="AK3539" s="5"/>
      <c r="AL3539" s="82" t="s">
        <v>6533</v>
      </c>
      <c r="AM3539" s="76"/>
      <c r="AN3539" s="76"/>
      <c r="AO3539" s="76"/>
      <c r="AP3539" s="76"/>
      <c r="AQ3539" s="76"/>
      <c r="AR3539" s="76"/>
      <c r="AS3539" s="76"/>
      <c r="AT3539" s="76"/>
      <c r="AU3539" s="76"/>
      <c r="AV3539" s="76"/>
      <c r="AW3539" s="76"/>
      <c r="AX3539" s="76">
        <f>+AW3539*600000</f>
        <v>0</v>
      </c>
      <c r="AY3539" s="76"/>
      <c r="AZ3539" s="76">
        <f>+AY3539*70000</f>
        <v>0</v>
      </c>
      <c r="BA3539" s="76"/>
      <c r="BB3539" s="76"/>
      <c r="BC3539" s="76"/>
      <c r="BD3539" s="76">
        <f>+BC3539*30000</f>
        <v>0</v>
      </c>
      <c r="BE3539" s="76"/>
      <c r="BF3539" s="76"/>
      <c r="BG3539" s="76"/>
      <c r="BH3539" s="76"/>
      <c r="BI3539" s="76"/>
      <c r="BJ3539" s="76"/>
      <c r="BK3539" s="76"/>
      <c r="BL3539" s="76">
        <f>+BK3539*31500</f>
        <v>0</v>
      </c>
      <c r="BM3539" s="76"/>
      <c r="BN3539" s="76"/>
      <c r="BO3539" s="76"/>
      <c r="BP3539" s="76"/>
      <c r="BQ3539" s="76"/>
      <c r="BR3539" s="76"/>
      <c r="BS3539" s="76"/>
      <c r="BT3539" s="76"/>
      <c r="BU3539" s="76"/>
      <c r="BV3539" s="76"/>
      <c r="BW3539" s="76"/>
      <c r="BX3539" s="76"/>
      <c r="BY3539" s="76"/>
      <c r="BZ3539" s="76"/>
      <c r="CA3539" s="76"/>
      <c r="CB3539" s="76"/>
      <c r="CC3539" s="76"/>
      <c r="CD3539" s="76"/>
      <c r="CE3539" s="76"/>
      <c r="CF3539" s="76">
        <f>+CE3539*28000</f>
        <v>0</v>
      </c>
      <c r="CG3539" s="76"/>
      <c r="CH3539" s="76">
        <f>+CG3539*22500</f>
        <v>0</v>
      </c>
      <c r="CI3539" s="76"/>
      <c r="CJ3539" s="76">
        <f>+CI3539*26000</f>
        <v>0</v>
      </c>
      <c r="CK3539" s="76"/>
      <c r="CL3539" s="76"/>
      <c r="CM3539" s="76"/>
      <c r="CN3539" s="76">
        <f>+CM3539*22000</f>
        <v>0</v>
      </c>
      <c r="CO3539" s="76"/>
      <c r="CP3539" s="76">
        <f>+CO3539*46000</f>
        <v>0</v>
      </c>
      <c r="CQ3539" s="76"/>
      <c r="CR3539" s="76">
        <f>+CQ3539*49000</f>
        <v>0</v>
      </c>
      <c r="CS3539" s="76"/>
      <c r="CT3539" s="76"/>
      <c r="CU3539" s="56">
        <f>AN3539+AP3539+AR3539+AT3539+AV3539+AX3539+AZ3539+BB3539+BD3539+BF3539+BH3539+BJ3539+BL3539+BN3539+BP3539+BR3539+BT3539+BV3539+BX3539+BZ3539+CB3539+CD3539+CF3539+CH3539+CJ3539+CL3539+CN3539+CP3539+CR3539+CT3539</f>
        <v>0</v>
      </c>
      <c r="CV3539" s="76"/>
      <c r="CW3539" s="76">
        <f>+CV3539*1100</f>
        <v>0</v>
      </c>
      <c r="CX3539" s="76"/>
      <c r="CY3539" s="76">
        <f>+CX3539*106250</f>
        <v>0</v>
      </c>
      <c r="CZ3539" s="76"/>
      <c r="DA3539" s="76">
        <f>+CZ3539*34500</f>
        <v>0</v>
      </c>
      <c r="DB3539" s="76"/>
      <c r="DC3539" s="76">
        <f>+DB3539*25000</f>
        <v>0</v>
      </c>
      <c r="DD3539" s="219"/>
      <c r="DE3539" s="219"/>
      <c r="DF3539" s="166"/>
      <c r="DG3539" s="116"/>
      <c r="DH3539" s="117"/>
      <c r="DI3539" s="24"/>
      <c r="DJ3539" s="24"/>
      <c r="DK3539" s="24"/>
      <c r="DL3539" s="24"/>
      <c r="DM3539" s="24"/>
      <c r="DN3539" s="24"/>
      <c r="DO3539" s="24"/>
      <c r="DP3539" s="24"/>
      <c r="DQ3539" s="24"/>
      <c r="DR3539" s="24"/>
      <c r="DS3539" s="24"/>
      <c r="DT3539" s="24"/>
      <c r="DU3539" s="24"/>
    </row>
    <row r="3540" spans="1:125" s="8" customFormat="1" ht="108" x14ac:dyDescent="0.2">
      <c r="A3540" s="353">
        <v>41579</v>
      </c>
      <c r="B3540" s="352" t="s">
        <v>2777</v>
      </c>
      <c r="C3540" s="354" t="s">
        <v>2783</v>
      </c>
      <c r="D3540" s="354" t="s">
        <v>3051</v>
      </c>
      <c r="E3540" s="75" t="str">
        <f>VLOOKUP(B3540&amp;C3540,Divipola!$C$2:$F$1138,4,FALSE)</f>
        <v>13001</v>
      </c>
      <c r="F3540" s="87"/>
      <c r="G3540" s="87"/>
      <c r="H3540" s="87"/>
      <c r="I3540" s="87"/>
      <c r="J3540" s="87"/>
      <c r="K3540" s="87"/>
      <c r="L3540" s="87"/>
      <c r="M3540" s="87">
        <v>1</v>
      </c>
      <c r="N3540" s="87"/>
      <c r="O3540" s="87"/>
      <c r="P3540" s="87"/>
      <c r="Q3540" s="87"/>
      <c r="R3540" s="87"/>
      <c r="S3540" s="87"/>
      <c r="T3540" s="87"/>
      <c r="U3540" s="88"/>
      <c r="V3540" s="89"/>
      <c r="W3540" s="96">
        <v>0</v>
      </c>
      <c r="X3540" s="71">
        <f>CU3540</f>
        <v>0</v>
      </c>
      <c r="Y3540" s="71">
        <f>CY3540</f>
        <v>0</v>
      </c>
      <c r="Z3540" s="71">
        <f>DA3540+DC3540+DE3540</f>
        <v>0</v>
      </c>
      <c r="AA3540" s="71">
        <f>CW3540</f>
        <v>0</v>
      </c>
      <c r="AB3540" s="71"/>
      <c r="AC3540" s="71">
        <v>0</v>
      </c>
      <c r="AD3540" s="71">
        <f>W3540+X3540+Y3540+Z3540+AA3540+AB3540+AC3540</f>
        <v>0</v>
      </c>
      <c r="AE3540" s="72">
        <v>0</v>
      </c>
      <c r="AF3540" s="5"/>
      <c r="AG3540" s="6"/>
      <c r="AH3540" s="27"/>
      <c r="AI3540" s="44"/>
      <c r="AJ3540" s="26"/>
      <c r="AK3540" s="5"/>
      <c r="AL3540" s="268" t="s">
        <v>6534</v>
      </c>
      <c r="AM3540" s="76"/>
      <c r="AN3540" s="76"/>
      <c r="AO3540" s="76"/>
      <c r="AP3540" s="76"/>
      <c r="AQ3540" s="76"/>
      <c r="AR3540" s="76"/>
      <c r="AS3540" s="76"/>
      <c r="AT3540" s="76"/>
      <c r="AU3540" s="76"/>
      <c r="AV3540" s="76"/>
      <c r="AW3540" s="76"/>
      <c r="AX3540" s="76">
        <f>+AW3540*600000</f>
        <v>0</v>
      </c>
      <c r="AY3540" s="76"/>
      <c r="AZ3540" s="76">
        <f>+AY3540*70000</f>
        <v>0</v>
      </c>
      <c r="BA3540" s="76"/>
      <c r="BB3540" s="76"/>
      <c r="BC3540" s="76"/>
      <c r="BD3540" s="76">
        <f>+BC3540*30000</f>
        <v>0</v>
      </c>
      <c r="BE3540" s="76"/>
      <c r="BF3540" s="76"/>
      <c r="BG3540" s="76"/>
      <c r="BH3540" s="76"/>
      <c r="BI3540" s="76"/>
      <c r="BJ3540" s="76"/>
      <c r="BK3540" s="76"/>
      <c r="BL3540" s="76">
        <f>+BK3540*31500</f>
        <v>0</v>
      </c>
      <c r="BM3540" s="76"/>
      <c r="BN3540" s="76"/>
      <c r="BO3540" s="76"/>
      <c r="BP3540" s="76"/>
      <c r="BQ3540" s="76"/>
      <c r="BR3540" s="76"/>
      <c r="BS3540" s="76"/>
      <c r="BT3540" s="76"/>
      <c r="BU3540" s="76"/>
      <c r="BV3540" s="76"/>
      <c r="BW3540" s="76"/>
      <c r="BX3540" s="76"/>
      <c r="BY3540" s="76"/>
      <c r="BZ3540" s="76"/>
      <c r="CA3540" s="76"/>
      <c r="CB3540" s="76"/>
      <c r="CC3540" s="76"/>
      <c r="CD3540" s="76"/>
      <c r="CE3540" s="76"/>
      <c r="CF3540" s="76">
        <f>+CE3540*28000</f>
        <v>0</v>
      </c>
      <c r="CG3540" s="76"/>
      <c r="CH3540" s="76">
        <f>+CG3540*22500</f>
        <v>0</v>
      </c>
      <c r="CI3540" s="76"/>
      <c r="CJ3540" s="76">
        <f>+CI3540*26000</f>
        <v>0</v>
      </c>
      <c r="CK3540" s="76"/>
      <c r="CL3540" s="76"/>
      <c r="CM3540" s="76"/>
      <c r="CN3540" s="76">
        <f>+CM3540*22000</f>
        <v>0</v>
      </c>
      <c r="CO3540" s="76"/>
      <c r="CP3540" s="76">
        <f>+CO3540*46000</f>
        <v>0</v>
      </c>
      <c r="CQ3540" s="76"/>
      <c r="CR3540" s="76">
        <f>+CQ3540*49000</f>
        <v>0</v>
      </c>
      <c r="CS3540" s="76"/>
      <c r="CT3540" s="76"/>
      <c r="CU3540" s="56">
        <f>AN3540+AP3540+AR3540+AT3540+AV3540+AX3540+AZ3540+BB3540+BD3540+BF3540+BH3540+BJ3540+BL3540+BN3540+BP3540+BR3540+BT3540+BV3540+BX3540+BZ3540+CB3540+CD3540+CF3540+CH3540+CJ3540+CL3540+CN3540+CP3540+CR3540+CT3540</f>
        <v>0</v>
      </c>
      <c r="CV3540" s="76"/>
      <c r="CW3540" s="76">
        <f>+CV3540*1100</f>
        <v>0</v>
      </c>
      <c r="CX3540" s="76"/>
      <c r="CY3540" s="76">
        <f>+CX3540*106250</f>
        <v>0</v>
      </c>
      <c r="CZ3540" s="76"/>
      <c r="DA3540" s="76">
        <f>+CZ3540*34500</f>
        <v>0</v>
      </c>
      <c r="DB3540" s="76"/>
      <c r="DC3540" s="76">
        <f>+DB3540*25000</f>
        <v>0</v>
      </c>
      <c r="DD3540" s="219"/>
      <c r="DE3540" s="219"/>
      <c r="DF3540" s="166"/>
      <c r="DG3540" s="116"/>
      <c r="DH3540" s="117"/>
      <c r="DI3540" s="24"/>
      <c r="DJ3540" s="24"/>
      <c r="DK3540" s="24"/>
      <c r="DL3540" s="24"/>
      <c r="DM3540" s="24"/>
      <c r="DN3540" s="24"/>
      <c r="DO3540" s="24"/>
      <c r="DP3540" s="24"/>
      <c r="DQ3540" s="24"/>
      <c r="DR3540" s="24"/>
      <c r="DS3540" s="24"/>
      <c r="DT3540" s="24"/>
      <c r="DU3540" s="24"/>
    </row>
    <row r="3541" spans="1:125" s="8" customFormat="1" ht="60" x14ac:dyDescent="0.2">
      <c r="A3541" s="77">
        <v>41579</v>
      </c>
      <c r="B3541" s="78" t="s">
        <v>2880</v>
      </c>
      <c r="C3541" s="75" t="s">
        <v>2732</v>
      </c>
      <c r="D3541" s="75" t="s">
        <v>4391</v>
      </c>
      <c r="E3541" s="75" t="str">
        <f>VLOOKUP(B3541&amp;C3541,Divipola!$C$2:$F$1138,4,FALSE)</f>
        <v>54001</v>
      </c>
      <c r="F3541" s="87">
        <v>1</v>
      </c>
      <c r="G3541" s="87">
        <v>3</v>
      </c>
      <c r="H3541" s="87"/>
      <c r="I3541" s="87"/>
      <c r="J3541" s="87"/>
      <c r="K3541" s="87"/>
      <c r="L3541" s="87"/>
      <c r="M3541" s="87"/>
      <c r="N3541" s="87"/>
      <c r="O3541" s="87"/>
      <c r="P3541" s="87"/>
      <c r="Q3541" s="87"/>
      <c r="R3541" s="87"/>
      <c r="S3541" s="87"/>
      <c r="T3541" s="87"/>
      <c r="U3541" s="88"/>
      <c r="V3541" s="89"/>
      <c r="W3541" s="96">
        <v>0</v>
      </c>
      <c r="X3541" s="71">
        <f>CU3541</f>
        <v>0</v>
      </c>
      <c r="Y3541" s="71">
        <f>CY3541</f>
        <v>0</v>
      </c>
      <c r="Z3541" s="71">
        <f>DA3541+DC3541+DE3541</f>
        <v>0</v>
      </c>
      <c r="AA3541" s="71">
        <f>CW3541</f>
        <v>0</v>
      </c>
      <c r="AB3541" s="71"/>
      <c r="AC3541" s="71">
        <v>0</v>
      </c>
      <c r="AD3541" s="71">
        <f>W3541+X3541+Y3541+Z3541+AA3541+AB3541+AC3541</f>
        <v>0</v>
      </c>
      <c r="AE3541" s="72">
        <v>0</v>
      </c>
      <c r="AF3541" s="5"/>
      <c r="AG3541" s="6"/>
      <c r="AH3541" s="27"/>
      <c r="AI3541" s="44"/>
      <c r="AJ3541" s="26"/>
      <c r="AK3541" s="5"/>
      <c r="AL3541" s="268" t="s">
        <v>6545</v>
      </c>
      <c r="AM3541" s="76"/>
      <c r="AN3541" s="76"/>
      <c r="AO3541" s="76"/>
      <c r="AP3541" s="76"/>
      <c r="AQ3541" s="76"/>
      <c r="AR3541" s="76"/>
      <c r="AS3541" s="76"/>
      <c r="AT3541" s="76"/>
      <c r="AU3541" s="76"/>
      <c r="AV3541" s="76"/>
      <c r="AW3541" s="76"/>
      <c r="AX3541" s="76">
        <f>+AW3541*600000</f>
        <v>0</v>
      </c>
      <c r="AY3541" s="76"/>
      <c r="AZ3541" s="76">
        <f>+AY3541*70000</f>
        <v>0</v>
      </c>
      <c r="BA3541" s="76"/>
      <c r="BB3541" s="76"/>
      <c r="BC3541" s="76"/>
      <c r="BD3541" s="76">
        <f>+BC3541*30000</f>
        <v>0</v>
      </c>
      <c r="BE3541" s="76"/>
      <c r="BF3541" s="76"/>
      <c r="BG3541" s="76"/>
      <c r="BH3541" s="76"/>
      <c r="BI3541" s="76"/>
      <c r="BJ3541" s="76"/>
      <c r="BK3541" s="76"/>
      <c r="BL3541" s="76">
        <f>+BK3541*31500</f>
        <v>0</v>
      </c>
      <c r="BM3541" s="76"/>
      <c r="BN3541" s="76"/>
      <c r="BO3541" s="76"/>
      <c r="BP3541" s="76"/>
      <c r="BQ3541" s="76"/>
      <c r="BR3541" s="76"/>
      <c r="BS3541" s="76"/>
      <c r="BT3541" s="76"/>
      <c r="BU3541" s="76"/>
      <c r="BV3541" s="76"/>
      <c r="BW3541" s="76"/>
      <c r="BX3541" s="76"/>
      <c r="BY3541" s="76"/>
      <c r="BZ3541" s="76"/>
      <c r="CA3541" s="76"/>
      <c r="CB3541" s="76"/>
      <c r="CC3541" s="76"/>
      <c r="CD3541" s="76"/>
      <c r="CE3541" s="76"/>
      <c r="CF3541" s="76">
        <f>+CE3541*28000</f>
        <v>0</v>
      </c>
      <c r="CG3541" s="76"/>
      <c r="CH3541" s="76">
        <f>+CG3541*22500</f>
        <v>0</v>
      </c>
      <c r="CI3541" s="76"/>
      <c r="CJ3541" s="76">
        <f>+CI3541*26000</f>
        <v>0</v>
      </c>
      <c r="CK3541" s="76"/>
      <c r="CL3541" s="76"/>
      <c r="CM3541" s="76"/>
      <c r="CN3541" s="76">
        <f>+CM3541*22000</f>
        <v>0</v>
      </c>
      <c r="CO3541" s="76"/>
      <c r="CP3541" s="76">
        <f>+CO3541*46000</f>
        <v>0</v>
      </c>
      <c r="CQ3541" s="76"/>
      <c r="CR3541" s="76">
        <f>+CQ3541*49000</f>
        <v>0</v>
      </c>
      <c r="CS3541" s="76"/>
      <c r="CT3541" s="76"/>
      <c r="CU3541" s="56">
        <f>AN3541+AP3541+AR3541+AT3541+AV3541+AX3541+AZ3541+BB3541+BD3541+BF3541+BH3541+BJ3541+BL3541+BN3541+BP3541+BR3541+BT3541+BV3541+BX3541+BZ3541+CB3541+CD3541+CF3541+CH3541+CJ3541+CL3541+CN3541+CP3541+CR3541+CT3541</f>
        <v>0</v>
      </c>
      <c r="CV3541" s="76"/>
      <c r="CW3541" s="76">
        <f>+CV3541*1100</f>
        <v>0</v>
      </c>
      <c r="CX3541" s="76"/>
      <c r="CY3541" s="76">
        <f>+CX3541*106250</f>
        <v>0</v>
      </c>
      <c r="CZ3541" s="76"/>
      <c r="DA3541" s="76">
        <f>+CZ3541*34500</f>
        <v>0</v>
      </c>
      <c r="DB3541" s="76"/>
      <c r="DC3541" s="76">
        <f>+DB3541*25000</f>
        <v>0</v>
      </c>
      <c r="DD3541" s="219"/>
      <c r="DE3541" s="219"/>
      <c r="DF3541" s="166"/>
      <c r="DG3541" s="116"/>
      <c r="DH3541" s="117"/>
      <c r="DI3541" s="24"/>
      <c r="DJ3541" s="24"/>
      <c r="DK3541" s="24"/>
      <c r="DL3541" s="24"/>
      <c r="DM3541" s="24"/>
      <c r="DN3541" s="24"/>
      <c r="DO3541" s="24"/>
      <c r="DP3541" s="24"/>
      <c r="DQ3541" s="24"/>
      <c r="DR3541" s="24"/>
      <c r="DS3541" s="24"/>
      <c r="DT3541" s="24"/>
      <c r="DU3541" s="24"/>
    </row>
    <row r="3542" spans="1:125" s="8" customFormat="1" ht="48" x14ac:dyDescent="0.2">
      <c r="A3542" s="353">
        <v>41579</v>
      </c>
      <c r="B3542" s="352" t="s">
        <v>2860</v>
      </c>
      <c r="C3542" s="354" t="s">
        <v>2078</v>
      </c>
      <c r="D3542" s="354" t="s">
        <v>3088</v>
      </c>
      <c r="E3542" s="75" t="str">
        <f>VLOOKUP(B3542&amp;C3542,Divipola!$C$2:$F$1138,4,FALSE)</f>
        <v>63190</v>
      </c>
      <c r="F3542" s="87"/>
      <c r="G3542" s="87"/>
      <c r="H3542" s="87"/>
      <c r="I3542" s="87"/>
      <c r="J3542" s="87"/>
      <c r="K3542" s="87"/>
      <c r="L3542" s="87"/>
      <c r="M3542" s="87">
        <v>1</v>
      </c>
      <c r="N3542" s="87"/>
      <c r="O3542" s="87"/>
      <c r="P3542" s="87"/>
      <c r="Q3542" s="87"/>
      <c r="R3542" s="87"/>
      <c r="S3542" s="87"/>
      <c r="T3542" s="87"/>
      <c r="U3542" s="88"/>
      <c r="V3542" s="89"/>
      <c r="W3542" s="96">
        <v>0</v>
      </c>
      <c r="X3542" s="71">
        <f>CU3542</f>
        <v>0</v>
      </c>
      <c r="Y3542" s="71">
        <f>CY3542</f>
        <v>0</v>
      </c>
      <c r="Z3542" s="71">
        <f>DA3542+DC3542+DE3542</f>
        <v>0</v>
      </c>
      <c r="AA3542" s="71">
        <f>CW3542</f>
        <v>0</v>
      </c>
      <c r="AB3542" s="71"/>
      <c r="AC3542" s="71">
        <v>0</v>
      </c>
      <c r="AD3542" s="71">
        <f>W3542+X3542+Y3542+Z3542+AA3542+AB3542+AC3542</f>
        <v>0</v>
      </c>
      <c r="AE3542" s="72">
        <v>0</v>
      </c>
      <c r="AF3542" s="5"/>
      <c r="AG3542" s="6"/>
      <c r="AH3542" s="27"/>
      <c r="AI3542" s="44"/>
      <c r="AJ3542" s="26"/>
      <c r="AK3542" s="5"/>
      <c r="AL3542" s="268" t="s">
        <v>6540</v>
      </c>
      <c r="AM3542" s="76"/>
      <c r="AN3542" s="76"/>
      <c r="AO3542" s="76"/>
      <c r="AP3542" s="76"/>
      <c r="AQ3542" s="76"/>
      <c r="AR3542" s="76"/>
      <c r="AS3542" s="76"/>
      <c r="AT3542" s="76"/>
      <c r="AU3542" s="76"/>
      <c r="AV3542" s="76"/>
      <c r="AW3542" s="76"/>
      <c r="AX3542" s="76">
        <f>+AW3542*600000</f>
        <v>0</v>
      </c>
      <c r="AY3542" s="76"/>
      <c r="AZ3542" s="76">
        <f>+AY3542*70000</f>
        <v>0</v>
      </c>
      <c r="BA3542" s="76"/>
      <c r="BB3542" s="76"/>
      <c r="BC3542" s="76"/>
      <c r="BD3542" s="76">
        <f>+BC3542*30000</f>
        <v>0</v>
      </c>
      <c r="BE3542" s="76"/>
      <c r="BF3542" s="76"/>
      <c r="BG3542" s="76"/>
      <c r="BH3542" s="76"/>
      <c r="BI3542" s="76"/>
      <c r="BJ3542" s="76"/>
      <c r="BK3542" s="76"/>
      <c r="BL3542" s="76">
        <f>+BK3542*31500</f>
        <v>0</v>
      </c>
      <c r="BM3542" s="76"/>
      <c r="BN3542" s="76"/>
      <c r="BO3542" s="76"/>
      <c r="BP3542" s="76"/>
      <c r="BQ3542" s="76"/>
      <c r="BR3542" s="76"/>
      <c r="BS3542" s="76"/>
      <c r="BT3542" s="76"/>
      <c r="BU3542" s="76"/>
      <c r="BV3542" s="76"/>
      <c r="BW3542" s="76"/>
      <c r="BX3542" s="76"/>
      <c r="BY3542" s="76"/>
      <c r="BZ3542" s="76"/>
      <c r="CA3542" s="76"/>
      <c r="CB3542" s="76"/>
      <c r="CC3542" s="76"/>
      <c r="CD3542" s="76"/>
      <c r="CE3542" s="76"/>
      <c r="CF3542" s="76">
        <f>+CE3542*28000</f>
        <v>0</v>
      </c>
      <c r="CG3542" s="76"/>
      <c r="CH3542" s="76">
        <f>+CG3542*22500</f>
        <v>0</v>
      </c>
      <c r="CI3542" s="76"/>
      <c r="CJ3542" s="76">
        <f>+CI3542*26000</f>
        <v>0</v>
      </c>
      <c r="CK3542" s="76"/>
      <c r="CL3542" s="76"/>
      <c r="CM3542" s="76"/>
      <c r="CN3542" s="76">
        <f>+CM3542*22000</f>
        <v>0</v>
      </c>
      <c r="CO3542" s="76"/>
      <c r="CP3542" s="76">
        <f>+CO3542*46000</f>
        <v>0</v>
      </c>
      <c r="CQ3542" s="76"/>
      <c r="CR3542" s="76">
        <f>+CQ3542*49000</f>
        <v>0</v>
      </c>
      <c r="CS3542" s="76"/>
      <c r="CT3542" s="76"/>
      <c r="CU3542" s="56">
        <f>AN3542+AP3542+AR3542+AT3542+AV3542+AX3542+AZ3542+BB3542+BD3542+BF3542+BH3542+BJ3542+BL3542+BN3542+BP3542+BR3542+BT3542+BV3542+BX3542+BZ3542+CB3542+CD3542+CF3542+CH3542+CJ3542+CL3542+CN3542+CP3542+CR3542+CT3542</f>
        <v>0</v>
      </c>
      <c r="CV3542" s="76"/>
      <c r="CW3542" s="76">
        <f>+CV3542*1100</f>
        <v>0</v>
      </c>
      <c r="CX3542" s="76"/>
      <c r="CY3542" s="76">
        <f>+CX3542*106250</f>
        <v>0</v>
      </c>
      <c r="CZ3542" s="76"/>
      <c r="DA3542" s="76">
        <f>+CZ3542*34500</f>
        <v>0</v>
      </c>
      <c r="DB3542" s="76"/>
      <c r="DC3542" s="76">
        <f>+DB3542*25000</f>
        <v>0</v>
      </c>
      <c r="DD3542" s="219"/>
      <c r="DE3542" s="219"/>
      <c r="DF3542" s="166"/>
      <c r="DG3542" s="116"/>
      <c r="DH3542" s="117"/>
      <c r="DI3542" s="24"/>
      <c r="DJ3542" s="24"/>
      <c r="DK3542" s="24"/>
      <c r="DL3542" s="24"/>
      <c r="DM3542" s="24"/>
      <c r="DN3542" s="24"/>
      <c r="DO3542" s="24"/>
      <c r="DP3542" s="24"/>
      <c r="DQ3542" s="24"/>
      <c r="DR3542" s="24"/>
      <c r="DS3542" s="24"/>
      <c r="DT3542" s="24"/>
      <c r="DU3542" s="24"/>
    </row>
    <row r="3543" spans="1:125" s="8" customFormat="1" ht="96" x14ac:dyDescent="0.2">
      <c r="A3543" s="353">
        <v>41579</v>
      </c>
      <c r="B3543" s="352" t="s">
        <v>2772</v>
      </c>
      <c r="C3543" s="354" t="s">
        <v>2158</v>
      </c>
      <c r="D3543" s="354" t="s">
        <v>2846</v>
      </c>
      <c r="E3543" s="75" t="str">
        <f>VLOOKUP(B3543&amp;C3543,Divipola!$C$2:$F$1138,4,FALSE)</f>
        <v>25899</v>
      </c>
      <c r="F3543" s="87"/>
      <c r="G3543" s="87"/>
      <c r="H3543" s="87"/>
      <c r="I3543" s="87"/>
      <c r="J3543" s="87"/>
      <c r="K3543" s="87"/>
      <c r="L3543" s="87"/>
      <c r="M3543" s="87"/>
      <c r="N3543" s="87"/>
      <c r="O3543" s="87"/>
      <c r="P3543" s="87"/>
      <c r="Q3543" s="87"/>
      <c r="R3543" s="87"/>
      <c r="S3543" s="87"/>
      <c r="T3543" s="87"/>
      <c r="U3543" s="88">
        <v>1</v>
      </c>
      <c r="V3543" s="89"/>
      <c r="W3543" s="96">
        <v>0</v>
      </c>
      <c r="X3543" s="71">
        <f>CU3543</f>
        <v>0</v>
      </c>
      <c r="Y3543" s="71">
        <f>CY3543</f>
        <v>0</v>
      </c>
      <c r="Z3543" s="71">
        <f>DA3543+DC3543+DE3543</f>
        <v>0</v>
      </c>
      <c r="AA3543" s="71">
        <f>CW3543</f>
        <v>0</v>
      </c>
      <c r="AB3543" s="71"/>
      <c r="AC3543" s="71">
        <v>0</v>
      </c>
      <c r="AD3543" s="71">
        <f>W3543+X3543+Y3543+Z3543+AA3543+AB3543+AC3543</f>
        <v>0</v>
      </c>
      <c r="AE3543" s="72">
        <v>0</v>
      </c>
      <c r="AF3543" s="5"/>
      <c r="AG3543" s="6"/>
      <c r="AH3543" s="27"/>
      <c r="AI3543" s="44"/>
      <c r="AJ3543" s="26"/>
      <c r="AK3543" s="5"/>
      <c r="AL3543" s="268" t="s">
        <v>6541</v>
      </c>
      <c r="AM3543" s="76"/>
      <c r="AN3543" s="76"/>
      <c r="AO3543" s="76"/>
      <c r="AP3543" s="76"/>
      <c r="AQ3543" s="76"/>
      <c r="AR3543" s="76"/>
      <c r="AS3543" s="76"/>
      <c r="AT3543" s="76"/>
      <c r="AU3543" s="76"/>
      <c r="AV3543" s="76"/>
      <c r="AW3543" s="76"/>
      <c r="AX3543" s="76">
        <f>+AW3543*600000</f>
        <v>0</v>
      </c>
      <c r="AY3543" s="76"/>
      <c r="AZ3543" s="76">
        <f>+AY3543*70000</f>
        <v>0</v>
      </c>
      <c r="BA3543" s="76"/>
      <c r="BB3543" s="76"/>
      <c r="BC3543" s="76"/>
      <c r="BD3543" s="76">
        <f>+BC3543*30000</f>
        <v>0</v>
      </c>
      <c r="BE3543" s="76"/>
      <c r="BF3543" s="76"/>
      <c r="BG3543" s="76"/>
      <c r="BH3543" s="76"/>
      <c r="BI3543" s="76"/>
      <c r="BJ3543" s="76"/>
      <c r="BK3543" s="76"/>
      <c r="BL3543" s="76">
        <f>+BK3543*31500</f>
        <v>0</v>
      </c>
      <c r="BM3543" s="76"/>
      <c r="BN3543" s="76"/>
      <c r="BO3543" s="76"/>
      <c r="BP3543" s="76"/>
      <c r="BQ3543" s="76"/>
      <c r="BR3543" s="76"/>
      <c r="BS3543" s="76"/>
      <c r="BT3543" s="76"/>
      <c r="BU3543" s="76"/>
      <c r="BV3543" s="76"/>
      <c r="BW3543" s="76"/>
      <c r="BX3543" s="76"/>
      <c r="BY3543" s="76"/>
      <c r="BZ3543" s="76"/>
      <c r="CA3543" s="76"/>
      <c r="CB3543" s="76"/>
      <c r="CC3543" s="76"/>
      <c r="CD3543" s="76"/>
      <c r="CE3543" s="76"/>
      <c r="CF3543" s="76">
        <f>+CE3543*28000</f>
        <v>0</v>
      </c>
      <c r="CG3543" s="76"/>
      <c r="CH3543" s="76">
        <f>+CG3543*22500</f>
        <v>0</v>
      </c>
      <c r="CI3543" s="76"/>
      <c r="CJ3543" s="76">
        <f>+CI3543*26000</f>
        <v>0</v>
      </c>
      <c r="CK3543" s="76"/>
      <c r="CL3543" s="76"/>
      <c r="CM3543" s="76"/>
      <c r="CN3543" s="76">
        <f>+CM3543*22000</f>
        <v>0</v>
      </c>
      <c r="CO3543" s="76"/>
      <c r="CP3543" s="76">
        <f>+CO3543*46000</f>
        <v>0</v>
      </c>
      <c r="CQ3543" s="76"/>
      <c r="CR3543" s="76">
        <f>+CQ3543*49000</f>
        <v>0</v>
      </c>
      <c r="CS3543" s="76"/>
      <c r="CT3543" s="76"/>
      <c r="CU3543" s="56">
        <f>AN3543+AP3543+AR3543+AT3543+AV3543+AX3543+AZ3543+BB3543+BD3543+BF3543+BH3543+BJ3543+BL3543+BN3543+BP3543+BR3543+BT3543+BV3543+BX3543+BZ3543+CB3543+CD3543+CF3543+CH3543+CJ3543+CL3543+CN3543+CP3543+CR3543+CT3543</f>
        <v>0</v>
      </c>
      <c r="CV3543" s="76"/>
      <c r="CW3543" s="76">
        <f>+CV3543*1100</f>
        <v>0</v>
      </c>
      <c r="CX3543" s="76"/>
      <c r="CY3543" s="76">
        <f>+CX3543*106250</f>
        <v>0</v>
      </c>
      <c r="CZ3543" s="76"/>
      <c r="DA3543" s="76">
        <f>+CZ3543*34500</f>
        <v>0</v>
      </c>
      <c r="DB3543" s="76"/>
      <c r="DC3543" s="76">
        <f>+DB3543*25000</f>
        <v>0</v>
      </c>
      <c r="DD3543" s="219"/>
      <c r="DE3543" s="219"/>
      <c r="DF3543" s="166"/>
      <c r="DG3543" s="116"/>
      <c r="DH3543" s="117"/>
      <c r="DI3543" s="24"/>
      <c r="DJ3543" s="24"/>
      <c r="DK3543" s="24"/>
      <c r="DL3543" s="24"/>
      <c r="DM3543" s="24"/>
      <c r="DN3543" s="24"/>
      <c r="DO3543" s="24"/>
      <c r="DP3543" s="24"/>
      <c r="DQ3543" s="24"/>
      <c r="DR3543" s="24"/>
      <c r="DS3543" s="24"/>
      <c r="DT3543" s="24"/>
      <c r="DU3543" s="24"/>
    </row>
    <row r="3544" spans="1:125" s="8" customFormat="1" ht="84" x14ac:dyDescent="0.2">
      <c r="A3544" s="353">
        <v>41579</v>
      </c>
      <c r="B3544" s="352" t="s">
        <v>2772</v>
      </c>
      <c r="C3544" s="354" t="s">
        <v>1082</v>
      </c>
      <c r="D3544" s="354" t="s">
        <v>2846</v>
      </c>
      <c r="E3544" s="75" t="str">
        <f>VLOOKUP(B3544&amp;C3544,Divipola!$C$2:$F$1138,4,FALSE)</f>
        <v>25326</v>
      </c>
      <c r="F3544" s="87"/>
      <c r="G3544" s="87"/>
      <c r="H3544" s="87"/>
      <c r="I3544" s="87"/>
      <c r="J3544" s="87"/>
      <c r="K3544" s="87"/>
      <c r="L3544" s="87"/>
      <c r="M3544" s="87"/>
      <c r="N3544" s="87"/>
      <c r="O3544" s="87"/>
      <c r="P3544" s="87"/>
      <c r="Q3544" s="87"/>
      <c r="R3544" s="87"/>
      <c r="S3544" s="87"/>
      <c r="T3544" s="87"/>
      <c r="U3544" s="88">
        <v>6</v>
      </c>
      <c r="V3544" s="89"/>
      <c r="W3544" s="96">
        <v>0</v>
      </c>
      <c r="X3544" s="71">
        <f>CU3544</f>
        <v>0</v>
      </c>
      <c r="Y3544" s="71">
        <f>CY3544</f>
        <v>0</v>
      </c>
      <c r="Z3544" s="71">
        <f>DA3544+DC3544+DE3544</f>
        <v>0</v>
      </c>
      <c r="AA3544" s="71">
        <f>CW3544</f>
        <v>0</v>
      </c>
      <c r="AB3544" s="71"/>
      <c r="AC3544" s="71">
        <v>0</v>
      </c>
      <c r="AD3544" s="71">
        <f>W3544+X3544+Y3544+Z3544+AA3544+AB3544+AC3544</f>
        <v>0</v>
      </c>
      <c r="AE3544" s="72">
        <v>0</v>
      </c>
      <c r="AF3544" s="5"/>
      <c r="AG3544" s="6"/>
      <c r="AH3544" s="27"/>
      <c r="AI3544" s="44"/>
      <c r="AJ3544" s="26"/>
      <c r="AK3544" s="5"/>
      <c r="AL3544" s="268" t="s">
        <v>6542</v>
      </c>
      <c r="AM3544" s="76"/>
      <c r="AN3544" s="76"/>
      <c r="AO3544" s="76"/>
      <c r="AP3544" s="76"/>
      <c r="AQ3544" s="76"/>
      <c r="AR3544" s="76"/>
      <c r="AS3544" s="76"/>
      <c r="AT3544" s="76"/>
      <c r="AU3544" s="76"/>
      <c r="AV3544" s="76"/>
      <c r="AW3544" s="76"/>
      <c r="AX3544" s="76">
        <f>+AW3544*600000</f>
        <v>0</v>
      </c>
      <c r="AY3544" s="76"/>
      <c r="AZ3544" s="76">
        <f>+AY3544*70000</f>
        <v>0</v>
      </c>
      <c r="BA3544" s="76"/>
      <c r="BB3544" s="76"/>
      <c r="BC3544" s="76"/>
      <c r="BD3544" s="76">
        <f>+BC3544*30000</f>
        <v>0</v>
      </c>
      <c r="BE3544" s="76"/>
      <c r="BF3544" s="76"/>
      <c r="BG3544" s="76"/>
      <c r="BH3544" s="76"/>
      <c r="BI3544" s="76"/>
      <c r="BJ3544" s="76"/>
      <c r="BK3544" s="76"/>
      <c r="BL3544" s="76">
        <f>+BK3544*31500</f>
        <v>0</v>
      </c>
      <c r="BM3544" s="76"/>
      <c r="BN3544" s="76"/>
      <c r="BO3544" s="76"/>
      <c r="BP3544" s="76"/>
      <c r="BQ3544" s="76"/>
      <c r="BR3544" s="76"/>
      <c r="BS3544" s="76"/>
      <c r="BT3544" s="76"/>
      <c r="BU3544" s="76"/>
      <c r="BV3544" s="76"/>
      <c r="BW3544" s="76"/>
      <c r="BX3544" s="76"/>
      <c r="BY3544" s="76"/>
      <c r="BZ3544" s="76"/>
      <c r="CA3544" s="76"/>
      <c r="CB3544" s="76"/>
      <c r="CC3544" s="76"/>
      <c r="CD3544" s="76"/>
      <c r="CE3544" s="76"/>
      <c r="CF3544" s="76">
        <f>+CE3544*28000</f>
        <v>0</v>
      </c>
      <c r="CG3544" s="76"/>
      <c r="CH3544" s="76">
        <f>+CG3544*22500</f>
        <v>0</v>
      </c>
      <c r="CI3544" s="76"/>
      <c r="CJ3544" s="76">
        <f>+CI3544*26000</f>
        <v>0</v>
      </c>
      <c r="CK3544" s="76"/>
      <c r="CL3544" s="76"/>
      <c r="CM3544" s="76"/>
      <c r="CN3544" s="76">
        <f>+CM3544*22000</f>
        <v>0</v>
      </c>
      <c r="CO3544" s="76"/>
      <c r="CP3544" s="76">
        <f>+CO3544*46000</f>
        <v>0</v>
      </c>
      <c r="CQ3544" s="76"/>
      <c r="CR3544" s="76">
        <f>+CQ3544*49000</f>
        <v>0</v>
      </c>
      <c r="CS3544" s="76"/>
      <c r="CT3544" s="76"/>
      <c r="CU3544" s="56">
        <f>AN3544+AP3544+AR3544+AT3544+AV3544+AX3544+AZ3544+BB3544+BD3544+BF3544+BH3544+BJ3544+BL3544+BN3544+BP3544+BR3544+BT3544+BV3544+BX3544+BZ3544+CB3544+CD3544+CF3544+CH3544+CJ3544+CL3544+CN3544+CP3544+CR3544+CT3544</f>
        <v>0</v>
      </c>
      <c r="CV3544" s="76"/>
      <c r="CW3544" s="76">
        <f>+CV3544*1100</f>
        <v>0</v>
      </c>
      <c r="CX3544" s="76"/>
      <c r="CY3544" s="76">
        <f>+CX3544*106250</f>
        <v>0</v>
      </c>
      <c r="CZ3544" s="76"/>
      <c r="DA3544" s="76">
        <f>+CZ3544*34500</f>
        <v>0</v>
      </c>
      <c r="DB3544" s="76"/>
      <c r="DC3544" s="76">
        <f>+DB3544*25000</f>
        <v>0</v>
      </c>
      <c r="DD3544" s="219"/>
      <c r="DE3544" s="219"/>
      <c r="DF3544" s="166"/>
      <c r="DG3544" s="116"/>
      <c r="DH3544" s="117"/>
      <c r="DI3544" s="24"/>
      <c r="DJ3544" s="24"/>
      <c r="DK3544" s="24"/>
      <c r="DL3544" s="24"/>
      <c r="DM3544" s="24"/>
      <c r="DN3544" s="24"/>
      <c r="DO3544" s="24"/>
      <c r="DP3544" s="24"/>
      <c r="DQ3544" s="24"/>
      <c r="DR3544" s="24"/>
      <c r="DS3544" s="24"/>
      <c r="DT3544" s="24"/>
      <c r="DU3544" s="24"/>
    </row>
    <row r="3545" spans="1:125" s="8" customFormat="1" ht="96" x14ac:dyDescent="0.2">
      <c r="A3545" s="77">
        <v>41579</v>
      </c>
      <c r="B3545" s="75" t="s">
        <v>2772</v>
      </c>
      <c r="C3545" s="75" t="s">
        <v>1330</v>
      </c>
      <c r="D3545" s="75" t="s">
        <v>2859</v>
      </c>
      <c r="E3545" s="75" t="str">
        <f>VLOOKUP(B3545&amp;C3545,Divipola!$C$2:$F$1138,4,FALSE)</f>
        <v>25200</v>
      </c>
      <c r="F3545" s="93"/>
      <c r="G3545" s="93"/>
      <c r="H3545" s="93"/>
      <c r="I3545" s="93">
        <v>6</v>
      </c>
      <c r="J3545" s="93">
        <v>1</v>
      </c>
      <c r="K3545" s="93">
        <v>1</v>
      </c>
      <c r="L3545" s="93"/>
      <c r="M3545" s="93"/>
      <c r="N3545" s="93"/>
      <c r="O3545" s="93"/>
      <c r="P3545" s="93"/>
      <c r="Q3545" s="93"/>
      <c r="R3545" s="93"/>
      <c r="S3545" s="93"/>
      <c r="T3545" s="93"/>
      <c r="U3545" s="93"/>
      <c r="V3545" s="93"/>
      <c r="W3545" s="96">
        <v>0</v>
      </c>
      <c r="X3545" s="71">
        <f>CU3545</f>
        <v>0</v>
      </c>
      <c r="Y3545" s="71">
        <f>CY3545</f>
        <v>0</v>
      </c>
      <c r="Z3545" s="71">
        <f>DA3545+DC3545+DE3545</f>
        <v>0</v>
      </c>
      <c r="AA3545" s="71">
        <f>CW3545</f>
        <v>0</v>
      </c>
      <c r="AB3545" s="71"/>
      <c r="AC3545" s="71">
        <v>0</v>
      </c>
      <c r="AD3545" s="71">
        <f>W3545+X3545+Y3545+Z3545+AA3545+AB3545+AC3545</f>
        <v>0</v>
      </c>
      <c r="AE3545" s="72">
        <v>0</v>
      </c>
      <c r="AF3545" s="5"/>
      <c r="AG3545" s="6"/>
      <c r="AH3545" s="27"/>
      <c r="AI3545" s="44"/>
      <c r="AJ3545" s="26"/>
      <c r="AK3545" s="5"/>
      <c r="AL3545" s="268" t="s">
        <v>6544</v>
      </c>
      <c r="AM3545" s="76"/>
      <c r="AN3545" s="76"/>
      <c r="AO3545" s="76"/>
      <c r="AP3545" s="76"/>
      <c r="AQ3545" s="76"/>
      <c r="AR3545" s="76"/>
      <c r="AS3545" s="76"/>
      <c r="AT3545" s="76"/>
      <c r="AU3545" s="76"/>
      <c r="AV3545" s="76"/>
      <c r="AW3545" s="76"/>
      <c r="AX3545" s="76">
        <f>+AW3545*600000</f>
        <v>0</v>
      </c>
      <c r="AY3545" s="76"/>
      <c r="AZ3545" s="76">
        <f>+AY3545*70000</f>
        <v>0</v>
      </c>
      <c r="BA3545" s="76"/>
      <c r="BB3545" s="76"/>
      <c r="BC3545" s="76"/>
      <c r="BD3545" s="76">
        <f>+BC3545*30000</f>
        <v>0</v>
      </c>
      <c r="BE3545" s="76"/>
      <c r="BF3545" s="76"/>
      <c r="BG3545" s="76"/>
      <c r="BH3545" s="76"/>
      <c r="BI3545" s="76"/>
      <c r="BJ3545" s="76"/>
      <c r="BK3545" s="76"/>
      <c r="BL3545" s="76">
        <f>+BK3545*31500</f>
        <v>0</v>
      </c>
      <c r="BM3545" s="76"/>
      <c r="BN3545" s="76"/>
      <c r="BO3545" s="76"/>
      <c r="BP3545" s="76"/>
      <c r="BQ3545" s="76"/>
      <c r="BR3545" s="76"/>
      <c r="BS3545" s="76"/>
      <c r="BT3545" s="76"/>
      <c r="BU3545" s="76"/>
      <c r="BV3545" s="76"/>
      <c r="BW3545" s="76"/>
      <c r="BX3545" s="76"/>
      <c r="BY3545" s="76"/>
      <c r="BZ3545" s="76"/>
      <c r="CA3545" s="76"/>
      <c r="CB3545" s="76"/>
      <c r="CC3545" s="76"/>
      <c r="CD3545" s="76"/>
      <c r="CE3545" s="76"/>
      <c r="CF3545" s="76">
        <f>+CE3545*28000</f>
        <v>0</v>
      </c>
      <c r="CG3545" s="76"/>
      <c r="CH3545" s="76">
        <f>+CG3545*22500</f>
        <v>0</v>
      </c>
      <c r="CI3545" s="76"/>
      <c r="CJ3545" s="76">
        <f>+CI3545*26000</f>
        <v>0</v>
      </c>
      <c r="CK3545" s="76"/>
      <c r="CL3545" s="76"/>
      <c r="CM3545" s="76"/>
      <c r="CN3545" s="76">
        <f>+CM3545*22000</f>
        <v>0</v>
      </c>
      <c r="CO3545" s="76"/>
      <c r="CP3545" s="76">
        <f>+CO3545*46000</f>
        <v>0</v>
      </c>
      <c r="CQ3545" s="76"/>
      <c r="CR3545" s="76">
        <f>+CQ3545*49000</f>
        <v>0</v>
      </c>
      <c r="CS3545" s="76"/>
      <c r="CT3545" s="76"/>
      <c r="CU3545" s="56">
        <f>AN3545+AP3545+AR3545+AT3545+AV3545+AX3545+AZ3545+BB3545+BD3545+BF3545+BH3545+BJ3545+BL3545+BN3545+BP3545+BR3545+BT3545+BV3545+BX3545+BZ3545+CB3545+CD3545+CF3545+CH3545+CJ3545+CL3545+CN3545+CP3545+CR3545+CT3545</f>
        <v>0</v>
      </c>
      <c r="CV3545" s="76"/>
      <c r="CW3545" s="76">
        <f>+CV3545*1100</f>
        <v>0</v>
      </c>
      <c r="CX3545" s="76"/>
      <c r="CY3545" s="76">
        <f>+CX3545*106250</f>
        <v>0</v>
      </c>
      <c r="CZ3545" s="76"/>
      <c r="DA3545" s="76">
        <f>+CZ3545*34500</f>
        <v>0</v>
      </c>
      <c r="DB3545" s="76"/>
      <c r="DC3545" s="76">
        <f>+DB3545*25000</f>
        <v>0</v>
      </c>
      <c r="DD3545" s="219"/>
      <c r="DE3545" s="219"/>
      <c r="DF3545" s="166"/>
      <c r="DG3545" s="116"/>
      <c r="DH3545" s="117"/>
      <c r="DI3545" s="24"/>
      <c r="DJ3545" s="24"/>
      <c r="DK3545" s="24"/>
      <c r="DL3545" s="24"/>
      <c r="DM3545" s="24"/>
      <c r="DN3545" s="24"/>
      <c r="DO3545" s="24"/>
      <c r="DP3545" s="24"/>
      <c r="DQ3545" s="24"/>
      <c r="DR3545" s="24"/>
      <c r="DS3545" s="24"/>
      <c r="DT3545" s="24"/>
      <c r="DU3545" s="24"/>
    </row>
    <row r="3546" spans="1:125" s="8" customFormat="1" ht="72" x14ac:dyDescent="0.2">
      <c r="A3546" s="77">
        <v>41580</v>
      </c>
      <c r="B3546" s="78" t="s">
        <v>2894</v>
      </c>
      <c r="C3546" s="75" t="s">
        <v>2695</v>
      </c>
      <c r="D3546" s="75" t="s">
        <v>2849</v>
      </c>
      <c r="E3546" s="75" t="str">
        <f>VLOOKUP(B3546&amp;C3546,Divipola!$C$2:$F$1138,4,FALSE)</f>
        <v>05093</v>
      </c>
      <c r="F3546" s="87">
        <v>5</v>
      </c>
      <c r="G3546" s="87">
        <v>25</v>
      </c>
      <c r="H3546" s="87"/>
      <c r="I3546" s="87">
        <v>30</v>
      </c>
      <c r="J3546" s="87"/>
      <c r="K3546" s="87"/>
      <c r="L3546" s="87"/>
      <c r="M3546" s="87"/>
      <c r="N3546" s="87"/>
      <c r="O3546" s="87"/>
      <c r="P3546" s="87"/>
      <c r="Q3546" s="87"/>
      <c r="R3546" s="87"/>
      <c r="S3546" s="87"/>
      <c r="T3546" s="87"/>
      <c r="U3546" s="88"/>
      <c r="V3546" s="89"/>
      <c r="W3546" s="96">
        <v>0</v>
      </c>
      <c r="X3546" s="71">
        <f>CU3546</f>
        <v>0</v>
      </c>
      <c r="Y3546" s="71">
        <f>CY3546</f>
        <v>0</v>
      </c>
      <c r="Z3546" s="71">
        <f>DA3546+DC3546+DE3546</f>
        <v>0</v>
      </c>
      <c r="AA3546" s="71">
        <f>CW3546</f>
        <v>0</v>
      </c>
      <c r="AB3546" s="71"/>
      <c r="AC3546" s="71">
        <v>0</v>
      </c>
      <c r="AD3546" s="71">
        <f>W3546+X3546+Y3546+Z3546+AA3546+AB3546+AC3546</f>
        <v>0</v>
      </c>
      <c r="AE3546" s="72">
        <v>0</v>
      </c>
      <c r="AF3546" s="5"/>
      <c r="AG3546" s="6"/>
      <c r="AH3546" s="27"/>
      <c r="AI3546" s="44"/>
      <c r="AJ3546" s="26"/>
      <c r="AK3546" s="5"/>
      <c r="AL3546" s="268" t="s">
        <v>6546</v>
      </c>
      <c r="AM3546" s="76"/>
      <c r="AN3546" s="76"/>
      <c r="AO3546" s="76"/>
      <c r="AP3546" s="76"/>
      <c r="AQ3546" s="76"/>
      <c r="AR3546" s="76"/>
      <c r="AS3546" s="76"/>
      <c r="AT3546" s="76"/>
      <c r="AU3546" s="76"/>
      <c r="AV3546" s="76"/>
      <c r="AW3546" s="76"/>
      <c r="AX3546" s="76">
        <f>+AW3546*600000</f>
        <v>0</v>
      </c>
      <c r="AY3546" s="76"/>
      <c r="AZ3546" s="76">
        <f>+AY3546*70000</f>
        <v>0</v>
      </c>
      <c r="BA3546" s="76"/>
      <c r="BB3546" s="76"/>
      <c r="BC3546" s="76"/>
      <c r="BD3546" s="76">
        <f>+BC3546*30000</f>
        <v>0</v>
      </c>
      <c r="BE3546" s="76"/>
      <c r="BF3546" s="76"/>
      <c r="BG3546" s="76"/>
      <c r="BH3546" s="76"/>
      <c r="BI3546" s="76"/>
      <c r="BJ3546" s="76"/>
      <c r="BK3546" s="76"/>
      <c r="BL3546" s="76">
        <f>+BK3546*31500</f>
        <v>0</v>
      </c>
      <c r="BM3546" s="76"/>
      <c r="BN3546" s="76"/>
      <c r="BO3546" s="76"/>
      <c r="BP3546" s="76"/>
      <c r="BQ3546" s="76"/>
      <c r="BR3546" s="76"/>
      <c r="BS3546" s="76"/>
      <c r="BT3546" s="76"/>
      <c r="BU3546" s="76"/>
      <c r="BV3546" s="76"/>
      <c r="BW3546" s="76"/>
      <c r="BX3546" s="76"/>
      <c r="BY3546" s="76"/>
      <c r="BZ3546" s="76"/>
      <c r="CA3546" s="76"/>
      <c r="CB3546" s="76"/>
      <c r="CC3546" s="76"/>
      <c r="CD3546" s="76"/>
      <c r="CE3546" s="76"/>
      <c r="CF3546" s="76">
        <f>+CE3546*28000</f>
        <v>0</v>
      </c>
      <c r="CG3546" s="76"/>
      <c r="CH3546" s="76">
        <f>+CG3546*22500</f>
        <v>0</v>
      </c>
      <c r="CI3546" s="76"/>
      <c r="CJ3546" s="76">
        <f>+CI3546*26000</f>
        <v>0</v>
      </c>
      <c r="CK3546" s="76"/>
      <c r="CL3546" s="76"/>
      <c r="CM3546" s="76"/>
      <c r="CN3546" s="76">
        <f>+CM3546*22000</f>
        <v>0</v>
      </c>
      <c r="CO3546" s="76"/>
      <c r="CP3546" s="76">
        <f>+CO3546*46000</f>
        <v>0</v>
      </c>
      <c r="CQ3546" s="76"/>
      <c r="CR3546" s="76">
        <f>+CQ3546*49000</f>
        <v>0</v>
      </c>
      <c r="CS3546" s="76"/>
      <c r="CT3546" s="76"/>
      <c r="CU3546" s="56">
        <f>AN3546+AP3546+AR3546+AT3546+AV3546+AX3546+AZ3546+BB3546+BD3546+BF3546+BH3546+BJ3546+BL3546+BN3546+BP3546+BR3546+BT3546+BV3546+BX3546+BZ3546+CB3546+CD3546+CF3546+CH3546+CJ3546+CL3546+CN3546+CP3546+CR3546+CT3546</f>
        <v>0</v>
      </c>
      <c r="CV3546" s="76"/>
      <c r="CW3546" s="76">
        <f>+CV3546*1100</f>
        <v>0</v>
      </c>
      <c r="CX3546" s="76"/>
      <c r="CY3546" s="76">
        <f>+CX3546*106250</f>
        <v>0</v>
      </c>
      <c r="CZ3546" s="76"/>
      <c r="DA3546" s="76">
        <f>+CZ3546*34500</f>
        <v>0</v>
      </c>
      <c r="DB3546" s="76"/>
      <c r="DC3546" s="76">
        <f>+DB3546*25000</f>
        <v>0</v>
      </c>
      <c r="DD3546" s="219"/>
      <c r="DE3546" s="219"/>
      <c r="DF3546" s="166"/>
      <c r="DG3546" s="116"/>
      <c r="DH3546" s="117"/>
      <c r="DI3546" s="24"/>
      <c r="DJ3546" s="24"/>
      <c r="DK3546" s="24"/>
      <c r="DL3546" s="24"/>
      <c r="DM3546" s="24"/>
      <c r="DN3546" s="24"/>
      <c r="DO3546" s="24"/>
      <c r="DP3546" s="24"/>
      <c r="DQ3546" s="24"/>
      <c r="DR3546" s="24"/>
      <c r="DS3546" s="24"/>
      <c r="DT3546" s="24"/>
      <c r="DU3546" s="24"/>
    </row>
    <row r="3547" spans="1:125" s="8" customFormat="1" ht="60" x14ac:dyDescent="0.2">
      <c r="A3547" s="77">
        <v>41580</v>
      </c>
      <c r="B3547" s="78" t="s">
        <v>2772</v>
      </c>
      <c r="C3547" s="75" t="s">
        <v>2835</v>
      </c>
      <c r="D3547" s="75" t="s">
        <v>2936</v>
      </c>
      <c r="E3547" s="75" t="str">
        <f>VLOOKUP(B3547&amp;C3547,Divipola!$C$2:$F$1138,4,FALSE)</f>
        <v>25873</v>
      </c>
      <c r="F3547" s="87">
        <v>2</v>
      </c>
      <c r="G3547" s="87">
        <v>4</v>
      </c>
      <c r="H3547" s="87"/>
      <c r="I3547" s="87"/>
      <c r="J3547" s="87"/>
      <c r="K3547" s="87"/>
      <c r="L3547" s="87"/>
      <c r="M3547" s="87"/>
      <c r="N3547" s="87"/>
      <c r="O3547" s="87"/>
      <c r="P3547" s="87"/>
      <c r="Q3547" s="87"/>
      <c r="R3547" s="87"/>
      <c r="S3547" s="87"/>
      <c r="T3547" s="87"/>
      <c r="U3547" s="88"/>
      <c r="V3547" s="89"/>
      <c r="W3547" s="96">
        <v>0</v>
      </c>
      <c r="X3547" s="71">
        <f>CU3547</f>
        <v>0</v>
      </c>
      <c r="Y3547" s="71">
        <f>CY3547</f>
        <v>0</v>
      </c>
      <c r="Z3547" s="71">
        <f>DA3547+DC3547+DE3547</f>
        <v>0</v>
      </c>
      <c r="AA3547" s="71">
        <f>CW3547</f>
        <v>0</v>
      </c>
      <c r="AB3547" s="71"/>
      <c r="AC3547" s="71">
        <v>0</v>
      </c>
      <c r="AD3547" s="71">
        <f>W3547+X3547+Y3547+Z3547+AA3547+AB3547+AC3547</f>
        <v>0</v>
      </c>
      <c r="AE3547" s="72">
        <v>0</v>
      </c>
      <c r="AF3547" s="5"/>
      <c r="AG3547" s="6"/>
      <c r="AH3547" s="27"/>
      <c r="AI3547" s="44"/>
      <c r="AJ3547" s="26"/>
      <c r="AK3547" s="5"/>
      <c r="AL3547" s="268" t="s">
        <v>6549</v>
      </c>
      <c r="AM3547" s="76"/>
      <c r="AN3547" s="76"/>
      <c r="AO3547" s="76"/>
      <c r="AP3547" s="76"/>
      <c r="AQ3547" s="76"/>
      <c r="AR3547" s="76"/>
      <c r="AS3547" s="76"/>
      <c r="AT3547" s="76"/>
      <c r="AU3547" s="76"/>
      <c r="AV3547" s="76"/>
      <c r="AW3547" s="76"/>
      <c r="AX3547" s="76">
        <f>+AW3547*600000</f>
        <v>0</v>
      </c>
      <c r="AY3547" s="76"/>
      <c r="AZ3547" s="76">
        <f>+AY3547*70000</f>
        <v>0</v>
      </c>
      <c r="BA3547" s="76"/>
      <c r="BB3547" s="76"/>
      <c r="BC3547" s="76"/>
      <c r="BD3547" s="76">
        <f>+BC3547*30000</f>
        <v>0</v>
      </c>
      <c r="BE3547" s="76"/>
      <c r="BF3547" s="76"/>
      <c r="BG3547" s="76"/>
      <c r="BH3547" s="76"/>
      <c r="BI3547" s="76"/>
      <c r="BJ3547" s="76"/>
      <c r="BK3547" s="76"/>
      <c r="BL3547" s="76">
        <f>+BK3547*31500</f>
        <v>0</v>
      </c>
      <c r="BM3547" s="76"/>
      <c r="BN3547" s="76"/>
      <c r="BO3547" s="76"/>
      <c r="BP3547" s="76"/>
      <c r="BQ3547" s="76"/>
      <c r="BR3547" s="76"/>
      <c r="BS3547" s="76"/>
      <c r="BT3547" s="76"/>
      <c r="BU3547" s="76"/>
      <c r="BV3547" s="76"/>
      <c r="BW3547" s="76"/>
      <c r="BX3547" s="76"/>
      <c r="BY3547" s="76"/>
      <c r="BZ3547" s="76"/>
      <c r="CA3547" s="76"/>
      <c r="CB3547" s="76"/>
      <c r="CC3547" s="76"/>
      <c r="CD3547" s="76"/>
      <c r="CE3547" s="76"/>
      <c r="CF3547" s="76">
        <f>+CE3547*28000</f>
        <v>0</v>
      </c>
      <c r="CG3547" s="76"/>
      <c r="CH3547" s="76">
        <f>+CG3547*22500</f>
        <v>0</v>
      </c>
      <c r="CI3547" s="76"/>
      <c r="CJ3547" s="76">
        <f>+CI3547*26000</f>
        <v>0</v>
      </c>
      <c r="CK3547" s="76"/>
      <c r="CL3547" s="76"/>
      <c r="CM3547" s="76"/>
      <c r="CN3547" s="76">
        <f>+CM3547*22000</f>
        <v>0</v>
      </c>
      <c r="CO3547" s="76"/>
      <c r="CP3547" s="76">
        <f>+CO3547*46000</f>
        <v>0</v>
      </c>
      <c r="CQ3547" s="76"/>
      <c r="CR3547" s="76">
        <f>+CQ3547*49000</f>
        <v>0</v>
      </c>
      <c r="CS3547" s="76"/>
      <c r="CT3547" s="76"/>
      <c r="CU3547" s="56">
        <f>AN3547+AP3547+AR3547+AT3547+AV3547+AX3547+AZ3547+BB3547+BD3547+BF3547+BH3547+BJ3547+BL3547+BN3547+BP3547+BR3547+BT3547+BV3547+BX3547+BZ3547+CB3547+CD3547+CF3547+CH3547+CJ3547+CL3547+CN3547+CP3547+CR3547+CT3547</f>
        <v>0</v>
      </c>
      <c r="CV3547" s="76"/>
      <c r="CW3547" s="76">
        <f>+CV3547*1100</f>
        <v>0</v>
      </c>
      <c r="CX3547" s="76"/>
      <c r="CY3547" s="76">
        <f>+CX3547*106250</f>
        <v>0</v>
      </c>
      <c r="CZ3547" s="76"/>
      <c r="DA3547" s="76">
        <f>+CZ3547*34500</f>
        <v>0</v>
      </c>
      <c r="DB3547" s="76"/>
      <c r="DC3547" s="76">
        <f>+DB3547*25000</f>
        <v>0</v>
      </c>
      <c r="DD3547" s="219"/>
      <c r="DE3547" s="219"/>
      <c r="DF3547" s="166"/>
      <c r="DG3547" s="116"/>
      <c r="DH3547" s="117"/>
      <c r="DI3547" s="24"/>
      <c r="DJ3547" s="24"/>
      <c r="DK3547" s="24"/>
      <c r="DL3547" s="24"/>
      <c r="DM3547" s="24"/>
      <c r="DN3547" s="24"/>
      <c r="DO3547" s="24"/>
      <c r="DP3547" s="24"/>
      <c r="DQ3547" s="24"/>
      <c r="DR3547" s="24"/>
      <c r="DS3547" s="24"/>
      <c r="DT3547" s="24"/>
      <c r="DU3547" s="24"/>
    </row>
    <row r="3548" spans="1:125" s="8" customFormat="1" ht="72" x14ac:dyDescent="0.2">
      <c r="A3548" s="77">
        <v>41580</v>
      </c>
      <c r="B3548" s="208" t="s">
        <v>2811</v>
      </c>
      <c r="C3548" s="354" t="s">
        <v>195</v>
      </c>
      <c r="D3548" s="354" t="s">
        <v>3088</v>
      </c>
      <c r="E3548" s="75" t="str">
        <f>VLOOKUP(B3548&amp;C3548,Divipola!$C$2:$F$1138,4,FALSE)</f>
        <v>52540</v>
      </c>
      <c r="F3548" s="87"/>
      <c r="G3548" s="87"/>
      <c r="H3548" s="87"/>
      <c r="I3548" s="87">
        <v>48</v>
      </c>
      <c r="J3548" s="87">
        <v>10</v>
      </c>
      <c r="K3548" s="87">
        <v>5</v>
      </c>
      <c r="L3548" s="87">
        <v>4</v>
      </c>
      <c r="M3548" s="87"/>
      <c r="N3548" s="87"/>
      <c r="O3548" s="87"/>
      <c r="P3548" s="87"/>
      <c r="Q3548" s="87"/>
      <c r="R3548" s="87"/>
      <c r="S3548" s="87"/>
      <c r="T3548" s="87"/>
      <c r="U3548" s="88"/>
      <c r="V3548" s="89"/>
      <c r="W3548" s="96">
        <v>0</v>
      </c>
      <c r="X3548" s="71">
        <f>CU3548</f>
        <v>0</v>
      </c>
      <c r="Y3548" s="71">
        <f>CY3548</f>
        <v>0</v>
      </c>
      <c r="Z3548" s="71">
        <f>DA3548+DC3548+DE3548</f>
        <v>0</v>
      </c>
      <c r="AA3548" s="71">
        <f>CW3548</f>
        <v>0</v>
      </c>
      <c r="AB3548" s="71"/>
      <c r="AC3548" s="71">
        <v>0</v>
      </c>
      <c r="AD3548" s="71">
        <f>W3548+X3548+Y3548+Z3548+AA3548+AB3548+AC3548</f>
        <v>0</v>
      </c>
      <c r="AE3548" s="72">
        <v>0</v>
      </c>
      <c r="AF3548" s="5"/>
      <c r="AG3548" s="6"/>
      <c r="AH3548" s="27"/>
      <c r="AI3548" s="44"/>
      <c r="AJ3548" s="26"/>
      <c r="AK3548" s="5"/>
      <c r="AL3548" s="9" t="s">
        <v>6552</v>
      </c>
      <c r="AM3548" s="76"/>
      <c r="AN3548" s="76"/>
      <c r="AO3548" s="76"/>
      <c r="AP3548" s="76"/>
      <c r="AQ3548" s="76"/>
      <c r="AR3548" s="76"/>
      <c r="AS3548" s="76"/>
      <c r="AT3548" s="76"/>
      <c r="AU3548" s="76"/>
      <c r="AV3548" s="76"/>
      <c r="AW3548" s="76"/>
      <c r="AX3548" s="76">
        <f>+AW3548*600000</f>
        <v>0</v>
      </c>
      <c r="AY3548" s="76"/>
      <c r="AZ3548" s="76">
        <f>+AY3548*70000</f>
        <v>0</v>
      </c>
      <c r="BA3548" s="76"/>
      <c r="BB3548" s="76"/>
      <c r="BC3548" s="76"/>
      <c r="BD3548" s="76">
        <f>+BC3548*30000</f>
        <v>0</v>
      </c>
      <c r="BE3548" s="76"/>
      <c r="BF3548" s="76"/>
      <c r="BG3548" s="76"/>
      <c r="BH3548" s="76"/>
      <c r="BI3548" s="76"/>
      <c r="BJ3548" s="76"/>
      <c r="BK3548" s="76"/>
      <c r="BL3548" s="76">
        <f>+BK3548*31500</f>
        <v>0</v>
      </c>
      <c r="BM3548" s="76"/>
      <c r="BN3548" s="76"/>
      <c r="BO3548" s="76"/>
      <c r="BP3548" s="76"/>
      <c r="BQ3548" s="76"/>
      <c r="BR3548" s="76"/>
      <c r="BS3548" s="76"/>
      <c r="BT3548" s="76"/>
      <c r="BU3548" s="76"/>
      <c r="BV3548" s="76"/>
      <c r="BW3548" s="76"/>
      <c r="BX3548" s="76"/>
      <c r="BY3548" s="76"/>
      <c r="BZ3548" s="76"/>
      <c r="CA3548" s="76"/>
      <c r="CB3548" s="76"/>
      <c r="CC3548" s="76"/>
      <c r="CD3548" s="76"/>
      <c r="CE3548" s="76"/>
      <c r="CF3548" s="76">
        <f>+CE3548*28000</f>
        <v>0</v>
      </c>
      <c r="CG3548" s="76"/>
      <c r="CH3548" s="76">
        <f>+CG3548*22500</f>
        <v>0</v>
      </c>
      <c r="CI3548" s="76"/>
      <c r="CJ3548" s="76">
        <f>+CI3548*26000</f>
        <v>0</v>
      </c>
      <c r="CK3548" s="76"/>
      <c r="CL3548" s="76"/>
      <c r="CM3548" s="76"/>
      <c r="CN3548" s="76">
        <f>+CM3548*22000</f>
        <v>0</v>
      </c>
      <c r="CO3548" s="76"/>
      <c r="CP3548" s="76">
        <f>+CO3548*46000</f>
        <v>0</v>
      </c>
      <c r="CQ3548" s="76"/>
      <c r="CR3548" s="76">
        <f>+CQ3548*49000</f>
        <v>0</v>
      </c>
      <c r="CS3548" s="76"/>
      <c r="CT3548" s="76"/>
      <c r="CU3548" s="56">
        <f>AN3548+AP3548+AR3548+AT3548+AV3548+AX3548+AZ3548+BB3548+BD3548+BF3548+BH3548+BJ3548+BL3548+BN3548+BP3548+BR3548+BT3548+BV3548+BX3548+BZ3548+CB3548+CD3548+CF3548+CH3548+CJ3548+CL3548+CN3548+CP3548+CR3548+CT3548</f>
        <v>0</v>
      </c>
      <c r="CV3548" s="76"/>
      <c r="CW3548" s="76">
        <f>+CV3548*1100</f>
        <v>0</v>
      </c>
      <c r="CX3548" s="76"/>
      <c r="CY3548" s="76">
        <f>+CX3548*106250</f>
        <v>0</v>
      </c>
      <c r="CZ3548" s="76"/>
      <c r="DA3548" s="76">
        <f>+CZ3548*34500</f>
        <v>0</v>
      </c>
      <c r="DB3548" s="76"/>
      <c r="DC3548" s="76">
        <f>+DB3548*25000</f>
        <v>0</v>
      </c>
      <c r="DD3548" s="219"/>
      <c r="DE3548" s="219"/>
      <c r="DF3548" s="166"/>
      <c r="DG3548" s="116"/>
      <c r="DH3548" s="117"/>
      <c r="DI3548" s="24"/>
      <c r="DJ3548" s="24"/>
      <c r="DK3548" s="24"/>
      <c r="DL3548" s="24"/>
      <c r="DM3548" s="24"/>
      <c r="DN3548" s="24"/>
      <c r="DO3548" s="24"/>
      <c r="DP3548" s="24"/>
      <c r="DQ3548" s="24"/>
      <c r="DR3548" s="24"/>
      <c r="DS3548" s="24"/>
      <c r="DT3548" s="24"/>
      <c r="DU3548" s="24"/>
    </row>
    <row r="3549" spans="1:125" s="8" customFormat="1" ht="36" x14ac:dyDescent="0.2">
      <c r="A3549" s="353">
        <v>41580</v>
      </c>
      <c r="B3549" s="352" t="s">
        <v>506</v>
      </c>
      <c r="C3549" s="354" t="s">
        <v>110</v>
      </c>
      <c r="D3549" s="354" t="s">
        <v>2882</v>
      </c>
      <c r="E3549" s="75" t="str">
        <f>VLOOKUP(B3549&amp;C3549,Divipola!$C$2:$F$1138,4,FALSE)</f>
        <v>50680</v>
      </c>
      <c r="F3549" s="87"/>
      <c r="G3549" s="87"/>
      <c r="H3549" s="87"/>
      <c r="I3549" s="87">
        <v>16</v>
      </c>
      <c r="J3549" s="87">
        <v>4</v>
      </c>
      <c r="K3549" s="87"/>
      <c r="L3549" s="87">
        <v>4</v>
      </c>
      <c r="M3549" s="87"/>
      <c r="N3549" s="87"/>
      <c r="O3549" s="87"/>
      <c r="P3549" s="87"/>
      <c r="Q3549" s="87"/>
      <c r="R3549" s="87"/>
      <c r="S3549" s="87"/>
      <c r="T3549" s="87"/>
      <c r="U3549" s="88"/>
      <c r="V3549" s="89"/>
      <c r="W3549" s="96">
        <v>0</v>
      </c>
      <c r="X3549" s="71">
        <f>CU3549</f>
        <v>0</v>
      </c>
      <c r="Y3549" s="71">
        <f>CY3549</f>
        <v>0</v>
      </c>
      <c r="Z3549" s="71">
        <f>DA3549+DC3549+DE3549</f>
        <v>0</v>
      </c>
      <c r="AA3549" s="71">
        <f>CW3549</f>
        <v>0</v>
      </c>
      <c r="AB3549" s="71"/>
      <c r="AC3549" s="71">
        <v>0</v>
      </c>
      <c r="AD3549" s="71">
        <f>W3549+X3549+Y3549+Z3549+AA3549+AB3549+AC3549</f>
        <v>0</v>
      </c>
      <c r="AE3549" s="72">
        <v>0</v>
      </c>
      <c r="AF3549" s="5"/>
      <c r="AG3549" s="6"/>
      <c r="AH3549" s="27"/>
      <c r="AI3549" s="44"/>
      <c r="AJ3549" s="26"/>
      <c r="AK3549" s="5"/>
      <c r="AL3549" s="9" t="s">
        <v>6554</v>
      </c>
      <c r="AM3549" s="76"/>
      <c r="AN3549" s="76"/>
      <c r="AO3549" s="76"/>
      <c r="AP3549" s="76"/>
      <c r="AQ3549" s="76"/>
      <c r="AR3549" s="76"/>
      <c r="AS3549" s="76"/>
      <c r="AT3549" s="76"/>
      <c r="AU3549" s="76"/>
      <c r="AV3549" s="76"/>
      <c r="AW3549" s="76"/>
      <c r="AX3549" s="76">
        <f>+AW3549*600000</f>
        <v>0</v>
      </c>
      <c r="AY3549" s="76"/>
      <c r="AZ3549" s="76">
        <f>+AY3549*70000</f>
        <v>0</v>
      </c>
      <c r="BA3549" s="76"/>
      <c r="BB3549" s="76"/>
      <c r="BC3549" s="76"/>
      <c r="BD3549" s="76">
        <f>+BC3549*30000</f>
        <v>0</v>
      </c>
      <c r="BE3549" s="76"/>
      <c r="BF3549" s="76"/>
      <c r="BG3549" s="76"/>
      <c r="BH3549" s="76"/>
      <c r="BI3549" s="76"/>
      <c r="BJ3549" s="76"/>
      <c r="BK3549" s="76"/>
      <c r="BL3549" s="76">
        <f>+BK3549*31500</f>
        <v>0</v>
      </c>
      <c r="BM3549" s="76"/>
      <c r="BN3549" s="76"/>
      <c r="BO3549" s="76"/>
      <c r="BP3549" s="76"/>
      <c r="BQ3549" s="76"/>
      <c r="BR3549" s="76"/>
      <c r="BS3549" s="76"/>
      <c r="BT3549" s="76"/>
      <c r="BU3549" s="76"/>
      <c r="BV3549" s="76"/>
      <c r="BW3549" s="76"/>
      <c r="BX3549" s="76"/>
      <c r="BY3549" s="76"/>
      <c r="BZ3549" s="76"/>
      <c r="CA3549" s="76"/>
      <c r="CB3549" s="76"/>
      <c r="CC3549" s="76"/>
      <c r="CD3549" s="76"/>
      <c r="CE3549" s="76"/>
      <c r="CF3549" s="76">
        <f>+CE3549*28000</f>
        <v>0</v>
      </c>
      <c r="CG3549" s="76"/>
      <c r="CH3549" s="76">
        <f>+CG3549*22500</f>
        <v>0</v>
      </c>
      <c r="CI3549" s="76"/>
      <c r="CJ3549" s="76">
        <f>+CI3549*26000</f>
        <v>0</v>
      </c>
      <c r="CK3549" s="76"/>
      <c r="CL3549" s="76"/>
      <c r="CM3549" s="76"/>
      <c r="CN3549" s="76">
        <f>+CM3549*22000</f>
        <v>0</v>
      </c>
      <c r="CO3549" s="76"/>
      <c r="CP3549" s="76">
        <f>+CO3549*46000</f>
        <v>0</v>
      </c>
      <c r="CQ3549" s="76"/>
      <c r="CR3549" s="76">
        <f>+CQ3549*49000</f>
        <v>0</v>
      </c>
      <c r="CS3549" s="76"/>
      <c r="CT3549" s="76"/>
      <c r="CU3549" s="56">
        <f>AN3549+AP3549+AR3549+AT3549+AV3549+AX3549+AZ3549+BB3549+BD3549+BF3549+BH3549+BJ3549+BL3549+BN3549+BP3549+BR3549+BT3549+BV3549+BX3549+BZ3549+CB3549+CD3549+CF3549+CH3549+CJ3549+CL3549+CN3549+CP3549+CR3549+CT3549</f>
        <v>0</v>
      </c>
      <c r="CV3549" s="76"/>
      <c r="CW3549" s="76">
        <f>+CV3549*1100</f>
        <v>0</v>
      </c>
      <c r="CX3549" s="76"/>
      <c r="CY3549" s="76">
        <f>+CX3549*106250</f>
        <v>0</v>
      </c>
      <c r="CZ3549" s="76"/>
      <c r="DA3549" s="76">
        <f>+CZ3549*34500</f>
        <v>0</v>
      </c>
      <c r="DB3549" s="76"/>
      <c r="DC3549" s="76">
        <f>+DB3549*25000</f>
        <v>0</v>
      </c>
      <c r="DD3549" s="219"/>
      <c r="DE3549" s="219"/>
      <c r="DF3549" s="166"/>
      <c r="DG3549" s="116"/>
      <c r="DH3549" s="117"/>
      <c r="DI3549" s="24"/>
      <c r="DJ3549" s="24"/>
      <c r="DK3549" s="24"/>
      <c r="DL3549" s="24"/>
      <c r="DM3549" s="24"/>
      <c r="DN3549" s="24"/>
      <c r="DO3549" s="24"/>
      <c r="DP3549" s="24"/>
      <c r="DQ3549" s="24"/>
      <c r="DR3549" s="24"/>
      <c r="DS3549" s="24"/>
      <c r="DT3549" s="24"/>
      <c r="DU3549" s="24"/>
    </row>
    <row r="3550" spans="1:125" s="8" customFormat="1" ht="60" x14ac:dyDescent="0.2">
      <c r="A3550" s="77">
        <v>41580</v>
      </c>
      <c r="B3550" s="78" t="s">
        <v>2196</v>
      </c>
      <c r="C3550" s="75" t="s">
        <v>508</v>
      </c>
      <c r="D3550" s="75" t="s">
        <v>3463</v>
      </c>
      <c r="E3550" s="75" t="str">
        <f>VLOOKUP(B3550&amp;C3550,Divipola!$C$2:$F$1138,4,FALSE)</f>
        <v>17001</v>
      </c>
      <c r="F3550" s="61"/>
      <c r="G3550" s="61"/>
      <c r="H3550" s="61"/>
      <c r="I3550" s="61"/>
      <c r="J3550" s="61"/>
      <c r="K3550" s="61"/>
      <c r="L3550" s="61"/>
      <c r="M3550" s="61"/>
      <c r="N3550" s="61"/>
      <c r="O3550" s="61"/>
      <c r="P3550" s="61"/>
      <c r="Q3550" s="61"/>
      <c r="R3550" s="61"/>
      <c r="S3550" s="61"/>
      <c r="T3550" s="61"/>
      <c r="U3550" s="61"/>
      <c r="V3550" s="7"/>
      <c r="W3550" s="96">
        <v>0</v>
      </c>
      <c r="X3550" s="71">
        <f>CU3550</f>
        <v>0</v>
      </c>
      <c r="Y3550" s="71">
        <f>CY3550</f>
        <v>0</v>
      </c>
      <c r="Z3550" s="71">
        <f>DA3550+DC3550+DE3550</f>
        <v>0</v>
      </c>
      <c r="AA3550" s="71">
        <f>CW3550</f>
        <v>0</v>
      </c>
      <c r="AB3550" s="71"/>
      <c r="AC3550" s="71">
        <v>0</v>
      </c>
      <c r="AD3550" s="71">
        <f>W3550+X3550+Y3550+Z3550+AA3550+AB3550+AC3550</f>
        <v>0</v>
      </c>
      <c r="AE3550" s="72">
        <v>0</v>
      </c>
      <c r="AF3550" s="5"/>
      <c r="AG3550" s="6"/>
      <c r="AH3550" s="27"/>
      <c r="AI3550" s="44"/>
      <c r="AJ3550" s="26"/>
      <c r="AK3550" s="5"/>
      <c r="AL3550" s="268" t="s">
        <v>6830</v>
      </c>
      <c r="AM3550" s="76"/>
      <c r="AN3550" s="76"/>
      <c r="AO3550" s="76"/>
      <c r="AP3550" s="76"/>
      <c r="AQ3550" s="76"/>
      <c r="AR3550" s="76"/>
      <c r="AS3550" s="76"/>
      <c r="AT3550" s="76"/>
      <c r="AU3550" s="76"/>
      <c r="AV3550" s="76"/>
      <c r="AW3550" s="76"/>
      <c r="AX3550" s="76">
        <f>+AW3550*600000</f>
        <v>0</v>
      </c>
      <c r="AY3550" s="76"/>
      <c r="AZ3550" s="76">
        <f>+AY3550*70000</f>
        <v>0</v>
      </c>
      <c r="BA3550" s="76"/>
      <c r="BB3550" s="76"/>
      <c r="BC3550" s="76"/>
      <c r="BD3550" s="76">
        <f>+BC3550*30000</f>
        <v>0</v>
      </c>
      <c r="BE3550" s="76"/>
      <c r="BF3550" s="76"/>
      <c r="BG3550" s="76"/>
      <c r="BH3550" s="76"/>
      <c r="BI3550" s="76"/>
      <c r="BJ3550" s="76"/>
      <c r="BK3550" s="76"/>
      <c r="BL3550" s="76">
        <f>+BK3550*31500</f>
        <v>0</v>
      </c>
      <c r="BM3550" s="76"/>
      <c r="BN3550" s="76"/>
      <c r="BO3550" s="76"/>
      <c r="BP3550" s="76"/>
      <c r="BQ3550" s="76"/>
      <c r="BR3550" s="76"/>
      <c r="BS3550" s="76"/>
      <c r="BT3550" s="76"/>
      <c r="BU3550" s="76"/>
      <c r="BV3550" s="76"/>
      <c r="BW3550" s="76"/>
      <c r="BX3550" s="76"/>
      <c r="BY3550" s="76"/>
      <c r="BZ3550" s="76"/>
      <c r="CA3550" s="76"/>
      <c r="CB3550" s="76"/>
      <c r="CC3550" s="76"/>
      <c r="CD3550" s="76"/>
      <c r="CE3550" s="76"/>
      <c r="CF3550" s="76">
        <f>+CE3550*28000</f>
        <v>0</v>
      </c>
      <c r="CG3550" s="76"/>
      <c r="CH3550" s="76">
        <f>+CG3550*22500</f>
        <v>0</v>
      </c>
      <c r="CI3550" s="76"/>
      <c r="CJ3550" s="76">
        <f>+CI3550*26000</f>
        <v>0</v>
      </c>
      <c r="CK3550" s="76"/>
      <c r="CL3550" s="76"/>
      <c r="CM3550" s="76"/>
      <c r="CN3550" s="76">
        <f>+CM3550*22000</f>
        <v>0</v>
      </c>
      <c r="CO3550" s="76"/>
      <c r="CP3550" s="76">
        <f>+CO3550*46000</f>
        <v>0</v>
      </c>
      <c r="CQ3550" s="76"/>
      <c r="CR3550" s="76">
        <f>+CQ3550*49000</f>
        <v>0</v>
      </c>
      <c r="CS3550" s="76"/>
      <c r="CT3550" s="76"/>
      <c r="CU3550" s="56">
        <f>AN3550+AP3550+AR3550+AT3550+AV3550+AX3550+AZ3550+BB3550+BD3550+BF3550+BH3550+BJ3550+BL3550+BN3550+BP3550+BR3550+BT3550+BV3550+BX3550+BZ3550+CB3550+CD3550+CF3550+CH3550+CJ3550+CL3550+CN3550+CP3550+CR3550+CT3550</f>
        <v>0</v>
      </c>
      <c r="CV3550" s="76"/>
      <c r="CW3550" s="76">
        <f>+CV3550*1100</f>
        <v>0</v>
      </c>
      <c r="CX3550" s="76"/>
      <c r="CY3550" s="76">
        <f>+CX3550*106250</f>
        <v>0</v>
      </c>
      <c r="CZ3550" s="76"/>
      <c r="DA3550" s="76">
        <f>+CZ3550*34500</f>
        <v>0</v>
      </c>
      <c r="DB3550" s="76"/>
      <c r="DC3550" s="76">
        <f>+DB3550*25000</f>
        <v>0</v>
      </c>
      <c r="DD3550" s="219"/>
      <c r="DE3550" s="219"/>
      <c r="DF3550" s="166"/>
      <c r="DG3550" s="116"/>
      <c r="DH3550" s="117"/>
      <c r="DI3550" s="24"/>
      <c r="DJ3550" s="24"/>
      <c r="DK3550" s="24"/>
      <c r="DL3550" s="24"/>
      <c r="DM3550" s="24"/>
      <c r="DN3550" s="24"/>
      <c r="DO3550" s="24"/>
      <c r="DP3550" s="24"/>
      <c r="DQ3550" s="24"/>
      <c r="DR3550" s="24"/>
      <c r="DS3550" s="24"/>
      <c r="DT3550" s="24"/>
      <c r="DU3550" s="24"/>
    </row>
    <row r="3551" spans="1:125" s="348" customFormat="1" ht="60" x14ac:dyDescent="0.2">
      <c r="A3551" s="353">
        <v>41581</v>
      </c>
      <c r="B3551" s="208" t="s">
        <v>2848</v>
      </c>
      <c r="C3551" s="354" t="s">
        <v>2034</v>
      </c>
      <c r="D3551" s="354" t="s">
        <v>2849</v>
      </c>
      <c r="E3551" s="75" t="str">
        <f>VLOOKUP(B3551&amp;C3551,Divipola!$C$2:$F$1138,4,FALSE)</f>
        <v>73449</v>
      </c>
      <c r="F3551" s="87">
        <v>4</v>
      </c>
      <c r="G3551" s="87">
        <v>18</v>
      </c>
      <c r="H3551" s="87"/>
      <c r="I3551" s="87">
        <v>22</v>
      </c>
      <c r="J3551" s="87"/>
      <c r="K3551" s="87"/>
      <c r="L3551" s="87"/>
      <c r="M3551" s="87"/>
      <c r="N3551" s="87"/>
      <c r="O3551" s="87"/>
      <c r="P3551" s="87"/>
      <c r="Q3551" s="87"/>
      <c r="R3551" s="87"/>
      <c r="S3551" s="87"/>
      <c r="T3551" s="87"/>
      <c r="U3551" s="88"/>
      <c r="V3551" s="89"/>
      <c r="W3551" s="96">
        <v>0</v>
      </c>
      <c r="X3551" s="71">
        <f>CU3551</f>
        <v>0</v>
      </c>
      <c r="Y3551" s="71">
        <f>CY3551</f>
        <v>0</v>
      </c>
      <c r="Z3551" s="71">
        <f>DA3551+DC3551+DE3551</f>
        <v>0</v>
      </c>
      <c r="AA3551" s="71">
        <f>CW3551</f>
        <v>0</v>
      </c>
      <c r="AB3551" s="71"/>
      <c r="AC3551" s="71">
        <v>0</v>
      </c>
      <c r="AD3551" s="71">
        <f>W3551+X3551+Y3551+Z3551+AA3551+AB3551+AC3551</f>
        <v>0</v>
      </c>
      <c r="AE3551" s="72">
        <v>0</v>
      </c>
      <c r="AF3551" s="5"/>
      <c r="AG3551" s="6"/>
      <c r="AH3551" s="27"/>
      <c r="AI3551" s="44"/>
      <c r="AJ3551" s="26"/>
      <c r="AK3551" s="5"/>
      <c r="AL3551" s="82" t="s">
        <v>6550</v>
      </c>
      <c r="AM3551" s="76"/>
      <c r="AN3551" s="76"/>
      <c r="AO3551" s="76"/>
      <c r="AP3551" s="76"/>
      <c r="AQ3551" s="76"/>
      <c r="AR3551" s="76"/>
      <c r="AS3551" s="76"/>
      <c r="AT3551" s="76"/>
      <c r="AU3551" s="76"/>
      <c r="AV3551" s="76"/>
      <c r="AW3551" s="76"/>
      <c r="AX3551" s="76">
        <f>+AW3551*600000</f>
        <v>0</v>
      </c>
      <c r="AY3551" s="76"/>
      <c r="AZ3551" s="76">
        <f>+AY3551*70000</f>
        <v>0</v>
      </c>
      <c r="BA3551" s="76"/>
      <c r="BB3551" s="76"/>
      <c r="BC3551" s="76"/>
      <c r="BD3551" s="76">
        <f>+BC3551*30000</f>
        <v>0</v>
      </c>
      <c r="BE3551" s="76"/>
      <c r="BF3551" s="76"/>
      <c r="BG3551" s="76"/>
      <c r="BH3551" s="76"/>
      <c r="BI3551" s="76"/>
      <c r="BJ3551" s="76"/>
      <c r="BK3551" s="76"/>
      <c r="BL3551" s="76">
        <f>+BK3551*31500</f>
        <v>0</v>
      </c>
      <c r="BM3551" s="76"/>
      <c r="BN3551" s="76"/>
      <c r="BO3551" s="76"/>
      <c r="BP3551" s="76"/>
      <c r="BQ3551" s="76"/>
      <c r="BR3551" s="76"/>
      <c r="BS3551" s="76"/>
      <c r="BT3551" s="76"/>
      <c r="BU3551" s="76"/>
      <c r="BV3551" s="76"/>
      <c r="BW3551" s="76"/>
      <c r="BX3551" s="76"/>
      <c r="BY3551" s="76"/>
      <c r="BZ3551" s="76"/>
      <c r="CA3551" s="76"/>
      <c r="CB3551" s="76"/>
      <c r="CC3551" s="76"/>
      <c r="CD3551" s="76"/>
      <c r="CE3551" s="76"/>
      <c r="CF3551" s="76">
        <f>+CE3551*28000</f>
        <v>0</v>
      </c>
      <c r="CG3551" s="76"/>
      <c r="CH3551" s="76">
        <f>+CG3551*22500</f>
        <v>0</v>
      </c>
      <c r="CI3551" s="76"/>
      <c r="CJ3551" s="76">
        <f>+CI3551*26000</f>
        <v>0</v>
      </c>
      <c r="CK3551" s="76"/>
      <c r="CL3551" s="76"/>
      <c r="CM3551" s="76"/>
      <c r="CN3551" s="76">
        <f>+CM3551*22000</f>
        <v>0</v>
      </c>
      <c r="CO3551" s="76"/>
      <c r="CP3551" s="76">
        <f>+CO3551*46000</f>
        <v>0</v>
      </c>
      <c r="CQ3551" s="76"/>
      <c r="CR3551" s="76">
        <f>+CQ3551*49000</f>
        <v>0</v>
      </c>
      <c r="CS3551" s="76"/>
      <c r="CT3551" s="76"/>
      <c r="CU3551" s="56">
        <f>AN3551+AP3551+AR3551+AT3551+AV3551+AX3551+AZ3551+BB3551+BD3551+BF3551+BH3551+BJ3551+BL3551+BN3551+BP3551+BR3551+BT3551+BV3551+BX3551+BZ3551+CB3551+CD3551+CF3551+CH3551+CJ3551+CL3551+CN3551+CP3551+CR3551+CT3551</f>
        <v>0</v>
      </c>
      <c r="CV3551" s="76"/>
      <c r="CW3551" s="76">
        <f>+CV3551*1100</f>
        <v>0</v>
      </c>
      <c r="CX3551" s="76"/>
      <c r="CY3551" s="76">
        <f>+CX3551*106250</f>
        <v>0</v>
      </c>
      <c r="CZ3551" s="76"/>
      <c r="DA3551" s="76">
        <f>+CZ3551*34500</f>
        <v>0</v>
      </c>
      <c r="DB3551" s="76"/>
      <c r="DC3551" s="76">
        <f>+DB3551*25000</f>
        <v>0</v>
      </c>
      <c r="DD3551" s="219"/>
      <c r="DE3551" s="219"/>
      <c r="DF3551" s="166"/>
      <c r="DG3551" s="116"/>
      <c r="DH3551" s="117"/>
    </row>
    <row r="3552" spans="1:125" s="8" customFormat="1" ht="60" x14ac:dyDescent="0.2">
      <c r="A3552" s="77">
        <v>41581</v>
      </c>
      <c r="B3552" s="208" t="s">
        <v>2894</v>
      </c>
      <c r="C3552" s="354" t="s">
        <v>2639</v>
      </c>
      <c r="D3552" s="354" t="s">
        <v>3088</v>
      </c>
      <c r="E3552" s="75" t="str">
        <f>VLOOKUP(B3552&amp;C3552,Divipola!$C$2:$F$1138,4,FALSE)</f>
        <v>05887</v>
      </c>
      <c r="F3552" s="87"/>
      <c r="G3552" s="87"/>
      <c r="H3552" s="87"/>
      <c r="I3552" s="87">
        <v>5</v>
      </c>
      <c r="J3552" s="87">
        <v>1</v>
      </c>
      <c r="K3552" s="87">
        <v>1</v>
      </c>
      <c r="L3552" s="87"/>
      <c r="M3552" s="87"/>
      <c r="N3552" s="87"/>
      <c r="O3552" s="87"/>
      <c r="P3552" s="87"/>
      <c r="Q3552" s="87"/>
      <c r="R3552" s="87"/>
      <c r="S3552" s="87"/>
      <c r="T3552" s="87"/>
      <c r="U3552" s="88"/>
      <c r="V3552" s="89"/>
      <c r="W3552" s="96">
        <v>0</v>
      </c>
      <c r="X3552" s="71">
        <f>CU3552</f>
        <v>0</v>
      </c>
      <c r="Y3552" s="71">
        <f>CY3552</f>
        <v>0</v>
      </c>
      <c r="Z3552" s="71">
        <f>DA3552+DC3552+DE3552</f>
        <v>0</v>
      </c>
      <c r="AA3552" s="71">
        <f>CW3552</f>
        <v>0</v>
      </c>
      <c r="AB3552" s="71"/>
      <c r="AC3552" s="71">
        <v>0</v>
      </c>
      <c r="AD3552" s="71">
        <f>W3552+X3552+Y3552+Z3552+AA3552+AB3552+AC3552</f>
        <v>0</v>
      </c>
      <c r="AE3552" s="72">
        <v>0</v>
      </c>
      <c r="AF3552" s="5"/>
      <c r="AG3552" s="6"/>
      <c r="AH3552" s="27"/>
      <c r="AI3552" s="44"/>
      <c r="AJ3552" s="26"/>
      <c r="AK3552" s="5"/>
      <c r="AL3552" s="82" t="s">
        <v>6551</v>
      </c>
      <c r="AM3552" s="76"/>
      <c r="AN3552" s="76"/>
      <c r="AO3552" s="76"/>
      <c r="AP3552" s="76"/>
      <c r="AQ3552" s="76"/>
      <c r="AR3552" s="76"/>
      <c r="AS3552" s="76"/>
      <c r="AT3552" s="76"/>
      <c r="AU3552" s="76"/>
      <c r="AV3552" s="76"/>
      <c r="AW3552" s="76"/>
      <c r="AX3552" s="76">
        <f>+AW3552*600000</f>
        <v>0</v>
      </c>
      <c r="AY3552" s="76"/>
      <c r="AZ3552" s="76">
        <f>+AY3552*70000</f>
        <v>0</v>
      </c>
      <c r="BA3552" s="76"/>
      <c r="BB3552" s="76"/>
      <c r="BC3552" s="76"/>
      <c r="BD3552" s="76">
        <f>+BC3552*30000</f>
        <v>0</v>
      </c>
      <c r="BE3552" s="76"/>
      <c r="BF3552" s="76"/>
      <c r="BG3552" s="76"/>
      <c r="BH3552" s="76"/>
      <c r="BI3552" s="76"/>
      <c r="BJ3552" s="76"/>
      <c r="BK3552" s="76"/>
      <c r="BL3552" s="76">
        <f>+BK3552*31500</f>
        <v>0</v>
      </c>
      <c r="BM3552" s="76"/>
      <c r="BN3552" s="76"/>
      <c r="BO3552" s="76"/>
      <c r="BP3552" s="76"/>
      <c r="BQ3552" s="76"/>
      <c r="BR3552" s="76"/>
      <c r="BS3552" s="76"/>
      <c r="BT3552" s="76"/>
      <c r="BU3552" s="76"/>
      <c r="BV3552" s="76"/>
      <c r="BW3552" s="76"/>
      <c r="BX3552" s="76"/>
      <c r="BY3552" s="76"/>
      <c r="BZ3552" s="76"/>
      <c r="CA3552" s="76"/>
      <c r="CB3552" s="76"/>
      <c r="CC3552" s="76"/>
      <c r="CD3552" s="76"/>
      <c r="CE3552" s="76"/>
      <c r="CF3552" s="76">
        <f>+CE3552*28000</f>
        <v>0</v>
      </c>
      <c r="CG3552" s="76"/>
      <c r="CH3552" s="76">
        <f>+CG3552*22500</f>
        <v>0</v>
      </c>
      <c r="CI3552" s="76"/>
      <c r="CJ3552" s="76">
        <f>+CI3552*26000</f>
        <v>0</v>
      </c>
      <c r="CK3552" s="76"/>
      <c r="CL3552" s="76"/>
      <c r="CM3552" s="76"/>
      <c r="CN3552" s="76">
        <f>+CM3552*22000</f>
        <v>0</v>
      </c>
      <c r="CO3552" s="76"/>
      <c r="CP3552" s="76">
        <f>+CO3552*46000</f>
        <v>0</v>
      </c>
      <c r="CQ3552" s="76"/>
      <c r="CR3552" s="76">
        <f>+CQ3552*49000</f>
        <v>0</v>
      </c>
      <c r="CS3552" s="76"/>
      <c r="CT3552" s="76"/>
      <c r="CU3552" s="56">
        <f>AN3552+AP3552+AR3552+AT3552+AV3552+AX3552+AZ3552+BB3552+BD3552+BF3552+BH3552+BJ3552+BL3552+BN3552+BP3552+BR3552+BT3552+BV3552+BX3552+BZ3552+CB3552+CD3552+CF3552+CH3552+CJ3552+CL3552+CN3552+CP3552+CR3552+CT3552</f>
        <v>0</v>
      </c>
      <c r="CV3552" s="76"/>
      <c r="CW3552" s="76">
        <f>+CV3552*1100</f>
        <v>0</v>
      </c>
      <c r="CX3552" s="76"/>
      <c r="CY3552" s="76">
        <f>+CX3552*106250</f>
        <v>0</v>
      </c>
      <c r="CZ3552" s="76"/>
      <c r="DA3552" s="76">
        <f>+CZ3552*34500</f>
        <v>0</v>
      </c>
      <c r="DB3552" s="76"/>
      <c r="DC3552" s="76">
        <f>+DB3552*25000</f>
        <v>0</v>
      </c>
      <c r="DD3552" s="219"/>
      <c r="DE3552" s="219"/>
      <c r="DF3552" s="166"/>
      <c r="DG3552" s="116"/>
      <c r="DH3552" s="117"/>
      <c r="DI3552" s="24"/>
      <c r="DJ3552" s="24"/>
      <c r="DK3552" s="24"/>
      <c r="DL3552" s="24"/>
      <c r="DM3552" s="24"/>
      <c r="DN3552" s="24"/>
      <c r="DO3552" s="24"/>
      <c r="DP3552" s="24"/>
      <c r="DQ3552" s="24"/>
      <c r="DR3552" s="24"/>
      <c r="DS3552" s="24"/>
      <c r="DT3552" s="24"/>
      <c r="DU3552" s="24"/>
    </row>
    <row r="3553" spans="1:125" s="8" customFormat="1" ht="36" x14ac:dyDescent="0.2">
      <c r="A3553" s="77">
        <v>41581</v>
      </c>
      <c r="B3553" s="78" t="s">
        <v>529</v>
      </c>
      <c r="C3553" s="78" t="s">
        <v>529</v>
      </c>
      <c r="D3553" s="75" t="s">
        <v>3051</v>
      </c>
      <c r="E3553" s="75" t="str">
        <f>VLOOKUP(B3553&amp;C3553,Divipola!$C$2:$F$1138,4,FALSE)</f>
        <v>11001</v>
      </c>
      <c r="F3553" s="87"/>
      <c r="G3553" s="87"/>
      <c r="H3553" s="87"/>
      <c r="I3553" s="87">
        <v>25</v>
      </c>
      <c r="J3553" s="87">
        <v>5</v>
      </c>
      <c r="K3553" s="87"/>
      <c r="L3553" s="87">
        <v>5</v>
      </c>
      <c r="M3553" s="87"/>
      <c r="N3553" s="87"/>
      <c r="O3553" s="87"/>
      <c r="P3553" s="87"/>
      <c r="Q3553" s="87"/>
      <c r="R3553" s="87"/>
      <c r="S3553" s="87"/>
      <c r="T3553" s="87"/>
      <c r="U3553" s="88"/>
      <c r="V3553" s="89"/>
      <c r="W3553" s="96">
        <v>0</v>
      </c>
      <c r="X3553" s="71">
        <f>CU3553</f>
        <v>0</v>
      </c>
      <c r="Y3553" s="71">
        <f>CY3553</f>
        <v>0</v>
      </c>
      <c r="Z3553" s="71">
        <f>DA3553+DC3553+DE3553</f>
        <v>0</v>
      </c>
      <c r="AA3553" s="71">
        <f>CW3553</f>
        <v>0</v>
      </c>
      <c r="AB3553" s="71"/>
      <c r="AC3553" s="71">
        <v>0</v>
      </c>
      <c r="AD3553" s="71">
        <f>W3553+X3553+Y3553+Z3553+AA3553+AB3553+AC3553</f>
        <v>0</v>
      </c>
      <c r="AE3553" s="72">
        <v>0</v>
      </c>
      <c r="AF3553" s="5"/>
      <c r="AG3553" s="6"/>
      <c r="AH3553" s="27"/>
      <c r="AI3553" s="44"/>
      <c r="AJ3553" s="26"/>
      <c r="AK3553" s="5"/>
      <c r="AL3553" s="9" t="s">
        <v>6553</v>
      </c>
      <c r="AM3553" s="76"/>
      <c r="AN3553" s="76"/>
      <c r="AO3553" s="76"/>
      <c r="AP3553" s="76"/>
      <c r="AQ3553" s="76"/>
      <c r="AR3553" s="76"/>
      <c r="AS3553" s="76"/>
      <c r="AT3553" s="76"/>
      <c r="AU3553" s="76"/>
      <c r="AV3553" s="76"/>
      <c r="AW3553" s="76"/>
      <c r="AX3553" s="76">
        <f>+AW3553*600000</f>
        <v>0</v>
      </c>
      <c r="AY3553" s="76"/>
      <c r="AZ3553" s="76">
        <f>+AY3553*70000</f>
        <v>0</v>
      </c>
      <c r="BA3553" s="76"/>
      <c r="BB3553" s="76"/>
      <c r="BC3553" s="76"/>
      <c r="BD3553" s="76">
        <f>+BC3553*30000</f>
        <v>0</v>
      </c>
      <c r="BE3553" s="76"/>
      <c r="BF3553" s="76"/>
      <c r="BG3553" s="76"/>
      <c r="BH3553" s="76"/>
      <c r="BI3553" s="76"/>
      <c r="BJ3553" s="76"/>
      <c r="BK3553" s="76"/>
      <c r="BL3553" s="76">
        <f>+BK3553*31500</f>
        <v>0</v>
      </c>
      <c r="BM3553" s="76"/>
      <c r="BN3553" s="76"/>
      <c r="BO3553" s="76"/>
      <c r="BP3553" s="76"/>
      <c r="BQ3553" s="76"/>
      <c r="BR3553" s="76"/>
      <c r="BS3553" s="76"/>
      <c r="BT3553" s="76"/>
      <c r="BU3553" s="76"/>
      <c r="BV3553" s="76"/>
      <c r="BW3553" s="76"/>
      <c r="BX3553" s="76"/>
      <c r="BY3553" s="76"/>
      <c r="BZ3553" s="76"/>
      <c r="CA3553" s="76"/>
      <c r="CB3553" s="76"/>
      <c r="CC3553" s="76"/>
      <c r="CD3553" s="76"/>
      <c r="CE3553" s="76"/>
      <c r="CF3553" s="76">
        <f>+CE3553*28000</f>
        <v>0</v>
      </c>
      <c r="CG3553" s="76"/>
      <c r="CH3553" s="76">
        <f>+CG3553*22500</f>
        <v>0</v>
      </c>
      <c r="CI3553" s="76"/>
      <c r="CJ3553" s="76">
        <f>+CI3553*26000</f>
        <v>0</v>
      </c>
      <c r="CK3553" s="76"/>
      <c r="CL3553" s="76"/>
      <c r="CM3553" s="76"/>
      <c r="CN3553" s="76">
        <f>+CM3553*22000</f>
        <v>0</v>
      </c>
      <c r="CO3553" s="76"/>
      <c r="CP3553" s="76">
        <f>+CO3553*46000</f>
        <v>0</v>
      </c>
      <c r="CQ3553" s="76"/>
      <c r="CR3553" s="76">
        <f>+CQ3553*49000</f>
        <v>0</v>
      </c>
      <c r="CS3553" s="76"/>
      <c r="CT3553" s="76"/>
      <c r="CU3553" s="56">
        <f>AN3553+AP3553+AR3553+AT3553+AV3553+AX3553+AZ3553+BB3553+BD3553+BF3553+BH3553+BJ3553+BL3553+BN3553+BP3553+BR3553+BT3553+BV3553+BX3553+BZ3553+CB3553+CD3553+CF3553+CH3553+CJ3553+CL3553+CN3553+CP3553+CR3553+CT3553</f>
        <v>0</v>
      </c>
      <c r="CV3553" s="76"/>
      <c r="CW3553" s="76">
        <f>+CV3553*1100</f>
        <v>0</v>
      </c>
      <c r="CX3553" s="76"/>
      <c r="CY3553" s="76">
        <f>+CX3553*106250</f>
        <v>0</v>
      </c>
      <c r="CZ3553" s="76"/>
      <c r="DA3553" s="76">
        <f>+CZ3553*34500</f>
        <v>0</v>
      </c>
      <c r="DB3553" s="76"/>
      <c r="DC3553" s="76">
        <f>+DB3553*25000</f>
        <v>0</v>
      </c>
      <c r="DD3553" s="219"/>
      <c r="DE3553" s="219"/>
      <c r="DF3553" s="166"/>
      <c r="DG3553" s="116"/>
      <c r="DH3553" s="117"/>
      <c r="DI3553" s="24"/>
      <c r="DJ3553" s="24"/>
      <c r="DK3553" s="24"/>
      <c r="DL3553" s="24"/>
      <c r="DM3553" s="24"/>
      <c r="DN3553" s="24"/>
      <c r="DO3553" s="24"/>
      <c r="DP3553" s="24"/>
      <c r="DQ3553" s="24"/>
      <c r="DR3553" s="24"/>
      <c r="DS3553" s="24"/>
      <c r="DT3553" s="24"/>
      <c r="DU3553" s="24"/>
    </row>
    <row r="3554" spans="1:125" s="8" customFormat="1" ht="336" x14ac:dyDescent="0.2">
      <c r="A3554" s="353">
        <v>41581</v>
      </c>
      <c r="B3554" s="352" t="s">
        <v>2906</v>
      </c>
      <c r="C3554" s="354" t="s">
        <v>437</v>
      </c>
      <c r="D3554" s="354" t="s">
        <v>3463</v>
      </c>
      <c r="E3554" s="75" t="str">
        <f>VLOOKUP(B3554&amp;C3554,Divipola!$C$2:$F$1138,4,FALSE)</f>
        <v>47288</v>
      </c>
      <c r="F3554" s="87"/>
      <c r="G3554" s="87"/>
      <c r="H3554" s="87"/>
      <c r="I3554" s="87">
        <v>10000</v>
      </c>
      <c r="J3554" s="87">
        <v>2000</v>
      </c>
      <c r="K3554" s="87"/>
      <c r="L3554" s="87"/>
      <c r="M3554" s="87"/>
      <c r="N3554" s="87"/>
      <c r="O3554" s="87"/>
      <c r="P3554" s="87"/>
      <c r="Q3554" s="87"/>
      <c r="R3554" s="87"/>
      <c r="S3554" s="87"/>
      <c r="T3554" s="87"/>
      <c r="U3554" s="88"/>
      <c r="V3554" s="89"/>
      <c r="W3554" s="96">
        <v>0</v>
      </c>
      <c r="X3554" s="71">
        <f>CU3554</f>
        <v>0</v>
      </c>
      <c r="Y3554" s="71">
        <f>CY3554</f>
        <v>401252400</v>
      </c>
      <c r="Z3554" s="71">
        <f>DA3554+DC3554+DE3554</f>
        <v>0</v>
      </c>
      <c r="AA3554" s="71">
        <f>CW3554</f>
        <v>55000000</v>
      </c>
      <c r="AB3554" s="71"/>
      <c r="AC3554" s="71">
        <v>0</v>
      </c>
      <c r="AD3554" s="71">
        <f>W3554+X3554+Y3554+Z3554+AA3554+AB3554+AC3554</f>
        <v>456252400</v>
      </c>
      <c r="AE3554" s="72">
        <v>0</v>
      </c>
      <c r="AF3554" s="5"/>
      <c r="AG3554" s="6"/>
      <c r="AH3554" s="27"/>
      <c r="AI3554" s="44"/>
      <c r="AJ3554" s="26"/>
      <c r="AK3554" s="5"/>
      <c r="AL3554" s="278" t="s">
        <v>6665</v>
      </c>
      <c r="AM3554" s="76"/>
      <c r="AN3554" s="76"/>
      <c r="AO3554" s="76"/>
      <c r="AP3554" s="76"/>
      <c r="AQ3554" s="76"/>
      <c r="AR3554" s="76"/>
      <c r="AS3554" s="76"/>
      <c r="AT3554" s="76"/>
      <c r="AU3554" s="76"/>
      <c r="AV3554" s="76"/>
      <c r="AW3554" s="76"/>
      <c r="AX3554" s="76">
        <f>+AW3554*600000</f>
        <v>0</v>
      </c>
      <c r="AY3554" s="76"/>
      <c r="AZ3554" s="76">
        <f>+AY3554*70000</f>
        <v>0</v>
      </c>
      <c r="BA3554" s="76"/>
      <c r="BB3554" s="76"/>
      <c r="BC3554" s="76"/>
      <c r="BD3554" s="76">
        <f>+BC3554*30000</f>
        <v>0</v>
      </c>
      <c r="BE3554" s="76"/>
      <c r="BF3554" s="76"/>
      <c r="BG3554" s="76"/>
      <c r="BH3554" s="76"/>
      <c r="BI3554" s="76"/>
      <c r="BJ3554" s="76"/>
      <c r="BK3554" s="76"/>
      <c r="BL3554" s="76">
        <f>+BK3554*31500</f>
        <v>0</v>
      </c>
      <c r="BM3554" s="76"/>
      <c r="BN3554" s="76"/>
      <c r="BO3554" s="76"/>
      <c r="BP3554" s="76"/>
      <c r="BQ3554" s="76"/>
      <c r="BR3554" s="76"/>
      <c r="BS3554" s="76"/>
      <c r="BT3554" s="76"/>
      <c r="BU3554" s="76"/>
      <c r="BV3554" s="76"/>
      <c r="BW3554" s="76"/>
      <c r="BX3554" s="76"/>
      <c r="BY3554" s="76"/>
      <c r="BZ3554" s="76"/>
      <c r="CA3554" s="76"/>
      <c r="CB3554" s="76"/>
      <c r="CC3554" s="76"/>
      <c r="CD3554" s="76"/>
      <c r="CE3554" s="76"/>
      <c r="CF3554" s="76">
        <f>+CE3554*28000</f>
        <v>0</v>
      </c>
      <c r="CG3554" s="76"/>
      <c r="CH3554" s="76">
        <f>+CG3554*22500</f>
        <v>0</v>
      </c>
      <c r="CI3554" s="76"/>
      <c r="CJ3554" s="76">
        <f>+CI3554*26000</f>
        <v>0</v>
      </c>
      <c r="CK3554" s="76"/>
      <c r="CL3554" s="76"/>
      <c r="CM3554" s="76"/>
      <c r="CN3554" s="76">
        <f>+CM3554*22000</f>
        <v>0</v>
      </c>
      <c r="CO3554" s="76"/>
      <c r="CP3554" s="76">
        <f>+CO3554*46000</f>
        <v>0</v>
      </c>
      <c r="CQ3554" s="76"/>
      <c r="CR3554" s="76">
        <f>+CQ3554*49000</f>
        <v>0</v>
      </c>
      <c r="CS3554" s="76"/>
      <c r="CT3554" s="76"/>
      <c r="CU3554" s="56">
        <f>AN3554+AP3554+AR3554+AT3554+AV3554+AX3554+AZ3554+BB3554+BD3554+BF3554+BH3554+BJ3554+BL3554+BN3554+BP3554+BR3554+BT3554+BV3554+BX3554+BZ3554+CB3554+CD3554+CF3554+CH3554+CJ3554+CL3554+CN3554+CP3554+CR3554+CT3554</f>
        <v>0</v>
      </c>
      <c r="CV3554" s="76">
        <v>50000</v>
      </c>
      <c r="CW3554" s="76">
        <f>+CV3554*1100</f>
        <v>55000000</v>
      </c>
      <c r="CX3554" s="76">
        <v>3800</v>
      </c>
      <c r="CY3554" s="76">
        <f>1400*105550+1400*105166+1000*106250</f>
        <v>401252400</v>
      </c>
      <c r="CZ3554" s="76"/>
      <c r="DA3554" s="76">
        <f>+CZ3554*34500</f>
        <v>0</v>
      </c>
      <c r="DB3554" s="76"/>
      <c r="DC3554" s="76">
        <f>+DB3554*25000</f>
        <v>0</v>
      </c>
      <c r="DD3554" s="219"/>
      <c r="DE3554" s="219"/>
      <c r="DF3554" s="166"/>
      <c r="DG3554" s="192" t="s">
        <v>6942</v>
      </c>
      <c r="DH3554" s="117"/>
      <c r="DI3554" s="24"/>
      <c r="DJ3554" s="24"/>
      <c r="DK3554" s="24"/>
      <c r="DL3554" s="24"/>
      <c r="DM3554" s="24"/>
      <c r="DN3554" s="24"/>
      <c r="DO3554" s="24"/>
      <c r="DP3554" s="24"/>
      <c r="DQ3554" s="24"/>
      <c r="DR3554" s="24"/>
      <c r="DS3554" s="24"/>
      <c r="DT3554" s="24"/>
      <c r="DU3554" s="24"/>
    </row>
    <row r="3555" spans="1:125" s="8" customFormat="1" ht="120" x14ac:dyDescent="0.2">
      <c r="A3555" s="353">
        <v>41581</v>
      </c>
      <c r="B3555" s="352" t="s">
        <v>2894</v>
      </c>
      <c r="C3555" s="354" t="s">
        <v>2648</v>
      </c>
      <c r="D3555" s="354" t="s">
        <v>3051</v>
      </c>
      <c r="E3555" s="75" t="str">
        <f>VLOOKUP(B3555&amp;C3555,Divipola!$C$2:$F$1138,4,FALSE)</f>
        <v>05895</v>
      </c>
      <c r="F3555" s="87"/>
      <c r="G3555" s="87"/>
      <c r="H3555" s="87">
        <v>2</v>
      </c>
      <c r="I3555" s="87">
        <v>2100</v>
      </c>
      <c r="J3555" s="87">
        <v>420</v>
      </c>
      <c r="K3555" s="87"/>
      <c r="L3555" s="87">
        <v>420</v>
      </c>
      <c r="M3555" s="87"/>
      <c r="N3555" s="87"/>
      <c r="O3555" s="87"/>
      <c r="P3555" s="87"/>
      <c r="Q3555" s="87"/>
      <c r="R3555" s="87"/>
      <c r="S3555" s="87"/>
      <c r="T3555" s="87"/>
      <c r="U3555" s="88"/>
      <c r="V3555" s="89"/>
      <c r="W3555" s="96">
        <v>0</v>
      </c>
      <c r="X3555" s="71">
        <f>CU3555</f>
        <v>0</v>
      </c>
      <c r="Y3555" s="71">
        <f>CY3555</f>
        <v>0</v>
      </c>
      <c r="Z3555" s="71">
        <f>DA3555+DC3555+DE3555</f>
        <v>0</v>
      </c>
      <c r="AA3555" s="71">
        <f>CW3555</f>
        <v>0</v>
      </c>
      <c r="AB3555" s="71"/>
      <c r="AC3555" s="71">
        <v>0</v>
      </c>
      <c r="AD3555" s="71">
        <f>W3555+X3555+Y3555+Z3555+AA3555+AB3555+AC3555</f>
        <v>0</v>
      </c>
      <c r="AE3555" s="72">
        <v>0</v>
      </c>
      <c r="AF3555" s="5"/>
      <c r="AG3555" s="6"/>
      <c r="AH3555" s="27"/>
      <c r="AI3555" s="44"/>
      <c r="AJ3555" s="26"/>
      <c r="AK3555" s="5"/>
      <c r="AL3555" s="278" t="s">
        <v>6582</v>
      </c>
      <c r="AM3555" s="76"/>
      <c r="AN3555" s="76"/>
      <c r="AO3555" s="76"/>
      <c r="AP3555" s="76"/>
      <c r="AQ3555" s="76"/>
      <c r="AR3555" s="76"/>
      <c r="AS3555" s="76"/>
      <c r="AT3555" s="76"/>
      <c r="AU3555" s="76"/>
      <c r="AV3555" s="76"/>
      <c r="AW3555" s="76"/>
      <c r="AX3555" s="76">
        <f>+AW3555*600000</f>
        <v>0</v>
      </c>
      <c r="AY3555" s="76"/>
      <c r="AZ3555" s="76">
        <f>+AY3555*70000</f>
        <v>0</v>
      </c>
      <c r="BA3555" s="76"/>
      <c r="BB3555" s="76"/>
      <c r="BC3555" s="76"/>
      <c r="BD3555" s="76">
        <f>+BC3555*30000</f>
        <v>0</v>
      </c>
      <c r="BE3555" s="76"/>
      <c r="BF3555" s="76"/>
      <c r="BG3555" s="76"/>
      <c r="BH3555" s="76"/>
      <c r="BI3555" s="76"/>
      <c r="BJ3555" s="76"/>
      <c r="BK3555" s="76"/>
      <c r="BL3555" s="76">
        <f>+BK3555*31500</f>
        <v>0</v>
      </c>
      <c r="BM3555" s="76"/>
      <c r="BN3555" s="76"/>
      <c r="BO3555" s="76"/>
      <c r="BP3555" s="76"/>
      <c r="BQ3555" s="76"/>
      <c r="BR3555" s="76"/>
      <c r="BS3555" s="76"/>
      <c r="BT3555" s="76"/>
      <c r="BU3555" s="76"/>
      <c r="BV3555" s="76"/>
      <c r="BW3555" s="76"/>
      <c r="BX3555" s="76"/>
      <c r="BY3555" s="76"/>
      <c r="BZ3555" s="76"/>
      <c r="CA3555" s="76"/>
      <c r="CB3555" s="76"/>
      <c r="CC3555" s="76"/>
      <c r="CD3555" s="76"/>
      <c r="CE3555" s="76"/>
      <c r="CF3555" s="76">
        <f>+CE3555*28000</f>
        <v>0</v>
      </c>
      <c r="CG3555" s="76"/>
      <c r="CH3555" s="76">
        <f>+CG3555*22500</f>
        <v>0</v>
      </c>
      <c r="CI3555" s="76"/>
      <c r="CJ3555" s="76">
        <f>+CI3555*26000</f>
        <v>0</v>
      </c>
      <c r="CK3555" s="76"/>
      <c r="CL3555" s="76"/>
      <c r="CM3555" s="76"/>
      <c r="CN3555" s="76">
        <f>+CM3555*22000</f>
        <v>0</v>
      </c>
      <c r="CO3555" s="76"/>
      <c r="CP3555" s="76">
        <f>+CO3555*46000</f>
        <v>0</v>
      </c>
      <c r="CQ3555" s="76"/>
      <c r="CR3555" s="76">
        <f>+CQ3555*49000</f>
        <v>0</v>
      </c>
      <c r="CS3555" s="76"/>
      <c r="CT3555" s="76"/>
      <c r="CU3555" s="56">
        <f>AN3555+AP3555+AR3555+AT3555+AV3555+AX3555+AZ3555+BB3555+BD3555+BF3555+BH3555+BJ3555+BL3555+BN3555+BP3555+BR3555+BT3555+BV3555+BX3555+BZ3555+CB3555+CD3555+CF3555+CH3555+CJ3555+CL3555+CN3555+CP3555+CR3555+CT3555</f>
        <v>0</v>
      </c>
      <c r="CV3555" s="76"/>
      <c r="CW3555" s="76">
        <f>+CV3555*1100</f>
        <v>0</v>
      </c>
      <c r="CX3555" s="76"/>
      <c r="CY3555" s="76">
        <f>+CX3555*106250</f>
        <v>0</v>
      </c>
      <c r="CZ3555" s="76"/>
      <c r="DA3555" s="76">
        <f>+CZ3555*34500</f>
        <v>0</v>
      </c>
      <c r="DB3555" s="76"/>
      <c r="DC3555" s="76">
        <f>+DB3555*25000</f>
        <v>0</v>
      </c>
      <c r="DD3555" s="219"/>
      <c r="DE3555" s="219"/>
      <c r="DF3555" s="166"/>
      <c r="DG3555" s="116"/>
      <c r="DH3555" s="117"/>
      <c r="DI3555" s="24"/>
      <c r="DJ3555" s="24"/>
      <c r="DK3555" s="24"/>
      <c r="DL3555" s="24"/>
      <c r="DM3555" s="24"/>
      <c r="DN3555" s="24"/>
      <c r="DO3555" s="24"/>
      <c r="DP3555" s="24"/>
      <c r="DQ3555" s="24"/>
      <c r="DR3555" s="24"/>
      <c r="DS3555" s="24"/>
      <c r="DT3555" s="24"/>
      <c r="DU3555" s="24"/>
    </row>
    <row r="3556" spans="1:125" s="8" customFormat="1" ht="48" x14ac:dyDescent="0.2">
      <c r="A3556" s="77">
        <v>41581</v>
      </c>
      <c r="B3556" s="78" t="s">
        <v>2894</v>
      </c>
      <c r="C3556" s="75" t="s">
        <v>2346</v>
      </c>
      <c r="D3556" s="75" t="s">
        <v>3051</v>
      </c>
      <c r="E3556" s="75" t="str">
        <f>VLOOKUP(B3556&amp;C3556,Divipola!$C$2:$F$1138,4,FALSE)</f>
        <v>05040</v>
      </c>
      <c r="F3556" s="87"/>
      <c r="G3556" s="87"/>
      <c r="H3556" s="87"/>
      <c r="I3556" s="87">
        <v>150</v>
      </c>
      <c r="J3556" s="87">
        <v>30</v>
      </c>
      <c r="K3556" s="87">
        <v>1</v>
      </c>
      <c r="L3556" s="87">
        <v>29</v>
      </c>
      <c r="M3556" s="87"/>
      <c r="N3556" s="87"/>
      <c r="O3556" s="87"/>
      <c r="P3556" s="87"/>
      <c r="Q3556" s="87"/>
      <c r="R3556" s="87"/>
      <c r="S3556" s="87"/>
      <c r="T3556" s="87"/>
      <c r="U3556" s="88"/>
      <c r="V3556" s="89"/>
      <c r="W3556" s="96">
        <v>0</v>
      </c>
      <c r="X3556" s="71">
        <f>CU3556</f>
        <v>0</v>
      </c>
      <c r="Y3556" s="71">
        <f>CY3556</f>
        <v>0</v>
      </c>
      <c r="Z3556" s="71">
        <f>DA3556+DC3556+DE3556</f>
        <v>0</v>
      </c>
      <c r="AA3556" s="71">
        <f>CW3556</f>
        <v>0</v>
      </c>
      <c r="AB3556" s="71"/>
      <c r="AC3556" s="71">
        <v>0</v>
      </c>
      <c r="AD3556" s="71">
        <f>W3556+X3556+Y3556+Z3556+AA3556+AB3556+AC3556</f>
        <v>0</v>
      </c>
      <c r="AE3556" s="72">
        <v>0</v>
      </c>
      <c r="AF3556" s="5"/>
      <c r="AG3556" s="6"/>
      <c r="AH3556" s="27"/>
      <c r="AI3556" s="44"/>
      <c r="AJ3556" s="26"/>
      <c r="AK3556" s="5"/>
      <c r="AL3556" s="9" t="s">
        <v>6556</v>
      </c>
      <c r="AM3556" s="76"/>
      <c r="AN3556" s="76"/>
      <c r="AO3556" s="76"/>
      <c r="AP3556" s="76"/>
      <c r="AQ3556" s="76"/>
      <c r="AR3556" s="76"/>
      <c r="AS3556" s="76"/>
      <c r="AT3556" s="76"/>
      <c r="AU3556" s="76"/>
      <c r="AV3556" s="76"/>
      <c r="AW3556" s="76"/>
      <c r="AX3556" s="76">
        <f>+AW3556*600000</f>
        <v>0</v>
      </c>
      <c r="AY3556" s="76"/>
      <c r="AZ3556" s="76">
        <f>+AY3556*70000</f>
        <v>0</v>
      </c>
      <c r="BA3556" s="76"/>
      <c r="BB3556" s="76"/>
      <c r="BC3556" s="76"/>
      <c r="BD3556" s="76">
        <f>+BC3556*30000</f>
        <v>0</v>
      </c>
      <c r="BE3556" s="76"/>
      <c r="BF3556" s="76"/>
      <c r="BG3556" s="76"/>
      <c r="BH3556" s="76"/>
      <c r="BI3556" s="76"/>
      <c r="BJ3556" s="76"/>
      <c r="BK3556" s="76"/>
      <c r="BL3556" s="76">
        <f>+BK3556*31500</f>
        <v>0</v>
      </c>
      <c r="BM3556" s="76"/>
      <c r="BN3556" s="76"/>
      <c r="BO3556" s="76"/>
      <c r="BP3556" s="76"/>
      <c r="BQ3556" s="76"/>
      <c r="BR3556" s="76"/>
      <c r="BS3556" s="76"/>
      <c r="BT3556" s="76"/>
      <c r="BU3556" s="76"/>
      <c r="BV3556" s="76"/>
      <c r="BW3556" s="76"/>
      <c r="BX3556" s="76"/>
      <c r="BY3556" s="76"/>
      <c r="BZ3556" s="76"/>
      <c r="CA3556" s="76"/>
      <c r="CB3556" s="76"/>
      <c r="CC3556" s="76"/>
      <c r="CD3556" s="76"/>
      <c r="CE3556" s="76"/>
      <c r="CF3556" s="76">
        <f>+CE3556*28000</f>
        <v>0</v>
      </c>
      <c r="CG3556" s="76"/>
      <c r="CH3556" s="76">
        <f>+CG3556*22500</f>
        <v>0</v>
      </c>
      <c r="CI3556" s="76"/>
      <c r="CJ3556" s="76">
        <f>+CI3556*26000</f>
        <v>0</v>
      </c>
      <c r="CK3556" s="76"/>
      <c r="CL3556" s="76"/>
      <c r="CM3556" s="76"/>
      <c r="CN3556" s="76">
        <f>+CM3556*22000</f>
        <v>0</v>
      </c>
      <c r="CO3556" s="76"/>
      <c r="CP3556" s="76">
        <f>+CO3556*46000</f>
        <v>0</v>
      </c>
      <c r="CQ3556" s="76"/>
      <c r="CR3556" s="76">
        <f>+CQ3556*49000</f>
        <v>0</v>
      </c>
      <c r="CS3556" s="76"/>
      <c r="CT3556" s="76"/>
      <c r="CU3556" s="56">
        <f>AN3556+AP3556+AR3556+AT3556+AV3556+AX3556+AZ3556+BB3556+BD3556+BF3556+BH3556+BJ3556+BL3556+BN3556+BP3556+BR3556+BT3556+BV3556+BX3556+BZ3556+CB3556+CD3556+CF3556+CH3556+CJ3556+CL3556+CN3556+CP3556+CR3556+CT3556</f>
        <v>0</v>
      </c>
      <c r="CV3556" s="76"/>
      <c r="CW3556" s="76">
        <f>+CV3556*1100</f>
        <v>0</v>
      </c>
      <c r="CX3556" s="76"/>
      <c r="CY3556" s="76">
        <f>+CX3556*106250</f>
        <v>0</v>
      </c>
      <c r="CZ3556" s="76"/>
      <c r="DA3556" s="76">
        <f>+CZ3556*34500</f>
        <v>0</v>
      </c>
      <c r="DB3556" s="76"/>
      <c r="DC3556" s="76">
        <f>+DB3556*25000</f>
        <v>0</v>
      </c>
      <c r="DD3556" s="219"/>
      <c r="DE3556" s="219"/>
      <c r="DF3556" s="166"/>
      <c r="DG3556" s="116"/>
      <c r="DH3556" s="117"/>
      <c r="DI3556" s="24"/>
      <c r="DJ3556" s="24"/>
      <c r="DK3556" s="24"/>
      <c r="DL3556" s="24"/>
      <c r="DM3556" s="24"/>
      <c r="DN3556" s="24"/>
      <c r="DO3556" s="24"/>
      <c r="DP3556" s="24"/>
      <c r="DQ3556" s="24"/>
      <c r="DR3556" s="24"/>
      <c r="DS3556" s="24"/>
      <c r="DT3556" s="24"/>
      <c r="DU3556" s="24"/>
    </row>
    <row r="3557" spans="1:125" s="8" customFormat="1" ht="156" x14ac:dyDescent="0.2">
      <c r="A3557" s="353">
        <v>41581</v>
      </c>
      <c r="B3557" s="352" t="s">
        <v>2894</v>
      </c>
      <c r="C3557" s="354" t="s">
        <v>2032</v>
      </c>
      <c r="D3557" s="354" t="s">
        <v>3088</v>
      </c>
      <c r="E3557" s="75" t="str">
        <f>VLOOKUP(B3557&amp;C3557,Divipola!$C$2:$F$1138,4,FALSE)</f>
        <v>05001</v>
      </c>
      <c r="F3557" s="87"/>
      <c r="G3557" s="87"/>
      <c r="H3557" s="87"/>
      <c r="I3557" s="87">
        <v>25</v>
      </c>
      <c r="J3557" s="87">
        <v>5</v>
      </c>
      <c r="K3557" s="87"/>
      <c r="L3557" s="87">
        <v>5</v>
      </c>
      <c r="M3557" s="87"/>
      <c r="N3557" s="87"/>
      <c r="O3557" s="87"/>
      <c r="P3557" s="87"/>
      <c r="Q3557" s="87"/>
      <c r="R3557" s="87"/>
      <c r="S3557" s="87"/>
      <c r="T3557" s="87"/>
      <c r="U3557" s="88"/>
      <c r="V3557" s="89"/>
      <c r="W3557" s="96">
        <v>0</v>
      </c>
      <c r="X3557" s="71">
        <f>CU3557</f>
        <v>0</v>
      </c>
      <c r="Y3557" s="71">
        <f>CY3557</f>
        <v>0</v>
      </c>
      <c r="Z3557" s="71">
        <f>DA3557+DC3557+DE3557</f>
        <v>0</v>
      </c>
      <c r="AA3557" s="71">
        <f>CW3557</f>
        <v>0</v>
      </c>
      <c r="AB3557" s="71"/>
      <c r="AC3557" s="71">
        <v>0</v>
      </c>
      <c r="AD3557" s="71">
        <f>W3557+X3557+Y3557+Z3557+AA3557+AB3557+AC3557</f>
        <v>0</v>
      </c>
      <c r="AE3557" s="72">
        <v>0</v>
      </c>
      <c r="AF3557" s="5"/>
      <c r="AG3557" s="6"/>
      <c r="AH3557" s="27"/>
      <c r="AI3557" s="44"/>
      <c r="AJ3557" s="26"/>
      <c r="AK3557" s="5"/>
      <c r="AL3557" s="82" t="s">
        <v>6561</v>
      </c>
      <c r="AM3557" s="76"/>
      <c r="AN3557" s="76"/>
      <c r="AO3557" s="76"/>
      <c r="AP3557" s="76"/>
      <c r="AQ3557" s="76"/>
      <c r="AR3557" s="76"/>
      <c r="AS3557" s="76"/>
      <c r="AT3557" s="76"/>
      <c r="AU3557" s="76"/>
      <c r="AV3557" s="76"/>
      <c r="AW3557" s="76"/>
      <c r="AX3557" s="76">
        <f>+AW3557*600000</f>
        <v>0</v>
      </c>
      <c r="AY3557" s="76"/>
      <c r="AZ3557" s="76">
        <f>+AY3557*70000</f>
        <v>0</v>
      </c>
      <c r="BA3557" s="76"/>
      <c r="BB3557" s="76"/>
      <c r="BC3557" s="76"/>
      <c r="BD3557" s="76">
        <f>+BC3557*30000</f>
        <v>0</v>
      </c>
      <c r="BE3557" s="76"/>
      <c r="BF3557" s="76"/>
      <c r="BG3557" s="76"/>
      <c r="BH3557" s="76"/>
      <c r="BI3557" s="76"/>
      <c r="BJ3557" s="76"/>
      <c r="BK3557" s="76"/>
      <c r="BL3557" s="76">
        <f>+BK3557*31500</f>
        <v>0</v>
      </c>
      <c r="BM3557" s="76"/>
      <c r="BN3557" s="76"/>
      <c r="BO3557" s="76"/>
      <c r="BP3557" s="76"/>
      <c r="BQ3557" s="76"/>
      <c r="BR3557" s="76"/>
      <c r="BS3557" s="76"/>
      <c r="BT3557" s="76"/>
      <c r="BU3557" s="76"/>
      <c r="BV3557" s="76"/>
      <c r="BW3557" s="76"/>
      <c r="BX3557" s="76"/>
      <c r="BY3557" s="76"/>
      <c r="BZ3557" s="76"/>
      <c r="CA3557" s="76"/>
      <c r="CB3557" s="76"/>
      <c r="CC3557" s="76"/>
      <c r="CD3557" s="76"/>
      <c r="CE3557" s="76"/>
      <c r="CF3557" s="76">
        <f>+CE3557*28000</f>
        <v>0</v>
      </c>
      <c r="CG3557" s="76"/>
      <c r="CH3557" s="76">
        <f>+CG3557*22500</f>
        <v>0</v>
      </c>
      <c r="CI3557" s="76"/>
      <c r="CJ3557" s="76">
        <f>+CI3557*26000</f>
        <v>0</v>
      </c>
      <c r="CK3557" s="76"/>
      <c r="CL3557" s="76"/>
      <c r="CM3557" s="76"/>
      <c r="CN3557" s="76">
        <f>+CM3557*22000</f>
        <v>0</v>
      </c>
      <c r="CO3557" s="76"/>
      <c r="CP3557" s="76">
        <f>+CO3557*46000</f>
        <v>0</v>
      </c>
      <c r="CQ3557" s="76"/>
      <c r="CR3557" s="76">
        <f>+CQ3557*49000</f>
        <v>0</v>
      </c>
      <c r="CS3557" s="76"/>
      <c r="CT3557" s="76"/>
      <c r="CU3557" s="56">
        <f>AN3557+AP3557+AR3557+AT3557+AV3557+AX3557+AZ3557+BB3557+BD3557+BF3557+BH3557+BJ3557+BL3557+BN3557+BP3557+BR3557+BT3557+BV3557+BX3557+BZ3557+CB3557+CD3557+CF3557+CH3557+CJ3557+CL3557+CN3557+CP3557+CR3557+CT3557</f>
        <v>0</v>
      </c>
      <c r="CV3557" s="76"/>
      <c r="CW3557" s="76">
        <f>+CV3557*1100</f>
        <v>0</v>
      </c>
      <c r="CX3557" s="76"/>
      <c r="CY3557" s="76">
        <f>+CX3557*106250</f>
        <v>0</v>
      </c>
      <c r="CZ3557" s="76"/>
      <c r="DA3557" s="76">
        <f>+CZ3557*34500</f>
        <v>0</v>
      </c>
      <c r="DB3557" s="76"/>
      <c r="DC3557" s="76">
        <f>+DB3557*25000</f>
        <v>0</v>
      </c>
      <c r="DD3557" s="219"/>
      <c r="DE3557" s="219"/>
      <c r="DF3557" s="166"/>
      <c r="DG3557" s="116"/>
      <c r="DH3557" s="117"/>
      <c r="DI3557" s="24"/>
      <c r="DJ3557" s="24"/>
      <c r="DK3557" s="24"/>
      <c r="DL3557" s="24"/>
      <c r="DM3557" s="24"/>
      <c r="DN3557" s="24"/>
      <c r="DO3557" s="24"/>
      <c r="DP3557" s="24"/>
      <c r="DQ3557" s="24"/>
      <c r="DR3557" s="24"/>
      <c r="DS3557" s="24"/>
      <c r="DT3557" s="24"/>
      <c r="DU3557" s="24"/>
    </row>
    <row r="3558" spans="1:125" s="8" customFormat="1" ht="132" x14ac:dyDescent="0.2">
      <c r="A3558" s="77">
        <v>41582</v>
      </c>
      <c r="B3558" s="78" t="s">
        <v>2854</v>
      </c>
      <c r="C3558" s="75" t="s">
        <v>1359</v>
      </c>
      <c r="D3558" s="75" t="s">
        <v>2849</v>
      </c>
      <c r="E3558" s="75" t="str">
        <f>VLOOKUP(B3558&amp;C3558,Divipola!$C$2:$F$1138,4,FALSE)</f>
        <v>19364</v>
      </c>
      <c r="F3558" s="87">
        <v>10</v>
      </c>
      <c r="G3558" s="87">
        <v>55</v>
      </c>
      <c r="H3558" s="87"/>
      <c r="I3558" s="87">
        <v>65</v>
      </c>
      <c r="J3558" s="87"/>
      <c r="K3558" s="87"/>
      <c r="L3558" s="87"/>
      <c r="M3558" s="87"/>
      <c r="N3558" s="87"/>
      <c r="O3558" s="87"/>
      <c r="P3558" s="87"/>
      <c r="Q3558" s="87"/>
      <c r="R3558" s="87"/>
      <c r="S3558" s="87"/>
      <c r="T3558" s="87"/>
      <c r="U3558" s="88"/>
      <c r="V3558" s="89">
        <v>1</v>
      </c>
      <c r="W3558" s="96">
        <v>0</v>
      </c>
      <c r="X3558" s="71">
        <f>CU3558</f>
        <v>0</v>
      </c>
      <c r="Y3558" s="71">
        <f>CY3558</f>
        <v>0</v>
      </c>
      <c r="Z3558" s="71">
        <f>DA3558+DC3558+DE3558</f>
        <v>0</v>
      </c>
      <c r="AA3558" s="71">
        <f>CW3558</f>
        <v>0</v>
      </c>
      <c r="AB3558" s="71"/>
      <c r="AC3558" s="71">
        <v>0</v>
      </c>
      <c r="AD3558" s="71">
        <f>W3558+X3558+Y3558+Z3558+AA3558+AB3558+AC3558</f>
        <v>0</v>
      </c>
      <c r="AE3558" s="72">
        <v>0</v>
      </c>
      <c r="AF3558" s="5"/>
      <c r="AG3558" s="6"/>
      <c r="AH3558" s="27"/>
      <c r="AI3558" s="44"/>
      <c r="AJ3558" s="26"/>
      <c r="AK3558" s="5"/>
      <c r="AL3558" s="268" t="s">
        <v>6557</v>
      </c>
      <c r="AM3558" s="76"/>
      <c r="AN3558" s="76"/>
      <c r="AO3558" s="76"/>
      <c r="AP3558" s="76"/>
      <c r="AQ3558" s="76"/>
      <c r="AR3558" s="76"/>
      <c r="AS3558" s="76"/>
      <c r="AT3558" s="76"/>
      <c r="AU3558" s="76"/>
      <c r="AV3558" s="76"/>
      <c r="AW3558" s="76"/>
      <c r="AX3558" s="76">
        <f>+AW3558*600000</f>
        <v>0</v>
      </c>
      <c r="AY3558" s="76"/>
      <c r="AZ3558" s="76">
        <f>+AY3558*70000</f>
        <v>0</v>
      </c>
      <c r="BA3558" s="76"/>
      <c r="BB3558" s="76"/>
      <c r="BC3558" s="76"/>
      <c r="BD3558" s="76">
        <f>+BC3558*30000</f>
        <v>0</v>
      </c>
      <c r="BE3558" s="76"/>
      <c r="BF3558" s="76"/>
      <c r="BG3558" s="76"/>
      <c r="BH3558" s="76"/>
      <c r="BI3558" s="76"/>
      <c r="BJ3558" s="76"/>
      <c r="BK3558" s="76"/>
      <c r="BL3558" s="76">
        <f>+BK3558*31500</f>
        <v>0</v>
      </c>
      <c r="BM3558" s="76"/>
      <c r="BN3558" s="76"/>
      <c r="BO3558" s="76"/>
      <c r="BP3558" s="76"/>
      <c r="BQ3558" s="76"/>
      <c r="BR3558" s="76"/>
      <c r="BS3558" s="76"/>
      <c r="BT3558" s="76"/>
      <c r="BU3558" s="76"/>
      <c r="BV3558" s="76"/>
      <c r="BW3558" s="76"/>
      <c r="BX3558" s="76"/>
      <c r="BY3558" s="76"/>
      <c r="BZ3558" s="76"/>
      <c r="CA3558" s="76"/>
      <c r="CB3558" s="76"/>
      <c r="CC3558" s="76"/>
      <c r="CD3558" s="76"/>
      <c r="CE3558" s="76"/>
      <c r="CF3558" s="76">
        <f>+CE3558*28000</f>
        <v>0</v>
      </c>
      <c r="CG3558" s="76"/>
      <c r="CH3558" s="76">
        <f>+CG3558*22500</f>
        <v>0</v>
      </c>
      <c r="CI3558" s="76"/>
      <c r="CJ3558" s="76">
        <f>+CI3558*26000</f>
        <v>0</v>
      </c>
      <c r="CK3558" s="76"/>
      <c r="CL3558" s="76"/>
      <c r="CM3558" s="76"/>
      <c r="CN3558" s="76">
        <f>+CM3558*22000</f>
        <v>0</v>
      </c>
      <c r="CO3558" s="76"/>
      <c r="CP3558" s="76">
        <f>+CO3558*46000</f>
        <v>0</v>
      </c>
      <c r="CQ3558" s="76"/>
      <c r="CR3558" s="76">
        <f>+CQ3558*49000</f>
        <v>0</v>
      </c>
      <c r="CS3558" s="76"/>
      <c r="CT3558" s="76"/>
      <c r="CU3558" s="56">
        <f>AN3558+AP3558+AR3558+AT3558+AV3558+AX3558+AZ3558+BB3558+BD3558+BF3558+BH3558+BJ3558+BL3558+BN3558+BP3558+BR3558+BT3558+BV3558+BX3558+BZ3558+CB3558+CD3558+CF3558+CH3558+CJ3558+CL3558+CN3558+CP3558+CR3558+CT3558</f>
        <v>0</v>
      </c>
      <c r="CV3558" s="76"/>
      <c r="CW3558" s="76">
        <f>+CV3558*1100</f>
        <v>0</v>
      </c>
      <c r="CX3558" s="76"/>
      <c r="CY3558" s="76">
        <f>+CX3558*106250</f>
        <v>0</v>
      </c>
      <c r="CZ3558" s="76"/>
      <c r="DA3558" s="76">
        <f>+CZ3558*34500</f>
        <v>0</v>
      </c>
      <c r="DB3558" s="76"/>
      <c r="DC3558" s="76">
        <f>+DB3558*25000</f>
        <v>0</v>
      </c>
      <c r="DD3558" s="219"/>
      <c r="DE3558" s="219"/>
      <c r="DF3558" s="166"/>
      <c r="DG3558" s="116"/>
      <c r="DH3558" s="117"/>
      <c r="DI3558" s="24"/>
      <c r="DJ3558" s="24"/>
      <c r="DK3558" s="24"/>
      <c r="DL3558" s="24"/>
      <c r="DM3558" s="24"/>
      <c r="DN3558" s="24"/>
      <c r="DO3558" s="24"/>
      <c r="DP3558" s="24"/>
      <c r="DQ3558" s="24"/>
      <c r="DR3558" s="24"/>
      <c r="DS3558" s="24"/>
      <c r="DT3558" s="24"/>
      <c r="DU3558" s="24"/>
    </row>
    <row r="3559" spans="1:125" s="8" customFormat="1" ht="180" x14ac:dyDescent="0.2">
      <c r="A3559" s="77">
        <v>41582</v>
      </c>
      <c r="B3559" s="352" t="s">
        <v>506</v>
      </c>
      <c r="C3559" s="354" t="s">
        <v>1697</v>
      </c>
      <c r="D3559" s="354" t="s">
        <v>2859</v>
      </c>
      <c r="E3559" s="75" t="str">
        <f>VLOOKUP(B3559&amp;C3559,Divipola!$C$2:$F$1138,4,FALSE)</f>
        <v>50001</v>
      </c>
      <c r="F3559" s="87"/>
      <c r="G3559" s="87"/>
      <c r="H3559" s="87"/>
      <c r="I3559" s="87"/>
      <c r="J3559" s="87"/>
      <c r="K3559" s="87"/>
      <c r="L3559" s="87"/>
      <c r="M3559" s="87"/>
      <c r="N3559" s="87"/>
      <c r="O3559" s="87"/>
      <c r="P3559" s="87"/>
      <c r="Q3559" s="87"/>
      <c r="R3559" s="87"/>
      <c r="S3559" s="87"/>
      <c r="T3559" s="87">
        <v>1</v>
      </c>
      <c r="U3559" s="88"/>
      <c r="V3559" s="89">
        <v>1</v>
      </c>
      <c r="W3559" s="96">
        <v>0</v>
      </c>
      <c r="X3559" s="71">
        <f>CU3559</f>
        <v>0</v>
      </c>
      <c r="Y3559" s="71">
        <f>CY3559</f>
        <v>0</v>
      </c>
      <c r="Z3559" s="71">
        <f>DA3559+DC3559+DE3559</f>
        <v>0</v>
      </c>
      <c r="AA3559" s="71">
        <f>CW3559</f>
        <v>0</v>
      </c>
      <c r="AB3559" s="71"/>
      <c r="AC3559" s="71">
        <v>0</v>
      </c>
      <c r="AD3559" s="71">
        <f>W3559+X3559+Y3559+Z3559+AA3559+AB3559+AC3559</f>
        <v>0</v>
      </c>
      <c r="AE3559" s="72">
        <v>0</v>
      </c>
      <c r="AF3559" s="5"/>
      <c r="AG3559" s="6"/>
      <c r="AH3559" s="27"/>
      <c r="AI3559" s="44"/>
      <c r="AJ3559" s="26"/>
      <c r="AK3559" s="5"/>
      <c r="AL3559" s="268" t="s">
        <v>6558</v>
      </c>
      <c r="AM3559" s="76"/>
      <c r="AN3559" s="76"/>
      <c r="AO3559" s="76"/>
      <c r="AP3559" s="76"/>
      <c r="AQ3559" s="76"/>
      <c r="AR3559" s="76"/>
      <c r="AS3559" s="76"/>
      <c r="AT3559" s="76"/>
      <c r="AU3559" s="76"/>
      <c r="AV3559" s="76"/>
      <c r="AW3559" s="76"/>
      <c r="AX3559" s="76">
        <f>+AW3559*600000</f>
        <v>0</v>
      </c>
      <c r="AY3559" s="76"/>
      <c r="AZ3559" s="76">
        <f>+AY3559*70000</f>
        <v>0</v>
      </c>
      <c r="BA3559" s="76"/>
      <c r="BB3559" s="76"/>
      <c r="BC3559" s="76"/>
      <c r="BD3559" s="76">
        <f>+BC3559*30000</f>
        <v>0</v>
      </c>
      <c r="BE3559" s="76"/>
      <c r="BF3559" s="76"/>
      <c r="BG3559" s="76"/>
      <c r="BH3559" s="76"/>
      <c r="BI3559" s="76"/>
      <c r="BJ3559" s="76"/>
      <c r="BK3559" s="76"/>
      <c r="BL3559" s="76">
        <f>+BK3559*31500</f>
        <v>0</v>
      </c>
      <c r="BM3559" s="76"/>
      <c r="BN3559" s="76"/>
      <c r="BO3559" s="76"/>
      <c r="BP3559" s="76"/>
      <c r="BQ3559" s="76"/>
      <c r="BR3559" s="76"/>
      <c r="BS3559" s="76"/>
      <c r="BT3559" s="76"/>
      <c r="BU3559" s="76"/>
      <c r="BV3559" s="76"/>
      <c r="BW3559" s="76"/>
      <c r="BX3559" s="76"/>
      <c r="BY3559" s="76"/>
      <c r="BZ3559" s="76"/>
      <c r="CA3559" s="76"/>
      <c r="CB3559" s="76"/>
      <c r="CC3559" s="76"/>
      <c r="CD3559" s="76"/>
      <c r="CE3559" s="76"/>
      <c r="CF3559" s="76">
        <f>+CE3559*28000</f>
        <v>0</v>
      </c>
      <c r="CG3559" s="76"/>
      <c r="CH3559" s="76">
        <f>+CG3559*22500</f>
        <v>0</v>
      </c>
      <c r="CI3559" s="76"/>
      <c r="CJ3559" s="76">
        <f>+CI3559*26000</f>
        <v>0</v>
      </c>
      <c r="CK3559" s="76"/>
      <c r="CL3559" s="76"/>
      <c r="CM3559" s="76"/>
      <c r="CN3559" s="76">
        <f>+CM3559*22000</f>
        <v>0</v>
      </c>
      <c r="CO3559" s="76"/>
      <c r="CP3559" s="76">
        <f>+CO3559*46000</f>
        <v>0</v>
      </c>
      <c r="CQ3559" s="76"/>
      <c r="CR3559" s="76">
        <f>+CQ3559*49000</f>
        <v>0</v>
      </c>
      <c r="CS3559" s="76"/>
      <c r="CT3559" s="76"/>
      <c r="CU3559" s="56">
        <f>AN3559+AP3559+AR3559+AT3559+AV3559+AX3559+AZ3559+BB3559+BD3559+BF3559+BH3559+BJ3559+BL3559+BN3559+BP3559+BR3559+BT3559+BV3559+BX3559+BZ3559+CB3559+CD3559+CF3559+CH3559+CJ3559+CL3559+CN3559+CP3559+CR3559+CT3559</f>
        <v>0</v>
      </c>
      <c r="CV3559" s="76"/>
      <c r="CW3559" s="76">
        <f>+CV3559*1100</f>
        <v>0</v>
      </c>
      <c r="CX3559" s="76"/>
      <c r="CY3559" s="76">
        <f>+CX3559*106250</f>
        <v>0</v>
      </c>
      <c r="CZ3559" s="76"/>
      <c r="DA3559" s="76">
        <f>+CZ3559*34500</f>
        <v>0</v>
      </c>
      <c r="DB3559" s="76"/>
      <c r="DC3559" s="76">
        <f>+DB3559*25000</f>
        <v>0</v>
      </c>
      <c r="DD3559" s="219"/>
      <c r="DE3559" s="219"/>
      <c r="DF3559" s="166"/>
      <c r="DG3559" s="116"/>
      <c r="DH3559" s="117"/>
      <c r="DI3559" s="24"/>
      <c r="DJ3559" s="24"/>
      <c r="DK3559" s="24"/>
      <c r="DL3559" s="24"/>
      <c r="DM3559" s="24"/>
      <c r="DN3559" s="24"/>
      <c r="DO3559" s="24"/>
      <c r="DP3559" s="24"/>
      <c r="DQ3559" s="24"/>
      <c r="DR3559" s="24"/>
      <c r="DS3559" s="24"/>
      <c r="DT3559" s="24"/>
      <c r="DU3559" s="24"/>
    </row>
    <row r="3560" spans="1:125" s="8" customFormat="1" ht="48" x14ac:dyDescent="0.2">
      <c r="A3560" s="353">
        <v>41582</v>
      </c>
      <c r="B3560" s="352" t="s">
        <v>2778</v>
      </c>
      <c r="C3560" s="354" t="s">
        <v>509</v>
      </c>
      <c r="D3560" s="354" t="s">
        <v>2882</v>
      </c>
      <c r="E3560" s="75" t="str">
        <f>VLOOKUP(B3560&amp;C3560,Divipola!$C$2:$F$1138,4,FALSE)</f>
        <v>85125</v>
      </c>
      <c r="F3560" s="87"/>
      <c r="G3560" s="87"/>
      <c r="H3560" s="87"/>
      <c r="I3560" s="87">
        <v>13</v>
      </c>
      <c r="J3560" s="87">
        <v>4</v>
      </c>
      <c r="K3560" s="87"/>
      <c r="L3560" s="87">
        <v>4</v>
      </c>
      <c r="M3560" s="87"/>
      <c r="N3560" s="87"/>
      <c r="O3560" s="87"/>
      <c r="P3560" s="87"/>
      <c r="Q3560" s="87"/>
      <c r="R3560" s="87"/>
      <c r="S3560" s="87"/>
      <c r="T3560" s="87"/>
      <c r="U3560" s="88">
        <v>14</v>
      </c>
      <c r="V3560" s="89"/>
      <c r="W3560" s="96">
        <v>0</v>
      </c>
      <c r="X3560" s="71">
        <f>CU3560</f>
        <v>0</v>
      </c>
      <c r="Y3560" s="71">
        <f>CY3560</f>
        <v>0</v>
      </c>
      <c r="Z3560" s="71">
        <f>DA3560+DC3560+DE3560</f>
        <v>0</v>
      </c>
      <c r="AA3560" s="71">
        <f>CW3560</f>
        <v>0</v>
      </c>
      <c r="AB3560" s="71"/>
      <c r="AC3560" s="71">
        <v>0</v>
      </c>
      <c r="AD3560" s="71">
        <f>W3560+X3560+Y3560+Z3560+AA3560+AB3560+AC3560</f>
        <v>0</v>
      </c>
      <c r="AE3560" s="72">
        <v>0</v>
      </c>
      <c r="AF3560" s="5"/>
      <c r="AG3560" s="6"/>
      <c r="AH3560" s="27"/>
      <c r="AI3560" s="44"/>
      <c r="AJ3560" s="26"/>
      <c r="AK3560" s="5"/>
      <c r="AL3560" s="82" t="s">
        <v>6564</v>
      </c>
      <c r="AM3560" s="76"/>
      <c r="AN3560" s="76"/>
      <c r="AO3560" s="76"/>
      <c r="AP3560" s="76"/>
      <c r="AQ3560" s="76"/>
      <c r="AR3560" s="76"/>
      <c r="AS3560" s="76"/>
      <c r="AT3560" s="76"/>
      <c r="AU3560" s="76"/>
      <c r="AV3560" s="76"/>
      <c r="AW3560" s="76"/>
      <c r="AX3560" s="76">
        <f>+AW3560*600000</f>
        <v>0</v>
      </c>
      <c r="AY3560" s="76"/>
      <c r="AZ3560" s="76">
        <f>+AY3560*70000</f>
        <v>0</v>
      </c>
      <c r="BA3560" s="76"/>
      <c r="BB3560" s="76"/>
      <c r="BC3560" s="76"/>
      <c r="BD3560" s="76">
        <f>+BC3560*30000</f>
        <v>0</v>
      </c>
      <c r="BE3560" s="76"/>
      <c r="BF3560" s="76"/>
      <c r="BG3560" s="76"/>
      <c r="BH3560" s="76"/>
      <c r="BI3560" s="76"/>
      <c r="BJ3560" s="76"/>
      <c r="BK3560" s="76"/>
      <c r="BL3560" s="76">
        <f>+BK3560*31500</f>
        <v>0</v>
      </c>
      <c r="BM3560" s="76"/>
      <c r="BN3560" s="76"/>
      <c r="BO3560" s="76"/>
      <c r="BP3560" s="76"/>
      <c r="BQ3560" s="76"/>
      <c r="BR3560" s="76"/>
      <c r="BS3560" s="76"/>
      <c r="BT3560" s="76"/>
      <c r="BU3560" s="76"/>
      <c r="BV3560" s="76"/>
      <c r="BW3560" s="76"/>
      <c r="BX3560" s="76"/>
      <c r="BY3560" s="76"/>
      <c r="BZ3560" s="76"/>
      <c r="CA3560" s="76"/>
      <c r="CB3560" s="76"/>
      <c r="CC3560" s="76"/>
      <c r="CD3560" s="76"/>
      <c r="CE3560" s="76"/>
      <c r="CF3560" s="76">
        <f>+CE3560*28000</f>
        <v>0</v>
      </c>
      <c r="CG3560" s="76"/>
      <c r="CH3560" s="76">
        <f>+CG3560*22500</f>
        <v>0</v>
      </c>
      <c r="CI3560" s="76"/>
      <c r="CJ3560" s="76">
        <f>+CI3560*26000</f>
        <v>0</v>
      </c>
      <c r="CK3560" s="76"/>
      <c r="CL3560" s="76"/>
      <c r="CM3560" s="76"/>
      <c r="CN3560" s="76">
        <f>+CM3560*22000</f>
        <v>0</v>
      </c>
      <c r="CO3560" s="76"/>
      <c r="CP3560" s="76">
        <f>+CO3560*46000</f>
        <v>0</v>
      </c>
      <c r="CQ3560" s="76"/>
      <c r="CR3560" s="76">
        <f>+CQ3560*49000</f>
        <v>0</v>
      </c>
      <c r="CS3560" s="76"/>
      <c r="CT3560" s="76"/>
      <c r="CU3560" s="56">
        <f>AN3560+AP3560+AR3560+AT3560+AV3560+AX3560+AZ3560+BB3560+BD3560+BF3560+BH3560+BJ3560+BL3560+BN3560+BP3560+BR3560+BT3560+BV3560+BX3560+BZ3560+CB3560+CD3560+CF3560+CH3560+CJ3560+CL3560+CN3560+CP3560+CR3560+CT3560</f>
        <v>0</v>
      </c>
      <c r="CV3560" s="76"/>
      <c r="CW3560" s="76">
        <f>+CV3560*1100</f>
        <v>0</v>
      </c>
      <c r="CX3560" s="76"/>
      <c r="CY3560" s="76">
        <f>+CX3560*106250</f>
        <v>0</v>
      </c>
      <c r="CZ3560" s="76"/>
      <c r="DA3560" s="76">
        <f>+CZ3560*34500</f>
        <v>0</v>
      </c>
      <c r="DB3560" s="76"/>
      <c r="DC3560" s="76">
        <f>+DB3560*25000</f>
        <v>0</v>
      </c>
      <c r="DD3560" s="219"/>
      <c r="DE3560" s="219"/>
      <c r="DF3560" s="166"/>
      <c r="DG3560" s="116"/>
      <c r="DH3560" s="117"/>
      <c r="DI3560" s="24"/>
      <c r="DJ3560" s="24"/>
      <c r="DK3560" s="24"/>
      <c r="DL3560" s="24"/>
      <c r="DM3560" s="24"/>
      <c r="DN3560" s="24"/>
      <c r="DO3560" s="24"/>
      <c r="DP3560" s="24"/>
      <c r="DQ3560" s="24"/>
      <c r="DR3560" s="24"/>
      <c r="DS3560" s="24"/>
      <c r="DT3560" s="24"/>
      <c r="DU3560" s="24"/>
    </row>
    <row r="3561" spans="1:125" s="8" customFormat="1" ht="72" x14ac:dyDescent="0.2">
      <c r="A3561" s="353">
        <v>41582</v>
      </c>
      <c r="B3561" s="352" t="s">
        <v>2772</v>
      </c>
      <c r="C3561" s="354" t="s">
        <v>1062</v>
      </c>
      <c r="D3561" s="354" t="s">
        <v>2859</v>
      </c>
      <c r="E3561" s="75" t="str">
        <f>VLOOKUP(B3561&amp;C3561,Divipola!$C$2:$F$1138,4,FALSE)</f>
        <v>25293</v>
      </c>
      <c r="F3561" s="87"/>
      <c r="G3561" s="87"/>
      <c r="H3561" s="87"/>
      <c r="I3561" s="87">
        <v>1</v>
      </c>
      <c r="J3561" s="87">
        <v>1</v>
      </c>
      <c r="K3561" s="87"/>
      <c r="L3561" s="87">
        <v>1</v>
      </c>
      <c r="M3561" s="87"/>
      <c r="N3561" s="87"/>
      <c r="O3561" s="87"/>
      <c r="P3561" s="87"/>
      <c r="Q3561" s="87"/>
      <c r="R3561" s="87"/>
      <c r="S3561" s="87"/>
      <c r="T3561" s="87"/>
      <c r="U3561" s="88"/>
      <c r="V3561" s="89"/>
      <c r="W3561" s="96">
        <v>0</v>
      </c>
      <c r="X3561" s="71">
        <f>CU3561</f>
        <v>0</v>
      </c>
      <c r="Y3561" s="71">
        <f>CY3561</f>
        <v>0</v>
      </c>
      <c r="Z3561" s="71">
        <f>DA3561+DC3561+DE3561</f>
        <v>0</v>
      </c>
      <c r="AA3561" s="71">
        <f>CW3561</f>
        <v>0</v>
      </c>
      <c r="AB3561" s="71"/>
      <c r="AC3561" s="71">
        <v>0</v>
      </c>
      <c r="AD3561" s="71">
        <f>W3561+X3561+Y3561+Z3561+AA3561+AB3561+AC3561</f>
        <v>0</v>
      </c>
      <c r="AE3561" s="72">
        <v>0</v>
      </c>
      <c r="AF3561" s="5"/>
      <c r="AG3561" s="6"/>
      <c r="AH3561" s="27"/>
      <c r="AI3561" s="44"/>
      <c r="AJ3561" s="26"/>
      <c r="AK3561" s="5"/>
      <c r="AL3561" s="82" t="s">
        <v>6565</v>
      </c>
      <c r="AM3561" s="76"/>
      <c r="AN3561" s="76"/>
      <c r="AO3561" s="76"/>
      <c r="AP3561" s="76"/>
      <c r="AQ3561" s="76"/>
      <c r="AR3561" s="76"/>
      <c r="AS3561" s="76"/>
      <c r="AT3561" s="76"/>
      <c r="AU3561" s="76"/>
      <c r="AV3561" s="76"/>
      <c r="AW3561" s="76"/>
      <c r="AX3561" s="76">
        <f>+AW3561*600000</f>
        <v>0</v>
      </c>
      <c r="AY3561" s="76"/>
      <c r="AZ3561" s="76">
        <f>+AY3561*70000</f>
        <v>0</v>
      </c>
      <c r="BA3561" s="76"/>
      <c r="BB3561" s="76"/>
      <c r="BC3561" s="76"/>
      <c r="BD3561" s="76">
        <f>+BC3561*30000</f>
        <v>0</v>
      </c>
      <c r="BE3561" s="76"/>
      <c r="BF3561" s="76"/>
      <c r="BG3561" s="76"/>
      <c r="BH3561" s="76"/>
      <c r="BI3561" s="76"/>
      <c r="BJ3561" s="76"/>
      <c r="BK3561" s="76"/>
      <c r="BL3561" s="76">
        <f>+BK3561*31500</f>
        <v>0</v>
      </c>
      <c r="BM3561" s="76"/>
      <c r="BN3561" s="76"/>
      <c r="BO3561" s="76"/>
      <c r="BP3561" s="76"/>
      <c r="BQ3561" s="76"/>
      <c r="BR3561" s="76"/>
      <c r="BS3561" s="76"/>
      <c r="BT3561" s="76"/>
      <c r="BU3561" s="76"/>
      <c r="BV3561" s="76"/>
      <c r="BW3561" s="76"/>
      <c r="BX3561" s="76"/>
      <c r="BY3561" s="76"/>
      <c r="BZ3561" s="76"/>
      <c r="CA3561" s="76"/>
      <c r="CB3561" s="76"/>
      <c r="CC3561" s="76"/>
      <c r="CD3561" s="76"/>
      <c r="CE3561" s="76"/>
      <c r="CF3561" s="76">
        <f>+CE3561*28000</f>
        <v>0</v>
      </c>
      <c r="CG3561" s="76"/>
      <c r="CH3561" s="76">
        <f>+CG3561*22500</f>
        <v>0</v>
      </c>
      <c r="CI3561" s="76"/>
      <c r="CJ3561" s="76">
        <f>+CI3561*26000</f>
        <v>0</v>
      </c>
      <c r="CK3561" s="76"/>
      <c r="CL3561" s="76"/>
      <c r="CM3561" s="76"/>
      <c r="CN3561" s="76">
        <f>+CM3561*22000</f>
        <v>0</v>
      </c>
      <c r="CO3561" s="76"/>
      <c r="CP3561" s="76">
        <f>+CO3561*46000</f>
        <v>0</v>
      </c>
      <c r="CQ3561" s="76"/>
      <c r="CR3561" s="76">
        <f>+CQ3561*49000</f>
        <v>0</v>
      </c>
      <c r="CS3561" s="76"/>
      <c r="CT3561" s="76"/>
      <c r="CU3561" s="56">
        <f>AN3561+AP3561+AR3561+AT3561+AV3561+AX3561+AZ3561+BB3561+BD3561+BF3561+BH3561+BJ3561+BL3561+BN3561+BP3561+BR3561+BT3561+BV3561+BX3561+BZ3561+CB3561+CD3561+CF3561+CH3561+CJ3561+CL3561+CN3561+CP3561+CR3561+CT3561</f>
        <v>0</v>
      </c>
      <c r="CV3561" s="76"/>
      <c r="CW3561" s="76">
        <f>+CV3561*1100</f>
        <v>0</v>
      </c>
      <c r="CX3561" s="76"/>
      <c r="CY3561" s="76">
        <f>+CX3561*106250</f>
        <v>0</v>
      </c>
      <c r="CZ3561" s="76"/>
      <c r="DA3561" s="76">
        <f>+CZ3561*34500</f>
        <v>0</v>
      </c>
      <c r="DB3561" s="76"/>
      <c r="DC3561" s="76">
        <f>+DB3561*25000</f>
        <v>0</v>
      </c>
      <c r="DD3561" s="219"/>
      <c r="DE3561" s="219"/>
      <c r="DF3561" s="166"/>
      <c r="DG3561" s="116"/>
      <c r="DH3561" s="117"/>
      <c r="DI3561" s="24"/>
      <c r="DJ3561" s="24"/>
      <c r="DK3561" s="24"/>
      <c r="DL3561" s="24"/>
      <c r="DM3561" s="24"/>
      <c r="DN3561" s="24"/>
      <c r="DO3561" s="24"/>
      <c r="DP3561" s="24"/>
      <c r="DQ3561" s="24"/>
      <c r="DR3561" s="24"/>
      <c r="DS3561" s="24"/>
      <c r="DT3561" s="24"/>
      <c r="DU3561" s="24"/>
    </row>
    <row r="3562" spans="1:125" s="8" customFormat="1" ht="192" x14ac:dyDescent="0.2">
      <c r="A3562" s="353">
        <v>41582</v>
      </c>
      <c r="B3562" s="352" t="s">
        <v>2852</v>
      </c>
      <c r="C3562" s="354" t="s">
        <v>1218</v>
      </c>
      <c r="D3562" s="354" t="s">
        <v>2936</v>
      </c>
      <c r="E3562" s="75" t="str">
        <f>VLOOKUP(B3562&amp;C3562,Divipola!$C$2:$F$1138,4,FALSE)</f>
        <v>27075</v>
      </c>
      <c r="F3562" s="87">
        <v>1</v>
      </c>
      <c r="G3562" s="87">
        <v>8</v>
      </c>
      <c r="H3562" s="87"/>
      <c r="I3562" s="87">
        <v>9</v>
      </c>
      <c r="J3562" s="87"/>
      <c r="K3562" s="87"/>
      <c r="L3562" s="87"/>
      <c r="M3562" s="87"/>
      <c r="N3562" s="87"/>
      <c r="O3562" s="87"/>
      <c r="P3562" s="87"/>
      <c r="Q3562" s="87"/>
      <c r="R3562" s="87"/>
      <c r="S3562" s="87"/>
      <c r="T3562" s="87"/>
      <c r="U3562" s="88"/>
      <c r="V3562" s="89">
        <v>1</v>
      </c>
      <c r="W3562" s="96">
        <v>0</v>
      </c>
      <c r="X3562" s="71">
        <f>CU3562</f>
        <v>0</v>
      </c>
      <c r="Y3562" s="71">
        <f>CY3562</f>
        <v>0</v>
      </c>
      <c r="Z3562" s="71">
        <f>DA3562+DC3562+DE3562</f>
        <v>0</v>
      </c>
      <c r="AA3562" s="71">
        <f>CW3562</f>
        <v>0</v>
      </c>
      <c r="AB3562" s="71"/>
      <c r="AC3562" s="71">
        <v>0</v>
      </c>
      <c r="AD3562" s="71">
        <f>W3562+X3562+Y3562+Z3562+AA3562+AB3562+AC3562</f>
        <v>0</v>
      </c>
      <c r="AE3562" s="72">
        <v>0</v>
      </c>
      <c r="AF3562" s="5"/>
      <c r="AG3562" s="6"/>
      <c r="AH3562" s="27"/>
      <c r="AI3562" s="44"/>
      <c r="AJ3562" s="26"/>
      <c r="AK3562" s="5"/>
      <c r="AL3562" s="82" t="s">
        <v>6649</v>
      </c>
      <c r="AM3562" s="76"/>
      <c r="AN3562" s="76"/>
      <c r="AO3562" s="76"/>
      <c r="AP3562" s="76"/>
      <c r="AQ3562" s="76"/>
      <c r="AR3562" s="76"/>
      <c r="AS3562" s="76"/>
      <c r="AT3562" s="76"/>
      <c r="AU3562" s="76"/>
      <c r="AV3562" s="76"/>
      <c r="AW3562" s="76"/>
      <c r="AX3562" s="76">
        <f>+AW3562*600000</f>
        <v>0</v>
      </c>
      <c r="AY3562" s="76"/>
      <c r="AZ3562" s="76">
        <f>+AY3562*70000</f>
        <v>0</v>
      </c>
      <c r="BA3562" s="76"/>
      <c r="BB3562" s="76"/>
      <c r="BC3562" s="76"/>
      <c r="BD3562" s="76">
        <f>+BC3562*30000</f>
        <v>0</v>
      </c>
      <c r="BE3562" s="76"/>
      <c r="BF3562" s="76"/>
      <c r="BG3562" s="76"/>
      <c r="BH3562" s="76"/>
      <c r="BI3562" s="76"/>
      <c r="BJ3562" s="76"/>
      <c r="BK3562" s="76"/>
      <c r="BL3562" s="76">
        <f>+BK3562*31500</f>
        <v>0</v>
      </c>
      <c r="BM3562" s="76"/>
      <c r="BN3562" s="76"/>
      <c r="BO3562" s="76"/>
      <c r="BP3562" s="76"/>
      <c r="BQ3562" s="76"/>
      <c r="BR3562" s="76"/>
      <c r="BS3562" s="76"/>
      <c r="BT3562" s="76"/>
      <c r="BU3562" s="76"/>
      <c r="BV3562" s="76"/>
      <c r="BW3562" s="76"/>
      <c r="BX3562" s="76"/>
      <c r="BY3562" s="76"/>
      <c r="BZ3562" s="76"/>
      <c r="CA3562" s="76"/>
      <c r="CB3562" s="76"/>
      <c r="CC3562" s="76"/>
      <c r="CD3562" s="76"/>
      <c r="CE3562" s="76"/>
      <c r="CF3562" s="76">
        <f>+CE3562*28000</f>
        <v>0</v>
      </c>
      <c r="CG3562" s="76"/>
      <c r="CH3562" s="76">
        <f>+CG3562*22500</f>
        <v>0</v>
      </c>
      <c r="CI3562" s="76"/>
      <c r="CJ3562" s="76">
        <f>+CI3562*26000</f>
        <v>0</v>
      </c>
      <c r="CK3562" s="76"/>
      <c r="CL3562" s="76"/>
      <c r="CM3562" s="76"/>
      <c r="CN3562" s="76">
        <f>+CM3562*22000</f>
        <v>0</v>
      </c>
      <c r="CO3562" s="76"/>
      <c r="CP3562" s="76">
        <f>+CO3562*46000</f>
        <v>0</v>
      </c>
      <c r="CQ3562" s="76"/>
      <c r="CR3562" s="76">
        <f>+CQ3562*49000</f>
        <v>0</v>
      </c>
      <c r="CS3562" s="76"/>
      <c r="CT3562" s="76"/>
      <c r="CU3562" s="56">
        <f>AN3562+AP3562+AR3562+AT3562+AV3562+AX3562+AZ3562+BB3562+BD3562+BF3562+BH3562+BJ3562+BL3562+BN3562+BP3562+BR3562+BT3562+BV3562+BX3562+BZ3562+CB3562+CD3562+CF3562+CH3562+CJ3562+CL3562+CN3562+CP3562+CR3562+CT3562</f>
        <v>0</v>
      </c>
      <c r="CV3562" s="76"/>
      <c r="CW3562" s="76">
        <f>+CV3562*1100</f>
        <v>0</v>
      </c>
      <c r="CX3562" s="76"/>
      <c r="CY3562" s="76">
        <f>+CX3562*106250</f>
        <v>0</v>
      </c>
      <c r="CZ3562" s="76"/>
      <c r="DA3562" s="76">
        <f>+CZ3562*34500</f>
        <v>0</v>
      </c>
      <c r="DB3562" s="76"/>
      <c r="DC3562" s="76">
        <f>+DB3562*25000</f>
        <v>0</v>
      </c>
      <c r="DD3562" s="219"/>
      <c r="DE3562" s="219"/>
      <c r="DF3562" s="166"/>
      <c r="DG3562" s="116"/>
      <c r="DH3562" s="117"/>
      <c r="DI3562" s="24"/>
      <c r="DJ3562" s="24"/>
      <c r="DK3562" s="24"/>
      <c r="DL3562" s="24"/>
      <c r="DM3562" s="24"/>
      <c r="DN3562" s="24"/>
      <c r="DO3562" s="24"/>
      <c r="DP3562" s="24"/>
      <c r="DQ3562" s="24"/>
      <c r="DR3562" s="24"/>
      <c r="DS3562" s="24"/>
      <c r="DT3562" s="24"/>
      <c r="DU3562" s="24"/>
    </row>
    <row r="3563" spans="1:125" s="8" customFormat="1" ht="60" x14ac:dyDescent="0.2">
      <c r="A3563" s="77">
        <v>41583</v>
      </c>
      <c r="B3563" s="352" t="s">
        <v>529</v>
      </c>
      <c r="C3563" s="352" t="s">
        <v>529</v>
      </c>
      <c r="D3563" s="354" t="s">
        <v>2859</v>
      </c>
      <c r="E3563" s="75" t="str">
        <f>VLOOKUP(B3563&amp;C3563,Divipola!$C$2:$F$1138,4,FALSE)</f>
        <v>11001</v>
      </c>
      <c r="F3563" s="87"/>
      <c r="G3563" s="87">
        <v>1</v>
      </c>
      <c r="H3563" s="87"/>
      <c r="I3563" s="87">
        <v>1</v>
      </c>
      <c r="J3563" s="87"/>
      <c r="K3563" s="87"/>
      <c r="L3563" s="87">
        <v>1</v>
      </c>
      <c r="M3563" s="87"/>
      <c r="N3563" s="87"/>
      <c r="O3563" s="87"/>
      <c r="P3563" s="87"/>
      <c r="Q3563" s="87"/>
      <c r="R3563" s="87"/>
      <c r="S3563" s="87"/>
      <c r="T3563" s="87"/>
      <c r="U3563" s="88"/>
      <c r="V3563" s="89"/>
      <c r="W3563" s="96">
        <v>0</v>
      </c>
      <c r="X3563" s="71">
        <f>CU3563</f>
        <v>0</v>
      </c>
      <c r="Y3563" s="71">
        <f>CY3563</f>
        <v>0</v>
      </c>
      <c r="Z3563" s="71">
        <f>DA3563+DC3563+DE3563</f>
        <v>0</v>
      </c>
      <c r="AA3563" s="71">
        <f>CW3563</f>
        <v>0</v>
      </c>
      <c r="AB3563" s="71"/>
      <c r="AC3563" s="71">
        <v>0</v>
      </c>
      <c r="AD3563" s="71">
        <f>W3563+X3563+Y3563+Z3563+AA3563+AB3563+AC3563</f>
        <v>0</v>
      </c>
      <c r="AE3563" s="72">
        <v>0</v>
      </c>
      <c r="AF3563" s="5"/>
      <c r="AG3563" s="6"/>
      <c r="AH3563" s="27"/>
      <c r="AI3563" s="44"/>
      <c r="AJ3563" s="26"/>
      <c r="AK3563" s="5"/>
      <c r="AL3563" s="268" t="s">
        <v>6559</v>
      </c>
      <c r="AM3563" s="76"/>
      <c r="AN3563" s="76"/>
      <c r="AO3563" s="76"/>
      <c r="AP3563" s="76"/>
      <c r="AQ3563" s="76"/>
      <c r="AR3563" s="76"/>
      <c r="AS3563" s="76"/>
      <c r="AT3563" s="76"/>
      <c r="AU3563" s="76"/>
      <c r="AV3563" s="76"/>
      <c r="AW3563" s="76"/>
      <c r="AX3563" s="76">
        <f>+AW3563*600000</f>
        <v>0</v>
      </c>
      <c r="AY3563" s="76"/>
      <c r="AZ3563" s="76">
        <f>+AY3563*70000</f>
        <v>0</v>
      </c>
      <c r="BA3563" s="76"/>
      <c r="BB3563" s="76"/>
      <c r="BC3563" s="76"/>
      <c r="BD3563" s="76">
        <f>+BC3563*30000</f>
        <v>0</v>
      </c>
      <c r="BE3563" s="76"/>
      <c r="BF3563" s="76"/>
      <c r="BG3563" s="76"/>
      <c r="BH3563" s="76"/>
      <c r="BI3563" s="76"/>
      <c r="BJ3563" s="76"/>
      <c r="BK3563" s="76"/>
      <c r="BL3563" s="76">
        <f>+BK3563*31500</f>
        <v>0</v>
      </c>
      <c r="BM3563" s="76"/>
      <c r="BN3563" s="76"/>
      <c r="BO3563" s="76"/>
      <c r="BP3563" s="76"/>
      <c r="BQ3563" s="76"/>
      <c r="BR3563" s="76"/>
      <c r="BS3563" s="76"/>
      <c r="BT3563" s="76"/>
      <c r="BU3563" s="76"/>
      <c r="BV3563" s="76"/>
      <c r="BW3563" s="76"/>
      <c r="BX3563" s="76"/>
      <c r="BY3563" s="76"/>
      <c r="BZ3563" s="76"/>
      <c r="CA3563" s="76"/>
      <c r="CB3563" s="76"/>
      <c r="CC3563" s="76"/>
      <c r="CD3563" s="76"/>
      <c r="CE3563" s="76"/>
      <c r="CF3563" s="76">
        <f>+CE3563*28000</f>
        <v>0</v>
      </c>
      <c r="CG3563" s="76"/>
      <c r="CH3563" s="76">
        <f>+CG3563*22500</f>
        <v>0</v>
      </c>
      <c r="CI3563" s="76"/>
      <c r="CJ3563" s="76">
        <f>+CI3563*26000</f>
        <v>0</v>
      </c>
      <c r="CK3563" s="76"/>
      <c r="CL3563" s="76"/>
      <c r="CM3563" s="76"/>
      <c r="CN3563" s="76">
        <f>+CM3563*22000</f>
        <v>0</v>
      </c>
      <c r="CO3563" s="76"/>
      <c r="CP3563" s="76">
        <f>+CO3563*46000</f>
        <v>0</v>
      </c>
      <c r="CQ3563" s="76"/>
      <c r="CR3563" s="76">
        <f>+CQ3563*49000</f>
        <v>0</v>
      </c>
      <c r="CS3563" s="76"/>
      <c r="CT3563" s="76"/>
      <c r="CU3563" s="56">
        <f>AN3563+AP3563+AR3563+AT3563+AV3563+AX3563+AZ3563+BB3563+BD3563+BF3563+BH3563+BJ3563+BL3563+BN3563+BP3563+BR3563+BT3563+BV3563+BX3563+BZ3563+CB3563+CD3563+CF3563+CH3563+CJ3563+CL3563+CN3563+CP3563+CR3563+CT3563</f>
        <v>0</v>
      </c>
      <c r="CV3563" s="76"/>
      <c r="CW3563" s="76">
        <f>+CV3563*1100</f>
        <v>0</v>
      </c>
      <c r="CX3563" s="76"/>
      <c r="CY3563" s="76">
        <f>+CX3563*106250</f>
        <v>0</v>
      </c>
      <c r="CZ3563" s="76"/>
      <c r="DA3563" s="76">
        <f>+CZ3563*34500</f>
        <v>0</v>
      </c>
      <c r="DB3563" s="76"/>
      <c r="DC3563" s="76">
        <f>+DB3563*25000</f>
        <v>0</v>
      </c>
      <c r="DD3563" s="219"/>
      <c r="DE3563" s="219"/>
      <c r="DF3563" s="166"/>
      <c r="DG3563" s="116"/>
      <c r="DH3563" s="117"/>
      <c r="DI3563" s="24"/>
      <c r="DJ3563" s="24"/>
      <c r="DK3563" s="24"/>
      <c r="DL3563" s="24"/>
      <c r="DM3563" s="24"/>
      <c r="DN3563" s="24"/>
      <c r="DO3563" s="24"/>
      <c r="DP3563" s="24"/>
      <c r="DQ3563" s="24"/>
      <c r="DR3563" s="24"/>
      <c r="DS3563" s="24"/>
      <c r="DT3563" s="24"/>
      <c r="DU3563" s="24"/>
    </row>
    <row r="3564" spans="1:125" s="349" customFormat="1" ht="36" x14ac:dyDescent="0.2">
      <c r="A3564" s="77">
        <v>41583</v>
      </c>
      <c r="B3564" s="78" t="s">
        <v>2661</v>
      </c>
      <c r="C3564" s="75" t="s">
        <v>2807</v>
      </c>
      <c r="D3564" s="75" t="s">
        <v>3121</v>
      </c>
      <c r="E3564" s="75" t="str">
        <f>VLOOKUP(B3564&amp;C3564,Divipola!$C$2:$F$1138,4,FALSE)</f>
        <v>41807</v>
      </c>
      <c r="F3564" s="61"/>
      <c r="G3564" s="61"/>
      <c r="H3564" s="61"/>
      <c r="I3564" s="61"/>
      <c r="J3564" s="61"/>
      <c r="K3564" s="61"/>
      <c r="L3564" s="61"/>
      <c r="M3564" s="61"/>
      <c r="N3564" s="61"/>
      <c r="O3564" s="61"/>
      <c r="P3564" s="61"/>
      <c r="Q3564" s="61"/>
      <c r="R3564" s="61"/>
      <c r="S3564" s="61"/>
      <c r="T3564" s="61"/>
      <c r="U3564" s="61"/>
      <c r="V3564" s="7"/>
      <c r="W3564" s="96">
        <v>0</v>
      </c>
      <c r="X3564" s="71">
        <f>CU3564</f>
        <v>0</v>
      </c>
      <c r="Y3564" s="71">
        <f>CY3564</f>
        <v>0</v>
      </c>
      <c r="Z3564" s="71">
        <f>DA3564+DC3564+DE3564</f>
        <v>0</v>
      </c>
      <c r="AA3564" s="71">
        <f>CW3564</f>
        <v>0</v>
      </c>
      <c r="AB3564" s="71"/>
      <c r="AC3564" s="71">
        <v>89308000</v>
      </c>
      <c r="AD3564" s="71">
        <f>W3564+X3564+Y3564+Z3564+AA3564+AB3564+AC3564</f>
        <v>89308000</v>
      </c>
      <c r="AE3564" s="72">
        <v>0</v>
      </c>
      <c r="AF3564" s="5"/>
      <c r="AG3564" s="6"/>
      <c r="AH3564" s="27"/>
      <c r="AI3564" s="44"/>
      <c r="AJ3564" s="26"/>
      <c r="AK3564" s="5"/>
      <c r="AL3564" s="9" t="s">
        <v>6560</v>
      </c>
      <c r="AM3564" s="76"/>
      <c r="AN3564" s="76"/>
      <c r="AO3564" s="76"/>
      <c r="AP3564" s="76"/>
      <c r="AQ3564" s="76"/>
      <c r="AR3564" s="76"/>
      <c r="AS3564" s="76"/>
      <c r="AT3564" s="76"/>
      <c r="AU3564" s="76"/>
      <c r="AV3564" s="76"/>
      <c r="AW3564" s="76"/>
      <c r="AX3564" s="76">
        <f>+AW3564*600000</f>
        <v>0</v>
      </c>
      <c r="AY3564" s="76"/>
      <c r="AZ3564" s="76">
        <f>+AY3564*70000</f>
        <v>0</v>
      </c>
      <c r="BA3564" s="76"/>
      <c r="BB3564" s="76"/>
      <c r="BC3564" s="76"/>
      <c r="BD3564" s="76">
        <f>+BC3564*30000</f>
        <v>0</v>
      </c>
      <c r="BE3564" s="76"/>
      <c r="BF3564" s="76"/>
      <c r="BG3564" s="76"/>
      <c r="BH3564" s="76"/>
      <c r="BI3564" s="76"/>
      <c r="BJ3564" s="76"/>
      <c r="BK3564" s="76"/>
      <c r="BL3564" s="76">
        <f>+BK3564*31500</f>
        <v>0</v>
      </c>
      <c r="BM3564" s="76"/>
      <c r="BN3564" s="76"/>
      <c r="BO3564" s="76"/>
      <c r="BP3564" s="76"/>
      <c r="BQ3564" s="76"/>
      <c r="BR3564" s="76"/>
      <c r="BS3564" s="76"/>
      <c r="BT3564" s="76"/>
      <c r="BU3564" s="76"/>
      <c r="BV3564" s="76"/>
      <c r="BW3564" s="76"/>
      <c r="BX3564" s="76"/>
      <c r="BY3564" s="76"/>
      <c r="BZ3564" s="76"/>
      <c r="CA3564" s="76"/>
      <c r="CB3564" s="76"/>
      <c r="CC3564" s="76"/>
      <c r="CD3564" s="76"/>
      <c r="CE3564" s="76"/>
      <c r="CF3564" s="76">
        <f>+CE3564*28000</f>
        <v>0</v>
      </c>
      <c r="CG3564" s="76"/>
      <c r="CH3564" s="76">
        <f>+CG3564*22500</f>
        <v>0</v>
      </c>
      <c r="CI3564" s="76"/>
      <c r="CJ3564" s="76">
        <f>+CI3564*26000</f>
        <v>0</v>
      </c>
      <c r="CK3564" s="76"/>
      <c r="CL3564" s="76"/>
      <c r="CM3564" s="76"/>
      <c r="CN3564" s="76">
        <f>+CM3564*22000</f>
        <v>0</v>
      </c>
      <c r="CO3564" s="76"/>
      <c r="CP3564" s="76">
        <f>+CO3564*46000</f>
        <v>0</v>
      </c>
      <c r="CQ3564" s="76"/>
      <c r="CR3564" s="76">
        <f>+CQ3564*49000</f>
        <v>0</v>
      </c>
      <c r="CS3564" s="76"/>
      <c r="CT3564" s="76"/>
      <c r="CU3564" s="56">
        <f>AN3564+AP3564+AR3564+AT3564+AV3564+AX3564+AZ3564+BB3564+BD3564+BF3564+BH3564+BJ3564+BL3564+BN3564+BP3564+BR3564+BT3564+BV3564+BX3564+BZ3564+CB3564+CD3564+CF3564+CH3564+CJ3564+CL3564+CN3564+CP3564+CR3564+CT3564</f>
        <v>0</v>
      </c>
      <c r="CV3564" s="76"/>
      <c r="CW3564" s="76">
        <f>+CV3564*1100</f>
        <v>0</v>
      </c>
      <c r="CX3564" s="76"/>
      <c r="CY3564" s="76">
        <f>+CX3564*106250</f>
        <v>0</v>
      </c>
      <c r="CZ3564" s="76"/>
      <c r="DA3564" s="76">
        <f>+CZ3564*34500</f>
        <v>0</v>
      </c>
      <c r="DB3564" s="76"/>
      <c r="DC3564" s="76">
        <f>+DB3564*25000</f>
        <v>0</v>
      </c>
      <c r="DD3564" s="219"/>
      <c r="DE3564" s="219"/>
      <c r="DF3564" s="166"/>
      <c r="DG3564" s="116"/>
      <c r="DH3564" s="117"/>
    </row>
    <row r="3565" spans="1:125" s="8" customFormat="1" ht="36" x14ac:dyDescent="0.2">
      <c r="A3565" s="77">
        <v>41583</v>
      </c>
      <c r="B3565" s="78" t="s">
        <v>2774</v>
      </c>
      <c r="C3565" s="75" t="s">
        <v>2069</v>
      </c>
      <c r="D3565" s="75" t="s">
        <v>2882</v>
      </c>
      <c r="E3565" s="75" t="str">
        <f>VLOOKUP(B3565&amp;C3565,Divipola!$C$2:$F$1138,4,FALSE)</f>
        <v>66088</v>
      </c>
      <c r="F3565" s="87"/>
      <c r="G3565" s="87"/>
      <c r="H3565" s="87"/>
      <c r="I3565" s="87"/>
      <c r="J3565" s="87"/>
      <c r="K3565" s="87"/>
      <c r="L3565" s="87"/>
      <c r="M3565" s="87"/>
      <c r="N3565" s="87"/>
      <c r="O3565" s="87"/>
      <c r="P3565" s="87"/>
      <c r="Q3565" s="87"/>
      <c r="R3565" s="87"/>
      <c r="S3565" s="87"/>
      <c r="T3565" s="87"/>
      <c r="U3565" s="88"/>
      <c r="V3565" s="89"/>
      <c r="W3565" s="96">
        <v>0</v>
      </c>
      <c r="X3565" s="71">
        <f>CU3565</f>
        <v>0</v>
      </c>
      <c r="Y3565" s="71">
        <f>CY3565</f>
        <v>0</v>
      </c>
      <c r="Z3565" s="71">
        <f>DA3565+DC3565+DE3565</f>
        <v>0</v>
      </c>
      <c r="AA3565" s="71">
        <f>CW3565</f>
        <v>0</v>
      </c>
      <c r="AB3565" s="71"/>
      <c r="AC3565" s="71">
        <v>0</v>
      </c>
      <c r="AD3565" s="71">
        <f>W3565+X3565+Y3565+Z3565+AA3565+AB3565+AC3565</f>
        <v>0</v>
      </c>
      <c r="AE3565" s="72">
        <v>0</v>
      </c>
      <c r="AF3565" s="5"/>
      <c r="AG3565" s="6"/>
      <c r="AH3565" s="27"/>
      <c r="AI3565" s="44"/>
      <c r="AJ3565" s="26"/>
      <c r="AK3565" s="5"/>
      <c r="AL3565" s="345" t="s">
        <v>6562</v>
      </c>
      <c r="AM3565" s="76"/>
      <c r="AN3565" s="76"/>
      <c r="AO3565" s="76"/>
      <c r="AP3565" s="76"/>
      <c r="AQ3565" s="76"/>
      <c r="AR3565" s="76"/>
      <c r="AS3565" s="76"/>
      <c r="AT3565" s="76"/>
      <c r="AU3565" s="76"/>
      <c r="AV3565" s="76"/>
      <c r="AW3565" s="76"/>
      <c r="AX3565" s="76">
        <f>+AW3565*600000</f>
        <v>0</v>
      </c>
      <c r="AY3565" s="76"/>
      <c r="AZ3565" s="76">
        <f>+AY3565*70000</f>
        <v>0</v>
      </c>
      <c r="BA3565" s="76"/>
      <c r="BB3565" s="76"/>
      <c r="BC3565" s="76"/>
      <c r="BD3565" s="76">
        <f>+BC3565*30000</f>
        <v>0</v>
      </c>
      <c r="BE3565" s="76"/>
      <c r="BF3565" s="76"/>
      <c r="BG3565" s="76"/>
      <c r="BH3565" s="76"/>
      <c r="BI3565" s="76"/>
      <c r="BJ3565" s="76"/>
      <c r="BK3565" s="76"/>
      <c r="BL3565" s="76">
        <f>+BK3565*31500</f>
        <v>0</v>
      </c>
      <c r="BM3565" s="76"/>
      <c r="BN3565" s="76"/>
      <c r="BO3565" s="76"/>
      <c r="BP3565" s="76"/>
      <c r="BQ3565" s="76"/>
      <c r="BR3565" s="76"/>
      <c r="BS3565" s="76"/>
      <c r="BT3565" s="76"/>
      <c r="BU3565" s="76"/>
      <c r="BV3565" s="76"/>
      <c r="BW3565" s="76"/>
      <c r="BX3565" s="76"/>
      <c r="BY3565" s="76"/>
      <c r="BZ3565" s="76"/>
      <c r="CA3565" s="76"/>
      <c r="CB3565" s="76"/>
      <c r="CC3565" s="76"/>
      <c r="CD3565" s="76"/>
      <c r="CE3565" s="76"/>
      <c r="CF3565" s="76">
        <f>+CE3565*28000</f>
        <v>0</v>
      </c>
      <c r="CG3565" s="76"/>
      <c r="CH3565" s="76">
        <f>+CG3565*22500</f>
        <v>0</v>
      </c>
      <c r="CI3565" s="76"/>
      <c r="CJ3565" s="76">
        <f>+CI3565*26000</f>
        <v>0</v>
      </c>
      <c r="CK3565" s="76"/>
      <c r="CL3565" s="76"/>
      <c r="CM3565" s="76"/>
      <c r="CN3565" s="76">
        <f>+CM3565*22000</f>
        <v>0</v>
      </c>
      <c r="CO3565" s="76"/>
      <c r="CP3565" s="76">
        <f>+CO3565*46000</f>
        <v>0</v>
      </c>
      <c r="CQ3565" s="76"/>
      <c r="CR3565" s="76">
        <f>+CQ3565*49000</f>
        <v>0</v>
      </c>
      <c r="CS3565" s="76"/>
      <c r="CT3565" s="76"/>
      <c r="CU3565" s="56">
        <f>AN3565+AP3565+AR3565+AT3565+AV3565+AX3565+AZ3565+BB3565+BD3565+BF3565+BH3565+BJ3565+BL3565+BN3565+BP3565+BR3565+BT3565+BV3565+BX3565+BZ3565+CB3565+CD3565+CF3565+CH3565+CJ3565+CL3565+CN3565+CP3565+CR3565+CT3565</f>
        <v>0</v>
      </c>
      <c r="CV3565" s="76"/>
      <c r="CW3565" s="76">
        <f>+CV3565*1100</f>
        <v>0</v>
      </c>
      <c r="CX3565" s="76"/>
      <c r="CY3565" s="76">
        <f>+CX3565*106250</f>
        <v>0</v>
      </c>
      <c r="CZ3565" s="76"/>
      <c r="DA3565" s="76">
        <f>+CZ3565*34500</f>
        <v>0</v>
      </c>
      <c r="DB3565" s="76"/>
      <c r="DC3565" s="76">
        <f>+DB3565*25000</f>
        <v>0</v>
      </c>
      <c r="DD3565" s="219"/>
      <c r="DE3565" s="219"/>
      <c r="DF3565" s="166"/>
      <c r="DG3565" s="116"/>
      <c r="DH3565" s="117"/>
      <c r="DI3565" s="24"/>
      <c r="DJ3565" s="24"/>
      <c r="DK3565" s="24"/>
      <c r="DL3565" s="24"/>
      <c r="DM3565" s="24"/>
      <c r="DN3565" s="24"/>
      <c r="DO3565" s="24"/>
      <c r="DP3565" s="24"/>
      <c r="DQ3565" s="24"/>
      <c r="DR3565" s="24"/>
      <c r="DS3565" s="24"/>
      <c r="DT3565" s="24"/>
      <c r="DU3565" s="24"/>
    </row>
    <row r="3566" spans="1:125" s="8" customFormat="1" ht="36" x14ac:dyDescent="0.2">
      <c r="A3566" s="353">
        <v>41583</v>
      </c>
      <c r="B3566" s="352" t="s">
        <v>2774</v>
      </c>
      <c r="C3566" s="354" t="s">
        <v>2073</v>
      </c>
      <c r="D3566" s="354" t="s">
        <v>2882</v>
      </c>
      <c r="E3566" s="75" t="str">
        <f>VLOOKUP(B3566&amp;C3566,Divipola!$C$2:$F$1138,4,FALSE)</f>
        <v>66383</v>
      </c>
      <c r="F3566" s="87"/>
      <c r="G3566" s="87"/>
      <c r="H3566" s="87"/>
      <c r="I3566" s="87"/>
      <c r="J3566" s="87"/>
      <c r="K3566" s="87"/>
      <c r="L3566" s="87"/>
      <c r="M3566" s="87"/>
      <c r="N3566" s="87"/>
      <c r="O3566" s="87"/>
      <c r="P3566" s="87"/>
      <c r="Q3566" s="87"/>
      <c r="R3566" s="87"/>
      <c r="S3566" s="87"/>
      <c r="T3566" s="87"/>
      <c r="U3566" s="88"/>
      <c r="V3566" s="89"/>
      <c r="W3566" s="96">
        <v>0</v>
      </c>
      <c r="X3566" s="71">
        <f>CU3566</f>
        <v>0</v>
      </c>
      <c r="Y3566" s="71">
        <f>CY3566</f>
        <v>0</v>
      </c>
      <c r="Z3566" s="71">
        <f>DA3566+DC3566+DE3566</f>
        <v>0</v>
      </c>
      <c r="AA3566" s="71">
        <f>CW3566</f>
        <v>0</v>
      </c>
      <c r="AB3566" s="71"/>
      <c r="AC3566" s="71">
        <v>0</v>
      </c>
      <c r="AD3566" s="71">
        <f>W3566+X3566+Y3566+Z3566+AA3566+AB3566+AC3566</f>
        <v>0</v>
      </c>
      <c r="AE3566" s="72">
        <v>0</v>
      </c>
      <c r="AF3566" s="5"/>
      <c r="AG3566" s="6"/>
      <c r="AH3566" s="27"/>
      <c r="AI3566" s="44"/>
      <c r="AJ3566" s="26"/>
      <c r="AK3566" s="5"/>
      <c r="AL3566" s="82" t="s">
        <v>6563</v>
      </c>
      <c r="AM3566" s="76"/>
      <c r="AN3566" s="76"/>
      <c r="AO3566" s="76"/>
      <c r="AP3566" s="76"/>
      <c r="AQ3566" s="76"/>
      <c r="AR3566" s="76"/>
      <c r="AS3566" s="76"/>
      <c r="AT3566" s="76"/>
      <c r="AU3566" s="76"/>
      <c r="AV3566" s="76"/>
      <c r="AW3566" s="76"/>
      <c r="AX3566" s="76">
        <f>+AW3566*600000</f>
        <v>0</v>
      </c>
      <c r="AY3566" s="76"/>
      <c r="AZ3566" s="76">
        <f>+AY3566*70000</f>
        <v>0</v>
      </c>
      <c r="BA3566" s="76"/>
      <c r="BB3566" s="76"/>
      <c r="BC3566" s="76"/>
      <c r="BD3566" s="76">
        <f>+BC3566*30000</f>
        <v>0</v>
      </c>
      <c r="BE3566" s="76"/>
      <c r="BF3566" s="76"/>
      <c r="BG3566" s="76"/>
      <c r="BH3566" s="76"/>
      <c r="BI3566" s="76"/>
      <c r="BJ3566" s="76"/>
      <c r="BK3566" s="76"/>
      <c r="BL3566" s="76">
        <f>+BK3566*31500</f>
        <v>0</v>
      </c>
      <c r="BM3566" s="76"/>
      <c r="BN3566" s="76"/>
      <c r="BO3566" s="76"/>
      <c r="BP3566" s="76"/>
      <c r="BQ3566" s="76"/>
      <c r="BR3566" s="76"/>
      <c r="BS3566" s="76"/>
      <c r="BT3566" s="76"/>
      <c r="BU3566" s="76"/>
      <c r="BV3566" s="76"/>
      <c r="BW3566" s="76"/>
      <c r="BX3566" s="76"/>
      <c r="BY3566" s="76"/>
      <c r="BZ3566" s="76"/>
      <c r="CA3566" s="76"/>
      <c r="CB3566" s="76"/>
      <c r="CC3566" s="76"/>
      <c r="CD3566" s="76"/>
      <c r="CE3566" s="76"/>
      <c r="CF3566" s="76">
        <f>+CE3566*28000</f>
        <v>0</v>
      </c>
      <c r="CG3566" s="76"/>
      <c r="CH3566" s="76">
        <f>+CG3566*22500</f>
        <v>0</v>
      </c>
      <c r="CI3566" s="76"/>
      <c r="CJ3566" s="76">
        <f>+CI3566*26000</f>
        <v>0</v>
      </c>
      <c r="CK3566" s="76"/>
      <c r="CL3566" s="76"/>
      <c r="CM3566" s="76"/>
      <c r="CN3566" s="76">
        <f>+CM3566*22000</f>
        <v>0</v>
      </c>
      <c r="CO3566" s="76"/>
      <c r="CP3566" s="76">
        <f>+CO3566*46000</f>
        <v>0</v>
      </c>
      <c r="CQ3566" s="76"/>
      <c r="CR3566" s="76">
        <f>+CQ3566*49000</f>
        <v>0</v>
      </c>
      <c r="CS3566" s="76"/>
      <c r="CT3566" s="76"/>
      <c r="CU3566" s="56">
        <f>AN3566+AP3566+AR3566+AT3566+AV3566+AX3566+AZ3566+BB3566+BD3566+BF3566+BH3566+BJ3566+BL3566+BN3566+BP3566+BR3566+BT3566+BV3566+BX3566+BZ3566+CB3566+CD3566+CF3566+CH3566+CJ3566+CL3566+CN3566+CP3566+CR3566+CT3566</f>
        <v>0</v>
      </c>
      <c r="CV3566" s="76"/>
      <c r="CW3566" s="76">
        <f>+CV3566*1100</f>
        <v>0</v>
      </c>
      <c r="CX3566" s="76"/>
      <c r="CY3566" s="76">
        <f>+CX3566*106250</f>
        <v>0</v>
      </c>
      <c r="CZ3566" s="76"/>
      <c r="DA3566" s="76">
        <f>+CZ3566*34500</f>
        <v>0</v>
      </c>
      <c r="DB3566" s="76"/>
      <c r="DC3566" s="76">
        <f>+DB3566*25000</f>
        <v>0</v>
      </c>
      <c r="DD3566" s="219"/>
      <c r="DE3566" s="219"/>
      <c r="DF3566" s="166"/>
      <c r="DG3566" s="116"/>
      <c r="DH3566" s="117"/>
      <c r="DI3566" s="24"/>
      <c r="DJ3566" s="24"/>
      <c r="DK3566" s="24"/>
      <c r="DL3566" s="24"/>
      <c r="DM3566" s="24"/>
      <c r="DN3566" s="24"/>
      <c r="DO3566" s="24"/>
      <c r="DP3566" s="24"/>
      <c r="DQ3566" s="24"/>
      <c r="DR3566" s="24"/>
      <c r="DS3566" s="24"/>
      <c r="DT3566" s="24"/>
      <c r="DU3566" s="24"/>
    </row>
    <row r="3567" spans="1:125" s="8" customFormat="1" ht="48" x14ac:dyDescent="0.2">
      <c r="A3567" s="353">
        <v>41584</v>
      </c>
      <c r="B3567" s="352" t="s">
        <v>529</v>
      </c>
      <c r="C3567" s="354" t="s">
        <v>529</v>
      </c>
      <c r="D3567" s="354" t="s">
        <v>3088</v>
      </c>
      <c r="E3567" s="75" t="str">
        <f>VLOOKUP(B3567&amp;C3567,Divipola!$C$2:$F$1138,4,FALSE)</f>
        <v>11001</v>
      </c>
      <c r="F3567" s="87"/>
      <c r="G3567" s="87"/>
      <c r="H3567" s="87"/>
      <c r="I3567" s="87">
        <v>20</v>
      </c>
      <c r="J3567" s="87">
        <v>4</v>
      </c>
      <c r="K3567" s="87"/>
      <c r="L3567" s="87">
        <v>4</v>
      </c>
      <c r="M3567" s="87"/>
      <c r="N3567" s="87"/>
      <c r="O3567" s="87"/>
      <c r="P3567" s="87"/>
      <c r="Q3567" s="87"/>
      <c r="R3567" s="87"/>
      <c r="S3567" s="87"/>
      <c r="T3567" s="87"/>
      <c r="U3567" s="88"/>
      <c r="V3567" s="89"/>
      <c r="W3567" s="96">
        <v>0</v>
      </c>
      <c r="X3567" s="71">
        <f>CU3567</f>
        <v>0</v>
      </c>
      <c r="Y3567" s="71">
        <f>CY3567</f>
        <v>0</v>
      </c>
      <c r="Z3567" s="71">
        <f>DA3567+DC3567+DE3567</f>
        <v>0</v>
      </c>
      <c r="AA3567" s="71">
        <f>CW3567</f>
        <v>0</v>
      </c>
      <c r="AB3567" s="71"/>
      <c r="AC3567" s="71">
        <v>0</v>
      </c>
      <c r="AD3567" s="71">
        <f>W3567+X3567+Y3567+Z3567+AA3567+AB3567+AC3567</f>
        <v>0</v>
      </c>
      <c r="AE3567" s="72">
        <v>0</v>
      </c>
      <c r="AF3567" s="5"/>
      <c r="AG3567" s="6"/>
      <c r="AH3567" s="27"/>
      <c r="AI3567" s="44"/>
      <c r="AJ3567" s="26"/>
      <c r="AK3567" s="5"/>
      <c r="AL3567" s="82" t="s">
        <v>6566</v>
      </c>
      <c r="AM3567" s="76"/>
      <c r="AN3567" s="76"/>
      <c r="AO3567" s="76"/>
      <c r="AP3567" s="76"/>
      <c r="AQ3567" s="76"/>
      <c r="AR3567" s="76"/>
      <c r="AS3567" s="76"/>
      <c r="AT3567" s="76"/>
      <c r="AU3567" s="76"/>
      <c r="AV3567" s="76"/>
      <c r="AW3567" s="76"/>
      <c r="AX3567" s="76">
        <f>+AW3567*600000</f>
        <v>0</v>
      </c>
      <c r="AY3567" s="76"/>
      <c r="AZ3567" s="76">
        <f>+AY3567*70000</f>
        <v>0</v>
      </c>
      <c r="BA3567" s="76"/>
      <c r="BB3567" s="76"/>
      <c r="BC3567" s="76"/>
      <c r="BD3567" s="76">
        <f>+BC3567*30000</f>
        <v>0</v>
      </c>
      <c r="BE3567" s="76"/>
      <c r="BF3567" s="76"/>
      <c r="BG3567" s="76"/>
      <c r="BH3567" s="76"/>
      <c r="BI3567" s="76"/>
      <c r="BJ3567" s="76"/>
      <c r="BK3567" s="76"/>
      <c r="BL3567" s="76">
        <f>+BK3567*31500</f>
        <v>0</v>
      </c>
      <c r="BM3567" s="76"/>
      <c r="BN3567" s="76"/>
      <c r="BO3567" s="76"/>
      <c r="BP3567" s="76"/>
      <c r="BQ3567" s="76"/>
      <c r="BR3567" s="76"/>
      <c r="BS3567" s="76"/>
      <c r="BT3567" s="76"/>
      <c r="BU3567" s="76"/>
      <c r="BV3567" s="76"/>
      <c r="BW3567" s="76"/>
      <c r="BX3567" s="76"/>
      <c r="BY3567" s="76"/>
      <c r="BZ3567" s="76"/>
      <c r="CA3567" s="76"/>
      <c r="CB3567" s="76"/>
      <c r="CC3567" s="76"/>
      <c r="CD3567" s="76"/>
      <c r="CE3567" s="76"/>
      <c r="CF3567" s="76">
        <f>+CE3567*28000</f>
        <v>0</v>
      </c>
      <c r="CG3567" s="76"/>
      <c r="CH3567" s="76">
        <f>+CG3567*22500</f>
        <v>0</v>
      </c>
      <c r="CI3567" s="76"/>
      <c r="CJ3567" s="76">
        <f>+CI3567*26000</f>
        <v>0</v>
      </c>
      <c r="CK3567" s="76"/>
      <c r="CL3567" s="76"/>
      <c r="CM3567" s="76"/>
      <c r="CN3567" s="76">
        <f>+CM3567*22000</f>
        <v>0</v>
      </c>
      <c r="CO3567" s="76"/>
      <c r="CP3567" s="76">
        <f>+CO3567*46000</f>
        <v>0</v>
      </c>
      <c r="CQ3567" s="76"/>
      <c r="CR3567" s="76">
        <f>+CQ3567*49000</f>
        <v>0</v>
      </c>
      <c r="CS3567" s="76"/>
      <c r="CT3567" s="76"/>
      <c r="CU3567" s="56">
        <f>AN3567+AP3567+AR3567+AT3567+AV3567+AX3567+AZ3567+BB3567+BD3567+BF3567+BH3567+BJ3567+BL3567+BN3567+BP3567+BR3567+BT3567+BV3567+BX3567+BZ3567+CB3567+CD3567+CF3567+CH3567+CJ3567+CL3567+CN3567+CP3567+CR3567+CT3567</f>
        <v>0</v>
      </c>
      <c r="CV3567" s="76"/>
      <c r="CW3567" s="76">
        <f>+CV3567*1100</f>
        <v>0</v>
      </c>
      <c r="CX3567" s="76"/>
      <c r="CY3567" s="76">
        <f>+CX3567*106250</f>
        <v>0</v>
      </c>
      <c r="CZ3567" s="76"/>
      <c r="DA3567" s="76">
        <f>+CZ3567*34500</f>
        <v>0</v>
      </c>
      <c r="DB3567" s="76"/>
      <c r="DC3567" s="76">
        <f>+DB3567*25000</f>
        <v>0</v>
      </c>
      <c r="DD3567" s="219"/>
      <c r="DE3567" s="219"/>
      <c r="DF3567" s="166"/>
      <c r="DG3567" s="116"/>
      <c r="DH3567" s="117"/>
      <c r="DI3567" s="24"/>
      <c r="DJ3567" s="24"/>
      <c r="DK3567" s="24"/>
      <c r="DL3567" s="24"/>
      <c r="DM3567" s="24"/>
      <c r="DN3567" s="24"/>
      <c r="DO3567" s="24"/>
      <c r="DP3567" s="24"/>
      <c r="DQ3567" s="24"/>
      <c r="DR3567" s="24"/>
      <c r="DS3567" s="24"/>
      <c r="DT3567" s="24"/>
      <c r="DU3567" s="24"/>
    </row>
    <row r="3568" spans="1:125" s="8" customFormat="1" ht="84" x14ac:dyDescent="0.2">
      <c r="A3568" s="77">
        <v>41584</v>
      </c>
      <c r="B3568" s="78" t="s">
        <v>2894</v>
      </c>
      <c r="C3568" s="75" t="s">
        <v>2542</v>
      </c>
      <c r="D3568" s="75" t="s">
        <v>3051</v>
      </c>
      <c r="E3568" s="75" t="str">
        <f>VLOOKUP(B3568&amp;C3568,Divipola!$C$2:$F$1138,4,FALSE)</f>
        <v>05607</v>
      </c>
      <c r="F3568" s="61"/>
      <c r="G3568" s="61"/>
      <c r="H3568" s="61"/>
      <c r="I3568" s="61"/>
      <c r="J3568" s="61"/>
      <c r="K3568" s="61"/>
      <c r="L3568" s="61"/>
      <c r="M3568" s="61"/>
      <c r="N3568" s="61"/>
      <c r="O3568" s="61"/>
      <c r="P3568" s="61"/>
      <c r="Q3568" s="61"/>
      <c r="R3568" s="61"/>
      <c r="S3568" s="61"/>
      <c r="T3568" s="61"/>
      <c r="U3568" s="61"/>
      <c r="V3568" s="7"/>
      <c r="W3568" s="96">
        <v>0</v>
      </c>
      <c r="X3568" s="71">
        <f>CU3568</f>
        <v>0</v>
      </c>
      <c r="Y3568" s="71">
        <f>CY3568</f>
        <v>0</v>
      </c>
      <c r="Z3568" s="71">
        <f>DA3568+DC3568+DE3568</f>
        <v>0</v>
      </c>
      <c r="AA3568" s="71">
        <f>CW3568</f>
        <v>0</v>
      </c>
      <c r="AB3568" s="71"/>
      <c r="AC3568" s="71">
        <v>1000000000</v>
      </c>
      <c r="AD3568" s="71">
        <f>W3568+X3568+Y3568+Z3568+AA3568+AB3568+AC3568</f>
        <v>1000000000</v>
      </c>
      <c r="AE3568" s="72">
        <v>0</v>
      </c>
      <c r="AF3568" s="5"/>
      <c r="AG3568" s="6"/>
      <c r="AH3568" s="27"/>
      <c r="AI3568" s="44"/>
      <c r="AJ3568" s="26"/>
      <c r="AK3568" s="5"/>
      <c r="AL3568" s="9" t="s">
        <v>6568</v>
      </c>
      <c r="AM3568" s="76"/>
      <c r="AN3568" s="76"/>
      <c r="AO3568" s="76"/>
      <c r="AP3568" s="76"/>
      <c r="AQ3568" s="76"/>
      <c r="AR3568" s="76"/>
      <c r="AS3568" s="76"/>
      <c r="AT3568" s="76"/>
      <c r="AU3568" s="76"/>
      <c r="AV3568" s="76"/>
      <c r="AW3568" s="76"/>
      <c r="AX3568" s="76">
        <f>+AW3568*600000</f>
        <v>0</v>
      </c>
      <c r="AY3568" s="76"/>
      <c r="AZ3568" s="76">
        <f>+AY3568*70000</f>
        <v>0</v>
      </c>
      <c r="BA3568" s="76"/>
      <c r="BB3568" s="76"/>
      <c r="BC3568" s="76"/>
      <c r="BD3568" s="76">
        <f>+BC3568*30000</f>
        <v>0</v>
      </c>
      <c r="BE3568" s="76"/>
      <c r="BF3568" s="76"/>
      <c r="BG3568" s="76"/>
      <c r="BH3568" s="76"/>
      <c r="BI3568" s="76"/>
      <c r="BJ3568" s="76"/>
      <c r="BK3568" s="76"/>
      <c r="BL3568" s="76">
        <f>+BK3568*31500</f>
        <v>0</v>
      </c>
      <c r="BM3568" s="76"/>
      <c r="BN3568" s="76"/>
      <c r="BO3568" s="76"/>
      <c r="BP3568" s="76"/>
      <c r="BQ3568" s="76"/>
      <c r="BR3568" s="76"/>
      <c r="BS3568" s="76"/>
      <c r="BT3568" s="76"/>
      <c r="BU3568" s="76"/>
      <c r="BV3568" s="76"/>
      <c r="BW3568" s="76"/>
      <c r="BX3568" s="76"/>
      <c r="BY3568" s="76"/>
      <c r="BZ3568" s="76"/>
      <c r="CA3568" s="76"/>
      <c r="CB3568" s="76"/>
      <c r="CC3568" s="76"/>
      <c r="CD3568" s="76"/>
      <c r="CE3568" s="76"/>
      <c r="CF3568" s="76">
        <f>+CE3568*28000</f>
        <v>0</v>
      </c>
      <c r="CG3568" s="76"/>
      <c r="CH3568" s="76">
        <f>+CG3568*22500</f>
        <v>0</v>
      </c>
      <c r="CI3568" s="76"/>
      <c r="CJ3568" s="76">
        <f>+CI3568*26000</f>
        <v>0</v>
      </c>
      <c r="CK3568" s="76"/>
      <c r="CL3568" s="76"/>
      <c r="CM3568" s="76"/>
      <c r="CN3568" s="76">
        <f>+CM3568*22000</f>
        <v>0</v>
      </c>
      <c r="CO3568" s="76"/>
      <c r="CP3568" s="76">
        <f>+CO3568*46000</f>
        <v>0</v>
      </c>
      <c r="CQ3568" s="76"/>
      <c r="CR3568" s="76">
        <f>+CQ3568*49000</f>
        <v>0</v>
      </c>
      <c r="CS3568" s="76"/>
      <c r="CT3568" s="76"/>
      <c r="CU3568" s="56">
        <f>AN3568+AP3568+AR3568+AT3568+AV3568+AX3568+AZ3568+BB3568+BD3568+BF3568+BH3568+BJ3568+BL3568+BN3568+BP3568+BR3568+BT3568+BV3568+BX3568+BZ3568+CB3568+CD3568+CF3568+CH3568+CJ3568+CL3568+CN3568+CP3568+CR3568+CT3568</f>
        <v>0</v>
      </c>
      <c r="CV3568" s="76"/>
      <c r="CW3568" s="76">
        <f>+CV3568*1100</f>
        <v>0</v>
      </c>
      <c r="CX3568" s="76"/>
      <c r="CY3568" s="76">
        <f>+CX3568*106250</f>
        <v>0</v>
      </c>
      <c r="CZ3568" s="76"/>
      <c r="DA3568" s="76">
        <f>+CZ3568*34500</f>
        <v>0</v>
      </c>
      <c r="DB3568" s="76"/>
      <c r="DC3568" s="76">
        <f>+DB3568*25000</f>
        <v>0</v>
      </c>
      <c r="DD3568" s="219"/>
      <c r="DE3568" s="219"/>
      <c r="DF3568" s="166"/>
      <c r="DG3568" s="134" t="s">
        <v>6567</v>
      </c>
      <c r="DH3568" s="117"/>
      <c r="DI3568" s="24"/>
      <c r="DJ3568" s="24"/>
      <c r="DK3568" s="24"/>
      <c r="DL3568" s="24"/>
      <c r="DM3568" s="24"/>
      <c r="DN3568" s="24"/>
      <c r="DO3568" s="24"/>
      <c r="DP3568" s="24"/>
      <c r="DQ3568" s="24"/>
      <c r="DR3568" s="24"/>
      <c r="DS3568" s="24"/>
      <c r="DT3568" s="24"/>
      <c r="DU3568" s="24"/>
    </row>
    <row r="3569" spans="1:125" s="8" customFormat="1" ht="60" x14ac:dyDescent="0.2">
      <c r="A3569" s="248">
        <v>41584</v>
      </c>
      <c r="B3569" s="249" t="s">
        <v>2700</v>
      </c>
      <c r="C3569" s="231" t="s">
        <v>2770</v>
      </c>
      <c r="D3569" s="231" t="s">
        <v>3051</v>
      </c>
      <c r="E3569" s="231" t="str">
        <f>VLOOKUP(B3569&amp;C3569,Divipola!$C$2:$F$1138,4,FALSE)</f>
        <v>15514</v>
      </c>
      <c r="F3569" s="346"/>
      <c r="G3569" s="346"/>
      <c r="H3569" s="346"/>
      <c r="I3569" s="346"/>
      <c r="J3569" s="346"/>
      <c r="K3569" s="346"/>
      <c r="L3569" s="346"/>
      <c r="M3569" s="346"/>
      <c r="N3569" s="346"/>
      <c r="O3569" s="346"/>
      <c r="P3569" s="346"/>
      <c r="Q3569" s="346"/>
      <c r="R3569" s="346"/>
      <c r="S3569" s="346"/>
      <c r="T3569" s="346"/>
      <c r="U3569" s="346"/>
      <c r="V3569" s="347"/>
      <c r="W3569" s="271">
        <v>0</v>
      </c>
      <c r="X3569" s="269">
        <f>CU3569</f>
        <v>0</v>
      </c>
      <c r="Y3569" s="269">
        <f>CY3569</f>
        <v>0</v>
      </c>
      <c r="Z3569" s="269">
        <f>DA3569+DC3569+DE3569</f>
        <v>0</v>
      </c>
      <c r="AA3569" s="269">
        <f>CW3569</f>
        <v>0</v>
      </c>
      <c r="AB3569" s="269"/>
      <c r="AC3569" s="269">
        <v>1284720324</v>
      </c>
      <c r="AD3569" s="269">
        <f>W3569+X3569+Y3569+Z3569+AA3569+AB3569+AC3569</f>
        <v>1284720324</v>
      </c>
      <c r="AE3569" s="270">
        <v>0</v>
      </c>
      <c r="AF3569" s="235"/>
      <c r="AG3569" s="236"/>
      <c r="AH3569" s="237"/>
      <c r="AI3569" s="238"/>
      <c r="AJ3569" s="239"/>
      <c r="AK3569" s="235"/>
      <c r="AL3569" s="301" t="s">
        <v>6570</v>
      </c>
      <c r="AM3569" s="240"/>
      <c r="AN3569" s="240"/>
      <c r="AO3569" s="240"/>
      <c r="AP3569" s="240"/>
      <c r="AQ3569" s="240"/>
      <c r="AR3569" s="240"/>
      <c r="AS3569" s="240"/>
      <c r="AT3569" s="240"/>
      <c r="AU3569" s="240"/>
      <c r="AV3569" s="240"/>
      <c r="AW3569" s="240"/>
      <c r="AX3569" s="240">
        <f>+AW3569*600000</f>
        <v>0</v>
      </c>
      <c r="AY3569" s="240"/>
      <c r="AZ3569" s="240">
        <f>+AY3569*70000</f>
        <v>0</v>
      </c>
      <c r="BA3569" s="240"/>
      <c r="BB3569" s="240"/>
      <c r="BC3569" s="240"/>
      <c r="BD3569" s="240">
        <f>+BC3569*30000</f>
        <v>0</v>
      </c>
      <c r="BE3569" s="240"/>
      <c r="BF3569" s="240"/>
      <c r="BG3569" s="240"/>
      <c r="BH3569" s="240"/>
      <c r="BI3569" s="240"/>
      <c r="BJ3569" s="240"/>
      <c r="BK3569" s="240"/>
      <c r="BL3569" s="240">
        <f>+BK3569*31500</f>
        <v>0</v>
      </c>
      <c r="BM3569" s="240"/>
      <c r="BN3569" s="240"/>
      <c r="BO3569" s="240"/>
      <c r="BP3569" s="240"/>
      <c r="BQ3569" s="240"/>
      <c r="BR3569" s="240"/>
      <c r="BS3569" s="240"/>
      <c r="BT3569" s="240"/>
      <c r="BU3569" s="240"/>
      <c r="BV3569" s="240"/>
      <c r="BW3569" s="240"/>
      <c r="BX3569" s="240"/>
      <c r="BY3569" s="240"/>
      <c r="BZ3569" s="240"/>
      <c r="CA3569" s="240"/>
      <c r="CB3569" s="240"/>
      <c r="CC3569" s="240"/>
      <c r="CD3569" s="240"/>
      <c r="CE3569" s="240"/>
      <c r="CF3569" s="240">
        <f>+CE3569*28000</f>
        <v>0</v>
      </c>
      <c r="CG3569" s="240"/>
      <c r="CH3569" s="240">
        <f>+CG3569*22500</f>
        <v>0</v>
      </c>
      <c r="CI3569" s="240"/>
      <c r="CJ3569" s="240">
        <f>+CI3569*26000</f>
        <v>0</v>
      </c>
      <c r="CK3569" s="240"/>
      <c r="CL3569" s="240"/>
      <c r="CM3569" s="240"/>
      <c r="CN3569" s="240">
        <f>+CM3569*22000</f>
        <v>0</v>
      </c>
      <c r="CO3569" s="240"/>
      <c r="CP3569" s="240">
        <f>+CO3569*46000</f>
        <v>0</v>
      </c>
      <c r="CQ3569" s="240"/>
      <c r="CR3569" s="240">
        <f>+CQ3569*49000</f>
        <v>0</v>
      </c>
      <c r="CS3569" s="240"/>
      <c r="CT3569" s="240"/>
      <c r="CU3569" s="241">
        <f>AN3569+AP3569+AR3569+AT3569+AV3569+AX3569+AZ3569+BB3569+BD3569+BF3569+BH3569+BJ3569+BL3569+BN3569+BP3569+BR3569+BT3569+BV3569+BX3569+BZ3569+CB3569+CD3569+CF3569+CH3569+CJ3569+CL3569+CN3569+CP3569+CR3569+CT3569</f>
        <v>0</v>
      </c>
      <c r="CV3569" s="240"/>
      <c r="CW3569" s="240">
        <f>+CV3569*1100</f>
        <v>0</v>
      </c>
      <c r="CX3569" s="240"/>
      <c r="CY3569" s="240">
        <f>+CX3569*106250</f>
        <v>0</v>
      </c>
      <c r="CZ3569" s="240"/>
      <c r="DA3569" s="240">
        <f>+CZ3569*34500</f>
        <v>0</v>
      </c>
      <c r="DB3569" s="240"/>
      <c r="DC3569" s="240">
        <f>+DB3569*25000</f>
        <v>0</v>
      </c>
      <c r="DD3569" s="242"/>
      <c r="DE3569" s="242"/>
      <c r="DF3569" s="243"/>
      <c r="DG3569" s="253" t="s">
        <v>6571</v>
      </c>
      <c r="DH3569" s="244"/>
      <c r="DI3569" s="24"/>
      <c r="DJ3569" s="24"/>
      <c r="DK3569" s="24"/>
      <c r="DL3569" s="24"/>
      <c r="DM3569" s="24"/>
      <c r="DN3569" s="24"/>
      <c r="DO3569" s="24"/>
      <c r="DP3569" s="24"/>
      <c r="DQ3569" s="24"/>
      <c r="DR3569" s="24"/>
      <c r="DS3569" s="24"/>
      <c r="DT3569" s="24"/>
      <c r="DU3569" s="24"/>
    </row>
    <row r="3570" spans="1:125" s="8" customFormat="1" ht="72" x14ac:dyDescent="0.2">
      <c r="A3570" s="77">
        <v>41584</v>
      </c>
      <c r="B3570" s="78" t="s">
        <v>2855</v>
      </c>
      <c r="C3570" s="75" t="s">
        <v>924</v>
      </c>
      <c r="D3570" s="75" t="s">
        <v>3051</v>
      </c>
      <c r="E3570" s="75" t="str">
        <f>VLOOKUP(B3570&amp;C3570,Divipola!$C$2:$F$1138,4,FALSE)</f>
        <v>20517</v>
      </c>
      <c r="F3570" s="87"/>
      <c r="G3570" s="87"/>
      <c r="H3570" s="87"/>
      <c r="I3570" s="87"/>
      <c r="J3570" s="87"/>
      <c r="K3570" s="87"/>
      <c r="L3570" s="87"/>
      <c r="M3570" s="87"/>
      <c r="N3570" s="87"/>
      <c r="O3570" s="87"/>
      <c r="P3570" s="87"/>
      <c r="Q3570" s="87"/>
      <c r="R3570" s="87"/>
      <c r="S3570" s="87"/>
      <c r="T3570" s="87"/>
      <c r="U3570" s="88"/>
      <c r="V3570" s="89"/>
      <c r="W3570" s="96">
        <v>0</v>
      </c>
      <c r="X3570" s="71">
        <f>CU3570</f>
        <v>0</v>
      </c>
      <c r="Y3570" s="71">
        <f>CY3570</f>
        <v>0</v>
      </c>
      <c r="Z3570" s="71">
        <f>DA3570+DC3570+DE3570</f>
        <v>0</v>
      </c>
      <c r="AA3570" s="71">
        <f>CW3570</f>
        <v>0</v>
      </c>
      <c r="AB3570" s="71"/>
      <c r="AC3570" s="71">
        <v>0</v>
      </c>
      <c r="AD3570" s="71">
        <f>W3570+X3570+Y3570+Z3570+AA3570+AB3570+AC3570</f>
        <v>0</v>
      </c>
      <c r="AE3570" s="72">
        <v>0</v>
      </c>
      <c r="AF3570" s="5"/>
      <c r="AG3570" s="6"/>
      <c r="AH3570" s="27"/>
      <c r="AI3570" s="44"/>
      <c r="AJ3570" s="26"/>
      <c r="AK3570" s="5"/>
      <c r="AL3570" s="9" t="s">
        <v>6580</v>
      </c>
      <c r="AM3570" s="76"/>
      <c r="AN3570" s="76"/>
      <c r="AO3570" s="76"/>
      <c r="AP3570" s="76"/>
      <c r="AQ3570" s="76"/>
      <c r="AR3570" s="76"/>
      <c r="AS3570" s="76"/>
      <c r="AT3570" s="76"/>
      <c r="AU3570" s="76"/>
      <c r="AV3570" s="76"/>
      <c r="AW3570" s="76"/>
      <c r="AX3570" s="76">
        <f>+AW3570*600000</f>
        <v>0</v>
      </c>
      <c r="AY3570" s="76"/>
      <c r="AZ3570" s="76">
        <f>+AY3570*70000</f>
        <v>0</v>
      </c>
      <c r="BA3570" s="76"/>
      <c r="BB3570" s="76"/>
      <c r="BC3570" s="76"/>
      <c r="BD3570" s="76">
        <f>+BC3570*30000</f>
        <v>0</v>
      </c>
      <c r="BE3570" s="76"/>
      <c r="BF3570" s="76"/>
      <c r="BG3570" s="76"/>
      <c r="BH3570" s="76"/>
      <c r="BI3570" s="76"/>
      <c r="BJ3570" s="76"/>
      <c r="BK3570" s="76"/>
      <c r="BL3570" s="76">
        <f>+BK3570*31500</f>
        <v>0</v>
      </c>
      <c r="BM3570" s="76"/>
      <c r="BN3570" s="76"/>
      <c r="BO3570" s="76"/>
      <c r="BP3570" s="76"/>
      <c r="BQ3570" s="76"/>
      <c r="BR3570" s="76"/>
      <c r="BS3570" s="76"/>
      <c r="BT3570" s="76"/>
      <c r="BU3570" s="76"/>
      <c r="BV3570" s="76"/>
      <c r="BW3570" s="76"/>
      <c r="BX3570" s="76"/>
      <c r="BY3570" s="76"/>
      <c r="BZ3570" s="76"/>
      <c r="CA3570" s="76"/>
      <c r="CB3570" s="76"/>
      <c r="CC3570" s="76"/>
      <c r="CD3570" s="76"/>
      <c r="CE3570" s="76"/>
      <c r="CF3570" s="76">
        <f>+CE3570*28000</f>
        <v>0</v>
      </c>
      <c r="CG3570" s="76"/>
      <c r="CH3570" s="76">
        <f>+CG3570*22500</f>
        <v>0</v>
      </c>
      <c r="CI3570" s="76"/>
      <c r="CJ3570" s="76">
        <f>+CI3570*26000</f>
        <v>0</v>
      </c>
      <c r="CK3570" s="76"/>
      <c r="CL3570" s="76"/>
      <c r="CM3570" s="76"/>
      <c r="CN3570" s="76">
        <f>+CM3570*22000</f>
        <v>0</v>
      </c>
      <c r="CO3570" s="76"/>
      <c r="CP3570" s="76">
        <f>+CO3570*46000</f>
        <v>0</v>
      </c>
      <c r="CQ3570" s="76"/>
      <c r="CR3570" s="76">
        <f>+CQ3570*49000</f>
        <v>0</v>
      </c>
      <c r="CS3570" s="76"/>
      <c r="CT3570" s="76"/>
      <c r="CU3570" s="56">
        <f>AN3570+AP3570+AR3570+AT3570+AV3570+AX3570+AZ3570+BB3570+BD3570+BF3570+BH3570+BJ3570+BL3570+BN3570+BP3570+BR3570+BT3570+BV3570+BX3570+BZ3570+CB3570+CD3570+CF3570+CH3570+CJ3570+CL3570+CN3570+CP3570+CR3570+CT3570</f>
        <v>0</v>
      </c>
      <c r="CV3570" s="76"/>
      <c r="CW3570" s="76">
        <f>+CV3570*1100</f>
        <v>0</v>
      </c>
      <c r="CX3570" s="76"/>
      <c r="CY3570" s="76">
        <f>+CX3570*106250</f>
        <v>0</v>
      </c>
      <c r="CZ3570" s="76"/>
      <c r="DA3570" s="76">
        <f>+CZ3570*34500</f>
        <v>0</v>
      </c>
      <c r="DB3570" s="76"/>
      <c r="DC3570" s="76">
        <f>+DB3570*25000</f>
        <v>0</v>
      </c>
      <c r="DD3570" s="219"/>
      <c r="DE3570" s="219"/>
      <c r="DF3570" s="166"/>
      <c r="DG3570" s="116"/>
      <c r="DH3570" s="117"/>
      <c r="DI3570" s="24"/>
      <c r="DJ3570" s="24"/>
      <c r="DK3570" s="24"/>
      <c r="DL3570" s="24"/>
      <c r="DM3570" s="24"/>
      <c r="DN3570" s="24"/>
      <c r="DO3570" s="24"/>
      <c r="DP3570" s="24"/>
      <c r="DQ3570" s="24"/>
      <c r="DR3570" s="24"/>
      <c r="DS3570" s="24"/>
      <c r="DT3570" s="24"/>
      <c r="DU3570" s="24"/>
    </row>
    <row r="3571" spans="1:125" s="8" customFormat="1" ht="72" x14ac:dyDescent="0.2">
      <c r="A3571" s="77">
        <v>41584</v>
      </c>
      <c r="B3571" s="78" t="s">
        <v>2774</v>
      </c>
      <c r="C3571" s="75" t="s">
        <v>284</v>
      </c>
      <c r="D3571" s="75" t="s">
        <v>2882</v>
      </c>
      <c r="E3571" s="75" t="str">
        <f>VLOOKUP(B3571&amp;C3571,Divipola!$C$2:$F$1138,4,FALSE)</f>
        <v>66170</v>
      </c>
      <c r="F3571" s="87"/>
      <c r="G3571" s="87"/>
      <c r="H3571" s="87"/>
      <c r="I3571" s="87">
        <v>250</v>
      </c>
      <c r="J3571" s="87">
        <v>50</v>
      </c>
      <c r="K3571" s="87"/>
      <c r="L3571" s="87">
        <v>50</v>
      </c>
      <c r="M3571" s="87"/>
      <c r="N3571" s="87"/>
      <c r="O3571" s="87"/>
      <c r="P3571" s="87"/>
      <c r="Q3571" s="87"/>
      <c r="R3571" s="87"/>
      <c r="S3571" s="87"/>
      <c r="T3571" s="88"/>
      <c r="U3571" s="89"/>
      <c r="V3571" s="355"/>
      <c r="W3571" s="96">
        <v>0</v>
      </c>
      <c r="X3571" s="71">
        <f>CU3571</f>
        <v>35800000</v>
      </c>
      <c r="Y3571" s="71">
        <f>CY3571</f>
        <v>21250000</v>
      </c>
      <c r="Z3571" s="71">
        <f>DA3571+DC3571+DE3571</f>
        <v>40500000</v>
      </c>
      <c r="AA3571" s="71">
        <f>CW3571</f>
        <v>0</v>
      </c>
      <c r="AB3571" s="71"/>
      <c r="AC3571" s="71">
        <v>0</v>
      </c>
      <c r="AD3571" s="71">
        <f>W3571+X3571+Y3571+Z3571+AA3571+AB3571+AC3571</f>
        <v>97550000</v>
      </c>
      <c r="AE3571" s="72">
        <v>0</v>
      </c>
      <c r="AF3571" s="5"/>
      <c r="AG3571" s="6"/>
      <c r="AH3571" s="27" t="s">
        <v>3390</v>
      </c>
      <c r="AI3571" s="44" t="s">
        <v>3391</v>
      </c>
      <c r="AJ3571" s="26"/>
      <c r="AK3571" s="5" t="s">
        <v>6675</v>
      </c>
      <c r="AL3571" s="9" t="s">
        <v>6631</v>
      </c>
      <c r="AM3571" s="76"/>
      <c r="AN3571" s="76"/>
      <c r="AO3571" s="76"/>
      <c r="AP3571" s="76"/>
      <c r="AQ3571" s="76"/>
      <c r="AR3571" s="76"/>
      <c r="AS3571" s="76"/>
      <c r="AT3571" s="76"/>
      <c r="AU3571" s="76"/>
      <c r="AV3571" s="76"/>
      <c r="AW3571" s="76"/>
      <c r="AX3571" s="76">
        <f>+AW3571*600000</f>
        <v>0</v>
      </c>
      <c r="AY3571" s="76">
        <v>400</v>
      </c>
      <c r="AZ3571" s="76">
        <f>+AY3571*70000</f>
        <v>28000000</v>
      </c>
      <c r="BA3571" s="76"/>
      <c r="BB3571" s="76"/>
      <c r="BC3571" s="76"/>
      <c r="BD3571" s="76">
        <f>+BC3571*30000</f>
        <v>0</v>
      </c>
      <c r="BE3571" s="76"/>
      <c r="BF3571" s="76"/>
      <c r="BG3571" s="76"/>
      <c r="BH3571" s="76"/>
      <c r="BI3571" s="76"/>
      <c r="BJ3571" s="76"/>
      <c r="BK3571" s="76"/>
      <c r="BL3571" s="76">
        <f>+BK3571*31500</f>
        <v>0</v>
      </c>
      <c r="BM3571" s="76"/>
      <c r="BN3571" s="76"/>
      <c r="BO3571" s="76"/>
      <c r="BP3571" s="76"/>
      <c r="BQ3571" s="76"/>
      <c r="BR3571" s="76"/>
      <c r="BS3571" s="76"/>
      <c r="BT3571" s="76"/>
      <c r="BU3571" s="76"/>
      <c r="BV3571" s="76"/>
      <c r="BW3571" s="76"/>
      <c r="BX3571" s="76"/>
      <c r="BY3571" s="76"/>
      <c r="BZ3571" s="76"/>
      <c r="CA3571" s="76"/>
      <c r="CB3571" s="76"/>
      <c r="CC3571" s="76"/>
      <c r="CD3571" s="76"/>
      <c r="CE3571" s="76"/>
      <c r="CF3571" s="76">
        <f>+CE3571*28000</f>
        <v>0</v>
      </c>
      <c r="CG3571" s="76"/>
      <c r="CH3571" s="76">
        <f>+CG3571*22500</f>
        <v>0</v>
      </c>
      <c r="CI3571" s="76">
        <v>300</v>
      </c>
      <c r="CJ3571" s="76">
        <f>+CI3571*26000</f>
        <v>7800000</v>
      </c>
      <c r="CK3571" s="76"/>
      <c r="CL3571" s="76"/>
      <c r="CM3571" s="76"/>
      <c r="CN3571" s="76">
        <f>+CM3571*22000</f>
        <v>0</v>
      </c>
      <c r="CO3571" s="76"/>
      <c r="CP3571" s="76">
        <f>+CO3571*46000</f>
        <v>0</v>
      </c>
      <c r="CQ3571" s="76"/>
      <c r="CR3571" s="76">
        <f>+CQ3571*49000</f>
        <v>0</v>
      </c>
      <c r="CS3571" s="76"/>
      <c r="CT3571" s="76"/>
      <c r="CU3571" s="56">
        <f>AN3571+AP3571+AR3571+AT3571+AV3571+AX3571+AZ3571+BB3571+BD3571+BF3571+BH3571+BJ3571+BL3571+BN3571+BP3571+BR3571+BT3571+BV3571+BX3571+BZ3571+CB3571+CD3571+CF3571+CH3571+CJ3571+CL3571+CN3571+CP3571+CR3571+CT3571</f>
        <v>35800000</v>
      </c>
      <c r="CV3571" s="76"/>
      <c r="CW3571" s="76">
        <f>+CV3571*1100</f>
        <v>0</v>
      </c>
      <c r="CX3571" s="76">
        <v>200</v>
      </c>
      <c r="CY3571" s="76">
        <f>+CX3571*106250</f>
        <v>21250000</v>
      </c>
      <c r="CZ3571" s="76"/>
      <c r="DA3571" s="76">
        <f>+CZ3571*34500</f>
        <v>0</v>
      </c>
      <c r="DB3571" s="76">
        <f>500+700</f>
        <v>1200</v>
      </c>
      <c r="DC3571" s="76">
        <f>500*32000+700*35000</f>
        <v>40500000</v>
      </c>
      <c r="DD3571" s="219"/>
      <c r="DE3571" s="219"/>
      <c r="DF3571" s="166"/>
      <c r="DG3571" s="116"/>
      <c r="DH3571" s="117"/>
      <c r="DI3571" s="24"/>
      <c r="DJ3571" s="24"/>
      <c r="DK3571" s="24"/>
      <c r="DL3571" s="24"/>
      <c r="DM3571" s="24"/>
      <c r="DN3571" s="24"/>
      <c r="DO3571" s="24"/>
      <c r="DP3571" s="24"/>
      <c r="DQ3571" s="24"/>
      <c r="DR3571" s="24"/>
      <c r="DS3571" s="24"/>
      <c r="DT3571" s="24"/>
      <c r="DU3571" s="24"/>
    </row>
    <row r="3572" spans="1:125" s="8" customFormat="1" ht="72" x14ac:dyDescent="0.2">
      <c r="A3572" s="77">
        <v>41585</v>
      </c>
      <c r="B3572" s="78" t="s">
        <v>2847</v>
      </c>
      <c r="C3572" s="75" t="s">
        <v>355</v>
      </c>
      <c r="D3572" s="75" t="s">
        <v>3088</v>
      </c>
      <c r="E3572" s="75" t="str">
        <f>VLOOKUP(B3572&amp;C3572,Divipola!$C$2:$F$1138,4,FALSE)</f>
        <v>68296</v>
      </c>
      <c r="F3572" s="87"/>
      <c r="G3572" s="87"/>
      <c r="H3572" s="87"/>
      <c r="I3572" s="87"/>
      <c r="J3572" s="87"/>
      <c r="K3572" s="87"/>
      <c r="L3572" s="87"/>
      <c r="M3572" s="87">
        <v>1</v>
      </c>
      <c r="N3572" s="87"/>
      <c r="O3572" s="87"/>
      <c r="P3572" s="87"/>
      <c r="Q3572" s="87"/>
      <c r="R3572" s="87"/>
      <c r="S3572" s="87"/>
      <c r="T3572" s="87"/>
      <c r="U3572" s="88"/>
      <c r="V3572" s="89"/>
      <c r="W3572" s="96">
        <v>0</v>
      </c>
      <c r="X3572" s="71">
        <f>CU3572</f>
        <v>0</v>
      </c>
      <c r="Y3572" s="71">
        <f>CY3572</f>
        <v>0</v>
      </c>
      <c r="Z3572" s="71">
        <f>DA3572+DC3572+DE3572</f>
        <v>0</v>
      </c>
      <c r="AA3572" s="71">
        <f>CW3572</f>
        <v>0</v>
      </c>
      <c r="AB3572" s="71"/>
      <c r="AC3572" s="71">
        <v>0</v>
      </c>
      <c r="AD3572" s="71">
        <f>W3572+X3572+Y3572+Z3572+AA3572+AB3572+AC3572</f>
        <v>0</v>
      </c>
      <c r="AE3572" s="72">
        <v>0</v>
      </c>
      <c r="AF3572" s="5"/>
      <c r="AG3572" s="6"/>
      <c r="AH3572" s="27"/>
      <c r="AI3572" s="44"/>
      <c r="AJ3572" s="26"/>
      <c r="AK3572" s="5"/>
      <c r="AL3572" s="268" t="s">
        <v>6575</v>
      </c>
      <c r="AM3572" s="76"/>
      <c r="AN3572" s="76"/>
      <c r="AO3572" s="76"/>
      <c r="AP3572" s="76"/>
      <c r="AQ3572" s="76"/>
      <c r="AR3572" s="76"/>
      <c r="AS3572" s="76"/>
      <c r="AT3572" s="76"/>
      <c r="AU3572" s="76"/>
      <c r="AV3572" s="76"/>
      <c r="AW3572" s="76"/>
      <c r="AX3572" s="76">
        <f>+AW3572*600000</f>
        <v>0</v>
      </c>
      <c r="AY3572" s="76"/>
      <c r="AZ3572" s="76">
        <f>+AY3572*70000</f>
        <v>0</v>
      </c>
      <c r="BA3572" s="76"/>
      <c r="BB3572" s="76"/>
      <c r="BC3572" s="76"/>
      <c r="BD3572" s="76">
        <f>+BC3572*30000</f>
        <v>0</v>
      </c>
      <c r="BE3572" s="76"/>
      <c r="BF3572" s="76"/>
      <c r="BG3572" s="76"/>
      <c r="BH3572" s="76"/>
      <c r="BI3572" s="76"/>
      <c r="BJ3572" s="76"/>
      <c r="BK3572" s="76"/>
      <c r="BL3572" s="76">
        <f>+BK3572*31500</f>
        <v>0</v>
      </c>
      <c r="BM3572" s="76"/>
      <c r="BN3572" s="76"/>
      <c r="BO3572" s="76"/>
      <c r="BP3572" s="76"/>
      <c r="BQ3572" s="76"/>
      <c r="BR3572" s="76"/>
      <c r="BS3572" s="76"/>
      <c r="BT3572" s="76"/>
      <c r="BU3572" s="76"/>
      <c r="BV3572" s="76"/>
      <c r="BW3572" s="76"/>
      <c r="BX3572" s="76"/>
      <c r="BY3572" s="76"/>
      <c r="BZ3572" s="76"/>
      <c r="CA3572" s="76"/>
      <c r="CB3572" s="76"/>
      <c r="CC3572" s="76"/>
      <c r="CD3572" s="76"/>
      <c r="CE3572" s="76"/>
      <c r="CF3572" s="76">
        <f>+CE3572*28000</f>
        <v>0</v>
      </c>
      <c r="CG3572" s="76"/>
      <c r="CH3572" s="76">
        <f>+CG3572*22500</f>
        <v>0</v>
      </c>
      <c r="CI3572" s="76"/>
      <c r="CJ3572" s="76">
        <f>+CI3572*26000</f>
        <v>0</v>
      </c>
      <c r="CK3572" s="76"/>
      <c r="CL3572" s="76"/>
      <c r="CM3572" s="76"/>
      <c r="CN3572" s="76">
        <f>+CM3572*22000</f>
        <v>0</v>
      </c>
      <c r="CO3572" s="76"/>
      <c r="CP3572" s="76">
        <f>+CO3572*46000</f>
        <v>0</v>
      </c>
      <c r="CQ3572" s="76"/>
      <c r="CR3572" s="76">
        <f>+CQ3572*49000</f>
        <v>0</v>
      </c>
      <c r="CS3572" s="76"/>
      <c r="CT3572" s="76"/>
      <c r="CU3572" s="56">
        <f>AN3572+AP3572+AR3572+AT3572+AV3572+AX3572+AZ3572+BB3572+BD3572+BF3572+BH3572+BJ3572+BL3572+BN3572+BP3572+BR3572+BT3572+BV3572+BX3572+BZ3572+CB3572+CD3572+CF3572+CH3572+CJ3572+CL3572+CN3572+CP3572+CR3572+CT3572</f>
        <v>0</v>
      </c>
      <c r="CV3572" s="76"/>
      <c r="CW3572" s="76">
        <f>+CV3572*1100</f>
        <v>0</v>
      </c>
      <c r="CX3572" s="76"/>
      <c r="CY3572" s="76">
        <f>+CX3572*106250</f>
        <v>0</v>
      </c>
      <c r="CZ3572" s="76"/>
      <c r="DA3572" s="76">
        <f>+CZ3572*34500</f>
        <v>0</v>
      </c>
      <c r="DB3572" s="76"/>
      <c r="DC3572" s="76">
        <f>+DB3572*25000</f>
        <v>0</v>
      </c>
      <c r="DD3572" s="219"/>
      <c r="DE3572" s="219"/>
      <c r="DF3572" s="166"/>
      <c r="DG3572" s="116"/>
      <c r="DH3572" s="117"/>
      <c r="DI3572" s="24"/>
      <c r="DJ3572" s="24"/>
      <c r="DK3572" s="24"/>
      <c r="DL3572" s="24"/>
      <c r="DM3572" s="24"/>
      <c r="DN3572" s="24"/>
      <c r="DO3572" s="24"/>
      <c r="DP3572" s="24"/>
      <c r="DQ3572" s="24"/>
      <c r="DR3572" s="24"/>
      <c r="DS3572" s="24"/>
      <c r="DT3572" s="24"/>
      <c r="DU3572" s="24"/>
    </row>
    <row r="3573" spans="1:125" s="8" customFormat="1" ht="288" x14ac:dyDescent="0.2">
      <c r="A3573" s="353">
        <v>41585</v>
      </c>
      <c r="B3573" s="352" t="s">
        <v>2777</v>
      </c>
      <c r="C3573" s="354" t="s">
        <v>1506</v>
      </c>
      <c r="D3573" s="354" t="s">
        <v>3051</v>
      </c>
      <c r="E3573" s="75" t="str">
        <f>VLOOKUP(B3573&amp;C3573,Divipola!$C$2:$F$1138,4,FALSE)</f>
        <v>13490</v>
      </c>
      <c r="F3573" s="87"/>
      <c r="G3573" s="87"/>
      <c r="H3573" s="87"/>
      <c r="I3573" s="93">
        <v>1200</v>
      </c>
      <c r="J3573" s="93">
        <v>240</v>
      </c>
      <c r="K3573" s="93"/>
      <c r="L3573" s="93">
        <v>240</v>
      </c>
      <c r="M3573" s="87"/>
      <c r="N3573" s="87"/>
      <c r="O3573" s="87"/>
      <c r="P3573" s="87"/>
      <c r="Q3573" s="87"/>
      <c r="R3573" s="87"/>
      <c r="S3573" s="87"/>
      <c r="T3573" s="87"/>
      <c r="U3573" s="88"/>
      <c r="V3573" s="89"/>
      <c r="W3573" s="96">
        <v>0</v>
      </c>
      <c r="X3573" s="71">
        <f>CU3573</f>
        <v>0</v>
      </c>
      <c r="Y3573" s="71">
        <f>CY3573</f>
        <v>0</v>
      </c>
      <c r="Z3573" s="71">
        <f>DA3573+DC3573+DE3573</f>
        <v>0</v>
      </c>
      <c r="AA3573" s="71">
        <f>CW3573</f>
        <v>0</v>
      </c>
      <c r="AB3573" s="71"/>
      <c r="AC3573" s="71">
        <v>0</v>
      </c>
      <c r="AD3573" s="71">
        <f>W3573+X3573+Y3573+Z3573+AA3573+AB3573+AC3573</f>
        <v>0</v>
      </c>
      <c r="AE3573" s="72">
        <v>0</v>
      </c>
      <c r="AF3573" s="5"/>
      <c r="AG3573" s="6"/>
      <c r="AH3573" s="27"/>
      <c r="AI3573" s="44"/>
      <c r="AJ3573" s="26"/>
      <c r="AK3573" s="5"/>
      <c r="AL3573" s="82" t="s">
        <v>6611</v>
      </c>
      <c r="AM3573" s="76"/>
      <c r="AN3573" s="76"/>
      <c r="AO3573" s="76"/>
      <c r="AP3573" s="76"/>
      <c r="AQ3573" s="76"/>
      <c r="AR3573" s="76"/>
      <c r="AS3573" s="76"/>
      <c r="AT3573" s="76"/>
      <c r="AU3573" s="76"/>
      <c r="AV3573" s="76"/>
      <c r="AW3573" s="76"/>
      <c r="AX3573" s="76">
        <f>+AW3573*600000</f>
        <v>0</v>
      </c>
      <c r="AY3573" s="76"/>
      <c r="AZ3573" s="76">
        <f>+AY3573*70000</f>
        <v>0</v>
      </c>
      <c r="BA3573" s="76"/>
      <c r="BB3573" s="76"/>
      <c r="BC3573" s="76"/>
      <c r="BD3573" s="76">
        <f>+BC3573*30000</f>
        <v>0</v>
      </c>
      <c r="BE3573" s="76"/>
      <c r="BF3573" s="76"/>
      <c r="BG3573" s="76"/>
      <c r="BH3573" s="76"/>
      <c r="BI3573" s="76"/>
      <c r="BJ3573" s="76"/>
      <c r="BK3573" s="76"/>
      <c r="BL3573" s="76">
        <f>+BK3573*31500</f>
        <v>0</v>
      </c>
      <c r="BM3573" s="76"/>
      <c r="BN3573" s="76"/>
      <c r="BO3573" s="76"/>
      <c r="BP3573" s="76"/>
      <c r="BQ3573" s="76"/>
      <c r="BR3573" s="76"/>
      <c r="BS3573" s="76"/>
      <c r="BT3573" s="76"/>
      <c r="BU3573" s="76"/>
      <c r="BV3573" s="76"/>
      <c r="BW3573" s="76"/>
      <c r="BX3573" s="76"/>
      <c r="BY3573" s="76"/>
      <c r="BZ3573" s="76"/>
      <c r="CA3573" s="76"/>
      <c r="CB3573" s="76"/>
      <c r="CC3573" s="76"/>
      <c r="CD3573" s="76"/>
      <c r="CE3573" s="76"/>
      <c r="CF3573" s="76">
        <f>+CE3573*28000</f>
        <v>0</v>
      </c>
      <c r="CG3573" s="76"/>
      <c r="CH3573" s="76">
        <f>+CG3573*22500</f>
        <v>0</v>
      </c>
      <c r="CI3573" s="76"/>
      <c r="CJ3573" s="76">
        <f>+CI3573*26000</f>
        <v>0</v>
      </c>
      <c r="CK3573" s="76"/>
      <c r="CL3573" s="76"/>
      <c r="CM3573" s="76"/>
      <c r="CN3573" s="76">
        <f>+CM3573*22000</f>
        <v>0</v>
      </c>
      <c r="CO3573" s="76"/>
      <c r="CP3573" s="76">
        <f>+CO3573*46000</f>
        <v>0</v>
      </c>
      <c r="CQ3573" s="76"/>
      <c r="CR3573" s="76">
        <f>+CQ3573*49000</f>
        <v>0</v>
      </c>
      <c r="CS3573" s="76"/>
      <c r="CT3573" s="76"/>
      <c r="CU3573" s="56">
        <f>AN3573+AP3573+AR3573+AT3573+AV3573+AX3573+AZ3573+BB3573+BD3573+BF3573+BH3573+BJ3573+BL3573+BN3573+BP3573+BR3573+BT3573+BV3573+BX3573+BZ3573+CB3573+CD3573+CF3573+CH3573+CJ3573+CL3573+CN3573+CP3573+CR3573+CT3573</f>
        <v>0</v>
      </c>
      <c r="CV3573" s="76"/>
      <c r="CW3573" s="76">
        <f>+CV3573*1100</f>
        <v>0</v>
      </c>
      <c r="CX3573" s="76"/>
      <c r="CY3573" s="76">
        <f>+CX3573*106250</f>
        <v>0</v>
      </c>
      <c r="CZ3573" s="76"/>
      <c r="DA3573" s="76">
        <f>+CZ3573*34500</f>
        <v>0</v>
      </c>
      <c r="DB3573" s="76"/>
      <c r="DC3573" s="76">
        <f>+DB3573*25000</f>
        <v>0</v>
      </c>
      <c r="DD3573" s="219"/>
      <c r="DE3573" s="219"/>
      <c r="DF3573" s="166"/>
      <c r="DG3573" s="116"/>
      <c r="DH3573" s="117"/>
      <c r="DI3573" s="24"/>
      <c r="DJ3573" s="24"/>
      <c r="DK3573" s="24"/>
      <c r="DL3573" s="24"/>
      <c r="DM3573" s="24"/>
      <c r="DN3573" s="24"/>
      <c r="DO3573" s="24"/>
      <c r="DP3573" s="24"/>
      <c r="DQ3573" s="24"/>
      <c r="DR3573" s="24"/>
      <c r="DS3573" s="24"/>
      <c r="DT3573" s="24"/>
      <c r="DU3573" s="24"/>
    </row>
    <row r="3574" spans="1:125" s="8" customFormat="1" ht="96" x14ac:dyDescent="0.2">
      <c r="A3574" s="353">
        <v>41585</v>
      </c>
      <c r="B3574" s="352" t="s">
        <v>2854</v>
      </c>
      <c r="C3574" s="354" t="s">
        <v>2093</v>
      </c>
      <c r="D3574" s="354" t="s">
        <v>3088</v>
      </c>
      <c r="E3574" s="75" t="str">
        <f>VLOOKUP(B3574&amp;C3574,Divipola!$C$2:$F$1138,4,FALSE)</f>
        <v>19455</v>
      </c>
      <c r="F3574" s="87"/>
      <c r="G3574" s="87"/>
      <c r="H3574" s="87"/>
      <c r="I3574" s="87"/>
      <c r="J3574" s="87"/>
      <c r="K3574" s="87"/>
      <c r="L3574" s="87"/>
      <c r="M3574" s="87">
        <v>1</v>
      </c>
      <c r="N3574" s="87"/>
      <c r="O3574" s="87"/>
      <c r="P3574" s="87"/>
      <c r="Q3574" s="87"/>
      <c r="R3574" s="87"/>
      <c r="S3574" s="87"/>
      <c r="T3574" s="87"/>
      <c r="U3574" s="88"/>
      <c r="V3574" s="89"/>
      <c r="W3574" s="96">
        <v>0</v>
      </c>
      <c r="X3574" s="71">
        <f>CU3574</f>
        <v>0</v>
      </c>
      <c r="Y3574" s="71">
        <f>CY3574</f>
        <v>0</v>
      </c>
      <c r="Z3574" s="71">
        <f>DA3574+DC3574+DE3574</f>
        <v>0</v>
      </c>
      <c r="AA3574" s="71">
        <f>CW3574</f>
        <v>0</v>
      </c>
      <c r="AB3574" s="71"/>
      <c r="AC3574" s="71">
        <v>0</v>
      </c>
      <c r="AD3574" s="71">
        <f>W3574+X3574+Y3574+Z3574+AA3574+AB3574+AC3574</f>
        <v>0</v>
      </c>
      <c r="AE3574" s="72">
        <v>0</v>
      </c>
      <c r="AF3574" s="5"/>
      <c r="AG3574" s="6"/>
      <c r="AH3574" s="27"/>
      <c r="AI3574" s="44"/>
      <c r="AJ3574" s="26"/>
      <c r="AK3574" s="5"/>
      <c r="AL3574" s="82" t="s">
        <v>6576</v>
      </c>
      <c r="AM3574" s="76"/>
      <c r="AN3574" s="76"/>
      <c r="AO3574" s="76"/>
      <c r="AP3574" s="76"/>
      <c r="AQ3574" s="76"/>
      <c r="AR3574" s="76"/>
      <c r="AS3574" s="76"/>
      <c r="AT3574" s="76"/>
      <c r="AU3574" s="76"/>
      <c r="AV3574" s="76"/>
      <c r="AW3574" s="76"/>
      <c r="AX3574" s="76">
        <f>+AW3574*600000</f>
        <v>0</v>
      </c>
      <c r="AY3574" s="76"/>
      <c r="AZ3574" s="76">
        <f>+AY3574*70000</f>
        <v>0</v>
      </c>
      <c r="BA3574" s="76"/>
      <c r="BB3574" s="76"/>
      <c r="BC3574" s="76"/>
      <c r="BD3574" s="76">
        <f>+BC3574*30000</f>
        <v>0</v>
      </c>
      <c r="BE3574" s="76"/>
      <c r="BF3574" s="76"/>
      <c r="BG3574" s="76"/>
      <c r="BH3574" s="76"/>
      <c r="BI3574" s="76"/>
      <c r="BJ3574" s="76"/>
      <c r="BK3574" s="76"/>
      <c r="BL3574" s="76">
        <f>+BK3574*31500</f>
        <v>0</v>
      </c>
      <c r="BM3574" s="76"/>
      <c r="BN3574" s="76"/>
      <c r="BO3574" s="76"/>
      <c r="BP3574" s="76"/>
      <c r="BQ3574" s="76"/>
      <c r="BR3574" s="76"/>
      <c r="BS3574" s="76"/>
      <c r="BT3574" s="76"/>
      <c r="BU3574" s="76"/>
      <c r="BV3574" s="76"/>
      <c r="BW3574" s="76"/>
      <c r="BX3574" s="76"/>
      <c r="BY3574" s="76"/>
      <c r="BZ3574" s="76"/>
      <c r="CA3574" s="76"/>
      <c r="CB3574" s="76"/>
      <c r="CC3574" s="76"/>
      <c r="CD3574" s="76"/>
      <c r="CE3574" s="76"/>
      <c r="CF3574" s="76">
        <f>+CE3574*28000</f>
        <v>0</v>
      </c>
      <c r="CG3574" s="76"/>
      <c r="CH3574" s="76">
        <f>+CG3574*22500</f>
        <v>0</v>
      </c>
      <c r="CI3574" s="76"/>
      <c r="CJ3574" s="76">
        <f>+CI3574*26000</f>
        <v>0</v>
      </c>
      <c r="CK3574" s="76"/>
      <c r="CL3574" s="76"/>
      <c r="CM3574" s="76"/>
      <c r="CN3574" s="76">
        <f>+CM3574*22000</f>
        <v>0</v>
      </c>
      <c r="CO3574" s="76"/>
      <c r="CP3574" s="76">
        <f>+CO3574*46000</f>
        <v>0</v>
      </c>
      <c r="CQ3574" s="76"/>
      <c r="CR3574" s="76">
        <f>+CQ3574*49000</f>
        <v>0</v>
      </c>
      <c r="CS3574" s="76"/>
      <c r="CT3574" s="76"/>
      <c r="CU3574" s="56">
        <f>AN3574+AP3574+AR3574+AT3574+AV3574+AX3574+AZ3574+BB3574+BD3574+BF3574+BH3574+BJ3574+BL3574+BN3574+BP3574+BR3574+BT3574+BV3574+BX3574+BZ3574+CB3574+CD3574+CF3574+CH3574+CJ3574+CL3574+CN3574+CP3574+CR3574+CT3574</f>
        <v>0</v>
      </c>
      <c r="CV3574" s="76"/>
      <c r="CW3574" s="76">
        <f>+CV3574*1100</f>
        <v>0</v>
      </c>
      <c r="CX3574" s="76"/>
      <c r="CY3574" s="76">
        <f>+CX3574*106250</f>
        <v>0</v>
      </c>
      <c r="CZ3574" s="76"/>
      <c r="DA3574" s="76">
        <f>+CZ3574*34500</f>
        <v>0</v>
      </c>
      <c r="DB3574" s="76"/>
      <c r="DC3574" s="76">
        <f>+DB3574*25000</f>
        <v>0</v>
      </c>
      <c r="DD3574" s="219"/>
      <c r="DE3574" s="219"/>
      <c r="DF3574" s="166"/>
      <c r="DG3574" s="116"/>
      <c r="DH3574" s="117"/>
      <c r="DI3574" s="24"/>
      <c r="DJ3574" s="24"/>
      <c r="DK3574" s="24"/>
      <c r="DL3574" s="24"/>
      <c r="DM3574" s="24"/>
      <c r="DN3574" s="24"/>
      <c r="DO3574" s="24"/>
      <c r="DP3574" s="24"/>
      <c r="DQ3574" s="24"/>
      <c r="DR3574" s="24"/>
      <c r="DS3574" s="24"/>
      <c r="DT3574" s="24"/>
      <c r="DU3574" s="24"/>
    </row>
    <row r="3575" spans="1:125" s="8" customFormat="1" ht="84" x14ac:dyDescent="0.2">
      <c r="A3575" s="77">
        <v>41585</v>
      </c>
      <c r="B3575" s="352" t="s">
        <v>2774</v>
      </c>
      <c r="C3575" s="354" t="s">
        <v>2037</v>
      </c>
      <c r="D3575" s="354" t="s">
        <v>2859</v>
      </c>
      <c r="E3575" s="75" t="str">
        <f>VLOOKUP(B3575&amp;C3575,Divipola!$C$2:$F$1138,4,FALSE)</f>
        <v>66045</v>
      </c>
      <c r="F3575" s="87"/>
      <c r="G3575" s="87"/>
      <c r="H3575" s="87"/>
      <c r="I3575" s="87">
        <v>50</v>
      </c>
      <c r="J3575" s="87">
        <v>10</v>
      </c>
      <c r="K3575" s="87">
        <v>1</v>
      </c>
      <c r="L3575" s="87">
        <v>1</v>
      </c>
      <c r="M3575" s="87"/>
      <c r="N3575" s="87"/>
      <c r="O3575" s="87"/>
      <c r="P3575" s="87"/>
      <c r="Q3575" s="87"/>
      <c r="R3575" s="87"/>
      <c r="S3575" s="87"/>
      <c r="T3575" s="87"/>
      <c r="U3575" s="88"/>
      <c r="V3575" s="89"/>
      <c r="W3575" s="96">
        <v>0</v>
      </c>
      <c r="X3575" s="71">
        <f>CU3575</f>
        <v>0</v>
      </c>
      <c r="Y3575" s="71">
        <f>CY3575</f>
        <v>0</v>
      </c>
      <c r="Z3575" s="71">
        <f>DA3575+DC3575+DE3575</f>
        <v>0</v>
      </c>
      <c r="AA3575" s="71">
        <f>CW3575</f>
        <v>0</v>
      </c>
      <c r="AB3575" s="71"/>
      <c r="AC3575" s="71">
        <v>0</v>
      </c>
      <c r="AD3575" s="71">
        <f>W3575+X3575+Y3575+Z3575+AA3575+AB3575+AC3575</f>
        <v>0</v>
      </c>
      <c r="AE3575" s="72">
        <v>0</v>
      </c>
      <c r="AF3575" s="5"/>
      <c r="AG3575" s="6"/>
      <c r="AH3575" s="27"/>
      <c r="AI3575" s="44"/>
      <c r="AJ3575" s="26"/>
      <c r="AK3575" s="5"/>
      <c r="AL3575" s="82" t="s">
        <v>6577</v>
      </c>
      <c r="AM3575" s="76"/>
      <c r="AN3575" s="76"/>
      <c r="AO3575" s="76"/>
      <c r="AP3575" s="76"/>
      <c r="AQ3575" s="76"/>
      <c r="AR3575" s="76"/>
      <c r="AS3575" s="76"/>
      <c r="AT3575" s="76"/>
      <c r="AU3575" s="76"/>
      <c r="AV3575" s="76"/>
      <c r="AW3575" s="76"/>
      <c r="AX3575" s="76">
        <f>+AW3575*600000</f>
        <v>0</v>
      </c>
      <c r="AY3575" s="76"/>
      <c r="AZ3575" s="76">
        <f>+AY3575*70000</f>
        <v>0</v>
      </c>
      <c r="BA3575" s="76"/>
      <c r="BB3575" s="76"/>
      <c r="BC3575" s="76"/>
      <c r="BD3575" s="76">
        <f>+BC3575*30000</f>
        <v>0</v>
      </c>
      <c r="BE3575" s="76"/>
      <c r="BF3575" s="76"/>
      <c r="BG3575" s="76"/>
      <c r="BH3575" s="76"/>
      <c r="BI3575" s="76"/>
      <c r="BJ3575" s="76"/>
      <c r="BK3575" s="76"/>
      <c r="BL3575" s="76">
        <f>+BK3575*31500</f>
        <v>0</v>
      </c>
      <c r="BM3575" s="76"/>
      <c r="BN3575" s="76"/>
      <c r="BO3575" s="76"/>
      <c r="BP3575" s="76"/>
      <c r="BQ3575" s="76"/>
      <c r="BR3575" s="76"/>
      <c r="BS3575" s="76"/>
      <c r="BT3575" s="76"/>
      <c r="BU3575" s="76"/>
      <c r="BV3575" s="76"/>
      <c r="BW3575" s="76"/>
      <c r="BX3575" s="76"/>
      <c r="BY3575" s="76"/>
      <c r="BZ3575" s="76"/>
      <c r="CA3575" s="76"/>
      <c r="CB3575" s="76"/>
      <c r="CC3575" s="76"/>
      <c r="CD3575" s="76"/>
      <c r="CE3575" s="76"/>
      <c r="CF3575" s="76">
        <f>+CE3575*28000</f>
        <v>0</v>
      </c>
      <c r="CG3575" s="76"/>
      <c r="CH3575" s="76">
        <f>+CG3575*22500</f>
        <v>0</v>
      </c>
      <c r="CI3575" s="76"/>
      <c r="CJ3575" s="76">
        <f>+CI3575*26000</f>
        <v>0</v>
      </c>
      <c r="CK3575" s="76"/>
      <c r="CL3575" s="76"/>
      <c r="CM3575" s="76"/>
      <c r="CN3575" s="76">
        <f>+CM3575*22000</f>
        <v>0</v>
      </c>
      <c r="CO3575" s="76"/>
      <c r="CP3575" s="76">
        <f>+CO3575*46000</f>
        <v>0</v>
      </c>
      <c r="CQ3575" s="76"/>
      <c r="CR3575" s="76">
        <f>+CQ3575*49000</f>
        <v>0</v>
      </c>
      <c r="CS3575" s="76"/>
      <c r="CT3575" s="76"/>
      <c r="CU3575" s="56">
        <f>AN3575+AP3575+AR3575+AT3575+AV3575+AX3575+AZ3575+BB3575+BD3575+BF3575+BH3575+BJ3575+BL3575+BN3575+BP3575+BR3575+BT3575+BV3575+BX3575+BZ3575+CB3575+CD3575+CF3575+CH3575+CJ3575+CL3575+CN3575+CP3575+CR3575+CT3575</f>
        <v>0</v>
      </c>
      <c r="CV3575" s="76"/>
      <c r="CW3575" s="76">
        <f>+CV3575*1100</f>
        <v>0</v>
      </c>
      <c r="CX3575" s="76"/>
      <c r="CY3575" s="76">
        <f>+CX3575*106250</f>
        <v>0</v>
      </c>
      <c r="CZ3575" s="76"/>
      <c r="DA3575" s="76">
        <f>+CZ3575*34500</f>
        <v>0</v>
      </c>
      <c r="DB3575" s="76"/>
      <c r="DC3575" s="76">
        <f>+DB3575*25000</f>
        <v>0</v>
      </c>
      <c r="DD3575" s="219"/>
      <c r="DE3575" s="219"/>
      <c r="DF3575" s="166"/>
      <c r="DG3575" s="116"/>
      <c r="DH3575" s="117"/>
      <c r="DI3575" s="24"/>
      <c r="DJ3575" s="24"/>
      <c r="DK3575" s="24"/>
      <c r="DL3575" s="24"/>
      <c r="DM3575" s="24"/>
      <c r="DN3575" s="24"/>
      <c r="DO3575" s="24"/>
      <c r="DP3575" s="24"/>
      <c r="DQ3575" s="24"/>
      <c r="DR3575" s="24"/>
      <c r="DS3575" s="24"/>
      <c r="DT3575" s="24"/>
      <c r="DU3575" s="24"/>
    </row>
    <row r="3576" spans="1:125" s="8" customFormat="1" ht="48" x14ac:dyDescent="0.2">
      <c r="A3576" s="353">
        <v>41585</v>
      </c>
      <c r="B3576" s="352" t="s">
        <v>2777</v>
      </c>
      <c r="C3576" s="354" t="s">
        <v>2759</v>
      </c>
      <c r="D3576" s="354" t="s">
        <v>3051</v>
      </c>
      <c r="E3576" s="75" t="str">
        <f>VLOOKUP(B3576&amp;C3576,Divipola!$C$2:$F$1138,4,FALSE)</f>
        <v>13442</v>
      </c>
      <c r="F3576" s="87"/>
      <c r="G3576" s="87"/>
      <c r="H3576" s="87"/>
      <c r="I3576" s="87"/>
      <c r="J3576" s="87"/>
      <c r="K3576" s="87"/>
      <c r="L3576" s="87"/>
      <c r="M3576" s="87"/>
      <c r="N3576" s="87"/>
      <c r="O3576" s="87"/>
      <c r="P3576" s="87"/>
      <c r="Q3576" s="87"/>
      <c r="R3576" s="87"/>
      <c r="S3576" s="87"/>
      <c r="T3576" s="87"/>
      <c r="U3576" s="88"/>
      <c r="V3576" s="89"/>
      <c r="W3576" s="96">
        <v>0</v>
      </c>
      <c r="X3576" s="71">
        <f>CU3576</f>
        <v>0</v>
      </c>
      <c r="Y3576" s="71">
        <f>CY3576</f>
        <v>0</v>
      </c>
      <c r="Z3576" s="71">
        <f>DA3576+DC3576+DE3576</f>
        <v>0</v>
      </c>
      <c r="AA3576" s="71">
        <f>CW3576</f>
        <v>0</v>
      </c>
      <c r="AB3576" s="71"/>
      <c r="AC3576" s="71">
        <v>0</v>
      </c>
      <c r="AD3576" s="71">
        <f>W3576+X3576+Y3576+Z3576+AA3576+AB3576+AC3576</f>
        <v>0</v>
      </c>
      <c r="AE3576" s="72">
        <v>0</v>
      </c>
      <c r="AF3576" s="5"/>
      <c r="AG3576" s="6"/>
      <c r="AH3576" s="27"/>
      <c r="AI3576" s="44"/>
      <c r="AJ3576" s="26"/>
      <c r="AK3576" s="5"/>
      <c r="AL3576" s="82" t="s">
        <v>6578</v>
      </c>
      <c r="AM3576" s="76"/>
      <c r="AN3576" s="76"/>
      <c r="AO3576" s="76"/>
      <c r="AP3576" s="76"/>
      <c r="AQ3576" s="76"/>
      <c r="AR3576" s="76"/>
      <c r="AS3576" s="76"/>
      <c r="AT3576" s="76"/>
      <c r="AU3576" s="76"/>
      <c r="AV3576" s="76"/>
      <c r="AW3576" s="76"/>
      <c r="AX3576" s="76">
        <f>+AW3576*600000</f>
        <v>0</v>
      </c>
      <c r="AY3576" s="76"/>
      <c r="AZ3576" s="76">
        <f>+AY3576*70000</f>
        <v>0</v>
      </c>
      <c r="BA3576" s="76"/>
      <c r="BB3576" s="76"/>
      <c r="BC3576" s="76"/>
      <c r="BD3576" s="76">
        <f>+BC3576*30000</f>
        <v>0</v>
      </c>
      <c r="BE3576" s="76"/>
      <c r="BF3576" s="76"/>
      <c r="BG3576" s="76"/>
      <c r="BH3576" s="76"/>
      <c r="BI3576" s="76"/>
      <c r="BJ3576" s="76"/>
      <c r="BK3576" s="76"/>
      <c r="BL3576" s="76">
        <f>+BK3576*31500</f>
        <v>0</v>
      </c>
      <c r="BM3576" s="76"/>
      <c r="BN3576" s="76"/>
      <c r="BO3576" s="76"/>
      <c r="BP3576" s="76"/>
      <c r="BQ3576" s="76"/>
      <c r="BR3576" s="76"/>
      <c r="BS3576" s="76"/>
      <c r="BT3576" s="76"/>
      <c r="BU3576" s="76"/>
      <c r="BV3576" s="76"/>
      <c r="BW3576" s="76"/>
      <c r="BX3576" s="76"/>
      <c r="BY3576" s="76"/>
      <c r="BZ3576" s="76"/>
      <c r="CA3576" s="76"/>
      <c r="CB3576" s="76"/>
      <c r="CC3576" s="76"/>
      <c r="CD3576" s="76"/>
      <c r="CE3576" s="76"/>
      <c r="CF3576" s="76">
        <f>+CE3576*28000</f>
        <v>0</v>
      </c>
      <c r="CG3576" s="76"/>
      <c r="CH3576" s="76">
        <f>+CG3576*22500</f>
        <v>0</v>
      </c>
      <c r="CI3576" s="76"/>
      <c r="CJ3576" s="76">
        <f>+CI3576*26000</f>
        <v>0</v>
      </c>
      <c r="CK3576" s="76"/>
      <c r="CL3576" s="76"/>
      <c r="CM3576" s="76"/>
      <c r="CN3576" s="76">
        <f>+CM3576*22000</f>
        <v>0</v>
      </c>
      <c r="CO3576" s="76"/>
      <c r="CP3576" s="76">
        <f>+CO3576*46000</f>
        <v>0</v>
      </c>
      <c r="CQ3576" s="76"/>
      <c r="CR3576" s="76">
        <f>+CQ3576*49000</f>
        <v>0</v>
      </c>
      <c r="CS3576" s="76"/>
      <c r="CT3576" s="76"/>
      <c r="CU3576" s="56">
        <f>AN3576+AP3576+AR3576+AT3576+AV3576+AX3576+AZ3576+BB3576+BD3576+BF3576+BH3576+BJ3576+BL3576+BN3576+BP3576+BR3576+BT3576+BV3576+BX3576+BZ3576+CB3576+CD3576+CF3576+CH3576+CJ3576+CL3576+CN3576+CP3576+CR3576+CT3576</f>
        <v>0</v>
      </c>
      <c r="CV3576" s="76"/>
      <c r="CW3576" s="76">
        <f>+CV3576*1100</f>
        <v>0</v>
      </c>
      <c r="CX3576" s="76"/>
      <c r="CY3576" s="76">
        <f>+CX3576*106250</f>
        <v>0</v>
      </c>
      <c r="CZ3576" s="76"/>
      <c r="DA3576" s="76">
        <f>+CZ3576*34500</f>
        <v>0</v>
      </c>
      <c r="DB3576" s="76"/>
      <c r="DC3576" s="76">
        <f>+DB3576*25000</f>
        <v>0</v>
      </c>
      <c r="DD3576" s="219"/>
      <c r="DE3576" s="219"/>
      <c r="DF3576" s="166"/>
      <c r="DG3576" s="116"/>
      <c r="DH3576" s="117"/>
      <c r="DI3576" s="24"/>
      <c r="DJ3576" s="24"/>
      <c r="DK3576" s="24"/>
      <c r="DL3576" s="24"/>
      <c r="DM3576" s="24"/>
      <c r="DN3576" s="24"/>
      <c r="DO3576" s="24"/>
      <c r="DP3576" s="24"/>
      <c r="DQ3576" s="24"/>
      <c r="DR3576" s="24"/>
      <c r="DS3576" s="24"/>
      <c r="DT3576" s="24"/>
      <c r="DU3576" s="24"/>
    </row>
    <row r="3577" spans="1:125" s="8" customFormat="1" ht="36" x14ac:dyDescent="0.2">
      <c r="A3577" s="353">
        <v>41585</v>
      </c>
      <c r="B3577" s="352" t="s">
        <v>2700</v>
      </c>
      <c r="C3577" s="354" t="s">
        <v>2671</v>
      </c>
      <c r="D3577" s="354" t="s">
        <v>3051</v>
      </c>
      <c r="E3577" s="75" t="str">
        <f>VLOOKUP(B3577&amp;C3577,Divipola!$C$2:$F$1138,4,FALSE)</f>
        <v>15001</v>
      </c>
      <c r="F3577" s="87"/>
      <c r="G3577" s="87"/>
      <c r="H3577" s="87"/>
      <c r="I3577" s="87"/>
      <c r="J3577" s="87"/>
      <c r="K3577" s="87"/>
      <c r="L3577" s="87"/>
      <c r="M3577" s="87"/>
      <c r="N3577" s="87"/>
      <c r="O3577" s="87"/>
      <c r="P3577" s="87"/>
      <c r="Q3577" s="87"/>
      <c r="R3577" s="87"/>
      <c r="S3577" s="87"/>
      <c r="T3577" s="87"/>
      <c r="U3577" s="88"/>
      <c r="V3577" s="89"/>
      <c r="W3577" s="96">
        <v>0</v>
      </c>
      <c r="X3577" s="71">
        <f>CU3577</f>
        <v>0</v>
      </c>
      <c r="Y3577" s="71">
        <f>CY3577</f>
        <v>0</v>
      </c>
      <c r="Z3577" s="71">
        <f>DA3577+DC3577+DE3577</f>
        <v>0</v>
      </c>
      <c r="AA3577" s="71">
        <f>CW3577</f>
        <v>0</v>
      </c>
      <c r="AB3577" s="71"/>
      <c r="AC3577" s="71">
        <v>0</v>
      </c>
      <c r="AD3577" s="71">
        <f>W3577+X3577+Y3577+Z3577+AA3577+AB3577+AC3577</f>
        <v>0</v>
      </c>
      <c r="AE3577" s="72">
        <v>0</v>
      </c>
      <c r="AF3577" s="5"/>
      <c r="AG3577" s="6"/>
      <c r="AH3577" s="27"/>
      <c r="AI3577" s="44"/>
      <c r="AJ3577" s="26"/>
      <c r="AK3577" s="5"/>
      <c r="AL3577" s="82" t="s">
        <v>6579</v>
      </c>
      <c r="AM3577" s="76"/>
      <c r="AN3577" s="76"/>
      <c r="AO3577" s="76"/>
      <c r="AP3577" s="76"/>
      <c r="AQ3577" s="76"/>
      <c r="AR3577" s="76"/>
      <c r="AS3577" s="76"/>
      <c r="AT3577" s="76"/>
      <c r="AU3577" s="76"/>
      <c r="AV3577" s="76"/>
      <c r="AW3577" s="76"/>
      <c r="AX3577" s="76">
        <f>+AW3577*600000</f>
        <v>0</v>
      </c>
      <c r="AY3577" s="76"/>
      <c r="AZ3577" s="76">
        <f>+AY3577*70000</f>
        <v>0</v>
      </c>
      <c r="BA3577" s="76"/>
      <c r="BB3577" s="76"/>
      <c r="BC3577" s="76"/>
      <c r="BD3577" s="76">
        <f>+BC3577*30000</f>
        <v>0</v>
      </c>
      <c r="BE3577" s="76"/>
      <c r="BF3577" s="76"/>
      <c r="BG3577" s="76"/>
      <c r="BH3577" s="76"/>
      <c r="BI3577" s="76"/>
      <c r="BJ3577" s="76"/>
      <c r="BK3577" s="76"/>
      <c r="BL3577" s="76">
        <f>+BK3577*31500</f>
        <v>0</v>
      </c>
      <c r="BM3577" s="76"/>
      <c r="BN3577" s="76"/>
      <c r="BO3577" s="76"/>
      <c r="BP3577" s="76"/>
      <c r="BQ3577" s="76"/>
      <c r="BR3577" s="76"/>
      <c r="BS3577" s="76"/>
      <c r="BT3577" s="76"/>
      <c r="BU3577" s="76"/>
      <c r="BV3577" s="76"/>
      <c r="BW3577" s="76"/>
      <c r="BX3577" s="76"/>
      <c r="BY3577" s="76"/>
      <c r="BZ3577" s="76"/>
      <c r="CA3577" s="76"/>
      <c r="CB3577" s="76"/>
      <c r="CC3577" s="76"/>
      <c r="CD3577" s="76"/>
      <c r="CE3577" s="76"/>
      <c r="CF3577" s="76">
        <f>+CE3577*28000</f>
        <v>0</v>
      </c>
      <c r="CG3577" s="76"/>
      <c r="CH3577" s="76">
        <f>+CG3577*22500</f>
        <v>0</v>
      </c>
      <c r="CI3577" s="76"/>
      <c r="CJ3577" s="76">
        <f>+CI3577*26000</f>
        <v>0</v>
      </c>
      <c r="CK3577" s="76"/>
      <c r="CL3577" s="76"/>
      <c r="CM3577" s="76"/>
      <c r="CN3577" s="76">
        <f>+CM3577*22000</f>
        <v>0</v>
      </c>
      <c r="CO3577" s="76"/>
      <c r="CP3577" s="76">
        <f>+CO3577*46000</f>
        <v>0</v>
      </c>
      <c r="CQ3577" s="76"/>
      <c r="CR3577" s="76">
        <f>+CQ3577*49000</f>
        <v>0</v>
      </c>
      <c r="CS3577" s="76"/>
      <c r="CT3577" s="76"/>
      <c r="CU3577" s="56">
        <f>AN3577+AP3577+AR3577+AT3577+AV3577+AX3577+AZ3577+BB3577+BD3577+BF3577+BH3577+BJ3577+BL3577+BN3577+BP3577+BR3577+BT3577+BV3577+BX3577+BZ3577+CB3577+CD3577+CF3577+CH3577+CJ3577+CL3577+CN3577+CP3577+CR3577+CT3577</f>
        <v>0</v>
      </c>
      <c r="CV3577" s="76"/>
      <c r="CW3577" s="76">
        <f>+CV3577*1100</f>
        <v>0</v>
      </c>
      <c r="CX3577" s="76"/>
      <c r="CY3577" s="76">
        <f>+CX3577*106250</f>
        <v>0</v>
      </c>
      <c r="CZ3577" s="76"/>
      <c r="DA3577" s="76">
        <f>+CZ3577*34500</f>
        <v>0</v>
      </c>
      <c r="DB3577" s="76"/>
      <c r="DC3577" s="76">
        <f>+DB3577*25000</f>
        <v>0</v>
      </c>
      <c r="DD3577" s="219"/>
      <c r="DE3577" s="219"/>
      <c r="DF3577" s="166"/>
      <c r="DG3577" s="116"/>
      <c r="DH3577" s="117"/>
      <c r="DI3577" s="24"/>
      <c r="DJ3577" s="24"/>
      <c r="DK3577" s="24"/>
      <c r="DL3577" s="24"/>
      <c r="DM3577" s="24"/>
      <c r="DN3577" s="24"/>
      <c r="DO3577" s="24"/>
      <c r="DP3577" s="24"/>
      <c r="DQ3577" s="24"/>
      <c r="DR3577" s="24"/>
      <c r="DS3577" s="24"/>
      <c r="DT3577" s="24"/>
      <c r="DU3577" s="24"/>
    </row>
    <row r="3578" spans="1:125" s="8" customFormat="1" ht="264" x14ac:dyDescent="0.2">
      <c r="A3578" s="5">
        <v>41585</v>
      </c>
      <c r="B3578" s="84" t="s">
        <v>2860</v>
      </c>
      <c r="C3578" s="84" t="s">
        <v>2776</v>
      </c>
      <c r="D3578" s="75" t="s">
        <v>2882</v>
      </c>
      <c r="E3578" s="75" t="str">
        <f>VLOOKUP(B3578&amp;C3578,Divipola!$C$2:$F$1138,4,FALSE)</f>
        <v>63001</v>
      </c>
      <c r="F3578" s="89"/>
      <c r="G3578" s="89"/>
      <c r="H3578" s="89"/>
      <c r="I3578" s="87">
        <v>184</v>
      </c>
      <c r="J3578" s="87">
        <v>46</v>
      </c>
      <c r="K3578" s="87"/>
      <c r="L3578" s="87">
        <v>46</v>
      </c>
      <c r="M3578" s="89"/>
      <c r="N3578" s="89"/>
      <c r="O3578" s="89"/>
      <c r="P3578" s="89"/>
      <c r="Q3578" s="89"/>
      <c r="R3578" s="89"/>
      <c r="S3578" s="89"/>
      <c r="T3578" s="89">
        <v>1</v>
      </c>
      <c r="U3578" s="89"/>
      <c r="V3578" s="89"/>
      <c r="W3578" s="96">
        <v>0</v>
      </c>
      <c r="X3578" s="71">
        <f>CU3578</f>
        <v>0</v>
      </c>
      <c r="Y3578" s="71">
        <f>CY3578</f>
        <v>0</v>
      </c>
      <c r="Z3578" s="71">
        <f>DA3578+DC3578+DE3578</f>
        <v>0</v>
      </c>
      <c r="AA3578" s="71">
        <f>CW3578</f>
        <v>0</v>
      </c>
      <c r="AB3578" s="71"/>
      <c r="AC3578" s="71">
        <v>0</v>
      </c>
      <c r="AD3578" s="71">
        <f>W3578+X3578+Y3578+Z3578+AA3578+AB3578+AC3578</f>
        <v>0</v>
      </c>
      <c r="AE3578" s="72">
        <v>0</v>
      </c>
      <c r="AF3578" s="5"/>
      <c r="AG3578" s="6"/>
      <c r="AH3578" s="27"/>
      <c r="AI3578" s="44"/>
      <c r="AJ3578" s="26"/>
      <c r="AK3578" s="5"/>
      <c r="AL3578" s="278" t="s">
        <v>6618</v>
      </c>
      <c r="AM3578" s="76"/>
      <c r="AN3578" s="76"/>
      <c r="AO3578" s="76"/>
      <c r="AP3578" s="76"/>
      <c r="AQ3578" s="76"/>
      <c r="AR3578" s="76"/>
      <c r="AS3578" s="76"/>
      <c r="AT3578" s="76"/>
      <c r="AU3578" s="76"/>
      <c r="AV3578" s="76"/>
      <c r="AW3578" s="76"/>
      <c r="AX3578" s="76">
        <f>+AW3578*600000</f>
        <v>0</v>
      </c>
      <c r="AY3578" s="76"/>
      <c r="AZ3578" s="76">
        <f>+AY3578*70000</f>
        <v>0</v>
      </c>
      <c r="BA3578" s="76"/>
      <c r="BB3578" s="76"/>
      <c r="BC3578" s="76"/>
      <c r="BD3578" s="76">
        <f>+BC3578*30000</f>
        <v>0</v>
      </c>
      <c r="BE3578" s="76"/>
      <c r="BF3578" s="76"/>
      <c r="BG3578" s="76"/>
      <c r="BH3578" s="76"/>
      <c r="BI3578" s="76"/>
      <c r="BJ3578" s="76"/>
      <c r="BK3578" s="76"/>
      <c r="BL3578" s="76">
        <f>+BK3578*31500</f>
        <v>0</v>
      </c>
      <c r="BM3578" s="76"/>
      <c r="BN3578" s="76"/>
      <c r="BO3578" s="76"/>
      <c r="BP3578" s="76"/>
      <c r="BQ3578" s="76"/>
      <c r="BR3578" s="76"/>
      <c r="BS3578" s="76"/>
      <c r="BT3578" s="76"/>
      <c r="BU3578" s="76"/>
      <c r="BV3578" s="76"/>
      <c r="BW3578" s="76"/>
      <c r="BX3578" s="76"/>
      <c r="BY3578" s="76"/>
      <c r="BZ3578" s="76"/>
      <c r="CA3578" s="76"/>
      <c r="CB3578" s="76"/>
      <c r="CC3578" s="76"/>
      <c r="CD3578" s="76"/>
      <c r="CE3578" s="76"/>
      <c r="CF3578" s="76">
        <f>+CE3578*28000</f>
        <v>0</v>
      </c>
      <c r="CG3578" s="76"/>
      <c r="CH3578" s="76">
        <f>+CG3578*22500</f>
        <v>0</v>
      </c>
      <c r="CI3578" s="76"/>
      <c r="CJ3578" s="76">
        <f>+CI3578*26000</f>
        <v>0</v>
      </c>
      <c r="CK3578" s="76"/>
      <c r="CL3578" s="76"/>
      <c r="CM3578" s="76"/>
      <c r="CN3578" s="76">
        <f>+CM3578*22000</f>
        <v>0</v>
      </c>
      <c r="CO3578" s="76"/>
      <c r="CP3578" s="76">
        <f>+CO3578*46000</f>
        <v>0</v>
      </c>
      <c r="CQ3578" s="76"/>
      <c r="CR3578" s="76">
        <f>+CQ3578*49000</f>
        <v>0</v>
      </c>
      <c r="CS3578" s="76"/>
      <c r="CT3578" s="76"/>
      <c r="CU3578" s="56">
        <f>AN3578+AP3578+AR3578+AT3578+AV3578+AX3578+AZ3578+BB3578+BD3578+BF3578+BH3578+BJ3578+BL3578+BN3578+BP3578+BR3578+BT3578+BV3578+BX3578+BZ3578+CB3578+CD3578+CF3578+CH3578+CJ3578+CL3578+CN3578+CP3578+CR3578+CT3578</f>
        <v>0</v>
      </c>
      <c r="CV3578" s="76"/>
      <c r="CW3578" s="76">
        <f>+CV3578*1100</f>
        <v>0</v>
      </c>
      <c r="CX3578" s="76"/>
      <c r="CY3578" s="76">
        <f>+CX3578*106250</f>
        <v>0</v>
      </c>
      <c r="CZ3578" s="76"/>
      <c r="DA3578" s="76">
        <f>+CZ3578*34500</f>
        <v>0</v>
      </c>
      <c r="DB3578" s="76"/>
      <c r="DC3578" s="76">
        <f>+DB3578*25000</f>
        <v>0</v>
      </c>
      <c r="DD3578" s="219"/>
      <c r="DE3578" s="219"/>
      <c r="DF3578" s="166"/>
      <c r="DG3578" s="116"/>
      <c r="DH3578" s="117"/>
      <c r="DI3578" s="24"/>
      <c r="DJ3578" s="24"/>
      <c r="DK3578" s="24"/>
      <c r="DL3578" s="24"/>
      <c r="DM3578" s="24"/>
      <c r="DN3578" s="24"/>
      <c r="DO3578" s="24"/>
      <c r="DP3578" s="24"/>
      <c r="DQ3578" s="24"/>
      <c r="DR3578" s="24"/>
      <c r="DS3578" s="24"/>
      <c r="DT3578" s="24"/>
      <c r="DU3578" s="24"/>
    </row>
    <row r="3579" spans="1:125" s="8" customFormat="1" ht="60" x14ac:dyDescent="0.2">
      <c r="A3579" s="77">
        <v>41585</v>
      </c>
      <c r="B3579" s="75" t="s">
        <v>2847</v>
      </c>
      <c r="C3579" s="75" t="s">
        <v>2136</v>
      </c>
      <c r="D3579" s="75" t="s">
        <v>3051</v>
      </c>
      <c r="E3579" s="75" t="str">
        <f>VLOOKUP(B3579&amp;C3579,Divipola!$C$2:$F$1138,4,FALSE)</f>
        <v>68689</v>
      </c>
      <c r="F3579" s="93"/>
      <c r="G3579" s="93"/>
      <c r="H3579" s="93"/>
      <c r="I3579" s="93">
        <v>36</v>
      </c>
      <c r="J3579" s="93">
        <v>8</v>
      </c>
      <c r="K3579" s="93">
        <v>2</v>
      </c>
      <c r="L3579" s="93"/>
      <c r="M3579" s="93">
        <v>2</v>
      </c>
      <c r="N3579" s="93"/>
      <c r="O3579" s="93"/>
      <c r="P3579" s="93"/>
      <c r="Q3579" s="93"/>
      <c r="R3579" s="93"/>
      <c r="S3579" s="93"/>
      <c r="T3579" s="93"/>
      <c r="U3579" s="93"/>
      <c r="V3579" s="93"/>
      <c r="W3579" s="96">
        <v>0</v>
      </c>
      <c r="X3579" s="71">
        <f>CU3579</f>
        <v>0</v>
      </c>
      <c r="Y3579" s="71">
        <f>CY3579</f>
        <v>0</v>
      </c>
      <c r="Z3579" s="71">
        <f>DA3579+DC3579+DE3579</f>
        <v>0</v>
      </c>
      <c r="AA3579" s="71">
        <f>CW3579</f>
        <v>0</v>
      </c>
      <c r="AB3579" s="71"/>
      <c r="AC3579" s="71">
        <v>0</v>
      </c>
      <c r="AD3579" s="71">
        <f>W3579+X3579+Y3579+Z3579+AA3579+AB3579+AC3579</f>
        <v>0</v>
      </c>
      <c r="AE3579" s="72">
        <v>0</v>
      </c>
      <c r="AF3579" s="5"/>
      <c r="AG3579" s="6"/>
      <c r="AH3579" s="27"/>
      <c r="AI3579" s="44"/>
      <c r="AJ3579" s="26"/>
      <c r="AK3579" s="5"/>
      <c r="AL3579" s="357" t="s">
        <v>6581</v>
      </c>
      <c r="AM3579" s="76"/>
      <c r="AN3579" s="76"/>
      <c r="AO3579" s="76"/>
      <c r="AP3579" s="76"/>
      <c r="AQ3579" s="76"/>
      <c r="AR3579" s="76"/>
      <c r="AS3579" s="76"/>
      <c r="AT3579" s="76"/>
      <c r="AU3579" s="76"/>
      <c r="AV3579" s="76"/>
      <c r="AW3579" s="76"/>
      <c r="AX3579" s="76">
        <f>+AW3579*600000</f>
        <v>0</v>
      </c>
      <c r="AY3579" s="76"/>
      <c r="AZ3579" s="76">
        <f>+AY3579*70000</f>
        <v>0</v>
      </c>
      <c r="BA3579" s="76"/>
      <c r="BB3579" s="76"/>
      <c r="BC3579" s="76"/>
      <c r="BD3579" s="76">
        <f>+BC3579*30000</f>
        <v>0</v>
      </c>
      <c r="BE3579" s="76"/>
      <c r="BF3579" s="76"/>
      <c r="BG3579" s="76"/>
      <c r="BH3579" s="76"/>
      <c r="BI3579" s="76"/>
      <c r="BJ3579" s="76"/>
      <c r="BK3579" s="76"/>
      <c r="BL3579" s="76">
        <f>+BK3579*31500</f>
        <v>0</v>
      </c>
      <c r="BM3579" s="76"/>
      <c r="BN3579" s="76"/>
      <c r="BO3579" s="76"/>
      <c r="BP3579" s="76"/>
      <c r="BQ3579" s="76"/>
      <c r="BR3579" s="76"/>
      <c r="BS3579" s="76"/>
      <c r="BT3579" s="76"/>
      <c r="BU3579" s="76"/>
      <c r="BV3579" s="76"/>
      <c r="BW3579" s="76"/>
      <c r="BX3579" s="76"/>
      <c r="BY3579" s="76"/>
      <c r="BZ3579" s="76"/>
      <c r="CA3579" s="76"/>
      <c r="CB3579" s="76"/>
      <c r="CC3579" s="76"/>
      <c r="CD3579" s="76"/>
      <c r="CE3579" s="76"/>
      <c r="CF3579" s="76">
        <f>+CE3579*28000</f>
        <v>0</v>
      </c>
      <c r="CG3579" s="76"/>
      <c r="CH3579" s="76">
        <f>+CG3579*22500</f>
        <v>0</v>
      </c>
      <c r="CI3579" s="76"/>
      <c r="CJ3579" s="76">
        <f>+CI3579*26000</f>
        <v>0</v>
      </c>
      <c r="CK3579" s="76"/>
      <c r="CL3579" s="76"/>
      <c r="CM3579" s="76"/>
      <c r="CN3579" s="76">
        <f>+CM3579*22000</f>
        <v>0</v>
      </c>
      <c r="CO3579" s="76"/>
      <c r="CP3579" s="76">
        <f>+CO3579*46000</f>
        <v>0</v>
      </c>
      <c r="CQ3579" s="76"/>
      <c r="CR3579" s="76">
        <f>+CQ3579*49000</f>
        <v>0</v>
      </c>
      <c r="CS3579" s="76"/>
      <c r="CT3579" s="76"/>
      <c r="CU3579" s="56">
        <f>AN3579+AP3579+AR3579+AT3579+AV3579+AX3579+AZ3579+BB3579+BD3579+BF3579+BH3579+BJ3579+BL3579+BN3579+BP3579+BR3579+BT3579+BV3579+BX3579+BZ3579+CB3579+CD3579+CF3579+CH3579+CJ3579+CL3579+CN3579+CP3579+CR3579+CT3579</f>
        <v>0</v>
      </c>
      <c r="CV3579" s="76"/>
      <c r="CW3579" s="76">
        <f>+CV3579*1100</f>
        <v>0</v>
      </c>
      <c r="CX3579" s="76"/>
      <c r="CY3579" s="76">
        <f>+CX3579*106250</f>
        <v>0</v>
      </c>
      <c r="CZ3579" s="76"/>
      <c r="DA3579" s="76">
        <f>+CZ3579*34500</f>
        <v>0</v>
      </c>
      <c r="DB3579" s="76"/>
      <c r="DC3579" s="76">
        <f>+DB3579*25000</f>
        <v>0</v>
      </c>
      <c r="DD3579" s="219"/>
      <c r="DE3579" s="219"/>
      <c r="DF3579" s="166"/>
      <c r="DG3579" s="116"/>
      <c r="DH3579" s="117"/>
      <c r="DI3579" s="24"/>
      <c r="DJ3579" s="24"/>
      <c r="DK3579" s="24"/>
      <c r="DL3579" s="24"/>
      <c r="DM3579" s="24"/>
      <c r="DN3579" s="24"/>
      <c r="DO3579" s="24"/>
      <c r="DP3579" s="24"/>
      <c r="DQ3579" s="24"/>
      <c r="DR3579" s="24"/>
      <c r="DS3579" s="24"/>
      <c r="DT3579" s="24"/>
      <c r="DU3579" s="24"/>
    </row>
    <row r="3580" spans="1:125" s="8" customFormat="1" ht="84" x14ac:dyDescent="0.2">
      <c r="A3580" s="77">
        <v>41585</v>
      </c>
      <c r="B3580" s="78" t="s">
        <v>2848</v>
      </c>
      <c r="C3580" s="75" t="s">
        <v>2128</v>
      </c>
      <c r="D3580" s="75" t="s">
        <v>2849</v>
      </c>
      <c r="E3580" s="75" t="str">
        <f>VLOOKUP(B3580&amp;C3580,Divipola!$C$2:$F$1138,4,FALSE)</f>
        <v>73124</v>
      </c>
      <c r="F3580" s="87">
        <v>1</v>
      </c>
      <c r="G3580" s="87">
        <v>2</v>
      </c>
      <c r="H3580" s="87"/>
      <c r="I3580" s="87">
        <v>3</v>
      </c>
      <c r="J3580" s="61"/>
      <c r="K3580" s="61"/>
      <c r="L3580" s="61"/>
      <c r="M3580" s="61"/>
      <c r="N3580" s="61"/>
      <c r="O3580" s="61"/>
      <c r="P3580" s="61"/>
      <c r="Q3580" s="61"/>
      <c r="R3580" s="61"/>
      <c r="S3580" s="61"/>
      <c r="T3580" s="61"/>
      <c r="U3580" s="61"/>
      <c r="V3580" s="7"/>
      <c r="W3580" s="96">
        <v>0</v>
      </c>
      <c r="X3580" s="71">
        <f>CU3580</f>
        <v>0</v>
      </c>
      <c r="Y3580" s="71">
        <f>CY3580</f>
        <v>0</v>
      </c>
      <c r="Z3580" s="71">
        <f>DA3580+DC3580+DE3580</f>
        <v>0</v>
      </c>
      <c r="AA3580" s="71">
        <f>CW3580</f>
        <v>0</v>
      </c>
      <c r="AB3580" s="71"/>
      <c r="AC3580" s="71">
        <v>0</v>
      </c>
      <c r="AD3580" s="71">
        <f>W3580+X3580+Y3580+Z3580+AA3580+AB3580+AC3580</f>
        <v>0</v>
      </c>
      <c r="AE3580" s="72">
        <v>0</v>
      </c>
      <c r="AF3580" s="5"/>
      <c r="AG3580" s="6"/>
      <c r="AH3580" s="27"/>
      <c r="AI3580" s="44"/>
      <c r="AJ3580" s="26"/>
      <c r="AK3580" s="5"/>
      <c r="AL3580" s="274" t="s">
        <v>6583</v>
      </c>
      <c r="AM3580" s="76"/>
      <c r="AN3580" s="76"/>
      <c r="AO3580" s="76"/>
      <c r="AP3580" s="76"/>
      <c r="AQ3580" s="76"/>
      <c r="AR3580" s="76"/>
      <c r="AS3580" s="76"/>
      <c r="AT3580" s="76"/>
      <c r="AU3580" s="76"/>
      <c r="AV3580" s="76"/>
      <c r="AW3580" s="76"/>
      <c r="AX3580" s="76">
        <f>+AW3580*600000</f>
        <v>0</v>
      </c>
      <c r="AY3580" s="76"/>
      <c r="AZ3580" s="76">
        <f>+AY3580*70000</f>
        <v>0</v>
      </c>
      <c r="BA3580" s="76"/>
      <c r="BB3580" s="76"/>
      <c r="BC3580" s="76"/>
      <c r="BD3580" s="76">
        <f>+BC3580*30000</f>
        <v>0</v>
      </c>
      <c r="BE3580" s="76"/>
      <c r="BF3580" s="76"/>
      <c r="BG3580" s="76"/>
      <c r="BH3580" s="76"/>
      <c r="BI3580" s="76"/>
      <c r="BJ3580" s="76"/>
      <c r="BK3580" s="76"/>
      <c r="BL3580" s="76">
        <f>+BK3580*31500</f>
        <v>0</v>
      </c>
      <c r="BM3580" s="76"/>
      <c r="BN3580" s="76"/>
      <c r="BO3580" s="76"/>
      <c r="BP3580" s="76"/>
      <c r="BQ3580" s="76"/>
      <c r="BR3580" s="76"/>
      <c r="BS3580" s="76"/>
      <c r="BT3580" s="76"/>
      <c r="BU3580" s="76"/>
      <c r="BV3580" s="76"/>
      <c r="BW3580" s="76"/>
      <c r="BX3580" s="76"/>
      <c r="BY3580" s="76"/>
      <c r="BZ3580" s="76"/>
      <c r="CA3580" s="76"/>
      <c r="CB3580" s="76"/>
      <c r="CC3580" s="76"/>
      <c r="CD3580" s="76"/>
      <c r="CE3580" s="76"/>
      <c r="CF3580" s="76">
        <f>+CE3580*28000</f>
        <v>0</v>
      </c>
      <c r="CG3580" s="76"/>
      <c r="CH3580" s="76">
        <f>+CG3580*22500</f>
        <v>0</v>
      </c>
      <c r="CI3580" s="76"/>
      <c r="CJ3580" s="76">
        <f>+CI3580*26000</f>
        <v>0</v>
      </c>
      <c r="CK3580" s="76"/>
      <c r="CL3580" s="76"/>
      <c r="CM3580" s="76"/>
      <c r="CN3580" s="76">
        <f>+CM3580*22000</f>
        <v>0</v>
      </c>
      <c r="CO3580" s="76"/>
      <c r="CP3580" s="76">
        <f>+CO3580*46000</f>
        <v>0</v>
      </c>
      <c r="CQ3580" s="76"/>
      <c r="CR3580" s="76">
        <f>+CQ3580*49000</f>
        <v>0</v>
      </c>
      <c r="CS3580" s="76"/>
      <c r="CT3580" s="76"/>
      <c r="CU3580" s="56">
        <f>AN3580+AP3580+AR3580+AT3580+AV3580+AX3580+AZ3580+BB3580+BD3580+BF3580+BH3580+BJ3580+BL3580+BN3580+BP3580+BR3580+BT3580+BV3580+BX3580+BZ3580+CB3580+CD3580+CF3580+CH3580+CJ3580+CL3580+CN3580+CP3580+CR3580+CT3580</f>
        <v>0</v>
      </c>
      <c r="CV3580" s="76"/>
      <c r="CW3580" s="76">
        <f>+CV3580*1100</f>
        <v>0</v>
      </c>
      <c r="CX3580" s="76"/>
      <c r="CY3580" s="76">
        <f>+CX3580*106250</f>
        <v>0</v>
      </c>
      <c r="CZ3580" s="76"/>
      <c r="DA3580" s="76">
        <f>+CZ3580*34500</f>
        <v>0</v>
      </c>
      <c r="DB3580" s="76"/>
      <c r="DC3580" s="76">
        <f>+DB3580*25000</f>
        <v>0</v>
      </c>
      <c r="DD3580" s="219"/>
      <c r="DE3580" s="219"/>
      <c r="DF3580" s="166"/>
      <c r="DG3580" s="116"/>
      <c r="DH3580" s="117"/>
      <c r="DI3580" s="24"/>
      <c r="DJ3580" s="24"/>
      <c r="DK3580" s="24"/>
      <c r="DL3580" s="24"/>
      <c r="DM3580" s="24"/>
      <c r="DN3580" s="24"/>
      <c r="DO3580" s="24"/>
      <c r="DP3580" s="24"/>
      <c r="DQ3580" s="24"/>
      <c r="DR3580" s="24"/>
      <c r="DS3580" s="24"/>
      <c r="DT3580" s="24"/>
      <c r="DU3580" s="24"/>
    </row>
    <row r="3581" spans="1:125" s="8" customFormat="1" ht="72" x14ac:dyDescent="0.2">
      <c r="A3581" s="353">
        <v>41585</v>
      </c>
      <c r="B3581" s="352" t="s">
        <v>2894</v>
      </c>
      <c r="C3581" s="354" t="s">
        <v>2702</v>
      </c>
      <c r="D3581" s="354" t="s">
        <v>2936</v>
      </c>
      <c r="E3581" s="75" t="str">
        <f>VLOOKUP(B3581&amp;C3581,Divipola!$C$2:$F$1138,4,FALSE)</f>
        <v>05088</v>
      </c>
      <c r="F3581" s="87"/>
      <c r="G3581" s="87">
        <v>9</v>
      </c>
      <c r="H3581" s="87"/>
      <c r="I3581" s="87">
        <v>45</v>
      </c>
      <c r="J3581" s="87">
        <v>9</v>
      </c>
      <c r="K3581" s="87"/>
      <c r="L3581" s="87">
        <v>9</v>
      </c>
      <c r="M3581" s="87"/>
      <c r="N3581" s="87"/>
      <c r="O3581" s="87"/>
      <c r="P3581" s="87"/>
      <c r="Q3581" s="87"/>
      <c r="R3581" s="87"/>
      <c r="S3581" s="87"/>
      <c r="T3581" s="87"/>
      <c r="U3581" s="88"/>
      <c r="V3581" s="89"/>
      <c r="W3581" s="96">
        <v>0</v>
      </c>
      <c r="X3581" s="71">
        <f>CU3581</f>
        <v>0</v>
      </c>
      <c r="Y3581" s="71">
        <f>CY3581</f>
        <v>0</v>
      </c>
      <c r="Z3581" s="71">
        <f>DA3581+DC3581+DE3581</f>
        <v>0</v>
      </c>
      <c r="AA3581" s="71">
        <f>CW3581</f>
        <v>0</v>
      </c>
      <c r="AB3581" s="71"/>
      <c r="AC3581" s="71">
        <v>0</v>
      </c>
      <c r="AD3581" s="71">
        <f>W3581+X3581+Y3581+Z3581+AA3581+AB3581+AC3581</f>
        <v>0</v>
      </c>
      <c r="AE3581" s="72">
        <v>0</v>
      </c>
      <c r="AF3581" s="5"/>
      <c r="AG3581" s="6"/>
      <c r="AH3581" s="27"/>
      <c r="AI3581" s="44"/>
      <c r="AJ3581" s="26"/>
      <c r="AK3581" s="5"/>
      <c r="AL3581" s="82" t="s">
        <v>6594</v>
      </c>
      <c r="AM3581" s="76"/>
      <c r="AN3581" s="76"/>
      <c r="AO3581" s="76"/>
      <c r="AP3581" s="76"/>
      <c r="AQ3581" s="76"/>
      <c r="AR3581" s="76"/>
      <c r="AS3581" s="76"/>
      <c r="AT3581" s="76"/>
      <c r="AU3581" s="76"/>
      <c r="AV3581" s="76"/>
      <c r="AW3581" s="76"/>
      <c r="AX3581" s="76">
        <f>+AW3581*600000</f>
        <v>0</v>
      </c>
      <c r="AY3581" s="76"/>
      <c r="AZ3581" s="76">
        <f>+AY3581*70000</f>
        <v>0</v>
      </c>
      <c r="BA3581" s="76"/>
      <c r="BB3581" s="76"/>
      <c r="BC3581" s="76"/>
      <c r="BD3581" s="76">
        <f>+BC3581*30000</f>
        <v>0</v>
      </c>
      <c r="BE3581" s="76"/>
      <c r="BF3581" s="76"/>
      <c r="BG3581" s="76"/>
      <c r="BH3581" s="76"/>
      <c r="BI3581" s="76"/>
      <c r="BJ3581" s="76"/>
      <c r="BK3581" s="76"/>
      <c r="BL3581" s="76">
        <f>+BK3581*31500</f>
        <v>0</v>
      </c>
      <c r="BM3581" s="76"/>
      <c r="BN3581" s="76"/>
      <c r="BO3581" s="76"/>
      <c r="BP3581" s="76"/>
      <c r="BQ3581" s="76"/>
      <c r="BR3581" s="76"/>
      <c r="BS3581" s="76"/>
      <c r="BT3581" s="76"/>
      <c r="BU3581" s="76"/>
      <c r="BV3581" s="76"/>
      <c r="BW3581" s="76"/>
      <c r="BX3581" s="76"/>
      <c r="BY3581" s="76"/>
      <c r="BZ3581" s="76"/>
      <c r="CA3581" s="76"/>
      <c r="CB3581" s="76"/>
      <c r="CC3581" s="76"/>
      <c r="CD3581" s="76"/>
      <c r="CE3581" s="76"/>
      <c r="CF3581" s="76">
        <f>+CE3581*28000</f>
        <v>0</v>
      </c>
      <c r="CG3581" s="76"/>
      <c r="CH3581" s="76">
        <f>+CG3581*22500</f>
        <v>0</v>
      </c>
      <c r="CI3581" s="76"/>
      <c r="CJ3581" s="76">
        <f>+CI3581*26000</f>
        <v>0</v>
      </c>
      <c r="CK3581" s="76"/>
      <c r="CL3581" s="76"/>
      <c r="CM3581" s="76"/>
      <c r="CN3581" s="76">
        <f>+CM3581*22000</f>
        <v>0</v>
      </c>
      <c r="CO3581" s="76"/>
      <c r="CP3581" s="76">
        <f>+CO3581*46000</f>
        <v>0</v>
      </c>
      <c r="CQ3581" s="76"/>
      <c r="CR3581" s="76">
        <f>+CQ3581*49000</f>
        <v>0</v>
      </c>
      <c r="CS3581" s="76"/>
      <c r="CT3581" s="76"/>
      <c r="CU3581" s="56">
        <f>AN3581+AP3581+AR3581+AT3581+AV3581+AX3581+AZ3581+BB3581+BD3581+BF3581+BH3581+BJ3581+BL3581+BN3581+BP3581+BR3581+BT3581+BV3581+BX3581+BZ3581+CB3581+CD3581+CF3581+CH3581+CJ3581+CL3581+CN3581+CP3581+CR3581+CT3581</f>
        <v>0</v>
      </c>
      <c r="CV3581" s="76"/>
      <c r="CW3581" s="76">
        <f>+CV3581*1100</f>
        <v>0</v>
      </c>
      <c r="CX3581" s="76"/>
      <c r="CY3581" s="76">
        <f>+CX3581*106250</f>
        <v>0</v>
      </c>
      <c r="CZ3581" s="76"/>
      <c r="DA3581" s="76">
        <f>+CZ3581*34500</f>
        <v>0</v>
      </c>
      <c r="DB3581" s="76"/>
      <c r="DC3581" s="76">
        <f>+DB3581*25000</f>
        <v>0</v>
      </c>
      <c r="DD3581" s="219"/>
      <c r="DE3581" s="219"/>
      <c r="DF3581" s="166"/>
      <c r="DG3581" s="116"/>
      <c r="DH3581" s="117"/>
      <c r="DI3581" s="24"/>
      <c r="DJ3581" s="24"/>
      <c r="DK3581" s="24"/>
      <c r="DL3581" s="24"/>
      <c r="DM3581" s="24"/>
      <c r="DN3581" s="24"/>
      <c r="DO3581" s="24"/>
      <c r="DP3581" s="24"/>
      <c r="DQ3581" s="24"/>
      <c r="DR3581" s="24"/>
      <c r="DS3581" s="24"/>
      <c r="DT3581" s="24"/>
      <c r="DU3581" s="24"/>
    </row>
    <row r="3582" spans="1:125" s="8" customFormat="1" ht="48" x14ac:dyDescent="0.2">
      <c r="A3582" s="353">
        <v>41585</v>
      </c>
      <c r="B3582" s="352" t="s">
        <v>2906</v>
      </c>
      <c r="C3582" s="354" t="s">
        <v>468</v>
      </c>
      <c r="D3582" s="354" t="s">
        <v>3051</v>
      </c>
      <c r="E3582" s="75" t="str">
        <f>VLOOKUP(B3582&amp;C3582,Divipola!$C$2:$F$1138,4,FALSE)</f>
        <v>47720</v>
      </c>
      <c r="F3582" s="87"/>
      <c r="G3582" s="87"/>
      <c r="H3582" s="87"/>
      <c r="I3582" s="87">
        <v>50</v>
      </c>
      <c r="J3582" s="87">
        <v>10</v>
      </c>
      <c r="K3582" s="87"/>
      <c r="L3582" s="87">
        <v>10</v>
      </c>
      <c r="M3582" s="87"/>
      <c r="N3582" s="87"/>
      <c r="O3582" s="87"/>
      <c r="P3582" s="87"/>
      <c r="Q3582" s="87"/>
      <c r="R3582" s="87"/>
      <c r="S3582" s="87"/>
      <c r="T3582" s="87"/>
      <c r="U3582" s="88"/>
      <c r="V3582" s="89"/>
      <c r="W3582" s="96">
        <v>0</v>
      </c>
      <c r="X3582" s="71">
        <f>CU3582</f>
        <v>0</v>
      </c>
      <c r="Y3582" s="71">
        <f>CY3582</f>
        <v>0</v>
      </c>
      <c r="Z3582" s="71">
        <f>DA3582+DC3582+DE3582</f>
        <v>0</v>
      </c>
      <c r="AA3582" s="71">
        <f>CW3582</f>
        <v>0</v>
      </c>
      <c r="AB3582" s="71"/>
      <c r="AC3582" s="71">
        <v>0</v>
      </c>
      <c r="AD3582" s="71">
        <f>W3582+X3582+Y3582+Z3582+AA3582+AB3582+AC3582</f>
        <v>0</v>
      </c>
      <c r="AE3582" s="72">
        <v>0</v>
      </c>
      <c r="AF3582" s="5"/>
      <c r="AG3582" s="6"/>
      <c r="AH3582" s="27"/>
      <c r="AI3582" s="44"/>
      <c r="AJ3582" s="26"/>
      <c r="AK3582" s="5"/>
      <c r="AL3582" s="82" t="s">
        <v>6599</v>
      </c>
      <c r="AM3582" s="76"/>
      <c r="AN3582" s="76"/>
      <c r="AO3582" s="76"/>
      <c r="AP3582" s="76"/>
      <c r="AQ3582" s="76"/>
      <c r="AR3582" s="76"/>
      <c r="AS3582" s="76"/>
      <c r="AT3582" s="76"/>
      <c r="AU3582" s="76"/>
      <c r="AV3582" s="76"/>
      <c r="AW3582" s="76"/>
      <c r="AX3582" s="76">
        <f>+AW3582*600000</f>
        <v>0</v>
      </c>
      <c r="AY3582" s="76"/>
      <c r="AZ3582" s="76">
        <f>+AY3582*70000</f>
        <v>0</v>
      </c>
      <c r="BA3582" s="76"/>
      <c r="BB3582" s="76"/>
      <c r="BC3582" s="76"/>
      <c r="BD3582" s="76">
        <f>+BC3582*30000</f>
        <v>0</v>
      </c>
      <c r="BE3582" s="76"/>
      <c r="BF3582" s="76"/>
      <c r="BG3582" s="76"/>
      <c r="BH3582" s="76"/>
      <c r="BI3582" s="76"/>
      <c r="BJ3582" s="76"/>
      <c r="BK3582" s="76"/>
      <c r="BL3582" s="76">
        <f>+BK3582*31500</f>
        <v>0</v>
      </c>
      <c r="BM3582" s="76"/>
      <c r="BN3582" s="76"/>
      <c r="BO3582" s="76"/>
      <c r="BP3582" s="76"/>
      <c r="BQ3582" s="76"/>
      <c r="BR3582" s="76"/>
      <c r="BS3582" s="76"/>
      <c r="BT3582" s="76"/>
      <c r="BU3582" s="76"/>
      <c r="BV3582" s="76"/>
      <c r="BW3582" s="76"/>
      <c r="BX3582" s="76"/>
      <c r="BY3582" s="76"/>
      <c r="BZ3582" s="76"/>
      <c r="CA3582" s="76"/>
      <c r="CB3582" s="76"/>
      <c r="CC3582" s="76"/>
      <c r="CD3582" s="76"/>
      <c r="CE3582" s="76"/>
      <c r="CF3582" s="76">
        <f>+CE3582*28000</f>
        <v>0</v>
      </c>
      <c r="CG3582" s="76"/>
      <c r="CH3582" s="76">
        <f>+CG3582*22500</f>
        <v>0</v>
      </c>
      <c r="CI3582" s="76"/>
      <c r="CJ3582" s="76">
        <f>+CI3582*26000</f>
        <v>0</v>
      </c>
      <c r="CK3582" s="76"/>
      <c r="CL3582" s="76"/>
      <c r="CM3582" s="76"/>
      <c r="CN3582" s="76">
        <f>+CM3582*22000</f>
        <v>0</v>
      </c>
      <c r="CO3582" s="76"/>
      <c r="CP3582" s="76">
        <f>+CO3582*46000</f>
        <v>0</v>
      </c>
      <c r="CQ3582" s="76"/>
      <c r="CR3582" s="76">
        <f>+CQ3582*49000</f>
        <v>0</v>
      </c>
      <c r="CS3582" s="76"/>
      <c r="CT3582" s="76"/>
      <c r="CU3582" s="56">
        <f>AN3582+AP3582+AR3582+AT3582+AV3582+AX3582+AZ3582+BB3582+BD3582+BF3582+BH3582+BJ3582+BL3582+BN3582+BP3582+BR3582+BT3582+BV3582+BX3582+BZ3582+CB3582+CD3582+CF3582+CH3582+CJ3582+CL3582+CN3582+CP3582+CR3582+CT3582</f>
        <v>0</v>
      </c>
      <c r="CV3582" s="76"/>
      <c r="CW3582" s="76">
        <f>+CV3582*1100</f>
        <v>0</v>
      </c>
      <c r="CX3582" s="76"/>
      <c r="CY3582" s="76">
        <f>+CX3582*106250</f>
        <v>0</v>
      </c>
      <c r="CZ3582" s="76"/>
      <c r="DA3582" s="76">
        <f>+CZ3582*34500</f>
        <v>0</v>
      </c>
      <c r="DB3582" s="76"/>
      <c r="DC3582" s="76">
        <f>+DB3582*25000</f>
        <v>0</v>
      </c>
      <c r="DD3582" s="219"/>
      <c r="DE3582" s="219"/>
      <c r="DF3582" s="166"/>
      <c r="DG3582" s="116"/>
      <c r="DH3582" s="117"/>
      <c r="DI3582" s="24"/>
      <c r="DJ3582" s="24"/>
      <c r="DK3582" s="24"/>
      <c r="DL3582" s="24"/>
      <c r="DM3582" s="24"/>
      <c r="DN3582" s="24"/>
      <c r="DO3582" s="24"/>
      <c r="DP3582" s="24"/>
      <c r="DQ3582" s="24"/>
      <c r="DR3582" s="24"/>
      <c r="DS3582" s="24"/>
      <c r="DT3582" s="24"/>
      <c r="DU3582" s="24"/>
    </row>
    <row r="3583" spans="1:125" s="8" customFormat="1" ht="216" x14ac:dyDescent="0.2">
      <c r="A3583" s="77">
        <v>41585</v>
      </c>
      <c r="B3583" s="78" t="s">
        <v>2854</v>
      </c>
      <c r="C3583" s="75" t="s">
        <v>1326</v>
      </c>
      <c r="D3583" s="75" t="s">
        <v>2882</v>
      </c>
      <c r="E3583" s="75" t="str">
        <f>VLOOKUP(B3583&amp;C3583,Divipola!$C$2:$F$1138,4,FALSE)</f>
        <v>19785</v>
      </c>
      <c r="F3583" s="87"/>
      <c r="G3583" s="87"/>
      <c r="H3583" s="87"/>
      <c r="I3583" s="87">
        <v>230</v>
      </c>
      <c r="J3583" s="87">
        <v>46</v>
      </c>
      <c r="K3583" s="87"/>
      <c r="L3583" s="87">
        <v>46</v>
      </c>
      <c r="M3583" s="87"/>
      <c r="N3583" s="87"/>
      <c r="O3583" s="87"/>
      <c r="P3583" s="87"/>
      <c r="Q3583" s="87"/>
      <c r="R3583" s="87"/>
      <c r="S3583" s="87"/>
      <c r="T3583" s="87"/>
      <c r="U3583" s="88"/>
      <c r="V3583" s="89"/>
      <c r="W3583" s="96">
        <v>0</v>
      </c>
      <c r="X3583" s="71">
        <f>CU3583</f>
        <v>0</v>
      </c>
      <c r="Y3583" s="71">
        <f>CY3583</f>
        <v>0</v>
      </c>
      <c r="Z3583" s="71">
        <f>DA3583+DC3583+DE3583</f>
        <v>0</v>
      </c>
      <c r="AA3583" s="71">
        <f>CW3583</f>
        <v>0</v>
      </c>
      <c r="AB3583" s="71"/>
      <c r="AC3583" s="71">
        <v>0</v>
      </c>
      <c r="AD3583" s="71">
        <f>W3583+X3583+Y3583+Z3583+AA3583+AB3583+AC3583</f>
        <v>0</v>
      </c>
      <c r="AE3583" s="72">
        <v>0</v>
      </c>
      <c r="AF3583" s="5"/>
      <c r="AG3583" s="6"/>
      <c r="AH3583" s="27"/>
      <c r="AI3583" s="44"/>
      <c r="AJ3583" s="26"/>
      <c r="AK3583" s="5"/>
      <c r="AL3583" s="368" t="s">
        <v>6612</v>
      </c>
      <c r="AM3583" s="76"/>
      <c r="AN3583" s="76"/>
      <c r="AO3583" s="76"/>
      <c r="AP3583" s="76"/>
      <c r="AQ3583" s="76"/>
      <c r="AR3583" s="76"/>
      <c r="AS3583" s="76"/>
      <c r="AT3583" s="76"/>
      <c r="AU3583" s="76"/>
      <c r="AV3583" s="76"/>
      <c r="AW3583" s="76"/>
      <c r="AX3583" s="76">
        <f>+AW3583*600000</f>
        <v>0</v>
      </c>
      <c r="AY3583" s="76"/>
      <c r="AZ3583" s="76">
        <f>+AY3583*70000</f>
        <v>0</v>
      </c>
      <c r="BA3583" s="76"/>
      <c r="BB3583" s="76"/>
      <c r="BC3583" s="76"/>
      <c r="BD3583" s="76">
        <f>+BC3583*30000</f>
        <v>0</v>
      </c>
      <c r="BE3583" s="76"/>
      <c r="BF3583" s="76"/>
      <c r="BG3583" s="76"/>
      <c r="BH3583" s="76"/>
      <c r="BI3583" s="76"/>
      <c r="BJ3583" s="76"/>
      <c r="BK3583" s="76"/>
      <c r="BL3583" s="76">
        <f>+BK3583*31500</f>
        <v>0</v>
      </c>
      <c r="BM3583" s="76"/>
      <c r="BN3583" s="76"/>
      <c r="BO3583" s="76"/>
      <c r="BP3583" s="76"/>
      <c r="BQ3583" s="76"/>
      <c r="BR3583" s="76"/>
      <c r="BS3583" s="76"/>
      <c r="BT3583" s="76"/>
      <c r="BU3583" s="76"/>
      <c r="BV3583" s="76"/>
      <c r="BW3583" s="76"/>
      <c r="BX3583" s="76"/>
      <c r="BY3583" s="76"/>
      <c r="BZ3583" s="76"/>
      <c r="CA3583" s="76"/>
      <c r="CB3583" s="76"/>
      <c r="CC3583" s="76"/>
      <c r="CD3583" s="76"/>
      <c r="CE3583" s="76"/>
      <c r="CF3583" s="76">
        <f>+CE3583*28000</f>
        <v>0</v>
      </c>
      <c r="CG3583" s="76"/>
      <c r="CH3583" s="76">
        <f>+CG3583*22500</f>
        <v>0</v>
      </c>
      <c r="CI3583" s="76"/>
      <c r="CJ3583" s="76">
        <f>+CI3583*26000</f>
        <v>0</v>
      </c>
      <c r="CK3583" s="76"/>
      <c r="CL3583" s="76"/>
      <c r="CM3583" s="76"/>
      <c r="CN3583" s="76">
        <f>+CM3583*22000</f>
        <v>0</v>
      </c>
      <c r="CO3583" s="76"/>
      <c r="CP3583" s="76">
        <f>+CO3583*46000</f>
        <v>0</v>
      </c>
      <c r="CQ3583" s="76"/>
      <c r="CR3583" s="76">
        <f>+CQ3583*49000</f>
        <v>0</v>
      </c>
      <c r="CS3583" s="76"/>
      <c r="CT3583" s="76"/>
      <c r="CU3583" s="56">
        <f>AN3583+AP3583+AR3583+AT3583+AV3583+AX3583+AZ3583+BB3583+BD3583+BF3583+BH3583+BJ3583+BL3583+BN3583+BP3583+BR3583+BT3583+BV3583+BX3583+BZ3583+CB3583+CD3583+CF3583+CH3583+CJ3583+CL3583+CN3583+CP3583+CR3583+CT3583</f>
        <v>0</v>
      </c>
      <c r="CV3583" s="76"/>
      <c r="CW3583" s="76">
        <f>+CV3583*1100</f>
        <v>0</v>
      </c>
      <c r="CX3583" s="76"/>
      <c r="CY3583" s="76">
        <f>+CX3583*106250</f>
        <v>0</v>
      </c>
      <c r="CZ3583" s="76"/>
      <c r="DA3583" s="76">
        <f>+CZ3583*34500</f>
        <v>0</v>
      </c>
      <c r="DB3583" s="76"/>
      <c r="DC3583" s="76">
        <f>+DB3583*25000</f>
        <v>0</v>
      </c>
      <c r="DD3583" s="219"/>
      <c r="DE3583" s="219"/>
      <c r="DF3583" s="166"/>
      <c r="DG3583" s="116"/>
      <c r="DH3583" s="117"/>
      <c r="DI3583" s="24"/>
      <c r="DJ3583" s="24"/>
      <c r="DK3583" s="24"/>
      <c r="DL3583" s="24"/>
      <c r="DM3583" s="24"/>
      <c r="DN3583" s="24"/>
      <c r="DO3583" s="24"/>
      <c r="DP3583" s="24"/>
      <c r="DQ3583" s="24"/>
      <c r="DR3583" s="24"/>
      <c r="DS3583" s="24"/>
      <c r="DT3583" s="24"/>
      <c r="DU3583" s="24"/>
    </row>
    <row r="3584" spans="1:125" s="8" customFormat="1" ht="72" x14ac:dyDescent="0.2">
      <c r="A3584" s="77">
        <v>41585</v>
      </c>
      <c r="B3584" s="78" t="s">
        <v>2196</v>
      </c>
      <c r="C3584" s="75" t="s">
        <v>508</v>
      </c>
      <c r="D3584" s="351" t="s">
        <v>3088</v>
      </c>
      <c r="E3584" s="75" t="str">
        <f>VLOOKUP(B3584&amp;C3584,Divipola!$C$2:$F$1138,4,FALSE)</f>
        <v>17001</v>
      </c>
      <c r="F3584" s="87">
        <v>1</v>
      </c>
      <c r="G3584" s="87"/>
      <c r="H3584" s="87"/>
      <c r="I3584" s="87"/>
      <c r="J3584" s="87"/>
      <c r="K3584" s="87"/>
      <c r="L3584" s="87"/>
      <c r="M3584" s="87"/>
      <c r="N3584" s="87"/>
      <c r="O3584" s="87"/>
      <c r="P3584" s="87"/>
      <c r="Q3584" s="87"/>
      <c r="R3584" s="87"/>
      <c r="S3584" s="87"/>
      <c r="T3584" s="87"/>
      <c r="U3584" s="87"/>
      <c r="V3584" s="135"/>
      <c r="W3584" s="96">
        <v>0</v>
      </c>
      <c r="X3584" s="71">
        <f>CU3584</f>
        <v>0</v>
      </c>
      <c r="Y3584" s="71">
        <f>CY3584</f>
        <v>0</v>
      </c>
      <c r="Z3584" s="71">
        <f>DA3584+DC3584+DE3584</f>
        <v>0</v>
      </c>
      <c r="AA3584" s="71">
        <f>CW3584</f>
        <v>0</v>
      </c>
      <c r="AB3584" s="71"/>
      <c r="AC3584" s="71">
        <v>0</v>
      </c>
      <c r="AD3584" s="71">
        <f>W3584+X3584+Y3584+Z3584+AA3584+AB3584+AC3584</f>
        <v>0</v>
      </c>
      <c r="AE3584" s="72">
        <v>0</v>
      </c>
      <c r="AF3584" s="5"/>
      <c r="AG3584" s="6"/>
      <c r="AH3584" s="27"/>
      <c r="AI3584" s="44"/>
      <c r="AJ3584" s="26"/>
      <c r="AK3584" s="5"/>
      <c r="AL3584" s="268" t="s">
        <v>6664</v>
      </c>
      <c r="AM3584" s="76"/>
      <c r="AN3584" s="76"/>
      <c r="AO3584" s="76"/>
      <c r="AP3584" s="76"/>
      <c r="AQ3584" s="76"/>
      <c r="AR3584" s="76"/>
      <c r="AS3584" s="76"/>
      <c r="AT3584" s="76"/>
      <c r="AU3584" s="76"/>
      <c r="AV3584" s="76"/>
      <c r="AW3584" s="76"/>
      <c r="AX3584" s="76">
        <f>+AW3584*600000</f>
        <v>0</v>
      </c>
      <c r="AY3584" s="76"/>
      <c r="AZ3584" s="76">
        <f>+AY3584*70000</f>
        <v>0</v>
      </c>
      <c r="BA3584" s="76"/>
      <c r="BB3584" s="76"/>
      <c r="BC3584" s="76"/>
      <c r="BD3584" s="76">
        <f>+BC3584*30000</f>
        <v>0</v>
      </c>
      <c r="BE3584" s="76"/>
      <c r="BF3584" s="76"/>
      <c r="BG3584" s="76"/>
      <c r="BH3584" s="76"/>
      <c r="BI3584" s="76"/>
      <c r="BJ3584" s="76"/>
      <c r="BK3584" s="76"/>
      <c r="BL3584" s="76">
        <f>+BK3584*31500</f>
        <v>0</v>
      </c>
      <c r="BM3584" s="76"/>
      <c r="BN3584" s="76"/>
      <c r="BO3584" s="76"/>
      <c r="BP3584" s="76"/>
      <c r="BQ3584" s="76"/>
      <c r="BR3584" s="76"/>
      <c r="BS3584" s="76"/>
      <c r="BT3584" s="76"/>
      <c r="BU3584" s="76"/>
      <c r="BV3584" s="76"/>
      <c r="BW3584" s="76"/>
      <c r="BX3584" s="76"/>
      <c r="BY3584" s="76"/>
      <c r="BZ3584" s="76"/>
      <c r="CA3584" s="76"/>
      <c r="CB3584" s="76"/>
      <c r="CC3584" s="76"/>
      <c r="CD3584" s="76"/>
      <c r="CE3584" s="76"/>
      <c r="CF3584" s="76">
        <f>+CE3584*28000</f>
        <v>0</v>
      </c>
      <c r="CG3584" s="76"/>
      <c r="CH3584" s="76">
        <f>+CG3584*22500</f>
        <v>0</v>
      </c>
      <c r="CI3584" s="76"/>
      <c r="CJ3584" s="76">
        <f>+CI3584*26000</f>
        <v>0</v>
      </c>
      <c r="CK3584" s="76"/>
      <c r="CL3584" s="76"/>
      <c r="CM3584" s="76"/>
      <c r="CN3584" s="76">
        <f>+CM3584*22000</f>
        <v>0</v>
      </c>
      <c r="CO3584" s="76"/>
      <c r="CP3584" s="76">
        <f>+CO3584*46000</f>
        <v>0</v>
      </c>
      <c r="CQ3584" s="76"/>
      <c r="CR3584" s="76">
        <f>+CQ3584*49000</f>
        <v>0</v>
      </c>
      <c r="CS3584" s="76"/>
      <c r="CT3584" s="76"/>
      <c r="CU3584" s="56">
        <f>AN3584+AP3584+AR3584+AT3584+AV3584+AX3584+AZ3584+BB3584+BD3584+BF3584+BH3584+BJ3584+BL3584+BN3584+BP3584+BR3584+BT3584+BV3584+BX3584+BZ3584+CB3584+CD3584+CF3584+CH3584+CJ3584+CL3584+CN3584+CP3584+CR3584+CT3584</f>
        <v>0</v>
      </c>
      <c r="CV3584" s="76"/>
      <c r="CW3584" s="76">
        <f>+CV3584*1100</f>
        <v>0</v>
      </c>
      <c r="CX3584" s="76"/>
      <c r="CY3584" s="76">
        <f>+CX3584*106250</f>
        <v>0</v>
      </c>
      <c r="CZ3584" s="76"/>
      <c r="DA3584" s="76">
        <f>+CZ3584*34500</f>
        <v>0</v>
      </c>
      <c r="DB3584" s="76"/>
      <c r="DC3584" s="76">
        <f>+DB3584*25000</f>
        <v>0</v>
      </c>
      <c r="DD3584" s="219"/>
      <c r="DE3584" s="219"/>
      <c r="DF3584" s="166"/>
      <c r="DG3584" s="116"/>
      <c r="DH3584" s="117"/>
      <c r="DI3584" s="24"/>
      <c r="DJ3584" s="24"/>
      <c r="DK3584" s="24"/>
      <c r="DL3584" s="24"/>
      <c r="DM3584" s="24"/>
      <c r="DN3584" s="24"/>
      <c r="DO3584" s="24"/>
      <c r="DP3584" s="24"/>
      <c r="DQ3584" s="24"/>
      <c r="DR3584" s="24"/>
      <c r="DS3584" s="24"/>
      <c r="DT3584" s="24"/>
      <c r="DU3584" s="24"/>
    </row>
    <row r="3585" spans="1:125" s="8" customFormat="1" ht="120" x14ac:dyDescent="0.2">
      <c r="A3585" s="77">
        <v>41586</v>
      </c>
      <c r="B3585" s="78" t="s">
        <v>2848</v>
      </c>
      <c r="C3585" s="75" t="s">
        <v>515</v>
      </c>
      <c r="D3585" s="75" t="s">
        <v>3051</v>
      </c>
      <c r="E3585" s="75" t="str">
        <f>VLOOKUP(B3585&amp;C3585,Divipola!$C$2:$F$1138,4,FALSE)</f>
        <v>73030</v>
      </c>
      <c r="F3585" s="61"/>
      <c r="G3585" s="61"/>
      <c r="H3585" s="61"/>
      <c r="I3585" s="61"/>
      <c r="J3585" s="61"/>
      <c r="K3585" s="61"/>
      <c r="L3585" s="61"/>
      <c r="M3585" s="61"/>
      <c r="N3585" s="61"/>
      <c r="O3585" s="61"/>
      <c r="P3585" s="61"/>
      <c r="Q3585" s="61"/>
      <c r="R3585" s="61"/>
      <c r="S3585" s="61"/>
      <c r="T3585" s="61"/>
      <c r="U3585" s="61"/>
      <c r="V3585" s="7"/>
      <c r="W3585" s="96">
        <v>0</v>
      </c>
      <c r="X3585" s="71">
        <f>CU3585</f>
        <v>0</v>
      </c>
      <c r="Y3585" s="71">
        <f>CY3585</f>
        <v>0</v>
      </c>
      <c r="Z3585" s="71">
        <f>DA3585+DC3585+DE3585</f>
        <v>0</v>
      </c>
      <c r="AA3585" s="71">
        <f>CW3585</f>
        <v>0</v>
      </c>
      <c r="AB3585" s="71"/>
      <c r="AC3585" s="71">
        <v>1005377952</v>
      </c>
      <c r="AD3585" s="71">
        <f>W3585+X3585+Y3585+Z3585+AA3585+AB3585+AC3585</f>
        <v>1005377952</v>
      </c>
      <c r="AE3585" s="72">
        <v>0</v>
      </c>
      <c r="AF3585" s="5"/>
      <c r="AG3585" s="6"/>
      <c r="AH3585" s="27"/>
      <c r="AI3585" s="44"/>
      <c r="AJ3585" s="26"/>
      <c r="AK3585" s="5"/>
      <c r="AL3585" s="342" t="s">
        <v>6573</v>
      </c>
      <c r="AM3585" s="76"/>
      <c r="AN3585" s="76"/>
      <c r="AO3585" s="76"/>
      <c r="AP3585" s="76"/>
      <c r="AQ3585" s="76"/>
      <c r="AR3585" s="76"/>
      <c r="AS3585" s="76"/>
      <c r="AT3585" s="76"/>
      <c r="AU3585" s="76"/>
      <c r="AV3585" s="76"/>
      <c r="AW3585" s="76"/>
      <c r="AX3585" s="76">
        <f>+AW3585*600000</f>
        <v>0</v>
      </c>
      <c r="AY3585" s="76"/>
      <c r="AZ3585" s="76">
        <f>+AY3585*70000</f>
        <v>0</v>
      </c>
      <c r="BA3585" s="76"/>
      <c r="BB3585" s="76"/>
      <c r="BC3585" s="76"/>
      <c r="BD3585" s="76">
        <f>+BC3585*30000</f>
        <v>0</v>
      </c>
      <c r="BE3585" s="76"/>
      <c r="BF3585" s="76"/>
      <c r="BG3585" s="76"/>
      <c r="BH3585" s="76"/>
      <c r="BI3585" s="76"/>
      <c r="BJ3585" s="76"/>
      <c r="BK3585" s="76"/>
      <c r="BL3585" s="76">
        <f>+BK3585*31500</f>
        <v>0</v>
      </c>
      <c r="BM3585" s="76"/>
      <c r="BN3585" s="76"/>
      <c r="BO3585" s="76"/>
      <c r="BP3585" s="76"/>
      <c r="BQ3585" s="76"/>
      <c r="BR3585" s="76"/>
      <c r="BS3585" s="76"/>
      <c r="BT3585" s="76"/>
      <c r="BU3585" s="76"/>
      <c r="BV3585" s="76"/>
      <c r="BW3585" s="76"/>
      <c r="BX3585" s="76"/>
      <c r="BY3585" s="76"/>
      <c r="BZ3585" s="76"/>
      <c r="CA3585" s="76"/>
      <c r="CB3585" s="76"/>
      <c r="CC3585" s="76"/>
      <c r="CD3585" s="76"/>
      <c r="CE3585" s="76"/>
      <c r="CF3585" s="76">
        <f>+CE3585*28000</f>
        <v>0</v>
      </c>
      <c r="CG3585" s="76"/>
      <c r="CH3585" s="76">
        <f>+CG3585*22500</f>
        <v>0</v>
      </c>
      <c r="CI3585" s="76"/>
      <c r="CJ3585" s="76">
        <f>+CI3585*26000</f>
        <v>0</v>
      </c>
      <c r="CK3585" s="76"/>
      <c r="CL3585" s="76"/>
      <c r="CM3585" s="76"/>
      <c r="CN3585" s="76">
        <f>+CM3585*22000</f>
        <v>0</v>
      </c>
      <c r="CO3585" s="76"/>
      <c r="CP3585" s="76">
        <f>+CO3585*46000</f>
        <v>0</v>
      </c>
      <c r="CQ3585" s="76"/>
      <c r="CR3585" s="76">
        <f>+CQ3585*49000</f>
        <v>0</v>
      </c>
      <c r="CS3585" s="76"/>
      <c r="CT3585" s="76"/>
      <c r="CU3585" s="56">
        <f>AN3585+AP3585+AR3585+AT3585+AV3585+AX3585+AZ3585+BB3585+BD3585+BF3585+BH3585+BJ3585+BL3585+BN3585+BP3585+BR3585+BT3585+BV3585+BX3585+BZ3585+CB3585+CD3585+CF3585+CH3585+CJ3585+CL3585+CN3585+CP3585+CR3585+CT3585</f>
        <v>0</v>
      </c>
      <c r="CV3585" s="76"/>
      <c r="CW3585" s="76">
        <f>+CV3585*1100</f>
        <v>0</v>
      </c>
      <c r="CX3585" s="76"/>
      <c r="CY3585" s="76">
        <f>+CX3585*106250</f>
        <v>0</v>
      </c>
      <c r="CZ3585" s="76"/>
      <c r="DA3585" s="76">
        <f>+CZ3585*34500</f>
        <v>0</v>
      </c>
      <c r="DB3585" s="76"/>
      <c r="DC3585" s="76">
        <f>+DB3585*25000</f>
        <v>0</v>
      </c>
      <c r="DD3585" s="219"/>
      <c r="DE3585" s="219"/>
      <c r="DF3585" s="166"/>
      <c r="DG3585" s="134" t="s">
        <v>6574</v>
      </c>
      <c r="DH3585" s="117"/>
      <c r="DI3585" s="24"/>
      <c r="DJ3585" s="24"/>
      <c r="DK3585" s="24"/>
      <c r="DL3585" s="24"/>
      <c r="DM3585" s="24"/>
      <c r="DN3585" s="24"/>
      <c r="DO3585" s="24"/>
      <c r="DP3585" s="24"/>
      <c r="DQ3585" s="24"/>
      <c r="DR3585" s="24"/>
      <c r="DS3585" s="24"/>
      <c r="DT3585" s="24"/>
      <c r="DU3585" s="24"/>
    </row>
    <row r="3586" spans="1:125" s="8" customFormat="1" ht="132" x14ac:dyDescent="0.2">
      <c r="A3586" s="248">
        <v>41586</v>
      </c>
      <c r="B3586" s="249" t="s">
        <v>2894</v>
      </c>
      <c r="C3586" s="231" t="s">
        <v>2412</v>
      </c>
      <c r="D3586" s="231" t="s">
        <v>3051</v>
      </c>
      <c r="E3586" s="231" t="str">
        <f>VLOOKUP(B3586&amp;C3586,Divipola!$C$2:$F$1138,4,FALSE)</f>
        <v>05154</v>
      </c>
      <c r="F3586" s="256"/>
      <c r="G3586" s="256"/>
      <c r="H3586" s="256"/>
      <c r="I3586" s="256"/>
      <c r="J3586" s="256"/>
      <c r="K3586" s="256"/>
      <c r="L3586" s="256"/>
      <c r="M3586" s="256"/>
      <c r="N3586" s="256"/>
      <c r="O3586" s="256"/>
      <c r="P3586" s="256"/>
      <c r="Q3586" s="256"/>
      <c r="R3586" s="256"/>
      <c r="S3586" s="256"/>
      <c r="T3586" s="256"/>
      <c r="U3586" s="256"/>
      <c r="V3586" s="347"/>
      <c r="W3586" s="271">
        <v>0</v>
      </c>
      <c r="X3586" s="269">
        <f>CU3586</f>
        <v>0</v>
      </c>
      <c r="Y3586" s="269">
        <f>CY3586</f>
        <v>0</v>
      </c>
      <c r="Z3586" s="269">
        <f>DA3586+DC3586+DE3586</f>
        <v>0</v>
      </c>
      <c r="AA3586" s="269">
        <f>CW3586</f>
        <v>0</v>
      </c>
      <c r="AB3586" s="269"/>
      <c r="AC3586" s="269">
        <v>809594742</v>
      </c>
      <c r="AD3586" s="269">
        <f>W3586+X3586+Y3586+Z3586+AA3586+AB3586+AC3586</f>
        <v>809594742</v>
      </c>
      <c r="AE3586" s="270">
        <v>0</v>
      </c>
      <c r="AF3586" s="235"/>
      <c r="AG3586" s="236"/>
      <c r="AH3586" s="237"/>
      <c r="AI3586" s="238"/>
      <c r="AJ3586" s="239"/>
      <c r="AK3586" s="235"/>
      <c r="AL3586" s="301" t="s">
        <v>6588</v>
      </c>
      <c r="AM3586" s="312"/>
      <c r="AN3586" s="312"/>
      <c r="AO3586" s="312"/>
      <c r="AP3586" s="312"/>
      <c r="AQ3586" s="312"/>
      <c r="AR3586" s="312"/>
      <c r="AS3586" s="312"/>
      <c r="AT3586" s="312"/>
      <c r="AU3586" s="312"/>
      <c r="AV3586" s="312"/>
      <c r="AW3586" s="312"/>
      <c r="AX3586" s="312">
        <f>+AW3586*600000</f>
        <v>0</v>
      </c>
      <c r="AY3586" s="312"/>
      <c r="AZ3586" s="312">
        <f>+AY3586*70000</f>
        <v>0</v>
      </c>
      <c r="BA3586" s="312"/>
      <c r="BB3586" s="312"/>
      <c r="BC3586" s="312"/>
      <c r="BD3586" s="312">
        <f>+BC3586*30000</f>
        <v>0</v>
      </c>
      <c r="BE3586" s="312"/>
      <c r="BF3586" s="312"/>
      <c r="BG3586" s="312"/>
      <c r="BH3586" s="312"/>
      <c r="BI3586" s="312"/>
      <c r="BJ3586" s="312"/>
      <c r="BK3586" s="312"/>
      <c r="BL3586" s="312">
        <f>+BK3586*31500</f>
        <v>0</v>
      </c>
      <c r="BM3586" s="312"/>
      <c r="BN3586" s="312"/>
      <c r="BO3586" s="312"/>
      <c r="BP3586" s="312"/>
      <c r="BQ3586" s="312"/>
      <c r="BR3586" s="312"/>
      <c r="BS3586" s="312"/>
      <c r="BT3586" s="312"/>
      <c r="BU3586" s="312"/>
      <c r="BV3586" s="312"/>
      <c r="BW3586" s="312"/>
      <c r="BX3586" s="312"/>
      <c r="BY3586" s="312"/>
      <c r="BZ3586" s="312"/>
      <c r="CA3586" s="312"/>
      <c r="CB3586" s="312"/>
      <c r="CC3586" s="312"/>
      <c r="CD3586" s="312"/>
      <c r="CE3586" s="312"/>
      <c r="CF3586" s="312">
        <f>+CE3586*28000</f>
        <v>0</v>
      </c>
      <c r="CG3586" s="312"/>
      <c r="CH3586" s="312">
        <f>+CG3586*22500</f>
        <v>0</v>
      </c>
      <c r="CI3586" s="312"/>
      <c r="CJ3586" s="312">
        <f>+CI3586*26000</f>
        <v>0</v>
      </c>
      <c r="CK3586" s="312"/>
      <c r="CL3586" s="312"/>
      <c r="CM3586" s="312"/>
      <c r="CN3586" s="312">
        <f>+CM3586*22000</f>
        <v>0</v>
      </c>
      <c r="CO3586" s="312"/>
      <c r="CP3586" s="312">
        <f>+CO3586*46000</f>
        <v>0</v>
      </c>
      <c r="CQ3586" s="312"/>
      <c r="CR3586" s="312">
        <f>+CQ3586*49000</f>
        <v>0</v>
      </c>
      <c r="CS3586" s="312"/>
      <c r="CT3586" s="312"/>
      <c r="CU3586" s="241">
        <f>AN3586+AP3586+AR3586+AT3586+AV3586+AX3586+AZ3586+BB3586+BD3586+BF3586+BH3586+BJ3586+BL3586+BN3586+BP3586+BR3586+BT3586+BV3586+BX3586+BZ3586+CB3586+CD3586+CF3586+CH3586+CJ3586+CL3586+CN3586+CP3586+CR3586+CT3586</f>
        <v>0</v>
      </c>
      <c r="CV3586" s="312"/>
      <c r="CW3586" s="312">
        <f>+CV3586*1100</f>
        <v>0</v>
      </c>
      <c r="CX3586" s="312"/>
      <c r="CY3586" s="312">
        <f>+CX3586*106250</f>
        <v>0</v>
      </c>
      <c r="CZ3586" s="312"/>
      <c r="DA3586" s="312">
        <f>+CZ3586*34500</f>
        <v>0</v>
      </c>
      <c r="DB3586" s="312"/>
      <c r="DC3586" s="312">
        <f>+DB3586*25000</f>
        <v>0</v>
      </c>
      <c r="DD3586" s="314"/>
      <c r="DE3586" s="314"/>
      <c r="DF3586" s="243"/>
      <c r="DG3586" s="253"/>
      <c r="DH3586" s="254"/>
      <c r="DI3586" s="24"/>
      <c r="DJ3586" s="24"/>
      <c r="DK3586" s="24"/>
      <c r="DL3586" s="24"/>
      <c r="DM3586" s="24"/>
      <c r="DN3586" s="24"/>
      <c r="DO3586" s="24"/>
      <c r="DP3586" s="24"/>
      <c r="DQ3586" s="24"/>
      <c r="DR3586" s="24"/>
      <c r="DS3586" s="24"/>
      <c r="DT3586" s="24"/>
      <c r="DU3586" s="24"/>
    </row>
    <row r="3587" spans="1:125" s="8" customFormat="1" ht="60" x14ac:dyDescent="0.2">
      <c r="A3587" s="77">
        <v>41586</v>
      </c>
      <c r="B3587" s="78" t="s">
        <v>2700</v>
      </c>
      <c r="C3587" s="75" t="s">
        <v>1699</v>
      </c>
      <c r="D3587" s="75" t="s">
        <v>3088</v>
      </c>
      <c r="E3587" s="75" t="str">
        <f>VLOOKUP(B3587&amp;C3587,Divipola!$C$2:$F$1138,4,FALSE)</f>
        <v>15224</v>
      </c>
      <c r="F3587" s="61"/>
      <c r="G3587" s="61"/>
      <c r="H3587" s="61"/>
      <c r="I3587" s="61"/>
      <c r="J3587" s="61"/>
      <c r="K3587" s="61"/>
      <c r="L3587" s="61"/>
      <c r="M3587" s="61"/>
      <c r="N3587" s="61"/>
      <c r="O3587" s="61"/>
      <c r="P3587" s="61"/>
      <c r="Q3587" s="61"/>
      <c r="R3587" s="61"/>
      <c r="S3587" s="61"/>
      <c r="T3587" s="61"/>
      <c r="U3587" s="61"/>
      <c r="V3587" s="7"/>
      <c r="W3587" s="96">
        <v>0</v>
      </c>
      <c r="X3587" s="71">
        <f>CU3587</f>
        <v>0</v>
      </c>
      <c r="Y3587" s="71">
        <f>CY3587</f>
        <v>0</v>
      </c>
      <c r="Z3587" s="71">
        <f>DA3587+DC3587+DE3587</f>
        <v>0</v>
      </c>
      <c r="AA3587" s="71">
        <f>CW3587</f>
        <v>0</v>
      </c>
      <c r="AB3587" s="71"/>
      <c r="AC3587" s="71">
        <v>215408178</v>
      </c>
      <c r="AD3587" s="71">
        <f>W3587+X3587+Y3587+Z3587+AA3587+AB3587+AC3587</f>
        <v>215408178</v>
      </c>
      <c r="AE3587" s="72">
        <v>0</v>
      </c>
      <c r="AF3587" s="5"/>
      <c r="AG3587" s="6"/>
      <c r="AH3587" s="27"/>
      <c r="AI3587" s="44"/>
      <c r="AJ3587" s="26"/>
      <c r="AK3587" s="5"/>
      <c r="AL3587" s="9" t="s">
        <v>6569</v>
      </c>
      <c r="AM3587" s="76"/>
      <c r="AN3587" s="76"/>
      <c r="AO3587" s="76"/>
      <c r="AP3587" s="76"/>
      <c r="AQ3587" s="76"/>
      <c r="AR3587" s="76"/>
      <c r="AS3587" s="76"/>
      <c r="AT3587" s="76"/>
      <c r="AU3587" s="76"/>
      <c r="AV3587" s="76"/>
      <c r="AW3587" s="76"/>
      <c r="AX3587" s="76">
        <f>+AW3587*600000</f>
        <v>0</v>
      </c>
      <c r="AY3587" s="76"/>
      <c r="AZ3587" s="76">
        <f>+AY3587*70000</f>
        <v>0</v>
      </c>
      <c r="BA3587" s="76"/>
      <c r="BB3587" s="76"/>
      <c r="BC3587" s="76"/>
      <c r="BD3587" s="76">
        <f>+BC3587*30000</f>
        <v>0</v>
      </c>
      <c r="BE3587" s="76"/>
      <c r="BF3587" s="76"/>
      <c r="BG3587" s="76"/>
      <c r="BH3587" s="76"/>
      <c r="BI3587" s="76"/>
      <c r="BJ3587" s="76"/>
      <c r="BK3587" s="76"/>
      <c r="BL3587" s="76">
        <f>+BK3587*31500</f>
        <v>0</v>
      </c>
      <c r="BM3587" s="76"/>
      <c r="BN3587" s="76"/>
      <c r="BO3587" s="76"/>
      <c r="BP3587" s="76"/>
      <c r="BQ3587" s="76"/>
      <c r="BR3587" s="76"/>
      <c r="BS3587" s="76"/>
      <c r="BT3587" s="76"/>
      <c r="BU3587" s="76"/>
      <c r="BV3587" s="76"/>
      <c r="BW3587" s="76"/>
      <c r="BX3587" s="76"/>
      <c r="BY3587" s="76"/>
      <c r="BZ3587" s="76"/>
      <c r="CA3587" s="76"/>
      <c r="CB3587" s="76"/>
      <c r="CC3587" s="76"/>
      <c r="CD3587" s="76"/>
      <c r="CE3587" s="76"/>
      <c r="CF3587" s="76">
        <f>+CE3587*28000</f>
        <v>0</v>
      </c>
      <c r="CG3587" s="76"/>
      <c r="CH3587" s="76">
        <f>+CG3587*22500</f>
        <v>0</v>
      </c>
      <c r="CI3587" s="76"/>
      <c r="CJ3587" s="76">
        <f>+CI3587*26000</f>
        <v>0</v>
      </c>
      <c r="CK3587" s="76"/>
      <c r="CL3587" s="76"/>
      <c r="CM3587" s="76"/>
      <c r="CN3587" s="76">
        <f>+CM3587*22000</f>
        <v>0</v>
      </c>
      <c r="CO3587" s="76"/>
      <c r="CP3587" s="76">
        <f>+CO3587*46000</f>
        <v>0</v>
      </c>
      <c r="CQ3587" s="76"/>
      <c r="CR3587" s="76">
        <f>+CQ3587*49000</f>
        <v>0</v>
      </c>
      <c r="CS3587" s="76"/>
      <c r="CT3587" s="76"/>
      <c r="CU3587" s="56">
        <f>AN3587+AP3587+AR3587+AT3587+AV3587+AX3587+AZ3587+BB3587+BD3587+BF3587+BH3587+BJ3587+BL3587+BN3587+BP3587+BR3587+BT3587+BV3587+BX3587+BZ3587+CB3587+CD3587+CF3587+CH3587+CJ3587+CL3587+CN3587+CP3587+CR3587+CT3587</f>
        <v>0</v>
      </c>
      <c r="CV3587" s="76"/>
      <c r="CW3587" s="76">
        <f>+CV3587*1100</f>
        <v>0</v>
      </c>
      <c r="CX3587" s="76"/>
      <c r="CY3587" s="76">
        <f>+CX3587*106250</f>
        <v>0</v>
      </c>
      <c r="CZ3587" s="76"/>
      <c r="DA3587" s="76">
        <f>+CZ3587*34500</f>
        <v>0</v>
      </c>
      <c r="DB3587" s="76"/>
      <c r="DC3587" s="76">
        <f>+DB3587*25000</f>
        <v>0</v>
      </c>
      <c r="DD3587" s="219"/>
      <c r="DE3587" s="219"/>
      <c r="DF3587" s="166"/>
      <c r="DG3587" s="134" t="s">
        <v>6572</v>
      </c>
      <c r="DH3587" s="117"/>
      <c r="DI3587" s="24"/>
      <c r="DJ3587" s="24"/>
      <c r="DK3587" s="24"/>
      <c r="DL3587" s="24"/>
      <c r="DM3587" s="24"/>
      <c r="DN3587" s="24"/>
      <c r="DO3587" s="24"/>
      <c r="DP3587" s="24"/>
      <c r="DQ3587" s="24"/>
      <c r="DR3587" s="24"/>
      <c r="DS3587" s="24"/>
      <c r="DT3587" s="24"/>
      <c r="DU3587" s="24"/>
    </row>
    <row r="3588" spans="1:125" s="8" customFormat="1" ht="72" x14ac:dyDescent="0.2">
      <c r="A3588" s="77">
        <v>41586</v>
      </c>
      <c r="B3588" s="78" t="s">
        <v>2718</v>
      </c>
      <c r="C3588" s="75" t="s">
        <v>492</v>
      </c>
      <c r="D3588" s="75" t="s">
        <v>3051</v>
      </c>
      <c r="E3588" s="75" t="str">
        <f>VLOOKUP(B3588&amp;C3588,Divipola!$C$2:$F$1138,4,FALSE)</f>
        <v>23419</v>
      </c>
      <c r="F3588" s="87"/>
      <c r="G3588" s="87"/>
      <c r="H3588" s="87"/>
      <c r="I3588" s="87">
        <v>250</v>
      </c>
      <c r="J3588" s="87">
        <v>50</v>
      </c>
      <c r="K3588" s="87"/>
      <c r="L3588" s="87">
        <v>50</v>
      </c>
      <c r="M3588" s="87"/>
      <c r="N3588" s="87"/>
      <c r="O3588" s="87"/>
      <c r="P3588" s="87"/>
      <c r="Q3588" s="87"/>
      <c r="R3588" s="87"/>
      <c r="S3588" s="87"/>
      <c r="T3588" s="87"/>
      <c r="U3588" s="88"/>
      <c r="V3588" s="89"/>
      <c r="W3588" s="96">
        <v>0</v>
      </c>
      <c r="X3588" s="71">
        <f>CU3588</f>
        <v>0</v>
      </c>
      <c r="Y3588" s="71">
        <f>CY3588</f>
        <v>0</v>
      </c>
      <c r="Z3588" s="71">
        <f>DA3588+DC3588+DE3588</f>
        <v>0</v>
      </c>
      <c r="AA3588" s="71">
        <f>CW3588</f>
        <v>0</v>
      </c>
      <c r="AB3588" s="71"/>
      <c r="AC3588" s="71">
        <v>0</v>
      </c>
      <c r="AD3588" s="71">
        <f>W3588+X3588+Y3588+Z3588+AA3588+AB3588+AC3588</f>
        <v>0</v>
      </c>
      <c r="AE3588" s="72">
        <v>0</v>
      </c>
      <c r="AF3588" s="5"/>
      <c r="AG3588" s="6"/>
      <c r="AH3588" s="27"/>
      <c r="AI3588" s="44"/>
      <c r="AJ3588" s="26"/>
      <c r="AK3588" s="5"/>
      <c r="AL3588" s="268" t="s">
        <v>6589</v>
      </c>
      <c r="AM3588" s="76"/>
      <c r="AN3588" s="76"/>
      <c r="AO3588" s="76"/>
      <c r="AP3588" s="76"/>
      <c r="AQ3588" s="76"/>
      <c r="AR3588" s="76"/>
      <c r="AS3588" s="76"/>
      <c r="AT3588" s="76"/>
      <c r="AU3588" s="76"/>
      <c r="AV3588" s="76"/>
      <c r="AW3588" s="76"/>
      <c r="AX3588" s="76">
        <f>+AW3588*600000</f>
        <v>0</v>
      </c>
      <c r="AY3588" s="76"/>
      <c r="AZ3588" s="76">
        <f>+AY3588*70000</f>
        <v>0</v>
      </c>
      <c r="BA3588" s="76"/>
      <c r="BB3588" s="76"/>
      <c r="BC3588" s="76"/>
      <c r="BD3588" s="76">
        <f>+BC3588*30000</f>
        <v>0</v>
      </c>
      <c r="BE3588" s="76"/>
      <c r="BF3588" s="76"/>
      <c r="BG3588" s="76"/>
      <c r="BH3588" s="76"/>
      <c r="BI3588" s="76"/>
      <c r="BJ3588" s="76"/>
      <c r="BK3588" s="76"/>
      <c r="BL3588" s="76">
        <f>+BK3588*31500</f>
        <v>0</v>
      </c>
      <c r="BM3588" s="76"/>
      <c r="BN3588" s="76"/>
      <c r="BO3588" s="76"/>
      <c r="BP3588" s="76"/>
      <c r="BQ3588" s="76"/>
      <c r="BR3588" s="76"/>
      <c r="BS3588" s="76"/>
      <c r="BT3588" s="76"/>
      <c r="BU3588" s="76"/>
      <c r="BV3588" s="76"/>
      <c r="BW3588" s="76"/>
      <c r="BX3588" s="76"/>
      <c r="BY3588" s="76"/>
      <c r="BZ3588" s="76"/>
      <c r="CA3588" s="76"/>
      <c r="CB3588" s="76"/>
      <c r="CC3588" s="76"/>
      <c r="CD3588" s="76"/>
      <c r="CE3588" s="76"/>
      <c r="CF3588" s="76">
        <f>+CE3588*28000</f>
        <v>0</v>
      </c>
      <c r="CG3588" s="76"/>
      <c r="CH3588" s="76">
        <f>+CG3588*22500</f>
        <v>0</v>
      </c>
      <c r="CI3588" s="76"/>
      <c r="CJ3588" s="76">
        <f>+CI3588*26000</f>
        <v>0</v>
      </c>
      <c r="CK3588" s="76"/>
      <c r="CL3588" s="76"/>
      <c r="CM3588" s="76"/>
      <c r="CN3588" s="76">
        <f>+CM3588*22000</f>
        <v>0</v>
      </c>
      <c r="CO3588" s="76"/>
      <c r="CP3588" s="76">
        <f>+CO3588*46000</f>
        <v>0</v>
      </c>
      <c r="CQ3588" s="76"/>
      <c r="CR3588" s="76">
        <f>+CQ3588*49000</f>
        <v>0</v>
      </c>
      <c r="CS3588" s="76"/>
      <c r="CT3588" s="76"/>
      <c r="CU3588" s="56">
        <f>AN3588+AP3588+AR3588+AT3588+AV3588+AX3588+AZ3588+BB3588+BD3588+BF3588+BH3588+BJ3588+BL3588+BN3588+BP3588+BR3588+BT3588+BV3588+BX3588+BZ3588+CB3588+CD3588+CF3588+CH3588+CJ3588+CL3588+CN3588+CP3588+CR3588+CT3588</f>
        <v>0</v>
      </c>
      <c r="CV3588" s="76"/>
      <c r="CW3588" s="76">
        <f>+CV3588*1100</f>
        <v>0</v>
      </c>
      <c r="CX3588" s="76"/>
      <c r="CY3588" s="76">
        <f>+CX3588*106250</f>
        <v>0</v>
      </c>
      <c r="CZ3588" s="76"/>
      <c r="DA3588" s="76">
        <f>+CZ3588*34500</f>
        <v>0</v>
      </c>
      <c r="DB3588" s="76"/>
      <c r="DC3588" s="76">
        <f>+DB3588*25000</f>
        <v>0</v>
      </c>
      <c r="DD3588" s="219"/>
      <c r="DE3588" s="219"/>
      <c r="DF3588" s="166"/>
      <c r="DG3588" s="116"/>
      <c r="DH3588" s="117"/>
      <c r="DI3588" s="24"/>
      <c r="DJ3588" s="24"/>
      <c r="DK3588" s="24"/>
      <c r="DL3588" s="24"/>
      <c r="DM3588" s="24"/>
      <c r="DN3588" s="24"/>
      <c r="DO3588" s="24"/>
      <c r="DP3588" s="24"/>
      <c r="DQ3588" s="24"/>
      <c r="DR3588" s="24"/>
      <c r="DS3588" s="24"/>
      <c r="DT3588" s="24"/>
      <c r="DU3588" s="24"/>
    </row>
    <row r="3589" spans="1:125" s="8" customFormat="1" ht="72" x14ac:dyDescent="0.2">
      <c r="A3589" s="353">
        <v>41586</v>
      </c>
      <c r="B3589" s="352" t="s">
        <v>2847</v>
      </c>
      <c r="C3589" s="354" t="s">
        <v>1768</v>
      </c>
      <c r="D3589" s="354" t="s">
        <v>3088</v>
      </c>
      <c r="E3589" s="75" t="str">
        <f>VLOOKUP(B3589&amp;C3589,Divipola!$C$2:$F$1138,4,FALSE)</f>
        <v>68679</v>
      </c>
      <c r="F3589" s="87"/>
      <c r="G3589" s="87"/>
      <c r="H3589" s="87"/>
      <c r="I3589" s="87"/>
      <c r="J3589" s="87"/>
      <c r="K3589" s="87"/>
      <c r="L3589" s="87"/>
      <c r="M3589" s="87">
        <v>1</v>
      </c>
      <c r="N3589" s="87"/>
      <c r="O3589" s="87"/>
      <c r="P3589" s="87"/>
      <c r="Q3589" s="87"/>
      <c r="R3589" s="87"/>
      <c r="S3589" s="87"/>
      <c r="T3589" s="87"/>
      <c r="U3589" s="88"/>
      <c r="V3589" s="89"/>
      <c r="W3589" s="96">
        <v>0</v>
      </c>
      <c r="X3589" s="71">
        <f>CU3589</f>
        <v>0</v>
      </c>
      <c r="Y3589" s="71">
        <f>CY3589</f>
        <v>0</v>
      </c>
      <c r="Z3589" s="71">
        <f>DA3589+DC3589+DE3589</f>
        <v>0</v>
      </c>
      <c r="AA3589" s="71">
        <f>CW3589</f>
        <v>0</v>
      </c>
      <c r="AB3589" s="71"/>
      <c r="AC3589" s="71">
        <v>0</v>
      </c>
      <c r="AD3589" s="71">
        <f>W3589+X3589+Y3589+Z3589+AA3589+AB3589+AC3589</f>
        <v>0</v>
      </c>
      <c r="AE3589" s="72">
        <v>0</v>
      </c>
      <c r="AF3589" s="5"/>
      <c r="AG3589" s="6"/>
      <c r="AH3589" s="27"/>
      <c r="AI3589" s="44"/>
      <c r="AJ3589" s="26"/>
      <c r="AK3589" s="5"/>
      <c r="AL3589" s="331" t="s">
        <v>6590</v>
      </c>
      <c r="AM3589" s="76"/>
      <c r="AN3589" s="76"/>
      <c r="AO3589" s="76"/>
      <c r="AP3589" s="76"/>
      <c r="AQ3589" s="76"/>
      <c r="AR3589" s="76"/>
      <c r="AS3589" s="76"/>
      <c r="AT3589" s="76"/>
      <c r="AU3589" s="76"/>
      <c r="AV3589" s="76"/>
      <c r="AW3589" s="76"/>
      <c r="AX3589" s="76">
        <f>+AW3589*600000</f>
        <v>0</v>
      </c>
      <c r="AY3589" s="76"/>
      <c r="AZ3589" s="76">
        <f>+AY3589*70000</f>
        <v>0</v>
      </c>
      <c r="BA3589" s="76"/>
      <c r="BB3589" s="76"/>
      <c r="BC3589" s="76"/>
      <c r="BD3589" s="76">
        <f>+BC3589*30000</f>
        <v>0</v>
      </c>
      <c r="BE3589" s="76"/>
      <c r="BF3589" s="76"/>
      <c r="BG3589" s="76"/>
      <c r="BH3589" s="76"/>
      <c r="BI3589" s="76"/>
      <c r="BJ3589" s="76"/>
      <c r="BK3589" s="76"/>
      <c r="BL3589" s="76">
        <f>+BK3589*31500</f>
        <v>0</v>
      </c>
      <c r="BM3589" s="76"/>
      <c r="BN3589" s="76"/>
      <c r="BO3589" s="76"/>
      <c r="BP3589" s="76"/>
      <c r="BQ3589" s="76"/>
      <c r="BR3589" s="76"/>
      <c r="BS3589" s="76"/>
      <c r="BT3589" s="76"/>
      <c r="BU3589" s="76"/>
      <c r="BV3589" s="76"/>
      <c r="BW3589" s="76"/>
      <c r="BX3589" s="76"/>
      <c r="BY3589" s="76"/>
      <c r="BZ3589" s="76"/>
      <c r="CA3589" s="76"/>
      <c r="CB3589" s="76"/>
      <c r="CC3589" s="76"/>
      <c r="CD3589" s="76"/>
      <c r="CE3589" s="76"/>
      <c r="CF3589" s="76">
        <f>+CE3589*28000</f>
        <v>0</v>
      </c>
      <c r="CG3589" s="76"/>
      <c r="CH3589" s="76">
        <f>+CG3589*22500</f>
        <v>0</v>
      </c>
      <c r="CI3589" s="76"/>
      <c r="CJ3589" s="76">
        <f>+CI3589*26000</f>
        <v>0</v>
      </c>
      <c r="CK3589" s="76"/>
      <c r="CL3589" s="76"/>
      <c r="CM3589" s="76"/>
      <c r="CN3589" s="76">
        <f>+CM3589*22000</f>
        <v>0</v>
      </c>
      <c r="CO3589" s="76"/>
      <c r="CP3589" s="76">
        <f>+CO3589*46000</f>
        <v>0</v>
      </c>
      <c r="CQ3589" s="76"/>
      <c r="CR3589" s="76">
        <f>+CQ3589*49000</f>
        <v>0</v>
      </c>
      <c r="CS3589" s="76"/>
      <c r="CT3589" s="76"/>
      <c r="CU3589" s="56">
        <f>AN3589+AP3589+AR3589+AT3589+AV3589+AX3589+AZ3589+BB3589+BD3589+BF3589+BH3589+BJ3589+BL3589+BN3589+BP3589+BR3589+BT3589+BV3589+BX3589+BZ3589+CB3589+CD3589+CF3589+CH3589+CJ3589+CL3589+CN3589+CP3589+CR3589+CT3589</f>
        <v>0</v>
      </c>
      <c r="CV3589" s="76"/>
      <c r="CW3589" s="76">
        <f>+CV3589*1100</f>
        <v>0</v>
      </c>
      <c r="CX3589" s="76"/>
      <c r="CY3589" s="76">
        <f>+CX3589*106250</f>
        <v>0</v>
      </c>
      <c r="CZ3589" s="76"/>
      <c r="DA3589" s="76">
        <f>+CZ3589*34500</f>
        <v>0</v>
      </c>
      <c r="DB3589" s="76"/>
      <c r="DC3589" s="76">
        <f>+DB3589*25000</f>
        <v>0</v>
      </c>
      <c r="DD3589" s="219"/>
      <c r="DE3589" s="219"/>
      <c r="DF3589" s="166"/>
      <c r="DG3589" s="116"/>
      <c r="DH3589" s="117"/>
      <c r="DI3589" s="24"/>
      <c r="DJ3589" s="24"/>
      <c r="DK3589" s="24"/>
      <c r="DL3589" s="24"/>
      <c r="DM3589" s="24"/>
      <c r="DN3589" s="24"/>
      <c r="DO3589" s="24"/>
      <c r="DP3589" s="24"/>
      <c r="DQ3589" s="24"/>
      <c r="DR3589" s="24"/>
      <c r="DS3589" s="24"/>
      <c r="DT3589" s="24"/>
      <c r="DU3589" s="24"/>
    </row>
    <row r="3590" spans="1:125" s="8" customFormat="1" ht="84" x14ac:dyDescent="0.2">
      <c r="A3590" s="353">
        <v>41586</v>
      </c>
      <c r="B3590" s="352" t="s">
        <v>2847</v>
      </c>
      <c r="C3590" s="354" t="s">
        <v>2071</v>
      </c>
      <c r="D3590" s="354" t="s">
        <v>3088</v>
      </c>
      <c r="E3590" s="75" t="str">
        <f>VLOOKUP(B3590&amp;C3590,Divipola!$C$2:$F$1138,4,FALSE)</f>
        <v>68498</v>
      </c>
      <c r="F3590" s="87"/>
      <c r="G3590" s="87"/>
      <c r="H3590" s="87"/>
      <c r="I3590" s="87"/>
      <c r="J3590" s="87"/>
      <c r="K3590" s="87"/>
      <c r="L3590" s="87"/>
      <c r="M3590" s="87">
        <v>1</v>
      </c>
      <c r="N3590" s="87"/>
      <c r="O3590" s="87"/>
      <c r="P3590" s="87"/>
      <c r="Q3590" s="87"/>
      <c r="R3590" s="87"/>
      <c r="S3590" s="87"/>
      <c r="T3590" s="87"/>
      <c r="U3590" s="88"/>
      <c r="V3590" s="89"/>
      <c r="W3590" s="96">
        <v>0</v>
      </c>
      <c r="X3590" s="71">
        <f>CU3590</f>
        <v>0</v>
      </c>
      <c r="Y3590" s="71">
        <f>CY3590</f>
        <v>0</v>
      </c>
      <c r="Z3590" s="71">
        <f>DA3590+DC3590+DE3590</f>
        <v>0</v>
      </c>
      <c r="AA3590" s="71">
        <f>CW3590</f>
        <v>0</v>
      </c>
      <c r="AB3590" s="71"/>
      <c r="AC3590" s="71">
        <v>0</v>
      </c>
      <c r="AD3590" s="71">
        <f>W3590+X3590+Y3590+Z3590+AA3590+AB3590+AC3590</f>
        <v>0</v>
      </c>
      <c r="AE3590" s="72">
        <v>0</v>
      </c>
      <c r="AF3590" s="5"/>
      <c r="AG3590" s="6"/>
      <c r="AH3590" s="27"/>
      <c r="AI3590" s="44"/>
      <c r="AJ3590" s="26"/>
      <c r="AK3590" s="5"/>
      <c r="AL3590" s="82" t="s">
        <v>6591</v>
      </c>
      <c r="AM3590" s="76"/>
      <c r="AN3590" s="76"/>
      <c r="AO3590" s="76"/>
      <c r="AP3590" s="76"/>
      <c r="AQ3590" s="76"/>
      <c r="AR3590" s="76"/>
      <c r="AS3590" s="76"/>
      <c r="AT3590" s="76"/>
      <c r="AU3590" s="76"/>
      <c r="AV3590" s="76"/>
      <c r="AW3590" s="76"/>
      <c r="AX3590" s="76">
        <f>+AW3590*600000</f>
        <v>0</v>
      </c>
      <c r="AY3590" s="76"/>
      <c r="AZ3590" s="76">
        <f>+AY3590*70000</f>
        <v>0</v>
      </c>
      <c r="BA3590" s="76"/>
      <c r="BB3590" s="76"/>
      <c r="BC3590" s="76"/>
      <c r="BD3590" s="76">
        <f>+BC3590*30000</f>
        <v>0</v>
      </c>
      <c r="BE3590" s="76"/>
      <c r="BF3590" s="76"/>
      <c r="BG3590" s="76"/>
      <c r="BH3590" s="76"/>
      <c r="BI3590" s="76"/>
      <c r="BJ3590" s="76"/>
      <c r="BK3590" s="76"/>
      <c r="BL3590" s="76">
        <f>+BK3590*31500</f>
        <v>0</v>
      </c>
      <c r="BM3590" s="76"/>
      <c r="BN3590" s="76"/>
      <c r="BO3590" s="76"/>
      <c r="BP3590" s="76"/>
      <c r="BQ3590" s="76"/>
      <c r="BR3590" s="76"/>
      <c r="BS3590" s="76"/>
      <c r="BT3590" s="76"/>
      <c r="BU3590" s="76"/>
      <c r="BV3590" s="76"/>
      <c r="BW3590" s="76"/>
      <c r="BX3590" s="76"/>
      <c r="BY3590" s="76"/>
      <c r="BZ3590" s="76"/>
      <c r="CA3590" s="76"/>
      <c r="CB3590" s="76"/>
      <c r="CC3590" s="76"/>
      <c r="CD3590" s="76"/>
      <c r="CE3590" s="76"/>
      <c r="CF3590" s="76">
        <f>+CE3590*28000</f>
        <v>0</v>
      </c>
      <c r="CG3590" s="76"/>
      <c r="CH3590" s="76">
        <f>+CG3590*22500</f>
        <v>0</v>
      </c>
      <c r="CI3590" s="76"/>
      <c r="CJ3590" s="76">
        <f>+CI3590*26000</f>
        <v>0</v>
      </c>
      <c r="CK3590" s="76"/>
      <c r="CL3590" s="76"/>
      <c r="CM3590" s="76"/>
      <c r="CN3590" s="76">
        <f>+CM3590*22000</f>
        <v>0</v>
      </c>
      <c r="CO3590" s="76"/>
      <c r="CP3590" s="76">
        <f>+CO3590*46000</f>
        <v>0</v>
      </c>
      <c r="CQ3590" s="76"/>
      <c r="CR3590" s="76">
        <f>+CQ3590*49000</f>
        <v>0</v>
      </c>
      <c r="CS3590" s="76"/>
      <c r="CT3590" s="76"/>
      <c r="CU3590" s="56">
        <f>AN3590+AP3590+AR3590+AT3590+AV3590+AX3590+AZ3590+BB3590+BD3590+BF3590+BH3590+BJ3590+BL3590+BN3590+BP3590+BR3590+BT3590+BV3590+BX3590+BZ3590+CB3590+CD3590+CF3590+CH3590+CJ3590+CL3590+CN3590+CP3590+CR3590+CT3590</f>
        <v>0</v>
      </c>
      <c r="CV3590" s="76"/>
      <c r="CW3590" s="76">
        <f>+CV3590*1100</f>
        <v>0</v>
      </c>
      <c r="CX3590" s="76"/>
      <c r="CY3590" s="76">
        <f>+CX3590*106250</f>
        <v>0</v>
      </c>
      <c r="CZ3590" s="76"/>
      <c r="DA3590" s="76">
        <f>+CZ3590*34500</f>
        <v>0</v>
      </c>
      <c r="DB3590" s="76"/>
      <c r="DC3590" s="76">
        <f>+DB3590*25000</f>
        <v>0</v>
      </c>
      <c r="DD3590" s="219"/>
      <c r="DE3590" s="219"/>
      <c r="DF3590" s="166"/>
      <c r="DG3590" s="116"/>
      <c r="DH3590" s="117"/>
      <c r="DI3590" s="24"/>
      <c r="DJ3590" s="24"/>
      <c r="DK3590" s="24"/>
      <c r="DL3590" s="24"/>
      <c r="DM3590" s="24"/>
      <c r="DN3590" s="24"/>
      <c r="DO3590" s="24"/>
      <c r="DP3590" s="24"/>
      <c r="DQ3590" s="24"/>
      <c r="DR3590" s="24"/>
      <c r="DS3590" s="24"/>
      <c r="DT3590" s="24"/>
      <c r="DU3590" s="24"/>
    </row>
    <row r="3591" spans="1:125" s="8" customFormat="1" ht="72" x14ac:dyDescent="0.2">
      <c r="A3591" s="353">
        <v>41586</v>
      </c>
      <c r="B3591" s="352" t="s">
        <v>2772</v>
      </c>
      <c r="C3591" s="354" t="s">
        <v>2100</v>
      </c>
      <c r="D3591" s="354" t="s">
        <v>3088</v>
      </c>
      <c r="E3591" s="75" t="str">
        <f>VLOOKUP(B3591&amp;C3591,Divipola!$C$2:$F$1138,4,FALSE)</f>
        <v>25402</v>
      </c>
      <c r="F3591" s="87"/>
      <c r="G3591" s="87"/>
      <c r="H3591" s="87"/>
      <c r="I3591" s="87">
        <v>15</v>
      </c>
      <c r="J3591" s="87">
        <v>3</v>
      </c>
      <c r="K3591" s="87"/>
      <c r="L3591" s="87">
        <v>3</v>
      </c>
      <c r="M3591" s="87"/>
      <c r="N3591" s="87"/>
      <c r="O3591" s="87"/>
      <c r="P3591" s="87"/>
      <c r="Q3591" s="87"/>
      <c r="R3591" s="87"/>
      <c r="S3591" s="87"/>
      <c r="T3591" s="87"/>
      <c r="U3591" s="88"/>
      <c r="V3591" s="89"/>
      <c r="W3591" s="96">
        <v>0</v>
      </c>
      <c r="X3591" s="71">
        <f>CU3591</f>
        <v>0</v>
      </c>
      <c r="Y3591" s="71">
        <f>CY3591</f>
        <v>0</v>
      </c>
      <c r="Z3591" s="71">
        <f>DA3591+DC3591+DE3591</f>
        <v>0</v>
      </c>
      <c r="AA3591" s="71">
        <f>CW3591</f>
        <v>0</v>
      </c>
      <c r="AB3591" s="71"/>
      <c r="AC3591" s="71">
        <v>0</v>
      </c>
      <c r="AD3591" s="71">
        <f>W3591+X3591+Y3591+Z3591+AA3591+AB3591+AC3591</f>
        <v>0</v>
      </c>
      <c r="AE3591" s="72">
        <v>0</v>
      </c>
      <c r="AF3591" s="5"/>
      <c r="AG3591" s="6"/>
      <c r="AH3591" s="27"/>
      <c r="AI3591" s="44"/>
      <c r="AJ3591" s="26"/>
      <c r="AK3591" s="5"/>
      <c r="AL3591" s="82" t="s">
        <v>6592</v>
      </c>
      <c r="AM3591" s="76"/>
      <c r="AN3591" s="76"/>
      <c r="AO3591" s="76"/>
      <c r="AP3591" s="76"/>
      <c r="AQ3591" s="76"/>
      <c r="AR3591" s="76"/>
      <c r="AS3591" s="76"/>
      <c r="AT3591" s="76"/>
      <c r="AU3591" s="76"/>
      <c r="AV3591" s="76"/>
      <c r="AW3591" s="76"/>
      <c r="AX3591" s="76">
        <f>+AW3591*600000</f>
        <v>0</v>
      </c>
      <c r="AY3591" s="76"/>
      <c r="AZ3591" s="76">
        <f>+AY3591*70000</f>
        <v>0</v>
      </c>
      <c r="BA3591" s="76"/>
      <c r="BB3591" s="76"/>
      <c r="BC3591" s="76"/>
      <c r="BD3591" s="76">
        <f>+BC3591*30000</f>
        <v>0</v>
      </c>
      <c r="BE3591" s="76"/>
      <c r="BF3591" s="76"/>
      <c r="BG3591" s="76"/>
      <c r="BH3591" s="76"/>
      <c r="BI3591" s="76"/>
      <c r="BJ3591" s="76"/>
      <c r="BK3591" s="76"/>
      <c r="BL3591" s="76">
        <f>+BK3591*31500</f>
        <v>0</v>
      </c>
      <c r="BM3591" s="76"/>
      <c r="BN3591" s="76"/>
      <c r="BO3591" s="76"/>
      <c r="BP3591" s="76"/>
      <c r="BQ3591" s="76"/>
      <c r="BR3591" s="76"/>
      <c r="BS3591" s="76"/>
      <c r="BT3591" s="76"/>
      <c r="BU3591" s="76"/>
      <c r="BV3591" s="76"/>
      <c r="BW3591" s="76"/>
      <c r="BX3591" s="76"/>
      <c r="BY3591" s="76"/>
      <c r="BZ3591" s="76"/>
      <c r="CA3591" s="76"/>
      <c r="CB3591" s="76"/>
      <c r="CC3591" s="76"/>
      <c r="CD3591" s="76"/>
      <c r="CE3591" s="76"/>
      <c r="CF3591" s="76">
        <f>+CE3591*28000</f>
        <v>0</v>
      </c>
      <c r="CG3591" s="76"/>
      <c r="CH3591" s="76">
        <f>+CG3591*22500</f>
        <v>0</v>
      </c>
      <c r="CI3591" s="76"/>
      <c r="CJ3591" s="76">
        <f>+CI3591*26000</f>
        <v>0</v>
      </c>
      <c r="CK3591" s="76"/>
      <c r="CL3591" s="76"/>
      <c r="CM3591" s="76"/>
      <c r="CN3591" s="76">
        <f>+CM3591*22000</f>
        <v>0</v>
      </c>
      <c r="CO3591" s="76"/>
      <c r="CP3591" s="76">
        <f>+CO3591*46000</f>
        <v>0</v>
      </c>
      <c r="CQ3591" s="76"/>
      <c r="CR3591" s="76">
        <f>+CQ3591*49000</f>
        <v>0</v>
      </c>
      <c r="CS3591" s="76"/>
      <c r="CT3591" s="76"/>
      <c r="CU3591" s="56">
        <f>AN3591+AP3591+AR3591+AT3591+AV3591+AX3591+AZ3591+BB3591+BD3591+BF3591+BH3591+BJ3591+BL3591+BN3591+BP3591+BR3591+BT3591+BV3591+BX3591+BZ3591+CB3591+CD3591+CF3591+CH3591+CJ3591+CL3591+CN3591+CP3591+CR3591+CT3591</f>
        <v>0</v>
      </c>
      <c r="CV3591" s="76"/>
      <c r="CW3591" s="76">
        <f>+CV3591*1100</f>
        <v>0</v>
      </c>
      <c r="CX3591" s="76"/>
      <c r="CY3591" s="76">
        <f>+CX3591*106250</f>
        <v>0</v>
      </c>
      <c r="CZ3591" s="76"/>
      <c r="DA3591" s="76">
        <f>+CZ3591*34500</f>
        <v>0</v>
      </c>
      <c r="DB3591" s="76"/>
      <c r="DC3591" s="76">
        <f>+DB3591*25000</f>
        <v>0</v>
      </c>
      <c r="DD3591" s="219"/>
      <c r="DE3591" s="219"/>
      <c r="DF3591" s="166"/>
      <c r="DG3591" s="116"/>
      <c r="DH3591" s="117"/>
      <c r="DI3591" s="24"/>
      <c r="DJ3591" s="24"/>
      <c r="DK3591" s="24"/>
      <c r="DL3591" s="24"/>
      <c r="DM3591" s="24"/>
      <c r="DN3591" s="24"/>
      <c r="DO3591" s="24"/>
      <c r="DP3591" s="24"/>
      <c r="DQ3591" s="24"/>
      <c r="DR3591" s="24"/>
      <c r="DS3591" s="24"/>
      <c r="DT3591" s="24"/>
      <c r="DU3591" s="24"/>
    </row>
    <row r="3592" spans="1:125" s="8" customFormat="1" ht="48" x14ac:dyDescent="0.2">
      <c r="A3592" s="77">
        <v>41586</v>
      </c>
      <c r="B3592" s="78" t="s">
        <v>2778</v>
      </c>
      <c r="C3592" s="75" t="s">
        <v>509</v>
      </c>
      <c r="D3592" s="75" t="s">
        <v>3051</v>
      </c>
      <c r="E3592" s="75" t="str">
        <f>VLOOKUP(B3592&amp;C3592,Divipola!$C$2:$F$1138,4,FALSE)</f>
        <v>85125</v>
      </c>
      <c r="F3592" s="87"/>
      <c r="G3592" s="87"/>
      <c r="H3592" s="87"/>
      <c r="I3592" s="87">
        <v>95</v>
      </c>
      <c r="J3592" s="87">
        <v>19</v>
      </c>
      <c r="K3592" s="87"/>
      <c r="L3592" s="87">
        <v>19</v>
      </c>
      <c r="M3592" s="87"/>
      <c r="N3592" s="87"/>
      <c r="O3592" s="87"/>
      <c r="P3592" s="87"/>
      <c r="Q3592" s="87"/>
      <c r="R3592" s="87"/>
      <c r="S3592" s="87"/>
      <c r="T3592" s="87"/>
      <c r="U3592" s="88"/>
      <c r="V3592" s="89"/>
      <c r="W3592" s="96">
        <v>0</v>
      </c>
      <c r="X3592" s="71">
        <f>CU3592</f>
        <v>0</v>
      </c>
      <c r="Y3592" s="71">
        <f>CY3592</f>
        <v>0</v>
      </c>
      <c r="Z3592" s="71">
        <f>DA3592+DC3592+DE3592</f>
        <v>0</v>
      </c>
      <c r="AA3592" s="71">
        <f>CW3592</f>
        <v>0</v>
      </c>
      <c r="AB3592" s="71"/>
      <c r="AC3592" s="71">
        <v>0</v>
      </c>
      <c r="AD3592" s="71">
        <f>W3592+X3592+Y3592+Z3592+AA3592+AB3592+AC3592</f>
        <v>0</v>
      </c>
      <c r="AE3592" s="72">
        <v>0</v>
      </c>
      <c r="AF3592" s="5"/>
      <c r="AG3592" s="6"/>
      <c r="AH3592" s="27"/>
      <c r="AI3592" s="44"/>
      <c r="AJ3592" s="26"/>
      <c r="AK3592" s="5"/>
      <c r="AL3592" s="82" t="s">
        <v>6593</v>
      </c>
      <c r="AM3592" s="76"/>
      <c r="AN3592" s="76"/>
      <c r="AO3592" s="76"/>
      <c r="AP3592" s="76"/>
      <c r="AQ3592" s="76"/>
      <c r="AR3592" s="76"/>
      <c r="AS3592" s="76"/>
      <c r="AT3592" s="76"/>
      <c r="AU3592" s="76"/>
      <c r="AV3592" s="76"/>
      <c r="AW3592" s="76"/>
      <c r="AX3592" s="76">
        <f>+AW3592*600000</f>
        <v>0</v>
      </c>
      <c r="AY3592" s="76"/>
      <c r="AZ3592" s="76">
        <f>+AY3592*70000</f>
        <v>0</v>
      </c>
      <c r="BA3592" s="76"/>
      <c r="BB3592" s="76"/>
      <c r="BC3592" s="76"/>
      <c r="BD3592" s="76">
        <f>+BC3592*30000</f>
        <v>0</v>
      </c>
      <c r="BE3592" s="76"/>
      <c r="BF3592" s="76"/>
      <c r="BG3592" s="76"/>
      <c r="BH3592" s="76"/>
      <c r="BI3592" s="76"/>
      <c r="BJ3592" s="76"/>
      <c r="BK3592" s="76"/>
      <c r="BL3592" s="76">
        <f>+BK3592*31500</f>
        <v>0</v>
      </c>
      <c r="BM3592" s="76"/>
      <c r="BN3592" s="76"/>
      <c r="BO3592" s="76"/>
      <c r="BP3592" s="76"/>
      <c r="BQ3592" s="76"/>
      <c r="BR3592" s="76"/>
      <c r="BS3592" s="76"/>
      <c r="BT3592" s="76"/>
      <c r="BU3592" s="76"/>
      <c r="BV3592" s="76"/>
      <c r="BW3592" s="76"/>
      <c r="BX3592" s="76"/>
      <c r="BY3592" s="76"/>
      <c r="BZ3592" s="76"/>
      <c r="CA3592" s="76"/>
      <c r="CB3592" s="76"/>
      <c r="CC3592" s="76"/>
      <c r="CD3592" s="76"/>
      <c r="CE3592" s="76"/>
      <c r="CF3592" s="76">
        <f>+CE3592*28000</f>
        <v>0</v>
      </c>
      <c r="CG3592" s="76"/>
      <c r="CH3592" s="76">
        <f>+CG3592*22500</f>
        <v>0</v>
      </c>
      <c r="CI3592" s="76"/>
      <c r="CJ3592" s="76">
        <f>+CI3592*26000</f>
        <v>0</v>
      </c>
      <c r="CK3592" s="76"/>
      <c r="CL3592" s="76"/>
      <c r="CM3592" s="76"/>
      <c r="CN3592" s="76">
        <f>+CM3592*22000</f>
        <v>0</v>
      </c>
      <c r="CO3592" s="76"/>
      <c r="CP3592" s="76">
        <f>+CO3592*46000</f>
        <v>0</v>
      </c>
      <c r="CQ3592" s="76"/>
      <c r="CR3592" s="76">
        <f>+CQ3592*49000</f>
        <v>0</v>
      </c>
      <c r="CS3592" s="76"/>
      <c r="CT3592" s="76"/>
      <c r="CU3592" s="56">
        <f>AN3592+AP3592+AR3592+AT3592+AV3592+AX3592+AZ3592+BB3592+BD3592+BF3592+BH3592+BJ3592+BL3592+BN3592+BP3592+BR3592+BT3592+BV3592+BX3592+BZ3592+CB3592+CD3592+CF3592+CH3592+CJ3592+CL3592+CN3592+CP3592+CR3592+CT3592</f>
        <v>0</v>
      </c>
      <c r="CV3592" s="76"/>
      <c r="CW3592" s="76">
        <f>+CV3592*1100</f>
        <v>0</v>
      </c>
      <c r="CX3592" s="76"/>
      <c r="CY3592" s="76">
        <f>+CX3592*106250</f>
        <v>0</v>
      </c>
      <c r="CZ3592" s="76"/>
      <c r="DA3592" s="76">
        <f>+CZ3592*34500</f>
        <v>0</v>
      </c>
      <c r="DB3592" s="76"/>
      <c r="DC3592" s="76">
        <f>+DB3592*25000</f>
        <v>0</v>
      </c>
      <c r="DD3592" s="219"/>
      <c r="DE3592" s="219"/>
      <c r="DF3592" s="166"/>
      <c r="DG3592" s="116"/>
      <c r="DH3592" s="117"/>
      <c r="DI3592" s="24"/>
      <c r="DJ3592" s="24"/>
      <c r="DK3592" s="24"/>
      <c r="DL3592" s="24"/>
      <c r="DM3592" s="24"/>
      <c r="DN3592" s="24"/>
      <c r="DO3592" s="24"/>
      <c r="DP3592" s="24"/>
      <c r="DQ3592" s="24"/>
      <c r="DR3592" s="24"/>
      <c r="DS3592" s="24"/>
      <c r="DT3592" s="24"/>
      <c r="DU3592" s="24"/>
    </row>
    <row r="3593" spans="1:125" s="8" customFormat="1" ht="24" x14ac:dyDescent="0.2">
      <c r="A3593" s="353">
        <v>41586</v>
      </c>
      <c r="B3593" s="352" t="s">
        <v>2700</v>
      </c>
      <c r="C3593" s="354" t="s">
        <v>1640</v>
      </c>
      <c r="D3593" s="354" t="s">
        <v>3088</v>
      </c>
      <c r="E3593" s="75" t="str">
        <f>VLOOKUP(B3593&amp;C3593,Divipola!$C$2:$F$1138,4,FALSE)</f>
        <v>15244</v>
      </c>
      <c r="F3593" s="87"/>
      <c r="G3593" s="87"/>
      <c r="H3593" s="87"/>
      <c r="I3593" s="87"/>
      <c r="J3593" s="87"/>
      <c r="K3593" s="87"/>
      <c r="L3593" s="87"/>
      <c r="M3593" s="87">
        <v>1</v>
      </c>
      <c r="N3593" s="87"/>
      <c r="O3593" s="87"/>
      <c r="P3593" s="87"/>
      <c r="Q3593" s="87"/>
      <c r="R3593" s="87"/>
      <c r="S3593" s="87"/>
      <c r="T3593" s="87"/>
      <c r="U3593" s="88"/>
      <c r="V3593" s="89"/>
      <c r="W3593" s="96">
        <v>0</v>
      </c>
      <c r="X3593" s="71">
        <f>CU3593</f>
        <v>0</v>
      </c>
      <c r="Y3593" s="71">
        <f>CY3593</f>
        <v>0</v>
      </c>
      <c r="Z3593" s="71">
        <f>DA3593+DC3593+DE3593</f>
        <v>0</v>
      </c>
      <c r="AA3593" s="71">
        <f>CW3593</f>
        <v>0</v>
      </c>
      <c r="AB3593" s="71"/>
      <c r="AC3593" s="71">
        <v>0</v>
      </c>
      <c r="AD3593" s="71">
        <f>W3593+X3593+Y3593+Z3593+AA3593+AB3593+AC3593</f>
        <v>0</v>
      </c>
      <c r="AE3593" s="72">
        <v>0</v>
      </c>
      <c r="AF3593" s="5"/>
      <c r="AG3593" s="6"/>
      <c r="AH3593" s="27"/>
      <c r="AI3593" s="44"/>
      <c r="AJ3593" s="26"/>
      <c r="AK3593" s="5"/>
      <c r="AL3593" s="82" t="s">
        <v>6595</v>
      </c>
      <c r="AM3593" s="76"/>
      <c r="AN3593" s="76"/>
      <c r="AO3593" s="76"/>
      <c r="AP3593" s="76"/>
      <c r="AQ3593" s="76"/>
      <c r="AR3593" s="76"/>
      <c r="AS3593" s="76"/>
      <c r="AT3593" s="76"/>
      <c r="AU3593" s="76"/>
      <c r="AV3593" s="76"/>
      <c r="AW3593" s="76"/>
      <c r="AX3593" s="76">
        <f>+AW3593*600000</f>
        <v>0</v>
      </c>
      <c r="AY3593" s="76"/>
      <c r="AZ3593" s="76">
        <f>+AY3593*70000</f>
        <v>0</v>
      </c>
      <c r="BA3593" s="76"/>
      <c r="BB3593" s="76"/>
      <c r="BC3593" s="76"/>
      <c r="BD3593" s="76">
        <f>+BC3593*30000</f>
        <v>0</v>
      </c>
      <c r="BE3593" s="76"/>
      <c r="BF3593" s="76"/>
      <c r="BG3593" s="76"/>
      <c r="BH3593" s="76"/>
      <c r="BI3593" s="76"/>
      <c r="BJ3593" s="76"/>
      <c r="BK3593" s="76"/>
      <c r="BL3593" s="76">
        <f>+BK3593*31500</f>
        <v>0</v>
      </c>
      <c r="BM3593" s="76"/>
      <c r="BN3593" s="76"/>
      <c r="BO3593" s="76"/>
      <c r="BP3593" s="76"/>
      <c r="BQ3593" s="76"/>
      <c r="BR3593" s="76"/>
      <c r="BS3593" s="76"/>
      <c r="BT3593" s="76"/>
      <c r="BU3593" s="76"/>
      <c r="BV3593" s="76"/>
      <c r="BW3593" s="76"/>
      <c r="BX3593" s="76"/>
      <c r="BY3593" s="76"/>
      <c r="BZ3593" s="76"/>
      <c r="CA3593" s="76"/>
      <c r="CB3593" s="76"/>
      <c r="CC3593" s="76"/>
      <c r="CD3593" s="76"/>
      <c r="CE3593" s="76"/>
      <c r="CF3593" s="76">
        <f>+CE3593*28000</f>
        <v>0</v>
      </c>
      <c r="CG3593" s="76"/>
      <c r="CH3593" s="76">
        <f>+CG3593*22500</f>
        <v>0</v>
      </c>
      <c r="CI3593" s="76"/>
      <c r="CJ3593" s="76">
        <f>+CI3593*26000</f>
        <v>0</v>
      </c>
      <c r="CK3593" s="76"/>
      <c r="CL3593" s="76"/>
      <c r="CM3593" s="76"/>
      <c r="CN3593" s="76">
        <f>+CM3593*22000</f>
        <v>0</v>
      </c>
      <c r="CO3593" s="76"/>
      <c r="CP3593" s="76">
        <f>+CO3593*46000</f>
        <v>0</v>
      </c>
      <c r="CQ3593" s="76"/>
      <c r="CR3593" s="76">
        <f>+CQ3593*49000</f>
        <v>0</v>
      </c>
      <c r="CS3593" s="76"/>
      <c r="CT3593" s="76"/>
      <c r="CU3593" s="56">
        <f>AN3593+AP3593+AR3593+AT3593+AV3593+AX3593+AZ3593+BB3593+BD3593+BF3593+BH3593+BJ3593+BL3593+BN3593+BP3593+BR3593+BT3593+BV3593+BX3593+BZ3593+CB3593+CD3593+CF3593+CH3593+CJ3593+CL3593+CN3593+CP3593+CR3593+CT3593</f>
        <v>0</v>
      </c>
      <c r="CV3593" s="76"/>
      <c r="CW3593" s="76">
        <f>+CV3593*1100</f>
        <v>0</v>
      </c>
      <c r="CX3593" s="76"/>
      <c r="CY3593" s="76">
        <f>+CX3593*106250</f>
        <v>0</v>
      </c>
      <c r="CZ3593" s="76"/>
      <c r="DA3593" s="76">
        <f>+CZ3593*34500</f>
        <v>0</v>
      </c>
      <c r="DB3593" s="76"/>
      <c r="DC3593" s="76">
        <f>+DB3593*25000</f>
        <v>0</v>
      </c>
      <c r="DD3593" s="219"/>
      <c r="DE3593" s="219"/>
      <c r="DF3593" s="166"/>
      <c r="DG3593" s="116"/>
      <c r="DH3593" s="117"/>
      <c r="DI3593" s="24"/>
      <c r="DJ3593" s="24"/>
      <c r="DK3593" s="24"/>
      <c r="DL3593" s="24"/>
      <c r="DM3593" s="24"/>
      <c r="DN3593" s="24"/>
      <c r="DO3593" s="24"/>
      <c r="DP3593" s="24"/>
      <c r="DQ3593" s="24"/>
      <c r="DR3593" s="24"/>
      <c r="DS3593" s="24"/>
      <c r="DT3593" s="24"/>
      <c r="DU3593" s="24"/>
    </row>
    <row r="3594" spans="1:125" s="8" customFormat="1" ht="144" x14ac:dyDescent="0.2">
      <c r="A3594" s="353">
        <v>41586</v>
      </c>
      <c r="B3594" s="352" t="s">
        <v>2772</v>
      </c>
      <c r="C3594" s="354" t="s">
        <v>2100</v>
      </c>
      <c r="D3594" s="354" t="s">
        <v>2882</v>
      </c>
      <c r="E3594" s="75" t="str">
        <f>VLOOKUP(B3594&amp;C3594,Divipola!$C$2:$F$1138,4,FALSE)</f>
        <v>25402</v>
      </c>
      <c r="F3594" s="87"/>
      <c r="G3594" s="87"/>
      <c r="H3594" s="87"/>
      <c r="I3594" s="87">
        <v>15</v>
      </c>
      <c r="J3594" s="87">
        <v>3</v>
      </c>
      <c r="K3594" s="87">
        <v>1</v>
      </c>
      <c r="L3594" s="87">
        <v>2</v>
      </c>
      <c r="M3594" s="87">
        <v>1</v>
      </c>
      <c r="N3594" s="87"/>
      <c r="O3594" s="87"/>
      <c r="P3594" s="87"/>
      <c r="Q3594" s="87"/>
      <c r="R3594" s="87"/>
      <c r="S3594" s="87"/>
      <c r="T3594" s="87"/>
      <c r="U3594" s="88"/>
      <c r="V3594" s="89"/>
      <c r="W3594" s="96">
        <v>0</v>
      </c>
      <c r="X3594" s="71">
        <f>CU3594</f>
        <v>0</v>
      </c>
      <c r="Y3594" s="71">
        <f>CY3594</f>
        <v>0</v>
      </c>
      <c r="Z3594" s="71">
        <f>DA3594+DC3594+DE3594</f>
        <v>0</v>
      </c>
      <c r="AA3594" s="71">
        <f>CW3594</f>
        <v>0</v>
      </c>
      <c r="AB3594" s="71"/>
      <c r="AC3594" s="71">
        <v>0</v>
      </c>
      <c r="AD3594" s="71">
        <f>W3594+X3594+Y3594+Z3594+AA3594+AB3594+AC3594</f>
        <v>0</v>
      </c>
      <c r="AE3594" s="72">
        <v>0</v>
      </c>
      <c r="AF3594" s="5"/>
      <c r="AG3594" s="6"/>
      <c r="AH3594" s="27"/>
      <c r="AI3594" s="44"/>
      <c r="AJ3594" s="26"/>
      <c r="AK3594" s="5"/>
      <c r="AL3594" s="82" t="s">
        <v>6596</v>
      </c>
      <c r="AM3594" s="76"/>
      <c r="AN3594" s="76"/>
      <c r="AO3594" s="76"/>
      <c r="AP3594" s="76"/>
      <c r="AQ3594" s="76"/>
      <c r="AR3594" s="76"/>
      <c r="AS3594" s="76"/>
      <c r="AT3594" s="76"/>
      <c r="AU3594" s="76"/>
      <c r="AV3594" s="76"/>
      <c r="AW3594" s="76"/>
      <c r="AX3594" s="76">
        <f>+AW3594*600000</f>
        <v>0</v>
      </c>
      <c r="AY3594" s="76"/>
      <c r="AZ3594" s="76">
        <f>+AY3594*70000</f>
        <v>0</v>
      </c>
      <c r="BA3594" s="76"/>
      <c r="BB3594" s="76"/>
      <c r="BC3594" s="76"/>
      <c r="BD3594" s="76">
        <f>+BC3594*30000</f>
        <v>0</v>
      </c>
      <c r="BE3594" s="76"/>
      <c r="BF3594" s="76"/>
      <c r="BG3594" s="76"/>
      <c r="BH3594" s="76"/>
      <c r="BI3594" s="76"/>
      <c r="BJ3594" s="76"/>
      <c r="BK3594" s="76"/>
      <c r="BL3594" s="76">
        <f>+BK3594*31500</f>
        <v>0</v>
      </c>
      <c r="BM3594" s="76"/>
      <c r="BN3594" s="76"/>
      <c r="BO3594" s="76"/>
      <c r="BP3594" s="76"/>
      <c r="BQ3594" s="76"/>
      <c r="BR3594" s="76"/>
      <c r="BS3594" s="76"/>
      <c r="BT3594" s="76"/>
      <c r="BU3594" s="76"/>
      <c r="BV3594" s="76"/>
      <c r="BW3594" s="76"/>
      <c r="BX3594" s="76"/>
      <c r="BY3594" s="76"/>
      <c r="BZ3594" s="76"/>
      <c r="CA3594" s="76"/>
      <c r="CB3594" s="76"/>
      <c r="CC3594" s="76"/>
      <c r="CD3594" s="76"/>
      <c r="CE3594" s="76"/>
      <c r="CF3594" s="76">
        <f>+CE3594*28000</f>
        <v>0</v>
      </c>
      <c r="CG3594" s="76"/>
      <c r="CH3594" s="76">
        <f>+CG3594*22500</f>
        <v>0</v>
      </c>
      <c r="CI3594" s="76"/>
      <c r="CJ3594" s="76">
        <f>+CI3594*26000</f>
        <v>0</v>
      </c>
      <c r="CK3594" s="76"/>
      <c r="CL3594" s="76"/>
      <c r="CM3594" s="76"/>
      <c r="CN3594" s="76">
        <f>+CM3594*22000</f>
        <v>0</v>
      </c>
      <c r="CO3594" s="76"/>
      <c r="CP3594" s="76">
        <f>+CO3594*46000</f>
        <v>0</v>
      </c>
      <c r="CQ3594" s="76"/>
      <c r="CR3594" s="76">
        <f>+CQ3594*49000</f>
        <v>0</v>
      </c>
      <c r="CS3594" s="76"/>
      <c r="CT3594" s="76"/>
      <c r="CU3594" s="56">
        <f>AN3594+AP3594+AR3594+AT3594+AV3594+AX3594+AZ3594+BB3594+BD3594+BF3594+BH3594+BJ3594+BL3594+BN3594+BP3594+BR3594+BT3594+BV3594+BX3594+BZ3594+CB3594+CD3594+CF3594+CH3594+CJ3594+CL3594+CN3594+CP3594+CR3594+CT3594</f>
        <v>0</v>
      </c>
      <c r="CV3594" s="76"/>
      <c r="CW3594" s="76">
        <f>+CV3594*1100</f>
        <v>0</v>
      </c>
      <c r="CX3594" s="76"/>
      <c r="CY3594" s="76">
        <f>+CX3594*106250</f>
        <v>0</v>
      </c>
      <c r="CZ3594" s="76"/>
      <c r="DA3594" s="76">
        <f>+CZ3594*34500</f>
        <v>0</v>
      </c>
      <c r="DB3594" s="76"/>
      <c r="DC3594" s="76">
        <f>+DB3594*25000</f>
        <v>0</v>
      </c>
      <c r="DD3594" s="219"/>
      <c r="DE3594" s="219"/>
      <c r="DF3594" s="166"/>
      <c r="DG3594" s="116"/>
      <c r="DH3594" s="117"/>
      <c r="DI3594" s="24"/>
      <c r="DJ3594" s="24"/>
      <c r="DK3594" s="24"/>
      <c r="DL3594" s="24"/>
      <c r="DM3594" s="24"/>
      <c r="DN3594" s="24"/>
      <c r="DO3594" s="24"/>
      <c r="DP3594" s="24"/>
      <c r="DQ3594" s="24"/>
      <c r="DR3594" s="24"/>
      <c r="DS3594" s="24"/>
      <c r="DT3594" s="24"/>
      <c r="DU3594" s="24"/>
    </row>
    <row r="3595" spans="1:125" s="8" customFormat="1" ht="36" x14ac:dyDescent="0.2">
      <c r="A3595" s="353">
        <v>41586</v>
      </c>
      <c r="B3595" s="84" t="s">
        <v>2847</v>
      </c>
      <c r="C3595" s="84" t="s">
        <v>355</v>
      </c>
      <c r="D3595" s="75" t="s">
        <v>2882</v>
      </c>
      <c r="E3595" s="75" t="str">
        <f>VLOOKUP(B3595&amp;C3595,Divipola!$C$2:$F$1138,4,FALSE)</f>
        <v>68296</v>
      </c>
      <c r="F3595" s="89"/>
      <c r="G3595" s="89"/>
      <c r="H3595" s="89"/>
      <c r="I3595" s="89">
        <v>10</v>
      </c>
      <c r="J3595" s="89">
        <v>2</v>
      </c>
      <c r="K3595" s="89">
        <v>1</v>
      </c>
      <c r="L3595" s="89">
        <v>1</v>
      </c>
      <c r="M3595" s="89"/>
      <c r="N3595" s="89"/>
      <c r="O3595" s="89"/>
      <c r="P3595" s="89"/>
      <c r="Q3595" s="89"/>
      <c r="R3595" s="89"/>
      <c r="S3595" s="89"/>
      <c r="T3595" s="89"/>
      <c r="U3595" s="89"/>
      <c r="V3595" s="89"/>
      <c r="W3595" s="96">
        <v>0</v>
      </c>
      <c r="X3595" s="71">
        <f>CU3595</f>
        <v>0</v>
      </c>
      <c r="Y3595" s="71">
        <f>CY3595</f>
        <v>0</v>
      </c>
      <c r="Z3595" s="71">
        <f>DA3595+DC3595+DE3595</f>
        <v>0</v>
      </c>
      <c r="AA3595" s="71">
        <f>CW3595</f>
        <v>0</v>
      </c>
      <c r="AB3595" s="71"/>
      <c r="AC3595" s="71">
        <v>0</v>
      </c>
      <c r="AD3595" s="71">
        <f>W3595+X3595+Y3595+Z3595+AA3595+AB3595+AC3595</f>
        <v>0</v>
      </c>
      <c r="AE3595" s="72">
        <v>0</v>
      </c>
      <c r="AF3595" s="5"/>
      <c r="AG3595" s="6"/>
      <c r="AH3595" s="27"/>
      <c r="AI3595" s="44"/>
      <c r="AJ3595" s="26"/>
      <c r="AK3595" s="5"/>
      <c r="AL3595" s="82" t="s">
        <v>6597</v>
      </c>
      <c r="AM3595" s="76"/>
      <c r="AN3595" s="76"/>
      <c r="AO3595" s="76"/>
      <c r="AP3595" s="76"/>
      <c r="AQ3595" s="76"/>
      <c r="AR3595" s="76"/>
      <c r="AS3595" s="76"/>
      <c r="AT3595" s="76"/>
      <c r="AU3595" s="76"/>
      <c r="AV3595" s="76"/>
      <c r="AW3595" s="76"/>
      <c r="AX3595" s="76">
        <f>+AW3595*600000</f>
        <v>0</v>
      </c>
      <c r="AY3595" s="76"/>
      <c r="AZ3595" s="76">
        <f>+AY3595*70000</f>
        <v>0</v>
      </c>
      <c r="BA3595" s="76"/>
      <c r="BB3595" s="76"/>
      <c r="BC3595" s="76"/>
      <c r="BD3595" s="76">
        <f>+BC3595*30000</f>
        <v>0</v>
      </c>
      <c r="BE3595" s="76"/>
      <c r="BF3595" s="76"/>
      <c r="BG3595" s="76"/>
      <c r="BH3595" s="76"/>
      <c r="BI3595" s="76"/>
      <c r="BJ3595" s="76"/>
      <c r="BK3595" s="76"/>
      <c r="BL3595" s="76">
        <f>+BK3595*31500</f>
        <v>0</v>
      </c>
      <c r="BM3595" s="76"/>
      <c r="BN3595" s="76"/>
      <c r="BO3595" s="76"/>
      <c r="BP3595" s="76"/>
      <c r="BQ3595" s="76"/>
      <c r="BR3595" s="76"/>
      <c r="BS3595" s="76"/>
      <c r="BT3595" s="76"/>
      <c r="BU3595" s="76"/>
      <c r="BV3595" s="76"/>
      <c r="BW3595" s="76"/>
      <c r="BX3595" s="76"/>
      <c r="BY3595" s="76"/>
      <c r="BZ3595" s="76"/>
      <c r="CA3595" s="76"/>
      <c r="CB3595" s="76"/>
      <c r="CC3595" s="76"/>
      <c r="CD3595" s="76"/>
      <c r="CE3595" s="76"/>
      <c r="CF3595" s="76">
        <f>+CE3595*28000</f>
        <v>0</v>
      </c>
      <c r="CG3595" s="76"/>
      <c r="CH3595" s="76">
        <f>+CG3595*22500</f>
        <v>0</v>
      </c>
      <c r="CI3595" s="76"/>
      <c r="CJ3595" s="76">
        <f>+CI3595*26000</f>
        <v>0</v>
      </c>
      <c r="CK3595" s="76"/>
      <c r="CL3595" s="76"/>
      <c r="CM3595" s="76"/>
      <c r="CN3595" s="76">
        <f>+CM3595*22000</f>
        <v>0</v>
      </c>
      <c r="CO3595" s="76"/>
      <c r="CP3595" s="76">
        <f>+CO3595*46000</f>
        <v>0</v>
      </c>
      <c r="CQ3595" s="76"/>
      <c r="CR3595" s="76">
        <f>+CQ3595*49000</f>
        <v>0</v>
      </c>
      <c r="CS3595" s="76"/>
      <c r="CT3595" s="76"/>
      <c r="CU3595" s="56">
        <f>AN3595+AP3595+AR3595+AT3595+AV3595+AX3595+AZ3595+BB3595+BD3595+BF3595+BH3595+BJ3595+BL3595+BN3595+BP3595+BR3595+BT3595+BV3595+BX3595+BZ3595+CB3595+CD3595+CF3595+CH3595+CJ3595+CL3595+CN3595+CP3595+CR3595+CT3595</f>
        <v>0</v>
      </c>
      <c r="CV3595" s="76"/>
      <c r="CW3595" s="76">
        <f>+CV3595*1100</f>
        <v>0</v>
      </c>
      <c r="CX3595" s="76"/>
      <c r="CY3595" s="76">
        <f>+CX3595*106250</f>
        <v>0</v>
      </c>
      <c r="CZ3595" s="76"/>
      <c r="DA3595" s="76">
        <f>+CZ3595*34500</f>
        <v>0</v>
      </c>
      <c r="DB3595" s="76"/>
      <c r="DC3595" s="76">
        <f>+DB3595*25000</f>
        <v>0</v>
      </c>
      <c r="DD3595" s="219"/>
      <c r="DE3595" s="219"/>
      <c r="DF3595" s="166"/>
      <c r="DG3595" s="116"/>
      <c r="DH3595" s="117"/>
      <c r="DI3595" s="24"/>
      <c r="DJ3595" s="24"/>
      <c r="DK3595" s="24"/>
      <c r="DL3595" s="24"/>
      <c r="DM3595" s="24"/>
      <c r="DN3595" s="24"/>
      <c r="DO3595" s="24"/>
      <c r="DP3595" s="24"/>
      <c r="DQ3595" s="24"/>
      <c r="DR3595" s="24"/>
      <c r="DS3595" s="24"/>
      <c r="DT3595" s="24"/>
      <c r="DU3595" s="24"/>
    </row>
    <row r="3596" spans="1:125" s="8" customFormat="1" ht="48" x14ac:dyDescent="0.2">
      <c r="A3596" s="353">
        <v>41586</v>
      </c>
      <c r="B3596" s="78" t="s">
        <v>2718</v>
      </c>
      <c r="C3596" s="75" t="s">
        <v>2793</v>
      </c>
      <c r="D3596" s="351" t="s">
        <v>3051</v>
      </c>
      <c r="E3596" s="75" t="str">
        <f>VLOOKUP(B3596&amp;C3596,Divipola!$C$2:$F$1138,4,FALSE)</f>
        <v>23001</v>
      </c>
      <c r="F3596" s="93"/>
      <c r="G3596" s="93"/>
      <c r="H3596" s="93"/>
      <c r="I3596" s="93">
        <v>750</v>
      </c>
      <c r="J3596" s="93">
        <v>250</v>
      </c>
      <c r="K3596" s="93"/>
      <c r="L3596" s="93">
        <v>250</v>
      </c>
      <c r="M3596" s="93"/>
      <c r="N3596" s="93"/>
      <c r="O3596" s="93"/>
      <c r="P3596" s="93"/>
      <c r="Q3596" s="93"/>
      <c r="R3596" s="93"/>
      <c r="S3596" s="93"/>
      <c r="T3596" s="93"/>
      <c r="U3596" s="93"/>
      <c r="V3596" s="89"/>
      <c r="W3596" s="96">
        <v>0</v>
      </c>
      <c r="X3596" s="71">
        <f>CU3596</f>
        <v>0</v>
      </c>
      <c r="Y3596" s="71">
        <f>CY3596</f>
        <v>0</v>
      </c>
      <c r="Z3596" s="71">
        <f>DA3596+DC3596+DE3596</f>
        <v>0</v>
      </c>
      <c r="AA3596" s="71">
        <f>CW3596</f>
        <v>0</v>
      </c>
      <c r="AB3596" s="71"/>
      <c r="AC3596" s="71">
        <v>0</v>
      </c>
      <c r="AD3596" s="71">
        <f>W3596+X3596+Y3596+Z3596+AA3596+AB3596+AC3596</f>
        <v>0</v>
      </c>
      <c r="AE3596" s="72">
        <v>0</v>
      </c>
      <c r="AF3596" s="5"/>
      <c r="AG3596" s="6"/>
      <c r="AH3596" s="27"/>
      <c r="AI3596" s="44"/>
      <c r="AJ3596" s="26"/>
      <c r="AK3596" s="5"/>
      <c r="AL3596" s="331" t="s">
        <v>6598</v>
      </c>
      <c r="AM3596" s="76"/>
      <c r="AN3596" s="76"/>
      <c r="AO3596" s="76"/>
      <c r="AP3596" s="76"/>
      <c r="AQ3596" s="76"/>
      <c r="AR3596" s="76"/>
      <c r="AS3596" s="76"/>
      <c r="AT3596" s="76"/>
      <c r="AU3596" s="76"/>
      <c r="AV3596" s="76"/>
      <c r="AW3596" s="76"/>
      <c r="AX3596" s="76">
        <f>+AW3596*600000</f>
        <v>0</v>
      </c>
      <c r="AY3596" s="76"/>
      <c r="AZ3596" s="76">
        <f>+AY3596*70000</f>
        <v>0</v>
      </c>
      <c r="BA3596" s="76"/>
      <c r="BB3596" s="76"/>
      <c r="BC3596" s="76"/>
      <c r="BD3596" s="76">
        <f>+BC3596*30000</f>
        <v>0</v>
      </c>
      <c r="BE3596" s="76"/>
      <c r="BF3596" s="76"/>
      <c r="BG3596" s="76"/>
      <c r="BH3596" s="76"/>
      <c r="BI3596" s="76"/>
      <c r="BJ3596" s="76"/>
      <c r="BK3596" s="76"/>
      <c r="BL3596" s="76">
        <f>+BK3596*31500</f>
        <v>0</v>
      </c>
      <c r="BM3596" s="76"/>
      <c r="BN3596" s="76"/>
      <c r="BO3596" s="76"/>
      <c r="BP3596" s="76"/>
      <c r="BQ3596" s="76"/>
      <c r="BR3596" s="76"/>
      <c r="BS3596" s="76"/>
      <c r="BT3596" s="76"/>
      <c r="BU3596" s="76"/>
      <c r="BV3596" s="76"/>
      <c r="BW3596" s="76"/>
      <c r="BX3596" s="76"/>
      <c r="BY3596" s="76"/>
      <c r="BZ3596" s="76"/>
      <c r="CA3596" s="76"/>
      <c r="CB3596" s="76"/>
      <c r="CC3596" s="76"/>
      <c r="CD3596" s="76"/>
      <c r="CE3596" s="76"/>
      <c r="CF3596" s="76">
        <f>+CE3596*28000</f>
        <v>0</v>
      </c>
      <c r="CG3596" s="76"/>
      <c r="CH3596" s="76">
        <f>+CG3596*22500</f>
        <v>0</v>
      </c>
      <c r="CI3596" s="76"/>
      <c r="CJ3596" s="76">
        <f>+CI3596*26000</f>
        <v>0</v>
      </c>
      <c r="CK3596" s="76"/>
      <c r="CL3596" s="76"/>
      <c r="CM3596" s="76"/>
      <c r="CN3596" s="76">
        <f>+CM3596*22000</f>
        <v>0</v>
      </c>
      <c r="CO3596" s="76"/>
      <c r="CP3596" s="76">
        <f>+CO3596*46000</f>
        <v>0</v>
      </c>
      <c r="CQ3596" s="76"/>
      <c r="CR3596" s="76">
        <f>+CQ3596*49000</f>
        <v>0</v>
      </c>
      <c r="CS3596" s="76"/>
      <c r="CT3596" s="76"/>
      <c r="CU3596" s="56">
        <f>AN3596+AP3596+AR3596+AT3596+AV3596+AX3596+AZ3596+BB3596+BD3596+BF3596+BH3596+BJ3596+BL3596+BN3596+BP3596+BR3596+BT3596+BV3596+BX3596+BZ3596+CB3596+CD3596+CF3596+CH3596+CJ3596+CL3596+CN3596+CP3596+CR3596+CT3596</f>
        <v>0</v>
      </c>
      <c r="CV3596" s="76"/>
      <c r="CW3596" s="76">
        <f>+CV3596*1100</f>
        <v>0</v>
      </c>
      <c r="CX3596" s="76"/>
      <c r="CY3596" s="76">
        <f>+CX3596*106250</f>
        <v>0</v>
      </c>
      <c r="CZ3596" s="76"/>
      <c r="DA3596" s="76">
        <f>+CZ3596*34500</f>
        <v>0</v>
      </c>
      <c r="DB3596" s="76"/>
      <c r="DC3596" s="76">
        <f>+DB3596*25000</f>
        <v>0</v>
      </c>
      <c r="DD3596" s="219"/>
      <c r="DE3596" s="219"/>
      <c r="DF3596" s="166"/>
      <c r="DG3596" s="116"/>
      <c r="DH3596" s="117"/>
      <c r="DI3596" s="24"/>
      <c r="DJ3596" s="24"/>
      <c r="DK3596" s="24"/>
      <c r="DL3596" s="24"/>
      <c r="DM3596" s="24"/>
      <c r="DN3596" s="24"/>
      <c r="DO3596" s="24"/>
      <c r="DP3596" s="24"/>
      <c r="DQ3596" s="24"/>
      <c r="DR3596" s="24"/>
      <c r="DS3596" s="24"/>
      <c r="DT3596" s="24"/>
      <c r="DU3596" s="24"/>
    </row>
    <row r="3597" spans="1:125" s="8" customFormat="1" ht="156" x14ac:dyDescent="0.2">
      <c r="A3597" s="77">
        <v>41586</v>
      </c>
      <c r="B3597" s="78" t="s">
        <v>2661</v>
      </c>
      <c r="C3597" s="75" t="s">
        <v>371</v>
      </c>
      <c r="D3597" s="75" t="s">
        <v>4391</v>
      </c>
      <c r="E3597" s="75" t="str">
        <f>VLOOKUP(B3597&amp;C3597,Divipola!$C$2:$F$1138,4,FALSE)</f>
        <v>41668</v>
      </c>
      <c r="F3597" s="87"/>
      <c r="G3597" s="87"/>
      <c r="H3597" s="87">
        <v>1</v>
      </c>
      <c r="I3597" s="87"/>
      <c r="J3597" s="87"/>
      <c r="K3597" s="87"/>
      <c r="L3597" s="87"/>
      <c r="M3597" s="87"/>
      <c r="N3597" s="87"/>
      <c r="O3597" s="87"/>
      <c r="P3597" s="87"/>
      <c r="Q3597" s="87"/>
      <c r="R3597" s="87"/>
      <c r="S3597" s="87"/>
      <c r="T3597" s="87"/>
      <c r="U3597" s="88"/>
      <c r="V3597" s="89"/>
      <c r="W3597" s="96">
        <v>0</v>
      </c>
      <c r="X3597" s="71">
        <f>CU3597</f>
        <v>0</v>
      </c>
      <c r="Y3597" s="71">
        <f>CY3597</f>
        <v>0</v>
      </c>
      <c r="Z3597" s="71">
        <f>DA3597+DC3597+DE3597</f>
        <v>0</v>
      </c>
      <c r="AA3597" s="71">
        <f>CW3597</f>
        <v>0</v>
      </c>
      <c r="AB3597" s="71"/>
      <c r="AC3597" s="71">
        <v>0</v>
      </c>
      <c r="AD3597" s="71">
        <f>W3597+X3597+Y3597+Z3597+AA3597+AB3597+AC3597</f>
        <v>0</v>
      </c>
      <c r="AE3597" s="72">
        <v>0</v>
      </c>
      <c r="AF3597" s="5"/>
      <c r="AG3597" s="6"/>
      <c r="AH3597" s="27"/>
      <c r="AI3597" s="44"/>
      <c r="AJ3597" s="26"/>
      <c r="AK3597" s="5"/>
      <c r="AL3597" s="268" t="s">
        <v>6602</v>
      </c>
      <c r="AM3597" s="76"/>
      <c r="AN3597" s="76"/>
      <c r="AO3597" s="76"/>
      <c r="AP3597" s="76"/>
      <c r="AQ3597" s="76"/>
      <c r="AR3597" s="76"/>
      <c r="AS3597" s="76"/>
      <c r="AT3597" s="76"/>
      <c r="AU3597" s="76"/>
      <c r="AV3597" s="76"/>
      <c r="AW3597" s="76"/>
      <c r="AX3597" s="76">
        <f>+AW3597*600000</f>
        <v>0</v>
      </c>
      <c r="AY3597" s="76"/>
      <c r="AZ3597" s="76">
        <f>+AY3597*70000</f>
        <v>0</v>
      </c>
      <c r="BA3597" s="76"/>
      <c r="BB3597" s="76"/>
      <c r="BC3597" s="76"/>
      <c r="BD3597" s="76">
        <f>+BC3597*30000</f>
        <v>0</v>
      </c>
      <c r="BE3597" s="76"/>
      <c r="BF3597" s="76"/>
      <c r="BG3597" s="76"/>
      <c r="BH3597" s="76"/>
      <c r="BI3597" s="76"/>
      <c r="BJ3597" s="76"/>
      <c r="BK3597" s="76"/>
      <c r="BL3597" s="76">
        <f>+BK3597*31500</f>
        <v>0</v>
      </c>
      <c r="BM3597" s="76"/>
      <c r="BN3597" s="76"/>
      <c r="BO3597" s="76"/>
      <c r="BP3597" s="76"/>
      <c r="BQ3597" s="76"/>
      <c r="BR3597" s="76"/>
      <c r="BS3597" s="76"/>
      <c r="BT3597" s="76"/>
      <c r="BU3597" s="76"/>
      <c r="BV3597" s="76"/>
      <c r="BW3597" s="76"/>
      <c r="BX3597" s="76"/>
      <c r="BY3597" s="76"/>
      <c r="BZ3597" s="76"/>
      <c r="CA3597" s="76"/>
      <c r="CB3597" s="76"/>
      <c r="CC3597" s="76"/>
      <c r="CD3597" s="76"/>
      <c r="CE3597" s="76"/>
      <c r="CF3597" s="76">
        <f>+CE3597*28000</f>
        <v>0</v>
      </c>
      <c r="CG3597" s="76"/>
      <c r="CH3597" s="76">
        <f>+CG3597*22500</f>
        <v>0</v>
      </c>
      <c r="CI3597" s="76"/>
      <c r="CJ3597" s="76">
        <f>+CI3597*26000</f>
        <v>0</v>
      </c>
      <c r="CK3597" s="76"/>
      <c r="CL3597" s="76"/>
      <c r="CM3597" s="76"/>
      <c r="CN3597" s="76">
        <f>+CM3597*22000</f>
        <v>0</v>
      </c>
      <c r="CO3597" s="76"/>
      <c r="CP3597" s="76">
        <f>+CO3597*46000</f>
        <v>0</v>
      </c>
      <c r="CQ3597" s="76"/>
      <c r="CR3597" s="76">
        <f>+CQ3597*49000</f>
        <v>0</v>
      </c>
      <c r="CS3597" s="76"/>
      <c r="CT3597" s="76"/>
      <c r="CU3597" s="56">
        <f>AN3597+AP3597+AR3597+AT3597+AV3597+AX3597+AZ3597+BB3597+BD3597+BF3597+BH3597+BJ3597+BL3597+BN3597+BP3597+BR3597+BT3597+BV3597+BX3597+BZ3597+CB3597+CD3597+CF3597+CH3597+CJ3597+CL3597+CN3597+CP3597+CR3597+CT3597</f>
        <v>0</v>
      </c>
      <c r="CV3597" s="76"/>
      <c r="CW3597" s="76">
        <f>+CV3597*1100</f>
        <v>0</v>
      </c>
      <c r="CX3597" s="76"/>
      <c r="CY3597" s="76">
        <f>+CX3597*106250</f>
        <v>0</v>
      </c>
      <c r="CZ3597" s="76"/>
      <c r="DA3597" s="76">
        <f>+CZ3597*34500</f>
        <v>0</v>
      </c>
      <c r="DB3597" s="76"/>
      <c r="DC3597" s="76">
        <f>+DB3597*25000</f>
        <v>0</v>
      </c>
      <c r="DD3597" s="219"/>
      <c r="DE3597" s="219"/>
      <c r="DF3597" s="166"/>
      <c r="DG3597" s="116"/>
      <c r="DH3597" s="117"/>
      <c r="DI3597" s="24"/>
      <c r="DJ3597" s="24"/>
      <c r="DK3597" s="24"/>
      <c r="DL3597" s="24"/>
      <c r="DM3597" s="24"/>
      <c r="DN3597" s="24"/>
      <c r="DO3597" s="24"/>
      <c r="DP3597" s="24"/>
      <c r="DQ3597" s="24"/>
      <c r="DR3597" s="24"/>
      <c r="DS3597" s="24"/>
      <c r="DT3597" s="24"/>
      <c r="DU3597" s="24"/>
    </row>
    <row r="3598" spans="1:125" s="8" customFormat="1" ht="72" x14ac:dyDescent="0.2">
      <c r="A3598" s="353">
        <v>41586</v>
      </c>
      <c r="B3598" s="352" t="s">
        <v>529</v>
      </c>
      <c r="C3598" s="354" t="s">
        <v>529</v>
      </c>
      <c r="D3598" s="354" t="s">
        <v>3051</v>
      </c>
      <c r="E3598" s="75" t="str">
        <f>VLOOKUP(B3598&amp;C3598,Divipola!$C$2:$F$1138,4,FALSE)</f>
        <v>11001</v>
      </c>
      <c r="F3598" s="87"/>
      <c r="G3598" s="87"/>
      <c r="H3598" s="87"/>
      <c r="I3598" s="87">
        <v>30</v>
      </c>
      <c r="J3598" s="87">
        <v>6</v>
      </c>
      <c r="K3598" s="87"/>
      <c r="L3598" s="87">
        <v>6</v>
      </c>
      <c r="M3598" s="87"/>
      <c r="N3598" s="87"/>
      <c r="O3598" s="87"/>
      <c r="P3598" s="87"/>
      <c r="Q3598" s="87"/>
      <c r="R3598" s="87"/>
      <c r="S3598" s="87"/>
      <c r="T3598" s="87"/>
      <c r="U3598" s="88"/>
      <c r="V3598" s="89"/>
      <c r="W3598" s="96">
        <v>0</v>
      </c>
      <c r="X3598" s="71">
        <f>CU3598</f>
        <v>0</v>
      </c>
      <c r="Y3598" s="71">
        <f>CY3598</f>
        <v>0</v>
      </c>
      <c r="Z3598" s="71">
        <f>DA3598+DC3598+DE3598</f>
        <v>0</v>
      </c>
      <c r="AA3598" s="71">
        <f>CW3598</f>
        <v>0</v>
      </c>
      <c r="AB3598" s="71"/>
      <c r="AC3598" s="71">
        <v>0</v>
      </c>
      <c r="AD3598" s="71">
        <f>W3598+X3598+Y3598+Z3598+AA3598+AB3598+AC3598</f>
        <v>0</v>
      </c>
      <c r="AE3598" s="72">
        <v>0</v>
      </c>
      <c r="AF3598" s="5"/>
      <c r="AG3598" s="6"/>
      <c r="AH3598" s="27"/>
      <c r="AI3598" s="44"/>
      <c r="AJ3598" s="26"/>
      <c r="AK3598" s="5"/>
      <c r="AL3598" s="82" t="s">
        <v>6600</v>
      </c>
      <c r="AM3598" s="76"/>
      <c r="AN3598" s="76"/>
      <c r="AO3598" s="76"/>
      <c r="AP3598" s="76"/>
      <c r="AQ3598" s="76"/>
      <c r="AR3598" s="76"/>
      <c r="AS3598" s="76"/>
      <c r="AT3598" s="76"/>
      <c r="AU3598" s="76"/>
      <c r="AV3598" s="76"/>
      <c r="AW3598" s="76"/>
      <c r="AX3598" s="76">
        <f>+AW3598*600000</f>
        <v>0</v>
      </c>
      <c r="AY3598" s="76"/>
      <c r="AZ3598" s="76">
        <f>+AY3598*70000</f>
        <v>0</v>
      </c>
      <c r="BA3598" s="76"/>
      <c r="BB3598" s="76"/>
      <c r="BC3598" s="76"/>
      <c r="BD3598" s="76">
        <f>+BC3598*30000</f>
        <v>0</v>
      </c>
      <c r="BE3598" s="76"/>
      <c r="BF3598" s="76"/>
      <c r="BG3598" s="76"/>
      <c r="BH3598" s="76"/>
      <c r="BI3598" s="76"/>
      <c r="BJ3598" s="76"/>
      <c r="BK3598" s="76"/>
      <c r="BL3598" s="76">
        <f>+BK3598*31500</f>
        <v>0</v>
      </c>
      <c r="BM3598" s="76"/>
      <c r="BN3598" s="76"/>
      <c r="BO3598" s="76"/>
      <c r="BP3598" s="76"/>
      <c r="BQ3598" s="76"/>
      <c r="BR3598" s="76"/>
      <c r="BS3598" s="76"/>
      <c r="BT3598" s="76"/>
      <c r="BU3598" s="76"/>
      <c r="BV3598" s="76"/>
      <c r="BW3598" s="76"/>
      <c r="BX3598" s="76"/>
      <c r="BY3598" s="76"/>
      <c r="BZ3598" s="76"/>
      <c r="CA3598" s="76"/>
      <c r="CB3598" s="76"/>
      <c r="CC3598" s="76"/>
      <c r="CD3598" s="76"/>
      <c r="CE3598" s="76"/>
      <c r="CF3598" s="76">
        <f>+CE3598*28000</f>
        <v>0</v>
      </c>
      <c r="CG3598" s="76"/>
      <c r="CH3598" s="76">
        <f>+CG3598*22500</f>
        <v>0</v>
      </c>
      <c r="CI3598" s="76"/>
      <c r="CJ3598" s="76">
        <f>+CI3598*26000</f>
        <v>0</v>
      </c>
      <c r="CK3598" s="76"/>
      <c r="CL3598" s="76"/>
      <c r="CM3598" s="76"/>
      <c r="CN3598" s="76">
        <f>+CM3598*22000</f>
        <v>0</v>
      </c>
      <c r="CO3598" s="76"/>
      <c r="CP3598" s="76">
        <f>+CO3598*46000</f>
        <v>0</v>
      </c>
      <c r="CQ3598" s="76"/>
      <c r="CR3598" s="76">
        <f>+CQ3598*49000</f>
        <v>0</v>
      </c>
      <c r="CS3598" s="76"/>
      <c r="CT3598" s="76"/>
      <c r="CU3598" s="56">
        <f>AN3598+AP3598+AR3598+AT3598+AV3598+AX3598+AZ3598+BB3598+BD3598+BF3598+BH3598+BJ3598+BL3598+BN3598+BP3598+BR3598+BT3598+BV3598+BX3598+BZ3598+CB3598+CD3598+CF3598+CH3598+CJ3598+CL3598+CN3598+CP3598+CR3598+CT3598</f>
        <v>0</v>
      </c>
      <c r="CV3598" s="76"/>
      <c r="CW3598" s="76">
        <f>+CV3598*1100</f>
        <v>0</v>
      </c>
      <c r="CX3598" s="76"/>
      <c r="CY3598" s="76">
        <f>+CX3598*106250</f>
        <v>0</v>
      </c>
      <c r="CZ3598" s="76"/>
      <c r="DA3598" s="76">
        <f>+CZ3598*34500</f>
        <v>0</v>
      </c>
      <c r="DB3598" s="76"/>
      <c r="DC3598" s="76">
        <f>+DB3598*25000</f>
        <v>0</v>
      </c>
      <c r="DD3598" s="219"/>
      <c r="DE3598" s="219"/>
      <c r="DF3598" s="166"/>
      <c r="DG3598" s="116"/>
      <c r="DH3598" s="117"/>
      <c r="DI3598" s="24"/>
      <c r="DJ3598" s="24"/>
      <c r="DK3598" s="24"/>
      <c r="DL3598" s="24"/>
      <c r="DM3598" s="24"/>
      <c r="DN3598" s="24"/>
      <c r="DO3598" s="24"/>
      <c r="DP3598" s="24"/>
      <c r="DQ3598" s="24"/>
      <c r="DR3598" s="24"/>
      <c r="DS3598" s="24"/>
      <c r="DT3598" s="24"/>
      <c r="DU3598" s="24"/>
    </row>
    <row r="3599" spans="1:125" s="8" customFormat="1" ht="120" x14ac:dyDescent="0.2">
      <c r="A3599" s="353">
        <v>41586</v>
      </c>
      <c r="B3599" s="352" t="s">
        <v>529</v>
      </c>
      <c r="C3599" s="354" t="s">
        <v>529</v>
      </c>
      <c r="D3599" s="354" t="s">
        <v>4391</v>
      </c>
      <c r="E3599" s="75" t="str">
        <f>VLOOKUP(B3599&amp;C3599,Divipola!$C$2:$F$1138,4,FALSE)</f>
        <v>11001</v>
      </c>
      <c r="F3599" s="87">
        <v>2</v>
      </c>
      <c r="G3599" s="87"/>
      <c r="H3599" s="87"/>
      <c r="I3599" s="87">
        <v>3</v>
      </c>
      <c r="J3599" s="87"/>
      <c r="K3599" s="87"/>
      <c r="L3599" s="87"/>
      <c r="M3599" s="87"/>
      <c r="N3599" s="87"/>
      <c r="O3599" s="87"/>
      <c r="P3599" s="87"/>
      <c r="Q3599" s="87"/>
      <c r="R3599" s="87"/>
      <c r="S3599" s="87"/>
      <c r="T3599" s="87"/>
      <c r="U3599" s="88"/>
      <c r="V3599" s="89"/>
      <c r="W3599" s="96">
        <v>0</v>
      </c>
      <c r="X3599" s="71">
        <f>CU3599</f>
        <v>0</v>
      </c>
      <c r="Y3599" s="71">
        <f>CY3599</f>
        <v>0</v>
      </c>
      <c r="Z3599" s="71">
        <f>DA3599+DC3599+DE3599</f>
        <v>0</v>
      </c>
      <c r="AA3599" s="71">
        <f>CW3599</f>
        <v>0</v>
      </c>
      <c r="AB3599" s="71"/>
      <c r="AC3599" s="71">
        <v>0</v>
      </c>
      <c r="AD3599" s="71">
        <f>W3599+X3599+Y3599+Z3599+AA3599+AB3599+AC3599</f>
        <v>0</v>
      </c>
      <c r="AE3599" s="72">
        <v>0</v>
      </c>
      <c r="AF3599" s="5"/>
      <c r="AG3599" s="6"/>
      <c r="AH3599" s="27"/>
      <c r="AI3599" s="44"/>
      <c r="AJ3599" s="26"/>
      <c r="AK3599" s="5"/>
      <c r="AL3599" s="82" t="s">
        <v>6601</v>
      </c>
      <c r="AM3599" s="76"/>
      <c r="AN3599" s="76"/>
      <c r="AO3599" s="76"/>
      <c r="AP3599" s="76"/>
      <c r="AQ3599" s="76"/>
      <c r="AR3599" s="76"/>
      <c r="AS3599" s="76"/>
      <c r="AT3599" s="76"/>
      <c r="AU3599" s="76"/>
      <c r="AV3599" s="76"/>
      <c r="AW3599" s="76"/>
      <c r="AX3599" s="76">
        <f>+AW3599*600000</f>
        <v>0</v>
      </c>
      <c r="AY3599" s="76"/>
      <c r="AZ3599" s="76">
        <f>+AY3599*70000</f>
        <v>0</v>
      </c>
      <c r="BA3599" s="76"/>
      <c r="BB3599" s="76"/>
      <c r="BC3599" s="76"/>
      <c r="BD3599" s="76">
        <f>+BC3599*30000</f>
        <v>0</v>
      </c>
      <c r="BE3599" s="76"/>
      <c r="BF3599" s="76"/>
      <c r="BG3599" s="76"/>
      <c r="BH3599" s="76"/>
      <c r="BI3599" s="76"/>
      <c r="BJ3599" s="76"/>
      <c r="BK3599" s="76"/>
      <c r="BL3599" s="76">
        <f>+BK3599*31500</f>
        <v>0</v>
      </c>
      <c r="BM3599" s="76"/>
      <c r="BN3599" s="76"/>
      <c r="BO3599" s="76"/>
      <c r="BP3599" s="76"/>
      <c r="BQ3599" s="76"/>
      <c r="BR3599" s="76"/>
      <c r="BS3599" s="76"/>
      <c r="BT3599" s="76"/>
      <c r="BU3599" s="76"/>
      <c r="BV3599" s="76"/>
      <c r="BW3599" s="76"/>
      <c r="BX3599" s="76"/>
      <c r="BY3599" s="76"/>
      <c r="BZ3599" s="76"/>
      <c r="CA3599" s="76"/>
      <c r="CB3599" s="76"/>
      <c r="CC3599" s="76"/>
      <c r="CD3599" s="76"/>
      <c r="CE3599" s="76"/>
      <c r="CF3599" s="76">
        <f>+CE3599*28000</f>
        <v>0</v>
      </c>
      <c r="CG3599" s="76"/>
      <c r="CH3599" s="76">
        <f>+CG3599*22500</f>
        <v>0</v>
      </c>
      <c r="CI3599" s="76"/>
      <c r="CJ3599" s="76">
        <f>+CI3599*26000</f>
        <v>0</v>
      </c>
      <c r="CK3599" s="76"/>
      <c r="CL3599" s="76"/>
      <c r="CM3599" s="76"/>
      <c r="CN3599" s="76">
        <f>+CM3599*22000</f>
        <v>0</v>
      </c>
      <c r="CO3599" s="76"/>
      <c r="CP3599" s="76">
        <f>+CO3599*46000</f>
        <v>0</v>
      </c>
      <c r="CQ3599" s="76"/>
      <c r="CR3599" s="76">
        <f>+CQ3599*49000</f>
        <v>0</v>
      </c>
      <c r="CS3599" s="76"/>
      <c r="CT3599" s="76"/>
      <c r="CU3599" s="56">
        <f>AN3599+AP3599+AR3599+AT3599+AV3599+AX3599+AZ3599+BB3599+BD3599+BF3599+BH3599+BJ3599+BL3599+BN3599+BP3599+BR3599+BT3599+BV3599+BX3599+BZ3599+CB3599+CD3599+CF3599+CH3599+CJ3599+CL3599+CN3599+CP3599+CR3599+CT3599</f>
        <v>0</v>
      </c>
      <c r="CV3599" s="76"/>
      <c r="CW3599" s="76">
        <f>+CV3599*1100</f>
        <v>0</v>
      </c>
      <c r="CX3599" s="76"/>
      <c r="CY3599" s="76">
        <f>+CX3599*106250</f>
        <v>0</v>
      </c>
      <c r="CZ3599" s="76"/>
      <c r="DA3599" s="76">
        <f>+CZ3599*34500</f>
        <v>0</v>
      </c>
      <c r="DB3599" s="76"/>
      <c r="DC3599" s="76">
        <f>+DB3599*25000</f>
        <v>0</v>
      </c>
      <c r="DD3599" s="219"/>
      <c r="DE3599" s="219"/>
      <c r="DF3599" s="166"/>
      <c r="DG3599" s="116"/>
      <c r="DH3599" s="117"/>
      <c r="DI3599" s="24"/>
      <c r="DJ3599" s="24"/>
      <c r="DK3599" s="24"/>
      <c r="DL3599" s="24"/>
      <c r="DM3599" s="24"/>
      <c r="DN3599" s="24"/>
      <c r="DO3599" s="24"/>
      <c r="DP3599" s="24"/>
      <c r="DQ3599" s="24"/>
      <c r="DR3599" s="24"/>
      <c r="DS3599" s="24"/>
      <c r="DT3599" s="24"/>
      <c r="DU3599" s="24"/>
    </row>
    <row r="3600" spans="1:125" s="8" customFormat="1" ht="108" x14ac:dyDescent="0.2">
      <c r="A3600" s="77">
        <v>41586</v>
      </c>
      <c r="B3600" s="352" t="s">
        <v>2777</v>
      </c>
      <c r="C3600" s="354" t="s">
        <v>1500</v>
      </c>
      <c r="D3600" s="354" t="s">
        <v>3088</v>
      </c>
      <c r="E3600" s="75" t="str">
        <f>VLOOKUP(B3600&amp;C3600,Divipola!$C$2:$F$1138,4,FALSE)</f>
        <v>13458</v>
      </c>
      <c r="F3600" s="87"/>
      <c r="G3600" s="87"/>
      <c r="H3600" s="87"/>
      <c r="I3600" s="87">
        <v>20</v>
      </c>
      <c r="J3600" s="87">
        <v>4</v>
      </c>
      <c r="K3600" s="87"/>
      <c r="L3600" s="87">
        <v>3</v>
      </c>
      <c r="M3600" s="87"/>
      <c r="N3600" s="87"/>
      <c r="O3600" s="87"/>
      <c r="P3600" s="87"/>
      <c r="Q3600" s="87"/>
      <c r="R3600" s="87"/>
      <c r="S3600" s="87"/>
      <c r="T3600" s="87"/>
      <c r="U3600" s="88"/>
      <c r="V3600" s="89"/>
      <c r="W3600" s="96">
        <v>0</v>
      </c>
      <c r="X3600" s="71">
        <f>CU3600</f>
        <v>0</v>
      </c>
      <c r="Y3600" s="71">
        <f>CY3600</f>
        <v>0</v>
      </c>
      <c r="Z3600" s="71">
        <f>DA3600+DC3600+DE3600</f>
        <v>0</v>
      </c>
      <c r="AA3600" s="71">
        <f>CW3600</f>
        <v>0</v>
      </c>
      <c r="AB3600" s="71"/>
      <c r="AC3600" s="71">
        <v>0</v>
      </c>
      <c r="AD3600" s="71">
        <f>W3600+X3600+Y3600+Z3600+AA3600+AB3600+AC3600</f>
        <v>0</v>
      </c>
      <c r="AE3600" s="72">
        <v>0</v>
      </c>
      <c r="AF3600" s="5"/>
      <c r="AG3600" s="6"/>
      <c r="AH3600" s="27"/>
      <c r="AI3600" s="44"/>
      <c r="AJ3600" s="26"/>
      <c r="AK3600" s="5"/>
      <c r="AL3600" s="326" t="s">
        <v>6604</v>
      </c>
      <c r="AM3600" s="76"/>
      <c r="AN3600" s="76"/>
      <c r="AO3600" s="76"/>
      <c r="AP3600" s="76"/>
      <c r="AQ3600" s="76"/>
      <c r="AR3600" s="76"/>
      <c r="AS3600" s="76"/>
      <c r="AT3600" s="76"/>
      <c r="AU3600" s="76"/>
      <c r="AV3600" s="76"/>
      <c r="AW3600" s="76"/>
      <c r="AX3600" s="76">
        <f>+AW3600*600000</f>
        <v>0</v>
      </c>
      <c r="AY3600" s="76"/>
      <c r="AZ3600" s="76">
        <f>+AY3600*70000</f>
        <v>0</v>
      </c>
      <c r="BA3600" s="76"/>
      <c r="BB3600" s="76"/>
      <c r="BC3600" s="76"/>
      <c r="BD3600" s="76">
        <f>+BC3600*30000</f>
        <v>0</v>
      </c>
      <c r="BE3600" s="76"/>
      <c r="BF3600" s="76"/>
      <c r="BG3600" s="76"/>
      <c r="BH3600" s="76"/>
      <c r="BI3600" s="76"/>
      <c r="BJ3600" s="76"/>
      <c r="BK3600" s="76"/>
      <c r="BL3600" s="76">
        <f>+BK3600*31500</f>
        <v>0</v>
      </c>
      <c r="BM3600" s="76"/>
      <c r="BN3600" s="76"/>
      <c r="BO3600" s="76"/>
      <c r="BP3600" s="76"/>
      <c r="BQ3600" s="76"/>
      <c r="BR3600" s="76"/>
      <c r="BS3600" s="76"/>
      <c r="BT3600" s="76"/>
      <c r="BU3600" s="76"/>
      <c r="BV3600" s="76"/>
      <c r="BW3600" s="76"/>
      <c r="BX3600" s="76"/>
      <c r="BY3600" s="76"/>
      <c r="BZ3600" s="76"/>
      <c r="CA3600" s="76"/>
      <c r="CB3600" s="76"/>
      <c r="CC3600" s="76"/>
      <c r="CD3600" s="76"/>
      <c r="CE3600" s="76"/>
      <c r="CF3600" s="76">
        <f>+CE3600*28000</f>
        <v>0</v>
      </c>
      <c r="CG3600" s="76"/>
      <c r="CH3600" s="76">
        <f>+CG3600*22500</f>
        <v>0</v>
      </c>
      <c r="CI3600" s="76"/>
      <c r="CJ3600" s="76">
        <f>+CI3600*26000</f>
        <v>0</v>
      </c>
      <c r="CK3600" s="76"/>
      <c r="CL3600" s="76"/>
      <c r="CM3600" s="76"/>
      <c r="CN3600" s="76">
        <f>+CM3600*22000</f>
        <v>0</v>
      </c>
      <c r="CO3600" s="76"/>
      <c r="CP3600" s="76">
        <f>+CO3600*46000</f>
        <v>0</v>
      </c>
      <c r="CQ3600" s="76"/>
      <c r="CR3600" s="76">
        <f>+CQ3600*49000</f>
        <v>0</v>
      </c>
      <c r="CS3600" s="76"/>
      <c r="CT3600" s="76"/>
      <c r="CU3600" s="56">
        <f>AN3600+AP3600+AR3600+AT3600+AV3600+AX3600+AZ3600+BB3600+BD3600+BF3600+BH3600+BJ3600+BL3600+BN3600+BP3600+BR3600+BT3600+BV3600+BX3600+BZ3600+CB3600+CD3600+CF3600+CH3600+CJ3600+CL3600+CN3600+CP3600+CR3600+CT3600</f>
        <v>0</v>
      </c>
      <c r="CV3600" s="76"/>
      <c r="CW3600" s="76">
        <f>+CV3600*1100</f>
        <v>0</v>
      </c>
      <c r="CX3600" s="76"/>
      <c r="CY3600" s="76">
        <f>+CX3600*106250</f>
        <v>0</v>
      </c>
      <c r="CZ3600" s="76"/>
      <c r="DA3600" s="76">
        <f>+CZ3600*34500</f>
        <v>0</v>
      </c>
      <c r="DB3600" s="76"/>
      <c r="DC3600" s="76">
        <f>+DB3600*25000</f>
        <v>0</v>
      </c>
      <c r="DD3600" s="219"/>
      <c r="DE3600" s="219"/>
      <c r="DF3600" s="166"/>
      <c r="DG3600" s="116"/>
      <c r="DH3600" s="117"/>
      <c r="DI3600" s="24"/>
      <c r="DJ3600" s="24"/>
      <c r="DK3600" s="24"/>
      <c r="DL3600" s="24"/>
      <c r="DM3600" s="24"/>
      <c r="DN3600" s="24"/>
      <c r="DO3600" s="24"/>
      <c r="DP3600" s="24"/>
      <c r="DQ3600" s="24"/>
      <c r="DR3600" s="24"/>
      <c r="DS3600" s="24"/>
      <c r="DT3600" s="24"/>
      <c r="DU3600" s="24"/>
    </row>
    <row r="3601" spans="1:125" s="8" customFormat="1" ht="132" x14ac:dyDescent="0.2">
      <c r="A3601" s="77">
        <v>41586</v>
      </c>
      <c r="B3601" s="75" t="s">
        <v>2847</v>
      </c>
      <c r="C3601" s="75" t="s">
        <v>2136</v>
      </c>
      <c r="D3601" s="75" t="s">
        <v>3051</v>
      </c>
      <c r="E3601" s="75" t="str">
        <f>VLOOKUP(B3601&amp;C3601,Divipola!$C$2:$F$1138,4,FALSE)</f>
        <v>68689</v>
      </c>
      <c r="F3601" s="93"/>
      <c r="G3601" s="93"/>
      <c r="H3601" s="93"/>
      <c r="I3601" s="93">
        <v>10</v>
      </c>
      <c r="J3601" s="93">
        <v>2</v>
      </c>
      <c r="K3601" s="93"/>
      <c r="L3601" s="93">
        <v>2</v>
      </c>
      <c r="M3601" s="93"/>
      <c r="N3601" s="93"/>
      <c r="O3601" s="93"/>
      <c r="P3601" s="93"/>
      <c r="Q3601" s="93"/>
      <c r="R3601" s="93"/>
      <c r="S3601" s="93"/>
      <c r="T3601" s="93"/>
      <c r="U3601" s="93"/>
      <c r="V3601" s="93"/>
      <c r="W3601" s="96">
        <v>0</v>
      </c>
      <c r="X3601" s="71">
        <f>CU3601</f>
        <v>0</v>
      </c>
      <c r="Y3601" s="71">
        <f>CY3601</f>
        <v>0</v>
      </c>
      <c r="Z3601" s="71">
        <f>DA3601+DC3601+DE3601</f>
        <v>0</v>
      </c>
      <c r="AA3601" s="71">
        <f>CW3601</f>
        <v>0</v>
      </c>
      <c r="AB3601" s="71"/>
      <c r="AC3601" s="71">
        <v>0</v>
      </c>
      <c r="AD3601" s="71">
        <f>W3601+X3601+Y3601+Z3601+AA3601+AB3601+AC3601</f>
        <v>0</v>
      </c>
      <c r="AE3601" s="72">
        <v>0</v>
      </c>
      <c r="AF3601" s="5"/>
      <c r="AG3601" s="6"/>
      <c r="AH3601" s="27"/>
      <c r="AI3601" s="44"/>
      <c r="AJ3601" s="26"/>
      <c r="AK3601" s="5"/>
      <c r="AL3601" s="327" t="s">
        <v>6609</v>
      </c>
      <c r="AM3601" s="76"/>
      <c r="AN3601" s="76"/>
      <c r="AO3601" s="76"/>
      <c r="AP3601" s="76"/>
      <c r="AQ3601" s="76"/>
      <c r="AR3601" s="76"/>
      <c r="AS3601" s="76"/>
      <c r="AT3601" s="76"/>
      <c r="AU3601" s="76"/>
      <c r="AV3601" s="76"/>
      <c r="AW3601" s="76"/>
      <c r="AX3601" s="76">
        <f>+AW3601*600000</f>
        <v>0</v>
      </c>
      <c r="AY3601" s="76"/>
      <c r="AZ3601" s="76">
        <f>+AY3601*70000</f>
        <v>0</v>
      </c>
      <c r="BA3601" s="76"/>
      <c r="BB3601" s="76"/>
      <c r="BC3601" s="76"/>
      <c r="BD3601" s="76">
        <f>+BC3601*30000</f>
        <v>0</v>
      </c>
      <c r="BE3601" s="76"/>
      <c r="BF3601" s="76"/>
      <c r="BG3601" s="76"/>
      <c r="BH3601" s="76"/>
      <c r="BI3601" s="76"/>
      <c r="BJ3601" s="76"/>
      <c r="BK3601" s="76"/>
      <c r="BL3601" s="76">
        <f>+BK3601*31500</f>
        <v>0</v>
      </c>
      <c r="BM3601" s="76"/>
      <c r="BN3601" s="76"/>
      <c r="BO3601" s="76"/>
      <c r="BP3601" s="76"/>
      <c r="BQ3601" s="76"/>
      <c r="BR3601" s="76"/>
      <c r="BS3601" s="76"/>
      <c r="BT3601" s="76"/>
      <c r="BU3601" s="76"/>
      <c r="BV3601" s="76"/>
      <c r="BW3601" s="76"/>
      <c r="BX3601" s="76"/>
      <c r="BY3601" s="76"/>
      <c r="BZ3601" s="76"/>
      <c r="CA3601" s="76"/>
      <c r="CB3601" s="76"/>
      <c r="CC3601" s="76"/>
      <c r="CD3601" s="76"/>
      <c r="CE3601" s="76"/>
      <c r="CF3601" s="76">
        <f>+CE3601*28000</f>
        <v>0</v>
      </c>
      <c r="CG3601" s="76"/>
      <c r="CH3601" s="76">
        <f>+CG3601*22500</f>
        <v>0</v>
      </c>
      <c r="CI3601" s="76"/>
      <c r="CJ3601" s="76">
        <f>+CI3601*26000</f>
        <v>0</v>
      </c>
      <c r="CK3601" s="76"/>
      <c r="CL3601" s="76"/>
      <c r="CM3601" s="76"/>
      <c r="CN3601" s="76">
        <f>+CM3601*22000</f>
        <v>0</v>
      </c>
      <c r="CO3601" s="76"/>
      <c r="CP3601" s="76">
        <f>+CO3601*46000</f>
        <v>0</v>
      </c>
      <c r="CQ3601" s="76"/>
      <c r="CR3601" s="76">
        <f>+CQ3601*49000</f>
        <v>0</v>
      </c>
      <c r="CS3601" s="76"/>
      <c r="CT3601" s="76"/>
      <c r="CU3601" s="56">
        <f>AN3601+AP3601+AR3601+AT3601+AV3601+AX3601+AZ3601+BB3601+BD3601+BF3601+BH3601+BJ3601+BL3601+BN3601+BP3601+BR3601+BT3601+BV3601+BX3601+BZ3601+CB3601+CD3601+CF3601+CH3601+CJ3601+CL3601+CN3601+CP3601+CR3601+CT3601</f>
        <v>0</v>
      </c>
      <c r="CV3601" s="76"/>
      <c r="CW3601" s="76">
        <f>+CV3601*1100</f>
        <v>0</v>
      </c>
      <c r="CX3601" s="76"/>
      <c r="CY3601" s="76">
        <f>+CX3601*106250</f>
        <v>0</v>
      </c>
      <c r="CZ3601" s="76"/>
      <c r="DA3601" s="76">
        <f>+CZ3601*34500</f>
        <v>0</v>
      </c>
      <c r="DB3601" s="76"/>
      <c r="DC3601" s="76">
        <f>+DB3601*25000</f>
        <v>0</v>
      </c>
      <c r="DD3601" s="219"/>
      <c r="DE3601" s="219"/>
      <c r="DF3601" s="166"/>
      <c r="DG3601" s="116"/>
      <c r="DH3601" s="117"/>
      <c r="DI3601" s="24"/>
      <c r="DJ3601" s="24"/>
      <c r="DK3601" s="24"/>
      <c r="DL3601" s="24"/>
      <c r="DM3601" s="24"/>
      <c r="DN3601" s="24"/>
      <c r="DO3601" s="24"/>
      <c r="DP3601" s="24"/>
      <c r="DQ3601" s="24"/>
      <c r="DR3601" s="24"/>
      <c r="DS3601" s="24"/>
      <c r="DT3601" s="24"/>
      <c r="DU3601" s="24"/>
    </row>
    <row r="3602" spans="1:125" s="8" customFormat="1" ht="60" x14ac:dyDescent="0.2">
      <c r="A3602" s="77">
        <v>41586</v>
      </c>
      <c r="B3602" s="78" t="s">
        <v>2700</v>
      </c>
      <c r="C3602" s="83" t="s">
        <v>2671</v>
      </c>
      <c r="D3602" s="75" t="s">
        <v>3088</v>
      </c>
      <c r="E3602" s="75" t="str">
        <f>VLOOKUP(B3602&amp;C3602,Divipola!$C$2:$F$1138,4,FALSE)</f>
        <v>15001</v>
      </c>
      <c r="F3602" s="93"/>
      <c r="G3602" s="93"/>
      <c r="H3602" s="93"/>
      <c r="I3602" s="93"/>
      <c r="J3602" s="93"/>
      <c r="K3602" s="93"/>
      <c r="L3602" s="93"/>
      <c r="M3602" s="93">
        <v>1</v>
      </c>
      <c r="N3602" s="93"/>
      <c r="O3602" s="93"/>
      <c r="P3602" s="93"/>
      <c r="Q3602" s="93"/>
      <c r="R3602" s="93"/>
      <c r="S3602" s="93"/>
      <c r="T3602" s="93"/>
      <c r="U3602" s="93"/>
      <c r="V3602" s="89"/>
      <c r="W3602" s="96">
        <v>0</v>
      </c>
      <c r="X3602" s="71">
        <f>CU3602</f>
        <v>0</v>
      </c>
      <c r="Y3602" s="71">
        <f>CY3602</f>
        <v>0</v>
      </c>
      <c r="Z3602" s="71">
        <f>DA3602+DC3602+DE3602</f>
        <v>0</v>
      </c>
      <c r="AA3602" s="71">
        <f>CW3602</f>
        <v>0</v>
      </c>
      <c r="AB3602" s="71"/>
      <c r="AC3602" s="71">
        <v>0</v>
      </c>
      <c r="AD3602" s="71">
        <f>W3602+X3602+Y3602+Z3602+AA3602+AB3602+AC3602</f>
        <v>0</v>
      </c>
      <c r="AE3602" s="72">
        <v>0</v>
      </c>
      <c r="AF3602" s="5"/>
      <c r="AG3602" s="6"/>
      <c r="AH3602" s="27"/>
      <c r="AI3602" s="44"/>
      <c r="AJ3602" s="26"/>
      <c r="AK3602" s="5"/>
      <c r="AL3602" s="82" t="s">
        <v>6610</v>
      </c>
      <c r="AM3602" s="76"/>
      <c r="AN3602" s="76"/>
      <c r="AO3602" s="76"/>
      <c r="AP3602" s="76"/>
      <c r="AQ3602" s="76"/>
      <c r="AR3602" s="76"/>
      <c r="AS3602" s="76"/>
      <c r="AT3602" s="76"/>
      <c r="AU3602" s="76"/>
      <c r="AV3602" s="76"/>
      <c r="AW3602" s="76"/>
      <c r="AX3602" s="76">
        <f>+AW3602*600000</f>
        <v>0</v>
      </c>
      <c r="AY3602" s="76"/>
      <c r="AZ3602" s="76">
        <f>+AY3602*70000</f>
        <v>0</v>
      </c>
      <c r="BA3602" s="76"/>
      <c r="BB3602" s="76"/>
      <c r="BC3602" s="76"/>
      <c r="BD3602" s="76">
        <f>+BC3602*30000</f>
        <v>0</v>
      </c>
      <c r="BE3602" s="76"/>
      <c r="BF3602" s="76"/>
      <c r="BG3602" s="76"/>
      <c r="BH3602" s="76"/>
      <c r="BI3602" s="76"/>
      <c r="BJ3602" s="76"/>
      <c r="BK3602" s="76"/>
      <c r="BL3602" s="76">
        <f>+BK3602*31500</f>
        <v>0</v>
      </c>
      <c r="BM3602" s="76"/>
      <c r="BN3602" s="76"/>
      <c r="BO3602" s="76"/>
      <c r="BP3602" s="76"/>
      <c r="BQ3602" s="76"/>
      <c r="BR3602" s="76"/>
      <c r="BS3602" s="76"/>
      <c r="BT3602" s="76"/>
      <c r="BU3602" s="76"/>
      <c r="BV3602" s="76"/>
      <c r="BW3602" s="76"/>
      <c r="BX3602" s="76"/>
      <c r="BY3602" s="76"/>
      <c r="BZ3602" s="76"/>
      <c r="CA3602" s="76"/>
      <c r="CB3602" s="76"/>
      <c r="CC3602" s="76"/>
      <c r="CD3602" s="76"/>
      <c r="CE3602" s="76"/>
      <c r="CF3602" s="76">
        <f>+CE3602*28000</f>
        <v>0</v>
      </c>
      <c r="CG3602" s="76"/>
      <c r="CH3602" s="76">
        <f>+CG3602*22500</f>
        <v>0</v>
      </c>
      <c r="CI3602" s="76"/>
      <c r="CJ3602" s="76">
        <f>+CI3602*26000</f>
        <v>0</v>
      </c>
      <c r="CK3602" s="76"/>
      <c r="CL3602" s="76"/>
      <c r="CM3602" s="76"/>
      <c r="CN3602" s="76">
        <f>+CM3602*22000</f>
        <v>0</v>
      </c>
      <c r="CO3602" s="76"/>
      <c r="CP3602" s="76">
        <f>+CO3602*46000</f>
        <v>0</v>
      </c>
      <c r="CQ3602" s="76"/>
      <c r="CR3602" s="76">
        <f>+CQ3602*49000</f>
        <v>0</v>
      </c>
      <c r="CS3602" s="76"/>
      <c r="CT3602" s="76"/>
      <c r="CU3602" s="56">
        <f>AN3602+AP3602+AR3602+AT3602+AV3602+AX3602+AZ3602+BB3602+BD3602+BF3602+BH3602+BJ3602+BL3602+BN3602+BP3602+BR3602+BT3602+BV3602+BX3602+BZ3602+CB3602+CD3602+CF3602+CH3602+CJ3602+CL3602+CN3602+CP3602+CR3602+CT3602</f>
        <v>0</v>
      </c>
      <c r="CV3602" s="76"/>
      <c r="CW3602" s="76">
        <f>+CV3602*1100</f>
        <v>0</v>
      </c>
      <c r="CX3602" s="76"/>
      <c r="CY3602" s="76">
        <f>+CX3602*106250</f>
        <v>0</v>
      </c>
      <c r="CZ3602" s="76"/>
      <c r="DA3602" s="76">
        <f>+CZ3602*34500</f>
        <v>0</v>
      </c>
      <c r="DB3602" s="76"/>
      <c r="DC3602" s="76">
        <f>+DB3602*25000</f>
        <v>0</v>
      </c>
      <c r="DD3602" s="219"/>
      <c r="DE3602" s="219"/>
      <c r="DF3602" s="166"/>
      <c r="DG3602" s="116"/>
      <c r="DH3602" s="117"/>
      <c r="DI3602" s="24"/>
      <c r="DJ3602" s="24"/>
      <c r="DK3602" s="24"/>
      <c r="DL3602" s="24"/>
      <c r="DM3602" s="24"/>
      <c r="DN3602" s="24"/>
      <c r="DO3602" s="24"/>
      <c r="DP3602" s="24"/>
      <c r="DQ3602" s="24"/>
      <c r="DR3602" s="24"/>
      <c r="DS3602" s="24"/>
      <c r="DT3602" s="24"/>
      <c r="DU3602" s="24"/>
    </row>
    <row r="3603" spans="1:125" s="8" customFormat="1" ht="396.75" x14ac:dyDescent="0.2">
      <c r="A3603" s="77">
        <v>41586</v>
      </c>
      <c r="B3603" s="78" t="s">
        <v>2777</v>
      </c>
      <c r="C3603" s="75" t="s">
        <v>1500</v>
      </c>
      <c r="D3603" s="75" t="s">
        <v>3463</v>
      </c>
      <c r="E3603" s="75" t="str">
        <f>VLOOKUP(B3603&amp;C3603,Divipola!$C$2:$F$1138,4,FALSE)</f>
        <v>13458</v>
      </c>
      <c r="F3603" s="87"/>
      <c r="G3603" s="87"/>
      <c r="H3603" s="87">
        <v>2</v>
      </c>
      <c r="I3603" s="87">
        <v>2606</v>
      </c>
      <c r="J3603" s="87">
        <v>849</v>
      </c>
      <c r="K3603" s="87"/>
      <c r="L3603" s="87">
        <v>12</v>
      </c>
      <c r="M3603" s="87"/>
      <c r="N3603" s="87"/>
      <c r="O3603" s="87"/>
      <c r="P3603" s="87"/>
      <c r="Q3603" s="87"/>
      <c r="R3603" s="87"/>
      <c r="S3603" s="87"/>
      <c r="T3603" s="87"/>
      <c r="U3603" s="88"/>
      <c r="V3603" s="89"/>
      <c r="W3603" s="96">
        <v>0</v>
      </c>
      <c r="X3603" s="71">
        <f>CU3603</f>
        <v>155119666.12</v>
      </c>
      <c r="Y3603" s="71">
        <f>CY3603</f>
        <v>94454813.5</v>
      </c>
      <c r="Z3603" s="71">
        <f>DA3603+DC3603+DE3603</f>
        <v>32450000</v>
      </c>
      <c r="AA3603" s="71">
        <f>CW3603</f>
        <v>0</v>
      </c>
      <c r="AB3603" s="71"/>
      <c r="AC3603" s="71">
        <v>80000000</v>
      </c>
      <c r="AD3603" s="71">
        <f>W3603+X3603+Y3603+Z3603+AA3603+AB3603+AC3603</f>
        <v>362024479.62</v>
      </c>
      <c r="AE3603" s="72">
        <v>0</v>
      </c>
      <c r="AF3603" s="5"/>
      <c r="AG3603" s="6"/>
      <c r="AH3603" s="27"/>
      <c r="AI3603" s="44"/>
      <c r="AJ3603" s="26"/>
      <c r="AK3603" s="5"/>
      <c r="AL3603" s="328" t="s">
        <v>6653</v>
      </c>
      <c r="AM3603" s="76"/>
      <c r="AN3603" s="76"/>
      <c r="AO3603" s="76"/>
      <c r="AP3603" s="76"/>
      <c r="AQ3603" s="76"/>
      <c r="AR3603" s="76"/>
      <c r="AS3603" s="76"/>
      <c r="AT3603" s="76"/>
      <c r="AU3603" s="76"/>
      <c r="AV3603" s="76"/>
      <c r="AW3603" s="76"/>
      <c r="AX3603" s="76">
        <f>+AW3603*600000</f>
        <v>0</v>
      </c>
      <c r="AY3603" s="76"/>
      <c r="AZ3603" s="76">
        <f>+AY3603*70000</f>
        <v>0</v>
      </c>
      <c r="BA3603" s="76"/>
      <c r="BB3603" s="76"/>
      <c r="BC3603" s="76"/>
      <c r="BD3603" s="76">
        <f>+BC3603*30000</f>
        <v>0</v>
      </c>
      <c r="BE3603" s="76"/>
      <c r="BF3603" s="76"/>
      <c r="BG3603" s="76"/>
      <c r="BH3603" s="76"/>
      <c r="BI3603" s="76"/>
      <c r="BJ3603" s="76"/>
      <c r="BK3603" s="86">
        <v>1790</v>
      </c>
      <c r="BL3603" s="86">
        <f>895*31499.8+895*31500</f>
        <v>56384821</v>
      </c>
      <c r="BM3603" s="76"/>
      <c r="BN3603" s="76"/>
      <c r="BO3603" s="76"/>
      <c r="BP3603" s="76"/>
      <c r="BQ3603" s="76"/>
      <c r="BR3603" s="76"/>
      <c r="BS3603" s="76"/>
      <c r="BT3603" s="76"/>
      <c r="BU3603" s="76"/>
      <c r="BV3603" s="76"/>
      <c r="BW3603" s="76"/>
      <c r="BX3603" s="76"/>
      <c r="BY3603" s="86">
        <v>98</v>
      </c>
      <c r="BZ3603" s="86">
        <f>98*560000.44</f>
        <v>54880043.119999997</v>
      </c>
      <c r="CA3603" s="76"/>
      <c r="CB3603" s="76"/>
      <c r="CC3603" s="76"/>
      <c r="CD3603" s="76"/>
      <c r="CE3603" s="76"/>
      <c r="CF3603" s="76">
        <f>+CE3603*28000</f>
        <v>0</v>
      </c>
      <c r="CG3603" s="76"/>
      <c r="CH3603" s="76">
        <f>+CG3603*22500</f>
        <v>0</v>
      </c>
      <c r="CI3603" s="76"/>
      <c r="CJ3603" s="76">
        <f>+CI3603*26000</f>
        <v>0</v>
      </c>
      <c r="CK3603" s="76"/>
      <c r="CL3603" s="76"/>
      <c r="CM3603" s="76"/>
      <c r="CN3603" s="76">
        <f>+CM3603*22000</f>
        <v>0</v>
      </c>
      <c r="CO3603" s="76"/>
      <c r="CP3603" s="76">
        <f>+CO3603*46000</f>
        <v>0</v>
      </c>
      <c r="CQ3603" s="86">
        <v>895</v>
      </c>
      <c r="CR3603" s="86">
        <f>450*48999.56+445*49000</f>
        <v>43854802</v>
      </c>
      <c r="CS3603" s="76"/>
      <c r="CT3603" s="76"/>
      <c r="CU3603" s="56">
        <f>AN3603+AP3603+AR3603+AT3603+AV3603+AX3603+AZ3603+BB3603+BD3603+BF3603+BH3603+BJ3603+BL3603+BN3603+BP3603+BR3603+BT3603+BV3603+BX3603+BZ3603+CB3603+CD3603+CF3603+CH3603+CJ3603+CL3603+CN3603+CP3603+CR3603+CT3603</f>
        <v>155119666.12</v>
      </c>
      <c r="CV3603" s="76"/>
      <c r="CW3603" s="76">
        <f>+CV3603*1100</f>
        <v>0</v>
      </c>
      <c r="CX3603" s="86">
        <v>895</v>
      </c>
      <c r="CY3603" s="86">
        <f>450*105663.28+445*105407.5</f>
        <v>94454813.5</v>
      </c>
      <c r="CZ3603" s="76"/>
      <c r="DA3603" s="76">
        <f>+CZ3603*34500</f>
        <v>0</v>
      </c>
      <c r="DB3603" s="76"/>
      <c r="DC3603" s="76">
        <f>+DB3603*25000</f>
        <v>0</v>
      </c>
      <c r="DD3603" s="358" t="s">
        <v>6655</v>
      </c>
      <c r="DE3603" s="318">
        <f>110*295000</f>
        <v>32450000</v>
      </c>
      <c r="DF3603" s="166"/>
      <c r="DG3603" s="192" t="s">
        <v>6943</v>
      </c>
      <c r="DH3603" s="117"/>
      <c r="DI3603" s="24"/>
      <c r="DJ3603" s="24"/>
      <c r="DK3603" s="24"/>
      <c r="DL3603" s="24"/>
      <c r="DM3603" s="24"/>
      <c r="DN3603" s="24"/>
      <c r="DO3603" s="24"/>
      <c r="DP3603" s="24"/>
      <c r="DQ3603" s="24"/>
      <c r="DR3603" s="24"/>
      <c r="DS3603" s="24"/>
      <c r="DT3603" s="24"/>
      <c r="DU3603" s="24"/>
    </row>
    <row r="3604" spans="1:125" s="8" customFormat="1" ht="60" x14ac:dyDescent="0.2">
      <c r="A3604" s="353">
        <v>41586</v>
      </c>
      <c r="B3604" s="352" t="s">
        <v>2772</v>
      </c>
      <c r="C3604" s="354" t="s">
        <v>2690</v>
      </c>
      <c r="D3604" s="354" t="s">
        <v>3088</v>
      </c>
      <c r="E3604" s="75" t="str">
        <f>VLOOKUP(B3604&amp;C3604,Divipola!$C$2:$F$1138,4,FALSE)</f>
        <v>25513</v>
      </c>
      <c r="F3604" s="87"/>
      <c r="G3604" s="87"/>
      <c r="H3604" s="87"/>
      <c r="I3604" s="87"/>
      <c r="J3604" s="87"/>
      <c r="K3604" s="87"/>
      <c r="L3604" s="87"/>
      <c r="M3604" s="87">
        <v>1</v>
      </c>
      <c r="N3604" s="87"/>
      <c r="O3604" s="87"/>
      <c r="P3604" s="87"/>
      <c r="Q3604" s="87"/>
      <c r="R3604" s="87"/>
      <c r="S3604" s="87"/>
      <c r="T3604" s="87"/>
      <c r="U3604" s="88"/>
      <c r="V3604" s="89"/>
      <c r="W3604" s="96">
        <v>0</v>
      </c>
      <c r="X3604" s="71">
        <f>CU3604</f>
        <v>0</v>
      </c>
      <c r="Y3604" s="71">
        <f>CY3604</f>
        <v>0</v>
      </c>
      <c r="Z3604" s="71">
        <f>DA3604+DC3604+DE3604</f>
        <v>0</v>
      </c>
      <c r="AA3604" s="71">
        <f>CW3604</f>
        <v>0</v>
      </c>
      <c r="AB3604" s="71"/>
      <c r="AC3604" s="71">
        <v>0</v>
      </c>
      <c r="AD3604" s="71">
        <f>W3604+X3604+Y3604+Z3604+AA3604+AB3604+AC3604</f>
        <v>0</v>
      </c>
      <c r="AE3604" s="72">
        <v>0</v>
      </c>
      <c r="AF3604" s="5"/>
      <c r="AG3604" s="6"/>
      <c r="AH3604" s="27"/>
      <c r="AI3604" s="44"/>
      <c r="AJ3604" s="26"/>
      <c r="AK3604" s="5"/>
      <c r="AL3604" s="82" t="s">
        <v>6624</v>
      </c>
      <c r="AM3604" s="76"/>
      <c r="AN3604" s="76"/>
      <c r="AO3604" s="76"/>
      <c r="AP3604" s="76"/>
      <c r="AQ3604" s="76"/>
      <c r="AR3604" s="76"/>
      <c r="AS3604" s="76"/>
      <c r="AT3604" s="76"/>
      <c r="AU3604" s="76"/>
      <c r="AV3604" s="76"/>
      <c r="AW3604" s="76"/>
      <c r="AX3604" s="76">
        <f>+AW3604*600000</f>
        <v>0</v>
      </c>
      <c r="AY3604" s="76"/>
      <c r="AZ3604" s="76">
        <f>+AY3604*70000</f>
        <v>0</v>
      </c>
      <c r="BA3604" s="76"/>
      <c r="BB3604" s="76"/>
      <c r="BC3604" s="76"/>
      <c r="BD3604" s="76">
        <f>+BC3604*30000</f>
        <v>0</v>
      </c>
      <c r="BE3604" s="76"/>
      <c r="BF3604" s="76"/>
      <c r="BG3604" s="76"/>
      <c r="BH3604" s="76"/>
      <c r="BI3604" s="76"/>
      <c r="BJ3604" s="76"/>
      <c r="BK3604" s="76"/>
      <c r="BL3604" s="76">
        <f>+BK3604*31500</f>
        <v>0</v>
      </c>
      <c r="BM3604" s="76"/>
      <c r="BN3604" s="76"/>
      <c r="BO3604" s="76"/>
      <c r="BP3604" s="76"/>
      <c r="BQ3604" s="76"/>
      <c r="BR3604" s="76"/>
      <c r="BS3604" s="76"/>
      <c r="BT3604" s="76"/>
      <c r="BU3604" s="76"/>
      <c r="BV3604" s="76"/>
      <c r="BW3604" s="76"/>
      <c r="BX3604" s="76"/>
      <c r="BY3604" s="76"/>
      <c r="BZ3604" s="76"/>
      <c r="CA3604" s="76"/>
      <c r="CB3604" s="76"/>
      <c r="CC3604" s="76"/>
      <c r="CD3604" s="76"/>
      <c r="CE3604" s="76"/>
      <c r="CF3604" s="76">
        <f>+CE3604*28000</f>
        <v>0</v>
      </c>
      <c r="CG3604" s="76"/>
      <c r="CH3604" s="76">
        <f>+CG3604*22500</f>
        <v>0</v>
      </c>
      <c r="CI3604" s="76"/>
      <c r="CJ3604" s="76">
        <f>+CI3604*26000</f>
        <v>0</v>
      </c>
      <c r="CK3604" s="76"/>
      <c r="CL3604" s="76"/>
      <c r="CM3604" s="76"/>
      <c r="CN3604" s="76">
        <f>+CM3604*22000</f>
        <v>0</v>
      </c>
      <c r="CO3604" s="76"/>
      <c r="CP3604" s="76">
        <f>+CO3604*46000</f>
        <v>0</v>
      </c>
      <c r="CQ3604" s="76"/>
      <c r="CR3604" s="76">
        <f>+CQ3604*49000</f>
        <v>0</v>
      </c>
      <c r="CS3604" s="76"/>
      <c r="CT3604" s="76"/>
      <c r="CU3604" s="56">
        <f>AN3604+AP3604+AR3604+AT3604+AV3604+AX3604+AZ3604+BB3604+BD3604+BF3604+BH3604+BJ3604+BL3604+BN3604+BP3604+BR3604+BT3604+BV3604+BX3604+BZ3604+CB3604+CD3604+CF3604+CH3604+CJ3604+CL3604+CN3604+CP3604+CR3604+CT3604</f>
        <v>0</v>
      </c>
      <c r="CV3604" s="76"/>
      <c r="CW3604" s="76">
        <f>+CV3604*1100</f>
        <v>0</v>
      </c>
      <c r="CX3604" s="76"/>
      <c r="CY3604" s="76">
        <f>+CX3604*106250</f>
        <v>0</v>
      </c>
      <c r="CZ3604" s="76"/>
      <c r="DA3604" s="76">
        <f>+CZ3604*34500</f>
        <v>0</v>
      </c>
      <c r="DB3604" s="76"/>
      <c r="DC3604" s="76">
        <f>+DB3604*25000</f>
        <v>0</v>
      </c>
      <c r="DD3604" s="219"/>
      <c r="DE3604" s="219"/>
      <c r="DF3604" s="166"/>
      <c r="DG3604" s="116"/>
      <c r="DH3604" s="117"/>
      <c r="DI3604" s="24"/>
      <c r="DJ3604" s="24"/>
      <c r="DK3604" s="24"/>
      <c r="DL3604" s="24"/>
      <c r="DM3604" s="24"/>
      <c r="DN3604" s="24"/>
      <c r="DO3604" s="24"/>
      <c r="DP3604" s="24"/>
      <c r="DQ3604" s="24"/>
      <c r="DR3604" s="24"/>
      <c r="DS3604" s="24"/>
      <c r="DT3604" s="24"/>
      <c r="DU3604" s="24"/>
    </row>
    <row r="3605" spans="1:125" s="8" customFormat="1" ht="156" x14ac:dyDescent="0.2">
      <c r="A3605" s="77">
        <v>41586</v>
      </c>
      <c r="B3605" s="78" t="s">
        <v>2772</v>
      </c>
      <c r="C3605" s="75" t="s">
        <v>485</v>
      </c>
      <c r="D3605" s="75" t="s">
        <v>3051</v>
      </c>
      <c r="E3605" s="75" t="str">
        <f>VLOOKUP(B3605&amp;C3605,Divipola!$C$2:$F$1138,4,FALSE)</f>
        <v>25040</v>
      </c>
      <c r="F3605" s="87"/>
      <c r="G3605" s="87"/>
      <c r="H3605" s="87"/>
      <c r="I3605" s="87">
        <v>100</v>
      </c>
      <c r="J3605" s="87">
        <v>22</v>
      </c>
      <c r="K3605" s="87"/>
      <c r="L3605" s="87">
        <v>22</v>
      </c>
      <c r="M3605" s="87"/>
      <c r="N3605" s="87"/>
      <c r="O3605" s="87"/>
      <c r="P3605" s="87"/>
      <c r="Q3605" s="87"/>
      <c r="R3605" s="87"/>
      <c r="S3605" s="87"/>
      <c r="T3605" s="87"/>
      <c r="U3605" s="88"/>
      <c r="V3605" s="89"/>
      <c r="W3605" s="96">
        <v>0</v>
      </c>
      <c r="X3605" s="71">
        <f>CU3605</f>
        <v>0</v>
      </c>
      <c r="Y3605" s="71">
        <f>CY3605</f>
        <v>0</v>
      </c>
      <c r="Z3605" s="71">
        <f>DA3605+DC3605+DE3605</f>
        <v>0</v>
      </c>
      <c r="AA3605" s="71">
        <f>CW3605</f>
        <v>0</v>
      </c>
      <c r="AB3605" s="71"/>
      <c r="AC3605" s="71">
        <v>0</v>
      </c>
      <c r="AD3605" s="71">
        <f>W3605+X3605+Y3605+Z3605+AA3605+AB3605+AC3605</f>
        <v>0</v>
      </c>
      <c r="AE3605" s="72">
        <v>0</v>
      </c>
      <c r="AF3605" s="5"/>
      <c r="AG3605" s="6"/>
      <c r="AH3605" s="27"/>
      <c r="AI3605" s="44"/>
      <c r="AJ3605" s="26"/>
      <c r="AK3605" s="5"/>
      <c r="AL3605" s="274" t="s">
        <v>6632</v>
      </c>
      <c r="AM3605" s="76"/>
      <c r="AN3605" s="76"/>
      <c r="AO3605" s="76"/>
      <c r="AP3605" s="76"/>
      <c r="AQ3605" s="76"/>
      <c r="AR3605" s="76"/>
      <c r="AS3605" s="76"/>
      <c r="AT3605" s="76"/>
      <c r="AU3605" s="76"/>
      <c r="AV3605" s="76"/>
      <c r="AW3605" s="76"/>
      <c r="AX3605" s="76">
        <f>+AW3605*600000</f>
        <v>0</v>
      </c>
      <c r="AY3605" s="76"/>
      <c r="AZ3605" s="76">
        <f>+AY3605*70000</f>
        <v>0</v>
      </c>
      <c r="BA3605" s="76"/>
      <c r="BB3605" s="76"/>
      <c r="BC3605" s="76"/>
      <c r="BD3605" s="76">
        <f>+BC3605*30000</f>
        <v>0</v>
      </c>
      <c r="BE3605" s="76"/>
      <c r="BF3605" s="76"/>
      <c r="BG3605" s="76"/>
      <c r="BH3605" s="76"/>
      <c r="BI3605" s="76"/>
      <c r="BJ3605" s="76"/>
      <c r="BK3605" s="76"/>
      <c r="BL3605" s="76">
        <f>+BK3605*31500</f>
        <v>0</v>
      </c>
      <c r="BM3605" s="76"/>
      <c r="BN3605" s="76"/>
      <c r="BO3605" s="76"/>
      <c r="BP3605" s="76"/>
      <c r="BQ3605" s="76"/>
      <c r="BR3605" s="76"/>
      <c r="BS3605" s="76"/>
      <c r="BT3605" s="76"/>
      <c r="BU3605" s="76"/>
      <c r="BV3605" s="76"/>
      <c r="BW3605" s="76"/>
      <c r="BX3605" s="76"/>
      <c r="BY3605" s="76"/>
      <c r="BZ3605" s="76"/>
      <c r="CA3605" s="76"/>
      <c r="CB3605" s="76"/>
      <c r="CC3605" s="76"/>
      <c r="CD3605" s="76"/>
      <c r="CE3605" s="76"/>
      <c r="CF3605" s="76">
        <f>+CE3605*28000</f>
        <v>0</v>
      </c>
      <c r="CG3605" s="76"/>
      <c r="CH3605" s="76">
        <f>+CG3605*22500</f>
        <v>0</v>
      </c>
      <c r="CI3605" s="76"/>
      <c r="CJ3605" s="76">
        <f>+CI3605*26000</f>
        <v>0</v>
      </c>
      <c r="CK3605" s="76"/>
      <c r="CL3605" s="76"/>
      <c r="CM3605" s="76"/>
      <c r="CN3605" s="76">
        <f>+CM3605*22000</f>
        <v>0</v>
      </c>
      <c r="CO3605" s="76"/>
      <c r="CP3605" s="76">
        <f>+CO3605*46000</f>
        <v>0</v>
      </c>
      <c r="CQ3605" s="76"/>
      <c r="CR3605" s="76">
        <f>+CQ3605*49000</f>
        <v>0</v>
      </c>
      <c r="CS3605" s="76"/>
      <c r="CT3605" s="76"/>
      <c r="CU3605" s="56">
        <f>AN3605+AP3605+AR3605+AT3605+AV3605+AX3605+AZ3605+BB3605+BD3605+BF3605+BH3605+BJ3605+BL3605+BN3605+BP3605+BR3605+BT3605+BV3605+BX3605+BZ3605+CB3605+CD3605+CF3605+CH3605+CJ3605+CL3605+CN3605+CP3605+CR3605+CT3605</f>
        <v>0</v>
      </c>
      <c r="CV3605" s="76"/>
      <c r="CW3605" s="76">
        <f>+CV3605*1100</f>
        <v>0</v>
      </c>
      <c r="CX3605" s="76"/>
      <c r="CY3605" s="76">
        <f>+CX3605*106250</f>
        <v>0</v>
      </c>
      <c r="CZ3605" s="76"/>
      <c r="DA3605" s="76">
        <f>+CZ3605*34500</f>
        <v>0</v>
      </c>
      <c r="DB3605" s="76"/>
      <c r="DC3605" s="76">
        <f>+DB3605*25000</f>
        <v>0</v>
      </c>
      <c r="DD3605" s="219"/>
      <c r="DE3605" s="219"/>
      <c r="DF3605" s="166"/>
      <c r="DG3605" s="116"/>
      <c r="DH3605" s="117"/>
      <c r="DI3605" s="24"/>
      <c r="DJ3605" s="24"/>
      <c r="DK3605" s="24"/>
      <c r="DL3605" s="24"/>
      <c r="DM3605" s="24"/>
      <c r="DN3605" s="24"/>
      <c r="DO3605" s="24"/>
      <c r="DP3605" s="24"/>
      <c r="DQ3605" s="24"/>
      <c r="DR3605" s="24"/>
      <c r="DS3605" s="24"/>
      <c r="DT3605" s="24"/>
      <c r="DU3605" s="24"/>
    </row>
    <row r="3606" spans="1:125" s="8" customFormat="1" ht="60" x14ac:dyDescent="0.2">
      <c r="A3606" s="77">
        <v>41587</v>
      </c>
      <c r="B3606" s="78" t="s">
        <v>2894</v>
      </c>
      <c r="C3606" s="75" t="s">
        <v>2648</v>
      </c>
      <c r="D3606" s="75" t="s">
        <v>3051</v>
      </c>
      <c r="E3606" s="75" t="str">
        <f>VLOOKUP(B3606&amp;C3606,Divipola!$C$2:$F$1138,4,FALSE)</f>
        <v>05895</v>
      </c>
      <c r="F3606" s="87"/>
      <c r="G3606" s="87"/>
      <c r="H3606" s="87"/>
      <c r="I3606" s="87">
        <v>400</v>
      </c>
      <c r="J3606" s="87">
        <v>80</v>
      </c>
      <c r="K3606" s="87"/>
      <c r="L3606" s="87">
        <v>80</v>
      </c>
      <c r="M3606" s="87"/>
      <c r="N3606" s="87"/>
      <c r="O3606" s="87"/>
      <c r="P3606" s="87"/>
      <c r="Q3606" s="87"/>
      <c r="R3606" s="87"/>
      <c r="S3606" s="87"/>
      <c r="T3606" s="87"/>
      <c r="U3606" s="88"/>
      <c r="V3606" s="89"/>
      <c r="W3606" s="96">
        <v>0</v>
      </c>
      <c r="X3606" s="71">
        <f>CU3606</f>
        <v>0</v>
      </c>
      <c r="Y3606" s="71">
        <f>CY3606</f>
        <v>0</v>
      </c>
      <c r="Z3606" s="71">
        <f>DA3606+DC3606+DE3606</f>
        <v>0</v>
      </c>
      <c r="AA3606" s="71">
        <f>CW3606</f>
        <v>0</v>
      </c>
      <c r="AB3606" s="71"/>
      <c r="AC3606" s="71">
        <v>0</v>
      </c>
      <c r="AD3606" s="71">
        <f>W3606+X3606+Y3606+Z3606+AA3606+AB3606+AC3606</f>
        <v>0</v>
      </c>
      <c r="AE3606" s="72">
        <v>0</v>
      </c>
      <c r="AF3606" s="5"/>
      <c r="AG3606" s="6"/>
      <c r="AH3606" s="27"/>
      <c r="AI3606" s="44"/>
      <c r="AJ3606" s="26"/>
      <c r="AK3606" s="5"/>
      <c r="AL3606" s="327" t="s">
        <v>6603</v>
      </c>
      <c r="AM3606" s="76"/>
      <c r="AN3606" s="76"/>
      <c r="AO3606" s="76"/>
      <c r="AP3606" s="76"/>
      <c r="AQ3606" s="76"/>
      <c r="AR3606" s="76"/>
      <c r="AS3606" s="76"/>
      <c r="AT3606" s="76"/>
      <c r="AU3606" s="76"/>
      <c r="AV3606" s="76"/>
      <c r="AW3606" s="76"/>
      <c r="AX3606" s="76">
        <f>+AW3606*600000</f>
        <v>0</v>
      </c>
      <c r="AY3606" s="76"/>
      <c r="AZ3606" s="76">
        <f>+AY3606*70000</f>
        <v>0</v>
      </c>
      <c r="BA3606" s="76"/>
      <c r="BB3606" s="76"/>
      <c r="BC3606" s="76"/>
      <c r="BD3606" s="76">
        <f>+BC3606*30000</f>
        <v>0</v>
      </c>
      <c r="BE3606" s="76"/>
      <c r="BF3606" s="76"/>
      <c r="BG3606" s="76"/>
      <c r="BH3606" s="76"/>
      <c r="BI3606" s="76"/>
      <c r="BJ3606" s="76"/>
      <c r="BK3606" s="76"/>
      <c r="BL3606" s="76">
        <f>+BK3606*31500</f>
        <v>0</v>
      </c>
      <c r="BM3606" s="76"/>
      <c r="BN3606" s="76"/>
      <c r="BO3606" s="76"/>
      <c r="BP3606" s="76"/>
      <c r="BQ3606" s="76"/>
      <c r="BR3606" s="76"/>
      <c r="BS3606" s="76"/>
      <c r="BT3606" s="76"/>
      <c r="BU3606" s="76"/>
      <c r="BV3606" s="76"/>
      <c r="BW3606" s="76"/>
      <c r="BX3606" s="76"/>
      <c r="BY3606" s="76"/>
      <c r="BZ3606" s="76"/>
      <c r="CA3606" s="76"/>
      <c r="CB3606" s="76"/>
      <c r="CC3606" s="76"/>
      <c r="CD3606" s="76"/>
      <c r="CE3606" s="76"/>
      <c r="CF3606" s="76">
        <f>+CE3606*28000</f>
        <v>0</v>
      </c>
      <c r="CG3606" s="76"/>
      <c r="CH3606" s="76">
        <f>+CG3606*22500</f>
        <v>0</v>
      </c>
      <c r="CI3606" s="76"/>
      <c r="CJ3606" s="76">
        <f>+CI3606*26000</f>
        <v>0</v>
      </c>
      <c r="CK3606" s="76"/>
      <c r="CL3606" s="76"/>
      <c r="CM3606" s="76"/>
      <c r="CN3606" s="76">
        <f>+CM3606*22000</f>
        <v>0</v>
      </c>
      <c r="CO3606" s="76"/>
      <c r="CP3606" s="76">
        <f>+CO3606*46000</f>
        <v>0</v>
      </c>
      <c r="CQ3606" s="76"/>
      <c r="CR3606" s="76">
        <f>+CQ3606*49000</f>
        <v>0</v>
      </c>
      <c r="CS3606" s="76"/>
      <c r="CT3606" s="76"/>
      <c r="CU3606" s="56">
        <f>AN3606+AP3606+AR3606+AT3606+AV3606+AX3606+AZ3606+BB3606+BD3606+BF3606+BH3606+BJ3606+BL3606+BN3606+BP3606+BR3606+BT3606+BV3606+BX3606+BZ3606+CB3606+CD3606+CF3606+CH3606+CJ3606+CL3606+CN3606+CP3606+CR3606+CT3606</f>
        <v>0</v>
      </c>
      <c r="CV3606" s="76"/>
      <c r="CW3606" s="76">
        <f>+CV3606*1100</f>
        <v>0</v>
      </c>
      <c r="CX3606" s="76"/>
      <c r="CY3606" s="76">
        <f>+CX3606*106250</f>
        <v>0</v>
      </c>
      <c r="CZ3606" s="76"/>
      <c r="DA3606" s="76">
        <f>+CZ3606*34500</f>
        <v>0</v>
      </c>
      <c r="DB3606" s="76"/>
      <c r="DC3606" s="76">
        <f>+DB3606*25000</f>
        <v>0</v>
      </c>
      <c r="DD3606" s="219"/>
      <c r="DE3606" s="219"/>
      <c r="DF3606" s="166"/>
      <c r="DG3606" s="116"/>
      <c r="DH3606" s="117"/>
      <c r="DI3606" s="24"/>
      <c r="DJ3606" s="24"/>
      <c r="DK3606" s="24"/>
      <c r="DL3606" s="24"/>
      <c r="DM3606" s="24"/>
      <c r="DN3606" s="24"/>
      <c r="DO3606" s="24"/>
      <c r="DP3606" s="24"/>
      <c r="DQ3606" s="24"/>
      <c r="DR3606" s="24"/>
      <c r="DS3606" s="24"/>
      <c r="DT3606" s="24"/>
      <c r="DU3606" s="24"/>
    </row>
    <row r="3607" spans="1:125" s="8" customFormat="1" ht="96" x14ac:dyDescent="0.2">
      <c r="A3607" s="77">
        <v>41587</v>
      </c>
      <c r="B3607" s="352" t="s">
        <v>2855</v>
      </c>
      <c r="C3607" s="354" t="s">
        <v>926</v>
      </c>
      <c r="D3607" s="354" t="s">
        <v>3051</v>
      </c>
      <c r="E3607" s="75" t="str">
        <f>VLOOKUP(B3607&amp;C3607,Divipola!$C$2:$F$1138,4,FALSE)</f>
        <v>20550</v>
      </c>
      <c r="F3607" s="87"/>
      <c r="G3607" s="87"/>
      <c r="H3607" s="87"/>
      <c r="I3607" s="87">
        <v>45</v>
      </c>
      <c r="J3607" s="87">
        <v>9</v>
      </c>
      <c r="K3607" s="87"/>
      <c r="L3607" s="87">
        <v>9</v>
      </c>
      <c r="M3607" s="87"/>
      <c r="N3607" s="87"/>
      <c r="O3607" s="87"/>
      <c r="P3607" s="87"/>
      <c r="Q3607" s="87"/>
      <c r="R3607" s="87"/>
      <c r="S3607" s="87"/>
      <c r="T3607" s="87"/>
      <c r="U3607" s="88"/>
      <c r="V3607" s="194"/>
      <c r="W3607" s="96">
        <v>0</v>
      </c>
      <c r="X3607" s="71">
        <f>CU3607</f>
        <v>0</v>
      </c>
      <c r="Y3607" s="71">
        <f>CY3607</f>
        <v>0</v>
      </c>
      <c r="Z3607" s="71">
        <f>DA3607+DC3607+DE3607</f>
        <v>0</v>
      </c>
      <c r="AA3607" s="71">
        <f>CW3607</f>
        <v>0</v>
      </c>
      <c r="AB3607" s="71"/>
      <c r="AC3607" s="71">
        <v>0</v>
      </c>
      <c r="AD3607" s="71">
        <f>W3607+X3607+Y3607+Z3607+AA3607+AB3607+AC3607</f>
        <v>0</v>
      </c>
      <c r="AE3607" s="72">
        <v>0</v>
      </c>
      <c r="AF3607" s="5"/>
      <c r="AG3607" s="6"/>
      <c r="AH3607" s="27"/>
      <c r="AI3607" s="44"/>
      <c r="AJ3607" s="26"/>
      <c r="AK3607" s="5"/>
      <c r="AL3607" s="326" t="s">
        <v>6605</v>
      </c>
      <c r="AM3607" s="76"/>
      <c r="AN3607" s="76"/>
      <c r="AO3607" s="76"/>
      <c r="AP3607" s="76"/>
      <c r="AQ3607" s="76"/>
      <c r="AR3607" s="76"/>
      <c r="AS3607" s="76"/>
      <c r="AT3607" s="76"/>
      <c r="AU3607" s="76"/>
      <c r="AV3607" s="76"/>
      <c r="AW3607" s="76"/>
      <c r="AX3607" s="76">
        <f>+AW3607*600000</f>
        <v>0</v>
      </c>
      <c r="AY3607" s="76"/>
      <c r="AZ3607" s="76">
        <f>+AY3607*70000</f>
        <v>0</v>
      </c>
      <c r="BA3607" s="76"/>
      <c r="BB3607" s="76"/>
      <c r="BC3607" s="76"/>
      <c r="BD3607" s="76">
        <f>+BC3607*30000</f>
        <v>0</v>
      </c>
      <c r="BE3607" s="76"/>
      <c r="BF3607" s="76"/>
      <c r="BG3607" s="76"/>
      <c r="BH3607" s="76"/>
      <c r="BI3607" s="76"/>
      <c r="BJ3607" s="76"/>
      <c r="BK3607" s="76"/>
      <c r="BL3607" s="76">
        <f>+BK3607*31500</f>
        <v>0</v>
      </c>
      <c r="BM3607" s="76"/>
      <c r="BN3607" s="76"/>
      <c r="BO3607" s="76"/>
      <c r="BP3607" s="76"/>
      <c r="BQ3607" s="76"/>
      <c r="BR3607" s="76"/>
      <c r="BS3607" s="76"/>
      <c r="BT3607" s="76"/>
      <c r="BU3607" s="76"/>
      <c r="BV3607" s="76"/>
      <c r="BW3607" s="76"/>
      <c r="BX3607" s="76"/>
      <c r="BY3607" s="76"/>
      <c r="BZ3607" s="76"/>
      <c r="CA3607" s="76"/>
      <c r="CB3607" s="76"/>
      <c r="CC3607" s="76"/>
      <c r="CD3607" s="76"/>
      <c r="CE3607" s="76"/>
      <c r="CF3607" s="76">
        <f>+CE3607*28000</f>
        <v>0</v>
      </c>
      <c r="CG3607" s="76"/>
      <c r="CH3607" s="76">
        <f>+CG3607*22500</f>
        <v>0</v>
      </c>
      <c r="CI3607" s="76"/>
      <c r="CJ3607" s="76">
        <f>+CI3607*26000</f>
        <v>0</v>
      </c>
      <c r="CK3607" s="76"/>
      <c r="CL3607" s="76"/>
      <c r="CM3607" s="76"/>
      <c r="CN3607" s="76">
        <f>+CM3607*22000</f>
        <v>0</v>
      </c>
      <c r="CO3607" s="76"/>
      <c r="CP3607" s="76">
        <f>+CO3607*46000</f>
        <v>0</v>
      </c>
      <c r="CQ3607" s="76"/>
      <c r="CR3607" s="76">
        <f>+CQ3607*49000</f>
        <v>0</v>
      </c>
      <c r="CS3607" s="76"/>
      <c r="CT3607" s="76"/>
      <c r="CU3607" s="56">
        <f>AN3607+AP3607+AR3607+AT3607+AV3607+AX3607+AZ3607+BB3607+BD3607+BF3607+BH3607+BJ3607+BL3607+BN3607+BP3607+BR3607+BT3607+BV3607+BX3607+BZ3607+CB3607+CD3607+CF3607+CH3607+CJ3607+CL3607+CN3607+CP3607+CR3607+CT3607</f>
        <v>0</v>
      </c>
      <c r="CV3607" s="76"/>
      <c r="CW3607" s="76">
        <f>+CV3607*1100</f>
        <v>0</v>
      </c>
      <c r="CX3607" s="76"/>
      <c r="CY3607" s="76">
        <f>+CX3607*106250</f>
        <v>0</v>
      </c>
      <c r="CZ3607" s="76"/>
      <c r="DA3607" s="76">
        <f>+CZ3607*34500</f>
        <v>0</v>
      </c>
      <c r="DB3607" s="76"/>
      <c r="DC3607" s="76">
        <f>+DB3607*25000</f>
        <v>0</v>
      </c>
      <c r="DD3607" s="219"/>
      <c r="DE3607" s="219"/>
      <c r="DF3607" s="166"/>
      <c r="DG3607" s="116"/>
      <c r="DH3607" s="117"/>
      <c r="DI3607" s="24"/>
      <c r="DJ3607" s="24"/>
      <c r="DK3607" s="24"/>
      <c r="DL3607" s="24"/>
      <c r="DM3607" s="24"/>
      <c r="DN3607" s="24"/>
      <c r="DO3607" s="24"/>
      <c r="DP3607" s="24"/>
      <c r="DQ3607" s="24"/>
      <c r="DR3607" s="24"/>
      <c r="DS3607" s="24"/>
      <c r="DT3607" s="24"/>
      <c r="DU3607" s="24"/>
    </row>
    <row r="3608" spans="1:125" s="8" customFormat="1" ht="48" x14ac:dyDescent="0.2">
      <c r="A3608" s="77">
        <v>41587</v>
      </c>
      <c r="B3608" s="352" t="s">
        <v>2855</v>
      </c>
      <c r="C3608" s="354" t="s">
        <v>915</v>
      </c>
      <c r="D3608" s="354" t="s">
        <v>3051</v>
      </c>
      <c r="E3608" s="75" t="str">
        <f>VLOOKUP(B3608&amp;C3608,Divipola!$C$2:$F$1138,4,FALSE)</f>
        <v>20310</v>
      </c>
      <c r="F3608" s="87"/>
      <c r="G3608" s="87"/>
      <c r="H3608" s="87"/>
      <c r="I3608" s="87">
        <v>10</v>
      </c>
      <c r="J3608" s="87">
        <v>2</v>
      </c>
      <c r="K3608" s="87"/>
      <c r="L3608" s="87">
        <v>2</v>
      </c>
      <c r="M3608" s="87"/>
      <c r="N3608" s="87"/>
      <c r="O3608" s="87"/>
      <c r="P3608" s="87"/>
      <c r="Q3608" s="87"/>
      <c r="R3608" s="87"/>
      <c r="S3608" s="87"/>
      <c r="T3608" s="87"/>
      <c r="U3608" s="88"/>
      <c r="V3608" s="89"/>
      <c r="W3608" s="96">
        <v>0</v>
      </c>
      <c r="X3608" s="71">
        <f>CU3608</f>
        <v>0</v>
      </c>
      <c r="Y3608" s="71">
        <f>CY3608</f>
        <v>0</v>
      </c>
      <c r="Z3608" s="71">
        <f>DA3608+DC3608+DE3608</f>
        <v>0</v>
      </c>
      <c r="AA3608" s="71">
        <f>CW3608</f>
        <v>0</v>
      </c>
      <c r="AB3608" s="71"/>
      <c r="AC3608" s="71">
        <v>0</v>
      </c>
      <c r="AD3608" s="71">
        <f>W3608+X3608+Y3608+Z3608+AA3608+AB3608+AC3608</f>
        <v>0</v>
      </c>
      <c r="AE3608" s="72">
        <v>0</v>
      </c>
      <c r="AF3608" s="5"/>
      <c r="AG3608" s="6"/>
      <c r="AH3608" s="27"/>
      <c r="AI3608" s="44"/>
      <c r="AJ3608" s="26"/>
      <c r="AK3608" s="5"/>
      <c r="AL3608" s="350" t="s">
        <v>6606</v>
      </c>
      <c r="AM3608" s="76"/>
      <c r="AN3608" s="76"/>
      <c r="AO3608" s="76"/>
      <c r="AP3608" s="76"/>
      <c r="AQ3608" s="76"/>
      <c r="AR3608" s="76"/>
      <c r="AS3608" s="76"/>
      <c r="AT3608" s="76"/>
      <c r="AU3608" s="76"/>
      <c r="AV3608" s="76"/>
      <c r="AW3608" s="76"/>
      <c r="AX3608" s="76">
        <f>+AW3608*600000</f>
        <v>0</v>
      </c>
      <c r="AY3608" s="76"/>
      <c r="AZ3608" s="76">
        <f>+AY3608*70000</f>
        <v>0</v>
      </c>
      <c r="BA3608" s="76"/>
      <c r="BB3608" s="76"/>
      <c r="BC3608" s="76"/>
      <c r="BD3608" s="76">
        <f>+BC3608*30000</f>
        <v>0</v>
      </c>
      <c r="BE3608" s="76"/>
      <c r="BF3608" s="76"/>
      <c r="BG3608" s="76"/>
      <c r="BH3608" s="76"/>
      <c r="BI3608" s="76"/>
      <c r="BJ3608" s="76"/>
      <c r="BK3608" s="76"/>
      <c r="BL3608" s="76">
        <f>+BK3608*31500</f>
        <v>0</v>
      </c>
      <c r="BM3608" s="76"/>
      <c r="BN3608" s="76"/>
      <c r="BO3608" s="76"/>
      <c r="BP3608" s="76"/>
      <c r="BQ3608" s="76"/>
      <c r="BR3608" s="76"/>
      <c r="BS3608" s="76"/>
      <c r="BT3608" s="76"/>
      <c r="BU3608" s="76"/>
      <c r="BV3608" s="76"/>
      <c r="BW3608" s="76"/>
      <c r="BX3608" s="76"/>
      <c r="BY3608" s="76"/>
      <c r="BZ3608" s="76"/>
      <c r="CA3608" s="76"/>
      <c r="CB3608" s="76"/>
      <c r="CC3608" s="76"/>
      <c r="CD3608" s="76"/>
      <c r="CE3608" s="76"/>
      <c r="CF3608" s="76">
        <f>+CE3608*28000</f>
        <v>0</v>
      </c>
      <c r="CG3608" s="76"/>
      <c r="CH3608" s="76">
        <f>+CG3608*22500</f>
        <v>0</v>
      </c>
      <c r="CI3608" s="76"/>
      <c r="CJ3608" s="76">
        <f>+CI3608*26000</f>
        <v>0</v>
      </c>
      <c r="CK3608" s="76"/>
      <c r="CL3608" s="76"/>
      <c r="CM3608" s="76"/>
      <c r="CN3608" s="76">
        <f>+CM3608*22000</f>
        <v>0</v>
      </c>
      <c r="CO3608" s="76"/>
      <c r="CP3608" s="76">
        <f>+CO3608*46000</f>
        <v>0</v>
      </c>
      <c r="CQ3608" s="76"/>
      <c r="CR3608" s="76">
        <f>+CQ3608*49000</f>
        <v>0</v>
      </c>
      <c r="CS3608" s="76"/>
      <c r="CT3608" s="76"/>
      <c r="CU3608" s="56">
        <f>AN3608+AP3608+AR3608+AT3608+AV3608+AX3608+AZ3608+BB3608+BD3608+BF3608+BH3608+BJ3608+BL3608+BN3608+BP3608+BR3608+BT3608+BV3608+BX3608+BZ3608+CB3608+CD3608+CF3608+CH3608+CJ3608+CL3608+CN3608+CP3608+CR3608+CT3608</f>
        <v>0</v>
      </c>
      <c r="CV3608" s="76"/>
      <c r="CW3608" s="76">
        <f>+CV3608*1100</f>
        <v>0</v>
      </c>
      <c r="CX3608" s="76"/>
      <c r="CY3608" s="76">
        <f>+CX3608*106250</f>
        <v>0</v>
      </c>
      <c r="CZ3608" s="76"/>
      <c r="DA3608" s="76">
        <f>+CZ3608*34500</f>
        <v>0</v>
      </c>
      <c r="DB3608" s="76"/>
      <c r="DC3608" s="76">
        <f>+DB3608*25000</f>
        <v>0</v>
      </c>
      <c r="DD3608" s="219"/>
      <c r="DE3608" s="219"/>
      <c r="DF3608" s="166"/>
      <c r="DG3608" s="116"/>
      <c r="DH3608" s="117"/>
      <c r="DI3608" s="24"/>
      <c r="DJ3608" s="24"/>
      <c r="DK3608" s="24"/>
      <c r="DL3608" s="24"/>
      <c r="DM3608" s="24"/>
      <c r="DN3608" s="24"/>
      <c r="DO3608" s="24"/>
      <c r="DP3608" s="24"/>
      <c r="DQ3608" s="24"/>
      <c r="DR3608" s="24"/>
      <c r="DS3608" s="24"/>
      <c r="DT3608" s="24"/>
      <c r="DU3608" s="24"/>
    </row>
    <row r="3609" spans="1:125" s="8" customFormat="1" ht="72" x14ac:dyDescent="0.2">
      <c r="A3609" s="77">
        <v>41587</v>
      </c>
      <c r="B3609" s="78" t="s">
        <v>2661</v>
      </c>
      <c r="C3609" s="75" t="s">
        <v>27</v>
      </c>
      <c r="D3609" s="75" t="s">
        <v>3088</v>
      </c>
      <c r="E3609" s="75" t="str">
        <f>VLOOKUP(B3609&amp;C3609,Divipola!$C$2:$F$1138,4,FALSE)</f>
        <v>41206</v>
      </c>
      <c r="F3609" s="87"/>
      <c r="G3609" s="87"/>
      <c r="H3609" s="87"/>
      <c r="I3609" s="87"/>
      <c r="J3609" s="87"/>
      <c r="K3609" s="87"/>
      <c r="L3609" s="87"/>
      <c r="M3609" s="87">
        <v>1</v>
      </c>
      <c r="N3609" s="87"/>
      <c r="O3609" s="87"/>
      <c r="P3609" s="87"/>
      <c r="Q3609" s="87"/>
      <c r="R3609" s="87"/>
      <c r="S3609" s="87"/>
      <c r="T3609" s="87"/>
      <c r="U3609" s="88"/>
      <c r="V3609" s="89"/>
      <c r="W3609" s="96">
        <v>0</v>
      </c>
      <c r="X3609" s="71">
        <f>CU3609</f>
        <v>0</v>
      </c>
      <c r="Y3609" s="71">
        <f>CY3609</f>
        <v>0</v>
      </c>
      <c r="Z3609" s="71">
        <f>DA3609+DC3609+DE3609</f>
        <v>0</v>
      </c>
      <c r="AA3609" s="71">
        <f>CW3609</f>
        <v>0</v>
      </c>
      <c r="AB3609" s="71"/>
      <c r="AC3609" s="71">
        <v>0</v>
      </c>
      <c r="AD3609" s="71">
        <f>W3609+X3609+Y3609+Z3609+AA3609+AB3609+AC3609</f>
        <v>0</v>
      </c>
      <c r="AE3609" s="72">
        <v>0</v>
      </c>
      <c r="AF3609" s="5"/>
      <c r="AG3609" s="6"/>
      <c r="AH3609" s="27"/>
      <c r="AI3609" s="44"/>
      <c r="AJ3609" s="26"/>
      <c r="AK3609" s="5"/>
      <c r="AL3609" s="326" t="s">
        <v>6607</v>
      </c>
      <c r="AM3609" s="76"/>
      <c r="AN3609" s="76"/>
      <c r="AO3609" s="76"/>
      <c r="AP3609" s="76"/>
      <c r="AQ3609" s="76"/>
      <c r="AR3609" s="76"/>
      <c r="AS3609" s="76"/>
      <c r="AT3609" s="76"/>
      <c r="AU3609" s="76"/>
      <c r="AV3609" s="76"/>
      <c r="AW3609" s="76"/>
      <c r="AX3609" s="76">
        <f>+AW3609*600000</f>
        <v>0</v>
      </c>
      <c r="AY3609" s="76"/>
      <c r="AZ3609" s="76">
        <f>+AY3609*70000</f>
        <v>0</v>
      </c>
      <c r="BA3609" s="76"/>
      <c r="BB3609" s="76"/>
      <c r="BC3609" s="76"/>
      <c r="BD3609" s="76">
        <f>+BC3609*30000</f>
        <v>0</v>
      </c>
      <c r="BE3609" s="76"/>
      <c r="BF3609" s="76"/>
      <c r="BG3609" s="76"/>
      <c r="BH3609" s="76"/>
      <c r="BI3609" s="76"/>
      <c r="BJ3609" s="76"/>
      <c r="BK3609" s="76"/>
      <c r="BL3609" s="76">
        <f>+BK3609*31500</f>
        <v>0</v>
      </c>
      <c r="BM3609" s="76"/>
      <c r="BN3609" s="76"/>
      <c r="BO3609" s="76"/>
      <c r="BP3609" s="76"/>
      <c r="BQ3609" s="76"/>
      <c r="BR3609" s="76"/>
      <c r="BS3609" s="76"/>
      <c r="BT3609" s="76"/>
      <c r="BU3609" s="76"/>
      <c r="BV3609" s="76"/>
      <c r="BW3609" s="76"/>
      <c r="BX3609" s="76"/>
      <c r="BY3609" s="76"/>
      <c r="BZ3609" s="76"/>
      <c r="CA3609" s="76"/>
      <c r="CB3609" s="76"/>
      <c r="CC3609" s="76"/>
      <c r="CD3609" s="76"/>
      <c r="CE3609" s="76"/>
      <c r="CF3609" s="76">
        <f>+CE3609*28000</f>
        <v>0</v>
      </c>
      <c r="CG3609" s="76"/>
      <c r="CH3609" s="76">
        <f>+CG3609*22500</f>
        <v>0</v>
      </c>
      <c r="CI3609" s="76"/>
      <c r="CJ3609" s="76">
        <f>+CI3609*26000</f>
        <v>0</v>
      </c>
      <c r="CK3609" s="76"/>
      <c r="CL3609" s="76"/>
      <c r="CM3609" s="76"/>
      <c r="CN3609" s="76">
        <f>+CM3609*22000</f>
        <v>0</v>
      </c>
      <c r="CO3609" s="76"/>
      <c r="CP3609" s="76">
        <f>+CO3609*46000</f>
        <v>0</v>
      </c>
      <c r="CQ3609" s="76"/>
      <c r="CR3609" s="76">
        <f>+CQ3609*49000</f>
        <v>0</v>
      </c>
      <c r="CS3609" s="76"/>
      <c r="CT3609" s="76"/>
      <c r="CU3609" s="56">
        <f>AN3609+AP3609+AR3609+AT3609+AV3609+AX3609+AZ3609+BB3609+BD3609+BF3609+BH3609+BJ3609+BL3609+BN3609+BP3609+BR3609+BT3609+BV3609+BX3609+BZ3609+CB3609+CD3609+CF3609+CH3609+CJ3609+CL3609+CN3609+CP3609+CR3609+CT3609</f>
        <v>0</v>
      </c>
      <c r="CV3609" s="76"/>
      <c r="CW3609" s="76">
        <f>+CV3609*1100</f>
        <v>0</v>
      </c>
      <c r="CX3609" s="76"/>
      <c r="CY3609" s="76">
        <f>+CX3609*106250</f>
        <v>0</v>
      </c>
      <c r="CZ3609" s="76"/>
      <c r="DA3609" s="76">
        <f>+CZ3609*34500</f>
        <v>0</v>
      </c>
      <c r="DB3609" s="76"/>
      <c r="DC3609" s="76">
        <f>+DB3609*25000</f>
        <v>0</v>
      </c>
      <c r="DD3609" s="219"/>
      <c r="DE3609" s="219"/>
      <c r="DF3609" s="166"/>
      <c r="DG3609" s="116"/>
      <c r="DH3609" s="117"/>
      <c r="DI3609" s="24"/>
      <c r="DJ3609" s="24"/>
      <c r="DK3609" s="24"/>
      <c r="DL3609" s="24"/>
      <c r="DM3609" s="24"/>
      <c r="DN3609" s="24"/>
      <c r="DO3609" s="24"/>
      <c r="DP3609" s="24"/>
      <c r="DQ3609" s="24"/>
      <c r="DR3609" s="24"/>
      <c r="DS3609" s="24"/>
      <c r="DT3609" s="24"/>
      <c r="DU3609" s="24"/>
    </row>
    <row r="3610" spans="1:125" s="8" customFormat="1" ht="60" x14ac:dyDescent="0.2">
      <c r="A3610" s="77">
        <v>41587</v>
      </c>
      <c r="B3610" s="84" t="s">
        <v>2880</v>
      </c>
      <c r="C3610" s="84" t="s">
        <v>2677</v>
      </c>
      <c r="D3610" s="75" t="s">
        <v>3051</v>
      </c>
      <c r="E3610" s="75" t="str">
        <f>VLOOKUP(B3610&amp;C3610,Divipola!$C$2:$F$1138,4,FALSE)</f>
        <v>54109</v>
      </c>
      <c r="F3610" s="89"/>
      <c r="G3610" s="89"/>
      <c r="H3610" s="89"/>
      <c r="I3610" s="89">
        <v>25</v>
      </c>
      <c r="J3610" s="89">
        <v>5</v>
      </c>
      <c r="K3610" s="89"/>
      <c r="L3610" s="89">
        <v>5</v>
      </c>
      <c r="M3610" s="89"/>
      <c r="N3610" s="89"/>
      <c r="O3610" s="89"/>
      <c r="P3610" s="89"/>
      <c r="Q3610" s="89"/>
      <c r="R3610" s="89"/>
      <c r="S3610" s="89"/>
      <c r="T3610" s="89"/>
      <c r="U3610" s="89"/>
      <c r="V3610" s="89"/>
      <c r="W3610" s="96">
        <v>0</v>
      </c>
      <c r="X3610" s="71">
        <f>CU3610</f>
        <v>0</v>
      </c>
      <c r="Y3610" s="71">
        <f>CY3610</f>
        <v>0</v>
      </c>
      <c r="Z3610" s="71">
        <f>DA3610+DC3610+DE3610</f>
        <v>0</v>
      </c>
      <c r="AA3610" s="71">
        <f>CW3610</f>
        <v>0</v>
      </c>
      <c r="AB3610" s="71"/>
      <c r="AC3610" s="71">
        <v>0</v>
      </c>
      <c r="AD3610" s="71">
        <f>W3610+X3610+Y3610+Z3610+AA3610+AB3610+AC3610</f>
        <v>0</v>
      </c>
      <c r="AE3610" s="72">
        <v>0</v>
      </c>
      <c r="AF3610" s="5"/>
      <c r="AG3610" s="6"/>
      <c r="AH3610" s="27"/>
      <c r="AI3610" s="44"/>
      <c r="AJ3610" s="26"/>
      <c r="AK3610" s="5"/>
      <c r="AL3610" s="366" t="s">
        <v>6608</v>
      </c>
      <c r="AM3610" s="76"/>
      <c r="AN3610" s="76"/>
      <c r="AO3610" s="76"/>
      <c r="AP3610" s="76"/>
      <c r="AQ3610" s="76"/>
      <c r="AR3610" s="76"/>
      <c r="AS3610" s="76"/>
      <c r="AT3610" s="76"/>
      <c r="AU3610" s="76"/>
      <c r="AV3610" s="76"/>
      <c r="AW3610" s="76"/>
      <c r="AX3610" s="76">
        <f>+AW3610*600000</f>
        <v>0</v>
      </c>
      <c r="AY3610" s="76"/>
      <c r="AZ3610" s="76">
        <f>+AY3610*70000</f>
        <v>0</v>
      </c>
      <c r="BA3610" s="76"/>
      <c r="BB3610" s="76"/>
      <c r="BC3610" s="76"/>
      <c r="BD3610" s="76">
        <f>+BC3610*30000</f>
        <v>0</v>
      </c>
      <c r="BE3610" s="76"/>
      <c r="BF3610" s="76"/>
      <c r="BG3610" s="76"/>
      <c r="BH3610" s="76"/>
      <c r="BI3610" s="76"/>
      <c r="BJ3610" s="76"/>
      <c r="BK3610" s="76"/>
      <c r="BL3610" s="76">
        <f>+BK3610*31500</f>
        <v>0</v>
      </c>
      <c r="BM3610" s="76"/>
      <c r="BN3610" s="76"/>
      <c r="BO3610" s="76"/>
      <c r="BP3610" s="76"/>
      <c r="BQ3610" s="76"/>
      <c r="BR3610" s="76"/>
      <c r="BS3610" s="76"/>
      <c r="BT3610" s="76"/>
      <c r="BU3610" s="76"/>
      <c r="BV3610" s="76"/>
      <c r="BW3610" s="76"/>
      <c r="BX3610" s="76"/>
      <c r="BY3610" s="76"/>
      <c r="BZ3610" s="76"/>
      <c r="CA3610" s="76"/>
      <c r="CB3610" s="76"/>
      <c r="CC3610" s="76"/>
      <c r="CD3610" s="76"/>
      <c r="CE3610" s="76"/>
      <c r="CF3610" s="76">
        <f>+CE3610*28000</f>
        <v>0</v>
      </c>
      <c r="CG3610" s="76"/>
      <c r="CH3610" s="76">
        <f>+CG3610*22500</f>
        <v>0</v>
      </c>
      <c r="CI3610" s="76"/>
      <c r="CJ3610" s="76">
        <f>+CI3610*26000</f>
        <v>0</v>
      </c>
      <c r="CK3610" s="76"/>
      <c r="CL3610" s="76"/>
      <c r="CM3610" s="76"/>
      <c r="CN3610" s="76">
        <f>+CM3610*22000</f>
        <v>0</v>
      </c>
      <c r="CO3610" s="76"/>
      <c r="CP3610" s="76">
        <f>+CO3610*46000</f>
        <v>0</v>
      </c>
      <c r="CQ3610" s="76"/>
      <c r="CR3610" s="76">
        <f>+CQ3610*49000</f>
        <v>0</v>
      </c>
      <c r="CS3610" s="76"/>
      <c r="CT3610" s="76"/>
      <c r="CU3610" s="56">
        <f>AN3610+AP3610+AR3610+AT3610+AV3610+AX3610+AZ3610+BB3610+BD3610+BF3610+BH3610+BJ3610+BL3610+BN3610+BP3610+BR3610+BT3610+BV3610+BX3610+BZ3610+CB3610+CD3610+CF3610+CH3610+CJ3610+CL3610+CN3610+CP3610+CR3610+CT3610</f>
        <v>0</v>
      </c>
      <c r="CV3610" s="76"/>
      <c r="CW3610" s="76">
        <f>+CV3610*1100</f>
        <v>0</v>
      </c>
      <c r="CX3610" s="76"/>
      <c r="CY3610" s="76">
        <f>+CX3610*106250</f>
        <v>0</v>
      </c>
      <c r="CZ3610" s="76"/>
      <c r="DA3610" s="76">
        <f>+CZ3610*34500</f>
        <v>0</v>
      </c>
      <c r="DB3610" s="76"/>
      <c r="DC3610" s="76">
        <f>+DB3610*25000</f>
        <v>0</v>
      </c>
      <c r="DD3610" s="219"/>
      <c r="DE3610" s="219"/>
      <c r="DF3610" s="166"/>
      <c r="DG3610" s="116"/>
      <c r="DH3610" s="117"/>
      <c r="DI3610" s="24"/>
      <c r="DJ3610" s="24"/>
      <c r="DK3610" s="24"/>
      <c r="DL3610" s="24"/>
      <c r="DM3610" s="24"/>
      <c r="DN3610" s="24"/>
      <c r="DO3610" s="24"/>
      <c r="DP3610" s="24"/>
      <c r="DQ3610" s="24"/>
      <c r="DR3610" s="24"/>
      <c r="DS3610" s="24"/>
      <c r="DT3610" s="24"/>
      <c r="DU3610" s="24"/>
    </row>
    <row r="3611" spans="1:125" s="8" customFormat="1" ht="36" x14ac:dyDescent="0.2">
      <c r="A3611" s="353">
        <v>41587</v>
      </c>
      <c r="B3611" s="352" t="s">
        <v>2860</v>
      </c>
      <c r="C3611" s="354" t="s">
        <v>2776</v>
      </c>
      <c r="D3611" s="354" t="s">
        <v>3088</v>
      </c>
      <c r="E3611" s="75" t="str">
        <f>VLOOKUP(B3611&amp;C3611,Divipola!$C$2:$F$1138,4,FALSE)</f>
        <v>63001</v>
      </c>
      <c r="F3611" s="87"/>
      <c r="G3611" s="87"/>
      <c r="H3611" s="87"/>
      <c r="I3611" s="87">
        <v>8</v>
      </c>
      <c r="J3611" s="87">
        <v>2</v>
      </c>
      <c r="K3611" s="87"/>
      <c r="L3611" s="87">
        <v>2</v>
      </c>
      <c r="M3611" s="87"/>
      <c r="N3611" s="87"/>
      <c r="O3611" s="87"/>
      <c r="P3611" s="87"/>
      <c r="Q3611" s="87"/>
      <c r="R3611" s="87"/>
      <c r="S3611" s="87"/>
      <c r="T3611" s="87"/>
      <c r="U3611" s="88"/>
      <c r="V3611" s="89"/>
      <c r="W3611" s="96">
        <v>0</v>
      </c>
      <c r="X3611" s="71">
        <f>CU3611</f>
        <v>0</v>
      </c>
      <c r="Y3611" s="71">
        <f>CY3611</f>
        <v>0</v>
      </c>
      <c r="Z3611" s="71">
        <f>DA3611+DC3611+DE3611</f>
        <v>0</v>
      </c>
      <c r="AA3611" s="71">
        <f>CW3611</f>
        <v>0</v>
      </c>
      <c r="AB3611" s="71"/>
      <c r="AC3611" s="71">
        <v>0</v>
      </c>
      <c r="AD3611" s="71">
        <f>W3611+X3611+Y3611+Z3611+AA3611+AB3611+AC3611</f>
        <v>0</v>
      </c>
      <c r="AE3611" s="72">
        <v>0</v>
      </c>
      <c r="AF3611" s="5"/>
      <c r="AG3611" s="6"/>
      <c r="AH3611" s="27"/>
      <c r="AI3611" s="44"/>
      <c r="AJ3611" s="26"/>
      <c r="AK3611" s="5"/>
      <c r="AL3611" s="364" t="s">
        <v>6614</v>
      </c>
      <c r="AM3611" s="76"/>
      <c r="AN3611" s="76"/>
      <c r="AO3611" s="76"/>
      <c r="AP3611" s="76"/>
      <c r="AQ3611" s="76"/>
      <c r="AR3611" s="76"/>
      <c r="AS3611" s="76"/>
      <c r="AT3611" s="76"/>
      <c r="AU3611" s="76"/>
      <c r="AV3611" s="76"/>
      <c r="AW3611" s="76"/>
      <c r="AX3611" s="76">
        <f>+AW3611*600000</f>
        <v>0</v>
      </c>
      <c r="AY3611" s="76"/>
      <c r="AZ3611" s="76">
        <f>+AY3611*70000</f>
        <v>0</v>
      </c>
      <c r="BA3611" s="76"/>
      <c r="BB3611" s="76"/>
      <c r="BC3611" s="76"/>
      <c r="BD3611" s="76">
        <f>+BC3611*30000</f>
        <v>0</v>
      </c>
      <c r="BE3611" s="76"/>
      <c r="BF3611" s="76"/>
      <c r="BG3611" s="76"/>
      <c r="BH3611" s="76"/>
      <c r="BI3611" s="76"/>
      <c r="BJ3611" s="76"/>
      <c r="BK3611" s="76"/>
      <c r="BL3611" s="76">
        <f>+BK3611*31500</f>
        <v>0</v>
      </c>
      <c r="BM3611" s="76"/>
      <c r="BN3611" s="76"/>
      <c r="BO3611" s="76"/>
      <c r="BP3611" s="76"/>
      <c r="BQ3611" s="76"/>
      <c r="BR3611" s="76"/>
      <c r="BS3611" s="76"/>
      <c r="BT3611" s="76"/>
      <c r="BU3611" s="76"/>
      <c r="BV3611" s="76"/>
      <c r="BW3611" s="76"/>
      <c r="BX3611" s="76"/>
      <c r="BY3611" s="76"/>
      <c r="BZ3611" s="76"/>
      <c r="CA3611" s="76"/>
      <c r="CB3611" s="76"/>
      <c r="CC3611" s="76"/>
      <c r="CD3611" s="76"/>
      <c r="CE3611" s="76"/>
      <c r="CF3611" s="76">
        <f>+CE3611*28000</f>
        <v>0</v>
      </c>
      <c r="CG3611" s="76"/>
      <c r="CH3611" s="76">
        <f>+CG3611*22500</f>
        <v>0</v>
      </c>
      <c r="CI3611" s="76"/>
      <c r="CJ3611" s="76">
        <f>+CI3611*26000</f>
        <v>0</v>
      </c>
      <c r="CK3611" s="76"/>
      <c r="CL3611" s="76"/>
      <c r="CM3611" s="76"/>
      <c r="CN3611" s="76">
        <f>+CM3611*22000</f>
        <v>0</v>
      </c>
      <c r="CO3611" s="76"/>
      <c r="CP3611" s="76">
        <f>+CO3611*46000</f>
        <v>0</v>
      </c>
      <c r="CQ3611" s="76"/>
      <c r="CR3611" s="76">
        <f>+CQ3611*49000</f>
        <v>0</v>
      </c>
      <c r="CS3611" s="76"/>
      <c r="CT3611" s="76"/>
      <c r="CU3611" s="56">
        <f>AN3611+AP3611+AR3611+AT3611+AV3611+AX3611+AZ3611+BB3611+BD3611+BF3611+BH3611+BJ3611+BL3611+BN3611+BP3611+BR3611+BT3611+BV3611+BX3611+BZ3611+CB3611+CD3611+CF3611+CH3611+CJ3611+CL3611+CN3611+CP3611+CR3611+CT3611</f>
        <v>0</v>
      </c>
      <c r="CV3611" s="76"/>
      <c r="CW3611" s="76">
        <f>+CV3611*1100</f>
        <v>0</v>
      </c>
      <c r="CX3611" s="76"/>
      <c r="CY3611" s="76">
        <f>+CX3611*106250</f>
        <v>0</v>
      </c>
      <c r="CZ3611" s="76"/>
      <c r="DA3611" s="76">
        <f>+CZ3611*34500</f>
        <v>0</v>
      </c>
      <c r="DB3611" s="76"/>
      <c r="DC3611" s="76">
        <f>+DB3611*25000</f>
        <v>0</v>
      </c>
      <c r="DD3611" s="219"/>
      <c r="DE3611" s="219"/>
      <c r="DF3611" s="166"/>
      <c r="DG3611" s="116"/>
      <c r="DH3611" s="117"/>
      <c r="DI3611" s="24"/>
      <c r="DJ3611" s="24"/>
      <c r="DK3611" s="24"/>
      <c r="DL3611" s="24"/>
      <c r="DM3611" s="24"/>
      <c r="DN3611" s="24"/>
      <c r="DO3611" s="24"/>
      <c r="DP3611" s="24"/>
      <c r="DQ3611" s="24"/>
      <c r="DR3611" s="24"/>
      <c r="DS3611" s="24"/>
      <c r="DT3611" s="24"/>
      <c r="DU3611" s="24"/>
    </row>
    <row r="3612" spans="1:125" s="8" customFormat="1" ht="72" x14ac:dyDescent="0.2">
      <c r="A3612" s="353">
        <v>41587</v>
      </c>
      <c r="B3612" s="352" t="s">
        <v>2881</v>
      </c>
      <c r="C3612" s="354" t="s">
        <v>2767</v>
      </c>
      <c r="D3612" s="354" t="s">
        <v>3051</v>
      </c>
      <c r="E3612" s="75" t="str">
        <f>VLOOKUP(B3612&amp;C3612,Divipola!$C$2:$F$1138,4,FALSE)</f>
        <v>08001</v>
      </c>
      <c r="F3612" s="87"/>
      <c r="G3612" s="87"/>
      <c r="H3612" s="87"/>
      <c r="I3612" s="87">
        <v>305</v>
      </c>
      <c r="J3612" s="87">
        <v>61</v>
      </c>
      <c r="K3612" s="87"/>
      <c r="L3612" s="87">
        <v>61</v>
      </c>
      <c r="M3612" s="87"/>
      <c r="N3612" s="87"/>
      <c r="O3612" s="87"/>
      <c r="P3612" s="87"/>
      <c r="Q3612" s="87"/>
      <c r="R3612" s="87"/>
      <c r="S3612" s="87"/>
      <c r="T3612" s="87"/>
      <c r="U3612" s="88"/>
      <c r="V3612" s="89"/>
      <c r="W3612" s="96">
        <v>0</v>
      </c>
      <c r="X3612" s="71">
        <f>CU3612</f>
        <v>0</v>
      </c>
      <c r="Y3612" s="71">
        <f>CY3612</f>
        <v>0</v>
      </c>
      <c r="Z3612" s="71">
        <f>DA3612+DC3612+DE3612</f>
        <v>0</v>
      </c>
      <c r="AA3612" s="71">
        <f>CW3612</f>
        <v>0</v>
      </c>
      <c r="AB3612" s="71"/>
      <c r="AC3612" s="71">
        <v>0</v>
      </c>
      <c r="AD3612" s="71">
        <f>W3612+X3612+Y3612+Z3612+AA3612+AB3612+AC3612</f>
        <v>0</v>
      </c>
      <c r="AE3612" s="72">
        <v>0</v>
      </c>
      <c r="AF3612" s="5"/>
      <c r="AG3612" s="6"/>
      <c r="AH3612" s="27"/>
      <c r="AI3612" s="44"/>
      <c r="AJ3612" s="26"/>
      <c r="AK3612" s="5"/>
      <c r="AL3612" s="82" t="s">
        <v>6622</v>
      </c>
      <c r="AM3612" s="76"/>
      <c r="AN3612" s="76"/>
      <c r="AO3612" s="76"/>
      <c r="AP3612" s="76"/>
      <c r="AQ3612" s="76"/>
      <c r="AR3612" s="76"/>
      <c r="AS3612" s="76"/>
      <c r="AT3612" s="76"/>
      <c r="AU3612" s="76"/>
      <c r="AV3612" s="76"/>
      <c r="AW3612" s="76"/>
      <c r="AX3612" s="76">
        <f>+AW3612*600000</f>
        <v>0</v>
      </c>
      <c r="AY3612" s="76"/>
      <c r="AZ3612" s="76">
        <f>+AY3612*70000</f>
        <v>0</v>
      </c>
      <c r="BA3612" s="76"/>
      <c r="BB3612" s="76"/>
      <c r="BC3612" s="76"/>
      <c r="BD3612" s="76">
        <f>+BC3612*30000</f>
        <v>0</v>
      </c>
      <c r="BE3612" s="76"/>
      <c r="BF3612" s="76"/>
      <c r="BG3612" s="76"/>
      <c r="BH3612" s="76"/>
      <c r="BI3612" s="76"/>
      <c r="BJ3612" s="76"/>
      <c r="BK3612" s="76"/>
      <c r="BL3612" s="76">
        <f>+BK3612*31500</f>
        <v>0</v>
      </c>
      <c r="BM3612" s="76"/>
      <c r="BN3612" s="76"/>
      <c r="BO3612" s="76"/>
      <c r="BP3612" s="76"/>
      <c r="BQ3612" s="76"/>
      <c r="BR3612" s="76"/>
      <c r="BS3612" s="76"/>
      <c r="BT3612" s="76"/>
      <c r="BU3612" s="76"/>
      <c r="BV3612" s="76"/>
      <c r="BW3612" s="76"/>
      <c r="BX3612" s="76"/>
      <c r="BY3612" s="76"/>
      <c r="BZ3612" s="76"/>
      <c r="CA3612" s="76"/>
      <c r="CB3612" s="76"/>
      <c r="CC3612" s="76"/>
      <c r="CD3612" s="76"/>
      <c r="CE3612" s="76"/>
      <c r="CF3612" s="76">
        <f>+CE3612*28000</f>
        <v>0</v>
      </c>
      <c r="CG3612" s="76"/>
      <c r="CH3612" s="76">
        <f>+CG3612*22500</f>
        <v>0</v>
      </c>
      <c r="CI3612" s="76"/>
      <c r="CJ3612" s="76">
        <f>+CI3612*26000</f>
        <v>0</v>
      </c>
      <c r="CK3612" s="76"/>
      <c r="CL3612" s="76"/>
      <c r="CM3612" s="76"/>
      <c r="CN3612" s="76">
        <f>+CM3612*22000</f>
        <v>0</v>
      </c>
      <c r="CO3612" s="76"/>
      <c r="CP3612" s="76">
        <f>+CO3612*46000</f>
        <v>0</v>
      </c>
      <c r="CQ3612" s="76"/>
      <c r="CR3612" s="76">
        <f>+CQ3612*49000</f>
        <v>0</v>
      </c>
      <c r="CS3612" s="76"/>
      <c r="CT3612" s="76"/>
      <c r="CU3612" s="56">
        <f>AN3612+AP3612+AR3612+AT3612+AV3612+AX3612+AZ3612+BB3612+BD3612+BF3612+BH3612+BJ3612+BL3612+BN3612+BP3612+BR3612+BT3612+BV3612+BX3612+BZ3612+CB3612+CD3612+CF3612+CH3612+CJ3612+CL3612+CN3612+CP3612+CR3612+CT3612</f>
        <v>0</v>
      </c>
      <c r="CV3612" s="76"/>
      <c r="CW3612" s="76">
        <f>+CV3612*1100</f>
        <v>0</v>
      </c>
      <c r="CX3612" s="76"/>
      <c r="CY3612" s="76">
        <f>+CX3612*106250</f>
        <v>0</v>
      </c>
      <c r="CZ3612" s="76"/>
      <c r="DA3612" s="76">
        <f>+CZ3612*34500</f>
        <v>0</v>
      </c>
      <c r="DB3612" s="76"/>
      <c r="DC3612" s="76">
        <f>+DB3612*25000</f>
        <v>0</v>
      </c>
      <c r="DD3612" s="219"/>
      <c r="DE3612" s="219"/>
      <c r="DF3612" s="166"/>
      <c r="DG3612" s="116"/>
      <c r="DH3612" s="117"/>
      <c r="DI3612" s="24"/>
      <c r="DJ3612" s="24"/>
      <c r="DK3612" s="24"/>
      <c r="DL3612" s="24"/>
      <c r="DM3612" s="24"/>
      <c r="DN3612" s="24"/>
      <c r="DO3612" s="24"/>
      <c r="DP3612" s="24"/>
      <c r="DQ3612" s="24"/>
      <c r="DR3612" s="24"/>
      <c r="DS3612" s="24"/>
      <c r="DT3612" s="24"/>
      <c r="DU3612" s="24"/>
    </row>
    <row r="3613" spans="1:125" s="8" customFormat="1" ht="60" x14ac:dyDescent="0.2">
      <c r="A3613" s="353">
        <v>41587</v>
      </c>
      <c r="B3613" s="352" t="s">
        <v>2881</v>
      </c>
      <c r="C3613" s="354" t="s">
        <v>2680</v>
      </c>
      <c r="D3613" s="354" t="s">
        <v>3051</v>
      </c>
      <c r="E3613" s="75" t="str">
        <f>VLOOKUP(B3613&amp;C3613,Divipola!$C$2:$F$1138,4,FALSE)</f>
        <v>08758</v>
      </c>
      <c r="F3613" s="87"/>
      <c r="G3613" s="87"/>
      <c r="H3613" s="87"/>
      <c r="I3613" s="87">
        <v>50</v>
      </c>
      <c r="J3613" s="87">
        <v>10</v>
      </c>
      <c r="K3613" s="87"/>
      <c r="L3613" s="87">
        <v>10</v>
      </c>
      <c r="M3613" s="87"/>
      <c r="N3613" s="87"/>
      <c r="O3613" s="87"/>
      <c r="P3613" s="87"/>
      <c r="Q3613" s="87"/>
      <c r="R3613" s="87"/>
      <c r="S3613" s="87"/>
      <c r="T3613" s="87"/>
      <c r="U3613" s="88"/>
      <c r="V3613" s="89"/>
      <c r="W3613" s="96">
        <v>0</v>
      </c>
      <c r="X3613" s="71">
        <f>CU3613</f>
        <v>0</v>
      </c>
      <c r="Y3613" s="71">
        <f>CY3613</f>
        <v>0</v>
      </c>
      <c r="Z3613" s="71">
        <f>DA3613+DC3613+DE3613</f>
        <v>0</v>
      </c>
      <c r="AA3613" s="71">
        <f>CW3613</f>
        <v>0</v>
      </c>
      <c r="AB3613" s="71"/>
      <c r="AC3613" s="71">
        <v>0</v>
      </c>
      <c r="AD3613" s="71">
        <f>W3613+X3613+Y3613+Z3613+AA3613+AB3613+AC3613</f>
        <v>0</v>
      </c>
      <c r="AE3613" s="72">
        <v>0</v>
      </c>
      <c r="AF3613" s="5"/>
      <c r="AG3613" s="6"/>
      <c r="AH3613" s="27"/>
      <c r="AI3613" s="44"/>
      <c r="AJ3613" s="26"/>
      <c r="AK3613" s="5"/>
      <c r="AL3613" s="82" t="s">
        <v>6623</v>
      </c>
      <c r="AM3613" s="76"/>
      <c r="AN3613" s="76"/>
      <c r="AO3613" s="76"/>
      <c r="AP3613" s="76"/>
      <c r="AQ3613" s="76"/>
      <c r="AR3613" s="76"/>
      <c r="AS3613" s="76"/>
      <c r="AT3613" s="76"/>
      <c r="AU3613" s="76"/>
      <c r="AV3613" s="76"/>
      <c r="AW3613" s="76"/>
      <c r="AX3613" s="76">
        <f>+AW3613*600000</f>
        <v>0</v>
      </c>
      <c r="AY3613" s="76"/>
      <c r="AZ3613" s="76">
        <f>+AY3613*70000</f>
        <v>0</v>
      </c>
      <c r="BA3613" s="76"/>
      <c r="BB3613" s="76"/>
      <c r="BC3613" s="76"/>
      <c r="BD3613" s="76">
        <f>+BC3613*30000</f>
        <v>0</v>
      </c>
      <c r="BE3613" s="76"/>
      <c r="BF3613" s="76"/>
      <c r="BG3613" s="76"/>
      <c r="BH3613" s="76"/>
      <c r="BI3613" s="76"/>
      <c r="BJ3613" s="76"/>
      <c r="BK3613" s="76"/>
      <c r="BL3613" s="76">
        <f>+BK3613*31500</f>
        <v>0</v>
      </c>
      <c r="BM3613" s="76"/>
      <c r="BN3613" s="76"/>
      <c r="BO3613" s="76"/>
      <c r="BP3613" s="76"/>
      <c r="BQ3613" s="76"/>
      <c r="BR3613" s="76"/>
      <c r="BS3613" s="76"/>
      <c r="BT3613" s="76"/>
      <c r="BU3613" s="76"/>
      <c r="BV3613" s="76"/>
      <c r="BW3613" s="76"/>
      <c r="BX3613" s="76"/>
      <c r="BY3613" s="76"/>
      <c r="BZ3613" s="76"/>
      <c r="CA3613" s="76"/>
      <c r="CB3613" s="76"/>
      <c r="CC3613" s="76"/>
      <c r="CD3613" s="76"/>
      <c r="CE3613" s="76"/>
      <c r="CF3613" s="76">
        <f>+CE3613*28000</f>
        <v>0</v>
      </c>
      <c r="CG3613" s="76"/>
      <c r="CH3613" s="76">
        <f>+CG3613*22500</f>
        <v>0</v>
      </c>
      <c r="CI3613" s="76"/>
      <c r="CJ3613" s="76">
        <f>+CI3613*26000</f>
        <v>0</v>
      </c>
      <c r="CK3613" s="76"/>
      <c r="CL3613" s="76"/>
      <c r="CM3613" s="76"/>
      <c r="CN3613" s="76">
        <f>+CM3613*22000</f>
        <v>0</v>
      </c>
      <c r="CO3613" s="76"/>
      <c r="CP3613" s="76">
        <f>+CO3613*46000</f>
        <v>0</v>
      </c>
      <c r="CQ3613" s="76"/>
      <c r="CR3613" s="76">
        <f>+CQ3613*49000</f>
        <v>0</v>
      </c>
      <c r="CS3613" s="76"/>
      <c r="CT3613" s="76"/>
      <c r="CU3613" s="56">
        <f>AN3613+AP3613+AR3613+AT3613+AV3613+AX3613+AZ3613+BB3613+BD3613+BF3613+BH3613+BJ3613+BL3613+BN3613+BP3613+BR3613+BT3613+BV3613+BX3613+BZ3613+CB3613+CD3613+CF3613+CH3613+CJ3613+CL3613+CN3613+CP3613+CR3613+CT3613</f>
        <v>0</v>
      </c>
      <c r="CV3613" s="76"/>
      <c r="CW3613" s="76">
        <f>+CV3613*1100</f>
        <v>0</v>
      </c>
      <c r="CX3613" s="76"/>
      <c r="CY3613" s="76">
        <f>+CX3613*106250</f>
        <v>0</v>
      </c>
      <c r="CZ3613" s="76"/>
      <c r="DA3613" s="76">
        <f>+CZ3613*34500</f>
        <v>0</v>
      </c>
      <c r="DB3613" s="76"/>
      <c r="DC3613" s="76">
        <f>+DB3613*25000</f>
        <v>0</v>
      </c>
      <c r="DD3613" s="219"/>
      <c r="DE3613" s="219"/>
      <c r="DF3613" s="166"/>
      <c r="DG3613" s="116"/>
      <c r="DH3613" s="117"/>
      <c r="DI3613" s="24"/>
      <c r="DJ3613" s="24"/>
      <c r="DK3613" s="24"/>
      <c r="DL3613" s="24"/>
      <c r="DM3613" s="24"/>
      <c r="DN3613" s="24"/>
      <c r="DO3613" s="24"/>
      <c r="DP3613" s="24"/>
      <c r="DQ3613" s="24"/>
      <c r="DR3613" s="24"/>
      <c r="DS3613" s="24"/>
      <c r="DT3613" s="24"/>
      <c r="DU3613" s="24"/>
    </row>
    <row r="3614" spans="1:125" s="8" customFormat="1" ht="156" x14ac:dyDescent="0.2">
      <c r="A3614" s="353">
        <v>41587</v>
      </c>
      <c r="B3614" s="352" t="s">
        <v>2811</v>
      </c>
      <c r="C3614" s="354" t="s">
        <v>2160</v>
      </c>
      <c r="D3614" s="354" t="s">
        <v>3088</v>
      </c>
      <c r="E3614" s="75" t="str">
        <f>VLOOKUP(B3614&amp;C3614,Divipola!$C$2:$F$1138,4,FALSE)</f>
        <v>52399</v>
      </c>
      <c r="F3614" s="87"/>
      <c r="G3614" s="87"/>
      <c r="H3614" s="87"/>
      <c r="I3614" s="87">
        <v>52</v>
      </c>
      <c r="J3614" s="87">
        <v>15</v>
      </c>
      <c r="K3614" s="87"/>
      <c r="L3614" s="87">
        <v>15</v>
      </c>
      <c r="M3614" s="87">
        <v>1</v>
      </c>
      <c r="N3614" s="87"/>
      <c r="O3614" s="87"/>
      <c r="P3614" s="87"/>
      <c r="Q3614" s="87"/>
      <c r="R3614" s="87"/>
      <c r="S3614" s="87"/>
      <c r="T3614" s="87"/>
      <c r="U3614" s="88"/>
      <c r="V3614" s="89"/>
      <c r="W3614" s="96">
        <v>0</v>
      </c>
      <c r="X3614" s="71">
        <f>CU3614</f>
        <v>0</v>
      </c>
      <c r="Y3614" s="71">
        <f>CY3614</f>
        <v>0</v>
      </c>
      <c r="Z3614" s="71">
        <f>DA3614+DC3614+DE3614</f>
        <v>0</v>
      </c>
      <c r="AA3614" s="71">
        <f>CW3614</f>
        <v>0</v>
      </c>
      <c r="AB3614" s="71"/>
      <c r="AC3614" s="71">
        <v>0</v>
      </c>
      <c r="AD3614" s="71">
        <f>W3614+X3614+Y3614+Z3614+AA3614+AB3614+AC3614</f>
        <v>0</v>
      </c>
      <c r="AE3614" s="72">
        <v>0</v>
      </c>
      <c r="AF3614" s="5"/>
      <c r="AG3614" s="6"/>
      <c r="AH3614" s="27"/>
      <c r="AI3614" s="44"/>
      <c r="AJ3614" s="26"/>
      <c r="AK3614" s="5"/>
      <c r="AL3614" s="274" t="s">
        <v>6633</v>
      </c>
      <c r="AM3614" s="76"/>
      <c r="AN3614" s="76"/>
      <c r="AO3614" s="76"/>
      <c r="AP3614" s="76"/>
      <c r="AQ3614" s="76"/>
      <c r="AR3614" s="76"/>
      <c r="AS3614" s="76"/>
      <c r="AT3614" s="76"/>
      <c r="AU3614" s="76"/>
      <c r="AV3614" s="76"/>
      <c r="AW3614" s="76"/>
      <c r="AX3614" s="76">
        <f>+AW3614*600000</f>
        <v>0</v>
      </c>
      <c r="AY3614" s="76"/>
      <c r="AZ3614" s="76">
        <f>+AY3614*70000</f>
        <v>0</v>
      </c>
      <c r="BA3614" s="76"/>
      <c r="BB3614" s="76"/>
      <c r="BC3614" s="76"/>
      <c r="BD3614" s="76">
        <f>+BC3614*30000</f>
        <v>0</v>
      </c>
      <c r="BE3614" s="76"/>
      <c r="BF3614" s="76"/>
      <c r="BG3614" s="76"/>
      <c r="BH3614" s="76"/>
      <c r="BI3614" s="76"/>
      <c r="BJ3614" s="76"/>
      <c r="BK3614" s="76"/>
      <c r="BL3614" s="76">
        <f>+BK3614*31500</f>
        <v>0</v>
      </c>
      <c r="BM3614" s="76"/>
      <c r="BN3614" s="76"/>
      <c r="BO3614" s="76"/>
      <c r="BP3614" s="76"/>
      <c r="BQ3614" s="76"/>
      <c r="BR3614" s="76"/>
      <c r="BS3614" s="76"/>
      <c r="BT3614" s="76"/>
      <c r="BU3614" s="76"/>
      <c r="BV3614" s="76"/>
      <c r="BW3614" s="76"/>
      <c r="BX3614" s="76"/>
      <c r="BY3614" s="76"/>
      <c r="BZ3614" s="76"/>
      <c r="CA3614" s="76"/>
      <c r="CB3614" s="76"/>
      <c r="CC3614" s="76"/>
      <c r="CD3614" s="76"/>
      <c r="CE3614" s="76"/>
      <c r="CF3614" s="76">
        <f>+CE3614*28000</f>
        <v>0</v>
      </c>
      <c r="CG3614" s="76"/>
      <c r="CH3614" s="76">
        <f>+CG3614*22500</f>
        <v>0</v>
      </c>
      <c r="CI3614" s="76"/>
      <c r="CJ3614" s="76">
        <f>+CI3614*26000</f>
        <v>0</v>
      </c>
      <c r="CK3614" s="76"/>
      <c r="CL3614" s="76"/>
      <c r="CM3614" s="76"/>
      <c r="CN3614" s="76">
        <f>+CM3614*22000</f>
        <v>0</v>
      </c>
      <c r="CO3614" s="76"/>
      <c r="CP3614" s="76">
        <f>+CO3614*46000</f>
        <v>0</v>
      </c>
      <c r="CQ3614" s="76"/>
      <c r="CR3614" s="76">
        <f>+CQ3614*49000</f>
        <v>0</v>
      </c>
      <c r="CS3614" s="76"/>
      <c r="CT3614" s="76"/>
      <c r="CU3614" s="56">
        <f>AN3614+AP3614+AR3614+AT3614+AV3614+AX3614+AZ3614+BB3614+BD3614+BF3614+BH3614+BJ3614+BL3614+BN3614+BP3614+BR3614+BT3614+BV3614+BX3614+BZ3614+CB3614+CD3614+CF3614+CH3614+CJ3614+CL3614+CN3614+CP3614+CR3614+CT3614</f>
        <v>0</v>
      </c>
      <c r="CV3614" s="76"/>
      <c r="CW3614" s="76">
        <f>+CV3614*1100</f>
        <v>0</v>
      </c>
      <c r="CX3614" s="76"/>
      <c r="CY3614" s="76">
        <f>+CX3614*106250</f>
        <v>0</v>
      </c>
      <c r="CZ3614" s="76"/>
      <c r="DA3614" s="76">
        <f>+CZ3614*34500</f>
        <v>0</v>
      </c>
      <c r="DB3614" s="76"/>
      <c r="DC3614" s="76">
        <f>+DB3614*25000</f>
        <v>0</v>
      </c>
      <c r="DD3614" s="219"/>
      <c r="DE3614" s="219"/>
      <c r="DF3614" s="166"/>
      <c r="DG3614" s="116"/>
      <c r="DH3614" s="117"/>
      <c r="DI3614" s="24"/>
      <c r="DJ3614" s="24"/>
      <c r="DK3614" s="24"/>
      <c r="DL3614" s="24"/>
      <c r="DM3614" s="24"/>
      <c r="DN3614" s="24"/>
      <c r="DO3614" s="24"/>
      <c r="DP3614" s="24"/>
      <c r="DQ3614" s="24"/>
      <c r="DR3614" s="24"/>
      <c r="DS3614" s="24"/>
      <c r="DT3614" s="24"/>
      <c r="DU3614" s="24"/>
    </row>
    <row r="3615" spans="1:125" s="8" customFormat="1" ht="84" x14ac:dyDescent="0.2">
      <c r="A3615" s="77">
        <v>41588</v>
      </c>
      <c r="B3615" s="78" t="s">
        <v>3136</v>
      </c>
      <c r="C3615" s="75" t="s">
        <v>403</v>
      </c>
      <c r="D3615" s="75" t="s">
        <v>3051</v>
      </c>
      <c r="E3615" s="75" t="str">
        <f>VLOOKUP(B3615&amp;C3615,Divipola!$C$2:$F$1138,4,FALSE)</f>
        <v>44430</v>
      </c>
      <c r="F3615" s="87"/>
      <c r="G3615" s="87"/>
      <c r="H3615" s="87"/>
      <c r="I3615" s="87"/>
      <c r="J3615" s="87"/>
      <c r="K3615" s="87"/>
      <c r="L3615" s="87"/>
      <c r="M3615" s="87"/>
      <c r="N3615" s="87"/>
      <c r="O3615" s="87"/>
      <c r="P3615" s="87"/>
      <c r="Q3615" s="87"/>
      <c r="R3615" s="87"/>
      <c r="S3615" s="87"/>
      <c r="T3615" s="87"/>
      <c r="U3615" s="88"/>
      <c r="V3615" s="89"/>
      <c r="W3615" s="96">
        <v>0</v>
      </c>
      <c r="X3615" s="71">
        <f>CU3615</f>
        <v>0</v>
      </c>
      <c r="Y3615" s="71">
        <f>CY3615</f>
        <v>0</v>
      </c>
      <c r="Z3615" s="71">
        <f>DA3615+DC3615+DE3615</f>
        <v>0</v>
      </c>
      <c r="AA3615" s="71">
        <f>CW3615</f>
        <v>0</v>
      </c>
      <c r="AB3615" s="71"/>
      <c r="AC3615" s="71">
        <v>0</v>
      </c>
      <c r="AD3615" s="71">
        <f>W3615+X3615+Y3615+Z3615+AA3615+AB3615+AC3615</f>
        <v>0</v>
      </c>
      <c r="AE3615" s="72">
        <v>0</v>
      </c>
      <c r="AF3615" s="5"/>
      <c r="AG3615" s="6"/>
      <c r="AH3615" s="27"/>
      <c r="AI3615" s="44"/>
      <c r="AJ3615" s="26"/>
      <c r="AK3615" s="5"/>
      <c r="AL3615" s="326" t="s">
        <v>6613</v>
      </c>
      <c r="AM3615" s="76"/>
      <c r="AN3615" s="76"/>
      <c r="AO3615" s="76"/>
      <c r="AP3615" s="76"/>
      <c r="AQ3615" s="76"/>
      <c r="AR3615" s="76"/>
      <c r="AS3615" s="76"/>
      <c r="AT3615" s="76"/>
      <c r="AU3615" s="76"/>
      <c r="AV3615" s="76"/>
      <c r="AW3615" s="76"/>
      <c r="AX3615" s="76">
        <f>+AW3615*600000</f>
        <v>0</v>
      </c>
      <c r="AY3615" s="76"/>
      <c r="AZ3615" s="76">
        <f>+AY3615*70000</f>
        <v>0</v>
      </c>
      <c r="BA3615" s="76"/>
      <c r="BB3615" s="76"/>
      <c r="BC3615" s="76"/>
      <c r="BD3615" s="76">
        <f>+BC3615*30000</f>
        <v>0</v>
      </c>
      <c r="BE3615" s="76"/>
      <c r="BF3615" s="76"/>
      <c r="BG3615" s="76"/>
      <c r="BH3615" s="76"/>
      <c r="BI3615" s="76"/>
      <c r="BJ3615" s="76"/>
      <c r="BK3615" s="76"/>
      <c r="BL3615" s="76">
        <f>+BK3615*31500</f>
        <v>0</v>
      </c>
      <c r="BM3615" s="76"/>
      <c r="BN3615" s="76"/>
      <c r="BO3615" s="76"/>
      <c r="BP3615" s="76"/>
      <c r="BQ3615" s="76"/>
      <c r="BR3615" s="76"/>
      <c r="BS3615" s="76"/>
      <c r="BT3615" s="76"/>
      <c r="BU3615" s="76"/>
      <c r="BV3615" s="76"/>
      <c r="BW3615" s="76"/>
      <c r="BX3615" s="76"/>
      <c r="BY3615" s="76"/>
      <c r="BZ3615" s="76"/>
      <c r="CA3615" s="76"/>
      <c r="CB3615" s="76"/>
      <c r="CC3615" s="76"/>
      <c r="CD3615" s="76"/>
      <c r="CE3615" s="76"/>
      <c r="CF3615" s="76">
        <f>+CE3615*28000</f>
        <v>0</v>
      </c>
      <c r="CG3615" s="76"/>
      <c r="CH3615" s="76">
        <f>+CG3615*22500</f>
        <v>0</v>
      </c>
      <c r="CI3615" s="76"/>
      <c r="CJ3615" s="76">
        <f>+CI3615*26000</f>
        <v>0</v>
      </c>
      <c r="CK3615" s="76"/>
      <c r="CL3615" s="76"/>
      <c r="CM3615" s="76"/>
      <c r="CN3615" s="76">
        <f>+CM3615*22000</f>
        <v>0</v>
      </c>
      <c r="CO3615" s="76"/>
      <c r="CP3615" s="76">
        <f>+CO3615*46000</f>
        <v>0</v>
      </c>
      <c r="CQ3615" s="76"/>
      <c r="CR3615" s="76">
        <f>+CQ3615*49000</f>
        <v>0</v>
      </c>
      <c r="CS3615" s="76"/>
      <c r="CT3615" s="76"/>
      <c r="CU3615" s="56">
        <f>AN3615+AP3615+AR3615+AT3615+AV3615+AX3615+AZ3615+BB3615+BD3615+BF3615+BH3615+BJ3615+BL3615+BN3615+BP3615+BR3615+BT3615+BV3615+BX3615+BZ3615+CB3615+CD3615+CF3615+CH3615+CJ3615+CL3615+CN3615+CP3615+CR3615+CT3615</f>
        <v>0</v>
      </c>
      <c r="CV3615" s="76"/>
      <c r="CW3615" s="76">
        <f>+CV3615*1100</f>
        <v>0</v>
      </c>
      <c r="CX3615" s="76"/>
      <c r="CY3615" s="76">
        <f>+CX3615*106250</f>
        <v>0</v>
      </c>
      <c r="CZ3615" s="76"/>
      <c r="DA3615" s="76">
        <f>+CZ3615*34500</f>
        <v>0</v>
      </c>
      <c r="DB3615" s="76"/>
      <c r="DC3615" s="76">
        <f>+DB3615*25000</f>
        <v>0</v>
      </c>
      <c r="DD3615" s="219"/>
      <c r="DE3615" s="219"/>
      <c r="DF3615" s="166"/>
      <c r="DG3615" s="116"/>
      <c r="DH3615" s="117"/>
      <c r="DI3615" s="24"/>
      <c r="DJ3615" s="24"/>
      <c r="DK3615" s="24"/>
      <c r="DL3615" s="24"/>
      <c r="DM3615" s="24"/>
      <c r="DN3615" s="24"/>
      <c r="DO3615" s="24"/>
      <c r="DP3615" s="24"/>
      <c r="DQ3615" s="24"/>
      <c r="DR3615" s="24"/>
      <c r="DS3615" s="24"/>
      <c r="DT3615" s="24"/>
      <c r="DU3615" s="24"/>
    </row>
    <row r="3616" spans="1:125" s="8" customFormat="1" ht="60" x14ac:dyDescent="0.2">
      <c r="A3616" s="77">
        <v>41588</v>
      </c>
      <c r="B3616" s="78" t="s">
        <v>2854</v>
      </c>
      <c r="C3616" s="75" t="s">
        <v>491</v>
      </c>
      <c r="D3616" s="75" t="s">
        <v>2882</v>
      </c>
      <c r="E3616" s="75" t="str">
        <f>VLOOKUP(B3616&amp;C3616,Divipola!$C$2:$F$1138,4,FALSE)</f>
        <v>19807</v>
      </c>
      <c r="F3616" s="87"/>
      <c r="G3616" s="87"/>
      <c r="H3616" s="87"/>
      <c r="I3616" s="87">
        <v>50</v>
      </c>
      <c r="J3616" s="87">
        <v>10</v>
      </c>
      <c r="K3616" s="87"/>
      <c r="L3616" s="87">
        <v>10</v>
      </c>
      <c r="M3616" s="87"/>
      <c r="N3616" s="87"/>
      <c r="O3616" s="87"/>
      <c r="P3616" s="87"/>
      <c r="Q3616" s="87"/>
      <c r="R3616" s="87"/>
      <c r="S3616" s="87"/>
      <c r="T3616" s="87"/>
      <c r="U3616" s="88"/>
      <c r="V3616" s="89"/>
      <c r="W3616" s="96">
        <v>0</v>
      </c>
      <c r="X3616" s="71">
        <f>CU3616</f>
        <v>0</v>
      </c>
      <c r="Y3616" s="71">
        <f>CY3616</f>
        <v>0</v>
      </c>
      <c r="Z3616" s="71">
        <f>DA3616+DC3616+DE3616</f>
        <v>0</v>
      </c>
      <c r="AA3616" s="71">
        <f>CW3616</f>
        <v>0</v>
      </c>
      <c r="AB3616" s="71"/>
      <c r="AC3616" s="71">
        <v>0</v>
      </c>
      <c r="AD3616" s="71">
        <f>W3616+X3616+Y3616+Z3616+AA3616+AB3616+AC3616</f>
        <v>0</v>
      </c>
      <c r="AE3616" s="72">
        <v>0</v>
      </c>
      <c r="AF3616" s="5"/>
      <c r="AG3616" s="6"/>
      <c r="AH3616" s="27"/>
      <c r="AI3616" s="44"/>
      <c r="AJ3616" s="26"/>
      <c r="AK3616" s="5"/>
      <c r="AL3616" s="268" t="s">
        <v>6615</v>
      </c>
      <c r="AM3616" s="76"/>
      <c r="AN3616" s="76"/>
      <c r="AO3616" s="76"/>
      <c r="AP3616" s="76"/>
      <c r="AQ3616" s="76"/>
      <c r="AR3616" s="76"/>
      <c r="AS3616" s="76"/>
      <c r="AT3616" s="76"/>
      <c r="AU3616" s="76"/>
      <c r="AV3616" s="76"/>
      <c r="AW3616" s="76"/>
      <c r="AX3616" s="76">
        <f>+AW3616*600000</f>
        <v>0</v>
      </c>
      <c r="AY3616" s="76"/>
      <c r="AZ3616" s="76">
        <f>+AY3616*70000</f>
        <v>0</v>
      </c>
      <c r="BA3616" s="76"/>
      <c r="BB3616" s="76"/>
      <c r="BC3616" s="76"/>
      <c r="BD3616" s="76">
        <f>+BC3616*30000</f>
        <v>0</v>
      </c>
      <c r="BE3616" s="76"/>
      <c r="BF3616" s="76"/>
      <c r="BG3616" s="76"/>
      <c r="BH3616" s="76"/>
      <c r="BI3616" s="76"/>
      <c r="BJ3616" s="76"/>
      <c r="BK3616" s="76"/>
      <c r="BL3616" s="76">
        <f>+BK3616*31500</f>
        <v>0</v>
      </c>
      <c r="BM3616" s="76"/>
      <c r="BN3616" s="76"/>
      <c r="BO3616" s="76"/>
      <c r="BP3616" s="76"/>
      <c r="BQ3616" s="76"/>
      <c r="BR3616" s="76"/>
      <c r="BS3616" s="76"/>
      <c r="BT3616" s="76"/>
      <c r="BU3616" s="76"/>
      <c r="BV3616" s="76"/>
      <c r="BW3616" s="76"/>
      <c r="BX3616" s="76"/>
      <c r="BY3616" s="76"/>
      <c r="BZ3616" s="76"/>
      <c r="CA3616" s="76"/>
      <c r="CB3616" s="76"/>
      <c r="CC3616" s="76"/>
      <c r="CD3616" s="76"/>
      <c r="CE3616" s="76"/>
      <c r="CF3616" s="76">
        <f>+CE3616*28000</f>
        <v>0</v>
      </c>
      <c r="CG3616" s="76"/>
      <c r="CH3616" s="76">
        <f>+CG3616*22500</f>
        <v>0</v>
      </c>
      <c r="CI3616" s="76"/>
      <c r="CJ3616" s="76">
        <f>+CI3616*26000</f>
        <v>0</v>
      </c>
      <c r="CK3616" s="76"/>
      <c r="CL3616" s="76"/>
      <c r="CM3616" s="76"/>
      <c r="CN3616" s="76">
        <f>+CM3616*22000</f>
        <v>0</v>
      </c>
      <c r="CO3616" s="76"/>
      <c r="CP3616" s="76">
        <f>+CO3616*46000</f>
        <v>0</v>
      </c>
      <c r="CQ3616" s="76"/>
      <c r="CR3616" s="76">
        <f>+CQ3616*49000</f>
        <v>0</v>
      </c>
      <c r="CS3616" s="76"/>
      <c r="CT3616" s="76"/>
      <c r="CU3616" s="56">
        <f>AN3616+AP3616+AR3616+AT3616+AV3616+AX3616+AZ3616+BB3616+BD3616+BF3616+BH3616+BJ3616+BL3616+BN3616+BP3616+BR3616+BT3616+BV3616+BX3616+BZ3616+CB3616+CD3616+CF3616+CH3616+CJ3616+CL3616+CN3616+CP3616+CR3616+CT3616</f>
        <v>0</v>
      </c>
      <c r="CV3616" s="76"/>
      <c r="CW3616" s="76">
        <f>+CV3616*1100</f>
        <v>0</v>
      </c>
      <c r="CX3616" s="76"/>
      <c r="CY3616" s="76">
        <f>+CX3616*106250</f>
        <v>0</v>
      </c>
      <c r="CZ3616" s="76"/>
      <c r="DA3616" s="76">
        <f>+CZ3616*34500</f>
        <v>0</v>
      </c>
      <c r="DB3616" s="76"/>
      <c r="DC3616" s="76">
        <f>+DB3616*25000</f>
        <v>0</v>
      </c>
      <c r="DD3616" s="219"/>
      <c r="DE3616" s="219"/>
      <c r="DF3616" s="166"/>
      <c r="DG3616" s="116"/>
      <c r="DH3616" s="117"/>
      <c r="DI3616" s="24"/>
      <c r="DJ3616" s="24"/>
      <c r="DK3616" s="24"/>
      <c r="DL3616" s="24"/>
      <c r="DM3616" s="24"/>
      <c r="DN3616" s="24"/>
      <c r="DO3616" s="24"/>
      <c r="DP3616" s="24"/>
      <c r="DQ3616" s="24"/>
      <c r="DR3616" s="24"/>
      <c r="DS3616" s="24"/>
      <c r="DT3616" s="24"/>
      <c r="DU3616" s="24"/>
    </row>
    <row r="3617" spans="1:125" s="8" customFormat="1" ht="60" x14ac:dyDescent="0.2">
      <c r="A3617" s="77">
        <v>41588</v>
      </c>
      <c r="B3617" s="352" t="s">
        <v>2854</v>
      </c>
      <c r="C3617" s="354" t="s">
        <v>2731</v>
      </c>
      <c r="D3617" s="354" t="s">
        <v>2859</v>
      </c>
      <c r="E3617" s="75" t="str">
        <f>VLOOKUP(B3617&amp;C3617,Divipola!$C$2:$F$1138,4,FALSE)</f>
        <v>19001</v>
      </c>
      <c r="F3617" s="87"/>
      <c r="G3617" s="87">
        <v>1</v>
      </c>
      <c r="H3617" s="87"/>
      <c r="I3617" s="87">
        <v>15</v>
      </c>
      <c r="J3617" s="87">
        <v>3</v>
      </c>
      <c r="K3617" s="87">
        <v>3</v>
      </c>
      <c r="L3617" s="87"/>
      <c r="M3617" s="87"/>
      <c r="N3617" s="87"/>
      <c r="O3617" s="87"/>
      <c r="P3617" s="87"/>
      <c r="Q3617" s="87"/>
      <c r="R3617" s="87"/>
      <c r="S3617" s="87"/>
      <c r="T3617" s="87"/>
      <c r="U3617" s="88"/>
      <c r="V3617" s="89"/>
      <c r="W3617" s="96">
        <v>0</v>
      </c>
      <c r="X3617" s="71">
        <f>CU3617</f>
        <v>0</v>
      </c>
      <c r="Y3617" s="71">
        <f>CY3617</f>
        <v>0</v>
      </c>
      <c r="Z3617" s="71">
        <f>DA3617+DC3617+DE3617</f>
        <v>0</v>
      </c>
      <c r="AA3617" s="71">
        <f>CW3617</f>
        <v>0</v>
      </c>
      <c r="AB3617" s="71"/>
      <c r="AC3617" s="71">
        <v>0</v>
      </c>
      <c r="AD3617" s="71">
        <f>W3617+X3617+Y3617+Z3617+AA3617+AB3617+AC3617</f>
        <v>0</v>
      </c>
      <c r="AE3617" s="72">
        <v>0</v>
      </c>
      <c r="AF3617" s="5"/>
      <c r="AG3617" s="6"/>
      <c r="AH3617" s="27"/>
      <c r="AI3617" s="44"/>
      <c r="AJ3617" s="26"/>
      <c r="AK3617" s="5"/>
      <c r="AL3617" s="343" t="s">
        <v>6619</v>
      </c>
      <c r="AM3617" s="76"/>
      <c r="AN3617" s="76"/>
      <c r="AO3617" s="76"/>
      <c r="AP3617" s="76"/>
      <c r="AQ3617" s="76"/>
      <c r="AR3617" s="76"/>
      <c r="AS3617" s="76"/>
      <c r="AT3617" s="76"/>
      <c r="AU3617" s="76"/>
      <c r="AV3617" s="76"/>
      <c r="AW3617" s="76"/>
      <c r="AX3617" s="76">
        <f>+AW3617*600000</f>
        <v>0</v>
      </c>
      <c r="AY3617" s="76"/>
      <c r="AZ3617" s="76">
        <f>+AY3617*70000</f>
        <v>0</v>
      </c>
      <c r="BA3617" s="76"/>
      <c r="BB3617" s="76"/>
      <c r="BC3617" s="76"/>
      <c r="BD3617" s="76">
        <f>+BC3617*30000</f>
        <v>0</v>
      </c>
      <c r="BE3617" s="76"/>
      <c r="BF3617" s="76"/>
      <c r="BG3617" s="76"/>
      <c r="BH3617" s="76"/>
      <c r="BI3617" s="76"/>
      <c r="BJ3617" s="76"/>
      <c r="BK3617" s="76"/>
      <c r="BL3617" s="76">
        <f>+BK3617*31500</f>
        <v>0</v>
      </c>
      <c r="BM3617" s="76"/>
      <c r="BN3617" s="76"/>
      <c r="BO3617" s="76"/>
      <c r="BP3617" s="76"/>
      <c r="BQ3617" s="76"/>
      <c r="BR3617" s="76"/>
      <c r="BS3617" s="76"/>
      <c r="BT3617" s="76"/>
      <c r="BU3617" s="76"/>
      <c r="BV3617" s="76"/>
      <c r="BW3617" s="76"/>
      <c r="BX3617" s="76"/>
      <c r="BY3617" s="76"/>
      <c r="BZ3617" s="76"/>
      <c r="CA3617" s="76"/>
      <c r="CB3617" s="76"/>
      <c r="CC3617" s="76"/>
      <c r="CD3617" s="76"/>
      <c r="CE3617" s="76"/>
      <c r="CF3617" s="76">
        <f>+CE3617*28000</f>
        <v>0</v>
      </c>
      <c r="CG3617" s="76"/>
      <c r="CH3617" s="76">
        <f>+CG3617*22500</f>
        <v>0</v>
      </c>
      <c r="CI3617" s="76"/>
      <c r="CJ3617" s="76">
        <f>+CI3617*26000</f>
        <v>0</v>
      </c>
      <c r="CK3617" s="76"/>
      <c r="CL3617" s="76"/>
      <c r="CM3617" s="76"/>
      <c r="CN3617" s="76">
        <f>+CM3617*22000</f>
        <v>0</v>
      </c>
      <c r="CO3617" s="76"/>
      <c r="CP3617" s="76">
        <f>+CO3617*46000</f>
        <v>0</v>
      </c>
      <c r="CQ3617" s="76"/>
      <c r="CR3617" s="76">
        <f>+CQ3617*49000</f>
        <v>0</v>
      </c>
      <c r="CS3617" s="76"/>
      <c r="CT3617" s="76"/>
      <c r="CU3617" s="56">
        <f>AN3617+AP3617+AR3617+AT3617+AV3617+AX3617+AZ3617+BB3617+BD3617+BF3617+BH3617+BJ3617+BL3617+BN3617+BP3617+BR3617+BT3617+BV3617+BX3617+BZ3617+CB3617+CD3617+CF3617+CH3617+CJ3617+CL3617+CN3617+CP3617+CR3617+CT3617</f>
        <v>0</v>
      </c>
      <c r="CV3617" s="76"/>
      <c r="CW3617" s="76">
        <f>+CV3617*1100</f>
        <v>0</v>
      </c>
      <c r="CX3617" s="76"/>
      <c r="CY3617" s="76">
        <f>+CX3617*106250</f>
        <v>0</v>
      </c>
      <c r="CZ3617" s="76"/>
      <c r="DA3617" s="76">
        <f>+CZ3617*34500</f>
        <v>0</v>
      </c>
      <c r="DB3617" s="76"/>
      <c r="DC3617" s="76">
        <f>+DB3617*25000</f>
        <v>0</v>
      </c>
      <c r="DD3617" s="219"/>
      <c r="DE3617" s="219"/>
      <c r="DF3617" s="166"/>
      <c r="DG3617" s="116"/>
      <c r="DH3617" s="117"/>
      <c r="DI3617" s="24"/>
      <c r="DJ3617" s="24"/>
      <c r="DK3617" s="24"/>
      <c r="DL3617" s="24"/>
      <c r="DM3617" s="24"/>
      <c r="DN3617" s="24"/>
      <c r="DO3617" s="24"/>
      <c r="DP3617" s="24"/>
      <c r="DQ3617" s="24"/>
      <c r="DR3617" s="24"/>
      <c r="DS3617" s="24"/>
      <c r="DT3617" s="24"/>
      <c r="DU3617" s="24"/>
    </row>
    <row r="3618" spans="1:125" s="8" customFormat="1" ht="132" x14ac:dyDescent="0.2">
      <c r="A3618" s="77">
        <v>41588</v>
      </c>
      <c r="B3618" s="78" t="s">
        <v>2847</v>
      </c>
      <c r="C3618" s="75" t="s">
        <v>1782</v>
      </c>
      <c r="D3618" s="75" t="s">
        <v>4391</v>
      </c>
      <c r="E3618" s="75" t="str">
        <f>VLOOKUP(B3618&amp;C3618,Divipola!$C$2:$F$1138,4,FALSE)</f>
        <v>68770</v>
      </c>
      <c r="F3618" s="87"/>
      <c r="G3618" s="87"/>
      <c r="H3618" s="87">
        <v>1</v>
      </c>
      <c r="I3618" s="87"/>
      <c r="J3618" s="87"/>
      <c r="K3618" s="87"/>
      <c r="L3618" s="87"/>
      <c r="M3618" s="87"/>
      <c r="N3618" s="87"/>
      <c r="O3618" s="87"/>
      <c r="P3618" s="87"/>
      <c r="Q3618" s="87"/>
      <c r="R3618" s="87"/>
      <c r="S3618" s="87"/>
      <c r="T3618" s="87"/>
      <c r="U3618" s="88"/>
      <c r="V3618" s="89"/>
      <c r="W3618" s="96">
        <v>0</v>
      </c>
      <c r="X3618" s="71">
        <f>CU3618</f>
        <v>0</v>
      </c>
      <c r="Y3618" s="71">
        <f>CY3618</f>
        <v>0</v>
      </c>
      <c r="Z3618" s="71">
        <f>DA3618+DC3618+DE3618</f>
        <v>0</v>
      </c>
      <c r="AA3618" s="71">
        <f>CW3618</f>
        <v>0</v>
      </c>
      <c r="AB3618" s="71"/>
      <c r="AC3618" s="71">
        <v>0</v>
      </c>
      <c r="AD3618" s="71">
        <f>W3618+X3618+Y3618+Z3618+AA3618+AB3618+AC3618</f>
        <v>0</v>
      </c>
      <c r="AE3618" s="72">
        <v>0</v>
      </c>
      <c r="AF3618" s="5"/>
      <c r="AG3618" s="6"/>
      <c r="AH3618" s="27"/>
      <c r="AI3618" s="44"/>
      <c r="AJ3618" s="26"/>
      <c r="AK3618" s="5"/>
      <c r="AL3618" s="268" t="s">
        <v>6621</v>
      </c>
      <c r="AM3618" s="76"/>
      <c r="AN3618" s="76"/>
      <c r="AO3618" s="76"/>
      <c r="AP3618" s="76"/>
      <c r="AQ3618" s="76"/>
      <c r="AR3618" s="76"/>
      <c r="AS3618" s="76"/>
      <c r="AT3618" s="76"/>
      <c r="AU3618" s="76"/>
      <c r="AV3618" s="76"/>
      <c r="AW3618" s="76"/>
      <c r="AX3618" s="76">
        <f>+AW3618*600000</f>
        <v>0</v>
      </c>
      <c r="AY3618" s="76"/>
      <c r="AZ3618" s="76">
        <f>+AY3618*70000</f>
        <v>0</v>
      </c>
      <c r="BA3618" s="76"/>
      <c r="BB3618" s="76"/>
      <c r="BC3618" s="76"/>
      <c r="BD3618" s="76">
        <f>+BC3618*30000</f>
        <v>0</v>
      </c>
      <c r="BE3618" s="76"/>
      <c r="BF3618" s="76"/>
      <c r="BG3618" s="76"/>
      <c r="BH3618" s="76"/>
      <c r="BI3618" s="76"/>
      <c r="BJ3618" s="76"/>
      <c r="BK3618" s="76"/>
      <c r="BL3618" s="76">
        <f>+BK3618*31500</f>
        <v>0</v>
      </c>
      <c r="BM3618" s="76"/>
      <c r="BN3618" s="76"/>
      <c r="BO3618" s="76"/>
      <c r="BP3618" s="76"/>
      <c r="BQ3618" s="76"/>
      <c r="BR3618" s="76"/>
      <c r="BS3618" s="76"/>
      <c r="BT3618" s="76"/>
      <c r="BU3618" s="76"/>
      <c r="BV3618" s="76"/>
      <c r="BW3618" s="76"/>
      <c r="BX3618" s="76"/>
      <c r="BY3618" s="76"/>
      <c r="BZ3618" s="76"/>
      <c r="CA3618" s="76"/>
      <c r="CB3618" s="76"/>
      <c r="CC3618" s="76"/>
      <c r="CD3618" s="76"/>
      <c r="CE3618" s="76"/>
      <c r="CF3618" s="76">
        <f>+CE3618*28000</f>
        <v>0</v>
      </c>
      <c r="CG3618" s="76"/>
      <c r="CH3618" s="76">
        <f>+CG3618*22500</f>
        <v>0</v>
      </c>
      <c r="CI3618" s="76"/>
      <c r="CJ3618" s="76">
        <f>+CI3618*26000</f>
        <v>0</v>
      </c>
      <c r="CK3618" s="76"/>
      <c r="CL3618" s="76"/>
      <c r="CM3618" s="76"/>
      <c r="CN3618" s="76">
        <f>+CM3618*22000</f>
        <v>0</v>
      </c>
      <c r="CO3618" s="76"/>
      <c r="CP3618" s="76">
        <f>+CO3618*46000</f>
        <v>0</v>
      </c>
      <c r="CQ3618" s="76"/>
      <c r="CR3618" s="76">
        <f>+CQ3618*49000</f>
        <v>0</v>
      </c>
      <c r="CS3618" s="76"/>
      <c r="CT3618" s="76"/>
      <c r="CU3618" s="56">
        <f>AN3618+AP3618+AR3618+AT3618+AV3618+AX3618+AZ3618+BB3618+BD3618+BF3618+BH3618+BJ3618+BL3618+BN3618+BP3618+BR3618+BT3618+BV3618+BX3618+BZ3618+CB3618+CD3618+CF3618+CH3618+CJ3618+CL3618+CN3618+CP3618+CR3618+CT3618</f>
        <v>0</v>
      </c>
      <c r="CV3618" s="76"/>
      <c r="CW3618" s="76">
        <f>+CV3618*1100</f>
        <v>0</v>
      </c>
      <c r="CX3618" s="76"/>
      <c r="CY3618" s="76">
        <f>+CX3618*106250</f>
        <v>0</v>
      </c>
      <c r="CZ3618" s="76"/>
      <c r="DA3618" s="76">
        <f>+CZ3618*34500</f>
        <v>0</v>
      </c>
      <c r="DB3618" s="76"/>
      <c r="DC3618" s="76">
        <f>+DB3618*25000</f>
        <v>0</v>
      </c>
      <c r="DD3618" s="219"/>
      <c r="DE3618" s="219"/>
      <c r="DF3618" s="166"/>
      <c r="DG3618" s="116"/>
      <c r="DH3618" s="117"/>
      <c r="DI3618" s="24"/>
      <c r="DJ3618" s="24"/>
      <c r="DK3618" s="24"/>
      <c r="DL3618" s="24"/>
      <c r="DM3618" s="24"/>
      <c r="DN3618" s="24"/>
      <c r="DO3618" s="24"/>
      <c r="DP3618" s="24"/>
      <c r="DQ3618" s="24"/>
      <c r="DR3618" s="24"/>
      <c r="DS3618" s="24"/>
      <c r="DT3618" s="24"/>
      <c r="DU3618" s="24"/>
    </row>
    <row r="3619" spans="1:125" s="8" customFormat="1" ht="48" x14ac:dyDescent="0.2">
      <c r="A3619" s="353">
        <v>41588</v>
      </c>
      <c r="B3619" s="352" t="s">
        <v>2700</v>
      </c>
      <c r="C3619" s="354" t="s">
        <v>2700</v>
      </c>
      <c r="D3619" s="354" t="s">
        <v>2859</v>
      </c>
      <c r="E3619" s="75" t="str">
        <f>VLOOKUP(B3619&amp;C3619,Divipola!$C$2:$F$1138,4,FALSE)</f>
        <v>15104</v>
      </c>
      <c r="F3619" s="87"/>
      <c r="G3619" s="87"/>
      <c r="H3619" s="87"/>
      <c r="I3619" s="87">
        <v>10</v>
      </c>
      <c r="J3619" s="87">
        <v>2</v>
      </c>
      <c r="K3619" s="87">
        <v>2</v>
      </c>
      <c r="L3619" s="87"/>
      <c r="M3619" s="87"/>
      <c r="N3619" s="87"/>
      <c r="O3619" s="87"/>
      <c r="P3619" s="87"/>
      <c r="Q3619" s="87"/>
      <c r="R3619" s="87"/>
      <c r="S3619" s="87"/>
      <c r="T3619" s="87"/>
      <c r="U3619" s="88"/>
      <c r="V3619" s="89"/>
      <c r="W3619" s="96">
        <v>0</v>
      </c>
      <c r="X3619" s="71">
        <f>CU3619</f>
        <v>0</v>
      </c>
      <c r="Y3619" s="71">
        <f>CY3619</f>
        <v>0</v>
      </c>
      <c r="Z3619" s="71">
        <f>DA3619+DC3619+DE3619</f>
        <v>0</v>
      </c>
      <c r="AA3619" s="71">
        <f>CW3619</f>
        <v>0</v>
      </c>
      <c r="AB3619" s="71"/>
      <c r="AC3619" s="71">
        <v>0</v>
      </c>
      <c r="AD3619" s="71">
        <f>W3619+X3619+Y3619+Z3619+AA3619+AB3619+AC3619</f>
        <v>0</v>
      </c>
      <c r="AE3619" s="72">
        <v>0</v>
      </c>
      <c r="AF3619" s="5"/>
      <c r="AG3619" s="6"/>
      <c r="AH3619" s="27"/>
      <c r="AI3619" s="44"/>
      <c r="AJ3619" s="26"/>
      <c r="AK3619" s="5"/>
      <c r="AL3619" s="9" t="s">
        <v>6647</v>
      </c>
      <c r="AM3619" s="76"/>
      <c r="AN3619" s="76"/>
      <c r="AO3619" s="76"/>
      <c r="AP3619" s="76"/>
      <c r="AQ3619" s="76"/>
      <c r="AR3619" s="76"/>
      <c r="AS3619" s="76"/>
      <c r="AT3619" s="76"/>
      <c r="AU3619" s="76"/>
      <c r="AV3619" s="76"/>
      <c r="AW3619" s="76"/>
      <c r="AX3619" s="76">
        <f>+AW3619*600000</f>
        <v>0</v>
      </c>
      <c r="AY3619" s="76"/>
      <c r="AZ3619" s="76">
        <f>+AY3619*70000</f>
        <v>0</v>
      </c>
      <c r="BA3619" s="76"/>
      <c r="BB3619" s="76"/>
      <c r="BC3619" s="76"/>
      <c r="BD3619" s="76">
        <f>+BC3619*30000</f>
        <v>0</v>
      </c>
      <c r="BE3619" s="76"/>
      <c r="BF3619" s="76"/>
      <c r="BG3619" s="76"/>
      <c r="BH3619" s="76"/>
      <c r="BI3619" s="76"/>
      <c r="BJ3619" s="76"/>
      <c r="BK3619" s="76"/>
      <c r="BL3619" s="76">
        <f>+BK3619*31500</f>
        <v>0</v>
      </c>
      <c r="BM3619" s="76"/>
      <c r="BN3619" s="76"/>
      <c r="BO3619" s="76"/>
      <c r="BP3619" s="76"/>
      <c r="BQ3619" s="76"/>
      <c r="BR3619" s="76"/>
      <c r="BS3619" s="76"/>
      <c r="BT3619" s="76"/>
      <c r="BU3619" s="76"/>
      <c r="BV3619" s="76"/>
      <c r="BW3619" s="76"/>
      <c r="BX3619" s="76"/>
      <c r="BY3619" s="76"/>
      <c r="BZ3619" s="76"/>
      <c r="CA3619" s="76"/>
      <c r="CB3619" s="76"/>
      <c r="CC3619" s="76"/>
      <c r="CD3619" s="76"/>
      <c r="CE3619" s="76"/>
      <c r="CF3619" s="76">
        <f>+CE3619*28000</f>
        <v>0</v>
      </c>
      <c r="CG3619" s="76"/>
      <c r="CH3619" s="76">
        <f>+CG3619*22500</f>
        <v>0</v>
      </c>
      <c r="CI3619" s="76"/>
      <c r="CJ3619" s="76">
        <f>+CI3619*26000</f>
        <v>0</v>
      </c>
      <c r="CK3619" s="76"/>
      <c r="CL3619" s="76"/>
      <c r="CM3619" s="76"/>
      <c r="CN3619" s="76">
        <f>+CM3619*22000</f>
        <v>0</v>
      </c>
      <c r="CO3619" s="76"/>
      <c r="CP3619" s="76">
        <f>+CO3619*46000</f>
        <v>0</v>
      </c>
      <c r="CQ3619" s="76"/>
      <c r="CR3619" s="76">
        <f>+CQ3619*49000</f>
        <v>0</v>
      </c>
      <c r="CS3619" s="76"/>
      <c r="CT3619" s="76"/>
      <c r="CU3619" s="56">
        <f>AN3619+AP3619+AR3619+AT3619+AV3619+AX3619+AZ3619+BB3619+BD3619+BF3619+BH3619+BJ3619+BL3619+BN3619+BP3619+BR3619+BT3619+BV3619+BX3619+BZ3619+CB3619+CD3619+CF3619+CH3619+CJ3619+CL3619+CN3619+CP3619+CR3619+CT3619</f>
        <v>0</v>
      </c>
      <c r="CV3619" s="76"/>
      <c r="CW3619" s="76">
        <f>+CV3619*1100</f>
        <v>0</v>
      </c>
      <c r="CX3619" s="76"/>
      <c r="CY3619" s="76">
        <f>+CX3619*106250</f>
        <v>0</v>
      </c>
      <c r="CZ3619" s="76"/>
      <c r="DA3619" s="76">
        <f>+CZ3619*34500</f>
        <v>0</v>
      </c>
      <c r="DB3619" s="76"/>
      <c r="DC3619" s="76">
        <f>+DB3619*25000</f>
        <v>0</v>
      </c>
      <c r="DD3619" s="219"/>
      <c r="DE3619" s="219"/>
      <c r="DF3619" s="166"/>
      <c r="DG3619" s="116"/>
      <c r="DH3619" s="117"/>
      <c r="DI3619" s="24"/>
      <c r="DJ3619" s="24"/>
      <c r="DK3619" s="24"/>
      <c r="DL3619" s="24"/>
      <c r="DM3619" s="24"/>
      <c r="DN3619" s="24"/>
      <c r="DO3619" s="24"/>
      <c r="DP3619" s="24"/>
      <c r="DQ3619" s="24"/>
      <c r="DR3619" s="24"/>
      <c r="DS3619" s="24"/>
      <c r="DT3619" s="24"/>
      <c r="DU3619" s="24"/>
    </row>
    <row r="3620" spans="1:125" s="8" customFormat="1" ht="60" x14ac:dyDescent="0.2">
      <c r="A3620" s="353">
        <v>41588</v>
      </c>
      <c r="B3620" s="352" t="s">
        <v>2852</v>
      </c>
      <c r="C3620" s="354" t="s">
        <v>2149</v>
      </c>
      <c r="D3620" s="354" t="s">
        <v>2859</v>
      </c>
      <c r="E3620" s="75" t="str">
        <f>VLOOKUP(B3620&amp;C3620,Divipola!$C$2:$F$1138,4,FALSE)</f>
        <v>27050</v>
      </c>
      <c r="F3620" s="87"/>
      <c r="G3620" s="87"/>
      <c r="H3620" s="87"/>
      <c r="I3620" s="87">
        <v>14</v>
      </c>
      <c r="J3620" s="87">
        <v>3</v>
      </c>
      <c r="K3620" s="87">
        <v>1</v>
      </c>
      <c r="L3620" s="87"/>
      <c r="M3620" s="87"/>
      <c r="N3620" s="87"/>
      <c r="O3620" s="87"/>
      <c r="P3620" s="87"/>
      <c r="Q3620" s="87"/>
      <c r="R3620" s="87"/>
      <c r="S3620" s="87"/>
      <c r="T3620" s="87"/>
      <c r="U3620" s="88"/>
      <c r="V3620" s="89"/>
      <c r="W3620" s="96">
        <v>0</v>
      </c>
      <c r="X3620" s="71">
        <f>CU3620</f>
        <v>0</v>
      </c>
      <c r="Y3620" s="71">
        <f>CY3620</f>
        <v>0</v>
      </c>
      <c r="Z3620" s="71">
        <f>DA3620+DC3620+DE3620</f>
        <v>0</v>
      </c>
      <c r="AA3620" s="71">
        <f>CW3620</f>
        <v>0</v>
      </c>
      <c r="AB3620" s="71"/>
      <c r="AC3620" s="71">
        <v>0</v>
      </c>
      <c r="AD3620" s="71">
        <f>W3620+X3620+Y3620+Z3620+AA3620+AB3620+AC3620</f>
        <v>0</v>
      </c>
      <c r="AE3620" s="72">
        <v>0</v>
      </c>
      <c r="AF3620" s="5"/>
      <c r="AG3620" s="6"/>
      <c r="AH3620" s="27"/>
      <c r="AI3620" s="44"/>
      <c r="AJ3620" s="26"/>
      <c r="AK3620" s="5"/>
      <c r="AL3620" s="82" t="s">
        <v>6659</v>
      </c>
      <c r="AM3620" s="76"/>
      <c r="AN3620" s="76"/>
      <c r="AO3620" s="76"/>
      <c r="AP3620" s="76"/>
      <c r="AQ3620" s="76"/>
      <c r="AR3620" s="76"/>
      <c r="AS3620" s="76"/>
      <c r="AT3620" s="76"/>
      <c r="AU3620" s="76"/>
      <c r="AV3620" s="76"/>
      <c r="AW3620" s="76"/>
      <c r="AX3620" s="76">
        <f>+AW3620*600000</f>
        <v>0</v>
      </c>
      <c r="AY3620" s="76"/>
      <c r="AZ3620" s="76">
        <f>+AY3620*70000</f>
        <v>0</v>
      </c>
      <c r="BA3620" s="76"/>
      <c r="BB3620" s="76"/>
      <c r="BC3620" s="76"/>
      <c r="BD3620" s="76">
        <f>+BC3620*30000</f>
        <v>0</v>
      </c>
      <c r="BE3620" s="76"/>
      <c r="BF3620" s="76"/>
      <c r="BG3620" s="76"/>
      <c r="BH3620" s="76"/>
      <c r="BI3620" s="76"/>
      <c r="BJ3620" s="76"/>
      <c r="BK3620" s="76"/>
      <c r="BL3620" s="76">
        <f>+BK3620*31500</f>
        <v>0</v>
      </c>
      <c r="BM3620" s="76"/>
      <c r="BN3620" s="76"/>
      <c r="BO3620" s="76"/>
      <c r="BP3620" s="76"/>
      <c r="BQ3620" s="76"/>
      <c r="BR3620" s="76"/>
      <c r="BS3620" s="76"/>
      <c r="BT3620" s="76"/>
      <c r="BU3620" s="76"/>
      <c r="BV3620" s="76"/>
      <c r="BW3620" s="76"/>
      <c r="BX3620" s="76"/>
      <c r="BY3620" s="76"/>
      <c r="BZ3620" s="76"/>
      <c r="CA3620" s="76"/>
      <c r="CB3620" s="76"/>
      <c r="CC3620" s="76"/>
      <c r="CD3620" s="76"/>
      <c r="CE3620" s="76"/>
      <c r="CF3620" s="76">
        <f>+CE3620*28000</f>
        <v>0</v>
      </c>
      <c r="CG3620" s="76"/>
      <c r="CH3620" s="76">
        <f>+CG3620*22500</f>
        <v>0</v>
      </c>
      <c r="CI3620" s="76"/>
      <c r="CJ3620" s="76">
        <f>+CI3620*26000</f>
        <v>0</v>
      </c>
      <c r="CK3620" s="76"/>
      <c r="CL3620" s="76"/>
      <c r="CM3620" s="76"/>
      <c r="CN3620" s="76">
        <f>+CM3620*22000</f>
        <v>0</v>
      </c>
      <c r="CO3620" s="76"/>
      <c r="CP3620" s="76">
        <f>+CO3620*46000</f>
        <v>0</v>
      </c>
      <c r="CQ3620" s="76"/>
      <c r="CR3620" s="76">
        <f>+CQ3620*49000</f>
        <v>0</v>
      </c>
      <c r="CS3620" s="76"/>
      <c r="CT3620" s="76"/>
      <c r="CU3620" s="56">
        <f>AN3620+AP3620+AR3620+AT3620+AV3620+AX3620+AZ3620+BB3620+BD3620+BF3620+BH3620+BJ3620+BL3620+BN3620+BP3620+BR3620+BT3620+BV3620+BX3620+BZ3620+CB3620+CD3620+CF3620+CH3620+CJ3620+CL3620+CN3620+CP3620+CR3620+CT3620</f>
        <v>0</v>
      </c>
      <c r="CV3620" s="76"/>
      <c r="CW3620" s="76">
        <f>+CV3620*1100</f>
        <v>0</v>
      </c>
      <c r="CX3620" s="76"/>
      <c r="CY3620" s="76">
        <f>+CX3620*106250</f>
        <v>0</v>
      </c>
      <c r="CZ3620" s="76"/>
      <c r="DA3620" s="76">
        <f>+CZ3620*34500</f>
        <v>0</v>
      </c>
      <c r="DB3620" s="76"/>
      <c r="DC3620" s="76">
        <f>+DB3620*25000</f>
        <v>0</v>
      </c>
      <c r="DD3620" s="219"/>
      <c r="DE3620" s="219"/>
      <c r="DF3620" s="166"/>
      <c r="DG3620" s="116"/>
      <c r="DH3620" s="117"/>
      <c r="DI3620" s="24"/>
      <c r="DJ3620" s="24"/>
      <c r="DK3620" s="24"/>
      <c r="DL3620" s="24"/>
      <c r="DM3620" s="24"/>
      <c r="DN3620" s="24"/>
      <c r="DO3620" s="24"/>
      <c r="DP3620" s="24"/>
      <c r="DQ3620" s="24"/>
      <c r="DR3620" s="24"/>
      <c r="DS3620" s="24"/>
      <c r="DT3620" s="24"/>
      <c r="DU3620" s="24"/>
    </row>
    <row r="3621" spans="1:125" s="8" customFormat="1" ht="60" x14ac:dyDescent="0.2">
      <c r="A3621" s="77">
        <v>41589</v>
      </c>
      <c r="B3621" s="78" t="s">
        <v>2848</v>
      </c>
      <c r="C3621" s="75" t="s">
        <v>2034</v>
      </c>
      <c r="D3621" s="75" t="s">
        <v>4391</v>
      </c>
      <c r="E3621" s="75" t="str">
        <f>VLOOKUP(B3621&amp;C3621,Divipola!$C$2:$F$1138,4,FALSE)</f>
        <v>73449</v>
      </c>
      <c r="F3621" s="87">
        <v>1</v>
      </c>
      <c r="G3621" s="87"/>
      <c r="H3621" s="87"/>
      <c r="I3621" s="87">
        <v>1</v>
      </c>
      <c r="J3621" s="87"/>
      <c r="K3621" s="87"/>
      <c r="L3621" s="87"/>
      <c r="M3621" s="87"/>
      <c r="N3621" s="87"/>
      <c r="O3621" s="87"/>
      <c r="P3621" s="87"/>
      <c r="Q3621" s="87"/>
      <c r="R3621" s="87"/>
      <c r="S3621" s="87"/>
      <c r="T3621" s="87"/>
      <c r="U3621" s="88"/>
      <c r="V3621" s="89"/>
      <c r="W3621" s="96">
        <v>0</v>
      </c>
      <c r="X3621" s="71">
        <f>CU3621</f>
        <v>0</v>
      </c>
      <c r="Y3621" s="71">
        <f>CY3621</f>
        <v>0</v>
      </c>
      <c r="Z3621" s="71">
        <f>DA3621+DC3621+DE3621</f>
        <v>0</v>
      </c>
      <c r="AA3621" s="71">
        <f>CW3621</f>
        <v>0</v>
      </c>
      <c r="AB3621" s="71"/>
      <c r="AC3621" s="71">
        <v>0</v>
      </c>
      <c r="AD3621" s="71">
        <f>W3621+X3621+Y3621+Z3621+AA3621+AB3621+AC3621</f>
        <v>0</v>
      </c>
      <c r="AE3621" s="72">
        <v>0</v>
      </c>
      <c r="AF3621" s="5"/>
      <c r="AG3621" s="6"/>
      <c r="AH3621" s="27"/>
      <c r="AI3621" s="44"/>
      <c r="AJ3621" s="26"/>
      <c r="AK3621" s="5"/>
      <c r="AL3621" s="9" t="s">
        <v>6616</v>
      </c>
      <c r="AM3621" s="76"/>
      <c r="AN3621" s="76"/>
      <c r="AO3621" s="76"/>
      <c r="AP3621" s="76"/>
      <c r="AQ3621" s="76"/>
      <c r="AR3621" s="76"/>
      <c r="AS3621" s="76"/>
      <c r="AT3621" s="76"/>
      <c r="AU3621" s="76"/>
      <c r="AV3621" s="76"/>
      <c r="AW3621" s="76"/>
      <c r="AX3621" s="76">
        <f>+AW3621*600000</f>
        <v>0</v>
      </c>
      <c r="AY3621" s="76"/>
      <c r="AZ3621" s="76">
        <f>+AY3621*70000</f>
        <v>0</v>
      </c>
      <c r="BA3621" s="76"/>
      <c r="BB3621" s="76"/>
      <c r="BC3621" s="76"/>
      <c r="BD3621" s="76">
        <f>+BC3621*30000</f>
        <v>0</v>
      </c>
      <c r="BE3621" s="76"/>
      <c r="BF3621" s="76"/>
      <c r="BG3621" s="76"/>
      <c r="BH3621" s="76"/>
      <c r="BI3621" s="76"/>
      <c r="BJ3621" s="76"/>
      <c r="BK3621" s="76"/>
      <c r="BL3621" s="76">
        <f>+BK3621*31500</f>
        <v>0</v>
      </c>
      <c r="BM3621" s="76"/>
      <c r="BN3621" s="76"/>
      <c r="BO3621" s="76"/>
      <c r="BP3621" s="76"/>
      <c r="BQ3621" s="76"/>
      <c r="BR3621" s="76"/>
      <c r="BS3621" s="76"/>
      <c r="BT3621" s="76"/>
      <c r="BU3621" s="76"/>
      <c r="BV3621" s="76"/>
      <c r="BW3621" s="76"/>
      <c r="BX3621" s="76"/>
      <c r="BY3621" s="76"/>
      <c r="BZ3621" s="76"/>
      <c r="CA3621" s="76"/>
      <c r="CB3621" s="76"/>
      <c r="CC3621" s="76"/>
      <c r="CD3621" s="76"/>
      <c r="CE3621" s="76"/>
      <c r="CF3621" s="76">
        <f>+CE3621*28000</f>
        <v>0</v>
      </c>
      <c r="CG3621" s="76"/>
      <c r="CH3621" s="76">
        <f>+CG3621*22500</f>
        <v>0</v>
      </c>
      <c r="CI3621" s="76"/>
      <c r="CJ3621" s="76">
        <f>+CI3621*26000</f>
        <v>0</v>
      </c>
      <c r="CK3621" s="76"/>
      <c r="CL3621" s="76"/>
      <c r="CM3621" s="76"/>
      <c r="CN3621" s="76">
        <f>+CM3621*22000</f>
        <v>0</v>
      </c>
      <c r="CO3621" s="76"/>
      <c r="CP3621" s="76">
        <f>+CO3621*46000</f>
        <v>0</v>
      </c>
      <c r="CQ3621" s="76"/>
      <c r="CR3621" s="76">
        <f>+CQ3621*49000</f>
        <v>0</v>
      </c>
      <c r="CS3621" s="76"/>
      <c r="CT3621" s="76"/>
      <c r="CU3621" s="56">
        <f>AN3621+AP3621+AR3621+AT3621+AV3621+AX3621+AZ3621+BB3621+BD3621+BF3621+BH3621+BJ3621+BL3621+BN3621+BP3621+BR3621+BT3621+BV3621+BX3621+BZ3621+CB3621+CD3621+CF3621+CH3621+CJ3621+CL3621+CN3621+CP3621+CR3621+CT3621</f>
        <v>0</v>
      </c>
      <c r="CV3621" s="76"/>
      <c r="CW3621" s="76">
        <f>+CV3621*1100</f>
        <v>0</v>
      </c>
      <c r="CX3621" s="76"/>
      <c r="CY3621" s="76">
        <f>+CX3621*106250</f>
        <v>0</v>
      </c>
      <c r="CZ3621" s="76"/>
      <c r="DA3621" s="76">
        <f>+CZ3621*34500</f>
        <v>0</v>
      </c>
      <c r="DB3621" s="76"/>
      <c r="DC3621" s="76">
        <f>+DB3621*25000</f>
        <v>0</v>
      </c>
      <c r="DD3621" s="219"/>
      <c r="DE3621" s="219"/>
      <c r="DF3621" s="166"/>
      <c r="DG3621" s="116"/>
      <c r="DH3621" s="117"/>
      <c r="DI3621" s="24"/>
      <c r="DJ3621" s="24"/>
      <c r="DK3621" s="24"/>
      <c r="DL3621" s="24"/>
      <c r="DM3621" s="24"/>
      <c r="DN3621" s="24"/>
      <c r="DO3621" s="24"/>
      <c r="DP3621" s="24"/>
      <c r="DQ3621" s="24"/>
      <c r="DR3621" s="24"/>
      <c r="DS3621" s="24"/>
      <c r="DT3621" s="24"/>
      <c r="DU3621" s="24"/>
    </row>
    <row r="3622" spans="1:125" s="8" customFormat="1" ht="48" x14ac:dyDescent="0.2">
      <c r="A3622" s="77">
        <v>41589</v>
      </c>
      <c r="B3622" s="78" t="s">
        <v>2847</v>
      </c>
      <c r="C3622" s="75" t="s">
        <v>2814</v>
      </c>
      <c r="D3622" s="75" t="s">
        <v>3017</v>
      </c>
      <c r="E3622" s="75" t="str">
        <f>VLOOKUP(B3622&amp;C3622,Divipola!$C$2:$F$1138,4,FALSE)</f>
        <v>68307</v>
      </c>
      <c r="F3622" s="87"/>
      <c r="G3622" s="87">
        <v>2</v>
      </c>
      <c r="H3622" s="87"/>
      <c r="I3622" s="87">
        <v>9</v>
      </c>
      <c r="J3622" s="87">
        <v>1</v>
      </c>
      <c r="K3622" s="87">
        <v>1</v>
      </c>
      <c r="L3622" s="87"/>
      <c r="M3622" s="87"/>
      <c r="N3622" s="87"/>
      <c r="O3622" s="87"/>
      <c r="P3622" s="87"/>
      <c r="Q3622" s="87"/>
      <c r="R3622" s="87"/>
      <c r="S3622" s="87"/>
      <c r="T3622" s="87"/>
      <c r="U3622" s="88"/>
      <c r="V3622" s="89"/>
      <c r="W3622" s="96">
        <v>0</v>
      </c>
      <c r="X3622" s="71">
        <f>CU3622</f>
        <v>0</v>
      </c>
      <c r="Y3622" s="71">
        <f>CY3622</f>
        <v>0</v>
      </c>
      <c r="Z3622" s="71">
        <f>DA3622+DC3622+DE3622</f>
        <v>0</v>
      </c>
      <c r="AA3622" s="71">
        <f>CW3622</f>
        <v>0</v>
      </c>
      <c r="AB3622" s="71"/>
      <c r="AC3622" s="71">
        <v>0</v>
      </c>
      <c r="AD3622" s="71">
        <f>W3622+X3622+Y3622+Z3622+AA3622+AB3622+AC3622</f>
        <v>0</v>
      </c>
      <c r="AE3622" s="72">
        <v>0</v>
      </c>
      <c r="AF3622" s="5"/>
      <c r="AG3622" s="6"/>
      <c r="AH3622" s="27"/>
      <c r="AI3622" s="44"/>
      <c r="AJ3622" s="26"/>
      <c r="AK3622" s="5"/>
      <c r="AL3622" s="9" t="s">
        <v>6617</v>
      </c>
      <c r="AM3622" s="76"/>
      <c r="AN3622" s="76"/>
      <c r="AO3622" s="76"/>
      <c r="AP3622" s="76"/>
      <c r="AQ3622" s="76"/>
      <c r="AR3622" s="76"/>
      <c r="AS3622" s="76"/>
      <c r="AT3622" s="76"/>
      <c r="AU3622" s="76"/>
      <c r="AV3622" s="76"/>
      <c r="AW3622" s="76"/>
      <c r="AX3622" s="76">
        <f>+AW3622*600000</f>
        <v>0</v>
      </c>
      <c r="AY3622" s="76"/>
      <c r="AZ3622" s="76">
        <f>+AY3622*70000</f>
        <v>0</v>
      </c>
      <c r="BA3622" s="76"/>
      <c r="BB3622" s="76"/>
      <c r="BC3622" s="76"/>
      <c r="BD3622" s="76">
        <f>+BC3622*30000</f>
        <v>0</v>
      </c>
      <c r="BE3622" s="76"/>
      <c r="BF3622" s="76"/>
      <c r="BG3622" s="76"/>
      <c r="BH3622" s="76"/>
      <c r="BI3622" s="76"/>
      <c r="BJ3622" s="76"/>
      <c r="BK3622" s="76"/>
      <c r="BL3622" s="76">
        <f>+BK3622*31500</f>
        <v>0</v>
      </c>
      <c r="BM3622" s="76"/>
      <c r="BN3622" s="76"/>
      <c r="BO3622" s="76"/>
      <c r="BP3622" s="76"/>
      <c r="BQ3622" s="76"/>
      <c r="BR3622" s="76"/>
      <c r="BS3622" s="76"/>
      <c r="BT3622" s="76"/>
      <c r="BU3622" s="76"/>
      <c r="BV3622" s="76"/>
      <c r="BW3622" s="76"/>
      <c r="BX3622" s="76"/>
      <c r="BY3622" s="76"/>
      <c r="BZ3622" s="76"/>
      <c r="CA3622" s="76"/>
      <c r="CB3622" s="76"/>
      <c r="CC3622" s="76"/>
      <c r="CD3622" s="76"/>
      <c r="CE3622" s="76"/>
      <c r="CF3622" s="76">
        <f>+CE3622*28000</f>
        <v>0</v>
      </c>
      <c r="CG3622" s="76"/>
      <c r="CH3622" s="76">
        <f>+CG3622*22500</f>
        <v>0</v>
      </c>
      <c r="CI3622" s="76"/>
      <c r="CJ3622" s="76">
        <f>+CI3622*26000</f>
        <v>0</v>
      </c>
      <c r="CK3622" s="76"/>
      <c r="CL3622" s="76"/>
      <c r="CM3622" s="76"/>
      <c r="CN3622" s="76">
        <f>+CM3622*22000</f>
        <v>0</v>
      </c>
      <c r="CO3622" s="76"/>
      <c r="CP3622" s="76">
        <f>+CO3622*46000</f>
        <v>0</v>
      </c>
      <c r="CQ3622" s="76"/>
      <c r="CR3622" s="76">
        <f>+CQ3622*49000</f>
        <v>0</v>
      </c>
      <c r="CS3622" s="76"/>
      <c r="CT3622" s="76"/>
      <c r="CU3622" s="56">
        <f>AN3622+AP3622+AR3622+AT3622+AV3622+AX3622+AZ3622+BB3622+BD3622+BF3622+BH3622+BJ3622+BL3622+BN3622+BP3622+BR3622+BT3622+BV3622+BX3622+BZ3622+CB3622+CD3622+CF3622+CH3622+CJ3622+CL3622+CN3622+CP3622+CR3622+CT3622</f>
        <v>0</v>
      </c>
      <c r="CV3622" s="76"/>
      <c r="CW3622" s="76">
        <f>+CV3622*1100</f>
        <v>0</v>
      </c>
      <c r="CX3622" s="76"/>
      <c r="CY3622" s="76">
        <f>+CX3622*106250</f>
        <v>0</v>
      </c>
      <c r="CZ3622" s="76"/>
      <c r="DA3622" s="76">
        <f>+CZ3622*34500</f>
        <v>0</v>
      </c>
      <c r="DB3622" s="76"/>
      <c r="DC3622" s="76">
        <f>+DB3622*25000</f>
        <v>0</v>
      </c>
      <c r="DD3622" s="219"/>
      <c r="DE3622" s="219"/>
      <c r="DF3622" s="166"/>
      <c r="DG3622" s="116"/>
      <c r="DH3622" s="117"/>
      <c r="DI3622" s="24"/>
      <c r="DJ3622" s="24"/>
      <c r="DK3622" s="24"/>
      <c r="DL3622" s="24"/>
      <c r="DM3622" s="24"/>
      <c r="DN3622" s="24"/>
      <c r="DO3622" s="24"/>
      <c r="DP3622" s="24"/>
      <c r="DQ3622" s="24"/>
      <c r="DR3622" s="24"/>
      <c r="DS3622" s="24"/>
      <c r="DT3622" s="24"/>
      <c r="DU3622" s="24"/>
    </row>
    <row r="3623" spans="1:125" s="8" customFormat="1" ht="60" x14ac:dyDescent="0.2">
      <c r="A3623" s="353">
        <v>41589</v>
      </c>
      <c r="B3623" s="352" t="s">
        <v>2778</v>
      </c>
      <c r="C3623" s="354" t="s">
        <v>1344</v>
      </c>
      <c r="D3623" s="354" t="s">
        <v>2846</v>
      </c>
      <c r="E3623" s="75" t="str">
        <f>VLOOKUP(B3623&amp;C3623,Divipola!$C$2:$F$1138,4,FALSE)</f>
        <v>85001</v>
      </c>
      <c r="F3623" s="87"/>
      <c r="G3623" s="87"/>
      <c r="H3623" s="87"/>
      <c r="I3623" s="87"/>
      <c r="J3623" s="87"/>
      <c r="K3623" s="87"/>
      <c r="L3623" s="87"/>
      <c r="M3623" s="87"/>
      <c r="N3623" s="87"/>
      <c r="O3623" s="87"/>
      <c r="P3623" s="87"/>
      <c r="Q3623" s="87"/>
      <c r="R3623" s="87"/>
      <c r="S3623" s="87"/>
      <c r="T3623" s="87"/>
      <c r="U3623" s="88">
        <v>3</v>
      </c>
      <c r="V3623" s="89"/>
      <c r="W3623" s="96">
        <v>0</v>
      </c>
      <c r="X3623" s="71">
        <f>CU3623</f>
        <v>0</v>
      </c>
      <c r="Y3623" s="71">
        <f>CY3623</f>
        <v>0</v>
      </c>
      <c r="Z3623" s="71">
        <f>DA3623+DC3623+DE3623</f>
        <v>0</v>
      </c>
      <c r="AA3623" s="71">
        <f>CW3623</f>
        <v>0</v>
      </c>
      <c r="AB3623" s="71"/>
      <c r="AC3623" s="71">
        <v>0</v>
      </c>
      <c r="AD3623" s="71">
        <f>W3623+X3623+Y3623+Z3623+AA3623+AB3623+AC3623</f>
        <v>0</v>
      </c>
      <c r="AE3623" s="72">
        <v>0</v>
      </c>
      <c r="AF3623" s="5"/>
      <c r="AG3623" s="6"/>
      <c r="AH3623" s="27"/>
      <c r="AI3623" s="44"/>
      <c r="AJ3623" s="26"/>
      <c r="AK3623" s="5"/>
      <c r="AL3623" s="9" t="s">
        <v>6630</v>
      </c>
      <c r="AM3623" s="76"/>
      <c r="AN3623" s="76"/>
      <c r="AO3623" s="76"/>
      <c r="AP3623" s="76"/>
      <c r="AQ3623" s="76"/>
      <c r="AR3623" s="76"/>
      <c r="AS3623" s="76"/>
      <c r="AT3623" s="76"/>
      <c r="AU3623" s="76"/>
      <c r="AV3623" s="76"/>
      <c r="AW3623" s="76"/>
      <c r="AX3623" s="76">
        <f>+AW3623*600000</f>
        <v>0</v>
      </c>
      <c r="AY3623" s="76"/>
      <c r="AZ3623" s="76">
        <f>+AY3623*70000</f>
        <v>0</v>
      </c>
      <c r="BA3623" s="76"/>
      <c r="BB3623" s="76"/>
      <c r="BC3623" s="76"/>
      <c r="BD3623" s="76">
        <f>+BC3623*30000</f>
        <v>0</v>
      </c>
      <c r="BE3623" s="76"/>
      <c r="BF3623" s="76"/>
      <c r="BG3623" s="76"/>
      <c r="BH3623" s="76"/>
      <c r="BI3623" s="76"/>
      <c r="BJ3623" s="76"/>
      <c r="BK3623" s="76"/>
      <c r="BL3623" s="76">
        <f>+BK3623*31500</f>
        <v>0</v>
      </c>
      <c r="BM3623" s="76"/>
      <c r="BN3623" s="76"/>
      <c r="BO3623" s="76"/>
      <c r="BP3623" s="76"/>
      <c r="BQ3623" s="76"/>
      <c r="BR3623" s="76"/>
      <c r="BS3623" s="76"/>
      <c r="BT3623" s="76"/>
      <c r="BU3623" s="76"/>
      <c r="BV3623" s="76"/>
      <c r="BW3623" s="76"/>
      <c r="BX3623" s="76"/>
      <c r="BY3623" s="76"/>
      <c r="BZ3623" s="76"/>
      <c r="CA3623" s="76"/>
      <c r="CB3623" s="76"/>
      <c r="CC3623" s="76"/>
      <c r="CD3623" s="76"/>
      <c r="CE3623" s="76"/>
      <c r="CF3623" s="76">
        <f>+CE3623*28000</f>
        <v>0</v>
      </c>
      <c r="CG3623" s="76"/>
      <c r="CH3623" s="76">
        <f>+CG3623*22500</f>
        <v>0</v>
      </c>
      <c r="CI3623" s="76"/>
      <c r="CJ3623" s="76">
        <f>+CI3623*26000</f>
        <v>0</v>
      </c>
      <c r="CK3623" s="76"/>
      <c r="CL3623" s="76"/>
      <c r="CM3623" s="76"/>
      <c r="CN3623" s="76">
        <f>+CM3623*22000</f>
        <v>0</v>
      </c>
      <c r="CO3623" s="76"/>
      <c r="CP3623" s="76">
        <f>+CO3623*46000</f>
        <v>0</v>
      </c>
      <c r="CQ3623" s="76"/>
      <c r="CR3623" s="76">
        <f>+CQ3623*49000</f>
        <v>0</v>
      </c>
      <c r="CS3623" s="76"/>
      <c r="CT3623" s="76"/>
      <c r="CU3623" s="56">
        <f>AN3623+AP3623+AR3623+AT3623+AV3623+AX3623+AZ3623+BB3623+BD3623+BF3623+BH3623+BJ3623+BL3623+BN3623+BP3623+BR3623+BT3623+BV3623+BX3623+BZ3623+CB3623+CD3623+CF3623+CH3623+CJ3623+CL3623+CN3623+CP3623+CR3623+CT3623</f>
        <v>0</v>
      </c>
      <c r="CV3623" s="76"/>
      <c r="CW3623" s="76">
        <f>+CV3623*1100</f>
        <v>0</v>
      </c>
      <c r="CX3623" s="76"/>
      <c r="CY3623" s="76">
        <f>+CX3623*106250</f>
        <v>0</v>
      </c>
      <c r="CZ3623" s="76"/>
      <c r="DA3623" s="76">
        <f>+CZ3623*34500</f>
        <v>0</v>
      </c>
      <c r="DB3623" s="76"/>
      <c r="DC3623" s="76">
        <f>+DB3623*25000</f>
        <v>0</v>
      </c>
      <c r="DD3623" s="219"/>
      <c r="DE3623" s="219"/>
      <c r="DF3623" s="166"/>
      <c r="DG3623" s="116"/>
      <c r="DH3623" s="117"/>
      <c r="DI3623" s="24"/>
      <c r="DJ3623" s="24"/>
      <c r="DK3623" s="24"/>
      <c r="DL3623" s="24"/>
      <c r="DM3623" s="24"/>
      <c r="DN3623" s="24"/>
      <c r="DO3623" s="24"/>
      <c r="DP3623" s="24"/>
      <c r="DQ3623" s="24"/>
      <c r="DR3623" s="24"/>
      <c r="DS3623" s="24"/>
      <c r="DT3623" s="24"/>
      <c r="DU3623" s="24"/>
    </row>
    <row r="3624" spans="1:125" s="8" customFormat="1" ht="108" x14ac:dyDescent="0.2">
      <c r="A3624" s="353">
        <v>41589</v>
      </c>
      <c r="B3624" s="352" t="s">
        <v>2777</v>
      </c>
      <c r="C3624" s="354" t="s">
        <v>2783</v>
      </c>
      <c r="D3624" s="354" t="s">
        <v>2859</v>
      </c>
      <c r="E3624" s="75" t="str">
        <f>VLOOKUP(B3624&amp;C3624,Divipola!$C$2:$F$1138,4,FALSE)</f>
        <v>13001</v>
      </c>
      <c r="F3624" s="87"/>
      <c r="G3624" s="87"/>
      <c r="H3624" s="87"/>
      <c r="I3624" s="87">
        <v>15</v>
      </c>
      <c r="J3624" s="87">
        <v>3</v>
      </c>
      <c r="K3624" s="87">
        <v>3</v>
      </c>
      <c r="L3624" s="87"/>
      <c r="M3624" s="87"/>
      <c r="N3624" s="87"/>
      <c r="O3624" s="87"/>
      <c r="P3624" s="87"/>
      <c r="Q3624" s="87"/>
      <c r="R3624" s="87"/>
      <c r="S3624" s="87"/>
      <c r="T3624" s="87"/>
      <c r="U3624" s="88"/>
      <c r="V3624" s="89"/>
      <c r="W3624" s="96">
        <v>0</v>
      </c>
      <c r="X3624" s="71">
        <f>CU3624</f>
        <v>0</v>
      </c>
      <c r="Y3624" s="71">
        <f>CY3624</f>
        <v>0</v>
      </c>
      <c r="Z3624" s="71">
        <f>DA3624+DC3624+DE3624</f>
        <v>0</v>
      </c>
      <c r="AA3624" s="71">
        <f>CW3624</f>
        <v>0</v>
      </c>
      <c r="AB3624" s="71"/>
      <c r="AC3624" s="71">
        <v>0</v>
      </c>
      <c r="AD3624" s="71">
        <f>W3624+X3624+Y3624+Z3624+AA3624+AB3624+AC3624</f>
        <v>0</v>
      </c>
      <c r="AE3624" s="72">
        <v>0</v>
      </c>
      <c r="AF3624" s="5"/>
      <c r="AG3624" s="6"/>
      <c r="AH3624" s="27"/>
      <c r="AI3624" s="44"/>
      <c r="AJ3624" s="26"/>
      <c r="AK3624" s="5"/>
      <c r="AL3624" s="356" t="s">
        <v>6639</v>
      </c>
      <c r="AM3624" s="76"/>
      <c r="AN3624" s="76"/>
      <c r="AO3624" s="76"/>
      <c r="AP3624" s="76"/>
      <c r="AQ3624" s="76"/>
      <c r="AR3624" s="76"/>
      <c r="AS3624" s="76"/>
      <c r="AT3624" s="76"/>
      <c r="AU3624" s="76"/>
      <c r="AV3624" s="76"/>
      <c r="AW3624" s="76"/>
      <c r="AX3624" s="76">
        <f>+AW3624*600000</f>
        <v>0</v>
      </c>
      <c r="AY3624" s="76"/>
      <c r="AZ3624" s="76">
        <f>+AY3624*70000</f>
        <v>0</v>
      </c>
      <c r="BA3624" s="76"/>
      <c r="BB3624" s="76"/>
      <c r="BC3624" s="76"/>
      <c r="BD3624" s="76">
        <f>+BC3624*30000</f>
        <v>0</v>
      </c>
      <c r="BE3624" s="76"/>
      <c r="BF3624" s="76"/>
      <c r="BG3624" s="76"/>
      <c r="BH3624" s="76"/>
      <c r="BI3624" s="76"/>
      <c r="BJ3624" s="76"/>
      <c r="BK3624" s="76"/>
      <c r="BL3624" s="76">
        <f>+BK3624*31500</f>
        <v>0</v>
      </c>
      <c r="BM3624" s="76"/>
      <c r="BN3624" s="76"/>
      <c r="BO3624" s="76"/>
      <c r="BP3624" s="76"/>
      <c r="BQ3624" s="76"/>
      <c r="BR3624" s="76"/>
      <c r="BS3624" s="76"/>
      <c r="BT3624" s="76"/>
      <c r="BU3624" s="76"/>
      <c r="BV3624" s="76"/>
      <c r="BW3624" s="76"/>
      <c r="BX3624" s="76"/>
      <c r="BY3624" s="76"/>
      <c r="BZ3624" s="76"/>
      <c r="CA3624" s="76"/>
      <c r="CB3624" s="76"/>
      <c r="CC3624" s="76"/>
      <c r="CD3624" s="76"/>
      <c r="CE3624" s="76"/>
      <c r="CF3624" s="76">
        <f>+CE3624*28000</f>
        <v>0</v>
      </c>
      <c r="CG3624" s="76"/>
      <c r="CH3624" s="76">
        <f>+CG3624*22500</f>
        <v>0</v>
      </c>
      <c r="CI3624" s="76"/>
      <c r="CJ3624" s="76">
        <f>+CI3624*26000</f>
        <v>0</v>
      </c>
      <c r="CK3624" s="76"/>
      <c r="CL3624" s="76"/>
      <c r="CM3624" s="76"/>
      <c r="CN3624" s="76">
        <f>+CM3624*22000</f>
        <v>0</v>
      </c>
      <c r="CO3624" s="76"/>
      <c r="CP3624" s="76">
        <f>+CO3624*46000</f>
        <v>0</v>
      </c>
      <c r="CQ3624" s="76"/>
      <c r="CR3624" s="76">
        <f>+CQ3624*49000</f>
        <v>0</v>
      </c>
      <c r="CS3624" s="76"/>
      <c r="CT3624" s="76"/>
      <c r="CU3624" s="56">
        <f>AN3624+AP3624+AR3624+AT3624+AV3624+AX3624+AZ3624+BB3624+BD3624+BF3624+BH3624+BJ3624+BL3624+BN3624+BP3624+BR3624+BT3624+BV3624+BX3624+BZ3624+CB3624+CD3624+CF3624+CH3624+CJ3624+CL3624+CN3624+CP3624+CR3624+CT3624</f>
        <v>0</v>
      </c>
      <c r="CV3624" s="76"/>
      <c r="CW3624" s="76">
        <f>+CV3624*1100</f>
        <v>0</v>
      </c>
      <c r="CX3624" s="76"/>
      <c r="CY3624" s="76">
        <f>+CX3624*106250</f>
        <v>0</v>
      </c>
      <c r="CZ3624" s="76"/>
      <c r="DA3624" s="76">
        <f>+CZ3624*34500</f>
        <v>0</v>
      </c>
      <c r="DB3624" s="76"/>
      <c r="DC3624" s="76">
        <f>+DB3624*25000</f>
        <v>0</v>
      </c>
      <c r="DD3624" s="219"/>
      <c r="DE3624" s="219"/>
      <c r="DF3624" s="166"/>
      <c r="DG3624" s="116"/>
      <c r="DH3624" s="117"/>
      <c r="DI3624" s="24"/>
      <c r="DJ3624" s="24"/>
      <c r="DK3624" s="24"/>
      <c r="DL3624" s="24"/>
      <c r="DM3624" s="24"/>
      <c r="DN3624" s="24"/>
      <c r="DO3624" s="24"/>
      <c r="DP3624" s="24"/>
      <c r="DQ3624" s="24"/>
      <c r="DR3624" s="24"/>
      <c r="DS3624" s="24"/>
      <c r="DT3624" s="24"/>
      <c r="DU3624" s="24"/>
    </row>
    <row r="3625" spans="1:125" s="8" customFormat="1" ht="108" x14ac:dyDescent="0.2">
      <c r="A3625" s="353">
        <v>41589</v>
      </c>
      <c r="B3625" s="352" t="s">
        <v>2700</v>
      </c>
      <c r="C3625" s="354" t="s">
        <v>2217</v>
      </c>
      <c r="D3625" s="354" t="s">
        <v>2859</v>
      </c>
      <c r="E3625" s="75" t="str">
        <f>VLOOKUP(B3625&amp;C3625,Divipola!$C$2:$F$1138,4,FALSE)</f>
        <v>15469</v>
      </c>
      <c r="F3625" s="87"/>
      <c r="G3625" s="87"/>
      <c r="H3625" s="87"/>
      <c r="I3625" s="87"/>
      <c r="J3625" s="87"/>
      <c r="K3625" s="87"/>
      <c r="L3625" s="87"/>
      <c r="M3625" s="87"/>
      <c r="N3625" s="87"/>
      <c r="O3625" s="87"/>
      <c r="P3625" s="87"/>
      <c r="Q3625" s="87"/>
      <c r="R3625" s="87"/>
      <c r="S3625" s="87"/>
      <c r="T3625" s="87"/>
      <c r="U3625" s="88"/>
      <c r="V3625" s="89">
        <v>1</v>
      </c>
      <c r="W3625" s="96">
        <v>0</v>
      </c>
      <c r="X3625" s="71">
        <f>CU3625</f>
        <v>0</v>
      </c>
      <c r="Y3625" s="71">
        <f>CY3625</f>
        <v>0</v>
      </c>
      <c r="Z3625" s="71">
        <f>DA3625+DC3625+DE3625</f>
        <v>0</v>
      </c>
      <c r="AA3625" s="71">
        <f>CW3625</f>
        <v>0</v>
      </c>
      <c r="AB3625" s="71"/>
      <c r="AC3625" s="71">
        <v>0</v>
      </c>
      <c r="AD3625" s="71">
        <f>W3625+X3625+Y3625+Z3625+AA3625+AB3625+AC3625</f>
        <v>0</v>
      </c>
      <c r="AE3625" s="72">
        <v>0</v>
      </c>
      <c r="AF3625" s="5"/>
      <c r="AG3625" s="6"/>
      <c r="AH3625" s="27"/>
      <c r="AI3625" s="44"/>
      <c r="AJ3625" s="26"/>
      <c r="AK3625" s="5"/>
      <c r="AL3625" s="82" t="s">
        <v>6658</v>
      </c>
      <c r="AM3625" s="76"/>
      <c r="AN3625" s="76"/>
      <c r="AO3625" s="76"/>
      <c r="AP3625" s="76"/>
      <c r="AQ3625" s="76"/>
      <c r="AR3625" s="76"/>
      <c r="AS3625" s="76"/>
      <c r="AT3625" s="76"/>
      <c r="AU3625" s="76"/>
      <c r="AV3625" s="76"/>
      <c r="AW3625" s="76"/>
      <c r="AX3625" s="76">
        <f>+AW3625*600000</f>
        <v>0</v>
      </c>
      <c r="AY3625" s="76"/>
      <c r="AZ3625" s="76">
        <f>+AY3625*70000</f>
        <v>0</v>
      </c>
      <c r="BA3625" s="76"/>
      <c r="BB3625" s="76"/>
      <c r="BC3625" s="76"/>
      <c r="BD3625" s="76">
        <f>+BC3625*30000</f>
        <v>0</v>
      </c>
      <c r="BE3625" s="76"/>
      <c r="BF3625" s="76"/>
      <c r="BG3625" s="76"/>
      <c r="BH3625" s="76"/>
      <c r="BI3625" s="76"/>
      <c r="BJ3625" s="76"/>
      <c r="BK3625" s="76"/>
      <c r="BL3625" s="76">
        <f>+BK3625*31500</f>
        <v>0</v>
      </c>
      <c r="BM3625" s="76"/>
      <c r="BN3625" s="76"/>
      <c r="BO3625" s="76"/>
      <c r="BP3625" s="76"/>
      <c r="BQ3625" s="76"/>
      <c r="BR3625" s="76"/>
      <c r="BS3625" s="76"/>
      <c r="BT3625" s="76"/>
      <c r="BU3625" s="76"/>
      <c r="BV3625" s="76"/>
      <c r="BW3625" s="76"/>
      <c r="BX3625" s="76"/>
      <c r="BY3625" s="76"/>
      <c r="BZ3625" s="76"/>
      <c r="CA3625" s="76"/>
      <c r="CB3625" s="76"/>
      <c r="CC3625" s="76"/>
      <c r="CD3625" s="76"/>
      <c r="CE3625" s="76"/>
      <c r="CF3625" s="76">
        <f>+CE3625*28000</f>
        <v>0</v>
      </c>
      <c r="CG3625" s="76"/>
      <c r="CH3625" s="76">
        <f>+CG3625*22500</f>
        <v>0</v>
      </c>
      <c r="CI3625" s="76"/>
      <c r="CJ3625" s="76">
        <f>+CI3625*26000</f>
        <v>0</v>
      </c>
      <c r="CK3625" s="76"/>
      <c r="CL3625" s="76"/>
      <c r="CM3625" s="76"/>
      <c r="CN3625" s="76">
        <f>+CM3625*22000</f>
        <v>0</v>
      </c>
      <c r="CO3625" s="76"/>
      <c r="CP3625" s="76">
        <f>+CO3625*46000</f>
        <v>0</v>
      </c>
      <c r="CQ3625" s="76"/>
      <c r="CR3625" s="76">
        <f>+CQ3625*49000</f>
        <v>0</v>
      </c>
      <c r="CS3625" s="76"/>
      <c r="CT3625" s="76"/>
      <c r="CU3625" s="56">
        <f>AN3625+AP3625+AR3625+AT3625+AV3625+AX3625+AZ3625+BB3625+BD3625+BF3625+BH3625+BJ3625+BL3625+BN3625+BP3625+BR3625+BT3625+BV3625+BX3625+BZ3625+CB3625+CD3625+CF3625+CH3625+CJ3625+CL3625+CN3625+CP3625+CR3625+CT3625</f>
        <v>0</v>
      </c>
      <c r="CV3625" s="76"/>
      <c r="CW3625" s="76">
        <f>+CV3625*1100</f>
        <v>0</v>
      </c>
      <c r="CX3625" s="76"/>
      <c r="CY3625" s="76">
        <f>+CX3625*106250</f>
        <v>0</v>
      </c>
      <c r="CZ3625" s="76"/>
      <c r="DA3625" s="76">
        <f>+CZ3625*34500</f>
        <v>0</v>
      </c>
      <c r="DB3625" s="76"/>
      <c r="DC3625" s="76">
        <f>+DB3625*25000</f>
        <v>0</v>
      </c>
      <c r="DD3625" s="219"/>
      <c r="DE3625" s="219"/>
      <c r="DF3625" s="166"/>
      <c r="DG3625" s="116"/>
      <c r="DH3625" s="117"/>
      <c r="DI3625" s="24"/>
      <c r="DJ3625" s="24"/>
      <c r="DK3625" s="24"/>
      <c r="DL3625" s="24"/>
      <c r="DM3625" s="24"/>
      <c r="DN3625" s="24"/>
      <c r="DO3625" s="24"/>
      <c r="DP3625" s="24"/>
      <c r="DQ3625" s="24"/>
      <c r="DR3625" s="24"/>
      <c r="DS3625" s="24"/>
      <c r="DT3625" s="24"/>
      <c r="DU3625" s="24"/>
    </row>
    <row r="3626" spans="1:125" s="8" customFormat="1" ht="120" x14ac:dyDescent="0.2">
      <c r="A3626" s="77">
        <v>41590</v>
      </c>
      <c r="B3626" s="78" t="s">
        <v>2894</v>
      </c>
      <c r="C3626" s="75" t="s">
        <v>2032</v>
      </c>
      <c r="D3626" s="75" t="s">
        <v>4391</v>
      </c>
      <c r="E3626" s="75" t="str">
        <f>VLOOKUP(B3626&amp;C3626,Divipola!$C$2:$F$1138,4,FALSE)</f>
        <v>05001</v>
      </c>
      <c r="F3626" s="87"/>
      <c r="G3626" s="87"/>
      <c r="H3626" s="87">
        <v>1</v>
      </c>
      <c r="I3626" s="87"/>
      <c r="J3626" s="87"/>
      <c r="K3626" s="87"/>
      <c r="L3626" s="87"/>
      <c r="M3626" s="87"/>
      <c r="N3626" s="87"/>
      <c r="O3626" s="87"/>
      <c r="P3626" s="87"/>
      <c r="Q3626" s="87"/>
      <c r="R3626" s="87"/>
      <c r="S3626" s="87"/>
      <c r="T3626" s="87"/>
      <c r="U3626" s="88"/>
      <c r="V3626" s="89"/>
      <c r="W3626" s="96">
        <v>0</v>
      </c>
      <c r="X3626" s="71">
        <f>CU3626</f>
        <v>0</v>
      </c>
      <c r="Y3626" s="71">
        <f>CY3626</f>
        <v>0</v>
      </c>
      <c r="Z3626" s="71">
        <f>DA3626+DC3626+DE3626</f>
        <v>0</v>
      </c>
      <c r="AA3626" s="71">
        <f>CW3626</f>
        <v>0</v>
      </c>
      <c r="AB3626" s="71"/>
      <c r="AC3626" s="71">
        <v>0</v>
      </c>
      <c r="AD3626" s="71">
        <f>W3626+X3626+Y3626+Z3626+AA3626+AB3626+AC3626</f>
        <v>0</v>
      </c>
      <c r="AE3626" s="72">
        <v>0</v>
      </c>
      <c r="AF3626" s="5"/>
      <c r="AG3626" s="6"/>
      <c r="AH3626" s="27"/>
      <c r="AI3626" s="44"/>
      <c r="AJ3626" s="26"/>
      <c r="AK3626" s="5"/>
      <c r="AL3626" s="9" t="s">
        <v>6627</v>
      </c>
      <c r="AM3626" s="76"/>
      <c r="AN3626" s="76"/>
      <c r="AO3626" s="76"/>
      <c r="AP3626" s="76"/>
      <c r="AQ3626" s="76"/>
      <c r="AR3626" s="76"/>
      <c r="AS3626" s="76"/>
      <c r="AT3626" s="76"/>
      <c r="AU3626" s="76"/>
      <c r="AV3626" s="76"/>
      <c r="AW3626" s="76"/>
      <c r="AX3626" s="76">
        <f>+AW3626*600000</f>
        <v>0</v>
      </c>
      <c r="AY3626" s="76"/>
      <c r="AZ3626" s="76">
        <f>+AY3626*70000</f>
        <v>0</v>
      </c>
      <c r="BA3626" s="76"/>
      <c r="BB3626" s="76"/>
      <c r="BC3626" s="76"/>
      <c r="BD3626" s="76">
        <f>+BC3626*30000</f>
        <v>0</v>
      </c>
      <c r="BE3626" s="76"/>
      <c r="BF3626" s="76"/>
      <c r="BG3626" s="76"/>
      <c r="BH3626" s="76"/>
      <c r="BI3626" s="76"/>
      <c r="BJ3626" s="76"/>
      <c r="BK3626" s="76"/>
      <c r="BL3626" s="76">
        <f>+BK3626*31500</f>
        <v>0</v>
      </c>
      <c r="BM3626" s="76"/>
      <c r="BN3626" s="76"/>
      <c r="BO3626" s="76"/>
      <c r="BP3626" s="76"/>
      <c r="BQ3626" s="76"/>
      <c r="BR3626" s="76"/>
      <c r="BS3626" s="76"/>
      <c r="BT3626" s="76"/>
      <c r="BU3626" s="76"/>
      <c r="BV3626" s="76"/>
      <c r="BW3626" s="76"/>
      <c r="BX3626" s="76"/>
      <c r="BY3626" s="76"/>
      <c r="BZ3626" s="76"/>
      <c r="CA3626" s="76"/>
      <c r="CB3626" s="76"/>
      <c r="CC3626" s="76"/>
      <c r="CD3626" s="76"/>
      <c r="CE3626" s="76"/>
      <c r="CF3626" s="76">
        <f>+CE3626*28000</f>
        <v>0</v>
      </c>
      <c r="CG3626" s="76"/>
      <c r="CH3626" s="76">
        <f>+CG3626*22500</f>
        <v>0</v>
      </c>
      <c r="CI3626" s="76"/>
      <c r="CJ3626" s="76">
        <f>+CI3626*26000</f>
        <v>0</v>
      </c>
      <c r="CK3626" s="76"/>
      <c r="CL3626" s="76"/>
      <c r="CM3626" s="76"/>
      <c r="CN3626" s="76">
        <f>+CM3626*22000</f>
        <v>0</v>
      </c>
      <c r="CO3626" s="76"/>
      <c r="CP3626" s="76">
        <f>+CO3626*46000</f>
        <v>0</v>
      </c>
      <c r="CQ3626" s="76"/>
      <c r="CR3626" s="76">
        <f>+CQ3626*49000</f>
        <v>0</v>
      </c>
      <c r="CS3626" s="76"/>
      <c r="CT3626" s="76"/>
      <c r="CU3626" s="56">
        <f>AN3626+AP3626+AR3626+AT3626+AV3626+AX3626+AZ3626+BB3626+BD3626+BF3626+BH3626+BJ3626+BL3626+BN3626+BP3626+BR3626+BT3626+BV3626+BX3626+BZ3626+CB3626+CD3626+CF3626+CH3626+CJ3626+CL3626+CN3626+CP3626+CR3626+CT3626</f>
        <v>0</v>
      </c>
      <c r="CV3626" s="76"/>
      <c r="CW3626" s="76">
        <f>+CV3626*1100</f>
        <v>0</v>
      </c>
      <c r="CX3626" s="76"/>
      <c r="CY3626" s="76">
        <f>+CX3626*106250</f>
        <v>0</v>
      </c>
      <c r="CZ3626" s="76"/>
      <c r="DA3626" s="76">
        <f>+CZ3626*34500</f>
        <v>0</v>
      </c>
      <c r="DB3626" s="76"/>
      <c r="DC3626" s="76">
        <f>+DB3626*25000</f>
        <v>0</v>
      </c>
      <c r="DD3626" s="219"/>
      <c r="DE3626" s="219"/>
      <c r="DF3626" s="166"/>
      <c r="DG3626" s="116"/>
      <c r="DH3626" s="117"/>
      <c r="DI3626" s="24"/>
      <c r="DJ3626" s="24"/>
      <c r="DK3626" s="24"/>
      <c r="DL3626" s="24"/>
      <c r="DM3626" s="24"/>
      <c r="DN3626" s="24"/>
      <c r="DO3626" s="24"/>
      <c r="DP3626" s="24"/>
      <c r="DQ3626" s="24"/>
      <c r="DR3626" s="24"/>
      <c r="DS3626" s="24"/>
      <c r="DT3626" s="24"/>
      <c r="DU3626" s="24"/>
    </row>
    <row r="3627" spans="1:125" s="8" customFormat="1" ht="144" x14ac:dyDescent="0.2">
      <c r="A3627" s="353">
        <v>41590</v>
      </c>
      <c r="B3627" s="352" t="s">
        <v>2196</v>
      </c>
      <c r="C3627" s="354" t="s">
        <v>508</v>
      </c>
      <c r="D3627" s="354" t="s">
        <v>3088</v>
      </c>
      <c r="E3627" s="75" t="str">
        <f>VLOOKUP(B3627&amp;C3627,Divipola!$C$2:$F$1138,4,FALSE)</f>
        <v>17001</v>
      </c>
      <c r="F3627" s="87"/>
      <c r="G3627" s="87"/>
      <c r="H3627" s="87"/>
      <c r="I3627" s="87">
        <v>70</v>
      </c>
      <c r="J3627" s="87">
        <v>14</v>
      </c>
      <c r="K3627" s="87"/>
      <c r="L3627" s="87">
        <v>14</v>
      </c>
      <c r="M3627" s="87"/>
      <c r="N3627" s="87"/>
      <c r="O3627" s="87"/>
      <c r="P3627" s="87"/>
      <c r="Q3627" s="87"/>
      <c r="R3627" s="87"/>
      <c r="S3627" s="87"/>
      <c r="T3627" s="87"/>
      <c r="U3627" s="88"/>
      <c r="V3627" s="89"/>
      <c r="W3627" s="96">
        <v>0</v>
      </c>
      <c r="X3627" s="71">
        <f>CU3627</f>
        <v>0</v>
      </c>
      <c r="Y3627" s="71">
        <f>CY3627</f>
        <v>0</v>
      </c>
      <c r="Z3627" s="71">
        <f>DA3627+DC3627+DE3627</f>
        <v>0</v>
      </c>
      <c r="AA3627" s="71">
        <f>CW3627</f>
        <v>0</v>
      </c>
      <c r="AB3627" s="71"/>
      <c r="AC3627" s="71">
        <v>0</v>
      </c>
      <c r="AD3627" s="71">
        <f>W3627+X3627+Y3627+Z3627+AA3627+AB3627+AC3627</f>
        <v>0</v>
      </c>
      <c r="AE3627" s="72">
        <v>0</v>
      </c>
      <c r="AF3627" s="5"/>
      <c r="AG3627" s="6"/>
      <c r="AH3627" s="27"/>
      <c r="AI3627" s="44"/>
      <c r="AJ3627" s="26"/>
      <c r="AK3627" s="5"/>
      <c r="AL3627" s="9" t="s">
        <v>6628</v>
      </c>
      <c r="AM3627" s="76"/>
      <c r="AN3627" s="76"/>
      <c r="AO3627" s="76"/>
      <c r="AP3627" s="76"/>
      <c r="AQ3627" s="76"/>
      <c r="AR3627" s="76"/>
      <c r="AS3627" s="76"/>
      <c r="AT3627" s="76"/>
      <c r="AU3627" s="76"/>
      <c r="AV3627" s="76"/>
      <c r="AW3627" s="76"/>
      <c r="AX3627" s="76">
        <f>+AW3627*600000</f>
        <v>0</v>
      </c>
      <c r="AY3627" s="76"/>
      <c r="AZ3627" s="76">
        <f>+AY3627*70000</f>
        <v>0</v>
      </c>
      <c r="BA3627" s="76"/>
      <c r="BB3627" s="76"/>
      <c r="BC3627" s="76"/>
      <c r="BD3627" s="76">
        <f>+BC3627*30000</f>
        <v>0</v>
      </c>
      <c r="BE3627" s="76"/>
      <c r="BF3627" s="76"/>
      <c r="BG3627" s="76"/>
      <c r="BH3627" s="76"/>
      <c r="BI3627" s="76"/>
      <c r="BJ3627" s="76"/>
      <c r="BK3627" s="76"/>
      <c r="BL3627" s="76">
        <f>+BK3627*31500</f>
        <v>0</v>
      </c>
      <c r="BM3627" s="76"/>
      <c r="BN3627" s="76"/>
      <c r="BO3627" s="76"/>
      <c r="BP3627" s="76"/>
      <c r="BQ3627" s="76"/>
      <c r="BR3627" s="76"/>
      <c r="BS3627" s="76"/>
      <c r="BT3627" s="76"/>
      <c r="BU3627" s="76"/>
      <c r="BV3627" s="76"/>
      <c r="BW3627" s="76"/>
      <c r="BX3627" s="76"/>
      <c r="BY3627" s="76"/>
      <c r="BZ3627" s="76"/>
      <c r="CA3627" s="76"/>
      <c r="CB3627" s="76"/>
      <c r="CC3627" s="76"/>
      <c r="CD3627" s="76"/>
      <c r="CE3627" s="76"/>
      <c r="CF3627" s="76">
        <f>+CE3627*28000</f>
        <v>0</v>
      </c>
      <c r="CG3627" s="76"/>
      <c r="CH3627" s="76">
        <f>+CG3627*22500</f>
        <v>0</v>
      </c>
      <c r="CI3627" s="76"/>
      <c r="CJ3627" s="76">
        <f>+CI3627*26000</f>
        <v>0</v>
      </c>
      <c r="CK3627" s="76"/>
      <c r="CL3627" s="76"/>
      <c r="CM3627" s="76"/>
      <c r="CN3627" s="76">
        <f>+CM3627*22000</f>
        <v>0</v>
      </c>
      <c r="CO3627" s="76"/>
      <c r="CP3627" s="76">
        <f>+CO3627*46000</f>
        <v>0</v>
      </c>
      <c r="CQ3627" s="76"/>
      <c r="CR3627" s="76">
        <f>+CQ3627*49000</f>
        <v>0</v>
      </c>
      <c r="CS3627" s="76"/>
      <c r="CT3627" s="76"/>
      <c r="CU3627" s="56">
        <f>AN3627+AP3627+AR3627+AT3627+AV3627+AX3627+AZ3627+BB3627+BD3627+BF3627+BH3627+BJ3627+BL3627+BN3627+BP3627+BR3627+BT3627+BV3627+BX3627+BZ3627+CB3627+CD3627+CF3627+CH3627+CJ3627+CL3627+CN3627+CP3627+CR3627+CT3627</f>
        <v>0</v>
      </c>
      <c r="CV3627" s="76"/>
      <c r="CW3627" s="76">
        <f>+CV3627*1100</f>
        <v>0</v>
      </c>
      <c r="CX3627" s="76"/>
      <c r="CY3627" s="76">
        <f>+CX3627*106250</f>
        <v>0</v>
      </c>
      <c r="CZ3627" s="76"/>
      <c r="DA3627" s="76">
        <f>+CZ3627*34500</f>
        <v>0</v>
      </c>
      <c r="DB3627" s="76"/>
      <c r="DC3627" s="76">
        <f>+DB3627*25000</f>
        <v>0</v>
      </c>
      <c r="DD3627" s="219"/>
      <c r="DE3627" s="219"/>
      <c r="DF3627" s="166"/>
      <c r="DG3627" s="116"/>
      <c r="DH3627" s="117"/>
      <c r="DI3627" s="24"/>
      <c r="DJ3627" s="24"/>
      <c r="DK3627" s="24"/>
      <c r="DL3627" s="24"/>
      <c r="DM3627" s="24"/>
      <c r="DN3627" s="24"/>
      <c r="DO3627" s="24"/>
      <c r="DP3627" s="24"/>
      <c r="DQ3627" s="24"/>
      <c r="DR3627" s="24"/>
      <c r="DS3627" s="24"/>
      <c r="DT3627" s="24"/>
      <c r="DU3627" s="24"/>
    </row>
    <row r="3628" spans="1:125" s="8" customFormat="1" ht="108" x14ac:dyDescent="0.2">
      <c r="A3628" s="353">
        <v>41590</v>
      </c>
      <c r="B3628" s="352" t="s">
        <v>2196</v>
      </c>
      <c r="C3628" s="354" t="s">
        <v>2123</v>
      </c>
      <c r="D3628" s="354" t="s">
        <v>2849</v>
      </c>
      <c r="E3628" s="75" t="str">
        <f>VLOOKUP(B3628&amp;C3628,Divipola!$C$2:$F$1138,4,FALSE)</f>
        <v>17662</v>
      </c>
      <c r="F3628" s="87">
        <v>2</v>
      </c>
      <c r="G3628" s="87">
        <v>2</v>
      </c>
      <c r="H3628" s="87"/>
      <c r="I3628" s="87"/>
      <c r="J3628" s="87"/>
      <c r="K3628" s="87"/>
      <c r="L3628" s="87"/>
      <c r="M3628" s="87"/>
      <c r="N3628" s="87"/>
      <c r="O3628" s="87"/>
      <c r="P3628" s="87"/>
      <c r="Q3628" s="87"/>
      <c r="R3628" s="87"/>
      <c r="S3628" s="87"/>
      <c r="T3628" s="87"/>
      <c r="U3628" s="88"/>
      <c r="V3628" s="89"/>
      <c r="W3628" s="96">
        <v>0</v>
      </c>
      <c r="X3628" s="71">
        <f>CU3628</f>
        <v>0</v>
      </c>
      <c r="Y3628" s="71">
        <f>CY3628</f>
        <v>0</v>
      </c>
      <c r="Z3628" s="71">
        <f>DA3628+DC3628+DE3628</f>
        <v>0</v>
      </c>
      <c r="AA3628" s="71">
        <f>CW3628</f>
        <v>0</v>
      </c>
      <c r="AB3628" s="71"/>
      <c r="AC3628" s="71">
        <v>0</v>
      </c>
      <c r="AD3628" s="71">
        <f>W3628+X3628+Y3628+Z3628+AA3628+AB3628+AC3628</f>
        <v>0</v>
      </c>
      <c r="AE3628" s="72">
        <v>0</v>
      </c>
      <c r="AF3628" s="5"/>
      <c r="AG3628" s="6"/>
      <c r="AH3628" s="27"/>
      <c r="AI3628" s="44"/>
      <c r="AJ3628" s="26"/>
      <c r="AK3628" s="5"/>
      <c r="AL3628" s="9" t="s">
        <v>6629</v>
      </c>
      <c r="AM3628" s="76"/>
      <c r="AN3628" s="76"/>
      <c r="AO3628" s="76"/>
      <c r="AP3628" s="76"/>
      <c r="AQ3628" s="76"/>
      <c r="AR3628" s="76"/>
      <c r="AS3628" s="76"/>
      <c r="AT3628" s="76"/>
      <c r="AU3628" s="76"/>
      <c r="AV3628" s="76"/>
      <c r="AW3628" s="76"/>
      <c r="AX3628" s="76">
        <f>+AW3628*600000</f>
        <v>0</v>
      </c>
      <c r="AY3628" s="76"/>
      <c r="AZ3628" s="76">
        <f>+AY3628*70000</f>
        <v>0</v>
      </c>
      <c r="BA3628" s="76"/>
      <c r="BB3628" s="76"/>
      <c r="BC3628" s="76"/>
      <c r="BD3628" s="76">
        <f>+BC3628*30000</f>
        <v>0</v>
      </c>
      <c r="BE3628" s="76"/>
      <c r="BF3628" s="76"/>
      <c r="BG3628" s="76"/>
      <c r="BH3628" s="76"/>
      <c r="BI3628" s="76"/>
      <c r="BJ3628" s="76"/>
      <c r="BK3628" s="76"/>
      <c r="BL3628" s="76">
        <f>+BK3628*31500</f>
        <v>0</v>
      </c>
      <c r="BM3628" s="76"/>
      <c r="BN3628" s="76"/>
      <c r="BO3628" s="76"/>
      <c r="BP3628" s="76"/>
      <c r="BQ3628" s="76"/>
      <c r="BR3628" s="76"/>
      <c r="BS3628" s="76"/>
      <c r="BT3628" s="76"/>
      <c r="BU3628" s="76"/>
      <c r="BV3628" s="76"/>
      <c r="BW3628" s="76"/>
      <c r="BX3628" s="76"/>
      <c r="BY3628" s="76"/>
      <c r="BZ3628" s="76"/>
      <c r="CA3628" s="76"/>
      <c r="CB3628" s="76"/>
      <c r="CC3628" s="76"/>
      <c r="CD3628" s="76"/>
      <c r="CE3628" s="76"/>
      <c r="CF3628" s="76">
        <f>+CE3628*28000</f>
        <v>0</v>
      </c>
      <c r="CG3628" s="76"/>
      <c r="CH3628" s="76">
        <f>+CG3628*22500</f>
        <v>0</v>
      </c>
      <c r="CI3628" s="76"/>
      <c r="CJ3628" s="76">
        <f>+CI3628*26000</f>
        <v>0</v>
      </c>
      <c r="CK3628" s="76"/>
      <c r="CL3628" s="76"/>
      <c r="CM3628" s="76"/>
      <c r="CN3628" s="76">
        <f>+CM3628*22000</f>
        <v>0</v>
      </c>
      <c r="CO3628" s="76"/>
      <c r="CP3628" s="76">
        <f>+CO3628*46000</f>
        <v>0</v>
      </c>
      <c r="CQ3628" s="76"/>
      <c r="CR3628" s="76">
        <f>+CQ3628*49000</f>
        <v>0</v>
      </c>
      <c r="CS3628" s="76"/>
      <c r="CT3628" s="76"/>
      <c r="CU3628" s="56">
        <f>AN3628+AP3628+AR3628+AT3628+AV3628+AX3628+AZ3628+BB3628+BD3628+BF3628+BH3628+BJ3628+BL3628+BN3628+BP3628+BR3628+BT3628+BV3628+BX3628+BZ3628+CB3628+CD3628+CF3628+CH3628+CJ3628+CL3628+CN3628+CP3628+CR3628+CT3628</f>
        <v>0</v>
      </c>
      <c r="CV3628" s="76"/>
      <c r="CW3628" s="76">
        <f>+CV3628*1100</f>
        <v>0</v>
      </c>
      <c r="CX3628" s="76"/>
      <c r="CY3628" s="76">
        <f>+CX3628*106250</f>
        <v>0</v>
      </c>
      <c r="CZ3628" s="76"/>
      <c r="DA3628" s="76">
        <f>+CZ3628*34500</f>
        <v>0</v>
      </c>
      <c r="DB3628" s="76"/>
      <c r="DC3628" s="76">
        <f>+DB3628*25000</f>
        <v>0</v>
      </c>
      <c r="DD3628" s="219"/>
      <c r="DE3628" s="219"/>
      <c r="DF3628" s="166"/>
      <c r="DG3628" s="116"/>
      <c r="DH3628" s="117"/>
      <c r="DI3628" s="24"/>
      <c r="DJ3628" s="24"/>
      <c r="DK3628" s="24"/>
      <c r="DL3628" s="24"/>
      <c r="DM3628" s="24"/>
      <c r="DN3628" s="24"/>
      <c r="DO3628" s="24"/>
      <c r="DP3628" s="24"/>
      <c r="DQ3628" s="24"/>
      <c r="DR3628" s="24"/>
      <c r="DS3628" s="24"/>
      <c r="DT3628" s="24"/>
      <c r="DU3628" s="24"/>
    </row>
    <row r="3629" spans="1:125" s="8" customFormat="1" ht="204" x14ac:dyDescent="0.2">
      <c r="A3629" s="353">
        <v>41590</v>
      </c>
      <c r="B3629" s="352" t="s">
        <v>2811</v>
      </c>
      <c r="C3629" s="354" t="s">
        <v>1710</v>
      </c>
      <c r="D3629" s="354" t="s">
        <v>2859</v>
      </c>
      <c r="E3629" s="75" t="str">
        <f>VLOOKUP(B3629&amp;C3629,Divipola!$C$2:$F$1138,4,FALSE)</f>
        <v>52427</v>
      </c>
      <c r="F3629" s="87"/>
      <c r="G3629" s="87"/>
      <c r="H3629" s="87"/>
      <c r="I3629" s="87">
        <v>15</v>
      </c>
      <c r="J3629" s="87">
        <v>3</v>
      </c>
      <c r="K3629" s="87">
        <v>3</v>
      </c>
      <c r="L3629" s="87"/>
      <c r="M3629" s="87"/>
      <c r="N3629" s="87"/>
      <c r="O3629" s="87"/>
      <c r="P3629" s="87"/>
      <c r="Q3629" s="87"/>
      <c r="R3629" s="87"/>
      <c r="S3629" s="87">
        <v>1</v>
      </c>
      <c r="T3629" s="87"/>
      <c r="U3629" s="88"/>
      <c r="V3629" s="89"/>
      <c r="W3629" s="96">
        <v>0</v>
      </c>
      <c r="X3629" s="71">
        <f>CU3629</f>
        <v>0</v>
      </c>
      <c r="Y3629" s="71">
        <f>CY3629</f>
        <v>0</v>
      </c>
      <c r="Z3629" s="71">
        <f>DA3629+DC3629+DE3629</f>
        <v>0</v>
      </c>
      <c r="AA3629" s="71">
        <f>CW3629</f>
        <v>0</v>
      </c>
      <c r="AB3629" s="71"/>
      <c r="AC3629" s="71">
        <v>0</v>
      </c>
      <c r="AD3629" s="71">
        <f>W3629+X3629+Y3629+Z3629+AA3629+AB3629+AC3629</f>
        <v>0</v>
      </c>
      <c r="AE3629" s="72">
        <v>0</v>
      </c>
      <c r="AF3629" s="5"/>
      <c r="AG3629" s="6"/>
      <c r="AH3629" s="27"/>
      <c r="AI3629" s="44"/>
      <c r="AJ3629" s="26"/>
      <c r="AK3629" s="5"/>
      <c r="AL3629" s="326" t="s">
        <v>6634</v>
      </c>
      <c r="AM3629" s="76"/>
      <c r="AN3629" s="76"/>
      <c r="AO3629" s="76"/>
      <c r="AP3629" s="76"/>
      <c r="AQ3629" s="76"/>
      <c r="AR3629" s="76"/>
      <c r="AS3629" s="76"/>
      <c r="AT3629" s="76"/>
      <c r="AU3629" s="76"/>
      <c r="AV3629" s="76"/>
      <c r="AW3629" s="76"/>
      <c r="AX3629" s="76">
        <f>+AW3629*600000</f>
        <v>0</v>
      </c>
      <c r="AY3629" s="76"/>
      <c r="AZ3629" s="76">
        <f>+AY3629*70000</f>
        <v>0</v>
      </c>
      <c r="BA3629" s="76"/>
      <c r="BB3629" s="76"/>
      <c r="BC3629" s="76"/>
      <c r="BD3629" s="76">
        <f>+BC3629*30000</f>
        <v>0</v>
      </c>
      <c r="BE3629" s="76"/>
      <c r="BF3629" s="76"/>
      <c r="BG3629" s="76"/>
      <c r="BH3629" s="76"/>
      <c r="BI3629" s="76"/>
      <c r="BJ3629" s="76"/>
      <c r="BK3629" s="76"/>
      <c r="BL3629" s="76">
        <f>+BK3629*31500</f>
        <v>0</v>
      </c>
      <c r="BM3629" s="76"/>
      <c r="BN3629" s="76"/>
      <c r="BO3629" s="76"/>
      <c r="BP3629" s="76"/>
      <c r="BQ3629" s="76"/>
      <c r="BR3629" s="76"/>
      <c r="BS3629" s="76"/>
      <c r="BT3629" s="76"/>
      <c r="BU3629" s="76"/>
      <c r="BV3629" s="76"/>
      <c r="BW3629" s="76"/>
      <c r="BX3629" s="76"/>
      <c r="BY3629" s="76"/>
      <c r="BZ3629" s="76"/>
      <c r="CA3629" s="76"/>
      <c r="CB3629" s="76"/>
      <c r="CC3629" s="76"/>
      <c r="CD3629" s="76"/>
      <c r="CE3629" s="76"/>
      <c r="CF3629" s="76">
        <f>+CE3629*28000</f>
        <v>0</v>
      </c>
      <c r="CG3629" s="76"/>
      <c r="CH3629" s="76">
        <f>+CG3629*22500</f>
        <v>0</v>
      </c>
      <c r="CI3629" s="76"/>
      <c r="CJ3629" s="76">
        <f>+CI3629*26000</f>
        <v>0</v>
      </c>
      <c r="CK3629" s="76"/>
      <c r="CL3629" s="76"/>
      <c r="CM3629" s="76"/>
      <c r="CN3629" s="76">
        <f>+CM3629*22000</f>
        <v>0</v>
      </c>
      <c r="CO3629" s="76"/>
      <c r="CP3629" s="76">
        <f>+CO3629*46000</f>
        <v>0</v>
      </c>
      <c r="CQ3629" s="76"/>
      <c r="CR3629" s="76">
        <f>+CQ3629*49000</f>
        <v>0</v>
      </c>
      <c r="CS3629" s="76"/>
      <c r="CT3629" s="76"/>
      <c r="CU3629" s="56">
        <f>AN3629+AP3629+AR3629+AT3629+AV3629+AX3629+AZ3629+BB3629+BD3629+BF3629+BH3629+BJ3629+BL3629+BN3629+BP3629+BR3629+BT3629+BV3629+BX3629+BZ3629+CB3629+CD3629+CF3629+CH3629+CJ3629+CL3629+CN3629+CP3629+CR3629+CT3629</f>
        <v>0</v>
      </c>
      <c r="CV3629" s="76"/>
      <c r="CW3629" s="76">
        <f>+CV3629*1100</f>
        <v>0</v>
      </c>
      <c r="CX3629" s="76"/>
      <c r="CY3629" s="76">
        <f>+CX3629*106250</f>
        <v>0</v>
      </c>
      <c r="CZ3629" s="76"/>
      <c r="DA3629" s="76">
        <f>+CZ3629*34500</f>
        <v>0</v>
      </c>
      <c r="DB3629" s="76"/>
      <c r="DC3629" s="76">
        <f>+DB3629*25000</f>
        <v>0</v>
      </c>
      <c r="DD3629" s="219"/>
      <c r="DE3629" s="219"/>
      <c r="DF3629" s="166"/>
      <c r="DG3629" s="116"/>
      <c r="DH3629" s="117"/>
      <c r="DI3629" s="24"/>
      <c r="DJ3629" s="24"/>
      <c r="DK3629" s="24"/>
      <c r="DL3629" s="24"/>
      <c r="DM3629" s="24"/>
      <c r="DN3629" s="24"/>
      <c r="DO3629" s="24"/>
      <c r="DP3629" s="24"/>
      <c r="DQ3629" s="24"/>
      <c r="DR3629" s="24"/>
      <c r="DS3629" s="24"/>
      <c r="DT3629" s="24"/>
      <c r="DU3629" s="24"/>
    </row>
    <row r="3630" spans="1:125" s="8" customFormat="1" ht="48" x14ac:dyDescent="0.2">
      <c r="A3630" s="77">
        <v>41590</v>
      </c>
      <c r="B3630" s="78" t="s">
        <v>2309</v>
      </c>
      <c r="C3630" s="75" t="s">
        <v>2310</v>
      </c>
      <c r="D3630" s="75" t="s">
        <v>2846</v>
      </c>
      <c r="E3630" s="75" t="str">
        <f>VLOOKUP(B3630&amp;C3630,Divipola!$C$2:$F$1138,4,FALSE)</f>
        <v>99001</v>
      </c>
      <c r="F3630" s="87"/>
      <c r="G3630" s="87"/>
      <c r="H3630" s="87"/>
      <c r="I3630" s="87"/>
      <c r="J3630" s="87"/>
      <c r="K3630" s="87"/>
      <c r="L3630" s="87"/>
      <c r="M3630" s="87"/>
      <c r="N3630" s="87"/>
      <c r="O3630" s="87"/>
      <c r="P3630" s="87"/>
      <c r="Q3630" s="87"/>
      <c r="R3630" s="87"/>
      <c r="S3630" s="87"/>
      <c r="T3630" s="87"/>
      <c r="U3630" s="88">
        <v>3</v>
      </c>
      <c r="V3630" s="89"/>
      <c r="W3630" s="96">
        <v>0</v>
      </c>
      <c r="X3630" s="71">
        <f>CU3630</f>
        <v>0</v>
      </c>
      <c r="Y3630" s="71">
        <f>CY3630</f>
        <v>0</v>
      </c>
      <c r="Z3630" s="71">
        <f>DA3630+DC3630+DE3630</f>
        <v>0</v>
      </c>
      <c r="AA3630" s="71">
        <f>CW3630</f>
        <v>0</v>
      </c>
      <c r="AB3630" s="71"/>
      <c r="AC3630" s="71">
        <v>0</v>
      </c>
      <c r="AD3630" s="71">
        <f>W3630+X3630+Y3630+Z3630+AA3630+AB3630+AC3630</f>
        <v>0</v>
      </c>
      <c r="AE3630" s="72">
        <v>0</v>
      </c>
      <c r="AF3630" s="5"/>
      <c r="AG3630" s="6"/>
      <c r="AH3630" s="27"/>
      <c r="AI3630" s="44"/>
      <c r="AJ3630" s="26"/>
      <c r="AK3630" s="5"/>
      <c r="AL3630" s="274" t="s">
        <v>6635</v>
      </c>
      <c r="AM3630" s="76"/>
      <c r="AN3630" s="76"/>
      <c r="AO3630" s="76"/>
      <c r="AP3630" s="76"/>
      <c r="AQ3630" s="76"/>
      <c r="AR3630" s="76"/>
      <c r="AS3630" s="76"/>
      <c r="AT3630" s="76"/>
      <c r="AU3630" s="76"/>
      <c r="AV3630" s="76"/>
      <c r="AW3630" s="76"/>
      <c r="AX3630" s="76">
        <f>+AW3630*600000</f>
        <v>0</v>
      </c>
      <c r="AY3630" s="76"/>
      <c r="AZ3630" s="76">
        <f>+AY3630*70000</f>
        <v>0</v>
      </c>
      <c r="BA3630" s="76"/>
      <c r="BB3630" s="76"/>
      <c r="BC3630" s="76"/>
      <c r="BD3630" s="76">
        <f>+BC3630*30000</f>
        <v>0</v>
      </c>
      <c r="BE3630" s="76"/>
      <c r="BF3630" s="76"/>
      <c r="BG3630" s="76"/>
      <c r="BH3630" s="76"/>
      <c r="BI3630" s="76"/>
      <c r="BJ3630" s="76"/>
      <c r="BK3630" s="76"/>
      <c r="BL3630" s="76">
        <f>+BK3630*31500</f>
        <v>0</v>
      </c>
      <c r="BM3630" s="76"/>
      <c r="BN3630" s="76"/>
      <c r="BO3630" s="76"/>
      <c r="BP3630" s="76"/>
      <c r="BQ3630" s="76"/>
      <c r="BR3630" s="76"/>
      <c r="BS3630" s="76"/>
      <c r="BT3630" s="76"/>
      <c r="BU3630" s="76"/>
      <c r="BV3630" s="76"/>
      <c r="BW3630" s="76"/>
      <c r="BX3630" s="76"/>
      <c r="BY3630" s="76"/>
      <c r="BZ3630" s="76"/>
      <c r="CA3630" s="76"/>
      <c r="CB3630" s="76"/>
      <c r="CC3630" s="76"/>
      <c r="CD3630" s="76"/>
      <c r="CE3630" s="76"/>
      <c r="CF3630" s="76">
        <f>+CE3630*28000</f>
        <v>0</v>
      </c>
      <c r="CG3630" s="76"/>
      <c r="CH3630" s="76">
        <f>+CG3630*22500</f>
        <v>0</v>
      </c>
      <c r="CI3630" s="76"/>
      <c r="CJ3630" s="76">
        <f>+CI3630*26000</f>
        <v>0</v>
      </c>
      <c r="CK3630" s="76"/>
      <c r="CL3630" s="76"/>
      <c r="CM3630" s="76"/>
      <c r="CN3630" s="76">
        <f>+CM3630*22000</f>
        <v>0</v>
      </c>
      <c r="CO3630" s="76"/>
      <c r="CP3630" s="76">
        <f>+CO3630*46000</f>
        <v>0</v>
      </c>
      <c r="CQ3630" s="76"/>
      <c r="CR3630" s="76">
        <f>+CQ3630*49000</f>
        <v>0</v>
      </c>
      <c r="CS3630" s="76"/>
      <c r="CT3630" s="76"/>
      <c r="CU3630" s="56">
        <f>AN3630+AP3630+AR3630+AT3630+AV3630+AX3630+AZ3630+BB3630+BD3630+BF3630+BH3630+BJ3630+BL3630+BN3630+BP3630+BR3630+BT3630+BV3630+BX3630+BZ3630+CB3630+CD3630+CF3630+CH3630+CJ3630+CL3630+CN3630+CP3630+CR3630+CT3630</f>
        <v>0</v>
      </c>
      <c r="CV3630" s="76"/>
      <c r="CW3630" s="76">
        <f>+CV3630*1100</f>
        <v>0</v>
      </c>
      <c r="CX3630" s="76"/>
      <c r="CY3630" s="76">
        <f>+CX3630*106250</f>
        <v>0</v>
      </c>
      <c r="CZ3630" s="76"/>
      <c r="DA3630" s="76">
        <f>+CZ3630*34500</f>
        <v>0</v>
      </c>
      <c r="DB3630" s="76"/>
      <c r="DC3630" s="76">
        <f>+DB3630*25000</f>
        <v>0</v>
      </c>
      <c r="DD3630" s="219"/>
      <c r="DE3630" s="219"/>
      <c r="DF3630" s="166"/>
      <c r="DG3630" s="116"/>
      <c r="DH3630" s="117"/>
      <c r="DI3630" s="24"/>
      <c r="DJ3630" s="24"/>
      <c r="DK3630" s="24"/>
      <c r="DL3630" s="24"/>
      <c r="DM3630" s="24"/>
      <c r="DN3630" s="24"/>
      <c r="DO3630" s="24"/>
      <c r="DP3630" s="24"/>
      <c r="DQ3630" s="24"/>
      <c r="DR3630" s="24"/>
      <c r="DS3630" s="24"/>
      <c r="DT3630" s="24"/>
      <c r="DU3630" s="24"/>
    </row>
    <row r="3631" spans="1:125" s="8" customFormat="1" ht="48" x14ac:dyDescent="0.2">
      <c r="A3631" s="77">
        <v>41590</v>
      </c>
      <c r="B3631" s="352" t="s">
        <v>2309</v>
      </c>
      <c r="C3631" s="354" t="s">
        <v>2310</v>
      </c>
      <c r="D3631" s="354" t="s">
        <v>2846</v>
      </c>
      <c r="E3631" s="75" t="str">
        <f>VLOOKUP(B3631&amp;C3631,Divipola!$C$2:$F$1138,4,FALSE)</f>
        <v>99001</v>
      </c>
      <c r="F3631" s="87"/>
      <c r="G3631" s="87"/>
      <c r="H3631" s="87"/>
      <c r="I3631" s="87"/>
      <c r="J3631" s="87"/>
      <c r="K3631" s="87"/>
      <c r="L3631" s="87"/>
      <c r="M3631" s="87"/>
      <c r="N3631" s="87"/>
      <c r="O3631" s="87"/>
      <c r="P3631" s="87"/>
      <c r="Q3631" s="87"/>
      <c r="R3631" s="87"/>
      <c r="S3631" s="87"/>
      <c r="T3631" s="87"/>
      <c r="U3631" s="88"/>
      <c r="V3631" s="89"/>
      <c r="W3631" s="96">
        <v>0</v>
      </c>
      <c r="X3631" s="71">
        <f>CU3631</f>
        <v>0</v>
      </c>
      <c r="Y3631" s="71">
        <f>CY3631</f>
        <v>0</v>
      </c>
      <c r="Z3631" s="71">
        <f>DA3631+DC3631+DE3631</f>
        <v>0</v>
      </c>
      <c r="AA3631" s="71">
        <f>CW3631</f>
        <v>0</v>
      </c>
      <c r="AB3631" s="71"/>
      <c r="AC3631" s="71">
        <v>0</v>
      </c>
      <c r="AD3631" s="71">
        <f>W3631+X3631+Y3631+Z3631+AA3631+AB3631+AC3631</f>
        <v>0</v>
      </c>
      <c r="AE3631" s="72">
        <v>0</v>
      </c>
      <c r="AF3631" s="5"/>
      <c r="AG3631" s="6"/>
      <c r="AH3631" s="27"/>
      <c r="AI3631" s="44"/>
      <c r="AJ3631" s="26"/>
      <c r="AK3631" s="5"/>
      <c r="AL3631" s="82" t="s">
        <v>6636</v>
      </c>
      <c r="AM3631" s="76"/>
      <c r="AN3631" s="76"/>
      <c r="AO3631" s="76"/>
      <c r="AP3631" s="76"/>
      <c r="AQ3631" s="76"/>
      <c r="AR3631" s="76"/>
      <c r="AS3631" s="76"/>
      <c r="AT3631" s="76"/>
      <c r="AU3631" s="76"/>
      <c r="AV3631" s="76"/>
      <c r="AW3631" s="76"/>
      <c r="AX3631" s="76">
        <f>+AW3631*600000</f>
        <v>0</v>
      </c>
      <c r="AY3631" s="76"/>
      <c r="AZ3631" s="76">
        <f>+AY3631*70000</f>
        <v>0</v>
      </c>
      <c r="BA3631" s="76"/>
      <c r="BB3631" s="76"/>
      <c r="BC3631" s="76"/>
      <c r="BD3631" s="76">
        <f>+BC3631*30000</f>
        <v>0</v>
      </c>
      <c r="BE3631" s="76"/>
      <c r="BF3631" s="76"/>
      <c r="BG3631" s="76"/>
      <c r="BH3631" s="76"/>
      <c r="BI3631" s="76"/>
      <c r="BJ3631" s="76"/>
      <c r="BK3631" s="76"/>
      <c r="BL3631" s="76">
        <f>+BK3631*31500</f>
        <v>0</v>
      </c>
      <c r="BM3631" s="76"/>
      <c r="BN3631" s="76"/>
      <c r="BO3631" s="76"/>
      <c r="BP3631" s="76"/>
      <c r="BQ3631" s="76"/>
      <c r="BR3631" s="76"/>
      <c r="BS3631" s="76"/>
      <c r="BT3631" s="76"/>
      <c r="BU3631" s="76"/>
      <c r="BV3631" s="76"/>
      <c r="BW3631" s="76"/>
      <c r="BX3631" s="76"/>
      <c r="BY3631" s="76"/>
      <c r="BZ3631" s="76"/>
      <c r="CA3631" s="76"/>
      <c r="CB3631" s="76"/>
      <c r="CC3631" s="76"/>
      <c r="CD3631" s="76"/>
      <c r="CE3631" s="76"/>
      <c r="CF3631" s="76">
        <f>+CE3631*28000</f>
        <v>0</v>
      </c>
      <c r="CG3631" s="76"/>
      <c r="CH3631" s="76">
        <f>+CG3631*22500</f>
        <v>0</v>
      </c>
      <c r="CI3631" s="76"/>
      <c r="CJ3631" s="76">
        <f>+CI3631*26000</f>
        <v>0</v>
      </c>
      <c r="CK3631" s="76"/>
      <c r="CL3631" s="76"/>
      <c r="CM3631" s="76"/>
      <c r="CN3631" s="76">
        <f>+CM3631*22000</f>
        <v>0</v>
      </c>
      <c r="CO3631" s="76"/>
      <c r="CP3631" s="76">
        <f>+CO3631*46000</f>
        <v>0</v>
      </c>
      <c r="CQ3631" s="76"/>
      <c r="CR3631" s="76">
        <f>+CQ3631*49000</f>
        <v>0</v>
      </c>
      <c r="CS3631" s="76"/>
      <c r="CT3631" s="76"/>
      <c r="CU3631" s="56">
        <f>AN3631+AP3631+AR3631+AT3631+AV3631+AX3631+AZ3631+BB3631+BD3631+BF3631+BH3631+BJ3631+BL3631+BN3631+BP3631+BR3631+BT3631+BV3631+BX3631+BZ3631+CB3631+CD3631+CF3631+CH3631+CJ3631+CL3631+CN3631+CP3631+CR3631+CT3631</f>
        <v>0</v>
      </c>
      <c r="CV3631" s="76"/>
      <c r="CW3631" s="76">
        <f>+CV3631*1100</f>
        <v>0</v>
      </c>
      <c r="CX3631" s="76"/>
      <c r="CY3631" s="76">
        <f>+CX3631*106250</f>
        <v>0</v>
      </c>
      <c r="CZ3631" s="76"/>
      <c r="DA3631" s="76">
        <f>+CZ3631*34500</f>
        <v>0</v>
      </c>
      <c r="DB3631" s="76"/>
      <c r="DC3631" s="76">
        <f>+DB3631*25000</f>
        <v>0</v>
      </c>
      <c r="DD3631" s="219"/>
      <c r="DE3631" s="219"/>
      <c r="DF3631" s="166"/>
      <c r="DG3631" s="116"/>
      <c r="DH3631" s="117"/>
      <c r="DI3631" s="24"/>
      <c r="DJ3631" s="24"/>
      <c r="DK3631" s="24"/>
      <c r="DL3631" s="24"/>
      <c r="DM3631" s="24"/>
      <c r="DN3631" s="24"/>
      <c r="DO3631" s="24"/>
      <c r="DP3631" s="24"/>
      <c r="DQ3631" s="24"/>
      <c r="DR3631" s="24"/>
      <c r="DS3631" s="24"/>
      <c r="DT3631" s="24"/>
      <c r="DU3631" s="24"/>
    </row>
    <row r="3632" spans="1:125" s="8" customFormat="1" ht="84" x14ac:dyDescent="0.2">
      <c r="A3632" s="77">
        <v>41590</v>
      </c>
      <c r="B3632" s="352" t="s">
        <v>2772</v>
      </c>
      <c r="C3632" s="354" t="s">
        <v>2672</v>
      </c>
      <c r="D3632" s="354" t="s">
        <v>2849</v>
      </c>
      <c r="E3632" s="75" t="str">
        <f>VLOOKUP(B3632&amp;C3632,Divipola!$C$2:$F$1138,4,FALSE)</f>
        <v>25290</v>
      </c>
      <c r="F3632" s="87">
        <v>3</v>
      </c>
      <c r="G3632" s="87"/>
      <c r="H3632" s="87"/>
      <c r="I3632" s="87">
        <v>3</v>
      </c>
      <c r="J3632" s="87"/>
      <c r="K3632" s="87"/>
      <c r="L3632" s="87"/>
      <c r="M3632" s="87"/>
      <c r="N3632" s="87"/>
      <c r="O3632" s="87"/>
      <c r="P3632" s="87"/>
      <c r="Q3632" s="87"/>
      <c r="R3632" s="87"/>
      <c r="S3632" s="87"/>
      <c r="T3632" s="87"/>
      <c r="U3632" s="88"/>
      <c r="V3632" s="89">
        <v>2</v>
      </c>
      <c r="W3632" s="96">
        <v>0</v>
      </c>
      <c r="X3632" s="71">
        <f>CU3632</f>
        <v>0</v>
      </c>
      <c r="Y3632" s="71">
        <f>CY3632</f>
        <v>0</v>
      </c>
      <c r="Z3632" s="71">
        <f>DA3632+DC3632+DE3632</f>
        <v>0</v>
      </c>
      <c r="AA3632" s="71">
        <f>CW3632</f>
        <v>0</v>
      </c>
      <c r="AB3632" s="71"/>
      <c r="AC3632" s="71">
        <v>0</v>
      </c>
      <c r="AD3632" s="71">
        <f>W3632+X3632+Y3632+Z3632+AA3632+AB3632+AC3632</f>
        <v>0</v>
      </c>
      <c r="AE3632" s="72">
        <v>0</v>
      </c>
      <c r="AF3632" s="5"/>
      <c r="AG3632" s="6"/>
      <c r="AH3632" s="27"/>
      <c r="AI3632" s="44"/>
      <c r="AJ3632" s="26"/>
      <c r="AK3632" s="5"/>
      <c r="AL3632" s="356" t="s">
        <v>6637</v>
      </c>
      <c r="AM3632" s="76"/>
      <c r="AN3632" s="76"/>
      <c r="AO3632" s="76"/>
      <c r="AP3632" s="76"/>
      <c r="AQ3632" s="76"/>
      <c r="AR3632" s="76"/>
      <c r="AS3632" s="76"/>
      <c r="AT3632" s="76"/>
      <c r="AU3632" s="76"/>
      <c r="AV3632" s="76"/>
      <c r="AW3632" s="76"/>
      <c r="AX3632" s="76">
        <f>+AW3632*600000</f>
        <v>0</v>
      </c>
      <c r="AY3632" s="76"/>
      <c r="AZ3632" s="76">
        <f>+AY3632*70000</f>
        <v>0</v>
      </c>
      <c r="BA3632" s="76"/>
      <c r="BB3632" s="76"/>
      <c r="BC3632" s="76"/>
      <c r="BD3632" s="76">
        <f>+BC3632*30000</f>
        <v>0</v>
      </c>
      <c r="BE3632" s="76"/>
      <c r="BF3632" s="76"/>
      <c r="BG3632" s="76"/>
      <c r="BH3632" s="76"/>
      <c r="BI3632" s="76"/>
      <c r="BJ3632" s="76"/>
      <c r="BK3632" s="76"/>
      <c r="BL3632" s="76">
        <f>+BK3632*31500</f>
        <v>0</v>
      </c>
      <c r="BM3632" s="76"/>
      <c r="BN3632" s="76"/>
      <c r="BO3632" s="76"/>
      <c r="BP3632" s="76"/>
      <c r="BQ3632" s="76"/>
      <c r="BR3632" s="76"/>
      <c r="BS3632" s="76"/>
      <c r="BT3632" s="76"/>
      <c r="BU3632" s="76"/>
      <c r="BV3632" s="76"/>
      <c r="BW3632" s="76"/>
      <c r="BX3632" s="76"/>
      <c r="BY3632" s="76"/>
      <c r="BZ3632" s="76"/>
      <c r="CA3632" s="76"/>
      <c r="CB3632" s="76"/>
      <c r="CC3632" s="76"/>
      <c r="CD3632" s="76"/>
      <c r="CE3632" s="76"/>
      <c r="CF3632" s="76">
        <f>+CE3632*28000</f>
        <v>0</v>
      </c>
      <c r="CG3632" s="76"/>
      <c r="CH3632" s="76">
        <f>+CG3632*22500</f>
        <v>0</v>
      </c>
      <c r="CI3632" s="76"/>
      <c r="CJ3632" s="76">
        <f>+CI3632*26000</f>
        <v>0</v>
      </c>
      <c r="CK3632" s="76"/>
      <c r="CL3632" s="76"/>
      <c r="CM3632" s="76"/>
      <c r="CN3632" s="76">
        <f>+CM3632*22000</f>
        <v>0</v>
      </c>
      <c r="CO3632" s="76"/>
      <c r="CP3632" s="76">
        <f>+CO3632*46000</f>
        <v>0</v>
      </c>
      <c r="CQ3632" s="76"/>
      <c r="CR3632" s="76">
        <f>+CQ3632*49000</f>
        <v>0</v>
      </c>
      <c r="CS3632" s="76"/>
      <c r="CT3632" s="76"/>
      <c r="CU3632" s="56">
        <f>AN3632+AP3632+AR3632+AT3632+AV3632+AX3632+AZ3632+BB3632+BD3632+BF3632+BH3632+BJ3632+BL3632+BN3632+BP3632+BR3632+BT3632+BV3632+BX3632+BZ3632+CB3632+CD3632+CF3632+CH3632+CJ3632+CL3632+CN3632+CP3632+CR3632+CT3632</f>
        <v>0</v>
      </c>
      <c r="CV3632" s="76"/>
      <c r="CW3632" s="76">
        <f>+CV3632*1100</f>
        <v>0</v>
      </c>
      <c r="CX3632" s="76"/>
      <c r="CY3632" s="76">
        <f>+CX3632*106250</f>
        <v>0</v>
      </c>
      <c r="CZ3632" s="76"/>
      <c r="DA3632" s="76">
        <f>+CZ3632*34500</f>
        <v>0</v>
      </c>
      <c r="DB3632" s="76"/>
      <c r="DC3632" s="76">
        <f>+DB3632*25000</f>
        <v>0</v>
      </c>
      <c r="DD3632" s="219"/>
      <c r="DE3632" s="219"/>
      <c r="DF3632" s="166"/>
      <c r="DG3632" s="116"/>
      <c r="DH3632" s="117"/>
      <c r="DI3632" s="24"/>
      <c r="DJ3632" s="24"/>
      <c r="DK3632" s="24"/>
      <c r="DL3632" s="24"/>
      <c r="DM3632" s="24"/>
      <c r="DN3632" s="24"/>
      <c r="DO3632" s="24"/>
      <c r="DP3632" s="24"/>
      <c r="DQ3632" s="24"/>
      <c r="DR3632" s="24"/>
      <c r="DS3632" s="24"/>
      <c r="DT3632" s="24"/>
      <c r="DU3632" s="24"/>
    </row>
    <row r="3633" spans="1:125" s="8" customFormat="1" ht="96" x14ac:dyDescent="0.2">
      <c r="A3633" s="77">
        <v>41591</v>
      </c>
      <c r="B3633" s="78" t="s">
        <v>2847</v>
      </c>
      <c r="C3633" s="75" t="s">
        <v>2673</v>
      </c>
      <c r="D3633" s="75" t="s">
        <v>3088</v>
      </c>
      <c r="E3633" s="75" t="str">
        <f>VLOOKUP(B3633&amp;C3633,Divipola!$C$2:$F$1138,4,FALSE)</f>
        <v>68001</v>
      </c>
      <c r="F3633" s="87"/>
      <c r="G3633" s="87"/>
      <c r="H3633" s="87"/>
      <c r="I3633" s="87">
        <v>5</v>
      </c>
      <c r="J3633" s="87">
        <v>1</v>
      </c>
      <c r="K3633" s="87"/>
      <c r="L3633" s="87">
        <v>1</v>
      </c>
      <c r="M3633" s="87"/>
      <c r="N3633" s="87"/>
      <c r="O3633" s="87"/>
      <c r="P3633" s="87"/>
      <c r="Q3633" s="87"/>
      <c r="R3633" s="87"/>
      <c r="S3633" s="87"/>
      <c r="T3633" s="87"/>
      <c r="U3633" s="88"/>
      <c r="V3633" s="89"/>
      <c r="W3633" s="96">
        <v>0</v>
      </c>
      <c r="X3633" s="71">
        <f>CU3633</f>
        <v>0</v>
      </c>
      <c r="Y3633" s="71">
        <f>CY3633</f>
        <v>0</v>
      </c>
      <c r="Z3633" s="71">
        <f>DA3633+DC3633+DE3633</f>
        <v>0</v>
      </c>
      <c r="AA3633" s="71">
        <f>CW3633</f>
        <v>0</v>
      </c>
      <c r="AB3633" s="71"/>
      <c r="AC3633" s="71">
        <v>0</v>
      </c>
      <c r="AD3633" s="71">
        <f>W3633+X3633+Y3633+Z3633+AA3633+AB3633+AC3633</f>
        <v>0</v>
      </c>
      <c r="AE3633" s="72">
        <v>0</v>
      </c>
      <c r="AF3633" s="5"/>
      <c r="AG3633" s="6"/>
      <c r="AH3633" s="27"/>
      <c r="AI3633" s="44"/>
      <c r="AJ3633" s="26"/>
      <c r="AK3633" s="5"/>
      <c r="AL3633" s="356" t="s">
        <v>6638</v>
      </c>
      <c r="AM3633" s="76"/>
      <c r="AN3633" s="76"/>
      <c r="AO3633" s="76"/>
      <c r="AP3633" s="76"/>
      <c r="AQ3633" s="76"/>
      <c r="AR3633" s="76"/>
      <c r="AS3633" s="76"/>
      <c r="AT3633" s="76"/>
      <c r="AU3633" s="76"/>
      <c r="AV3633" s="76"/>
      <c r="AW3633" s="76"/>
      <c r="AX3633" s="76">
        <f>+AW3633*600000</f>
        <v>0</v>
      </c>
      <c r="AY3633" s="76"/>
      <c r="AZ3633" s="76">
        <f>+AY3633*70000</f>
        <v>0</v>
      </c>
      <c r="BA3633" s="76"/>
      <c r="BB3633" s="76"/>
      <c r="BC3633" s="76"/>
      <c r="BD3633" s="76">
        <f>+BC3633*30000</f>
        <v>0</v>
      </c>
      <c r="BE3633" s="76"/>
      <c r="BF3633" s="76"/>
      <c r="BG3633" s="76"/>
      <c r="BH3633" s="76"/>
      <c r="BI3633" s="76"/>
      <c r="BJ3633" s="76"/>
      <c r="BK3633" s="76"/>
      <c r="BL3633" s="76">
        <f>+BK3633*31500</f>
        <v>0</v>
      </c>
      <c r="BM3633" s="76"/>
      <c r="BN3633" s="76"/>
      <c r="BO3633" s="76"/>
      <c r="BP3633" s="76"/>
      <c r="BQ3633" s="76"/>
      <c r="BR3633" s="76"/>
      <c r="BS3633" s="76"/>
      <c r="BT3633" s="76"/>
      <c r="BU3633" s="76"/>
      <c r="BV3633" s="76"/>
      <c r="BW3633" s="76"/>
      <c r="BX3633" s="76"/>
      <c r="BY3633" s="76"/>
      <c r="BZ3633" s="76"/>
      <c r="CA3633" s="76"/>
      <c r="CB3633" s="76"/>
      <c r="CC3633" s="76"/>
      <c r="CD3633" s="76"/>
      <c r="CE3633" s="76"/>
      <c r="CF3633" s="76">
        <f>+CE3633*28000</f>
        <v>0</v>
      </c>
      <c r="CG3633" s="76"/>
      <c r="CH3633" s="76">
        <f>+CG3633*22500</f>
        <v>0</v>
      </c>
      <c r="CI3633" s="76"/>
      <c r="CJ3633" s="76">
        <f>+CI3633*26000</f>
        <v>0</v>
      </c>
      <c r="CK3633" s="76"/>
      <c r="CL3633" s="76"/>
      <c r="CM3633" s="76"/>
      <c r="CN3633" s="76">
        <f>+CM3633*22000</f>
        <v>0</v>
      </c>
      <c r="CO3633" s="76"/>
      <c r="CP3633" s="76">
        <f>+CO3633*46000</f>
        <v>0</v>
      </c>
      <c r="CQ3633" s="76"/>
      <c r="CR3633" s="76">
        <f>+CQ3633*49000</f>
        <v>0</v>
      </c>
      <c r="CS3633" s="76"/>
      <c r="CT3633" s="76"/>
      <c r="CU3633" s="56">
        <f>AN3633+AP3633+AR3633+AT3633+AV3633+AX3633+AZ3633+BB3633+BD3633+BF3633+BH3633+BJ3633+BL3633+BN3633+BP3633+BR3633+BT3633+BV3633+BX3633+BZ3633+CB3633+CD3633+CF3633+CH3633+CJ3633+CL3633+CN3633+CP3633+CR3633+CT3633</f>
        <v>0</v>
      </c>
      <c r="CV3633" s="76"/>
      <c r="CW3633" s="76">
        <f>+CV3633*1100</f>
        <v>0</v>
      </c>
      <c r="CX3633" s="76"/>
      <c r="CY3633" s="76">
        <f>+CX3633*106250</f>
        <v>0</v>
      </c>
      <c r="CZ3633" s="76"/>
      <c r="DA3633" s="76">
        <f>+CZ3633*34500</f>
        <v>0</v>
      </c>
      <c r="DB3633" s="76"/>
      <c r="DC3633" s="76">
        <f>+DB3633*25000</f>
        <v>0</v>
      </c>
      <c r="DD3633" s="219"/>
      <c r="DE3633" s="219"/>
      <c r="DF3633" s="166"/>
      <c r="DG3633" s="116"/>
      <c r="DH3633" s="117"/>
      <c r="DI3633" s="24"/>
      <c r="DJ3633" s="24"/>
      <c r="DK3633" s="24"/>
      <c r="DL3633" s="24"/>
      <c r="DM3633" s="24"/>
      <c r="DN3633" s="24"/>
      <c r="DO3633" s="24"/>
      <c r="DP3633" s="24"/>
      <c r="DQ3633" s="24"/>
      <c r="DR3633" s="24"/>
      <c r="DS3633" s="24"/>
      <c r="DT3633" s="24"/>
      <c r="DU3633" s="24"/>
    </row>
    <row r="3634" spans="1:125" s="8" customFormat="1" ht="36" x14ac:dyDescent="0.2">
      <c r="A3634" s="353">
        <v>41591</v>
      </c>
      <c r="B3634" s="352" t="s">
        <v>2778</v>
      </c>
      <c r="C3634" s="354" t="s">
        <v>1344</v>
      </c>
      <c r="D3634" s="354" t="s">
        <v>2846</v>
      </c>
      <c r="E3634" s="75" t="str">
        <f>VLOOKUP(B3634&amp;C3634,Divipola!$C$2:$F$1138,4,FALSE)</f>
        <v>85001</v>
      </c>
      <c r="F3634" s="87"/>
      <c r="G3634" s="87"/>
      <c r="H3634" s="87"/>
      <c r="I3634" s="87"/>
      <c r="J3634" s="87"/>
      <c r="K3634" s="87"/>
      <c r="L3634" s="87"/>
      <c r="M3634" s="87"/>
      <c r="N3634" s="87"/>
      <c r="O3634" s="87"/>
      <c r="P3634" s="87"/>
      <c r="Q3634" s="87"/>
      <c r="R3634" s="87"/>
      <c r="S3634" s="87"/>
      <c r="T3634" s="87"/>
      <c r="U3634" s="88">
        <v>1</v>
      </c>
      <c r="V3634" s="89"/>
      <c r="W3634" s="96">
        <v>0</v>
      </c>
      <c r="X3634" s="71">
        <f>CU3634</f>
        <v>0</v>
      </c>
      <c r="Y3634" s="71">
        <f>CY3634</f>
        <v>0</v>
      </c>
      <c r="Z3634" s="71">
        <f>DA3634+DC3634+DE3634</f>
        <v>0</v>
      </c>
      <c r="AA3634" s="71">
        <f>CW3634</f>
        <v>0</v>
      </c>
      <c r="AB3634" s="71"/>
      <c r="AC3634" s="71">
        <v>0</v>
      </c>
      <c r="AD3634" s="71">
        <f>W3634+X3634+Y3634+Z3634+AA3634+AB3634+AC3634</f>
        <v>0</v>
      </c>
      <c r="AE3634" s="72">
        <v>0</v>
      </c>
      <c r="AF3634" s="5"/>
      <c r="AG3634" s="6"/>
      <c r="AH3634" s="27"/>
      <c r="AI3634" s="44"/>
      <c r="AJ3634" s="26"/>
      <c r="AK3634" s="5"/>
      <c r="AL3634" s="356" t="s">
        <v>6640</v>
      </c>
      <c r="AM3634" s="76"/>
      <c r="AN3634" s="76"/>
      <c r="AO3634" s="76"/>
      <c r="AP3634" s="76"/>
      <c r="AQ3634" s="76"/>
      <c r="AR3634" s="76"/>
      <c r="AS3634" s="76"/>
      <c r="AT3634" s="76"/>
      <c r="AU3634" s="76"/>
      <c r="AV3634" s="76"/>
      <c r="AW3634" s="76"/>
      <c r="AX3634" s="76">
        <f>+AW3634*600000</f>
        <v>0</v>
      </c>
      <c r="AY3634" s="76"/>
      <c r="AZ3634" s="76">
        <f>+AY3634*70000</f>
        <v>0</v>
      </c>
      <c r="BA3634" s="76"/>
      <c r="BB3634" s="76"/>
      <c r="BC3634" s="76"/>
      <c r="BD3634" s="76">
        <f>+BC3634*30000</f>
        <v>0</v>
      </c>
      <c r="BE3634" s="76"/>
      <c r="BF3634" s="76"/>
      <c r="BG3634" s="76"/>
      <c r="BH3634" s="76"/>
      <c r="BI3634" s="76"/>
      <c r="BJ3634" s="76"/>
      <c r="BK3634" s="76"/>
      <c r="BL3634" s="76">
        <f>+BK3634*31500</f>
        <v>0</v>
      </c>
      <c r="BM3634" s="76"/>
      <c r="BN3634" s="76"/>
      <c r="BO3634" s="76"/>
      <c r="BP3634" s="76"/>
      <c r="BQ3634" s="76"/>
      <c r="BR3634" s="76"/>
      <c r="BS3634" s="76"/>
      <c r="BT3634" s="76"/>
      <c r="BU3634" s="76"/>
      <c r="BV3634" s="76"/>
      <c r="BW3634" s="76"/>
      <c r="BX3634" s="76"/>
      <c r="BY3634" s="76"/>
      <c r="BZ3634" s="76"/>
      <c r="CA3634" s="76"/>
      <c r="CB3634" s="76"/>
      <c r="CC3634" s="76"/>
      <c r="CD3634" s="76"/>
      <c r="CE3634" s="76"/>
      <c r="CF3634" s="76">
        <f>+CE3634*28000</f>
        <v>0</v>
      </c>
      <c r="CG3634" s="76"/>
      <c r="CH3634" s="76">
        <f>+CG3634*22500</f>
        <v>0</v>
      </c>
      <c r="CI3634" s="76"/>
      <c r="CJ3634" s="76">
        <f>+CI3634*26000</f>
        <v>0</v>
      </c>
      <c r="CK3634" s="76"/>
      <c r="CL3634" s="76"/>
      <c r="CM3634" s="76"/>
      <c r="CN3634" s="76">
        <f>+CM3634*22000</f>
        <v>0</v>
      </c>
      <c r="CO3634" s="76"/>
      <c r="CP3634" s="76">
        <f>+CO3634*46000</f>
        <v>0</v>
      </c>
      <c r="CQ3634" s="76"/>
      <c r="CR3634" s="76">
        <f>+CQ3634*49000</f>
        <v>0</v>
      </c>
      <c r="CS3634" s="76"/>
      <c r="CT3634" s="76"/>
      <c r="CU3634" s="56">
        <f>AN3634+AP3634+AR3634+AT3634+AV3634+AX3634+AZ3634+BB3634+BD3634+BF3634+BH3634+BJ3634+BL3634+BN3634+BP3634+BR3634+BT3634+BV3634+BX3634+BZ3634+CB3634+CD3634+CF3634+CH3634+CJ3634+CL3634+CN3634+CP3634+CR3634+CT3634</f>
        <v>0</v>
      </c>
      <c r="CV3634" s="76"/>
      <c r="CW3634" s="76">
        <f>+CV3634*1100</f>
        <v>0</v>
      </c>
      <c r="CX3634" s="76"/>
      <c r="CY3634" s="76">
        <f>+CX3634*106250</f>
        <v>0</v>
      </c>
      <c r="CZ3634" s="76"/>
      <c r="DA3634" s="76">
        <f>+CZ3634*34500</f>
        <v>0</v>
      </c>
      <c r="DB3634" s="76"/>
      <c r="DC3634" s="76">
        <f>+DB3634*25000</f>
        <v>0</v>
      </c>
      <c r="DD3634" s="219"/>
      <c r="DE3634" s="219"/>
      <c r="DF3634" s="166"/>
      <c r="DG3634" s="116"/>
      <c r="DH3634" s="117"/>
      <c r="DI3634" s="24"/>
      <c r="DJ3634" s="24"/>
      <c r="DK3634" s="24"/>
      <c r="DL3634" s="24"/>
      <c r="DM3634" s="24"/>
      <c r="DN3634" s="24"/>
      <c r="DO3634" s="24"/>
      <c r="DP3634" s="24"/>
      <c r="DQ3634" s="24"/>
      <c r="DR3634" s="24"/>
      <c r="DS3634" s="24"/>
      <c r="DT3634" s="24"/>
      <c r="DU3634" s="24"/>
    </row>
    <row r="3635" spans="1:125" s="8" customFormat="1" ht="84" x14ac:dyDescent="0.2">
      <c r="A3635" s="77">
        <v>41591</v>
      </c>
      <c r="B3635" s="78" t="s">
        <v>2848</v>
      </c>
      <c r="C3635" s="75" t="s">
        <v>2211</v>
      </c>
      <c r="D3635" s="75" t="s">
        <v>2846</v>
      </c>
      <c r="E3635" s="75" t="str">
        <f>VLOOKUP(B3635&amp;C3635,Divipola!$C$2:$F$1138,4,FALSE)</f>
        <v>73861</v>
      </c>
      <c r="F3635" s="87"/>
      <c r="G3635" s="87"/>
      <c r="H3635" s="87"/>
      <c r="I3635" s="87"/>
      <c r="J3635" s="87"/>
      <c r="K3635" s="87"/>
      <c r="L3635" s="87"/>
      <c r="M3635" s="87"/>
      <c r="N3635" s="87"/>
      <c r="O3635" s="87"/>
      <c r="P3635" s="87"/>
      <c r="Q3635" s="87"/>
      <c r="R3635" s="87"/>
      <c r="S3635" s="87"/>
      <c r="T3635" s="87"/>
      <c r="U3635" s="88"/>
      <c r="V3635" s="89"/>
      <c r="W3635" s="96">
        <v>0</v>
      </c>
      <c r="X3635" s="71">
        <f>CU3635</f>
        <v>0</v>
      </c>
      <c r="Y3635" s="71">
        <f>CY3635</f>
        <v>0</v>
      </c>
      <c r="Z3635" s="71">
        <f>DA3635+DC3635+DE3635</f>
        <v>0</v>
      </c>
      <c r="AA3635" s="71">
        <f>CW3635</f>
        <v>0</v>
      </c>
      <c r="AB3635" s="71"/>
      <c r="AC3635" s="71">
        <v>0</v>
      </c>
      <c r="AD3635" s="71">
        <f>W3635+X3635+Y3635+Z3635+AA3635+AB3635+AC3635</f>
        <v>0</v>
      </c>
      <c r="AE3635" s="72">
        <v>0</v>
      </c>
      <c r="AF3635" s="5"/>
      <c r="AG3635" s="6"/>
      <c r="AH3635" s="27"/>
      <c r="AI3635" s="44"/>
      <c r="AJ3635" s="26"/>
      <c r="AK3635" s="5"/>
      <c r="AL3635" s="9" t="s">
        <v>6644</v>
      </c>
      <c r="AM3635" s="76"/>
      <c r="AN3635" s="76"/>
      <c r="AO3635" s="76"/>
      <c r="AP3635" s="76"/>
      <c r="AQ3635" s="76"/>
      <c r="AR3635" s="76"/>
      <c r="AS3635" s="76"/>
      <c r="AT3635" s="76"/>
      <c r="AU3635" s="76"/>
      <c r="AV3635" s="76"/>
      <c r="AW3635" s="76"/>
      <c r="AX3635" s="76">
        <f>+AW3635*600000</f>
        <v>0</v>
      </c>
      <c r="AY3635" s="76"/>
      <c r="AZ3635" s="76">
        <f>+AY3635*70000</f>
        <v>0</v>
      </c>
      <c r="BA3635" s="76"/>
      <c r="BB3635" s="76"/>
      <c r="BC3635" s="76"/>
      <c r="BD3635" s="76">
        <f>+BC3635*30000</f>
        <v>0</v>
      </c>
      <c r="BE3635" s="76"/>
      <c r="BF3635" s="76"/>
      <c r="BG3635" s="76"/>
      <c r="BH3635" s="76"/>
      <c r="BI3635" s="76"/>
      <c r="BJ3635" s="76"/>
      <c r="BK3635" s="76"/>
      <c r="BL3635" s="76">
        <f>+BK3635*31500</f>
        <v>0</v>
      </c>
      <c r="BM3635" s="76"/>
      <c r="BN3635" s="76"/>
      <c r="BO3635" s="76"/>
      <c r="BP3635" s="76"/>
      <c r="BQ3635" s="76"/>
      <c r="BR3635" s="76"/>
      <c r="BS3635" s="76"/>
      <c r="BT3635" s="76"/>
      <c r="BU3635" s="76"/>
      <c r="BV3635" s="76"/>
      <c r="BW3635" s="76"/>
      <c r="BX3635" s="76"/>
      <c r="BY3635" s="76"/>
      <c r="BZ3635" s="76"/>
      <c r="CA3635" s="76"/>
      <c r="CB3635" s="76"/>
      <c r="CC3635" s="76"/>
      <c r="CD3635" s="76"/>
      <c r="CE3635" s="76"/>
      <c r="CF3635" s="76">
        <f>+CE3635*28000</f>
        <v>0</v>
      </c>
      <c r="CG3635" s="76"/>
      <c r="CH3635" s="76">
        <f>+CG3635*22500</f>
        <v>0</v>
      </c>
      <c r="CI3635" s="76"/>
      <c r="CJ3635" s="76">
        <f>+CI3635*26000</f>
        <v>0</v>
      </c>
      <c r="CK3635" s="76"/>
      <c r="CL3635" s="76"/>
      <c r="CM3635" s="76"/>
      <c r="CN3635" s="76">
        <f>+CM3635*22000</f>
        <v>0</v>
      </c>
      <c r="CO3635" s="76"/>
      <c r="CP3635" s="76">
        <f>+CO3635*46000</f>
        <v>0</v>
      </c>
      <c r="CQ3635" s="76"/>
      <c r="CR3635" s="76">
        <f>+CQ3635*49000</f>
        <v>0</v>
      </c>
      <c r="CS3635" s="76"/>
      <c r="CT3635" s="76"/>
      <c r="CU3635" s="56">
        <f>AN3635+AP3635+AR3635+AT3635+AV3635+AX3635+AZ3635+BB3635+BD3635+BF3635+BH3635+BJ3635+BL3635+BN3635+BP3635+BR3635+BT3635+BV3635+BX3635+BZ3635+CB3635+CD3635+CF3635+CH3635+CJ3635+CL3635+CN3635+CP3635+CR3635+CT3635</f>
        <v>0</v>
      </c>
      <c r="CV3635" s="76"/>
      <c r="CW3635" s="76">
        <f>+CV3635*1100</f>
        <v>0</v>
      </c>
      <c r="CX3635" s="76"/>
      <c r="CY3635" s="76">
        <f>+CX3635*106250</f>
        <v>0</v>
      </c>
      <c r="CZ3635" s="76"/>
      <c r="DA3635" s="76">
        <f>+CZ3635*34500</f>
        <v>0</v>
      </c>
      <c r="DB3635" s="76"/>
      <c r="DC3635" s="76">
        <f>+DB3635*25000</f>
        <v>0</v>
      </c>
      <c r="DD3635" s="219"/>
      <c r="DE3635" s="219"/>
      <c r="DF3635" s="166"/>
      <c r="DG3635" s="116"/>
      <c r="DH3635" s="117"/>
      <c r="DI3635" s="24"/>
      <c r="DJ3635" s="24"/>
      <c r="DK3635" s="24"/>
      <c r="DL3635" s="24"/>
      <c r="DM3635" s="24"/>
      <c r="DN3635" s="24"/>
      <c r="DO3635" s="24"/>
      <c r="DP3635" s="24"/>
      <c r="DQ3635" s="24"/>
      <c r="DR3635" s="24"/>
      <c r="DS3635" s="24"/>
      <c r="DT3635" s="24"/>
      <c r="DU3635" s="24"/>
    </row>
    <row r="3636" spans="1:125" s="8" customFormat="1" ht="192" x14ac:dyDescent="0.2">
      <c r="A3636" s="353">
        <v>41591</v>
      </c>
      <c r="B3636" s="352" t="s">
        <v>529</v>
      </c>
      <c r="C3636" s="354" t="s">
        <v>529</v>
      </c>
      <c r="D3636" s="354" t="s">
        <v>2859</v>
      </c>
      <c r="E3636" s="75" t="str">
        <f>VLOOKUP(B3636&amp;C3636,Divipola!$C$2:$F$1138,4,FALSE)</f>
        <v>11001</v>
      </c>
      <c r="F3636" s="87"/>
      <c r="G3636" s="87">
        <v>2</v>
      </c>
      <c r="H3636" s="87"/>
      <c r="I3636" s="87">
        <v>7</v>
      </c>
      <c r="J3636" s="87">
        <v>1</v>
      </c>
      <c r="K3636" s="87"/>
      <c r="L3636" s="87">
        <v>1</v>
      </c>
      <c r="M3636" s="87"/>
      <c r="N3636" s="87"/>
      <c r="O3636" s="87"/>
      <c r="P3636" s="87"/>
      <c r="Q3636" s="87"/>
      <c r="R3636" s="87"/>
      <c r="S3636" s="87"/>
      <c r="T3636" s="87"/>
      <c r="U3636" s="88"/>
      <c r="V3636" s="89">
        <v>2</v>
      </c>
      <c r="W3636" s="96">
        <v>0</v>
      </c>
      <c r="X3636" s="71">
        <f>CU3636</f>
        <v>0</v>
      </c>
      <c r="Y3636" s="71">
        <f>CY3636</f>
        <v>0</v>
      </c>
      <c r="Z3636" s="71">
        <f>DA3636+DC3636+DE3636</f>
        <v>0</v>
      </c>
      <c r="AA3636" s="71">
        <f>CW3636</f>
        <v>0</v>
      </c>
      <c r="AB3636" s="71"/>
      <c r="AC3636" s="71">
        <v>0</v>
      </c>
      <c r="AD3636" s="71">
        <f>W3636+X3636+Y3636+Z3636+AA3636+AB3636+AC3636</f>
        <v>0</v>
      </c>
      <c r="AE3636" s="72">
        <v>0</v>
      </c>
      <c r="AF3636" s="5"/>
      <c r="AG3636" s="6"/>
      <c r="AH3636" s="27"/>
      <c r="AI3636" s="44"/>
      <c r="AJ3636" s="26"/>
      <c r="AK3636" s="5"/>
      <c r="AL3636" s="9" t="s">
        <v>6645</v>
      </c>
      <c r="AM3636" s="76"/>
      <c r="AN3636" s="76"/>
      <c r="AO3636" s="76"/>
      <c r="AP3636" s="76"/>
      <c r="AQ3636" s="76"/>
      <c r="AR3636" s="76"/>
      <c r="AS3636" s="76"/>
      <c r="AT3636" s="76"/>
      <c r="AU3636" s="76"/>
      <c r="AV3636" s="76"/>
      <c r="AW3636" s="76"/>
      <c r="AX3636" s="76">
        <f>+AW3636*600000</f>
        <v>0</v>
      </c>
      <c r="AY3636" s="76"/>
      <c r="AZ3636" s="76">
        <f>+AY3636*70000</f>
        <v>0</v>
      </c>
      <c r="BA3636" s="76"/>
      <c r="BB3636" s="76"/>
      <c r="BC3636" s="76"/>
      <c r="BD3636" s="76">
        <f>+BC3636*30000</f>
        <v>0</v>
      </c>
      <c r="BE3636" s="76"/>
      <c r="BF3636" s="76"/>
      <c r="BG3636" s="76"/>
      <c r="BH3636" s="76"/>
      <c r="BI3636" s="76"/>
      <c r="BJ3636" s="76"/>
      <c r="BK3636" s="76"/>
      <c r="BL3636" s="76">
        <f>+BK3636*31500</f>
        <v>0</v>
      </c>
      <c r="BM3636" s="76"/>
      <c r="BN3636" s="76"/>
      <c r="BO3636" s="76"/>
      <c r="BP3636" s="76"/>
      <c r="BQ3636" s="76"/>
      <c r="BR3636" s="76"/>
      <c r="BS3636" s="76"/>
      <c r="BT3636" s="76"/>
      <c r="BU3636" s="76"/>
      <c r="BV3636" s="76"/>
      <c r="BW3636" s="76"/>
      <c r="BX3636" s="76"/>
      <c r="BY3636" s="76"/>
      <c r="BZ3636" s="76"/>
      <c r="CA3636" s="76"/>
      <c r="CB3636" s="76"/>
      <c r="CC3636" s="76"/>
      <c r="CD3636" s="76"/>
      <c r="CE3636" s="76"/>
      <c r="CF3636" s="76">
        <f>+CE3636*28000</f>
        <v>0</v>
      </c>
      <c r="CG3636" s="76"/>
      <c r="CH3636" s="76">
        <f>+CG3636*22500</f>
        <v>0</v>
      </c>
      <c r="CI3636" s="76"/>
      <c r="CJ3636" s="76">
        <f>+CI3636*26000</f>
        <v>0</v>
      </c>
      <c r="CK3636" s="76"/>
      <c r="CL3636" s="76"/>
      <c r="CM3636" s="76"/>
      <c r="CN3636" s="76">
        <f>+CM3636*22000</f>
        <v>0</v>
      </c>
      <c r="CO3636" s="76"/>
      <c r="CP3636" s="76">
        <f>+CO3636*46000</f>
        <v>0</v>
      </c>
      <c r="CQ3636" s="76"/>
      <c r="CR3636" s="76">
        <f>+CQ3636*49000</f>
        <v>0</v>
      </c>
      <c r="CS3636" s="76"/>
      <c r="CT3636" s="76"/>
      <c r="CU3636" s="56">
        <f>AN3636+AP3636+AR3636+AT3636+AV3636+AX3636+AZ3636+BB3636+BD3636+BF3636+BH3636+BJ3636+BL3636+BN3636+BP3636+BR3636+BT3636+BV3636+BX3636+BZ3636+CB3636+CD3636+CF3636+CH3636+CJ3636+CL3636+CN3636+CP3636+CR3636+CT3636</f>
        <v>0</v>
      </c>
      <c r="CV3636" s="76"/>
      <c r="CW3636" s="76">
        <f>+CV3636*1100</f>
        <v>0</v>
      </c>
      <c r="CX3636" s="76"/>
      <c r="CY3636" s="76">
        <f>+CX3636*106250</f>
        <v>0</v>
      </c>
      <c r="CZ3636" s="76"/>
      <c r="DA3636" s="76">
        <f>+CZ3636*34500</f>
        <v>0</v>
      </c>
      <c r="DB3636" s="76"/>
      <c r="DC3636" s="76">
        <f>+DB3636*25000</f>
        <v>0</v>
      </c>
      <c r="DD3636" s="219"/>
      <c r="DE3636" s="219"/>
      <c r="DF3636" s="166"/>
      <c r="DG3636" s="116"/>
      <c r="DH3636" s="117"/>
      <c r="DI3636" s="24"/>
      <c r="DJ3636" s="24"/>
      <c r="DK3636" s="24"/>
      <c r="DL3636" s="24"/>
      <c r="DM3636" s="24"/>
      <c r="DN3636" s="24"/>
      <c r="DO3636" s="24"/>
      <c r="DP3636" s="24"/>
      <c r="DQ3636" s="24"/>
      <c r="DR3636" s="24"/>
      <c r="DS3636" s="24"/>
      <c r="DT3636" s="24"/>
      <c r="DU3636" s="24"/>
    </row>
    <row r="3637" spans="1:125" s="8" customFormat="1" ht="36" x14ac:dyDescent="0.2">
      <c r="A3637" s="353">
        <v>41591</v>
      </c>
      <c r="B3637" s="352" t="s">
        <v>2811</v>
      </c>
      <c r="C3637" s="354" t="s">
        <v>168</v>
      </c>
      <c r="D3637" s="354" t="s">
        <v>2882</v>
      </c>
      <c r="E3637" s="75" t="str">
        <f>VLOOKUP(B3637&amp;C3637,Divipola!$C$2:$F$1138,4,FALSE)</f>
        <v>52356</v>
      </c>
      <c r="F3637" s="87"/>
      <c r="G3637" s="87"/>
      <c r="H3637" s="87"/>
      <c r="I3637" s="87"/>
      <c r="J3637" s="87"/>
      <c r="K3637" s="87"/>
      <c r="L3637" s="87"/>
      <c r="M3637" s="87"/>
      <c r="N3637" s="87"/>
      <c r="O3637" s="87"/>
      <c r="P3637" s="87"/>
      <c r="Q3637" s="87"/>
      <c r="R3637" s="87"/>
      <c r="S3637" s="87"/>
      <c r="T3637" s="87"/>
      <c r="U3637" s="88"/>
      <c r="V3637" s="89"/>
      <c r="W3637" s="96">
        <v>0</v>
      </c>
      <c r="X3637" s="71">
        <f>CU3637</f>
        <v>0</v>
      </c>
      <c r="Y3637" s="71">
        <f>CY3637</f>
        <v>0</v>
      </c>
      <c r="Z3637" s="71">
        <f>DA3637+DC3637+DE3637</f>
        <v>0</v>
      </c>
      <c r="AA3637" s="71">
        <f>CW3637</f>
        <v>0</v>
      </c>
      <c r="AB3637" s="71"/>
      <c r="AC3637" s="71">
        <v>0</v>
      </c>
      <c r="AD3637" s="71">
        <f>W3637+X3637+Y3637+Z3637+AA3637+AB3637+AC3637</f>
        <v>0</v>
      </c>
      <c r="AE3637" s="72">
        <v>0</v>
      </c>
      <c r="AF3637" s="5"/>
      <c r="AG3637" s="6"/>
      <c r="AH3637" s="27"/>
      <c r="AI3637" s="44"/>
      <c r="AJ3637" s="26"/>
      <c r="AK3637" s="5"/>
      <c r="AL3637" s="9" t="s">
        <v>6646</v>
      </c>
      <c r="AM3637" s="76"/>
      <c r="AN3637" s="76"/>
      <c r="AO3637" s="76"/>
      <c r="AP3637" s="76"/>
      <c r="AQ3637" s="76"/>
      <c r="AR3637" s="76"/>
      <c r="AS3637" s="76"/>
      <c r="AT3637" s="76"/>
      <c r="AU3637" s="76"/>
      <c r="AV3637" s="76"/>
      <c r="AW3637" s="76"/>
      <c r="AX3637" s="76">
        <f>+AW3637*600000</f>
        <v>0</v>
      </c>
      <c r="AY3637" s="76"/>
      <c r="AZ3637" s="76">
        <f>+AY3637*70000</f>
        <v>0</v>
      </c>
      <c r="BA3637" s="76"/>
      <c r="BB3637" s="76"/>
      <c r="BC3637" s="76"/>
      <c r="BD3637" s="76">
        <f>+BC3637*30000</f>
        <v>0</v>
      </c>
      <c r="BE3637" s="76"/>
      <c r="BF3637" s="76"/>
      <c r="BG3637" s="76"/>
      <c r="BH3637" s="76"/>
      <c r="BI3637" s="76"/>
      <c r="BJ3637" s="76"/>
      <c r="BK3637" s="76"/>
      <c r="BL3637" s="76">
        <f>+BK3637*31500</f>
        <v>0</v>
      </c>
      <c r="BM3637" s="76"/>
      <c r="BN3637" s="76"/>
      <c r="BO3637" s="76"/>
      <c r="BP3637" s="76"/>
      <c r="BQ3637" s="76"/>
      <c r="BR3637" s="76"/>
      <c r="BS3637" s="76"/>
      <c r="BT3637" s="76"/>
      <c r="BU3637" s="76"/>
      <c r="BV3637" s="76"/>
      <c r="BW3637" s="76"/>
      <c r="BX3637" s="76"/>
      <c r="BY3637" s="76"/>
      <c r="BZ3637" s="76"/>
      <c r="CA3637" s="76"/>
      <c r="CB3637" s="76"/>
      <c r="CC3637" s="76"/>
      <c r="CD3637" s="76"/>
      <c r="CE3637" s="76"/>
      <c r="CF3637" s="76">
        <f>+CE3637*28000</f>
        <v>0</v>
      </c>
      <c r="CG3637" s="76"/>
      <c r="CH3637" s="76">
        <f>+CG3637*22500</f>
        <v>0</v>
      </c>
      <c r="CI3637" s="76"/>
      <c r="CJ3637" s="76">
        <f>+CI3637*26000</f>
        <v>0</v>
      </c>
      <c r="CK3637" s="76"/>
      <c r="CL3637" s="76"/>
      <c r="CM3637" s="76"/>
      <c r="CN3637" s="76">
        <f>+CM3637*22000</f>
        <v>0</v>
      </c>
      <c r="CO3637" s="76"/>
      <c r="CP3637" s="76">
        <f>+CO3637*46000</f>
        <v>0</v>
      </c>
      <c r="CQ3637" s="76"/>
      <c r="CR3637" s="76">
        <f>+CQ3637*49000</f>
        <v>0</v>
      </c>
      <c r="CS3637" s="76"/>
      <c r="CT3637" s="76"/>
      <c r="CU3637" s="56">
        <f>AN3637+AP3637+AR3637+AT3637+AV3637+AX3637+AZ3637+BB3637+BD3637+BF3637+BH3637+BJ3637+BL3637+BN3637+BP3637+BR3637+BT3637+BV3637+BX3637+BZ3637+CB3637+CD3637+CF3637+CH3637+CJ3637+CL3637+CN3637+CP3637+CR3637+CT3637</f>
        <v>0</v>
      </c>
      <c r="CV3637" s="76"/>
      <c r="CW3637" s="76">
        <f>+CV3637*1100</f>
        <v>0</v>
      </c>
      <c r="CX3637" s="76"/>
      <c r="CY3637" s="76">
        <f>+CX3637*106250</f>
        <v>0</v>
      </c>
      <c r="CZ3637" s="76"/>
      <c r="DA3637" s="76">
        <f>+CZ3637*34500</f>
        <v>0</v>
      </c>
      <c r="DB3637" s="76"/>
      <c r="DC3637" s="76">
        <f>+DB3637*25000</f>
        <v>0</v>
      </c>
      <c r="DD3637" s="219"/>
      <c r="DE3637" s="219"/>
      <c r="DF3637" s="166"/>
      <c r="DG3637" s="116"/>
      <c r="DH3637" s="117"/>
      <c r="DI3637" s="24"/>
      <c r="DJ3637" s="24"/>
      <c r="DK3637" s="24"/>
      <c r="DL3637" s="24"/>
      <c r="DM3637" s="24"/>
      <c r="DN3637" s="24"/>
      <c r="DO3637" s="24"/>
      <c r="DP3637" s="24"/>
      <c r="DQ3637" s="24"/>
      <c r="DR3637" s="24"/>
      <c r="DS3637" s="24"/>
      <c r="DT3637" s="24"/>
      <c r="DU3637" s="24"/>
    </row>
    <row r="3638" spans="1:125" s="8" customFormat="1" ht="72" x14ac:dyDescent="0.2">
      <c r="A3638" s="77">
        <v>41591</v>
      </c>
      <c r="B3638" s="78" t="s">
        <v>2851</v>
      </c>
      <c r="C3638" s="75" t="s">
        <v>107</v>
      </c>
      <c r="D3638" s="75" t="s">
        <v>3205</v>
      </c>
      <c r="E3638" s="75" t="str">
        <f>VLOOKUP(B3638&amp;C3638,Divipola!$C$2:$F$1138,4,FALSE)</f>
        <v>76606</v>
      </c>
      <c r="F3638" s="87"/>
      <c r="G3638" s="87"/>
      <c r="H3638" s="87"/>
      <c r="I3638" s="87">
        <v>25</v>
      </c>
      <c r="J3638" s="87">
        <v>5</v>
      </c>
      <c r="K3638" s="87"/>
      <c r="L3638" s="87">
        <v>5</v>
      </c>
      <c r="M3638" s="87"/>
      <c r="N3638" s="87"/>
      <c r="O3638" s="87"/>
      <c r="P3638" s="87"/>
      <c r="Q3638" s="87"/>
      <c r="R3638" s="87"/>
      <c r="S3638" s="87"/>
      <c r="T3638" s="87"/>
      <c r="U3638" s="88"/>
      <c r="V3638" s="89"/>
      <c r="W3638" s="96">
        <v>0</v>
      </c>
      <c r="X3638" s="71">
        <f>CU3638</f>
        <v>0</v>
      </c>
      <c r="Y3638" s="71">
        <f>CY3638</f>
        <v>0</v>
      </c>
      <c r="Z3638" s="71">
        <f>DA3638+DC3638+DE3638</f>
        <v>0</v>
      </c>
      <c r="AA3638" s="71">
        <f>CW3638</f>
        <v>0</v>
      </c>
      <c r="AB3638" s="71"/>
      <c r="AC3638" s="71">
        <v>0</v>
      </c>
      <c r="AD3638" s="71">
        <f>W3638+X3638+Y3638+Z3638+AA3638+AB3638+AC3638</f>
        <v>0</v>
      </c>
      <c r="AE3638" s="72">
        <v>0</v>
      </c>
      <c r="AF3638" s="5"/>
      <c r="AG3638" s="6"/>
      <c r="AH3638" s="27"/>
      <c r="AI3638" s="44"/>
      <c r="AJ3638" s="26"/>
      <c r="AK3638" s="5"/>
      <c r="AL3638" s="268" t="s">
        <v>6656</v>
      </c>
      <c r="AM3638" s="76"/>
      <c r="AN3638" s="76"/>
      <c r="AO3638" s="76"/>
      <c r="AP3638" s="76"/>
      <c r="AQ3638" s="76"/>
      <c r="AR3638" s="76"/>
      <c r="AS3638" s="76"/>
      <c r="AT3638" s="76"/>
      <c r="AU3638" s="76"/>
      <c r="AV3638" s="76"/>
      <c r="AW3638" s="76"/>
      <c r="AX3638" s="76">
        <f>+AW3638*600000</f>
        <v>0</v>
      </c>
      <c r="AY3638" s="76"/>
      <c r="AZ3638" s="76">
        <f>+AY3638*70000</f>
        <v>0</v>
      </c>
      <c r="BA3638" s="76"/>
      <c r="BB3638" s="76"/>
      <c r="BC3638" s="76"/>
      <c r="BD3638" s="76">
        <f>+BC3638*30000</f>
        <v>0</v>
      </c>
      <c r="BE3638" s="76"/>
      <c r="BF3638" s="76"/>
      <c r="BG3638" s="76"/>
      <c r="BH3638" s="76"/>
      <c r="BI3638" s="76"/>
      <c r="BJ3638" s="76"/>
      <c r="BK3638" s="76"/>
      <c r="BL3638" s="76">
        <f>+BK3638*31500</f>
        <v>0</v>
      </c>
      <c r="BM3638" s="76"/>
      <c r="BN3638" s="76"/>
      <c r="BO3638" s="76"/>
      <c r="BP3638" s="76"/>
      <c r="BQ3638" s="76"/>
      <c r="BR3638" s="76"/>
      <c r="BS3638" s="76"/>
      <c r="BT3638" s="76"/>
      <c r="BU3638" s="76"/>
      <c r="BV3638" s="76"/>
      <c r="BW3638" s="76"/>
      <c r="BX3638" s="76"/>
      <c r="BY3638" s="76"/>
      <c r="BZ3638" s="76"/>
      <c r="CA3638" s="76"/>
      <c r="CB3638" s="76"/>
      <c r="CC3638" s="76"/>
      <c r="CD3638" s="76"/>
      <c r="CE3638" s="76"/>
      <c r="CF3638" s="76">
        <f>+CE3638*28000</f>
        <v>0</v>
      </c>
      <c r="CG3638" s="76"/>
      <c r="CH3638" s="76">
        <f>+CG3638*22500</f>
        <v>0</v>
      </c>
      <c r="CI3638" s="76"/>
      <c r="CJ3638" s="76">
        <f>+CI3638*26000</f>
        <v>0</v>
      </c>
      <c r="CK3638" s="76"/>
      <c r="CL3638" s="76"/>
      <c r="CM3638" s="76"/>
      <c r="CN3638" s="76">
        <f>+CM3638*22000</f>
        <v>0</v>
      </c>
      <c r="CO3638" s="76"/>
      <c r="CP3638" s="76">
        <f>+CO3638*46000</f>
        <v>0</v>
      </c>
      <c r="CQ3638" s="76"/>
      <c r="CR3638" s="76">
        <f>+CQ3638*49000</f>
        <v>0</v>
      </c>
      <c r="CS3638" s="76"/>
      <c r="CT3638" s="76"/>
      <c r="CU3638" s="56">
        <f>AN3638+AP3638+AR3638+AT3638+AV3638+AX3638+AZ3638+BB3638+BD3638+BF3638+BH3638+BJ3638+BL3638+BN3638+BP3638+BR3638+BT3638+BV3638+BX3638+BZ3638+CB3638+CD3638+CF3638+CH3638+CJ3638+CL3638+CN3638+CP3638+CR3638+CT3638</f>
        <v>0</v>
      </c>
      <c r="CV3638" s="76"/>
      <c r="CW3638" s="76">
        <f>+CV3638*1100</f>
        <v>0</v>
      </c>
      <c r="CX3638" s="76"/>
      <c r="CY3638" s="76">
        <f>+CX3638*106250</f>
        <v>0</v>
      </c>
      <c r="CZ3638" s="76"/>
      <c r="DA3638" s="76">
        <f>+CZ3638*34500</f>
        <v>0</v>
      </c>
      <c r="DB3638" s="76"/>
      <c r="DC3638" s="76">
        <f>+DB3638*25000</f>
        <v>0</v>
      </c>
      <c r="DD3638" s="219"/>
      <c r="DE3638" s="219"/>
      <c r="DF3638" s="166"/>
      <c r="DG3638" s="116"/>
      <c r="DH3638" s="117"/>
      <c r="DI3638" s="24"/>
      <c r="DJ3638" s="24"/>
      <c r="DK3638" s="24"/>
      <c r="DL3638" s="24"/>
      <c r="DM3638" s="24"/>
      <c r="DN3638" s="24"/>
      <c r="DO3638" s="24"/>
      <c r="DP3638" s="24"/>
      <c r="DQ3638" s="24"/>
      <c r="DR3638" s="24"/>
      <c r="DS3638" s="24"/>
      <c r="DT3638" s="24"/>
      <c r="DU3638" s="24"/>
    </row>
    <row r="3639" spans="1:125" s="8" customFormat="1" ht="22.5" x14ac:dyDescent="0.2">
      <c r="A3639" s="77">
        <v>41591</v>
      </c>
      <c r="B3639" s="78" t="s">
        <v>2852</v>
      </c>
      <c r="C3639" s="75" t="s">
        <v>1241</v>
      </c>
      <c r="D3639" s="75" t="s">
        <v>2882</v>
      </c>
      <c r="E3639" s="75" t="str">
        <f>VLOOKUP(B3639&amp;C3639,Divipola!$C$2:$F$1138,4,FALSE)</f>
        <v>27425</v>
      </c>
      <c r="F3639" s="61"/>
      <c r="G3639" s="61"/>
      <c r="H3639" s="61"/>
      <c r="I3639" s="61">
        <v>625</v>
      </c>
      <c r="J3639" s="61">
        <v>131</v>
      </c>
      <c r="K3639" s="61"/>
      <c r="L3639" s="61">
        <v>131</v>
      </c>
      <c r="M3639" s="61"/>
      <c r="N3639" s="61"/>
      <c r="O3639" s="61"/>
      <c r="P3639" s="61"/>
      <c r="Q3639" s="61"/>
      <c r="R3639" s="61"/>
      <c r="S3639" s="61"/>
      <c r="T3639" s="61"/>
      <c r="U3639" s="61">
        <v>639</v>
      </c>
      <c r="V3639" s="7" t="s">
        <v>6687</v>
      </c>
      <c r="W3639" s="96">
        <v>0</v>
      </c>
      <c r="X3639" s="71">
        <f>CU3639</f>
        <v>18270000</v>
      </c>
      <c r="Y3639" s="71">
        <f>CY3639</f>
        <v>13918750</v>
      </c>
      <c r="Z3639" s="71">
        <f>DA3639+DC3639+DE3639</f>
        <v>41600000</v>
      </c>
      <c r="AA3639" s="71">
        <f>CW3639</f>
        <v>0</v>
      </c>
      <c r="AB3639" s="71"/>
      <c r="AC3639" s="71">
        <v>0</v>
      </c>
      <c r="AD3639" s="71">
        <f>W3639+X3639+Y3639+Z3639+AA3639+AB3639+AC3639</f>
        <v>73788750</v>
      </c>
      <c r="AE3639" s="72">
        <v>0</v>
      </c>
      <c r="AF3639" s="5"/>
      <c r="AG3639" s="6"/>
      <c r="AH3639" s="27"/>
      <c r="AI3639" s="44"/>
      <c r="AJ3639" s="26"/>
      <c r="AK3639" s="5"/>
      <c r="AL3639" s="9" t="s">
        <v>6688</v>
      </c>
      <c r="AM3639" s="76"/>
      <c r="AN3639" s="76"/>
      <c r="AO3639" s="76"/>
      <c r="AP3639" s="76"/>
      <c r="AQ3639" s="76"/>
      <c r="AR3639" s="76"/>
      <c r="AS3639" s="76"/>
      <c r="AT3639" s="76"/>
      <c r="AU3639" s="76"/>
      <c r="AV3639" s="76"/>
      <c r="AW3639" s="76"/>
      <c r="AX3639" s="76">
        <f>+AW3639*600000</f>
        <v>0</v>
      </c>
      <c r="AY3639" s="76">
        <v>261</v>
      </c>
      <c r="AZ3639" s="76">
        <f>+AY3639*70000</f>
        <v>18270000</v>
      </c>
      <c r="BA3639" s="76"/>
      <c r="BB3639" s="76"/>
      <c r="BC3639" s="76"/>
      <c r="BD3639" s="76">
        <f>+BC3639*30000</f>
        <v>0</v>
      </c>
      <c r="BE3639" s="76"/>
      <c r="BF3639" s="76"/>
      <c r="BG3639" s="76"/>
      <c r="BH3639" s="76"/>
      <c r="BI3639" s="76"/>
      <c r="BJ3639" s="76"/>
      <c r="BK3639" s="76"/>
      <c r="BL3639" s="76">
        <f>+BK3639*31500</f>
        <v>0</v>
      </c>
      <c r="BM3639" s="76"/>
      <c r="BN3639" s="76"/>
      <c r="BO3639" s="76"/>
      <c r="BP3639" s="76"/>
      <c r="BQ3639" s="76"/>
      <c r="BR3639" s="76"/>
      <c r="BS3639" s="76"/>
      <c r="BT3639" s="76"/>
      <c r="BU3639" s="76"/>
      <c r="BV3639" s="76"/>
      <c r="BW3639" s="76"/>
      <c r="BX3639" s="76"/>
      <c r="BY3639" s="76"/>
      <c r="BZ3639" s="76"/>
      <c r="CA3639" s="76"/>
      <c r="CB3639" s="76"/>
      <c r="CC3639" s="76"/>
      <c r="CD3639" s="76"/>
      <c r="CE3639" s="76"/>
      <c r="CF3639" s="76">
        <f>+CE3639*28000</f>
        <v>0</v>
      </c>
      <c r="CG3639" s="76"/>
      <c r="CH3639" s="76">
        <f>+CG3639*22500</f>
        <v>0</v>
      </c>
      <c r="CI3639" s="76"/>
      <c r="CJ3639" s="76">
        <f>+CI3639*26000</f>
        <v>0</v>
      </c>
      <c r="CK3639" s="76"/>
      <c r="CL3639" s="76"/>
      <c r="CM3639" s="76"/>
      <c r="CN3639" s="76">
        <f>+CM3639*22000</f>
        <v>0</v>
      </c>
      <c r="CO3639" s="76"/>
      <c r="CP3639" s="76">
        <f>+CO3639*46000</f>
        <v>0</v>
      </c>
      <c r="CQ3639" s="76"/>
      <c r="CR3639" s="76">
        <f>+CQ3639*49000</f>
        <v>0</v>
      </c>
      <c r="CS3639" s="76"/>
      <c r="CT3639" s="76"/>
      <c r="CU3639" s="56">
        <f>AN3639+AP3639+AR3639+AT3639+AV3639+AX3639+AZ3639+BB3639+BD3639+BF3639+BH3639+BJ3639+BL3639+BN3639+BP3639+BR3639+BT3639+BV3639+BX3639+BZ3639+CB3639+CD3639+CF3639+CH3639+CJ3639+CL3639+CN3639+CP3639+CR3639+CT3639</f>
        <v>18270000</v>
      </c>
      <c r="CV3639" s="76"/>
      <c r="CW3639" s="76">
        <f>+CV3639*1100</f>
        <v>0</v>
      </c>
      <c r="CX3639" s="76">
        <v>131</v>
      </c>
      <c r="CY3639" s="76">
        <f>+CX3639*106250</f>
        <v>13918750</v>
      </c>
      <c r="CZ3639" s="76"/>
      <c r="DA3639" s="76">
        <f>+CZ3639*34500</f>
        <v>0</v>
      </c>
      <c r="DB3639" s="76">
        <v>1300</v>
      </c>
      <c r="DC3639" s="76">
        <f>1300*32000</f>
        <v>41600000</v>
      </c>
      <c r="DD3639" s="219"/>
      <c r="DE3639" s="219"/>
      <c r="DF3639" s="166"/>
      <c r="DG3639" s="116"/>
      <c r="DH3639" s="117"/>
      <c r="DI3639" s="24"/>
      <c r="DJ3639" s="24"/>
      <c r="DK3639" s="24"/>
      <c r="DL3639" s="24"/>
      <c r="DM3639" s="24"/>
      <c r="DN3639" s="24"/>
      <c r="DO3639" s="24"/>
      <c r="DP3639" s="24"/>
      <c r="DQ3639" s="24"/>
      <c r="DR3639" s="24"/>
      <c r="DS3639" s="24"/>
      <c r="DT3639" s="24"/>
      <c r="DU3639" s="24"/>
    </row>
    <row r="3640" spans="1:125" s="8" customFormat="1" ht="60" x14ac:dyDescent="0.2">
      <c r="A3640" s="353">
        <v>41592</v>
      </c>
      <c r="B3640" s="352" t="s">
        <v>2851</v>
      </c>
      <c r="C3640" s="354" t="s">
        <v>1686</v>
      </c>
      <c r="D3640" s="354" t="s">
        <v>2859</v>
      </c>
      <c r="E3640" s="75" t="str">
        <f>VLOOKUP(B3640&amp;C3640,Divipola!$C$2:$F$1138,4,FALSE)</f>
        <v>76001</v>
      </c>
      <c r="F3640" s="87"/>
      <c r="G3640" s="87"/>
      <c r="H3640" s="87"/>
      <c r="I3640" s="87"/>
      <c r="J3640" s="87"/>
      <c r="K3640" s="87"/>
      <c r="L3640" s="87"/>
      <c r="M3640" s="87"/>
      <c r="N3640" s="87"/>
      <c r="O3640" s="87"/>
      <c r="P3640" s="87"/>
      <c r="Q3640" s="87"/>
      <c r="R3640" s="87"/>
      <c r="S3640" s="87"/>
      <c r="T3640" s="87"/>
      <c r="U3640" s="88"/>
      <c r="V3640" s="89">
        <v>1</v>
      </c>
      <c r="W3640" s="96">
        <v>0</v>
      </c>
      <c r="X3640" s="71">
        <f>CU3640</f>
        <v>0</v>
      </c>
      <c r="Y3640" s="71">
        <f>CY3640</f>
        <v>0</v>
      </c>
      <c r="Z3640" s="71">
        <f>DA3640+DC3640+DE3640</f>
        <v>0</v>
      </c>
      <c r="AA3640" s="71">
        <f>CW3640</f>
        <v>0</v>
      </c>
      <c r="AB3640" s="71"/>
      <c r="AC3640" s="71">
        <v>0</v>
      </c>
      <c r="AD3640" s="71">
        <f>W3640+X3640+Y3640+Z3640+AA3640+AB3640+AC3640</f>
        <v>0</v>
      </c>
      <c r="AE3640" s="72">
        <v>0</v>
      </c>
      <c r="AF3640" s="5"/>
      <c r="AG3640" s="6"/>
      <c r="AH3640" s="27"/>
      <c r="AI3640" s="44"/>
      <c r="AJ3640" s="26"/>
      <c r="AK3640" s="5"/>
      <c r="AL3640" s="82" t="s">
        <v>6648</v>
      </c>
      <c r="AM3640" s="76"/>
      <c r="AN3640" s="76"/>
      <c r="AO3640" s="76"/>
      <c r="AP3640" s="76"/>
      <c r="AQ3640" s="76"/>
      <c r="AR3640" s="76"/>
      <c r="AS3640" s="76"/>
      <c r="AT3640" s="76"/>
      <c r="AU3640" s="76"/>
      <c r="AV3640" s="76"/>
      <c r="AW3640" s="76"/>
      <c r="AX3640" s="76">
        <f>+AW3640*600000</f>
        <v>0</v>
      </c>
      <c r="AY3640" s="76"/>
      <c r="AZ3640" s="76">
        <f>+AY3640*70000</f>
        <v>0</v>
      </c>
      <c r="BA3640" s="76"/>
      <c r="BB3640" s="76"/>
      <c r="BC3640" s="76"/>
      <c r="BD3640" s="76">
        <f>+BC3640*30000</f>
        <v>0</v>
      </c>
      <c r="BE3640" s="76"/>
      <c r="BF3640" s="76"/>
      <c r="BG3640" s="76"/>
      <c r="BH3640" s="76"/>
      <c r="BI3640" s="76"/>
      <c r="BJ3640" s="76"/>
      <c r="BK3640" s="76"/>
      <c r="BL3640" s="76">
        <f>+BK3640*31500</f>
        <v>0</v>
      </c>
      <c r="BM3640" s="76"/>
      <c r="BN3640" s="76"/>
      <c r="BO3640" s="76"/>
      <c r="BP3640" s="76"/>
      <c r="BQ3640" s="76"/>
      <c r="BR3640" s="76"/>
      <c r="BS3640" s="76"/>
      <c r="BT3640" s="76"/>
      <c r="BU3640" s="76"/>
      <c r="BV3640" s="76"/>
      <c r="BW3640" s="76"/>
      <c r="BX3640" s="76"/>
      <c r="BY3640" s="76"/>
      <c r="BZ3640" s="76"/>
      <c r="CA3640" s="76"/>
      <c r="CB3640" s="76"/>
      <c r="CC3640" s="76"/>
      <c r="CD3640" s="76"/>
      <c r="CE3640" s="76"/>
      <c r="CF3640" s="76">
        <f>+CE3640*28000</f>
        <v>0</v>
      </c>
      <c r="CG3640" s="76"/>
      <c r="CH3640" s="76">
        <f>+CG3640*22500</f>
        <v>0</v>
      </c>
      <c r="CI3640" s="76"/>
      <c r="CJ3640" s="76">
        <f>+CI3640*26000</f>
        <v>0</v>
      </c>
      <c r="CK3640" s="76"/>
      <c r="CL3640" s="76"/>
      <c r="CM3640" s="76"/>
      <c r="CN3640" s="76">
        <f>+CM3640*22000</f>
        <v>0</v>
      </c>
      <c r="CO3640" s="76"/>
      <c r="CP3640" s="76">
        <f>+CO3640*46000</f>
        <v>0</v>
      </c>
      <c r="CQ3640" s="76"/>
      <c r="CR3640" s="76">
        <f>+CQ3640*49000</f>
        <v>0</v>
      </c>
      <c r="CS3640" s="76"/>
      <c r="CT3640" s="76"/>
      <c r="CU3640" s="56">
        <f>AN3640+AP3640+AR3640+AT3640+AV3640+AX3640+AZ3640+BB3640+BD3640+BF3640+BH3640+BJ3640+BL3640+BN3640+BP3640+BR3640+BT3640+BV3640+BX3640+BZ3640+CB3640+CD3640+CF3640+CH3640+CJ3640+CL3640+CN3640+CP3640+CR3640+CT3640</f>
        <v>0</v>
      </c>
      <c r="CV3640" s="76"/>
      <c r="CW3640" s="76">
        <f>+CV3640*1100</f>
        <v>0</v>
      </c>
      <c r="CX3640" s="76"/>
      <c r="CY3640" s="76">
        <f>+CX3640*106250</f>
        <v>0</v>
      </c>
      <c r="CZ3640" s="76"/>
      <c r="DA3640" s="76">
        <f>+CZ3640*34500</f>
        <v>0</v>
      </c>
      <c r="DB3640" s="76"/>
      <c r="DC3640" s="76">
        <f>+DB3640*25000</f>
        <v>0</v>
      </c>
      <c r="DD3640" s="219"/>
      <c r="DE3640" s="219"/>
      <c r="DF3640" s="166"/>
      <c r="DG3640" s="116"/>
      <c r="DH3640" s="117"/>
      <c r="DI3640" s="24"/>
      <c r="DJ3640" s="24"/>
      <c r="DK3640" s="24"/>
      <c r="DL3640" s="24"/>
      <c r="DM3640" s="24"/>
      <c r="DN3640" s="24"/>
      <c r="DO3640" s="24"/>
      <c r="DP3640" s="24"/>
      <c r="DQ3640" s="24"/>
      <c r="DR3640" s="24"/>
      <c r="DS3640" s="24"/>
      <c r="DT3640" s="24"/>
      <c r="DU3640" s="24"/>
    </row>
    <row r="3641" spans="1:125" s="8" customFormat="1" ht="156" x14ac:dyDescent="0.2">
      <c r="A3641" s="353">
        <v>41592</v>
      </c>
      <c r="B3641" s="352" t="s">
        <v>2894</v>
      </c>
      <c r="C3641" s="354" t="s">
        <v>2032</v>
      </c>
      <c r="D3641" s="354" t="s">
        <v>3088</v>
      </c>
      <c r="E3641" s="75" t="str">
        <f>VLOOKUP(B3641&amp;C3641,Divipola!$C$2:$F$1138,4,FALSE)</f>
        <v>05001</v>
      </c>
      <c r="F3641" s="61"/>
      <c r="G3641" s="61"/>
      <c r="H3641" s="61"/>
      <c r="I3641" s="61">
        <v>60</v>
      </c>
      <c r="J3641" s="61">
        <v>12</v>
      </c>
      <c r="K3641" s="61"/>
      <c r="L3641" s="61">
        <v>12</v>
      </c>
      <c r="M3641" s="61"/>
      <c r="N3641" s="61"/>
      <c r="O3641" s="61"/>
      <c r="P3641" s="61"/>
      <c r="Q3641" s="61"/>
      <c r="R3641" s="61"/>
      <c r="S3641" s="61"/>
      <c r="T3641" s="61"/>
      <c r="U3641" s="61"/>
      <c r="V3641" s="7"/>
      <c r="W3641" s="96">
        <v>0</v>
      </c>
      <c r="X3641" s="71">
        <f>CU3641</f>
        <v>0</v>
      </c>
      <c r="Y3641" s="71">
        <f>CY3641</f>
        <v>0</v>
      </c>
      <c r="Z3641" s="71">
        <f>DA3641+DC3641+DE3641</f>
        <v>0</v>
      </c>
      <c r="AA3641" s="71">
        <f>CW3641</f>
        <v>0</v>
      </c>
      <c r="AB3641" s="71"/>
      <c r="AC3641" s="71">
        <v>0</v>
      </c>
      <c r="AD3641" s="71">
        <f>W3641+X3641+Y3641+Z3641+AA3641+AB3641+AC3641</f>
        <v>0</v>
      </c>
      <c r="AE3641" s="72">
        <v>0</v>
      </c>
      <c r="AF3641" s="5"/>
      <c r="AG3641" s="6"/>
      <c r="AH3641" s="27"/>
      <c r="AI3641" s="44"/>
      <c r="AJ3641" s="26"/>
      <c r="AK3641" s="5"/>
      <c r="AL3641" s="82" t="s">
        <v>6652</v>
      </c>
      <c r="AM3641" s="76"/>
      <c r="AN3641" s="76"/>
      <c r="AO3641" s="76"/>
      <c r="AP3641" s="76"/>
      <c r="AQ3641" s="76"/>
      <c r="AR3641" s="76"/>
      <c r="AS3641" s="76"/>
      <c r="AT3641" s="76"/>
      <c r="AU3641" s="76"/>
      <c r="AV3641" s="76"/>
      <c r="AW3641" s="76"/>
      <c r="AX3641" s="76">
        <f>+AW3641*600000</f>
        <v>0</v>
      </c>
      <c r="AY3641" s="76"/>
      <c r="AZ3641" s="76">
        <f>+AY3641*70000</f>
        <v>0</v>
      </c>
      <c r="BA3641" s="76"/>
      <c r="BB3641" s="76"/>
      <c r="BC3641" s="76"/>
      <c r="BD3641" s="76">
        <f>+BC3641*30000</f>
        <v>0</v>
      </c>
      <c r="BE3641" s="76"/>
      <c r="BF3641" s="76"/>
      <c r="BG3641" s="76"/>
      <c r="BH3641" s="76"/>
      <c r="BI3641" s="76"/>
      <c r="BJ3641" s="76"/>
      <c r="BK3641" s="76"/>
      <c r="BL3641" s="76">
        <f>+BK3641*31500</f>
        <v>0</v>
      </c>
      <c r="BM3641" s="76"/>
      <c r="BN3641" s="76"/>
      <c r="BO3641" s="76"/>
      <c r="BP3641" s="76"/>
      <c r="BQ3641" s="76"/>
      <c r="BR3641" s="76"/>
      <c r="BS3641" s="76"/>
      <c r="BT3641" s="76"/>
      <c r="BU3641" s="76"/>
      <c r="BV3641" s="76"/>
      <c r="BW3641" s="76"/>
      <c r="BX3641" s="76"/>
      <c r="BY3641" s="76"/>
      <c r="BZ3641" s="76"/>
      <c r="CA3641" s="76"/>
      <c r="CB3641" s="76"/>
      <c r="CC3641" s="76"/>
      <c r="CD3641" s="76"/>
      <c r="CE3641" s="76"/>
      <c r="CF3641" s="76">
        <f>+CE3641*28000</f>
        <v>0</v>
      </c>
      <c r="CG3641" s="76"/>
      <c r="CH3641" s="76">
        <f>+CG3641*22500</f>
        <v>0</v>
      </c>
      <c r="CI3641" s="76"/>
      <c r="CJ3641" s="76">
        <f>+CI3641*26000</f>
        <v>0</v>
      </c>
      <c r="CK3641" s="76"/>
      <c r="CL3641" s="76"/>
      <c r="CM3641" s="76"/>
      <c r="CN3641" s="76">
        <f>+CM3641*22000</f>
        <v>0</v>
      </c>
      <c r="CO3641" s="76"/>
      <c r="CP3641" s="76">
        <f>+CO3641*46000</f>
        <v>0</v>
      </c>
      <c r="CQ3641" s="76"/>
      <c r="CR3641" s="76">
        <f>+CQ3641*49000</f>
        <v>0</v>
      </c>
      <c r="CS3641" s="76"/>
      <c r="CT3641" s="76"/>
      <c r="CU3641" s="56">
        <f>AN3641+AP3641+AR3641+AT3641+AV3641+AX3641+AZ3641+BB3641+BD3641+BF3641+BH3641+BJ3641+BL3641+BN3641+BP3641+BR3641+BT3641+BV3641+BX3641+BZ3641+CB3641+CD3641+CF3641+CH3641+CJ3641+CL3641+CN3641+CP3641+CR3641+CT3641</f>
        <v>0</v>
      </c>
      <c r="CV3641" s="76"/>
      <c r="CW3641" s="76">
        <f>+CV3641*1100</f>
        <v>0</v>
      </c>
      <c r="CX3641" s="76"/>
      <c r="CY3641" s="76">
        <f>+CX3641*106250</f>
        <v>0</v>
      </c>
      <c r="CZ3641" s="76"/>
      <c r="DA3641" s="76">
        <f>+CZ3641*34500</f>
        <v>0</v>
      </c>
      <c r="DB3641" s="76"/>
      <c r="DC3641" s="76">
        <f>+DB3641*25000</f>
        <v>0</v>
      </c>
      <c r="DD3641" s="219"/>
      <c r="DE3641" s="219"/>
      <c r="DF3641" s="166"/>
      <c r="DG3641" s="116"/>
      <c r="DH3641" s="117"/>
      <c r="DI3641" s="24"/>
      <c r="DJ3641" s="24"/>
      <c r="DK3641" s="24"/>
      <c r="DL3641" s="24"/>
      <c r="DM3641" s="24"/>
      <c r="DN3641" s="24"/>
      <c r="DO3641" s="24"/>
      <c r="DP3641" s="24"/>
      <c r="DQ3641" s="24"/>
      <c r="DR3641" s="24"/>
      <c r="DS3641" s="24"/>
      <c r="DT3641" s="24"/>
      <c r="DU3641" s="24"/>
    </row>
    <row r="3642" spans="1:125" s="8" customFormat="1" ht="120" x14ac:dyDescent="0.2">
      <c r="A3642" s="77">
        <v>41592</v>
      </c>
      <c r="B3642" s="78" t="s">
        <v>2772</v>
      </c>
      <c r="C3642" s="75" t="s">
        <v>1034</v>
      </c>
      <c r="D3642" s="75" t="s">
        <v>2849</v>
      </c>
      <c r="E3642" s="75" t="str">
        <f>VLOOKUP(B3642&amp;C3642,Divipola!$C$2:$F$1138,4,FALSE)</f>
        <v>25178</v>
      </c>
      <c r="F3642" s="87">
        <v>1</v>
      </c>
      <c r="G3642" s="87"/>
      <c r="H3642" s="87"/>
      <c r="I3642" s="87"/>
      <c r="J3642" s="87"/>
      <c r="K3642" s="87"/>
      <c r="L3642" s="87"/>
      <c r="M3642" s="87"/>
      <c r="N3642" s="87"/>
      <c r="O3642" s="87"/>
      <c r="P3642" s="87"/>
      <c r="Q3642" s="87"/>
      <c r="R3642" s="87"/>
      <c r="S3642" s="87"/>
      <c r="T3642" s="87"/>
      <c r="U3642" s="88"/>
      <c r="V3642" s="89"/>
      <c r="W3642" s="96">
        <v>0</v>
      </c>
      <c r="X3642" s="71">
        <f>CU3642</f>
        <v>0</v>
      </c>
      <c r="Y3642" s="71">
        <f>CY3642</f>
        <v>0</v>
      </c>
      <c r="Z3642" s="71">
        <f>DA3642+DC3642+DE3642</f>
        <v>0</v>
      </c>
      <c r="AA3642" s="71">
        <f>CW3642</f>
        <v>0</v>
      </c>
      <c r="AB3642" s="71"/>
      <c r="AC3642" s="71">
        <v>0</v>
      </c>
      <c r="AD3642" s="71">
        <f>W3642+X3642+Y3642+Z3642+AA3642+AB3642+AC3642</f>
        <v>0</v>
      </c>
      <c r="AE3642" s="72">
        <v>0</v>
      </c>
      <c r="AF3642" s="5"/>
      <c r="AG3642" s="6"/>
      <c r="AH3642" s="27"/>
      <c r="AI3642" s="44"/>
      <c r="AJ3642" s="26"/>
      <c r="AK3642" s="5"/>
      <c r="AL3642" s="268" t="s">
        <v>6657</v>
      </c>
      <c r="AM3642" s="76"/>
      <c r="AN3642" s="76"/>
      <c r="AO3642" s="76"/>
      <c r="AP3642" s="76"/>
      <c r="AQ3642" s="76"/>
      <c r="AR3642" s="76"/>
      <c r="AS3642" s="76"/>
      <c r="AT3642" s="76"/>
      <c r="AU3642" s="76"/>
      <c r="AV3642" s="76"/>
      <c r="AW3642" s="76"/>
      <c r="AX3642" s="76">
        <f>+AW3642*600000</f>
        <v>0</v>
      </c>
      <c r="AY3642" s="76"/>
      <c r="AZ3642" s="76">
        <f>+AY3642*70000</f>
        <v>0</v>
      </c>
      <c r="BA3642" s="76"/>
      <c r="BB3642" s="76"/>
      <c r="BC3642" s="76"/>
      <c r="BD3642" s="76">
        <f>+BC3642*30000</f>
        <v>0</v>
      </c>
      <c r="BE3642" s="76"/>
      <c r="BF3642" s="76"/>
      <c r="BG3642" s="76"/>
      <c r="BH3642" s="76"/>
      <c r="BI3642" s="76"/>
      <c r="BJ3642" s="76"/>
      <c r="BK3642" s="76"/>
      <c r="BL3642" s="76">
        <f>+BK3642*31500</f>
        <v>0</v>
      </c>
      <c r="BM3642" s="76"/>
      <c r="BN3642" s="76"/>
      <c r="BO3642" s="76"/>
      <c r="BP3642" s="76"/>
      <c r="BQ3642" s="76"/>
      <c r="BR3642" s="76"/>
      <c r="BS3642" s="76"/>
      <c r="BT3642" s="76"/>
      <c r="BU3642" s="76"/>
      <c r="BV3642" s="76"/>
      <c r="BW3642" s="76"/>
      <c r="BX3642" s="76"/>
      <c r="BY3642" s="76"/>
      <c r="BZ3642" s="76"/>
      <c r="CA3642" s="76"/>
      <c r="CB3642" s="76"/>
      <c r="CC3642" s="76"/>
      <c r="CD3642" s="76"/>
      <c r="CE3642" s="76"/>
      <c r="CF3642" s="76">
        <f>+CE3642*28000</f>
        <v>0</v>
      </c>
      <c r="CG3642" s="76"/>
      <c r="CH3642" s="76">
        <f>+CG3642*22500</f>
        <v>0</v>
      </c>
      <c r="CI3642" s="76"/>
      <c r="CJ3642" s="76">
        <f>+CI3642*26000</f>
        <v>0</v>
      </c>
      <c r="CK3642" s="76"/>
      <c r="CL3642" s="76"/>
      <c r="CM3642" s="76"/>
      <c r="CN3642" s="76">
        <f>+CM3642*22000</f>
        <v>0</v>
      </c>
      <c r="CO3642" s="76"/>
      <c r="CP3642" s="76">
        <f>+CO3642*46000</f>
        <v>0</v>
      </c>
      <c r="CQ3642" s="76"/>
      <c r="CR3642" s="76">
        <f>+CQ3642*49000</f>
        <v>0</v>
      </c>
      <c r="CS3642" s="76"/>
      <c r="CT3642" s="76"/>
      <c r="CU3642" s="56">
        <f>AN3642+AP3642+AR3642+AT3642+AV3642+AX3642+AZ3642+BB3642+BD3642+BF3642+BH3642+BJ3642+BL3642+BN3642+BP3642+BR3642+BT3642+BV3642+BX3642+BZ3642+CB3642+CD3642+CF3642+CH3642+CJ3642+CL3642+CN3642+CP3642+CR3642+CT3642</f>
        <v>0</v>
      </c>
      <c r="CV3642" s="76"/>
      <c r="CW3642" s="76">
        <f>+CV3642*1100</f>
        <v>0</v>
      </c>
      <c r="CX3642" s="76"/>
      <c r="CY3642" s="76">
        <f>+CX3642*106250</f>
        <v>0</v>
      </c>
      <c r="CZ3642" s="76"/>
      <c r="DA3642" s="76">
        <f>+CZ3642*34500</f>
        <v>0</v>
      </c>
      <c r="DB3642" s="76"/>
      <c r="DC3642" s="76">
        <f>+DB3642*25000</f>
        <v>0</v>
      </c>
      <c r="DD3642" s="219"/>
      <c r="DE3642" s="219"/>
      <c r="DF3642" s="166"/>
      <c r="DG3642" s="116"/>
      <c r="DH3642" s="117"/>
      <c r="DI3642" s="24"/>
      <c r="DJ3642" s="24"/>
      <c r="DK3642" s="24"/>
      <c r="DL3642" s="24"/>
      <c r="DM3642" s="24"/>
      <c r="DN3642" s="24"/>
      <c r="DO3642" s="24"/>
      <c r="DP3642" s="24"/>
      <c r="DQ3642" s="24"/>
      <c r="DR3642" s="24"/>
      <c r="DS3642" s="24"/>
      <c r="DT3642" s="24"/>
      <c r="DU3642" s="24"/>
    </row>
    <row r="3643" spans="1:125" s="8" customFormat="1" ht="120" x14ac:dyDescent="0.2">
      <c r="A3643" s="353">
        <v>41592</v>
      </c>
      <c r="B3643" s="208" t="s">
        <v>2855</v>
      </c>
      <c r="C3643" s="354" t="s">
        <v>2168</v>
      </c>
      <c r="D3643" s="354" t="s">
        <v>2859</v>
      </c>
      <c r="E3643" s="75" t="str">
        <f>VLOOKUP(B3643&amp;C3643,Divipola!$C$2:$F$1138,4,FALSE)</f>
        <v>20001</v>
      </c>
      <c r="F3643" s="87"/>
      <c r="G3643" s="87"/>
      <c r="H3643" s="87"/>
      <c r="I3643" s="87">
        <v>5</v>
      </c>
      <c r="J3643" s="87">
        <v>1</v>
      </c>
      <c r="K3643" s="87">
        <v>1</v>
      </c>
      <c r="L3643" s="87"/>
      <c r="M3643" s="87"/>
      <c r="N3643" s="87"/>
      <c r="O3643" s="87"/>
      <c r="P3643" s="87"/>
      <c r="Q3643" s="87"/>
      <c r="R3643" s="87"/>
      <c r="S3643" s="87"/>
      <c r="T3643" s="87"/>
      <c r="U3643" s="88"/>
      <c r="V3643" s="86">
        <v>1</v>
      </c>
      <c r="W3643" s="96">
        <v>0</v>
      </c>
      <c r="X3643" s="71">
        <f>CU3643</f>
        <v>0</v>
      </c>
      <c r="Y3643" s="71">
        <f>CY3643</f>
        <v>0</v>
      </c>
      <c r="Z3643" s="71">
        <f>DA3643+DC3643+DE3643</f>
        <v>0</v>
      </c>
      <c r="AA3643" s="71">
        <f>CW3643</f>
        <v>0</v>
      </c>
      <c r="AB3643" s="71"/>
      <c r="AC3643" s="71">
        <v>0</v>
      </c>
      <c r="AD3643" s="71">
        <f>W3643+X3643+Y3643+Z3643+AA3643+AB3643+AC3643</f>
        <v>0</v>
      </c>
      <c r="AE3643" s="72">
        <v>0</v>
      </c>
      <c r="AF3643" s="5"/>
      <c r="AG3643" s="6"/>
      <c r="AH3643" s="27"/>
      <c r="AI3643" s="44"/>
      <c r="AJ3643" s="26"/>
      <c r="AK3643" s="5"/>
      <c r="AL3643" s="268" t="s">
        <v>6662</v>
      </c>
      <c r="AM3643" s="76"/>
      <c r="AN3643" s="76"/>
      <c r="AO3643" s="76"/>
      <c r="AP3643" s="76"/>
      <c r="AQ3643" s="76"/>
      <c r="AR3643" s="76"/>
      <c r="AS3643" s="76"/>
      <c r="AT3643" s="76"/>
      <c r="AU3643" s="76"/>
      <c r="AV3643" s="76"/>
      <c r="AW3643" s="76"/>
      <c r="AX3643" s="76">
        <f>+AW3643*600000</f>
        <v>0</v>
      </c>
      <c r="AY3643" s="76"/>
      <c r="AZ3643" s="76">
        <f>+AY3643*70000</f>
        <v>0</v>
      </c>
      <c r="BA3643" s="76"/>
      <c r="BB3643" s="76"/>
      <c r="BC3643" s="76"/>
      <c r="BD3643" s="76">
        <f>+BC3643*30000</f>
        <v>0</v>
      </c>
      <c r="BE3643" s="76"/>
      <c r="BF3643" s="76"/>
      <c r="BG3643" s="76"/>
      <c r="BH3643" s="76"/>
      <c r="BI3643" s="76"/>
      <c r="BJ3643" s="76"/>
      <c r="BK3643" s="76"/>
      <c r="BL3643" s="76">
        <f>+BK3643*31500</f>
        <v>0</v>
      </c>
      <c r="BM3643" s="76"/>
      <c r="BN3643" s="76"/>
      <c r="BO3643" s="76"/>
      <c r="BP3643" s="76"/>
      <c r="BQ3643" s="76"/>
      <c r="BR3643" s="76"/>
      <c r="BS3643" s="76"/>
      <c r="BT3643" s="76"/>
      <c r="BU3643" s="76"/>
      <c r="BV3643" s="76"/>
      <c r="BW3643" s="76"/>
      <c r="BX3643" s="76"/>
      <c r="BY3643" s="76"/>
      <c r="BZ3643" s="76"/>
      <c r="CA3643" s="76"/>
      <c r="CB3643" s="76"/>
      <c r="CC3643" s="76"/>
      <c r="CD3643" s="76"/>
      <c r="CE3643" s="76"/>
      <c r="CF3643" s="76">
        <f>+CE3643*28000</f>
        <v>0</v>
      </c>
      <c r="CG3643" s="76"/>
      <c r="CH3643" s="76">
        <f>+CG3643*22500</f>
        <v>0</v>
      </c>
      <c r="CI3643" s="76"/>
      <c r="CJ3643" s="76">
        <f>+CI3643*26000</f>
        <v>0</v>
      </c>
      <c r="CK3643" s="76"/>
      <c r="CL3643" s="76"/>
      <c r="CM3643" s="76"/>
      <c r="CN3643" s="76">
        <f>+CM3643*22000</f>
        <v>0</v>
      </c>
      <c r="CO3643" s="76"/>
      <c r="CP3643" s="76">
        <f>+CO3643*46000</f>
        <v>0</v>
      </c>
      <c r="CQ3643" s="76"/>
      <c r="CR3643" s="76">
        <f>+CQ3643*49000</f>
        <v>0</v>
      </c>
      <c r="CS3643" s="76"/>
      <c r="CT3643" s="76"/>
      <c r="CU3643" s="56">
        <f>AN3643+AP3643+AR3643+AT3643+AV3643+AX3643+AZ3643+BB3643+BD3643+BF3643+BH3643+BJ3643+BL3643+BN3643+BP3643+BR3643+BT3643+BV3643+BX3643+BZ3643+CB3643+CD3643+CF3643+CH3643+CJ3643+CL3643+CN3643+CP3643+CR3643+CT3643</f>
        <v>0</v>
      </c>
      <c r="CV3643" s="76"/>
      <c r="CW3643" s="76">
        <f>+CV3643*1100</f>
        <v>0</v>
      </c>
      <c r="CX3643" s="76"/>
      <c r="CY3643" s="76">
        <f>+CX3643*106250</f>
        <v>0</v>
      </c>
      <c r="CZ3643" s="76"/>
      <c r="DA3643" s="76">
        <f>+CZ3643*34500</f>
        <v>0</v>
      </c>
      <c r="DB3643" s="76"/>
      <c r="DC3643" s="76">
        <f>+DB3643*25000</f>
        <v>0</v>
      </c>
      <c r="DD3643" s="219"/>
      <c r="DE3643" s="219"/>
      <c r="DF3643" s="166"/>
      <c r="DG3643" s="116"/>
      <c r="DH3643" s="117"/>
      <c r="DI3643" s="24"/>
      <c r="DJ3643" s="24"/>
      <c r="DK3643" s="24"/>
      <c r="DL3643" s="24"/>
      <c r="DM3643" s="24"/>
      <c r="DN3643" s="24"/>
      <c r="DO3643" s="24"/>
      <c r="DP3643" s="24"/>
      <c r="DQ3643" s="24"/>
      <c r="DR3643" s="24"/>
      <c r="DS3643" s="24"/>
      <c r="DT3643" s="24"/>
      <c r="DU3643" s="24"/>
    </row>
    <row r="3644" spans="1:125" s="8" customFormat="1" ht="72" x14ac:dyDescent="0.2">
      <c r="A3644" s="353">
        <v>41592</v>
      </c>
      <c r="B3644" s="352" t="s">
        <v>2854</v>
      </c>
      <c r="C3644" s="354" t="s">
        <v>831</v>
      </c>
      <c r="D3644" s="354" t="s">
        <v>2882</v>
      </c>
      <c r="E3644" s="75" t="str">
        <f>VLOOKUP(B3644&amp;C3644,Divipola!$C$2:$F$1138,4,FALSE)</f>
        <v>19137</v>
      </c>
      <c r="F3644" s="87"/>
      <c r="G3644" s="87"/>
      <c r="H3644" s="87"/>
      <c r="I3644" s="87">
        <f>41*5</f>
        <v>205</v>
      </c>
      <c r="J3644" s="87">
        <v>41</v>
      </c>
      <c r="K3644" s="87"/>
      <c r="L3644" s="87">
        <v>41</v>
      </c>
      <c r="M3644" s="87">
        <v>1</v>
      </c>
      <c r="N3644" s="87"/>
      <c r="O3644" s="87"/>
      <c r="P3644" s="87"/>
      <c r="Q3644" s="87"/>
      <c r="R3644" s="87">
        <v>1</v>
      </c>
      <c r="S3644" s="87">
        <v>1</v>
      </c>
      <c r="T3644" s="87">
        <v>1</v>
      </c>
      <c r="U3644" s="88"/>
      <c r="V3644" s="89"/>
      <c r="W3644" s="96">
        <v>0</v>
      </c>
      <c r="X3644" s="71">
        <f>CU3644</f>
        <v>0</v>
      </c>
      <c r="Y3644" s="71">
        <f>CY3644</f>
        <v>0</v>
      </c>
      <c r="Z3644" s="71">
        <f>DA3644+DC3644+DE3644</f>
        <v>84000000</v>
      </c>
      <c r="AA3644" s="71">
        <f>CW3644</f>
        <v>0</v>
      </c>
      <c r="AB3644" s="71"/>
      <c r="AC3644" s="71">
        <v>0</v>
      </c>
      <c r="AD3644" s="71">
        <f>W3644+X3644+Y3644+Z3644+AA3644+AB3644+AC3644</f>
        <v>84000000</v>
      </c>
      <c r="AE3644" s="72">
        <v>0</v>
      </c>
      <c r="AF3644" s="5"/>
      <c r="AG3644" s="6"/>
      <c r="AH3644" s="27"/>
      <c r="AI3644" s="44"/>
      <c r="AJ3644" s="26"/>
      <c r="AK3644" s="5"/>
      <c r="AL3644" s="82" t="s">
        <v>6720</v>
      </c>
      <c r="AM3644" s="76"/>
      <c r="AN3644" s="76"/>
      <c r="AO3644" s="76"/>
      <c r="AP3644" s="76"/>
      <c r="AQ3644" s="76"/>
      <c r="AR3644" s="76"/>
      <c r="AS3644" s="76"/>
      <c r="AT3644" s="76"/>
      <c r="AU3644" s="76"/>
      <c r="AV3644" s="76"/>
      <c r="AW3644" s="76"/>
      <c r="AX3644" s="76">
        <f>+AW3644*600000</f>
        <v>0</v>
      </c>
      <c r="AY3644" s="76"/>
      <c r="AZ3644" s="76">
        <f>+AY3644*70000</f>
        <v>0</v>
      </c>
      <c r="BA3644" s="76"/>
      <c r="BB3644" s="76"/>
      <c r="BC3644" s="76"/>
      <c r="BD3644" s="76">
        <f>+BC3644*30000</f>
        <v>0</v>
      </c>
      <c r="BE3644" s="76"/>
      <c r="BF3644" s="76"/>
      <c r="BG3644" s="76"/>
      <c r="BH3644" s="76"/>
      <c r="BI3644" s="76"/>
      <c r="BJ3644" s="76"/>
      <c r="BK3644" s="76"/>
      <c r="BL3644" s="76">
        <f>+BK3644*31500</f>
        <v>0</v>
      </c>
      <c r="BM3644" s="76"/>
      <c r="BN3644" s="76"/>
      <c r="BO3644" s="76"/>
      <c r="BP3644" s="76"/>
      <c r="BQ3644" s="76"/>
      <c r="BR3644" s="76"/>
      <c r="BS3644" s="76"/>
      <c r="BT3644" s="76"/>
      <c r="BU3644" s="76"/>
      <c r="BV3644" s="76"/>
      <c r="BW3644" s="76"/>
      <c r="BX3644" s="76"/>
      <c r="BY3644" s="76"/>
      <c r="BZ3644" s="76"/>
      <c r="CA3644" s="76"/>
      <c r="CB3644" s="76"/>
      <c r="CC3644" s="76"/>
      <c r="CD3644" s="76"/>
      <c r="CE3644" s="76"/>
      <c r="CF3644" s="76">
        <f>+CE3644*28000</f>
        <v>0</v>
      </c>
      <c r="CG3644" s="76"/>
      <c r="CH3644" s="76">
        <f>+CG3644*22500</f>
        <v>0</v>
      </c>
      <c r="CI3644" s="76"/>
      <c r="CJ3644" s="76">
        <f>+CI3644*26000</f>
        <v>0</v>
      </c>
      <c r="CK3644" s="76"/>
      <c r="CL3644" s="76"/>
      <c r="CM3644" s="76"/>
      <c r="CN3644" s="76">
        <f>+CM3644*22000</f>
        <v>0</v>
      </c>
      <c r="CO3644" s="76"/>
      <c r="CP3644" s="76">
        <f>+CO3644*46000</f>
        <v>0</v>
      </c>
      <c r="CQ3644" s="76"/>
      <c r="CR3644" s="76">
        <f>+CQ3644*49000</f>
        <v>0</v>
      </c>
      <c r="CS3644" s="76"/>
      <c r="CT3644" s="76"/>
      <c r="CU3644" s="56">
        <f>AN3644+AP3644+AR3644+AT3644+AV3644+AX3644+AZ3644+BB3644+BD3644+BF3644+BH3644+BJ3644+BL3644+BN3644+BP3644+BR3644+BT3644+BV3644+BX3644+BZ3644+CB3644+CD3644+CF3644+CH3644+CJ3644+CL3644+CN3644+CP3644+CR3644+CT3644</f>
        <v>0</v>
      </c>
      <c r="CV3644" s="76"/>
      <c r="CW3644" s="76">
        <f>+CV3644*1100</f>
        <v>0</v>
      </c>
      <c r="CX3644" s="76"/>
      <c r="CY3644" s="76">
        <f>+CX3644*106250</f>
        <v>0</v>
      </c>
      <c r="CZ3644" s="76"/>
      <c r="DA3644" s="76">
        <f>+CZ3644*34500</f>
        <v>0</v>
      </c>
      <c r="DB3644" s="76">
        <v>2000</v>
      </c>
      <c r="DC3644" s="76">
        <f>2000*42000</f>
        <v>84000000</v>
      </c>
      <c r="DD3644" s="219"/>
      <c r="DE3644" s="219"/>
      <c r="DF3644" s="166"/>
      <c r="DG3644" s="116"/>
      <c r="DH3644" s="117"/>
      <c r="DI3644" s="24"/>
      <c r="DJ3644" s="24"/>
      <c r="DK3644" s="24"/>
      <c r="DL3644" s="24"/>
      <c r="DM3644" s="24"/>
      <c r="DN3644" s="24"/>
      <c r="DO3644" s="24"/>
      <c r="DP3644" s="24"/>
      <c r="DQ3644" s="24"/>
      <c r="DR3644" s="24"/>
      <c r="DS3644" s="24"/>
      <c r="DT3644" s="24"/>
      <c r="DU3644" s="24"/>
    </row>
    <row r="3645" spans="1:125" s="8" customFormat="1" ht="60" x14ac:dyDescent="0.2">
      <c r="A3645" s="353">
        <v>41593</v>
      </c>
      <c r="B3645" s="208" t="s">
        <v>2894</v>
      </c>
      <c r="C3645" s="354" t="s">
        <v>2590</v>
      </c>
      <c r="D3645" s="354" t="s">
        <v>3088</v>
      </c>
      <c r="E3645" s="75" t="str">
        <f>VLOOKUP(B3645&amp;C3645,Divipola!$C$2:$F$1138,4,FALSE)</f>
        <v>05690</v>
      </c>
      <c r="F3645" s="87">
        <v>5</v>
      </c>
      <c r="G3645" s="87"/>
      <c r="H3645" s="87"/>
      <c r="I3645" s="87">
        <v>5</v>
      </c>
      <c r="J3645" s="87">
        <v>1</v>
      </c>
      <c r="K3645" s="87">
        <v>1</v>
      </c>
      <c r="L3645" s="87"/>
      <c r="M3645" s="87"/>
      <c r="N3645" s="87"/>
      <c r="O3645" s="87"/>
      <c r="P3645" s="87"/>
      <c r="Q3645" s="87"/>
      <c r="R3645" s="87"/>
      <c r="S3645" s="87"/>
      <c r="T3645" s="87"/>
      <c r="U3645" s="88"/>
      <c r="V3645" s="89"/>
      <c r="W3645" s="96">
        <v>0</v>
      </c>
      <c r="X3645" s="71">
        <f>CU3645</f>
        <v>0</v>
      </c>
      <c r="Y3645" s="71">
        <f>CY3645</f>
        <v>0</v>
      </c>
      <c r="Z3645" s="71">
        <f>DA3645+DC3645+DE3645</f>
        <v>0</v>
      </c>
      <c r="AA3645" s="71">
        <f>CW3645</f>
        <v>0</v>
      </c>
      <c r="AB3645" s="71"/>
      <c r="AC3645" s="71">
        <v>0</v>
      </c>
      <c r="AD3645" s="71">
        <f>W3645+X3645+Y3645+Z3645+AA3645+AB3645+AC3645</f>
        <v>0</v>
      </c>
      <c r="AE3645" s="72">
        <v>0</v>
      </c>
      <c r="AF3645" s="5"/>
      <c r="AG3645" s="6"/>
      <c r="AH3645" s="27"/>
      <c r="AI3645" s="44"/>
      <c r="AJ3645" s="26"/>
      <c r="AK3645" s="5"/>
      <c r="AL3645" s="268" t="s">
        <v>6660</v>
      </c>
      <c r="AM3645" s="76"/>
      <c r="AN3645" s="76"/>
      <c r="AO3645" s="76"/>
      <c r="AP3645" s="76"/>
      <c r="AQ3645" s="76"/>
      <c r="AR3645" s="76"/>
      <c r="AS3645" s="76"/>
      <c r="AT3645" s="76"/>
      <c r="AU3645" s="76"/>
      <c r="AV3645" s="76"/>
      <c r="AW3645" s="76"/>
      <c r="AX3645" s="76">
        <f>+AW3645*600000</f>
        <v>0</v>
      </c>
      <c r="AY3645" s="76"/>
      <c r="AZ3645" s="76">
        <f>+AY3645*70000</f>
        <v>0</v>
      </c>
      <c r="BA3645" s="76"/>
      <c r="BB3645" s="76"/>
      <c r="BC3645" s="76"/>
      <c r="BD3645" s="76">
        <f>+BC3645*30000</f>
        <v>0</v>
      </c>
      <c r="BE3645" s="76"/>
      <c r="BF3645" s="76"/>
      <c r="BG3645" s="76"/>
      <c r="BH3645" s="76"/>
      <c r="BI3645" s="76"/>
      <c r="BJ3645" s="76"/>
      <c r="BK3645" s="76"/>
      <c r="BL3645" s="76">
        <f>+BK3645*31500</f>
        <v>0</v>
      </c>
      <c r="BM3645" s="76"/>
      <c r="BN3645" s="76"/>
      <c r="BO3645" s="76"/>
      <c r="BP3645" s="76"/>
      <c r="BQ3645" s="76"/>
      <c r="BR3645" s="76"/>
      <c r="BS3645" s="76"/>
      <c r="BT3645" s="76"/>
      <c r="BU3645" s="76"/>
      <c r="BV3645" s="76"/>
      <c r="BW3645" s="76"/>
      <c r="BX3645" s="76"/>
      <c r="BY3645" s="76"/>
      <c r="BZ3645" s="76"/>
      <c r="CA3645" s="76"/>
      <c r="CB3645" s="76"/>
      <c r="CC3645" s="76"/>
      <c r="CD3645" s="76"/>
      <c r="CE3645" s="76"/>
      <c r="CF3645" s="76">
        <f>+CE3645*28000</f>
        <v>0</v>
      </c>
      <c r="CG3645" s="76"/>
      <c r="CH3645" s="76">
        <f>+CG3645*22500</f>
        <v>0</v>
      </c>
      <c r="CI3645" s="76"/>
      <c r="CJ3645" s="76">
        <f>+CI3645*26000</f>
        <v>0</v>
      </c>
      <c r="CK3645" s="76"/>
      <c r="CL3645" s="76"/>
      <c r="CM3645" s="76"/>
      <c r="CN3645" s="76">
        <f>+CM3645*22000</f>
        <v>0</v>
      </c>
      <c r="CO3645" s="76"/>
      <c r="CP3645" s="76">
        <f>+CO3645*46000</f>
        <v>0</v>
      </c>
      <c r="CQ3645" s="76"/>
      <c r="CR3645" s="76">
        <f>+CQ3645*49000</f>
        <v>0</v>
      </c>
      <c r="CS3645" s="76"/>
      <c r="CT3645" s="76"/>
      <c r="CU3645" s="56">
        <f>AN3645+AP3645+AR3645+AT3645+AV3645+AX3645+AZ3645+BB3645+BD3645+BF3645+BH3645+BJ3645+BL3645+BN3645+BP3645+BR3645+BT3645+BV3645+BX3645+BZ3645+CB3645+CD3645+CF3645+CH3645+CJ3645+CL3645+CN3645+CP3645+CR3645+CT3645</f>
        <v>0</v>
      </c>
      <c r="CV3645" s="76"/>
      <c r="CW3645" s="76">
        <f>+CV3645*1100</f>
        <v>0</v>
      </c>
      <c r="CX3645" s="76"/>
      <c r="CY3645" s="76">
        <f>+CX3645*106250</f>
        <v>0</v>
      </c>
      <c r="CZ3645" s="76"/>
      <c r="DA3645" s="76">
        <f>+CZ3645*34500</f>
        <v>0</v>
      </c>
      <c r="DB3645" s="76"/>
      <c r="DC3645" s="76">
        <f>+DB3645*25000</f>
        <v>0</v>
      </c>
      <c r="DD3645" s="219"/>
      <c r="DE3645" s="219"/>
      <c r="DF3645" s="166"/>
      <c r="DG3645" s="116"/>
      <c r="DH3645" s="117"/>
      <c r="DI3645" s="24"/>
      <c r="DJ3645" s="24"/>
      <c r="DK3645" s="24"/>
      <c r="DL3645" s="24"/>
      <c r="DM3645" s="24"/>
      <c r="DN3645" s="24"/>
      <c r="DO3645" s="24"/>
      <c r="DP3645" s="24"/>
      <c r="DQ3645" s="24"/>
      <c r="DR3645" s="24"/>
      <c r="DS3645" s="24"/>
      <c r="DT3645" s="24"/>
      <c r="DU3645" s="24"/>
    </row>
    <row r="3646" spans="1:125" s="8" customFormat="1" ht="60" x14ac:dyDescent="0.2">
      <c r="A3646" s="353">
        <v>41593</v>
      </c>
      <c r="B3646" s="208" t="s">
        <v>2894</v>
      </c>
      <c r="C3646" s="354" t="s">
        <v>2823</v>
      </c>
      <c r="D3646" s="354" t="s">
        <v>3463</v>
      </c>
      <c r="E3646" s="75" t="str">
        <f>VLOOKUP(B3646&amp;C3646,Divipola!$C$2:$F$1138,4,FALSE)</f>
        <v>05670</v>
      </c>
      <c r="F3646" s="87"/>
      <c r="G3646" s="87"/>
      <c r="H3646" s="87"/>
      <c r="I3646" s="87">
        <v>450</v>
      </c>
      <c r="J3646" s="87">
        <v>90</v>
      </c>
      <c r="K3646" s="87"/>
      <c r="L3646" s="87"/>
      <c r="M3646" s="87"/>
      <c r="N3646" s="87"/>
      <c r="O3646" s="87"/>
      <c r="P3646" s="87"/>
      <c r="Q3646" s="87"/>
      <c r="R3646" s="87"/>
      <c r="S3646" s="87"/>
      <c r="T3646" s="87"/>
      <c r="U3646" s="88"/>
      <c r="V3646" s="89"/>
      <c r="W3646" s="96">
        <v>0</v>
      </c>
      <c r="X3646" s="71">
        <f>CU3646</f>
        <v>0</v>
      </c>
      <c r="Y3646" s="71">
        <f>CY3646</f>
        <v>0</v>
      </c>
      <c r="Z3646" s="71">
        <f>DA3646+DC3646+DE3646</f>
        <v>0</v>
      </c>
      <c r="AA3646" s="71">
        <f>CW3646</f>
        <v>0</v>
      </c>
      <c r="AB3646" s="71"/>
      <c r="AC3646" s="71">
        <v>0</v>
      </c>
      <c r="AD3646" s="71">
        <f>W3646+X3646+Y3646+Z3646+AA3646+AB3646+AC3646</f>
        <v>0</v>
      </c>
      <c r="AE3646" s="72">
        <v>0</v>
      </c>
      <c r="AF3646" s="5"/>
      <c r="AG3646" s="6"/>
      <c r="AH3646" s="27"/>
      <c r="AI3646" s="44"/>
      <c r="AJ3646" s="26"/>
      <c r="AK3646" s="5"/>
      <c r="AL3646" s="268" t="s">
        <v>6661</v>
      </c>
      <c r="AM3646" s="76"/>
      <c r="AN3646" s="76"/>
      <c r="AO3646" s="76"/>
      <c r="AP3646" s="76"/>
      <c r="AQ3646" s="76"/>
      <c r="AR3646" s="76"/>
      <c r="AS3646" s="76"/>
      <c r="AT3646" s="76"/>
      <c r="AU3646" s="76"/>
      <c r="AV3646" s="76"/>
      <c r="AW3646" s="76"/>
      <c r="AX3646" s="76">
        <f>+AW3646*600000</f>
        <v>0</v>
      </c>
      <c r="AY3646" s="76"/>
      <c r="AZ3646" s="76">
        <f>+AY3646*70000</f>
        <v>0</v>
      </c>
      <c r="BA3646" s="76"/>
      <c r="BB3646" s="76"/>
      <c r="BC3646" s="76"/>
      <c r="BD3646" s="76">
        <f>+BC3646*30000</f>
        <v>0</v>
      </c>
      <c r="BE3646" s="76"/>
      <c r="BF3646" s="76"/>
      <c r="BG3646" s="76"/>
      <c r="BH3646" s="76"/>
      <c r="BI3646" s="76"/>
      <c r="BJ3646" s="76"/>
      <c r="BK3646" s="76"/>
      <c r="BL3646" s="76">
        <f>+BK3646*31500</f>
        <v>0</v>
      </c>
      <c r="BM3646" s="76"/>
      <c r="BN3646" s="76"/>
      <c r="BO3646" s="76"/>
      <c r="BP3646" s="76"/>
      <c r="BQ3646" s="76"/>
      <c r="BR3646" s="76"/>
      <c r="BS3646" s="76"/>
      <c r="BT3646" s="76"/>
      <c r="BU3646" s="76"/>
      <c r="BV3646" s="76"/>
      <c r="BW3646" s="76"/>
      <c r="BX3646" s="76"/>
      <c r="BY3646" s="76"/>
      <c r="BZ3646" s="76"/>
      <c r="CA3646" s="76"/>
      <c r="CB3646" s="76"/>
      <c r="CC3646" s="76"/>
      <c r="CD3646" s="76"/>
      <c r="CE3646" s="76"/>
      <c r="CF3646" s="76">
        <f>+CE3646*28000</f>
        <v>0</v>
      </c>
      <c r="CG3646" s="76"/>
      <c r="CH3646" s="76">
        <f>+CG3646*22500</f>
        <v>0</v>
      </c>
      <c r="CI3646" s="76"/>
      <c r="CJ3646" s="76">
        <f>+CI3646*26000</f>
        <v>0</v>
      </c>
      <c r="CK3646" s="76"/>
      <c r="CL3646" s="76"/>
      <c r="CM3646" s="76"/>
      <c r="CN3646" s="76">
        <f>+CM3646*22000</f>
        <v>0</v>
      </c>
      <c r="CO3646" s="76"/>
      <c r="CP3646" s="76">
        <f>+CO3646*46000</f>
        <v>0</v>
      </c>
      <c r="CQ3646" s="76"/>
      <c r="CR3646" s="76">
        <f>+CQ3646*49000</f>
        <v>0</v>
      </c>
      <c r="CS3646" s="76"/>
      <c r="CT3646" s="76"/>
      <c r="CU3646" s="56">
        <f>AN3646+AP3646+AR3646+AT3646+AV3646+AX3646+AZ3646+BB3646+BD3646+BF3646+BH3646+BJ3646+BL3646+BN3646+BP3646+BR3646+BT3646+BV3646+BX3646+BZ3646+CB3646+CD3646+CF3646+CH3646+CJ3646+CL3646+CN3646+CP3646+CR3646+CT3646</f>
        <v>0</v>
      </c>
      <c r="CV3646" s="76"/>
      <c r="CW3646" s="76">
        <f>+CV3646*1100</f>
        <v>0</v>
      </c>
      <c r="CX3646" s="76"/>
      <c r="CY3646" s="76">
        <f>+CX3646*106250</f>
        <v>0</v>
      </c>
      <c r="CZ3646" s="76"/>
      <c r="DA3646" s="76">
        <f>+CZ3646*34500</f>
        <v>0</v>
      </c>
      <c r="DB3646" s="76"/>
      <c r="DC3646" s="76">
        <f>+DB3646*25000</f>
        <v>0</v>
      </c>
      <c r="DD3646" s="219"/>
      <c r="DE3646" s="219"/>
      <c r="DF3646" s="166"/>
      <c r="DG3646" s="116"/>
      <c r="DH3646" s="117"/>
      <c r="DI3646" s="24"/>
      <c r="DJ3646" s="24"/>
      <c r="DK3646" s="24"/>
      <c r="DL3646" s="24"/>
      <c r="DM3646" s="24"/>
      <c r="DN3646" s="24"/>
      <c r="DO3646" s="24"/>
      <c r="DP3646" s="24"/>
      <c r="DQ3646" s="24"/>
      <c r="DR3646" s="24"/>
      <c r="DS3646" s="24"/>
      <c r="DT3646" s="24"/>
      <c r="DU3646" s="24"/>
    </row>
    <row r="3647" spans="1:125" s="8" customFormat="1" ht="84" x14ac:dyDescent="0.2">
      <c r="A3647" s="353">
        <v>41593</v>
      </c>
      <c r="B3647" s="208" t="s">
        <v>2881</v>
      </c>
      <c r="C3647" s="354" t="s">
        <v>2767</v>
      </c>
      <c r="D3647" s="354" t="s">
        <v>2859</v>
      </c>
      <c r="E3647" s="75" t="str">
        <f>VLOOKUP(B3647&amp;C3647,Divipola!$C$2:$F$1138,4,FALSE)</f>
        <v>08001</v>
      </c>
      <c r="F3647" s="87"/>
      <c r="G3647" s="87"/>
      <c r="H3647" s="87"/>
      <c r="I3647" s="87"/>
      <c r="J3647" s="87"/>
      <c r="K3647" s="87"/>
      <c r="L3647" s="87"/>
      <c r="M3647" s="87"/>
      <c r="N3647" s="87"/>
      <c r="O3647" s="87"/>
      <c r="P3647" s="87"/>
      <c r="Q3647" s="87"/>
      <c r="R3647" s="87"/>
      <c r="S3647" s="87"/>
      <c r="T3647" s="87"/>
      <c r="U3647" s="88"/>
      <c r="V3647" s="89"/>
      <c r="W3647" s="96">
        <v>0</v>
      </c>
      <c r="X3647" s="71">
        <f>CU3647</f>
        <v>0</v>
      </c>
      <c r="Y3647" s="71">
        <f>CY3647</f>
        <v>0</v>
      </c>
      <c r="Z3647" s="71">
        <f>DA3647+DC3647+DE3647</f>
        <v>0</v>
      </c>
      <c r="AA3647" s="71">
        <f>CW3647</f>
        <v>0</v>
      </c>
      <c r="AB3647" s="71"/>
      <c r="AC3647" s="71">
        <v>0</v>
      </c>
      <c r="AD3647" s="71">
        <f>W3647+X3647+Y3647+Z3647+AA3647+AB3647+AC3647</f>
        <v>0</v>
      </c>
      <c r="AE3647" s="72">
        <v>0</v>
      </c>
      <c r="AF3647" s="5"/>
      <c r="AG3647" s="6"/>
      <c r="AH3647" s="27"/>
      <c r="AI3647" s="44"/>
      <c r="AJ3647" s="26"/>
      <c r="AK3647" s="5"/>
      <c r="AL3647" s="268" t="s">
        <v>6663</v>
      </c>
      <c r="AM3647" s="76"/>
      <c r="AN3647" s="76"/>
      <c r="AO3647" s="76"/>
      <c r="AP3647" s="76"/>
      <c r="AQ3647" s="76"/>
      <c r="AR3647" s="76"/>
      <c r="AS3647" s="76"/>
      <c r="AT3647" s="76"/>
      <c r="AU3647" s="76"/>
      <c r="AV3647" s="76"/>
      <c r="AW3647" s="76"/>
      <c r="AX3647" s="76">
        <f>+AW3647*600000</f>
        <v>0</v>
      </c>
      <c r="AY3647" s="76"/>
      <c r="AZ3647" s="76">
        <f>+AY3647*70000</f>
        <v>0</v>
      </c>
      <c r="BA3647" s="76"/>
      <c r="BB3647" s="76"/>
      <c r="BC3647" s="76"/>
      <c r="BD3647" s="76">
        <f>+BC3647*30000</f>
        <v>0</v>
      </c>
      <c r="BE3647" s="76"/>
      <c r="BF3647" s="76"/>
      <c r="BG3647" s="76"/>
      <c r="BH3647" s="76"/>
      <c r="BI3647" s="76"/>
      <c r="BJ3647" s="76"/>
      <c r="BK3647" s="76"/>
      <c r="BL3647" s="76">
        <f>+BK3647*31500</f>
        <v>0</v>
      </c>
      <c r="BM3647" s="76"/>
      <c r="BN3647" s="76"/>
      <c r="BO3647" s="76"/>
      <c r="BP3647" s="76"/>
      <c r="BQ3647" s="76"/>
      <c r="BR3647" s="76"/>
      <c r="BS3647" s="76"/>
      <c r="BT3647" s="76"/>
      <c r="BU3647" s="76"/>
      <c r="BV3647" s="76"/>
      <c r="BW3647" s="76"/>
      <c r="BX3647" s="76"/>
      <c r="BY3647" s="76"/>
      <c r="BZ3647" s="76"/>
      <c r="CA3647" s="76"/>
      <c r="CB3647" s="76"/>
      <c r="CC3647" s="76"/>
      <c r="CD3647" s="76"/>
      <c r="CE3647" s="76"/>
      <c r="CF3647" s="76">
        <f>+CE3647*28000</f>
        <v>0</v>
      </c>
      <c r="CG3647" s="76"/>
      <c r="CH3647" s="76">
        <f>+CG3647*22500</f>
        <v>0</v>
      </c>
      <c r="CI3647" s="76"/>
      <c r="CJ3647" s="76">
        <f>+CI3647*26000</f>
        <v>0</v>
      </c>
      <c r="CK3647" s="76"/>
      <c r="CL3647" s="76"/>
      <c r="CM3647" s="76"/>
      <c r="CN3647" s="76">
        <f>+CM3647*22000</f>
        <v>0</v>
      </c>
      <c r="CO3647" s="76"/>
      <c r="CP3647" s="76">
        <f>+CO3647*46000</f>
        <v>0</v>
      </c>
      <c r="CQ3647" s="76"/>
      <c r="CR3647" s="76">
        <f>+CQ3647*49000</f>
        <v>0</v>
      </c>
      <c r="CS3647" s="76"/>
      <c r="CT3647" s="76"/>
      <c r="CU3647" s="56">
        <f>AN3647+AP3647+AR3647+AT3647+AV3647+AX3647+AZ3647+BB3647+BD3647+BF3647+BH3647+BJ3647+BL3647+BN3647+BP3647+BR3647+BT3647+BV3647+BX3647+BZ3647+CB3647+CD3647+CF3647+CH3647+CJ3647+CL3647+CN3647+CP3647+CR3647+CT3647</f>
        <v>0</v>
      </c>
      <c r="CV3647" s="76"/>
      <c r="CW3647" s="76">
        <f>+CV3647*1100</f>
        <v>0</v>
      </c>
      <c r="CX3647" s="76"/>
      <c r="CY3647" s="76">
        <f>+CX3647*106250</f>
        <v>0</v>
      </c>
      <c r="CZ3647" s="76"/>
      <c r="DA3647" s="76">
        <f>+CZ3647*34500</f>
        <v>0</v>
      </c>
      <c r="DB3647" s="76"/>
      <c r="DC3647" s="76">
        <f>+DB3647*25000</f>
        <v>0</v>
      </c>
      <c r="DD3647" s="219"/>
      <c r="DE3647" s="219"/>
      <c r="DF3647" s="166"/>
      <c r="DG3647" s="116"/>
      <c r="DH3647" s="117"/>
      <c r="DI3647" s="24"/>
      <c r="DJ3647" s="24"/>
      <c r="DK3647" s="24"/>
      <c r="DL3647" s="24"/>
      <c r="DM3647" s="24"/>
      <c r="DN3647" s="24"/>
      <c r="DO3647" s="24"/>
      <c r="DP3647" s="24"/>
      <c r="DQ3647" s="24"/>
      <c r="DR3647" s="24"/>
      <c r="DS3647" s="24"/>
      <c r="DT3647" s="24"/>
      <c r="DU3647" s="24"/>
    </row>
    <row r="3648" spans="1:125" s="8" customFormat="1" ht="96" x14ac:dyDescent="0.2">
      <c r="A3648" s="77">
        <v>41593</v>
      </c>
      <c r="B3648" s="78" t="s">
        <v>2778</v>
      </c>
      <c r="C3648" s="83" t="s">
        <v>1343</v>
      </c>
      <c r="D3648" s="75" t="s">
        <v>3027</v>
      </c>
      <c r="E3648" s="75" t="str">
        <f>VLOOKUP(B3648&amp;C3648,Divipola!$C$2:$F$1138,4,FALSE)</f>
        <v>85139</v>
      </c>
      <c r="F3648" s="61"/>
      <c r="G3648" s="61"/>
      <c r="H3648" s="61"/>
      <c r="I3648" s="61"/>
      <c r="J3648" s="61"/>
      <c r="K3648" s="61"/>
      <c r="L3648" s="61"/>
      <c r="M3648" s="61"/>
      <c r="N3648" s="61"/>
      <c r="O3648" s="61"/>
      <c r="P3648" s="61"/>
      <c r="Q3648" s="61"/>
      <c r="R3648" s="61"/>
      <c r="S3648" s="61"/>
      <c r="T3648" s="61"/>
      <c r="U3648" s="61"/>
      <c r="V3648" s="7"/>
      <c r="W3648" s="96">
        <v>0</v>
      </c>
      <c r="X3648" s="71">
        <f>CU3648</f>
        <v>0</v>
      </c>
      <c r="Y3648" s="71">
        <f>CY3648</f>
        <v>0</v>
      </c>
      <c r="Z3648" s="71">
        <f>DA3648+DC3648+DE3648</f>
        <v>0</v>
      </c>
      <c r="AA3648" s="71">
        <f>CW3648</f>
        <v>0</v>
      </c>
      <c r="AB3648" s="71"/>
      <c r="AC3648" s="71">
        <v>0</v>
      </c>
      <c r="AD3648" s="71">
        <f>W3648+X3648+Y3648+Z3648+AA3648+AB3648+AC3648</f>
        <v>0</v>
      </c>
      <c r="AE3648" s="72">
        <v>0</v>
      </c>
      <c r="AF3648" s="5"/>
      <c r="AG3648" s="6"/>
      <c r="AH3648" s="27"/>
      <c r="AI3648" s="44"/>
      <c r="AJ3648" s="26"/>
      <c r="AK3648" s="5"/>
      <c r="AL3648" s="82" t="s">
        <v>6666</v>
      </c>
      <c r="AM3648" s="76"/>
      <c r="AN3648" s="76"/>
      <c r="AO3648" s="76"/>
      <c r="AP3648" s="76"/>
      <c r="AQ3648" s="76"/>
      <c r="AR3648" s="76"/>
      <c r="AS3648" s="76"/>
      <c r="AT3648" s="76"/>
      <c r="AU3648" s="76"/>
      <c r="AV3648" s="76"/>
      <c r="AW3648" s="76"/>
      <c r="AX3648" s="76">
        <f>+AW3648*600000</f>
        <v>0</v>
      </c>
      <c r="AY3648" s="76"/>
      <c r="AZ3648" s="76">
        <f>+AY3648*70000</f>
        <v>0</v>
      </c>
      <c r="BA3648" s="76"/>
      <c r="BB3648" s="76"/>
      <c r="BC3648" s="76"/>
      <c r="BD3648" s="76">
        <f>+BC3648*30000</f>
        <v>0</v>
      </c>
      <c r="BE3648" s="76"/>
      <c r="BF3648" s="76"/>
      <c r="BG3648" s="76"/>
      <c r="BH3648" s="76"/>
      <c r="BI3648" s="76"/>
      <c r="BJ3648" s="76"/>
      <c r="BK3648" s="76"/>
      <c r="BL3648" s="76">
        <f>+BK3648*31500</f>
        <v>0</v>
      </c>
      <c r="BM3648" s="76"/>
      <c r="BN3648" s="76"/>
      <c r="BO3648" s="76"/>
      <c r="BP3648" s="76"/>
      <c r="BQ3648" s="76"/>
      <c r="BR3648" s="76"/>
      <c r="BS3648" s="76"/>
      <c r="BT3648" s="76"/>
      <c r="BU3648" s="76"/>
      <c r="BV3648" s="76"/>
      <c r="BW3648" s="76"/>
      <c r="BX3648" s="76"/>
      <c r="BY3648" s="76"/>
      <c r="BZ3648" s="76"/>
      <c r="CA3648" s="76"/>
      <c r="CB3648" s="76"/>
      <c r="CC3648" s="76"/>
      <c r="CD3648" s="76"/>
      <c r="CE3648" s="76"/>
      <c r="CF3648" s="76">
        <f>+CE3648*28000</f>
        <v>0</v>
      </c>
      <c r="CG3648" s="76"/>
      <c r="CH3648" s="76">
        <f>+CG3648*22500</f>
        <v>0</v>
      </c>
      <c r="CI3648" s="76"/>
      <c r="CJ3648" s="76">
        <f>+CI3648*26000</f>
        <v>0</v>
      </c>
      <c r="CK3648" s="76"/>
      <c r="CL3648" s="76"/>
      <c r="CM3648" s="76"/>
      <c r="CN3648" s="76">
        <f>+CM3648*22000</f>
        <v>0</v>
      </c>
      <c r="CO3648" s="76"/>
      <c r="CP3648" s="76">
        <f>+CO3648*46000</f>
        <v>0</v>
      </c>
      <c r="CQ3648" s="76"/>
      <c r="CR3648" s="76">
        <f>+CQ3648*49000</f>
        <v>0</v>
      </c>
      <c r="CS3648" s="76"/>
      <c r="CT3648" s="76"/>
      <c r="CU3648" s="56">
        <f>AN3648+AP3648+AR3648+AT3648+AV3648+AX3648+AZ3648+BB3648+BD3648+BF3648+BH3648+BJ3648+BL3648+BN3648+BP3648+BR3648+BT3648+BV3648+BX3648+BZ3648+CB3648+CD3648+CF3648+CH3648+CJ3648+CL3648+CN3648+CP3648+CR3648+CT3648</f>
        <v>0</v>
      </c>
      <c r="CV3648" s="76"/>
      <c r="CW3648" s="76">
        <f>+CV3648*1100</f>
        <v>0</v>
      </c>
      <c r="CX3648" s="76"/>
      <c r="CY3648" s="76">
        <f>+CX3648*106250</f>
        <v>0</v>
      </c>
      <c r="CZ3648" s="76"/>
      <c r="DA3648" s="76">
        <f>+CZ3648*34500</f>
        <v>0</v>
      </c>
      <c r="DB3648" s="76"/>
      <c r="DC3648" s="76">
        <f>+DB3648*25000</f>
        <v>0</v>
      </c>
      <c r="DD3648" s="219"/>
      <c r="DE3648" s="219"/>
      <c r="DF3648" s="166"/>
      <c r="DG3648" s="116"/>
      <c r="DH3648" s="117"/>
      <c r="DI3648" s="24"/>
      <c r="DJ3648" s="24"/>
      <c r="DK3648" s="24"/>
      <c r="DL3648" s="24"/>
      <c r="DM3648" s="24"/>
      <c r="DN3648" s="24"/>
      <c r="DO3648" s="24"/>
      <c r="DP3648" s="24"/>
      <c r="DQ3648" s="24"/>
      <c r="DR3648" s="24"/>
      <c r="DS3648" s="24"/>
      <c r="DT3648" s="24"/>
      <c r="DU3648" s="24"/>
    </row>
    <row r="3649" spans="1:125" s="8" customFormat="1" ht="84" x14ac:dyDescent="0.2">
      <c r="A3649" s="77">
        <v>41593</v>
      </c>
      <c r="B3649" s="78" t="s">
        <v>2855</v>
      </c>
      <c r="C3649" s="75" t="s">
        <v>933</v>
      </c>
      <c r="D3649" s="75" t="s">
        <v>2859</v>
      </c>
      <c r="E3649" s="75" t="str">
        <f>VLOOKUP(B3649&amp;C3649,Divipola!$C$2:$F$1138,4,FALSE)</f>
        <v>20621</v>
      </c>
      <c r="F3649" s="87"/>
      <c r="G3649" s="87"/>
      <c r="H3649" s="87"/>
      <c r="I3649" s="87">
        <v>40</v>
      </c>
      <c r="J3649" s="87">
        <v>8</v>
      </c>
      <c r="K3649" s="87">
        <v>5</v>
      </c>
      <c r="L3649" s="87">
        <v>3</v>
      </c>
      <c r="M3649" s="87"/>
      <c r="N3649" s="87"/>
      <c r="O3649" s="87"/>
      <c r="P3649" s="87"/>
      <c r="Q3649" s="87"/>
      <c r="R3649" s="87"/>
      <c r="S3649" s="87"/>
      <c r="T3649" s="87"/>
      <c r="U3649" s="88"/>
      <c r="V3649" s="89">
        <v>4</v>
      </c>
      <c r="W3649" s="96">
        <v>0</v>
      </c>
      <c r="X3649" s="71">
        <f>CU3649</f>
        <v>0</v>
      </c>
      <c r="Y3649" s="71">
        <f>CY3649</f>
        <v>0</v>
      </c>
      <c r="Z3649" s="71">
        <f>DA3649+DC3649+DE3649</f>
        <v>0</v>
      </c>
      <c r="AA3649" s="71">
        <f>CW3649</f>
        <v>0</v>
      </c>
      <c r="AB3649" s="71"/>
      <c r="AC3649" s="71">
        <v>0</v>
      </c>
      <c r="AD3649" s="71">
        <f>W3649+X3649+Y3649+Z3649+AA3649+AB3649+AC3649</f>
        <v>0</v>
      </c>
      <c r="AE3649" s="72">
        <v>0</v>
      </c>
      <c r="AF3649" s="5"/>
      <c r="AG3649" s="6"/>
      <c r="AH3649" s="27"/>
      <c r="AI3649" s="44"/>
      <c r="AJ3649" s="26"/>
      <c r="AK3649" s="5"/>
      <c r="AL3649" s="268" t="s">
        <v>6667</v>
      </c>
      <c r="AM3649" s="76"/>
      <c r="AN3649" s="76"/>
      <c r="AO3649" s="76"/>
      <c r="AP3649" s="76"/>
      <c r="AQ3649" s="76"/>
      <c r="AR3649" s="76"/>
      <c r="AS3649" s="76"/>
      <c r="AT3649" s="76"/>
      <c r="AU3649" s="76"/>
      <c r="AV3649" s="76"/>
      <c r="AW3649" s="76"/>
      <c r="AX3649" s="76">
        <f>+AW3649*600000</f>
        <v>0</v>
      </c>
      <c r="AY3649" s="76"/>
      <c r="AZ3649" s="76">
        <f>+AY3649*70000</f>
        <v>0</v>
      </c>
      <c r="BA3649" s="76"/>
      <c r="BB3649" s="76"/>
      <c r="BC3649" s="76"/>
      <c r="BD3649" s="76">
        <f>+BC3649*30000</f>
        <v>0</v>
      </c>
      <c r="BE3649" s="76"/>
      <c r="BF3649" s="76"/>
      <c r="BG3649" s="76"/>
      <c r="BH3649" s="76"/>
      <c r="BI3649" s="76"/>
      <c r="BJ3649" s="76"/>
      <c r="BK3649" s="76"/>
      <c r="BL3649" s="76">
        <f>+BK3649*31500</f>
        <v>0</v>
      </c>
      <c r="BM3649" s="76"/>
      <c r="BN3649" s="76"/>
      <c r="BO3649" s="76"/>
      <c r="BP3649" s="76"/>
      <c r="BQ3649" s="76"/>
      <c r="BR3649" s="76"/>
      <c r="BS3649" s="76"/>
      <c r="BT3649" s="76"/>
      <c r="BU3649" s="76"/>
      <c r="BV3649" s="76"/>
      <c r="BW3649" s="76"/>
      <c r="BX3649" s="76"/>
      <c r="BY3649" s="76"/>
      <c r="BZ3649" s="76"/>
      <c r="CA3649" s="76"/>
      <c r="CB3649" s="76"/>
      <c r="CC3649" s="76"/>
      <c r="CD3649" s="76"/>
      <c r="CE3649" s="76"/>
      <c r="CF3649" s="76">
        <f>+CE3649*28000</f>
        <v>0</v>
      </c>
      <c r="CG3649" s="76"/>
      <c r="CH3649" s="76">
        <f>+CG3649*22500</f>
        <v>0</v>
      </c>
      <c r="CI3649" s="76"/>
      <c r="CJ3649" s="76">
        <f>+CI3649*26000</f>
        <v>0</v>
      </c>
      <c r="CK3649" s="76"/>
      <c r="CL3649" s="76"/>
      <c r="CM3649" s="76"/>
      <c r="CN3649" s="76">
        <f>+CM3649*22000</f>
        <v>0</v>
      </c>
      <c r="CO3649" s="76"/>
      <c r="CP3649" s="76">
        <f>+CO3649*46000</f>
        <v>0</v>
      </c>
      <c r="CQ3649" s="76"/>
      <c r="CR3649" s="76">
        <f>+CQ3649*49000</f>
        <v>0</v>
      </c>
      <c r="CS3649" s="76"/>
      <c r="CT3649" s="76"/>
      <c r="CU3649" s="56">
        <f>AN3649+AP3649+AR3649+AT3649+AV3649+AX3649+AZ3649+BB3649+BD3649+BF3649+BH3649+BJ3649+BL3649+BN3649+BP3649+BR3649+BT3649+BV3649+BX3649+BZ3649+CB3649+CD3649+CF3649+CH3649+CJ3649+CL3649+CN3649+CP3649+CR3649+CT3649</f>
        <v>0</v>
      </c>
      <c r="CV3649" s="76"/>
      <c r="CW3649" s="76">
        <f>+CV3649*1100</f>
        <v>0</v>
      </c>
      <c r="CX3649" s="76"/>
      <c r="CY3649" s="76">
        <f>+CX3649*106250</f>
        <v>0</v>
      </c>
      <c r="CZ3649" s="76"/>
      <c r="DA3649" s="76">
        <f>+CZ3649*34500</f>
        <v>0</v>
      </c>
      <c r="DB3649" s="76"/>
      <c r="DC3649" s="76">
        <f>+DB3649*25000</f>
        <v>0</v>
      </c>
      <c r="DD3649" s="219"/>
      <c r="DE3649" s="219"/>
      <c r="DF3649" s="166"/>
      <c r="DG3649" s="116"/>
      <c r="DH3649" s="117"/>
      <c r="DI3649" s="24"/>
      <c r="DJ3649" s="24"/>
      <c r="DK3649" s="24"/>
      <c r="DL3649" s="24"/>
      <c r="DM3649" s="24"/>
      <c r="DN3649" s="24"/>
      <c r="DO3649" s="24"/>
      <c r="DP3649" s="24"/>
      <c r="DQ3649" s="24"/>
      <c r="DR3649" s="24"/>
      <c r="DS3649" s="24"/>
      <c r="DT3649" s="24"/>
      <c r="DU3649" s="24"/>
    </row>
    <row r="3650" spans="1:125" s="8" customFormat="1" ht="36" x14ac:dyDescent="0.2">
      <c r="A3650" s="77">
        <v>41593</v>
      </c>
      <c r="B3650" s="352" t="s">
        <v>2894</v>
      </c>
      <c r="C3650" s="354" t="s">
        <v>2421</v>
      </c>
      <c r="D3650" s="354" t="s">
        <v>2859</v>
      </c>
      <c r="E3650" s="75" t="str">
        <f>VLOOKUP(B3650&amp;C3650,Divipola!$C$2:$F$1138,4,FALSE)</f>
        <v>05197</v>
      </c>
      <c r="F3650" s="87"/>
      <c r="G3650" s="87"/>
      <c r="H3650" s="87"/>
      <c r="I3650" s="87">
        <v>15</v>
      </c>
      <c r="J3650" s="87">
        <v>3</v>
      </c>
      <c r="K3650" s="87">
        <v>3</v>
      </c>
      <c r="L3650" s="87"/>
      <c r="M3650" s="87"/>
      <c r="N3650" s="87"/>
      <c r="O3650" s="87"/>
      <c r="P3650" s="87"/>
      <c r="Q3650" s="87"/>
      <c r="R3650" s="87"/>
      <c r="S3650" s="87"/>
      <c r="T3650" s="87"/>
      <c r="U3650" s="88"/>
      <c r="V3650" s="89"/>
      <c r="W3650" s="96">
        <v>0</v>
      </c>
      <c r="X3650" s="71">
        <f>CU3650</f>
        <v>0</v>
      </c>
      <c r="Y3650" s="71">
        <f>CY3650</f>
        <v>0</v>
      </c>
      <c r="Z3650" s="71">
        <f>DA3650+DC3650+DE3650</f>
        <v>0</v>
      </c>
      <c r="AA3650" s="71">
        <f>CW3650</f>
        <v>0</v>
      </c>
      <c r="AB3650" s="71"/>
      <c r="AC3650" s="71">
        <v>0</v>
      </c>
      <c r="AD3650" s="71">
        <f>W3650+X3650+Y3650+Z3650+AA3650+AB3650+AC3650</f>
        <v>0</v>
      </c>
      <c r="AE3650" s="72">
        <v>0</v>
      </c>
      <c r="AF3650" s="5"/>
      <c r="AG3650" s="6"/>
      <c r="AH3650" s="27"/>
      <c r="AI3650" s="44"/>
      <c r="AJ3650" s="26"/>
      <c r="AK3650" s="5"/>
      <c r="AL3650" s="82" t="s">
        <v>6668</v>
      </c>
      <c r="AM3650" s="76"/>
      <c r="AN3650" s="76"/>
      <c r="AO3650" s="76"/>
      <c r="AP3650" s="76"/>
      <c r="AQ3650" s="76"/>
      <c r="AR3650" s="76"/>
      <c r="AS3650" s="76"/>
      <c r="AT3650" s="76"/>
      <c r="AU3650" s="76"/>
      <c r="AV3650" s="76"/>
      <c r="AW3650" s="76"/>
      <c r="AX3650" s="76">
        <f>+AW3650*600000</f>
        <v>0</v>
      </c>
      <c r="AY3650" s="76"/>
      <c r="AZ3650" s="76">
        <f>+AY3650*70000</f>
        <v>0</v>
      </c>
      <c r="BA3650" s="76"/>
      <c r="BB3650" s="76"/>
      <c r="BC3650" s="76"/>
      <c r="BD3650" s="76">
        <f>+BC3650*30000</f>
        <v>0</v>
      </c>
      <c r="BE3650" s="76"/>
      <c r="BF3650" s="76"/>
      <c r="BG3650" s="76"/>
      <c r="BH3650" s="76"/>
      <c r="BI3650" s="76"/>
      <c r="BJ3650" s="76"/>
      <c r="BK3650" s="76"/>
      <c r="BL3650" s="76">
        <f>+BK3650*31500</f>
        <v>0</v>
      </c>
      <c r="BM3650" s="76"/>
      <c r="BN3650" s="76"/>
      <c r="BO3650" s="76"/>
      <c r="BP3650" s="76"/>
      <c r="BQ3650" s="76"/>
      <c r="BR3650" s="76"/>
      <c r="BS3650" s="76"/>
      <c r="BT3650" s="76"/>
      <c r="BU3650" s="76"/>
      <c r="BV3650" s="76"/>
      <c r="BW3650" s="76"/>
      <c r="BX3650" s="76"/>
      <c r="BY3650" s="76"/>
      <c r="BZ3650" s="76"/>
      <c r="CA3650" s="76"/>
      <c r="CB3650" s="76"/>
      <c r="CC3650" s="76"/>
      <c r="CD3650" s="76"/>
      <c r="CE3650" s="76"/>
      <c r="CF3650" s="76">
        <f>+CE3650*28000</f>
        <v>0</v>
      </c>
      <c r="CG3650" s="76"/>
      <c r="CH3650" s="76">
        <f>+CG3650*22500</f>
        <v>0</v>
      </c>
      <c r="CI3650" s="76"/>
      <c r="CJ3650" s="76">
        <f>+CI3650*26000</f>
        <v>0</v>
      </c>
      <c r="CK3650" s="76"/>
      <c r="CL3650" s="76"/>
      <c r="CM3650" s="76"/>
      <c r="CN3650" s="76">
        <f>+CM3650*22000</f>
        <v>0</v>
      </c>
      <c r="CO3650" s="76"/>
      <c r="CP3650" s="76">
        <f>+CO3650*46000</f>
        <v>0</v>
      </c>
      <c r="CQ3650" s="76"/>
      <c r="CR3650" s="76">
        <f>+CQ3650*49000</f>
        <v>0</v>
      </c>
      <c r="CS3650" s="76"/>
      <c r="CT3650" s="76"/>
      <c r="CU3650" s="56">
        <f>AN3650+AP3650+AR3650+AT3650+AV3650+AX3650+AZ3650+BB3650+BD3650+BF3650+BH3650+BJ3650+BL3650+BN3650+BP3650+BR3650+BT3650+BV3650+BX3650+BZ3650+CB3650+CD3650+CF3650+CH3650+CJ3650+CL3650+CN3650+CP3650+CR3650+CT3650</f>
        <v>0</v>
      </c>
      <c r="CV3650" s="76"/>
      <c r="CW3650" s="76">
        <f>+CV3650*1100</f>
        <v>0</v>
      </c>
      <c r="CX3650" s="76"/>
      <c r="CY3650" s="76">
        <f>+CX3650*106250</f>
        <v>0</v>
      </c>
      <c r="CZ3650" s="76"/>
      <c r="DA3650" s="76">
        <f>+CZ3650*34500</f>
        <v>0</v>
      </c>
      <c r="DB3650" s="76"/>
      <c r="DC3650" s="76">
        <f>+DB3650*25000</f>
        <v>0</v>
      </c>
      <c r="DD3650" s="219"/>
      <c r="DE3650" s="219"/>
      <c r="DF3650" s="166"/>
      <c r="DG3650" s="116"/>
      <c r="DH3650" s="117"/>
      <c r="DI3650" s="24"/>
      <c r="DJ3650" s="24"/>
      <c r="DK3650" s="24"/>
      <c r="DL3650" s="24"/>
      <c r="DM3650" s="24"/>
      <c r="DN3650" s="24"/>
      <c r="DO3650" s="24"/>
      <c r="DP3650" s="24"/>
      <c r="DQ3650" s="24"/>
      <c r="DR3650" s="24"/>
      <c r="DS3650" s="24"/>
      <c r="DT3650" s="24"/>
      <c r="DU3650" s="24"/>
    </row>
    <row r="3651" spans="1:125" s="8" customFormat="1" ht="156" x14ac:dyDescent="0.2">
      <c r="A3651" s="353">
        <v>41593</v>
      </c>
      <c r="B3651" s="352" t="s">
        <v>2847</v>
      </c>
      <c r="C3651" s="354" t="s">
        <v>318</v>
      </c>
      <c r="D3651" s="354" t="s">
        <v>2849</v>
      </c>
      <c r="E3651" s="75" t="str">
        <f>VLOOKUP(B3651&amp;C3651,Divipola!$C$2:$F$1138,4,FALSE)</f>
        <v>68167</v>
      </c>
      <c r="F3651" s="87">
        <v>2</v>
      </c>
      <c r="G3651" s="87"/>
      <c r="H3651" s="87"/>
      <c r="I3651" s="87">
        <v>2</v>
      </c>
      <c r="J3651" s="87"/>
      <c r="K3651" s="87"/>
      <c r="L3651" s="87"/>
      <c r="M3651" s="87"/>
      <c r="N3651" s="87"/>
      <c r="O3651" s="87"/>
      <c r="P3651" s="87"/>
      <c r="Q3651" s="87"/>
      <c r="R3651" s="87"/>
      <c r="S3651" s="87"/>
      <c r="T3651" s="87"/>
      <c r="U3651" s="88"/>
      <c r="V3651" s="89"/>
      <c r="W3651" s="96">
        <v>0</v>
      </c>
      <c r="X3651" s="71">
        <f>CU3651</f>
        <v>0</v>
      </c>
      <c r="Y3651" s="71">
        <f>CY3651</f>
        <v>0</v>
      </c>
      <c r="Z3651" s="71">
        <f>DA3651+DC3651+DE3651</f>
        <v>0</v>
      </c>
      <c r="AA3651" s="71">
        <f>CW3651</f>
        <v>0</v>
      </c>
      <c r="AB3651" s="71"/>
      <c r="AC3651" s="71">
        <v>0</v>
      </c>
      <c r="AD3651" s="71">
        <f>W3651+X3651+Y3651+Z3651+AA3651+AB3651+AC3651</f>
        <v>0</v>
      </c>
      <c r="AE3651" s="72">
        <v>0</v>
      </c>
      <c r="AF3651" s="5"/>
      <c r="AG3651" s="6"/>
      <c r="AH3651" s="27"/>
      <c r="AI3651" s="44"/>
      <c r="AJ3651" s="26"/>
      <c r="AK3651" s="5"/>
      <c r="AL3651" s="82" t="s">
        <v>6685</v>
      </c>
      <c r="AM3651" s="76"/>
      <c r="AN3651" s="76"/>
      <c r="AO3651" s="76"/>
      <c r="AP3651" s="76"/>
      <c r="AQ3651" s="76"/>
      <c r="AR3651" s="76"/>
      <c r="AS3651" s="76"/>
      <c r="AT3651" s="76"/>
      <c r="AU3651" s="76"/>
      <c r="AV3651" s="76"/>
      <c r="AW3651" s="76"/>
      <c r="AX3651" s="76">
        <f>+AW3651*600000</f>
        <v>0</v>
      </c>
      <c r="AY3651" s="76"/>
      <c r="AZ3651" s="76">
        <f>+AY3651*70000</f>
        <v>0</v>
      </c>
      <c r="BA3651" s="76"/>
      <c r="BB3651" s="76"/>
      <c r="BC3651" s="76"/>
      <c r="BD3651" s="76">
        <f>+BC3651*30000</f>
        <v>0</v>
      </c>
      <c r="BE3651" s="76"/>
      <c r="BF3651" s="76"/>
      <c r="BG3651" s="76"/>
      <c r="BH3651" s="76"/>
      <c r="BI3651" s="76"/>
      <c r="BJ3651" s="76"/>
      <c r="BK3651" s="76"/>
      <c r="BL3651" s="76">
        <f>+BK3651*31500</f>
        <v>0</v>
      </c>
      <c r="BM3651" s="76"/>
      <c r="BN3651" s="76"/>
      <c r="BO3651" s="76"/>
      <c r="BP3651" s="76"/>
      <c r="BQ3651" s="76"/>
      <c r="BR3651" s="76"/>
      <c r="BS3651" s="76"/>
      <c r="BT3651" s="76"/>
      <c r="BU3651" s="76"/>
      <c r="BV3651" s="76"/>
      <c r="BW3651" s="76"/>
      <c r="BX3651" s="76"/>
      <c r="BY3651" s="76"/>
      <c r="BZ3651" s="76"/>
      <c r="CA3651" s="76"/>
      <c r="CB3651" s="76"/>
      <c r="CC3651" s="76"/>
      <c r="CD3651" s="76"/>
      <c r="CE3651" s="76"/>
      <c r="CF3651" s="76">
        <f>+CE3651*28000</f>
        <v>0</v>
      </c>
      <c r="CG3651" s="76"/>
      <c r="CH3651" s="76">
        <f>+CG3651*22500</f>
        <v>0</v>
      </c>
      <c r="CI3651" s="76"/>
      <c r="CJ3651" s="76">
        <f>+CI3651*26000</f>
        <v>0</v>
      </c>
      <c r="CK3651" s="76"/>
      <c r="CL3651" s="76"/>
      <c r="CM3651" s="76"/>
      <c r="CN3651" s="76">
        <f>+CM3651*22000</f>
        <v>0</v>
      </c>
      <c r="CO3651" s="76"/>
      <c r="CP3651" s="76">
        <f>+CO3651*46000</f>
        <v>0</v>
      </c>
      <c r="CQ3651" s="76"/>
      <c r="CR3651" s="76">
        <f>+CQ3651*49000</f>
        <v>0</v>
      </c>
      <c r="CS3651" s="76"/>
      <c r="CT3651" s="76"/>
      <c r="CU3651" s="56">
        <f>AN3651+AP3651+AR3651+AT3651+AV3651+AX3651+AZ3651+BB3651+BD3651+BF3651+BH3651+BJ3651+BL3651+BN3651+BP3651+BR3651+BT3651+BV3651+BX3651+BZ3651+CB3651+CD3651+CF3651+CH3651+CJ3651+CL3651+CN3651+CP3651+CR3651+CT3651</f>
        <v>0</v>
      </c>
      <c r="CV3651" s="76"/>
      <c r="CW3651" s="76">
        <f>+CV3651*1100</f>
        <v>0</v>
      </c>
      <c r="CX3651" s="76"/>
      <c r="CY3651" s="76">
        <f>+CX3651*106250</f>
        <v>0</v>
      </c>
      <c r="CZ3651" s="76"/>
      <c r="DA3651" s="76">
        <f>+CZ3651*34500</f>
        <v>0</v>
      </c>
      <c r="DB3651" s="76"/>
      <c r="DC3651" s="76">
        <f>+DB3651*25000</f>
        <v>0</v>
      </c>
      <c r="DD3651" s="219"/>
      <c r="DE3651" s="219"/>
      <c r="DF3651" s="166"/>
      <c r="DG3651" s="116"/>
      <c r="DH3651" s="117"/>
      <c r="DI3651" s="24"/>
      <c r="DJ3651" s="24"/>
      <c r="DK3651" s="24"/>
      <c r="DL3651" s="24"/>
      <c r="DM3651" s="24"/>
      <c r="DN3651" s="24"/>
      <c r="DO3651" s="24"/>
      <c r="DP3651" s="24"/>
      <c r="DQ3651" s="24"/>
      <c r="DR3651" s="24"/>
      <c r="DS3651" s="24"/>
      <c r="DT3651" s="24"/>
      <c r="DU3651" s="24"/>
    </row>
    <row r="3652" spans="1:125" s="8" customFormat="1" ht="108" x14ac:dyDescent="0.2">
      <c r="A3652" s="77">
        <v>41593</v>
      </c>
      <c r="B3652" s="75" t="s">
        <v>2700</v>
      </c>
      <c r="C3652" s="75" t="s">
        <v>1705</v>
      </c>
      <c r="D3652" s="75" t="s">
        <v>2859</v>
      </c>
      <c r="E3652" s="75" t="str">
        <f>VLOOKUP(B3652&amp;C3652,Divipola!$C$2:$F$1138,4,FALSE)</f>
        <v>15572</v>
      </c>
      <c r="F3652" s="61"/>
      <c r="G3652" s="61"/>
      <c r="H3652" s="61"/>
      <c r="I3652" s="61"/>
      <c r="J3652" s="61"/>
      <c r="K3652" s="61"/>
      <c r="L3652" s="61"/>
      <c r="M3652" s="61"/>
      <c r="N3652" s="61"/>
      <c r="O3652" s="61"/>
      <c r="P3652" s="61"/>
      <c r="Q3652" s="61"/>
      <c r="R3652" s="61"/>
      <c r="S3652" s="61"/>
      <c r="T3652" s="61"/>
      <c r="U3652" s="61"/>
      <c r="V3652" s="7"/>
      <c r="W3652" s="96">
        <v>0</v>
      </c>
      <c r="X3652" s="71">
        <f>CU3652</f>
        <v>0</v>
      </c>
      <c r="Y3652" s="71">
        <f>CY3652</f>
        <v>0</v>
      </c>
      <c r="Z3652" s="71">
        <f>DA3652+DC3652+DE3652</f>
        <v>0</v>
      </c>
      <c r="AA3652" s="71">
        <f>CW3652</f>
        <v>0</v>
      </c>
      <c r="AB3652" s="71"/>
      <c r="AC3652" s="71">
        <v>0</v>
      </c>
      <c r="AD3652" s="71">
        <f>W3652+X3652+Y3652+Z3652+AA3652+AB3652+AC3652</f>
        <v>0</v>
      </c>
      <c r="AE3652" s="72">
        <v>0</v>
      </c>
      <c r="AF3652" s="5"/>
      <c r="AG3652" s="6"/>
      <c r="AH3652" s="27"/>
      <c r="AI3652" s="44"/>
      <c r="AJ3652" s="26"/>
      <c r="AK3652" s="5"/>
      <c r="AL3652" s="330" t="s">
        <v>6673</v>
      </c>
      <c r="AM3652" s="76"/>
      <c r="AN3652" s="76"/>
      <c r="AO3652" s="76"/>
      <c r="AP3652" s="76"/>
      <c r="AQ3652" s="76"/>
      <c r="AR3652" s="76"/>
      <c r="AS3652" s="76"/>
      <c r="AT3652" s="76"/>
      <c r="AU3652" s="76"/>
      <c r="AV3652" s="76"/>
      <c r="AW3652" s="76"/>
      <c r="AX3652" s="76">
        <f>+AW3652*600000</f>
        <v>0</v>
      </c>
      <c r="AY3652" s="76"/>
      <c r="AZ3652" s="76">
        <f>+AY3652*70000</f>
        <v>0</v>
      </c>
      <c r="BA3652" s="76"/>
      <c r="BB3652" s="76"/>
      <c r="BC3652" s="76"/>
      <c r="BD3652" s="76">
        <f>+BC3652*30000</f>
        <v>0</v>
      </c>
      <c r="BE3652" s="76"/>
      <c r="BF3652" s="76"/>
      <c r="BG3652" s="76"/>
      <c r="BH3652" s="76"/>
      <c r="BI3652" s="76"/>
      <c r="BJ3652" s="76"/>
      <c r="BK3652" s="76"/>
      <c r="BL3652" s="76">
        <f>+BK3652*31500</f>
        <v>0</v>
      </c>
      <c r="BM3652" s="76"/>
      <c r="BN3652" s="76"/>
      <c r="BO3652" s="76"/>
      <c r="BP3652" s="76"/>
      <c r="BQ3652" s="76"/>
      <c r="BR3652" s="76"/>
      <c r="BS3652" s="76"/>
      <c r="BT3652" s="76"/>
      <c r="BU3652" s="76"/>
      <c r="BV3652" s="76"/>
      <c r="BW3652" s="76"/>
      <c r="BX3652" s="76"/>
      <c r="BY3652" s="76"/>
      <c r="BZ3652" s="76"/>
      <c r="CA3652" s="76"/>
      <c r="CB3652" s="76"/>
      <c r="CC3652" s="76"/>
      <c r="CD3652" s="76"/>
      <c r="CE3652" s="76"/>
      <c r="CF3652" s="76">
        <f>+CE3652*28000</f>
        <v>0</v>
      </c>
      <c r="CG3652" s="76"/>
      <c r="CH3652" s="76">
        <f>+CG3652*22500</f>
        <v>0</v>
      </c>
      <c r="CI3652" s="76"/>
      <c r="CJ3652" s="76">
        <f>+CI3652*26000</f>
        <v>0</v>
      </c>
      <c r="CK3652" s="76"/>
      <c r="CL3652" s="76"/>
      <c r="CM3652" s="76"/>
      <c r="CN3652" s="76">
        <f>+CM3652*22000</f>
        <v>0</v>
      </c>
      <c r="CO3652" s="76"/>
      <c r="CP3652" s="76">
        <f>+CO3652*46000</f>
        <v>0</v>
      </c>
      <c r="CQ3652" s="76"/>
      <c r="CR3652" s="76">
        <f>+CQ3652*49000</f>
        <v>0</v>
      </c>
      <c r="CS3652" s="76"/>
      <c r="CT3652" s="76"/>
      <c r="CU3652" s="56">
        <f>AN3652+AP3652+AR3652+AT3652+AV3652+AX3652+AZ3652+BB3652+BD3652+BF3652+BH3652+BJ3652+BL3652+BN3652+BP3652+BR3652+BT3652+BV3652+BX3652+BZ3652+CB3652+CD3652+CF3652+CH3652+CJ3652+CL3652+CN3652+CP3652+CR3652+CT3652</f>
        <v>0</v>
      </c>
      <c r="CV3652" s="76"/>
      <c r="CW3652" s="76">
        <f>+CV3652*1100</f>
        <v>0</v>
      </c>
      <c r="CX3652" s="76"/>
      <c r="CY3652" s="76">
        <f>+CX3652*106250</f>
        <v>0</v>
      </c>
      <c r="CZ3652" s="76"/>
      <c r="DA3652" s="76">
        <f>+CZ3652*34500</f>
        <v>0</v>
      </c>
      <c r="DB3652" s="76"/>
      <c r="DC3652" s="76">
        <f>+DB3652*25000</f>
        <v>0</v>
      </c>
      <c r="DD3652" s="219"/>
      <c r="DE3652" s="219"/>
      <c r="DF3652" s="166"/>
      <c r="DG3652" s="116"/>
      <c r="DH3652" s="117"/>
      <c r="DI3652" s="24"/>
      <c r="DJ3652" s="24"/>
      <c r="DK3652" s="24"/>
      <c r="DL3652" s="24"/>
      <c r="DM3652" s="24"/>
      <c r="DN3652" s="24"/>
      <c r="DO3652" s="24"/>
      <c r="DP3652" s="24"/>
      <c r="DQ3652" s="24"/>
      <c r="DR3652" s="24"/>
      <c r="DS3652" s="24"/>
      <c r="DT3652" s="24"/>
      <c r="DU3652" s="24"/>
    </row>
    <row r="3653" spans="1:125" s="8" customFormat="1" ht="144" x14ac:dyDescent="0.2">
      <c r="A3653" s="353">
        <v>41593</v>
      </c>
      <c r="B3653" s="352" t="s">
        <v>2811</v>
      </c>
      <c r="C3653" s="354" t="s">
        <v>211</v>
      </c>
      <c r="D3653" s="354" t="s">
        <v>3088</v>
      </c>
      <c r="E3653" s="75" t="str">
        <f>VLOOKUP(B3653&amp;C3653,Divipola!$C$2:$F$1138,4,FALSE)</f>
        <v>52694</v>
      </c>
      <c r="F3653" s="87"/>
      <c r="G3653" s="87"/>
      <c r="H3653" s="87"/>
      <c r="I3653" s="87"/>
      <c r="J3653" s="87"/>
      <c r="K3653" s="87"/>
      <c r="L3653" s="87"/>
      <c r="M3653" s="87"/>
      <c r="N3653" s="87"/>
      <c r="O3653" s="87"/>
      <c r="P3653" s="87">
        <v>1</v>
      </c>
      <c r="Q3653" s="87"/>
      <c r="R3653" s="87"/>
      <c r="S3653" s="87"/>
      <c r="T3653" s="87"/>
      <c r="U3653" s="88"/>
      <c r="V3653" s="89"/>
      <c r="W3653" s="96">
        <v>0</v>
      </c>
      <c r="X3653" s="71">
        <f>CU3653</f>
        <v>0</v>
      </c>
      <c r="Y3653" s="71">
        <f>CY3653</f>
        <v>0</v>
      </c>
      <c r="Z3653" s="71">
        <f>DA3653+DC3653+DE3653</f>
        <v>0</v>
      </c>
      <c r="AA3653" s="71">
        <f>CW3653</f>
        <v>0</v>
      </c>
      <c r="AB3653" s="71"/>
      <c r="AC3653" s="71">
        <v>0</v>
      </c>
      <c r="AD3653" s="71">
        <f>W3653+X3653+Y3653+Z3653+AA3653+AB3653+AC3653</f>
        <v>0</v>
      </c>
      <c r="AE3653" s="72">
        <v>0</v>
      </c>
      <c r="AF3653" s="5"/>
      <c r="AG3653" s="6"/>
      <c r="AH3653" s="27"/>
      <c r="AI3653" s="44"/>
      <c r="AJ3653" s="26"/>
      <c r="AK3653" s="5"/>
      <c r="AL3653" s="274" t="s">
        <v>6693</v>
      </c>
      <c r="AM3653" s="76"/>
      <c r="AN3653" s="76"/>
      <c r="AO3653" s="76"/>
      <c r="AP3653" s="76"/>
      <c r="AQ3653" s="76"/>
      <c r="AR3653" s="76"/>
      <c r="AS3653" s="76"/>
      <c r="AT3653" s="76"/>
      <c r="AU3653" s="76"/>
      <c r="AV3653" s="76"/>
      <c r="AW3653" s="76"/>
      <c r="AX3653" s="76">
        <f>+AW3653*600000</f>
        <v>0</v>
      </c>
      <c r="AY3653" s="76"/>
      <c r="AZ3653" s="76">
        <f>+AY3653*70000</f>
        <v>0</v>
      </c>
      <c r="BA3653" s="76"/>
      <c r="BB3653" s="76"/>
      <c r="BC3653" s="76"/>
      <c r="BD3653" s="76">
        <f>+BC3653*30000</f>
        <v>0</v>
      </c>
      <c r="BE3653" s="76"/>
      <c r="BF3653" s="76"/>
      <c r="BG3653" s="76"/>
      <c r="BH3653" s="76"/>
      <c r="BI3653" s="76"/>
      <c r="BJ3653" s="76"/>
      <c r="BK3653" s="76"/>
      <c r="BL3653" s="76">
        <f>+BK3653*31500</f>
        <v>0</v>
      </c>
      <c r="BM3653" s="76"/>
      <c r="BN3653" s="76"/>
      <c r="BO3653" s="76"/>
      <c r="BP3653" s="76"/>
      <c r="BQ3653" s="76"/>
      <c r="BR3653" s="76"/>
      <c r="BS3653" s="76"/>
      <c r="BT3653" s="76"/>
      <c r="BU3653" s="76"/>
      <c r="BV3653" s="76"/>
      <c r="BW3653" s="76"/>
      <c r="BX3653" s="76"/>
      <c r="BY3653" s="76"/>
      <c r="BZ3653" s="76"/>
      <c r="CA3653" s="76"/>
      <c r="CB3653" s="76"/>
      <c r="CC3653" s="76"/>
      <c r="CD3653" s="76"/>
      <c r="CE3653" s="76"/>
      <c r="CF3653" s="76">
        <f>+CE3653*28000</f>
        <v>0</v>
      </c>
      <c r="CG3653" s="76"/>
      <c r="CH3653" s="76">
        <f>+CG3653*22500</f>
        <v>0</v>
      </c>
      <c r="CI3653" s="76"/>
      <c r="CJ3653" s="76">
        <f>+CI3653*26000</f>
        <v>0</v>
      </c>
      <c r="CK3653" s="76"/>
      <c r="CL3653" s="76"/>
      <c r="CM3653" s="76"/>
      <c r="CN3653" s="76">
        <f>+CM3653*22000</f>
        <v>0</v>
      </c>
      <c r="CO3653" s="76"/>
      <c r="CP3653" s="76">
        <f>+CO3653*46000</f>
        <v>0</v>
      </c>
      <c r="CQ3653" s="76"/>
      <c r="CR3653" s="76">
        <f>+CQ3653*49000</f>
        <v>0</v>
      </c>
      <c r="CS3653" s="76"/>
      <c r="CT3653" s="76"/>
      <c r="CU3653" s="56">
        <f>AN3653+AP3653+AR3653+AT3653+AV3653+AX3653+AZ3653+BB3653+BD3653+BF3653+BH3653+BJ3653+BL3653+BN3653+BP3653+BR3653+BT3653+BV3653+BX3653+BZ3653+CB3653+CD3653+CF3653+CH3653+CJ3653+CL3653+CN3653+CP3653+CR3653+CT3653</f>
        <v>0</v>
      </c>
      <c r="CV3653" s="76"/>
      <c r="CW3653" s="76">
        <f>+CV3653*1100</f>
        <v>0</v>
      </c>
      <c r="CX3653" s="76"/>
      <c r="CY3653" s="76">
        <f>+CX3653*106250</f>
        <v>0</v>
      </c>
      <c r="CZ3653" s="76"/>
      <c r="DA3653" s="76">
        <f>+CZ3653*34500</f>
        <v>0</v>
      </c>
      <c r="DB3653" s="76"/>
      <c r="DC3653" s="76">
        <f>+DB3653*25000</f>
        <v>0</v>
      </c>
      <c r="DD3653" s="219"/>
      <c r="DE3653" s="219"/>
      <c r="DF3653" s="166"/>
      <c r="DG3653" s="116"/>
      <c r="DH3653" s="117"/>
      <c r="DI3653" s="24"/>
      <c r="DJ3653" s="24"/>
      <c r="DK3653" s="24"/>
      <c r="DL3653" s="24"/>
      <c r="DM3653" s="24"/>
      <c r="DN3653" s="24"/>
      <c r="DO3653" s="24"/>
      <c r="DP3653" s="24"/>
      <c r="DQ3653" s="24"/>
      <c r="DR3653" s="24"/>
      <c r="DS3653" s="24"/>
      <c r="DT3653" s="24"/>
      <c r="DU3653" s="24"/>
    </row>
    <row r="3654" spans="1:125" s="8" customFormat="1" ht="204" x14ac:dyDescent="0.2">
      <c r="A3654" s="77">
        <v>41593</v>
      </c>
      <c r="B3654" s="352" t="s">
        <v>2772</v>
      </c>
      <c r="C3654" s="354" t="s">
        <v>488</v>
      </c>
      <c r="D3654" s="354" t="s">
        <v>2882</v>
      </c>
      <c r="E3654" s="75" t="str">
        <f>VLOOKUP(B3654&amp;C3654,Divipola!$C$2:$F$1138,4,FALSE)</f>
        <v>25823</v>
      </c>
      <c r="F3654" s="87"/>
      <c r="G3654" s="87"/>
      <c r="H3654" s="87"/>
      <c r="I3654" s="87">
        <v>208</v>
      </c>
      <c r="J3654" s="87">
        <v>70</v>
      </c>
      <c r="K3654" s="87"/>
      <c r="L3654" s="87">
        <v>70</v>
      </c>
      <c r="M3654" s="87"/>
      <c r="N3654" s="87"/>
      <c r="O3654" s="87"/>
      <c r="P3654" s="87"/>
      <c r="Q3654" s="87"/>
      <c r="R3654" s="87"/>
      <c r="S3654" s="87"/>
      <c r="T3654" s="87"/>
      <c r="U3654" s="88">
        <v>6</v>
      </c>
      <c r="V3654" s="89"/>
      <c r="W3654" s="96">
        <v>0</v>
      </c>
      <c r="X3654" s="71">
        <f>CU3654</f>
        <v>0</v>
      </c>
      <c r="Y3654" s="71">
        <f>CY3654</f>
        <v>0</v>
      </c>
      <c r="Z3654" s="71">
        <f>DA3654+DC3654+DE3654</f>
        <v>0</v>
      </c>
      <c r="AA3654" s="71">
        <f>CW3654</f>
        <v>0</v>
      </c>
      <c r="AB3654" s="71"/>
      <c r="AC3654" s="71">
        <v>0</v>
      </c>
      <c r="AD3654" s="71">
        <f>W3654+X3654+Y3654+Z3654+AA3654+AB3654+AC3654</f>
        <v>0</v>
      </c>
      <c r="AE3654" s="72">
        <v>0</v>
      </c>
      <c r="AF3654" s="5"/>
      <c r="AG3654" s="6"/>
      <c r="AH3654" s="27"/>
      <c r="AI3654" s="44"/>
      <c r="AJ3654" s="26"/>
      <c r="AK3654" s="5"/>
      <c r="AL3654" s="82" t="s">
        <v>6732</v>
      </c>
      <c r="AM3654" s="76"/>
      <c r="AN3654" s="76"/>
      <c r="AO3654" s="76"/>
      <c r="AP3654" s="76"/>
      <c r="AQ3654" s="76"/>
      <c r="AR3654" s="76"/>
      <c r="AS3654" s="76"/>
      <c r="AT3654" s="76"/>
      <c r="AU3654" s="76"/>
      <c r="AV3654" s="76"/>
      <c r="AW3654" s="76"/>
      <c r="AX3654" s="76">
        <f>+AW3654*600000</f>
        <v>0</v>
      </c>
      <c r="AY3654" s="76"/>
      <c r="AZ3654" s="76">
        <f>+AY3654*70000</f>
        <v>0</v>
      </c>
      <c r="BA3654" s="76"/>
      <c r="BB3654" s="76"/>
      <c r="BC3654" s="76"/>
      <c r="BD3654" s="76">
        <f>+BC3654*30000</f>
        <v>0</v>
      </c>
      <c r="BE3654" s="76"/>
      <c r="BF3654" s="76"/>
      <c r="BG3654" s="76"/>
      <c r="BH3654" s="76"/>
      <c r="BI3654" s="76"/>
      <c r="BJ3654" s="76"/>
      <c r="BK3654" s="76"/>
      <c r="BL3654" s="76">
        <f>+BK3654*31500</f>
        <v>0</v>
      </c>
      <c r="BM3654" s="76"/>
      <c r="BN3654" s="76"/>
      <c r="BO3654" s="76"/>
      <c r="BP3654" s="76"/>
      <c r="BQ3654" s="76"/>
      <c r="BR3654" s="76"/>
      <c r="BS3654" s="76"/>
      <c r="BT3654" s="76"/>
      <c r="BU3654" s="76"/>
      <c r="BV3654" s="76"/>
      <c r="BW3654" s="76"/>
      <c r="BX3654" s="76"/>
      <c r="BY3654" s="76"/>
      <c r="BZ3654" s="76"/>
      <c r="CA3654" s="76"/>
      <c r="CB3654" s="76"/>
      <c r="CC3654" s="76"/>
      <c r="CD3654" s="76"/>
      <c r="CE3654" s="76"/>
      <c r="CF3654" s="76">
        <f>+CE3654*28000</f>
        <v>0</v>
      </c>
      <c r="CG3654" s="76"/>
      <c r="CH3654" s="76">
        <f>+CG3654*22500</f>
        <v>0</v>
      </c>
      <c r="CI3654" s="76"/>
      <c r="CJ3654" s="76">
        <f>+CI3654*26000</f>
        <v>0</v>
      </c>
      <c r="CK3654" s="76"/>
      <c r="CL3654" s="76"/>
      <c r="CM3654" s="76"/>
      <c r="CN3654" s="76">
        <f>+CM3654*22000</f>
        <v>0</v>
      </c>
      <c r="CO3654" s="76"/>
      <c r="CP3654" s="76">
        <f>+CO3654*46000</f>
        <v>0</v>
      </c>
      <c r="CQ3654" s="76"/>
      <c r="CR3654" s="76">
        <f>+CQ3654*49000</f>
        <v>0</v>
      </c>
      <c r="CS3654" s="76"/>
      <c r="CT3654" s="76"/>
      <c r="CU3654" s="56">
        <f>AN3654+AP3654+AR3654+AT3654+AV3654+AX3654+AZ3654+BB3654+BD3654+BF3654+BH3654+BJ3654+BL3654+BN3654+BP3654+BR3654+BT3654+BV3654+BX3654+BZ3654+CB3654+CD3654+CF3654+CH3654+CJ3654+CL3654+CN3654+CP3654+CR3654+CT3654</f>
        <v>0</v>
      </c>
      <c r="CV3654" s="76"/>
      <c r="CW3654" s="76">
        <f>+CV3654*1100</f>
        <v>0</v>
      </c>
      <c r="CX3654" s="76"/>
      <c r="CY3654" s="76">
        <f>+CX3654*106250</f>
        <v>0</v>
      </c>
      <c r="CZ3654" s="76"/>
      <c r="DA3654" s="76">
        <f>+CZ3654*34500</f>
        <v>0</v>
      </c>
      <c r="DB3654" s="76"/>
      <c r="DC3654" s="76">
        <f>+DB3654*25000</f>
        <v>0</v>
      </c>
      <c r="DD3654" s="219"/>
      <c r="DE3654" s="219"/>
      <c r="DF3654" s="166"/>
      <c r="DG3654" s="116"/>
      <c r="DH3654" s="117"/>
      <c r="DI3654" s="24"/>
      <c r="DJ3654" s="24"/>
      <c r="DK3654" s="24"/>
      <c r="DL3654" s="24"/>
      <c r="DM3654" s="24"/>
      <c r="DN3654" s="24"/>
      <c r="DO3654" s="24"/>
      <c r="DP3654" s="24"/>
      <c r="DQ3654" s="24"/>
      <c r="DR3654" s="24"/>
      <c r="DS3654" s="24"/>
      <c r="DT3654" s="24"/>
      <c r="DU3654" s="24"/>
    </row>
    <row r="3655" spans="1:125" s="8" customFormat="1" ht="48" x14ac:dyDescent="0.2">
      <c r="A3655" s="77">
        <v>41594</v>
      </c>
      <c r="B3655" s="78" t="s">
        <v>2811</v>
      </c>
      <c r="C3655" s="75" t="s">
        <v>477</v>
      </c>
      <c r="D3655" s="75" t="s">
        <v>2859</v>
      </c>
      <c r="E3655" s="75" t="str">
        <f>VLOOKUP(B3655&amp;C3655,Divipola!$C$2:$F$1138,4,FALSE)</f>
        <v>52621</v>
      </c>
      <c r="F3655" s="87"/>
      <c r="G3655" s="87"/>
      <c r="H3655" s="87"/>
      <c r="I3655" s="87"/>
      <c r="J3655" s="87"/>
      <c r="K3655" s="87"/>
      <c r="L3655" s="87"/>
      <c r="M3655" s="87"/>
      <c r="N3655" s="87"/>
      <c r="O3655" s="87"/>
      <c r="P3655" s="87"/>
      <c r="Q3655" s="87"/>
      <c r="R3655" s="87"/>
      <c r="S3655" s="87"/>
      <c r="T3655" s="87">
        <v>1</v>
      </c>
      <c r="U3655" s="88"/>
      <c r="V3655" s="89"/>
      <c r="W3655" s="96">
        <v>0</v>
      </c>
      <c r="X3655" s="71">
        <f>CU3655</f>
        <v>0</v>
      </c>
      <c r="Y3655" s="71">
        <f>CY3655</f>
        <v>0</v>
      </c>
      <c r="Z3655" s="71">
        <f>DA3655+DC3655+DE3655</f>
        <v>0</v>
      </c>
      <c r="AA3655" s="71">
        <f>CW3655</f>
        <v>0</v>
      </c>
      <c r="AB3655" s="71"/>
      <c r="AC3655" s="71">
        <v>0</v>
      </c>
      <c r="AD3655" s="71">
        <f>W3655+X3655+Y3655+Z3655+AA3655+AB3655+AC3655</f>
        <v>0</v>
      </c>
      <c r="AE3655" s="72">
        <v>0</v>
      </c>
      <c r="AF3655" s="5"/>
      <c r="AG3655" s="6"/>
      <c r="AH3655" s="27"/>
      <c r="AI3655" s="44"/>
      <c r="AJ3655" s="26"/>
      <c r="AK3655" s="5"/>
      <c r="AL3655" s="268" t="s">
        <v>6669</v>
      </c>
      <c r="AM3655" s="76"/>
      <c r="AN3655" s="76"/>
      <c r="AO3655" s="76"/>
      <c r="AP3655" s="76"/>
      <c r="AQ3655" s="76"/>
      <c r="AR3655" s="76"/>
      <c r="AS3655" s="76"/>
      <c r="AT3655" s="76"/>
      <c r="AU3655" s="76"/>
      <c r="AV3655" s="76"/>
      <c r="AW3655" s="76"/>
      <c r="AX3655" s="76">
        <f>+AW3655*600000</f>
        <v>0</v>
      </c>
      <c r="AY3655" s="76"/>
      <c r="AZ3655" s="76">
        <f>+AY3655*70000</f>
        <v>0</v>
      </c>
      <c r="BA3655" s="76"/>
      <c r="BB3655" s="76"/>
      <c r="BC3655" s="76"/>
      <c r="BD3655" s="76">
        <f>+BC3655*30000</f>
        <v>0</v>
      </c>
      <c r="BE3655" s="76"/>
      <c r="BF3655" s="76"/>
      <c r="BG3655" s="76"/>
      <c r="BH3655" s="76"/>
      <c r="BI3655" s="76"/>
      <c r="BJ3655" s="76"/>
      <c r="BK3655" s="76"/>
      <c r="BL3655" s="76">
        <f>+BK3655*31500</f>
        <v>0</v>
      </c>
      <c r="BM3655" s="76"/>
      <c r="BN3655" s="76"/>
      <c r="BO3655" s="76"/>
      <c r="BP3655" s="76"/>
      <c r="BQ3655" s="76"/>
      <c r="BR3655" s="76"/>
      <c r="BS3655" s="76"/>
      <c r="BT3655" s="76"/>
      <c r="BU3655" s="76"/>
      <c r="BV3655" s="76"/>
      <c r="BW3655" s="76"/>
      <c r="BX3655" s="76"/>
      <c r="BY3655" s="76"/>
      <c r="BZ3655" s="76"/>
      <c r="CA3655" s="76"/>
      <c r="CB3655" s="76"/>
      <c r="CC3655" s="76"/>
      <c r="CD3655" s="76"/>
      <c r="CE3655" s="76"/>
      <c r="CF3655" s="76">
        <f>+CE3655*28000</f>
        <v>0</v>
      </c>
      <c r="CG3655" s="76"/>
      <c r="CH3655" s="76">
        <f>+CG3655*22500</f>
        <v>0</v>
      </c>
      <c r="CI3655" s="76"/>
      <c r="CJ3655" s="76">
        <f>+CI3655*26000</f>
        <v>0</v>
      </c>
      <c r="CK3655" s="76"/>
      <c r="CL3655" s="76"/>
      <c r="CM3655" s="76"/>
      <c r="CN3655" s="76">
        <f>+CM3655*22000</f>
        <v>0</v>
      </c>
      <c r="CO3655" s="76"/>
      <c r="CP3655" s="76">
        <f>+CO3655*46000</f>
        <v>0</v>
      </c>
      <c r="CQ3655" s="76"/>
      <c r="CR3655" s="76">
        <f>+CQ3655*49000</f>
        <v>0</v>
      </c>
      <c r="CS3655" s="76"/>
      <c r="CT3655" s="76"/>
      <c r="CU3655" s="56">
        <f>AN3655+AP3655+AR3655+AT3655+AV3655+AX3655+AZ3655+BB3655+BD3655+BF3655+BH3655+BJ3655+BL3655+BN3655+BP3655+BR3655+BT3655+BV3655+BX3655+BZ3655+CB3655+CD3655+CF3655+CH3655+CJ3655+CL3655+CN3655+CP3655+CR3655+CT3655</f>
        <v>0</v>
      </c>
      <c r="CV3655" s="76"/>
      <c r="CW3655" s="76">
        <f>+CV3655*1100</f>
        <v>0</v>
      </c>
      <c r="CX3655" s="76"/>
      <c r="CY3655" s="76">
        <f>+CX3655*106250</f>
        <v>0</v>
      </c>
      <c r="CZ3655" s="76"/>
      <c r="DA3655" s="76">
        <f>+CZ3655*34500</f>
        <v>0</v>
      </c>
      <c r="DB3655" s="76"/>
      <c r="DC3655" s="76">
        <f>+DB3655*25000</f>
        <v>0</v>
      </c>
      <c r="DD3655" s="219"/>
      <c r="DE3655" s="219"/>
      <c r="DF3655" s="166"/>
      <c r="DG3655" s="116"/>
      <c r="DH3655" s="117"/>
      <c r="DI3655" s="24"/>
      <c r="DJ3655" s="24"/>
      <c r="DK3655" s="24"/>
      <c r="DL3655" s="24"/>
      <c r="DM3655" s="24"/>
      <c r="DN3655" s="24"/>
      <c r="DO3655" s="24"/>
      <c r="DP3655" s="24"/>
      <c r="DQ3655" s="24"/>
      <c r="DR3655" s="24"/>
      <c r="DS3655" s="24"/>
      <c r="DT3655" s="24"/>
      <c r="DU3655" s="24"/>
    </row>
    <row r="3656" spans="1:125" s="8" customFormat="1" ht="312" x14ac:dyDescent="0.2">
      <c r="A3656" s="77">
        <v>41594</v>
      </c>
      <c r="B3656" s="78" t="s">
        <v>2894</v>
      </c>
      <c r="C3656" s="75" t="s">
        <v>2119</v>
      </c>
      <c r="D3656" s="75" t="s">
        <v>2936</v>
      </c>
      <c r="E3656" s="75" t="str">
        <f>VLOOKUP(B3656&amp;C3656,Divipola!$C$2:$F$1138,4,FALSE)</f>
        <v>05380</v>
      </c>
      <c r="F3656" s="87"/>
      <c r="G3656" s="87">
        <v>2</v>
      </c>
      <c r="H3656" s="87"/>
      <c r="I3656" s="87">
        <v>2</v>
      </c>
      <c r="J3656" s="87">
        <v>1</v>
      </c>
      <c r="K3656" s="87">
        <v>1</v>
      </c>
      <c r="L3656" s="87"/>
      <c r="M3656" s="87"/>
      <c r="N3656" s="87"/>
      <c r="O3656" s="87"/>
      <c r="P3656" s="87"/>
      <c r="Q3656" s="87"/>
      <c r="R3656" s="87"/>
      <c r="S3656" s="87"/>
      <c r="T3656" s="87"/>
      <c r="U3656" s="88"/>
      <c r="V3656" s="89">
        <v>3</v>
      </c>
      <c r="W3656" s="96">
        <v>0</v>
      </c>
      <c r="X3656" s="71">
        <f>CU3656</f>
        <v>0</v>
      </c>
      <c r="Y3656" s="71">
        <f>CY3656</f>
        <v>0</v>
      </c>
      <c r="Z3656" s="71">
        <f>DA3656+DC3656+DE3656</f>
        <v>0</v>
      </c>
      <c r="AA3656" s="71">
        <f>CW3656</f>
        <v>0</v>
      </c>
      <c r="AB3656" s="71"/>
      <c r="AC3656" s="71">
        <v>0</v>
      </c>
      <c r="AD3656" s="71">
        <f>W3656+X3656+Y3656+Z3656+AA3656+AB3656+AC3656</f>
        <v>0</v>
      </c>
      <c r="AE3656" s="72">
        <v>0</v>
      </c>
      <c r="AF3656" s="5"/>
      <c r="AG3656" s="6"/>
      <c r="AH3656" s="27"/>
      <c r="AI3656" s="44"/>
      <c r="AJ3656" s="26"/>
      <c r="AK3656" s="5"/>
      <c r="AL3656" s="278" t="s">
        <v>6670</v>
      </c>
      <c r="AM3656" s="76"/>
      <c r="AN3656" s="76"/>
      <c r="AO3656" s="76"/>
      <c r="AP3656" s="76"/>
      <c r="AQ3656" s="76"/>
      <c r="AR3656" s="76"/>
      <c r="AS3656" s="76"/>
      <c r="AT3656" s="76"/>
      <c r="AU3656" s="76"/>
      <c r="AV3656" s="76"/>
      <c r="AW3656" s="76"/>
      <c r="AX3656" s="76">
        <f>+AW3656*600000</f>
        <v>0</v>
      </c>
      <c r="AY3656" s="76"/>
      <c r="AZ3656" s="76">
        <f>+AY3656*70000</f>
        <v>0</v>
      </c>
      <c r="BA3656" s="76"/>
      <c r="BB3656" s="76"/>
      <c r="BC3656" s="76"/>
      <c r="BD3656" s="76">
        <f>+BC3656*30000</f>
        <v>0</v>
      </c>
      <c r="BE3656" s="76"/>
      <c r="BF3656" s="76"/>
      <c r="BG3656" s="76"/>
      <c r="BH3656" s="76"/>
      <c r="BI3656" s="76"/>
      <c r="BJ3656" s="76"/>
      <c r="BK3656" s="76"/>
      <c r="BL3656" s="76">
        <f>+BK3656*31500</f>
        <v>0</v>
      </c>
      <c r="BM3656" s="76"/>
      <c r="BN3656" s="76"/>
      <c r="BO3656" s="76"/>
      <c r="BP3656" s="76"/>
      <c r="BQ3656" s="76"/>
      <c r="BR3656" s="76"/>
      <c r="BS3656" s="76"/>
      <c r="BT3656" s="76"/>
      <c r="BU3656" s="76"/>
      <c r="BV3656" s="76"/>
      <c r="BW3656" s="76"/>
      <c r="BX3656" s="76"/>
      <c r="BY3656" s="76"/>
      <c r="BZ3656" s="76"/>
      <c r="CA3656" s="76"/>
      <c r="CB3656" s="76"/>
      <c r="CC3656" s="76"/>
      <c r="CD3656" s="76"/>
      <c r="CE3656" s="76"/>
      <c r="CF3656" s="76">
        <f>+CE3656*28000</f>
        <v>0</v>
      </c>
      <c r="CG3656" s="76"/>
      <c r="CH3656" s="76">
        <f>+CG3656*22500</f>
        <v>0</v>
      </c>
      <c r="CI3656" s="76"/>
      <c r="CJ3656" s="76">
        <f>+CI3656*26000</f>
        <v>0</v>
      </c>
      <c r="CK3656" s="76"/>
      <c r="CL3656" s="76"/>
      <c r="CM3656" s="76"/>
      <c r="CN3656" s="76">
        <f>+CM3656*22000</f>
        <v>0</v>
      </c>
      <c r="CO3656" s="76"/>
      <c r="CP3656" s="76">
        <f>+CO3656*46000</f>
        <v>0</v>
      </c>
      <c r="CQ3656" s="76"/>
      <c r="CR3656" s="76">
        <f>+CQ3656*49000</f>
        <v>0</v>
      </c>
      <c r="CS3656" s="76"/>
      <c r="CT3656" s="76"/>
      <c r="CU3656" s="56">
        <f>AN3656+AP3656+AR3656+AT3656+AV3656+AX3656+AZ3656+BB3656+BD3656+BF3656+BH3656+BJ3656+BL3656+BN3656+BP3656+BR3656+BT3656+BV3656+BX3656+BZ3656+CB3656+CD3656+CF3656+CH3656+CJ3656+CL3656+CN3656+CP3656+CR3656+CT3656</f>
        <v>0</v>
      </c>
      <c r="CV3656" s="76"/>
      <c r="CW3656" s="76">
        <f>+CV3656*1100</f>
        <v>0</v>
      </c>
      <c r="CX3656" s="76"/>
      <c r="CY3656" s="76">
        <f>+CX3656*106250</f>
        <v>0</v>
      </c>
      <c r="CZ3656" s="76"/>
      <c r="DA3656" s="76">
        <f>+CZ3656*34500</f>
        <v>0</v>
      </c>
      <c r="DB3656" s="76"/>
      <c r="DC3656" s="76">
        <f>+DB3656*25000</f>
        <v>0</v>
      </c>
      <c r="DD3656" s="219"/>
      <c r="DE3656" s="219"/>
      <c r="DF3656" s="166"/>
      <c r="DG3656" s="116"/>
      <c r="DH3656" s="117"/>
      <c r="DI3656" s="24"/>
      <c r="DJ3656" s="24"/>
      <c r="DK3656" s="24"/>
      <c r="DL3656" s="24"/>
      <c r="DM3656" s="24"/>
      <c r="DN3656" s="24"/>
      <c r="DO3656" s="24"/>
      <c r="DP3656" s="24"/>
      <c r="DQ3656" s="24"/>
      <c r="DR3656" s="24"/>
      <c r="DS3656" s="24"/>
      <c r="DT3656" s="24"/>
      <c r="DU3656" s="24"/>
    </row>
    <row r="3657" spans="1:125" s="8" customFormat="1" ht="120" x14ac:dyDescent="0.2">
      <c r="A3657" s="353">
        <v>41594</v>
      </c>
      <c r="B3657" s="352" t="s">
        <v>2847</v>
      </c>
      <c r="C3657" s="354" t="s">
        <v>1734</v>
      </c>
      <c r="D3657" s="354" t="s">
        <v>3088</v>
      </c>
      <c r="E3657" s="75" t="str">
        <f>VLOOKUP(B3657&amp;C3657,Divipola!$C$2:$F$1138,4,FALSE)</f>
        <v>68432</v>
      </c>
      <c r="F3657" s="87"/>
      <c r="G3657" s="87"/>
      <c r="H3657" s="87"/>
      <c r="I3657" s="87">
        <v>5</v>
      </c>
      <c r="J3657" s="87">
        <v>1</v>
      </c>
      <c r="K3657" s="87"/>
      <c r="L3657" s="87">
        <v>1</v>
      </c>
      <c r="M3657" s="87">
        <v>1</v>
      </c>
      <c r="N3657" s="87"/>
      <c r="O3657" s="87"/>
      <c r="P3657" s="87"/>
      <c r="Q3657" s="87"/>
      <c r="R3657" s="87"/>
      <c r="S3657" s="87"/>
      <c r="T3657" s="87"/>
      <c r="U3657" s="88"/>
      <c r="V3657" s="89"/>
      <c r="W3657" s="96">
        <v>0</v>
      </c>
      <c r="X3657" s="71">
        <f>CU3657</f>
        <v>0</v>
      </c>
      <c r="Y3657" s="71">
        <f>CY3657</f>
        <v>0</v>
      </c>
      <c r="Z3657" s="71">
        <f>DA3657+DC3657+DE3657</f>
        <v>0</v>
      </c>
      <c r="AA3657" s="71">
        <f>CW3657</f>
        <v>0</v>
      </c>
      <c r="AB3657" s="71"/>
      <c r="AC3657" s="71">
        <v>0</v>
      </c>
      <c r="AD3657" s="71">
        <f>W3657+X3657+Y3657+Z3657+AA3657+AB3657+AC3657</f>
        <v>0</v>
      </c>
      <c r="AE3657" s="72">
        <v>0</v>
      </c>
      <c r="AF3657" s="5"/>
      <c r="AG3657" s="6"/>
      <c r="AH3657" s="27"/>
      <c r="AI3657" s="44"/>
      <c r="AJ3657" s="26"/>
      <c r="AK3657" s="5"/>
      <c r="AL3657" s="82" t="s">
        <v>6680</v>
      </c>
      <c r="AM3657" s="76"/>
      <c r="AN3657" s="76"/>
      <c r="AO3657" s="76"/>
      <c r="AP3657" s="76"/>
      <c r="AQ3657" s="76"/>
      <c r="AR3657" s="76"/>
      <c r="AS3657" s="76"/>
      <c r="AT3657" s="76"/>
      <c r="AU3657" s="76"/>
      <c r="AV3657" s="76"/>
      <c r="AW3657" s="76"/>
      <c r="AX3657" s="76">
        <f>+AW3657*600000</f>
        <v>0</v>
      </c>
      <c r="AY3657" s="76"/>
      <c r="AZ3657" s="76">
        <f>+AY3657*70000</f>
        <v>0</v>
      </c>
      <c r="BA3657" s="76"/>
      <c r="BB3657" s="76"/>
      <c r="BC3657" s="76"/>
      <c r="BD3657" s="76">
        <f>+BC3657*30000</f>
        <v>0</v>
      </c>
      <c r="BE3657" s="76"/>
      <c r="BF3657" s="76"/>
      <c r="BG3657" s="76"/>
      <c r="BH3657" s="76"/>
      <c r="BI3657" s="76"/>
      <c r="BJ3657" s="76"/>
      <c r="BK3657" s="76"/>
      <c r="BL3657" s="76">
        <f>+BK3657*31500</f>
        <v>0</v>
      </c>
      <c r="BM3657" s="76"/>
      <c r="BN3657" s="76"/>
      <c r="BO3657" s="76"/>
      <c r="BP3657" s="76"/>
      <c r="BQ3657" s="76"/>
      <c r="BR3657" s="76"/>
      <c r="BS3657" s="76"/>
      <c r="BT3657" s="76"/>
      <c r="BU3657" s="76"/>
      <c r="BV3657" s="76"/>
      <c r="BW3657" s="76"/>
      <c r="BX3657" s="76"/>
      <c r="BY3657" s="76"/>
      <c r="BZ3657" s="76"/>
      <c r="CA3657" s="76"/>
      <c r="CB3657" s="76"/>
      <c r="CC3657" s="76"/>
      <c r="CD3657" s="76"/>
      <c r="CE3657" s="76"/>
      <c r="CF3657" s="76">
        <f>+CE3657*28000</f>
        <v>0</v>
      </c>
      <c r="CG3657" s="76"/>
      <c r="CH3657" s="76">
        <f>+CG3657*22500</f>
        <v>0</v>
      </c>
      <c r="CI3657" s="76"/>
      <c r="CJ3657" s="76">
        <f>+CI3657*26000</f>
        <v>0</v>
      </c>
      <c r="CK3657" s="76"/>
      <c r="CL3657" s="76"/>
      <c r="CM3657" s="76"/>
      <c r="CN3657" s="76">
        <f>+CM3657*22000</f>
        <v>0</v>
      </c>
      <c r="CO3657" s="76"/>
      <c r="CP3657" s="76">
        <f>+CO3657*46000</f>
        <v>0</v>
      </c>
      <c r="CQ3657" s="76"/>
      <c r="CR3657" s="76">
        <f>+CQ3657*49000</f>
        <v>0</v>
      </c>
      <c r="CS3657" s="76"/>
      <c r="CT3657" s="76"/>
      <c r="CU3657" s="56">
        <f>AN3657+AP3657+AR3657+AT3657+AV3657+AX3657+AZ3657+BB3657+BD3657+BF3657+BH3657+BJ3657+BL3657+BN3657+BP3657+BR3657+BT3657+BV3657+BX3657+BZ3657+CB3657+CD3657+CF3657+CH3657+CJ3657+CL3657+CN3657+CP3657+CR3657+CT3657</f>
        <v>0</v>
      </c>
      <c r="CV3657" s="76"/>
      <c r="CW3657" s="76">
        <f>+CV3657*1100</f>
        <v>0</v>
      </c>
      <c r="CX3657" s="76"/>
      <c r="CY3657" s="76">
        <f>+CX3657*106250</f>
        <v>0</v>
      </c>
      <c r="CZ3657" s="76"/>
      <c r="DA3657" s="76">
        <f>+CZ3657*34500</f>
        <v>0</v>
      </c>
      <c r="DB3657" s="76"/>
      <c r="DC3657" s="76">
        <f>+DB3657*25000</f>
        <v>0</v>
      </c>
      <c r="DD3657" s="219"/>
      <c r="DE3657" s="219"/>
      <c r="DF3657" s="166"/>
      <c r="DG3657" s="116"/>
      <c r="DH3657" s="117"/>
      <c r="DI3657" s="24"/>
      <c r="DJ3657" s="24"/>
      <c r="DK3657" s="24"/>
      <c r="DL3657" s="24"/>
      <c r="DM3657" s="24"/>
      <c r="DN3657" s="24"/>
      <c r="DO3657" s="24"/>
      <c r="DP3657" s="24"/>
      <c r="DQ3657" s="24"/>
      <c r="DR3657" s="24"/>
      <c r="DS3657" s="24"/>
      <c r="DT3657" s="24"/>
      <c r="DU3657" s="24"/>
    </row>
    <row r="3658" spans="1:125" s="8" customFormat="1" ht="72" x14ac:dyDescent="0.2">
      <c r="A3658" s="353">
        <v>41594</v>
      </c>
      <c r="B3658" s="352" t="s">
        <v>2847</v>
      </c>
      <c r="C3658" s="354" t="s">
        <v>2137</v>
      </c>
      <c r="D3658" s="354" t="s">
        <v>2859</v>
      </c>
      <c r="E3658" s="75" t="str">
        <f>VLOOKUP(B3658&amp;C3658,Divipola!$C$2:$F$1138,4,FALSE)</f>
        <v>68745</v>
      </c>
      <c r="F3658" s="87"/>
      <c r="G3658" s="87"/>
      <c r="H3658" s="87"/>
      <c r="I3658" s="87"/>
      <c r="J3658" s="87"/>
      <c r="K3658" s="87"/>
      <c r="L3658" s="87"/>
      <c r="M3658" s="87"/>
      <c r="N3658" s="87"/>
      <c r="O3658" s="87"/>
      <c r="P3658" s="87"/>
      <c r="Q3658" s="87"/>
      <c r="R3658" s="87"/>
      <c r="S3658" s="87"/>
      <c r="T3658" s="87"/>
      <c r="U3658" s="88"/>
      <c r="V3658" s="89">
        <v>1</v>
      </c>
      <c r="W3658" s="96">
        <v>0</v>
      </c>
      <c r="X3658" s="71">
        <f>CU3658</f>
        <v>0</v>
      </c>
      <c r="Y3658" s="71">
        <f>CY3658</f>
        <v>0</v>
      </c>
      <c r="Z3658" s="71">
        <f>DA3658+DC3658+DE3658</f>
        <v>0</v>
      </c>
      <c r="AA3658" s="71">
        <f>CW3658</f>
        <v>0</v>
      </c>
      <c r="AB3658" s="71"/>
      <c r="AC3658" s="71">
        <v>0</v>
      </c>
      <c r="AD3658" s="71">
        <f>W3658+X3658+Y3658+Z3658+AA3658+AB3658+AC3658</f>
        <v>0</v>
      </c>
      <c r="AE3658" s="72">
        <v>0</v>
      </c>
      <c r="AF3658" s="5"/>
      <c r="AG3658" s="6"/>
      <c r="AH3658" s="27"/>
      <c r="AI3658" s="44"/>
      <c r="AJ3658" s="26"/>
      <c r="AK3658" s="5"/>
      <c r="AL3658" s="82" t="s">
        <v>6671</v>
      </c>
      <c r="AM3658" s="76"/>
      <c r="AN3658" s="76"/>
      <c r="AO3658" s="76"/>
      <c r="AP3658" s="76"/>
      <c r="AQ3658" s="76"/>
      <c r="AR3658" s="76"/>
      <c r="AS3658" s="76"/>
      <c r="AT3658" s="76"/>
      <c r="AU3658" s="76"/>
      <c r="AV3658" s="76"/>
      <c r="AW3658" s="76"/>
      <c r="AX3658" s="76">
        <f>+AW3658*600000</f>
        <v>0</v>
      </c>
      <c r="AY3658" s="76"/>
      <c r="AZ3658" s="76">
        <f>+AY3658*70000</f>
        <v>0</v>
      </c>
      <c r="BA3658" s="76"/>
      <c r="BB3658" s="76"/>
      <c r="BC3658" s="76"/>
      <c r="BD3658" s="76">
        <f>+BC3658*30000</f>
        <v>0</v>
      </c>
      <c r="BE3658" s="76"/>
      <c r="BF3658" s="76"/>
      <c r="BG3658" s="76"/>
      <c r="BH3658" s="76"/>
      <c r="BI3658" s="76"/>
      <c r="BJ3658" s="76"/>
      <c r="BK3658" s="76"/>
      <c r="BL3658" s="76">
        <f>+BK3658*31500</f>
        <v>0</v>
      </c>
      <c r="BM3658" s="76"/>
      <c r="BN3658" s="76"/>
      <c r="BO3658" s="76"/>
      <c r="BP3658" s="76"/>
      <c r="BQ3658" s="76"/>
      <c r="BR3658" s="76"/>
      <c r="BS3658" s="76"/>
      <c r="BT3658" s="76"/>
      <c r="BU3658" s="76"/>
      <c r="BV3658" s="76"/>
      <c r="BW3658" s="76"/>
      <c r="BX3658" s="76"/>
      <c r="BY3658" s="76"/>
      <c r="BZ3658" s="76"/>
      <c r="CA3658" s="76"/>
      <c r="CB3658" s="76"/>
      <c r="CC3658" s="76"/>
      <c r="CD3658" s="76"/>
      <c r="CE3658" s="76"/>
      <c r="CF3658" s="76">
        <f>+CE3658*28000</f>
        <v>0</v>
      </c>
      <c r="CG3658" s="76"/>
      <c r="CH3658" s="76">
        <f>+CG3658*22500</f>
        <v>0</v>
      </c>
      <c r="CI3658" s="76"/>
      <c r="CJ3658" s="76">
        <f>+CI3658*26000</f>
        <v>0</v>
      </c>
      <c r="CK3658" s="76"/>
      <c r="CL3658" s="76"/>
      <c r="CM3658" s="76"/>
      <c r="CN3658" s="76">
        <f>+CM3658*22000</f>
        <v>0</v>
      </c>
      <c r="CO3658" s="76"/>
      <c r="CP3658" s="76">
        <f>+CO3658*46000</f>
        <v>0</v>
      </c>
      <c r="CQ3658" s="76"/>
      <c r="CR3658" s="76">
        <f>+CQ3658*49000</f>
        <v>0</v>
      </c>
      <c r="CS3658" s="76"/>
      <c r="CT3658" s="76"/>
      <c r="CU3658" s="56">
        <f>AN3658+AP3658+AR3658+AT3658+AV3658+AX3658+AZ3658+BB3658+BD3658+BF3658+BH3658+BJ3658+BL3658+BN3658+BP3658+BR3658+BT3658+BV3658+BX3658+BZ3658+CB3658+CD3658+CF3658+CH3658+CJ3658+CL3658+CN3658+CP3658+CR3658+CT3658</f>
        <v>0</v>
      </c>
      <c r="CV3658" s="76"/>
      <c r="CW3658" s="76">
        <f>+CV3658*1100</f>
        <v>0</v>
      </c>
      <c r="CX3658" s="76"/>
      <c r="CY3658" s="76">
        <f>+CX3658*106250</f>
        <v>0</v>
      </c>
      <c r="CZ3658" s="76"/>
      <c r="DA3658" s="76">
        <f>+CZ3658*34500</f>
        <v>0</v>
      </c>
      <c r="DB3658" s="76"/>
      <c r="DC3658" s="76">
        <f>+DB3658*25000</f>
        <v>0</v>
      </c>
      <c r="DD3658" s="219"/>
      <c r="DE3658" s="219"/>
      <c r="DF3658" s="166"/>
      <c r="DG3658" s="116"/>
      <c r="DH3658" s="117"/>
      <c r="DI3658" s="24"/>
      <c r="DJ3658" s="24"/>
      <c r="DK3658" s="24"/>
      <c r="DL3658" s="24"/>
      <c r="DM3658" s="24"/>
      <c r="DN3658" s="24"/>
      <c r="DO3658" s="24"/>
      <c r="DP3658" s="24"/>
      <c r="DQ3658" s="24"/>
      <c r="DR3658" s="24"/>
      <c r="DS3658" s="24"/>
      <c r="DT3658" s="24"/>
      <c r="DU3658" s="24"/>
    </row>
    <row r="3659" spans="1:125" s="8" customFormat="1" ht="36" x14ac:dyDescent="0.2">
      <c r="A3659" s="353">
        <v>41594</v>
      </c>
      <c r="B3659" s="352" t="s">
        <v>2852</v>
      </c>
      <c r="C3659" s="354" t="s">
        <v>1278</v>
      </c>
      <c r="D3659" s="354" t="s">
        <v>2859</v>
      </c>
      <c r="E3659" s="75" t="str">
        <f>VLOOKUP(B3659&amp;C3659,Divipola!$C$2:$F$1138,4,FALSE)</f>
        <v>27135</v>
      </c>
      <c r="F3659" s="87"/>
      <c r="G3659" s="87"/>
      <c r="H3659" s="87"/>
      <c r="I3659" s="87">
        <v>15</v>
      </c>
      <c r="J3659" s="87">
        <v>3</v>
      </c>
      <c r="K3659" s="87">
        <v>3</v>
      </c>
      <c r="L3659" s="87"/>
      <c r="M3659" s="87"/>
      <c r="N3659" s="87"/>
      <c r="O3659" s="87"/>
      <c r="P3659" s="87"/>
      <c r="Q3659" s="87"/>
      <c r="R3659" s="87"/>
      <c r="S3659" s="87"/>
      <c r="T3659" s="87"/>
      <c r="U3659" s="88"/>
      <c r="V3659" s="89"/>
      <c r="W3659" s="96">
        <v>0</v>
      </c>
      <c r="X3659" s="71">
        <f>CU3659</f>
        <v>0</v>
      </c>
      <c r="Y3659" s="71">
        <f>CY3659</f>
        <v>0</v>
      </c>
      <c r="Z3659" s="71">
        <f>DA3659+DC3659+DE3659</f>
        <v>0</v>
      </c>
      <c r="AA3659" s="71">
        <f>CW3659</f>
        <v>0</v>
      </c>
      <c r="AB3659" s="71"/>
      <c r="AC3659" s="71">
        <v>0</v>
      </c>
      <c r="AD3659" s="71">
        <f>W3659+X3659+Y3659+Z3659+AA3659+AB3659+AC3659</f>
        <v>0</v>
      </c>
      <c r="AE3659" s="72">
        <v>0</v>
      </c>
      <c r="AF3659" s="5"/>
      <c r="AG3659" s="6"/>
      <c r="AH3659" s="27"/>
      <c r="AI3659" s="44"/>
      <c r="AJ3659" s="26"/>
      <c r="AK3659" s="5"/>
      <c r="AL3659" s="82" t="s">
        <v>6672</v>
      </c>
      <c r="AM3659" s="76"/>
      <c r="AN3659" s="76"/>
      <c r="AO3659" s="76"/>
      <c r="AP3659" s="76"/>
      <c r="AQ3659" s="76"/>
      <c r="AR3659" s="76"/>
      <c r="AS3659" s="76"/>
      <c r="AT3659" s="76"/>
      <c r="AU3659" s="76"/>
      <c r="AV3659" s="76"/>
      <c r="AW3659" s="76"/>
      <c r="AX3659" s="76">
        <f>+AW3659*600000</f>
        <v>0</v>
      </c>
      <c r="AY3659" s="76"/>
      <c r="AZ3659" s="76">
        <f>+AY3659*70000</f>
        <v>0</v>
      </c>
      <c r="BA3659" s="76"/>
      <c r="BB3659" s="76"/>
      <c r="BC3659" s="76"/>
      <c r="BD3659" s="76">
        <f>+BC3659*30000</f>
        <v>0</v>
      </c>
      <c r="BE3659" s="76"/>
      <c r="BF3659" s="76"/>
      <c r="BG3659" s="76"/>
      <c r="BH3659" s="76"/>
      <c r="BI3659" s="76"/>
      <c r="BJ3659" s="76"/>
      <c r="BK3659" s="76"/>
      <c r="BL3659" s="76">
        <f>+BK3659*31500</f>
        <v>0</v>
      </c>
      <c r="BM3659" s="76"/>
      <c r="BN3659" s="76"/>
      <c r="BO3659" s="76"/>
      <c r="BP3659" s="76"/>
      <c r="BQ3659" s="76"/>
      <c r="BR3659" s="76"/>
      <c r="BS3659" s="76"/>
      <c r="BT3659" s="76"/>
      <c r="BU3659" s="76"/>
      <c r="BV3659" s="76"/>
      <c r="BW3659" s="76"/>
      <c r="BX3659" s="76"/>
      <c r="BY3659" s="76"/>
      <c r="BZ3659" s="76"/>
      <c r="CA3659" s="76"/>
      <c r="CB3659" s="76"/>
      <c r="CC3659" s="76"/>
      <c r="CD3659" s="76"/>
      <c r="CE3659" s="76"/>
      <c r="CF3659" s="76">
        <f>+CE3659*28000</f>
        <v>0</v>
      </c>
      <c r="CG3659" s="76"/>
      <c r="CH3659" s="76">
        <f>+CG3659*22500</f>
        <v>0</v>
      </c>
      <c r="CI3659" s="76"/>
      <c r="CJ3659" s="76">
        <f>+CI3659*26000</f>
        <v>0</v>
      </c>
      <c r="CK3659" s="76"/>
      <c r="CL3659" s="76"/>
      <c r="CM3659" s="76"/>
      <c r="CN3659" s="76">
        <f>+CM3659*22000</f>
        <v>0</v>
      </c>
      <c r="CO3659" s="76"/>
      <c r="CP3659" s="76">
        <f>+CO3659*46000</f>
        <v>0</v>
      </c>
      <c r="CQ3659" s="76"/>
      <c r="CR3659" s="76">
        <f>+CQ3659*49000</f>
        <v>0</v>
      </c>
      <c r="CS3659" s="76"/>
      <c r="CT3659" s="76"/>
      <c r="CU3659" s="56">
        <f>AN3659+AP3659+AR3659+AT3659+AV3659+AX3659+AZ3659+BB3659+BD3659+BF3659+BH3659+BJ3659+BL3659+BN3659+BP3659+BR3659+BT3659+BV3659+BX3659+BZ3659+CB3659+CD3659+CF3659+CH3659+CJ3659+CL3659+CN3659+CP3659+CR3659+CT3659</f>
        <v>0</v>
      </c>
      <c r="CV3659" s="76"/>
      <c r="CW3659" s="76">
        <f>+CV3659*1100</f>
        <v>0</v>
      </c>
      <c r="CX3659" s="76"/>
      <c r="CY3659" s="76">
        <f>+CX3659*106250</f>
        <v>0</v>
      </c>
      <c r="CZ3659" s="76"/>
      <c r="DA3659" s="76">
        <f>+CZ3659*34500</f>
        <v>0</v>
      </c>
      <c r="DB3659" s="76"/>
      <c r="DC3659" s="76">
        <f>+DB3659*25000</f>
        <v>0</v>
      </c>
      <c r="DD3659" s="219"/>
      <c r="DE3659" s="219"/>
      <c r="DF3659" s="166"/>
      <c r="DG3659" s="116"/>
      <c r="DH3659" s="117"/>
      <c r="DI3659" s="24"/>
      <c r="DJ3659" s="24"/>
      <c r="DK3659" s="24"/>
      <c r="DL3659" s="24"/>
      <c r="DM3659" s="24"/>
      <c r="DN3659" s="24"/>
      <c r="DO3659" s="24"/>
      <c r="DP3659" s="24"/>
      <c r="DQ3659" s="24"/>
      <c r="DR3659" s="24"/>
      <c r="DS3659" s="24"/>
      <c r="DT3659" s="24"/>
      <c r="DU3659" s="24"/>
    </row>
    <row r="3660" spans="1:125" s="8" customFormat="1" ht="288" x14ac:dyDescent="0.2">
      <c r="A3660" s="5">
        <v>41594</v>
      </c>
      <c r="B3660" s="84" t="s">
        <v>2854</v>
      </c>
      <c r="C3660" s="84" t="s">
        <v>2738</v>
      </c>
      <c r="D3660" s="75" t="s">
        <v>2882</v>
      </c>
      <c r="E3660" s="75" t="str">
        <f>VLOOKUP(B3660&amp;C3660,Divipola!$C$2:$F$1138,4,FALSE)</f>
        <v>19473</v>
      </c>
      <c r="F3660" s="89"/>
      <c r="G3660" s="89"/>
      <c r="H3660" s="89"/>
      <c r="I3660" s="89">
        <v>1523</v>
      </c>
      <c r="J3660" s="89">
        <v>526</v>
      </c>
      <c r="K3660" s="89"/>
      <c r="L3660" s="89">
        <v>526</v>
      </c>
      <c r="M3660" s="89"/>
      <c r="N3660" s="89"/>
      <c r="O3660" s="89"/>
      <c r="P3660" s="89"/>
      <c r="Q3660" s="89"/>
      <c r="R3660" s="89"/>
      <c r="S3660" s="89">
        <v>2</v>
      </c>
      <c r="T3660" s="89"/>
      <c r="U3660" s="89">
        <v>33.57</v>
      </c>
      <c r="V3660" s="89"/>
      <c r="W3660" s="96">
        <v>0</v>
      </c>
      <c r="X3660" s="71">
        <f>CU3660</f>
        <v>0</v>
      </c>
      <c r="Y3660" s="71">
        <f>CY3660</f>
        <v>0</v>
      </c>
      <c r="Z3660" s="71">
        <f>DA3660+DC3660+DE3660</f>
        <v>0</v>
      </c>
      <c r="AA3660" s="71">
        <f>CW3660</f>
        <v>0</v>
      </c>
      <c r="AB3660" s="71"/>
      <c r="AC3660" s="71">
        <v>0</v>
      </c>
      <c r="AD3660" s="71">
        <f>W3660+X3660+Y3660+Z3660+AA3660+AB3660+AC3660</f>
        <v>0</v>
      </c>
      <c r="AE3660" s="72">
        <v>0</v>
      </c>
      <c r="AF3660" s="5"/>
      <c r="AG3660" s="6"/>
      <c r="AH3660" s="27"/>
      <c r="AI3660" s="44"/>
      <c r="AJ3660" s="26"/>
      <c r="AK3660" s="5"/>
      <c r="AL3660" s="278" t="s">
        <v>6933</v>
      </c>
      <c r="AM3660" s="76"/>
      <c r="AN3660" s="76"/>
      <c r="AO3660" s="76"/>
      <c r="AP3660" s="76"/>
      <c r="AQ3660" s="76"/>
      <c r="AR3660" s="76"/>
      <c r="AS3660" s="76"/>
      <c r="AT3660" s="76"/>
      <c r="AU3660" s="76"/>
      <c r="AV3660" s="76"/>
      <c r="AW3660" s="76"/>
      <c r="AX3660" s="76">
        <f>+AW3660*600000</f>
        <v>0</v>
      </c>
      <c r="AY3660" s="76"/>
      <c r="AZ3660" s="76">
        <f>+AY3660*70000</f>
        <v>0</v>
      </c>
      <c r="BA3660" s="76"/>
      <c r="BB3660" s="76"/>
      <c r="BC3660" s="76"/>
      <c r="BD3660" s="76">
        <f>+BC3660*30000</f>
        <v>0</v>
      </c>
      <c r="BE3660" s="76"/>
      <c r="BF3660" s="76"/>
      <c r="BG3660" s="76"/>
      <c r="BH3660" s="76"/>
      <c r="BI3660" s="76"/>
      <c r="BJ3660" s="76"/>
      <c r="BK3660" s="76"/>
      <c r="BL3660" s="76">
        <f>+BK3660*31500</f>
        <v>0</v>
      </c>
      <c r="BM3660" s="76"/>
      <c r="BN3660" s="76"/>
      <c r="BO3660" s="76"/>
      <c r="BP3660" s="76"/>
      <c r="BQ3660" s="76"/>
      <c r="BR3660" s="76"/>
      <c r="BS3660" s="76"/>
      <c r="BT3660" s="76"/>
      <c r="BU3660" s="76"/>
      <c r="BV3660" s="76"/>
      <c r="BW3660" s="76"/>
      <c r="BX3660" s="76"/>
      <c r="BY3660" s="76"/>
      <c r="BZ3660" s="76"/>
      <c r="CA3660" s="76"/>
      <c r="CB3660" s="76"/>
      <c r="CC3660" s="76"/>
      <c r="CD3660" s="76"/>
      <c r="CE3660" s="76"/>
      <c r="CF3660" s="76">
        <f>+CE3660*28000</f>
        <v>0</v>
      </c>
      <c r="CG3660" s="76"/>
      <c r="CH3660" s="76">
        <f>+CG3660*22500</f>
        <v>0</v>
      </c>
      <c r="CI3660" s="76"/>
      <c r="CJ3660" s="76">
        <f>+CI3660*26000</f>
        <v>0</v>
      </c>
      <c r="CK3660" s="76"/>
      <c r="CL3660" s="76"/>
      <c r="CM3660" s="76"/>
      <c r="CN3660" s="76">
        <f>+CM3660*22000</f>
        <v>0</v>
      </c>
      <c r="CO3660" s="76"/>
      <c r="CP3660" s="76">
        <f>+CO3660*46000</f>
        <v>0</v>
      </c>
      <c r="CQ3660" s="76"/>
      <c r="CR3660" s="76">
        <f>+CQ3660*49000</f>
        <v>0</v>
      </c>
      <c r="CS3660" s="76"/>
      <c r="CT3660" s="76"/>
      <c r="CU3660" s="56">
        <f>AN3660+AP3660+AR3660+AT3660+AV3660+AX3660+AZ3660+BB3660+BD3660+BF3660+BH3660+BJ3660+BL3660+BN3660+BP3660+BR3660+BT3660+BV3660+BX3660+BZ3660+CB3660+CD3660+CF3660+CH3660+CJ3660+CL3660+CN3660+CP3660+CR3660+CT3660</f>
        <v>0</v>
      </c>
      <c r="CV3660" s="76"/>
      <c r="CW3660" s="76">
        <f>+CV3660*1100</f>
        <v>0</v>
      </c>
      <c r="CX3660" s="76"/>
      <c r="CY3660" s="76">
        <f>+CX3660*106250</f>
        <v>0</v>
      </c>
      <c r="CZ3660" s="76"/>
      <c r="DA3660" s="76">
        <f>+CZ3660*34500</f>
        <v>0</v>
      </c>
      <c r="DB3660" s="76"/>
      <c r="DC3660" s="76">
        <f>+DB3660*25000</f>
        <v>0</v>
      </c>
      <c r="DD3660" s="219"/>
      <c r="DE3660" s="219"/>
      <c r="DF3660" s="166"/>
      <c r="DG3660" s="116"/>
      <c r="DH3660" s="117"/>
      <c r="DI3660" s="24"/>
      <c r="DJ3660" s="24"/>
      <c r="DK3660" s="24"/>
      <c r="DL3660" s="24"/>
      <c r="DM3660" s="24"/>
      <c r="DN3660" s="24"/>
      <c r="DO3660" s="24"/>
      <c r="DP3660" s="24"/>
      <c r="DQ3660" s="24"/>
      <c r="DR3660" s="24"/>
      <c r="DS3660" s="24"/>
      <c r="DT3660" s="24"/>
      <c r="DU3660" s="24"/>
    </row>
    <row r="3661" spans="1:125" s="8" customFormat="1" ht="84" x14ac:dyDescent="0.2">
      <c r="A3661" s="353">
        <v>41594</v>
      </c>
      <c r="B3661" s="208" t="s">
        <v>2847</v>
      </c>
      <c r="C3661" s="354" t="s">
        <v>479</v>
      </c>
      <c r="D3661" s="354" t="s">
        <v>2846</v>
      </c>
      <c r="E3661" s="75" t="str">
        <f>VLOOKUP(B3661&amp;C3661,Divipola!$C$2:$F$1138,4,FALSE)</f>
        <v>68547</v>
      </c>
      <c r="F3661" s="87"/>
      <c r="G3661" s="87"/>
      <c r="H3661" s="87"/>
      <c r="I3661" s="87"/>
      <c r="J3661" s="87"/>
      <c r="K3661" s="87"/>
      <c r="L3661" s="87"/>
      <c r="M3661" s="87"/>
      <c r="N3661" s="87"/>
      <c r="O3661" s="87"/>
      <c r="P3661" s="87"/>
      <c r="Q3661" s="87"/>
      <c r="R3661" s="87"/>
      <c r="S3661" s="87"/>
      <c r="T3661" s="87"/>
      <c r="U3661" s="88">
        <v>25</v>
      </c>
      <c r="V3661" s="89"/>
      <c r="W3661" s="96">
        <v>0</v>
      </c>
      <c r="X3661" s="71">
        <f>CU3661</f>
        <v>0</v>
      </c>
      <c r="Y3661" s="71">
        <f>CY3661</f>
        <v>0</v>
      </c>
      <c r="Z3661" s="71">
        <f>DA3661+DC3661+DE3661</f>
        <v>0</v>
      </c>
      <c r="AA3661" s="71">
        <f>CW3661</f>
        <v>0</v>
      </c>
      <c r="AB3661" s="71"/>
      <c r="AC3661" s="71">
        <v>0</v>
      </c>
      <c r="AD3661" s="71">
        <f>W3661+X3661+Y3661+Z3661+AA3661+AB3661+AC3661</f>
        <v>0</v>
      </c>
      <c r="AE3661" s="72">
        <v>0</v>
      </c>
      <c r="AF3661" s="5"/>
      <c r="AG3661" s="6"/>
      <c r="AH3661" s="27"/>
      <c r="AI3661" s="44"/>
      <c r="AJ3661" s="26"/>
      <c r="AK3661" s="5"/>
      <c r="AL3661" s="82" t="s">
        <v>6679</v>
      </c>
      <c r="AM3661" s="76"/>
      <c r="AN3661" s="76"/>
      <c r="AO3661" s="76"/>
      <c r="AP3661" s="76"/>
      <c r="AQ3661" s="76"/>
      <c r="AR3661" s="76"/>
      <c r="AS3661" s="76"/>
      <c r="AT3661" s="76"/>
      <c r="AU3661" s="76"/>
      <c r="AV3661" s="76"/>
      <c r="AW3661" s="76"/>
      <c r="AX3661" s="76">
        <f>+AW3661*600000</f>
        <v>0</v>
      </c>
      <c r="AY3661" s="76"/>
      <c r="AZ3661" s="76">
        <f>+AY3661*70000</f>
        <v>0</v>
      </c>
      <c r="BA3661" s="76"/>
      <c r="BB3661" s="76"/>
      <c r="BC3661" s="76"/>
      <c r="BD3661" s="76">
        <f>+BC3661*30000</f>
        <v>0</v>
      </c>
      <c r="BE3661" s="76"/>
      <c r="BF3661" s="76"/>
      <c r="BG3661" s="76"/>
      <c r="BH3661" s="76"/>
      <c r="BI3661" s="76"/>
      <c r="BJ3661" s="76"/>
      <c r="BK3661" s="76"/>
      <c r="BL3661" s="76">
        <f>+BK3661*31500</f>
        <v>0</v>
      </c>
      <c r="BM3661" s="76"/>
      <c r="BN3661" s="76"/>
      <c r="BO3661" s="76"/>
      <c r="BP3661" s="76"/>
      <c r="BQ3661" s="76"/>
      <c r="BR3661" s="76"/>
      <c r="BS3661" s="76"/>
      <c r="BT3661" s="76"/>
      <c r="BU3661" s="76"/>
      <c r="BV3661" s="76"/>
      <c r="BW3661" s="76"/>
      <c r="BX3661" s="76"/>
      <c r="BY3661" s="76"/>
      <c r="BZ3661" s="76"/>
      <c r="CA3661" s="76"/>
      <c r="CB3661" s="76"/>
      <c r="CC3661" s="76"/>
      <c r="CD3661" s="76"/>
      <c r="CE3661" s="76"/>
      <c r="CF3661" s="76">
        <f>+CE3661*28000</f>
        <v>0</v>
      </c>
      <c r="CG3661" s="76"/>
      <c r="CH3661" s="76">
        <f>+CG3661*22500</f>
        <v>0</v>
      </c>
      <c r="CI3661" s="76"/>
      <c r="CJ3661" s="76">
        <f>+CI3661*26000</f>
        <v>0</v>
      </c>
      <c r="CK3661" s="76"/>
      <c r="CL3661" s="76"/>
      <c r="CM3661" s="76"/>
      <c r="CN3661" s="76">
        <f>+CM3661*22000</f>
        <v>0</v>
      </c>
      <c r="CO3661" s="76"/>
      <c r="CP3661" s="76">
        <f>+CO3661*46000</f>
        <v>0</v>
      </c>
      <c r="CQ3661" s="76"/>
      <c r="CR3661" s="76">
        <f>+CQ3661*49000</f>
        <v>0</v>
      </c>
      <c r="CS3661" s="76"/>
      <c r="CT3661" s="76"/>
      <c r="CU3661" s="56">
        <f>AN3661+AP3661+AR3661+AT3661+AV3661+AX3661+AZ3661+BB3661+BD3661+BF3661+BH3661+BJ3661+BL3661+BN3661+BP3661+BR3661+BT3661+BV3661+BX3661+BZ3661+CB3661+CD3661+CF3661+CH3661+CJ3661+CL3661+CN3661+CP3661+CR3661+CT3661</f>
        <v>0</v>
      </c>
      <c r="CV3661" s="76"/>
      <c r="CW3661" s="76">
        <f>+CV3661*1100</f>
        <v>0</v>
      </c>
      <c r="CX3661" s="76"/>
      <c r="CY3661" s="76">
        <f>+CX3661*106250</f>
        <v>0</v>
      </c>
      <c r="CZ3661" s="76"/>
      <c r="DA3661" s="76">
        <f>+CZ3661*34500</f>
        <v>0</v>
      </c>
      <c r="DB3661" s="76"/>
      <c r="DC3661" s="76">
        <f>+DB3661*25000</f>
        <v>0</v>
      </c>
      <c r="DD3661" s="219"/>
      <c r="DE3661" s="219"/>
      <c r="DF3661" s="166"/>
      <c r="DG3661" s="116"/>
      <c r="DH3661" s="117"/>
      <c r="DI3661" s="24"/>
      <c r="DJ3661" s="24"/>
      <c r="DK3661" s="24"/>
      <c r="DL3661" s="24"/>
      <c r="DM3661" s="24"/>
      <c r="DN3661" s="24"/>
      <c r="DO3661" s="24"/>
      <c r="DP3661" s="24"/>
      <c r="DQ3661" s="24"/>
      <c r="DR3661" s="24"/>
      <c r="DS3661" s="24"/>
      <c r="DT3661" s="24"/>
      <c r="DU3661" s="24"/>
    </row>
    <row r="3662" spans="1:125" s="8" customFormat="1" ht="72" x14ac:dyDescent="0.2">
      <c r="A3662" s="77">
        <v>41594</v>
      </c>
      <c r="B3662" s="78" t="s">
        <v>2847</v>
      </c>
      <c r="C3662" s="83" t="s">
        <v>318</v>
      </c>
      <c r="D3662" s="75" t="s">
        <v>4391</v>
      </c>
      <c r="E3662" s="75" t="str">
        <f>VLOOKUP(B3662&amp;C3662,Divipola!$C$2:$F$1138,4,FALSE)</f>
        <v>68167</v>
      </c>
      <c r="F3662" s="93">
        <v>2</v>
      </c>
      <c r="G3662" s="93"/>
      <c r="H3662" s="93"/>
      <c r="I3662" s="93">
        <v>2</v>
      </c>
      <c r="J3662" s="93"/>
      <c r="K3662" s="93"/>
      <c r="L3662" s="93"/>
      <c r="M3662" s="93"/>
      <c r="N3662" s="93"/>
      <c r="O3662" s="93"/>
      <c r="P3662" s="93"/>
      <c r="Q3662" s="93"/>
      <c r="R3662" s="93"/>
      <c r="S3662" s="93"/>
      <c r="T3662" s="93"/>
      <c r="U3662" s="93"/>
      <c r="V3662" s="89"/>
      <c r="W3662" s="96">
        <v>0</v>
      </c>
      <c r="X3662" s="71">
        <f>CU3662</f>
        <v>0</v>
      </c>
      <c r="Y3662" s="71">
        <f>CY3662</f>
        <v>0</v>
      </c>
      <c r="Z3662" s="71">
        <f>DA3662+DC3662+DE3662</f>
        <v>0</v>
      </c>
      <c r="AA3662" s="71">
        <f>CW3662</f>
        <v>0</v>
      </c>
      <c r="AB3662" s="71"/>
      <c r="AC3662" s="71">
        <v>0</v>
      </c>
      <c r="AD3662" s="71">
        <f>W3662+X3662+Y3662+Z3662+AA3662+AB3662+AC3662</f>
        <v>0</v>
      </c>
      <c r="AE3662" s="72">
        <v>0</v>
      </c>
      <c r="AF3662" s="5"/>
      <c r="AG3662" s="6"/>
      <c r="AH3662" s="27"/>
      <c r="AI3662" s="44"/>
      <c r="AJ3662" s="26"/>
      <c r="AK3662" s="5"/>
      <c r="AL3662" s="82" t="s">
        <v>6682</v>
      </c>
      <c r="AM3662" s="76"/>
      <c r="AN3662" s="76"/>
      <c r="AO3662" s="76"/>
      <c r="AP3662" s="76"/>
      <c r="AQ3662" s="76"/>
      <c r="AR3662" s="76"/>
      <c r="AS3662" s="76"/>
      <c r="AT3662" s="76"/>
      <c r="AU3662" s="76"/>
      <c r="AV3662" s="76"/>
      <c r="AW3662" s="76"/>
      <c r="AX3662" s="76">
        <f>+AW3662*600000</f>
        <v>0</v>
      </c>
      <c r="AY3662" s="76"/>
      <c r="AZ3662" s="76">
        <f>+AY3662*70000</f>
        <v>0</v>
      </c>
      <c r="BA3662" s="76"/>
      <c r="BB3662" s="76"/>
      <c r="BC3662" s="76"/>
      <c r="BD3662" s="76">
        <f>+BC3662*30000</f>
        <v>0</v>
      </c>
      <c r="BE3662" s="76"/>
      <c r="BF3662" s="76"/>
      <c r="BG3662" s="76"/>
      <c r="BH3662" s="76"/>
      <c r="BI3662" s="76"/>
      <c r="BJ3662" s="76"/>
      <c r="BK3662" s="76"/>
      <c r="BL3662" s="76">
        <f>+BK3662*31500</f>
        <v>0</v>
      </c>
      <c r="BM3662" s="76"/>
      <c r="BN3662" s="76"/>
      <c r="BO3662" s="76"/>
      <c r="BP3662" s="76"/>
      <c r="BQ3662" s="76"/>
      <c r="BR3662" s="76"/>
      <c r="BS3662" s="76"/>
      <c r="BT3662" s="76"/>
      <c r="BU3662" s="76"/>
      <c r="BV3662" s="76"/>
      <c r="BW3662" s="76"/>
      <c r="BX3662" s="76"/>
      <c r="BY3662" s="76"/>
      <c r="BZ3662" s="76"/>
      <c r="CA3662" s="76"/>
      <c r="CB3662" s="76"/>
      <c r="CC3662" s="76"/>
      <c r="CD3662" s="76"/>
      <c r="CE3662" s="76"/>
      <c r="CF3662" s="76">
        <f>+CE3662*28000</f>
        <v>0</v>
      </c>
      <c r="CG3662" s="76"/>
      <c r="CH3662" s="76">
        <f>+CG3662*22500</f>
        <v>0</v>
      </c>
      <c r="CI3662" s="76"/>
      <c r="CJ3662" s="76">
        <f>+CI3662*26000</f>
        <v>0</v>
      </c>
      <c r="CK3662" s="76"/>
      <c r="CL3662" s="76"/>
      <c r="CM3662" s="76"/>
      <c r="CN3662" s="76">
        <f>+CM3662*22000</f>
        <v>0</v>
      </c>
      <c r="CO3662" s="76"/>
      <c r="CP3662" s="76">
        <f>+CO3662*46000</f>
        <v>0</v>
      </c>
      <c r="CQ3662" s="76"/>
      <c r="CR3662" s="76">
        <f>+CQ3662*49000</f>
        <v>0</v>
      </c>
      <c r="CS3662" s="76"/>
      <c r="CT3662" s="76"/>
      <c r="CU3662" s="56">
        <f>AN3662+AP3662+AR3662+AT3662+AV3662+AX3662+AZ3662+BB3662+BD3662+BF3662+BH3662+BJ3662+BL3662+BN3662+BP3662+BR3662+BT3662+BV3662+BX3662+BZ3662+CB3662+CD3662+CF3662+CH3662+CJ3662+CL3662+CN3662+CP3662+CR3662+CT3662</f>
        <v>0</v>
      </c>
      <c r="CV3662" s="76"/>
      <c r="CW3662" s="76">
        <f>+CV3662*1100</f>
        <v>0</v>
      </c>
      <c r="CX3662" s="76"/>
      <c r="CY3662" s="76">
        <f>+CX3662*106250</f>
        <v>0</v>
      </c>
      <c r="CZ3662" s="76"/>
      <c r="DA3662" s="76">
        <f>+CZ3662*34500</f>
        <v>0</v>
      </c>
      <c r="DB3662" s="76"/>
      <c r="DC3662" s="76">
        <f>+DB3662*25000</f>
        <v>0</v>
      </c>
      <c r="DD3662" s="219"/>
      <c r="DE3662" s="219"/>
      <c r="DF3662" s="166"/>
      <c r="DG3662" s="116"/>
      <c r="DH3662" s="117"/>
      <c r="DI3662" s="24"/>
      <c r="DJ3662" s="24"/>
      <c r="DK3662" s="24"/>
      <c r="DL3662" s="24"/>
      <c r="DM3662" s="24"/>
      <c r="DN3662" s="24"/>
      <c r="DO3662" s="24"/>
      <c r="DP3662" s="24"/>
      <c r="DQ3662" s="24"/>
      <c r="DR3662" s="24"/>
      <c r="DS3662" s="24"/>
      <c r="DT3662" s="24"/>
      <c r="DU3662" s="24"/>
    </row>
    <row r="3663" spans="1:125" s="8" customFormat="1" ht="156" x14ac:dyDescent="0.2">
      <c r="A3663" s="353">
        <v>41594</v>
      </c>
      <c r="B3663" s="352" t="s">
        <v>2860</v>
      </c>
      <c r="C3663" s="354" t="s">
        <v>2768</v>
      </c>
      <c r="D3663" s="354" t="s">
        <v>2882</v>
      </c>
      <c r="E3663" s="75" t="str">
        <f>VLOOKUP(B3663&amp;C3663,Divipola!$C$2:$F$1138,4,FALSE)</f>
        <v>63401</v>
      </c>
      <c r="F3663" s="87"/>
      <c r="G3663" s="87"/>
      <c r="H3663" s="87"/>
      <c r="I3663" s="87">
        <v>339</v>
      </c>
      <c r="J3663" s="87">
        <v>75</v>
      </c>
      <c r="K3663" s="87"/>
      <c r="L3663" s="87">
        <v>75</v>
      </c>
      <c r="M3663" s="87"/>
      <c r="N3663" s="87"/>
      <c r="O3663" s="87"/>
      <c r="P3663" s="87"/>
      <c r="Q3663" s="87"/>
      <c r="R3663" s="87"/>
      <c r="S3663" s="87"/>
      <c r="T3663" s="87"/>
      <c r="U3663" s="88"/>
      <c r="V3663" s="89"/>
      <c r="W3663" s="96">
        <v>0</v>
      </c>
      <c r="X3663" s="71">
        <f>CU3663</f>
        <v>0</v>
      </c>
      <c r="Y3663" s="71">
        <f>CY3663</f>
        <v>0</v>
      </c>
      <c r="Z3663" s="71">
        <f>DA3663+DC3663+DE3663</f>
        <v>0</v>
      </c>
      <c r="AA3663" s="71">
        <f>CW3663</f>
        <v>0</v>
      </c>
      <c r="AB3663" s="71"/>
      <c r="AC3663" s="71">
        <v>0</v>
      </c>
      <c r="AD3663" s="71">
        <f>W3663+X3663+Y3663+Z3663+AA3663+AB3663+AC3663</f>
        <v>0</v>
      </c>
      <c r="AE3663" s="72">
        <v>0</v>
      </c>
      <c r="AF3663" s="5"/>
      <c r="AG3663" s="6"/>
      <c r="AH3663" s="27"/>
      <c r="AI3663" s="44"/>
      <c r="AJ3663" s="26"/>
      <c r="AK3663" s="5"/>
      <c r="AL3663" s="82" t="s">
        <v>6691</v>
      </c>
      <c r="AM3663" s="76"/>
      <c r="AN3663" s="76"/>
      <c r="AO3663" s="76"/>
      <c r="AP3663" s="76"/>
      <c r="AQ3663" s="76"/>
      <c r="AR3663" s="76"/>
      <c r="AS3663" s="76"/>
      <c r="AT3663" s="76"/>
      <c r="AU3663" s="76"/>
      <c r="AV3663" s="76"/>
      <c r="AW3663" s="76"/>
      <c r="AX3663" s="76">
        <f>+AW3663*600000</f>
        <v>0</v>
      </c>
      <c r="AY3663" s="76"/>
      <c r="AZ3663" s="76">
        <f>+AY3663*70000</f>
        <v>0</v>
      </c>
      <c r="BA3663" s="76"/>
      <c r="BB3663" s="76"/>
      <c r="BC3663" s="76"/>
      <c r="BD3663" s="76">
        <f>+BC3663*30000</f>
        <v>0</v>
      </c>
      <c r="BE3663" s="76"/>
      <c r="BF3663" s="76"/>
      <c r="BG3663" s="76"/>
      <c r="BH3663" s="76"/>
      <c r="BI3663" s="76"/>
      <c r="BJ3663" s="76"/>
      <c r="BK3663" s="76"/>
      <c r="BL3663" s="76">
        <f>+BK3663*31500</f>
        <v>0</v>
      </c>
      <c r="BM3663" s="76"/>
      <c r="BN3663" s="76"/>
      <c r="BO3663" s="76"/>
      <c r="BP3663" s="76"/>
      <c r="BQ3663" s="76"/>
      <c r="BR3663" s="76"/>
      <c r="BS3663" s="76"/>
      <c r="BT3663" s="76"/>
      <c r="BU3663" s="76"/>
      <c r="BV3663" s="76"/>
      <c r="BW3663" s="76"/>
      <c r="BX3663" s="76"/>
      <c r="BY3663" s="76"/>
      <c r="BZ3663" s="76"/>
      <c r="CA3663" s="76"/>
      <c r="CB3663" s="76"/>
      <c r="CC3663" s="76"/>
      <c r="CD3663" s="76"/>
      <c r="CE3663" s="76"/>
      <c r="CF3663" s="76">
        <f>+CE3663*28000</f>
        <v>0</v>
      </c>
      <c r="CG3663" s="76"/>
      <c r="CH3663" s="76">
        <f>+CG3663*22500</f>
        <v>0</v>
      </c>
      <c r="CI3663" s="76"/>
      <c r="CJ3663" s="76">
        <f>+CI3663*26000</f>
        <v>0</v>
      </c>
      <c r="CK3663" s="76"/>
      <c r="CL3663" s="76"/>
      <c r="CM3663" s="76"/>
      <c r="CN3663" s="76">
        <f>+CM3663*22000</f>
        <v>0</v>
      </c>
      <c r="CO3663" s="76"/>
      <c r="CP3663" s="76">
        <f>+CO3663*46000</f>
        <v>0</v>
      </c>
      <c r="CQ3663" s="76"/>
      <c r="CR3663" s="76">
        <f>+CQ3663*49000</f>
        <v>0</v>
      </c>
      <c r="CS3663" s="76"/>
      <c r="CT3663" s="76"/>
      <c r="CU3663" s="56">
        <f>AN3663+AP3663+AR3663+AT3663+AV3663+AX3663+AZ3663+BB3663+BD3663+BF3663+BH3663+BJ3663+BL3663+BN3663+BP3663+BR3663+BT3663+BV3663+BX3663+BZ3663+CB3663+CD3663+CF3663+CH3663+CJ3663+CL3663+CN3663+CP3663+CR3663+CT3663</f>
        <v>0</v>
      </c>
      <c r="CV3663" s="76"/>
      <c r="CW3663" s="76">
        <f>+CV3663*1100</f>
        <v>0</v>
      </c>
      <c r="CX3663" s="76"/>
      <c r="CY3663" s="76">
        <f>+CX3663*106250</f>
        <v>0</v>
      </c>
      <c r="CZ3663" s="76"/>
      <c r="DA3663" s="76">
        <f>+CZ3663*34500</f>
        <v>0</v>
      </c>
      <c r="DB3663" s="76"/>
      <c r="DC3663" s="76">
        <f>+DB3663*25000</f>
        <v>0</v>
      </c>
      <c r="DD3663" s="219"/>
      <c r="DE3663" s="219"/>
      <c r="DF3663" s="166"/>
      <c r="DG3663" s="116"/>
      <c r="DH3663" s="117"/>
      <c r="DI3663" s="24"/>
      <c r="DJ3663" s="24"/>
      <c r="DK3663" s="24"/>
      <c r="DL3663" s="24"/>
      <c r="DM3663" s="24"/>
      <c r="DN3663" s="24"/>
      <c r="DO3663" s="24"/>
      <c r="DP3663" s="24"/>
      <c r="DQ3663" s="24"/>
      <c r="DR3663" s="24"/>
      <c r="DS3663" s="24"/>
      <c r="DT3663" s="24"/>
      <c r="DU3663" s="24"/>
    </row>
    <row r="3664" spans="1:125" s="8" customFormat="1" ht="84" x14ac:dyDescent="0.2">
      <c r="A3664" s="77">
        <v>41594</v>
      </c>
      <c r="B3664" s="78" t="s">
        <v>2851</v>
      </c>
      <c r="C3664" s="75" t="s">
        <v>1959</v>
      </c>
      <c r="D3664" s="75" t="s">
        <v>2882</v>
      </c>
      <c r="E3664" s="353" t="str">
        <f>VLOOKUP(B3664&amp;C3664,Divipola!$C$2:$F$1138,4,FALSE)</f>
        <v>76616</v>
      </c>
      <c r="F3664" s="61"/>
      <c r="G3664" s="61"/>
      <c r="H3664" s="61"/>
      <c r="I3664" s="61">
        <v>930</v>
      </c>
      <c r="J3664" s="61">
        <v>186</v>
      </c>
      <c r="K3664" s="61"/>
      <c r="L3664" s="61">
        <v>186</v>
      </c>
      <c r="M3664" s="61"/>
      <c r="N3664" s="61"/>
      <c r="O3664" s="61"/>
      <c r="P3664" s="61"/>
      <c r="Q3664" s="61"/>
      <c r="R3664" s="61">
        <v>1</v>
      </c>
      <c r="S3664" s="61">
        <v>1</v>
      </c>
      <c r="T3664" s="61">
        <v>1</v>
      </c>
      <c r="U3664" s="61"/>
      <c r="V3664" s="7"/>
      <c r="W3664" s="96">
        <v>0</v>
      </c>
      <c r="X3664" s="71">
        <f>CU3664</f>
        <v>0</v>
      </c>
      <c r="Y3664" s="71">
        <f>CY3664</f>
        <v>0</v>
      </c>
      <c r="Z3664" s="71">
        <f>DA3664+DC3664+DE3664</f>
        <v>0</v>
      </c>
      <c r="AA3664" s="71">
        <f>CW3664</f>
        <v>0</v>
      </c>
      <c r="AB3664" s="71"/>
      <c r="AC3664" s="71">
        <v>0</v>
      </c>
      <c r="AD3664" s="71">
        <f>W3664+X3664+Y3664+Z3664+AA3664+AB3664+AC3664</f>
        <v>0</v>
      </c>
      <c r="AE3664" s="72">
        <v>0</v>
      </c>
      <c r="AF3664" s="5"/>
      <c r="AG3664" s="6"/>
      <c r="AH3664" s="27"/>
      <c r="AI3664" s="44"/>
      <c r="AJ3664" s="26"/>
      <c r="AK3664" s="5"/>
      <c r="AL3664" s="9" t="s">
        <v>6932</v>
      </c>
      <c r="AM3664" s="76"/>
      <c r="AN3664" s="76"/>
      <c r="AO3664" s="76"/>
      <c r="AP3664" s="76"/>
      <c r="AQ3664" s="76"/>
      <c r="AR3664" s="76"/>
      <c r="AS3664" s="76"/>
      <c r="AT3664" s="76"/>
      <c r="AU3664" s="76"/>
      <c r="AV3664" s="76"/>
      <c r="AW3664" s="76"/>
      <c r="AX3664" s="76">
        <f>+AW3664*600000</f>
        <v>0</v>
      </c>
      <c r="AY3664" s="76"/>
      <c r="AZ3664" s="76">
        <f>+AY3664*70000</f>
        <v>0</v>
      </c>
      <c r="BA3664" s="76"/>
      <c r="BB3664" s="76"/>
      <c r="BC3664" s="76"/>
      <c r="BD3664" s="76">
        <f>+BC3664*30000</f>
        <v>0</v>
      </c>
      <c r="BE3664" s="76"/>
      <c r="BF3664" s="76"/>
      <c r="BG3664" s="76"/>
      <c r="BH3664" s="76"/>
      <c r="BI3664" s="76"/>
      <c r="BJ3664" s="76"/>
      <c r="BK3664" s="76"/>
      <c r="BL3664" s="76">
        <f>+BK3664*31500</f>
        <v>0</v>
      </c>
      <c r="BM3664" s="76"/>
      <c r="BN3664" s="76"/>
      <c r="BO3664" s="76"/>
      <c r="BP3664" s="76"/>
      <c r="BQ3664" s="76"/>
      <c r="BR3664" s="76"/>
      <c r="BS3664" s="76"/>
      <c r="BT3664" s="76"/>
      <c r="BU3664" s="76"/>
      <c r="BV3664" s="76"/>
      <c r="BW3664" s="76"/>
      <c r="BX3664" s="76"/>
      <c r="BY3664" s="76"/>
      <c r="BZ3664" s="76"/>
      <c r="CA3664" s="76"/>
      <c r="CB3664" s="76"/>
      <c r="CC3664" s="76"/>
      <c r="CD3664" s="76"/>
      <c r="CE3664" s="76"/>
      <c r="CF3664" s="76">
        <f>+CE3664*28000</f>
        <v>0</v>
      </c>
      <c r="CG3664" s="76"/>
      <c r="CH3664" s="76">
        <f>+CG3664*22500</f>
        <v>0</v>
      </c>
      <c r="CI3664" s="76"/>
      <c r="CJ3664" s="76">
        <f>+CI3664*26000</f>
        <v>0</v>
      </c>
      <c r="CK3664" s="76"/>
      <c r="CL3664" s="76"/>
      <c r="CM3664" s="76"/>
      <c r="CN3664" s="76">
        <f>+CM3664*22000</f>
        <v>0</v>
      </c>
      <c r="CO3664" s="76"/>
      <c r="CP3664" s="76">
        <f>+CO3664*46000</f>
        <v>0</v>
      </c>
      <c r="CQ3664" s="76"/>
      <c r="CR3664" s="76">
        <f>+CQ3664*49000</f>
        <v>0</v>
      </c>
      <c r="CS3664" s="76"/>
      <c r="CT3664" s="76"/>
      <c r="CU3664" s="56">
        <f>AN3664+AP3664+AR3664+AT3664+AV3664+AX3664+AZ3664+BB3664+BD3664+BF3664+BH3664+BJ3664+BL3664+BN3664+BP3664+BR3664+BT3664+BV3664+BX3664+BZ3664+CB3664+CD3664+CF3664+CH3664+CJ3664+CL3664+CN3664+CP3664+CR3664+CT3664</f>
        <v>0</v>
      </c>
      <c r="CV3664" s="76"/>
      <c r="CW3664" s="76">
        <f>+CV3664*1100</f>
        <v>0</v>
      </c>
      <c r="CX3664" s="76"/>
      <c r="CY3664" s="76">
        <f>+CX3664*106250</f>
        <v>0</v>
      </c>
      <c r="CZ3664" s="76"/>
      <c r="DA3664" s="76">
        <f>+CZ3664*34500</f>
        <v>0</v>
      </c>
      <c r="DB3664" s="76"/>
      <c r="DC3664" s="76">
        <f>+DB3664*25000</f>
        <v>0</v>
      </c>
      <c r="DD3664" s="219"/>
      <c r="DE3664" s="219"/>
      <c r="DF3664" s="166"/>
      <c r="DG3664" s="116"/>
      <c r="DH3664" s="117"/>
      <c r="DI3664" s="24"/>
      <c r="DJ3664" s="24"/>
      <c r="DK3664" s="24"/>
      <c r="DL3664" s="24"/>
      <c r="DM3664" s="24"/>
      <c r="DN3664" s="24"/>
      <c r="DO3664" s="24"/>
      <c r="DP3664" s="24"/>
      <c r="DQ3664" s="24"/>
      <c r="DR3664" s="24"/>
      <c r="DS3664" s="24"/>
      <c r="DT3664" s="24"/>
      <c r="DU3664" s="24"/>
    </row>
    <row r="3665" spans="1:125" s="8" customFormat="1" ht="60" x14ac:dyDescent="0.2">
      <c r="A3665" s="77">
        <v>41595</v>
      </c>
      <c r="B3665" s="78" t="s">
        <v>2778</v>
      </c>
      <c r="C3665" s="75" t="s">
        <v>1264</v>
      </c>
      <c r="D3665" s="75" t="s">
        <v>3088</v>
      </c>
      <c r="E3665" s="75" t="str">
        <f>VLOOKUP(B3665&amp;C3665,Divipola!$C$2:$F$1138,4,FALSE)</f>
        <v>85279</v>
      </c>
      <c r="F3665" s="87"/>
      <c r="G3665" s="87"/>
      <c r="H3665" s="87"/>
      <c r="I3665" s="87"/>
      <c r="J3665" s="87"/>
      <c r="K3665" s="87"/>
      <c r="L3665" s="87"/>
      <c r="M3665" s="87">
        <v>1</v>
      </c>
      <c r="N3665" s="87"/>
      <c r="O3665" s="87"/>
      <c r="P3665" s="87"/>
      <c r="Q3665" s="87"/>
      <c r="R3665" s="87"/>
      <c r="S3665" s="87"/>
      <c r="T3665" s="87"/>
      <c r="U3665" s="88"/>
      <c r="V3665" s="89"/>
      <c r="W3665" s="96">
        <v>0</v>
      </c>
      <c r="X3665" s="71">
        <f>CU3665</f>
        <v>0</v>
      </c>
      <c r="Y3665" s="71">
        <f>CY3665</f>
        <v>0</v>
      </c>
      <c r="Z3665" s="71">
        <f>DA3665+DC3665+DE3665</f>
        <v>0</v>
      </c>
      <c r="AA3665" s="71">
        <f>CW3665</f>
        <v>0</v>
      </c>
      <c r="AB3665" s="71"/>
      <c r="AC3665" s="71">
        <v>0</v>
      </c>
      <c r="AD3665" s="71">
        <f>W3665+X3665+Y3665+Z3665+AA3665+AB3665+AC3665</f>
        <v>0</v>
      </c>
      <c r="AE3665" s="72">
        <v>0</v>
      </c>
      <c r="AF3665" s="5"/>
      <c r="AG3665" s="6"/>
      <c r="AH3665" s="27"/>
      <c r="AI3665" s="44"/>
      <c r="AJ3665" s="26"/>
      <c r="AK3665" s="5"/>
      <c r="AL3665" s="268" t="s">
        <v>6689</v>
      </c>
      <c r="AM3665" s="76"/>
      <c r="AN3665" s="76"/>
      <c r="AO3665" s="76"/>
      <c r="AP3665" s="76"/>
      <c r="AQ3665" s="76"/>
      <c r="AR3665" s="76"/>
      <c r="AS3665" s="76"/>
      <c r="AT3665" s="76"/>
      <c r="AU3665" s="76"/>
      <c r="AV3665" s="76"/>
      <c r="AW3665" s="76"/>
      <c r="AX3665" s="76">
        <f>+AW3665*600000</f>
        <v>0</v>
      </c>
      <c r="AY3665" s="76"/>
      <c r="AZ3665" s="76">
        <f>+AY3665*70000</f>
        <v>0</v>
      </c>
      <c r="BA3665" s="76"/>
      <c r="BB3665" s="76"/>
      <c r="BC3665" s="76"/>
      <c r="BD3665" s="76">
        <f>+BC3665*30000</f>
        <v>0</v>
      </c>
      <c r="BE3665" s="76"/>
      <c r="BF3665" s="76"/>
      <c r="BG3665" s="76"/>
      <c r="BH3665" s="76"/>
      <c r="BI3665" s="76"/>
      <c r="BJ3665" s="76"/>
      <c r="BK3665" s="76"/>
      <c r="BL3665" s="76">
        <f>+BK3665*31500</f>
        <v>0</v>
      </c>
      <c r="BM3665" s="76"/>
      <c r="BN3665" s="76"/>
      <c r="BO3665" s="76"/>
      <c r="BP3665" s="76"/>
      <c r="BQ3665" s="76"/>
      <c r="BR3665" s="76"/>
      <c r="BS3665" s="76"/>
      <c r="BT3665" s="76"/>
      <c r="BU3665" s="76"/>
      <c r="BV3665" s="76"/>
      <c r="BW3665" s="76"/>
      <c r="BX3665" s="76"/>
      <c r="BY3665" s="76"/>
      <c r="BZ3665" s="76"/>
      <c r="CA3665" s="76"/>
      <c r="CB3665" s="76"/>
      <c r="CC3665" s="76"/>
      <c r="CD3665" s="76"/>
      <c r="CE3665" s="76"/>
      <c r="CF3665" s="76">
        <f>+CE3665*28000</f>
        <v>0</v>
      </c>
      <c r="CG3665" s="76"/>
      <c r="CH3665" s="76">
        <f>+CG3665*22500</f>
        <v>0</v>
      </c>
      <c r="CI3665" s="76"/>
      <c r="CJ3665" s="76">
        <f>+CI3665*26000</f>
        <v>0</v>
      </c>
      <c r="CK3665" s="76"/>
      <c r="CL3665" s="76"/>
      <c r="CM3665" s="76"/>
      <c r="CN3665" s="76">
        <f>+CM3665*22000</f>
        <v>0</v>
      </c>
      <c r="CO3665" s="76"/>
      <c r="CP3665" s="76">
        <f>+CO3665*46000</f>
        <v>0</v>
      </c>
      <c r="CQ3665" s="76"/>
      <c r="CR3665" s="76">
        <f>+CQ3665*49000</f>
        <v>0</v>
      </c>
      <c r="CS3665" s="76"/>
      <c r="CT3665" s="76"/>
      <c r="CU3665" s="56">
        <f>AN3665+AP3665+AR3665+AT3665+AV3665+AX3665+AZ3665+BB3665+BD3665+BF3665+BH3665+BJ3665+BL3665+BN3665+BP3665+BR3665+BT3665+BV3665+BX3665+BZ3665+CB3665+CD3665+CF3665+CH3665+CJ3665+CL3665+CN3665+CP3665+CR3665+CT3665</f>
        <v>0</v>
      </c>
      <c r="CV3665" s="76"/>
      <c r="CW3665" s="76">
        <f>+CV3665*1100</f>
        <v>0</v>
      </c>
      <c r="CX3665" s="76"/>
      <c r="CY3665" s="76">
        <f>+CX3665*106250</f>
        <v>0</v>
      </c>
      <c r="CZ3665" s="76"/>
      <c r="DA3665" s="76">
        <f>+CZ3665*34500</f>
        <v>0</v>
      </c>
      <c r="DB3665" s="76"/>
      <c r="DC3665" s="76">
        <f>+DB3665*25000</f>
        <v>0</v>
      </c>
      <c r="DD3665" s="219"/>
      <c r="DE3665" s="219"/>
      <c r="DF3665" s="166"/>
      <c r="DG3665" s="116"/>
      <c r="DH3665" s="117"/>
      <c r="DI3665" s="24"/>
      <c r="DJ3665" s="24"/>
      <c r="DK3665" s="24"/>
      <c r="DL3665" s="24"/>
      <c r="DM3665" s="24"/>
      <c r="DN3665" s="24"/>
      <c r="DO3665" s="24"/>
      <c r="DP3665" s="24"/>
      <c r="DQ3665" s="24"/>
      <c r="DR3665" s="24"/>
      <c r="DS3665" s="24"/>
      <c r="DT3665" s="24"/>
      <c r="DU3665" s="24"/>
    </row>
    <row r="3666" spans="1:125" s="8" customFormat="1" ht="409.5" x14ac:dyDescent="0.2">
      <c r="A3666" s="77">
        <v>41595</v>
      </c>
      <c r="B3666" s="352" t="s">
        <v>2851</v>
      </c>
      <c r="C3666" s="354" t="s">
        <v>2754</v>
      </c>
      <c r="D3666" s="354" t="s">
        <v>3051</v>
      </c>
      <c r="E3666" s="75" t="str">
        <f>VLOOKUP(B3666&amp;C3666,Divipola!$C$2:$F$1138,4,FALSE)</f>
        <v>76109</v>
      </c>
      <c r="F3666" s="87"/>
      <c r="G3666" s="87"/>
      <c r="H3666" s="87"/>
      <c r="I3666" s="87">
        <f>902*5</f>
        <v>4510</v>
      </c>
      <c r="J3666" s="87">
        <v>902</v>
      </c>
      <c r="K3666" s="87"/>
      <c r="L3666" s="87">
        <v>902</v>
      </c>
      <c r="M3666" s="87"/>
      <c r="N3666" s="87"/>
      <c r="O3666" s="87"/>
      <c r="P3666" s="87"/>
      <c r="Q3666" s="87"/>
      <c r="R3666" s="87"/>
      <c r="S3666" s="87"/>
      <c r="T3666" s="87"/>
      <c r="U3666" s="88">
        <v>460</v>
      </c>
      <c r="V3666" s="89"/>
      <c r="W3666" s="96">
        <v>0</v>
      </c>
      <c r="X3666" s="71">
        <f>CU3666</f>
        <v>0</v>
      </c>
      <c r="Y3666" s="71">
        <f>CY3666</f>
        <v>0</v>
      </c>
      <c r="Z3666" s="71">
        <f>DA3666+DC3666+DE3666</f>
        <v>0</v>
      </c>
      <c r="AA3666" s="71">
        <f>CW3666</f>
        <v>0</v>
      </c>
      <c r="AB3666" s="71"/>
      <c r="AC3666" s="71">
        <v>0</v>
      </c>
      <c r="AD3666" s="71">
        <f>W3666+X3666+Y3666+Z3666+AA3666+AB3666+AC3666</f>
        <v>0</v>
      </c>
      <c r="AE3666" s="72">
        <v>0</v>
      </c>
      <c r="AF3666" s="5"/>
      <c r="AG3666" s="6"/>
      <c r="AH3666" s="27"/>
      <c r="AI3666" s="44"/>
      <c r="AJ3666" s="26"/>
      <c r="AK3666" s="5"/>
      <c r="AL3666" s="82" t="s">
        <v>6747</v>
      </c>
      <c r="AM3666" s="76"/>
      <c r="AN3666" s="76"/>
      <c r="AO3666" s="76"/>
      <c r="AP3666" s="76"/>
      <c r="AQ3666" s="76"/>
      <c r="AR3666" s="76"/>
      <c r="AS3666" s="76"/>
      <c r="AT3666" s="76"/>
      <c r="AU3666" s="76"/>
      <c r="AV3666" s="76"/>
      <c r="AW3666" s="76"/>
      <c r="AX3666" s="76">
        <f>+AW3666*600000</f>
        <v>0</v>
      </c>
      <c r="AY3666" s="76"/>
      <c r="AZ3666" s="76">
        <f>+AY3666*70000</f>
        <v>0</v>
      </c>
      <c r="BA3666" s="76"/>
      <c r="BB3666" s="76"/>
      <c r="BC3666" s="76"/>
      <c r="BD3666" s="76">
        <f>+BC3666*30000</f>
        <v>0</v>
      </c>
      <c r="BE3666" s="76"/>
      <c r="BF3666" s="76"/>
      <c r="BG3666" s="76"/>
      <c r="BH3666" s="76"/>
      <c r="BI3666" s="76"/>
      <c r="BJ3666" s="76"/>
      <c r="BK3666" s="76"/>
      <c r="BL3666" s="76">
        <f>+BK3666*31500</f>
        <v>0</v>
      </c>
      <c r="BM3666" s="76"/>
      <c r="BN3666" s="76"/>
      <c r="BO3666" s="76"/>
      <c r="BP3666" s="76"/>
      <c r="BQ3666" s="76"/>
      <c r="BR3666" s="76"/>
      <c r="BS3666" s="76"/>
      <c r="BT3666" s="76"/>
      <c r="BU3666" s="76"/>
      <c r="BV3666" s="76"/>
      <c r="BW3666" s="76"/>
      <c r="BX3666" s="76"/>
      <c r="BY3666" s="76"/>
      <c r="BZ3666" s="76"/>
      <c r="CA3666" s="76"/>
      <c r="CB3666" s="76"/>
      <c r="CC3666" s="76"/>
      <c r="CD3666" s="76"/>
      <c r="CE3666" s="76"/>
      <c r="CF3666" s="76">
        <f>+CE3666*28000</f>
        <v>0</v>
      </c>
      <c r="CG3666" s="76"/>
      <c r="CH3666" s="76">
        <f>+CG3666*22500</f>
        <v>0</v>
      </c>
      <c r="CI3666" s="76"/>
      <c r="CJ3666" s="76">
        <f>+CI3666*26000</f>
        <v>0</v>
      </c>
      <c r="CK3666" s="76"/>
      <c r="CL3666" s="76"/>
      <c r="CM3666" s="76"/>
      <c r="CN3666" s="76">
        <f>+CM3666*22000</f>
        <v>0</v>
      </c>
      <c r="CO3666" s="76"/>
      <c r="CP3666" s="76">
        <f>+CO3666*46000</f>
        <v>0</v>
      </c>
      <c r="CQ3666" s="76"/>
      <c r="CR3666" s="76">
        <f>+CQ3666*49000</f>
        <v>0</v>
      </c>
      <c r="CS3666" s="76"/>
      <c r="CT3666" s="76"/>
      <c r="CU3666" s="56">
        <f>AN3666+AP3666+AR3666+AT3666+AV3666+AX3666+AZ3666+BB3666+BD3666+BF3666+BH3666+BJ3666+BL3666+BN3666+BP3666+BR3666+BT3666+BV3666+BX3666+BZ3666+CB3666+CD3666+CF3666+CH3666+CJ3666+CL3666+CN3666+CP3666+CR3666+CT3666</f>
        <v>0</v>
      </c>
      <c r="CV3666" s="76"/>
      <c r="CW3666" s="76">
        <f>+CV3666*1100</f>
        <v>0</v>
      </c>
      <c r="CX3666" s="76"/>
      <c r="CY3666" s="76">
        <f>+CX3666*106250</f>
        <v>0</v>
      </c>
      <c r="CZ3666" s="76"/>
      <c r="DA3666" s="76">
        <f>+CZ3666*34500</f>
        <v>0</v>
      </c>
      <c r="DB3666" s="76"/>
      <c r="DC3666" s="76">
        <f>+DB3666*25000</f>
        <v>0</v>
      </c>
      <c r="DD3666" s="219"/>
      <c r="DE3666" s="219"/>
      <c r="DF3666" s="166"/>
      <c r="DG3666" s="116"/>
      <c r="DH3666" s="117"/>
      <c r="DI3666" s="24"/>
      <c r="DJ3666" s="24"/>
      <c r="DK3666" s="24"/>
      <c r="DL3666" s="24"/>
      <c r="DM3666" s="24"/>
      <c r="DN3666" s="24"/>
      <c r="DO3666" s="24"/>
      <c r="DP3666" s="24"/>
      <c r="DQ3666" s="24"/>
      <c r="DR3666" s="24"/>
      <c r="DS3666" s="24"/>
      <c r="DT3666" s="24"/>
      <c r="DU3666" s="24"/>
    </row>
    <row r="3667" spans="1:125" s="8" customFormat="1" ht="60" x14ac:dyDescent="0.2">
      <c r="A3667" s="353">
        <v>41595</v>
      </c>
      <c r="B3667" s="352" t="s">
        <v>2196</v>
      </c>
      <c r="C3667" s="354" t="s">
        <v>2123</v>
      </c>
      <c r="D3667" s="354" t="s">
        <v>2882</v>
      </c>
      <c r="E3667" s="75" t="str">
        <f>VLOOKUP(B3667&amp;C3667,Divipola!$C$2:$F$1138,4,FALSE)</f>
        <v>17662</v>
      </c>
      <c r="F3667" s="87"/>
      <c r="G3667" s="87"/>
      <c r="H3667" s="87"/>
      <c r="I3667" s="87">
        <v>93</v>
      </c>
      <c r="J3667" s="87">
        <v>26</v>
      </c>
      <c r="K3667" s="87"/>
      <c r="L3667" s="87">
        <v>26</v>
      </c>
      <c r="M3667" s="87"/>
      <c r="N3667" s="87"/>
      <c r="O3667" s="87"/>
      <c r="P3667" s="87"/>
      <c r="Q3667" s="87"/>
      <c r="R3667" s="87"/>
      <c r="S3667" s="87"/>
      <c r="T3667" s="87"/>
      <c r="U3667" s="88"/>
      <c r="V3667" s="89"/>
      <c r="W3667" s="96">
        <v>0</v>
      </c>
      <c r="X3667" s="71">
        <f>CU3667</f>
        <v>0</v>
      </c>
      <c r="Y3667" s="71">
        <f>CY3667</f>
        <v>0</v>
      </c>
      <c r="Z3667" s="71">
        <f>DA3667+DC3667+DE3667</f>
        <v>0</v>
      </c>
      <c r="AA3667" s="71">
        <f>CW3667</f>
        <v>0</v>
      </c>
      <c r="AB3667" s="71"/>
      <c r="AC3667" s="71">
        <v>0</v>
      </c>
      <c r="AD3667" s="71">
        <f>W3667+X3667+Y3667+Z3667+AA3667+AB3667+AC3667</f>
        <v>0</v>
      </c>
      <c r="AE3667" s="72">
        <v>0</v>
      </c>
      <c r="AF3667" s="5"/>
      <c r="AG3667" s="6"/>
      <c r="AH3667" s="27"/>
      <c r="AI3667" s="44"/>
      <c r="AJ3667" s="26"/>
      <c r="AK3667" s="5"/>
      <c r="AL3667" s="82" t="s">
        <v>6752</v>
      </c>
      <c r="AM3667" s="76"/>
      <c r="AN3667" s="76"/>
      <c r="AO3667" s="76"/>
      <c r="AP3667" s="76"/>
      <c r="AQ3667" s="76"/>
      <c r="AR3667" s="76"/>
      <c r="AS3667" s="76"/>
      <c r="AT3667" s="76"/>
      <c r="AU3667" s="76"/>
      <c r="AV3667" s="76"/>
      <c r="AW3667" s="76"/>
      <c r="AX3667" s="76">
        <f>+AW3667*600000</f>
        <v>0</v>
      </c>
      <c r="AY3667" s="76"/>
      <c r="AZ3667" s="76">
        <f>+AY3667*70000</f>
        <v>0</v>
      </c>
      <c r="BA3667" s="76"/>
      <c r="BB3667" s="76"/>
      <c r="BC3667" s="76"/>
      <c r="BD3667" s="76">
        <f>+BC3667*30000</f>
        <v>0</v>
      </c>
      <c r="BE3667" s="76"/>
      <c r="BF3667" s="76"/>
      <c r="BG3667" s="76"/>
      <c r="BH3667" s="76"/>
      <c r="BI3667" s="76"/>
      <c r="BJ3667" s="76"/>
      <c r="BK3667" s="76"/>
      <c r="BL3667" s="76">
        <f>+BK3667*31500</f>
        <v>0</v>
      </c>
      <c r="BM3667" s="76"/>
      <c r="BN3667" s="76"/>
      <c r="BO3667" s="76"/>
      <c r="BP3667" s="76"/>
      <c r="BQ3667" s="76"/>
      <c r="BR3667" s="76"/>
      <c r="BS3667" s="76"/>
      <c r="BT3667" s="76"/>
      <c r="BU3667" s="76"/>
      <c r="BV3667" s="76"/>
      <c r="BW3667" s="76"/>
      <c r="BX3667" s="76"/>
      <c r="BY3667" s="76"/>
      <c r="BZ3667" s="76"/>
      <c r="CA3667" s="76"/>
      <c r="CB3667" s="76"/>
      <c r="CC3667" s="76"/>
      <c r="CD3667" s="76"/>
      <c r="CE3667" s="76"/>
      <c r="CF3667" s="76">
        <f>+CE3667*28000</f>
        <v>0</v>
      </c>
      <c r="CG3667" s="76"/>
      <c r="CH3667" s="76">
        <f>+CG3667*22500</f>
        <v>0</v>
      </c>
      <c r="CI3667" s="76"/>
      <c r="CJ3667" s="76">
        <f>+CI3667*26000</f>
        <v>0</v>
      </c>
      <c r="CK3667" s="76"/>
      <c r="CL3667" s="76"/>
      <c r="CM3667" s="76"/>
      <c r="CN3667" s="76">
        <f>+CM3667*22000</f>
        <v>0</v>
      </c>
      <c r="CO3667" s="76"/>
      <c r="CP3667" s="76">
        <f>+CO3667*46000</f>
        <v>0</v>
      </c>
      <c r="CQ3667" s="76"/>
      <c r="CR3667" s="76">
        <f>+CQ3667*49000</f>
        <v>0</v>
      </c>
      <c r="CS3667" s="76"/>
      <c r="CT3667" s="76"/>
      <c r="CU3667" s="56">
        <f>AN3667+AP3667+AR3667+AT3667+AV3667+AX3667+AZ3667+BB3667+BD3667+BF3667+BH3667+BJ3667+BL3667+BN3667+BP3667+BR3667+BT3667+BV3667+BX3667+BZ3667+CB3667+CD3667+CF3667+CH3667+CJ3667+CL3667+CN3667+CP3667+CR3667+CT3667</f>
        <v>0</v>
      </c>
      <c r="CV3667" s="76"/>
      <c r="CW3667" s="76">
        <f>+CV3667*1100</f>
        <v>0</v>
      </c>
      <c r="CX3667" s="76"/>
      <c r="CY3667" s="76">
        <f>+CX3667*106250</f>
        <v>0</v>
      </c>
      <c r="CZ3667" s="76"/>
      <c r="DA3667" s="76">
        <f>+CZ3667*34500</f>
        <v>0</v>
      </c>
      <c r="DB3667" s="76"/>
      <c r="DC3667" s="76">
        <f>+DB3667*25000</f>
        <v>0</v>
      </c>
      <c r="DD3667" s="219"/>
      <c r="DE3667" s="219"/>
      <c r="DF3667" s="166"/>
      <c r="DG3667" s="116"/>
      <c r="DH3667" s="117"/>
      <c r="DI3667" s="24"/>
      <c r="DJ3667" s="24"/>
      <c r="DK3667" s="24"/>
      <c r="DL3667" s="24"/>
      <c r="DM3667" s="24"/>
      <c r="DN3667" s="24"/>
      <c r="DO3667" s="24"/>
      <c r="DP3667" s="24"/>
      <c r="DQ3667" s="24"/>
      <c r="DR3667" s="24"/>
      <c r="DS3667" s="24"/>
      <c r="DT3667" s="24"/>
      <c r="DU3667" s="24"/>
    </row>
    <row r="3668" spans="1:125" s="8" customFormat="1" ht="60" x14ac:dyDescent="0.2">
      <c r="A3668" s="353">
        <v>41596</v>
      </c>
      <c r="B3668" s="208" t="s">
        <v>2661</v>
      </c>
      <c r="C3668" s="354" t="s">
        <v>1351</v>
      </c>
      <c r="D3668" s="354" t="s">
        <v>3051</v>
      </c>
      <c r="E3668" s="75" t="str">
        <f>VLOOKUP(B3668&amp;C3668,Divipola!$C$2:$F$1138,4,FALSE)</f>
        <v>41551</v>
      </c>
      <c r="F3668" s="87"/>
      <c r="G3668" s="87"/>
      <c r="H3668" s="87"/>
      <c r="I3668" s="87"/>
      <c r="J3668" s="87"/>
      <c r="K3668" s="87"/>
      <c r="L3668" s="87"/>
      <c r="M3668" s="87"/>
      <c r="N3668" s="87"/>
      <c r="O3668" s="87"/>
      <c r="P3668" s="87"/>
      <c r="Q3668" s="87"/>
      <c r="R3668" s="87">
        <v>1</v>
      </c>
      <c r="S3668" s="87"/>
      <c r="T3668" s="87"/>
      <c r="U3668" s="88"/>
      <c r="V3668" s="89"/>
      <c r="W3668" s="96">
        <v>0</v>
      </c>
      <c r="X3668" s="71">
        <f>CU3668</f>
        <v>0</v>
      </c>
      <c r="Y3668" s="71">
        <f>CY3668</f>
        <v>0</v>
      </c>
      <c r="Z3668" s="71">
        <f>DA3668+DC3668+DE3668</f>
        <v>0</v>
      </c>
      <c r="AA3668" s="71">
        <f>CW3668</f>
        <v>0</v>
      </c>
      <c r="AB3668" s="71"/>
      <c r="AC3668" s="71">
        <v>0</v>
      </c>
      <c r="AD3668" s="71">
        <f>W3668+X3668+Y3668+Z3668+AA3668+AB3668+AC3668</f>
        <v>0</v>
      </c>
      <c r="AE3668" s="72">
        <v>0</v>
      </c>
      <c r="AF3668" s="5"/>
      <c r="AG3668" s="6"/>
      <c r="AH3668" s="27"/>
      <c r="AI3668" s="44"/>
      <c r="AJ3668" s="26"/>
      <c r="AK3668" s="5"/>
      <c r="AL3668" s="82" t="s">
        <v>6677</v>
      </c>
      <c r="AM3668" s="76"/>
      <c r="AN3668" s="76"/>
      <c r="AO3668" s="76"/>
      <c r="AP3668" s="76"/>
      <c r="AQ3668" s="76"/>
      <c r="AR3668" s="76"/>
      <c r="AS3668" s="76"/>
      <c r="AT3668" s="76"/>
      <c r="AU3668" s="76"/>
      <c r="AV3668" s="76"/>
      <c r="AW3668" s="76"/>
      <c r="AX3668" s="76">
        <f>+AW3668*600000</f>
        <v>0</v>
      </c>
      <c r="AY3668" s="76"/>
      <c r="AZ3668" s="76">
        <f>+AY3668*70000</f>
        <v>0</v>
      </c>
      <c r="BA3668" s="76"/>
      <c r="BB3668" s="76"/>
      <c r="BC3668" s="76"/>
      <c r="BD3668" s="76">
        <f>+BC3668*30000</f>
        <v>0</v>
      </c>
      <c r="BE3668" s="76"/>
      <c r="BF3668" s="76"/>
      <c r="BG3668" s="76"/>
      <c r="BH3668" s="76"/>
      <c r="BI3668" s="76"/>
      <c r="BJ3668" s="76"/>
      <c r="BK3668" s="76"/>
      <c r="BL3668" s="76">
        <f>+BK3668*31500</f>
        <v>0</v>
      </c>
      <c r="BM3668" s="76"/>
      <c r="BN3668" s="76"/>
      <c r="BO3668" s="76"/>
      <c r="BP3668" s="76"/>
      <c r="BQ3668" s="76"/>
      <c r="BR3668" s="76"/>
      <c r="BS3668" s="76"/>
      <c r="BT3668" s="76"/>
      <c r="BU3668" s="76"/>
      <c r="BV3668" s="76"/>
      <c r="BW3668" s="76"/>
      <c r="BX3668" s="76"/>
      <c r="BY3668" s="76"/>
      <c r="BZ3668" s="76"/>
      <c r="CA3668" s="76"/>
      <c r="CB3668" s="76"/>
      <c r="CC3668" s="76"/>
      <c r="CD3668" s="76"/>
      <c r="CE3668" s="76"/>
      <c r="CF3668" s="76">
        <f>+CE3668*28000</f>
        <v>0</v>
      </c>
      <c r="CG3668" s="76"/>
      <c r="CH3668" s="76">
        <f>+CG3668*22500</f>
        <v>0</v>
      </c>
      <c r="CI3668" s="76"/>
      <c r="CJ3668" s="76">
        <f>+CI3668*26000</f>
        <v>0</v>
      </c>
      <c r="CK3668" s="76"/>
      <c r="CL3668" s="76"/>
      <c r="CM3668" s="76"/>
      <c r="CN3668" s="76">
        <f>+CM3668*22000</f>
        <v>0</v>
      </c>
      <c r="CO3668" s="76"/>
      <c r="CP3668" s="76">
        <f>+CO3668*46000</f>
        <v>0</v>
      </c>
      <c r="CQ3668" s="76"/>
      <c r="CR3668" s="76">
        <f>+CQ3668*49000</f>
        <v>0</v>
      </c>
      <c r="CS3668" s="76"/>
      <c r="CT3668" s="76"/>
      <c r="CU3668" s="56">
        <f>AN3668+AP3668+AR3668+AT3668+AV3668+AX3668+AZ3668+BB3668+BD3668+BF3668+BH3668+BJ3668+BL3668+BN3668+BP3668+BR3668+BT3668+BV3668+BX3668+BZ3668+CB3668+CD3668+CF3668+CH3668+CJ3668+CL3668+CN3668+CP3668+CR3668+CT3668</f>
        <v>0</v>
      </c>
      <c r="CV3668" s="76"/>
      <c r="CW3668" s="76">
        <f>+CV3668*1100</f>
        <v>0</v>
      </c>
      <c r="CX3668" s="76"/>
      <c r="CY3668" s="76">
        <f>+CX3668*106250</f>
        <v>0</v>
      </c>
      <c r="CZ3668" s="76"/>
      <c r="DA3668" s="76">
        <f>+CZ3668*34500</f>
        <v>0</v>
      </c>
      <c r="DB3668" s="76"/>
      <c r="DC3668" s="76">
        <f>+DB3668*25000</f>
        <v>0</v>
      </c>
      <c r="DD3668" s="219"/>
      <c r="DE3668" s="219"/>
      <c r="DF3668" s="166"/>
      <c r="DG3668" s="116"/>
      <c r="DH3668" s="117"/>
      <c r="DI3668" s="24"/>
      <c r="DJ3668" s="24"/>
      <c r="DK3668" s="24"/>
      <c r="DL3668" s="24"/>
      <c r="DM3668" s="24"/>
      <c r="DN3668" s="24"/>
      <c r="DO3668" s="24"/>
      <c r="DP3668" s="24"/>
      <c r="DQ3668" s="24"/>
      <c r="DR3668" s="24"/>
      <c r="DS3668" s="24"/>
      <c r="DT3668" s="24"/>
      <c r="DU3668" s="24"/>
    </row>
    <row r="3669" spans="1:125" s="8" customFormat="1" ht="120" x14ac:dyDescent="0.2">
      <c r="A3669" s="77">
        <v>41596</v>
      </c>
      <c r="B3669" s="208" t="s">
        <v>2847</v>
      </c>
      <c r="C3669" s="354" t="s">
        <v>362</v>
      </c>
      <c r="D3669" s="354" t="s">
        <v>2859</v>
      </c>
      <c r="E3669" s="75" t="str">
        <f>VLOOKUP(B3669&amp;C3669,Divipola!$C$2:$F$1138,4,FALSE)</f>
        <v>68322</v>
      </c>
      <c r="F3669" s="87"/>
      <c r="G3669" s="87"/>
      <c r="H3669" s="87"/>
      <c r="I3669" s="87">
        <v>5</v>
      </c>
      <c r="J3669" s="87">
        <v>1</v>
      </c>
      <c r="K3669" s="87">
        <v>1</v>
      </c>
      <c r="L3669" s="87"/>
      <c r="M3669" s="87"/>
      <c r="N3669" s="87"/>
      <c r="O3669" s="87"/>
      <c r="P3669" s="87"/>
      <c r="Q3669" s="87"/>
      <c r="R3669" s="87"/>
      <c r="S3669" s="87"/>
      <c r="T3669" s="87"/>
      <c r="U3669" s="88"/>
      <c r="V3669" s="89"/>
      <c r="W3669" s="96">
        <v>0</v>
      </c>
      <c r="X3669" s="71">
        <f>CU3669</f>
        <v>0</v>
      </c>
      <c r="Y3669" s="71">
        <f>CY3669</f>
        <v>0</v>
      </c>
      <c r="Z3669" s="71">
        <f>DA3669+DC3669+DE3669</f>
        <v>0</v>
      </c>
      <c r="AA3669" s="71">
        <f>CW3669</f>
        <v>0</v>
      </c>
      <c r="AB3669" s="71"/>
      <c r="AC3669" s="71">
        <v>0</v>
      </c>
      <c r="AD3669" s="71">
        <f>W3669+X3669+Y3669+Z3669+AA3669+AB3669+AC3669</f>
        <v>0</v>
      </c>
      <c r="AE3669" s="72">
        <v>0</v>
      </c>
      <c r="AF3669" s="5"/>
      <c r="AG3669" s="6"/>
      <c r="AH3669" s="27"/>
      <c r="AI3669" s="44"/>
      <c r="AJ3669" s="26"/>
      <c r="AK3669" s="5"/>
      <c r="AL3669" s="82" t="s">
        <v>6678</v>
      </c>
      <c r="AM3669" s="76"/>
      <c r="AN3669" s="76"/>
      <c r="AO3669" s="76"/>
      <c r="AP3669" s="76"/>
      <c r="AQ3669" s="76"/>
      <c r="AR3669" s="76"/>
      <c r="AS3669" s="76"/>
      <c r="AT3669" s="76"/>
      <c r="AU3669" s="76"/>
      <c r="AV3669" s="76"/>
      <c r="AW3669" s="76"/>
      <c r="AX3669" s="76">
        <f>+AW3669*600000</f>
        <v>0</v>
      </c>
      <c r="AY3669" s="76"/>
      <c r="AZ3669" s="76">
        <f>+AY3669*70000</f>
        <v>0</v>
      </c>
      <c r="BA3669" s="76"/>
      <c r="BB3669" s="76"/>
      <c r="BC3669" s="76"/>
      <c r="BD3669" s="76">
        <f>+BC3669*30000</f>
        <v>0</v>
      </c>
      <c r="BE3669" s="76"/>
      <c r="BF3669" s="76"/>
      <c r="BG3669" s="76"/>
      <c r="BH3669" s="76"/>
      <c r="BI3669" s="76"/>
      <c r="BJ3669" s="76"/>
      <c r="BK3669" s="76"/>
      <c r="BL3669" s="76">
        <f>+BK3669*31500</f>
        <v>0</v>
      </c>
      <c r="BM3669" s="76"/>
      <c r="BN3669" s="76"/>
      <c r="BO3669" s="76"/>
      <c r="BP3669" s="76"/>
      <c r="BQ3669" s="76"/>
      <c r="BR3669" s="76"/>
      <c r="BS3669" s="76"/>
      <c r="BT3669" s="76"/>
      <c r="BU3669" s="76"/>
      <c r="BV3669" s="76"/>
      <c r="BW3669" s="76"/>
      <c r="BX3669" s="76"/>
      <c r="BY3669" s="76"/>
      <c r="BZ3669" s="76"/>
      <c r="CA3669" s="76"/>
      <c r="CB3669" s="76"/>
      <c r="CC3669" s="76"/>
      <c r="CD3669" s="76"/>
      <c r="CE3669" s="76"/>
      <c r="CF3669" s="76">
        <f>+CE3669*28000</f>
        <v>0</v>
      </c>
      <c r="CG3669" s="76"/>
      <c r="CH3669" s="76">
        <f>+CG3669*22500</f>
        <v>0</v>
      </c>
      <c r="CI3669" s="76"/>
      <c r="CJ3669" s="76">
        <f>+CI3669*26000</f>
        <v>0</v>
      </c>
      <c r="CK3669" s="76"/>
      <c r="CL3669" s="76"/>
      <c r="CM3669" s="76"/>
      <c r="CN3669" s="76">
        <f>+CM3669*22000</f>
        <v>0</v>
      </c>
      <c r="CO3669" s="76"/>
      <c r="CP3669" s="76">
        <f>+CO3669*46000</f>
        <v>0</v>
      </c>
      <c r="CQ3669" s="76"/>
      <c r="CR3669" s="76">
        <f>+CQ3669*49000</f>
        <v>0</v>
      </c>
      <c r="CS3669" s="76"/>
      <c r="CT3669" s="76"/>
      <c r="CU3669" s="56">
        <f>AN3669+AP3669+AR3669+AT3669+AV3669+AX3669+AZ3669+BB3669+BD3669+BF3669+BH3669+BJ3669+BL3669+BN3669+BP3669+BR3669+BT3669+BV3669+BX3669+BZ3669+CB3669+CD3669+CF3669+CH3669+CJ3669+CL3669+CN3669+CP3669+CR3669+CT3669</f>
        <v>0</v>
      </c>
      <c r="CV3669" s="76"/>
      <c r="CW3669" s="76">
        <f>+CV3669*1100</f>
        <v>0</v>
      </c>
      <c r="CX3669" s="76"/>
      <c r="CY3669" s="76">
        <f>+CX3669*106250</f>
        <v>0</v>
      </c>
      <c r="CZ3669" s="76"/>
      <c r="DA3669" s="76">
        <f>+CZ3669*34500</f>
        <v>0</v>
      </c>
      <c r="DB3669" s="76"/>
      <c r="DC3669" s="76">
        <f>+DB3669*25000</f>
        <v>0</v>
      </c>
      <c r="DD3669" s="219"/>
      <c r="DE3669" s="219"/>
      <c r="DF3669" s="166"/>
      <c r="DG3669" s="116"/>
      <c r="DH3669" s="117"/>
      <c r="DI3669" s="24"/>
      <c r="DJ3669" s="24"/>
      <c r="DK3669" s="24"/>
      <c r="DL3669" s="24"/>
      <c r="DM3669" s="24"/>
      <c r="DN3669" s="24"/>
      <c r="DO3669" s="24"/>
      <c r="DP3669" s="24"/>
      <c r="DQ3669" s="24"/>
      <c r="DR3669" s="24"/>
      <c r="DS3669" s="24"/>
      <c r="DT3669" s="24"/>
      <c r="DU3669" s="24"/>
    </row>
    <row r="3670" spans="1:125" s="8" customFormat="1" ht="48" x14ac:dyDescent="0.2">
      <c r="A3670" s="353">
        <v>41596</v>
      </c>
      <c r="B3670" s="78" t="s">
        <v>2855</v>
      </c>
      <c r="C3670" s="75" t="s">
        <v>904</v>
      </c>
      <c r="D3670" s="351" t="s">
        <v>2859</v>
      </c>
      <c r="E3670" s="75" t="str">
        <f>VLOOKUP(B3670&amp;C3670,Divipola!$C$2:$F$1138,4,FALSE)</f>
        <v>20178</v>
      </c>
      <c r="F3670" s="93"/>
      <c r="G3670" s="93"/>
      <c r="H3670" s="93"/>
      <c r="I3670" s="93">
        <v>5</v>
      </c>
      <c r="J3670" s="93">
        <v>1</v>
      </c>
      <c r="K3670" s="93">
        <v>1</v>
      </c>
      <c r="L3670" s="93"/>
      <c r="M3670" s="93"/>
      <c r="N3670" s="93"/>
      <c r="O3670" s="93"/>
      <c r="P3670" s="93"/>
      <c r="Q3670" s="93"/>
      <c r="R3670" s="93"/>
      <c r="S3670" s="93"/>
      <c r="T3670" s="93"/>
      <c r="U3670" s="93"/>
      <c r="V3670" s="89"/>
      <c r="W3670" s="96">
        <v>0</v>
      </c>
      <c r="X3670" s="71">
        <f>CU3670</f>
        <v>0</v>
      </c>
      <c r="Y3670" s="71">
        <f>CY3670</f>
        <v>0</v>
      </c>
      <c r="Z3670" s="71">
        <f>DA3670+DC3670+DE3670</f>
        <v>0</v>
      </c>
      <c r="AA3670" s="71">
        <f>CW3670</f>
        <v>0</v>
      </c>
      <c r="AB3670" s="71"/>
      <c r="AC3670" s="71">
        <v>0</v>
      </c>
      <c r="AD3670" s="71">
        <f>W3670+X3670+Y3670+Z3670+AA3670+AB3670+AC3670</f>
        <v>0</v>
      </c>
      <c r="AE3670" s="72">
        <v>0</v>
      </c>
      <c r="AF3670" s="5"/>
      <c r="AG3670" s="6"/>
      <c r="AH3670" s="27"/>
      <c r="AI3670" s="44"/>
      <c r="AJ3670" s="26"/>
      <c r="AK3670" s="5"/>
      <c r="AL3670" s="82" t="s">
        <v>6681</v>
      </c>
      <c r="AM3670" s="76"/>
      <c r="AN3670" s="76"/>
      <c r="AO3670" s="76"/>
      <c r="AP3670" s="76"/>
      <c r="AQ3670" s="76"/>
      <c r="AR3670" s="76"/>
      <c r="AS3670" s="76"/>
      <c r="AT3670" s="76"/>
      <c r="AU3670" s="76"/>
      <c r="AV3670" s="76"/>
      <c r="AW3670" s="76"/>
      <c r="AX3670" s="76">
        <f>+AW3670*600000</f>
        <v>0</v>
      </c>
      <c r="AY3670" s="76"/>
      <c r="AZ3670" s="76">
        <f>+AY3670*70000</f>
        <v>0</v>
      </c>
      <c r="BA3670" s="76"/>
      <c r="BB3670" s="76"/>
      <c r="BC3670" s="76"/>
      <c r="BD3670" s="76">
        <f>+BC3670*30000</f>
        <v>0</v>
      </c>
      <c r="BE3670" s="76"/>
      <c r="BF3670" s="76"/>
      <c r="BG3670" s="76"/>
      <c r="BH3670" s="76"/>
      <c r="BI3670" s="76"/>
      <c r="BJ3670" s="76"/>
      <c r="BK3670" s="76"/>
      <c r="BL3670" s="76">
        <f>+BK3670*31500</f>
        <v>0</v>
      </c>
      <c r="BM3670" s="76"/>
      <c r="BN3670" s="76"/>
      <c r="BO3670" s="76"/>
      <c r="BP3670" s="76"/>
      <c r="BQ3670" s="76"/>
      <c r="BR3670" s="76"/>
      <c r="BS3670" s="76"/>
      <c r="BT3670" s="76"/>
      <c r="BU3670" s="76"/>
      <c r="BV3670" s="76"/>
      <c r="BW3670" s="76"/>
      <c r="BX3670" s="76"/>
      <c r="BY3670" s="76"/>
      <c r="BZ3670" s="76"/>
      <c r="CA3670" s="76"/>
      <c r="CB3670" s="76"/>
      <c r="CC3670" s="76"/>
      <c r="CD3670" s="76"/>
      <c r="CE3670" s="76"/>
      <c r="CF3670" s="76">
        <f>+CE3670*28000</f>
        <v>0</v>
      </c>
      <c r="CG3670" s="76"/>
      <c r="CH3670" s="76">
        <f>+CG3670*22500</f>
        <v>0</v>
      </c>
      <c r="CI3670" s="76"/>
      <c r="CJ3670" s="76">
        <f>+CI3670*26000</f>
        <v>0</v>
      </c>
      <c r="CK3670" s="76"/>
      <c r="CL3670" s="76"/>
      <c r="CM3670" s="76"/>
      <c r="CN3670" s="76">
        <f>+CM3670*22000</f>
        <v>0</v>
      </c>
      <c r="CO3670" s="76"/>
      <c r="CP3670" s="76">
        <f>+CO3670*46000</f>
        <v>0</v>
      </c>
      <c r="CQ3670" s="76"/>
      <c r="CR3670" s="76">
        <f>+CQ3670*49000</f>
        <v>0</v>
      </c>
      <c r="CS3670" s="76"/>
      <c r="CT3670" s="76"/>
      <c r="CU3670" s="56">
        <f>AN3670+AP3670+AR3670+AT3670+AV3670+AX3670+AZ3670+BB3670+BD3670+BF3670+BH3670+BJ3670+BL3670+BN3670+BP3670+BR3670+BT3670+BV3670+BX3670+BZ3670+CB3670+CD3670+CF3670+CH3670+CJ3670+CL3670+CN3670+CP3670+CR3670+CT3670</f>
        <v>0</v>
      </c>
      <c r="CV3670" s="76"/>
      <c r="CW3670" s="76">
        <f>+CV3670*1100</f>
        <v>0</v>
      </c>
      <c r="CX3670" s="76"/>
      <c r="CY3670" s="76">
        <f>+CX3670*106250</f>
        <v>0</v>
      </c>
      <c r="CZ3670" s="76"/>
      <c r="DA3670" s="76">
        <f>+CZ3670*34500</f>
        <v>0</v>
      </c>
      <c r="DB3670" s="76"/>
      <c r="DC3670" s="76">
        <f>+DB3670*25000</f>
        <v>0</v>
      </c>
      <c r="DD3670" s="219"/>
      <c r="DE3670" s="219"/>
      <c r="DF3670" s="166"/>
      <c r="DG3670" s="116"/>
      <c r="DH3670" s="117"/>
      <c r="DI3670" s="24"/>
      <c r="DJ3670" s="24"/>
      <c r="DK3670" s="24"/>
      <c r="DL3670" s="24"/>
      <c r="DM3670" s="24"/>
      <c r="DN3670" s="24"/>
      <c r="DO3670" s="24"/>
      <c r="DP3670" s="24"/>
      <c r="DQ3670" s="24"/>
      <c r="DR3670" s="24"/>
      <c r="DS3670" s="24"/>
      <c r="DT3670" s="24"/>
      <c r="DU3670" s="24"/>
    </row>
    <row r="3671" spans="1:125" s="8" customFormat="1" ht="48" x14ac:dyDescent="0.2">
      <c r="A3671" s="353">
        <v>41596</v>
      </c>
      <c r="B3671" s="78" t="s">
        <v>2661</v>
      </c>
      <c r="C3671" s="75" t="s">
        <v>2054</v>
      </c>
      <c r="D3671" s="75" t="s">
        <v>3051</v>
      </c>
      <c r="E3671" s="75" t="str">
        <f>VLOOKUP(B3671&amp;C3671,Divipola!$C$2:$F$1138,4,FALSE)</f>
        <v>41319</v>
      </c>
      <c r="F3671" s="87"/>
      <c r="G3671" s="87"/>
      <c r="H3671" s="87"/>
      <c r="I3671" s="87">
        <v>25</v>
      </c>
      <c r="J3671" s="87">
        <v>5</v>
      </c>
      <c r="K3671" s="87"/>
      <c r="L3671" s="87">
        <v>5</v>
      </c>
      <c r="M3671" s="87"/>
      <c r="N3671" s="87"/>
      <c r="O3671" s="87"/>
      <c r="P3671" s="87"/>
      <c r="Q3671" s="87"/>
      <c r="R3671" s="87"/>
      <c r="S3671" s="87"/>
      <c r="T3671" s="87"/>
      <c r="U3671" s="88"/>
      <c r="V3671" s="89"/>
      <c r="W3671" s="96">
        <v>0</v>
      </c>
      <c r="X3671" s="71">
        <f>CU3671</f>
        <v>0</v>
      </c>
      <c r="Y3671" s="71">
        <f>CY3671</f>
        <v>0</v>
      </c>
      <c r="Z3671" s="71">
        <f>DA3671+DC3671+DE3671</f>
        <v>0</v>
      </c>
      <c r="AA3671" s="71">
        <f>CW3671</f>
        <v>0</v>
      </c>
      <c r="AB3671" s="71"/>
      <c r="AC3671" s="71">
        <v>0</v>
      </c>
      <c r="AD3671" s="71">
        <f>W3671+X3671+Y3671+Z3671+AA3671+AB3671+AC3671</f>
        <v>0</v>
      </c>
      <c r="AE3671" s="72">
        <v>0</v>
      </c>
      <c r="AF3671" s="5"/>
      <c r="AG3671" s="6"/>
      <c r="AH3671" s="27"/>
      <c r="AI3671" s="44"/>
      <c r="AJ3671" s="26"/>
      <c r="AK3671" s="5"/>
      <c r="AL3671" s="82" t="s">
        <v>6683</v>
      </c>
      <c r="AM3671" s="76"/>
      <c r="AN3671" s="76"/>
      <c r="AO3671" s="76"/>
      <c r="AP3671" s="76"/>
      <c r="AQ3671" s="76"/>
      <c r="AR3671" s="76"/>
      <c r="AS3671" s="76"/>
      <c r="AT3671" s="76"/>
      <c r="AU3671" s="76"/>
      <c r="AV3671" s="76"/>
      <c r="AW3671" s="76"/>
      <c r="AX3671" s="76">
        <f>+AW3671*600000</f>
        <v>0</v>
      </c>
      <c r="AY3671" s="76"/>
      <c r="AZ3671" s="76">
        <f>+AY3671*70000</f>
        <v>0</v>
      </c>
      <c r="BA3671" s="76"/>
      <c r="BB3671" s="76"/>
      <c r="BC3671" s="76"/>
      <c r="BD3671" s="76">
        <f>+BC3671*30000</f>
        <v>0</v>
      </c>
      <c r="BE3671" s="76"/>
      <c r="BF3671" s="76"/>
      <c r="BG3671" s="76"/>
      <c r="BH3671" s="76"/>
      <c r="BI3671" s="76"/>
      <c r="BJ3671" s="76"/>
      <c r="BK3671" s="76"/>
      <c r="BL3671" s="76">
        <f>+BK3671*31500</f>
        <v>0</v>
      </c>
      <c r="BM3671" s="76"/>
      <c r="BN3671" s="76"/>
      <c r="BO3671" s="76"/>
      <c r="BP3671" s="76"/>
      <c r="BQ3671" s="76"/>
      <c r="BR3671" s="76"/>
      <c r="BS3671" s="76"/>
      <c r="BT3671" s="76"/>
      <c r="BU3671" s="76"/>
      <c r="BV3671" s="76"/>
      <c r="BW3671" s="76"/>
      <c r="BX3671" s="76"/>
      <c r="BY3671" s="76"/>
      <c r="BZ3671" s="76"/>
      <c r="CA3671" s="76"/>
      <c r="CB3671" s="76"/>
      <c r="CC3671" s="76"/>
      <c r="CD3671" s="76"/>
      <c r="CE3671" s="76"/>
      <c r="CF3671" s="76">
        <f>+CE3671*28000</f>
        <v>0</v>
      </c>
      <c r="CG3671" s="76"/>
      <c r="CH3671" s="76">
        <f>+CG3671*22500</f>
        <v>0</v>
      </c>
      <c r="CI3671" s="76"/>
      <c r="CJ3671" s="76">
        <f>+CI3671*26000</f>
        <v>0</v>
      </c>
      <c r="CK3671" s="76"/>
      <c r="CL3671" s="76"/>
      <c r="CM3671" s="76"/>
      <c r="CN3671" s="76">
        <f>+CM3671*22000</f>
        <v>0</v>
      </c>
      <c r="CO3671" s="76"/>
      <c r="CP3671" s="76">
        <f>+CO3671*46000</f>
        <v>0</v>
      </c>
      <c r="CQ3671" s="76"/>
      <c r="CR3671" s="76">
        <f>+CQ3671*49000</f>
        <v>0</v>
      </c>
      <c r="CS3671" s="76"/>
      <c r="CT3671" s="76"/>
      <c r="CU3671" s="56">
        <f>AN3671+AP3671+AR3671+AT3671+AV3671+AX3671+AZ3671+BB3671+BD3671+BF3671+BH3671+BJ3671+BL3671+BN3671+BP3671+BR3671+BT3671+BV3671+BX3671+BZ3671+CB3671+CD3671+CF3671+CH3671+CJ3671+CL3671+CN3671+CP3671+CR3671+CT3671</f>
        <v>0</v>
      </c>
      <c r="CV3671" s="76"/>
      <c r="CW3671" s="76">
        <f>+CV3671*1100</f>
        <v>0</v>
      </c>
      <c r="CX3671" s="76"/>
      <c r="CY3671" s="76">
        <f>+CX3671*106250</f>
        <v>0</v>
      </c>
      <c r="CZ3671" s="76"/>
      <c r="DA3671" s="76">
        <f>+CZ3671*34500</f>
        <v>0</v>
      </c>
      <c r="DB3671" s="76"/>
      <c r="DC3671" s="76">
        <f>+DB3671*25000</f>
        <v>0</v>
      </c>
      <c r="DD3671" s="219"/>
      <c r="DE3671" s="219"/>
      <c r="DF3671" s="166"/>
      <c r="DG3671" s="116"/>
      <c r="DH3671" s="117"/>
      <c r="DI3671" s="24"/>
      <c r="DJ3671" s="24"/>
      <c r="DK3671" s="24"/>
      <c r="DL3671" s="24"/>
      <c r="DM3671" s="24"/>
      <c r="DN3671" s="24"/>
      <c r="DO3671" s="24"/>
      <c r="DP3671" s="24"/>
      <c r="DQ3671" s="24"/>
      <c r="DR3671" s="24"/>
      <c r="DS3671" s="24"/>
      <c r="DT3671" s="24"/>
      <c r="DU3671" s="24"/>
    </row>
    <row r="3672" spans="1:125" s="8" customFormat="1" ht="96" x14ac:dyDescent="0.2">
      <c r="A3672" s="353">
        <v>41596</v>
      </c>
      <c r="B3672" s="208" t="s">
        <v>2700</v>
      </c>
      <c r="C3672" s="354" t="s">
        <v>1705</v>
      </c>
      <c r="D3672" s="354" t="s">
        <v>3051</v>
      </c>
      <c r="E3672" s="75" t="str">
        <f>VLOOKUP(B3672&amp;C3672,Divipola!$C$2:$F$1138,4,FALSE)</f>
        <v>15572</v>
      </c>
      <c r="F3672" s="87"/>
      <c r="G3672" s="87"/>
      <c r="H3672" s="87"/>
      <c r="I3672" s="87">
        <v>200</v>
      </c>
      <c r="J3672" s="87">
        <v>40</v>
      </c>
      <c r="K3672" s="87"/>
      <c r="L3672" s="87">
        <v>40</v>
      </c>
      <c r="M3672" s="87"/>
      <c r="N3672" s="87"/>
      <c r="O3672" s="87"/>
      <c r="P3672" s="87"/>
      <c r="Q3672" s="87"/>
      <c r="R3672" s="87"/>
      <c r="S3672" s="87"/>
      <c r="T3672" s="87"/>
      <c r="U3672" s="88"/>
      <c r="V3672" s="89"/>
      <c r="W3672" s="96">
        <v>0</v>
      </c>
      <c r="X3672" s="71">
        <f>CU3672</f>
        <v>0</v>
      </c>
      <c r="Y3672" s="71">
        <f>CY3672</f>
        <v>0</v>
      </c>
      <c r="Z3672" s="71">
        <f>DA3672+DC3672+DE3672</f>
        <v>0</v>
      </c>
      <c r="AA3672" s="71">
        <f>CW3672</f>
        <v>0</v>
      </c>
      <c r="AB3672" s="71"/>
      <c r="AC3672" s="71">
        <v>0</v>
      </c>
      <c r="AD3672" s="71">
        <f>W3672+X3672+Y3672+Z3672+AA3672+AB3672+AC3672</f>
        <v>0</v>
      </c>
      <c r="AE3672" s="72">
        <v>0</v>
      </c>
      <c r="AF3672" s="5"/>
      <c r="AG3672" s="6"/>
      <c r="AH3672" s="27"/>
      <c r="AI3672" s="44"/>
      <c r="AJ3672" s="26"/>
      <c r="AK3672" s="5"/>
      <c r="AL3672" s="82" t="s">
        <v>6684</v>
      </c>
      <c r="AM3672" s="76"/>
      <c r="AN3672" s="76"/>
      <c r="AO3672" s="76"/>
      <c r="AP3672" s="76"/>
      <c r="AQ3672" s="76"/>
      <c r="AR3672" s="76"/>
      <c r="AS3672" s="76"/>
      <c r="AT3672" s="76"/>
      <c r="AU3672" s="76"/>
      <c r="AV3672" s="76"/>
      <c r="AW3672" s="76"/>
      <c r="AX3672" s="76">
        <f>+AW3672*600000</f>
        <v>0</v>
      </c>
      <c r="AY3672" s="76"/>
      <c r="AZ3672" s="76">
        <f>+AY3672*70000</f>
        <v>0</v>
      </c>
      <c r="BA3672" s="76"/>
      <c r="BB3672" s="76"/>
      <c r="BC3672" s="76"/>
      <c r="BD3672" s="76">
        <f>+BC3672*30000</f>
        <v>0</v>
      </c>
      <c r="BE3672" s="76"/>
      <c r="BF3672" s="76"/>
      <c r="BG3672" s="76"/>
      <c r="BH3672" s="76"/>
      <c r="BI3672" s="76"/>
      <c r="BJ3672" s="76"/>
      <c r="BK3672" s="76"/>
      <c r="BL3672" s="76">
        <f>+BK3672*31500</f>
        <v>0</v>
      </c>
      <c r="BM3672" s="76"/>
      <c r="BN3672" s="76"/>
      <c r="BO3672" s="76"/>
      <c r="BP3672" s="76"/>
      <c r="BQ3672" s="76"/>
      <c r="BR3672" s="76"/>
      <c r="BS3672" s="76"/>
      <c r="BT3672" s="76"/>
      <c r="BU3672" s="76"/>
      <c r="BV3672" s="76"/>
      <c r="BW3672" s="76"/>
      <c r="BX3672" s="76"/>
      <c r="BY3672" s="76"/>
      <c r="BZ3672" s="76"/>
      <c r="CA3672" s="76"/>
      <c r="CB3672" s="76"/>
      <c r="CC3672" s="76"/>
      <c r="CD3672" s="76"/>
      <c r="CE3672" s="76"/>
      <c r="CF3672" s="76">
        <f>+CE3672*28000</f>
        <v>0</v>
      </c>
      <c r="CG3672" s="76"/>
      <c r="CH3672" s="76">
        <f>+CG3672*22500</f>
        <v>0</v>
      </c>
      <c r="CI3672" s="76"/>
      <c r="CJ3672" s="76">
        <f>+CI3672*26000</f>
        <v>0</v>
      </c>
      <c r="CK3672" s="76"/>
      <c r="CL3672" s="76"/>
      <c r="CM3672" s="76"/>
      <c r="CN3672" s="76">
        <f>+CM3672*22000</f>
        <v>0</v>
      </c>
      <c r="CO3672" s="76"/>
      <c r="CP3672" s="76">
        <f>+CO3672*46000</f>
        <v>0</v>
      </c>
      <c r="CQ3672" s="76"/>
      <c r="CR3672" s="76">
        <f>+CQ3672*49000</f>
        <v>0</v>
      </c>
      <c r="CS3672" s="76"/>
      <c r="CT3672" s="76"/>
      <c r="CU3672" s="56">
        <f>AN3672+AP3672+AR3672+AT3672+AV3672+AX3672+AZ3672+BB3672+BD3672+BF3672+BH3672+BJ3672+BL3672+BN3672+BP3672+BR3672+BT3672+BV3672+BX3672+BZ3672+CB3672+CD3672+CF3672+CH3672+CJ3672+CL3672+CN3672+CP3672+CR3672+CT3672</f>
        <v>0</v>
      </c>
      <c r="CV3672" s="76"/>
      <c r="CW3672" s="76">
        <f>+CV3672*1100</f>
        <v>0</v>
      </c>
      <c r="CX3672" s="76"/>
      <c r="CY3672" s="76">
        <f>+CX3672*106250</f>
        <v>0</v>
      </c>
      <c r="CZ3672" s="76"/>
      <c r="DA3672" s="76">
        <f>+CZ3672*34500</f>
        <v>0</v>
      </c>
      <c r="DB3672" s="76"/>
      <c r="DC3672" s="76">
        <f>+DB3672*25000</f>
        <v>0</v>
      </c>
      <c r="DD3672" s="219"/>
      <c r="DE3672" s="219"/>
      <c r="DF3672" s="166"/>
      <c r="DG3672" s="116"/>
      <c r="DH3672" s="117"/>
      <c r="DI3672" s="24"/>
      <c r="DJ3672" s="24"/>
      <c r="DK3672" s="24"/>
      <c r="DL3672" s="24"/>
      <c r="DM3672" s="24"/>
      <c r="DN3672" s="24"/>
      <c r="DO3672" s="24"/>
      <c r="DP3672" s="24"/>
      <c r="DQ3672" s="24"/>
      <c r="DR3672" s="24"/>
      <c r="DS3672" s="24"/>
      <c r="DT3672" s="24"/>
      <c r="DU3672" s="24"/>
    </row>
    <row r="3673" spans="1:125" s="8" customFormat="1" ht="36" x14ac:dyDescent="0.2">
      <c r="A3673" s="353">
        <v>41596</v>
      </c>
      <c r="B3673" s="352" t="s">
        <v>2778</v>
      </c>
      <c r="C3673" s="354" t="s">
        <v>2194</v>
      </c>
      <c r="D3673" s="354" t="s">
        <v>2846</v>
      </c>
      <c r="E3673" s="75" t="str">
        <f>VLOOKUP(B3673&amp;C3673,Divipola!$C$2:$F$1138,4,FALSE)</f>
        <v>85010</v>
      </c>
      <c r="F3673" s="87"/>
      <c r="G3673" s="87"/>
      <c r="H3673" s="87"/>
      <c r="I3673" s="87"/>
      <c r="J3673" s="87"/>
      <c r="K3673" s="87"/>
      <c r="L3673" s="87"/>
      <c r="M3673" s="87"/>
      <c r="N3673" s="87"/>
      <c r="O3673" s="87"/>
      <c r="P3673" s="87"/>
      <c r="Q3673" s="87"/>
      <c r="R3673" s="87"/>
      <c r="S3673" s="87"/>
      <c r="T3673" s="87"/>
      <c r="U3673" s="88">
        <v>1</v>
      </c>
      <c r="V3673" s="89"/>
      <c r="W3673" s="96">
        <v>0</v>
      </c>
      <c r="X3673" s="71">
        <f>CU3673</f>
        <v>0</v>
      </c>
      <c r="Y3673" s="71">
        <f>CY3673</f>
        <v>0</v>
      </c>
      <c r="Z3673" s="71">
        <f>DA3673+DC3673+DE3673</f>
        <v>0</v>
      </c>
      <c r="AA3673" s="71">
        <f>CW3673</f>
        <v>0</v>
      </c>
      <c r="AB3673" s="71"/>
      <c r="AC3673" s="71">
        <v>0</v>
      </c>
      <c r="AD3673" s="71">
        <f>W3673+X3673+Y3673+Z3673+AA3673+AB3673+AC3673</f>
        <v>0</v>
      </c>
      <c r="AE3673" s="72">
        <v>0</v>
      </c>
      <c r="AF3673" s="5"/>
      <c r="AG3673" s="6"/>
      <c r="AH3673" s="27"/>
      <c r="AI3673" s="44"/>
      <c r="AJ3673" s="26"/>
      <c r="AK3673" s="5"/>
      <c r="AL3673" s="82" t="s">
        <v>6690</v>
      </c>
      <c r="AM3673" s="76"/>
      <c r="AN3673" s="76"/>
      <c r="AO3673" s="76"/>
      <c r="AP3673" s="76"/>
      <c r="AQ3673" s="76"/>
      <c r="AR3673" s="76"/>
      <c r="AS3673" s="76"/>
      <c r="AT3673" s="76"/>
      <c r="AU3673" s="76"/>
      <c r="AV3673" s="76"/>
      <c r="AW3673" s="76"/>
      <c r="AX3673" s="76">
        <f>+AW3673*600000</f>
        <v>0</v>
      </c>
      <c r="AY3673" s="76"/>
      <c r="AZ3673" s="76">
        <f>+AY3673*70000</f>
        <v>0</v>
      </c>
      <c r="BA3673" s="76"/>
      <c r="BB3673" s="76"/>
      <c r="BC3673" s="76"/>
      <c r="BD3673" s="76">
        <f>+BC3673*30000</f>
        <v>0</v>
      </c>
      <c r="BE3673" s="76"/>
      <c r="BF3673" s="76"/>
      <c r="BG3673" s="76"/>
      <c r="BH3673" s="76"/>
      <c r="BI3673" s="76"/>
      <c r="BJ3673" s="76"/>
      <c r="BK3673" s="76"/>
      <c r="BL3673" s="76">
        <f>+BK3673*31500</f>
        <v>0</v>
      </c>
      <c r="BM3673" s="76"/>
      <c r="BN3673" s="76"/>
      <c r="BO3673" s="76"/>
      <c r="BP3673" s="76"/>
      <c r="BQ3673" s="76"/>
      <c r="BR3673" s="76"/>
      <c r="BS3673" s="76"/>
      <c r="BT3673" s="76"/>
      <c r="BU3673" s="76"/>
      <c r="BV3673" s="76"/>
      <c r="BW3673" s="76"/>
      <c r="BX3673" s="76"/>
      <c r="BY3673" s="76"/>
      <c r="BZ3673" s="76"/>
      <c r="CA3673" s="76"/>
      <c r="CB3673" s="76"/>
      <c r="CC3673" s="76"/>
      <c r="CD3673" s="76"/>
      <c r="CE3673" s="76"/>
      <c r="CF3673" s="76">
        <f>+CE3673*28000</f>
        <v>0</v>
      </c>
      <c r="CG3673" s="76"/>
      <c r="CH3673" s="76">
        <f>+CG3673*22500</f>
        <v>0</v>
      </c>
      <c r="CI3673" s="76"/>
      <c r="CJ3673" s="76">
        <f>+CI3673*26000</f>
        <v>0</v>
      </c>
      <c r="CK3673" s="76"/>
      <c r="CL3673" s="76"/>
      <c r="CM3673" s="76"/>
      <c r="CN3673" s="76">
        <f>+CM3673*22000</f>
        <v>0</v>
      </c>
      <c r="CO3673" s="76"/>
      <c r="CP3673" s="76">
        <f>+CO3673*46000</f>
        <v>0</v>
      </c>
      <c r="CQ3673" s="76"/>
      <c r="CR3673" s="76">
        <f>+CQ3673*49000</f>
        <v>0</v>
      </c>
      <c r="CS3673" s="76"/>
      <c r="CT3673" s="76"/>
      <c r="CU3673" s="56">
        <f>AN3673+AP3673+AR3673+AT3673+AV3673+AX3673+AZ3673+BB3673+BD3673+BF3673+BH3673+BJ3673+BL3673+BN3673+BP3673+BR3673+BT3673+BV3673+BX3673+BZ3673+CB3673+CD3673+CF3673+CH3673+CJ3673+CL3673+CN3673+CP3673+CR3673+CT3673</f>
        <v>0</v>
      </c>
      <c r="CV3673" s="76"/>
      <c r="CW3673" s="76">
        <f>+CV3673*1100</f>
        <v>0</v>
      </c>
      <c r="CX3673" s="76"/>
      <c r="CY3673" s="76">
        <f>+CX3673*106250</f>
        <v>0</v>
      </c>
      <c r="CZ3673" s="76"/>
      <c r="DA3673" s="76">
        <f>+CZ3673*34500</f>
        <v>0</v>
      </c>
      <c r="DB3673" s="76"/>
      <c r="DC3673" s="76">
        <f>+DB3673*25000</f>
        <v>0</v>
      </c>
      <c r="DD3673" s="219"/>
      <c r="DE3673" s="219"/>
      <c r="DF3673" s="166"/>
      <c r="DG3673" s="116"/>
      <c r="DH3673" s="117"/>
      <c r="DI3673" s="24"/>
      <c r="DJ3673" s="24"/>
      <c r="DK3673" s="24"/>
      <c r="DL3673" s="24"/>
      <c r="DM3673" s="24"/>
      <c r="DN3673" s="24"/>
      <c r="DO3673" s="24"/>
      <c r="DP3673" s="24"/>
      <c r="DQ3673" s="24"/>
      <c r="DR3673" s="24"/>
      <c r="DS3673" s="24"/>
      <c r="DT3673" s="24"/>
      <c r="DU3673" s="24"/>
    </row>
    <row r="3674" spans="1:125" s="8" customFormat="1" ht="84" x14ac:dyDescent="0.2">
      <c r="A3674" s="353">
        <v>41596</v>
      </c>
      <c r="B3674" s="352" t="s">
        <v>2661</v>
      </c>
      <c r="C3674" s="354" t="s">
        <v>517</v>
      </c>
      <c r="D3674" s="354" t="s">
        <v>3051</v>
      </c>
      <c r="E3674" s="75" t="str">
        <f>VLOOKUP(B3674&amp;C3674,Divipola!$C$2:$F$1138,4,FALSE)</f>
        <v>41298</v>
      </c>
      <c r="F3674" s="87"/>
      <c r="G3674" s="87"/>
      <c r="H3674" s="87"/>
      <c r="I3674" s="87">
        <v>640</v>
      </c>
      <c r="J3674" s="87">
        <v>128</v>
      </c>
      <c r="K3674" s="87"/>
      <c r="L3674" s="87">
        <v>128</v>
      </c>
      <c r="M3674" s="87"/>
      <c r="N3674" s="87"/>
      <c r="O3674" s="87"/>
      <c r="P3674" s="87"/>
      <c r="Q3674" s="87"/>
      <c r="R3674" s="87"/>
      <c r="S3674" s="87"/>
      <c r="T3674" s="87"/>
      <c r="U3674" s="88"/>
      <c r="V3674" s="89"/>
      <c r="W3674" s="96">
        <v>0</v>
      </c>
      <c r="X3674" s="71">
        <f>CU3674</f>
        <v>0</v>
      </c>
      <c r="Y3674" s="71">
        <f>CY3674</f>
        <v>0</v>
      </c>
      <c r="Z3674" s="71">
        <f>DA3674+DC3674+DE3674</f>
        <v>0</v>
      </c>
      <c r="AA3674" s="71">
        <f>CW3674</f>
        <v>0</v>
      </c>
      <c r="AB3674" s="71"/>
      <c r="AC3674" s="71">
        <v>0</v>
      </c>
      <c r="AD3674" s="71">
        <f>W3674+X3674+Y3674+Z3674+AA3674+AB3674+AC3674</f>
        <v>0</v>
      </c>
      <c r="AE3674" s="72">
        <v>0</v>
      </c>
      <c r="AF3674" s="5"/>
      <c r="AG3674" s="6"/>
      <c r="AH3674" s="27"/>
      <c r="AI3674" s="44"/>
      <c r="AJ3674" s="26"/>
      <c r="AK3674" s="5"/>
      <c r="AL3674" s="82" t="s">
        <v>6692</v>
      </c>
      <c r="AM3674" s="76"/>
      <c r="AN3674" s="76"/>
      <c r="AO3674" s="76"/>
      <c r="AP3674" s="76"/>
      <c r="AQ3674" s="76"/>
      <c r="AR3674" s="76"/>
      <c r="AS3674" s="76"/>
      <c r="AT3674" s="76"/>
      <c r="AU3674" s="76"/>
      <c r="AV3674" s="76"/>
      <c r="AW3674" s="76"/>
      <c r="AX3674" s="76">
        <f>+AW3674*600000</f>
        <v>0</v>
      </c>
      <c r="AY3674" s="76"/>
      <c r="AZ3674" s="76">
        <f>+AY3674*70000</f>
        <v>0</v>
      </c>
      <c r="BA3674" s="76"/>
      <c r="BB3674" s="76"/>
      <c r="BC3674" s="76"/>
      <c r="BD3674" s="76">
        <f>+BC3674*30000</f>
        <v>0</v>
      </c>
      <c r="BE3674" s="76"/>
      <c r="BF3674" s="76"/>
      <c r="BG3674" s="76"/>
      <c r="BH3674" s="76"/>
      <c r="BI3674" s="76"/>
      <c r="BJ3674" s="76"/>
      <c r="BK3674" s="76"/>
      <c r="BL3674" s="76">
        <f>+BK3674*31500</f>
        <v>0</v>
      </c>
      <c r="BM3674" s="76"/>
      <c r="BN3674" s="76"/>
      <c r="BO3674" s="76"/>
      <c r="BP3674" s="76"/>
      <c r="BQ3674" s="76"/>
      <c r="BR3674" s="76"/>
      <c r="BS3674" s="76"/>
      <c r="BT3674" s="76"/>
      <c r="BU3674" s="76"/>
      <c r="BV3674" s="76"/>
      <c r="BW3674" s="76"/>
      <c r="BX3674" s="76"/>
      <c r="BY3674" s="76"/>
      <c r="BZ3674" s="76"/>
      <c r="CA3674" s="76"/>
      <c r="CB3674" s="76"/>
      <c r="CC3674" s="76"/>
      <c r="CD3674" s="76"/>
      <c r="CE3674" s="76"/>
      <c r="CF3674" s="76">
        <f>+CE3674*28000</f>
        <v>0</v>
      </c>
      <c r="CG3674" s="76"/>
      <c r="CH3674" s="76">
        <f>+CG3674*22500</f>
        <v>0</v>
      </c>
      <c r="CI3674" s="76"/>
      <c r="CJ3674" s="76">
        <f>+CI3674*26000</f>
        <v>0</v>
      </c>
      <c r="CK3674" s="76"/>
      <c r="CL3674" s="76"/>
      <c r="CM3674" s="76"/>
      <c r="CN3674" s="76">
        <f>+CM3674*22000</f>
        <v>0</v>
      </c>
      <c r="CO3674" s="76"/>
      <c r="CP3674" s="76">
        <f>+CO3674*46000</f>
        <v>0</v>
      </c>
      <c r="CQ3674" s="76"/>
      <c r="CR3674" s="76">
        <f>+CQ3674*49000</f>
        <v>0</v>
      </c>
      <c r="CS3674" s="76"/>
      <c r="CT3674" s="76"/>
      <c r="CU3674" s="56">
        <f>AN3674+AP3674+AR3674+AT3674+AV3674+AX3674+AZ3674+BB3674+BD3674+BF3674+BH3674+BJ3674+BL3674+BN3674+BP3674+BR3674+BT3674+BV3674+BX3674+BZ3674+CB3674+CD3674+CF3674+CH3674+CJ3674+CL3674+CN3674+CP3674+CR3674+CT3674</f>
        <v>0</v>
      </c>
      <c r="CV3674" s="76"/>
      <c r="CW3674" s="76">
        <f>+CV3674*1100</f>
        <v>0</v>
      </c>
      <c r="CX3674" s="76"/>
      <c r="CY3674" s="76">
        <f>+CX3674*106250</f>
        <v>0</v>
      </c>
      <c r="CZ3674" s="76"/>
      <c r="DA3674" s="76">
        <f>+CZ3674*34500</f>
        <v>0</v>
      </c>
      <c r="DB3674" s="76"/>
      <c r="DC3674" s="76">
        <f>+DB3674*25000</f>
        <v>0</v>
      </c>
      <c r="DD3674" s="219"/>
      <c r="DE3674" s="219"/>
      <c r="DF3674" s="166"/>
      <c r="DG3674" s="116"/>
      <c r="DH3674" s="117"/>
      <c r="DI3674" s="24"/>
      <c r="DJ3674" s="24"/>
      <c r="DK3674" s="24"/>
      <c r="DL3674" s="24"/>
      <c r="DM3674" s="24"/>
      <c r="DN3674" s="24"/>
      <c r="DO3674" s="24"/>
      <c r="DP3674" s="24"/>
      <c r="DQ3674" s="24"/>
      <c r="DR3674" s="24"/>
      <c r="DS3674" s="24"/>
      <c r="DT3674" s="24"/>
      <c r="DU3674" s="24"/>
    </row>
    <row r="3675" spans="1:125" s="8" customFormat="1" ht="36" x14ac:dyDescent="0.2">
      <c r="A3675" s="77">
        <v>41596</v>
      </c>
      <c r="B3675" s="78" t="s">
        <v>2811</v>
      </c>
      <c r="C3675" s="75" t="s">
        <v>170</v>
      </c>
      <c r="D3675" s="75" t="s">
        <v>3088</v>
      </c>
      <c r="E3675" s="75" t="str">
        <f>VLOOKUP(B3675&amp;C3675,Divipola!$C$2:$F$1138,4,FALSE)</f>
        <v>52378</v>
      </c>
      <c r="F3675" s="87"/>
      <c r="G3675" s="87"/>
      <c r="H3675" s="87"/>
      <c r="I3675" s="87">
        <v>5</v>
      </c>
      <c r="J3675" s="87">
        <v>1</v>
      </c>
      <c r="K3675" s="87"/>
      <c r="L3675" s="87">
        <v>1</v>
      </c>
      <c r="M3675" s="87"/>
      <c r="N3675" s="87"/>
      <c r="O3675" s="87"/>
      <c r="P3675" s="87"/>
      <c r="Q3675" s="87"/>
      <c r="R3675" s="87"/>
      <c r="S3675" s="87"/>
      <c r="T3675" s="87"/>
      <c r="U3675" s="88"/>
      <c r="V3675" s="89"/>
      <c r="W3675" s="96">
        <v>0</v>
      </c>
      <c r="X3675" s="71">
        <f>CU3675</f>
        <v>0</v>
      </c>
      <c r="Y3675" s="71">
        <f>CY3675</f>
        <v>0</v>
      </c>
      <c r="Z3675" s="71">
        <f>DA3675+DC3675+DE3675</f>
        <v>0</v>
      </c>
      <c r="AA3675" s="71">
        <f>CW3675</f>
        <v>0</v>
      </c>
      <c r="AB3675" s="71"/>
      <c r="AC3675" s="71">
        <v>0</v>
      </c>
      <c r="AD3675" s="71">
        <f>W3675+X3675+Y3675+Z3675+AA3675+AB3675+AC3675</f>
        <v>0</v>
      </c>
      <c r="AE3675" s="72">
        <v>0</v>
      </c>
      <c r="AF3675" s="5"/>
      <c r="AG3675" s="6"/>
      <c r="AH3675" s="27"/>
      <c r="AI3675" s="44"/>
      <c r="AJ3675" s="26"/>
      <c r="AK3675" s="5"/>
      <c r="AL3675" s="274" t="s">
        <v>6694</v>
      </c>
      <c r="AM3675" s="76"/>
      <c r="AN3675" s="76"/>
      <c r="AO3675" s="76"/>
      <c r="AP3675" s="76"/>
      <c r="AQ3675" s="76"/>
      <c r="AR3675" s="76"/>
      <c r="AS3675" s="76"/>
      <c r="AT3675" s="76"/>
      <c r="AU3675" s="76"/>
      <c r="AV3675" s="76"/>
      <c r="AW3675" s="76"/>
      <c r="AX3675" s="76">
        <f>+AW3675*600000</f>
        <v>0</v>
      </c>
      <c r="AY3675" s="76"/>
      <c r="AZ3675" s="76">
        <f>+AY3675*70000</f>
        <v>0</v>
      </c>
      <c r="BA3675" s="76"/>
      <c r="BB3675" s="76"/>
      <c r="BC3675" s="76"/>
      <c r="BD3675" s="76">
        <f>+BC3675*30000</f>
        <v>0</v>
      </c>
      <c r="BE3675" s="76"/>
      <c r="BF3675" s="76"/>
      <c r="BG3675" s="76"/>
      <c r="BH3675" s="76"/>
      <c r="BI3675" s="76"/>
      <c r="BJ3675" s="76"/>
      <c r="BK3675" s="76"/>
      <c r="BL3675" s="76">
        <f>+BK3675*31500</f>
        <v>0</v>
      </c>
      <c r="BM3675" s="76"/>
      <c r="BN3675" s="76"/>
      <c r="BO3675" s="76"/>
      <c r="BP3675" s="76"/>
      <c r="BQ3675" s="76"/>
      <c r="BR3675" s="76"/>
      <c r="BS3675" s="76"/>
      <c r="BT3675" s="76"/>
      <c r="BU3675" s="76"/>
      <c r="BV3675" s="76"/>
      <c r="BW3675" s="76"/>
      <c r="BX3675" s="76"/>
      <c r="BY3675" s="76"/>
      <c r="BZ3675" s="76"/>
      <c r="CA3675" s="76"/>
      <c r="CB3675" s="76"/>
      <c r="CC3675" s="76"/>
      <c r="CD3675" s="76"/>
      <c r="CE3675" s="76"/>
      <c r="CF3675" s="76">
        <f>+CE3675*28000</f>
        <v>0</v>
      </c>
      <c r="CG3675" s="76"/>
      <c r="CH3675" s="76">
        <f>+CG3675*22500</f>
        <v>0</v>
      </c>
      <c r="CI3675" s="76"/>
      <c r="CJ3675" s="76">
        <f>+CI3675*26000</f>
        <v>0</v>
      </c>
      <c r="CK3675" s="76"/>
      <c r="CL3675" s="76"/>
      <c r="CM3675" s="76"/>
      <c r="CN3675" s="76">
        <f>+CM3675*22000</f>
        <v>0</v>
      </c>
      <c r="CO3675" s="76"/>
      <c r="CP3675" s="76">
        <f>+CO3675*46000</f>
        <v>0</v>
      </c>
      <c r="CQ3675" s="76"/>
      <c r="CR3675" s="76">
        <f>+CQ3675*49000</f>
        <v>0</v>
      </c>
      <c r="CS3675" s="76"/>
      <c r="CT3675" s="76"/>
      <c r="CU3675" s="56">
        <f>AN3675+AP3675+AR3675+AT3675+AV3675+AX3675+AZ3675+BB3675+BD3675+BF3675+BH3675+BJ3675+BL3675+BN3675+BP3675+BR3675+BT3675+BV3675+BX3675+BZ3675+CB3675+CD3675+CF3675+CH3675+CJ3675+CL3675+CN3675+CP3675+CR3675+CT3675</f>
        <v>0</v>
      </c>
      <c r="CV3675" s="76"/>
      <c r="CW3675" s="76">
        <f>+CV3675*1100</f>
        <v>0</v>
      </c>
      <c r="CX3675" s="76"/>
      <c r="CY3675" s="76">
        <f>+CX3675*106250</f>
        <v>0</v>
      </c>
      <c r="CZ3675" s="76"/>
      <c r="DA3675" s="76">
        <f>+CZ3675*34500</f>
        <v>0</v>
      </c>
      <c r="DB3675" s="76"/>
      <c r="DC3675" s="76">
        <f>+DB3675*25000</f>
        <v>0</v>
      </c>
      <c r="DD3675" s="219"/>
      <c r="DE3675" s="219"/>
      <c r="DF3675" s="166"/>
      <c r="DG3675" s="116"/>
      <c r="DH3675" s="117"/>
      <c r="DI3675" s="24"/>
      <c r="DJ3675" s="24"/>
      <c r="DK3675" s="24"/>
      <c r="DL3675" s="24"/>
      <c r="DM3675" s="24"/>
      <c r="DN3675" s="24"/>
      <c r="DO3675" s="24"/>
      <c r="DP3675" s="24"/>
      <c r="DQ3675" s="24"/>
      <c r="DR3675" s="24"/>
      <c r="DS3675" s="24"/>
      <c r="DT3675" s="24"/>
      <c r="DU3675" s="24"/>
    </row>
    <row r="3676" spans="1:125" s="8" customFormat="1" ht="84" x14ac:dyDescent="0.2">
      <c r="A3676" s="77">
        <v>41596</v>
      </c>
      <c r="B3676" s="352" t="s">
        <v>529</v>
      </c>
      <c r="C3676" s="352" t="s">
        <v>529</v>
      </c>
      <c r="D3676" s="354" t="s">
        <v>3463</v>
      </c>
      <c r="E3676" s="75" t="str">
        <f>VLOOKUP(B3676&amp;C3676,Divipola!$C$2:$F$1138,4,FALSE)</f>
        <v>11001</v>
      </c>
      <c r="F3676" s="87"/>
      <c r="G3676" s="87"/>
      <c r="H3676" s="87"/>
      <c r="I3676" s="87">
        <v>44</v>
      </c>
      <c r="J3676" s="87">
        <v>14</v>
      </c>
      <c r="K3676" s="87"/>
      <c r="L3676" s="87">
        <v>14</v>
      </c>
      <c r="M3676" s="87"/>
      <c r="N3676" s="87"/>
      <c r="O3676" s="87"/>
      <c r="P3676" s="87"/>
      <c r="Q3676" s="87"/>
      <c r="R3676" s="87"/>
      <c r="S3676" s="87"/>
      <c r="T3676" s="87"/>
      <c r="U3676" s="88"/>
      <c r="V3676" s="89"/>
      <c r="W3676" s="96">
        <v>0</v>
      </c>
      <c r="X3676" s="71">
        <f>CU3676</f>
        <v>0</v>
      </c>
      <c r="Y3676" s="71">
        <f>CY3676</f>
        <v>0</v>
      </c>
      <c r="Z3676" s="71">
        <f>DA3676+DC3676+DE3676</f>
        <v>0</v>
      </c>
      <c r="AA3676" s="71">
        <f>CW3676</f>
        <v>0</v>
      </c>
      <c r="AB3676" s="71"/>
      <c r="AC3676" s="71">
        <v>0</v>
      </c>
      <c r="AD3676" s="71">
        <f>W3676+X3676+Y3676+Z3676+AA3676+AB3676+AC3676</f>
        <v>0</v>
      </c>
      <c r="AE3676" s="72">
        <v>0</v>
      </c>
      <c r="AF3676" s="5"/>
      <c r="AG3676" s="6"/>
      <c r="AH3676" s="27"/>
      <c r="AI3676" s="44"/>
      <c r="AJ3676" s="26"/>
      <c r="AK3676" s="5"/>
      <c r="AL3676" s="82" t="s">
        <v>6696</v>
      </c>
      <c r="AM3676" s="76"/>
      <c r="AN3676" s="76"/>
      <c r="AO3676" s="76"/>
      <c r="AP3676" s="76"/>
      <c r="AQ3676" s="76"/>
      <c r="AR3676" s="76"/>
      <c r="AS3676" s="76"/>
      <c r="AT3676" s="76"/>
      <c r="AU3676" s="76"/>
      <c r="AV3676" s="76"/>
      <c r="AW3676" s="76"/>
      <c r="AX3676" s="76">
        <f>+AW3676*600000</f>
        <v>0</v>
      </c>
      <c r="AY3676" s="76"/>
      <c r="AZ3676" s="76">
        <f>+AY3676*70000</f>
        <v>0</v>
      </c>
      <c r="BA3676" s="76"/>
      <c r="BB3676" s="76"/>
      <c r="BC3676" s="76"/>
      <c r="BD3676" s="76">
        <f>+BC3676*30000</f>
        <v>0</v>
      </c>
      <c r="BE3676" s="76"/>
      <c r="BF3676" s="76"/>
      <c r="BG3676" s="76"/>
      <c r="BH3676" s="76"/>
      <c r="BI3676" s="76"/>
      <c r="BJ3676" s="76"/>
      <c r="BK3676" s="76"/>
      <c r="BL3676" s="76">
        <f>+BK3676*31500</f>
        <v>0</v>
      </c>
      <c r="BM3676" s="76"/>
      <c r="BN3676" s="76"/>
      <c r="BO3676" s="76"/>
      <c r="BP3676" s="76"/>
      <c r="BQ3676" s="76"/>
      <c r="BR3676" s="76"/>
      <c r="BS3676" s="76"/>
      <c r="BT3676" s="76"/>
      <c r="BU3676" s="76"/>
      <c r="BV3676" s="76"/>
      <c r="BW3676" s="76"/>
      <c r="BX3676" s="76"/>
      <c r="BY3676" s="76"/>
      <c r="BZ3676" s="76"/>
      <c r="CA3676" s="76"/>
      <c r="CB3676" s="76"/>
      <c r="CC3676" s="76"/>
      <c r="CD3676" s="76"/>
      <c r="CE3676" s="76"/>
      <c r="CF3676" s="76">
        <f>+CE3676*28000</f>
        <v>0</v>
      </c>
      <c r="CG3676" s="76"/>
      <c r="CH3676" s="76">
        <f>+CG3676*22500</f>
        <v>0</v>
      </c>
      <c r="CI3676" s="76"/>
      <c r="CJ3676" s="76">
        <f>+CI3676*26000</f>
        <v>0</v>
      </c>
      <c r="CK3676" s="76"/>
      <c r="CL3676" s="76"/>
      <c r="CM3676" s="76"/>
      <c r="CN3676" s="76">
        <f>+CM3676*22000</f>
        <v>0</v>
      </c>
      <c r="CO3676" s="76"/>
      <c r="CP3676" s="76">
        <f>+CO3676*46000</f>
        <v>0</v>
      </c>
      <c r="CQ3676" s="76"/>
      <c r="CR3676" s="76">
        <f>+CQ3676*49000</f>
        <v>0</v>
      </c>
      <c r="CS3676" s="76"/>
      <c r="CT3676" s="76"/>
      <c r="CU3676" s="56">
        <f>AN3676+AP3676+AR3676+AT3676+AV3676+AX3676+AZ3676+BB3676+BD3676+BF3676+BH3676+BJ3676+BL3676+BN3676+BP3676+BR3676+BT3676+BV3676+BX3676+BZ3676+CB3676+CD3676+CF3676+CH3676+CJ3676+CL3676+CN3676+CP3676+CR3676+CT3676</f>
        <v>0</v>
      </c>
      <c r="CV3676" s="76"/>
      <c r="CW3676" s="76">
        <f>+CV3676*1100</f>
        <v>0</v>
      </c>
      <c r="CX3676" s="76"/>
      <c r="CY3676" s="76">
        <f>+CX3676*106250</f>
        <v>0</v>
      </c>
      <c r="CZ3676" s="76"/>
      <c r="DA3676" s="76">
        <f>+CZ3676*34500</f>
        <v>0</v>
      </c>
      <c r="DB3676" s="76"/>
      <c r="DC3676" s="76">
        <f>+DB3676*25000</f>
        <v>0</v>
      </c>
      <c r="DD3676" s="219"/>
      <c r="DE3676" s="219"/>
      <c r="DF3676" s="166"/>
      <c r="DG3676" s="116"/>
      <c r="DH3676" s="117"/>
      <c r="DI3676" s="24"/>
      <c r="DJ3676" s="24"/>
      <c r="DK3676" s="24"/>
      <c r="DL3676" s="24"/>
      <c r="DM3676" s="24"/>
      <c r="DN3676" s="24"/>
      <c r="DO3676" s="24"/>
      <c r="DP3676" s="24"/>
      <c r="DQ3676" s="24"/>
      <c r="DR3676" s="24"/>
      <c r="DS3676" s="24"/>
      <c r="DT3676" s="24"/>
      <c r="DU3676" s="24"/>
    </row>
    <row r="3677" spans="1:125" s="8" customFormat="1" ht="72" x14ac:dyDescent="0.2">
      <c r="A3677" s="77">
        <v>41596</v>
      </c>
      <c r="B3677" s="78" t="s">
        <v>2860</v>
      </c>
      <c r="C3677" s="75" t="s">
        <v>2776</v>
      </c>
      <c r="D3677" s="75" t="s">
        <v>3051</v>
      </c>
      <c r="E3677" s="75" t="str">
        <f>VLOOKUP(B3677&amp;C3677,Divipola!$C$2:$F$1138,4,FALSE)</f>
        <v>63001</v>
      </c>
      <c r="F3677" s="87"/>
      <c r="G3677" s="87"/>
      <c r="H3677" s="87"/>
      <c r="I3677" s="87">
        <v>10</v>
      </c>
      <c r="J3677" s="87">
        <v>2</v>
      </c>
      <c r="K3677" s="87"/>
      <c r="L3677" s="87">
        <v>2</v>
      </c>
      <c r="M3677" s="87"/>
      <c r="N3677" s="87"/>
      <c r="O3677" s="87"/>
      <c r="P3677" s="87"/>
      <c r="Q3677" s="87"/>
      <c r="R3677" s="87"/>
      <c r="S3677" s="87"/>
      <c r="T3677" s="87"/>
      <c r="U3677" s="88"/>
      <c r="V3677" s="89"/>
      <c r="W3677" s="96">
        <v>0</v>
      </c>
      <c r="X3677" s="71">
        <f>CU3677</f>
        <v>0</v>
      </c>
      <c r="Y3677" s="71">
        <f>CY3677</f>
        <v>0</v>
      </c>
      <c r="Z3677" s="71">
        <f>DA3677+DC3677+DE3677</f>
        <v>0</v>
      </c>
      <c r="AA3677" s="71">
        <f>CW3677</f>
        <v>0</v>
      </c>
      <c r="AB3677" s="71"/>
      <c r="AC3677" s="71">
        <v>0</v>
      </c>
      <c r="AD3677" s="71">
        <f>W3677+X3677+Y3677+Z3677+AA3677+AB3677+AC3677</f>
        <v>0</v>
      </c>
      <c r="AE3677" s="72">
        <v>0</v>
      </c>
      <c r="AF3677" s="5"/>
      <c r="AG3677" s="6"/>
      <c r="AH3677" s="27"/>
      <c r="AI3677" s="44"/>
      <c r="AJ3677" s="26"/>
      <c r="AK3677" s="5"/>
      <c r="AL3677" s="82" t="s">
        <v>6709</v>
      </c>
      <c r="AM3677" s="76"/>
      <c r="AN3677" s="76"/>
      <c r="AO3677" s="76"/>
      <c r="AP3677" s="76"/>
      <c r="AQ3677" s="76"/>
      <c r="AR3677" s="76"/>
      <c r="AS3677" s="76"/>
      <c r="AT3677" s="76"/>
      <c r="AU3677" s="76"/>
      <c r="AV3677" s="76"/>
      <c r="AW3677" s="76"/>
      <c r="AX3677" s="76">
        <f>+AW3677*600000</f>
        <v>0</v>
      </c>
      <c r="AY3677" s="76"/>
      <c r="AZ3677" s="76">
        <f>+AY3677*70000</f>
        <v>0</v>
      </c>
      <c r="BA3677" s="76"/>
      <c r="BB3677" s="76"/>
      <c r="BC3677" s="76"/>
      <c r="BD3677" s="76">
        <f>+BC3677*30000</f>
        <v>0</v>
      </c>
      <c r="BE3677" s="76"/>
      <c r="BF3677" s="76"/>
      <c r="BG3677" s="76"/>
      <c r="BH3677" s="76"/>
      <c r="BI3677" s="76"/>
      <c r="BJ3677" s="76"/>
      <c r="BK3677" s="76"/>
      <c r="BL3677" s="76">
        <f>+BK3677*31500</f>
        <v>0</v>
      </c>
      <c r="BM3677" s="76"/>
      <c r="BN3677" s="76"/>
      <c r="BO3677" s="76"/>
      <c r="BP3677" s="76"/>
      <c r="BQ3677" s="76"/>
      <c r="BR3677" s="76"/>
      <c r="BS3677" s="76"/>
      <c r="BT3677" s="76"/>
      <c r="BU3677" s="76"/>
      <c r="BV3677" s="76"/>
      <c r="BW3677" s="76"/>
      <c r="BX3677" s="76"/>
      <c r="BY3677" s="76"/>
      <c r="BZ3677" s="76"/>
      <c r="CA3677" s="76"/>
      <c r="CB3677" s="76"/>
      <c r="CC3677" s="76"/>
      <c r="CD3677" s="76"/>
      <c r="CE3677" s="76"/>
      <c r="CF3677" s="76">
        <f>+CE3677*28000</f>
        <v>0</v>
      </c>
      <c r="CG3677" s="76"/>
      <c r="CH3677" s="76">
        <f>+CG3677*22500</f>
        <v>0</v>
      </c>
      <c r="CI3677" s="76"/>
      <c r="CJ3677" s="76">
        <f>+CI3677*26000</f>
        <v>0</v>
      </c>
      <c r="CK3677" s="76"/>
      <c r="CL3677" s="76"/>
      <c r="CM3677" s="76"/>
      <c r="CN3677" s="76">
        <f>+CM3677*22000</f>
        <v>0</v>
      </c>
      <c r="CO3677" s="76"/>
      <c r="CP3677" s="76">
        <f>+CO3677*46000</f>
        <v>0</v>
      </c>
      <c r="CQ3677" s="76"/>
      <c r="CR3677" s="76">
        <f>+CQ3677*49000</f>
        <v>0</v>
      </c>
      <c r="CS3677" s="76"/>
      <c r="CT3677" s="76"/>
      <c r="CU3677" s="56">
        <f>AN3677+AP3677+AR3677+AT3677+AV3677+AX3677+AZ3677+BB3677+BD3677+BF3677+BH3677+BJ3677+BL3677+BN3677+BP3677+BR3677+BT3677+BV3677+BX3677+BZ3677+CB3677+CD3677+CF3677+CH3677+CJ3677+CL3677+CN3677+CP3677+CR3677+CT3677</f>
        <v>0</v>
      </c>
      <c r="CV3677" s="76"/>
      <c r="CW3677" s="76">
        <f>+CV3677*1100</f>
        <v>0</v>
      </c>
      <c r="CX3677" s="76"/>
      <c r="CY3677" s="76">
        <f>+CX3677*106250</f>
        <v>0</v>
      </c>
      <c r="CZ3677" s="76"/>
      <c r="DA3677" s="76">
        <f>+CZ3677*34500</f>
        <v>0</v>
      </c>
      <c r="DB3677" s="76"/>
      <c r="DC3677" s="76">
        <f>+DB3677*25000</f>
        <v>0</v>
      </c>
      <c r="DD3677" s="219"/>
      <c r="DE3677" s="219"/>
      <c r="DF3677" s="166"/>
      <c r="DG3677" s="116"/>
      <c r="DH3677" s="117"/>
      <c r="DI3677" s="24"/>
      <c r="DJ3677" s="24"/>
      <c r="DK3677" s="24"/>
      <c r="DL3677" s="24"/>
      <c r="DM3677" s="24"/>
      <c r="DN3677" s="24"/>
      <c r="DO3677" s="24"/>
      <c r="DP3677" s="24"/>
      <c r="DQ3677" s="24"/>
      <c r="DR3677" s="24"/>
      <c r="DS3677" s="24"/>
      <c r="DT3677" s="24"/>
      <c r="DU3677" s="24"/>
    </row>
    <row r="3678" spans="1:125" s="8" customFormat="1" ht="72" x14ac:dyDescent="0.2">
      <c r="A3678" s="77">
        <v>41596</v>
      </c>
      <c r="B3678" s="78" t="s">
        <v>2860</v>
      </c>
      <c r="C3678" s="75" t="s">
        <v>2776</v>
      </c>
      <c r="D3678" s="75" t="s">
        <v>3088</v>
      </c>
      <c r="E3678" s="75" t="str">
        <f>VLOOKUP(B3678&amp;C3678,Divipola!$C$2:$F$1138,4,FALSE)</f>
        <v>63001</v>
      </c>
      <c r="F3678" s="87"/>
      <c r="G3678" s="87"/>
      <c r="H3678" s="87"/>
      <c r="I3678" s="87">
        <v>6</v>
      </c>
      <c r="J3678" s="87">
        <v>1</v>
      </c>
      <c r="K3678" s="87">
        <v>1</v>
      </c>
      <c r="L3678" s="87"/>
      <c r="M3678" s="87">
        <v>1</v>
      </c>
      <c r="N3678" s="87"/>
      <c r="O3678" s="87"/>
      <c r="P3678" s="87"/>
      <c r="Q3678" s="87"/>
      <c r="R3678" s="87"/>
      <c r="S3678" s="87"/>
      <c r="T3678" s="87"/>
      <c r="U3678" s="88"/>
      <c r="V3678" s="89"/>
      <c r="W3678" s="96">
        <v>0</v>
      </c>
      <c r="X3678" s="71">
        <f>CU3678</f>
        <v>0</v>
      </c>
      <c r="Y3678" s="71">
        <f>CY3678</f>
        <v>0</v>
      </c>
      <c r="Z3678" s="71">
        <f>DA3678+DC3678+DE3678</f>
        <v>0</v>
      </c>
      <c r="AA3678" s="71">
        <f>CW3678</f>
        <v>0</v>
      </c>
      <c r="AB3678" s="71"/>
      <c r="AC3678" s="71">
        <v>0</v>
      </c>
      <c r="AD3678" s="71">
        <f>W3678+X3678+Y3678+Z3678+AA3678+AB3678+AC3678</f>
        <v>0</v>
      </c>
      <c r="AE3678" s="72">
        <v>0</v>
      </c>
      <c r="AF3678" s="5"/>
      <c r="AG3678" s="6"/>
      <c r="AH3678" s="27"/>
      <c r="AI3678" s="44"/>
      <c r="AJ3678" s="26"/>
      <c r="AK3678" s="5"/>
      <c r="AL3678" s="82" t="s">
        <v>6710</v>
      </c>
      <c r="AM3678" s="76"/>
      <c r="AN3678" s="76"/>
      <c r="AO3678" s="76"/>
      <c r="AP3678" s="76"/>
      <c r="AQ3678" s="76"/>
      <c r="AR3678" s="76"/>
      <c r="AS3678" s="76"/>
      <c r="AT3678" s="76"/>
      <c r="AU3678" s="76"/>
      <c r="AV3678" s="76"/>
      <c r="AW3678" s="76"/>
      <c r="AX3678" s="76">
        <f>+AW3678*600000</f>
        <v>0</v>
      </c>
      <c r="AY3678" s="76"/>
      <c r="AZ3678" s="76">
        <f>+AY3678*70000</f>
        <v>0</v>
      </c>
      <c r="BA3678" s="76"/>
      <c r="BB3678" s="76"/>
      <c r="BC3678" s="76"/>
      <c r="BD3678" s="76">
        <f>+BC3678*30000</f>
        <v>0</v>
      </c>
      <c r="BE3678" s="76"/>
      <c r="BF3678" s="76"/>
      <c r="BG3678" s="76"/>
      <c r="BH3678" s="76"/>
      <c r="BI3678" s="76"/>
      <c r="BJ3678" s="76"/>
      <c r="BK3678" s="76"/>
      <c r="BL3678" s="76">
        <f>+BK3678*31500</f>
        <v>0</v>
      </c>
      <c r="BM3678" s="76"/>
      <c r="BN3678" s="76"/>
      <c r="BO3678" s="76"/>
      <c r="BP3678" s="76"/>
      <c r="BQ3678" s="76"/>
      <c r="BR3678" s="76"/>
      <c r="BS3678" s="76"/>
      <c r="BT3678" s="76"/>
      <c r="BU3678" s="76"/>
      <c r="BV3678" s="76"/>
      <c r="BW3678" s="76"/>
      <c r="BX3678" s="76"/>
      <c r="BY3678" s="76"/>
      <c r="BZ3678" s="76"/>
      <c r="CA3678" s="76"/>
      <c r="CB3678" s="76"/>
      <c r="CC3678" s="76"/>
      <c r="CD3678" s="76"/>
      <c r="CE3678" s="76"/>
      <c r="CF3678" s="76">
        <f>+CE3678*28000</f>
        <v>0</v>
      </c>
      <c r="CG3678" s="76"/>
      <c r="CH3678" s="76">
        <f>+CG3678*22500</f>
        <v>0</v>
      </c>
      <c r="CI3678" s="76"/>
      <c r="CJ3678" s="76">
        <f>+CI3678*26000</f>
        <v>0</v>
      </c>
      <c r="CK3678" s="76"/>
      <c r="CL3678" s="76"/>
      <c r="CM3678" s="76"/>
      <c r="CN3678" s="76">
        <f>+CM3678*22000</f>
        <v>0</v>
      </c>
      <c r="CO3678" s="76"/>
      <c r="CP3678" s="76">
        <f>+CO3678*46000</f>
        <v>0</v>
      </c>
      <c r="CQ3678" s="76"/>
      <c r="CR3678" s="76">
        <f>+CQ3678*49000</f>
        <v>0</v>
      </c>
      <c r="CS3678" s="76"/>
      <c r="CT3678" s="76"/>
      <c r="CU3678" s="56">
        <f>AN3678+AP3678+AR3678+AT3678+AV3678+AX3678+AZ3678+BB3678+BD3678+BF3678+BH3678+BJ3678+BL3678+BN3678+BP3678+BR3678+BT3678+BV3678+BX3678+BZ3678+CB3678+CD3678+CF3678+CH3678+CJ3678+CL3678+CN3678+CP3678+CR3678+CT3678</f>
        <v>0</v>
      </c>
      <c r="CV3678" s="76"/>
      <c r="CW3678" s="76">
        <f>+CV3678*1100</f>
        <v>0</v>
      </c>
      <c r="CX3678" s="76"/>
      <c r="CY3678" s="76">
        <f>+CX3678*106250</f>
        <v>0</v>
      </c>
      <c r="CZ3678" s="76"/>
      <c r="DA3678" s="76">
        <f>+CZ3678*34500</f>
        <v>0</v>
      </c>
      <c r="DB3678" s="76"/>
      <c r="DC3678" s="76">
        <f>+DB3678*25000</f>
        <v>0</v>
      </c>
      <c r="DD3678" s="219"/>
      <c r="DE3678" s="219"/>
      <c r="DF3678" s="166"/>
      <c r="DG3678" s="116"/>
      <c r="DH3678" s="117"/>
      <c r="DI3678" s="24"/>
      <c r="DJ3678" s="24"/>
      <c r="DK3678" s="24"/>
      <c r="DL3678" s="24"/>
      <c r="DM3678" s="24"/>
      <c r="DN3678" s="24"/>
      <c r="DO3678" s="24"/>
      <c r="DP3678" s="24"/>
      <c r="DQ3678" s="24"/>
      <c r="DR3678" s="24"/>
      <c r="DS3678" s="24"/>
      <c r="DT3678" s="24"/>
      <c r="DU3678" s="24"/>
    </row>
    <row r="3679" spans="1:125" s="8" customFormat="1" ht="48" x14ac:dyDescent="0.2">
      <c r="A3679" s="353">
        <v>41596</v>
      </c>
      <c r="B3679" s="352" t="s">
        <v>2811</v>
      </c>
      <c r="C3679" s="354" t="s">
        <v>2787</v>
      </c>
      <c r="D3679" s="354" t="s">
        <v>3088</v>
      </c>
      <c r="E3679" s="75" t="str">
        <f>VLOOKUP(B3679&amp;C3679,Divipola!$C$2:$F$1138,4,FALSE)</f>
        <v>52693</v>
      </c>
      <c r="F3679" s="87"/>
      <c r="G3679" s="87"/>
      <c r="H3679" s="87"/>
      <c r="I3679" s="87">
        <v>32</v>
      </c>
      <c r="J3679" s="87">
        <v>6</v>
      </c>
      <c r="K3679" s="87"/>
      <c r="L3679" s="87">
        <v>6</v>
      </c>
      <c r="M3679" s="87"/>
      <c r="N3679" s="87"/>
      <c r="O3679" s="87"/>
      <c r="P3679" s="87"/>
      <c r="Q3679" s="87"/>
      <c r="R3679" s="87"/>
      <c r="S3679" s="87"/>
      <c r="T3679" s="87"/>
      <c r="U3679" s="88"/>
      <c r="V3679" s="89"/>
      <c r="W3679" s="96">
        <v>0</v>
      </c>
      <c r="X3679" s="71">
        <f>CU3679</f>
        <v>0</v>
      </c>
      <c r="Y3679" s="71">
        <f>CY3679</f>
        <v>0</v>
      </c>
      <c r="Z3679" s="71">
        <f>DA3679+DC3679+DE3679</f>
        <v>0</v>
      </c>
      <c r="AA3679" s="71">
        <f>CW3679</f>
        <v>0</v>
      </c>
      <c r="AB3679" s="71"/>
      <c r="AC3679" s="71">
        <v>0</v>
      </c>
      <c r="AD3679" s="71">
        <f>W3679+X3679+Y3679+Z3679+AA3679+AB3679+AC3679</f>
        <v>0</v>
      </c>
      <c r="AE3679" s="72">
        <v>0</v>
      </c>
      <c r="AF3679" s="5"/>
      <c r="AG3679" s="6"/>
      <c r="AH3679" s="27"/>
      <c r="AI3679" s="44"/>
      <c r="AJ3679" s="26"/>
      <c r="AK3679" s="5"/>
      <c r="AL3679" s="82" t="s">
        <v>6712</v>
      </c>
      <c r="AM3679" s="76"/>
      <c r="AN3679" s="76"/>
      <c r="AO3679" s="76"/>
      <c r="AP3679" s="76"/>
      <c r="AQ3679" s="76"/>
      <c r="AR3679" s="76"/>
      <c r="AS3679" s="76"/>
      <c r="AT3679" s="76"/>
      <c r="AU3679" s="76"/>
      <c r="AV3679" s="76"/>
      <c r="AW3679" s="76"/>
      <c r="AX3679" s="76">
        <f>+AW3679*600000</f>
        <v>0</v>
      </c>
      <c r="AY3679" s="76"/>
      <c r="AZ3679" s="76">
        <f>+AY3679*70000</f>
        <v>0</v>
      </c>
      <c r="BA3679" s="76"/>
      <c r="BB3679" s="76"/>
      <c r="BC3679" s="76"/>
      <c r="BD3679" s="76">
        <f>+BC3679*30000</f>
        <v>0</v>
      </c>
      <c r="BE3679" s="76"/>
      <c r="BF3679" s="76"/>
      <c r="BG3679" s="76"/>
      <c r="BH3679" s="76"/>
      <c r="BI3679" s="76"/>
      <c r="BJ3679" s="76"/>
      <c r="BK3679" s="76"/>
      <c r="BL3679" s="76">
        <f>+BK3679*31500</f>
        <v>0</v>
      </c>
      <c r="BM3679" s="76"/>
      <c r="BN3679" s="76"/>
      <c r="BO3679" s="76"/>
      <c r="BP3679" s="76"/>
      <c r="BQ3679" s="76"/>
      <c r="BR3679" s="76"/>
      <c r="BS3679" s="76"/>
      <c r="BT3679" s="76"/>
      <c r="BU3679" s="76"/>
      <c r="BV3679" s="76"/>
      <c r="BW3679" s="76"/>
      <c r="BX3679" s="76"/>
      <c r="BY3679" s="76"/>
      <c r="BZ3679" s="76"/>
      <c r="CA3679" s="76"/>
      <c r="CB3679" s="76"/>
      <c r="CC3679" s="76"/>
      <c r="CD3679" s="76"/>
      <c r="CE3679" s="76"/>
      <c r="CF3679" s="76">
        <f>+CE3679*28000</f>
        <v>0</v>
      </c>
      <c r="CG3679" s="76"/>
      <c r="CH3679" s="76">
        <f>+CG3679*22500</f>
        <v>0</v>
      </c>
      <c r="CI3679" s="76"/>
      <c r="CJ3679" s="76">
        <f>+CI3679*26000</f>
        <v>0</v>
      </c>
      <c r="CK3679" s="76"/>
      <c r="CL3679" s="76"/>
      <c r="CM3679" s="76"/>
      <c r="CN3679" s="76">
        <f>+CM3679*22000</f>
        <v>0</v>
      </c>
      <c r="CO3679" s="76"/>
      <c r="CP3679" s="76">
        <f>+CO3679*46000</f>
        <v>0</v>
      </c>
      <c r="CQ3679" s="76"/>
      <c r="CR3679" s="76">
        <f>+CQ3679*49000</f>
        <v>0</v>
      </c>
      <c r="CS3679" s="76"/>
      <c r="CT3679" s="76"/>
      <c r="CU3679" s="56">
        <f>AN3679+AP3679+AR3679+AT3679+AV3679+AX3679+AZ3679+BB3679+BD3679+BF3679+BH3679+BJ3679+BL3679+BN3679+BP3679+BR3679+BT3679+BV3679+BX3679+BZ3679+CB3679+CD3679+CF3679+CH3679+CJ3679+CL3679+CN3679+CP3679+CR3679+CT3679</f>
        <v>0</v>
      </c>
      <c r="CV3679" s="76"/>
      <c r="CW3679" s="76">
        <f>+CV3679*1100</f>
        <v>0</v>
      </c>
      <c r="CX3679" s="76"/>
      <c r="CY3679" s="76">
        <f>+CX3679*106250</f>
        <v>0</v>
      </c>
      <c r="CZ3679" s="76"/>
      <c r="DA3679" s="76">
        <f>+CZ3679*34500</f>
        <v>0</v>
      </c>
      <c r="DB3679" s="76"/>
      <c r="DC3679" s="76">
        <f>+DB3679*25000</f>
        <v>0</v>
      </c>
      <c r="DD3679" s="219"/>
      <c r="DE3679" s="219"/>
      <c r="DF3679" s="166"/>
      <c r="DG3679" s="116"/>
      <c r="DH3679" s="117"/>
      <c r="DI3679" s="24"/>
      <c r="DJ3679" s="24"/>
      <c r="DK3679" s="24"/>
      <c r="DL3679" s="24"/>
      <c r="DM3679" s="24"/>
      <c r="DN3679" s="24"/>
      <c r="DO3679" s="24"/>
      <c r="DP3679" s="24"/>
      <c r="DQ3679" s="24"/>
      <c r="DR3679" s="24"/>
      <c r="DS3679" s="24"/>
      <c r="DT3679" s="24"/>
      <c r="DU3679" s="24"/>
    </row>
    <row r="3680" spans="1:125" s="8" customFormat="1" ht="120" x14ac:dyDescent="0.2">
      <c r="A3680" s="5">
        <v>41596</v>
      </c>
      <c r="B3680" s="84" t="s">
        <v>2661</v>
      </c>
      <c r="C3680" s="84" t="s">
        <v>3</v>
      </c>
      <c r="D3680" s="75" t="s">
        <v>3051</v>
      </c>
      <c r="E3680" s="75" t="str">
        <f>VLOOKUP(B3680&amp;C3680,Divipola!$C$2:$F$1138,4,FALSE)</f>
        <v>41013</v>
      </c>
      <c r="F3680" s="89"/>
      <c r="G3680" s="89"/>
      <c r="H3680" s="89"/>
      <c r="I3680" s="89">
        <v>350</v>
      </c>
      <c r="J3680" s="89">
        <v>60</v>
      </c>
      <c r="K3680" s="89">
        <v>11</v>
      </c>
      <c r="L3680" s="89">
        <v>49</v>
      </c>
      <c r="M3680" s="89"/>
      <c r="N3680" s="89"/>
      <c r="O3680" s="89"/>
      <c r="P3680" s="89"/>
      <c r="Q3680" s="89"/>
      <c r="R3680" s="89"/>
      <c r="S3680" s="89"/>
      <c r="T3680" s="89"/>
      <c r="U3680" s="89"/>
      <c r="V3680" s="89"/>
      <c r="W3680" s="96">
        <v>0</v>
      </c>
      <c r="X3680" s="71">
        <f>CU3680</f>
        <v>0</v>
      </c>
      <c r="Y3680" s="71">
        <f>CY3680</f>
        <v>0</v>
      </c>
      <c r="Z3680" s="71">
        <f>DA3680+DC3680+DE3680</f>
        <v>0</v>
      </c>
      <c r="AA3680" s="71">
        <f>CW3680</f>
        <v>0</v>
      </c>
      <c r="AB3680" s="71"/>
      <c r="AC3680" s="71">
        <v>0</v>
      </c>
      <c r="AD3680" s="71">
        <f>W3680+X3680+Y3680+Z3680+AA3680+AB3680+AC3680</f>
        <v>0</v>
      </c>
      <c r="AE3680" s="72">
        <v>0</v>
      </c>
      <c r="AF3680" s="5"/>
      <c r="AG3680" s="6"/>
      <c r="AH3680" s="27"/>
      <c r="AI3680" s="44"/>
      <c r="AJ3680" s="26"/>
      <c r="AK3680" s="5"/>
      <c r="AL3680" s="82" t="s">
        <v>6716</v>
      </c>
      <c r="AM3680" s="76"/>
      <c r="AN3680" s="76"/>
      <c r="AO3680" s="76"/>
      <c r="AP3680" s="76"/>
      <c r="AQ3680" s="76"/>
      <c r="AR3680" s="76"/>
      <c r="AS3680" s="76"/>
      <c r="AT3680" s="76"/>
      <c r="AU3680" s="76"/>
      <c r="AV3680" s="76"/>
      <c r="AW3680" s="76"/>
      <c r="AX3680" s="76">
        <f>+AW3680*600000</f>
        <v>0</v>
      </c>
      <c r="AY3680" s="76"/>
      <c r="AZ3680" s="76">
        <f>+AY3680*70000</f>
        <v>0</v>
      </c>
      <c r="BA3680" s="76"/>
      <c r="BB3680" s="76"/>
      <c r="BC3680" s="76"/>
      <c r="BD3680" s="76">
        <f>+BC3680*30000</f>
        <v>0</v>
      </c>
      <c r="BE3680" s="76"/>
      <c r="BF3680" s="76"/>
      <c r="BG3680" s="76"/>
      <c r="BH3680" s="76"/>
      <c r="BI3680" s="76"/>
      <c r="BJ3680" s="76"/>
      <c r="BK3680" s="76"/>
      <c r="BL3680" s="76">
        <f>+BK3680*31500</f>
        <v>0</v>
      </c>
      <c r="BM3680" s="76"/>
      <c r="BN3680" s="76"/>
      <c r="BO3680" s="76"/>
      <c r="BP3680" s="76"/>
      <c r="BQ3680" s="76"/>
      <c r="BR3680" s="76"/>
      <c r="BS3680" s="76"/>
      <c r="BT3680" s="76"/>
      <c r="BU3680" s="76"/>
      <c r="BV3680" s="76"/>
      <c r="BW3680" s="76"/>
      <c r="BX3680" s="76"/>
      <c r="BY3680" s="76"/>
      <c r="BZ3680" s="76"/>
      <c r="CA3680" s="76"/>
      <c r="CB3680" s="76"/>
      <c r="CC3680" s="76"/>
      <c r="CD3680" s="76"/>
      <c r="CE3680" s="76"/>
      <c r="CF3680" s="76">
        <f>+CE3680*28000</f>
        <v>0</v>
      </c>
      <c r="CG3680" s="76"/>
      <c r="CH3680" s="76">
        <f>+CG3680*22500</f>
        <v>0</v>
      </c>
      <c r="CI3680" s="76"/>
      <c r="CJ3680" s="76">
        <f>+CI3680*26000</f>
        <v>0</v>
      </c>
      <c r="CK3680" s="76"/>
      <c r="CL3680" s="76"/>
      <c r="CM3680" s="76"/>
      <c r="CN3680" s="76">
        <f>+CM3680*22000</f>
        <v>0</v>
      </c>
      <c r="CO3680" s="76"/>
      <c r="CP3680" s="76">
        <f>+CO3680*46000</f>
        <v>0</v>
      </c>
      <c r="CQ3680" s="76"/>
      <c r="CR3680" s="76">
        <f>+CQ3680*49000</f>
        <v>0</v>
      </c>
      <c r="CS3680" s="76"/>
      <c r="CT3680" s="76"/>
      <c r="CU3680" s="56">
        <f>AN3680+AP3680+AR3680+AT3680+AV3680+AX3680+AZ3680+BB3680+BD3680+BF3680+BH3680+BJ3680+BL3680+BN3680+BP3680+BR3680+BT3680+BV3680+BX3680+BZ3680+CB3680+CD3680+CF3680+CH3680+CJ3680+CL3680+CN3680+CP3680+CR3680+CT3680</f>
        <v>0</v>
      </c>
      <c r="CV3680" s="76"/>
      <c r="CW3680" s="76">
        <f>+CV3680*1100</f>
        <v>0</v>
      </c>
      <c r="CX3680" s="76"/>
      <c r="CY3680" s="76">
        <f>+CX3680*106250</f>
        <v>0</v>
      </c>
      <c r="CZ3680" s="76"/>
      <c r="DA3680" s="76">
        <f>+CZ3680*34500</f>
        <v>0</v>
      </c>
      <c r="DB3680" s="76"/>
      <c r="DC3680" s="76">
        <f>+DB3680*25000</f>
        <v>0</v>
      </c>
      <c r="DD3680" s="219"/>
      <c r="DE3680" s="219"/>
      <c r="DF3680" s="166"/>
      <c r="DG3680" s="116"/>
      <c r="DH3680" s="117"/>
      <c r="DI3680" s="24"/>
      <c r="DJ3680" s="24"/>
      <c r="DK3680" s="24"/>
      <c r="DL3680" s="24"/>
      <c r="DM3680" s="24"/>
      <c r="DN3680" s="24"/>
      <c r="DO3680" s="24"/>
      <c r="DP3680" s="24"/>
      <c r="DQ3680" s="24"/>
      <c r="DR3680" s="24"/>
      <c r="DS3680" s="24"/>
      <c r="DT3680" s="24"/>
      <c r="DU3680" s="24"/>
    </row>
    <row r="3681" spans="1:125" s="8" customFormat="1" ht="48" x14ac:dyDescent="0.2">
      <c r="A3681" s="77">
        <v>41596</v>
      </c>
      <c r="B3681" s="78" t="s">
        <v>2852</v>
      </c>
      <c r="C3681" s="75" t="s">
        <v>18</v>
      </c>
      <c r="D3681" s="75" t="s">
        <v>3051</v>
      </c>
      <c r="E3681" s="353" t="str">
        <f>VLOOKUP(B3681&amp;C3681,Divipola!$C$2:$F$1138,4,FALSE)</f>
        <v>27810</v>
      </c>
      <c r="F3681" s="61"/>
      <c r="G3681" s="61"/>
      <c r="H3681" s="61"/>
      <c r="I3681" s="61"/>
      <c r="J3681" s="61"/>
      <c r="K3681" s="61"/>
      <c r="L3681" s="61"/>
      <c r="M3681" s="61"/>
      <c r="N3681" s="61"/>
      <c r="O3681" s="61"/>
      <c r="P3681" s="61"/>
      <c r="Q3681" s="61"/>
      <c r="R3681" s="61"/>
      <c r="S3681" s="61"/>
      <c r="T3681" s="61"/>
      <c r="U3681" s="61"/>
      <c r="V3681" s="7"/>
      <c r="W3681" s="96">
        <v>0</v>
      </c>
      <c r="X3681" s="71">
        <f>CU3681</f>
        <v>0</v>
      </c>
      <c r="Y3681" s="71">
        <f>CY3681</f>
        <v>0</v>
      </c>
      <c r="Z3681" s="71">
        <f>DA3681+DC3681+DE3681</f>
        <v>153100000</v>
      </c>
      <c r="AA3681" s="71">
        <f>CW3681</f>
        <v>0</v>
      </c>
      <c r="AB3681" s="71"/>
      <c r="AC3681" s="71">
        <v>0</v>
      </c>
      <c r="AD3681" s="71">
        <f>W3681+X3681+Y3681+Z3681+AA3681+AB3681+AC3681</f>
        <v>153100000</v>
      </c>
      <c r="AE3681" s="72">
        <v>0</v>
      </c>
      <c r="AF3681" s="5"/>
      <c r="AG3681" s="6"/>
      <c r="AH3681" s="27"/>
      <c r="AI3681" s="44"/>
      <c r="AJ3681" s="26"/>
      <c r="AK3681" s="5"/>
      <c r="AL3681" s="9" t="s">
        <v>6902</v>
      </c>
      <c r="AM3681" s="76"/>
      <c r="AN3681" s="76"/>
      <c r="AO3681" s="76"/>
      <c r="AP3681" s="76"/>
      <c r="AQ3681" s="76"/>
      <c r="AR3681" s="76"/>
      <c r="AS3681" s="76"/>
      <c r="AT3681" s="76"/>
      <c r="AU3681" s="76"/>
      <c r="AV3681" s="76"/>
      <c r="AW3681" s="76"/>
      <c r="AX3681" s="76">
        <f>+AW3681*600000</f>
        <v>0</v>
      </c>
      <c r="AY3681" s="76"/>
      <c r="AZ3681" s="76">
        <f>+AY3681*70000</f>
        <v>0</v>
      </c>
      <c r="BA3681" s="76"/>
      <c r="BB3681" s="76"/>
      <c r="BC3681" s="76"/>
      <c r="BD3681" s="76">
        <f>+BC3681*30000</f>
        <v>0</v>
      </c>
      <c r="BE3681" s="76"/>
      <c r="BF3681" s="76"/>
      <c r="BG3681" s="76"/>
      <c r="BH3681" s="76"/>
      <c r="BI3681" s="76"/>
      <c r="BJ3681" s="76"/>
      <c r="BK3681" s="76"/>
      <c r="BL3681" s="76">
        <f>+BK3681*31500</f>
        <v>0</v>
      </c>
      <c r="BM3681" s="76"/>
      <c r="BN3681" s="76"/>
      <c r="BO3681" s="76"/>
      <c r="BP3681" s="76"/>
      <c r="BQ3681" s="76"/>
      <c r="BR3681" s="76"/>
      <c r="BS3681" s="76"/>
      <c r="BT3681" s="76"/>
      <c r="BU3681" s="76"/>
      <c r="BV3681" s="76"/>
      <c r="BW3681" s="76"/>
      <c r="BX3681" s="76"/>
      <c r="BY3681" s="76"/>
      <c r="BZ3681" s="76"/>
      <c r="CA3681" s="76"/>
      <c r="CB3681" s="76"/>
      <c r="CC3681" s="76"/>
      <c r="CD3681" s="76"/>
      <c r="CE3681" s="76"/>
      <c r="CF3681" s="76">
        <f>+CE3681*28000</f>
        <v>0</v>
      </c>
      <c r="CG3681" s="76"/>
      <c r="CH3681" s="76">
        <f>+CG3681*22500</f>
        <v>0</v>
      </c>
      <c r="CI3681" s="76"/>
      <c r="CJ3681" s="76">
        <f>+CI3681*26000</f>
        <v>0</v>
      </c>
      <c r="CK3681" s="76"/>
      <c r="CL3681" s="76"/>
      <c r="CM3681" s="76"/>
      <c r="CN3681" s="76">
        <f>+CM3681*22000</f>
        <v>0</v>
      </c>
      <c r="CO3681" s="76"/>
      <c r="CP3681" s="76">
        <f>+CO3681*46000</f>
        <v>0</v>
      </c>
      <c r="CQ3681" s="76"/>
      <c r="CR3681" s="76">
        <f>+CQ3681*49000</f>
        <v>0</v>
      </c>
      <c r="CS3681" s="76"/>
      <c r="CT3681" s="76"/>
      <c r="CU3681" s="56">
        <f>AN3681+AP3681+AR3681+AT3681+AV3681+AX3681+AZ3681+BB3681+BD3681+BF3681+BH3681+BJ3681+BL3681+BN3681+BP3681+BR3681+BT3681+BV3681+BX3681+BZ3681+CB3681+CD3681+CF3681+CH3681+CJ3681+CL3681+CN3681+CP3681+CR3681+CT3681</f>
        <v>0</v>
      </c>
      <c r="CV3681" s="76"/>
      <c r="CW3681" s="76">
        <f>+CV3681*1100</f>
        <v>0</v>
      </c>
      <c r="CX3681" s="76"/>
      <c r="CY3681" s="76">
        <f>+CX3681*106250</f>
        <v>0</v>
      </c>
      <c r="CZ3681" s="76">
        <v>3800</v>
      </c>
      <c r="DA3681" s="76">
        <f>+CZ3681*34500</f>
        <v>131100000</v>
      </c>
      <c r="DB3681" s="76"/>
      <c r="DC3681" s="76">
        <f>+DB3681*25000</f>
        <v>0</v>
      </c>
      <c r="DD3681" s="367" t="s">
        <v>6903</v>
      </c>
      <c r="DE3681" s="334">
        <f>1000*22000</f>
        <v>22000000</v>
      </c>
      <c r="DF3681" s="166"/>
      <c r="DG3681" s="116"/>
      <c r="DH3681" s="117"/>
      <c r="DI3681" s="24"/>
      <c r="DJ3681" s="24"/>
      <c r="DK3681" s="24"/>
      <c r="DL3681" s="24"/>
      <c r="DM3681" s="24"/>
      <c r="DN3681" s="24"/>
      <c r="DO3681" s="24"/>
      <c r="DP3681" s="24"/>
      <c r="DQ3681" s="24"/>
      <c r="DR3681" s="24"/>
      <c r="DS3681" s="24"/>
      <c r="DT3681" s="24"/>
      <c r="DU3681" s="24"/>
    </row>
    <row r="3682" spans="1:125" s="8" customFormat="1" ht="48" x14ac:dyDescent="0.2">
      <c r="A3682" s="353">
        <v>41597</v>
      </c>
      <c r="B3682" s="352" t="s">
        <v>2811</v>
      </c>
      <c r="C3682" s="354" t="s">
        <v>2131</v>
      </c>
      <c r="D3682" s="354" t="s">
        <v>3051</v>
      </c>
      <c r="E3682" s="75" t="str">
        <f>VLOOKUP(B3682&amp;C3682,Divipola!$C$2:$F$1138,4,FALSE)</f>
        <v>52001</v>
      </c>
      <c r="F3682" s="87"/>
      <c r="G3682" s="87"/>
      <c r="H3682" s="87"/>
      <c r="I3682" s="87">
        <v>20</v>
      </c>
      <c r="J3682" s="87">
        <v>4</v>
      </c>
      <c r="K3682" s="87"/>
      <c r="L3682" s="87">
        <v>4</v>
      </c>
      <c r="M3682" s="87"/>
      <c r="N3682" s="87"/>
      <c r="O3682" s="87"/>
      <c r="P3682" s="87"/>
      <c r="Q3682" s="87"/>
      <c r="R3682" s="87"/>
      <c r="S3682" s="87"/>
      <c r="T3682" s="87"/>
      <c r="U3682" s="88"/>
      <c r="V3682" s="89"/>
      <c r="W3682" s="96">
        <v>0</v>
      </c>
      <c r="X3682" s="71">
        <f>CU3682</f>
        <v>0</v>
      </c>
      <c r="Y3682" s="71">
        <f>CY3682</f>
        <v>0</v>
      </c>
      <c r="Z3682" s="71">
        <f>DA3682+DC3682+DE3682</f>
        <v>0</v>
      </c>
      <c r="AA3682" s="71">
        <f>CW3682</f>
        <v>0</v>
      </c>
      <c r="AB3682" s="71"/>
      <c r="AC3682" s="71">
        <v>0</v>
      </c>
      <c r="AD3682" s="71">
        <f>W3682+X3682+Y3682+Z3682+AA3682+AB3682+AC3682</f>
        <v>0</v>
      </c>
      <c r="AE3682" s="72">
        <v>0</v>
      </c>
      <c r="AF3682" s="5"/>
      <c r="AG3682" s="6"/>
      <c r="AH3682" s="27"/>
      <c r="AI3682" s="44"/>
      <c r="AJ3682" s="26"/>
      <c r="AK3682" s="5"/>
      <c r="AL3682" s="82" t="s">
        <v>6697</v>
      </c>
      <c r="AM3682" s="76"/>
      <c r="AN3682" s="76"/>
      <c r="AO3682" s="76"/>
      <c r="AP3682" s="76"/>
      <c r="AQ3682" s="76"/>
      <c r="AR3682" s="76"/>
      <c r="AS3682" s="76"/>
      <c r="AT3682" s="76"/>
      <c r="AU3682" s="76"/>
      <c r="AV3682" s="76"/>
      <c r="AW3682" s="76"/>
      <c r="AX3682" s="76">
        <f>+AW3682*600000</f>
        <v>0</v>
      </c>
      <c r="AY3682" s="76"/>
      <c r="AZ3682" s="76">
        <f>+AY3682*70000</f>
        <v>0</v>
      </c>
      <c r="BA3682" s="76"/>
      <c r="BB3682" s="76"/>
      <c r="BC3682" s="76"/>
      <c r="BD3682" s="76">
        <f>+BC3682*30000</f>
        <v>0</v>
      </c>
      <c r="BE3682" s="76"/>
      <c r="BF3682" s="76"/>
      <c r="BG3682" s="76"/>
      <c r="BH3682" s="76"/>
      <c r="BI3682" s="76"/>
      <c r="BJ3682" s="76"/>
      <c r="BK3682" s="76"/>
      <c r="BL3682" s="76">
        <f>+BK3682*31500</f>
        <v>0</v>
      </c>
      <c r="BM3682" s="76"/>
      <c r="BN3682" s="76"/>
      <c r="BO3682" s="76"/>
      <c r="BP3682" s="76"/>
      <c r="BQ3682" s="76"/>
      <c r="BR3682" s="76"/>
      <c r="BS3682" s="76"/>
      <c r="BT3682" s="76"/>
      <c r="BU3682" s="76"/>
      <c r="BV3682" s="76"/>
      <c r="BW3682" s="76"/>
      <c r="BX3682" s="76"/>
      <c r="BY3682" s="76"/>
      <c r="BZ3682" s="76"/>
      <c r="CA3682" s="76"/>
      <c r="CB3682" s="76"/>
      <c r="CC3682" s="76"/>
      <c r="CD3682" s="76"/>
      <c r="CE3682" s="76"/>
      <c r="CF3682" s="76">
        <f>+CE3682*28000</f>
        <v>0</v>
      </c>
      <c r="CG3682" s="76"/>
      <c r="CH3682" s="76">
        <f>+CG3682*22500</f>
        <v>0</v>
      </c>
      <c r="CI3682" s="76"/>
      <c r="CJ3682" s="76">
        <f>+CI3682*26000</f>
        <v>0</v>
      </c>
      <c r="CK3682" s="76"/>
      <c r="CL3682" s="76"/>
      <c r="CM3682" s="76"/>
      <c r="CN3682" s="76">
        <f>+CM3682*22000</f>
        <v>0</v>
      </c>
      <c r="CO3682" s="76"/>
      <c r="CP3682" s="76">
        <f>+CO3682*46000</f>
        <v>0</v>
      </c>
      <c r="CQ3682" s="76"/>
      <c r="CR3682" s="76">
        <f>+CQ3682*49000</f>
        <v>0</v>
      </c>
      <c r="CS3682" s="76"/>
      <c r="CT3682" s="76"/>
      <c r="CU3682" s="56">
        <f>AN3682+AP3682+AR3682+AT3682+AV3682+AX3682+AZ3682+BB3682+BD3682+BF3682+BH3682+BJ3682+BL3682+BN3682+BP3682+BR3682+BT3682+BV3682+BX3682+BZ3682+CB3682+CD3682+CF3682+CH3682+CJ3682+CL3682+CN3682+CP3682+CR3682+CT3682</f>
        <v>0</v>
      </c>
      <c r="CV3682" s="76"/>
      <c r="CW3682" s="76">
        <f>+CV3682*1100</f>
        <v>0</v>
      </c>
      <c r="CX3682" s="76"/>
      <c r="CY3682" s="76">
        <f>+CX3682*106250</f>
        <v>0</v>
      </c>
      <c r="CZ3682" s="76"/>
      <c r="DA3682" s="76">
        <f>+CZ3682*34500</f>
        <v>0</v>
      </c>
      <c r="DB3682" s="76"/>
      <c r="DC3682" s="76">
        <f>+DB3682*25000</f>
        <v>0</v>
      </c>
      <c r="DD3682" s="219"/>
      <c r="DE3682" s="219"/>
      <c r="DF3682" s="166"/>
      <c r="DG3682" s="116"/>
      <c r="DH3682" s="117"/>
      <c r="DI3682" s="24"/>
      <c r="DJ3682" s="24"/>
      <c r="DK3682" s="24"/>
      <c r="DL3682" s="24"/>
      <c r="DM3682" s="24"/>
      <c r="DN3682" s="24"/>
      <c r="DO3682" s="24"/>
      <c r="DP3682" s="24"/>
      <c r="DQ3682" s="24"/>
      <c r="DR3682" s="24"/>
      <c r="DS3682" s="24"/>
      <c r="DT3682" s="24"/>
      <c r="DU3682" s="24"/>
    </row>
    <row r="3683" spans="1:125" s="8" customFormat="1" ht="96" x14ac:dyDescent="0.2">
      <c r="A3683" s="77">
        <v>41597</v>
      </c>
      <c r="B3683" s="352" t="s">
        <v>2852</v>
      </c>
      <c r="C3683" s="354" t="s">
        <v>2094</v>
      </c>
      <c r="D3683" s="354" t="s">
        <v>3051</v>
      </c>
      <c r="E3683" s="75" t="str">
        <f>VLOOKUP(B3683&amp;C3683,Divipola!$C$2:$F$1138,4,FALSE)</f>
        <v>27413</v>
      </c>
      <c r="F3683" s="87"/>
      <c r="G3683" s="87"/>
      <c r="H3683" s="87"/>
      <c r="I3683" s="87">
        <v>3625</v>
      </c>
      <c r="J3683" s="87">
        <v>728</v>
      </c>
      <c r="K3683" s="87">
        <v>17</v>
      </c>
      <c r="L3683" s="87">
        <v>140</v>
      </c>
      <c r="M3683" s="87"/>
      <c r="N3683" s="87"/>
      <c r="O3683" s="87"/>
      <c r="P3683" s="87">
        <v>1</v>
      </c>
      <c r="Q3683" s="87"/>
      <c r="R3683" s="87">
        <v>1</v>
      </c>
      <c r="S3683" s="87">
        <v>1</v>
      </c>
      <c r="T3683" s="87"/>
      <c r="U3683" s="88"/>
      <c r="V3683" s="7" t="s">
        <v>6729</v>
      </c>
      <c r="W3683" s="96">
        <v>0</v>
      </c>
      <c r="X3683" s="71">
        <f>CU3683</f>
        <v>324000000</v>
      </c>
      <c r="Y3683" s="71">
        <f>CY3683</f>
        <v>106250000</v>
      </c>
      <c r="Z3683" s="71">
        <f>DA3683+DC3683+DE3683</f>
        <v>0</v>
      </c>
      <c r="AA3683" s="71">
        <f>CW3683</f>
        <v>0</v>
      </c>
      <c r="AB3683" s="71"/>
      <c r="AC3683" s="71">
        <v>0</v>
      </c>
      <c r="AD3683" s="71">
        <f>W3683+X3683+Y3683+Z3683+AA3683+AB3683+AC3683</f>
        <v>430250000</v>
      </c>
      <c r="AE3683" s="72">
        <v>0</v>
      </c>
      <c r="AF3683" s="5"/>
      <c r="AG3683" s="6"/>
      <c r="AH3683" s="27"/>
      <c r="AI3683" s="44"/>
      <c r="AJ3683" s="26"/>
      <c r="AK3683" s="5"/>
      <c r="AL3683" s="82" t="s">
        <v>6730</v>
      </c>
      <c r="AM3683" s="76"/>
      <c r="AN3683" s="76"/>
      <c r="AO3683" s="76"/>
      <c r="AP3683" s="76"/>
      <c r="AQ3683" s="76"/>
      <c r="AR3683" s="76"/>
      <c r="AS3683" s="76"/>
      <c r="AT3683" s="76"/>
      <c r="AU3683" s="76"/>
      <c r="AV3683" s="76"/>
      <c r="AW3683" s="76"/>
      <c r="AX3683" s="76">
        <f>+AW3683*600000</f>
        <v>0</v>
      </c>
      <c r="AY3683" s="76">
        <v>2000</v>
      </c>
      <c r="AZ3683" s="76">
        <f>+AY3683*70000</f>
        <v>140000000</v>
      </c>
      <c r="BA3683" s="76"/>
      <c r="BB3683" s="76"/>
      <c r="BC3683" s="76"/>
      <c r="BD3683" s="76">
        <f>+BC3683*30000</f>
        <v>0</v>
      </c>
      <c r="BE3683" s="76"/>
      <c r="BF3683" s="76"/>
      <c r="BG3683" s="76"/>
      <c r="BH3683" s="76"/>
      <c r="BI3683" s="76"/>
      <c r="BJ3683" s="76"/>
      <c r="BK3683" s="76"/>
      <c r="BL3683" s="76">
        <f>+BK3683*31500</f>
        <v>0</v>
      </c>
      <c r="BM3683" s="76"/>
      <c r="BN3683" s="76"/>
      <c r="BO3683" s="76"/>
      <c r="BP3683" s="76"/>
      <c r="BQ3683" s="76"/>
      <c r="BR3683" s="76"/>
      <c r="BS3683" s="76"/>
      <c r="BT3683" s="76"/>
      <c r="BU3683" s="76"/>
      <c r="BV3683" s="76"/>
      <c r="BW3683" s="76"/>
      <c r="BX3683" s="76"/>
      <c r="BY3683" s="76"/>
      <c r="BZ3683" s="76"/>
      <c r="CA3683" s="76"/>
      <c r="CB3683" s="76"/>
      <c r="CC3683" s="76"/>
      <c r="CD3683" s="76"/>
      <c r="CE3683" s="76"/>
      <c r="CF3683" s="76">
        <f>+CE3683*28000</f>
        <v>0</v>
      </c>
      <c r="CG3683" s="76">
        <v>2000</v>
      </c>
      <c r="CH3683" s="76">
        <f>+CG3683*22500</f>
        <v>45000000</v>
      </c>
      <c r="CI3683" s="76"/>
      <c r="CJ3683" s="76">
        <f>+CI3683*26000</f>
        <v>0</v>
      </c>
      <c r="CK3683" s="76"/>
      <c r="CL3683" s="76"/>
      <c r="CM3683" s="76">
        <v>2000</v>
      </c>
      <c r="CN3683" s="76">
        <f>+CM3683*22000</f>
        <v>44000000</v>
      </c>
      <c r="CO3683" s="76">
        <v>1000</v>
      </c>
      <c r="CP3683" s="76">
        <f>+CO3683*46000</f>
        <v>46000000</v>
      </c>
      <c r="CQ3683" s="76">
        <v>1000</v>
      </c>
      <c r="CR3683" s="76">
        <f>+CQ3683*49000</f>
        <v>49000000</v>
      </c>
      <c r="CS3683" s="76"/>
      <c r="CT3683" s="76"/>
      <c r="CU3683" s="56">
        <f>AN3683+AP3683+AR3683+AT3683+AV3683+AX3683+AZ3683+BB3683+BD3683+BF3683+BH3683+BJ3683+BL3683+BN3683+BP3683+BR3683+BT3683+BV3683+BX3683+BZ3683+CB3683+CD3683+CF3683+CH3683+CJ3683+CL3683+CN3683+CP3683+CR3683+CT3683</f>
        <v>324000000</v>
      </c>
      <c r="CV3683" s="76"/>
      <c r="CW3683" s="76">
        <f>+CV3683*1100</f>
        <v>0</v>
      </c>
      <c r="CX3683" s="76">
        <v>1000</v>
      </c>
      <c r="CY3683" s="76">
        <f>+CX3683*106250</f>
        <v>106250000</v>
      </c>
      <c r="CZ3683" s="76"/>
      <c r="DA3683" s="76">
        <f>+CZ3683*34500</f>
        <v>0</v>
      </c>
      <c r="DB3683" s="76"/>
      <c r="DC3683" s="76">
        <f>+DB3683*25000</f>
        <v>0</v>
      </c>
      <c r="DD3683" s="219"/>
      <c r="DE3683" s="219"/>
      <c r="DF3683" s="166"/>
      <c r="DG3683" s="116"/>
      <c r="DH3683" s="117"/>
      <c r="DI3683" s="24"/>
      <c r="DJ3683" s="24"/>
      <c r="DK3683" s="24"/>
      <c r="DL3683" s="24"/>
      <c r="DM3683" s="24"/>
      <c r="DN3683" s="24"/>
      <c r="DO3683" s="24"/>
      <c r="DP3683" s="24"/>
      <c r="DQ3683" s="24"/>
      <c r="DR3683" s="24"/>
      <c r="DS3683" s="24"/>
      <c r="DT3683" s="24"/>
      <c r="DU3683" s="24"/>
    </row>
    <row r="3684" spans="1:125" s="8" customFormat="1" ht="60" x14ac:dyDescent="0.2">
      <c r="A3684" s="353">
        <v>41597</v>
      </c>
      <c r="B3684" s="352" t="s">
        <v>2852</v>
      </c>
      <c r="C3684" s="354" t="s">
        <v>2149</v>
      </c>
      <c r="D3684" s="354" t="s">
        <v>3051</v>
      </c>
      <c r="E3684" s="75" t="str">
        <f>VLOOKUP(B3684&amp;C3684,Divipola!$C$2:$F$1138,4,FALSE)</f>
        <v>27050</v>
      </c>
      <c r="F3684" s="87"/>
      <c r="G3684" s="87"/>
      <c r="H3684" s="87"/>
      <c r="I3684" s="87">
        <v>1933</v>
      </c>
      <c r="J3684" s="87">
        <v>528</v>
      </c>
      <c r="K3684" s="87"/>
      <c r="L3684" s="87"/>
      <c r="M3684" s="87"/>
      <c r="N3684" s="87"/>
      <c r="O3684" s="87"/>
      <c r="P3684" s="87"/>
      <c r="Q3684" s="87"/>
      <c r="R3684" s="87"/>
      <c r="S3684" s="87"/>
      <c r="T3684" s="87"/>
      <c r="U3684" s="88"/>
      <c r="V3684" s="7"/>
      <c r="W3684" s="96">
        <v>0</v>
      </c>
      <c r="X3684" s="71">
        <f>CU3684</f>
        <v>226800000</v>
      </c>
      <c r="Y3684" s="71">
        <f>CY3684</f>
        <v>74375000</v>
      </c>
      <c r="Z3684" s="71">
        <f>DA3684+DC3684+DE3684</f>
        <v>0</v>
      </c>
      <c r="AA3684" s="71">
        <f>CW3684</f>
        <v>0</v>
      </c>
      <c r="AB3684" s="71"/>
      <c r="AC3684" s="71">
        <v>0</v>
      </c>
      <c r="AD3684" s="71">
        <f>W3684+X3684+Y3684+Z3684+AA3684+AB3684+AC3684</f>
        <v>301175000</v>
      </c>
      <c r="AE3684" s="72">
        <v>0</v>
      </c>
      <c r="AF3684" s="5"/>
      <c r="AG3684" s="6"/>
      <c r="AH3684" s="27"/>
      <c r="AI3684" s="44"/>
      <c r="AJ3684" s="26"/>
      <c r="AK3684" s="5"/>
      <c r="AL3684" s="82" t="s">
        <v>6698</v>
      </c>
      <c r="AM3684" s="76"/>
      <c r="AN3684" s="76"/>
      <c r="AO3684" s="76"/>
      <c r="AP3684" s="76"/>
      <c r="AQ3684" s="76"/>
      <c r="AR3684" s="76"/>
      <c r="AS3684" s="76"/>
      <c r="AT3684" s="76"/>
      <c r="AU3684" s="76"/>
      <c r="AV3684" s="76"/>
      <c r="AW3684" s="76"/>
      <c r="AX3684" s="76">
        <f>+AW3684*600000</f>
        <v>0</v>
      </c>
      <c r="AY3684" s="76">
        <v>1400</v>
      </c>
      <c r="AZ3684" s="76">
        <f>+AY3684*70000</f>
        <v>98000000</v>
      </c>
      <c r="BA3684" s="76"/>
      <c r="BB3684" s="76"/>
      <c r="BC3684" s="76"/>
      <c r="BD3684" s="76">
        <f>+BC3684*30000</f>
        <v>0</v>
      </c>
      <c r="BE3684" s="76"/>
      <c r="BF3684" s="76"/>
      <c r="BG3684" s="76"/>
      <c r="BH3684" s="76"/>
      <c r="BI3684" s="76"/>
      <c r="BJ3684" s="76"/>
      <c r="BK3684" s="76"/>
      <c r="BL3684" s="76">
        <f>+BK3684*31500</f>
        <v>0</v>
      </c>
      <c r="BM3684" s="76"/>
      <c r="BN3684" s="76"/>
      <c r="BO3684" s="76"/>
      <c r="BP3684" s="76"/>
      <c r="BQ3684" s="76"/>
      <c r="BR3684" s="76"/>
      <c r="BS3684" s="76"/>
      <c r="BT3684" s="76"/>
      <c r="BU3684" s="76"/>
      <c r="BV3684" s="76"/>
      <c r="BW3684" s="76"/>
      <c r="BX3684" s="76"/>
      <c r="BY3684" s="76"/>
      <c r="BZ3684" s="76"/>
      <c r="CA3684" s="76"/>
      <c r="CB3684" s="76"/>
      <c r="CC3684" s="76"/>
      <c r="CD3684" s="76"/>
      <c r="CE3684" s="76"/>
      <c r="CF3684" s="76">
        <f>+CE3684*28000</f>
        <v>0</v>
      </c>
      <c r="CG3684" s="76">
        <v>1400</v>
      </c>
      <c r="CH3684" s="76">
        <f>+CG3684*22500</f>
        <v>31500000</v>
      </c>
      <c r="CI3684" s="76"/>
      <c r="CJ3684" s="76">
        <f>+CI3684*26000</f>
        <v>0</v>
      </c>
      <c r="CK3684" s="76"/>
      <c r="CL3684" s="76"/>
      <c r="CM3684" s="76">
        <v>1400</v>
      </c>
      <c r="CN3684" s="76">
        <f>+CM3684*22000</f>
        <v>30800000</v>
      </c>
      <c r="CO3684" s="76">
        <v>700</v>
      </c>
      <c r="CP3684" s="76">
        <f>+CO3684*46000</f>
        <v>32200000</v>
      </c>
      <c r="CQ3684" s="76">
        <v>700</v>
      </c>
      <c r="CR3684" s="76">
        <f>+CQ3684*49000</f>
        <v>34300000</v>
      </c>
      <c r="CS3684" s="76"/>
      <c r="CT3684" s="76"/>
      <c r="CU3684" s="56">
        <f>AN3684+AP3684+AR3684+AT3684+AV3684+AX3684+AZ3684+BB3684+BD3684+BF3684+BH3684+BJ3684+BL3684+BN3684+BP3684+BR3684+BT3684+BV3684+BX3684+BZ3684+CB3684+CD3684+CF3684+CH3684+CJ3684+CL3684+CN3684+CP3684+CR3684+CT3684</f>
        <v>226800000</v>
      </c>
      <c r="CV3684" s="76"/>
      <c r="CW3684" s="76">
        <f>+CV3684*1100</f>
        <v>0</v>
      </c>
      <c r="CX3684" s="76">
        <v>700</v>
      </c>
      <c r="CY3684" s="76">
        <f>+CX3684*106250</f>
        <v>74375000</v>
      </c>
      <c r="CZ3684" s="76"/>
      <c r="DA3684" s="76">
        <f>+CZ3684*34500</f>
        <v>0</v>
      </c>
      <c r="DB3684" s="76"/>
      <c r="DC3684" s="76">
        <f>+DB3684*25000</f>
        <v>0</v>
      </c>
      <c r="DD3684" s="219"/>
      <c r="DE3684" s="219"/>
      <c r="DF3684" s="166"/>
      <c r="DG3684" s="116"/>
      <c r="DH3684" s="117"/>
      <c r="DI3684" s="24"/>
      <c r="DJ3684" s="24"/>
      <c r="DK3684" s="24"/>
      <c r="DL3684" s="24"/>
      <c r="DM3684" s="24"/>
      <c r="DN3684" s="24"/>
      <c r="DO3684" s="24"/>
      <c r="DP3684" s="24"/>
      <c r="DQ3684" s="24"/>
      <c r="DR3684" s="24"/>
      <c r="DS3684" s="24"/>
      <c r="DT3684" s="24"/>
      <c r="DU3684" s="24"/>
    </row>
    <row r="3685" spans="1:125" s="8" customFormat="1" ht="48" x14ac:dyDescent="0.2">
      <c r="A3685" s="77">
        <v>41597</v>
      </c>
      <c r="B3685" s="352" t="s">
        <v>2894</v>
      </c>
      <c r="C3685" s="354" t="s">
        <v>2032</v>
      </c>
      <c r="D3685" s="354" t="s">
        <v>3088</v>
      </c>
      <c r="E3685" s="75" t="str">
        <f>VLOOKUP(B3685&amp;C3685,Divipola!$C$2:$F$1138,4,FALSE)</f>
        <v>05001</v>
      </c>
      <c r="F3685" s="87"/>
      <c r="G3685" s="87"/>
      <c r="H3685" s="87"/>
      <c r="I3685" s="87"/>
      <c r="J3685" s="87"/>
      <c r="K3685" s="87"/>
      <c r="L3685" s="87"/>
      <c r="M3685" s="87"/>
      <c r="N3685" s="87"/>
      <c r="O3685" s="87"/>
      <c r="P3685" s="87"/>
      <c r="Q3685" s="87"/>
      <c r="R3685" s="87"/>
      <c r="S3685" s="87"/>
      <c r="T3685" s="87"/>
      <c r="U3685" s="88"/>
      <c r="V3685" s="7"/>
      <c r="W3685" s="96">
        <v>0</v>
      </c>
      <c r="X3685" s="71">
        <f>CU3685</f>
        <v>0</v>
      </c>
      <c r="Y3685" s="71">
        <f>CY3685</f>
        <v>0</v>
      </c>
      <c r="Z3685" s="71">
        <f>DA3685+DC3685+DE3685</f>
        <v>0</v>
      </c>
      <c r="AA3685" s="71">
        <f>CW3685</f>
        <v>0</v>
      </c>
      <c r="AB3685" s="71"/>
      <c r="AC3685" s="71">
        <v>0</v>
      </c>
      <c r="AD3685" s="71">
        <f>W3685+X3685+Y3685+Z3685+AA3685+AB3685+AC3685</f>
        <v>0</v>
      </c>
      <c r="AE3685" s="72">
        <v>0</v>
      </c>
      <c r="AF3685" s="5"/>
      <c r="AG3685" s="6"/>
      <c r="AH3685" s="27"/>
      <c r="AI3685" s="44"/>
      <c r="AJ3685" s="26"/>
      <c r="AK3685" s="5"/>
      <c r="AL3685" s="82" t="s">
        <v>6699</v>
      </c>
      <c r="AM3685" s="76"/>
      <c r="AN3685" s="76"/>
      <c r="AO3685" s="76"/>
      <c r="AP3685" s="76"/>
      <c r="AQ3685" s="76"/>
      <c r="AR3685" s="76"/>
      <c r="AS3685" s="76"/>
      <c r="AT3685" s="76"/>
      <c r="AU3685" s="76"/>
      <c r="AV3685" s="76"/>
      <c r="AW3685" s="76"/>
      <c r="AX3685" s="76">
        <f>+AW3685*600000</f>
        <v>0</v>
      </c>
      <c r="AY3685" s="76"/>
      <c r="AZ3685" s="76">
        <f>+AY3685*70000</f>
        <v>0</v>
      </c>
      <c r="BA3685" s="76"/>
      <c r="BB3685" s="76"/>
      <c r="BC3685" s="76"/>
      <c r="BD3685" s="76">
        <f>+BC3685*30000</f>
        <v>0</v>
      </c>
      <c r="BE3685" s="76"/>
      <c r="BF3685" s="76"/>
      <c r="BG3685" s="76"/>
      <c r="BH3685" s="76"/>
      <c r="BI3685" s="76"/>
      <c r="BJ3685" s="76"/>
      <c r="BK3685" s="76"/>
      <c r="BL3685" s="76">
        <f>+BK3685*31500</f>
        <v>0</v>
      </c>
      <c r="BM3685" s="76"/>
      <c r="BN3685" s="76"/>
      <c r="BO3685" s="76"/>
      <c r="BP3685" s="76"/>
      <c r="BQ3685" s="76"/>
      <c r="BR3685" s="76"/>
      <c r="BS3685" s="76"/>
      <c r="BT3685" s="76"/>
      <c r="BU3685" s="76"/>
      <c r="BV3685" s="76"/>
      <c r="BW3685" s="76"/>
      <c r="BX3685" s="76"/>
      <c r="BY3685" s="76"/>
      <c r="BZ3685" s="76"/>
      <c r="CA3685" s="76"/>
      <c r="CB3685" s="76"/>
      <c r="CC3685" s="76"/>
      <c r="CD3685" s="76"/>
      <c r="CE3685" s="76"/>
      <c r="CF3685" s="76">
        <f>+CE3685*28000</f>
        <v>0</v>
      </c>
      <c r="CG3685" s="76"/>
      <c r="CH3685" s="76">
        <f>+CG3685*22500</f>
        <v>0</v>
      </c>
      <c r="CI3685" s="76"/>
      <c r="CJ3685" s="76">
        <f>+CI3685*26000</f>
        <v>0</v>
      </c>
      <c r="CK3685" s="76"/>
      <c r="CL3685" s="76"/>
      <c r="CM3685" s="76"/>
      <c r="CN3685" s="76">
        <f>+CM3685*22000</f>
        <v>0</v>
      </c>
      <c r="CO3685" s="76"/>
      <c r="CP3685" s="76">
        <f>+CO3685*46000</f>
        <v>0</v>
      </c>
      <c r="CQ3685" s="76"/>
      <c r="CR3685" s="76">
        <f>+CQ3685*49000</f>
        <v>0</v>
      </c>
      <c r="CS3685" s="76"/>
      <c r="CT3685" s="76"/>
      <c r="CU3685" s="56">
        <f>AN3685+AP3685+AR3685+AT3685+AV3685+AX3685+AZ3685+BB3685+BD3685+BF3685+BH3685+BJ3685+BL3685+BN3685+BP3685+BR3685+BT3685+BV3685+BX3685+BZ3685+CB3685+CD3685+CF3685+CH3685+CJ3685+CL3685+CN3685+CP3685+CR3685+CT3685</f>
        <v>0</v>
      </c>
      <c r="CV3685" s="76"/>
      <c r="CW3685" s="76">
        <f>+CV3685*1100</f>
        <v>0</v>
      </c>
      <c r="CX3685" s="76"/>
      <c r="CY3685" s="76">
        <f>+CX3685*106250</f>
        <v>0</v>
      </c>
      <c r="CZ3685" s="76"/>
      <c r="DA3685" s="76">
        <f>+CZ3685*34500</f>
        <v>0</v>
      </c>
      <c r="DB3685" s="76"/>
      <c r="DC3685" s="76">
        <f>+DB3685*25000</f>
        <v>0</v>
      </c>
      <c r="DD3685" s="219"/>
      <c r="DE3685" s="219"/>
      <c r="DF3685" s="166"/>
      <c r="DG3685" s="116"/>
      <c r="DH3685" s="117"/>
      <c r="DI3685" s="24"/>
      <c r="DJ3685" s="24"/>
      <c r="DK3685" s="24"/>
      <c r="DL3685" s="24"/>
      <c r="DM3685" s="24"/>
      <c r="DN3685" s="24"/>
      <c r="DO3685" s="24"/>
      <c r="DP3685" s="24"/>
      <c r="DQ3685" s="24"/>
      <c r="DR3685" s="24"/>
      <c r="DS3685" s="24"/>
      <c r="DT3685" s="24"/>
      <c r="DU3685" s="24"/>
    </row>
    <row r="3686" spans="1:125" s="8" customFormat="1" ht="60" x14ac:dyDescent="0.2">
      <c r="A3686" s="353">
        <v>41597</v>
      </c>
      <c r="B3686" s="78" t="s">
        <v>2854</v>
      </c>
      <c r="C3686" s="75" t="s">
        <v>2093</v>
      </c>
      <c r="D3686" s="75" t="s">
        <v>3051</v>
      </c>
      <c r="E3686" s="75" t="str">
        <f>VLOOKUP(B3686&amp;C3686,Divipola!$C$2:$F$1138,4,FALSE)</f>
        <v>19455</v>
      </c>
      <c r="F3686" s="87"/>
      <c r="G3686" s="87"/>
      <c r="H3686" s="87"/>
      <c r="I3686" s="87">
        <v>100</v>
      </c>
      <c r="J3686" s="87">
        <v>20</v>
      </c>
      <c r="K3686" s="87"/>
      <c r="L3686" s="87">
        <v>20</v>
      </c>
      <c r="M3686" s="87">
        <v>1</v>
      </c>
      <c r="N3686" s="87"/>
      <c r="O3686" s="87"/>
      <c r="P3686" s="87"/>
      <c r="Q3686" s="87"/>
      <c r="R3686" s="87"/>
      <c r="S3686" s="87"/>
      <c r="T3686" s="87"/>
      <c r="U3686" s="88"/>
      <c r="V3686" s="7"/>
      <c r="W3686" s="96">
        <v>0</v>
      </c>
      <c r="X3686" s="71">
        <f>CU3686</f>
        <v>0</v>
      </c>
      <c r="Y3686" s="71">
        <f>CY3686</f>
        <v>0</v>
      </c>
      <c r="Z3686" s="71">
        <f>DA3686+DC3686+DE3686</f>
        <v>0</v>
      </c>
      <c r="AA3686" s="71">
        <f>CW3686</f>
        <v>0</v>
      </c>
      <c r="AB3686" s="71"/>
      <c r="AC3686" s="71">
        <v>0</v>
      </c>
      <c r="AD3686" s="71">
        <f>W3686+X3686+Y3686+Z3686+AA3686+AB3686+AC3686</f>
        <v>0</v>
      </c>
      <c r="AE3686" s="72">
        <v>0</v>
      </c>
      <c r="AF3686" s="5"/>
      <c r="AG3686" s="6"/>
      <c r="AH3686" s="27"/>
      <c r="AI3686" s="44"/>
      <c r="AJ3686" s="26"/>
      <c r="AK3686" s="5"/>
      <c r="AL3686" s="82" t="s">
        <v>6700</v>
      </c>
      <c r="AM3686" s="76"/>
      <c r="AN3686" s="76"/>
      <c r="AO3686" s="76"/>
      <c r="AP3686" s="76"/>
      <c r="AQ3686" s="76"/>
      <c r="AR3686" s="76"/>
      <c r="AS3686" s="76"/>
      <c r="AT3686" s="76"/>
      <c r="AU3686" s="76"/>
      <c r="AV3686" s="76"/>
      <c r="AW3686" s="76"/>
      <c r="AX3686" s="76">
        <f>+AW3686*600000</f>
        <v>0</v>
      </c>
      <c r="AY3686" s="76"/>
      <c r="AZ3686" s="76">
        <f>+AY3686*70000</f>
        <v>0</v>
      </c>
      <c r="BA3686" s="76"/>
      <c r="BB3686" s="76"/>
      <c r="BC3686" s="76"/>
      <c r="BD3686" s="76">
        <f>+BC3686*30000</f>
        <v>0</v>
      </c>
      <c r="BE3686" s="76"/>
      <c r="BF3686" s="76"/>
      <c r="BG3686" s="76"/>
      <c r="BH3686" s="76"/>
      <c r="BI3686" s="76"/>
      <c r="BJ3686" s="76"/>
      <c r="BK3686" s="76"/>
      <c r="BL3686" s="76">
        <f>+BK3686*31500</f>
        <v>0</v>
      </c>
      <c r="BM3686" s="76"/>
      <c r="BN3686" s="76"/>
      <c r="BO3686" s="76"/>
      <c r="BP3686" s="76"/>
      <c r="BQ3686" s="76"/>
      <c r="BR3686" s="76"/>
      <c r="BS3686" s="76"/>
      <c r="BT3686" s="76"/>
      <c r="BU3686" s="76"/>
      <c r="BV3686" s="76"/>
      <c r="BW3686" s="76"/>
      <c r="BX3686" s="76"/>
      <c r="BY3686" s="76"/>
      <c r="BZ3686" s="76"/>
      <c r="CA3686" s="76"/>
      <c r="CB3686" s="76"/>
      <c r="CC3686" s="76"/>
      <c r="CD3686" s="76"/>
      <c r="CE3686" s="76"/>
      <c r="CF3686" s="76">
        <f>+CE3686*28000</f>
        <v>0</v>
      </c>
      <c r="CG3686" s="76"/>
      <c r="CH3686" s="76">
        <f>+CG3686*22500</f>
        <v>0</v>
      </c>
      <c r="CI3686" s="76"/>
      <c r="CJ3686" s="76">
        <f>+CI3686*26000</f>
        <v>0</v>
      </c>
      <c r="CK3686" s="76"/>
      <c r="CL3686" s="76"/>
      <c r="CM3686" s="76"/>
      <c r="CN3686" s="76">
        <f>+CM3686*22000</f>
        <v>0</v>
      </c>
      <c r="CO3686" s="76"/>
      <c r="CP3686" s="76">
        <f>+CO3686*46000</f>
        <v>0</v>
      </c>
      <c r="CQ3686" s="76"/>
      <c r="CR3686" s="76">
        <f>+CQ3686*49000</f>
        <v>0</v>
      </c>
      <c r="CS3686" s="76"/>
      <c r="CT3686" s="76"/>
      <c r="CU3686" s="56">
        <f>AN3686+AP3686+AR3686+AT3686+AV3686+AX3686+AZ3686+BB3686+BD3686+BF3686+BH3686+BJ3686+BL3686+BN3686+BP3686+BR3686+BT3686+BV3686+BX3686+BZ3686+CB3686+CD3686+CF3686+CH3686+CJ3686+CL3686+CN3686+CP3686+CR3686+CT3686</f>
        <v>0</v>
      </c>
      <c r="CV3686" s="76"/>
      <c r="CW3686" s="76">
        <f>+CV3686*1100</f>
        <v>0</v>
      </c>
      <c r="CX3686" s="76"/>
      <c r="CY3686" s="76">
        <f>+CX3686*106250</f>
        <v>0</v>
      </c>
      <c r="CZ3686" s="76"/>
      <c r="DA3686" s="76">
        <f>+CZ3686*34500</f>
        <v>0</v>
      </c>
      <c r="DB3686" s="76"/>
      <c r="DC3686" s="76">
        <f>+DB3686*25000</f>
        <v>0</v>
      </c>
      <c r="DD3686" s="219"/>
      <c r="DE3686" s="219"/>
      <c r="DF3686" s="166"/>
      <c r="DG3686" s="116"/>
      <c r="DH3686" s="117"/>
      <c r="DI3686" s="24"/>
      <c r="DJ3686" s="24"/>
      <c r="DK3686" s="24"/>
      <c r="DL3686" s="24"/>
      <c r="DM3686" s="24"/>
      <c r="DN3686" s="24"/>
      <c r="DO3686" s="24"/>
      <c r="DP3686" s="24"/>
      <c r="DQ3686" s="24"/>
      <c r="DR3686" s="24"/>
      <c r="DS3686" s="24"/>
      <c r="DT3686" s="24"/>
      <c r="DU3686" s="24"/>
    </row>
    <row r="3687" spans="1:125" s="8" customFormat="1" ht="72" x14ac:dyDescent="0.2">
      <c r="A3687" s="77">
        <v>41597</v>
      </c>
      <c r="B3687" s="84" t="s">
        <v>2847</v>
      </c>
      <c r="C3687" s="84" t="s">
        <v>479</v>
      </c>
      <c r="D3687" s="75" t="s">
        <v>3051</v>
      </c>
      <c r="E3687" s="75" t="str">
        <f>VLOOKUP(B3687&amp;C3687,Divipola!$C$2:$F$1138,4,FALSE)</f>
        <v>68547</v>
      </c>
      <c r="F3687" s="89"/>
      <c r="G3687" s="89"/>
      <c r="H3687" s="89"/>
      <c r="I3687" s="89"/>
      <c r="J3687" s="89"/>
      <c r="K3687" s="89"/>
      <c r="L3687" s="89"/>
      <c r="M3687" s="89">
        <v>1</v>
      </c>
      <c r="N3687" s="89"/>
      <c r="O3687" s="89"/>
      <c r="P3687" s="89"/>
      <c r="Q3687" s="89"/>
      <c r="R3687" s="89"/>
      <c r="S3687" s="89"/>
      <c r="T3687" s="89"/>
      <c r="U3687" s="89"/>
      <c r="V3687" s="7"/>
      <c r="W3687" s="96">
        <v>0</v>
      </c>
      <c r="X3687" s="71">
        <f>CU3687</f>
        <v>0</v>
      </c>
      <c r="Y3687" s="71">
        <f>CY3687</f>
        <v>0</v>
      </c>
      <c r="Z3687" s="71">
        <f>DA3687+DC3687+DE3687</f>
        <v>0</v>
      </c>
      <c r="AA3687" s="71">
        <f>CW3687</f>
        <v>0</v>
      </c>
      <c r="AB3687" s="71"/>
      <c r="AC3687" s="71">
        <v>0</v>
      </c>
      <c r="AD3687" s="71">
        <f>W3687+X3687+Y3687+Z3687+AA3687+AB3687+AC3687</f>
        <v>0</v>
      </c>
      <c r="AE3687" s="72">
        <v>0</v>
      </c>
      <c r="AF3687" s="5"/>
      <c r="AG3687" s="6"/>
      <c r="AH3687" s="27"/>
      <c r="AI3687" s="44"/>
      <c r="AJ3687" s="26"/>
      <c r="AK3687" s="5"/>
      <c r="AL3687" s="82" t="s">
        <v>6701</v>
      </c>
      <c r="AM3687" s="76"/>
      <c r="AN3687" s="76"/>
      <c r="AO3687" s="76"/>
      <c r="AP3687" s="76"/>
      <c r="AQ3687" s="76"/>
      <c r="AR3687" s="76"/>
      <c r="AS3687" s="76"/>
      <c r="AT3687" s="76"/>
      <c r="AU3687" s="76"/>
      <c r="AV3687" s="76"/>
      <c r="AW3687" s="76"/>
      <c r="AX3687" s="76">
        <f>+AW3687*600000</f>
        <v>0</v>
      </c>
      <c r="AY3687" s="76"/>
      <c r="AZ3687" s="76">
        <f>+AY3687*70000</f>
        <v>0</v>
      </c>
      <c r="BA3687" s="76"/>
      <c r="BB3687" s="76"/>
      <c r="BC3687" s="76"/>
      <c r="BD3687" s="76">
        <f>+BC3687*30000</f>
        <v>0</v>
      </c>
      <c r="BE3687" s="76"/>
      <c r="BF3687" s="76"/>
      <c r="BG3687" s="76"/>
      <c r="BH3687" s="76"/>
      <c r="BI3687" s="76"/>
      <c r="BJ3687" s="76"/>
      <c r="BK3687" s="76"/>
      <c r="BL3687" s="76">
        <f>+BK3687*31500</f>
        <v>0</v>
      </c>
      <c r="BM3687" s="76"/>
      <c r="BN3687" s="76"/>
      <c r="BO3687" s="76"/>
      <c r="BP3687" s="76"/>
      <c r="BQ3687" s="76"/>
      <c r="BR3687" s="76"/>
      <c r="BS3687" s="76"/>
      <c r="BT3687" s="76"/>
      <c r="BU3687" s="76"/>
      <c r="BV3687" s="76"/>
      <c r="BW3687" s="76"/>
      <c r="BX3687" s="76"/>
      <c r="BY3687" s="76"/>
      <c r="BZ3687" s="76"/>
      <c r="CA3687" s="76"/>
      <c r="CB3687" s="76"/>
      <c r="CC3687" s="76"/>
      <c r="CD3687" s="76"/>
      <c r="CE3687" s="76"/>
      <c r="CF3687" s="76">
        <f>+CE3687*28000</f>
        <v>0</v>
      </c>
      <c r="CG3687" s="76"/>
      <c r="CH3687" s="76">
        <f>+CG3687*22500</f>
        <v>0</v>
      </c>
      <c r="CI3687" s="76"/>
      <c r="CJ3687" s="76">
        <f>+CI3687*26000</f>
        <v>0</v>
      </c>
      <c r="CK3687" s="76"/>
      <c r="CL3687" s="76"/>
      <c r="CM3687" s="76"/>
      <c r="CN3687" s="76">
        <f>+CM3687*22000</f>
        <v>0</v>
      </c>
      <c r="CO3687" s="76"/>
      <c r="CP3687" s="76">
        <f>+CO3687*46000</f>
        <v>0</v>
      </c>
      <c r="CQ3687" s="76"/>
      <c r="CR3687" s="76">
        <f>+CQ3687*49000</f>
        <v>0</v>
      </c>
      <c r="CS3687" s="76"/>
      <c r="CT3687" s="76"/>
      <c r="CU3687" s="56">
        <f>AN3687+AP3687+AR3687+AT3687+AV3687+AX3687+AZ3687+BB3687+BD3687+BF3687+BH3687+BJ3687+BL3687+BN3687+BP3687+BR3687+BT3687+BV3687+BX3687+BZ3687+CB3687+CD3687+CF3687+CH3687+CJ3687+CL3687+CN3687+CP3687+CR3687+CT3687</f>
        <v>0</v>
      </c>
      <c r="CV3687" s="76"/>
      <c r="CW3687" s="76">
        <f>+CV3687*1100</f>
        <v>0</v>
      </c>
      <c r="CX3687" s="76"/>
      <c r="CY3687" s="76">
        <f>+CX3687*106250</f>
        <v>0</v>
      </c>
      <c r="CZ3687" s="76"/>
      <c r="DA3687" s="76">
        <f>+CZ3687*34500</f>
        <v>0</v>
      </c>
      <c r="DB3687" s="76"/>
      <c r="DC3687" s="76">
        <f>+DB3687*25000</f>
        <v>0</v>
      </c>
      <c r="DD3687" s="219"/>
      <c r="DE3687" s="219"/>
      <c r="DF3687" s="166"/>
      <c r="DG3687" s="116"/>
      <c r="DH3687" s="117"/>
      <c r="DI3687" s="24"/>
      <c r="DJ3687" s="24"/>
      <c r="DK3687" s="24"/>
      <c r="DL3687" s="24"/>
      <c r="DM3687" s="24"/>
      <c r="DN3687" s="24"/>
      <c r="DO3687" s="24"/>
      <c r="DP3687" s="24"/>
      <c r="DQ3687" s="24"/>
      <c r="DR3687" s="24"/>
      <c r="DS3687" s="24"/>
      <c r="DT3687" s="24"/>
      <c r="DU3687" s="24"/>
    </row>
    <row r="3688" spans="1:125" s="8" customFormat="1" ht="108" x14ac:dyDescent="0.2">
      <c r="A3688" s="353">
        <v>41597</v>
      </c>
      <c r="B3688" s="75" t="s">
        <v>2848</v>
      </c>
      <c r="C3688" s="75" t="s">
        <v>2213</v>
      </c>
      <c r="D3688" s="75" t="s">
        <v>2859</v>
      </c>
      <c r="E3688" s="75" t="str">
        <f>VLOOKUP(B3688&amp;C3688,Divipola!$C$2:$F$1138,4,FALSE)</f>
        <v>73152</v>
      </c>
      <c r="F3688" s="93"/>
      <c r="G3688" s="93">
        <v>1</v>
      </c>
      <c r="H3688" s="93"/>
      <c r="I3688" s="93">
        <v>5</v>
      </c>
      <c r="J3688" s="93">
        <v>1</v>
      </c>
      <c r="K3688" s="93">
        <v>1</v>
      </c>
      <c r="L3688" s="93"/>
      <c r="M3688" s="93"/>
      <c r="N3688" s="93"/>
      <c r="O3688" s="93"/>
      <c r="P3688" s="93"/>
      <c r="Q3688" s="93"/>
      <c r="R3688" s="93"/>
      <c r="S3688" s="93"/>
      <c r="T3688" s="93"/>
      <c r="U3688" s="93"/>
      <c r="V3688" s="7"/>
      <c r="W3688" s="96">
        <v>0</v>
      </c>
      <c r="X3688" s="71">
        <f>CU3688</f>
        <v>0</v>
      </c>
      <c r="Y3688" s="71">
        <f>CY3688</f>
        <v>0</v>
      </c>
      <c r="Z3688" s="71">
        <f>DA3688+DC3688+DE3688</f>
        <v>0</v>
      </c>
      <c r="AA3688" s="71">
        <f>CW3688</f>
        <v>0</v>
      </c>
      <c r="AB3688" s="71"/>
      <c r="AC3688" s="71">
        <v>0</v>
      </c>
      <c r="AD3688" s="71">
        <f>W3688+X3688+Y3688+Z3688+AA3688+AB3688+AC3688</f>
        <v>0</v>
      </c>
      <c r="AE3688" s="72">
        <v>0</v>
      </c>
      <c r="AF3688" s="5"/>
      <c r="AG3688" s="6"/>
      <c r="AH3688" s="27"/>
      <c r="AI3688" s="44"/>
      <c r="AJ3688" s="26"/>
      <c r="AK3688" s="5"/>
      <c r="AL3688" s="82" t="s">
        <v>6702</v>
      </c>
      <c r="AM3688" s="76"/>
      <c r="AN3688" s="76"/>
      <c r="AO3688" s="76"/>
      <c r="AP3688" s="76"/>
      <c r="AQ3688" s="76"/>
      <c r="AR3688" s="76"/>
      <c r="AS3688" s="76"/>
      <c r="AT3688" s="76"/>
      <c r="AU3688" s="76"/>
      <c r="AV3688" s="76"/>
      <c r="AW3688" s="76"/>
      <c r="AX3688" s="76">
        <f>+AW3688*600000</f>
        <v>0</v>
      </c>
      <c r="AY3688" s="76"/>
      <c r="AZ3688" s="76">
        <f>+AY3688*70000</f>
        <v>0</v>
      </c>
      <c r="BA3688" s="76"/>
      <c r="BB3688" s="76"/>
      <c r="BC3688" s="76"/>
      <c r="BD3688" s="76">
        <f>+BC3688*30000</f>
        <v>0</v>
      </c>
      <c r="BE3688" s="76"/>
      <c r="BF3688" s="76"/>
      <c r="BG3688" s="76"/>
      <c r="BH3688" s="76"/>
      <c r="BI3688" s="76"/>
      <c r="BJ3688" s="76"/>
      <c r="BK3688" s="76"/>
      <c r="BL3688" s="76">
        <f>+BK3688*31500</f>
        <v>0</v>
      </c>
      <c r="BM3688" s="76"/>
      <c r="BN3688" s="76"/>
      <c r="BO3688" s="76"/>
      <c r="BP3688" s="76"/>
      <c r="BQ3688" s="76"/>
      <c r="BR3688" s="76"/>
      <c r="BS3688" s="76"/>
      <c r="BT3688" s="76"/>
      <c r="BU3688" s="76"/>
      <c r="BV3688" s="76"/>
      <c r="BW3688" s="76"/>
      <c r="BX3688" s="76"/>
      <c r="BY3688" s="76"/>
      <c r="BZ3688" s="76"/>
      <c r="CA3688" s="76"/>
      <c r="CB3688" s="76"/>
      <c r="CC3688" s="76"/>
      <c r="CD3688" s="76"/>
      <c r="CE3688" s="76"/>
      <c r="CF3688" s="76">
        <f>+CE3688*28000</f>
        <v>0</v>
      </c>
      <c r="CG3688" s="76"/>
      <c r="CH3688" s="76">
        <f>+CG3688*22500</f>
        <v>0</v>
      </c>
      <c r="CI3688" s="76"/>
      <c r="CJ3688" s="76">
        <f>+CI3688*26000</f>
        <v>0</v>
      </c>
      <c r="CK3688" s="76"/>
      <c r="CL3688" s="76"/>
      <c r="CM3688" s="76"/>
      <c r="CN3688" s="76">
        <f>+CM3688*22000</f>
        <v>0</v>
      </c>
      <c r="CO3688" s="76"/>
      <c r="CP3688" s="76">
        <f>+CO3688*46000</f>
        <v>0</v>
      </c>
      <c r="CQ3688" s="76"/>
      <c r="CR3688" s="76">
        <f>+CQ3688*49000</f>
        <v>0</v>
      </c>
      <c r="CS3688" s="76"/>
      <c r="CT3688" s="76"/>
      <c r="CU3688" s="56">
        <f>AN3688+AP3688+AR3688+AT3688+AV3688+AX3688+AZ3688+BB3688+BD3688+BF3688+BH3688+BJ3688+BL3688+BN3688+BP3688+BR3688+BT3688+BV3688+BX3688+BZ3688+CB3688+CD3688+CF3688+CH3688+CJ3688+CL3688+CN3688+CP3688+CR3688+CT3688</f>
        <v>0</v>
      </c>
      <c r="CV3688" s="76"/>
      <c r="CW3688" s="76">
        <f>+CV3688*1100</f>
        <v>0</v>
      </c>
      <c r="CX3688" s="76"/>
      <c r="CY3688" s="76">
        <f>+CX3688*106250</f>
        <v>0</v>
      </c>
      <c r="CZ3688" s="76"/>
      <c r="DA3688" s="76">
        <f>+CZ3688*34500</f>
        <v>0</v>
      </c>
      <c r="DB3688" s="76"/>
      <c r="DC3688" s="76">
        <f>+DB3688*25000</f>
        <v>0</v>
      </c>
      <c r="DD3688" s="219"/>
      <c r="DE3688" s="219"/>
      <c r="DF3688" s="166"/>
      <c r="DG3688" s="116"/>
      <c r="DH3688" s="117"/>
      <c r="DI3688" s="24"/>
      <c r="DJ3688" s="24"/>
      <c r="DK3688" s="24"/>
      <c r="DL3688" s="24"/>
      <c r="DM3688" s="24"/>
      <c r="DN3688" s="24"/>
      <c r="DO3688" s="24"/>
      <c r="DP3688" s="24"/>
      <c r="DQ3688" s="24"/>
      <c r="DR3688" s="24"/>
      <c r="DS3688" s="24"/>
      <c r="DT3688" s="24"/>
      <c r="DU3688" s="24"/>
    </row>
    <row r="3689" spans="1:125" s="8" customFormat="1" ht="36" x14ac:dyDescent="0.2">
      <c r="A3689" s="77">
        <v>41597</v>
      </c>
      <c r="B3689" s="78" t="s">
        <v>2894</v>
      </c>
      <c r="C3689" s="75" t="s">
        <v>2615</v>
      </c>
      <c r="D3689" s="351" t="s">
        <v>3051</v>
      </c>
      <c r="E3689" s="75" t="str">
        <f>VLOOKUP(B3689&amp;C3689,Divipola!$C$2:$F$1138,4,FALSE)</f>
        <v>05837</v>
      </c>
      <c r="F3689" s="93"/>
      <c r="G3689" s="93"/>
      <c r="H3689" s="93"/>
      <c r="I3689" s="93">
        <v>15</v>
      </c>
      <c r="J3689" s="93">
        <v>3</v>
      </c>
      <c r="K3689" s="93"/>
      <c r="L3689" s="93"/>
      <c r="M3689" s="93"/>
      <c r="N3689" s="93"/>
      <c r="O3689" s="93"/>
      <c r="P3689" s="93"/>
      <c r="Q3689" s="93"/>
      <c r="R3689" s="93"/>
      <c r="S3689" s="93"/>
      <c r="T3689" s="93"/>
      <c r="U3689" s="93"/>
      <c r="V3689" s="7"/>
      <c r="W3689" s="96">
        <v>0</v>
      </c>
      <c r="X3689" s="71">
        <f>CU3689</f>
        <v>0</v>
      </c>
      <c r="Y3689" s="71">
        <f>CY3689</f>
        <v>0</v>
      </c>
      <c r="Z3689" s="71">
        <f>DA3689+DC3689+DE3689</f>
        <v>0</v>
      </c>
      <c r="AA3689" s="71">
        <f>CW3689</f>
        <v>0</v>
      </c>
      <c r="AB3689" s="71"/>
      <c r="AC3689" s="71">
        <v>0</v>
      </c>
      <c r="AD3689" s="71">
        <f>W3689+X3689+Y3689+Z3689+AA3689+AB3689+AC3689</f>
        <v>0</v>
      </c>
      <c r="AE3689" s="72">
        <v>0</v>
      </c>
      <c r="AF3689" s="5"/>
      <c r="AG3689" s="6"/>
      <c r="AH3689" s="27"/>
      <c r="AI3689" s="44"/>
      <c r="AJ3689" s="26"/>
      <c r="AK3689" s="5"/>
      <c r="AL3689" s="82" t="s">
        <v>6703</v>
      </c>
      <c r="AM3689" s="76"/>
      <c r="AN3689" s="76"/>
      <c r="AO3689" s="76"/>
      <c r="AP3689" s="76"/>
      <c r="AQ3689" s="76"/>
      <c r="AR3689" s="76"/>
      <c r="AS3689" s="76"/>
      <c r="AT3689" s="76"/>
      <c r="AU3689" s="76"/>
      <c r="AV3689" s="76"/>
      <c r="AW3689" s="76"/>
      <c r="AX3689" s="76">
        <f>+AW3689*600000</f>
        <v>0</v>
      </c>
      <c r="AY3689" s="76"/>
      <c r="AZ3689" s="76">
        <f>+AY3689*70000</f>
        <v>0</v>
      </c>
      <c r="BA3689" s="76"/>
      <c r="BB3689" s="76"/>
      <c r="BC3689" s="76"/>
      <c r="BD3689" s="76">
        <f>+BC3689*30000</f>
        <v>0</v>
      </c>
      <c r="BE3689" s="76"/>
      <c r="BF3689" s="76"/>
      <c r="BG3689" s="76"/>
      <c r="BH3689" s="76"/>
      <c r="BI3689" s="76"/>
      <c r="BJ3689" s="76"/>
      <c r="BK3689" s="76"/>
      <c r="BL3689" s="76">
        <f>+BK3689*31500</f>
        <v>0</v>
      </c>
      <c r="BM3689" s="76"/>
      <c r="BN3689" s="76"/>
      <c r="BO3689" s="76"/>
      <c r="BP3689" s="76"/>
      <c r="BQ3689" s="76"/>
      <c r="BR3689" s="76"/>
      <c r="BS3689" s="76"/>
      <c r="BT3689" s="76"/>
      <c r="BU3689" s="76"/>
      <c r="BV3689" s="76"/>
      <c r="BW3689" s="76"/>
      <c r="BX3689" s="76"/>
      <c r="BY3689" s="76"/>
      <c r="BZ3689" s="76"/>
      <c r="CA3689" s="76"/>
      <c r="CB3689" s="76"/>
      <c r="CC3689" s="76"/>
      <c r="CD3689" s="76"/>
      <c r="CE3689" s="76"/>
      <c r="CF3689" s="76">
        <f>+CE3689*28000</f>
        <v>0</v>
      </c>
      <c r="CG3689" s="76"/>
      <c r="CH3689" s="76">
        <f>+CG3689*22500</f>
        <v>0</v>
      </c>
      <c r="CI3689" s="76"/>
      <c r="CJ3689" s="76">
        <f>+CI3689*26000</f>
        <v>0</v>
      </c>
      <c r="CK3689" s="76"/>
      <c r="CL3689" s="76"/>
      <c r="CM3689" s="76"/>
      <c r="CN3689" s="76">
        <f>+CM3689*22000</f>
        <v>0</v>
      </c>
      <c r="CO3689" s="76"/>
      <c r="CP3689" s="76">
        <f>+CO3689*46000</f>
        <v>0</v>
      </c>
      <c r="CQ3689" s="76"/>
      <c r="CR3689" s="76">
        <f>+CQ3689*49000</f>
        <v>0</v>
      </c>
      <c r="CS3689" s="76"/>
      <c r="CT3689" s="76"/>
      <c r="CU3689" s="56">
        <f>AN3689+AP3689+AR3689+AT3689+AV3689+AX3689+AZ3689+BB3689+BD3689+BF3689+BH3689+BJ3689+BL3689+BN3689+BP3689+BR3689+BT3689+BV3689+BX3689+BZ3689+CB3689+CD3689+CF3689+CH3689+CJ3689+CL3689+CN3689+CP3689+CR3689+CT3689</f>
        <v>0</v>
      </c>
      <c r="CV3689" s="76"/>
      <c r="CW3689" s="76">
        <f>+CV3689*1100</f>
        <v>0</v>
      </c>
      <c r="CX3689" s="76"/>
      <c r="CY3689" s="76">
        <f>+CX3689*106250</f>
        <v>0</v>
      </c>
      <c r="CZ3689" s="76"/>
      <c r="DA3689" s="76">
        <f>+CZ3689*34500</f>
        <v>0</v>
      </c>
      <c r="DB3689" s="76"/>
      <c r="DC3689" s="76">
        <f>+DB3689*25000</f>
        <v>0</v>
      </c>
      <c r="DD3689" s="219"/>
      <c r="DE3689" s="219"/>
      <c r="DF3689" s="166"/>
      <c r="DG3689" s="116"/>
      <c r="DH3689" s="117"/>
      <c r="DI3689" s="24"/>
      <c r="DJ3689" s="24"/>
      <c r="DK3689" s="24"/>
      <c r="DL3689" s="24"/>
      <c r="DM3689" s="24"/>
      <c r="DN3689" s="24"/>
      <c r="DO3689" s="24"/>
      <c r="DP3689" s="24"/>
      <c r="DQ3689" s="24"/>
      <c r="DR3689" s="24"/>
      <c r="DS3689" s="24"/>
      <c r="DT3689" s="24"/>
      <c r="DU3689" s="24"/>
    </row>
    <row r="3690" spans="1:125" s="8" customFormat="1" ht="60" x14ac:dyDescent="0.2">
      <c r="A3690" s="353">
        <v>41597</v>
      </c>
      <c r="B3690" s="78" t="s">
        <v>2894</v>
      </c>
      <c r="C3690" s="83" t="s">
        <v>2590</v>
      </c>
      <c r="D3690" s="75" t="s">
        <v>3088</v>
      </c>
      <c r="E3690" s="75" t="str">
        <f>VLOOKUP(B3690&amp;C3690,Divipola!$C$2:$F$1138,4,FALSE)</f>
        <v>05690</v>
      </c>
      <c r="F3690" s="93"/>
      <c r="G3690" s="93"/>
      <c r="H3690" s="93"/>
      <c r="I3690" s="93">
        <v>30</v>
      </c>
      <c r="J3690" s="93">
        <v>6</v>
      </c>
      <c r="K3690" s="93"/>
      <c r="L3690" s="93">
        <v>6</v>
      </c>
      <c r="M3690" s="93"/>
      <c r="N3690" s="93"/>
      <c r="O3690" s="93"/>
      <c r="P3690" s="93"/>
      <c r="Q3690" s="93"/>
      <c r="R3690" s="93"/>
      <c r="S3690" s="93"/>
      <c r="T3690" s="93"/>
      <c r="U3690" s="93"/>
      <c r="V3690" s="7"/>
      <c r="W3690" s="96">
        <v>0</v>
      </c>
      <c r="X3690" s="71">
        <f>CU3690</f>
        <v>0</v>
      </c>
      <c r="Y3690" s="71">
        <f>CY3690</f>
        <v>0</v>
      </c>
      <c r="Z3690" s="71">
        <f>DA3690+DC3690+DE3690</f>
        <v>0</v>
      </c>
      <c r="AA3690" s="71">
        <f>CW3690</f>
        <v>0</v>
      </c>
      <c r="AB3690" s="71"/>
      <c r="AC3690" s="71">
        <v>0</v>
      </c>
      <c r="AD3690" s="71">
        <f>W3690+X3690+Y3690+Z3690+AA3690+AB3690+AC3690</f>
        <v>0</v>
      </c>
      <c r="AE3690" s="72">
        <v>0</v>
      </c>
      <c r="AF3690" s="5"/>
      <c r="AG3690" s="6"/>
      <c r="AH3690" s="27"/>
      <c r="AI3690" s="44"/>
      <c r="AJ3690" s="26"/>
      <c r="AK3690" s="5"/>
      <c r="AL3690" s="82" t="s">
        <v>6704</v>
      </c>
      <c r="AM3690" s="76"/>
      <c r="AN3690" s="76"/>
      <c r="AO3690" s="76"/>
      <c r="AP3690" s="76"/>
      <c r="AQ3690" s="76"/>
      <c r="AR3690" s="76"/>
      <c r="AS3690" s="76"/>
      <c r="AT3690" s="76"/>
      <c r="AU3690" s="76"/>
      <c r="AV3690" s="76"/>
      <c r="AW3690" s="76"/>
      <c r="AX3690" s="76">
        <f>+AW3690*600000</f>
        <v>0</v>
      </c>
      <c r="AY3690" s="76"/>
      <c r="AZ3690" s="76">
        <f>+AY3690*70000</f>
        <v>0</v>
      </c>
      <c r="BA3690" s="76"/>
      <c r="BB3690" s="76"/>
      <c r="BC3690" s="76"/>
      <c r="BD3690" s="76">
        <f>+BC3690*30000</f>
        <v>0</v>
      </c>
      <c r="BE3690" s="76"/>
      <c r="BF3690" s="76"/>
      <c r="BG3690" s="76"/>
      <c r="BH3690" s="76"/>
      <c r="BI3690" s="76"/>
      <c r="BJ3690" s="76"/>
      <c r="BK3690" s="76"/>
      <c r="BL3690" s="76">
        <f>+BK3690*31500</f>
        <v>0</v>
      </c>
      <c r="BM3690" s="76"/>
      <c r="BN3690" s="76"/>
      <c r="BO3690" s="76"/>
      <c r="BP3690" s="76"/>
      <c r="BQ3690" s="76"/>
      <c r="BR3690" s="76"/>
      <c r="BS3690" s="76"/>
      <c r="BT3690" s="76"/>
      <c r="BU3690" s="76"/>
      <c r="BV3690" s="76"/>
      <c r="BW3690" s="76"/>
      <c r="BX3690" s="76"/>
      <c r="BY3690" s="76"/>
      <c r="BZ3690" s="76"/>
      <c r="CA3690" s="76"/>
      <c r="CB3690" s="76"/>
      <c r="CC3690" s="76"/>
      <c r="CD3690" s="76"/>
      <c r="CE3690" s="76"/>
      <c r="CF3690" s="76">
        <f>+CE3690*28000</f>
        <v>0</v>
      </c>
      <c r="CG3690" s="76"/>
      <c r="CH3690" s="76">
        <f>+CG3690*22500</f>
        <v>0</v>
      </c>
      <c r="CI3690" s="76"/>
      <c r="CJ3690" s="76">
        <f>+CI3690*26000</f>
        <v>0</v>
      </c>
      <c r="CK3690" s="76"/>
      <c r="CL3690" s="76"/>
      <c r="CM3690" s="76"/>
      <c r="CN3690" s="76">
        <f>+CM3690*22000</f>
        <v>0</v>
      </c>
      <c r="CO3690" s="76"/>
      <c r="CP3690" s="76">
        <f>+CO3690*46000</f>
        <v>0</v>
      </c>
      <c r="CQ3690" s="76"/>
      <c r="CR3690" s="76">
        <f>+CQ3690*49000</f>
        <v>0</v>
      </c>
      <c r="CS3690" s="76"/>
      <c r="CT3690" s="76"/>
      <c r="CU3690" s="56">
        <f>AN3690+AP3690+AR3690+AT3690+AV3690+AX3690+AZ3690+BB3690+BD3690+BF3690+BH3690+BJ3690+BL3690+BN3690+BP3690+BR3690+BT3690+BV3690+BX3690+BZ3690+CB3690+CD3690+CF3690+CH3690+CJ3690+CL3690+CN3690+CP3690+CR3690+CT3690</f>
        <v>0</v>
      </c>
      <c r="CV3690" s="76"/>
      <c r="CW3690" s="76">
        <f>+CV3690*1100</f>
        <v>0</v>
      </c>
      <c r="CX3690" s="76"/>
      <c r="CY3690" s="76">
        <f>+CX3690*106250</f>
        <v>0</v>
      </c>
      <c r="CZ3690" s="76"/>
      <c r="DA3690" s="76">
        <f>+CZ3690*34500</f>
        <v>0</v>
      </c>
      <c r="DB3690" s="76"/>
      <c r="DC3690" s="76">
        <f>+DB3690*25000</f>
        <v>0</v>
      </c>
      <c r="DD3690" s="219"/>
      <c r="DE3690" s="219"/>
      <c r="DF3690" s="166"/>
      <c r="DG3690" s="116"/>
      <c r="DH3690" s="117"/>
      <c r="DI3690" s="24"/>
      <c r="DJ3690" s="24"/>
      <c r="DK3690" s="24"/>
      <c r="DL3690" s="24"/>
      <c r="DM3690" s="24"/>
      <c r="DN3690" s="24"/>
      <c r="DO3690" s="24"/>
      <c r="DP3690" s="24"/>
      <c r="DQ3690" s="24"/>
      <c r="DR3690" s="24"/>
      <c r="DS3690" s="24"/>
      <c r="DT3690" s="24"/>
      <c r="DU3690" s="24"/>
    </row>
    <row r="3691" spans="1:125" s="8" customFormat="1" ht="36" x14ac:dyDescent="0.2">
      <c r="A3691" s="77">
        <v>41597</v>
      </c>
      <c r="B3691" s="78" t="s">
        <v>2894</v>
      </c>
      <c r="C3691" s="75" t="s">
        <v>2621</v>
      </c>
      <c r="D3691" s="75" t="s">
        <v>3088</v>
      </c>
      <c r="E3691" s="75" t="str">
        <f>VLOOKUP(B3691&amp;C3691,Divipola!$C$2:$F$1138,4,FALSE)</f>
        <v>05847</v>
      </c>
      <c r="F3691" s="87"/>
      <c r="G3691" s="87"/>
      <c r="H3691" s="87"/>
      <c r="I3691" s="87">
        <v>5</v>
      </c>
      <c r="J3691" s="87">
        <v>1</v>
      </c>
      <c r="K3691" s="87"/>
      <c r="L3691" s="87">
        <v>1</v>
      </c>
      <c r="M3691" s="87">
        <v>1</v>
      </c>
      <c r="N3691" s="87"/>
      <c r="O3691" s="87"/>
      <c r="P3691" s="87"/>
      <c r="Q3691" s="87"/>
      <c r="R3691" s="87"/>
      <c r="S3691" s="87"/>
      <c r="T3691" s="87"/>
      <c r="U3691" s="88"/>
      <c r="V3691" s="7"/>
      <c r="W3691" s="96">
        <v>0</v>
      </c>
      <c r="X3691" s="71">
        <f>CU3691</f>
        <v>0</v>
      </c>
      <c r="Y3691" s="71">
        <f>CY3691</f>
        <v>0</v>
      </c>
      <c r="Z3691" s="71">
        <f>DA3691+DC3691+DE3691</f>
        <v>0</v>
      </c>
      <c r="AA3691" s="71">
        <f>CW3691</f>
        <v>0</v>
      </c>
      <c r="AB3691" s="71"/>
      <c r="AC3691" s="71">
        <v>0</v>
      </c>
      <c r="AD3691" s="71">
        <f>W3691+X3691+Y3691+Z3691+AA3691+AB3691+AC3691</f>
        <v>0</v>
      </c>
      <c r="AE3691" s="72">
        <v>0</v>
      </c>
      <c r="AF3691" s="5"/>
      <c r="AG3691" s="6"/>
      <c r="AH3691" s="27"/>
      <c r="AI3691" s="44"/>
      <c r="AJ3691" s="26"/>
      <c r="AK3691" s="5"/>
      <c r="AL3691" s="82" t="s">
        <v>6705</v>
      </c>
      <c r="AM3691" s="76"/>
      <c r="AN3691" s="76"/>
      <c r="AO3691" s="76"/>
      <c r="AP3691" s="76"/>
      <c r="AQ3691" s="76"/>
      <c r="AR3691" s="76"/>
      <c r="AS3691" s="76"/>
      <c r="AT3691" s="76"/>
      <c r="AU3691" s="76"/>
      <c r="AV3691" s="76"/>
      <c r="AW3691" s="76"/>
      <c r="AX3691" s="76">
        <f>+AW3691*600000</f>
        <v>0</v>
      </c>
      <c r="AY3691" s="76"/>
      <c r="AZ3691" s="76">
        <f>+AY3691*70000</f>
        <v>0</v>
      </c>
      <c r="BA3691" s="76"/>
      <c r="BB3691" s="76"/>
      <c r="BC3691" s="76"/>
      <c r="BD3691" s="76">
        <f>+BC3691*30000</f>
        <v>0</v>
      </c>
      <c r="BE3691" s="76"/>
      <c r="BF3691" s="76"/>
      <c r="BG3691" s="76"/>
      <c r="BH3691" s="76"/>
      <c r="BI3691" s="76"/>
      <c r="BJ3691" s="76"/>
      <c r="BK3691" s="76"/>
      <c r="BL3691" s="76">
        <f>+BK3691*31500</f>
        <v>0</v>
      </c>
      <c r="BM3691" s="76"/>
      <c r="BN3691" s="76"/>
      <c r="BO3691" s="76"/>
      <c r="BP3691" s="76"/>
      <c r="BQ3691" s="76"/>
      <c r="BR3691" s="76"/>
      <c r="BS3691" s="76"/>
      <c r="BT3691" s="76"/>
      <c r="BU3691" s="76"/>
      <c r="BV3691" s="76"/>
      <c r="BW3691" s="76"/>
      <c r="BX3691" s="76"/>
      <c r="BY3691" s="76"/>
      <c r="BZ3691" s="76"/>
      <c r="CA3691" s="76"/>
      <c r="CB3691" s="76"/>
      <c r="CC3691" s="76"/>
      <c r="CD3691" s="76"/>
      <c r="CE3691" s="76"/>
      <c r="CF3691" s="76">
        <f>+CE3691*28000</f>
        <v>0</v>
      </c>
      <c r="CG3691" s="76"/>
      <c r="CH3691" s="76">
        <f>+CG3691*22500</f>
        <v>0</v>
      </c>
      <c r="CI3691" s="76"/>
      <c r="CJ3691" s="76">
        <f>+CI3691*26000</f>
        <v>0</v>
      </c>
      <c r="CK3691" s="76"/>
      <c r="CL3691" s="76"/>
      <c r="CM3691" s="76"/>
      <c r="CN3691" s="76">
        <f>+CM3691*22000</f>
        <v>0</v>
      </c>
      <c r="CO3691" s="76"/>
      <c r="CP3691" s="76">
        <f>+CO3691*46000</f>
        <v>0</v>
      </c>
      <c r="CQ3691" s="76"/>
      <c r="CR3691" s="76">
        <f>+CQ3691*49000</f>
        <v>0</v>
      </c>
      <c r="CS3691" s="76"/>
      <c r="CT3691" s="76"/>
      <c r="CU3691" s="56">
        <f>AN3691+AP3691+AR3691+AT3691+AV3691+AX3691+AZ3691+BB3691+BD3691+BF3691+BH3691+BJ3691+BL3691+BN3691+BP3691+BR3691+BT3691+BV3691+BX3691+BZ3691+CB3691+CD3691+CF3691+CH3691+CJ3691+CL3691+CN3691+CP3691+CR3691+CT3691</f>
        <v>0</v>
      </c>
      <c r="CV3691" s="76"/>
      <c r="CW3691" s="76">
        <f>+CV3691*1100</f>
        <v>0</v>
      </c>
      <c r="CX3691" s="76"/>
      <c r="CY3691" s="76">
        <f>+CX3691*106250</f>
        <v>0</v>
      </c>
      <c r="CZ3691" s="76"/>
      <c r="DA3691" s="76">
        <f>+CZ3691*34500</f>
        <v>0</v>
      </c>
      <c r="DB3691" s="76"/>
      <c r="DC3691" s="76">
        <f>+DB3691*25000</f>
        <v>0</v>
      </c>
      <c r="DD3691" s="219"/>
      <c r="DE3691" s="219"/>
      <c r="DF3691" s="166"/>
      <c r="DG3691" s="116"/>
      <c r="DH3691" s="117"/>
      <c r="DI3691" s="24"/>
      <c r="DJ3691" s="24"/>
      <c r="DK3691" s="24"/>
      <c r="DL3691" s="24"/>
      <c r="DM3691" s="24"/>
      <c r="DN3691" s="24"/>
      <c r="DO3691" s="24"/>
      <c r="DP3691" s="24"/>
      <c r="DQ3691" s="24"/>
      <c r="DR3691" s="24"/>
      <c r="DS3691" s="24"/>
      <c r="DT3691" s="24"/>
      <c r="DU3691" s="24"/>
    </row>
    <row r="3692" spans="1:125" s="8" customFormat="1" ht="36" x14ac:dyDescent="0.2">
      <c r="A3692" s="353">
        <v>41597</v>
      </c>
      <c r="B3692" s="352" t="s">
        <v>2087</v>
      </c>
      <c r="C3692" s="354" t="s">
        <v>2072</v>
      </c>
      <c r="D3692" s="354" t="s">
        <v>3051</v>
      </c>
      <c r="E3692" s="75" t="str">
        <f>VLOOKUP(B3692&amp;C3692,Divipola!$C$2:$F$1138,4,FALSE)</f>
        <v>18094</v>
      </c>
      <c r="F3692" s="87"/>
      <c r="G3692" s="87"/>
      <c r="H3692" s="87"/>
      <c r="I3692" s="87">
        <v>150</v>
      </c>
      <c r="J3692" s="87">
        <v>30</v>
      </c>
      <c r="K3692" s="87"/>
      <c r="L3692" s="87">
        <v>30</v>
      </c>
      <c r="M3692" s="87"/>
      <c r="N3692" s="87"/>
      <c r="O3692" s="87"/>
      <c r="P3692" s="87"/>
      <c r="Q3692" s="87"/>
      <c r="R3692" s="87"/>
      <c r="S3692" s="87"/>
      <c r="T3692" s="87"/>
      <c r="U3692" s="88"/>
      <c r="V3692" s="7"/>
      <c r="W3692" s="96">
        <v>0</v>
      </c>
      <c r="X3692" s="71">
        <f>CU3692</f>
        <v>0</v>
      </c>
      <c r="Y3692" s="71">
        <f>CY3692</f>
        <v>0</v>
      </c>
      <c r="Z3692" s="71">
        <f>DA3692+DC3692+DE3692</f>
        <v>0</v>
      </c>
      <c r="AA3692" s="71">
        <f>CW3692</f>
        <v>0</v>
      </c>
      <c r="AB3692" s="71"/>
      <c r="AC3692" s="71">
        <v>0</v>
      </c>
      <c r="AD3692" s="71">
        <f>W3692+X3692+Y3692+Z3692+AA3692+AB3692+AC3692</f>
        <v>0</v>
      </c>
      <c r="AE3692" s="72">
        <v>0</v>
      </c>
      <c r="AF3692" s="5"/>
      <c r="AG3692" s="6"/>
      <c r="AH3692" s="27"/>
      <c r="AI3692" s="44"/>
      <c r="AJ3692" s="26"/>
      <c r="AK3692" s="5"/>
      <c r="AL3692" s="82" t="s">
        <v>6711</v>
      </c>
      <c r="AM3692" s="76"/>
      <c r="AN3692" s="76"/>
      <c r="AO3692" s="76"/>
      <c r="AP3692" s="76"/>
      <c r="AQ3692" s="76"/>
      <c r="AR3692" s="76"/>
      <c r="AS3692" s="76"/>
      <c r="AT3692" s="76"/>
      <c r="AU3692" s="76"/>
      <c r="AV3692" s="76"/>
      <c r="AW3692" s="76"/>
      <c r="AX3692" s="76">
        <f>+AW3692*600000</f>
        <v>0</v>
      </c>
      <c r="AY3692" s="76"/>
      <c r="AZ3692" s="76">
        <f>+AY3692*70000</f>
        <v>0</v>
      </c>
      <c r="BA3692" s="76"/>
      <c r="BB3692" s="76"/>
      <c r="BC3692" s="76"/>
      <c r="BD3692" s="76">
        <f>+BC3692*30000</f>
        <v>0</v>
      </c>
      <c r="BE3692" s="76"/>
      <c r="BF3692" s="76"/>
      <c r="BG3692" s="76"/>
      <c r="BH3692" s="76"/>
      <c r="BI3692" s="76"/>
      <c r="BJ3692" s="76"/>
      <c r="BK3692" s="76"/>
      <c r="BL3692" s="76">
        <f>+BK3692*31500</f>
        <v>0</v>
      </c>
      <c r="BM3692" s="76"/>
      <c r="BN3692" s="76"/>
      <c r="BO3692" s="76"/>
      <c r="BP3692" s="76"/>
      <c r="BQ3692" s="76"/>
      <c r="BR3692" s="76"/>
      <c r="BS3692" s="76"/>
      <c r="BT3692" s="76"/>
      <c r="BU3692" s="76"/>
      <c r="BV3692" s="76"/>
      <c r="BW3692" s="76"/>
      <c r="BX3692" s="76"/>
      <c r="BY3692" s="76"/>
      <c r="BZ3692" s="76"/>
      <c r="CA3692" s="76"/>
      <c r="CB3692" s="76"/>
      <c r="CC3692" s="76"/>
      <c r="CD3692" s="76"/>
      <c r="CE3692" s="76"/>
      <c r="CF3692" s="76">
        <f>+CE3692*28000</f>
        <v>0</v>
      </c>
      <c r="CG3692" s="76"/>
      <c r="CH3692" s="76">
        <f>+CG3692*22500</f>
        <v>0</v>
      </c>
      <c r="CI3692" s="76"/>
      <c r="CJ3692" s="76">
        <f>+CI3692*26000</f>
        <v>0</v>
      </c>
      <c r="CK3692" s="76"/>
      <c r="CL3692" s="76"/>
      <c r="CM3692" s="76"/>
      <c r="CN3692" s="76">
        <f>+CM3692*22000</f>
        <v>0</v>
      </c>
      <c r="CO3692" s="76"/>
      <c r="CP3692" s="76">
        <f>+CO3692*46000</f>
        <v>0</v>
      </c>
      <c r="CQ3692" s="76"/>
      <c r="CR3692" s="76">
        <f>+CQ3692*49000</f>
        <v>0</v>
      </c>
      <c r="CS3692" s="76"/>
      <c r="CT3692" s="76"/>
      <c r="CU3692" s="56">
        <f>AN3692+AP3692+AR3692+AT3692+AV3692+AX3692+AZ3692+BB3692+BD3692+BF3692+BH3692+BJ3692+BL3692+BN3692+BP3692+BR3692+BT3692+BV3692+BX3692+BZ3692+CB3692+CD3692+CF3692+CH3692+CJ3692+CL3692+CN3692+CP3692+CR3692+CT3692</f>
        <v>0</v>
      </c>
      <c r="CV3692" s="76"/>
      <c r="CW3692" s="76">
        <f>+CV3692*1100</f>
        <v>0</v>
      </c>
      <c r="CX3692" s="76"/>
      <c r="CY3692" s="76">
        <f>+CX3692*106250</f>
        <v>0</v>
      </c>
      <c r="CZ3692" s="76"/>
      <c r="DA3692" s="76">
        <f>+CZ3692*34500</f>
        <v>0</v>
      </c>
      <c r="DB3692" s="76"/>
      <c r="DC3692" s="76">
        <f>+DB3692*25000</f>
        <v>0</v>
      </c>
      <c r="DD3692" s="219"/>
      <c r="DE3692" s="219"/>
      <c r="DF3692" s="166"/>
      <c r="DG3692" s="116"/>
      <c r="DH3692" s="117"/>
      <c r="DI3692" s="24"/>
      <c r="DJ3692" s="24"/>
      <c r="DK3692" s="24"/>
      <c r="DL3692" s="24"/>
      <c r="DM3692" s="24"/>
      <c r="DN3692" s="24"/>
      <c r="DO3692" s="24"/>
      <c r="DP3692" s="24"/>
      <c r="DQ3692" s="24"/>
      <c r="DR3692" s="24"/>
      <c r="DS3692" s="24"/>
      <c r="DT3692" s="24"/>
      <c r="DU3692" s="24"/>
    </row>
    <row r="3693" spans="1:125" s="8" customFormat="1" ht="36" x14ac:dyDescent="0.2">
      <c r="A3693" s="353">
        <v>41597</v>
      </c>
      <c r="B3693" s="352" t="s">
        <v>2848</v>
      </c>
      <c r="C3693" s="354" t="s">
        <v>2211</v>
      </c>
      <c r="D3693" s="354" t="s">
        <v>2846</v>
      </c>
      <c r="E3693" s="75" t="str">
        <f>VLOOKUP(B3693&amp;C3693,Divipola!$C$2:$F$1138,4,FALSE)</f>
        <v>73861</v>
      </c>
      <c r="F3693" s="87"/>
      <c r="G3693" s="87"/>
      <c r="H3693" s="87"/>
      <c r="I3693" s="87"/>
      <c r="J3693" s="87"/>
      <c r="K3693" s="87"/>
      <c r="L3693" s="87"/>
      <c r="M3693" s="87"/>
      <c r="N3693" s="87"/>
      <c r="O3693" s="87"/>
      <c r="P3693" s="87"/>
      <c r="Q3693" s="87"/>
      <c r="R3693" s="87"/>
      <c r="S3693" s="87"/>
      <c r="T3693" s="87"/>
      <c r="U3693" s="88">
        <v>1</v>
      </c>
      <c r="V3693" s="7"/>
      <c r="W3693" s="96">
        <v>0</v>
      </c>
      <c r="X3693" s="71">
        <f>CU3693</f>
        <v>0</v>
      </c>
      <c r="Y3693" s="71">
        <f>CY3693</f>
        <v>0</v>
      </c>
      <c r="Z3693" s="71">
        <f>DA3693+DC3693+DE3693</f>
        <v>0</v>
      </c>
      <c r="AA3693" s="71">
        <f>CW3693</f>
        <v>0</v>
      </c>
      <c r="AB3693" s="71"/>
      <c r="AC3693" s="71">
        <v>0</v>
      </c>
      <c r="AD3693" s="71">
        <f>W3693+X3693+Y3693+Z3693+AA3693+AB3693+AC3693</f>
        <v>0</v>
      </c>
      <c r="AE3693" s="72">
        <v>0</v>
      </c>
      <c r="AF3693" s="5"/>
      <c r="AG3693" s="6"/>
      <c r="AH3693" s="27"/>
      <c r="AI3693" s="44"/>
      <c r="AJ3693" s="26"/>
      <c r="AK3693" s="5"/>
      <c r="AL3693" s="82" t="s">
        <v>6713</v>
      </c>
      <c r="AM3693" s="76"/>
      <c r="AN3693" s="76"/>
      <c r="AO3693" s="76"/>
      <c r="AP3693" s="76"/>
      <c r="AQ3693" s="76"/>
      <c r="AR3693" s="76"/>
      <c r="AS3693" s="76"/>
      <c r="AT3693" s="76"/>
      <c r="AU3693" s="76"/>
      <c r="AV3693" s="76"/>
      <c r="AW3693" s="76"/>
      <c r="AX3693" s="76">
        <f>+AW3693*600000</f>
        <v>0</v>
      </c>
      <c r="AY3693" s="76"/>
      <c r="AZ3693" s="76">
        <f>+AY3693*70000</f>
        <v>0</v>
      </c>
      <c r="BA3693" s="76"/>
      <c r="BB3693" s="76"/>
      <c r="BC3693" s="76"/>
      <c r="BD3693" s="76">
        <f>+BC3693*30000</f>
        <v>0</v>
      </c>
      <c r="BE3693" s="76"/>
      <c r="BF3693" s="76"/>
      <c r="BG3693" s="76"/>
      <c r="BH3693" s="76"/>
      <c r="BI3693" s="76"/>
      <c r="BJ3693" s="76"/>
      <c r="BK3693" s="76"/>
      <c r="BL3693" s="76">
        <f>+BK3693*31500</f>
        <v>0</v>
      </c>
      <c r="BM3693" s="76"/>
      <c r="BN3693" s="76"/>
      <c r="BO3693" s="76"/>
      <c r="BP3693" s="76"/>
      <c r="BQ3693" s="76"/>
      <c r="BR3693" s="76"/>
      <c r="BS3693" s="76"/>
      <c r="BT3693" s="76"/>
      <c r="BU3693" s="76"/>
      <c r="BV3693" s="76"/>
      <c r="BW3693" s="76"/>
      <c r="BX3693" s="76"/>
      <c r="BY3693" s="76"/>
      <c r="BZ3693" s="76"/>
      <c r="CA3693" s="76"/>
      <c r="CB3693" s="76"/>
      <c r="CC3693" s="76"/>
      <c r="CD3693" s="76"/>
      <c r="CE3693" s="76"/>
      <c r="CF3693" s="76">
        <f>+CE3693*28000</f>
        <v>0</v>
      </c>
      <c r="CG3693" s="76"/>
      <c r="CH3693" s="76">
        <f>+CG3693*22500</f>
        <v>0</v>
      </c>
      <c r="CI3693" s="76"/>
      <c r="CJ3693" s="76">
        <f>+CI3693*26000</f>
        <v>0</v>
      </c>
      <c r="CK3693" s="76"/>
      <c r="CL3693" s="76"/>
      <c r="CM3693" s="76"/>
      <c r="CN3693" s="76">
        <f>+CM3693*22000</f>
        <v>0</v>
      </c>
      <c r="CO3693" s="76"/>
      <c r="CP3693" s="76">
        <f>+CO3693*46000</f>
        <v>0</v>
      </c>
      <c r="CQ3693" s="76"/>
      <c r="CR3693" s="76">
        <f>+CQ3693*49000</f>
        <v>0</v>
      </c>
      <c r="CS3693" s="76"/>
      <c r="CT3693" s="76"/>
      <c r="CU3693" s="56">
        <f>AN3693+AP3693+AR3693+AT3693+AV3693+AX3693+AZ3693+BB3693+BD3693+BF3693+BH3693+BJ3693+BL3693+BN3693+BP3693+BR3693+BT3693+BV3693+BX3693+BZ3693+CB3693+CD3693+CF3693+CH3693+CJ3693+CL3693+CN3693+CP3693+CR3693+CT3693</f>
        <v>0</v>
      </c>
      <c r="CV3693" s="76"/>
      <c r="CW3693" s="76">
        <f>+CV3693*1100</f>
        <v>0</v>
      </c>
      <c r="CX3693" s="76"/>
      <c r="CY3693" s="76">
        <f>+CX3693*106250</f>
        <v>0</v>
      </c>
      <c r="CZ3693" s="76"/>
      <c r="DA3693" s="76">
        <f>+CZ3693*34500</f>
        <v>0</v>
      </c>
      <c r="DB3693" s="76"/>
      <c r="DC3693" s="76">
        <f>+DB3693*25000</f>
        <v>0</v>
      </c>
      <c r="DD3693" s="219"/>
      <c r="DE3693" s="219"/>
      <c r="DF3693" s="166"/>
      <c r="DG3693" s="116"/>
      <c r="DH3693" s="117"/>
      <c r="DI3693" s="24"/>
      <c r="DJ3693" s="24"/>
      <c r="DK3693" s="24"/>
      <c r="DL3693" s="24"/>
      <c r="DM3693" s="24"/>
      <c r="DN3693" s="24"/>
      <c r="DO3693" s="24"/>
      <c r="DP3693" s="24"/>
      <c r="DQ3693" s="24"/>
      <c r="DR3693" s="24"/>
      <c r="DS3693" s="24"/>
      <c r="DT3693" s="24"/>
      <c r="DU3693" s="24"/>
    </row>
    <row r="3694" spans="1:125" s="8" customFormat="1" ht="84" x14ac:dyDescent="0.2">
      <c r="A3694" s="353">
        <v>41597</v>
      </c>
      <c r="B3694" s="352" t="s">
        <v>2661</v>
      </c>
      <c r="C3694" s="354" t="s">
        <v>2662</v>
      </c>
      <c r="D3694" s="354" t="s">
        <v>3088</v>
      </c>
      <c r="E3694" s="75" t="str">
        <f>VLOOKUP(B3694&amp;C3694,Divipola!$C$2:$F$1138,4,FALSE)</f>
        <v>41483</v>
      </c>
      <c r="F3694" s="87"/>
      <c r="G3694" s="87"/>
      <c r="H3694" s="87"/>
      <c r="I3694" s="87">
        <v>5</v>
      </c>
      <c r="J3694" s="87">
        <v>1</v>
      </c>
      <c r="K3694" s="87"/>
      <c r="L3694" s="87">
        <v>1</v>
      </c>
      <c r="M3694" s="87"/>
      <c r="N3694" s="87"/>
      <c r="O3694" s="87"/>
      <c r="P3694" s="87"/>
      <c r="Q3694" s="87"/>
      <c r="R3694" s="87"/>
      <c r="S3694" s="87"/>
      <c r="T3694" s="87"/>
      <c r="U3694" s="88">
        <v>2</v>
      </c>
      <c r="V3694" s="7"/>
      <c r="W3694" s="96">
        <v>0</v>
      </c>
      <c r="X3694" s="71">
        <f>CU3694</f>
        <v>0</v>
      </c>
      <c r="Y3694" s="71">
        <f>CY3694</f>
        <v>0</v>
      </c>
      <c r="Z3694" s="71">
        <f>DA3694+DC3694+DE3694</f>
        <v>0</v>
      </c>
      <c r="AA3694" s="71">
        <f>CW3694</f>
        <v>0</v>
      </c>
      <c r="AB3694" s="71"/>
      <c r="AC3694" s="71">
        <v>0</v>
      </c>
      <c r="AD3694" s="71">
        <f>W3694+X3694+Y3694+Z3694+AA3694+AB3694+AC3694</f>
        <v>0</v>
      </c>
      <c r="AE3694" s="72">
        <v>0</v>
      </c>
      <c r="AF3694" s="5"/>
      <c r="AG3694" s="6"/>
      <c r="AH3694" s="27"/>
      <c r="AI3694" s="44"/>
      <c r="AJ3694" s="26"/>
      <c r="AK3694" s="5"/>
      <c r="AL3694" s="82" t="s">
        <v>6714</v>
      </c>
      <c r="AM3694" s="76"/>
      <c r="AN3694" s="76"/>
      <c r="AO3694" s="76"/>
      <c r="AP3694" s="76"/>
      <c r="AQ3694" s="76"/>
      <c r="AR3694" s="76"/>
      <c r="AS3694" s="76"/>
      <c r="AT3694" s="76"/>
      <c r="AU3694" s="76"/>
      <c r="AV3694" s="76"/>
      <c r="AW3694" s="76"/>
      <c r="AX3694" s="76">
        <f>+AW3694*600000</f>
        <v>0</v>
      </c>
      <c r="AY3694" s="76"/>
      <c r="AZ3694" s="76">
        <f>+AY3694*70000</f>
        <v>0</v>
      </c>
      <c r="BA3694" s="76"/>
      <c r="BB3694" s="76"/>
      <c r="BC3694" s="76"/>
      <c r="BD3694" s="76">
        <f>+BC3694*30000</f>
        <v>0</v>
      </c>
      <c r="BE3694" s="76"/>
      <c r="BF3694" s="76"/>
      <c r="BG3694" s="76"/>
      <c r="BH3694" s="76"/>
      <c r="BI3694" s="76"/>
      <c r="BJ3694" s="76"/>
      <c r="BK3694" s="76"/>
      <c r="BL3694" s="76">
        <f>+BK3694*31500</f>
        <v>0</v>
      </c>
      <c r="BM3694" s="76"/>
      <c r="BN3694" s="76"/>
      <c r="BO3694" s="76"/>
      <c r="BP3694" s="76"/>
      <c r="BQ3694" s="76"/>
      <c r="BR3694" s="76"/>
      <c r="BS3694" s="76"/>
      <c r="BT3694" s="76"/>
      <c r="BU3694" s="76"/>
      <c r="BV3694" s="76"/>
      <c r="BW3694" s="76"/>
      <c r="BX3694" s="76"/>
      <c r="BY3694" s="76"/>
      <c r="BZ3694" s="76"/>
      <c r="CA3694" s="76"/>
      <c r="CB3694" s="76"/>
      <c r="CC3694" s="76"/>
      <c r="CD3694" s="76"/>
      <c r="CE3694" s="76"/>
      <c r="CF3694" s="76">
        <f>+CE3694*28000</f>
        <v>0</v>
      </c>
      <c r="CG3694" s="76"/>
      <c r="CH3694" s="76">
        <f>+CG3694*22500</f>
        <v>0</v>
      </c>
      <c r="CI3694" s="76"/>
      <c r="CJ3694" s="76">
        <f>+CI3694*26000</f>
        <v>0</v>
      </c>
      <c r="CK3694" s="76"/>
      <c r="CL3694" s="76"/>
      <c r="CM3694" s="76"/>
      <c r="CN3694" s="76">
        <f>+CM3694*22000</f>
        <v>0</v>
      </c>
      <c r="CO3694" s="76"/>
      <c r="CP3694" s="76">
        <f>+CO3694*46000</f>
        <v>0</v>
      </c>
      <c r="CQ3694" s="76"/>
      <c r="CR3694" s="76">
        <f>+CQ3694*49000</f>
        <v>0</v>
      </c>
      <c r="CS3694" s="76"/>
      <c r="CT3694" s="76"/>
      <c r="CU3694" s="56">
        <f>AN3694+AP3694+AR3694+AT3694+AV3694+AX3694+AZ3694+BB3694+BD3694+BF3694+BH3694+BJ3694+BL3694+BN3694+BP3694+BR3694+BT3694+BV3694+BX3694+BZ3694+CB3694+CD3694+CF3694+CH3694+CJ3694+CL3694+CN3694+CP3694+CR3694+CT3694</f>
        <v>0</v>
      </c>
      <c r="CV3694" s="76"/>
      <c r="CW3694" s="76">
        <f>+CV3694*1100</f>
        <v>0</v>
      </c>
      <c r="CX3694" s="76"/>
      <c r="CY3694" s="76">
        <f>+CX3694*106250</f>
        <v>0</v>
      </c>
      <c r="CZ3694" s="76"/>
      <c r="DA3694" s="76">
        <f>+CZ3694*34500</f>
        <v>0</v>
      </c>
      <c r="DB3694" s="76"/>
      <c r="DC3694" s="76">
        <f>+DB3694*25000</f>
        <v>0</v>
      </c>
      <c r="DD3694" s="219"/>
      <c r="DE3694" s="219"/>
      <c r="DF3694" s="166"/>
      <c r="DG3694" s="116"/>
      <c r="DH3694" s="117"/>
      <c r="DI3694" s="24"/>
      <c r="DJ3694" s="24"/>
      <c r="DK3694" s="24"/>
      <c r="DL3694" s="24"/>
      <c r="DM3694" s="24"/>
      <c r="DN3694" s="24"/>
      <c r="DO3694" s="24"/>
      <c r="DP3694" s="24"/>
      <c r="DQ3694" s="24"/>
      <c r="DR3694" s="24"/>
      <c r="DS3694" s="24"/>
      <c r="DT3694" s="24"/>
      <c r="DU3694" s="24"/>
    </row>
    <row r="3695" spans="1:125" s="8" customFormat="1" ht="60" x14ac:dyDescent="0.2">
      <c r="A3695" s="77">
        <v>41597</v>
      </c>
      <c r="B3695" s="78" t="s">
        <v>2661</v>
      </c>
      <c r="C3695" s="75" t="s">
        <v>1368</v>
      </c>
      <c r="D3695" s="75" t="s">
        <v>3088</v>
      </c>
      <c r="E3695" s="75" t="str">
        <f>VLOOKUP(B3695&amp;C3695,Divipola!$C$2:$F$1138,4,FALSE)</f>
        <v>41770</v>
      </c>
      <c r="F3695" s="87"/>
      <c r="G3695" s="87"/>
      <c r="H3695" s="87"/>
      <c r="I3695" s="87">
        <v>10</v>
      </c>
      <c r="J3695" s="87">
        <v>2</v>
      </c>
      <c r="K3695" s="87">
        <v>1</v>
      </c>
      <c r="L3695" s="87">
        <v>1</v>
      </c>
      <c r="M3695" s="87"/>
      <c r="N3695" s="87"/>
      <c r="O3695" s="87"/>
      <c r="P3695" s="87"/>
      <c r="Q3695" s="87"/>
      <c r="R3695" s="87"/>
      <c r="S3695" s="87"/>
      <c r="T3695" s="87"/>
      <c r="U3695" s="88"/>
      <c r="V3695" s="7"/>
      <c r="W3695" s="96">
        <v>0</v>
      </c>
      <c r="X3695" s="71">
        <f>CU3695</f>
        <v>0</v>
      </c>
      <c r="Y3695" s="71">
        <f>CY3695</f>
        <v>0</v>
      </c>
      <c r="Z3695" s="71">
        <f>DA3695+DC3695+DE3695</f>
        <v>0</v>
      </c>
      <c r="AA3695" s="71">
        <f>CW3695</f>
        <v>0</v>
      </c>
      <c r="AB3695" s="71"/>
      <c r="AC3695" s="71">
        <v>0</v>
      </c>
      <c r="AD3695" s="71">
        <f>W3695+X3695+Y3695+Z3695+AA3695+AB3695+AC3695</f>
        <v>0</v>
      </c>
      <c r="AE3695" s="72">
        <v>0</v>
      </c>
      <c r="AF3695" s="5"/>
      <c r="AG3695" s="6"/>
      <c r="AH3695" s="27"/>
      <c r="AI3695" s="44"/>
      <c r="AJ3695" s="26"/>
      <c r="AK3695" s="5"/>
      <c r="AL3695" s="82" t="s">
        <v>6715</v>
      </c>
      <c r="AM3695" s="76"/>
      <c r="AN3695" s="76"/>
      <c r="AO3695" s="76"/>
      <c r="AP3695" s="76"/>
      <c r="AQ3695" s="76"/>
      <c r="AR3695" s="76"/>
      <c r="AS3695" s="76"/>
      <c r="AT3695" s="76"/>
      <c r="AU3695" s="76"/>
      <c r="AV3695" s="76"/>
      <c r="AW3695" s="76"/>
      <c r="AX3695" s="76">
        <f>+AW3695*600000</f>
        <v>0</v>
      </c>
      <c r="AY3695" s="76"/>
      <c r="AZ3695" s="76">
        <f>+AY3695*70000</f>
        <v>0</v>
      </c>
      <c r="BA3695" s="76"/>
      <c r="BB3695" s="76"/>
      <c r="BC3695" s="76"/>
      <c r="BD3695" s="76">
        <f>+BC3695*30000</f>
        <v>0</v>
      </c>
      <c r="BE3695" s="76"/>
      <c r="BF3695" s="76"/>
      <c r="BG3695" s="76"/>
      <c r="BH3695" s="76"/>
      <c r="BI3695" s="76"/>
      <c r="BJ3695" s="76"/>
      <c r="BK3695" s="76"/>
      <c r="BL3695" s="76">
        <f>+BK3695*31500</f>
        <v>0</v>
      </c>
      <c r="BM3695" s="76"/>
      <c r="BN3695" s="76"/>
      <c r="BO3695" s="76"/>
      <c r="BP3695" s="76"/>
      <c r="BQ3695" s="76"/>
      <c r="BR3695" s="76"/>
      <c r="BS3695" s="76"/>
      <c r="BT3695" s="76"/>
      <c r="BU3695" s="76"/>
      <c r="BV3695" s="76"/>
      <c r="BW3695" s="76"/>
      <c r="BX3695" s="76"/>
      <c r="BY3695" s="76"/>
      <c r="BZ3695" s="76"/>
      <c r="CA3695" s="76"/>
      <c r="CB3695" s="76"/>
      <c r="CC3695" s="76"/>
      <c r="CD3695" s="76"/>
      <c r="CE3695" s="76"/>
      <c r="CF3695" s="76">
        <f>+CE3695*28000</f>
        <v>0</v>
      </c>
      <c r="CG3695" s="76"/>
      <c r="CH3695" s="76">
        <f>+CG3695*22500</f>
        <v>0</v>
      </c>
      <c r="CI3695" s="76"/>
      <c r="CJ3695" s="76">
        <f>+CI3695*26000</f>
        <v>0</v>
      </c>
      <c r="CK3695" s="76"/>
      <c r="CL3695" s="76"/>
      <c r="CM3695" s="76"/>
      <c r="CN3695" s="76">
        <f>+CM3695*22000</f>
        <v>0</v>
      </c>
      <c r="CO3695" s="76"/>
      <c r="CP3695" s="76">
        <f>+CO3695*46000</f>
        <v>0</v>
      </c>
      <c r="CQ3695" s="76"/>
      <c r="CR3695" s="76">
        <f>+CQ3695*49000</f>
        <v>0</v>
      </c>
      <c r="CS3695" s="76"/>
      <c r="CT3695" s="76"/>
      <c r="CU3695" s="56">
        <f>AN3695+AP3695+AR3695+AT3695+AV3695+AX3695+AZ3695+BB3695+BD3695+BF3695+BH3695+BJ3695+BL3695+BN3695+BP3695+BR3695+BT3695+BV3695+BX3695+BZ3695+CB3695+CD3695+CF3695+CH3695+CJ3695+CL3695+CN3695+CP3695+CR3695+CT3695</f>
        <v>0</v>
      </c>
      <c r="CV3695" s="76"/>
      <c r="CW3695" s="76">
        <f>+CV3695*1100</f>
        <v>0</v>
      </c>
      <c r="CX3695" s="76"/>
      <c r="CY3695" s="76">
        <f>+CX3695*106250</f>
        <v>0</v>
      </c>
      <c r="CZ3695" s="76"/>
      <c r="DA3695" s="76">
        <f>+CZ3695*34500</f>
        <v>0</v>
      </c>
      <c r="DB3695" s="76"/>
      <c r="DC3695" s="76">
        <f>+DB3695*25000</f>
        <v>0</v>
      </c>
      <c r="DD3695" s="219"/>
      <c r="DE3695" s="219"/>
      <c r="DF3695" s="166"/>
      <c r="DG3695" s="116"/>
      <c r="DH3695" s="117"/>
      <c r="DI3695" s="24"/>
      <c r="DJ3695" s="24"/>
      <c r="DK3695" s="24"/>
      <c r="DL3695" s="24"/>
      <c r="DM3695" s="24"/>
      <c r="DN3695" s="24"/>
      <c r="DO3695" s="24"/>
      <c r="DP3695" s="24"/>
      <c r="DQ3695" s="24"/>
      <c r="DR3695" s="24"/>
      <c r="DS3695" s="24"/>
      <c r="DT3695" s="24"/>
      <c r="DU3695" s="24"/>
    </row>
    <row r="3696" spans="1:125" s="8" customFormat="1" ht="36" x14ac:dyDescent="0.2">
      <c r="A3696" s="77">
        <v>41597</v>
      </c>
      <c r="B3696" s="75" t="s">
        <v>2860</v>
      </c>
      <c r="C3696" s="75" t="s">
        <v>2764</v>
      </c>
      <c r="D3696" s="75" t="s">
        <v>2882</v>
      </c>
      <c r="E3696" s="75" t="str">
        <f>VLOOKUP(B3696&amp;C3696,Divipola!$C$2:$F$1138,4,FALSE)</f>
        <v>63594</v>
      </c>
      <c r="F3696" s="93"/>
      <c r="G3696" s="93"/>
      <c r="H3696" s="93"/>
      <c r="I3696" s="93">
        <v>54</v>
      </c>
      <c r="J3696" s="93">
        <v>12</v>
      </c>
      <c r="K3696" s="93"/>
      <c r="L3696" s="93">
        <v>12</v>
      </c>
      <c r="M3696" s="93"/>
      <c r="N3696" s="93"/>
      <c r="O3696" s="93"/>
      <c r="P3696" s="93"/>
      <c r="Q3696" s="93"/>
      <c r="R3696" s="93"/>
      <c r="S3696" s="93"/>
      <c r="T3696" s="93"/>
      <c r="U3696" s="93"/>
      <c r="V3696" s="7"/>
      <c r="W3696" s="96">
        <v>0</v>
      </c>
      <c r="X3696" s="71">
        <f>CU3696</f>
        <v>0</v>
      </c>
      <c r="Y3696" s="71">
        <f>CY3696</f>
        <v>0</v>
      </c>
      <c r="Z3696" s="71">
        <f>DA3696+DC3696+DE3696</f>
        <v>0</v>
      </c>
      <c r="AA3696" s="71">
        <f>CW3696</f>
        <v>0</v>
      </c>
      <c r="AB3696" s="71"/>
      <c r="AC3696" s="71">
        <v>0</v>
      </c>
      <c r="AD3696" s="71">
        <f>W3696+X3696+Y3696+Z3696+AA3696+AB3696+AC3696</f>
        <v>0</v>
      </c>
      <c r="AE3696" s="72">
        <v>0</v>
      </c>
      <c r="AF3696" s="5"/>
      <c r="AG3696" s="6"/>
      <c r="AH3696" s="27"/>
      <c r="AI3696" s="44"/>
      <c r="AJ3696" s="26"/>
      <c r="AK3696" s="5"/>
      <c r="AL3696" s="82" t="s">
        <v>6717</v>
      </c>
      <c r="AM3696" s="76"/>
      <c r="AN3696" s="76"/>
      <c r="AO3696" s="76"/>
      <c r="AP3696" s="76"/>
      <c r="AQ3696" s="76"/>
      <c r="AR3696" s="76"/>
      <c r="AS3696" s="76"/>
      <c r="AT3696" s="76"/>
      <c r="AU3696" s="76"/>
      <c r="AV3696" s="76"/>
      <c r="AW3696" s="76"/>
      <c r="AX3696" s="76">
        <f>+AW3696*600000</f>
        <v>0</v>
      </c>
      <c r="AY3696" s="76"/>
      <c r="AZ3696" s="76">
        <f>+AY3696*70000</f>
        <v>0</v>
      </c>
      <c r="BA3696" s="76"/>
      <c r="BB3696" s="76"/>
      <c r="BC3696" s="76"/>
      <c r="BD3696" s="76">
        <f>+BC3696*30000</f>
        <v>0</v>
      </c>
      <c r="BE3696" s="76"/>
      <c r="BF3696" s="76"/>
      <c r="BG3696" s="76"/>
      <c r="BH3696" s="76"/>
      <c r="BI3696" s="76"/>
      <c r="BJ3696" s="76"/>
      <c r="BK3696" s="76"/>
      <c r="BL3696" s="76">
        <f>+BK3696*31500</f>
        <v>0</v>
      </c>
      <c r="BM3696" s="76"/>
      <c r="BN3696" s="76"/>
      <c r="BO3696" s="76"/>
      <c r="BP3696" s="76"/>
      <c r="BQ3696" s="76"/>
      <c r="BR3696" s="76"/>
      <c r="BS3696" s="76"/>
      <c r="BT3696" s="76"/>
      <c r="BU3696" s="76"/>
      <c r="BV3696" s="76"/>
      <c r="BW3696" s="76"/>
      <c r="BX3696" s="76"/>
      <c r="BY3696" s="76"/>
      <c r="BZ3696" s="76"/>
      <c r="CA3696" s="76"/>
      <c r="CB3696" s="76"/>
      <c r="CC3696" s="76"/>
      <c r="CD3696" s="76"/>
      <c r="CE3696" s="76"/>
      <c r="CF3696" s="76">
        <f>+CE3696*28000</f>
        <v>0</v>
      </c>
      <c r="CG3696" s="76"/>
      <c r="CH3696" s="76">
        <f>+CG3696*22500</f>
        <v>0</v>
      </c>
      <c r="CI3696" s="76"/>
      <c r="CJ3696" s="76">
        <f>+CI3696*26000</f>
        <v>0</v>
      </c>
      <c r="CK3696" s="76"/>
      <c r="CL3696" s="76"/>
      <c r="CM3696" s="76"/>
      <c r="CN3696" s="76">
        <f>+CM3696*22000</f>
        <v>0</v>
      </c>
      <c r="CO3696" s="76"/>
      <c r="CP3696" s="76">
        <f>+CO3696*46000</f>
        <v>0</v>
      </c>
      <c r="CQ3696" s="76"/>
      <c r="CR3696" s="76">
        <f>+CQ3696*49000</f>
        <v>0</v>
      </c>
      <c r="CS3696" s="76"/>
      <c r="CT3696" s="76"/>
      <c r="CU3696" s="56">
        <f>AN3696+AP3696+AR3696+AT3696+AV3696+AX3696+AZ3696+BB3696+BD3696+BF3696+BH3696+BJ3696+BL3696+BN3696+BP3696+BR3696+BT3696+BV3696+BX3696+BZ3696+CB3696+CD3696+CF3696+CH3696+CJ3696+CL3696+CN3696+CP3696+CR3696+CT3696</f>
        <v>0</v>
      </c>
      <c r="CV3696" s="76"/>
      <c r="CW3696" s="76">
        <f>+CV3696*1100</f>
        <v>0</v>
      </c>
      <c r="CX3696" s="76"/>
      <c r="CY3696" s="76">
        <f>+CX3696*106250</f>
        <v>0</v>
      </c>
      <c r="CZ3696" s="76"/>
      <c r="DA3696" s="76">
        <f>+CZ3696*34500</f>
        <v>0</v>
      </c>
      <c r="DB3696" s="76"/>
      <c r="DC3696" s="76">
        <f>+DB3696*25000</f>
        <v>0</v>
      </c>
      <c r="DD3696" s="219"/>
      <c r="DE3696" s="219"/>
      <c r="DF3696" s="166"/>
      <c r="DG3696" s="116"/>
      <c r="DH3696" s="117"/>
      <c r="DI3696" s="24"/>
      <c r="DJ3696" s="24"/>
      <c r="DK3696" s="24"/>
      <c r="DL3696" s="24"/>
      <c r="DM3696" s="24"/>
      <c r="DN3696" s="24"/>
      <c r="DO3696" s="24"/>
      <c r="DP3696" s="24"/>
      <c r="DQ3696" s="24"/>
      <c r="DR3696" s="24"/>
      <c r="DS3696" s="24"/>
      <c r="DT3696" s="24"/>
      <c r="DU3696" s="24"/>
    </row>
    <row r="3697" spans="1:125" s="8" customFormat="1" ht="24" x14ac:dyDescent="0.2">
      <c r="A3697" s="77">
        <v>41597</v>
      </c>
      <c r="B3697" s="78" t="s">
        <v>2860</v>
      </c>
      <c r="C3697" s="75" t="s">
        <v>2090</v>
      </c>
      <c r="D3697" s="351" t="s">
        <v>2882</v>
      </c>
      <c r="E3697" s="75" t="str">
        <f>VLOOKUP(B3697&amp;C3697,Divipola!$C$2:$F$1138,4,FALSE)</f>
        <v>63548</v>
      </c>
      <c r="F3697" s="93"/>
      <c r="G3697" s="93"/>
      <c r="H3697" s="93"/>
      <c r="I3697" s="93">
        <v>20</v>
      </c>
      <c r="J3697" s="93">
        <v>5</v>
      </c>
      <c r="K3697" s="93"/>
      <c r="L3697" s="93">
        <v>5</v>
      </c>
      <c r="M3697" s="93"/>
      <c r="N3697" s="93"/>
      <c r="O3697" s="93"/>
      <c r="P3697" s="93"/>
      <c r="Q3697" s="93"/>
      <c r="R3697" s="93"/>
      <c r="S3697" s="93"/>
      <c r="T3697" s="93"/>
      <c r="U3697" s="93"/>
      <c r="V3697" s="7"/>
      <c r="W3697" s="96">
        <v>0</v>
      </c>
      <c r="X3697" s="71">
        <f>CU3697</f>
        <v>0</v>
      </c>
      <c r="Y3697" s="71">
        <f>CY3697</f>
        <v>0</v>
      </c>
      <c r="Z3697" s="71">
        <f>DA3697+DC3697+DE3697</f>
        <v>0</v>
      </c>
      <c r="AA3697" s="71">
        <f>CW3697</f>
        <v>0</v>
      </c>
      <c r="AB3697" s="71"/>
      <c r="AC3697" s="71">
        <v>0</v>
      </c>
      <c r="AD3697" s="71">
        <f>W3697+X3697+Y3697+Z3697+AA3697+AB3697+AC3697</f>
        <v>0</v>
      </c>
      <c r="AE3697" s="72">
        <v>0</v>
      </c>
      <c r="AF3697" s="5"/>
      <c r="AG3697" s="6"/>
      <c r="AH3697" s="27"/>
      <c r="AI3697" s="44"/>
      <c r="AJ3697" s="26"/>
      <c r="AK3697" s="5"/>
      <c r="AL3697" s="82" t="s">
        <v>6718</v>
      </c>
      <c r="AM3697" s="76"/>
      <c r="AN3697" s="76"/>
      <c r="AO3697" s="76"/>
      <c r="AP3697" s="76"/>
      <c r="AQ3697" s="76"/>
      <c r="AR3697" s="76"/>
      <c r="AS3697" s="76"/>
      <c r="AT3697" s="76"/>
      <c r="AU3697" s="76"/>
      <c r="AV3697" s="76"/>
      <c r="AW3697" s="76"/>
      <c r="AX3697" s="76">
        <f>+AW3697*600000</f>
        <v>0</v>
      </c>
      <c r="AY3697" s="76"/>
      <c r="AZ3697" s="76">
        <f>+AY3697*70000</f>
        <v>0</v>
      </c>
      <c r="BA3697" s="76"/>
      <c r="BB3697" s="76"/>
      <c r="BC3697" s="76"/>
      <c r="BD3697" s="76">
        <f>+BC3697*30000</f>
        <v>0</v>
      </c>
      <c r="BE3697" s="76"/>
      <c r="BF3697" s="76"/>
      <c r="BG3697" s="76"/>
      <c r="BH3697" s="76"/>
      <c r="BI3697" s="76"/>
      <c r="BJ3697" s="76"/>
      <c r="BK3697" s="76"/>
      <c r="BL3697" s="76">
        <f>+BK3697*31500</f>
        <v>0</v>
      </c>
      <c r="BM3697" s="76"/>
      <c r="BN3697" s="76"/>
      <c r="BO3697" s="76"/>
      <c r="BP3697" s="76"/>
      <c r="BQ3697" s="76"/>
      <c r="BR3697" s="76"/>
      <c r="BS3697" s="76"/>
      <c r="BT3697" s="76"/>
      <c r="BU3697" s="76"/>
      <c r="BV3697" s="76"/>
      <c r="BW3697" s="76"/>
      <c r="BX3697" s="76"/>
      <c r="BY3697" s="76"/>
      <c r="BZ3697" s="76"/>
      <c r="CA3697" s="76"/>
      <c r="CB3697" s="76"/>
      <c r="CC3697" s="76"/>
      <c r="CD3697" s="76"/>
      <c r="CE3697" s="76"/>
      <c r="CF3697" s="76">
        <f>+CE3697*28000</f>
        <v>0</v>
      </c>
      <c r="CG3697" s="76"/>
      <c r="CH3697" s="76">
        <f>+CG3697*22500</f>
        <v>0</v>
      </c>
      <c r="CI3697" s="76"/>
      <c r="CJ3697" s="76">
        <f>+CI3697*26000</f>
        <v>0</v>
      </c>
      <c r="CK3697" s="76"/>
      <c r="CL3697" s="76"/>
      <c r="CM3697" s="76"/>
      <c r="CN3697" s="76">
        <f>+CM3697*22000</f>
        <v>0</v>
      </c>
      <c r="CO3697" s="76"/>
      <c r="CP3697" s="76">
        <f>+CO3697*46000</f>
        <v>0</v>
      </c>
      <c r="CQ3697" s="76"/>
      <c r="CR3697" s="76">
        <f>+CQ3697*49000</f>
        <v>0</v>
      </c>
      <c r="CS3697" s="76"/>
      <c r="CT3697" s="76"/>
      <c r="CU3697" s="56">
        <f>AN3697+AP3697+AR3697+AT3697+AV3697+AX3697+AZ3697+BB3697+BD3697+BF3697+BH3697+BJ3697+BL3697+BN3697+BP3697+BR3697+BT3697+BV3697+BX3697+BZ3697+CB3697+CD3697+CF3697+CH3697+CJ3697+CL3697+CN3697+CP3697+CR3697+CT3697</f>
        <v>0</v>
      </c>
      <c r="CV3697" s="76"/>
      <c r="CW3697" s="76">
        <f>+CV3697*1100</f>
        <v>0</v>
      </c>
      <c r="CX3697" s="76"/>
      <c r="CY3697" s="76">
        <f>+CX3697*106250</f>
        <v>0</v>
      </c>
      <c r="CZ3697" s="76"/>
      <c r="DA3697" s="76">
        <f>+CZ3697*34500</f>
        <v>0</v>
      </c>
      <c r="DB3697" s="76"/>
      <c r="DC3697" s="76">
        <f>+DB3697*25000</f>
        <v>0</v>
      </c>
      <c r="DD3697" s="219"/>
      <c r="DE3697" s="219"/>
      <c r="DF3697" s="166"/>
      <c r="DG3697" s="116"/>
      <c r="DH3697" s="117"/>
      <c r="DI3697" s="24"/>
      <c r="DJ3697" s="24"/>
      <c r="DK3697" s="24"/>
      <c r="DL3697" s="24"/>
      <c r="DM3697" s="24"/>
      <c r="DN3697" s="24"/>
      <c r="DO3697" s="24"/>
      <c r="DP3697" s="24"/>
      <c r="DQ3697" s="24"/>
      <c r="DR3697" s="24"/>
      <c r="DS3697" s="24"/>
      <c r="DT3697" s="24"/>
      <c r="DU3697" s="24"/>
    </row>
    <row r="3698" spans="1:125" s="8" customFormat="1" ht="84" x14ac:dyDescent="0.2">
      <c r="A3698" s="353">
        <v>41597</v>
      </c>
      <c r="B3698" s="352" t="s">
        <v>2848</v>
      </c>
      <c r="C3698" s="354" t="s">
        <v>2791</v>
      </c>
      <c r="D3698" s="354" t="s">
        <v>2859</v>
      </c>
      <c r="E3698" s="75" t="str">
        <f>VLOOKUP(B3698&amp;C3698,Divipola!$C$2:$F$1138,4,FALSE)</f>
        <v>73585</v>
      </c>
      <c r="F3698" s="87"/>
      <c r="G3698" s="87"/>
      <c r="H3698" s="87"/>
      <c r="I3698" s="87"/>
      <c r="J3698" s="87"/>
      <c r="K3698" s="87"/>
      <c r="L3698" s="87"/>
      <c r="M3698" s="87"/>
      <c r="N3698" s="87"/>
      <c r="O3698" s="87"/>
      <c r="P3698" s="87"/>
      <c r="Q3698" s="87"/>
      <c r="R3698" s="87">
        <v>1</v>
      </c>
      <c r="S3698" s="87"/>
      <c r="T3698" s="87"/>
      <c r="U3698" s="88"/>
      <c r="V3698" s="7"/>
      <c r="W3698" s="96">
        <v>0</v>
      </c>
      <c r="X3698" s="71">
        <f>CU3698</f>
        <v>0</v>
      </c>
      <c r="Y3698" s="71">
        <f>CY3698</f>
        <v>0</v>
      </c>
      <c r="Z3698" s="71">
        <f>DA3698+DC3698+DE3698</f>
        <v>0</v>
      </c>
      <c r="AA3698" s="71">
        <f>CW3698</f>
        <v>0</v>
      </c>
      <c r="AB3698" s="71"/>
      <c r="AC3698" s="71">
        <v>0</v>
      </c>
      <c r="AD3698" s="71">
        <f>W3698+X3698+Y3698+Z3698+AA3698+AB3698+AC3698</f>
        <v>0</v>
      </c>
      <c r="AE3698" s="72">
        <v>0</v>
      </c>
      <c r="AF3698" s="5"/>
      <c r="AG3698" s="6"/>
      <c r="AH3698" s="27"/>
      <c r="AI3698" s="44"/>
      <c r="AJ3698" s="26"/>
      <c r="AK3698" s="5"/>
      <c r="AL3698" s="82" t="s">
        <v>6719</v>
      </c>
      <c r="AM3698" s="76"/>
      <c r="AN3698" s="76"/>
      <c r="AO3698" s="76"/>
      <c r="AP3698" s="76"/>
      <c r="AQ3698" s="76"/>
      <c r="AR3698" s="76"/>
      <c r="AS3698" s="76"/>
      <c r="AT3698" s="76"/>
      <c r="AU3698" s="76"/>
      <c r="AV3698" s="76"/>
      <c r="AW3698" s="76"/>
      <c r="AX3698" s="76">
        <f>+AW3698*600000</f>
        <v>0</v>
      </c>
      <c r="AY3698" s="76"/>
      <c r="AZ3698" s="76">
        <f>+AY3698*70000</f>
        <v>0</v>
      </c>
      <c r="BA3698" s="76"/>
      <c r="BB3698" s="76"/>
      <c r="BC3698" s="76"/>
      <c r="BD3698" s="76">
        <f>+BC3698*30000</f>
        <v>0</v>
      </c>
      <c r="BE3698" s="76"/>
      <c r="BF3698" s="76"/>
      <c r="BG3698" s="76"/>
      <c r="BH3698" s="76"/>
      <c r="BI3698" s="76"/>
      <c r="BJ3698" s="76"/>
      <c r="BK3698" s="76"/>
      <c r="BL3698" s="76">
        <f>+BK3698*31500</f>
        <v>0</v>
      </c>
      <c r="BM3698" s="76"/>
      <c r="BN3698" s="76"/>
      <c r="BO3698" s="76"/>
      <c r="BP3698" s="76"/>
      <c r="BQ3698" s="76"/>
      <c r="BR3698" s="76"/>
      <c r="BS3698" s="76"/>
      <c r="BT3698" s="76"/>
      <c r="BU3698" s="76"/>
      <c r="BV3698" s="76"/>
      <c r="BW3698" s="76"/>
      <c r="BX3698" s="76"/>
      <c r="BY3698" s="76"/>
      <c r="BZ3698" s="76"/>
      <c r="CA3698" s="76"/>
      <c r="CB3698" s="76"/>
      <c r="CC3698" s="76"/>
      <c r="CD3698" s="76"/>
      <c r="CE3698" s="76"/>
      <c r="CF3698" s="76">
        <f>+CE3698*28000</f>
        <v>0</v>
      </c>
      <c r="CG3698" s="76"/>
      <c r="CH3698" s="76">
        <f>+CG3698*22500</f>
        <v>0</v>
      </c>
      <c r="CI3698" s="76"/>
      <c r="CJ3698" s="76">
        <f>+CI3698*26000</f>
        <v>0</v>
      </c>
      <c r="CK3698" s="76"/>
      <c r="CL3698" s="76"/>
      <c r="CM3698" s="76"/>
      <c r="CN3698" s="76">
        <f>+CM3698*22000</f>
        <v>0</v>
      </c>
      <c r="CO3698" s="76"/>
      <c r="CP3698" s="76">
        <f>+CO3698*46000</f>
        <v>0</v>
      </c>
      <c r="CQ3698" s="76"/>
      <c r="CR3698" s="76">
        <f>+CQ3698*49000</f>
        <v>0</v>
      </c>
      <c r="CS3698" s="76"/>
      <c r="CT3698" s="76"/>
      <c r="CU3698" s="56">
        <f>AN3698+AP3698+AR3698+AT3698+AV3698+AX3698+AZ3698+BB3698+BD3698+BF3698+BH3698+BJ3698+BL3698+BN3698+BP3698+BR3698+BT3698+BV3698+BX3698+BZ3698+CB3698+CD3698+CF3698+CH3698+CJ3698+CL3698+CN3698+CP3698+CR3698+CT3698</f>
        <v>0</v>
      </c>
      <c r="CV3698" s="76"/>
      <c r="CW3698" s="76">
        <f>+CV3698*1100</f>
        <v>0</v>
      </c>
      <c r="CX3698" s="76"/>
      <c r="CY3698" s="76">
        <f>+CX3698*106250</f>
        <v>0</v>
      </c>
      <c r="CZ3698" s="76"/>
      <c r="DA3698" s="76">
        <f>+CZ3698*34500</f>
        <v>0</v>
      </c>
      <c r="DB3698" s="76"/>
      <c r="DC3698" s="76">
        <f>+DB3698*25000</f>
        <v>0</v>
      </c>
      <c r="DD3698" s="219"/>
      <c r="DE3698" s="219"/>
      <c r="DF3698" s="166"/>
      <c r="DG3698" s="116"/>
      <c r="DH3698" s="117"/>
      <c r="DI3698" s="24"/>
      <c r="DJ3698" s="24"/>
      <c r="DK3698" s="24"/>
      <c r="DL3698" s="24"/>
      <c r="DM3698" s="24"/>
      <c r="DN3698" s="24"/>
      <c r="DO3698" s="24"/>
      <c r="DP3698" s="24"/>
      <c r="DQ3698" s="24"/>
      <c r="DR3698" s="24"/>
      <c r="DS3698" s="24"/>
      <c r="DT3698" s="24"/>
      <c r="DU3698" s="24"/>
    </row>
    <row r="3699" spans="1:125" s="8" customFormat="1" x14ac:dyDescent="0.2">
      <c r="A3699" s="353">
        <v>41597</v>
      </c>
      <c r="B3699" s="78" t="s">
        <v>2852</v>
      </c>
      <c r="C3699" s="75" t="s">
        <v>1241</v>
      </c>
      <c r="D3699" s="75" t="s">
        <v>3051</v>
      </c>
      <c r="E3699" s="75" t="str">
        <f>VLOOKUP(B3699&amp;C3699,Divipola!$C$2:$F$1138,4,FALSE)</f>
        <v>27425</v>
      </c>
      <c r="F3699" s="61"/>
      <c r="G3699" s="61"/>
      <c r="H3699" s="61"/>
      <c r="I3699" s="61">
        <v>1746</v>
      </c>
      <c r="J3699" s="61">
        <v>365</v>
      </c>
      <c r="K3699" s="61">
        <v>6</v>
      </c>
      <c r="L3699" s="61">
        <v>20</v>
      </c>
      <c r="M3699" s="61"/>
      <c r="N3699" s="61"/>
      <c r="O3699" s="61"/>
      <c r="P3699" s="61"/>
      <c r="Q3699" s="61"/>
      <c r="R3699" s="61"/>
      <c r="S3699" s="61"/>
      <c r="T3699" s="61"/>
      <c r="U3699" s="61"/>
      <c r="V3699" s="7"/>
      <c r="W3699" s="96">
        <v>0</v>
      </c>
      <c r="X3699" s="71">
        <f>CU3699</f>
        <v>118260000</v>
      </c>
      <c r="Y3699" s="71">
        <f>CY3699</f>
        <v>38781250</v>
      </c>
      <c r="Z3699" s="71">
        <f>DA3699+DC3699+DE3699</f>
        <v>0</v>
      </c>
      <c r="AA3699" s="71">
        <f>CW3699</f>
        <v>0</v>
      </c>
      <c r="AB3699" s="71"/>
      <c r="AC3699" s="71">
        <v>0</v>
      </c>
      <c r="AD3699" s="71">
        <f>W3699+X3699+Y3699+Z3699+AA3699+AB3699+AC3699</f>
        <v>157041250</v>
      </c>
      <c r="AE3699" s="72">
        <v>0</v>
      </c>
      <c r="AF3699" s="5"/>
      <c r="AG3699" s="6"/>
      <c r="AH3699" s="27"/>
      <c r="AI3699" s="44"/>
      <c r="AJ3699" s="26"/>
      <c r="AK3699" s="5"/>
      <c r="AL3699" s="9"/>
      <c r="AM3699" s="76"/>
      <c r="AN3699" s="76"/>
      <c r="AO3699" s="76"/>
      <c r="AP3699" s="76"/>
      <c r="AQ3699" s="76"/>
      <c r="AR3699" s="76"/>
      <c r="AS3699" s="76"/>
      <c r="AT3699" s="76"/>
      <c r="AU3699" s="76"/>
      <c r="AV3699" s="76"/>
      <c r="AW3699" s="76"/>
      <c r="AX3699" s="76">
        <f>+AW3699*600000</f>
        <v>0</v>
      </c>
      <c r="AY3699" s="76">
        <v>730</v>
      </c>
      <c r="AZ3699" s="76">
        <f>+AY3699*70000</f>
        <v>51100000</v>
      </c>
      <c r="BA3699" s="76"/>
      <c r="BB3699" s="76"/>
      <c r="BC3699" s="76"/>
      <c r="BD3699" s="76">
        <f>+BC3699*30000</f>
        <v>0</v>
      </c>
      <c r="BE3699" s="76"/>
      <c r="BF3699" s="76"/>
      <c r="BG3699" s="76"/>
      <c r="BH3699" s="76"/>
      <c r="BI3699" s="76"/>
      <c r="BJ3699" s="76"/>
      <c r="BK3699" s="76"/>
      <c r="BL3699" s="76">
        <f>+BK3699*31500</f>
        <v>0</v>
      </c>
      <c r="BM3699" s="76"/>
      <c r="BN3699" s="76"/>
      <c r="BO3699" s="76"/>
      <c r="BP3699" s="76"/>
      <c r="BQ3699" s="76"/>
      <c r="BR3699" s="76"/>
      <c r="BS3699" s="76"/>
      <c r="BT3699" s="76"/>
      <c r="BU3699" s="76"/>
      <c r="BV3699" s="76"/>
      <c r="BW3699" s="76"/>
      <c r="BX3699" s="76"/>
      <c r="BY3699" s="76"/>
      <c r="BZ3699" s="76"/>
      <c r="CA3699" s="76"/>
      <c r="CB3699" s="76"/>
      <c r="CC3699" s="76"/>
      <c r="CD3699" s="76"/>
      <c r="CE3699" s="76"/>
      <c r="CF3699" s="76">
        <f>+CE3699*28000</f>
        <v>0</v>
      </c>
      <c r="CG3699" s="76">
        <v>730</v>
      </c>
      <c r="CH3699" s="76">
        <f>+CG3699*22500</f>
        <v>16425000</v>
      </c>
      <c r="CI3699" s="76"/>
      <c r="CJ3699" s="76">
        <f>+CI3699*26000</f>
        <v>0</v>
      </c>
      <c r="CK3699" s="76"/>
      <c r="CL3699" s="76"/>
      <c r="CM3699" s="76">
        <v>730</v>
      </c>
      <c r="CN3699" s="76">
        <f>+CM3699*22000</f>
        <v>16060000</v>
      </c>
      <c r="CO3699" s="76">
        <v>365</v>
      </c>
      <c r="CP3699" s="76">
        <f>+CO3699*46000</f>
        <v>16790000</v>
      </c>
      <c r="CQ3699" s="76">
        <v>365</v>
      </c>
      <c r="CR3699" s="76">
        <f>+CQ3699*49000</f>
        <v>17885000</v>
      </c>
      <c r="CS3699" s="76"/>
      <c r="CT3699" s="76"/>
      <c r="CU3699" s="56">
        <f>AN3699+AP3699+AR3699+AT3699+AV3699+AX3699+AZ3699+BB3699+BD3699+BF3699+BH3699+BJ3699+BL3699+BN3699+BP3699+BR3699+BT3699+BV3699+BX3699+BZ3699+CB3699+CD3699+CF3699+CH3699+CJ3699+CL3699+CN3699+CP3699+CR3699+CT3699</f>
        <v>118260000</v>
      </c>
      <c r="CV3699" s="76"/>
      <c r="CW3699" s="76">
        <f>+CV3699*1100</f>
        <v>0</v>
      </c>
      <c r="CX3699" s="76">
        <v>365</v>
      </c>
      <c r="CY3699" s="76">
        <f>+CX3699*106250</f>
        <v>38781250</v>
      </c>
      <c r="CZ3699" s="76"/>
      <c r="DA3699" s="76">
        <f>+CZ3699*34500</f>
        <v>0</v>
      </c>
      <c r="DB3699" s="76"/>
      <c r="DC3699" s="76">
        <f>+DB3699*25000</f>
        <v>0</v>
      </c>
      <c r="DD3699" s="219"/>
      <c r="DE3699" s="219"/>
      <c r="DF3699" s="166"/>
      <c r="DG3699" s="116"/>
      <c r="DH3699" s="117"/>
      <c r="DI3699" s="24"/>
      <c r="DJ3699" s="24"/>
      <c r="DK3699" s="24"/>
      <c r="DL3699" s="24"/>
      <c r="DM3699" s="24"/>
      <c r="DN3699" s="24"/>
      <c r="DO3699" s="24"/>
      <c r="DP3699" s="24"/>
      <c r="DQ3699" s="24"/>
      <c r="DR3699" s="24"/>
      <c r="DS3699" s="24"/>
      <c r="DT3699" s="24"/>
      <c r="DU3699" s="24"/>
    </row>
    <row r="3700" spans="1:125" s="8" customFormat="1" x14ac:dyDescent="0.2">
      <c r="A3700" s="353">
        <v>41597</v>
      </c>
      <c r="B3700" s="78" t="s">
        <v>2852</v>
      </c>
      <c r="C3700" s="75" t="s">
        <v>2050</v>
      </c>
      <c r="D3700" s="75" t="s">
        <v>3051</v>
      </c>
      <c r="E3700" s="75" t="str">
        <f>VLOOKUP(B3700&amp;C3700,Divipola!$C$2:$F$1138,4,FALSE)</f>
        <v>27073</v>
      </c>
      <c r="F3700" s="61"/>
      <c r="G3700" s="61"/>
      <c r="H3700" s="61"/>
      <c r="I3700" s="163">
        <v>15291</v>
      </c>
      <c r="J3700" s="61">
        <v>1777</v>
      </c>
      <c r="K3700" s="61">
        <v>53</v>
      </c>
      <c r="L3700" s="61">
        <v>12</v>
      </c>
      <c r="M3700" s="61"/>
      <c r="N3700" s="61"/>
      <c r="O3700" s="61"/>
      <c r="P3700" s="61"/>
      <c r="Q3700" s="61"/>
      <c r="R3700" s="61"/>
      <c r="S3700" s="61"/>
      <c r="T3700" s="61"/>
      <c r="U3700" s="61"/>
      <c r="V3700" s="7"/>
      <c r="W3700" s="96">
        <v>0</v>
      </c>
      <c r="X3700" s="71">
        <f>CU3700</f>
        <v>740664000</v>
      </c>
      <c r="Y3700" s="71">
        <f>CY3700</f>
        <v>242887500</v>
      </c>
      <c r="Z3700" s="71">
        <f>DA3700+DC3700+DE3700</f>
        <v>0</v>
      </c>
      <c r="AA3700" s="71">
        <f>CW3700</f>
        <v>0</v>
      </c>
      <c r="AB3700" s="71"/>
      <c r="AC3700" s="71">
        <v>0</v>
      </c>
      <c r="AD3700" s="71">
        <f>W3700+X3700+Y3700+Z3700+AA3700+AB3700+AC3700</f>
        <v>983551500</v>
      </c>
      <c r="AE3700" s="72">
        <v>0</v>
      </c>
      <c r="AF3700" s="5"/>
      <c r="AG3700" s="6"/>
      <c r="AH3700" s="27"/>
      <c r="AI3700" s="44"/>
      <c r="AJ3700" s="26"/>
      <c r="AK3700" s="5"/>
      <c r="AL3700" s="9"/>
      <c r="AM3700" s="76"/>
      <c r="AN3700" s="76"/>
      <c r="AO3700" s="76"/>
      <c r="AP3700" s="76"/>
      <c r="AQ3700" s="76"/>
      <c r="AR3700" s="76"/>
      <c r="AS3700" s="76"/>
      <c r="AT3700" s="76"/>
      <c r="AU3700" s="76"/>
      <c r="AV3700" s="76"/>
      <c r="AW3700" s="76"/>
      <c r="AX3700" s="76">
        <f>+AW3700*600000</f>
        <v>0</v>
      </c>
      <c r="AY3700" s="76">
        <v>4572</v>
      </c>
      <c r="AZ3700" s="76">
        <f>+AY3700*70000</f>
        <v>320040000</v>
      </c>
      <c r="BA3700" s="76"/>
      <c r="BB3700" s="76"/>
      <c r="BC3700" s="76"/>
      <c r="BD3700" s="76">
        <f>+BC3700*30000</f>
        <v>0</v>
      </c>
      <c r="BE3700" s="76"/>
      <c r="BF3700" s="76"/>
      <c r="BG3700" s="76"/>
      <c r="BH3700" s="76"/>
      <c r="BI3700" s="76"/>
      <c r="BJ3700" s="76"/>
      <c r="BK3700" s="76"/>
      <c r="BL3700" s="76">
        <f>+BK3700*31500</f>
        <v>0</v>
      </c>
      <c r="BM3700" s="76"/>
      <c r="BN3700" s="76"/>
      <c r="BO3700" s="76"/>
      <c r="BP3700" s="76"/>
      <c r="BQ3700" s="76"/>
      <c r="BR3700" s="76"/>
      <c r="BS3700" s="76"/>
      <c r="BT3700" s="76"/>
      <c r="BU3700" s="76"/>
      <c r="BV3700" s="76"/>
      <c r="BW3700" s="76"/>
      <c r="BX3700" s="76"/>
      <c r="BY3700" s="76"/>
      <c r="BZ3700" s="76"/>
      <c r="CA3700" s="76"/>
      <c r="CB3700" s="76"/>
      <c r="CC3700" s="76"/>
      <c r="CD3700" s="76"/>
      <c r="CE3700" s="76"/>
      <c r="CF3700" s="76">
        <f>+CE3700*28000</f>
        <v>0</v>
      </c>
      <c r="CG3700" s="76">
        <v>4572</v>
      </c>
      <c r="CH3700" s="76">
        <f>+CG3700*22500</f>
        <v>102870000</v>
      </c>
      <c r="CI3700" s="76"/>
      <c r="CJ3700" s="76">
        <f>+CI3700*26000</f>
        <v>0</v>
      </c>
      <c r="CK3700" s="76"/>
      <c r="CL3700" s="76"/>
      <c r="CM3700" s="76">
        <v>4572</v>
      </c>
      <c r="CN3700" s="76">
        <f>+CM3700*22000</f>
        <v>100584000</v>
      </c>
      <c r="CO3700" s="76">
        <v>2286</v>
      </c>
      <c r="CP3700" s="76">
        <f>+CO3700*46000</f>
        <v>105156000</v>
      </c>
      <c r="CQ3700" s="76">
        <v>2286</v>
      </c>
      <c r="CR3700" s="76">
        <f>+CQ3700*49000</f>
        <v>112014000</v>
      </c>
      <c r="CS3700" s="76"/>
      <c r="CT3700" s="76"/>
      <c r="CU3700" s="56">
        <f>AN3700+AP3700+AR3700+AT3700+AV3700+AX3700+AZ3700+BB3700+BD3700+BF3700+BH3700+BJ3700+BL3700+BN3700+BP3700+BR3700+BT3700+BV3700+BX3700+BZ3700+CB3700+CD3700+CF3700+CH3700+CJ3700+CL3700+CN3700+CP3700+CR3700+CT3700</f>
        <v>740664000</v>
      </c>
      <c r="CV3700" s="76"/>
      <c r="CW3700" s="76">
        <f>+CV3700*1100</f>
        <v>0</v>
      </c>
      <c r="CX3700" s="76">
        <v>2286</v>
      </c>
      <c r="CY3700" s="76">
        <f>+CX3700*106250</f>
        <v>242887500</v>
      </c>
      <c r="CZ3700" s="76"/>
      <c r="DA3700" s="76">
        <f>+CZ3700*34500</f>
        <v>0</v>
      </c>
      <c r="DB3700" s="76"/>
      <c r="DC3700" s="76">
        <f>+DB3700*25000</f>
        <v>0</v>
      </c>
      <c r="DD3700" s="219"/>
      <c r="DE3700" s="219"/>
      <c r="DF3700" s="166"/>
      <c r="DG3700" s="116"/>
      <c r="DH3700" s="117"/>
      <c r="DI3700" s="24"/>
      <c r="DJ3700" s="24"/>
      <c r="DK3700" s="24"/>
      <c r="DL3700" s="24"/>
      <c r="DM3700" s="24"/>
      <c r="DN3700" s="24"/>
      <c r="DO3700" s="24"/>
      <c r="DP3700" s="24"/>
      <c r="DQ3700" s="24"/>
      <c r="DR3700" s="24"/>
      <c r="DS3700" s="24"/>
      <c r="DT3700" s="24"/>
      <c r="DU3700" s="24"/>
    </row>
    <row r="3701" spans="1:125" s="8" customFormat="1" ht="132" x14ac:dyDescent="0.2">
      <c r="A3701" s="77">
        <v>41597</v>
      </c>
      <c r="B3701" s="352" t="s">
        <v>2772</v>
      </c>
      <c r="C3701" s="354" t="s">
        <v>2672</v>
      </c>
      <c r="D3701" s="354" t="s">
        <v>2882</v>
      </c>
      <c r="E3701" s="75" t="str">
        <f>VLOOKUP(B3701&amp;C3701,Divipola!$C$2:$F$1138,4,FALSE)</f>
        <v>25290</v>
      </c>
      <c r="F3701" s="87"/>
      <c r="G3701" s="87"/>
      <c r="H3701" s="87"/>
      <c r="I3701" s="87"/>
      <c r="J3701" s="87"/>
      <c r="K3701" s="87"/>
      <c r="L3701" s="87"/>
      <c r="M3701" s="87"/>
      <c r="N3701" s="87"/>
      <c r="O3701" s="87"/>
      <c r="P3701" s="87"/>
      <c r="Q3701" s="87"/>
      <c r="R3701" s="87"/>
      <c r="S3701" s="87"/>
      <c r="T3701" s="87">
        <v>2</v>
      </c>
      <c r="U3701" s="88"/>
      <c r="V3701" s="89"/>
      <c r="W3701" s="96">
        <v>0</v>
      </c>
      <c r="X3701" s="71">
        <f>CU3701</f>
        <v>0</v>
      </c>
      <c r="Y3701" s="71">
        <f>CY3701</f>
        <v>0</v>
      </c>
      <c r="Z3701" s="71">
        <f>DA3701+DC3701+DE3701</f>
        <v>0</v>
      </c>
      <c r="AA3701" s="71">
        <f>CW3701</f>
        <v>0</v>
      </c>
      <c r="AB3701" s="71"/>
      <c r="AC3701" s="71">
        <v>0</v>
      </c>
      <c r="AD3701" s="71">
        <f>W3701+X3701+Y3701+Z3701+AA3701+AB3701+AC3701</f>
        <v>0</v>
      </c>
      <c r="AE3701" s="72">
        <v>0</v>
      </c>
      <c r="AF3701" s="5"/>
      <c r="AG3701" s="6"/>
      <c r="AH3701" s="27"/>
      <c r="AI3701" s="44"/>
      <c r="AJ3701" s="26"/>
      <c r="AK3701" s="5"/>
      <c r="AL3701" s="82" t="s">
        <v>6733</v>
      </c>
      <c r="AM3701" s="76"/>
      <c r="AN3701" s="76"/>
      <c r="AO3701" s="76"/>
      <c r="AP3701" s="76"/>
      <c r="AQ3701" s="76"/>
      <c r="AR3701" s="76"/>
      <c r="AS3701" s="76"/>
      <c r="AT3701" s="76"/>
      <c r="AU3701" s="76"/>
      <c r="AV3701" s="76"/>
      <c r="AW3701" s="76"/>
      <c r="AX3701" s="76">
        <f>+AW3701*600000</f>
        <v>0</v>
      </c>
      <c r="AY3701" s="76"/>
      <c r="AZ3701" s="76">
        <f>+AY3701*70000</f>
        <v>0</v>
      </c>
      <c r="BA3701" s="76"/>
      <c r="BB3701" s="76"/>
      <c r="BC3701" s="76"/>
      <c r="BD3701" s="76">
        <f>+BC3701*30000</f>
        <v>0</v>
      </c>
      <c r="BE3701" s="76"/>
      <c r="BF3701" s="76"/>
      <c r="BG3701" s="76"/>
      <c r="BH3701" s="76"/>
      <c r="BI3701" s="76"/>
      <c r="BJ3701" s="76"/>
      <c r="BK3701" s="76"/>
      <c r="BL3701" s="76">
        <f>+BK3701*31500</f>
        <v>0</v>
      </c>
      <c r="BM3701" s="76"/>
      <c r="BN3701" s="76"/>
      <c r="BO3701" s="76"/>
      <c r="BP3701" s="76"/>
      <c r="BQ3701" s="76"/>
      <c r="BR3701" s="76"/>
      <c r="BS3701" s="76"/>
      <c r="BT3701" s="76"/>
      <c r="BU3701" s="76"/>
      <c r="BV3701" s="76"/>
      <c r="BW3701" s="76"/>
      <c r="BX3701" s="76"/>
      <c r="BY3701" s="76"/>
      <c r="BZ3701" s="76"/>
      <c r="CA3701" s="76"/>
      <c r="CB3701" s="76"/>
      <c r="CC3701" s="76"/>
      <c r="CD3701" s="76"/>
      <c r="CE3701" s="76"/>
      <c r="CF3701" s="76">
        <f>+CE3701*28000</f>
        <v>0</v>
      </c>
      <c r="CG3701" s="76"/>
      <c r="CH3701" s="76">
        <f>+CG3701*22500</f>
        <v>0</v>
      </c>
      <c r="CI3701" s="76"/>
      <c r="CJ3701" s="76">
        <f>+CI3701*26000</f>
        <v>0</v>
      </c>
      <c r="CK3701" s="76"/>
      <c r="CL3701" s="76"/>
      <c r="CM3701" s="76"/>
      <c r="CN3701" s="76">
        <f>+CM3701*22000</f>
        <v>0</v>
      </c>
      <c r="CO3701" s="76"/>
      <c r="CP3701" s="76">
        <f>+CO3701*46000</f>
        <v>0</v>
      </c>
      <c r="CQ3701" s="76"/>
      <c r="CR3701" s="76">
        <f>+CQ3701*49000</f>
        <v>0</v>
      </c>
      <c r="CS3701" s="76"/>
      <c r="CT3701" s="76"/>
      <c r="CU3701" s="56">
        <f>AN3701+AP3701+AR3701+AT3701+AV3701+AX3701+AZ3701+BB3701+BD3701+BF3701+BH3701+BJ3701+BL3701+BN3701+BP3701+BR3701+BT3701+BV3701+BX3701+BZ3701+CB3701+CD3701+CF3701+CH3701+CJ3701+CL3701+CN3701+CP3701+CR3701+CT3701</f>
        <v>0</v>
      </c>
      <c r="CV3701" s="76"/>
      <c r="CW3701" s="76">
        <f>+CV3701*1100</f>
        <v>0</v>
      </c>
      <c r="CX3701" s="76"/>
      <c r="CY3701" s="76">
        <f>+CX3701*106250</f>
        <v>0</v>
      </c>
      <c r="CZ3701" s="76"/>
      <c r="DA3701" s="76">
        <f>+CZ3701*34500</f>
        <v>0</v>
      </c>
      <c r="DB3701" s="76"/>
      <c r="DC3701" s="76">
        <f>+DB3701*25000</f>
        <v>0</v>
      </c>
      <c r="DD3701" s="219"/>
      <c r="DE3701" s="219"/>
      <c r="DF3701" s="166"/>
      <c r="DG3701" s="116"/>
      <c r="DH3701" s="117"/>
      <c r="DI3701" s="24"/>
      <c r="DJ3701" s="24"/>
      <c r="DK3701" s="24"/>
      <c r="DL3701" s="24"/>
      <c r="DM3701" s="24"/>
      <c r="DN3701" s="24"/>
      <c r="DO3701" s="24"/>
      <c r="DP3701" s="24"/>
      <c r="DQ3701" s="24"/>
      <c r="DR3701" s="24"/>
      <c r="DS3701" s="24"/>
      <c r="DT3701" s="24"/>
      <c r="DU3701" s="24"/>
    </row>
    <row r="3702" spans="1:125" s="8" customFormat="1" ht="72" x14ac:dyDescent="0.2">
      <c r="A3702" s="77">
        <v>41597</v>
      </c>
      <c r="B3702" s="352" t="s">
        <v>2087</v>
      </c>
      <c r="C3702" s="354" t="s">
        <v>815</v>
      </c>
      <c r="D3702" s="354" t="s">
        <v>2882</v>
      </c>
      <c r="E3702" s="75" t="str">
        <f>VLOOKUP(B3702&amp;C3702,Divipola!$C$2:$F$1138,4,FALSE)</f>
        <v>18756</v>
      </c>
      <c r="F3702" s="87"/>
      <c r="G3702" s="87"/>
      <c r="H3702" s="87"/>
      <c r="I3702" s="87">
        <v>585</v>
      </c>
      <c r="J3702" s="87">
        <v>117</v>
      </c>
      <c r="K3702" s="87"/>
      <c r="L3702" s="87">
        <v>117</v>
      </c>
      <c r="M3702" s="87"/>
      <c r="N3702" s="87"/>
      <c r="O3702" s="87"/>
      <c r="P3702" s="87"/>
      <c r="Q3702" s="87"/>
      <c r="R3702" s="87">
        <v>1</v>
      </c>
      <c r="S3702" s="87">
        <v>3</v>
      </c>
      <c r="T3702" s="87"/>
      <c r="U3702" s="88"/>
      <c r="V3702" s="89"/>
      <c r="W3702" s="96">
        <v>0</v>
      </c>
      <c r="X3702" s="71">
        <f>CU3702</f>
        <v>0</v>
      </c>
      <c r="Y3702" s="71">
        <f>CY3702</f>
        <v>0</v>
      </c>
      <c r="Z3702" s="71">
        <f>DA3702+DC3702+DE3702</f>
        <v>0</v>
      </c>
      <c r="AA3702" s="71">
        <f>CW3702</f>
        <v>0</v>
      </c>
      <c r="AB3702" s="71"/>
      <c r="AC3702" s="71">
        <v>0</v>
      </c>
      <c r="AD3702" s="71">
        <f>W3702+X3702+Y3702+Z3702+AA3702+AB3702+AC3702</f>
        <v>0</v>
      </c>
      <c r="AE3702" s="72">
        <v>0</v>
      </c>
      <c r="AF3702" s="5"/>
      <c r="AG3702" s="6"/>
      <c r="AH3702" s="27"/>
      <c r="AI3702" s="44"/>
      <c r="AJ3702" s="26"/>
      <c r="AK3702" s="5"/>
      <c r="AL3702" s="82" t="s">
        <v>6735</v>
      </c>
      <c r="AM3702" s="76"/>
      <c r="AN3702" s="76"/>
      <c r="AO3702" s="76"/>
      <c r="AP3702" s="76"/>
      <c r="AQ3702" s="76"/>
      <c r="AR3702" s="76"/>
      <c r="AS3702" s="76"/>
      <c r="AT3702" s="76"/>
      <c r="AU3702" s="76"/>
      <c r="AV3702" s="76"/>
      <c r="AW3702" s="76"/>
      <c r="AX3702" s="76">
        <f>+AW3702*600000</f>
        <v>0</v>
      </c>
      <c r="AY3702" s="76"/>
      <c r="AZ3702" s="76">
        <f>+AY3702*70000</f>
        <v>0</v>
      </c>
      <c r="BA3702" s="76"/>
      <c r="BB3702" s="76"/>
      <c r="BC3702" s="76"/>
      <c r="BD3702" s="76">
        <f>+BC3702*30000</f>
        <v>0</v>
      </c>
      <c r="BE3702" s="76"/>
      <c r="BF3702" s="76"/>
      <c r="BG3702" s="76"/>
      <c r="BH3702" s="76"/>
      <c r="BI3702" s="76"/>
      <c r="BJ3702" s="76"/>
      <c r="BK3702" s="76"/>
      <c r="BL3702" s="76">
        <f>+BK3702*31500</f>
        <v>0</v>
      </c>
      <c r="BM3702" s="76"/>
      <c r="BN3702" s="76"/>
      <c r="BO3702" s="76"/>
      <c r="BP3702" s="76"/>
      <c r="BQ3702" s="76"/>
      <c r="BR3702" s="76"/>
      <c r="BS3702" s="76"/>
      <c r="BT3702" s="76"/>
      <c r="BU3702" s="76"/>
      <c r="BV3702" s="76"/>
      <c r="BW3702" s="76"/>
      <c r="BX3702" s="76"/>
      <c r="BY3702" s="76"/>
      <c r="BZ3702" s="76"/>
      <c r="CA3702" s="76"/>
      <c r="CB3702" s="76"/>
      <c r="CC3702" s="76"/>
      <c r="CD3702" s="76"/>
      <c r="CE3702" s="76"/>
      <c r="CF3702" s="76">
        <f>+CE3702*28000</f>
        <v>0</v>
      </c>
      <c r="CG3702" s="76"/>
      <c r="CH3702" s="76">
        <f>+CG3702*22500</f>
        <v>0</v>
      </c>
      <c r="CI3702" s="76"/>
      <c r="CJ3702" s="76">
        <f>+CI3702*26000</f>
        <v>0</v>
      </c>
      <c r="CK3702" s="76"/>
      <c r="CL3702" s="76"/>
      <c r="CM3702" s="76"/>
      <c r="CN3702" s="76">
        <f>+CM3702*22000</f>
        <v>0</v>
      </c>
      <c r="CO3702" s="76"/>
      <c r="CP3702" s="76">
        <f>+CO3702*46000</f>
        <v>0</v>
      </c>
      <c r="CQ3702" s="76"/>
      <c r="CR3702" s="76">
        <f>+CQ3702*49000</f>
        <v>0</v>
      </c>
      <c r="CS3702" s="76"/>
      <c r="CT3702" s="76"/>
      <c r="CU3702" s="56">
        <f>AN3702+AP3702+AR3702+AT3702+AV3702+AX3702+AZ3702+BB3702+BD3702+BF3702+BH3702+BJ3702+BL3702+BN3702+BP3702+BR3702+BT3702+BV3702+BX3702+BZ3702+CB3702+CD3702+CF3702+CH3702+CJ3702+CL3702+CN3702+CP3702+CR3702+CT3702</f>
        <v>0</v>
      </c>
      <c r="CV3702" s="76"/>
      <c r="CW3702" s="76">
        <f>+CV3702*1100</f>
        <v>0</v>
      </c>
      <c r="CX3702" s="76"/>
      <c r="CY3702" s="76">
        <f>+CX3702*106250</f>
        <v>0</v>
      </c>
      <c r="CZ3702" s="76"/>
      <c r="DA3702" s="76">
        <f>+CZ3702*34500</f>
        <v>0</v>
      </c>
      <c r="DB3702" s="76"/>
      <c r="DC3702" s="76">
        <f>+DB3702*25000</f>
        <v>0</v>
      </c>
      <c r="DD3702" s="219"/>
      <c r="DE3702" s="219"/>
      <c r="DF3702" s="166"/>
      <c r="DG3702" s="116"/>
      <c r="DH3702" s="117"/>
      <c r="DI3702" s="24"/>
      <c r="DJ3702" s="24"/>
      <c r="DK3702" s="24"/>
      <c r="DL3702" s="24"/>
      <c r="DM3702" s="24"/>
      <c r="DN3702" s="24"/>
      <c r="DO3702" s="24"/>
      <c r="DP3702" s="24"/>
      <c r="DQ3702" s="24"/>
      <c r="DR3702" s="24"/>
      <c r="DS3702" s="24"/>
      <c r="DT3702" s="24"/>
      <c r="DU3702" s="24"/>
    </row>
    <row r="3703" spans="1:125" s="8" customFormat="1" ht="156" x14ac:dyDescent="0.2">
      <c r="A3703" s="353">
        <v>41597</v>
      </c>
      <c r="B3703" s="208" t="s">
        <v>2854</v>
      </c>
      <c r="C3703" s="354" t="s">
        <v>1346</v>
      </c>
      <c r="D3703" s="354" t="s">
        <v>3017</v>
      </c>
      <c r="E3703" s="75" t="str">
        <f>VLOOKUP(B3703&amp;C3703,Divipola!$C$2:$F$1138,4,FALSE)</f>
        <v>19050</v>
      </c>
      <c r="F3703" s="87">
        <v>2</v>
      </c>
      <c r="G3703" s="87">
        <v>3</v>
      </c>
      <c r="H3703" s="87">
        <v>1</v>
      </c>
      <c r="I3703" s="87"/>
      <c r="J3703" s="87"/>
      <c r="K3703" s="87"/>
      <c r="L3703" s="87"/>
      <c r="M3703" s="87"/>
      <c r="N3703" s="87"/>
      <c r="O3703" s="87"/>
      <c r="P3703" s="87"/>
      <c r="Q3703" s="87"/>
      <c r="R3703" s="87"/>
      <c r="S3703" s="87"/>
      <c r="T3703" s="88"/>
      <c r="U3703" s="89"/>
      <c r="V3703" s="363"/>
      <c r="W3703" s="96">
        <v>0</v>
      </c>
      <c r="X3703" s="71">
        <f>CU3703</f>
        <v>0</v>
      </c>
      <c r="Y3703" s="71">
        <f>CY3703</f>
        <v>0</v>
      </c>
      <c r="Z3703" s="71">
        <f>DA3703+DC3703+DE3703</f>
        <v>0</v>
      </c>
      <c r="AA3703" s="71">
        <f>CW3703</f>
        <v>0</v>
      </c>
      <c r="AB3703" s="71"/>
      <c r="AC3703" s="71">
        <v>0</v>
      </c>
      <c r="AD3703" s="71">
        <f>W3703+X3703+Y3703+Z3703+AA3703+AB3703+AC3703</f>
        <v>0</v>
      </c>
      <c r="AE3703" s="72">
        <v>0</v>
      </c>
      <c r="AF3703" s="5"/>
      <c r="AG3703" s="6"/>
      <c r="AH3703" s="27"/>
      <c r="AI3703" s="44"/>
      <c r="AJ3703" s="26"/>
      <c r="AK3703" s="5"/>
      <c r="AL3703" s="82" t="s">
        <v>6851</v>
      </c>
      <c r="AM3703" s="76"/>
      <c r="AN3703" s="76"/>
      <c r="AO3703" s="76"/>
      <c r="AP3703" s="76"/>
      <c r="AQ3703" s="76"/>
      <c r="AR3703" s="76"/>
      <c r="AS3703" s="76"/>
      <c r="AT3703" s="76"/>
      <c r="AU3703" s="76"/>
      <c r="AV3703" s="76"/>
      <c r="AW3703" s="76"/>
      <c r="AX3703" s="76">
        <f>+AW3703*600000</f>
        <v>0</v>
      </c>
      <c r="AY3703" s="76"/>
      <c r="AZ3703" s="76">
        <f>+AY3703*70000</f>
        <v>0</v>
      </c>
      <c r="BA3703" s="76"/>
      <c r="BB3703" s="76"/>
      <c r="BC3703" s="76"/>
      <c r="BD3703" s="76">
        <f>+BC3703*30000</f>
        <v>0</v>
      </c>
      <c r="BE3703" s="76"/>
      <c r="BF3703" s="76"/>
      <c r="BG3703" s="76"/>
      <c r="BH3703" s="76"/>
      <c r="BI3703" s="76"/>
      <c r="BJ3703" s="76"/>
      <c r="BK3703" s="76"/>
      <c r="BL3703" s="76">
        <f>+BK3703*31500</f>
        <v>0</v>
      </c>
      <c r="BM3703" s="76"/>
      <c r="BN3703" s="76"/>
      <c r="BO3703" s="76"/>
      <c r="BP3703" s="76"/>
      <c r="BQ3703" s="76"/>
      <c r="BR3703" s="76"/>
      <c r="BS3703" s="76"/>
      <c r="BT3703" s="76"/>
      <c r="BU3703" s="76"/>
      <c r="BV3703" s="76"/>
      <c r="BW3703" s="76"/>
      <c r="BX3703" s="76"/>
      <c r="BY3703" s="76"/>
      <c r="BZ3703" s="76"/>
      <c r="CA3703" s="76"/>
      <c r="CB3703" s="76"/>
      <c r="CC3703" s="76"/>
      <c r="CD3703" s="76"/>
      <c r="CE3703" s="76"/>
      <c r="CF3703" s="76">
        <f>+CE3703*28000</f>
        <v>0</v>
      </c>
      <c r="CG3703" s="76"/>
      <c r="CH3703" s="76">
        <f>+CG3703*22500</f>
        <v>0</v>
      </c>
      <c r="CI3703" s="76"/>
      <c r="CJ3703" s="76">
        <f>+CI3703*26000</f>
        <v>0</v>
      </c>
      <c r="CK3703" s="76"/>
      <c r="CL3703" s="76"/>
      <c r="CM3703" s="76"/>
      <c r="CN3703" s="76">
        <f>+CM3703*22000</f>
        <v>0</v>
      </c>
      <c r="CO3703" s="76"/>
      <c r="CP3703" s="76">
        <f>+CO3703*46000</f>
        <v>0</v>
      </c>
      <c r="CQ3703" s="76"/>
      <c r="CR3703" s="76">
        <f>+CQ3703*49000</f>
        <v>0</v>
      </c>
      <c r="CS3703" s="76"/>
      <c r="CT3703" s="76"/>
      <c r="CU3703" s="56">
        <f>AN3703+AP3703+AR3703+AT3703+AV3703+AX3703+AZ3703+BB3703+BD3703+BF3703+BH3703+BJ3703+BL3703+BN3703+BP3703+BR3703+BT3703+BV3703+BX3703+BZ3703+CB3703+CD3703+CF3703+CH3703+CJ3703+CL3703+CN3703+CP3703+CR3703+CT3703</f>
        <v>0</v>
      </c>
      <c r="CV3703" s="76"/>
      <c r="CW3703" s="76">
        <f>+CV3703*1100</f>
        <v>0</v>
      </c>
      <c r="CX3703" s="76"/>
      <c r="CY3703" s="76">
        <f>+CX3703*106250</f>
        <v>0</v>
      </c>
      <c r="CZ3703" s="76"/>
      <c r="DA3703" s="76">
        <f>+CZ3703*34500</f>
        <v>0</v>
      </c>
      <c r="DB3703" s="76"/>
      <c r="DC3703" s="76">
        <f>+DB3703*25000</f>
        <v>0</v>
      </c>
      <c r="DD3703" s="219"/>
      <c r="DE3703" s="219"/>
      <c r="DF3703" s="166"/>
      <c r="DG3703" s="116"/>
      <c r="DH3703" s="117"/>
      <c r="DI3703" s="24"/>
      <c r="DJ3703" s="24"/>
      <c r="DK3703" s="24"/>
      <c r="DL3703" s="24"/>
      <c r="DM3703" s="24"/>
      <c r="DN3703" s="24"/>
      <c r="DO3703" s="24"/>
      <c r="DP3703" s="24"/>
      <c r="DQ3703" s="24"/>
      <c r="DR3703" s="24"/>
      <c r="DS3703" s="24"/>
      <c r="DT3703" s="24"/>
      <c r="DU3703" s="24"/>
    </row>
    <row r="3704" spans="1:125" s="8" customFormat="1" ht="132" x14ac:dyDescent="0.2">
      <c r="A3704" s="353">
        <v>41598</v>
      </c>
      <c r="B3704" s="352" t="s">
        <v>2854</v>
      </c>
      <c r="C3704" s="354" t="s">
        <v>1326</v>
      </c>
      <c r="D3704" s="354" t="s">
        <v>3088</v>
      </c>
      <c r="E3704" s="75" t="str">
        <f>VLOOKUP(B3704&amp;C3704,Divipola!$C$2:$F$1138,4,FALSE)</f>
        <v>19785</v>
      </c>
      <c r="F3704" s="87"/>
      <c r="G3704" s="87"/>
      <c r="H3704" s="87"/>
      <c r="I3704" s="87"/>
      <c r="J3704" s="87"/>
      <c r="K3704" s="87"/>
      <c r="L3704" s="87"/>
      <c r="M3704" s="87">
        <v>1</v>
      </c>
      <c r="N3704" s="87"/>
      <c r="O3704" s="87"/>
      <c r="P3704" s="87"/>
      <c r="Q3704" s="87"/>
      <c r="R3704" s="87"/>
      <c r="S3704" s="87"/>
      <c r="T3704" s="87"/>
      <c r="U3704" s="88"/>
      <c r="V3704" s="7"/>
      <c r="W3704" s="96">
        <v>0</v>
      </c>
      <c r="X3704" s="71">
        <f>CU3704</f>
        <v>0</v>
      </c>
      <c r="Y3704" s="71">
        <f>CY3704</f>
        <v>0</v>
      </c>
      <c r="Z3704" s="71">
        <f>DA3704+DC3704+DE3704</f>
        <v>0</v>
      </c>
      <c r="AA3704" s="71">
        <f>CW3704</f>
        <v>0</v>
      </c>
      <c r="AB3704" s="71"/>
      <c r="AC3704" s="71">
        <v>0</v>
      </c>
      <c r="AD3704" s="71">
        <f>W3704+X3704+Y3704+Z3704+AA3704+AB3704+AC3704</f>
        <v>0</v>
      </c>
      <c r="AE3704" s="72">
        <v>0</v>
      </c>
      <c r="AF3704" s="5"/>
      <c r="AG3704" s="6"/>
      <c r="AH3704" s="27"/>
      <c r="AI3704" s="44"/>
      <c r="AJ3704" s="26"/>
      <c r="AK3704" s="5"/>
      <c r="AL3704" s="82" t="s">
        <v>6721</v>
      </c>
      <c r="AM3704" s="76"/>
      <c r="AN3704" s="76"/>
      <c r="AO3704" s="76"/>
      <c r="AP3704" s="76"/>
      <c r="AQ3704" s="76"/>
      <c r="AR3704" s="76"/>
      <c r="AS3704" s="76"/>
      <c r="AT3704" s="76"/>
      <c r="AU3704" s="76"/>
      <c r="AV3704" s="76"/>
      <c r="AW3704" s="76"/>
      <c r="AX3704" s="76">
        <f>+AW3704*600000</f>
        <v>0</v>
      </c>
      <c r="AY3704" s="76"/>
      <c r="AZ3704" s="76">
        <f>+AY3704*70000</f>
        <v>0</v>
      </c>
      <c r="BA3704" s="76"/>
      <c r="BB3704" s="76"/>
      <c r="BC3704" s="76"/>
      <c r="BD3704" s="76">
        <f>+BC3704*30000</f>
        <v>0</v>
      </c>
      <c r="BE3704" s="76"/>
      <c r="BF3704" s="76"/>
      <c r="BG3704" s="76"/>
      <c r="BH3704" s="76"/>
      <c r="BI3704" s="76"/>
      <c r="BJ3704" s="76"/>
      <c r="BK3704" s="76"/>
      <c r="BL3704" s="76">
        <f>+BK3704*31500</f>
        <v>0</v>
      </c>
      <c r="BM3704" s="76"/>
      <c r="BN3704" s="76"/>
      <c r="BO3704" s="76"/>
      <c r="BP3704" s="76"/>
      <c r="BQ3704" s="76"/>
      <c r="BR3704" s="76"/>
      <c r="BS3704" s="76"/>
      <c r="BT3704" s="76"/>
      <c r="BU3704" s="76"/>
      <c r="BV3704" s="76"/>
      <c r="BW3704" s="76"/>
      <c r="BX3704" s="76"/>
      <c r="BY3704" s="76"/>
      <c r="BZ3704" s="76"/>
      <c r="CA3704" s="76"/>
      <c r="CB3704" s="76"/>
      <c r="CC3704" s="76"/>
      <c r="CD3704" s="76"/>
      <c r="CE3704" s="76"/>
      <c r="CF3704" s="76">
        <f>+CE3704*28000</f>
        <v>0</v>
      </c>
      <c r="CG3704" s="76"/>
      <c r="CH3704" s="76">
        <f>+CG3704*22500</f>
        <v>0</v>
      </c>
      <c r="CI3704" s="76"/>
      <c r="CJ3704" s="76">
        <f>+CI3704*26000</f>
        <v>0</v>
      </c>
      <c r="CK3704" s="76"/>
      <c r="CL3704" s="76"/>
      <c r="CM3704" s="76"/>
      <c r="CN3704" s="76">
        <f>+CM3704*22000</f>
        <v>0</v>
      </c>
      <c r="CO3704" s="76"/>
      <c r="CP3704" s="76">
        <f>+CO3704*46000</f>
        <v>0</v>
      </c>
      <c r="CQ3704" s="76"/>
      <c r="CR3704" s="76">
        <f>+CQ3704*49000</f>
        <v>0</v>
      </c>
      <c r="CS3704" s="76"/>
      <c r="CT3704" s="76"/>
      <c r="CU3704" s="56">
        <f>AN3704+AP3704+AR3704+AT3704+AV3704+AX3704+AZ3704+BB3704+BD3704+BF3704+BH3704+BJ3704+BL3704+BN3704+BP3704+BR3704+BT3704+BV3704+BX3704+BZ3704+CB3704+CD3704+CF3704+CH3704+CJ3704+CL3704+CN3704+CP3704+CR3704+CT3704</f>
        <v>0</v>
      </c>
      <c r="CV3704" s="76"/>
      <c r="CW3704" s="76">
        <f>+CV3704*1100</f>
        <v>0</v>
      </c>
      <c r="CX3704" s="76"/>
      <c r="CY3704" s="76">
        <f>+CX3704*106250</f>
        <v>0</v>
      </c>
      <c r="CZ3704" s="76"/>
      <c r="DA3704" s="76">
        <f>+CZ3704*34500</f>
        <v>0</v>
      </c>
      <c r="DB3704" s="76"/>
      <c r="DC3704" s="76">
        <f>+DB3704*25000</f>
        <v>0</v>
      </c>
      <c r="DD3704" s="219"/>
      <c r="DE3704" s="219"/>
      <c r="DF3704" s="166"/>
      <c r="DG3704" s="116"/>
      <c r="DH3704" s="117"/>
      <c r="DI3704" s="24"/>
      <c r="DJ3704" s="24"/>
      <c r="DK3704" s="24"/>
      <c r="DL3704" s="24"/>
      <c r="DM3704" s="24"/>
      <c r="DN3704" s="24"/>
      <c r="DO3704" s="24"/>
      <c r="DP3704" s="24"/>
      <c r="DQ3704" s="24"/>
      <c r="DR3704" s="24"/>
      <c r="DS3704" s="24"/>
      <c r="DT3704" s="24"/>
      <c r="DU3704" s="24"/>
    </row>
    <row r="3705" spans="1:125" s="8" customFormat="1" ht="96" x14ac:dyDescent="0.2">
      <c r="A3705" s="77">
        <v>41598</v>
      </c>
      <c r="B3705" s="352" t="s">
        <v>2847</v>
      </c>
      <c r="C3705" s="354" t="s">
        <v>1745</v>
      </c>
      <c r="D3705" s="354" t="s">
        <v>2846</v>
      </c>
      <c r="E3705" s="75" t="str">
        <f>VLOOKUP(B3705&amp;C3705,Divipola!$C$2:$F$1138,4,FALSE)</f>
        <v>68502</v>
      </c>
      <c r="F3705" s="87"/>
      <c r="G3705" s="87">
        <v>2</v>
      </c>
      <c r="H3705" s="87"/>
      <c r="I3705" s="87">
        <v>2</v>
      </c>
      <c r="J3705" s="87"/>
      <c r="K3705" s="87"/>
      <c r="L3705" s="87"/>
      <c r="M3705" s="87"/>
      <c r="N3705" s="87"/>
      <c r="O3705" s="87"/>
      <c r="P3705" s="87"/>
      <c r="Q3705" s="87"/>
      <c r="R3705" s="87"/>
      <c r="S3705" s="87"/>
      <c r="T3705" s="87"/>
      <c r="U3705" s="88">
        <v>7</v>
      </c>
      <c r="V3705" s="89"/>
      <c r="W3705" s="96">
        <v>0</v>
      </c>
      <c r="X3705" s="71">
        <f>CU3705</f>
        <v>0</v>
      </c>
      <c r="Y3705" s="71">
        <f>CY3705</f>
        <v>0</v>
      </c>
      <c r="Z3705" s="71">
        <f>DA3705+DC3705+DE3705</f>
        <v>0</v>
      </c>
      <c r="AA3705" s="71">
        <f>CW3705</f>
        <v>0</v>
      </c>
      <c r="AB3705" s="71"/>
      <c r="AC3705" s="71">
        <v>0</v>
      </c>
      <c r="AD3705" s="71">
        <f>W3705+X3705+Y3705+Z3705+AA3705+AB3705+AC3705</f>
        <v>0</v>
      </c>
      <c r="AE3705" s="72">
        <v>0</v>
      </c>
      <c r="AF3705" s="5"/>
      <c r="AG3705" s="6"/>
      <c r="AH3705" s="27"/>
      <c r="AI3705" s="44"/>
      <c r="AJ3705" s="26"/>
      <c r="AK3705" s="5"/>
      <c r="AL3705" s="82" t="s">
        <v>6734</v>
      </c>
      <c r="AM3705" s="76"/>
      <c r="AN3705" s="76"/>
      <c r="AO3705" s="76"/>
      <c r="AP3705" s="76"/>
      <c r="AQ3705" s="76"/>
      <c r="AR3705" s="76"/>
      <c r="AS3705" s="76"/>
      <c r="AT3705" s="76"/>
      <c r="AU3705" s="76"/>
      <c r="AV3705" s="76"/>
      <c r="AW3705" s="76"/>
      <c r="AX3705" s="76">
        <f>+AW3705*600000</f>
        <v>0</v>
      </c>
      <c r="AY3705" s="76"/>
      <c r="AZ3705" s="76">
        <f>+AY3705*70000</f>
        <v>0</v>
      </c>
      <c r="BA3705" s="76"/>
      <c r="BB3705" s="76"/>
      <c r="BC3705" s="76"/>
      <c r="BD3705" s="76">
        <f>+BC3705*30000</f>
        <v>0</v>
      </c>
      <c r="BE3705" s="76"/>
      <c r="BF3705" s="76"/>
      <c r="BG3705" s="76"/>
      <c r="BH3705" s="76"/>
      <c r="BI3705" s="76"/>
      <c r="BJ3705" s="76"/>
      <c r="BK3705" s="76"/>
      <c r="BL3705" s="76">
        <f>+BK3705*31500</f>
        <v>0</v>
      </c>
      <c r="BM3705" s="76"/>
      <c r="BN3705" s="76"/>
      <c r="BO3705" s="76"/>
      <c r="BP3705" s="76"/>
      <c r="BQ3705" s="76"/>
      <c r="BR3705" s="76"/>
      <c r="BS3705" s="76"/>
      <c r="BT3705" s="76"/>
      <c r="BU3705" s="76"/>
      <c r="BV3705" s="76"/>
      <c r="BW3705" s="76"/>
      <c r="BX3705" s="76"/>
      <c r="BY3705" s="76"/>
      <c r="BZ3705" s="76"/>
      <c r="CA3705" s="76"/>
      <c r="CB3705" s="76"/>
      <c r="CC3705" s="76"/>
      <c r="CD3705" s="76"/>
      <c r="CE3705" s="76"/>
      <c r="CF3705" s="76">
        <f>+CE3705*28000</f>
        <v>0</v>
      </c>
      <c r="CG3705" s="76"/>
      <c r="CH3705" s="76">
        <f>+CG3705*22500</f>
        <v>0</v>
      </c>
      <c r="CI3705" s="76"/>
      <c r="CJ3705" s="76">
        <f>+CI3705*26000</f>
        <v>0</v>
      </c>
      <c r="CK3705" s="76"/>
      <c r="CL3705" s="76"/>
      <c r="CM3705" s="76"/>
      <c r="CN3705" s="76">
        <f>+CM3705*22000</f>
        <v>0</v>
      </c>
      <c r="CO3705" s="76"/>
      <c r="CP3705" s="76">
        <f>+CO3705*46000</f>
        <v>0</v>
      </c>
      <c r="CQ3705" s="76"/>
      <c r="CR3705" s="76">
        <f>+CQ3705*49000</f>
        <v>0</v>
      </c>
      <c r="CS3705" s="76"/>
      <c r="CT3705" s="76"/>
      <c r="CU3705" s="56">
        <f>AN3705+AP3705+AR3705+AT3705+AV3705+AX3705+AZ3705+BB3705+BD3705+BF3705+BH3705+BJ3705+BL3705+BN3705+BP3705+BR3705+BT3705+BV3705+BX3705+BZ3705+CB3705+CD3705+CF3705+CH3705+CJ3705+CL3705+CN3705+CP3705+CR3705+CT3705</f>
        <v>0</v>
      </c>
      <c r="CV3705" s="76"/>
      <c r="CW3705" s="76">
        <f>+CV3705*1100</f>
        <v>0</v>
      </c>
      <c r="CX3705" s="76"/>
      <c r="CY3705" s="76">
        <f>+CX3705*106250</f>
        <v>0</v>
      </c>
      <c r="CZ3705" s="76"/>
      <c r="DA3705" s="76">
        <f>+CZ3705*34500</f>
        <v>0</v>
      </c>
      <c r="DB3705" s="76"/>
      <c r="DC3705" s="76">
        <f>+DB3705*25000</f>
        <v>0</v>
      </c>
      <c r="DD3705" s="219"/>
      <c r="DE3705" s="219"/>
      <c r="DF3705" s="166"/>
      <c r="DG3705" s="116"/>
      <c r="DH3705" s="117"/>
      <c r="DI3705" s="24"/>
      <c r="DJ3705" s="24"/>
      <c r="DK3705" s="24"/>
      <c r="DL3705" s="24"/>
      <c r="DM3705" s="24"/>
      <c r="DN3705" s="24"/>
      <c r="DO3705" s="24"/>
      <c r="DP3705" s="24"/>
      <c r="DQ3705" s="24"/>
      <c r="DR3705" s="24"/>
      <c r="DS3705" s="24"/>
      <c r="DT3705" s="24"/>
      <c r="DU3705" s="24"/>
    </row>
    <row r="3706" spans="1:125" s="8" customFormat="1" ht="84" x14ac:dyDescent="0.2">
      <c r="A3706" s="77">
        <v>41598</v>
      </c>
      <c r="B3706" s="352" t="s">
        <v>2700</v>
      </c>
      <c r="C3706" s="354" t="s">
        <v>1564</v>
      </c>
      <c r="D3706" s="354" t="s">
        <v>2882</v>
      </c>
      <c r="E3706" s="75" t="str">
        <f>VLOOKUP(B3706&amp;C3706,Divipola!$C$2:$F$1138,4,FALSE)</f>
        <v>15047</v>
      </c>
      <c r="F3706" s="87"/>
      <c r="G3706" s="87"/>
      <c r="H3706" s="87"/>
      <c r="I3706" s="87">
        <v>750</v>
      </c>
      <c r="J3706" s="87">
        <v>150</v>
      </c>
      <c r="K3706" s="87"/>
      <c r="L3706" s="87">
        <v>150</v>
      </c>
      <c r="M3706" s="87"/>
      <c r="N3706" s="87"/>
      <c r="O3706" s="87"/>
      <c r="P3706" s="87"/>
      <c r="Q3706" s="87"/>
      <c r="R3706" s="87"/>
      <c r="S3706" s="87"/>
      <c r="T3706" s="87"/>
      <c r="U3706" s="88"/>
      <c r="V3706" s="89"/>
      <c r="W3706" s="96">
        <v>0</v>
      </c>
      <c r="X3706" s="71">
        <f>CU3706</f>
        <v>0</v>
      </c>
      <c r="Y3706" s="71">
        <f>CY3706</f>
        <v>0</v>
      </c>
      <c r="Z3706" s="71">
        <f>DA3706+DC3706+DE3706</f>
        <v>0</v>
      </c>
      <c r="AA3706" s="71">
        <f>CW3706</f>
        <v>0</v>
      </c>
      <c r="AB3706" s="71"/>
      <c r="AC3706" s="71">
        <v>0</v>
      </c>
      <c r="AD3706" s="71">
        <f>W3706+X3706+Y3706+Z3706+AA3706+AB3706+AC3706</f>
        <v>0</v>
      </c>
      <c r="AE3706" s="72">
        <v>0</v>
      </c>
      <c r="AF3706" s="5"/>
      <c r="AG3706" s="6"/>
      <c r="AH3706" s="27"/>
      <c r="AI3706" s="44"/>
      <c r="AJ3706" s="26"/>
      <c r="AK3706" s="5"/>
      <c r="AL3706" s="82" t="s">
        <v>6736</v>
      </c>
      <c r="AM3706" s="76"/>
      <c r="AN3706" s="76"/>
      <c r="AO3706" s="76"/>
      <c r="AP3706" s="76"/>
      <c r="AQ3706" s="76"/>
      <c r="AR3706" s="76"/>
      <c r="AS3706" s="76"/>
      <c r="AT3706" s="76"/>
      <c r="AU3706" s="76"/>
      <c r="AV3706" s="76"/>
      <c r="AW3706" s="76"/>
      <c r="AX3706" s="76">
        <f>+AW3706*600000</f>
        <v>0</v>
      </c>
      <c r="AY3706" s="76"/>
      <c r="AZ3706" s="76">
        <f>+AY3706*70000</f>
        <v>0</v>
      </c>
      <c r="BA3706" s="76"/>
      <c r="BB3706" s="76"/>
      <c r="BC3706" s="76"/>
      <c r="BD3706" s="76">
        <f>+BC3706*30000</f>
        <v>0</v>
      </c>
      <c r="BE3706" s="76"/>
      <c r="BF3706" s="76"/>
      <c r="BG3706" s="76"/>
      <c r="BH3706" s="76"/>
      <c r="BI3706" s="76"/>
      <c r="BJ3706" s="76"/>
      <c r="BK3706" s="76"/>
      <c r="BL3706" s="76">
        <f>+BK3706*31500</f>
        <v>0</v>
      </c>
      <c r="BM3706" s="76"/>
      <c r="BN3706" s="76"/>
      <c r="BO3706" s="76"/>
      <c r="BP3706" s="76"/>
      <c r="BQ3706" s="76"/>
      <c r="BR3706" s="76"/>
      <c r="BS3706" s="76"/>
      <c r="BT3706" s="76"/>
      <c r="BU3706" s="76"/>
      <c r="BV3706" s="76"/>
      <c r="BW3706" s="76"/>
      <c r="BX3706" s="76"/>
      <c r="BY3706" s="76"/>
      <c r="BZ3706" s="76"/>
      <c r="CA3706" s="76"/>
      <c r="CB3706" s="76"/>
      <c r="CC3706" s="76"/>
      <c r="CD3706" s="76"/>
      <c r="CE3706" s="76"/>
      <c r="CF3706" s="76">
        <f>+CE3706*28000</f>
        <v>0</v>
      </c>
      <c r="CG3706" s="76"/>
      <c r="CH3706" s="76">
        <f>+CG3706*22500</f>
        <v>0</v>
      </c>
      <c r="CI3706" s="76"/>
      <c r="CJ3706" s="76">
        <f>+CI3706*26000</f>
        <v>0</v>
      </c>
      <c r="CK3706" s="76"/>
      <c r="CL3706" s="76"/>
      <c r="CM3706" s="76"/>
      <c r="CN3706" s="76">
        <f>+CM3706*22000</f>
        <v>0</v>
      </c>
      <c r="CO3706" s="76"/>
      <c r="CP3706" s="76">
        <f>+CO3706*46000</f>
        <v>0</v>
      </c>
      <c r="CQ3706" s="76"/>
      <c r="CR3706" s="76">
        <f>+CQ3706*49000</f>
        <v>0</v>
      </c>
      <c r="CS3706" s="76"/>
      <c r="CT3706" s="76"/>
      <c r="CU3706" s="56">
        <f>AN3706+AP3706+AR3706+AT3706+AV3706+AX3706+AZ3706+BB3706+BD3706+BF3706+BH3706+BJ3706+BL3706+BN3706+BP3706+BR3706+BT3706+BV3706+BX3706+BZ3706+CB3706+CD3706+CF3706+CH3706+CJ3706+CL3706+CN3706+CP3706+CR3706+CT3706</f>
        <v>0</v>
      </c>
      <c r="CV3706" s="76"/>
      <c r="CW3706" s="76">
        <f>+CV3706*1100</f>
        <v>0</v>
      </c>
      <c r="CX3706" s="76"/>
      <c r="CY3706" s="76">
        <f>+CX3706*106250</f>
        <v>0</v>
      </c>
      <c r="CZ3706" s="76"/>
      <c r="DA3706" s="76">
        <f>+CZ3706*34500</f>
        <v>0</v>
      </c>
      <c r="DB3706" s="76"/>
      <c r="DC3706" s="76">
        <f>+DB3706*25000</f>
        <v>0</v>
      </c>
      <c r="DD3706" s="219"/>
      <c r="DE3706" s="219"/>
      <c r="DF3706" s="166"/>
      <c r="DG3706" s="116"/>
      <c r="DH3706" s="117"/>
      <c r="DI3706" s="24"/>
      <c r="DJ3706" s="24"/>
      <c r="DK3706" s="24"/>
      <c r="DL3706" s="24"/>
      <c r="DM3706" s="24"/>
      <c r="DN3706" s="24"/>
      <c r="DO3706" s="24"/>
      <c r="DP3706" s="24"/>
      <c r="DQ3706" s="24"/>
      <c r="DR3706" s="24"/>
      <c r="DS3706" s="24"/>
      <c r="DT3706" s="24"/>
      <c r="DU3706" s="24"/>
    </row>
    <row r="3707" spans="1:125" s="8" customFormat="1" ht="84" x14ac:dyDescent="0.2">
      <c r="A3707" s="77">
        <v>41598</v>
      </c>
      <c r="B3707" s="352" t="s">
        <v>2881</v>
      </c>
      <c r="C3707" s="354" t="s">
        <v>2680</v>
      </c>
      <c r="D3707" s="354" t="s">
        <v>2882</v>
      </c>
      <c r="E3707" s="75" t="str">
        <f>VLOOKUP(B3707&amp;C3707,Divipola!$C$2:$F$1138,4,FALSE)</f>
        <v>08758</v>
      </c>
      <c r="F3707" s="89"/>
      <c r="G3707" s="89"/>
      <c r="H3707" s="89"/>
      <c r="I3707" s="89">
        <v>800</v>
      </c>
      <c r="J3707" s="89">
        <v>160</v>
      </c>
      <c r="K3707" s="89"/>
      <c r="L3707" s="89">
        <v>160</v>
      </c>
      <c r="M3707" s="89"/>
      <c r="N3707" s="89"/>
      <c r="O3707" s="89"/>
      <c r="P3707" s="89"/>
      <c r="Q3707" s="89"/>
      <c r="R3707" s="89"/>
      <c r="S3707" s="89">
        <v>2</v>
      </c>
      <c r="T3707" s="89"/>
      <c r="U3707" s="89"/>
      <c r="V3707" s="89"/>
      <c r="W3707" s="96">
        <v>0</v>
      </c>
      <c r="X3707" s="71">
        <f>CU3707</f>
        <v>0</v>
      </c>
      <c r="Y3707" s="71">
        <f>CY3707</f>
        <v>0</v>
      </c>
      <c r="Z3707" s="71">
        <f>DA3707+DC3707+DE3707</f>
        <v>66587109.960000001</v>
      </c>
      <c r="AA3707" s="71">
        <f>CW3707</f>
        <v>0</v>
      </c>
      <c r="AB3707" s="71"/>
      <c r="AC3707" s="71">
        <v>0</v>
      </c>
      <c r="AD3707" s="71">
        <f>W3707+X3707+Y3707+Z3707+AA3707+AB3707+AC3707</f>
        <v>66587109.960000001</v>
      </c>
      <c r="AE3707" s="72">
        <v>0</v>
      </c>
      <c r="AF3707" s="5"/>
      <c r="AG3707" s="6"/>
      <c r="AH3707" s="27"/>
      <c r="AI3707" s="44"/>
      <c r="AJ3707" s="26"/>
      <c r="AK3707" s="5"/>
      <c r="AL3707" s="82" t="s">
        <v>6737</v>
      </c>
      <c r="AM3707" s="76"/>
      <c r="AN3707" s="76"/>
      <c r="AO3707" s="76"/>
      <c r="AP3707" s="76"/>
      <c r="AQ3707" s="76"/>
      <c r="AR3707" s="76"/>
      <c r="AS3707" s="76"/>
      <c r="AT3707" s="76"/>
      <c r="AU3707" s="76"/>
      <c r="AV3707" s="76"/>
      <c r="AW3707" s="76"/>
      <c r="AX3707" s="76">
        <f>+AW3707*600000</f>
        <v>0</v>
      </c>
      <c r="AY3707" s="76"/>
      <c r="AZ3707" s="76">
        <f>+AY3707*70000</f>
        <v>0</v>
      </c>
      <c r="BA3707" s="76"/>
      <c r="BB3707" s="76"/>
      <c r="BC3707" s="76"/>
      <c r="BD3707" s="76">
        <f>+BC3707*30000</f>
        <v>0</v>
      </c>
      <c r="BE3707" s="76"/>
      <c r="BF3707" s="76"/>
      <c r="BG3707" s="76"/>
      <c r="BH3707" s="76"/>
      <c r="BI3707" s="76"/>
      <c r="BJ3707" s="76"/>
      <c r="BK3707" s="76"/>
      <c r="BL3707" s="76">
        <f>+BK3707*31500</f>
        <v>0</v>
      </c>
      <c r="BM3707" s="76"/>
      <c r="BN3707" s="76"/>
      <c r="BO3707" s="76"/>
      <c r="BP3707" s="76"/>
      <c r="BQ3707" s="76"/>
      <c r="BR3707" s="76"/>
      <c r="BS3707" s="76"/>
      <c r="BT3707" s="76"/>
      <c r="BU3707" s="76"/>
      <c r="BV3707" s="76"/>
      <c r="BW3707" s="76"/>
      <c r="BX3707" s="76"/>
      <c r="BY3707" s="76"/>
      <c r="BZ3707" s="76"/>
      <c r="CA3707" s="76"/>
      <c r="CB3707" s="76"/>
      <c r="CC3707" s="76"/>
      <c r="CD3707" s="76"/>
      <c r="CE3707" s="76"/>
      <c r="CF3707" s="76">
        <f>+CE3707*28000</f>
        <v>0</v>
      </c>
      <c r="CG3707" s="76"/>
      <c r="CH3707" s="76">
        <f>+CG3707*22500</f>
        <v>0</v>
      </c>
      <c r="CI3707" s="76"/>
      <c r="CJ3707" s="76">
        <f>+CI3707*26000</f>
        <v>0</v>
      </c>
      <c r="CK3707" s="76"/>
      <c r="CL3707" s="76"/>
      <c r="CM3707" s="76"/>
      <c r="CN3707" s="76">
        <f>+CM3707*22000</f>
        <v>0</v>
      </c>
      <c r="CO3707" s="76"/>
      <c r="CP3707" s="76">
        <f>+CO3707*46000</f>
        <v>0</v>
      </c>
      <c r="CQ3707" s="76"/>
      <c r="CR3707" s="76">
        <f>+CQ3707*49000</f>
        <v>0</v>
      </c>
      <c r="CS3707" s="76"/>
      <c r="CT3707" s="76"/>
      <c r="CU3707" s="56">
        <f>AN3707+AP3707+AR3707+AT3707+AV3707+AX3707+AZ3707+BB3707+BD3707+BF3707+BH3707+BJ3707+BL3707+BN3707+BP3707+BR3707+BT3707+BV3707+BX3707+BZ3707+CB3707+CD3707+CF3707+CH3707+CJ3707+CL3707+CN3707+CP3707+CR3707+CT3707</f>
        <v>0</v>
      </c>
      <c r="CV3707" s="76"/>
      <c r="CW3707" s="76">
        <f>+CV3707*1100</f>
        <v>0</v>
      </c>
      <c r="CX3707" s="76"/>
      <c r="CY3707" s="76">
        <f>+CX3707*106250</f>
        <v>0</v>
      </c>
      <c r="CZ3707" s="76"/>
      <c r="DA3707" s="76">
        <f>+CZ3707*34500</f>
        <v>0</v>
      </c>
      <c r="DB3707" s="371">
        <f>963+868+182+230</f>
        <v>2243</v>
      </c>
      <c r="DC3707" s="86">
        <f>963*33645.8+868*25282.2+182*16852.48+230*22628.12+4026*348+4026*638</f>
        <v>66587109.960000001</v>
      </c>
      <c r="DD3707" s="219"/>
      <c r="DE3707" s="219"/>
      <c r="DF3707" s="166"/>
      <c r="DG3707" s="134" t="s">
        <v>6964</v>
      </c>
      <c r="DH3707" s="117"/>
      <c r="DI3707" s="24"/>
      <c r="DJ3707" s="24"/>
      <c r="DK3707" s="24"/>
      <c r="DL3707" s="24"/>
      <c r="DM3707" s="24"/>
      <c r="DN3707" s="24"/>
      <c r="DO3707" s="24"/>
      <c r="DP3707" s="24"/>
      <c r="DQ3707" s="24"/>
      <c r="DR3707" s="24"/>
      <c r="DS3707" s="24"/>
      <c r="DT3707" s="24"/>
      <c r="DU3707" s="24"/>
    </row>
    <row r="3708" spans="1:125" s="8" customFormat="1" ht="96" x14ac:dyDescent="0.2">
      <c r="A3708" s="77">
        <v>41598</v>
      </c>
      <c r="B3708" s="352" t="s">
        <v>2774</v>
      </c>
      <c r="C3708" s="354" t="s">
        <v>1347</v>
      </c>
      <c r="D3708" s="354" t="s">
        <v>2859</v>
      </c>
      <c r="E3708" s="75" t="str">
        <f>VLOOKUP(B3708&amp;C3708,Divipola!$C$2:$F$1138,4,FALSE)</f>
        <v>66001</v>
      </c>
      <c r="F3708" s="87"/>
      <c r="G3708" s="87">
        <v>5</v>
      </c>
      <c r="H3708" s="87"/>
      <c r="I3708" s="87"/>
      <c r="J3708" s="87"/>
      <c r="K3708" s="87"/>
      <c r="L3708" s="87"/>
      <c r="M3708" s="87"/>
      <c r="N3708" s="87"/>
      <c r="O3708" s="87"/>
      <c r="P3708" s="87"/>
      <c r="Q3708" s="87"/>
      <c r="R3708" s="87"/>
      <c r="S3708" s="87"/>
      <c r="T3708" s="87"/>
      <c r="U3708" s="88"/>
      <c r="V3708" s="89">
        <v>1</v>
      </c>
      <c r="W3708" s="96">
        <v>0</v>
      </c>
      <c r="X3708" s="71">
        <f>CU3708</f>
        <v>0</v>
      </c>
      <c r="Y3708" s="71">
        <f>CY3708</f>
        <v>0</v>
      </c>
      <c r="Z3708" s="71">
        <f>DA3708+DC3708+DE3708</f>
        <v>0</v>
      </c>
      <c r="AA3708" s="71">
        <f>CW3708</f>
        <v>0</v>
      </c>
      <c r="AB3708" s="71"/>
      <c r="AC3708" s="71">
        <v>0</v>
      </c>
      <c r="AD3708" s="71">
        <f>W3708+X3708+Y3708+Z3708+AA3708+AB3708+AC3708</f>
        <v>0</v>
      </c>
      <c r="AE3708" s="72">
        <v>0</v>
      </c>
      <c r="AF3708" s="5"/>
      <c r="AG3708" s="6"/>
      <c r="AH3708" s="27"/>
      <c r="AI3708" s="44"/>
      <c r="AJ3708" s="26"/>
      <c r="AK3708" s="5"/>
      <c r="AL3708" s="82" t="s">
        <v>6738</v>
      </c>
      <c r="AM3708" s="76"/>
      <c r="AN3708" s="76"/>
      <c r="AO3708" s="76"/>
      <c r="AP3708" s="76"/>
      <c r="AQ3708" s="76"/>
      <c r="AR3708" s="76"/>
      <c r="AS3708" s="76"/>
      <c r="AT3708" s="76"/>
      <c r="AU3708" s="76"/>
      <c r="AV3708" s="76"/>
      <c r="AW3708" s="76"/>
      <c r="AX3708" s="76">
        <f>+AW3708*600000</f>
        <v>0</v>
      </c>
      <c r="AY3708" s="76"/>
      <c r="AZ3708" s="76">
        <f>+AY3708*70000</f>
        <v>0</v>
      </c>
      <c r="BA3708" s="76"/>
      <c r="BB3708" s="76"/>
      <c r="BC3708" s="76"/>
      <c r="BD3708" s="76">
        <f>+BC3708*30000</f>
        <v>0</v>
      </c>
      <c r="BE3708" s="76"/>
      <c r="BF3708" s="76"/>
      <c r="BG3708" s="76"/>
      <c r="BH3708" s="76"/>
      <c r="BI3708" s="76"/>
      <c r="BJ3708" s="76"/>
      <c r="BK3708" s="76"/>
      <c r="BL3708" s="76">
        <f>+BK3708*31500</f>
        <v>0</v>
      </c>
      <c r="BM3708" s="76"/>
      <c r="BN3708" s="76"/>
      <c r="BO3708" s="76"/>
      <c r="BP3708" s="76"/>
      <c r="BQ3708" s="76"/>
      <c r="BR3708" s="76"/>
      <c r="BS3708" s="76"/>
      <c r="BT3708" s="76"/>
      <c r="BU3708" s="76"/>
      <c r="BV3708" s="76"/>
      <c r="BW3708" s="76"/>
      <c r="BX3708" s="76"/>
      <c r="BY3708" s="76"/>
      <c r="BZ3708" s="76"/>
      <c r="CA3708" s="76"/>
      <c r="CB3708" s="76"/>
      <c r="CC3708" s="76"/>
      <c r="CD3708" s="76"/>
      <c r="CE3708" s="76"/>
      <c r="CF3708" s="76">
        <f>+CE3708*28000</f>
        <v>0</v>
      </c>
      <c r="CG3708" s="76"/>
      <c r="CH3708" s="76">
        <f>+CG3708*22500</f>
        <v>0</v>
      </c>
      <c r="CI3708" s="76"/>
      <c r="CJ3708" s="76">
        <f>+CI3708*26000</f>
        <v>0</v>
      </c>
      <c r="CK3708" s="76"/>
      <c r="CL3708" s="76"/>
      <c r="CM3708" s="76"/>
      <c r="CN3708" s="76">
        <f>+CM3708*22000</f>
        <v>0</v>
      </c>
      <c r="CO3708" s="76"/>
      <c r="CP3708" s="76">
        <f>+CO3708*46000</f>
        <v>0</v>
      </c>
      <c r="CQ3708" s="76"/>
      <c r="CR3708" s="76">
        <f>+CQ3708*49000</f>
        <v>0</v>
      </c>
      <c r="CS3708" s="76"/>
      <c r="CT3708" s="76"/>
      <c r="CU3708" s="56">
        <f>AN3708+AP3708+AR3708+AT3708+AV3708+AX3708+AZ3708+BB3708+BD3708+BF3708+BH3708+BJ3708+BL3708+BN3708+BP3708+BR3708+BT3708+BV3708+BX3708+BZ3708+CB3708+CD3708+CF3708+CH3708+CJ3708+CL3708+CN3708+CP3708+CR3708+CT3708</f>
        <v>0</v>
      </c>
      <c r="CV3708" s="76"/>
      <c r="CW3708" s="76">
        <f>+CV3708*1100</f>
        <v>0</v>
      </c>
      <c r="CX3708" s="76"/>
      <c r="CY3708" s="76">
        <f>+CX3708*106250</f>
        <v>0</v>
      </c>
      <c r="CZ3708" s="76"/>
      <c r="DA3708" s="76">
        <f>+CZ3708*34500</f>
        <v>0</v>
      </c>
      <c r="DB3708" s="76"/>
      <c r="DC3708" s="76">
        <f>+DB3708*25000</f>
        <v>0</v>
      </c>
      <c r="DD3708" s="219"/>
      <c r="DE3708" s="219"/>
      <c r="DF3708" s="166"/>
      <c r="DG3708" s="116"/>
      <c r="DH3708" s="117"/>
      <c r="DI3708" s="24"/>
      <c r="DJ3708" s="24"/>
      <c r="DK3708" s="24"/>
      <c r="DL3708" s="24"/>
      <c r="DM3708" s="24"/>
      <c r="DN3708" s="24"/>
      <c r="DO3708" s="24"/>
      <c r="DP3708" s="24"/>
      <c r="DQ3708" s="24"/>
      <c r="DR3708" s="24"/>
      <c r="DS3708" s="24"/>
      <c r="DT3708" s="24"/>
      <c r="DU3708" s="24"/>
    </row>
    <row r="3709" spans="1:125" s="8" customFormat="1" ht="60" x14ac:dyDescent="0.2">
      <c r="A3709" s="77">
        <v>41598</v>
      </c>
      <c r="B3709" s="352" t="s">
        <v>2894</v>
      </c>
      <c r="C3709" s="354" t="s">
        <v>2815</v>
      </c>
      <c r="D3709" s="354" t="s">
        <v>3088</v>
      </c>
      <c r="E3709" s="75" t="str">
        <f>VLOOKUP(B3709&amp;C3709,Divipola!$C$2:$F$1138,4,FALSE)</f>
        <v>05736</v>
      </c>
      <c r="F3709" s="93"/>
      <c r="G3709" s="93">
        <v>5</v>
      </c>
      <c r="H3709" s="93"/>
      <c r="I3709" s="93">
        <v>5</v>
      </c>
      <c r="J3709" s="93"/>
      <c r="K3709" s="93"/>
      <c r="L3709" s="93"/>
      <c r="M3709" s="93"/>
      <c r="N3709" s="93"/>
      <c r="O3709" s="93"/>
      <c r="P3709" s="93"/>
      <c r="Q3709" s="93"/>
      <c r="R3709" s="93"/>
      <c r="S3709" s="93"/>
      <c r="T3709" s="93"/>
      <c r="U3709" s="93"/>
      <c r="V3709" s="89"/>
      <c r="W3709" s="96">
        <v>0</v>
      </c>
      <c r="X3709" s="71">
        <f>CU3709</f>
        <v>0</v>
      </c>
      <c r="Y3709" s="71">
        <f>CY3709</f>
        <v>0</v>
      </c>
      <c r="Z3709" s="71">
        <f>DA3709+DC3709+DE3709</f>
        <v>0</v>
      </c>
      <c r="AA3709" s="71">
        <f>CW3709</f>
        <v>0</v>
      </c>
      <c r="AB3709" s="71"/>
      <c r="AC3709" s="71">
        <v>0</v>
      </c>
      <c r="AD3709" s="71">
        <f>W3709+X3709+Y3709+Z3709+AA3709+AB3709+AC3709</f>
        <v>0</v>
      </c>
      <c r="AE3709" s="72">
        <v>0</v>
      </c>
      <c r="AF3709" s="5"/>
      <c r="AG3709" s="6"/>
      <c r="AH3709" s="27"/>
      <c r="AI3709" s="44"/>
      <c r="AJ3709" s="26"/>
      <c r="AK3709" s="5"/>
      <c r="AL3709" s="82" t="s">
        <v>6739</v>
      </c>
      <c r="AM3709" s="76"/>
      <c r="AN3709" s="76"/>
      <c r="AO3709" s="76"/>
      <c r="AP3709" s="76"/>
      <c r="AQ3709" s="76"/>
      <c r="AR3709" s="76"/>
      <c r="AS3709" s="76"/>
      <c r="AT3709" s="76"/>
      <c r="AU3709" s="76"/>
      <c r="AV3709" s="76"/>
      <c r="AW3709" s="76"/>
      <c r="AX3709" s="76">
        <f>+AW3709*600000</f>
        <v>0</v>
      </c>
      <c r="AY3709" s="76"/>
      <c r="AZ3709" s="76">
        <f>+AY3709*70000</f>
        <v>0</v>
      </c>
      <c r="BA3709" s="76"/>
      <c r="BB3709" s="76"/>
      <c r="BC3709" s="76"/>
      <c r="BD3709" s="76">
        <f>+BC3709*30000</f>
        <v>0</v>
      </c>
      <c r="BE3709" s="76"/>
      <c r="BF3709" s="76"/>
      <c r="BG3709" s="76"/>
      <c r="BH3709" s="76"/>
      <c r="BI3709" s="76"/>
      <c r="BJ3709" s="76"/>
      <c r="BK3709" s="76"/>
      <c r="BL3709" s="76">
        <f>+BK3709*31500</f>
        <v>0</v>
      </c>
      <c r="BM3709" s="76"/>
      <c r="BN3709" s="76"/>
      <c r="BO3709" s="76"/>
      <c r="BP3709" s="76"/>
      <c r="BQ3709" s="76"/>
      <c r="BR3709" s="76"/>
      <c r="BS3709" s="76"/>
      <c r="BT3709" s="76"/>
      <c r="BU3709" s="76"/>
      <c r="BV3709" s="76"/>
      <c r="BW3709" s="76"/>
      <c r="BX3709" s="76"/>
      <c r="BY3709" s="76"/>
      <c r="BZ3709" s="76"/>
      <c r="CA3709" s="76"/>
      <c r="CB3709" s="76"/>
      <c r="CC3709" s="76"/>
      <c r="CD3709" s="76"/>
      <c r="CE3709" s="76"/>
      <c r="CF3709" s="76">
        <f>+CE3709*28000</f>
        <v>0</v>
      </c>
      <c r="CG3709" s="76"/>
      <c r="CH3709" s="76">
        <f>+CG3709*22500</f>
        <v>0</v>
      </c>
      <c r="CI3709" s="76"/>
      <c r="CJ3709" s="76">
        <f>+CI3709*26000</f>
        <v>0</v>
      </c>
      <c r="CK3709" s="76"/>
      <c r="CL3709" s="76"/>
      <c r="CM3709" s="76"/>
      <c r="CN3709" s="76">
        <f>+CM3709*22000</f>
        <v>0</v>
      </c>
      <c r="CO3709" s="76"/>
      <c r="CP3709" s="76">
        <f>+CO3709*46000</f>
        <v>0</v>
      </c>
      <c r="CQ3709" s="76"/>
      <c r="CR3709" s="76">
        <f>+CQ3709*49000</f>
        <v>0</v>
      </c>
      <c r="CS3709" s="76"/>
      <c r="CT3709" s="76"/>
      <c r="CU3709" s="56">
        <f>AN3709+AP3709+AR3709+AT3709+AV3709+AX3709+AZ3709+BB3709+BD3709+BF3709+BH3709+BJ3709+BL3709+BN3709+BP3709+BR3709+BT3709+BV3709+BX3709+BZ3709+CB3709+CD3709+CF3709+CH3709+CJ3709+CL3709+CN3709+CP3709+CR3709+CT3709</f>
        <v>0</v>
      </c>
      <c r="CV3709" s="76"/>
      <c r="CW3709" s="76">
        <f>+CV3709*1100</f>
        <v>0</v>
      </c>
      <c r="CX3709" s="76"/>
      <c r="CY3709" s="76">
        <f>+CX3709*106250</f>
        <v>0</v>
      </c>
      <c r="CZ3709" s="76"/>
      <c r="DA3709" s="76">
        <f>+CZ3709*34500</f>
        <v>0</v>
      </c>
      <c r="DB3709" s="76"/>
      <c r="DC3709" s="76">
        <f>+DB3709*25000</f>
        <v>0</v>
      </c>
      <c r="DD3709" s="219"/>
      <c r="DE3709" s="219"/>
      <c r="DF3709" s="166"/>
      <c r="DG3709" s="116"/>
      <c r="DH3709" s="117"/>
      <c r="DI3709" s="24"/>
      <c r="DJ3709" s="24"/>
      <c r="DK3709" s="24"/>
      <c r="DL3709" s="24"/>
      <c r="DM3709" s="24"/>
      <c r="DN3709" s="24"/>
      <c r="DO3709" s="24"/>
      <c r="DP3709" s="24"/>
      <c r="DQ3709" s="24"/>
      <c r="DR3709" s="24"/>
      <c r="DS3709" s="24"/>
      <c r="DT3709" s="24"/>
      <c r="DU3709" s="24"/>
    </row>
    <row r="3710" spans="1:125" s="8" customFormat="1" ht="72" x14ac:dyDescent="0.2">
      <c r="A3710" s="77">
        <v>41598</v>
      </c>
      <c r="B3710" s="78" t="s">
        <v>2860</v>
      </c>
      <c r="C3710" s="75" t="s">
        <v>2198</v>
      </c>
      <c r="D3710" s="75" t="s">
        <v>2882</v>
      </c>
      <c r="E3710" s="75" t="str">
        <f>VLOOKUP(B3710&amp;C3710,Divipola!$C$2:$F$1138,4,FALSE)</f>
        <v>63130</v>
      </c>
      <c r="F3710" s="87"/>
      <c r="G3710" s="87"/>
      <c r="H3710" s="87"/>
      <c r="I3710" s="87">
        <v>170</v>
      </c>
      <c r="J3710" s="87">
        <v>34</v>
      </c>
      <c r="K3710" s="87"/>
      <c r="L3710" s="87">
        <v>34</v>
      </c>
      <c r="M3710" s="87"/>
      <c r="N3710" s="87"/>
      <c r="O3710" s="87"/>
      <c r="P3710" s="87"/>
      <c r="Q3710" s="87"/>
      <c r="R3710" s="87"/>
      <c r="S3710" s="87"/>
      <c r="T3710" s="87"/>
      <c r="U3710" s="88"/>
      <c r="V3710" s="89"/>
      <c r="W3710" s="96">
        <v>0</v>
      </c>
      <c r="X3710" s="71">
        <f>CU3710</f>
        <v>0</v>
      </c>
      <c r="Y3710" s="71">
        <f>CY3710</f>
        <v>0</v>
      </c>
      <c r="Z3710" s="71">
        <f>DA3710+DC3710+DE3710</f>
        <v>0</v>
      </c>
      <c r="AA3710" s="71">
        <f>CW3710</f>
        <v>0</v>
      </c>
      <c r="AB3710" s="71"/>
      <c r="AC3710" s="71">
        <v>0</v>
      </c>
      <c r="AD3710" s="71">
        <f>W3710+X3710+Y3710+Z3710+AA3710+AB3710+AC3710</f>
        <v>0</v>
      </c>
      <c r="AE3710" s="72">
        <v>0</v>
      </c>
      <c r="AF3710" s="5"/>
      <c r="AG3710" s="6"/>
      <c r="AH3710" s="27"/>
      <c r="AI3710" s="44"/>
      <c r="AJ3710" s="26"/>
      <c r="AK3710" s="5"/>
      <c r="AL3710" s="268" t="s">
        <v>6740</v>
      </c>
      <c r="AM3710" s="76"/>
      <c r="AN3710" s="76"/>
      <c r="AO3710" s="76"/>
      <c r="AP3710" s="76"/>
      <c r="AQ3710" s="76"/>
      <c r="AR3710" s="76"/>
      <c r="AS3710" s="76"/>
      <c r="AT3710" s="76"/>
      <c r="AU3710" s="76"/>
      <c r="AV3710" s="76"/>
      <c r="AW3710" s="76"/>
      <c r="AX3710" s="76">
        <f>+AW3710*600000</f>
        <v>0</v>
      </c>
      <c r="AY3710" s="76"/>
      <c r="AZ3710" s="76">
        <f>+AY3710*70000</f>
        <v>0</v>
      </c>
      <c r="BA3710" s="76"/>
      <c r="BB3710" s="76"/>
      <c r="BC3710" s="76"/>
      <c r="BD3710" s="76">
        <f>+BC3710*30000</f>
        <v>0</v>
      </c>
      <c r="BE3710" s="76"/>
      <c r="BF3710" s="76"/>
      <c r="BG3710" s="76"/>
      <c r="BH3710" s="76"/>
      <c r="BI3710" s="76"/>
      <c r="BJ3710" s="76"/>
      <c r="BK3710" s="76"/>
      <c r="BL3710" s="76">
        <f>+BK3710*31500</f>
        <v>0</v>
      </c>
      <c r="BM3710" s="76"/>
      <c r="BN3710" s="76"/>
      <c r="BO3710" s="76"/>
      <c r="BP3710" s="76"/>
      <c r="BQ3710" s="76"/>
      <c r="BR3710" s="76"/>
      <c r="BS3710" s="76"/>
      <c r="BT3710" s="76"/>
      <c r="BU3710" s="76"/>
      <c r="BV3710" s="76"/>
      <c r="BW3710" s="76"/>
      <c r="BX3710" s="76"/>
      <c r="BY3710" s="76"/>
      <c r="BZ3710" s="76"/>
      <c r="CA3710" s="76"/>
      <c r="CB3710" s="76"/>
      <c r="CC3710" s="76"/>
      <c r="CD3710" s="76"/>
      <c r="CE3710" s="76"/>
      <c r="CF3710" s="76">
        <f>+CE3710*28000</f>
        <v>0</v>
      </c>
      <c r="CG3710" s="76"/>
      <c r="CH3710" s="76">
        <f>+CG3710*22500</f>
        <v>0</v>
      </c>
      <c r="CI3710" s="76"/>
      <c r="CJ3710" s="76">
        <f>+CI3710*26000</f>
        <v>0</v>
      </c>
      <c r="CK3710" s="76"/>
      <c r="CL3710" s="76"/>
      <c r="CM3710" s="76"/>
      <c r="CN3710" s="76">
        <f>+CM3710*22000</f>
        <v>0</v>
      </c>
      <c r="CO3710" s="76"/>
      <c r="CP3710" s="76">
        <f>+CO3710*46000</f>
        <v>0</v>
      </c>
      <c r="CQ3710" s="76"/>
      <c r="CR3710" s="76">
        <f>+CQ3710*49000</f>
        <v>0</v>
      </c>
      <c r="CS3710" s="76"/>
      <c r="CT3710" s="76"/>
      <c r="CU3710" s="56">
        <f>AN3710+AP3710+AR3710+AT3710+AV3710+AX3710+AZ3710+BB3710+BD3710+BF3710+BH3710+BJ3710+BL3710+BN3710+BP3710+BR3710+BT3710+BV3710+BX3710+BZ3710+CB3710+CD3710+CF3710+CH3710+CJ3710+CL3710+CN3710+CP3710+CR3710+CT3710</f>
        <v>0</v>
      </c>
      <c r="CV3710" s="76"/>
      <c r="CW3710" s="76">
        <f>+CV3710*1100</f>
        <v>0</v>
      </c>
      <c r="CX3710" s="76"/>
      <c r="CY3710" s="76">
        <f>+CX3710*106250</f>
        <v>0</v>
      </c>
      <c r="CZ3710" s="76"/>
      <c r="DA3710" s="76">
        <f>+CZ3710*34500</f>
        <v>0</v>
      </c>
      <c r="DB3710" s="76"/>
      <c r="DC3710" s="76">
        <f>+DB3710*25000</f>
        <v>0</v>
      </c>
      <c r="DD3710" s="219"/>
      <c r="DE3710" s="219"/>
      <c r="DF3710" s="166"/>
      <c r="DG3710" s="116"/>
      <c r="DH3710" s="117"/>
      <c r="DI3710" s="24"/>
      <c r="DJ3710" s="24"/>
      <c r="DK3710" s="24"/>
      <c r="DL3710" s="24"/>
      <c r="DM3710" s="24"/>
      <c r="DN3710" s="24"/>
      <c r="DO3710" s="24"/>
      <c r="DP3710" s="24"/>
      <c r="DQ3710" s="24"/>
      <c r="DR3710" s="24"/>
      <c r="DS3710" s="24"/>
      <c r="DT3710" s="24"/>
      <c r="DU3710" s="24"/>
    </row>
    <row r="3711" spans="1:125" s="8" customFormat="1" ht="264" x14ac:dyDescent="0.2">
      <c r="A3711" s="353">
        <v>41598</v>
      </c>
      <c r="B3711" s="352" t="s">
        <v>2661</v>
      </c>
      <c r="C3711" s="354" t="s">
        <v>517</v>
      </c>
      <c r="D3711" s="354" t="s">
        <v>3463</v>
      </c>
      <c r="E3711" s="75" t="str">
        <f>VLOOKUP(B3711&amp;C3711,Divipola!$C$2:$F$1138,4,FALSE)</f>
        <v>41298</v>
      </c>
      <c r="F3711" s="87">
        <v>2</v>
      </c>
      <c r="G3711" s="87"/>
      <c r="H3711" s="87"/>
      <c r="I3711" s="87">
        <v>5</v>
      </c>
      <c r="J3711" s="87">
        <v>1</v>
      </c>
      <c r="K3711" s="87">
        <v>1</v>
      </c>
      <c r="L3711" s="87"/>
      <c r="M3711" s="87"/>
      <c r="N3711" s="87"/>
      <c r="O3711" s="87"/>
      <c r="P3711" s="87"/>
      <c r="Q3711" s="87"/>
      <c r="R3711" s="87"/>
      <c r="S3711" s="87"/>
      <c r="T3711" s="87"/>
      <c r="U3711" s="88"/>
      <c r="V3711" s="89"/>
      <c r="W3711" s="96">
        <v>0</v>
      </c>
      <c r="X3711" s="71">
        <f>CU3711</f>
        <v>0</v>
      </c>
      <c r="Y3711" s="71">
        <f>CY3711</f>
        <v>0</v>
      </c>
      <c r="Z3711" s="71">
        <f>DA3711+DC3711+DE3711</f>
        <v>0</v>
      </c>
      <c r="AA3711" s="71">
        <f>CW3711</f>
        <v>0</v>
      </c>
      <c r="AB3711" s="71"/>
      <c r="AC3711" s="71">
        <v>0</v>
      </c>
      <c r="AD3711" s="71">
        <f>W3711+X3711+Y3711+Z3711+AA3711+AB3711+AC3711</f>
        <v>0</v>
      </c>
      <c r="AE3711" s="72">
        <v>0</v>
      </c>
      <c r="AF3711" s="5"/>
      <c r="AG3711" s="6"/>
      <c r="AH3711" s="27"/>
      <c r="AI3711" s="44"/>
      <c r="AJ3711" s="26"/>
      <c r="AK3711" s="5"/>
      <c r="AL3711" s="82" t="s">
        <v>6754</v>
      </c>
      <c r="AM3711" s="76"/>
      <c r="AN3711" s="76"/>
      <c r="AO3711" s="76"/>
      <c r="AP3711" s="76"/>
      <c r="AQ3711" s="76"/>
      <c r="AR3711" s="76"/>
      <c r="AS3711" s="76"/>
      <c r="AT3711" s="76"/>
      <c r="AU3711" s="76"/>
      <c r="AV3711" s="76"/>
      <c r="AW3711" s="76"/>
      <c r="AX3711" s="76">
        <f>+AW3711*600000</f>
        <v>0</v>
      </c>
      <c r="AY3711" s="76"/>
      <c r="AZ3711" s="76">
        <f>+AY3711*70000</f>
        <v>0</v>
      </c>
      <c r="BA3711" s="76"/>
      <c r="BB3711" s="76"/>
      <c r="BC3711" s="76"/>
      <c r="BD3711" s="76">
        <f>+BC3711*30000</f>
        <v>0</v>
      </c>
      <c r="BE3711" s="76"/>
      <c r="BF3711" s="76"/>
      <c r="BG3711" s="76"/>
      <c r="BH3711" s="76"/>
      <c r="BI3711" s="76"/>
      <c r="BJ3711" s="76"/>
      <c r="BK3711" s="76"/>
      <c r="BL3711" s="76">
        <f>+BK3711*31500</f>
        <v>0</v>
      </c>
      <c r="BM3711" s="76"/>
      <c r="BN3711" s="76"/>
      <c r="BO3711" s="76"/>
      <c r="BP3711" s="76"/>
      <c r="BQ3711" s="76"/>
      <c r="BR3711" s="76"/>
      <c r="BS3711" s="76"/>
      <c r="BT3711" s="76"/>
      <c r="BU3711" s="76"/>
      <c r="BV3711" s="76"/>
      <c r="BW3711" s="76"/>
      <c r="BX3711" s="76"/>
      <c r="BY3711" s="76"/>
      <c r="BZ3711" s="76"/>
      <c r="CA3711" s="76"/>
      <c r="CB3711" s="76"/>
      <c r="CC3711" s="76"/>
      <c r="CD3711" s="76"/>
      <c r="CE3711" s="76"/>
      <c r="CF3711" s="76">
        <f>+CE3711*28000</f>
        <v>0</v>
      </c>
      <c r="CG3711" s="76"/>
      <c r="CH3711" s="76">
        <f>+CG3711*22500</f>
        <v>0</v>
      </c>
      <c r="CI3711" s="76"/>
      <c r="CJ3711" s="76">
        <f>+CI3711*26000</f>
        <v>0</v>
      </c>
      <c r="CK3711" s="76"/>
      <c r="CL3711" s="76"/>
      <c r="CM3711" s="76"/>
      <c r="CN3711" s="76">
        <f>+CM3711*22000</f>
        <v>0</v>
      </c>
      <c r="CO3711" s="76"/>
      <c r="CP3711" s="76">
        <f>+CO3711*46000</f>
        <v>0</v>
      </c>
      <c r="CQ3711" s="76"/>
      <c r="CR3711" s="76">
        <f>+CQ3711*49000</f>
        <v>0</v>
      </c>
      <c r="CS3711" s="76"/>
      <c r="CT3711" s="76"/>
      <c r="CU3711" s="56">
        <f>AN3711+AP3711+AR3711+AT3711+AV3711+AX3711+AZ3711+BB3711+BD3711+BF3711+BH3711+BJ3711+BL3711+BN3711+BP3711+BR3711+BT3711+BV3711+BX3711+BZ3711+CB3711+CD3711+CF3711+CH3711+CJ3711+CL3711+CN3711+CP3711+CR3711+CT3711</f>
        <v>0</v>
      </c>
      <c r="CV3711" s="76"/>
      <c r="CW3711" s="76">
        <f>+CV3711*1100</f>
        <v>0</v>
      </c>
      <c r="CX3711" s="76"/>
      <c r="CY3711" s="76">
        <f>+CX3711*106250</f>
        <v>0</v>
      </c>
      <c r="CZ3711" s="76"/>
      <c r="DA3711" s="76">
        <f>+CZ3711*34500</f>
        <v>0</v>
      </c>
      <c r="DB3711" s="76"/>
      <c r="DC3711" s="76">
        <f>+DB3711*25000</f>
        <v>0</v>
      </c>
      <c r="DD3711" s="219"/>
      <c r="DE3711" s="219"/>
      <c r="DF3711" s="166"/>
      <c r="DG3711" s="116"/>
      <c r="DH3711" s="117"/>
      <c r="DI3711" s="24"/>
      <c r="DJ3711" s="24"/>
      <c r="DK3711" s="24"/>
      <c r="DL3711" s="24"/>
      <c r="DM3711" s="24"/>
      <c r="DN3711" s="24"/>
      <c r="DO3711" s="24"/>
      <c r="DP3711" s="24"/>
      <c r="DQ3711" s="24"/>
      <c r="DR3711" s="24"/>
      <c r="DS3711" s="24"/>
      <c r="DT3711" s="24"/>
      <c r="DU3711" s="24"/>
    </row>
    <row r="3712" spans="1:125" s="8" customFormat="1" ht="156" x14ac:dyDescent="0.2">
      <c r="A3712" s="353">
        <v>41598</v>
      </c>
      <c r="B3712" s="352" t="s">
        <v>2847</v>
      </c>
      <c r="C3712" s="354" t="s">
        <v>1745</v>
      </c>
      <c r="D3712" s="354" t="s">
        <v>2846</v>
      </c>
      <c r="E3712" s="75" t="str">
        <f>VLOOKUP(B3712&amp;C3712,Divipola!$C$2:$F$1138,4,FALSE)</f>
        <v>68502</v>
      </c>
      <c r="F3712" s="87"/>
      <c r="G3712" s="87"/>
      <c r="H3712" s="87"/>
      <c r="I3712" s="87"/>
      <c r="J3712" s="87"/>
      <c r="K3712" s="87"/>
      <c r="L3712" s="87"/>
      <c r="M3712" s="87"/>
      <c r="N3712" s="87"/>
      <c r="O3712" s="87"/>
      <c r="P3712" s="87"/>
      <c r="Q3712" s="87"/>
      <c r="R3712" s="87"/>
      <c r="S3712" s="87"/>
      <c r="T3712" s="87"/>
      <c r="U3712" s="88">
        <v>25</v>
      </c>
      <c r="V3712" s="89"/>
      <c r="W3712" s="96">
        <v>0</v>
      </c>
      <c r="X3712" s="71">
        <f>CU3712</f>
        <v>0</v>
      </c>
      <c r="Y3712" s="71">
        <f>CY3712</f>
        <v>0</v>
      </c>
      <c r="Z3712" s="71">
        <f>DA3712+DC3712+DE3712</f>
        <v>0</v>
      </c>
      <c r="AA3712" s="71">
        <f>CW3712</f>
        <v>0</v>
      </c>
      <c r="AB3712" s="71"/>
      <c r="AC3712" s="71">
        <v>0</v>
      </c>
      <c r="AD3712" s="71">
        <f>W3712+X3712+Y3712+Z3712+AA3712+AB3712+AC3712</f>
        <v>0</v>
      </c>
      <c r="AE3712" s="72">
        <v>0</v>
      </c>
      <c r="AF3712" s="5"/>
      <c r="AG3712" s="6"/>
      <c r="AH3712" s="27"/>
      <c r="AI3712" s="44"/>
      <c r="AJ3712" s="26"/>
      <c r="AK3712" s="5"/>
      <c r="AL3712" s="82" t="s">
        <v>6751</v>
      </c>
      <c r="AM3712" s="76"/>
      <c r="AN3712" s="76"/>
      <c r="AO3712" s="76"/>
      <c r="AP3712" s="76"/>
      <c r="AQ3712" s="76"/>
      <c r="AR3712" s="76"/>
      <c r="AS3712" s="76"/>
      <c r="AT3712" s="76"/>
      <c r="AU3712" s="76"/>
      <c r="AV3712" s="76"/>
      <c r="AW3712" s="76"/>
      <c r="AX3712" s="76">
        <f>+AW3712*600000</f>
        <v>0</v>
      </c>
      <c r="AY3712" s="76"/>
      <c r="AZ3712" s="76">
        <f>+AY3712*70000</f>
        <v>0</v>
      </c>
      <c r="BA3712" s="76"/>
      <c r="BB3712" s="76"/>
      <c r="BC3712" s="76"/>
      <c r="BD3712" s="76">
        <f>+BC3712*30000</f>
        <v>0</v>
      </c>
      <c r="BE3712" s="76"/>
      <c r="BF3712" s="76"/>
      <c r="BG3712" s="76"/>
      <c r="BH3712" s="76"/>
      <c r="BI3712" s="76"/>
      <c r="BJ3712" s="76"/>
      <c r="BK3712" s="76"/>
      <c r="BL3712" s="76">
        <f>+BK3712*31500</f>
        <v>0</v>
      </c>
      <c r="BM3712" s="76"/>
      <c r="BN3712" s="76"/>
      <c r="BO3712" s="76"/>
      <c r="BP3712" s="76"/>
      <c r="BQ3712" s="76"/>
      <c r="BR3712" s="76"/>
      <c r="BS3712" s="76"/>
      <c r="BT3712" s="76"/>
      <c r="BU3712" s="76"/>
      <c r="BV3712" s="76"/>
      <c r="BW3712" s="76"/>
      <c r="BX3712" s="76"/>
      <c r="BY3712" s="76"/>
      <c r="BZ3712" s="76"/>
      <c r="CA3712" s="76"/>
      <c r="CB3712" s="76"/>
      <c r="CC3712" s="76"/>
      <c r="CD3712" s="76"/>
      <c r="CE3712" s="76"/>
      <c r="CF3712" s="76">
        <f>+CE3712*28000</f>
        <v>0</v>
      </c>
      <c r="CG3712" s="76"/>
      <c r="CH3712" s="76">
        <f>+CG3712*22500</f>
        <v>0</v>
      </c>
      <c r="CI3712" s="76"/>
      <c r="CJ3712" s="76">
        <f>+CI3712*26000</f>
        <v>0</v>
      </c>
      <c r="CK3712" s="76"/>
      <c r="CL3712" s="76"/>
      <c r="CM3712" s="76"/>
      <c r="CN3712" s="76">
        <f>+CM3712*22000</f>
        <v>0</v>
      </c>
      <c r="CO3712" s="76"/>
      <c r="CP3712" s="76">
        <f>+CO3712*46000</f>
        <v>0</v>
      </c>
      <c r="CQ3712" s="76"/>
      <c r="CR3712" s="76">
        <f>+CQ3712*49000</f>
        <v>0</v>
      </c>
      <c r="CS3712" s="76"/>
      <c r="CT3712" s="76"/>
      <c r="CU3712" s="56">
        <f>AN3712+AP3712+AR3712+AT3712+AV3712+AX3712+AZ3712+BB3712+BD3712+BF3712+BH3712+BJ3712+BL3712+BN3712+BP3712+BR3712+BT3712+BV3712+BX3712+BZ3712+CB3712+CD3712+CF3712+CH3712+CJ3712+CL3712+CN3712+CP3712+CR3712+CT3712</f>
        <v>0</v>
      </c>
      <c r="CV3712" s="76"/>
      <c r="CW3712" s="76">
        <f>+CV3712*1100</f>
        <v>0</v>
      </c>
      <c r="CX3712" s="76"/>
      <c r="CY3712" s="76">
        <f>+CX3712*106250</f>
        <v>0</v>
      </c>
      <c r="CZ3712" s="76"/>
      <c r="DA3712" s="76">
        <f>+CZ3712*34500</f>
        <v>0</v>
      </c>
      <c r="DB3712" s="76"/>
      <c r="DC3712" s="76">
        <f>+DB3712*25000</f>
        <v>0</v>
      </c>
      <c r="DD3712" s="219"/>
      <c r="DE3712" s="219"/>
      <c r="DF3712" s="166"/>
      <c r="DG3712" s="116"/>
      <c r="DH3712" s="117"/>
      <c r="DI3712" s="24"/>
      <c r="DJ3712" s="24"/>
      <c r="DK3712" s="24"/>
      <c r="DL3712" s="24"/>
      <c r="DM3712" s="24"/>
      <c r="DN3712" s="24"/>
      <c r="DO3712" s="24"/>
      <c r="DP3712" s="24"/>
      <c r="DQ3712" s="24"/>
      <c r="DR3712" s="24"/>
      <c r="DS3712" s="24"/>
      <c r="DT3712" s="24"/>
      <c r="DU3712" s="24"/>
    </row>
    <row r="3713" spans="1:125" s="8" customFormat="1" ht="168" x14ac:dyDescent="0.2">
      <c r="A3713" s="77">
        <v>41598</v>
      </c>
      <c r="B3713" s="352" t="s">
        <v>2851</v>
      </c>
      <c r="C3713" s="354" t="s">
        <v>2712</v>
      </c>
      <c r="D3713" s="354" t="s">
        <v>2882</v>
      </c>
      <c r="E3713" s="75" t="str">
        <f>VLOOKUP(B3713&amp;C3713,Divipola!$C$2:$F$1138,4,FALSE)</f>
        <v>76113</v>
      </c>
      <c r="F3713" s="87"/>
      <c r="G3713" s="87"/>
      <c r="H3713" s="87"/>
      <c r="I3713" s="87">
        <f>48*5</f>
        <v>240</v>
      </c>
      <c r="J3713" s="87">
        <v>48</v>
      </c>
      <c r="K3713" s="87"/>
      <c r="L3713" s="87">
        <v>48</v>
      </c>
      <c r="M3713" s="87"/>
      <c r="N3713" s="87"/>
      <c r="O3713" s="87"/>
      <c r="P3713" s="87"/>
      <c r="Q3713" s="87"/>
      <c r="R3713" s="87"/>
      <c r="S3713" s="87"/>
      <c r="T3713" s="87"/>
      <c r="U3713" s="88"/>
      <c r="V3713" s="89"/>
      <c r="W3713" s="96">
        <v>0</v>
      </c>
      <c r="X3713" s="71">
        <f>CU3713</f>
        <v>0</v>
      </c>
      <c r="Y3713" s="71">
        <f>CY3713</f>
        <v>0</v>
      </c>
      <c r="Z3713" s="71">
        <f>DA3713+DC3713+DE3713</f>
        <v>0</v>
      </c>
      <c r="AA3713" s="71">
        <f>CW3713</f>
        <v>0</v>
      </c>
      <c r="AB3713" s="71"/>
      <c r="AC3713" s="71">
        <v>0</v>
      </c>
      <c r="AD3713" s="71">
        <f>W3713+X3713+Y3713+Z3713+AA3713+AB3713+AC3713</f>
        <v>0</v>
      </c>
      <c r="AE3713" s="72">
        <v>0</v>
      </c>
      <c r="AF3713" s="5"/>
      <c r="AG3713" s="6"/>
      <c r="AH3713" s="27"/>
      <c r="AI3713" s="44"/>
      <c r="AJ3713" s="26"/>
      <c r="AK3713" s="5"/>
      <c r="AL3713" s="82" t="s">
        <v>6743</v>
      </c>
      <c r="AM3713" s="76"/>
      <c r="AN3713" s="76"/>
      <c r="AO3713" s="76"/>
      <c r="AP3713" s="76"/>
      <c r="AQ3713" s="76"/>
      <c r="AR3713" s="76"/>
      <c r="AS3713" s="76"/>
      <c r="AT3713" s="76"/>
      <c r="AU3713" s="76"/>
      <c r="AV3713" s="76"/>
      <c r="AW3713" s="76"/>
      <c r="AX3713" s="76">
        <f>+AW3713*600000</f>
        <v>0</v>
      </c>
      <c r="AY3713" s="76"/>
      <c r="AZ3713" s="76">
        <f>+AY3713*70000</f>
        <v>0</v>
      </c>
      <c r="BA3713" s="76"/>
      <c r="BB3713" s="76"/>
      <c r="BC3713" s="76"/>
      <c r="BD3713" s="76">
        <f>+BC3713*30000</f>
        <v>0</v>
      </c>
      <c r="BE3713" s="76"/>
      <c r="BF3713" s="76"/>
      <c r="BG3713" s="76"/>
      <c r="BH3713" s="76"/>
      <c r="BI3713" s="76"/>
      <c r="BJ3713" s="76"/>
      <c r="BK3713" s="76"/>
      <c r="BL3713" s="76">
        <f>+BK3713*31500</f>
        <v>0</v>
      </c>
      <c r="BM3713" s="76"/>
      <c r="BN3713" s="76"/>
      <c r="BO3713" s="76"/>
      <c r="BP3713" s="76"/>
      <c r="BQ3713" s="76"/>
      <c r="BR3713" s="76"/>
      <c r="BS3713" s="76"/>
      <c r="BT3713" s="76"/>
      <c r="BU3713" s="76"/>
      <c r="BV3713" s="76"/>
      <c r="BW3713" s="76"/>
      <c r="BX3713" s="76"/>
      <c r="BY3713" s="76"/>
      <c r="BZ3713" s="76"/>
      <c r="CA3713" s="76"/>
      <c r="CB3713" s="76"/>
      <c r="CC3713" s="76"/>
      <c r="CD3713" s="76"/>
      <c r="CE3713" s="76"/>
      <c r="CF3713" s="76">
        <f>+CE3713*28000</f>
        <v>0</v>
      </c>
      <c r="CG3713" s="76"/>
      <c r="CH3713" s="76">
        <f>+CG3713*22500</f>
        <v>0</v>
      </c>
      <c r="CI3713" s="76"/>
      <c r="CJ3713" s="76">
        <f>+CI3713*26000</f>
        <v>0</v>
      </c>
      <c r="CK3713" s="76"/>
      <c r="CL3713" s="76"/>
      <c r="CM3713" s="76"/>
      <c r="CN3713" s="76">
        <f>+CM3713*22000</f>
        <v>0</v>
      </c>
      <c r="CO3713" s="76"/>
      <c r="CP3713" s="76">
        <f>+CO3713*46000</f>
        <v>0</v>
      </c>
      <c r="CQ3713" s="76"/>
      <c r="CR3713" s="76">
        <f>+CQ3713*49000</f>
        <v>0</v>
      </c>
      <c r="CS3713" s="76"/>
      <c r="CT3713" s="76"/>
      <c r="CU3713" s="56">
        <f>AN3713+AP3713+AR3713+AT3713+AV3713+AX3713+AZ3713+BB3713+BD3713+BF3713+BH3713+BJ3713+BL3713+BN3713+BP3713+BR3713+BT3713+BV3713+BX3713+BZ3713+CB3713+CD3713+CF3713+CH3713+CJ3713+CL3713+CN3713+CP3713+CR3713+CT3713</f>
        <v>0</v>
      </c>
      <c r="CV3713" s="76"/>
      <c r="CW3713" s="76">
        <f>+CV3713*1100</f>
        <v>0</v>
      </c>
      <c r="CX3713" s="76"/>
      <c r="CY3713" s="76">
        <f>+CX3713*106250</f>
        <v>0</v>
      </c>
      <c r="CZ3713" s="76"/>
      <c r="DA3713" s="76">
        <f>+CZ3713*34500</f>
        <v>0</v>
      </c>
      <c r="DB3713" s="76"/>
      <c r="DC3713" s="76">
        <f>+DB3713*25000</f>
        <v>0</v>
      </c>
      <c r="DD3713" s="219"/>
      <c r="DE3713" s="219"/>
      <c r="DF3713" s="166"/>
      <c r="DG3713" s="116"/>
      <c r="DH3713" s="117"/>
      <c r="DI3713" s="24"/>
      <c r="DJ3713" s="24"/>
      <c r="DK3713" s="24"/>
      <c r="DL3713" s="24"/>
      <c r="DM3713" s="24"/>
      <c r="DN3713" s="24"/>
      <c r="DO3713" s="24"/>
      <c r="DP3713" s="24"/>
      <c r="DQ3713" s="24"/>
      <c r="DR3713" s="24"/>
      <c r="DS3713" s="24"/>
      <c r="DT3713" s="24"/>
      <c r="DU3713" s="24"/>
    </row>
    <row r="3714" spans="1:125" s="8" customFormat="1" ht="96" x14ac:dyDescent="0.2">
      <c r="A3714" s="353">
        <v>41599</v>
      </c>
      <c r="B3714" s="352" t="s">
        <v>2894</v>
      </c>
      <c r="C3714" s="354" t="s">
        <v>2032</v>
      </c>
      <c r="D3714" s="354" t="s">
        <v>2859</v>
      </c>
      <c r="E3714" s="75" t="str">
        <f>VLOOKUP(B3714&amp;C3714,Divipola!$C$2:$F$1138,4,FALSE)</f>
        <v>05001</v>
      </c>
      <c r="F3714" s="87"/>
      <c r="G3714" s="87"/>
      <c r="H3714" s="87"/>
      <c r="I3714" s="87">
        <v>5</v>
      </c>
      <c r="J3714" s="87">
        <v>1</v>
      </c>
      <c r="K3714" s="87">
        <v>1</v>
      </c>
      <c r="L3714" s="87"/>
      <c r="M3714" s="87"/>
      <c r="N3714" s="87"/>
      <c r="O3714" s="87"/>
      <c r="P3714" s="87"/>
      <c r="Q3714" s="87"/>
      <c r="R3714" s="87"/>
      <c r="S3714" s="87"/>
      <c r="T3714" s="87"/>
      <c r="U3714" s="88"/>
      <c r="V3714" s="89"/>
      <c r="W3714" s="96">
        <v>0</v>
      </c>
      <c r="X3714" s="71">
        <f>CU3714</f>
        <v>0</v>
      </c>
      <c r="Y3714" s="71">
        <f>CY3714</f>
        <v>0</v>
      </c>
      <c r="Z3714" s="71">
        <f>DA3714+DC3714+DE3714</f>
        <v>0</v>
      </c>
      <c r="AA3714" s="71">
        <f>CW3714</f>
        <v>0</v>
      </c>
      <c r="AB3714" s="71"/>
      <c r="AC3714" s="71">
        <v>0</v>
      </c>
      <c r="AD3714" s="71">
        <f>W3714+X3714+Y3714+Z3714+AA3714+AB3714+AC3714</f>
        <v>0</v>
      </c>
      <c r="AE3714" s="72">
        <v>0</v>
      </c>
      <c r="AF3714" s="5"/>
      <c r="AG3714" s="6"/>
      <c r="AH3714" s="27"/>
      <c r="AI3714" s="44"/>
      <c r="AJ3714" s="26"/>
      <c r="AK3714" s="5"/>
      <c r="AL3714" s="82" t="s">
        <v>6741</v>
      </c>
      <c r="AM3714" s="76"/>
      <c r="AN3714" s="76"/>
      <c r="AO3714" s="76"/>
      <c r="AP3714" s="76"/>
      <c r="AQ3714" s="76"/>
      <c r="AR3714" s="76"/>
      <c r="AS3714" s="76"/>
      <c r="AT3714" s="76"/>
      <c r="AU3714" s="76"/>
      <c r="AV3714" s="76"/>
      <c r="AW3714" s="76"/>
      <c r="AX3714" s="76">
        <f>+AW3714*600000</f>
        <v>0</v>
      </c>
      <c r="AY3714" s="76"/>
      <c r="AZ3714" s="76">
        <f>+AY3714*70000</f>
        <v>0</v>
      </c>
      <c r="BA3714" s="76"/>
      <c r="BB3714" s="76"/>
      <c r="BC3714" s="76"/>
      <c r="BD3714" s="76">
        <f>+BC3714*30000</f>
        <v>0</v>
      </c>
      <c r="BE3714" s="76"/>
      <c r="BF3714" s="76"/>
      <c r="BG3714" s="76"/>
      <c r="BH3714" s="76"/>
      <c r="BI3714" s="76"/>
      <c r="BJ3714" s="76"/>
      <c r="BK3714" s="76"/>
      <c r="BL3714" s="76">
        <f>+BK3714*31500</f>
        <v>0</v>
      </c>
      <c r="BM3714" s="76"/>
      <c r="BN3714" s="76"/>
      <c r="BO3714" s="76"/>
      <c r="BP3714" s="76"/>
      <c r="BQ3714" s="76"/>
      <c r="BR3714" s="76"/>
      <c r="BS3714" s="76"/>
      <c r="BT3714" s="76"/>
      <c r="BU3714" s="76"/>
      <c r="BV3714" s="76"/>
      <c r="BW3714" s="76"/>
      <c r="BX3714" s="76"/>
      <c r="BY3714" s="76"/>
      <c r="BZ3714" s="76"/>
      <c r="CA3714" s="76"/>
      <c r="CB3714" s="76"/>
      <c r="CC3714" s="76"/>
      <c r="CD3714" s="76"/>
      <c r="CE3714" s="76"/>
      <c r="CF3714" s="76">
        <f>+CE3714*28000</f>
        <v>0</v>
      </c>
      <c r="CG3714" s="76"/>
      <c r="CH3714" s="76">
        <f>+CG3714*22500</f>
        <v>0</v>
      </c>
      <c r="CI3714" s="76"/>
      <c r="CJ3714" s="76">
        <f>+CI3714*26000</f>
        <v>0</v>
      </c>
      <c r="CK3714" s="76"/>
      <c r="CL3714" s="76"/>
      <c r="CM3714" s="76"/>
      <c r="CN3714" s="76">
        <f>+CM3714*22000</f>
        <v>0</v>
      </c>
      <c r="CO3714" s="76"/>
      <c r="CP3714" s="76">
        <f>+CO3714*46000</f>
        <v>0</v>
      </c>
      <c r="CQ3714" s="76"/>
      <c r="CR3714" s="76">
        <f>+CQ3714*49000</f>
        <v>0</v>
      </c>
      <c r="CS3714" s="76"/>
      <c r="CT3714" s="76"/>
      <c r="CU3714" s="56">
        <f>AN3714+AP3714+AR3714+AT3714+AV3714+AX3714+AZ3714+BB3714+BD3714+BF3714+BH3714+BJ3714+BL3714+BN3714+BP3714+BR3714+BT3714+BV3714+BX3714+BZ3714+CB3714+CD3714+CF3714+CH3714+CJ3714+CL3714+CN3714+CP3714+CR3714+CT3714</f>
        <v>0</v>
      </c>
      <c r="CV3714" s="76"/>
      <c r="CW3714" s="76">
        <f>+CV3714*1100</f>
        <v>0</v>
      </c>
      <c r="CX3714" s="76"/>
      <c r="CY3714" s="76">
        <f>+CX3714*106250</f>
        <v>0</v>
      </c>
      <c r="CZ3714" s="76"/>
      <c r="DA3714" s="76">
        <f>+CZ3714*34500</f>
        <v>0</v>
      </c>
      <c r="DB3714" s="76"/>
      <c r="DC3714" s="76">
        <f>+DB3714*25000</f>
        <v>0</v>
      </c>
      <c r="DD3714" s="219"/>
      <c r="DE3714" s="219"/>
      <c r="DF3714" s="166"/>
      <c r="DG3714" s="116"/>
      <c r="DH3714" s="117"/>
      <c r="DI3714" s="24"/>
      <c r="DJ3714" s="24"/>
      <c r="DK3714" s="24"/>
      <c r="DL3714" s="24"/>
      <c r="DM3714" s="24"/>
      <c r="DN3714" s="24"/>
      <c r="DO3714" s="24"/>
      <c r="DP3714" s="24"/>
      <c r="DQ3714" s="24"/>
      <c r="DR3714" s="24"/>
      <c r="DS3714" s="24"/>
      <c r="DT3714" s="24"/>
      <c r="DU3714" s="24"/>
    </row>
    <row r="3715" spans="1:125" s="8" customFormat="1" ht="84" x14ac:dyDescent="0.2">
      <c r="A3715" s="77">
        <v>41599</v>
      </c>
      <c r="B3715" s="78" t="s">
        <v>2811</v>
      </c>
      <c r="C3715" s="75" t="s">
        <v>151</v>
      </c>
      <c r="D3715" s="75" t="s">
        <v>3017</v>
      </c>
      <c r="E3715" s="75" t="str">
        <f>VLOOKUP(B3715&amp;C3715,Divipola!$C$2:$F$1138,4,FALSE)</f>
        <v>52258</v>
      </c>
      <c r="F3715" s="87"/>
      <c r="G3715" s="87"/>
      <c r="H3715" s="87"/>
      <c r="I3715" s="87"/>
      <c r="J3715" s="87"/>
      <c r="K3715" s="87"/>
      <c r="L3715" s="87"/>
      <c r="M3715" s="87"/>
      <c r="N3715" s="87">
        <v>1</v>
      </c>
      <c r="O3715" s="87"/>
      <c r="P3715" s="87"/>
      <c r="Q3715" s="87"/>
      <c r="R3715" s="87"/>
      <c r="S3715" s="87"/>
      <c r="T3715" s="87"/>
      <c r="U3715" s="88"/>
      <c r="V3715" s="89"/>
      <c r="W3715" s="96">
        <v>0</v>
      </c>
      <c r="X3715" s="71">
        <f>CU3715</f>
        <v>0</v>
      </c>
      <c r="Y3715" s="71">
        <f>CY3715</f>
        <v>0</v>
      </c>
      <c r="Z3715" s="71">
        <f>DA3715+DC3715+DE3715</f>
        <v>0</v>
      </c>
      <c r="AA3715" s="71">
        <f>CW3715</f>
        <v>0</v>
      </c>
      <c r="AB3715" s="71"/>
      <c r="AC3715" s="71">
        <v>0</v>
      </c>
      <c r="AD3715" s="71">
        <f>W3715+X3715+Y3715+Z3715+AA3715+AB3715+AC3715</f>
        <v>0</v>
      </c>
      <c r="AE3715" s="72">
        <v>0</v>
      </c>
      <c r="AF3715" s="5"/>
      <c r="AG3715" s="6"/>
      <c r="AH3715" s="27"/>
      <c r="AI3715" s="44"/>
      <c r="AJ3715" s="26"/>
      <c r="AK3715" s="5"/>
      <c r="AL3715" s="82" t="s">
        <v>6742</v>
      </c>
      <c r="AM3715" s="76"/>
      <c r="AN3715" s="76"/>
      <c r="AO3715" s="76"/>
      <c r="AP3715" s="76"/>
      <c r="AQ3715" s="76"/>
      <c r="AR3715" s="76"/>
      <c r="AS3715" s="76"/>
      <c r="AT3715" s="76"/>
      <c r="AU3715" s="76"/>
      <c r="AV3715" s="76"/>
      <c r="AW3715" s="76"/>
      <c r="AX3715" s="76">
        <f>+AW3715*600000</f>
        <v>0</v>
      </c>
      <c r="AY3715" s="76"/>
      <c r="AZ3715" s="76">
        <f>+AY3715*70000</f>
        <v>0</v>
      </c>
      <c r="BA3715" s="76"/>
      <c r="BB3715" s="76"/>
      <c r="BC3715" s="76"/>
      <c r="BD3715" s="76">
        <f>+BC3715*30000</f>
        <v>0</v>
      </c>
      <c r="BE3715" s="76"/>
      <c r="BF3715" s="76"/>
      <c r="BG3715" s="76"/>
      <c r="BH3715" s="76"/>
      <c r="BI3715" s="76"/>
      <c r="BJ3715" s="76"/>
      <c r="BK3715" s="76"/>
      <c r="BL3715" s="76">
        <f>+BK3715*31500</f>
        <v>0</v>
      </c>
      <c r="BM3715" s="76"/>
      <c r="BN3715" s="76"/>
      <c r="BO3715" s="76"/>
      <c r="BP3715" s="76"/>
      <c r="BQ3715" s="76"/>
      <c r="BR3715" s="76"/>
      <c r="BS3715" s="76"/>
      <c r="BT3715" s="76"/>
      <c r="BU3715" s="76"/>
      <c r="BV3715" s="76"/>
      <c r="BW3715" s="76"/>
      <c r="BX3715" s="76"/>
      <c r="BY3715" s="76"/>
      <c r="BZ3715" s="76"/>
      <c r="CA3715" s="76"/>
      <c r="CB3715" s="76"/>
      <c r="CC3715" s="76"/>
      <c r="CD3715" s="76"/>
      <c r="CE3715" s="76"/>
      <c r="CF3715" s="76">
        <f>+CE3715*28000</f>
        <v>0</v>
      </c>
      <c r="CG3715" s="76"/>
      <c r="CH3715" s="76">
        <f>+CG3715*22500</f>
        <v>0</v>
      </c>
      <c r="CI3715" s="76"/>
      <c r="CJ3715" s="76">
        <f>+CI3715*26000</f>
        <v>0</v>
      </c>
      <c r="CK3715" s="76"/>
      <c r="CL3715" s="76"/>
      <c r="CM3715" s="76"/>
      <c r="CN3715" s="76">
        <f>+CM3715*22000</f>
        <v>0</v>
      </c>
      <c r="CO3715" s="76"/>
      <c r="CP3715" s="76">
        <f>+CO3715*46000</f>
        <v>0</v>
      </c>
      <c r="CQ3715" s="76"/>
      <c r="CR3715" s="76">
        <f>+CQ3715*49000</f>
        <v>0</v>
      </c>
      <c r="CS3715" s="76"/>
      <c r="CT3715" s="76"/>
      <c r="CU3715" s="56">
        <f>AN3715+AP3715+AR3715+AT3715+AV3715+AX3715+AZ3715+BB3715+BD3715+BF3715+BH3715+BJ3715+BL3715+BN3715+BP3715+BR3715+BT3715+BV3715+BX3715+BZ3715+CB3715+CD3715+CF3715+CH3715+CJ3715+CL3715+CN3715+CP3715+CR3715+CT3715</f>
        <v>0</v>
      </c>
      <c r="CV3715" s="76"/>
      <c r="CW3715" s="76">
        <f>+CV3715*1100</f>
        <v>0</v>
      </c>
      <c r="CX3715" s="76"/>
      <c r="CY3715" s="76">
        <f>+CX3715*106250</f>
        <v>0</v>
      </c>
      <c r="CZ3715" s="76"/>
      <c r="DA3715" s="76">
        <f>+CZ3715*34500</f>
        <v>0</v>
      </c>
      <c r="DB3715" s="76"/>
      <c r="DC3715" s="76">
        <f>+DB3715*25000</f>
        <v>0</v>
      </c>
      <c r="DD3715" s="219"/>
      <c r="DE3715" s="219"/>
      <c r="DF3715" s="166"/>
      <c r="DG3715" s="116"/>
      <c r="DH3715" s="117"/>
      <c r="DI3715" s="24"/>
      <c r="DJ3715" s="24"/>
      <c r="DK3715" s="24"/>
      <c r="DL3715" s="24"/>
      <c r="DM3715" s="24"/>
      <c r="DN3715" s="24"/>
      <c r="DO3715" s="24"/>
      <c r="DP3715" s="24"/>
      <c r="DQ3715" s="24"/>
      <c r="DR3715" s="24"/>
      <c r="DS3715" s="24"/>
      <c r="DT3715" s="24"/>
      <c r="DU3715" s="24"/>
    </row>
    <row r="3716" spans="1:125" s="8" customFormat="1" ht="48" x14ac:dyDescent="0.2">
      <c r="A3716" s="353">
        <v>41599</v>
      </c>
      <c r="B3716" s="352" t="s">
        <v>2860</v>
      </c>
      <c r="C3716" s="354" t="s">
        <v>2078</v>
      </c>
      <c r="D3716" s="354" t="s">
        <v>2882</v>
      </c>
      <c r="E3716" s="75" t="str">
        <f>VLOOKUP(B3716&amp;C3716,Divipola!$C$2:$F$1138,4,FALSE)</f>
        <v>63190</v>
      </c>
      <c r="F3716" s="87"/>
      <c r="G3716" s="87"/>
      <c r="H3716" s="87"/>
      <c r="I3716" s="87">
        <v>10</v>
      </c>
      <c r="J3716" s="87">
        <v>2</v>
      </c>
      <c r="K3716" s="87"/>
      <c r="L3716" s="87">
        <v>2</v>
      </c>
      <c r="M3716" s="87"/>
      <c r="N3716" s="87"/>
      <c r="O3716" s="87"/>
      <c r="P3716" s="87"/>
      <c r="Q3716" s="87"/>
      <c r="R3716" s="87"/>
      <c r="S3716" s="87"/>
      <c r="T3716" s="87"/>
      <c r="U3716" s="88"/>
      <c r="V3716" s="89"/>
      <c r="W3716" s="96">
        <v>0</v>
      </c>
      <c r="X3716" s="71">
        <f>CU3716</f>
        <v>0</v>
      </c>
      <c r="Y3716" s="71">
        <f>CY3716</f>
        <v>0</v>
      </c>
      <c r="Z3716" s="71">
        <f>DA3716+DC3716+DE3716</f>
        <v>0</v>
      </c>
      <c r="AA3716" s="71">
        <f>CW3716</f>
        <v>0</v>
      </c>
      <c r="AB3716" s="71"/>
      <c r="AC3716" s="71">
        <v>0</v>
      </c>
      <c r="AD3716" s="71">
        <f>W3716+X3716+Y3716+Z3716+AA3716+AB3716+AC3716</f>
        <v>0</v>
      </c>
      <c r="AE3716" s="72">
        <v>0</v>
      </c>
      <c r="AF3716" s="5"/>
      <c r="AG3716" s="6"/>
      <c r="AH3716" s="27"/>
      <c r="AI3716" s="44"/>
      <c r="AJ3716" s="26"/>
      <c r="AK3716" s="5"/>
      <c r="AL3716" s="82" t="s">
        <v>6753</v>
      </c>
      <c r="AM3716" s="76"/>
      <c r="AN3716" s="76"/>
      <c r="AO3716" s="76"/>
      <c r="AP3716" s="76"/>
      <c r="AQ3716" s="76"/>
      <c r="AR3716" s="76"/>
      <c r="AS3716" s="76"/>
      <c r="AT3716" s="76"/>
      <c r="AU3716" s="76"/>
      <c r="AV3716" s="76"/>
      <c r="AW3716" s="76"/>
      <c r="AX3716" s="76">
        <f>+AW3716*600000</f>
        <v>0</v>
      </c>
      <c r="AY3716" s="76"/>
      <c r="AZ3716" s="76">
        <f>+AY3716*70000</f>
        <v>0</v>
      </c>
      <c r="BA3716" s="76"/>
      <c r="BB3716" s="76"/>
      <c r="BC3716" s="76"/>
      <c r="BD3716" s="76">
        <f>+BC3716*30000</f>
        <v>0</v>
      </c>
      <c r="BE3716" s="76"/>
      <c r="BF3716" s="76"/>
      <c r="BG3716" s="76"/>
      <c r="BH3716" s="76"/>
      <c r="BI3716" s="76"/>
      <c r="BJ3716" s="76"/>
      <c r="BK3716" s="76"/>
      <c r="BL3716" s="76">
        <f>+BK3716*31500</f>
        <v>0</v>
      </c>
      <c r="BM3716" s="76"/>
      <c r="BN3716" s="76"/>
      <c r="BO3716" s="76"/>
      <c r="BP3716" s="76"/>
      <c r="BQ3716" s="76"/>
      <c r="BR3716" s="76"/>
      <c r="BS3716" s="76"/>
      <c r="BT3716" s="76"/>
      <c r="BU3716" s="76"/>
      <c r="BV3716" s="76"/>
      <c r="BW3716" s="76"/>
      <c r="BX3716" s="76"/>
      <c r="BY3716" s="76"/>
      <c r="BZ3716" s="76"/>
      <c r="CA3716" s="76"/>
      <c r="CB3716" s="76"/>
      <c r="CC3716" s="76"/>
      <c r="CD3716" s="76"/>
      <c r="CE3716" s="76"/>
      <c r="CF3716" s="76">
        <f>+CE3716*28000</f>
        <v>0</v>
      </c>
      <c r="CG3716" s="76"/>
      <c r="CH3716" s="76">
        <f>+CG3716*22500</f>
        <v>0</v>
      </c>
      <c r="CI3716" s="76"/>
      <c r="CJ3716" s="76">
        <f>+CI3716*26000</f>
        <v>0</v>
      </c>
      <c r="CK3716" s="76"/>
      <c r="CL3716" s="76"/>
      <c r="CM3716" s="76"/>
      <c r="CN3716" s="76">
        <f>+CM3716*22000</f>
        <v>0</v>
      </c>
      <c r="CO3716" s="76"/>
      <c r="CP3716" s="76">
        <f>+CO3716*46000</f>
        <v>0</v>
      </c>
      <c r="CQ3716" s="76"/>
      <c r="CR3716" s="76">
        <f>+CQ3716*49000</f>
        <v>0</v>
      </c>
      <c r="CS3716" s="76"/>
      <c r="CT3716" s="76"/>
      <c r="CU3716" s="56">
        <f>AN3716+AP3716+AR3716+AT3716+AV3716+AX3716+AZ3716+BB3716+BD3716+BF3716+BH3716+BJ3716+BL3716+BN3716+BP3716+BR3716+BT3716+BV3716+BX3716+BZ3716+CB3716+CD3716+CF3716+CH3716+CJ3716+CL3716+CN3716+CP3716+CR3716+CT3716</f>
        <v>0</v>
      </c>
      <c r="CV3716" s="76"/>
      <c r="CW3716" s="76">
        <f>+CV3716*1100</f>
        <v>0</v>
      </c>
      <c r="CX3716" s="76"/>
      <c r="CY3716" s="76">
        <f>+CX3716*106250</f>
        <v>0</v>
      </c>
      <c r="CZ3716" s="76"/>
      <c r="DA3716" s="76">
        <f>+CZ3716*34500</f>
        <v>0</v>
      </c>
      <c r="DB3716" s="76"/>
      <c r="DC3716" s="76">
        <f>+DB3716*25000</f>
        <v>0</v>
      </c>
      <c r="DD3716" s="219"/>
      <c r="DE3716" s="219"/>
      <c r="DF3716" s="166"/>
      <c r="DG3716" s="116"/>
      <c r="DH3716" s="117"/>
      <c r="DI3716" s="24"/>
      <c r="DJ3716" s="24"/>
      <c r="DK3716" s="24"/>
      <c r="DL3716" s="24"/>
      <c r="DM3716" s="24"/>
      <c r="DN3716" s="24"/>
      <c r="DO3716" s="24"/>
      <c r="DP3716" s="24"/>
      <c r="DQ3716" s="24"/>
      <c r="DR3716" s="24"/>
      <c r="DS3716" s="24"/>
      <c r="DT3716" s="24"/>
      <c r="DU3716" s="24"/>
    </row>
    <row r="3717" spans="1:125" s="8" customFormat="1" ht="60" x14ac:dyDescent="0.2">
      <c r="A3717" s="77">
        <v>41600</v>
      </c>
      <c r="B3717" s="78" t="s">
        <v>2881</v>
      </c>
      <c r="C3717" s="75" t="s">
        <v>490</v>
      </c>
      <c r="D3717" s="75" t="s">
        <v>2882</v>
      </c>
      <c r="E3717" s="75" t="str">
        <f>VLOOKUP(B3717&amp;C3717,Divipola!$C$2:$F$1138,4,FALSE)</f>
        <v>08606</v>
      </c>
      <c r="F3717" s="61"/>
      <c r="G3717" s="61"/>
      <c r="H3717" s="61"/>
      <c r="I3717" s="61"/>
      <c r="J3717" s="61"/>
      <c r="K3717" s="61"/>
      <c r="L3717" s="61"/>
      <c r="M3717" s="61"/>
      <c r="N3717" s="61"/>
      <c r="O3717" s="61"/>
      <c r="P3717" s="61"/>
      <c r="Q3717" s="61"/>
      <c r="R3717" s="61"/>
      <c r="S3717" s="61"/>
      <c r="T3717" s="61"/>
      <c r="U3717" s="61"/>
      <c r="V3717" s="7"/>
      <c r="W3717" s="96">
        <v>25800000</v>
      </c>
      <c r="X3717" s="71">
        <f>CU3717</f>
        <v>0</v>
      </c>
      <c r="Y3717" s="71">
        <f>CY3717</f>
        <v>0</v>
      </c>
      <c r="Z3717" s="71">
        <f>DA3717+DC3717+DE3717</f>
        <v>0</v>
      </c>
      <c r="AA3717" s="71">
        <f>CW3717</f>
        <v>0</v>
      </c>
      <c r="AB3717" s="71"/>
      <c r="AC3717" s="71">
        <v>0</v>
      </c>
      <c r="AD3717" s="71">
        <f>W3717+X3717+Y3717+Z3717+AA3717+AB3717+AC3717</f>
        <v>25800000</v>
      </c>
      <c r="AE3717" s="72">
        <v>0</v>
      </c>
      <c r="AF3717" s="5"/>
      <c r="AG3717" s="6"/>
      <c r="AH3717" s="27"/>
      <c r="AI3717" s="44"/>
      <c r="AJ3717" s="26"/>
      <c r="AK3717" s="5"/>
      <c r="AL3717" s="82" t="s">
        <v>6745</v>
      </c>
      <c r="AM3717" s="76"/>
      <c r="AN3717" s="76"/>
      <c r="AO3717" s="76"/>
      <c r="AP3717" s="76"/>
      <c r="AQ3717" s="76"/>
      <c r="AR3717" s="76"/>
      <c r="AS3717" s="76"/>
      <c r="AT3717" s="76"/>
      <c r="AU3717" s="76"/>
      <c r="AV3717" s="76"/>
      <c r="AW3717" s="76"/>
      <c r="AX3717" s="76">
        <f>+AW3717*600000</f>
        <v>0</v>
      </c>
      <c r="AY3717" s="76"/>
      <c r="AZ3717" s="76">
        <f>+AY3717*70000</f>
        <v>0</v>
      </c>
      <c r="BA3717" s="76"/>
      <c r="BB3717" s="76"/>
      <c r="BC3717" s="76"/>
      <c r="BD3717" s="76">
        <f>+BC3717*30000</f>
        <v>0</v>
      </c>
      <c r="BE3717" s="76"/>
      <c r="BF3717" s="76"/>
      <c r="BG3717" s="76"/>
      <c r="BH3717" s="76"/>
      <c r="BI3717" s="76"/>
      <c r="BJ3717" s="76"/>
      <c r="BK3717" s="76"/>
      <c r="BL3717" s="76">
        <f>+BK3717*31500</f>
        <v>0</v>
      </c>
      <c r="BM3717" s="76"/>
      <c r="BN3717" s="76"/>
      <c r="BO3717" s="76"/>
      <c r="BP3717" s="76"/>
      <c r="BQ3717" s="76"/>
      <c r="BR3717" s="76"/>
      <c r="BS3717" s="76"/>
      <c r="BT3717" s="76"/>
      <c r="BU3717" s="76"/>
      <c r="BV3717" s="76"/>
      <c r="BW3717" s="76"/>
      <c r="BX3717" s="76"/>
      <c r="BY3717" s="76"/>
      <c r="BZ3717" s="76"/>
      <c r="CA3717" s="76"/>
      <c r="CB3717" s="76"/>
      <c r="CC3717" s="76"/>
      <c r="CD3717" s="76"/>
      <c r="CE3717" s="76"/>
      <c r="CF3717" s="76">
        <f>+CE3717*28000</f>
        <v>0</v>
      </c>
      <c r="CG3717" s="76"/>
      <c r="CH3717" s="76">
        <f>+CG3717*22500</f>
        <v>0</v>
      </c>
      <c r="CI3717" s="76"/>
      <c r="CJ3717" s="76">
        <f>+CI3717*26000</f>
        <v>0</v>
      </c>
      <c r="CK3717" s="76"/>
      <c r="CL3717" s="76"/>
      <c r="CM3717" s="76"/>
      <c r="CN3717" s="76">
        <f>+CM3717*22000</f>
        <v>0</v>
      </c>
      <c r="CO3717" s="76"/>
      <c r="CP3717" s="76">
        <f>+CO3717*46000</f>
        <v>0</v>
      </c>
      <c r="CQ3717" s="76"/>
      <c r="CR3717" s="76">
        <f>+CQ3717*49000</f>
        <v>0</v>
      </c>
      <c r="CS3717" s="76"/>
      <c r="CT3717" s="76"/>
      <c r="CU3717" s="56">
        <f>AN3717+AP3717+AR3717+AT3717+AV3717+AX3717+AZ3717+BB3717+BD3717+BF3717+BH3717+BJ3717+BL3717+BN3717+BP3717+BR3717+BT3717+BV3717+BX3717+BZ3717+CB3717+CD3717+CF3717+CH3717+CJ3717+CL3717+CN3717+CP3717+CR3717+CT3717</f>
        <v>0</v>
      </c>
      <c r="CV3717" s="76"/>
      <c r="CW3717" s="76">
        <f>+CV3717*1100</f>
        <v>0</v>
      </c>
      <c r="CX3717" s="76"/>
      <c r="CY3717" s="76">
        <f>+CX3717*106250</f>
        <v>0</v>
      </c>
      <c r="CZ3717" s="76"/>
      <c r="DA3717" s="76">
        <f>+CZ3717*34500</f>
        <v>0</v>
      </c>
      <c r="DB3717" s="76"/>
      <c r="DC3717" s="76">
        <f>+DB3717*25000</f>
        <v>0</v>
      </c>
      <c r="DD3717" s="219"/>
      <c r="DE3717" s="219"/>
      <c r="DF3717" s="166"/>
      <c r="DG3717" s="116"/>
      <c r="DH3717" s="117"/>
      <c r="DI3717" s="24"/>
      <c r="DJ3717" s="24"/>
      <c r="DK3717" s="24"/>
      <c r="DL3717" s="24"/>
      <c r="DM3717" s="24"/>
      <c r="DN3717" s="24"/>
      <c r="DO3717" s="24"/>
      <c r="DP3717" s="24"/>
      <c r="DQ3717" s="24"/>
      <c r="DR3717" s="24"/>
      <c r="DS3717" s="24"/>
      <c r="DT3717" s="24"/>
      <c r="DU3717" s="24"/>
    </row>
    <row r="3718" spans="1:125" s="8" customFormat="1" ht="36" x14ac:dyDescent="0.2">
      <c r="A3718" s="77">
        <v>41600</v>
      </c>
      <c r="B3718" s="78" t="s">
        <v>2881</v>
      </c>
      <c r="C3718" s="75" t="s">
        <v>1407</v>
      </c>
      <c r="D3718" s="75" t="s">
        <v>3051</v>
      </c>
      <c r="E3718" s="75" t="str">
        <f>VLOOKUP(B3718&amp;C3718,Divipola!$C$2:$F$1138,4,FALSE)</f>
        <v>08372</v>
      </c>
      <c r="F3718" s="61"/>
      <c r="G3718" s="61"/>
      <c r="H3718" s="61"/>
      <c r="I3718" s="61"/>
      <c r="J3718" s="61"/>
      <c r="K3718" s="61"/>
      <c r="L3718" s="61"/>
      <c r="M3718" s="61"/>
      <c r="N3718" s="61"/>
      <c r="O3718" s="61"/>
      <c r="P3718" s="61"/>
      <c r="Q3718" s="61"/>
      <c r="R3718" s="61"/>
      <c r="S3718" s="61"/>
      <c r="T3718" s="61"/>
      <c r="U3718" s="61"/>
      <c r="V3718" s="7"/>
      <c r="W3718" s="96">
        <v>38400000</v>
      </c>
      <c r="X3718" s="71">
        <f>CU3718</f>
        <v>0</v>
      </c>
      <c r="Y3718" s="71">
        <f>CY3718</f>
        <v>0</v>
      </c>
      <c r="Z3718" s="71">
        <f>DA3718+DC3718+DE3718</f>
        <v>0</v>
      </c>
      <c r="AA3718" s="71">
        <f>CW3718</f>
        <v>0</v>
      </c>
      <c r="AB3718" s="71"/>
      <c r="AC3718" s="71">
        <v>0</v>
      </c>
      <c r="AD3718" s="71">
        <f>W3718+X3718+Y3718+Z3718+AA3718+AB3718+AC3718</f>
        <v>38400000</v>
      </c>
      <c r="AE3718" s="72">
        <v>0</v>
      </c>
      <c r="AF3718" s="5"/>
      <c r="AG3718" s="6"/>
      <c r="AH3718" s="27"/>
      <c r="AI3718" s="44"/>
      <c r="AJ3718" s="26"/>
      <c r="AK3718" s="5"/>
      <c r="AL3718" s="9" t="s">
        <v>6746</v>
      </c>
      <c r="AM3718" s="76"/>
      <c r="AN3718" s="76"/>
      <c r="AO3718" s="76"/>
      <c r="AP3718" s="76"/>
      <c r="AQ3718" s="76"/>
      <c r="AR3718" s="76"/>
      <c r="AS3718" s="76"/>
      <c r="AT3718" s="76"/>
      <c r="AU3718" s="76"/>
      <c r="AV3718" s="76"/>
      <c r="AW3718" s="76"/>
      <c r="AX3718" s="76">
        <f>+AW3718*600000</f>
        <v>0</v>
      </c>
      <c r="AY3718" s="76"/>
      <c r="AZ3718" s="76">
        <f>+AY3718*70000</f>
        <v>0</v>
      </c>
      <c r="BA3718" s="76"/>
      <c r="BB3718" s="76"/>
      <c r="BC3718" s="76"/>
      <c r="BD3718" s="76">
        <f>+BC3718*30000</f>
        <v>0</v>
      </c>
      <c r="BE3718" s="76"/>
      <c r="BF3718" s="76"/>
      <c r="BG3718" s="76"/>
      <c r="BH3718" s="76"/>
      <c r="BI3718" s="76"/>
      <c r="BJ3718" s="76"/>
      <c r="BK3718" s="76"/>
      <c r="BL3718" s="76">
        <f>+BK3718*31500</f>
        <v>0</v>
      </c>
      <c r="BM3718" s="76"/>
      <c r="BN3718" s="76"/>
      <c r="BO3718" s="76"/>
      <c r="BP3718" s="76"/>
      <c r="BQ3718" s="76"/>
      <c r="BR3718" s="76"/>
      <c r="BS3718" s="76"/>
      <c r="BT3718" s="76"/>
      <c r="BU3718" s="76"/>
      <c r="BV3718" s="76"/>
      <c r="BW3718" s="76"/>
      <c r="BX3718" s="76"/>
      <c r="BY3718" s="76"/>
      <c r="BZ3718" s="76"/>
      <c r="CA3718" s="76"/>
      <c r="CB3718" s="76"/>
      <c r="CC3718" s="76"/>
      <c r="CD3718" s="76"/>
      <c r="CE3718" s="76"/>
      <c r="CF3718" s="76">
        <f>+CE3718*28000</f>
        <v>0</v>
      </c>
      <c r="CG3718" s="76"/>
      <c r="CH3718" s="76">
        <f>+CG3718*22500</f>
        <v>0</v>
      </c>
      <c r="CI3718" s="76"/>
      <c r="CJ3718" s="76">
        <f>+CI3718*26000</f>
        <v>0</v>
      </c>
      <c r="CK3718" s="76"/>
      <c r="CL3718" s="76"/>
      <c r="CM3718" s="76"/>
      <c r="CN3718" s="76">
        <f>+CM3718*22000</f>
        <v>0</v>
      </c>
      <c r="CO3718" s="76"/>
      <c r="CP3718" s="76">
        <f>+CO3718*46000</f>
        <v>0</v>
      </c>
      <c r="CQ3718" s="76"/>
      <c r="CR3718" s="76">
        <f>+CQ3718*49000</f>
        <v>0</v>
      </c>
      <c r="CS3718" s="76"/>
      <c r="CT3718" s="76"/>
      <c r="CU3718" s="56">
        <f>AN3718+AP3718+AR3718+AT3718+AV3718+AX3718+AZ3718+BB3718+BD3718+BF3718+BH3718+BJ3718+BL3718+BN3718+BP3718+BR3718+BT3718+BV3718+BX3718+BZ3718+CB3718+CD3718+CF3718+CH3718+CJ3718+CL3718+CN3718+CP3718+CR3718+CT3718</f>
        <v>0</v>
      </c>
      <c r="CV3718" s="76"/>
      <c r="CW3718" s="76">
        <f>+CV3718*1100</f>
        <v>0</v>
      </c>
      <c r="CX3718" s="76"/>
      <c r="CY3718" s="76">
        <f>+CX3718*106250</f>
        <v>0</v>
      </c>
      <c r="CZ3718" s="76"/>
      <c r="DA3718" s="76">
        <f>+CZ3718*34500</f>
        <v>0</v>
      </c>
      <c r="DB3718" s="76"/>
      <c r="DC3718" s="76">
        <f>+DB3718*25000</f>
        <v>0</v>
      </c>
      <c r="DD3718" s="219"/>
      <c r="DE3718" s="219"/>
      <c r="DF3718" s="166"/>
      <c r="DG3718" s="116"/>
      <c r="DH3718" s="117"/>
      <c r="DI3718" s="24"/>
      <c r="DJ3718" s="24"/>
      <c r="DK3718" s="24"/>
      <c r="DL3718" s="24"/>
      <c r="DM3718" s="24"/>
      <c r="DN3718" s="24"/>
      <c r="DO3718" s="24"/>
      <c r="DP3718" s="24"/>
      <c r="DQ3718" s="24"/>
      <c r="DR3718" s="24"/>
      <c r="DS3718" s="24"/>
      <c r="DT3718" s="24"/>
      <c r="DU3718" s="24"/>
    </row>
    <row r="3719" spans="1:125" s="8" customFormat="1" ht="132" x14ac:dyDescent="0.2">
      <c r="A3719" s="353">
        <v>41600</v>
      </c>
      <c r="B3719" s="352" t="s">
        <v>2854</v>
      </c>
      <c r="C3719" s="354" t="s">
        <v>881</v>
      </c>
      <c r="D3719" s="354" t="s">
        <v>3051</v>
      </c>
      <c r="E3719" s="75" t="str">
        <f>VLOOKUP(B3719&amp;C3719,Divipola!$C$2:$F$1138,4,FALSE)</f>
        <v>19809</v>
      </c>
      <c r="F3719" s="87"/>
      <c r="G3719" s="87"/>
      <c r="H3719" s="87"/>
      <c r="I3719" s="87"/>
      <c r="J3719" s="87"/>
      <c r="K3719" s="87"/>
      <c r="L3719" s="87"/>
      <c r="M3719" s="87"/>
      <c r="N3719" s="87"/>
      <c r="O3719" s="87"/>
      <c r="P3719" s="87"/>
      <c r="Q3719" s="87"/>
      <c r="R3719" s="87"/>
      <c r="S3719" s="87"/>
      <c r="T3719" s="87"/>
      <c r="U3719" s="88"/>
      <c r="V3719" s="89"/>
      <c r="W3719" s="96">
        <v>0</v>
      </c>
      <c r="X3719" s="71">
        <f>CU3719</f>
        <v>0</v>
      </c>
      <c r="Y3719" s="71">
        <f>CY3719</f>
        <v>0</v>
      </c>
      <c r="Z3719" s="71">
        <f>DA3719+DC3719+DE3719</f>
        <v>0</v>
      </c>
      <c r="AA3719" s="71">
        <f>CW3719</f>
        <v>0</v>
      </c>
      <c r="AB3719" s="71"/>
      <c r="AC3719" s="71">
        <v>0</v>
      </c>
      <c r="AD3719" s="71">
        <f>W3719+X3719+Y3719+Z3719+AA3719+AB3719+AC3719</f>
        <v>0</v>
      </c>
      <c r="AE3719" s="72">
        <v>0</v>
      </c>
      <c r="AF3719" s="5"/>
      <c r="AG3719" s="6"/>
      <c r="AH3719" s="27"/>
      <c r="AI3719" s="44"/>
      <c r="AJ3719" s="26"/>
      <c r="AK3719" s="5"/>
      <c r="AL3719" s="9" t="s">
        <v>6748</v>
      </c>
      <c r="AM3719" s="76"/>
      <c r="AN3719" s="76"/>
      <c r="AO3719" s="76"/>
      <c r="AP3719" s="76"/>
      <c r="AQ3719" s="76"/>
      <c r="AR3719" s="76"/>
      <c r="AS3719" s="76"/>
      <c r="AT3719" s="76"/>
      <c r="AU3719" s="76"/>
      <c r="AV3719" s="76"/>
      <c r="AW3719" s="76"/>
      <c r="AX3719" s="76">
        <f>+AW3719*600000</f>
        <v>0</v>
      </c>
      <c r="AY3719" s="76"/>
      <c r="AZ3719" s="76">
        <f>+AY3719*70000</f>
        <v>0</v>
      </c>
      <c r="BA3719" s="76"/>
      <c r="BB3719" s="76"/>
      <c r="BC3719" s="76"/>
      <c r="BD3719" s="76">
        <f>+BC3719*30000</f>
        <v>0</v>
      </c>
      <c r="BE3719" s="76"/>
      <c r="BF3719" s="76"/>
      <c r="BG3719" s="76"/>
      <c r="BH3719" s="76"/>
      <c r="BI3719" s="76"/>
      <c r="BJ3719" s="76"/>
      <c r="BK3719" s="76"/>
      <c r="BL3719" s="76">
        <f>+BK3719*31500</f>
        <v>0</v>
      </c>
      <c r="BM3719" s="76"/>
      <c r="BN3719" s="76"/>
      <c r="BO3719" s="76"/>
      <c r="BP3719" s="76"/>
      <c r="BQ3719" s="76"/>
      <c r="BR3719" s="76"/>
      <c r="BS3719" s="76"/>
      <c r="BT3719" s="76"/>
      <c r="BU3719" s="76"/>
      <c r="BV3719" s="76"/>
      <c r="BW3719" s="76"/>
      <c r="BX3719" s="76"/>
      <c r="BY3719" s="76"/>
      <c r="BZ3719" s="76"/>
      <c r="CA3719" s="76"/>
      <c r="CB3719" s="76"/>
      <c r="CC3719" s="76"/>
      <c r="CD3719" s="76"/>
      <c r="CE3719" s="76"/>
      <c r="CF3719" s="76">
        <f>+CE3719*28000</f>
        <v>0</v>
      </c>
      <c r="CG3719" s="76"/>
      <c r="CH3719" s="76">
        <f>+CG3719*22500</f>
        <v>0</v>
      </c>
      <c r="CI3719" s="76"/>
      <c r="CJ3719" s="76">
        <f>+CI3719*26000</f>
        <v>0</v>
      </c>
      <c r="CK3719" s="76"/>
      <c r="CL3719" s="76"/>
      <c r="CM3719" s="76"/>
      <c r="CN3719" s="76">
        <f>+CM3719*22000</f>
        <v>0</v>
      </c>
      <c r="CO3719" s="76"/>
      <c r="CP3719" s="76">
        <f>+CO3719*46000</f>
        <v>0</v>
      </c>
      <c r="CQ3719" s="76"/>
      <c r="CR3719" s="76">
        <f>+CQ3719*49000</f>
        <v>0</v>
      </c>
      <c r="CS3719" s="76"/>
      <c r="CT3719" s="76"/>
      <c r="CU3719" s="56">
        <f>AN3719+AP3719+AR3719+AT3719+AV3719+AX3719+AZ3719+BB3719+BD3719+BF3719+BH3719+BJ3719+BL3719+BN3719+BP3719+BR3719+BT3719+BV3719+BX3719+BZ3719+CB3719+CD3719+CF3719+CH3719+CJ3719+CL3719+CN3719+CP3719+CR3719+CT3719</f>
        <v>0</v>
      </c>
      <c r="CV3719" s="76"/>
      <c r="CW3719" s="76">
        <f>+CV3719*1100</f>
        <v>0</v>
      </c>
      <c r="CX3719" s="76"/>
      <c r="CY3719" s="76">
        <f>+CX3719*106250</f>
        <v>0</v>
      </c>
      <c r="CZ3719" s="76"/>
      <c r="DA3719" s="76">
        <f>+CZ3719*34500</f>
        <v>0</v>
      </c>
      <c r="DB3719" s="76"/>
      <c r="DC3719" s="76">
        <f>+DB3719*25000</f>
        <v>0</v>
      </c>
      <c r="DD3719" s="219"/>
      <c r="DE3719" s="219"/>
      <c r="DF3719" s="166"/>
      <c r="DG3719" s="116"/>
      <c r="DH3719" s="117"/>
      <c r="DI3719" s="24"/>
      <c r="DJ3719" s="24"/>
      <c r="DK3719" s="24"/>
      <c r="DL3719" s="24"/>
      <c r="DM3719" s="24"/>
      <c r="DN3719" s="24"/>
      <c r="DO3719" s="24"/>
      <c r="DP3719" s="24"/>
      <c r="DQ3719" s="24"/>
      <c r="DR3719" s="24"/>
      <c r="DS3719" s="24"/>
      <c r="DT3719" s="24"/>
      <c r="DU3719" s="24"/>
    </row>
    <row r="3720" spans="1:125" s="8" customFormat="1" ht="84" x14ac:dyDescent="0.2">
      <c r="A3720" s="77">
        <v>41600</v>
      </c>
      <c r="B3720" s="352" t="s">
        <v>2774</v>
      </c>
      <c r="C3720" s="354" t="s">
        <v>284</v>
      </c>
      <c r="D3720" s="354" t="s">
        <v>2859</v>
      </c>
      <c r="E3720" s="75" t="str">
        <f>VLOOKUP(B3720&amp;C3720,Divipola!$C$2:$F$1138,4,FALSE)</f>
        <v>66170</v>
      </c>
      <c r="F3720" s="87"/>
      <c r="G3720" s="87">
        <v>3</v>
      </c>
      <c r="H3720" s="87"/>
      <c r="I3720" s="87">
        <v>5</v>
      </c>
      <c r="J3720" s="87">
        <v>1</v>
      </c>
      <c r="K3720" s="87"/>
      <c r="L3720" s="87">
        <v>1</v>
      </c>
      <c r="M3720" s="87"/>
      <c r="N3720" s="87"/>
      <c r="O3720" s="87"/>
      <c r="P3720" s="87"/>
      <c r="Q3720" s="87"/>
      <c r="R3720" s="87"/>
      <c r="S3720" s="87"/>
      <c r="T3720" s="87"/>
      <c r="U3720" s="88"/>
      <c r="V3720" s="89"/>
      <c r="W3720" s="96">
        <v>0</v>
      </c>
      <c r="X3720" s="71">
        <f>CU3720</f>
        <v>0</v>
      </c>
      <c r="Y3720" s="71">
        <f>CY3720</f>
        <v>0</v>
      </c>
      <c r="Z3720" s="71">
        <f>DA3720+DC3720+DE3720</f>
        <v>0</v>
      </c>
      <c r="AA3720" s="71">
        <f>CW3720</f>
        <v>0</v>
      </c>
      <c r="AB3720" s="71"/>
      <c r="AC3720" s="71">
        <v>0</v>
      </c>
      <c r="AD3720" s="71">
        <f>W3720+X3720+Y3720+Z3720+AA3720+AB3720+AC3720</f>
        <v>0</v>
      </c>
      <c r="AE3720" s="72">
        <v>0</v>
      </c>
      <c r="AF3720" s="5"/>
      <c r="AG3720" s="6"/>
      <c r="AH3720" s="27"/>
      <c r="AI3720" s="44"/>
      <c r="AJ3720" s="26"/>
      <c r="AK3720" s="5"/>
      <c r="AL3720" s="9" t="s">
        <v>6749</v>
      </c>
      <c r="AM3720" s="76"/>
      <c r="AN3720" s="76"/>
      <c r="AO3720" s="76"/>
      <c r="AP3720" s="76"/>
      <c r="AQ3720" s="76"/>
      <c r="AR3720" s="76"/>
      <c r="AS3720" s="76"/>
      <c r="AT3720" s="76"/>
      <c r="AU3720" s="76"/>
      <c r="AV3720" s="76"/>
      <c r="AW3720" s="76"/>
      <c r="AX3720" s="76">
        <f>+AW3720*600000</f>
        <v>0</v>
      </c>
      <c r="AY3720" s="76"/>
      <c r="AZ3720" s="76">
        <f>+AY3720*70000</f>
        <v>0</v>
      </c>
      <c r="BA3720" s="76"/>
      <c r="BB3720" s="76"/>
      <c r="BC3720" s="76"/>
      <c r="BD3720" s="76">
        <f>+BC3720*30000</f>
        <v>0</v>
      </c>
      <c r="BE3720" s="76"/>
      <c r="BF3720" s="76"/>
      <c r="BG3720" s="76"/>
      <c r="BH3720" s="76"/>
      <c r="BI3720" s="76"/>
      <c r="BJ3720" s="76"/>
      <c r="BK3720" s="76"/>
      <c r="BL3720" s="76">
        <f>+BK3720*31500</f>
        <v>0</v>
      </c>
      <c r="BM3720" s="76"/>
      <c r="BN3720" s="76"/>
      <c r="BO3720" s="76"/>
      <c r="BP3720" s="76"/>
      <c r="BQ3720" s="76"/>
      <c r="BR3720" s="76"/>
      <c r="BS3720" s="76"/>
      <c r="BT3720" s="76"/>
      <c r="BU3720" s="76"/>
      <c r="BV3720" s="76"/>
      <c r="BW3720" s="76"/>
      <c r="BX3720" s="76"/>
      <c r="BY3720" s="76"/>
      <c r="BZ3720" s="76"/>
      <c r="CA3720" s="76"/>
      <c r="CB3720" s="76"/>
      <c r="CC3720" s="76"/>
      <c r="CD3720" s="76"/>
      <c r="CE3720" s="76"/>
      <c r="CF3720" s="76">
        <f>+CE3720*28000</f>
        <v>0</v>
      </c>
      <c r="CG3720" s="76"/>
      <c r="CH3720" s="76">
        <f>+CG3720*22500</f>
        <v>0</v>
      </c>
      <c r="CI3720" s="76"/>
      <c r="CJ3720" s="76">
        <f>+CI3720*26000</f>
        <v>0</v>
      </c>
      <c r="CK3720" s="76"/>
      <c r="CL3720" s="76"/>
      <c r="CM3720" s="76"/>
      <c r="CN3720" s="76">
        <f>+CM3720*22000</f>
        <v>0</v>
      </c>
      <c r="CO3720" s="76"/>
      <c r="CP3720" s="76">
        <f>+CO3720*46000</f>
        <v>0</v>
      </c>
      <c r="CQ3720" s="76"/>
      <c r="CR3720" s="76">
        <f>+CQ3720*49000</f>
        <v>0</v>
      </c>
      <c r="CS3720" s="76"/>
      <c r="CT3720" s="76"/>
      <c r="CU3720" s="56">
        <f>AN3720+AP3720+AR3720+AT3720+AV3720+AX3720+AZ3720+BB3720+BD3720+BF3720+BH3720+BJ3720+BL3720+BN3720+BP3720+BR3720+BT3720+BV3720+BX3720+BZ3720+CB3720+CD3720+CF3720+CH3720+CJ3720+CL3720+CN3720+CP3720+CR3720+CT3720</f>
        <v>0</v>
      </c>
      <c r="CV3720" s="76"/>
      <c r="CW3720" s="76">
        <f>+CV3720*1100</f>
        <v>0</v>
      </c>
      <c r="CX3720" s="76"/>
      <c r="CY3720" s="76">
        <f>+CX3720*106250</f>
        <v>0</v>
      </c>
      <c r="CZ3720" s="76"/>
      <c r="DA3720" s="76">
        <f>+CZ3720*34500</f>
        <v>0</v>
      </c>
      <c r="DB3720" s="76"/>
      <c r="DC3720" s="76">
        <f>+DB3720*25000</f>
        <v>0</v>
      </c>
      <c r="DD3720" s="219"/>
      <c r="DE3720" s="219"/>
      <c r="DF3720" s="166"/>
      <c r="DG3720" s="116"/>
      <c r="DH3720" s="117"/>
      <c r="DI3720" s="24"/>
      <c r="DJ3720" s="24"/>
      <c r="DK3720" s="24"/>
      <c r="DL3720" s="24"/>
      <c r="DM3720" s="24"/>
      <c r="DN3720" s="24"/>
      <c r="DO3720" s="24"/>
      <c r="DP3720" s="24"/>
      <c r="DQ3720" s="24"/>
      <c r="DR3720" s="24"/>
      <c r="DS3720" s="24"/>
      <c r="DT3720" s="24"/>
      <c r="DU3720" s="24"/>
    </row>
    <row r="3721" spans="1:125" s="8" customFormat="1" ht="132" x14ac:dyDescent="0.2">
      <c r="A3721" s="353">
        <v>41600</v>
      </c>
      <c r="B3721" s="352" t="s">
        <v>2848</v>
      </c>
      <c r="C3721" s="354" t="s">
        <v>2791</v>
      </c>
      <c r="D3721" s="354" t="s">
        <v>3088</v>
      </c>
      <c r="E3721" s="75" t="str">
        <f>VLOOKUP(B3721&amp;C3721,Divipola!$C$2:$F$1138,4,FALSE)</f>
        <v>73585</v>
      </c>
      <c r="F3721" s="87"/>
      <c r="G3721" s="87"/>
      <c r="H3721" s="87"/>
      <c r="I3721" s="87"/>
      <c r="J3721" s="87"/>
      <c r="K3721" s="87"/>
      <c r="L3721" s="87"/>
      <c r="M3721" s="87">
        <v>1</v>
      </c>
      <c r="N3721" s="87"/>
      <c r="O3721" s="87"/>
      <c r="P3721" s="87"/>
      <c r="Q3721" s="87"/>
      <c r="R3721" s="87"/>
      <c r="S3721" s="87"/>
      <c r="T3721" s="87"/>
      <c r="U3721" s="88"/>
      <c r="V3721" s="89"/>
      <c r="W3721" s="96">
        <v>0</v>
      </c>
      <c r="X3721" s="71">
        <f>CU3721</f>
        <v>0</v>
      </c>
      <c r="Y3721" s="71">
        <f>CY3721</f>
        <v>0</v>
      </c>
      <c r="Z3721" s="71">
        <f>DA3721+DC3721+DE3721</f>
        <v>0</v>
      </c>
      <c r="AA3721" s="71">
        <f>CW3721</f>
        <v>0</v>
      </c>
      <c r="AB3721" s="71"/>
      <c r="AC3721" s="71">
        <v>0</v>
      </c>
      <c r="AD3721" s="71">
        <f>W3721+X3721+Y3721+Z3721+AA3721+AB3721+AC3721</f>
        <v>0</v>
      </c>
      <c r="AE3721" s="72">
        <v>0</v>
      </c>
      <c r="AF3721" s="5"/>
      <c r="AG3721" s="6"/>
      <c r="AH3721" s="27"/>
      <c r="AI3721" s="44"/>
      <c r="AJ3721" s="26"/>
      <c r="AK3721" s="5"/>
      <c r="AL3721" s="9" t="s">
        <v>6750</v>
      </c>
      <c r="AM3721" s="76"/>
      <c r="AN3721" s="76"/>
      <c r="AO3721" s="76"/>
      <c r="AP3721" s="76"/>
      <c r="AQ3721" s="76"/>
      <c r="AR3721" s="76"/>
      <c r="AS3721" s="76"/>
      <c r="AT3721" s="76"/>
      <c r="AU3721" s="76"/>
      <c r="AV3721" s="76"/>
      <c r="AW3721" s="76"/>
      <c r="AX3721" s="76">
        <f>+AW3721*600000</f>
        <v>0</v>
      </c>
      <c r="AY3721" s="76"/>
      <c r="AZ3721" s="76">
        <f>+AY3721*70000</f>
        <v>0</v>
      </c>
      <c r="BA3721" s="76"/>
      <c r="BB3721" s="76"/>
      <c r="BC3721" s="76"/>
      <c r="BD3721" s="76">
        <f>+BC3721*30000</f>
        <v>0</v>
      </c>
      <c r="BE3721" s="76"/>
      <c r="BF3721" s="76"/>
      <c r="BG3721" s="76"/>
      <c r="BH3721" s="76"/>
      <c r="BI3721" s="76"/>
      <c r="BJ3721" s="76"/>
      <c r="BK3721" s="76"/>
      <c r="BL3721" s="76">
        <f>+BK3721*31500</f>
        <v>0</v>
      </c>
      <c r="BM3721" s="76"/>
      <c r="BN3721" s="76"/>
      <c r="BO3721" s="76"/>
      <c r="BP3721" s="76"/>
      <c r="BQ3721" s="76"/>
      <c r="BR3721" s="76"/>
      <c r="BS3721" s="76"/>
      <c r="BT3721" s="76"/>
      <c r="BU3721" s="76"/>
      <c r="BV3721" s="76"/>
      <c r="BW3721" s="76"/>
      <c r="BX3721" s="76"/>
      <c r="BY3721" s="76"/>
      <c r="BZ3721" s="76"/>
      <c r="CA3721" s="76"/>
      <c r="CB3721" s="76"/>
      <c r="CC3721" s="76"/>
      <c r="CD3721" s="76"/>
      <c r="CE3721" s="76"/>
      <c r="CF3721" s="76">
        <f>+CE3721*28000</f>
        <v>0</v>
      </c>
      <c r="CG3721" s="76"/>
      <c r="CH3721" s="76">
        <f>+CG3721*22500</f>
        <v>0</v>
      </c>
      <c r="CI3721" s="76"/>
      <c r="CJ3721" s="76">
        <f>+CI3721*26000</f>
        <v>0</v>
      </c>
      <c r="CK3721" s="76"/>
      <c r="CL3721" s="76"/>
      <c r="CM3721" s="76"/>
      <c r="CN3721" s="76">
        <f>+CM3721*22000</f>
        <v>0</v>
      </c>
      <c r="CO3721" s="76"/>
      <c r="CP3721" s="76">
        <f>+CO3721*46000</f>
        <v>0</v>
      </c>
      <c r="CQ3721" s="76"/>
      <c r="CR3721" s="76">
        <f>+CQ3721*49000</f>
        <v>0</v>
      </c>
      <c r="CS3721" s="76"/>
      <c r="CT3721" s="76"/>
      <c r="CU3721" s="56">
        <f>AN3721+AP3721+AR3721+AT3721+AV3721+AX3721+AZ3721+BB3721+BD3721+BF3721+BH3721+BJ3721+BL3721+BN3721+BP3721+BR3721+BT3721+BV3721+BX3721+BZ3721+CB3721+CD3721+CF3721+CH3721+CJ3721+CL3721+CN3721+CP3721+CR3721+CT3721</f>
        <v>0</v>
      </c>
      <c r="CV3721" s="76"/>
      <c r="CW3721" s="76">
        <f>+CV3721*1100</f>
        <v>0</v>
      </c>
      <c r="CX3721" s="76"/>
      <c r="CY3721" s="76">
        <f>+CX3721*106250</f>
        <v>0</v>
      </c>
      <c r="CZ3721" s="76"/>
      <c r="DA3721" s="76">
        <f>+CZ3721*34500</f>
        <v>0</v>
      </c>
      <c r="DB3721" s="76"/>
      <c r="DC3721" s="76">
        <f>+DB3721*25000</f>
        <v>0</v>
      </c>
      <c r="DD3721" s="219"/>
      <c r="DE3721" s="219"/>
      <c r="DF3721" s="166"/>
      <c r="DG3721" s="116"/>
      <c r="DH3721" s="117"/>
      <c r="DI3721" s="24"/>
      <c r="DJ3721" s="24"/>
      <c r="DK3721" s="24"/>
      <c r="DL3721" s="24"/>
      <c r="DM3721" s="24"/>
      <c r="DN3721" s="24"/>
      <c r="DO3721" s="24"/>
      <c r="DP3721" s="24"/>
      <c r="DQ3721" s="24"/>
      <c r="DR3721" s="24"/>
      <c r="DS3721" s="24"/>
      <c r="DT3721" s="24"/>
      <c r="DU3721" s="24"/>
    </row>
    <row r="3722" spans="1:125" s="8" customFormat="1" ht="72" x14ac:dyDescent="0.2">
      <c r="A3722" s="77">
        <v>41600</v>
      </c>
      <c r="B3722" s="78" t="s">
        <v>2851</v>
      </c>
      <c r="C3722" s="75" t="s">
        <v>107</v>
      </c>
      <c r="D3722" s="75" t="s">
        <v>3425</v>
      </c>
      <c r="E3722" s="75" t="str">
        <f>VLOOKUP(B3722&amp;C3722,Divipola!$C$2:$F$1138,4,FALSE)</f>
        <v>76606</v>
      </c>
      <c r="F3722" s="87">
        <v>1</v>
      </c>
      <c r="G3722" s="87">
        <v>3</v>
      </c>
      <c r="H3722" s="87"/>
      <c r="I3722" s="87"/>
      <c r="J3722" s="87"/>
      <c r="K3722" s="61"/>
      <c r="L3722" s="61"/>
      <c r="M3722" s="61"/>
      <c r="N3722" s="61"/>
      <c r="O3722" s="61"/>
      <c r="P3722" s="61"/>
      <c r="Q3722" s="61"/>
      <c r="R3722" s="61"/>
      <c r="S3722" s="61"/>
      <c r="T3722" s="61"/>
      <c r="U3722" s="61"/>
      <c r="V3722" s="7"/>
      <c r="W3722" s="96">
        <v>0</v>
      </c>
      <c r="X3722" s="71">
        <f>CU3722</f>
        <v>0</v>
      </c>
      <c r="Y3722" s="71">
        <f>CY3722</f>
        <v>0</v>
      </c>
      <c r="Z3722" s="71">
        <f>DA3722+DC3722+DE3722</f>
        <v>0</v>
      </c>
      <c r="AA3722" s="71">
        <f>CW3722</f>
        <v>0</v>
      </c>
      <c r="AB3722" s="71"/>
      <c r="AC3722" s="71">
        <v>0</v>
      </c>
      <c r="AD3722" s="71">
        <f>W3722+X3722+Y3722+Z3722+AA3722+AB3722+AC3722</f>
        <v>0</v>
      </c>
      <c r="AE3722" s="72">
        <v>0</v>
      </c>
      <c r="AF3722" s="5"/>
      <c r="AG3722" s="6"/>
      <c r="AH3722" s="27"/>
      <c r="AI3722" s="44"/>
      <c r="AJ3722" s="26"/>
      <c r="AK3722" s="5"/>
      <c r="AL3722" s="315" t="s">
        <v>6755</v>
      </c>
      <c r="AM3722" s="76"/>
      <c r="AN3722" s="76"/>
      <c r="AO3722" s="76"/>
      <c r="AP3722" s="76"/>
      <c r="AQ3722" s="76"/>
      <c r="AR3722" s="76"/>
      <c r="AS3722" s="76"/>
      <c r="AT3722" s="76"/>
      <c r="AU3722" s="76"/>
      <c r="AV3722" s="76"/>
      <c r="AW3722" s="76"/>
      <c r="AX3722" s="76">
        <f>+AW3722*600000</f>
        <v>0</v>
      </c>
      <c r="AY3722" s="76"/>
      <c r="AZ3722" s="76">
        <f>+AY3722*70000</f>
        <v>0</v>
      </c>
      <c r="BA3722" s="76"/>
      <c r="BB3722" s="76"/>
      <c r="BC3722" s="76"/>
      <c r="BD3722" s="76">
        <f>+BC3722*30000</f>
        <v>0</v>
      </c>
      <c r="BE3722" s="76"/>
      <c r="BF3722" s="76"/>
      <c r="BG3722" s="76"/>
      <c r="BH3722" s="76"/>
      <c r="BI3722" s="76"/>
      <c r="BJ3722" s="76"/>
      <c r="BK3722" s="76"/>
      <c r="BL3722" s="76">
        <f>+BK3722*31500</f>
        <v>0</v>
      </c>
      <c r="BM3722" s="76"/>
      <c r="BN3722" s="76"/>
      <c r="BO3722" s="76"/>
      <c r="BP3722" s="76"/>
      <c r="BQ3722" s="76"/>
      <c r="BR3722" s="76"/>
      <c r="BS3722" s="76"/>
      <c r="BT3722" s="76"/>
      <c r="BU3722" s="76"/>
      <c r="BV3722" s="76"/>
      <c r="BW3722" s="76"/>
      <c r="BX3722" s="76"/>
      <c r="BY3722" s="76"/>
      <c r="BZ3722" s="76"/>
      <c r="CA3722" s="76"/>
      <c r="CB3722" s="76"/>
      <c r="CC3722" s="76"/>
      <c r="CD3722" s="76"/>
      <c r="CE3722" s="76"/>
      <c r="CF3722" s="76">
        <f>+CE3722*28000</f>
        <v>0</v>
      </c>
      <c r="CG3722" s="76"/>
      <c r="CH3722" s="76">
        <f>+CG3722*22500</f>
        <v>0</v>
      </c>
      <c r="CI3722" s="76"/>
      <c r="CJ3722" s="76">
        <f>+CI3722*26000</f>
        <v>0</v>
      </c>
      <c r="CK3722" s="76"/>
      <c r="CL3722" s="76"/>
      <c r="CM3722" s="76"/>
      <c r="CN3722" s="76">
        <f>+CM3722*22000</f>
        <v>0</v>
      </c>
      <c r="CO3722" s="76"/>
      <c r="CP3722" s="76">
        <f>+CO3722*46000</f>
        <v>0</v>
      </c>
      <c r="CQ3722" s="76"/>
      <c r="CR3722" s="76">
        <f>+CQ3722*49000</f>
        <v>0</v>
      </c>
      <c r="CS3722" s="76"/>
      <c r="CT3722" s="76"/>
      <c r="CU3722" s="56">
        <f>AN3722+AP3722+AR3722+AT3722+AV3722+AX3722+AZ3722+BB3722+BD3722+BF3722+BH3722+BJ3722+BL3722+BN3722+BP3722+BR3722+BT3722+BV3722+BX3722+BZ3722+CB3722+CD3722+CF3722+CH3722+CJ3722+CL3722+CN3722+CP3722+CR3722+CT3722</f>
        <v>0</v>
      </c>
      <c r="CV3722" s="76"/>
      <c r="CW3722" s="76">
        <f>+CV3722*1100</f>
        <v>0</v>
      </c>
      <c r="CX3722" s="76"/>
      <c r="CY3722" s="76">
        <f>+CX3722*106250</f>
        <v>0</v>
      </c>
      <c r="CZ3722" s="76"/>
      <c r="DA3722" s="76">
        <f>+CZ3722*34500</f>
        <v>0</v>
      </c>
      <c r="DB3722" s="76"/>
      <c r="DC3722" s="76">
        <f>+DB3722*25000</f>
        <v>0</v>
      </c>
      <c r="DD3722" s="219"/>
      <c r="DE3722" s="219"/>
      <c r="DF3722" s="166"/>
      <c r="DG3722" s="116"/>
      <c r="DH3722" s="117"/>
      <c r="DI3722" s="24"/>
      <c r="DJ3722" s="24"/>
      <c r="DK3722" s="24"/>
      <c r="DL3722" s="24"/>
      <c r="DM3722" s="24"/>
      <c r="DN3722" s="24"/>
      <c r="DO3722" s="24"/>
      <c r="DP3722" s="24"/>
      <c r="DQ3722" s="24"/>
      <c r="DR3722" s="24"/>
      <c r="DS3722" s="24"/>
      <c r="DT3722" s="24"/>
      <c r="DU3722" s="24"/>
    </row>
    <row r="3723" spans="1:125" s="8" customFormat="1" ht="108" x14ac:dyDescent="0.2">
      <c r="A3723" s="77">
        <v>41601</v>
      </c>
      <c r="B3723" s="78" t="s">
        <v>529</v>
      </c>
      <c r="C3723" s="75" t="s">
        <v>529</v>
      </c>
      <c r="D3723" s="75" t="s">
        <v>3051</v>
      </c>
      <c r="E3723" s="75" t="str">
        <f>VLOOKUP(B3723&amp;C3723,Divipola!$C$2:$F$1138,4,FALSE)</f>
        <v>11001</v>
      </c>
      <c r="F3723" s="87"/>
      <c r="G3723" s="87"/>
      <c r="H3723" s="87"/>
      <c r="I3723" s="87">
        <v>16</v>
      </c>
      <c r="J3723" s="87">
        <v>3</v>
      </c>
      <c r="K3723" s="87"/>
      <c r="L3723" s="87">
        <v>3</v>
      </c>
      <c r="M3723" s="87"/>
      <c r="N3723" s="87"/>
      <c r="O3723" s="87"/>
      <c r="P3723" s="87"/>
      <c r="Q3723" s="87"/>
      <c r="R3723" s="87"/>
      <c r="S3723" s="87"/>
      <c r="T3723" s="87"/>
      <c r="U3723" s="88"/>
      <c r="V3723" s="89"/>
      <c r="W3723" s="96">
        <v>0</v>
      </c>
      <c r="X3723" s="71">
        <f>CU3723</f>
        <v>0</v>
      </c>
      <c r="Y3723" s="71">
        <f>CY3723</f>
        <v>0</v>
      </c>
      <c r="Z3723" s="71">
        <f>DA3723+DC3723+DE3723</f>
        <v>0</v>
      </c>
      <c r="AA3723" s="71">
        <f>CW3723</f>
        <v>0</v>
      </c>
      <c r="AB3723" s="71"/>
      <c r="AC3723" s="71">
        <v>0</v>
      </c>
      <c r="AD3723" s="71">
        <f>W3723+X3723+Y3723+Z3723+AA3723+AB3723+AC3723</f>
        <v>0</v>
      </c>
      <c r="AE3723" s="72">
        <v>0</v>
      </c>
      <c r="AF3723" s="5"/>
      <c r="AG3723" s="6"/>
      <c r="AH3723" s="27"/>
      <c r="AI3723" s="44"/>
      <c r="AJ3723" s="26"/>
      <c r="AK3723" s="5"/>
      <c r="AL3723" s="268" t="s">
        <v>6756</v>
      </c>
      <c r="AM3723" s="76"/>
      <c r="AN3723" s="76"/>
      <c r="AO3723" s="76"/>
      <c r="AP3723" s="76"/>
      <c r="AQ3723" s="76"/>
      <c r="AR3723" s="76"/>
      <c r="AS3723" s="76"/>
      <c r="AT3723" s="76"/>
      <c r="AU3723" s="76"/>
      <c r="AV3723" s="76"/>
      <c r="AW3723" s="76"/>
      <c r="AX3723" s="76">
        <f>+AW3723*600000</f>
        <v>0</v>
      </c>
      <c r="AY3723" s="76"/>
      <c r="AZ3723" s="76">
        <f>+AY3723*70000</f>
        <v>0</v>
      </c>
      <c r="BA3723" s="76"/>
      <c r="BB3723" s="76"/>
      <c r="BC3723" s="76"/>
      <c r="BD3723" s="76">
        <f>+BC3723*30000</f>
        <v>0</v>
      </c>
      <c r="BE3723" s="76"/>
      <c r="BF3723" s="76"/>
      <c r="BG3723" s="76"/>
      <c r="BH3723" s="76"/>
      <c r="BI3723" s="76"/>
      <c r="BJ3723" s="76"/>
      <c r="BK3723" s="76"/>
      <c r="BL3723" s="76">
        <f>+BK3723*31500</f>
        <v>0</v>
      </c>
      <c r="BM3723" s="76"/>
      <c r="BN3723" s="76"/>
      <c r="BO3723" s="76"/>
      <c r="BP3723" s="76"/>
      <c r="BQ3723" s="76"/>
      <c r="BR3723" s="76"/>
      <c r="BS3723" s="76"/>
      <c r="BT3723" s="76"/>
      <c r="BU3723" s="76"/>
      <c r="BV3723" s="76"/>
      <c r="BW3723" s="76"/>
      <c r="BX3723" s="76"/>
      <c r="BY3723" s="76"/>
      <c r="BZ3723" s="76"/>
      <c r="CA3723" s="76"/>
      <c r="CB3723" s="76"/>
      <c r="CC3723" s="76"/>
      <c r="CD3723" s="76"/>
      <c r="CE3723" s="76"/>
      <c r="CF3723" s="76">
        <f>+CE3723*28000</f>
        <v>0</v>
      </c>
      <c r="CG3723" s="76"/>
      <c r="CH3723" s="76">
        <f>+CG3723*22500</f>
        <v>0</v>
      </c>
      <c r="CI3723" s="76"/>
      <c r="CJ3723" s="76">
        <f>+CI3723*26000</f>
        <v>0</v>
      </c>
      <c r="CK3723" s="76"/>
      <c r="CL3723" s="76"/>
      <c r="CM3723" s="76"/>
      <c r="CN3723" s="76">
        <f>+CM3723*22000</f>
        <v>0</v>
      </c>
      <c r="CO3723" s="76"/>
      <c r="CP3723" s="76">
        <f>+CO3723*46000</f>
        <v>0</v>
      </c>
      <c r="CQ3723" s="76"/>
      <c r="CR3723" s="76">
        <f>+CQ3723*49000</f>
        <v>0</v>
      </c>
      <c r="CS3723" s="76"/>
      <c r="CT3723" s="76"/>
      <c r="CU3723" s="56">
        <f>AN3723+AP3723+AR3723+AT3723+AV3723+AX3723+AZ3723+BB3723+BD3723+BF3723+BH3723+BJ3723+BL3723+BN3723+BP3723+BR3723+BT3723+BV3723+BX3723+BZ3723+CB3723+CD3723+CF3723+CH3723+CJ3723+CL3723+CN3723+CP3723+CR3723+CT3723</f>
        <v>0</v>
      </c>
      <c r="CV3723" s="76"/>
      <c r="CW3723" s="76">
        <f>+CV3723*1100</f>
        <v>0</v>
      </c>
      <c r="CX3723" s="76"/>
      <c r="CY3723" s="76">
        <f>+CX3723*106250</f>
        <v>0</v>
      </c>
      <c r="CZ3723" s="76"/>
      <c r="DA3723" s="76">
        <f>+CZ3723*34500</f>
        <v>0</v>
      </c>
      <c r="DB3723" s="76"/>
      <c r="DC3723" s="76">
        <f>+DB3723*25000</f>
        <v>0</v>
      </c>
      <c r="DD3723" s="219"/>
      <c r="DE3723" s="219"/>
      <c r="DF3723" s="166"/>
      <c r="DG3723" s="116"/>
      <c r="DH3723" s="117"/>
      <c r="DI3723" s="24"/>
      <c r="DJ3723" s="24"/>
      <c r="DK3723" s="24"/>
      <c r="DL3723" s="24"/>
      <c r="DM3723" s="24"/>
      <c r="DN3723" s="24"/>
      <c r="DO3723" s="24"/>
      <c r="DP3723" s="24"/>
      <c r="DQ3723" s="24"/>
      <c r="DR3723" s="24"/>
      <c r="DS3723" s="24"/>
      <c r="DT3723" s="24"/>
      <c r="DU3723" s="24"/>
    </row>
    <row r="3724" spans="1:125" s="8" customFormat="1" ht="72" x14ac:dyDescent="0.2">
      <c r="A3724" s="77">
        <v>41601</v>
      </c>
      <c r="B3724" s="78" t="s">
        <v>2847</v>
      </c>
      <c r="C3724" s="75" t="s">
        <v>479</v>
      </c>
      <c r="D3724" s="75" t="s">
        <v>2846</v>
      </c>
      <c r="E3724" s="75" t="str">
        <f>VLOOKUP(B3724&amp;C3724,Divipola!$C$2:$F$1138,4,FALSE)</f>
        <v>68547</v>
      </c>
      <c r="F3724" s="87"/>
      <c r="G3724" s="87"/>
      <c r="H3724" s="87"/>
      <c r="I3724" s="87"/>
      <c r="J3724" s="87"/>
      <c r="K3724" s="87"/>
      <c r="L3724" s="87"/>
      <c r="M3724" s="87"/>
      <c r="N3724" s="87"/>
      <c r="O3724" s="87"/>
      <c r="P3724" s="87"/>
      <c r="Q3724" s="87"/>
      <c r="R3724" s="87"/>
      <c r="S3724" s="87"/>
      <c r="T3724" s="87"/>
      <c r="U3724" s="88">
        <v>3</v>
      </c>
      <c r="V3724" s="89"/>
      <c r="W3724" s="96">
        <v>0</v>
      </c>
      <c r="X3724" s="71">
        <f>CU3724</f>
        <v>0</v>
      </c>
      <c r="Y3724" s="71">
        <f>CY3724</f>
        <v>0</v>
      </c>
      <c r="Z3724" s="71">
        <f>DA3724+DC3724+DE3724</f>
        <v>0</v>
      </c>
      <c r="AA3724" s="71">
        <f>CW3724</f>
        <v>0</v>
      </c>
      <c r="AB3724" s="71"/>
      <c r="AC3724" s="71">
        <v>0</v>
      </c>
      <c r="AD3724" s="71">
        <f>W3724+X3724+Y3724+Z3724+AA3724+AB3724+AC3724</f>
        <v>0</v>
      </c>
      <c r="AE3724" s="72">
        <v>0</v>
      </c>
      <c r="AF3724" s="5"/>
      <c r="AG3724" s="6"/>
      <c r="AH3724" s="27"/>
      <c r="AI3724" s="44"/>
      <c r="AJ3724" s="26"/>
      <c r="AK3724" s="5"/>
      <c r="AL3724" s="268" t="s">
        <v>6757</v>
      </c>
      <c r="AM3724" s="76"/>
      <c r="AN3724" s="76"/>
      <c r="AO3724" s="76"/>
      <c r="AP3724" s="76"/>
      <c r="AQ3724" s="76"/>
      <c r="AR3724" s="76"/>
      <c r="AS3724" s="76"/>
      <c r="AT3724" s="76"/>
      <c r="AU3724" s="76"/>
      <c r="AV3724" s="76"/>
      <c r="AW3724" s="76"/>
      <c r="AX3724" s="76">
        <f>+AW3724*600000</f>
        <v>0</v>
      </c>
      <c r="AY3724" s="76"/>
      <c r="AZ3724" s="76">
        <f>+AY3724*70000</f>
        <v>0</v>
      </c>
      <c r="BA3724" s="76"/>
      <c r="BB3724" s="76"/>
      <c r="BC3724" s="76"/>
      <c r="BD3724" s="76">
        <f>+BC3724*30000</f>
        <v>0</v>
      </c>
      <c r="BE3724" s="76"/>
      <c r="BF3724" s="76"/>
      <c r="BG3724" s="76"/>
      <c r="BH3724" s="76"/>
      <c r="BI3724" s="76"/>
      <c r="BJ3724" s="76"/>
      <c r="BK3724" s="76"/>
      <c r="BL3724" s="76">
        <f>+BK3724*31500</f>
        <v>0</v>
      </c>
      <c r="BM3724" s="76"/>
      <c r="BN3724" s="76"/>
      <c r="BO3724" s="76"/>
      <c r="BP3724" s="76"/>
      <c r="BQ3724" s="76"/>
      <c r="BR3724" s="76"/>
      <c r="BS3724" s="76"/>
      <c r="BT3724" s="76"/>
      <c r="BU3724" s="76"/>
      <c r="BV3724" s="76"/>
      <c r="BW3724" s="76"/>
      <c r="BX3724" s="76"/>
      <c r="BY3724" s="76"/>
      <c r="BZ3724" s="76"/>
      <c r="CA3724" s="76"/>
      <c r="CB3724" s="76"/>
      <c r="CC3724" s="76"/>
      <c r="CD3724" s="76"/>
      <c r="CE3724" s="76"/>
      <c r="CF3724" s="76">
        <f>+CE3724*28000</f>
        <v>0</v>
      </c>
      <c r="CG3724" s="76"/>
      <c r="CH3724" s="76">
        <f>+CG3724*22500</f>
        <v>0</v>
      </c>
      <c r="CI3724" s="76"/>
      <c r="CJ3724" s="76">
        <f>+CI3724*26000</f>
        <v>0</v>
      </c>
      <c r="CK3724" s="76"/>
      <c r="CL3724" s="76"/>
      <c r="CM3724" s="76"/>
      <c r="CN3724" s="76">
        <f>+CM3724*22000</f>
        <v>0</v>
      </c>
      <c r="CO3724" s="76"/>
      <c r="CP3724" s="76">
        <f>+CO3724*46000</f>
        <v>0</v>
      </c>
      <c r="CQ3724" s="76"/>
      <c r="CR3724" s="76">
        <f>+CQ3724*49000</f>
        <v>0</v>
      </c>
      <c r="CS3724" s="76"/>
      <c r="CT3724" s="76"/>
      <c r="CU3724" s="56">
        <f>AN3724+AP3724+AR3724+AT3724+AV3724+AX3724+AZ3724+BB3724+BD3724+BF3724+BH3724+BJ3724+BL3724+BN3724+BP3724+BR3724+BT3724+BV3724+BX3724+BZ3724+CB3724+CD3724+CF3724+CH3724+CJ3724+CL3724+CN3724+CP3724+CR3724+CT3724</f>
        <v>0</v>
      </c>
      <c r="CV3724" s="76"/>
      <c r="CW3724" s="76">
        <f>+CV3724*1100</f>
        <v>0</v>
      </c>
      <c r="CX3724" s="76"/>
      <c r="CY3724" s="76">
        <f>+CX3724*106250</f>
        <v>0</v>
      </c>
      <c r="CZ3724" s="76"/>
      <c r="DA3724" s="76">
        <f>+CZ3724*34500</f>
        <v>0</v>
      </c>
      <c r="DB3724" s="76"/>
      <c r="DC3724" s="76">
        <f>+DB3724*25000</f>
        <v>0</v>
      </c>
      <c r="DD3724" s="219"/>
      <c r="DE3724" s="219"/>
      <c r="DF3724" s="166"/>
      <c r="DG3724" s="116"/>
      <c r="DH3724" s="117"/>
      <c r="DI3724" s="24"/>
      <c r="DJ3724" s="24"/>
      <c r="DK3724" s="24"/>
      <c r="DL3724" s="24"/>
      <c r="DM3724" s="24"/>
      <c r="DN3724" s="24"/>
      <c r="DO3724" s="24"/>
      <c r="DP3724" s="24"/>
      <c r="DQ3724" s="24"/>
      <c r="DR3724" s="24"/>
      <c r="DS3724" s="24"/>
      <c r="DT3724" s="24"/>
      <c r="DU3724" s="24"/>
    </row>
    <row r="3725" spans="1:125" s="8" customFormat="1" ht="96" x14ac:dyDescent="0.2">
      <c r="A3725" s="77">
        <v>41601</v>
      </c>
      <c r="B3725" s="208" t="s">
        <v>2196</v>
      </c>
      <c r="C3725" s="354" t="s">
        <v>523</v>
      </c>
      <c r="D3725" s="354" t="s">
        <v>2849</v>
      </c>
      <c r="E3725" s="75" t="str">
        <f>VLOOKUP(B3725&amp;C3725,Divipola!$C$2:$F$1138,4,FALSE)</f>
        <v>17174</v>
      </c>
      <c r="F3725" s="87">
        <v>2</v>
      </c>
      <c r="G3725" s="87">
        <v>3</v>
      </c>
      <c r="H3725" s="87"/>
      <c r="I3725" s="87">
        <v>5</v>
      </c>
      <c r="J3725" s="87"/>
      <c r="K3725" s="87"/>
      <c r="L3725" s="87"/>
      <c r="M3725" s="87"/>
      <c r="N3725" s="87"/>
      <c r="O3725" s="87"/>
      <c r="P3725" s="87"/>
      <c r="Q3725" s="87"/>
      <c r="R3725" s="87"/>
      <c r="S3725" s="87"/>
      <c r="T3725" s="87"/>
      <c r="U3725" s="88"/>
      <c r="V3725" s="89"/>
      <c r="W3725" s="96">
        <v>0</v>
      </c>
      <c r="X3725" s="71">
        <f>CU3725</f>
        <v>0</v>
      </c>
      <c r="Y3725" s="71">
        <f>CY3725</f>
        <v>0</v>
      </c>
      <c r="Z3725" s="71">
        <f>DA3725+DC3725+DE3725</f>
        <v>0</v>
      </c>
      <c r="AA3725" s="71">
        <f>CW3725</f>
        <v>0</v>
      </c>
      <c r="AB3725" s="71"/>
      <c r="AC3725" s="71">
        <v>0</v>
      </c>
      <c r="AD3725" s="71">
        <f>W3725+X3725+Y3725+Z3725+AA3725+AB3725+AC3725</f>
        <v>0</v>
      </c>
      <c r="AE3725" s="72">
        <v>0</v>
      </c>
      <c r="AF3725" s="5"/>
      <c r="AG3725" s="6"/>
      <c r="AH3725" s="27"/>
      <c r="AI3725" s="44"/>
      <c r="AJ3725" s="26"/>
      <c r="AK3725" s="5"/>
      <c r="AL3725" s="82" t="s">
        <v>6758</v>
      </c>
      <c r="AM3725" s="76"/>
      <c r="AN3725" s="76"/>
      <c r="AO3725" s="76"/>
      <c r="AP3725" s="76"/>
      <c r="AQ3725" s="76"/>
      <c r="AR3725" s="76"/>
      <c r="AS3725" s="76"/>
      <c r="AT3725" s="76"/>
      <c r="AU3725" s="76"/>
      <c r="AV3725" s="76"/>
      <c r="AW3725" s="76"/>
      <c r="AX3725" s="76">
        <f>+AW3725*600000</f>
        <v>0</v>
      </c>
      <c r="AY3725" s="76"/>
      <c r="AZ3725" s="76">
        <f>+AY3725*70000</f>
        <v>0</v>
      </c>
      <c r="BA3725" s="76"/>
      <c r="BB3725" s="76"/>
      <c r="BC3725" s="76"/>
      <c r="BD3725" s="76">
        <f>+BC3725*30000</f>
        <v>0</v>
      </c>
      <c r="BE3725" s="76"/>
      <c r="BF3725" s="76"/>
      <c r="BG3725" s="76"/>
      <c r="BH3725" s="76"/>
      <c r="BI3725" s="76"/>
      <c r="BJ3725" s="76"/>
      <c r="BK3725" s="76"/>
      <c r="BL3725" s="76">
        <f>+BK3725*31500</f>
        <v>0</v>
      </c>
      <c r="BM3725" s="76"/>
      <c r="BN3725" s="76"/>
      <c r="BO3725" s="76"/>
      <c r="BP3725" s="76"/>
      <c r="BQ3725" s="76"/>
      <c r="BR3725" s="76"/>
      <c r="BS3725" s="76"/>
      <c r="BT3725" s="76"/>
      <c r="BU3725" s="76"/>
      <c r="BV3725" s="76"/>
      <c r="BW3725" s="76"/>
      <c r="BX3725" s="76"/>
      <c r="BY3725" s="76"/>
      <c r="BZ3725" s="76"/>
      <c r="CA3725" s="76"/>
      <c r="CB3725" s="76"/>
      <c r="CC3725" s="76"/>
      <c r="CD3725" s="76"/>
      <c r="CE3725" s="76"/>
      <c r="CF3725" s="76">
        <f>+CE3725*28000</f>
        <v>0</v>
      </c>
      <c r="CG3725" s="76"/>
      <c r="CH3725" s="76">
        <f>+CG3725*22500</f>
        <v>0</v>
      </c>
      <c r="CI3725" s="76"/>
      <c r="CJ3725" s="76">
        <f>+CI3725*26000</f>
        <v>0</v>
      </c>
      <c r="CK3725" s="76"/>
      <c r="CL3725" s="76"/>
      <c r="CM3725" s="76"/>
      <c r="CN3725" s="76">
        <f>+CM3725*22000</f>
        <v>0</v>
      </c>
      <c r="CO3725" s="76"/>
      <c r="CP3725" s="76">
        <f>+CO3725*46000</f>
        <v>0</v>
      </c>
      <c r="CQ3725" s="76"/>
      <c r="CR3725" s="76">
        <f>+CQ3725*49000</f>
        <v>0</v>
      </c>
      <c r="CS3725" s="76"/>
      <c r="CT3725" s="76"/>
      <c r="CU3725" s="56">
        <f>AN3725+AP3725+AR3725+AT3725+AV3725+AX3725+AZ3725+BB3725+BD3725+BF3725+BH3725+BJ3725+BL3725+BN3725+BP3725+BR3725+BT3725+BV3725+BX3725+BZ3725+CB3725+CD3725+CF3725+CH3725+CJ3725+CL3725+CN3725+CP3725+CR3725+CT3725</f>
        <v>0</v>
      </c>
      <c r="CV3725" s="76"/>
      <c r="CW3725" s="76">
        <f>+CV3725*1100</f>
        <v>0</v>
      </c>
      <c r="CX3725" s="76"/>
      <c r="CY3725" s="76">
        <f>+CX3725*106250</f>
        <v>0</v>
      </c>
      <c r="CZ3725" s="76"/>
      <c r="DA3725" s="76">
        <f>+CZ3725*34500</f>
        <v>0</v>
      </c>
      <c r="DB3725" s="76"/>
      <c r="DC3725" s="76">
        <f>+DB3725*25000</f>
        <v>0</v>
      </c>
      <c r="DD3725" s="219"/>
      <c r="DE3725" s="219"/>
      <c r="DF3725" s="166"/>
      <c r="DG3725" s="116"/>
      <c r="DH3725" s="117"/>
      <c r="DI3725" s="24"/>
      <c r="DJ3725" s="24"/>
      <c r="DK3725" s="24"/>
      <c r="DL3725" s="24"/>
      <c r="DM3725" s="24"/>
      <c r="DN3725" s="24"/>
      <c r="DO3725" s="24"/>
      <c r="DP3725" s="24"/>
      <c r="DQ3725" s="24"/>
      <c r="DR3725" s="24"/>
      <c r="DS3725" s="24"/>
      <c r="DT3725" s="24"/>
      <c r="DU3725" s="24"/>
    </row>
    <row r="3726" spans="1:125" s="8" customFormat="1" ht="48" x14ac:dyDescent="0.2">
      <c r="A3726" s="353">
        <v>41602</v>
      </c>
      <c r="B3726" s="352" t="s">
        <v>2661</v>
      </c>
      <c r="C3726" s="354" t="s">
        <v>1368</v>
      </c>
      <c r="D3726" s="354" t="s">
        <v>3051</v>
      </c>
      <c r="E3726" s="75" t="str">
        <f>VLOOKUP(B3726&amp;C3726,Divipola!$C$2:$F$1138,4,FALSE)</f>
        <v>41770</v>
      </c>
      <c r="F3726" s="87"/>
      <c r="G3726" s="87"/>
      <c r="H3726" s="87"/>
      <c r="I3726" s="87">
        <v>25</v>
      </c>
      <c r="J3726" s="87">
        <v>5</v>
      </c>
      <c r="K3726" s="87"/>
      <c r="L3726" s="87">
        <v>5</v>
      </c>
      <c r="M3726" s="87"/>
      <c r="N3726" s="87"/>
      <c r="O3726" s="87"/>
      <c r="P3726" s="87"/>
      <c r="Q3726" s="87"/>
      <c r="R3726" s="87"/>
      <c r="S3726" s="87"/>
      <c r="T3726" s="87"/>
      <c r="U3726" s="88"/>
      <c r="V3726" s="89"/>
      <c r="W3726" s="96">
        <v>0</v>
      </c>
      <c r="X3726" s="71">
        <f>CU3726</f>
        <v>0</v>
      </c>
      <c r="Y3726" s="71">
        <f>CY3726</f>
        <v>0</v>
      </c>
      <c r="Z3726" s="71">
        <f>DA3726+DC3726+DE3726</f>
        <v>0</v>
      </c>
      <c r="AA3726" s="71">
        <f>CW3726</f>
        <v>0</v>
      </c>
      <c r="AB3726" s="71"/>
      <c r="AC3726" s="71">
        <v>0</v>
      </c>
      <c r="AD3726" s="71">
        <f>W3726+X3726+Y3726+Z3726+AA3726+AB3726+AC3726</f>
        <v>0</v>
      </c>
      <c r="AE3726" s="72">
        <v>0</v>
      </c>
      <c r="AF3726" s="5"/>
      <c r="AG3726" s="6"/>
      <c r="AH3726" s="27"/>
      <c r="AI3726" s="44"/>
      <c r="AJ3726" s="26"/>
      <c r="AK3726" s="5"/>
      <c r="AL3726" s="82" t="s">
        <v>6759</v>
      </c>
      <c r="AM3726" s="76"/>
      <c r="AN3726" s="76"/>
      <c r="AO3726" s="76"/>
      <c r="AP3726" s="76"/>
      <c r="AQ3726" s="76"/>
      <c r="AR3726" s="76"/>
      <c r="AS3726" s="76"/>
      <c r="AT3726" s="76"/>
      <c r="AU3726" s="76"/>
      <c r="AV3726" s="76"/>
      <c r="AW3726" s="76"/>
      <c r="AX3726" s="76">
        <f>+AW3726*600000</f>
        <v>0</v>
      </c>
      <c r="AY3726" s="76"/>
      <c r="AZ3726" s="76">
        <f>+AY3726*70000</f>
        <v>0</v>
      </c>
      <c r="BA3726" s="76"/>
      <c r="BB3726" s="76"/>
      <c r="BC3726" s="76"/>
      <c r="BD3726" s="76">
        <f>+BC3726*30000</f>
        <v>0</v>
      </c>
      <c r="BE3726" s="76"/>
      <c r="BF3726" s="76"/>
      <c r="BG3726" s="76"/>
      <c r="BH3726" s="76"/>
      <c r="BI3726" s="76"/>
      <c r="BJ3726" s="76"/>
      <c r="BK3726" s="76"/>
      <c r="BL3726" s="76">
        <f>+BK3726*31500</f>
        <v>0</v>
      </c>
      <c r="BM3726" s="76"/>
      <c r="BN3726" s="76"/>
      <c r="BO3726" s="76"/>
      <c r="BP3726" s="76"/>
      <c r="BQ3726" s="76"/>
      <c r="BR3726" s="76"/>
      <c r="BS3726" s="76"/>
      <c r="BT3726" s="76"/>
      <c r="BU3726" s="76"/>
      <c r="BV3726" s="76"/>
      <c r="BW3726" s="76"/>
      <c r="BX3726" s="76"/>
      <c r="BY3726" s="76"/>
      <c r="BZ3726" s="76"/>
      <c r="CA3726" s="76"/>
      <c r="CB3726" s="76"/>
      <c r="CC3726" s="76"/>
      <c r="CD3726" s="76"/>
      <c r="CE3726" s="76"/>
      <c r="CF3726" s="76">
        <f>+CE3726*28000</f>
        <v>0</v>
      </c>
      <c r="CG3726" s="76"/>
      <c r="CH3726" s="76">
        <f>+CG3726*22500</f>
        <v>0</v>
      </c>
      <c r="CI3726" s="76"/>
      <c r="CJ3726" s="76">
        <f>+CI3726*26000</f>
        <v>0</v>
      </c>
      <c r="CK3726" s="76"/>
      <c r="CL3726" s="76"/>
      <c r="CM3726" s="76"/>
      <c r="CN3726" s="76">
        <f>+CM3726*22000</f>
        <v>0</v>
      </c>
      <c r="CO3726" s="76"/>
      <c r="CP3726" s="76">
        <f>+CO3726*46000</f>
        <v>0</v>
      </c>
      <c r="CQ3726" s="76"/>
      <c r="CR3726" s="76">
        <f>+CQ3726*49000</f>
        <v>0</v>
      </c>
      <c r="CS3726" s="76"/>
      <c r="CT3726" s="76"/>
      <c r="CU3726" s="56">
        <f>AN3726+AP3726+AR3726+AT3726+AV3726+AX3726+AZ3726+BB3726+BD3726+BF3726+BH3726+BJ3726+BL3726+BN3726+BP3726+BR3726+BT3726+BV3726+BX3726+BZ3726+CB3726+CD3726+CF3726+CH3726+CJ3726+CL3726+CN3726+CP3726+CR3726+CT3726</f>
        <v>0</v>
      </c>
      <c r="CV3726" s="76"/>
      <c r="CW3726" s="76">
        <f>+CV3726*1100</f>
        <v>0</v>
      </c>
      <c r="CX3726" s="76"/>
      <c r="CY3726" s="76">
        <f>+CX3726*106250</f>
        <v>0</v>
      </c>
      <c r="CZ3726" s="76"/>
      <c r="DA3726" s="76">
        <f>+CZ3726*34500</f>
        <v>0</v>
      </c>
      <c r="DB3726" s="76"/>
      <c r="DC3726" s="76">
        <f>+DB3726*25000</f>
        <v>0</v>
      </c>
      <c r="DD3726" s="219"/>
      <c r="DE3726" s="219"/>
      <c r="DF3726" s="166"/>
      <c r="DG3726" s="116"/>
      <c r="DH3726" s="117"/>
      <c r="DI3726" s="24"/>
      <c r="DJ3726" s="24"/>
      <c r="DK3726" s="24"/>
      <c r="DL3726" s="24"/>
      <c r="DM3726" s="24"/>
      <c r="DN3726" s="24"/>
      <c r="DO3726" s="24"/>
      <c r="DP3726" s="24"/>
      <c r="DQ3726" s="24"/>
      <c r="DR3726" s="24"/>
      <c r="DS3726" s="24"/>
      <c r="DT3726" s="24"/>
      <c r="DU3726" s="24"/>
    </row>
    <row r="3727" spans="1:125" s="8" customFormat="1" ht="84" x14ac:dyDescent="0.2">
      <c r="A3727" s="353">
        <v>41602</v>
      </c>
      <c r="B3727" s="352" t="s">
        <v>2661</v>
      </c>
      <c r="C3727" s="354" t="s">
        <v>475</v>
      </c>
      <c r="D3727" s="354" t="s">
        <v>3088</v>
      </c>
      <c r="E3727" s="75" t="str">
        <f>VLOOKUP(B3727&amp;C3727,Divipola!$C$2:$F$1138,4,FALSE)</f>
        <v>41006</v>
      </c>
      <c r="F3727" s="87"/>
      <c r="G3727" s="87"/>
      <c r="H3727" s="87"/>
      <c r="I3727" s="87"/>
      <c r="J3727" s="87"/>
      <c r="K3727" s="87"/>
      <c r="L3727" s="87"/>
      <c r="M3727" s="87">
        <v>1</v>
      </c>
      <c r="N3727" s="87"/>
      <c r="O3727" s="87"/>
      <c r="P3727" s="87"/>
      <c r="Q3727" s="87"/>
      <c r="R3727" s="87"/>
      <c r="S3727" s="87"/>
      <c r="T3727" s="87"/>
      <c r="U3727" s="88"/>
      <c r="V3727" s="89"/>
      <c r="W3727" s="96">
        <v>0</v>
      </c>
      <c r="X3727" s="71">
        <f>CU3727</f>
        <v>0</v>
      </c>
      <c r="Y3727" s="71">
        <f>CY3727</f>
        <v>0</v>
      </c>
      <c r="Z3727" s="71">
        <f>DA3727+DC3727+DE3727</f>
        <v>0</v>
      </c>
      <c r="AA3727" s="71">
        <f>CW3727</f>
        <v>0</v>
      </c>
      <c r="AB3727" s="71"/>
      <c r="AC3727" s="71">
        <v>0</v>
      </c>
      <c r="AD3727" s="71">
        <f>W3727+X3727+Y3727+Z3727+AA3727+AB3727+AC3727</f>
        <v>0</v>
      </c>
      <c r="AE3727" s="72">
        <v>0</v>
      </c>
      <c r="AF3727" s="5"/>
      <c r="AG3727" s="6"/>
      <c r="AH3727" s="27"/>
      <c r="AI3727" s="44"/>
      <c r="AJ3727" s="26"/>
      <c r="AK3727" s="5"/>
      <c r="AL3727" s="82" t="s">
        <v>6760</v>
      </c>
      <c r="AM3727" s="76"/>
      <c r="AN3727" s="76"/>
      <c r="AO3727" s="76"/>
      <c r="AP3727" s="76"/>
      <c r="AQ3727" s="76"/>
      <c r="AR3727" s="76"/>
      <c r="AS3727" s="76"/>
      <c r="AT3727" s="76"/>
      <c r="AU3727" s="76"/>
      <c r="AV3727" s="76"/>
      <c r="AW3727" s="76"/>
      <c r="AX3727" s="76">
        <f>+AW3727*600000</f>
        <v>0</v>
      </c>
      <c r="AY3727" s="76"/>
      <c r="AZ3727" s="76">
        <f>+AY3727*70000</f>
        <v>0</v>
      </c>
      <c r="BA3727" s="76"/>
      <c r="BB3727" s="76"/>
      <c r="BC3727" s="76"/>
      <c r="BD3727" s="76">
        <f>+BC3727*30000</f>
        <v>0</v>
      </c>
      <c r="BE3727" s="76"/>
      <c r="BF3727" s="76"/>
      <c r="BG3727" s="76"/>
      <c r="BH3727" s="76"/>
      <c r="BI3727" s="76"/>
      <c r="BJ3727" s="76"/>
      <c r="BK3727" s="76"/>
      <c r="BL3727" s="76">
        <f>+BK3727*31500</f>
        <v>0</v>
      </c>
      <c r="BM3727" s="76"/>
      <c r="BN3727" s="76"/>
      <c r="BO3727" s="76"/>
      <c r="BP3727" s="76"/>
      <c r="BQ3727" s="76"/>
      <c r="BR3727" s="76"/>
      <c r="BS3727" s="76"/>
      <c r="BT3727" s="76"/>
      <c r="BU3727" s="76"/>
      <c r="BV3727" s="76"/>
      <c r="BW3727" s="76"/>
      <c r="BX3727" s="76"/>
      <c r="BY3727" s="76"/>
      <c r="BZ3727" s="76"/>
      <c r="CA3727" s="76"/>
      <c r="CB3727" s="76"/>
      <c r="CC3727" s="76"/>
      <c r="CD3727" s="76"/>
      <c r="CE3727" s="76"/>
      <c r="CF3727" s="76">
        <f>+CE3727*28000</f>
        <v>0</v>
      </c>
      <c r="CG3727" s="76"/>
      <c r="CH3727" s="76">
        <f>+CG3727*22500</f>
        <v>0</v>
      </c>
      <c r="CI3727" s="76"/>
      <c r="CJ3727" s="76">
        <f>+CI3727*26000</f>
        <v>0</v>
      </c>
      <c r="CK3727" s="76"/>
      <c r="CL3727" s="76"/>
      <c r="CM3727" s="76"/>
      <c r="CN3727" s="76">
        <f>+CM3727*22000</f>
        <v>0</v>
      </c>
      <c r="CO3727" s="76"/>
      <c r="CP3727" s="76">
        <f>+CO3727*46000</f>
        <v>0</v>
      </c>
      <c r="CQ3727" s="76"/>
      <c r="CR3727" s="76">
        <f>+CQ3727*49000</f>
        <v>0</v>
      </c>
      <c r="CS3727" s="76"/>
      <c r="CT3727" s="76"/>
      <c r="CU3727" s="56">
        <f>AN3727+AP3727+AR3727+AT3727+AV3727+AX3727+AZ3727+BB3727+BD3727+BF3727+BH3727+BJ3727+BL3727+BN3727+BP3727+BR3727+BT3727+BV3727+BX3727+BZ3727+CB3727+CD3727+CF3727+CH3727+CJ3727+CL3727+CN3727+CP3727+CR3727+CT3727</f>
        <v>0</v>
      </c>
      <c r="CV3727" s="76"/>
      <c r="CW3727" s="76">
        <f>+CV3727*1100</f>
        <v>0</v>
      </c>
      <c r="CX3727" s="76"/>
      <c r="CY3727" s="76">
        <f>+CX3727*106250</f>
        <v>0</v>
      </c>
      <c r="CZ3727" s="76"/>
      <c r="DA3727" s="76">
        <f>+CZ3727*34500</f>
        <v>0</v>
      </c>
      <c r="DB3727" s="76"/>
      <c r="DC3727" s="76">
        <f>+DB3727*25000</f>
        <v>0</v>
      </c>
      <c r="DD3727" s="219"/>
      <c r="DE3727" s="219"/>
      <c r="DF3727" s="166"/>
      <c r="DG3727" s="116"/>
      <c r="DH3727" s="117"/>
      <c r="DI3727" s="24"/>
      <c r="DJ3727" s="24"/>
      <c r="DK3727" s="24"/>
      <c r="DL3727" s="24"/>
      <c r="DM3727" s="24"/>
      <c r="DN3727" s="24"/>
      <c r="DO3727" s="24"/>
      <c r="DP3727" s="24"/>
      <c r="DQ3727" s="24"/>
      <c r="DR3727" s="24"/>
      <c r="DS3727" s="24"/>
      <c r="DT3727" s="24"/>
      <c r="DU3727" s="24"/>
    </row>
    <row r="3728" spans="1:125" s="8" customFormat="1" ht="72" x14ac:dyDescent="0.2">
      <c r="A3728" s="353">
        <v>41602</v>
      </c>
      <c r="B3728" s="352" t="s">
        <v>2848</v>
      </c>
      <c r="C3728" s="354" t="s">
        <v>1384</v>
      </c>
      <c r="D3728" s="354" t="s">
        <v>3425</v>
      </c>
      <c r="E3728" s="75" t="str">
        <f>VLOOKUP(B3728&amp;C3728,Divipola!$C$2:$F$1138,4,FALSE)</f>
        <v>73678</v>
      </c>
      <c r="F3728" s="87">
        <v>1</v>
      </c>
      <c r="G3728" s="87"/>
      <c r="H3728" s="87"/>
      <c r="I3728" s="87"/>
      <c r="J3728" s="87"/>
      <c r="K3728" s="87"/>
      <c r="L3728" s="87"/>
      <c r="M3728" s="87"/>
      <c r="N3728" s="87"/>
      <c r="O3728" s="87"/>
      <c r="P3728" s="87"/>
      <c r="Q3728" s="87"/>
      <c r="R3728" s="87"/>
      <c r="S3728" s="87"/>
      <c r="T3728" s="87"/>
      <c r="U3728" s="88"/>
      <c r="V3728" s="89"/>
      <c r="W3728" s="96">
        <v>0</v>
      </c>
      <c r="X3728" s="71">
        <f>CU3728</f>
        <v>0</v>
      </c>
      <c r="Y3728" s="71">
        <f>CY3728</f>
        <v>0</v>
      </c>
      <c r="Z3728" s="71">
        <f>DA3728+DC3728+DE3728</f>
        <v>0</v>
      </c>
      <c r="AA3728" s="71">
        <f>CW3728</f>
        <v>0</v>
      </c>
      <c r="AB3728" s="71"/>
      <c r="AC3728" s="71">
        <v>0</v>
      </c>
      <c r="AD3728" s="71">
        <f>W3728+X3728+Y3728+Z3728+AA3728+AB3728+AC3728</f>
        <v>0</v>
      </c>
      <c r="AE3728" s="72">
        <v>0</v>
      </c>
      <c r="AF3728" s="5"/>
      <c r="AG3728" s="6"/>
      <c r="AH3728" s="27"/>
      <c r="AI3728" s="44"/>
      <c r="AJ3728" s="26"/>
      <c r="AK3728" s="5"/>
      <c r="AL3728" s="82" t="s">
        <v>6762</v>
      </c>
      <c r="AM3728" s="76"/>
      <c r="AN3728" s="76"/>
      <c r="AO3728" s="76"/>
      <c r="AP3728" s="76"/>
      <c r="AQ3728" s="76"/>
      <c r="AR3728" s="76"/>
      <c r="AS3728" s="76"/>
      <c r="AT3728" s="76"/>
      <c r="AU3728" s="76"/>
      <c r="AV3728" s="76"/>
      <c r="AW3728" s="76"/>
      <c r="AX3728" s="76">
        <f>+AW3728*600000</f>
        <v>0</v>
      </c>
      <c r="AY3728" s="76"/>
      <c r="AZ3728" s="76">
        <f>+AY3728*70000</f>
        <v>0</v>
      </c>
      <c r="BA3728" s="76"/>
      <c r="BB3728" s="76"/>
      <c r="BC3728" s="76"/>
      <c r="BD3728" s="76">
        <f>+BC3728*30000</f>
        <v>0</v>
      </c>
      <c r="BE3728" s="76"/>
      <c r="BF3728" s="76"/>
      <c r="BG3728" s="76"/>
      <c r="BH3728" s="76"/>
      <c r="BI3728" s="76"/>
      <c r="BJ3728" s="76"/>
      <c r="BK3728" s="76"/>
      <c r="BL3728" s="76">
        <f>+BK3728*31500</f>
        <v>0</v>
      </c>
      <c r="BM3728" s="76"/>
      <c r="BN3728" s="76"/>
      <c r="BO3728" s="76"/>
      <c r="BP3728" s="76"/>
      <c r="BQ3728" s="76"/>
      <c r="BR3728" s="76"/>
      <c r="BS3728" s="76"/>
      <c r="BT3728" s="76"/>
      <c r="BU3728" s="76"/>
      <c r="BV3728" s="76"/>
      <c r="BW3728" s="76"/>
      <c r="BX3728" s="76"/>
      <c r="BY3728" s="76"/>
      <c r="BZ3728" s="76"/>
      <c r="CA3728" s="76"/>
      <c r="CB3728" s="76"/>
      <c r="CC3728" s="76"/>
      <c r="CD3728" s="76"/>
      <c r="CE3728" s="76"/>
      <c r="CF3728" s="76">
        <f>+CE3728*28000</f>
        <v>0</v>
      </c>
      <c r="CG3728" s="76"/>
      <c r="CH3728" s="76">
        <f>+CG3728*22500</f>
        <v>0</v>
      </c>
      <c r="CI3728" s="76"/>
      <c r="CJ3728" s="76">
        <f>+CI3728*26000</f>
        <v>0</v>
      </c>
      <c r="CK3728" s="76"/>
      <c r="CL3728" s="76"/>
      <c r="CM3728" s="76"/>
      <c r="CN3728" s="76">
        <f>+CM3728*22000</f>
        <v>0</v>
      </c>
      <c r="CO3728" s="76"/>
      <c r="CP3728" s="76">
        <f>+CO3728*46000</f>
        <v>0</v>
      </c>
      <c r="CQ3728" s="76"/>
      <c r="CR3728" s="76">
        <f>+CQ3728*49000</f>
        <v>0</v>
      </c>
      <c r="CS3728" s="76"/>
      <c r="CT3728" s="76"/>
      <c r="CU3728" s="56">
        <f>AN3728+AP3728+AR3728+AT3728+AV3728+AX3728+AZ3728+BB3728+BD3728+BF3728+BH3728+BJ3728+BL3728+BN3728+BP3728+BR3728+BT3728+BV3728+BX3728+BZ3728+CB3728+CD3728+CF3728+CH3728+CJ3728+CL3728+CN3728+CP3728+CR3728+CT3728</f>
        <v>0</v>
      </c>
      <c r="CV3728" s="76"/>
      <c r="CW3728" s="76">
        <f>+CV3728*1100</f>
        <v>0</v>
      </c>
      <c r="CX3728" s="76"/>
      <c r="CY3728" s="76">
        <f>+CX3728*106250</f>
        <v>0</v>
      </c>
      <c r="CZ3728" s="76"/>
      <c r="DA3728" s="76">
        <f>+CZ3728*34500</f>
        <v>0</v>
      </c>
      <c r="DB3728" s="76"/>
      <c r="DC3728" s="76">
        <f>+DB3728*25000</f>
        <v>0</v>
      </c>
      <c r="DD3728" s="219"/>
      <c r="DE3728" s="219"/>
      <c r="DF3728" s="166"/>
      <c r="DG3728" s="116"/>
      <c r="DH3728" s="117"/>
      <c r="DI3728" s="24"/>
      <c r="DJ3728" s="24"/>
      <c r="DK3728" s="24"/>
      <c r="DL3728" s="24"/>
      <c r="DM3728" s="24"/>
      <c r="DN3728" s="24"/>
      <c r="DO3728" s="24"/>
      <c r="DP3728" s="24"/>
      <c r="DQ3728" s="24"/>
      <c r="DR3728" s="24"/>
      <c r="DS3728" s="24"/>
      <c r="DT3728" s="24"/>
      <c r="DU3728" s="24"/>
    </row>
    <row r="3729" spans="1:125" s="8" customFormat="1" ht="156" x14ac:dyDescent="0.2">
      <c r="A3729" s="77">
        <v>41602</v>
      </c>
      <c r="B3729" s="78" t="s">
        <v>2661</v>
      </c>
      <c r="C3729" s="75" t="s">
        <v>1351</v>
      </c>
      <c r="D3729" s="75" t="s">
        <v>3051</v>
      </c>
      <c r="E3729" s="75" t="str">
        <f>VLOOKUP(B3729&amp;C3729,Divipola!$C$2:$F$1138,4,FALSE)</f>
        <v>41551</v>
      </c>
      <c r="F3729" s="87"/>
      <c r="G3729" s="87"/>
      <c r="H3729" s="87"/>
      <c r="I3729" s="87">
        <v>365</v>
      </c>
      <c r="J3729" s="87">
        <v>73</v>
      </c>
      <c r="K3729" s="87">
        <v>3</v>
      </c>
      <c r="L3729" s="87">
        <v>70</v>
      </c>
      <c r="M3729" s="87">
        <v>1</v>
      </c>
      <c r="N3729" s="87"/>
      <c r="O3729" s="87"/>
      <c r="P3729" s="87">
        <v>1</v>
      </c>
      <c r="Q3729" s="87"/>
      <c r="R3729" s="87"/>
      <c r="S3729" s="87"/>
      <c r="T3729" s="88">
        <v>1</v>
      </c>
      <c r="U3729" s="89"/>
      <c r="V3729" s="268"/>
      <c r="W3729" s="96">
        <v>0</v>
      </c>
      <c r="X3729" s="71">
        <f>CU3729</f>
        <v>0</v>
      </c>
      <c r="Y3729" s="71">
        <f>CY3729</f>
        <v>0</v>
      </c>
      <c r="Z3729" s="71">
        <f>DA3729+DC3729+DE3729</f>
        <v>0</v>
      </c>
      <c r="AA3729" s="71">
        <f>CW3729</f>
        <v>0</v>
      </c>
      <c r="AB3729" s="71"/>
      <c r="AC3729" s="71">
        <v>0</v>
      </c>
      <c r="AD3729" s="71">
        <f>W3729+X3729+Y3729+Z3729+AA3729+AB3729+AC3729</f>
        <v>0</v>
      </c>
      <c r="AE3729" s="72">
        <v>0</v>
      </c>
      <c r="AF3729" s="5"/>
      <c r="AG3729" s="6"/>
      <c r="AH3729" s="27"/>
      <c r="AI3729" s="44"/>
      <c r="AJ3729" s="26"/>
      <c r="AK3729" s="5"/>
      <c r="AL3729" s="305" t="s">
        <v>6787</v>
      </c>
      <c r="AM3729" s="76"/>
      <c r="AN3729" s="76"/>
      <c r="AO3729" s="76"/>
      <c r="AP3729" s="76"/>
      <c r="AQ3729" s="76"/>
      <c r="AR3729" s="76"/>
      <c r="AS3729" s="76"/>
      <c r="AT3729" s="76"/>
      <c r="AU3729" s="76"/>
      <c r="AV3729" s="76"/>
      <c r="AW3729" s="76"/>
      <c r="AX3729" s="76">
        <f>+AW3729*600000</f>
        <v>0</v>
      </c>
      <c r="AY3729" s="76"/>
      <c r="AZ3729" s="76">
        <f>+AY3729*70000</f>
        <v>0</v>
      </c>
      <c r="BA3729" s="76"/>
      <c r="BB3729" s="76"/>
      <c r="BC3729" s="76"/>
      <c r="BD3729" s="76">
        <f>+BC3729*30000</f>
        <v>0</v>
      </c>
      <c r="BE3729" s="76"/>
      <c r="BF3729" s="76"/>
      <c r="BG3729" s="76"/>
      <c r="BH3729" s="76"/>
      <c r="BI3729" s="76"/>
      <c r="BJ3729" s="76"/>
      <c r="BK3729" s="76"/>
      <c r="BL3729" s="76">
        <f>+BK3729*31500</f>
        <v>0</v>
      </c>
      <c r="BM3729" s="76"/>
      <c r="BN3729" s="76"/>
      <c r="BO3729" s="76"/>
      <c r="BP3729" s="76"/>
      <c r="BQ3729" s="76"/>
      <c r="BR3729" s="76"/>
      <c r="BS3729" s="76"/>
      <c r="BT3729" s="76"/>
      <c r="BU3729" s="76"/>
      <c r="BV3729" s="76"/>
      <c r="BW3729" s="76"/>
      <c r="BX3729" s="76"/>
      <c r="BY3729" s="76"/>
      <c r="BZ3729" s="76"/>
      <c r="CA3729" s="76"/>
      <c r="CB3729" s="76"/>
      <c r="CC3729" s="76"/>
      <c r="CD3729" s="76"/>
      <c r="CE3729" s="76"/>
      <c r="CF3729" s="76">
        <f>+CE3729*28000</f>
        <v>0</v>
      </c>
      <c r="CG3729" s="76"/>
      <c r="CH3729" s="76">
        <f>+CG3729*22500</f>
        <v>0</v>
      </c>
      <c r="CI3729" s="76"/>
      <c r="CJ3729" s="76">
        <f>+CI3729*26000</f>
        <v>0</v>
      </c>
      <c r="CK3729" s="76"/>
      <c r="CL3729" s="76"/>
      <c r="CM3729" s="76"/>
      <c r="CN3729" s="76">
        <f>+CM3729*22000</f>
        <v>0</v>
      </c>
      <c r="CO3729" s="76"/>
      <c r="CP3729" s="76">
        <f>+CO3729*46000</f>
        <v>0</v>
      </c>
      <c r="CQ3729" s="76"/>
      <c r="CR3729" s="76">
        <f>+CQ3729*49000</f>
        <v>0</v>
      </c>
      <c r="CS3729" s="76"/>
      <c r="CT3729" s="76"/>
      <c r="CU3729" s="56">
        <f>AN3729+AP3729+AR3729+AT3729+AV3729+AX3729+AZ3729+BB3729+BD3729+BF3729+BH3729+BJ3729+BL3729+BN3729+BP3729+BR3729+BT3729+BV3729+BX3729+BZ3729+CB3729+CD3729+CF3729+CH3729+CJ3729+CL3729+CN3729+CP3729+CR3729+CT3729</f>
        <v>0</v>
      </c>
      <c r="CV3729" s="76"/>
      <c r="CW3729" s="76">
        <f>+CV3729*1100</f>
        <v>0</v>
      </c>
      <c r="CX3729" s="76"/>
      <c r="CY3729" s="76">
        <f>+CX3729*106250</f>
        <v>0</v>
      </c>
      <c r="CZ3729" s="76"/>
      <c r="DA3729" s="76">
        <f>+CZ3729*34500</f>
        <v>0</v>
      </c>
      <c r="DB3729" s="76"/>
      <c r="DC3729" s="76">
        <f>+DB3729*25000</f>
        <v>0</v>
      </c>
      <c r="DD3729" s="219"/>
      <c r="DE3729" s="219"/>
      <c r="DF3729" s="166"/>
      <c r="DG3729" s="116"/>
      <c r="DH3729" s="117"/>
      <c r="DI3729" s="24"/>
      <c r="DJ3729" s="24"/>
      <c r="DK3729" s="24"/>
      <c r="DL3729" s="24"/>
      <c r="DM3729" s="24"/>
      <c r="DN3729" s="24"/>
      <c r="DO3729" s="24"/>
      <c r="DP3729" s="24"/>
      <c r="DQ3729" s="24"/>
      <c r="DR3729" s="24"/>
      <c r="DS3729" s="24"/>
      <c r="DT3729" s="24"/>
      <c r="DU3729" s="24"/>
    </row>
    <row r="3730" spans="1:125" s="8" customFormat="1" ht="48" x14ac:dyDescent="0.2">
      <c r="A3730" s="77">
        <v>41603</v>
      </c>
      <c r="B3730" s="78" t="s">
        <v>2854</v>
      </c>
      <c r="C3730" s="75" t="s">
        <v>2100</v>
      </c>
      <c r="D3730" s="75" t="s">
        <v>3463</v>
      </c>
      <c r="E3730" s="75" t="str">
        <f>VLOOKUP(B3730&amp;C3730,Divipola!$C$2:$F$1138,4,FALSE)</f>
        <v>19397</v>
      </c>
      <c r="F3730" s="87"/>
      <c r="G3730" s="87"/>
      <c r="H3730" s="87"/>
      <c r="I3730" s="87">
        <v>15</v>
      </c>
      <c r="J3730" s="87">
        <v>3</v>
      </c>
      <c r="K3730" s="87">
        <v>2</v>
      </c>
      <c r="L3730" s="87">
        <v>1</v>
      </c>
      <c r="M3730" s="87"/>
      <c r="N3730" s="87"/>
      <c r="O3730" s="87"/>
      <c r="P3730" s="87"/>
      <c r="Q3730" s="87"/>
      <c r="R3730" s="87"/>
      <c r="S3730" s="87"/>
      <c r="T3730" s="87"/>
      <c r="U3730" s="88"/>
      <c r="V3730" s="89"/>
      <c r="W3730" s="96">
        <v>0</v>
      </c>
      <c r="X3730" s="71">
        <f>CU3730</f>
        <v>0</v>
      </c>
      <c r="Y3730" s="71">
        <f>CY3730</f>
        <v>0</v>
      </c>
      <c r="Z3730" s="71">
        <f>DA3730+DC3730+DE3730</f>
        <v>0</v>
      </c>
      <c r="AA3730" s="71">
        <f>CW3730</f>
        <v>0</v>
      </c>
      <c r="AB3730" s="71"/>
      <c r="AC3730" s="71">
        <v>0</v>
      </c>
      <c r="AD3730" s="71">
        <f>W3730+X3730+Y3730+Z3730+AA3730+AB3730+AC3730</f>
        <v>0</v>
      </c>
      <c r="AE3730" s="72">
        <v>0</v>
      </c>
      <c r="AF3730" s="5"/>
      <c r="AG3730" s="6"/>
      <c r="AH3730" s="27"/>
      <c r="AI3730" s="44"/>
      <c r="AJ3730" s="26"/>
      <c r="AK3730" s="5"/>
      <c r="AL3730" s="268" t="s">
        <v>6763</v>
      </c>
      <c r="AM3730" s="76"/>
      <c r="AN3730" s="76"/>
      <c r="AO3730" s="76"/>
      <c r="AP3730" s="76"/>
      <c r="AQ3730" s="76"/>
      <c r="AR3730" s="76"/>
      <c r="AS3730" s="76"/>
      <c r="AT3730" s="76"/>
      <c r="AU3730" s="76"/>
      <c r="AV3730" s="76"/>
      <c r="AW3730" s="76"/>
      <c r="AX3730" s="76">
        <f>+AW3730*600000</f>
        <v>0</v>
      </c>
      <c r="AY3730" s="76"/>
      <c r="AZ3730" s="76">
        <f>+AY3730*70000</f>
        <v>0</v>
      </c>
      <c r="BA3730" s="76"/>
      <c r="BB3730" s="76"/>
      <c r="BC3730" s="76"/>
      <c r="BD3730" s="76">
        <f>+BC3730*30000</f>
        <v>0</v>
      </c>
      <c r="BE3730" s="76"/>
      <c r="BF3730" s="76"/>
      <c r="BG3730" s="76"/>
      <c r="BH3730" s="76"/>
      <c r="BI3730" s="76"/>
      <c r="BJ3730" s="76"/>
      <c r="BK3730" s="76"/>
      <c r="BL3730" s="76">
        <f>+BK3730*31500</f>
        <v>0</v>
      </c>
      <c r="BM3730" s="76"/>
      <c r="BN3730" s="76"/>
      <c r="BO3730" s="76"/>
      <c r="BP3730" s="76"/>
      <c r="BQ3730" s="76"/>
      <c r="BR3730" s="76"/>
      <c r="BS3730" s="76"/>
      <c r="BT3730" s="76"/>
      <c r="BU3730" s="76"/>
      <c r="BV3730" s="76"/>
      <c r="BW3730" s="76"/>
      <c r="BX3730" s="76"/>
      <c r="BY3730" s="76"/>
      <c r="BZ3730" s="76"/>
      <c r="CA3730" s="76"/>
      <c r="CB3730" s="76"/>
      <c r="CC3730" s="76"/>
      <c r="CD3730" s="76"/>
      <c r="CE3730" s="76"/>
      <c r="CF3730" s="76">
        <f>+CE3730*28000</f>
        <v>0</v>
      </c>
      <c r="CG3730" s="76"/>
      <c r="CH3730" s="76">
        <f>+CG3730*22500</f>
        <v>0</v>
      </c>
      <c r="CI3730" s="76"/>
      <c r="CJ3730" s="76">
        <f>+CI3730*26000</f>
        <v>0</v>
      </c>
      <c r="CK3730" s="76"/>
      <c r="CL3730" s="76"/>
      <c r="CM3730" s="76"/>
      <c r="CN3730" s="76">
        <f>+CM3730*22000</f>
        <v>0</v>
      </c>
      <c r="CO3730" s="76"/>
      <c r="CP3730" s="76">
        <f>+CO3730*46000</f>
        <v>0</v>
      </c>
      <c r="CQ3730" s="76"/>
      <c r="CR3730" s="76">
        <f>+CQ3730*49000</f>
        <v>0</v>
      </c>
      <c r="CS3730" s="76"/>
      <c r="CT3730" s="76"/>
      <c r="CU3730" s="56">
        <f>AN3730+AP3730+AR3730+AT3730+AV3730+AX3730+AZ3730+BB3730+BD3730+BF3730+BH3730+BJ3730+BL3730+BN3730+BP3730+BR3730+BT3730+BV3730+BX3730+BZ3730+CB3730+CD3730+CF3730+CH3730+CJ3730+CL3730+CN3730+CP3730+CR3730+CT3730</f>
        <v>0</v>
      </c>
      <c r="CV3730" s="76"/>
      <c r="CW3730" s="76">
        <f>+CV3730*1100</f>
        <v>0</v>
      </c>
      <c r="CX3730" s="76"/>
      <c r="CY3730" s="76">
        <f>+CX3730*106250</f>
        <v>0</v>
      </c>
      <c r="CZ3730" s="76"/>
      <c r="DA3730" s="76">
        <f>+CZ3730*34500</f>
        <v>0</v>
      </c>
      <c r="DB3730" s="76"/>
      <c r="DC3730" s="76">
        <f>+DB3730*25000</f>
        <v>0</v>
      </c>
      <c r="DD3730" s="219"/>
      <c r="DE3730" s="219"/>
      <c r="DF3730" s="166"/>
      <c r="DG3730" s="116"/>
      <c r="DH3730" s="117"/>
      <c r="DI3730" s="24"/>
      <c r="DJ3730" s="24"/>
      <c r="DK3730" s="24"/>
      <c r="DL3730" s="24"/>
      <c r="DM3730" s="24"/>
      <c r="DN3730" s="24"/>
      <c r="DO3730" s="24"/>
      <c r="DP3730" s="24"/>
      <c r="DQ3730" s="24"/>
      <c r="DR3730" s="24"/>
      <c r="DS3730" s="24"/>
      <c r="DT3730" s="24"/>
      <c r="DU3730" s="24"/>
    </row>
    <row r="3731" spans="1:125" s="8" customFormat="1" ht="60" x14ac:dyDescent="0.2">
      <c r="A3731" s="353">
        <v>41603</v>
      </c>
      <c r="B3731" s="352" t="s">
        <v>2778</v>
      </c>
      <c r="C3731" s="354" t="s">
        <v>1271</v>
      </c>
      <c r="D3731" s="354" t="s">
        <v>3463</v>
      </c>
      <c r="E3731" s="75" t="str">
        <f>VLOOKUP(B3731&amp;C3731,Divipola!$C$2:$F$1138,4,FALSE)</f>
        <v>85410</v>
      </c>
      <c r="F3731" s="87"/>
      <c r="G3731" s="87"/>
      <c r="H3731" s="87"/>
      <c r="I3731" s="87"/>
      <c r="J3731" s="87"/>
      <c r="K3731" s="87"/>
      <c r="L3731" s="87"/>
      <c r="M3731" s="87"/>
      <c r="N3731" s="87"/>
      <c r="O3731" s="87"/>
      <c r="P3731" s="87"/>
      <c r="Q3731" s="87"/>
      <c r="R3731" s="87"/>
      <c r="S3731" s="87"/>
      <c r="T3731" s="87"/>
      <c r="U3731" s="88"/>
      <c r="V3731" s="89"/>
      <c r="W3731" s="96">
        <v>0</v>
      </c>
      <c r="X3731" s="71">
        <f>CU3731</f>
        <v>0</v>
      </c>
      <c r="Y3731" s="71">
        <f>CY3731</f>
        <v>0</v>
      </c>
      <c r="Z3731" s="71">
        <f>DA3731+DC3731+DE3731</f>
        <v>0</v>
      </c>
      <c r="AA3731" s="71">
        <f>CW3731</f>
        <v>0</v>
      </c>
      <c r="AB3731" s="71"/>
      <c r="AC3731" s="71">
        <v>0</v>
      </c>
      <c r="AD3731" s="71">
        <f>W3731+X3731+Y3731+Z3731+AA3731+AB3731+AC3731</f>
        <v>0</v>
      </c>
      <c r="AE3731" s="72">
        <v>0</v>
      </c>
      <c r="AF3731" s="5"/>
      <c r="AG3731" s="6"/>
      <c r="AH3731" s="27"/>
      <c r="AI3731" s="44"/>
      <c r="AJ3731" s="26"/>
      <c r="AK3731" s="5"/>
      <c r="AL3731" s="82" t="s">
        <v>6761</v>
      </c>
      <c r="AM3731" s="76"/>
      <c r="AN3731" s="76"/>
      <c r="AO3731" s="76"/>
      <c r="AP3731" s="76"/>
      <c r="AQ3731" s="76"/>
      <c r="AR3731" s="76"/>
      <c r="AS3731" s="76"/>
      <c r="AT3731" s="76"/>
      <c r="AU3731" s="76"/>
      <c r="AV3731" s="76"/>
      <c r="AW3731" s="76"/>
      <c r="AX3731" s="76">
        <f>+AW3731*600000</f>
        <v>0</v>
      </c>
      <c r="AY3731" s="76"/>
      <c r="AZ3731" s="76">
        <f>+AY3731*70000</f>
        <v>0</v>
      </c>
      <c r="BA3731" s="76"/>
      <c r="BB3731" s="76"/>
      <c r="BC3731" s="76"/>
      <c r="BD3731" s="76">
        <f>+BC3731*30000</f>
        <v>0</v>
      </c>
      <c r="BE3731" s="76"/>
      <c r="BF3731" s="76"/>
      <c r="BG3731" s="76"/>
      <c r="BH3731" s="76"/>
      <c r="BI3731" s="76"/>
      <c r="BJ3731" s="76"/>
      <c r="BK3731" s="76"/>
      <c r="BL3731" s="76">
        <f>+BK3731*31500</f>
        <v>0</v>
      </c>
      <c r="BM3731" s="76"/>
      <c r="BN3731" s="76"/>
      <c r="BO3731" s="76"/>
      <c r="BP3731" s="76"/>
      <c r="BQ3731" s="76"/>
      <c r="BR3731" s="76"/>
      <c r="BS3731" s="76"/>
      <c r="BT3731" s="76"/>
      <c r="BU3731" s="76"/>
      <c r="BV3731" s="76"/>
      <c r="BW3731" s="76"/>
      <c r="BX3731" s="76"/>
      <c r="BY3731" s="76"/>
      <c r="BZ3731" s="76"/>
      <c r="CA3731" s="76"/>
      <c r="CB3731" s="76"/>
      <c r="CC3731" s="76"/>
      <c r="CD3731" s="76"/>
      <c r="CE3731" s="76"/>
      <c r="CF3731" s="76">
        <f>+CE3731*28000</f>
        <v>0</v>
      </c>
      <c r="CG3731" s="76"/>
      <c r="CH3731" s="76">
        <f>+CG3731*22500</f>
        <v>0</v>
      </c>
      <c r="CI3731" s="76"/>
      <c r="CJ3731" s="76">
        <f>+CI3731*26000</f>
        <v>0</v>
      </c>
      <c r="CK3731" s="76"/>
      <c r="CL3731" s="76"/>
      <c r="CM3731" s="76"/>
      <c r="CN3731" s="76">
        <f>+CM3731*22000</f>
        <v>0</v>
      </c>
      <c r="CO3731" s="76"/>
      <c r="CP3731" s="76">
        <f>+CO3731*46000</f>
        <v>0</v>
      </c>
      <c r="CQ3731" s="76"/>
      <c r="CR3731" s="76">
        <f>+CQ3731*49000</f>
        <v>0</v>
      </c>
      <c r="CS3731" s="76"/>
      <c r="CT3731" s="76"/>
      <c r="CU3731" s="56">
        <f>AN3731+AP3731+AR3731+AT3731+AV3731+AX3731+AZ3731+BB3731+BD3731+BF3731+BH3731+BJ3731+BL3731+BN3731+BP3731+BR3731+BT3731+BV3731+BX3731+BZ3731+CB3731+CD3731+CF3731+CH3731+CJ3731+CL3731+CN3731+CP3731+CR3731+CT3731</f>
        <v>0</v>
      </c>
      <c r="CV3731" s="76"/>
      <c r="CW3731" s="76">
        <f>+CV3731*1100</f>
        <v>0</v>
      </c>
      <c r="CX3731" s="76"/>
      <c r="CY3731" s="76">
        <f>+CX3731*106250</f>
        <v>0</v>
      </c>
      <c r="CZ3731" s="76"/>
      <c r="DA3731" s="76">
        <f>+CZ3731*34500</f>
        <v>0</v>
      </c>
      <c r="DB3731" s="76"/>
      <c r="DC3731" s="76">
        <f>+DB3731*25000</f>
        <v>0</v>
      </c>
      <c r="DD3731" s="219"/>
      <c r="DE3731" s="219"/>
      <c r="DF3731" s="166"/>
      <c r="DG3731" s="116"/>
      <c r="DH3731" s="117"/>
      <c r="DI3731" s="24"/>
      <c r="DJ3731" s="24"/>
      <c r="DK3731" s="24"/>
      <c r="DL3731" s="24"/>
      <c r="DM3731" s="24"/>
      <c r="DN3731" s="24"/>
      <c r="DO3731" s="24"/>
      <c r="DP3731" s="24"/>
      <c r="DQ3731" s="24"/>
      <c r="DR3731" s="24"/>
      <c r="DS3731" s="24"/>
      <c r="DT3731" s="24"/>
      <c r="DU3731" s="24"/>
    </row>
    <row r="3732" spans="1:125" s="8" customFormat="1" ht="48" x14ac:dyDescent="0.2">
      <c r="A3732" s="77">
        <v>41603</v>
      </c>
      <c r="B3732" s="78" t="s">
        <v>2700</v>
      </c>
      <c r="C3732" s="75" t="s">
        <v>1375</v>
      </c>
      <c r="D3732" s="75" t="s">
        <v>3088</v>
      </c>
      <c r="E3732" s="75" t="str">
        <f>VLOOKUP(B3732&amp;C3732,Divipola!$C$2:$F$1138,4,FALSE)</f>
        <v>15759</v>
      </c>
      <c r="F3732" s="61"/>
      <c r="G3732" s="61"/>
      <c r="H3732" s="61"/>
      <c r="I3732" s="61"/>
      <c r="J3732" s="61"/>
      <c r="K3732" s="61"/>
      <c r="L3732" s="61"/>
      <c r="M3732" s="61"/>
      <c r="N3732" s="61"/>
      <c r="O3732" s="61"/>
      <c r="P3732" s="61"/>
      <c r="Q3732" s="61"/>
      <c r="R3732" s="61"/>
      <c r="S3732" s="61"/>
      <c r="T3732" s="61"/>
      <c r="U3732" s="61"/>
      <c r="V3732" s="7"/>
      <c r="W3732" s="96">
        <v>0</v>
      </c>
      <c r="X3732" s="71">
        <f>CU3732</f>
        <v>0</v>
      </c>
      <c r="Y3732" s="71">
        <f>CY3732</f>
        <v>0</v>
      </c>
      <c r="Z3732" s="71">
        <f>DA3732+DC3732+DE3732</f>
        <v>0</v>
      </c>
      <c r="AA3732" s="71">
        <f>CW3732</f>
        <v>0</v>
      </c>
      <c r="AB3732" s="71"/>
      <c r="AC3732" s="71">
        <v>535000000</v>
      </c>
      <c r="AD3732" s="71">
        <f>W3732+X3732+Y3732+Z3732+AA3732+AB3732+AC3732</f>
        <v>535000000</v>
      </c>
      <c r="AE3732" s="72">
        <v>0</v>
      </c>
      <c r="AF3732" s="5"/>
      <c r="AG3732" s="6"/>
      <c r="AH3732" s="27"/>
      <c r="AI3732" s="44"/>
      <c r="AJ3732" s="26"/>
      <c r="AK3732" s="5"/>
      <c r="AL3732" s="9" t="s">
        <v>6764</v>
      </c>
      <c r="AM3732" s="76"/>
      <c r="AN3732" s="76"/>
      <c r="AO3732" s="76"/>
      <c r="AP3732" s="76"/>
      <c r="AQ3732" s="76"/>
      <c r="AR3732" s="76"/>
      <c r="AS3732" s="76"/>
      <c r="AT3732" s="76"/>
      <c r="AU3732" s="76"/>
      <c r="AV3732" s="76"/>
      <c r="AW3732" s="76"/>
      <c r="AX3732" s="76">
        <f>+AW3732*600000</f>
        <v>0</v>
      </c>
      <c r="AY3732" s="76"/>
      <c r="AZ3732" s="76">
        <f>+AY3732*70000</f>
        <v>0</v>
      </c>
      <c r="BA3732" s="76"/>
      <c r="BB3732" s="76"/>
      <c r="BC3732" s="76"/>
      <c r="BD3732" s="76">
        <f>+BC3732*30000</f>
        <v>0</v>
      </c>
      <c r="BE3732" s="76"/>
      <c r="BF3732" s="76"/>
      <c r="BG3732" s="76"/>
      <c r="BH3732" s="76"/>
      <c r="BI3732" s="76"/>
      <c r="BJ3732" s="76"/>
      <c r="BK3732" s="76"/>
      <c r="BL3732" s="76">
        <f>+BK3732*31500</f>
        <v>0</v>
      </c>
      <c r="BM3732" s="76"/>
      <c r="BN3732" s="76"/>
      <c r="BO3732" s="76"/>
      <c r="BP3732" s="76"/>
      <c r="BQ3732" s="76"/>
      <c r="BR3732" s="76"/>
      <c r="BS3732" s="76"/>
      <c r="BT3732" s="76"/>
      <c r="BU3732" s="76"/>
      <c r="BV3732" s="76"/>
      <c r="BW3732" s="76"/>
      <c r="BX3732" s="76"/>
      <c r="BY3732" s="76"/>
      <c r="BZ3732" s="76"/>
      <c r="CA3732" s="76"/>
      <c r="CB3732" s="76"/>
      <c r="CC3732" s="76"/>
      <c r="CD3732" s="76"/>
      <c r="CE3732" s="76"/>
      <c r="CF3732" s="76">
        <f>+CE3732*28000</f>
        <v>0</v>
      </c>
      <c r="CG3732" s="76"/>
      <c r="CH3732" s="76">
        <f>+CG3732*22500</f>
        <v>0</v>
      </c>
      <c r="CI3732" s="76"/>
      <c r="CJ3732" s="76">
        <f>+CI3732*26000</f>
        <v>0</v>
      </c>
      <c r="CK3732" s="76"/>
      <c r="CL3732" s="76"/>
      <c r="CM3732" s="76"/>
      <c r="CN3732" s="76">
        <f>+CM3732*22000</f>
        <v>0</v>
      </c>
      <c r="CO3732" s="76"/>
      <c r="CP3732" s="76">
        <f>+CO3732*46000</f>
        <v>0</v>
      </c>
      <c r="CQ3732" s="76"/>
      <c r="CR3732" s="76">
        <f>+CQ3732*49000</f>
        <v>0</v>
      </c>
      <c r="CS3732" s="76"/>
      <c r="CT3732" s="76"/>
      <c r="CU3732" s="56">
        <f>AN3732+AP3732+AR3732+AT3732+AV3732+AX3732+AZ3732+BB3732+BD3732+BF3732+BH3732+BJ3732+BL3732+BN3732+BP3732+BR3732+BT3732+BV3732+BX3732+BZ3732+CB3732+CD3732+CF3732+CH3732+CJ3732+CL3732+CN3732+CP3732+CR3732+CT3732</f>
        <v>0</v>
      </c>
      <c r="CV3732" s="76"/>
      <c r="CW3732" s="76">
        <f>+CV3732*1100</f>
        <v>0</v>
      </c>
      <c r="CX3732" s="76"/>
      <c r="CY3732" s="76">
        <f>+CX3732*106250</f>
        <v>0</v>
      </c>
      <c r="CZ3732" s="76"/>
      <c r="DA3732" s="76">
        <f>+CZ3732*34500</f>
        <v>0</v>
      </c>
      <c r="DB3732" s="76"/>
      <c r="DC3732" s="76">
        <f>+DB3732*25000</f>
        <v>0</v>
      </c>
      <c r="DD3732" s="219"/>
      <c r="DE3732" s="219"/>
      <c r="DF3732" s="166" t="s">
        <v>3248</v>
      </c>
      <c r="DG3732" s="134" t="s">
        <v>6765</v>
      </c>
      <c r="DH3732" s="117"/>
      <c r="DI3732" s="24"/>
      <c r="DJ3732" s="24"/>
      <c r="DK3732" s="24"/>
      <c r="DL3732" s="24"/>
      <c r="DM3732" s="24"/>
      <c r="DN3732" s="24"/>
      <c r="DO3732" s="24"/>
      <c r="DP3732" s="24"/>
      <c r="DQ3732" s="24"/>
      <c r="DR3732" s="24"/>
      <c r="DS3732" s="24"/>
      <c r="DT3732" s="24"/>
      <c r="DU3732" s="24"/>
    </row>
    <row r="3733" spans="1:125" s="8" customFormat="1" ht="84" x14ac:dyDescent="0.2">
      <c r="A3733" s="77">
        <v>41603</v>
      </c>
      <c r="B3733" s="78" t="s">
        <v>2880</v>
      </c>
      <c r="C3733" s="75" t="s">
        <v>2840</v>
      </c>
      <c r="D3733" s="75" t="s">
        <v>4538</v>
      </c>
      <c r="E3733" s="75" t="str">
        <f>VLOOKUP(B3733&amp;C3733,Divipola!$C$2:$F$1138,4,FALSE)</f>
        <v>54871</v>
      </c>
      <c r="F3733" s="61"/>
      <c r="G3733" s="61"/>
      <c r="H3733" s="61"/>
      <c r="I3733" s="61"/>
      <c r="J3733" s="61"/>
      <c r="K3733" s="61"/>
      <c r="L3733" s="61"/>
      <c r="M3733" s="61"/>
      <c r="N3733" s="61"/>
      <c r="O3733" s="61"/>
      <c r="P3733" s="61"/>
      <c r="Q3733" s="61"/>
      <c r="R3733" s="61"/>
      <c r="S3733" s="61"/>
      <c r="T3733" s="61"/>
      <c r="U3733" s="61"/>
      <c r="V3733" s="7"/>
      <c r="W3733" s="96">
        <v>0</v>
      </c>
      <c r="X3733" s="71">
        <f>CU3733</f>
        <v>0</v>
      </c>
      <c r="Y3733" s="71">
        <f>CY3733</f>
        <v>0</v>
      </c>
      <c r="Z3733" s="71">
        <f>DA3733+DC3733+DE3733</f>
        <v>0</v>
      </c>
      <c r="AA3733" s="71">
        <f>CW3733</f>
        <v>0</v>
      </c>
      <c r="AB3733" s="71"/>
      <c r="AC3733" s="71">
        <v>349999498</v>
      </c>
      <c r="AD3733" s="71">
        <f>W3733+X3733+Y3733+Z3733+AA3733+AB3733+AC3733</f>
        <v>349999498</v>
      </c>
      <c r="AE3733" s="72">
        <v>0</v>
      </c>
      <c r="AF3733" s="5"/>
      <c r="AG3733" s="6"/>
      <c r="AH3733" s="27"/>
      <c r="AI3733" s="44"/>
      <c r="AJ3733" s="26"/>
      <c r="AK3733" s="5"/>
      <c r="AL3733" s="9" t="s">
        <v>6766</v>
      </c>
      <c r="AM3733" s="76"/>
      <c r="AN3733" s="76"/>
      <c r="AO3733" s="76"/>
      <c r="AP3733" s="76"/>
      <c r="AQ3733" s="76"/>
      <c r="AR3733" s="76"/>
      <c r="AS3733" s="76"/>
      <c r="AT3733" s="76"/>
      <c r="AU3733" s="76"/>
      <c r="AV3733" s="76"/>
      <c r="AW3733" s="76"/>
      <c r="AX3733" s="76">
        <f>+AW3733*600000</f>
        <v>0</v>
      </c>
      <c r="AY3733" s="76"/>
      <c r="AZ3733" s="76">
        <f>+AY3733*70000</f>
        <v>0</v>
      </c>
      <c r="BA3733" s="76"/>
      <c r="BB3733" s="76"/>
      <c r="BC3733" s="76"/>
      <c r="BD3733" s="76">
        <f>+BC3733*30000</f>
        <v>0</v>
      </c>
      <c r="BE3733" s="76"/>
      <c r="BF3733" s="76"/>
      <c r="BG3733" s="76"/>
      <c r="BH3733" s="76"/>
      <c r="BI3733" s="76"/>
      <c r="BJ3733" s="76"/>
      <c r="BK3733" s="76"/>
      <c r="BL3733" s="76">
        <f>+BK3733*31500</f>
        <v>0</v>
      </c>
      <c r="BM3733" s="76"/>
      <c r="BN3733" s="76"/>
      <c r="BO3733" s="76"/>
      <c r="BP3733" s="76"/>
      <c r="BQ3733" s="76"/>
      <c r="BR3733" s="76"/>
      <c r="BS3733" s="76"/>
      <c r="BT3733" s="76"/>
      <c r="BU3733" s="76"/>
      <c r="BV3733" s="76"/>
      <c r="BW3733" s="76"/>
      <c r="BX3733" s="76"/>
      <c r="BY3733" s="76"/>
      <c r="BZ3733" s="76"/>
      <c r="CA3733" s="76"/>
      <c r="CB3733" s="76"/>
      <c r="CC3733" s="76"/>
      <c r="CD3733" s="76"/>
      <c r="CE3733" s="76"/>
      <c r="CF3733" s="76">
        <f>+CE3733*28000</f>
        <v>0</v>
      </c>
      <c r="CG3733" s="76"/>
      <c r="CH3733" s="76">
        <f>+CG3733*22500</f>
        <v>0</v>
      </c>
      <c r="CI3733" s="76"/>
      <c r="CJ3733" s="76">
        <f>+CI3733*26000</f>
        <v>0</v>
      </c>
      <c r="CK3733" s="76"/>
      <c r="CL3733" s="76"/>
      <c r="CM3733" s="76"/>
      <c r="CN3733" s="76">
        <f>+CM3733*22000</f>
        <v>0</v>
      </c>
      <c r="CO3733" s="76"/>
      <c r="CP3733" s="76">
        <f>+CO3733*46000</f>
        <v>0</v>
      </c>
      <c r="CQ3733" s="76"/>
      <c r="CR3733" s="76">
        <f>+CQ3733*49000</f>
        <v>0</v>
      </c>
      <c r="CS3733" s="76"/>
      <c r="CT3733" s="76"/>
      <c r="CU3733" s="56">
        <f>AN3733+AP3733+AR3733+AT3733+AV3733+AX3733+AZ3733+BB3733+BD3733+BF3733+BH3733+BJ3733+BL3733+BN3733+BP3733+BR3733+BT3733+BV3733+BX3733+BZ3733+CB3733+CD3733+CF3733+CH3733+CJ3733+CL3733+CN3733+CP3733+CR3733+CT3733</f>
        <v>0</v>
      </c>
      <c r="CV3733" s="76"/>
      <c r="CW3733" s="76">
        <f>+CV3733*1100</f>
        <v>0</v>
      </c>
      <c r="CX3733" s="76"/>
      <c r="CY3733" s="76">
        <f>+CX3733*106250</f>
        <v>0</v>
      </c>
      <c r="CZ3733" s="76"/>
      <c r="DA3733" s="76">
        <f>+CZ3733*34500</f>
        <v>0</v>
      </c>
      <c r="DB3733" s="76"/>
      <c r="DC3733" s="76">
        <f>+DB3733*25000</f>
        <v>0</v>
      </c>
      <c r="DD3733" s="219"/>
      <c r="DE3733" s="219"/>
      <c r="DF3733" s="166" t="s">
        <v>3248</v>
      </c>
      <c r="DG3733" s="134" t="s">
        <v>6767</v>
      </c>
      <c r="DH3733" s="117"/>
      <c r="DI3733" s="24"/>
      <c r="DJ3733" s="24"/>
      <c r="DK3733" s="24"/>
      <c r="DL3733" s="24"/>
      <c r="DM3733" s="24"/>
      <c r="DN3733" s="24"/>
      <c r="DO3733" s="24"/>
      <c r="DP3733" s="24"/>
      <c r="DQ3733" s="24"/>
      <c r="DR3733" s="24"/>
      <c r="DS3733" s="24"/>
      <c r="DT3733" s="24"/>
      <c r="DU3733" s="24"/>
    </row>
    <row r="3734" spans="1:125" s="8" customFormat="1" ht="36" x14ac:dyDescent="0.2">
      <c r="A3734" s="77">
        <v>41603</v>
      </c>
      <c r="B3734" s="78" t="s">
        <v>2881</v>
      </c>
      <c r="C3734" s="75" t="s">
        <v>1416</v>
      </c>
      <c r="D3734" s="75" t="s">
        <v>3051</v>
      </c>
      <c r="E3734" s="75" t="str">
        <f>VLOOKUP(B3734&amp;C3734,Divipola!$C$2:$F$1138,4,FALSE)</f>
        <v>08436</v>
      </c>
      <c r="F3734" s="61"/>
      <c r="G3734" s="61"/>
      <c r="H3734" s="61"/>
      <c r="I3734" s="61"/>
      <c r="J3734" s="61"/>
      <c r="K3734" s="61"/>
      <c r="L3734" s="61"/>
      <c r="M3734" s="61"/>
      <c r="N3734" s="61"/>
      <c r="O3734" s="61"/>
      <c r="P3734" s="61"/>
      <c r="Q3734" s="61"/>
      <c r="R3734" s="61"/>
      <c r="S3734" s="61"/>
      <c r="T3734" s="61"/>
      <c r="U3734" s="61"/>
      <c r="V3734" s="7"/>
      <c r="W3734" s="96">
        <v>9000000</v>
      </c>
      <c r="X3734" s="71">
        <f>CU3734</f>
        <v>0</v>
      </c>
      <c r="Y3734" s="71">
        <f>CY3734</f>
        <v>0</v>
      </c>
      <c r="Z3734" s="71">
        <f>DA3734+DC3734+DE3734</f>
        <v>0</v>
      </c>
      <c r="AA3734" s="71">
        <f>CW3734</f>
        <v>0</v>
      </c>
      <c r="AB3734" s="71"/>
      <c r="AC3734" s="71">
        <v>0</v>
      </c>
      <c r="AD3734" s="71">
        <f>W3734+X3734+Y3734+Z3734+AA3734+AB3734+AC3734</f>
        <v>9000000</v>
      </c>
      <c r="AE3734" s="72">
        <v>0</v>
      </c>
      <c r="AF3734" s="5"/>
      <c r="AG3734" s="6"/>
      <c r="AH3734" s="27"/>
      <c r="AI3734" s="44"/>
      <c r="AJ3734" s="26"/>
      <c r="AK3734" s="5"/>
      <c r="AL3734" s="9" t="s">
        <v>6768</v>
      </c>
      <c r="AM3734" s="76"/>
      <c r="AN3734" s="76"/>
      <c r="AO3734" s="76"/>
      <c r="AP3734" s="76"/>
      <c r="AQ3734" s="76"/>
      <c r="AR3734" s="76"/>
      <c r="AS3734" s="76"/>
      <c r="AT3734" s="76"/>
      <c r="AU3734" s="76"/>
      <c r="AV3734" s="76"/>
      <c r="AW3734" s="76"/>
      <c r="AX3734" s="76">
        <f>+AW3734*600000</f>
        <v>0</v>
      </c>
      <c r="AY3734" s="76"/>
      <c r="AZ3734" s="76">
        <f>+AY3734*70000</f>
        <v>0</v>
      </c>
      <c r="BA3734" s="76"/>
      <c r="BB3734" s="76"/>
      <c r="BC3734" s="76"/>
      <c r="BD3734" s="76">
        <f>+BC3734*30000</f>
        <v>0</v>
      </c>
      <c r="BE3734" s="76"/>
      <c r="BF3734" s="76"/>
      <c r="BG3734" s="76"/>
      <c r="BH3734" s="76"/>
      <c r="BI3734" s="76"/>
      <c r="BJ3734" s="76"/>
      <c r="BK3734" s="76"/>
      <c r="BL3734" s="76">
        <f>+BK3734*31500</f>
        <v>0</v>
      </c>
      <c r="BM3734" s="76"/>
      <c r="BN3734" s="76"/>
      <c r="BO3734" s="76"/>
      <c r="BP3734" s="76"/>
      <c r="BQ3734" s="76"/>
      <c r="BR3734" s="76"/>
      <c r="BS3734" s="76"/>
      <c r="BT3734" s="76"/>
      <c r="BU3734" s="76"/>
      <c r="BV3734" s="76"/>
      <c r="BW3734" s="76"/>
      <c r="BX3734" s="76"/>
      <c r="BY3734" s="76"/>
      <c r="BZ3734" s="76"/>
      <c r="CA3734" s="76"/>
      <c r="CB3734" s="76"/>
      <c r="CC3734" s="76"/>
      <c r="CD3734" s="76"/>
      <c r="CE3734" s="76"/>
      <c r="CF3734" s="76">
        <f>+CE3734*28000</f>
        <v>0</v>
      </c>
      <c r="CG3734" s="76"/>
      <c r="CH3734" s="76">
        <f>+CG3734*22500</f>
        <v>0</v>
      </c>
      <c r="CI3734" s="76"/>
      <c r="CJ3734" s="76">
        <f>+CI3734*26000</f>
        <v>0</v>
      </c>
      <c r="CK3734" s="76"/>
      <c r="CL3734" s="76"/>
      <c r="CM3734" s="76"/>
      <c r="CN3734" s="76">
        <f>+CM3734*22000</f>
        <v>0</v>
      </c>
      <c r="CO3734" s="76"/>
      <c r="CP3734" s="76">
        <f>+CO3734*46000</f>
        <v>0</v>
      </c>
      <c r="CQ3734" s="76"/>
      <c r="CR3734" s="76">
        <f>+CQ3734*49000</f>
        <v>0</v>
      </c>
      <c r="CS3734" s="76"/>
      <c r="CT3734" s="76"/>
      <c r="CU3734" s="56">
        <f>AN3734+AP3734+AR3734+AT3734+AV3734+AX3734+AZ3734+BB3734+BD3734+BF3734+BH3734+BJ3734+BL3734+BN3734+BP3734+BR3734+BT3734+BV3734+BX3734+BZ3734+CB3734+CD3734+CF3734+CH3734+CJ3734+CL3734+CN3734+CP3734+CR3734+CT3734</f>
        <v>0</v>
      </c>
      <c r="CV3734" s="76"/>
      <c r="CW3734" s="76">
        <f>+CV3734*1100</f>
        <v>0</v>
      </c>
      <c r="CX3734" s="76"/>
      <c r="CY3734" s="76">
        <f>+CX3734*106250</f>
        <v>0</v>
      </c>
      <c r="CZ3734" s="76"/>
      <c r="DA3734" s="76">
        <f>+CZ3734*34500</f>
        <v>0</v>
      </c>
      <c r="DB3734" s="76"/>
      <c r="DC3734" s="76">
        <f>+DB3734*25000</f>
        <v>0</v>
      </c>
      <c r="DD3734" s="219"/>
      <c r="DE3734" s="219"/>
      <c r="DF3734" s="166"/>
      <c r="DG3734" s="116"/>
      <c r="DH3734" s="117"/>
      <c r="DI3734" s="24"/>
      <c r="DJ3734" s="24"/>
      <c r="DK3734" s="24"/>
      <c r="DL3734" s="24"/>
      <c r="DM3734" s="24"/>
      <c r="DN3734" s="24"/>
      <c r="DO3734" s="24"/>
      <c r="DP3734" s="24"/>
      <c r="DQ3734" s="24"/>
      <c r="DR3734" s="24"/>
      <c r="DS3734" s="24"/>
      <c r="DT3734" s="24"/>
      <c r="DU3734" s="24"/>
    </row>
    <row r="3735" spans="1:125" s="8" customFormat="1" ht="36" x14ac:dyDescent="0.2">
      <c r="A3735" s="353">
        <v>41603</v>
      </c>
      <c r="B3735" s="352" t="s">
        <v>3131</v>
      </c>
      <c r="C3735" s="354" t="s">
        <v>2264</v>
      </c>
      <c r="D3735" s="354" t="s">
        <v>2882</v>
      </c>
      <c r="E3735" s="75" t="str">
        <f>VLOOKUP(B3735&amp;C3735,Divipola!$C$2:$F$1138,4,FALSE)</f>
        <v>86568</v>
      </c>
      <c r="F3735" s="87"/>
      <c r="G3735" s="87"/>
      <c r="H3735" s="87"/>
      <c r="I3735" s="87"/>
      <c r="J3735" s="87"/>
      <c r="K3735" s="87"/>
      <c r="L3735" s="87"/>
      <c r="M3735" s="87"/>
      <c r="N3735" s="87"/>
      <c r="O3735" s="87"/>
      <c r="P3735" s="87"/>
      <c r="Q3735" s="87"/>
      <c r="R3735" s="87"/>
      <c r="S3735" s="87"/>
      <c r="T3735" s="87"/>
      <c r="U3735" s="88"/>
      <c r="V3735" s="89"/>
      <c r="W3735" s="96">
        <v>0</v>
      </c>
      <c r="X3735" s="71">
        <f>CU3735</f>
        <v>0</v>
      </c>
      <c r="Y3735" s="71">
        <f>CY3735</f>
        <v>0</v>
      </c>
      <c r="Z3735" s="71">
        <f>DA3735+DC3735+DE3735</f>
        <v>0</v>
      </c>
      <c r="AA3735" s="71">
        <f>CW3735</f>
        <v>0</v>
      </c>
      <c r="AB3735" s="71"/>
      <c r="AC3735" s="71">
        <v>0</v>
      </c>
      <c r="AD3735" s="71">
        <f>W3735+X3735+Y3735+Z3735+AA3735+AB3735+AC3735</f>
        <v>0</v>
      </c>
      <c r="AE3735" s="72">
        <v>0</v>
      </c>
      <c r="AF3735" s="5"/>
      <c r="AG3735" s="6"/>
      <c r="AH3735" s="27"/>
      <c r="AI3735" s="44"/>
      <c r="AJ3735" s="26"/>
      <c r="AK3735" s="5"/>
      <c r="AL3735" s="82" t="s">
        <v>6769</v>
      </c>
      <c r="AM3735" s="76"/>
      <c r="AN3735" s="76"/>
      <c r="AO3735" s="76"/>
      <c r="AP3735" s="76"/>
      <c r="AQ3735" s="76"/>
      <c r="AR3735" s="76"/>
      <c r="AS3735" s="76"/>
      <c r="AT3735" s="76"/>
      <c r="AU3735" s="76"/>
      <c r="AV3735" s="76"/>
      <c r="AW3735" s="76"/>
      <c r="AX3735" s="76">
        <f>+AW3735*600000</f>
        <v>0</v>
      </c>
      <c r="AY3735" s="76"/>
      <c r="AZ3735" s="76">
        <f>+AY3735*70000</f>
        <v>0</v>
      </c>
      <c r="BA3735" s="76"/>
      <c r="BB3735" s="76"/>
      <c r="BC3735" s="76"/>
      <c r="BD3735" s="76">
        <f>+BC3735*30000</f>
        <v>0</v>
      </c>
      <c r="BE3735" s="76"/>
      <c r="BF3735" s="76"/>
      <c r="BG3735" s="76"/>
      <c r="BH3735" s="76"/>
      <c r="BI3735" s="76"/>
      <c r="BJ3735" s="76"/>
      <c r="BK3735" s="76"/>
      <c r="BL3735" s="76">
        <f>+BK3735*31500</f>
        <v>0</v>
      </c>
      <c r="BM3735" s="76"/>
      <c r="BN3735" s="76"/>
      <c r="BO3735" s="76"/>
      <c r="BP3735" s="76"/>
      <c r="BQ3735" s="76"/>
      <c r="BR3735" s="76"/>
      <c r="BS3735" s="76"/>
      <c r="BT3735" s="76"/>
      <c r="BU3735" s="76"/>
      <c r="BV3735" s="76"/>
      <c r="BW3735" s="76"/>
      <c r="BX3735" s="76"/>
      <c r="BY3735" s="76"/>
      <c r="BZ3735" s="76"/>
      <c r="CA3735" s="76"/>
      <c r="CB3735" s="76"/>
      <c r="CC3735" s="76"/>
      <c r="CD3735" s="76"/>
      <c r="CE3735" s="76"/>
      <c r="CF3735" s="76">
        <f>+CE3735*28000</f>
        <v>0</v>
      </c>
      <c r="CG3735" s="76"/>
      <c r="CH3735" s="76">
        <f>+CG3735*22500</f>
        <v>0</v>
      </c>
      <c r="CI3735" s="76"/>
      <c r="CJ3735" s="76">
        <f>+CI3735*26000</f>
        <v>0</v>
      </c>
      <c r="CK3735" s="76"/>
      <c r="CL3735" s="76"/>
      <c r="CM3735" s="76"/>
      <c r="CN3735" s="76">
        <f>+CM3735*22000</f>
        <v>0</v>
      </c>
      <c r="CO3735" s="76"/>
      <c r="CP3735" s="76">
        <f>+CO3735*46000</f>
        <v>0</v>
      </c>
      <c r="CQ3735" s="76"/>
      <c r="CR3735" s="76">
        <f>+CQ3735*49000</f>
        <v>0</v>
      </c>
      <c r="CS3735" s="76"/>
      <c r="CT3735" s="76"/>
      <c r="CU3735" s="56">
        <f>AN3735+AP3735+AR3735+AT3735+AV3735+AX3735+AZ3735+BB3735+BD3735+BF3735+BH3735+BJ3735+BL3735+BN3735+BP3735+BR3735+BT3735+BV3735+BX3735+BZ3735+CB3735+CD3735+CF3735+CH3735+CJ3735+CL3735+CN3735+CP3735+CR3735+CT3735</f>
        <v>0</v>
      </c>
      <c r="CV3735" s="76"/>
      <c r="CW3735" s="76">
        <f>+CV3735*1100</f>
        <v>0</v>
      </c>
      <c r="CX3735" s="76"/>
      <c r="CY3735" s="76">
        <f>+CX3735*106250</f>
        <v>0</v>
      </c>
      <c r="CZ3735" s="76"/>
      <c r="DA3735" s="76">
        <f>+CZ3735*34500</f>
        <v>0</v>
      </c>
      <c r="DB3735" s="76"/>
      <c r="DC3735" s="76">
        <f>+DB3735*25000</f>
        <v>0</v>
      </c>
      <c r="DD3735" s="219"/>
      <c r="DE3735" s="219"/>
      <c r="DF3735" s="166"/>
      <c r="DG3735" s="116"/>
      <c r="DH3735" s="117"/>
      <c r="DI3735" s="24"/>
      <c r="DJ3735" s="24"/>
      <c r="DK3735" s="24"/>
      <c r="DL3735" s="24"/>
      <c r="DM3735" s="24"/>
      <c r="DN3735" s="24"/>
      <c r="DO3735" s="24"/>
      <c r="DP3735" s="24"/>
      <c r="DQ3735" s="24"/>
      <c r="DR3735" s="24"/>
      <c r="DS3735" s="24"/>
      <c r="DT3735" s="24"/>
      <c r="DU3735" s="24"/>
    </row>
    <row r="3736" spans="1:125" s="8" customFormat="1" ht="144" x14ac:dyDescent="0.2">
      <c r="A3736" s="77">
        <v>41603</v>
      </c>
      <c r="B3736" s="78" t="s">
        <v>2854</v>
      </c>
      <c r="C3736" s="75" t="s">
        <v>831</v>
      </c>
      <c r="D3736" s="75" t="s">
        <v>3088</v>
      </c>
      <c r="E3736" s="75" t="str">
        <f>VLOOKUP(B3736&amp;C3736,Divipola!$C$2:$F$1138,4,FALSE)</f>
        <v>19137</v>
      </c>
      <c r="F3736" s="87"/>
      <c r="G3736" s="87"/>
      <c r="H3736" s="87"/>
      <c r="I3736" s="87">
        <v>4</v>
      </c>
      <c r="J3736" s="87">
        <v>1</v>
      </c>
      <c r="K3736" s="87"/>
      <c r="L3736" s="87">
        <v>1</v>
      </c>
      <c r="M3736" s="87"/>
      <c r="N3736" s="87"/>
      <c r="O3736" s="87"/>
      <c r="P3736" s="87"/>
      <c r="Q3736" s="87"/>
      <c r="R3736" s="87"/>
      <c r="S3736" s="87"/>
      <c r="T3736" s="87"/>
      <c r="U3736" s="88"/>
      <c r="V3736" s="89"/>
      <c r="W3736" s="96">
        <v>0</v>
      </c>
      <c r="X3736" s="71">
        <f>CU3736</f>
        <v>0</v>
      </c>
      <c r="Y3736" s="71">
        <f>CY3736</f>
        <v>0</v>
      </c>
      <c r="Z3736" s="71">
        <f>DA3736+DC3736+DE3736</f>
        <v>0</v>
      </c>
      <c r="AA3736" s="71">
        <f>CW3736</f>
        <v>0</v>
      </c>
      <c r="AB3736" s="71"/>
      <c r="AC3736" s="71">
        <v>0</v>
      </c>
      <c r="AD3736" s="71">
        <f>W3736+X3736+Y3736+Z3736+AA3736+AB3736+AC3736</f>
        <v>0</v>
      </c>
      <c r="AE3736" s="72">
        <v>0</v>
      </c>
      <c r="AF3736" s="5"/>
      <c r="AG3736" s="6"/>
      <c r="AH3736" s="27"/>
      <c r="AI3736" s="44"/>
      <c r="AJ3736" s="26"/>
      <c r="AK3736" s="5"/>
      <c r="AL3736" s="268" t="s">
        <v>6770</v>
      </c>
      <c r="AM3736" s="76"/>
      <c r="AN3736" s="76"/>
      <c r="AO3736" s="76"/>
      <c r="AP3736" s="76"/>
      <c r="AQ3736" s="76"/>
      <c r="AR3736" s="76"/>
      <c r="AS3736" s="76"/>
      <c r="AT3736" s="76"/>
      <c r="AU3736" s="76"/>
      <c r="AV3736" s="76"/>
      <c r="AW3736" s="76"/>
      <c r="AX3736" s="76">
        <f>+AW3736*600000</f>
        <v>0</v>
      </c>
      <c r="AY3736" s="76"/>
      <c r="AZ3736" s="76">
        <f>+AY3736*70000</f>
        <v>0</v>
      </c>
      <c r="BA3736" s="76"/>
      <c r="BB3736" s="76"/>
      <c r="BC3736" s="76"/>
      <c r="BD3736" s="76">
        <f>+BC3736*30000</f>
        <v>0</v>
      </c>
      <c r="BE3736" s="76"/>
      <c r="BF3736" s="76"/>
      <c r="BG3736" s="76"/>
      <c r="BH3736" s="76"/>
      <c r="BI3736" s="76"/>
      <c r="BJ3736" s="76"/>
      <c r="BK3736" s="76"/>
      <c r="BL3736" s="76">
        <f>+BK3736*31500</f>
        <v>0</v>
      </c>
      <c r="BM3736" s="76"/>
      <c r="BN3736" s="76"/>
      <c r="BO3736" s="76"/>
      <c r="BP3736" s="76"/>
      <c r="BQ3736" s="76"/>
      <c r="BR3736" s="76"/>
      <c r="BS3736" s="76"/>
      <c r="BT3736" s="76"/>
      <c r="BU3736" s="76"/>
      <c r="BV3736" s="76"/>
      <c r="BW3736" s="76"/>
      <c r="BX3736" s="76"/>
      <c r="BY3736" s="76"/>
      <c r="BZ3736" s="76"/>
      <c r="CA3736" s="76"/>
      <c r="CB3736" s="76"/>
      <c r="CC3736" s="76"/>
      <c r="CD3736" s="76"/>
      <c r="CE3736" s="76"/>
      <c r="CF3736" s="76">
        <f>+CE3736*28000</f>
        <v>0</v>
      </c>
      <c r="CG3736" s="76"/>
      <c r="CH3736" s="76">
        <f>+CG3736*22500</f>
        <v>0</v>
      </c>
      <c r="CI3736" s="76"/>
      <c r="CJ3736" s="76">
        <f>+CI3736*26000</f>
        <v>0</v>
      </c>
      <c r="CK3736" s="76"/>
      <c r="CL3736" s="76"/>
      <c r="CM3736" s="76"/>
      <c r="CN3736" s="76">
        <f>+CM3736*22000</f>
        <v>0</v>
      </c>
      <c r="CO3736" s="76"/>
      <c r="CP3736" s="76">
        <f>+CO3736*46000</f>
        <v>0</v>
      </c>
      <c r="CQ3736" s="76"/>
      <c r="CR3736" s="76">
        <f>+CQ3736*49000</f>
        <v>0</v>
      </c>
      <c r="CS3736" s="76"/>
      <c r="CT3736" s="76"/>
      <c r="CU3736" s="56">
        <f>AN3736+AP3736+AR3736+AT3736+AV3736+AX3736+AZ3736+BB3736+BD3736+BF3736+BH3736+BJ3736+BL3736+BN3736+BP3736+BR3736+BT3736+BV3736+BX3736+BZ3736+CB3736+CD3736+CF3736+CH3736+CJ3736+CL3736+CN3736+CP3736+CR3736+CT3736</f>
        <v>0</v>
      </c>
      <c r="CV3736" s="76"/>
      <c r="CW3736" s="76">
        <f>+CV3736*1100</f>
        <v>0</v>
      </c>
      <c r="CX3736" s="76"/>
      <c r="CY3736" s="76">
        <f>+CX3736*106250</f>
        <v>0</v>
      </c>
      <c r="CZ3736" s="76"/>
      <c r="DA3736" s="76">
        <f>+CZ3736*34500</f>
        <v>0</v>
      </c>
      <c r="DB3736" s="76"/>
      <c r="DC3736" s="76">
        <f>+DB3736*25000</f>
        <v>0</v>
      </c>
      <c r="DD3736" s="219"/>
      <c r="DE3736" s="219"/>
      <c r="DF3736" s="166"/>
      <c r="DG3736" s="116"/>
      <c r="DH3736" s="117"/>
      <c r="DI3736" s="24"/>
      <c r="DJ3736" s="24"/>
      <c r="DK3736" s="24"/>
      <c r="DL3736" s="24"/>
      <c r="DM3736" s="24"/>
      <c r="DN3736" s="24"/>
      <c r="DO3736" s="24"/>
      <c r="DP3736" s="24"/>
      <c r="DQ3736" s="24"/>
      <c r="DR3736" s="24"/>
      <c r="DS3736" s="24"/>
      <c r="DT3736" s="24"/>
      <c r="DU3736" s="24"/>
    </row>
    <row r="3737" spans="1:125" s="8" customFormat="1" ht="120" x14ac:dyDescent="0.2">
      <c r="A3737" s="77">
        <v>41603</v>
      </c>
      <c r="B3737" s="352" t="s">
        <v>2854</v>
      </c>
      <c r="C3737" s="354" t="s">
        <v>2731</v>
      </c>
      <c r="D3737" s="354" t="s">
        <v>3051</v>
      </c>
      <c r="E3737" s="75" t="str">
        <f>VLOOKUP(B3737&amp;C3737,Divipola!$C$2:$F$1138,4,FALSE)</f>
        <v>19001</v>
      </c>
      <c r="F3737" s="87"/>
      <c r="G3737" s="87"/>
      <c r="H3737" s="87"/>
      <c r="I3737" s="87">
        <v>300</v>
      </c>
      <c r="J3737" s="87">
        <v>60</v>
      </c>
      <c r="K3737" s="87"/>
      <c r="L3737" s="87">
        <v>60</v>
      </c>
      <c r="M3737" s="87"/>
      <c r="N3737" s="87"/>
      <c r="O3737" s="87"/>
      <c r="P3737" s="87"/>
      <c r="Q3737" s="87"/>
      <c r="R3737" s="87"/>
      <c r="S3737" s="87"/>
      <c r="T3737" s="87"/>
      <c r="U3737" s="88"/>
      <c r="V3737" s="89"/>
      <c r="W3737" s="96">
        <v>0</v>
      </c>
      <c r="X3737" s="71">
        <f>CU3737</f>
        <v>0</v>
      </c>
      <c r="Y3737" s="71">
        <f>CY3737</f>
        <v>0</v>
      </c>
      <c r="Z3737" s="71">
        <f>DA3737+DC3737+DE3737</f>
        <v>0</v>
      </c>
      <c r="AA3737" s="71">
        <f>CW3737</f>
        <v>0</v>
      </c>
      <c r="AB3737" s="71"/>
      <c r="AC3737" s="71">
        <v>0</v>
      </c>
      <c r="AD3737" s="71">
        <f>W3737+X3737+Y3737+Z3737+AA3737+AB3737+AC3737</f>
        <v>0</v>
      </c>
      <c r="AE3737" s="72">
        <v>0</v>
      </c>
      <c r="AF3737" s="5"/>
      <c r="AG3737" s="6"/>
      <c r="AH3737" s="27"/>
      <c r="AI3737" s="44"/>
      <c r="AJ3737" s="26"/>
      <c r="AK3737" s="5"/>
      <c r="AL3737" s="82" t="s">
        <v>6771</v>
      </c>
      <c r="AM3737" s="76"/>
      <c r="AN3737" s="76"/>
      <c r="AO3737" s="76"/>
      <c r="AP3737" s="76"/>
      <c r="AQ3737" s="76"/>
      <c r="AR3737" s="76"/>
      <c r="AS3737" s="76"/>
      <c r="AT3737" s="76"/>
      <c r="AU3737" s="76"/>
      <c r="AV3737" s="76"/>
      <c r="AW3737" s="76"/>
      <c r="AX3737" s="76">
        <f>+AW3737*600000</f>
        <v>0</v>
      </c>
      <c r="AY3737" s="76"/>
      <c r="AZ3737" s="76">
        <f>+AY3737*70000</f>
        <v>0</v>
      </c>
      <c r="BA3737" s="76"/>
      <c r="BB3737" s="76"/>
      <c r="BC3737" s="76"/>
      <c r="BD3737" s="76">
        <f>+BC3737*30000</f>
        <v>0</v>
      </c>
      <c r="BE3737" s="76"/>
      <c r="BF3737" s="76"/>
      <c r="BG3737" s="76"/>
      <c r="BH3737" s="76"/>
      <c r="BI3737" s="76"/>
      <c r="BJ3737" s="76"/>
      <c r="BK3737" s="76"/>
      <c r="BL3737" s="76">
        <f>+BK3737*31500</f>
        <v>0</v>
      </c>
      <c r="BM3737" s="76"/>
      <c r="BN3737" s="76"/>
      <c r="BO3737" s="76"/>
      <c r="BP3737" s="76"/>
      <c r="BQ3737" s="76"/>
      <c r="BR3737" s="76"/>
      <c r="BS3737" s="76"/>
      <c r="BT3737" s="76"/>
      <c r="BU3737" s="76"/>
      <c r="BV3737" s="76"/>
      <c r="BW3737" s="76"/>
      <c r="BX3737" s="76"/>
      <c r="BY3737" s="76"/>
      <c r="BZ3737" s="76"/>
      <c r="CA3737" s="76"/>
      <c r="CB3737" s="76"/>
      <c r="CC3737" s="76"/>
      <c r="CD3737" s="76"/>
      <c r="CE3737" s="76"/>
      <c r="CF3737" s="76">
        <f>+CE3737*28000</f>
        <v>0</v>
      </c>
      <c r="CG3737" s="76"/>
      <c r="CH3737" s="76">
        <f>+CG3737*22500</f>
        <v>0</v>
      </c>
      <c r="CI3737" s="76"/>
      <c r="CJ3737" s="76">
        <f>+CI3737*26000</f>
        <v>0</v>
      </c>
      <c r="CK3737" s="76"/>
      <c r="CL3737" s="76"/>
      <c r="CM3737" s="76"/>
      <c r="CN3737" s="76">
        <f>+CM3737*22000</f>
        <v>0</v>
      </c>
      <c r="CO3737" s="76"/>
      <c r="CP3737" s="76">
        <f>+CO3737*46000</f>
        <v>0</v>
      </c>
      <c r="CQ3737" s="76"/>
      <c r="CR3737" s="76">
        <f>+CQ3737*49000</f>
        <v>0</v>
      </c>
      <c r="CS3737" s="76"/>
      <c r="CT3737" s="76"/>
      <c r="CU3737" s="56">
        <f>AN3737+AP3737+AR3737+AT3737+AV3737+AX3737+AZ3737+BB3737+BD3737+BF3737+BH3737+BJ3737+BL3737+BN3737+BP3737+BR3737+BT3737+BV3737+BX3737+BZ3737+CB3737+CD3737+CF3737+CH3737+CJ3737+CL3737+CN3737+CP3737+CR3737+CT3737</f>
        <v>0</v>
      </c>
      <c r="CV3737" s="76"/>
      <c r="CW3737" s="76">
        <f>+CV3737*1100</f>
        <v>0</v>
      </c>
      <c r="CX3737" s="76"/>
      <c r="CY3737" s="76">
        <f>+CX3737*106250</f>
        <v>0</v>
      </c>
      <c r="CZ3737" s="76"/>
      <c r="DA3737" s="76">
        <f>+CZ3737*34500</f>
        <v>0</v>
      </c>
      <c r="DB3737" s="76"/>
      <c r="DC3737" s="76">
        <f>+DB3737*25000</f>
        <v>0</v>
      </c>
      <c r="DD3737" s="219"/>
      <c r="DE3737" s="219"/>
      <c r="DF3737" s="166"/>
      <c r="DG3737" s="116"/>
      <c r="DH3737" s="117"/>
      <c r="DI3737" s="24"/>
      <c r="DJ3737" s="24"/>
      <c r="DK3737" s="24"/>
      <c r="DL3737" s="24"/>
      <c r="DM3737" s="24"/>
      <c r="DN3737" s="24"/>
      <c r="DO3737" s="24"/>
      <c r="DP3737" s="24"/>
      <c r="DQ3737" s="24"/>
      <c r="DR3737" s="24"/>
      <c r="DS3737" s="24"/>
      <c r="DT3737" s="24"/>
      <c r="DU3737" s="24"/>
    </row>
    <row r="3738" spans="1:125" s="8" customFormat="1" ht="72" x14ac:dyDescent="0.2">
      <c r="A3738" s="77">
        <v>41603</v>
      </c>
      <c r="B3738" s="78" t="s">
        <v>2772</v>
      </c>
      <c r="C3738" s="75" t="s">
        <v>2831</v>
      </c>
      <c r="D3738" s="75" t="s">
        <v>2846</v>
      </c>
      <c r="E3738" s="75" t="str">
        <f>VLOOKUP(B3738&amp;C3738,Divipola!$C$2:$F$1138,4,FALSE)</f>
        <v>25592</v>
      </c>
      <c r="F3738" s="87"/>
      <c r="G3738" s="87"/>
      <c r="H3738" s="87"/>
      <c r="I3738" s="87"/>
      <c r="J3738" s="87"/>
      <c r="K3738" s="87"/>
      <c r="L3738" s="87"/>
      <c r="M3738" s="87"/>
      <c r="N3738" s="87"/>
      <c r="O3738" s="87"/>
      <c r="P3738" s="87"/>
      <c r="Q3738" s="87"/>
      <c r="R3738" s="87"/>
      <c r="S3738" s="87"/>
      <c r="T3738" s="87"/>
      <c r="U3738" s="88">
        <v>3</v>
      </c>
      <c r="V3738" s="89"/>
      <c r="W3738" s="96">
        <v>0</v>
      </c>
      <c r="X3738" s="71">
        <f>CU3738</f>
        <v>0</v>
      </c>
      <c r="Y3738" s="71">
        <f>CY3738</f>
        <v>0</v>
      </c>
      <c r="Z3738" s="71">
        <f>DA3738+DC3738+DE3738</f>
        <v>0</v>
      </c>
      <c r="AA3738" s="71">
        <f>CW3738</f>
        <v>0</v>
      </c>
      <c r="AB3738" s="71"/>
      <c r="AC3738" s="71">
        <v>0</v>
      </c>
      <c r="AD3738" s="71">
        <f>W3738+X3738+Y3738+Z3738+AA3738+AB3738+AC3738</f>
        <v>0</v>
      </c>
      <c r="AE3738" s="72">
        <v>0</v>
      </c>
      <c r="AF3738" s="5"/>
      <c r="AG3738" s="6"/>
      <c r="AH3738" s="27"/>
      <c r="AI3738" s="44"/>
      <c r="AJ3738" s="26"/>
      <c r="AK3738" s="5"/>
      <c r="AL3738" s="268" t="s">
        <v>6774</v>
      </c>
      <c r="AM3738" s="76"/>
      <c r="AN3738" s="76"/>
      <c r="AO3738" s="76"/>
      <c r="AP3738" s="76"/>
      <c r="AQ3738" s="76"/>
      <c r="AR3738" s="76"/>
      <c r="AS3738" s="76"/>
      <c r="AT3738" s="76"/>
      <c r="AU3738" s="76"/>
      <c r="AV3738" s="76"/>
      <c r="AW3738" s="76"/>
      <c r="AX3738" s="76">
        <f>+AW3738*600000</f>
        <v>0</v>
      </c>
      <c r="AY3738" s="76"/>
      <c r="AZ3738" s="76">
        <f>+AY3738*70000</f>
        <v>0</v>
      </c>
      <c r="BA3738" s="76"/>
      <c r="BB3738" s="76"/>
      <c r="BC3738" s="76"/>
      <c r="BD3738" s="76">
        <f>+BC3738*30000</f>
        <v>0</v>
      </c>
      <c r="BE3738" s="76"/>
      <c r="BF3738" s="76"/>
      <c r="BG3738" s="76"/>
      <c r="BH3738" s="76"/>
      <c r="BI3738" s="76"/>
      <c r="BJ3738" s="76"/>
      <c r="BK3738" s="76"/>
      <c r="BL3738" s="76">
        <f>+BK3738*31500</f>
        <v>0</v>
      </c>
      <c r="BM3738" s="76"/>
      <c r="BN3738" s="76"/>
      <c r="BO3738" s="76"/>
      <c r="BP3738" s="76"/>
      <c r="BQ3738" s="76"/>
      <c r="BR3738" s="76"/>
      <c r="BS3738" s="76"/>
      <c r="BT3738" s="76"/>
      <c r="BU3738" s="76"/>
      <c r="BV3738" s="76"/>
      <c r="BW3738" s="76"/>
      <c r="BX3738" s="76"/>
      <c r="BY3738" s="76"/>
      <c r="BZ3738" s="76"/>
      <c r="CA3738" s="76"/>
      <c r="CB3738" s="76"/>
      <c r="CC3738" s="76"/>
      <c r="CD3738" s="76"/>
      <c r="CE3738" s="76"/>
      <c r="CF3738" s="76">
        <f>+CE3738*28000</f>
        <v>0</v>
      </c>
      <c r="CG3738" s="76"/>
      <c r="CH3738" s="76">
        <f>+CG3738*22500</f>
        <v>0</v>
      </c>
      <c r="CI3738" s="76"/>
      <c r="CJ3738" s="76">
        <f>+CI3738*26000</f>
        <v>0</v>
      </c>
      <c r="CK3738" s="76"/>
      <c r="CL3738" s="76"/>
      <c r="CM3738" s="76"/>
      <c r="CN3738" s="76">
        <f>+CM3738*22000</f>
        <v>0</v>
      </c>
      <c r="CO3738" s="76"/>
      <c r="CP3738" s="76">
        <f>+CO3738*46000</f>
        <v>0</v>
      </c>
      <c r="CQ3738" s="76"/>
      <c r="CR3738" s="76">
        <f>+CQ3738*49000</f>
        <v>0</v>
      </c>
      <c r="CS3738" s="76"/>
      <c r="CT3738" s="76"/>
      <c r="CU3738" s="56">
        <f>AN3738+AP3738+AR3738+AT3738+AV3738+AX3738+AZ3738+BB3738+BD3738+BF3738+BH3738+BJ3738+BL3738+BN3738+BP3738+BR3738+BT3738+BV3738+BX3738+BZ3738+CB3738+CD3738+CF3738+CH3738+CJ3738+CL3738+CN3738+CP3738+CR3738+CT3738</f>
        <v>0</v>
      </c>
      <c r="CV3738" s="76"/>
      <c r="CW3738" s="76">
        <f>+CV3738*1100</f>
        <v>0</v>
      </c>
      <c r="CX3738" s="76"/>
      <c r="CY3738" s="76">
        <f>+CX3738*106250</f>
        <v>0</v>
      </c>
      <c r="CZ3738" s="76"/>
      <c r="DA3738" s="76">
        <f>+CZ3738*34500</f>
        <v>0</v>
      </c>
      <c r="DB3738" s="76"/>
      <c r="DC3738" s="76">
        <f>+DB3738*25000</f>
        <v>0</v>
      </c>
      <c r="DD3738" s="219"/>
      <c r="DE3738" s="219"/>
      <c r="DF3738" s="166"/>
      <c r="DG3738" s="116"/>
      <c r="DH3738" s="117"/>
      <c r="DI3738" s="24"/>
      <c r="DJ3738" s="24"/>
      <c r="DK3738" s="24"/>
      <c r="DL3738" s="24"/>
      <c r="DM3738" s="24"/>
      <c r="DN3738" s="24"/>
      <c r="DO3738" s="24"/>
      <c r="DP3738" s="24"/>
      <c r="DQ3738" s="24"/>
      <c r="DR3738" s="24"/>
      <c r="DS3738" s="24"/>
      <c r="DT3738" s="24"/>
      <c r="DU3738" s="24"/>
    </row>
    <row r="3739" spans="1:125" s="8" customFormat="1" ht="132" x14ac:dyDescent="0.2">
      <c r="A3739" s="353">
        <v>41603</v>
      </c>
      <c r="B3739" s="208" t="s">
        <v>2772</v>
      </c>
      <c r="C3739" s="354" t="s">
        <v>2664</v>
      </c>
      <c r="D3739" s="354" t="s">
        <v>2936</v>
      </c>
      <c r="E3739" s="75" t="str">
        <f>VLOOKUP(B3739&amp;C3739,Divipola!$C$2:$F$1138,4,FALSE)</f>
        <v>25815</v>
      </c>
      <c r="F3739" s="87">
        <v>1</v>
      </c>
      <c r="G3739" s="87"/>
      <c r="H3739" s="87"/>
      <c r="I3739" s="87">
        <v>15</v>
      </c>
      <c r="J3739" s="87">
        <v>3</v>
      </c>
      <c r="K3739" s="87">
        <v>1</v>
      </c>
      <c r="L3739" s="87">
        <v>2</v>
      </c>
      <c r="M3739" s="87"/>
      <c r="N3739" s="87"/>
      <c r="O3739" s="87"/>
      <c r="P3739" s="87"/>
      <c r="Q3739" s="87"/>
      <c r="R3739" s="87"/>
      <c r="S3739" s="87"/>
      <c r="T3739" s="87"/>
      <c r="U3739" s="88"/>
      <c r="V3739" s="89"/>
      <c r="W3739" s="96">
        <v>0</v>
      </c>
      <c r="X3739" s="71">
        <f>CU3739</f>
        <v>0</v>
      </c>
      <c r="Y3739" s="71">
        <f>CY3739</f>
        <v>0</v>
      </c>
      <c r="Z3739" s="71">
        <f>DA3739+DC3739+DE3739</f>
        <v>0</v>
      </c>
      <c r="AA3739" s="71">
        <f>CW3739</f>
        <v>0</v>
      </c>
      <c r="AB3739" s="71"/>
      <c r="AC3739" s="71">
        <v>0</v>
      </c>
      <c r="AD3739" s="71">
        <f>W3739+X3739+Y3739+Z3739+AA3739+AB3739+AC3739</f>
        <v>0</v>
      </c>
      <c r="AE3739" s="72">
        <v>0</v>
      </c>
      <c r="AF3739" s="5"/>
      <c r="AG3739" s="6"/>
      <c r="AH3739" s="27"/>
      <c r="AI3739" s="44"/>
      <c r="AJ3739" s="26"/>
      <c r="AK3739" s="5"/>
      <c r="AL3739" s="82" t="s">
        <v>6775</v>
      </c>
      <c r="AM3739" s="76"/>
      <c r="AN3739" s="76"/>
      <c r="AO3739" s="76"/>
      <c r="AP3739" s="76"/>
      <c r="AQ3739" s="76"/>
      <c r="AR3739" s="76"/>
      <c r="AS3739" s="76"/>
      <c r="AT3739" s="76"/>
      <c r="AU3739" s="76"/>
      <c r="AV3739" s="76"/>
      <c r="AW3739" s="76"/>
      <c r="AX3739" s="76">
        <f>+AW3739*600000</f>
        <v>0</v>
      </c>
      <c r="AY3739" s="76"/>
      <c r="AZ3739" s="76">
        <f>+AY3739*70000</f>
        <v>0</v>
      </c>
      <c r="BA3739" s="76"/>
      <c r="BB3739" s="76"/>
      <c r="BC3739" s="76"/>
      <c r="BD3739" s="76">
        <f>+BC3739*30000</f>
        <v>0</v>
      </c>
      <c r="BE3739" s="76"/>
      <c r="BF3739" s="76"/>
      <c r="BG3739" s="76"/>
      <c r="BH3739" s="76"/>
      <c r="BI3739" s="76"/>
      <c r="BJ3739" s="76"/>
      <c r="BK3739" s="76"/>
      <c r="BL3739" s="76">
        <f>+BK3739*31500</f>
        <v>0</v>
      </c>
      <c r="BM3739" s="76"/>
      <c r="BN3739" s="76"/>
      <c r="BO3739" s="76"/>
      <c r="BP3739" s="76"/>
      <c r="BQ3739" s="76"/>
      <c r="BR3739" s="76"/>
      <c r="BS3739" s="76"/>
      <c r="BT3739" s="76"/>
      <c r="BU3739" s="76"/>
      <c r="BV3739" s="76"/>
      <c r="BW3739" s="76"/>
      <c r="BX3739" s="76"/>
      <c r="BY3739" s="76"/>
      <c r="BZ3739" s="76"/>
      <c r="CA3739" s="76"/>
      <c r="CB3739" s="76"/>
      <c r="CC3739" s="76"/>
      <c r="CD3739" s="76"/>
      <c r="CE3739" s="76"/>
      <c r="CF3739" s="76">
        <f>+CE3739*28000</f>
        <v>0</v>
      </c>
      <c r="CG3739" s="76"/>
      <c r="CH3739" s="76">
        <f>+CG3739*22500</f>
        <v>0</v>
      </c>
      <c r="CI3739" s="76"/>
      <c r="CJ3739" s="76">
        <f>+CI3739*26000</f>
        <v>0</v>
      </c>
      <c r="CK3739" s="76"/>
      <c r="CL3739" s="76"/>
      <c r="CM3739" s="76"/>
      <c r="CN3739" s="76">
        <f>+CM3739*22000</f>
        <v>0</v>
      </c>
      <c r="CO3739" s="76"/>
      <c r="CP3739" s="76">
        <f>+CO3739*46000</f>
        <v>0</v>
      </c>
      <c r="CQ3739" s="76"/>
      <c r="CR3739" s="76">
        <f>+CQ3739*49000</f>
        <v>0</v>
      </c>
      <c r="CS3739" s="76"/>
      <c r="CT3739" s="76"/>
      <c r="CU3739" s="56">
        <f>AN3739+AP3739+AR3739+AT3739+AV3739+AX3739+AZ3739+BB3739+BD3739+BF3739+BH3739+BJ3739+BL3739+BN3739+BP3739+BR3739+BT3739+BV3739+BX3739+BZ3739+CB3739+CD3739+CF3739+CH3739+CJ3739+CL3739+CN3739+CP3739+CR3739+CT3739</f>
        <v>0</v>
      </c>
      <c r="CV3739" s="76"/>
      <c r="CW3739" s="76">
        <f>+CV3739*1100</f>
        <v>0</v>
      </c>
      <c r="CX3739" s="76"/>
      <c r="CY3739" s="76">
        <f>+CX3739*106250</f>
        <v>0</v>
      </c>
      <c r="CZ3739" s="76"/>
      <c r="DA3739" s="76">
        <f>+CZ3739*34500</f>
        <v>0</v>
      </c>
      <c r="DB3739" s="76"/>
      <c r="DC3739" s="76">
        <f>+DB3739*25000</f>
        <v>0</v>
      </c>
      <c r="DD3739" s="219"/>
      <c r="DE3739" s="219"/>
      <c r="DF3739" s="166"/>
      <c r="DG3739" s="116"/>
      <c r="DH3739" s="117"/>
      <c r="DI3739" s="24"/>
      <c r="DJ3739" s="24"/>
      <c r="DK3739" s="24"/>
      <c r="DL3739" s="24"/>
      <c r="DM3739" s="24"/>
      <c r="DN3739" s="24"/>
      <c r="DO3739" s="24"/>
      <c r="DP3739" s="24"/>
      <c r="DQ3739" s="24"/>
      <c r="DR3739" s="24"/>
      <c r="DS3739" s="24"/>
      <c r="DT3739" s="24"/>
      <c r="DU3739" s="24"/>
    </row>
    <row r="3740" spans="1:125" s="8" customFormat="1" ht="84" x14ac:dyDescent="0.2">
      <c r="A3740" s="77">
        <v>41604</v>
      </c>
      <c r="B3740" s="78" t="s">
        <v>2847</v>
      </c>
      <c r="C3740" s="75" t="s">
        <v>355</v>
      </c>
      <c r="D3740" s="75" t="s">
        <v>3463</v>
      </c>
      <c r="E3740" s="75" t="str">
        <f>VLOOKUP(B3740&amp;C3740,Divipola!$C$2:$F$1138,4,FALSE)</f>
        <v>68296</v>
      </c>
      <c r="F3740" s="87"/>
      <c r="G3740" s="87"/>
      <c r="H3740" s="87"/>
      <c r="I3740" s="87"/>
      <c r="J3740" s="87"/>
      <c r="K3740" s="87"/>
      <c r="L3740" s="87"/>
      <c r="M3740" s="87"/>
      <c r="N3740" s="87"/>
      <c r="O3740" s="87"/>
      <c r="P3740" s="87"/>
      <c r="Q3740" s="87"/>
      <c r="R3740" s="87"/>
      <c r="S3740" s="87"/>
      <c r="T3740" s="87"/>
      <c r="U3740" s="88"/>
      <c r="V3740" s="89"/>
      <c r="W3740" s="96">
        <v>0</v>
      </c>
      <c r="X3740" s="71">
        <f>CU3740</f>
        <v>0</v>
      </c>
      <c r="Y3740" s="71">
        <f>CY3740</f>
        <v>0</v>
      </c>
      <c r="Z3740" s="71">
        <f>DA3740+DC3740+DE3740</f>
        <v>0</v>
      </c>
      <c r="AA3740" s="71">
        <f>CW3740</f>
        <v>0</v>
      </c>
      <c r="AB3740" s="71"/>
      <c r="AC3740" s="71">
        <v>0</v>
      </c>
      <c r="AD3740" s="71">
        <f>W3740+X3740+Y3740+Z3740+AA3740+AB3740+AC3740</f>
        <v>0</v>
      </c>
      <c r="AE3740" s="72">
        <v>0</v>
      </c>
      <c r="AF3740" s="5"/>
      <c r="AG3740" s="6"/>
      <c r="AH3740" s="27"/>
      <c r="AI3740" s="44"/>
      <c r="AJ3740" s="26"/>
      <c r="AK3740" s="5"/>
      <c r="AL3740" s="268" t="s">
        <v>6772</v>
      </c>
      <c r="AM3740" s="76"/>
      <c r="AN3740" s="76"/>
      <c r="AO3740" s="76"/>
      <c r="AP3740" s="76"/>
      <c r="AQ3740" s="76"/>
      <c r="AR3740" s="76"/>
      <c r="AS3740" s="76"/>
      <c r="AT3740" s="76"/>
      <c r="AU3740" s="76"/>
      <c r="AV3740" s="76"/>
      <c r="AW3740" s="76"/>
      <c r="AX3740" s="76">
        <f>+AW3740*600000</f>
        <v>0</v>
      </c>
      <c r="AY3740" s="76"/>
      <c r="AZ3740" s="76">
        <f>+AY3740*70000</f>
        <v>0</v>
      </c>
      <c r="BA3740" s="76"/>
      <c r="BB3740" s="76"/>
      <c r="BC3740" s="76"/>
      <c r="BD3740" s="76">
        <f>+BC3740*30000</f>
        <v>0</v>
      </c>
      <c r="BE3740" s="76"/>
      <c r="BF3740" s="76"/>
      <c r="BG3740" s="76"/>
      <c r="BH3740" s="76"/>
      <c r="BI3740" s="76"/>
      <c r="BJ3740" s="76"/>
      <c r="BK3740" s="76"/>
      <c r="BL3740" s="76">
        <f>+BK3740*31500</f>
        <v>0</v>
      </c>
      <c r="BM3740" s="76"/>
      <c r="BN3740" s="76"/>
      <c r="BO3740" s="76"/>
      <c r="BP3740" s="76"/>
      <c r="BQ3740" s="76"/>
      <c r="BR3740" s="76"/>
      <c r="BS3740" s="76"/>
      <c r="BT3740" s="76"/>
      <c r="BU3740" s="76"/>
      <c r="BV3740" s="76"/>
      <c r="BW3740" s="76"/>
      <c r="BX3740" s="76"/>
      <c r="BY3740" s="76"/>
      <c r="BZ3740" s="76"/>
      <c r="CA3740" s="76"/>
      <c r="CB3740" s="76"/>
      <c r="CC3740" s="76"/>
      <c r="CD3740" s="76"/>
      <c r="CE3740" s="76"/>
      <c r="CF3740" s="76">
        <f>+CE3740*28000</f>
        <v>0</v>
      </c>
      <c r="CG3740" s="76"/>
      <c r="CH3740" s="76">
        <f>+CG3740*22500</f>
        <v>0</v>
      </c>
      <c r="CI3740" s="76"/>
      <c r="CJ3740" s="76">
        <f>+CI3740*26000</f>
        <v>0</v>
      </c>
      <c r="CK3740" s="76"/>
      <c r="CL3740" s="76"/>
      <c r="CM3740" s="76"/>
      <c r="CN3740" s="76">
        <f>+CM3740*22000</f>
        <v>0</v>
      </c>
      <c r="CO3740" s="76"/>
      <c r="CP3740" s="76">
        <f>+CO3740*46000</f>
        <v>0</v>
      </c>
      <c r="CQ3740" s="76"/>
      <c r="CR3740" s="76">
        <f>+CQ3740*49000</f>
        <v>0</v>
      </c>
      <c r="CS3740" s="76"/>
      <c r="CT3740" s="76"/>
      <c r="CU3740" s="56">
        <f>AN3740+AP3740+AR3740+AT3740+AV3740+AX3740+AZ3740+BB3740+BD3740+BF3740+BH3740+BJ3740+BL3740+BN3740+BP3740+BR3740+BT3740+BV3740+BX3740+BZ3740+CB3740+CD3740+CF3740+CH3740+CJ3740+CL3740+CN3740+CP3740+CR3740+CT3740</f>
        <v>0</v>
      </c>
      <c r="CV3740" s="76"/>
      <c r="CW3740" s="76">
        <f>+CV3740*1100</f>
        <v>0</v>
      </c>
      <c r="CX3740" s="76"/>
      <c r="CY3740" s="76">
        <f>+CX3740*106250</f>
        <v>0</v>
      </c>
      <c r="CZ3740" s="76"/>
      <c r="DA3740" s="76">
        <f>+CZ3740*34500</f>
        <v>0</v>
      </c>
      <c r="DB3740" s="76"/>
      <c r="DC3740" s="76">
        <f>+DB3740*25000</f>
        <v>0</v>
      </c>
      <c r="DD3740" s="219"/>
      <c r="DE3740" s="219"/>
      <c r="DF3740" s="166"/>
      <c r="DG3740" s="116"/>
      <c r="DH3740" s="117"/>
      <c r="DI3740" s="24"/>
      <c r="DJ3740" s="24"/>
      <c r="DK3740" s="24"/>
      <c r="DL3740" s="24"/>
      <c r="DM3740" s="24"/>
      <c r="DN3740" s="24"/>
      <c r="DO3740" s="24"/>
      <c r="DP3740" s="24"/>
      <c r="DQ3740" s="24"/>
      <c r="DR3740" s="24"/>
      <c r="DS3740" s="24"/>
      <c r="DT3740" s="24"/>
      <c r="DU3740" s="24"/>
    </row>
    <row r="3741" spans="1:125" s="8" customFormat="1" ht="48" x14ac:dyDescent="0.2">
      <c r="A3741" s="353">
        <v>41604</v>
      </c>
      <c r="B3741" s="352" t="s">
        <v>2894</v>
      </c>
      <c r="C3741" s="354" t="s">
        <v>2822</v>
      </c>
      <c r="D3741" s="354" t="s">
        <v>3088</v>
      </c>
      <c r="E3741" s="75" t="str">
        <f>VLOOKUP(B3741&amp;C3741,Divipola!$C$2:$F$1138,4,FALSE)</f>
        <v>05631</v>
      </c>
      <c r="F3741" s="87"/>
      <c r="G3741" s="87"/>
      <c r="H3741" s="87"/>
      <c r="I3741" s="87">
        <v>5</v>
      </c>
      <c r="J3741" s="87">
        <v>1</v>
      </c>
      <c r="K3741" s="87">
        <v>1</v>
      </c>
      <c r="L3741" s="87"/>
      <c r="M3741" s="87"/>
      <c r="N3741" s="87"/>
      <c r="O3741" s="87"/>
      <c r="P3741" s="87"/>
      <c r="Q3741" s="87"/>
      <c r="R3741" s="87"/>
      <c r="S3741" s="87"/>
      <c r="T3741" s="87"/>
      <c r="U3741" s="88"/>
      <c r="V3741" s="89"/>
      <c r="W3741" s="96">
        <v>0</v>
      </c>
      <c r="X3741" s="71">
        <f>CU3741</f>
        <v>0</v>
      </c>
      <c r="Y3741" s="71">
        <f>CY3741</f>
        <v>0</v>
      </c>
      <c r="Z3741" s="71">
        <f>DA3741+DC3741+DE3741</f>
        <v>0</v>
      </c>
      <c r="AA3741" s="71">
        <f>CW3741</f>
        <v>0</v>
      </c>
      <c r="AB3741" s="71"/>
      <c r="AC3741" s="71">
        <v>0</v>
      </c>
      <c r="AD3741" s="71">
        <f>W3741+X3741+Y3741+Z3741+AA3741+AB3741+AC3741</f>
        <v>0</v>
      </c>
      <c r="AE3741" s="72">
        <v>0</v>
      </c>
      <c r="AF3741" s="5"/>
      <c r="AG3741" s="6"/>
      <c r="AH3741" s="27"/>
      <c r="AI3741" s="44"/>
      <c r="AJ3741" s="26"/>
      <c r="AK3741" s="5"/>
      <c r="AL3741" s="82" t="s">
        <v>6773</v>
      </c>
      <c r="AM3741" s="76"/>
      <c r="AN3741" s="76"/>
      <c r="AO3741" s="76"/>
      <c r="AP3741" s="76"/>
      <c r="AQ3741" s="76"/>
      <c r="AR3741" s="76"/>
      <c r="AS3741" s="76"/>
      <c r="AT3741" s="76"/>
      <c r="AU3741" s="76"/>
      <c r="AV3741" s="76"/>
      <c r="AW3741" s="76"/>
      <c r="AX3741" s="76">
        <f>+AW3741*600000</f>
        <v>0</v>
      </c>
      <c r="AY3741" s="76"/>
      <c r="AZ3741" s="76">
        <f>+AY3741*70000</f>
        <v>0</v>
      </c>
      <c r="BA3741" s="76"/>
      <c r="BB3741" s="76"/>
      <c r="BC3741" s="76"/>
      <c r="BD3741" s="76">
        <f>+BC3741*30000</f>
        <v>0</v>
      </c>
      <c r="BE3741" s="76"/>
      <c r="BF3741" s="76"/>
      <c r="BG3741" s="76"/>
      <c r="BH3741" s="76"/>
      <c r="BI3741" s="76"/>
      <c r="BJ3741" s="76"/>
      <c r="BK3741" s="76"/>
      <c r="BL3741" s="76">
        <f>+BK3741*31500</f>
        <v>0</v>
      </c>
      <c r="BM3741" s="76"/>
      <c r="BN3741" s="76"/>
      <c r="BO3741" s="76"/>
      <c r="BP3741" s="76"/>
      <c r="BQ3741" s="76"/>
      <c r="BR3741" s="76"/>
      <c r="BS3741" s="76"/>
      <c r="BT3741" s="76"/>
      <c r="BU3741" s="76"/>
      <c r="BV3741" s="76"/>
      <c r="BW3741" s="76"/>
      <c r="BX3741" s="76"/>
      <c r="BY3741" s="76"/>
      <c r="BZ3741" s="76"/>
      <c r="CA3741" s="76"/>
      <c r="CB3741" s="76"/>
      <c r="CC3741" s="76"/>
      <c r="CD3741" s="76"/>
      <c r="CE3741" s="76"/>
      <c r="CF3741" s="76">
        <f>+CE3741*28000</f>
        <v>0</v>
      </c>
      <c r="CG3741" s="76"/>
      <c r="CH3741" s="76">
        <f>+CG3741*22500</f>
        <v>0</v>
      </c>
      <c r="CI3741" s="76"/>
      <c r="CJ3741" s="76">
        <f>+CI3741*26000</f>
        <v>0</v>
      </c>
      <c r="CK3741" s="76"/>
      <c r="CL3741" s="76"/>
      <c r="CM3741" s="76"/>
      <c r="CN3741" s="76">
        <f>+CM3741*22000</f>
        <v>0</v>
      </c>
      <c r="CO3741" s="76"/>
      <c r="CP3741" s="76">
        <f>+CO3741*46000</f>
        <v>0</v>
      </c>
      <c r="CQ3741" s="76"/>
      <c r="CR3741" s="76">
        <f>+CQ3741*49000</f>
        <v>0</v>
      </c>
      <c r="CS3741" s="76"/>
      <c r="CT3741" s="76"/>
      <c r="CU3741" s="56">
        <f>AN3741+AP3741+AR3741+AT3741+AV3741+AX3741+AZ3741+BB3741+BD3741+BF3741+BH3741+BJ3741+BL3741+BN3741+BP3741+BR3741+BT3741+BV3741+BX3741+BZ3741+CB3741+CD3741+CF3741+CH3741+CJ3741+CL3741+CN3741+CP3741+CR3741+CT3741</f>
        <v>0</v>
      </c>
      <c r="CV3741" s="76"/>
      <c r="CW3741" s="76">
        <f>+CV3741*1100</f>
        <v>0</v>
      </c>
      <c r="CX3741" s="76"/>
      <c r="CY3741" s="76">
        <f>+CX3741*106250</f>
        <v>0</v>
      </c>
      <c r="CZ3741" s="76"/>
      <c r="DA3741" s="76">
        <f>+CZ3741*34500</f>
        <v>0</v>
      </c>
      <c r="DB3741" s="76"/>
      <c r="DC3741" s="76">
        <f>+DB3741*25000</f>
        <v>0</v>
      </c>
      <c r="DD3741" s="219"/>
      <c r="DE3741" s="219"/>
      <c r="DF3741" s="166"/>
      <c r="DG3741" s="116"/>
      <c r="DH3741" s="117"/>
      <c r="DI3741" s="24"/>
      <c r="DJ3741" s="24"/>
      <c r="DK3741" s="24"/>
      <c r="DL3741" s="24"/>
      <c r="DM3741" s="24"/>
      <c r="DN3741" s="24"/>
      <c r="DO3741" s="24"/>
      <c r="DP3741" s="24"/>
      <c r="DQ3741" s="24"/>
      <c r="DR3741" s="24"/>
      <c r="DS3741" s="24"/>
      <c r="DT3741" s="24"/>
      <c r="DU3741" s="24"/>
    </row>
    <row r="3742" spans="1:125" s="8" customFormat="1" ht="252" x14ac:dyDescent="0.2">
      <c r="A3742" s="77">
        <v>41604</v>
      </c>
      <c r="B3742" s="78" t="s">
        <v>2894</v>
      </c>
      <c r="C3742" s="75" t="s">
        <v>2648</v>
      </c>
      <c r="D3742" s="75" t="s">
        <v>3051</v>
      </c>
      <c r="E3742" s="75" t="str">
        <f>VLOOKUP(B3742&amp;C3742,Divipola!$C$2:$F$1138,4,FALSE)</f>
        <v>05895</v>
      </c>
      <c r="F3742" s="87"/>
      <c r="G3742" s="87"/>
      <c r="H3742" s="87"/>
      <c r="I3742" s="87">
        <v>725</v>
      </c>
      <c r="J3742" s="87">
        <v>145</v>
      </c>
      <c r="K3742" s="87"/>
      <c r="L3742" s="87">
        <v>145</v>
      </c>
      <c r="M3742" s="87"/>
      <c r="N3742" s="87"/>
      <c r="O3742" s="87"/>
      <c r="P3742" s="87"/>
      <c r="Q3742" s="87"/>
      <c r="R3742" s="87"/>
      <c r="S3742" s="87"/>
      <c r="T3742" s="87"/>
      <c r="U3742" s="88"/>
      <c r="V3742" s="89"/>
      <c r="W3742" s="96">
        <v>0</v>
      </c>
      <c r="X3742" s="71">
        <f>CU3742</f>
        <v>0</v>
      </c>
      <c r="Y3742" s="71">
        <f>CY3742</f>
        <v>0</v>
      </c>
      <c r="Z3742" s="71">
        <f>DA3742+DC3742+DE3742</f>
        <v>0</v>
      </c>
      <c r="AA3742" s="71">
        <f>CW3742</f>
        <v>0</v>
      </c>
      <c r="AB3742" s="71"/>
      <c r="AC3742" s="71">
        <v>0</v>
      </c>
      <c r="AD3742" s="71">
        <f>W3742+X3742+Y3742+Z3742+AA3742+AB3742+AC3742</f>
        <v>0</v>
      </c>
      <c r="AE3742" s="72">
        <v>0</v>
      </c>
      <c r="AF3742" s="5"/>
      <c r="AG3742" s="6"/>
      <c r="AH3742" s="27"/>
      <c r="AI3742" s="44"/>
      <c r="AJ3742" s="26"/>
      <c r="AK3742" s="5"/>
      <c r="AL3742" s="278" t="s">
        <v>6778</v>
      </c>
      <c r="AM3742" s="76"/>
      <c r="AN3742" s="76"/>
      <c r="AO3742" s="76"/>
      <c r="AP3742" s="76"/>
      <c r="AQ3742" s="76"/>
      <c r="AR3742" s="76"/>
      <c r="AS3742" s="76"/>
      <c r="AT3742" s="76"/>
      <c r="AU3742" s="76"/>
      <c r="AV3742" s="76"/>
      <c r="AW3742" s="76"/>
      <c r="AX3742" s="76">
        <f>+AW3742*600000</f>
        <v>0</v>
      </c>
      <c r="AY3742" s="76"/>
      <c r="AZ3742" s="76">
        <f>+AY3742*70000</f>
        <v>0</v>
      </c>
      <c r="BA3742" s="76"/>
      <c r="BB3742" s="76"/>
      <c r="BC3742" s="76"/>
      <c r="BD3742" s="76">
        <f>+BC3742*30000</f>
        <v>0</v>
      </c>
      <c r="BE3742" s="76"/>
      <c r="BF3742" s="76"/>
      <c r="BG3742" s="76"/>
      <c r="BH3742" s="76"/>
      <c r="BI3742" s="76"/>
      <c r="BJ3742" s="76"/>
      <c r="BK3742" s="76"/>
      <c r="BL3742" s="76">
        <f>+BK3742*31500</f>
        <v>0</v>
      </c>
      <c r="BM3742" s="76"/>
      <c r="BN3742" s="76"/>
      <c r="BO3742" s="76"/>
      <c r="BP3742" s="76"/>
      <c r="BQ3742" s="76"/>
      <c r="BR3742" s="76"/>
      <c r="BS3742" s="76"/>
      <c r="BT3742" s="76"/>
      <c r="BU3742" s="76"/>
      <c r="BV3742" s="76"/>
      <c r="BW3742" s="76"/>
      <c r="BX3742" s="76"/>
      <c r="BY3742" s="76"/>
      <c r="BZ3742" s="76"/>
      <c r="CA3742" s="76"/>
      <c r="CB3742" s="76"/>
      <c r="CC3742" s="76"/>
      <c r="CD3742" s="76"/>
      <c r="CE3742" s="76"/>
      <c r="CF3742" s="76">
        <f>+CE3742*28000</f>
        <v>0</v>
      </c>
      <c r="CG3742" s="76"/>
      <c r="CH3742" s="76">
        <f>+CG3742*22500</f>
        <v>0</v>
      </c>
      <c r="CI3742" s="76"/>
      <c r="CJ3742" s="76">
        <f>+CI3742*26000</f>
        <v>0</v>
      </c>
      <c r="CK3742" s="76"/>
      <c r="CL3742" s="76"/>
      <c r="CM3742" s="76"/>
      <c r="CN3742" s="76">
        <f>+CM3742*22000</f>
        <v>0</v>
      </c>
      <c r="CO3742" s="76"/>
      <c r="CP3742" s="76">
        <f>+CO3742*46000</f>
        <v>0</v>
      </c>
      <c r="CQ3742" s="76"/>
      <c r="CR3742" s="76">
        <f>+CQ3742*49000</f>
        <v>0</v>
      </c>
      <c r="CS3742" s="76"/>
      <c r="CT3742" s="76"/>
      <c r="CU3742" s="56">
        <f>AN3742+AP3742+AR3742+AT3742+AV3742+AX3742+AZ3742+BB3742+BD3742+BF3742+BH3742+BJ3742+BL3742+BN3742+BP3742+BR3742+BT3742+BV3742+BX3742+BZ3742+CB3742+CD3742+CF3742+CH3742+CJ3742+CL3742+CN3742+CP3742+CR3742+CT3742</f>
        <v>0</v>
      </c>
      <c r="CV3742" s="76"/>
      <c r="CW3742" s="76">
        <f>+CV3742*1100</f>
        <v>0</v>
      </c>
      <c r="CX3742" s="76"/>
      <c r="CY3742" s="76">
        <f>+CX3742*106250</f>
        <v>0</v>
      </c>
      <c r="CZ3742" s="76"/>
      <c r="DA3742" s="76">
        <f>+CZ3742*34500</f>
        <v>0</v>
      </c>
      <c r="DB3742" s="76"/>
      <c r="DC3742" s="76">
        <f>+DB3742*25000</f>
        <v>0</v>
      </c>
      <c r="DD3742" s="219"/>
      <c r="DE3742" s="219"/>
      <c r="DF3742" s="166"/>
      <c r="DG3742" s="116"/>
      <c r="DH3742" s="117"/>
      <c r="DI3742" s="24"/>
      <c r="DJ3742" s="24"/>
      <c r="DK3742" s="24"/>
      <c r="DL3742" s="24"/>
      <c r="DM3742" s="24"/>
      <c r="DN3742" s="24"/>
      <c r="DO3742" s="24"/>
      <c r="DP3742" s="24"/>
      <c r="DQ3742" s="24"/>
      <c r="DR3742" s="24"/>
      <c r="DS3742" s="24"/>
      <c r="DT3742" s="24"/>
      <c r="DU3742" s="24"/>
    </row>
    <row r="3743" spans="1:125" s="8" customFormat="1" ht="96" x14ac:dyDescent="0.2">
      <c r="A3743" s="5">
        <v>41604</v>
      </c>
      <c r="B3743" s="84" t="s">
        <v>2894</v>
      </c>
      <c r="C3743" s="84" t="s">
        <v>2412</v>
      </c>
      <c r="D3743" s="75" t="s">
        <v>3051</v>
      </c>
      <c r="E3743" s="75" t="str">
        <f>VLOOKUP(B3743&amp;C3743,Divipola!$C$2:$F$1138,4,FALSE)</f>
        <v>05154</v>
      </c>
      <c r="F3743" s="89"/>
      <c r="G3743" s="89"/>
      <c r="H3743" s="89"/>
      <c r="I3743" s="87">
        <v>265</v>
      </c>
      <c r="J3743" s="87">
        <v>53</v>
      </c>
      <c r="K3743" s="87">
        <v>1</v>
      </c>
      <c r="L3743" s="87">
        <v>52</v>
      </c>
      <c r="M3743" s="89"/>
      <c r="N3743" s="89"/>
      <c r="O3743" s="89"/>
      <c r="P3743" s="89"/>
      <c r="Q3743" s="89"/>
      <c r="R3743" s="89"/>
      <c r="S3743" s="89"/>
      <c r="T3743" s="89"/>
      <c r="U3743" s="89"/>
      <c r="V3743" s="89"/>
      <c r="W3743" s="96">
        <v>0</v>
      </c>
      <c r="X3743" s="71">
        <f>CU3743</f>
        <v>0</v>
      </c>
      <c r="Y3743" s="71">
        <f>CY3743</f>
        <v>0</v>
      </c>
      <c r="Z3743" s="71">
        <f>DA3743+DC3743+DE3743</f>
        <v>0</v>
      </c>
      <c r="AA3743" s="71">
        <f>CW3743</f>
        <v>0</v>
      </c>
      <c r="AB3743" s="71"/>
      <c r="AC3743" s="71">
        <v>0</v>
      </c>
      <c r="AD3743" s="71">
        <f>W3743+X3743+Y3743+Z3743+AA3743+AB3743+AC3743</f>
        <v>0</v>
      </c>
      <c r="AE3743" s="72">
        <v>0</v>
      </c>
      <c r="AF3743" s="5"/>
      <c r="AG3743" s="6"/>
      <c r="AH3743" s="27"/>
      <c r="AI3743" s="44"/>
      <c r="AJ3743" s="26"/>
      <c r="AK3743" s="5"/>
      <c r="AL3743" s="278" t="s">
        <v>6779</v>
      </c>
      <c r="AM3743" s="76"/>
      <c r="AN3743" s="76"/>
      <c r="AO3743" s="76"/>
      <c r="AP3743" s="76"/>
      <c r="AQ3743" s="76"/>
      <c r="AR3743" s="76"/>
      <c r="AS3743" s="76"/>
      <c r="AT3743" s="76"/>
      <c r="AU3743" s="76"/>
      <c r="AV3743" s="76"/>
      <c r="AW3743" s="76"/>
      <c r="AX3743" s="76">
        <f>+AW3743*600000</f>
        <v>0</v>
      </c>
      <c r="AY3743" s="76"/>
      <c r="AZ3743" s="76">
        <f>+AY3743*70000</f>
        <v>0</v>
      </c>
      <c r="BA3743" s="76"/>
      <c r="BB3743" s="76"/>
      <c r="BC3743" s="76"/>
      <c r="BD3743" s="76">
        <f>+BC3743*30000</f>
        <v>0</v>
      </c>
      <c r="BE3743" s="76"/>
      <c r="BF3743" s="76"/>
      <c r="BG3743" s="76"/>
      <c r="BH3743" s="76"/>
      <c r="BI3743" s="76"/>
      <c r="BJ3743" s="76"/>
      <c r="BK3743" s="76"/>
      <c r="BL3743" s="76">
        <f>+BK3743*31500</f>
        <v>0</v>
      </c>
      <c r="BM3743" s="76"/>
      <c r="BN3743" s="76"/>
      <c r="BO3743" s="76"/>
      <c r="BP3743" s="76"/>
      <c r="BQ3743" s="76"/>
      <c r="BR3743" s="76"/>
      <c r="BS3743" s="76"/>
      <c r="BT3743" s="76"/>
      <c r="BU3743" s="76"/>
      <c r="BV3743" s="76"/>
      <c r="BW3743" s="76"/>
      <c r="BX3743" s="76"/>
      <c r="BY3743" s="76"/>
      <c r="BZ3743" s="76"/>
      <c r="CA3743" s="76"/>
      <c r="CB3743" s="76"/>
      <c r="CC3743" s="76"/>
      <c r="CD3743" s="76"/>
      <c r="CE3743" s="76"/>
      <c r="CF3743" s="76">
        <f>+CE3743*28000</f>
        <v>0</v>
      </c>
      <c r="CG3743" s="76"/>
      <c r="CH3743" s="76">
        <f>+CG3743*22500</f>
        <v>0</v>
      </c>
      <c r="CI3743" s="76"/>
      <c r="CJ3743" s="76">
        <f>+CI3743*26000</f>
        <v>0</v>
      </c>
      <c r="CK3743" s="76"/>
      <c r="CL3743" s="76"/>
      <c r="CM3743" s="76"/>
      <c r="CN3743" s="76">
        <f>+CM3743*22000</f>
        <v>0</v>
      </c>
      <c r="CO3743" s="76"/>
      <c r="CP3743" s="76">
        <f>+CO3743*46000</f>
        <v>0</v>
      </c>
      <c r="CQ3743" s="76"/>
      <c r="CR3743" s="76">
        <f>+CQ3743*49000</f>
        <v>0</v>
      </c>
      <c r="CS3743" s="76"/>
      <c r="CT3743" s="76"/>
      <c r="CU3743" s="56">
        <f>AN3743+AP3743+AR3743+AT3743+AV3743+AX3743+AZ3743+BB3743+BD3743+BF3743+BH3743+BJ3743+BL3743+BN3743+BP3743+BR3743+BT3743+BV3743+BX3743+BZ3743+CB3743+CD3743+CF3743+CH3743+CJ3743+CL3743+CN3743+CP3743+CR3743+CT3743</f>
        <v>0</v>
      </c>
      <c r="CV3743" s="76"/>
      <c r="CW3743" s="76">
        <f>+CV3743*1100</f>
        <v>0</v>
      </c>
      <c r="CX3743" s="76"/>
      <c r="CY3743" s="76">
        <f>+CX3743*106250</f>
        <v>0</v>
      </c>
      <c r="CZ3743" s="76"/>
      <c r="DA3743" s="76">
        <f>+CZ3743*34500</f>
        <v>0</v>
      </c>
      <c r="DB3743" s="76"/>
      <c r="DC3743" s="76">
        <f>+DB3743*25000</f>
        <v>0</v>
      </c>
      <c r="DD3743" s="219"/>
      <c r="DE3743" s="219"/>
      <c r="DF3743" s="166"/>
      <c r="DG3743" s="116"/>
      <c r="DH3743" s="117"/>
      <c r="DI3743" s="24"/>
      <c r="DJ3743" s="24"/>
      <c r="DK3743" s="24"/>
      <c r="DL3743" s="24"/>
      <c r="DM3743" s="24"/>
      <c r="DN3743" s="24"/>
      <c r="DO3743" s="24"/>
      <c r="DP3743" s="24"/>
      <c r="DQ3743" s="24"/>
      <c r="DR3743" s="24"/>
      <c r="DS3743" s="24"/>
      <c r="DT3743" s="24"/>
      <c r="DU3743" s="24"/>
    </row>
    <row r="3744" spans="1:125" s="8" customFormat="1" ht="84" x14ac:dyDescent="0.2">
      <c r="A3744" s="77">
        <v>41604</v>
      </c>
      <c r="B3744" s="208" t="s">
        <v>529</v>
      </c>
      <c r="C3744" s="208" t="s">
        <v>529</v>
      </c>
      <c r="D3744" s="354" t="s">
        <v>3017</v>
      </c>
      <c r="E3744" s="75" t="str">
        <f>VLOOKUP(B3744&amp;C3744,Divipola!$C$2:$F$1138,4,FALSE)</f>
        <v>11001</v>
      </c>
      <c r="F3744" s="87"/>
      <c r="G3744" s="87">
        <v>3</v>
      </c>
      <c r="H3744" s="87"/>
      <c r="I3744" s="87">
        <v>3</v>
      </c>
      <c r="J3744" s="87"/>
      <c r="K3744" s="87"/>
      <c r="L3744" s="87"/>
      <c r="M3744" s="87"/>
      <c r="N3744" s="87"/>
      <c r="O3744" s="87"/>
      <c r="P3744" s="87"/>
      <c r="Q3744" s="87"/>
      <c r="R3744" s="87"/>
      <c r="S3744" s="87"/>
      <c r="T3744" s="87"/>
      <c r="U3744" s="88"/>
      <c r="V3744" s="89">
        <v>1</v>
      </c>
      <c r="W3744" s="96">
        <v>0</v>
      </c>
      <c r="X3744" s="71">
        <f>CU3744</f>
        <v>0</v>
      </c>
      <c r="Y3744" s="71">
        <f>CY3744</f>
        <v>0</v>
      </c>
      <c r="Z3744" s="71">
        <f>DA3744+DC3744+DE3744</f>
        <v>0</v>
      </c>
      <c r="AA3744" s="71">
        <f>CW3744</f>
        <v>0</v>
      </c>
      <c r="AB3744" s="71"/>
      <c r="AC3744" s="71">
        <v>0</v>
      </c>
      <c r="AD3744" s="71">
        <f>W3744+X3744+Y3744+Z3744+AA3744+AB3744+AC3744</f>
        <v>0</v>
      </c>
      <c r="AE3744" s="72">
        <v>0</v>
      </c>
      <c r="AF3744" s="5"/>
      <c r="AG3744" s="6"/>
      <c r="AH3744" s="27"/>
      <c r="AI3744" s="44"/>
      <c r="AJ3744" s="26"/>
      <c r="AK3744" s="5"/>
      <c r="AL3744" s="82" t="s">
        <v>6776</v>
      </c>
      <c r="AM3744" s="76"/>
      <c r="AN3744" s="76"/>
      <c r="AO3744" s="76"/>
      <c r="AP3744" s="76"/>
      <c r="AQ3744" s="76"/>
      <c r="AR3744" s="76"/>
      <c r="AS3744" s="76"/>
      <c r="AT3744" s="76"/>
      <c r="AU3744" s="76"/>
      <c r="AV3744" s="76"/>
      <c r="AW3744" s="76"/>
      <c r="AX3744" s="76">
        <f>+AW3744*600000</f>
        <v>0</v>
      </c>
      <c r="AY3744" s="76"/>
      <c r="AZ3744" s="76">
        <f>+AY3744*70000</f>
        <v>0</v>
      </c>
      <c r="BA3744" s="76"/>
      <c r="BB3744" s="76"/>
      <c r="BC3744" s="76"/>
      <c r="BD3744" s="76">
        <f>+BC3744*30000</f>
        <v>0</v>
      </c>
      <c r="BE3744" s="76"/>
      <c r="BF3744" s="76"/>
      <c r="BG3744" s="76"/>
      <c r="BH3744" s="76"/>
      <c r="BI3744" s="76"/>
      <c r="BJ3744" s="76"/>
      <c r="BK3744" s="76"/>
      <c r="BL3744" s="76">
        <f>+BK3744*31500</f>
        <v>0</v>
      </c>
      <c r="BM3744" s="76"/>
      <c r="BN3744" s="76"/>
      <c r="BO3744" s="76"/>
      <c r="BP3744" s="76"/>
      <c r="BQ3744" s="76"/>
      <c r="BR3744" s="76"/>
      <c r="BS3744" s="76"/>
      <c r="BT3744" s="76"/>
      <c r="BU3744" s="76"/>
      <c r="BV3744" s="76"/>
      <c r="BW3744" s="76"/>
      <c r="BX3744" s="76"/>
      <c r="BY3744" s="76"/>
      <c r="BZ3744" s="76"/>
      <c r="CA3744" s="76"/>
      <c r="CB3744" s="76"/>
      <c r="CC3744" s="76"/>
      <c r="CD3744" s="76"/>
      <c r="CE3744" s="76"/>
      <c r="CF3744" s="76">
        <f>+CE3744*28000</f>
        <v>0</v>
      </c>
      <c r="CG3744" s="76"/>
      <c r="CH3744" s="76">
        <f>+CG3744*22500</f>
        <v>0</v>
      </c>
      <c r="CI3744" s="76"/>
      <c r="CJ3744" s="76">
        <f>+CI3744*26000</f>
        <v>0</v>
      </c>
      <c r="CK3744" s="76"/>
      <c r="CL3744" s="76"/>
      <c r="CM3744" s="76"/>
      <c r="CN3744" s="76">
        <f>+CM3744*22000</f>
        <v>0</v>
      </c>
      <c r="CO3744" s="76"/>
      <c r="CP3744" s="76">
        <f>+CO3744*46000</f>
        <v>0</v>
      </c>
      <c r="CQ3744" s="76"/>
      <c r="CR3744" s="76">
        <f>+CQ3744*49000</f>
        <v>0</v>
      </c>
      <c r="CS3744" s="76"/>
      <c r="CT3744" s="76"/>
      <c r="CU3744" s="56">
        <f>AN3744+AP3744+AR3744+AT3744+AV3744+AX3744+AZ3744+BB3744+BD3744+BF3744+BH3744+BJ3744+BL3744+BN3744+BP3744+BR3744+BT3744+BV3744+BX3744+BZ3744+CB3744+CD3744+CF3744+CH3744+CJ3744+CL3744+CN3744+CP3744+CR3744+CT3744</f>
        <v>0</v>
      </c>
      <c r="CV3744" s="76"/>
      <c r="CW3744" s="76">
        <f>+CV3744*1100</f>
        <v>0</v>
      </c>
      <c r="CX3744" s="76"/>
      <c r="CY3744" s="76">
        <f>+CX3744*106250</f>
        <v>0</v>
      </c>
      <c r="CZ3744" s="76"/>
      <c r="DA3744" s="76">
        <f>+CZ3744*34500</f>
        <v>0</v>
      </c>
      <c r="DB3744" s="76"/>
      <c r="DC3744" s="76">
        <f>+DB3744*25000</f>
        <v>0</v>
      </c>
      <c r="DD3744" s="219"/>
      <c r="DE3744" s="219"/>
      <c r="DF3744" s="166"/>
      <c r="DG3744" s="116"/>
      <c r="DH3744" s="117"/>
      <c r="DI3744" s="24"/>
      <c r="DJ3744" s="24"/>
      <c r="DK3744" s="24"/>
      <c r="DL3744" s="24"/>
      <c r="DM3744" s="24"/>
      <c r="DN3744" s="24"/>
      <c r="DO3744" s="24"/>
      <c r="DP3744" s="24"/>
      <c r="DQ3744" s="24"/>
      <c r="DR3744" s="24"/>
      <c r="DS3744" s="24"/>
      <c r="DT3744" s="24"/>
      <c r="DU3744" s="24"/>
    </row>
    <row r="3745" spans="1:125" s="8" customFormat="1" ht="72" x14ac:dyDescent="0.2">
      <c r="A3745" s="353">
        <v>41604</v>
      </c>
      <c r="B3745" s="352" t="s">
        <v>2894</v>
      </c>
      <c r="C3745" s="354" t="s">
        <v>2447</v>
      </c>
      <c r="D3745" s="354" t="s">
        <v>2882</v>
      </c>
      <c r="E3745" s="75" t="str">
        <f>VLOOKUP(B3745&amp;C3745,Divipola!$C$2:$F$1138,4,FALSE)</f>
        <v>05266</v>
      </c>
      <c r="F3745" s="87"/>
      <c r="G3745" s="87"/>
      <c r="H3745" s="87"/>
      <c r="I3745" s="87">
        <v>40</v>
      </c>
      <c r="J3745" s="87">
        <v>8</v>
      </c>
      <c r="K3745" s="87"/>
      <c r="L3745" s="87">
        <v>2</v>
      </c>
      <c r="M3745" s="87">
        <v>1</v>
      </c>
      <c r="N3745" s="87"/>
      <c r="O3745" s="87"/>
      <c r="P3745" s="87"/>
      <c r="Q3745" s="87"/>
      <c r="R3745" s="87"/>
      <c r="S3745" s="87"/>
      <c r="T3745" s="87"/>
      <c r="U3745" s="88"/>
      <c r="V3745" s="89"/>
      <c r="W3745" s="96">
        <v>0</v>
      </c>
      <c r="X3745" s="71">
        <f>CU3745</f>
        <v>0</v>
      </c>
      <c r="Y3745" s="71">
        <f>CY3745</f>
        <v>0</v>
      </c>
      <c r="Z3745" s="71">
        <f>DA3745+DC3745+DE3745</f>
        <v>0</v>
      </c>
      <c r="AA3745" s="71">
        <f>CW3745</f>
        <v>0</v>
      </c>
      <c r="AB3745" s="71"/>
      <c r="AC3745" s="71">
        <v>0</v>
      </c>
      <c r="AD3745" s="71">
        <f>W3745+X3745+Y3745+Z3745+AA3745+AB3745+AC3745</f>
        <v>0</v>
      </c>
      <c r="AE3745" s="72">
        <v>0</v>
      </c>
      <c r="AF3745" s="5"/>
      <c r="AG3745" s="6"/>
      <c r="AH3745" s="27"/>
      <c r="AI3745" s="44"/>
      <c r="AJ3745" s="26"/>
      <c r="AK3745" s="5"/>
      <c r="AL3745" s="82" t="s">
        <v>6777</v>
      </c>
      <c r="AM3745" s="76"/>
      <c r="AN3745" s="76"/>
      <c r="AO3745" s="76"/>
      <c r="AP3745" s="76"/>
      <c r="AQ3745" s="76"/>
      <c r="AR3745" s="76"/>
      <c r="AS3745" s="76"/>
      <c r="AT3745" s="76"/>
      <c r="AU3745" s="76"/>
      <c r="AV3745" s="76"/>
      <c r="AW3745" s="76"/>
      <c r="AX3745" s="76">
        <f>+AW3745*600000</f>
        <v>0</v>
      </c>
      <c r="AY3745" s="76"/>
      <c r="AZ3745" s="76">
        <f>+AY3745*70000</f>
        <v>0</v>
      </c>
      <c r="BA3745" s="76"/>
      <c r="BB3745" s="76"/>
      <c r="BC3745" s="76"/>
      <c r="BD3745" s="76">
        <f>+BC3745*30000</f>
        <v>0</v>
      </c>
      <c r="BE3745" s="76"/>
      <c r="BF3745" s="76"/>
      <c r="BG3745" s="76"/>
      <c r="BH3745" s="76"/>
      <c r="BI3745" s="76"/>
      <c r="BJ3745" s="76"/>
      <c r="BK3745" s="76"/>
      <c r="BL3745" s="76">
        <f>+BK3745*31500</f>
        <v>0</v>
      </c>
      <c r="BM3745" s="76"/>
      <c r="BN3745" s="76"/>
      <c r="BO3745" s="76"/>
      <c r="BP3745" s="76"/>
      <c r="BQ3745" s="76"/>
      <c r="BR3745" s="76"/>
      <c r="BS3745" s="76"/>
      <c r="BT3745" s="76"/>
      <c r="BU3745" s="76"/>
      <c r="BV3745" s="76"/>
      <c r="BW3745" s="76"/>
      <c r="BX3745" s="76"/>
      <c r="BY3745" s="76"/>
      <c r="BZ3745" s="76"/>
      <c r="CA3745" s="76"/>
      <c r="CB3745" s="76"/>
      <c r="CC3745" s="76"/>
      <c r="CD3745" s="76"/>
      <c r="CE3745" s="76"/>
      <c r="CF3745" s="76">
        <f>+CE3745*28000</f>
        <v>0</v>
      </c>
      <c r="CG3745" s="76"/>
      <c r="CH3745" s="76">
        <f>+CG3745*22500</f>
        <v>0</v>
      </c>
      <c r="CI3745" s="76"/>
      <c r="CJ3745" s="76">
        <f>+CI3745*26000</f>
        <v>0</v>
      </c>
      <c r="CK3745" s="76"/>
      <c r="CL3745" s="76"/>
      <c r="CM3745" s="76"/>
      <c r="CN3745" s="76">
        <f>+CM3745*22000</f>
        <v>0</v>
      </c>
      <c r="CO3745" s="76"/>
      <c r="CP3745" s="76">
        <f>+CO3745*46000</f>
        <v>0</v>
      </c>
      <c r="CQ3745" s="76"/>
      <c r="CR3745" s="76">
        <f>+CQ3745*49000</f>
        <v>0</v>
      </c>
      <c r="CS3745" s="76"/>
      <c r="CT3745" s="76"/>
      <c r="CU3745" s="56">
        <f>AN3745+AP3745+AR3745+AT3745+AV3745+AX3745+AZ3745+BB3745+BD3745+BF3745+BH3745+BJ3745+BL3745+BN3745+BP3745+BR3745+BT3745+BV3745+BX3745+BZ3745+CB3745+CD3745+CF3745+CH3745+CJ3745+CL3745+CN3745+CP3745+CR3745+CT3745</f>
        <v>0</v>
      </c>
      <c r="CV3745" s="76"/>
      <c r="CW3745" s="76">
        <f>+CV3745*1100</f>
        <v>0</v>
      </c>
      <c r="CX3745" s="76"/>
      <c r="CY3745" s="76">
        <f>+CX3745*106250</f>
        <v>0</v>
      </c>
      <c r="CZ3745" s="76"/>
      <c r="DA3745" s="76">
        <f>+CZ3745*34500</f>
        <v>0</v>
      </c>
      <c r="DB3745" s="76"/>
      <c r="DC3745" s="76">
        <f>+DB3745*25000</f>
        <v>0</v>
      </c>
      <c r="DD3745" s="219"/>
      <c r="DE3745" s="219"/>
      <c r="DF3745" s="166"/>
      <c r="DG3745" s="116"/>
      <c r="DH3745" s="117"/>
      <c r="DI3745" s="24"/>
      <c r="DJ3745" s="24"/>
      <c r="DK3745" s="24"/>
      <c r="DL3745" s="24"/>
      <c r="DM3745" s="24"/>
      <c r="DN3745" s="24"/>
      <c r="DO3745" s="24"/>
      <c r="DP3745" s="24"/>
      <c r="DQ3745" s="24"/>
      <c r="DR3745" s="24"/>
      <c r="DS3745" s="24"/>
      <c r="DT3745" s="24"/>
      <c r="DU3745" s="24"/>
    </row>
    <row r="3746" spans="1:125" s="8" customFormat="1" ht="96" x14ac:dyDescent="0.2">
      <c r="A3746" s="77">
        <v>41605</v>
      </c>
      <c r="B3746" s="352" t="s">
        <v>2894</v>
      </c>
      <c r="C3746" s="354" t="s">
        <v>2542</v>
      </c>
      <c r="D3746" s="354" t="s">
        <v>3088</v>
      </c>
      <c r="E3746" s="75" t="str">
        <f>VLOOKUP(B3746&amp;C3746,Divipola!$C$2:$F$1138,4,FALSE)</f>
        <v>05607</v>
      </c>
      <c r="F3746" s="87"/>
      <c r="G3746" s="87"/>
      <c r="H3746" s="87"/>
      <c r="I3746" s="87">
        <v>11</v>
      </c>
      <c r="J3746" s="87">
        <v>3</v>
      </c>
      <c r="K3746" s="87"/>
      <c r="L3746" s="87">
        <v>3</v>
      </c>
      <c r="M3746" s="87"/>
      <c r="N3746" s="87"/>
      <c r="O3746" s="87"/>
      <c r="P3746" s="87"/>
      <c r="Q3746" s="87"/>
      <c r="R3746" s="87"/>
      <c r="S3746" s="87"/>
      <c r="T3746" s="87"/>
      <c r="U3746" s="88"/>
      <c r="V3746" s="89"/>
      <c r="W3746" s="96">
        <v>0</v>
      </c>
      <c r="X3746" s="71">
        <f>CU3746</f>
        <v>0</v>
      </c>
      <c r="Y3746" s="71">
        <f>CY3746</f>
        <v>0</v>
      </c>
      <c r="Z3746" s="71">
        <f>DA3746+DC3746+DE3746</f>
        <v>0</v>
      </c>
      <c r="AA3746" s="71">
        <f>CW3746</f>
        <v>0</v>
      </c>
      <c r="AB3746" s="71"/>
      <c r="AC3746" s="71">
        <v>0</v>
      </c>
      <c r="AD3746" s="71">
        <f>W3746+X3746+Y3746+Z3746+AA3746+AB3746+AC3746</f>
        <v>0</v>
      </c>
      <c r="AE3746" s="72">
        <v>0</v>
      </c>
      <c r="AF3746" s="5"/>
      <c r="AG3746" s="6"/>
      <c r="AH3746" s="27"/>
      <c r="AI3746" s="44"/>
      <c r="AJ3746" s="26"/>
      <c r="AK3746" s="5"/>
      <c r="AL3746" s="82" t="s">
        <v>6780</v>
      </c>
      <c r="AM3746" s="76"/>
      <c r="AN3746" s="76"/>
      <c r="AO3746" s="76"/>
      <c r="AP3746" s="76"/>
      <c r="AQ3746" s="76"/>
      <c r="AR3746" s="76"/>
      <c r="AS3746" s="76"/>
      <c r="AT3746" s="76"/>
      <c r="AU3746" s="76"/>
      <c r="AV3746" s="76"/>
      <c r="AW3746" s="76"/>
      <c r="AX3746" s="76">
        <f>+AW3746*600000</f>
        <v>0</v>
      </c>
      <c r="AY3746" s="76"/>
      <c r="AZ3746" s="76">
        <f>+AY3746*70000</f>
        <v>0</v>
      </c>
      <c r="BA3746" s="76"/>
      <c r="BB3746" s="76"/>
      <c r="BC3746" s="76"/>
      <c r="BD3746" s="76">
        <f>+BC3746*30000</f>
        <v>0</v>
      </c>
      <c r="BE3746" s="76"/>
      <c r="BF3746" s="76"/>
      <c r="BG3746" s="76"/>
      <c r="BH3746" s="76"/>
      <c r="BI3746" s="76"/>
      <c r="BJ3746" s="76"/>
      <c r="BK3746" s="76"/>
      <c r="BL3746" s="76">
        <f>+BK3746*31500</f>
        <v>0</v>
      </c>
      <c r="BM3746" s="76"/>
      <c r="BN3746" s="76"/>
      <c r="BO3746" s="76"/>
      <c r="BP3746" s="76"/>
      <c r="BQ3746" s="76"/>
      <c r="BR3746" s="76"/>
      <c r="BS3746" s="76"/>
      <c r="BT3746" s="76"/>
      <c r="BU3746" s="76"/>
      <c r="BV3746" s="76"/>
      <c r="BW3746" s="76"/>
      <c r="BX3746" s="76"/>
      <c r="BY3746" s="76"/>
      <c r="BZ3746" s="76"/>
      <c r="CA3746" s="76"/>
      <c r="CB3746" s="76"/>
      <c r="CC3746" s="76"/>
      <c r="CD3746" s="76"/>
      <c r="CE3746" s="76"/>
      <c r="CF3746" s="76">
        <f>+CE3746*28000</f>
        <v>0</v>
      </c>
      <c r="CG3746" s="76"/>
      <c r="CH3746" s="76">
        <f>+CG3746*22500</f>
        <v>0</v>
      </c>
      <c r="CI3746" s="76"/>
      <c r="CJ3746" s="76">
        <f>+CI3746*26000</f>
        <v>0</v>
      </c>
      <c r="CK3746" s="76"/>
      <c r="CL3746" s="76"/>
      <c r="CM3746" s="76"/>
      <c r="CN3746" s="76">
        <f>+CM3746*22000</f>
        <v>0</v>
      </c>
      <c r="CO3746" s="76"/>
      <c r="CP3746" s="76">
        <f>+CO3746*46000</f>
        <v>0</v>
      </c>
      <c r="CQ3746" s="76"/>
      <c r="CR3746" s="76">
        <f>+CQ3746*49000</f>
        <v>0</v>
      </c>
      <c r="CS3746" s="76"/>
      <c r="CT3746" s="76"/>
      <c r="CU3746" s="56">
        <f>AN3746+AP3746+AR3746+AT3746+AV3746+AX3746+AZ3746+BB3746+BD3746+BF3746+BH3746+BJ3746+BL3746+BN3746+BP3746+BR3746+BT3746+BV3746+BX3746+BZ3746+CB3746+CD3746+CF3746+CH3746+CJ3746+CL3746+CN3746+CP3746+CR3746+CT3746</f>
        <v>0</v>
      </c>
      <c r="CV3746" s="76"/>
      <c r="CW3746" s="76">
        <f>+CV3746*1100</f>
        <v>0</v>
      </c>
      <c r="CX3746" s="76"/>
      <c r="CY3746" s="76">
        <f>+CX3746*106250</f>
        <v>0</v>
      </c>
      <c r="CZ3746" s="76"/>
      <c r="DA3746" s="76">
        <f>+CZ3746*34500</f>
        <v>0</v>
      </c>
      <c r="DB3746" s="76"/>
      <c r="DC3746" s="76">
        <f>+DB3746*25000</f>
        <v>0</v>
      </c>
      <c r="DD3746" s="219"/>
      <c r="DE3746" s="219"/>
      <c r="DF3746" s="166"/>
      <c r="DG3746" s="116"/>
      <c r="DH3746" s="117"/>
      <c r="DI3746" s="24"/>
      <c r="DJ3746" s="24"/>
      <c r="DK3746" s="24"/>
      <c r="DL3746" s="24"/>
      <c r="DM3746" s="24"/>
      <c r="DN3746" s="24"/>
      <c r="DO3746" s="24"/>
      <c r="DP3746" s="24"/>
      <c r="DQ3746" s="24"/>
      <c r="DR3746" s="24"/>
      <c r="DS3746" s="24"/>
      <c r="DT3746" s="24"/>
      <c r="DU3746" s="24"/>
    </row>
    <row r="3747" spans="1:125" s="8" customFormat="1" ht="96" x14ac:dyDescent="0.2">
      <c r="A3747" s="353">
        <v>41605</v>
      </c>
      <c r="B3747" s="352" t="s">
        <v>2851</v>
      </c>
      <c r="C3747" s="354" t="s">
        <v>1686</v>
      </c>
      <c r="D3747" s="354" t="s">
        <v>2859</v>
      </c>
      <c r="E3747" s="75" t="str">
        <f>VLOOKUP(B3747&amp;C3747,Divipola!$C$2:$F$1138,4,FALSE)</f>
        <v>76001</v>
      </c>
      <c r="F3747" s="87"/>
      <c r="G3747" s="87"/>
      <c r="H3747" s="87"/>
      <c r="I3747" s="87"/>
      <c r="J3747" s="87"/>
      <c r="K3747" s="87"/>
      <c r="L3747" s="87"/>
      <c r="M3747" s="87"/>
      <c r="N3747" s="87"/>
      <c r="O3747" s="87"/>
      <c r="P3747" s="87"/>
      <c r="Q3747" s="87"/>
      <c r="R3747" s="87"/>
      <c r="S3747" s="87"/>
      <c r="T3747" s="87"/>
      <c r="U3747" s="88"/>
      <c r="V3747" s="89">
        <v>1</v>
      </c>
      <c r="W3747" s="96">
        <v>0</v>
      </c>
      <c r="X3747" s="71">
        <f>CU3747</f>
        <v>0</v>
      </c>
      <c r="Y3747" s="71">
        <f>CY3747</f>
        <v>0</v>
      </c>
      <c r="Z3747" s="71">
        <f>DA3747+DC3747+DE3747</f>
        <v>0</v>
      </c>
      <c r="AA3747" s="71">
        <f>CW3747</f>
        <v>0</v>
      </c>
      <c r="AB3747" s="71"/>
      <c r="AC3747" s="71">
        <v>0</v>
      </c>
      <c r="AD3747" s="71">
        <f>W3747+X3747+Y3747+Z3747+AA3747+AB3747+AC3747</f>
        <v>0</v>
      </c>
      <c r="AE3747" s="72">
        <v>0</v>
      </c>
      <c r="AF3747" s="5"/>
      <c r="AG3747" s="6"/>
      <c r="AH3747" s="27"/>
      <c r="AI3747" s="44"/>
      <c r="AJ3747" s="26"/>
      <c r="AK3747" s="5"/>
      <c r="AL3747" s="82" t="s">
        <v>6781</v>
      </c>
      <c r="AM3747" s="76"/>
      <c r="AN3747" s="76"/>
      <c r="AO3747" s="76"/>
      <c r="AP3747" s="76"/>
      <c r="AQ3747" s="76"/>
      <c r="AR3747" s="76"/>
      <c r="AS3747" s="76"/>
      <c r="AT3747" s="76"/>
      <c r="AU3747" s="76"/>
      <c r="AV3747" s="76"/>
      <c r="AW3747" s="76"/>
      <c r="AX3747" s="76">
        <f>+AW3747*600000</f>
        <v>0</v>
      </c>
      <c r="AY3747" s="76"/>
      <c r="AZ3747" s="76">
        <f>+AY3747*70000</f>
        <v>0</v>
      </c>
      <c r="BA3747" s="76"/>
      <c r="BB3747" s="76"/>
      <c r="BC3747" s="76"/>
      <c r="BD3747" s="76">
        <f>+BC3747*30000</f>
        <v>0</v>
      </c>
      <c r="BE3747" s="76"/>
      <c r="BF3747" s="76"/>
      <c r="BG3747" s="76"/>
      <c r="BH3747" s="76"/>
      <c r="BI3747" s="76"/>
      <c r="BJ3747" s="76"/>
      <c r="BK3747" s="76"/>
      <c r="BL3747" s="76">
        <f>+BK3747*31500</f>
        <v>0</v>
      </c>
      <c r="BM3747" s="76"/>
      <c r="BN3747" s="76"/>
      <c r="BO3747" s="76"/>
      <c r="BP3747" s="76"/>
      <c r="BQ3747" s="76"/>
      <c r="BR3747" s="76"/>
      <c r="BS3747" s="76"/>
      <c r="BT3747" s="76"/>
      <c r="BU3747" s="76"/>
      <c r="BV3747" s="76"/>
      <c r="BW3747" s="76"/>
      <c r="BX3747" s="76"/>
      <c r="BY3747" s="76"/>
      <c r="BZ3747" s="76"/>
      <c r="CA3747" s="76"/>
      <c r="CB3747" s="76"/>
      <c r="CC3747" s="76"/>
      <c r="CD3747" s="76"/>
      <c r="CE3747" s="76"/>
      <c r="CF3747" s="76">
        <f>+CE3747*28000</f>
        <v>0</v>
      </c>
      <c r="CG3747" s="76"/>
      <c r="CH3747" s="76">
        <f>+CG3747*22500</f>
        <v>0</v>
      </c>
      <c r="CI3747" s="76"/>
      <c r="CJ3747" s="76">
        <f>+CI3747*26000</f>
        <v>0</v>
      </c>
      <c r="CK3747" s="76"/>
      <c r="CL3747" s="76"/>
      <c r="CM3747" s="76"/>
      <c r="CN3747" s="76">
        <f>+CM3747*22000</f>
        <v>0</v>
      </c>
      <c r="CO3747" s="76"/>
      <c r="CP3747" s="76">
        <f>+CO3747*46000</f>
        <v>0</v>
      </c>
      <c r="CQ3747" s="76"/>
      <c r="CR3747" s="76">
        <f>+CQ3747*49000</f>
        <v>0</v>
      </c>
      <c r="CS3747" s="76"/>
      <c r="CT3747" s="76"/>
      <c r="CU3747" s="56">
        <f>AN3747+AP3747+AR3747+AT3747+AV3747+AX3747+AZ3747+BB3747+BD3747+BF3747+BH3747+BJ3747+BL3747+BN3747+BP3747+BR3747+BT3747+BV3747+BX3747+BZ3747+CB3747+CD3747+CF3747+CH3747+CJ3747+CL3747+CN3747+CP3747+CR3747+CT3747</f>
        <v>0</v>
      </c>
      <c r="CV3747" s="76"/>
      <c r="CW3747" s="76">
        <f>+CV3747*1100</f>
        <v>0</v>
      </c>
      <c r="CX3747" s="76"/>
      <c r="CY3747" s="76">
        <f>+CX3747*106250</f>
        <v>0</v>
      </c>
      <c r="CZ3747" s="76"/>
      <c r="DA3747" s="76">
        <f>+CZ3747*34500</f>
        <v>0</v>
      </c>
      <c r="DB3747" s="76"/>
      <c r="DC3747" s="76">
        <f>+DB3747*25000</f>
        <v>0</v>
      </c>
      <c r="DD3747" s="219"/>
      <c r="DE3747" s="219"/>
      <c r="DF3747" s="166"/>
      <c r="DG3747" s="116"/>
      <c r="DH3747" s="117"/>
      <c r="DI3747" s="24"/>
      <c r="DJ3747" s="24"/>
      <c r="DK3747" s="24"/>
      <c r="DL3747" s="24"/>
      <c r="DM3747" s="24"/>
      <c r="DN3747" s="24"/>
      <c r="DO3747" s="24"/>
      <c r="DP3747" s="24"/>
      <c r="DQ3747" s="24"/>
      <c r="DR3747" s="24"/>
      <c r="DS3747" s="24"/>
      <c r="DT3747" s="24"/>
      <c r="DU3747" s="24"/>
    </row>
    <row r="3748" spans="1:125" s="8" customFormat="1" ht="120" x14ac:dyDescent="0.2">
      <c r="A3748" s="353">
        <v>41605</v>
      </c>
      <c r="B3748" s="78" t="s">
        <v>2196</v>
      </c>
      <c r="C3748" s="75" t="s">
        <v>523</v>
      </c>
      <c r="D3748" s="75" t="s">
        <v>3051</v>
      </c>
      <c r="E3748" s="75" t="str">
        <f>VLOOKUP(B3748&amp;C3748,Divipola!$C$2:$F$1138,4,FALSE)</f>
        <v>17174</v>
      </c>
      <c r="F3748" s="87"/>
      <c r="G3748" s="87"/>
      <c r="H3748" s="87"/>
      <c r="I3748" s="87">
        <v>100</v>
      </c>
      <c r="J3748" s="87">
        <v>20</v>
      </c>
      <c r="K3748" s="87"/>
      <c r="L3748" s="87">
        <v>20</v>
      </c>
      <c r="M3748" s="87">
        <v>1</v>
      </c>
      <c r="N3748" s="87"/>
      <c r="O3748" s="87"/>
      <c r="P3748" s="87"/>
      <c r="Q3748" s="87"/>
      <c r="R3748" s="87"/>
      <c r="S3748" s="87"/>
      <c r="T3748" s="87"/>
      <c r="U3748" s="88"/>
      <c r="V3748" s="89"/>
      <c r="W3748" s="96">
        <v>0</v>
      </c>
      <c r="X3748" s="71">
        <f>CU3748</f>
        <v>0</v>
      </c>
      <c r="Y3748" s="71">
        <f>CY3748</f>
        <v>0</v>
      </c>
      <c r="Z3748" s="71">
        <f>DA3748+DC3748+DE3748</f>
        <v>0</v>
      </c>
      <c r="AA3748" s="71">
        <f>CW3748</f>
        <v>0</v>
      </c>
      <c r="AB3748" s="71"/>
      <c r="AC3748" s="71">
        <v>0</v>
      </c>
      <c r="AD3748" s="71">
        <f>W3748+X3748+Y3748+Z3748+AA3748+AB3748+AC3748</f>
        <v>0</v>
      </c>
      <c r="AE3748" s="72">
        <v>0</v>
      </c>
      <c r="AF3748" s="5"/>
      <c r="AG3748" s="6"/>
      <c r="AH3748" s="27"/>
      <c r="AI3748" s="44"/>
      <c r="AJ3748" s="26"/>
      <c r="AK3748" s="5"/>
      <c r="AL3748" s="82" t="s">
        <v>6783</v>
      </c>
      <c r="AM3748" s="76"/>
      <c r="AN3748" s="76"/>
      <c r="AO3748" s="76"/>
      <c r="AP3748" s="76"/>
      <c r="AQ3748" s="76"/>
      <c r="AR3748" s="76"/>
      <c r="AS3748" s="76"/>
      <c r="AT3748" s="76"/>
      <c r="AU3748" s="76"/>
      <c r="AV3748" s="76"/>
      <c r="AW3748" s="76"/>
      <c r="AX3748" s="76">
        <f>+AW3748*600000</f>
        <v>0</v>
      </c>
      <c r="AY3748" s="76"/>
      <c r="AZ3748" s="76">
        <f>+AY3748*70000</f>
        <v>0</v>
      </c>
      <c r="BA3748" s="76"/>
      <c r="BB3748" s="76"/>
      <c r="BC3748" s="76"/>
      <c r="BD3748" s="76">
        <f>+BC3748*30000</f>
        <v>0</v>
      </c>
      <c r="BE3748" s="76"/>
      <c r="BF3748" s="76"/>
      <c r="BG3748" s="76"/>
      <c r="BH3748" s="76"/>
      <c r="BI3748" s="76"/>
      <c r="BJ3748" s="76"/>
      <c r="BK3748" s="76"/>
      <c r="BL3748" s="76">
        <f>+BK3748*31500</f>
        <v>0</v>
      </c>
      <c r="BM3748" s="76"/>
      <c r="BN3748" s="76"/>
      <c r="BO3748" s="76"/>
      <c r="BP3748" s="76"/>
      <c r="BQ3748" s="76"/>
      <c r="BR3748" s="76"/>
      <c r="BS3748" s="76"/>
      <c r="BT3748" s="76"/>
      <c r="BU3748" s="76"/>
      <c r="BV3748" s="76"/>
      <c r="BW3748" s="76"/>
      <c r="BX3748" s="76"/>
      <c r="BY3748" s="76"/>
      <c r="BZ3748" s="76"/>
      <c r="CA3748" s="76"/>
      <c r="CB3748" s="76"/>
      <c r="CC3748" s="76"/>
      <c r="CD3748" s="76"/>
      <c r="CE3748" s="76"/>
      <c r="CF3748" s="76">
        <f>+CE3748*28000</f>
        <v>0</v>
      </c>
      <c r="CG3748" s="76"/>
      <c r="CH3748" s="76">
        <f>+CG3748*22500</f>
        <v>0</v>
      </c>
      <c r="CI3748" s="76"/>
      <c r="CJ3748" s="76">
        <f>+CI3748*26000</f>
        <v>0</v>
      </c>
      <c r="CK3748" s="76"/>
      <c r="CL3748" s="76"/>
      <c r="CM3748" s="76"/>
      <c r="CN3748" s="76">
        <f>+CM3748*22000</f>
        <v>0</v>
      </c>
      <c r="CO3748" s="76"/>
      <c r="CP3748" s="76">
        <f>+CO3748*46000</f>
        <v>0</v>
      </c>
      <c r="CQ3748" s="76"/>
      <c r="CR3748" s="76">
        <f>+CQ3748*49000</f>
        <v>0</v>
      </c>
      <c r="CS3748" s="76"/>
      <c r="CT3748" s="76"/>
      <c r="CU3748" s="56">
        <f>AN3748+AP3748+AR3748+AT3748+AV3748+AX3748+AZ3748+BB3748+BD3748+BF3748+BH3748+BJ3748+BL3748+BN3748+BP3748+BR3748+BT3748+BV3748+BX3748+BZ3748+CB3748+CD3748+CF3748+CH3748+CJ3748+CL3748+CN3748+CP3748+CR3748+CT3748</f>
        <v>0</v>
      </c>
      <c r="CV3748" s="76"/>
      <c r="CW3748" s="76">
        <f>+CV3748*1100</f>
        <v>0</v>
      </c>
      <c r="CX3748" s="76"/>
      <c r="CY3748" s="76">
        <f>+CX3748*106250</f>
        <v>0</v>
      </c>
      <c r="CZ3748" s="76"/>
      <c r="DA3748" s="76">
        <f>+CZ3748*34500</f>
        <v>0</v>
      </c>
      <c r="DB3748" s="76"/>
      <c r="DC3748" s="76">
        <f>+DB3748*25000</f>
        <v>0</v>
      </c>
      <c r="DD3748" s="219"/>
      <c r="DE3748" s="219"/>
      <c r="DF3748" s="166"/>
      <c r="DG3748" s="116"/>
      <c r="DH3748" s="117"/>
      <c r="DI3748" s="24"/>
      <c r="DJ3748" s="24"/>
      <c r="DK3748" s="24"/>
      <c r="DL3748" s="24"/>
      <c r="DM3748" s="24"/>
      <c r="DN3748" s="24"/>
      <c r="DO3748" s="24"/>
      <c r="DP3748" s="24"/>
      <c r="DQ3748" s="24"/>
      <c r="DR3748" s="24"/>
      <c r="DS3748" s="24"/>
      <c r="DT3748" s="24"/>
      <c r="DU3748" s="24"/>
    </row>
    <row r="3749" spans="1:125" s="8" customFormat="1" ht="36" x14ac:dyDescent="0.2">
      <c r="A3749" s="77">
        <v>41605</v>
      </c>
      <c r="B3749" s="84" t="s">
        <v>2851</v>
      </c>
      <c r="C3749" s="84" t="s">
        <v>2064</v>
      </c>
      <c r="D3749" s="75" t="s">
        <v>2846</v>
      </c>
      <c r="E3749" s="75" t="str">
        <f>VLOOKUP(B3749&amp;C3749,Divipola!$C$2:$F$1138,4,FALSE)</f>
        <v>76233</v>
      </c>
      <c r="F3749" s="89"/>
      <c r="G3749" s="89"/>
      <c r="H3749" s="89"/>
      <c r="I3749" s="89"/>
      <c r="J3749" s="89"/>
      <c r="K3749" s="89"/>
      <c r="L3749" s="89"/>
      <c r="M3749" s="89"/>
      <c r="N3749" s="89"/>
      <c r="O3749" s="89"/>
      <c r="P3749" s="89"/>
      <c r="Q3749" s="89"/>
      <c r="R3749" s="89"/>
      <c r="S3749" s="89"/>
      <c r="T3749" s="89"/>
      <c r="U3749" s="89"/>
      <c r="V3749" s="89"/>
      <c r="W3749" s="96">
        <v>0</v>
      </c>
      <c r="X3749" s="71">
        <f>CU3749</f>
        <v>0</v>
      </c>
      <c r="Y3749" s="71">
        <f>CY3749</f>
        <v>0</v>
      </c>
      <c r="Z3749" s="71">
        <f>DA3749+DC3749+DE3749</f>
        <v>0</v>
      </c>
      <c r="AA3749" s="71">
        <f>CW3749</f>
        <v>0</v>
      </c>
      <c r="AB3749" s="71"/>
      <c r="AC3749" s="71">
        <v>0</v>
      </c>
      <c r="AD3749" s="71">
        <f>W3749+X3749+Y3749+Z3749+AA3749+AB3749+AC3749</f>
        <v>0</v>
      </c>
      <c r="AE3749" s="72">
        <v>0</v>
      </c>
      <c r="AF3749" s="5"/>
      <c r="AG3749" s="6"/>
      <c r="AH3749" s="27"/>
      <c r="AI3749" s="44"/>
      <c r="AJ3749" s="26"/>
      <c r="AK3749" s="5"/>
      <c r="AL3749" s="82" t="s">
        <v>6782</v>
      </c>
      <c r="AM3749" s="76"/>
      <c r="AN3749" s="76"/>
      <c r="AO3749" s="76"/>
      <c r="AP3749" s="76"/>
      <c r="AQ3749" s="76"/>
      <c r="AR3749" s="76"/>
      <c r="AS3749" s="76"/>
      <c r="AT3749" s="76"/>
      <c r="AU3749" s="76"/>
      <c r="AV3749" s="76"/>
      <c r="AW3749" s="76"/>
      <c r="AX3749" s="76">
        <f>+AW3749*600000</f>
        <v>0</v>
      </c>
      <c r="AY3749" s="76"/>
      <c r="AZ3749" s="76">
        <f>+AY3749*70000</f>
        <v>0</v>
      </c>
      <c r="BA3749" s="76"/>
      <c r="BB3749" s="76"/>
      <c r="BC3749" s="76"/>
      <c r="BD3749" s="76">
        <f>+BC3749*30000</f>
        <v>0</v>
      </c>
      <c r="BE3749" s="76"/>
      <c r="BF3749" s="76"/>
      <c r="BG3749" s="76"/>
      <c r="BH3749" s="76"/>
      <c r="BI3749" s="76"/>
      <c r="BJ3749" s="76"/>
      <c r="BK3749" s="76"/>
      <c r="BL3749" s="76">
        <f>+BK3749*31500</f>
        <v>0</v>
      </c>
      <c r="BM3749" s="76"/>
      <c r="BN3749" s="76"/>
      <c r="BO3749" s="76"/>
      <c r="BP3749" s="76"/>
      <c r="BQ3749" s="76"/>
      <c r="BR3749" s="76"/>
      <c r="BS3749" s="76"/>
      <c r="BT3749" s="76"/>
      <c r="BU3749" s="76"/>
      <c r="BV3749" s="76"/>
      <c r="BW3749" s="76"/>
      <c r="BX3749" s="76"/>
      <c r="BY3749" s="76"/>
      <c r="BZ3749" s="76"/>
      <c r="CA3749" s="76"/>
      <c r="CB3749" s="76"/>
      <c r="CC3749" s="76"/>
      <c r="CD3749" s="76"/>
      <c r="CE3749" s="76"/>
      <c r="CF3749" s="76">
        <f>+CE3749*28000</f>
        <v>0</v>
      </c>
      <c r="CG3749" s="76"/>
      <c r="CH3749" s="76">
        <f>+CG3749*22500</f>
        <v>0</v>
      </c>
      <c r="CI3749" s="76"/>
      <c r="CJ3749" s="76">
        <f>+CI3749*26000</f>
        <v>0</v>
      </c>
      <c r="CK3749" s="76"/>
      <c r="CL3749" s="76"/>
      <c r="CM3749" s="76"/>
      <c r="CN3749" s="76">
        <f>+CM3749*22000</f>
        <v>0</v>
      </c>
      <c r="CO3749" s="76"/>
      <c r="CP3749" s="76">
        <f>+CO3749*46000</f>
        <v>0</v>
      </c>
      <c r="CQ3749" s="76"/>
      <c r="CR3749" s="76">
        <f>+CQ3749*49000</f>
        <v>0</v>
      </c>
      <c r="CS3749" s="76"/>
      <c r="CT3749" s="76"/>
      <c r="CU3749" s="56">
        <f>AN3749+AP3749+AR3749+AT3749+AV3749+AX3749+AZ3749+BB3749+BD3749+BF3749+BH3749+BJ3749+BL3749+BN3749+BP3749+BR3749+BT3749+BV3749+BX3749+BZ3749+CB3749+CD3749+CF3749+CH3749+CJ3749+CL3749+CN3749+CP3749+CR3749+CT3749</f>
        <v>0</v>
      </c>
      <c r="CV3749" s="76"/>
      <c r="CW3749" s="76">
        <f>+CV3749*1100</f>
        <v>0</v>
      </c>
      <c r="CX3749" s="76"/>
      <c r="CY3749" s="76">
        <f>+CX3749*106250</f>
        <v>0</v>
      </c>
      <c r="CZ3749" s="76"/>
      <c r="DA3749" s="76">
        <f>+CZ3749*34500</f>
        <v>0</v>
      </c>
      <c r="DB3749" s="76"/>
      <c r="DC3749" s="76">
        <f>+DB3749*25000</f>
        <v>0</v>
      </c>
      <c r="DD3749" s="219"/>
      <c r="DE3749" s="219"/>
      <c r="DF3749" s="166"/>
      <c r="DG3749" s="116"/>
      <c r="DH3749" s="117"/>
      <c r="DI3749" s="24"/>
      <c r="DJ3749" s="24"/>
      <c r="DK3749" s="24"/>
      <c r="DL3749" s="24"/>
      <c r="DM3749" s="24"/>
      <c r="DN3749" s="24"/>
      <c r="DO3749" s="24"/>
      <c r="DP3749" s="24"/>
      <c r="DQ3749" s="24"/>
      <c r="DR3749" s="24"/>
      <c r="DS3749" s="24"/>
      <c r="DT3749" s="24"/>
      <c r="DU3749" s="24"/>
    </row>
    <row r="3750" spans="1:125" s="8" customFormat="1" ht="72" x14ac:dyDescent="0.2">
      <c r="A3750" s="77">
        <v>41605</v>
      </c>
      <c r="B3750" s="78" t="s">
        <v>2700</v>
      </c>
      <c r="C3750" s="75" t="s">
        <v>1564</v>
      </c>
      <c r="D3750" s="75" t="s">
        <v>2882</v>
      </c>
      <c r="E3750" s="75" t="str">
        <f>VLOOKUP(B3750&amp;C3750,Divipola!$C$2:$F$1138,4,FALSE)</f>
        <v>15047</v>
      </c>
      <c r="F3750" s="87"/>
      <c r="G3750" s="87"/>
      <c r="H3750" s="87"/>
      <c r="I3750" s="87"/>
      <c r="J3750" s="87"/>
      <c r="K3750" s="87"/>
      <c r="L3750" s="87"/>
      <c r="M3750" s="87"/>
      <c r="N3750" s="87"/>
      <c r="O3750" s="87"/>
      <c r="P3750" s="87"/>
      <c r="Q3750" s="87"/>
      <c r="R3750" s="87"/>
      <c r="S3750" s="87"/>
      <c r="T3750" s="87"/>
      <c r="U3750" s="88"/>
      <c r="V3750" s="89"/>
      <c r="W3750" s="96">
        <v>0</v>
      </c>
      <c r="X3750" s="71">
        <f>CU3750</f>
        <v>0</v>
      </c>
      <c r="Y3750" s="71">
        <f>CY3750</f>
        <v>0</v>
      </c>
      <c r="Z3750" s="71">
        <f>DA3750+DC3750+DE3750</f>
        <v>0</v>
      </c>
      <c r="AA3750" s="71">
        <f>CW3750</f>
        <v>0</v>
      </c>
      <c r="AB3750" s="71"/>
      <c r="AC3750" s="71">
        <v>0</v>
      </c>
      <c r="AD3750" s="71">
        <f>W3750+X3750+Y3750+Z3750+AA3750+AB3750+AC3750</f>
        <v>0</v>
      </c>
      <c r="AE3750" s="72">
        <v>0</v>
      </c>
      <c r="AF3750" s="5"/>
      <c r="AG3750" s="6"/>
      <c r="AH3750" s="27"/>
      <c r="AI3750" s="44"/>
      <c r="AJ3750" s="26"/>
      <c r="AK3750" s="5"/>
      <c r="AL3750" s="345" t="s">
        <v>6784</v>
      </c>
      <c r="AM3750" s="76"/>
      <c r="AN3750" s="76"/>
      <c r="AO3750" s="76"/>
      <c r="AP3750" s="76"/>
      <c r="AQ3750" s="76"/>
      <c r="AR3750" s="76"/>
      <c r="AS3750" s="76"/>
      <c r="AT3750" s="76"/>
      <c r="AU3750" s="76"/>
      <c r="AV3750" s="76"/>
      <c r="AW3750" s="76"/>
      <c r="AX3750" s="76">
        <f>+AW3750*600000</f>
        <v>0</v>
      </c>
      <c r="AY3750" s="76"/>
      <c r="AZ3750" s="76">
        <f>+AY3750*70000</f>
        <v>0</v>
      </c>
      <c r="BA3750" s="76"/>
      <c r="BB3750" s="76"/>
      <c r="BC3750" s="76"/>
      <c r="BD3750" s="76">
        <f>+BC3750*30000</f>
        <v>0</v>
      </c>
      <c r="BE3750" s="76"/>
      <c r="BF3750" s="76"/>
      <c r="BG3750" s="76"/>
      <c r="BH3750" s="76"/>
      <c r="BI3750" s="76"/>
      <c r="BJ3750" s="76"/>
      <c r="BK3750" s="76"/>
      <c r="BL3750" s="76">
        <f>+BK3750*31500</f>
        <v>0</v>
      </c>
      <c r="BM3750" s="76"/>
      <c r="BN3750" s="76"/>
      <c r="BO3750" s="76"/>
      <c r="BP3750" s="76"/>
      <c r="BQ3750" s="76"/>
      <c r="BR3750" s="76"/>
      <c r="BS3750" s="76"/>
      <c r="BT3750" s="76"/>
      <c r="BU3750" s="76"/>
      <c r="BV3750" s="76"/>
      <c r="BW3750" s="76"/>
      <c r="BX3750" s="76"/>
      <c r="BY3750" s="76"/>
      <c r="BZ3750" s="76"/>
      <c r="CA3750" s="76"/>
      <c r="CB3750" s="76"/>
      <c r="CC3750" s="76"/>
      <c r="CD3750" s="76"/>
      <c r="CE3750" s="76"/>
      <c r="CF3750" s="76">
        <f>+CE3750*28000</f>
        <v>0</v>
      </c>
      <c r="CG3750" s="76"/>
      <c r="CH3750" s="76">
        <f>+CG3750*22500</f>
        <v>0</v>
      </c>
      <c r="CI3750" s="76"/>
      <c r="CJ3750" s="76">
        <f>+CI3750*26000</f>
        <v>0</v>
      </c>
      <c r="CK3750" s="76"/>
      <c r="CL3750" s="76"/>
      <c r="CM3750" s="76"/>
      <c r="CN3750" s="76">
        <f>+CM3750*22000</f>
        <v>0</v>
      </c>
      <c r="CO3750" s="76"/>
      <c r="CP3750" s="76">
        <f>+CO3750*46000</f>
        <v>0</v>
      </c>
      <c r="CQ3750" s="76"/>
      <c r="CR3750" s="76">
        <f>+CQ3750*49000</f>
        <v>0</v>
      </c>
      <c r="CS3750" s="76"/>
      <c r="CT3750" s="76"/>
      <c r="CU3750" s="56">
        <f>AN3750+AP3750+AR3750+AT3750+AV3750+AX3750+AZ3750+BB3750+BD3750+BF3750+BH3750+BJ3750+BL3750+BN3750+BP3750+BR3750+BT3750+BV3750+BX3750+BZ3750+CB3750+CD3750+CF3750+CH3750+CJ3750+CL3750+CN3750+CP3750+CR3750+CT3750</f>
        <v>0</v>
      </c>
      <c r="CV3750" s="76"/>
      <c r="CW3750" s="76">
        <f>+CV3750*1100</f>
        <v>0</v>
      </c>
      <c r="CX3750" s="76"/>
      <c r="CY3750" s="76">
        <f>+CX3750*106250</f>
        <v>0</v>
      </c>
      <c r="CZ3750" s="76"/>
      <c r="DA3750" s="76">
        <f>+CZ3750*34500</f>
        <v>0</v>
      </c>
      <c r="DB3750" s="76"/>
      <c r="DC3750" s="76">
        <f>+DB3750*25000</f>
        <v>0</v>
      </c>
      <c r="DD3750" s="219"/>
      <c r="DE3750" s="219"/>
      <c r="DF3750" s="166"/>
      <c r="DG3750" s="116"/>
      <c r="DH3750" s="117"/>
      <c r="DI3750" s="24"/>
      <c r="DJ3750" s="24"/>
      <c r="DK3750" s="24"/>
      <c r="DL3750" s="24"/>
      <c r="DM3750" s="24"/>
      <c r="DN3750" s="24"/>
      <c r="DO3750" s="24"/>
      <c r="DP3750" s="24"/>
      <c r="DQ3750" s="24"/>
      <c r="DR3750" s="24"/>
      <c r="DS3750" s="24"/>
      <c r="DT3750" s="24"/>
      <c r="DU3750" s="24"/>
    </row>
    <row r="3751" spans="1:125" s="8" customFormat="1" ht="48" x14ac:dyDescent="0.2">
      <c r="A3751" s="77">
        <v>41605</v>
      </c>
      <c r="B3751" s="352" t="s">
        <v>2772</v>
      </c>
      <c r="C3751" s="354" t="s">
        <v>1335</v>
      </c>
      <c r="D3751" s="354" t="s">
        <v>3051</v>
      </c>
      <c r="E3751" s="75" t="str">
        <f>VLOOKUP(B3751&amp;C3751,Divipola!$C$2:$F$1138,4,FALSE)</f>
        <v>25322</v>
      </c>
      <c r="F3751" s="87"/>
      <c r="G3751" s="87"/>
      <c r="H3751" s="87"/>
      <c r="I3751" s="87"/>
      <c r="J3751" s="87"/>
      <c r="K3751" s="87"/>
      <c r="L3751" s="87"/>
      <c r="M3751" s="87"/>
      <c r="N3751" s="87"/>
      <c r="O3751" s="87"/>
      <c r="P3751" s="87"/>
      <c r="Q3751" s="87"/>
      <c r="R3751" s="87"/>
      <c r="S3751" s="87"/>
      <c r="T3751" s="87"/>
      <c r="U3751" s="88"/>
      <c r="V3751" s="89"/>
      <c r="W3751" s="96">
        <v>0</v>
      </c>
      <c r="X3751" s="71">
        <f>CU3751</f>
        <v>0</v>
      </c>
      <c r="Y3751" s="71">
        <f>CY3751</f>
        <v>0</v>
      </c>
      <c r="Z3751" s="71">
        <f>DA3751+DC3751+DE3751</f>
        <v>0</v>
      </c>
      <c r="AA3751" s="71">
        <f>CW3751</f>
        <v>0</v>
      </c>
      <c r="AB3751" s="71"/>
      <c r="AC3751" s="71">
        <v>0</v>
      </c>
      <c r="AD3751" s="71">
        <f>W3751+X3751+Y3751+Z3751+AA3751+AB3751+AC3751</f>
        <v>0</v>
      </c>
      <c r="AE3751" s="72">
        <v>0</v>
      </c>
      <c r="AF3751" s="5"/>
      <c r="AG3751" s="6"/>
      <c r="AH3751" s="27"/>
      <c r="AI3751" s="44"/>
      <c r="AJ3751" s="26"/>
      <c r="AK3751" s="5"/>
      <c r="AL3751" s="82" t="s">
        <v>6785</v>
      </c>
      <c r="AM3751" s="76"/>
      <c r="AN3751" s="76"/>
      <c r="AO3751" s="76"/>
      <c r="AP3751" s="76"/>
      <c r="AQ3751" s="76"/>
      <c r="AR3751" s="76"/>
      <c r="AS3751" s="76"/>
      <c r="AT3751" s="76"/>
      <c r="AU3751" s="76"/>
      <c r="AV3751" s="76"/>
      <c r="AW3751" s="76"/>
      <c r="AX3751" s="76">
        <f>+AW3751*600000</f>
        <v>0</v>
      </c>
      <c r="AY3751" s="76"/>
      <c r="AZ3751" s="76">
        <f>+AY3751*70000</f>
        <v>0</v>
      </c>
      <c r="BA3751" s="76"/>
      <c r="BB3751" s="76"/>
      <c r="BC3751" s="76"/>
      <c r="BD3751" s="76">
        <f>+BC3751*30000</f>
        <v>0</v>
      </c>
      <c r="BE3751" s="76"/>
      <c r="BF3751" s="76"/>
      <c r="BG3751" s="76"/>
      <c r="BH3751" s="76"/>
      <c r="BI3751" s="76"/>
      <c r="BJ3751" s="76"/>
      <c r="BK3751" s="76"/>
      <c r="BL3751" s="76">
        <f>+BK3751*31500</f>
        <v>0</v>
      </c>
      <c r="BM3751" s="76"/>
      <c r="BN3751" s="76"/>
      <c r="BO3751" s="76"/>
      <c r="BP3751" s="76"/>
      <c r="BQ3751" s="76"/>
      <c r="BR3751" s="76"/>
      <c r="BS3751" s="76"/>
      <c r="BT3751" s="76"/>
      <c r="BU3751" s="76"/>
      <c r="BV3751" s="76"/>
      <c r="BW3751" s="76"/>
      <c r="BX3751" s="76"/>
      <c r="BY3751" s="76"/>
      <c r="BZ3751" s="76"/>
      <c r="CA3751" s="76"/>
      <c r="CB3751" s="76"/>
      <c r="CC3751" s="76"/>
      <c r="CD3751" s="76"/>
      <c r="CE3751" s="76"/>
      <c r="CF3751" s="76">
        <f>+CE3751*28000</f>
        <v>0</v>
      </c>
      <c r="CG3751" s="76"/>
      <c r="CH3751" s="76">
        <f>+CG3751*22500</f>
        <v>0</v>
      </c>
      <c r="CI3751" s="76"/>
      <c r="CJ3751" s="76">
        <f>+CI3751*26000</f>
        <v>0</v>
      </c>
      <c r="CK3751" s="76"/>
      <c r="CL3751" s="76"/>
      <c r="CM3751" s="76"/>
      <c r="CN3751" s="76">
        <f>+CM3751*22000</f>
        <v>0</v>
      </c>
      <c r="CO3751" s="76"/>
      <c r="CP3751" s="76">
        <f>+CO3751*46000</f>
        <v>0</v>
      </c>
      <c r="CQ3751" s="76"/>
      <c r="CR3751" s="76">
        <f>+CQ3751*49000</f>
        <v>0</v>
      </c>
      <c r="CS3751" s="76"/>
      <c r="CT3751" s="76"/>
      <c r="CU3751" s="56">
        <f>AN3751+AP3751+AR3751+AT3751+AV3751+AX3751+AZ3751+BB3751+BD3751+BF3751+BH3751+BJ3751+BL3751+BN3751+BP3751+BR3751+BT3751+BV3751+BX3751+BZ3751+CB3751+CD3751+CF3751+CH3751+CJ3751+CL3751+CN3751+CP3751+CR3751+CT3751</f>
        <v>0</v>
      </c>
      <c r="CV3751" s="76"/>
      <c r="CW3751" s="76">
        <f>+CV3751*1100</f>
        <v>0</v>
      </c>
      <c r="CX3751" s="76"/>
      <c r="CY3751" s="76">
        <f>+CX3751*106250</f>
        <v>0</v>
      </c>
      <c r="CZ3751" s="76"/>
      <c r="DA3751" s="76">
        <f>+CZ3751*34500</f>
        <v>0</v>
      </c>
      <c r="DB3751" s="76"/>
      <c r="DC3751" s="76">
        <f>+DB3751*25000</f>
        <v>0</v>
      </c>
      <c r="DD3751" s="219"/>
      <c r="DE3751" s="219"/>
      <c r="DF3751" s="166"/>
      <c r="DG3751" s="116"/>
      <c r="DH3751" s="117"/>
      <c r="DI3751" s="24"/>
      <c r="DJ3751" s="24"/>
      <c r="DK3751" s="24"/>
      <c r="DL3751" s="24"/>
      <c r="DM3751" s="24"/>
      <c r="DN3751" s="24"/>
      <c r="DO3751" s="24"/>
      <c r="DP3751" s="24"/>
      <c r="DQ3751" s="24"/>
      <c r="DR3751" s="24"/>
      <c r="DS3751" s="24"/>
      <c r="DT3751" s="24"/>
      <c r="DU3751" s="24"/>
    </row>
    <row r="3752" spans="1:125" s="8" customFormat="1" ht="192" x14ac:dyDescent="0.2">
      <c r="A3752" s="77">
        <v>41605</v>
      </c>
      <c r="B3752" s="78" t="s">
        <v>2772</v>
      </c>
      <c r="C3752" s="75" t="s">
        <v>2672</v>
      </c>
      <c r="D3752" s="75" t="s">
        <v>3088</v>
      </c>
      <c r="E3752" s="75" t="str">
        <f>VLOOKUP(B3752&amp;C3752,Divipola!$C$2:$F$1138,4,FALSE)</f>
        <v>25290</v>
      </c>
      <c r="F3752" s="87"/>
      <c r="G3752" s="87"/>
      <c r="H3752" s="87"/>
      <c r="I3752" s="87">
        <v>38</v>
      </c>
      <c r="J3752" s="87">
        <v>8</v>
      </c>
      <c r="K3752" s="87">
        <v>3</v>
      </c>
      <c r="L3752" s="87">
        <v>5</v>
      </c>
      <c r="M3752" s="87">
        <v>1</v>
      </c>
      <c r="N3752" s="87"/>
      <c r="O3752" s="87"/>
      <c r="P3752" s="87">
        <v>1</v>
      </c>
      <c r="Q3752" s="87"/>
      <c r="R3752" s="87"/>
      <c r="S3752" s="87"/>
      <c r="T3752" s="87"/>
      <c r="U3752" s="88"/>
      <c r="V3752" s="89">
        <v>2</v>
      </c>
      <c r="W3752" s="96">
        <v>0</v>
      </c>
      <c r="X3752" s="71">
        <f>CU3752</f>
        <v>0</v>
      </c>
      <c r="Y3752" s="71">
        <f>CY3752</f>
        <v>0</v>
      </c>
      <c r="Z3752" s="71">
        <f>DA3752+DC3752+DE3752</f>
        <v>0</v>
      </c>
      <c r="AA3752" s="71">
        <f>CW3752</f>
        <v>0</v>
      </c>
      <c r="AB3752" s="71"/>
      <c r="AC3752" s="71">
        <v>0</v>
      </c>
      <c r="AD3752" s="71">
        <f>W3752+X3752+Y3752+Z3752+AA3752+AB3752+AC3752</f>
        <v>0</v>
      </c>
      <c r="AE3752" s="72">
        <v>0</v>
      </c>
      <c r="AF3752" s="5"/>
      <c r="AG3752" s="6"/>
      <c r="AH3752" s="27"/>
      <c r="AI3752" s="44"/>
      <c r="AJ3752" s="26"/>
      <c r="AK3752" s="5"/>
      <c r="AL3752" s="9" t="s">
        <v>6794</v>
      </c>
      <c r="AM3752" s="76"/>
      <c r="AN3752" s="76"/>
      <c r="AO3752" s="76"/>
      <c r="AP3752" s="76"/>
      <c r="AQ3752" s="76"/>
      <c r="AR3752" s="76"/>
      <c r="AS3752" s="76"/>
      <c r="AT3752" s="76"/>
      <c r="AU3752" s="76"/>
      <c r="AV3752" s="76"/>
      <c r="AW3752" s="76"/>
      <c r="AX3752" s="76">
        <f>+AW3752*600000</f>
        <v>0</v>
      </c>
      <c r="AY3752" s="76"/>
      <c r="AZ3752" s="76">
        <f>+AY3752*70000</f>
        <v>0</v>
      </c>
      <c r="BA3752" s="76"/>
      <c r="BB3752" s="76"/>
      <c r="BC3752" s="76"/>
      <c r="BD3752" s="76">
        <f>+BC3752*30000</f>
        <v>0</v>
      </c>
      <c r="BE3752" s="76"/>
      <c r="BF3752" s="76"/>
      <c r="BG3752" s="76"/>
      <c r="BH3752" s="76"/>
      <c r="BI3752" s="76"/>
      <c r="BJ3752" s="76"/>
      <c r="BK3752" s="76"/>
      <c r="BL3752" s="76">
        <f>+BK3752*31500</f>
        <v>0</v>
      </c>
      <c r="BM3752" s="76"/>
      <c r="BN3752" s="76"/>
      <c r="BO3752" s="76"/>
      <c r="BP3752" s="76"/>
      <c r="BQ3752" s="76"/>
      <c r="BR3752" s="76"/>
      <c r="BS3752" s="76"/>
      <c r="BT3752" s="76"/>
      <c r="BU3752" s="76"/>
      <c r="BV3752" s="76"/>
      <c r="BW3752" s="76"/>
      <c r="BX3752" s="76"/>
      <c r="BY3752" s="76"/>
      <c r="BZ3752" s="76"/>
      <c r="CA3752" s="76"/>
      <c r="CB3752" s="76"/>
      <c r="CC3752" s="76"/>
      <c r="CD3752" s="76"/>
      <c r="CE3752" s="76"/>
      <c r="CF3752" s="76">
        <f>+CE3752*28000</f>
        <v>0</v>
      </c>
      <c r="CG3752" s="76"/>
      <c r="CH3752" s="76">
        <f>+CG3752*22500</f>
        <v>0</v>
      </c>
      <c r="CI3752" s="76"/>
      <c r="CJ3752" s="76">
        <f>+CI3752*26000</f>
        <v>0</v>
      </c>
      <c r="CK3752" s="76"/>
      <c r="CL3752" s="76"/>
      <c r="CM3752" s="76"/>
      <c r="CN3752" s="76">
        <f>+CM3752*22000</f>
        <v>0</v>
      </c>
      <c r="CO3752" s="76"/>
      <c r="CP3752" s="76">
        <f>+CO3752*46000</f>
        <v>0</v>
      </c>
      <c r="CQ3752" s="76"/>
      <c r="CR3752" s="76">
        <f>+CQ3752*49000</f>
        <v>0</v>
      </c>
      <c r="CS3752" s="76"/>
      <c r="CT3752" s="76"/>
      <c r="CU3752" s="56">
        <f>AN3752+AP3752+AR3752+AT3752+AV3752+AX3752+AZ3752+BB3752+BD3752+BF3752+BH3752+BJ3752+BL3752+BN3752+BP3752+BR3752+BT3752+BV3752+BX3752+BZ3752+CB3752+CD3752+CF3752+CH3752+CJ3752+CL3752+CN3752+CP3752+CR3752+CT3752</f>
        <v>0</v>
      </c>
      <c r="CV3752" s="76"/>
      <c r="CW3752" s="76">
        <f>+CV3752*1100</f>
        <v>0</v>
      </c>
      <c r="CX3752" s="76"/>
      <c r="CY3752" s="76">
        <f>+CX3752*106250</f>
        <v>0</v>
      </c>
      <c r="CZ3752" s="76"/>
      <c r="DA3752" s="76">
        <f>+CZ3752*34500</f>
        <v>0</v>
      </c>
      <c r="DB3752" s="76"/>
      <c r="DC3752" s="76">
        <f>+DB3752*25000</f>
        <v>0</v>
      </c>
      <c r="DD3752" s="219"/>
      <c r="DE3752" s="219"/>
      <c r="DF3752" s="166"/>
      <c r="DG3752" s="116"/>
      <c r="DH3752" s="117"/>
      <c r="DI3752" s="24"/>
      <c r="DJ3752" s="24"/>
      <c r="DK3752" s="24"/>
      <c r="DL3752" s="24"/>
      <c r="DM3752" s="24"/>
      <c r="DN3752" s="24"/>
      <c r="DO3752" s="24"/>
      <c r="DP3752" s="24"/>
      <c r="DQ3752" s="24"/>
      <c r="DR3752" s="24"/>
      <c r="DS3752" s="24"/>
      <c r="DT3752" s="24"/>
      <c r="DU3752" s="24"/>
    </row>
    <row r="3753" spans="1:125" s="8" customFormat="1" ht="60" x14ac:dyDescent="0.2">
      <c r="A3753" s="77">
        <v>41605</v>
      </c>
      <c r="B3753" s="352" t="s">
        <v>2894</v>
      </c>
      <c r="C3753" s="354" t="s">
        <v>2032</v>
      </c>
      <c r="D3753" s="354" t="s">
        <v>2859</v>
      </c>
      <c r="E3753" s="75" t="str">
        <f>VLOOKUP(B3753&amp;C3753,Divipola!$C$2:$F$1138,4,FALSE)</f>
        <v>05001</v>
      </c>
      <c r="F3753" s="272"/>
      <c r="G3753" s="272"/>
      <c r="H3753" s="272"/>
      <c r="I3753" s="272"/>
      <c r="J3753" s="272"/>
      <c r="K3753" s="272"/>
      <c r="L3753" s="272"/>
      <c r="M3753" s="272"/>
      <c r="N3753" s="272"/>
      <c r="O3753" s="272"/>
      <c r="P3753" s="272"/>
      <c r="Q3753" s="272"/>
      <c r="R3753" s="272"/>
      <c r="S3753" s="272"/>
      <c r="T3753" s="272"/>
      <c r="U3753" s="273"/>
      <c r="V3753" s="86">
        <v>1</v>
      </c>
      <c r="W3753" s="96">
        <v>0</v>
      </c>
      <c r="X3753" s="71">
        <f>CU3753</f>
        <v>0</v>
      </c>
      <c r="Y3753" s="71">
        <f>CY3753</f>
        <v>0</v>
      </c>
      <c r="Z3753" s="71">
        <f>DA3753+DC3753+DE3753</f>
        <v>0</v>
      </c>
      <c r="AA3753" s="71">
        <f>CW3753</f>
        <v>0</v>
      </c>
      <c r="AB3753" s="71"/>
      <c r="AC3753" s="71">
        <v>0</v>
      </c>
      <c r="AD3753" s="71">
        <f>W3753+X3753+Y3753+Z3753+AA3753+AB3753+AC3753</f>
        <v>0</v>
      </c>
      <c r="AE3753" s="72">
        <v>0</v>
      </c>
      <c r="AF3753" s="5"/>
      <c r="AG3753" s="6"/>
      <c r="AH3753" s="27"/>
      <c r="AI3753" s="44"/>
      <c r="AJ3753" s="26"/>
      <c r="AK3753" s="5"/>
      <c r="AL3753" s="279" t="s">
        <v>6797</v>
      </c>
      <c r="AM3753" s="76"/>
      <c r="AN3753" s="76"/>
      <c r="AO3753" s="76"/>
      <c r="AP3753" s="76"/>
      <c r="AQ3753" s="76"/>
      <c r="AR3753" s="76"/>
      <c r="AS3753" s="76"/>
      <c r="AT3753" s="76"/>
      <c r="AU3753" s="76"/>
      <c r="AV3753" s="76"/>
      <c r="AW3753" s="76"/>
      <c r="AX3753" s="76">
        <f>+AW3753*600000</f>
        <v>0</v>
      </c>
      <c r="AY3753" s="76"/>
      <c r="AZ3753" s="76">
        <f>+AY3753*70000</f>
        <v>0</v>
      </c>
      <c r="BA3753" s="76"/>
      <c r="BB3753" s="76"/>
      <c r="BC3753" s="76"/>
      <c r="BD3753" s="76">
        <f>+BC3753*30000</f>
        <v>0</v>
      </c>
      <c r="BE3753" s="76"/>
      <c r="BF3753" s="76"/>
      <c r="BG3753" s="76"/>
      <c r="BH3753" s="76"/>
      <c r="BI3753" s="76"/>
      <c r="BJ3753" s="76"/>
      <c r="BK3753" s="76"/>
      <c r="BL3753" s="76">
        <f>+BK3753*31500</f>
        <v>0</v>
      </c>
      <c r="BM3753" s="76"/>
      <c r="BN3753" s="76"/>
      <c r="BO3753" s="76"/>
      <c r="BP3753" s="76"/>
      <c r="BQ3753" s="76"/>
      <c r="BR3753" s="76"/>
      <c r="BS3753" s="76"/>
      <c r="BT3753" s="76"/>
      <c r="BU3753" s="76"/>
      <c r="BV3753" s="76"/>
      <c r="BW3753" s="76"/>
      <c r="BX3753" s="76"/>
      <c r="BY3753" s="76"/>
      <c r="BZ3753" s="76"/>
      <c r="CA3753" s="76"/>
      <c r="CB3753" s="76"/>
      <c r="CC3753" s="76"/>
      <c r="CD3753" s="76"/>
      <c r="CE3753" s="76"/>
      <c r="CF3753" s="76">
        <f>+CE3753*28000</f>
        <v>0</v>
      </c>
      <c r="CG3753" s="76"/>
      <c r="CH3753" s="76">
        <f>+CG3753*22500</f>
        <v>0</v>
      </c>
      <c r="CI3753" s="76"/>
      <c r="CJ3753" s="76">
        <f>+CI3753*26000</f>
        <v>0</v>
      </c>
      <c r="CK3753" s="76"/>
      <c r="CL3753" s="76"/>
      <c r="CM3753" s="76"/>
      <c r="CN3753" s="76">
        <f>+CM3753*22000</f>
        <v>0</v>
      </c>
      <c r="CO3753" s="76"/>
      <c r="CP3753" s="76">
        <f>+CO3753*46000</f>
        <v>0</v>
      </c>
      <c r="CQ3753" s="76"/>
      <c r="CR3753" s="76">
        <f>+CQ3753*49000</f>
        <v>0</v>
      </c>
      <c r="CS3753" s="76"/>
      <c r="CT3753" s="76"/>
      <c r="CU3753" s="56">
        <f>AN3753+AP3753+AR3753+AT3753+AV3753+AX3753+AZ3753+BB3753+BD3753+BF3753+BH3753+BJ3753+BL3753+BN3753+BP3753+BR3753+BT3753+BV3753+BX3753+BZ3753+CB3753+CD3753+CF3753+CH3753+CJ3753+CL3753+CN3753+CP3753+CR3753+CT3753</f>
        <v>0</v>
      </c>
      <c r="CV3753" s="76"/>
      <c r="CW3753" s="76">
        <f>+CV3753*1100</f>
        <v>0</v>
      </c>
      <c r="CX3753" s="76"/>
      <c r="CY3753" s="76">
        <f>+CX3753*106250</f>
        <v>0</v>
      </c>
      <c r="CZ3753" s="76"/>
      <c r="DA3753" s="76">
        <f>+CZ3753*34500</f>
        <v>0</v>
      </c>
      <c r="DB3753" s="76"/>
      <c r="DC3753" s="76">
        <f>+DB3753*25000</f>
        <v>0</v>
      </c>
      <c r="DD3753" s="219"/>
      <c r="DE3753" s="219"/>
      <c r="DF3753" s="166"/>
      <c r="DG3753" s="116"/>
      <c r="DH3753" s="117"/>
      <c r="DI3753" s="24"/>
      <c r="DJ3753" s="24"/>
      <c r="DK3753" s="24"/>
      <c r="DL3753" s="24"/>
      <c r="DM3753" s="24"/>
      <c r="DN3753" s="24"/>
      <c r="DO3753" s="24"/>
      <c r="DP3753" s="24"/>
      <c r="DQ3753" s="24"/>
      <c r="DR3753" s="24"/>
      <c r="DS3753" s="24"/>
      <c r="DT3753" s="24"/>
      <c r="DU3753" s="24"/>
    </row>
    <row r="3754" spans="1:125" s="8" customFormat="1" ht="72" x14ac:dyDescent="0.2">
      <c r="A3754" s="353">
        <v>41605</v>
      </c>
      <c r="B3754" s="352" t="s">
        <v>2196</v>
      </c>
      <c r="C3754" s="354" t="s">
        <v>523</v>
      </c>
      <c r="D3754" s="354" t="s">
        <v>2882</v>
      </c>
      <c r="E3754" s="75" t="str">
        <f>VLOOKUP(B3754&amp;C3754,Divipola!$C$2:$F$1138,4,FALSE)</f>
        <v>17174</v>
      </c>
      <c r="F3754" s="87"/>
      <c r="G3754" s="87"/>
      <c r="H3754" s="87"/>
      <c r="I3754" s="87">
        <v>120</v>
      </c>
      <c r="J3754" s="87">
        <v>27</v>
      </c>
      <c r="K3754" s="87"/>
      <c r="L3754" s="87">
        <v>10</v>
      </c>
      <c r="M3754" s="87"/>
      <c r="N3754" s="87"/>
      <c r="O3754" s="87"/>
      <c r="P3754" s="87"/>
      <c r="Q3754" s="87"/>
      <c r="R3754" s="87"/>
      <c r="S3754" s="87"/>
      <c r="T3754" s="87"/>
      <c r="U3754" s="88"/>
      <c r="V3754" s="89"/>
      <c r="W3754" s="96">
        <v>0</v>
      </c>
      <c r="X3754" s="71">
        <f>CU3754</f>
        <v>0</v>
      </c>
      <c r="Y3754" s="71">
        <f>CY3754</f>
        <v>0</v>
      </c>
      <c r="Z3754" s="71">
        <f>DA3754+DC3754+DE3754</f>
        <v>0</v>
      </c>
      <c r="AA3754" s="71">
        <f>CW3754</f>
        <v>0</v>
      </c>
      <c r="AB3754" s="71"/>
      <c r="AC3754" s="71">
        <v>0</v>
      </c>
      <c r="AD3754" s="71">
        <f>W3754+X3754+Y3754+Z3754+AA3754+AB3754+AC3754</f>
        <v>0</v>
      </c>
      <c r="AE3754" s="72">
        <v>0</v>
      </c>
      <c r="AF3754" s="5"/>
      <c r="AG3754" s="6"/>
      <c r="AH3754" s="27"/>
      <c r="AI3754" s="44"/>
      <c r="AJ3754" s="26"/>
      <c r="AK3754" s="5"/>
      <c r="AL3754" s="82" t="s">
        <v>6802</v>
      </c>
      <c r="AM3754" s="76"/>
      <c r="AN3754" s="76"/>
      <c r="AO3754" s="76"/>
      <c r="AP3754" s="76"/>
      <c r="AQ3754" s="76"/>
      <c r="AR3754" s="76"/>
      <c r="AS3754" s="76"/>
      <c r="AT3754" s="76"/>
      <c r="AU3754" s="76"/>
      <c r="AV3754" s="76"/>
      <c r="AW3754" s="76"/>
      <c r="AX3754" s="76">
        <f>+AW3754*600000</f>
        <v>0</v>
      </c>
      <c r="AY3754" s="76"/>
      <c r="AZ3754" s="76">
        <f>+AY3754*70000</f>
        <v>0</v>
      </c>
      <c r="BA3754" s="76"/>
      <c r="BB3754" s="76"/>
      <c r="BC3754" s="76"/>
      <c r="BD3754" s="76">
        <f>+BC3754*30000</f>
        <v>0</v>
      </c>
      <c r="BE3754" s="76"/>
      <c r="BF3754" s="76"/>
      <c r="BG3754" s="76"/>
      <c r="BH3754" s="76"/>
      <c r="BI3754" s="76"/>
      <c r="BJ3754" s="76"/>
      <c r="BK3754" s="76"/>
      <c r="BL3754" s="76">
        <f>+BK3754*31500</f>
        <v>0</v>
      </c>
      <c r="BM3754" s="76"/>
      <c r="BN3754" s="76"/>
      <c r="BO3754" s="76"/>
      <c r="BP3754" s="76"/>
      <c r="BQ3754" s="76"/>
      <c r="BR3754" s="76"/>
      <c r="BS3754" s="76"/>
      <c r="BT3754" s="76"/>
      <c r="BU3754" s="76"/>
      <c r="BV3754" s="76"/>
      <c r="BW3754" s="76"/>
      <c r="BX3754" s="76"/>
      <c r="BY3754" s="76"/>
      <c r="BZ3754" s="76"/>
      <c r="CA3754" s="76"/>
      <c r="CB3754" s="76"/>
      <c r="CC3754" s="76"/>
      <c r="CD3754" s="76"/>
      <c r="CE3754" s="76"/>
      <c r="CF3754" s="76">
        <f>+CE3754*28000</f>
        <v>0</v>
      </c>
      <c r="CG3754" s="76"/>
      <c r="CH3754" s="76">
        <f>+CG3754*22500</f>
        <v>0</v>
      </c>
      <c r="CI3754" s="76"/>
      <c r="CJ3754" s="76">
        <f>+CI3754*26000</f>
        <v>0</v>
      </c>
      <c r="CK3754" s="76"/>
      <c r="CL3754" s="76"/>
      <c r="CM3754" s="76"/>
      <c r="CN3754" s="76">
        <f>+CM3754*22000</f>
        <v>0</v>
      </c>
      <c r="CO3754" s="76"/>
      <c r="CP3754" s="76">
        <f>+CO3754*46000</f>
        <v>0</v>
      </c>
      <c r="CQ3754" s="76"/>
      <c r="CR3754" s="76">
        <f>+CQ3754*49000</f>
        <v>0</v>
      </c>
      <c r="CS3754" s="76"/>
      <c r="CT3754" s="76"/>
      <c r="CU3754" s="56">
        <f>AN3754+AP3754+AR3754+AT3754+AV3754+AX3754+AZ3754+BB3754+BD3754+BF3754+BH3754+BJ3754+BL3754+BN3754+BP3754+BR3754+BT3754+BV3754+BX3754+BZ3754+CB3754+CD3754+CF3754+CH3754+CJ3754+CL3754+CN3754+CP3754+CR3754+CT3754</f>
        <v>0</v>
      </c>
      <c r="CV3754" s="76"/>
      <c r="CW3754" s="76">
        <f>+CV3754*1100</f>
        <v>0</v>
      </c>
      <c r="CX3754" s="76"/>
      <c r="CY3754" s="76">
        <f>+CX3754*106250</f>
        <v>0</v>
      </c>
      <c r="CZ3754" s="76"/>
      <c r="DA3754" s="76">
        <f>+CZ3754*34500</f>
        <v>0</v>
      </c>
      <c r="DB3754" s="76"/>
      <c r="DC3754" s="76">
        <f>+DB3754*25000</f>
        <v>0</v>
      </c>
      <c r="DD3754" s="219"/>
      <c r="DE3754" s="219"/>
      <c r="DF3754" s="166"/>
      <c r="DG3754" s="116"/>
      <c r="DH3754" s="117"/>
      <c r="DI3754" s="24"/>
      <c r="DJ3754" s="24"/>
      <c r="DK3754" s="24"/>
      <c r="DL3754" s="24"/>
      <c r="DM3754" s="24"/>
      <c r="DN3754" s="24"/>
      <c r="DO3754" s="24"/>
      <c r="DP3754" s="24"/>
      <c r="DQ3754" s="24"/>
      <c r="DR3754" s="24"/>
      <c r="DS3754" s="24"/>
      <c r="DT3754" s="24"/>
      <c r="DU3754" s="24"/>
    </row>
    <row r="3755" spans="1:125" s="8" customFormat="1" ht="120" x14ac:dyDescent="0.2">
      <c r="A3755" s="353">
        <v>41605</v>
      </c>
      <c r="B3755" s="352" t="s">
        <v>2851</v>
      </c>
      <c r="C3755" s="354" t="s">
        <v>2754</v>
      </c>
      <c r="D3755" s="354" t="s">
        <v>2859</v>
      </c>
      <c r="E3755" s="75" t="str">
        <f>VLOOKUP(B3755&amp;C3755,Divipola!$C$2:$F$1138,4,FALSE)</f>
        <v>76109</v>
      </c>
      <c r="F3755" s="87"/>
      <c r="G3755" s="87"/>
      <c r="H3755" s="87"/>
      <c r="I3755" s="87">
        <v>35</v>
      </c>
      <c r="J3755" s="87">
        <v>7</v>
      </c>
      <c r="K3755" s="87">
        <v>7</v>
      </c>
      <c r="L3755" s="87"/>
      <c r="M3755" s="87"/>
      <c r="N3755" s="87"/>
      <c r="O3755" s="87"/>
      <c r="P3755" s="87"/>
      <c r="Q3755" s="87"/>
      <c r="R3755" s="87"/>
      <c r="S3755" s="87"/>
      <c r="T3755" s="87"/>
      <c r="U3755" s="88"/>
      <c r="V3755" s="89"/>
      <c r="W3755" s="96">
        <v>0</v>
      </c>
      <c r="X3755" s="71">
        <f>CU3755</f>
        <v>0</v>
      </c>
      <c r="Y3755" s="71">
        <f>CY3755</f>
        <v>0</v>
      </c>
      <c r="Z3755" s="71">
        <f>DA3755+DC3755+DE3755</f>
        <v>0</v>
      </c>
      <c r="AA3755" s="71">
        <f>CW3755</f>
        <v>0</v>
      </c>
      <c r="AB3755" s="71"/>
      <c r="AC3755" s="71">
        <v>0</v>
      </c>
      <c r="AD3755" s="71">
        <f>W3755+X3755+Y3755+Z3755+AA3755+AB3755+AC3755</f>
        <v>0</v>
      </c>
      <c r="AE3755" s="72">
        <v>0</v>
      </c>
      <c r="AF3755" s="5"/>
      <c r="AG3755" s="6"/>
      <c r="AH3755" s="27"/>
      <c r="AI3755" s="44"/>
      <c r="AJ3755" s="26"/>
      <c r="AK3755" s="5"/>
      <c r="AL3755" s="82" t="s">
        <v>6803</v>
      </c>
      <c r="AM3755" s="76"/>
      <c r="AN3755" s="76"/>
      <c r="AO3755" s="76"/>
      <c r="AP3755" s="76"/>
      <c r="AQ3755" s="76"/>
      <c r="AR3755" s="76"/>
      <c r="AS3755" s="76"/>
      <c r="AT3755" s="76"/>
      <c r="AU3755" s="76"/>
      <c r="AV3755" s="76"/>
      <c r="AW3755" s="76"/>
      <c r="AX3755" s="76">
        <f>+AW3755*600000</f>
        <v>0</v>
      </c>
      <c r="AY3755" s="76"/>
      <c r="AZ3755" s="76">
        <f>+AY3755*70000</f>
        <v>0</v>
      </c>
      <c r="BA3755" s="76"/>
      <c r="BB3755" s="76"/>
      <c r="BC3755" s="76"/>
      <c r="BD3755" s="76">
        <f>+BC3755*30000</f>
        <v>0</v>
      </c>
      <c r="BE3755" s="76"/>
      <c r="BF3755" s="76"/>
      <c r="BG3755" s="76"/>
      <c r="BH3755" s="76"/>
      <c r="BI3755" s="76"/>
      <c r="BJ3755" s="76"/>
      <c r="BK3755" s="76"/>
      <c r="BL3755" s="76">
        <f>+BK3755*31500</f>
        <v>0</v>
      </c>
      <c r="BM3755" s="76"/>
      <c r="BN3755" s="76"/>
      <c r="BO3755" s="76"/>
      <c r="BP3755" s="76"/>
      <c r="BQ3755" s="76"/>
      <c r="BR3755" s="76"/>
      <c r="BS3755" s="76"/>
      <c r="BT3755" s="76"/>
      <c r="BU3755" s="76"/>
      <c r="BV3755" s="76"/>
      <c r="BW3755" s="76"/>
      <c r="BX3755" s="76"/>
      <c r="BY3755" s="76"/>
      <c r="BZ3755" s="76"/>
      <c r="CA3755" s="76"/>
      <c r="CB3755" s="76"/>
      <c r="CC3755" s="76"/>
      <c r="CD3755" s="76"/>
      <c r="CE3755" s="76"/>
      <c r="CF3755" s="76">
        <f>+CE3755*28000</f>
        <v>0</v>
      </c>
      <c r="CG3755" s="76"/>
      <c r="CH3755" s="76">
        <f>+CG3755*22500</f>
        <v>0</v>
      </c>
      <c r="CI3755" s="76"/>
      <c r="CJ3755" s="76">
        <f>+CI3755*26000</f>
        <v>0</v>
      </c>
      <c r="CK3755" s="76"/>
      <c r="CL3755" s="76"/>
      <c r="CM3755" s="76"/>
      <c r="CN3755" s="76">
        <f>+CM3755*22000</f>
        <v>0</v>
      </c>
      <c r="CO3755" s="76"/>
      <c r="CP3755" s="76">
        <f>+CO3755*46000</f>
        <v>0</v>
      </c>
      <c r="CQ3755" s="76"/>
      <c r="CR3755" s="76">
        <f>+CQ3755*49000</f>
        <v>0</v>
      </c>
      <c r="CS3755" s="76"/>
      <c r="CT3755" s="76"/>
      <c r="CU3755" s="56">
        <f>AN3755+AP3755+AR3755+AT3755+AV3755+AX3755+AZ3755+BB3755+BD3755+BF3755+BH3755+BJ3755+BL3755+BN3755+BP3755+BR3755+BT3755+BV3755+BX3755+BZ3755+CB3755+CD3755+CF3755+CH3755+CJ3755+CL3755+CN3755+CP3755+CR3755+CT3755</f>
        <v>0</v>
      </c>
      <c r="CV3755" s="76"/>
      <c r="CW3755" s="76">
        <f>+CV3755*1100</f>
        <v>0</v>
      </c>
      <c r="CX3755" s="76"/>
      <c r="CY3755" s="76">
        <f>+CX3755*106250</f>
        <v>0</v>
      </c>
      <c r="CZ3755" s="76"/>
      <c r="DA3755" s="76">
        <f>+CZ3755*34500</f>
        <v>0</v>
      </c>
      <c r="DB3755" s="76"/>
      <c r="DC3755" s="76">
        <f>+DB3755*25000</f>
        <v>0</v>
      </c>
      <c r="DD3755" s="219"/>
      <c r="DE3755" s="219"/>
      <c r="DF3755" s="166"/>
      <c r="DG3755" s="116"/>
      <c r="DH3755" s="117"/>
      <c r="DI3755" s="24"/>
      <c r="DJ3755" s="24"/>
      <c r="DK3755" s="24"/>
      <c r="DL3755" s="24"/>
      <c r="DM3755" s="24"/>
      <c r="DN3755" s="24"/>
      <c r="DO3755" s="24"/>
      <c r="DP3755" s="24"/>
      <c r="DQ3755" s="24"/>
      <c r="DR3755" s="24"/>
      <c r="DS3755" s="24"/>
      <c r="DT3755" s="24"/>
      <c r="DU3755" s="24"/>
    </row>
    <row r="3756" spans="1:125" s="8" customFormat="1" ht="96" x14ac:dyDescent="0.2">
      <c r="A3756" s="77">
        <v>41606</v>
      </c>
      <c r="B3756" s="352" t="s">
        <v>2847</v>
      </c>
      <c r="C3756" s="354" t="s">
        <v>2814</v>
      </c>
      <c r="D3756" s="354" t="s">
        <v>2846</v>
      </c>
      <c r="E3756" s="75" t="str">
        <f>VLOOKUP(B3756&amp;C3756,Divipola!$C$2:$F$1138,4,FALSE)</f>
        <v>68307</v>
      </c>
      <c r="F3756" s="87"/>
      <c r="G3756" s="87"/>
      <c r="H3756" s="87"/>
      <c r="I3756" s="87"/>
      <c r="J3756" s="87"/>
      <c r="K3756" s="87"/>
      <c r="L3756" s="87"/>
      <c r="M3756" s="87"/>
      <c r="N3756" s="87"/>
      <c r="O3756" s="87"/>
      <c r="P3756" s="87"/>
      <c r="Q3756" s="87"/>
      <c r="R3756" s="87"/>
      <c r="S3756" s="87"/>
      <c r="T3756" s="87"/>
      <c r="U3756" s="88">
        <v>3</v>
      </c>
      <c r="V3756" s="89"/>
      <c r="W3756" s="96">
        <v>0</v>
      </c>
      <c r="X3756" s="71">
        <f>CU3756</f>
        <v>0</v>
      </c>
      <c r="Y3756" s="71">
        <f>CY3756</f>
        <v>0</v>
      </c>
      <c r="Z3756" s="71">
        <f>DA3756+DC3756+DE3756</f>
        <v>0</v>
      </c>
      <c r="AA3756" s="71">
        <f>CW3756</f>
        <v>0</v>
      </c>
      <c r="AB3756" s="71"/>
      <c r="AC3756" s="71">
        <v>0</v>
      </c>
      <c r="AD3756" s="71">
        <f>W3756+X3756+Y3756+Z3756+AA3756+AB3756+AC3756</f>
        <v>0</v>
      </c>
      <c r="AE3756" s="72">
        <v>0</v>
      </c>
      <c r="AF3756" s="5"/>
      <c r="AG3756" s="6"/>
      <c r="AH3756" s="27"/>
      <c r="AI3756" s="44"/>
      <c r="AJ3756" s="26"/>
      <c r="AK3756" s="5"/>
      <c r="AL3756" s="82" t="s">
        <v>6788</v>
      </c>
      <c r="AM3756" s="76"/>
      <c r="AN3756" s="76"/>
      <c r="AO3756" s="76"/>
      <c r="AP3756" s="76"/>
      <c r="AQ3756" s="76"/>
      <c r="AR3756" s="76"/>
      <c r="AS3756" s="76"/>
      <c r="AT3756" s="76"/>
      <c r="AU3756" s="76"/>
      <c r="AV3756" s="76"/>
      <c r="AW3756" s="76"/>
      <c r="AX3756" s="76">
        <f>+AW3756*600000</f>
        <v>0</v>
      </c>
      <c r="AY3756" s="76"/>
      <c r="AZ3756" s="76">
        <f>+AY3756*70000</f>
        <v>0</v>
      </c>
      <c r="BA3756" s="76"/>
      <c r="BB3756" s="76"/>
      <c r="BC3756" s="76"/>
      <c r="BD3756" s="76">
        <f>+BC3756*30000</f>
        <v>0</v>
      </c>
      <c r="BE3756" s="76"/>
      <c r="BF3756" s="76"/>
      <c r="BG3756" s="76"/>
      <c r="BH3756" s="76"/>
      <c r="BI3756" s="76"/>
      <c r="BJ3756" s="76"/>
      <c r="BK3756" s="76"/>
      <c r="BL3756" s="76">
        <f>+BK3756*31500</f>
        <v>0</v>
      </c>
      <c r="BM3756" s="76"/>
      <c r="BN3756" s="76"/>
      <c r="BO3756" s="76"/>
      <c r="BP3756" s="76"/>
      <c r="BQ3756" s="76"/>
      <c r="BR3756" s="76"/>
      <c r="BS3756" s="76"/>
      <c r="BT3756" s="76"/>
      <c r="BU3756" s="76"/>
      <c r="BV3756" s="76"/>
      <c r="BW3756" s="76"/>
      <c r="BX3756" s="76"/>
      <c r="BY3756" s="76"/>
      <c r="BZ3756" s="76"/>
      <c r="CA3756" s="76"/>
      <c r="CB3756" s="76"/>
      <c r="CC3756" s="76"/>
      <c r="CD3756" s="76"/>
      <c r="CE3756" s="76"/>
      <c r="CF3756" s="76">
        <f>+CE3756*28000</f>
        <v>0</v>
      </c>
      <c r="CG3756" s="76"/>
      <c r="CH3756" s="76">
        <f>+CG3756*22500</f>
        <v>0</v>
      </c>
      <c r="CI3756" s="76"/>
      <c r="CJ3756" s="76">
        <f>+CI3756*26000</f>
        <v>0</v>
      </c>
      <c r="CK3756" s="76"/>
      <c r="CL3756" s="76"/>
      <c r="CM3756" s="76"/>
      <c r="CN3756" s="76">
        <f>+CM3756*22000</f>
        <v>0</v>
      </c>
      <c r="CO3756" s="76"/>
      <c r="CP3756" s="76">
        <f>+CO3756*46000</f>
        <v>0</v>
      </c>
      <c r="CQ3756" s="76"/>
      <c r="CR3756" s="76">
        <f>+CQ3756*49000</f>
        <v>0</v>
      </c>
      <c r="CS3756" s="76"/>
      <c r="CT3756" s="76"/>
      <c r="CU3756" s="56">
        <f>AN3756+AP3756+AR3756+AT3756+AV3756+AX3756+AZ3756+BB3756+BD3756+BF3756+BH3756+BJ3756+BL3756+BN3756+BP3756+BR3756+BT3756+BV3756+BX3756+BZ3756+CB3756+CD3756+CF3756+CH3756+CJ3756+CL3756+CN3756+CP3756+CR3756+CT3756</f>
        <v>0</v>
      </c>
      <c r="CV3756" s="76"/>
      <c r="CW3756" s="76">
        <f>+CV3756*1100</f>
        <v>0</v>
      </c>
      <c r="CX3756" s="76"/>
      <c r="CY3756" s="76">
        <f>+CX3756*106250</f>
        <v>0</v>
      </c>
      <c r="CZ3756" s="76"/>
      <c r="DA3756" s="76">
        <f>+CZ3756*34500</f>
        <v>0</v>
      </c>
      <c r="DB3756" s="76"/>
      <c r="DC3756" s="76">
        <f>+DB3756*25000</f>
        <v>0</v>
      </c>
      <c r="DD3756" s="219"/>
      <c r="DE3756" s="219"/>
      <c r="DF3756" s="166"/>
      <c r="DG3756" s="116"/>
      <c r="DH3756" s="117"/>
      <c r="DI3756" s="24"/>
      <c r="DJ3756" s="24"/>
      <c r="DK3756" s="24"/>
      <c r="DL3756" s="24"/>
      <c r="DM3756" s="24"/>
      <c r="DN3756" s="24"/>
      <c r="DO3756" s="24"/>
      <c r="DP3756" s="24"/>
      <c r="DQ3756" s="24"/>
      <c r="DR3756" s="24"/>
      <c r="DS3756" s="24"/>
      <c r="DT3756" s="24"/>
      <c r="DU3756" s="24"/>
    </row>
    <row r="3757" spans="1:125" s="8" customFormat="1" ht="192" x14ac:dyDescent="0.2">
      <c r="A3757" s="77">
        <v>41606</v>
      </c>
      <c r="B3757" s="78" t="s">
        <v>2700</v>
      </c>
      <c r="C3757" s="75" t="s">
        <v>666</v>
      </c>
      <c r="D3757" s="75" t="s">
        <v>3088</v>
      </c>
      <c r="E3757" s="75" t="str">
        <f>VLOOKUP(B3757&amp;C3757,Divipola!$C$2:$F$1138,4,FALSE)</f>
        <v>15755</v>
      </c>
      <c r="F3757" s="87"/>
      <c r="G3757" s="87"/>
      <c r="H3757" s="87"/>
      <c r="I3757" s="87">
        <v>60</v>
      </c>
      <c r="J3757" s="87">
        <v>16</v>
      </c>
      <c r="K3757" s="87"/>
      <c r="L3757" s="87">
        <v>3</v>
      </c>
      <c r="M3757" s="87">
        <v>1</v>
      </c>
      <c r="N3757" s="87"/>
      <c r="O3757" s="87"/>
      <c r="P3757" s="87">
        <v>1</v>
      </c>
      <c r="Q3757" s="87">
        <v>1</v>
      </c>
      <c r="R3757" s="87"/>
      <c r="S3757" s="87"/>
      <c r="T3757" s="87"/>
      <c r="U3757" s="88">
        <v>4</v>
      </c>
      <c r="V3757" s="89"/>
      <c r="W3757" s="96">
        <v>0</v>
      </c>
      <c r="X3757" s="71">
        <f>CU3757</f>
        <v>0</v>
      </c>
      <c r="Y3757" s="71">
        <f>CY3757</f>
        <v>0</v>
      </c>
      <c r="Z3757" s="71">
        <f>DA3757+DC3757+DE3757</f>
        <v>0</v>
      </c>
      <c r="AA3757" s="71">
        <f>CW3757</f>
        <v>0</v>
      </c>
      <c r="AB3757" s="71"/>
      <c r="AC3757" s="71">
        <v>0</v>
      </c>
      <c r="AD3757" s="71">
        <f>W3757+X3757+Y3757+Z3757+AA3757+AB3757+AC3757</f>
        <v>0</v>
      </c>
      <c r="AE3757" s="72">
        <v>0</v>
      </c>
      <c r="AF3757" s="5"/>
      <c r="AG3757" s="6"/>
      <c r="AH3757" s="27"/>
      <c r="AI3757" s="44"/>
      <c r="AJ3757" s="26"/>
      <c r="AK3757" s="5"/>
      <c r="AL3757" s="268" t="s">
        <v>6789</v>
      </c>
      <c r="AM3757" s="76"/>
      <c r="AN3757" s="76"/>
      <c r="AO3757" s="76"/>
      <c r="AP3757" s="76"/>
      <c r="AQ3757" s="76"/>
      <c r="AR3757" s="76"/>
      <c r="AS3757" s="76"/>
      <c r="AT3757" s="76"/>
      <c r="AU3757" s="76"/>
      <c r="AV3757" s="76"/>
      <c r="AW3757" s="76"/>
      <c r="AX3757" s="76">
        <f>+AW3757*600000</f>
        <v>0</v>
      </c>
      <c r="AY3757" s="76"/>
      <c r="AZ3757" s="76">
        <f>+AY3757*70000</f>
        <v>0</v>
      </c>
      <c r="BA3757" s="76"/>
      <c r="BB3757" s="76"/>
      <c r="BC3757" s="76"/>
      <c r="BD3757" s="76">
        <f>+BC3757*30000</f>
        <v>0</v>
      </c>
      <c r="BE3757" s="76"/>
      <c r="BF3757" s="76"/>
      <c r="BG3757" s="76"/>
      <c r="BH3757" s="76"/>
      <c r="BI3757" s="76"/>
      <c r="BJ3757" s="76"/>
      <c r="BK3757" s="76"/>
      <c r="BL3757" s="76">
        <f>+BK3757*31500</f>
        <v>0</v>
      </c>
      <c r="BM3757" s="76"/>
      <c r="BN3757" s="76"/>
      <c r="BO3757" s="76"/>
      <c r="BP3757" s="76"/>
      <c r="BQ3757" s="76"/>
      <c r="BR3757" s="76"/>
      <c r="BS3757" s="76"/>
      <c r="BT3757" s="76"/>
      <c r="BU3757" s="76"/>
      <c r="BV3757" s="76"/>
      <c r="BW3757" s="76"/>
      <c r="BX3757" s="76"/>
      <c r="BY3757" s="76"/>
      <c r="BZ3757" s="76"/>
      <c r="CA3757" s="76"/>
      <c r="CB3757" s="76"/>
      <c r="CC3757" s="76"/>
      <c r="CD3757" s="76"/>
      <c r="CE3757" s="76"/>
      <c r="CF3757" s="76">
        <f>+CE3757*28000</f>
        <v>0</v>
      </c>
      <c r="CG3757" s="76"/>
      <c r="CH3757" s="76">
        <f>+CG3757*22500</f>
        <v>0</v>
      </c>
      <c r="CI3757" s="76"/>
      <c r="CJ3757" s="76">
        <f>+CI3757*26000</f>
        <v>0</v>
      </c>
      <c r="CK3757" s="76"/>
      <c r="CL3757" s="76"/>
      <c r="CM3757" s="76"/>
      <c r="CN3757" s="76">
        <f>+CM3757*22000</f>
        <v>0</v>
      </c>
      <c r="CO3757" s="76"/>
      <c r="CP3757" s="76">
        <f>+CO3757*46000</f>
        <v>0</v>
      </c>
      <c r="CQ3757" s="76"/>
      <c r="CR3757" s="76">
        <f>+CQ3757*49000</f>
        <v>0</v>
      </c>
      <c r="CS3757" s="76"/>
      <c r="CT3757" s="76"/>
      <c r="CU3757" s="56">
        <f>AN3757+AP3757+AR3757+AT3757+AV3757+AX3757+AZ3757+BB3757+BD3757+BF3757+BH3757+BJ3757+BL3757+BN3757+BP3757+BR3757+BT3757+BV3757+BX3757+BZ3757+CB3757+CD3757+CF3757+CH3757+CJ3757+CL3757+CN3757+CP3757+CR3757+CT3757</f>
        <v>0</v>
      </c>
      <c r="CV3757" s="76"/>
      <c r="CW3757" s="76">
        <f>+CV3757*1100</f>
        <v>0</v>
      </c>
      <c r="CX3757" s="76"/>
      <c r="CY3757" s="76">
        <f>+CX3757*106250</f>
        <v>0</v>
      </c>
      <c r="CZ3757" s="76"/>
      <c r="DA3757" s="76">
        <f>+CZ3757*34500</f>
        <v>0</v>
      </c>
      <c r="DB3757" s="76"/>
      <c r="DC3757" s="76">
        <f>+DB3757*25000</f>
        <v>0</v>
      </c>
      <c r="DD3757" s="219"/>
      <c r="DE3757" s="219"/>
      <c r="DF3757" s="166"/>
      <c r="DG3757" s="116"/>
      <c r="DH3757" s="117"/>
      <c r="DI3757" s="24"/>
      <c r="DJ3757" s="24"/>
      <c r="DK3757" s="24"/>
      <c r="DL3757" s="24"/>
      <c r="DM3757" s="24"/>
      <c r="DN3757" s="24"/>
      <c r="DO3757" s="24"/>
      <c r="DP3757" s="24"/>
      <c r="DQ3757" s="24"/>
      <c r="DR3757" s="24"/>
      <c r="DS3757" s="24"/>
      <c r="DT3757" s="24"/>
      <c r="DU3757" s="24"/>
    </row>
    <row r="3758" spans="1:125" s="8" customFormat="1" ht="36" x14ac:dyDescent="0.2">
      <c r="A3758" s="353">
        <v>41606</v>
      </c>
      <c r="B3758" s="352" t="s">
        <v>2700</v>
      </c>
      <c r="C3758" s="354" t="s">
        <v>669</v>
      </c>
      <c r="D3758" s="354" t="s">
        <v>3051</v>
      </c>
      <c r="E3758" s="75" t="str">
        <f>VLOOKUP(B3758&amp;C3758,Divipola!$C$2:$F$1138,4,FALSE)</f>
        <v>15757</v>
      </c>
      <c r="F3758" s="87"/>
      <c r="G3758" s="87"/>
      <c r="H3758" s="87"/>
      <c r="I3758" s="87"/>
      <c r="J3758" s="87"/>
      <c r="K3758" s="87"/>
      <c r="L3758" s="87"/>
      <c r="M3758" s="87"/>
      <c r="N3758" s="87"/>
      <c r="O3758" s="87"/>
      <c r="P3758" s="87"/>
      <c r="Q3758" s="87"/>
      <c r="R3758" s="87"/>
      <c r="S3758" s="87"/>
      <c r="T3758" s="87"/>
      <c r="U3758" s="88"/>
      <c r="V3758" s="89"/>
      <c r="W3758" s="96">
        <v>0</v>
      </c>
      <c r="X3758" s="71">
        <f>CU3758</f>
        <v>0</v>
      </c>
      <c r="Y3758" s="71">
        <f>CY3758</f>
        <v>0</v>
      </c>
      <c r="Z3758" s="71">
        <f>DA3758+DC3758+DE3758</f>
        <v>0</v>
      </c>
      <c r="AA3758" s="71">
        <f>CW3758</f>
        <v>0</v>
      </c>
      <c r="AB3758" s="71"/>
      <c r="AC3758" s="71">
        <v>0</v>
      </c>
      <c r="AD3758" s="71">
        <f>W3758+X3758+Y3758+Z3758+AA3758+AB3758+AC3758</f>
        <v>0</v>
      </c>
      <c r="AE3758" s="72">
        <v>0</v>
      </c>
      <c r="AF3758" s="5"/>
      <c r="AG3758" s="6"/>
      <c r="AH3758" s="27"/>
      <c r="AI3758" s="44"/>
      <c r="AJ3758" s="26"/>
      <c r="AK3758" s="5"/>
      <c r="AL3758" s="82" t="s">
        <v>6790</v>
      </c>
      <c r="AM3758" s="76"/>
      <c r="AN3758" s="76"/>
      <c r="AO3758" s="76"/>
      <c r="AP3758" s="76"/>
      <c r="AQ3758" s="76"/>
      <c r="AR3758" s="76"/>
      <c r="AS3758" s="76"/>
      <c r="AT3758" s="76"/>
      <c r="AU3758" s="76"/>
      <c r="AV3758" s="76"/>
      <c r="AW3758" s="76"/>
      <c r="AX3758" s="76">
        <f>+AW3758*600000</f>
        <v>0</v>
      </c>
      <c r="AY3758" s="76"/>
      <c r="AZ3758" s="76">
        <f>+AY3758*70000</f>
        <v>0</v>
      </c>
      <c r="BA3758" s="76"/>
      <c r="BB3758" s="76"/>
      <c r="BC3758" s="76"/>
      <c r="BD3758" s="76">
        <f>+BC3758*30000</f>
        <v>0</v>
      </c>
      <c r="BE3758" s="76"/>
      <c r="BF3758" s="76"/>
      <c r="BG3758" s="76"/>
      <c r="BH3758" s="76"/>
      <c r="BI3758" s="76"/>
      <c r="BJ3758" s="76"/>
      <c r="BK3758" s="76"/>
      <c r="BL3758" s="76">
        <f>+BK3758*31500</f>
        <v>0</v>
      </c>
      <c r="BM3758" s="76"/>
      <c r="BN3758" s="76"/>
      <c r="BO3758" s="76"/>
      <c r="BP3758" s="76"/>
      <c r="BQ3758" s="76"/>
      <c r="BR3758" s="76"/>
      <c r="BS3758" s="76"/>
      <c r="BT3758" s="76"/>
      <c r="BU3758" s="76"/>
      <c r="BV3758" s="76"/>
      <c r="BW3758" s="76"/>
      <c r="BX3758" s="76"/>
      <c r="BY3758" s="76"/>
      <c r="BZ3758" s="76"/>
      <c r="CA3758" s="76"/>
      <c r="CB3758" s="76"/>
      <c r="CC3758" s="76"/>
      <c r="CD3758" s="76"/>
      <c r="CE3758" s="76"/>
      <c r="CF3758" s="76">
        <f>+CE3758*28000</f>
        <v>0</v>
      </c>
      <c r="CG3758" s="76"/>
      <c r="CH3758" s="76">
        <f>+CG3758*22500</f>
        <v>0</v>
      </c>
      <c r="CI3758" s="76"/>
      <c r="CJ3758" s="76">
        <f>+CI3758*26000</f>
        <v>0</v>
      </c>
      <c r="CK3758" s="76"/>
      <c r="CL3758" s="76"/>
      <c r="CM3758" s="76"/>
      <c r="CN3758" s="76">
        <f>+CM3758*22000</f>
        <v>0</v>
      </c>
      <c r="CO3758" s="76"/>
      <c r="CP3758" s="76">
        <f>+CO3758*46000</f>
        <v>0</v>
      </c>
      <c r="CQ3758" s="76"/>
      <c r="CR3758" s="76">
        <f>+CQ3758*49000</f>
        <v>0</v>
      </c>
      <c r="CS3758" s="76"/>
      <c r="CT3758" s="76"/>
      <c r="CU3758" s="56">
        <f>AN3758+AP3758+AR3758+AT3758+AV3758+AX3758+AZ3758+BB3758+BD3758+BF3758+BH3758+BJ3758+BL3758+BN3758+BP3758+BR3758+BT3758+BV3758+BX3758+BZ3758+CB3758+CD3758+CF3758+CH3758+CJ3758+CL3758+CN3758+CP3758+CR3758+CT3758</f>
        <v>0</v>
      </c>
      <c r="CV3758" s="76"/>
      <c r="CW3758" s="76">
        <f>+CV3758*1100</f>
        <v>0</v>
      </c>
      <c r="CX3758" s="76"/>
      <c r="CY3758" s="76">
        <f>+CX3758*106250</f>
        <v>0</v>
      </c>
      <c r="CZ3758" s="76"/>
      <c r="DA3758" s="76">
        <f>+CZ3758*34500</f>
        <v>0</v>
      </c>
      <c r="DB3758" s="76"/>
      <c r="DC3758" s="76">
        <f>+DB3758*25000</f>
        <v>0</v>
      </c>
      <c r="DD3758" s="219"/>
      <c r="DE3758" s="219"/>
      <c r="DF3758" s="166"/>
      <c r="DG3758" s="116"/>
      <c r="DH3758" s="117"/>
      <c r="DI3758" s="24"/>
      <c r="DJ3758" s="24"/>
      <c r="DK3758" s="24"/>
      <c r="DL3758" s="24"/>
      <c r="DM3758" s="24"/>
      <c r="DN3758" s="24"/>
      <c r="DO3758" s="24"/>
      <c r="DP3758" s="24"/>
      <c r="DQ3758" s="24"/>
      <c r="DR3758" s="24"/>
      <c r="DS3758" s="24"/>
      <c r="DT3758" s="24"/>
      <c r="DU3758" s="24"/>
    </row>
    <row r="3759" spans="1:125" s="8" customFormat="1" ht="60" x14ac:dyDescent="0.2">
      <c r="A3759" s="353">
        <v>41606</v>
      </c>
      <c r="B3759" s="352" t="s">
        <v>2661</v>
      </c>
      <c r="C3759" s="354" t="s">
        <v>2082</v>
      </c>
      <c r="D3759" s="354" t="s">
        <v>3051</v>
      </c>
      <c r="E3759" s="75" t="str">
        <f>VLOOKUP(B3759&amp;C3759,Divipola!$C$2:$F$1138,4,FALSE)</f>
        <v>41357</v>
      </c>
      <c r="F3759" s="87"/>
      <c r="G3759" s="87"/>
      <c r="H3759" s="87"/>
      <c r="I3759" s="87">
        <v>10</v>
      </c>
      <c r="J3759" s="87">
        <v>2</v>
      </c>
      <c r="K3759" s="87"/>
      <c r="L3759" s="87">
        <v>2</v>
      </c>
      <c r="M3759" s="87"/>
      <c r="N3759" s="87"/>
      <c r="O3759" s="87"/>
      <c r="P3759" s="87"/>
      <c r="Q3759" s="87"/>
      <c r="R3759" s="87"/>
      <c r="S3759" s="87"/>
      <c r="T3759" s="87"/>
      <c r="U3759" s="88"/>
      <c r="V3759" s="89"/>
      <c r="W3759" s="96">
        <v>0</v>
      </c>
      <c r="X3759" s="71">
        <f>CU3759</f>
        <v>0</v>
      </c>
      <c r="Y3759" s="71">
        <f>CY3759</f>
        <v>0</v>
      </c>
      <c r="Z3759" s="71">
        <f>DA3759+DC3759+DE3759</f>
        <v>0</v>
      </c>
      <c r="AA3759" s="71">
        <f>CW3759</f>
        <v>0</v>
      </c>
      <c r="AB3759" s="71"/>
      <c r="AC3759" s="71">
        <v>0</v>
      </c>
      <c r="AD3759" s="71">
        <f>W3759+X3759+Y3759+Z3759+AA3759+AB3759+AC3759</f>
        <v>0</v>
      </c>
      <c r="AE3759" s="72">
        <v>0</v>
      </c>
      <c r="AF3759" s="5"/>
      <c r="AG3759" s="6"/>
      <c r="AH3759" s="27"/>
      <c r="AI3759" s="44"/>
      <c r="AJ3759" s="26"/>
      <c r="AK3759" s="5"/>
      <c r="AL3759" s="82" t="s">
        <v>6791</v>
      </c>
      <c r="AM3759" s="76"/>
      <c r="AN3759" s="76"/>
      <c r="AO3759" s="76"/>
      <c r="AP3759" s="76"/>
      <c r="AQ3759" s="76"/>
      <c r="AR3759" s="76"/>
      <c r="AS3759" s="76"/>
      <c r="AT3759" s="76"/>
      <c r="AU3759" s="76"/>
      <c r="AV3759" s="76"/>
      <c r="AW3759" s="76"/>
      <c r="AX3759" s="76">
        <f>+AW3759*600000</f>
        <v>0</v>
      </c>
      <c r="AY3759" s="76"/>
      <c r="AZ3759" s="76">
        <f>+AY3759*70000</f>
        <v>0</v>
      </c>
      <c r="BA3759" s="76"/>
      <c r="BB3759" s="76"/>
      <c r="BC3759" s="76"/>
      <c r="BD3759" s="76">
        <f>+BC3759*30000</f>
        <v>0</v>
      </c>
      <c r="BE3759" s="76"/>
      <c r="BF3759" s="76"/>
      <c r="BG3759" s="76"/>
      <c r="BH3759" s="76"/>
      <c r="BI3759" s="76"/>
      <c r="BJ3759" s="76"/>
      <c r="BK3759" s="76"/>
      <c r="BL3759" s="76">
        <f>+BK3759*31500</f>
        <v>0</v>
      </c>
      <c r="BM3759" s="76"/>
      <c r="BN3759" s="76"/>
      <c r="BO3759" s="76"/>
      <c r="BP3759" s="76"/>
      <c r="BQ3759" s="76"/>
      <c r="BR3759" s="76"/>
      <c r="BS3759" s="76"/>
      <c r="BT3759" s="76"/>
      <c r="BU3759" s="76"/>
      <c r="BV3759" s="76"/>
      <c r="BW3759" s="76"/>
      <c r="BX3759" s="76"/>
      <c r="BY3759" s="76"/>
      <c r="BZ3759" s="76"/>
      <c r="CA3759" s="76"/>
      <c r="CB3759" s="76"/>
      <c r="CC3759" s="76"/>
      <c r="CD3759" s="76"/>
      <c r="CE3759" s="76"/>
      <c r="CF3759" s="76">
        <f>+CE3759*28000</f>
        <v>0</v>
      </c>
      <c r="CG3759" s="76"/>
      <c r="CH3759" s="76">
        <f>+CG3759*22500</f>
        <v>0</v>
      </c>
      <c r="CI3759" s="76"/>
      <c r="CJ3759" s="76">
        <f>+CI3759*26000</f>
        <v>0</v>
      </c>
      <c r="CK3759" s="76"/>
      <c r="CL3759" s="76"/>
      <c r="CM3759" s="76"/>
      <c r="CN3759" s="76">
        <f>+CM3759*22000</f>
        <v>0</v>
      </c>
      <c r="CO3759" s="76"/>
      <c r="CP3759" s="76">
        <f>+CO3759*46000</f>
        <v>0</v>
      </c>
      <c r="CQ3759" s="76"/>
      <c r="CR3759" s="76">
        <f>+CQ3759*49000</f>
        <v>0</v>
      </c>
      <c r="CS3759" s="76"/>
      <c r="CT3759" s="76"/>
      <c r="CU3759" s="56">
        <f>AN3759+AP3759+AR3759+AT3759+AV3759+AX3759+AZ3759+BB3759+BD3759+BF3759+BH3759+BJ3759+BL3759+BN3759+BP3759+BR3759+BT3759+BV3759+BX3759+BZ3759+CB3759+CD3759+CF3759+CH3759+CJ3759+CL3759+CN3759+CP3759+CR3759+CT3759</f>
        <v>0</v>
      </c>
      <c r="CV3759" s="76"/>
      <c r="CW3759" s="76">
        <f>+CV3759*1100</f>
        <v>0</v>
      </c>
      <c r="CX3759" s="76"/>
      <c r="CY3759" s="76">
        <f>+CX3759*106250</f>
        <v>0</v>
      </c>
      <c r="CZ3759" s="76"/>
      <c r="DA3759" s="76">
        <f>+CZ3759*34500</f>
        <v>0</v>
      </c>
      <c r="DB3759" s="76"/>
      <c r="DC3759" s="76">
        <f>+DB3759*25000</f>
        <v>0</v>
      </c>
      <c r="DD3759" s="219"/>
      <c r="DE3759" s="219"/>
      <c r="DF3759" s="166"/>
      <c r="DG3759" s="116"/>
      <c r="DH3759" s="117"/>
      <c r="DI3759" s="24"/>
      <c r="DJ3759" s="24"/>
      <c r="DK3759" s="24"/>
      <c r="DL3759" s="24"/>
      <c r="DM3759" s="24"/>
      <c r="DN3759" s="24"/>
      <c r="DO3759" s="24"/>
      <c r="DP3759" s="24"/>
      <c r="DQ3759" s="24"/>
      <c r="DR3759" s="24"/>
      <c r="DS3759" s="24"/>
      <c r="DT3759" s="24"/>
      <c r="DU3759" s="24"/>
    </row>
    <row r="3760" spans="1:125" s="8" customFormat="1" ht="96" x14ac:dyDescent="0.2">
      <c r="A3760" s="5">
        <v>41606</v>
      </c>
      <c r="B3760" s="84" t="s">
        <v>3131</v>
      </c>
      <c r="C3760" s="84" t="s">
        <v>2273</v>
      </c>
      <c r="D3760" s="75" t="s">
        <v>3463</v>
      </c>
      <c r="E3760" s="75" t="str">
        <f>VLOOKUP(B3760&amp;C3760,Divipola!$C$2:$F$1138,4,FALSE)</f>
        <v>86749</v>
      </c>
      <c r="F3760" s="89"/>
      <c r="G3760" s="89"/>
      <c r="H3760" s="89"/>
      <c r="I3760" s="89"/>
      <c r="J3760" s="89"/>
      <c r="K3760" s="89"/>
      <c r="L3760" s="89"/>
      <c r="M3760" s="89"/>
      <c r="N3760" s="89"/>
      <c r="O3760" s="89">
        <v>1</v>
      </c>
      <c r="P3760" s="89"/>
      <c r="Q3760" s="89"/>
      <c r="R3760" s="89"/>
      <c r="S3760" s="89"/>
      <c r="T3760" s="89"/>
      <c r="U3760" s="89"/>
      <c r="V3760" s="89"/>
      <c r="W3760" s="96">
        <v>0</v>
      </c>
      <c r="X3760" s="71">
        <f>CU3760</f>
        <v>0</v>
      </c>
      <c r="Y3760" s="71">
        <f>CY3760</f>
        <v>0</v>
      </c>
      <c r="Z3760" s="71">
        <f>DA3760+DC3760+DE3760</f>
        <v>0</v>
      </c>
      <c r="AA3760" s="71">
        <f>CW3760</f>
        <v>0</v>
      </c>
      <c r="AB3760" s="71"/>
      <c r="AC3760" s="71">
        <v>0</v>
      </c>
      <c r="AD3760" s="71">
        <f>W3760+X3760+Y3760+Z3760+AA3760+AB3760+AC3760</f>
        <v>0</v>
      </c>
      <c r="AE3760" s="72">
        <v>0</v>
      </c>
      <c r="AF3760" s="5"/>
      <c r="AG3760" s="6"/>
      <c r="AH3760" s="27"/>
      <c r="AI3760" s="44"/>
      <c r="AJ3760" s="26"/>
      <c r="AK3760" s="5"/>
      <c r="AL3760" s="278" t="s">
        <v>6795</v>
      </c>
      <c r="AM3760" s="76"/>
      <c r="AN3760" s="76"/>
      <c r="AO3760" s="76"/>
      <c r="AP3760" s="76"/>
      <c r="AQ3760" s="76"/>
      <c r="AR3760" s="76"/>
      <c r="AS3760" s="76"/>
      <c r="AT3760" s="76"/>
      <c r="AU3760" s="76"/>
      <c r="AV3760" s="76"/>
      <c r="AW3760" s="76"/>
      <c r="AX3760" s="76">
        <f>+AW3760*600000</f>
        <v>0</v>
      </c>
      <c r="AY3760" s="76"/>
      <c r="AZ3760" s="76">
        <f>+AY3760*70000</f>
        <v>0</v>
      </c>
      <c r="BA3760" s="76"/>
      <c r="BB3760" s="76"/>
      <c r="BC3760" s="76"/>
      <c r="BD3760" s="76">
        <f>+BC3760*30000</f>
        <v>0</v>
      </c>
      <c r="BE3760" s="76"/>
      <c r="BF3760" s="76"/>
      <c r="BG3760" s="76"/>
      <c r="BH3760" s="76"/>
      <c r="BI3760" s="76"/>
      <c r="BJ3760" s="76"/>
      <c r="BK3760" s="76"/>
      <c r="BL3760" s="76">
        <f>+BK3760*31500</f>
        <v>0</v>
      </c>
      <c r="BM3760" s="76"/>
      <c r="BN3760" s="76"/>
      <c r="BO3760" s="76"/>
      <c r="BP3760" s="76"/>
      <c r="BQ3760" s="76"/>
      <c r="BR3760" s="76"/>
      <c r="BS3760" s="76"/>
      <c r="BT3760" s="76"/>
      <c r="BU3760" s="76"/>
      <c r="BV3760" s="76"/>
      <c r="BW3760" s="76"/>
      <c r="BX3760" s="76"/>
      <c r="BY3760" s="76"/>
      <c r="BZ3760" s="76"/>
      <c r="CA3760" s="76"/>
      <c r="CB3760" s="76"/>
      <c r="CC3760" s="76"/>
      <c r="CD3760" s="76"/>
      <c r="CE3760" s="76"/>
      <c r="CF3760" s="76">
        <f>+CE3760*28000</f>
        <v>0</v>
      </c>
      <c r="CG3760" s="76"/>
      <c r="CH3760" s="76">
        <f>+CG3760*22500</f>
        <v>0</v>
      </c>
      <c r="CI3760" s="76"/>
      <c r="CJ3760" s="76">
        <f>+CI3760*26000</f>
        <v>0</v>
      </c>
      <c r="CK3760" s="76"/>
      <c r="CL3760" s="76"/>
      <c r="CM3760" s="76"/>
      <c r="CN3760" s="76">
        <f>+CM3760*22000</f>
        <v>0</v>
      </c>
      <c r="CO3760" s="76"/>
      <c r="CP3760" s="76">
        <f>+CO3760*46000</f>
        <v>0</v>
      </c>
      <c r="CQ3760" s="76"/>
      <c r="CR3760" s="76">
        <f>+CQ3760*49000</f>
        <v>0</v>
      </c>
      <c r="CS3760" s="76"/>
      <c r="CT3760" s="76"/>
      <c r="CU3760" s="56">
        <f>AN3760+AP3760+AR3760+AT3760+AV3760+AX3760+AZ3760+BB3760+BD3760+BF3760+BH3760+BJ3760+BL3760+BN3760+BP3760+BR3760+BT3760+BV3760+BX3760+BZ3760+CB3760+CD3760+CF3760+CH3760+CJ3760+CL3760+CN3760+CP3760+CR3760+CT3760</f>
        <v>0</v>
      </c>
      <c r="CV3760" s="76"/>
      <c r="CW3760" s="76">
        <f>+CV3760*1100</f>
        <v>0</v>
      </c>
      <c r="CX3760" s="76"/>
      <c r="CY3760" s="76">
        <f>+CX3760*106250</f>
        <v>0</v>
      </c>
      <c r="CZ3760" s="76"/>
      <c r="DA3760" s="76">
        <f>+CZ3760*34500</f>
        <v>0</v>
      </c>
      <c r="DB3760" s="76"/>
      <c r="DC3760" s="76">
        <f>+DB3760*25000</f>
        <v>0</v>
      </c>
      <c r="DD3760" s="219"/>
      <c r="DE3760" s="219"/>
      <c r="DF3760" s="166"/>
      <c r="DG3760" s="116"/>
      <c r="DH3760" s="117"/>
      <c r="DI3760" s="24"/>
      <c r="DJ3760" s="24"/>
      <c r="DK3760" s="24"/>
      <c r="DL3760" s="24"/>
      <c r="DM3760" s="24"/>
      <c r="DN3760" s="24"/>
      <c r="DO3760" s="24"/>
      <c r="DP3760" s="24"/>
      <c r="DQ3760" s="24"/>
      <c r="DR3760" s="24"/>
      <c r="DS3760" s="24"/>
      <c r="DT3760" s="24"/>
      <c r="DU3760" s="24"/>
    </row>
    <row r="3761" spans="1:125" s="8" customFormat="1" ht="300" x14ac:dyDescent="0.2">
      <c r="A3761" s="77">
        <v>41606</v>
      </c>
      <c r="B3761" s="78" t="s">
        <v>2894</v>
      </c>
      <c r="C3761" s="75" t="s">
        <v>2822</v>
      </c>
      <c r="D3761" s="75" t="s">
        <v>3088</v>
      </c>
      <c r="E3761" s="75" t="str">
        <f>VLOOKUP(B3761&amp;C3761,Divipola!$C$2:$F$1138,4,FALSE)</f>
        <v>05631</v>
      </c>
      <c r="F3761" s="272"/>
      <c r="G3761" s="272"/>
      <c r="H3761" s="272"/>
      <c r="I3761" s="272"/>
      <c r="J3761" s="272"/>
      <c r="K3761" s="272"/>
      <c r="L3761" s="272"/>
      <c r="M3761" s="272"/>
      <c r="N3761" s="272"/>
      <c r="O3761" s="272"/>
      <c r="P3761" s="272"/>
      <c r="Q3761" s="272"/>
      <c r="R3761" s="272"/>
      <c r="S3761" s="272"/>
      <c r="T3761" s="272"/>
      <c r="U3761" s="273"/>
      <c r="V3761" s="86"/>
      <c r="W3761" s="96">
        <v>0</v>
      </c>
      <c r="X3761" s="71">
        <f>CU3761</f>
        <v>0</v>
      </c>
      <c r="Y3761" s="71">
        <f>CY3761</f>
        <v>0</v>
      </c>
      <c r="Z3761" s="71">
        <f>DA3761+DC3761+DE3761</f>
        <v>0</v>
      </c>
      <c r="AA3761" s="71">
        <f>CW3761</f>
        <v>0</v>
      </c>
      <c r="AB3761" s="71"/>
      <c r="AC3761" s="71">
        <v>0</v>
      </c>
      <c r="AD3761" s="71">
        <f>W3761+X3761+Y3761+Z3761+AA3761+AB3761+AC3761</f>
        <v>0</v>
      </c>
      <c r="AE3761" s="72">
        <v>0</v>
      </c>
      <c r="AF3761" s="5"/>
      <c r="AG3761" s="6"/>
      <c r="AH3761" s="27"/>
      <c r="AI3761" s="44"/>
      <c r="AJ3761" s="26"/>
      <c r="AK3761" s="5"/>
      <c r="AL3761" s="274" t="s">
        <v>6796</v>
      </c>
      <c r="AM3761" s="76"/>
      <c r="AN3761" s="76"/>
      <c r="AO3761" s="76"/>
      <c r="AP3761" s="76"/>
      <c r="AQ3761" s="76"/>
      <c r="AR3761" s="76"/>
      <c r="AS3761" s="76"/>
      <c r="AT3761" s="76"/>
      <c r="AU3761" s="76"/>
      <c r="AV3761" s="76"/>
      <c r="AW3761" s="76"/>
      <c r="AX3761" s="76">
        <f>+AW3761*600000</f>
        <v>0</v>
      </c>
      <c r="AY3761" s="76"/>
      <c r="AZ3761" s="76">
        <f>+AY3761*70000</f>
        <v>0</v>
      </c>
      <c r="BA3761" s="76"/>
      <c r="BB3761" s="76"/>
      <c r="BC3761" s="76"/>
      <c r="BD3761" s="76">
        <f>+BC3761*30000</f>
        <v>0</v>
      </c>
      <c r="BE3761" s="76"/>
      <c r="BF3761" s="76"/>
      <c r="BG3761" s="76"/>
      <c r="BH3761" s="76"/>
      <c r="BI3761" s="76"/>
      <c r="BJ3761" s="76"/>
      <c r="BK3761" s="76"/>
      <c r="BL3761" s="76">
        <f>+BK3761*31500</f>
        <v>0</v>
      </c>
      <c r="BM3761" s="76"/>
      <c r="BN3761" s="76"/>
      <c r="BO3761" s="76"/>
      <c r="BP3761" s="76"/>
      <c r="BQ3761" s="76"/>
      <c r="BR3761" s="76"/>
      <c r="BS3761" s="76"/>
      <c r="BT3761" s="76"/>
      <c r="BU3761" s="76"/>
      <c r="BV3761" s="76"/>
      <c r="BW3761" s="76"/>
      <c r="BX3761" s="76"/>
      <c r="BY3761" s="76"/>
      <c r="BZ3761" s="76"/>
      <c r="CA3761" s="76"/>
      <c r="CB3761" s="76"/>
      <c r="CC3761" s="76"/>
      <c r="CD3761" s="76"/>
      <c r="CE3761" s="76"/>
      <c r="CF3761" s="76">
        <f>+CE3761*28000</f>
        <v>0</v>
      </c>
      <c r="CG3761" s="76"/>
      <c r="CH3761" s="76">
        <f>+CG3761*22500</f>
        <v>0</v>
      </c>
      <c r="CI3761" s="76"/>
      <c r="CJ3761" s="76">
        <f>+CI3761*26000</f>
        <v>0</v>
      </c>
      <c r="CK3761" s="76"/>
      <c r="CL3761" s="76"/>
      <c r="CM3761" s="76"/>
      <c r="CN3761" s="76">
        <f>+CM3761*22000</f>
        <v>0</v>
      </c>
      <c r="CO3761" s="76"/>
      <c r="CP3761" s="76">
        <f>+CO3761*46000</f>
        <v>0</v>
      </c>
      <c r="CQ3761" s="76"/>
      <c r="CR3761" s="76">
        <f>+CQ3761*49000</f>
        <v>0</v>
      </c>
      <c r="CS3761" s="76"/>
      <c r="CT3761" s="76"/>
      <c r="CU3761" s="56">
        <f>AN3761+AP3761+AR3761+AT3761+AV3761+AX3761+AZ3761+BB3761+BD3761+BF3761+BH3761+BJ3761+BL3761+BN3761+BP3761+BR3761+BT3761+BV3761+BX3761+BZ3761+CB3761+CD3761+CF3761+CH3761+CJ3761+CL3761+CN3761+CP3761+CR3761+CT3761</f>
        <v>0</v>
      </c>
      <c r="CV3761" s="76"/>
      <c r="CW3761" s="76">
        <f>+CV3761*1100</f>
        <v>0</v>
      </c>
      <c r="CX3761" s="76"/>
      <c r="CY3761" s="76">
        <f>+CX3761*106250</f>
        <v>0</v>
      </c>
      <c r="CZ3761" s="76"/>
      <c r="DA3761" s="76">
        <f>+CZ3761*34500</f>
        <v>0</v>
      </c>
      <c r="DB3761" s="76"/>
      <c r="DC3761" s="76">
        <f>+DB3761*25000</f>
        <v>0</v>
      </c>
      <c r="DD3761" s="219"/>
      <c r="DE3761" s="219"/>
      <c r="DF3761" s="166"/>
      <c r="DG3761" s="116"/>
      <c r="DH3761" s="117"/>
      <c r="DI3761" s="24"/>
      <c r="DJ3761" s="24"/>
      <c r="DK3761" s="24"/>
      <c r="DL3761" s="24"/>
      <c r="DM3761" s="24"/>
      <c r="DN3761" s="24"/>
      <c r="DO3761" s="24"/>
      <c r="DP3761" s="24"/>
      <c r="DQ3761" s="24"/>
      <c r="DR3761" s="24"/>
      <c r="DS3761" s="24"/>
      <c r="DT3761" s="24"/>
      <c r="DU3761" s="24"/>
    </row>
    <row r="3762" spans="1:125" s="8" customFormat="1" ht="96" x14ac:dyDescent="0.2">
      <c r="A3762" s="77">
        <v>41606</v>
      </c>
      <c r="B3762" s="78" t="s">
        <v>2851</v>
      </c>
      <c r="C3762" s="75" t="s">
        <v>1361</v>
      </c>
      <c r="D3762" s="75" t="s">
        <v>2882</v>
      </c>
      <c r="E3762" s="75" t="str">
        <f>VLOOKUP(B3762&amp;C3762,Divipola!$C$2:$F$1138,4,FALSE)</f>
        <v>76377</v>
      </c>
      <c r="F3762" s="87"/>
      <c r="G3762" s="87"/>
      <c r="H3762" s="87"/>
      <c r="I3762" s="87">
        <v>8</v>
      </c>
      <c r="J3762" s="87">
        <v>2</v>
      </c>
      <c r="K3762" s="87"/>
      <c r="L3762" s="87">
        <v>2</v>
      </c>
      <c r="M3762" s="87"/>
      <c r="N3762" s="87"/>
      <c r="O3762" s="87"/>
      <c r="P3762" s="87"/>
      <c r="Q3762" s="87"/>
      <c r="R3762" s="87"/>
      <c r="S3762" s="87">
        <v>1</v>
      </c>
      <c r="T3762" s="87"/>
      <c r="U3762" s="88"/>
      <c r="V3762" s="89"/>
      <c r="W3762" s="96">
        <v>0</v>
      </c>
      <c r="X3762" s="71">
        <f>CU3762</f>
        <v>0</v>
      </c>
      <c r="Y3762" s="71">
        <f>CY3762</f>
        <v>0</v>
      </c>
      <c r="Z3762" s="71">
        <f>DA3762+DC3762+DE3762</f>
        <v>0</v>
      </c>
      <c r="AA3762" s="71">
        <f>CW3762</f>
        <v>0</v>
      </c>
      <c r="AB3762" s="71"/>
      <c r="AC3762" s="71">
        <v>0</v>
      </c>
      <c r="AD3762" s="71">
        <f>W3762+X3762+Y3762+Z3762+AA3762+AB3762+AC3762</f>
        <v>0</v>
      </c>
      <c r="AE3762" s="72">
        <v>0</v>
      </c>
      <c r="AF3762" s="5"/>
      <c r="AG3762" s="6"/>
      <c r="AH3762" s="27"/>
      <c r="AI3762" s="44"/>
      <c r="AJ3762" s="26"/>
      <c r="AK3762" s="5"/>
      <c r="AL3762" s="82" t="s">
        <v>6801</v>
      </c>
      <c r="AM3762" s="76"/>
      <c r="AN3762" s="76"/>
      <c r="AO3762" s="76"/>
      <c r="AP3762" s="76"/>
      <c r="AQ3762" s="76"/>
      <c r="AR3762" s="76"/>
      <c r="AS3762" s="76"/>
      <c r="AT3762" s="76"/>
      <c r="AU3762" s="76"/>
      <c r="AV3762" s="76"/>
      <c r="AW3762" s="76"/>
      <c r="AX3762" s="76">
        <f>+AW3762*600000</f>
        <v>0</v>
      </c>
      <c r="AY3762" s="76"/>
      <c r="AZ3762" s="76">
        <f>+AY3762*70000</f>
        <v>0</v>
      </c>
      <c r="BA3762" s="76"/>
      <c r="BB3762" s="76"/>
      <c r="BC3762" s="76"/>
      <c r="BD3762" s="76">
        <f>+BC3762*30000</f>
        <v>0</v>
      </c>
      <c r="BE3762" s="76"/>
      <c r="BF3762" s="76"/>
      <c r="BG3762" s="76"/>
      <c r="BH3762" s="76"/>
      <c r="BI3762" s="76"/>
      <c r="BJ3762" s="76"/>
      <c r="BK3762" s="76"/>
      <c r="BL3762" s="76">
        <f>+BK3762*31500</f>
        <v>0</v>
      </c>
      <c r="BM3762" s="76"/>
      <c r="BN3762" s="76"/>
      <c r="BO3762" s="76"/>
      <c r="BP3762" s="76"/>
      <c r="BQ3762" s="76"/>
      <c r="BR3762" s="76"/>
      <c r="BS3762" s="76"/>
      <c r="BT3762" s="76"/>
      <c r="BU3762" s="76"/>
      <c r="BV3762" s="76"/>
      <c r="BW3762" s="76"/>
      <c r="BX3762" s="76"/>
      <c r="BY3762" s="76"/>
      <c r="BZ3762" s="76"/>
      <c r="CA3762" s="76"/>
      <c r="CB3762" s="76"/>
      <c r="CC3762" s="76"/>
      <c r="CD3762" s="76"/>
      <c r="CE3762" s="76"/>
      <c r="CF3762" s="76">
        <f>+CE3762*28000</f>
        <v>0</v>
      </c>
      <c r="CG3762" s="76"/>
      <c r="CH3762" s="76">
        <f>+CG3762*22500</f>
        <v>0</v>
      </c>
      <c r="CI3762" s="76"/>
      <c r="CJ3762" s="76">
        <f>+CI3762*26000</f>
        <v>0</v>
      </c>
      <c r="CK3762" s="76"/>
      <c r="CL3762" s="76"/>
      <c r="CM3762" s="76"/>
      <c r="CN3762" s="76">
        <f>+CM3762*22000</f>
        <v>0</v>
      </c>
      <c r="CO3762" s="76"/>
      <c r="CP3762" s="76">
        <f>+CO3762*46000</f>
        <v>0</v>
      </c>
      <c r="CQ3762" s="76"/>
      <c r="CR3762" s="76">
        <f>+CQ3762*49000</f>
        <v>0</v>
      </c>
      <c r="CS3762" s="76"/>
      <c r="CT3762" s="76"/>
      <c r="CU3762" s="56">
        <f>AN3762+AP3762+AR3762+AT3762+AV3762+AX3762+AZ3762+BB3762+BD3762+BF3762+BH3762+BJ3762+BL3762+BN3762+BP3762+BR3762+BT3762+BV3762+BX3762+BZ3762+CB3762+CD3762+CF3762+CH3762+CJ3762+CL3762+CN3762+CP3762+CR3762+CT3762</f>
        <v>0</v>
      </c>
      <c r="CV3762" s="76"/>
      <c r="CW3762" s="76">
        <f>+CV3762*1100</f>
        <v>0</v>
      </c>
      <c r="CX3762" s="76"/>
      <c r="CY3762" s="76">
        <f>+CX3762*106250</f>
        <v>0</v>
      </c>
      <c r="CZ3762" s="76"/>
      <c r="DA3762" s="76">
        <f>+CZ3762*34500</f>
        <v>0</v>
      </c>
      <c r="DB3762" s="76"/>
      <c r="DC3762" s="76">
        <f>+DB3762*25000</f>
        <v>0</v>
      </c>
      <c r="DD3762" s="219"/>
      <c r="DE3762" s="219"/>
      <c r="DF3762" s="166"/>
      <c r="DG3762" s="116"/>
      <c r="DH3762" s="117"/>
      <c r="DI3762" s="24"/>
      <c r="DJ3762" s="24"/>
      <c r="DK3762" s="24"/>
      <c r="DL3762" s="24"/>
      <c r="DM3762" s="24"/>
      <c r="DN3762" s="24"/>
      <c r="DO3762" s="24"/>
      <c r="DP3762" s="24"/>
      <c r="DQ3762" s="24"/>
      <c r="DR3762" s="24"/>
      <c r="DS3762" s="24"/>
      <c r="DT3762" s="24"/>
      <c r="DU3762" s="24"/>
    </row>
    <row r="3763" spans="1:125" s="8" customFormat="1" ht="409.5" x14ac:dyDescent="0.2">
      <c r="A3763" s="77">
        <v>41606</v>
      </c>
      <c r="B3763" s="78" t="s">
        <v>2196</v>
      </c>
      <c r="C3763" s="75" t="s">
        <v>508</v>
      </c>
      <c r="D3763" s="351" t="s">
        <v>3088</v>
      </c>
      <c r="E3763" s="75" t="str">
        <f>VLOOKUP(B3763&amp;C3763,Divipola!$C$2:$F$1138,4,FALSE)</f>
        <v>17001</v>
      </c>
      <c r="F3763" s="87">
        <v>3</v>
      </c>
      <c r="G3763" s="87">
        <v>9</v>
      </c>
      <c r="H3763" s="87"/>
      <c r="I3763" s="87">
        <v>239</v>
      </c>
      <c r="J3763" s="87">
        <v>87</v>
      </c>
      <c r="K3763" s="87">
        <v>15</v>
      </c>
      <c r="L3763" s="87">
        <v>6</v>
      </c>
      <c r="M3763" s="93"/>
      <c r="N3763" s="93"/>
      <c r="O3763" s="93"/>
      <c r="P3763" s="93"/>
      <c r="Q3763" s="93"/>
      <c r="R3763" s="93"/>
      <c r="S3763" s="93"/>
      <c r="T3763" s="93"/>
      <c r="U3763" s="93"/>
      <c r="V3763" s="89"/>
      <c r="W3763" s="96">
        <v>0</v>
      </c>
      <c r="X3763" s="71">
        <f>CU3763</f>
        <v>114800000</v>
      </c>
      <c r="Y3763" s="71">
        <f>CY3763</f>
        <v>42500000</v>
      </c>
      <c r="Z3763" s="71">
        <f>DA3763+DC3763+DE3763</f>
        <v>0</v>
      </c>
      <c r="AA3763" s="71">
        <f>CW3763</f>
        <v>0</v>
      </c>
      <c r="AB3763" s="71"/>
      <c r="AC3763" s="71">
        <v>625000000</v>
      </c>
      <c r="AD3763" s="71">
        <f>W3763+X3763+Y3763+Z3763+AA3763+AB3763+AC3763</f>
        <v>782300000</v>
      </c>
      <c r="AE3763" s="72">
        <v>0</v>
      </c>
      <c r="AF3763" s="5"/>
      <c r="AG3763" s="6"/>
      <c r="AH3763" s="27"/>
      <c r="AI3763" s="44"/>
      <c r="AJ3763" s="26"/>
      <c r="AK3763" s="5"/>
      <c r="AL3763" s="82" t="s">
        <v>6909</v>
      </c>
      <c r="AM3763" s="76"/>
      <c r="AN3763" s="76"/>
      <c r="AO3763" s="76"/>
      <c r="AP3763" s="76"/>
      <c r="AQ3763" s="76"/>
      <c r="AR3763" s="76"/>
      <c r="AS3763" s="76"/>
      <c r="AT3763" s="76"/>
      <c r="AU3763" s="76"/>
      <c r="AV3763" s="76"/>
      <c r="AW3763" s="76"/>
      <c r="AX3763" s="76">
        <f>+AW3763*600000</f>
        <v>0</v>
      </c>
      <c r="AY3763" s="76">
        <v>800</v>
      </c>
      <c r="AZ3763" s="76">
        <f>+AY3763*70000</f>
        <v>56000000</v>
      </c>
      <c r="BA3763" s="76"/>
      <c r="BB3763" s="76"/>
      <c r="BC3763" s="76"/>
      <c r="BD3763" s="76">
        <f>+BC3763*30000</f>
        <v>0</v>
      </c>
      <c r="BE3763" s="76"/>
      <c r="BF3763" s="76"/>
      <c r="BG3763" s="76"/>
      <c r="BH3763" s="76"/>
      <c r="BI3763" s="76"/>
      <c r="BJ3763" s="76"/>
      <c r="BK3763" s="76"/>
      <c r="BL3763" s="76">
        <f>+BK3763*31500</f>
        <v>0</v>
      </c>
      <c r="BM3763" s="76"/>
      <c r="BN3763" s="76"/>
      <c r="BO3763" s="76"/>
      <c r="BP3763" s="76"/>
      <c r="BQ3763" s="76"/>
      <c r="BR3763" s="76"/>
      <c r="BS3763" s="76"/>
      <c r="BT3763" s="76"/>
      <c r="BU3763" s="76"/>
      <c r="BV3763" s="76"/>
      <c r="BW3763" s="76"/>
      <c r="BX3763" s="76"/>
      <c r="BY3763" s="76"/>
      <c r="BZ3763" s="76"/>
      <c r="CA3763" s="76"/>
      <c r="CB3763" s="76"/>
      <c r="CC3763" s="76"/>
      <c r="CD3763" s="76"/>
      <c r="CE3763" s="76"/>
      <c r="CF3763" s="76">
        <f>+CE3763*28000</f>
        <v>0</v>
      </c>
      <c r="CG3763" s="76"/>
      <c r="CH3763" s="76">
        <f>+CG3763*22500</f>
        <v>0</v>
      </c>
      <c r="CI3763" s="76">
        <v>800</v>
      </c>
      <c r="CJ3763" s="76">
        <f>+CI3763*26000</f>
        <v>20800000</v>
      </c>
      <c r="CK3763" s="76"/>
      <c r="CL3763" s="76"/>
      <c r="CM3763" s="76"/>
      <c r="CN3763" s="76">
        <f>+CM3763*22000</f>
        <v>0</v>
      </c>
      <c r="CO3763" s="76">
        <v>400</v>
      </c>
      <c r="CP3763" s="76">
        <f>+CO3763*46000</f>
        <v>18400000</v>
      </c>
      <c r="CQ3763" s="76">
        <v>400</v>
      </c>
      <c r="CR3763" s="76">
        <f>+CQ3763*49000</f>
        <v>19600000</v>
      </c>
      <c r="CS3763" s="76"/>
      <c r="CT3763" s="76"/>
      <c r="CU3763" s="56">
        <f>AN3763+AP3763+AR3763+AT3763+AV3763+AX3763+AZ3763+BB3763+BD3763+BF3763+BH3763+BJ3763+BL3763+BN3763+BP3763+BR3763+BT3763+BV3763+BX3763+BZ3763+CB3763+CD3763+CF3763+CH3763+CJ3763+CL3763+CN3763+CP3763+CR3763+CT3763</f>
        <v>114800000</v>
      </c>
      <c r="CV3763" s="76"/>
      <c r="CW3763" s="76">
        <f>+CV3763*1100</f>
        <v>0</v>
      </c>
      <c r="CX3763" s="76">
        <v>400</v>
      </c>
      <c r="CY3763" s="76">
        <f>+CX3763*106250</f>
        <v>42500000</v>
      </c>
      <c r="CZ3763" s="76"/>
      <c r="DA3763" s="76">
        <f>+CZ3763*34500</f>
        <v>0</v>
      </c>
      <c r="DB3763" s="76"/>
      <c r="DC3763" s="76">
        <f>+DB3763*25000</f>
        <v>0</v>
      </c>
      <c r="DD3763" s="219"/>
      <c r="DE3763" s="219"/>
      <c r="DF3763" s="166"/>
      <c r="DG3763" s="116"/>
      <c r="DH3763" s="117"/>
      <c r="DI3763" s="24"/>
      <c r="DJ3763" s="24"/>
      <c r="DK3763" s="24"/>
      <c r="DL3763" s="24"/>
      <c r="DM3763" s="24"/>
      <c r="DN3763" s="24"/>
      <c r="DO3763" s="24"/>
      <c r="DP3763" s="24"/>
      <c r="DQ3763" s="24"/>
      <c r="DR3763" s="24"/>
      <c r="DS3763" s="24"/>
      <c r="DT3763" s="24"/>
      <c r="DU3763" s="24"/>
    </row>
    <row r="3764" spans="1:125" s="8" customFormat="1" ht="36" x14ac:dyDescent="0.2">
      <c r="A3764" s="353">
        <v>41607</v>
      </c>
      <c r="B3764" s="352" t="s">
        <v>2811</v>
      </c>
      <c r="C3764" s="354" t="s">
        <v>477</v>
      </c>
      <c r="D3764" s="354" t="s">
        <v>2859</v>
      </c>
      <c r="E3764" s="75" t="str">
        <f>VLOOKUP(B3764&amp;C3764,Divipola!$C$2:$F$1138,4,FALSE)</f>
        <v>52621</v>
      </c>
      <c r="F3764" s="87"/>
      <c r="G3764" s="87"/>
      <c r="H3764" s="87"/>
      <c r="I3764" s="87">
        <v>35</v>
      </c>
      <c r="J3764" s="87">
        <v>7</v>
      </c>
      <c r="K3764" s="87">
        <v>1</v>
      </c>
      <c r="L3764" s="87">
        <v>3</v>
      </c>
      <c r="M3764" s="87"/>
      <c r="N3764" s="87"/>
      <c r="O3764" s="87"/>
      <c r="P3764" s="87"/>
      <c r="Q3764" s="87"/>
      <c r="R3764" s="87"/>
      <c r="S3764" s="87"/>
      <c r="T3764" s="87"/>
      <c r="U3764" s="88"/>
      <c r="V3764" s="89"/>
      <c r="W3764" s="96">
        <v>0</v>
      </c>
      <c r="X3764" s="71">
        <f>CU3764</f>
        <v>0</v>
      </c>
      <c r="Y3764" s="71">
        <f>CY3764</f>
        <v>0</v>
      </c>
      <c r="Z3764" s="71">
        <f>DA3764+DC3764+DE3764</f>
        <v>0</v>
      </c>
      <c r="AA3764" s="71">
        <f>CW3764</f>
        <v>0</v>
      </c>
      <c r="AB3764" s="71"/>
      <c r="AC3764" s="71">
        <v>0</v>
      </c>
      <c r="AD3764" s="71">
        <f>W3764+X3764+Y3764+Z3764+AA3764+AB3764+AC3764</f>
        <v>0</v>
      </c>
      <c r="AE3764" s="72">
        <v>0</v>
      </c>
      <c r="AF3764" s="5"/>
      <c r="AG3764" s="6"/>
      <c r="AH3764" s="27"/>
      <c r="AI3764" s="44"/>
      <c r="AJ3764" s="26"/>
      <c r="AK3764" s="5"/>
      <c r="AL3764" s="82" t="s">
        <v>6792</v>
      </c>
      <c r="AM3764" s="76"/>
      <c r="AN3764" s="76"/>
      <c r="AO3764" s="76"/>
      <c r="AP3764" s="76"/>
      <c r="AQ3764" s="76"/>
      <c r="AR3764" s="76"/>
      <c r="AS3764" s="76"/>
      <c r="AT3764" s="76"/>
      <c r="AU3764" s="76"/>
      <c r="AV3764" s="76"/>
      <c r="AW3764" s="76"/>
      <c r="AX3764" s="76">
        <f>+AW3764*600000</f>
        <v>0</v>
      </c>
      <c r="AY3764" s="76"/>
      <c r="AZ3764" s="76">
        <f>+AY3764*70000</f>
        <v>0</v>
      </c>
      <c r="BA3764" s="76"/>
      <c r="BB3764" s="76"/>
      <c r="BC3764" s="76"/>
      <c r="BD3764" s="76">
        <f>+BC3764*30000</f>
        <v>0</v>
      </c>
      <c r="BE3764" s="76"/>
      <c r="BF3764" s="76"/>
      <c r="BG3764" s="76"/>
      <c r="BH3764" s="76"/>
      <c r="BI3764" s="76"/>
      <c r="BJ3764" s="76"/>
      <c r="BK3764" s="76"/>
      <c r="BL3764" s="76">
        <f>+BK3764*31500</f>
        <v>0</v>
      </c>
      <c r="BM3764" s="76"/>
      <c r="BN3764" s="76"/>
      <c r="BO3764" s="76"/>
      <c r="BP3764" s="76"/>
      <c r="BQ3764" s="76"/>
      <c r="BR3764" s="76"/>
      <c r="BS3764" s="76"/>
      <c r="BT3764" s="76"/>
      <c r="BU3764" s="76"/>
      <c r="BV3764" s="76"/>
      <c r="BW3764" s="76"/>
      <c r="BX3764" s="76"/>
      <c r="BY3764" s="76"/>
      <c r="BZ3764" s="76"/>
      <c r="CA3764" s="76"/>
      <c r="CB3764" s="76"/>
      <c r="CC3764" s="76"/>
      <c r="CD3764" s="76"/>
      <c r="CE3764" s="76"/>
      <c r="CF3764" s="76">
        <f>+CE3764*28000</f>
        <v>0</v>
      </c>
      <c r="CG3764" s="76"/>
      <c r="CH3764" s="76">
        <f>+CG3764*22500</f>
        <v>0</v>
      </c>
      <c r="CI3764" s="76"/>
      <c r="CJ3764" s="76">
        <f>+CI3764*26000</f>
        <v>0</v>
      </c>
      <c r="CK3764" s="76"/>
      <c r="CL3764" s="76"/>
      <c r="CM3764" s="76"/>
      <c r="CN3764" s="76">
        <f>+CM3764*22000</f>
        <v>0</v>
      </c>
      <c r="CO3764" s="76"/>
      <c r="CP3764" s="76">
        <f>+CO3764*46000</f>
        <v>0</v>
      </c>
      <c r="CQ3764" s="76"/>
      <c r="CR3764" s="76">
        <f>+CQ3764*49000</f>
        <v>0</v>
      </c>
      <c r="CS3764" s="76"/>
      <c r="CT3764" s="76"/>
      <c r="CU3764" s="56">
        <f>AN3764+AP3764+AR3764+AT3764+AV3764+AX3764+AZ3764+BB3764+BD3764+BF3764+BH3764+BJ3764+BL3764+BN3764+BP3764+BR3764+BT3764+BV3764+BX3764+BZ3764+CB3764+CD3764+CF3764+CH3764+CJ3764+CL3764+CN3764+CP3764+CR3764+CT3764</f>
        <v>0</v>
      </c>
      <c r="CV3764" s="76"/>
      <c r="CW3764" s="76">
        <f>+CV3764*1100</f>
        <v>0</v>
      </c>
      <c r="CX3764" s="76"/>
      <c r="CY3764" s="76">
        <f>+CX3764*106250</f>
        <v>0</v>
      </c>
      <c r="CZ3764" s="76"/>
      <c r="DA3764" s="76">
        <f>+CZ3764*34500</f>
        <v>0</v>
      </c>
      <c r="DB3764" s="76"/>
      <c r="DC3764" s="76">
        <f>+DB3764*25000</f>
        <v>0</v>
      </c>
      <c r="DD3764" s="219"/>
      <c r="DE3764" s="219"/>
      <c r="DF3764" s="166"/>
      <c r="DG3764" s="116"/>
      <c r="DH3764" s="117"/>
      <c r="DI3764" s="24"/>
      <c r="DJ3764" s="24"/>
      <c r="DK3764" s="24"/>
      <c r="DL3764" s="24"/>
      <c r="DM3764" s="24"/>
      <c r="DN3764" s="24"/>
      <c r="DO3764" s="24"/>
      <c r="DP3764" s="24"/>
      <c r="DQ3764" s="24"/>
      <c r="DR3764" s="24"/>
      <c r="DS3764" s="24"/>
      <c r="DT3764" s="24"/>
      <c r="DU3764" s="24"/>
    </row>
    <row r="3765" spans="1:125" s="8" customFormat="1" ht="144" x14ac:dyDescent="0.2">
      <c r="A3765" s="353">
        <v>41607</v>
      </c>
      <c r="B3765" s="352" t="s">
        <v>2880</v>
      </c>
      <c r="C3765" s="354" t="s">
        <v>1354</v>
      </c>
      <c r="D3765" s="354" t="s">
        <v>3051</v>
      </c>
      <c r="E3765" s="75" t="str">
        <f>VLOOKUP(B3765&amp;C3765,Divipola!$C$2:$F$1138,4,FALSE)</f>
        <v>54810</v>
      </c>
      <c r="F3765" s="87"/>
      <c r="G3765" s="87"/>
      <c r="H3765" s="87"/>
      <c r="I3765" s="87"/>
      <c r="J3765" s="87"/>
      <c r="K3765" s="87"/>
      <c r="L3765" s="87"/>
      <c r="M3765" s="87"/>
      <c r="N3765" s="87"/>
      <c r="O3765" s="87"/>
      <c r="P3765" s="87"/>
      <c r="Q3765" s="87"/>
      <c r="R3765" s="87"/>
      <c r="S3765" s="87"/>
      <c r="T3765" s="87"/>
      <c r="U3765" s="88"/>
      <c r="V3765" s="89"/>
      <c r="W3765" s="96">
        <v>0</v>
      </c>
      <c r="X3765" s="71">
        <f>CU3765</f>
        <v>0</v>
      </c>
      <c r="Y3765" s="71">
        <f>CY3765</f>
        <v>0</v>
      </c>
      <c r="Z3765" s="71">
        <f>DA3765+DC3765+DE3765</f>
        <v>0</v>
      </c>
      <c r="AA3765" s="71">
        <f>CW3765</f>
        <v>0</v>
      </c>
      <c r="AB3765" s="71"/>
      <c r="AC3765" s="71">
        <v>0</v>
      </c>
      <c r="AD3765" s="71">
        <f>W3765+X3765+Y3765+Z3765+AA3765+AB3765+AC3765</f>
        <v>0</v>
      </c>
      <c r="AE3765" s="72">
        <v>0</v>
      </c>
      <c r="AF3765" s="5"/>
      <c r="AG3765" s="6"/>
      <c r="AH3765" s="27"/>
      <c r="AI3765" s="44"/>
      <c r="AJ3765" s="26"/>
      <c r="AK3765" s="5"/>
      <c r="AL3765" s="82" t="s">
        <v>6793</v>
      </c>
      <c r="AM3765" s="76"/>
      <c r="AN3765" s="76"/>
      <c r="AO3765" s="76"/>
      <c r="AP3765" s="76"/>
      <c r="AQ3765" s="76"/>
      <c r="AR3765" s="76"/>
      <c r="AS3765" s="76"/>
      <c r="AT3765" s="76"/>
      <c r="AU3765" s="76"/>
      <c r="AV3765" s="76"/>
      <c r="AW3765" s="76"/>
      <c r="AX3765" s="76">
        <f>+AW3765*600000</f>
        <v>0</v>
      </c>
      <c r="AY3765" s="76"/>
      <c r="AZ3765" s="76">
        <f>+AY3765*70000</f>
        <v>0</v>
      </c>
      <c r="BA3765" s="76"/>
      <c r="BB3765" s="76"/>
      <c r="BC3765" s="76"/>
      <c r="BD3765" s="76">
        <f>+BC3765*30000</f>
        <v>0</v>
      </c>
      <c r="BE3765" s="76"/>
      <c r="BF3765" s="76"/>
      <c r="BG3765" s="76"/>
      <c r="BH3765" s="76"/>
      <c r="BI3765" s="76"/>
      <c r="BJ3765" s="76"/>
      <c r="BK3765" s="76"/>
      <c r="BL3765" s="76">
        <f>+BK3765*31500</f>
        <v>0</v>
      </c>
      <c r="BM3765" s="76"/>
      <c r="BN3765" s="76"/>
      <c r="BO3765" s="76"/>
      <c r="BP3765" s="76"/>
      <c r="BQ3765" s="76"/>
      <c r="BR3765" s="76"/>
      <c r="BS3765" s="76"/>
      <c r="BT3765" s="76"/>
      <c r="BU3765" s="76"/>
      <c r="BV3765" s="76"/>
      <c r="BW3765" s="76"/>
      <c r="BX3765" s="76"/>
      <c r="BY3765" s="76"/>
      <c r="BZ3765" s="76"/>
      <c r="CA3765" s="76"/>
      <c r="CB3765" s="76"/>
      <c r="CC3765" s="76"/>
      <c r="CD3765" s="76"/>
      <c r="CE3765" s="76"/>
      <c r="CF3765" s="76">
        <f>+CE3765*28000</f>
        <v>0</v>
      </c>
      <c r="CG3765" s="76"/>
      <c r="CH3765" s="76">
        <f>+CG3765*22500</f>
        <v>0</v>
      </c>
      <c r="CI3765" s="76"/>
      <c r="CJ3765" s="76">
        <f>+CI3765*26000</f>
        <v>0</v>
      </c>
      <c r="CK3765" s="76"/>
      <c r="CL3765" s="76"/>
      <c r="CM3765" s="76"/>
      <c r="CN3765" s="76">
        <f>+CM3765*22000</f>
        <v>0</v>
      </c>
      <c r="CO3765" s="76"/>
      <c r="CP3765" s="76">
        <f>+CO3765*46000</f>
        <v>0</v>
      </c>
      <c r="CQ3765" s="76"/>
      <c r="CR3765" s="76">
        <f>+CQ3765*49000</f>
        <v>0</v>
      </c>
      <c r="CS3765" s="76"/>
      <c r="CT3765" s="76"/>
      <c r="CU3765" s="56">
        <f>AN3765+AP3765+AR3765+AT3765+AV3765+AX3765+AZ3765+BB3765+BD3765+BF3765+BH3765+BJ3765+BL3765+BN3765+BP3765+BR3765+BT3765+BV3765+BX3765+BZ3765+CB3765+CD3765+CF3765+CH3765+CJ3765+CL3765+CN3765+CP3765+CR3765+CT3765</f>
        <v>0</v>
      </c>
      <c r="CV3765" s="76"/>
      <c r="CW3765" s="76">
        <f>+CV3765*1100</f>
        <v>0</v>
      </c>
      <c r="CX3765" s="76"/>
      <c r="CY3765" s="76">
        <f>+CX3765*106250</f>
        <v>0</v>
      </c>
      <c r="CZ3765" s="76"/>
      <c r="DA3765" s="76">
        <f>+CZ3765*34500</f>
        <v>0</v>
      </c>
      <c r="DB3765" s="76"/>
      <c r="DC3765" s="76">
        <f>+DB3765*25000</f>
        <v>0</v>
      </c>
      <c r="DD3765" s="219"/>
      <c r="DE3765" s="219"/>
      <c r="DF3765" s="166"/>
      <c r="DG3765" s="116"/>
      <c r="DH3765" s="117"/>
      <c r="DI3765" s="24"/>
      <c r="DJ3765" s="24"/>
      <c r="DK3765" s="24"/>
      <c r="DL3765" s="24"/>
      <c r="DM3765" s="24"/>
      <c r="DN3765" s="24"/>
      <c r="DO3765" s="24"/>
      <c r="DP3765" s="24"/>
      <c r="DQ3765" s="24"/>
      <c r="DR3765" s="24"/>
      <c r="DS3765" s="24"/>
      <c r="DT3765" s="24"/>
      <c r="DU3765" s="24"/>
    </row>
    <row r="3766" spans="1:125" s="8" customFormat="1" ht="108" x14ac:dyDescent="0.2">
      <c r="A3766" s="353">
        <v>41607</v>
      </c>
      <c r="B3766" s="208" t="s">
        <v>2860</v>
      </c>
      <c r="C3766" s="354" t="s">
        <v>2776</v>
      </c>
      <c r="D3766" s="354" t="s">
        <v>3088</v>
      </c>
      <c r="E3766" s="75" t="str">
        <f>VLOOKUP(B3766&amp;C3766,Divipola!$C$2:$F$1138,4,FALSE)</f>
        <v>63001</v>
      </c>
      <c r="F3766" s="87">
        <v>1</v>
      </c>
      <c r="G3766" s="87"/>
      <c r="H3766" s="87"/>
      <c r="I3766" s="87"/>
      <c r="J3766" s="87"/>
      <c r="K3766" s="87"/>
      <c r="L3766" s="87"/>
      <c r="M3766" s="87"/>
      <c r="N3766" s="87"/>
      <c r="O3766" s="87"/>
      <c r="P3766" s="87"/>
      <c r="Q3766" s="87"/>
      <c r="R3766" s="87"/>
      <c r="S3766" s="87"/>
      <c r="T3766" s="87"/>
      <c r="U3766" s="88"/>
      <c r="V3766" s="89"/>
      <c r="W3766" s="96">
        <v>0</v>
      </c>
      <c r="X3766" s="71">
        <f>CU3766</f>
        <v>0</v>
      </c>
      <c r="Y3766" s="71">
        <f>CY3766</f>
        <v>0</v>
      </c>
      <c r="Z3766" s="71">
        <f>DA3766+DC3766+DE3766</f>
        <v>0</v>
      </c>
      <c r="AA3766" s="71">
        <f>CW3766</f>
        <v>0</v>
      </c>
      <c r="AB3766" s="71"/>
      <c r="AC3766" s="71">
        <v>0</v>
      </c>
      <c r="AD3766" s="71">
        <f>W3766+X3766+Y3766+Z3766+AA3766+AB3766+AC3766</f>
        <v>0</v>
      </c>
      <c r="AE3766" s="72">
        <v>0</v>
      </c>
      <c r="AF3766" s="5"/>
      <c r="AG3766" s="6"/>
      <c r="AH3766" s="27"/>
      <c r="AI3766" s="44"/>
      <c r="AJ3766" s="26"/>
      <c r="AK3766" s="5"/>
      <c r="AL3766" s="82" t="s">
        <v>6799</v>
      </c>
      <c r="AM3766" s="76"/>
      <c r="AN3766" s="76"/>
      <c r="AO3766" s="76"/>
      <c r="AP3766" s="76"/>
      <c r="AQ3766" s="76"/>
      <c r="AR3766" s="76"/>
      <c r="AS3766" s="76"/>
      <c r="AT3766" s="76"/>
      <c r="AU3766" s="76"/>
      <c r="AV3766" s="76"/>
      <c r="AW3766" s="76"/>
      <c r="AX3766" s="76">
        <f>+AW3766*600000</f>
        <v>0</v>
      </c>
      <c r="AY3766" s="76"/>
      <c r="AZ3766" s="76">
        <f>+AY3766*70000</f>
        <v>0</v>
      </c>
      <c r="BA3766" s="76"/>
      <c r="BB3766" s="76"/>
      <c r="BC3766" s="76"/>
      <c r="BD3766" s="76">
        <f>+BC3766*30000</f>
        <v>0</v>
      </c>
      <c r="BE3766" s="76"/>
      <c r="BF3766" s="76"/>
      <c r="BG3766" s="76"/>
      <c r="BH3766" s="76"/>
      <c r="BI3766" s="76"/>
      <c r="BJ3766" s="76"/>
      <c r="BK3766" s="76"/>
      <c r="BL3766" s="76">
        <f>+BK3766*31500</f>
        <v>0</v>
      </c>
      <c r="BM3766" s="76"/>
      <c r="BN3766" s="76"/>
      <c r="BO3766" s="76"/>
      <c r="BP3766" s="76"/>
      <c r="BQ3766" s="76"/>
      <c r="BR3766" s="76"/>
      <c r="BS3766" s="76"/>
      <c r="BT3766" s="76"/>
      <c r="BU3766" s="76"/>
      <c r="BV3766" s="76"/>
      <c r="BW3766" s="76"/>
      <c r="BX3766" s="76"/>
      <c r="BY3766" s="76"/>
      <c r="BZ3766" s="76"/>
      <c r="CA3766" s="76"/>
      <c r="CB3766" s="76"/>
      <c r="CC3766" s="76"/>
      <c r="CD3766" s="76"/>
      <c r="CE3766" s="76"/>
      <c r="CF3766" s="76">
        <f>+CE3766*28000</f>
        <v>0</v>
      </c>
      <c r="CG3766" s="76"/>
      <c r="CH3766" s="76">
        <f>+CG3766*22500</f>
        <v>0</v>
      </c>
      <c r="CI3766" s="76"/>
      <c r="CJ3766" s="76">
        <f>+CI3766*26000</f>
        <v>0</v>
      </c>
      <c r="CK3766" s="76"/>
      <c r="CL3766" s="76"/>
      <c r="CM3766" s="76"/>
      <c r="CN3766" s="76">
        <f>+CM3766*22000</f>
        <v>0</v>
      </c>
      <c r="CO3766" s="76"/>
      <c r="CP3766" s="76">
        <f>+CO3766*46000</f>
        <v>0</v>
      </c>
      <c r="CQ3766" s="76"/>
      <c r="CR3766" s="76">
        <f>+CQ3766*49000</f>
        <v>0</v>
      </c>
      <c r="CS3766" s="76"/>
      <c r="CT3766" s="76"/>
      <c r="CU3766" s="56">
        <f>AN3766+AP3766+AR3766+AT3766+AV3766+AX3766+AZ3766+BB3766+BD3766+BF3766+BH3766+BJ3766+BL3766+BN3766+BP3766+BR3766+BT3766+BV3766+BX3766+BZ3766+CB3766+CD3766+CF3766+CH3766+CJ3766+CL3766+CN3766+CP3766+CR3766+CT3766</f>
        <v>0</v>
      </c>
      <c r="CV3766" s="76"/>
      <c r="CW3766" s="76">
        <f>+CV3766*1100</f>
        <v>0</v>
      </c>
      <c r="CX3766" s="76"/>
      <c r="CY3766" s="76">
        <f>+CX3766*106250</f>
        <v>0</v>
      </c>
      <c r="CZ3766" s="76"/>
      <c r="DA3766" s="76">
        <f>+CZ3766*34500</f>
        <v>0</v>
      </c>
      <c r="DB3766" s="76"/>
      <c r="DC3766" s="76">
        <f>+DB3766*25000</f>
        <v>0</v>
      </c>
      <c r="DD3766" s="219"/>
      <c r="DE3766" s="219"/>
      <c r="DF3766" s="166"/>
      <c r="DG3766" s="116"/>
      <c r="DH3766" s="117"/>
      <c r="DI3766" s="24"/>
      <c r="DJ3766" s="24"/>
      <c r="DK3766" s="24"/>
      <c r="DL3766" s="24"/>
      <c r="DM3766" s="24"/>
      <c r="DN3766" s="24"/>
      <c r="DO3766" s="24"/>
      <c r="DP3766" s="24"/>
      <c r="DQ3766" s="24"/>
      <c r="DR3766" s="24"/>
      <c r="DS3766" s="24"/>
      <c r="DT3766" s="24"/>
      <c r="DU3766" s="24"/>
    </row>
    <row r="3767" spans="1:125" s="8" customFormat="1" ht="108" x14ac:dyDescent="0.2">
      <c r="A3767" s="77">
        <v>41607</v>
      </c>
      <c r="B3767" s="78" t="s">
        <v>2661</v>
      </c>
      <c r="C3767" s="75" t="s">
        <v>2169</v>
      </c>
      <c r="D3767" s="75" t="s">
        <v>3017</v>
      </c>
      <c r="E3767" s="75" t="str">
        <f>VLOOKUP(B3767&amp;C3767,Divipola!$C$2:$F$1138,4,FALSE)</f>
        <v>41001</v>
      </c>
      <c r="F3767" s="87"/>
      <c r="G3767" s="87"/>
      <c r="H3767" s="87"/>
      <c r="I3767" s="87">
        <v>20</v>
      </c>
      <c r="J3767" s="87">
        <v>4</v>
      </c>
      <c r="K3767" s="87"/>
      <c r="L3767" s="87">
        <v>4</v>
      </c>
      <c r="M3767" s="87"/>
      <c r="N3767" s="87"/>
      <c r="O3767" s="87"/>
      <c r="P3767" s="87"/>
      <c r="Q3767" s="87"/>
      <c r="R3767" s="87"/>
      <c r="S3767" s="87"/>
      <c r="T3767" s="87"/>
      <c r="U3767" s="88"/>
      <c r="V3767" s="89"/>
      <c r="W3767" s="96">
        <v>0</v>
      </c>
      <c r="X3767" s="71">
        <f>CU3767</f>
        <v>0</v>
      </c>
      <c r="Y3767" s="71">
        <f>CY3767</f>
        <v>0</v>
      </c>
      <c r="Z3767" s="71">
        <f>DA3767+DC3767+DE3767</f>
        <v>0</v>
      </c>
      <c r="AA3767" s="71">
        <f>CW3767</f>
        <v>0</v>
      </c>
      <c r="AB3767" s="71"/>
      <c r="AC3767" s="71">
        <v>0</v>
      </c>
      <c r="AD3767" s="71">
        <f>W3767+X3767+Y3767+Z3767+AA3767+AB3767+AC3767</f>
        <v>0</v>
      </c>
      <c r="AE3767" s="72">
        <v>0</v>
      </c>
      <c r="AF3767" s="5"/>
      <c r="AG3767" s="6"/>
      <c r="AH3767" s="27"/>
      <c r="AI3767" s="44"/>
      <c r="AJ3767" s="26"/>
      <c r="AK3767" s="5"/>
      <c r="AL3767" s="82" t="s">
        <v>6800</v>
      </c>
      <c r="AM3767" s="76"/>
      <c r="AN3767" s="76"/>
      <c r="AO3767" s="76"/>
      <c r="AP3767" s="76"/>
      <c r="AQ3767" s="76"/>
      <c r="AR3767" s="76"/>
      <c r="AS3767" s="76"/>
      <c r="AT3767" s="76"/>
      <c r="AU3767" s="76"/>
      <c r="AV3767" s="76"/>
      <c r="AW3767" s="76"/>
      <c r="AX3767" s="76">
        <f>+AW3767*600000</f>
        <v>0</v>
      </c>
      <c r="AY3767" s="76"/>
      <c r="AZ3767" s="76">
        <f>+AY3767*70000</f>
        <v>0</v>
      </c>
      <c r="BA3767" s="76"/>
      <c r="BB3767" s="76"/>
      <c r="BC3767" s="76"/>
      <c r="BD3767" s="76">
        <f>+BC3767*30000</f>
        <v>0</v>
      </c>
      <c r="BE3767" s="76"/>
      <c r="BF3767" s="76"/>
      <c r="BG3767" s="76"/>
      <c r="BH3767" s="76"/>
      <c r="BI3767" s="76"/>
      <c r="BJ3767" s="76"/>
      <c r="BK3767" s="76"/>
      <c r="BL3767" s="76">
        <f>+BK3767*31500</f>
        <v>0</v>
      </c>
      <c r="BM3767" s="76"/>
      <c r="BN3767" s="76"/>
      <c r="BO3767" s="76"/>
      <c r="BP3767" s="76"/>
      <c r="BQ3767" s="76"/>
      <c r="BR3767" s="76"/>
      <c r="BS3767" s="76"/>
      <c r="BT3767" s="76"/>
      <c r="BU3767" s="76"/>
      <c r="BV3767" s="76"/>
      <c r="BW3767" s="76"/>
      <c r="BX3767" s="76"/>
      <c r="BY3767" s="76"/>
      <c r="BZ3767" s="76"/>
      <c r="CA3767" s="76"/>
      <c r="CB3767" s="76"/>
      <c r="CC3767" s="76"/>
      <c r="CD3767" s="76"/>
      <c r="CE3767" s="76"/>
      <c r="CF3767" s="76">
        <f>+CE3767*28000</f>
        <v>0</v>
      </c>
      <c r="CG3767" s="76"/>
      <c r="CH3767" s="76">
        <f>+CG3767*22500</f>
        <v>0</v>
      </c>
      <c r="CI3767" s="76"/>
      <c r="CJ3767" s="76">
        <f>+CI3767*26000</f>
        <v>0</v>
      </c>
      <c r="CK3767" s="76"/>
      <c r="CL3767" s="76"/>
      <c r="CM3767" s="76"/>
      <c r="CN3767" s="76">
        <f>+CM3767*22000</f>
        <v>0</v>
      </c>
      <c r="CO3767" s="76"/>
      <c r="CP3767" s="76">
        <f>+CO3767*46000</f>
        <v>0</v>
      </c>
      <c r="CQ3767" s="76"/>
      <c r="CR3767" s="76">
        <f>+CQ3767*49000</f>
        <v>0</v>
      </c>
      <c r="CS3767" s="76"/>
      <c r="CT3767" s="76"/>
      <c r="CU3767" s="56">
        <f>AN3767+AP3767+AR3767+AT3767+AV3767+AX3767+AZ3767+BB3767+BD3767+BF3767+BH3767+BJ3767+BL3767+BN3767+BP3767+BR3767+BT3767+BV3767+BX3767+BZ3767+CB3767+CD3767+CF3767+CH3767+CJ3767+CL3767+CN3767+CP3767+CR3767+CT3767</f>
        <v>0</v>
      </c>
      <c r="CV3767" s="76"/>
      <c r="CW3767" s="76">
        <f>+CV3767*1100</f>
        <v>0</v>
      </c>
      <c r="CX3767" s="76"/>
      <c r="CY3767" s="76">
        <f>+CX3767*106250</f>
        <v>0</v>
      </c>
      <c r="CZ3767" s="76"/>
      <c r="DA3767" s="76">
        <f>+CZ3767*34500</f>
        <v>0</v>
      </c>
      <c r="DB3767" s="76"/>
      <c r="DC3767" s="76">
        <f>+DB3767*25000</f>
        <v>0</v>
      </c>
      <c r="DD3767" s="219"/>
      <c r="DE3767" s="219"/>
      <c r="DF3767" s="166"/>
      <c r="DG3767" s="116"/>
      <c r="DH3767" s="117"/>
      <c r="DI3767" s="24"/>
      <c r="DJ3767" s="24"/>
      <c r="DK3767" s="24"/>
      <c r="DL3767" s="24"/>
      <c r="DM3767" s="24"/>
      <c r="DN3767" s="24"/>
      <c r="DO3767" s="24"/>
      <c r="DP3767" s="24"/>
      <c r="DQ3767" s="24"/>
      <c r="DR3767" s="24"/>
      <c r="DS3767" s="24"/>
      <c r="DT3767" s="24"/>
      <c r="DU3767" s="24"/>
    </row>
    <row r="3768" spans="1:125" s="8" customFormat="1" ht="84" x14ac:dyDescent="0.2">
      <c r="A3768" s="77">
        <v>41607</v>
      </c>
      <c r="B3768" s="78" t="s">
        <v>2860</v>
      </c>
      <c r="C3768" s="75" t="s">
        <v>2691</v>
      </c>
      <c r="D3768" s="75" t="s">
        <v>3088</v>
      </c>
      <c r="E3768" s="75" t="str">
        <f>VLOOKUP(B3768&amp;C3768,Divipola!$C$2:$F$1138,4,FALSE)</f>
        <v>63690</v>
      </c>
      <c r="F3768" s="87"/>
      <c r="G3768" s="87"/>
      <c r="H3768" s="87"/>
      <c r="I3768" s="87"/>
      <c r="J3768" s="87"/>
      <c r="K3768" s="87"/>
      <c r="L3768" s="87"/>
      <c r="M3768" s="87">
        <v>1</v>
      </c>
      <c r="N3768" s="87"/>
      <c r="O3768" s="87"/>
      <c r="P3768" s="87"/>
      <c r="Q3768" s="87"/>
      <c r="R3768" s="87"/>
      <c r="S3768" s="87"/>
      <c r="T3768" s="87"/>
      <c r="U3768" s="88"/>
      <c r="V3768" s="89"/>
      <c r="W3768" s="96">
        <v>0</v>
      </c>
      <c r="X3768" s="71">
        <f>CU3768</f>
        <v>0</v>
      </c>
      <c r="Y3768" s="71">
        <f>CY3768</f>
        <v>0</v>
      </c>
      <c r="Z3768" s="71">
        <f>DA3768+DC3768+DE3768</f>
        <v>0</v>
      </c>
      <c r="AA3768" s="71">
        <f>CW3768</f>
        <v>0</v>
      </c>
      <c r="AB3768" s="71"/>
      <c r="AC3768" s="71">
        <v>0</v>
      </c>
      <c r="AD3768" s="71">
        <f>W3768+X3768+Y3768+Z3768+AA3768+AB3768+AC3768</f>
        <v>0</v>
      </c>
      <c r="AE3768" s="72">
        <v>0</v>
      </c>
      <c r="AF3768" s="5"/>
      <c r="AG3768" s="6"/>
      <c r="AH3768" s="27"/>
      <c r="AI3768" s="44"/>
      <c r="AJ3768" s="26"/>
      <c r="AK3768" s="5"/>
      <c r="AL3768" s="82" t="s">
        <v>6805</v>
      </c>
      <c r="AM3768" s="76"/>
      <c r="AN3768" s="76"/>
      <c r="AO3768" s="76"/>
      <c r="AP3768" s="76"/>
      <c r="AQ3768" s="76"/>
      <c r="AR3768" s="76"/>
      <c r="AS3768" s="76"/>
      <c r="AT3768" s="76"/>
      <c r="AU3768" s="76"/>
      <c r="AV3768" s="76"/>
      <c r="AW3768" s="76"/>
      <c r="AX3768" s="76">
        <f>+AW3768*600000</f>
        <v>0</v>
      </c>
      <c r="AY3768" s="76"/>
      <c r="AZ3768" s="76">
        <f>+AY3768*70000</f>
        <v>0</v>
      </c>
      <c r="BA3768" s="76"/>
      <c r="BB3768" s="76"/>
      <c r="BC3768" s="76"/>
      <c r="BD3768" s="76">
        <f>+BC3768*30000</f>
        <v>0</v>
      </c>
      <c r="BE3768" s="76"/>
      <c r="BF3768" s="76"/>
      <c r="BG3768" s="76"/>
      <c r="BH3768" s="76"/>
      <c r="BI3768" s="76"/>
      <c r="BJ3768" s="76"/>
      <c r="BK3768" s="76"/>
      <c r="BL3768" s="76">
        <f>+BK3768*31500</f>
        <v>0</v>
      </c>
      <c r="BM3768" s="76"/>
      <c r="BN3768" s="76"/>
      <c r="BO3768" s="76"/>
      <c r="BP3768" s="76"/>
      <c r="BQ3768" s="76"/>
      <c r="BR3768" s="76"/>
      <c r="BS3768" s="76"/>
      <c r="BT3768" s="76"/>
      <c r="BU3768" s="76"/>
      <c r="BV3768" s="76"/>
      <c r="BW3768" s="76"/>
      <c r="BX3768" s="76"/>
      <c r="BY3768" s="76"/>
      <c r="BZ3768" s="76"/>
      <c r="CA3768" s="76"/>
      <c r="CB3768" s="76"/>
      <c r="CC3768" s="76"/>
      <c r="CD3768" s="76"/>
      <c r="CE3768" s="76"/>
      <c r="CF3768" s="76">
        <f>+CE3768*28000</f>
        <v>0</v>
      </c>
      <c r="CG3768" s="76"/>
      <c r="CH3768" s="76">
        <f>+CG3768*22500</f>
        <v>0</v>
      </c>
      <c r="CI3768" s="76"/>
      <c r="CJ3768" s="76">
        <f>+CI3768*26000</f>
        <v>0</v>
      </c>
      <c r="CK3768" s="76"/>
      <c r="CL3768" s="76"/>
      <c r="CM3768" s="76"/>
      <c r="CN3768" s="76">
        <f>+CM3768*22000</f>
        <v>0</v>
      </c>
      <c r="CO3768" s="76"/>
      <c r="CP3768" s="76">
        <f>+CO3768*46000</f>
        <v>0</v>
      </c>
      <c r="CQ3768" s="76"/>
      <c r="CR3768" s="76">
        <f>+CQ3768*49000</f>
        <v>0</v>
      </c>
      <c r="CS3768" s="76"/>
      <c r="CT3768" s="76"/>
      <c r="CU3768" s="56">
        <f>AN3768+AP3768+AR3768+AT3768+AV3768+AX3768+AZ3768+BB3768+BD3768+BF3768+BH3768+BJ3768+BL3768+BN3768+BP3768+BR3768+BT3768+BV3768+BX3768+BZ3768+CB3768+CD3768+CF3768+CH3768+CJ3768+CL3768+CN3768+CP3768+CR3768+CT3768</f>
        <v>0</v>
      </c>
      <c r="CV3768" s="76"/>
      <c r="CW3768" s="76">
        <f>+CV3768*1100</f>
        <v>0</v>
      </c>
      <c r="CX3768" s="76"/>
      <c r="CY3768" s="76">
        <f>+CX3768*106250</f>
        <v>0</v>
      </c>
      <c r="CZ3768" s="76"/>
      <c r="DA3768" s="76">
        <f>+CZ3768*34500</f>
        <v>0</v>
      </c>
      <c r="DB3768" s="76"/>
      <c r="DC3768" s="76">
        <f>+DB3768*25000</f>
        <v>0</v>
      </c>
      <c r="DD3768" s="219"/>
      <c r="DE3768" s="219"/>
      <c r="DF3768" s="166"/>
      <c r="DG3768" s="116"/>
      <c r="DH3768" s="117"/>
      <c r="DI3768" s="24"/>
      <c r="DJ3768" s="24"/>
      <c r="DK3768" s="24"/>
      <c r="DL3768" s="24"/>
      <c r="DM3768" s="24"/>
      <c r="DN3768" s="24"/>
      <c r="DO3768" s="24"/>
      <c r="DP3768" s="24"/>
      <c r="DQ3768" s="24"/>
      <c r="DR3768" s="24"/>
      <c r="DS3768" s="24"/>
      <c r="DT3768" s="24"/>
      <c r="DU3768" s="24"/>
    </row>
    <row r="3769" spans="1:125" s="8" customFormat="1" ht="96" x14ac:dyDescent="0.2">
      <c r="A3769" s="77">
        <v>41607</v>
      </c>
      <c r="B3769" s="352" t="s">
        <v>2880</v>
      </c>
      <c r="C3769" s="354" t="s">
        <v>259</v>
      </c>
      <c r="D3769" s="354" t="s">
        <v>3051</v>
      </c>
      <c r="E3769" s="75" t="str">
        <f>VLOOKUP(B3769&amp;C3769,Divipola!$C$2:$F$1138,4,FALSE)</f>
        <v>54670</v>
      </c>
      <c r="F3769" s="87"/>
      <c r="G3769" s="87"/>
      <c r="H3769" s="87"/>
      <c r="I3769" s="87">
        <v>5</v>
      </c>
      <c r="J3769" s="87">
        <v>1</v>
      </c>
      <c r="K3769" s="87"/>
      <c r="L3769" s="87">
        <v>1</v>
      </c>
      <c r="M3769" s="87"/>
      <c r="N3769" s="87"/>
      <c r="O3769" s="87"/>
      <c r="P3769" s="87"/>
      <c r="Q3769" s="87"/>
      <c r="R3769" s="87"/>
      <c r="S3769" s="87"/>
      <c r="T3769" s="87"/>
      <c r="U3769" s="88"/>
      <c r="V3769" s="89"/>
      <c r="W3769" s="96">
        <v>0</v>
      </c>
      <c r="X3769" s="71">
        <f>CU3769</f>
        <v>0</v>
      </c>
      <c r="Y3769" s="71">
        <f>CY3769</f>
        <v>0</v>
      </c>
      <c r="Z3769" s="71">
        <f>DA3769+DC3769+DE3769</f>
        <v>0</v>
      </c>
      <c r="AA3769" s="71">
        <f>CW3769</f>
        <v>0</v>
      </c>
      <c r="AB3769" s="71"/>
      <c r="AC3769" s="71">
        <v>0</v>
      </c>
      <c r="AD3769" s="71">
        <f>W3769+X3769+Y3769+Z3769+AA3769+AB3769+AC3769</f>
        <v>0</v>
      </c>
      <c r="AE3769" s="72">
        <v>0</v>
      </c>
      <c r="AF3769" s="5"/>
      <c r="AG3769" s="6"/>
      <c r="AH3769" s="27"/>
      <c r="AI3769" s="44"/>
      <c r="AJ3769" s="26"/>
      <c r="AK3769" s="5"/>
      <c r="AL3769" s="82" t="s">
        <v>6807</v>
      </c>
      <c r="AM3769" s="76"/>
      <c r="AN3769" s="76"/>
      <c r="AO3769" s="76"/>
      <c r="AP3769" s="76"/>
      <c r="AQ3769" s="76"/>
      <c r="AR3769" s="76"/>
      <c r="AS3769" s="76"/>
      <c r="AT3769" s="76"/>
      <c r="AU3769" s="76"/>
      <c r="AV3769" s="76"/>
      <c r="AW3769" s="76"/>
      <c r="AX3769" s="76">
        <f>+AW3769*600000</f>
        <v>0</v>
      </c>
      <c r="AY3769" s="76"/>
      <c r="AZ3769" s="76">
        <f>+AY3769*70000</f>
        <v>0</v>
      </c>
      <c r="BA3769" s="76"/>
      <c r="BB3769" s="76"/>
      <c r="BC3769" s="76"/>
      <c r="BD3769" s="76">
        <f>+BC3769*30000</f>
        <v>0</v>
      </c>
      <c r="BE3769" s="76"/>
      <c r="BF3769" s="76"/>
      <c r="BG3769" s="76"/>
      <c r="BH3769" s="76"/>
      <c r="BI3769" s="76"/>
      <c r="BJ3769" s="76"/>
      <c r="BK3769" s="76"/>
      <c r="BL3769" s="76">
        <f>+BK3769*31500</f>
        <v>0</v>
      </c>
      <c r="BM3769" s="76"/>
      <c r="BN3769" s="76"/>
      <c r="BO3769" s="76"/>
      <c r="BP3769" s="76"/>
      <c r="BQ3769" s="76"/>
      <c r="BR3769" s="76"/>
      <c r="BS3769" s="76"/>
      <c r="BT3769" s="76"/>
      <c r="BU3769" s="76"/>
      <c r="BV3769" s="76"/>
      <c r="BW3769" s="76"/>
      <c r="BX3769" s="76"/>
      <c r="BY3769" s="76"/>
      <c r="BZ3769" s="76"/>
      <c r="CA3769" s="76"/>
      <c r="CB3769" s="76"/>
      <c r="CC3769" s="76"/>
      <c r="CD3769" s="76"/>
      <c r="CE3769" s="76"/>
      <c r="CF3769" s="76">
        <f>+CE3769*28000</f>
        <v>0</v>
      </c>
      <c r="CG3769" s="76"/>
      <c r="CH3769" s="76">
        <f>+CG3769*22500</f>
        <v>0</v>
      </c>
      <c r="CI3769" s="76"/>
      <c r="CJ3769" s="76">
        <f>+CI3769*26000</f>
        <v>0</v>
      </c>
      <c r="CK3769" s="76"/>
      <c r="CL3769" s="76"/>
      <c r="CM3769" s="76"/>
      <c r="CN3769" s="76">
        <f>+CM3769*22000</f>
        <v>0</v>
      </c>
      <c r="CO3769" s="76"/>
      <c r="CP3769" s="76">
        <f>+CO3769*46000</f>
        <v>0</v>
      </c>
      <c r="CQ3769" s="76"/>
      <c r="CR3769" s="76">
        <f>+CQ3769*49000</f>
        <v>0</v>
      </c>
      <c r="CS3769" s="76"/>
      <c r="CT3769" s="76"/>
      <c r="CU3769" s="56">
        <f>AN3769+AP3769+AR3769+AT3769+AV3769+AX3769+AZ3769+BB3769+BD3769+BF3769+BH3769+BJ3769+BL3769+BN3769+BP3769+BR3769+BT3769+BV3769+BX3769+BZ3769+CB3769+CD3769+CF3769+CH3769+CJ3769+CL3769+CN3769+CP3769+CR3769+CT3769</f>
        <v>0</v>
      </c>
      <c r="CV3769" s="76"/>
      <c r="CW3769" s="76">
        <f>+CV3769*1100</f>
        <v>0</v>
      </c>
      <c r="CX3769" s="76"/>
      <c r="CY3769" s="76">
        <f>+CX3769*106250</f>
        <v>0</v>
      </c>
      <c r="CZ3769" s="76"/>
      <c r="DA3769" s="76">
        <f>+CZ3769*34500</f>
        <v>0</v>
      </c>
      <c r="DB3769" s="76"/>
      <c r="DC3769" s="76">
        <f>+DB3769*25000</f>
        <v>0</v>
      </c>
      <c r="DD3769" s="219"/>
      <c r="DE3769" s="219"/>
      <c r="DF3769" s="166"/>
      <c r="DG3769" s="116"/>
      <c r="DH3769" s="117"/>
      <c r="DI3769" s="24"/>
      <c r="DJ3769" s="24"/>
      <c r="DK3769" s="24"/>
      <c r="DL3769" s="24"/>
      <c r="DM3769" s="24"/>
      <c r="DN3769" s="24"/>
      <c r="DO3769" s="24"/>
      <c r="DP3769" s="24"/>
      <c r="DQ3769" s="24"/>
      <c r="DR3769" s="24"/>
      <c r="DS3769" s="24"/>
      <c r="DT3769" s="24"/>
      <c r="DU3769" s="24"/>
    </row>
    <row r="3770" spans="1:125" s="8" customFormat="1" ht="144" x14ac:dyDescent="0.2">
      <c r="A3770" s="77">
        <v>41607</v>
      </c>
      <c r="B3770" s="78" t="s">
        <v>2851</v>
      </c>
      <c r="C3770" s="75" t="s">
        <v>1390</v>
      </c>
      <c r="D3770" s="75" t="s">
        <v>3051</v>
      </c>
      <c r="E3770" s="75" t="str">
        <f>VLOOKUP(B3770&amp;C3770,Divipola!$C$2:$F$1138,4,FALSE)</f>
        <v>76111</v>
      </c>
      <c r="F3770" s="87"/>
      <c r="G3770" s="87"/>
      <c r="H3770" s="87"/>
      <c r="I3770" s="87">
        <v>15</v>
      </c>
      <c r="J3770" s="87">
        <v>3</v>
      </c>
      <c r="K3770" s="87"/>
      <c r="L3770" s="87">
        <v>3</v>
      </c>
      <c r="M3770" s="87"/>
      <c r="N3770" s="87"/>
      <c r="O3770" s="87"/>
      <c r="P3770" s="87"/>
      <c r="Q3770" s="87"/>
      <c r="R3770" s="87"/>
      <c r="S3770" s="87"/>
      <c r="T3770" s="87"/>
      <c r="U3770" s="88"/>
      <c r="V3770" s="89"/>
      <c r="W3770" s="96">
        <v>0</v>
      </c>
      <c r="X3770" s="71">
        <f>CU3770</f>
        <v>0</v>
      </c>
      <c r="Y3770" s="71">
        <f>CY3770</f>
        <v>0</v>
      </c>
      <c r="Z3770" s="71">
        <f>DA3770+DC3770+DE3770</f>
        <v>0</v>
      </c>
      <c r="AA3770" s="71">
        <f>CW3770</f>
        <v>0</v>
      </c>
      <c r="AB3770" s="71"/>
      <c r="AC3770" s="71">
        <v>0</v>
      </c>
      <c r="AD3770" s="71">
        <f>W3770+X3770+Y3770+Z3770+AA3770+AB3770+AC3770</f>
        <v>0</v>
      </c>
      <c r="AE3770" s="72">
        <v>0</v>
      </c>
      <c r="AF3770" s="5"/>
      <c r="AG3770" s="6"/>
      <c r="AH3770" s="27"/>
      <c r="AI3770" s="44"/>
      <c r="AJ3770" s="26"/>
      <c r="AK3770" s="5"/>
      <c r="AL3770" s="82" t="s">
        <v>6809</v>
      </c>
      <c r="AM3770" s="76"/>
      <c r="AN3770" s="76"/>
      <c r="AO3770" s="76"/>
      <c r="AP3770" s="76"/>
      <c r="AQ3770" s="76"/>
      <c r="AR3770" s="76"/>
      <c r="AS3770" s="76"/>
      <c r="AT3770" s="76"/>
      <c r="AU3770" s="76"/>
      <c r="AV3770" s="76"/>
      <c r="AW3770" s="76"/>
      <c r="AX3770" s="76">
        <f>+AW3770*600000</f>
        <v>0</v>
      </c>
      <c r="AY3770" s="76"/>
      <c r="AZ3770" s="76">
        <f>+AY3770*70000</f>
        <v>0</v>
      </c>
      <c r="BA3770" s="76"/>
      <c r="BB3770" s="76"/>
      <c r="BC3770" s="76"/>
      <c r="BD3770" s="76">
        <f>+BC3770*30000</f>
        <v>0</v>
      </c>
      <c r="BE3770" s="76"/>
      <c r="BF3770" s="76"/>
      <c r="BG3770" s="76"/>
      <c r="BH3770" s="76"/>
      <c r="BI3770" s="76"/>
      <c r="BJ3770" s="76"/>
      <c r="BK3770" s="76"/>
      <c r="BL3770" s="76">
        <f>+BK3770*31500</f>
        <v>0</v>
      </c>
      <c r="BM3770" s="76"/>
      <c r="BN3770" s="76"/>
      <c r="BO3770" s="76"/>
      <c r="BP3770" s="76"/>
      <c r="BQ3770" s="76"/>
      <c r="BR3770" s="76"/>
      <c r="BS3770" s="76"/>
      <c r="BT3770" s="76"/>
      <c r="BU3770" s="76"/>
      <c r="BV3770" s="76"/>
      <c r="BW3770" s="76"/>
      <c r="BX3770" s="76"/>
      <c r="BY3770" s="76"/>
      <c r="BZ3770" s="76"/>
      <c r="CA3770" s="76"/>
      <c r="CB3770" s="76"/>
      <c r="CC3770" s="76"/>
      <c r="CD3770" s="76"/>
      <c r="CE3770" s="76"/>
      <c r="CF3770" s="76">
        <f>+CE3770*28000</f>
        <v>0</v>
      </c>
      <c r="CG3770" s="76"/>
      <c r="CH3770" s="76">
        <f>+CG3770*22500</f>
        <v>0</v>
      </c>
      <c r="CI3770" s="76"/>
      <c r="CJ3770" s="76">
        <f>+CI3770*26000</f>
        <v>0</v>
      </c>
      <c r="CK3770" s="76"/>
      <c r="CL3770" s="76"/>
      <c r="CM3770" s="76"/>
      <c r="CN3770" s="76">
        <f>+CM3770*22000</f>
        <v>0</v>
      </c>
      <c r="CO3770" s="76"/>
      <c r="CP3770" s="76">
        <f>+CO3770*46000</f>
        <v>0</v>
      </c>
      <c r="CQ3770" s="76"/>
      <c r="CR3770" s="76">
        <f>+CQ3770*49000</f>
        <v>0</v>
      </c>
      <c r="CS3770" s="76"/>
      <c r="CT3770" s="76"/>
      <c r="CU3770" s="56">
        <f>AN3770+AP3770+AR3770+AT3770+AV3770+AX3770+AZ3770+BB3770+BD3770+BF3770+BH3770+BJ3770+BL3770+BN3770+BP3770+BR3770+BT3770+BV3770+BX3770+BZ3770+CB3770+CD3770+CF3770+CH3770+CJ3770+CL3770+CN3770+CP3770+CR3770+CT3770</f>
        <v>0</v>
      </c>
      <c r="CV3770" s="76"/>
      <c r="CW3770" s="76">
        <f>+CV3770*1100</f>
        <v>0</v>
      </c>
      <c r="CX3770" s="76"/>
      <c r="CY3770" s="76">
        <f>+CX3770*106250</f>
        <v>0</v>
      </c>
      <c r="CZ3770" s="76"/>
      <c r="DA3770" s="76">
        <f>+CZ3770*34500</f>
        <v>0</v>
      </c>
      <c r="DB3770" s="76"/>
      <c r="DC3770" s="76">
        <f>+DB3770*25000</f>
        <v>0</v>
      </c>
      <c r="DD3770" s="219"/>
      <c r="DE3770" s="219"/>
      <c r="DF3770" s="166"/>
      <c r="DG3770" s="116"/>
      <c r="DH3770" s="117"/>
      <c r="DI3770" s="24"/>
      <c r="DJ3770" s="24"/>
      <c r="DK3770" s="24"/>
      <c r="DL3770" s="24"/>
      <c r="DM3770" s="24"/>
      <c r="DN3770" s="24"/>
      <c r="DO3770" s="24"/>
      <c r="DP3770" s="24"/>
      <c r="DQ3770" s="24"/>
      <c r="DR3770" s="24"/>
      <c r="DS3770" s="24"/>
      <c r="DT3770" s="24"/>
      <c r="DU3770" s="24"/>
    </row>
    <row r="3771" spans="1:125" s="8" customFormat="1" ht="48" x14ac:dyDescent="0.2">
      <c r="A3771" s="353">
        <v>41608</v>
      </c>
      <c r="B3771" s="352" t="s">
        <v>2848</v>
      </c>
      <c r="C3771" s="354" t="s">
        <v>2755</v>
      </c>
      <c r="D3771" s="354" t="s">
        <v>3051</v>
      </c>
      <c r="E3771" s="75" t="str">
        <f>VLOOKUP(B3771&amp;C3771,Divipola!$C$2:$F$1138,4,FALSE)</f>
        <v>73001</v>
      </c>
      <c r="F3771" s="87"/>
      <c r="G3771" s="87"/>
      <c r="H3771" s="87"/>
      <c r="I3771" s="87">
        <v>15</v>
      </c>
      <c r="J3771" s="87">
        <v>3</v>
      </c>
      <c r="K3771" s="87"/>
      <c r="L3771" s="87">
        <v>3</v>
      </c>
      <c r="M3771" s="87"/>
      <c r="N3771" s="87"/>
      <c r="O3771" s="87"/>
      <c r="P3771" s="87"/>
      <c r="Q3771" s="87"/>
      <c r="R3771" s="87"/>
      <c r="S3771" s="87"/>
      <c r="T3771" s="87"/>
      <c r="U3771" s="88"/>
      <c r="V3771" s="89"/>
      <c r="W3771" s="96">
        <v>0</v>
      </c>
      <c r="X3771" s="71">
        <f>CU3771</f>
        <v>0</v>
      </c>
      <c r="Y3771" s="71">
        <f>CY3771</f>
        <v>0</v>
      </c>
      <c r="Z3771" s="71">
        <f>DA3771+DC3771+DE3771</f>
        <v>0</v>
      </c>
      <c r="AA3771" s="71">
        <f>CW3771</f>
        <v>0</v>
      </c>
      <c r="AB3771" s="71"/>
      <c r="AC3771" s="71">
        <v>0</v>
      </c>
      <c r="AD3771" s="71">
        <f>W3771+X3771+Y3771+Z3771+AA3771+AB3771+AC3771</f>
        <v>0</v>
      </c>
      <c r="AE3771" s="72">
        <v>0</v>
      </c>
      <c r="AF3771" s="5"/>
      <c r="AG3771" s="6"/>
      <c r="AH3771" s="27"/>
      <c r="AI3771" s="44"/>
      <c r="AJ3771" s="26"/>
      <c r="AK3771" s="5"/>
      <c r="AL3771" s="82" t="s">
        <v>6804</v>
      </c>
      <c r="AM3771" s="76"/>
      <c r="AN3771" s="76"/>
      <c r="AO3771" s="76"/>
      <c r="AP3771" s="76"/>
      <c r="AQ3771" s="76"/>
      <c r="AR3771" s="76"/>
      <c r="AS3771" s="76"/>
      <c r="AT3771" s="76"/>
      <c r="AU3771" s="76"/>
      <c r="AV3771" s="76"/>
      <c r="AW3771" s="76"/>
      <c r="AX3771" s="76">
        <f>+AW3771*600000</f>
        <v>0</v>
      </c>
      <c r="AY3771" s="76"/>
      <c r="AZ3771" s="76">
        <f>+AY3771*70000</f>
        <v>0</v>
      </c>
      <c r="BA3771" s="76"/>
      <c r="BB3771" s="76"/>
      <c r="BC3771" s="76"/>
      <c r="BD3771" s="76">
        <f>+BC3771*30000</f>
        <v>0</v>
      </c>
      <c r="BE3771" s="76"/>
      <c r="BF3771" s="76"/>
      <c r="BG3771" s="76"/>
      <c r="BH3771" s="76"/>
      <c r="BI3771" s="76"/>
      <c r="BJ3771" s="76"/>
      <c r="BK3771" s="76"/>
      <c r="BL3771" s="76">
        <f>+BK3771*31500</f>
        <v>0</v>
      </c>
      <c r="BM3771" s="76"/>
      <c r="BN3771" s="76"/>
      <c r="BO3771" s="76"/>
      <c r="BP3771" s="76"/>
      <c r="BQ3771" s="76"/>
      <c r="BR3771" s="76"/>
      <c r="BS3771" s="76"/>
      <c r="BT3771" s="76"/>
      <c r="BU3771" s="76"/>
      <c r="BV3771" s="76"/>
      <c r="BW3771" s="76"/>
      <c r="BX3771" s="76"/>
      <c r="BY3771" s="76"/>
      <c r="BZ3771" s="76"/>
      <c r="CA3771" s="76"/>
      <c r="CB3771" s="76"/>
      <c r="CC3771" s="76"/>
      <c r="CD3771" s="76"/>
      <c r="CE3771" s="76"/>
      <c r="CF3771" s="76">
        <f>+CE3771*28000</f>
        <v>0</v>
      </c>
      <c r="CG3771" s="76"/>
      <c r="CH3771" s="76">
        <f>+CG3771*22500</f>
        <v>0</v>
      </c>
      <c r="CI3771" s="76"/>
      <c r="CJ3771" s="76">
        <f>+CI3771*26000</f>
        <v>0</v>
      </c>
      <c r="CK3771" s="76"/>
      <c r="CL3771" s="76"/>
      <c r="CM3771" s="76"/>
      <c r="CN3771" s="76">
        <f>+CM3771*22000</f>
        <v>0</v>
      </c>
      <c r="CO3771" s="76"/>
      <c r="CP3771" s="76">
        <f>+CO3771*46000</f>
        <v>0</v>
      </c>
      <c r="CQ3771" s="76"/>
      <c r="CR3771" s="76">
        <f>+CQ3771*49000</f>
        <v>0</v>
      </c>
      <c r="CS3771" s="76"/>
      <c r="CT3771" s="76"/>
      <c r="CU3771" s="56">
        <f>AN3771+AP3771+AR3771+AT3771+AV3771+AX3771+AZ3771+BB3771+BD3771+BF3771+BH3771+BJ3771+BL3771+BN3771+BP3771+BR3771+BT3771+BV3771+BX3771+BZ3771+CB3771+CD3771+CF3771+CH3771+CJ3771+CL3771+CN3771+CP3771+CR3771+CT3771</f>
        <v>0</v>
      </c>
      <c r="CV3771" s="76"/>
      <c r="CW3771" s="76">
        <f>+CV3771*1100</f>
        <v>0</v>
      </c>
      <c r="CX3771" s="76"/>
      <c r="CY3771" s="76">
        <f>+CX3771*106250</f>
        <v>0</v>
      </c>
      <c r="CZ3771" s="76"/>
      <c r="DA3771" s="76">
        <f>+CZ3771*34500</f>
        <v>0</v>
      </c>
      <c r="DB3771" s="76"/>
      <c r="DC3771" s="76">
        <f>+DB3771*25000</f>
        <v>0</v>
      </c>
      <c r="DD3771" s="219"/>
      <c r="DE3771" s="219"/>
      <c r="DF3771" s="166"/>
      <c r="DG3771" s="116"/>
      <c r="DH3771" s="117"/>
      <c r="DI3771" s="24"/>
      <c r="DJ3771" s="24"/>
      <c r="DK3771" s="24"/>
      <c r="DL3771" s="24"/>
      <c r="DM3771" s="24"/>
      <c r="DN3771" s="24"/>
      <c r="DO3771" s="24"/>
      <c r="DP3771" s="24"/>
      <c r="DQ3771" s="24"/>
      <c r="DR3771" s="24"/>
      <c r="DS3771" s="24"/>
      <c r="DT3771" s="24"/>
      <c r="DU3771" s="24"/>
    </row>
    <row r="3772" spans="1:125" s="8" customFormat="1" ht="84" x14ac:dyDescent="0.2">
      <c r="A3772" s="77">
        <v>41608</v>
      </c>
      <c r="B3772" s="352" t="s">
        <v>2860</v>
      </c>
      <c r="C3772" s="354" t="s">
        <v>2173</v>
      </c>
      <c r="D3772" s="354" t="s">
        <v>3088</v>
      </c>
      <c r="E3772" s="75" t="str">
        <f>VLOOKUP(B3772&amp;C3772,Divipola!$C$2:$F$1138,4,FALSE)</f>
        <v>63470</v>
      </c>
      <c r="F3772" s="87"/>
      <c r="G3772" s="87"/>
      <c r="H3772" s="87"/>
      <c r="I3772" s="87"/>
      <c r="J3772" s="87"/>
      <c r="K3772" s="87"/>
      <c r="L3772" s="87"/>
      <c r="M3772" s="87">
        <v>1</v>
      </c>
      <c r="N3772" s="87"/>
      <c r="O3772" s="87"/>
      <c r="P3772" s="87"/>
      <c r="Q3772" s="87"/>
      <c r="R3772" s="87"/>
      <c r="S3772" s="87"/>
      <c r="T3772" s="87"/>
      <c r="U3772" s="88"/>
      <c r="V3772" s="89"/>
      <c r="W3772" s="96">
        <v>0</v>
      </c>
      <c r="X3772" s="71">
        <f>CU3772</f>
        <v>0</v>
      </c>
      <c r="Y3772" s="71">
        <f>CY3772</f>
        <v>0</v>
      </c>
      <c r="Z3772" s="71">
        <f>DA3772+DC3772+DE3772</f>
        <v>0</v>
      </c>
      <c r="AA3772" s="71">
        <f>CW3772</f>
        <v>0</v>
      </c>
      <c r="AB3772" s="71"/>
      <c r="AC3772" s="71">
        <v>0</v>
      </c>
      <c r="AD3772" s="71">
        <f>W3772+X3772+Y3772+Z3772+AA3772+AB3772+AC3772</f>
        <v>0</v>
      </c>
      <c r="AE3772" s="72">
        <v>0</v>
      </c>
      <c r="AF3772" s="5"/>
      <c r="AG3772" s="6"/>
      <c r="AH3772" s="27"/>
      <c r="AI3772" s="44"/>
      <c r="AJ3772" s="26"/>
      <c r="AK3772" s="5"/>
      <c r="AL3772" s="82" t="s">
        <v>6806</v>
      </c>
      <c r="AM3772" s="76"/>
      <c r="AN3772" s="76"/>
      <c r="AO3772" s="76"/>
      <c r="AP3772" s="76"/>
      <c r="AQ3772" s="76"/>
      <c r="AR3772" s="76"/>
      <c r="AS3772" s="76"/>
      <c r="AT3772" s="76"/>
      <c r="AU3772" s="76"/>
      <c r="AV3772" s="76"/>
      <c r="AW3772" s="76"/>
      <c r="AX3772" s="76">
        <f>+AW3772*600000</f>
        <v>0</v>
      </c>
      <c r="AY3772" s="76"/>
      <c r="AZ3772" s="76">
        <f>+AY3772*70000</f>
        <v>0</v>
      </c>
      <c r="BA3772" s="76"/>
      <c r="BB3772" s="76"/>
      <c r="BC3772" s="76"/>
      <c r="BD3772" s="76">
        <f>+BC3772*30000</f>
        <v>0</v>
      </c>
      <c r="BE3772" s="76"/>
      <c r="BF3772" s="76"/>
      <c r="BG3772" s="76"/>
      <c r="BH3772" s="76"/>
      <c r="BI3772" s="76"/>
      <c r="BJ3772" s="76"/>
      <c r="BK3772" s="76"/>
      <c r="BL3772" s="76">
        <f>+BK3772*31500</f>
        <v>0</v>
      </c>
      <c r="BM3772" s="76"/>
      <c r="BN3772" s="76"/>
      <c r="BO3772" s="76"/>
      <c r="BP3772" s="76"/>
      <c r="BQ3772" s="76"/>
      <c r="BR3772" s="76"/>
      <c r="BS3772" s="76"/>
      <c r="BT3772" s="76"/>
      <c r="BU3772" s="76"/>
      <c r="BV3772" s="76"/>
      <c r="BW3772" s="76"/>
      <c r="BX3772" s="76"/>
      <c r="BY3772" s="76"/>
      <c r="BZ3772" s="76"/>
      <c r="CA3772" s="76"/>
      <c r="CB3772" s="76"/>
      <c r="CC3772" s="76"/>
      <c r="CD3772" s="76"/>
      <c r="CE3772" s="76"/>
      <c r="CF3772" s="76">
        <f>+CE3772*28000</f>
        <v>0</v>
      </c>
      <c r="CG3772" s="76"/>
      <c r="CH3772" s="76">
        <f>+CG3772*22500</f>
        <v>0</v>
      </c>
      <c r="CI3772" s="76"/>
      <c r="CJ3772" s="76">
        <f>+CI3772*26000</f>
        <v>0</v>
      </c>
      <c r="CK3772" s="76"/>
      <c r="CL3772" s="76"/>
      <c r="CM3772" s="76"/>
      <c r="CN3772" s="76">
        <f>+CM3772*22000</f>
        <v>0</v>
      </c>
      <c r="CO3772" s="76"/>
      <c r="CP3772" s="76">
        <f>+CO3772*46000</f>
        <v>0</v>
      </c>
      <c r="CQ3772" s="76"/>
      <c r="CR3772" s="76">
        <f>+CQ3772*49000</f>
        <v>0</v>
      </c>
      <c r="CS3772" s="76"/>
      <c r="CT3772" s="76"/>
      <c r="CU3772" s="56">
        <f>AN3772+AP3772+AR3772+AT3772+AV3772+AX3772+AZ3772+BB3772+BD3772+BF3772+BH3772+BJ3772+BL3772+BN3772+BP3772+BR3772+BT3772+BV3772+BX3772+BZ3772+CB3772+CD3772+CF3772+CH3772+CJ3772+CL3772+CN3772+CP3772+CR3772+CT3772</f>
        <v>0</v>
      </c>
      <c r="CV3772" s="76"/>
      <c r="CW3772" s="76">
        <f>+CV3772*1100</f>
        <v>0</v>
      </c>
      <c r="CX3772" s="76"/>
      <c r="CY3772" s="76">
        <f>+CX3772*106250</f>
        <v>0</v>
      </c>
      <c r="CZ3772" s="76"/>
      <c r="DA3772" s="76">
        <f>+CZ3772*34500</f>
        <v>0</v>
      </c>
      <c r="DB3772" s="76"/>
      <c r="DC3772" s="76">
        <f>+DB3772*25000</f>
        <v>0</v>
      </c>
      <c r="DD3772" s="219"/>
      <c r="DE3772" s="219"/>
      <c r="DF3772" s="166"/>
      <c r="DG3772" s="116"/>
      <c r="DH3772" s="117"/>
      <c r="DI3772" s="24"/>
      <c r="DJ3772" s="24"/>
      <c r="DK3772" s="24"/>
      <c r="DL3772" s="24"/>
      <c r="DM3772" s="24"/>
      <c r="DN3772" s="24"/>
      <c r="DO3772" s="24"/>
      <c r="DP3772" s="24"/>
      <c r="DQ3772" s="24"/>
      <c r="DR3772" s="24"/>
      <c r="DS3772" s="24"/>
      <c r="DT3772" s="24"/>
      <c r="DU3772" s="24"/>
    </row>
    <row r="3773" spans="1:125" s="8" customFormat="1" ht="120" x14ac:dyDescent="0.2">
      <c r="A3773" s="77">
        <v>41608</v>
      </c>
      <c r="B3773" s="352" t="s">
        <v>2196</v>
      </c>
      <c r="C3773" s="354" t="s">
        <v>508</v>
      </c>
      <c r="D3773" s="354" t="s">
        <v>3088</v>
      </c>
      <c r="E3773" s="75" t="str">
        <f>VLOOKUP(B3773&amp;C3773,Divipola!$C$2:$F$1138,4,FALSE)</f>
        <v>17001</v>
      </c>
      <c r="F3773" s="87"/>
      <c r="G3773" s="87">
        <v>16</v>
      </c>
      <c r="H3773" s="87"/>
      <c r="I3773" s="87">
        <v>16</v>
      </c>
      <c r="J3773" s="87"/>
      <c r="K3773" s="87"/>
      <c r="L3773" s="87"/>
      <c r="M3773" s="87"/>
      <c r="N3773" s="87"/>
      <c r="O3773" s="87"/>
      <c r="P3773" s="87"/>
      <c r="Q3773" s="87"/>
      <c r="R3773" s="87"/>
      <c r="S3773" s="87"/>
      <c r="T3773" s="87"/>
      <c r="U3773" s="88"/>
      <c r="V3773" s="89"/>
      <c r="W3773" s="96">
        <v>0</v>
      </c>
      <c r="X3773" s="71">
        <f>CU3773</f>
        <v>0</v>
      </c>
      <c r="Y3773" s="71">
        <f>CY3773</f>
        <v>0</v>
      </c>
      <c r="Z3773" s="71">
        <f>DA3773+DC3773+DE3773</f>
        <v>0</v>
      </c>
      <c r="AA3773" s="71">
        <f>CW3773</f>
        <v>0</v>
      </c>
      <c r="AB3773" s="71"/>
      <c r="AC3773" s="71">
        <v>0</v>
      </c>
      <c r="AD3773" s="71">
        <f>W3773+X3773+Y3773+Z3773+AA3773+AB3773+AC3773</f>
        <v>0</v>
      </c>
      <c r="AE3773" s="72">
        <v>0</v>
      </c>
      <c r="AF3773" s="5"/>
      <c r="AG3773" s="6"/>
      <c r="AH3773" s="27"/>
      <c r="AI3773" s="44"/>
      <c r="AJ3773" s="26"/>
      <c r="AK3773" s="5"/>
      <c r="AL3773" s="82" t="s">
        <v>6808</v>
      </c>
      <c r="AM3773" s="76"/>
      <c r="AN3773" s="76"/>
      <c r="AO3773" s="76"/>
      <c r="AP3773" s="76"/>
      <c r="AQ3773" s="76"/>
      <c r="AR3773" s="76"/>
      <c r="AS3773" s="76"/>
      <c r="AT3773" s="76"/>
      <c r="AU3773" s="76"/>
      <c r="AV3773" s="76"/>
      <c r="AW3773" s="76"/>
      <c r="AX3773" s="76">
        <f>+AW3773*600000</f>
        <v>0</v>
      </c>
      <c r="AY3773" s="76"/>
      <c r="AZ3773" s="76">
        <f>+AY3773*70000</f>
        <v>0</v>
      </c>
      <c r="BA3773" s="76"/>
      <c r="BB3773" s="76"/>
      <c r="BC3773" s="76"/>
      <c r="BD3773" s="76">
        <f>+BC3773*30000</f>
        <v>0</v>
      </c>
      <c r="BE3773" s="76"/>
      <c r="BF3773" s="76"/>
      <c r="BG3773" s="76"/>
      <c r="BH3773" s="76"/>
      <c r="BI3773" s="76"/>
      <c r="BJ3773" s="76"/>
      <c r="BK3773" s="76"/>
      <c r="BL3773" s="76">
        <f>+BK3773*31500</f>
        <v>0</v>
      </c>
      <c r="BM3773" s="76"/>
      <c r="BN3773" s="76"/>
      <c r="BO3773" s="76"/>
      <c r="BP3773" s="76"/>
      <c r="BQ3773" s="76"/>
      <c r="BR3773" s="76"/>
      <c r="BS3773" s="76"/>
      <c r="BT3773" s="76"/>
      <c r="BU3773" s="76"/>
      <c r="BV3773" s="76"/>
      <c r="BW3773" s="76"/>
      <c r="BX3773" s="76"/>
      <c r="BY3773" s="76"/>
      <c r="BZ3773" s="76"/>
      <c r="CA3773" s="76"/>
      <c r="CB3773" s="76"/>
      <c r="CC3773" s="76"/>
      <c r="CD3773" s="76"/>
      <c r="CE3773" s="76"/>
      <c r="CF3773" s="76">
        <f>+CE3773*28000</f>
        <v>0</v>
      </c>
      <c r="CG3773" s="76"/>
      <c r="CH3773" s="76">
        <f>+CG3773*22500</f>
        <v>0</v>
      </c>
      <c r="CI3773" s="76"/>
      <c r="CJ3773" s="76">
        <f>+CI3773*26000</f>
        <v>0</v>
      </c>
      <c r="CK3773" s="76"/>
      <c r="CL3773" s="76"/>
      <c r="CM3773" s="76"/>
      <c r="CN3773" s="76">
        <f>+CM3773*22000</f>
        <v>0</v>
      </c>
      <c r="CO3773" s="76"/>
      <c r="CP3773" s="76">
        <f>+CO3773*46000</f>
        <v>0</v>
      </c>
      <c r="CQ3773" s="76"/>
      <c r="CR3773" s="76">
        <f>+CQ3773*49000</f>
        <v>0</v>
      </c>
      <c r="CS3773" s="76"/>
      <c r="CT3773" s="76"/>
      <c r="CU3773" s="56">
        <f>AN3773+AP3773+AR3773+AT3773+AV3773+AX3773+AZ3773+BB3773+BD3773+BF3773+BH3773+BJ3773+BL3773+BN3773+BP3773+BR3773+BT3773+BV3773+BX3773+BZ3773+CB3773+CD3773+CF3773+CH3773+CJ3773+CL3773+CN3773+CP3773+CR3773+CT3773</f>
        <v>0</v>
      </c>
      <c r="CV3773" s="76"/>
      <c r="CW3773" s="76">
        <f>+CV3773*1100</f>
        <v>0</v>
      </c>
      <c r="CX3773" s="76"/>
      <c r="CY3773" s="76">
        <f>+CX3773*106250</f>
        <v>0</v>
      </c>
      <c r="CZ3773" s="76"/>
      <c r="DA3773" s="76">
        <f>+CZ3773*34500</f>
        <v>0</v>
      </c>
      <c r="DB3773" s="76"/>
      <c r="DC3773" s="76">
        <f>+DB3773*25000</f>
        <v>0</v>
      </c>
      <c r="DD3773" s="219"/>
      <c r="DE3773" s="219"/>
      <c r="DF3773" s="166"/>
      <c r="DG3773" s="116"/>
      <c r="DH3773" s="117"/>
      <c r="DI3773" s="24"/>
      <c r="DJ3773" s="24"/>
      <c r="DK3773" s="24"/>
      <c r="DL3773" s="24"/>
      <c r="DM3773" s="24"/>
      <c r="DN3773" s="24"/>
      <c r="DO3773" s="24"/>
      <c r="DP3773" s="24"/>
      <c r="DQ3773" s="24"/>
      <c r="DR3773" s="24"/>
      <c r="DS3773" s="24"/>
      <c r="DT3773" s="24"/>
      <c r="DU3773" s="24"/>
    </row>
    <row r="3774" spans="1:125" s="8" customFormat="1" ht="84" x14ac:dyDescent="0.2">
      <c r="A3774" s="77">
        <v>41609</v>
      </c>
      <c r="B3774" s="78" t="s">
        <v>2894</v>
      </c>
      <c r="C3774" s="75" t="s">
        <v>2126</v>
      </c>
      <c r="D3774" s="75" t="s">
        <v>3051</v>
      </c>
      <c r="E3774" s="75" t="str">
        <f>VLOOKUP(B3774&amp;C3774,Divipola!$C$2:$F$1138,4,FALSE)</f>
        <v>05861</v>
      </c>
      <c r="F3774" s="87"/>
      <c r="G3774" s="87"/>
      <c r="H3774" s="87"/>
      <c r="I3774" s="87">
        <v>1500</v>
      </c>
      <c r="J3774" s="87">
        <v>300</v>
      </c>
      <c r="K3774" s="87"/>
      <c r="L3774" s="87">
        <v>300</v>
      </c>
      <c r="M3774" s="87"/>
      <c r="N3774" s="87"/>
      <c r="O3774" s="87"/>
      <c r="P3774" s="87"/>
      <c r="Q3774" s="87"/>
      <c r="R3774" s="87"/>
      <c r="S3774" s="87"/>
      <c r="T3774" s="87"/>
      <c r="U3774" s="88"/>
      <c r="V3774" s="89"/>
      <c r="W3774" s="96">
        <v>0</v>
      </c>
      <c r="X3774" s="71">
        <f>CU3774</f>
        <v>0</v>
      </c>
      <c r="Y3774" s="71">
        <f>CY3774</f>
        <v>0</v>
      </c>
      <c r="Z3774" s="71">
        <f>DA3774+DC3774+DE3774</f>
        <v>0</v>
      </c>
      <c r="AA3774" s="71">
        <f>CW3774</f>
        <v>0</v>
      </c>
      <c r="AB3774" s="71"/>
      <c r="AC3774" s="71">
        <v>0</v>
      </c>
      <c r="AD3774" s="71">
        <f>W3774+X3774+Y3774+Z3774+AA3774+AB3774+AC3774</f>
        <v>0</v>
      </c>
      <c r="AE3774" s="72">
        <v>0</v>
      </c>
      <c r="AF3774" s="5"/>
      <c r="AG3774" s="6"/>
      <c r="AH3774" s="27"/>
      <c r="AI3774" s="44"/>
      <c r="AJ3774" s="26"/>
      <c r="AK3774" s="5"/>
      <c r="AL3774" s="82" t="s">
        <v>6810</v>
      </c>
      <c r="AM3774" s="76"/>
      <c r="AN3774" s="76"/>
      <c r="AO3774" s="76"/>
      <c r="AP3774" s="76"/>
      <c r="AQ3774" s="76"/>
      <c r="AR3774" s="76"/>
      <c r="AS3774" s="76"/>
      <c r="AT3774" s="76"/>
      <c r="AU3774" s="76"/>
      <c r="AV3774" s="76"/>
      <c r="AW3774" s="76"/>
      <c r="AX3774" s="76">
        <f>+AW3774*600000</f>
        <v>0</v>
      </c>
      <c r="AY3774" s="76"/>
      <c r="AZ3774" s="76">
        <f>+AY3774*70000</f>
        <v>0</v>
      </c>
      <c r="BA3774" s="76"/>
      <c r="BB3774" s="76"/>
      <c r="BC3774" s="76"/>
      <c r="BD3774" s="76">
        <f>+BC3774*30000</f>
        <v>0</v>
      </c>
      <c r="BE3774" s="76"/>
      <c r="BF3774" s="76"/>
      <c r="BG3774" s="76"/>
      <c r="BH3774" s="76"/>
      <c r="BI3774" s="76"/>
      <c r="BJ3774" s="76"/>
      <c r="BK3774" s="76"/>
      <c r="BL3774" s="76">
        <f>+BK3774*31500</f>
        <v>0</v>
      </c>
      <c r="BM3774" s="76"/>
      <c r="BN3774" s="76"/>
      <c r="BO3774" s="76"/>
      <c r="BP3774" s="76"/>
      <c r="BQ3774" s="76"/>
      <c r="BR3774" s="76"/>
      <c r="BS3774" s="76"/>
      <c r="BT3774" s="76"/>
      <c r="BU3774" s="76"/>
      <c r="BV3774" s="76"/>
      <c r="BW3774" s="76"/>
      <c r="BX3774" s="76"/>
      <c r="BY3774" s="76"/>
      <c r="BZ3774" s="76"/>
      <c r="CA3774" s="76"/>
      <c r="CB3774" s="76"/>
      <c r="CC3774" s="76"/>
      <c r="CD3774" s="76"/>
      <c r="CE3774" s="76"/>
      <c r="CF3774" s="76">
        <f>+CE3774*28000</f>
        <v>0</v>
      </c>
      <c r="CG3774" s="76"/>
      <c r="CH3774" s="76">
        <f>+CG3774*22500</f>
        <v>0</v>
      </c>
      <c r="CI3774" s="76"/>
      <c r="CJ3774" s="76">
        <f>+CI3774*26000</f>
        <v>0</v>
      </c>
      <c r="CK3774" s="76"/>
      <c r="CL3774" s="76"/>
      <c r="CM3774" s="76"/>
      <c r="CN3774" s="76">
        <f>+CM3774*22000</f>
        <v>0</v>
      </c>
      <c r="CO3774" s="76"/>
      <c r="CP3774" s="76">
        <f>+CO3774*46000</f>
        <v>0</v>
      </c>
      <c r="CQ3774" s="76"/>
      <c r="CR3774" s="76">
        <f>+CQ3774*49000</f>
        <v>0</v>
      </c>
      <c r="CS3774" s="76"/>
      <c r="CT3774" s="76"/>
      <c r="CU3774" s="56">
        <f>AN3774+AP3774+AR3774+AT3774+AV3774+AX3774+AZ3774+BB3774+BD3774+BF3774+BH3774+BJ3774+BL3774+BN3774+BP3774+BR3774+BT3774+BV3774+BX3774+BZ3774+CB3774+CD3774+CF3774+CH3774+CJ3774+CL3774+CN3774+CP3774+CR3774+CT3774</f>
        <v>0</v>
      </c>
      <c r="CV3774" s="76"/>
      <c r="CW3774" s="76">
        <f>+CV3774*1100</f>
        <v>0</v>
      </c>
      <c r="CX3774" s="76"/>
      <c r="CY3774" s="76">
        <f>+CX3774*106250</f>
        <v>0</v>
      </c>
      <c r="CZ3774" s="76"/>
      <c r="DA3774" s="76">
        <f>+CZ3774*34500</f>
        <v>0</v>
      </c>
      <c r="DB3774" s="76"/>
      <c r="DC3774" s="76">
        <f>+DB3774*25000</f>
        <v>0</v>
      </c>
      <c r="DD3774" s="219"/>
      <c r="DE3774" s="219"/>
      <c r="DF3774" s="166"/>
      <c r="DG3774" s="116"/>
      <c r="DH3774" s="117"/>
      <c r="DI3774" s="24"/>
      <c r="DJ3774" s="24"/>
      <c r="DK3774" s="24"/>
      <c r="DL3774" s="24"/>
      <c r="DM3774" s="24"/>
      <c r="DN3774" s="24"/>
      <c r="DO3774" s="24"/>
      <c r="DP3774" s="24"/>
      <c r="DQ3774" s="24"/>
      <c r="DR3774" s="24"/>
      <c r="DS3774" s="24"/>
      <c r="DT3774" s="24"/>
      <c r="DU3774" s="24"/>
    </row>
    <row r="3775" spans="1:125" s="8" customFormat="1" ht="60" x14ac:dyDescent="0.2">
      <c r="A3775" s="77">
        <v>41609</v>
      </c>
      <c r="B3775" s="352" t="s">
        <v>2860</v>
      </c>
      <c r="C3775" s="354" t="s">
        <v>2090</v>
      </c>
      <c r="D3775" s="354" t="s">
        <v>3088</v>
      </c>
      <c r="E3775" s="75" t="str">
        <f>VLOOKUP(B3775&amp;C3775,Divipola!$C$2:$F$1138,4,FALSE)</f>
        <v>63548</v>
      </c>
      <c r="F3775" s="87"/>
      <c r="G3775" s="87"/>
      <c r="H3775" s="87"/>
      <c r="I3775" s="87"/>
      <c r="J3775" s="87"/>
      <c r="K3775" s="87"/>
      <c r="L3775" s="87"/>
      <c r="M3775" s="87">
        <v>1</v>
      </c>
      <c r="N3775" s="87"/>
      <c r="O3775" s="87"/>
      <c r="P3775" s="87"/>
      <c r="Q3775" s="87"/>
      <c r="R3775" s="87"/>
      <c r="S3775" s="87"/>
      <c r="T3775" s="87"/>
      <c r="U3775" s="88"/>
      <c r="V3775" s="89"/>
      <c r="W3775" s="96">
        <v>0</v>
      </c>
      <c r="X3775" s="71">
        <f>CU3775</f>
        <v>0</v>
      </c>
      <c r="Y3775" s="71">
        <f>CY3775</f>
        <v>0</v>
      </c>
      <c r="Z3775" s="71">
        <f>DA3775+DC3775+DE3775</f>
        <v>0</v>
      </c>
      <c r="AA3775" s="71">
        <f>CW3775</f>
        <v>0</v>
      </c>
      <c r="AB3775" s="71"/>
      <c r="AC3775" s="71">
        <v>0</v>
      </c>
      <c r="AD3775" s="71">
        <f>W3775+X3775+Y3775+Z3775+AA3775+AB3775+AC3775</f>
        <v>0</v>
      </c>
      <c r="AE3775" s="72">
        <v>0</v>
      </c>
      <c r="AF3775" s="5"/>
      <c r="AG3775" s="6"/>
      <c r="AH3775" s="27"/>
      <c r="AI3775" s="44"/>
      <c r="AJ3775" s="26"/>
      <c r="AK3775" s="5"/>
      <c r="AL3775" s="82" t="s">
        <v>6811</v>
      </c>
      <c r="AM3775" s="76"/>
      <c r="AN3775" s="76"/>
      <c r="AO3775" s="76"/>
      <c r="AP3775" s="76"/>
      <c r="AQ3775" s="76"/>
      <c r="AR3775" s="76"/>
      <c r="AS3775" s="76"/>
      <c r="AT3775" s="76"/>
      <c r="AU3775" s="76"/>
      <c r="AV3775" s="76"/>
      <c r="AW3775" s="76"/>
      <c r="AX3775" s="76">
        <f>+AW3775*600000</f>
        <v>0</v>
      </c>
      <c r="AY3775" s="76"/>
      <c r="AZ3775" s="76">
        <f>+AY3775*70000</f>
        <v>0</v>
      </c>
      <c r="BA3775" s="76"/>
      <c r="BB3775" s="76"/>
      <c r="BC3775" s="76"/>
      <c r="BD3775" s="76">
        <f>+BC3775*30000</f>
        <v>0</v>
      </c>
      <c r="BE3775" s="76"/>
      <c r="BF3775" s="76"/>
      <c r="BG3775" s="76"/>
      <c r="BH3775" s="76"/>
      <c r="BI3775" s="76"/>
      <c r="BJ3775" s="76"/>
      <c r="BK3775" s="76"/>
      <c r="BL3775" s="76">
        <f>+BK3775*31500</f>
        <v>0</v>
      </c>
      <c r="BM3775" s="76"/>
      <c r="BN3775" s="76"/>
      <c r="BO3775" s="76"/>
      <c r="BP3775" s="76"/>
      <c r="BQ3775" s="76"/>
      <c r="BR3775" s="76"/>
      <c r="BS3775" s="76"/>
      <c r="BT3775" s="76"/>
      <c r="BU3775" s="76"/>
      <c r="BV3775" s="76"/>
      <c r="BW3775" s="76"/>
      <c r="BX3775" s="76"/>
      <c r="BY3775" s="76"/>
      <c r="BZ3775" s="76"/>
      <c r="CA3775" s="76"/>
      <c r="CB3775" s="76"/>
      <c r="CC3775" s="76"/>
      <c r="CD3775" s="76"/>
      <c r="CE3775" s="76"/>
      <c r="CF3775" s="76">
        <f>+CE3775*28000</f>
        <v>0</v>
      </c>
      <c r="CG3775" s="76"/>
      <c r="CH3775" s="76">
        <f>+CG3775*22500</f>
        <v>0</v>
      </c>
      <c r="CI3775" s="76"/>
      <c r="CJ3775" s="76">
        <f>+CI3775*26000</f>
        <v>0</v>
      </c>
      <c r="CK3775" s="76"/>
      <c r="CL3775" s="76"/>
      <c r="CM3775" s="76"/>
      <c r="CN3775" s="76">
        <f>+CM3775*22000</f>
        <v>0</v>
      </c>
      <c r="CO3775" s="76"/>
      <c r="CP3775" s="76">
        <f>+CO3775*46000</f>
        <v>0</v>
      </c>
      <c r="CQ3775" s="76"/>
      <c r="CR3775" s="76">
        <f>+CQ3775*49000</f>
        <v>0</v>
      </c>
      <c r="CS3775" s="76"/>
      <c r="CT3775" s="76"/>
      <c r="CU3775" s="56">
        <f>AN3775+AP3775+AR3775+AT3775+AV3775+AX3775+AZ3775+BB3775+BD3775+BF3775+BH3775+BJ3775+BL3775+BN3775+BP3775+BR3775+BT3775+BV3775+BX3775+BZ3775+CB3775+CD3775+CF3775+CH3775+CJ3775+CL3775+CN3775+CP3775+CR3775+CT3775</f>
        <v>0</v>
      </c>
      <c r="CV3775" s="76"/>
      <c r="CW3775" s="76">
        <f>+CV3775*1100</f>
        <v>0</v>
      </c>
      <c r="CX3775" s="76"/>
      <c r="CY3775" s="76">
        <f>+CX3775*106250</f>
        <v>0</v>
      </c>
      <c r="CZ3775" s="76"/>
      <c r="DA3775" s="76">
        <f>+CZ3775*34500</f>
        <v>0</v>
      </c>
      <c r="DB3775" s="76"/>
      <c r="DC3775" s="76">
        <f>+DB3775*25000</f>
        <v>0</v>
      </c>
      <c r="DD3775" s="219"/>
      <c r="DE3775" s="219"/>
      <c r="DF3775" s="166"/>
      <c r="DG3775" s="116"/>
      <c r="DH3775" s="117"/>
      <c r="DI3775" s="24"/>
      <c r="DJ3775" s="24"/>
      <c r="DK3775" s="24"/>
      <c r="DL3775" s="24"/>
      <c r="DM3775" s="24"/>
      <c r="DN3775" s="24"/>
      <c r="DO3775" s="24"/>
      <c r="DP3775" s="24"/>
      <c r="DQ3775" s="24"/>
      <c r="DR3775" s="24"/>
      <c r="DS3775" s="24"/>
      <c r="DT3775" s="24"/>
      <c r="DU3775" s="24"/>
    </row>
    <row r="3776" spans="1:125" s="8" customFormat="1" ht="60" x14ac:dyDescent="0.2">
      <c r="A3776" s="77">
        <v>41609</v>
      </c>
      <c r="B3776" s="352" t="s">
        <v>2860</v>
      </c>
      <c r="C3776" s="354" t="s">
        <v>2718</v>
      </c>
      <c r="D3776" s="354" t="s">
        <v>3088</v>
      </c>
      <c r="E3776" s="75" t="str">
        <f>VLOOKUP(B3776&amp;C3776,Divipola!$C$2:$F$1138,4,FALSE)</f>
        <v>63212</v>
      </c>
      <c r="F3776" s="87"/>
      <c r="G3776" s="87"/>
      <c r="H3776" s="87"/>
      <c r="I3776" s="87"/>
      <c r="J3776" s="87"/>
      <c r="K3776" s="87"/>
      <c r="L3776" s="87"/>
      <c r="M3776" s="87">
        <v>1</v>
      </c>
      <c r="N3776" s="87"/>
      <c r="O3776" s="87"/>
      <c r="P3776" s="87"/>
      <c r="Q3776" s="87"/>
      <c r="R3776" s="87"/>
      <c r="S3776" s="87"/>
      <c r="T3776" s="87"/>
      <c r="U3776" s="88"/>
      <c r="V3776" s="89"/>
      <c r="W3776" s="96">
        <v>0</v>
      </c>
      <c r="X3776" s="71">
        <f>CU3776</f>
        <v>0</v>
      </c>
      <c r="Y3776" s="71">
        <f>CY3776</f>
        <v>0</v>
      </c>
      <c r="Z3776" s="71">
        <f>DA3776+DC3776+DE3776</f>
        <v>0</v>
      </c>
      <c r="AA3776" s="71">
        <f>CW3776</f>
        <v>0</v>
      </c>
      <c r="AB3776" s="71"/>
      <c r="AC3776" s="71">
        <v>0</v>
      </c>
      <c r="AD3776" s="71">
        <f>W3776+X3776+Y3776+Z3776+AA3776+AB3776+AC3776</f>
        <v>0</v>
      </c>
      <c r="AE3776" s="72">
        <v>0</v>
      </c>
      <c r="AF3776" s="5"/>
      <c r="AG3776" s="6"/>
      <c r="AH3776" s="27"/>
      <c r="AI3776" s="44"/>
      <c r="AJ3776" s="26"/>
      <c r="AK3776" s="5"/>
      <c r="AL3776" s="82" t="s">
        <v>6812</v>
      </c>
      <c r="AM3776" s="76"/>
      <c r="AN3776" s="76"/>
      <c r="AO3776" s="76"/>
      <c r="AP3776" s="76"/>
      <c r="AQ3776" s="76"/>
      <c r="AR3776" s="76"/>
      <c r="AS3776" s="76"/>
      <c r="AT3776" s="76"/>
      <c r="AU3776" s="76"/>
      <c r="AV3776" s="76"/>
      <c r="AW3776" s="76"/>
      <c r="AX3776" s="76">
        <f>+AW3776*600000</f>
        <v>0</v>
      </c>
      <c r="AY3776" s="76"/>
      <c r="AZ3776" s="76">
        <f>+AY3776*70000</f>
        <v>0</v>
      </c>
      <c r="BA3776" s="76"/>
      <c r="BB3776" s="76"/>
      <c r="BC3776" s="76"/>
      <c r="BD3776" s="76">
        <f>+BC3776*30000</f>
        <v>0</v>
      </c>
      <c r="BE3776" s="76"/>
      <c r="BF3776" s="76"/>
      <c r="BG3776" s="76"/>
      <c r="BH3776" s="76"/>
      <c r="BI3776" s="76"/>
      <c r="BJ3776" s="76"/>
      <c r="BK3776" s="76"/>
      <c r="BL3776" s="76">
        <f>+BK3776*31500</f>
        <v>0</v>
      </c>
      <c r="BM3776" s="76"/>
      <c r="BN3776" s="76"/>
      <c r="BO3776" s="76"/>
      <c r="BP3776" s="76"/>
      <c r="BQ3776" s="76"/>
      <c r="BR3776" s="76"/>
      <c r="BS3776" s="76"/>
      <c r="BT3776" s="76"/>
      <c r="BU3776" s="76"/>
      <c r="BV3776" s="76"/>
      <c r="BW3776" s="76"/>
      <c r="BX3776" s="76"/>
      <c r="BY3776" s="76"/>
      <c r="BZ3776" s="76"/>
      <c r="CA3776" s="76"/>
      <c r="CB3776" s="76"/>
      <c r="CC3776" s="76"/>
      <c r="CD3776" s="76"/>
      <c r="CE3776" s="76"/>
      <c r="CF3776" s="76">
        <f>+CE3776*28000</f>
        <v>0</v>
      </c>
      <c r="CG3776" s="76"/>
      <c r="CH3776" s="76">
        <f>+CG3776*22500</f>
        <v>0</v>
      </c>
      <c r="CI3776" s="76"/>
      <c r="CJ3776" s="76">
        <f>+CI3776*26000</f>
        <v>0</v>
      </c>
      <c r="CK3776" s="76"/>
      <c r="CL3776" s="76"/>
      <c r="CM3776" s="76"/>
      <c r="CN3776" s="76">
        <f>+CM3776*22000</f>
        <v>0</v>
      </c>
      <c r="CO3776" s="76"/>
      <c r="CP3776" s="76">
        <f>+CO3776*46000</f>
        <v>0</v>
      </c>
      <c r="CQ3776" s="76"/>
      <c r="CR3776" s="76">
        <f>+CQ3776*49000</f>
        <v>0</v>
      </c>
      <c r="CS3776" s="76"/>
      <c r="CT3776" s="76"/>
      <c r="CU3776" s="56">
        <f>AN3776+AP3776+AR3776+AT3776+AV3776+AX3776+AZ3776+BB3776+BD3776+BF3776+BH3776+BJ3776+BL3776+BN3776+BP3776+BR3776+BT3776+BV3776+BX3776+BZ3776+CB3776+CD3776+CF3776+CH3776+CJ3776+CL3776+CN3776+CP3776+CR3776+CT3776</f>
        <v>0</v>
      </c>
      <c r="CV3776" s="76"/>
      <c r="CW3776" s="76">
        <f>+CV3776*1100</f>
        <v>0</v>
      </c>
      <c r="CX3776" s="76"/>
      <c r="CY3776" s="76">
        <f>+CX3776*106250</f>
        <v>0</v>
      </c>
      <c r="CZ3776" s="76"/>
      <c r="DA3776" s="76">
        <f>+CZ3776*34500</f>
        <v>0</v>
      </c>
      <c r="DB3776" s="76"/>
      <c r="DC3776" s="76">
        <f>+DB3776*25000</f>
        <v>0</v>
      </c>
      <c r="DD3776" s="219"/>
      <c r="DE3776" s="219"/>
      <c r="DF3776" s="166"/>
      <c r="DG3776" s="116"/>
      <c r="DH3776" s="117"/>
      <c r="DI3776" s="24"/>
      <c r="DJ3776" s="24"/>
      <c r="DK3776" s="24"/>
      <c r="DL3776" s="24"/>
      <c r="DM3776" s="24"/>
      <c r="DN3776" s="24"/>
      <c r="DO3776" s="24"/>
      <c r="DP3776" s="24"/>
      <c r="DQ3776" s="24"/>
      <c r="DR3776" s="24"/>
      <c r="DS3776" s="24"/>
      <c r="DT3776" s="24"/>
      <c r="DU3776" s="24"/>
    </row>
    <row r="3777" spans="1:125" s="8" customFormat="1" ht="72" x14ac:dyDescent="0.2">
      <c r="A3777" s="77">
        <v>41609</v>
      </c>
      <c r="B3777" s="78" t="s">
        <v>2196</v>
      </c>
      <c r="C3777" s="75" t="s">
        <v>508</v>
      </c>
      <c r="D3777" s="75" t="s">
        <v>3088</v>
      </c>
      <c r="E3777" s="75" t="str">
        <f>VLOOKUP(B3777&amp;C3777,Divipola!$C$2:$F$1138,4,FALSE)</f>
        <v>17001</v>
      </c>
      <c r="F3777" s="87"/>
      <c r="G3777" s="87"/>
      <c r="H3777" s="87"/>
      <c r="I3777" s="87"/>
      <c r="J3777" s="87"/>
      <c r="K3777" s="87"/>
      <c r="L3777" s="87"/>
      <c r="M3777" s="87">
        <v>1</v>
      </c>
      <c r="N3777" s="87"/>
      <c r="O3777" s="87"/>
      <c r="P3777" s="87"/>
      <c r="Q3777" s="87"/>
      <c r="R3777" s="87"/>
      <c r="S3777" s="87"/>
      <c r="T3777" s="87"/>
      <c r="U3777" s="88"/>
      <c r="V3777" s="89"/>
      <c r="W3777" s="96">
        <v>0</v>
      </c>
      <c r="X3777" s="71">
        <f>CU3777</f>
        <v>0</v>
      </c>
      <c r="Y3777" s="71">
        <f>CY3777</f>
        <v>0</v>
      </c>
      <c r="Z3777" s="71">
        <f>DA3777+DC3777+DE3777</f>
        <v>0</v>
      </c>
      <c r="AA3777" s="71">
        <f>CW3777</f>
        <v>0</v>
      </c>
      <c r="AB3777" s="71"/>
      <c r="AC3777" s="71">
        <v>0</v>
      </c>
      <c r="AD3777" s="71">
        <f>W3777+X3777+Y3777+Z3777+AA3777+AB3777+AC3777</f>
        <v>0</v>
      </c>
      <c r="AE3777" s="72">
        <v>0</v>
      </c>
      <c r="AF3777" s="5"/>
      <c r="AG3777" s="6"/>
      <c r="AH3777" s="27"/>
      <c r="AI3777" s="44"/>
      <c r="AJ3777" s="26"/>
      <c r="AK3777" s="5"/>
      <c r="AL3777" s="82" t="s">
        <v>6813</v>
      </c>
      <c r="AM3777" s="76"/>
      <c r="AN3777" s="76"/>
      <c r="AO3777" s="76"/>
      <c r="AP3777" s="76"/>
      <c r="AQ3777" s="76"/>
      <c r="AR3777" s="76"/>
      <c r="AS3777" s="76"/>
      <c r="AT3777" s="76"/>
      <c r="AU3777" s="76"/>
      <c r="AV3777" s="76"/>
      <c r="AW3777" s="76"/>
      <c r="AX3777" s="76">
        <f>+AW3777*600000</f>
        <v>0</v>
      </c>
      <c r="AY3777" s="76"/>
      <c r="AZ3777" s="76">
        <f>+AY3777*70000</f>
        <v>0</v>
      </c>
      <c r="BA3777" s="76"/>
      <c r="BB3777" s="76"/>
      <c r="BC3777" s="76"/>
      <c r="BD3777" s="76">
        <f>+BC3777*30000</f>
        <v>0</v>
      </c>
      <c r="BE3777" s="76"/>
      <c r="BF3777" s="76"/>
      <c r="BG3777" s="76"/>
      <c r="BH3777" s="76"/>
      <c r="BI3777" s="76"/>
      <c r="BJ3777" s="76"/>
      <c r="BK3777" s="76"/>
      <c r="BL3777" s="76">
        <f>+BK3777*31500</f>
        <v>0</v>
      </c>
      <c r="BM3777" s="76"/>
      <c r="BN3777" s="76"/>
      <c r="BO3777" s="76"/>
      <c r="BP3777" s="76"/>
      <c r="BQ3777" s="76"/>
      <c r="BR3777" s="76"/>
      <c r="BS3777" s="76"/>
      <c r="BT3777" s="76"/>
      <c r="BU3777" s="76"/>
      <c r="BV3777" s="76"/>
      <c r="BW3777" s="76"/>
      <c r="BX3777" s="76"/>
      <c r="BY3777" s="76"/>
      <c r="BZ3777" s="76"/>
      <c r="CA3777" s="76"/>
      <c r="CB3777" s="76"/>
      <c r="CC3777" s="76"/>
      <c r="CD3777" s="76"/>
      <c r="CE3777" s="76"/>
      <c r="CF3777" s="76">
        <f>+CE3777*28000</f>
        <v>0</v>
      </c>
      <c r="CG3777" s="76"/>
      <c r="CH3777" s="76">
        <f>+CG3777*22500</f>
        <v>0</v>
      </c>
      <c r="CI3777" s="76"/>
      <c r="CJ3777" s="76">
        <f>+CI3777*26000</f>
        <v>0</v>
      </c>
      <c r="CK3777" s="76"/>
      <c r="CL3777" s="76"/>
      <c r="CM3777" s="76"/>
      <c r="CN3777" s="76">
        <f>+CM3777*22000</f>
        <v>0</v>
      </c>
      <c r="CO3777" s="76"/>
      <c r="CP3777" s="76">
        <f>+CO3777*46000</f>
        <v>0</v>
      </c>
      <c r="CQ3777" s="76"/>
      <c r="CR3777" s="76">
        <f>+CQ3777*49000</f>
        <v>0</v>
      </c>
      <c r="CS3777" s="76"/>
      <c r="CT3777" s="76"/>
      <c r="CU3777" s="56">
        <f>AN3777+AP3777+AR3777+AT3777+AV3777+AX3777+AZ3777+BB3777+BD3777+BF3777+BH3777+BJ3777+BL3777+BN3777+BP3777+BR3777+BT3777+BV3777+BX3777+BZ3777+CB3777+CD3777+CF3777+CH3777+CJ3777+CL3777+CN3777+CP3777+CR3777+CT3777</f>
        <v>0</v>
      </c>
      <c r="CV3777" s="76"/>
      <c r="CW3777" s="76">
        <f>+CV3777*1100</f>
        <v>0</v>
      </c>
      <c r="CX3777" s="76"/>
      <c r="CY3777" s="76">
        <f>+CX3777*106250</f>
        <v>0</v>
      </c>
      <c r="CZ3777" s="76"/>
      <c r="DA3777" s="76">
        <f>+CZ3777*34500</f>
        <v>0</v>
      </c>
      <c r="DB3777" s="76"/>
      <c r="DC3777" s="76">
        <f>+DB3777*25000</f>
        <v>0</v>
      </c>
      <c r="DD3777" s="219"/>
      <c r="DE3777" s="219"/>
      <c r="DF3777" s="166"/>
      <c r="DG3777" s="116"/>
      <c r="DH3777" s="117"/>
      <c r="DI3777" s="24"/>
      <c r="DJ3777" s="24"/>
      <c r="DK3777" s="24"/>
      <c r="DL3777" s="24"/>
      <c r="DM3777" s="24"/>
      <c r="DN3777" s="24"/>
      <c r="DO3777" s="24"/>
      <c r="DP3777" s="24"/>
      <c r="DQ3777" s="24"/>
      <c r="DR3777" s="24"/>
      <c r="DS3777" s="24"/>
      <c r="DT3777" s="24"/>
      <c r="DU3777" s="24"/>
    </row>
    <row r="3778" spans="1:125" s="8" customFormat="1" ht="108" x14ac:dyDescent="0.2">
      <c r="A3778" s="77">
        <v>41609</v>
      </c>
      <c r="B3778" s="84" t="s">
        <v>2196</v>
      </c>
      <c r="C3778" s="84" t="s">
        <v>508</v>
      </c>
      <c r="D3778" s="75" t="s">
        <v>2849</v>
      </c>
      <c r="E3778" s="75" t="str">
        <f>VLOOKUP(B3778&amp;C3778,Divipola!$C$2:$F$1138,4,FALSE)</f>
        <v>17001</v>
      </c>
      <c r="F3778" s="89">
        <v>1</v>
      </c>
      <c r="G3778" s="89">
        <v>27</v>
      </c>
      <c r="H3778" s="89"/>
      <c r="I3778" s="89">
        <v>28</v>
      </c>
      <c r="J3778" s="89"/>
      <c r="K3778" s="89"/>
      <c r="L3778" s="89"/>
      <c r="M3778" s="89"/>
      <c r="N3778" s="89"/>
      <c r="O3778" s="89"/>
      <c r="P3778" s="89"/>
      <c r="Q3778" s="89"/>
      <c r="R3778" s="89"/>
      <c r="S3778" s="89"/>
      <c r="T3778" s="89"/>
      <c r="U3778" s="89"/>
      <c r="V3778" s="89"/>
      <c r="W3778" s="96">
        <v>0</v>
      </c>
      <c r="X3778" s="71">
        <f>CU3778</f>
        <v>0</v>
      </c>
      <c r="Y3778" s="71">
        <f>CY3778</f>
        <v>0</v>
      </c>
      <c r="Z3778" s="71">
        <f>DA3778+DC3778+DE3778</f>
        <v>0</v>
      </c>
      <c r="AA3778" s="71">
        <f>CW3778</f>
        <v>0</v>
      </c>
      <c r="AB3778" s="71"/>
      <c r="AC3778" s="71">
        <v>0</v>
      </c>
      <c r="AD3778" s="71">
        <f>W3778+X3778+Y3778+Z3778+AA3778+AB3778+AC3778</f>
        <v>0</v>
      </c>
      <c r="AE3778" s="72">
        <v>0</v>
      </c>
      <c r="AF3778" s="5"/>
      <c r="AG3778" s="6"/>
      <c r="AH3778" s="27"/>
      <c r="AI3778" s="44"/>
      <c r="AJ3778" s="26"/>
      <c r="AK3778" s="5"/>
      <c r="AL3778" s="82" t="s">
        <v>6814</v>
      </c>
      <c r="AM3778" s="76"/>
      <c r="AN3778" s="76"/>
      <c r="AO3778" s="76"/>
      <c r="AP3778" s="76"/>
      <c r="AQ3778" s="76"/>
      <c r="AR3778" s="76"/>
      <c r="AS3778" s="76"/>
      <c r="AT3778" s="76"/>
      <c r="AU3778" s="76"/>
      <c r="AV3778" s="76"/>
      <c r="AW3778" s="76"/>
      <c r="AX3778" s="76">
        <f>+AW3778*600000</f>
        <v>0</v>
      </c>
      <c r="AY3778" s="76"/>
      <c r="AZ3778" s="76">
        <f>+AY3778*70000</f>
        <v>0</v>
      </c>
      <c r="BA3778" s="76"/>
      <c r="BB3778" s="76"/>
      <c r="BC3778" s="76"/>
      <c r="BD3778" s="76">
        <f>+BC3778*30000</f>
        <v>0</v>
      </c>
      <c r="BE3778" s="76"/>
      <c r="BF3778" s="76"/>
      <c r="BG3778" s="76"/>
      <c r="BH3778" s="76"/>
      <c r="BI3778" s="76"/>
      <c r="BJ3778" s="76"/>
      <c r="BK3778" s="76"/>
      <c r="BL3778" s="76">
        <f>+BK3778*31500</f>
        <v>0</v>
      </c>
      <c r="BM3778" s="76"/>
      <c r="BN3778" s="76"/>
      <c r="BO3778" s="76"/>
      <c r="BP3778" s="76"/>
      <c r="BQ3778" s="76"/>
      <c r="BR3778" s="76"/>
      <c r="BS3778" s="76"/>
      <c r="BT3778" s="76"/>
      <c r="BU3778" s="76"/>
      <c r="BV3778" s="76"/>
      <c r="BW3778" s="76"/>
      <c r="BX3778" s="76"/>
      <c r="BY3778" s="76"/>
      <c r="BZ3778" s="76"/>
      <c r="CA3778" s="76"/>
      <c r="CB3778" s="76"/>
      <c r="CC3778" s="76"/>
      <c r="CD3778" s="76"/>
      <c r="CE3778" s="76"/>
      <c r="CF3778" s="76">
        <f>+CE3778*28000</f>
        <v>0</v>
      </c>
      <c r="CG3778" s="76"/>
      <c r="CH3778" s="76">
        <f>+CG3778*22500</f>
        <v>0</v>
      </c>
      <c r="CI3778" s="76"/>
      <c r="CJ3778" s="76">
        <f>+CI3778*26000</f>
        <v>0</v>
      </c>
      <c r="CK3778" s="76"/>
      <c r="CL3778" s="76"/>
      <c r="CM3778" s="76"/>
      <c r="CN3778" s="76">
        <f>+CM3778*22000</f>
        <v>0</v>
      </c>
      <c r="CO3778" s="76"/>
      <c r="CP3778" s="76">
        <f>+CO3778*46000</f>
        <v>0</v>
      </c>
      <c r="CQ3778" s="76"/>
      <c r="CR3778" s="76">
        <f>+CQ3778*49000</f>
        <v>0</v>
      </c>
      <c r="CS3778" s="76"/>
      <c r="CT3778" s="76"/>
      <c r="CU3778" s="56">
        <f>AN3778+AP3778+AR3778+AT3778+AV3778+AX3778+AZ3778+BB3778+BD3778+BF3778+BH3778+BJ3778+BL3778+BN3778+BP3778+BR3778+BT3778+BV3778+BX3778+BZ3778+CB3778+CD3778+CF3778+CH3778+CJ3778+CL3778+CN3778+CP3778+CR3778+CT3778</f>
        <v>0</v>
      </c>
      <c r="CV3778" s="76"/>
      <c r="CW3778" s="76">
        <f>+CV3778*1100</f>
        <v>0</v>
      </c>
      <c r="CX3778" s="76"/>
      <c r="CY3778" s="76">
        <f>+CX3778*106250</f>
        <v>0</v>
      </c>
      <c r="CZ3778" s="76"/>
      <c r="DA3778" s="76">
        <f>+CZ3778*34500</f>
        <v>0</v>
      </c>
      <c r="DB3778" s="76"/>
      <c r="DC3778" s="76">
        <f>+DB3778*25000</f>
        <v>0</v>
      </c>
      <c r="DD3778" s="219"/>
      <c r="DE3778" s="219"/>
      <c r="DF3778" s="166"/>
      <c r="DG3778" s="116"/>
      <c r="DH3778" s="117"/>
      <c r="DI3778" s="24"/>
      <c r="DJ3778" s="24"/>
      <c r="DK3778" s="24"/>
      <c r="DL3778" s="24"/>
      <c r="DM3778" s="24"/>
      <c r="DN3778" s="24"/>
      <c r="DO3778" s="24"/>
      <c r="DP3778" s="24"/>
      <c r="DQ3778" s="24"/>
      <c r="DR3778" s="24"/>
      <c r="DS3778" s="24"/>
      <c r="DT3778" s="24"/>
      <c r="DU3778" s="24"/>
    </row>
    <row r="3779" spans="1:125" s="8" customFormat="1" ht="60" x14ac:dyDescent="0.2">
      <c r="A3779" s="77">
        <v>41609</v>
      </c>
      <c r="B3779" s="75" t="s">
        <v>2661</v>
      </c>
      <c r="C3779" s="75" t="s">
        <v>27</v>
      </c>
      <c r="D3779" s="75" t="s">
        <v>3088</v>
      </c>
      <c r="E3779" s="75" t="str">
        <f>VLOOKUP(B3779&amp;C3779,Divipola!$C$2:$F$1138,4,FALSE)</f>
        <v>41206</v>
      </c>
      <c r="F3779" s="87"/>
      <c r="G3779" s="87"/>
      <c r="H3779" s="87"/>
      <c r="I3779" s="87"/>
      <c r="J3779" s="87"/>
      <c r="K3779" s="87"/>
      <c r="L3779" s="87"/>
      <c r="M3779" s="87">
        <v>1</v>
      </c>
      <c r="N3779" s="87"/>
      <c r="O3779" s="87"/>
      <c r="P3779" s="87"/>
      <c r="Q3779" s="87"/>
      <c r="R3779" s="87"/>
      <c r="S3779" s="87"/>
      <c r="T3779" s="87"/>
      <c r="U3779" s="87"/>
      <c r="V3779" s="87"/>
      <c r="W3779" s="96">
        <v>0</v>
      </c>
      <c r="X3779" s="71">
        <f>CU3779</f>
        <v>0</v>
      </c>
      <c r="Y3779" s="71">
        <f>CY3779</f>
        <v>0</v>
      </c>
      <c r="Z3779" s="71">
        <f>DA3779+DC3779+DE3779</f>
        <v>0</v>
      </c>
      <c r="AA3779" s="71">
        <f>CW3779</f>
        <v>0</v>
      </c>
      <c r="AB3779" s="71"/>
      <c r="AC3779" s="71">
        <v>0</v>
      </c>
      <c r="AD3779" s="71">
        <f>W3779+X3779+Y3779+Z3779+AA3779+AB3779+AC3779</f>
        <v>0</v>
      </c>
      <c r="AE3779" s="72">
        <v>0</v>
      </c>
      <c r="AF3779" s="5"/>
      <c r="AG3779" s="6"/>
      <c r="AH3779" s="27"/>
      <c r="AI3779" s="44"/>
      <c r="AJ3779" s="26"/>
      <c r="AK3779" s="5"/>
      <c r="AL3779" s="82" t="s">
        <v>6815</v>
      </c>
      <c r="AM3779" s="76"/>
      <c r="AN3779" s="76"/>
      <c r="AO3779" s="76"/>
      <c r="AP3779" s="76"/>
      <c r="AQ3779" s="76"/>
      <c r="AR3779" s="76"/>
      <c r="AS3779" s="76"/>
      <c r="AT3779" s="76"/>
      <c r="AU3779" s="76"/>
      <c r="AV3779" s="76"/>
      <c r="AW3779" s="76"/>
      <c r="AX3779" s="76">
        <f>+AW3779*600000</f>
        <v>0</v>
      </c>
      <c r="AY3779" s="76"/>
      <c r="AZ3779" s="76">
        <f>+AY3779*70000</f>
        <v>0</v>
      </c>
      <c r="BA3779" s="76"/>
      <c r="BB3779" s="76"/>
      <c r="BC3779" s="76"/>
      <c r="BD3779" s="76">
        <f>+BC3779*30000</f>
        <v>0</v>
      </c>
      <c r="BE3779" s="76"/>
      <c r="BF3779" s="76"/>
      <c r="BG3779" s="76"/>
      <c r="BH3779" s="76"/>
      <c r="BI3779" s="76"/>
      <c r="BJ3779" s="76"/>
      <c r="BK3779" s="76"/>
      <c r="BL3779" s="76">
        <f>+BK3779*31500</f>
        <v>0</v>
      </c>
      <c r="BM3779" s="76"/>
      <c r="BN3779" s="76"/>
      <c r="BO3779" s="76"/>
      <c r="BP3779" s="76"/>
      <c r="BQ3779" s="76"/>
      <c r="BR3779" s="76"/>
      <c r="BS3779" s="76"/>
      <c r="BT3779" s="76"/>
      <c r="BU3779" s="76"/>
      <c r="BV3779" s="76"/>
      <c r="BW3779" s="76"/>
      <c r="BX3779" s="76"/>
      <c r="BY3779" s="76"/>
      <c r="BZ3779" s="76"/>
      <c r="CA3779" s="76"/>
      <c r="CB3779" s="76"/>
      <c r="CC3779" s="76"/>
      <c r="CD3779" s="76"/>
      <c r="CE3779" s="76"/>
      <c r="CF3779" s="76">
        <f>+CE3779*28000</f>
        <v>0</v>
      </c>
      <c r="CG3779" s="76"/>
      <c r="CH3779" s="76">
        <f>+CG3779*22500</f>
        <v>0</v>
      </c>
      <c r="CI3779" s="76"/>
      <c r="CJ3779" s="76">
        <f>+CI3779*26000</f>
        <v>0</v>
      </c>
      <c r="CK3779" s="76"/>
      <c r="CL3779" s="76"/>
      <c r="CM3779" s="76"/>
      <c r="CN3779" s="76">
        <f>+CM3779*22000</f>
        <v>0</v>
      </c>
      <c r="CO3779" s="76"/>
      <c r="CP3779" s="76">
        <f>+CO3779*46000</f>
        <v>0</v>
      </c>
      <c r="CQ3779" s="76"/>
      <c r="CR3779" s="76">
        <f>+CQ3779*49000</f>
        <v>0</v>
      </c>
      <c r="CS3779" s="76"/>
      <c r="CT3779" s="76"/>
      <c r="CU3779" s="56">
        <f>AN3779+AP3779+AR3779+AT3779+AV3779+AX3779+AZ3779+BB3779+BD3779+BF3779+BH3779+BJ3779+BL3779+BN3779+BP3779+BR3779+BT3779+BV3779+BX3779+BZ3779+CB3779+CD3779+CF3779+CH3779+CJ3779+CL3779+CN3779+CP3779+CR3779+CT3779</f>
        <v>0</v>
      </c>
      <c r="CV3779" s="76"/>
      <c r="CW3779" s="76">
        <f>+CV3779*1100</f>
        <v>0</v>
      </c>
      <c r="CX3779" s="76"/>
      <c r="CY3779" s="76">
        <f>+CX3779*106250</f>
        <v>0</v>
      </c>
      <c r="CZ3779" s="76"/>
      <c r="DA3779" s="76">
        <f>+CZ3779*34500</f>
        <v>0</v>
      </c>
      <c r="DB3779" s="76"/>
      <c r="DC3779" s="76">
        <f>+DB3779*25000</f>
        <v>0</v>
      </c>
      <c r="DD3779" s="219"/>
      <c r="DE3779" s="219"/>
      <c r="DF3779" s="166"/>
      <c r="DG3779" s="116"/>
      <c r="DH3779" s="117"/>
      <c r="DI3779" s="24"/>
      <c r="DJ3779" s="24"/>
      <c r="DK3779" s="24"/>
      <c r="DL3779" s="24"/>
      <c r="DM3779" s="24"/>
      <c r="DN3779" s="24"/>
      <c r="DO3779" s="24"/>
      <c r="DP3779" s="24"/>
      <c r="DQ3779" s="24"/>
      <c r="DR3779" s="24"/>
      <c r="DS3779" s="24"/>
      <c r="DT3779" s="24"/>
      <c r="DU3779" s="24"/>
    </row>
    <row r="3780" spans="1:125" s="8" customFormat="1" ht="60" x14ac:dyDescent="0.2">
      <c r="A3780" s="353">
        <v>41609</v>
      </c>
      <c r="B3780" s="352" t="s">
        <v>2196</v>
      </c>
      <c r="C3780" s="354" t="s">
        <v>508</v>
      </c>
      <c r="D3780" s="354" t="s">
        <v>3088</v>
      </c>
      <c r="E3780" s="75" t="str">
        <f>VLOOKUP(B3780&amp;C3780,Divipola!$C$2:$F$1138,4,FALSE)</f>
        <v>17001</v>
      </c>
      <c r="F3780" s="87"/>
      <c r="G3780" s="87">
        <v>1</v>
      </c>
      <c r="H3780" s="87"/>
      <c r="I3780" s="87">
        <v>1</v>
      </c>
      <c r="J3780" s="87"/>
      <c r="K3780" s="87"/>
      <c r="L3780" s="87"/>
      <c r="M3780" s="87"/>
      <c r="N3780" s="87"/>
      <c r="O3780" s="87"/>
      <c r="P3780" s="87"/>
      <c r="Q3780" s="87"/>
      <c r="R3780" s="87"/>
      <c r="S3780" s="87"/>
      <c r="T3780" s="87"/>
      <c r="U3780" s="88"/>
      <c r="V3780" s="89"/>
      <c r="W3780" s="96">
        <v>0</v>
      </c>
      <c r="X3780" s="71">
        <f>CU3780</f>
        <v>0</v>
      </c>
      <c r="Y3780" s="71">
        <f>CY3780</f>
        <v>0</v>
      </c>
      <c r="Z3780" s="71">
        <f>DA3780+DC3780+DE3780</f>
        <v>0</v>
      </c>
      <c r="AA3780" s="71">
        <f>CW3780</f>
        <v>0</v>
      </c>
      <c r="AB3780" s="71"/>
      <c r="AC3780" s="71">
        <v>0</v>
      </c>
      <c r="AD3780" s="71">
        <f>W3780+X3780+Y3780+Z3780+AA3780+AB3780+AC3780</f>
        <v>0</v>
      </c>
      <c r="AE3780" s="72">
        <v>0</v>
      </c>
      <c r="AF3780" s="5"/>
      <c r="AG3780" s="6"/>
      <c r="AH3780" s="27"/>
      <c r="AI3780" s="44"/>
      <c r="AJ3780" s="26"/>
      <c r="AK3780" s="5"/>
      <c r="AL3780" s="82" t="s">
        <v>6816</v>
      </c>
      <c r="AM3780" s="76"/>
      <c r="AN3780" s="76"/>
      <c r="AO3780" s="76"/>
      <c r="AP3780" s="76"/>
      <c r="AQ3780" s="76"/>
      <c r="AR3780" s="76"/>
      <c r="AS3780" s="76"/>
      <c r="AT3780" s="76"/>
      <c r="AU3780" s="76"/>
      <c r="AV3780" s="76"/>
      <c r="AW3780" s="76"/>
      <c r="AX3780" s="76">
        <f>+AW3780*600000</f>
        <v>0</v>
      </c>
      <c r="AY3780" s="76"/>
      <c r="AZ3780" s="76">
        <f>+AY3780*70000</f>
        <v>0</v>
      </c>
      <c r="BA3780" s="76"/>
      <c r="BB3780" s="76"/>
      <c r="BC3780" s="76"/>
      <c r="BD3780" s="76">
        <f>+BC3780*30000</f>
        <v>0</v>
      </c>
      <c r="BE3780" s="76"/>
      <c r="BF3780" s="76"/>
      <c r="BG3780" s="76"/>
      <c r="BH3780" s="76"/>
      <c r="BI3780" s="76"/>
      <c r="BJ3780" s="76"/>
      <c r="BK3780" s="76"/>
      <c r="BL3780" s="76">
        <f>+BK3780*31500</f>
        <v>0</v>
      </c>
      <c r="BM3780" s="76"/>
      <c r="BN3780" s="76"/>
      <c r="BO3780" s="76"/>
      <c r="BP3780" s="76"/>
      <c r="BQ3780" s="76"/>
      <c r="BR3780" s="76"/>
      <c r="BS3780" s="76"/>
      <c r="BT3780" s="76"/>
      <c r="BU3780" s="76"/>
      <c r="BV3780" s="76"/>
      <c r="BW3780" s="76"/>
      <c r="BX3780" s="76"/>
      <c r="BY3780" s="76"/>
      <c r="BZ3780" s="76"/>
      <c r="CA3780" s="76"/>
      <c r="CB3780" s="76"/>
      <c r="CC3780" s="76"/>
      <c r="CD3780" s="76"/>
      <c r="CE3780" s="76"/>
      <c r="CF3780" s="76">
        <f>+CE3780*28000</f>
        <v>0</v>
      </c>
      <c r="CG3780" s="76"/>
      <c r="CH3780" s="76">
        <f>+CG3780*22500</f>
        <v>0</v>
      </c>
      <c r="CI3780" s="76"/>
      <c r="CJ3780" s="76">
        <f>+CI3780*26000</f>
        <v>0</v>
      </c>
      <c r="CK3780" s="76"/>
      <c r="CL3780" s="76"/>
      <c r="CM3780" s="76"/>
      <c r="CN3780" s="76">
        <f>+CM3780*22000</f>
        <v>0</v>
      </c>
      <c r="CO3780" s="76"/>
      <c r="CP3780" s="76">
        <f>+CO3780*46000</f>
        <v>0</v>
      </c>
      <c r="CQ3780" s="76"/>
      <c r="CR3780" s="76">
        <f>+CQ3780*49000</f>
        <v>0</v>
      </c>
      <c r="CS3780" s="76"/>
      <c r="CT3780" s="76"/>
      <c r="CU3780" s="56">
        <f>AN3780+AP3780+AR3780+AT3780+AV3780+AX3780+AZ3780+BB3780+BD3780+BF3780+BH3780+BJ3780+BL3780+BN3780+BP3780+BR3780+BT3780+BV3780+BX3780+BZ3780+CB3780+CD3780+CF3780+CH3780+CJ3780+CL3780+CN3780+CP3780+CR3780+CT3780</f>
        <v>0</v>
      </c>
      <c r="CV3780" s="76"/>
      <c r="CW3780" s="76">
        <f>+CV3780*1100</f>
        <v>0</v>
      </c>
      <c r="CX3780" s="76"/>
      <c r="CY3780" s="76">
        <f>+CX3780*106250</f>
        <v>0</v>
      </c>
      <c r="CZ3780" s="76"/>
      <c r="DA3780" s="76">
        <f>+CZ3780*34500</f>
        <v>0</v>
      </c>
      <c r="DB3780" s="76"/>
      <c r="DC3780" s="76">
        <f>+DB3780*25000</f>
        <v>0</v>
      </c>
      <c r="DD3780" s="219"/>
      <c r="DE3780" s="219"/>
      <c r="DF3780" s="166"/>
      <c r="DG3780" s="116"/>
      <c r="DH3780" s="117"/>
      <c r="DI3780" s="24"/>
      <c r="DJ3780" s="24"/>
      <c r="DK3780" s="24"/>
      <c r="DL3780" s="24"/>
      <c r="DM3780" s="24"/>
      <c r="DN3780" s="24"/>
      <c r="DO3780" s="24"/>
      <c r="DP3780" s="24"/>
      <c r="DQ3780" s="24"/>
      <c r="DR3780" s="24"/>
      <c r="DS3780" s="24"/>
      <c r="DT3780" s="24"/>
      <c r="DU3780" s="24"/>
    </row>
    <row r="3781" spans="1:125" s="8" customFormat="1" ht="36" x14ac:dyDescent="0.2">
      <c r="A3781" s="77">
        <v>41609</v>
      </c>
      <c r="B3781" s="78" t="s">
        <v>2848</v>
      </c>
      <c r="C3781" s="75" t="s">
        <v>2055</v>
      </c>
      <c r="D3781" s="75" t="s">
        <v>2846</v>
      </c>
      <c r="E3781" s="75" t="str">
        <f>VLOOKUP(B3781&amp;C3781,Divipola!$C$2:$F$1138,4,FALSE)</f>
        <v>73275</v>
      </c>
      <c r="F3781" s="87"/>
      <c r="G3781" s="87"/>
      <c r="H3781" s="87"/>
      <c r="I3781" s="87"/>
      <c r="J3781" s="87"/>
      <c r="K3781" s="87"/>
      <c r="L3781" s="87"/>
      <c r="M3781" s="87"/>
      <c r="N3781" s="87"/>
      <c r="O3781" s="87"/>
      <c r="P3781" s="87"/>
      <c r="Q3781" s="87"/>
      <c r="R3781" s="87"/>
      <c r="S3781" s="87"/>
      <c r="T3781" s="87"/>
      <c r="U3781" s="88">
        <v>20</v>
      </c>
      <c r="V3781" s="89"/>
      <c r="W3781" s="96">
        <v>0</v>
      </c>
      <c r="X3781" s="71">
        <f>CU3781</f>
        <v>0</v>
      </c>
      <c r="Y3781" s="71">
        <f>CY3781</f>
        <v>0</v>
      </c>
      <c r="Z3781" s="71">
        <f>DA3781+DC3781+DE3781</f>
        <v>0</v>
      </c>
      <c r="AA3781" s="71">
        <f>CW3781</f>
        <v>0</v>
      </c>
      <c r="AB3781" s="71"/>
      <c r="AC3781" s="71">
        <v>0</v>
      </c>
      <c r="AD3781" s="71">
        <f>W3781+X3781+Y3781+Z3781+AA3781+AB3781+AC3781</f>
        <v>0</v>
      </c>
      <c r="AE3781" s="72">
        <v>0</v>
      </c>
      <c r="AF3781" s="5"/>
      <c r="AG3781" s="6"/>
      <c r="AH3781" s="27"/>
      <c r="AI3781" s="44"/>
      <c r="AJ3781" s="26"/>
      <c r="AK3781" s="5"/>
      <c r="AL3781" s="9" t="s">
        <v>6817</v>
      </c>
      <c r="AM3781" s="76"/>
      <c r="AN3781" s="76"/>
      <c r="AO3781" s="76"/>
      <c r="AP3781" s="76"/>
      <c r="AQ3781" s="76"/>
      <c r="AR3781" s="76"/>
      <c r="AS3781" s="76"/>
      <c r="AT3781" s="76"/>
      <c r="AU3781" s="76"/>
      <c r="AV3781" s="76"/>
      <c r="AW3781" s="76"/>
      <c r="AX3781" s="76">
        <f>+AW3781*600000</f>
        <v>0</v>
      </c>
      <c r="AY3781" s="76"/>
      <c r="AZ3781" s="76">
        <f>+AY3781*70000</f>
        <v>0</v>
      </c>
      <c r="BA3781" s="76"/>
      <c r="BB3781" s="76"/>
      <c r="BC3781" s="76"/>
      <c r="BD3781" s="76">
        <f>+BC3781*30000</f>
        <v>0</v>
      </c>
      <c r="BE3781" s="76"/>
      <c r="BF3781" s="76"/>
      <c r="BG3781" s="76"/>
      <c r="BH3781" s="76"/>
      <c r="BI3781" s="76"/>
      <c r="BJ3781" s="76"/>
      <c r="BK3781" s="76"/>
      <c r="BL3781" s="76">
        <f>+BK3781*31500</f>
        <v>0</v>
      </c>
      <c r="BM3781" s="76"/>
      <c r="BN3781" s="76"/>
      <c r="BO3781" s="76"/>
      <c r="BP3781" s="76"/>
      <c r="BQ3781" s="76"/>
      <c r="BR3781" s="76"/>
      <c r="BS3781" s="76"/>
      <c r="BT3781" s="76"/>
      <c r="BU3781" s="76"/>
      <c r="BV3781" s="76"/>
      <c r="BW3781" s="76"/>
      <c r="BX3781" s="76"/>
      <c r="BY3781" s="76"/>
      <c r="BZ3781" s="76"/>
      <c r="CA3781" s="76"/>
      <c r="CB3781" s="76"/>
      <c r="CC3781" s="76"/>
      <c r="CD3781" s="76"/>
      <c r="CE3781" s="76"/>
      <c r="CF3781" s="76">
        <f>+CE3781*28000</f>
        <v>0</v>
      </c>
      <c r="CG3781" s="76"/>
      <c r="CH3781" s="76">
        <f>+CG3781*22500</f>
        <v>0</v>
      </c>
      <c r="CI3781" s="76"/>
      <c r="CJ3781" s="76">
        <f>+CI3781*26000</f>
        <v>0</v>
      </c>
      <c r="CK3781" s="76"/>
      <c r="CL3781" s="76"/>
      <c r="CM3781" s="76"/>
      <c r="CN3781" s="76">
        <f>+CM3781*22000</f>
        <v>0</v>
      </c>
      <c r="CO3781" s="76"/>
      <c r="CP3781" s="76">
        <f>+CO3781*46000</f>
        <v>0</v>
      </c>
      <c r="CQ3781" s="76"/>
      <c r="CR3781" s="76">
        <f>+CQ3781*49000</f>
        <v>0</v>
      </c>
      <c r="CS3781" s="76"/>
      <c r="CT3781" s="76"/>
      <c r="CU3781" s="56">
        <f>AN3781+AP3781+AR3781+AT3781+AV3781+AX3781+AZ3781+BB3781+BD3781+BF3781+BH3781+BJ3781+BL3781+BN3781+BP3781+BR3781+BT3781+BV3781+BX3781+BZ3781+CB3781+CD3781+CF3781+CH3781+CJ3781+CL3781+CN3781+CP3781+CR3781+CT3781</f>
        <v>0</v>
      </c>
      <c r="CV3781" s="76"/>
      <c r="CW3781" s="76">
        <f>+CV3781*1100</f>
        <v>0</v>
      </c>
      <c r="CX3781" s="76"/>
      <c r="CY3781" s="76">
        <f>+CX3781*106250</f>
        <v>0</v>
      </c>
      <c r="CZ3781" s="76"/>
      <c r="DA3781" s="76">
        <f>+CZ3781*34500</f>
        <v>0</v>
      </c>
      <c r="DB3781" s="76"/>
      <c r="DC3781" s="76">
        <f>+DB3781*25000</f>
        <v>0</v>
      </c>
      <c r="DD3781" s="219"/>
      <c r="DE3781" s="219"/>
      <c r="DF3781" s="166"/>
      <c r="DG3781" s="116"/>
      <c r="DH3781" s="117"/>
      <c r="DI3781" s="24"/>
      <c r="DJ3781" s="24"/>
      <c r="DK3781" s="24"/>
      <c r="DL3781" s="24"/>
      <c r="DM3781" s="24"/>
      <c r="DN3781" s="24"/>
      <c r="DO3781" s="24"/>
      <c r="DP3781" s="24"/>
      <c r="DQ3781" s="24"/>
      <c r="DR3781" s="24"/>
      <c r="DS3781" s="24"/>
      <c r="DT3781" s="24"/>
      <c r="DU3781" s="24"/>
    </row>
    <row r="3782" spans="1:125" s="8" customFormat="1" ht="156" x14ac:dyDescent="0.2">
      <c r="A3782" s="142">
        <v>41609</v>
      </c>
      <c r="B3782" s="203" t="s">
        <v>2894</v>
      </c>
      <c r="C3782" s="203" t="s">
        <v>2615</v>
      </c>
      <c r="D3782" s="75" t="s">
        <v>4947</v>
      </c>
      <c r="E3782" s="75" t="str">
        <f>VLOOKUP(B3782&amp;C3782,Divipola!$C$2:$F$1138,4,FALSE)</f>
        <v>05837</v>
      </c>
      <c r="F3782" s="89">
        <v>4</v>
      </c>
      <c r="G3782" s="89"/>
      <c r="H3782" s="89"/>
      <c r="I3782" s="89"/>
      <c r="J3782" s="89"/>
      <c r="K3782" s="89"/>
      <c r="L3782" s="89"/>
      <c r="M3782" s="89"/>
      <c r="N3782" s="89"/>
      <c r="O3782" s="89"/>
      <c r="P3782" s="89"/>
      <c r="Q3782" s="135"/>
      <c r="R3782" s="89"/>
      <c r="S3782" s="89"/>
      <c r="T3782" s="89"/>
      <c r="U3782" s="89"/>
      <c r="V3782" s="9"/>
      <c r="W3782" s="96">
        <v>0</v>
      </c>
      <c r="X3782" s="71">
        <f>CU3782</f>
        <v>0</v>
      </c>
      <c r="Y3782" s="71">
        <f>CY3782</f>
        <v>0</v>
      </c>
      <c r="Z3782" s="71">
        <f>DA3782+DC3782+DE3782</f>
        <v>0</v>
      </c>
      <c r="AA3782" s="71">
        <f>CW3782</f>
        <v>0</v>
      </c>
      <c r="AB3782" s="71"/>
      <c r="AC3782" s="71">
        <v>0</v>
      </c>
      <c r="AD3782" s="71">
        <f>W3782+X3782+Y3782+Z3782+AA3782+AB3782+AC3782</f>
        <v>0</v>
      </c>
      <c r="AE3782" s="72">
        <v>0</v>
      </c>
      <c r="AF3782" s="5"/>
      <c r="AG3782" s="6"/>
      <c r="AH3782" s="27"/>
      <c r="AI3782" s="44"/>
      <c r="AJ3782" s="26"/>
      <c r="AK3782" s="5"/>
      <c r="AL3782" s="82" t="s">
        <v>6833</v>
      </c>
      <c r="AM3782" s="76"/>
      <c r="AN3782" s="76"/>
      <c r="AO3782" s="76"/>
      <c r="AP3782" s="76"/>
      <c r="AQ3782" s="76"/>
      <c r="AR3782" s="76"/>
      <c r="AS3782" s="76"/>
      <c r="AT3782" s="76"/>
      <c r="AU3782" s="76"/>
      <c r="AV3782" s="76"/>
      <c r="AW3782" s="76"/>
      <c r="AX3782" s="76">
        <f>+AW3782*600000</f>
        <v>0</v>
      </c>
      <c r="AY3782" s="76"/>
      <c r="AZ3782" s="76">
        <f>+AY3782*70000</f>
        <v>0</v>
      </c>
      <c r="BA3782" s="76"/>
      <c r="BB3782" s="76"/>
      <c r="BC3782" s="76"/>
      <c r="BD3782" s="76">
        <f>+BC3782*30000</f>
        <v>0</v>
      </c>
      <c r="BE3782" s="76"/>
      <c r="BF3782" s="76"/>
      <c r="BG3782" s="76"/>
      <c r="BH3782" s="76"/>
      <c r="BI3782" s="76"/>
      <c r="BJ3782" s="76"/>
      <c r="BK3782" s="76"/>
      <c r="BL3782" s="76">
        <f>+BK3782*31500</f>
        <v>0</v>
      </c>
      <c r="BM3782" s="76"/>
      <c r="BN3782" s="76"/>
      <c r="BO3782" s="76"/>
      <c r="BP3782" s="76"/>
      <c r="BQ3782" s="76"/>
      <c r="BR3782" s="76"/>
      <c r="BS3782" s="76"/>
      <c r="BT3782" s="76"/>
      <c r="BU3782" s="76"/>
      <c r="BV3782" s="76"/>
      <c r="BW3782" s="76"/>
      <c r="BX3782" s="76"/>
      <c r="BY3782" s="76"/>
      <c r="BZ3782" s="76"/>
      <c r="CA3782" s="76"/>
      <c r="CB3782" s="76"/>
      <c r="CC3782" s="76"/>
      <c r="CD3782" s="76"/>
      <c r="CE3782" s="76"/>
      <c r="CF3782" s="76">
        <f>+CE3782*28000</f>
        <v>0</v>
      </c>
      <c r="CG3782" s="76"/>
      <c r="CH3782" s="76">
        <f>+CG3782*22500</f>
        <v>0</v>
      </c>
      <c r="CI3782" s="76"/>
      <c r="CJ3782" s="76">
        <f>+CI3782*26000</f>
        <v>0</v>
      </c>
      <c r="CK3782" s="76"/>
      <c r="CL3782" s="76"/>
      <c r="CM3782" s="76"/>
      <c r="CN3782" s="76">
        <f>+CM3782*22000</f>
        <v>0</v>
      </c>
      <c r="CO3782" s="76"/>
      <c r="CP3782" s="76">
        <f>+CO3782*46000</f>
        <v>0</v>
      </c>
      <c r="CQ3782" s="76"/>
      <c r="CR3782" s="76">
        <f>+CQ3782*49000</f>
        <v>0</v>
      </c>
      <c r="CS3782" s="76"/>
      <c r="CT3782" s="76"/>
      <c r="CU3782" s="56">
        <f>AN3782+AP3782+AR3782+AT3782+AV3782+AX3782+AZ3782+BB3782+BD3782+BF3782+BH3782+BJ3782+BL3782+BN3782+BP3782+BR3782+BT3782+BV3782+BX3782+BZ3782+CB3782+CD3782+CF3782+CH3782+CJ3782+CL3782+CN3782+CP3782+CR3782+CT3782</f>
        <v>0</v>
      </c>
      <c r="CV3782" s="76"/>
      <c r="CW3782" s="76">
        <f>+CV3782*1100</f>
        <v>0</v>
      </c>
      <c r="CX3782" s="76"/>
      <c r="CY3782" s="76">
        <f>+CX3782*106250</f>
        <v>0</v>
      </c>
      <c r="CZ3782" s="76"/>
      <c r="DA3782" s="76">
        <f>+CZ3782*34500</f>
        <v>0</v>
      </c>
      <c r="DB3782" s="76"/>
      <c r="DC3782" s="76">
        <f>+DB3782*25000</f>
        <v>0</v>
      </c>
      <c r="DD3782" s="219"/>
      <c r="DE3782" s="219"/>
      <c r="DF3782" s="166"/>
      <c r="DG3782" s="116"/>
      <c r="DH3782" s="117"/>
      <c r="DI3782" s="24"/>
      <c r="DJ3782" s="24"/>
      <c r="DK3782" s="24"/>
      <c r="DL3782" s="24"/>
      <c r="DM3782" s="24"/>
      <c r="DN3782" s="24"/>
      <c r="DO3782" s="24"/>
      <c r="DP3782" s="24"/>
      <c r="DQ3782" s="24"/>
      <c r="DR3782" s="24"/>
      <c r="DS3782" s="24"/>
      <c r="DT3782" s="24"/>
      <c r="DU3782" s="24"/>
    </row>
    <row r="3783" spans="1:125" s="8" customFormat="1" ht="36" x14ac:dyDescent="0.2">
      <c r="A3783" s="353">
        <v>41609</v>
      </c>
      <c r="B3783" s="352" t="s">
        <v>2847</v>
      </c>
      <c r="C3783" s="354" t="s">
        <v>2814</v>
      </c>
      <c r="D3783" s="354" t="s">
        <v>3088</v>
      </c>
      <c r="E3783" s="353" t="str">
        <f>VLOOKUP(B3783&amp;C3783,Divipola!$C$2:$F$1138,4,FALSE)</f>
        <v>68307</v>
      </c>
      <c r="F3783" s="87"/>
      <c r="G3783" s="87"/>
      <c r="H3783" s="87"/>
      <c r="I3783" s="87">
        <v>21</v>
      </c>
      <c r="J3783" s="87">
        <v>4</v>
      </c>
      <c r="K3783" s="87">
        <v>4</v>
      </c>
      <c r="L3783" s="87"/>
      <c r="M3783" s="87"/>
      <c r="N3783" s="87"/>
      <c r="O3783" s="87"/>
      <c r="P3783" s="87"/>
      <c r="Q3783" s="87"/>
      <c r="R3783" s="87"/>
      <c r="S3783" s="87"/>
      <c r="T3783" s="87"/>
      <c r="U3783" s="88"/>
      <c r="V3783" s="89"/>
      <c r="W3783" s="96">
        <v>0</v>
      </c>
      <c r="X3783" s="71">
        <f>CU3783</f>
        <v>0</v>
      </c>
      <c r="Y3783" s="71">
        <f>CY3783</f>
        <v>0</v>
      </c>
      <c r="Z3783" s="71">
        <f>DA3783+DC3783+DE3783</f>
        <v>0</v>
      </c>
      <c r="AA3783" s="71">
        <f>CW3783</f>
        <v>0</v>
      </c>
      <c r="AB3783" s="71"/>
      <c r="AC3783" s="71">
        <v>0</v>
      </c>
      <c r="AD3783" s="71">
        <f>W3783+X3783+Y3783+Z3783+AA3783+AB3783+AC3783</f>
        <v>0</v>
      </c>
      <c r="AE3783" s="72">
        <v>0</v>
      </c>
      <c r="AF3783" s="5"/>
      <c r="AG3783" s="6"/>
      <c r="AH3783" s="27"/>
      <c r="AI3783" s="44"/>
      <c r="AJ3783" s="26"/>
      <c r="AK3783" s="5"/>
      <c r="AL3783" s="82" t="s">
        <v>6870</v>
      </c>
      <c r="AM3783" s="76"/>
      <c r="AN3783" s="76"/>
      <c r="AO3783" s="76"/>
      <c r="AP3783" s="76"/>
      <c r="AQ3783" s="76"/>
      <c r="AR3783" s="76"/>
      <c r="AS3783" s="76"/>
      <c r="AT3783" s="76"/>
      <c r="AU3783" s="76"/>
      <c r="AV3783" s="76"/>
      <c r="AW3783" s="76"/>
      <c r="AX3783" s="76">
        <f>+AW3783*600000</f>
        <v>0</v>
      </c>
      <c r="AY3783" s="76"/>
      <c r="AZ3783" s="76">
        <f>+AY3783*70000</f>
        <v>0</v>
      </c>
      <c r="BA3783" s="76"/>
      <c r="BB3783" s="76"/>
      <c r="BC3783" s="76"/>
      <c r="BD3783" s="76">
        <f>+BC3783*30000</f>
        <v>0</v>
      </c>
      <c r="BE3783" s="76"/>
      <c r="BF3783" s="76"/>
      <c r="BG3783" s="76"/>
      <c r="BH3783" s="76"/>
      <c r="BI3783" s="76"/>
      <c r="BJ3783" s="76"/>
      <c r="BK3783" s="76"/>
      <c r="BL3783" s="76">
        <f>+BK3783*31500</f>
        <v>0</v>
      </c>
      <c r="BM3783" s="76"/>
      <c r="BN3783" s="76"/>
      <c r="BO3783" s="76"/>
      <c r="BP3783" s="76"/>
      <c r="BQ3783" s="76"/>
      <c r="BR3783" s="76"/>
      <c r="BS3783" s="76"/>
      <c r="BT3783" s="76"/>
      <c r="BU3783" s="76"/>
      <c r="BV3783" s="76"/>
      <c r="BW3783" s="76"/>
      <c r="BX3783" s="76"/>
      <c r="BY3783" s="76"/>
      <c r="BZ3783" s="76"/>
      <c r="CA3783" s="76"/>
      <c r="CB3783" s="76"/>
      <c r="CC3783" s="76"/>
      <c r="CD3783" s="76"/>
      <c r="CE3783" s="76"/>
      <c r="CF3783" s="76">
        <f>+CE3783*28000</f>
        <v>0</v>
      </c>
      <c r="CG3783" s="76"/>
      <c r="CH3783" s="76">
        <f>+CG3783*22500</f>
        <v>0</v>
      </c>
      <c r="CI3783" s="76"/>
      <c r="CJ3783" s="76">
        <f>+CI3783*26000</f>
        <v>0</v>
      </c>
      <c r="CK3783" s="76"/>
      <c r="CL3783" s="76"/>
      <c r="CM3783" s="76"/>
      <c r="CN3783" s="76">
        <f>+CM3783*22000</f>
        <v>0</v>
      </c>
      <c r="CO3783" s="76"/>
      <c r="CP3783" s="76">
        <f>+CO3783*46000</f>
        <v>0</v>
      </c>
      <c r="CQ3783" s="76"/>
      <c r="CR3783" s="76">
        <f>+CQ3783*49000</f>
        <v>0</v>
      </c>
      <c r="CS3783" s="76"/>
      <c r="CT3783" s="76"/>
      <c r="CU3783" s="56">
        <f>AN3783+AP3783+AR3783+AT3783+AV3783+AX3783+AZ3783+BB3783+BD3783+BF3783+BH3783+BJ3783+BL3783+BN3783+BP3783+BR3783+BT3783+BV3783+BX3783+BZ3783+CB3783+CD3783+CF3783+CH3783+CJ3783+CL3783+CN3783+CP3783+CR3783+CT3783</f>
        <v>0</v>
      </c>
      <c r="CV3783" s="76"/>
      <c r="CW3783" s="76">
        <f>+CV3783*1100</f>
        <v>0</v>
      </c>
      <c r="CX3783" s="76"/>
      <c r="CY3783" s="76">
        <f>+CX3783*106250</f>
        <v>0</v>
      </c>
      <c r="CZ3783" s="76"/>
      <c r="DA3783" s="76">
        <f>+CZ3783*34500</f>
        <v>0</v>
      </c>
      <c r="DB3783" s="76"/>
      <c r="DC3783" s="76">
        <f>+DB3783*25000</f>
        <v>0</v>
      </c>
      <c r="DD3783" s="219"/>
      <c r="DE3783" s="219"/>
      <c r="DF3783" s="166"/>
      <c r="DG3783" s="116"/>
      <c r="DH3783" s="117"/>
      <c r="DI3783" s="24"/>
      <c r="DJ3783" s="24"/>
      <c r="DK3783" s="24"/>
      <c r="DL3783" s="24"/>
      <c r="DM3783" s="24"/>
      <c r="DN3783" s="24"/>
      <c r="DO3783" s="24"/>
      <c r="DP3783" s="24"/>
      <c r="DQ3783" s="24"/>
      <c r="DR3783" s="24"/>
      <c r="DS3783" s="24"/>
      <c r="DT3783" s="24"/>
      <c r="DU3783" s="24"/>
    </row>
    <row r="3784" spans="1:125" s="8" customFormat="1" ht="228" x14ac:dyDescent="0.2">
      <c r="A3784" s="77">
        <v>41610</v>
      </c>
      <c r="B3784" s="78" t="s">
        <v>2847</v>
      </c>
      <c r="C3784" s="75" t="s">
        <v>2814</v>
      </c>
      <c r="D3784" s="75" t="s">
        <v>3017</v>
      </c>
      <c r="E3784" s="75" t="str">
        <f>VLOOKUP(B3784&amp;C3784,Divipola!$C$2:$F$1138,4,FALSE)</f>
        <v>68307</v>
      </c>
      <c r="F3784" s="87"/>
      <c r="G3784" s="87"/>
      <c r="H3784" s="87"/>
      <c r="I3784" s="87">
        <v>20</v>
      </c>
      <c r="J3784" s="87">
        <v>4</v>
      </c>
      <c r="K3784" s="87">
        <v>1</v>
      </c>
      <c r="L3784" s="87"/>
      <c r="M3784" s="87"/>
      <c r="N3784" s="87"/>
      <c r="O3784" s="87"/>
      <c r="P3784" s="87"/>
      <c r="Q3784" s="87"/>
      <c r="R3784" s="87"/>
      <c r="S3784" s="87"/>
      <c r="T3784" s="87"/>
      <c r="U3784" s="88"/>
      <c r="V3784" s="89"/>
      <c r="W3784" s="96">
        <v>0</v>
      </c>
      <c r="X3784" s="71">
        <f>CU3784</f>
        <v>0</v>
      </c>
      <c r="Y3784" s="71">
        <f>CY3784</f>
        <v>0</v>
      </c>
      <c r="Z3784" s="71">
        <f>DA3784+DC3784+DE3784</f>
        <v>0</v>
      </c>
      <c r="AA3784" s="71">
        <f>CW3784</f>
        <v>0</v>
      </c>
      <c r="AB3784" s="71"/>
      <c r="AC3784" s="71">
        <v>0</v>
      </c>
      <c r="AD3784" s="71">
        <f>W3784+X3784+Y3784+Z3784+AA3784+AB3784+AC3784</f>
        <v>0</v>
      </c>
      <c r="AE3784" s="72">
        <v>0</v>
      </c>
      <c r="AF3784" s="5"/>
      <c r="AG3784" s="6"/>
      <c r="AH3784" s="27"/>
      <c r="AI3784" s="44"/>
      <c r="AJ3784" s="26"/>
      <c r="AK3784" s="5"/>
      <c r="AL3784" s="268" t="s">
        <v>6818</v>
      </c>
      <c r="AM3784" s="76"/>
      <c r="AN3784" s="76"/>
      <c r="AO3784" s="76"/>
      <c r="AP3784" s="76"/>
      <c r="AQ3784" s="76"/>
      <c r="AR3784" s="76"/>
      <c r="AS3784" s="76"/>
      <c r="AT3784" s="76"/>
      <c r="AU3784" s="76"/>
      <c r="AV3784" s="76"/>
      <c r="AW3784" s="76"/>
      <c r="AX3784" s="76">
        <f>+AW3784*600000</f>
        <v>0</v>
      </c>
      <c r="AY3784" s="76"/>
      <c r="AZ3784" s="76">
        <f>+AY3784*70000</f>
        <v>0</v>
      </c>
      <c r="BA3784" s="76"/>
      <c r="BB3784" s="76"/>
      <c r="BC3784" s="76"/>
      <c r="BD3784" s="76">
        <f>+BC3784*30000</f>
        <v>0</v>
      </c>
      <c r="BE3784" s="76"/>
      <c r="BF3784" s="76"/>
      <c r="BG3784" s="76"/>
      <c r="BH3784" s="76"/>
      <c r="BI3784" s="76"/>
      <c r="BJ3784" s="76"/>
      <c r="BK3784" s="76"/>
      <c r="BL3784" s="76">
        <f>+BK3784*31500</f>
        <v>0</v>
      </c>
      <c r="BM3784" s="76"/>
      <c r="BN3784" s="76"/>
      <c r="BO3784" s="76"/>
      <c r="BP3784" s="76"/>
      <c r="BQ3784" s="76"/>
      <c r="BR3784" s="76"/>
      <c r="BS3784" s="76"/>
      <c r="BT3784" s="76"/>
      <c r="BU3784" s="76"/>
      <c r="BV3784" s="76"/>
      <c r="BW3784" s="76"/>
      <c r="BX3784" s="76"/>
      <c r="BY3784" s="76"/>
      <c r="BZ3784" s="76"/>
      <c r="CA3784" s="76"/>
      <c r="CB3784" s="76"/>
      <c r="CC3784" s="76"/>
      <c r="CD3784" s="76"/>
      <c r="CE3784" s="76"/>
      <c r="CF3784" s="76">
        <f>+CE3784*28000</f>
        <v>0</v>
      </c>
      <c r="CG3784" s="76"/>
      <c r="CH3784" s="76">
        <f>+CG3784*22500</f>
        <v>0</v>
      </c>
      <c r="CI3784" s="76"/>
      <c r="CJ3784" s="76">
        <f>+CI3784*26000</f>
        <v>0</v>
      </c>
      <c r="CK3784" s="76"/>
      <c r="CL3784" s="76"/>
      <c r="CM3784" s="76"/>
      <c r="CN3784" s="76">
        <f>+CM3784*22000</f>
        <v>0</v>
      </c>
      <c r="CO3784" s="76"/>
      <c r="CP3784" s="76">
        <f>+CO3784*46000</f>
        <v>0</v>
      </c>
      <c r="CQ3784" s="76"/>
      <c r="CR3784" s="76">
        <f>+CQ3784*49000</f>
        <v>0</v>
      </c>
      <c r="CS3784" s="76"/>
      <c r="CT3784" s="76"/>
      <c r="CU3784" s="56">
        <f>AN3784+AP3784+AR3784+AT3784+AV3784+AX3784+AZ3784+BB3784+BD3784+BF3784+BH3784+BJ3784+BL3784+BN3784+BP3784+BR3784+BT3784+BV3784+BX3784+BZ3784+CB3784+CD3784+CF3784+CH3784+CJ3784+CL3784+CN3784+CP3784+CR3784+CT3784</f>
        <v>0</v>
      </c>
      <c r="CV3784" s="76"/>
      <c r="CW3784" s="76">
        <f>+CV3784*1100</f>
        <v>0</v>
      </c>
      <c r="CX3784" s="76"/>
      <c r="CY3784" s="76">
        <f>+CX3784*106250</f>
        <v>0</v>
      </c>
      <c r="CZ3784" s="76"/>
      <c r="DA3784" s="76">
        <f>+CZ3784*34500</f>
        <v>0</v>
      </c>
      <c r="DB3784" s="76"/>
      <c r="DC3784" s="76">
        <f>+DB3784*25000</f>
        <v>0</v>
      </c>
      <c r="DD3784" s="219"/>
      <c r="DE3784" s="219"/>
      <c r="DF3784" s="166"/>
      <c r="DG3784" s="116"/>
      <c r="DH3784" s="117"/>
      <c r="DI3784" s="24"/>
      <c r="DJ3784" s="24"/>
      <c r="DK3784" s="24"/>
      <c r="DL3784" s="24"/>
      <c r="DM3784" s="24"/>
      <c r="DN3784" s="24"/>
      <c r="DO3784" s="24"/>
      <c r="DP3784" s="24"/>
      <c r="DQ3784" s="24"/>
      <c r="DR3784" s="24"/>
      <c r="DS3784" s="24"/>
      <c r="DT3784" s="24"/>
      <c r="DU3784" s="24"/>
    </row>
    <row r="3785" spans="1:125" s="8" customFormat="1" ht="72" x14ac:dyDescent="0.2">
      <c r="A3785" s="353">
        <v>41610</v>
      </c>
      <c r="B3785" s="352" t="s">
        <v>2847</v>
      </c>
      <c r="C3785" s="354" t="s">
        <v>2814</v>
      </c>
      <c r="D3785" s="354" t="s">
        <v>3017</v>
      </c>
      <c r="E3785" s="75" t="str">
        <f>VLOOKUP(B3785&amp;C3785,Divipola!$C$2:$F$1138,4,FALSE)</f>
        <v>68307</v>
      </c>
      <c r="F3785" s="87"/>
      <c r="G3785" s="87"/>
      <c r="H3785" s="87"/>
      <c r="I3785" s="87">
        <v>5</v>
      </c>
      <c r="J3785" s="87">
        <v>1</v>
      </c>
      <c r="K3785" s="87"/>
      <c r="L3785" s="87">
        <v>1</v>
      </c>
      <c r="M3785" s="87"/>
      <c r="N3785" s="87"/>
      <c r="O3785" s="87"/>
      <c r="P3785" s="87"/>
      <c r="Q3785" s="87"/>
      <c r="R3785" s="87"/>
      <c r="S3785" s="87"/>
      <c r="T3785" s="87"/>
      <c r="U3785" s="88"/>
      <c r="V3785" s="89"/>
      <c r="W3785" s="96">
        <v>0</v>
      </c>
      <c r="X3785" s="71">
        <f>CU3785</f>
        <v>0</v>
      </c>
      <c r="Y3785" s="71">
        <f>CY3785</f>
        <v>0</v>
      </c>
      <c r="Z3785" s="71">
        <f>DA3785+DC3785+DE3785</f>
        <v>0</v>
      </c>
      <c r="AA3785" s="71">
        <f>CW3785</f>
        <v>0</v>
      </c>
      <c r="AB3785" s="71"/>
      <c r="AC3785" s="71">
        <v>0</v>
      </c>
      <c r="AD3785" s="71">
        <f>W3785+X3785+Y3785+Z3785+AA3785+AB3785+AC3785</f>
        <v>0</v>
      </c>
      <c r="AE3785" s="72">
        <v>0</v>
      </c>
      <c r="AF3785" s="5"/>
      <c r="AG3785" s="6"/>
      <c r="AH3785" s="27"/>
      <c r="AI3785" s="44"/>
      <c r="AJ3785" s="26"/>
      <c r="AK3785" s="5"/>
      <c r="AL3785" s="82" t="s">
        <v>6819</v>
      </c>
      <c r="AM3785" s="76"/>
      <c r="AN3785" s="76"/>
      <c r="AO3785" s="76"/>
      <c r="AP3785" s="76"/>
      <c r="AQ3785" s="76"/>
      <c r="AR3785" s="76"/>
      <c r="AS3785" s="76"/>
      <c r="AT3785" s="76"/>
      <c r="AU3785" s="76"/>
      <c r="AV3785" s="76"/>
      <c r="AW3785" s="76"/>
      <c r="AX3785" s="76">
        <f>+AW3785*600000</f>
        <v>0</v>
      </c>
      <c r="AY3785" s="76"/>
      <c r="AZ3785" s="76">
        <f>+AY3785*70000</f>
        <v>0</v>
      </c>
      <c r="BA3785" s="76"/>
      <c r="BB3785" s="76"/>
      <c r="BC3785" s="76"/>
      <c r="BD3785" s="76">
        <f>+BC3785*30000</f>
        <v>0</v>
      </c>
      <c r="BE3785" s="76"/>
      <c r="BF3785" s="76"/>
      <c r="BG3785" s="76"/>
      <c r="BH3785" s="76"/>
      <c r="BI3785" s="76"/>
      <c r="BJ3785" s="76"/>
      <c r="BK3785" s="76"/>
      <c r="BL3785" s="76">
        <f>+BK3785*31500</f>
        <v>0</v>
      </c>
      <c r="BM3785" s="76"/>
      <c r="BN3785" s="76"/>
      <c r="BO3785" s="76"/>
      <c r="BP3785" s="76"/>
      <c r="BQ3785" s="76"/>
      <c r="BR3785" s="76"/>
      <c r="BS3785" s="76"/>
      <c r="BT3785" s="76"/>
      <c r="BU3785" s="76"/>
      <c r="BV3785" s="76"/>
      <c r="BW3785" s="76"/>
      <c r="BX3785" s="76"/>
      <c r="BY3785" s="76"/>
      <c r="BZ3785" s="76"/>
      <c r="CA3785" s="76"/>
      <c r="CB3785" s="76"/>
      <c r="CC3785" s="76"/>
      <c r="CD3785" s="76"/>
      <c r="CE3785" s="76"/>
      <c r="CF3785" s="76">
        <f>+CE3785*28000</f>
        <v>0</v>
      </c>
      <c r="CG3785" s="76"/>
      <c r="CH3785" s="76">
        <f>+CG3785*22500</f>
        <v>0</v>
      </c>
      <c r="CI3785" s="76"/>
      <c r="CJ3785" s="76">
        <f>+CI3785*26000</f>
        <v>0</v>
      </c>
      <c r="CK3785" s="76"/>
      <c r="CL3785" s="76"/>
      <c r="CM3785" s="76"/>
      <c r="CN3785" s="76">
        <f>+CM3785*22000</f>
        <v>0</v>
      </c>
      <c r="CO3785" s="76"/>
      <c r="CP3785" s="76">
        <f>+CO3785*46000</f>
        <v>0</v>
      </c>
      <c r="CQ3785" s="76"/>
      <c r="CR3785" s="76">
        <f>+CQ3785*49000</f>
        <v>0</v>
      </c>
      <c r="CS3785" s="76"/>
      <c r="CT3785" s="76"/>
      <c r="CU3785" s="56">
        <f>AN3785+AP3785+AR3785+AT3785+AV3785+AX3785+AZ3785+BB3785+BD3785+BF3785+BH3785+BJ3785+BL3785+BN3785+BP3785+BR3785+BT3785+BV3785+BX3785+BZ3785+CB3785+CD3785+CF3785+CH3785+CJ3785+CL3785+CN3785+CP3785+CR3785+CT3785</f>
        <v>0</v>
      </c>
      <c r="CV3785" s="76"/>
      <c r="CW3785" s="76">
        <f>+CV3785*1100</f>
        <v>0</v>
      </c>
      <c r="CX3785" s="76"/>
      <c r="CY3785" s="76">
        <f>+CX3785*106250</f>
        <v>0</v>
      </c>
      <c r="CZ3785" s="76"/>
      <c r="DA3785" s="76">
        <f>+CZ3785*34500</f>
        <v>0</v>
      </c>
      <c r="DB3785" s="76"/>
      <c r="DC3785" s="76">
        <f>+DB3785*25000</f>
        <v>0</v>
      </c>
      <c r="DD3785" s="219"/>
      <c r="DE3785" s="219"/>
      <c r="DF3785" s="166"/>
      <c r="DG3785" s="116"/>
      <c r="DH3785" s="117"/>
      <c r="DI3785" s="24"/>
      <c r="DJ3785" s="24"/>
      <c r="DK3785" s="24"/>
      <c r="DL3785" s="24"/>
      <c r="DM3785" s="24"/>
      <c r="DN3785" s="24"/>
      <c r="DO3785" s="24"/>
      <c r="DP3785" s="24"/>
      <c r="DQ3785" s="24"/>
      <c r="DR3785" s="24"/>
      <c r="DS3785" s="24"/>
      <c r="DT3785" s="24"/>
      <c r="DU3785" s="24"/>
    </row>
    <row r="3786" spans="1:125" s="8" customFormat="1" ht="48" x14ac:dyDescent="0.2">
      <c r="A3786" s="353">
        <v>41610</v>
      </c>
      <c r="B3786" s="352" t="s">
        <v>2661</v>
      </c>
      <c r="C3786" s="354" t="s">
        <v>2150</v>
      </c>
      <c r="D3786" s="354" t="s">
        <v>3051</v>
      </c>
      <c r="E3786" s="75" t="str">
        <f>VLOOKUP(B3786&amp;C3786,Divipola!$C$2:$F$1138,4,FALSE)</f>
        <v>41016</v>
      </c>
      <c r="F3786" s="87"/>
      <c r="G3786" s="87"/>
      <c r="H3786" s="87"/>
      <c r="I3786" s="87">
        <v>50</v>
      </c>
      <c r="J3786" s="87">
        <v>10</v>
      </c>
      <c r="K3786" s="87"/>
      <c r="L3786" s="87">
        <v>10</v>
      </c>
      <c r="M3786" s="87"/>
      <c r="N3786" s="87"/>
      <c r="O3786" s="87"/>
      <c r="P3786" s="87"/>
      <c r="Q3786" s="87"/>
      <c r="R3786" s="87"/>
      <c r="S3786" s="87"/>
      <c r="T3786" s="87"/>
      <c r="U3786" s="88"/>
      <c r="V3786" s="89"/>
      <c r="W3786" s="96">
        <v>0</v>
      </c>
      <c r="X3786" s="71">
        <f>CU3786</f>
        <v>0</v>
      </c>
      <c r="Y3786" s="71">
        <f>CY3786</f>
        <v>0</v>
      </c>
      <c r="Z3786" s="71">
        <f>DA3786+DC3786+DE3786</f>
        <v>0</v>
      </c>
      <c r="AA3786" s="71">
        <f>CW3786</f>
        <v>0</v>
      </c>
      <c r="AB3786" s="71"/>
      <c r="AC3786" s="71">
        <v>0</v>
      </c>
      <c r="AD3786" s="71">
        <f>W3786+X3786+Y3786+Z3786+AA3786+AB3786+AC3786</f>
        <v>0</v>
      </c>
      <c r="AE3786" s="72">
        <v>0</v>
      </c>
      <c r="AF3786" s="5"/>
      <c r="AG3786" s="6"/>
      <c r="AH3786" s="27"/>
      <c r="AI3786" s="44"/>
      <c r="AJ3786" s="26"/>
      <c r="AK3786" s="5"/>
      <c r="AL3786" s="82" t="s">
        <v>6820</v>
      </c>
      <c r="AM3786" s="76"/>
      <c r="AN3786" s="76"/>
      <c r="AO3786" s="76"/>
      <c r="AP3786" s="76"/>
      <c r="AQ3786" s="76"/>
      <c r="AR3786" s="76"/>
      <c r="AS3786" s="76"/>
      <c r="AT3786" s="76"/>
      <c r="AU3786" s="76"/>
      <c r="AV3786" s="76"/>
      <c r="AW3786" s="76"/>
      <c r="AX3786" s="76">
        <f>+AW3786*600000</f>
        <v>0</v>
      </c>
      <c r="AY3786" s="76"/>
      <c r="AZ3786" s="76">
        <f>+AY3786*70000</f>
        <v>0</v>
      </c>
      <c r="BA3786" s="76"/>
      <c r="BB3786" s="76"/>
      <c r="BC3786" s="76"/>
      <c r="BD3786" s="76">
        <f>+BC3786*30000</f>
        <v>0</v>
      </c>
      <c r="BE3786" s="76"/>
      <c r="BF3786" s="76"/>
      <c r="BG3786" s="76"/>
      <c r="BH3786" s="76"/>
      <c r="BI3786" s="76"/>
      <c r="BJ3786" s="76"/>
      <c r="BK3786" s="76"/>
      <c r="BL3786" s="76">
        <f>+BK3786*31500</f>
        <v>0</v>
      </c>
      <c r="BM3786" s="76"/>
      <c r="BN3786" s="76"/>
      <c r="BO3786" s="76"/>
      <c r="BP3786" s="76"/>
      <c r="BQ3786" s="76"/>
      <c r="BR3786" s="76"/>
      <c r="BS3786" s="76"/>
      <c r="BT3786" s="76"/>
      <c r="BU3786" s="76"/>
      <c r="BV3786" s="76"/>
      <c r="BW3786" s="76"/>
      <c r="BX3786" s="76"/>
      <c r="BY3786" s="76"/>
      <c r="BZ3786" s="76"/>
      <c r="CA3786" s="76"/>
      <c r="CB3786" s="76"/>
      <c r="CC3786" s="76"/>
      <c r="CD3786" s="76"/>
      <c r="CE3786" s="76"/>
      <c r="CF3786" s="76">
        <f>+CE3786*28000</f>
        <v>0</v>
      </c>
      <c r="CG3786" s="76"/>
      <c r="CH3786" s="76">
        <f>+CG3786*22500</f>
        <v>0</v>
      </c>
      <c r="CI3786" s="76"/>
      <c r="CJ3786" s="76">
        <f>+CI3786*26000</f>
        <v>0</v>
      </c>
      <c r="CK3786" s="76"/>
      <c r="CL3786" s="76"/>
      <c r="CM3786" s="76"/>
      <c r="CN3786" s="76">
        <f>+CM3786*22000</f>
        <v>0</v>
      </c>
      <c r="CO3786" s="76"/>
      <c r="CP3786" s="76">
        <f>+CO3786*46000</f>
        <v>0</v>
      </c>
      <c r="CQ3786" s="76"/>
      <c r="CR3786" s="76">
        <f>+CQ3786*49000</f>
        <v>0</v>
      </c>
      <c r="CS3786" s="76"/>
      <c r="CT3786" s="76"/>
      <c r="CU3786" s="56">
        <f>AN3786+AP3786+AR3786+AT3786+AV3786+AX3786+AZ3786+BB3786+BD3786+BF3786+BH3786+BJ3786+BL3786+BN3786+BP3786+BR3786+BT3786+BV3786+BX3786+BZ3786+CB3786+CD3786+CF3786+CH3786+CJ3786+CL3786+CN3786+CP3786+CR3786+CT3786</f>
        <v>0</v>
      </c>
      <c r="CV3786" s="76"/>
      <c r="CW3786" s="76">
        <f>+CV3786*1100</f>
        <v>0</v>
      </c>
      <c r="CX3786" s="76"/>
      <c r="CY3786" s="76">
        <f>+CX3786*106250</f>
        <v>0</v>
      </c>
      <c r="CZ3786" s="76"/>
      <c r="DA3786" s="76">
        <f>+CZ3786*34500</f>
        <v>0</v>
      </c>
      <c r="DB3786" s="76"/>
      <c r="DC3786" s="76">
        <f>+DB3786*25000</f>
        <v>0</v>
      </c>
      <c r="DD3786" s="219"/>
      <c r="DE3786" s="219"/>
      <c r="DF3786" s="166"/>
      <c r="DG3786" s="116"/>
      <c r="DH3786" s="117"/>
      <c r="DI3786" s="24"/>
      <c r="DJ3786" s="24"/>
      <c r="DK3786" s="24"/>
      <c r="DL3786" s="24"/>
      <c r="DM3786" s="24"/>
      <c r="DN3786" s="24"/>
      <c r="DO3786" s="24"/>
      <c r="DP3786" s="24"/>
      <c r="DQ3786" s="24"/>
      <c r="DR3786" s="24"/>
      <c r="DS3786" s="24"/>
      <c r="DT3786" s="24"/>
      <c r="DU3786" s="24"/>
    </row>
    <row r="3787" spans="1:125" s="8" customFormat="1" ht="120" x14ac:dyDescent="0.2">
      <c r="A3787" s="77">
        <v>41610</v>
      </c>
      <c r="B3787" s="75" t="s">
        <v>2772</v>
      </c>
      <c r="C3787" s="75" t="s">
        <v>2130</v>
      </c>
      <c r="D3787" s="75" t="s">
        <v>3051</v>
      </c>
      <c r="E3787" s="75" t="str">
        <f>VLOOKUP(B3787&amp;C3787,Divipola!$C$2:$F$1138,4,FALSE)</f>
        <v>25612</v>
      </c>
      <c r="F3787" s="93"/>
      <c r="G3787" s="93"/>
      <c r="H3787" s="93"/>
      <c r="I3787" s="93">
        <v>150</v>
      </c>
      <c r="J3787" s="93">
        <v>30</v>
      </c>
      <c r="K3787" s="93"/>
      <c r="L3787" s="93">
        <v>30</v>
      </c>
      <c r="M3787" s="93"/>
      <c r="N3787" s="93"/>
      <c r="O3787" s="93"/>
      <c r="P3787" s="93"/>
      <c r="Q3787" s="93"/>
      <c r="R3787" s="93"/>
      <c r="S3787" s="93"/>
      <c r="T3787" s="93"/>
      <c r="U3787" s="93"/>
      <c r="V3787" s="93"/>
      <c r="W3787" s="96">
        <v>0</v>
      </c>
      <c r="X3787" s="71">
        <f>CU3787</f>
        <v>0</v>
      </c>
      <c r="Y3787" s="71">
        <f>CY3787</f>
        <v>0</v>
      </c>
      <c r="Z3787" s="71">
        <f>DA3787+DC3787+DE3787</f>
        <v>0</v>
      </c>
      <c r="AA3787" s="71">
        <f>CW3787</f>
        <v>0</v>
      </c>
      <c r="AB3787" s="71"/>
      <c r="AC3787" s="71">
        <v>0</v>
      </c>
      <c r="AD3787" s="71">
        <f>W3787+X3787+Y3787+Z3787+AA3787+AB3787+AC3787</f>
        <v>0</v>
      </c>
      <c r="AE3787" s="72">
        <v>0</v>
      </c>
      <c r="AF3787" s="5"/>
      <c r="AG3787" s="6"/>
      <c r="AH3787" s="27"/>
      <c r="AI3787" s="44"/>
      <c r="AJ3787" s="26"/>
      <c r="AK3787" s="5"/>
      <c r="AL3787" s="330" t="s">
        <v>6821</v>
      </c>
      <c r="AM3787" s="76"/>
      <c r="AN3787" s="76"/>
      <c r="AO3787" s="76"/>
      <c r="AP3787" s="76"/>
      <c r="AQ3787" s="76"/>
      <c r="AR3787" s="76"/>
      <c r="AS3787" s="76"/>
      <c r="AT3787" s="76"/>
      <c r="AU3787" s="76"/>
      <c r="AV3787" s="76"/>
      <c r="AW3787" s="76"/>
      <c r="AX3787" s="76">
        <f>+AW3787*600000</f>
        <v>0</v>
      </c>
      <c r="AY3787" s="76"/>
      <c r="AZ3787" s="76">
        <f>+AY3787*70000</f>
        <v>0</v>
      </c>
      <c r="BA3787" s="76"/>
      <c r="BB3787" s="76"/>
      <c r="BC3787" s="76"/>
      <c r="BD3787" s="76">
        <f>+BC3787*30000</f>
        <v>0</v>
      </c>
      <c r="BE3787" s="76"/>
      <c r="BF3787" s="76"/>
      <c r="BG3787" s="76"/>
      <c r="BH3787" s="76"/>
      <c r="BI3787" s="76"/>
      <c r="BJ3787" s="76"/>
      <c r="BK3787" s="76"/>
      <c r="BL3787" s="76">
        <f>+BK3787*31500</f>
        <v>0</v>
      </c>
      <c r="BM3787" s="76"/>
      <c r="BN3787" s="76"/>
      <c r="BO3787" s="76"/>
      <c r="BP3787" s="76"/>
      <c r="BQ3787" s="76"/>
      <c r="BR3787" s="76"/>
      <c r="BS3787" s="76"/>
      <c r="BT3787" s="76"/>
      <c r="BU3787" s="76"/>
      <c r="BV3787" s="76"/>
      <c r="BW3787" s="76"/>
      <c r="BX3787" s="76"/>
      <c r="BY3787" s="76"/>
      <c r="BZ3787" s="76"/>
      <c r="CA3787" s="76"/>
      <c r="CB3787" s="76"/>
      <c r="CC3787" s="76"/>
      <c r="CD3787" s="76"/>
      <c r="CE3787" s="76"/>
      <c r="CF3787" s="76">
        <f>+CE3787*28000</f>
        <v>0</v>
      </c>
      <c r="CG3787" s="76"/>
      <c r="CH3787" s="76">
        <f>+CG3787*22500</f>
        <v>0</v>
      </c>
      <c r="CI3787" s="76"/>
      <c r="CJ3787" s="76">
        <f>+CI3787*26000</f>
        <v>0</v>
      </c>
      <c r="CK3787" s="76"/>
      <c r="CL3787" s="76"/>
      <c r="CM3787" s="76"/>
      <c r="CN3787" s="76">
        <f>+CM3787*22000</f>
        <v>0</v>
      </c>
      <c r="CO3787" s="76"/>
      <c r="CP3787" s="76">
        <f>+CO3787*46000</f>
        <v>0</v>
      </c>
      <c r="CQ3787" s="76"/>
      <c r="CR3787" s="76">
        <f>+CQ3787*49000</f>
        <v>0</v>
      </c>
      <c r="CS3787" s="76"/>
      <c r="CT3787" s="76"/>
      <c r="CU3787" s="56">
        <f>AN3787+AP3787+AR3787+AT3787+AV3787+AX3787+AZ3787+BB3787+BD3787+BF3787+BH3787+BJ3787+BL3787+BN3787+BP3787+BR3787+BT3787+BV3787+BX3787+BZ3787+CB3787+CD3787+CF3787+CH3787+CJ3787+CL3787+CN3787+CP3787+CR3787+CT3787</f>
        <v>0</v>
      </c>
      <c r="CV3787" s="76"/>
      <c r="CW3787" s="76">
        <f>+CV3787*1100</f>
        <v>0</v>
      </c>
      <c r="CX3787" s="76"/>
      <c r="CY3787" s="76">
        <f>+CX3787*106250</f>
        <v>0</v>
      </c>
      <c r="CZ3787" s="76"/>
      <c r="DA3787" s="76">
        <f>+CZ3787*34500</f>
        <v>0</v>
      </c>
      <c r="DB3787" s="76"/>
      <c r="DC3787" s="76">
        <f>+DB3787*25000</f>
        <v>0</v>
      </c>
      <c r="DD3787" s="219"/>
      <c r="DE3787" s="219"/>
      <c r="DF3787" s="166"/>
      <c r="DG3787" s="116"/>
      <c r="DH3787" s="117"/>
      <c r="DI3787" s="24"/>
      <c r="DJ3787" s="24"/>
      <c r="DK3787" s="24"/>
      <c r="DL3787" s="24"/>
      <c r="DM3787" s="24"/>
      <c r="DN3787" s="24"/>
      <c r="DO3787" s="24"/>
      <c r="DP3787" s="24"/>
      <c r="DQ3787" s="24"/>
      <c r="DR3787" s="24"/>
      <c r="DS3787" s="24"/>
      <c r="DT3787" s="24"/>
      <c r="DU3787" s="24"/>
    </row>
    <row r="3788" spans="1:125" s="8" customFormat="1" ht="36" x14ac:dyDescent="0.2">
      <c r="A3788" s="77">
        <v>41610</v>
      </c>
      <c r="B3788" s="78" t="s">
        <v>2778</v>
      </c>
      <c r="C3788" s="75" t="s">
        <v>1344</v>
      </c>
      <c r="D3788" s="75" t="s">
        <v>2846</v>
      </c>
      <c r="E3788" s="75" t="str">
        <f>VLOOKUP(B3788&amp;C3788,Divipola!$C$2:$F$1138,4,FALSE)</f>
        <v>85001</v>
      </c>
      <c r="F3788" s="87"/>
      <c r="G3788" s="87"/>
      <c r="H3788" s="87"/>
      <c r="I3788" s="87"/>
      <c r="J3788" s="87"/>
      <c r="K3788" s="87"/>
      <c r="L3788" s="87"/>
      <c r="M3788" s="87"/>
      <c r="N3788" s="87"/>
      <c r="O3788" s="87"/>
      <c r="P3788" s="87"/>
      <c r="Q3788" s="87"/>
      <c r="R3788" s="87"/>
      <c r="S3788" s="87"/>
      <c r="T3788" s="87"/>
      <c r="U3788" s="88">
        <v>2</v>
      </c>
      <c r="V3788" s="89"/>
      <c r="W3788" s="96">
        <v>0</v>
      </c>
      <c r="X3788" s="71">
        <f>CU3788</f>
        <v>0</v>
      </c>
      <c r="Y3788" s="71">
        <f>CY3788</f>
        <v>0</v>
      </c>
      <c r="Z3788" s="71">
        <f>DA3788+DC3788+DE3788</f>
        <v>0</v>
      </c>
      <c r="AA3788" s="71">
        <f>CW3788</f>
        <v>0</v>
      </c>
      <c r="AB3788" s="71"/>
      <c r="AC3788" s="71">
        <v>0</v>
      </c>
      <c r="AD3788" s="71">
        <f>W3788+X3788+Y3788+Z3788+AA3788+AB3788+AC3788</f>
        <v>0</v>
      </c>
      <c r="AE3788" s="72">
        <v>0</v>
      </c>
      <c r="AF3788" s="5"/>
      <c r="AG3788" s="6"/>
      <c r="AH3788" s="27"/>
      <c r="AI3788" s="44"/>
      <c r="AJ3788" s="26"/>
      <c r="AK3788" s="5"/>
      <c r="AL3788" s="268" t="s">
        <v>6822</v>
      </c>
      <c r="AM3788" s="76"/>
      <c r="AN3788" s="76"/>
      <c r="AO3788" s="76"/>
      <c r="AP3788" s="76"/>
      <c r="AQ3788" s="76"/>
      <c r="AR3788" s="76"/>
      <c r="AS3788" s="76"/>
      <c r="AT3788" s="76"/>
      <c r="AU3788" s="76"/>
      <c r="AV3788" s="76"/>
      <c r="AW3788" s="76"/>
      <c r="AX3788" s="76">
        <f>+AW3788*600000</f>
        <v>0</v>
      </c>
      <c r="AY3788" s="76"/>
      <c r="AZ3788" s="76">
        <f>+AY3788*70000</f>
        <v>0</v>
      </c>
      <c r="BA3788" s="76"/>
      <c r="BB3788" s="76"/>
      <c r="BC3788" s="76"/>
      <c r="BD3788" s="76">
        <f>+BC3788*30000</f>
        <v>0</v>
      </c>
      <c r="BE3788" s="76"/>
      <c r="BF3788" s="76"/>
      <c r="BG3788" s="76"/>
      <c r="BH3788" s="76"/>
      <c r="BI3788" s="76"/>
      <c r="BJ3788" s="76"/>
      <c r="BK3788" s="76"/>
      <c r="BL3788" s="76">
        <f>+BK3788*31500</f>
        <v>0</v>
      </c>
      <c r="BM3788" s="76"/>
      <c r="BN3788" s="76"/>
      <c r="BO3788" s="76"/>
      <c r="BP3788" s="76"/>
      <c r="BQ3788" s="76"/>
      <c r="BR3788" s="76"/>
      <c r="BS3788" s="76"/>
      <c r="BT3788" s="76"/>
      <c r="BU3788" s="76"/>
      <c r="BV3788" s="76"/>
      <c r="BW3788" s="76"/>
      <c r="BX3788" s="76"/>
      <c r="BY3788" s="76"/>
      <c r="BZ3788" s="76"/>
      <c r="CA3788" s="76"/>
      <c r="CB3788" s="76"/>
      <c r="CC3788" s="76"/>
      <c r="CD3788" s="76"/>
      <c r="CE3788" s="76"/>
      <c r="CF3788" s="76">
        <f>+CE3788*28000</f>
        <v>0</v>
      </c>
      <c r="CG3788" s="76"/>
      <c r="CH3788" s="76">
        <f>+CG3788*22500</f>
        <v>0</v>
      </c>
      <c r="CI3788" s="76"/>
      <c r="CJ3788" s="76">
        <f>+CI3788*26000</f>
        <v>0</v>
      </c>
      <c r="CK3788" s="76"/>
      <c r="CL3788" s="76"/>
      <c r="CM3788" s="76"/>
      <c r="CN3788" s="76">
        <f>+CM3788*22000</f>
        <v>0</v>
      </c>
      <c r="CO3788" s="76"/>
      <c r="CP3788" s="76">
        <f>+CO3788*46000</f>
        <v>0</v>
      </c>
      <c r="CQ3788" s="76"/>
      <c r="CR3788" s="76">
        <f>+CQ3788*49000</f>
        <v>0</v>
      </c>
      <c r="CS3788" s="76"/>
      <c r="CT3788" s="76"/>
      <c r="CU3788" s="56">
        <f>AN3788+AP3788+AR3788+AT3788+AV3788+AX3788+AZ3788+BB3788+BD3788+BF3788+BH3788+BJ3788+BL3788+BN3788+BP3788+BR3788+BT3788+BV3788+BX3788+BZ3788+CB3788+CD3788+CF3788+CH3788+CJ3788+CL3788+CN3788+CP3788+CR3788+CT3788</f>
        <v>0</v>
      </c>
      <c r="CV3788" s="76"/>
      <c r="CW3788" s="76">
        <f>+CV3788*1100</f>
        <v>0</v>
      </c>
      <c r="CX3788" s="76"/>
      <c r="CY3788" s="76">
        <f>+CX3788*106250</f>
        <v>0</v>
      </c>
      <c r="CZ3788" s="76"/>
      <c r="DA3788" s="76">
        <f>+CZ3788*34500</f>
        <v>0</v>
      </c>
      <c r="DB3788" s="76"/>
      <c r="DC3788" s="76">
        <f>+DB3788*25000</f>
        <v>0</v>
      </c>
      <c r="DD3788" s="219"/>
      <c r="DE3788" s="219"/>
      <c r="DF3788" s="166"/>
      <c r="DG3788" s="116"/>
      <c r="DH3788" s="117"/>
      <c r="DI3788" s="24"/>
      <c r="DJ3788" s="24"/>
      <c r="DK3788" s="24"/>
      <c r="DL3788" s="24"/>
      <c r="DM3788" s="24"/>
      <c r="DN3788" s="24"/>
      <c r="DO3788" s="24"/>
      <c r="DP3788" s="24"/>
      <c r="DQ3788" s="24"/>
      <c r="DR3788" s="24"/>
      <c r="DS3788" s="24"/>
      <c r="DT3788" s="24"/>
      <c r="DU3788" s="24"/>
    </row>
    <row r="3789" spans="1:125" s="8" customFormat="1" ht="48" x14ac:dyDescent="0.2">
      <c r="A3789" s="353">
        <v>41610</v>
      </c>
      <c r="B3789" s="352" t="s">
        <v>2196</v>
      </c>
      <c r="C3789" s="354" t="s">
        <v>508</v>
      </c>
      <c r="D3789" s="354" t="s">
        <v>3088</v>
      </c>
      <c r="E3789" s="75" t="str">
        <f>VLOOKUP(B3789&amp;C3789,Divipola!$C$2:$F$1138,4,FALSE)</f>
        <v>17001</v>
      </c>
      <c r="F3789" s="87"/>
      <c r="G3789" s="87">
        <v>2</v>
      </c>
      <c r="H3789" s="87"/>
      <c r="I3789" s="87">
        <v>2</v>
      </c>
      <c r="J3789" s="87"/>
      <c r="K3789" s="87"/>
      <c r="L3789" s="87"/>
      <c r="M3789" s="87"/>
      <c r="N3789" s="87"/>
      <c r="O3789" s="87"/>
      <c r="P3789" s="87"/>
      <c r="Q3789" s="87"/>
      <c r="R3789" s="87"/>
      <c r="S3789" s="87"/>
      <c r="T3789" s="87"/>
      <c r="U3789" s="88"/>
      <c r="V3789" s="89"/>
      <c r="W3789" s="96">
        <v>0</v>
      </c>
      <c r="X3789" s="71">
        <f>CU3789</f>
        <v>0</v>
      </c>
      <c r="Y3789" s="71">
        <f>CY3789</f>
        <v>0</v>
      </c>
      <c r="Z3789" s="71">
        <f>DA3789+DC3789+DE3789</f>
        <v>0</v>
      </c>
      <c r="AA3789" s="71">
        <f>CW3789</f>
        <v>0</v>
      </c>
      <c r="AB3789" s="71"/>
      <c r="AC3789" s="71">
        <v>0</v>
      </c>
      <c r="AD3789" s="71">
        <f>W3789+X3789+Y3789+Z3789+AA3789+AB3789+AC3789</f>
        <v>0</v>
      </c>
      <c r="AE3789" s="72">
        <v>0</v>
      </c>
      <c r="AF3789" s="5"/>
      <c r="AG3789" s="6"/>
      <c r="AH3789" s="27"/>
      <c r="AI3789" s="44"/>
      <c r="AJ3789" s="26"/>
      <c r="AK3789" s="5"/>
      <c r="AL3789" s="82" t="s">
        <v>6823</v>
      </c>
      <c r="AM3789" s="76"/>
      <c r="AN3789" s="76"/>
      <c r="AO3789" s="76"/>
      <c r="AP3789" s="76"/>
      <c r="AQ3789" s="76"/>
      <c r="AR3789" s="76"/>
      <c r="AS3789" s="76"/>
      <c r="AT3789" s="76"/>
      <c r="AU3789" s="76"/>
      <c r="AV3789" s="76"/>
      <c r="AW3789" s="76"/>
      <c r="AX3789" s="76">
        <f>+AW3789*600000</f>
        <v>0</v>
      </c>
      <c r="AY3789" s="76"/>
      <c r="AZ3789" s="76">
        <f>+AY3789*70000</f>
        <v>0</v>
      </c>
      <c r="BA3789" s="76"/>
      <c r="BB3789" s="76"/>
      <c r="BC3789" s="76"/>
      <c r="BD3789" s="76">
        <f>+BC3789*30000</f>
        <v>0</v>
      </c>
      <c r="BE3789" s="76"/>
      <c r="BF3789" s="76"/>
      <c r="BG3789" s="76"/>
      <c r="BH3789" s="76"/>
      <c r="BI3789" s="76"/>
      <c r="BJ3789" s="76"/>
      <c r="BK3789" s="76"/>
      <c r="BL3789" s="76">
        <f>+BK3789*31500</f>
        <v>0</v>
      </c>
      <c r="BM3789" s="76"/>
      <c r="BN3789" s="76"/>
      <c r="BO3789" s="76"/>
      <c r="BP3789" s="76"/>
      <c r="BQ3789" s="76"/>
      <c r="BR3789" s="76"/>
      <c r="BS3789" s="76"/>
      <c r="BT3789" s="76"/>
      <c r="BU3789" s="76"/>
      <c r="BV3789" s="76"/>
      <c r="BW3789" s="76"/>
      <c r="BX3789" s="76"/>
      <c r="BY3789" s="76"/>
      <c r="BZ3789" s="76"/>
      <c r="CA3789" s="76"/>
      <c r="CB3789" s="76"/>
      <c r="CC3789" s="76"/>
      <c r="CD3789" s="76"/>
      <c r="CE3789" s="76"/>
      <c r="CF3789" s="76">
        <f>+CE3789*28000</f>
        <v>0</v>
      </c>
      <c r="CG3789" s="76"/>
      <c r="CH3789" s="76">
        <f>+CG3789*22500</f>
        <v>0</v>
      </c>
      <c r="CI3789" s="76"/>
      <c r="CJ3789" s="76">
        <f>+CI3789*26000</f>
        <v>0</v>
      </c>
      <c r="CK3789" s="76"/>
      <c r="CL3789" s="76"/>
      <c r="CM3789" s="76"/>
      <c r="CN3789" s="76">
        <f>+CM3789*22000</f>
        <v>0</v>
      </c>
      <c r="CO3789" s="76"/>
      <c r="CP3789" s="76">
        <f>+CO3789*46000</f>
        <v>0</v>
      </c>
      <c r="CQ3789" s="76"/>
      <c r="CR3789" s="76">
        <f>+CQ3789*49000</f>
        <v>0</v>
      </c>
      <c r="CS3789" s="76"/>
      <c r="CT3789" s="76"/>
      <c r="CU3789" s="56">
        <f>AN3789+AP3789+AR3789+AT3789+AV3789+AX3789+AZ3789+BB3789+BD3789+BF3789+BH3789+BJ3789+BL3789+BN3789+BP3789+BR3789+BT3789+BV3789+BX3789+BZ3789+CB3789+CD3789+CF3789+CH3789+CJ3789+CL3789+CN3789+CP3789+CR3789+CT3789</f>
        <v>0</v>
      </c>
      <c r="CV3789" s="76"/>
      <c r="CW3789" s="76">
        <f>+CV3789*1100</f>
        <v>0</v>
      </c>
      <c r="CX3789" s="76"/>
      <c r="CY3789" s="76">
        <f>+CX3789*106250</f>
        <v>0</v>
      </c>
      <c r="CZ3789" s="76"/>
      <c r="DA3789" s="76">
        <f>+CZ3789*34500</f>
        <v>0</v>
      </c>
      <c r="DB3789" s="76"/>
      <c r="DC3789" s="76">
        <f>+DB3789*25000</f>
        <v>0</v>
      </c>
      <c r="DD3789" s="219"/>
      <c r="DE3789" s="219"/>
      <c r="DF3789" s="166"/>
      <c r="DG3789" s="116"/>
      <c r="DH3789" s="117"/>
      <c r="DI3789" s="24"/>
      <c r="DJ3789" s="24"/>
      <c r="DK3789" s="24"/>
      <c r="DL3789" s="24"/>
      <c r="DM3789" s="24"/>
      <c r="DN3789" s="24"/>
      <c r="DO3789" s="24"/>
      <c r="DP3789" s="24"/>
      <c r="DQ3789" s="24"/>
      <c r="DR3789" s="24"/>
      <c r="DS3789" s="24"/>
      <c r="DT3789" s="24"/>
      <c r="DU3789" s="24"/>
    </row>
    <row r="3790" spans="1:125" s="8" customFormat="1" ht="108" x14ac:dyDescent="0.2">
      <c r="A3790" s="353">
        <v>41610</v>
      </c>
      <c r="B3790" s="352" t="s">
        <v>2772</v>
      </c>
      <c r="C3790" s="354" t="s">
        <v>2825</v>
      </c>
      <c r="D3790" s="354" t="s">
        <v>3088</v>
      </c>
      <c r="E3790" s="75" t="str">
        <f>VLOOKUP(B3790&amp;C3790,Divipola!$C$2:$F$1138,4,FALSE)</f>
        <v>25053</v>
      </c>
      <c r="F3790" s="87"/>
      <c r="G3790" s="87"/>
      <c r="H3790" s="87"/>
      <c r="I3790" s="87"/>
      <c r="J3790" s="87"/>
      <c r="K3790" s="87"/>
      <c r="L3790" s="87"/>
      <c r="M3790" s="87">
        <v>1</v>
      </c>
      <c r="N3790" s="87"/>
      <c r="O3790" s="87"/>
      <c r="P3790" s="87"/>
      <c r="Q3790" s="87"/>
      <c r="R3790" s="87"/>
      <c r="S3790" s="87"/>
      <c r="T3790" s="87"/>
      <c r="U3790" s="88"/>
      <c r="V3790" s="89"/>
      <c r="W3790" s="96">
        <v>0</v>
      </c>
      <c r="X3790" s="71">
        <f>CU3790</f>
        <v>0</v>
      </c>
      <c r="Y3790" s="71">
        <f>CY3790</f>
        <v>0</v>
      </c>
      <c r="Z3790" s="71">
        <f>DA3790+DC3790+DE3790</f>
        <v>0</v>
      </c>
      <c r="AA3790" s="71">
        <f>CW3790</f>
        <v>0</v>
      </c>
      <c r="AB3790" s="71"/>
      <c r="AC3790" s="71">
        <v>0</v>
      </c>
      <c r="AD3790" s="71">
        <f>W3790+X3790+Y3790+Z3790+AA3790+AB3790+AC3790</f>
        <v>0</v>
      </c>
      <c r="AE3790" s="72">
        <v>0</v>
      </c>
      <c r="AF3790" s="5"/>
      <c r="AG3790" s="6"/>
      <c r="AH3790" s="27"/>
      <c r="AI3790" s="44"/>
      <c r="AJ3790" s="26"/>
      <c r="AK3790" s="5"/>
      <c r="AL3790" s="82" t="s">
        <v>6824</v>
      </c>
      <c r="AM3790" s="76"/>
      <c r="AN3790" s="76"/>
      <c r="AO3790" s="76"/>
      <c r="AP3790" s="76"/>
      <c r="AQ3790" s="76"/>
      <c r="AR3790" s="76"/>
      <c r="AS3790" s="76"/>
      <c r="AT3790" s="76"/>
      <c r="AU3790" s="76"/>
      <c r="AV3790" s="76"/>
      <c r="AW3790" s="76"/>
      <c r="AX3790" s="76">
        <f>+AW3790*600000</f>
        <v>0</v>
      </c>
      <c r="AY3790" s="76"/>
      <c r="AZ3790" s="76">
        <f>+AY3790*70000</f>
        <v>0</v>
      </c>
      <c r="BA3790" s="76"/>
      <c r="BB3790" s="76"/>
      <c r="BC3790" s="76"/>
      <c r="BD3790" s="76">
        <f>+BC3790*30000</f>
        <v>0</v>
      </c>
      <c r="BE3790" s="76"/>
      <c r="BF3790" s="76"/>
      <c r="BG3790" s="76"/>
      <c r="BH3790" s="76"/>
      <c r="BI3790" s="76"/>
      <c r="BJ3790" s="76"/>
      <c r="BK3790" s="76"/>
      <c r="BL3790" s="76">
        <f>+BK3790*31500</f>
        <v>0</v>
      </c>
      <c r="BM3790" s="76"/>
      <c r="BN3790" s="76"/>
      <c r="BO3790" s="76"/>
      <c r="BP3790" s="76"/>
      <c r="BQ3790" s="76"/>
      <c r="BR3790" s="76"/>
      <c r="BS3790" s="76"/>
      <c r="BT3790" s="76"/>
      <c r="BU3790" s="76"/>
      <c r="BV3790" s="76"/>
      <c r="BW3790" s="76"/>
      <c r="BX3790" s="76"/>
      <c r="BY3790" s="76"/>
      <c r="BZ3790" s="76"/>
      <c r="CA3790" s="76"/>
      <c r="CB3790" s="76"/>
      <c r="CC3790" s="76"/>
      <c r="CD3790" s="76"/>
      <c r="CE3790" s="76"/>
      <c r="CF3790" s="76">
        <f>+CE3790*28000</f>
        <v>0</v>
      </c>
      <c r="CG3790" s="76"/>
      <c r="CH3790" s="76">
        <f>+CG3790*22500</f>
        <v>0</v>
      </c>
      <c r="CI3790" s="76"/>
      <c r="CJ3790" s="76">
        <f>+CI3790*26000</f>
        <v>0</v>
      </c>
      <c r="CK3790" s="76"/>
      <c r="CL3790" s="76"/>
      <c r="CM3790" s="76"/>
      <c r="CN3790" s="76">
        <f>+CM3790*22000</f>
        <v>0</v>
      </c>
      <c r="CO3790" s="76"/>
      <c r="CP3790" s="76">
        <f>+CO3790*46000</f>
        <v>0</v>
      </c>
      <c r="CQ3790" s="76"/>
      <c r="CR3790" s="76">
        <f>+CQ3790*49000</f>
        <v>0</v>
      </c>
      <c r="CS3790" s="76"/>
      <c r="CT3790" s="76"/>
      <c r="CU3790" s="56">
        <f>AN3790+AP3790+AR3790+AT3790+AV3790+AX3790+AZ3790+BB3790+BD3790+BF3790+BH3790+BJ3790+BL3790+BN3790+BP3790+BR3790+BT3790+BV3790+BX3790+BZ3790+CB3790+CD3790+CF3790+CH3790+CJ3790+CL3790+CN3790+CP3790+CR3790+CT3790</f>
        <v>0</v>
      </c>
      <c r="CV3790" s="76"/>
      <c r="CW3790" s="76">
        <f>+CV3790*1100</f>
        <v>0</v>
      </c>
      <c r="CX3790" s="76"/>
      <c r="CY3790" s="76">
        <f>+CX3790*106250</f>
        <v>0</v>
      </c>
      <c r="CZ3790" s="76"/>
      <c r="DA3790" s="76">
        <f>+CZ3790*34500</f>
        <v>0</v>
      </c>
      <c r="DB3790" s="76"/>
      <c r="DC3790" s="76">
        <f>+DB3790*25000</f>
        <v>0</v>
      </c>
      <c r="DD3790" s="219"/>
      <c r="DE3790" s="219"/>
      <c r="DF3790" s="166"/>
      <c r="DG3790" s="116"/>
      <c r="DH3790" s="117"/>
      <c r="DI3790" s="24"/>
      <c r="DJ3790" s="24"/>
      <c r="DK3790" s="24"/>
      <c r="DL3790" s="24"/>
      <c r="DM3790" s="24"/>
      <c r="DN3790" s="24"/>
      <c r="DO3790" s="24"/>
      <c r="DP3790" s="24"/>
      <c r="DQ3790" s="24"/>
      <c r="DR3790" s="24"/>
      <c r="DS3790" s="24"/>
      <c r="DT3790" s="24"/>
      <c r="DU3790" s="24"/>
    </row>
    <row r="3791" spans="1:125" s="8" customFormat="1" ht="72" x14ac:dyDescent="0.2">
      <c r="A3791" s="353">
        <v>41610</v>
      </c>
      <c r="B3791" s="352" t="s">
        <v>2772</v>
      </c>
      <c r="C3791" s="354" t="s">
        <v>2825</v>
      </c>
      <c r="D3791" s="354" t="s">
        <v>3088</v>
      </c>
      <c r="E3791" s="75" t="str">
        <f>VLOOKUP(B3791&amp;C3791,Divipola!$C$2:$F$1138,4,FALSE)</f>
        <v>25053</v>
      </c>
      <c r="F3791" s="87"/>
      <c r="G3791" s="87"/>
      <c r="H3791" s="87"/>
      <c r="I3791" s="87">
        <v>15</v>
      </c>
      <c r="J3791" s="87">
        <v>3</v>
      </c>
      <c r="K3791" s="87"/>
      <c r="L3791" s="87">
        <v>3</v>
      </c>
      <c r="M3791" s="87"/>
      <c r="N3791" s="87"/>
      <c r="O3791" s="87"/>
      <c r="P3791" s="87"/>
      <c r="Q3791" s="87"/>
      <c r="R3791" s="87"/>
      <c r="S3791" s="87"/>
      <c r="T3791" s="87"/>
      <c r="U3791" s="88"/>
      <c r="V3791" s="89"/>
      <c r="W3791" s="96">
        <v>0</v>
      </c>
      <c r="X3791" s="71">
        <f>CU3791</f>
        <v>0</v>
      </c>
      <c r="Y3791" s="71">
        <f>CY3791</f>
        <v>0</v>
      </c>
      <c r="Z3791" s="71">
        <f>DA3791+DC3791+DE3791</f>
        <v>0</v>
      </c>
      <c r="AA3791" s="71">
        <f>CW3791</f>
        <v>0</v>
      </c>
      <c r="AB3791" s="71"/>
      <c r="AC3791" s="71">
        <v>0</v>
      </c>
      <c r="AD3791" s="71">
        <f>W3791+X3791+Y3791+Z3791+AA3791+AB3791+AC3791</f>
        <v>0</v>
      </c>
      <c r="AE3791" s="72">
        <v>0</v>
      </c>
      <c r="AF3791" s="5"/>
      <c r="AG3791" s="6"/>
      <c r="AH3791" s="27"/>
      <c r="AI3791" s="44"/>
      <c r="AJ3791" s="26"/>
      <c r="AK3791" s="5"/>
      <c r="AL3791" s="9" t="s">
        <v>6825</v>
      </c>
      <c r="AM3791" s="76"/>
      <c r="AN3791" s="76"/>
      <c r="AO3791" s="76"/>
      <c r="AP3791" s="76"/>
      <c r="AQ3791" s="76"/>
      <c r="AR3791" s="76"/>
      <c r="AS3791" s="76"/>
      <c r="AT3791" s="76"/>
      <c r="AU3791" s="76"/>
      <c r="AV3791" s="76"/>
      <c r="AW3791" s="76"/>
      <c r="AX3791" s="76">
        <f>+AW3791*600000</f>
        <v>0</v>
      </c>
      <c r="AY3791" s="76"/>
      <c r="AZ3791" s="76">
        <f>+AY3791*70000</f>
        <v>0</v>
      </c>
      <c r="BA3791" s="76"/>
      <c r="BB3791" s="76"/>
      <c r="BC3791" s="76"/>
      <c r="BD3791" s="76">
        <f>+BC3791*30000</f>
        <v>0</v>
      </c>
      <c r="BE3791" s="76"/>
      <c r="BF3791" s="76"/>
      <c r="BG3791" s="76"/>
      <c r="BH3791" s="76"/>
      <c r="BI3791" s="76"/>
      <c r="BJ3791" s="76"/>
      <c r="BK3791" s="76"/>
      <c r="BL3791" s="76">
        <f>+BK3791*31500</f>
        <v>0</v>
      </c>
      <c r="BM3791" s="76"/>
      <c r="BN3791" s="76"/>
      <c r="BO3791" s="76"/>
      <c r="BP3791" s="76"/>
      <c r="BQ3791" s="76"/>
      <c r="BR3791" s="76"/>
      <c r="BS3791" s="76"/>
      <c r="BT3791" s="76"/>
      <c r="BU3791" s="76"/>
      <c r="BV3791" s="76"/>
      <c r="BW3791" s="76"/>
      <c r="BX3791" s="76"/>
      <c r="BY3791" s="76"/>
      <c r="BZ3791" s="76"/>
      <c r="CA3791" s="76"/>
      <c r="CB3791" s="76"/>
      <c r="CC3791" s="76"/>
      <c r="CD3791" s="76"/>
      <c r="CE3791" s="76"/>
      <c r="CF3791" s="76">
        <f>+CE3791*28000</f>
        <v>0</v>
      </c>
      <c r="CG3791" s="76"/>
      <c r="CH3791" s="76">
        <f>+CG3791*22500</f>
        <v>0</v>
      </c>
      <c r="CI3791" s="76"/>
      <c r="CJ3791" s="76">
        <f>+CI3791*26000</f>
        <v>0</v>
      </c>
      <c r="CK3791" s="76"/>
      <c r="CL3791" s="76"/>
      <c r="CM3791" s="76"/>
      <c r="CN3791" s="76">
        <f>+CM3791*22000</f>
        <v>0</v>
      </c>
      <c r="CO3791" s="76"/>
      <c r="CP3791" s="76">
        <f>+CO3791*46000</f>
        <v>0</v>
      </c>
      <c r="CQ3791" s="76"/>
      <c r="CR3791" s="76">
        <f>+CQ3791*49000</f>
        <v>0</v>
      </c>
      <c r="CS3791" s="76"/>
      <c r="CT3791" s="76"/>
      <c r="CU3791" s="56">
        <f>AN3791+AP3791+AR3791+AT3791+AV3791+AX3791+AZ3791+BB3791+BD3791+BF3791+BH3791+BJ3791+BL3791+BN3791+BP3791+BR3791+BT3791+BV3791+BX3791+BZ3791+CB3791+CD3791+CF3791+CH3791+CJ3791+CL3791+CN3791+CP3791+CR3791+CT3791</f>
        <v>0</v>
      </c>
      <c r="CV3791" s="76"/>
      <c r="CW3791" s="76">
        <f>+CV3791*1100</f>
        <v>0</v>
      </c>
      <c r="CX3791" s="76"/>
      <c r="CY3791" s="76">
        <f>+CX3791*106250</f>
        <v>0</v>
      </c>
      <c r="CZ3791" s="76"/>
      <c r="DA3791" s="76">
        <f>+CZ3791*34500</f>
        <v>0</v>
      </c>
      <c r="DB3791" s="76"/>
      <c r="DC3791" s="76">
        <f>+DB3791*25000</f>
        <v>0</v>
      </c>
      <c r="DD3791" s="219"/>
      <c r="DE3791" s="219"/>
      <c r="DF3791" s="166"/>
      <c r="DG3791" s="116"/>
      <c r="DH3791" s="117"/>
      <c r="DI3791" s="24"/>
      <c r="DJ3791" s="24"/>
      <c r="DK3791" s="24"/>
      <c r="DL3791" s="24"/>
      <c r="DM3791" s="24"/>
      <c r="DN3791" s="24"/>
      <c r="DO3791" s="24"/>
      <c r="DP3791" s="24"/>
      <c r="DQ3791" s="24"/>
      <c r="DR3791" s="24"/>
      <c r="DS3791" s="24"/>
      <c r="DT3791" s="24"/>
      <c r="DU3791" s="24"/>
    </row>
    <row r="3792" spans="1:125" s="8" customFormat="1" ht="60" x14ac:dyDescent="0.2">
      <c r="A3792" s="5">
        <v>41610</v>
      </c>
      <c r="B3792" s="84" t="s">
        <v>2772</v>
      </c>
      <c r="C3792" s="75" t="s">
        <v>1336</v>
      </c>
      <c r="D3792" s="75" t="s">
        <v>2859</v>
      </c>
      <c r="E3792" s="75" t="str">
        <f>VLOOKUP(B3792&amp;C3792,Divipola!$C$2:$F$1138,4,FALSE)</f>
        <v>25394</v>
      </c>
      <c r="F3792" s="93"/>
      <c r="G3792" s="93"/>
      <c r="H3792" s="93"/>
      <c r="I3792" s="93"/>
      <c r="J3792" s="93"/>
      <c r="K3792" s="93"/>
      <c r="L3792" s="93"/>
      <c r="M3792" s="93"/>
      <c r="N3792" s="93"/>
      <c r="O3792" s="93"/>
      <c r="P3792" s="93"/>
      <c r="Q3792" s="93"/>
      <c r="R3792" s="93"/>
      <c r="S3792" s="93"/>
      <c r="T3792" s="93"/>
      <c r="U3792" s="93"/>
      <c r="V3792" s="93">
        <v>1</v>
      </c>
      <c r="W3792" s="96">
        <v>0</v>
      </c>
      <c r="X3792" s="71">
        <f>CU3792</f>
        <v>0</v>
      </c>
      <c r="Y3792" s="71">
        <f>CY3792</f>
        <v>0</v>
      </c>
      <c r="Z3792" s="71">
        <f>DA3792+DC3792+DE3792</f>
        <v>0</v>
      </c>
      <c r="AA3792" s="71">
        <f>CW3792</f>
        <v>0</v>
      </c>
      <c r="AB3792" s="71"/>
      <c r="AC3792" s="71">
        <v>0</v>
      </c>
      <c r="AD3792" s="71">
        <f>W3792+X3792+Y3792+Z3792+AA3792+AB3792+AC3792</f>
        <v>0</v>
      </c>
      <c r="AE3792" s="72">
        <v>0</v>
      </c>
      <c r="AF3792" s="5"/>
      <c r="AG3792" s="6"/>
      <c r="AH3792" s="27"/>
      <c r="AI3792" s="44"/>
      <c r="AJ3792" s="26"/>
      <c r="AK3792" s="5"/>
      <c r="AL3792" s="330" t="s">
        <v>6826</v>
      </c>
      <c r="AM3792" s="76"/>
      <c r="AN3792" s="76"/>
      <c r="AO3792" s="76"/>
      <c r="AP3792" s="76"/>
      <c r="AQ3792" s="76"/>
      <c r="AR3792" s="76"/>
      <c r="AS3792" s="76"/>
      <c r="AT3792" s="76"/>
      <c r="AU3792" s="76"/>
      <c r="AV3792" s="76"/>
      <c r="AW3792" s="76"/>
      <c r="AX3792" s="76">
        <f>+AW3792*600000</f>
        <v>0</v>
      </c>
      <c r="AY3792" s="76"/>
      <c r="AZ3792" s="76">
        <f>+AY3792*70000</f>
        <v>0</v>
      </c>
      <c r="BA3792" s="76"/>
      <c r="BB3792" s="76"/>
      <c r="BC3792" s="76"/>
      <c r="BD3792" s="76">
        <f>+BC3792*30000</f>
        <v>0</v>
      </c>
      <c r="BE3792" s="76"/>
      <c r="BF3792" s="76"/>
      <c r="BG3792" s="76"/>
      <c r="BH3792" s="76"/>
      <c r="BI3792" s="76"/>
      <c r="BJ3792" s="76"/>
      <c r="BK3792" s="76"/>
      <c r="BL3792" s="76">
        <f>+BK3792*31500</f>
        <v>0</v>
      </c>
      <c r="BM3792" s="76"/>
      <c r="BN3792" s="76"/>
      <c r="BO3792" s="76"/>
      <c r="BP3792" s="76"/>
      <c r="BQ3792" s="76"/>
      <c r="BR3792" s="76"/>
      <c r="BS3792" s="76"/>
      <c r="BT3792" s="76"/>
      <c r="BU3792" s="76"/>
      <c r="BV3792" s="76"/>
      <c r="BW3792" s="76"/>
      <c r="BX3792" s="76"/>
      <c r="BY3792" s="76"/>
      <c r="BZ3792" s="76"/>
      <c r="CA3792" s="76"/>
      <c r="CB3792" s="76"/>
      <c r="CC3792" s="76"/>
      <c r="CD3792" s="76"/>
      <c r="CE3792" s="76"/>
      <c r="CF3792" s="76">
        <f>+CE3792*28000</f>
        <v>0</v>
      </c>
      <c r="CG3792" s="76"/>
      <c r="CH3792" s="76">
        <f>+CG3792*22500</f>
        <v>0</v>
      </c>
      <c r="CI3792" s="76"/>
      <c r="CJ3792" s="76">
        <f>+CI3792*26000</f>
        <v>0</v>
      </c>
      <c r="CK3792" s="76"/>
      <c r="CL3792" s="76"/>
      <c r="CM3792" s="76"/>
      <c r="CN3792" s="76">
        <f>+CM3792*22000</f>
        <v>0</v>
      </c>
      <c r="CO3792" s="76"/>
      <c r="CP3792" s="76">
        <f>+CO3792*46000</f>
        <v>0</v>
      </c>
      <c r="CQ3792" s="76"/>
      <c r="CR3792" s="76">
        <f>+CQ3792*49000</f>
        <v>0</v>
      </c>
      <c r="CS3792" s="76"/>
      <c r="CT3792" s="76"/>
      <c r="CU3792" s="56">
        <f>AN3792+AP3792+AR3792+AT3792+AV3792+AX3792+AZ3792+BB3792+BD3792+BF3792+BH3792+BJ3792+BL3792+BN3792+BP3792+BR3792+BT3792+BV3792+BX3792+BZ3792+CB3792+CD3792+CF3792+CH3792+CJ3792+CL3792+CN3792+CP3792+CR3792+CT3792</f>
        <v>0</v>
      </c>
      <c r="CV3792" s="76"/>
      <c r="CW3792" s="76">
        <f>+CV3792*1100</f>
        <v>0</v>
      </c>
      <c r="CX3792" s="76"/>
      <c r="CY3792" s="76">
        <f>+CX3792*106250</f>
        <v>0</v>
      </c>
      <c r="CZ3792" s="76"/>
      <c r="DA3792" s="76">
        <f>+CZ3792*34500</f>
        <v>0</v>
      </c>
      <c r="DB3792" s="76"/>
      <c r="DC3792" s="76">
        <f>+DB3792*25000</f>
        <v>0</v>
      </c>
      <c r="DD3792" s="219"/>
      <c r="DE3792" s="219"/>
      <c r="DF3792" s="166"/>
      <c r="DG3792" s="116"/>
      <c r="DH3792" s="117"/>
      <c r="DI3792" s="24"/>
      <c r="DJ3792" s="24"/>
      <c r="DK3792" s="24"/>
      <c r="DL3792" s="24"/>
      <c r="DM3792" s="24"/>
      <c r="DN3792" s="24"/>
      <c r="DO3792" s="24"/>
      <c r="DP3792" s="24"/>
      <c r="DQ3792" s="24"/>
      <c r="DR3792" s="24"/>
      <c r="DS3792" s="24"/>
      <c r="DT3792" s="24"/>
      <c r="DU3792" s="24"/>
    </row>
    <row r="3793" spans="1:125" s="8" customFormat="1" ht="36" x14ac:dyDescent="0.2">
      <c r="A3793" s="77">
        <v>41610</v>
      </c>
      <c r="B3793" s="78" t="s">
        <v>2848</v>
      </c>
      <c r="C3793" s="83" t="s">
        <v>1907</v>
      </c>
      <c r="D3793" s="75" t="s">
        <v>3088</v>
      </c>
      <c r="E3793" s="75" t="str">
        <f>VLOOKUP(B3793&amp;C3793,Divipola!$C$2:$F$1138,4,FALSE)</f>
        <v>73624</v>
      </c>
      <c r="F3793" s="93"/>
      <c r="G3793" s="93"/>
      <c r="H3793" s="93"/>
      <c r="I3793" s="93">
        <v>5</v>
      </c>
      <c r="J3793" s="93">
        <v>1</v>
      </c>
      <c r="K3793" s="93"/>
      <c r="L3793" s="93">
        <v>1</v>
      </c>
      <c r="M3793" s="93"/>
      <c r="N3793" s="93"/>
      <c r="O3793" s="93"/>
      <c r="P3793" s="93"/>
      <c r="Q3793" s="93"/>
      <c r="R3793" s="93"/>
      <c r="S3793" s="93"/>
      <c r="T3793" s="93"/>
      <c r="U3793" s="93"/>
      <c r="V3793" s="89"/>
      <c r="W3793" s="96">
        <v>0</v>
      </c>
      <c r="X3793" s="71">
        <f>CU3793</f>
        <v>0</v>
      </c>
      <c r="Y3793" s="71">
        <f>CY3793</f>
        <v>0</v>
      </c>
      <c r="Z3793" s="71">
        <f>DA3793+DC3793+DE3793</f>
        <v>0</v>
      </c>
      <c r="AA3793" s="71">
        <f>CW3793</f>
        <v>0</v>
      </c>
      <c r="AB3793" s="71"/>
      <c r="AC3793" s="71">
        <v>0</v>
      </c>
      <c r="AD3793" s="71">
        <f>W3793+X3793+Y3793+Z3793+AA3793+AB3793+AC3793</f>
        <v>0</v>
      </c>
      <c r="AE3793" s="72">
        <v>0</v>
      </c>
      <c r="AF3793" s="5"/>
      <c r="AG3793" s="6"/>
      <c r="AH3793" s="27"/>
      <c r="AI3793" s="44"/>
      <c r="AJ3793" s="26"/>
      <c r="AK3793" s="5"/>
      <c r="AL3793" s="82" t="s">
        <v>6827</v>
      </c>
      <c r="AM3793" s="76"/>
      <c r="AN3793" s="76"/>
      <c r="AO3793" s="76"/>
      <c r="AP3793" s="76"/>
      <c r="AQ3793" s="76"/>
      <c r="AR3793" s="76"/>
      <c r="AS3793" s="76"/>
      <c r="AT3793" s="76"/>
      <c r="AU3793" s="76"/>
      <c r="AV3793" s="76"/>
      <c r="AW3793" s="76"/>
      <c r="AX3793" s="76">
        <f>+AW3793*600000</f>
        <v>0</v>
      </c>
      <c r="AY3793" s="76"/>
      <c r="AZ3793" s="76">
        <f>+AY3793*70000</f>
        <v>0</v>
      </c>
      <c r="BA3793" s="76"/>
      <c r="BB3793" s="76"/>
      <c r="BC3793" s="76"/>
      <c r="BD3793" s="76">
        <f>+BC3793*30000</f>
        <v>0</v>
      </c>
      <c r="BE3793" s="76"/>
      <c r="BF3793" s="76"/>
      <c r="BG3793" s="76"/>
      <c r="BH3793" s="76"/>
      <c r="BI3793" s="76"/>
      <c r="BJ3793" s="76"/>
      <c r="BK3793" s="76"/>
      <c r="BL3793" s="76">
        <f>+BK3793*31500</f>
        <v>0</v>
      </c>
      <c r="BM3793" s="76"/>
      <c r="BN3793" s="76"/>
      <c r="BO3793" s="76"/>
      <c r="BP3793" s="76"/>
      <c r="BQ3793" s="76"/>
      <c r="BR3793" s="76"/>
      <c r="BS3793" s="76"/>
      <c r="BT3793" s="76"/>
      <c r="BU3793" s="76"/>
      <c r="BV3793" s="76"/>
      <c r="BW3793" s="76"/>
      <c r="BX3793" s="76"/>
      <c r="BY3793" s="76"/>
      <c r="BZ3793" s="76"/>
      <c r="CA3793" s="76"/>
      <c r="CB3793" s="76"/>
      <c r="CC3793" s="76"/>
      <c r="CD3793" s="76"/>
      <c r="CE3793" s="76"/>
      <c r="CF3793" s="76">
        <f>+CE3793*28000</f>
        <v>0</v>
      </c>
      <c r="CG3793" s="76"/>
      <c r="CH3793" s="76">
        <f>+CG3793*22500</f>
        <v>0</v>
      </c>
      <c r="CI3793" s="76"/>
      <c r="CJ3793" s="76">
        <f>+CI3793*26000</f>
        <v>0</v>
      </c>
      <c r="CK3793" s="76"/>
      <c r="CL3793" s="76"/>
      <c r="CM3793" s="76"/>
      <c r="CN3793" s="76">
        <f>+CM3793*22000</f>
        <v>0</v>
      </c>
      <c r="CO3793" s="76"/>
      <c r="CP3793" s="76">
        <f>+CO3793*46000</f>
        <v>0</v>
      </c>
      <c r="CQ3793" s="76"/>
      <c r="CR3793" s="76">
        <f>+CQ3793*49000</f>
        <v>0</v>
      </c>
      <c r="CS3793" s="76"/>
      <c r="CT3793" s="76"/>
      <c r="CU3793" s="56">
        <f>AN3793+AP3793+AR3793+AT3793+AV3793+AX3793+AZ3793+BB3793+BD3793+BF3793+BH3793+BJ3793+BL3793+BN3793+BP3793+BR3793+BT3793+BV3793+BX3793+BZ3793+CB3793+CD3793+CF3793+CH3793+CJ3793+CL3793+CN3793+CP3793+CR3793+CT3793</f>
        <v>0</v>
      </c>
      <c r="CV3793" s="76"/>
      <c r="CW3793" s="76">
        <f>+CV3793*1100</f>
        <v>0</v>
      </c>
      <c r="CX3793" s="76"/>
      <c r="CY3793" s="76">
        <f>+CX3793*106250</f>
        <v>0</v>
      </c>
      <c r="CZ3793" s="76"/>
      <c r="DA3793" s="76">
        <f>+CZ3793*34500</f>
        <v>0</v>
      </c>
      <c r="DB3793" s="76"/>
      <c r="DC3793" s="76">
        <f>+DB3793*25000</f>
        <v>0</v>
      </c>
      <c r="DD3793" s="219"/>
      <c r="DE3793" s="219"/>
      <c r="DF3793" s="166"/>
      <c r="DG3793" s="116"/>
      <c r="DH3793" s="117"/>
      <c r="DI3793" s="24"/>
      <c r="DJ3793" s="24"/>
      <c r="DK3793" s="24"/>
      <c r="DL3793" s="24"/>
      <c r="DM3793" s="24"/>
      <c r="DN3793" s="24"/>
      <c r="DO3793" s="24"/>
      <c r="DP3793" s="24"/>
      <c r="DQ3793" s="24"/>
      <c r="DR3793" s="24"/>
      <c r="DS3793" s="24"/>
      <c r="DT3793" s="24"/>
      <c r="DU3793" s="24"/>
    </row>
    <row r="3794" spans="1:125" s="8" customFormat="1" ht="84" x14ac:dyDescent="0.2">
      <c r="A3794" s="77">
        <v>41610</v>
      </c>
      <c r="B3794" s="78" t="s">
        <v>2848</v>
      </c>
      <c r="C3794" s="75" t="s">
        <v>2128</v>
      </c>
      <c r="D3794" s="75" t="s">
        <v>2849</v>
      </c>
      <c r="E3794" s="75" t="str">
        <f>VLOOKUP(B3794&amp;C3794,Divipola!$C$2:$F$1138,4,FALSE)</f>
        <v>73124</v>
      </c>
      <c r="F3794" s="87">
        <v>2</v>
      </c>
      <c r="G3794" s="87">
        <v>1</v>
      </c>
      <c r="H3794" s="87">
        <v>1</v>
      </c>
      <c r="I3794" s="87">
        <v>4</v>
      </c>
      <c r="J3794" s="87"/>
      <c r="K3794" s="87"/>
      <c r="L3794" s="87"/>
      <c r="M3794" s="87"/>
      <c r="N3794" s="87"/>
      <c r="O3794" s="87"/>
      <c r="P3794" s="87"/>
      <c r="Q3794" s="87"/>
      <c r="R3794" s="87"/>
      <c r="S3794" s="87"/>
      <c r="T3794" s="87"/>
      <c r="U3794" s="88"/>
      <c r="V3794" s="89"/>
      <c r="W3794" s="96">
        <v>0</v>
      </c>
      <c r="X3794" s="71">
        <f>CU3794</f>
        <v>0</v>
      </c>
      <c r="Y3794" s="71">
        <f>CY3794</f>
        <v>0</v>
      </c>
      <c r="Z3794" s="71">
        <f>DA3794+DC3794+DE3794</f>
        <v>0</v>
      </c>
      <c r="AA3794" s="71">
        <f>CW3794</f>
        <v>0</v>
      </c>
      <c r="AB3794" s="71"/>
      <c r="AC3794" s="71">
        <v>0</v>
      </c>
      <c r="AD3794" s="71">
        <f>W3794+X3794+Y3794+Z3794+AA3794+AB3794+AC3794</f>
        <v>0</v>
      </c>
      <c r="AE3794" s="72">
        <v>0</v>
      </c>
      <c r="AF3794" s="5"/>
      <c r="AG3794" s="6"/>
      <c r="AH3794" s="27"/>
      <c r="AI3794" s="44"/>
      <c r="AJ3794" s="26"/>
      <c r="AK3794" s="5"/>
      <c r="AL3794" s="268" t="s">
        <v>6828</v>
      </c>
      <c r="AM3794" s="76"/>
      <c r="AN3794" s="76"/>
      <c r="AO3794" s="76"/>
      <c r="AP3794" s="76"/>
      <c r="AQ3794" s="76"/>
      <c r="AR3794" s="76"/>
      <c r="AS3794" s="76"/>
      <c r="AT3794" s="76"/>
      <c r="AU3794" s="76"/>
      <c r="AV3794" s="76"/>
      <c r="AW3794" s="76"/>
      <c r="AX3794" s="76">
        <f>+AW3794*600000</f>
        <v>0</v>
      </c>
      <c r="AY3794" s="76"/>
      <c r="AZ3794" s="76">
        <f>+AY3794*70000</f>
        <v>0</v>
      </c>
      <c r="BA3794" s="76"/>
      <c r="BB3794" s="76"/>
      <c r="BC3794" s="76"/>
      <c r="BD3794" s="76">
        <f>+BC3794*30000</f>
        <v>0</v>
      </c>
      <c r="BE3794" s="76"/>
      <c r="BF3794" s="76"/>
      <c r="BG3794" s="76"/>
      <c r="BH3794" s="76"/>
      <c r="BI3794" s="76"/>
      <c r="BJ3794" s="76"/>
      <c r="BK3794" s="76"/>
      <c r="BL3794" s="76">
        <f>+BK3794*31500</f>
        <v>0</v>
      </c>
      <c r="BM3794" s="76"/>
      <c r="BN3794" s="76"/>
      <c r="BO3794" s="76"/>
      <c r="BP3794" s="76"/>
      <c r="BQ3794" s="76"/>
      <c r="BR3794" s="76"/>
      <c r="BS3794" s="76"/>
      <c r="BT3794" s="76"/>
      <c r="BU3794" s="76"/>
      <c r="BV3794" s="76"/>
      <c r="BW3794" s="76"/>
      <c r="BX3794" s="76"/>
      <c r="BY3794" s="76"/>
      <c r="BZ3794" s="76"/>
      <c r="CA3794" s="76"/>
      <c r="CB3794" s="76"/>
      <c r="CC3794" s="76"/>
      <c r="CD3794" s="76"/>
      <c r="CE3794" s="76"/>
      <c r="CF3794" s="76">
        <f>+CE3794*28000</f>
        <v>0</v>
      </c>
      <c r="CG3794" s="76"/>
      <c r="CH3794" s="76">
        <f>+CG3794*22500</f>
        <v>0</v>
      </c>
      <c r="CI3794" s="76"/>
      <c r="CJ3794" s="76">
        <f>+CI3794*26000</f>
        <v>0</v>
      </c>
      <c r="CK3794" s="76"/>
      <c r="CL3794" s="76"/>
      <c r="CM3794" s="76"/>
      <c r="CN3794" s="76">
        <f>+CM3794*22000</f>
        <v>0</v>
      </c>
      <c r="CO3794" s="76"/>
      <c r="CP3794" s="76">
        <f>+CO3794*46000</f>
        <v>0</v>
      </c>
      <c r="CQ3794" s="76"/>
      <c r="CR3794" s="76">
        <f>+CQ3794*49000</f>
        <v>0</v>
      </c>
      <c r="CS3794" s="76"/>
      <c r="CT3794" s="76"/>
      <c r="CU3794" s="56">
        <f>AN3794+AP3794+AR3794+AT3794+AV3794+AX3794+AZ3794+BB3794+BD3794+BF3794+BH3794+BJ3794+BL3794+BN3794+BP3794+BR3794+BT3794+BV3794+BX3794+BZ3794+CB3794+CD3794+CF3794+CH3794+CJ3794+CL3794+CN3794+CP3794+CR3794+CT3794</f>
        <v>0</v>
      </c>
      <c r="CV3794" s="76"/>
      <c r="CW3794" s="76">
        <f>+CV3794*1100</f>
        <v>0</v>
      </c>
      <c r="CX3794" s="76"/>
      <c r="CY3794" s="76">
        <f>+CX3794*106250</f>
        <v>0</v>
      </c>
      <c r="CZ3794" s="76"/>
      <c r="DA3794" s="76">
        <f>+CZ3794*34500</f>
        <v>0</v>
      </c>
      <c r="DB3794" s="76"/>
      <c r="DC3794" s="76">
        <f>+DB3794*25000</f>
        <v>0</v>
      </c>
      <c r="DD3794" s="219"/>
      <c r="DE3794" s="219"/>
      <c r="DF3794" s="166"/>
      <c r="DG3794" s="116"/>
      <c r="DH3794" s="117"/>
      <c r="DI3794" s="24"/>
      <c r="DJ3794" s="24"/>
      <c r="DK3794" s="24"/>
      <c r="DL3794" s="24"/>
      <c r="DM3794" s="24"/>
      <c r="DN3794" s="24"/>
      <c r="DO3794" s="24"/>
      <c r="DP3794" s="24"/>
      <c r="DQ3794" s="24"/>
      <c r="DR3794" s="24"/>
      <c r="DS3794" s="24"/>
      <c r="DT3794" s="24"/>
      <c r="DU3794" s="24"/>
    </row>
    <row r="3795" spans="1:125" s="8" customFormat="1" ht="84" x14ac:dyDescent="0.2">
      <c r="A3795" s="353">
        <v>41610</v>
      </c>
      <c r="B3795" s="352" t="s">
        <v>2894</v>
      </c>
      <c r="C3795" s="354" t="s">
        <v>2406</v>
      </c>
      <c r="D3795" s="354" t="s">
        <v>2936</v>
      </c>
      <c r="E3795" s="75" t="str">
        <f>VLOOKUP(B3795&amp;C3795,Divipola!$C$2:$F$1138,4,FALSE)</f>
        <v>05148</v>
      </c>
      <c r="F3795" s="87"/>
      <c r="G3795" s="87">
        <v>6</v>
      </c>
      <c r="H3795" s="87"/>
      <c r="I3795" s="87"/>
      <c r="J3795" s="87"/>
      <c r="K3795" s="87"/>
      <c r="L3795" s="87"/>
      <c r="M3795" s="87"/>
      <c r="N3795" s="87"/>
      <c r="O3795" s="87"/>
      <c r="P3795" s="87"/>
      <c r="Q3795" s="87"/>
      <c r="R3795" s="87"/>
      <c r="S3795" s="87"/>
      <c r="T3795" s="87"/>
      <c r="U3795" s="88"/>
      <c r="V3795" s="89"/>
      <c r="W3795" s="96">
        <v>0</v>
      </c>
      <c r="X3795" s="71">
        <f>CU3795</f>
        <v>0</v>
      </c>
      <c r="Y3795" s="71">
        <f>CY3795</f>
        <v>0</v>
      </c>
      <c r="Z3795" s="71">
        <f>DA3795+DC3795+DE3795</f>
        <v>0</v>
      </c>
      <c r="AA3795" s="71">
        <f>CW3795</f>
        <v>0</v>
      </c>
      <c r="AB3795" s="71"/>
      <c r="AC3795" s="71">
        <v>0</v>
      </c>
      <c r="AD3795" s="71">
        <f>W3795+X3795+Y3795+Z3795+AA3795+AB3795+AC3795</f>
        <v>0</v>
      </c>
      <c r="AE3795" s="72">
        <v>0</v>
      </c>
      <c r="AF3795" s="5"/>
      <c r="AG3795" s="6"/>
      <c r="AH3795" s="27"/>
      <c r="AI3795" s="44"/>
      <c r="AJ3795" s="26"/>
      <c r="AK3795" s="5"/>
      <c r="AL3795" s="82" t="s">
        <v>6829</v>
      </c>
      <c r="AM3795" s="76"/>
      <c r="AN3795" s="76"/>
      <c r="AO3795" s="76"/>
      <c r="AP3795" s="76"/>
      <c r="AQ3795" s="76"/>
      <c r="AR3795" s="76"/>
      <c r="AS3795" s="76"/>
      <c r="AT3795" s="76"/>
      <c r="AU3795" s="76"/>
      <c r="AV3795" s="76"/>
      <c r="AW3795" s="76"/>
      <c r="AX3795" s="76">
        <f>+AW3795*600000</f>
        <v>0</v>
      </c>
      <c r="AY3795" s="76"/>
      <c r="AZ3795" s="76">
        <f>+AY3795*70000</f>
        <v>0</v>
      </c>
      <c r="BA3795" s="76"/>
      <c r="BB3795" s="76"/>
      <c r="BC3795" s="76"/>
      <c r="BD3795" s="76">
        <f>+BC3795*30000</f>
        <v>0</v>
      </c>
      <c r="BE3795" s="76"/>
      <c r="BF3795" s="76"/>
      <c r="BG3795" s="76"/>
      <c r="BH3795" s="76"/>
      <c r="BI3795" s="76"/>
      <c r="BJ3795" s="76"/>
      <c r="BK3795" s="76"/>
      <c r="BL3795" s="76">
        <f>+BK3795*31500</f>
        <v>0</v>
      </c>
      <c r="BM3795" s="76"/>
      <c r="BN3795" s="76"/>
      <c r="BO3795" s="76"/>
      <c r="BP3795" s="76"/>
      <c r="BQ3795" s="76"/>
      <c r="BR3795" s="76"/>
      <c r="BS3795" s="76"/>
      <c r="BT3795" s="76"/>
      <c r="BU3795" s="76"/>
      <c r="BV3795" s="76"/>
      <c r="BW3795" s="76"/>
      <c r="BX3795" s="76"/>
      <c r="BY3795" s="76"/>
      <c r="BZ3795" s="76"/>
      <c r="CA3795" s="76"/>
      <c r="CB3795" s="76"/>
      <c r="CC3795" s="76"/>
      <c r="CD3795" s="76"/>
      <c r="CE3795" s="76"/>
      <c r="CF3795" s="76">
        <f>+CE3795*28000</f>
        <v>0</v>
      </c>
      <c r="CG3795" s="76"/>
      <c r="CH3795" s="76">
        <f>+CG3795*22500</f>
        <v>0</v>
      </c>
      <c r="CI3795" s="76"/>
      <c r="CJ3795" s="76">
        <f>+CI3795*26000</f>
        <v>0</v>
      </c>
      <c r="CK3795" s="76"/>
      <c r="CL3795" s="76"/>
      <c r="CM3795" s="76"/>
      <c r="CN3795" s="76">
        <f>+CM3795*22000</f>
        <v>0</v>
      </c>
      <c r="CO3795" s="76"/>
      <c r="CP3795" s="76">
        <f>+CO3795*46000</f>
        <v>0</v>
      </c>
      <c r="CQ3795" s="76"/>
      <c r="CR3795" s="76">
        <f>+CQ3795*49000</f>
        <v>0</v>
      </c>
      <c r="CS3795" s="76"/>
      <c r="CT3795" s="76"/>
      <c r="CU3795" s="56">
        <f>AN3795+AP3795+AR3795+AT3795+AV3795+AX3795+AZ3795+BB3795+BD3795+BF3795+BH3795+BJ3795+BL3795+BN3795+BP3795+BR3795+BT3795+BV3795+BX3795+BZ3795+CB3795+CD3795+CF3795+CH3795+CJ3795+CL3795+CN3795+CP3795+CR3795+CT3795</f>
        <v>0</v>
      </c>
      <c r="CV3795" s="76"/>
      <c r="CW3795" s="76">
        <f>+CV3795*1100</f>
        <v>0</v>
      </c>
      <c r="CX3795" s="76"/>
      <c r="CY3795" s="76">
        <f>+CX3795*106250</f>
        <v>0</v>
      </c>
      <c r="CZ3795" s="76"/>
      <c r="DA3795" s="76">
        <f>+CZ3795*34500</f>
        <v>0</v>
      </c>
      <c r="DB3795" s="76"/>
      <c r="DC3795" s="76">
        <f>+DB3795*25000</f>
        <v>0</v>
      </c>
      <c r="DD3795" s="219"/>
      <c r="DE3795" s="219"/>
      <c r="DF3795" s="166"/>
      <c r="DG3795" s="116"/>
      <c r="DH3795" s="117"/>
      <c r="DI3795" s="24"/>
      <c r="DJ3795" s="24"/>
      <c r="DK3795" s="24"/>
      <c r="DL3795" s="24"/>
      <c r="DM3795" s="24"/>
      <c r="DN3795" s="24"/>
      <c r="DO3795" s="24"/>
      <c r="DP3795" s="24"/>
      <c r="DQ3795" s="24"/>
      <c r="DR3795" s="24"/>
      <c r="DS3795" s="24"/>
      <c r="DT3795" s="24"/>
      <c r="DU3795" s="24"/>
    </row>
    <row r="3796" spans="1:125" s="8" customFormat="1" ht="108" x14ac:dyDescent="0.2">
      <c r="A3796" s="77">
        <v>41610</v>
      </c>
      <c r="B3796" s="78" t="s">
        <v>2196</v>
      </c>
      <c r="C3796" s="83" t="s">
        <v>508</v>
      </c>
      <c r="D3796" s="75" t="s">
        <v>3051</v>
      </c>
      <c r="E3796" s="75" t="str">
        <f>VLOOKUP(B3796&amp;C3796,Divipola!$C$2:$F$1138,4,FALSE)</f>
        <v>17001</v>
      </c>
      <c r="F3796" s="93"/>
      <c r="G3796" s="93">
        <v>10</v>
      </c>
      <c r="H3796" s="93"/>
      <c r="I3796" s="93">
        <v>280</v>
      </c>
      <c r="J3796" s="93">
        <v>56</v>
      </c>
      <c r="K3796" s="93">
        <v>6</v>
      </c>
      <c r="L3796" s="93">
        <v>50</v>
      </c>
      <c r="M3796" s="93">
        <v>1</v>
      </c>
      <c r="N3796" s="93"/>
      <c r="O3796" s="93"/>
      <c r="P3796" s="93"/>
      <c r="Q3796" s="93"/>
      <c r="R3796" s="93"/>
      <c r="S3796" s="93"/>
      <c r="T3796" s="93"/>
      <c r="U3796" s="93"/>
      <c r="V3796" s="89"/>
      <c r="W3796" s="96">
        <v>0</v>
      </c>
      <c r="X3796" s="71">
        <f>CU3796</f>
        <v>0</v>
      </c>
      <c r="Y3796" s="71">
        <f>CY3796</f>
        <v>0</v>
      </c>
      <c r="Z3796" s="71">
        <f>DA3796+DC3796+DE3796</f>
        <v>0</v>
      </c>
      <c r="AA3796" s="71">
        <f>CW3796</f>
        <v>0</v>
      </c>
      <c r="AB3796" s="71"/>
      <c r="AC3796" s="71">
        <v>0</v>
      </c>
      <c r="AD3796" s="71">
        <f>W3796+X3796+Y3796+Z3796+AA3796+AB3796+AC3796</f>
        <v>0</v>
      </c>
      <c r="AE3796" s="72">
        <v>0</v>
      </c>
      <c r="AF3796" s="5"/>
      <c r="AG3796" s="6"/>
      <c r="AH3796" s="27"/>
      <c r="AI3796" s="44"/>
      <c r="AJ3796" s="26"/>
      <c r="AK3796" s="5"/>
      <c r="AL3796" s="82" t="s">
        <v>6831</v>
      </c>
      <c r="AM3796" s="76"/>
      <c r="AN3796" s="76"/>
      <c r="AO3796" s="76"/>
      <c r="AP3796" s="76"/>
      <c r="AQ3796" s="76"/>
      <c r="AR3796" s="76"/>
      <c r="AS3796" s="76"/>
      <c r="AT3796" s="76"/>
      <c r="AU3796" s="76"/>
      <c r="AV3796" s="76"/>
      <c r="AW3796" s="76"/>
      <c r="AX3796" s="76">
        <f>+AW3796*600000</f>
        <v>0</v>
      </c>
      <c r="AY3796" s="76"/>
      <c r="AZ3796" s="76">
        <f>+AY3796*70000</f>
        <v>0</v>
      </c>
      <c r="BA3796" s="76"/>
      <c r="BB3796" s="76"/>
      <c r="BC3796" s="76"/>
      <c r="BD3796" s="76">
        <f>+BC3796*30000</f>
        <v>0</v>
      </c>
      <c r="BE3796" s="76"/>
      <c r="BF3796" s="76"/>
      <c r="BG3796" s="76"/>
      <c r="BH3796" s="76"/>
      <c r="BI3796" s="76"/>
      <c r="BJ3796" s="76"/>
      <c r="BK3796" s="76"/>
      <c r="BL3796" s="76">
        <f>+BK3796*31500</f>
        <v>0</v>
      </c>
      <c r="BM3796" s="76"/>
      <c r="BN3796" s="76"/>
      <c r="BO3796" s="76"/>
      <c r="BP3796" s="76"/>
      <c r="BQ3796" s="76"/>
      <c r="BR3796" s="76"/>
      <c r="BS3796" s="76"/>
      <c r="BT3796" s="76"/>
      <c r="BU3796" s="76"/>
      <c r="BV3796" s="76"/>
      <c r="BW3796" s="76"/>
      <c r="BX3796" s="76"/>
      <c r="BY3796" s="76"/>
      <c r="BZ3796" s="76"/>
      <c r="CA3796" s="76"/>
      <c r="CB3796" s="76"/>
      <c r="CC3796" s="76"/>
      <c r="CD3796" s="76"/>
      <c r="CE3796" s="76"/>
      <c r="CF3796" s="76">
        <f>+CE3796*28000</f>
        <v>0</v>
      </c>
      <c r="CG3796" s="76"/>
      <c r="CH3796" s="76">
        <f>+CG3796*22500</f>
        <v>0</v>
      </c>
      <c r="CI3796" s="76"/>
      <c r="CJ3796" s="76">
        <f>+CI3796*26000</f>
        <v>0</v>
      </c>
      <c r="CK3796" s="76"/>
      <c r="CL3796" s="76"/>
      <c r="CM3796" s="76"/>
      <c r="CN3796" s="76">
        <f>+CM3796*22000</f>
        <v>0</v>
      </c>
      <c r="CO3796" s="76"/>
      <c r="CP3796" s="76">
        <f>+CO3796*46000</f>
        <v>0</v>
      </c>
      <c r="CQ3796" s="76"/>
      <c r="CR3796" s="76">
        <f>+CQ3796*49000</f>
        <v>0</v>
      </c>
      <c r="CS3796" s="76"/>
      <c r="CT3796" s="76"/>
      <c r="CU3796" s="56">
        <f>AN3796+AP3796+AR3796+AT3796+AV3796+AX3796+AZ3796+BB3796+BD3796+BF3796+BH3796+BJ3796+BL3796+BN3796+BP3796+BR3796+BT3796+BV3796+BX3796+BZ3796+CB3796+CD3796+CF3796+CH3796+CJ3796+CL3796+CN3796+CP3796+CR3796+CT3796</f>
        <v>0</v>
      </c>
      <c r="CV3796" s="76"/>
      <c r="CW3796" s="76">
        <f>+CV3796*1100</f>
        <v>0</v>
      </c>
      <c r="CX3796" s="76"/>
      <c r="CY3796" s="76">
        <f>+CX3796*106250</f>
        <v>0</v>
      </c>
      <c r="CZ3796" s="76"/>
      <c r="DA3796" s="76">
        <f>+CZ3796*34500</f>
        <v>0</v>
      </c>
      <c r="DB3796" s="76"/>
      <c r="DC3796" s="76">
        <f>+DB3796*25000</f>
        <v>0</v>
      </c>
      <c r="DD3796" s="219"/>
      <c r="DE3796" s="219"/>
      <c r="DF3796" s="166"/>
      <c r="DG3796" s="116"/>
      <c r="DH3796" s="117"/>
      <c r="DI3796" s="24"/>
      <c r="DJ3796" s="24"/>
      <c r="DK3796" s="24"/>
      <c r="DL3796" s="24"/>
      <c r="DM3796" s="24"/>
      <c r="DN3796" s="24"/>
      <c r="DO3796" s="24"/>
      <c r="DP3796" s="24"/>
      <c r="DQ3796" s="24"/>
      <c r="DR3796" s="24"/>
      <c r="DS3796" s="24"/>
      <c r="DT3796" s="24"/>
      <c r="DU3796" s="24"/>
    </row>
    <row r="3797" spans="1:125" s="8" customFormat="1" ht="192" x14ac:dyDescent="0.2">
      <c r="A3797" s="77">
        <v>41610</v>
      </c>
      <c r="B3797" s="78" t="s">
        <v>2847</v>
      </c>
      <c r="C3797" s="75" t="s">
        <v>1722</v>
      </c>
      <c r="D3797" s="75" t="s">
        <v>3051</v>
      </c>
      <c r="E3797" s="75" t="str">
        <f>VLOOKUP(B3797&amp;C3797,Divipola!$C$2:$F$1138,4,FALSE)</f>
        <v>68377</v>
      </c>
      <c r="F3797" s="87">
        <v>1</v>
      </c>
      <c r="G3797" s="87"/>
      <c r="H3797" s="87"/>
      <c r="I3797" s="87"/>
      <c r="J3797" s="87"/>
      <c r="K3797" s="87"/>
      <c r="L3797" s="87"/>
      <c r="M3797" s="87"/>
      <c r="N3797" s="87"/>
      <c r="O3797" s="87"/>
      <c r="P3797" s="87"/>
      <c r="Q3797" s="87"/>
      <c r="R3797" s="87"/>
      <c r="S3797" s="87"/>
      <c r="T3797" s="87"/>
      <c r="U3797" s="89"/>
      <c r="V3797" s="355"/>
      <c r="W3797" s="96">
        <v>0</v>
      </c>
      <c r="X3797" s="71">
        <f>CU3797</f>
        <v>0</v>
      </c>
      <c r="Y3797" s="71">
        <f>CY3797</f>
        <v>0</v>
      </c>
      <c r="Z3797" s="71">
        <f>DA3797+DC3797+DE3797</f>
        <v>0</v>
      </c>
      <c r="AA3797" s="71">
        <f>CW3797</f>
        <v>0</v>
      </c>
      <c r="AB3797" s="71"/>
      <c r="AC3797" s="71">
        <v>0</v>
      </c>
      <c r="AD3797" s="71">
        <f>W3797+X3797+Y3797+Z3797+AA3797+AB3797+AC3797</f>
        <v>0</v>
      </c>
      <c r="AE3797" s="72">
        <v>0</v>
      </c>
      <c r="AF3797" s="5"/>
      <c r="AG3797" s="6"/>
      <c r="AH3797" s="27"/>
      <c r="AI3797" s="44"/>
      <c r="AJ3797" s="26"/>
      <c r="AK3797" s="5"/>
      <c r="AL3797" s="82" t="s">
        <v>6832</v>
      </c>
      <c r="AM3797" s="76"/>
      <c r="AN3797" s="76"/>
      <c r="AO3797" s="76"/>
      <c r="AP3797" s="76"/>
      <c r="AQ3797" s="76"/>
      <c r="AR3797" s="76"/>
      <c r="AS3797" s="76"/>
      <c r="AT3797" s="76"/>
      <c r="AU3797" s="76"/>
      <c r="AV3797" s="76"/>
      <c r="AW3797" s="76"/>
      <c r="AX3797" s="76">
        <f>+AW3797*600000</f>
        <v>0</v>
      </c>
      <c r="AY3797" s="76"/>
      <c r="AZ3797" s="76">
        <f>+AY3797*70000</f>
        <v>0</v>
      </c>
      <c r="BA3797" s="76"/>
      <c r="BB3797" s="76"/>
      <c r="BC3797" s="76"/>
      <c r="BD3797" s="76">
        <f>+BC3797*30000</f>
        <v>0</v>
      </c>
      <c r="BE3797" s="76"/>
      <c r="BF3797" s="76"/>
      <c r="BG3797" s="76"/>
      <c r="BH3797" s="76"/>
      <c r="BI3797" s="76"/>
      <c r="BJ3797" s="76"/>
      <c r="BK3797" s="76"/>
      <c r="BL3797" s="76">
        <f>+BK3797*31500</f>
        <v>0</v>
      </c>
      <c r="BM3797" s="76"/>
      <c r="BN3797" s="76"/>
      <c r="BO3797" s="76"/>
      <c r="BP3797" s="76"/>
      <c r="BQ3797" s="76"/>
      <c r="BR3797" s="76"/>
      <c r="BS3797" s="76"/>
      <c r="BT3797" s="76"/>
      <c r="BU3797" s="76"/>
      <c r="BV3797" s="76"/>
      <c r="BW3797" s="76"/>
      <c r="BX3797" s="76"/>
      <c r="BY3797" s="76"/>
      <c r="BZ3797" s="76"/>
      <c r="CA3797" s="76"/>
      <c r="CB3797" s="76"/>
      <c r="CC3797" s="76"/>
      <c r="CD3797" s="76"/>
      <c r="CE3797" s="76"/>
      <c r="CF3797" s="76">
        <f>+CE3797*28000</f>
        <v>0</v>
      </c>
      <c r="CG3797" s="76"/>
      <c r="CH3797" s="76">
        <f>+CG3797*22500</f>
        <v>0</v>
      </c>
      <c r="CI3797" s="76"/>
      <c r="CJ3797" s="76">
        <f>+CI3797*26000</f>
        <v>0</v>
      </c>
      <c r="CK3797" s="76"/>
      <c r="CL3797" s="76"/>
      <c r="CM3797" s="76"/>
      <c r="CN3797" s="76">
        <f>+CM3797*22000</f>
        <v>0</v>
      </c>
      <c r="CO3797" s="76"/>
      <c r="CP3797" s="76">
        <f>+CO3797*46000</f>
        <v>0</v>
      </c>
      <c r="CQ3797" s="76"/>
      <c r="CR3797" s="76">
        <f>+CQ3797*49000</f>
        <v>0</v>
      </c>
      <c r="CS3797" s="76"/>
      <c r="CT3797" s="76"/>
      <c r="CU3797" s="56">
        <f>AN3797+AP3797+AR3797+AT3797+AV3797+AX3797+AZ3797+BB3797+BD3797+BF3797+BH3797+BJ3797+BL3797+BN3797+BP3797+BR3797+BT3797+BV3797+BX3797+BZ3797+CB3797+CD3797+CF3797+CH3797+CJ3797+CL3797+CN3797+CP3797+CR3797+CT3797</f>
        <v>0</v>
      </c>
      <c r="CV3797" s="76"/>
      <c r="CW3797" s="76">
        <f>+CV3797*1100</f>
        <v>0</v>
      </c>
      <c r="CX3797" s="76"/>
      <c r="CY3797" s="76">
        <f>+CX3797*106250</f>
        <v>0</v>
      </c>
      <c r="CZ3797" s="76"/>
      <c r="DA3797" s="76">
        <f>+CZ3797*34500</f>
        <v>0</v>
      </c>
      <c r="DB3797" s="76"/>
      <c r="DC3797" s="76">
        <f>+DB3797*25000</f>
        <v>0</v>
      </c>
      <c r="DD3797" s="219"/>
      <c r="DE3797" s="219"/>
      <c r="DF3797" s="166"/>
      <c r="DG3797" s="116"/>
      <c r="DH3797" s="117"/>
      <c r="DI3797" s="24"/>
      <c r="DJ3797" s="24"/>
      <c r="DK3797" s="24"/>
      <c r="DL3797" s="24"/>
      <c r="DM3797" s="24"/>
      <c r="DN3797" s="24"/>
      <c r="DO3797" s="24"/>
      <c r="DP3797" s="24"/>
      <c r="DQ3797" s="24"/>
      <c r="DR3797" s="24"/>
      <c r="DS3797" s="24"/>
      <c r="DT3797" s="24"/>
      <c r="DU3797" s="24"/>
    </row>
    <row r="3798" spans="1:125" s="8" customFormat="1" ht="156" x14ac:dyDescent="0.2">
      <c r="A3798" s="77">
        <v>41610</v>
      </c>
      <c r="B3798" s="78" t="s">
        <v>2852</v>
      </c>
      <c r="C3798" s="75" t="s">
        <v>1252</v>
      </c>
      <c r="D3798" s="75" t="s">
        <v>2882</v>
      </c>
      <c r="E3798" s="75" t="str">
        <f>VLOOKUP(B3798&amp;C3798,Divipola!$C$2:$F$1138,4,FALSE)</f>
        <v>27600</v>
      </c>
      <c r="F3798" s="87"/>
      <c r="G3798" s="87"/>
      <c r="H3798" s="87"/>
      <c r="I3798" s="87">
        <v>1245</v>
      </c>
      <c r="J3798" s="87">
        <v>249</v>
      </c>
      <c r="K3798" s="87"/>
      <c r="L3798" s="87">
        <v>249</v>
      </c>
      <c r="M3798" s="87"/>
      <c r="N3798" s="87"/>
      <c r="O3798" s="87"/>
      <c r="P3798" s="87"/>
      <c r="Q3798" s="87"/>
      <c r="R3798" s="87"/>
      <c r="S3798" s="87"/>
      <c r="T3798" s="87"/>
      <c r="U3798" s="88"/>
      <c r="V3798" s="89"/>
      <c r="W3798" s="96">
        <v>0</v>
      </c>
      <c r="X3798" s="71">
        <f>CU3798</f>
        <v>0</v>
      </c>
      <c r="Y3798" s="71">
        <f>CY3798</f>
        <v>0</v>
      </c>
      <c r="Z3798" s="71">
        <f>DA3798+DC3798+DE3798</f>
        <v>0</v>
      </c>
      <c r="AA3798" s="71">
        <f>CW3798</f>
        <v>0</v>
      </c>
      <c r="AB3798" s="71"/>
      <c r="AC3798" s="71">
        <v>0</v>
      </c>
      <c r="AD3798" s="71">
        <f>W3798+X3798+Y3798+Z3798+AA3798+AB3798+AC3798</f>
        <v>0</v>
      </c>
      <c r="AE3798" s="72">
        <v>0</v>
      </c>
      <c r="AF3798" s="5"/>
      <c r="AG3798" s="6"/>
      <c r="AH3798" s="27"/>
      <c r="AI3798" s="44"/>
      <c r="AJ3798" s="26"/>
      <c r="AK3798" s="5"/>
      <c r="AL3798" s="268" t="s">
        <v>6848</v>
      </c>
      <c r="AM3798" s="76"/>
      <c r="AN3798" s="76"/>
      <c r="AO3798" s="76"/>
      <c r="AP3798" s="76"/>
      <c r="AQ3798" s="76"/>
      <c r="AR3798" s="76"/>
      <c r="AS3798" s="76"/>
      <c r="AT3798" s="76"/>
      <c r="AU3798" s="76"/>
      <c r="AV3798" s="76"/>
      <c r="AW3798" s="76"/>
      <c r="AX3798" s="76">
        <f>+AW3798*600000</f>
        <v>0</v>
      </c>
      <c r="AY3798" s="76"/>
      <c r="AZ3798" s="76">
        <f>+AY3798*70000</f>
        <v>0</v>
      </c>
      <c r="BA3798" s="76"/>
      <c r="BB3798" s="76"/>
      <c r="BC3798" s="76"/>
      <c r="BD3798" s="76">
        <f>+BC3798*30000</f>
        <v>0</v>
      </c>
      <c r="BE3798" s="76"/>
      <c r="BF3798" s="76"/>
      <c r="BG3798" s="76"/>
      <c r="BH3798" s="76"/>
      <c r="BI3798" s="76"/>
      <c r="BJ3798" s="76"/>
      <c r="BK3798" s="76"/>
      <c r="BL3798" s="76">
        <f>+BK3798*31500</f>
        <v>0</v>
      </c>
      <c r="BM3798" s="76"/>
      <c r="BN3798" s="76"/>
      <c r="BO3798" s="76"/>
      <c r="BP3798" s="76"/>
      <c r="BQ3798" s="76"/>
      <c r="BR3798" s="76"/>
      <c r="BS3798" s="76"/>
      <c r="BT3798" s="76"/>
      <c r="BU3798" s="76"/>
      <c r="BV3798" s="76"/>
      <c r="BW3798" s="76"/>
      <c r="BX3798" s="76"/>
      <c r="BY3798" s="76"/>
      <c r="BZ3798" s="76"/>
      <c r="CA3798" s="76"/>
      <c r="CB3798" s="76"/>
      <c r="CC3798" s="76"/>
      <c r="CD3798" s="76"/>
      <c r="CE3798" s="76"/>
      <c r="CF3798" s="76">
        <f>+CE3798*28000</f>
        <v>0</v>
      </c>
      <c r="CG3798" s="76"/>
      <c r="CH3798" s="76">
        <f>+CG3798*22500</f>
        <v>0</v>
      </c>
      <c r="CI3798" s="76"/>
      <c r="CJ3798" s="76">
        <f>+CI3798*26000</f>
        <v>0</v>
      </c>
      <c r="CK3798" s="76"/>
      <c r="CL3798" s="76"/>
      <c r="CM3798" s="76"/>
      <c r="CN3798" s="76">
        <f>+CM3798*22000</f>
        <v>0</v>
      </c>
      <c r="CO3798" s="76"/>
      <c r="CP3798" s="76">
        <f>+CO3798*46000</f>
        <v>0</v>
      </c>
      <c r="CQ3798" s="76"/>
      <c r="CR3798" s="76">
        <f>+CQ3798*49000</f>
        <v>0</v>
      </c>
      <c r="CS3798" s="76"/>
      <c r="CT3798" s="76"/>
      <c r="CU3798" s="56">
        <f>AN3798+AP3798+AR3798+AT3798+AV3798+AX3798+AZ3798+BB3798+BD3798+BF3798+BH3798+BJ3798+BL3798+BN3798+BP3798+BR3798+BT3798+BV3798+BX3798+BZ3798+CB3798+CD3798+CF3798+CH3798+CJ3798+CL3798+CN3798+CP3798+CR3798+CT3798</f>
        <v>0</v>
      </c>
      <c r="CV3798" s="76"/>
      <c r="CW3798" s="76">
        <f>+CV3798*1100</f>
        <v>0</v>
      </c>
      <c r="CX3798" s="76"/>
      <c r="CY3798" s="76">
        <f>+CX3798*106250</f>
        <v>0</v>
      </c>
      <c r="CZ3798" s="76"/>
      <c r="DA3798" s="76">
        <f>+CZ3798*34500</f>
        <v>0</v>
      </c>
      <c r="DB3798" s="76"/>
      <c r="DC3798" s="76">
        <f>+DB3798*25000</f>
        <v>0</v>
      </c>
      <c r="DD3798" s="219"/>
      <c r="DE3798" s="219"/>
      <c r="DF3798" s="166"/>
      <c r="DG3798" s="116"/>
      <c r="DH3798" s="117"/>
      <c r="DI3798" s="24"/>
      <c r="DJ3798" s="24"/>
      <c r="DK3798" s="24"/>
      <c r="DL3798" s="24"/>
      <c r="DM3798" s="24"/>
      <c r="DN3798" s="24"/>
      <c r="DO3798" s="24"/>
      <c r="DP3798" s="24"/>
      <c r="DQ3798" s="24"/>
      <c r="DR3798" s="24"/>
      <c r="DS3798" s="24"/>
      <c r="DT3798" s="24"/>
      <c r="DU3798" s="24"/>
    </row>
    <row r="3799" spans="1:125" s="8" customFormat="1" ht="168" x14ac:dyDescent="0.2">
      <c r="A3799" s="353">
        <v>41610</v>
      </c>
      <c r="B3799" s="208" t="s">
        <v>2894</v>
      </c>
      <c r="C3799" s="354" t="s">
        <v>2367</v>
      </c>
      <c r="D3799" s="354" t="s">
        <v>4391</v>
      </c>
      <c r="E3799" s="353" t="str">
        <f>VLOOKUP(B3799&amp;C3799,Divipola!$C$2:$F$1138,4,FALSE)</f>
        <v>05086</v>
      </c>
      <c r="F3799" s="87">
        <v>2</v>
      </c>
      <c r="G3799" s="87"/>
      <c r="H3799" s="87"/>
      <c r="I3799" s="87"/>
      <c r="J3799" s="87"/>
      <c r="K3799" s="87"/>
      <c r="L3799" s="87"/>
      <c r="M3799" s="87"/>
      <c r="N3799" s="87"/>
      <c r="O3799" s="87"/>
      <c r="P3799" s="87"/>
      <c r="Q3799" s="87"/>
      <c r="R3799" s="87"/>
      <c r="S3799" s="87"/>
      <c r="T3799" s="88"/>
      <c r="U3799" s="89"/>
      <c r="V3799" s="370"/>
      <c r="W3799" s="96">
        <v>0</v>
      </c>
      <c r="X3799" s="71">
        <f>CU3799</f>
        <v>0</v>
      </c>
      <c r="Y3799" s="71">
        <f>CY3799</f>
        <v>0</v>
      </c>
      <c r="Z3799" s="71">
        <f>DA3799+DC3799+DE3799</f>
        <v>0</v>
      </c>
      <c r="AA3799" s="71">
        <f>CW3799</f>
        <v>0</v>
      </c>
      <c r="AB3799" s="71"/>
      <c r="AC3799" s="71">
        <v>0</v>
      </c>
      <c r="AD3799" s="71">
        <f>W3799+X3799+Y3799+Z3799+AA3799+AB3799+AC3799</f>
        <v>0</v>
      </c>
      <c r="AE3799" s="72">
        <v>0</v>
      </c>
      <c r="AF3799" s="5"/>
      <c r="AG3799" s="6"/>
      <c r="AH3799" s="27"/>
      <c r="AI3799" s="44"/>
      <c r="AJ3799" s="26"/>
      <c r="AK3799" s="5"/>
      <c r="AL3799" s="82" t="s">
        <v>6875</v>
      </c>
      <c r="AM3799" s="76"/>
      <c r="AN3799" s="76"/>
      <c r="AO3799" s="76"/>
      <c r="AP3799" s="76"/>
      <c r="AQ3799" s="76"/>
      <c r="AR3799" s="76"/>
      <c r="AS3799" s="76"/>
      <c r="AT3799" s="76"/>
      <c r="AU3799" s="76"/>
      <c r="AV3799" s="76"/>
      <c r="AW3799" s="76"/>
      <c r="AX3799" s="76">
        <f>+AW3799*600000</f>
        <v>0</v>
      </c>
      <c r="AY3799" s="76"/>
      <c r="AZ3799" s="76">
        <f>+AY3799*70000</f>
        <v>0</v>
      </c>
      <c r="BA3799" s="76"/>
      <c r="BB3799" s="76"/>
      <c r="BC3799" s="76"/>
      <c r="BD3799" s="76">
        <f>+BC3799*30000</f>
        <v>0</v>
      </c>
      <c r="BE3799" s="76"/>
      <c r="BF3799" s="76"/>
      <c r="BG3799" s="76"/>
      <c r="BH3799" s="76"/>
      <c r="BI3799" s="76"/>
      <c r="BJ3799" s="76"/>
      <c r="BK3799" s="76"/>
      <c r="BL3799" s="76">
        <f>+BK3799*31500</f>
        <v>0</v>
      </c>
      <c r="BM3799" s="76"/>
      <c r="BN3799" s="76"/>
      <c r="BO3799" s="76"/>
      <c r="BP3799" s="76"/>
      <c r="BQ3799" s="76"/>
      <c r="BR3799" s="76"/>
      <c r="BS3799" s="76"/>
      <c r="BT3799" s="76"/>
      <c r="BU3799" s="76"/>
      <c r="BV3799" s="76"/>
      <c r="BW3799" s="76"/>
      <c r="BX3799" s="76"/>
      <c r="BY3799" s="76"/>
      <c r="BZ3799" s="76"/>
      <c r="CA3799" s="76"/>
      <c r="CB3799" s="76"/>
      <c r="CC3799" s="76"/>
      <c r="CD3799" s="76"/>
      <c r="CE3799" s="76"/>
      <c r="CF3799" s="76">
        <f>+CE3799*28000</f>
        <v>0</v>
      </c>
      <c r="CG3799" s="76"/>
      <c r="CH3799" s="76">
        <f>+CG3799*22500</f>
        <v>0</v>
      </c>
      <c r="CI3799" s="76"/>
      <c r="CJ3799" s="76">
        <f>+CI3799*26000</f>
        <v>0</v>
      </c>
      <c r="CK3799" s="76"/>
      <c r="CL3799" s="76"/>
      <c r="CM3799" s="76"/>
      <c r="CN3799" s="76">
        <f>+CM3799*22000</f>
        <v>0</v>
      </c>
      <c r="CO3799" s="76"/>
      <c r="CP3799" s="76">
        <f>+CO3799*46000</f>
        <v>0</v>
      </c>
      <c r="CQ3799" s="76"/>
      <c r="CR3799" s="76">
        <f>+CQ3799*49000</f>
        <v>0</v>
      </c>
      <c r="CS3799" s="76"/>
      <c r="CT3799" s="76"/>
      <c r="CU3799" s="56">
        <f>AN3799+AP3799+AR3799+AT3799+AV3799+AX3799+AZ3799+BB3799+BD3799+BF3799+BH3799+BJ3799+BL3799+BN3799+BP3799+BR3799+BT3799+BV3799+BX3799+BZ3799+CB3799+CD3799+CF3799+CH3799+CJ3799+CL3799+CN3799+CP3799+CR3799+CT3799</f>
        <v>0</v>
      </c>
      <c r="CV3799" s="76"/>
      <c r="CW3799" s="76">
        <f>+CV3799*1100</f>
        <v>0</v>
      </c>
      <c r="CX3799" s="76"/>
      <c r="CY3799" s="76">
        <f>+CX3799*106250</f>
        <v>0</v>
      </c>
      <c r="CZ3799" s="76"/>
      <c r="DA3799" s="76">
        <f>+CZ3799*34500</f>
        <v>0</v>
      </c>
      <c r="DB3799" s="76"/>
      <c r="DC3799" s="76">
        <f>+DB3799*25000</f>
        <v>0</v>
      </c>
      <c r="DD3799" s="219"/>
      <c r="DE3799" s="219"/>
      <c r="DF3799" s="166"/>
      <c r="DG3799" s="116"/>
      <c r="DH3799" s="117"/>
      <c r="DI3799" s="24"/>
      <c r="DJ3799" s="24"/>
      <c r="DK3799" s="24"/>
      <c r="DL3799" s="24"/>
      <c r="DM3799" s="24"/>
      <c r="DN3799" s="24"/>
      <c r="DO3799" s="24"/>
      <c r="DP3799" s="24"/>
      <c r="DQ3799" s="24"/>
      <c r="DR3799" s="24"/>
      <c r="DS3799" s="24"/>
      <c r="DT3799" s="24"/>
      <c r="DU3799" s="24"/>
    </row>
    <row r="3800" spans="1:125" s="8" customFormat="1" ht="72" x14ac:dyDescent="0.2">
      <c r="A3800" s="77">
        <v>41611</v>
      </c>
      <c r="B3800" s="78" t="s">
        <v>2851</v>
      </c>
      <c r="C3800" s="75" t="s">
        <v>1686</v>
      </c>
      <c r="D3800" s="75" t="s">
        <v>2859</v>
      </c>
      <c r="E3800" s="75" t="str">
        <f>VLOOKUP(B3800&amp;C3800,Divipola!$C$2:$F$1138,4,FALSE)</f>
        <v>76001</v>
      </c>
      <c r="F3800" s="87"/>
      <c r="G3800" s="87"/>
      <c r="H3800" s="87"/>
      <c r="I3800" s="87"/>
      <c r="J3800" s="87"/>
      <c r="K3800" s="87"/>
      <c r="L3800" s="87"/>
      <c r="M3800" s="87"/>
      <c r="N3800" s="87"/>
      <c r="O3800" s="87"/>
      <c r="P3800" s="87"/>
      <c r="Q3800" s="87"/>
      <c r="R3800" s="87"/>
      <c r="S3800" s="87"/>
      <c r="T3800" s="87"/>
      <c r="U3800" s="88"/>
      <c r="V3800" s="89">
        <v>1</v>
      </c>
      <c r="W3800" s="96">
        <v>0</v>
      </c>
      <c r="X3800" s="71">
        <f>CU3800</f>
        <v>0</v>
      </c>
      <c r="Y3800" s="71">
        <f>CY3800</f>
        <v>0</v>
      </c>
      <c r="Z3800" s="71">
        <f>DA3800+DC3800+DE3800</f>
        <v>0</v>
      </c>
      <c r="AA3800" s="71">
        <f>CW3800</f>
        <v>0</v>
      </c>
      <c r="AB3800" s="71"/>
      <c r="AC3800" s="71">
        <v>0</v>
      </c>
      <c r="AD3800" s="71">
        <f>W3800+X3800+Y3800+Z3800+AA3800+AB3800+AC3800</f>
        <v>0</v>
      </c>
      <c r="AE3800" s="72">
        <v>0</v>
      </c>
      <c r="AF3800" s="5"/>
      <c r="AG3800" s="6"/>
      <c r="AH3800" s="27"/>
      <c r="AI3800" s="44"/>
      <c r="AJ3800" s="26"/>
      <c r="AK3800" s="5"/>
      <c r="AL3800" s="82" t="s">
        <v>6838</v>
      </c>
      <c r="AM3800" s="76"/>
      <c r="AN3800" s="76"/>
      <c r="AO3800" s="76"/>
      <c r="AP3800" s="76"/>
      <c r="AQ3800" s="76"/>
      <c r="AR3800" s="76"/>
      <c r="AS3800" s="76"/>
      <c r="AT3800" s="76"/>
      <c r="AU3800" s="76"/>
      <c r="AV3800" s="76"/>
      <c r="AW3800" s="76"/>
      <c r="AX3800" s="76">
        <f>+AW3800*600000</f>
        <v>0</v>
      </c>
      <c r="AY3800" s="76"/>
      <c r="AZ3800" s="76">
        <f>+AY3800*70000</f>
        <v>0</v>
      </c>
      <c r="BA3800" s="76"/>
      <c r="BB3800" s="76"/>
      <c r="BC3800" s="76"/>
      <c r="BD3800" s="76">
        <f>+BC3800*30000</f>
        <v>0</v>
      </c>
      <c r="BE3800" s="76"/>
      <c r="BF3800" s="76"/>
      <c r="BG3800" s="76"/>
      <c r="BH3800" s="76"/>
      <c r="BI3800" s="76"/>
      <c r="BJ3800" s="76"/>
      <c r="BK3800" s="76"/>
      <c r="BL3800" s="76">
        <f>+BK3800*31500</f>
        <v>0</v>
      </c>
      <c r="BM3800" s="76"/>
      <c r="BN3800" s="76"/>
      <c r="BO3800" s="76"/>
      <c r="BP3800" s="76"/>
      <c r="BQ3800" s="76"/>
      <c r="BR3800" s="76"/>
      <c r="BS3800" s="76"/>
      <c r="BT3800" s="76"/>
      <c r="BU3800" s="76"/>
      <c r="BV3800" s="76"/>
      <c r="BW3800" s="76"/>
      <c r="BX3800" s="76"/>
      <c r="BY3800" s="76"/>
      <c r="BZ3800" s="76"/>
      <c r="CA3800" s="76"/>
      <c r="CB3800" s="76"/>
      <c r="CC3800" s="76"/>
      <c r="CD3800" s="76"/>
      <c r="CE3800" s="76"/>
      <c r="CF3800" s="76">
        <f>+CE3800*28000</f>
        <v>0</v>
      </c>
      <c r="CG3800" s="76"/>
      <c r="CH3800" s="76">
        <f>+CG3800*22500</f>
        <v>0</v>
      </c>
      <c r="CI3800" s="76"/>
      <c r="CJ3800" s="76">
        <f>+CI3800*26000</f>
        <v>0</v>
      </c>
      <c r="CK3800" s="76"/>
      <c r="CL3800" s="76"/>
      <c r="CM3800" s="76"/>
      <c r="CN3800" s="76">
        <f>+CM3800*22000</f>
        <v>0</v>
      </c>
      <c r="CO3800" s="76"/>
      <c r="CP3800" s="76">
        <f>+CO3800*46000</f>
        <v>0</v>
      </c>
      <c r="CQ3800" s="76"/>
      <c r="CR3800" s="76">
        <f>+CQ3800*49000</f>
        <v>0</v>
      </c>
      <c r="CS3800" s="76"/>
      <c r="CT3800" s="76"/>
      <c r="CU3800" s="56">
        <f>AN3800+AP3800+AR3800+AT3800+AV3800+AX3800+AZ3800+BB3800+BD3800+BF3800+BH3800+BJ3800+BL3800+BN3800+BP3800+BR3800+BT3800+BV3800+BX3800+BZ3800+CB3800+CD3800+CF3800+CH3800+CJ3800+CL3800+CN3800+CP3800+CR3800+CT3800</f>
        <v>0</v>
      </c>
      <c r="CV3800" s="76"/>
      <c r="CW3800" s="76">
        <f>+CV3800*1100</f>
        <v>0</v>
      </c>
      <c r="CX3800" s="76"/>
      <c r="CY3800" s="76">
        <f>+CX3800*106250</f>
        <v>0</v>
      </c>
      <c r="CZ3800" s="76"/>
      <c r="DA3800" s="76">
        <f>+CZ3800*34500</f>
        <v>0</v>
      </c>
      <c r="DB3800" s="76"/>
      <c r="DC3800" s="76">
        <f>+DB3800*25000</f>
        <v>0</v>
      </c>
      <c r="DD3800" s="219"/>
      <c r="DE3800" s="219"/>
      <c r="DF3800" s="166"/>
      <c r="DG3800" s="116"/>
      <c r="DH3800" s="117"/>
      <c r="DI3800" s="24"/>
      <c r="DJ3800" s="24"/>
      <c r="DK3800" s="24"/>
      <c r="DL3800" s="24"/>
      <c r="DM3800" s="24"/>
      <c r="DN3800" s="24"/>
      <c r="DO3800" s="24"/>
      <c r="DP3800" s="24"/>
      <c r="DQ3800" s="24"/>
      <c r="DR3800" s="24"/>
      <c r="DS3800" s="24"/>
      <c r="DT3800" s="24"/>
      <c r="DU3800" s="24"/>
    </row>
    <row r="3801" spans="1:125" s="8" customFormat="1" ht="108" x14ac:dyDescent="0.2">
      <c r="A3801" s="353">
        <v>41611</v>
      </c>
      <c r="B3801" s="208" t="s">
        <v>2196</v>
      </c>
      <c r="C3801" s="354" t="s">
        <v>508</v>
      </c>
      <c r="D3801" s="354" t="s">
        <v>3088</v>
      </c>
      <c r="E3801" s="75" t="str">
        <f>VLOOKUP(B3801&amp;C3801,Divipola!$C$2:$F$1138,4,FALSE)</f>
        <v>17001</v>
      </c>
      <c r="F3801" s="87"/>
      <c r="G3801" s="87"/>
      <c r="H3801" s="87"/>
      <c r="I3801" s="87"/>
      <c r="J3801" s="87"/>
      <c r="K3801" s="87"/>
      <c r="L3801" s="87"/>
      <c r="M3801" s="87"/>
      <c r="N3801" s="87"/>
      <c r="O3801" s="87"/>
      <c r="P3801" s="87"/>
      <c r="Q3801" s="87"/>
      <c r="R3801" s="87"/>
      <c r="S3801" s="87"/>
      <c r="T3801" s="87"/>
      <c r="U3801" s="88"/>
      <c r="V3801" s="89"/>
      <c r="W3801" s="96">
        <v>0</v>
      </c>
      <c r="X3801" s="71">
        <f>CU3801</f>
        <v>0</v>
      </c>
      <c r="Y3801" s="71">
        <f>CY3801</f>
        <v>0</v>
      </c>
      <c r="Z3801" s="71">
        <f>DA3801+DC3801+DE3801</f>
        <v>0</v>
      </c>
      <c r="AA3801" s="71">
        <f>CW3801</f>
        <v>0</v>
      </c>
      <c r="AB3801" s="71"/>
      <c r="AC3801" s="71">
        <v>0</v>
      </c>
      <c r="AD3801" s="71">
        <f>W3801+X3801+Y3801+Z3801+AA3801+AB3801+AC3801</f>
        <v>0</v>
      </c>
      <c r="AE3801" s="72">
        <v>0</v>
      </c>
      <c r="AF3801" s="5"/>
      <c r="AG3801" s="6"/>
      <c r="AH3801" s="27"/>
      <c r="AI3801" s="44"/>
      <c r="AJ3801" s="26"/>
      <c r="AK3801" s="5"/>
      <c r="AL3801" s="82" t="s">
        <v>6839</v>
      </c>
      <c r="AM3801" s="76"/>
      <c r="AN3801" s="76"/>
      <c r="AO3801" s="76"/>
      <c r="AP3801" s="76"/>
      <c r="AQ3801" s="76"/>
      <c r="AR3801" s="76"/>
      <c r="AS3801" s="76"/>
      <c r="AT3801" s="76"/>
      <c r="AU3801" s="76"/>
      <c r="AV3801" s="76"/>
      <c r="AW3801" s="76"/>
      <c r="AX3801" s="76">
        <f>+AW3801*600000</f>
        <v>0</v>
      </c>
      <c r="AY3801" s="76"/>
      <c r="AZ3801" s="76">
        <f>+AY3801*70000</f>
        <v>0</v>
      </c>
      <c r="BA3801" s="76"/>
      <c r="BB3801" s="76"/>
      <c r="BC3801" s="76"/>
      <c r="BD3801" s="76">
        <f>+BC3801*30000</f>
        <v>0</v>
      </c>
      <c r="BE3801" s="76"/>
      <c r="BF3801" s="76"/>
      <c r="BG3801" s="76"/>
      <c r="BH3801" s="76"/>
      <c r="BI3801" s="76"/>
      <c r="BJ3801" s="76"/>
      <c r="BK3801" s="76"/>
      <c r="BL3801" s="76">
        <f>+BK3801*31500</f>
        <v>0</v>
      </c>
      <c r="BM3801" s="76"/>
      <c r="BN3801" s="76"/>
      <c r="BO3801" s="76"/>
      <c r="BP3801" s="76"/>
      <c r="BQ3801" s="76"/>
      <c r="BR3801" s="76"/>
      <c r="BS3801" s="76"/>
      <c r="BT3801" s="76"/>
      <c r="BU3801" s="76"/>
      <c r="BV3801" s="76"/>
      <c r="BW3801" s="76"/>
      <c r="BX3801" s="76"/>
      <c r="BY3801" s="76"/>
      <c r="BZ3801" s="76"/>
      <c r="CA3801" s="76"/>
      <c r="CB3801" s="76"/>
      <c r="CC3801" s="76"/>
      <c r="CD3801" s="76"/>
      <c r="CE3801" s="76"/>
      <c r="CF3801" s="76">
        <f>+CE3801*28000</f>
        <v>0</v>
      </c>
      <c r="CG3801" s="76"/>
      <c r="CH3801" s="76">
        <f>+CG3801*22500</f>
        <v>0</v>
      </c>
      <c r="CI3801" s="76"/>
      <c r="CJ3801" s="76">
        <f>+CI3801*26000</f>
        <v>0</v>
      </c>
      <c r="CK3801" s="76"/>
      <c r="CL3801" s="76"/>
      <c r="CM3801" s="76"/>
      <c r="CN3801" s="76">
        <f>+CM3801*22000</f>
        <v>0</v>
      </c>
      <c r="CO3801" s="76"/>
      <c r="CP3801" s="76">
        <f>+CO3801*46000</f>
        <v>0</v>
      </c>
      <c r="CQ3801" s="76"/>
      <c r="CR3801" s="76">
        <f>+CQ3801*49000</f>
        <v>0</v>
      </c>
      <c r="CS3801" s="76"/>
      <c r="CT3801" s="76"/>
      <c r="CU3801" s="56">
        <f>AN3801+AP3801+AR3801+AT3801+AV3801+AX3801+AZ3801+BB3801+BD3801+BF3801+BH3801+BJ3801+BL3801+BN3801+BP3801+BR3801+BT3801+BV3801+BX3801+BZ3801+CB3801+CD3801+CF3801+CH3801+CJ3801+CL3801+CN3801+CP3801+CR3801+CT3801</f>
        <v>0</v>
      </c>
      <c r="CV3801" s="76"/>
      <c r="CW3801" s="76">
        <f>+CV3801*1100</f>
        <v>0</v>
      </c>
      <c r="CX3801" s="76"/>
      <c r="CY3801" s="76">
        <f>+CX3801*106250</f>
        <v>0</v>
      </c>
      <c r="CZ3801" s="76"/>
      <c r="DA3801" s="76">
        <f>+CZ3801*34500</f>
        <v>0</v>
      </c>
      <c r="DB3801" s="76"/>
      <c r="DC3801" s="76">
        <f>+DB3801*25000</f>
        <v>0</v>
      </c>
      <c r="DD3801" s="219"/>
      <c r="DE3801" s="219"/>
      <c r="DF3801" s="166"/>
      <c r="DG3801" s="116"/>
      <c r="DH3801" s="117"/>
      <c r="DI3801" s="24"/>
      <c r="DJ3801" s="24"/>
      <c r="DK3801" s="24"/>
      <c r="DL3801" s="24"/>
      <c r="DM3801" s="24"/>
      <c r="DN3801" s="24"/>
      <c r="DO3801" s="24"/>
      <c r="DP3801" s="24"/>
      <c r="DQ3801" s="24"/>
      <c r="DR3801" s="24"/>
      <c r="DS3801" s="24"/>
      <c r="DT3801" s="24"/>
      <c r="DU3801" s="24"/>
    </row>
    <row r="3802" spans="1:125" s="8" customFormat="1" ht="144" x14ac:dyDescent="0.2">
      <c r="A3802" s="353">
        <v>41611</v>
      </c>
      <c r="B3802" s="208" t="s">
        <v>2774</v>
      </c>
      <c r="C3802" s="354" t="s">
        <v>2038</v>
      </c>
      <c r="D3802" s="354" t="s">
        <v>3051</v>
      </c>
      <c r="E3802" s="75" t="str">
        <f>VLOOKUP(B3802&amp;C3802,Divipola!$C$2:$F$1138,4,FALSE)</f>
        <v>66456</v>
      </c>
      <c r="F3802" s="87"/>
      <c r="G3802" s="87"/>
      <c r="H3802" s="87"/>
      <c r="I3802" s="87">
        <v>25</v>
      </c>
      <c r="J3802" s="87">
        <v>5</v>
      </c>
      <c r="K3802" s="87"/>
      <c r="L3802" s="87">
        <v>5</v>
      </c>
      <c r="M3802" s="87"/>
      <c r="N3802" s="87"/>
      <c r="O3802" s="87"/>
      <c r="P3802" s="87">
        <v>1</v>
      </c>
      <c r="Q3802" s="87"/>
      <c r="R3802" s="87"/>
      <c r="S3802" s="87"/>
      <c r="T3802" s="87"/>
      <c r="U3802" s="88"/>
      <c r="V3802" s="89"/>
      <c r="W3802" s="96">
        <v>0</v>
      </c>
      <c r="X3802" s="71">
        <f>CU3802</f>
        <v>35040000</v>
      </c>
      <c r="Y3802" s="71">
        <f>CY3802</f>
        <v>6375000</v>
      </c>
      <c r="Z3802" s="71">
        <f>DA3802+DC3802+DE3802</f>
        <v>100800000</v>
      </c>
      <c r="AA3802" s="71">
        <f>CW3802</f>
        <v>0</v>
      </c>
      <c r="AB3802" s="71"/>
      <c r="AC3802" s="71">
        <v>0</v>
      </c>
      <c r="AD3802" s="71">
        <f>W3802+X3802+Y3802+Z3802+AA3802+AB3802+AC3802</f>
        <v>142215000</v>
      </c>
      <c r="AE3802" s="72">
        <v>0</v>
      </c>
      <c r="AF3802" s="5"/>
      <c r="AG3802" s="6"/>
      <c r="AH3802" s="27"/>
      <c r="AI3802" s="44"/>
      <c r="AJ3802" s="26"/>
      <c r="AK3802" s="5"/>
      <c r="AL3802" s="82" t="s">
        <v>6860</v>
      </c>
      <c r="AM3802" s="76"/>
      <c r="AN3802" s="76"/>
      <c r="AO3802" s="76"/>
      <c r="AP3802" s="76"/>
      <c r="AQ3802" s="76"/>
      <c r="AR3802" s="76"/>
      <c r="AS3802" s="76"/>
      <c r="AT3802" s="76"/>
      <c r="AU3802" s="76"/>
      <c r="AV3802" s="76"/>
      <c r="AW3802" s="76"/>
      <c r="AX3802" s="76">
        <f>+AW3802*600000</f>
        <v>0</v>
      </c>
      <c r="AY3802" s="76">
        <v>200</v>
      </c>
      <c r="AZ3802" s="76">
        <f>+AY3802*70000</f>
        <v>14000000</v>
      </c>
      <c r="BA3802" s="76"/>
      <c r="BB3802" s="76"/>
      <c r="BC3802" s="76"/>
      <c r="BD3802" s="76">
        <f>+BC3802*30000</f>
        <v>0</v>
      </c>
      <c r="BE3802" s="76"/>
      <c r="BF3802" s="76"/>
      <c r="BG3802" s="76"/>
      <c r="BH3802" s="76"/>
      <c r="BI3802" s="76"/>
      <c r="BJ3802" s="76"/>
      <c r="BK3802" s="76"/>
      <c r="BL3802" s="76">
        <f>+BK3802*31500</f>
        <v>0</v>
      </c>
      <c r="BM3802" s="76"/>
      <c r="BN3802" s="76"/>
      <c r="BO3802" s="76"/>
      <c r="BP3802" s="76"/>
      <c r="BQ3802" s="76"/>
      <c r="BR3802" s="76"/>
      <c r="BS3802" s="76"/>
      <c r="BT3802" s="76"/>
      <c r="BU3802" s="76"/>
      <c r="BV3802" s="76"/>
      <c r="BW3802" s="76"/>
      <c r="BX3802" s="76"/>
      <c r="BY3802" s="76">
        <v>15</v>
      </c>
      <c r="BZ3802" s="76">
        <f>15*560000</f>
        <v>8400000</v>
      </c>
      <c r="CA3802" s="76"/>
      <c r="CB3802" s="76"/>
      <c r="CC3802" s="76"/>
      <c r="CD3802" s="76"/>
      <c r="CE3802" s="76"/>
      <c r="CF3802" s="76">
        <f>+CE3802*28000</f>
        <v>0</v>
      </c>
      <c r="CG3802" s="76">
        <v>200</v>
      </c>
      <c r="CH3802" s="76">
        <f>+CG3802*22500</f>
        <v>4500000</v>
      </c>
      <c r="CI3802" s="76">
        <v>200</v>
      </c>
      <c r="CJ3802" s="76">
        <f>+CI3802*26000</f>
        <v>5200000</v>
      </c>
      <c r="CK3802" s="76"/>
      <c r="CL3802" s="76"/>
      <c r="CM3802" s="76"/>
      <c r="CN3802" s="76">
        <f>+CM3802*22000</f>
        <v>0</v>
      </c>
      <c r="CO3802" s="76"/>
      <c r="CP3802" s="76">
        <f>+CO3802*46000</f>
        <v>0</v>
      </c>
      <c r="CQ3802" s="76">
        <v>60</v>
      </c>
      <c r="CR3802" s="76">
        <f>+CQ3802*49000</f>
        <v>2940000</v>
      </c>
      <c r="CS3802" s="76"/>
      <c r="CT3802" s="76"/>
      <c r="CU3802" s="56">
        <f>AN3802+AP3802+AR3802+AT3802+AV3802+AX3802+AZ3802+BB3802+BD3802+BF3802+BH3802+BJ3802+BL3802+BN3802+BP3802+BR3802+BT3802+BV3802+BX3802+BZ3802+CB3802+CD3802+CF3802+CH3802+CJ3802+CL3802+CN3802+CP3802+CR3802+CT3802</f>
        <v>35040000</v>
      </c>
      <c r="CV3802" s="76"/>
      <c r="CW3802" s="76">
        <f>+CV3802*1100</f>
        <v>0</v>
      </c>
      <c r="CX3802" s="76">
        <v>60</v>
      </c>
      <c r="CY3802" s="76">
        <f>+CX3802*106250</f>
        <v>6375000</v>
      </c>
      <c r="CZ3802" s="76"/>
      <c r="DA3802" s="76">
        <f>+CZ3802*34500</f>
        <v>0</v>
      </c>
      <c r="DB3802" s="76">
        <v>1000</v>
      </c>
      <c r="DC3802" s="76">
        <f>1000*32000</f>
        <v>32000000</v>
      </c>
      <c r="DD3802" s="287" t="s">
        <v>6904</v>
      </c>
      <c r="DE3802" s="334">
        <f>80*320000+80*540000</f>
        <v>68800000</v>
      </c>
      <c r="DF3802" s="166"/>
      <c r="DG3802" s="116"/>
      <c r="DH3802" s="117"/>
      <c r="DI3802" s="24"/>
      <c r="DJ3802" s="24"/>
      <c r="DK3802" s="24"/>
      <c r="DL3802" s="24"/>
      <c r="DM3802" s="24"/>
      <c r="DN3802" s="24"/>
      <c r="DO3802" s="24"/>
      <c r="DP3802" s="24"/>
      <c r="DQ3802" s="24"/>
      <c r="DR3802" s="24"/>
      <c r="DS3802" s="24"/>
      <c r="DT3802" s="24"/>
      <c r="DU3802" s="24"/>
    </row>
    <row r="3803" spans="1:125" s="8" customFormat="1" ht="132" x14ac:dyDescent="0.2">
      <c r="A3803" s="353">
        <v>41611</v>
      </c>
      <c r="B3803" s="208" t="s">
        <v>2774</v>
      </c>
      <c r="C3803" s="354" t="s">
        <v>1347</v>
      </c>
      <c r="D3803" s="354" t="s">
        <v>3051</v>
      </c>
      <c r="E3803" s="75" t="str">
        <f>VLOOKUP(B3803&amp;C3803,Divipola!$C$2:$F$1138,4,FALSE)</f>
        <v>66001</v>
      </c>
      <c r="F3803" s="87"/>
      <c r="G3803" s="87"/>
      <c r="H3803" s="87"/>
      <c r="I3803" s="87">
        <v>190</v>
      </c>
      <c r="J3803" s="87">
        <v>38</v>
      </c>
      <c r="K3803" s="87">
        <v>2</v>
      </c>
      <c r="L3803" s="87">
        <v>36</v>
      </c>
      <c r="M3803" s="87"/>
      <c r="N3803" s="87"/>
      <c r="O3803" s="87"/>
      <c r="P3803" s="87"/>
      <c r="Q3803" s="87"/>
      <c r="R3803" s="87"/>
      <c r="S3803" s="87"/>
      <c r="T3803" s="87"/>
      <c r="U3803" s="88"/>
      <c r="V3803" s="89"/>
      <c r="W3803" s="96">
        <v>0</v>
      </c>
      <c r="X3803" s="71">
        <f>CU3803</f>
        <v>0</v>
      </c>
      <c r="Y3803" s="71">
        <f>CY3803</f>
        <v>0</v>
      </c>
      <c r="Z3803" s="71">
        <f>DA3803+DC3803+DE3803</f>
        <v>0</v>
      </c>
      <c r="AA3803" s="71">
        <f>CW3803</f>
        <v>0</v>
      </c>
      <c r="AB3803" s="71"/>
      <c r="AC3803" s="71">
        <v>0</v>
      </c>
      <c r="AD3803" s="71">
        <f>W3803+X3803+Y3803+Z3803+AA3803+AB3803+AC3803</f>
        <v>0</v>
      </c>
      <c r="AE3803" s="72">
        <v>0</v>
      </c>
      <c r="AF3803" s="5"/>
      <c r="AG3803" s="6"/>
      <c r="AH3803" s="27"/>
      <c r="AI3803" s="44"/>
      <c r="AJ3803" s="26"/>
      <c r="AK3803" s="5"/>
      <c r="AL3803" s="331" t="s">
        <v>6840</v>
      </c>
      <c r="AM3803" s="76"/>
      <c r="AN3803" s="76"/>
      <c r="AO3803" s="76"/>
      <c r="AP3803" s="76"/>
      <c r="AQ3803" s="76"/>
      <c r="AR3803" s="76"/>
      <c r="AS3803" s="76"/>
      <c r="AT3803" s="76"/>
      <c r="AU3803" s="76"/>
      <c r="AV3803" s="76"/>
      <c r="AW3803" s="76"/>
      <c r="AX3803" s="76">
        <f>+AW3803*600000</f>
        <v>0</v>
      </c>
      <c r="AY3803" s="76"/>
      <c r="AZ3803" s="76">
        <f>+AY3803*70000</f>
        <v>0</v>
      </c>
      <c r="BA3803" s="76"/>
      <c r="BB3803" s="76"/>
      <c r="BC3803" s="76"/>
      <c r="BD3803" s="76">
        <f>+BC3803*30000</f>
        <v>0</v>
      </c>
      <c r="BE3803" s="76"/>
      <c r="BF3803" s="76"/>
      <c r="BG3803" s="76"/>
      <c r="BH3803" s="76"/>
      <c r="BI3803" s="76"/>
      <c r="BJ3803" s="76"/>
      <c r="BK3803" s="76"/>
      <c r="BL3803" s="76">
        <f>+BK3803*31500</f>
        <v>0</v>
      </c>
      <c r="BM3803" s="76"/>
      <c r="BN3803" s="76"/>
      <c r="BO3803" s="76"/>
      <c r="BP3803" s="76"/>
      <c r="BQ3803" s="76"/>
      <c r="BR3803" s="76"/>
      <c r="BS3803" s="76"/>
      <c r="BT3803" s="76"/>
      <c r="BU3803" s="76"/>
      <c r="BV3803" s="76"/>
      <c r="BW3803" s="76"/>
      <c r="BX3803" s="76"/>
      <c r="BY3803" s="76"/>
      <c r="BZ3803" s="76"/>
      <c r="CA3803" s="76"/>
      <c r="CB3803" s="76"/>
      <c r="CC3803" s="76"/>
      <c r="CD3803" s="76"/>
      <c r="CE3803" s="76"/>
      <c r="CF3803" s="76">
        <f>+CE3803*28000</f>
        <v>0</v>
      </c>
      <c r="CG3803" s="76"/>
      <c r="CH3803" s="76">
        <f>+CG3803*22500</f>
        <v>0</v>
      </c>
      <c r="CI3803" s="76"/>
      <c r="CJ3803" s="76">
        <f>+CI3803*26000</f>
        <v>0</v>
      </c>
      <c r="CK3803" s="76"/>
      <c r="CL3803" s="76"/>
      <c r="CM3803" s="76"/>
      <c r="CN3803" s="76">
        <f>+CM3803*22000</f>
        <v>0</v>
      </c>
      <c r="CO3803" s="76"/>
      <c r="CP3803" s="76">
        <f>+CO3803*46000</f>
        <v>0</v>
      </c>
      <c r="CQ3803" s="76"/>
      <c r="CR3803" s="76">
        <f>+CQ3803*49000</f>
        <v>0</v>
      </c>
      <c r="CS3803" s="76"/>
      <c r="CT3803" s="76"/>
      <c r="CU3803" s="56">
        <f>AN3803+AP3803+AR3803+AT3803+AV3803+AX3803+AZ3803+BB3803+BD3803+BF3803+BH3803+BJ3803+BL3803+BN3803+BP3803+BR3803+BT3803+BV3803+BX3803+BZ3803+CB3803+CD3803+CF3803+CH3803+CJ3803+CL3803+CN3803+CP3803+CR3803+CT3803</f>
        <v>0</v>
      </c>
      <c r="CV3803" s="76"/>
      <c r="CW3803" s="76">
        <f>+CV3803*1100</f>
        <v>0</v>
      </c>
      <c r="CX3803" s="76"/>
      <c r="CY3803" s="76">
        <f>+CX3803*106250</f>
        <v>0</v>
      </c>
      <c r="CZ3803" s="76"/>
      <c r="DA3803" s="76">
        <f>+CZ3803*34500</f>
        <v>0</v>
      </c>
      <c r="DB3803" s="76"/>
      <c r="DC3803" s="76">
        <f>+DB3803*25000</f>
        <v>0</v>
      </c>
      <c r="DD3803" s="219"/>
      <c r="DE3803" s="219"/>
      <c r="DF3803" s="166"/>
      <c r="DG3803" s="116"/>
      <c r="DH3803" s="117"/>
      <c r="DI3803" s="24"/>
      <c r="DJ3803" s="24"/>
      <c r="DK3803" s="24"/>
      <c r="DL3803" s="24"/>
      <c r="DM3803" s="24"/>
      <c r="DN3803" s="24"/>
      <c r="DO3803" s="24"/>
      <c r="DP3803" s="24"/>
      <c r="DQ3803" s="24"/>
      <c r="DR3803" s="24"/>
      <c r="DS3803" s="24"/>
      <c r="DT3803" s="24"/>
      <c r="DU3803" s="24"/>
    </row>
    <row r="3804" spans="1:125" s="8" customFormat="1" ht="60" x14ac:dyDescent="0.2">
      <c r="A3804" s="142">
        <v>41611</v>
      </c>
      <c r="B3804" s="203" t="s">
        <v>2774</v>
      </c>
      <c r="C3804" s="203" t="s">
        <v>2790</v>
      </c>
      <c r="D3804" s="75" t="s">
        <v>3088</v>
      </c>
      <c r="E3804" s="75" t="str">
        <f>VLOOKUP(B3804&amp;C3804,Divipola!$C$2:$F$1138,4,FALSE)</f>
        <v>66682</v>
      </c>
      <c r="F3804" s="89"/>
      <c r="G3804" s="89"/>
      <c r="H3804" s="89"/>
      <c r="I3804" s="89">
        <v>11</v>
      </c>
      <c r="J3804" s="89">
        <v>1</v>
      </c>
      <c r="K3804" s="89"/>
      <c r="L3804" s="89">
        <v>1</v>
      </c>
      <c r="M3804" s="89"/>
      <c r="N3804" s="89"/>
      <c r="O3804" s="89"/>
      <c r="P3804" s="89"/>
      <c r="Q3804" s="89"/>
      <c r="R3804" s="89"/>
      <c r="S3804" s="89"/>
      <c r="T3804" s="89"/>
      <c r="U3804" s="89"/>
      <c r="V3804" s="89"/>
      <c r="W3804" s="96">
        <v>0</v>
      </c>
      <c r="X3804" s="71">
        <f>CU3804</f>
        <v>0</v>
      </c>
      <c r="Y3804" s="71">
        <f>CY3804</f>
        <v>0</v>
      </c>
      <c r="Z3804" s="71">
        <f>DA3804+DC3804+DE3804</f>
        <v>0</v>
      </c>
      <c r="AA3804" s="71">
        <f>CW3804</f>
        <v>0</v>
      </c>
      <c r="AB3804" s="71"/>
      <c r="AC3804" s="71">
        <v>0</v>
      </c>
      <c r="AD3804" s="71">
        <f>W3804+X3804+Y3804+Z3804+AA3804+AB3804+AC3804</f>
        <v>0</v>
      </c>
      <c r="AE3804" s="72">
        <v>0</v>
      </c>
      <c r="AF3804" s="5"/>
      <c r="AG3804" s="6"/>
      <c r="AH3804" s="27"/>
      <c r="AI3804" s="44"/>
      <c r="AJ3804" s="26"/>
      <c r="AK3804" s="5"/>
      <c r="AL3804" s="82" t="s">
        <v>6841</v>
      </c>
      <c r="AM3804" s="76"/>
      <c r="AN3804" s="76"/>
      <c r="AO3804" s="76"/>
      <c r="AP3804" s="76"/>
      <c r="AQ3804" s="76"/>
      <c r="AR3804" s="76"/>
      <c r="AS3804" s="76"/>
      <c r="AT3804" s="76"/>
      <c r="AU3804" s="76"/>
      <c r="AV3804" s="76"/>
      <c r="AW3804" s="76"/>
      <c r="AX3804" s="76">
        <f>+AW3804*600000</f>
        <v>0</v>
      </c>
      <c r="AY3804" s="76"/>
      <c r="AZ3804" s="76">
        <f>+AY3804*70000</f>
        <v>0</v>
      </c>
      <c r="BA3804" s="76"/>
      <c r="BB3804" s="76"/>
      <c r="BC3804" s="76"/>
      <c r="BD3804" s="76">
        <f>+BC3804*30000</f>
        <v>0</v>
      </c>
      <c r="BE3804" s="76"/>
      <c r="BF3804" s="76"/>
      <c r="BG3804" s="76"/>
      <c r="BH3804" s="76"/>
      <c r="BI3804" s="76"/>
      <c r="BJ3804" s="76"/>
      <c r="BK3804" s="76"/>
      <c r="BL3804" s="76">
        <f>+BK3804*31500</f>
        <v>0</v>
      </c>
      <c r="BM3804" s="76"/>
      <c r="BN3804" s="76"/>
      <c r="BO3804" s="76"/>
      <c r="BP3804" s="76"/>
      <c r="BQ3804" s="76"/>
      <c r="BR3804" s="76"/>
      <c r="BS3804" s="76"/>
      <c r="BT3804" s="76"/>
      <c r="BU3804" s="76"/>
      <c r="BV3804" s="76"/>
      <c r="BW3804" s="76"/>
      <c r="BX3804" s="76"/>
      <c r="BY3804" s="76"/>
      <c r="BZ3804" s="76"/>
      <c r="CA3804" s="76"/>
      <c r="CB3804" s="76"/>
      <c r="CC3804" s="76"/>
      <c r="CD3804" s="76"/>
      <c r="CE3804" s="76"/>
      <c r="CF3804" s="76">
        <f>+CE3804*28000</f>
        <v>0</v>
      </c>
      <c r="CG3804" s="76"/>
      <c r="CH3804" s="76">
        <f>+CG3804*22500</f>
        <v>0</v>
      </c>
      <c r="CI3804" s="76"/>
      <c r="CJ3804" s="76">
        <f>+CI3804*26000</f>
        <v>0</v>
      </c>
      <c r="CK3804" s="76"/>
      <c r="CL3804" s="76"/>
      <c r="CM3804" s="76"/>
      <c r="CN3804" s="76">
        <f>+CM3804*22000</f>
        <v>0</v>
      </c>
      <c r="CO3804" s="76"/>
      <c r="CP3804" s="76">
        <f>+CO3804*46000</f>
        <v>0</v>
      </c>
      <c r="CQ3804" s="76"/>
      <c r="CR3804" s="76">
        <f>+CQ3804*49000</f>
        <v>0</v>
      </c>
      <c r="CS3804" s="76"/>
      <c r="CT3804" s="76"/>
      <c r="CU3804" s="56">
        <f>AN3804+AP3804+AR3804+AT3804+AV3804+AX3804+AZ3804+BB3804+BD3804+BF3804+BH3804+BJ3804+BL3804+BN3804+BP3804+BR3804+BT3804+BV3804+BX3804+BZ3804+CB3804+CD3804+CF3804+CH3804+CJ3804+CL3804+CN3804+CP3804+CR3804+CT3804</f>
        <v>0</v>
      </c>
      <c r="CV3804" s="76"/>
      <c r="CW3804" s="76">
        <f>+CV3804*1100</f>
        <v>0</v>
      </c>
      <c r="CX3804" s="76"/>
      <c r="CY3804" s="76">
        <f>+CX3804*106250</f>
        <v>0</v>
      </c>
      <c r="CZ3804" s="76"/>
      <c r="DA3804" s="76">
        <f>+CZ3804*34500</f>
        <v>0</v>
      </c>
      <c r="DB3804" s="76"/>
      <c r="DC3804" s="76">
        <f>+DB3804*25000</f>
        <v>0</v>
      </c>
      <c r="DD3804" s="219"/>
      <c r="DE3804" s="219"/>
      <c r="DF3804" s="166"/>
      <c r="DG3804" s="116"/>
      <c r="DH3804" s="117"/>
      <c r="DI3804" s="24"/>
      <c r="DJ3804" s="24"/>
      <c r="DK3804" s="24"/>
      <c r="DL3804" s="24"/>
      <c r="DM3804" s="24"/>
      <c r="DN3804" s="24"/>
      <c r="DO3804" s="24"/>
      <c r="DP3804" s="24"/>
      <c r="DQ3804" s="24"/>
      <c r="DR3804" s="24"/>
      <c r="DS3804" s="24"/>
      <c r="DT3804" s="24"/>
      <c r="DU3804" s="24"/>
    </row>
    <row r="3805" spans="1:125" s="8" customFormat="1" ht="36" x14ac:dyDescent="0.2">
      <c r="A3805" s="77">
        <v>41611</v>
      </c>
      <c r="B3805" s="78" t="s">
        <v>2778</v>
      </c>
      <c r="C3805" s="75" t="s">
        <v>1344</v>
      </c>
      <c r="D3805" s="75" t="s">
        <v>2846</v>
      </c>
      <c r="E3805" s="75" t="str">
        <f>VLOOKUP(B3805&amp;C3805,Divipola!$C$2:$F$1138,4,FALSE)</f>
        <v>85001</v>
      </c>
      <c r="F3805" s="87"/>
      <c r="G3805" s="87"/>
      <c r="H3805" s="87"/>
      <c r="I3805" s="87"/>
      <c r="J3805" s="87"/>
      <c r="K3805" s="87"/>
      <c r="L3805" s="87"/>
      <c r="M3805" s="87"/>
      <c r="N3805" s="87"/>
      <c r="O3805" s="87"/>
      <c r="P3805" s="87"/>
      <c r="Q3805" s="87"/>
      <c r="R3805" s="87"/>
      <c r="S3805" s="87"/>
      <c r="T3805" s="87"/>
      <c r="U3805" s="88">
        <v>1</v>
      </c>
      <c r="V3805" s="89"/>
      <c r="W3805" s="96">
        <v>0</v>
      </c>
      <c r="X3805" s="71">
        <f>CU3805</f>
        <v>0</v>
      </c>
      <c r="Y3805" s="71">
        <f>CY3805</f>
        <v>0</v>
      </c>
      <c r="Z3805" s="71">
        <f>DA3805+DC3805+DE3805</f>
        <v>0</v>
      </c>
      <c r="AA3805" s="71">
        <f>CW3805</f>
        <v>0</v>
      </c>
      <c r="AB3805" s="71"/>
      <c r="AC3805" s="71">
        <v>0</v>
      </c>
      <c r="AD3805" s="71">
        <f>W3805+X3805+Y3805+Z3805+AA3805+AB3805+AC3805</f>
        <v>0</v>
      </c>
      <c r="AE3805" s="72">
        <v>0</v>
      </c>
      <c r="AF3805" s="5"/>
      <c r="AG3805" s="6"/>
      <c r="AH3805" s="27"/>
      <c r="AI3805" s="44"/>
      <c r="AJ3805" s="26"/>
      <c r="AK3805" s="5"/>
      <c r="AL3805" s="82" t="s">
        <v>6842</v>
      </c>
      <c r="AM3805" s="76"/>
      <c r="AN3805" s="76"/>
      <c r="AO3805" s="76"/>
      <c r="AP3805" s="76"/>
      <c r="AQ3805" s="76"/>
      <c r="AR3805" s="76"/>
      <c r="AS3805" s="76"/>
      <c r="AT3805" s="76"/>
      <c r="AU3805" s="76"/>
      <c r="AV3805" s="76"/>
      <c r="AW3805" s="76"/>
      <c r="AX3805" s="76">
        <f>+AW3805*600000</f>
        <v>0</v>
      </c>
      <c r="AY3805" s="76"/>
      <c r="AZ3805" s="76">
        <f>+AY3805*70000</f>
        <v>0</v>
      </c>
      <c r="BA3805" s="76"/>
      <c r="BB3805" s="76"/>
      <c r="BC3805" s="76"/>
      <c r="BD3805" s="76">
        <f>+BC3805*30000</f>
        <v>0</v>
      </c>
      <c r="BE3805" s="76"/>
      <c r="BF3805" s="76"/>
      <c r="BG3805" s="76"/>
      <c r="BH3805" s="76"/>
      <c r="BI3805" s="76"/>
      <c r="BJ3805" s="76"/>
      <c r="BK3805" s="76"/>
      <c r="BL3805" s="76">
        <f>+BK3805*31500</f>
        <v>0</v>
      </c>
      <c r="BM3805" s="76"/>
      <c r="BN3805" s="76"/>
      <c r="BO3805" s="76"/>
      <c r="BP3805" s="76"/>
      <c r="BQ3805" s="76"/>
      <c r="BR3805" s="76"/>
      <c r="BS3805" s="76"/>
      <c r="BT3805" s="76"/>
      <c r="BU3805" s="76"/>
      <c r="BV3805" s="76"/>
      <c r="BW3805" s="76"/>
      <c r="BX3805" s="76"/>
      <c r="BY3805" s="76"/>
      <c r="BZ3805" s="76"/>
      <c r="CA3805" s="76"/>
      <c r="CB3805" s="76"/>
      <c r="CC3805" s="76"/>
      <c r="CD3805" s="76"/>
      <c r="CE3805" s="76"/>
      <c r="CF3805" s="76">
        <f>+CE3805*28000</f>
        <v>0</v>
      </c>
      <c r="CG3805" s="76"/>
      <c r="CH3805" s="76">
        <f>+CG3805*22500</f>
        <v>0</v>
      </c>
      <c r="CI3805" s="76"/>
      <c r="CJ3805" s="76">
        <f>+CI3805*26000</f>
        <v>0</v>
      </c>
      <c r="CK3805" s="76"/>
      <c r="CL3805" s="76"/>
      <c r="CM3805" s="76"/>
      <c r="CN3805" s="76">
        <f>+CM3805*22000</f>
        <v>0</v>
      </c>
      <c r="CO3805" s="76"/>
      <c r="CP3805" s="76">
        <f>+CO3805*46000</f>
        <v>0</v>
      </c>
      <c r="CQ3805" s="76"/>
      <c r="CR3805" s="76">
        <f>+CQ3805*49000</f>
        <v>0</v>
      </c>
      <c r="CS3805" s="76"/>
      <c r="CT3805" s="76"/>
      <c r="CU3805" s="56">
        <f>AN3805+AP3805+AR3805+AT3805+AV3805+AX3805+AZ3805+BB3805+BD3805+BF3805+BH3805+BJ3805+BL3805+BN3805+BP3805+BR3805+BT3805+BV3805+BX3805+BZ3805+CB3805+CD3805+CF3805+CH3805+CJ3805+CL3805+CN3805+CP3805+CR3805+CT3805</f>
        <v>0</v>
      </c>
      <c r="CV3805" s="76"/>
      <c r="CW3805" s="76">
        <f>+CV3805*1100</f>
        <v>0</v>
      </c>
      <c r="CX3805" s="76"/>
      <c r="CY3805" s="76">
        <f>+CX3805*106250</f>
        <v>0</v>
      </c>
      <c r="CZ3805" s="76"/>
      <c r="DA3805" s="76">
        <f>+CZ3805*34500</f>
        <v>0</v>
      </c>
      <c r="DB3805" s="76"/>
      <c r="DC3805" s="76">
        <f>+DB3805*25000</f>
        <v>0</v>
      </c>
      <c r="DD3805" s="219"/>
      <c r="DE3805" s="219"/>
      <c r="DF3805" s="166"/>
      <c r="DG3805" s="116"/>
      <c r="DH3805" s="117"/>
      <c r="DI3805" s="24"/>
      <c r="DJ3805" s="24"/>
      <c r="DK3805" s="24"/>
      <c r="DL3805" s="24"/>
      <c r="DM3805" s="24"/>
      <c r="DN3805" s="24"/>
      <c r="DO3805" s="24"/>
      <c r="DP3805" s="24"/>
      <c r="DQ3805" s="24"/>
      <c r="DR3805" s="24"/>
      <c r="DS3805" s="24"/>
      <c r="DT3805" s="24"/>
      <c r="DU3805" s="24"/>
    </row>
    <row r="3806" spans="1:125" s="8" customFormat="1" ht="36" x14ac:dyDescent="0.2">
      <c r="A3806" s="77">
        <v>41611</v>
      </c>
      <c r="B3806" s="78" t="s">
        <v>2778</v>
      </c>
      <c r="C3806" s="75" t="s">
        <v>1342</v>
      </c>
      <c r="D3806" s="75" t="s">
        <v>2846</v>
      </c>
      <c r="E3806" s="75" t="str">
        <f>VLOOKUP(B3806&amp;C3806,Divipola!$C$2:$F$1138,4,FALSE)</f>
        <v>85263</v>
      </c>
      <c r="F3806" s="87"/>
      <c r="G3806" s="87"/>
      <c r="H3806" s="87"/>
      <c r="I3806" s="87"/>
      <c r="J3806" s="87"/>
      <c r="K3806" s="87"/>
      <c r="L3806" s="87"/>
      <c r="M3806" s="87"/>
      <c r="N3806" s="87"/>
      <c r="O3806" s="87"/>
      <c r="P3806" s="87"/>
      <c r="Q3806" s="87"/>
      <c r="R3806" s="87"/>
      <c r="S3806" s="87"/>
      <c r="T3806" s="87"/>
      <c r="U3806" s="88">
        <v>4</v>
      </c>
      <c r="V3806" s="89"/>
      <c r="W3806" s="96">
        <v>0</v>
      </c>
      <c r="X3806" s="71">
        <f>CU3806</f>
        <v>0</v>
      </c>
      <c r="Y3806" s="71">
        <f>CY3806</f>
        <v>0</v>
      </c>
      <c r="Z3806" s="71">
        <f>DA3806+DC3806+DE3806</f>
        <v>0</v>
      </c>
      <c r="AA3806" s="71">
        <f>CW3806</f>
        <v>0</v>
      </c>
      <c r="AB3806" s="71"/>
      <c r="AC3806" s="71">
        <v>0</v>
      </c>
      <c r="AD3806" s="71">
        <f>W3806+X3806+Y3806+Z3806+AA3806+AB3806+AC3806</f>
        <v>0</v>
      </c>
      <c r="AE3806" s="72">
        <v>0</v>
      </c>
      <c r="AF3806" s="5"/>
      <c r="AG3806" s="6"/>
      <c r="AH3806" s="27"/>
      <c r="AI3806" s="44"/>
      <c r="AJ3806" s="26"/>
      <c r="AK3806" s="5"/>
      <c r="AL3806" s="82" t="s">
        <v>6843</v>
      </c>
      <c r="AM3806" s="76"/>
      <c r="AN3806" s="76"/>
      <c r="AO3806" s="76"/>
      <c r="AP3806" s="76"/>
      <c r="AQ3806" s="76"/>
      <c r="AR3806" s="76"/>
      <c r="AS3806" s="76"/>
      <c r="AT3806" s="76"/>
      <c r="AU3806" s="76"/>
      <c r="AV3806" s="76"/>
      <c r="AW3806" s="76"/>
      <c r="AX3806" s="76">
        <f>+AW3806*600000</f>
        <v>0</v>
      </c>
      <c r="AY3806" s="76"/>
      <c r="AZ3806" s="76">
        <f>+AY3806*70000</f>
        <v>0</v>
      </c>
      <c r="BA3806" s="76"/>
      <c r="BB3806" s="76"/>
      <c r="BC3806" s="76"/>
      <c r="BD3806" s="76">
        <f>+BC3806*30000</f>
        <v>0</v>
      </c>
      <c r="BE3806" s="76"/>
      <c r="BF3806" s="76"/>
      <c r="BG3806" s="76"/>
      <c r="BH3806" s="76"/>
      <c r="BI3806" s="76"/>
      <c r="BJ3806" s="76"/>
      <c r="BK3806" s="76"/>
      <c r="BL3806" s="76">
        <f>+BK3806*31500</f>
        <v>0</v>
      </c>
      <c r="BM3806" s="76"/>
      <c r="BN3806" s="76"/>
      <c r="BO3806" s="76"/>
      <c r="BP3806" s="76"/>
      <c r="BQ3806" s="76"/>
      <c r="BR3806" s="76"/>
      <c r="BS3806" s="76"/>
      <c r="BT3806" s="76"/>
      <c r="BU3806" s="76"/>
      <c r="BV3806" s="76"/>
      <c r="BW3806" s="76"/>
      <c r="BX3806" s="76"/>
      <c r="BY3806" s="76"/>
      <c r="BZ3806" s="76"/>
      <c r="CA3806" s="76"/>
      <c r="CB3806" s="76"/>
      <c r="CC3806" s="76"/>
      <c r="CD3806" s="76"/>
      <c r="CE3806" s="76"/>
      <c r="CF3806" s="76">
        <f>+CE3806*28000</f>
        <v>0</v>
      </c>
      <c r="CG3806" s="76"/>
      <c r="CH3806" s="76">
        <f>+CG3806*22500</f>
        <v>0</v>
      </c>
      <c r="CI3806" s="76"/>
      <c r="CJ3806" s="76">
        <f>+CI3806*26000</f>
        <v>0</v>
      </c>
      <c r="CK3806" s="76"/>
      <c r="CL3806" s="76"/>
      <c r="CM3806" s="76"/>
      <c r="CN3806" s="76">
        <f>+CM3806*22000</f>
        <v>0</v>
      </c>
      <c r="CO3806" s="76"/>
      <c r="CP3806" s="76">
        <f>+CO3806*46000</f>
        <v>0</v>
      </c>
      <c r="CQ3806" s="76"/>
      <c r="CR3806" s="76">
        <f>+CQ3806*49000</f>
        <v>0</v>
      </c>
      <c r="CS3806" s="76"/>
      <c r="CT3806" s="76"/>
      <c r="CU3806" s="56">
        <f>AN3806+AP3806+AR3806+AT3806+AV3806+AX3806+AZ3806+BB3806+BD3806+BF3806+BH3806+BJ3806+BL3806+BN3806+BP3806+BR3806+BT3806+BV3806+BX3806+BZ3806+CB3806+CD3806+CF3806+CH3806+CJ3806+CL3806+CN3806+CP3806+CR3806+CT3806</f>
        <v>0</v>
      </c>
      <c r="CV3806" s="76"/>
      <c r="CW3806" s="76">
        <f>+CV3806*1100</f>
        <v>0</v>
      </c>
      <c r="CX3806" s="76"/>
      <c r="CY3806" s="76">
        <f>+CX3806*106250</f>
        <v>0</v>
      </c>
      <c r="CZ3806" s="76"/>
      <c r="DA3806" s="76">
        <f>+CZ3806*34500</f>
        <v>0</v>
      </c>
      <c r="DB3806" s="76"/>
      <c r="DC3806" s="76">
        <f>+DB3806*25000</f>
        <v>0</v>
      </c>
      <c r="DD3806" s="219"/>
      <c r="DE3806" s="219"/>
      <c r="DF3806" s="166"/>
      <c r="DG3806" s="116"/>
      <c r="DH3806" s="117"/>
      <c r="DI3806" s="24"/>
      <c r="DJ3806" s="24"/>
      <c r="DK3806" s="24"/>
      <c r="DL3806" s="24"/>
      <c r="DM3806" s="24"/>
      <c r="DN3806" s="24"/>
      <c r="DO3806" s="24"/>
      <c r="DP3806" s="24"/>
      <c r="DQ3806" s="24"/>
      <c r="DR3806" s="24"/>
      <c r="DS3806" s="24"/>
      <c r="DT3806" s="24"/>
      <c r="DU3806" s="24"/>
    </row>
    <row r="3807" spans="1:125" s="8" customFormat="1" ht="36" x14ac:dyDescent="0.2">
      <c r="A3807" s="77">
        <v>41611</v>
      </c>
      <c r="B3807" s="78" t="s">
        <v>2778</v>
      </c>
      <c r="C3807" s="75" t="s">
        <v>1344</v>
      </c>
      <c r="D3807" s="75" t="s">
        <v>2846</v>
      </c>
      <c r="E3807" s="75" t="str">
        <f>VLOOKUP(B3807&amp;C3807,Divipola!$C$2:$F$1138,4,FALSE)</f>
        <v>85001</v>
      </c>
      <c r="F3807" s="87"/>
      <c r="G3807" s="87"/>
      <c r="H3807" s="87"/>
      <c r="I3807" s="87"/>
      <c r="J3807" s="87"/>
      <c r="K3807" s="87"/>
      <c r="L3807" s="87"/>
      <c r="M3807" s="87"/>
      <c r="N3807" s="87"/>
      <c r="O3807" s="87"/>
      <c r="P3807" s="87"/>
      <c r="Q3807" s="87"/>
      <c r="R3807" s="87"/>
      <c r="S3807" s="87"/>
      <c r="T3807" s="87"/>
      <c r="U3807" s="88">
        <v>2</v>
      </c>
      <c r="V3807" s="89"/>
      <c r="W3807" s="96">
        <v>0</v>
      </c>
      <c r="X3807" s="71">
        <f>CU3807</f>
        <v>0</v>
      </c>
      <c r="Y3807" s="71">
        <f>CY3807</f>
        <v>0</v>
      </c>
      <c r="Z3807" s="71">
        <f>DA3807+DC3807+DE3807</f>
        <v>0</v>
      </c>
      <c r="AA3807" s="71">
        <f>CW3807</f>
        <v>0</v>
      </c>
      <c r="AB3807" s="71"/>
      <c r="AC3807" s="71">
        <v>0</v>
      </c>
      <c r="AD3807" s="71">
        <f>W3807+X3807+Y3807+Z3807+AA3807+AB3807+AC3807</f>
        <v>0</v>
      </c>
      <c r="AE3807" s="72">
        <v>0</v>
      </c>
      <c r="AF3807" s="5"/>
      <c r="AG3807" s="6"/>
      <c r="AH3807" s="27"/>
      <c r="AI3807" s="44"/>
      <c r="AJ3807" s="26"/>
      <c r="AK3807" s="5"/>
      <c r="AL3807" s="82" t="s">
        <v>6844</v>
      </c>
      <c r="AM3807" s="76"/>
      <c r="AN3807" s="76"/>
      <c r="AO3807" s="76"/>
      <c r="AP3807" s="76"/>
      <c r="AQ3807" s="76"/>
      <c r="AR3807" s="76"/>
      <c r="AS3807" s="76"/>
      <c r="AT3807" s="76"/>
      <c r="AU3807" s="76"/>
      <c r="AV3807" s="76"/>
      <c r="AW3807" s="76"/>
      <c r="AX3807" s="76">
        <f>+AW3807*600000</f>
        <v>0</v>
      </c>
      <c r="AY3807" s="76"/>
      <c r="AZ3807" s="76">
        <f>+AY3807*70000</f>
        <v>0</v>
      </c>
      <c r="BA3807" s="76"/>
      <c r="BB3807" s="76"/>
      <c r="BC3807" s="76"/>
      <c r="BD3807" s="76">
        <f>+BC3807*30000</f>
        <v>0</v>
      </c>
      <c r="BE3807" s="76"/>
      <c r="BF3807" s="76"/>
      <c r="BG3807" s="76"/>
      <c r="BH3807" s="76"/>
      <c r="BI3807" s="76"/>
      <c r="BJ3807" s="76"/>
      <c r="BK3807" s="76"/>
      <c r="BL3807" s="76">
        <f>+BK3807*31500</f>
        <v>0</v>
      </c>
      <c r="BM3807" s="76"/>
      <c r="BN3807" s="76"/>
      <c r="BO3807" s="76"/>
      <c r="BP3807" s="76"/>
      <c r="BQ3807" s="76"/>
      <c r="BR3807" s="76"/>
      <c r="BS3807" s="76"/>
      <c r="BT3807" s="76"/>
      <c r="BU3807" s="76"/>
      <c r="BV3807" s="76"/>
      <c r="BW3807" s="76"/>
      <c r="BX3807" s="76"/>
      <c r="BY3807" s="76"/>
      <c r="BZ3807" s="76"/>
      <c r="CA3807" s="76"/>
      <c r="CB3807" s="76"/>
      <c r="CC3807" s="76"/>
      <c r="CD3807" s="76"/>
      <c r="CE3807" s="76"/>
      <c r="CF3807" s="76">
        <f>+CE3807*28000</f>
        <v>0</v>
      </c>
      <c r="CG3807" s="76"/>
      <c r="CH3807" s="76">
        <f>+CG3807*22500</f>
        <v>0</v>
      </c>
      <c r="CI3807" s="76"/>
      <c r="CJ3807" s="76">
        <f>+CI3807*26000</f>
        <v>0</v>
      </c>
      <c r="CK3807" s="76"/>
      <c r="CL3807" s="76"/>
      <c r="CM3807" s="76"/>
      <c r="CN3807" s="76">
        <f>+CM3807*22000</f>
        <v>0</v>
      </c>
      <c r="CO3807" s="76"/>
      <c r="CP3807" s="76">
        <f>+CO3807*46000</f>
        <v>0</v>
      </c>
      <c r="CQ3807" s="76"/>
      <c r="CR3807" s="76">
        <f>+CQ3807*49000</f>
        <v>0</v>
      </c>
      <c r="CS3807" s="76"/>
      <c r="CT3807" s="76"/>
      <c r="CU3807" s="56">
        <f>AN3807+AP3807+AR3807+AT3807+AV3807+AX3807+AZ3807+BB3807+BD3807+BF3807+BH3807+BJ3807+BL3807+BN3807+BP3807+BR3807+BT3807+BV3807+BX3807+BZ3807+CB3807+CD3807+CF3807+CH3807+CJ3807+CL3807+CN3807+CP3807+CR3807+CT3807</f>
        <v>0</v>
      </c>
      <c r="CV3807" s="76"/>
      <c r="CW3807" s="76">
        <f>+CV3807*1100</f>
        <v>0</v>
      </c>
      <c r="CX3807" s="76"/>
      <c r="CY3807" s="76">
        <f>+CX3807*106250</f>
        <v>0</v>
      </c>
      <c r="CZ3807" s="76"/>
      <c r="DA3807" s="76">
        <f>+CZ3807*34500</f>
        <v>0</v>
      </c>
      <c r="DB3807" s="76"/>
      <c r="DC3807" s="76">
        <f>+DB3807*25000</f>
        <v>0</v>
      </c>
      <c r="DD3807" s="219"/>
      <c r="DE3807" s="219"/>
      <c r="DF3807" s="166"/>
      <c r="DG3807" s="116"/>
      <c r="DH3807" s="117"/>
      <c r="DI3807" s="24"/>
      <c r="DJ3807" s="24"/>
      <c r="DK3807" s="24"/>
      <c r="DL3807" s="24"/>
      <c r="DM3807" s="24"/>
      <c r="DN3807" s="24"/>
      <c r="DO3807" s="24"/>
      <c r="DP3807" s="24"/>
      <c r="DQ3807" s="24"/>
      <c r="DR3807" s="24"/>
      <c r="DS3807" s="24"/>
      <c r="DT3807" s="24"/>
      <c r="DU3807" s="24"/>
    </row>
    <row r="3808" spans="1:125" s="8" customFormat="1" ht="156" x14ac:dyDescent="0.2">
      <c r="A3808" s="353">
        <v>41611</v>
      </c>
      <c r="B3808" s="208" t="s">
        <v>2894</v>
      </c>
      <c r="C3808" s="354" t="s">
        <v>2032</v>
      </c>
      <c r="D3808" s="354" t="s">
        <v>3051</v>
      </c>
      <c r="E3808" s="75" t="str">
        <f>VLOOKUP(B3808&amp;C3808,Divipola!$C$2:$F$1138,4,FALSE)</f>
        <v>05001</v>
      </c>
      <c r="F3808" s="87"/>
      <c r="G3808" s="87"/>
      <c r="H3808" s="87"/>
      <c r="I3808" s="87">
        <v>65</v>
      </c>
      <c r="J3808" s="87">
        <v>13</v>
      </c>
      <c r="K3808" s="87"/>
      <c r="L3808" s="87">
        <v>13</v>
      </c>
      <c r="M3808" s="87"/>
      <c r="N3808" s="87"/>
      <c r="O3808" s="87"/>
      <c r="P3808" s="87"/>
      <c r="Q3808" s="87"/>
      <c r="R3808" s="87"/>
      <c r="S3808" s="87"/>
      <c r="T3808" s="87"/>
      <c r="U3808" s="88"/>
      <c r="V3808" s="89"/>
      <c r="W3808" s="96">
        <v>0</v>
      </c>
      <c r="X3808" s="71">
        <f>CU3808</f>
        <v>0</v>
      </c>
      <c r="Y3808" s="71">
        <f>CY3808</f>
        <v>0</v>
      </c>
      <c r="Z3808" s="71">
        <f>DA3808+DC3808+DE3808</f>
        <v>0</v>
      </c>
      <c r="AA3808" s="71">
        <f>CW3808</f>
        <v>0</v>
      </c>
      <c r="AB3808" s="71"/>
      <c r="AC3808" s="71">
        <v>0</v>
      </c>
      <c r="AD3808" s="71">
        <f>W3808+X3808+Y3808+Z3808+AA3808+AB3808+AC3808</f>
        <v>0</v>
      </c>
      <c r="AE3808" s="72">
        <v>0</v>
      </c>
      <c r="AF3808" s="5"/>
      <c r="AG3808" s="6"/>
      <c r="AH3808" s="27"/>
      <c r="AI3808" s="44"/>
      <c r="AJ3808" s="26"/>
      <c r="AK3808" s="5"/>
      <c r="AL3808" s="82" t="s">
        <v>6845</v>
      </c>
      <c r="AM3808" s="76"/>
      <c r="AN3808" s="76"/>
      <c r="AO3808" s="76"/>
      <c r="AP3808" s="76"/>
      <c r="AQ3808" s="76"/>
      <c r="AR3808" s="76"/>
      <c r="AS3808" s="76"/>
      <c r="AT3808" s="76"/>
      <c r="AU3808" s="76"/>
      <c r="AV3808" s="76"/>
      <c r="AW3808" s="76"/>
      <c r="AX3808" s="76">
        <f>+AW3808*600000</f>
        <v>0</v>
      </c>
      <c r="AY3808" s="76"/>
      <c r="AZ3808" s="76">
        <f>+AY3808*70000</f>
        <v>0</v>
      </c>
      <c r="BA3808" s="76"/>
      <c r="BB3808" s="76"/>
      <c r="BC3808" s="76"/>
      <c r="BD3808" s="76">
        <f>+BC3808*30000</f>
        <v>0</v>
      </c>
      <c r="BE3808" s="76"/>
      <c r="BF3808" s="76"/>
      <c r="BG3808" s="76"/>
      <c r="BH3808" s="76"/>
      <c r="BI3808" s="76"/>
      <c r="BJ3808" s="76"/>
      <c r="BK3808" s="76"/>
      <c r="BL3808" s="76">
        <f>+BK3808*31500</f>
        <v>0</v>
      </c>
      <c r="BM3808" s="76"/>
      <c r="BN3808" s="76"/>
      <c r="BO3808" s="76"/>
      <c r="BP3808" s="76"/>
      <c r="BQ3808" s="76"/>
      <c r="BR3808" s="76"/>
      <c r="BS3808" s="76"/>
      <c r="BT3808" s="76"/>
      <c r="BU3808" s="76"/>
      <c r="BV3808" s="76"/>
      <c r="BW3808" s="76"/>
      <c r="BX3808" s="76"/>
      <c r="BY3808" s="76"/>
      <c r="BZ3808" s="76"/>
      <c r="CA3808" s="76"/>
      <c r="CB3808" s="76"/>
      <c r="CC3808" s="76"/>
      <c r="CD3808" s="76"/>
      <c r="CE3808" s="76"/>
      <c r="CF3808" s="76">
        <f>+CE3808*28000</f>
        <v>0</v>
      </c>
      <c r="CG3808" s="76"/>
      <c r="CH3808" s="76">
        <f>+CG3808*22500</f>
        <v>0</v>
      </c>
      <c r="CI3808" s="76"/>
      <c r="CJ3808" s="76">
        <f>+CI3808*26000</f>
        <v>0</v>
      </c>
      <c r="CK3808" s="76"/>
      <c r="CL3808" s="76"/>
      <c r="CM3808" s="76"/>
      <c r="CN3808" s="76">
        <f>+CM3808*22000</f>
        <v>0</v>
      </c>
      <c r="CO3808" s="76"/>
      <c r="CP3808" s="76">
        <f>+CO3808*46000</f>
        <v>0</v>
      </c>
      <c r="CQ3808" s="76"/>
      <c r="CR3808" s="76">
        <f>+CQ3808*49000</f>
        <v>0</v>
      </c>
      <c r="CS3808" s="76"/>
      <c r="CT3808" s="76"/>
      <c r="CU3808" s="56">
        <f>AN3808+AP3808+AR3808+AT3808+AV3808+AX3808+AZ3808+BB3808+BD3808+BF3808+BH3808+BJ3808+BL3808+BN3808+BP3808+BR3808+BT3808+BV3808+BX3808+BZ3808+CB3808+CD3808+CF3808+CH3808+CJ3808+CL3808+CN3808+CP3808+CR3808+CT3808</f>
        <v>0</v>
      </c>
      <c r="CV3808" s="76"/>
      <c r="CW3808" s="76">
        <f>+CV3808*1100</f>
        <v>0</v>
      </c>
      <c r="CX3808" s="76"/>
      <c r="CY3808" s="76">
        <f>+CX3808*106250</f>
        <v>0</v>
      </c>
      <c r="CZ3808" s="76"/>
      <c r="DA3808" s="76">
        <f>+CZ3808*34500</f>
        <v>0</v>
      </c>
      <c r="DB3808" s="76"/>
      <c r="DC3808" s="76">
        <f>+DB3808*25000</f>
        <v>0</v>
      </c>
      <c r="DD3808" s="219"/>
      <c r="DE3808" s="219"/>
      <c r="DF3808" s="166"/>
      <c r="DG3808" s="116"/>
      <c r="DH3808" s="117"/>
      <c r="DI3808" s="24"/>
      <c r="DJ3808" s="24"/>
      <c r="DK3808" s="24"/>
      <c r="DL3808" s="24"/>
      <c r="DM3808" s="24"/>
      <c r="DN3808" s="24"/>
      <c r="DO3808" s="24"/>
      <c r="DP3808" s="24"/>
      <c r="DQ3808" s="24"/>
      <c r="DR3808" s="24"/>
      <c r="DS3808" s="24"/>
      <c r="DT3808" s="24"/>
      <c r="DU3808" s="24"/>
    </row>
    <row r="3809" spans="1:125" s="8" customFormat="1" ht="60" x14ac:dyDescent="0.2">
      <c r="A3809" s="77">
        <v>41611</v>
      </c>
      <c r="B3809" s="78" t="s">
        <v>2661</v>
      </c>
      <c r="C3809" s="75" t="s">
        <v>371</v>
      </c>
      <c r="D3809" s="75" t="s">
        <v>3051</v>
      </c>
      <c r="E3809" s="75" t="str">
        <f>VLOOKUP(B3809&amp;C3809,Divipola!$C$2:$F$1138,4,FALSE)</f>
        <v>41668</v>
      </c>
      <c r="F3809" s="87"/>
      <c r="G3809" s="87"/>
      <c r="H3809" s="87"/>
      <c r="I3809" s="87">
        <v>80</v>
      </c>
      <c r="J3809" s="87">
        <v>16</v>
      </c>
      <c r="K3809" s="87"/>
      <c r="L3809" s="87">
        <v>16</v>
      </c>
      <c r="M3809" s="87"/>
      <c r="N3809" s="87"/>
      <c r="O3809" s="87"/>
      <c r="P3809" s="87"/>
      <c r="Q3809" s="87"/>
      <c r="R3809" s="87"/>
      <c r="S3809" s="87"/>
      <c r="T3809" s="87"/>
      <c r="U3809" s="87"/>
      <c r="V3809" s="194"/>
      <c r="W3809" s="96">
        <v>0</v>
      </c>
      <c r="X3809" s="71">
        <f>CU3809</f>
        <v>0</v>
      </c>
      <c r="Y3809" s="71">
        <f>CY3809</f>
        <v>0</v>
      </c>
      <c r="Z3809" s="71">
        <f>DA3809+DC3809+DE3809</f>
        <v>0</v>
      </c>
      <c r="AA3809" s="71">
        <f>CW3809</f>
        <v>0</v>
      </c>
      <c r="AB3809" s="71"/>
      <c r="AC3809" s="71">
        <v>0</v>
      </c>
      <c r="AD3809" s="71">
        <f>W3809+X3809+Y3809+Z3809+AA3809+AB3809+AC3809</f>
        <v>0</v>
      </c>
      <c r="AE3809" s="72">
        <v>0</v>
      </c>
      <c r="AF3809" s="5"/>
      <c r="AG3809" s="6"/>
      <c r="AH3809" s="27"/>
      <c r="AI3809" s="44"/>
      <c r="AJ3809" s="26"/>
      <c r="AK3809" s="5"/>
      <c r="AL3809" s="82" t="s">
        <v>6846</v>
      </c>
      <c r="AM3809" s="76"/>
      <c r="AN3809" s="76"/>
      <c r="AO3809" s="76"/>
      <c r="AP3809" s="76"/>
      <c r="AQ3809" s="76"/>
      <c r="AR3809" s="76"/>
      <c r="AS3809" s="76"/>
      <c r="AT3809" s="76"/>
      <c r="AU3809" s="76"/>
      <c r="AV3809" s="76"/>
      <c r="AW3809" s="76"/>
      <c r="AX3809" s="76">
        <f>+AW3809*600000</f>
        <v>0</v>
      </c>
      <c r="AY3809" s="76"/>
      <c r="AZ3809" s="76">
        <f>+AY3809*70000</f>
        <v>0</v>
      </c>
      <c r="BA3809" s="76"/>
      <c r="BB3809" s="76"/>
      <c r="BC3809" s="76"/>
      <c r="BD3809" s="76">
        <f>+BC3809*30000</f>
        <v>0</v>
      </c>
      <c r="BE3809" s="76"/>
      <c r="BF3809" s="76"/>
      <c r="BG3809" s="76"/>
      <c r="BH3809" s="76"/>
      <c r="BI3809" s="76"/>
      <c r="BJ3809" s="76"/>
      <c r="BK3809" s="76"/>
      <c r="BL3809" s="76">
        <f>+BK3809*31500</f>
        <v>0</v>
      </c>
      <c r="BM3809" s="76"/>
      <c r="BN3809" s="76"/>
      <c r="BO3809" s="76"/>
      <c r="BP3809" s="76"/>
      <c r="BQ3809" s="76"/>
      <c r="BR3809" s="76"/>
      <c r="BS3809" s="76"/>
      <c r="BT3809" s="76"/>
      <c r="BU3809" s="76"/>
      <c r="BV3809" s="76"/>
      <c r="BW3809" s="76"/>
      <c r="BX3809" s="76"/>
      <c r="BY3809" s="76"/>
      <c r="BZ3809" s="76"/>
      <c r="CA3809" s="76"/>
      <c r="CB3809" s="76"/>
      <c r="CC3809" s="76"/>
      <c r="CD3809" s="76"/>
      <c r="CE3809" s="76"/>
      <c r="CF3809" s="76">
        <f>+CE3809*28000</f>
        <v>0</v>
      </c>
      <c r="CG3809" s="76"/>
      <c r="CH3809" s="76">
        <f>+CG3809*22500</f>
        <v>0</v>
      </c>
      <c r="CI3809" s="76"/>
      <c r="CJ3809" s="76">
        <f>+CI3809*26000</f>
        <v>0</v>
      </c>
      <c r="CK3809" s="76"/>
      <c r="CL3809" s="76"/>
      <c r="CM3809" s="76"/>
      <c r="CN3809" s="76">
        <f>+CM3809*22000</f>
        <v>0</v>
      </c>
      <c r="CO3809" s="76"/>
      <c r="CP3809" s="76">
        <f>+CO3809*46000</f>
        <v>0</v>
      </c>
      <c r="CQ3809" s="76"/>
      <c r="CR3809" s="76">
        <f>+CQ3809*49000</f>
        <v>0</v>
      </c>
      <c r="CS3809" s="76"/>
      <c r="CT3809" s="76"/>
      <c r="CU3809" s="56">
        <f>AN3809+AP3809+AR3809+AT3809+AV3809+AX3809+AZ3809+BB3809+BD3809+BF3809+BH3809+BJ3809+BL3809+BN3809+BP3809+BR3809+BT3809+BV3809+BX3809+BZ3809+CB3809+CD3809+CF3809+CH3809+CJ3809+CL3809+CN3809+CP3809+CR3809+CT3809</f>
        <v>0</v>
      </c>
      <c r="CV3809" s="76"/>
      <c r="CW3809" s="76">
        <f>+CV3809*1100</f>
        <v>0</v>
      </c>
      <c r="CX3809" s="76"/>
      <c r="CY3809" s="76">
        <f>+CX3809*106250</f>
        <v>0</v>
      </c>
      <c r="CZ3809" s="76"/>
      <c r="DA3809" s="76">
        <f>+CZ3809*34500</f>
        <v>0</v>
      </c>
      <c r="DB3809" s="76"/>
      <c r="DC3809" s="76">
        <f>+DB3809*25000</f>
        <v>0</v>
      </c>
      <c r="DD3809" s="219"/>
      <c r="DE3809" s="219"/>
      <c r="DF3809" s="166"/>
      <c r="DG3809" s="116"/>
      <c r="DH3809" s="117"/>
      <c r="DI3809" s="24"/>
      <c r="DJ3809" s="24"/>
      <c r="DK3809" s="24"/>
      <c r="DL3809" s="24"/>
      <c r="DM3809" s="24"/>
      <c r="DN3809" s="24"/>
      <c r="DO3809" s="24"/>
      <c r="DP3809" s="24"/>
      <c r="DQ3809" s="24"/>
      <c r="DR3809" s="24"/>
      <c r="DS3809" s="24"/>
      <c r="DT3809" s="24"/>
      <c r="DU3809" s="24"/>
    </row>
    <row r="3810" spans="1:125" s="8" customFormat="1" ht="120" x14ac:dyDescent="0.2">
      <c r="A3810" s="77">
        <v>41611</v>
      </c>
      <c r="B3810" s="78" t="s">
        <v>2772</v>
      </c>
      <c r="C3810" s="75" t="s">
        <v>2826</v>
      </c>
      <c r="D3810" s="75" t="s">
        <v>3051</v>
      </c>
      <c r="E3810" s="75" t="str">
        <f>VLOOKUP(B3810&amp;C3810,Divipola!$C$2:$F$1138,4,FALSE)</f>
        <v>25086</v>
      </c>
      <c r="F3810" s="87"/>
      <c r="G3810" s="87"/>
      <c r="H3810" s="87"/>
      <c r="I3810" s="87"/>
      <c r="J3810" s="87"/>
      <c r="K3810" s="87"/>
      <c r="L3810" s="87"/>
      <c r="M3810" s="87"/>
      <c r="N3810" s="87"/>
      <c r="O3810" s="87"/>
      <c r="P3810" s="87"/>
      <c r="Q3810" s="87"/>
      <c r="R3810" s="87"/>
      <c r="S3810" s="87"/>
      <c r="T3810" s="87"/>
      <c r="U3810" s="88"/>
      <c r="V3810" s="89"/>
      <c r="W3810" s="96">
        <v>0</v>
      </c>
      <c r="X3810" s="71">
        <f>CU3810</f>
        <v>0</v>
      </c>
      <c r="Y3810" s="71">
        <f>CY3810</f>
        <v>0</v>
      </c>
      <c r="Z3810" s="71">
        <f>DA3810+DC3810+DE3810</f>
        <v>0</v>
      </c>
      <c r="AA3810" s="71">
        <f>CW3810</f>
        <v>0</v>
      </c>
      <c r="AB3810" s="71"/>
      <c r="AC3810" s="71">
        <v>0</v>
      </c>
      <c r="AD3810" s="71">
        <f>W3810+X3810+Y3810+Z3810+AA3810+AB3810+AC3810</f>
        <v>0</v>
      </c>
      <c r="AE3810" s="72">
        <v>0</v>
      </c>
      <c r="AF3810" s="5"/>
      <c r="AG3810" s="6"/>
      <c r="AH3810" s="27"/>
      <c r="AI3810" s="44"/>
      <c r="AJ3810" s="26"/>
      <c r="AK3810" s="5"/>
      <c r="AL3810" s="82" t="s">
        <v>6847</v>
      </c>
      <c r="AM3810" s="76"/>
      <c r="AN3810" s="76"/>
      <c r="AO3810" s="76"/>
      <c r="AP3810" s="76"/>
      <c r="AQ3810" s="76"/>
      <c r="AR3810" s="76"/>
      <c r="AS3810" s="76"/>
      <c r="AT3810" s="76"/>
      <c r="AU3810" s="76"/>
      <c r="AV3810" s="76"/>
      <c r="AW3810" s="76"/>
      <c r="AX3810" s="76">
        <f>+AW3810*600000</f>
        <v>0</v>
      </c>
      <c r="AY3810" s="76"/>
      <c r="AZ3810" s="76">
        <f>+AY3810*70000</f>
        <v>0</v>
      </c>
      <c r="BA3810" s="76"/>
      <c r="BB3810" s="76"/>
      <c r="BC3810" s="76"/>
      <c r="BD3810" s="76">
        <f>+BC3810*30000</f>
        <v>0</v>
      </c>
      <c r="BE3810" s="76"/>
      <c r="BF3810" s="76"/>
      <c r="BG3810" s="76"/>
      <c r="BH3810" s="76"/>
      <c r="BI3810" s="76"/>
      <c r="BJ3810" s="76"/>
      <c r="BK3810" s="76"/>
      <c r="BL3810" s="76">
        <f>+BK3810*31500</f>
        <v>0</v>
      </c>
      <c r="BM3810" s="76"/>
      <c r="BN3810" s="76"/>
      <c r="BO3810" s="76"/>
      <c r="BP3810" s="76"/>
      <c r="BQ3810" s="76"/>
      <c r="BR3810" s="76"/>
      <c r="BS3810" s="76"/>
      <c r="BT3810" s="76"/>
      <c r="BU3810" s="76"/>
      <c r="BV3810" s="76"/>
      <c r="BW3810" s="76"/>
      <c r="BX3810" s="76"/>
      <c r="BY3810" s="76"/>
      <c r="BZ3810" s="76"/>
      <c r="CA3810" s="76"/>
      <c r="CB3810" s="76"/>
      <c r="CC3810" s="76"/>
      <c r="CD3810" s="76"/>
      <c r="CE3810" s="76"/>
      <c r="CF3810" s="76">
        <f>+CE3810*28000</f>
        <v>0</v>
      </c>
      <c r="CG3810" s="76"/>
      <c r="CH3810" s="76">
        <f>+CG3810*22500</f>
        <v>0</v>
      </c>
      <c r="CI3810" s="76"/>
      <c r="CJ3810" s="76">
        <f>+CI3810*26000</f>
        <v>0</v>
      </c>
      <c r="CK3810" s="76"/>
      <c r="CL3810" s="76"/>
      <c r="CM3810" s="76"/>
      <c r="CN3810" s="76">
        <f>+CM3810*22000</f>
        <v>0</v>
      </c>
      <c r="CO3810" s="76"/>
      <c r="CP3810" s="76">
        <f>+CO3810*46000</f>
        <v>0</v>
      </c>
      <c r="CQ3810" s="76"/>
      <c r="CR3810" s="76">
        <f>+CQ3810*49000</f>
        <v>0</v>
      </c>
      <c r="CS3810" s="76"/>
      <c r="CT3810" s="76"/>
      <c r="CU3810" s="56">
        <f>AN3810+AP3810+AR3810+AT3810+AV3810+AX3810+AZ3810+BB3810+BD3810+BF3810+BH3810+BJ3810+BL3810+BN3810+BP3810+BR3810+BT3810+BV3810+BX3810+BZ3810+CB3810+CD3810+CF3810+CH3810+CJ3810+CL3810+CN3810+CP3810+CR3810+CT3810</f>
        <v>0</v>
      </c>
      <c r="CV3810" s="76"/>
      <c r="CW3810" s="76">
        <f>+CV3810*1100</f>
        <v>0</v>
      </c>
      <c r="CX3810" s="76"/>
      <c r="CY3810" s="76">
        <f>+CX3810*106250</f>
        <v>0</v>
      </c>
      <c r="CZ3810" s="76"/>
      <c r="DA3810" s="76">
        <f>+CZ3810*34500</f>
        <v>0</v>
      </c>
      <c r="DB3810" s="76"/>
      <c r="DC3810" s="76">
        <f>+DB3810*25000</f>
        <v>0</v>
      </c>
      <c r="DD3810" s="219"/>
      <c r="DE3810" s="219"/>
      <c r="DF3810" s="166"/>
      <c r="DG3810" s="116"/>
      <c r="DH3810" s="117"/>
      <c r="DI3810" s="24"/>
      <c r="DJ3810" s="24"/>
      <c r="DK3810" s="24"/>
      <c r="DL3810" s="24"/>
      <c r="DM3810" s="24"/>
      <c r="DN3810" s="24"/>
      <c r="DO3810" s="24"/>
      <c r="DP3810" s="24"/>
      <c r="DQ3810" s="24"/>
      <c r="DR3810" s="24"/>
      <c r="DS3810" s="24"/>
      <c r="DT3810" s="24"/>
      <c r="DU3810" s="24"/>
    </row>
    <row r="3811" spans="1:125" s="8" customFormat="1" ht="108" x14ac:dyDescent="0.2">
      <c r="A3811" s="77">
        <v>41611</v>
      </c>
      <c r="B3811" s="78" t="s">
        <v>2854</v>
      </c>
      <c r="C3811" s="75" t="s">
        <v>875</v>
      </c>
      <c r="D3811" s="75" t="s">
        <v>3088</v>
      </c>
      <c r="E3811" s="75" t="str">
        <f>VLOOKUP(B3811&amp;C3811,Divipola!$C$2:$F$1138,4,FALSE)</f>
        <v>19760</v>
      </c>
      <c r="F3811" s="87"/>
      <c r="G3811" s="87"/>
      <c r="H3811" s="87"/>
      <c r="I3811" s="87"/>
      <c r="J3811" s="87"/>
      <c r="K3811" s="87"/>
      <c r="L3811" s="87"/>
      <c r="M3811" s="87">
        <v>1</v>
      </c>
      <c r="N3811" s="87"/>
      <c r="O3811" s="87"/>
      <c r="P3811" s="87"/>
      <c r="Q3811" s="87"/>
      <c r="R3811" s="87"/>
      <c r="S3811" s="87"/>
      <c r="T3811" s="87"/>
      <c r="U3811" s="88"/>
      <c r="V3811" s="89"/>
      <c r="W3811" s="96">
        <v>0</v>
      </c>
      <c r="X3811" s="71">
        <f>CU3811</f>
        <v>0</v>
      </c>
      <c r="Y3811" s="71">
        <f>CY3811</f>
        <v>0</v>
      </c>
      <c r="Z3811" s="71">
        <f>DA3811+DC3811+DE3811</f>
        <v>0</v>
      </c>
      <c r="AA3811" s="71">
        <f>CW3811</f>
        <v>0</v>
      </c>
      <c r="AB3811" s="71"/>
      <c r="AC3811" s="71">
        <v>0</v>
      </c>
      <c r="AD3811" s="71">
        <f>W3811+X3811+Y3811+Z3811+AA3811+AB3811+AC3811</f>
        <v>0</v>
      </c>
      <c r="AE3811" s="72">
        <v>0</v>
      </c>
      <c r="AF3811" s="5"/>
      <c r="AG3811" s="6"/>
      <c r="AH3811" s="27"/>
      <c r="AI3811" s="44"/>
      <c r="AJ3811" s="26"/>
      <c r="AK3811" s="5"/>
      <c r="AL3811" s="268" t="s">
        <v>6834</v>
      </c>
      <c r="AM3811" s="76"/>
      <c r="AN3811" s="76"/>
      <c r="AO3811" s="76"/>
      <c r="AP3811" s="76"/>
      <c r="AQ3811" s="76"/>
      <c r="AR3811" s="76"/>
      <c r="AS3811" s="76"/>
      <c r="AT3811" s="76"/>
      <c r="AU3811" s="76"/>
      <c r="AV3811" s="76"/>
      <c r="AW3811" s="76"/>
      <c r="AX3811" s="76">
        <f>+AW3811*600000</f>
        <v>0</v>
      </c>
      <c r="AY3811" s="76"/>
      <c r="AZ3811" s="76">
        <f>+AY3811*70000</f>
        <v>0</v>
      </c>
      <c r="BA3811" s="76"/>
      <c r="BB3811" s="76"/>
      <c r="BC3811" s="76"/>
      <c r="BD3811" s="76">
        <f>+BC3811*30000</f>
        <v>0</v>
      </c>
      <c r="BE3811" s="76"/>
      <c r="BF3811" s="76"/>
      <c r="BG3811" s="76"/>
      <c r="BH3811" s="76"/>
      <c r="BI3811" s="76"/>
      <c r="BJ3811" s="76"/>
      <c r="BK3811" s="76"/>
      <c r="BL3811" s="76">
        <f>+BK3811*31500</f>
        <v>0</v>
      </c>
      <c r="BM3811" s="76"/>
      <c r="BN3811" s="76"/>
      <c r="BO3811" s="76"/>
      <c r="BP3811" s="76"/>
      <c r="BQ3811" s="76"/>
      <c r="BR3811" s="76"/>
      <c r="BS3811" s="76"/>
      <c r="BT3811" s="76"/>
      <c r="BU3811" s="76"/>
      <c r="BV3811" s="76"/>
      <c r="BW3811" s="76"/>
      <c r="BX3811" s="76"/>
      <c r="BY3811" s="76"/>
      <c r="BZ3811" s="76"/>
      <c r="CA3811" s="76"/>
      <c r="CB3811" s="76"/>
      <c r="CC3811" s="76"/>
      <c r="CD3811" s="76"/>
      <c r="CE3811" s="76"/>
      <c r="CF3811" s="76">
        <f>+CE3811*28000</f>
        <v>0</v>
      </c>
      <c r="CG3811" s="76"/>
      <c r="CH3811" s="76">
        <f>+CG3811*22500</f>
        <v>0</v>
      </c>
      <c r="CI3811" s="76"/>
      <c r="CJ3811" s="76">
        <f>+CI3811*26000</f>
        <v>0</v>
      </c>
      <c r="CK3811" s="76"/>
      <c r="CL3811" s="76"/>
      <c r="CM3811" s="76"/>
      <c r="CN3811" s="76">
        <f>+CM3811*22000</f>
        <v>0</v>
      </c>
      <c r="CO3811" s="76"/>
      <c r="CP3811" s="76">
        <f>+CO3811*46000</f>
        <v>0</v>
      </c>
      <c r="CQ3811" s="76"/>
      <c r="CR3811" s="76">
        <f>+CQ3811*49000</f>
        <v>0</v>
      </c>
      <c r="CS3811" s="76"/>
      <c r="CT3811" s="76"/>
      <c r="CU3811" s="56">
        <f>AN3811+AP3811+AR3811+AT3811+AV3811+AX3811+AZ3811+BB3811+BD3811+BF3811+BH3811+BJ3811+BL3811+BN3811+BP3811+BR3811+BT3811+BV3811+BX3811+BZ3811+CB3811+CD3811+CF3811+CH3811+CJ3811+CL3811+CN3811+CP3811+CR3811+CT3811</f>
        <v>0</v>
      </c>
      <c r="CV3811" s="76"/>
      <c r="CW3811" s="76">
        <f>+CV3811*1100</f>
        <v>0</v>
      </c>
      <c r="CX3811" s="76"/>
      <c r="CY3811" s="76">
        <f>+CX3811*106250</f>
        <v>0</v>
      </c>
      <c r="CZ3811" s="76"/>
      <c r="DA3811" s="76">
        <f>+CZ3811*34500</f>
        <v>0</v>
      </c>
      <c r="DB3811" s="76"/>
      <c r="DC3811" s="76">
        <f>+DB3811*25000</f>
        <v>0</v>
      </c>
      <c r="DD3811" s="219"/>
      <c r="DE3811" s="219"/>
      <c r="DF3811" s="166"/>
      <c r="DG3811" s="116"/>
      <c r="DH3811" s="117"/>
      <c r="DI3811" s="24"/>
      <c r="DJ3811" s="24"/>
      <c r="DK3811" s="24"/>
      <c r="DL3811" s="24"/>
      <c r="DM3811" s="24"/>
      <c r="DN3811" s="24"/>
      <c r="DO3811" s="24"/>
      <c r="DP3811" s="24"/>
      <c r="DQ3811" s="24"/>
      <c r="DR3811" s="24"/>
      <c r="DS3811" s="24"/>
      <c r="DT3811" s="24"/>
      <c r="DU3811" s="24"/>
    </row>
    <row r="3812" spans="1:125" s="8" customFormat="1" ht="72" x14ac:dyDescent="0.2">
      <c r="A3812" s="77">
        <v>41611</v>
      </c>
      <c r="B3812" s="352" t="s">
        <v>2854</v>
      </c>
      <c r="C3812" s="354" t="s">
        <v>875</v>
      </c>
      <c r="D3812" s="354" t="s">
        <v>3088</v>
      </c>
      <c r="E3812" s="75" t="str">
        <f>VLOOKUP(B3812&amp;C3812,Divipola!$C$2:$F$1138,4,FALSE)</f>
        <v>19760</v>
      </c>
      <c r="F3812" s="87"/>
      <c r="G3812" s="87"/>
      <c r="H3812" s="87"/>
      <c r="I3812" s="87"/>
      <c r="J3812" s="87"/>
      <c r="K3812" s="87"/>
      <c r="L3812" s="87"/>
      <c r="M3812" s="87">
        <v>1</v>
      </c>
      <c r="N3812" s="87"/>
      <c r="O3812" s="87"/>
      <c r="P3812" s="87"/>
      <c r="Q3812" s="87"/>
      <c r="R3812" s="87"/>
      <c r="S3812" s="87"/>
      <c r="T3812" s="87"/>
      <c r="U3812" s="88"/>
      <c r="V3812" s="89"/>
      <c r="W3812" s="96">
        <v>0</v>
      </c>
      <c r="X3812" s="71">
        <f>CU3812</f>
        <v>0</v>
      </c>
      <c r="Y3812" s="71">
        <f>CY3812</f>
        <v>0</v>
      </c>
      <c r="Z3812" s="71">
        <f>DA3812+DC3812+DE3812</f>
        <v>0</v>
      </c>
      <c r="AA3812" s="71">
        <f>CW3812</f>
        <v>0</v>
      </c>
      <c r="AB3812" s="71"/>
      <c r="AC3812" s="71">
        <v>0</v>
      </c>
      <c r="AD3812" s="71">
        <f>W3812+X3812+Y3812+Z3812+AA3812+AB3812+AC3812</f>
        <v>0</v>
      </c>
      <c r="AE3812" s="72">
        <v>0</v>
      </c>
      <c r="AF3812" s="5"/>
      <c r="AG3812" s="6"/>
      <c r="AH3812" s="27"/>
      <c r="AI3812" s="44"/>
      <c r="AJ3812" s="26"/>
      <c r="AK3812" s="5"/>
      <c r="AL3812" s="82" t="s">
        <v>6835</v>
      </c>
      <c r="AM3812" s="76"/>
      <c r="AN3812" s="76"/>
      <c r="AO3812" s="76"/>
      <c r="AP3812" s="76"/>
      <c r="AQ3812" s="76"/>
      <c r="AR3812" s="76"/>
      <c r="AS3812" s="76"/>
      <c r="AT3812" s="76"/>
      <c r="AU3812" s="76"/>
      <c r="AV3812" s="76"/>
      <c r="AW3812" s="76"/>
      <c r="AX3812" s="76">
        <f>+AW3812*600000</f>
        <v>0</v>
      </c>
      <c r="AY3812" s="76"/>
      <c r="AZ3812" s="76">
        <f>+AY3812*70000</f>
        <v>0</v>
      </c>
      <c r="BA3812" s="76"/>
      <c r="BB3812" s="76"/>
      <c r="BC3812" s="76"/>
      <c r="BD3812" s="76">
        <f>+BC3812*30000</f>
        <v>0</v>
      </c>
      <c r="BE3812" s="76"/>
      <c r="BF3812" s="76"/>
      <c r="BG3812" s="76"/>
      <c r="BH3812" s="76"/>
      <c r="BI3812" s="76"/>
      <c r="BJ3812" s="76"/>
      <c r="BK3812" s="76"/>
      <c r="BL3812" s="76">
        <f>+BK3812*31500</f>
        <v>0</v>
      </c>
      <c r="BM3812" s="76"/>
      <c r="BN3812" s="76"/>
      <c r="BO3812" s="76"/>
      <c r="BP3812" s="76"/>
      <c r="BQ3812" s="76"/>
      <c r="BR3812" s="76"/>
      <c r="BS3812" s="76"/>
      <c r="BT3812" s="76"/>
      <c r="BU3812" s="76"/>
      <c r="BV3812" s="76"/>
      <c r="BW3812" s="76"/>
      <c r="BX3812" s="76"/>
      <c r="BY3812" s="76"/>
      <c r="BZ3812" s="76"/>
      <c r="CA3812" s="76"/>
      <c r="CB3812" s="76"/>
      <c r="CC3812" s="76"/>
      <c r="CD3812" s="76"/>
      <c r="CE3812" s="76"/>
      <c r="CF3812" s="76">
        <f>+CE3812*28000</f>
        <v>0</v>
      </c>
      <c r="CG3812" s="76"/>
      <c r="CH3812" s="76">
        <f>+CG3812*22500</f>
        <v>0</v>
      </c>
      <c r="CI3812" s="76"/>
      <c r="CJ3812" s="76">
        <f>+CI3812*26000</f>
        <v>0</v>
      </c>
      <c r="CK3812" s="76"/>
      <c r="CL3812" s="76"/>
      <c r="CM3812" s="76"/>
      <c r="CN3812" s="76">
        <f>+CM3812*22000</f>
        <v>0</v>
      </c>
      <c r="CO3812" s="76"/>
      <c r="CP3812" s="76">
        <f>+CO3812*46000</f>
        <v>0</v>
      </c>
      <c r="CQ3812" s="76"/>
      <c r="CR3812" s="76">
        <f>+CQ3812*49000</f>
        <v>0</v>
      </c>
      <c r="CS3812" s="76"/>
      <c r="CT3812" s="76"/>
      <c r="CU3812" s="56">
        <f>AN3812+AP3812+AR3812+AT3812+AV3812+AX3812+AZ3812+BB3812+BD3812+BF3812+BH3812+BJ3812+BL3812+BN3812+BP3812+BR3812+BT3812+BV3812+BX3812+BZ3812+CB3812+CD3812+CF3812+CH3812+CJ3812+CL3812+CN3812+CP3812+CR3812+CT3812</f>
        <v>0</v>
      </c>
      <c r="CV3812" s="76"/>
      <c r="CW3812" s="76">
        <f>+CV3812*1100</f>
        <v>0</v>
      </c>
      <c r="CX3812" s="76"/>
      <c r="CY3812" s="76">
        <f>+CX3812*106250</f>
        <v>0</v>
      </c>
      <c r="CZ3812" s="76"/>
      <c r="DA3812" s="76">
        <f>+CZ3812*34500</f>
        <v>0</v>
      </c>
      <c r="DB3812" s="76"/>
      <c r="DC3812" s="76">
        <f>+DB3812*25000</f>
        <v>0</v>
      </c>
      <c r="DD3812" s="219"/>
      <c r="DE3812" s="219"/>
      <c r="DF3812" s="166"/>
      <c r="DG3812" s="116"/>
      <c r="DH3812" s="117"/>
      <c r="DI3812" s="24"/>
      <c r="DJ3812" s="24"/>
      <c r="DK3812" s="24"/>
      <c r="DL3812" s="24"/>
      <c r="DM3812" s="24"/>
      <c r="DN3812" s="24"/>
      <c r="DO3812" s="24"/>
      <c r="DP3812" s="24"/>
      <c r="DQ3812" s="24"/>
      <c r="DR3812" s="24"/>
      <c r="DS3812" s="24"/>
      <c r="DT3812" s="24"/>
      <c r="DU3812" s="24"/>
    </row>
    <row r="3813" spans="1:125" s="8" customFormat="1" ht="60" x14ac:dyDescent="0.2">
      <c r="A3813" s="77">
        <v>41611</v>
      </c>
      <c r="B3813" s="352" t="s">
        <v>2774</v>
      </c>
      <c r="C3813" s="354" t="s">
        <v>284</v>
      </c>
      <c r="D3813" s="354" t="s">
        <v>3017</v>
      </c>
      <c r="E3813" s="75" t="str">
        <f>VLOOKUP(B3813&amp;C3813,Divipola!$C$2:$F$1138,4,FALSE)</f>
        <v>66170</v>
      </c>
      <c r="F3813" s="87"/>
      <c r="G3813" s="87">
        <v>2</v>
      </c>
      <c r="H3813" s="87"/>
      <c r="I3813" s="87">
        <v>5</v>
      </c>
      <c r="J3813" s="87">
        <v>1</v>
      </c>
      <c r="K3813" s="87">
        <v>1</v>
      </c>
      <c r="L3813" s="87"/>
      <c r="M3813" s="87"/>
      <c r="N3813" s="87"/>
      <c r="O3813" s="87"/>
      <c r="P3813" s="87"/>
      <c r="Q3813" s="87"/>
      <c r="R3813" s="87"/>
      <c r="S3813" s="87"/>
      <c r="T3813" s="87"/>
      <c r="U3813" s="88"/>
      <c r="V3813" s="89"/>
      <c r="W3813" s="96">
        <v>0</v>
      </c>
      <c r="X3813" s="71">
        <f>CU3813</f>
        <v>0</v>
      </c>
      <c r="Y3813" s="71">
        <f>CY3813</f>
        <v>0</v>
      </c>
      <c r="Z3813" s="71">
        <f>DA3813+DC3813+DE3813</f>
        <v>0</v>
      </c>
      <c r="AA3813" s="71">
        <f>CW3813</f>
        <v>0</v>
      </c>
      <c r="AB3813" s="71"/>
      <c r="AC3813" s="71">
        <v>0</v>
      </c>
      <c r="AD3813" s="71">
        <f>W3813+X3813+Y3813+Z3813+AA3813+AB3813+AC3813</f>
        <v>0</v>
      </c>
      <c r="AE3813" s="72">
        <v>0</v>
      </c>
      <c r="AF3813" s="5"/>
      <c r="AG3813" s="6"/>
      <c r="AH3813" s="27"/>
      <c r="AI3813" s="44"/>
      <c r="AJ3813" s="26"/>
      <c r="AK3813" s="5"/>
      <c r="AL3813" s="82" t="s">
        <v>6836</v>
      </c>
      <c r="AM3813" s="76"/>
      <c r="AN3813" s="76"/>
      <c r="AO3813" s="76"/>
      <c r="AP3813" s="76"/>
      <c r="AQ3813" s="76"/>
      <c r="AR3813" s="76"/>
      <c r="AS3813" s="76"/>
      <c r="AT3813" s="76"/>
      <c r="AU3813" s="76"/>
      <c r="AV3813" s="76"/>
      <c r="AW3813" s="76"/>
      <c r="AX3813" s="76">
        <f>+AW3813*600000</f>
        <v>0</v>
      </c>
      <c r="AY3813" s="76"/>
      <c r="AZ3813" s="76">
        <f>+AY3813*70000</f>
        <v>0</v>
      </c>
      <c r="BA3813" s="76"/>
      <c r="BB3813" s="76"/>
      <c r="BC3813" s="76"/>
      <c r="BD3813" s="76">
        <f>+BC3813*30000</f>
        <v>0</v>
      </c>
      <c r="BE3813" s="76"/>
      <c r="BF3813" s="76"/>
      <c r="BG3813" s="76"/>
      <c r="BH3813" s="76"/>
      <c r="BI3813" s="76"/>
      <c r="BJ3813" s="76"/>
      <c r="BK3813" s="76"/>
      <c r="BL3813" s="76">
        <f>+BK3813*31500</f>
        <v>0</v>
      </c>
      <c r="BM3813" s="76"/>
      <c r="BN3813" s="76"/>
      <c r="BO3813" s="76"/>
      <c r="BP3813" s="76"/>
      <c r="BQ3813" s="76"/>
      <c r="BR3813" s="76"/>
      <c r="BS3813" s="76"/>
      <c r="BT3813" s="76"/>
      <c r="BU3813" s="76"/>
      <c r="BV3813" s="76"/>
      <c r="BW3813" s="76"/>
      <c r="BX3813" s="76"/>
      <c r="BY3813" s="76"/>
      <c r="BZ3813" s="76"/>
      <c r="CA3813" s="76"/>
      <c r="CB3813" s="76"/>
      <c r="CC3813" s="76"/>
      <c r="CD3813" s="76"/>
      <c r="CE3813" s="76"/>
      <c r="CF3813" s="76">
        <f>+CE3813*28000</f>
        <v>0</v>
      </c>
      <c r="CG3813" s="76"/>
      <c r="CH3813" s="76">
        <f>+CG3813*22500</f>
        <v>0</v>
      </c>
      <c r="CI3813" s="76"/>
      <c r="CJ3813" s="76">
        <f>+CI3813*26000</f>
        <v>0</v>
      </c>
      <c r="CK3813" s="76"/>
      <c r="CL3813" s="76"/>
      <c r="CM3813" s="76"/>
      <c r="CN3813" s="76">
        <f>+CM3813*22000</f>
        <v>0</v>
      </c>
      <c r="CO3813" s="76"/>
      <c r="CP3813" s="76">
        <f>+CO3813*46000</f>
        <v>0</v>
      </c>
      <c r="CQ3813" s="76"/>
      <c r="CR3813" s="76">
        <f>+CQ3813*49000</f>
        <v>0</v>
      </c>
      <c r="CS3813" s="76"/>
      <c r="CT3813" s="76"/>
      <c r="CU3813" s="56">
        <f>AN3813+AP3813+AR3813+AT3813+AV3813+AX3813+AZ3813+BB3813+BD3813+BF3813+BH3813+BJ3813+BL3813+BN3813+BP3813+BR3813+BT3813+BV3813+BX3813+BZ3813+CB3813+CD3813+CF3813+CH3813+CJ3813+CL3813+CN3813+CP3813+CR3813+CT3813</f>
        <v>0</v>
      </c>
      <c r="CV3813" s="76"/>
      <c r="CW3813" s="76">
        <f>+CV3813*1100</f>
        <v>0</v>
      </c>
      <c r="CX3813" s="76"/>
      <c r="CY3813" s="76">
        <f>+CX3813*106250</f>
        <v>0</v>
      </c>
      <c r="CZ3813" s="76"/>
      <c r="DA3813" s="76">
        <f>+CZ3813*34500</f>
        <v>0</v>
      </c>
      <c r="DB3813" s="76"/>
      <c r="DC3813" s="76">
        <f>+DB3813*25000</f>
        <v>0</v>
      </c>
      <c r="DD3813" s="219"/>
      <c r="DE3813" s="219"/>
      <c r="DF3813" s="166"/>
      <c r="DG3813" s="116"/>
      <c r="DH3813" s="117"/>
      <c r="DI3813" s="24"/>
      <c r="DJ3813" s="24"/>
      <c r="DK3813" s="24"/>
      <c r="DL3813" s="24"/>
      <c r="DM3813" s="24"/>
      <c r="DN3813" s="24"/>
      <c r="DO3813" s="24"/>
      <c r="DP3813" s="24"/>
      <c r="DQ3813" s="24"/>
      <c r="DR3813" s="24"/>
      <c r="DS3813" s="24"/>
      <c r="DT3813" s="24"/>
      <c r="DU3813" s="24"/>
    </row>
    <row r="3814" spans="1:125" s="8" customFormat="1" ht="60" x14ac:dyDescent="0.2">
      <c r="A3814" s="77">
        <v>41611</v>
      </c>
      <c r="B3814" s="78" t="s">
        <v>2774</v>
      </c>
      <c r="C3814" s="75" t="s">
        <v>2037</v>
      </c>
      <c r="D3814" s="75" t="s">
        <v>3088</v>
      </c>
      <c r="E3814" s="75" t="str">
        <f>VLOOKUP(B3814&amp;C3814,Divipola!$C$2:$F$1138,4,FALSE)</f>
        <v>66045</v>
      </c>
      <c r="F3814" s="87"/>
      <c r="G3814" s="87"/>
      <c r="H3814" s="87"/>
      <c r="I3814" s="87"/>
      <c r="J3814" s="87"/>
      <c r="K3814" s="87"/>
      <c r="L3814" s="87"/>
      <c r="M3814" s="87"/>
      <c r="N3814" s="87"/>
      <c r="O3814" s="87"/>
      <c r="P3814" s="87">
        <v>1</v>
      </c>
      <c r="Q3814" s="87"/>
      <c r="R3814" s="87"/>
      <c r="S3814" s="87">
        <v>1</v>
      </c>
      <c r="T3814" s="87"/>
      <c r="U3814" s="88"/>
      <c r="V3814" s="89"/>
      <c r="W3814" s="96">
        <v>0</v>
      </c>
      <c r="X3814" s="71">
        <f>CU3814</f>
        <v>0</v>
      </c>
      <c r="Y3814" s="71">
        <f>CY3814</f>
        <v>0</v>
      </c>
      <c r="Z3814" s="71">
        <f>DA3814+DC3814+DE3814</f>
        <v>0</v>
      </c>
      <c r="AA3814" s="71">
        <f>CW3814</f>
        <v>0</v>
      </c>
      <c r="AB3814" s="71"/>
      <c r="AC3814" s="71">
        <v>0</v>
      </c>
      <c r="AD3814" s="71">
        <f>W3814+X3814+Y3814+Z3814+AA3814+AB3814+AC3814</f>
        <v>0</v>
      </c>
      <c r="AE3814" s="72">
        <v>0</v>
      </c>
      <c r="AF3814" s="5"/>
      <c r="AG3814" s="6"/>
      <c r="AH3814" s="27"/>
      <c r="AI3814" s="44"/>
      <c r="AJ3814" s="26"/>
      <c r="AK3814" s="5"/>
      <c r="AL3814" s="9" t="s">
        <v>6837</v>
      </c>
      <c r="AM3814" s="76"/>
      <c r="AN3814" s="76"/>
      <c r="AO3814" s="76"/>
      <c r="AP3814" s="76"/>
      <c r="AQ3814" s="76"/>
      <c r="AR3814" s="76"/>
      <c r="AS3814" s="76"/>
      <c r="AT3814" s="76"/>
      <c r="AU3814" s="76"/>
      <c r="AV3814" s="76"/>
      <c r="AW3814" s="76"/>
      <c r="AX3814" s="76">
        <f>+AW3814*600000</f>
        <v>0</v>
      </c>
      <c r="AY3814" s="76"/>
      <c r="AZ3814" s="76">
        <f>+AY3814*70000</f>
        <v>0</v>
      </c>
      <c r="BA3814" s="76"/>
      <c r="BB3814" s="76"/>
      <c r="BC3814" s="76"/>
      <c r="BD3814" s="76">
        <f>+BC3814*30000</f>
        <v>0</v>
      </c>
      <c r="BE3814" s="76"/>
      <c r="BF3814" s="76"/>
      <c r="BG3814" s="76"/>
      <c r="BH3814" s="76"/>
      <c r="BI3814" s="76"/>
      <c r="BJ3814" s="76"/>
      <c r="BK3814" s="76"/>
      <c r="BL3814" s="76">
        <f>+BK3814*31500</f>
        <v>0</v>
      </c>
      <c r="BM3814" s="76"/>
      <c r="BN3814" s="76"/>
      <c r="BO3814" s="76"/>
      <c r="BP3814" s="76"/>
      <c r="BQ3814" s="76"/>
      <c r="BR3814" s="76"/>
      <c r="BS3814" s="76"/>
      <c r="BT3814" s="76"/>
      <c r="BU3814" s="76"/>
      <c r="BV3814" s="76"/>
      <c r="BW3814" s="76"/>
      <c r="BX3814" s="76"/>
      <c r="BY3814" s="76"/>
      <c r="BZ3814" s="76"/>
      <c r="CA3814" s="76"/>
      <c r="CB3814" s="76"/>
      <c r="CC3814" s="76"/>
      <c r="CD3814" s="76"/>
      <c r="CE3814" s="76"/>
      <c r="CF3814" s="76">
        <f>+CE3814*28000</f>
        <v>0</v>
      </c>
      <c r="CG3814" s="76"/>
      <c r="CH3814" s="76">
        <f>+CG3814*22500</f>
        <v>0</v>
      </c>
      <c r="CI3814" s="76"/>
      <c r="CJ3814" s="76">
        <f>+CI3814*26000</f>
        <v>0</v>
      </c>
      <c r="CK3814" s="76"/>
      <c r="CL3814" s="76"/>
      <c r="CM3814" s="76"/>
      <c r="CN3814" s="76">
        <f>+CM3814*22000</f>
        <v>0</v>
      </c>
      <c r="CO3814" s="76"/>
      <c r="CP3814" s="76">
        <f>+CO3814*46000</f>
        <v>0</v>
      </c>
      <c r="CQ3814" s="76"/>
      <c r="CR3814" s="76">
        <f>+CQ3814*49000</f>
        <v>0</v>
      </c>
      <c r="CS3814" s="76"/>
      <c r="CT3814" s="76"/>
      <c r="CU3814" s="56">
        <f>AN3814+AP3814+AR3814+AT3814+AV3814+AX3814+AZ3814+BB3814+BD3814+BF3814+BH3814+BJ3814+BL3814+BN3814+BP3814+BR3814+BT3814+BV3814+BX3814+BZ3814+CB3814+CD3814+CF3814+CH3814+CJ3814+CL3814+CN3814+CP3814+CR3814+CT3814</f>
        <v>0</v>
      </c>
      <c r="CV3814" s="76"/>
      <c r="CW3814" s="76">
        <f>+CV3814*1100</f>
        <v>0</v>
      </c>
      <c r="CX3814" s="76"/>
      <c r="CY3814" s="76">
        <f>+CX3814*106250</f>
        <v>0</v>
      </c>
      <c r="CZ3814" s="76"/>
      <c r="DA3814" s="76">
        <f>+CZ3814*34500</f>
        <v>0</v>
      </c>
      <c r="DB3814" s="76"/>
      <c r="DC3814" s="76">
        <f>+DB3814*25000</f>
        <v>0</v>
      </c>
      <c r="DD3814" s="219"/>
      <c r="DE3814" s="219"/>
      <c r="DF3814" s="166"/>
      <c r="DG3814" s="116"/>
      <c r="DH3814" s="117"/>
      <c r="DI3814" s="24"/>
      <c r="DJ3814" s="24"/>
      <c r="DK3814" s="24"/>
      <c r="DL3814" s="24"/>
      <c r="DM3814" s="24"/>
      <c r="DN3814" s="24"/>
      <c r="DO3814" s="24"/>
      <c r="DP3814" s="24"/>
      <c r="DQ3814" s="24"/>
      <c r="DR3814" s="24"/>
      <c r="DS3814" s="24"/>
      <c r="DT3814" s="24"/>
      <c r="DU3814" s="24"/>
    </row>
    <row r="3815" spans="1:125" s="8" customFormat="1" ht="240" x14ac:dyDescent="0.2">
      <c r="A3815" s="77">
        <v>41611</v>
      </c>
      <c r="B3815" s="84" t="s">
        <v>2774</v>
      </c>
      <c r="C3815" s="84" t="s">
        <v>1256</v>
      </c>
      <c r="D3815" s="75" t="s">
        <v>3088</v>
      </c>
      <c r="E3815" s="75" t="str">
        <f>VLOOKUP(B3815&amp;C3815,Divipola!$C$2:$F$1138,4,FALSE)</f>
        <v>66572</v>
      </c>
      <c r="F3815" s="89"/>
      <c r="G3815" s="89"/>
      <c r="H3815" s="89"/>
      <c r="I3815" s="89">
        <v>350</v>
      </c>
      <c r="J3815" s="157">
        <v>70</v>
      </c>
      <c r="K3815" s="89"/>
      <c r="L3815" s="89">
        <v>70</v>
      </c>
      <c r="M3815" s="89">
        <v>6</v>
      </c>
      <c r="N3815" s="89"/>
      <c r="O3815" s="89">
        <v>11</v>
      </c>
      <c r="P3815" s="89">
        <v>150</v>
      </c>
      <c r="Q3815" s="89"/>
      <c r="R3815" s="89"/>
      <c r="S3815" s="89"/>
      <c r="T3815" s="89"/>
      <c r="U3815" s="89"/>
      <c r="V3815" s="221"/>
      <c r="W3815" s="96">
        <v>0</v>
      </c>
      <c r="X3815" s="71">
        <f>CU3815</f>
        <v>56105000</v>
      </c>
      <c r="Y3815" s="71">
        <f>CY3815</f>
        <v>14875000</v>
      </c>
      <c r="Z3815" s="71">
        <f>DA3815+DC3815+DE3815</f>
        <v>75000000</v>
      </c>
      <c r="AA3815" s="71">
        <f>CW3815</f>
        <v>0</v>
      </c>
      <c r="AB3815" s="71"/>
      <c r="AC3815" s="71">
        <v>0</v>
      </c>
      <c r="AD3815" s="71">
        <f>W3815+X3815+Y3815+Z3815+AA3815+AB3815+AC3815</f>
        <v>145980000</v>
      </c>
      <c r="AE3815" s="72">
        <v>0</v>
      </c>
      <c r="AF3815" s="5"/>
      <c r="AG3815" s="6"/>
      <c r="AH3815" s="27"/>
      <c r="AI3815" s="44"/>
      <c r="AJ3815" s="26"/>
      <c r="AK3815" s="5"/>
      <c r="AL3815" s="9" t="s">
        <v>6858</v>
      </c>
      <c r="AM3815" s="76"/>
      <c r="AN3815" s="76"/>
      <c r="AO3815" s="76"/>
      <c r="AP3815" s="76"/>
      <c r="AQ3815" s="76"/>
      <c r="AR3815" s="76"/>
      <c r="AS3815" s="76"/>
      <c r="AT3815" s="76"/>
      <c r="AU3815" s="76"/>
      <c r="AV3815" s="76"/>
      <c r="AW3815" s="76"/>
      <c r="AX3815" s="76">
        <f>+AW3815*600000</f>
        <v>0</v>
      </c>
      <c r="AY3815" s="76">
        <v>350</v>
      </c>
      <c r="AZ3815" s="76">
        <f>+AY3815*70000</f>
        <v>24500000</v>
      </c>
      <c r="BA3815" s="76"/>
      <c r="BB3815" s="76"/>
      <c r="BC3815" s="76"/>
      <c r="BD3815" s="76">
        <f>+BC3815*30000</f>
        <v>0</v>
      </c>
      <c r="BE3815" s="76"/>
      <c r="BF3815" s="76"/>
      <c r="BG3815" s="76"/>
      <c r="BH3815" s="76"/>
      <c r="BI3815" s="76"/>
      <c r="BJ3815" s="76"/>
      <c r="BK3815" s="76"/>
      <c r="BL3815" s="76">
        <f>+BK3815*31500</f>
        <v>0</v>
      </c>
      <c r="BM3815" s="76"/>
      <c r="BN3815" s="76"/>
      <c r="BO3815" s="76"/>
      <c r="BP3815" s="76"/>
      <c r="BQ3815" s="76"/>
      <c r="BR3815" s="76"/>
      <c r="BS3815" s="76"/>
      <c r="BT3815" s="76"/>
      <c r="BU3815" s="76"/>
      <c r="BV3815" s="76"/>
      <c r="BW3815" s="76"/>
      <c r="BX3815" s="76"/>
      <c r="BY3815" s="76">
        <v>20</v>
      </c>
      <c r="BZ3815" s="76">
        <f>20*560000</f>
        <v>11200000</v>
      </c>
      <c r="CA3815" s="76"/>
      <c r="CB3815" s="76"/>
      <c r="CC3815" s="76"/>
      <c r="CD3815" s="76"/>
      <c r="CE3815" s="76"/>
      <c r="CF3815" s="76">
        <f>+CE3815*28000</f>
        <v>0</v>
      </c>
      <c r="CG3815" s="76">
        <v>350</v>
      </c>
      <c r="CH3815" s="76">
        <f>+CG3815*22500</f>
        <v>7875000</v>
      </c>
      <c r="CI3815" s="76">
        <v>350</v>
      </c>
      <c r="CJ3815" s="76">
        <f>+CI3815*26000</f>
        <v>9100000</v>
      </c>
      <c r="CK3815" s="76"/>
      <c r="CL3815" s="76"/>
      <c r="CM3815" s="76"/>
      <c r="CN3815" s="76">
        <f>+CM3815*22000</f>
        <v>0</v>
      </c>
      <c r="CO3815" s="76"/>
      <c r="CP3815" s="76">
        <f>+CO3815*46000</f>
        <v>0</v>
      </c>
      <c r="CQ3815" s="76">
        <v>70</v>
      </c>
      <c r="CR3815" s="76">
        <f>+CQ3815*49000</f>
        <v>3430000</v>
      </c>
      <c r="CS3815" s="76"/>
      <c r="CT3815" s="76"/>
      <c r="CU3815" s="56">
        <f>AN3815+AP3815+AR3815+AT3815+AV3815+AX3815+AZ3815+BB3815+BD3815+BF3815+BH3815+BJ3815+BL3815+BN3815+BP3815+BR3815+BT3815+BV3815+BX3815+BZ3815+CB3815+CD3815+CF3815+CH3815+CJ3815+CL3815+CN3815+CP3815+CR3815+CT3815</f>
        <v>56105000</v>
      </c>
      <c r="CV3815" s="76"/>
      <c r="CW3815" s="76">
        <f>+CV3815*1100</f>
        <v>0</v>
      </c>
      <c r="CX3815" s="76">
        <v>140</v>
      </c>
      <c r="CY3815" s="76">
        <f>+CX3815*106250</f>
        <v>14875000</v>
      </c>
      <c r="CZ3815" s="76"/>
      <c r="DA3815" s="76">
        <f>+CZ3815*34500</f>
        <v>0</v>
      </c>
      <c r="DB3815" s="76">
        <v>500</v>
      </c>
      <c r="DC3815" s="76">
        <f>500*32000</f>
        <v>16000000</v>
      </c>
      <c r="DD3815" s="367" t="s">
        <v>6905</v>
      </c>
      <c r="DE3815" s="334">
        <f>100*320000+50*540000</f>
        <v>59000000</v>
      </c>
      <c r="DF3815" s="166"/>
      <c r="DG3815" s="116"/>
      <c r="DH3815" s="117"/>
      <c r="DI3815" s="24"/>
      <c r="DJ3815" s="24"/>
      <c r="DK3815" s="24"/>
      <c r="DL3815" s="24"/>
      <c r="DM3815" s="24"/>
      <c r="DN3815" s="24"/>
      <c r="DO3815" s="24"/>
      <c r="DP3815" s="24"/>
      <c r="DQ3815" s="24"/>
      <c r="DR3815" s="24"/>
      <c r="DS3815" s="24"/>
      <c r="DT3815" s="24"/>
      <c r="DU3815" s="24"/>
    </row>
    <row r="3816" spans="1:125" s="8" customFormat="1" ht="204" x14ac:dyDescent="0.2">
      <c r="A3816" s="353">
        <v>41612</v>
      </c>
      <c r="B3816" s="352" t="s">
        <v>2848</v>
      </c>
      <c r="C3816" s="354" t="s">
        <v>2128</v>
      </c>
      <c r="D3816" s="354" t="s">
        <v>3726</v>
      </c>
      <c r="E3816" s="75" t="str">
        <f>VLOOKUP(B3816&amp;C3816,Divipola!$C$2:$F$1138,4,FALSE)</f>
        <v>73124</v>
      </c>
      <c r="F3816" s="87"/>
      <c r="G3816" s="87">
        <v>2</v>
      </c>
      <c r="H3816" s="87"/>
      <c r="I3816" s="87"/>
      <c r="J3816" s="87"/>
      <c r="K3816" s="87"/>
      <c r="L3816" s="87"/>
      <c r="M3816" s="87"/>
      <c r="N3816" s="87"/>
      <c r="O3816" s="87"/>
      <c r="P3816" s="87"/>
      <c r="Q3816" s="87"/>
      <c r="R3816" s="87"/>
      <c r="S3816" s="87"/>
      <c r="T3816" s="87"/>
      <c r="U3816" s="88"/>
      <c r="V3816" s="89"/>
      <c r="W3816" s="96">
        <v>0</v>
      </c>
      <c r="X3816" s="71">
        <f>CU3816</f>
        <v>0</v>
      </c>
      <c r="Y3816" s="71">
        <f>CY3816</f>
        <v>0</v>
      </c>
      <c r="Z3816" s="71">
        <f>DA3816+DC3816+DE3816</f>
        <v>0</v>
      </c>
      <c r="AA3816" s="71">
        <f>CW3816</f>
        <v>0</v>
      </c>
      <c r="AB3816" s="71"/>
      <c r="AC3816" s="71">
        <v>0</v>
      </c>
      <c r="AD3816" s="71">
        <f>W3816+X3816+Y3816+Z3816+AA3816+AB3816+AC3816</f>
        <v>0</v>
      </c>
      <c r="AE3816" s="72">
        <v>0</v>
      </c>
      <c r="AF3816" s="5"/>
      <c r="AG3816" s="6"/>
      <c r="AH3816" s="27"/>
      <c r="AI3816" s="44"/>
      <c r="AJ3816" s="26"/>
      <c r="AK3816" s="5"/>
      <c r="AL3816" s="268" t="s">
        <v>6849</v>
      </c>
      <c r="AM3816" s="76"/>
      <c r="AN3816" s="76"/>
      <c r="AO3816" s="76"/>
      <c r="AP3816" s="76"/>
      <c r="AQ3816" s="76"/>
      <c r="AR3816" s="76"/>
      <c r="AS3816" s="76"/>
      <c r="AT3816" s="76"/>
      <c r="AU3816" s="76"/>
      <c r="AV3816" s="76"/>
      <c r="AW3816" s="76"/>
      <c r="AX3816" s="76">
        <f>+AW3816*600000</f>
        <v>0</v>
      </c>
      <c r="AY3816" s="76"/>
      <c r="AZ3816" s="76">
        <f>+AY3816*70000</f>
        <v>0</v>
      </c>
      <c r="BA3816" s="76"/>
      <c r="BB3816" s="76"/>
      <c r="BC3816" s="76"/>
      <c r="BD3816" s="76">
        <f>+BC3816*30000</f>
        <v>0</v>
      </c>
      <c r="BE3816" s="76"/>
      <c r="BF3816" s="76"/>
      <c r="BG3816" s="76"/>
      <c r="BH3816" s="76"/>
      <c r="BI3816" s="76"/>
      <c r="BJ3816" s="76"/>
      <c r="BK3816" s="76"/>
      <c r="BL3816" s="76">
        <f>+BK3816*31500</f>
        <v>0</v>
      </c>
      <c r="BM3816" s="76"/>
      <c r="BN3816" s="76"/>
      <c r="BO3816" s="76"/>
      <c r="BP3816" s="76"/>
      <c r="BQ3816" s="76"/>
      <c r="BR3816" s="76"/>
      <c r="BS3816" s="76"/>
      <c r="BT3816" s="76"/>
      <c r="BU3816" s="76"/>
      <c r="BV3816" s="76"/>
      <c r="BW3816" s="76"/>
      <c r="BX3816" s="76"/>
      <c r="BY3816" s="76"/>
      <c r="BZ3816" s="76"/>
      <c r="CA3816" s="76"/>
      <c r="CB3816" s="76"/>
      <c r="CC3816" s="76"/>
      <c r="CD3816" s="76"/>
      <c r="CE3816" s="76"/>
      <c r="CF3816" s="76">
        <f>+CE3816*28000</f>
        <v>0</v>
      </c>
      <c r="CG3816" s="76"/>
      <c r="CH3816" s="76">
        <f>+CG3816*22500</f>
        <v>0</v>
      </c>
      <c r="CI3816" s="76"/>
      <c r="CJ3816" s="76">
        <f>+CI3816*26000</f>
        <v>0</v>
      </c>
      <c r="CK3816" s="76"/>
      <c r="CL3816" s="76"/>
      <c r="CM3816" s="76"/>
      <c r="CN3816" s="76">
        <f>+CM3816*22000</f>
        <v>0</v>
      </c>
      <c r="CO3816" s="76"/>
      <c r="CP3816" s="76">
        <f>+CO3816*46000</f>
        <v>0</v>
      </c>
      <c r="CQ3816" s="76"/>
      <c r="CR3816" s="76">
        <f>+CQ3816*49000</f>
        <v>0</v>
      </c>
      <c r="CS3816" s="76"/>
      <c r="CT3816" s="76"/>
      <c r="CU3816" s="56">
        <f>AN3816+AP3816+AR3816+AT3816+AV3816+AX3816+AZ3816+BB3816+BD3816+BF3816+BH3816+BJ3816+BL3816+BN3816+BP3816+BR3816+BT3816+BV3816+BX3816+BZ3816+CB3816+CD3816+CF3816+CH3816+CJ3816+CL3816+CN3816+CP3816+CR3816+CT3816</f>
        <v>0</v>
      </c>
      <c r="CV3816" s="76"/>
      <c r="CW3816" s="76">
        <f>+CV3816*1100</f>
        <v>0</v>
      </c>
      <c r="CX3816" s="76"/>
      <c r="CY3816" s="76">
        <f>+CX3816*106250</f>
        <v>0</v>
      </c>
      <c r="CZ3816" s="76"/>
      <c r="DA3816" s="76">
        <f>+CZ3816*34500</f>
        <v>0</v>
      </c>
      <c r="DB3816" s="76"/>
      <c r="DC3816" s="76">
        <f>+DB3816*25000</f>
        <v>0</v>
      </c>
      <c r="DD3816" s="219"/>
      <c r="DE3816" s="76"/>
      <c r="DF3816" s="166"/>
      <c r="DG3816" s="116"/>
      <c r="DH3816" s="117"/>
      <c r="DI3816" s="24"/>
      <c r="DJ3816" s="24"/>
      <c r="DK3816" s="24"/>
      <c r="DL3816" s="24"/>
      <c r="DM3816" s="24"/>
      <c r="DN3816" s="24"/>
      <c r="DO3816" s="24"/>
      <c r="DP3816" s="24"/>
      <c r="DQ3816" s="24"/>
      <c r="DR3816" s="24"/>
      <c r="DS3816" s="24"/>
      <c r="DT3816" s="24"/>
      <c r="DU3816" s="24"/>
    </row>
    <row r="3817" spans="1:125" s="8" customFormat="1" ht="108" x14ac:dyDescent="0.2">
      <c r="A3817" s="353">
        <v>41612</v>
      </c>
      <c r="B3817" s="208" t="s">
        <v>2661</v>
      </c>
      <c r="C3817" s="354" t="s">
        <v>366</v>
      </c>
      <c r="D3817" s="354" t="s">
        <v>3051</v>
      </c>
      <c r="E3817" s="75" t="str">
        <f>VLOOKUP(B3817&amp;C3817,Divipola!$C$2:$F$1138,4,FALSE)</f>
        <v>41548</v>
      </c>
      <c r="F3817" s="87"/>
      <c r="G3817" s="87"/>
      <c r="H3817" s="87"/>
      <c r="I3817" s="87">
        <v>30</v>
      </c>
      <c r="J3817" s="87">
        <v>6</v>
      </c>
      <c r="K3817" s="87"/>
      <c r="L3817" s="87">
        <v>6</v>
      </c>
      <c r="M3817" s="87"/>
      <c r="N3817" s="87"/>
      <c r="O3817" s="87"/>
      <c r="P3817" s="87"/>
      <c r="Q3817" s="87"/>
      <c r="R3817" s="87"/>
      <c r="S3817" s="87"/>
      <c r="T3817" s="87"/>
      <c r="U3817" s="88"/>
      <c r="V3817" s="89"/>
      <c r="W3817" s="96">
        <v>0</v>
      </c>
      <c r="X3817" s="71">
        <f>CU3817</f>
        <v>0</v>
      </c>
      <c r="Y3817" s="71">
        <f>CY3817</f>
        <v>0</v>
      </c>
      <c r="Z3817" s="71">
        <f>DA3817+DC3817+DE3817</f>
        <v>0</v>
      </c>
      <c r="AA3817" s="71">
        <f>CW3817</f>
        <v>0</v>
      </c>
      <c r="AB3817" s="71"/>
      <c r="AC3817" s="71">
        <v>0</v>
      </c>
      <c r="AD3817" s="71">
        <f>W3817+X3817+Y3817+Z3817+AA3817+AB3817+AC3817</f>
        <v>0</v>
      </c>
      <c r="AE3817" s="72">
        <v>0</v>
      </c>
      <c r="AF3817" s="5"/>
      <c r="AG3817" s="6"/>
      <c r="AH3817" s="27"/>
      <c r="AI3817" s="44"/>
      <c r="AJ3817" s="26"/>
      <c r="AK3817" s="5"/>
      <c r="AL3817" s="82" t="s">
        <v>6872</v>
      </c>
      <c r="AM3817" s="76"/>
      <c r="AN3817" s="76"/>
      <c r="AO3817" s="76"/>
      <c r="AP3817" s="76"/>
      <c r="AQ3817" s="76"/>
      <c r="AR3817" s="76"/>
      <c r="AS3817" s="76"/>
      <c r="AT3817" s="76"/>
      <c r="AU3817" s="76"/>
      <c r="AV3817" s="76"/>
      <c r="AW3817" s="76"/>
      <c r="AX3817" s="76">
        <f>+AW3817*600000</f>
        <v>0</v>
      </c>
      <c r="AY3817" s="76"/>
      <c r="AZ3817" s="76">
        <f>+AY3817*70000</f>
        <v>0</v>
      </c>
      <c r="BA3817" s="76"/>
      <c r="BB3817" s="76"/>
      <c r="BC3817" s="76"/>
      <c r="BD3817" s="76">
        <f>+BC3817*30000</f>
        <v>0</v>
      </c>
      <c r="BE3817" s="76"/>
      <c r="BF3817" s="76"/>
      <c r="BG3817" s="76"/>
      <c r="BH3817" s="76"/>
      <c r="BI3817" s="76"/>
      <c r="BJ3817" s="76"/>
      <c r="BK3817" s="76"/>
      <c r="BL3817" s="76">
        <f>+BK3817*31500</f>
        <v>0</v>
      </c>
      <c r="BM3817" s="76"/>
      <c r="BN3817" s="76"/>
      <c r="BO3817" s="76"/>
      <c r="BP3817" s="76"/>
      <c r="BQ3817" s="76"/>
      <c r="BR3817" s="76"/>
      <c r="BS3817" s="76"/>
      <c r="BT3817" s="76"/>
      <c r="BU3817" s="76"/>
      <c r="BV3817" s="76"/>
      <c r="BW3817" s="76"/>
      <c r="BX3817" s="76"/>
      <c r="BY3817" s="76"/>
      <c r="BZ3817" s="76"/>
      <c r="CA3817" s="76"/>
      <c r="CB3817" s="76"/>
      <c r="CC3817" s="76"/>
      <c r="CD3817" s="76"/>
      <c r="CE3817" s="76"/>
      <c r="CF3817" s="76">
        <f>+CE3817*28000</f>
        <v>0</v>
      </c>
      <c r="CG3817" s="76"/>
      <c r="CH3817" s="76">
        <f>+CG3817*22500</f>
        <v>0</v>
      </c>
      <c r="CI3817" s="76"/>
      <c r="CJ3817" s="76">
        <f>+CI3817*26000</f>
        <v>0</v>
      </c>
      <c r="CK3817" s="76"/>
      <c r="CL3817" s="76"/>
      <c r="CM3817" s="76"/>
      <c r="CN3817" s="76">
        <f>+CM3817*22000</f>
        <v>0</v>
      </c>
      <c r="CO3817" s="76"/>
      <c r="CP3817" s="76">
        <f>+CO3817*46000</f>
        <v>0</v>
      </c>
      <c r="CQ3817" s="76"/>
      <c r="CR3817" s="76">
        <f>+CQ3817*49000</f>
        <v>0</v>
      </c>
      <c r="CS3817" s="76"/>
      <c r="CT3817" s="76"/>
      <c r="CU3817" s="56">
        <f>AN3817+AP3817+AR3817+AT3817+AV3817+AX3817+AZ3817+BB3817+BD3817+BF3817+BH3817+BJ3817+BL3817+BN3817+BP3817+BR3817+BT3817+BV3817+BX3817+BZ3817+CB3817+CD3817+CF3817+CH3817+CJ3817+CL3817+CN3817+CP3817+CR3817+CT3817</f>
        <v>0</v>
      </c>
      <c r="CV3817" s="76"/>
      <c r="CW3817" s="76">
        <f>+CV3817*1100</f>
        <v>0</v>
      </c>
      <c r="CX3817" s="76"/>
      <c r="CY3817" s="76">
        <f>+CX3817*106250</f>
        <v>0</v>
      </c>
      <c r="CZ3817" s="76"/>
      <c r="DA3817" s="76">
        <f>+CZ3817*34500</f>
        <v>0</v>
      </c>
      <c r="DB3817" s="76"/>
      <c r="DC3817" s="76">
        <f>+DB3817*25000</f>
        <v>0</v>
      </c>
      <c r="DD3817" s="219"/>
      <c r="DE3817" s="76"/>
      <c r="DF3817" s="166"/>
      <c r="DG3817" s="116"/>
      <c r="DH3817" s="117"/>
      <c r="DI3817" s="24"/>
      <c r="DJ3817" s="24"/>
      <c r="DK3817" s="24"/>
      <c r="DL3817" s="24"/>
      <c r="DM3817" s="24"/>
      <c r="DN3817" s="24"/>
      <c r="DO3817" s="24"/>
      <c r="DP3817" s="24"/>
      <c r="DQ3817" s="24"/>
      <c r="DR3817" s="24"/>
      <c r="DS3817" s="24"/>
      <c r="DT3817" s="24"/>
      <c r="DU3817" s="24"/>
    </row>
    <row r="3818" spans="1:125" s="8" customFormat="1" ht="36" x14ac:dyDescent="0.2">
      <c r="A3818" s="353">
        <v>41612</v>
      </c>
      <c r="B3818" s="208" t="s">
        <v>2661</v>
      </c>
      <c r="C3818" s="354" t="s">
        <v>3</v>
      </c>
      <c r="D3818" s="354" t="s">
        <v>3088</v>
      </c>
      <c r="E3818" s="75" t="str">
        <f>VLOOKUP(B3818&amp;C3818,Divipola!$C$2:$F$1138,4,FALSE)</f>
        <v>41013</v>
      </c>
      <c r="F3818" s="87"/>
      <c r="G3818" s="87"/>
      <c r="H3818" s="87"/>
      <c r="I3818" s="87">
        <v>5</v>
      </c>
      <c r="J3818" s="87">
        <v>1</v>
      </c>
      <c r="K3818" s="87"/>
      <c r="L3818" s="87">
        <v>1</v>
      </c>
      <c r="M3818" s="87"/>
      <c r="N3818" s="87"/>
      <c r="O3818" s="87"/>
      <c r="P3818" s="87"/>
      <c r="Q3818" s="87"/>
      <c r="R3818" s="87"/>
      <c r="S3818" s="87"/>
      <c r="T3818" s="87"/>
      <c r="U3818" s="88"/>
      <c r="V3818" s="89"/>
      <c r="W3818" s="96">
        <v>0</v>
      </c>
      <c r="X3818" s="71">
        <f>CU3818</f>
        <v>0</v>
      </c>
      <c r="Y3818" s="71">
        <f>CY3818</f>
        <v>0</v>
      </c>
      <c r="Z3818" s="71">
        <f>DA3818+DC3818+DE3818</f>
        <v>0</v>
      </c>
      <c r="AA3818" s="71">
        <f>CW3818</f>
        <v>0</v>
      </c>
      <c r="AB3818" s="71"/>
      <c r="AC3818" s="71">
        <v>0</v>
      </c>
      <c r="AD3818" s="71">
        <f>W3818+X3818+Y3818+Z3818+AA3818+AB3818+AC3818</f>
        <v>0</v>
      </c>
      <c r="AE3818" s="72">
        <v>0</v>
      </c>
      <c r="AF3818" s="5"/>
      <c r="AG3818" s="6"/>
      <c r="AH3818" s="27"/>
      <c r="AI3818" s="44"/>
      <c r="AJ3818" s="26"/>
      <c r="AK3818" s="5"/>
      <c r="AL3818" s="82" t="s">
        <v>6850</v>
      </c>
      <c r="AM3818" s="76"/>
      <c r="AN3818" s="76"/>
      <c r="AO3818" s="76"/>
      <c r="AP3818" s="76"/>
      <c r="AQ3818" s="76"/>
      <c r="AR3818" s="76"/>
      <c r="AS3818" s="76"/>
      <c r="AT3818" s="76"/>
      <c r="AU3818" s="76"/>
      <c r="AV3818" s="76"/>
      <c r="AW3818" s="76"/>
      <c r="AX3818" s="76">
        <f>+AW3818*600000</f>
        <v>0</v>
      </c>
      <c r="AY3818" s="76"/>
      <c r="AZ3818" s="76">
        <f>+AY3818*70000</f>
        <v>0</v>
      </c>
      <c r="BA3818" s="76"/>
      <c r="BB3818" s="76"/>
      <c r="BC3818" s="76"/>
      <c r="BD3818" s="76">
        <f>+BC3818*30000</f>
        <v>0</v>
      </c>
      <c r="BE3818" s="76"/>
      <c r="BF3818" s="76"/>
      <c r="BG3818" s="76"/>
      <c r="BH3818" s="76"/>
      <c r="BI3818" s="76"/>
      <c r="BJ3818" s="76"/>
      <c r="BK3818" s="76"/>
      <c r="BL3818" s="76">
        <f>+BK3818*31500</f>
        <v>0</v>
      </c>
      <c r="BM3818" s="76"/>
      <c r="BN3818" s="76"/>
      <c r="BO3818" s="76"/>
      <c r="BP3818" s="76"/>
      <c r="BQ3818" s="76"/>
      <c r="BR3818" s="76"/>
      <c r="BS3818" s="76"/>
      <c r="BT3818" s="76"/>
      <c r="BU3818" s="76"/>
      <c r="BV3818" s="76"/>
      <c r="BW3818" s="76"/>
      <c r="BX3818" s="76"/>
      <c r="BY3818" s="76"/>
      <c r="BZ3818" s="76"/>
      <c r="CA3818" s="76"/>
      <c r="CB3818" s="76"/>
      <c r="CC3818" s="76"/>
      <c r="CD3818" s="76"/>
      <c r="CE3818" s="76"/>
      <c r="CF3818" s="76">
        <f>+CE3818*28000</f>
        <v>0</v>
      </c>
      <c r="CG3818" s="76"/>
      <c r="CH3818" s="76">
        <f>+CG3818*22500</f>
        <v>0</v>
      </c>
      <c r="CI3818" s="76"/>
      <c r="CJ3818" s="76">
        <f>+CI3818*26000</f>
        <v>0</v>
      </c>
      <c r="CK3818" s="76"/>
      <c r="CL3818" s="76"/>
      <c r="CM3818" s="76"/>
      <c r="CN3818" s="76">
        <f>+CM3818*22000</f>
        <v>0</v>
      </c>
      <c r="CO3818" s="76"/>
      <c r="CP3818" s="76">
        <f>+CO3818*46000</f>
        <v>0</v>
      </c>
      <c r="CQ3818" s="76"/>
      <c r="CR3818" s="76">
        <f>+CQ3818*49000</f>
        <v>0</v>
      </c>
      <c r="CS3818" s="76"/>
      <c r="CT3818" s="76"/>
      <c r="CU3818" s="56">
        <f>AN3818+AP3818+AR3818+AT3818+AV3818+AX3818+AZ3818+BB3818+BD3818+BF3818+BH3818+BJ3818+BL3818+BN3818+BP3818+BR3818+BT3818+BV3818+BX3818+BZ3818+CB3818+CD3818+CF3818+CH3818+CJ3818+CL3818+CN3818+CP3818+CR3818+CT3818</f>
        <v>0</v>
      </c>
      <c r="CV3818" s="76"/>
      <c r="CW3818" s="76">
        <f>+CV3818*1100</f>
        <v>0</v>
      </c>
      <c r="CX3818" s="76"/>
      <c r="CY3818" s="76">
        <f>+CX3818*106250</f>
        <v>0</v>
      </c>
      <c r="CZ3818" s="76"/>
      <c r="DA3818" s="76">
        <f>+CZ3818*34500</f>
        <v>0</v>
      </c>
      <c r="DB3818" s="76"/>
      <c r="DC3818" s="76">
        <f>+DB3818*25000</f>
        <v>0</v>
      </c>
      <c r="DD3818" s="219"/>
      <c r="DE3818" s="76"/>
      <c r="DF3818" s="166"/>
      <c r="DG3818" s="116"/>
      <c r="DH3818" s="117"/>
      <c r="DI3818" s="24"/>
      <c r="DJ3818" s="24"/>
      <c r="DK3818" s="24"/>
      <c r="DL3818" s="24"/>
      <c r="DM3818" s="24"/>
      <c r="DN3818" s="24"/>
      <c r="DO3818" s="24"/>
      <c r="DP3818" s="24"/>
      <c r="DQ3818" s="24"/>
      <c r="DR3818" s="24"/>
      <c r="DS3818" s="24"/>
      <c r="DT3818" s="24"/>
      <c r="DU3818" s="24"/>
    </row>
    <row r="3819" spans="1:125" s="8" customFormat="1" ht="72" x14ac:dyDescent="0.2">
      <c r="A3819" s="77">
        <v>41612</v>
      </c>
      <c r="B3819" s="78" t="s">
        <v>2894</v>
      </c>
      <c r="C3819" s="75" t="s">
        <v>2126</v>
      </c>
      <c r="D3819" s="75" t="s">
        <v>3051</v>
      </c>
      <c r="E3819" s="75" t="str">
        <f>VLOOKUP(B3819&amp;C3819,Divipola!$C$2:$F$1138,4,FALSE)</f>
        <v>05861</v>
      </c>
      <c r="F3819" s="61"/>
      <c r="G3819" s="61"/>
      <c r="H3819" s="61"/>
      <c r="I3819" s="61"/>
      <c r="J3819" s="61"/>
      <c r="K3819" s="61"/>
      <c r="L3819" s="61"/>
      <c r="M3819" s="61"/>
      <c r="N3819" s="61"/>
      <c r="O3819" s="61"/>
      <c r="P3819" s="61"/>
      <c r="Q3819" s="61"/>
      <c r="R3819" s="61"/>
      <c r="S3819" s="61"/>
      <c r="T3819" s="61"/>
      <c r="U3819" s="61"/>
      <c r="V3819" s="7"/>
      <c r="W3819" s="96">
        <v>0</v>
      </c>
      <c r="X3819" s="71">
        <f>CU3819</f>
        <v>0</v>
      </c>
      <c r="Y3819" s="71">
        <f>CY3819</f>
        <v>0</v>
      </c>
      <c r="Z3819" s="71">
        <f>DA3819+DC3819+DE3819</f>
        <v>0</v>
      </c>
      <c r="AA3819" s="71">
        <f>CW3819</f>
        <v>0</v>
      </c>
      <c r="AB3819" s="71"/>
      <c r="AC3819" s="71">
        <v>1000000000</v>
      </c>
      <c r="AD3819" s="71">
        <f>W3819+X3819+Y3819+Z3819+AA3819+AB3819+AC3819</f>
        <v>1000000000</v>
      </c>
      <c r="AE3819" s="72">
        <v>0</v>
      </c>
      <c r="AF3819" s="5"/>
      <c r="AG3819" s="6"/>
      <c r="AH3819" s="27"/>
      <c r="AI3819" s="44"/>
      <c r="AJ3819" s="26"/>
      <c r="AK3819" s="5"/>
      <c r="AL3819" s="278" t="s">
        <v>6852</v>
      </c>
      <c r="AM3819" s="76"/>
      <c r="AN3819" s="76"/>
      <c r="AO3819" s="76"/>
      <c r="AP3819" s="76"/>
      <c r="AQ3819" s="76"/>
      <c r="AR3819" s="76"/>
      <c r="AS3819" s="76"/>
      <c r="AT3819" s="76"/>
      <c r="AU3819" s="76"/>
      <c r="AV3819" s="76"/>
      <c r="AW3819" s="76"/>
      <c r="AX3819" s="76">
        <f>+AW3819*600000</f>
        <v>0</v>
      </c>
      <c r="AY3819" s="76"/>
      <c r="AZ3819" s="76">
        <f>+AY3819*70000</f>
        <v>0</v>
      </c>
      <c r="BA3819" s="76"/>
      <c r="BB3819" s="76"/>
      <c r="BC3819" s="76"/>
      <c r="BD3819" s="76">
        <f>+BC3819*30000</f>
        <v>0</v>
      </c>
      <c r="BE3819" s="76"/>
      <c r="BF3819" s="76"/>
      <c r="BG3819" s="76"/>
      <c r="BH3819" s="76"/>
      <c r="BI3819" s="76"/>
      <c r="BJ3819" s="76"/>
      <c r="BK3819" s="76"/>
      <c r="BL3819" s="76">
        <f>+BK3819*31500</f>
        <v>0</v>
      </c>
      <c r="BM3819" s="76"/>
      <c r="BN3819" s="76"/>
      <c r="BO3819" s="76"/>
      <c r="BP3819" s="76"/>
      <c r="BQ3819" s="76"/>
      <c r="BR3819" s="76"/>
      <c r="BS3819" s="76"/>
      <c r="BT3819" s="76"/>
      <c r="BU3819" s="76"/>
      <c r="BV3819" s="76"/>
      <c r="BW3819" s="76"/>
      <c r="BX3819" s="76"/>
      <c r="BY3819" s="76"/>
      <c r="BZ3819" s="76"/>
      <c r="CA3819" s="76"/>
      <c r="CB3819" s="76"/>
      <c r="CC3819" s="76"/>
      <c r="CD3819" s="76"/>
      <c r="CE3819" s="76"/>
      <c r="CF3819" s="76">
        <f>+CE3819*28000</f>
        <v>0</v>
      </c>
      <c r="CG3819" s="76"/>
      <c r="CH3819" s="76">
        <f>+CG3819*22500</f>
        <v>0</v>
      </c>
      <c r="CI3819" s="76"/>
      <c r="CJ3819" s="76">
        <f>+CI3819*26000</f>
        <v>0</v>
      </c>
      <c r="CK3819" s="76"/>
      <c r="CL3819" s="76"/>
      <c r="CM3819" s="76"/>
      <c r="CN3819" s="76">
        <f>+CM3819*22000</f>
        <v>0</v>
      </c>
      <c r="CO3819" s="76"/>
      <c r="CP3819" s="76">
        <f>+CO3819*46000</f>
        <v>0</v>
      </c>
      <c r="CQ3819" s="76"/>
      <c r="CR3819" s="76">
        <f>+CQ3819*49000</f>
        <v>0</v>
      </c>
      <c r="CS3819" s="76"/>
      <c r="CT3819" s="76"/>
      <c r="CU3819" s="56">
        <f>AN3819+AP3819+AR3819+AT3819+AV3819+AX3819+AZ3819+BB3819+BD3819+BF3819+BH3819+BJ3819+BL3819+BN3819+BP3819+BR3819+BT3819+BV3819+BX3819+BZ3819+CB3819+CD3819+CF3819+CH3819+CJ3819+CL3819+CN3819+CP3819+CR3819+CT3819</f>
        <v>0</v>
      </c>
      <c r="CV3819" s="76"/>
      <c r="CW3819" s="76">
        <f>+CV3819*1100</f>
        <v>0</v>
      </c>
      <c r="CX3819" s="76"/>
      <c r="CY3819" s="76">
        <f>+CX3819*106250</f>
        <v>0</v>
      </c>
      <c r="CZ3819" s="76"/>
      <c r="DA3819" s="76">
        <f>+CZ3819*34500</f>
        <v>0</v>
      </c>
      <c r="DB3819" s="76"/>
      <c r="DC3819" s="76">
        <f>+DB3819*25000</f>
        <v>0</v>
      </c>
      <c r="DD3819" s="219"/>
      <c r="DE3819" s="76"/>
      <c r="DF3819" s="166"/>
      <c r="DG3819" s="116"/>
      <c r="DH3819" s="117"/>
      <c r="DI3819" s="24"/>
      <c r="DJ3819" s="24"/>
      <c r="DK3819" s="24"/>
      <c r="DL3819" s="24"/>
      <c r="DM3819" s="24"/>
      <c r="DN3819" s="24"/>
      <c r="DO3819" s="24"/>
      <c r="DP3819" s="24"/>
      <c r="DQ3819" s="24"/>
      <c r="DR3819" s="24"/>
      <c r="DS3819" s="24"/>
      <c r="DT3819" s="24"/>
      <c r="DU3819" s="24"/>
    </row>
    <row r="3820" spans="1:125" s="8" customFormat="1" ht="84" x14ac:dyDescent="0.2">
      <c r="A3820" s="77">
        <v>41612</v>
      </c>
      <c r="B3820" s="78" t="s">
        <v>1326</v>
      </c>
      <c r="C3820" s="75" t="s">
        <v>1837</v>
      </c>
      <c r="D3820" s="75" t="s">
        <v>2846</v>
      </c>
      <c r="E3820" s="75" t="str">
        <f>VLOOKUP(B3820&amp;C3820,Divipola!$C$2:$F$1138,4,FALSE)</f>
        <v>70702</v>
      </c>
      <c r="F3820" s="87"/>
      <c r="G3820" s="87"/>
      <c r="H3820" s="87"/>
      <c r="I3820" s="87"/>
      <c r="J3820" s="87"/>
      <c r="K3820" s="87"/>
      <c r="L3820" s="87"/>
      <c r="M3820" s="87"/>
      <c r="N3820" s="87"/>
      <c r="O3820" s="87"/>
      <c r="P3820" s="87"/>
      <c r="Q3820" s="87"/>
      <c r="R3820" s="87"/>
      <c r="S3820" s="87"/>
      <c r="T3820" s="87"/>
      <c r="U3820" s="88"/>
      <c r="V3820" s="89"/>
      <c r="W3820" s="96">
        <v>0</v>
      </c>
      <c r="X3820" s="71">
        <f>CU3820</f>
        <v>0</v>
      </c>
      <c r="Y3820" s="71">
        <f>CY3820</f>
        <v>0</v>
      </c>
      <c r="Z3820" s="71">
        <f>DA3820+DC3820+DE3820</f>
        <v>0</v>
      </c>
      <c r="AA3820" s="71">
        <f>CW3820</f>
        <v>0</v>
      </c>
      <c r="AB3820" s="71"/>
      <c r="AC3820" s="71">
        <v>0</v>
      </c>
      <c r="AD3820" s="71">
        <f>W3820+X3820+Y3820+Z3820+AA3820+AB3820+AC3820</f>
        <v>0</v>
      </c>
      <c r="AE3820" s="72">
        <v>0</v>
      </c>
      <c r="AF3820" s="5"/>
      <c r="AG3820" s="6"/>
      <c r="AH3820" s="27"/>
      <c r="AI3820" s="44"/>
      <c r="AJ3820" s="26"/>
      <c r="AK3820" s="5"/>
      <c r="AL3820" s="268" t="s">
        <v>6854</v>
      </c>
      <c r="AM3820" s="76"/>
      <c r="AN3820" s="76"/>
      <c r="AO3820" s="76"/>
      <c r="AP3820" s="76"/>
      <c r="AQ3820" s="76"/>
      <c r="AR3820" s="76"/>
      <c r="AS3820" s="76"/>
      <c r="AT3820" s="76"/>
      <c r="AU3820" s="76"/>
      <c r="AV3820" s="76"/>
      <c r="AW3820" s="76"/>
      <c r="AX3820" s="76">
        <f>+AW3820*600000</f>
        <v>0</v>
      </c>
      <c r="AY3820" s="76"/>
      <c r="AZ3820" s="76">
        <f>+AY3820*70000</f>
        <v>0</v>
      </c>
      <c r="BA3820" s="76"/>
      <c r="BB3820" s="76"/>
      <c r="BC3820" s="76"/>
      <c r="BD3820" s="76">
        <f>+BC3820*30000</f>
        <v>0</v>
      </c>
      <c r="BE3820" s="76"/>
      <c r="BF3820" s="76"/>
      <c r="BG3820" s="76"/>
      <c r="BH3820" s="76"/>
      <c r="BI3820" s="76"/>
      <c r="BJ3820" s="76"/>
      <c r="BK3820" s="76"/>
      <c r="BL3820" s="76">
        <f>+BK3820*31500</f>
        <v>0</v>
      </c>
      <c r="BM3820" s="76"/>
      <c r="BN3820" s="76"/>
      <c r="BO3820" s="76"/>
      <c r="BP3820" s="76"/>
      <c r="BQ3820" s="76"/>
      <c r="BR3820" s="76"/>
      <c r="BS3820" s="76"/>
      <c r="BT3820" s="76"/>
      <c r="BU3820" s="76"/>
      <c r="BV3820" s="76"/>
      <c r="BW3820" s="76"/>
      <c r="BX3820" s="76"/>
      <c r="BY3820" s="76"/>
      <c r="BZ3820" s="76"/>
      <c r="CA3820" s="76"/>
      <c r="CB3820" s="76"/>
      <c r="CC3820" s="76"/>
      <c r="CD3820" s="76"/>
      <c r="CE3820" s="76"/>
      <c r="CF3820" s="76">
        <f>+CE3820*28000</f>
        <v>0</v>
      </c>
      <c r="CG3820" s="76"/>
      <c r="CH3820" s="76">
        <f>+CG3820*22500</f>
        <v>0</v>
      </c>
      <c r="CI3820" s="76"/>
      <c r="CJ3820" s="76">
        <f>+CI3820*26000</f>
        <v>0</v>
      </c>
      <c r="CK3820" s="76"/>
      <c r="CL3820" s="76"/>
      <c r="CM3820" s="76"/>
      <c r="CN3820" s="76">
        <f>+CM3820*22000</f>
        <v>0</v>
      </c>
      <c r="CO3820" s="76"/>
      <c r="CP3820" s="76">
        <f>+CO3820*46000</f>
        <v>0</v>
      </c>
      <c r="CQ3820" s="76"/>
      <c r="CR3820" s="76">
        <f>+CQ3820*49000</f>
        <v>0</v>
      </c>
      <c r="CS3820" s="76"/>
      <c r="CT3820" s="76"/>
      <c r="CU3820" s="56">
        <f>AN3820+AP3820+AR3820+AT3820+AV3820+AX3820+AZ3820+BB3820+BD3820+BF3820+BH3820+BJ3820+BL3820+BN3820+BP3820+BR3820+BT3820+BV3820+BX3820+BZ3820+CB3820+CD3820+CF3820+CH3820+CJ3820+CL3820+CN3820+CP3820+CR3820+CT3820</f>
        <v>0</v>
      </c>
      <c r="CV3820" s="76"/>
      <c r="CW3820" s="76">
        <f>+CV3820*1100</f>
        <v>0</v>
      </c>
      <c r="CX3820" s="76"/>
      <c r="CY3820" s="76">
        <f>+CX3820*106250</f>
        <v>0</v>
      </c>
      <c r="CZ3820" s="76"/>
      <c r="DA3820" s="76">
        <f>+CZ3820*34500</f>
        <v>0</v>
      </c>
      <c r="DB3820" s="76"/>
      <c r="DC3820" s="76">
        <f>+DB3820*25000</f>
        <v>0</v>
      </c>
      <c r="DD3820" s="219"/>
      <c r="DE3820" s="76"/>
      <c r="DF3820" s="166"/>
      <c r="DG3820" s="116"/>
      <c r="DH3820" s="117"/>
      <c r="DI3820" s="24"/>
      <c r="DJ3820" s="24"/>
      <c r="DK3820" s="24"/>
      <c r="DL3820" s="24"/>
      <c r="DM3820" s="24"/>
      <c r="DN3820" s="24"/>
      <c r="DO3820" s="24"/>
      <c r="DP3820" s="24"/>
      <c r="DQ3820" s="24"/>
      <c r="DR3820" s="24"/>
      <c r="DS3820" s="24"/>
      <c r="DT3820" s="24"/>
      <c r="DU3820" s="24"/>
    </row>
    <row r="3821" spans="1:125" s="8" customFormat="1" ht="180" x14ac:dyDescent="0.2">
      <c r="A3821" s="353">
        <v>41612</v>
      </c>
      <c r="B3821" s="352" t="s">
        <v>2860</v>
      </c>
      <c r="C3821" s="354" t="s">
        <v>2776</v>
      </c>
      <c r="D3821" s="354" t="s">
        <v>3088</v>
      </c>
      <c r="E3821" s="75" t="str">
        <f>VLOOKUP(B3821&amp;C3821,Divipola!$C$2:$F$1138,4,FALSE)</f>
        <v>63001</v>
      </c>
      <c r="F3821" s="87"/>
      <c r="G3821" s="87"/>
      <c r="H3821" s="87"/>
      <c r="I3821" s="87">
        <v>20</v>
      </c>
      <c r="J3821" s="87">
        <v>4</v>
      </c>
      <c r="K3821" s="87"/>
      <c r="L3821" s="87">
        <v>4</v>
      </c>
      <c r="M3821" s="87"/>
      <c r="N3821" s="87"/>
      <c r="O3821" s="87"/>
      <c r="P3821" s="87"/>
      <c r="Q3821" s="87"/>
      <c r="R3821" s="87"/>
      <c r="S3821" s="87"/>
      <c r="T3821" s="87">
        <v>4</v>
      </c>
      <c r="U3821" s="88"/>
      <c r="V3821" s="89"/>
      <c r="W3821" s="96">
        <v>0</v>
      </c>
      <c r="X3821" s="71">
        <f>CU3821</f>
        <v>0</v>
      </c>
      <c r="Y3821" s="71">
        <f>CY3821</f>
        <v>0</v>
      </c>
      <c r="Z3821" s="71">
        <f>DA3821+DC3821+DE3821</f>
        <v>0</v>
      </c>
      <c r="AA3821" s="71">
        <f>CW3821</f>
        <v>0</v>
      </c>
      <c r="AB3821" s="71"/>
      <c r="AC3821" s="71">
        <v>0</v>
      </c>
      <c r="AD3821" s="71">
        <f>W3821+X3821+Y3821+Z3821+AA3821+AB3821+AC3821</f>
        <v>0</v>
      </c>
      <c r="AE3821" s="72">
        <v>0</v>
      </c>
      <c r="AF3821" s="5"/>
      <c r="AG3821" s="6"/>
      <c r="AH3821" s="27"/>
      <c r="AI3821" s="44"/>
      <c r="AJ3821" s="26"/>
      <c r="AK3821" s="5"/>
      <c r="AL3821" s="82" t="s">
        <v>6855</v>
      </c>
      <c r="AM3821" s="76"/>
      <c r="AN3821" s="76"/>
      <c r="AO3821" s="76"/>
      <c r="AP3821" s="76"/>
      <c r="AQ3821" s="76"/>
      <c r="AR3821" s="76"/>
      <c r="AS3821" s="76"/>
      <c r="AT3821" s="76"/>
      <c r="AU3821" s="76"/>
      <c r="AV3821" s="76"/>
      <c r="AW3821" s="76"/>
      <c r="AX3821" s="76">
        <f>+AW3821*600000</f>
        <v>0</v>
      </c>
      <c r="AY3821" s="76"/>
      <c r="AZ3821" s="76">
        <f>+AY3821*70000</f>
        <v>0</v>
      </c>
      <c r="BA3821" s="76"/>
      <c r="BB3821" s="76"/>
      <c r="BC3821" s="76"/>
      <c r="BD3821" s="76">
        <f>+BC3821*30000</f>
        <v>0</v>
      </c>
      <c r="BE3821" s="76"/>
      <c r="BF3821" s="76"/>
      <c r="BG3821" s="76"/>
      <c r="BH3821" s="76"/>
      <c r="BI3821" s="76"/>
      <c r="BJ3821" s="76"/>
      <c r="BK3821" s="76"/>
      <c r="BL3821" s="76">
        <f>+BK3821*31500</f>
        <v>0</v>
      </c>
      <c r="BM3821" s="76"/>
      <c r="BN3821" s="76"/>
      <c r="BO3821" s="76"/>
      <c r="BP3821" s="76"/>
      <c r="BQ3821" s="76"/>
      <c r="BR3821" s="76"/>
      <c r="BS3821" s="76"/>
      <c r="BT3821" s="76"/>
      <c r="BU3821" s="76"/>
      <c r="BV3821" s="76"/>
      <c r="BW3821" s="76"/>
      <c r="BX3821" s="76"/>
      <c r="BY3821" s="76"/>
      <c r="BZ3821" s="76"/>
      <c r="CA3821" s="76"/>
      <c r="CB3821" s="76"/>
      <c r="CC3821" s="76"/>
      <c r="CD3821" s="76"/>
      <c r="CE3821" s="76"/>
      <c r="CF3821" s="76">
        <f>+CE3821*28000</f>
        <v>0</v>
      </c>
      <c r="CG3821" s="76"/>
      <c r="CH3821" s="76">
        <f>+CG3821*22500</f>
        <v>0</v>
      </c>
      <c r="CI3821" s="76"/>
      <c r="CJ3821" s="76">
        <f>+CI3821*26000</f>
        <v>0</v>
      </c>
      <c r="CK3821" s="76"/>
      <c r="CL3821" s="76"/>
      <c r="CM3821" s="76"/>
      <c r="CN3821" s="76">
        <f>+CM3821*22000</f>
        <v>0</v>
      </c>
      <c r="CO3821" s="76"/>
      <c r="CP3821" s="76">
        <f>+CO3821*46000</f>
        <v>0</v>
      </c>
      <c r="CQ3821" s="76"/>
      <c r="CR3821" s="76">
        <f>+CQ3821*49000</f>
        <v>0</v>
      </c>
      <c r="CS3821" s="76"/>
      <c r="CT3821" s="76"/>
      <c r="CU3821" s="56">
        <f>AN3821+AP3821+AR3821+AT3821+AV3821+AX3821+AZ3821+BB3821+BD3821+BF3821+BH3821+BJ3821+BL3821+BN3821+BP3821+BR3821+BT3821+BV3821+BX3821+BZ3821+CB3821+CD3821+CF3821+CH3821+CJ3821+CL3821+CN3821+CP3821+CR3821+CT3821</f>
        <v>0</v>
      </c>
      <c r="CV3821" s="76"/>
      <c r="CW3821" s="76">
        <f>+CV3821*1100</f>
        <v>0</v>
      </c>
      <c r="CX3821" s="76"/>
      <c r="CY3821" s="76">
        <f>+CX3821*106250</f>
        <v>0</v>
      </c>
      <c r="CZ3821" s="76"/>
      <c r="DA3821" s="76">
        <f>+CZ3821*34500</f>
        <v>0</v>
      </c>
      <c r="DB3821" s="76"/>
      <c r="DC3821" s="76">
        <f>+DB3821*25000</f>
        <v>0</v>
      </c>
      <c r="DD3821" s="219"/>
      <c r="DE3821" s="76"/>
      <c r="DF3821" s="166"/>
      <c r="DG3821" s="116"/>
      <c r="DH3821" s="117"/>
      <c r="DI3821" s="24"/>
      <c r="DJ3821" s="24"/>
      <c r="DK3821" s="24"/>
      <c r="DL3821" s="24"/>
      <c r="DM3821" s="24"/>
      <c r="DN3821" s="24"/>
      <c r="DO3821" s="24"/>
      <c r="DP3821" s="24"/>
      <c r="DQ3821" s="24"/>
      <c r="DR3821" s="24"/>
      <c r="DS3821" s="24"/>
      <c r="DT3821" s="24"/>
      <c r="DU3821" s="24"/>
    </row>
    <row r="3822" spans="1:125" s="8" customFormat="1" ht="168" x14ac:dyDescent="0.2">
      <c r="A3822" s="77">
        <v>41612</v>
      </c>
      <c r="B3822" s="352" t="s">
        <v>2847</v>
      </c>
      <c r="C3822" s="354" t="s">
        <v>1378</v>
      </c>
      <c r="D3822" s="354" t="s">
        <v>3088</v>
      </c>
      <c r="E3822" s="75" t="str">
        <f>VLOOKUP(B3822&amp;C3822,Divipola!$C$2:$F$1138,4,FALSE)</f>
        <v>68077</v>
      </c>
      <c r="F3822" s="87"/>
      <c r="G3822" s="87"/>
      <c r="H3822" s="87"/>
      <c r="I3822" s="87"/>
      <c r="J3822" s="87"/>
      <c r="K3822" s="87"/>
      <c r="L3822" s="87"/>
      <c r="M3822" s="87">
        <v>1</v>
      </c>
      <c r="N3822" s="87"/>
      <c r="O3822" s="87"/>
      <c r="P3822" s="87"/>
      <c r="Q3822" s="87"/>
      <c r="R3822" s="87"/>
      <c r="S3822" s="87"/>
      <c r="T3822" s="87"/>
      <c r="U3822" s="88"/>
      <c r="V3822" s="89"/>
      <c r="W3822" s="96">
        <v>0</v>
      </c>
      <c r="X3822" s="71">
        <f>CU3822</f>
        <v>0</v>
      </c>
      <c r="Y3822" s="71">
        <f>CY3822</f>
        <v>0</v>
      </c>
      <c r="Z3822" s="71">
        <f>DA3822+DC3822+DE3822</f>
        <v>0</v>
      </c>
      <c r="AA3822" s="71">
        <f>CW3822</f>
        <v>0</v>
      </c>
      <c r="AB3822" s="71"/>
      <c r="AC3822" s="71">
        <v>0</v>
      </c>
      <c r="AD3822" s="71">
        <f>W3822+X3822+Y3822+Z3822+AA3822+AB3822+AC3822</f>
        <v>0</v>
      </c>
      <c r="AE3822" s="72">
        <v>0</v>
      </c>
      <c r="AF3822" s="5"/>
      <c r="AG3822" s="6"/>
      <c r="AH3822" s="27"/>
      <c r="AI3822" s="44"/>
      <c r="AJ3822" s="26"/>
      <c r="AK3822" s="5"/>
      <c r="AL3822" s="82" t="s">
        <v>6856</v>
      </c>
      <c r="AM3822" s="76"/>
      <c r="AN3822" s="76"/>
      <c r="AO3822" s="76"/>
      <c r="AP3822" s="76"/>
      <c r="AQ3822" s="76"/>
      <c r="AR3822" s="76"/>
      <c r="AS3822" s="76"/>
      <c r="AT3822" s="76"/>
      <c r="AU3822" s="76"/>
      <c r="AV3822" s="76"/>
      <c r="AW3822" s="76"/>
      <c r="AX3822" s="76">
        <f>+AW3822*600000</f>
        <v>0</v>
      </c>
      <c r="AY3822" s="76"/>
      <c r="AZ3822" s="76">
        <f>+AY3822*70000</f>
        <v>0</v>
      </c>
      <c r="BA3822" s="76"/>
      <c r="BB3822" s="76"/>
      <c r="BC3822" s="76"/>
      <c r="BD3822" s="76">
        <f>+BC3822*30000</f>
        <v>0</v>
      </c>
      <c r="BE3822" s="76"/>
      <c r="BF3822" s="76"/>
      <c r="BG3822" s="76"/>
      <c r="BH3822" s="76"/>
      <c r="BI3822" s="76"/>
      <c r="BJ3822" s="76"/>
      <c r="BK3822" s="76"/>
      <c r="BL3822" s="76">
        <f>+BK3822*31500</f>
        <v>0</v>
      </c>
      <c r="BM3822" s="76"/>
      <c r="BN3822" s="76"/>
      <c r="BO3822" s="76"/>
      <c r="BP3822" s="76"/>
      <c r="BQ3822" s="76"/>
      <c r="BR3822" s="76"/>
      <c r="BS3822" s="76"/>
      <c r="BT3822" s="76"/>
      <c r="BU3822" s="76"/>
      <c r="BV3822" s="76"/>
      <c r="BW3822" s="76"/>
      <c r="BX3822" s="76"/>
      <c r="BY3822" s="76"/>
      <c r="BZ3822" s="76"/>
      <c r="CA3822" s="76"/>
      <c r="CB3822" s="76"/>
      <c r="CC3822" s="76"/>
      <c r="CD3822" s="76"/>
      <c r="CE3822" s="76"/>
      <c r="CF3822" s="76">
        <f>+CE3822*28000</f>
        <v>0</v>
      </c>
      <c r="CG3822" s="76"/>
      <c r="CH3822" s="76">
        <f>+CG3822*22500</f>
        <v>0</v>
      </c>
      <c r="CI3822" s="76"/>
      <c r="CJ3822" s="76">
        <f>+CI3822*26000</f>
        <v>0</v>
      </c>
      <c r="CK3822" s="76"/>
      <c r="CL3822" s="76"/>
      <c r="CM3822" s="76"/>
      <c r="CN3822" s="76">
        <f>+CM3822*22000</f>
        <v>0</v>
      </c>
      <c r="CO3822" s="76"/>
      <c r="CP3822" s="76">
        <f>+CO3822*46000</f>
        <v>0</v>
      </c>
      <c r="CQ3822" s="76"/>
      <c r="CR3822" s="76">
        <f>+CQ3822*49000</f>
        <v>0</v>
      </c>
      <c r="CS3822" s="76"/>
      <c r="CT3822" s="76"/>
      <c r="CU3822" s="56">
        <f>AN3822+AP3822+AR3822+AT3822+AV3822+AX3822+AZ3822+BB3822+BD3822+BF3822+BH3822+BJ3822+BL3822+BN3822+BP3822+BR3822+BT3822+BV3822+BX3822+BZ3822+CB3822+CD3822+CF3822+CH3822+CJ3822+CL3822+CN3822+CP3822+CR3822+CT3822</f>
        <v>0</v>
      </c>
      <c r="CV3822" s="76"/>
      <c r="CW3822" s="76">
        <f>+CV3822*1100</f>
        <v>0</v>
      </c>
      <c r="CX3822" s="76"/>
      <c r="CY3822" s="76">
        <f>+CX3822*106250</f>
        <v>0</v>
      </c>
      <c r="CZ3822" s="76"/>
      <c r="DA3822" s="76">
        <f>+CZ3822*34500</f>
        <v>0</v>
      </c>
      <c r="DB3822" s="76"/>
      <c r="DC3822" s="76">
        <f>+DB3822*25000</f>
        <v>0</v>
      </c>
      <c r="DD3822" s="219"/>
      <c r="DE3822" s="76"/>
      <c r="DF3822" s="166"/>
      <c r="DG3822" s="116"/>
      <c r="DH3822" s="117"/>
      <c r="DI3822" s="24"/>
      <c r="DJ3822" s="24"/>
      <c r="DK3822" s="24"/>
      <c r="DL3822" s="24"/>
      <c r="DM3822" s="24"/>
      <c r="DN3822" s="24"/>
      <c r="DO3822" s="24"/>
      <c r="DP3822" s="24"/>
      <c r="DQ3822" s="24"/>
      <c r="DR3822" s="24"/>
      <c r="DS3822" s="24"/>
      <c r="DT3822" s="24"/>
      <c r="DU3822" s="24"/>
    </row>
    <row r="3823" spans="1:125" s="8" customFormat="1" ht="132" x14ac:dyDescent="0.2">
      <c r="A3823" s="353">
        <v>41612</v>
      </c>
      <c r="B3823" s="352" t="s">
        <v>2894</v>
      </c>
      <c r="C3823" s="354" t="s">
        <v>2618</v>
      </c>
      <c r="D3823" s="354" t="s">
        <v>3017</v>
      </c>
      <c r="E3823" s="75" t="str">
        <f>VLOOKUP(B3823&amp;C3823,Divipola!$C$2:$F$1138,4,FALSE)</f>
        <v>05842</v>
      </c>
      <c r="F3823" s="87"/>
      <c r="G3823" s="87"/>
      <c r="H3823" s="87"/>
      <c r="I3823" s="87"/>
      <c r="J3823" s="87"/>
      <c r="K3823" s="87"/>
      <c r="L3823" s="87"/>
      <c r="M3823" s="87"/>
      <c r="N3823" s="87"/>
      <c r="O3823" s="87">
        <v>1</v>
      </c>
      <c r="P3823" s="87"/>
      <c r="Q3823" s="87"/>
      <c r="R3823" s="87"/>
      <c r="S3823" s="87"/>
      <c r="T3823" s="87"/>
      <c r="U3823" s="88"/>
      <c r="V3823" s="89"/>
      <c r="W3823" s="96">
        <v>0</v>
      </c>
      <c r="X3823" s="71">
        <f>CU3823</f>
        <v>0</v>
      </c>
      <c r="Y3823" s="71">
        <f>CY3823</f>
        <v>0</v>
      </c>
      <c r="Z3823" s="71">
        <f>DA3823+DC3823+DE3823</f>
        <v>0</v>
      </c>
      <c r="AA3823" s="71">
        <f>CW3823</f>
        <v>0</v>
      </c>
      <c r="AB3823" s="71"/>
      <c r="AC3823" s="71">
        <v>0</v>
      </c>
      <c r="AD3823" s="71">
        <f>W3823+X3823+Y3823+Z3823+AA3823+AB3823+AC3823</f>
        <v>0</v>
      </c>
      <c r="AE3823" s="72">
        <v>0</v>
      </c>
      <c r="AF3823" s="5"/>
      <c r="AG3823" s="6"/>
      <c r="AH3823" s="27"/>
      <c r="AI3823" s="44"/>
      <c r="AJ3823" s="26"/>
      <c r="AK3823" s="5"/>
      <c r="AL3823" s="82" t="s">
        <v>6857</v>
      </c>
      <c r="AM3823" s="76"/>
      <c r="AN3823" s="76"/>
      <c r="AO3823" s="76"/>
      <c r="AP3823" s="76"/>
      <c r="AQ3823" s="76"/>
      <c r="AR3823" s="76"/>
      <c r="AS3823" s="76"/>
      <c r="AT3823" s="76"/>
      <c r="AU3823" s="76"/>
      <c r="AV3823" s="76"/>
      <c r="AW3823" s="76"/>
      <c r="AX3823" s="76">
        <f>+AW3823*600000</f>
        <v>0</v>
      </c>
      <c r="AY3823" s="76"/>
      <c r="AZ3823" s="76">
        <f>+AY3823*70000</f>
        <v>0</v>
      </c>
      <c r="BA3823" s="76"/>
      <c r="BB3823" s="76"/>
      <c r="BC3823" s="76"/>
      <c r="BD3823" s="76">
        <f>+BC3823*30000</f>
        <v>0</v>
      </c>
      <c r="BE3823" s="76"/>
      <c r="BF3823" s="76"/>
      <c r="BG3823" s="76"/>
      <c r="BH3823" s="76"/>
      <c r="BI3823" s="76"/>
      <c r="BJ3823" s="76"/>
      <c r="BK3823" s="76"/>
      <c r="BL3823" s="76">
        <f>+BK3823*31500</f>
        <v>0</v>
      </c>
      <c r="BM3823" s="76"/>
      <c r="BN3823" s="76"/>
      <c r="BO3823" s="76"/>
      <c r="BP3823" s="76"/>
      <c r="BQ3823" s="76"/>
      <c r="BR3823" s="76"/>
      <c r="BS3823" s="76"/>
      <c r="BT3823" s="76"/>
      <c r="BU3823" s="76"/>
      <c r="BV3823" s="76"/>
      <c r="BW3823" s="76"/>
      <c r="BX3823" s="76"/>
      <c r="BY3823" s="76"/>
      <c r="BZ3823" s="76"/>
      <c r="CA3823" s="76"/>
      <c r="CB3823" s="76"/>
      <c r="CC3823" s="76"/>
      <c r="CD3823" s="76"/>
      <c r="CE3823" s="76"/>
      <c r="CF3823" s="76">
        <f>+CE3823*28000</f>
        <v>0</v>
      </c>
      <c r="CG3823" s="76"/>
      <c r="CH3823" s="76">
        <f>+CG3823*22500</f>
        <v>0</v>
      </c>
      <c r="CI3823" s="76"/>
      <c r="CJ3823" s="76">
        <f>+CI3823*26000</f>
        <v>0</v>
      </c>
      <c r="CK3823" s="76"/>
      <c r="CL3823" s="76"/>
      <c r="CM3823" s="76"/>
      <c r="CN3823" s="76">
        <f>+CM3823*22000</f>
        <v>0</v>
      </c>
      <c r="CO3823" s="76"/>
      <c r="CP3823" s="76">
        <f>+CO3823*46000</f>
        <v>0</v>
      </c>
      <c r="CQ3823" s="76"/>
      <c r="CR3823" s="76">
        <f>+CQ3823*49000</f>
        <v>0</v>
      </c>
      <c r="CS3823" s="76"/>
      <c r="CT3823" s="76"/>
      <c r="CU3823" s="56">
        <f>AN3823+AP3823+AR3823+AT3823+AV3823+AX3823+AZ3823+BB3823+BD3823+BF3823+BH3823+BJ3823+BL3823+BN3823+BP3823+BR3823+BT3823+BV3823+BX3823+BZ3823+CB3823+CD3823+CF3823+CH3823+CJ3823+CL3823+CN3823+CP3823+CR3823+CT3823</f>
        <v>0</v>
      </c>
      <c r="CV3823" s="76"/>
      <c r="CW3823" s="76">
        <f>+CV3823*1100</f>
        <v>0</v>
      </c>
      <c r="CX3823" s="76"/>
      <c r="CY3823" s="76">
        <f>+CX3823*106250</f>
        <v>0</v>
      </c>
      <c r="CZ3823" s="76"/>
      <c r="DA3823" s="76">
        <f>+CZ3823*34500</f>
        <v>0</v>
      </c>
      <c r="DB3823" s="76"/>
      <c r="DC3823" s="76">
        <f>+DB3823*25000</f>
        <v>0</v>
      </c>
      <c r="DD3823" s="219"/>
      <c r="DE3823" s="76"/>
      <c r="DF3823" s="166"/>
      <c r="DG3823" s="116"/>
      <c r="DH3823" s="117"/>
      <c r="DI3823" s="24"/>
      <c r="DJ3823" s="24"/>
      <c r="DK3823" s="24"/>
      <c r="DL3823" s="24"/>
      <c r="DM3823" s="24"/>
      <c r="DN3823" s="24"/>
      <c r="DO3823" s="24"/>
      <c r="DP3823" s="24"/>
      <c r="DQ3823" s="24"/>
      <c r="DR3823" s="24"/>
      <c r="DS3823" s="24"/>
      <c r="DT3823" s="24"/>
      <c r="DU3823" s="24"/>
    </row>
    <row r="3824" spans="1:125" s="8" customFormat="1" ht="180" x14ac:dyDescent="0.2">
      <c r="A3824" s="353">
        <v>41612</v>
      </c>
      <c r="B3824" s="78" t="s">
        <v>2848</v>
      </c>
      <c r="C3824" s="75" t="s">
        <v>2737</v>
      </c>
      <c r="D3824" s="75" t="s">
        <v>4391</v>
      </c>
      <c r="E3824" s="75" t="str">
        <f>VLOOKUP(B3824&amp;C3824,Divipola!$C$2:$F$1138,4,FALSE)</f>
        <v>73555</v>
      </c>
      <c r="F3824" s="87"/>
      <c r="G3824" s="87"/>
      <c r="H3824" s="87">
        <v>1</v>
      </c>
      <c r="I3824" s="87"/>
      <c r="J3824" s="87"/>
      <c r="K3824" s="87"/>
      <c r="L3824" s="87"/>
      <c r="M3824" s="87"/>
      <c r="N3824" s="87"/>
      <c r="O3824" s="87"/>
      <c r="P3824" s="87"/>
      <c r="Q3824" s="87"/>
      <c r="R3824" s="87"/>
      <c r="S3824" s="87"/>
      <c r="T3824" s="87"/>
      <c r="U3824" s="88"/>
      <c r="V3824" s="89"/>
      <c r="W3824" s="96">
        <v>0</v>
      </c>
      <c r="X3824" s="71">
        <f>CU3824</f>
        <v>0</v>
      </c>
      <c r="Y3824" s="71">
        <f>CY3824</f>
        <v>0</v>
      </c>
      <c r="Z3824" s="71">
        <f>DA3824+DC3824+DE3824</f>
        <v>0</v>
      </c>
      <c r="AA3824" s="71">
        <f>CW3824</f>
        <v>0</v>
      </c>
      <c r="AB3824" s="71"/>
      <c r="AC3824" s="71">
        <v>0</v>
      </c>
      <c r="AD3824" s="71">
        <f>W3824+X3824+Y3824+Z3824+AA3824+AB3824+AC3824</f>
        <v>0</v>
      </c>
      <c r="AE3824" s="72">
        <v>0</v>
      </c>
      <c r="AF3824" s="5"/>
      <c r="AG3824" s="6"/>
      <c r="AH3824" s="27"/>
      <c r="AI3824" s="44"/>
      <c r="AJ3824" s="26"/>
      <c r="AK3824" s="5"/>
      <c r="AL3824" s="278" t="s">
        <v>6880</v>
      </c>
      <c r="AM3824" s="76"/>
      <c r="AN3824" s="76"/>
      <c r="AO3824" s="76"/>
      <c r="AP3824" s="76"/>
      <c r="AQ3824" s="76"/>
      <c r="AR3824" s="76"/>
      <c r="AS3824" s="76"/>
      <c r="AT3824" s="76"/>
      <c r="AU3824" s="76"/>
      <c r="AV3824" s="76"/>
      <c r="AW3824" s="76"/>
      <c r="AX3824" s="76">
        <f>+AW3824*600000</f>
        <v>0</v>
      </c>
      <c r="AY3824" s="76"/>
      <c r="AZ3824" s="76">
        <f>+AY3824*70000</f>
        <v>0</v>
      </c>
      <c r="BA3824" s="76"/>
      <c r="BB3824" s="76"/>
      <c r="BC3824" s="76"/>
      <c r="BD3824" s="76">
        <f>+BC3824*30000</f>
        <v>0</v>
      </c>
      <c r="BE3824" s="76"/>
      <c r="BF3824" s="76"/>
      <c r="BG3824" s="76"/>
      <c r="BH3824" s="76"/>
      <c r="BI3824" s="76"/>
      <c r="BJ3824" s="76"/>
      <c r="BK3824" s="76"/>
      <c r="BL3824" s="76">
        <f>+BK3824*31500</f>
        <v>0</v>
      </c>
      <c r="BM3824" s="76"/>
      <c r="BN3824" s="76"/>
      <c r="BO3824" s="76"/>
      <c r="BP3824" s="76"/>
      <c r="BQ3824" s="76"/>
      <c r="BR3824" s="76"/>
      <c r="BS3824" s="76"/>
      <c r="BT3824" s="76"/>
      <c r="BU3824" s="76"/>
      <c r="BV3824" s="76"/>
      <c r="BW3824" s="76"/>
      <c r="BX3824" s="76"/>
      <c r="BY3824" s="76"/>
      <c r="BZ3824" s="76"/>
      <c r="CA3824" s="76"/>
      <c r="CB3824" s="76"/>
      <c r="CC3824" s="76"/>
      <c r="CD3824" s="76"/>
      <c r="CE3824" s="76"/>
      <c r="CF3824" s="76">
        <f>+CE3824*28000</f>
        <v>0</v>
      </c>
      <c r="CG3824" s="76"/>
      <c r="CH3824" s="76">
        <f>+CG3824*22500</f>
        <v>0</v>
      </c>
      <c r="CI3824" s="76"/>
      <c r="CJ3824" s="76">
        <f>+CI3824*26000</f>
        <v>0</v>
      </c>
      <c r="CK3824" s="76"/>
      <c r="CL3824" s="76"/>
      <c r="CM3824" s="76"/>
      <c r="CN3824" s="76">
        <f>+CM3824*22000</f>
        <v>0</v>
      </c>
      <c r="CO3824" s="76"/>
      <c r="CP3824" s="76">
        <f>+CO3824*46000</f>
        <v>0</v>
      </c>
      <c r="CQ3824" s="76"/>
      <c r="CR3824" s="76">
        <f>+CQ3824*49000</f>
        <v>0</v>
      </c>
      <c r="CS3824" s="76"/>
      <c r="CT3824" s="76"/>
      <c r="CU3824" s="56">
        <f>AN3824+AP3824+AR3824+AT3824+AV3824+AX3824+AZ3824+BB3824+BD3824+BF3824+BH3824+BJ3824+BL3824+BN3824+BP3824+BR3824+BT3824+BV3824+BX3824+BZ3824+CB3824+CD3824+CF3824+CH3824+CJ3824+CL3824+CN3824+CP3824+CR3824+CT3824</f>
        <v>0</v>
      </c>
      <c r="CV3824" s="76"/>
      <c r="CW3824" s="76">
        <f>+CV3824*1100</f>
        <v>0</v>
      </c>
      <c r="CX3824" s="76"/>
      <c r="CY3824" s="76">
        <f>+CX3824*106250</f>
        <v>0</v>
      </c>
      <c r="CZ3824" s="76"/>
      <c r="DA3824" s="76">
        <f>+CZ3824*34500</f>
        <v>0</v>
      </c>
      <c r="DB3824" s="76"/>
      <c r="DC3824" s="76">
        <f>+DB3824*25000</f>
        <v>0</v>
      </c>
      <c r="DD3824" s="219"/>
      <c r="DE3824" s="76"/>
      <c r="DF3824" s="166"/>
      <c r="DG3824" s="116"/>
      <c r="DH3824" s="117"/>
      <c r="DI3824" s="24"/>
      <c r="DJ3824" s="24"/>
      <c r="DK3824" s="24"/>
      <c r="DL3824" s="24"/>
      <c r="DM3824" s="24"/>
      <c r="DN3824" s="24"/>
      <c r="DO3824" s="24"/>
      <c r="DP3824" s="24"/>
      <c r="DQ3824" s="24"/>
      <c r="DR3824" s="24"/>
      <c r="DS3824" s="24"/>
      <c r="DT3824" s="24"/>
      <c r="DU3824" s="24"/>
    </row>
    <row r="3825" spans="1:125" s="8" customFormat="1" ht="180" x14ac:dyDescent="0.2">
      <c r="A3825" s="77">
        <v>41613</v>
      </c>
      <c r="B3825" s="78" t="s">
        <v>2847</v>
      </c>
      <c r="C3825" s="75" t="s">
        <v>2136</v>
      </c>
      <c r="D3825" s="75" t="s">
        <v>3017</v>
      </c>
      <c r="E3825" s="353" t="str">
        <f>VLOOKUP(B3825&amp;C3825,Divipola!$C$2:$F$1138,4,FALSE)</f>
        <v>68689</v>
      </c>
      <c r="F3825" s="87"/>
      <c r="G3825" s="87"/>
      <c r="H3825" s="87"/>
      <c r="I3825" s="87"/>
      <c r="J3825" s="87"/>
      <c r="K3825" s="87"/>
      <c r="L3825" s="87"/>
      <c r="M3825" s="87"/>
      <c r="N3825" s="87">
        <v>1</v>
      </c>
      <c r="O3825" s="87"/>
      <c r="P3825" s="87"/>
      <c r="Q3825" s="87"/>
      <c r="R3825" s="87"/>
      <c r="S3825" s="87"/>
      <c r="T3825" s="87"/>
      <c r="U3825" s="88"/>
      <c r="V3825" s="89"/>
      <c r="W3825" s="96">
        <v>0</v>
      </c>
      <c r="X3825" s="71">
        <f>CU3825</f>
        <v>0</v>
      </c>
      <c r="Y3825" s="71">
        <f>CY3825</f>
        <v>0</v>
      </c>
      <c r="Z3825" s="71">
        <f>DA3825+DC3825+DE3825</f>
        <v>0</v>
      </c>
      <c r="AA3825" s="71">
        <f>CW3825</f>
        <v>0</v>
      </c>
      <c r="AB3825" s="71"/>
      <c r="AC3825" s="71">
        <v>0</v>
      </c>
      <c r="AD3825" s="71">
        <f>W3825+X3825+Y3825+Z3825+AA3825+AB3825+AC3825</f>
        <v>0</v>
      </c>
      <c r="AE3825" s="72">
        <v>0</v>
      </c>
      <c r="AF3825" s="5"/>
      <c r="AG3825" s="6"/>
      <c r="AH3825" s="27"/>
      <c r="AI3825" s="44"/>
      <c r="AJ3825" s="26"/>
      <c r="AK3825" s="5"/>
      <c r="AL3825" s="268" t="s">
        <v>6861</v>
      </c>
      <c r="AM3825" s="76"/>
      <c r="AN3825" s="76"/>
      <c r="AO3825" s="76"/>
      <c r="AP3825" s="76"/>
      <c r="AQ3825" s="76"/>
      <c r="AR3825" s="76"/>
      <c r="AS3825" s="76"/>
      <c r="AT3825" s="76"/>
      <c r="AU3825" s="76"/>
      <c r="AV3825" s="76"/>
      <c r="AW3825" s="76"/>
      <c r="AX3825" s="76">
        <f>+AW3825*600000</f>
        <v>0</v>
      </c>
      <c r="AY3825" s="76"/>
      <c r="AZ3825" s="76">
        <f>+AY3825*70000</f>
        <v>0</v>
      </c>
      <c r="BA3825" s="76"/>
      <c r="BB3825" s="76"/>
      <c r="BC3825" s="76"/>
      <c r="BD3825" s="76">
        <f>+BC3825*30000</f>
        <v>0</v>
      </c>
      <c r="BE3825" s="76"/>
      <c r="BF3825" s="76"/>
      <c r="BG3825" s="76"/>
      <c r="BH3825" s="76"/>
      <c r="BI3825" s="76"/>
      <c r="BJ3825" s="76"/>
      <c r="BK3825" s="76"/>
      <c r="BL3825" s="76">
        <f>+BK3825*31500</f>
        <v>0</v>
      </c>
      <c r="BM3825" s="76"/>
      <c r="BN3825" s="76"/>
      <c r="BO3825" s="76"/>
      <c r="BP3825" s="76"/>
      <c r="BQ3825" s="76"/>
      <c r="BR3825" s="76"/>
      <c r="BS3825" s="76"/>
      <c r="BT3825" s="76"/>
      <c r="BU3825" s="76"/>
      <c r="BV3825" s="76"/>
      <c r="BW3825" s="76"/>
      <c r="BX3825" s="76"/>
      <c r="BY3825" s="76"/>
      <c r="BZ3825" s="76"/>
      <c r="CA3825" s="76"/>
      <c r="CB3825" s="76"/>
      <c r="CC3825" s="76"/>
      <c r="CD3825" s="76"/>
      <c r="CE3825" s="76"/>
      <c r="CF3825" s="76">
        <f>+CE3825*28000</f>
        <v>0</v>
      </c>
      <c r="CG3825" s="76"/>
      <c r="CH3825" s="76">
        <f>+CG3825*22500</f>
        <v>0</v>
      </c>
      <c r="CI3825" s="76"/>
      <c r="CJ3825" s="76">
        <f>+CI3825*26000</f>
        <v>0</v>
      </c>
      <c r="CK3825" s="76"/>
      <c r="CL3825" s="76"/>
      <c r="CM3825" s="76"/>
      <c r="CN3825" s="76">
        <f>+CM3825*22000</f>
        <v>0</v>
      </c>
      <c r="CO3825" s="76"/>
      <c r="CP3825" s="76">
        <f>+CO3825*46000</f>
        <v>0</v>
      </c>
      <c r="CQ3825" s="76"/>
      <c r="CR3825" s="76">
        <f>+CQ3825*49000</f>
        <v>0</v>
      </c>
      <c r="CS3825" s="76"/>
      <c r="CT3825" s="76"/>
      <c r="CU3825" s="56">
        <f>AN3825+AP3825+AR3825+AT3825+AV3825+AX3825+AZ3825+BB3825+BD3825+BF3825+BH3825+BJ3825+BL3825+BN3825+BP3825+BR3825+BT3825+BV3825+BX3825+BZ3825+CB3825+CD3825+CF3825+CH3825+CJ3825+CL3825+CN3825+CP3825+CR3825+CT3825</f>
        <v>0</v>
      </c>
      <c r="CV3825" s="76"/>
      <c r="CW3825" s="76">
        <f>+CV3825*1100</f>
        <v>0</v>
      </c>
      <c r="CX3825" s="76"/>
      <c r="CY3825" s="76">
        <f>+CX3825*106250</f>
        <v>0</v>
      </c>
      <c r="CZ3825" s="76"/>
      <c r="DA3825" s="76">
        <f>+CZ3825*34500</f>
        <v>0</v>
      </c>
      <c r="DB3825" s="76"/>
      <c r="DC3825" s="76">
        <f>+DB3825*25000</f>
        <v>0</v>
      </c>
      <c r="DD3825" s="219"/>
      <c r="DE3825" s="76"/>
      <c r="DF3825" s="166"/>
      <c r="DG3825" s="116"/>
      <c r="DH3825" s="117"/>
      <c r="DI3825" s="24"/>
      <c r="DJ3825" s="24"/>
      <c r="DK3825" s="24"/>
      <c r="DL3825" s="24"/>
      <c r="DM3825" s="24"/>
      <c r="DN3825" s="24"/>
      <c r="DO3825" s="24"/>
      <c r="DP3825" s="24"/>
      <c r="DQ3825" s="24"/>
      <c r="DR3825" s="24"/>
      <c r="DS3825" s="24"/>
      <c r="DT3825" s="24"/>
      <c r="DU3825" s="24"/>
    </row>
    <row r="3826" spans="1:125" s="8" customFormat="1" ht="132" x14ac:dyDescent="0.2">
      <c r="A3826" s="353">
        <v>41613</v>
      </c>
      <c r="B3826" s="352" t="s">
        <v>2772</v>
      </c>
      <c r="C3826" s="354" t="s">
        <v>2190</v>
      </c>
      <c r="D3826" s="354" t="s">
        <v>3088</v>
      </c>
      <c r="E3826" s="353" t="str">
        <f>VLOOKUP(B3826&amp;C3826,Divipola!$C$2:$F$1138,4,FALSE)</f>
        <v>25148</v>
      </c>
      <c r="F3826" s="87"/>
      <c r="G3826" s="87">
        <v>1</v>
      </c>
      <c r="H3826" s="87"/>
      <c r="I3826" s="87">
        <v>5</v>
      </c>
      <c r="J3826" s="87">
        <v>1</v>
      </c>
      <c r="K3826" s="87">
        <v>1</v>
      </c>
      <c r="L3826" s="87"/>
      <c r="M3826" s="87"/>
      <c r="N3826" s="87"/>
      <c r="O3826" s="87"/>
      <c r="P3826" s="87"/>
      <c r="Q3826" s="87"/>
      <c r="R3826" s="87"/>
      <c r="S3826" s="87"/>
      <c r="T3826" s="87"/>
      <c r="U3826" s="88"/>
      <c r="V3826" s="89"/>
      <c r="W3826" s="96">
        <v>0</v>
      </c>
      <c r="X3826" s="71">
        <f>CU3826</f>
        <v>0</v>
      </c>
      <c r="Y3826" s="71">
        <f>CY3826</f>
        <v>0</v>
      </c>
      <c r="Z3826" s="71">
        <f>DA3826+DC3826+DE3826</f>
        <v>0</v>
      </c>
      <c r="AA3826" s="71">
        <f>CW3826</f>
        <v>0</v>
      </c>
      <c r="AB3826" s="71"/>
      <c r="AC3826" s="71">
        <v>0</v>
      </c>
      <c r="AD3826" s="71">
        <f>W3826+X3826+Y3826+Z3826+AA3826+AB3826+AC3826</f>
        <v>0</v>
      </c>
      <c r="AE3826" s="72">
        <v>0</v>
      </c>
      <c r="AF3826" s="5"/>
      <c r="AG3826" s="6"/>
      <c r="AH3826" s="27"/>
      <c r="AI3826" s="44"/>
      <c r="AJ3826" s="26"/>
      <c r="AK3826" s="5"/>
      <c r="AL3826" s="82" t="s">
        <v>6862</v>
      </c>
      <c r="AM3826" s="76"/>
      <c r="AN3826" s="76"/>
      <c r="AO3826" s="76"/>
      <c r="AP3826" s="76"/>
      <c r="AQ3826" s="76"/>
      <c r="AR3826" s="76"/>
      <c r="AS3826" s="76"/>
      <c r="AT3826" s="76"/>
      <c r="AU3826" s="76"/>
      <c r="AV3826" s="76"/>
      <c r="AW3826" s="76"/>
      <c r="AX3826" s="76">
        <f>+AW3826*600000</f>
        <v>0</v>
      </c>
      <c r="AY3826" s="76"/>
      <c r="AZ3826" s="76">
        <f>+AY3826*70000</f>
        <v>0</v>
      </c>
      <c r="BA3826" s="76"/>
      <c r="BB3826" s="76"/>
      <c r="BC3826" s="76"/>
      <c r="BD3826" s="76">
        <f>+BC3826*30000</f>
        <v>0</v>
      </c>
      <c r="BE3826" s="76"/>
      <c r="BF3826" s="76"/>
      <c r="BG3826" s="76"/>
      <c r="BH3826" s="76"/>
      <c r="BI3826" s="76"/>
      <c r="BJ3826" s="76"/>
      <c r="BK3826" s="76"/>
      <c r="BL3826" s="76">
        <f>+BK3826*31500</f>
        <v>0</v>
      </c>
      <c r="BM3826" s="76"/>
      <c r="BN3826" s="76"/>
      <c r="BO3826" s="76"/>
      <c r="BP3826" s="76"/>
      <c r="BQ3826" s="76"/>
      <c r="BR3826" s="76"/>
      <c r="BS3826" s="76"/>
      <c r="BT3826" s="76"/>
      <c r="BU3826" s="76"/>
      <c r="BV3826" s="76"/>
      <c r="BW3826" s="76"/>
      <c r="BX3826" s="76"/>
      <c r="BY3826" s="76"/>
      <c r="BZ3826" s="76"/>
      <c r="CA3826" s="76"/>
      <c r="CB3826" s="76"/>
      <c r="CC3826" s="76"/>
      <c r="CD3826" s="76"/>
      <c r="CE3826" s="76"/>
      <c r="CF3826" s="76">
        <f>+CE3826*28000</f>
        <v>0</v>
      </c>
      <c r="CG3826" s="76"/>
      <c r="CH3826" s="76">
        <f>+CG3826*22500</f>
        <v>0</v>
      </c>
      <c r="CI3826" s="76"/>
      <c r="CJ3826" s="76">
        <f>+CI3826*26000</f>
        <v>0</v>
      </c>
      <c r="CK3826" s="76"/>
      <c r="CL3826" s="76"/>
      <c r="CM3826" s="76"/>
      <c r="CN3826" s="76">
        <f>+CM3826*22000</f>
        <v>0</v>
      </c>
      <c r="CO3826" s="76"/>
      <c r="CP3826" s="76">
        <f>+CO3826*46000</f>
        <v>0</v>
      </c>
      <c r="CQ3826" s="76"/>
      <c r="CR3826" s="76">
        <f>+CQ3826*49000</f>
        <v>0</v>
      </c>
      <c r="CS3826" s="76"/>
      <c r="CT3826" s="76"/>
      <c r="CU3826" s="56">
        <f>AN3826+AP3826+AR3826+AT3826+AV3826+AX3826+AZ3826+BB3826+BD3826+BF3826+BH3826+BJ3826+BL3826+BN3826+BP3826+BR3826+BT3826+BV3826+BX3826+BZ3826+CB3826+CD3826+CF3826+CH3826+CJ3826+CL3826+CN3826+CP3826+CR3826+CT3826</f>
        <v>0</v>
      </c>
      <c r="CV3826" s="76"/>
      <c r="CW3826" s="76">
        <f>+CV3826*1100</f>
        <v>0</v>
      </c>
      <c r="CX3826" s="76"/>
      <c r="CY3826" s="76">
        <f>+CX3826*106250</f>
        <v>0</v>
      </c>
      <c r="CZ3826" s="76"/>
      <c r="DA3826" s="76">
        <f>+CZ3826*34500</f>
        <v>0</v>
      </c>
      <c r="DB3826" s="76"/>
      <c r="DC3826" s="76">
        <f>+DB3826*25000</f>
        <v>0</v>
      </c>
      <c r="DD3826" s="219"/>
      <c r="DE3826" s="76"/>
      <c r="DF3826" s="166"/>
      <c r="DG3826" s="116"/>
      <c r="DH3826" s="117"/>
      <c r="DI3826" s="24"/>
      <c r="DJ3826" s="24"/>
      <c r="DK3826" s="24"/>
      <c r="DL3826" s="24"/>
      <c r="DM3826" s="24"/>
      <c r="DN3826" s="24"/>
      <c r="DO3826" s="24"/>
      <c r="DP3826" s="24"/>
      <c r="DQ3826" s="24"/>
      <c r="DR3826" s="24"/>
      <c r="DS3826" s="24"/>
      <c r="DT3826" s="24"/>
      <c r="DU3826" s="24"/>
    </row>
    <row r="3827" spans="1:125" s="8" customFormat="1" ht="36" x14ac:dyDescent="0.2">
      <c r="A3827" s="77">
        <v>41613</v>
      </c>
      <c r="B3827" s="352" t="s">
        <v>2661</v>
      </c>
      <c r="C3827" s="354" t="s">
        <v>2169</v>
      </c>
      <c r="D3827" s="354" t="s">
        <v>2859</v>
      </c>
      <c r="E3827" s="353" t="str">
        <f>VLOOKUP(B3827&amp;C3827,Divipola!$C$2:$F$1138,4,FALSE)</f>
        <v>41001</v>
      </c>
      <c r="F3827" s="87"/>
      <c r="G3827" s="87"/>
      <c r="H3827" s="87"/>
      <c r="I3827" s="87"/>
      <c r="J3827" s="87"/>
      <c r="K3827" s="87"/>
      <c r="L3827" s="87"/>
      <c r="M3827" s="87"/>
      <c r="N3827" s="87"/>
      <c r="O3827" s="87"/>
      <c r="P3827" s="87"/>
      <c r="Q3827" s="87"/>
      <c r="R3827" s="87"/>
      <c r="S3827" s="87"/>
      <c r="T3827" s="87"/>
      <c r="U3827" s="88"/>
      <c r="V3827" s="89"/>
      <c r="W3827" s="96">
        <v>0</v>
      </c>
      <c r="X3827" s="71">
        <f>CU3827</f>
        <v>0</v>
      </c>
      <c r="Y3827" s="71">
        <f>CY3827</f>
        <v>0</v>
      </c>
      <c r="Z3827" s="71">
        <f>DA3827+DC3827+DE3827</f>
        <v>0</v>
      </c>
      <c r="AA3827" s="71">
        <f>CW3827</f>
        <v>0</v>
      </c>
      <c r="AB3827" s="71"/>
      <c r="AC3827" s="71">
        <v>0</v>
      </c>
      <c r="AD3827" s="71">
        <f>W3827+X3827+Y3827+Z3827+AA3827+AB3827+AC3827</f>
        <v>0</v>
      </c>
      <c r="AE3827" s="72">
        <v>0</v>
      </c>
      <c r="AF3827" s="5"/>
      <c r="AG3827" s="6"/>
      <c r="AH3827" s="27"/>
      <c r="AI3827" s="44"/>
      <c r="AJ3827" s="26"/>
      <c r="AK3827" s="5"/>
      <c r="AL3827" s="82" t="s">
        <v>6863</v>
      </c>
      <c r="AM3827" s="76"/>
      <c r="AN3827" s="76"/>
      <c r="AO3827" s="76"/>
      <c r="AP3827" s="76"/>
      <c r="AQ3827" s="76"/>
      <c r="AR3827" s="76"/>
      <c r="AS3827" s="76"/>
      <c r="AT3827" s="76"/>
      <c r="AU3827" s="76"/>
      <c r="AV3827" s="76"/>
      <c r="AW3827" s="76"/>
      <c r="AX3827" s="76">
        <f>+AW3827*600000</f>
        <v>0</v>
      </c>
      <c r="AY3827" s="76"/>
      <c r="AZ3827" s="76">
        <f>+AY3827*70000</f>
        <v>0</v>
      </c>
      <c r="BA3827" s="76"/>
      <c r="BB3827" s="76"/>
      <c r="BC3827" s="76"/>
      <c r="BD3827" s="76">
        <f>+BC3827*30000</f>
        <v>0</v>
      </c>
      <c r="BE3827" s="76"/>
      <c r="BF3827" s="76"/>
      <c r="BG3827" s="76"/>
      <c r="BH3827" s="76"/>
      <c r="BI3827" s="76"/>
      <c r="BJ3827" s="76"/>
      <c r="BK3827" s="76"/>
      <c r="BL3827" s="76">
        <f>+BK3827*31500</f>
        <v>0</v>
      </c>
      <c r="BM3827" s="76"/>
      <c r="BN3827" s="76"/>
      <c r="BO3827" s="76"/>
      <c r="BP3827" s="76"/>
      <c r="BQ3827" s="76"/>
      <c r="BR3827" s="76"/>
      <c r="BS3827" s="76"/>
      <c r="BT3827" s="76"/>
      <c r="BU3827" s="76"/>
      <c r="BV3827" s="76"/>
      <c r="BW3827" s="76"/>
      <c r="BX3827" s="76"/>
      <c r="BY3827" s="76"/>
      <c r="BZ3827" s="76"/>
      <c r="CA3827" s="76"/>
      <c r="CB3827" s="76"/>
      <c r="CC3827" s="76"/>
      <c r="CD3827" s="76"/>
      <c r="CE3827" s="76"/>
      <c r="CF3827" s="76">
        <f>+CE3827*28000</f>
        <v>0</v>
      </c>
      <c r="CG3827" s="76"/>
      <c r="CH3827" s="76">
        <f>+CG3827*22500</f>
        <v>0</v>
      </c>
      <c r="CI3827" s="76"/>
      <c r="CJ3827" s="76">
        <f>+CI3827*26000</f>
        <v>0</v>
      </c>
      <c r="CK3827" s="76"/>
      <c r="CL3827" s="76"/>
      <c r="CM3827" s="76"/>
      <c r="CN3827" s="76">
        <f>+CM3827*22000</f>
        <v>0</v>
      </c>
      <c r="CO3827" s="76"/>
      <c r="CP3827" s="76">
        <f>+CO3827*46000</f>
        <v>0</v>
      </c>
      <c r="CQ3827" s="76"/>
      <c r="CR3827" s="76">
        <f>+CQ3827*49000</f>
        <v>0</v>
      </c>
      <c r="CS3827" s="76"/>
      <c r="CT3827" s="76"/>
      <c r="CU3827" s="56">
        <f>AN3827+AP3827+AR3827+AT3827+AV3827+AX3827+AZ3827+BB3827+BD3827+BF3827+BH3827+BJ3827+BL3827+BN3827+BP3827+BR3827+BT3827+BV3827+BX3827+BZ3827+CB3827+CD3827+CF3827+CH3827+CJ3827+CL3827+CN3827+CP3827+CR3827+CT3827</f>
        <v>0</v>
      </c>
      <c r="CV3827" s="76"/>
      <c r="CW3827" s="76">
        <f>+CV3827*1100</f>
        <v>0</v>
      </c>
      <c r="CX3827" s="76"/>
      <c r="CY3827" s="76">
        <f>+CX3827*106250</f>
        <v>0</v>
      </c>
      <c r="CZ3827" s="76"/>
      <c r="DA3827" s="76">
        <f>+CZ3827*34500</f>
        <v>0</v>
      </c>
      <c r="DB3827" s="76"/>
      <c r="DC3827" s="76">
        <f>+DB3827*25000</f>
        <v>0</v>
      </c>
      <c r="DD3827" s="219"/>
      <c r="DE3827" s="76"/>
      <c r="DF3827" s="166"/>
      <c r="DG3827" s="116"/>
      <c r="DH3827" s="117"/>
      <c r="DI3827" s="24"/>
      <c r="DJ3827" s="24"/>
      <c r="DK3827" s="24"/>
      <c r="DL3827" s="24"/>
      <c r="DM3827" s="24"/>
      <c r="DN3827" s="24"/>
      <c r="DO3827" s="24"/>
      <c r="DP3827" s="24"/>
      <c r="DQ3827" s="24"/>
      <c r="DR3827" s="24"/>
      <c r="DS3827" s="24"/>
      <c r="DT3827" s="24"/>
      <c r="DU3827" s="24"/>
    </row>
    <row r="3828" spans="1:125" s="8" customFormat="1" ht="36" x14ac:dyDescent="0.2">
      <c r="A3828" s="77">
        <v>41613</v>
      </c>
      <c r="B3828" s="78" t="s">
        <v>2661</v>
      </c>
      <c r="C3828" s="75" t="s">
        <v>1368</v>
      </c>
      <c r="D3828" s="75" t="s">
        <v>3088</v>
      </c>
      <c r="E3828" s="353" t="str">
        <f>VLOOKUP(B3828&amp;C3828,Divipola!$C$2:$F$1138,4,FALSE)</f>
        <v>41770</v>
      </c>
      <c r="F3828" s="87"/>
      <c r="G3828" s="87"/>
      <c r="H3828" s="87"/>
      <c r="I3828" s="87"/>
      <c r="J3828" s="87"/>
      <c r="K3828" s="87"/>
      <c r="L3828" s="87"/>
      <c r="M3828" s="87">
        <v>1</v>
      </c>
      <c r="N3828" s="87"/>
      <c r="O3828" s="87"/>
      <c r="P3828" s="87"/>
      <c r="Q3828" s="87"/>
      <c r="R3828" s="87"/>
      <c r="S3828" s="87"/>
      <c r="T3828" s="87"/>
      <c r="U3828" s="88"/>
      <c r="V3828" s="89"/>
      <c r="W3828" s="96">
        <v>0</v>
      </c>
      <c r="X3828" s="71">
        <f>CU3828</f>
        <v>0</v>
      </c>
      <c r="Y3828" s="71">
        <f>CY3828</f>
        <v>0</v>
      </c>
      <c r="Z3828" s="71">
        <f>DA3828+DC3828+DE3828</f>
        <v>0</v>
      </c>
      <c r="AA3828" s="71">
        <f>CW3828</f>
        <v>0</v>
      </c>
      <c r="AB3828" s="71"/>
      <c r="AC3828" s="71">
        <v>0</v>
      </c>
      <c r="AD3828" s="71">
        <f>W3828+X3828+Y3828+Z3828+AA3828+AB3828+AC3828</f>
        <v>0</v>
      </c>
      <c r="AE3828" s="72">
        <v>0</v>
      </c>
      <c r="AF3828" s="5"/>
      <c r="AG3828" s="6"/>
      <c r="AH3828" s="27"/>
      <c r="AI3828" s="44"/>
      <c r="AJ3828" s="26"/>
      <c r="AK3828" s="5"/>
      <c r="AL3828" s="268" t="s">
        <v>6867</v>
      </c>
      <c r="AM3828" s="76"/>
      <c r="AN3828" s="76"/>
      <c r="AO3828" s="76"/>
      <c r="AP3828" s="76"/>
      <c r="AQ3828" s="76"/>
      <c r="AR3828" s="76"/>
      <c r="AS3828" s="76"/>
      <c r="AT3828" s="76"/>
      <c r="AU3828" s="76"/>
      <c r="AV3828" s="76"/>
      <c r="AW3828" s="76"/>
      <c r="AX3828" s="76">
        <f>+AW3828*600000</f>
        <v>0</v>
      </c>
      <c r="AY3828" s="76"/>
      <c r="AZ3828" s="76">
        <f>+AY3828*70000</f>
        <v>0</v>
      </c>
      <c r="BA3828" s="76"/>
      <c r="BB3828" s="76"/>
      <c r="BC3828" s="76"/>
      <c r="BD3828" s="76">
        <f>+BC3828*30000</f>
        <v>0</v>
      </c>
      <c r="BE3828" s="76"/>
      <c r="BF3828" s="76"/>
      <c r="BG3828" s="76"/>
      <c r="BH3828" s="76"/>
      <c r="BI3828" s="76"/>
      <c r="BJ3828" s="76"/>
      <c r="BK3828" s="76"/>
      <c r="BL3828" s="76">
        <f>+BK3828*31500</f>
        <v>0</v>
      </c>
      <c r="BM3828" s="76"/>
      <c r="BN3828" s="76"/>
      <c r="BO3828" s="76"/>
      <c r="BP3828" s="76"/>
      <c r="BQ3828" s="76"/>
      <c r="BR3828" s="76"/>
      <c r="BS3828" s="76"/>
      <c r="BT3828" s="76"/>
      <c r="BU3828" s="76"/>
      <c r="BV3828" s="76"/>
      <c r="BW3828" s="76"/>
      <c r="BX3828" s="76"/>
      <c r="BY3828" s="76"/>
      <c r="BZ3828" s="76"/>
      <c r="CA3828" s="76"/>
      <c r="CB3828" s="76"/>
      <c r="CC3828" s="76"/>
      <c r="CD3828" s="76"/>
      <c r="CE3828" s="76"/>
      <c r="CF3828" s="76">
        <f>+CE3828*28000</f>
        <v>0</v>
      </c>
      <c r="CG3828" s="76"/>
      <c r="CH3828" s="76">
        <f>+CG3828*22500</f>
        <v>0</v>
      </c>
      <c r="CI3828" s="76"/>
      <c r="CJ3828" s="76">
        <f>+CI3828*26000</f>
        <v>0</v>
      </c>
      <c r="CK3828" s="76"/>
      <c r="CL3828" s="76"/>
      <c r="CM3828" s="76"/>
      <c r="CN3828" s="76">
        <f>+CM3828*22000</f>
        <v>0</v>
      </c>
      <c r="CO3828" s="76"/>
      <c r="CP3828" s="76">
        <f>+CO3828*46000</f>
        <v>0</v>
      </c>
      <c r="CQ3828" s="76"/>
      <c r="CR3828" s="76">
        <f>+CQ3828*49000</f>
        <v>0</v>
      </c>
      <c r="CS3828" s="76"/>
      <c r="CT3828" s="76"/>
      <c r="CU3828" s="56">
        <f>AN3828+AP3828+AR3828+AT3828+AV3828+AX3828+AZ3828+BB3828+BD3828+BF3828+BH3828+BJ3828+BL3828+BN3828+BP3828+BR3828+BT3828+BV3828+BX3828+BZ3828+CB3828+CD3828+CF3828+CH3828+CJ3828+CL3828+CN3828+CP3828+CR3828+CT3828</f>
        <v>0</v>
      </c>
      <c r="CV3828" s="76"/>
      <c r="CW3828" s="76">
        <f>+CV3828*1100</f>
        <v>0</v>
      </c>
      <c r="CX3828" s="76"/>
      <c r="CY3828" s="76">
        <f>+CX3828*106250</f>
        <v>0</v>
      </c>
      <c r="CZ3828" s="76"/>
      <c r="DA3828" s="76">
        <f>+CZ3828*34500</f>
        <v>0</v>
      </c>
      <c r="DB3828" s="76"/>
      <c r="DC3828" s="76">
        <f>+DB3828*25000</f>
        <v>0</v>
      </c>
      <c r="DD3828" s="219"/>
      <c r="DE3828" s="76"/>
      <c r="DF3828" s="166"/>
      <c r="DG3828" s="116"/>
      <c r="DH3828" s="117"/>
      <c r="DI3828" s="24"/>
      <c r="DJ3828" s="24"/>
      <c r="DK3828" s="24"/>
      <c r="DL3828" s="24"/>
      <c r="DM3828" s="24"/>
      <c r="DN3828" s="24"/>
      <c r="DO3828" s="24"/>
      <c r="DP3828" s="24"/>
      <c r="DQ3828" s="24"/>
      <c r="DR3828" s="24"/>
      <c r="DS3828" s="24"/>
      <c r="DT3828" s="24"/>
      <c r="DU3828" s="24"/>
    </row>
    <row r="3829" spans="1:125" s="8" customFormat="1" ht="84" x14ac:dyDescent="0.2">
      <c r="A3829" s="353">
        <v>41613</v>
      </c>
      <c r="B3829" s="352" t="s">
        <v>2811</v>
      </c>
      <c r="C3829" s="354" t="s">
        <v>1710</v>
      </c>
      <c r="D3829" s="354" t="s">
        <v>2859</v>
      </c>
      <c r="E3829" s="353" t="str">
        <f>VLOOKUP(B3829&amp;C3829,Divipola!$C$2:$F$1138,4,FALSE)</f>
        <v>52427</v>
      </c>
      <c r="F3829" s="87"/>
      <c r="G3829" s="87"/>
      <c r="H3829" s="87"/>
      <c r="I3829" s="87">
        <v>12</v>
      </c>
      <c r="J3829" s="87">
        <v>2</v>
      </c>
      <c r="K3829" s="87">
        <v>2</v>
      </c>
      <c r="L3829" s="87"/>
      <c r="M3829" s="87"/>
      <c r="N3829" s="87"/>
      <c r="O3829" s="87"/>
      <c r="P3829" s="87"/>
      <c r="Q3829" s="87"/>
      <c r="R3829" s="87"/>
      <c r="S3829" s="87"/>
      <c r="T3829" s="87"/>
      <c r="U3829" s="88"/>
      <c r="V3829" s="89"/>
      <c r="W3829" s="96">
        <v>0</v>
      </c>
      <c r="X3829" s="71">
        <f>CU3829</f>
        <v>0</v>
      </c>
      <c r="Y3829" s="71">
        <f>CY3829</f>
        <v>0</v>
      </c>
      <c r="Z3829" s="71">
        <f>DA3829+DC3829+DE3829</f>
        <v>0</v>
      </c>
      <c r="AA3829" s="71">
        <f>CW3829</f>
        <v>0</v>
      </c>
      <c r="AB3829" s="71"/>
      <c r="AC3829" s="71">
        <v>0</v>
      </c>
      <c r="AD3829" s="71">
        <f>W3829+X3829+Y3829+Z3829+AA3829+AB3829+AC3829</f>
        <v>0</v>
      </c>
      <c r="AE3829" s="72">
        <v>0</v>
      </c>
      <c r="AF3829" s="5"/>
      <c r="AG3829" s="6"/>
      <c r="AH3829" s="27"/>
      <c r="AI3829" s="44"/>
      <c r="AJ3829" s="26"/>
      <c r="AK3829" s="5"/>
      <c r="AL3829" s="82" t="s">
        <v>6864</v>
      </c>
      <c r="AM3829" s="76"/>
      <c r="AN3829" s="76"/>
      <c r="AO3829" s="76"/>
      <c r="AP3829" s="76"/>
      <c r="AQ3829" s="76"/>
      <c r="AR3829" s="76"/>
      <c r="AS3829" s="76"/>
      <c r="AT3829" s="76"/>
      <c r="AU3829" s="76"/>
      <c r="AV3829" s="76"/>
      <c r="AW3829" s="76"/>
      <c r="AX3829" s="76">
        <f>+AW3829*600000</f>
        <v>0</v>
      </c>
      <c r="AY3829" s="76"/>
      <c r="AZ3829" s="76">
        <f>+AY3829*70000</f>
        <v>0</v>
      </c>
      <c r="BA3829" s="76"/>
      <c r="BB3829" s="76"/>
      <c r="BC3829" s="76"/>
      <c r="BD3829" s="76">
        <f>+BC3829*30000</f>
        <v>0</v>
      </c>
      <c r="BE3829" s="76"/>
      <c r="BF3829" s="76"/>
      <c r="BG3829" s="76"/>
      <c r="BH3829" s="76"/>
      <c r="BI3829" s="76"/>
      <c r="BJ3829" s="76"/>
      <c r="BK3829" s="76"/>
      <c r="BL3829" s="76">
        <f>+BK3829*31500</f>
        <v>0</v>
      </c>
      <c r="BM3829" s="76"/>
      <c r="BN3829" s="76"/>
      <c r="BO3829" s="76"/>
      <c r="BP3829" s="76"/>
      <c r="BQ3829" s="76"/>
      <c r="BR3829" s="76"/>
      <c r="BS3829" s="76"/>
      <c r="BT3829" s="76"/>
      <c r="BU3829" s="76"/>
      <c r="BV3829" s="76"/>
      <c r="BW3829" s="76"/>
      <c r="BX3829" s="76"/>
      <c r="BY3829" s="76"/>
      <c r="BZ3829" s="76"/>
      <c r="CA3829" s="76"/>
      <c r="CB3829" s="76"/>
      <c r="CC3829" s="76"/>
      <c r="CD3829" s="76"/>
      <c r="CE3829" s="76"/>
      <c r="CF3829" s="76">
        <f>+CE3829*28000</f>
        <v>0</v>
      </c>
      <c r="CG3829" s="76"/>
      <c r="CH3829" s="76">
        <f>+CG3829*22500</f>
        <v>0</v>
      </c>
      <c r="CI3829" s="76"/>
      <c r="CJ3829" s="76">
        <f>+CI3829*26000</f>
        <v>0</v>
      </c>
      <c r="CK3829" s="76"/>
      <c r="CL3829" s="76"/>
      <c r="CM3829" s="76"/>
      <c r="CN3829" s="76">
        <f>+CM3829*22000</f>
        <v>0</v>
      </c>
      <c r="CO3829" s="76"/>
      <c r="CP3829" s="76">
        <f>+CO3829*46000</f>
        <v>0</v>
      </c>
      <c r="CQ3829" s="76"/>
      <c r="CR3829" s="76">
        <f>+CQ3829*49000</f>
        <v>0</v>
      </c>
      <c r="CS3829" s="76"/>
      <c r="CT3829" s="76"/>
      <c r="CU3829" s="56">
        <f>AN3829+AP3829+AR3829+AT3829+AV3829+AX3829+AZ3829+BB3829+BD3829+BF3829+BH3829+BJ3829+BL3829+BN3829+BP3829+BR3829+BT3829+BV3829+BX3829+BZ3829+CB3829+CD3829+CF3829+CH3829+CJ3829+CL3829+CN3829+CP3829+CR3829+CT3829</f>
        <v>0</v>
      </c>
      <c r="CV3829" s="76"/>
      <c r="CW3829" s="76">
        <f>+CV3829*1100</f>
        <v>0</v>
      </c>
      <c r="CX3829" s="76"/>
      <c r="CY3829" s="76">
        <f>+CX3829*106250</f>
        <v>0</v>
      </c>
      <c r="CZ3829" s="76"/>
      <c r="DA3829" s="76">
        <f>+CZ3829*34500</f>
        <v>0</v>
      </c>
      <c r="DB3829" s="76"/>
      <c r="DC3829" s="76">
        <f>+DB3829*25000</f>
        <v>0</v>
      </c>
      <c r="DD3829" s="219"/>
      <c r="DE3829" s="76"/>
      <c r="DF3829" s="166"/>
      <c r="DG3829" s="116"/>
      <c r="DH3829" s="117"/>
      <c r="DI3829" s="24"/>
      <c r="DJ3829" s="24"/>
      <c r="DK3829" s="24"/>
      <c r="DL3829" s="24"/>
      <c r="DM3829" s="24"/>
      <c r="DN3829" s="24"/>
      <c r="DO3829" s="24"/>
      <c r="DP3829" s="24"/>
      <c r="DQ3829" s="24"/>
      <c r="DR3829" s="24"/>
      <c r="DS3829" s="24"/>
      <c r="DT3829" s="24"/>
      <c r="DU3829" s="24"/>
    </row>
    <row r="3830" spans="1:125" s="8" customFormat="1" ht="96" x14ac:dyDescent="0.2">
      <c r="A3830" s="353">
        <v>41613</v>
      </c>
      <c r="B3830" s="352" t="s">
        <v>2774</v>
      </c>
      <c r="C3830" s="354" t="s">
        <v>2069</v>
      </c>
      <c r="D3830" s="354" t="s">
        <v>2882</v>
      </c>
      <c r="E3830" s="353" t="str">
        <f>VLOOKUP(B3830&amp;C3830,Divipola!$C$2:$F$1138,4,FALSE)</f>
        <v>66088</v>
      </c>
      <c r="F3830" s="87"/>
      <c r="G3830" s="87"/>
      <c r="H3830" s="87"/>
      <c r="I3830" s="87">
        <v>33</v>
      </c>
      <c r="J3830" s="87">
        <v>7</v>
      </c>
      <c r="K3830" s="87"/>
      <c r="L3830" s="87">
        <v>7</v>
      </c>
      <c r="M3830" s="87">
        <v>1</v>
      </c>
      <c r="N3830" s="87"/>
      <c r="O3830" s="87"/>
      <c r="P3830" s="87"/>
      <c r="Q3830" s="87"/>
      <c r="R3830" s="87"/>
      <c r="S3830" s="87"/>
      <c r="T3830" s="87"/>
      <c r="U3830" s="88"/>
      <c r="V3830" s="194"/>
      <c r="W3830" s="96">
        <v>0</v>
      </c>
      <c r="X3830" s="71">
        <f>CU3830</f>
        <v>0</v>
      </c>
      <c r="Y3830" s="71">
        <f>CY3830</f>
        <v>0</v>
      </c>
      <c r="Z3830" s="71">
        <f>DA3830+DC3830+DE3830</f>
        <v>0</v>
      </c>
      <c r="AA3830" s="71">
        <f>CW3830</f>
        <v>0</v>
      </c>
      <c r="AB3830" s="71"/>
      <c r="AC3830" s="71">
        <v>0</v>
      </c>
      <c r="AD3830" s="71">
        <f>W3830+X3830+Y3830+Z3830+AA3830+AB3830+AC3830</f>
        <v>0</v>
      </c>
      <c r="AE3830" s="72">
        <v>0</v>
      </c>
      <c r="AF3830" s="5"/>
      <c r="AG3830" s="6"/>
      <c r="AH3830" s="27"/>
      <c r="AI3830" s="44"/>
      <c r="AJ3830" s="26"/>
      <c r="AK3830" s="5"/>
      <c r="AL3830" s="82" t="s">
        <v>6865</v>
      </c>
      <c r="AM3830" s="76"/>
      <c r="AN3830" s="76"/>
      <c r="AO3830" s="76"/>
      <c r="AP3830" s="76"/>
      <c r="AQ3830" s="76"/>
      <c r="AR3830" s="76"/>
      <c r="AS3830" s="76"/>
      <c r="AT3830" s="76"/>
      <c r="AU3830" s="76"/>
      <c r="AV3830" s="76"/>
      <c r="AW3830" s="76"/>
      <c r="AX3830" s="76">
        <f>+AW3830*600000</f>
        <v>0</v>
      </c>
      <c r="AY3830" s="76"/>
      <c r="AZ3830" s="76">
        <f>+AY3830*70000</f>
        <v>0</v>
      </c>
      <c r="BA3830" s="76"/>
      <c r="BB3830" s="76"/>
      <c r="BC3830" s="76"/>
      <c r="BD3830" s="76">
        <f>+BC3830*30000</f>
        <v>0</v>
      </c>
      <c r="BE3830" s="76"/>
      <c r="BF3830" s="76"/>
      <c r="BG3830" s="76"/>
      <c r="BH3830" s="76"/>
      <c r="BI3830" s="76"/>
      <c r="BJ3830" s="76"/>
      <c r="BK3830" s="76"/>
      <c r="BL3830" s="76">
        <f>+BK3830*31500</f>
        <v>0</v>
      </c>
      <c r="BM3830" s="76"/>
      <c r="BN3830" s="76"/>
      <c r="BO3830" s="76"/>
      <c r="BP3830" s="76"/>
      <c r="BQ3830" s="76"/>
      <c r="BR3830" s="76"/>
      <c r="BS3830" s="76"/>
      <c r="BT3830" s="76"/>
      <c r="BU3830" s="76"/>
      <c r="BV3830" s="76"/>
      <c r="BW3830" s="76"/>
      <c r="BX3830" s="76"/>
      <c r="BY3830" s="76"/>
      <c r="BZ3830" s="76"/>
      <c r="CA3830" s="76"/>
      <c r="CB3830" s="76"/>
      <c r="CC3830" s="76"/>
      <c r="CD3830" s="76"/>
      <c r="CE3830" s="76"/>
      <c r="CF3830" s="76">
        <f>+CE3830*28000</f>
        <v>0</v>
      </c>
      <c r="CG3830" s="76"/>
      <c r="CH3830" s="76">
        <f>+CG3830*22500</f>
        <v>0</v>
      </c>
      <c r="CI3830" s="76"/>
      <c r="CJ3830" s="76">
        <f>+CI3830*26000</f>
        <v>0</v>
      </c>
      <c r="CK3830" s="76"/>
      <c r="CL3830" s="76"/>
      <c r="CM3830" s="76"/>
      <c r="CN3830" s="76">
        <f>+CM3830*22000</f>
        <v>0</v>
      </c>
      <c r="CO3830" s="76"/>
      <c r="CP3830" s="76">
        <f>+CO3830*46000</f>
        <v>0</v>
      </c>
      <c r="CQ3830" s="76"/>
      <c r="CR3830" s="76">
        <f>+CQ3830*49000</f>
        <v>0</v>
      </c>
      <c r="CS3830" s="76"/>
      <c r="CT3830" s="76"/>
      <c r="CU3830" s="56">
        <f>AN3830+AP3830+AR3830+AT3830+AV3830+AX3830+AZ3830+BB3830+BD3830+BF3830+BH3830+BJ3830+BL3830+BN3830+BP3830+BR3830+BT3830+BV3830+BX3830+BZ3830+CB3830+CD3830+CF3830+CH3830+CJ3830+CL3830+CN3830+CP3830+CR3830+CT3830</f>
        <v>0</v>
      </c>
      <c r="CV3830" s="76"/>
      <c r="CW3830" s="76">
        <f>+CV3830*1100</f>
        <v>0</v>
      </c>
      <c r="CX3830" s="76"/>
      <c r="CY3830" s="76">
        <f>+CX3830*106250</f>
        <v>0</v>
      </c>
      <c r="CZ3830" s="76"/>
      <c r="DA3830" s="76">
        <f>+CZ3830*34500</f>
        <v>0</v>
      </c>
      <c r="DB3830" s="76"/>
      <c r="DC3830" s="76">
        <f>+DB3830*25000</f>
        <v>0</v>
      </c>
      <c r="DD3830" s="219"/>
      <c r="DE3830" s="76"/>
      <c r="DF3830" s="166"/>
      <c r="DG3830" s="116"/>
      <c r="DH3830" s="117"/>
      <c r="DI3830" s="24"/>
      <c r="DJ3830" s="24"/>
      <c r="DK3830" s="24"/>
      <c r="DL3830" s="24"/>
      <c r="DM3830" s="24"/>
      <c r="DN3830" s="24"/>
      <c r="DO3830" s="24"/>
      <c r="DP3830" s="24"/>
      <c r="DQ3830" s="24"/>
      <c r="DR3830" s="24"/>
      <c r="DS3830" s="24"/>
      <c r="DT3830" s="24"/>
      <c r="DU3830" s="24"/>
    </row>
    <row r="3831" spans="1:125" s="8" customFormat="1" ht="96" x14ac:dyDescent="0.2">
      <c r="A3831" s="77">
        <v>41613</v>
      </c>
      <c r="B3831" s="78" t="s">
        <v>2774</v>
      </c>
      <c r="C3831" s="75" t="s">
        <v>2038</v>
      </c>
      <c r="D3831" s="75" t="s">
        <v>3088</v>
      </c>
      <c r="E3831" s="353" t="str">
        <f>VLOOKUP(B3831&amp;C3831,Divipola!$C$2:$F$1138,4,FALSE)</f>
        <v>66456</v>
      </c>
      <c r="F3831" s="87"/>
      <c r="G3831" s="87"/>
      <c r="H3831" s="87"/>
      <c r="I3831" s="87"/>
      <c r="J3831" s="87"/>
      <c r="K3831" s="87"/>
      <c r="L3831" s="87"/>
      <c r="M3831" s="87">
        <v>4</v>
      </c>
      <c r="N3831" s="87"/>
      <c r="O3831" s="87"/>
      <c r="P3831" s="87"/>
      <c r="Q3831" s="87"/>
      <c r="R3831" s="87"/>
      <c r="S3831" s="87"/>
      <c r="T3831" s="87"/>
      <c r="U3831" s="88"/>
      <c r="V3831" s="89"/>
      <c r="W3831" s="96">
        <v>0</v>
      </c>
      <c r="X3831" s="71">
        <f>CU3831</f>
        <v>0</v>
      </c>
      <c r="Y3831" s="71">
        <f>CY3831</f>
        <v>0</v>
      </c>
      <c r="Z3831" s="71">
        <f>DA3831+DC3831+DE3831</f>
        <v>0</v>
      </c>
      <c r="AA3831" s="71">
        <f>CW3831</f>
        <v>0</v>
      </c>
      <c r="AB3831" s="71"/>
      <c r="AC3831" s="71">
        <v>0</v>
      </c>
      <c r="AD3831" s="71">
        <f>W3831+X3831+Y3831+Z3831+AA3831+AB3831+AC3831</f>
        <v>0</v>
      </c>
      <c r="AE3831" s="72">
        <v>0</v>
      </c>
      <c r="AF3831" s="5"/>
      <c r="AG3831" s="6"/>
      <c r="AH3831" s="27"/>
      <c r="AI3831" s="44"/>
      <c r="AJ3831" s="26"/>
      <c r="AK3831" s="5"/>
      <c r="AL3831" s="278" t="s">
        <v>6866</v>
      </c>
      <c r="AM3831" s="76"/>
      <c r="AN3831" s="76"/>
      <c r="AO3831" s="76"/>
      <c r="AP3831" s="76"/>
      <c r="AQ3831" s="76"/>
      <c r="AR3831" s="76"/>
      <c r="AS3831" s="76"/>
      <c r="AT3831" s="76"/>
      <c r="AU3831" s="76"/>
      <c r="AV3831" s="76"/>
      <c r="AW3831" s="76"/>
      <c r="AX3831" s="76">
        <f>+AW3831*600000</f>
        <v>0</v>
      </c>
      <c r="AY3831" s="76"/>
      <c r="AZ3831" s="76">
        <f>+AY3831*70000</f>
        <v>0</v>
      </c>
      <c r="BA3831" s="76"/>
      <c r="BB3831" s="76"/>
      <c r="BC3831" s="76"/>
      <c r="BD3831" s="76">
        <f>+BC3831*30000</f>
        <v>0</v>
      </c>
      <c r="BE3831" s="76"/>
      <c r="BF3831" s="76"/>
      <c r="BG3831" s="76"/>
      <c r="BH3831" s="76"/>
      <c r="BI3831" s="76"/>
      <c r="BJ3831" s="76"/>
      <c r="BK3831" s="76"/>
      <c r="BL3831" s="76">
        <f>+BK3831*31500</f>
        <v>0</v>
      </c>
      <c r="BM3831" s="76"/>
      <c r="BN3831" s="76"/>
      <c r="BO3831" s="76"/>
      <c r="BP3831" s="76"/>
      <c r="BQ3831" s="76"/>
      <c r="BR3831" s="76"/>
      <c r="BS3831" s="76"/>
      <c r="BT3831" s="76"/>
      <c r="BU3831" s="76"/>
      <c r="BV3831" s="76"/>
      <c r="BW3831" s="76"/>
      <c r="BX3831" s="76"/>
      <c r="BY3831" s="76"/>
      <c r="BZ3831" s="76"/>
      <c r="CA3831" s="76"/>
      <c r="CB3831" s="76"/>
      <c r="CC3831" s="76"/>
      <c r="CD3831" s="76"/>
      <c r="CE3831" s="76"/>
      <c r="CF3831" s="76">
        <f>+CE3831*28000</f>
        <v>0</v>
      </c>
      <c r="CG3831" s="76"/>
      <c r="CH3831" s="76">
        <f>+CG3831*22500</f>
        <v>0</v>
      </c>
      <c r="CI3831" s="76"/>
      <c r="CJ3831" s="76">
        <f>+CI3831*26000</f>
        <v>0</v>
      </c>
      <c r="CK3831" s="76"/>
      <c r="CL3831" s="76"/>
      <c r="CM3831" s="76"/>
      <c r="CN3831" s="76">
        <f>+CM3831*22000</f>
        <v>0</v>
      </c>
      <c r="CO3831" s="76"/>
      <c r="CP3831" s="76">
        <f>+CO3831*46000</f>
        <v>0</v>
      </c>
      <c r="CQ3831" s="76"/>
      <c r="CR3831" s="76">
        <f>+CQ3831*49000</f>
        <v>0</v>
      </c>
      <c r="CS3831" s="76"/>
      <c r="CT3831" s="76"/>
      <c r="CU3831" s="56">
        <f>AN3831+AP3831+AR3831+AT3831+AV3831+AX3831+AZ3831+BB3831+BD3831+BF3831+BH3831+BJ3831+BL3831+BN3831+BP3831+BR3831+BT3831+BV3831+BX3831+BZ3831+CB3831+CD3831+CF3831+CH3831+CJ3831+CL3831+CN3831+CP3831+CR3831+CT3831</f>
        <v>0</v>
      </c>
      <c r="CV3831" s="76"/>
      <c r="CW3831" s="76">
        <f>+CV3831*1100</f>
        <v>0</v>
      </c>
      <c r="CX3831" s="76"/>
      <c r="CY3831" s="76">
        <f>+CX3831*106250</f>
        <v>0</v>
      </c>
      <c r="CZ3831" s="76"/>
      <c r="DA3831" s="76">
        <f>+CZ3831*34500</f>
        <v>0</v>
      </c>
      <c r="DB3831" s="76"/>
      <c r="DC3831" s="76">
        <f>+DB3831*25000</f>
        <v>0</v>
      </c>
      <c r="DD3831" s="219"/>
      <c r="DE3831" s="76"/>
      <c r="DF3831" s="166"/>
      <c r="DG3831" s="116"/>
      <c r="DH3831" s="117"/>
      <c r="DI3831" s="24"/>
      <c r="DJ3831" s="24"/>
      <c r="DK3831" s="24"/>
      <c r="DL3831" s="24"/>
      <c r="DM3831" s="24"/>
      <c r="DN3831" s="24"/>
      <c r="DO3831" s="24"/>
      <c r="DP3831" s="24"/>
      <c r="DQ3831" s="24"/>
      <c r="DR3831" s="24"/>
      <c r="DS3831" s="24"/>
      <c r="DT3831" s="24"/>
      <c r="DU3831" s="24"/>
    </row>
    <row r="3832" spans="1:125" s="8" customFormat="1" ht="120" x14ac:dyDescent="0.2">
      <c r="A3832" s="5">
        <v>41613</v>
      </c>
      <c r="B3832" s="84" t="s">
        <v>2774</v>
      </c>
      <c r="C3832" s="84" t="s">
        <v>284</v>
      </c>
      <c r="D3832" s="75" t="s">
        <v>3088</v>
      </c>
      <c r="E3832" s="353" t="str">
        <f>VLOOKUP(B3832&amp;C3832,Divipola!$C$2:$F$1138,4,FALSE)</f>
        <v>66170</v>
      </c>
      <c r="F3832" s="89"/>
      <c r="G3832" s="89"/>
      <c r="H3832" s="89"/>
      <c r="I3832" s="89"/>
      <c r="J3832" s="89"/>
      <c r="K3832" s="89"/>
      <c r="L3832" s="89"/>
      <c r="M3832" s="89"/>
      <c r="N3832" s="89"/>
      <c r="O3832" s="89"/>
      <c r="P3832" s="89"/>
      <c r="Q3832" s="89"/>
      <c r="R3832" s="89"/>
      <c r="S3832" s="89"/>
      <c r="T3832" s="89"/>
      <c r="U3832" s="89"/>
      <c r="V3832" s="89"/>
      <c r="W3832" s="96">
        <v>0</v>
      </c>
      <c r="X3832" s="71">
        <f>CU3832</f>
        <v>0</v>
      </c>
      <c r="Y3832" s="71">
        <f>CY3832</f>
        <v>0</v>
      </c>
      <c r="Z3832" s="71">
        <f>DA3832+DC3832+DE3832</f>
        <v>0</v>
      </c>
      <c r="AA3832" s="71">
        <f>CW3832</f>
        <v>0</v>
      </c>
      <c r="AB3832" s="71"/>
      <c r="AC3832" s="71">
        <v>0</v>
      </c>
      <c r="AD3832" s="71">
        <f>W3832+X3832+Y3832+Z3832+AA3832+AB3832+AC3832</f>
        <v>0</v>
      </c>
      <c r="AE3832" s="72">
        <v>0</v>
      </c>
      <c r="AF3832" s="5"/>
      <c r="AG3832" s="6"/>
      <c r="AH3832" s="27"/>
      <c r="AI3832" s="44"/>
      <c r="AJ3832" s="26"/>
      <c r="AK3832" s="5"/>
      <c r="AL3832" s="278" t="s">
        <v>6868</v>
      </c>
      <c r="AM3832" s="76"/>
      <c r="AN3832" s="76"/>
      <c r="AO3832" s="76"/>
      <c r="AP3832" s="76"/>
      <c r="AQ3832" s="76"/>
      <c r="AR3832" s="76"/>
      <c r="AS3832" s="76"/>
      <c r="AT3832" s="76"/>
      <c r="AU3832" s="76"/>
      <c r="AV3832" s="76"/>
      <c r="AW3832" s="76"/>
      <c r="AX3832" s="76">
        <f>+AW3832*600000</f>
        <v>0</v>
      </c>
      <c r="AY3832" s="76"/>
      <c r="AZ3832" s="76">
        <f>+AY3832*70000</f>
        <v>0</v>
      </c>
      <c r="BA3832" s="76"/>
      <c r="BB3832" s="76"/>
      <c r="BC3832" s="76"/>
      <c r="BD3832" s="76">
        <f>+BC3832*30000</f>
        <v>0</v>
      </c>
      <c r="BE3832" s="76"/>
      <c r="BF3832" s="76"/>
      <c r="BG3832" s="76"/>
      <c r="BH3832" s="76"/>
      <c r="BI3832" s="76"/>
      <c r="BJ3832" s="76"/>
      <c r="BK3832" s="76"/>
      <c r="BL3832" s="76">
        <f>+BK3832*31500</f>
        <v>0</v>
      </c>
      <c r="BM3832" s="76"/>
      <c r="BN3832" s="76"/>
      <c r="BO3832" s="76"/>
      <c r="BP3832" s="76"/>
      <c r="BQ3832" s="76"/>
      <c r="BR3832" s="76"/>
      <c r="BS3832" s="76"/>
      <c r="BT3832" s="76"/>
      <c r="BU3832" s="76"/>
      <c r="BV3832" s="76"/>
      <c r="BW3832" s="76"/>
      <c r="BX3832" s="76"/>
      <c r="BY3832" s="76"/>
      <c r="BZ3832" s="76"/>
      <c r="CA3832" s="76"/>
      <c r="CB3832" s="76"/>
      <c r="CC3832" s="76"/>
      <c r="CD3832" s="76"/>
      <c r="CE3832" s="76"/>
      <c r="CF3832" s="76">
        <f>+CE3832*28000</f>
        <v>0</v>
      </c>
      <c r="CG3832" s="76"/>
      <c r="CH3832" s="76">
        <f>+CG3832*22500</f>
        <v>0</v>
      </c>
      <c r="CI3832" s="76"/>
      <c r="CJ3832" s="76">
        <f>+CI3832*26000</f>
        <v>0</v>
      </c>
      <c r="CK3832" s="76"/>
      <c r="CL3832" s="76"/>
      <c r="CM3832" s="76"/>
      <c r="CN3832" s="76">
        <f>+CM3832*22000</f>
        <v>0</v>
      </c>
      <c r="CO3832" s="76"/>
      <c r="CP3832" s="76">
        <f>+CO3832*46000</f>
        <v>0</v>
      </c>
      <c r="CQ3832" s="76"/>
      <c r="CR3832" s="76">
        <f>+CQ3832*49000</f>
        <v>0</v>
      </c>
      <c r="CS3832" s="76"/>
      <c r="CT3832" s="76"/>
      <c r="CU3832" s="56">
        <f>AN3832+AP3832+AR3832+AT3832+AV3832+AX3832+AZ3832+BB3832+BD3832+BF3832+BH3832+BJ3832+BL3832+BN3832+BP3832+BR3832+BT3832+BV3832+BX3832+BZ3832+CB3832+CD3832+CF3832+CH3832+CJ3832+CL3832+CN3832+CP3832+CR3832+CT3832</f>
        <v>0</v>
      </c>
      <c r="CV3832" s="76"/>
      <c r="CW3832" s="76">
        <f>+CV3832*1100</f>
        <v>0</v>
      </c>
      <c r="CX3832" s="76"/>
      <c r="CY3832" s="76">
        <f>+CX3832*106250</f>
        <v>0</v>
      </c>
      <c r="CZ3832" s="76"/>
      <c r="DA3832" s="76">
        <f>+CZ3832*34500</f>
        <v>0</v>
      </c>
      <c r="DB3832" s="76"/>
      <c r="DC3832" s="76">
        <f>+DB3832*25000</f>
        <v>0</v>
      </c>
      <c r="DD3832" s="219"/>
      <c r="DE3832" s="76"/>
      <c r="DF3832" s="166"/>
      <c r="DG3832" s="116"/>
      <c r="DH3832" s="117"/>
      <c r="DI3832" s="24"/>
      <c r="DJ3832" s="24"/>
      <c r="DK3832" s="24"/>
      <c r="DL3832" s="24"/>
      <c r="DM3832" s="24"/>
      <c r="DN3832" s="24"/>
      <c r="DO3832" s="24"/>
      <c r="DP3832" s="24"/>
      <c r="DQ3832" s="24"/>
      <c r="DR3832" s="24"/>
      <c r="DS3832" s="24"/>
      <c r="DT3832" s="24"/>
      <c r="DU3832" s="24"/>
    </row>
    <row r="3833" spans="1:125" s="8" customFormat="1" ht="96" x14ac:dyDescent="0.2">
      <c r="A3833" s="77">
        <v>41613</v>
      </c>
      <c r="B3833" s="78" t="s">
        <v>3136</v>
      </c>
      <c r="C3833" s="75" t="s">
        <v>2204</v>
      </c>
      <c r="D3833" s="75" t="s">
        <v>4391</v>
      </c>
      <c r="E3833" s="353" t="str">
        <f>VLOOKUP(B3833&amp;C3833,Divipola!$C$2:$F$1138,4,FALSE)</f>
        <v>44001</v>
      </c>
      <c r="F3833" s="87"/>
      <c r="G3833" s="87"/>
      <c r="H3833" s="87">
        <v>1</v>
      </c>
      <c r="I3833" s="87"/>
      <c r="J3833" s="87"/>
      <c r="K3833" s="87"/>
      <c r="L3833" s="87"/>
      <c r="M3833" s="87"/>
      <c r="N3833" s="87"/>
      <c r="O3833" s="87"/>
      <c r="P3833" s="87"/>
      <c r="Q3833" s="87"/>
      <c r="R3833" s="87"/>
      <c r="S3833" s="87"/>
      <c r="T3833" s="87"/>
      <c r="U3833" s="88"/>
      <c r="V3833" s="89"/>
      <c r="W3833" s="96">
        <v>0</v>
      </c>
      <c r="X3833" s="71">
        <f>CU3833</f>
        <v>0</v>
      </c>
      <c r="Y3833" s="71">
        <f>CY3833</f>
        <v>0</v>
      </c>
      <c r="Z3833" s="71">
        <f>DA3833+DC3833+DE3833</f>
        <v>0</v>
      </c>
      <c r="AA3833" s="71">
        <f>CW3833</f>
        <v>0</v>
      </c>
      <c r="AB3833" s="71"/>
      <c r="AC3833" s="71">
        <v>0</v>
      </c>
      <c r="AD3833" s="71">
        <f>W3833+X3833+Y3833+Z3833+AA3833+AB3833+AC3833</f>
        <v>0</v>
      </c>
      <c r="AE3833" s="72">
        <v>0</v>
      </c>
      <c r="AF3833" s="5"/>
      <c r="AG3833" s="6"/>
      <c r="AH3833" s="27"/>
      <c r="AI3833" s="44"/>
      <c r="AJ3833" s="26"/>
      <c r="AK3833" s="5"/>
      <c r="AL3833" s="268" t="s">
        <v>6869</v>
      </c>
      <c r="AM3833" s="76"/>
      <c r="AN3833" s="76"/>
      <c r="AO3833" s="76"/>
      <c r="AP3833" s="76"/>
      <c r="AQ3833" s="76"/>
      <c r="AR3833" s="76"/>
      <c r="AS3833" s="76"/>
      <c r="AT3833" s="76"/>
      <c r="AU3833" s="76"/>
      <c r="AV3833" s="76"/>
      <c r="AW3833" s="76"/>
      <c r="AX3833" s="76">
        <f>+AW3833*600000</f>
        <v>0</v>
      </c>
      <c r="AY3833" s="76"/>
      <c r="AZ3833" s="76">
        <f>+AY3833*70000</f>
        <v>0</v>
      </c>
      <c r="BA3833" s="76"/>
      <c r="BB3833" s="76"/>
      <c r="BC3833" s="76"/>
      <c r="BD3833" s="76">
        <f>+BC3833*30000</f>
        <v>0</v>
      </c>
      <c r="BE3833" s="76"/>
      <c r="BF3833" s="76"/>
      <c r="BG3833" s="76"/>
      <c r="BH3833" s="76"/>
      <c r="BI3833" s="76"/>
      <c r="BJ3833" s="76"/>
      <c r="BK3833" s="76"/>
      <c r="BL3833" s="76">
        <f>+BK3833*31500</f>
        <v>0</v>
      </c>
      <c r="BM3833" s="76"/>
      <c r="BN3833" s="76"/>
      <c r="BO3833" s="76"/>
      <c r="BP3833" s="76"/>
      <c r="BQ3833" s="76"/>
      <c r="BR3833" s="76"/>
      <c r="BS3833" s="76"/>
      <c r="BT3833" s="76"/>
      <c r="BU3833" s="76"/>
      <c r="BV3833" s="76"/>
      <c r="BW3833" s="76"/>
      <c r="BX3833" s="76"/>
      <c r="BY3833" s="76"/>
      <c r="BZ3833" s="76"/>
      <c r="CA3833" s="76"/>
      <c r="CB3833" s="76"/>
      <c r="CC3833" s="76"/>
      <c r="CD3833" s="76"/>
      <c r="CE3833" s="76"/>
      <c r="CF3833" s="76">
        <f>+CE3833*28000</f>
        <v>0</v>
      </c>
      <c r="CG3833" s="76"/>
      <c r="CH3833" s="76">
        <f>+CG3833*22500</f>
        <v>0</v>
      </c>
      <c r="CI3833" s="76"/>
      <c r="CJ3833" s="76">
        <f>+CI3833*26000</f>
        <v>0</v>
      </c>
      <c r="CK3833" s="76"/>
      <c r="CL3833" s="76"/>
      <c r="CM3833" s="76"/>
      <c r="CN3833" s="76">
        <f>+CM3833*22000</f>
        <v>0</v>
      </c>
      <c r="CO3833" s="76"/>
      <c r="CP3833" s="76">
        <f>+CO3833*46000</f>
        <v>0</v>
      </c>
      <c r="CQ3833" s="76"/>
      <c r="CR3833" s="76">
        <f>+CQ3833*49000</f>
        <v>0</v>
      </c>
      <c r="CS3833" s="76"/>
      <c r="CT3833" s="76"/>
      <c r="CU3833" s="56">
        <f>AN3833+AP3833+AR3833+AT3833+AV3833+AX3833+AZ3833+BB3833+BD3833+BF3833+BH3833+BJ3833+BL3833+BN3833+BP3833+BR3833+BT3833+BV3833+BX3833+BZ3833+CB3833+CD3833+CF3833+CH3833+CJ3833+CL3833+CN3833+CP3833+CR3833+CT3833</f>
        <v>0</v>
      </c>
      <c r="CV3833" s="76"/>
      <c r="CW3833" s="76">
        <f>+CV3833*1100</f>
        <v>0</v>
      </c>
      <c r="CX3833" s="76"/>
      <c r="CY3833" s="76">
        <f>+CX3833*106250</f>
        <v>0</v>
      </c>
      <c r="CZ3833" s="76"/>
      <c r="DA3833" s="76">
        <f>+CZ3833*34500</f>
        <v>0</v>
      </c>
      <c r="DB3833" s="76"/>
      <c r="DC3833" s="76">
        <f>+DB3833*25000</f>
        <v>0</v>
      </c>
      <c r="DD3833" s="219"/>
      <c r="DE3833" s="76"/>
      <c r="DF3833" s="166"/>
      <c r="DG3833" s="116"/>
      <c r="DH3833" s="117"/>
      <c r="DI3833" s="24"/>
      <c r="DJ3833" s="24"/>
      <c r="DK3833" s="24"/>
      <c r="DL3833" s="24"/>
      <c r="DM3833" s="24"/>
      <c r="DN3833" s="24"/>
      <c r="DO3833" s="24"/>
      <c r="DP3833" s="24"/>
      <c r="DQ3833" s="24"/>
      <c r="DR3833" s="24"/>
      <c r="DS3833" s="24"/>
      <c r="DT3833" s="24"/>
      <c r="DU3833" s="24"/>
    </row>
    <row r="3834" spans="1:125" s="8" customFormat="1" ht="72" x14ac:dyDescent="0.2">
      <c r="A3834" s="353">
        <v>41613</v>
      </c>
      <c r="B3834" s="352" t="s">
        <v>2848</v>
      </c>
      <c r="C3834" s="354" t="s">
        <v>2755</v>
      </c>
      <c r="D3834" s="354" t="s">
        <v>2849</v>
      </c>
      <c r="E3834" s="353" t="str">
        <f>VLOOKUP(B3834&amp;C3834,Divipola!$C$2:$F$1138,4,FALSE)</f>
        <v>73001</v>
      </c>
      <c r="F3834" s="87">
        <v>1</v>
      </c>
      <c r="G3834" s="87"/>
      <c r="H3834" s="87"/>
      <c r="I3834" s="87"/>
      <c r="J3834" s="87"/>
      <c r="K3834" s="87"/>
      <c r="L3834" s="87"/>
      <c r="M3834" s="87"/>
      <c r="N3834" s="87"/>
      <c r="O3834" s="87"/>
      <c r="P3834" s="87"/>
      <c r="Q3834" s="87"/>
      <c r="R3834" s="87"/>
      <c r="S3834" s="87"/>
      <c r="T3834" s="87"/>
      <c r="U3834" s="88"/>
      <c r="V3834" s="89"/>
      <c r="W3834" s="96">
        <v>0</v>
      </c>
      <c r="X3834" s="71">
        <f>CU3834</f>
        <v>0</v>
      </c>
      <c r="Y3834" s="71">
        <f>CY3834</f>
        <v>0</v>
      </c>
      <c r="Z3834" s="71">
        <f>DA3834+DC3834+DE3834</f>
        <v>0</v>
      </c>
      <c r="AA3834" s="71">
        <f>CW3834</f>
        <v>0</v>
      </c>
      <c r="AB3834" s="71"/>
      <c r="AC3834" s="71">
        <v>0</v>
      </c>
      <c r="AD3834" s="71">
        <f>W3834+X3834+Y3834+Z3834+AA3834+AB3834+AC3834</f>
        <v>0</v>
      </c>
      <c r="AE3834" s="72">
        <v>0</v>
      </c>
      <c r="AF3834" s="5"/>
      <c r="AG3834" s="6"/>
      <c r="AH3834" s="27"/>
      <c r="AI3834" s="44"/>
      <c r="AJ3834" s="26"/>
      <c r="AK3834" s="5"/>
      <c r="AL3834" s="82" t="s">
        <v>6871</v>
      </c>
      <c r="AM3834" s="76"/>
      <c r="AN3834" s="76"/>
      <c r="AO3834" s="76"/>
      <c r="AP3834" s="76"/>
      <c r="AQ3834" s="76"/>
      <c r="AR3834" s="76"/>
      <c r="AS3834" s="76"/>
      <c r="AT3834" s="76"/>
      <c r="AU3834" s="76"/>
      <c r="AV3834" s="76"/>
      <c r="AW3834" s="76"/>
      <c r="AX3834" s="76">
        <f>+AW3834*600000</f>
        <v>0</v>
      </c>
      <c r="AY3834" s="76"/>
      <c r="AZ3834" s="76">
        <f>+AY3834*70000</f>
        <v>0</v>
      </c>
      <c r="BA3834" s="76"/>
      <c r="BB3834" s="76"/>
      <c r="BC3834" s="76"/>
      <c r="BD3834" s="76">
        <f>+BC3834*30000</f>
        <v>0</v>
      </c>
      <c r="BE3834" s="76"/>
      <c r="BF3834" s="76"/>
      <c r="BG3834" s="76"/>
      <c r="BH3834" s="76"/>
      <c r="BI3834" s="76"/>
      <c r="BJ3834" s="76"/>
      <c r="BK3834" s="76"/>
      <c r="BL3834" s="76">
        <f>+BK3834*31500</f>
        <v>0</v>
      </c>
      <c r="BM3834" s="76"/>
      <c r="BN3834" s="76"/>
      <c r="BO3834" s="76"/>
      <c r="BP3834" s="76"/>
      <c r="BQ3834" s="76"/>
      <c r="BR3834" s="76"/>
      <c r="BS3834" s="76"/>
      <c r="BT3834" s="76"/>
      <c r="BU3834" s="76"/>
      <c r="BV3834" s="76"/>
      <c r="BW3834" s="76"/>
      <c r="BX3834" s="76"/>
      <c r="BY3834" s="76"/>
      <c r="BZ3834" s="76"/>
      <c r="CA3834" s="76"/>
      <c r="CB3834" s="76"/>
      <c r="CC3834" s="76"/>
      <c r="CD3834" s="76"/>
      <c r="CE3834" s="76"/>
      <c r="CF3834" s="76">
        <f>+CE3834*28000</f>
        <v>0</v>
      </c>
      <c r="CG3834" s="76"/>
      <c r="CH3834" s="76">
        <f>+CG3834*22500</f>
        <v>0</v>
      </c>
      <c r="CI3834" s="76"/>
      <c r="CJ3834" s="76">
        <f>+CI3834*26000</f>
        <v>0</v>
      </c>
      <c r="CK3834" s="76"/>
      <c r="CL3834" s="76"/>
      <c r="CM3834" s="76"/>
      <c r="CN3834" s="76">
        <f>+CM3834*22000</f>
        <v>0</v>
      </c>
      <c r="CO3834" s="76"/>
      <c r="CP3834" s="76">
        <f>+CO3834*46000</f>
        <v>0</v>
      </c>
      <c r="CQ3834" s="76"/>
      <c r="CR3834" s="76">
        <f>+CQ3834*49000</f>
        <v>0</v>
      </c>
      <c r="CS3834" s="76"/>
      <c r="CT3834" s="76"/>
      <c r="CU3834" s="56">
        <f>AN3834+AP3834+AR3834+AT3834+AV3834+AX3834+AZ3834+BB3834+BD3834+BF3834+BH3834+BJ3834+BL3834+BN3834+BP3834+BR3834+BT3834+BV3834+BX3834+BZ3834+CB3834+CD3834+CF3834+CH3834+CJ3834+CL3834+CN3834+CP3834+CR3834+CT3834</f>
        <v>0</v>
      </c>
      <c r="CV3834" s="76"/>
      <c r="CW3834" s="76">
        <f>+CV3834*1100</f>
        <v>0</v>
      </c>
      <c r="CX3834" s="76"/>
      <c r="CY3834" s="76">
        <f>+CX3834*106250</f>
        <v>0</v>
      </c>
      <c r="CZ3834" s="76"/>
      <c r="DA3834" s="76">
        <f>+CZ3834*34500</f>
        <v>0</v>
      </c>
      <c r="DB3834" s="76"/>
      <c r="DC3834" s="76">
        <f>+DB3834*25000</f>
        <v>0</v>
      </c>
      <c r="DD3834" s="219"/>
      <c r="DE3834" s="76"/>
      <c r="DF3834" s="166"/>
      <c r="DG3834" s="116"/>
      <c r="DH3834" s="117"/>
      <c r="DI3834" s="24"/>
      <c r="DJ3834" s="24"/>
      <c r="DK3834" s="24"/>
      <c r="DL3834" s="24"/>
      <c r="DM3834" s="24"/>
      <c r="DN3834" s="24"/>
      <c r="DO3834" s="24"/>
      <c r="DP3834" s="24"/>
      <c r="DQ3834" s="24"/>
      <c r="DR3834" s="24"/>
      <c r="DS3834" s="24"/>
      <c r="DT3834" s="24"/>
      <c r="DU3834" s="24"/>
    </row>
    <row r="3835" spans="1:125" s="8" customFormat="1" ht="156" x14ac:dyDescent="0.2">
      <c r="A3835" s="353">
        <v>41613</v>
      </c>
      <c r="B3835" s="208" t="s">
        <v>2772</v>
      </c>
      <c r="C3835" s="354" t="s">
        <v>1336</v>
      </c>
      <c r="D3835" s="354" t="s">
        <v>3088</v>
      </c>
      <c r="E3835" s="353" t="str">
        <f>VLOOKUP(B3835&amp;C3835,Divipola!$C$2:$F$1138,4,FALSE)</f>
        <v>25394</v>
      </c>
      <c r="F3835" s="87"/>
      <c r="G3835" s="87"/>
      <c r="H3835" s="87"/>
      <c r="I3835" s="87"/>
      <c r="J3835" s="87"/>
      <c r="K3835" s="87"/>
      <c r="L3835" s="87"/>
      <c r="M3835" s="87">
        <v>3</v>
      </c>
      <c r="N3835" s="87"/>
      <c r="O3835" s="87"/>
      <c r="P3835" s="87">
        <v>4</v>
      </c>
      <c r="Q3835" s="87"/>
      <c r="R3835" s="87"/>
      <c r="S3835" s="87"/>
      <c r="T3835" s="87"/>
      <c r="U3835" s="88"/>
      <c r="V3835" s="89"/>
      <c r="W3835" s="96">
        <v>0</v>
      </c>
      <c r="X3835" s="71">
        <f>CU3835</f>
        <v>0</v>
      </c>
      <c r="Y3835" s="71">
        <f>CY3835</f>
        <v>0</v>
      </c>
      <c r="Z3835" s="71">
        <f>DA3835+DC3835+DE3835</f>
        <v>0</v>
      </c>
      <c r="AA3835" s="71">
        <f>CW3835</f>
        <v>0</v>
      </c>
      <c r="AB3835" s="71"/>
      <c r="AC3835" s="71">
        <v>0</v>
      </c>
      <c r="AD3835" s="71">
        <f>W3835+X3835+Y3835+Z3835+AA3835+AB3835+AC3835</f>
        <v>0</v>
      </c>
      <c r="AE3835" s="72">
        <v>0</v>
      </c>
      <c r="AF3835" s="5"/>
      <c r="AG3835" s="6"/>
      <c r="AH3835" s="27"/>
      <c r="AI3835" s="44"/>
      <c r="AJ3835" s="26"/>
      <c r="AK3835" s="5"/>
      <c r="AL3835" s="82" t="s">
        <v>6873</v>
      </c>
      <c r="AM3835" s="76"/>
      <c r="AN3835" s="76"/>
      <c r="AO3835" s="76"/>
      <c r="AP3835" s="76"/>
      <c r="AQ3835" s="76"/>
      <c r="AR3835" s="76"/>
      <c r="AS3835" s="76"/>
      <c r="AT3835" s="76"/>
      <c r="AU3835" s="76"/>
      <c r="AV3835" s="76"/>
      <c r="AW3835" s="76"/>
      <c r="AX3835" s="76">
        <f>+AW3835*600000</f>
        <v>0</v>
      </c>
      <c r="AY3835" s="76"/>
      <c r="AZ3835" s="76">
        <f>+AY3835*70000</f>
        <v>0</v>
      </c>
      <c r="BA3835" s="76"/>
      <c r="BB3835" s="76"/>
      <c r="BC3835" s="76"/>
      <c r="BD3835" s="76">
        <f>+BC3835*30000</f>
        <v>0</v>
      </c>
      <c r="BE3835" s="76"/>
      <c r="BF3835" s="76"/>
      <c r="BG3835" s="76"/>
      <c r="BH3835" s="76"/>
      <c r="BI3835" s="76"/>
      <c r="BJ3835" s="76"/>
      <c r="BK3835" s="76"/>
      <c r="BL3835" s="76">
        <f>+BK3835*31500</f>
        <v>0</v>
      </c>
      <c r="BM3835" s="76"/>
      <c r="BN3835" s="76"/>
      <c r="BO3835" s="76"/>
      <c r="BP3835" s="76"/>
      <c r="BQ3835" s="76"/>
      <c r="BR3835" s="76"/>
      <c r="BS3835" s="76"/>
      <c r="BT3835" s="76"/>
      <c r="BU3835" s="76"/>
      <c r="BV3835" s="76"/>
      <c r="BW3835" s="76"/>
      <c r="BX3835" s="76"/>
      <c r="BY3835" s="76"/>
      <c r="BZ3835" s="76"/>
      <c r="CA3835" s="76"/>
      <c r="CB3835" s="76"/>
      <c r="CC3835" s="76"/>
      <c r="CD3835" s="76"/>
      <c r="CE3835" s="76"/>
      <c r="CF3835" s="76">
        <f>+CE3835*28000</f>
        <v>0</v>
      </c>
      <c r="CG3835" s="76"/>
      <c r="CH3835" s="76">
        <f>+CG3835*22500</f>
        <v>0</v>
      </c>
      <c r="CI3835" s="76"/>
      <c r="CJ3835" s="76">
        <f>+CI3835*26000</f>
        <v>0</v>
      </c>
      <c r="CK3835" s="76"/>
      <c r="CL3835" s="76"/>
      <c r="CM3835" s="76"/>
      <c r="CN3835" s="76">
        <f>+CM3835*22000</f>
        <v>0</v>
      </c>
      <c r="CO3835" s="76"/>
      <c r="CP3835" s="76">
        <f>+CO3835*46000</f>
        <v>0</v>
      </c>
      <c r="CQ3835" s="76"/>
      <c r="CR3835" s="76">
        <f>+CQ3835*49000</f>
        <v>0</v>
      </c>
      <c r="CS3835" s="76"/>
      <c r="CT3835" s="76"/>
      <c r="CU3835" s="56">
        <f>AN3835+AP3835+AR3835+AT3835+AV3835+AX3835+AZ3835+BB3835+BD3835+BF3835+BH3835+BJ3835+BL3835+BN3835+BP3835+BR3835+BT3835+BV3835+BX3835+BZ3835+CB3835+CD3835+CF3835+CH3835+CJ3835+CL3835+CN3835+CP3835+CR3835+CT3835</f>
        <v>0</v>
      </c>
      <c r="CV3835" s="76"/>
      <c r="CW3835" s="76">
        <f>+CV3835*1100</f>
        <v>0</v>
      </c>
      <c r="CX3835" s="76"/>
      <c r="CY3835" s="76">
        <f>+CX3835*106250</f>
        <v>0</v>
      </c>
      <c r="CZ3835" s="76"/>
      <c r="DA3835" s="76">
        <f>+CZ3835*34500</f>
        <v>0</v>
      </c>
      <c r="DB3835" s="76"/>
      <c r="DC3835" s="76">
        <f>+DB3835*25000</f>
        <v>0</v>
      </c>
      <c r="DD3835" s="219"/>
      <c r="DE3835" s="76"/>
      <c r="DF3835" s="166"/>
      <c r="DG3835" s="116"/>
      <c r="DH3835" s="117"/>
      <c r="DI3835" s="24"/>
      <c r="DJ3835" s="24"/>
      <c r="DK3835" s="24"/>
      <c r="DL3835" s="24"/>
      <c r="DM3835" s="24"/>
      <c r="DN3835" s="24"/>
      <c r="DO3835" s="24"/>
      <c r="DP3835" s="24"/>
      <c r="DQ3835" s="24"/>
      <c r="DR3835" s="24"/>
      <c r="DS3835" s="24"/>
      <c r="DT3835" s="24"/>
      <c r="DU3835" s="24"/>
    </row>
    <row r="3836" spans="1:125" s="8" customFormat="1" ht="36" x14ac:dyDescent="0.2">
      <c r="A3836" s="353">
        <v>41614</v>
      </c>
      <c r="B3836" s="208" t="s">
        <v>2661</v>
      </c>
      <c r="C3836" s="354" t="s">
        <v>2150</v>
      </c>
      <c r="D3836" s="354" t="s">
        <v>2846</v>
      </c>
      <c r="E3836" s="353" t="str">
        <f>VLOOKUP(B3836&amp;C3836,Divipola!$C$2:$F$1138,4,FALSE)</f>
        <v>41016</v>
      </c>
      <c r="F3836" s="87"/>
      <c r="G3836" s="87"/>
      <c r="H3836" s="87"/>
      <c r="I3836" s="87"/>
      <c r="J3836" s="87"/>
      <c r="K3836" s="87"/>
      <c r="L3836" s="87"/>
      <c r="M3836" s="87"/>
      <c r="N3836" s="87"/>
      <c r="O3836" s="87"/>
      <c r="P3836" s="87"/>
      <c r="Q3836" s="87"/>
      <c r="R3836" s="87"/>
      <c r="S3836" s="87"/>
      <c r="T3836" s="87"/>
      <c r="U3836" s="88">
        <v>2</v>
      </c>
      <c r="V3836" s="89"/>
      <c r="W3836" s="96">
        <v>0</v>
      </c>
      <c r="X3836" s="71">
        <f>CU3836</f>
        <v>0</v>
      </c>
      <c r="Y3836" s="71">
        <f>CY3836</f>
        <v>0</v>
      </c>
      <c r="Z3836" s="71">
        <f>DA3836+DC3836+DE3836</f>
        <v>0</v>
      </c>
      <c r="AA3836" s="71">
        <f>CW3836</f>
        <v>0</v>
      </c>
      <c r="AB3836" s="71"/>
      <c r="AC3836" s="71">
        <v>0</v>
      </c>
      <c r="AD3836" s="71">
        <f>W3836+X3836+Y3836+Z3836+AA3836+AB3836+AC3836</f>
        <v>0</v>
      </c>
      <c r="AE3836" s="72">
        <v>0</v>
      </c>
      <c r="AF3836" s="5"/>
      <c r="AG3836" s="6"/>
      <c r="AH3836" s="27"/>
      <c r="AI3836" s="44"/>
      <c r="AJ3836" s="26"/>
      <c r="AK3836" s="5"/>
      <c r="AL3836" s="82" t="s">
        <v>6874</v>
      </c>
      <c r="AM3836" s="76"/>
      <c r="AN3836" s="76"/>
      <c r="AO3836" s="76"/>
      <c r="AP3836" s="76"/>
      <c r="AQ3836" s="76"/>
      <c r="AR3836" s="76"/>
      <c r="AS3836" s="76"/>
      <c r="AT3836" s="76"/>
      <c r="AU3836" s="76"/>
      <c r="AV3836" s="76"/>
      <c r="AW3836" s="76"/>
      <c r="AX3836" s="76">
        <f>+AW3836*600000</f>
        <v>0</v>
      </c>
      <c r="AY3836" s="76"/>
      <c r="AZ3836" s="76">
        <f>+AY3836*70000</f>
        <v>0</v>
      </c>
      <c r="BA3836" s="76"/>
      <c r="BB3836" s="76"/>
      <c r="BC3836" s="76"/>
      <c r="BD3836" s="76">
        <f>+BC3836*30000</f>
        <v>0</v>
      </c>
      <c r="BE3836" s="76"/>
      <c r="BF3836" s="76"/>
      <c r="BG3836" s="76"/>
      <c r="BH3836" s="76"/>
      <c r="BI3836" s="76"/>
      <c r="BJ3836" s="76"/>
      <c r="BK3836" s="76"/>
      <c r="BL3836" s="76">
        <f>+BK3836*31500</f>
        <v>0</v>
      </c>
      <c r="BM3836" s="76"/>
      <c r="BN3836" s="76"/>
      <c r="BO3836" s="76"/>
      <c r="BP3836" s="76"/>
      <c r="BQ3836" s="76"/>
      <c r="BR3836" s="76"/>
      <c r="BS3836" s="76"/>
      <c r="BT3836" s="76"/>
      <c r="BU3836" s="76"/>
      <c r="BV3836" s="76"/>
      <c r="BW3836" s="76"/>
      <c r="BX3836" s="76"/>
      <c r="BY3836" s="76"/>
      <c r="BZ3836" s="76"/>
      <c r="CA3836" s="76"/>
      <c r="CB3836" s="76"/>
      <c r="CC3836" s="76"/>
      <c r="CD3836" s="76"/>
      <c r="CE3836" s="76"/>
      <c r="CF3836" s="76">
        <f>+CE3836*28000</f>
        <v>0</v>
      </c>
      <c r="CG3836" s="76"/>
      <c r="CH3836" s="76">
        <f>+CG3836*22500</f>
        <v>0</v>
      </c>
      <c r="CI3836" s="76"/>
      <c r="CJ3836" s="76">
        <f>+CI3836*26000</f>
        <v>0</v>
      </c>
      <c r="CK3836" s="76"/>
      <c r="CL3836" s="76"/>
      <c r="CM3836" s="76"/>
      <c r="CN3836" s="76">
        <f>+CM3836*22000</f>
        <v>0</v>
      </c>
      <c r="CO3836" s="76"/>
      <c r="CP3836" s="76">
        <f>+CO3836*46000</f>
        <v>0</v>
      </c>
      <c r="CQ3836" s="76"/>
      <c r="CR3836" s="76">
        <f>+CQ3836*49000</f>
        <v>0</v>
      </c>
      <c r="CS3836" s="76"/>
      <c r="CT3836" s="76"/>
      <c r="CU3836" s="56">
        <f>AN3836+AP3836+AR3836+AT3836+AV3836+AX3836+AZ3836+BB3836+BD3836+BF3836+BH3836+BJ3836+BL3836+BN3836+BP3836+BR3836+BT3836+BV3836+BX3836+BZ3836+CB3836+CD3836+CF3836+CH3836+CJ3836+CL3836+CN3836+CP3836+CR3836+CT3836</f>
        <v>0</v>
      </c>
      <c r="CV3836" s="76"/>
      <c r="CW3836" s="76">
        <f>+CV3836*1100</f>
        <v>0</v>
      </c>
      <c r="CX3836" s="76"/>
      <c r="CY3836" s="76">
        <f>+CX3836*106250</f>
        <v>0</v>
      </c>
      <c r="CZ3836" s="76"/>
      <c r="DA3836" s="76">
        <f>+CZ3836*34500</f>
        <v>0</v>
      </c>
      <c r="DB3836" s="76"/>
      <c r="DC3836" s="76">
        <f>+DB3836*25000</f>
        <v>0</v>
      </c>
      <c r="DD3836" s="219"/>
      <c r="DE3836" s="76"/>
      <c r="DF3836" s="166"/>
      <c r="DG3836" s="116"/>
      <c r="DH3836" s="117"/>
      <c r="DI3836" s="24"/>
      <c r="DJ3836" s="24"/>
      <c r="DK3836" s="24"/>
      <c r="DL3836" s="24"/>
      <c r="DM3836" s="24"/>
      <c r="DN3836" s="24"/>
      <c r="DO3836" s="24"/>
      <c r="DP3836" s="24"/>
      <c r="DQ3836" s="24"/>
      <c r="DR3836" s="24"/>
      <c r="DS3836" s="24"/>
      <c r="DT3836" s="24"/>
      <c r="DU3836" s="24"/>
    </row>
    <row r="3837" spans="1:125" s="8" customFormat="1" ht="216" x14ac:dyDescent="0.2">
      <c r="A3837" s="353">
        <v>41614</v>
      </c>
      <c r="B3837" s="208" t="s">
        <v>2772</v>
      </c>
      <c r="C3837" s="354" t="s">
        <v>2190</v>
      </c>
      <c r="D3837" s="354" t="s">
        <v>3088</v>
      </c>
      <c r="E3837" s="353" t="str">
        <f>VLOOKUP(B3837&amp;C3837,Divipola!$C$2:$F$1138,4,FALSE)</f>
        <v>25148</v>
      </c>
      <c r="F3837" s="87"/>
      <c r="G3837" s="87"/>
      <c r="H3837" s="93"/>
      <c r="I3837" s="93">
        <v>50</v>
      </c>
      <c r="J3837" s="93">
        <v>10</v>
      </c>
      <c r="K3837" s="93"/>
      <c r="L3837" s="93">
        <v>10</v>
      </c>
      <c r="M3837" s="87"/>
      <c r="N3837" s="87"/>
      <c r="O3837" s="87"/>
      <c r="P3837" s="87"/>
      <c r="Q3837" s="87"/>
      <c r="R3837" s="87"/>
      <c r="S3837" s="87"/>
      <c r="T3837" s="87"/>
      <c r="U3837" s="88"/>
      <c r="V3837" s="89"/>
      <c r="W3837" s="96">
        <v>0</v>
      </c>
      <c r="X3837" s="71">
        <f>CU3837</f>
        <v>0</v>
      </c>
      <c r="Y3837" s="71">
        <f>CY3837</f>
        <v>0</v>
      </c>
      <c r="Z3837" s="71">
        <f>DA3837+DC3837+DE3837</f>
        <v>0</v>
      </c>
      <c r="AA3837" s="71">
        <f>CW3837</f>
        <v>0</v>
      </c>
      <c r="AB3837" s="71"/>
      <c r="AC3837" s="71">
        <v>0</v>
      </c>
      <c r="AD3837" s="71">
        <f>W3837+X3837+Y3837+Z3837+AA3837+AB3837+AC3837</f>
        <v>0</v>
      </c>
      <c r="AE3837" s="72">
        <v>0</v>
      </c>
      <c r="AF3837" s="5"/>
      <c r="AG3837" s="6"/>
      <c r="AH3837" s="27"/>
      <c r="AI3837" s="44"/>
      <c r="AJ3837" s="26"/>
      <c r="AK3837" s="5"/>
      <c r="AL3837" s="82" t="s">
        <v>6885</v>
      </c>
      <c r="AM3837" s="76"/>
      <c r="AN3837" s="76"/>
      <c r="AO3837" s="76"/>
      <c r="AP3837" s="76"/>
      <c r="AQ3837" s="76"/>
      <c r="AR3837" s="76"/>
      <c r="AS3837" s="76"/>
      <c r="AT3837" s="76"/>
      <c r="AU3837" s="76"/>
      <c r="AV3837" s="76"/>
      <c r="AW3837" s="76"/>
      <c r="AX3837" s="76">
        <f>+AW3837*600000</f>
        <v>0</v>
      </c>
      <c r="AY3837" s="76"/>
      <c r="AZ3837" s="76">
        <f>+AY3837*70000</f>
        <v>0</v>
      </c>
      <c r="BA3837" s="76"/>
      <c r="BB3837" s="76"/>
      <c r="BC3837" s="76"/>
      <c r="BD3837" s="76">
        <f>+BC3837*30000</f>
        <v>0</v>
      </c>
      <c r="BE3837" s="76"/>
      <c r="BF3837" s="76"/>
      <c r="BG3837" s="76"/>
      <c r="BH3837" s="76"/>
      <c r="BI3837" s="76"/>
      <c r="BJ3837" s="76"/>
      <c r="BK3837" s="76"/>
      <c r="BL3837" s="76">
        <f>+BK3837*31500</f>
        <v>0</v>
      </c>
      <c r="BM3837" s="76"/>
      <c r="BN3837" s="76"/>
      <c r="BO3837" s="76"/>
      <c r="BP3837" s="76"/>
      <c r="BQ3837" s="76"/>
      <c r="BR3837" s="76"/>
      <c r="BS3837" s="76"/>
      <c r="BT3837" s="76"/>
      <c r="BU3837" s="76"/>
      <c r="BV3837" s="76"/>
      <c r="BW3837" s="76"/>
      <c r="BX3837" s="76"/>
      <c r="BY3837" s="76"/>
      <c r="BZ3837" s="76"/>
      <c r="CA3837" s="76"/>
      <c r="CB3837" s="76"/>
      <c r="CC3837" s="76"/>
      <c r="CD3837" s="76"/>
      <c r="CE3837" s="76"/>
      <c r="CF3837" s="76">
        <f>+CE3837*28000</f>
        <v>0</v>
      </c>
      <c r="CG3837" s="76"/>
      <c r="CH3837" s="76">
        <f>+CG3837*22500</f>
        <v>0</v>
      </c>
      <c r="CI3837" s="76"/>
      <c r="CJ3837" s="76">
        <f>+CI3837*26000</f>
        <v>0</v>
      </c>
      <c r="CK3837" s="76"/>
      <c r="CL3837" s="76"/>
      <c r="CM3837" s="76"/>
      <c r="CN3837" s="76">
        <f>+CM3837*22000</f>
        <v>0</v>
      </c>
      <c r="CO3837" s="76"/>
      <c r="CP3837" s="76">
        <f>+CO3837*46000</f>
        <v>0</v>
      </c>
      <c r="CQ3837" s="76"/>
      <c r="CR3837" s="76">
        <f>+CQ3837*49000</f>
        <v>0</v>
      </c>
      <c r="CS3837" s="76"/>
      <c r="CT3837" s="76"/>
      <c r="CU3837" s="56">
        <f>AN3837+AP3837+AR3837+AT3837+AV3837+AX3837+AZ3837+BB3837+BD3837+BF3837+BH3837+BJ3837+BL3837+BN3837+BP3837+BR3837+BT3837+BV3837+BX3837+BZ3837+CB3837+CD3837+CF3837+CH3837+CJ3837+CL3837+CN3837+CP3837+CR3837+CT3837</f>
        <v>0</v>
      </c>
      <c r="CV3837" s="76"/>
      <c r="CW3837" s="76">
        <f>+CV3837*1100</f>
        <v>0</v>
      </c>
      <c r="CX3837" s="76"/>
      <c r="CY3837" s="76">
        <f>+CX3837*106250</f>
        <v>0</v>
      </c>
      <c r="CZ3837" s="76"/>
      <c r="DA3837" s="76">
        <f>+CZ3837*34500</f>
        <v>0</v>
      </c>
      <c r="DB3837" s="76"/>
      <c r="DC3837" s="76">
        <f>+DB3837*25000</f>
        <v>0</v>
      </c>
      <c r="DD3837" s="219"/>
      <c r="DE3837" s="76"/>
      <c r="DF3837" s="166"/>
      <c r="DG3837" s="116"/>
      <c r="DH3837" s="117"/>
      <c r="DI3837" s="24"/>
      <c r="DJ3837" s="24"/>
      <c r="DK3837" s="24"/>
      <c r="DL3837" s="24"/>
      <c r="DM3837" s="24"/>
      <c r="DN3837" s="24"/>
      <c r="DO3837" s="24"/>
      <c r="DP3837" s="24"/>
      <c r="DQ3837" s="24"/>
      <c r="DR3837" s="24"/>
      <c r="DS3837" s="24"/>
      <c r="DT3837" s="24"/>
      <c r="DU3837" s="24"/>
    </row>
    <row r="3838" spans="1:125" s="8" customFormat="1" ht="48" x14ac:dyDescent="0.2">
      <c r="A3838" s="77">
        <v>41614</v>
      </c>
      <c r="B3838" s="352" t="s">
        <v>2661</v>
      </c>
      <c r="C3838" s="354" t="s">
        <v>2669</v>
      </c>
      <c r="D3838" s="354" t="s">
        <v>4391</v>
      </c>
      <c r="E3838" s="353" t="str">
        <f>VLOOKUP(B3838&amp;C3838,Divipola!$C$2:$F$1138,4,FALSE)</f>
        <v>41885</v>
      </c>
      <c r="F3838" s="87">
        <v>1</v>
      </c>
      <c r="G3838" s="87"/>
      <c r="H3838" s="87"/>
      <c r="I3838" s="87">
        <v>1</v>
      </c>
      <c r="J3838" s="87"/>
      <c r="K3838" s="87"/>
      <c r="L3838" s="87"/>
      <c r="M3838" s="87"/>
      <c r="N3838" s="87"/>
      <c r="O3838" s="87"/>
      <c r="P3838" s="87"/>
      <c r="Q3838" s="87"/>
      <c r="R3838" s="87"/>
      <c r="S3838" s="87"/>
      <c r="T3838" s="87"/>
      <c r="U3838" s="88"/>
      <c r="V3838" s="89"/>
      <c r="W3838" s="96">
        <v>0</v>
      </c>
      <c r="X3838" s="71">
        <f>CU3838</f>
        <v>0</v>
      </c>
      <c r="Y3838" s="71">
        <f>CY3838</f>
        <v>0</v>
      </c>
      <c r="Z3838" s="71">
        <f>DA3838+DC3838+DE3838</f>
        <v>0</v>
      </c>
      <c r="AA3838" s="71">
        <f>CW3838</f>
        <v>0</v>
      </c>
      <c r="AB3838" s="71"/>
      <c r="AC3838" s="71">
        <v>0</v>
      </c>
      <c r="AD3838" s="71">
        <f>W3838+X3838+Y3838+Z3838+AA3838+AB3838+AC3838</f>
        <v>0</v>
      </c>
      <c r="AE3838" s="72">
        <v>0</v>
      </c>
      <c r="AF3838" s="5"/>
      <c r="AG3838" s="6"/>
      <c r="AH3838" s="27"/>
      <c r="AI3838" s="44"/>
      <c r="AJ3838" s="26"/>
      <c r="AK3838" s="5"/>
      <c r="AL3838" s="82" t="s">
        <v>6877</v>
      </c>
      <c r="AM3838" s="76"/>
      <c r="AN3838" s="76"/>
      <c r="AO3838" s="76"/>
      <c r="AP3838" s="76"/>
      <c r="AQ3838" s="76"/>
      <c r="AR3838" s="76"/>
      <c r="AS3838" s="76"/>
      <c r="AT3838" s="76"/>
      <c r="AU3838" s="76"/>
      <c r="AV3838" s="76"/>
      <c r="AW3838" s="76"/>
      <c r="AX3838" s="76">
        <f>+AW3838*600000</f>
        <v>0</v>
      </c>
      <c r="AY3838" s="76"/>
      <c r="AZ3838" s="76">
        <f>+AY3838*70000</f>
        <v>0</v>
      </c>
      <c r="BA3838" s="76"/>
      <c r="BB3838" s="76"/>
      <c r="BC3838" s="76"/>
      <c r="BD3838" s="76">
        <f>+BC3838*30000</f>
        <v>0</v>
      </c>
      <c r="BE3838" s="76"/>
      <c r="BF3838" s="76"/>
      <c r="BG3838" s="76"/>
      <c r="BH3838" s="76"/>
      <c r="BI3838" s="76"/>
      <c r="BJ3838" s="76"/>
      <c r="BK3838" s="76"/>
      <c r="BL3838" s="76">
        <f>+BK3838*31500</f>
        <v>0</v>
      </c>
      <c r="BM3838" s="76"/>
      <c r="BN3838" s="76"/>
      <c r="BO3838" s="76"/>
      <c r="BP3838" s="76"/>
      <c r="BQ3838" s="76"/>
      <c r="BR3838" s="76"/>
      <c r="BS3838" s="76"/>
      <c r="BT3838" s="76"/>
      <c r="BU3838" s="76"/>
      <c r="BV3838" s="76"/>
      <c r="BW3838" s="76"/>
      <c r="BX3838" s="76"/>
      <c r="BY3838" s="76"/>
      <c r="BZ3838" s="76"/>
      <c r="CA3838" s="76"/>
      <c r="CB3838" s="76"/>
      <c r="CC3838" s="76"/>
      <c r="CD3838" s="76"/>
      <c r="CE3838" s="76"/>
      <c r="CF3838" s="76">
        <f>+CE3838*28000</f>
        <v>0</v>
      </c>
      <c r="CG3838" s="76"/>
      <c r="CH3838" s="76">
        <f>+CG3838*22500</f>
        <v>0</v>
      </c>
      <c r="CI3838" s="76"/>
      <c r="CJ3838" s="76">
        <f>+CI3838*26000</f>
        <v>0</v>
      </c>
      <c r="CK3838" s="76"/>
      <c r="CL3838" s="76"/>
      <c r="CM3838" s="76"/>
      <c r="CN3838" s="76">
        <f>+CM3838*22000</f>
        <v>0</v>
      </c>
      <c r="CO3838" s="76"/>
      <c r="CP3838" s="76">
        <f>+CO3838*46000</f>
        <v>0</v>
      </c>
      <c r="CQ3838" s="76"/>
      <c r="CR3838" s="76">
        <f>+CQ3838*49000</f>
        <v>0</v>
      </c>
      <c r="CS3838" s="76"/>
      <c r="CT3838" s="76"/>
      <c r="CU3838" s="56">
        <f>AN3838+AP3838+AR3838+AT3838+AV3838+AX3838+AZ3838+BB3838+BD3838+BF3838+BH3838+BJ3838+BL3838+BN3838+BP3838+BR3838+BT3838+BV3838+BX3838+BZ3838+CB3838+CD3838+CF3838+CH3838+CJ3838+CL3838+CN3838+CP3838+CR3838+CT3838</f>
        <v>0</v>
      </c>
      <c r="CV3838" s="76"/>
      <c r="CW3838" s="76">
        <f>+CV3838*1100</f>
        <v>0</v>
      </c>
      <c r="CX3838" s="76"/>
      <c r="CY3838" s="76">
        <f>+CX3838*106250</f>
        <v>0</v>
      </c>
      <c r="CZ3838" s="76"/>
      <c r="DA3838" s="76">
        <f>+CZ3838*34500</f>
        <v>0</v>
      </c>
      <c r="DB3838" s="76"/>
      <c r="DC3838" s="76">
        <f>+DB3838*25000</f>
        <v>0</v>
      </c>
      <c r="DD3838" s="219"/>
      <c r="DE3838" s="76"/>
      <c r="DF3838" s="166"/>
      <c r="DG3838" s="116"/>
      <c r="DH3838" s="117"/>
      <c r="DI3838" s="24"/>
      <c r="DJ3838" s="24"/>
      <c r="DK3838" s="24"/>
      <c r="DL3838" s="24"/>
      <c r="DM3838" s="24"/>
      <c r="DN3838" s="24"/>
      <c r="DO3838" s="24"/>
      <c r="DP3838" s="24"/>
      <c r="DQ3838" s="24"/>
      <c r="DR3838" s="24"/>
      <c r="DS3838" s="24"/>
      <c r="DT3838" s="24"/>
      <c r="DU3838" s="24"/>
    </row>
    <row r="3839" spans="1:125" s="8" customFormat="1" ht="48" x14ac:dyDescent="0.2">
      <c r="A3839" s="77">
        <v>41614</v>
      </c>
      <c r="B3839" s="352" t="s">
        <v>2661</v>
      </c>
      <c r="C3839" s="354" t="s">
        <v>2005</v>
      </c>
      <c r="D3839" s="354" t="s">
        <v>2846</v>
      </c>
      <c r="E3839" s="353" t="str">
        <f>VLOOKUP(B3839&amp;C3839,Divipola!$C$2:$F$1138,4,FALSE)</f>
        <v>41801</v>
      </c>
      <c r="F3839" s="87"/>
      <c r="G3839" s="87"/>
      <c r="H3839" s="87"/>
      <c r="I3839" s="87"/>
      <c r="J3839" s="87"/>
      <c r="K3839" s="87"/>
      <c r="L3839" s="87"/>
      <c r="M3839" s="87"/>
      <c r="N3839" s="87"/>
      <c r="O3839" s="87"/>
      <c r="P3839" s="87"/>
      <c r="Q3839" s="87"/>
      <c r="R3839" s="87"/>
      <c r="S3839" s="87"/>
      <c r="T3839" s="87"/>
      <c r="U3839" s="88">
        <v>5</v>
      </c>
      <c r="V3839" s="89"/>
      <c r="W3839" s="96">
        <v>0</v>
      </c>
      <c r="X3839" s="71">
        <f>CU3839</f>
        <v>0</v>
      </c>
      <c r="Y3839" s="71">
        <f>CY3839</f>
        <v>0</v>
      </c>
      <c r="Z3839" s="71">
        <f>DA3839+DC3839+DE3839</f>
        <v>0</v>
      </c>
      <c r="AA3839" s="71">
        <f>CW3839</f>
        <v>0</v>
      </c>
      <c r="AB3839" s="71"/>
      <c r="AC3839" s="71">
        <v>0</v>
      </c>
      <c r="AD3839" s="71">
        <f>W3839+X3839+Y3839+Z3839+AA3839+AB3839+AC3839</f>
        <v>0</v>
      </c>
      <c r="AE3839" s="72">
        <v>0</v>
      </c>
      <c r="AF3839" s="5"/>
      <c r="AG3839" s="6"/>
      <c r="AH3839" s="27"/>
      <c r="AI3839" s="44"/>
      <c r="AJ3839" s="26"/>
      <c r="AK3839" s="5"/>
      <c r="AL3839" s="82" t="s">
        <v>6878</v>
      </c>
      <c r="AM3839" s="76"/>
      <c r="AN3839" s="76"/>
      <c r="AO3839" s="76"/>
      <c r="AP3839" s="76"/>
      <c r="AQ3839" s="76"/>
      <c r="AR3839" s="76"/>
      <c r="AS3839" s="76"/>
      <c r="AT3839" s="76"/>
      <c r="AU3839" s="76"/>
      <c r="AV3839" s="76"/>
      <c r="AW3839" s="76"/>
      <c r="AX3839" s="76">
        <f>+AW3839*600000</f>
        <v>0</v>
      </c>
      <c r="AY3839" s="76"/>
      <c r="AZ3839" s="76">
        <f>+AY3839*70000</f>
        <v>0</v>
      </c>
      <c r="BA3839" s="76"/>
      <c r="BB3839" s="76"/>
      <c r="BC3839" s="76"/>
      <c r="BD3839" s="76">
        <f>+BC3839*30000</f>
        <v>0</v>
      </c>
      <c r="BE3839" s="76"/>
      <c r="BF3839" s="76"/>
      <c r="BG3839" s="76"/>
      <c r="BH3839" s="76"/>
      <c r="BI3839" s="76"/>
      <c r="BJ3839" s="76"/>
      <c r="BK3839" s="76"/>
      <c r="BL3839" s="76">
        <f>+BK3839*31500</f>
        <v>0</v>
      </c>
      <c r="BM3839" s="76"/>
      <c r="BN3839" s="76"/>
      <c r="BO3839" s="76"/>
      <c r="BP3839" s="76"/>
      <c r="BQ3839" s="76"/>
      <c r="BR3839" s="76"/>
      <c r="BS3839" s="76"/>
      <c r="BT3839" s="76"/>
      <c r="BU3839" s="76"/>
      <c r="BV3839" s="76"/>
      <c r="BW3839" s="76"/>
      <c r="BX3839" s="76"/>
      <c r="BY3839" s="76"/>
      <c r="BZ3839" s="76"/>
      <c r="CA3839" s="76"/>
      <c r="CB3839" s="76"/>
      <c r="CC3839" s="76"/>
      <c r="CD3839" s="76"/>
      <c r="CE3839" s="76"/>
      <c r="CF3839" s="76">
        <f>+CE3839*28000</f>
        <v>0</v>
      </c>
      <c r="CG3839" s="76"/>
      <c r="CH3839" s="76">
        <f>+CG3839*22500</f>
        <v>0</v>
      </c>
      <c r="CI3839" s="76"/>
      <c r="CJ3839" s="76">
        <f>+CI3839*26000</f>
        <v>0</v>
      </c>
      <c r="CK3839" s="76"/>
      <c r="CL3839" s="76"/>
      <c r="CM3839" s="76"/>
      <c r="CN3839" s="76">
        <f>+CM3839*22000</f>
        <v>0</v>
      </c>
      <c r="CO3839" s="76"/>
      <c r="CP3839" s="76">
        <f>+CO3839*46000</f>
        <v>0</v>
      </c>
      <c r="CQ3839" s="76"/>
      <c r="CR3839" s="76">
        <f>+CQ3839*49000</f>
        <v>0</v>
      </c>
      <c r="CS3839" s="76"/>
      <c r="CT3839" s="76"/>
      <c r="CU3839" s="56">
        <f>AN3839+AP3839+AR3839+AT3839+AV3839+AX3839+AZ3839+BB3839+BD3839+BF3839+BH3839+BJ3839+BL3839+BN3839+BP3839+BR3839+BT3839+BV3839+BX3839+BZ3839+CB3839+CD3839+CF3839+CH3839+CJ3839+CL3839+CN3839+CP3839+CR3839+CT3839</f>
        <v>0</v>
      </c>
      <c r="CV3839" s="76"/>
      <c r="CW3839" s="76">
        <f>+CV3839*1100</f>
        <v>0</v>
      </c>
      <c r="CX3839" s="76"/>
      <c r="CY3839" s="76">
        <f>+CX3839*106250</f>
        <v>0</v>
      </c>
      <c r="CZ3839" s="76"/>
      <c r="DA3839" s="76">
        <f>+CZ3839*34500</f>
        <v>0</v>
      </c>
      <c r="DB3839" s="76"/>
      <c r="DC3839" s="76">
        <f>+DB3839*25000</f>
        <v>0</v>
      </c>
      <c r="DD3839" s="219"/>
      <c r="DE3839" s="76"/>
      <c r="DF3839" s="166"/>
      <c r="DG3839" s="116"/>
      <c r="DH3839" s="117"/>
      <c r="DI3839" s="24"/>
      <c r="DJ3839" s="24"/>
      <c r="DK3839" s="24"/>
      <c r="DL3839" s="24"/>
      <c r="DM3839" s="24"/>
      <c r="DN3839" s="24"/>
      <c r="DO3839" s="24"/>
      <c r="DP3839" s="24"/>
      <c r="DQ3839" s="24"/>
      <c r="DR3839" s="24"/>
      <c r="DS3839" s="24"/>
      <c r="DT3839" s="24"/>
      <c r="DU3839" s="24"/>
    </row>
    <row r="3840" spans="1:125" s="8" customFormat="1" ht="36" x14ac:dyDescent="0.2">
      <c r="A3840" s="77">
        <v>41614</v>
      </c>
      <c r="B3840" s="352" t="s">
        <v>2774</v>
      </c>
      <c r="C3840" s="354" t="s">
        <v>2216</v>
      </c>
      <c r="D3840" s="354" t="s">
        <v>2882</v>
      </c>
      <c r="E3840" s="353" t="str">
        <f>VLOOKUP(B3840&amp;C3840,Divipola!$C$2:$F$1138,4,FALSE)</f>
        <v>66075</v>
      </c>
      <c r="F3840" s="87"/>
      <c r="G3840" s="87"/>
      <c r="H3840" s="87"/>
      <c r="I3840" s="87">
        <v>6</v>
      </c>
      <c r="J3840" s="87">
        <v>2</v>
      </c>
      <c r="K3840" s="87"/>
      <c r="L3840" s="87">
        <v>2</v>
      </c>
      <c r="M3840" s="87"/>
      <c r="N3840" s="87"/>
      <c r="O3840" s="87"/>
      <c r="P3840" s="87"/>
      <c r="Q3840" s="87"/>
      <c r="R3840" s="87"/>
      <c r="S3840" s="87"/>
      <c r="T3840" s="87"/>
      <c r="U3840" s="88"/>
      <c r="V3840" s="89"/>
      <c r="W3840" s="96">
        <v>0</v>
      </c>
      <c r="X3840" s="71">
        <f>CU3840</f>
        <v>0</v>
      </c>
      <c r="Y3840" s="71">
        <f>CY3840</f>
        <v>0</v>
      </c>
      <c r="Z3840" s="71">
        <f>DA3840+DC3840+DE3840</f>
        <v>0</v>
      </c>
      <c r="AA3840" s="71">
        <f>CW3840</f>
        <v>0</v>
      </c>
      <c r="AB3840" s="71"/>
      <c r="AC3840" s="71">
        <v>0</v>
      </c>
      <c r="AD3840" s="71">
        <f>W3840+X3840+Y3840+Z3840+AA3840+AB3840+AC3840</f>
        <v>0</v>
      </c>
      <c r="AE3840" s="72">
        <v>0</v>
      </c>
      <c r="AF3840" s="5"/>
      <c r="AG3840" s="6"/>
      <c r="AH3840" s="27"/>
      <c r="AI3840" s="44"/>
      <c r="AJ3840" s="26"/>
      <c r="AK3840" s="5"/>
      <c r="AL3840" s="82" t="s">
        <v>6879</v>
      </c>
      <c r="AM3840" s="76"/>
      <c r="AN3840" s="76"/>
      <c r="AO3840" s="76"/>
      <c r="AP3840" s="76"/>
      <c r="AQ3840" s="76"/>
      <c r="AR3840" s="76"/>
      <c r="AS3840" s="76"/>
      <c r="AT3840" s="76"/>
      <c r="AU3840" s="76"/>
      <c r="AV3840" s="76"/>
      <c r="AW3840" s="76"/>
      <c r="AX3840" s="76">
        <f>+AW3840*600000</f>
        <v>0</v>
      </c>
      <c r="AY3840" s="76"/>
      <c r="AZ3840" s="76">
        <f>+AY3840*70000</f>
        <v>0</v>
      </c>
      <c r="BA3840" s="76"/>
      <c r="BB3840" s="76"/>
      <c r="BC3840" s="76"/>
      <c r="BD3840" s="76">
        <f>+BC3840*30000</f>
        <v>0</v>
      </c>
      <c r="BE3840" s="76"/>
      <c r="BF3840" s="76"/>
      <c r="BG3840" s="76"/>
      <c r="BH3840" s="76"/>
      <c r="BI3840" s="76"/>
      <c r="BJ3840" s="76"/>
      <c r="BK3840" s="76"/>
      <c r="BL3840" s="76">
        <f>+BK3840*31500</f>
        <v>0</v>
      </c>
      <c r="BM3840" s="76"/>
      <c r="BN3840" s="76"/>
      <c r="BO3840" s="76"/>
      <c r="BP3840" s="76"/>
      <c r="BQ3840" s="76"/>
      <c r="BR3840" s="76"/>
      <c r="BS3840" s="76"/>
      <c r="BT3840" s="76"/>
      <c r="BU3840" s="76"/>
      <c r="BV3840" s="76"/>
      <c r="BW3840" s="76"/>
      <c r="BX3840" s="76"/>
      <c r="BY3840" s="76"/>
      <c r="BZ3840" s="76"/>
      <c r="CA3840" s="76"/>
      <c r="CB3840" s="76"/>
      <c r="CC3840" s="76"/>
      <c r="CD3840" s="76"/>
      <c r="CE3840" s="76"/>
      <c r="CF3840" s="76">
        <f>+CE3840*28000</f>
        <v>0</v>
      </c>
      <c r="CG3840" s="76"/>
      <c r="CH3840" s="76">
        <f>+CG3840*22500</f>
        <v>0</v>
      </c>
      <c r="CI3840" s="76"/>
      <c r="CJ3840" s="76">
        <f>+CI3840*26000</f>
        <v>0</v>
      </c>
      <c r="CK3840" s="76"/>
      <c r="CL3840" s="76"/>
      <c r="CM3840" s="76"/>
      <c r="CN3840" s="76">
        <f>+CM3840*22000</f>
        <v>0</v>
      </c>
      <c r="CO3840" s="76"/>
      <c r="CP3840" s="76">
        <f>+CO3840*46000</f>
        <v>0</v>
      </c>
      <c r="CQ3840" s="76"/>
      <c r="CR3840" s="76">
        <f>+CQ3840*49000</f>
        <v>0</v>
      </c>
      <c r="CS3840" s="76"/>
      <c r="CT3840" s="76"/>
      <c r="CU3840" s="56">
        <f>AN3840+AP3840+AR3840+AT3840+AV3840+AX3840+AZ3840+BB3840+BD3840+BF3840+BH3840+BJ3840+BL3840+BN3840+BP3840+BR3840+BT3840+BV3840+BX3840+BZ3840+CB3840+CD3840+CF3840+CH3840+CJ3840+CL3840+CN3840+CP3840+CR3840+CT3840</f>
        <v>0</v>
      </c>
      <c r="CV3840" s="76"/>
      <c r="CW3840" s="76">
        <f>+CV3840*1100</f>
        <v>0</v>
      </c>
      <c r="CX3840" s="76"/>
      <c r="CY3840" s="76">
        <f>+CX3840*106250</f>
        <v>0</v>
      </c>
      <c r="CZ3840" s="76"/>
      <c r="DA3840" s="76">
        <f>+CZ3840*34500</f>
        <v>0</v>
      </c>
      <c r="DB3840" s="76"/>
      <c r="DC3840" s="76">
        <f>+DB3840*25000</f>
        <v>0</v>
      </c>
      <c r="DD3840" s="219"/>
      <c r="DE3840" s="76"/>
      <c r="DF3840" s="166"/>
      <c r="DG3840" s="116"/>
      <c r="DH3840" s="117"/>
      <c r="DI3840" s="24"/>
      <c r="DJ3840" s="24"/>
      <c r="DK3840" s="24"/>
      <c r="DL3840" s="24"/>
      <c r="DM3840" s="24"/>
      <c r="DN3840" s="24"/>
      <c r="DO3840" s="24"/>
      <c r="DP3840" s="24"/>
      <c r="DQ3840" s="24"/>
      <c r="DR3840" s="24"/>
      <c r="DS3840" s="24"/>
      <c r="DT3840" s="24"/>
      <c r="DU3840" s="24"/>
    </row>
    <row r="3841" spans="1:125" s="8" customFormat="1" ht="216" x14ac:dyDescent="0.2">
      <c r="A3841" s="353">
        <v>41614</v>
      </c>
      <c r="B3841" s="352" t="s">
        <v>2847</v>
      </c>
      <c r="C3841" s="354" t="s">
        <v>334</v>
      </c>
      <c r="D3841" s="354" t="s">
        <v>4391</v>
      </c>
      <c r="E3841" s="353" t="str">
        <f>VLOOKUP(B3841&amp;C3841,Divipola!$C$2:$F$1138,4,FALSE)</f>
        <v>68217</v>
      </c>
      <c r="F3841" s="87"/>
      <c r="G3841" s="87"/>
      <c r="H3841" s="87">
        <v>1</v>
      </c>
      <c r="I3841" s="87">
        <v>1</v>
      </c>
      <c r="J3841" s="87"/>
      <c r="K3841" s="87"/>
      <c r="L3841" s="87"/>
      <c r="M3841" s="87"/>
      <c r="N3841" s="87"/>
      <c r="O3841" s="87"/>
      <c r="P3841" s="87"/>
      <c r="Q3841" s="87"/>
      <c r="R3841" s="87"/>
      <c r="S3841" s="87"/>
      <c r="T3841" s="87"/>
      <c r="U3841" s="88"/>
      <c r="V3841" s="89"/>
      <c r="W3841" s="96">
        <v>0</v>
      </c>
      <c r="X3841" s="71">
        <f>CU3841</f>
        <v>0</v>
      </c>
      <c r="Y3841" s="71">
        <f>CY3841</f>
        <v>0</v>
      </c>
      <c r="Z3841" s="71">
        <f>DA3841+DC3841+DE3841</f>
        <v>0</v>
      </c>
      <c r="AA3841" s="71">
        <f>CW3841</f>
        <v>0</v>
      </c>
      <c r="AB3841" s="71"/>
      <c r="AC3841" s="71">
        <v>0</v>
      </c>
      <c r="AD3841" s="71">
        <f>W3841+X3841+Y3841+Z3841+AA3841+AB3841+AC3841</f>
        <v>0</v>
      </c>
      <c r="AE3841" s="72">
        <v>0</v>
      </c>
      <c r="AF3841" s="5"/>
      <c r="AG3841" s="6"/>
      <c r="AH3841" s="27"/>
      <c r="AI3841" s="44"/>
      <c r="AJ3841" s="26"/>
      <c r="AK3841" s="5"/>
      <c r="AL3841" s="82" t="s">
        <v>6881</v>
      </c>
      <c r="AM3841" s="76"/>
      <c r="AN3841" s="76"/>
      <c r="AO3841" s="76"/>
      <c r="AP3841" s="76"/>
      <c r="AQ3841" s="76"/>
      <c r="AR3841" s="76"/>
      <c r="AS3841" s="76"/>
      <c r="AT3841" s="76"/>
      <c r="AU3841" s="76"/>
      <c r="AV3841" s="76"/>
      <c r="AW3841" s="76"/>
      <c r="AX3841" s="76">
        <f>+AW3841*600000</f>
        <v>0</v>
      </c>
      <c r="AY3841" s="76"/>
      <c r="AZ3841" s="76">
        <f>+AY3841*70000</f>
        <v>0</v>
      </c>
      <c r="BA3841" s="76"/>
      <c r="BB3841" s="76"/>
      <c r="BC3841" s="76"/>
      <c r="BD3841" s="76">
        <f>+BC3841*30000</f>
        <v>0</v>
      </c>
      <c r="BE3841" s="76"/>
      <c r="BF3841" s="76"/>
      <c r="BG3841" s="76"/>
      <c r="BH3841" s="76"/>
      <c r="BI3841" s="76"/>
      <c r="BJ3841" s="76"/>
      <c r="BK3841" s="76"/>
      <c r="BL3841" s="76">
        <f>+BK3841*31500</f>
        <v>0</v>
      </c>
      <c r="BM3841" s="76"/>
      <c r="BN3841" s="76"/>
      <c r="BO3841" s="76"/>
      <c r="BP3841" s="76"/>
      <c r="BQ3841" s="76"/>
      <c r="BR3841" s="76"/>
      <c r="BS3841" s="76"/>
      <c r="BT3841" s="76"/>
      <c r="BU3841" s="76"/>
      <c r="BV3841" s="76"/>
      <c r="BW3841" s="76"/>
      <c r="BX3841" s="76"/>
      <c r="BY3841" s="76"/>
      <c r="BZ3841" s="76"/>
      <c r="CA3841" s="76"/>
      <c r="CB3841" s="76"/>
      <c r="CC3841" s="76"/>
      <c r="CD3841" s="76"/>
      <c r="CE3841" s="76"/>
      <c r="CF3841" s="76">
        <f>+CE3841*28000</f>
        <v>0</v>
      </c>
      <c r="CG3841" s="76"/>
      <c r="CH3841" s="76">
        <f>+CG3841*22500</f>
        <v>0</v>
      </c>
      <c r="CI3841" s="76"/>
      <c r="CJ3841" s="76">
        <f>+CI3841*26000</f>
        <v>0</v>
      </c>
      <c r="CK3841" s="76"/>
      <c r="CL3841" s="76"/>
      <c r="CM3841" s="76"/>
      <c r="CN3841" s="76">
        <f>+CM3841*22000</f>
        <v>0</v>
      </c>
      <c r="CO3841" s="76"/>
      <c r="CP3841" s="76">
        <f>+CO3841*46000</f>
        <v>0</v>
      </c>
      <c r="CQ3841" s="76"/>
      <c r="CR3841" s="76">
        <f>+CQ3841*49000</f>
        <v>0</v>
      </c>
      <c r="CS3841" s="76"/>
      <c r="CT3841" s="76"/>
      <c r="CU3841" s="56">
        <f>AN3841+AP3841+AR3841+AT3841+AV3841+AX3841+AZ3841+BB3841+BD3841+BF3841+BH3841+BJ3841+BL3841+BN3841+BP3841+BR3841+BT3841+BV3841+BX3841+BZ3841+CB3841+CD3841+CF3841+CH3841+CJ3841+CL3841+CN3841+CP3841+CR3841+CT3841</f>
        <v>0</v>
      </c>
      <c r="CV3841" s="76"/>
      <c r="CW3841" s="76">
        <f>+CV3841*1100</f>
        <v>0</v>
      </c>
      <c r="CX3841" s="76"/>
      <c r="CY3841" s="76">
        <f>+CX3841*106250</f>
        <v>0</v>
      </c>
      <c r="CZ3841" s="76"/>
      <c r="DA3841" s="76">
        <f>+CZ3841*34500</f>
        <v>0</v>
      </c>
      <c r="DB3841" s="76"/>
      <c r="DC3841" s="76">
        <f>+DB3841*25000</f>
        <v>0</v>
      </c>
      <c r="DD3841" s="219"/>
      <c r="DE3841" s="76"/>
      <c r="DF3841" s="166"/>
      <c r="DG3841" s="116"/>
      <c r="DH3841" s="117"/>
      <c r="DI3841" s="24"/>
      <c r="DJ3841" s="24"/>
      <c r="DK3841" s="24"/>
      <c r="DL3841" s="24"/>
      <c r="DM3841" s="24"/>
      <c r="DN3841" s="24"/>
      <c r="DO3841" s="24"/>
      <c r="DP3841" s="24"/>
      <c r="DQ3841" s="24"/>
      <c r="DR3841" s="24"/>
      <c r="DS3841" s="24"/>
      <c r="DT3841" s="24"/>
      <c r="DU3841" s="24"/>
    </row>
    <row r="3842" spans="1:125" s="8" customFormat="1" ht="60" x14ac:dyDescent="0.2">
      <c r="A3842" s="353">
        <v>41614</v>
      </c>
      <c r="B3842" s="352" t="s">
        <v>2854</v>
      </c>
      <c r="C3842" s="354" t="s">
        <v>513</v>
      </c>
      <c r="D3842" s="354" t="s">
        <v>2882</v>
      </c>
      <c r="E3842" s="353" t="str">
        <f>VLOOKUP(B3842&amp;C3842,Divipola!$C$2:$F$1138,4,FALSE)</f>
        <v>19698</v>
      </c>
      <c r="F3842" s="87"/>
      <c r="G3842" s="87"/>
      <c r="H3842" s="87"/>
      <c r="I3842" s="87"/>
      <c r="J3842" s="87"/>
      <c r="K3842" s="87"/>
      <c r="L3842" s="87"/>
      <c r="M3842" s="87"/>
      <c r="N3842" s="87"/>
      <c r="O3842" s="87"/>
      <c r="P3842" s="87"/>
      <c r="Q3842" s="87"/>
      <c r="R3842" s="87"/>
      <c r="S3842" s="87"/>
      <c r="T3842" s="87"/>
      <c r="U3842" s="88"/>
      <c r="V3842" s="89"/>
      <c r="W3842" s="96">
        <v>0</v>
      </c>
      <c r="X3842" s="71">
        <f>CU3842</f>
        <v>0</v>
      </c>
      <c r="Y3842" s="71">
        <f>CY3842</f>
        <v>0</v>
      </c>
      <c r="Z3842" s="71">
        <f>DA3842+DC3842+DE3842</f>
        <v>0</v>
      </c>
      <c r="AA3842" s="71">
        <f>CW3842</f>
        <v>0</v>
      </c>
      <c r="AB3842" s="71"/>
      <c r="AC3842" s="71">
        <v>0</v>
      </c>
      <c r="AD3842" s="71">
        <f>W3842+X3842+Y3842+Z3842+AA3842+AB3842+AC3842</f>
        <v>0</v>
      </c>
      <c r="AE3842" s="72">
        <v>0</v>
      </c>
      <c r="AF3842" s="5"/>
      <c r="AG3842" s="6"/>
      <c r="AH3842" s="27"/>
      <c r="AI3842" s="44"/>
      <c r="AJ3842" s="26"/>
      <c r="AK3842" s="5"/>
      <c r="AL3842" s="82" t="s">
        <v>6882</v>
      </c>
      <c r="AM3842" s="76"/>
      <c r="AN3842" s="76"/>
      <c r="AO3842" s="76"/>
      <c r="AP3842" s="76"/>
      <c r="AQ3842" s="76"/>
      <c r="AR3842" s="76"/>
      <c r="AS3842" s="76"/>
      <c r="AT3842" s="76"/>
      <c r="AU3842" s="76"/>
      <c r="AV3842" s="76"/>
      <c r="AW3842" s="76"/>
      <c r="AX3842" s="76">
        <f>+AW3842*600000</f>
        <v>0</v>
      </c>
      <c r="AY3842" s="76"/>
      <c r="AZ3842" s="76">
        <f>+AY3842*70000</f>
        <v>0</v>
      </c>
      <c r="BA3842" s="76"/>
      <c r="BB3842" s="76"/>
      <c r="BC3842" s="76"/>
      <c r="BD3842" s="76">
        <f>+BC3842*30000</f>
        <v>0</v>
      </c>
      <c r="BE3842" s="76"/>
      <c r="BF3842" s="76"/>
      <c r="BG3842" s="76"/>
      <c r="BH3842" s="76"/>
      <c r="BI3842" s="76"/>
      <c r="BJ3842" s="76"/>
      <c r="BK3842" s="76"/>
      <c r="BL3842" s="76">
        <f>+BK3842*31500</f>
        <v>0</v>
      </c>
      <c r="BM3842" s="76"/>
      <c r="BN3842" s="76"/>
      <c r="BO3842" s="76"/>
      <c r="BP3842" s="76"/>
      <c r="BQ3842" s="76"/>
      <c r="BR3842" s="76"/>
      <c r="BS3842" s="76"/>
      <c r="BT3842" s="76"/>
      <c r="BU3842" s="76"/>
      <c r="BV3842" s="76"/>
      <c r="BW3842" s="76"/>
      <c r="BX3842" s="76"/>
      <c r="BY3842" s="76"/>
      <c r="BZ3842" s="76"/>
      <c r="CA3842" s="76"/>
      <c r="CB3842" s="76"/>
      <c r="CC3842" s="76"/>
      <c r="CD3842" s="76"/>
      <c r="CE3842" s="76"/>
      <c r="CF3842" s="76">
        <f>+CE3842*28000</f>
        <v>0</v>
      </c>
      <c r="CG3842" s="76"/>
      <c r="CH3842" s="76">
        <f>+CG3842*22500</f>
        <v>0</v>
      </c>
      <c r="CI3842" s="76"/>
      <c r="CJ3842" s="76">
        <f>+CI3842*26000</f>
        <v>0</v>
      </c>
      <c r="CK3842" s="76"/>
      <c r="CL3842" s="76"/>
      <c r="CM3842" s="76"/>
      <c r="CN3842" s="76">
        <f>+CM3842*22000</f>
        <v>0</v>
      </c>
      <c r="CO3842" s="76"/>
      <c r="CP3842" s="76">
        <f>+CO3842*46000</f>
        <v>0</v>
      </c>
      <c r="CQ3842" s="76"/>
      <c r="CR3842" s="76">
        <f>+CQ3842*49000</f>
        <v>0</v>
      </c>
      <c r="CS3842" s="76"/>
      <c r="CT3842" s="76"/>
      <c r="CU3842" s="56">
        <f>AN3842+AP3842+AR3842+AT3842+AV3842+AX3842+AZ3842+BB3842+BD3842+BF3842+BH3842+BJ3842+BL3842+BN3842+BP3842+BR3842+BT3842+BV3842+BX3842+BZ3842+CB3842+CD3842+CF3842+CH3842+CJ3842+CL3842+CN3842+CP3842+CR3842+CT3842</f>
        <v>0</v>
      </c>
      <c r="CV3842" s="76"/>
      <c r="CW3842" s="76">
        <f>+CV3842*1100</f>
        <v>0</v>
      </c>
      <c r="CX3842" s="76"/>
      <c r="CY3842" s="76">
        <f>+CX3842*106250</f>
        <v>0</v>
      </c>
      <c r="CZ3842" s="76"/>
      <c r="DA3842" s="76">
        <f>+CZ3842*34500</f>
        <v>0</v>
      </c>
      <c r="DB3842" s="76"/>
      <c r="DC3842" s="76">
        <f>+DB3842*25000</f>
        <v>0</v>
      </c>
      <c r="DD3842" s="219"/>
      <c r="DE3842" s="76"/>
      <c r="DF3842" s="166"/>
      <c r="DG3842" s="116"/>
      <c r="DH3842" s="117"/>
      <c r="DI3842" s="24"/>
      <c r="DJ3842" s="24"/>
      <c r="DK3842" s="24"/>
      <c r="DL3842" s="24"/>
      <c r="DM3842" s="24"/>
      <c r="DN3842" s="24"/>
      <c r="DO3842" s="24"/>
      <c r="DP3842" s="24"/>
      <c r="DQ3842" s="24"/>
      <c r="DR3842" s="24"/>
      <c r="DS3842" s="24"/>
      <c r="DT3842" s="24"/>
      <c r="DU3842" s="24"/>
    </row>
    <row r="3843" spans="1:125" s="8" customFormat="1" ht="48" x14ac:dyDescent="0.2">
      <c r="A3843" s="5">
        <v>41614</v>
      </c>
      <c r="B3843" s="84" t="s">
        <v>2778</v>
      </c>
      <c r="C3843" s="84" t="s">
        <v>2195</v>
      </c>
      <c r="D3843" s="75" t="s">
        <v>2859</v>
      </c>
      <c r="E3843" s="353" t="str">
        <f>VLOOKUP(B3843&amp;C3843,Divipola!$C$2:$F$1138,4,FALSE)</f>
        <v>85430</v>
      </c>
      <c r="F3843" s="89"/>
      <c r="G3843" s="89"/>
      <c r="H3843" s="89"/>
      <c r="I3843" s="89">
        <v>5</v>
      </c>
      <c r="J3843" s="89">
        <v>1</v>
      </c>
      <c r="K3843" s="89"/>
      <c r="L3843" s="89">
        <v>1</v>
      </c>
      <c r="M3843" s="89"/>
      <c r="N3843" s="89"/>
      <c r="O3843" s="89"/>
      <c r="P3843" s="89"/>
      <c r="Q3843" s="89"/>
      <c r="R3843" s="89"/>
      <c r="S3843" s="89"/>
      <c r="T3843" s="89"/>
      <c r="U3843" s="89"/>
      <c r="V3843" s="89"/>
      <c r="W3843" s="96">
        <v>0</v>
      </c>
      <c r="X3843" s="71">
        <f>CU3843</f>
        <v>0</v>
      </c>
      <c r="Y3843" s="71">
        <f>CY3843</f>
        <v>0</v>
      </c>
      <c r="Z3843" s="71">
        <f>DA3843+DC3843+DE3843</f>
        <v>0</v>
      </c>
      <c r="AA3843" s="71">
        <f>CW3843</f>
        <v>0</v>
      </c>
      <c r="AB3843" s="71"/>
      <c r="AC3843" s="71">
        <v>0</v>
      </c>
      <c r="AD3843" s="71">
        <f>W3843+X3843+Y3843+Z3843+AA3843+AB3843+AC3843</f>
        <v>0</v>
      </c>
      <c r="AE3843" s="72">
        <v>0</v>
      </c>
      <c r="AF3843" s="5"/>
      <c r="AG3843" s="6"/>
      <c r="AH3843" s="27"/>
      <c r="AI3843" s="44"/>
      <c r="AJ3843" s="26"/>
      <c r="AK3843" s="5"/>
      <c r="AL3843" s="9" t="s">
        <v>6884</v>
      </c>
      <c r="AM3843" s="76"/>
      <c r="AN3843" s="76"/>
      <c r="AO3843" s="76"/>
      <c r="AP3843" s="76"/>
      <c r="AQ3843" s="76"/>
      <c r="AR3843" s="76"/>
      <c r="AS3843" s="76"/>
      <c r="AT3843" s="76"/>
      <c r="AU3843" s="76"/>
      <c r="AV3843" s="76"/>
      <c r="AW3843" s="76"/>
      <c r="AX3843" s="76">
        <f>+AW3843*600000</f>
        <v>0</v>
      </c>
      <c r="AY3843" s="76"/>
      <c r="AZ3843" s="76">
        <f>+AY3843*70000</f>
        <v>0</v>
      </c>
      <c r="BA3843" s="76"/>
      <c r="BB3843" s="76"/>
      <c r="BC3843" s="76"/>
      <c r="BD3843" s="76">
        <f>+BC3843*30000</f>
        <v>0</v>
      </c>
      <c r="BE3843" s="76"/>
      <c r="BF3843" s="76"/>
      <c r="BG3843" s="76"/>
      <c r="BH3843" s="76"/>
      <c r="BI3843" s="76"/>
      <c r="BJ3843" s="76"/>
      <c r="BK3843" s="76"/>
      <c r="BL3843" s="76">
        <f>+BK3843*31500</f>
        <v>0</v>
      </c>
      <c r="BM3843" s="76"/>
      <c r="BN3843" s="76"/>
      <c r="BO3843" s="76"/>
      <c r="BP3843" s="76"/>
      <c r="BQ3843" s="76"/>
      <c r="BR3843" s="76"/>
      <c r="BS3843" s="76"/>
      <c r="BT3843" s="76"/>
      <c r="BU3843" s="76"/>
      <c r="BV3843" s="76"/>
      <c r="BW3843" s="76"/>
      <c r="BX3843" s="76"/>
      <c r="BY3843" s="76"/>
      <c r="BZ3843" s="76"/>
      <c r="CA3843" s="76"/>
      <c r="CB3843" s="76"/>
      <c r="CC3843" s="76"/>
      <c r="CD3843" s="76"/>
      <c r="CE3843" s="76"/>
      <c r="CF3843" s="76">
        <f>+CE3843*28000</f>
        <v>0</v>
      </c>
      <c r="CG3843" s="76"/>
      <c r="CH3843" s="76">
        <f>+CG3843*22500</f>
        <v>0</v>
      </c>
      <c r="CI3843" s="76"/>
      <c r="CJ3843" s="76">
        <f>+CI3843*26000</f>
        <v>0</v>
      </c>
      <c r="CK3843" s="76"/>
      <c r="CL3843" s="76"/>
      <c r="CM3843" s="76"/>
      <c r="CN3843" s="76">
        <f>+CM3843*22000</f>
        <v>0</v>
      </c>
      <c r="CO3843" s="76"/>
      <c r="CP3843" s="76">
        <f>+CO3843*46000</f>
        <v>0</v>
      </c>
      <c r="CQ3843" s="76"/>
      <c r="CR3843" s="76">
        <f>+CQ3843*49000</f>
        <v>0</v>
      </c>
      <c r="CS3843" s="76"/>
      <c r="CT3843" s="76"/>
      <c r="CU3843" s="56">
        <f>AN3843+AP3843+AR3843+AT3843+AV3843+AX3843+AZ3843+BB3843+BD3843+BF3843+BH3843+BJ3843+BL3843+BN3843+BP3843+BR3843+BT3843+BV3843+BX3843+BZ3843+CB3843+CD3843+CF3843+CH3843+CJ3843+CL3843+CN3843+CP3843+CR3843+CT3843</f>
        <v>0</v>
      </c>
      <c r="CV3843" s="76"/>
      <c r="CW3843" s="76">
        <f>+CV3843*1100</f>
        <v>0</v>
      </c>
      <c r="CX3843" s="76"/>
      <c r="CY3843" s="76">
        <f>+CX3843*106250</f>
        <v>0</v>
      </c>
      <c r="CZ3843" s="76"/>
      <c r="DA3843" s="76">
        <f>+CZ3843*34500</f>
        <v>0</v>
      </c>
      <c r="DB3843" s="76"/>
      <c r="DC3843" s="76">
        <f>+DB3843*25000</f>
        <v>0</v>
      </c>
      <c r="DD3843" s="219"/>
      <c r="DE3843" s="76"/>
      <c r="DF3843" s="166"/>
      <c r="DG3843" s="116"/>
      <c r="DH3843" s="117"/>
      <c r="DI3843" s="24"/>
      <c r="DJ3843" s="24"/>
      <c r="DK3843" s="24"/>
      <c r="DL3843" s="24"/>
      <c r="DM3843" s="24"/>
      <c r="DN3843" s="24"/>
      <c r="DO3843" s="24"/>
      <c r="DP3843" s="24"/>
      <c r="DQ3843" s="24"/>
      <c r="DR3843" s="24"/>
      <c r="DS3843" s="24"/>
      <c r="DT3843" s="24"/>
      <c r="DU3843" s="24"/>
    </row>
    <row r="3844" spans="1:125" s="8" customFormat="1" ht="48" x14ac:dyDescent="0.2">
      <c r="A3844" s="353">
        <v>41615</v>
      </c>
      <c r="B3844" s="352" t="s">
        <v>2196</v>
      </c>
      <c r="C3844" s="354" t="s">
        <v>2221</v>
      </c>
      <c r="D3844" s="354" t="s">
        <v>3088</v>
      </c>
      <c r="E3844" s="353" t="str">
        <f>VLOOKUP(B3844&amp;C3844,Divipola!$C$2:$F$1138,4,FALSE)</f>
        <v>17513</v>
      </c>
      <c r="F3844" s="87"/>
      <c r="G3844" s="87"/>
      <c r="H3844" s="87"/>
      <c r="I3844" s="87"/>
      <c r="J3844" s="87"/>
      <c r="K3844" s="87"/>
      <c r="L3844" s="87"/>
      <c r="M3844" s="87">
        <v>1</v>
      </c>
      <c r="N3844" s="87"/>
      <c r="O3844" s="87"/>
      <c r="P3844" s="87"/>
      <c r="Q3844" s="87"/>
      <c r="R3844" s="87"/>
      <c r="S3844" s="87"/>
      <c r="T3844" s="87"/>
      <c r="U3844" s="88"/>
      <c r="V3844" s="89"/>
      <c r="W3844" s="96">
        <v>0</v>
      </c>
      <c r="X3844" s="71">
        <f>CU3844</f>
        <v>0</v>
      </c>
      <c r="Y3844" s="71">
        <f>CY3844</f>
        <v>0</v>
      </c>
      <c r="Z3844" s="71">
        <f>DA3844+DC3844+DE3844</f>
        <v>0</v>
      </c>
      <c r="AA3844" s="71">
        <f>CW3844</f>
        <v>0</v>
      </c>
      <c r="AB3844" s="71"/>
      <c r="AC3844" s="71">
        <v>0</v>
      </c>
      <c r="AD3844" s="71">
        <f>W3844+X3844+Y3844+Z3844+AA3844+AB3844+AC3844</f>
        <v>0</v>
      </c>
      <c r="AE3844" s="72">
        <v>0</v>
      </c>
      <c r="AF3844" s="5"/>
      <c r="AG3844" s="6"/>
      <c r="AH3844" s="27"/>
      <c r="AI3844" s="44"/>
      <c r="AJ3844" s="26"/>
      <c r="AK3844" s="5"/>
      <c r="AL3844" s="82" t="s">
        <v>6883</v>
      </c>
      <c r="AM3844" s="76"/>
      <c r="AN3844" s="76"/>
      <c r="AO3844" s="76"/>
      <c r="AP3844" s="76"/>
      <c r="AQ3844" s="76"/>
      <c r="AR3844" s="76"/>
      <c r="AS3844" s="76"/>
      <c r="AT3844" s="76"/>
      <c r="AU3844" s="76"/>
      <c r="AV3844" s="76"/>
      <c r="AW3844" s="76"/>
      <c r="AX3844" s="76">
        <f>+AW3844*600000</f>
        <v>0</v>
      </c>
      <c r="AY3844" s="76"/>
      <c r="AZ3844" s="76">
        <f>+AY3844*70000</f>
        <v>0</v>
      </c>
      <c r="BA3844" s="76"/>
      <c r="BB3844" s="76"/>
      <c r="BC3844" s="76"/>
      <c r="BD3844" s="76">
        <f>+BC3844*30000</f>
        <v>0</v>
      </c>
      <c r="BE3844" s="76"/>
      <c r="BF3844" s="76"/>
      <c r="BG3844" s="76"/>
      <c r="BH3844" s="76"/>
      <c r="BI3844" s="76"/>
      <c r="BJ3844" s="76"/>
      <c r="BK3844" s="76"/>
      <c r="BL3844" s="76">
        <f>+BK3844*31500</f>
        <v>0</v>
      </c>
      <c r="BM3844" s="76"/>
      <c r="BN3844" s="76"/>
      <c r="BO3844" s="76"/>
      <c r="BP3844" s="76"/>
      <c r="BQ3844" s="76"/>
      <c r="BR3844" s="76"/>
      <c r="BS3844" s="76"/>
      <c r="BT3844" s="76"/>
      <c r="BU3844" s="76"/>
      <c r="BV3844" s="76"/>
      <c r="BW3844" s="76"/>
      <c r="BX3844" s="76"/>
      <c r="BY3844" s="76"/>
      <c r="BZ3844" s="76"/>
      <c r="CA3844" s="76"/>
      <c r="CB3844" s="76"/>
      <c r="CC3844" s="76"/>
      <c r="CD3844" s="76"/>
      <c r="CE3844" s="76"/>
      <c r="CF3844" s="76">
        <f>+CE3844*28000</f>
        <v>0</v>
      </c>
      <c r="CG3844" s="76"/>
      <c r="CH3844" s="76">
        <f>+CG3844*22500</f>
        <v>0</v>
      </c>
      <c r="CI3844" s="76"/>
      <c r="CJ3844" s="76">
        <f>+CI3844*26000</f>
        <v>0</v>
      </c>
      <c r="CK3844" s="76"/>
      <c r="CL3844" s="76"/>
      <c r="CM3844" s="76"/>
      <c r="CN3844" s="76">
        <f>+CM3844*22000</f>
        <v>0</v>
      </c>
      <c r="CO3844" s="76"/>
      <c r="CP3844" s="76">
        <f>+CO3844*46000</f>
        <v>0</v>
      </c>
      <c r="CQ3844" s="76"/>
      <c r="CR3844" s="76">
        <f>+CQ3844*49000</f>
        <v>0</v>
      </c>
      <c r="CS3844" s="76"/>
      <c r="CT3844" s="76"/>
      <c r="CU3844" s="56">
        <f>AN3844+AP3844+AR3844+AT3844+AV3844+AX3844+AZ3844+BB3844+BD3844+BF3844+BH3844+BJ3844+BL3844+BN3844+BP3844+BR3844+BT3844+BV3844+BX3844+BZ3844+CB3844+CD3844+CF3844+CH3844+CJ3844+CL3844+CN3844+CP3844+CR3844+CT3844</f>
        <v>0</v>
      </c>
      <c r="CV3844" s="76"/>
      <c r="CW3844" s="76">
        <f>+CV3844*1100</f>
        <v>0</v>
      </c>
      <c r="CX3844" s="76"/>
      <c r="CY3844" s="76">
        <f>+CX3844*106250</f>
        <v>0</v>
      </c>
      <c r="CZ3844" s="76"/>
      <c r="DA3844" s="76">
        <f>+CZ3844*34500</f>
        <v>0</v>
      </c>
      <c r="DB3844" s="76"/>
      <c r="DC3844" s="76">
        <f>+DB3844*25000</f>
        <v>0</v>
      </c>
      <c r="DD3844" s="219"/>
      <c r="DE3844" s="76"/>
      <c r="DF3844" s="166"/>
      <c r="DG3844" s="116"/>
      <c r="DH3844" s="117"/>
      <c r="DI3844" s="24"/>
      <c r="DJ3844" s="24"/>
      <c r="DK3844" s="24"/>
      <c r="DL3844" s="24"/>
      <c r="DM3844" s="24"/>
      <c r="DN3844" s="24"/>
      <c r="DO3844" s="24"/>
      <c r="DP3844" s="24"/>
      <c r="DQ3844" s="24"/>
      <c r="DR3844" s="24"/>
      <c r="DS3844" s="24"/>
      <c r="DT3844" s="24"/>
      <c r="DU3844" s="24"/>
    </row>
    <row r="3845" spans="1:125" s="8" customFormat="1" ht="216" x14ac:dyDescent="0.2">
      <c r="A3845" s="77">
        <v>41615</v>
      </c>
      <c r="B3845" s="78" t="s">
        <v>529</v>
      </c>
      <c r="C3845" s="78" t="s">
        <v>529</v>
      </c>
      <c r="D3845" s="75" t="s">
        <v>2859</v>
      </c>
      <c r="E3845" s="353" t="str">
        <f>VLOOKUP(B3845&amp;C3845,Divipola!$C$2:$F$1138,4,FALSE)</f>
        <v>11001</v>
      </c>
      <c r="F3845" s="87"/>
      <c r="G3845" s="87"/>
      <c r="H3845" s="87"/>
      <c r="I3845" s="87">
        <v>60</v>
      </c>
      <c r="J3845" s="87">
        <v>12</v>
      </c>
      <c r="K3845" s="87">
        <v>12</v>
      </c>
      <c r="L3845" s="87"/>
      <c r="M3845" s="87"/>
      <c r="N3845" s="87"/>
      <c r="O3845" s="87"/>
      <c r="P3845" s="87"/>
      <c r="Q3845" s="87"/>
      <c r="R3845" s="87"/>
      <c r="S3845" s="87"/>
      <c r="T3845" s="87"/>
      <c r="U3845" s="88"/>
      <c r="V3845" s="89"/>
      <c r="W3845" s="96">
        <v>0</v>
      </c>
      <c r="X3845" s="71">
        <f>CU3845</f>
        <v>0</v>
      </c>
      <c r="Y3845" s="71">
        <f>CY3845</f>
        <v>0</v>
      </c>
      <c r="Z3845" s="71">
        <f>DA3845+DC3845+DE3845</f>
        <v>0</v>
      </c>
      <c r="AA3845" s="71">
        <f>CW3845</f>
        <v>0</v>
      </c>
      <c r="AB3845" s="71"/>
      <c r="AC3845" s="71">
        <v>0</v>
      </c>
      <c r="AD3845" s="71">
        <f>W3845+X3845+Y3845+Z3845+AA3845+AB3845+AC3845</f>
        <v>0</v>
      </c>
      <c r="AE3845" s="72">
        <v>0</v>
      </c>
      <c r="AF3845" s="5"/>
      <c r="AG3845" s="6"/>
      <c r="AH3845" s="27"/>
      <c r="AI3845" s="44"/>
      <c r="AJ3845" s="26"/>
      <c r="AK3845" s="5"/>
      <c r="AL3845" s="268" t="s">
        <v>6886</v>
      </c>
      <c r="AM3845" s="76"/>
      <c r="AN3845" s="76"/>
      <c r="AO3845" s="76"/>
      <c r="AP3845" s="76"/>
      <c r="AQ3845" s="76"/>
      <c r="AR3845" s="76"/>
      <c r="AS3845" s="76"/>
      <c r="AT3845" s="76"/>
      <c r="AU3845" s="76"/>
      <c r="AV3845" s="76"/>
      <c r="AW3845" s="76"/>
      <c r="AX3845" s="76">
        <f>+AW3845*600000</f>
        <v>0</v>
      </c>
      <c r="AY3845" s="76"/>
      <c r="AZ3845" s="76">
        <f>+AY3845*70000</f>
        <v>0</v>
      </c>
      <c r="BA3845" s="76"/>
      <c r="BB3845" s="76"/>
      <c r="BC3845" s="76"/>
      <c r="BD3845" s="76">
        <f>+BC3845*30000</f>
        <v>0</v>
      </c>
      <c r="BE3845" s="76"/>
      <c r="BF3845" s="76"/>
      <c r="BG3845" s="76"/>
      <c r="BH3845" s="76"/>
      <c r="BI3845" s="76"/>
      <c r="BJ3845" s="76"/>
      <c r="BK3845" s="76"/>
      <c r="BL3845" s="76">
        <f>+BK3845*31500</f>
        <v>0</v>
      </c>
      <c r="BM3845" s="76"/>
      <c r="BN3845" s="76"/>
      <c r="BO3845" s="76"/>
      <c r="BP3845" s="76"/>
      <c r="BQ3845" s="76"/>
      <c r="BR3845" s="76"/>
      <c r="BS3845" s="76"/>
      <c r="BT3845" s="76"/>
      <c r="BU3845" s="76"/>
      <c r="BV3845" s="76"/>
      <c r="BW3845" s="76"/>
      <c r="BX3845" s="76"/>
      <c r="BY3845" s="76"/>
      <c r="BZ3845" s="76"/>
      <c r="CA3845" s="76"/>
      <c r="CB3845" s="76"/>
      <c r="CC3845" s="76"/>
      <c r="CD3845" s="76"/>
      <c r="CE3845" s="76"/>
      <c r="CF3845" s="76">
        <f>+CE3845*28000</f>
        <v>0</v>
      </c>
      <c r="CG3845" s="76"/>
      <c r="CH3845" s="76">
        <f>+CG3845*22500</f>
        <v>0</v>
      </c>
      <c r="CI3845" s="76"/>
      <c r="CJ3845" s="76">
        <f>+CI3845*26000</f>
        <v>0</v>
      </c>
      <c r="CK3845" s="76"/>
      <c r="CL3845" s="76"/>
      <c r="CM3845" s="76"/>
      <c r="CN3845" s="76">
        <f>+CM3845*22000</f>
        <v>0</v>
      </c>
      <c r="CO3845" s="76"/>
      <c r="CP3845" s="76">
        <f>+CO3845*46000</f>
        <v>0</v>
      </c>
      <c r="CQ3845" s="76"/>
      <c r="CR3845" s="76">
        <f>+CQ3845*49000</f>
        <v>0</v>
      </c>
      <c r="CS3845" s="76"/>
      <c r="CT3845" s="76"/>
      <c r="CU3845" s="56">
        <f>AN3845+AP3845+AR3845+AT3845+AV3845+AX3845+AZ3845+BB3845+BD3845+BF3845+BH3845+BJ3845+BL3845+BN3845+BP3845+BR3845+BT3845+BV3845+BX3845+BZ3845+CB3845+CD3845+CF3845+CH3845+CJ3845+CL3845+CN3845+CP3845+CR3845+CT3845</f>
        <v>0</v>
      </c>
      <c r="CV3845" s="76"/>
      <c r="CW3845" s="76">
        <f>+CV3845*1100</f>
        <v>0</v>
      </c>
      <c r="CX3845" s="76"/>
      <c r="CY3845" s="76">
        <f>+CX3845*106250</f>
        <v>0</v>
      </c>
      <c r="CZ3845" s="76"/>
      <c r="DA3845" s="76">
        <f>+CZ3845*34500</f>
        <v>0</v>
      </c>
      <c r="DB3845" s="76"/>
      <c r="DC3845" s="76">
        <f>+DB3845*25000</f>
        <v>0</v>
      </c>
      <c r="DD3845" s="219"/>
      <c r="DE3845" s="76"/>
      <c r="DF3845" s="166"/>
      <c r="DG3845" s="116"/>
      <c r="DH3845" s="117"/>
      <c r="DI3845" s="24"/>
      <c r="DJ3845" s="24"/>
      <c r="DK3845" s="24"/>
      <c r="DL3845" s="24"/>
      <c r="DM3845" s="24"/>
      <c r="DN3845" s="24"/>
      <c r="DO3845" s="24"/>
      <c r="DP3845" s="24"/>
      <c r="DQ3845" s="24"/>
      <c r="DR3845" s="24"/>
      <c r="DS3845" s="24"/>
      <c r="DT3845" s="24"/>
      <c r="DU3845" s="24"/>
    </row>
    <row r="3846" spans="1:125" s="8" customFormat="1" ht="72" x14ac:dyDescent="0.2">
      <c r="A3846" s="77">
        <v>41615</v>
      </c>
      <c r="B3846" s="352" t="s">
        <v>2087</v>
      </c>
      <c r="C3846" s="354" t="s">
        <v>2692</v>
      </c>
      <c r="D3846" s="354" t="s">
        <v>2882</v>
      </c>
      <c r="E3846" s="353" t="str">
        <f>VLOOKUP(B3846&amp;C3846,Divipola!$C$2:$F$1138,4,FALSE)</f>
        <v>18001</v>
      </c>
      <c r="F3846" s="87"/>
      <c r="G3846" s="87"/>
      <c r="H3846" s="87"/>
      <c r="I3846" s="87">
        <v>10</v>
      </c>
      <c r="J3846" s="87">
        <v>2</v>
      </c>
      <c r="K3846" s="87"/>
      <c r="L3846" s="87">
        <v>2</v>
      </c>
      <c r="M3846" s="87"/>
      <c r="N3846" s="87"/>
      <c r="O3846" s="87"/>
      <c r="P3846" s="87"/>
      <c r="Q3846" s="87"/>
      <c r="R3846" s="87"/>
      <c r="S3846" s="87"/>
      <c r="T3846" s="87"/>
      <c r="U3846" s="88"/>
      <c r="V3846" s="89"/>
      <c r="W3846" s="96">
        <v>0</v>
      </c>
      <c r="X3846" s="71">
        <f>CU3846</f>
        <v>0</v>
      </c>
      <c r="Y3846" s="71">
        <f>CY3846</f>
        <v>0</v>
      </c>
      <c r="Z3846" s="71">
        <f>DA3846+DC3846+DE3846</f>
        <v>0</v>
      </c>
      <c r="AA3846" s="71">
        <f>CW3846</f>
        <v>0</v>
      </c>
      <c r="AB3846" s="71"/>
      <c r="AC3846" s="71">
        <v>0</v>
      </c>
      <c r="AD3846" s="71">
        <f>W3846+X3846+Y3846+Z3846+AA3846+AB3846+AC3846</f>
        <v>0</v>
      </c>
      <c r="AE3846" s="72">
        <v>0</v>
      </c>
      <c r="AF3846" s="5"/>
      <c r="AG3846" s="6"/>
      <c r="AH3846" s="27"/>
      <c r="AI3846" s="44"/>
      <c r="AJ3846" s="26"/>
      <c r="AK3846" s="5"/>
      <c r="AL3846" s="82" t="s">
        <v>6887</v>
      </c>
      <c r="AM3846" s="76"/>
      <c r="AN3846" s="76"/>
      <c r="AO3846" s="76"/>
      <c r="AP3846" s="76"/>
      <c r="AQ3846" s="76"/>
      <c r="AR3846" s="76"/>
      <c r="AS3846" s="76"/>
      <c r="AT3846" s="76"/>
      <c r="AU3846" s="76"/>
      <c r="AV3846" s="76"/>
      <c r="AW3846" s="76"/>
      <c r="AX3846" s="76">
        <f>+AW3846*600000</f>
        <v>0</v>
      </c>
      <c r="AY3846" s="76"/>
      <c r="AZ3846" s="76">
        <f>+AY3846*70000</f>
        <v>0</v>
      </c>
      <c r="BA3846" s="76"/>
      <c r="BB3846" s="76"/>
      <c r="BC3846" s="76"/>
      <c r="BD3846" s="76">
        <f>+BC3846*30000</f>
        <v>0</v>
      </c>
      <c r="BE3846" s="76"/>
      <c r="BF3846" s="76"/>
      <c r="BG3846" s="76"/>
      <c r="BH3846" s="76"/>
      <c r="BI3846" s="76"/>
      <c r="BJ3846" s="76"/>
      <c r="BK3846" s="76"/>
      <c r="BL3846" s="76">
        <f>+BK3846*31500</f>
        <v>0</v>
      </c>
      <c r="BM3846" s="76"/>
      <c r="BN3846" s="76"/>
      <c r="BO3846" s="76"/>
      <c r="BP3846" s="76"/>
      <c r="BQ3846" s="76"/>
      <c r="BR3846" s="76"/>
      <c r="BS3846" s="76"/>
      <c r="BT3846" s="76"/>
      <c r="BU3846" s="76"/>
      <c r="BV3846" s="76"/>
      <c r="BW3846" s="76"/>
      <c r="BX3846" s="76"/>
      <c r="BY3846" s="76"/>
      <c r="BZ3846" s="76"/>
      <c r="CA3846" s="76"/>
      <c r="CB3846" s="76"/>
      <c r="CC3846" s="76"/>
      <c r="CD3846" s="76"/>
      <c r="CE3846" s="76"/>
      <c r="CF3846" s="76">
        <f>+CE3846*28000</f>
        <v>0</v>
      </c>
      <c r="CG3846" s="76"/>
      <c r="CH3846" s="76">
        <f>+CG3846*22500</f>
        <v>0</v>
      </c>
      <c r="CI3846" s="76"/>
      <c r="CJ3846" s="76">
        <f>+CI3846*26000</f>
        <v>0</v>
      </c>
      <c r="CK3846" s="76"/>
      <c r="CL3846" s="76"/>
      <c r="CM3846" s="76"/>
      <c r="CN3846" s="76">
        <f>+CM3846*22000</f>
        <v>0</v>
      </c>
      <c r="CO3846" s="76"/>
      <c r="CP3846" s="76">
        <f>+CO3846*46000</f>
        <v>0</v>
      </c>
      <c r="CQ3846" s="76"/>
      <c r="CR3846" s="76">
        <f>+CQ3846*49000</f>
        <v>0</v>
      </c>
      <c r="CS3846" s="76"/>
      <c r="CT3846" s="76"/>
      <c r="CU3846" s="56">
        <f>AN3846+AP3846+AR3846+AT3846+AV3846+AX3846+AZ3846+BB3846+BD3846+BF3846+BH3846+BJ3846+BL3846+BN3846+BP3846+BR3846+BT3846+BV3846+BX3846+BZ3846+CB3846+CD3846+CF3846+CH3846+CJ3846+CL3846+CN3846+CP3846+CR3846+CT3846</f>
        <v>0</v>
      </c>
      <c r="CV3846" s="76"/>
      <c r="CW3846" s="76">
        <f>+CV3846*1100</f>
        <v>0</v>
      </c>
      <c r="CX3846" s="76"/>
      <c r="CY3846" s="76">
        <f>+CX3846*106250</f>
        <v>0</v>
      </c>
      <c r="CZ3846" s="76"/>
      <c r="DA3846" s="76">
        <f>+CZ3846*34500</f>
        <v>0</v>
      </c>
      <c r="DB3846" s="76"/>
      <c r="DC3846" s="76">
        <f>+DB3846*25000</f>
        <v>0</v>
      </c>
      <c r="DD3846" s="219"/>
      <c r="DE3846" s="76"/>
      <c r="DF3846" s="166"/>
      <c r="DG3846" s="116"/>
      <c r="DH3846" s="117"/>
      <c r="DI3846" s="24"/>
      <c r="DJ3846" s="24"/>
      <c r="DK3846" s="24"/>
      <c r="DL3846" s="24"/>
      <c r="DM3846" s="24"/>
      <c r="DN3846" s="24"/>
      <c r="DO3846" s="24"/>
      <c r="DP3846" s="24"/>
      <c r="DQ3846" s="24"/>
      <c r="DR3846" s="24"/>
      <c r="DS3846" s="24"/>
      <c r="DT3846" s="24"/>
      <c r="DU3846" s="24"/>
    </row>
    <row r="3847" spans="1:125" s="8" customFormat="1" ht="84" x14ac:dyDescent="0.2">
      <c r="A3847" s="353">
        <v>41615</v>
      </c>
      <c r="B3847" s="352" t="s">
        <v>2847</v>
      </c>
      <c r="C3847" s="354" t="s">
        <v>479</v>
      </c>
      <c r="D3847" s="354" t="s">
        <v>3051</v>
      </c>
      <c r="E3847" s="353" t="str">
        <f>VLOOKUP(B3847&amp;C3847,Divipola!$C$2:$F$1138,4,FALSE)</f>
        <v>68547</v>
      </c>
      <c r="F3847" s="87"/>
      <c r="G3847" s="87"/>
      <c r="H3847" s="87"/>
      <c r="I3847" s="87">
        <v>25</v>
      </c>
      <c r="J3847" s="87">
        <v>5</v>
      </c>
      <c r="K3847" s="87"/>
      <c r="L3847" s="87">
        <v>5</v>
      </c>
      <c r="M3847" s="87"/>
      <c r="N3847" s="87"/>
      <c r="O3847" s="87"/>
      <c r="P3847" s="87"/>
      <c r="Q3847" s="87">
        <v>1</v>
      </c>
      <c r="R3847" s="87"/>
      <c r="S3847" s="87"/>
      <c r="T3847" s="87"/>
      <c r="U3847" s="88"/>
      <c r="V3847" s="89"/>
      <c r="W3847" s="96">
        <v>0</v>
      </c>
      <c r="X3847" s="71">
        <f>CU3847</f>
        <v>0</v>
      </c>
      <c r="Y3847" s="71">
        <f>CY3847</f>
        <v>0</v>
      </c>
      <c r="Z3847" s="71">
        <f>DA3847+DC3847+DE3847</f>
        <v>0</v>
      </c>
      <c r="AA3847" s="71">
        <f>CW3847</f>
        <v>0</v>
      </c>
      <c r="AB3847" s="71"/>
      <c r="AC3847" s="71">
        <v>0</v>
      </c>
      <c r="AD3847" s="71">
        <f>W3847+X3847+Y3847+Z3847+AA3847+AB3847+AC3847</f>
        <v>0</v>
      </c>
      <c r="AE3847" s="72">
        <v>0</v>
      </c>
      <c r="AF3847" s="5"/>
      <c r="AG3847" s="6"/>
      <c r="AH3847" s="27"/>
      <c r="AI3847" s="44"/>
      <c r="AJ3847" s="26"/>
      <c r="AK3847" s="5"/>
      <c r="AL3847" s="82" t="s">
        <v>6889</v>
      </c>
      <c r="AM3847" s="76"/>
      <c r="AN3847" s="76"/>
      <c r="AO3847" s="76"/>
      <c r="AP3847" s="76"/>
      <c r="AQ3847" s="76"/>
      <c r="AR3847" s="76"/>
      <c r="AS3847" s="76"/>
      <c r="AT3847" s="76"/>
      <c r="AU3847" s="76"/>
      <c r="AV3847" s="76"/>
      <c r="AW3847" s="76"/>
      <c r="AX3847" s="76">
        <f>+AW3847*600000</f>
        <v>0</v>
      </c>
      <c r="AY3847" s="76"/>
      <c r="AZ3847" s="76">
        <f>+AY3847*70000</f>
        <v>0</v>
      </c>
      <c r="BA3847" s="76"/>
      <c r="BB3847" s="76"/>
      <c r="BC3847" s="76"/>
      <c r="BD3847" s="76">
        <f>+BC3847*30000</f>
        <v>0</v>
      </c>
      <c r="BE3847" s="76"/>
      <c r="BF3847" s="76"/>
      <c r="BG3847" s="76"/>
      <c r="BH3847" s="76"/>
      <c r="BI3847" s="76"/>
      <c r="BJ3847" s="76"/>
      <c r="BK3847" s="76"/>
      <c r="BL3847" s="76">
        <f>+BK3847*31500</f>
        <v>0</v>
      </c>
      <c r="BM3847" s="76"/>
      <c r="BN3847" s="76"/>
      <c r="BO3847" s="76"/>
      <c r="BP3847" s="76"/>
      <c r="BQ3847" s="76"/>
      <c r="BR3847" s="76"/>
      <c r="BS3847" s="76"/>
      <c r="BT3847" s="76"/>
      <c r="BU3847" s="76"/>
      <c r="BV3847" s="76"/>
      <c r="BW3847" s="76"/>
      <c r="BX3847" s="76"/>
      <c r="BY3847" s="76"/>
      <c r="BZ3847" s="76"/>
      <c r="CA3847" s="76"/>
      <c r="CB3847" s="76"/>
      <c r="CC3847" s="76"/>
      <c r="CD3847" s="76"/>
      <c r="CE3847" s="76"/>
      <c r="CF3847" s="76">
        <f>+CE3847*28000</f>
        <v>0</v>
      </c>
      <c r="CG3847" s="76"/>
      <c r="CH3847" s="76">
        <f>+CG3847*22500</f>
        <v>0</v>
      </c>
      <c r="CI3847" s="76"/>
      <c r="CJ3847" s="76">
        <f>+CI3847*26000</f>
        <v>0</v>
      </c>
      <c r="CK3847" s="76"/>
      <c r="CL3847" s="76"/>
      <c r="CM3847" s="76"/>
      <c r="CN3847" s="76">
        <f>+CM3847*22000</f>
        <v>0</v>
      </c>
      <c r="CO3847" s="76"/>
      <c r="CP3847" s="76">
        <f>+CO3847*46000</f>
        <v>0</v>
      </c>
      <c r="CQ3847" s="76"/>
      <c r="CR3847" s="76">
        <f>+CQ3847*49000</f>
        <v>0</v>
      </c>
      <c r="CS3847" s="76"/>
      <c r="CT3847" s="76"/>
      <c r="CU3847" s="56">
        <f>AN3847+AP3847+AR3847+AT3847+AV3847+AX3847+AZ3847+BB3847+BD3847+BF3847+BH3847+BJ3847+BL3847+BN3847+BP3847+BR3847+BT3847+BV3847+BX3847+BZ3847+CB3847+CD3847+CF3847+CH3847+CJ3847+CL3847+CN3847+CP3847+CR3847+CT3847</f>
        <v>0</v>
      </c>
      <c r="CV3847" s="76"/>
      <c r="CW3847" s="76">
        <f>+CV3847*1100</f>
        <v>0</v>
      </c>
      <c r="CX3847" s="76"/>
      <c r="CY3847" s="76">
        <f>+CX3847*106250</f>
        <v>0</v>
      </c>
      <c r="CZ3847" s="76"/>
      <c r="DA3847" s="76">
        <f>+CZ3847*34500</f>
        <v>0</v>
      </c>
      <c r="DB3847" s="76"/>
      <c r="DC3847" s="76">
        <f>+DB3847*25000</f>
        <v>0</v>
      </c>
      <c r="DD3847" s="219"/>
      <c r="DE3847" s="76"/>
      <c r="DF3847" s="166"/>
      <c r="DG3847" s="116"/>
      <c r="DH3847" s="117"/>
      <c r="DI3847" s="24"/>
      <c r="DJ3847" s="24"/>
      <c r="DK3847" s="24"/>
      <c r="DL3847" s="24"/>
      <c r="DM3847" s="24"/>
      <c r="DN3847" s="24"/>
      <c r="DO3847" s="24"/>
      <c r="DP3847" s="24"/>
      <c r="DQ3847" s="24"/>
      <c r="DR3847" s="24"/>
      <c r="DS3847" s="24"/>
      <c r="DT3847" s="24"/>
      <c r="DU3847" s="24"/>
    </row>
    <row r="3848" spans="1:125" s="8" customFormat="1" ht="96" x14ac:dyDescent="0.2">
      <c r="A3848" s="5">
        <v>41615</v>
      </c>
      <c r="B3848" s="84" t="s">
        <v>2880</v>
      </c>
      <c r="C3848" s="84" t="s">
        <v>481</v>
      </c>
      <c r="D3848" s="75" t="s">
        <v>2849</v>
      </c>
      <c r="E3848" s="353" t="str">
        <f>VLOOKUP(B3848&amp;C3848,Divipola!$C$2:$F$1138,4,FALSE)</f>
        <v>54720</v>
      </c>
      <c r="F3848" s="89">
        <v>3</v>
      </c>
      <c r="G3848" s="89"/>
      <c r="H3848" s="89"/>
      <c r="I3848" s="89"/>
      <c r="J3848" s="89"/>
      <c r="K3848" s="89"/>
      <c r="L3848" s="89"/>
      <c r="M3848" s="89"/>
      <c r="N3848" s="89"/>
      <c r="O3848" s="89"/>
      <c r="P3848" s="89"/>
      <c r="Q3848" s="89"/>
      <c r="R3848" s="89"/>
      <c r="S3848" s="89"/>
      <c r="T3848" s="89"/>
      <c r="U3848" s="89"/>
      <c r="V3848" s="89">
        <v>1</v>
      </c>
      <c r="W3848" s="96">
        <v>0</v>
      </c>
      <c r="X3848" s="71">
        <f>CU3848</f>
        <v>0</v>
      </c>
      <c r="Y3848" s="71">
        <f>CY3848</f>
        <v>0</v>
      </c>
      <c r="Z3848" s="71">
        <f>DA3848+DC3848+DE3848</f>
        <v>0</v>
      </c>
      <c r="AA3848" s="71">
        <f>CW3848</f>
        <v>0</v>
      </c>
      <c r="AB3848" s="71"/>
      <c r="AC3848" s="71">
        <v>0</v>
      </c>
      <c r="AD3848" s="71">
        <f>W3848+X3848+Y3848+Z3848+AA3848+AB3848+AC3848</f>
        <v>0</v>
      </c>
      <c r="AE3848" s="72">
        <v>0</v>
      </c>
      <c r="AF3848" s="5"/>
      <c r="AG3848" s="6"/>
      <c r="AH3848" s="27"/>
      <c r="AI3848" s="44"/>
      <c r="AJ3848" s="26"/>
      <c r="AK3848" s="5"/>
      <c r="AL3848" s="9" t="s">
        <v>6892</v>
      </c>
      <c r="AM3848" s="76"/>
      <c r="AN3848" s="76"/>
      <c r="AO3848" s="76"/>
      <c r="AP3848" s="76"/>
      <c r="AQ3848" s="76"/>
      <c r="AR3848" s="76"/>
      <c r="AS3848" s="76"/>
      <c r="AT3848" s="76"/>
      <c r="AU3848" s="76"/>
      <c r="AV3848" s="76"/>
      <c r="AW3848" s="76"/>
      <c r="AX3848" s="76">
        <f>+AW3848*600000</f>
        <v>0</v>
      </c>
      <c r="AY3848" s="76"/>
      <c r="AZ3848" s="76">
        <f>+AY3848*70000</f>
        <v>0</v>
      </c>
      <c r="BA3848" s="76"/>
      <c r="BB3848" s="76"/>
      <c r="BC3848" s="76"/>
      <c r="BD3848" s="76">
        <f>+BC3848*30000</f>
        <v>0</v>
      </c>
      <c r="BE3848" s="76"/>
      <c r="BF3848" s="76"/>
      <c r="BG3848" s="76"/>
      <c r="BH3848" s="76"/>
      <c r="BI3848" s="76"/>
      <c r="BJ3848" s="76"/>
      <c r="BK3848" s="76"/>
      <c r="BL3848" s="76">
        <f>+BK3848*31500</f>
        <v>0</v>
      </c>
      <c r="BM3848" s="76"/>
      <c r="BN3848" s="76"/>
      <c r="BO3848" s="76"/>
      <c r="BP3848" s="76"/>
      <c r="BQ3848" s="76"/>
      <c r="BR3848" s="76"/>
      <c r="BS3848" s="76"/>
      <c r="BT3848" s="76"/>
      <c r="BU3848" s="76"/>
      <c r="BV3848" s="76"/>
      <c r="BW3848" s="76"/>
      <c r="BX3848" s="76"/>
      <c r="BY3848" s="76"/>
      <c r="BZ3848" s="76"/>
      <c r="CA3848" s="76"/>
      <c r="CB3848" s="76"/>
      <c r="CC3848" s="76"/>
      <c r="CD3848" s="76"/>
      <c r="CE3848" s="76"/>
      <c r="CF3848" s="76">
        <f>+CE3848*28000</f>
        <v>0</v>
      </c>
      <c r="CG3848" s="76"/>
      <c r="CH3848" s="76">
        <f>+CG3848*22500</f>
        <v>0</v>
      </c>
      <c r="CI3848" s="76"/>
      <c r="CJ3848" s="76">
        <f>+CI3848*26000</f>
        <v>0</v>
      </c>
      <c r="CK3848" s="76"/>
      <c r="CL3848" s="76"/>
      <c r="CM3848" s="76"/>
      <c r="CN3848" s="76">
        <f>+CM3848*22000</f>
        <v>0</v>
      </c>
      <c r="CO3848" s="76"/>
      <c r="CP3848" s="76">
        <f>+CO3848*46000</f>
        <v>0</v>
      </c>
      <c r="CQ3848" s="76"/>
      <c r="CR3848" s="76">
        <f>+CQ3848*49000</f>
        <v>0</v>
      </c>
      <c r="CS3848" s="76"/>
      <c r="CT3848" s="76"/>
      <c r="CU3848" s="56">
        <f>AN3848+AP3848+AR3848+AT3848+AV3848+AX3848+AZ3848+BB3848+BD3848+BF3848+BH3848+BJ3848+BL3848+BN3848+BP3848+BR3848+BT3848+BV3848+BX3848+BZ3848+CB3848+CD3848+CF3848+CH3848+CJ3848+CL3848+CN3848+CP3848+CR3848+CT3848</f>
        <v>0</v>
      </c>
      <c r="CV3848" s="76"/>
      <c r="CW3848" s="76">
        <f>+CV3848*1100</f>
        <v>0</v>
      </c>
      <c r="CX3848" s="76"/>
      <c r="CY3848" s="76">
        <f>+CX3848*106250</f>
        <v>0</v>
      </c>
      <c r="CZ3848" s="76"/>
      <c r="DA3848" s="76">
        <f>+CZ3848*34500</f>
        <v>0</v>
      </c>
      <c r="DB3848" s="76"/>
      <c r="DC3848" s="76">
        <f>+DB3848*25000</f>
        <v>0</v>
      </c>
      <c r="DD3848" s="219"/>
      <c r="DE3848" s="76"/>
      <c r="DF3848" s="166"/>
      <c r="DG3848" s="116"/>
      <c r="DH3848" s="117"/>
      <c r="DI3848" s="24"/>
      <c r="DJ3848" s="24"/>
      <c r="DK3848" s="24"/>
      <c r="DL3848" s="24"/>
      <c r="DM3848" s="24"/>
      <c r="DN3848" s="24"/>
      <c r="DO3848" s="24"/>
      <c r="DP3848" s="24"/>
      <c r="DQ3848" s="24"/>
      <c r="DR3848" s="24"/>
      <c r="DS3848" s="24"/>
      <c r="DT3848" s="24"/>
      <c r="DU3848" s="24"/>
    </row>
    <row r="3849" spans="1:125" s="8" customFormat="1" ht="108" x14ac:dyDescent="0.2">
      <c r="A3849" s="77">
        <v>41616</v>
      </c>
      <c r="B3849" s="352" t="s">
        <v>2881</v>
      </c>
      <c r="C3849" s="354" t="s">
        <v>2767</v>
      </c>
      <c r="D3849" s="354" t="s">
        <v>2859</v>
      </c>
      <c r="E3849" s="353" t="str">
        <f>VLOOKUP(B3849&amp;C3849,Divipola!$C$2:$F$1138,4,FALSE)</f>
        <v>08001</v>
      </c>
      <c r="F3849" s="87"/>
      <c r="G3849" s="87"/>
      <c r="H3849" s="87"/>
      <c r="I3849" s="87">
        <v>5</v>
      </c>
      <c r="J3849" s="87">
        <v>1</v>
      </c>
      <c r="K3849" s="87"/>
      <c r="L3849" s="87">
        <v>1</v>
      </c>
      <c r="M3849" s="87"/>
      <c r="N3849" s="87"/>
      <c r="O3849" s="87"/>
      <c r="P3849" s="87"/>
      <c r="Q3849" s="87"/>
      <c r="R3849" s="87"/>
      <c r="S3849" s="87"/>
      <c r="T3849" s="87"/>
      <c r="U3849" s="88"/>
      <c r="V3849" s="89"/>
      <c r="W3849" s="96">
        <v>0</v>
      </c>
      <c r="X3849" s="71">
        <f>CU3849</f>
        <v>0</v>
      </c>
      <c r="Y3849" s="71">
        <f>CY3849</f>
        <v>0</v>
      </c>
      <c r="Z3849" s="71">
        <f>DA3849+DC3849+DE3849</f>
        <v>0</v>
      </c>
      <c r="AA3849" s="71">
        <f>CW3849</f>
        <v>0</v>
      </c>
      <c r="AB3849" s="71"/>
      <c r="AC3849" s="71">
        <v>0</v>
      </c>
      <c r="AD3849" s="71">
        <f>W3849+X3849+Y3849+Z3849+AA3849+AB3849+AC3849</f>
        <v>0</v>
      </c>
      <c r="AE3849" s="72">
        <v>0</v>
      </c>
      <c r="AF3849" s="5"/>
      <c r="AG3849" s="6"/>
      <c r="AH3849" s="27"/>
      <c r="AI3849" s="44"/>
      <c r="AJ3849" s="26"/>
      <c r="AK3849" s="5"/>
      <c r="AL3849" s="82" t="s">
        <v>6888</v>
      </c>
      <c r="AM3849" s="76"/>
      <c r="AN3849" s="76"/>
      <c r="AO3849" s="76"/>
      <c r="AP3849" s="76"/>
      <c r="AQ3849" s="76"/>
      <c r="AR3849" s="76"/>
      <c r="AS3849" s="76"/>
      <c r="AT3849" s="76"/>
      <c r="AU3849" s="76"/>
      <c r="AV3849" s="76"/>
      <c r="AW3849" s="76"/>
      <c r="AX3849" s="76">
        <f>+AW3849*600000</f>
        <v>0</v>
      </c>
      <c r="AY3849" s="76"/>
      <c r="AZ3849" s="76">
        <f>+AY3849*70000</f>
        <v>0</v>
      </c>
      <c r="BA3849" s="76"/>
      <c r="BB3849" s="76"/>
      <c r="BC3849" s="76"/>
      <c r="BD3849" s="76">
        <f>+BC3849*30000</f>
        <v>0</v>
      </c>
      <c r="BE3849" s="76"/>
      <c r="BF3849" s="76"/>
      <c r="BG3849" s="76"/>
      <c r="BH3849" s="76"/>
      <c r="BI3849" s="76"/>
      <c r="BJ3849" s="76"/>
      <c r="BK3849" s="76"/>
      <c r="BL3849" s="76">
        <f>+BK3849*31500</f>
        <v>0</v>
      </c>
      <c r="BM3849" s="76"/>
      <c r="BN3849" s="76"/>
      <c r="BO3849" s="76"/>
      <c r="BP3849" s="76"/>
      <c r="BQ3849" s="76"/>
      <c r="BR3849" s="76"/>
      <c r="BS3849" s="76"/>
      <c r="BT3849" s="76"/>
      <c r="BU3849" s="76"/>
      <c r="BV3849" s="76"/>
      <c r="BW3849" s="76"/>
      <c r="BX3849" s="76"/>
      <c r="BY3849" s="76"/>
      <c r="BZ3849" s="76"/>
      <c r="CA3849" s="76"/>
      <c r="CB3849" s="76"/>
      <c r="CC3849" s="76"/>
      <c r="CD3849" s="76"/>
      <c r="CE3849" s="76"/>
      <c r="CF3849" s="76">
        <f>+CE3849*28000</f>
        <v>0</v>
      </c>
      <c r="CG3849" s="76"/>
      <c r="CH3849" s="76">
        <f>+CG3849*22500</f>
        <v>0</v>
      </c>
      <c r="CI3849" s="76"/>
      <c r="CJ3849" s="76">
        <f>+CI3849*26000</f>
        <v>0</v>
      </c>
      <c r="CK3849" s="76"/>
      <c r="CL3849" s="76"/>
      <c r="CM3849" s="76"/>
      <c r="CN3849" s="76">
        <f>+CM3849*22000</f>
        <v>0</v>
      </c>
      <c r="CO3849" s="76"/>
      <c r="CP3849" s="76">
        <f>+CO3849*46000</f>
        <v>0</v>
      </c>
      <c r="CQ3849" s="76"/>
      <c r="CR3849" s="76">
        <f>+CQ3849*49000</f>
        <v>0</v>
      </c>
      <c r="CS3849" s="76"/>
      <c r="CT3849" s="76"/>
      <c r="CU3849" s="56">
        <f>AN3849+AP3849+AR3849+AT3849+AV3849+AX3849+AZ3849+BB3849+BD3849+BF3849+BH3849+BJ3849+BL3849+BN3849+BP3849+BR3849+BT3849+BV3849+BX3849+BZ3849+CB3849+CD3849+CF3849+CH3849+CJ3849+CL3849+CN3849+CP3849+CR3849+CT3849</f>
        <v>0</v>
      </c>
      <c r="CV3849" s="76"/>
      <c r="CW3849" s="76">
        <f>+CV3849*1100</f>
        <v>0</v>
      </c>
      <c r="CX3849" s="76"/>
      <c r="CY3849" s="76">
        <f>+CX3849*106250</f>
        <v>0</v>
      </c>
      <c r="CZ3849" s="76"/>
      <c r="DA3849" s="76">
        <f>+CZ3849*34500</f>
        <v>0</v>
      </c>
      <c r="DB3849" s="76"/>
      <c r="DC3849" s="76">
        <f>+DB3849*25000</f>
        <v>0</v>
      </c>
      <c r="DD3849" s="219"/>
      <c r="DE3849" s="76"/>
      <c r="DF3849" s="166"/>
      <c r="DG3849" s="116"/>
      <c r="DH3849" s="117"/>
      <c r="DI3849" s="24"/>
      <c r="DJ3849" s="24"/>
      <c r="DK3849" s="24"/>
      <c r="DL3849" s="24"/>
      <c r="DM3849" s="24"/>
      <c r="DN3849" s="24"/>
      <c r="DO3849" s="24"/>
      <c r="DP3849" s="24"/>
      <c r="DQ3849" s="24"/>
      <c r="DR3849" s="24"/>
      <c r="DS3849" s="24"/>
      <c r="DT3849" s="24"/>
      <c r="DU3849" s="24"/>
    </row>
    <row r="3850" spans="1:125" s="8" customFormat="1" ht="48" x14ac:dyDescent="0.2">
      <c r="A3850" s="353">
        <v>41616</v>
      </c>
      <c r="B3850" s="352" t="s">
        <v>2848</v>
      </c>
      <c r="C3850" s="354" t="s">
        <v>2755</v>
      </c>
      <c r="D3850" s="354" t="s">
        <v>3088</v>
      </c>
      <c r="E3850" s="353" t="str">
        <f>VLOOKUP(B3850&amp;C3850,Divipola!$C$2:$F$1138,4,FALSE)</f>
        <v>73001</v>
      </c>
      <c r="F3850" s="87"/>
      <c r="G3850" s="87"/>
      <c r="H3850" s="87"/>
      <c r="I3850" s="87"/>
      <c r="J3850" s="87"/>
      <c r="K3850" s="87"/>
      <c r="L3850" s="87"/>
      <c r="M3850" s="87"/>
      <c r="N3850" s="87"/>
      <c r="O3850" s="87">
        <v>1</v>
      </c>
      <c r="P3850" s="87"/>
      <c r="Q3850" s="87"/>
      <c r="R3850" s="87"/>
      <c r="S3850" s="87"/>
      <c r="T3850" s="87"/>
      <c r="U3850" s="88"/>
      <c r="V3850" s="89"/>
      <c r="W3850" s="96">
        <v>0</v>
      </c>
      <c r="X3850" s="71">
        <f>CU3850</f>
        <v>0</v>
      </c>
      <c r="Y3850" s="71">
        <f>CY3850</f>
        <v>0</v>
      </c>
      <c r="Z3850" s="71">
        <f>DA3850+DC3850+DE3850</f>
        <v>0</v>
      </c>
      <c r="AA3850" s="71">
        <f>CW3850</f>
        <v>0</v>
      </c>
      <c r="AB3850" s="71"/>
      <c r="AC3850" s="71">
        <v>0</v>
      </c>
      <c r="AD3850" s="71">
        <f>W3850+X3850+Y3850+Z3850+AA3850+AB3850+AC3850</f>
        <v>0</v>
      </c>
      <c r="AE3850" s="72">
        <v>0</v>
      </c>
      <c r="AF3850" s="5"/>
      <c r="AG3850" s="6"/>
      <c r="AH3850" s="27"/>
      <c r="AI3850" s="44"/>
      <c r="AJ3850" s="26"/>
      <c r="AK3850" s="5"/>
      <c r="AL3850" s="82" t="s">
        <v>6890</v>
      </c>
      <c r="AM3850" s="76"/>
      <c r="AN3850" s="76"/>
      <c r="AO3850" s="76"/>
      <c r="AP3850" s="76"/>
      <c r="AQ3850" s="76"/>
      <c r="AR3850" s="76"/>
      <c r="AS3850" s="76"/>
      <c r="AT3850" s="76"/>
      <c r="AU3850" s="76"/>
      <c r="AV3850" s="76"/>
      <c r="AW3850" s="76"/>
      <c r="AX3850" s="76">
        <f>+AW3850*600000</f>
        <v>0</v>
      </c>
      <c r="AY3850" s="76"/>
      <c r="AZ3850" s="76">
        <f>+AY3850*70000</f>
        <v>0</v>
      </c>
      <c r="BA3850" s="76"/>
      <c r="BB3850" s="76"/>
      <c r="BC3850" s="76"/>
      <c r="BD3850" s="76">
        <f>+BC3850*30000</f>
        <v>0</v>
      </c>
      <c r="BE3850" s="76"/>
      <c r="BF3850" s="76"/>
      <c r="BG3850" s="76"/>
      <c r="BH3850" s="76"/>
      <c r="BI3850" s="76"/>
      <c r="BJ3850" s="76"/>
      <c r="BK3850" s="76"/>
      <c r="BL3850" s="76">
        <f>+BK3850*31500</f>
        <v>0</v>
      </c>
      <c r="BM3850" s="76"/>
      <c r="BN3850" s="76"/>
      <c r="BO3850" s="76"/>
      <c r="BP3850" s="76"/>
      <c r="BQ3850" s="76"/>
      <c r="BR3850" s="76"/>
      <c r="BS3850" s="76"/>
      <c r="BT3850" s="76"/>
      <c r="BU3850" s="76"/>
      <c r="BV3850" s="76"/>
      <c r="BW3850" s="76"/>
      <c r="BX3850" s="76"/>
      <c r="BY3850" s="76"/>
      <c r="BZ3850" s="76"/>
      <c r="CA3850" s="76"/>
      <c r="CB3850" s="76"/>
      <c r="CC3850" s="76"/>
      <c r="CD3850" s="76"/>
      <c r="CE3850" s="76"/>
      <c r="CF3850" s="76">
        <f>+CE3850*28000</f>
        <v>0</v>
      </c>
      <c r="CG3850" s="76"/>
      <c r="CH3850" s="76">
        <f>+CG3850*22500</f>
        <v>0</v>
      </c>
      <c r="CI3850" s="76"/>
      <c r="CJ3850" s="76">
        <f>+CI3850*26000</f>
        <v>0</v>
      </c>
      <c r="CK3850" s="76"/>
      <c r="CL3850" s="76"/>
      <c r="CM3850" s="76"/>
      <c r="CN3850" s="76">
        <f>+CM3850*22000</f>
        <v>0</v>
      </c>
      <c r="CO3850" s="76"/>
      <c r="CP3850" s="76">
        <f>+CO3850*46000</f>
        <v>0</v>
      </c>
      <c r="CQ3850" s="76"/>
      <c r="CR3850" s="76">
        <f>+CQ3850*49000</f>
        <v>0</v>
      </c>
      <c r="CS3850" s="76"/>
      <c r="CT3850" s="76"/>
      <c r="CU3850" s="56">
        <f>AN3850+AP3850+AR3850+AT3850+AV3850+AX3850+AZ3850+BB3850+BD3850+BF3850+BH3850+BJ3850+BL3850+BN3850+BP3850+BR3850+BT3850+BV3850+BX3850+BZ3850+CB3850+CD3850+CF3850+CH3850+CJ3850+CL3850+CN3850+CP3850+CR3850+CT3850</f>
        <v>0</v>
      </c>
      <c r="CV3850" s="76"/>
      <c r="CW3850" s="76">
        <f>+CV3850*1100</f>
        <v>0</v>
      </c>
      <c r="CX3850" s="76"/>
      <c r="CY3850" s="76">
        <f>+CX3850*106250</f>
        <v>0</v>
      </c>
      <c r="CZ3850" s="76"/>
      <c r="DA3850" s="76">
        <f>+CZ3850*34500</f>
        <v>0</v>
      </c>
      <c r="DB3850" s="76"/>
      <c r="DC3850" s="76">
        <f>+DB3850*25000</f>
        <v>0</v>
      </c>
      <c r="DD3850" s="219"/>
      <c r="DE3850" s="76"/>
      <c r="DF3850" s="166"/>
      <c r="DG3850" s="116"/>
      <c r="DH3850" s="117"/>
      <c r="DI3850" s="24"/>
      <c r="DJ3850" s="24"/>
      <c r="DK3850" s="24"/>
      <c r="DL3850" s="24"/>
      <c r="DM3850" s="24"/>
      <c r="DN3850" s="24"/>
      <c r="DO3850" s="24"/>
      <c r="DP3850" s="24"/>
      <c r="DQ3850" s="24"/>
      <c r="DR3850" s="24"/>
      <c r="DS3850" s="24"/>
      <c r="DT3850" s="24"/>
      <c r="DU3850" s="24"/>
    </row>
    <row r="3851" spans="1:125" s="8" customFormat="1" ht="72" x14ac:dyDescent="0.2">
      <c r="A3851" s="353">
        <v>41616</v>
      </c>
      <c r="B3851" s="352" t="s">
        <v>2848</v>
      </c>
      <c r="C3851" s="354" t="s">
        <v>2128</v>
      </c>
      <c r="D3851" s="354" t="s">
        <v>3088</v>
      </c>
      <c r="E3851" s="353" t="str">
        <f>VLOOKUP(B3851&amp;C3851,Divipola!$C$2:$F$1138,4,FALSE)</f>
        <v>73124</v>
      </c>
      <c r="F3851" s="87"/>
      <c r="G3851" s="87"/>
      <c r="H3851" s="87"/>
      <c r="I3851" s="87"/>
      <c r="J3851" s="87"/>
      <c r="K3851" s="87"/>
      <c r="L3851" s="87"/>
      <c r="M3851" s="87">
        <v>4</v>
      </c>
      <c r="N3851" s="87"/>
      <c r="O3851" s="87"/>
      <c r="P3851" s="87"/>
      <c r="Q3851" s="87"/>
      <c r="R3851" s="87"/>
      <c r="S3851" s="87"/>
      <c r="T3851" s="87"/>
      <c r="U3851" s="88"/>
      <c r="V3851" s="89"/>
      <c r="W3851" s="96">
        <v>0</v>
      </c>
      <c r="X3851" s="71">
        <f>CU3851</f>
        <v>0</v>
      </c>
      <c r="Y3851" s="71">
        <f>CY3851</f>
        <v>0</v>
      </c>
      <c r="Z3851" s="71">
        <f>DA3851+DC3851+DE3851</f>
        <v>0</v>
      </c>
      <c r="AA3851" s="71">
        <f>CW3851</f>
        <v>0</v>
      </c>
      <c r="AB3851" s="71"/>
      <c r="AC3851" s="71">
        <v>0</v>
      </c>
      <c r="AD3851" s="71">
        <f>W3851+X3851+Y3851+Z3851+AA3851+AB3851+AC3851</f>
        <v>0</v>
      </c>
      <c r="AE3851" s="72">
        <v>0</v>
      </c>
      <c r="AF3851" s="5"/>
      <c r="AG3851" s="6"/>
      <c r="AH3851" s="27"/>
      <c r="AI3851" s="44"/>
      <c r="AJ3851" s="26"/>
      <c r="AK3851" s="5"/>
      <c r="AL3851" s="82" t="s">
        <v>6891</v>
      </c>
      <c r="AM3851" s="76"/>
      <c r="AN3851" s="76"/>
      <c r="AO3851" s="76"/>
      <c r="AP3851" s="76"/>
      <c r="AQ3851" s="76"/>
      <c r="AR3851" s="76"/>
      <c r="AS3851" s="76"/>
      <c r="AT3851" s="76"/>
      <c r="AU3851" s="76"/>
      <c r="AV3851" s="76"/>
      <c r="AW3851" s="76"/>
      <c r="AX3851" s="76">
        <f>+AW3851*600000</f>
        <v>0</v>
      </c>
      <c r="AY3851" s="76"/>
      <c r="AZ3851" s="76">
        <f>+AY3851*70000</f>
        <v>0</v>
      </c>
      <c r="BA3851" s="76"/>
      <c r="BB3851" s="76"/>
      <c r="BC3851" s="76"/>
      <c r="BD3851" s="76">
        <f>+BC3851*30000</f>
        <v>0</v>
      </c>
      <c r="BE3851" s="76"/>
      <c r="BF3851" s="76"/>
      <c r="BG3851" s="76"/>
      <c r="BH3851" s="76"/>
      <c r="BI3851" s="76"/>
      <c r="BJ3851" s="76"/>
      <c r="BK3851" s="76"/>
      <c r="BL3851" s="76">
        <f>+BK3851*31500</f>
        <v>0</v>
      </c>
      <c r="BM3851" s="76"/>
      <c r="BN3851" s="76"/>
      <c r="BO3851" s="76"/>
      <c r="BP3851" s="76"/>
      <c r="BQ3851" s="76"/>
      <c r="BR3851" s="76"/>
      <c r="BS3851" s="76"/>
      <c r="BT3851" s="76"/>
      <c r="BU3851" s="76"/>
      <c r="BV3851" s="76"/>
      <c r="BW3851" s="76"/>
      <c r="BX3851" s="76"/>
      <c r="BY3851" s="76"/>
      <c r="BZ3851" s="76"/>
      <c r="CA3851" s="76"/>
      <c r="CB3851" s="76"/>
      <c r="CC3851" s="76"/>
      <c r="CD3851" s="76"/>
      <c r="CE3851" s="76"/>
      <c r="CF3851" s="76">
        <f>+CE3851*28000</f>
        <v>0</v>
      </c>
      <c r="CG3851" s="76"/>
      <c r="CH3851" s="76">
        <f>+CG3851*22500</f>
        <v>0</v>
      </c>
      <c r="CI3851" s="76"/>
      <c r="CJ3851" s="76">
        <f>+CI3851*26000</f>
        <v>0</v>
      </c>
      <c r="CK3851" s="76"/>
      <c r="CL3851" s="76"/>
      <c r="CM3851" s="76"/>
      <c r="CN3851" s="76">
        <f>+CM3851*22000</f>
        <v>0</v>
      </c>
      <c r="CO3851" s="76"/>
      <c r="CP3851" s="76">
        <f>+CO3851*46000</f>
        <v>0</v>
      </c>
      <c r="CQ3851" s="76"/>
      <c r="CR3851" s="76">
        <f>+CQ3851*49000</f>
        <v>0</v>
      </c>
      <c r="CS3851" s="76"/>
      <c r="CT3851" s="76"/>
      <c r="CU3851" s="56">
        <f>AN3851+AP3851+AR3851+AT3851+AV3851+AX3851+AZ3851+BB3851+BD3851+BF3851+BH3851+BJ3851+BL3851+BN3851+BP3851+BR3851+BT3851+BV3851+BX3851+BZ3851+CB3851+CD3851+CF3851+CH3851+CJ3851+CL3851+CN3851+CP3851+CR3851+CT3851</f>
        <v>0</v>
      </c>
      <c r="CV3851" s="76"/>
      <c r="CW3851" s="76">
        <f>+CV3851*1100</f>
        <v>0</v>
      </c>
      <c r="CX3851" s="76"/>
      <c r="CY3851" s="76">
        <f>+CX3851*106250</f>
        <v>0</v>
      </c>
      <c r="CZ3851" s="76"/>
      <c r="DA3851" s="76">
        <f>+CZ3851*34500</f>
        <v>0</v>
      </c>
      <c r="DB3851" s="76"/>
      <c r="DC3851" s="76">
        <f>+DB3851*25000</f>
        <v>0</v>
      </c>
      <c r="DD3851" s="219"/>
      <c r="DE3851" s="76"/>
      <c r="DF3851" s="166"/>
      <c r="DG3851" s="116"/>
      <c r="DH3851" s="117"/>
      <c r="DI3851" s="24"/>
      <c r="DJ3851" s="24"/>
      <c r="DK3851" s="24"/>
      <c r="DL3851" s="24"/>
      <c r="DM3851" s="24"/>
      <c r="DN3851" s="24"/>
      <c r="DO3851" s="24"/>
      <c r="DP3851" s="24"/>
      <c r="DQ3851" s="24"/>
      <c r="DR3851" s="24"/>
      <c r="DS3851" s="24"/>
      <c r="DT3851" s="24"/>
      <c r="DU3851" s="24"/>
    </row>
    <row r="3852" spans="1:125" s="8" customFormat="1" ht="144" x14ac:dyDescent="0.2">
      <c r="A3852" s="77">
        <v>41616</v>
      </c>
      <c r="B3852" s="78" t="s">
        <v>2811</v>
      </c>
      <c r="C3852" s="75" t="s">
        <v>189</v>
      </c>
      <c r="D3852" s="75" t="s">
        <v>3088</v>
      </c>
      <c r="E3852" s="353" t="str">
        <f>VLOOKUP(B3852&amp;C3852,Divipola!$C$2:$F$1138,4,FALSE)</f>
        <v>52435</v>
      </c>
      <c r="F3852" s="87"/>
      <c r="G3852" s="87"/>
      <c r="H3852" s="87"/>
      <c r="I3852" s="87">
        <v>27</v>
      </c>
      <c r="J3852" s="87">
        <v>9</v>
      </c>
      <c r="K3852" s="87">
        <v>2</v>
      </c>
      <c r="L3852" s="87">
        <v>2</v>
      </c>
      <c r="M3852" s="87">
        <v>1</v>
      </c>
      <c r="N3852" s="87"/>
      <c r="O3852" s="87"/>
      <c r="P3852" s="87"/>
      <c r="Q3852" s="87"/>
      <c r="R3852" s="87"/>
      <c r="S3852" s="87"/>
      <c r="T3852" s="87"/>
      <c r="U3852" s="88"/>
      <c r="V3852" s="89"/>
      <c r="W3852" s="96">
        <v>0</v>
      </c>
      <c r="X3852" s="71">
        <f>CU3852</f>
        <v>0</v>
      </c>
      <c r="Y3852" s="71">
        <f>CY3852</f>
        <v>0</v>
      </c>
      <c r="Z3852" s="71">
        <f>DA3852+DC3852+DE3852</f>
        <v>0</v>
      </c>
      <c r="AA3852" s="71">
        <f>CW3852</f>
        <v>0</v>
      </c>
      <c r="AB3852" s="71"/>
      <c r="AC3852" s="71">
        <v>0</v>
      </c>
      <c r="AD3852" s="71">
        <f>W3852+X3852+Y3852+Z3852+AA3852+AB3852+AC3852</f>
        <v>0</v>
      </c>
      <c r="AE3852" s="72">
        <v>0</v>
      </c>
      <c r="AF3852" s="5"/>
      <c r="AG3852" s="6"/>
      <c r="AH3852" s="27"/>
      <c r="AI3852" s="44"/>
      <c r="AJ3852" s="26"/>
      <c r="AK3852" s="5"/>
      <c r="AL3852" s="278" t="s">
        <v>6900</v>
      </c>
      <c r="AM3852" s="76"/>
      <c r="AN3852" s="76"/>
      <c r="AO3852" s="76"/>
      <c r="AP3852" s="76"/>
      <c r="AQ3852" s="76"/>
      <c r="AR3852" s="76"/>
      <c r="AS3852" s="76"/>
      <c r="AT3852" s="76"/>
      <c r="AU3852" s="76"/>
      <c r="AV3852" s="76"/>
      <c r="AW3852" s="76"/>
      <c r="AX3852" s="76">
        <f>+AW3852*600000</f>
        <v>0</v>
      </c>
      <c r="AY3852" s="76"/>
      <c r="AZ3852" s="76">
        <f>+AY3852*70000</f>
        <v>0</v>
      </c>
      <c r="BA3852" s="76"/>
      <c r="BB3852" s="76"/>
      <c r="BC3852" s="76"/>
      <c r="BD3852" s="76">
        <f>+BC3852*30000</f>
        <v>0</v>
      </c>
      <c r="BE3852" s="76"/>
      <c r="BF3852" s="76"/>
      <c r="BG3852" s="76"/>
      <c r="BH3852" s="76"/>
      <c r="BI3852" s="76"/>
      <c r="BJ3852" s="76"/>
      <c r="BK3852" s="76"/>
      <c r="BL3852" s="76">
        <f>+BK3852*31500</f>
        <v>0</v>
      </c>
      <c r="BM3852" s="76"/>
      <c r="BN3852" s="76"/>
      <c r="BO3852" s="76"/>
      <c r="BP3852" s="76"/>
      <c r="BQ3852" s="76"/>
      <c r="BR3852" s="76"/>
      <c r="BS3852" s="76"/>
      <c r="BT3852" s="76"/>
      <c r="BU3852" s="76"/>
      <c r="BV3852" s="76"/>
      <c r="BW3852" s="76"/>
      <c r="BX3852" s="76"/>
      <c r="BY3852" s="76"/>
      <c r="BZ3852" s="76"/>
      <c r="CA3852" s="76"/>
      <c r="CB3852" s="76"/>
      <c r="CC3852" s="76"/>
      <c r="CD3852" s="76"/>
      <c r="CE3852" s="76"/>
      <c r="CF3852" s="76">
        <f>+CE3852*28000</f>
        <v>0</v>
      </c>
      <c r="CG3852" s="76"/>
      <c r="CH3852" s="76">
        <f>+CG3852*22500</f>
        <v>0</v>
      </c>
      <c r="CI3852" s="76"/>
      <c r="CJ3852" s="76">
        <f>+CI3852*26000</f>
        <v>0</v>
      </c>
      <c r="CK3852" s="76"/>
      <c r="CL3852" s="76"/>
      <c r="CM3852" s="76"/>
      <c r="CN3852" s="76">
        <f>+CM3852*22000</f>
        <v>0</v>
      </c>
      <c r="CO3852" s="76"/>
      <c r="CP3852" s="76">
        <f>+CO3852*46000</f>
        <v>0</v>
      </c>
      <c r="CQ3852" s="76"/>
      <c r="CR3852" s="76">
        <f>+CQ3852*49000</f>
        <v>0</v>
      </c>
      <c r="CS3852" s="76"/>
      <c r="CT3852" s="76"/>
      <c r="CU3852" s="56">
        <f>AN3852+AP3852+AR3852+AT3852+AV3852+AX3852+AZ3852+BB3852+BD3852+BF3852+BH3852+BJ3852+BL3852+BN3852+BP3852+BR3852+BT3852+BV3852+BX3852+BZ3852+CB3852+CD3852+CF3852+CH3852+CJ3852+CL3852+CN3852+CP3852+CR3852+CT3852</f>
        <v>0</v>
      </c>
      <c r="CV3852" s="76"/>
      <c r="CW3852" s="76">
        <f>+CV3852*1100</f>
        <v>0</v>
      </c>
      <c r="CX3852" s="76"/>
      <c r="CY3852" s="76">
        <f>+CX3852*106250</f>
        <v>0</v>
      </c>
      <c r="CZ3852" s="76"/>
      <c r="DA3852" s="76">
        <f>+CZ3852*34500</f>
        <v>0</v>
      </c>
      <c r="DB3852" s="76"/>
      <c r="DC3852" s="76">
        <f>+DB3852*25000</f>
        <v>0</v>
      </c>
      <c r="DD3852" s="219"/>
      <c r="DE3852" s="76"/>
      <c r="DF3852" s="166"/>
      <c r="DG3852" s="116"/>
      <c r="DH3852" s="117"/>
      <c r="DI3852" s="24"/>
      <c r="DJ3852" s="24"/>
      <c r="DK3852" s="24"/>
      <c r="DL3852" s="24"/>
      <c r="DM3852" s="24"/>
      <c r="DN3852" s="24"/>
      <c r="DO3852" s="24"/>
      <c r="DP3852" s="24"/>
      <c r="DQ3852" s="24"/>
      <c r="DR3852" s="24"/>
      <c r="DS3852" s="24"/>
      <c r="DT3852" s="24"/>
      <c r="DU3852" s="24"/>
    </row>
    <row r="3853" spans="1:125" s="8" customFormat="1" ht="84" x14ac:dyDescent="0.2">
      <c r="A3853" s="77">
        <v>41616</v>
      </c>
      <c r="B3853" s="75" t="s">
        <v>2880</v>
      </c>
      <c r="C3853" s="75" t="s">
        <v>2797</v>
      </c>
      <c r="D3853" s="75" t="s">
        <v>2849</v>
      </c>
      <c r="E3853" s="353" t="str">
        <f>VLOOKUP(B3853&amp;C3853,Divipola!$C$2:$F$1138,4,FALSE)</f>
        <v>54498</v>
      </c>
      <c r="F3853" s="93">
        <v>2</v>
      </c>
      <c r="G3853" s="93">
        <v>3</v>
      </c>
      <c r="H3853" s="93"/>
      <c r="I3853" s="93"/>
      <c r="J3853" s="93"/>
      <c r="K3853" s="93"/>
      <c r="L3853" s="93"/>
      <c r="M3853" s="93"/>
      <c r="N3853" s="93"/>
      <c r="O3853" s="93"/>
      <c r="P3853" s="93"/>
      <c r="Q3853" s="93"/>
      <c r="R3853" s="93"/>
      <c r="S3853" s="93"/>
      <c r="T3853" s="93"/>
      <c r="U3853" s="93"/>
      <c r="V3853" s="93"/>
      <c r="W3853" s="96">
        <v>0</v>
      </c>
      <c r="X3853" s="71">
        <f>CU3853</f>
        <v>0</v>
      </c>
      <c r="Y3853" s="71">
        <f>CY3853</f>
        <v>0</v>
      </c>
      <c r="Z3853" s="71">
        <f>DA3853+DC3853+DE3853</f>
        <v>0</v>
      </c>
      <c r="AA3853" s="71">
        <f>CW3853</f>
        <v>0</v>
      </c>
      <c r="AB3853" s="71"/>
      <c r="AC3853" s="71">
        <v>0</v>
      </c>
      <c r="AD3853" s="71">
        <f>W3853+X3853+Y3853+Z3853+AA3853+AB3853+AC3853</f>
        <v>0</v>
      </c>
      <c r="AE3853" s="72">
        <v>0</v>
      </c>
      <c r="AF3853" s="5"/>
      <c r="AG3853" s="6"/>
      <c r="AH3853" s="27"/>
      <c r="AI3853" s="44"/>
      <c r="AJ3853" s="26"/>
      <c r="AK3853" s="5"/>
      <c r="AL3853" s="330" t="s">
        <v>6893</v>
      </c>
      <c r="AM3853" s="76"/>
      <c r="AN3853" s="76"/>
      <c r="AO3853" s="76"/>
      <c r="AP3853" s="76"/>
      <c r="AQ3853" s="76"/>
      <c r="AR3853" s="76"/>
      <c r="AS3853" s="76"/>
      <c r="AT3853" s="76"/>
      <c r="AU3853" s="76"/>
      <c r="AV3853" s="76"/>
      <c r="AW3853" s="76"/>
      <c r="AX3853" s="76">
        <f>+AW3853*600000</f>
        <v>0</v>
      </c>
      <c r="AY3853" s="76"/>
      <c r="AZ3853" s="76">
        <f>+AY3853*70000</f>
        <v>0</v>
      </c>
      <c r="BA3853" s="76"/>
      <c r="BB3853" s="76"/>
      <c r="BC3853" s="76"/>
      <c r="BD3853" s="76">
        <f>+BC3853*30000</f>
        <v>0</v>
      </c>
      <c r="BE3853" s="76"/>
      <c r="BF3853" s="76"/>
      <c r="BG3853" s="76"/>
      <c r="BH3853" s="76"/>
      <c r="BI3853" s="76"/>
      <c r="BJ3853" s="76"/>
      <c r="BK3853" s="76"/>
      <c r="BL3853" s="76">
        <f>+BK3853*31500</f>
        <v>0</v>
      </c>
      <c r="BM3853" s="76"/>
      <c r="BN3853" s="76"/>
      <c r="BO3853" s="76"/>
      <c r="BP3853" s="76"/>
      <c r="BQ3853" s="76"/>
      <c r="BR3853" s="76"/>
      <c r="BS3853" s="76"/>
      <c r="BT3853" s="76"/>
      <c r="BU3853" s="76"/>
      <c r="BV3853" s="76"/>
      <c r="BW3853" s="76"/>
      <c r="BX3853" s="76"/>
      <c r="BY3853" s="76"/>
      <c r="BZ3853" s="76"/>
      <c r="CA3853" s="76"/>
      <c r="CB3853" s="76"/>
      <c r="CC3853" s="76"/>
      <c r="CD3853" s="76"/>
      <c r="CE3853" s="76"/>
      <c r="CF3853" s="76">
        <f>+CE3853*28000</f>
        <v>0</v>
      </c>
      <c r="CG3853" s="76"/>
      <c r="CH3853" s="76">
        <f>+CG3853*22500</f>
        <v>0</v>
      </c>
      <c r="CI3853" s="76"/>
      <c r="CJ3853" s="76">
        <f>+CI3853*26000</f>
        <v>0</v>
      </c>
      <c r="CK3853" s="76"/>
      <c r="CL3853" s="76"/>
      <c r="CM3853" s="76"/>
      <c r="CN3853" s="76">
        <f>+CM3853*22000</f>
        <v>0</v>
      </c>
      <c r="CO3853" s="76"/>
      <c r="CP3853" s="76">
        <f>+CO3853*46000</f>
        <v>0</v>
      </c>
      <c r="CQ3853" s="76"/>
      <c r="CR3853" s="76">
        <f>+CQ3853*49000</f>
        <v>0</v>
      </c>
      <c r="CS3853" s="76"/>
      <c r="CT3853" s="76"/>
      <c r="CU3853" s="56">
        <f>AN3853+AP3853+AR3853+AT3853+AV3853+AX3853+AZ3853+BB3853+BD3853+BF3853+BH3853+BJ3853+BL3853+BN3853+BP3853+BR3853+BT3853+BV3853+BX3853+BZ3853+CB3853+CD3853+CF3853+CH3853+CJ3853+CL3853+CN3853+CP3853+CR3853+CT3853</f>
        <v>0</v>
      </c>
      <c r="CV3853" s="76"/>
      <c r="CW3853" s="76">
        <f>+CV3853*1100</f>
        <v>0</v>
      </c>
      <c r="CX3853" s="76"/>
      <c r="CY3853" s="76">
        <f>+CX3853*106250</f>
        <v>0</v>
      </c>
      <c r="CZ3853" s="76"/>
      <c r="DA3853" s="76">
        <f>+CZ3853*34500</f>
        <v>0</v>
      </c>
      <c r="DB3853" s="76"/>
      <c r="DC3853" s="76">
        <f>+DB3853*25000</f>
        <v>0</v>
      </c>
      <c r="DD3853" s="219"/>
      <c r="DE3853" s="76"/>
      <c r="DF3853" s="166"/>
      <c r="DG3853" s="116"/>
      <c r="DH3853" s="117"/>
      <c r="DI3853" s="24"/>
      <c r="DJ3853" s="24"/>
      <c r="DK3853" s="24"/>
      <c r="DL3853" s="24"/>
      <c r="DM3853" s="24"/>
      <c r="DN3853" s="24"/>
      <c r="DO3853" s="24"/>
      <c r="DP3853" s="24"/>
      <c r="DQ3853" s="24"/>
      <c r="DR3853" s="24"/>
      <c r="DS3853" s="24"/>
      <c r="DT3853" s="24"/>
      <c r="DU3853" s="24"/>
    </row>
    <row r="3854" spans="1:125" s="8" customFormat="1" ht="36" x14ac:dyDescent="0.2">
      <c r="A3854" s="77">
        <v>41616</v>
      </c>
      <c r="B3854" s="352" t="s">
        <v>2772</v>
      </c>
      <c r="C3854" s="354" t="s">
        <v>2812</v>
      </c>
      <c r="D3854" s="354" t="s">
        <v>3088</v>
      </c>
      <c r="E3854" s="353" t="str">
        <f>VLOOKUP(B3854&amp;C3854,Divipola!$C$2:$F$1138,4,FALSE)</f>
        <v>25307</v>
      </c>
      <c r="F3854" s="87"/>
      <c r="G3854" s="87"/>
      <c r="H3854" s="87"/>
      <c r="I3854" s="87"/>
      <c r="J3854" s="87"/>
      <c r="K3854" s="87"/>
      <c r="L3854" s="87"/>
      <c r="M3854" s="87">
        <v>1</v>
      </c>
      <c r="N3854" s="87"/>
      <c r="O3854" s="87"/>
      <c r="P3854" s="87"/>
      <c r="Q3854" s="87"/>
      <c r="R3854" s="87"/>
      <c r="S3854" s="87"/>
      <c r="T3854" s="87"/>
      <c r="U3854" s="88"/>
      <c r="V3854" s="89"/>
      <c r="W3854" s="96">
        <v>0</v>
      </c>
      <c r="X3854" s="71">
        <f>CU3854</f>
        <v>0</v>
      </c>
      <c r="Y3854" s="71">
        <f>CY3854</f>
        <v>0</v>
      </c>
      <c r="Z3854" s="71">
        <f>DA3854+DC3854+DE3854</f>
        <v>0</v>
      </c>
      <c r="AA3854" s="71">
        <f>CW3854</f>
        <v>0</v>
      </c>
      <c r="AB3854" s="71"/>
      <c r="AC3854" s="71">
        <v>0</v>
      </c>
      <c r="AD3854" s="71">
        <f>W3854+X3854+Y3854+Z3854+AA3854+AB3854+AC3854</f>
        <v>0</v>
      </c>
      <c r="AE3854" s="72">
        <v>0</v>
      </c>
      <c r="AF3854" s="5"/>
      <c r="AG3854" s="6"/>
      <c r="AH3854" s="27"/>
      <c r="AI3854" s="44"/>
      <c r="AJ3854" s="26"/>
      <c r="AK3854" s="5"/>
      <c r="AL3854" s="315" t="s">
        <v>6894</v>
      </c>
      <c r="AM3854" s="76"/>
      <c r="AN3854" s="76"/>
      <c r="AO3854" s="76"/>
      <c r="AP3854" s="76"/>
      <c r="AQ3854" s="76"/>
      <c r="AR3854" s="76"/>
      <c r="AS3854" s="76"/>
      <c r="AT3854" s="76"/>
      <c r="AU3854" s="76"/>
      <c r="AV3854" s="76"/>
      <c r="AW3854" s="76"/>
      <c r="AX3854" s="76">
        <f>+AW3854*600000</f>
        <v>0</v>
      </c>
      <c r="AY3854" s="76"/>
      <c r="AZ3854" s="76">
        <f>+AY3854*70000</f>
        <v>0</v>
      </c>
      <c r="BA3854" s="76"/>
      <c r="BB3854" s="76"/>
      <c r="BC3854" s="76"/>
      <c r="BD3854" s="76">
        <f>+BC3854*30000</f>
        <v>0</v>
      </c>
      <c r="BE3854" s="76"/>
      <c r="BF3854" s="76"/>
      <c r="BG3854" s="76"/>
      <c r="BH3854" s="76"/>
      <c r="BI3854" s="76"/>
      <c r="BJ3854" s="76"/>
      <c r="BK3854" s="76"/>
      <c r="BL3854" s="76">
        <f>+BK3854*31500</f>
        <v>0</v>
      </c>
      <c r="BM3854" s="76"/>
      <c r="BN3854" s="76"/>
      <c r="BO3854" s="76"/>
      <c r="BP3854" s="76"/>
      <c r="BQ3854" s="76"/>
      <c r="BR3854" s="76"/>
      <c r="BS3854" s="76"/>
      <c r="BT3854" s="76"/>
      <c r="BU3854" s="76"/>
      <c r="BV3854" s="76"/>
      <c r="BW3854" s="76"/>
      <c r="BX3854" s="76"/>
      <c r="BY3854" s="76"/>
      <c r="BZ3854" s="76"/>
      <c r="CA3854" s="76"/>
      <c r="CB3854" s="76"/>
      <c r="CC3854" s="76"/>
      <c r="CD3854" s="76"/>
      <c r="CE3854" s="76"/>
      <c r="CF3854" s="76">
        <f>+CE3854*28000</f>
        <v>0</v>
      </c>
      <c r="CG3854" s="76"/>
      <c r="CH3854" s="76">
        <f>+CG3854*22500</f>
        <v>0</v>
      </c>
      <c r="CI3854" s="76"/>
      <c r="CJ3854" s="76">
        <f>+CI3854*26000</f>
        <v>0</v>
      </c>
      <c r="CK3854" s="76"/>
      <c r="CL3854" s="76"/>
      <c r="CM3854" s="76"/>
      <c r="CN3854" s="76">
        <f>+CM3854*22000</f>
        <v>0</v>
      </c>
      <c r="CO3854" s="76"/>
      <c r="CP3854" s="76">
        <f>+CO3854*46000</f>
        <v>0</v>
      </c>
      <c r="CQ3854" s="76"/>
      <c r="CR3854" s="76">
        <f>+CQ3854*49000</f>
        <v>0</v>
      </c>
      <c r="CS3854" s="76"/>
      <c r="CT3854" s="76"/>
      <c r="CU3854" s="56">
        <f>AN3854+AP3854+AR3854+AT3854+AV3854+AX3854+AZ3854+BB3854+BD3854+BF3854+BH3854+BJ3854+BL3854+BN3854+BP3854+BR3854+BT3854+BV3854+BX3854+BZ3854+CB3854+CD3854+CF3854+CH3854+CJ3854+CL3854+CN3854+CP3854+CR3854+CT3854</f>
        <v>0</v>
      </c>
      <c r="CV3854" s="76"/>
      <c r="CW3854" s="76">
        <f>+CV3854*1100</f>
        <v>0</v>
      </c>
      <c r="CX3854" s="76"/>
      <c r="CY3854" s="76">
        <f>+CX3854*106250</f>
        <v>0</v>
      </c>
      <c r="CZ3854" s="76"/>
      <c r="DA3854" s="76">
        <f>+CZ3854*34500</f>
        <v>0</v>
      </c>
      <c r="DB3854" s="76"/>
      <c r="DC3854" s="76">
        <f>+DB3854*25000</f>
        <v>0</v>
      </c>
      <c r="DD3854" s="219"/>
      <c r="DE3854" s="76"/>
      <c r="DF3854" s="166"/>
      <c r="DG3854" s="116"/>
      <c r="DH3854" s="117"/>
      <c r="DI3854" s="24"/>
      <c r="DJ3854" s="24"/>
      <c r="DK3854" s="24"/>
      <c r="DL3854" s="24"/>
      <c r="DM3854" s="24"/>
      <c r="DN3854" s="24"/>
      <c r="DO3854" s="24"/>
      <c r="DP3854" s="24"/>
      <c r="DQ3854" s="24"/>
      <c r="DR3854" s="24"/>
      <c r="DS3854" s="24"/>
      <c r="DT3854" s="24"/>
      <c r="DU3854" s="24"/>
    </row>
    <row r="3855" spans="1:125" s="8" customFormat="1" ht="36" x14ac:dyDescent="0.2">
      <c r="A3855" s="353">
        <v>41616</v>
      </c>
      <c r="B3855" s="352" t="s">
        <v>2778</v>
      </c>
      <c r="C3855" s="354" t="s">
        <v>1344</v>
      </c>
      <c r="D3855" s="354" t="s">
        <v>2846</v>
      </c>
      <c r="E3855" s="353" t="str">
        <f>VLOOKUP(B3855&amp;C3855,Divipola!$C$2:$F$1138,4,FALSE)</f>
        <v>85001</v>
      </c>
      <c r="F3855" s="87"/>
      <c r="G3855" s="87"/>
      <c r="H3855" s="87"/>
      <c r="I3855" s="87"/>
      <c r="J3855" s="87"/>
      <c r="K3855" s="87"/>
      <c r="L3855" s="87"/>
      <c r="M3855" s="87"/>
      <c r="N3855" s="87"/>
      <c r="O3855" s="87"/>
      <c r="P3855" s="87"/>
      <c r="Q3855" s="87"/>
      <c r="R3855" s="87"/>
      <c r="S3855" s="87"/>
      <c r="T3855" s="87"/>
      <c r="U3855" s="88">
        <v>17</v>
      </c>
      <c r="V3855" s="89"/>
      <c r="W3855" s="96">
        <v>0</v>
      </c>
      <c r="X3855" s="71">
        <f>CU3855</f>
        <v>0</v>
      </c>
      <c r="Y3855" s="71">
        <f>CY3855</f>
        <v>0</v>
      </c>
      <c r="Z3855" s="71">
        <f>DA3855+DC3855+DE3855</f>
        <v>0</v>
      </c>
      <c r="AA3855" s="71">
        <f>CW3855</f>
        <v>0</v>
      </c>
      <c r="AB3855" s="71"/>
      <c r="AC3855" s="71">
        <v>0</v>
      </c>
      <c r="AD3855" s="71">
        <f>W3855+X3855+Y3855+Z3855+AA3855+AB3855+AC3855</f>
        <v>0</v>
      </c>
      <c r="AE3855" s="72">
        <v>0</v>
      </c>
      <c r="AF3855" s="5"/>
      <c r="AG3855" s="6"/>
      <c r="AH3855" s="27"/>
      <c r="AI3855" s="44"/>
      <c r="AJ3855" s="26"/>
      <c r="AK3855" s="5"/>
      <c r="AL3855" s="315" t="s">
        <v>6897</v>
      </c>
      <c r="AM3855" s="76"/>
      <c r="AN3855" s="76"/>
      <c r="AO3855" s="76"/>
      <c r="AP3855" s="76"/>
      <c r="AQ3855" s="76"/>
      <c r="AR3855" s="76"/>
      <c r="AS3855" s="76"/>
      <c r="AT3855" s="76"/>
      <c r="AU3855" s="76"/>
      <c r="AV3855" s="76"/>
      <c r="AW3855" s="76"/>
      <c r="AX3855" s="76">
        <f>+AW3855*600000</f>
        <v>0</v>
      </c>
      <c r="AY3855" s="76"/>
      <c r="AZ3855" s="76">
        <f>+AY3855*70000</f>
        <v>0</v>
      </c>
      <c r="BA3855" s="76"/>
      <c r="BB3855" s="76"/>
      <c r="BC3855" s="76"/>
      <c r="BD3855" s="76">
        <f>+BC3855*30000</f>
        <v>0</v>
      </c>
      <c r="BE3855" s="76"/>
      <c r="BF3855" s="76"/>
      <c r="BG3855" s="76"/>
      <c r="BH3855" s="76"/>
      <c r="BI3855" s="76"/>
      <c r="BJ3855" s="76"/>
      <c r="BK3855" s="76"/>
      <c r="BL3855" s="76">
        <f>+BK3855*31500</f>
        <v>0</v>
      </c>
      <c r="BM3855" s="76"/>
      <c r="BN3855" s="76"/>
      <c r="BO3855" s="76"/>
      <c r="BP3855" s="76"/>
      <c r="BQ3855" s="76"/>
      <c r="BR3855" s="76"/>
      <c r="BS3855" s="76"/>
      <c r="BT3855" s="76"/>
      <c r="BU3855" s="76"/>
      <c r="BV3855" s="76"/>
      <c r="BW3855" s="76"/>
      <c r="BX3855" s="76"/>
      <c r="BY3855" s="76"/>
      <c r="BZ3855" s="76"/>
      <c r="CA3855" s="76"/>
      <c r="CB3855" s="76"/>
      <c r="CC3855" s="76"/>
      <c r="CD3855" s="76"/>
      <c r="CE3855" s="76"/>
      <c r="CF3855" s="76">
        <f>+CE3855*28000</f>
        <v>0</v>
      </c>
      <c r="CG3855" s="76"/>
      <c r="CH3855" s="76">
        <f>+CG3855*22500</f>
        <v>0</v>
      </c>
      <c r="CI3855" s="76"/>
      <c r="CJ3855" s="76">
        <f>+CI3855*26000</f>
        <v>0</v>
      </c>
      <c r="CK3855" s="76"/>
      <c r="CL3855" s="76"/>
      <c r="CM3855" s="76"/>
      <c r="CN3855" s="76">
        <f>+CM3855*22000</f>
        <v>0</v>
      </c>
      <c r="CO3855" s="76"/>
      <c r="CP3855" s="76">
        <f>+CO3855*46000</f>
        <v>0</v>
      </c>
      <c r="CQ3855" s="76"/>
      <c r="CR3855" s="76">
        <f>+CQ3855*49000</f>
        <v>0</v>
      </c>
      <c r="CS3855" s="76"/>
      <c r="CT3855" s="76"/>
      <c r="CU3855" s="56">
        <f>AN3855+AP3855+AR3855+AT3855+AV3855+AX3855+AZ3855+BB3855+BD3855+BF3855+BH3855+BJ3855+BL3855+BN3855+BP3855+BR3855+BT3855+BV3855+BX3855+BZ3855+CB3855+CD3855+CF3855+CH3855+CJ3855+CL3855+CN3855+CP3855+CR3855+CT3855</f>
        <v>0</v>
      </c>
      <c r="CV3855" s="76"/>
      <c r="CW3855" s="76">
        <f>+CV3855*1100</f>
        <v>0</v>
      </c>
      <c r="CX3855" s="76"/>
      <c r="CY3855" s="76">
        <f>+CX3855*106250</f>
        <v>0</v>
      </c>
      <c r="CZ3855" s="76"/>
      <c r="DA3855" s="76">
        <f>+CZ3855*34500</f>
        <v>0</v>
      </c>
      <c r="DB3855" s="76"/>
      <c r="DC3855" s="76">
        <f>+DB3855*25000</f>
        <v>0</v>
      </c>
      <c r="DD3855" s="219"/>
      <c r="DE3855" s="76"/>
      <c r="DF3855" s="166"/>
      <c r="DG3855" s="116"/>
      <c r="DH3855" s="117"/>
      <c r="DI3855" s="24"/>
      <c r="DJ3855" s="24"/>
      <c r="DK3855" s="24"/>
      <c r="DL3855" s="24"/>
      <c r="DM3855" s="24"/>
      <c r="DN3855" s="24"/>
      <c r="DO3855" s="24"/>
      <c r="DP3855" s="24"/>
      <c r="DQ3855" s="24"/>
      <c r="DR3855" s="24"/>
      <c r="DS3855" s="24"/>
      <c r="DT3855" s="24"/>
      <c r="DU3855" s="24"/>
    </row>
    <row r="3856" spans="1:125" s="8" customFormat="1" ht="60" x14ac:dyDescent="0.2">
      <c r="A3856" s="353">
        <v>41616</v>
      </c>
      <c r="B3856" s="352" t="s">
        <v>2718</v>
      </c>
      <c r="C3856" s="354" t="s">
        <v>970</v>
      </c>
      <c r="D3856" s="354" t="s">
        <v>2859</v>
      </c>
      <c r="E3856" s="353" t="str">
        <f>VLOOKUP(B3856&amp;C3856,Divipola!$C$2:$F$1138,4,FALSE)</f>
        <v>23466</v>
      </c>
      <c r="F3856" s="87"/>
      <c r="G3856" s="87"/>
      <c r="H3856" s="87"/>
      <c r="I3856" s="87"/>
      <c r="J3856" s="87"/>
      <c r="K3856" s="87"/>
      <c r="L3856" s="87"/>
      <c r="M3856" s="87"/>
      <c r="N3856" s="87"/>
      <c r="O3856" s="87"/>
      <c r="P3856" s="87"/>
      <c r="Q3856" s="87"/>
      <c r="R3856" s="87"/>
      <c r="S3856" s="87"/>
      <c r="T3856" s="87"/>
      <c r="U3856" s="88"/>
      <c r="V3856" s="89">
        <v>3</v>
      </c>
      <c r="W3856" s="96">
        <v>0</v>
      </c>
      <c r="X3856" s="71">
        <f>CU3856</f>
        <v>0</v>
      </c>
      <c r="Y3856" s="71">
        <f>CY3856</f>
        <v>0</v>
      </c>
      <c r="Z3856" s="71">
        <f>DA3856+DC3856+DE3856</f>
        <v>0</v>
      </c>
      <c r="AA3856" s="71">
        <f>CW3856</f>
        <v>0</v>
      </c>
      <c r="AB3856" s="71"/>
      <c r="AC3856" s="71">
        <v>0</v>
      </c>
      <c r="AD3856" s="71">
        <f>W3856+X3856+Y3856+Z3856+AA3856+AB3856+AC3856</f>
        <v>0</v>
      </c>
      <c r="AE3856" s="72">
        <v>0</v>
      </c>
      <c r="AF3856" s="5"/>
      <c r="AG3856" s="6"/>
      <c r="AH3856" s="27"/>
      <c r="AI3856" s="44"/>
      <c r="AJ3856" s="26"/>
      <c r="AK3856" s="5"/>
      <c r="AL3856" s="82" t="s">
        <v>6912</v>
      </c>
      <c r="AM3856" s="76"/>
      <c r="AN3856" s="76"/>
      <c r="AO3856" s="76"/>
      <c r="AP3856" s="76"/>
      <c r="AQ3856" s="76"/>
      <c r="AR3856" s="76"/>
      <c r="AS3856" s="76"/>
      <c r="AT3856" s="76"/>
      <c r="AU3856" s="76"/>
      <c r="AV3856" s="76"/>
      <c r="AW3856" s="76"/>
      <c r="AX3856" s="76">
        <f>+AW3856*600000</f>
        <v>0</v>
      </c>
      <c r="AY3856" s="76"/>
      <c r="AZ3856" s="76">
        <f>+AY3856*70000</f>
        <v>0</v>
      </c>
      <c r="BA3856" s="76"/>
      <c r="BB3856" s="76"/>
      <c r="BC3856" s="76"/>
      <c r="BD3856" s="76">
        <f>+BC3856*30000</f>
        <v>0</v>
      </c>
      <c r="BE3856" s="76"/>
      <c r="BF3856" s="76"/>
      <c r="BG3856" s="76"/>
      <c r="BH3856" s="76"/>
      <c r="BI3856" s="76"/>
      <c r="BJ3856" s="76"/>
      <c r="BK3856" s="76"/>
      <c r="BL3856" s="76">
        <f>+BK3856*31500</f>
        <v>0</v>
      </c>
      <c r="BM3856" s="76"/>
      <c r="BN3856" s="76"/>
      <c r="BO3856" s="76"/>
      <c r="BP3856" s="76"/>
      <c r="BQ3856" s="76"/>
      <c r="BR3856" s="76"/>
      <c r="BS3856" s="76"/>
      <c r="BT3856" s="76"/>
      <c r="BU3856" s="76"/>
      <c r="BV3856" s="76"/>
      <c r="BW3856" s="76"/>
      <c r="BX3856" s="76"/>
      <c r="BY3856" s="76"/>
      <c r="BZ3856" s="76"/>
      <c r="CA3856" s="76"/>
      <c r="CB3856" s="76"/>
      <c r="CC3856" s="76"/>
      <c r="CD3856" s="76"/>
      <c r="CE3856" s="76"/>
      <c r="CF3856" s="76">
        <f>+CE3856*28000</f>
        <v>0</v>
      </c>
      <c r="CG3856" s="76"/>
      <c r="CH3856" s="76">
        <f>+CG3856*22500</f>
        <v>0</v>
      </c>
      <c r="CI3856" s="76"/>
      <c r="CJ3856" s="76">
        <f>+CI3856*26000</f>
        <v>0</v>
      </c>
      <c r="CK3856" s="76"/>
      <c r="CL3856" s="76"/>
      <c r="CM3856" s="76"/>
      <c r="CN3856" s="76">
        <f>+CM3856*22000</f>
        <v>0</v>
      </c>
      <c r="CO3856" s="76"/>
      <c r="CP3856" s="76">
        <f>+CO3856*46000</f>
        <v>0</v>
      </c>
      <c r="CQ3856" s="76"/>
      <c r="CR3856" s="76">
        <f>+CQ3856*49000</f>
        <v>0</v>
      </c>
      <c r="CS3856" s="76"/>
      <c r="CT3856" s="76"/>
      <c r="CU3856" s="56">
        <f>AN3856+AP3856+AR3856+AT3856+AV3856+AX3856+AZ3856+BB3856+BD3856+BF3856+BH3856+BJ3856+BL3856+BN3856+BP3856+BR3856+BT3856+BV3856+BX3856+BZ3856+CB3856+CD3856+CF3856+CH3856+CJ3856+CL3856+CN3856+CP3856+CR3856+CT3856</f>
        <v>0</v>
      </c>
      <c r="CV3856" s="76"/>
      <c r="CW3856" s="76">
        <f>+CV3856*1100</f>
        <v>0</v>
      </c>
      <c r="CX3856" s="76"/>
      <c r="CY3856" s="76">
        <f>+CX3856*106250</f>
        <v>0</v>
      </c>
      <c r="CZ3856" s="76"/>
      <c r="DA3856" s="76">
        <f>+CZ3856*34500</f>
        <v>0</v>
      </c>
      <c r="DB3856" s="76"/>
      <c r="DC3856" s="76">
        <f>+DB3856*25000</f>
        <v>0</v>
      </c>
      <c r="DD3856" s="219"/>
      <c r="DE3856" s="76"/>
      <c r="DF3856" s="166"/>
      <c r="DG3856" s="116"/>
      <c r="DH3856" s="117"/>
      <c r="DI3856" s="24"/>
      <c r="DJ3856" s="24"/>
      <c r="DK3856" s="24"/>
      <c r="DL3856" s="24"/>
      <c r="DM3856" s="24"/>
      <c r="DN3856" s="24"/>
      <c r="DO3856" s="24"/>
      <c r="DP3856" s="24"/>
      <c r="DQ3856" s="24"/>
      <c r="DR3856" s="24"/>
      <c r="DS3856" s="24"/>
      <c r="DT3856" s="24"/>
      <c r="DU3856" s="24"/>
    </row>
    <row r="3857" spans="1:125" s="8" customFormat="1" ht="132" x14ac:dyDescent="0.2">
      <c r="A3857" s="353">
        <v>41616</v>
      </c>
      <c r="B3857" s="352" t="s">
        <v>3131</v>
      </c>
      <c r="C3857" s="354" t="s">
        <v>2281</v>
      </c>
      <c r="D3857" s="354" t="s">
        <v>4391</v>
      </c>
      <c r="E3857" s="353" t="str">
        <f>VLOOKUP(B3857&amp;C3857,Divipola!$C$2:$F$1138,4,FALSE)</f>
        <v>86885</v>
      </c>
      <c r="F3857" s="87">
        <v>1</v>
      </c>
      <c r="G3857" s="87"/>
      <c r="H3857" s="87"/>
      <c r="I3857" s="87"/>
      <c r="J3857" s="87"/>
      <c r="K3857" s="87"/>
      <c r="L3857" s="87"/>
      <c r="M3857" s="87"/>
      <c r="N3857" s="87"/>
      <c r="O3857" s="87"/>
      <c r="P3857" s="87"/>
      <c r="Q3857" s="87"/>
      <c r="R3857" s="87"/>
      <c r="S3857" s="87"/>
      <c r="T3857" s="87"/>
      <c r="U3857" s="88"/>
      <c r="V3857" s="89"/>
      <c r="W3857" s="96">
        <v>0</v>
      </c>
      <c r="X3857" s="71">
        <f>CU3857</f>
        <v>0</v>
      </c>
      <c r="Y3857" s="71">
        <f>CY3857</f>
        <v>0</v>
      </c>
      <c r="Z3857" s="71">
        <f>DA3857+DC3857+DE3857</f>
        <v>0</v>
      </c>
      <c r="AA3857" s="71">
        <f>CW3857</f>
        <v>0</v>
      </c>
      <c r="AB3857" s="71"/>
      <c r="AC3857" s="71">
        <v>0</v>
      </c>
      <c r="AD3857" s="71">
        <f>W3857+X3857+Y3857+Z3857+AA3857+AB3857+AC3857</f>
        <v>0</v>
      </c>
      <c r="AE3857" s="72">
        <v>0</v>
      </c>
      <c r="AF3857" s="5"/>
      <c r="AG3857" s="6"/>
      <c r="AH3857" s="27"/>
      <c r="AI3857" s="44"/>
      <c r="AJ3857" s="26"/>
      <c r="AK3857" s="5"/>
      <c r="AL3857" s="82" t="s">
        <v>6927</v>
      </c>
      <c r="AM3857" s="76"/>
      <c r="AN3857" s="76"/>
      <c r="AO3857" s="76"/>
      <c r="AP3857" s="76"/>
      <c r="AQ3857" s="76"/>
      <c r="AR3857" s="76"/>
      <c r="AS3857" s="76"/>
      <c r="AT3857" s="76"/>
      <c r="AU3857" s="76"/>
      <c r="AV3857" s="76"/>
      <c r="AW3857" s="76"/>
      <c r="AX3857" s="76">
        <f>+AW3857*600000</f>
        <v>0</v>
      </c>
      <c r="AY3857" s="76"/>
      <c r="AZ3857" s="76">
        <f>+AY3857*70000</f>
        <v>0</v>
      </c>
      <c r="BA3857" s="76"/>
      <c r="BB3857" s="76"/>
      <c r="BC3857" s="76"/>
      <c r="BD3857" s="76">
        <f>+BC3857*30000</f>
        <v>0</v>
      </c>
      <c r="BE3857" s="76"/>
      <c r="BF3857" s="76"/>
      <c r="BG3857" s="76"/>
      <c r="BH3857" s="76"/>
      <c r="BI3857" s="76"/>
      <c r="BJ3857" s="76"/>
      <c r="BK3857" s="76"/>
      <c r="BL3857" s="76">
        <f>+BK3857*31500</f>
        <v>0</v>
      </c>
      <c r="BM3857" s="76"/>
      <c r="BN3857" s="76"/>
      <c r="BO3857" s="76"/>
      <c r="BP3857" s="76"/>
      <c r="BQ3857" s="76"/>
      <c r="BR3857" s="76"/>
      <c r="BS3857" s="76"/>
      <c r="BT3857" s="76"/>
      <c r="BU3857" s="76"/>
      <c r="BV3857" s="76"/>
      <c r="BW3857" s="76"/>
      <c r="BX3857" s="76"/>
      <c r="BY3857" s="76"/>
      <c r="BZ3857" s="76"/>
      <c r="CA3857" s="76"/>
      <c r="CB3857" s="76"/>
      <c r="CC3857" s="76"/>
      <c r="CD3857" s="76"/>
      <c r="CE3857" s="76"/>
      <c r="CF3857" s="76">
        <f>+CE3857*28000</f>
        <v>0</v>
      </c>
      <c r="CG3857" s="76"/>
      <c r="CH3857" s="76">
        <f>+CG3857*22500</f>
        <v>0</v>
      </c>
      <c r="CI3857" s="76"/>
      <c r="CJ3857" s="76">
        <f>+CI3857*26000</f>
        <v>0</v>
      </c>
      <c r="CK3857" s="76"/>
      <c r="CL3857" s="76"/>
      <c r="CM3857" s="76"/>
      <c r="CN3857" s="76">
        <f>+CM3857*22000</f>
        <v>0</v>
      </c>
      <c r="CO3857" s="76"/>
      <c r="CP3857" s="76">
        <f>+CO3857*46000</f>
        <v>0</v>
      </c>
      <c r="CQ3857" s="76"/>
      <c r="CR3857" s="76">
        <f>+CQ3857*49000</f>
        <v>0</v>
      </c>
      <c r="CS3857" s="76"/>
      <c r="CT3857" s="76"/>
      <c r="CU3857" s="56">
        <f>AN3857+AP3857+AR3857+AT3857+AV3857+AX3857+AZ3857+BB3857+BD3857+BF3857+BH3857+BJ3857+BL3857+BN3857+BP3857+BR3857+BT3857+BV3857+BX3857+BZ3857+CB3857+CD3857+CF3857+CH3857+CJ3857+CL3857+CN3857+CP3857+CR3857+CT3857</f>
        <v>0</v>
      </c>
      <c r="CV3857" s="76"/>
      <c r="CW3857" s="76">
        <f>+CV3857*1100</f>
        <v>0</v>
      </c>
      <c r="CX3857" s="76"/>
      <c r="CY3857" s="76">
        <f>+CX3857*106250</f>
        <v>0</v>
      </c>
      <c r="CZ3857" s="76"/>
      <c r="DA3857" s="76">
        <f>+CZ3857*34500</f>
        <v>0</v>
      </c>
      <c r="DB3857" s="76"/>
      <c r="DC3857" s="76">
        <f>+DB3857*25000</f>
        <v>0</v>
      </c>
      <c r="DD3857" s="219"/>
      <c r="DE3857" s="76"/>
      <c r="DF3857" s="166"/>
      <c r="DG3857" s="116"/>
      <c r="DH3857" s="117"/>
      <c r="DI3857" s="24"/>
      <c r="DJ3857" s="24"/>
      <c r="DK3857" s="24"/>
      <c r="DL3857" s="24"/>
      <c r="DM3857" s="24"/>
      <c r="DN3857" s="24"/>
      <c r="DO3857" s="24"/>
      <c r="DP3857" s="24"/>
      <c r="DQ3857" s="24"/>
      <c r="DR3857" s="24"/>
      <c r="DS3857" s="24"/>
      <c r="DT3857" s="24"/>
      <c r="DU3857" s="24"/>
    </row>
    <row r="3858" spans="1:125" s="8" customFormat="1" ht="60" x14ac:dyDescent="0.2">
      <c r="A3858" s="77">
        <v>41617</v>
      </c>
      <c r="B3858" s="78" t="s">
        <v>2851</v>
      </c>
      <c r="C3858" s="75" t="s">
        <v>1959</v>
      </c>
      <c r="D3858" s="75" t="s">
        <v>2882</v>
      </c>
      <c r="E3858" s="353" t="str">
        <f>VLOOKUP(B3858&amp;C3858,Divipola!$C$2:$F$1138,4,FALSE)</f>
        <v>76616</v>
      </c>
      <c r="F3858" s="87"/>
      <c r="G3858" s="87"/>
      <c r="H3858" s="87"/>
      <c r="I3858" s="87">
        <v>60</v>
      </c>
      <c r="J3858" s="87">
        <v>12</v>
      </c>
      <c r="K3858" s="87">
        <v>3</v>
      </c>
      <c r="L3858" s="87">
        <v>9</v>
      </c>
      <c r="M3858" s="87"/>
      <c r="N3858" s="87"/>
      <c r="O3858" s="87"/>
      <c r="P3858" s="87"/>
      <c r="Q3858" s="87"/>
      <c r="R3858" s="87"/>
      <c r="S3858" s="87"/>
      <c r="T3858" s="87"/>
      <c r="U3858" s="88"/>
      <c r="V3858" s="89"/>
      <c r="W3858" s="96">
        <v>0</v>
      </c>
      <c r="X3858" s="71">
        <f>CU3858</f>
        <v>0</v>
      </c>
      <c r="Y3858" s="71">
        <f>CY3858</f>
        <v>0</v>
      </c>
      <c r="Z3858" s="71">
        <f>DA3858+DC3858+DE3858</f>
        <v>0</v>
      </c>
      <c r="AA3858" s="71">
        <f>CW3858</f>
        <v>0</v>
      </c>
      <c r="AB3858" s="71"/>
      <c r="AC3858" s="71">
        <v>0</v>
      </c>
      <c r="AD3858" s="71">
        <f>W3858+X3858+Y3858+Z3858+AA3858+AB3858+AC3858</f>
        <v>0</v>
      </c>
      <c r="AE3858" s="72">
        <v>0</v>
      </c>
      <c r="AF3858" s="5"/>
      <c r="AG3858" s="6"/>
      <c r="AH3858" s="27"/>
      <c r="AI3858" s="44"/>
      <c r="AJ3858" s="26"/>
      <c r="AK3858" s="5"/>
      <c r="AL3858" s="315" t="s">
        <v>6895</v>
      </c>
      <c r="AM3858" s="76"/>
      <c r="AN3858" s="76"/>
      <c r="AO3858" s="76"/>
      <c r="AP3858" s="76"/>
      <c r="AQ3858" s="76"/>
      <c r="AR3858" s="76"/>
      <c r="AS3858" s="76"/>
      <c r="AT3858" s="76"/>
      <c r="AU3858" s="76"/>
      <c r="AV3858" s="76"/>
      <c r="AW3858" s="76"/>
      <c r="AX3858" s="76">
        <f>+AW3858*600000</f>
        <v>0</v>
      </c>
      <c r="AY3858" s="76"/>
      <c r="AZ3858" s="76">
        <f>+AY3858*70000</f>
        <v>0</v>
      </c>
      <c r="BA3858" s="76"/>
      <c r="BB3858" s="76"/>
      <c r="BC3858" s="76"/>
      <c r="BD3858" s="76">
        <f>+BC3858*30000</f>
        <v>0</v>
      </c>
      <c r="BE3858" s="76"/>
      <c r="BF3858" s="76"/>
      <c r="BG3858" s="76"/>
      <c r="BH3858" s="76"/>
      <c r="BI3858" s="76"/>
      <c r="BJ3858" s="76"/>
      <c r="BK3858" s="76"/>
      <c r="BL3858" s="76">
        <f>+BK3858*31500</f>
        <v>0</v>
      </c>
      <c r="BM3858" s="76"/>
      <c r="BN3858" s="76"/>
      <c r="BO3858" s="76"/>
      <c r="BP3858" s="76"/>
      <c r="BQ3858" s="76"/>
      <c r="BR3858" s="76"/>
      <c r="BS3858" s="76"/>
      <c r="BT3858" s="76"/>
      <c r="BU3858" s="76"/>
      <c r="BV3858" s="76"/>
      <c r="BW3858" s="76"/>
      <c r="BX3858" s="76"/>
      <c r="BY3858" s="76"/>
      <c r="BZ3858" s="76"/>
      <c r="CA3858" s="76"/>
      <c r="CB3858" s="76"/>
      <c r="CC3858" s="76"/>
      <c r="CD3858" s="76"/>
      <c r="CE3858" s="76"/>
      <c r="CF3858" s="76">
        <f>+CE3858*28000</f>
        <v>0</v>
      </c>
      <c r="CG3858" s="76"/>
      <c r="CH3858" s="76">
        <f>+CG3858*22500</f>
        <v>0</v>
      </c>
      <c r="CI3858" s="76"/>
      <c r="CJ3858" s="76">
        <f>+CI3858*26000</f>
        <v>0</v>
      </c>
      <c r="CK3858" s="76"/>
      <c r="CL3858" s="76"/>
      <c r="CM3858" s="76"/>
      <c r="CN3858" s="76">
        <f>+CM3858*22000</f>
        <v>0</v>
      </c>
      <c r="CO3858" s="76"/>
      <c r="CP3858" s="76">
        <f>+CO3858*46000</f>
        <v>0</v>
      </c>
      <c r="CQ3858" s="76"/>
      <c r="CR3858" s="76">
        <f>+CQ3858*49000</f>
        <v>0</v>
      </c>
      <c r="CS3858" s="76"/>
      <c r="CT3858" s="76"/>
      <c r="CU3858" s="56">
        <f>AN3858+AP3858+AR3858+AT3858+AV3858+AX3858+AZ3858+BB3858+BD3858+BF3858+BH3858+BJ3858+BL3858+BN3858+BP3858+BR3858+BT3858+BV3858+BX3858+BZ3858+CB3858+CD3858+CF3858+CH3858+CJ3858+CL3858+CN3858+CP3858+CR3858+CT3858</f>
        <v>0</v>
      </c>
      <c r="CV3858" s="76"/>
      <c r="CW3858" s="76">
        <f>+CV3858*1100</f>
        <v>0</v>
      </c>
      <c r="CX3858" s="76"/>
      <c r="CY3858" s="76">
        <f>+CX3858*106250</f>
        <v>0</v>
      </c>
      <c r="CZ3858" s="76"/>
      <c r="DA3858" s="76">
        <f>+CZ3858*34500</f>
        <v>0</v>
      </c>
      <c r="DB3858" s="76"/>
      <c r="DC3858" s="76">
        <f>+DB3858*25000</f>
        <v>0</v>
      </c>
      <c r="DD3858" s="219"/>
      <c r="DE3858" s="76"/>
      <c r="DF3858" s="166"/>
      <c r="DG3858" s="116"/>
      <c r="DH3858" s="117"/>
      <c r="DI3858" s="24"/>
      <c r="DJ3858" s="24"/>
      <c r="DK3858" s="24"/>
      <c r="DL3858" s="24"/>
      <c r="DM3858" s="24"/>
      <c r="DN3858" s="24"/>
      <c r="DO3858" s="24"/>
      <c r="DP3858" s="24"/>
      <c r="DQ3858" s="24"/>
      <c r="DR3858" s="24"/>
      <c r="DS3858" s="24"/>
      <c r="DT3858" s="24"/>
      <c r="DU3858" s="24"/>
    </row>
    <row r="3859" spans="1:125" s="8" customFormat="1" ht="84" x14ac:dyDescent="0.2">
      <c r="A3859" s="353">
        <v>41617</v>
      </c>
      <c r="B3859" s="352" t="s">
        <v>2860</v>
      </c>
      <c r="C3859" s="354" t="s">
        <v>2776</v>
      </c>
      <c r="D3859" s="354" t="s">
        <v>2859</v>
      </c>
      <c r="E3859" s="353" t="str">
        <f>VLOOKUP(B3859&amp;C3859,Divipola!$C$2:$F$1138,4,FALSE)</f>
        <v>63001</v>
      </c>
      <c r="F3859" s="87"/>
      <c r="G3859" s="87"/>
      <c r="H3859" s="87"/>
      <c r="I3859" s="87">
        <v>5</v>
      </c>
      <c r="J3859" s="87">
        <v>1</v>
      </c>
      <c r="K3859" s="87">
        <v>1</v>
      </c>
      <c r="L3859" s="87"/>
      <c r="M3859" s="87"/>
      <c r="N3859" s="87"/>
      <c r="O3859" s="87"/>
      <c r="P3859" s="87"/>
      <c r="Q3859" s="87"/>
      <c r="R3859" s="87"/>
      <c r="S3859" s="87"/>
      <c r="T3859" s="87"/>
      <c r="U3859" s="88"/>
      <c r="V3859" s="89"/>
      <c r="W3859" s="96">
        <v>0</v>
      </c>
      <c r="X3859" s="71">
        <f>CU3859</f>
        <v>0</v>
      </c>
      <c r="Y3859" s="71">
        <f>CY3859</f>
        <v>0</v>
      </c>
      <c r="Z3859" s="71">
        <f>DA3859+DC3859+DE3859</f>
        <v>0</v>
      </c>
      <c r="AA3859" s="71">
        <f>CW3859</f>
        <v>0</v>
      </c>
      <c r="AB3859" s="71"/>
      <c r="AC3859" s="71">
        <v>0</v>
      </c>
      <c r="AD3859" s="71">
        <f>W3859+X3859+Y3859+Z3859+AA3859+AB3859+AC3859</f>
        <v>0</v>
      </c>
      <c r="AE3859" s="72">
        <v>0</v>
      </c>
      <c r="AF3859" s="5"/>
      <c r="AG3859" s="6"/>
      <c r="AH3859" s="27"/>
      <c r="AI3859" s="44"/>
      <c r="AJ3859" s="26"/>
      <c r="AK3859" s="5"/>
      <c r="AL3859" s="315" t="s">
        <v>6896</v>
      </c>
      <c r="AM3859" s="76"/>
      <c r="AN3859" s="76"/>
      <c r="AO3859" s="76"/>
      <c r="AP3859" s="76"/>
      <c r="AQ3859" s="76"/>
      <c r="AR3859" s="76"/>
      <c r="AS3859" s="76"/>
      <c r="AT3859" s="76"/>
      <c r="AU3859" s="76"/>
      <c r="AV3859" s="76"/>
      <c r="AW3859" s="76"/>
      <c r="AX3859" s="76">
        <f>+AW3859*600000</f>
        <v>0</v>
      </c>
      <c r="AY3859" s="76"/>
      <c r="AZ3859" s="76">
        <f>+AY3859*70000</f>
        <v>0</v>
      </c>
      <c r="BA3859" s="76"/>
      <c r="BB3859" s="76"/>
      <c r="BC3859" s="76"/>
      <c r="BD3859" s="76">
        <f>+BC3859*30000</f>
        <v>0</v>
      </c>
      <c r="BE3859" s="76"/>
      <c r="BF3859" s="76"/>
      <c r="BG3859" s="76"/>
      <c r="BH3859" s="76"/>
      <c r="BI3859" s="76"/>
      <c r="BJ3859" s="76"/>
      <c r="BK3859" s="76"/>
      <c r="BL3859" s="76">
        <f>+BK3859*31500</f>
        <v>0</v>
      </c>
      <c r="BM3859" s="76"/>
      <c r="BN3859" s="76"/>
      <c r="BO3859" s="76"/>
      <c r="BP3859" s="76"/>
      <c r="BQ3859" s="76"/>
      <c r="BR3859" s="76"/>
      <c r="BS3859" s="76"/>
      <c r="BT3859" s="76"/>
      <c r="BU3859" s="76"/>
      <c r="BV3859" s="76"/>
      <c r="BW3859" s="76"/>
      <c r="BX3859" s="76"/>
      <c r="BY3859" s="76"/>
      <c r="BZ3859" s="76"/>
      <c r="CA3859" s="76"/>
      <c r="CB3859" s="76"/>
      <c r="CC3859" s="76"/>
      <c r="CD3859" s="76"/>
      <c r="CE3859" s="76"/>
      <c r="CF3859" s="76">
        <f>+CE3859*28000</f>
        <v>0</v>
      </c>
      <c r="CG3859" s="76"/>
      <c r="CH3859" s="76">
        <f>+CG3859*22500</f>
        <v>0</v>
      </c>
      <c r="CI3859" s="76"/>
      <c r="CJ3859" s="76">
        <f>+CI3859*26000</f>
        <v>0</v>
      </c>
      <c r="CK3859" s="76"/>
      <c r="CL3859" s="76"/>
      <c r="CM3859" s="76"/>
      <c r="CN3859" s="76">
        <f>+CM3859*22000</f>
        <v>0</v>
      </c>
      <c r="CO3859" s="76"/>
      <c r="CP3859" s="76">
        <f>+CO3859*46000</f>
        <v>0</v>
      </c>
      <c r="CQ3859" s="76"/>
      <c r="CR3859" s="76">
        <f>+CQ3859*49000</f>
        <v>0</v>
      </c>
      <c r="CS3859" s="76"/>
      <c r="CT3859" s="76"/>
      <c r="CU3859" s="56">
        <f>AN3859+AP3859+AR3859+AT3859+AV3859+AX3859+AZ3859+BB3859+BD3859+BF3859+BH3859+BJ3859+BL3859+BN3859+BP3859+BR3859+BT3859+BV3859+BX3859+BZ3859+CB3859+CD3859+CF3859+CH3859+CJ3859+CL3859+CN3859+CP3859+CR3859+CT3859</f>
        <v>0</v>
      </c>
      <c r="CV3859" s="76"/>
      <c r="CW3859" s="76">
        <f>+CV3859*1100</f>
        <v>0</v>
      </c>
      <c r="CX3859" s="76"/>
      <c r="CY3859" s="76">
        <f>+CX3859*106250</f>
        <v>0</v>
      </c>
      <c r="CZ3859" s="76"/>
      <c r="DA3859" s="76">
        <f>+CZ3859*34500</f>
        <v>0</v>
      </c>
      <c r="DB3859" s="76"/>
      <c r="DC3859" s="76">
        <f>+DB3859*25000</f>
        <v>0</v>
      </c>
      <c r="DD3859" s="219"/>
      <c r="DE3859" s="76"/>
      <c r="DF3859" s="166"/>
      <c r="DG3859" s="116"/>
      <c r="DH3859" s="117"/>
      <c r="DI3859" s="24"/>
      <c r="DJ3859" s="24"/>
      <c r="DK3859" s="24"/>
      <c r="DL3859" s="24"/>
      <c r="DM3859" s="24"/>
      <c r="DN3859" s="24"/>
      <c r="DO3859" s="24"/>
      <c r="DP3859" s="24"/>
      <c r="DQ3859" s="24"/>
      <c r="DR3859" s="24"/>
      <c r="DS3859" s="24"/>
      <c r="DT3859" s="24"/>
      <c r="DU3859" s="24"/>
    </row>
    <row r="3860" spans="1:125" s="8" customFormat="1" ht="24" x14ac:dyDescent="0.2">
      <c r="A3860" s="353">
        <v>41617</v>
      </c>
      <c r="B3860" s="352" t="s">
        <v>2778</v>
      </c>
      <c r="C3860" s="354" t="s">
        <v>1344</v>
      </c>
      <c r="D3860" s="354" t="s">
        <v>2846</v>
      </c>
      <c r="E3860" s="353" t="str">
        <f>VLOOKUP(B3860&amp;C3860,Divipola!$C$2:$F$1138,4,FALSE)</f>
        <v>85001</v>
      </c>
      <c r="F3860" s="87"/>
      <c r="G3860" s="87"/>
      <c r="H3860" s="87"/>
      <c r="I3860" s="87"/>
      <c r="J3860" s="87"/>
      <c r="K3860" s="87"/>
      <c r="L3860" s="87"/>
      <c r="M3860" s="87"/>
      <c r="N3860" s="87"/>
      <c r="O3860" s="87"/>
      <c r="P3860" s="87"/>
      <c r="Q3860" s="87"/>
      <c r="R3860" s="87"/>
      <c r="S3860" s="87"/>
      <c r="T3860" s="87"/>
      <c r="U3860" s="88">
        <v>1</v>
      </c>
      <c r="V3860" s="89"/>
      <c r="W3860" s="96">
        <v>0</v>
      </c>
      <c r="X3860" s="71">
        <f>CU3860</f>
        <v>0</v>
      </c>
      <c r="Y3860" s="71">
        <f>CY3860</f>
        <v>0</v>
      </c>
      <c r="Z3860" s="71">
        <f>DA3860+DC3860+DE3860</f>
        <v>0</v>
      </c>
      <c r="AA3860" s="71">
        <f>CW3860</f>
        <v>0</v>
      </c>
      <c r="AB3860" s="71"/>
      <c r="AC3860" s="71">
        <v>0</v>
      </c>
      <c r="AD3860" s="71">
        <f>W3860+X3860+Y3860+Z3860+AA3860+AB3860+AC3860</f>
        <v>0</v>
      </c>
      <c r="AE3860" s="72">
        <v>0</v>
      </c>
      <c r="AF3860" s="5"/>
      <c r="AG3860" s="6"/>
      <c r="AH3860" s="27"/>
      <c r="AI3860" s="44"/>
      <c r="AJ3860" s="26"/>
      <c r="AK3860" s="5"/>
      <c r="AL3860" s="315" t="s">
        <v>6898</v>
      </c>
      <c r="AM3860" s="76"/>
      <c r="AN3860" s="76"/>
      <c r="AO3860" s="76"/>
      <c r="AP3860" s="76"/>
      <c r="AQ3860" s="76"/>
      <c r="AR3860" s="76"/>
      <c r="AS3860" s="76"/>
      <c r="AT3860" s="76"/>
      <c r="AU3860" s="76"/>
      <c r="AV3860" s="76"/>
      <c r="AW3860" s="76"/>
      <c r="AX3860" s="76">
        <f>+AW3860*600000</f>
        <v>0</v>
      </c>
      <c r="AY3860" s="76"/>
      <c r="AZ3860" s="76">
        <f>+AY3860*70000</f>
        <v>0</v>
      </c>
      <c r="BA3860" s="76"/>
      <c r="BB3860" s="76"/>
      <c r="BC3860" s="76"/>
      <c r="BD3860" s="76">
        <f>+BC3860*30000</f>
        <v>0</v>
      </c>
      <c r="BE3860" s="76"/>
      <c r="BF3860" s="76"/>
      <c r="BG3860" s="76"/>
      <c r="BH3860" s="76"/>
      <c r="BI3860" s="76"/>
      <c r="BJ3860" s="76"/>
      <c r="BK3860" s="76"/>
      <c r="BL3860" s="76">
        <f>+BK3860*31500</f>
        <v>0</v>
      </c>
      <c r="BM3860" s="76"/>
      <c r="BN3860" s="76"/>
      <c r="BO3860" s="76"/>
      <c r="BP3860" s="76"/>
      <c r="BQ3860" s="76"/>
      <c r="BR3860" s="76"/>
      <c r="BS3860" s="76"/>
      <c r="BT3860" s="76"/>
      <c r="BU3860" s="76"/>
      <c r="BV3860" s="76"/>
      <c r="BW3860" s="76"/>
      <c r="BX3860" s="76"/>
      <c r="BY3860" s="76"/>
      <c r="BZ3860" s="76"/>
      <c r="CA3860" s="76"/>
      <c r="CB3860" s="76"/>
      <c r="CC3860" s="76"/>
      <c r="CD3860" s="76"/>
      <c r="CE3860" s="76"/>
      <c r="CF3860" s="76">
        <f>+CE3860*28000</f>
        <v>0</v>
      </c>
      <c r="CG3860" s="76"/>
      <c r="CH3860" s="76">
        <f>+CG3860*22500</f>
        <v>0</v>
      </c>
      <c r="CI3860" s="76"/>
      <c r="CJ3860" s="76">
        <f>+CI3860*26000</f>
        <v>0</v>
      </c>
      <c r="CK3860" s="76"/>
      <c r="CL3860" s="76"/>
      <c r="CM3860" s="76"/>
      <c r="CN3860" s="76">
        <f>+CM3860*22000</f>
        <v>0</v>
      </c>
      <c r="CO3860" s="76"/>
      <c r="CP3860" s="76">
        <f>+CO3860*46000</f>
        <v>0</v>
      </c>
      <c r="CQ3860" s="76"/>
      <c r="CR3860" s="76">
        <f>+CQ3860*49000</f>
        <v>0</v>
      </c>
      <c r="CS3860" s="76"/>
      <c r="CT3860" s="76"/>
      <c r="CU3860" s="56">
        <f>AN3860+AP3860+AR3860+AT3860+AV3860+AX3860+AZ3860+BB3860+BD3860+BF3860+BH3860+BJ3860+BL3860+BN3860+BP3860+BR3860+BT3860+BV3860+BX3860+BZ3860+CB3860+CD3860+CF3860+CH3860+CJ3860+CL3860+CN3860+CP3860+CR3860+CT3860</f>
        <v>0</v>
      </c>
      <c r="CV3860" s="76"/>
      <c r="CW3860" s="76">
        <f>+CV3860*1100</f>
        <v>0</v>
      </c>
      <c r="CX3860" s="76"/>
      <c r="CY3860" s="76">
        <f>+CX3860*106250</f>
        <v>0</v>
      </c>
      <c r="CZ3860" s="76"/>
      <c r="DA3860" s="76">
        <f>+CZ3860*34500</f>
        <v>0</v>
      </c>
      <c r="DB3860" s="76"/>
      <c r="DC3860" s="76">
        <f>+DB3860*25000</f>
        <v>0</v>
      </c>
      <c r="DD3860" s="219"/>
      <c r="DE3860" s="76"/>
      <c r="DF3860" s="166"/>
      <c r="DG3860" s="116"/>
      <c r="DH3860" s="117"/>
      <c r="DI3860" s="24"/>
      <c r="DJ3860" s="24"/>
      <c r="DK3860" s="24"/>
      <c r="DL3860" s="24"/>
      <c r="DM3860" s="24"/>
      <c r="DN3860" s="24"/>
      <c r="DO3860" s="24"/>
      <c r="DP3860" s="24"/>
      <c r="DQ3860" s="24"/>
      <c r="DR3860" s="24"/>
      <c r="DS3860" s="24"/>
      <c r="DT3860" s="24"/>
      <c r="DU3860" s="24"/>
    </row>
    <row r="3861" spans="1:125" s="8" customFormat="1" ht="48" x14ac:dyDescent="0.2">
      <c r="A3861" s="77">
        <v>41617</v>
      </c>
      <c r="B3861" s="352" t="s">
        <v>2811</v>
      </c>
      <c r="C3861" s="354" t="s">
        <v>2062</v>
      </c>
      <c r="D3861" s="354" t="s">
        <v>3088</v>
      </c>
      <c r="E3861" s="353" t="str">
        <f>VLOOKUP(B3861&amp;C3861,Divipola!$C$2:$F$1138,4,FALSE)</f>
        <v>52678</v>
      </c>
      <c r="F3861" s="87"/>
      <c r="G3861" s="87"/>
      <c r="H3861" s="87"/>
      <c r="I3861" s="87">
        <v>2</v>
      </c>
      <c r="J3861" s="87">
        <v>1</v>
      </c>
      <c r="K3861" s="87"/>
      <c r="L3861" s="87">
        <v>1</v>
      </c>
      <c r="M3861" s="87"/>
      <c r="N3861" s="87"/>
      <c r="O3861" s="87"/>
      <c r="P3861" s="87"/>
      <c r="Q3861" s="87"/>
      <c r="R3861" s="87"/>
      <c r="S3861" s="87"/>
      <c r="T3861" s="87"/>
      <c r="U3861" s="88"/>
      <c r="V3861" s="89"/>
      <c r="W3861" s="96">
        <v>0</v>
      </c>
      <c r="X3861" s="71">
        <f>CU3861</f>
        <v>0</v>
      </c>
      <c r="Y3861" s="71">
        <f>CY3861</f>
        <v>0</v>
      </c>
      <c r="Z3861" s="71">
        <f>DA3861+DC3861+DE3861</f>
        <v>0</v>
      </c>
      <c r="AA3861" s="71">
        <f>CW3861</f>
        <v>0</v>
      </c>
      <c r="AB3861" s="71"/>
      <c r="AC3861" s="71">
        <v>0</v>
      </c>
      <c r="AD3861" s="71">
        <f>W3861+X3861+Y3861+Z3861+AA3861+AB3861+AC3861</f>
        <v>0</v>
      </c>
      <c r="AE3861" s="72">
        <v>0</v>
      </c>
      <c r="AF3861" s="5"/>
      <c r="AG3861" s="6"/>
      <c r="AH3861" s="27"/>
      <c r="AI3861" s="44"/>
      <c r="AJ3861" s="26"/>
      <c r="AK3861" s="5"/>
      <c r="AL3861" s="82" t="s">
        <v>6899</v>
      </c>
      <c r="AM3861" s="76"/>
      <c r="AN3861" s="76"/>
      <c r="AO3861" s="76"/>
      <c r="AP3861" s="76"/>
      <c r="AQ3861" s="76"/>
      <c r="AR3861" s="76"/>
      <c r="AS3861" s="76"/>
      <c r="AT3861" s="76"/>
      <c r="AU3861" s="76"/>
      <c r="AV3861" s="76"/>
      <c r="AW3861" s="76"/>
      <c r="AX3861" s="76">
        <f>+AW3861*600000</f>
        <v>0</v>
      </c>
      <c r="AY3861" s="76"/>
      <c r="AZ3861" s="76">
        <f>+AY3861*70000</f>
        <v>0</v>
      </c>
      <c r="BA3861" s="76"/>
      <c r="BB3861" s="76"/>
      <c r="BC3861" s="76"/>
      <c r="BD3861" s="76">
        <f>+BC3861*30000</f>
        <v>0</v>
      </c>
      <c r="BE3861" s="76"/>
      <c r="BF3861" s="76"/>
      <c r="BG3861" s="76"/>
      <c r="BH3861" s="76"/>
      <c r="BI3861" s="76"/>
      <c r="BJ3861" s="76"/>
      <c r="BK3861" s="76"/>
      <c r="BL3861" s="76">
        <f>+BK3861*31500</f>
        <v>0</v>
      </c>
      <c r="BM3861" s="76"/>
      <c r="BN3861" s="76"/>
      <c r="BO3861" s="76"/>
      <c r="BP3861" s="76"/>
      <c r="BQ3861" s="76"/>
      <c r="BR3861" s="76"/>
      <c r="BS3861" s="76"/>
      <c r="BT3861" s="76"/>
      <c r="BU3861" s="76"/>
      <c r="BV3861" s="76"/>
      <c r="BW3861" s="76"/>
      <c r="BX3861" s="76"/>
      <c r="BY3861" s="76"/>
      <c r="BZ3861" s="76"/>
      <c r="CA3861" s="76"/>
      <c r="CB3861" s="76"/>
      <c r="CC3861" s="76"/>
      <c r="CD3861" s="76"/>
      <c r="CE3861" s="76"/>
      <c r="CF3861" s="76">
        <f>+CE3861*28000</f>
        <v>0</v>
      </c>
      <c r="CG3861" s="76"/>
      <c r="CH3861" s="76">
        <f>+CG3861*22500</f>
        <v>0</v>
      </c>
      <c r="CI3861" s="76"/>
      <c r="CJ3861" s="76">
        <f>+CI3861*26000</f>
        <v>0</v>
      </c>
      <c r="CK3861" s="76"/>
      <c r="CL3861" s="76"/>
      <c r="CM3861" s="76"/>
      <c r="CN3861" s="76">
        <f>+CM3861*22000</f>
        <v>0</v>
      </c>
      <c r="CO3861" s="76"/>
      <c r="CP3861" s="76">
        <f>+CO3861*46000</f>
        <v>0</v>
      </c>
      <c r="CQ3861" s="76"/>
      <c r="CR3861" s="76">
        <f>+CQ3861*49000</f>
        <v>0</v>
      </c>
      <c r="CS3861" s="76"/>
      <c r="CT3861" s="76"/>
      <c r="CU3861" s="56">
        <f>AN3861+AP3861+AR3861+AT3861+AV3861+AX3861+AZ3861+BB3861+BD3861+BF3861+BH3861+BJ3861+BL3861+BN3861+BP3861+BR3861+BT3861+BV3861+BX3861+BZ3861+CB3861+CD3861+CF3861+CH3861+CJ3861+CL3861+CN3861+CP3861+CR3861+CT3861</f>
        <v>0</v>
      </c>
      <c r="CV3861" s="76"/>
      <c r="CW3861" s="76">
        <f>+CV3861*1100</f>
        <v>0</v>
      </c>
      <c r="CX3861" s="76"/>
      <c r="CY3861" s="76">
        <f>+CX3861*106250</f>
        <v>0</v>
      </c>
      <c r="CZ3861" s="76"/>
      <c r="DA3861" s="76">
        <f>+CZ3861*34500</f>
        <v>0</v>
      </c>
      <c r="DB3861" s="76"/>
      <c r="DC3861" s="76">
        <f>+DB3861*25000</f>
        <v>0</v>
      </c>
      <c r="DD3861" s="219"/>
      <c r="DE3861" s="76"/>
      <c r="DF3861" s="166"/>
      <c r="DG3861" s="116"/>
      <c r="DH3861" s="117"/>
      <c r="DI3861" s="24"/>
      <c r="DJ3861" s="24"/>
      <c r="DK3861" s="24"/>
      <c r="DL3861" s="24"/>
      <c r="DM3861" s="24"/>
      <c r="DN3861" s="24"/>
      <c r="DO3861" s="24"/>
      <c r="DP3861" s="24"/>
      <c r="DQ3861" s="24"/>
      <c r="DR3861" s="24"/>
      <c r="DS3861" s="24"/>
      <c r="DT3861" s="24"/>
      <c r="DU3861" s="24"/>
    </row>
    <row r="3862" spans="1:125" s="8" customFormat="1" ht="132" x14ac:dyDescent="0.2">
      <c r="A3862" s="77">
        <v>41618</v>
      </c>
      <c r="B3862" s="78" t="s">
        <v>2851</v>
      </c>
      <c r="C3862" s="75" t="s">
        <v>2751</v>
      </c>
      <c r="D3862" s="75" t="s">
        <v>3088</v>
      </c>
      <c r="E3862" s="353" t="str">
        <f>VLOOKUP(B3862&amp;C3862,Divipola!$C$2:$F$1138,4,FALSE)</f>
        <v>76828</v>
      </c>
      <c r="F3862" s="87"/>
      <c r="G3862" s="87"/>
      <c r="H3862" s="87"/>
      <c r="I3862" s="87"/>
      <c r="J3862" s="87"/>
      <c r="K3862" s="87"/>
      <c r="L3862" s="87"/>
      <c r="M3862" s="87">
        <v>1</v>
      </c>
      <c r="N3862" s="87"/>
      <c r="O3862" s="87"/>
      <c r="P3862" s="87"/>
      <c r="Q3862" s="87"/>
      <c r="R3862" s="87"/>
      <c r="S3862" s="87"/>
      <c r="T3862" s="87"/>
      <c r="U3862" s="88"/>
      <c r="V3862" s="89"/>
      <c r="W3862" s="96">
        <v>0</v>
      </c>
      <c r="X3862" s="71">
        <f>CU3862</f>
        <v>0</v>
      </c>
      <c r="Y3862" s="71">
        <f>CY3862</f>
        <v>0</v>
      </c>
      <c r="Z3862" s="71">
        <f>DA3862+DC3862+DE3862</f>
        <v>0</v>
      </c>
      <c r="AA3862" s="71">
        <f>CW3862</f>
        <v>0</v>
      </c>
      <c r="AB3862" s="71"/>
      <c r="AC3862" s="71">
        <v>0</v>
      </c>
      <c r="AD3862" s="71">
        <f>W3862+X3862+Y3862+Z3862+AA3862+AB3862+AC3862</f>
        <v>0</v>
      </c>
      <c r="AE3862" s="72">
        <v>0</v>
      </c>
      <c r="AF3862" s="5"/>
      <c r="AG3862" s="6"/>
      <c r="AH3862" s="27"/>
      <c r="AI3862" s="44"/>
      <c r="AJ3862" s="26"/>
      <c r="AK3862" s="5"/>
      <c r="AL3862" s="268" t="s">
        <v>6970</v>
      </c>
      <c r="AM3862" s="76"/>
      <c r="AN3862" s="76"/>
      <c r="AO3862" s="76"/>
      <c r="AP3862" s="76"/>
      <c r="AQ3862" s="76"/>
      <c r="AR3862" s="76"/>
      <c r="AS3862" s="76"/>
      <c r="AT3862" s="76"/>
      <c r="AU3862" s="76"/>
      <c r="AV3862" s="76"/>
      <c r="AW3862" s="76"/>
      <c r="AX3862" s="76">
        <f>+AW3862*600000</f>
        <v>0</v>
      </c>
      <c r="AY3862" s="76"/>
      <c r="AZ3862" s="76">
        <f>+AY3862*70000</f>
        <v>0</v>
      </c>
      <c r="BA3862" s="76"/>
      <c r="BB3862" s="76"/>
      <c r="BC3862" s="76"/>
      <c r="BD3862" s="76">
        <f>+BC3862*30000</f>
        <v>0</v>
      </c>
      <c r="BE3862" s="76"/>
      <c r="BF3862" s="76"/>
      <c r="BG3862" s="76"/>
      <c r="BH3862" s="76"/>
      <c r="BI3862" s="76"/>
      <c r="BJ3862" s="76"/>
      <c r="BK3862" s="76"/>
      <c r="BL3862" s="76">
        <f>+BK3862*31500</f>
        <v>0</v>
      </c>
      <c r="BM3862" s="76"/>
      <c r="BN3862" s="76"/>
      <c r="BO3862" s="76"/>
      <c r="BP3862" s="76"/>
      <c r="BQ3862" s="76"/>
      <c r="BR3862" s="76"/>
      <c r="BS3862" s="76"/>
      <c r="BT3862" s="76"/>
      <c r="BU3862" s="76"/>
      <c r="BV3862" s="76"/>
      <c r="BW3862" s="76"/>
      <c r="BX3862" s="76"/>
      <c r="BY3862" s="76"/>
      <c r="BZ3862" s="76"/>
      <c r="CA3862" s="76"/>
      <c r="CB3862" s="76"/>
      <c r="CC3862" s="76"/>
      <c r="CD3862" s="76"/>
      <c r="CE3862" s="76"/>
      <c r="CF3862" s="76">
        <f>+CE3862*28000</f>
        <v>0</v>
      </c>
      <c r="CG3862" s="76"/>
      <c r="CH3862" s="76">
        <f>+CG3862*22500</f>
        <v>0</v>
      </c>
      <c r="CI3862" s="76"/>
      <c r="CJ3862" s="76">
        <f>+CI3862*26000</f>
        <v>0</v>
      </c>
      <c r="CK3862" s="76"/>
      <c r="CL3862" s="76"/>
      <c r="CM3862" s="76"/>
      <c r="CN3862" s="76">
        <f>+CM3862*22000</f>
        <v>0</v>
      </c>
      <c r="CO3862" s="76"/>
      <c r="CP3862" s="76">
        <f>+CO3862*46000</f>
        <v>0</v>
      </c>
      <c r="CQ3862" s="76"/>
      <c r="CR3862" s="76">
        <f>+CQ3862*49000</f>
        <v>0</v>
      </c>
      <c r="CS3862" s="76"/>
      <c r="CT3862" s="76"/>
      <c r="CU3862" s="56">
        <f>AN3862+AP3862+AR3862+AT3862+AV3862+AX3862+AZ3862+BB3862+BD3862+BF3862+BH3862+BJ3862+BL3862+BN3862+BP3862+BR3862+BT3862+BV3862+BX3862+BZ3862+CB3862+CD3862+CF3862+CH3862+CJ3862+CL3862+CN3862+CP3862+CR3862+CT3862</f>
        <v>0</v>
      </c>
      <c r="CV3862" s="76"/>
      <c r="CW3862" s="76">
        <f>+CV3862*1100</f>
        <v>0</v>
      </c>
      <c r="CX3862" s="76"/>
      <c r="CY3862" s="76">
        <f>+CX3862*106250</f>
        <v>0</v>
      </c>
      <c r="CZ3862" s="76"/>
      <c r="DA3862" s="76">
        <f>+CZ3862*34500</f>
        <v>0</v>
      </c>
      <c r="DB3862" s="76"/>
      <c r="DC3862" s="76">
        <f>+DB3862*25000</f>
        <v>0</v>
      </c>
      <c r="DD3862" s="219"/>
      <c r="DE3862" s="76"/>
      <c r="DF3862" s="166"/>
      <c r="DG3862" s="116"/>
      <c r="DH3862" s="117"/>
      <c r="DI3862" s="24"/>
      <c r="DJ3862" s="24"/>
      <c r="DK3862" s="24"/>
      <c r="DL3862" s="24"/>
      <c r="DM3862" s="24"/>
      <c r="DN3862" s="24"/>
      <c r="DO3862" s="24"/>
      <c r="DP3862" s="24"/>
      <c r="DQ3862" s="24"/>
      <c r="DR3862" s="24"/>
      <c r="DS3862" s="24"/>
      <c r="DT3862" s="24"/>
      <c r="DU3862" s="24"/>
    </row>
    <row r="3863" spans="1:125" s="8" customFormat="1" ht="144" x14ac:dyDescent="0.2">
      <c r="A3863" s="353">
        <v>41618</v>
      </c>
      <c r="B3863" s="352" t="s">
        <v>2851</v>
      </c>
      <c r="C3863" s="354" t="s">
        <v>1686</v>
      </c>
      <c r="D3863" s="354" t="s">
        <v>2859</v>
      </c>
      <c r="E3863" s="353" t="str">
        <f>VLOOKUP(B3863&amp;C3863,Divipola!$C$2:$F$1138,4,FALSE)</f>
        <v>76001</v>
      </c>
      <c r="F3863" s="87"/>
      <c r="G3863" s="87">
        <v>1</v>
      </c>
      <c r="H3863" s="87"/>
      <c r="I3863" s="87"/>
      <c r="J3863" s="87"/>
      <c r="K3863" s="87"/>
      <c r="L3863" s="87"/>
      <c r="M3863" s="87"/>
      <c r="N3863" s="87"/>
      <c r="O3863" s="87"/>
      <c r="P3863" s="87"/>
      <c r="Q3863" s="87"/>
      <c r="R3863" s="87"/>
      <c r="S3863" s="87"/>
      <c r="T3863" s="87"/>
      <c r="U3863" s="88"/>
      <c r="V3863" s="89">
        <v>1</v>
      </c>
      <c r="W3863" s="96">
        <v>0</v>
      </c>
      <c r="X3863" s="71">
        <f>CU3863</f>
        <v>0</v>
      </c>
      <c r="Y3863" s="71">
        <f>CY3863</f>
        <v>0</v>
      </c>
      <c r="Z3863" s="71">
        <f>DA3863+DC3863+DE3863</f>
        <v>0</v>
      </c>
      <c r="AA3863" s="71">
        <f>CW3863</f>
        <v>0</v>
      </c>
      <c r="AB3863" s="71"/>
      <c r="AC3863" s="71">
        <v>0</v>
      </c>
      <c r="AD3863" s="71">
        <f>W3863+X3863+Y3863+Z3863+AA3863+AB3863+AC3863</f>
        <v>0</v>
      </c>
      <c r="AE3863" s="72">
        <v>0</v>
      </c>
      <c r="AF3863" s="5"/>
      <c r="AG3863" s="6"/>
      <c r="AH3863" s="27"/>
      <c r="AI3863" s="44"/>
      <c r="AJ3863" s="26"/>
      <c r="AK3863" s="5"/>
      <c r="AL3863" s="82" t="s">
        <v>6908</v>
      </c>
      <c r="AM3863" s="76"/>
      <c r="AN3863" s="76"/>
      <c r="AO3863" s="76"/>
      <c r="AP3863" s="76"/>
      <c r="AQ3863" s="76"/>
      <c r="AR3863" s="76"/>
      <c r="AS3863" s="76"/>
      <c r="AT3863" s="76"/>
      <c r="AU3863" s="76"/>
      <c r="AV3863" s="76"/>
      <c r="AW3863" s="76"/>
      <c r="AX3863" s="76">
        <f>+AW3863*600000</f>
        <v>0</v>
      </c>
      <c r="AY3863" s="76"/>
      <c r="AZ3863" s="76">
        <f>+AY3863*70000</f>
        <v>0</v>
      </c>
      <c r="BA3863" s="76"/>
      <c r="BB3863" s="76"/>
      <c r="BC3863" s="76"/>
      <c r="BD3863" s="76">
        <f>+BC3863*30000</f>
        <v>0</v>
      </c>
      <c r="BE3863" s="76"/>
      <c r="BF3863" s="76"/>
      <c r="BG3863" s="76"/>
      <c r="BH3863" s="76"/>
      <c r="BI3863" s="76"/>
      <c r="BJ3863" s="76"/>
      <c r="BK3863" s="76"/>
      <c r="BL3863" s="76">
        <f>+BK3863*31500</f>
        <v>0</v>
      </c>
      <c r="BM3863" s="76"/>
      <c r="BN3863" s="76"/>
      <c r="BO3863" s="76"/>
      <c r="BP3863" s="76"/>
      <c r="BQ3863" s="76"/>
      <c r="BR3863" s="76"/>
      <c r="BS3863" s="76"/>
      <c r="BT3863" s="76"/>
      <c r="BU3863" s="76"/>
      <c r="BV3863" s="76"/>
      <c r="BW3863" s="76"/>
      <c r="BX3863" s="76"/>
      <c r="BY3863" s="76"/>
      <c r="BZ3863" s="76"/>
      <c r="CA3863" s="76"/>
      <c r="CB3863" s="76"/>
      <c r="CC3863" s="76"/>
      <c r="CD3863" s="76"/>
      <c r="CE3863" s="76"/>
      <c r="CF3863" s="76">
        <f>+CE3863*28000</f>
        <v>0</v>
      </c>
      <c r="CG3863" s="76"/>
      <c r="CH3863" s="76">
        <f>+CG3863*22500</f>
        <v>0</v>
      </c>
      <c r="CI3863" s="76"/>
      <c r="CJ3863" s="76">
        <f>+CI3863*26000</f>
        <v>0</v>
      </c>
      <c r="CK3863" s="76"/>
      <c r="CL3863" s="76"/>
      <c r="CM3863" s="76"/>
      <c r="CN3863" s="76">
        <f>+CM3863*22000</f>
        <v>0</v>
      </c>
      <c r="CO3863" s="76"/>
      <c r="CP3863" s="76">
        <f>+CO3863*46000</f>
        <v>0</v>
      </c>
      <c r="CQ3863" s="76"/>
      <c r="CR3863" s="76">
        <f>+CQ3863*49000</f>
        <v>0</v>
      </c>
      <c r="CS3863" s="76"/>
      <c r="CT3863" s="76"/>
      <c r="CU3863" s="56">
        <f>AN3863+AP3863+AR3863+AT3863+AV3863+AX3863+AZ3863+BB3863+BD3863+BF3863+BH3863+BJ3863+BL3863+BN3863+BP3863+BR3863+BT3863+BV3863+BX3863+BZ3863+CB3863+CD3863+CF3863+CH3863+CJ3863+CL3863+CN3863+CP3863+CR3863+CT3863</f>
        <v>0</v>
      </c>
      <c r="CV3863" s="76"/>
      <c r="CW3863" s="76">
        <f>+CV3863*1100</f>
        <v>0</v>
      </c>
      <c r="CX3863" s="76"/>
      <c r="CY3863" s="76">
        <f>+CX3863*106250</f>
        <v>0</v>
      </c>
      <c r="CZ3863" s="76"/>
      <c r="DA3863" s="76">
        <f>+CZ3863*34500</f>
        <v>0</v>
      </c>
      <c r="DB3863" s="76"/>
      <c r="DC3863" s="76">
        <f>+DB3863*25000</f>
        <v>0</v>
      </c>
      <c r="DD3863" s="219"/>
      <c r="DE3863" s="76"/>
      <c r="DF3863" s="166"/>
      <c r="DG3863" s="116"/>
      <c r="DH3863" s="117"/>
      <c r="DI3863" s="24"/>
      <c r="DJ3863" s="24"/>
      <c r="DK3863" s="24"/>
      <c r="DL3863" s="24"/>
      <c r="DM3863" s="24"/>
      <c r="DN3863" s="24"/>
      <c r="DO3863" s="24"/>
      <c r="DP3863" s="24"/>
      <c r="DQ3863" s="24"/>
      <c r="DR3863" s="24"/>
      <c r="DS3863" s="24"/>
      <c r="DT3863" s="24"/>
      <c r="DU3863" s="24"/>
    </row>
    <row r="3864" spans="1:125" s="8" customFormat="1" ht="36" x14ac:dyDescent="0.2">
      <c r="A3864" s="77">
        <v>41618</v>
      </c>
      <c r="B3864" s="78" t="s">
        <v>2774</v>
      </c>
      <c r="C3864" s="75" t="s">
        <v>2073</v>
      </c>
      <c r="D3864" s="75" t="s">
        <v>2882</v>
      </c>
      <c r="E3864" s="353" t="str">
        <f>VLOOKUP(B3864&amp;C3864,Divipola!$C$2:$F$1138,4,FALSE)</f>
        <v>66383</v>
      </c>
      <c r="F3864" s="87"/>
      <c r="G3864" s="87"/>
      <c r="H3864" s="87"/>
      <c r="I3864" s="87">
        <v>10</v>
      </c>
      <c r="J3864" s="87">
        <v>2</v>
      </c>
      <c r="K3864" s="87"/>
      <c r="L3864" s="87">
        <v>2</v>
      </c>
      <c r="M3864" s="87"/>
      <c r="N3864" s="87"/>
      <c r="O3864" s="87"/>
      <c r="P3864" s="87"/>
      <c r="Q3864" s="87"/>
      <c r="R3864" s="87"/>
      <c r="S3864" s="87"/>
      <c r="T3864" s="87"/>
      <c r="U3864" s="88"/>
      <c r="V3864" s="89"/>
      <c r="W3864" s="96">
        <v>0</v>
      </c>
      <c r="X3864" s="71">
        <f>CU3864</f>
        <v>0</v>
      </c>
      <c r="Y3864" s="71">
        <f>CY3864</f>
        <v>0</v>
      </c>
      <c r="Z3864" s="71">
        <f>DA3864+DC3864+DE3864</f>
        <v>0</v>
      </c>
      <c r="AA3864" s="71">
        <f>CW3864</f>
        <v>0</v>
      </c>
      <c r="AB3864" s="71"/>
      <c r="AC3864" s="71">
        <v>0</v>
      </c>
      <c r="AD3864" s="71">
        <f>W3864+X3864+Y3864+Z3864+AA3864+AB3864+AC3864</f>
        <v>0</v>
      </c>
      <c r="AE3864" s="72">
        <v>0</v>
      </c>
      <c r="AF3864" s="5"/>
      <c r="AG3864" s="6"/>
      <c r="AH3864" s="27"/>
      <c r="AI3864" s="44"/>
      <c r="AJ3864" s="26"/>
      <c r="AK3864" s="5"/>
      <c r="AL3864" s="82" t="s">
        <v>6910</v>
      </c>
      <c r="AM3864" s="76"/>
      <c r="AN3864" s="76"/>
      <c r="AO3864" s="76"/>
      <c r="AP3864" s="76"/>
      <c r="AQ3864" s="76"/>
      <c r="AR3864" s="76"/>
      <c r="AS3864" s="76"/>
      <c r="AT3864" s="76"/>
      <c r="AU3864" s="76"/>
      <c r="AV3864" s="76"/>
      <c r="AW3864" s="76"/>
      <c r="AX3864" s="76">
        <f>+AW3864*600000</f>
        <v>0</v>
      </c>
      <c r="AY3864" s="76"/>
      <c r="AZ3864" s="76">
        <f>+AY3864*70000</f>
        <v>0</v>
      </c>
      <c r="BA3864" s="76"/>
      <c r="BB3864" s="76"/>
      <c r="BC3864" s="76"/>
      <c r="BD3864" s="76">
        <f>+BC3864*30000</f>
        <v>0</v>
      </c>
      <c r="BE3864" s="76"/>
      <c r="BF3864" s="76"/>
      <c r="BG3864" s="76"/>
      <c r="BH3864" s="76"/>
      <c r="BI3864" s="76"/>
      <c r="BJ3864" s="76"/>
      <c r="BK3864" s="76"/>
      <c r="BL3864" s="76">
        <f>+BK3864*31500</f>
        <v>0</v>
      </c>
      <c r="BM3864" s="76"/>
      <c r="BN3864" s="76"/>
      <c r="BO3864" s="76"/>
      <c r="BP3864" s="76"/>
      <c r="BQ3864" s="76"/>
      <c r="BR3864" s="76"/>
      <c r="BS3864" s="76"/>
      <c r="BT3864" s="76"/>
      <c r="BU3864" s="76"/>
      <c r="BV3864" s="76"/>
      <c r="BW3864" s="76"/>
      <c r="BX3864" s="76"/>
      <c r="BY3864" s="76"/>
      <c r="BZ3864" s="76"/>
      <c r="CA3864" s="76"/>
      <c r="CB3864" s="76"/>
      <c r="CC3864" s="76"/>
      <c r="CD3864" s="76"/>
      <c r="CE3864" s="76"/>
      <c r="CF3864" s="76">
        <f>+CE3864*28000</f>
        <v>0</v>
      </c>
      <c r="CG3864" s="76"/>
      <c r="CH3864" s="76">
        <f>+CG3864*22500</f>
        <v>0</v>
      </c>
      <c r="CI3864" s="76"/>
      <c r="CJ3864" s="76">
        <f>+CI3864*26000</f>
        <v>0</v>
      </c>
      <c r="CK3864" s="76"/>
      <c r="CL3864" s="76"/>
      <c r="CM3864" s="76"/>
      <c r="CN3864" s="76">
        <f>+CM3864*22000</f>
        <v>0</v>
      </c>
      <c r="CO3864" s="76"/>
      <c r="CP3864" s="76">
        <f>+CO3864*46000</f>
        <v>0</v>
      </c>
      <c r="CQ3864" s="76"/>
      <c r="CR3864" s="76">
        <f>+CQ3864*49000</f>
        <v>0</v>
      </c>
      <c r="CS3864" s="76"/>
      <c r="CT3864" s="76"/>
      <c r="CU3864" s="56">
        <f>AN3864+AP3864+AR3864+AT3864+AV3864+AX3864+AZ3864+BB3864+BD3864+BF3864+BH3864+BJ3864+BL3864+BN3864+BP3864+BR3864+BT3864+BV3864+BX3864+BZ3864+CB3864+CD3864+CF3864+CH3864+CJ3864+CL3864+CN3864+CP3864+CR3864+CT3864</f>
        <v>0</v>
      </c>
      <c r="CV3864" s="76"/>
      <c r="CW3864" s="76">
        <f>+CV3864*1100</f>
        <v>0</v>
      </c>
      <c r="CX3864" s="76"/>
      <c r="CY3864" s="76">
        <f>+CX3864*106250</f>
        <v>0</v>
      </c>
      <c r="CZ3864" s="76"/>
      <c r="DA3864" s="76">
        <f>+CZ3864*34500</f>
        <v>0</v>
      </c>
      <c r="DB3864" s="76"/>
      <c r="DC3864" s="76">
        <f>+DB3864*25000</f>
        <v>0</v>
      </c>
      <c r="DD3864" s="219"/>
      <c r="DE3864" s="76"/>
      <c r="DF3864" s="166"/>
      <c r="DG3864" s="116"/>
      <c r="DH3864" s="117"/>
      <c r="DI3864" s="24"/>
      <c r="DJ3864" s="24"/>
      <c r="DK3864" s="24"/>
      <c r="DL3864" s="24"/>
      <c r="DM3864" s="24"/>
      <c r="DN3864" s="24"/>
      <c r="DO3864" s="24"/>
      <c r="DP3864" s="24"/>
      <c r="DQ3864" s="24"/>
      <c r="DR3864" s="24"/>
      <c r="DS3864" s="24"/>
      <c r="DT3864" s="24"/>
      <c r="DU3864" s="24"/>
    </row>
    <row r="3865" spans="1:125" s="8" customFormat="1" ht="84" x14ac:dyDescent="0.2">
      <c r="A3865" s="353">
        <v>41618</v>
      </c>
      <c r="B3865" s="352" t="s">
        <v>2811</v>
      </c>
      <c r="C3865" s="354" t="s">
        <v>124</v>
      </c>
      <c r="D3865" s="354" t="s">
        <v>3051</v>
      </c>
      <c r="E3865" s="353" t="str">
        <f>VLOOKUP(B3865&amp;C3865,Divipola!$C$2:$F$1138,4,FALSE)</f>
        <v>52036</v>
      </c>
      <c r="F3865" s="87"/>
      <c r="G3865" s="87"/>
      <c r="H3865" s="87"/>
      <c r="I3865" s="87">
        <v>10</v>
      </c>
      <c r="J3865" s="87">
        <v>2</v>
      </c>
      <c r="K3865" s="87"/>
      <c r="L3865" s="87">
        <v>2</v>
      </c>
      <c r="M3865" s="87">
        <v>1</v>
      </c>
      <c r="N3865" s="87"/>
      <c r="O3865" s="87"/>
      <c r="P3865" s="87"/>
      <c r="Q3865" s="87">
        <v>1</v>
      </c>
      <c r="R3865" s="87"/>
      <c r="S3865" s="87"/>
      <c r="T3865" s="87"/>
      <c r="U3865" s="88"/>
      <c r="V3865" s="89"/>
      <c r="W3865" s="96">
        <v>0</v>
      </c>
      <c r="X3865" s="71">
        <f>CU3865</f>
        <v>0</v>
      </c>
      <c r="Y3865" s="71">
        <f>CY3865</f>
        <v>0</v>
      </c>
      <c r="Z3865" s="71">
        <f>DA3865+DC3865+DE3865</f>
        <v>0</v>
      </c>
      <c r="AA3865" s="71">
        <f>CW3865</f>
        <v>0</v>
      </c>
      <c r="AB3865" s="71"/>
      <c r="AC3865" s="71">
        <v>0</v>
      </c>
      <c r="AD3865" s="71">
        <f>W3865+X3865+Y3865+Z3865+AA3865+AB3865+AC3865</f>
        <v>0</v>
      </c>
      <c r="AE3865" s="72">
        <v>0</v>
      </c>
      <c r="AF3865" s="5"/>
      <c r="AG3865" s="6"/>
      <c r="AH3865" s="27"/>
      <c r="AI3865" s="44"/>
      <c r="AJ3865" s="26"/>
      <c r="AK3865" s="5"/>
      <c r="AL3865" s="82" t="s">
        <v>6911</v>
      </c>
      <c r="AM3865" s="76"/>
      <c r="AN3865" s="76"/>
      <c r="AO3865" s="76"/>
      <c r="AP3865" s="76"/>
      <c r="AQ3865" s="76"/>
      <c r="AR3865" s="76"/>
      <c r="AS3865" s="76"/>
      <c r="AT3865" s="76"/>
      <c r="AU3865" s="76"/>
      <c r="AV3865" s="76"/>
      <c r="AW3865" s="76"/>
      <c r="AX3865" s="76">
        <f>+AW3865*600000</f>
        <v>0</v>
      </c>
      <c r="AY3865" s="76"/>
      <c r="AZ3865" s="76">
        <f>+AY3865*70000</f>
        <v>0</v>
      </c>
      <c r="BA3865" s="76"/>
      <c r="BB3865" s="76"/>
      <c r="BC3865" s="76"/>
      <c r="BD3865" s="76">
        <f>+BC3865*30000</f>
        <v>0</v>
      </c>
      <c r="BE3865" s="76"/>
      <c r="BF3865" s="76"/>
      <c r="BG3865" s="76"/>
      <c r="BH3865" s="76"/>
      <c r="BI3865" s="76"/>
      <c r="BJ3865" s="76"/>
      <c r="BK3865" s="76"/>
      <c r="BL3865" s="76">
        <f>+BK3865*31500</f>
        <v>0</v>
      </c>
      <c r="BM3865" s="76"/>
      <c r="BN3865" s="76"/>
      <c r="BO3865" s="76"/>
      <c r="BP3865" s="76"/>
      <c r="BQ3865" s="76"/>
      <c r="BR3865" s="76"/>
      <c r="BS3865" s="76"/>
      <c r="BT3865" s="76"/>
      <c r="BU3865" s="76"/>
      <c r="BV3865" s="76"/>
      <c r="BW3865" s="76"/>
      <c r="BX3865" s="76"/>
      <c r="BY3865" s="76"/>
      <c r="BZ3865" s="76"/>
      <c r="CA3865" s="76"/>
      <c r="CB3865" s="76"/>
      <c r="CC3865" s="76"/>
      <c r="CD3865" s="76"/>
      <c r="CE3865" s="76"/>
      <c r="CF3865" s="76">
        <f>+CE3865*28000</f>
        <v>0</v>
      </c>
      <c r="CG3865" s="76"/>
      <c r="CH3865" s="76">
        <f>+CG3865*22500</f>
        <v>0</v>
      </c>
      <c r="CI3865" s="76"/>
      <c r="CJ3865" s="76">
        <f>+CI3865*26000</f>
        <v>0</v>
      </c>
      <c r="CK3865" s="76"/>
      <c r="CL3865" s="76"/>
      <c r="CM3865" s="76"/>
      <c r="CN3865" s="76">
        <f>+CM3865*22000</f>
        <v>0</v>
      </c>
      <c r="CO3865" s="76"/>
      <c r="CP3865" s="76">
        <f>+CO3865*46000</f>
        <v>0</v>
      </c>
      <c r="CQ3865" s="76"/>
      <c r="CR3865" s="76">
        <f>+CQ3865*49000</f>
        <v>0</v>
      </c>
      <c r="CS3865" s="76"/>
      <c r="CT3865" s="76"/>
      <c r="CU3865" s="56">
        <f>AN3865+AP3865+AR3865+AT3865+AV3865+AX3865+AZ3865+BB3865+BD3865+BF3865+BH3865+BJ3865+BL3865+BN3865+BP3865+BR3865+BT3865+BV3865+BX3865+BZ3865+CB3865+CD3865+CF3865+CH3865+CJ3865+CL3865+CN3865+CP3865+CR3865+CT3865</f>
        <v>0</v>
      </c>
      <c r="CV3865" s="76"/>
      <c r="CW3865" s="76">
        <f>+CV3865*1100</f>
        <v>0</v>
      </c>
      <c r="CX3865" s="76"/>
      <c r="CY3865" s="76">
        <f>+CX3865*106250</f>
        <v>0</v>
      </c>
      <c r="CZ3865" s="76"/>
      <c r="DA3865" s="76">
        <f>+CZ3865*34500</f>
        <v>0</v>
      </c>
      <c r="DB3865" s="76"/>
      <c r="DC3865" s="76">
        <f>+DB3865*25000</f>
        <v>0</v>
      </c>
      <c r="DD3865" s="219"/>
      <c r="DE3865" s="76"/>
      <c r="DF3865" s="166"/>
      <c r="DG3865" s="116"/>
      <c r="DH3865" s="117"/>
      <c r="DI3865" s="24"/>
      <c r="DJ3865" s="24"/>
      <c r="DK3865" s="24"/>
      <c r="DL3865" s="24"/>
      <c r="DM3865" s="24"/>
      <c r="DN3865" s="24"/>
      <c r="DO3865" s="24"/>
      <c r="DP3865" s="24"/>
      <c r="DQ3865" s="24"/>
      <c r="DR3865" s="24"/>
      <c r="DS3865" s="24"/>
      <c r="DT3865" s="24"/>
      <c r="DU3865" s="24"/>
    </row>
    <row r="3866" spans="1:125" s="8" customFormat="1" ht="48" x14ac:dyDescent="0.2">
      <c r="A3866" s="77">
        <v>41618</v>
      </c>
      <c r="B3866" s="352" t="s">
        <v>529</v>
      </c>
      <c r="C3866" s="352" t="s">
        <v>529</v>
      </c>
      <c r="D3866" s="354" t="s">
        <v>2849</v>
      </c>
      <c r="E3866" s="353" t="str">
        <f>VLOOKUP(B3866&amp;C3866,Divipola!$C$2:$F$1138,4,FALSE)</f>
        <v>11001</v>
      </c>
      <c r="F3866" s="87">
        <v>1</v>
      </c>
      <c r="G3866" s="87">
        <v>3</v>
      </c>
      <c r="H3866" s="87"/>
      <c r="I3866" s="61">
        <v>4</v>
      </c>
      <c r="J3866" s="61"/>
      <c r="K3866" s="61"/>
      <c r="L3866" s="61"/>
      <c r="M3866" s="61"/>
      <c r="N3866" s="61"/>
      <c r="O3866" s="61"/>
      <c r="P3866" s="61"/>
      <c r="Q3866" s="61"/>
      <c r="R3866" s="61"/>
      <c r="S3866" s="61"/>
      <c r="T3866" s="61"/>
      <c r="U3866" s="61"/>
      <c r="V3866" s="7"/>
      <c r="W3866" s="96">
        <v>0</v>
      </c>
      <c r="X3866" s="71">
        <f>CU3866</f>
        <v>0</v>
      </c>
      <c r="Y3866" s="71">
        <f>CY3866</f>
        <v>0</v>
      </c>
      <c r="Z3866" s="71">
        <f>DA3866+DC3866+DE3866</f>
        <v>0</v>
      </c>
      <c r="AA3866" s="71">
        <f>CW3866</f>
        <v>0</v>
      </c>
      <c r="AB3866" s="71"/>
      <c r="AC3866" s="71">
        <v>0</v>
      </c>
      <c r="AD3866" s="71">
        <f>W3866+X3866+Y3866+Z3866+AA3866+AB3866+AC3866</f>
        <v>0</v>
      </c>
      <c r="AE3866" s="72">
        <v>0</v>
      </c>
      <c r="AF3866" s="5"/>
      <c r="AG3866" s="6"/>
      <c r="AH3866" s="27"/>
      <c r="AI3866" s="44"/>
      <c r="AJ3866" s="26"/>
      <c r="AK3866" s="5"/>
      <c r="AL3866" s="82" t="s">
        <v>6913</v>
      </c>
      <c r="AM3866" s="76"/>
      <c r="AN3866" s="76"/>
      <c r="AO3866" s="76"/>
      <c r="AP3866" s="76"/>
      <c r="AQ3866" s="76"/>
      <c r="AR3866" s="76"/>
      <c r="AS3866" s="76"/>
      <c r="AT3866" s="76"/>
      <c r="AU3866" s="76"/>
      <c r="AV3866" s="76"/>
      <c r="AW3866" s="76"/>
      <c r="AX3866" s="76">
        <f>+AW3866*600000</f>
        <v>0</v>
      </c>
      <c r="AY3866" s="76"/>
      <c r="AZ3866" s="76">
        <f>+AY3866*70000</f>
        <v>0</v>
      </c>
      <c r="BA3866" s="76"/>
      <c r="BB3866" s="76"/>
      <c r="BC3866" s="76"/>
      <c r="BD3866" s="76">
        <f>+BC3866*30000</f>
        <v>0</v>
      </c>
      <c r="BE3866" s="76"/>
      <c r="BF3866" s="76"/>
      <c r="BG3866" s="76"/>
      <c r="BH3866" s="76"/>
      <c r="BI3866" s="76"/>
      <c r="BJ3866" s="76"/>
      <c r="BK3866" s="76"/>
      <c r="BL3866" s="76">
        <f>+BK3866*31500</f>
        <v>0</v>
      </c>
      <c r="BM3866" s="76"/>
      <c r="BN3866" s="76"/>
      <c r="BO3866" s="76"/>
      <c r="BP3866" s="76"/>
      <c r="BQ3866" s="76"/>
      <c r="BR3866" s="76"/>
      <c r="BS3866" s="76"/>
      <c r="BT3866" s="76"/>
      <c r="BU3866" s="76"/>
      <c r="BV3866" s="76"/>
      <c r="BW3866" s="76"/>
      <c r="BX3866" s="76"/>
      <c r="BY3866" s="76"/>
      <c r="BZ3866" s="76"/>
      <c r="CA3866" s="76"/>
      <c r="CB3866" s="76"/>
      <c r="CC3866" s="76"/>
      <c r="CD3866" s="76"/>
      <c r="CE3866" s="76"/>
      <c r="CF3866" s="76">
        <f>+CE3866*28000</f>
        <v>0</v>
      </c>
      <c r="CG3866" s="76"/>
      <c r="CH3866" s="76">
        <f>+CG3866*22500</f>
        <v>0</v>
      </c>
      <c r="CI3866" s="76"/>
      <c r="CJ3866" s="76">
        <f>+CI3866*26000</f>
        <v>0</v>
      </c>
      <c r="CK3866" s="76"/>
      <c r="CL3866" s="76"/>
      <c r="CM3866" s="76"/>
      <c r="CN3866" s="76">
        <f>+CM3866*22000</f>
        <v>0</v>
      </c>
      <c r="CO3866" s="76"/>
      <c r="CP3866" s="76">
        <f>+CO3866*46000</f>
        <v>0</v>
      </c>
      <c r="CQ3866" s="76"/>
      <c r="CR3866" s="76">
        <f>+CQ3866*49000</f>
        <v>0</v>
      </c>
      <c r="CS3866" s="76"/>
      <c r="CT3866" s="76"/>
      <c r="CU3866" s="56">
        <f>AN3866+AP3866+AR3866+AT3866+AV3866+AX3866+AZ3866+BB3866+BD3866+BF3866+BH3866+BJ3866+BL3866+BN3866+BP3866+BR3866+BT3866+BV3866+BX3866+BZ3866+CB3866+CD3866+CF3866+CH3866+CJ3866+CL3866+CN3866+CP3866+CR3866+CT3866</f>
        <v>0</v>
      </c>
      <c r="CV3866" s="76"/>
      <c r="CW3866" s="76">
        <f>+CV3866*1100</f>
        <v>0</v>
      </c>
      <c r="CX3866" s="76"/>
      <c r="CY3866" s="76">
        <f>+CX3866*106250</f>
        <v>0</v>
      </c>
      <c r="CZ3866" s="76"/>
      <c r="DA3866" s="76">
        <f>+CZ3866*34500</f>
        <v>0</v>
      </c>
      <c r="DB3866" s="76"/>
      <c r="DC3866" s="76">
        <f>+DB3866*25000</f>
        <v>0</v>
      </c>
      <c r="DD3866" s="219"/>
      <c r="DE3866" s="76"/>
      <c r="DF3866" s="166"/>
      <c r="DG3866" s="116"/>
      <c r="DH3866" s="117"/>
      <c r="DI3866" s="24"/>
      <c r="DJ3866" s="24"/>
      <c r="DK3866" s="24"/>
      <c r="DL3866" s="24"/>
      <c r="DM3866" s="24"/>
      <c r="DN3866" s="24"/>
      <c r="DO3866" s="24"/>
      <c r="DP3866" s="24"/>
      <c r="DQ3866" s="24"/>
      <c r="DR3866" s="24"/>
      <c r="DS3866" s="24"/>
      <c r="DT3866" s="24"/>
      <c r="DU3866" s="24"/>
    </row>
    <row r="3867" spans="1:125" s="8" customFormat="1" ht="48" x14ac:dyDescent="0.2">
      <c r="A3867" s="77">
        <v>41618</v>
      </c>
      <c r="B3867" s="78" t="s">
        <v>2774</v>
      </c>
      <c r="C3867" s="75" t="s">
        <v>2039</v>
      </c>
      <c r="D3867" s="75" t="s">
        <v>3088</v>
      </c>
      <c r="E3867" s="353" t="str">
        <f>VLOOKUP(B3867&amp;C3867,Divipola!$C$2:$F$1138,4,FALSE)</f>
        <v>66440</v>
      </c>
      <c r="F3867" s="87"/>
      <c r="G3867" s="87"/>
      <c r="H3867" s="87"/>
      <c r="I3867" s="87">
        <v>10</v>
      </c>
      <c r="J3867" s="87">
        <v>2</v>
      </c>
      <c r="K3867" s="87"/>
      <c r="L3867" s="87">
        <v>2</v>
      </c>
      <c r="M3867" s="87"/>
      <c r="N3867" s="87"/>
      <c r="O3867" s="87"/>
      <c r="P3867" s="87">
        <v>1</v>
      </c>
      <c r="Q3867" s="87"/>
      <c r="R3867" s="87"/>
      <c r="S3867" s="87"/>
      <c r="T3867" s="87"/>
      <c r="U3867" s="88"/>
      <c r="V3867" s="89"/>
      <c r="W3867" s="96">
        <v>0</v>
      </c>
      <c r="X3867" s="71">
        <f>CU3867</f>
        <v>0</v>
      </c>
      <c r="Y3867" s="71">
        <f>CY3867</f>
        <v>0</v>
      </c>
      <c r="Z3867" s="71">
        <f>DA3867+DC3867+DE3867</f>
        <v>0</v>
      </c>
      <c r="AA3867" s="71">
        <f>CW3867</f>
        <v>0</v>
      </c>
      <c r="AB3867" s="71"/>
      <c r="AC3867" s="71">
        <v>0</v>
      </c>
      <c r="AD3867" s="71">
        <f>W3867+X3867+Y3867+Z3867+AA3867+AB3867+AC3867</f>
        <v>0</v>
      </c>
      <c r="AE3867" s="72">
        <v>0</v>
      </c>
      <c r="AF3867" s="5"/>
      <c r="AG3867" s="6"/>
      <c r="AH3867" s="27"/>
      <c r="AI3867" s="44"/>
      <c r="AJ3867" s="26"/>
      <c r="AK3867" s="5"/>
      <c r="AL3867" s="268" t="s">
        <v>6926</v>
      </c>
      <c r="AM3867" s="76"/>
      <c r="AN3867" s="76"/>
      <c r="AO3867" s="76"/>
      <c r="AP3867" s="76"/>
      <c r="AQ3867" s="76"/>
      <c r="AR3867" s="76"/>
      <c r="AS3867" s="76"/>
      <c r="AT3867" s="76"/>
      <c r="AU3867" s="76"/>
      <c r="AV3867" s="76"/>
      <c r="AW3867" s="76"/>
      <c r="AX3867" s="76">
        <f>+AW3867*600000</f>
        <v>0</v>
      </c>
      <c r="AY3867" s="76"/>
      <c r="AZ3867" s="76">
        <f>+AY3867*70000</f>
        <v>0</v>
      </c>
      <c r="BA3867" s="76"/>
      <c r="BB3867" s="76"/>
      <c r="BC3867" s="76"/>
      <c r="BD3867" s="76">
        <f>+BC3867*30000</f>
        <v>0</v>
      </c>
      <c r="BE3867" s="76"/>
      <c r="BF3867" s="76"/>
      <c r="BG3867" s="76"/>
      <c r="BH3867" s="76"/>
      <c r="BI3867" s="76"/>
      <c r="BJ3867" s="76"/>
      <c r="BK3867" s="76"/>
      <c r="BL3867" s="76">
        <f>+BK3867*31500</f>
        <v>0</v>
      </c>
      <c r="BM3867" s="76"/>
      <c r="BN3867" s="76"/>
      <c r="BO3867" s="76"/>
      <c r="BP3867" s="76"/>
      <c r="BQ3867" s="76"/>
      <c r="BR3867" s="76"/>
      <c r="BS3867" s="76"/>
      <c r="BT3867" s="76"/>
      <c r="BU3867" s="76"/>
      <c r="BV3867" s="76"/>
      <c r="BW3867" s="76"/>
      <c r="BX3867" s="76"/>
      <c r="BY3867" s="76"/>
      <c r="BZ3867" s="76"/>
      <c r="CA3867" s="76"/>
      <c r="CB3867" s="76"/>
      <c r="CC3867" s="76"/>
      <c r="CD3867" s="76"/>
      <c r="CE3867" s="76"/>
      <c r="CF3867" s="76">
        <f>+CE3867*28000</f>
        <v>0</v>
      </c>
      <c r="CG3867" s="76"/>
      <c r="CH3867" s="76">
        <f>+CG3867*22500</f>
        <v>0</v>
      </c>
      <c r="CI3867" s="76"/>
      <c r="CJ3867" s="76">
        <f>+CI3867*26000</f>
        <v>0</v>
      </c>
      <c r="CK3867" s="76"/>
      <c r="CL3867" s="76"/>
      <c r="CM3867" s="76"/>
      <c r="CN3867" s="76">
        <f>+CM3867*22000</f>
        <v>0</v>
      </c>
      <c r="CO3867" s="76"/>
      <c r="CP3867" s="76">
        <f>+CO3867*46000</f>
        <v>0</v>
      </c>
      <c r="CQ3867" s="76"/>
      <c r="CR3867" s="76">
        <f>+CQ3867*49000</f>
        <v>0</v>
      </c>
      <c r="CS3867" s="76"/>
      <c r="CT3867" s="76"/>
      <c r="CU3867" s="56">
        <f>AN3867+AP3867+AR3867+AT3867+AV3867+AX3867+AZ3867+BB3867+BD3867+BF3867+BH3867+BJ3867+BL3867+BN3867+BP3867+BR3867+BT3867+BV3867+BX3867+BZ3867+CB3867+CD3867+CF3867+CH3867+CJ3867+CL3867+CN3867+CP3867+CR3867+CT3867</f>
        <v>0</v>
      </c>
      <c r="CV3867" s="76"/>
      <c r="CW3867" s="76">
        <f>+CV3867*1100</f>
        <v>0</v>
      </c>
      <c r="CX3867" s="76"/>
      <c r="CY3867" s="76">
        <f>+CX3867*106250</f>
        <v>0</v>
      </c>
      <c r="CZ3867" s="76"/>
      <c r="DA3867" s="76">
        <f>+CZ3867*34500</f>
        <v>0</v>
      </c>
      <c r="DB3867" s="76"/>
      <c r="DC3867" s="76">
        <f>+DB3867*25000</f>
        <v>0</v>
      </c>
      <c r="DD3867" s="219"/>
      <c r="DE3867" s="76"/>
      <c r="DF3867" s="166"/>
      <c r="DG3867" s="116"/>
      <c r="DH3867" s="117"/>
      <c r="DI3867" s="24"/>
      <c r="DJ3867" s="24"/>
      <c r="DK3867" s="24"/>
      <c r="DL3867" s="24"/>
      <c r="DM3867" s="24"/>
      <c r="DN3867" s="24"/>
      <c r="DO3867" s="24"/>
      <c r="DP3867" s="24"/>
      <c r="DQ3867" s="24"/>
      <c r="DR3867" s="24"/>
      <c r="DS3867" s="24"/>
      <c r="DT3867" s="24"/>
      <c r="DU3867" s="24"/>
    </row>
    <row r="3868" spans="1:125" s="8" customFormat="1" ht="60" x14ac:dyDescent="0.2">
      <c r="A3868" s="77">
        <v>41619</v>
      </c>
      <c r="B3868" s="78" t="s">
        <v>2852</v>
      </c>
      <c r="C3868" s="75" t="s">
        <v>1238</v>
      </c>
      <c r="D3868" s="75" t="s">
        <v>3051</v>
      </c>
      <c r="E3868" s="353" t="str">
        <f>VLOOKUP(B3868&amp;C3868,Divipola!$C$2:$F$1138,4,FALSE)</f>
        <v>27372</v>
      </c>
      <c r="F3868" s="61"/>
      <c r="G3868" s="61"/>
      <c r="H3868" s="61"/>
      <c r="I3868" s="61"/>
      <c r="J3868" s="61"/>
      <c r="K3868" s="61"/>
      <c r="L3868" s="61"/>
      <c r="M3868" s="61"/>
      <c r="N3868" s="61"/>
      <c r="O3868" s="61"/>
      <c r="P3868" s="61"/>
      <c r="Q3868" s="61"/>
      <c r="R3868" s="61"/>
      <c r="S3868" s="61"/>
      <c r="T3868" s="61"/>
      <c r="U3868" s="61"/>
      <c r="V3868" s="7"/>
      <c r="W3868" s="96">
        <v>0</v>
      </c>
      <c r="X3868" s="71">
        <f>CU3868</f>
        <v>0</v>
      </c>
      <c r="Y3868" s="71">
        <f>CY3868</f>
        <v>0</v>
      </c>
      <c r="Z3868" s="71">
        <f>DA3868+DC3868+DE3868</f>
        <v>0</v>
      </c>
      <c r="AA3868" s="71">
        <f>CW3868</f>
        <v>0</v>
      </c>
      <c r="AB3868" s="71"/>
      <c r="AC3868" s="71">
        <v>298500000</v>
      </c>
      <c r="AD3868" s="71">
        <f>W3868+X3868+Y3868+Z3868+AA3868+AB3868+AC3868</f>
        <v>298500000</v>
      </c>
      <c r="AE3868" s="72">
        <v>0</v>
      </c>
      <c r="AF3868" s="5"/>
      <c r="AG3868" s="6"/>
      <c r="AH3868" s="27"/>
      <c r="AI3868" s="44"/>
      <c r="AJ3868" s="26"/>
      <c r="AK3868" s="5"/>
      <c r="AL3868" s="9" t="s">
        <v>6906</v>
      </c>
      <c r="AM3868" s="76"/>
      <c r="AN3868" s="76"/>
      <c r="AO3868" s="76"/>
      <c r="AP3868" s="76"/>
      <c r="AQ3868" s="76"/>
      <c r="AR3868" s="76"/>
      <c r="AS3868" s="76"/>
      <c r="AT3868" s="76"/>
      <c r="AU3868" s="76"/>
      <c r="AV3868" s="76"/>
      <c r="AW3868" s="76"/>
      <c r="AX3868" s="76">
        <f>+AW3868*600000</f>
        <v>0</v>
      </c>
      <c r="AY3868" s="76"/>
      <c r="AZ3868" s="76">
        <f>+AY3868*70000</f>
        <v>0</v>
      </c>
      <c r="BA3868" s="76"/>
      <c r="BB3868" s="76"/>
      <c r="BC3868" s="76"/>
      <c r="BD3868" s="76">
        <f>+BC3868*30000</f>
        <v>0</v>
      </c>
      <c r="BE3868" s="76"/>
      <c r="BF3868" s="76"/>
      <c r="BG3868" s="76"/>
      <c r="BH3868" s="76"/>
      <c r="BI3868" s="76"/>
      <c r="BJ3868" s="76"/>
      <c r="BK3868" s="76"/>
      <c r="BL3868" s="76">
        <f>+BK3868*31500</f>
        <v>0</v>
      </c>
      <c r="BM3868" s="76"/>
      <c r="BN3868" s="76"/>
      <c r="BO3868" s="76"/>
      <c r="BP3868" s="76"/>
      <c r="BQ3868" s="76"/>
      <c r="BR3868" s="76"/>
      <c r="BS3868" s="76"/>
      <c r="BT3868" s="76"/>
      <c r="BU3868" s="76"/>
      <c r="BV3868" s="76"/>
      <c r="BW3868" s="76"/>
      <c r="BX3868" s="76"/>
      <c r="BY3868" s="76"/>
      <c r="BZ3868" s="76"/>
      <c r="CA3868" s="76"/>
      <c r="CB3868" s="76"/>
      <c r="CC3868" s="76"/>
      <c r="CD3868" s="76"/>
      <c r="CE3868" s="76"/>
      <c r="CF3868" s="76">
        <f>+CE3868*28000</f>
        <v>0</v>
      </c>
      <c r="CG3868" s="76"/>
      <c r="CH3868" s="76">
        <f>+CG3868*22500</f>
        <v>0</v>
      </c>
      <c r="CI3868" s="76"/>
      <c r="CJ3868" s="76">
        <f>+CI3868*26000</f>
        <v>0</v>
      </c>
      <c r="CK3868" s="76"/>
      <c r="CL3868" s="76"/>
      <c r="CM3868" s="76"/>
      <c r="CN3868" s="76">
        <f>+CM3868*22000</f>
        <v>0</v>
      </c>
      <c r="CO3868" s="76"/>
      <c r="CP3868" s="76">
        <f>+CO3868*46000</f>
        <v>0</v>
      </c>
      <c r="CQ3868" s="76"/>
      <c r="CR3868" s="76">
        <f>+CQ3868*49000</f>
        <v>0</v>
      </c>
      <c r="CS3868" s="76"/>
      <c r="CT3868" s="76"/>
      <c r="CU3868" s="56">
        <f>AN3868+AP3868+AR3868+AT3868+AV3868+AX3868+AZ3868+BB3868+BD3868+BF3868+BH3868+BJ3868+BL3868+BN3868+BP3868+BR3868+BT3868+BV3868+BX3868+BZ3868+CB3868+CD3868+CF3868+CH3868+CJ3868+CL3868+CN3868+CP3868+CR3868+CT3868</f>
        <v>0</v>
      </c>
      <c r="CV3868" s="76"/>
      <c r="CW3868" s="76">
        <f>+CV3868*1100</f>
        <v>0</v>
      </c>
      <c r="CX3868" s="76"/>
      <c r="CY3868" s="76">
        <f>+CX3868*106250</f>
        <v>0</v>
      </c>
      <c r="CZ3868" s="76"/>
      <c r="DA3868" s="76">
        <f>+CZ3868*34500</f>
        <v>0</v>
      </c>
      <c r="DB3868" s="76"/>
      <c r="DC3868" s="76">
        <f>+DB3868*25000</f>
        <v>0</v>
      </c>
      <c r="DD3868" s="219"/>
      <c r="DE3868" s="76"/>
      <c r="DF3868" s="166"/>
      <c r="DG3868" s="116"/>
      <c r="DH3868" s="117"/>
      <c r="DI3868" s="24"/>
      <c r="DJ3868" s="24"/>
      <c r="DK3868" s="24"/>
      <c r="DL3868" s="24"/>
      <c r="DM3868" s="24"/>
      <c r="DN3868" s="24"/>
      <c r="DO3868" s="24"/>
      <c r="DP3868" s="24"/>
      <c r="DQ3868" s="24"/>
      <c r="DR3868" s="24"/>
      <c r="DS3868" s="24"/>
      <c r="DT3868" s="24"/>
      <c r="DU3868" s="24"/>
    </row>
    <row r="3869" spans="1:125" s="8" customFormat="1" ht="72" x14ac:dyDescent="0.2">
      <c r="A3869" s="77">
        <v>41619</v>
      </c>
      <c r="B3869" s="78" t="s">
        <v>2774</v>
      </c>
      <c r="C3869" s="75" t="s">
        <v>2790</v>
      </c>
      <c r="D3869" s="75" t="s">
        <v>3051</v>
      </c>
      <c r="E3869" s="353" t="str">
        <f>VLOOKUP(B3869&amp;C3869,Divipola!$C$2:$F$1138,4,FALSE)</f>
        <v>66682</v>
      </c>
      <c r="F3869" s="61"/>
      <c r="G3869" s="61"/>
      <c r="H3869" s="61"/>
      <c r="I3869" s="61"/>
      <c r="J3869" s="61"/>
      <c r="K3869" s="61"/>
      <c r="L3869" s="61"/>
      <c r="M3869" s="61"/>
      <c r="N3869" s="61"/>
      <c r="O3869" s="61"/>
      <c r="P3869" s="61"/>
      <c r="Q3869" s="61"/>
      <c r="R3869" s="61"/>
      <c r="S3869" s="61"/>
      <c r="T3869" s="61"/>
      <c r="U3869" s="61"/>
      <c r="V3869" s="7"/>
      <c r="W3869" s="96">
        <v>0</v>
      </c>
      <c r="X3869" s="71">
        <f>CU3869</f>
        <v>0</v>
      </c>
      <c r="Y3869" s="71">
        <f>CY3869</f>
        <v>0</v>
      </c>
      <c r="Z3869" s="71">
        <f>DA3869+DC3869+DE3869</f>
        <v>0</v>
      </c>
      <c r="AA3869" s="71">
        <f>CW3869</f>
        <v>0</v>
      </c>
      <c r="AB3869" s="71"/>
      <c r="AC3869" s="71">
        <v>999845218</v>
      </c>
      <c r="AD3869" s="71">
        <f>W3869+X3869+Y3869+Z3869+AA3869+AB3869+AC3869</f>
        <v>999845218</v>
      </c>
      <c r="AE3869" s="72">
        <v>0</v>
      </c>
      <c r="AF3869" s="5"/>
      <c r="AG3869" s="6"/>
      <c r="AH3869" s="27"/>
      <c r="AI3869" s="44"/>
      <c r="AJ3869" s="26"/>
      <c r="AK3869" s="5"/>
      <c r="AL3869" s="9" t="s">
        <v>6914</v>
      </c>
      <c r="AM3869" s="76"/>
      <c r="AN3869" s="76"/>
      <c r="AO3869" s="76"/>
      <c r="AP3869" s="76"/>
      <c r="AQ3869" s="76"/>
      <c r="AR3869" s="76"/>
      <c r="AS3869" s="76"/>
      <c r="AT3869" s="76"/>
      <c r="AU3869" s="76"/>
      <c r="AV3869" s="76"/>
      <c r="AW3869" s="76"/>
      <c r="AX3869" s="76">
        <f>+AW3869*600000</f>
        <v>0</v>
      </c>
      <c r="AY3869" s="76"/>
      <c r="AZ3869" s="76">
        <f>+AY3869*70000</f>
        <v>0</v>
      </c>
      <c r="BA3869" s="76"/>
      <c r="BB3869" s="76"/>
      <c r="BC3869" s="76"/>
      <c r="BD3869" s="76">
        <f>+BC3869*30000</f>
        <v>0</v>
      </c>
      <c r="BE3869" s="76"/>
      <c r="BF3869" s="76"/>
      <c r="BG3869" s="76"/>
      <c r="BH3869" s="76"/>
      <c r="BI3869" s="76"/>
      <c r="BJ3869" s="76"/>
      <c r="BK3869" s="76"/>
      <c r="BL3869" s="76">
        <f>+BK3869*31500</f>
        <v>0</v>
      </c>
      <c r="BM3869" s="76"/>
      <c r="BN3869" s="76"/>
      <c r="BO3869" s="76"/>
      <c r="BP3869" s="76"/>
      <c r="BQ3869" s="76"/>
      <c r="BR3869" s="76"/>
      <c r="BS3869" s="76"/>
      <c r="BT3869" s="76"/>
      <c r="BU3869" s="76"/>
      <c r="BV3869" s="76"/>
      <c r="BW3869" s="76"/>
      <c r="BX3869" s="76"/>
      <c r="BY3869" s="76"/>
      <c r="BZ3869" s="76"/>
      <c r="CA3869" s="76"/>
      <c r="CB3869" s="76"/>
      <c r="CC3869" s="76"/>
      <c r="CD3869" s="76"/>
      <c r="CE3869" s="76"/>
      <c r="CF3869" s="76">
        <f>+CE3869*28000</f>
        <v>0</v>
      </c>
      <c r="CG3869" s="76"/>
      <c r="CH3869" s="76">
        <f>+CG3869*22500</f>
        <v>0</v>
      </c>
      <c r="CI3869" s="76"/>
      <c r="CJ3869" s="76">
        <f>+CI3869*26000</f>
        <v>0</v>
      </c>
      <c r="CK3869" s="76"/>
      <c r="CL3869" s="76"/>
      <c r="CM3869" s="76"/>
      <c r="CN3869" s="76">
        <f>+CM3869*22000</f>
        <v>0</v>
      </c>
      <c r="CO3869" s="76"/>
      <c r="CP3869" s="76">
        <f>+CO3869*46000</f>
        <v>0</v>
      </c>
      <c r="CQ3869" s="76"/>
      <c r="CR3869" s="76">
        <f>+CQ3869*49000</f>
        <v>0</v>
      </c>
      <c r="CS3869" s="76"/>
      <c r="CT3869" s="76"/>
      <c r="CU3869" s="56">
        <f>AN3869+AP3869+AR3869+AT3869+AV3869+AX3869+AZ3869+BB3869+BD3869+BF3869+BH3869+BJ3869+BL3869+BN3869+BP3869+BR3869+BT3869+BV3869+BX3869+BZ3869+CB3869+CD3869+CF3869+CH3869+CJ3869+CL3869+CN3869+CP3869+CR3869+CT3869</f>
        <v>0</v>
      </c>
      <c r="CV3869" s="76"/>
      <c r="CW3869" s="76">
        <f>+CV3869*1100</f>
        <v>0</v>
      </c>
      <c r="CX3869" s="76"/>
      <c r="CY3869" s="76">
        <f>+CX3869*106250</f>
        <v>0</v>
      </c>
      <c r="CZ3869" s="76"/>
      <c r="DA3869" s="76">
        <f>+CZ3869*34500</f>
        <v>0</v>
      </c>
      <c r="DB3869" s="76"/>
      <c r="DC3869" s="76">
        <f>+DB3869*25000</f>
        <v>0</v>
      </c>
      <c r="DD3869" s="219"/>
      <c r="DE3869" s="76"/>
      <c r="DF3869" s="166"/>
      <c r="DG3869" s="116"/>
      <c r="DH3869" s="117"/>
      <c r="DI3869" s="24"/>
      <c r="DJ3869" s="24"/>
      <c r="DK3869" s="24"/>
      <c r="DL3869" s="24"/>
      <c r="DM3869" s="24"/>
      <c r="DN3869" s="24"/>
      <c r="DO3869" s="24"/>
      <c r="DP3869" s="24"/>
      <c r="DQ3869" s="24"/>
      <c r="DR3869" s="24"/>
      <c r="DS3869" s="24"/>
      <c r="DT3869" s="24"/>
      <c r="DU3869" s="24"/>
    </row>
    <row r="3870" spans="1:125" s="8" customFormat="1" ht="36" x14ac:dyDescent="0.2">
      <c r="A3870" s="77">
        <v>41619</v>
      </c>
      <c r="B3870" s="78" t="s">
        <v>2778</v>
      </c>
      <c r="C3870" s="75" t="s">
        <v>2001</v>
      </c>
      <c r="D3870" s="75" t="s">
        <v>2846</v>
      </c>
      <c r="E3870" s="353" t="str">
        <f>VLOOKUP(B3870&amp;C3870,Divipola!$C$2:$F$1138,4,FALSE)</f>
        <v>85162</v>
      </c>
      <c r="F3870" s="87"/>
      <c r="G3870" s="87"/>
      <c r="H3870" s="87"/>
      <c r="I3870" s="87"/>
      <c r="J3870" s="87"/>
      <c r="K3870" s="87"/>
      <c r="L3870" s="87"/>
      <c r="M3870" s="87"/>
      <c r="N3870" s="87"/>
      <c r="O3870" s="87"/>
      <c r="P3870" s="87"/>
      <c r="Q3870" s="87"/>
      <c r="R3870" s="87"/>
      <c r="S3870" s="87"/>
      <c r="T3870" s="87"/>
      <c r="U3870" s="88">
        <v>2</v>
      </c>
      <c r="V3870" s="89"/>
      <c r="W3870" s="96">
        <v>0</v>
      </c>
      <c r="X3870" s="71">
        <f>CU3870</f>
        <v>0</v>
      </c>
      <c r="Y3870" s="71">
        <f>CY3870</f>
        <v>0</v>
      </c>
      <c r="Z3870" s="71">
        <f>DA3870+DC3870+DE3870</f>
        <v>0</v>
      </c>
      <c r="AA3870" s="71">
        <f>CW3870</f>
        <v>0</v>
      </c>
      <c r="AB3870" s="71"/>
      <c r="AC3870" s="71">
        <v>0</v>
      </c>
      <c r="AD3870" s="71">
        <f>W3870+X3870+Y3870+Z3870+AA3870+AB3870+AC3870</f>
        <v>0</v>
      </c>
      <c r="AE3870" s="72">
        <v>0</v>
      </c>
      <c r="AF3870" s="5"/>
      <c r="AG3870" s="6"/>
      <c r="AH3870" s="27"/>
      <c r="AI3870" s="44"/>
      <c r="AJ3870" s="26"/>
      <c r="AK3870" s="5"/>
      <c r="AL3870" s="268" t="s">
        <v>6915</v>
      </c>
      <c r="AM3870" s="76"/>
      <c r="AN3870" s="76"/>
      <c r="AO3870" s="76"/>
      <c r="AP3870" s="76"/>
      <c r="AQ3870" s="76"/>
      <c r="AR3870" s="76"/>
      <c r="AS3870" s="76"/>
      <c r="AT3870" s="76"/>
      <c r="AU3870" s="76"/>
      <c r="AV3870" s="76"/>
      <c r="AW3870" s="76"/>
      <c r="AX3870" s="76">
        <f>+AW3870*600000</f>
        <v>0</v>
      </c>
      <c r="AY3870" s="76"/>
      <c r="AZ3870" s="76">
        <f>+AY3870*70000</f>
        <v>0</v>
      </c>
      <c r="BA3870" s="76"/>
      <c r="BB3870" s="76"/>
      <c r="BC3870" s="76"/>
      <c r="BD3870" s="76">
        <f>+BC3870*30000</f>
        <v>0</v>
      </c>
      <c r="BE3870" s="76"/>
      <c r="BF3870" s="76"/>
      <c r="BG3870" s="76"/>
      <c r="BH3870" s="76"/>
      <c r="BI3870" s="76"/>
      <c r="BJ3870" s="76"/>
      <c r="BK3870" s="76"/>
      <c r="BL3870" s="76">
        <f>+BK3870*31500</f>
        <v>0</v>
      </c>
      <c r="BM3870" s="76"/>
      <c r="BN3870" s="76"/>
      <c r="BO3870" s="76"/>
      <c r="BP3870" s="76"/>
      <c r="BQ3870" s="76"/>
      <c r="BR3870" s="76"/>
      <c r="BS3870" s="76"/>
      <c r="BT3870" s="76"/>
      <c r="BU3870" s="76"/>
      <c r="BV3870" s="76"/>
      <c r="BW3870" s="76"/>
      <c r="BX3870" s="76"/>
      <c r="BY3870" s="76"/>
      <c r="BZ3870" s="76"/>
      <c r="CA3870" s="76"/>
      <c r="CB3870" s="76"/>
      <c r="CC3870" s="76"/>
      <c r="CD3870" s="76"/>
      <c r="CE3870" s="76"/>
      <c r="CF3870" s="76">
        <f>+CE3870*28000</f>
        <v>0</v>
      </c>
      <c r="CG3870" s="76"/>
      <c r="CH3870" s="76">
        <f>+CG3870*22500</f>
        <v>0</v>
      </c>
      <c r="CI3870" s="76"/>
      <c r="CJ3870" s="76">
        <f>+CI3870*26000</f>
        <v>0</v>
      </c>
      <c r="CK3870" s="76"/>
      <c r="CL3870" s="76"/>
      <c r="CM3870" s="76"/>
      <c r="CN3870" s="76">
        <f>+CM3870*22000</f>
        <v>0</v>
      </c>
      <c r="CO3870" s="76"/>
      <c r="CP3870" s="76">
        <f>+CO3870*46000</f>
        <v>0</v>
      </c>
      <c r="CQ3870" s="76"/>
      <c r="CR3870" s="76">
        <f>+CQ3870*49000</f>
        <v>0</v>
      </c>
      <c r="CS3870" s="76"/>
      <c r="CT3870" s="76"/>
      <c r="CU3870" s="56">
        <f>AN3870+AP3870+AR3870+AT3870+AV3870+AX3870+AZ3870+BB3870+BD3870+BF3870+BH3870+BJ3870+BL3870+BN3870+BP3870+BR3870+BT3870+BV3870+BX3870+BZ3870+CB3870+CD3870+CF3870+CH3870+CJ3870+CL3870+CN3870+CP3870+CR3870+CT3870</f>
        <v>0</v>
      </c>
      <c r="CV3870" s="76"/>
      <c r="CW3870" s="76">
        <f>+CV3870*1100</f>
        <v>0</v>
      </c>
      <c r="CX3870" s="76"/>
      <c r="CY3870" s="76">
        <f>+CX3870*106250</f>
        <v>0</v>
      </c>
      <c r="CZ3870" s="76"/>
      <c r="DA3870" s="76">
        <f>+CZ3870*34500</f>
        <v>0</v>
      </c>
      <c r="DB3870" s="76"/>
      <c r="DC3870" s="76">
        <f>+DB3870*25000</f>
        <v>0</v>
      </c>
      <c r="DD3870" s="219"/>
      <c r="DE3870" s="76"/>
      <c r="DF3870" s="166"/>
      <c r="DG3870" s="116"/>
      <c r="DH3870" s="117"/>
      <c r="DI3870" s="24"/>
      <c r="DJ3870" s="24"/>
      <c r="DK3870" s="24"/>
      <c r="DL3870" s="24"/>
      <c r="DM3870" s="24"/>
      <c r="DN3870" s="24"/>
      <c r="DO3870" s="24"/>
      <c r="DP3870" s="24"/>
      <c r="DQ3870" s="24"/>
      <c r="DR3870" s="24"/>
      <c r="DS3870" s="24"/>
      <c r="DT3870" s="24"/>
      <c r="DU3870" s="24"/>
    </row>
    <row r="3871" spans="1:125" s="8" customFormat="1" ht="48" x14ac:dyDescent="0.2">
      <c r="A3871" s="353">
        <v>41619</v>
      </c>
      <c r="B3871" s="352" t="s">
        <v>2778</v>
      </c>
      <c r="C3871" s="354" t="s">
        <v>2001</v>
      </c>
      <c r="D3871" s="354" t="s">
        <v>2846</v>
      </c>
      <c r="E3871" s="353" t="str">
        <f>VLOOKUP(B3871&amp;C3871,Divipola!$C$2:$F$1138,4,FALSE)</f>
        <v>85162</v>
      </c>
      <c r="F3871" s="87"/>
      <c r="G3871" s="87"/>
      <c r="H3871" s="87"/>
      <c r="I3871" s="87"/>
      <c r="J3871" s="87"/>
      <c r="K3871" s="87"/>
      <c r="L3871" s="87"/>
      <c r="M3871" s="87"/>
      <c r="N3871" s="87"/>
      <c r="O3871" s="87"/>
      <c r="P3871" s="87"/>
      <c r="Q3871" s="87"/>
      <c r="R3871" s="87"/>
      <c r="S3871" s="87"/>
      <c r="T3871" s="87"/>
      <c r="U3871" s="88">
        <v>3</v>
      </c>
      <c r="V3871" s="89"/>
      <c r="W3871" s="96">
        <v>0</v>
      </c>
      <c r="X3871" s="71">
        <f>CU3871</f>
        <v>0</v>
      </c>
      <c r="Y3871" s="71">
        <f>CY3871</f>
        <v>0</v>
      </c>
      <c r="Z3871" s="71">
        <f>DA3871+DC3871+DE3871</f>
        <v>0</v>
      </c>
      <c r="AA3871" s="71">
        <f>CW3871</f>
        <v>0</v>
      </c>
      <c r="AB3871" s="71"/>
      <c r="AC3871" s="71">
        <v>0</v>
      </c>
      <c r="AD3871" s="71">
        <f>W3871+X3871+Y3871+Z3871+AA3871+AB3871+AC3871</f>
        <v>0</v>
      </c>
      <c r="AE3871" s="72">
        <v>0</v>
      </c>
      <c r="AF3871" s="5"/>
      <c r="AG3871" s="6"/>
      <c r="AH3871" s="27"/>
      <c r="AI3871" s="44"/>
      <c r="AJ3871" s="26"/>
      <c r="AK3871" s="5"/>
      <c r="AL3871" s="268" t="s">
        <v>6916</v>
      </c>
      <c r="AM3871" s="76"/>
      <c r="AN3871" s="76"/>
      <c r="AO3871" s="76"/>
      <c r="AP3871" s="76"/>
      <c r="AQ3871" s="76"/>
      <c r="AR3871" s="76"/>
      <c r="AS3871" s="76"/>
      <c r="AT3871" s="76"/>
      <c r="AU3871" s="76"/>
      <c r="AV3871" s="76"/>
      <c r="AW3871" s="76"/>
      <c r="AX3871" s="76">
        <f>+AW3871*600000</f>
        <v>0</v>
      </c>
      <c r="AY3871" s="76"/>
      <c r="AZ3871" s="76">
        <f>+AY3871*70000</f>
        <v>0</v>
      </c>
      <c r="BA3871" s="76"/>
      <c r="BB3871" s="76"/>
      <c r="BC3871" s="76"/>
      <c r="BD3871" s="76">
        <f>+BC3871*30000</f>
        <v>0</v>
      </c>
      <c r="BE3871" s="76"/>
      <c r="BF3871" s="76"/>
      <c r="BG3871" s="76"/>
      <c r="BH3871" s="76"/>
      <c r="BI3871" s="76"/>
      <c r="BJ3871" s="76"/>
      <c r="BK3871" s="76"/>
      <c r="BL3871" s="76">
        <f>+BK3871*31500</f>
        <v>0</v>
      </c>
      <c r="BM3871" s="76"/>
      <c r="BN3871" s="76"/>
      <c r="BO3871" s="76"/>
      <c r="BP3871" s="76"/>
      <c r="BQ3871" s="76"/>
      <c r="BR3871" s="76"/>
      <c r="BS3871" s="76"/>
      <c r="BT3871" s="76"/>
      <c r="BU3871" s="76"/>
      <c r="BV3871" s="76"/>
      <c r="BW3871" s="76"/>
      <c r="BX3871" s="76"/>
      <c r="BY3871" s="76"/>
      <c r="BZ3871" s="76"/>
      <c r="CA3871" s="76"/>
      <c r="CB3871" s="76"/>
      <c r="CC3871" s="76"/>
      <c r="CD3871" s="76"/>
      <c r="CE3871" s="76"/>
      <c r="CF3871" s="76">
        <f>+CE3871*28000</f>
        <v>0</v>
      </c>
      <c r="CG3871" s="76"/>
      <c r="CH3871" s="76">
        <f>+CG3871*22500</f>
        <v>0</v>
      </c>
      <c r="CI3871" s="76"/>
      <c r="CJ3871" s="76">
        <f>+CI3871*26000</f>
        <v>0</v>
      </c>
      <c r="CK3871" s="76"/>
      <c r="CL3871" s="76"/>
      <c r="CM3871" s="76"/>
      <c r="CN3871" s="76">
        <f>+CM3871*22000</f>
        <v>0</v>
      </c>
      <c r="CO3871" s="76"/>
      <c r="CP3871" s="76">
        <f>+CO3871*46000</f>
        <v>0</v>
      </c>
      <c r="CQ3871" s="76"/>
      <c r="CR3871" s="76">
        <f>+CQ3871*49000</f>
        <v>0</v>
      </c>
      <c r="CS3871" s="76"/>
      <c r="CT3871" s="76"/>
      <c r="CU3871" s="56">
        <f>AN3871+AP3871+AR3871+AT3871+AV3871+AX3871+AZ3871+BB3871+BD3871+BF3871+BH3871+BJ3871+BL3871+BN3871+BP3871+BR3871+BT3871+BV3871+BX3871+BZ3871+CB3871+CD3871+CF3871+CH3871+CJ3871+CL3871+CN3871+CP3871+CR3871+CT3871</f>
        <v>0</v>
      </c>
      <c r="CV3871" s="76"/>
      <c r="CW3871" s="76">
        <f>+CV3871*1100</f>
        <v>0</v>
      </c>
      <c r="CX3871" s="76"/>
      <c r="CY3871" s="76">
        <f>+CX3871*106250</f>
        <v>0</v>
      </c>
      <c r="CZ3871" s="76"/>
      <c r="DA3871" s="76">
        <f>+CZ3871*34500</f>
        <v>0</v>
      </c>
      <c r="DB3871" s="76"/>
      <c r="DC3871" s="76">
        <f>+DB3871*25000</f>
        <v>0</v>
      </c>
      <c r="DD3871" s="219"/>
      <c r="DE3871" s="76"/>
      <c r="DF3871" s="166"/>
      <c r="DG3871" s="116"/>
      <c r="DH3871" s="117"/>
      <c r="DI3871" s="24"/>
      <c r="DJ3871" s="24"/>
      <c r="DK3871" s="24"/>
      <c r="DL3871" s="24"/>
      <c r="DM3871" s="24"/>
      <c r="DN3871" s="24"/>
      <c r="DO3871" s="24"/>
      <c r="DP3871" s="24"/>
      <c r="DQ3871" s="24"/>
      <c r="DR3871" s="24"/>
      <c r="DS3871" s="24"/>
      <c r="DT3871" s="24"/>
      <c r="DU3871" s="24"/>
    </row>
    <row r="3872" spans="1:125" s="8" customFormat="1" ht="60" x14ac:dyDescent="0.2">
      <c r="A3872" s="77">
        <v>41619</v>
      </c>
      <c r="B3872" s="352" t="s">
        <v>2881</v>
      </c>
      <c r="C3872" s="354" t="s">
        <v>2680</v>
      </c>
      <c r="D3872" s="354" t="s">
        <v>2859</v>
      </c>
      <c r="E3872" s="353" t="str">
        <f>VLOOKUP(B3872&amp;C3872,Divipola!$C$2:$F$1138,4,FALSE)</f>
        <v>08758</v>
      </c>
      <c r="F3872" s="87"/>
      <c r="G3872" s="87"/>
      <c r="H3872" s="87"/>
      <c r="I3872" s="87">
        <v>15</v>
      </c>
      <c r="J3872" s="87">
        <v>3</v>
      </c>
      <c r="K3872" s="87">
        <v>1</v>
      </c>
      <c r="L3872" s="87">
        <v>2</v>
      </c>
      <c r="M3872" s="87"/>
      <c r="N3872" s="87"/>
      <c r="O3872" s="87"/>
      <c r="P3872" s="87"/>
      <c r="Q3872" s="87"/>
      <c r="R3872" s="87"/>
      <c r="S3872" s="87"/>
      <c r="T3872" s="87"/>
      <c r="U3872" s="88"/>
      <c r="V3872" s="89"/>
      <c r="W3872" s="96">
        <v>0</v>
      </c>
      <c r="X3872" s="71">
        <f>CU3872</f>
        <v>0</v>
      </c>
      <c r="Y3872" s="71">
        <f>CY3872</f>
        <v>0</v>
      </c>
      <c r="Z3872" s="71">
        <f>DA3872+DC3872+DE3872</f>
        <v>0</v>
      </c>
      <c r="AA3872" s="71">
        <f>CW3872</f>
        <v>0</v>
      </c>
      <c r="AB3872" s="71"/>
      <c r="AC3872" s="71">
        <v>0</v>
      </c>
      <c r="AD3872" s="71">
        <f>W3872+X3872+Y3872+Z3872+AA3872+AB3872+AC3872</f>
        <v>0</v>
      </c>
      <c r="AE3872" s="72">
        <v>0</v>
      </c>
      <c r="AF3872" s="5"/>
      <c r="AG3872" s="6"/>
      <c r="AH3872" s="27"/>
      <c r="AI3872" s="44"/>
      <c r="AJ3872" s="26"/>
      <c r="AK3872" s="5"/>
      <c r="AL3872" s="82" t="s">
        <v>6917</v>
      </c>
      <c r="AM3872" s="76"/>
      <c r="AN3872" s="76"/>
      <c r="AO3872" s="76"/>
      <c r="AP3872" s="76"/>
      <c r="AQ3872" s="76"/>
      <c r="AR3872" s="76"/>
      <c r="AS3872" s="76"/>
      <c r="AT3872" s="76"/>
      <c r="AU3872" s="76"/>
      <c r="AV3872" s="76"/>
      <c r="AW3872" s="76"/>
      <c r="AX3872" s="76">
        <f>+AW3872*600000</f>
        <v>0</v>
      </c>
      <c r="AY3872" s="76"/>
      <c r="AZ3872" s="76">
        <f>+AY3872*70000</f>
        <v>0</v>
      </c>
      <c r="BA3872" s="76"/>
      <c r="BB3872" s="76"/>
      <c r="BC3872" s="76"/>
      <c r="BD3872" s="76">
        <f>+BC3872*30000</f>
        <v>0</v>
      </c>
      <c r="BE3872" s="76"/>
      <c r="BF3872" s="76"/>
      <c r="BG3872" s="76"/>
      <c r="BH3872" s="76"/>
      <c r="BI3872" s="76"/>
      <c r="BJ3872" s="76"/>
      <c r="BK3872" s="76"/>
      <c r="BL3872" s="76">
        <f>+BK3872*31500</f>
        <v>0</v>
      </c>
      <c r="BM3872" s="76"/>
      <c r="BN3872" s="76"/>
      <c r="BO3872" s="76"/>
      <c r="BP3872" s="76"/>
      <c r="BQ3872" s="76"/>
      <c r="BR3872" s="76"/>
      <c r="BS3872" s="76"/>
      <c r="BT3872" s="76"/>
      <c r="BU3872" s="76"/>
      <c r="BV3872" s="76"/>
      <c r="BW3872" s="76"/>
      <c r="BX3872" s="76"/>
      <c r="BY3872" s="76"/>
      <c r="BZ3872" s="76"/>
      <c r="CA3872" s="76"/>
      <c r="CB3872" s="76"/>
      <c r="CC3872" s="76"/>
      <c r="CD3872" s="76"/>
      <c r="CE3872" s="76"/>
      <c r="CF3872" s="76">
        <f>+CE3872*28000</f>
        <v>0</v>
      </c>
      <c r="CG3872" s="76"/>
      <c r="CH3872" s="76">
        <f>+CG3872*22500</f>
        <v>0</v>
      </c>
      <c r="CI3872" s="76"/>
      <c r="CJ3872" s="76">
        <f>+CI3872*26000</f>
        <v>0</v>
      </c>
      <c r="CK3872" s="76"/>
      <c r="CL3872" s="76"/>
      <c r="CM3872" s="76"/>
      <c r="CN3872" s="76">
        <f>+CM3872*22000</f>
        <v>0</v>
      </c>
      <c r="CO3872" s="76"/>
      <c r="CP3872" s="76">
        <f>+CO3872*46000</f>
        <v>0</v>
      </c>
      <c r="CQ3872" s="76"/>
      <c r="CR3872" s="76">
        <f>+CQ3872*49000</f>
        <v>0</v>
      </c>
      <c r="CS3872" s="76"/>
      <c r="CT3872" s="76"/>
      <c r="CU3872" s="56">
        <f>AN3872+AP3872+AR3872+AT3872+AV3872+AX3872+AZ3872+BB3872+BD3872+BF3872+BH3872+BJ3872+BL3872+BN3872+BP3872+BR3872+BT3872+BV3872+BX3872+BZ3872+CB3872+CD3872+CF3872+CH3872+CJ3872+CL3872+CN3872+CP3872+CR3872+CT3872</f>
        <v>0</v>
      </c>
      <c r="CV3872" s="76"/>
      <c r="CW3872" s="76">
        <f>+CV3872*1100</f>
        <v>0</v>
      </c>
      <c r="CX3872" s="76"/>
      <c r="CY3872" s="76">
        <f>+CX3872*106250</f>
        <v>0</v>
      </c>
      <c r="CZ3872" s="76"/>
      <c r="DA3872" s="76">
        <f>+CZ3872*34500</f>
        <v>0</v>
      </c>
      <c r="DB3872" s="76"/>
      <c r="DC3872" s="76">
        <f>+DB3872*25000</f>
        <v>0</v>
      </c>
      <c r="DD3872" s="219"/>
      <c r="DE3872" s="76"/>
      <c r="DF3872" s="166"/>
      <c r="DG3872" s="116"/>
      <c r="DH3872" s="117"/>
      <c r="DI3872" s="24"/>
      <c r="DJ3872" s="24"/>
      <c r="DK3872" s="24"/>
      <c r="DL3872" s="24"/>
      <c r="DM3872" s="24"/>
      <c r="DN3872" s="24"/>
      <c r="DO3872" s="24"/>
      <c r="DP3872" s="24"/>
      <c r="DQ3872" s="24"/>
      <c r="DR3872" s="24"/>
      <c r="DS3872" s="24"/>
      <c r="DT3872" s="24"/>
      <c r="DU3872" s="24"/>
    </row>
    <row r="3873" spans="1:125" s="8" customFormat="1" ht="108" x14ac:dyDescent="0.2">
      <c r="A3873" s="353">
        <v>41619</v>
      </c>
      <c r="B3873" s="352" t="s">
        <v>2848</v>
      </c>
      <c r="C3873" s="354" t="s">
        <v>2214</v>
      </c>
      <c r="D3873" s="354" t="s">
        <v>2859</v>
      </c>
      <c r="E3873" s="353" t="str">
        <f>VLOOKUP(B3873&amp;C3873,Divipola!$C$2:$F$1138,4,FALSE)</f>
        <v>73283</v>
      </c>
      <c r="F3873" s="87"/>
      <c r="G3873" s="87"/>
      <c r="H3873" s="87"/>
      <c r="I3873" s="87"/>
      <c r="J3873" s="87"/>
      <c r="K3873" s="87"/>
      <c r="L3873" s="87"/>
      <c r="M3873" s="87"/>
      <c r="N3873" s="87"/>
      <c r="O3873" s="87"/>
      <c r="P3873" s="87"/>
      <c r="Q3873" s="87"/>
      <c r="R3873" s="87"/>
      <c r="S3873" s="87"/>
      <c r="T3873" s="87"/>
      <c r="U3873" s="88"/>
      <c r="V3873" s="89">
        <v>1</v>
      </c>
      <c r="W3873" s="96">
        <v>0</v>
      </c>
      <c r="X3873" s="71">
        <f>CU3873</f>
        <v>0</v>
      </c>
      <c r="Y3873" s="71">
        <f>CY3873</f>
        <v>0</v>
      </c>
      <c r="Z3873" s="71">
        <f>DA3873+DC3873+DE3873</f>
        <v>0</v>
      </c>
      <c r="AA3873" s="71">
        <f>CW3873</f>
        <v>0</v>
      </c>
      <c r="AB3873" s="71"/>
      <c r="AC3873" s="71">
        <v>0</v>
      </c>
      <c r="AD3873" s="71">
        <f>W3873+X3873+Y3873+Z3873+AA3873+AB3873+AC3873</f>
        <v>0</v>
      </c>
      <c r="AE3873" s="72">
        <v>0</v>
      </c>
      <c r="AF3873" s="5"/>
      <c r="AG3873" s="6"/>
      <c r="AH3873" s="27"/>
      <c r="AI3873" s="44"/>
      <c r="AJ3873" s="26"/>
      <c r="AK3873" s="5"/>
      <c r="AL3873" s="82" t="s">
        <v>6928</v>
      </c>
      <c r="AM3873" s="76"/>
      <c r="AN3873" s="76"/>
      <c r="AO3873" s="76"/>
      <c r="AP3873" s="76"/>
      <c r="AQ3873" s="76"/>
      <c r="AR3873" s="76"/>
      <c r="AS3873" s="76"/>
      <c r="AT3873" s="76"/>
      <c r="AU3873" s="76"/>
      <c r="AV3873" s="76"/>
      <c r="AW3873" s="76"/>
      <c r="AX3873" s="76">
        <f>+AW3873*600000</f>
        <v>0</v>
      </c>
      <c r="AY3873" s="76"/>
      <c r="AZ3873" s="76">
        <f>+AY3873*70000</f>
        <v>0</v>
      </c>
      <c r="BA3873" s="76"/>
      <c r="BB3873" s="76"/>
      <c r="BC3873" s="76"/>
      <c r="BD3873" s="76">
        <f>+BC3873*30000</f>
        <v>0</v>
      </c>
      <c r="BE3873" s="76"/>
      <c r="BF3873" s="76"/>
      <c r="BG3873" s="76"/>
      <c r="BH3873" s="76"/>
      <c r="BI3873" s="76"/>
      <c r="BJ3873" s="76"/>
      <c r="BK3873" s="76"/>
      <c r="BL3873" s="76">
        <f>+BK3873*31500</f>
        <v>0</v>
      </c>
      <c r="BM3873" s="76"/>
      <c r="BN3873" s="76"/>
      <c r="BO3873" s="76"/>
      <c r="BP3873" s="76"/>
      <c r="BQ3873" s="76"/>
      <c r="BR3873" s="76"/>
      <c r="BS3873" s="76"/>
      <c r="BT3873" s="76"/>
      <c r="BU3873" s="76"/>
      <c r="BV3873" s="76"/>
      <c r="BW3873" s="76"/>
      <c r="BX3873" s="76"/>
      <c r="BY3873" s="76"/>
      <c r="BZ3873" s="76"/>
      <c r="CA3873" s="76"/>
      <c r="CB3873" s="76"/>
      <c r="CC3873" s="76"/>
      <c r="CD3873" s="76"/>
      <c r="CE3873" s="76"/>
      <c r="CF3873" s="76">
        <f>+CE3873*28000</f>
        <v>0</v>
      </c>
      <c r="CG3873" s="76"/>
      <c r="CH3873" s="76">
        <f>+CG3873*22500</f>
        <v>0</v>
      </c>
      <c r="CI3873" s="76"/>
      <c r="CJ3873" s="76">
        <f>+CI3873*26000</f>
        <v>0</v>
      </c>
      <c r="CK3873" s="76"/>
      <c r="CL3873" s="76"/>
      <c r="CM3873" s="76"/>
      <c r="CN3873" s="76">
        <f>+CM3873*22000</f>
        <v>0</v>
      </c>
      <c r="CO3873" s="76"/>
      <c r="CP3873" s="76">
        <f>+CO3873*46000</f>
        <v>0</v>
      </c>
      <c r="CQ3873" s="76"/>
      <c r="CR3873" s="76">
        <f>+CQ3873*49000</f>
        <v>0</v>
      </c>
      <c r="CS3873" s="76"/>
      <c r="CT3873" s="76"/>
      <c r="CU3873" s="56">
        <f>AN3873+AP3873+AR3873+AT3873+AV3873+AX3873+AZ3873+BB3873+BD3873+BF3873+BH3873+BJ3873+BL3873+BN3873+BP3873+BR3873+BT3873+BV3873+BX3873+BZ3873+CB3873+CD3873+CF3873+CH3873+CJ3873+CL3873+CN3873+CP3873+CR3873+CT3873</f>
        <v>0</v>
      </c>
      <c r="CV3873" s="76"/>
      <c r="CW3873" s="76">
        <f>+CV3873*1100</f>
        <v>0</v>
      </c>
      <c r="CX3873" s="76"/>
      <c r="CY3873" s="76">
        <f>+CX3873*106250</f>
        <v>0</v>
      </c>
      <c r="CZ3873" s="76"/>
      <c r="DA3873" s="76">
        <f>+CZ3873*34500</f>
        <v>0</v>
      </c>
      <c r="DB3873" s="76"/>
      <c r="DC3873" s="76">
        <f>+DB3873*25000</f>
        <v>0</v>
      </c>
      <c r="DD3873" s="219"/>
      <c r="DE3873" s="76"/>
      <c r="DF3873" s="166"/>
      <c r="DG3873" s="116"/>
      <c r="DH3873" s="117"/>
      <c r="DI3873" s="24"/>
      <c r="DJ3873" s="24"/>
      <c r="DK3873" s="24"/>
      <c r="DL3873" s="24"/>
      <c r="DM3873" s="24"/>
      <c r="DN3873" s="24"/>
      <c r="DO3873" s="24"/>
      <c r="DP3873" s="24"/>
      <c r="DQ3873" s="24"/>
      <c r="DR3873" s="24"/>
      <c r="DS3873" s="24"/>
      <c r="DT3873" s="24"/>
      <c r="DU3873" s="24"/>
    </row>
    <row r="3874" spans="1:125" s="8" customFormat="1" ht="96" x14ac:dyDescent="0.2">
      <c r="A3874" s="77">
        <v>41620</v>
      </c>
      <c r="B3874" s="78" t="s">
        <v>2847</v>
      </c>
      <c r="C3874" s="75" t="s">
        <v>2673</v>
      </c>
      <c r="D3874" s="75" t="s">
        <v>2846</v>
      </c>
      <c r="E3874" s="353" t="str">
        <f>VLOOKUP(B3874&amp;C3874,Divipola!$C$2:$F$1138,4,FALSE)</f>
        <v>68001</v>
      </c>
      <c r="F3874" s="87"/>
      <c r="G3874" s="87"/>
      <c r="H3874" s="87"/>
      <c r="I3874" s="87"/>
      <c r="J3874" s="87"/>
      <c r="K3874" s="87"/>
      <c r="L3874" s="87"/>
      <c r="M3874" s="87"/>
      <c r="N3874" s="87"/>
      <c r="O3874" s="87"/>
      <c r="P3874" s="87"/>
      <c r="Q3874" s="87"/>
      <c r="R3874" s="87"/>
      <c r="S3874" s="87"/>
      <c r="T3874" s="87"/>
      <c r="U3874" s="88">
        <v>2</v>
      </c>
      <c r="V3874" s="89"/>
      <c r="W3874" s="96">
        <v>0</v>
      </c>
      <c r="X3874" s="71">
        <f>CU3874</f>
        <v>0</v>
      </c>
      <c r="Y3874" s="71">
        <f>CY3874</f>
        <v>0</v>
      </c>
      <c r="Z3874" s="71">
        <f>DA3874+DC3874+DE3874</f>
        <v>0</v>
      </c>
      <c r="AA3874" s="71">
        <f>CW3874</f>
        <v>0</v>
      </c>
      <c r="AB3874" s="71"/>
      <c r="AC3874" s="71">
        <v>0</v>
      </c>
      <c r="AD3874" s="71">
        <f>W3874+X3874+Y3874+Z3874+AA3874+AB3874+AC3874</f>
        <v>0</v>
      </c>
      <c r="AE3874" s="72">
        <v>0</v>
      </c>
      <c r="AF3874" s="5"/>
      <c r="AG3874" s="6"/>
      <c r="AH3874" s="27"/>
      <c r="AI3874" s="44"/>
      <c r="AJ3874" s="26"/>
      <c r="AK3874" s="5"/>
      <c r="AL3874" s="268" t="s">
        <v>6934</v>
      </c>
      <c r="AM3874" s="76"/>
      <c r="AN3874" s="76"/>
      <c r="AO3874" s="76"/>
      <c r="AP3874" s="76"/>
      <c r="AQ3874" s="76"/>
      <c r="AR3874" s="76"/>
      <c r="AS3874" s="76"/>
      <c r="AT3874" s="76"/>
      <c r="AU3874" s="76"/>
      <c r="AV3874" s="76"/>
      <c r="AW3874" s="76"/>
      <c r="AX3874" s="76">
        <f>+AW3874*600000</f>
        <v>0</v>
      </c>
      <c r="AY3874" s="76"/>
      <c r="AZ3874" s="76">
        <f>+AY3874*70000</f>
        <v>0</v>
      </c>
      <c r="BA3874" s="76"/>
      <c r="BB3874" s="76"/>
      <c r="BC3874" s="76"/>
      <c r="BD3874" s="76">
        <f>+BC3874*30000</f>
        <v>0</v>
      </c>
      <c r="BE3874" s="76"/>
      <c r="BF3874" s="76"/>
      <c r="BG3874" s="76"/>
      <c r="BH3874" s="76"/>
      <c r="BI3874" s="76"/>
      <c r="BJ3874" s="76"/>
      <c r="BK3874" s="76"/>
      <c r="BL3874" s="76">
        <f>+BK3874*31500</f>
        <v>0</v>
      </c>
      <c r="BM3874" s="76"/>
      <c r="BN3874" s="76"/>
      <c r="BO3874" s="76"/>
      <c r="BP3874" s="76"/>
      <c r="BQ3874" s="76"/>
      <c r="BR3874" s="76"/>
      <c r="BS3874" s="76"/>
      <c r="BT3874" s="76"/>
      <c r="BU3874" s="76"/>
      <c r="BV3874" s="76"/>
      <c r="BW3874" s="76"/>
      <c r="BX3874" s="76"/>
      <c r="BY3874" s="76"/>
      <c r="BZ3874" s="76"/>
      <c r="CA3874" s="76"/>
      <c r="CB3874" s="76"/>
      <c r="CC3874" s="76"/>
      <c r="CD3874" s="76"/>
      <c r="CE3874" s="76"/>
      <c r="CF3874" s="76">
        <f>+CE3874*28000</f>
        <v>0</v>
      </c>
      <c r="CG3874" s="76"/>
      <c r="CH3874" s="76">
        <f>+CG3874*22500</f>
        <v>0</v>
      </c>
      <c r="CI3874" s="76"/>
      <c r="CJ3874" s="76">
        <f>+CI3874*26000</f>
        <v>0</v>
      </c>
      <c r="CK3874" s="76"/>
      <c r="CL3874" s="76"/>
      <c r="CM3874" s="76"/>
      <c r="CN3874" s="76">
        <f>+CM3874*22000</f>
        <v>0</v>
      </c>
      <c r="CO3874" s="76"/>
      <c r="CP3874" s="76">
        <f>+CO3874*46000</f>
        <v>0</v>
      </c>
      <c r="CQ3874" s="76"/>
      <c r="CR3874" s="76">
        <f>+CQ3874*49000</f>
        <v>0</v>
      </c>
      <c r="CS3874" s="76"/>
      <c r="CT3874" s="76"/>
      <c r="CU3874" s="56">
        <f>AN3874+AP3874+AR3874+AT3874+AV3874+AX3874+AZ3874+BB3874+BD3874+BF3874+BH3874+BJ3874+BL3874+BN3874+BP3874+BR3874+BT3874+BV3874+BX3874+BZ3874+CB3874+CD3874+CF3874+CH3874+CJ3874+CL3874+CN3874+CP3874+CR3874+CT3874</f>
        <v>0</v>
      </c>
      <c r="CV3874" s="76"/>
      <c r="CW3874" s="76">
        <f>+CV3874*1100</f>
        <v>0</v>
      </c>
      <c r="CX3874" s="76"/>
      <c r="CY3874" s="76">
        <f>+CX3874*106250</f>
        <v>0</v>
      </c>
      <c r="CZ3874" s="76"/>
      <c r="DA3874" s="76">
        <f>+CZ3874*34500</f>
        <v>0</v>
      </c>
      <c r="DB3874" s="76"/>
      <c r="DC3874" s="76">
        <f>+DB3874*25000</f>
        <v>0</v>
      </c>
      <c r="DD3874" s="219"/>
      <c r="DE3874" s="76"/>
      <c r="DF3874" s="166"/>
      <c r="DG3874" s="116"/>
      <c r="DH3874" s="117"/>
      <c r="DI3874" s="24"/>
      <c r="DJ3874" s="24"/>
      <c r="DK3874" s="24"/>
      <c r="DL3874" s="24"/>
      <c r="DM3874" s="24"/>
      <c r="DN3874" s="24"/>
      <c r="DO3874" s="24"/>
      <c r="DP3874" s="24"/>
      <c r="DQ3874" s="24"/>
      <c r="DR3874" s="24"/>
      <c r="DS3874" s="24"/>
      <c r="DT3874" s="24"/>
      <c r="DU3874" s="24"/>
    </row>
    <row r="3875" spans="1:125" s="8" customFormat="1" ht="48" x14ac:dyDescent="0.2">
      <c r="A3875" s="353">
        <v>41620</v>
      </c>
      <c r="B3875" s="352" t="s">
        <v>2854</v>
      </c>
      <c r="C3875" s="354" t="s">
        <v>491</v>
      </c>
      <c r="D3875" s="354" t="s">
        <v>4439</v>
      </c>
      <c r="E3875" s="353" t="str">
        <f>VLOOKUP(B3875&amp;C3875,Divipola!$C$2:$F$1138,4,FALSE)</f>
        <v>19807</v>
      </c>
      <c r="F3875" s="87"/>
      <c r="G3875" s="87"/>
      <c r="H3875" s="87"/>
      <c r="I3875" s="87">
        <v>5</v>
      </c>
      <c r="J3875" s="87">
        <v>1</v>
      </c>
      <c r="K3875" s="87"/>
      <c r="L3875" s="87">
        <v>1</v>
      </c>
      <c r="M3875" s="87"/>
      <c r="N3875" s="87"/>
      <c r="O3875" s="87"/>
      <c r="P3875" s="87"/>
      <c r="Q3875" s="87"/>
      <c r="R3875" s="87"/>
      <c r="S3875" s="87"/>
      <c r="T3875" s="87"/>
      <c r="U3875" s="88"/>
      <c r="V3875" s="89"/>
      <c r="W3875" s="96">
        <v>0</v>
      </c>
      <c r="X3875" s="71">
        <f>CU3875</f>
        <v>0</v>
      </c>
      <c r="Y3875" s="71">
        <f>CY3875</f>
        <v>0</v>
      </c>
      <c r="Z3875" s="71">
        <f>DA3875+DC3875+DE3875</f>
        <v>0</v>
      </c>
      <c r="AA3875" s="71">
        <f>CW3875</f>
        <v>0</v>
      </c>
      <c r="AB3875" s="71"/>
      <c r="AC3875" s="71">
        <v>0</v>
      </c>
      <c r="AD3875" s="71">
        <f>W3875+X3875+Y3875+Z3875+AA3875+AB3875+AC3875</f>
        <v>0</v>
      </c>
      <c r="AE3875" s="72">
        <v>0</v>
      </c>
      <c r="AF3875" s="5"/>
      <c r="AG3875" s="6"/>
      <c r="AH3875" s="27"/>
      <c r="AI3875" s="44"/>
      <c r="AJ3875" s="26"/>
      <c r="AK3875" s="5"/>
      <c r="AL3875" s="82" t="s">
        <v>6935</v>
      </c>
      <c r="AM3875" s="76"/>
      <c r="AN3875" s="76"/>
      <c r="AO3875" s="76"/>
      <c r="AP3875" s="76"/>
      <c r="AQ3875" s="76"/>
      <c r="AR3875" s="76"/>
      <c r="AS3875" s="76"/>
      <c r="AT3875" s="76"/>
      <c r="AU3875" s="76"/>
      <c r="AV3875" s="76"/>
      <c r="AW3875" s="76"/>
      <c r="AX3875" s="76">
        <f>+AW3875*600000</f>
        <v>0</v>
      </c>
      <c r="AY3875" s="76"/>
      <c r="AZ3875" s="76">
        <f>+AY3875*70000</f>
        <v>0</v>
      </c>
      <c r="BA3875" s="76"/>
      <c r="BB3875" s="76"/>
      <c r="BC3875" s="76"/>
      <c r="BD3875" s="76">
        <f>+BC3875*30000</f>
        <v>0</v>
      </c>
      <c r="BE3875" s="76"/>
      <c r="BF3875" s="76"/>
      <c r="BG3875" s="76"/>
      <c r="BH3875" s="76"/>
      <c r="BI3875" s="76"/>
      <c r="BJ3875" s="76"/>
      <c r="BK3875" s="76"/>
      <c r="BL3875" s="76">
        <f>+BK3875*31500</f>
        <v>0</v>
      </c>
      <c r="BM3875" s="76"/>
      <c r="BN3875" s="76"/>
      <c r="BO3875" s="76"/>
      <c r="BP3875" s="76"/>
      <c r="BQ3875" s="76"/>
      <c r="BR3875" s="76"/>
      <c r="BS3875" s="76"/>
      <c r="BT3875" s="76"/>
      <c r="BU3875" s="76"/>
      <c r="BV3875" s="76"/>
      <c r="BW3875" s="76"/>
      <c r="BX3875" s="76"/>
      <c r="BY3875" s="76"/>
      <c r="BZ3875" s="76"/>
      <c r="CA3875" s="76"/>
      <c r="CB3875" s="76"/>
      <c r="CC3875" s="76"/>
      <c r="CD3875" s="76"/>
      <c r="CE3875" s="76"/>
      <c r="CF3875" s="76">
        <f>+CE3875*28000</f>
        <v>0</v>
      </c>
      <c r="CG3875" s="76"/>
      <c r="CH3875" s="76">
        <f>+CG3875*22500</f>
        <v>0</v>
      </c>
      <c r="CI3875" s="76"/>
      <c r="CJ3875" s="76">
        <f>+CI3875*26000</f>
        <v>0</v>
      </c>
      <c r="CK3875" s="76"/>
      <c r="CL3875" s="76"/>
      <c r="CM3875" s="76"/>
      <c r="CN3875" s="76">
        <f>+CM3875*22000</f>
        <v>0</v>
      </c>
      <c r="CO3875" s="76"/>
      <c r="CP3875" s="76">
        <f>+CO3875*46000</f>
        <v>0</v>
      </c>
      <c r="CQ3875" s="76"/>
      <c r="CR3875" s="76">
        <f>+CQ3875*49000</f>
        <v>0</v>
      </c>
      <c r="CS3875" s="76"/>
      <c r="CT3875" s="76"/>
      <c r="CU3875" s="56">
        <f>AN3875+AP3875+AR3875+AT3875+AV3875+AX3875+AZ3875+BB3875+BD3875+BF3875+BH3875+BJ3875+BL3875+BN3875+BP3875+BR3875+BT3875+BV3875+BX3875+BZ3875+CB3875+CD3875+CF3875+CH3875+CJ3875+CL3875+CN3875+CP3875+CR3875+CT3875</f>
        <v>0</v>
      </c>
      <c r="CV3875" s="76"/>
      <c r="CW3875" s="76">
        <f>+CV3875*1100</f>
        <v>0</v>
      </c>
      <c r="CX3875" s="76"/>
      <c r="CY3875" s="76">
        <f>+CX3875*106250</f>
        <v>0</v>
      </c>
      <c r="CZ3875" s="76"/>
      <c r="DA3875" s="76">
        <f>+CZ3875*34500</f>
        <v>0</v>
      </c>
      <c r="DB3875" s="76"/>
      <c r="DC3875" s="76">
        <f>+DB3875*25000</f>
        <v>0</v>
      </c>
      <c r="DD3875" s="219"/>
      <c r="DE3875" s="76"/>
      <c r="DF3875" s="166"/>
      <c r="DG3875" s="116"/>
      <c r="DH3875" s="117"/>
      <c r="DI3875" s="24"/>
      <c r="DJ3875" s="24"/>
      <c r="DK3875" s="24"/>
      <c r="DL3875" s="24"/>
      <c r="DM3875" s="24"/>
      <c r="DN3875" s="24"/>
      <c r="DO3875" s="24"/>
      <c r="DP3875" s="24"/>
      <c r="DQ3875" s="24"/>
      <c r="DR3875" s="24"/>
      <c r="DS3875" s="24"/>
      <c r="DT3875" s="24"/>
      <c r="DU3875" s="24"/>
    </row>
    <row r="3876" spans="1:125" s="8" customFormat="1" ht="60" x14ac:dyDescent="0.2">
      <c r="A3876" s="77">
        <v>41620</v>
      </c>
      <c r="B3876" s="78" t="s">
        <v>2661</v>
      </c>
      <c r="C3876" s="75" t="s">
        <v>2082</v>
      </c>
      <c r="D3876" s="75" t="s">
        <v>2859</v>
      </c>
      <c r="E3876" s="353" t="str">
        <f>VLOOKUP(B3876&amp;C3876,Divipola!$C$2:$F$1138,4,FALSE)</f>
        <v>41357</v>
      </c>
      <c r="F3876" s="87"/>
      <c r="G3876" s="87"/>
      <c r="H3876" s="87"/>
      <c r="I3876" s="87">
        <v>5</v>
      </c>
      <c r="J3876" s="87">
        <v>1</v>
      </c>
      <c r="K3876" s="87"/>
      <c r="L3876" s="87">
        <v>1</v>
      </c>
      <c r="M3876" s="87"/>
      <c r="N3876" s="87"/>
      <c r="O3876" s="87"/>
      <c r="P3876" s="87"/>
      <c r="Q3876" s="87"/>
      <c r="R3876" s="87"/>
      <c r="S3876" s="87"/>
      <c r="T3876" s="87"/>
      <c r="U3876" s="88"/>
      <c r="V3876" s="89"/>
      <c r="W3876" s="96">
        <v>0</v>
      </c>
      <c r="X3876" s="71">
        <f>CU3876</f>
        <v>0</v>
      </c>
      <c r="Y3876" s="71">
        <f>CY3876</f>
        <v>0</v>
      </c>
      <c r="Z3876" s="71">
        <f>DA3876+DC3876+DE3876</f>
        <v>0</v>
      </c>
      <c r="AA3876" s="71">
        <f>CW3876</f>
        <v>0</v>
      </c>
      <c r="AB3876" s="71"/>
      <c r="AC3876" s="71">
        <v>0</v>
      </c>
      <c r="AD3876" s="71">
        <f>W3876+X3876+Y3876+Z3876+AA3876+AB3876+AC3876</f>
        <v>0</v>
      </c>
      <c r="AE3876" s="72">
        <v>0</v>
      </c>
      <c r="AF3876" s="5"/>
      <c r="AG3876" s="6"/>
      <c r="AH3876" s="27"/>
      <c r="AI3876" s="44"/>
      <c r="AJ3876" s="26"/>
      <c r="AK3876" s="5"/>
      <c r="AL3876" s="268" t="s">
        <v>6936</v>
      </c>
      <c r="AM3876" s="76"/>
      <c r="AN3876" s="76"/>
      <c r="AO3876" s="76"/>
      <c r="AP3876" s="76"/>
      <c r="AQ3876" s="76"/>
      <c r="AR3876" s="76"/>
      <c r="AS3876" s="76"/>
      <c r="AT3876" s="76"/>
      <c r="AU3876" s="76"/>
      <c r="AV3876" s="76"/>
      <c r="AW3876" s="76"/>
      <c r="AX3876" s="76">
        <f>+AW3876*600000</f>
        <v>0</v>
      </c>
      <c r="AY3876" s="76"/>
      <c r="AZ3876" s="76">
        <f>+AY3876*70000</f>
        <v>0</v>
      </c>
      <c r="BA3876" s="76"/>
      <c r="BB3876" s="76"/>
      <c r="BC3876" s="76"/>
      <c r="BD3876" s="76">
        <f>+BC3876*30000</f>
        <v>0</v>
      </c>
      <c r="BE3876" s="76"/>
      <c r="BF3876" s="76"/>
      <c r="BG3876" s="76"/>
      <c r="BH3876" s="76"/>
      <c r="BI3876" s="76"/>
      <c r="BJ3876" s="76"/>
      <c r="BK3876" s="76"/>
      <c r="BL3876" s="76">
        <f>+BK3876*31500</f>
        <v>0</v>
      </c>
      <c r="BM3876" s="76"/>
      <c r="BN3876" s="76"/>
      <c r="BO3876" s="76"/>
      <c r="BP3876" s="76"/>
      <c r="BQ3876" s="76"/>
      <c r="BR3876" s="76"/>
      <c r="BS3876" s="76"/>
      <c r="BT3876" s="76"/>
      <c r="BU3876" s="76"/>
      <c r="BV3876" s="76"/>
      <c r="BW3876" s="76"/>
      <c r="BX3876" s="76"/>
      <c r="BY3876" s="76"/>
      <c r="BZ3876" s="76"/>
      <c r="CA3876" s="76"/>
      <c r="CB3876" s="76"/>
      <c r="CC3876" s="76"/>
      <c r="CD3876" s="76"/>
      <c r="CE3876" s="76"/>
      <c r="CF3876" s="76">
        <f>+CE3876*28000</f>
        <v>0</v>
      </c>
      <c r="CG3876" s="76"/>
      <c r="CH3876" s="76">
        <f>+CG3876*22500</f>
        <v>0</v>
      </c>
      <c r="CI3876" s="76"/>
      <c r="CJ3876" s="76">
        <f>+CI3876*26000</f>
        <v>0</v>
      </c>
      <c r="CK3876" s="76"/>
      <c r="CL3876" s="76"/>
      <c r="CM3876" s="76"/>
      <c r="CN3876" s="76">
        <f>+CM3876*22000</f>
        <v>0</v>
      </c>
      <c r="CO3876" s="76"/>
      <c r="CP3876" s="76">
        <f>+CO3876*46000</f>
        <v>0</v>
      </c>
      <c r="CQ3876" s="76"/>
      <c r="CR3876" s="76">
        <f>+CQ3876*49000</f>
        <v>0</v>
      </c>
      <c r="CS3876" s="76"/>
      <c r="CT3876" s="76"/>
      <c r="CU3876" s="56">
        <f>AN3876+AP3876+AR3876+AT3876+AV3876+AX3876+AZ3876+BB3876+BD3876+BF3876+BH3876+BJ3876+BL3876+BN3876+BP3876+BR3876+BT3876+BV3876+BX3876+BZ3876+CB3876+CD3876+CF3876+CH3876+CJ3876+CL3876+CN3876+CP3876+CR3876+CT3876</f>
        <v>0</v>
      </c>
      <c r="CV3876" s="76"/>
      <c r="CW3876" s="76">
        <f>+CV3876*1100</f>
        <v>0</v>
      </c>
      <c r="CX3876" s="76"/>
      <c r="CY3876" s="76">
        <f>+CX3876*106250</f>
        <v>0</v>
      </c>
      <c r="CZ3876" s="76"/>
      <c r="DA3876" s="76">
        <f>+CZ3876*34500</f>
        <v>0</v>
      </c>
      <c r="DB3876" s="76"/>
      <c r="DC3876" s="76">
        <f>+DB3876*25000</f>
        <v>0</v>
      </c>
      <c r="DD3876" s="219"/>
      <c r="DE3876" s="76"/>
      <c r="DF3876" s="166"/>
      <c r="DG3876" s="116"/>
      <c r="DH3876" s="117"/>
      <c r="DI3876" s="24"/>
      <c r="DJ3876" s="24"/>
      <c r="DK3876" s="24"/>
      <c r="DL3876" s="24"/>
      <c r="DM3876" s="24"/>
      <c r="DN3876" s="24"/>
      <c r="DO3876" s="24"/>
      <c r="DP3876" s="24"/>
      <c r="DQ3876" s="24"/>
      <c r="DR3876" s="24"/>
      <c r="DS3876" s="24"/>
      <c r="DT3876" s="24"/>
      <c r="DU3876" s="24"/>
    </row>
    <row r="3877" spans="1:125" s="8" customFormat="1" ht="72" x14ac:dyDescent="0.2">
      <c r="A3877" s="77">
        <v>41620</v>
      </c>
      <c r="B3877" s="78" t="s">
        <v>2811</v>
      </c>
      <c r="C3877" s="75" t="s">
        <v>8</v>
      </c>
      <c r="D3877" s="75" t="s">
        <v>3051</v>
      </c>
      <c r="E3877" s="353" t="str">
        <f>VLOOKUP(B3877&amp;C3877,Divipola!$C$2:$F$1138,4,FALSE)</f>
        <v>52207</v>
      </c>
      <c r="F3877" s="61"/>
      <c r="G3877" s="61"/>
      <c r="H3877" s="61"/>
      <c r="I3877" s="61">
        <v>50</v>
      </c>
      <c r="J3877" s="61">
        <v>10</v>
      </c>
      <c r="K3877" s="61"/>
      <c r="L3877" s="61">
        <v>10</v>
      </c>
      <c r="M3877" s="61"/>
      <c r="N3877" s="61"/>
      <c r="O3877" s="61"/>
      <c r="P3877" s="61"/>
      <c r="Q3877" s="61"/>
      <c r="R3877" s="61"/>
      <c r="S3877" s="61"/>
      <c r="T3877" s="61"/>
      <c r="U3877" s="61"/>
      <c r="V3877" s="7"/>
      <c r="W3877" s="96">
        <v>0</v>
      </c>
      <c r="X3877" s="71">
        <f>CU3877</f>
        <v>0</v>
      </c>
      <c r="Y3877" s="71">
        <f>CY3877</f>
        <v>0</v>
      </c>
      <c r="Z3877" s="71">
        <f>DA3877+DC3877+DE3877</f>
        <v>0</v>
      </c>
      <c r="AA3877" s="71">
        <f>CW3877</f>
        <v>0</v>
      </c>
      <c r="AB3877" s="71"/>
      <c r="AC3877" s="71">
        <v>0</v>
      </c>
      <c r="AD3877" s="71">
        <f>W3877+X3877+Y3877+Z3877+AA3877+AB3877+AC3877</f>
        <v>0</v>
      </c>
      <c r="AE3877" s="72">
        <v>0</v>
      </c>
      <c r="AF3877" s="5"/>
      <c r="AG3877" s="6"/>
      <c r="AH3877" s="27"/>
      <c r="AI3877" s="44"/>
      <c r="AJ3877" s="26"/>
      <c r="AK3877" s="5"/>
      <c r="AL3877" s="268" t="s">
        <v>6937</v>
      </c>
      <c r="AM3877" s="76"/>
      <c r="AN3877" s="76"/>
      <c r="AO3877" s="76"/>
      <c r="AP3877" s="76"/>
      <c r="AQ3877" s="76"/>
      <c r="AR3877" s="76"/>
      <c r="AS3877" s="76"/>
      <c r="AT3877" s="76"/>
      <c r="AU3877" s="76"/>
      <c r="AV3877" s="76"/>
      <c r="AW3877" s="76"/>
      <c r="AX3877" s="76">
        <f>+AW3877*600000</f>
        <v>0</v>
      </c>
      <c r="AY3877" s="76"/>
      <c r="AZ3877" s="76">
        <f>+AY3877*70000</f>
        <v>0</v>
      </c>
      <c r="BA3877" s="76"/>
      <c r="BB3877" s="76"/>
      <c r="BC3877" s="76"/>
      <c r="BD3877" s="76">
        <f>+BC3877*30000</f>
        <v>0</v>
      </c>
      <c r="BE3877" s="76"/>
      <c r="BF3877" s="76"/>
      <c r="BG3877" s="76"/>
      <c r="BH3877" s="76"/>
      <c r="BI3877" s="76"/>
      <c r="BJ3877" s="76"/>
      <c r="BK3877" s="76"/>
      <c r="BL3877" s="76">
        <f>+BK3877*31500</f>
        <v>0</v>
      </c>
      <c r="BM3877" s="76"/>
      <c r="BN3877" s="76"/>
      <c r="BO3877" s="76"/>
      <c r="BP3877" s="76"/>
      <c r="BQ3877" s="76"/>
      <c r="BR3877" s="76"/>
      <c r="BS3877" s="76"/>
      <c r="BT3877" s="76"/>
      <c r="BU3877" s="76"/>
      <c r="BV3877" s="76"/>
      <c r="BW3877" s="76"/>
      <c r="BX3877" s="76"/>
      <c r="BY3877" s="76"/>
      <c r="BZ3877" s="76"/>
      <c r="CA3877" s="76"/>
      <c r="CB3877" s="76"/>
      <c r="CC3877" s="76"/>
      <c r="CD3877" s="76"/>
      <c r="CE3877" s="76"/>
      <c r="CF3877" s="76">
        <f>+CE3877*28000</f>
        <v>0</v>
      </c>
      <c r="CG3877" s="76"/>
      <c r="CH3877" s="76">
        <f>+CG3877*22500</f>
        <v>0</v>
      </c>
      <c r="CI3877" s="76"/>
      <c r="CJ3877" s="76">
        <f>+CI3877*26000</f>
        <v>0</v>
      </c>
      <c r="CK3877" s="76"/>
      <c r="CL3877" s="76"/>
      <c r="CM3877" s="76"/>
      <c r="CN3877" s="76">
        <f>+CM3877*22000</f>
        <v>0</v>
      </c>
      <c r="CO3877" s="76"/>
      <c r="CP3877" s="76">
        <f>+CO3877*46000</f>
        <v>0</v>
      </c>
      <c r="CQ3877" s="76"/>
      <c r="CR3877" s="76">
        <f>+CQ3877*49000</f>
        <v>0</v>
      </c>
      <c r="CS3877" s="76"/>
      <c r="CT3877" s="76"/>
      <c r="CU3877" s="56">
        <f>AN3877+AP3877+AR3877+AT3877+AV3877+AX3877+AZ3877+BB3877+BD3877+BF3877+BH3877+BJ3877+BL3877+BN3877+BP3877+BR3877+BT3877+BV3877+BX3877+BZ3877+CB3877+CD3877+CF3877+CH3877+CJ3877+CL3877+CN3877+CP3877+CR3877+CT3877</f>
        <v>0</v>
      </c>
      <c r="CV3877" s="76"/>
      <c r="CW3877" s="76">
        <f>+CV3877*1100</f>
        <v>0</v>
      </c>
      <c r="CX3877" s="76"/>
      <c r="CY3877" s="76">
        <f>+CX3877*106250</f>
        <v>0</v>
      </c>
      <c r="CZ3877" s="76"/>
      <c r="DA3877" s="76">
        <f>+CZ3877*34500</f>
        <v>0</v>
      </c>
      <c r="DB3877" s="76"/>
      <c r="DC3877" s="76">
        <f>+DB3877*25000</f>
        <v>0</v>
      </c>
      <c r="DD3877" s="219"/>
      <c r="DE3877" s="76"/>
      <c r="DF3877" s="166"/>
      <c r="DG3877" s="116"/>
      <c r="DH3877" s="117"/>
      <c r="DI3877" s="24"/>
      <c r="DJ3877" s="24"/>
      <c r="DK3877" s="24"/>
      <c r="DL3877" s="24"/>
      <c r="DM3877" s="24"/>
      <c r="DN3877" s="24"/>
      <c r="DO3877" s="24"/>
      <c r="DP3877" s="24"/>
      <c r="DQ3877" s="24"/>
      <c r="DR3877" s="24"/>
      <c r="DS3877" s="24"/>
      <c r="DT3877" s="24"/>
      <c r="DU3877" s="24"/>
    </row>
    <row r="3878" spans="1:125" s="8" customFormat="1" ht="48" x14ac:dyDescent="0.2">
      <c r="A3878" s="77">
        <v>41621</v>
      </c>
      <c r="B3878" s="78" t="s">
        <v>2811</v>
      </c>
      <c r="C3878" s="75" t="s">
        <v>2718</v>
      </c>
      <c r="D3878" s="75" t="s">
        <v>3088</v>
      </c>
      <c r="E3878" s="353" t="str">
        <f>VLOOKUP(B3878&amp;C3878,Divipola!$C$2:$F$1138,4,FALSE)</f>
        <v>52215</v>
      </c>
      <c r="F3878" s="61"/>
      <c r="G3878" s="61"/>
      <c r="H3878" s="61"/>
      <c r="I3878" s="61"/>
      <c r="J3878" s="61"/>
      <c r="K3878" s="61"/>
      <c r="L3878" s="61"/>
      <c r="M3878" s="61"/>
      <c r="N3878" s="61"/>
      <c r="O3878" s="61"/>
      <c r="P3878" s="61"/>
      <c r="Q3878" s="61"/>
      <c r="R3878" s="61"/>
      <c r="S3878" s="61"/>
      <c r="T3878" s="61"/>
      <c r="U3878" s="61"/>
      <c r="V3878" s="7"/>
      <c r="W3878" s="96">
        <v>0</v>
      </c>
      <c r="X3878" s="71">
        <f>CU3878</f>
        <v>0</v>
      </c>
      <c r="Y3878" s="71">
        <f>CY3878</f>
        <v>0</v>
      </c>
      <c r="Z3878" s="71">
        <f>DA3878+DC3878+DE3878</f>
        <v>0</v>
      </c>
      <c r="AA3878" s="71">
        <f>CW3878</f>
        <v>0</v>
      </c>
      <c r="AB3878" s="71"/>
      <c r="AC3878" s="71">
        <v>310040958</v>
      </c>
      <c r="AD3878" s="71">
        <f>W3878+X3878+Y3878+Z3878+AA3878+AB3878+AC3878</f>
        <v>310040958</v>
      </c>
      <c r="AE3878" s="72">
        <v>0</v>
      </c>
      <c r="AF3878" s="5"/>
      <c r="AG3878" s="6"/>
      <c r="AH3878" s="27"/>
      <c r="AI3878" s="44"/>
      <c r="AJ3878" s="26"/>
      <c r="AK3878" s="5"/>
      <c r="AL3878" s="9" t="s">
        <v>6929</v>
      </c>
      <c r="AM3878" s="76"/>
      <c r="AN3878" s="76"/>
      <c r="AO3878" s="76"/>
      <c r="AP3878" s="76"/>
      <c r="AQ3878" s="76"/>
      <c r="AR3878" s="76"/>
      <c r="AS3878" s="76"/>
      <c r="AT3878" s="76"/>
      <c r="AU3878" s="76"/>
      <c r="AV3878" s="76"/>
      <c r="AW3878" s="76"/>
      <c r="AX3878" s="76">
        <f>+AW3878*600000</f>
        <v>0</v>
      </c>
      <c r="AY3878" s="76"/>
      <c r="AZ3878" s="76">
        <f>+AY3878*70000</f>
        <v>0</v>
      </c>
      <c r="BA3878" s="76"/>
      <c r="BB3878" s="76"/>
      <c r="BC3878" s="76"/>
      <c r="BD3878" s="76">
        <f>+BC3878*30000</f>
        <v>0</v>
      </c>
      <c r="BE3878" s="76"/>
      <c r="BF3878" s="76"/>
      <c r="BG3878" s="76"/>
      <c r="BH3878" s="76"/>
      <c r="BI3878" s="76"/>
      <c r="BJ3878" s="76"/>
      <c r="BK3878" s="76"/>
      <c r="BL3878" s="76">
        <f>+BK3878*31500</f>
        <v>0</v>
      </c>
      <c r="BM3878" s="76"/>
      <c r="BN3878" s="76"/>
      <c r="BO3878" s="76"/>
      <c r="BP3878" s="76"/>
      <c r="BQ3878" s="76"/>
      <c r="BR3878" s="76"/>
      <c r="BS3878" s="76"/>
      <c r="BT3878" s="76"/>
      <c r="BU3878" s="76"/>
      <c r="BV3878" s="76"/>
      <c r="BW3878" s="76"/>
      <c r="BX3878" s="76"/>
      <c r="BY3878" s="76"/>
      <c r="BZ3878" s="76"/>
      <c r="CA3878" s="76"/>
      <c r="CB3878" s="76"/>
      <c r="CC3878" s="76"/>
      <c r="CD3878" s="76"/>
      <c r="CE3878" s="76"/>
      <c r="CF3878" s="76">
        <f>+CE3878*28000</f>
        <v>0</v>
      </c>
      <c r="CG3878" s="76"/>
      <c r="CH3878" s="76">
        <f>+CG3878*22500</f>
        <v>0</v>
      </c>
      <c r="CI3878" s="76"/>
      <c r="CJ3878" s="76">
        <f>+CI3878*26000</f>
        <v>0</v>
      </c>
      <c r="CK3878" s="76"/>
      <c r="CL3878" s="76"/>
      <c r="CM3878" s="76"/>
      <c r="CN3878" s="76">
        <f>+CM3878*22000</f>
        <v>0</v>
      </c>
      <c r="CO3878" s="76"/>
      <c r="CP3878" s="76">
        <f>+CO3878*46000</f>
        <v>0</v>
      </c>
      <c r="CQ3878" s="76"/>
      <c r="CR3878" s="76">
        <f>+CQ3878*49000</f>
        <v>0</v>
      </c>
      <c r="CS3878" s="76"/>
      <c r="CT3878" s="76"/>
      <c r="CU3878" s="56">
        <f>AN3878+AP3878+AR3878+AT3878+AV3878+AX3878+AZ3878+BB3878+BD3878+BF3878+BH3878+BJ3878+BL3878+BN3878+BP3878+BR3878+BT3878+BV3878+BX3878+BZ3878+CB3878+CD3878+CF3878+CH3878+CJ3878+CL3878+CN3878+CP3878+CR3878+CT3878</f>
        <v>0</v>
      </c>
      <c r="CV3878" s="76"/>
      <c r="CW3878" s="76">
        <f>+CV3878*1100</f>
        <v>0</v>
      </c>
      <c r="CX3878" s="76"/>
      <c r="CY3878" s="76">
        <f>+CX3878*106250</f>
        <v>0</v>
      </c>
      <c r="CZ3878" s="76"/>
      <c r="DA3878" s="76">
        <f>+CZ3878*34500</f>
        <v>0</v>
      </c>
      <c r="DB3878" s="76"/>
      <c r="DC3878" s="76">
        <f>+DB3878*25000</f>
        <v>0</v>
      </c>
      <c r="DD3878" s="219"/>
      <c r="DE3878" s="76"/>
      <c r="DF3878" s="166"/>
      <c r="DG3878" s="116"/>
      <c r="DH3878" s="117"/>
      <c r="DI3878" s="24"/>
      <c r="DJ3878" s="24"/>
      <c r="DK3878" s="24"/>
      <c r="DL3878" s="24"/>
      <c r="DM3878" s="24"/>
      <c r="DN3878" s="24"/>
      <c r="DO3878" s="24"/>
      <c r="DP3878" s="24"/>
      <c r="DQ3878" s="24"/>
      <c r="DR3878" s="24"/>
      <c r="DS3878" s="24"/>
      <c r="DT3878" s="24"/>
      <c r="DU3878" s="24"/>
    </row>
    <row r="3879" spans="1:125" s="8" customFormat="1" ht="84" x14ac:dyDescent="0.2">
      <c r="A3879" s="77">
        <v>41621</v>
      </c>
      <c r="B3879" s="78" t="s">
        <v>2860</v>
      </c>
      <c r="C3879" s="75" t="s">
        <v>1325</v>
      </c>
      <c r="D3879" s="75" t="s">
        <v>3088</v>
      </c>
      <c r="E3879" s="353" t="str">
        <f>VLOOKUP(B3879&amp;C3879,Divipola!$C$2:$F$1138,4,FALSE)</f>
        <v>63111</v>
      </c>
      <c r="F3879" s="61"/>
      <c r="G3879" s="61"/>
      <c r="H3879" s="61"/>
      <c r="I3879" s="61"/>
      <c r="J3879" s="61"/>
      <c r="K3879" s="61"/>
      <c r="L3879" s="61"/>
      <c r="M3879" s="61"/>
      <c r="N3879" s="61"/>
      <c r="O3879" s="61"/>
      <c r="P3879" s="61"/>
      <c r="Q3879" s="61"/>
      <c r="R3879" s="61"/>
      <c r="S3879" s="61"/>
      <c r="T3879" s="61"/>
      <c r="U3879" s="61"/>
      <c r="V3879" s="7"/>
      <c r="W3879" s="96">
        <v>0</v>
      </c>
      <c r="X3879" s="71">
        <f>CU3879</f>
        <v>0</v>
      </c>
      <c r="Y3879" s="71">
        <f>CY3879</f>
        <v>0</v>
      </c>
      <c r="Z3879" s="71">
        <f>DA3879+DC3879+DE3879</f>
        <v>0</v>
      </c>
      <c r="AA3879" s="71">
        <f>CW3879</f>
        <v>0</v>
      </c>
      <c r="AB3879" s="71"/>
      <c r="AC3879" s="71">
        <v>505733271</v>
      </c>
      <c r="AD3879" s="71">
        <f>W3879+X3879+Y3879+Z3879+AA3879+AB3879+AC3879</f>
        <v>505733271</v>
      </c>
      <c r="AE3879" s="72">
        <v>0</v>
      </c>
      <c r="AF3879" s="5"/>
      <c r="AG3879" s="6"/>
      <c r="AH3879" s="27"/>
      <c r="AI3879" s="44"/>
      <c r="AJ3879" s="26"/>
      <c r="AK3879" s="5"/>
      <c r="AL3879" s="9" t="s">
        <v>6930</v>
      </c>
      <c r="AM3879" s="76"/>
      <c r="AN3879" s="76"/>
      <c r="AO3879" s="76"/>
      <c r="AP3879" s="76"/>
      <c r="AQ3879" s="76"/>
      <c r="AR3879" s="76"/>
      <c r="AS3879" s="76"/>
      <c r="AT3879" s="76"/>
      <c r="AU3879" s="76"/>
      <c r="AV3879" s="76"/>
      <c r="AW3879" s="76"/>
      <c r="AX3879" s="76">
        <f>+AW3879*600000</f>
        <v>0</v>
      </c>
      <c r="AY3879" s="76"/>
      <c r="AZ3879" s="76">
        <f>+AY3879*70000</f>
        <v>0</v>
      </c>
      <c r="BA3879" s="76"/>
      <c r="BB3879" s="76"/>
      <c r="BC3879" s="76"/>
      <c r="BD3879" s="76">
        <f>+BC3879*30000</f>
        <v>0</v>
      </c>
      <c r="BE3879" s="76"/>
      <c r="BF3879" s="76"/>
      <c r="BG3879" s="76"/>
      <c r="BH3879" s="76"/>
      <c r="BI3879" s="76"/>
      <c r="BJ3879" s="76"/>
      <c r="BK3879" s="76"/>
      <c r="BL3879" s="76">
        <f>+BK3879*31500</f>
        <v>0</v>
      </c>
      <c r="BM3879" s="76"/>
      <c r="BN3879" s="76"/>
      <c r="BO3879" s="76"/>
      <c r="BP3879" s="76"/>
      <c r="BQ3879" s="76"/>
      <c r="BR3879" s="76"/>
      <c r="BS3879" s="76"/>
      <c r="BT3879" s="76"/>
      <c r="BU3879" s="76"/>
      <c r="BV3879" s="76"/>
      <c r="BW3879" s="76"/>
      <c r="BX3879" s="76"/>
      <c r="BY3879" s="76"/>
      <c r="BZ3879" s="76"/>
      <c r="CA3879" s="76"/>
      <c r="CB3879" s="76"/>
      <c r="CC3879" s="76"/>
      <c r="CD3879" s="76"/>
      <c r="CE3879" s="76"/>
      <c r="CF3879" s="76">
        <f>+CE3879*28000</f>
        <v>0</v>
      </c>
      <c r="CG3879" s="76"/>
      <c r="CH3879" s="76">
        <f>+CG3879*22500</f>
        <v>0</v>
      </c>
      <c r="CI3879" s="76"/>
      <c r="CJ3879" s="76">
        <f>+CI3879*26000</f>
        <v>0</v>
      </c>
      <c r="CK3879" s="76"/>
      <c r="CL3879" s="76"/>
      <c r="CM3879" s="76"/>
      <c r="CN3879" s="76">
        <f>+CM3879*22000</f>
        <v>0</v>
      </c>
      <c r="CO3879" s="76"/>
      <c r="CP3879" s="76">
        <f>+CO3879*46000</f>
        <v>0</v>
      </c>
      <c r="CQ3879" s="76"/>
      <c r="CR3879" s="76">
        <f>+CQ3879*49000</f>
        <v>0</v>
      </c>
      <c r="CS3879" s="76"/>
      <c r="CT3879" s="76"/>
      <c r="CU3879" s="56">
        <f>AN3879+AP3879+AR3879+AT3879+AV3879+AX3879+AZ3879+BB3879+BD3879+BF3879+BH3879+BJ3879+BL3879+BN3879+BP3879+BR3879+BT3879+BV3879+BX3879+BZ3879+CB3879+CD3879+CF3879+CH3879+CJ3879+CL3879+CN3879+CP3879+CR3879+CT3879</f>
        <v>0</v>
      </c>
      <c r="CV3879" s="76"/>
      <c r="CW3879" s="76">
        <f>+CV3879*1100</f>
        <v>0</v>
      </c>
      <c r="CX3879" s="76"/>
      <c r="CY3879" s="76">
        <f>+CX3879*106250</f>
        <v>0</v>
      </c>
      <c r="CZ3879" s="76"/>
      <c r="DA3879" s="76">
        <f>+CZ3879*34500</f>
        <v>0</v>
      </c>
      <c r="DB3879" s="76"/>
      <c r="DC3879" s="76">
        <f>+DB3879*25000</f>
        <v>0</v>
      </c>
      <c r="DD3879" s="219"/>
      <c r="DE3879" s="76"/>
      <c r="DF3879" s="166"/>
      <c r="DG3879" s="116"/>
      <c r="DH3879" s="117"/>
      <c r="DI3879" s="24"/>
      <c r="DJ3879" s="24"/>
      <c r="DK3879" s="24"/>
      <c r="DL3879" s="24"/>
      <c r="DM3879" s="24"/>
      <c r="DN3879" s="24"/>
      <c r="DO3879" s="24"/>
      <c r="DP3879" s="24"/>
      <c r="DQ3879" s="24"/>
      <c r="DR3879" s="24"/>
      <c r="DS3879" s="24"/>
      <c r="DT3879" s="24"/>
      <c r="DU3879" s="24"/>
    </row>
    <row r="3880" spans="1:125" s="8" customFormat="1" ht="108" x14ac:dyDescent="0.2">
      <c r="A3880" s="77">
        <v>41621</v>
      </c>
      <c r="B3880" s="78" t="s">
        <v>2851</v>
      </c>
      <c r="C3880" s="75" t="s">
        <v>2160</v>
      </c>
      <c r="D3880" s="75" t="s">
        <v>2846</v>
      </c>
      <c r="E3880" s="353" t="str">
        <f>VLOOKUP(B3880&amp;C3880,Divipola!$C$2:$F$1138,4,FALSE)</f>
        <v>76400</v>
      </c>
      <c r="F3880" s="87"/>
      <c r="G3880" s="87"/>
      <c r="H3880" s="87"/>
      <c r="I3880" s="87"/>
      <c r="J3880" s="87"/>
      <c r="K3880" s="87"/>
      <c r="L3880" s="87"/>
      <c r="M3880" s="87"/>
      <c r="N3880" s="87"/>
      <c r="O3880" s="87"/>
      <c r="P3880" s="87"/>
      <c r="Q3880" s="87"/>
      <c r="R3880" s="87"/>
      <c r="S3880" s="87"/>
      <c r="T3880" s="87"/>
      <c r="U3880" s="88">
        <v>5</v>
      </c>
      <c r="V3880" s="89"/>
      <c r="W3880" s="96">
        <v>0</v>
      </c>
      <c r="X3880" s="71">
        <f>CU3880</f>
        <v>0</v>
      </c>
      <c r="Y3880" s="71">
        <f>CY3880</f>
        <v>0</v>
      </c>
      <c r="Z3880" s="71">
        <f>DA3880+DC3880+DE3880</f>
        <v>0</v>
      </c>
      <c r="AA3880" s="71">
        <f>CW3880</f>
        <v>0</v>
      </c>
      <c r="AB3880" s="71"/>
      <c r="AC3880" s="71">
        <v>0</v>
      </c>
      <c r="AD3880" s="71">
        <f>W3880+X3880+Y3880+Z3880+AA3880+AB3880+AC3880</f>
        <v>0</v>
      </c>
      <c r="AE3880" s="72">
        <v>0</v>
      </c>
      <c r="AF3880" s="5"/>
      <c r="AG3880" s="6"/>
      <c r="AH3880" s="27"/>
      <c r="AI3880" s="44"/>
      <c r="AJ3880" s="26"/>
      <c r="AK3880" s="5"/>
      <c r="AL3880" s="9" t="s">
        <v>6944</v>
      </c>
      <c r="AM3880" s="76"/>
      <c r="AN3880" s="76"/>
      <c r="AO3880" s="76"/>
      <c r="AP3880" s="76"/>
      <c r="AQ3880" s="76"/>
      <c r="AR3880" s="76"/>
      <c r="AS3880" s="76"/>
      <c r="AT3880" s="76"/>
      <c r="AU3880" s="76"/>
      <c r="AV3880" s="76"/>
      <c r="AW3880" s="76"/>
      <c r="AX3880" s="76">
        <f>+AW3880*600000</f>
        <v>0</v>
      </c>
      <c r="AY3880" s="76"/>
      <c r="AZ3880" s="76">
        <f>+AY3880*70000</f>
        <v>0</v>
      </c>
      <c r="BA3880" s="76"/>
      <c r="BB3880" s="76"/>
      <c r="BC3880" s="76"/>
      <c r="BD3880" s="76">
        <f>+BC3880*30000</f>
        <v>0</v>
      </c>
      <c r="BE3880" s="76"/>
      <c r="BF3880" s="76"/>
      <c r="BG3880" s="76"/>
      <c r="BH3880" s="76"/>
      <c r="BI3880" s="76"/>
      <c r="BJ3880" s="76"/>
      <c r="BK3880" s="76"/>
      <c r="BL3880" s="76">
        <f>+BK3880*31500</f>
        <v>0</v>
      </c>
      <c r="BM3880" s="76"/>
      <c r="BN3880" s="76"/>
      <c r="BO3880" s="76"/>
      <c r="BP3880" s="76"/>
      <c r="BQ3880" s="76"/>
      <c r="BR3880" s="76"/>
      <c r="BS3880" s="76"/>
      <c r="BT3880" s="76"/>
      <c r="BU3880" s="76"/>
      <c r="BV3880" s="76"/>
      <c r="BW3880" s="76"/>
      <c r="BX3880" s="76"/>
      <c r="BY3880" s="76"/>
      <c r="BZ3880" s="76"/>
      <c r="CA3880" s="76"/>
      <c r="CB3880" s="76"/>
      <c r="CC3880" s="76"/>
      <c r="CD3880" s="76"/>
      <c r="CE3880" s="76"/>
      <c r="CF3880" s="76">
        <f>+CE3880*28000</f>
        <v>0</v>
      </c>
      <c r="CG3880" s="76"/>
      <c r="CH3880" s="76">
        <f>+CG3880*22500</f>
        <v>0</v>
      </c>
      <c r="CI3880" s="76"/>
      <c r="CJ3880" s="76">
        <f>+CI3880*26000</f>
        <v>0</v>
      </c>
      <c r="CK3880" s="76"/>
      <c r="CL3880" s="76"/>
      <c r="CM3880" s="76"/>
      <c r="CN3880" s="76">
        <f>+CM3880*22000</f>
        <v>0</v>
      </c>
      <c r="CO3880" s="76"/>
      <c r="CP3880" s="76">
        <f>+CO3880*46000</f>
        <v>0</v>
      </c>
      <c r="CQ3880" s="76"/>
      <c r="CR3880" s="76">
        <f>+CQ3880*49000</f>
        <v>0</v>
      </c>
      <c r="CS3880" s="76"/>
      <c r="CT3880" s="76"/>
      <c r="CU3880" s="56">
        <f>AN3880+AP3880+AR3880+AT3880+AV3880+AX3880+AZ3880+BB3880+BD3880+BF3880+BH3880+BJ3880+BL3880+BN3880+BP3880+BR3880+BT3880+BV3880+BX3880+BZ3880+CB3880+CD3880+CF3880+CH3880+CJ3880+CL3880+CN3880+CP3880+CR3880+CT3880</f>
        <v>0</v>
      </c>
      <c r="CV3880" s="76"/>
      <c r="CW3880" s="76">
        <f>+CV3880*1100</f>
        <v>0</v>
      </c>
      <c r="CX3880" s="76"/>
      <c r="CY3880" s="76">
        <f>+CX3880*106250</f>
        <v>0</v>
      </c>
      <c r="CZ3880" s="76"/>
      <c r="DA3880" s="76">
        <f>+CZ3880*34500</f>
        <v>0</v>
      </c>
      <c r="DB3880" s="76"/>
      <c r="DC3880" s="76">
        <f>+DB3880*25000</f>
        <v>0</v>
      </c>
      <c r="DD3880" s="219"/>
      <c r="DE3880" s="76"/>
      <c r="DF3880" s="166"/>
      <c r="DG3880" s="116"/>
      <c r="DH3880" s="117"/>
      <c r="DI3880" s="24"/>
      <c r="DJ3880" s="24"/>
      <c r="DK3880" s="24"/>
      <c r="DL3880" s="24"/>
      <c r="DM3880" s="24"/>
      <c r="DN3880" s="24"/>
      <c r="DO3880" s="24"/>
      <c r="DP3880" s="24"/>
      <c r="DQ3880" s="24"/>
      <c r="DR3880" s="24"/>
      <c r="DS3880" s="24"/>
      <c r="DT3880" s="24"/>
      <c r="DU3880" s="24"/>
    </row>
    <row r="3881" spans="1:125" s="8" customFormat="1" ht="108" x14ac:dyDescent="0.2">
      <c r="A3881" s="353">
        <v>41621</v>
      </c>
      <c r="B3881" s="352" t="s">
        <v>2851</v>
      </c>
      <c r="C3881" s="354" t="s">
        <v>1390</v>
      </c>
      <c r="D3881" s="354" t="s">
        <v>2859</v>
      </c>
      <c r="E3881" s="353" t="str">
        <f>VLOOKUP(B3881&amp;C3881,Divipola!$C$2:$F$1138,4,FALSE)</f>
        <v>76111</v>
      </c>
      <c r="F3881" s="87"/>
      <c r="G3881" s="87"/>
      <c r="H3881" s="87"/>
      <c r="I3881" s="87">
        <v>5</v>
      </c>
      <c r="J3881" s="87">
        <v>1</v>
      </c>
      <c r="K3881" s="87"/>
      <c r="L3881" s="87">
        <v>1</v>
      </c>
      <c r="M3881" s="87"/>
      <c r="N3881" s="87"/>
      <c r="O3881" s="87"/>
      <c r="P3881" s="87"/>
      <c r="Q3881" s="87"/>
      <c r="R3881" s="87"/>
      <c r="S3881" s="87"/>
      <c r="T3881" s="87"/>
      <c r="U3881" s="88"/>
      <c r="V3881" s="89"/>
      <c r="W3881" s="96">
        <v>0</v>
      </c>
      <c r="X3881" s="71">
        <f>CU3881</f>
        <v>0</v>
      </c>
      <c r="Y3881" s="71">
        <f>CY3881</f>
        <v>0</v>
      </c>
      <c r="Z3881" s="71">
        <f>DA3881+DC3881+DE3881</f>
        <v>0</v>
      </c>
      <c r="AA3881" s="71">
        <f>CW3881</f>
        <v>0</v>
      </c>
      <c r="AB3881" s="71"/>
      <c r="AC3881" s="71">
        <v>0</v>
      </c>
      <c r="AD3881" s="71">
        <f>W3881+X3881+Y3881+Z3881+AA3881+AB3881+AC3881</f>
        <v>0</v>
      </c>
      <c r="AE3881" s="72">
        <v>0</v>
      </c>
      <c r="AF3881" s="5"/>
      <c r="AG3881" s="6"/>
      <c r="AH3881" s="27"/>
      <c r="AI3881" s="44"/>
      <c r="AJ3881" s="26"/>
      <c r="AK3881" s="5"/>
      <c r="AL3881" s="9" t="s">
        <v>6945</v>
      </c>
      <c r="AM3881" s="76"/>
      <c r="AN3881" s="76"/>
      <c r="AO3881" s="76"/>
      <c r="AP3881" s="76"/>
      <c r="AQ3881" s="76"/>
      <c r="AR3881" s="76"/>
      <c r="AS3881" s="76"/>
      <c r="AT3881" s="76"/>
      <c r="AU3881" s="76"/>
      <c r="AV3881" s="76"/>
      <c r="AW3881" s="76"/>
      <c r="AX3881" s="76">
        <f>+AW3881*600000</f>
        <v>0</v>
      </c>
      <c r="AY3881" s="76"/>
      <c r="AZ3881" s="76">
        <f>+AY3881*70000</f>
        <v>0</v>
      </c>
      <c r="BA3881" s="76"/>
      <c r="BB3881" s="76"/>
      <c r="BC3881" s="76"/>
      <c r="BD3881" s="76">
        <f>+BC3881*30000</f>
        <v>0</v>
      </c>
      <c r="BE3881" s="76"/>
      <c r="BF3881" s="76"/>
      <c r="BG3881" s="76"/>
      <c r="BH3881" s="76"/>
      <c r="BI3881" s="76"/>
      <c r="BJ3881" s="76"/>
      <c r="BK3881" s="76"/>
      <c r="BL3881" s="76">
        <f>+BK3881*31500</f>
        <v>0</v>
      </c>
      <c r="BM3881" s="76"/>
      <c r="BN3881" s="76"/>
      <c r="BO3881" s="76"/>
      <c r="BP3881" s="76"/>
      <c r="BQ3881" s="76"/>
      <c r="BR3881" s="76"/>
      <c r="BS3881" s="76"/>
      <c r="BT3881" s="76"/>
      <c r="BU3881" s="76"/>
      <c r="BV3881" s="76"/>
      <c r="BW3881" s="76"/>
      <c r="BX3881" s="76"/>
      <c r="BY3881" s="76"/>
      <c r="BZ3881" s="76"/>
      <c r="CA3881" s="76"/>
      <c r="CB3881" s="76"/>
      <c r="CC3881" s="76"/>
      <c r="CD3881" s="76"/>
      <c r="CE3881" s="76"/>
      <c r="CF3881" s="76">
        <f>+CE3881*28000</f>
        <v>0</v>
      </c>
      <c r="CG3881" s="76"/>
      <c r="CH3881" s="76">
        <f>+CG3881*22500</f>
        <v>0</v>
      </c>
      <c r="CI3881" s="76"/>
      <c r="CJ3881" s="76">
        <f>+CI3881*26000</f>
        <v>0</v>
      </c>
      <c r="CK3881" s="76"/>
      <c r="CL3881" s="76"/>
      <c r="CM3881" s="76"/>
      <c r="CN3881" s="76">
        <f>+CM3881*22000</f>
        <v>0</v>
      </c>
      <c r="CO3881" s="76"/>
      <c r="CP3881" s="76">
        <f>+CO3881*46000</f>
        <v>0</v>
      </c>
      <c r="CQ3881" s="76"/>
      <c r="CR3881" s="76">
        <f>+CQ3881*49000</f>
        <v>0</v>
      </c>
      <c r="CS3881" s="76"/>
      <c r="CT3881" s="76"/>
      <c r="CU3881" s="56">
        <f>AN3881+AP3881+AR3881+AT3881+AV3881+AX3881+AZ3881+BB3881+BD3881+BF3881+BH3881+BJ3881+BL3881+BN3881+BP3881+BR3881+BT3881+BV3881+BX3881+BZ3881+CB3881+CD3881+CF3881+CH3881+CJ3881+CL3881+CN3881+CP3881+CR3881+CT3881</f>
        <v>0</v>
      </c>
      <c r="CV3881" s="76"/>
      <c r="CW3881" s="76">
        <f>+CV3881*1100</f>
        <v>0</v>
      </c>
      <c r="CX3881" s="76"/>
      <c r="CY3881" s="76">
        <f>+CX3881*106250</f>
        <v>0</v>
      </c>
      <c r="CZ3881" s="76"/>
      <c r="DA3881" s="76">
        <f>+CZ3881*34500</f>
        <v>0</v>
      </c>
      <c r="DB3881" s="76"/>
      <c r="DC3881" s="76">
        <f>+DB3881*25000</f>
        <v>0</v>
      </c>
      <c r="DD3881" s="219"/>
      <c r="DE3881" s="76"/>
      <c r="DF3881" s="166"/>
      <c r="DG3881" s="116"/>
      <c r="DH3881" s="117"/>
      <c r="DI3881" s="24"/>
      <c r="DJ3881" s="24"/>
      <c r="DK3881" s="24"/>
      <c r="DL3881" s="24"/>
      <c r="DM3881" s="24"/>
      <c r="DN3881" s="24"/>
      <c r="DO3881" s="24"/>
      <c r="DP3881" s="24"/>
      <c r="DQ3881" s="24"/>
      <c r="DR3881" s="24"/>
      <c r="DS3881" s="24"/>
      <c r="DT3881" s="24"/>
      <c r="DU3881" s="24"/>
    </row>
    <row r="3882" spans="1:125" s="8" customFormat="1" ht="48" x14ac:dyDescent="0.2">
      <c r="A3882" s="77">
        <v>41621</v>
      </c>
      <c r="B3882" s="352" t="s">
        <v>2855</v>
      </c>
      <c r="C3882" s="354" t="s">
        <v>900</v>
      </c>
      <c r="D3882" s="354" t="s">
        <v>2859</v>
      </c>
      <c r="E3882" s="353" t="str">
        <f>VLOOKUP(B3882&amp;C3882,Divipola!$C$2:$F$1138,4,FALSE)</f>
        <v>20060</v>
      </c>
      <c r="F3882" s="87"/>
      <c r="G3882" s="87"/>
      <c r="H3882" s="87"/>
      <c r="I3882" s="87">
        <v>5</v>
      </c>
      <c r="J3882" s="87">
        <v>1</v>
      </c>
      <c r="K3882" s="87"/>
      <c r="L3882" s="87">
        <v>1</v>
      </c>
      <c r="M3882" s="87"/>
      <c r="N3882" s="87"/>
      <c r="O3882" s="87"/>
      <c r="P3882" s="87"/>
      <c r="Q3882" s="87"/>
      <c r="R3882" s="87"/>
      <c r="S3882" s="87"/>
      <c r="T3882" s="87"/>
      <c r="U3882" s="88"/>
      <c r="V3882" s="86">
        <v>1</v>
      </c>
      <c r="W3882" s="96">
        <v>0</v>
      </c>
      <c r="X3882" s="71">
        <f>CU3882</f>
        <v>0</v>
      </c>
      <c r="Y3882" s="71">
        <f>CY3882</f>
        <v>0</v>
      </c>
      <c r="Z3882" s="71">
        <f>DA3882+DC3882+DE3882</f>
        <v>0</v>
      </c>
      <c r="AA3882" s="71">
        <f>CW3882</f>
        <v>0</v>
      </c>
      <c r="AB3882" s="71"/>
      <c r="AC3882" s="71">
        <v>0</v>
      </c>
      <c r="AD3882" s="71">
        <f>W3882+X3882+Y3882+Z3882+AA3882+AB3882+AC3882</f>
        <v>0</v>
      </c>
      <c r="AE3882" s="72">
        <v>0</v>
      </c>
      <c r="AF3882" s="5"/>
      <c r="AG3882" s="6"/>
      <c r="AH3882" s="27"/>
      <c r="AI3882" s="44"/>
      <c r="AJ3882" s="26"/>
      <c r="AK3882" s="5"/>
      <c r="AL3882" s="9" t="s">
        <v>6946</v>
      </c>
      <c r="AM3882" s="76"/>
      <c r="AN3882" s="76"/>
      <c r="AO3882" s="76"/>
      <c r="AP3882" s="76"/>
      <c r="AQ3882" s="76"/>
      <c r="AR3882" s="76"/>
      <c r="AS3882" s="76"/>
      <c r="AT3882" s="76"/>
      <c r="AU3882" s="76"/>
      <c r="AV3882" s="76"/>
      <c r="AW3882" s="76"/>
      <c r="AX3882" s="76">
        <f>+AW3882*600000</f>
        <v>0</v>
      </c>
      <c r="AY3882" s="76"/>
      <c r="AZ3882" s="76">
        <f>+AY3882*70000</f>
        <v>0</v>
      </c>
      <c r="BA3882" s="76"/>
      <c r="BB3882" s="76"/>
      <c r="BC3882" s="76"/>
      <c r="BD3882" s="76">
        <f>+BC3882*30000</f>
        <v>0</v>
      </c>
      <c r="BE3882" s="76"/>
      <c r="BF3882" s="76"/>
      <c r="BG3882" s="76"/>
      <c r="BH3882" s="76"/>
      <c r="BI3882" s="76"/>
      <c r="BJ3882" s="76"/>
      <c r="BK3882" s="76"/>
      <c r="BL3882" s="76">
        <f>+BK3882*31500</f>
        <v>0</v>
      </c>
      <c r="BM3882" s="76"/>
      <c r="BN3882" s="76"/>
      <c r="BO3882" s="76"/>
      <c r="BP3882" s="76"/>
      <c r="BQ3882" s="76"/>
      <c r="BR3882" s="76"/>
      <c r="BS3882" s="76"/>
      <c r="BT3882" s="76"/>
      <c r="BU3882" s="76"/>
      <c r="BV3882" s="76"/>
      <c r="BW3882" s="76"/>
      <c r="BX3882" s="76"/>
      <c r="BY3882" s="76"/>
      <c r="BZ3882" s="76"/>
      <c r="CA3882" s="76"/>
      <c r="CB3882" s="76"/>
      <c r="CC3882" s="76"/>
      <c r="CD3882" s="76"/>
      <c r="CE3882" s="76"/>
      <c r="CF3882" s="76">
        <f>+CE3882*28000</f>
        <v>0</v>
      </c>
      <c r="CG3882" s="76"/>
      <c r="CH3882" s="76">
        <f>+CG3882*22500</f>
        <v>0</v>
      </c>
      <c r="CI3882" s="76"/>
      <c r="CJ3882" s="76">
        <f>+CI3882*26000</f>
        <v>0</v>
      </c>
      <c r="CK3882" s="76"/>
      <c r="CL3882" s="76"/>
      <c r="CM3882" s="76"/>
      <c r="CN3882" s="76">
        <f>+CM3882*22000</f>
        <v>0</v>
      </c>
      <c r="CO3882" s="76"/>
      <c r="CP3882" s="76">
        <f>+CO3882*46000</f>
        <v>0</v>
      </c>
      <c r="CQ3882" s="76"/>
      <c r="CR3882" s="76">
        <f>+CQ3882*49000</f>
        <v>0</v>
      </c>
      <c r="CS3882" s="76"/>
      <c r="CT3882" s="76"/>
      <c r="CU3882" s="56">
        <f>AN3882+AP3882+AR3882+AT3882+AV3882+AX3882+AZ3882+BB3882+BD3882+BF3882+BH3882+BJ3882+BL3882+BN3882+BP3882+BR3882+BT3882+BV3882+BX3882+BZ3882+CB3882+CD3882+CF3882+CH3882+CJ3882+CL3882+CN3882+CP3882+CR3882+CT3882</f>
        <v>0</v>
      </c>
      <c r="CV3882" s="76"/>
      <c r="CW3882" s="76">
        <f>+CV3882*1100</f>
        <v>0</v>
      </c>
      <c r="CX3882" s="76"/>
      <c r="CY3882" s="76">
        <f>+CX3882*106250</f>
        <v>0</v>
      </c>
      <c r="CZ3882" s="76"/>
      <c r="DA3882" s="76">
        <f>+CZ3882*34500</f>
        <v>0</v>
      </c>
      <c r="DB3882" s="76"/>
      <c r="DC3882" s="76">
        <f>+DB3882*25000</f>
        <v>0</v>
      </c>
      <c r="DD3882" s="219"/>
      <c r="DE3882" s="76"/>
      <c r="DF3882" s="166"/>
      <c r="DG3882" s="116"/>
      <c r="DH3882" s="117"/>
      <c r="DI3882" s="24"/>
      <c r="DJ3882" s="24"/>
      <c r="DK3882" s="24"/>
      <c r="DL3882" s="24"/>
      <c r="DM3882" s="24"/>
      <c r="DN3882" s="24"/>
      <c r="DO3882" s="24"/>
      <c r="DP3882" s="24"/>
      <c r="DQ3882" s="24"/>
      <c r="DR3882" s="24"/>
      <c r="DS3882" s="24"/>
      <c r="DT3882" s="24"/>
      <c r="DU3882" s="24"/>
    </row>
    <row r="3883" spans="1:125" s="8" customFormat="1" ht="156" x14ac:dyDescent="0.2">
      <c r="A3883" s="353">
        <v>41621</v>
      </c>
      <c r="B3883" s="352" t="s">
        <v>2196</v>
      </c>
      <c r="C3883" s="354" t="s">
        <v>508</v>
      </c>
      <c r="D3883" s="354" t="s">
        <v>4391</v>
      </c>
      <c r="E3883" s="353" t="str">
        <f>VLOOKUP(B3883&amp;C3883,Divipola!$C$2:$F$1138,4,FALSE)</f>
        <v>17001</v>
      </c>
      <c r="F3883" s="87"/>
      <c r="G3883" s="87"/>
      <c r="H3883" s="87">
        <v>1</v>
      </c>
      <c r="I3883" s="87"/>
      <c r="J3883" s="87"/>
      <c r="K3883" s="87"/>
      <c r="L3883" s="87"/>
      <c r="M3883" s="87"/>
      <c r="N3883" s="87"/>
      <c r="O3883" s="87"/>
      <c r="P3883" s="87"/>
      <c r="Q3883" s="87"/>
      <c r="R3883" s="87"/>
      <c r="S3883" s="87"/>
      <c r="T3883" s="87"/>
      <c r="U3883" s="88"/>
      <c r="V3883" s="89"/>
      <c r="W3883" s="96">
        <v>0</v>
      </c>
      <c r="X3883" s="71">
        <f>CU3883</f>
        <v>0</v>
      </c>
      <c r="Y3883" s="71">
        <f>CY3883</f>
        <v>0</v>
      </c>
      <c r="Z3883" s="71">
        <f>DA3883+DC3883+DE3883</f>
        <v>0</v>
      </c>
      <c r="AA3883" s="71">
        <f>CW3883</f>
        <v>0</v>
      </c>
      <c r="AB3883" s="71"/>
      <c r="AC3883" s="71">
        <v>0</v>
      </c>
      <c r="AD3883" s="71">
        <f>W3883+X3883+Y3883+Z3883+AA3883+AB3883+AC3883</f>
        <v>0</v>
      </c>
      <c r="AE3883" s="72">
        <v>0</v>
      </c>
      <c r="AF3883" s="5"/>
      <c r="AG3883" s="6"/>
      <c r="AH3883" s="27"/>
      <c r="AI3883" s="44"/>
      <c r="AJ3883" s="26"/>
      <c r="AK3883" s="5"/>
      <c r="AL3883" s="278" t="s">
        <v>6947</v>
      </c>
      <c r="AM3883" s="76"/>
      <c r="AN3883" s="76"/>
      <c r="AO3883" s="76"/>
      <c r="AP3883" s="76"/>
      <c r="AQ3883" s="76"/>
      <c r="AR3883" s="76"/>
      <c r="AS3883" s="76"/>
      <c r="AT3883" s="76"/>
      <c r="AU3883" s="76"/>
      <c r="AV3883" s="76"/>
      <c r="AW3883" s="76"/>
      <c r="AX3883" s="76">
        <f>+AW3883*600000</f>
        <v>0</v>
      </c>
      <c r="AY3883" s="76"/>
      <c r="AZ3883" s="76">
        <f>+AY3883*70000</f>
        <v>0</v>
      </c>
      <c r="BA3883" s="76"/>
      <c r="BB3883" s="76"/>
      <c r="BC3883" s="76"/>
      <c r="BD3883" s="76">
        <f>+BC3883*30000</f>
        <v>0</v>
      </c>
      <c r="BE3883" s="76"/>
      <c r="BF3883" s="76"/>
      <c r="BG3883" s="76"/>
      <c r="BH3883" s="76"/>
      <c r="BI3883" s="76"/>
      <c r="BJ3883" s="76"/>
      <c r="BK3883" s="76"/>
      <c r="BL3883" s="76">
        <f>+BK3883*31500</f>
        <v>0</v>
      </c>
      <c r="BM3883" s="76"/>
      <c r="BN3883" s="76"/>
      <c r="BO3883" s="76"/>
      <c r="BP3883" s="76"/>
      <c r="BQ3883" s="76"/>
      <c r="BR3883" s="76"/>
      <c r="BS3883" s="76"/>
      <c r="BT3883" s="76"/>
      <c r="BU3883" s="76"/>
      <c r="BV3883" s="76"/>
      <c r="BW3883" s="76"/>
      <c r="BX3883" s="76"/>
      <c r="BY3883" s="76"/>
      <c r="BZ3883" s="76"/>
      <c r="CA3883" s="76"/>
      <c r="CB3883" s="76"/>
      <c r="CC3883" s="76"/>
      <c r="CD3883" s="76"/>
      <c r="CE3883" s="76"/>
      <c r="CF3883" s="76">
        <f>+CE3883*28000</f>
        <v>0</v>
      </c>
      <c r="CG3883" s="76"/>
      <c r="CH3883" s="76">
        <f>+CG3883*22500</f>
        <v>0</v>
      </c>
      <c r="CI3883" s="76"/>
      <c r="CJ3883" s="76">
        <f>+CI3883*26000</f>
        <v>0</v>
      </c>
      <c r="CK3883" s="76"/>
      <c r="CL3883" s="76"/>
      <c r="CM3883" s="76"/>
      <c r="CN3883" s="76">
        <f>+CM3883*22000</f>
        <v>0</v>
      </c>
      <c r="CO3883" s="76"/>
      <c r="CP3883" s="76">
        <f>+CO3883*46000</f>
        <v>0</v>
      </c>
      <c r="CQ3883" s="76"/>
      <c r="CR3883" s="76">
        <f>+CQ3883*49000</f>
        <v>0</v>
      </c>
      <c r="CS3883" s="76"/>
      <c r="CT3883" s="76"/>
      <c r="CU3883" s="56">
        <f>AN3883+AP3883+AR3883+AT3883+AV3883+AX3883+AZ3883+BB3883+BD3883+BF3883+BH3883+BJ3883+BL3883+BN3883+BP3883+BR3883+BT3883+BV3883+BX3883+BZ3883+CB3883+CD3883+CF3883+CH3883+CJ3883+CL3883+CN3883+CP3883+CR3883+CT3883</f>
        <v>0</v>
      </c>
      <c r="CV3883" s="76"/>
      <c r="CW3883" s="76">
        <f>+CV3883*1100</f>
        <v>0</v>
      </c>
      <c r="CX3883" s="76"/>
      <c r="CY3883" s="76">
        <f>+CX3883*106250</f>
        <v>0</v>
      </c>
      <c r="CZ3883" s="76"/>
      <c r="DA3883" s="76">
        <f>+CZ3883*34500</f>
        <v>0</v>
      </c>
      <c r="DB3883" s="76"/>
      <c r="DC3883" s="76">
        <f>+DB3883*25000</f>
        <v>0</v>
      </c>
      <c r="DD3883" s="219"/>
      <c r="DE3883" s="76"/>
      <c r="DF3883" s="166"/>
      <c r="DG3883" s="116"/>
      <c r="DH3883" s="117"/>
      <c r="DI3883" s="24"/>
      <c r="DJ3883" s="24"/>
      <c r="DK3883" s="24"/>
      <c r="DL3883" s="24"/>
      <c r="DM3883" s="24"/>
      <c r="DN3883" s="24"/>
      <c r="DO3883" s="24"/>
      <c r="DP3883" s="24"/>
      <c r="DQ3883" s="24"/>
      <c r="DR3883" s="24"/>
      <c r="DS3883" s="24"/>
      <c r="DT3883" s="24"/>
      <c r="DU3883" s="24"/>
    </row>
    <row r="3884" spans="1:125" s="8" customFormat="1" ht="132" x14ac:dyDescent="0.2">
      <c r="A3884" s="77">
        <v>41621</v>
      </c>
      <c r="B3884" s="78" t="s">
        <v>2854</v>
      </c>
      <c r="C3884" s="75" t="s">
        <v>2738</v>
      </c>
      <c r="D3884" s="75" t="s">
        <v>2882</v>
      </c>
      <c r="E3884" s="353" t="str">
        <f>VLOOKUP(B3884&amp;C3884,Divipola!$C$2:$F$1138,4,FALSE)</f>
        <v>19473</v>
      </c>
      <c r="F3884" s="87"/>
      <c r="G3884" s="87"/>
      <c r="H3884" s="87"/>
      <c r="I3884" s="87">
        <v>500</v>
      </c>
      <c r="J3884" s="87">
        <v>100</v>
      </c>
      <c r="K3884" s="87"/>
      <c r="L3884" s="87">
        <v>100</v>
      </c>
      <c r="M3884" s="87"/>
      <c r="N3884" s="87"/>
      <c r="O3884" s="87"/>
      <c r="P3884" s="87"/>
      <c r="Q3884" s="87"/>
      <c r="R3884" s="87"/>
      <c r="S3884" s="87">
        <v>1</v>
      </c>
      <c r="T3884" s="87"/>
      <c r="U3884" s="88"/>
      <c r="V3884" s="89"/>
      <c r="W3884" s="96">
        <v>0</v>
      </c>
      <c r="X3884" s="71">
        <f>CU3884</f>
        <v>0</v>
      </c>
      <c r="Y3884" s="71">
        <f>CY3884</f>
        <v>0</v>
      </c>
      <c r="Z3884" s="71">
        <f>DA3884+DC3884+DE3884</f>
        <v>0</v>
      </c>
      <c r="AA3884" s="71">
        <f>CW3884</f>
        <v>0</v>
      </c>
      <c r="AB3884" s="71"/>
      <c r="AC3884" s="71">
        <v>0</v>
      </c>
      <c r="AD3884" s="71">
        <f>W3884+X3884+Y3884+Z3884+AA3884+AB3884+AC3884</f>
        <v>0</v>
      </c>
      <c r="AE3884" s="72">
        <v>0</v>
      </c>
      <c r="AF3884" s="5"/>
      <c r="AG3884" s="6"/>
      <c r="AH3884" s="27"/>
      <c r="AI3884" s="44"/>
      <c r="AJ3884" s="26"/>
      <c r="AK3884" s="5"/>
      <c r="AL3884" s="278" t="s">
        <v>6954</v>
      </c>
      <c r="AM3884" s="76"/>
      <c r="AN3884" s="76"/>
      <c r="AO3884" s="76"/>
      <c r="AP3884" s="76"/>
      <c r="AQ3884" s="76"/>
      <c r="AR3884" s="76"/>
      <c r="AS3884" s="76"/>
      <c r="AT3884" s="76"/>
      <c r="AU3884" s="76"/>
      <c r="AV3884" s="76"/>
      <c r="AW3884" s="76"/>
      <c r="AX3884" s="76">
        <f>+AW3884*600000</f>
        <v>0</v>
      </c>
      <c r="AY3884" s="76"/>
      <c r="AZ3884" s="76">
        <f>+AY3884*70000</f>
        <v>0</v>
      </c>
      <c r="BA3884" s="76"/>
      <c r="BB3884" s="76"/>
      <c r="BC3884" s="76"/>
      <c r="BD3884" s="76">
        <f>+BC3884*30000</f>
        <v>0</v>
      </c>
      <c r="BE3884" s="76"/>
      <c r="BF3884" s="76"/>
      <c r="BG3884" s="76"/>
      <c r="BH3884" s="76"/>
      <c r="BI3884" s="76"/>
      <c r="BJ3884" s="76"/>
      <c r="BK3884" s="76"/>
      <c r="BL3884" s="76">
        <f>+BK3884*31500</f>
        <v>0</v>
      </c>
      <c r="BM3884" s="76"/>
      <c r="BN3884" s="76"/>
      <c r="BO3884" s="76"/>
      <c r="BP3884" s="76"/>
      <c r="BQ3884" s="76"/>
      <c r="BR3884" s="76"/>
      <c r="BS3884" s="76"/>
      <c r="BT3884" s="76"/>
      <c r="BU3884" s="76"/>
      <c r="BV3884" s="76"/>
      <c r="BW3884" s="76"/>
      <c r="BX3884" s="76"/>
      <c r="BY3884" s="76"/>
      <c r="BZ3884" s="76"/>
      <c r="CA3884" s="76"/>
      <c r="CB3884" s="76"/>
      <c r="CC3884" s="76"/>
      <c r="CD3884" s="76"/>
      <c r="CE3884" s="76"/>
      <c r="CF3884" s="76">
        <f>+CE3884*28000</f>
        <v>0</v>
      </c>
      <c r="CG3884" s="76"/>
      <c r="CH3884" s="76">
        <f>+CG3884*22500</f>
        <v>0</v>
      </c>
      <c r="CI3884" s="76"/>
      <c r="CJ3884" s="76">
        <f>+CI3884*26000</f>
        <v>0</v>
      </c>
      <c r="CK3884" s="76"/>
      <c r="CL3884" s="76"/>
      <c r="CM3884" s="76"/>
      <c r="CN3884" s="76">
        <f>+CM3884*22000</f>
        <v>0</v>
      </c>
      <c r="CO3884" s="76"/>
      <c r="CP3884" s="76">
        <f>+CO3884*46000</f>
        <v>0</v>
      </c>
      <c r="CQ3884" s="76"/>
      <c r="CR3884" s="76">
        <f>+CQ3884*49000</f>
        <v>0</v>
      </c>
      <c r="CS3884" s="76"/>
      <c r="CT3884" s="76"/>
      <c r="CU3884" s="56">
        <f>AN3884+AP3884+AR3884+AT3884+AV3884+AX3884+AZ3884+BB3884+BD3884+BF3884+BH3884+BJ3884+BL3884+BN3884+BP3884+BR3884+BT3884+BV3884+BX3884+BZ3884+CB3884+CD3884+CF3884+CH3884+CJ3884+CL3884+CN3884+CP3884+CR3884+CT3884</f>
        <v>0</v>
      </c>
      <c r="CV3884" s="76"/>
      <c r="CW3884" s="76">
        <f>+CV3884*1100</f>
        <v>0</v>
      </c>
      <c r="CX3884" s="76"/>
      <c r="CY3884" s="76">
        <f>+CX3884*106250</f>
        <v>0</v>
      </c>
      <c r="CZ3884" s="76"/>
      <c r="DA3884" s="76">
        <f>+CZ3884*34500</f>
        <v>0</v>
      </c>
      <c r="DB3884" s="76"/>
      <c r="DC3884" s="76">
        <f>+DB3884*25000</f>
        <v>0</v>
      </c>
      <c r="DD3884" s="219"/>
      <c r="DE3884" s="76"/>
      <c r="DF3884" s="166"/>
      <c r="DG3884" s="116"/>
      <c r="DH3884" s="117"/>
      <c r="DI3884" s="24"/>
      <c r="DJ3884" s="24"/>
      <c r="DK3884" s="24"/>
      <c r="DL3884" s="24"/>
      <c r="DM3884" s="24"/>
      <c r="DN3884" s="24"/>
      <c r="DO3884" s="24"/>
      <c r="DP3884" s="24"/>
      <c r="DQ3884" s="24"/>
      <c r="DR3884" s="24"/>
      <c r="DS3884" s="24"/>
      <c r="DT3884" s="24"/>
      <c r="DU3884" s="24"/>
    </row>
    <row r="3885" spans="1:125" s="8" customFormat="1" ht="240" x14ac:dyDescent="0.2">
      <c r="A3885" s="353">
        <v>41621</v>
      </c>
      <c r="B3885" s="352" t="s">
        <v>2661</v>
      </c>
      <c r="C3885" s="354" t="s">
        <v>2169</v>
      </c>
      <c r="D3885" s="354" t="s">
        <v>3088</v>
      </c>
      <c r="E3885" s="353" t="str">
        <f>VLOOKUP(B3885&amp;C3885,Divipola!$C$2:$F$1138,4,FALSE)</f>
        <v>41001</v>
      </c>
      <c r="F3885" s="87">
        <v>4</v>
      </c>
      <c r="G3885" s="87">
        <v>1</v>
      </c>
      <c r="H3885" s="87"/>
      <c r="I3885" s="87">
        <v>5</v>
      </c>
      <c r="J3885" s="87"/>
      <c r="K3885" s="87"/>
      <c r="L3885" s="87"/>
      <c r="M3885" s="87"/>
      <c r="N3885" s="87"/>
      <c r="O3885" s="87"/>
      <c r="P3885" s="87"/>
      <c r="Q3885" s="87"/>
      <c r="R3885" s="87"/>
      <c r="S3885" s="87"/>
      <c r="T3885" s="87"/>
      <c r="U3885" s="88"/>
      <c r="V3885" s="89"/>
      <c r="W3885" s="96">
        <v>0</v>
      </c>
      <c r="X3885" s="71">
        <f>CU3885</f>
        <v>0</v>
      </c>
      <c r="Y3885" s="71">
        <f>CY3885</f>
        <v>0</v>
      </c>
      <c r="Z3885" s="71">
        <f>DA3885+DC3885+DE3885</f>
        <v>0</v>
      </c>
      <c r="AA3885" s="71">
        <f>CW3885</f>
        <v>0</v>
      </c>
      <c r="AB3885" s="71"/>
      <c r="AC3885" s="71">
        <v>0</v>
      </c>
      <c r="AD3885" s="71">
        <f>W3885+X3885+Y3885+Z3885+AA3885+AB3885+AC3885</f>
        <v>0</v>
      </c>
      <c r="AE3885" s="72">
        <v>0</v>
      </c>
      <c r="AF3885" s="5"/>
      <c r="AG3885" s="6"/>
      <c r="AH3885" s="27"/>
      <c r="AI3885" s="44"/>
      <c r="AJ3885" s="26"/>
      <c r="AK3885" s="5"/>
      <c r="AL3885" s="278" t="s">
        <v>6955</v>
      </c>
      <c r="AM3885" s="76"/>
      <c r="AN3885" s="76"/>
      <c r="AO3885" s="76"/>
      <c r="AP3885" s="76"/>
      <c r="AQ3885" s="76"/>
      <c r="AR3885" s="76"/>
      <c r="AS3885" s="76"/>
      <c r="AT3885" s="76"/>
      <c r="AU3885" s="76"/>
      <c r="AV3885" s="76"/>
      <c r="AW3885" s="76"/>
      <c r="AX3885" s="76">
        <f>+AW3885*600000</f>
        <v>0</v>
      </c>
      <c r="AY3885" s="76"/>
      <c r="AZ3885" s="76">
        <f>+AY3885*70000</f>
        <v>0</v>
      </c>
      <c r="BA3885" s="76"/>
      <c r="BB3885" s="76"/>
      <c r="BC3885" s="76"/>
      <c r="BD3885" s="76">
        <f>+BC3885*30000</f>
        <v>0</v>
      </c>
      <c r="BE3885" s="76"/>
      <c r="BF3885" s="76"/>
      <c r="BG3885" s="76"/>
      <c r="BH3885" s="76"/>
      <c r="BI3885" s="76"/>
      <c r="BJ3885" s="76"/>
      <c r="BK3885" s="76"/>
      <c r="BL3885" s="76">
        <f>+BK3885*31500</f>
        <v>0</v>
      </c>
      <c r="BM3885" s="76"/>
      <c r="BN3885" s="76"/>
      <c r="BO3885" s="76"/>
      <c r="BP3885" s="76"/>
      <c r="BQ3885" s="76"/>
      <c r="BR3885" s="76"/>
      <c r="BS3885" s="76"/>
      <c r="BT3885" s="76"/>
      <c r="BU3885" s="76"/>
      <c r="BV3885" s="76"/>
      <c r="BW3885" s="76"/>
      <c r="BX3885" s="76"/>
      <c r="BY3885" s="76"/>
      <c r="BZ3885" s="76"/>
      <c r="CA3885" s="76"/>
      <c r="CB3885" s="76"/>
      <c r="CC3885" s="76"/>
      <c r="CD3885" s="76"/>
      <c r="CE3885" s="76"/>
      <c r="CF3885" s="76">
        <f>+CE3885*28000</f>
        <v>0</v>
      </c>
      <c r="CG3885" s="76"/>
      <c r="CH3885" s="76">
        <f>+CG3885*22500</f>
        <v>0</v>
      </c>
      <c r="CI3885" s="76"/>
      <c r="CJ3885" s="76">
        <f>+CI3885*26000</f>
        <v>0</v>
      </c>
      <c r="CK3885" s="76"/>
      <c r="CL3885" s="76"/>
      <c r="CM3885" s="76"/>
      <c r="CN3885" s="76">
        <f>+CM3885*22000</f>
        <v>0</v>
      </c>
      <c r="CO3885" s="76"/>
      <c r="CP3885" s="76">
        <f>+CO3885*46000</f>
        <v>0</v>
      </c>
      <c r="CQ3885" s="76"/>
      <c r="CR3885" s="76">
        <f>+CQ3885*49000</f>
        <v>0</v>
      </c>
      <c r="CS3885" s="76"/>
      <c r="CT3885" s="76"/>
      <c r="CU3885" s="56">
        <f>AN3885+AP3885+AR3885+AT3885+AV3885+AX3885+AZ3885+BB3885+BD3885+BF3885+BH3885+BJ3885+BL3885+BN3885+BP3885+BR3885+BT3885+BV3885+BX3885+BZ3885+CB3885+CD3885+CF3885+CH3885+CJ3885+CL3885+CN3885+CP3885+CR3885+CT3885</f>
        <v>0</v>
      </c>
      <c r="CV3885" s="76"/>
      <c r="CW3885" s="76">
        <f>+CV3885*1100</f>
        <v>0</v>
      </c>
      <c r="CX3885" s="76"/>
      <c r="CY3885" s="76">
        <f>+CX3885*106250</f>
        <v>0</v>
      </c>
      <c r="CZ3885" s="76"/>
      <c r="DA3885" s="76">
        <f>+CZ3885*34500</f>
        <v>0</v>
      </c>
      <c r="DB3885" s="76"/>
      <c r="DC3885" s="76">
        <f>+DB3885*25000</f>
        <v>0</v>
      </c>
      <c r="DD3885" s="219"/>
      <c r="DE3885" s="76"/>
      <c r="DF3885" s="166"/>
      <c r="DG3885" s="116"/>
      <c r="DH3885" s="117"/>
      <c r="DI3885" s="24"/>
      <c r="DJ3885" s="24"/>
      <c r="DK3885" s="24"/>
      <c r="DL3885" s="24"/>
      <c r="DM3885" s="24"/>
      <c r="DN3885" s="24"/>
      <c r="DO3885" s="24"/>
      <c r="DP3885" s="24"/>
      <c r="DQ3885" s="24"/>
      <c r="DR3885" s="24"/>
      <c r="DS3885" s="24"/>
      <c r="DT3885" s="24"/>
      <c r="DU3885" s="24"/>
    </row>
    <row r="3886" spans="1:125" s="8" customFormat="1" ht="84" x14ac:dyDescent="0.2">
      <c r="A3886" s="353">
        <v>41621</v>
      </c>
      <c r="B3886" s="352" t="s">
        <v>2811</v>
      </c>
      <c r="C3886" s="354" t="s">
        <v>201</v>
      </c>
      <c r="D3886" s="354" t="s">
        <v>3088</v>
      </c>
      <c r="E3886" s="353" t="str">
        <f>VLOOKUP(B3886&amp;C3886,Divipola!$C$2:$F$1138,4,FALSE)</f>
        <v>52585</v>
      </c>
      <c r="F3886" s="87"/>
      <c r="G3886" s="87"/>
      <c r="H3886" s="87"/>
      <c r="I3886" s="87"/>
      <c r="J3886" s="87"/>
      <c r="K3886" s="87"/>
      <c r="L3886" s="87"/>
      <c r="M3886" s="87"/>
      <c r="N3886" s="87"/>
      <c r="O3886" s="87"/>
      <c r="P3886" s="87"/>
      <c r="Q3886" s="87"/>
      <c r="R3886" s="87"/>
      <c r="S3886" s="87"/>
      <c r="T3886" s="87"/>
      <c r="U3886" s="88"/>
      <c r="V3886" s="89"/>
      <c r="W3886" s="96">
        <v>0</v>
      </c>
      <c r="X3886" s="71">
        <f>CU3886</f>
        <v>0</v>
      </c>
      <c r="Y3886" s="71">
        <f>CY3886</f>
        <v>0</v>
      </c>
      <c r="Z3886" s="71">
        <f>DA3886+DC3886+DE3886</f>
        <v>0</v>
      </c>
      <c r="AA3886" s="71">
        <f>CW3886</f>
        <v>0</v>
      </c>
      <c r="AB3886" s="71"/>
      <c r="AC3886" s="71">
        <v>0</v>
      </c>
      <c r="AD3886" s="71">
        <f>W3886+X3886+Y3886+Z3886+AA3886+AB3886+AC3886</f>
        <v>0</v>
      </c>
      <c r="AE3886" s="72">
        <v>0</v>
      </c>
      <c r="AF3886" s="5"/>
      <c r="AG3886" s="6"/>
      <c r="AH3886" s="27"/>
      <c r="AI3886" s="44"/>
      <c r="AJ3886" s="26"/>
      <c r="AK3886" s="5"/>
      <c r="AL3886" s="278" t="s">
        <v>6948</v>
      </c>
      <c r="AM3886" s="76"/>
      <c r="AN3886" s="76"/>
      <c r="AO3886" s="76"/>
      <c r="AP3886" s="76"/>
      <c r="AQ3886" s="76"/>
      <c r="AR3886" s="76"/>
      <c r="AS3886" s="76"/>
      <c r="AT3886" s="76"/>
      <c r="AU3886" s="76"/>
      <c r="AV3886" s="76"/>
      <c r="AW3886" s="76"/>
      <c r="AX3886" s="76">
        <f>+AW3886*600000</f>
        <v>0</v>
      </c>
      <c r="AY3886" s="76"/>
      <c r="AZ3886" s="76">
        <f>+AY3886*70000</f>
        <v>0</v>
      </c>
      <c r="BA3886" s="76"/>
      <c r="BB3886" s="76"/>
      <c r="BC3886" s="76"/>
      <c r="BD3886" s="76">
        <f>+BC3886*30000</f>
        <v>0</v>
      </c>
      <c r="BE3886" s="76"/>
      <c r="BF3886" s="76"/>
      <c r="BG3886" s="76"/>
      <c r="BH3886" s="76"/>
      <c r="BI3886" s="76"/>
      <c r="BJ3886" s="76"/>
      <c r="BK3886" s="76"/>
      <c r="BL3886" s="76">
        <f>+BK3886*31500</f>
        <v>0</v>
      </c>
      <c r="BM3886" s="76"/>
      <c r="BN3886" s="76"/>
      <c r="BO3886" s="76"/>
      <c r="BP3886" s="76"/>
      <c r="BQ3886" s="76"/>
      <c r="BR3886" s="76"/>
      <c r="BS3886" s="76"/>
      <c r="BT3886" s="76"/>
      <c r="BU3886" s="76"/>
      <c r="BV3886" s="76"/>
      <c r="BW3886" s="76"/>
      <c r="BX3886" s="76"/>
      <c r="BY3886" s="76"/>
      <c r="BZ3886" s="76"/>
      <c r="CA3886" s="76"/>
      <c r="CB3886" s="76"/>
      <c r="CC3886" s="76"/>
      <c r="CD3886" s="76"/>
      <c r="CE3886" s="76"/>
      <c r="CF3886" s="76">
        <f>+CE3886*28000</f>
        <v>0</v>
      </c>
      <c r="CG3886" s="76"/>
      <c r="CH3886" s="76">
        <f>+CG3886*22500</f>
        <v>0</v>
      </c>
      <c r="CI3886" s="76"/>
      <c r="CJ3886" s="76">
        <f>+CI3886*26000</f>
        <v>0</v>
      </c>
      <c r="CK3886" s="76"/>
      <c r="CL3886" s="76"/>
      <c r="CM3886" s="76"/>
      <c r="CN3886" s="76">
        <f>+CM3886*22000</f>
        <v>0</v>
      </c>
      <c r="CO3886" s="76"/>
      <c r="CP3886" s="76">
        <f>+CO3886*46000</f>
        <v>0</v>
      </c>
      <c r="CQ3886" s="76"/>
      <c r="CR3886" s="76">
        <f>+CQ3886*49000</f>
        <v>0</v>
      </c>
      <c r="CS3886" s="76"/>
      <c r="CT3886" s="76"/>
      <c r="CU3886" s="56">
        <f>AN3886+AP3886+AR3886+AT3886+AV3886+AX3886+AZ3886+BB3886+BD3886+BF3886+BH3886+BJ3886+BL3886+BN3886+BP3886+BR3886+BT3886+BV3886+BX3886+BZ3886+CB3886+CD3886+CF3886+CH3886+CJ3886+CL3886+CN3886+CP3886+CR3886+CT3886</f>
        <v>0</v>
      </c>
      <c r="CV3886" s="76"/>
      <c r="CW3886" s="76">
        <f>+CV3886*1100</f>
        <v>0</v>
      </c>
      <c r="CX3886" s="76"/>
      <c r="CY3886" s="76">
        <f>+CX3886*106250</f>
        <v>0</v>
      </c>
      <c r="CZ3886" s="76"/>
      <c r="DA3886" s="76">
        <f>+CZ3886*34500</f>
        <v>0</v>
      </c>
      <c r="DB3886" s="76"/>
      <c r="DC3886" s="76">
        <f>+DB3886*25000</f>
        <v>0</v>
      </c>
      <c r="DD3886" s="219"/>
      <c r="DE3886" s="76"/>
      <c r="DF3886" s="166"/>
      <c r="DG3886" s="116"/>
      <c r="DH3886" s="117"/>
      <c r="DI3886" s="24"/>
      <c r="DJ3886" s="24"/>
      <c r="DK3886" s="24"/>
      <c r="DL3886" s="24"/>
      <c r="DM3886" s="24"/>
      <c r="DN3886" s="24"/>
      <c r="DO3886" s="24"/>
      <c r="DP3886" s="24"/>
      <c r="DQ3886" s="24"/>
      <c r="DR3886" s="24"/>
      <c r="DS3886" s="24"/>
      <c r="DT3886" s="24"/>
      <c r="DU3886" s="24"/>
    </row>
    <row r="3887" spans="1:125" s="8" customFormat="1" ht="108" x14ac:dyDescent="0.2">
      <c r="A3887" s="353">
        <v>41621</v>
      </c>
      <c r="B3887" s="352" t="s">
        <v>2847</v>
      </c>
      <c r="C3887" s="354" t="s">
        <v>2673</v>
      </c>
      <c r="D3887" s="354" t="s">
        <v>2859</v>
      </c>
      <c r="E3887" s="353" t="str">
        <f>VLOOKUP(B3887&amp;C3887,Divipola!$C$2:$F$1138,4,FALSE)</f>
        <v>68001</v>
      </c>
      <c r="F3887" s="87"/>
      <c r="G3887" s="87">
        <v>3</v>
      </c>
      <c r="H3887" s="87"/>
      <c r="I3887" s="87">
        <v>5</v>
      </c>
      <c r="J3887" s="87">
        <v>1</v>
      </c>
      <c r="K3887" s="87"/>
      <c r="L3887" s="87">
        <v>1</v>
      </c>
      <c r="M3887" s="87"/>
      <c r="N3887" s="87"/>
      <c r="O3887" s="87"/>
      <c r="P3887" s="87"/>
      <c r="Q3887" s="87"/>
      <c r="R3887" s="87"/>
      <c r="S3887" s="87"/>
      <c r="T3887" s="87"/>
      <c r="U3887" s="88"/>
      <c r="V3887" s="89"/>
      <c r="W3887" s="96">
        <v>0</v>
      </c>
      <c r="X3887" s="71">
        <f>CU3887</f>
        <v>0</v>
      </c>
      <c r="Y3887" s="71">
        <f>CY3887</f>
        <v>0</v>
      </c>
      <c r="Z3887" s="71">
        <f>DA3887+DC3887+DE3887</f>
        <v>0</v>
      </c>
      <c r="AA3887" s="71">
        <f>CW3887</f>
        <v>0</v>
      </c>
      <c r="AB3887" s="71"/>
      <c r="AC3887" s="71">
        <v>0</v>
      </c>
      <c r="AD3887" s="71">
        <f>W3887+X3887+Y3887+Z3887+AA3887+AB3887+AC3887</f>
        <v>0</v>
      </c>
      <c r="AE3887" s="72">
        <v>0</v>
      </c>
      <c r="AF3887" s="5"/>
      <c r="AG3887" s="6"/>
      <c r="AH3887" s="27"/>
      <c r="AI3887" s="44"/>
      <c r="AJ3887" s="26"/>
      <c r="AK3887" s="5"/>
      <c r="AL3887" s="278" t="s">
        <v>6949</v>
      </c>
      <c r="AM3887" s="76"/>
      <c r="AN3887" s="76"/>
      <c r="AO3887" s="76"/>
      <c r="AP3887" s="76"/>
      <c r="AQ3887" s="76"/>
      <c r="AR3887" s="76"/>
      <c r="AS3887" s="76"/>
      <c r="AT3887" s="76"/>
      <c r="AU3887" s="76"/>
      <c r="AV3887" s="76"/>
      <c r="AW3887" s="76"/>
      <c r="AX3887" s="76">
        <f>+AW3887*600000</f>
        <v>0</v>
      </c>
      <c r="AY3887" s="76"/>
      <c r="AZ3887" s="76">
        <f>+AY3887*70000</f>
        <v>0</v>
      </c>
      <c r="BA3887" s="76"/>
      <c r="BB3887" s="76"/>
      <c r="BC3887" s="76"/>
      <c r="BD3887" s="76">
        <f>+BC3887*30000</f>
        <v>0</v>
      </c>
      <c r="BE3887" s="76"/>
      <c r="BF3887" s="76"/>
      <c r="BG3887" s="76"/>
      <c r="BH3887" s="76"/>
      <c r="BI3887" s="76"/>
      <c r="BJ3887" s="76"/>
      <c r="BK3887" s="76"/>
      <c r="BL3887" s="76">
        <f>+BK3887*31500</f>
        <v>0</v>
      </c>
      <c r="BM3887" s="76"/>
      <c r="BN3887" s="76"/>
      <c r="BO3887" s="76"/>
      <c r="BP3887" s="76"/>
      <c r="BQ3887" s="76"/>
      <c r="BR3887" s="76"/>
      <c r="BS3887" s="76"/>
      <c r="BT3887" s="76"/>
      <c r="BU3887" s="76"/>
      <c r="BV3887" s="76"/>
      <c r="BW3887" s="76"/>
      <c r="BX3887" s="76"/>
      <c r="BY3887" s="76"/>
      <c r="BZ3887" s="76"/>
      <c r="CA3887" s="76"/>
      <c r="CB3887" s="76"/>
      <c r="CC3887" s="76"/>
      <c r="CD3887" s="76"/>
      <c r="CE3887" s="76"/>
      <c r="CF3887" s="76">
        <f>+CE3887*28000</f>
        <v>0</v>
      </c>
      <c r="CG3887" s="76"/>
      <c r="CH3887" s="76">
        <f>+CG3887*22500</f>
        <v>0</v>
      </c>
      <c r="CI3887" s="76"/>
      <c r="CJ3887" s="76">
        <f>+CI3887*26000</f>
        <v>0</v>
      </c>
      <c r="CK3887" s="76"/>
      <c r="CL3887" s="76"/>
      <c r="CM3887" s="76"/>
      <c r="CN3887" s="76">
        <f>+CM3887*22000</f>
        <v>0</v>
      </c>
      <c r="CO3887" s="76"/>
      <c r="CP3887" s="76">
        <f>+CO3887*46000</f>
        <v>0</v>
      </c>
      <c r="CQ3887" s="76"/>
      <c r="CR3887" s="76">
        <f>+CQ3887*49000</f>
        <v>0</v>
      </c>
      <c r="CS3887" s="76"/>
      <c r="CT3887" s="76"/>
      <c r="CU3887" s="56">
        <f>AN3887+AP3887+AR3887+AT3887+AV3887+AX3887+AZ3887+BB3887+BD3887+BF3887+BH3887+BJ3887+BL3887+BN3887+BP3887+BR3887+BT3887+BV3887+BX3887+BZ3887+CB3887+CD3887+CF3887+CH3887+CJ3887+CL3887+CN3887+CP3887+CR3887+CT3887</f>
        <v>0</v>
      </c>
      <c r="CV3887" s="76"/>
      <c r="CW3887" s="76">
        <f>+CV3887*1100</f>
        <v>0</v>
      </c>
      <c r="CX3887" s="76"/>
      <c r="CY3887" s="76">
        <f>+CX3887*106250</f>
        <v>0</v>
      </c>
      <c r="CZ3887" s="76"/>
      <c r="DA3887" s="76">
        <f>+CZ3887*34500</f>
        <v>0</v>
      </c>
      <c r="DB3887" s="76"/>
      <c r="DC3887" s="76">
        <f>+DB3887*25000</f>
        <v>0</v>
      </c>
      <c r="DD3887" s="219"/>
      <c r="DE3887" s="76"/>
      <c r="DF3887" s="166"/>
      <c r="DG3887" s="116"/>
      <c r="DH3887" s="117"/>
      <c r="DI3887" s="24"/>
      <c r="DJ3887" s="24"/>
      <c r="DK3887" s="24"/>
      <c r="DL3887" s="24"/>
      <c r="DM3887" s="24"/>
      <c r="DN3887" s="24"/>
      <c r="DO3887" s="24"/>
      <c r="DP3887" s="24"/>
      <c r="DQ3887" s="24"/>
      <c r="DR3887" s="24"/>
      <c r="DS3887" s="24"/>
      <c r="DT3887" s="24"/>
      <c r="DU3887" s="24"/>
    </row>
    <row r="3888" spans="1:125" s="8" customFormat="1" ht="144" x14ac:dyDescent="0.2">
      <c r="A3888" s="353">
        <v>41621</v>
      </c>
      <c r="B3888" s="352" t="s">
        <v>529</v>
      </c>
      <c r="C3888" s="354" t="s">
        <v>529</v>
      </c>
      <c r="D3888" s="354" t="s">
        <v>2859</v>
      </c>
      <c r="E3888" s="353" t="str">
        <f>VLOOKUP(B3888&amp;C3888,Divipola!$C$2:$F$1138,4,FALSE)</f>
        <v>11001</v>
      </c>
      <c r="F3888" s="87"/>
      <c r="G3888" s="87"/>
      <c r="H3888" s="87"/>
      <c r="I3888" s="87"/>
      <c r="J3888" s="87"/>
      <c r="K3888" s="87"/>
      <c r="L3888" s="87"/>
      <c r="M3888" s="87"/>
      <c r="N3888" s="87"/>
      <c r="O3888" s="87"/>
      <c r="P3888" s="87"/>
      <c r="Q3888" s="87"/>
      <c r="R3888" s="87"/>
      <c r="S3888" s="87"/>
      <c r="T3888" s="87"/>
      <c r="U3888" s="88"/>
      <c r="V3888" s="89">
        <v>1</v>
      </c>
      <c r="W3888" s="96">
        <v>0</v>
      </c>
      <c r="X3888" s="71">
        <f>CU3888</f>
        <v>0</v>
      </c>
      <c r="Y3888" s="71">
        <f>CY3888</f>
        <v>0</v>
      </c>
      <c r="Z3888" s="71">
        <f>DA3888+DC3888+DE3888</f>
        <v>0</v>
      </c>
      <c r="AA3888" s="71">
        <f>CW3888</f>
        <v>0</v>
      </c>
      <c r="AB3888" s="71"/>
      <c r="AC3888" s="71">
        <v>0</v>
      </c>
      <c r="AD3888" s="71">
        <f>W3888+X3888+Y3888+Z3888+AA3888+AB3888+AC3888</f>
        <v>0</v>
      </c>
      <c r="AE3888" s="72">
        <v>0</v>
      </c>
      <c r="AF3888" s="5"/>
      <c r="AG3888" s="6"/>
      <c r="AH3888" s="27"/>
      <c r="AI3888" s="44"/>
      <c r="AJ3888" s="26"/>
      <c r="AK3888" s="5"/>
      <c r="AL3888" s="278" t="s">
        <v>6950</v>
      </c>
      <c r="AM3888" s="76"/>
      <c r="AN3888" s="76"/>
      <c r="AO3888" s="76"/>
      <c r="AP3888" s="76"/>
      <c r="AQ3888" s="76"/>
      <c r="AR3888" s="76"/>
      <c r="AS3888" s="76"/>
      <c r="AT3888" s="76"/>
      <c r="AU3888" s="76"/>
      <c r="AV3888" s="76"/>
      <c r="AW3888" s="76"/>
      <c r="AX3888" s="76">
        <f>+AW3888*600000</f>
        <v>0</v>
      </c>
      <c r="AY3888" s="76"/>
      <c r="AZ3888" s="76">
        <f>+AY3888*70000</f>
        <v>0</v>
      </c>
      <c r="BA3888" s="76"/>
      <c r="BB3888" s="76"/>
      <c r="BC3888" s="76"/>
      <c r="BD3888" s="76">
        <f>+BC3888*30000</f>
        <v>0</v>
      </c>
      <c r="BE3888" s="76"/>
      <c r="BF3888" s="76"/>
      <c r="BG3888" s="76"/>
      <c r="BH3888" s="76"/>
      <c r="BI3888" s="76"/>
      <c r="BJ3888" s="76"/>
      <c r="BK3888" s="76"/>
      <c r="BL3888" s="76">
        <f>+BK3888*31500</f>
        <v>0</v>
      </c>
      <c r="BM3888" s="76"/>
      <c r="BN3888" s="76"/>
      <c r="BO3888" s="76"/>
      <c r="BP3888" s="76"/>
      <c r="BQ3888" s="76"/>
      <c r="BR3888" s="76"/>
      <c r="BS3888" s="76"/>
      <c r="BT3888" s="76"/>
      <c r="BU3888" s="76"/>
      <c r="BV3888" s="76"/>
      <c r="BW3888" s="76"/>
      <c r="BX3888" s="76"/>
      <c r="BY3888" s="76"/>
      <c r="BZ3888" s="76"/>
      <c r="CA3888" s="76"/>
      <c r="CB3888" s="76"/>
      <c r="CC3888" s="76"/>
      <c r="CD3888" s="76"/>
      <c r="CE3888" s="76"/>
      <c r="CF3888" s="76">
        <f>+CE3888*28000</f>
        <v>0</v>
      </c>
      <c r="CG3888" s="76"/>
      <c r="CH3888" s="76">
        <f>+CG3888*22500</f>
        <v>0</v>
      </c>
      <c r="CI3888" s="76"/>
      <c r="CJ3888" s="76">
        <f>+CI3888*26000</f>
        <v>0</v>
      </c>
      <c r="CK3888" s="76"/>
      <c r="CL3888" s="76"/>
      <c r="CM3888" s="76"/>
      <c r="CN3888" s="76">
        <f>+CM3888*22000</f>
        <v>0</v>
      </c>
      <c r="CO3888" s="76"/>
      <c r="CP3888" s="76">
        <f>+CO3888*46000</f>
        <v>0</v>
      </c>
      <c r="CQ3888" s="76"/>
      <c r="CR3888" s="76">
        <f>+CQ3888*49000</f>
        <v>0</v>
      </c>
      <c r="CS3888" s="76"/>
      <c r="CT3888" s="76"/>
      <c r="CU3888" s="56">
        <f>AN3888+AP3888+AR3888+AT3888+AV3888+AX3888+AZ3888+BB3888+BD3888+BF3888+BH3888+BJ3888+BL3888+BN3888+BP3888+BR3888+BT3888+BV3888+BX3888+BZ3888+CB3888+CD3888+CF3888+CH3888+CJ3888+CL3888+CN3888+CP3888+CR3888+CT3888</f>
        <v>0</v>
      </c>
      <c r="CV3888" s="76"/>
      <c r="CW3888" s="76">
        <f>+CV3888*1100</f>
        <v>0</v>
      </c>
      <c r="CX3888" s="76"/>
      <c r="CY3888" s="76">
        <f>+CX3888*106250</f>
        <v>0</v>
      </c>
      <c r="CZ3888" s="76"/>
      <c r="DA3888" s="76">
        <f>+CZ3888*34500</f>
        <v>0</v>
      </c>
      <c r="DB3888" s="76"/>
      <c r="DC3888" s="76">
        <f>+DB3888*25000</f>
        <v>0</v>
      </c>
      <c r="DD3888" s="219"/>
      <c r="DE3888" s="76"/>
      <c r="DF3888" s="166"/>
      <c r="DG3888" s="116"/>
      <c r="DH3888" s="117"/>
      <c r="DI3888" s="24"/>
      <c r="DJ3888" s="24"/>
      <c r="DK3888" s="24"/>
      <c r="DL3888" s="24"/>
      <c r="DM3888" s="24"/>
      <c r="DN3888" s="24"/>
      <c r="DO3888" s="24"/>
      <c r="DP3888" s="24"/>
      <c r="DQ3888" s="24"/>
      <c r="DR3888" s="24"/>
      <c r="DS3888" s="24"/>
      <c r="DT3888" s="24"/>
      <c r="DU3888" s="24"/>
    </row>
    <row r="3889" spans="1:125" s="8" customFormat="1" ht="36" x14ac:dyDescent="0.2">
      <c r="A3889" s="77">
        <v>41621</v>
      </c>
      <c r="B3889" s="78" t="s">
        <v>2718</v>
      </c>
      <c r="C3889" s="75" t="s">
        <v>993</v>
      </c>
      <c r="D3889" s="75" t="s">
        <v>2859</v>
      </c>
      <c r="E3889" s="353" t="str">
        <f>VLOOKUP(B3889&amp;C3889,Divipola!$C$2:$F$1138,4,FALSE)</f>
        <v>23675</v>
      </c>
      <c r="F3889" s="87"/>
      <c r="G3889" s="87"/>
      <c r="H3889" s="87"/>
      <c r="I3889" s="87">
        <v>7</v>
      </c>
      <c r="J3889" s="87">
        <v>2</v>
      </c>
      <c r="K3889" s="87">
        <v>2</v>
      </c>
      <c r="L3889" s="87"/>
      <c r="M3889" s="87"/>
      <c r="N3889" s="87"/>
      <c r="O3889" s="87"/>
      <c r="P3889" s="87"/>
      <c r="Q3889" s="87"/>
      <c r="R3889" s="87"/>
      <c r="S3889" s="87"/>
      <c r="T3889" s="87"/>
      <c r="U3889" s="88"/>
      <c r="V3889" s="89"/>
      <c r="W3889" s="96">
        <v>0</v>
      </c>
      <c r="X3889" s="71">
        <f>CU3889</f>
        <v>0</v>
      </c>
      <c r="Y3889" s="71">
        <f>CY3889</f>
        <v>0</v>
      </c>
      <c r="Z3889" s="71">
        <f>DA3889+DC3889+DE3889</f>
        <v>0</v>
      </c>
      <c r="AA3889" s="71">
        <f>CW3889</f>
        <v>0</v>
      </c>
      <c r="AB3889" s="71"/>
      <c r="AC3889" s="71">
        <v>0</v>
      </c>
      <c r="AD3889" s="71">
        <f>W3889+X3889+Y3889+Z3889+AA3889+AB3889+AC3889</f>
        <v>0</v>
      </c>
      <c r="AE3889" s="72">
        <v>0</v>
      </c>
      <c r="AF3889" s="5"/>
      <c r="AG3889" s="6"/>
      <c r="AH3889" s="27"/>
      <c r="AI3889" s="44"/>
      <c r="AJ3889" s="26"/>
      <c r="AK3889" s="5"/>
      <c r="AL3889" s="278" t="s">
        <v>6951</v>
      </c>
      <c r="AM3889" s="76"/>
      <c r="AN3889" s="76"/>
      <c r="AO3889" s="76"/>
      <c r="AP3889" s="76"/>
      <c r="AQ3889" s="76"/>
      <c r="AR3889" s="76"/>
      <c r="AS3889" s="76"/>
      <c r="AT3889" s="76"/>
      <c r="AU3889" s="76"/>
      <c r="AV3889" s="76"/>
      <c r="AW3889" s="76"/>
      <c r="AX3889" s="76">
        <f>+AW3889*600000</f>
        <v>0</v>
      </c>
      <c r="AY3889" s="76"/>
      <c r="AZ3889" s="76">
        <f>+AY3889*70000</f>
        <v>0</v>
      </c>
      <c r="BA3889" s="76"/>
      <c r="BB3889" s="76"/>
      <c r="BC3889" s="76"/>
      <c r="BD3889" s="76">
        <f>+BC3889*30000</f>
        <v>0</v>
      </c>
      <c r="BE3889" s="76"/>
      <c r="BF3889" s="76"/>
      <c r="BG3889" s="76"/>
      <c r="BH3889" s="76"/>
      <c r="BI3889" s="76"/>
      <c r="BJ3889" s="76"/>
      <c r="BK3889" s="76"/>
      <c r="BL3889" s="76">
        <f>+BK3889*31500</f>
        <v>0</v>
      </c>
      <c r="BM3889" s="76"/>
      <c r="BN3889" s="76"/>
      <c r="BO3889" s="76"/>
      <c r="BP3889" s="76"/>
      <c r="BQ3889" s="76"/>
      <c r="BR3889" s="76"/>
      <c r="BS3889" s="76"/>
      <c r="BT3889" s="76"/>
      <c r="BU3889" s="76"/>
      <c r="BV3889" s="76"/>
      <c r="BW3889" s="76"/>
      <c r="BX3889" s="76"/>
      <c r="BY3889" s="76"/>
      <c r="BZ3889" s="76"/>
      <c r="CA3889" s="76"/>
      <c r="CB3889" s="76"/>
      <c r="CC3889" s="76"/>
      <c r="CD3889" s="76"/>
      <c r="CE3889" s="76"/>
      <c r="CF3889" s="76">
        <f>+CE3889*28000</f>
        <v>0</v>
      </c>
      <c r="CG3889" s="76"/>
      <c r="CH3889" s="76">
        <f>+CG3889*22500</f>
        <v>0</v>
      </c>
      <c r="CI3889" s="76"/>
      <c r="CJ3889" s="76">
        <f>+CI3889*26000</f>
        <v>0</v>
      </c>
      <c r="CK3889" s="76"/>
      <c r="CL3889" s="76"/>
      <c r="CM3889" s="76"/>
      <c r="CN3889" s="76">
        <f>+CM3889*22000</f>
        <v>0</v>
      </c>
      <c r="CO3889" s="76"/>
      <c r="CP3889" s="76">
        <f>+CO3889*46000</f>
        <v>0</v>
      </c>
      <c r="CQ3889" s="76"/>
      <c r="CR3889" s="76">
        <f>+CQ3889*49000</f>
        <v>0</v>
      </c>
      <c r="CS3889" s="76"/>
      <c r="CT3889" s="76"/>
      <c r="CU3889" s="56">
        <f>AN3889+AP3889+AR3889+AT3889+AV3889+AX3889+AZ3889+BB3889+BD3889+BF3889+BH3889+BJ3889+BL3889+BN3889+BP3889+BR3889+BT3889+BV3889+BX3889+BZ3889+CB3889+CD3889+CF3889+CH3889+CJ3889+CL3889+CN3889+CP3889+CR3889+CT3889</f>
        <v>0</v>
      </c>
      <c r="CV3889" s="76"/>
      <c r="CW3889" s="76">
        <f>+CV3889*1100</f>
        <v>0</v>
      </c>
      <c r="CX3889" s="76"/>
      <c r="CY3889" s="76">
        <f>+CX3889*106250</f>
        <v>0</v>
      </c>
      <c r="CZ3889" s="76"/>
      <c r="DA3889" s="76">
        <f>+CZ3889*34500</f>
        <v>0</v>
      </c>
      <c r="DB3889" s="76"/>
      <c r="DC3889" s="76">
        <f>+DB3889*25000</f>
        <v>0</v>
      </c>
      <c r="DD3889" s="219"/>
      <c r="DE3889" s="76"/>
      <c r="DF3889" s="166"/>
      <c r="DG3889" s="116"/>
      <c r="DH3889" s="117"/>
      <c r="DI3889" s="24"/>
      <c r="DJ3889" s="24"/>
      <c r="DK3889" s="24"/>
      <c r="DL3889" s="24"/>
      <c r="DM3889" s="24"/>
      <c r="DN3889" s="24"/>
      <c r="DO3889" s="24"/>
      <c r="DP3889" s="24"/>
      <c r="DQ3889" s="24"/>
      <c r="DR3889" s="24"/>
      <c r="DS3889" s="24"/>
      <c r="DT3889" s="24"/>
      <c r="DU3889" s="24"/>
    </row>
    <row r="3890" spans="1:125" s="8" customFormat="1" ht="108" x14ac:dyDescent="0.2">
      <c r="A3890" s="77">
        <v>41621</v>
      </c>
      <c r="B3890" s="78" t="s">
        <v>2854</v>
      </c>
      <c r="C3890" s="75" t="s">
        <v>2686</v>
      </c>
      <c r="D3890" s="75" t="s">
        <v>3205</v>
      </c>
      <c r="E3890" s="353" t="str">
        <f>VLOOKUP(B3890&amp;C3890,Divipola!$C$2:$F$1138,4,FALSE)</f>
        <v>19212</v>
      </c>
      <c r="F3890" s="272"/>
      <c r="G3890" s="272"/>
      <c r="H3890" s="272"/>
      <c r="I3890" s="272">
        <v>150</v>
      </c>
      <c r="J3890" s="272">
        <v>30</v>
      </c>
      <c r="K3890" s="272"/>
      <c r="L3890" s="272">
        <v>30</v>
      </c>
      <c r="M3890" s="272"/>
      <c r="N3890" s="272">
        <v>1</v>
      </c>
      <c r="O3890" s="272"/>
      <c r="P3890" s="272"/>
      <c r="Q3890" s="272"/>
      <c r="R3890" s="272"/>
      <c r="S3890" s="272"/>
      <c r="T3890" s="272"/>
      <c r="U3890" s="273"/>
      <c r="V3890" s="86"/>
      <c r="W3890" s="96">
        <v>0</v>
      </c>
      <c r="X3890" s="71">
        <f>CU3890</f>
        <v>0</v>
      </c>
      <c r="Y3890" s="71">
        <f>CY3890</f>
        <v>0</v>
      </c>
      <c r="Z3890" s="71">
        <f>DA3890+DC3890+DE3890</f>
        <v>0</v>
      </c>
      <c r="AA3890" s="71">
        <f>CW3890</f>
        <v>0</v>
      </c>
      <c r="AB3890" s="71"/>
      <c r="AC3890" s="71">
        <v>0</v>
      </c>
      <c r="AD3890" s="71">
        <f>W3890+X3890+Y3890+Z3890+AA3890+AB3890+AC3890</f>
        <v>0</v>
      </c>
      <c r="AE3890" s="72">
        <v>0</v>
      </c>
      <c r="AF3890" s="5"/>
      <c r="AG3890" s="6"/>
      <c r="AH3890" s="27"/>
      <c r="AI3890" s="44"/>
      <c r="AJ3890" s="26"/>
      <c r="AK3890" s="5"/>
      <c r="AL3890" s="268" t="s">
        <v>6952</v>
      </c>
      <c r="AM3890" s="76"/>
      <c r="AN3890" s="76"/>
      <c r="AO3890" s="76"/>
      <c r="AP3890" s="76"/>
      <c r="AQ3890" s="76"/>
      <c r="AR3890" s="76"/>
      <c r="AS3890" s="76"/>
      <c r="AT3890" s="76"/>
      <c r="AU3890" s="76"/>
      <c r="AV3890" s="76"/>
      <c r="AW3890" s="76"/>
      <c r="AX3890" s="76">
        <f>+AW3890*600000</f>
        <v>0</v>
      </c>
      <c r="AY3890" s="76"/>
      <c r="AZ3890" s="76">
        <f>+AY3890*70000</f>
        <v>0</v>
      </c>
      <c r="BA3890" s="76"/>
      <c r="BB3890" s="76"/>
      <c r="BC3890" s="76"/>
      <c r="BD3890" s="76">
        <f>+BC3890*30000</f>
        <v>0</v>
      </c>
      <c r="BE3890" s="76"/>
      <c r="BF3890" s="76"/>
      <c r="BG3890" s="76"/>
      <c r="BH3890" s="76"/>
      <c r="BI3890" s="76"/>
      <c r="BJ3890" s="76"/>
      <c r="BK3890" s="76"/>
      <c r="BL3890" s="76">
        <f>+BK3890*31500</f>
        <v>0</v>
      </c>
      <c r="BM3890" s="76"/>
      <c r="BN3890" s="76"/>
      <c r="BO3890" s="76"/>
      <c r="BP3890" s="76"/>
      <c r="BQ3890" s="76"/>
      <c r="BR3890" s="76"/>
      <c r="BS3890" s="76"/>
      <c r="BT3890" s="76"/>
      <c r="BU3890" s="76"/>
      <c r="BV3890" s="76"/>
      <c r="BW3890" s="76"/>
      <c r="BX3890" s="76"/>
      <c r="BY3890" s="76"/>
      <c r="BZ3890" s="76"/>
      <c r="CA3890" s="76"/>
      <c r="CB3890" s="76"/>
      <c r="CC3890" s="76"/>
      <c r="CD3890" s="76"/>
      <c r="CE3890" s="76"/>
      <c r="CF3890" s="76">
        <f>+CE3890*28000</f>
        <v>0</v>
      </c>
      <c r="CG3890" s="76"/>
      <c r="CH3890" s="76">
        <f>+CG3890*22500</f>
        <v>0</v>
      </c>
      <c r="CI3890" s="76"/>
      <c r="CJ3890" s="76">
        <f>+CI3890*26000</f>
        <v>0</v>
      </c>
      <c r="CK3890" s="76"/>
      <c r="CL3890" s="76"/>
      <c r="CM3890" s="76"/>
      <c r="CN3890" s="76">
        <f>+CM3890*22000</f>
        <v>0</v>
      </c>
      <c r="CO3890" s="76"/>
      <c r="CP3890" s="76">
        <f>+CO3890*46000</f>
        <v>0</v>
      </c>
      <c r="CQ3890" s="76"/>
      <c r="CR3890" s="76">
        <f>+CQ3890*49000</f>
        <v>0</v>
      </c>
      <c r="CS3890" s="76"/>
      <c r="CT3890" s="76"/>
      <c r="CU3890" s="56">
        <f>AN3890+AP3890+AR3890+AT3890+AV3890+AX3890+AZ3890+BB3890+BD3890+BF3890+BH3890+BJ3890+BL3890+BN3890+BP3890+BR3890+BT3890+BV3890+BX3890+BZ3890+CB3890+CD3890+CF3890+CH3890+CJ3890+CL3890+CN3890+CP3890+CR3890+CT3890</f>
        <v>0</v>
      </c>
      <c r="CV3890" s="76"/>
      <c r="CW3890" s="76">
        <f>+CV3890*1100</f>
        <v>0</v>
      </c>
      <c r="CX3890" s="76"/>
      <c r="CY3890" s="76">
        <f>+CX3890*106250</f>
        <v>0</v>
      </c>
      <c r="CZ3890" s="76"/>
      <c r="DA3890" s="76">
        <f>+CZ3890*34500</f>
        <v>0</v>
      </c>
      <c r="DB3890" s="76"/>
      <c r="DC3890" s="76">
        <f>+DB3890*25000</f>
        <v>0</v>
      </c>
      <c r="DD3890" s="219"/>
      <c r="DE3890" s="76"/>
      <c r="DF3890" s="166"/>
      <c r="DG3890" s="116"/>
      <c r="DH3890" s="117"/>
      <c r="DI3890" s="24"/>
      <c r="DJ3890" s="24"/>
      <c r="DK3890" s="24"/>
      <c r="DL3890" s="24"/>
      <c r="DM3890" s="24"/>
      <c r="DN3890" s="24"/>
      <c r="DO3890" s="24"/>
      <c r="DP3890" s="24"/>
      <c r="DQ3890" s="24"/>
      <c r="DR3890" s="24"/>
      <c r="DS3890" s="24"/>
      <c r="DT3890" s="24"/>
      <c r="DU3890" s="24"/>
    </row>
    <row r="3891" spans="1:125" s="8" customFormat="1" ht="288" x14ac:dyDescent="0.2">
      <c r="A3891" s="77">
        <v>41621</v>
      </c>
      <c r="B3891" s="352" t="s">
        <v>2700</v>
      </c>
      <c r="C3891" s="354" t="s">
        <v>1564</v>
      </c>
      <c r="D3891" s="354" t="s">
        <v>2846</v>
      </c>
      <c r="E3891" s="353" t="str">
        <f>VLOOKUP(B3891&amp;C3891,Divipola!$C$2:$F$1138,4,FALSE)</f>
        <v>15047</v>
      </c>
      <c r="F3891" s="272"/>
      <c r="G3891" s="272"/>
      <c r="H3891" s="272"/>
      <c r="I3891" s="272">
        <v>3</v>
      </c>
      <c r="J3891" s="272">
        <v>1</v>
      </c>
      <c r="K3891" s="272"/>
      <c r="L3891" s="272">
        <v>1</v>
      </c>
      <c r="M3891" s="272"/>
      <c r="N3891" s="272"/>
      <c r="O3891" s="272"/>
      <c r="P3891" s="272"/>
      <c r="Q3891" s="272"/>
      <c r="R3891" s="272"/>
      <c r="S3891" s="272"/>
      <c r="T3891" s="272"/>
      <c r="U3891" s="273">
        <v>2</v>
      </c>
      <c r="V3891" s="86"/>
      <c r="W3891" s="96">
        <v>0</v>
      </c>
      <c r="X3891" s="71">
        <f>CU3891</f>
        <v>0</v>
      </c>
      <c r="Y3891" s="71">
        <f>CY3891</f>
        <v>0</v>
      </c>
      <c r="Z3891" s="71">
        <f>DA3891+DC3891+DE3891</f>
        <v>0</v>
      </c>
      <c r="AA3891" s="71">
        <f>CW3891</f>
        <v>0</v>
      </c>
      <c r="AB3891" s="71"/>
      <c r="AC3891" s="71">
        <v>0</v>
      </c>
      <c r="AD3891" s="71">
        <f>W3891+X3891+Y3891+Z3891+AA3891+AB3891+AC3891</f>
        <v>0</v>
      </c>
      <c r="AE3891" s="72">
        <v>0</v>
      </c>
      <c r="AF3891" s="5"/>
      <c r="AG3891" s="6"/>
      <c r="AH3891" s="27"/>
      <c r="AI3891" s="44"/>
      <c r="AJ3891" s="26"/>
      <c r="AK3891" s="5"/>
      <c r="AL3891" s="82" t="s">
        <v>6960</v>
      </c>
      <c r="AM3891" s="76"/>
      <c r="AN3891" s="76"/>
      <c r="AO3891" s="76"/>
      <c r="AP3891" s="76"/>
      <c r="AQ3891" s="76"/>
      <c r="AR3891" s="76"/>
      <c r="AS3891" s="76"/>
      <c r="AT3891" s="76"/>
      <c r="AU3891" s="76"/>
      <c r="AV3891" s="76"/>
      <c r="AW3891" s="76"/>
      <c r="AX3891" s="76">
        <f>+AW3891*600000</f>
        <v>0</v>
      </c>
      <c r="AY3891" s="76"/>
      <c r="AZ3891" s="76">
        <f>+AY3891*70000</f>
        <v>0</v>
      </c>
      <c r="BA3891" s="76"/>
      <c r="BB3891" s="76"/>
      <c r="BC3891" s="76"/>
      <c r="BD3891" s="76">
        <f>+BC3891*30000</f>
        <v>0</v>
      </c>
      <c r="BE3891" s="76"/>
      <c r="BF3891" s="76"/>
      <c r="BG3891" s="76"/>
      <c r="BH3891" s="76"/>
      <c r="BI3891" s="76"/>
      <c r="BJ3891" s="76"/>
      <c r="BK3891" s="76"/>
      <c r="BL3891" s="76">
        <f>+BK3891*31500</f>
        <v>0</v>
      </c>
      <c r="BM3891" s="76"/>
      <c r="BN3891" s="76"/>
      <c r="BO3891" s="76"/>
      <c r="BP3891" s="76"/>
      <c r="BQ3891" s="76"/>
      <c r="BR3891" s="76"/>
      <c r="BS3891" s="76"/>
      <c r="BT3891" s="76"/>
      <c r="BU3891" s="76"/>
      <c r="BV3891" s="76"/>
      <c r="BW3891" s="76"/>
      <c r="BX3891" s="76"/>
      <c r="BY3891" s="76"/>
      <c r="BZ3891" s="76"/>
      <c r="CA3891" s="76"/>
      <c r="CB3891" s="76"/>
      <c r="CC3891" s="76"/>
      <c r="CD3891" s="76"/>
      <c r="CE3891" s="76"/>
      <c r="CF3891" s="76">
        <f>+CE3891*28000</f>
        <v>0</v>
      </c>
      <c r="CG3891" s="76"/>
      <c r="CH3891" s="76">
        <f>+CG3891*22500</f>
        <v>0</v>
      </c>
      <c r="CI3891" s="76"/>
      <c r="CJ3891" s="76">
        <f>+CI3891*26000</f>
        <v>0</v>
      </c>
      <c r="CK3891" s="76"/>
      <c r="CL3891" s="76"/>
      <c r="CM3891" s="76"/>
      <c r="CN3891" s="76">
        <f>+CM3891*22000</f>
        <v>0</v>
      </c>
      <c r="CO3891" s="76"/>
      <c r="CP3891" s="76">
        <f>+CO3891*46000</f>
        <v>0</v>
      </c>
      <c r="CQ3891" s="76"/>
      <c r="CR3891" s="76">
        <f>+CQ3891*49000</f>
        <v>0</v>
      </c>
      <c r="CS3891" s="76"/>
      <c r="CT3891" s="76"/>
      <c r="CU3891" s="56">
        <f>AN3891+AP3891+AR3891+AT3891+AV3891+AX3891+AZ3891+BB3891+BD3891+BF3891+BH3891+BJ3891+BL3891+BN3891+BP3891+BR3891+BT3891+BV3891+BX3891+BZ3891+CB3891+CD3891+CF3891+CH3891+CJ3891+CL3891+CN3891+CP3891+CR3891+CT3891</f>
        <v>0</v>
      </c>
      <c r="CV3891" s="76"/>
      <c r="CW3891" s="76">
        <f>+CV3891*1100</f>
        <v>0</v>
      </c>
      <c r="CX3891" s="76"/>
      <c r="CY3891" s="76">
        <f>+CX3891*106250</f>
        <v>0</v>
      </c>
      <c r="CZ3891" s="76"/>
      <c r="DA3891" s="76">
        <f>+CZ3891*34500</f>
        <v>0</v>
      </c>
      <c r="DB3891" s="76"/>
      <c r="DC3891" s="76">
        <f>+DB3891*25000</f>
        <v>0</v>
      </c>
      <c r="DD3891" s="219"/>
      <c r="DE3891" s="76"/>
      <c r="DF3891" s="166"/>
      <c r="DG3891" s="116"/>
      <c r="DH3891" s="117"/>
      <c r="DI3891" s="24"/>
      <c r="DJ3891" s="24"/>
      <c r="DK3891" s="24"/>
      <c r="DL3891" s="24"/>
      <c r="DM3891" s="24"/>
      <c r="DN3891" s="24"/>
      <c r="DO3891" s="24"/>
      <c r="DP3891" s="24"/>
      <c r="DQ3891" s="24"/>
      <c r="DR3891" s="24"/>
      <c r="DS3891" s="24"/>
      <c r="DT3891" s="24"/>
      <c r="DU3891" s="24"/>
    </row>
    <row r="3892" spans="1:125" s="8" customFormat="1" ht="48" x14ac:dyDescent="0.2">
      <c r="A3892" s="353">
        <v>41621</v>
      </c>
      <c r="B3892" s="352" t="s">
        <v>2774</v>
      </c>
      <c r="C3892" s="354" t="s">
        <v>2073</v>
      </c>
      <c r="D3892" s="354" t="s">
        <v>2882</v>
      </c>
      <c r="E3892" s="353" t="str">
        <f>VLOOKUP(B3892&amp;C3892,Divipola!$C$2:$F$1138,4,FALSE)</f>
        <v>66383</v>
      </c>
      <c r="F3892" s="87"/>
      <c r="G3892" s="87"/>
      <c r="H3892" s="87"/>
      <c r="I3892" s="87">
        <v>25</v>
      </c>
      <c r="J3892" s="87">
        <v>5</v>
      </c>
      <c r="K3892" s="87"/>
      <c r="L3892" s="87">
        <v>5</v>
      </c>
      <c r="M3892" s="87"/>
      <c r="N3892" s="87"/>
      <c r="O3892" s="87"/>
      <c r="P3892" s="87"/>
      <c r="Q3892" s="87"/>
      <c r="R3892" s="87"/>
      <c r="S3892" s="87">
        <v>1</v>
      </c>
      <c r="T3892" s="87"/>
      <c r="U3892" s="88"/>
      <c r="V3892" s="89"/>
      <c r="W3892" s="96">
        <v>0</v>
      </c>
      <c r="X3892" s="71">
        <f>CU3892</f>
        <v>0</v>
      </c>
      <c r="Y3892" s="71">
        <f>CY3892</f>
        <v>0</v>
      </c>
      <c r="Z3892" s="71">
        <f>DA3892+DC3892+DE3892</f>
        <v>0</v>
      </c>
      <c r="AA3892" s="71">
        <f>CW3892</f>
        <v>0</v>
      </c>
      <c r="AB3892" s="71"/>
      <c r="AC3892" s="71">
        <v>0</v>
      </c>
      <c r="AD3892" s="71">
        <f>W3892+X3892+Y3892+Z3892+AA3892+AB3892+AC3892</f>
        <v>0</v>
      </c>
      <c r="AE3892" s="72">
        <v>0</v>
      </c>
      <c r="AF3892" s="5"/>
      <c r="AG3892" s="6"/>
      <c r="AH3892" s="27"/>
      <c r="AI3892" s="44"/>
      <c r="AJ3892" s="26"/>
      <c r="AK3892" s="5"/>
      <c r="AL3892" s="82" t="s">
        <v>6956</v>
      </c>
      <c r="AM3892" s="76"/>
      <c r="AN3892" s="76"/>
      <c r="AO3892" s="76"/>
      <c r="AP3892" s="76"/>
      <c r="AQ3892" s="76"/>
      <c r="AR3892" s="76"/>
      <c r="AS3892" s="76"/>
      <c r="AT3892" s="76"/>
      <c r="AU3892" s="76"/>
      <c r="AV3892" s="76"/>
      <c r="AW3892" s="76"/>
      <c r="AX3892" s="76">
        <f>+AW3892*600000</f>
        <v>0</v>
      </c>
      <c r="AY3892" s="76"/>
      <c r="AZ3892" s="76">
        <f>+AY3892*70000</f>
        <v>0</v>
      </c>
      <c r="BA3892" s="76"/>
      <c r="BB3892" s="76"/>
      <c r="BC3892" s="76"/>
      <c r="BD3892" s="76">
        <f>+BC3892*30000</f>
        <v>0</v>
      </c>
      <c r="BE3892" s="76"/>
      <c r="BF3892" s="76"/>
      <c r="BG3892" s="76"/>
      <c r="BH3892" s="76"/>
      <c r="BI3892" s="76"/>
      <c r="BJ3892" s="76"/>
      <c r="BK3892" s="76"/>
      <c r="BL3892" s="76">
        <f>+BK3892*31500</f>
        <v>0</v>
      </c>
      <c r="BM3892" s="76"/>
      <c r="BN3892" s="76"/>
      <c r="BO3892" s="76"/>
      <c r="BP3892" s="76"/>
      <c r="BQ3892" s="76"/>
      <c r="BR3892" s="76"/>
      <c r="BS3892" s="76"/>
      <c r="BT3892" s="76"/>
      <c r="BU3892" s="76"/>
      <c r="BV3892" s="76"/>
      <c r="BW3892" s="76"/>
      <c r="BX3892" s="76"/>
      <c r="BY3892" s="76"/>
      <c r="BZ3892" s="76"/>
      <c r="CA3892" s="76"/>
      <c r="CB3892" s="76"/>
      <c r="CC3892" s="76"/>
      <c r="CD3892" s="76"/>
      <c r="CE3892" s="76"/>
      <c r="CF3892" s="76">
        <f>+CE3892*28000</f>
        <v>0</v>
      </c>
      <c r="CG3892" s="76"/>
      <c r="CH3892" s="76">
        <f>+CG3892*22500</f>
        <v>0</v>
      </c>
      <c r="CI3892" s="76"/>
      <c r="CJ3892" s="76">
        <f>+CI3892*26000</f>
        <v>0</v>
      </c>
      <c r="CK3892" s="76"/>
      <c r="CL3892" s="76"/>
      <c r="CM3892" s="76"/>
      <c r="CN3892" s="76">
        <f>+CM3892*22000</f>
        <v>0</v>
      </c>
      <c r="CO3892" s="76"/>
      <c r="CP3892" s="76">
        <f>+CO3892*46000</f>
        <v>0</v>
      </c>
      <c r="CQ3892" s="76"/>
      <c r="CR3892" s="76">
        <f>+CQ3892*49000</f>
        <v>0</v>
      </c>
      <c r="CS3892" s="76"/>
      <c r="CT3892" s="76"/>
      <c r="CU3892" s="56">
        <f>AN3892+AP3892+AR3892+AT3892+AV3892+AX3892+AZ3892+BB3892+BD3892+BF3892+BH3892+BJ3892+BL3892+BN3892+BP3892+BR3892+BT3892+BV3892+BX3892+BZ3892+CB3892+CD3892+CF3892+CH3892+CJ3892+CL3892+CN3892+CP3892+CR3892+CT3892</f>
        <v>0</v>
      </c>
      <c r="CV3892" s="76"/>
      <c r="CW3892" s="76">
        <f>+CV3892*1100</f>
        <v>0</v>
      </c>
      <c r="CX3892" s="76"/>
      <c r="CY3892" s="76">
        <f>+CX3892*106250</f>
        <v>0</v>
      </c>
      <c r="CZ3892" s="76"/>
      <c r="DA3892" s="76">
        <f>+CZ3892*34500</f>
        <v>0</v>
      </c>
      <c r="DB3892" s="76"/>
      <c r="DC3892" s="76">
        <f>+DB3892*25000</f>
        <v>0</v>
      </c>
      <c r="DD3892" s="219"/>
      <c r="DE3892" s="76"/>
      <c r="DF3892" s="166"/>
      <c r="DG3892" s="116"/>
      <c r="DH3892" s="117"/>
      <c r="DI3892" s="24"/>
      <c r="DJ3892" s="24"/>
      <c r="DK3892" s="24"/>
      <c r="DL3892" s="24"/>
      <c r="DM3892" s="24"/>
      <c r="DN3892" s="24"/>
      <c r="DO3892" s="24"/>
      <c r="DP3892" s="24"/>
      <c r="DQ3892" s="24"/>
      <c r="DR3892" s="24"/>
      <c r="DS3892" s="24"/>
      <c r="DT3892" s="24"/>
      <c r="DU3892" s="24"/>
    </row>
    <row r="3893" spans="1:125" s="8" customFormat="1" ht="48" x14ac:dyDescent="0.2">
      <c r="A3893" s="77">
        <v>41622</v>
      </c>
      <c r="B3893" s="78" t="s">
        <v>2774</v>
      </c>
      <c r="C3893" s="75" t="s">
        <v>1347</v>
      </c>
      <c r="D3893" s="75" t="s">
        <v>3017</v>
      </c>
      <c r="E3893" s="353" t="str">
        <f>VLOOKUP(B3893&amp;C3893,Divipola!$C$2:$F$1138,4,FALSE)</f>
        <v>66001</v>
      </c>
      <c r="F3893" s="87"/>
      <c r="G3893" s="87"/>
      <c r="H3893" s="87"/>
      <c r="I3893" s="87">
        <v>15</v>
      </c>
      <c r="J3893" s="87">
        <v>3</v>
      </c>
      <c r="K3893" s="87">
        <v>1</v>
      </c>
      <c r="L3893" s="87"/>
      <c r="M3893" s="87"/>
      <c r="N3893" s="87"/>
      <c r="O3893" s="87"/>
      <c r="P3893" s="87"/>
      <c r="Q3893" s="87"/>
      <c r="R3893" s="87"/>
      <c r="S3893" s="87"/>
      <c r="T3893" s="87"/>
      <c r="U3893" s="88"/>
      <c r="V3893" s="89"/>
      <c r="W3893" s="96">
        <v>0</v>
      </c>
      <c r="X3893" s="71">
        <f>CU3893</f>
        <v>0</v>
      </c>
      <c r="Y3893" s="71">
        <f>CY3893</f>
        <v>0</v>
      </c>
      <c r="Z3893" s="71">
        <f>DA3893+DC3893+DE3893</f>
        <v>0</v>
      </c>
      <c r="AA3893" s="71">
        <f>CW3893</f>
        <v>0</v>
      </c>
      <c r="AB3893" s="71"/>
      <c r="AC3893" s="71">
        <v>0</v>
      </c>
      <c r="AD3893" s="71">
        <f>W3893+X3893+Y3893+Z3893+AA3893+AB3893+AC3893</f>
        <v>0</v>
      </c>
      <c r="AE3893" s="72">
        <v>0</v>
      </c>
      <c r="AF3893" s="5"/>
      <c r="AG3893" s="6"/>
      <c r="AH3893" s="27"/>
      <c r="AI3893" s="44"/>
      <c r="AJ3893" s="26"/>
      <c r="AK3893" s="5"/>
      <c r="AL3893" s="268" t="s">
        <v>6953</v>
      </c>
      <c r="AM3893" s="76"/>
      <c r="AN3893" s="76"/>
      <c r="AO3893" s="76"/>
      <c r="AP3893" s="76"/>
      <c r="AQ3893" s="76"/>
      <c r="AR3893" s="76"/>
      <c r="AS3893" s="76"/>
      <c r="AT3893" s="76"/>
      <c r="AU3893" s="76"/>
      <c r="AV3893" s="76"/>
      <c r="AW3893" s="76"/>
      <c r="AX3893" s="76">
        <f>+AW3893*600000</f>
        <v>0</v>
      </c>
      <c r="AY3893" s="76"/>
      <c r="AZ3893" s="76">
        <f>+AY3893*70000</f>
        <v>0</v>
      </c>
      <c r="BA3893" s="76"/>
      <c r="BB3893" s="76"/>
      <c r="BC3893" s="76"/>
      <c r="BD3893" s="76">
        <f>+BC3893*30000</f>
        <v>0</v>
      </c>
      <c r="BE3893" s="76"/>
      <c r="BF3893" s="76"/>
      <c r="BG3893" s="76"/>
      <c r="BH3893" s="76"/>
      <c r="BI3893" s="76"/>
      <c r="BJ3893" s="76"/>
      <c r="BK3893" s="76"/>
      <c r="BL3893" s="76">
        <f>+BK3893*31500</f>
        <v>0</v>
      </c>
      <c r="BM3893" s="76"/>
      <c r="BN3893" s="76"/>
      <c r="BO3893" s="76"/>
      <c r="BP3893" s="76"/>
      <c r="BQ3893" s="76"/>
      <c r="BR3893" s="76"/>
      <c r="BS3893" s="76"/>
      <c r="BT3893" s="76"/>
      <c r="BU3893" s="76"/>
      <c r="BV3893" s="76"/>
      <c r="BW3893" s="76"/>
      <c r="BX3893" s="76"/>
      <c r="BY3893" s="76"/>
      <c r="BZ3893" s="76"/>
      <c r="CA3893" s="76"/>
      <c r="CB3893" s="76"/>
      <c r="CC3893" s="76"/>
      <c r="CD3893" s="76"/>
      <c r="CE3893" s="76"/>
      <c r="CF3893" s="76">
        <f>+CE3893*28000</f>
        <v>0</v>
      </c>
      <c r="CG3893" s="76"/>
      <c r="CH3893" s="76">
        <f>+CG3893*22500</f>
        <v>0</v>
      </c>
      <c r="CI3893" s="76"/>
      <c r="CJ3893" s="76">
        <f>+CI3893*26000</f>
        <v>0</v>
      </c>
      <c r="CK3893" s="76"/>
      <c r="CL3893" s="76"/>
      <c r="CM3893" s="76"/>
      <c r="CN3893" s="76">
        <f>+CM3893*22000</f>
        <v>0</v>
      </c>
      <c r="CO3893" s="76"/>
      <c r="CP3893" s="76">
        <f>+CO3893*46000</f>
        <v>0</v>
      </c>
      <c r="CQ3893" s="76"/>
      <c r="CR3893" s="76">
        <f>+CQ3893*49000</f>
        <v>0</v>
      </c>
      <c r="CS3893" s="76"/>
      <c r="CT3893" s="76"/>
      <c r="CU3893" s="56">
        <f>AN3893+AP3893+AR3893+AT3893+AV3893+AX3893+AZ3893+BB3893+BD3893+BF3893+BH3893+BJ3893+BL3893+BN3893+BP3893+BR3893+BT3893+BV3893+BX3893+BZ3893+CB3893+CD3893+CF3893+CH3893+CJ3893+CL3893+CN3893+CP3893+CR3893+CT3893</f>
        <v>0</v>
      </c>
      <c r="CV3893" s="76"/>
      <c r="CW3893" s="76">
        <f>+CV3893*1100</f>
        <v>0</v>
      </c>
      <c r="CX3893" s="76"/>
      <c r="CY3893" s="76">
        <f>+CX3893*106250</f>
        <v>0</v>
      </c>
      <c r="CZ3893" s="76"/>
      <c r="DA3893" s="76">
        <f>+CZ3893*34500</f>
        <v>0</v>
      </c>
      <c r="DB3893" s="76"/>
      <c r="DC3893" s="76">
        <f>+DB3893*25000</f>
        <v>0</v>
      </c>
      <c r="DD3893" s="219"/>
      <c r="DE3893" s="76"/>
      <c r="DF3893" s="166"/>
      <c r="DG3893" s="116"/>
      <c r="DH3893" s="117"/>
      <c r="DI3893" s="24"/>
      <c r="DJ3893" s="24"/>
      <c r="DK3893" s="24"/>
      <c r="DL3893" s="24"/>
      <c r="DM3893" s="24"/>
      <c r="DN3893" s="24"/>
      <c r="DO3893" s="24"/>
      <c r="DP3893" s="24"/>
      <c r="DQ3893" s="24"/>
      <c r="DR3893" s="24"/>
      <c r="DS3893" s="24"/>
      <c r="DT3893" s="24"/>
      <c r="DU3893" s="24"/>
    </row>
    <row r="3894" spans="1:125" s="8" customFormat="1" ht="96" x14ac:dyDescent="0.2">
      <c r="A3894" s="77">
        <v>41623</v>
      </c>
      <c r="B3894" s="78" t="s">
        <v>2847</v>
      </c>
      <c r="C3894" s="75" t="s">
        <v>2673</v>
      </c>
      <c r="D3894" s="75" t="s">
        <v>2846</v>
      </c>
      <c r="E3894" s="353" t="str">
        <f>VLOOKUP(B3894&amp;C3894,Divipola!$C$2:$F$1138,4,FALSE)</f>
        <v>68001</v>
      </c>
      <c r="F3894" s="87"/>
      <c r="G3894" s="87"/>
      <c r="H3894" s="87"/>
      <c r="I3894" s="87"/>
      <c r="J3894" s="87"/>
      <c r="K3894" s="87"/>
      <c r="L3894" s="87"/>
      <c r="M3894" s="87"/>
      <c r="N3894" s="87"/>
      <c r="O3894" s="87"/>
      <c r="P3894" s="87"/>
      <c r="Q3894" s="87"/>
      <c r="R3894" s="87"/>
      <c r="S3894" s="87"/>
      <c r="T3894" s="87"/>
      <c r="U3894" s="88">
        <v>1</v>
      </c>
      <c r="V3894" s="89"/>
      <c r="W3894" s="96">
        <v>0</v>
      </c>
      <c r="X3894" s="71">
        <f>CU3894</f>
        <v>0</v>
      </c>
      <c r="Y3894" s="71">
        <f>CY3894</f>
        <v>0</v>
      </c>
      <c r="Z3894" s="71">
        <f>DA3894+DC3894+DE3894</f>
        <v>0</v>
      </c>
      <c r="AA3894" s="71">
        <f>CW3894</f>
        <v>0</v>
      </c>
      <c r="AB3894" s="71"/>
      <c r="AC3894" s="71">
        <v>0</v>
      </c>
      <c r="AD3894" s="71">
        <f>W3894+X3894+Y3894+Z3894+AA3894+AB3894+AC3894</f>
        <v>0</v>
      </c>
      <c r="AE3894" s="72">
        <v>0</v>
      </c>
      <c r="AF3894" s="5"/>
      <c r="AG3894" s="6"/>
      <c r="AH3894" s="27"/>
      <c r="AI3894" s="44"/>
      <c r="AJ3894" s="26"/>
      <c r="AK3894" s="5"/>
      <c r="AL3894" s="268" t="s">
        <v>6957</v>
      </c>
      <c r="AM3894" s="76"/>
      <c r="AN3894" s="76"/>
      <c r="AO3894" s="76"/>
      <c r="AP3894" s="76"/>
      <c r="AQ3894" s="76"/>
      <c r="AR3894" s="76"/>
      <c r="AS3894" s="76"/>
      <c r="AT3894" s="76"/>
      <c r="AU3894" s="76"/>
      <c r="AV3894" s="76"/>
      <c r="AW3894" s="76"/>
      <c r="AX3894" s="76">
        <f>+AW3894*600000</f>
        <v>0</v>
      </c>
      <c r="AY3894" s="76"/>
      <c r="AZ3894" s="76">
        <f>+AY3894*70000</f>
        <v>0</v>
      </c>
      <c r="BA3894" s="76"/>
      <c r="BB3894" s="76"/>
      <c r="BC3894" s="76"/>
      <c r="BD3894" s="76">
        <f>+BC3894*30000</f>
        <v>0</v>
      </c>
      <c r="BE3894" s="76"/>
      <c r="BF3894" s="76"/>
      <c r="BG3894" s="76"/>
      <c r="BH3894" s="76"/>
      <c r="BI3894" s="76"/>
      <c r="BJ3894" s="76"/>
      <c r="BK3894" s="76"/>
      <c r="BL3894" s="76">
        <f>+BK3894*31500</f>
        <v>0</v>
      </c>
      <c r="BM3894" s="76"/>
      <c r="BN3894" s="76"/>
      <c r="BO3894" s="76"/>
      <c r="BP3894" s="76"/>
      <c r="BQ3894" s="76"/>
      <c r="BR3894" s="76"/>
      <c r="BS3894" s="76"/>
      <c r="BT3894" s="76"/>
      <c r="BU3894" s="76"/>
      <c r="BV3894" s="76"/>
      <c r="BW3894" s="76"/>
      <c r="BX3894" s="76"/>
      <c r="BY3894" s="76"/>
      <c r="BZ3894" s="76"/>
      <c r="CA3894" s="76"/>
      <c r="CB3894" s="76"/>
      <c r="CC3894" s="76"/>
      <c r="CD3894" s="76"/>
      <c r="CE3894" s="76"/>
      <c r="CF3894" s="76">
        <f>+CE3894*28000</f>
        <v>0</v>
      </c>
      <c r="CG3894" s="76"/>
      <c r="CH3894" s="76">
        <f>+CG3894*22500</f>
        <v>0</v>
      </c>
      <c r="CI3894" s="76"/>
      <c r="CJ3894" s="76">
        <f>+CI3894*26000</f>
        <v>0</v>
      </c>
      <c r="CK3894" s="76"/>
      <c r="CL3894" s="76"/>
      <c r="CM3894" s="76"/>
      <c r="CN3894" s="76">
        <f>+CM3894*22000</f>
        <v>0</v>
      </c>
      <c r="CO3894" s="76"/>
      <c r="CP3894" s="76">
        <f>+CO3894*46000</f>
        <v>0</v>
      </c>
      <c r="CQ3894" s="76"/>
      <c r="CR3894" s="76">
        <f>+CQ3894*49000</f>
        <v>0</v>
      </c>
      <c r="CS3894" s="76"/>
      <c r="CT3894" s="76"/>
      <c r="CU3894" s="56">
        <f>AN3894+AP3894+AR3894+AT3894+AV3894+AX3894+AZ3894+BB3894+BD3894+BF3894+BH3894+BJ3894+BL3894+BN3894+BP3894+BR3894+BT3894+BV3894+BX3894+BZ3894+CB3894+CD3894+CF3894+CH3894+CJ3894+CL3894+CN3894+CP3894+CR3894+CT3894</f>
        <v>0</v>
      </c>
      <c r="CV3894" s="76"/>
      <c r="CW3894" s="76">
        <f>+CV3894*1100</f>
        <v>0</v>
      </c>
      <c r="CX3894" s="76"/>
      <c r="CY3894" s="76">
        <f>+CX3894*106250</f>
        <v>0</v>
      </c>
      <c r="CZ3894" s="76"/>
      <c r="DA3894" s="76">
        <f>+CZ3894*34500</f>
        <v>0</v>
      </c>
      <c r="DB3894" s="76"/>
      <c r="DC3894" s="76">
        <f>+DB3894*25000</f>
        <v>0</v>
      </c>
      <c r="DD3894" s="219"/>
      <c r="DE3894" s="76"/>
      <c r="DF3894" s="166"/>
      <c r="DG3894" s="116"/>
      <c r="DH3894" s="117"/>
      <c r="DI3894" s="24"/>
      <c r="DJ3894" s="24"/>
      <c r="DK3894" s="24"/>
      <c r="DL3894" s="24"/>
      <c r="DM3894" s="24"/>
      <c r="DN3894" s="24"/>
      <c r="DO3894" s="24"/>
      <c r="DP3894" s="24"/>
      <c r="DQ3894" s="24"/>
      <c r="DR3894" s="24"/>
      <c r="DS3894" s="24"/>
      <c r="DT3894" s="24"/>
      <c r="DU3894" s="24"/>
    </row>
    <row r="3895" spans="1:125" s="8" customFormat="1" ht="36" x14ac:dyDescent="0.2">
      <c r="A3895" s="5">
        <v>41623</v>
      </c>
      <c r="B3895" s="84" t="s">
        <v>2860</v>
      </c>
      <c r="C3895" s="84" t="s">
        <v>2776</v>
      </c>
      <c r="D3895" s="75" t="s">
        <v>2859</v>
      </c>
      <c r="E3895" s="353" t="str">
        <f>VLOOKUP(B3895&amp;C3895,Divipola!$C$2:$F$1138,4,FALSE)</f>
        <v>63001</v>
      </c>
      <c r="F3895" s="89"/>
      <c r="G3895" s="89">
        <v>2</v>
      </c>
      <c r="H3895" s="89"/>
      <c r="I3895" s="89">
        <v>5</v>
      </c>
      <c r="J3895" s="89">
        <v>1</v>
      </c>
      <c r="K3895" s="89">
        <v>1</v>
      </c>
      <c r="L3895" s="89"/>
      <c r="M3895" s="89"/>
      <c r="N3895" s="89"/>
      <c r="O3895" s="89"/>
      <c r="P3895" s="89"/>
      <c r="Q3895" s="89"/>
      <c r="R3895" s="89"/>
      <c r="S3895" s="89"/>
      <c r="T3895" s="89"/>
      <c r="U3895" s="89"/>
      <c r="V3895" s="89"/>
      <c r="W3895" s="96">
        <v>0</v>
      </c>
      <c r="X3895" s="71">
        <f>CU3895</f>
        <v>0</v>
      </c>
      <c r="Y3895" s="71">
        <f>CY3895</f>
        <v>0</v>
      </c>
      <c r="Z3895" s="71">
        <f>DA3895+DC3895+DE3895</f>
        <v>0</v>
      </c>
      <c r="AA3895" s="71">
        <f>CW3895</f>
        <v>0</v>
      </c>
      <c r="AB3895" s="71"/>
      <c r="AC3895" s="71">
        <v>0</v>
      </c>
      <c r="AD3895" s="71">
        <f>W3895+X3895+Y3895+Z3895+AA3895+AB3895+AC3895</f>
        <v>0</v>
      </c>
      <c r="AE3895" s="72">
        <v>0</v>
      </c>
      <c r="AF3895" s="5"/>
      <c r="AG3895" s="6"/>
      <c r="AH3895" s="27"/>
      <c r="AI3895" s="44"/>
      <c r="AJ3895" s="26"/>
      <c r="AK3895" s="5"/>
      <c r="AL3895" s="9" t="s">
        <v>6958</v>
      </c>
      <c r="AM3895" s="76"/>
      <c r="AN3895" s="76"/>
      <c r="AO3895" s="76"/>
      <c r="AP3895" s="76"/>
      <c r="AQ3895" s="76"/>
      <c r="AR3895" s="76"/>
      <c r="AS3895" s="76"/>
      <c r="AT3895" s="76"/>
      <c r="AU3895" s="76"/>
      <c r="AV3895" s="76"/>
      <c r="AW3895" s="76"/>
      <c r="AX3895" s="76">
        <f>+AW3895*600000</f>
        <v>0</v>
      </c>
      <c r="AY3895" s="76"/>
      <c r="AZ3895" s="76">
        <f>+AY3895*70000</f>
        <v>0</v>
      </c>
      <c r="BA3895" s="76"/>
      <c r="BB3895" s="76"/>
      <c r="BC3895" s="76"/>
      <c r="BD3895" s="76">
        <f>+BC3895*30000</f>
        <v>0</v>
      </c>
      <c r="BE3895" s="76"/>
      <c r="BF3895" s="76"/>
      <c r="BG3895" s="76"/>
      <c r="BH3895" s="76"/>
      <c r="BI3895" s="76"/>
      <c r="BJ3895" s="76"/>
      <c r="BK3895" s="76"/>
      <c r="BL3895" s="76">
        <f>+BK3895*31500</f>
        <v>0</v>
      </c>
      <c r="BM3895" s="76"/>
      <c r="BN3895" s="76"/>
      <c r="BO3895" s="76"/>
      <c r="BP3895" s="76"/>
      <c r="BQ3895" s="76"/>
      <c r="BR3895" s="76"/>
      <c r="BS3895" s="76"/>
      <c r="BT3895" s="76"/>
      <c r="BU3895" s="76"/>
      <c r="BV3895" s="76"/>
      <c r="BW3895" s="76"/>
      <c r="BX3895" s="76"/>
      <c r="BY3895" s="76"/>
      <c r="BZ3895" s="76"/>
      <c r="CA3895" s="76"/>
      <c r="CB3895" s="76"/>
      <c r="CC3895" s="76"/>
      <c r="CD3895" s="76"/>
      <c r="CE3895" s="76"/>
      <c r="CF3895" s="76">
        <f>+CE3895*28000</f>
        <v>0</v>
      </c>
      <c r="CG3895" s="76"/>
      <c r="CH3895" s="76">
        <f>+CG3895*22500</f>
        <v>0</v>
      </c>
      <c r="CI3895" s="76"/>
      <c r="CJ3895" s="76">
        <f>+CI3895*26000</f>
        <v>0</v>
      </c>
      <c r="CK3895" s="76"/>
      <c r="CL3895" s="76"/>
      <c r="CM3895" s="76"/>
      <c r="CN3895" s="76">
        <f>+CM3895*22000</f>
        <v>0</v>
      </c>
      <c r="CO3895" s="76"/>
      <c r="CP3895" s="76">
        <f>+CO3895*46000</f>
        <v>0</v>
      </c>
      <c r="CQ3895" s="76"/>
      <c r="CR3895" s="76">
        <f>+CQ3895*49000</f>
        <v>0</v>
      </c>
      <c r="CS3895" s="76"/>
      <c r="CT3895" s="76"/>
      <c r="CU3895" s="56">
        <f>AN3895+AP3895+AR3895+AT3895+AV3895+AX3895+AZ3895+BB3895+BD3895+BF3895+BH3895+BJ3895+BL3895+BN3895+BP3895+BR3895+BT3895+BV3895+BX3895+BZ3895+CB3895+CD3895+CF3895+CH3895+CJ3895+CL3895+CN3895+CP3895+CR3895+CT3895</f>
        <v>0</v>
      </c>
      <c r="CV3895" s="76"/>
      <c r="CW3895" s="76">
        <f>+CV3895*1100</f>
        <v>0</v>
      </c>
      <c r="CX3895" s="76"/>
      <c r="CY3895" s="76">
        <f>+CX3895*106250</f>
        <v>0</v>
      </c>
      <c r="CZ3895" s="76"/>
      <c r="DA3895" s="76">
        <f>+CZ3895*34500</f>
        <v>0</v>
      </c>
      <c r="DB3895" s="76"/>
      <c r="DC3895" s="76">
        <f>+DB3895*25000</f>
        <v>0</v>
      </c>
      <c r="DD3895" s="219"/>
      <c r="DE3895" s="76"/>
      <c r="DF3895" s="166"/>
      <c r="DG3895" s="116"/>
      <c r="DH3895" s="117"/>
      <c r="DI3895" s="24"/>
      <c r="DJ3895" s="24"/>
      <c r="DK3895" s="24"/>
      <c r="DL3895" s="24"/>
      <c r="DM3895" s="24"/>
      <c r="DN3895" s="24"/>
      <c r="DO3895" s="24"/>
      <c r="DP3895" s="24"/>
      <c r="DQ3895" s="24"/>
      <c r="DR3895" s="24"/>
      <c r="DS3895" s="24"/>
      <c r="DT3895" s="24"/>
      <c r="DU3895" s="24"/>
    </row>
    <row r="3896" spans="1:125" s="8" customFormat="1" ht="84" x14ac:dyDescent="0.2">
      <c r="A3896" s="353">
        <v>41623</v>
      </c>
      <c r="B3896" s="352" t="s">
        <v>3136</v>
      </c>
      <c r="C3896" s="354" t="s">
        <v>387</v>
      </c>
      <c r="D3896" s="354" t="s">
        <v>2849</v>
      </c>
      <c r="E3896" s="353" t="str">
        <f>VLOOKUP(B3896&amp;C3896,Divipola!$C$2:$F$1138,4,FALSE)</f>
        <v>44078</v>
      </c>
      <c r="F3896" s="87">
        <v>1</v>
      </c>
      <c r="G3896" s="87">
        <v>2</v>
      </c>
      <c r="H3896" s="87"/>
      <c r="I3896" s="87"/>
      <c r="J3896" s="87"/>
      <c r="K3896" s="87"/>
      <c r="L3896" s="87"/>
      <c r="M3896" s="87"/>
      <c r="N3896" s="87"/>
      <c r="O3896" s="87"/>
      <c r="P3896" s="87"/>
      <c r="Q3896" s="87"/>
      <c r="R3896" s="87"/>
      <c r="S3896" s="87"/>
      <c r="T3896" s="87"/>
      <c r="U3896" s="88"/>
      <c r="V3896" s="89"/>
      <c r="W3896" s="96">
        <v>0</v>
      </c>
      <c r="X3896" s="71">
        <f>CU3896</f>
        <v>0</v>
      </c>
      <c r="Y3896" s="71">
        <f>CY3896</f>
        <v>0</v>
      </c>
      <c r="Z3896" s="71">
        <f>DA3896+DC3896+DE3896</f>
        <v>0</v>
      </c>
      <c r="AA3896" s="71">
        <f>CW3896</f>
        <v>0</v>
      </c>
      <c r="AB3896" s="71"/>
      <c r="AC3896" s="71">
        <v>0</v>
      </c>
      <c r="AD3896" s="71">
        <f>W3896+X3896+Y3896+Z3896+AA3896+AB3896+AC3896</f>
        <v>0</v>
      </c>
      <c r="AE3896" s="72">
        <v>0</v>
      </c>
      <c r="AF3896" s="5"/>
      <c r="AG3896" s="6"/>
      <c r="AH3896" s="27"/>
      <c r="AI3896" s="44"/>
      <c r="AJ3896" s="26"/>
      <c r="AK3896" s="5"/>
      <c r="AL3896" s="82" t="s">
        <v>6961</v>
      </c>
      <c r="AM3896" s="76"/>
      <c r="AN3896" s="76"/>
      <c r="AO3896" s="76"/>
      <c r="AP3896" s="76"/>
      <c r="AQ3896" s="76"/>
      <c r="AR3896" s="76"/>
      <c r="AS3896" s="76"/>
      <c r="AT3896" s="76"/>
      <c r="AU3896" s="76"/>
      <c r="AV3896" s="76"/>
      <c r="AW3896" s="76"/>
      <c r="AX3896" s="76">
        <f>+AW3896*600000</f>
        <v>0</v>
      </c>
      <c r="AY3896" s="76"/>
      <c r="AZ3896" s="76">
        <f>+AY3896*70000</f>
        <v>0</v>
      </c>
      <c r="BA3896" s="76"/>
      <c r="BB3896" s="76"/>
      <c r="BC3896" s="76"/>
      <c r="BD3896" s="76">
        <f>+BC3896*30000</f>
        <v>0</v>
      </c>
      <c r="BE3896" s="76"/>
      <c r="BF3896" s="76"/>
      <c r="BG3896" s="76"/>
      <c r="BH3896" s="76"/>
      <c r="BI3896" s="76"/>
      <c r="BJ3896" s="76"/>
      <c r="BK3896" s="76"/>
      <c r="BL3896" s="76">
        <f>+BK3896*31500</f>
        <v>0</v>
      </c>
      <c r="BM3896" s="76"/>
      <c r="BN3896" s="76"/>
      <c r="BO3896" s="76"/>
      <c r="BP3896" s="76"/>
      <c r="BQ3896" s="76"/>
      <c r="BR3896" s="76"/>
      <c r="BS3896" s="76"/>
      <c r="BT3896" s="76"/>
      <c r="BU3896" s="76"/>
      <c r="BV3896" s="76"/>
      <c r="BW3896" s="76"/>
      <c r="BX3896" s="76"/>
      <c r="BY3896" s="76"/>
      <c r="BZ3896" s="76"/>
      <c r="CA3896" s="76"/>
      <c r="CB3896" s="76"/>
      <c r="CC3896" s="76"/>
      <c r="CD3896" s="76"/>
      <c r="CE3896" s="76"/>
      <c r="CF3896" s="76">
        <f>+CE3896*28000</f>
        <v>0</v>
      </c>
      <c r="CG3896" s="76"/>
      <c r="CH3896" s="76">
        <f>+CG3896*22500</f>
        <v>0</v>
      </c>
      <c r="CI3896" s="76"/>
      <c r="CJ3896" s="76">
        <f>+CI3896*26000</f>
        <v>0</v>
      </c>
      <c r="CK3896" s="76"/>
      <c r="CL3896" s="76"/>
      <c r="CM3896" s="76"/>
      <c r="CN3896" s="76">
        <f>+CM3896*22000</f>
        <v>0</v>
      </c>
      <c r="CO3896" s="76"/>
      <c r="CP3896" s="76">
        <f>+CO3896*46000</f>
        <v>0</v>
      </c>
      <c r="CQ3896" s="76"/>
      <c r="CR3896" s="76">
        <f>+CQ3896*49000</f>
        <v>0</v>
      </c>
      <c r="CS3896" s="76"/>
      <c r="CT3896" s="76"/>
      <c r="CU3896" s="56">
        <f>AN3896+AP3896+AR3896+AT3896+AV3896+AX3896+AZ3896+BB3896+BD3896+BF3896+BH3896+BJ3896+BL3896+BN3896+BP3896+BR3896+BT3896+BV3896+BX3896+BZ3896+CB3896+CD3896+CF3896+CH3896+CJ3896+CL3896+CN3896+CP3896+CR3896+CT3896</f>
        <v>0</v>
      </c>
      <c r="CV3896" s="76"/>
      <c r="CW3896" s="76">
        <f>+CV3896*1100</f>
        <v>0</v>
      </c>
      <c r="CX3896" s="76"/>
      <c r="CY3896" s="76">
        <f>+CX3896*106250</f>
        <v>0</v>
      </c>
      <c r="CZ3896" s="76"/>
      <c r="DA3896" s="76">
        <f>+CZ3896*34500</f>
        <v>0</v>
      </c>
      <c r="DB3896" s="76"/>
      <c r="DC3896" s="76">
        <f>+DB3896*25000</f>
        <v>0</v>
      </c>
      <c r="DD3896" s="219"/>
      <c r="DE3896" s="76"/>
      <c r="DF3896" s="166"/>
      <c r="DG3896" s="116"/>
      <c r="DH3896" s="117"/>
      <c r="DI3896" s="24"/>
      <c r="DJ3896" s="24"/>
      <c r="DK3896" s="24"/>
      <c r="DL3896" s="24"/>
      <c r="DM3896" s="24"/>
      <c r="DN3896" s="24"/>
      <c r="DO3896" s="24"/>
      <c r="DP3896" s="24"/>
      <c r="DQ3896" s="24"/>
      <c r="DR3896" s="24"/>
      <c r="DS3896" s="24"/>
      <c r="DT3896" s="24"/>
      <c r="DU3896" s="24"/>
    </row>
    <row r="3897" spans="1:125" s="8" customFormat="1" ht="204" x14ac:dyDescent="0.2">
      <c r="A3897" s="353">
        <v>41623</v>
      </c>
      <c r="B3897" s="352" t="s">
        <v>2661</v>
      </c>
      <c r="C3897" s="354" t="s">
        <v>1386</v>
      </c>
      <c r="D3897" s="354" t="s">
        <v>2859</v>
      </c>
      <c r="E3897" s="353" t="str">
        <f>VLOOKUP(B3897&amp;C3897,Divipola!$C$2:$F$1138,4,FALSE)</f>
        <v>41306</v>
      </c>
      <c r="F3897" s="87"/>
      <c r="G3897" s="87"/>
      <c r="H3897" s="87"/>
      <c r="I3897" s="87"/>
      <c r="J3897" s="87"/>
      <c r="K3897" s="87"/>
      <c r="L3897" s="87"/>
      <c r="M3897" s="87"/>
      <c r="N3897" s="87"/>
      <c r="O3897" s="87"/>
      <c r="P3897" s="87"/>
      <c r="Q3897" s="87"/>
      <c r="R3897" s="87"/>
      <c r="S3897" s="87"/>
      <c r="T3897" s="87"/>
      <c r="U3897" s="88"/>
      <c r="V3897" s="89">
        <v>1</v>
      </c>
      <c r="W3897" s="96">
        <v>0</v>
      </c>
      <c r="X3897" s="71">
        <f>CU3897</f>
        <v>0</v>
      </c>
      <c r="Y3897" s="71">
        <f>CY3897</f>
        <v>0</v>
      </c>
      <c r="Z3897" s="71">
        <f>DA3897+DC3897+DE3897</f>
        <v>0</v>
      </c>
      <c r="AA3897" s="71">
        <f>CW3897</f>
        <v>0</v>
      </c>
      <c r="AB3897" s="71"/>
      <c r="AC3897" s="71">
        <v>0</v>
      </c>
      <c r="AD3897" s="71">
        <f>W3897+X3897+Y3897+Z3897+AA3897+AB3897+AC3897</f>
        <v>0</v>
      </c>
      <c r="AE3897" s="72">
        <v>0</v>
      </c>
      <c r="AF3897" s="5"/>
      <c r="AG3897" s="6"/>
      <c r="AH3897" s="27"/>
      <c r="AI3897" s="44"/>
      <c r="AJ3897" s="26"/>
      <c r="AK3897" s="5"/>
      <c r="AL3897" s="82" t="s">
        <v>6962</v>
      </c>
      <c r="AM3897" s="76"/>
      <c r="AN3897" s="76"/>
      <c r="AO3897" s="76"/>
      <c r="AP3897" s="76"/>
      <c r="AQ3897" s="76"/>
      <c r="AR3897" s="76"/>
      <c r="AS3897" s="76"/>
      <c r="AT3897" s="76"/>
      <c r="AU3897" s="76"/>
      <c r="AV3897" s="76"/>
      <c r="AW3897" s="76"/>
      <c r="AX3897" s="76">
        <f>+AW3897*600000</f>
        <v>0</v>
      </c>
      <c r="AY3897" s="76"/>
      <c r="AZ3897" s="76">
        <f>+AY3897*70000</f>
        <v>0</v>
      </c>
      <c r="BA3897" s="76"/>
      <c r="BB3897" s="76"/>
      <c r="BC3897" s="76"/>
      <c r="BD3897" s="76">
        <f>+BC3897*30000</f>
        <v>0</v>
      </c>
      <c r="BE3897" s="76"/>
      <c r="BF3897" s="76"/>
      <c r="BG3897" s="76"/>
      <c r="BH3897" s="76"/>
      <c r="BI3897" s="76"/>
      <c r="BJ3897" s="76"/>
      <c r="BK3897" s="76"/>
      <c r="BL3897" s="76">
        <f>+BK3897*31500</f>
        <v>0</v>
      </c>
      <c r="BM3897" s="76"/>
      <c r="BN3897" s="76"/>
      <c r="BO3897" s="76"/>
      <c r="BP3897" s="76"/>
      <c r="BQ3897" s="76"/>
      <c r="BR3897" s="76"/>
      <c r="BS3897" s="76"/>
      <c r="BT3897" s="76"/>
      <c r="BU3897" s="76"/>
      <c r="BV3897" s="76"/>
      <c r="BW3897" s="76"/>
      <c r="BX3897" s="76"/>
      <c r="BY3897" s="76"/>
      <c r="BZ3897" s="76"/>
      <c r="CA3897" s="76"/>
      <c r="CB3897" s="76"/>
      <c r="CC3897" s="76"/>
      <c r="CD3897" s="76"/>
      <c r="CE3897" s="76"/>
      <c r="CF3897" s="76">
        <f>+CE3897*28000</f>
        <v>0</v>
      </c>
      <c r="CG3897" s="76"/>
      <c r="CH3897" s="76">
        <f>+CG3897*22500</f>
        <v>0</v>
      </c>
      <c r="CI3897" s="76"/>
      <c r="CJ3897" s="76">
        <f>+CI3897*26000</f>
        <v>0</v>
      </c>
      <c r="CK3897" s="76"/>
      <c r="CL3897" s="76"/>
      <c r="CM3897" s="76"/>
      <c r="CN3897" s="76">
        <f>+CM3897*22000</f>
        <v>0</v>
      </c>
      <c r="CO3897" s="76"/>
      <c r="CP3897" s="76">
        <f>+CO3897*46000</f>
        <v>0</v>
      </c>
      <c r="CQ3897" s="76"/>
      <c r="CR3897" s="76">
        <f>+CQ3897*49000</f>
        <v>0</v>
      </c>
      <c r="CS3897" s="76"/>
      <c r="CT3897" s="76"/>
      <c r="CU3897" s="56">
        <f>AN3897+AP3897+AR3897+AT3897+AV3897+AX3897+AZ3897+BB3897+BD3897+BF3897+BH3897+BJ3897+BL3897+BN3897+BP3897+BR3897+BT3897+BV3897+BX3897+BZ3897+CB3897+CD3897+CF3897+CH3897+CJ3897+CL3897+CN3897+CP3897+CR3897+CT3897</f>
        <v>0</v>
      </c>
      <c r="CV3897" s="76"/>
      <c r="CW3897" s="76">
        <f>+CV3897*1100</f>
        <v>0</v>
      </c>
      <c r="CX3897" s="76"/>
      <c r="CY3897" s="76">
        <f>+CX3897*106250</f>
        <v>0</v>
      </c>
      <c r="CZ3897" s="76"/>
      <c r="DA3897" s="76">
        <f>+CZ3897*34500</f>
        <v>0</v>
      </c>
      <c r="DB3897" s="76"/>
      <c r="DC3897" s="76">
        <f>+DB3897*25000</f>
        <v>0</v>
      </c>
      <c r="DD3897" s="219"/>
      <c r="DE3897" s="76"/>
      <c r="DF3897" s="166"/>
      <c r="DG3897" s="116"/>
      <c r="DH3897" s="117"/>
      <c r="DI3897" s="24"/>
      <c r="DJ3897" s="24"/>
      <c r="DK3897" s="24"/>
      <c r="DL3897" s="24"/>
      <c r="DM3897" s="24"/>
      <c r="DN3897" s="24"/>
      <c r="DO3897" s="24"/>
      <c r="DP3897" s="24"/>
      <c r="DQ3897" s="24"/>
      <c r="DR3897" s="24"/>
      <c r="DS3897" s="24"/>
      <c r="DT3897" s="24"/>
      <c r="DU3897" s="24"/>
    </row>
    <row r="3898" spans="1:125" s="8" customFormat="1" ht="60" x14ac:dyDescent="0.2">
      <c r="A3898" s="77">
        <v>41624</v>
      </c>
      <c r="B3898" s="78" t="s">
        <v>2880</v>
      </c>
      <c r="C3898" s="75" t="s">
        <v>2083</v>
      </c>
      <c r="D3898" s="75" t="s">
        <v>3051</v>
      </c>
      <c r="E3898" s="353" t="str">
        <f>VLOOKUP(B3898&amp;C3898,Divipola!$C$2:$F$1138,4,FALSE)</f>
        <v>54239</v>
      </c>
      <c r="F3898" s="61"/>
      <c r="G3898" s="61"/>
      <c r="H3898" s="61"/>
      <c r="I3898" s="61"/>
      <c r="J3898" s="61"/>
      <c r="K3898" s="61"/>
      <c r="L3898" s="61"/>
      <c r="M3898" s="61"/>
      <c r="N3898" s="61"/>
      <c r="O3898" s="61"/>
      <c r="P3898" s="61"/>
      <c r="Q3898" s="61"/>
      <c r="R3898" s="61"/>
      <c r="S3898" s="61"/>
      <c r="T3898" s="61"/>
      <c r="U3898" s="61"/>
      <c r="V3898" s="7"/>
      <c r="W3898" s="96">
        <v>0</v>
      </c>
      <c r="X3898" s="71">
        <f>CU3898</f>
        <v>0</v>
      </c>
      <c r="Y3898" s="71">
        <f>CY3898</f>
        <v>0</v>
      </c>
      <c r="Z3898" s="71">
        <f>DA3898+DC3898+DE3898</f>
        <v>0</v>
      </c>
      <c r="AA3898" s="71">
        <f>CW3898</f>
        <v>0</v>
      </c>
      <c r="AB3898" s="71"/>
      <c r="AC3898" s="71">
        <v>1254486941.24</v>
      </c>
      <c r="AD3898" s="71">
        <f>W3898+X3898+Y3898+Z3898+AA3898+AB3898+AC3898</f>
        <v>1254486941.24</v>
      </c>
      <c r="AE3898" s="72">
        <v>0</v>
      </c>
      <c r="AF3898" s="5"/>
      <c r="AG3898" s="6"/>
      <c r="AH3898" s="27"/>
      <c r="AI3898" s="44"/>
      <c r="AJ3898" s="26"/>
      <c r="AK3898" s="5"/>
      <c r="AL3898" s="9" t="s">
        <v>6965</v>
      </c>
      <c r="AM3898" s="76"/>
      <c r="AN3898" s="76"/>
      <c r="AO3898" s="76"/>
      <c r="AP3898" s="76"/>
      <c r="AQ3898" s="76"/>
      <c r="AR3898" s="76"/>
      <c r="AS3898" s="76"/>
      <c r="AT3898" s="76"/>
      <c r="AU3898" s="76"/>
      <c r="AV3898" s="76"/>
      <c r="AW3898" s="76"/>
      <c r="AX3898" s="76">
        <f>+AW3898*600000</f>
        <v>0</v>
      </c>
      <c r="AY3898" s="76"/>
      <c r="AZ3898" s="76">
        <f>+AY3898*70000</f>
        <v>0</v>
      </c>
      <c r="BA3898" s="76"/>
      <c r="BB3898" s="76"/>
      <c r="BC3898" s="76"/>
      <c r="BD3898" s="76">
        <f>+BC3898*30000</f>
        <v>0</v>
      </c>
      <c r="BE3898" s="76"/>
      <c r="BF3898" s="76"/>
      <c r="BG3898" s="76"/>
      <c r="BH3898" s="76"/>
      <c r="BI3898" s="76"/>
      <c r="BJ3898" s="76"/>
      <c r="BK3898" s="76"/>
      <c r="BL3898" s="76">
        <f>+BK3898*31500</f>
        <v>0</v>
      </c>
      <c r="BM3898" s="76"/>
      <c r="BN3898" s="76"/>
      <c r="BO3898" s="76"/>
      <c r="BP3898" s="76"/>
      <c r="BQ3898" s="76"/>
      <c r="BR3898" s="76"/>
      <c r="BS3898" s="76"/>
      <c r="BT3898" s="76"/>
      <c r="BU3898" s="76"/>
      <c r="BV3898" s="76"/>
      <c r="BW3898" s="76"/>
      <c r="BX3898" s="76"/>
      <c r="BY3898" s="76"/>
      <c r="BZ3898" s="76"/>
      <c r="CA3898" s="76"/>
      <c r="CB3898" s="76"/>
      <c r="CC3898" s="76"/>
      <c r="CD3898" s="76"/>
      <c r="CE3898" s="76"/>
      <c r="CF3898" s="76">
        <f>+CE3898*28000</f>
        <v>0</v>
      </c>
      <c r="CG3898" s="76"/>
      <c r="CH3898" s="76">
        <f>+CG3898*22500</f>
        <v>0</v>
      </c>
      <c r="CI3898" s="76"/>
      <c r="CJ3898" s="76">
        <f>+CI3898*26000</f>
        <v>0</v>
      </c>
      <c r="CK3898" s="76"/>
      <c r="CL3898" s="76"/>
      <c r="CM3898" s="76"/>
      <c r="CN3898" s="76">
        <f>+CM3898*22000</f>
        <v>0</v>
      </c>
      <c r="CO3898" s="76"/>
      <c r="CP3898" s="76">
        <f>+CO3898*46000</f>
        <v>0</v>
      </c>
      <c r="CQ3898" s="76"/>
      <c r="CR3898" s="76">
        <f>+CQ3898*49000</f>
        <v>0</v>
      </c>
      <c r="CS3898" s="76"/>
      <c r="CT3898" s="76"/>
      <c r="CU3898" s="56">
        <f>AN3898+AP3898+AR3898+AT3898+AV3898+AX3898+AZ3898+BB3898+BD3898+BF3898+BH3898+BJ3898+BL3898+BN3898+BP3898+BR3898+BT3898+BV3898+BX3898+BZ3898+CB3898+CD3898+CF3898+CH3898+CJ3898+CL3898+CN3898+CP3898+CR3898+CT3898</f>
        <v>0</v>
      </c>
      <c r="CV3898" s="76"/>
      <c r="CW3898" s="76">
        <f>+CV3898*1100</f>
        <v>0</v>
      </c>
      <c r="CX3898" s="76"/>
      <c r="CY3898" s="76">
        <f>+CX3898*106250</f>
        <v>0</v>
      </c>
      <c r="CZ3898" s="76"/>
      <c r="DA3898" s="76">
        <f>+CZ3898*34500</f>
        <v>0</v>
      </c>
      <c r="DB3898" s="76"/>
      <c r="DC3898" s="76">
        <f>+DB3898*25000</f>
        <v>0</v>
      </c>
      <c r="DD3898" s="219"/>
      <c r="DE3898" s="76"/>
      <c r="DF3898" s="166"/>
      <c r="DG3898" s="116"/>
      <c r="DH3898" s="117"/>
      <c r="DI3898" s="24"/>
      <c r="DJ3898" s="24"/>
      <c r="DK3898" s="24"/>
      <c r="DL3898" s="24"/>
      <c r="DM3898" s="24"/>
      <c r="DN3898" s="24"/>
      <c r="DO3898" s="24"/>
      <c r="DP3898" s="24"/>
      <c r="DQ3898" s="24"/>
      <c r="DR3898" s="24"/>
      <c r="DS3898" s="24"/>
      <c r="DT3898" s="24"/>
      <c r="DU3898" s="24"/>
    </row>
    <row r="3899" spans="1:125" s="8" customFormat="1" ht="84" x14ac:dyDescent="0.2">
      <c r="A3899" s="77">
        <v>41624</v>
      </c>
      <c r="B3899" s="78" t="s">
        <v>2718</v>
      </c>
      <c r="C3899" s="75" t="s">
        <v>1350</v>
      </c>
      <c r="D3899" s="75" t="s">
        <v>3017</v>
      </c>
      <c r="E3899" s="353" t="str">
        <f>VLOOKUP(B3899&amp;C3899,Divipola!$C$2:$F$1138,4,FALSE)</f>
        <v>23682</v>
      </c>
      <c r="F3899" s="87"/>
      <c r="G3899" s="87"/>
      <c r="H3899" s="87"/>
      <c r="I3899" s="87"/>
      <c r="J3899" s="87"/>
      <c r="K3899" s="87"/>
      <c r="L3899" s="87"/>
      <c r="M3899" s="87"/>
      <c r="N3899" s="87">
        <v>1</v>
      </c>
      <c r="O3899" s="87"/>
      <c r="P3899" s="87"/>
      <c r="Q3899" s="87"/>
      <c r="R3899" s="87"/>
      <c r="S3899" s="87"/>
      <c r="T3899" s="87"/>
      <c r="U3899" s="88"/>
      <c r="V3899" s="89"/>
      <c r="W3899" s="96">
        <v>0</v>
      </c>
      <c r="X3899" s="71">
        <f>CU3899</f>
        <v>0</v>
      </c>
      <c r="Y3899" s="71">
        <f>CY3899</f>
        <v>0</v>
      </c>
      <c r="Z3899" s="71">
        <f>DA3899+DC3899+DE3899</f>
        <v>0</v>
      </c>
      <c r="AA3899" s="71">
        <f>CW3899</f>
        <v>0</v>
      </c>
      <c r="AB3899" s="71"/>
      <c r="AC3899" s="71">
        <v>0</v>
      </c>
      <c r="AD3899" s="71">
        <f>W3899+X3899+Y3899+Z3899+AA3899+AB3899+AC3899</f>
        <v>0</v>
      </c>
      <c r="AE3899" s="72">
        <v>0</v>
      </c>
      <c r="AF3899" s="5"/>
      <c r="AG3899" s="6"/>
      <c r="AH3899" s="27"/>
      <c r="AI3899" s="44"/>
      <c r="AJ3899" s="26"/>
      <c r="AK3899" s="5"/>
      <c r="AL3899" s="268" t="s">
        <v>6967</v>
      </c>
      <c r="AM3899" s="76"/>
      <c r="AN3899" s="76"/>
      <c r="AO3899" s="76"/>
      <c r="AP3899" s="76"/>
      <c r="AQ3899" s="76"/>
      <c r="AR3899" s="76"/>
      <c r="AS3899" s="76"/>
      <c r="AT3899" s="76"/>
      <c r="AU3899" s="76"/>
      <c r="AV3899" s="76"/>
      <c r="AW3899" s="76"/>
      <c r="AX3899" s="76">
        <f>+AW3899*600000</f>
        <v>0</v>
      </c>
      <c r="AY3899" s="76"/>
      <c r="AZ3899" s="76">
        <f>+AY3899*70000</f>
        <v>0</v>
      </c>
      <c r="BA3899" s="76"/>
      <c r="BB3899" s="76"/>
      <c r="BC3899" s="76"/>
      <c r="BD3899" s="76">
        <f>+BC3899*30000</f>
        <v>0</v>
      </c>
      <c r="BE3899" s="76"/>
      <c r="BF3899" s="76"/>
      <c r="BG3899" s="76"/>
      <c r="BH3899" s="76"/>
      <c r="BI3899" s="76"/>
      <c r="BJ3899" s="76"/>
      <c r="BK3899" s="76"/>
      <c r="BL3899" s="76">
        <f>+BK3899*31500</f>
        <v>0</v>
      </c>
      <c r="BM3899" s="76"/>
      <c r="BN3899" s="76"/>
      <c r="BO3899" s="76"/>
      <c r="BP3899" s="76"/>
      <c r="BQ3899" s="76"/>
      <c r="BR3899" s="76"/>
      <c r="BS3899" s="76"/>
      <c r="BT3899" s="76"/>
      <c r="BU3899" s="76"/>
      <c r="BV3899" s="76"/>
      <c r="BW3899" s="76"/>
      <c r="BX3899" s="76"/>
      <c r="BY3899" s="76"/>
      <c r="BZ3899" s="76"/>
      <c r="CA3899" s="76"/>
      <c r="CB3899" s="76"/>
      <c r="CC3899" s="76"/>
      <c r="CD3899" s="76"/>
      <c r="CE3899" s="76"/>
      <c r="CF3899" s="76">
        <f>+CE3899*28000</f>
        <v>0</v>
      </c>
      <c r="CG3899" s="76"/>
      <c r="CH3899" s="76">
        <f>+CG3899*22500</f>
        <v>0</v>
      </c>
      <c r="CI3899" s="76"/>
      <c r="CJ3899" s="76">
        <f>+CI3899*26000</f>
        <v>0</v>
      </c>
      <c r="CK3899" s="76"/>
      <c r="CL3899" s="76"/>
      <c r="CM3899" s="76"/>
      <c r="CN3899" s="76">
        <f>+CM3899*22000</f>
        <v>0</v>
      </c>
      <c r="CO3899" s="76"/>
      <c r="CP3899" s="76">
        <f>+CO3899*46000</f>
        <v>0</v>
      </c>
      <c r="CQ3899" s="76"/>
      <c r="CR3899" s="76">
        <f>+CQ3899*49000</f>
        <v>0</v>
      </c>
      <c r="CS3899" s="76"/>
      <c r="CT3899" s="76"/>
      <c r="CU3899" s="56">
        <f>AN3899+AP3899+AR3899+AT3899+AV3899+AX3899+AZ3899+BB3899+BD3899+BF3899+BH3899+BJ3899+BL3899+BN3899+BP3899+BR3899+BT3899+BV3899+BX3899+BZ3899+CB3899+CD3899+CF3899+CH3899+CJ3899+CL3899+CN3899+CP3899+CR3899+CT3899</f>
        <v>0</v>
      </c>
      <c r="CV3899" s="76"/>
      <c r="CW3899" s="76">
        <f>+CV3899*1100</f>
        <v>0</v>
      </c>
      <c r="CX3899" s="76"/>
      <c r="CY3899" s="76">
        <f>+CX3899*106250</f>
        <v>0</v>
      </c>
      <c r="CZ3899" s="76"/>
      <c r="DA3899" s="76">
        <f>+CZ3899*34500</f>
        <v>0</v>
      </c>
      <c r="DB3899" s="76"/>
      <c r="DC3899" s="76">
        <f>+DB3899*25000</f>
        <v>0</v>
      </c>
      <c r="DD3899" s="219"/>
      <c r="DE3899" s="76"/>
      <c r="DF3899" s="166"/>
      <c r="DG3899" s="116"/>
      <c r="DH3899" s="117"/>
      <c r="DI3899" s="24"/>
      <c r="DJ3899" s="24"/>
      <c r="DK3899" s="24"/>
      <c r="DL3899" s="24"/>
      <c r="DM3899" s="24"/>
      <c r="DN3899" s="24"/>
      <c r="DO3899" s="24"/>
      <c r="DP3899" s="24"/>
      <c r="DQ3899" s="24"/>
      <c r="DR3899" s="24"/>
      <c r="DS3899" s="24"/>
      <c r="DT3899" s="24"/>
      <c r="DU3899" s="24"/>
    </row>
    <row r="3900" spans="1:125" s="8" customFormat="1" ht="48" x14ac:dyDescent="0.2">
      <c r="A3900" s="353">
        <v>41624</v>
      </c>
      <c r="B3900" s="352" t="s">
        <v>3131</v>
      </c>
      <c r="C3900" s="354" t="s">
        <v>2747</v>
      </c>
      <c r="D3900" s="354" t="s">
        <v>4391</v>
      </c>
      <c r="E3900" s="353" t="str">
        <f>VLOOKUP(B3900&amp;C3900,Divipola!$C$2:$F$1138,4,FALSE)</f>
        <v>86001</v>
      </c>
      <c r="F3900" s="87"/>
      <c r="G3900" s="87"/>
      <c r="H3900" s="87">
        <v>1</v>
      </c>
      <c r="I3900" s="87"/>
      <c r="J3900" s="87"/>
      <c r="K3900" s="87"/>
      <c r="L3900" s="87"/>
      <c r="M3900" s="87"/>
      <c r="N3900" s="87"/>
      <c r="O3900" s="87"/>
      <c r="P3900" s="87"/>
      <c r="Q3900" s="87"/>
      <c r="R3900" s="87"/>
      <c r="S3900" s="87"/>
      <c r="T3900" s="87"/>
      <c r="U3900" s="88"/>
      <c r="V3900" s="89"/>
      <c r="W3900" s="96">
        <v>0</v>
      </c>
      <c r="X3900" s="71">
        <f>CU3900</f>
        <v>0</v>
      </c>
      <c r="Y3900" s="71">
        <f>CY3900</f>
        <v>0</v>
      </c>
      <c r="Z3900" s="71">
        <f>DA3900+DC3900+DE3900</f>
        <v>0</v>
      </c>
      <c r="AA3900" s="71">
        <f>CW3900</f>
        <v>0</v>
      </c>
      <c r="AB3900" s="71"/>
      <c r="AC3900" s="71">
        <v>0</v>
      </c>
      <c r="AD3900" s="71">
        <f>W3900+X3900+Y3900+Z3900+AA3900+AB3900+AC3900</f>
        <v>0</v>
      </c>
      <c r="AE3900" s="72">
        <v>0</v>
      </c>
      <c r="AF3900" s="5"/>
      <c r="AG3900" s="6"/>
      <c r="AH3900" s="27"/>
      <c r="AI3900" s="44"/>
      <c r="AJ3900" s="26"/>
      <c r="AK3900" s="5"/>
      <c r="AL3900" s="82" t="s">
        <v>6968</v>
      </c>
      <c r="AM3900" s="76"/>
      <c r="AN3900" s="76"/>
      <c r="AO3900" s="76"/>
      <c r="AP3900" s="76"/>
      <c r="AQ3900" s="76"/>
      <c r="AR3900" s="76"/>
      <c r="AS3900" s="76"/>
      <c r="AT3900" s="76"/>
      <c r="AU3900" s="76"/>
      <c r="AV3900" s="76"/>
      <c r="AW3900" s="76"/>
      <c r="AX3900" s="76">
        <f>+AW3900*600000</f>
        <v>0</v>
      </c>
      <c r="AY3900" s="76"/>
      <c r="AZ3900" s="76">
        <f>+AY3900*70000</f>
        <v>0</v>
      </c>
      <c r="BA3900" s="76"/>
      <c r="BB3900" s="76"/>
      <c r="BC3900" s="76"/>
      <c r="BD3900" s="76">
        <f>+BC3900*30000</f>
        <v>0</v>
      </c>
      <c r="BE3900" s="76"/>
      <c r="BF3900" s="76"/>
      <c r="BG3900" s="76"/>
      <c r="BH3900" s="76"/>
      <c r="BI3900" s="76"/>
      <c r="BJ3900" s="76"/>
      <c r="BK3900" s="76"/>
      <c r="BL3900" s="76">
        <f>+BK3900*31500</f>
        <v>0</v>
      </c>
      <c r="BM3900" s="76"/>
      <c r="BN3900" s="76"/>
      <c r="BO3900" s="76"/>
      <c r="BP3900" s="76"/>
      <c r="BQ3900" s="76"/>
      <c r="BR3900" s="76"/>
      <c r="BS3900" s="76"/>
      <c r="BT3900" s="76"/>
      <c r="BU3900" s="76"/>
      <c r="BV3900" s="76"/>
      <c r="BW3900" s="76"/>
      <c r="BX3900" s="76"/>
      <c r="BY3900" s="76"/>
      <c r="BZ3900" s="76"/>
      <c r="CA3900" s="76"/>
      <c r="CB3900" s="76"/>
      <c r="CC3900" s="76"/>
      <c r="CD3900" s="76"/>
      <c r="CE3900" s="76"/>
      <c r="CF3900" s="76">
        <f>+CE3900*28000</f>
        <v>0</v>
      </c>
      <c r="CG3900" s="76"/>
      <c r="CH3900" s="76">
        <f>+CG3900*22500</f>
        <v>0</v>
      </c>
      <c r="CI3900" s="76"/>
      <c r="CJ3900" s="76">
        <f>+CI3900*26000</f>
        <v>0</v>
      </c>
      <c r="CK3900" s="76"/>
      <c r="CL3900" s="76"/>
      <c r="CM3900" s="76"/>
      <c r="CN3900" s="76">
        <f>+CM3900*22000</f>
        <v>0</v>
      </c>
      <c r="CO3900" s="76"/>
      <c r="CP3900" s="76">
        <f>+CO3900*46000</f>
        <v>0</v>
      </c>
      <c r="CQ3900" s="76"/>
      <c r="CR3900" s="76">
        <f>+CQ3900*49000</f>
        <v>0</v>
      </c>
      <c r="CS3900" s="76"/>
      <c r="CT3900" s="76"/>
      <c r="CU3900" s="56">
        <f>AN3900+AP3900+AR3900+AT3900+AV3900+AX3900+AZ3900+BB3900+BD3900+BF3900+BH3900+BJ3900+BL3900+BN3900+BP3900+BR3900+BT3900+BV3900+BX3900+BZ3900+CB3900+CD3900+CF3900+CH3900+CJ3900+CL3900+CN3900+CP3900+CR3900+CT3900</f>
        <v>0</v>
      </c>
      <c r="CV3900" s="76"/>
      <c r="CW3900" s="76">
        <f>+CV3900*1100</f>
        <v>0</v>
      </c>
      <c r="CX3900" s="76"/>
      <c r="CY3900" s="76">
        <f>+CX3900*106250</f>
        <v>0</v>
      </c>
      <c r="CZ3900" s="76"/>
      <c r="DA3900" s="76">
        <f>+CZ3900*34500</f>
        <v>0</v>
      </c>
      <c r="DB3900" s="76"/>
      <c r="DC3900" s="76">
        <f>+DB3900*25000</f>
        <v>0</v>
      </c>
      <c r="DD3900" s="219"/>
      <c r="DE3900" s="76"/>
      <c r="DF3900" s="166"/>
      <c r="DG3900" s="116"/>
      <c r="DH3900" s="117"/>
      <c r="DI3900" s="24"/>
      <c r="DJ3900" s="24"/>
      <c r="DK3900" s="24"/>
      <c r="DL3900" s="24"/>
      <c r="DM3900" s="24"/>
      <c r="DN3900" s="24"/>
      <c r="DO3900" s="24"/>
      <c r="DP3900" s="24"/>
      <c r="DQ3900" s="24"/>
      <c r="DR3900" s="24"/>
      <c r="DS3900" s="24"/>
      <c r="DT3900" s="24"/>
      <c r="DU3900" s="24"/>
    </row>
    <row r="3901" spans="1:125" s="8" customFormat="1" ht="36" x14ac:dyDescent="0.2">
      <c r="A3901" s="77">
        <v>41624</v>
      </c>
      <c r="B3901" s="78" t="s">
        <v>2196</v>
      </c>
      <c r="C3901" s="75" t="s">
        <v>2063</v>
      </c>
      <c r="D3901" s="75" t="s">
        <v>3088</v>
      </c>
      <c r="E3901" s="353" t="str">
        <f>VLOOKUP(B3901&amp;C3901,Divipola!$C$2:$F$1138,4,FALSE)</f>
        <v>17050</v>
      </c>
      <c r="F3901" s="61"/>
      <c r="G3901" s="61"/>
      <c r="H3901" s="61"/>
      <c r="I3901" s="61"/>
      <c r="J3901" s="61"/>
      <c r="K3901" s="61"/>
      <c r="L3901" s="61"/>
      <c r="M3901" s="61">
        <v>1</v>
      </c>
      <c r="N3901" s="61"/>
      <c r="O3901" s="61"/>
      <c r="P3901" s="61"/>
      <c r="Q3901" s="61"/>
      <c r="R3901" s="61"/>
      <c r="S3901" s="61"/>
      <c r="T3901" s="61"/>
      <c r="U3901" s="61"/>
      <c r="V3901" s="7"/>
      <c r="W3901" s="96">
        <v>0</v>
      </c>
      <c r="X3901" s="71">
        <f>CU3901</f>
        <v>0</v>
      </c>
      <c r="Y3901" s="71">
        <f>CY3901</f>
        <v>0</v>
      </c>
      <c r="Z3901" s="71">
        <f>DA3901+DC3901+DE3901</f>
        <v>0</v>
      </c>
      <c r="AA3901" s="71">
        <f>CW3901</f>
        <v>0</v>
      </c>
      <c r="AB3901" s="71"/>
      <c r="AC3901" s="71">
        <v>0</v>
      </c>
      <c r="AD3901" s="71">
        <f>W3901+X3901+Y3901+Z3901+AA3901+AB3901+AC3901</f>
        <v>0</v>
      </c>
      <c r="AE3901" s="72">
        <v>0</v>
      </c>
      <c r="AF3901" s="5"/>
      <c r="AG3901" s="6"/>
      <c r="AH3901" s="27"/>
      <c r="AI3901" s="44"/>
      <c r="AJ3901" s="26"/>
      <c r="AK3901" s="5"/>
      <c r="AL3901" s="268" t="s">
        <v>6972</v>
      </c>
      <c r="AM3901" s="76"/>
      <c r="AN3901" s="76"/>
      <c r="AO3901" s="76"/>
      <c r="AP3901" s="76"/>
      <c r="AQ3901" s="76"/>
      <c r="AR3901" s="76"/>
      <c r="AS3901" s="76"/>
      <c r="AT3901" s="76"/>
      <c r="AU3901" s="76"/>
      <c r="AV3901" s="76"/>
      <c r="AW3901" s="76"/>
      <c r="AX3901" s="76">
        <f>+AW3901*600000</f>
        <v>0</v>
      </c>
      <c r="AY3901" s="76"/>
      <c r="AZ3901" s="76">
        <f>+AY3901*70000</f>
        <v>0</v>
      </c>
      <c r="BA3901" s="76"/>
      <c r="BB3901" s="76"/>
      <c r="BC3901" s="76"/>
      <c r="BD3901" s="76">
        <f>+BC3901*30000</f>
        <v>0</v>
      </c>
      <c r="BE3901" s="76"/>
      <c r="BF3901" s="76"/>
      <c r="BG3901" s="76"/>
      <c r="BH3901" s="76"/>
      <c r="BI3901" s="76"/>
      <c r="BJ3901" s="76"/>
      <c r="BK3901" s="76"/>
      <c r="BL3901" s="76">
        <f>+BK3901*31500</f>
        <v>0</v>
      </c>
      <c r="BM3901" s="76"/>
      <c r="BN3901" s="76"/>
      <c r="BO3901" s="76"/>
      <c r="BP3901" s="76"/>
      <c r="BQ3901" s="76"/>
      <c r="BR3901" s="76"/>
      <c r="BS3901" s="76"/>
      <c r="BT3901" s="76"/>
      <c r="BU3901" s="76"/>
      <c r="BV3901" s="76"/>
      <c r="BW3901" s="76"/>
      <c r="BX3901" s="76"/>
      <c r="BY3901" s="76"/>
      <c r="BZ3901" s="76"/>
      <c r="CA3901" s="76"/>
      <c r="CB3901" s="76"/>
      <c r="CC3901" s="76"/>
      <c r="CD3901" s="76"/>
      <c r="CE3901" s="76"/>
      <c r="CF3901" s="76">
        <f>+CE3901*28000</f>
        <v>0</v>
      </c>
      <c r="CG3901" s="76"/>
      <c r="CH3901" s="76">
        <f>+CG3901*22500</f>
        <v>0</v>
      </c>
      <c r="CI3901" s="76"/>
      <c r="CJ3901" s="76">
        <f>+CI3901*26000</f>
        <v>0</v>
      </c>
      <c r="CK3901" s="76"/>
      <c r="CL3901" s="76"/>
      <c r="CM3901" s="76"/>
      <c r="CN3901" s="76">
        <f>+CM3901*22000</f>
        <v>0</v>
      </c>
      <c r="CO3901" s="76"/>
      <c r="CP3901" s="76">
        <f>+CO3901*46000</f>
        <v>0</v>
      </c>
      <c r="CQ3901" s="76"/>
      <c r="CR3901" s="76">
        <f>+CQ3901*49000</f>
        <v>0</v>
      </c>
      <c r="CS3901" s="76"/>
      <c r="CT3901" s="76"/>
      <c r="CU3901" s="56">
        <f>AN3901+AP3901+AR3901+AT3901+AV3901+AX3901+AZ3901+BB3901+BD3901+BF3901+BH3901+BJ3901+BL3901+BN3901+BP3901+BR3901+BT3901+BV3901+BX3901+BZ3901+CB3901+CD3901+CF3901+CH3901+CJ3901+CL3901+CN3901+CP3901+CR3901+CT3901</f>
        <v>0</v>
      </c>
      <c r="CV3901" s="76"/>
      <c r="CW3901" s="76">
        <f>+CV3901*1100</f>
        <v>0</v>
      </c>
      <c r="CX3901" s="76"/>
      <c r="CY3901" s="76">
        <f>+CX3901*106250</f>
        <v>0</v>
      </c>
      <c r="CZ3901" s="76"/>
      <c r="DA3901" s="76">
        <f>+CZ3901*34500</f>
        <v>0</v>
      </c>
      <c r="DB3901" s="76"/>
      <c r="DC3901" s="76">
        <f>+DB3901*25000</f>
        <v>0</v>
      </c>
      <c r="DD3901" s="219"/>
      <c r="DE3901" s="76"/>
      <c r="DF3901" s="166"/>
      <c r="DG3901" s="116"/>
      <c r="DH3901" s="117"/>
      <c r="DI3901" s="24"/>
      <c r="DJ3901" s="24"/>
      <c r="DK3901" s="24"/>
      <c r="DL3901" s="24"/>
      <c r="DM3901" s="24"/>
      <c r="DN3901" s="24"/>
      <c r="DO3901" s="24"/>
      <c r="DP3901" s="24"/>
      <c r="DQ3901" s="24"/>
      <c r="DR3901" s="24"/>
      <c r="DS3901" s="24"/>
      <c r="DT3901" s="24"/>
      <c r="DU3901" s="24"/>
    </row>
    <row r="3902" spans="1:125" s="8" customFormat="1" ht="48" x14ac:dyDescent="0.2">
      <c r="A3902" s="77">
        <v>41624</v>
      </c>
      <c r="B3902" s="78" t="s">
        <v>529</v>
      </c>
      <c r="C3902" s="75" t="s">
        <v>529</v>
      </c>
      <c r="D3902" s="75" t="s">
        <v>2849</v>
      </c>
      <c r="E3902" s="353" t="str">
        <f>VLOOKUP(B3902&amp;C3902,Divipola!$C$2:$F$1138,4,FALSE)</f>
        <v>11001</v>
      </c>
      <c r="F3902" s="87">
        <v>2</v>
      </c>
      <c r="G3902" s="87"/>
      <c r="H3902" s="87"/>
      <c r="I3902" s="87">
        <v>2</v>
      </c>
      <c r="J3902" s="87"/>
      <c r="K3902" s="87"/>
      <c r="L3902" s="87"/>
      <c r="M3902" s="87"/>
      <c r="N3902" s="87"/>
      <c r="O3902" s="87"/>
      <c r="P3902" s="87"/>
      <c r="Q3902" s="87"/>
      <c r="R3902" s="87"/>
      <c r="S3902" s="87"/>
      <c r="T3902" s="87"/>
      <c r="U3902" s="88"/>
      <c r="V3902" s="89"/>
      <c r="W3902" s="96">
        <v>0</v>
      </c>
      <c r="X3902" s="71">
        <f>CU3902</f>
        <v>0</v>
      </c>
      <c r="Y3902" s="71">
        <f>CY3902</f>
        <v>0</v>
      </c>
      <c r="Z3902" s="71">
        <f>DA3902+DC3902+DE3902</f>
        <v>0</v>
      </c>
      <c r="AA3902" s="71">
        <f>CW3902</f>
        <v>0</v>
      </c>
      <c r="AB3902" s="71"/>
      <c r="AC3902" s="71">
        <v>0</v>
      </c>
      <c r="AD3902" s="71">
        <f>W3902+X3902+Y3902+Z3902+AA3902+AB3902+AC3902</f>
        <v>0</v>
      </c>
      <c r="AE3902" s="72">
        <v>0</v>
      </c>
      <c r="AF3902" s="5"/>
      <c r="AG3902" s="6"/>
      <c r="AH3902" s="27"/>
      <c r="AI3902" s="44"/>
      <c r="AJ3902" s="26"/>
      <c r="AK3902" s="5"/>
      <c r="AL3902" s="315" t="s">
        <v>6974</v>
      </c>
      <c r="AM3902" s="76"/>
      <c r="AN3902" s="76"/>
      <c r="AO3902" s="76"/>
      <c r="AP3902" s="76"/>
      <c r="AQ3902" s="76"/>
      <c r="AR3902" s="76"/>
      <c r="AS3902" s="76"/>
      <c r="AT3902" s="76"/>
      <c r="AU3902" s="76"/>
      <c r="AV3902" s="76"/>
      <c r="AW3902" s="76"/>
      <c r="AX3902" s="76">
        <f>+AW3902*600000</f>
        <v>0</v>
      </c>
      <c r="AY3902" s="76"/>
      <c r="AZ3902" s="76">
        <f>+AY3902*70000</f>
        <v>0</v>
      </c>
      <c r="BA3902" s="76"/>
      <c r="BB3902" s="76"/>
      <c r="BC3902" s="76"/>
      <c r="BD3902" s="76">
        <f>+BC3902*30000</f>
        <v>0</v>
      </c>
      <c r="BE3902" s="76"/>
      <c r="BF3902" s="76"/>
      <c r="BG3902" s="76"/>
      <c r="BH3902" s="76"/>
      <c r="BI3902" s="76"/>
      <c r="BJ3902" s="76"/>
      <c r="BK3902" s="76"/>
      <c r="BL3902" s="76">
        <f>+BK3902*31500</f>
        <v>0</v>
      </c>
      <c r="BM3902" s="76"/>
      <c r="BN3902" s="76"/>
      <c r="BO3902" s="76"/>
      <c r="BP3902" s="76"/>
      <c r="BQ3902" s="76"/>
      <c r="BR3902" s="76"/>
      <c r="BS3902" s="76"/>
      <c r="BT3902" s="76"/>
      <c r="BU3902" s="76"/>
      <c r="BV3902" s="76"/>
      <c r="BW3902" s="76"/>
      <c r="BX3902" s="76"/>
      <c r="BY3902" s="76"/>
      <c r="BZ3902" s="76"/>
      <c r="CA3902" s="76"/>
      <c r="CB3902" s="76"/>
      <c r="CC3902" s="76"/>
      <c r="CD3902" s="76"/>
      <c r="CE3902" s="76"/>
      <c r="CF3902" s="76">
        <f>+CE3902*28000</f>
        <v>0</v>
      </c>
      <c r="CG3902" s="76"/>
      <c r="CH3902" s="76">
        <f>+CG3902*22500</f>
        <v>0</v>
      </c>
      <c r="CI3902" s="76"/>
      <c r="CJ3902" s="76">
        <f>+CI3902*26000</f>
        <v>0</v>
      </c>
      <c r="CK3902" s="76"/>
      <c r="CL3902" s="76"/>
      <c r="CM3902" s="76"/>
      <c r="CN3902" s="76">
        <f>+CM3902*22000</f>
        <v>0</v>
      </c>
      <c r="CO3902" s="76"/>
      <c r="CP3902" s="76">
        <f>+CO3902*46000</f>
        <v>0</v>
      </c>
      <c r="CQ3902" s="76"/>
      <c r="CR3902" s="76">
        <f>+CQ3902*49000</f>
        <v>0</v>
      </c>
      <c r="CS3902" s="76"/>
      <c r="CT3902" s="76"/>
      <c r="CU3902" s="56">
        <f>AN3902+AP3902+AR3902+AT3902+AV3902+AX3902+AZ3902+BB3902+BD3902+BF3902+BH3902+BJ3902+BL3902+BN3902+BP3902+BR3902+BT3902+BV3902+BX3902+BZ3902+CB3902+CD3902+CF3902+CH3902+CJ3902+CL3902+CN3902+CP3902+CR3902+CT3902</f>
        <v>0</v>
      </c>
      <c r="CV3902" s="76"/>
      <c r="CW3902" s="76">
        <f>+CV3902*1100</f>
        <v>0</v>
      </c>
      <c r="CX3902" s="76"/>
      <c r="CY3902" s="76">
        <f>+CX3902*106250</f>
        <v>0</v>
      </c>
      <c r="CZ3902" s="76"/>
      <c r="DA3902" s="76">
        <f>+CZ3902*34500</f>
        <v>0</v>
      </c>
      <c r="DB3902" s="76"/>
      <c r="DC3902" s="76">
        <f>+DB3902*25000</f>
        <v>0</v>
      </c>
      <c r="DD3902" s="219"/>
      <c r="DE3902" s="76"/>
      <c r="DF3902" s="166"/>
      <c r="DG3902" s="116"/>
      <c r="DH3902" s="117"/>
      <c r="DI3902" s="24"/>
      <c r="DJ3902" s="24"/>
      <c r="DK3902" s="24"/>
      <c r="DL3902" s="24"/>
      <c r="DM3902" s="24"/>
      <c r="DN3902" s="24"/>
      <c r="DO3902" s="24"/>
      <c r="DP3902" s="24"/>
      <c r="DQ3902" s="24"/>
      <c r="DR3902" s="24"/>
      <c r="DS3902" s="24"/>
      <c r="DT3902" s="24"/>
      <c r="DU3902" s="24"/>
    </row>
    <row r="3903" spans="1:125" s="8" customFormat="1" ht="156" x14ac:dyDescent="0.2">
      <c r="A3903" s="77">
        <v>41624</v>
      </c>
      <c r="B3903" s="352" t="s">
        <v>2894</v>
      </c>
      <c r="C3903" s="354" t="s">
        <v>2615</v>
      </c>
      <c r="D3903" s="354" t="s">
        <v>4947</v>
      </c>
      <c r="E3903" s="353" t="str">
        <f>VLOOKUP(B3903&amp;C3903,Divipola!$C$2:$F$1138,4,FALSE)</f>
        <v>05837</v>
      </c>
      <c r="F3903" s="87"/>
      <c r="G3903" s="87"/>
      <c r="H3903" s="87">
        <v>14</v>
      </c>
      <c r="I3903" s="87">
        <v>14</v>
      </c>
      <c r="J3903" s="87"/>
      <c r="K3903" s="87"/>
      <c r="L3903" s="87"/>
      <c r="M3903" s="87"/>
      <c r="N3903" s="87"/>
      <c r="O3903" s="87"/>
      <c r="P3903" s="87"/>
      <c r="Q3903" s="87"/>
      <c r="R3903" s="87"/>
      <c r="S3903" s="87"/>
      <c r="T3903" s="87"/>
      <c r="U3903" s="88"/>
      <c r="V3903" s="89"/>
      <c r="W3903" s="96">
        <v>0</v>
      </c>
      <c r="X3903" s="71">
        <f>CU3903</f>
        <v>0</v>
      </c>
      <c r="Y3903" s="71">
        <f>CY3903</f>
        <v>0</v>
      </c>
      <c r="Z3903" s="71">
        <f>DA3903+DC3903+DE3903</f>
        <v>0</v>
      </c>
      <c r="AA3903" s="71">
        <f>CW3903</f>
        <v>0</v>
      </c>
      <c r="AB3903" s="71"/>
      <c r="AC3903" s="71">
        <v>0</v>
      </c>
      <c r="AD3903" s="71">
        <f>W3903+X3903+Y3903+Z3903+AA3903+AB3903+AC3903</f>
        <v>0</v>
      </c>
      <c r="AE3903" s="72">
        <v>0</v>
      </c>
      <c r="AF3903" s="5"/>
      <c r="AG3903" s="6"/>
      <c r="AH3903" s="27"/>
      <c r="AI3903" s="44"/>
      <c r="AJ3903" s="26"/>
      <c r="AK3903" s="5"/>
      <c r="AL3903" s="276" t="s">
        <v>6973</v>
      </c>
      <c r="AM3903" s="76"/>
      <c r="AN3903" s="76"/>
      <c r="AO3903" s="76"/>
      <c r="AP3903" s="76"/>
      <c r="AQ3903" s="76"/>
      <c r="AR3903" s="76"/>
      <c r="AS3903" s="76"/>
      <c r="AT3903" s="76"/>
      <c r="AU3903" s="76"/>
      <c r="AV3903" s="76"/>
      <c r="AW3903" s="76"/>
      <c r="AX3903" s="76">
        <f>+AW3903*600000</f>
        <v>0</v>
      </c>
      <c r="AY3903" s="76"/>
      <c r="AZ3903" s="76">
        <f>+AY3903*70000</f>
        <v>0</v>
      </c>
      <c r="BA3903" s="76"/>
      <c r="BB3903" s="76"/>
      <c r="BC3903" s="76"/>
      <c r="BD3903" s="76">
        <f>+BC3903*30000</f>
        <v>0</v>
      </c>
      <c r="BE3903" s="76"/>
      <c r="BF3903" s="76"/>
      <c r="BG3903" s="76"/>
      <c r="BH3903" s="76"/>
      <c r="BI3903" s="76"/>
      <c r="BJ3903" s="76"/>
      <c r="BK3903" s="76"/>
      <c r="BL3903" s="76">
        <f>+BK3903*31500</f>
        <v>0</v>
      </c>
      <c r="BM3903" s="76"/>
      <c r="BN3903" s="76"/>
      <c r="BO3903" s="76"/>
      <c r="BP3903" s="76"/>
      <c r="BQ3903" s="76"/>
      <c r="BR3903" s="76"/>
      <c r="BS3903" s="76"/>
      <c r="BT3903" s="76"/>
      <c r="BU3903" s="76"/>
      <c r="BV3903" s="76"/>
      <c r="BW3903" s="76"/>
      <c r="BX3903" s="76"/>
      <c r="BY3903" s="76"/>
      <c r="BZ3903" s="76"/>
      <c r="CA3903" s="76"/>
      <c r="CB3903" s="76"/>
      <c r="CC3903" s="76"/>
      <c r="CD3903" s="76"/>
      <c r="CE3903" s="76"/>
      <c r="CF3903" s="76">
        <f>+CE3903*28000</f>
        <v>0</v>
      </c>
      <c r="CG3903" s="76"/>
      <c r="CH3903" s="76">
        <f>+CG3903*22500</f>
        <v>0</v>
      </c>
      <c r="CI3903" s="76"/>
      <c r="CJ3903" s="76">
        <f>+CI3903*26000</f>
        <v>0</v>
      </c>
      <c r="CK3903" s="76"/>
      <c r="CL3903" s="76"/>
      <c r="CM3903" s="76"/>
      <c r="CN3903" s="76">
        <f>+CM3903*22000</f>
        <v>0</v>
      </c>
      <c r="CO3903" s="76"/>
      <c r="CP3903" s="76">
        <f>+CO3903*46000</f>
        <v>0</v>
      </c>
      <c r="CQ3903" s="76"/>
      <c r="CR3903" s="76">
        <f>+CQ3903*49000</f>
        <v>0</v>
      </c>
      <c r="CS3903" s="76"/>
      <c r="CT3903" s="76"/>
      <c r="CU3903" s="56">
        <f>AN3903+AP3903+AR3903+AT3903+AV3903+AX3903+AZ3903+BB3903+BD3903+BF3903+BH3903+BJ3903+BL3903+BN3903+BP3903+BR3903+BT3903+BV3903+BX3903+BZ3903+CB3903+CD3903+CF3903+CH3903+CJ3903+CL3903+CN3903+CP3903+CR3903+CT3903</f>
        <v>0</v>
      </c>
      <c r="CV3903" s="76"/>
      <c r="CW3903" s="76">
        <f>+CV3903*1100</f>
        <v>0</v>
      </c>
      <c r="CX3903" s="76"/>
      <c r="CY3903" s="76">
        <f>+CX3903*106250</f>
        <v>0</v>
      </c>
      <c r="CZ3903" s="76"/>
      <c r="DA3903" s="76">
        <f>+CZ3903*34500</f>
        <v>0</v>
      </c>
      <c r="DB3903" s="76"/>
      <c r="DC3903" s="76">
        <f>+DB3903*25000</f>
        <v>0</v>
      </c>
      <c r="DD3903" s="219"/>
      <c r="DE3903" s="76"/>
      <c r="DF3903" s="166"/>
      <c r="DG3903" s="116"/>
      <c r="DH3903" s="117"/>
      <c r="DI3903" s="24"/>
      <c r="DJ3903" s="24"/>
      <c r="DK3903" s="24"/>
      <c r="DL3903" s="24"/>
      <c r="DM3903" s="24"/>
      <c r="DN3903" s="24"/>
      <c r="DO3903" s="24"/>
      <c r="DP3903" s="24"/>
      <c r="DQ3903" s="24"/>
      <c r="DR3903" s="24"/>
      <c r="DS3903" s="24"/>
      <c r="DT3903" s="24"/>
      <c r="DU3903" s="24"/>
    </row>
    <row r="3904" spans="1:125" s="8" customFormat="1" ht="60" x14ac:dyDescent="0.2">
      <c r="A3904" s="77">
        <v>41625</v>
      </c>
      <c r="B3904" s="78" t="s">
        <v>2852</v>
      </c>
      <c r="C3904" s="75" t="s">
        <v>2148</v>
      </c>
      <c r="D3904" s="75" t="s">
        <v>3051</v>
      </c>
      <c r="E3904" s="353" t="str">
        <f>VLOOKUP(B3904&amp;C3904,Divipola!$C$2:$F$1138,4,FALSE)</f>
        <v>27491</v>
      </c>
      <c r="F3904" s="61"/>
      <c r="G3904" s="61"/>
      <c r="H3904" s="61"/>
      <c r="I3904" s="61"/>
      <c r="J3904" s="61"/>
      <c r="K3904" s="61"/>
      <c r="L3904" s="61"/>
      <c r="M3904" s="61"/>
      <c r="N3904" s="61"/>
      <c r="O3904" s="61"/>
      <c r="P3904" s="61"/>
      <c r="Q3904" s="61"/>
      <c r="R3904" s="61"/>
      <c r="S3904" s="61"/>
      <c r="T3904" s="61"/>
      <c r="U3904" s="61"/>
      <c r="V3904" s="7"/>
      <c r="W3904" s="96">
        <v>0</v>
      </c>
      <c r="X3904" s="71">
        <f>CU3904</f>
        <v>0</v>
      </c>
      <c r="Y3904" s="71">
        <f>CY3904</f>
        <v>0</v>
      </c>
      <c r="Z3904" s="71">
        <f>DA3904+DC3904+DE3904</f>
        <v>0</v>
      </c>
      <c r="AA3904" s="71">
        <f>CW3904</f>
        <v>0</v>
      </c>
      <c r="AB3904" s="71"/>
      <c r="AC3904" s="71">
        <v>199698277</v>
      </c>
      <c r="AD3904" s="71">
        <f>W3904+X3904+Y3904+Z3904+AA3904+AB3904+AC3904</f>
        <v>199698277</v>
      </c>
      <c r="AE3904" s="72">
        <v>0</v>
      </c>
      <c r="AF3904" s="5"/>
      <c r="AG3904" s="6"/>
      <c r="AH3904" s="27"/>
      <c r="AI3904" s="44"/>
      <c r="AJ3904" s="26"/>
      <c r="AK3904" s="5"/>
      <c r="AL3904" s="9" t="s">
        <v>6969</v>
      </c>
      <c r="AM3904" s="76"/>
      <c r="AN3904" s="76"/>
      <c r="AO3904" s="76"/>
      <c r="AP3904" s="76"/>
      <c r="AQ3904" s="76"/>
      <c r="AR3904" s="76"/>
      <c r="AS3904" s="76"/>
      <c r="AT3904" s="76"/>
      <c r="AU3904" s="76"/>
      <c r="AV3904" s="76"/>
      <c r="AW3904" s="76"/>
      <c r="AX3904" s="76">
        <f>+AW3904*600000</f>
        <v>0</v>
      </c>
      <c r="AY3904" s="76"/>
      <c r="AZ3904" s="76">
        <f>+AY3904*70000</f>
        <v>0</v>
      </c>
      <c r="BA3904" s="76"/>
      <c r="BB3904" s="76"/>
      <c r="BC3904" s="76"/>
      <c r="BD3904" s="76">
        <f>+BC3904*30000</f>
        <v>0</v>
      </c>
      <c r="BE3904" s="76"/>
      <c r="BF3904" s="76"/>
      <c r="BG3904" s="76"/>
      <c r="BH3904" s="76"/>
      <c r="BI3904" s="76"/>
      <c r="BJ3904" s="76"/>
      <c r="BK3904" s="76"/>
      <c r="BL3904" s="76">
        <f>+BK3904*31500</f>
        <v>0</v>
      </c>
      <c r="BM3904" s="76"/>
      <c r="BN3904" s="76"/>
      <c r="BO3904" s="76"/>
      <c r="BP3904" s="76"/>
      <c r="BQ3904" s="76"/>
      <c r="BR3904" s="76"/>
      <c r="BS3904" s="76"/>
      <c r="BT3904" s="76"/>
      <c r="BU3904" s="76"/>
      <c r="BV3904" s="76"/>
      <c r="BW3904" s="76"/>
      <c r="BX3904" s="76"/>
      <c r="BY3904" s="76"/>
      <c r="BZ3904" s="76"/>
      <c r="CA3904" s="76"/>
      <c r="CB3904" s="76"/>
      <c r="CC3904" s="76"/>
      <c r="CD3904" s="76"/>
      <c r="CE3904" s="76"/>
      <c r="CF3904" s="76">
        <f>+CE3904*28000</f>
        <v>0</v>
      </c>
      <c r="CG3904" s="76"/>
      <c r="CH3904" s="76">
        <f>+CG3904*22500</f>
        <v>0</v>
      </c>
      <c r="CI3904" s="76"/>
      <c r="CJ3904" s="76">
        <f>+CI3904*26000</f>
        <v>0</v>
      </c>
      <c r="CK3904" s="76"/>
      <c r="CL3904" s="76"/>
      <c r="CM3904" s="76"/>
      <c r="CN3904" s="76">
        <f>+CM3904*22000</f>
        <v>0</v>
      </c>
      <c r="CO3904" s="76"/>
      <c r="CP3904" s="76">
        <f>+CO3904*46000</f>
        <v>0</v>
      </c>
      <c r="CQ3904" s="76"/>
      <c r="CR3904" s="76">
        <f>+CQ3904*49000</f>
        <v>0</v>
      </c>
      <c r="CS3904" s="76"/>
      <c r="CT3904" s="76"/>
      <c r="CU3904" s="56">
        <f>AN3904+AP3904+AR3904+AT3904+AV3904+AX3904+AZ3904+BB3904+BD3904+BF3904+BH3904+BJ3904+BL3904+BN3904+BP3904+BR3904+BT3904+BV3904+BX3904+BZ3904+CB3904+CD3904+CF3904+CH3904+CJ3904+CL3904+CN3904+CP3904+CR3904+CT3904</f>
        <v>0</v>
      </c>
      <c r="CV3904" s="76"/>
      <c r="CW3904" s="76">
        <f>+CV3904*1100</f>
        <v>0</v>
      </c>
      <c r="CX3904" s="76"/>
      <c r="CY3904" s="76">
        <f>+CX3904*106250</f>
        <v>0</v>
      </c>
      <c r="CZ3904" s="76"/>
      <c r="DA3904" s="76">
        <f>+CZ3904*34500</f>
        <v>0</v>
      </c>
      <c r="DB3904" s="76"/>
      <c r="DC3904" s="76">
        <f>+DB3904*25000</f>
        <v>0</v>
      </c>
      <c r="DD3904" s="219"/>
      <c r="DE3904" s="76"/>
      <c r="DF3904" s="166"/>
      <c r="DG3904" s="116"/>
      <c r="DH3904" s="117"/>
      <c r="DI3904" s="24"/>
      <c r="DJ3904" s="24"/>
      <c r="DK3904" s="24"/>
      <c r="DL3904" s="24"/>
      <c r="DM3904" s="24"/>
      <c r="DN3904" s="24"/>
      <c r="DO3904" s="24"/>
      <c r="DP3904" s="24"/>
      <c r="DQ3904" s="24"/>
      <c r="DR3904" s="24"/>
      <c r="DS3904" s="24"/>
      <c r="DT3904" s="24"/>
      <c r="DU3904" s="24"/>
    </row>
    <row r="3905" spans="1:125" s="8" customFormat="1" x14ac:dyDescent="0.2">
      <c r="A3905" s="77"/>
      <c r="B3905" s="78"/>
      <c r="C3905" s="75"/>
      <c r="D3905" s="75"/>
      <c r="E3905" s="2"/>
      <c r="F3905" s="61"/>
      <c r="G3905" s="61"/>
      <c r="H3905" s="61"/>
      <c r="I3905" s="61"/>
      <c r="J3905" s="61"/>
      <c r="K3905" s="61"/>
      <c r="L3905" s="61"/>
      <c r="M3905" s="61"/>
      <c r="N3905" s="61"/>
      <c r="O3905" s="61"/>
      <c r="P3905" s="61"/>
      <c r="Q3905" s="61"/>
      <c r="R3905" s="61"/>
      <c r="S3905" s="61"/>
      <c r="T3905" s="61"/>
      <c r="U3905" s="61"/>
      <c r="V3905" s="7"/>
      <c r="W3905" s="96">
        <v>0</v>
      </c>
      <c r="X3905" s="71">
        <f t="shared" ref="X3901:X3913" si="0">CU3905</f>
        <v>0</v>
      </c>
      <c r="Y3905" s="71">
        <f t="shared" ref="Y3901:Y3913" si="1">CY3905</f>
        <v>0</v>
      </c>
      <c r="Z3905" s="71">
        <f t="shared" ref="Z3901:Z3913" si="2">DA3905+DC3905+DE3905</f>
        <v>0</v>
      </c>
      <c r="AA3905" s="71">
        <f t="shared" ref="AA3901:AA3913" si="3">CW3905</f>
        <v>0</v>
      </c>
      <c r="AB3905" s="71"/>
      <c r="AC3905" s="71">
        <v>0</v>
      </c>
      <c r="AD3905" s="71">
        <f t="shared" ref="AD3901:AD3913" si="4">W3905+X3905+Y3905+Z3905+AA3905+AB3905+AC3905</f>
        <v>0</v>
      </c>
      <c r="AE3905" s="72">
        <v>0</v>
      </c>
      <c r="AF3905" s="5"/>
      <c r="AG3905" s="6"/>
      <c r="AH3905" s="27"/>
      <c r="AI3905" s="44"/>
      <c r="AJ3905" s="26"/>
      <c r="AK3905" s="5"/>
      <c r="AL3905" s="9"/>
      <c r="AM3905" s="76"/>
      <c r="AN3905" s="76"/>
      <c r="AO3905" s="76"/>
      <c r="AP3905" s="76"/>
      <c r="AQ3905" s="76"/>
      <c r="AR3905" s="76"/>
      <c r="AS3905" s="76"/>
      <c r="AT3905" s="76"/>
      <c r="AU3905" s="76"/>
      <c r="AV3905" s="76"/>
      <c r="AW3905" s="76"/>
      <c r="AX3905" s="76">
        <f t="shared" ref="AX3901:AX3913" si="5">+AW3905*600000</f>
        <v>0</v>
      </c>
      <c r="AY3905" s="76"/>
      <c r="AZ3905" s="76">
        <f t="shared" ref="AZ3901:AZ3913" si="6">+AY3905*70000</f>
        <v>0</v>
      </c>
      <c r="BA3905" s="76"/>
      <c r="BB3905" s="76"/>
      <c r="BC3905" s="76"/>
      <c r="BD3905" s="76">
        <f t="shared" ref="BD3901:BD3913" si="7">+BC3905*30000</f>
        <v>0</v>
      </c>
      <c r="BE3905" s="76"/>
      <c r="BF3905" s="76"/>
      <c r="BG3905" s="76"/>
      <c r="BH3905" s="76"/>
      <c r="BI3905" s="76"/>
      <c r="BJ3905" s="76"/>
      <c r="BK3905" s="76"/>
      <c r="BL3905" s="76">
        <f t="shared" ref="BL3901:BL3913" si="8">+BK3905*31500</f>
        <v>0</v>
      </c>
      <c r="BM3905" s="76"/>
      <c r="BN3905" s="76"/>
      <c r="BO3905" s="76"/>
      <c r="BP3905" s="76"/>
      <c r="BQ3905" s="76"/>
      <c r="BR3905" s="76"/>
      <c r="BS3905" s="76"/>
      <c r="BT3905" s="76"/>
      <c r="BU3905" s="76"/>
      <c r="BV3905" s="76"/>
      <c r="BW3905" s="76"/>
      <c r="BX3905" s="76"/>
      <c r="BY3905" s="76"/>
      <c r="BZ3905" s="76"/>
      <c r="CA3905" s="76"/>
      <c r="CB3905" s="76"/>
      <c r="CC3905" s="76"/>
      <c r="CD3905" s="76"/>
      <c r="CE3905" s="76"/>
      <c r="CF3905" s="76">
        <f t="shared" ref="CF3901:CF3913" si="9">+CE3905*28000</f>
        <v>0</v>
      </c>
      <c r="CG3905" s="76"/>
      <c r="CH3905" s="76">
        <f t="shared" ref="CH3901:CH3913" si="10">+CG3905*22500</f>
        <v>0</v>
      </c>
      <c r="CI3905" s="76"/>
      <c r="CJ3905" s="76">
        <f t="shared" ref="CJ3901:CJ3913" si="11">+CI3905*26000</f>
        <v>0</v>
      </c>
      <c r="CK3905" s="76"/>
      <c r="CL3905" s="76"/>
      <c r="CM3905" s="76"/>
      <c r="CN3905" s="76">
        <f t="shared" ref="CN3901:CN3913" si="12">+CM3905*22000</f>
        <v>0</v>
      </c>
      <c r="CO3905" s="76"/>
      <c r="CP3905" s="76">
        <f t="shared" ref="CP3901:CP3913" si="13">+CO3905*46000</f>
        <v>0</v>
      </c>
      <c r="CQ3905" s="76"/>
      <c r="CR3905" s="76">
        <f t="shared" ref="CR3901:CR3913" si="14">+CQ3905*49000</f>
        <v>0</v>
      </c>
      <c r="CS3905" s="76"/>
      <c r="CT3905" s="76"/>
      <c r="CU3905" s="56">
        <f t="shared" ref="CU3901:CU3913" si="15">AN3905+AP3905+AR3905+AT3905+AV3905+AX3905+AZ3905+BB3905+BD3905+BF3905+BH3905+BJ3905+BL3905+BN3905+BP3905+BR3905+BT3905+BV3905+BX3905+BZ3905+CB3905+CD3905+CF3905+CH3905+CJ3905+CL3905+CN3905+CP3905+CR3905+CT3905</f>
        <v>0</v>
      </c>
      <c r="CV3905" s="76"/>
      <c r="CW3905" s="76">
        <f t="shared" ref="CW3901:CW3913" si="16">+CV3905*1100</f>
        <v>0</v>
      </c>
      <c r="CX3905" s="76"/>
      <c r="CY3905" s="76">
        <f t="shared" ref="CY3901:CY3913" si="17">+CX3905*106250</f>
        <v>0</v>
      </c>
      <c r="CZ3905" s="76"/>
      <c r="DA3905" s="76">
        <f t="shared" ref="DA3901:DA3913" si="18">+CZ3905*34500</f>
        <v>0</v>
      </c>
      <c r="DB3905" s="76"/>
      <c r="DC3905" s="76">
        <f t="shared" ref="DC3901:DC3913" si="19">+DB3905*25000</f>
        <v>0</v>
      </c>
      <c r="DD3905" s="219"/>
      <c r="DE3905" s="76"/>
      <c r="DF3905" s="166"/>
      <c r="DG3905" s="116"/>
      <c r="DH3905" s="117"/>
      <c r="DI3905" s="24"/>
      <c r="DJ3905" s="24"/>
      <c r="DK3905" s="24"/>
      <c r="DL3905" s="24"/>
      <c r="DM3905" s="24"/>
      <c r="DN3905" s="24"/>
      <c r="DO3905" s="24"/>
      <c r="DP3905" s="24"/>
      <c r="DQ3905" s="24"/>
      <c r="DR3905" s="24"/>
      <c r="DS3905" s="24"/>
      <c r="DT3905" s="24"/>
      <c r="DU3905" s="24"/>
    </row>
    <row r="3906" spans="1:125" s="8" customFormat="1" x14ac:dyDescent="0.2">
      <c r="A3906" s="77"/>
      <c r="B3906" s="78"/>
      <c r="C3906" s="75"/>
      <c r="D3906" s="75"/>
      <c r="E3906" s="2"/>
      <c r="F3906" s="61"/>
      <c r="G3906" s="61"/>
      <c r="H3906" s="61"/>
      <c r="I3906" s="61"/>
      <c r="J3906" s="61"/>
      <c r="K3906" s="61"/>
      <c r="L3906" s="61"/>
      <c r="M3906" s="61"/>
      <c r="N3906" s="61"/>
      <c r="O3906" s="61"/>
      <c r="P3906" s="61"/>
      <c r="Q3906" s="61"/>
      <c r="R3906" s="61"/>
      <c r="S3906" s="61"/>
      <c r="T3906" s="61"/>
      <c r="U3906" s="61"/>
      <c r="V3906" s="7"/>
      <c r="W3906" s="96">
        <v>0</v>
      </c>
      <c r="X3906" s="71">
        <f t="shared" si="0"/>
        <v>0</v>
      </c>
      <c r="Y3906" s="71">
        <f t="shared" si="1"/>
        <v>0</v>
      </c>
      <c r="Z3906" s="71">
        <f t="shared" si="2"/>
        <v>0</v>
      </c>
      <c r="AA3906" s="71">
        <f t="shared" si="3"/>
        <v>0</v>
      </c>
      <c r="AB3906" s="71"/>
      <c r="AC3906" s="71">
        <v>0</v>
      </c>
      <c r="AD3906" s="71">
        <f t="shared" si="4"/>
        <v>0</v>
      </c>
      <c r="AE3906" s="72">
        <v>0</v>
      </c>
      <c r="AF3906" s="5"/>
      <c r="AG3906" s="6"/>
      <c r="AH3906" s="27"/>
      <c r="AI3906" s="44"/>
      <c r="AJ3906" s="26"/>
      <c r="AK3906" s="5"/>
      <c r="AL3906" s="9"/>
      <c r="AM3906" s="76"/>
      <c r="AN3906" s="76"/>
      <c r="AO3906" s="76"/>
      <c r="AP3906" s="76"/>
      <c r="AQ3906" s="76"/>
      <c r="AR3906" s="76"/>
      <c r="AS3906" s="76"/>
      <c r="AT3906" s="76"/>
      <c r="AU3906" s="76"/>
      <c r="AV3906" s="76"/>
      <c r="AW3906" s="76"/>
      <c r="AX3906" s="76">
        <f t="shared" si="5"/>
        <v>0</v>
      </c>
      <c r="AY3906" s="76"/>
      <c r="AZ3906" s="76">
        <f t="shared" si="6"/>
        <v>0</v>
      </c>
      <c r="BA3906" s="76"/>
      <c r="BB3906" s="76"/>
      <c r="BC3906" s="76"/>
      <c r="BD3906" s="76">
        <f t="shared" si="7"/>
        <v>0</v>
      </c>
      <c r="BE3906" s="76"/>
      <c r="BF3906" s="76"/>
      <c r="BG3906" s="76"/>
      <c r="BH3906" s="76"/>
      <c r="BI3906" s="76"/>
      <c r="BJ3906" s="76"/>
      <c r="BK3906" s="76"/>
      <c r="BL3906" s="76">
        <f t="shared" si="8"/>
        <v>0</v>
      </c>
      <c r="BM3906" s="76"/>
      <c r="BN3906" s="76"/>
      <c r="BO3906" s="76"/>
      <c r="BP3906" s="76"/>
      <c r="BQ3906" s="76"/>
      <c r="BR3906" s="76"/>
      <c r="BS3906" s="76"/>
      <c r="BT3906" s="76"/>
      <c r="BU3906" s="76"/>
      <c r="BV3906" s="76"/>
      <c r="BW3906" s="76"/>
      <c r="BX3906" s="76"/>
      <c r="BY3906" s="76"/>
      <c r="BZ3906" s="76"/>
      <c r="CA3906" s="76"/>
      <c r="CB3906" s="76"/>
      <c r="CC3906" s="76"/>
      <c r="CD3906" s="76"/>
      <c r="CE3906" s="76"/>
      <c r="CF3906" s="76">
        <f t="shared" si="9"/>
        <v>0</v>
      </c>
      <c r="CG3906" s="76"/>
      <c r="CH3906" s="76">
        <f t="shared" si="10"/>
        <v>0</v>
      </c>
      <c r="CI3906" s="76"/>
      <c r="CJ3906" s="76">
        <f t="shared" si="11"/>
        <v>0</v>
      </c>
      <c r="CK3906" s="76"/>
      <c r="CL3906" s="76"/>
      <c r="CM3906" s="76"/>
      <c r="CN3906" s="76">
        <f t="shared" si="12"/>
        <v>0</v>
      </c>
      <c r="CO3906" s="76"/>
      <c r="CP3906" s="76">
        <f t="shared" si="13"/>
        <v>0</v>
      </c>
      <c r="CQ3906" s="76"/>
      <c r="CR3906" s="76">
        <f t="shared" si="14"/>
        <v>0</v>
      </c>
      <c r="CS3906" s="76"/>
      <c r="CT3906" s="76"/>
      <c r="CU3906" s="56">
        <f t="shared" si="15"/>
        <v>0</v>
      </c>
      <c r="CV3906" s="76"/>
      <c r="CW3906" s="76">
        <f t="shared" si="16"/>
        <v>0</v>
      </c>
      <c r="CX3906" s="76"/>
      <c r="CY3906" s="76">
        <f t="shared" si="17"/>
        <v>0</v>
      </c>
      <c r="CZ3906" s="76"/>
      <c r="DA3906" s="76">
        <f t="shared" si="18"/>
        <v>0</v>
      </c>
      <c r="DB3906" s="76"/>
      <c r="DC3906" s="76">
        <f t="shared" si="19"/>
        <v>0</v>
      </c>
      <c r="DD3906" s="219"/>
      <c r="DE3906" s="76"/>
      <c r="DF3906" s="166"/>
      <c r="DG3906" s="116"/>
      <c r="DH3906" s="117"/>
      <c r="DI3906" s="24"/>
      <c r="DJ3906" s="24"/>
      <c r="DK3906" s="24"/>
      <c r="DL3906" s="24"/>
      <c r="DM3906" s="24"/>
      <c r="DN3906" s="24"/>
      <c r="DO3906" s="24"/>
      <c r="DP3906" s="24"/>
      <c r="DQ3906" s="24"/>
      <c r="DR3906" s="24"/>
      <c r="DS3906" s="24"/>
      <c r="DT3906" s="24"/>
      <c r="DU3906" s="24"/>
    </row>
    <row r="3907" spans="1:125" s="8" customFormat="1" x14ac:dyDescent="0.2">
      <c r="A3907" s="77"/>
      <c r="B3907" s="78"/>
      <c r="C3907" s="75"/>
      <c r="D3907" s="75"/>
      <c r="E3907" s="2"/>
      <c r="F3907" s="61"/>
      <c r="G3907" s="61"/>
      <c r="H3907" s="61"/>
      <c r="I3907" s="61"/>
      <c r="J3907" s="61"/>
      <c r="K3907" s="61"/>
      <c r="L3907" s="61"/>
      <c r="M3907" s="61"/>
      <c r="N3907" s="61"/>
      <c r="O3907" s="61"/>
      <c r="P3907" s="61"/>
      <c r="Q3907" s="61"/>
      <c r="R3907" s="61"/>
      <c r="S3907" s="61"/>
      <c r="T3907" s="61"/>
      <c r="U3907" s="61"/>
      <c r="V3907" s="7"/>
      <c r="W3907" s="96">
        <v>0</v>
      </c>
      <c r="X3907" s="71">
        <f t="shared" si="0"/>
        <v>0</v>
      </c>
      <c r="Y3907" s="71">
        <f t="shared" si="1"/>
        <v>0</v>
      </c>
      <c r="Z3907" s="71">
        <f t="shared" si="2"/>
        <v>0</v>
      </c>
      <c r="AA3907" s="71">
        <f t="shared" si="3"/>
        <v>0</v>
      </c>
      <c r="AB3907" s="71"/>
      <c r="AC3907" s="71">
        <v>0</v>
      </c>
      <c r="AD3907" s="71">
        <f t="shared" si="4"/>
        <v>0</v>
      </c>
      <c r="AE3907" s="72">
        <v>0</v>
      </c>
      <c r="AF3907" s="5"/>
      <c r="AG3907" s="6"/>
      <c r="AH3907" s="27"/>
      <c r="AI3907" s="44"/>
      <c r="AJ3907" s="26"/>
      <c r="AK3907" s="5"/>
      <c r="AL3907" s="9"/>
      <c r="AM3907" s="76"/>
      <c r="AN3907" s="76"/>
      <c r="AO3907" s="76"/>
      <c r="AP3907" s="76"/>
      <c r="AQ3907" s="76"/>
      <c r="AR3907" s="76"/>
      <c r="AS3907" s="76"/>
      <c r="AT3907" s="76"/>
      <c r="AU3907" s="76"/>
      <c r="AV3907" s="76"/>
      <c r="AW3907" s="76"/>
      <c r="AX3907" s="76">
        <f t="shared" si="5"/>
        <v>0</v>
      </c>
      <c r="AY3907" s="76"/>
      <c r="AZ3907" s="76">
        <f t="shared" si="6"/>
        <v>0</v>
      </c>
      <c r="BA3907" s="76"/>
      <c r="BB3907" s="76"/>
      <c r="BC3907" s="76"/>
      <c r="BD3907" s="76">
        <f t="shared" si="7"/>
        <v>0</v>
      </c>
      <c r="BE3907" s="76"/>
      <c r="BF3907" s="76"/>
      <c r="BG3907" s="76"/>
      <c r="BH3907" s="76"/>
      <c r="BI3907" s="76"/>
      <c r="BJ3907" s="76"/>
      <c r="BK3907" s="76"/>
      <c r="BL3907" s="76">
        <f t="shared" si="8"/>
        <v>0</v>
      </c>
      <c r="BM3907" s="76"/>
      <c r="BN3907" s="76"/>
      <c r="BO3907" s="76"/>
      <c r="BP3907" s="76"/>
      <c r="BQ3907" s="76"/>
      <c r="BR3907" s="76"/>
      <c r="BS3907" s="76"/>
      <c r="BT3907" s="76"/>
      <c r="BU3907" s="76"/>
      <c r="BV3907" s="76"/>
      <c r="BW3907" s="76"/>
      <c r="BX3907" s="76"/>
      <c r="BY3907" s="76"/>
      <c r="BZ3907" s="76"/>
      <c r="CA3907" s="76"/>
      <c r="CB3907" s="76"/>
      <c r="CC3907" s="76"/>
      <c r="CD3907" s="76"/>
      <c r="CE3907" s="76"/>
      <c r="CF3907" s="76">
        <f t="shared" si="9"/>
        <v>0</v>
      </c>
      <c r="CG3907" s="76"/>
      <c r="CH3907" s="76">
        <f t="shared" si="10"/>
        <v>0</v>
      </c>
      <c r="CI3907" s="76"/>
      <c r="CJ3907" s="76">
        <f t="shared" si="11"/>
        <v>0</v>
      </c>
      <c r="CK3907" s="76"/>
      <c r="CL3907" s="76"/>
      <c r="CM3907" s="76"/>
      <c r="CN3907" s="76">
        <f t="shared" si="12"/>
        <v>0</v>
      </c>
      <c r="CO3907" s="76"/>
      <c r="CP3907" s="76">
        <f t="shared" si="13"/>
        <v>0</v>
      </c>
      <c r="CQ3907" s="76"/>
      <c r="CR3907" s="76">
        <f t="shared" si="14"/>
        <v>0</v>
      </c>
      <c r="CS3907" s="76"/>
      <c r="CT3907" s="76"/>
      <c r="CU3907" s="56">
        <f t="shared" si="15"/>
        <v>0</v>
      </c>
      <c r="CV3907" s="76"/>
      <c r="CW3907" s="76">
        <f t="shared" si="16"/>
        <v>0</v>
      </c>
      <c r="CX3907" s="76"/>
      <c r="CY3907" s="76">
        <f t="shared" si="17"/>
        <v>0</v>
      </c>
      <c r="CZ3907" s="76"/>
      <c r="DA3907" s="76">
        <f t="shared" si="18"/>
        <v>0</v>
      </c>
      <c r="DB3907" s="76"/>
      <c r="DC3907" s="76">
        <f t="shared" si="19"/>
        <v>0</v>
      </c>
      <c r="DD3907" s="219"/>
      <c r="DE3907" s="76"/>
      <c r="DF3907" s="166"/>
      <c r="DG3907" s="116"/>
      <c r="DH3907" s="117"/>
      <c r="DI3907" s="24"/>
      <c r="DJ3907" s="24"/>
      <c r="DK3907" s="24"/>
      <c r="DL3907" s="24"/>
      <c r="DM3907" s="24"/>
      <c r="DN3907" s="24"/>
      <c r="DO3907" s="24"/>
      <c r="DP3907" s="24"/>
      <c r="DQ3907" s="24"/>
      <c r="DR3907" s="24"/>
      <c r="DS3907" s="24"/>
      <c r="DT3907" s="24"/>
      <c r="DU3907" s="24"/>
    </row>
    <row r="3908" spans="1:125" s="8" customFormat="1" x14ac:dyDescent="0.2">
      <c r="A3908" s="77"/>
      <c r="B3908" s="78"/>
      <c r="C3908" s="75"/>
      <c r="D3908" s="75"/>
      <c r="E3908" s="2"/>
      <c r="F3908" s="61"/>
      <c r="G3908" s="61"/>
      <c r="H3908" s="61"/>
      <c r="I3908" s="61"/>
      <c r="J3908" s="61"/>
      <c r="K3908" s="61"/>
      <c r="L3908" s="61"/>
      <c r="M3908" s="61"/>
      <c r="N3908" s="61"/>
      <c r="O3908" s="61"/>
      <c r="P3908" s="61"/>
      <c r="Q3908" s="61"/>
      <c r="R3908" s="61"/>
      <c r="S3908" s="61"/>
      <c r="T3908" s="61"/>
      <c r="U3908" s="61"/>
      <c r="V3908" s="7"/>
      <c r="W3908" s="96">
        <v>0</v>
      </c>
      <c r="X3908" s="71">
        <f t="shared" si="0"/>
        <v>0</v>
      </c>
      <c r="Y3908" s="71">
        <f t="shared" si="1"/>
        <v>0</v>
      </c>
      <c r="Z3908" s="71">
        <f t="shared" si="2"/>
        <v>0</v>
      </c>
      <c r="AA3908" s="71">
        <f t="shared" si="3"/>
        <v>0</v>
      </c>
      <c r="AB3908" s="71"/>
      <c r="AC3908" s="71">
        <v>0</v>
      </c>
      <c r="AD3908" s="71">
        <f t="shared" si="4"/>
        <v>0</v>
      </c>
      <c r="AE3908" s="72">
        <v>0</v>
      </c>
      <c r="AF3908" s="5"/>
      <c r="AG3908" s="6"/>
      <c r="AH3908" s="27"/>
      <c r="AI3908" s="44"/>
      <c r="AJ3908" s="26"/>
      <c r="AK3908" s="5"/>
      <c r="AL3908" s="9"/>
      <c r="AM3908" s="76"/>
      <c r="AN3908" s="76"/>
      <c r="AO3908" s="76"/>
      <c r="AP3908" s="76"/>
      <c r="AQ3908" s="76"/>
      <c r="AR3908" s="76"/>
      <c r="AS3908" s="76"/>
      <c r="AT3908" s="76"/>
      <c r="AU3908" s="76"/>
      <c r="AV3908" s="76"/>
      <c r="AW3908" s="76"/>
      <c r="AX3908" s="76">
        <f t="shared" si="5"/>
        <v>0</v>
      </c>
      <c r="AY3908" s="76"/>
      <c r="AZ3908" s="76">
        <f t="shared" si="6"/>
        <v>0</v>
      </c>
      <c r="BA3908" s="76"/>
      <c r="BB3908" s="76"/>
      <c r="BC3908" s="76"/>
      <c r="BD3908" s="76">
        <f t="shared" si="7"/>
        <v>0</v>
      </c>
      <c r="BE3908" s="76"/>
      <c r="BF3908" s="76"/>
      <c r="BG3908" s="76"/>
      <c r="BH3908" s="76"/>
      <c r="BI3908" s="76"/>
      <c r="BJ3908" s="76"/>
      <c r="BK3908" s="76"/>
      <c r="BL3908" s="76">
        <f t="shared" si="8"/>
        <v>0</v>
      </c>
      <c r="BM3908" s="76"/>
      <c r="BN3908" s="76"/>
      <c r="BO3908" s="76"/>
      <c r="BP3908" s="76"/>
      <c r="BQ3908" s="76"/>
      <c r="BR3908" s="76"/>
      <c r="BS3908" s="76"/>
      <c r="BT3908" s="76"/>
      <c r="BU3908" s="76"/>
      <c r="BV3908" s="76"/>
      <c r="BW3908" s="76"/>
      <c r="BX3908" s="76"/>
      <c r="BY3908" s="76"/>
      <c r="BZ3908" s="76"/>
      <c r="CA3908" s="76"/>
      <c r="CB3908" s="76"/>
      <c r="CC3908" s="76"/>
      <c r="CD3908" s="76"/>
      <c r="CE3908" s="76"/>
      <c r="CF3908" s="76">
        <f t="shared" si="9"/>
        <v>0</v>
      </c>
      <c r="CG3908" s="76"/>
      <c r="CH3908" s="76">
        <f t="shared" si="10"/>
        <v>0</v>
      </c>
      <c r="CI3908" s="76"/>
      <c r="CJ3908" s="76">
        <f t="shared" si="11"/>
        <v>0</v>
      </c>
      <c r="CK3908" s="76"/>
      <c r="CL3908" s="76"/>
      <c r="CM3908" s="76"/>
      <c r="CN3908" s="76">
        <f t="shared" si="12"/>
        <v>0</v>
      </c>
      <c r="CO3908" s="76"/>
      <c r="CP3908" s="76">
        <f t="shared" si="13"/>
        <v>0</v>
      </c>
      <c r="CQ3908" s="76"/>
      <c r="CR3908" s="76">
        <f t="shared" si="14"/>
        <v>0</v>
      </c>
      <c r="CS3908" s="76"/>
      <c r="CT3908" s="76"/>
      <c r="CU3908" s="56">
        <f t="shared" si="15"/>
        <v>0</v>
      </c>
      <c r="CV3908" s="76"/>
      <c r="CW3908" s="76">
        <f t="shared" si="16"/>
        <v>0</v>
      </c>
      <c r="CX3908" s="76"/>
      <c r="CY3908" s="76">
        <f t="shared" si="17"/>
        <v>0</v>
      </c>
      <c r="CZ3908" s="76"/>
      <c r="DA3908" s="76">
        <f t="shared" si="18"/>
        <v>0</v>
      </c>
      <c r="DB3908" s="76"/>
      <c r="DC3908" s="76">
        <f t="shared" si="19"/>
        <v>0</v>
      </c>
      <c r="DD3908" s="219"/>
      <c r="DE3908" s="76"/>
      <c r="DF3908" s="166"/>
      <c r="DG3908" s="116"/>
      <c r="DH3908" s="117"/>
      <c r="DI3908" s="24"/>
      <c r="DJ3908" s="24"/>
      <c r="DK3908" s="24"/>
      <c r="DL3908" s="24"/>
      <c r="DM3908" s="24"/>
      <c r="DN3908" s="24"/>
      <c r="DO3908" s="24"/>
      <c r="DP3908" s="24"/>
      <c r="DQ3908" s="24"/>
      <c r="DR3908" s="24"/>
      <c r="DS3908" s="24"/>
      <c r="DT3908" s="24"/>
      <c r="DU3908" s="24"/>
    </row>
    <row r="3909" spans="1:125" s="8" customFormat="1" x14ac:dyDescent="0.2">
      <c r="A3909" s="77"/>
      <c r="B3909" s="78"/>
      <c r="C3909" s="75"/>
      <c r="D3909" s="75"/>
      <c r="E3909" s="2"/>
      <c r="F3909" s="61"/>
      <c r="G3909" s="61"/>
      <c r="H3909" s="61"/>
      <c r="I3909" s="61"/>
      <c r="J3909" s="61"/>
      <c r="K3909" s="61"/>
      <c r="L3909" s="61"/>
      <c r="M3909" s="61"/>
      <c r="N3909" s="61"/>
      <c r="O3909" s="61"/>
      <c r="P3909" s="61"/>
      <c r="Q3909" s="61"/>
      <c r="R3909" s="61"/>
      <c r="S3909" s="61"/>
      <c r="T3909" s="61"/>
      <c r="U3909" s="61"/>
      <c r="V3909" s="7"/>
      <c r="W3909" s="96">
        <v>0</v>
      </c>
      <c r="X3909" s="71">
        <f t="shared" si="0"/>
        <v>0</v>
      </c>
      <c r="Y3909" s="71">
        <f t="shared" si="1"/>
        <v>0</v>
      </c>
      <c r="Z3909" s="71">
        <f t="shared" si="2"/>
        <v>0</v>
      </c>
      <c r="AA3909" s="71">
        <f t="shared" si="3"/>
        <v>0</v>
      </c>
      <c r="AB3909" s="71"/>
      <c r="AC3909" s="71">
        <v>0</v>
      </c>
      <c r="AD3909" s="71">
        <f t="shared" si="4"/>
        <v>0</v>
      </c>
      <c r="AE3909" s="72">
        <v>0</v>
      </c>
      <c r="AF3909" s="5"/>
      <c r="AG3909" s="6"/>
      <c r="AH3909" s="27"/>
      <c r="AI3909" s="44"/>
      <c r="AJ3909" s="26"/>
      <c r="AK3909" s="5"/>
      <c r="AL3909" s="9"/>
      <c r="AM3909" s="76"/>
      <c r="AN3909" s="76"/>
      <c r="AO3909" s="76"/>
      <c r="AP3909" s="76"/>
      <c r="AQ3909" s="76"/>
      <c r="AR3909" s="76"/>
      <c r="AS3909" s="76"/>
      <c r="AT3909" s="76"/>
      <c r="AU3909" s="76"/>
      <c r="AV3909" s="76"/>
      <c r="AW3909" s="76"/>
      <c r="AX3909" s="76">
        <f t="shared" si="5"/>
        <v>0</v>
      </c>
      <c r="AY3909" s="76"/>
      <c r="AZ3909" s="76">
        <f t="shared" si="6"/>
        <v>0</v>
      </c>
      <c r="BA3909" s="76"/>
      <c r="BB3909" s="76"/>
      <c r="BC3909" s="76"/>
      <c r="BD3909" s="76">
        <f t="shared" si="7"/>
        <v>0</v>
      </c>
      <c r="BE3909" s="76"/>
      <c r="BF3909" s="76"/>
      <c r="BG3909" s="76"/>
      <c r="BH3909" s="76"/>
      <c r="BI3909" s="76"/>
      <c r="BJ3909" s="76"/>
      <c r="BK3909" s="76"/>
      <c r="BL3909" s="76">
        <f t="shared" si="8"/>
        <v>0</v>
      </c>
      <c r="BM3909" s="76"/>
      <c r="BN3909" s="76"/>
      <c r="BO3909" s="76"/>
      <c r="BP3909" s="76"/>
      <c r="BQ3909" s="76"/>
      <c r="BR3909" s="76"/>
      <c r="BS3909" s="76"/>
      <c r="BT3909" s="76"/>
      <c r="BU3909" s="76"/>
      <c r="BV3909" s="76"/>
      <c r="BW3909" s="76"/>
      <c r="BX3909" s="76"/>
      <c r="BY3909" s="76"/>
      <c r="BZ3909" s="76"/>
      <c r="CA3909" s="76"/>
      <c r="CB3909" s="76"/>
      <c r="CC3909" s="76"/>
      <c r="CD3909" s="76"/>
      <c r="CE3909" s="76"/>
      <c r="CF3909" s="76">
        <f t="shared" si="9"/>
        <v>0</v>
      </c>
      <c r="CG3909" s="76"/>
      <c r="CH3909" s="76">
        <f t="shared" si="10"/>
        <v>0</v>
      </c>
      <c r="CI3909" s="76"/>
      <c r="CJ3909" s="76">
        <f t="shared" si="11"/>
        <v>0</v>
      </c>
      <c r="CK3909" s="76"/>
      <c r="CL3909" s="76"/>
      <c r="CM3909" s="76"/>
      <c r="CN3909" s="76">
        <f t="shared" si="12"/>
        <v>0</v>
      </c>
      <c r="CO3909" s="76"/>
      <c r="CP3909" s="76">
        <f t="shared" si="13"/>
        <v>0</v>
      </c>
      <c r="CQ3909" s="76"/>
      <c r="CR3909" s="76">
        <f t="shared" si="14"/>
        <v>0</v>
      </c>
      <c r="CS3909" s="76"/>
      <c r="CT3909" s="76"/>
      <c r="CU3909" s="56">
        <f t="shared" si="15"/>
        <v>0</v>
      </c>
      <c r="CV3909" s="76"/>
      <c r="CW3909" s="76">
        <f t="shared" si="16"/>
        <v>0</v>
      </c>
      <c r="CX3909" s="76"/>
      <c r="CY3909" s="76">
        <f t="shared" si="17"/>
        <v>0</v>
      </c>
      <c r="CZ3909" s="76"/>
      <c r="DA3909" s="76">
        <f t="shared" si="18"/>
        <v>0</v>
      </c>
      <c r="DB3909" s="76"/>
      <c r="DC3909" s="76">
        <f t="shared" si="19"/>
        <v>0</v>
      </c>
      <c r="DD3909" s="219"/>
      <c r="DE3909" s="76"/>
      <c r="DF3909" s="166"/>
      <c r="DG3909" s="116"/>
      <c r="DH3909" s="117"/>
      <c r="DI3909" s="24"/>
      <c r="DJ3909" s="24"/>
      <c r="DK3909" s="24"/>
      <c r="DL3909" s="24"/>
      <c r="DM3909" s="24"/>
      <c r="DN3909" s="24"/>
      <c r="DO3909" s="24"/>
      <c r="DP3909" s="24"/>
      <c r="DQ3909" s="24"/>
      <c r="DR3909" s="24"/>
      <c r="DS3909" s="24"/>
      <c r="DT3909" s="24"/>
      <c r="DU3909" s="24"/>
    </row>
    <row r="3910" spans="1:125" s="8" customFormat="1" x14ac:dyDescent="0.2">
      <c r="A3910" s="77"/>
      <c r="B3910" s="78"/>
      <c r="C3910" s="75"/>
      <c r="D3910" s="75"/>
      <c r="E3910" s="2"/>
      <c r="F3910" s="61"/>
      <c r="G3910" s="61"/>
      <c r="H3910" s="61"/>
      <c r="I3910" s="61"/>
      <c r="J3910" s="61"/>
      <c r="K3910" s="61"/>
      <c r="L3910" s="61"/>
      <c r="M3910" s="61"/>
      <c r="N3910" s="61"/>
      <c r="O3910" s="61"/>
      <c r="P3910" s="61"/>
      <c r="Q3910" s="61"/>
      <c r="R3910" s="61"/>
      <c r="S3910" s="61"/>
      <c r="T3910" s="61"/>
      <c r="U3910" s="61"/>
      <c r="V3910" s="7"/>
      <c r="W3910" s="96">
        <v>0</v>
      </c>
      <c r="X3910" s="71">
        <f t="shared" si="0"/>
        <v>0</v>
      </c>
      <c r="Y3910" s="71">
        <f t="shared" si="1"/>
        <v>0</v>
      </c>
      <c r="Z3910" s="71">
        <f t="shared" si="2"/>
        <v>0</v>
      </c>
      <c r="AA3910" s="71">
        <f t="shared" si="3"/>
        <v>0</v>
      </c>
      <c r="AB3910" s="71"/>
      <c r="AC3910" s="71">
        <v>0</v>
      </c>
      <c r="AD3910" s="71">
        <f t="shared" si="4"/>
        <v>0</v>
      </c>
      <c r="AE3910" s="72">
        <v>0</v>
      </c>
      <c r="AF3910" s="5"/>
      <c r="AG3910" s="6"/>
      <c r="AH3910" s="27"/>
      <c r="AI3910" s="44"/>
      <c r="AJ3910" s="26"/>
      <c r="AK3910" s="5"/>
      <c r="AL3910" s="9"/>
      <c r="AM3910" s="76"/>
      <c r="AN3910" s="76"/>
      <c r="AO3910" s="76"/>
      <c r="AP3910" s="76"/>
      <c r="AQ3910" s="76"/>
      <c r="AR3910" s="76"/>
      <c r="AS3910" s="76"/>
      <c r="AT3910" s="76"/>
      <c r="AU3910" s="76"/>
      <c r="AV3910" s="76"/>
      <c r="AW3910" s="76"/>
      <c r="AX3910" s="76">
        <f t="shared" si="5"/>
        <v>0</v>
      </c>
      <c r="AY3910" s="76"/>
      <c r="AZ3910" s="76">
        <f t="shared" si="6"/>
        <v>0</v>
      </c>
      <c r="BA3910" s="76"/>
      <c r="BB3910" s="76"/>
      <c r="BC3910" s="76"/>
      <c r="BD3910" s="76">
        <f t="shared" si="7"/>
        <v>0</v>
      </c>
      <c r="BE3910" s="76"/>
      <c r="BF3910" s="76"/>
      <c r="BG3910" s="76"/>
      <c r="BH3910" s="76"/>
      <c r="BI3910" s="76"/>
      <c r="BJ3910" s="76"/>
      <c r="BK3910" s="76"/>
      <c r="BL3910" s="76">
        <f t="shared" si="8"/>
        <v>0</v>
      </c>
      <c r="BM3910" s="76"/>
      <c r="BN3910" s="76"/>
      <c r="BO3910" s="76"/>
      <c r="BP3910" s="76"/>
      <c r="BQ3910" s="76"/>
      <c r="BR3910" s="76"/>
      <c r="BS3910" s="76"/>
      <c r="BT3910" s="76"/>
      <c r="BU3910" s="76"/>
      <c r="BV3910" s="76"/>
      <c r="BW3910" s="76"/>
      <c r="BX3910" s="76"/>
      <c r="BY3910" s="76"/>
      <c r="BZ3910" s="76"/>
      <c r="CA3910" s="76"/>
      <c r="CB3910" s="76"/>
      <c r="CC3910" s="76"/>
      <c r="CD3910" s="76"/>
      <c r="CE3910" s="76"/>
      <c r="CF3910" s="76">
        <f t="shared" si="9"/>
        <v>0</v>
      </c>
      <c r="CG3910" s="76"/>
      <c r="CH3910" s="76">
        <f t="shared" si="10"/>
        <v>0</v>
      </c>
      <c r="CI3910" s="76"/>
      <c r="CJ3910" s="76">
        <f t="shared" si="11"/>
        <v>0</v>
      </c>
      <c r="CK3910" s="76"/>
      <c r="CL3910" s="76"/>
      <c r="CM3910" s="76"/>
      <c r="CN3910" s="76">
        <f t="shared" si="12"/>
        <v>0</v>
      </c>
      <c r="CO3910" s="76"/>
      <c r="CP3910" s="76">
        <f t="shared" si="13"/>
        <v>0</v>
      </c>
      <c r="CQ3910" s="76"/>
      <c r="CR3910" s="76">
        <f t="shared" si="14"/>
        <v>0</v>
      </c>
      <c r="CS3910" s="76"/>
      <c r="CT3910" s="76"/>
      <c r="CU3910" s="56">
        <f t="shared" si="15"/>
        <v>0</v>
      </c>
      <c r="CV3910" s="76"/>
      <c r="CW3910" s="76">
        <f t="shared" si="16"/>
        <v>0</v>
      </c>
      <c r="CX3910" s="76"/>
      <c r="CY3910" s="76">
        <f t="shared" si="17"/>
        <v>0</v>
      </c>
      <c r="CZ3910" s="76"/>
      <c r="DA3910" s="76">
        <f t="shared" si="18"/>
        <v>0</v>
      </c>
      <c r="DB3910" s="76"/>
      <c r="DC3910" s="76">
        <f t="shared" si="19"/>
        <v>0</v>
      </c>
      <c r="DD3910" s="219"/>
      <c r="DE3910" s="76"/>
      <c r="DF3910" s="166"/>
      <c r="DG3910" s="116"/>
      <c r="DH3910" s="117"/>
      <c r="DI3910" s="24"/>
      <c r="DJ3910" s="24"/>
      <c r="DK3910" s="24"/>
      <c r="DL3910" s="24"/>
      <c r="DM3910" s="24"/>
      <c r="DN3910" s="24"/>
      <c r="DO3910" s="24"/>
      <c r="DP3910" s="24"/>
      <c r="DQ3910" s="24"/>
      <c r="DR3910" s="24"/>
      <c r="DS3910" s="24"/>
      <c r="DT3910" s="24"/>
      <c r="DU3910" s="24"/>
    </row>
    <row r="3911" spans="1:125" s="8" customFormat="1" x14ac:dyDescent="0.2">
      <c r="A3911" s="77"/>
      <c r="B3911" s="78"/>
      <c r="C3911" s="75"/>
      <c r="D3911" s="75"/>
      <c r="E3911" s="2"/>
      <c r="F3911" s="61"/>
      <c r="G3911" s="61"/>
      <c r="H3911" s="61"/>
      <c r="I3911" s="61"/>
      <c r="J3911" s="61"/>
      <c r="K3911" s="61"/>
      <c r="L3911" s="61"/>
      <c r="M3911" s="61"/>
      <c r="N3911" s="61"/>
      <c r="O3911" s="61"/>
      <c r="P3911" s="61"/>
      <c r="Q3911" s="61"/>
      <c r="R3911" s="61"/>
      <c r="S3911" s="61"/>
      <c r="T3911" s="61"/>
      <c r="U3911" s="61"/>
      <c r="V3911" s="7"/>
      <c r="W3911" s="96">
        <v>0</v>
      </c>
      <c r="X3911" s="71">
        <f t="shared" si="0"/>
        <v>0</v>
      </c>
      <c r="Y3911" s="71">
        <f t="shared" si="1"/>
        <v>0</v>
      </c>
      <c r="Z3911" s="71">
        <f t="shared" si="2"/>
        <v>0</v>
      </c>
      <c r="AA3911" s="71">
        <f t="shared" si="3"/>
        <v>0</v>
      </c>
      <c r="AB3911" s="71"/>
      <c r="AC3911" s="71">
        <v>0</v>
      </c>
      <c r="AD3911" s="71">
        <f t="shared" si="4"/>
        <v>0</v>
      </c>
      <c r="AE3911" s="72">
        <v>0</v>
      </c>
      <c r="AF3911" s="5"/>
      <c r="AG3911" s="6"/>
      <c r="AH3911" s="27"/>
      <c r="AI3911" s="44"/>
      <c r="AJ3911" s="26"/>
      <c r="AK3911" s="5"/>
      <c r="AL3911" s="9"/>
      <c r="AM3911" s="76"/>
      <c r="AN3911" s="76"/>
      <c r="AO3911" s="76"/>
      <c r="AP3911" s="76"/>
      <c r="AQ3911" s="76"/>
      <c r="AR3911" s="76"/>
      <c r="AS3911" s="76"/>
      <c r="AT3911" s="76"/>
      <c r="AU3911" s="76"/>
      <c r="AV3911" s="76"/>
      <c r="AW3911" s="76"/>
      <c r="AX3911" s="76">
        <f t="shared" si="5"/>
        <v>0</v>
      </c>
      <c r="AY3911" s="76"/>
      <c r="AZ3911" s="76">
        <f t="shared" si="6"/>
        <v>0</v>
      </c>
      <c r="BA3911" s="76"/>
      <c r="BB3911" s="76"/>
      <c r="BC3911" s="76"/>
      <c r="BD3911" s="76">
        <f t="shared" si="7"/>
        <v>0</v>
      </c>
      <c r="BE3911" s="76"/>
      <c r="BF3911" s="76"/>
      <c r="BG3911" s="76"/>
      <c r="BH3911" s="76"/>
      <c r="BI3911" s="76"/>
      <c r="BJ3911" s="76"/>
      <c r="BK3911" s="76"/>
      <c r="BL3911" s="76">
        <f t="shared" si="8"/>
        <v>0</v>
      </c>
      <c r="BM3911" s="76"/>
      <c r="BN3911" s="76"/>
      <c r="BO3911" s="76"/>
      <c r="BP3911" s="76"/>
      <c r="BQ3911" s="76"/>
      <c r="BR3911" s="76"/>
      <c r="BS3911" s="76"/>
      <c r="BT3911" s="76"/>
      <c r="BU3911" s="76"/>
      <c r="BV3911" s="76"/>
      <c r="BW3911" s="76"/>
      <c r="BX3911" s="76"/>
      <c r="BY3911" s="76"/>
      <c r="BZ3911" s="76"/>
      <c r="CA3911" s="76"/>
      <c r="CB3911" s="76"/>
      <c r="CC3911" s="76"/>
      <c r="CD3911" s="76"/>
      <c r="CE3911" s="76"/>
      <c r="CF3911" s="76">
        <f t="shared" si="9"/>
        <v>0</v>
      </c>
      <c r="CG3911" s="76"/>
      <c r="CH3911" s="76">
        <f t="shared" si="10"/>
        <v>0</v>
      </c>
      <c r="CI3911" s="76"/>
      <c r="CJ3911" s="76">
        <f t="shared" si="11"/>
        <v>0</v>
      </c>
      <c r="CK3911" s="76"/>
      <c r="CL3911" s="76"/>
      <c r="CM3911" s="76"/>
      <c r="CN3911" s="76">
        <f t="shared" si="12"/>
        <v>0</v>
      </c>
      <c r="CO3911" s="76"/>
      <c r="CP3911" s="76">
        <f t="shared" si="13"/>
        <v>0</v>
      </c>
      <c r="CQ3911" s="76"/>
      <c r="CR3911" s="76">
        <f t="shared" si="14"/>
        <v>0</v>
      </c>
      <c r="CS3911" s="76"/>
      <c r="CT3911" s="76"/>
      <c r="CU3911" s="56">
        <f t="shared" si="15"/>
        <v>0</v>
      </c>
      <c r="CV3911" s="76"/>
      <c r="CW3911" s="76">
        <f t="shared" si="16"/>
        <v>0</v>
      </c>
      <c r="CX3911" s="76"/>
      <c r="CY3911" s="76">
        <f t="shared" si="17"/>
        <v>0</v>
      </c>
      <c r="CZ3911" s="76"/>
      <c r="DA3911" s="76">
        <f t="shared" si="18"/>
        <v>0</v>
      </c>
      <c r="DB3911" s="76"/>
      <c r="DC3911" s="76">
        <f t="shared" si="19"/>
        <v>0</v>
      </c>
      <c r="DD3911" s="219"/>
      <c r="DE3911" s="76"/>
      <c r="DF3911" s="166"/>
      <c r="DG3911" s="116"/>
      <c r="DH3911" s="117"/>
      <c r="DI3911" s="24"/>
      <c r="DJ3911" s="24"/>
      <c r="DK3911" s="24"/>
      <c r="DL3911" s="24"/>
      <c r="DM3911" s="24"/>
      <c r="DN3911" s="24"/>
      <c r="DO3911" s="24"/>
      <c r="DP3911" s="24"/>
      <c r="DQ3911" s="24"/>
      <c r="DR3911" s="24"/>
      <c r="DS3911" s="24"/>
      <c r="DT3911" s="24"/>
      <c r="DU3911" s="24"/>
    </row>
    <row r="3912" spans="1:125" s="8" customFormat="1" x14ac:dyDescent="0.2">
      <c r="A3912" s="77"/>
      <c r="B3912" s="78"/>
      <c r="C3912" s="75"/>
      <c r="D3912" s="75"/>
      <c r="E3912" s="2"/>
      <c r="F3912" s="61"/>
      <c r="G3912" s="61"/>
      <c r="H3912" s="61"/>
      <c r="I3912" s="61"/>
      <c r="J3912" s="61"/>
      <c r="K3912" s="61"/>
      <c r="L3912" s="61"/>
      <c r="M3912" s="61"/>
      <c r="N3912" s="61"/>
      <c r="O3912" s="61"/>
      <c r="P3912" s="61"/>
      <c r="Q3912" s="61"/>
      <c r="R3912" s="61"/>
      <c r="S3912" s="61"/>
      <c r="T3912" s="61"/>
      <c r="U3912" s="61"/>
      <c r="V3912" s="7"/>
      <c r="W3912" s="96">
        <v>0</v>
      </c>
      <c r="X3912" s="71">
        <f t="shared" si="0"/>
        <v>0</v>
      </c>
      <c r="Y3912" s="71">
        <f t="shared" si="1"/>
        <v>0</v>
      </c>
      <c r="Z3912" s="71">
        <f t="shared" si="2"/>
        <v>0</v>
      </c>
      <c r="AA3912" s="71">
        <f t="shared" si="3"/>
        <v>0</v>
      </c>
      <c r="AB3912" s="71"/>
      <c r="AC3912" s="71">
        <v>0</v>
      </c>
      <c r="AD3912" s="71">
        <f t="shared" si="4"/>
        <v>0</v>
      </c>
      <c r="AE3912" s="72">
        <v>0</v>
      </c>
      <c r="AF3912" s="5"/>
      <c r="AG3912" s="6"/>
      <c r="AH3912" s="27"/>
      <c r="AI3912" s="44"/>
      <c r="AJ3912" s="26"/>
      <c r="AK3912" s="5"/>
      <c r="AL3912" s="9"/>
      <c r="AM3912" s="76"/>
      <c r="AN3912" s="76"/>
      <c r="AO3912" s="76"/>
      <c r="AP3912" s="76"/>
      <c r="AQ3912" s="76"/>
      <c r="AR3912" s="76"/>
      <c r="AS3912" s="76"/>
      <c r="AT3912" s="76"/>
      <c r="AU3912" s="76"/>
      <c r="AV3912" s="76"/>
      <c r="AW3912" s="76"/>
      <c r="AX3912" s="76">
        <f t="shared" si="5"/>
        <v>0</v>
      </c>
      <c r="AY3912" s="76"/>
      <c r="AZ3912" s="76">
        <f t="shared" si="6"/>
        <v>0</v>
      </c>
      <c r="BA3912" s="76"/>
      <c r="BB3912" s="76"/>
      <c r="BC3912" s="76"/>
      <c r="BD3912" s="76">
        <f t="shared" si="7"/>
        <v>0</v>
      </c>
      <c r="BE3912" s="76"/>
      <c r="BF3912" s="76"/>
      <c r="BG3912" s="76"/>
      <c r="BH3912" s="76"/>
      <c r="BI3912" s="76"/>
      <c r="BJ3912" s="76"/>
      <c r="BK3912" s="76"/>
      <c r="BL3912" s="76">
        <f t="shared" si="8"/>
        <v>0</v>
      </c>
      <c r="BM3912" s="76"/>
      <c r="BN3912" s="76"/>
      <c r="BO3912" s="76"/>
      <c r="BP3912" s="76"/>
      <c r="BQ3912" s="76"/>
      <c r="BR3912" s="76"/>
      <c r="BS3912" s="76"/>
      <c r="BT3912" s="76"/>
      <c r="BU3912" s="76"/>
      <c r="BV3912" s="76"/>
      <c r="BW3912" s="76"/>
      <c r="BX3912" s="76"/>
      <c r="BY3912" s="76"/>
      <c r="BZ3912" s="76"/>
      <c r="CA3912" s="76"/>
      <c r="CB3912" s="76"/>
      <c r="CC3912" s="76"/>
      <c r="CD3912" s="76"/>
      <c r="CE3912" s="76"/>
      <c r="CF3912" s="76">
        <f t="shared" si="9"/>
        <v>0</v>
      </c>
      <c r="CG3912" s="76"/>
      <c r="CH3912" s="76">
        <f t="shared" si="10"/>
        <v>0</v>
      </c>
      <c r="CI3912" s="76"/>
      <c r="CJ3912" s="76">
        <f t="shared" si="11"/>
        <v>0</v>
      </c>
      <c r="CK3912" s="76"/>
      <c r="CL3912" s="76"/>
      <c r="CM3912" s="76"/>
      <c r="CN3912" s="76">
        <f t="shared" si="12"/>
        <v>0</v>
      </c>
      <c r="CO3912" s="76"/>
      <c r="CP3912" s="76">
        <f t="shared" si="13"/>
        <v>0</v>
      </c>
      <c r="CQ3912" s="76"/>
      <c r="CR3912" s="76">
        <f t="shared" si="14"/>
        <v>0</v>
      </c>
      <c r="CS3912" s="76"/>
      <c r="CT3912" s="76"/>
      <c r="CU3912" s="56">
        <f t="shared" si="15"/>
        <v>0</v>
      </c>
      <c r="CV3912" s="76"/>
      <c r="CW3912" s="76">
        <f t="shared" si="16"/>
        <v>0</v>
      </c>
      <c r="CX3912" s="76"/>
      <c r="CY3912" s="76">
        <f t="shared" si="17"/>
        <v>0</v>
      </c>
      <c r="CZ3912" s="76"/>
      <c r="DA3912" s="76">
        <f t="shared" si="18"/>
        <v>0</v>
      </c>
      <c r="DB3912" s="76"/>
      <c r="DC3912" s="76">
        <f t="shared" si="19"/>
        <v>0</v>
      </c>
      <c r="DD3912" s="219"/>
      <c r="DE3912" s="76"/>
      <c r="DF3912" s="166"/>
      <c r="DG3912" s="116"/>
      <c r="DH3912" s="117"/>
      <c r="DI3912" s="24"/>
      <c r="DJ3912" s="24"/>
      <c r="DK3912" s="24"/>
      <c r="DL3912" s="24"/>
      <c r="DM3912" s="24"/>
      <c r="DN3912" s="24"/>
      <c r="DO3912" s="24"/>
      <c r="DP3912" s="24"/>
      <c r="DQ3912" s="24"/>
      <c r="DR3912" s="24"/>
      <c r="DS3912" s="24"/>
      <c r="DT3912" s="24"/>
      <c r="DU3912" s="24"/>
    </row>
    <row r="3913" spans="1:125" s="8" customFormat="1" x14ac:dyDescent="0.2">
      <c r="A3913" s="77"/>
      <c r="B3913" s="78"/>
      <c r="C3913" s="75"/>
      <c r="D3913" s="75"/>
      <c r="E3913" s="2"/>
      <c r="F3913" s="61"/>
      <c r="G3913" s="61"/>
      <c r="H3913" s="61"/>
      <c r="I3913" s="61"/>
      <c r="J3913" s="61"/>
      <c r="K3913" s="61"/>
      <c r="L3913" s="61"/>
      <c r="M3913" s="61"/>
      <c r="N3913" s="61"/>
      <c r="O3913" s="61"/>
      <c r="P3913" s="61"/>
      <c r="Q3913" s="61"/>
      <c r="R3913" s="61"/>
      <c r="S3913" s="61"/>
      <c r="T3913" s="61"/>
      <c r="U3913" s="61"/>
      <c r="V3913" s="7"/>
      <c r="W3913" s="96">
        <v>0</v>
      </c>
      <c r="X3913" s="71">
        <f t="shared" si="0"/>
        <v>0</v>
      </c>
      <c r="Y3913" s="71">
        <f t="shared" si="1"/>
        <v>0</v>
      </c>
      <c r="Z3913" s="71">
        <f t="shared" si="2"/>
        <v>0</v>
      </c>
      <c r="AA3913" s="71">
        <f t="shared" si="3"/>
        <v>0</v>
      </c>
      <c r="AB3913" s="71"/>
      <c r="AC3913" s="71">
        <v>0</v>
      </c>
      <c r="AD3913" s="71">
        <f t="shared" si="4"/>
        <v>0</v>
      </c>
      <c r="AE3913" s="72">
        <v>0</v>
      </c>
      <c r="AF3913" s="5"/>
      <c r="AG3913" s="6"/>
      <c r="AH3913" s="27"/>
      <c r="AI3913" s="44"/>
      <c r="AJ3913" s="26"/>
      <c r="AK3913" s="5"/>
      <c r="AL3913" s="9"/>
      <c r="AM3913" s="76"/>
      <c r="AN3913" s="76"/>
      <c r="AO3913" s="76"/>
      <c r="AP3913" s="76"/>
      <c r="AQ3913" s="76"/>
      <c r="AR3913" s="76"/>
      <c r="AS3913" s="76"/>
      <c r="AT3913" s="76"/>
      <c r="AU3913" s="76"/>
      <c r="AV3913" s="76"/>
      <c r="AW3913" s="76"/>
      <c r="AX3913" s="76">
        <f t="shared" si="5"/>
        <v>0</v>
      </c>
      <c r="AY3913" s="76"/>
      <c r="AZ3913" s="76">
        <f t="shared" si="6"/>
        <v>0</v>
      </c>
      <c r="BA3913" s="76"/>
      <c r="BB3913" s="76"/>
      <c r="BC3913" s="76"/>
      <c r="BD3913" s="76">
        <f t="shared" si="7"/>
        <v>0</v>
      </c>
      <c r="BE3913" s="76"/>
      <c r="BF3913" s="76"/>
      <c r="BG3913" s="76"/>
      <c r="BH3913" s="76"/>
      <c r="BI3913" s="76"/>
      <c r="BJ3913" s="76"/>
      <c r="BK3913" s="76"/>
      <c r="BL3913" s="76">
        <f t="shared" si="8"/>
        <v>0</v>
      </c>
      <c r="BM3913" s="76"/>
      <c r="BN3913" s="76"/>
      <c r="BO3913" s="76"/>
      <c r="BP3913" s="76"/>
      <c r="BQ3913" s="76"/>
      <c r="BR3913" s="76"/>
      <c r="BS3913" s="76"/>
      <c r="BT3913" s="76"/>
      <c r="BU3913" s="76"/>
      <c r="BV3913" s="76"/>
      <c r="BW3913" s="76"/>
      <c r="BX3913" s="76"/>
      <c r="BY3913" s="76"/>
      <c r="BZ3913" s="76"/>
      <c r="CA3913" s="76"/>
      <c r="CB3913" s="76"/>
      <c r="CC3913" s="76"/>
      <c r="CD3913" s="76"/>
      <c r="CE3913" s="76"/>
      <c r="CF3913" s="76">
        <f t="shared" si="9"/>
        <v>0</v>
      </c>
      <c r="CG3913" s="76"/>
      <c r="CH3913" s="76">
        <f t="shared" si="10"/>
        <v>0</v>
      </c>
      <c r="CI3913" s="76"/>
      <c r="CJ3913" s="76">
        <f t="shared" si="11"/>
        <v>0</v>
      </c>
      <c r="CK3913" s="76"/>
      <c r="CL3913" s="76"/>
      <c r="CM3913" s="76"/>
      <c r="CN3913" s="76">
        <f t="shared" si="12"/>
        <v>0</v>
      </c>
      <c r="CO3913" s="76"/>
      <c r="CP3913" s="76">
        <f t="shared" si="13"/>
        <v>0</v>
      </c>
      <c r="CQ3913" s="76"/>
      <c r="CR3913" s="76">
        <f t="shared" si="14"/>
        <v>0</v>
      </c>
      <c r="CS3913" s="76"/>
      <c r="CT3913" s="76"/>
      <c r="CU3913" s="56">
        <f t="shared" si="15"/>
        <v>0</v>
      </c>
      <c r="CV3913" s="76"/>
      <c r="CW3913" s="76">
        <f t="shared" si="16"/>
        <v>0</v>
      </c>
      <c r="CX3913" s="76"/>
      <c r="CY3913" s="76">
        <f t="shared" si="17"/>
        <v>0</v>
      </c>
      <c r="CZ3913" s="76"/>
      <c r="DA3913" s="76">
        <f t="shared" si="18"/>
        <v>0</v>
      </c>
      <c r="DB3913" s="76"/>
      <c r="DC3913" s="76">
        <f t="shared" si="19"/>
        <v>0</v>
      </c>
      <c r="DD3913" s="219"/>
      <c r="DE3913" s="76"/>
      <c r="DF3913" s="166"/>
      <c r="DG3913" s="116"/>
      <c r="DH3913" s="117"/>
      <c r="DI3913" s="24"/>
      <c r="DJ3913" s="24"/>
      <c r="DK3913" s="24"/>
      <c r="DL3913" s="24"/>
      <c r="DM3913" s="24"/>
      <c r="DN3913" s="24"/>
      <c r="DO3913" s="24"/>
      <c r="DP3913" s="24"/>
      <c r="DQ3913" s="24"/>
      <c r="DR3913" s="24"/>
      <c r="DS3913" s="24"/>
      <c r="DT3913" s="24"/>
      <c r="DU3913" s="24"/>
    </row>
    <row r="3914" spans="1:125" s="8" customFormat="1" x14ac:dyDescent="0.2">
      <c r="A3914" s="77"/>
      <c r="B3914" s="78"/>
      <c r="C3914" s="75"/>
      <c r="D3914" s="75"/>
      <c r="E3914" s="2"/>
      <c r="F3914" s="61"/>
      <c r="G3914" s="61"/>
      <c r="H3914" s="61"/>
      <c r="I3914" s="61"/>
      <c r="J3914" s="61"/>
      <c r="K3914" s="61"/>
      <c r="L3914" s="61"/>
      <c r="M3914" s="61"/>
      <c r="N3914" s="61"/>
      <c r="O3914" s="61"/>
      <c r="P3914" s="61"/>
      <c r="Q3914" s="61"/>
      <c r="R3914" s="61"/>
      <c r="S3914" s="61"/>
      <c r="T3914" s="61"/>
      <c r="U3914" s="61"/>
      <c r="V3914" s="7"/>
      <c r="W3914" s="96">
        <v>0</v>
      </c>
      <c r="X3914" s="71">
        <f t="shared" ref="X3914:X3915" si="20">CU3914</f>
        <v>0</v>
      </c>
      <c r="Y3914" s="71">
        <f t="shared" ref="Y3914:Y3915" si="21">CY3914</f>
        <v>0</v>
      </c>
      <c r="Z3914" s="71">
        <f t="shared" ref="Z3914:Z3915" si="22">DA3914+DC3914+DE3914</f>
        <v>0</v>
      </c>
      <c r="AA3914" s="71">
        <f t="shared" ref="AA3914:AA3915" si="23">CW3914</f>
        <v>0</v>
      </c>
      <c r="AB3914" s="71"/>
      <c r="AC3914" s="71">
        <v>0</v>
      </c>
      <c r="AD3914" s="71">
        <f t="shared" ref="AD3914:AD3915" si="24">W3914+X3914+Y3914+Z3914+AA3914+AB3914+AC3914</f>
        <v>0</v>
      </c>
      <c r="AE3914" s="72">
        <v>0</v>
      </c>
      <c r="AF3914" s="5"/>
      <c r="AG3914" s="6"/>
      <c r="AH3914" s="27"/>
      <c r="AI3914" s="44"/>
      <c r="AJ3914" s="26"/>
      <c r="AK3914" s="5"/>
      <c r="AL3914" s="9"/>
      <c r="AM3914" s="76"/>
      <c r="AN3914" s="76"/>
      <c r="AO3914" s="76"/>
      <c r="AP3914" s="76"/>
      <c r="AQ3914" s="76"/>
      <c r="AR3914" s="76"/>
      <c r="AS3914" s="76"/>
      <c r="AT3914" s="76"/>
      <c r="AU3914" s="76"/>
      <c r="AV3914" s="76"/>
      <c r="AW3914" s="76"/>
      <c r="AX3914" s="76">
        <f t="shared" ref="AX3914:AX3915" si="25">+AW3914*600000</f>
        <v>0</v>
      </c>
      <c r="AY3914" s="76"/>
      <c r="AZ3914" s="76">
        <f t="shared" ref="AZ3914:AZ3915" si="26">+AY3914*70000</f>
        <v>0</v>
      </c>
      <c r="BA3914" s="76"/>
      <c r="BB3914" s="76"/>
      <c r="BC3914" s="76"/>
      <c r="BD3914" s="76">
        <f t="shared" ref="BD3914:BD3915" si="27">+BC3914*30000</f>
        <v>0</v>
      </c>
      <c r="BE3914" s="76"/>
      <c r="BF3914" s="76"/>
      <c r="BG3914" s="76"/>
      <c r="BH3914" s="76"/>
      <c r="BI3914" s="76"/>
      <c r="BJ3914" s="76"/>
      <c r="BK3914" s="76"/>
      <c r="BL3914" s="76">
        <f t="shared" ref="BL3914:BL3915" si="28">+BK3914*31500</f>
        <v>0</v>
      </c>
      <c r="BM3914" s="76"/>
      <c r="BN3914" s="76"/>
      <c r="BO3914" s="76"/>
      <c r="BP3914" s="76"/>
      <c r="BQ3914" s="76"/>
      <c r="BR3914" s="76"/>
      <c r="BS3914" s="76"/>
      <c r="BT3914" s="76"/>
      <c r="BU3914" s="76"/>
      <c r="BV3914" s="76"/>
      <c r="BW3914" s="76"/>
      <c r="BX3914" s="76"/>
      <c r="BY3914" s="76"/>
      <c r="BZ3914" s="76"/>
      <c r="CA3914" s="76"/>
      <c r="CB3914" s="76"/>
      <c r="CC3914" s="76"/>
      <c r="CD3914" s="76"/>
      <c r="CE3914" s="76"/>
      <c r="CF3914" s="76">
        <f t="shared" ref="CF3914:CF3915" si="29">+CE3914*28000</f>
        <v>0</v>
      </c>
      <c r="CG3914" s="76"/>
      <c r="CH3914" s="76">
        <f t="shared" ref="CH3914:CH3915" si="30">+CG3914*22500</f>
        <v>0</v>
      </c>
      <c r="CI3914" s="76"/>
      <c r="CJ3914" s="76">
        <f t="shared" ref="CJ3914:CJ3915" si="31">+CI3914*26000</f>
        <v>0</v>
      </c>
      <c r="CK3914" s="76"/>
      <c r="CL3914" s="76"/>
      <c r="CM3914" s="76"/>
      <c r="CN3914" s="76">
        <f t="shared" ref="CN3914:CN3915" si="32">+CM3914*22000</f>
        <v>0</v>
      </c>
      <c r="CO3914" s="76"/>
      <c r="CP3914" s="76">
        <f t="shared" ref="CP3914:CP3915" si="33">+CO3914*46000</f>
        <v>0</v>
      </c>
      <c r="CQ3914" s="76"/>
      <c r="CR3914" s="76">
        <f t="shared" ref="CR3914:CR3915" si="34">+CQ3914*49000</f>
        <v>0</v>
      </c>
      <c r="CS3914" s="76"/>
      <c r="CT3914" s="76"/>
      <c r="CU3914" s="56">
        <f t="shared" ref="CU3914:CU3915" si="35">AN3914+AP3914+AR3914+AT3914+AV3914+AX3914+AZ3914+BB3914+BD3914+BF3914+BH3914+BJ3914+BL3914+BN3914+BP3914+BR3914+BT3914+BV3914+BX3914+BZ3914+CB3914+CD3914+CF3914+CH3914+CJ3914+CL3914+CN3914+CP3914+CR3914+CT3914</f>
        <v>0</v>
      </c>
      <c r="CV3914" s="76"/>
      <c r="CW3914" s="76">
        <f t="shared" ref="CW3914:CW3915" si="36">+CV3914*1100</f>
        <v>0</v>
      </c>
      <c r="CX3914" s="76"/>
      <c r="CY3914" s="76">
        <f t="shared" ref="CY3914:CY3915" si="37">+CX3914*106250</f>
        <v>0</v>
      </c>
      <c r="CZ3914" s="76"/>
      <c r="DA3914" s="76">
        <f t="shared" ref="DA3914:DA3915" si="38">+CZ3914*34500</f>
        <v>0</v>
      </c>
      <c r="DB3914" s="76"/>
      <c r="DC3914" s="76">
        <f t="shared" ref="DC3914:DC3915" si="39">+DB3914*25000</f>
        <v>0</v>
      </c>
      <c r="DD3914" s="219"/>
      <c r="DE3914" s="76"/>
      <c r="DF3914" s="166"/>
      <c r="DG3914" s="116"/>
      <c r="DH3914" s="117"/>
      <c r="DI3914" s="24"/>
      <c r="DJ3914" s="24"/>
      <c r="DK3914" s="24"/>
      <c r="DL3914" s="24"/>
      <c r="DM3914" s="24"/>
      <c r="DN3914" s="24"/>
      <c r="DO3914" s="24"/>
      <c r="DP3914" s="24"/>
      <c r="DQ3914" s="24"/>
      <c r="DR3914" s="24"/>
      <c r="DS3914" s="24"/>
      <c r="DT3914" s="24"/>
      <c r="DU3914" s="24"/>
    </row>
    <row r="3915" spans="1:125" s="8" customFormat="1" x14ac:dyDescent="0.2">
      <c r="A3915" s="77"/>
      <c r="B3915" s="78"/>
      <c r="C3915" s="75"/>
      <c r="D3915" s="75"/>
      <c r="E3915" s="2"/>
      <c r="F3915" s="61"/>
      <c r="G3915" s="61"/>
      <c r="H3915" s="61"/>
      <c r="I3915" s="61"/>
      <c r="J3915" s="61"/>
      <c r="K3915" s="61"/>
      <c r="L3915" s="61"/>
      <c r="M3915" s="61"/>
      <c r="N3915" s="61"/>
      <c r="O3915" s="61"/>
      <c r="P3915" s="61"/>
      <c r="Q3915" s="61"/>
      <c r="R3915" s="61"/>
      <c r="S3915" s="61"/>
      <c r="T3915" s="61"/>
      <c r="U3915" s="61"/>
      <c r="V3915" s="7"/>
      <c r="W3915" s="96">
        <v>0</v>
      </c>
      <c r="X3915" s="71">
        <f t="shared" si="20"/>
        <v>0</v>
      </c>
      <c r="Y3915" s="71">
        <f t="shared" si="21"/>
        <v>0</v>
      </c>
      <c r="Z3915" s="71">
        <f t="shared" si="22"/>
        <v>0</v>
      </c>
      <c r="AA3915" s="71">
        <f t="shared" si="23"/>
        <v>0</v>
      </c>
      <c r="AB3915" s="71"/>
      <c r="AC3915" s="71">
        <v>0</v>
      </c>
      <c r="AD3915" s="71">
        <f t="shared" si="24"/>
        <v>0</v>
      </c>
      <c r="AE3915" s="72">
        <v>0</v>
      </c>
      <c r="AF3915" s="5"/>
      <c r="AG3915" s="6"/>
      <c r="AH3915" s="27"/>
      <c r="AI3915" s="44"/>
      <c r="AJ3915" s="26"/>
      <c r="AK3915" s="5"/>
      <c r="AL3915" s="9"/>
      <c r="AM3915" s="76"/>
      <c r="AN3915" s="76"/>
      <c r="AO3915" s="76"/>
      <c r="AP3915" s="76"/>
      <c r="AQ3915" s="76"/>
      <c r="AR3915" s="76"/>
      <c r="AS3915" s="76"/>
      <c r="AT3915" s="76"/>
      <c r="AU3915" s="76"/>
      <c r="AV3915" s="76"/>
      <c r="AW3915" s="76"/>
      <c r="AX3915" s="76">
        <f t="shared" si="25"/>
        <v>0</v>
      </c>
      <c r="AY3915" s="76"/>
      <c r="AZ3915" s="76">
        <f t="shared" si="26"/>
        <v>0</v>
      </c>
      <c r="BA3915" s="76"/>
      <c r="BB3915" s="76"/>
      <c r="BC3915" s="76"/>
      <c r="BD3915" s="76">
        <f t="shared" si="27"/>
        <v>0</v>
      </c>
      <c r="BE3915" s="76"/>
      <c r="BF3915" s="76"/>
      <c r="BG3915" s="76"/>
      <c r="BH3915" s="76"/>
      <c r="BI3915" s="76"/>
      <c r="BJ3915" s="76"/>
      <c r="BK3915" s="76"/>
      <c r="BL3915" s="76">
        <f t="shared" si="28"/>
        <v>0</v>
      </c>
      <c r="BM3915" s="76"/>
      <c r="BN3915" s="76"/>
      <c r="BO3915" s="76"/>
      <c r="BP3915" s="76"/>
      <c r="BQ3915" s="76"/>
      <c r="BR3915" s="76"/>
      <c r="BS3915" s="76"/>
      <c r="BT3915" s="76"/>
      <c r="BU3915" s="76"/>
      <c r="BV3915" s="76"/>
      <c r="BW3915" s="76"/>
      <c r="BX3915" s="76"/>
      <c r="BY3915" s="76"/>
      <c r="BZ3915" s="76"/>
      <c r="CA3915" s="76"/>
      <c r="CB3915" s="76"/>
      <c r="CC3915" s="76"/>
      <c r="CD3915" s="76"/>
      <c r="CE3915" s="76"/>
      <c r="CF3915" s="76">
        <f t="shared" si="29"/>
        <v>0</v>
      </c>
      <c r="CG3915" s="76"/>
      <c r="CH3915" s="76">
        <f t="shared" si="30"/>
        <v>0</v>
      </c>
      <c r="CI3915" s="76"/>
      <c r="CJ3915" s="76">
        <f t="shared" si="31"/>
        <v>0</v>
      </c>
      <c r="CK3915" s="76"/>
      <c r="CL3915" s="76"/>
      <c r="CM3915" s="76"/>
      <c r="CN3915" s="76">
        <f t="shared" si="32"/>
        <v>0</v>
      </c>
      <c r="CO3915" s="76"/>
      <c r="CP3915" s="76">
        <f t="shared" si="33"/>
        <v>0</v>
      </c>
      <c r="CQ3915" s="76"/>
      <c r="CR3915" s="76">
        <f t="shared" si="34"/>
        <v>0</v>
      </c>
      <c r="CS3915" s="76"/>
      <c r="CT3915" s="76"/>
      <c r="CU3915" s="56">
        <f t="shared" si="35"/>
        <v>0</v>
      </c>
      <c r="CV3915" s="76"/>
      <c r="CW3915" s="76">
        <f t="shared" si="36"/>
        <v>0</v>
      </c>
      <c r="CX3915" s="76"/>
      <c r="CY3915" s="76">
        <f t="shared" si="37"/>
        <v>0</v>
      </c>
      <c r="CZ3915" s="76"/>
      <c r="DA3915" s="76">
        <f t="shared" si="38"/>
        <v>0</v>
      </c>
      <c r="DB3915" s="76"/>
      <c r="DC3915" s="76">
        <f t="shared" si="39"/>
        <v>0</v>
      </c>
      <c r="DD3915" s="219"/>
      <c r="DE3915" s="76"/>
      <c r="DF3915" s="166"/>
      <c r="DG3915" s="116"/>
      <c r="DH3915" s="117"/>
      <c r="DI3915" s="24"/>
      <c r="DJ3915" s="24"/>
      <c r="DK3915" s="24"/>
      <c r="DL3915" s="24"/>
      <c r="DM3915" s="24"/>
      <c r="DN3915" s="24"/>
      <c r="DO3915" s="24"/>
      <c r="DP3915" s="24"/>
      <c r="DQ3915" s="24"/>
      <c r="DR3915" s="24"/>
      <c r="DS3915" s="24"/>
      <c r="DT3915" s="24"/>
      <c r="DU3915" s="24"/>
    </row>
    <row r="3916" spans="1:125" s="8" customFormat="1" x14ac:dyDescent="0.2">
      <c r="A3916" s="62"/>
      <c r="B3916" s="63"/>
      <c r="C3916" s="65"/>
      <c r="D3916" s="65"/>
      <c r="E3916" s="2"/>
      <c r="F3916" s="61"/>
      <c r="G3916" s="61"/>
      <c r="H3916" s="61"/>
      <c r="I3916" s="61"/>
      <c r="J3916" s="61"/>
      <c r="K3916" s="61"/>
      <c r="L3916" s="61"/>
      <c r="M3916" s="61"/>
      <c r="N3916" s="61"/>
      <c r="O3916" s="61"/>
      <c r="P3916" s="61"/>
      <c r="Q3916" s="61"/>
      <c r="R3916" s="61"/>
      <c r="S3916" s="61"/>
      <c r="T3916" s="61"/>
      <c r="U3916" s="61"/>
      <c r="V3916" s="7"/>
      <c r="W3916" s="96">
        <v>0</v>
      </c>
      <c r="X3916" s="71">
        <f>CU3916</f>
        <v>0</v>
      </c>
      <c r="Y3916" s="71">
        <f>CY3916</f>
        <v>0</v>
      </c>
      <c r="Z3916" s="71">
        <f t="shared" ref="Z3916" si="40">DA3916+DC3916+DE3916</f>
        <v>0</v>
      </c>
      <c r="AA3916" s="71">
        <f>CW3916</f>
        <v>0</v>
      </c>
      <c r="AB3916" s="71"/>
      <c r="AC3916" s="71">
        <v>0</v>
      </c>
      <c r="AD3916" s="71">
        <f t="shared" ref="AD3916" si="41">W3916+X3916+Y3916+Z3916+AA3916+AB3916+AC3916</f>
        <v>0</v>
      </c>
      <c r="AE3916" s="72">
        <v>0</v>
      </c>
      <c r="AF3916" s="5"/>
      <c r="AG3916" s="6"/>
      <c r="AH3916" s="27"/>
      <c r="AI3916" s="44"/>
      <c r="AJ3916" s="26"/>
      <c r="AK3916" s="5"/>
      <c r="AL3916" s="9"/>
      <c r="AM3916" s="76"/>
      <c r="AN3916" s="76"/>
      <c r="AO3916" s="76"/>
      <c r="AP3916" s="76"/>
      <c r="AQ3916" s="76"/>
      <c r="AR3916" s="76"/>
      <c r="AS3916" s="76"/>
      <c r="AT3916" s="76"/>
      <c r="AU3916" s="76"/>
      <c r="AV3916" s="76"/>
      <c r="AW3916" s="76"/>
      <c r="AX3916" s="76">
        <f t="shared" ref="AX3916" si="42">+AW3916*600000</f>
        <v>0</v>
      </c>
      <c r="AY3916" s="76"/>
      <c r="AZ3916" s="76">
        <f t="shared" ref="AZ3916" si="43">+AY3916*70000</f>
        <v>0</v>
      </c>
      <c r="BA3916" s="76"/>
      <c r="BB3916" s="76"/>
      <c r="BC3916" s="76"/>
      <c r="BD3916" s="76">
        <f t="shared" ref="BD3916" si="44">+BC3916*30000</f>
        <v>0</v>
      </c>
      <c r="BE3916" s="76"/>
      <c r="BF3916" s="76"/>
      <c r="BG3916" s="76"/>
      <c r="BH3916" s="76"/>
      <c r="BI3916" s="76"/>
      <c r="BJ3916" s="76"/>
      <c r="BK3916" s="76"/>
      <c r="BL3916" s="76">
        <f t="shared" ref="BL3916" si="45">+BK3916*31500</f>
        <v>0</v>
      </c>
      <c r="BM3916" s="76"/>
      <c r="BN3916" s="76"/>
      <c r="BO3916" s="76"/>
      <c r="BP3916" s="76"/>
      <c r="BQ3916" s="76"/>
      <c r="BR3916" s="76"/>
      <c r="BS3916" s="76"/>
      <c r="BT3916" s="76"/>
      <c r="BU3916" s="76"/>
      <c r="BV3916" s="76"/>
      <c r="BW3916" s="76"/>
      <c r="BX3916" s="76"/>
      <c r="BY3916" s="76"/>
      <c r="BZ3916" s="76"/>
      <c r="CA3916" s="76"/>
      <c r="CB3916" s="76"/>
      <c r="CC3916" s="76"/>
      <c r="CD3916" s="76"/>
      <c r="CE3916" s="76"/>
      <c r="CF3916" s="76">
        <f t="shared" ref="CF3916" si="46">+CE3916*28000</f>
        <v>0</v>
      </c>
      <c r="CG3916" s="76"/>
      <c r="CH3916" s="76">
        <f t="shared" ref="CH3916" si="47">+CG3916*22500</f>
        <v>0</v>
      </c>
      <c r="CI3916" s="76"/>
      <c r="CJ3916" s="76">
        <f t="shared" ref="CJ3916" si="48">+CI3916*26000</f>
        <v>0</v>
      </c>
      <c r="CK3916" s="76"/>
      <c r="CL3916" s="76"/>
      <c r="CM3916" s="76"/>
      <c r="CN3916" s="76">
        <f t="shared" ref="CN3916" si="49">+CM3916*22000</f>
        <v>0</v>
      </c>
      <c r="CO3916" s="76"/>
      <c r="CP3916" s="76">
        <f t="shared" ref="CP3916" si="50">+CO3916*46000</f>
        <v>0</v>
      </c>
      <c r="CQ3916" s="76"/>
      <c r="CR3916" s="76">
        <f t="shared" ref="CR3916" si="51">+CQ3916*49000</f>
        <v>0</v>
      </c>
      <c r="CS3916" s="76"/>
      <c r="CT3916" s="76"/>
      <c r="CU3916" s="56">
        <f t="shared" ref="CU3916" si="52">AN3916+AP3916+AR3916+AT3916+AV3916+AX3916+AZ3916+BB3916+BD3916+BF3916+BH3916+BJ3916+BL3916+BN3916+BP3916+BR3916+BT3916+BV3916+BX3916+BZ3916+CB3916+CD3916+CF3916+CH3916+CJ3916+CL3916+CN3916+CP3916+CR3916+CT3916</f>
        <v>0</v>
      </c>
      <c r="CV3916" s="76"/>
      <c r="CW3916" s="76">
        <f t="shared" ref="CW3916" si="53">+CV3916*1100</f>
        <v>0</v>
      </c>
      <c r="CX3916" s="76"/>
      <c r="CY3916" s="76">
        <f t="shared" ref="CY3916" si="54">+CX3916*106250</f>
        <v>0</v>
      </c>
      <c r="CZ3916" s="76"/>
      <c r="DA3916" s="76">
        <f t="shared" ref="DA3916" si="55">+CZ3916*34500</f>
        <v>0</v>
      </c>
      <c r="DB3916" s="76"/>
      <c r="DC3916" s="76">
        <f t="shared" ref="DC3916" si="56">+DB3916*25000</f>
        <v>0</v>
      </c>
      <c r="DD3916" s="219"/>
      <c r="DE3916" s="76"/>
      <c r="DF3916" s="166"/>
      <c r="DG3916" s="116"/>
      <c r="DH3916" s="117"/>
      <c r="DI3916" s="24"/>
      <c r="DJ3916" s="24"/>
      <c r="DK3916" s="24"/>
      <c r="DL3916" s="24"/>
      <c r="DM3916" s="24"/>
      <c r="DN3916" s="24"/>
      <c r="DO3916" s="24"/>
      <c r="DP3916" s="24"/>
      <c r="DQ3916" s="24"/>
      <c r="DR3916" s="24"/>
      <c r="DS3916" s="24"/>
      <c r="DT3916" s="24"/>
      <c r="DU3916" s="24"/>
    </row>
    <row r="3917" spans="1:125" s="25" customFormat="1" ht="11.25" customHeight="1" x14ac:dyDescent="0.2">
      <c r="A3917" s="60"/>
      <c r="B3917" s="63"/>
      <c r="C3917" s="60"/>
      <c r="D3917" s="60"/>
      <c r="E3917" s="45"/>
      <c r="F3917" s="46">
        <f t="shared" ref="F3917:AE3917" si="57">SUM(F3:F3916)</f>
        <v>416</v>
      </c>
      <c r="G3917" s="46">
        <f t="shared" si="57"/>
        <v>1933</v>
      </c>
      <c r="H3917" s="46">
        <f t="shared" si="57"/>
        <v>87</v>
      </c>
      <c r="I3917" s="46">
        <f t="shared" si="57"/>
        <v>569885</v>
      </c>
      <c r="J3917" s="46">
        <f t="shared" si="57"/>
        <v>116586</v>
      </c>
      <c r="K3917" s="46">
        <f t="shared" si="57"/>
        <v>2875</v>
      </c>
      <c r="L3917" s="46">
        <f t="shared" si="57"/>
        <v>70886</v>
      </c>
      <c r="M3917" s="46">
        <f t="shared" si="57"/>
        <v>466</v>
      </c>
      <c r="N3917" s="46">
        <f t="shared" si="57"/>
        <v>60</v>
      </c>
      <c r="O3917" s="46">
        <f t="shared" si="57"/>
        <v>342</v>
      </c>
      <c r="P3917" s="46">
        <f t="shared" si="57"/>
        <v>285</v>
      </c>
      <c r="Q3917" s="46">
        <f t="shared" si="57"/>
        <v>36</v>
      </c>
      <c r="R3917" s="46">
        <f t="shared" si="57"/>
        <v>52</v>
      </c>
      <c r="S3917" s="46">
        <f t="shared" si="57"/>
        <v>412</v>
      </c>
      <c r="T3917" s="46">
        <f t="shared" si="57"/>
        <v>151</v>
      </c>
      <c r="U3917" s="133">
        <f t="shared" si="57"/>
        <v>59545.039999999994</v>
      </c>
      <c r="V3917" s="361">
        <f t="shared" si="57"/>
        <v>3313.2</v>
      </c>
      <c r="W3917" s="46">
        <f t="shared" si="57"/>
        <v>3333575000</v>
      </c>
      <c r="X3917" s="46">
        <f t="shared" si="57"/>
        <v>10457471588.160002</v>
      </c>
      <c r="Y3917" s="46">
        <f t="shared" si="57"/>
        <v>9201913680.8199997</v>
      </c>
      <c r="Z3917" s="46">
        <f t="shared" si="57"/>
        <v>50620881988.740028</v>
      </c>
      <c r="AA3917" s="46">
        <f t="shared" si="57"/>
        <v>904632000</v>
      </c>
      <c r="AB3917" s="46">
        <f t="shared" si="57"/>
        <v>5093950599.8800001</v>
      </c>
      <c r="AC3917" s="46">
        <f t="shared" si="57"/>
        <v>30486500421.240002</v>
      </c>
      <c r="AD3917" s="46">
        <f t="shared" si="57"/>
        <v>110098925278.84004</v>
      </c>
      <c r="AE3917" s="47">
        <f t="shared" si="57"/>
        <v>0</v>
      </c>
      <c r="AF3917" s="46"/>
      <c r="AG3917" s="48"/>
      <c r="AH3917" s="27"/>
      <c r="AI3917" s="44"/>
      <c r="AJ3917" s="49"/>
      <c r="AK3917" s="50"/>
      <c r="AL3917" s="84"/>
      <c r="AM3917" s="52">
        <f t="shared" ref="AM3917:BR3917" si="58">SUM(AM3:AM3916)</f>
        <v>0</v>
      </c>
      <c r="AN3917" s="52">
        <f t="shared" si="58"/>
        <v>0</v>
      </c>
      <c r="AO3917" s="52">
        <f t="shared" si="58"/>
        <v>0</v>
      </c>
      <c r="AP3917" s="52">
        <f t="shared" si="58"/>
        <v>0</v>
      </c>
      <c r="AQ3917" s="52">
        <f t="shared" si="58"/>
        <v>0</v>
      </c>
      <c r="AR3917" s="52">
        <f t="shared" si="58"/>
        <v>0</v>
      </c>
      <c r="AS3917" s="52">
        <f t="shared" si="58"/>
        <v>0</v>
      </c>
      <c r="AT3917" s="52">
        <f t="shared" si="58"/>
        <v>0</v>
      </c>
      <c r="AU3917" s="53">
        <f t="shared" si="58"/>
        <v>0</v>
      </c>
      <c r="AV3917" s="53">
        <f t="shared" si="58"/>
        <v>0</v>
      </c>
      <c r="AW3917" s="52">
        <f t="shared" si="58"/>
        <v>0</v>
      </c>
      <c r="AX3917" s="52">
        <f t="shared" si="58"/>
        <v>0</v>
      </c>
      <c r="AY3917" s="52">
        <f t="shared" si="58"/>
        <v>55159</v>
      </c>
      <c r="AZ3917" s="52">
        <f t="shared" si="58"/>
        <v>3880090041.0399995</v>
      </c>
      <c r="BA3917" s="52">
        <f t="shared" si="58"/>
        <v>0</v>
      </c>
      <c r="BB3917" s="52">
        <f t="shared" si="58"/>
        <v>0</v>
      </c>
      <c r="BC3917" s="52">
        <f t="shared" si="58"/>
        <v>0</v>
      </c>
      <c r="BD3917" s="52">
        <f t="shared" si="58"/>
        <v>0</v>
      </c>
      <c r="BE3917" s="52">
        <f t="shared" si="58"/>
        <v>0</v>
      </c>
      <c r="BF3917" s="52">
        <f t="shared" si="58"/>
        <v>0</v>
      </c>
      <c r="BG3917" s="52">
        <f t="shared" si="58"/>
        <v>0</v>
      </c>
      <c r="BH3917" s="52">
        <f t="shared" si="58"/>
        <v>0</v>
      </c>
      <c r="BI3917" s="52">
        <f t="shared" si="58"/>
        <v>0</v>
      </c>
      <c r="BJ3917" s="52">
        <f t="shared" si="58"/>
        <v>0</v>
      </c>
      <c r="BK3917" s="52">
        <f t="shared" si="58"/>
        <v>6429</v>
      </c>
      <c r="BL3917" s="52">
        <f t="shared" si="58"/>
        <v>202513003.19999999</v>
      </c>
      <c r="BM3917" s="52">
        <f t="shared" si="58"/>
        <v>0</v>
      </c>
      <c r="BN3917" s="52">
        <f t="shared" si="58"/>
        <v>0</v>
      </c>
      <c r="BO3917" s="52">
        <f t="shared" si="58"/>
        <v>0</v>
      </c>
      <c r="BP3917" s="52">
        <f t="shared" si="58"/>
        <v>0</v>
      </c>
      <c r="BQ3917" s="52">
        <f t="shared" si="58"/>
        <v>0</v>
      </c>
      <c r="BR3917" s="52">
        <f t="shared" si="58"/>
        <v>0</v>
      </c>
      <c r="BS3917" s="52">
        <f t="shared" ref="BS3917:CX3917" si="59">SUM(BS3:BS3916)</f>
        <v>0</v>
      </c>
      <c r="BT3917" s="52">
        <f t="shared" si="59"/>
        <v>0</v>
      </c>
      <c r="BU3917" s="52">
        <f t="shared" si="59"/>
        <v>0</v>
      </c>
      <c r="BV3917" s="52">
        <f t="shared" si="59"/>
        <v>0</v>
      </c>
      <c r="BW3917" s="52">
        <f t="shared" si="59"/>
        <v>0</v>
      </c>
      <c r="BX3917" s="52">
        <f t="shared" si="59"/>
        <v>0</v>
      </c>
      <c r="BY3917" s="52">
        <f t="shared" si="59"/>
        <v>423</v>
      </c>
      <c r="BZ3917" s="52">
        <f t="shared" si="59"/>
        <v>213937545.44000003</v>
      </c>
      <c r="CA3917" s="52">
        <f t="shared" si="59"/>
        <v>0</v>
      </c>
      <c r="CB3917" s="52">
        <f t="shared" si="59"/>
        <v>0</v>
      </c>
      <c r="CC3917" s="52">
        <f t="shared" si="59"/>
        <v>0</v>
      </c>
      <c r="CD3917" s="52">
        <f t="shared" si="59"/>
        <v>0</v>
      </c>
      <c r="CE3917" s="52">
        <f t="shared" si="59"/>
        <v>1500</v>
      </c>
      <c r="CF3917" s="52">
        <f t="shared" si="59"/>
        <v>41998380</v>
      </c>
      <c r="CG3917" s="52">
        <f t="shared" si="59"/>
        <v>11638</v>
      </c>
      <c r="CH3917" s="52">
        <f t="shared" si="59"/>
        <v>264913924.47999999</v>
      </c>
      <c r="CI3917" s="52">
        <f t="shared" si="59"/>
        <v>38625</v>
      </c>
      <c r="CJ3917" s="52">
        <f t="shared" si="59"/>
        <v>999276424.71999991</v>
      </c>
      <c r="CK3917" s="52">
        <f t="shared" si="59"/>
        <v>0</v>
      </c>
      <c r="CL3917" s="52">
        <f t="shared" si="59"/>
        <v>0</v>
      </c>
      <c r="CM3917" s="52">
        <f t="shared" si="59"/>
        <v>41270</v>
      </c>
      <c r="CN3917" s="52">
        <f t="shared" si="59"/>
        <v>952197066.96000004</v>
      </c>
      <c r="CO3917" s="52">
        <f t="shared" si="59"/>
        <v>40784</v>
      </c>
      <c r="CP3917" s="52">
        <f t="shared" si="59"/>
        <v>1879497299.3999996</v>
      </c>
      <c r="CQ3917" s="52">
        <f t="shared" si="59"/>
        <v>40221</v>
      </c>
      <c r="CR3917" s="52">
        <f t="shared" si="59"/>
        <v>2023047902.9199994</v>
      </c>
      <c r="CS3917" s="52">
        <f t="shared" si="59"/>
        <v>0</v>
      </c>
      <c r="CT3917" s="52">
        <f t="shared" si="59"/>
        <v>0</v>
      </c>
      <c r="CU3917" s="52">
        <f t="shared" si="59"/>
        <v>10457471588.160002</v>
      </c>
      <c r="CV3917" s="52">
        <f t="shared" si="59"/>
        <v>825000</v>
      </c>
      <c r="CW3917" s="52">
        <f t="shared" si="59"/>
        <v>904632000</v>
      </c>
      <c r="CX3917" s="52">
        <f t="shared" si="59"/>
        <v>87041</v>
      </c>
      <c r="CY3917" s="52">
        <f t="shared" ref="CY3917:DC3917" si="60">SUM(CY3:CY3916)</f>
        <v>9201913680.8199997</v>
      </c>
      <c r="CZ3917" s="52">
        <f t="shared" si="60"/>
        <v>122789</v>
      </c>
      <c r="DA3917" s="52">
        <f t="shared" si="60"/>
        <v>4083214017.6000004</v>
      </c>
      <c r="DB3917" s="52">
        <f t="shared" si="60"/>
        <v>548045</v>
      </c>
      <c r="DC3917" s="52">
        <f t="shared" si="60"/>
        <v>10772264801.039999</v>
      </c>
      <c r="DD3917" s="52"/>
      <c r="DE3917" s="52">
        <f>SUM(DE3:DE3916)</f>
        <v>35765403170.099998</v>
      </c>
      <c r="DF3917" s="167"/>
      <c r="DG3917" s="118"/>
      <c r="DH3917" s="51"/>
    </row>
    <row r="3918" spans="1:125" s="15" customFormat="1" x14ac:dyDescent="0.2">
      <c r="B3918" s="14"/>
      <c r="E3918" s="66"/>
      <c r="I3918" s="12"/>
      <c r="N3918" s="69"/>
      <c r="O3918" s="69"/>
      <c r="P3918" s="69"/>
      <c r="Q3918" s="69"/>
      <c r="R3918" s="69"/>
      <c r="S3918" s="69"/>
      <c r="T3918" s="69"/>
      <c r="U3918" s="69"/>
      <c r="V3918" s="359"/>
      <c r="Y3918" s="70"/>
      <c r="Z3918" s="70"/>
      <c r="AD3918" s="14"/>
      <c r="AL3918" s="24"/>
      <c r="AM3918" s="13"/>
      <c r="AN3918" s="13"/>
      <c r="AO3918" s="13"/>
      <c r="AP3918" s="13"/>
      <c r="AQ3918" s="13"/>
      <c r="AR3918" s="13"/>
      <c r="AS3918" s="13"/>
      <c r="AT3918" s="13"/>
      <c r="DF3918" s="168"/>
    </row>
    <row r="3919" spans="1:125" s="67" customFormat="1" x14ac:dyDescent="0.2">
      <c r="B3919" s="113" t="s">
        <v>2844</v>
      </c>
      <c r="E3919" s="68"/>
      <c r="V3919" s="64"/>
      <c r="AH3919" s="214"/>
      <c r="AL3919" s="190"/>
      <c r="AM3919" s="13"/>
      <c r="AN3919" s="13"/>
      <c r="AO3919" s="13"/>
      <c r="AP3919" s="13"/>
      <c r="AQ3919" s="13"/>
      <c r="AR3919" s="13"/>
      <c r="AS3919" s="13"/>
      <c r="AT3919" s="13"/>
      <c r="DF3919" s="169"/>
    </row>
    <row r="3920" spans="1:125" s="15" customFormat="1" x14ac:dyDescent="0.2">
      <c r="A3920" s="112">
        <v>1</v>
      </c>
      <c r="B3920" s="25" t="s">
        <v>3249</v>
      </c>
      <c r="E3920" s="66"/>
      <c r="N3920" s="69"/>
      <c r="O3920" s="69"/>
      <c r="P3920" s="69"/>
      <c r="Q3920" s="69"/>
      <c r="R3920" s="69"/>
      <c r="S3920" s="69"/>
      <c r="T3920" s="69"/>
      <c r="U3920" s="69"/>
      <c r="V3920" s="17"/>
      <c r="Y3920" s="70"/>
      <c r="Z3920" s="70"/>
      <c r="AD3920" s="11"/>
      <c r="AL3920" s="24"/>
      <c r="AM3920" s="13"/>
      <c r="AN3920" s="13"/>
      <c r="AO3920" s="13"/>
      <c r="AP3920" s="13"/>
      <c r="AQ3920" s="13"/>
      <c r="AR3920" s="13"/>
      <c r="AS3920" s="13"/>
      <c r="AT3920" s="13"/>
      <c r="DF3920" s="168"/>
    </row>
    <row r="3921" spans="1:110" s="15" customFormat="1" ht="22.5" x14ac:dyDescent="0.2">
      <c r="A3921" s="112">
        <v>2</v>
      </c>
      <c r="B3921" s="25" t="s">
        <v>3250</v>
      </c>
      <c r="E3921" s="66"/>
      <c r="N3921" s="69"/>
      <c r="O3921" s="69"/>
      <c r="P3921" s="69"/>
      <c r="Q3921" s="69"/>
      <c r="R3921" s="69"/>
      <c r="S3921" s="69"/>
      <c r="T3921" s="69"/>
      <c r="U3921" s="69"/>
      <c r="V3921" s="17"/>
      <c r="Y3921" s="70"/>
      <c r="Z3921" s="70"/>
      <c r="AB3921" s="73"/>
      <c r="AD3921" s="14"/>
      <c r="AL3921" s="24"/>
      <c r="AM3921" s="13"/>
      <c r="AN3921" s="13"/>
      <c r="AO3921" s="13"/>
      <c r="AP3921" s="13"/>
      <c r="AQ3921" s="13"/>
      <c r="AR3921" s="13"/>
      <c r="AS3921" s="13"/>
      <c r="AT3921" s="13"/>
      <c r="DC3921" s="67"/>
      <c r="DD3921" s="67"/>
      <c r="DE3921" s="67"/>
      <c r="DF3921" s="168"/>
    </row>
    <row r="3922" spans="1:110" s="15" customFormat="1" ht="22.5" x14ac:dyDescent="0.2">
      <c r="A3922" s="112">
        <v>3</v>
      </c>
      <c r="B3922" s="25" t="s">
        <v>3247</v>
      </c>
      <c r="E3922" s="66"/>
      <c r="N3922" s="69"/>
      <c r="O3922" s="69"/>
      <c r="P3922" s="69"/>
      <c r="Q3922" s="69"/>
      <c r="R3922" s="69"/>
      <c r="S3922" s="69"/>
      <c r="T3922" s="69"/>
      <c r="U3922" s="69"/>
      <c r="V3922" s="17"/>
      <c r="Y3922" s="70"/>
      <c r="Z3922" s="74"/>
      <c r="AD3922" s="251"/>
      <c r="AL3922" s="24"/>
      <c r="AM3922" s="13"/>
      <c r="AN3922" s="13"/>
      <c r="AO3922" s="13"/>
      <c r="AP3922" s="13"/>
      <c r="AQ3922" s="13"/>
      <c r="AR3922" s="13"/>
      <c r="AS3922" s="13"/>
      <c r="AT3922" s="13"/>
      <c r="DE3922" s="73"/>
      <c r="DF3922" s="168"/>
    </row>
    <row r="3923" spans="1:110" s="15" customFormat="1" ht="22.5" x14ac:dyDescent="0.2">
      <c r="A3923" s="112">
        <v>4</v>
      </c>
      <c r="B3923" s="25" t="s">
        <v>3248</v>
      </c>
      <c r="E3923" s="66"/>
      <c r="N3923" s="69"/>
      <c r="O3923" s="69"/>
      <c r="P3923" s="69"/>
      <c r="Q3923" s="69"/>
      <c r="R3923" s="69"/>
      <c r="S3923" s="69"/>
      <c r="T3923" s="69"/>
      <c r="U3923" s="69"/>
      <c r="V3923" s="17"/>
      <c r="Y3923" s="70"/>
      <c r="Z3923" s="74"/>
      <c r="AD3923" s="251"/>
      <c r="AL3923" s="24"/>
      <c r="AM3923" s="13"/>
      <c r="AN3923" s="13"/>
      <c r="AO3923" s="13"/>
      <c r="AP3923" s="13"/>
      <c r="AQ3923" s="13"/>
      <c r="AR3923" s="13"/>
      <c r="AS3923" s="13"/>
      <c r="AT3923" s="13"/>
      <c r="DF3923" s="168"/>
    </row>
    <row r="3924" spans="1:110" s="15" customFormat="1" ht="21" customHeight="1" x14ac:dyDescent="0.2">
      <c r="A3924" s="112">
        <v>5</v>
      </c>
      <c r="B3924" s="25" t="s">
        <v>3251</v>
      </c>
      <c r="E3924" s="66"/>
      <c r="N3924" s="69"/>
      <c r="O3924" s="69"/>
      <c r="P3924" s="69"/>
      <c r="Q3924" s="69"/>
      <c r="R3924" s="69"/>
      <c r="S3924" s="69"/>
      <c r="T3924" s="69"/>
      <c r="U3924" s="69"/>
      <c r="V3924" s="17"/>
      <c r="Y3924" s="119"/>
      <c r="Z3924" s="74"/>
      <c r="AD3924" s="11"/>
      <c r="AL3924" s="24"/>
      <c r="AM3924" s="13"/>
      <c r="AN3924" s="13"/>
      <c r="AO3924" s="13"/>
      <c r="AP3924" s="13"/>
      <c r="AQ3924" s="13"/>
      <c r="AR3924" s="13"/>
      <c r="AS3924" s="13"/>
      <c r="AT3924" s="13"/>
      <c r="CP3924" s="214"/>
      <c r="DF3924" s="168"/>
    </row>
    <row r="3925" spans="1:110" s="15" customFormat="1" x14ac:dyDescent="0.2">
      <c r="B3925" s="14"/>
      <c r="E3925" s="66"/>
      <c r="N3925" s="69"/>
      <c r="O3925" s="69"/>
      <c r="P3925" s="69"/>
      <c r="Q3925" s="69"/>
      <c r="R3925" s="69"/>
      <c r="S3925" s="69"/>
      <c r="T3925" s="69"/>
      <c r="U3925" s="69"/>
      <c r="V3925" s="17"/>
      <c r="Y3925" s="122"/>
      <c r="Z3925" s="74"/>
      <c r="AD3925" s="11"/>
      <c r="AL3925" s="24"/>
      <c r="AM3925" s="13"/>
      <c r="AN3925" s="13"/>
      <c r="AO3925" s="13"/>
      <c r="AP3925" s="13"/>
      <c r="AQ3925" s="13"/>
      <c r="AR3925" s="13"/>
      <c r="AS3925" s="13"/>
      <c r="AT3925" s="13"/>
      <c r="DF3925" s="168"/>
    </row>
    <row r="3926" spans="1:110" s="15" customFormat="1" x14ac:dyDescent="0.2">
      <c r="B3926" s="14"/>
      <c r="E3926" s="66"/>
      <c r="N3926" s="69"/>
      <c r="O3926" s="69"/>
      <c r="P3926" s="69"/>
      <c r="Q3926" s="69"/>
      <c r="R3926" s="69"/>
      <c r="S3926" s="69"/>
      <c r="T3926" s="69"/>
      <c r="U3926" s="69"/>
      <c r="V3926" s="17"/>
      <c r="Y3926" s="122"/>
      <c r="Z3926" s="70"/>
      <c r="AD3926" s="11"/>
      <c r="AL3926" s="24"/>
      <c r="AM3926" s="13"/>
      <c r="AN3926" s="13"/>
      <c r="AO3926" s="13"/>
      <c r="AP3926" s="13"/>
      <c r="AQ3926" s="13"/>
      <c r="AR3926" s="13"/>
      <c r="AS3926" s="13"/>
      <c r="AT3926" s="13"/>
      <c r="DF3926" s="168"/>
    </row>
    <row r="3927" spans="1:110" s="15" customFormat="1" x14ac:dyDescent="0.2">
      <c r="B3927" s="14"/>
      <c r="E3927" s="66"/>
      <c r="N3927" s="69"/>
      <c r="O3927" s="69"/>
      <c r="P3927" s="69"/>
      <c r="Q3927" s="69"/>
      <c r="R3927" s="69"/>
      <c r="S3927" s="69"/>
      <c r="T3927" s="69"/>
      <c r="U3927" s="69"/>
      <c r="V3927" s="17"/>
      <c r="Y3927" s="123"/>
      <c r="Z3927" s="70"/>
      <c r="AD3927" s="11"/>
      <c r="AL3927" s="24"/>
      <c r="AM3927" s="13"/>
      <c r="AN3927" s="13"/>
      <c r="AO3927" s="13"/>
      <c r="AP3927" s="13"/>
      <c r="AQ3927" s="13"/>
      <c r="AR3927" s="13"/>
      <c r="AS3927" s="13"/>
      <c r="AT3927" s="13"/>
      <c r="DF3927" s="168"/>
    </row>
    <row r="3928" spans="1:110" s="15" customFormat="1" x14ac:dyDescent="0.2">
      <c r="B3928" s="14"/>
      <c r="E3928" s="66"/>
      <c r="N3928" s="69"/>
      <c r="O3928" s="69"/>
      <c r="P3928" s="69"/>
      <c r="Q3928" s="69"/>
      <c r="R3928" s="69"/>
      <c r="S3928" s="69"/>
      <c r="T3928" s="69"/>
      <c r="U3928" s="69"/>
      <c r="V3928" s="17"/>
      <c r="Y3928" s="120"/>
      <c r="Z3928" s="70"/>
      <c r="AD3928" s="11"/>
      <c r="AL3928" s="24"/>
      <c r="AM3928" s="13"/>
      <c r="AN3928" s="13"/>
      <c r="AO3928" s="13"/>
      <c r="AP3928" s="13"/>
      <c r="AQ3928" s="13"/>
      <c r="AR3928" s="13"/>
      <c r="AS3928" s="13"/>
      <c r="AT3928" s="13"/>
      <c r="DF3928" s="168"/>
    </row>
    <row r="3929" spans="1:110" s="15" customFormat="1" x14ac:dyDescent="0.2">
      <c r="B3929" s="14"/>
      <c r="E3929" s="66"/>
      <c r="N3929" s="69"/>
      <c r="O3929" s="69"/>
      <c r="P3929" s="69"/>
      <c r="Q3929" s="69"/>
      <c r="R3929" s="69"/>
      <c r="S3929" s="69"/>
      <c r="T3929" s="69"/>
      <c r="U3929" s="69"/>
      <c r="V3929" s="17"/>
      <c r="Y3929" s="121"/>
      <c r="Z3929" s="70"/>
      <c r="AD3929" s="11"/>
      <c r="AL3929" s="24"/>
      <c r="AM3929" s="13"/>
      <c r="AN3929" s="13"/>
      <c r="AO3929" s="13"/>
      <c r="AP3929" s="13"/>
      <c r="AQ3929" s="13"/>
      <c r="AR3929" s="13"/>
      <c r="AS3929" s="13"/>
      <c r="AT3929" s="13"/>
      <c r="DF3929" s="168"/>
    </row>
    <row r="3930" spans="1:110" s="15" customFormat="1" x14ac:dyDescent="0.2">
      <c r="B3930" s="14"/>
      <c r="E3930" s="66"/>
      <c r="N3930" s="69"/>
      <c r="O3930" s="69"/>
      <c r="P3930" s="69"/>
      <c r="Q3930" s="69"/>
      <c r="R3930" s="69"/>
      <c r="S3930" s="69"/>
      <c r="T3930" s="69"/>
      <c r="U3930" s="69"/>
      <c r="V3930" s="17"/>
      <c r="Y3930" s="120"/>
      <c r="Z3930" s="70"/>
      <c r="AD3930" s="11"/>
      <c r="AL3930" s="24"/>
      <c r="AM3930" s="13"/>
      <c r="AN3930" s="13"/>
      <c r="AO3930" s="13"/>
      <c r="AP3930" s="13"/>
      <c r="AQ3930" s="13"/>
      <c r="AR3930" s="13"/>
      <c r="AS3930" s="13"/>
      <c r="AT3930" s="13"/>
      <c r="DF3930" s="168"/>
    </row>
    <row r="3931" spans="1:110" s="15" customFormat="1" x14ac:dyDescent="0.2">
      <c r="B3931" s="14"/>
      <c r="E3931" s="66"/>
      <c r="N3931" s="69"/>
      <c r="O3931" s="69"/>
      <c r="P3931" s="69"/>
      <c r="Q3931" s="69"/>
      <c r="R3931" s="69"/>
      <c r="S3931" s="69"/>
      <c r="T3931" s="69"/>
      <c r="U3931" s="69"/>
      <c r="V3931" s="17"/>
      <c r="Y3931" s="120"/>
      <c r="Z3931" s="70"/>
      <c r="AL3931" s="24"/>
      <c r="AM3931" s="13"/>
      <c r="AN3931" s="13"/>
      <c r="AO3931" s="13"/>
      <c r="AP3931" s="13"/>
      <c r="AQ3931" s="13"/>
      <c r="AR3931" s="13"/>
      <c r="AS3931" s="13"/>
      <c r="AT3931" s="13"/>
      <c r="DF3931" s="168"/>
    </row>
    <row r="3932" spans="1:110" s="15" customFormat="1" x14ac:dyDescent="0.2">
      <c r="B3932" s="14"/>
      <c r="E3932" s="66"/>
      <c r="N3932" s="69"/>
      <c r="O3932" s="69"/>
      <c r="P3932" s="69"/>
      <c r="Q3932" s="69"/>
      <c r="R3932" s="69"/>
      <c r="S3932" s="69"/>
      <c r="T3932" s="69"/>
      <c r="U3932" s="69"/>
      <c r="V3932" s="17"/>
      <c r="Y3932" s="120"/>
      <c r="Z3932" s="70"/>
      <c r="AL3932" s="24"/>
      <c r="AM3932" s="13"/>
      <c r="AN3932" s="13"/>
      <c r="AO3932" s="13"/>
      <c r="AP3932" s="13"/>
      <c r="AQ3932" s="13"/>
      <c r="AR3932" s="13"/>
      <c r="AS3932" s="13"/>
      <c r="AT3932" s="13"/>
      <c r="DF3932" s="168"/>
    </row>
    <row r="3933" spans="1:110" s="15" customFormat="1" x14ac:dyDescent="0.2">
      <c r="B3933" s="14"/>
      <c r="E3933" s="66"/>
      <c r="N3933" s="69"/>
      <c r="O3933" s="69"/>
      <c r="P3933" s="69"/>
      <c r="Q3933" s="69"/>
      <c r="R3933" s="69"/>
      <c r="S3933" s="69"/>
      <c r="T3933" s="69"/>
      <c r="U3933" s="69"/>
      <c r="V3933" s="17"/>
      <c r="Y3933" s="120"/>
      <c r="Z3933" s="70"/>
      <c r="AL3933" s="24"/>
      <c r="AM3933" s="13"/>
      <c r="AN3933" s="13"/>
      <c r="AO3933" s="13"/>
      <c r="AP3933" s="13"/>
      <c r="AQ3933" s="13"/>
      <c r="AR3933" s="13"/>
      <c r="AS3933" s="13"/>
      <c r="AT3933" s="13"/>
      <c r="DF3933" s="168"/>
    </row>
    <row r="3934" spans="1:110" s="15" customFormat="1" x14ac:dyDescent="0.2">
      <c r="B3934" s="14"/>
      <c r="E3934" s="66"/>
      <c r="N3934" s="69"/>
      <c r="O3934" s="69"/>
      <c r="P3934" s="69"/>
      <c r="Q3934" s="69"/>
      <c r="R3934" s="69"/>
      <c r="S3934" s="69"/>
      <c r="T3934" s="69"/>
      <c r="U3934" s="69"/>
      <c r="V3934" s="17"/>
      <c r="Y3934" s="120"/>
      <c r="Z3934" s="70"/>
      <c r="AL3934" s="24"/>
      <c r="AM3934" s="13"/>
      <c r="AN3934" s="13"/>
      <c r="AO3934" s="13"/>
      <c r="AP3934" s="13"/>
      <c r="AQ3934" s="13"/>
      <c r="AR3934" s="13"/>
      <c r="AS3934" s="13"/>
      <c r="AT3934" s="13"/>
      <c r="DF3934" s="168"/>
    </row>
    <row r="3935" spans="1:110" s="15" customFormat="1" x14ac:dyDescent="0.2">
      <c r="B3935" s="14"/>
      <c r="E3935" s="66"/>
      <c r="N3935" s="69"/>
      <c r="O3935" s="69"/>
      <c r="P3935" s="69"/>
      <c r="Q3935" s="69"/>
      <c r="R3935" s="69"/>
      <c r="S3935" s="69"/>
      <c r="T3935" s="69"/>
      <c r="U3935" s="69"/>
      <c r="V3935" s="17"/>
      <c r="Y3935" s="120"/>
      <c r="Z3935" s="70"/>
      <c r="AL3935" s="24"/>
      <c r="AM3935" s="13"/>
      <c r="AN3935" s="13"/>
      <c r="AO3935" s="13"/>
      <c r="AP3935" s="13"/>
      <c r="AQ3935" s="13"/>
      <c r="AR3935" s="13"/>
      <c r="AS3935" s="13"/>
      <c r="AT3935" s="13"/>
      <c r="DF3935" s="168"/>
    </row>
    <row r="3936" spans="1:110" s="15" customFormat="1" x14ac:dyDescent="0.2">
      <c r="B3936" s="14"/>
      <c r="E3936" s="66"/>
      <c r="N3936" s="69"/>
      <c r="O3936" s="69"/>
      <c r="P3936" s="69"/>
      <c r="Q3936" s="69"/>
      <c r="R3936" s="69"/>
      <c r="S3936" s="69"/>
      <c r="T3936" s="69"/>
      <c r="U3936" s="69"/>
      <c r="V3936" s="17"/>
      <c r="Y3936" s="120"/>
      <c r="Z3936" s="70"/>
      <c r="AL3936" s="24"/>
      <c r="AM3936" s="13"/>
      <c r="AN3936" s="13"/>
      <c r="AO3936" s="13"/>
      <c r="AP3936" s="13"/>
      <c r="AQ3936" s="13"/>
      <c r="AR3936" s="13"/>
      <c r="AS3936" s="13"/>
      <c r="AT3936" s="13"/>
      <c r="DF3936" s="168"/>
    </row>
    <row r="3937" spans="1:111" s="15" customFormat="1" x14ac:dyDescent="0.2">
      <c r="B3937" s="14"/>
      <c r="E3937" s="66"/>
      <c r="N3937" s="69"/>
      <c r="O3937" s="69"/>
      <c r="P3937" s="69"/>
      <c r="Q3937" s="69"/>
      <c r="R3937" s="69"/>
      <c r="S3937" s="69"/>
      <c r="T3937" s="69"/>
      <c r="U3937" s="69"/>
      <c r="V3937" s="17"/>
      <c r="Z3937" s="70"/>
      <c r="AL3937" s="24"/>
      <c r="AM3937" s="13"/>
      <c r="AN3937" s="13"/>
      <c r="AO3937" s="13"/>
      <c r="AP3937" s="13"/>
      <c r="AQ3937" s="13"/>
      <c r="AR3937" s="13"/>
      <c r="AS3937" s="13"/>
      <c r="AT3937" s="13"/>
      <c r="DF3937" s="168"/>
    </row>
    <row r="3938" spans="1:111" s="15" customFormat="1" x14ac:dyDescent="0.2">
      <c r="B3938" s="14"/>
      <c r="E3938" s="66"/>
      <c r="N3938" s="69"/>
      <c r="O3938" s="69"/>
      <c r="P3938" s="69"/>
      <c r="Q3938" s="69"/>
      <c r="R3938" s="69"/>
      <c r="S3938" s="69"/>
      <c r="T3938" s="69"/>
      <c r="U3938" s="69"/>
      <c r="V3938" s="17"/>
      <c r="Z3938" s="70"/>
      <c r="AL3938" s="24"/>
      <c r="AM3938" s="13"/>
      <c r="AN3938" s="13"/>
      <c r="AO3938" s="13"/>
      <c r="AP3938" s="13"/>
      <c r="AQ3938" s="13"/>
      <c r="AR3938" s="13"/>
      <c r="AS3938" s="13"/>
      <c r="AT3938" s="13"/>
      <c r="DF3938" s="168"/>
    </row>
    <row r="3939" spans="1:111" s="15" customFormat="1" x14ac:dyDescent="0.2">
      <c r="B3939" s="14"/>
      <c r="E3939" s="66"/>
      <c r="N3939" s="69"/>
      <c r="O3939" s="69"/>
      <c r="P3939" s="69"/>
      <c r="Q3939" s="69"/>
      <c r="R3939" s="69"/>
      <c r="S3939" s="69"/>
      <c r="T3939" s="69"/>
      <c r="U3939" s="69"/>
      <c r="V3939" s="17"/>
      <c r="Z3939" s="70"/>
      <c r="AL3939" s="24"/>
      <c r="AM3939" s="13"/>
      <c r="AN3939" s="13"/>
      <c r="AO3939" s="13"/>
      <c r="AP3939" s="13"/>
      <c r="AQ3939" s="13"/>
      <c r="AR3939" s="13"/>
      <c r="AS3939" s="13"/>
      <c r="AT3939" s="13"/>
      <c r="DF3939" s="168"/>
    </row>
    <row r="3940" spans="1:111" s="15" customFormat="1" x14ac:dyDescent="0.2">
      <c r="B3940" s="14"/>
      <c r="E3940" s="66"/>
      <c r="N3940" s="69"/>
      <c r="O3940" s="69"/>
      <c r="P3940" s="69"/>
      <c r="Q3940" s="69"/>
      <c r="R3940" s="69"/>
      <c r="S3940" s="69"/>
      <c r="T3940" s="69"/>
      <c r="U3940" s="69"/>
      <c r="V3940" s="17"/>
      <c r="Z3940" s="70"/>
      <c r="AL3940" s="24"/>
      <c r="AM3940" s="13"/>
      <c r="AN3940" s="13"/>
      <c r="AO3940" s="13"/>
      <c r="AP3940" s="13"/>
      <c r="AQ3940" s="13"/>
      <c r="AR3940" s="13"/>
      <c r="AS3940" s="13"/>
      <c r="AT3940" s="13"/>
      <c r="DF3940" s="168"/>
    </row>
    <row r="3941" spans="1:111" s="15" customFormat="1" x14ac:dyDescent="0.2">
      <c r="B3941" s="14"/>
      <c r="E3941" s="66"/>
      <c r="N3941" s="69"/>
      <c r="O3941" s="69"/>
      <c r="P3941" s="69"/>
      <c r="Q3941" s="69"/>
      <c r="R3941" s="69"/>
      <c r="S3941" s="69"/>
      <c r="T3941" s="69"/>
      <c r="U3941" s="69"/>
      <c r="V3941" s="17"/>
      <c r="Z3941" s="70"/>
      <c r="AL3941" s="24"/>
      <c r="AM3941" s="13"/>
      <c r="AN3941" s="13"/>
      <c r="AO3941" s="13"/>
      <c r="AP3941" s="13"/>
      <c r="AQ3941" s="13"/>
      <c r="AR3941" s="13"/>
      <c r="AS3941" s="13"/>
      <c r="AT3941" s="13"/>
      <c r="DF3941" s="168"/>
    </row>
    <row r="3942" spans="1:111" s="15" customFormat="1" x14ac:dyDescent="0.2">
      <c r="B3942" s="14"/>
      <c r="E3942" s="66"/>
      <c r="N3942" s="69"/>
      <c r="O3942" s="69"/>
      <c r="P3942" s="69"/>
      <c r="Q3942" s="69"/>
      <c r="R3942" s="69"/>
      <c r="S3942" s="69"/>
      <c r="T3942" s="69"/>
      <c r="U3942" s="69"/>
      <c r="V3942" s="17"/>
      <c r="Z3942" s="70"/>
      <c r="AL3942" s="24"/>
      <c r="AM3942" s="13"/>
      <c r="AN3942" s="13"/>
      <c r="AO3942" s="13"/>
      <c r="AP3942" s="13"/>
      <c r="AQ3942" s="13"/>
      <c r="AR3942" s="13"/>
      <c r="AS3942" s="13"/>
      <c r="AT3942" s="13"/>
      <c r="DF3942" s="168"/>
    </row>
    <row r="3943" spans="1:111" s="15" customFormat="1" x14ac:dyDescent="0.2">
      <c r="B3943" s="14"/>
      <c r="E3943" s="66"/>
      <c r="N3943" s="69"/>
      <c r="O3943" s="69"/>
      <c r="P3943" s="69"/>
      <c r="Q3943" s="69"/>
      <c r="R3943" s="69"/>
      <c r="S3943" s="69"/>
      <c r="T3943" s="69"/>
      <c r="U3943" s="69"/>
      <c r="V3943" s="17"/>
      <c r="Z3943" s="70"/>
      <c r="AL3943" s="24"/>
      <c r="AM3943" s="13"/>
      <c r="AN3943" s="13"/>
      <c r="AO3943" s="13"/>
      <c r="AP3943" s="13"/>
      <c r="AQ3943" s="13"/>
      <c r="AR3943" s="13"/>
      <c r="AS3943" s="13"/>
      <c r="AT3943" s="13"/>
      <c r="DF3943" s="168"/>
    </row>
    <row r="3944" spans="1:111" s="15" customFormat="1" x14ac:dyDescent="0.2">
      <c r="B3944" s="14"/>
      <c r="E3944" s="66"/>
      <c r="N3944" s="69"/>
      <c r="O3944" s="69"/>
      <c r="P3944" s="69"/>
      <c r="Q3944" s="69"/>
      <c r="R3944" s="69"/>
      <c r="S3944" s="69"/>
      <c r="T3944" s="69"/>
      <c r="U3944" s="69"/>
      <c r="V3944" s="17"/>
      <c r="Z3944" s="70"/>
      <c r="AL3944" s="24"/>
      <c r="AM3944" s="13"/>
      <c r="AN3944" s="13"/>
      <c r="AO3944" s="13"/>
      <c r="AP3944" s="13"/>
      <c r="AQ3944" s="13"/>
      <c r="AR3944" s="13"/>
      <c r="AS3944" s="13"/>
      <c r="AT3944" s="13"/>
      <c r="DF3944" s="168"/>
    </row>
    <row r="3945" spans="1:111" s="15" customFormat="1" x14ac:dyDescent="0.2">
      <c r="B3945" s="14"/>
      <c r="E3945" s="66"/>
      <c r="N3945" s="69"/>
      <c r="O3945" s="69"/>
      <c r="P3945" s="69"/>
      <c r="Q3945" s="69"/>
      <c r="R3945" s="69"/>
      <c r="S3945" s="69"/>
      <c r="T3945" s="69"/>
      <c r="U3945" s="69"/>
      <c r="V3945" s="17"/>
      <c r="Z3945" s="70"/>
      <c r="AL3945" s="24"/>
      <c r="AM3945" s="13"/>
      <c r="AN3945" s="13"/>
      <c r="AO3945" s="13"/>
      <c r="AP3945" s="13"/>
      <c r="AQ3945" s="13"/>
      <c r="AR3945" s="13"/>
      <c r="AS3945" s="13"/>
      <c r="AT3945" s="13"/>
      <c r="DF3945" s="168"/>
    </row>
    <row r="3946" spans="1:111" s="15" customFormat="1" x14ac:dyDescent="0.2">
      <c r="B3946" s="14"/>
      <c r="E3946" s="66"/>
      <c r="N3946" s="69"/>
      <c r="O3946" s="69"/>
      <c r="P3946" s="69"/>
      <c r="Q3946" s="69"/>
      <c r="R3946" s="69"/>
      <c r="S3946" s="69"/>
      <c r="T3946" s="69"/>
      <c r="U3946" s="69"/>
      <c r="V3946" s="17"/>
      <c r="Z3946" s="70"/>
      <c r="AL3946" s="24"/>
      <c r="AM3946" s="13"/>
      <c r="AN3946" s="13"/>
      <c r="AO3946" s="13"/>
      <c r="AP3946" s="13"/>
      <c r="AQ3946" s="13"/>
      <c r="AR3946" s="13"/>
      <c r="AS3946" s="13"/>
      <c r="AT3946" s="13"/>
      <c r="DF3946" s="168"/>
    </row>
    <row r="3947" spans="1:111" x14ac:dyDescent="0.2">
      <c r="A3947" s="13"/>
      <c r="B3947" s="14"/>
      <c r="Y3947" s="15"/>
      <c r="Z3947" s="23"/>
      <c r="CU3947" s="13"/>
      <c r="DG3947" s="13"/>
    </row>
    <row r="3948" spans="1:111" x14ac:dyDescent="0.2">
      <c r="A3948" s="13"/>
      <c r="B3948" s="14"/>
      <c r="Y3948" s="15"/>
      <c r="Z3948" s="23"/>
      <c r="CU3948" s="13"/>
      <c r="DG3948" s="13"/>
    </row>
    <row r="3949" spans="1:111" x14ac:dyDescent="0.2">
      <c r="A3949" s="13"/>
      <c r="B3949" s="14"/>
      <c r="Y3949" s="15"/>
      <c r="Z3949" s="23"/>
      <c r="CU3949" s="13"/>
      <c r="DG3949" s="13"/>
    </row>
    <row r="3950" spans="1:111" x14ac:dyDescent="0.2">
      <c r="A3950" s="13"/>
      <c r="B3950" s="14"/>
      <c r="Y3950" s="15"/>
      <c r="Z3950" s="23"/>
      <c r="CU3950" s="13"/>
      <c r="DG3950" s="13"/>
    </row>
    <row r="3951" spans="1:111" x14ac:dyDescent="0.2">
      <c r="A3951" s="13"/>
      <c r="B3951" s="14"/>
      <c r="Y3951" s="15"/>
      <c r="Z3951" s="23"/>
      <c r="AZ3951" s="13" t="s">
        <v>1396</v>
      </c>
      <c r="CU3951" s="13"/>
      <c r="DG3951" s="13"/>
    </row>
    <row r="3952" spans="1:111" x14ac:dyDescent="0.2">
      <c r="A3952" s="13"/>
      <c r="B3952" s="14"/>
      <c r="Y3952" s="15"/>
      <c r="Z3952" s="23"/>
      <c r="CU3952" s="13"/>
      <c r="DG3952" s="13"/>
    </row>
    <row r="3953" spans="1:111" x14ac:dyDescent="0.2">
      <c r="A3953" s="13"/>
      <c r="B3953" s="14"/>
      <c r="Y3953" s="15"/>
      <c r="Z3953" s="23"/>
      <c r="CU3953" s="13"/>
      <c r="DG3953" s="13"/>
    </row>
    <row r="3954" spans="1:111" x14ac:dyDescent="0.2">
      <c r="A3954" s="13"/>
      <c r="B3954" s="14"/>
      <c r="Y3954" s="15"/>
      <c r="Z3954" s="23"/>
      <c r="CU3954" s="13"/>
      <c r="DG3954" s="13"/>
    </row>
    <row r="3955" spans="1:111" x14ac:dyDescent="0.2">
      <c r="A3955" s="13"/>
      <c r="B3955" s="14"/>
      <c r="Y3955" s="15"/>
      <c r="Z3955" s="23"/>
      <c r="CU3955" s="13"/>
      <c r="DG3955" s="13"/>
    </row>
    <row r="3956" spans="1:111" x14ac:dyDescent="0.2">
      <c r="A3956" s="13"/>
      <c r="B3956" s="14"/>
      <c r="Y3956" s="15"/>
      <c r="Z3956" s="23"/>
      <c r="CU3956" s="13"/>
      <c r="DG3956" s="13"/>
    </row>
    <row r="3957" spans="1:111" x14ac:dyDescent="0.2">
      <c r="A3957" s="13"/>
      <c r="B3957" s="14"/>
      <c r="Z3957" s="23"/>
      <c r="CU3957" s="13"/>
      <c r="DG3957" s="13"/>
    </row>
    <row r="3958" spans="1:111" x14ac:dyDescent="0.2">
      <c r="A3958" s="13"/>
      <c r="B3958" s="14"/>
      <c r="Z3958" s="23"/>
      <c r="CU3958" s="13"/>
      <c r="DG3958" s="13"/>
    </row>
    <row r="3959" spans="1:111" x14ac:dyDescent="0.2">
      <c r="A3959" s="13"/>
      <c r="B3959" s="14"/>
      <c r="Z3959" s="23"/>
      <c r="CU3959" s="13"/>
      <c r="DG3959" s="13"/>
    </row>
    <row r="3960" spans="1:111" x14ac:dyDescent="0.2">
      <c r="A3960" s="13"/>
      <c r="B3960" s="14"/>
      <c r="Z3960" s="23"/>
      <c r="CU3960" s="13"/>
      <c r="DG3960" s="13"/>
    </row>
    <row r="3961" spans="1:111" x14ac:dyDescent="0.2">
      <c r="A3961" s="13"/>
      <c r="B3961" s="14"/>
      <c r="Z3961" s="23"/>
      <c r="CU3961" s="13"/>
      <c r="DG3961" s="13"/>
    </row>
    <row r="3962" spans="1:111" x14ac:dyDescent="0.2">
      <c r="A3962" s="13"/>
      <c r="B3962" s="14"/>
      <c r="Z3962" s="23"/>
      <c r="CU3962" s="13"/>
      <c r="DG3962" s="13"/>
    </row>
    <row r="3963" spans="1:111" x14ac:dyDescent="0.2">
      <c r="A3963" s="13"/>
      <c r="B3963" s="14"/>
      <c r="Z3963" s="23"/>
      <c r="AC3963" s="13"/>
      <c r="AD3963" s="13"/>
      <c r="AE3963" s="13"/>
      <c r="AG3963" s="13"/>
      <c r="AH3963" s="13"/>
      <c r="AI3963" s="13"/>
      <c r="AJ3963" s="13"/>
      <c r="AK3963" s="13"/>
      <c r="AL3963" s="8"/>
      <c r="AU3963" s="13"/>
      <c r="AV3963" s="13"/>
      <c r="CU3963" s="13"/>
      <c r="DG3963" s="13"/>
    </row>
    <row r="3964" spans="1:111" x14ac:dyDescent="0.2">
      <c r="A3964" s="13"/>
      <c r="B3964" s="14"/>
      <c r="Z3964" s="23"/>
      <c r="AC3964" s="13"/>
      <c r="AD3964" s="13"/>
      <c r="AE3964" s="13"/>
      <c r="AG3964" s="13"/>
      <c r="AH3964" s="13"/>
      <c r="AI3964" s="13"/>
      <c r="AJ3964" s="13"/>
      <c r="AK3964" s="13"/>
      <c r="AL3964" s="8"/>
      <c r="AU3964" s="13"/>
      <c r="AV3964" s="13"/>
      <c r="CU3964" s="13"/>
      <c r="DG3964" s="13"/>
    </row>
    <row r="3965" spans="1:111" x14ac:dyDescent="0.2">
      <c r="A3965" s="13"/>
      <c r="B3965" s="14"/>
      <c r="Z3965" s="23"/>
      <c r="AC3965" s="13"/>
      <c r="AD3965" s="13"/>
      <c r="AE3965" s="13"/>
      <c r="AG3965" s="13"/>
      <c r="AH3965" s="13"/>
      <c r="AI3965" s="13"/>
      <c r="AJ3965" s="13"/>
      <c r="AK3965" s="13"/>
      <c r="AL3965" s="8"/>
      <c r="AU3965" s="13"/>
      <c r="AV3965" s="13"/>
      <c r="CU3965" s="13"/>
      <c r="DG3965" s="13"/>
    </row>
    <row r="3966" spans="1:111" x14ac:dyDescent="0.2">
      <c r="A3966" s="13"/>
      <c r="B3966" s="14"/>
      <c r="Z3966" s="23"/>
      <c r="AC3966" s="13"/>
      <c r="AD3966" s="13"/>
      <c r="AE3966" s="13"/>
      <c r="AG3966" s="13"/>
      <c r="AH3966" s="13"/>
      <c r="AI3966" s="13"/>
      <c r="AJ3966" s="13"/>
      <c r="AK3966" s="13"/>
      <c r="AL3966" s="8"/>
      <c r="AU3966" s="13"/>
      <c r="AV3966" s="13"/>
      <c r="CU3966" s="13"/>
      <c r="DG3966" s="13"/>
    </row>
    <row r="3967" spans="1:111" x14ac:dyDescent="0.2">
      <c r="A3967" s="13"/>
      <c r="B3967" s="14"/>
      <c r="Z3967" s="23"/>
      <c r="AC3967" s="13"/>
      <c r="AD3967" s="13"/>
      <c r="AE3967" s="13"/>
      <c r="AG3967" s="13"/>
      <c r="AH3967" s="13"/>
      <c r="AI3967" s="13"/>
      <c r="AJ3967" s="13"/>
      <c r="AK3967" s="13"/>
      <c r="AL3967" s="8"/>
      <c r="AU3967" s="13"/>
      <c r="AV3967" s="13"/>
      <c r="CU3967" s="13"/>
      <c r="DG3967" s="13"/>
    </row>
    <row r="3968" spans="1:111" x14ac:dyDescent="0.2">
      <c r="A3968" s="13"/>
      <c r="B3968" s="14"/>
      <c r="Z3968" s="23"/>
      <c r="AC3968" s="13"/>
      <c r="AD3968" s="13"/>
      <c r="AE3968" s="13"/>
      <c r="AG3968" s="13"/>
      <c r="AH3968" s="13"/>
      <c r="AI3968" s="13"/>
      <c r="AJ3968" s="13"/>
      <c r="AK3968" s="13"/>
      <c r="AL3968" s="8"/>
      <c r="AU3968" s="13"/>
      <c r="AV3968" s="13"/>
      <c r="CU3968" s="13"/>
      <c r="DG3968" s="13"/>
    </row>
    <row r="3969" spans="1:111" x14ac:dyDescent="0.2">
      <c r="A3969" s="13"/>
      <c r="B3969" s="14"/>
      <c r="Z3969" s="23"/>
      <c r="AC3969" s="13"/>
      <c r="AD3969" s="13"/>
      <c r="AE3969" s="13"/>
      <c r="AG3969" s="13"/>
      <c r="AH3969" s="13"/>
      <c r="AI3969" s="13"/>
      <c r="AJ3969" s="13"/>
      <c r="AK3969" s="13"/>
      <c r="AL3969" s="8"/>
      <c r="AU3969" s="13"/>
      <c r="AV3969" s="13"/>
      <c r="CU3969" s="13"/>
      <c r="DG3969" s="13"/>
    </row>
    <row r="3970" spans="1:111" x14ac:dyDescent="0.2">
      <c r="A3970" s="13"/>
      <c r="B3970" s="14"/>
      <c r="Z3970" s="23"/>
      <c r="AC3970" s="13"/>
      <c r="AD3970" s="13"/>
      <c r="AE3970" s="13"/>
      <c r="AG3970" s="13"/>
      <c r="AH3970" s="13"/>
      <c r="AI3970" s="13"/>
      <c r="AJ3970" s="13"/>
      <c r="AK3970" s="13"/>
      <c r="AL3970" s="8"/>
      <c r="AU3970" s="13"/>
      <c r="AV3970" s="13"/>
      <c r="CU3970" s="13"/>
      <c r="DG3970" s="13"/>
    </row>
    <row r="3971" spans="1:111" x14ac:dyDescent="0.2">
      <c r="A3971" s="13"/>
      <c r="B3971" s="14"/>
      <c r="Z3971" s="23"/>
      <c r="AC3971" s="13"/>
      <c r="AD3971" s="13"/>
      <c r="AE3971" s="13"/>
      <c r="AG3971" s="13"/>
      <c r="AH3971" s="13"/>
      <c r="AI3971" s="13"/>
      <c r="AJ3971" s="13"/>
      <c r="AK3971" s="13"/>
      <c r="AL3971" s="8"/>
      <c r="AU3971" s="13"/>
      <c r="AV3971" s="13"/>
      <c r="CU3971" s="13"/>
      <c r="DG3971" s="13"/>
    </row>
    <row r="3972" spans="1:111" x14ac:dyDescent="0.2">
      <c r="A3972" s="13"/>
      <c r="B3972" s="14"/>
      <c r="Z3972" s="23"/>
      <c r="AC3972" s="13"/>
      <c r="AD3972" s="13"/>
      <c r="AE3972" s="13"/>
      <c r="AG3972" s="13"/>
      <c r="AH3972" s="13"/>
      <c r="AI3972" s="13"/>
      <c r="AJ3972" s="13"/>
      <c r="AK3972" s="13"/>
      <c r="AL3972" s="8"/>
      <c r="AU3972" s="13"/>
      <c r="AV3972" s="13"/>
      <c r="CU3972" s="13"/>
      <c r="DG3972" s="13"/>
    </row>
    <row r="3973" spans="1:111" x14ac:dyDescent="0.2">
      <c r="A3973" s="13"/>
      <c r="B3973" s="14"/>
      <c r="Z3973" s="23"/>
      <c r="AC3973" s="13"/>
      <c r="AD3973" s="13"/>
      <c r="AE3973" s="13"/>
      <c r="AG3973" s="13"/>
      <c r="AH3973" s="13"/>
      <c r="AI3973" s="13"/>
      <c r="AJ3973" s="13"/>
      <c r="AK3973" s="13"/>
      <c r="AL3973" s="8"/>
      <c r="AU3973" s="13"/>
      <c r="AV3973" s="13"/>
      <c r="CU3973" s="13"/>
      <c r="DG3973" s="13"/>
    </row>
    <row r="3974" spans="1:111" x14ac:dyDescent="0.2">
      <c r="A3974" s="13"/>
      <c r="B3974" s="14"/>
      <c r="Z3974" s="23"/>
      <c r="AC3974" s="13"/>
      <c r="AD3974" s="13"/>
      <c r="AE3974" s="13"/>
      <c r="AG3974" s="13"/>
      <c r="AH3974" s="13"/>
      <c r="AI3974" s="13"/>
      <c r="AJ3974" s="13"/>
      <c r="AK3974" s="13"/>
      <c r="AL3974" s="8"/>
      <c r="AU3974" s="13"/>
      <c r="AV3974" s="13"/>
      <c r="CU3974" s="13"/>
      <c r="DG3974" s="13"/>
    </row>
    <row r="3975" spans="1:111" x14ac:dyDescent="0.2">
      <c r="A3975" s="13"/>
      <c r="B3975" s="14"/>
      <c r="Z3975" s="23"/>
      <c r="AC3975" s="13"/>
      <c r="AD3975" s="13"/>
      <c r="AE3975" s="13"/>
      <c r="AG3975" s="13"/>
      <c r="AH3975" s="13"/>
      <c r="AI3975" s="13"/>
      <c r="AJ3975" s="13"/>
      <c r="AK3975" s="13"/>
      <c r="AL3975" s="8"/>
      <c r="AU3975" s="13"/>
      <c r="AV3975" s="13"/>
      <c r="CU3975" s="13"/>
      <c r="DG3975" s="13"/>
    </row>
    <row r="3976" spans="1:111" x14ac:dyDescent="0.2">
      <c r="A3976" s="13"/>
      <c r="B3976" s="14"/>
      <c r="Z3976" s="23"/>
      <c r="AC3976" s="13"/>
      <c r="AD3976" s="13"/>
      <c r="AE3976" s="13"/>
      <c r="AG3976" s="13"/>
      <c r="AH3976" s="13"/>
      <c r="AI3976" s="13"/>
      <c r="AJ3976" s="13"/>
      <c r="AK3976" s="13"/>
      <c r="AL3976" s="8"/>
      <c r="AU3976" s="13"/>
      <c r="AV3976" s="13"/>
      <c r="CU3976" s="13"/>
      <c r="DG3976" s="13"/>
    </row>
    <row r="3977" spans="1:111" x14ac:dyDescent="0.2">
      <c r="A3977" s="13"/>
      <c r="B3977" s="14"/>
      <c r="Z3977" s="23"/>
      <c r="AC3977" s="13"/>
      <c r="AD3977" s="13"/>
      <c r="AE3977" s="13"/>
      <c r="AG3977" s="13"/>
      <c r="AH3977" s="13"/>
      <c r="AI3977" s="13"/>
      <c r="AJ3977" s="13"/>
      <c r="AK3977" s="13"/>
      <c r="AL3977" s="8"/>
      <c r="AU3977" s="13"/>
      <c r="AV3977" s="13"/>
      <c r="CU3977" s="13"/>
      <c r="DG3977" s="13"/>
    </row>
    <row r="3978" spans="1:111" x14ac:dyDescent="0.2">
      <c r="A3978" s="13"/>
      <c r="B3978" s="14"/>
      <c r="Z3978" s="23"/>
      <c r="AC3978" s="13"/>
      <c r="AD3978" s="13"/>
      <c r="AE3978" s="13"/>
      <c r="AG3978" s="13"/>
      <c r="AH3978" s="13"/>
      <c r="AI3978" s="13"/>
      <c r="AJ3978" s="13"/>
      <c r="AK3978" s="13"/>
      <c r="AL3978" s="8"/>
      <c r="AU3978" s="13"/>
      <c r="AV3978" s="13"/>
      <c r="CU3978" s="13"/>
      <c r="DG3978" s="13"/>
    </row>
    <row r="3979" spans="1:111" x14ac:dyDescent="0.2">
      <c r="A3979" s="13"/>
      <c r="B3979" s="14"/>
      <c r="Z3979" s="23"/>
      <c r="AC3979" s="13"/>
      <c r="AD3979" s="13"/>
      <c r="AE3979" s="13"/>
      <c r="AG3979" s="13"/>
      <c r="AH3979" s="13"/>
      <c r="AI3979" s="13"/>
      <c r="AJ3979" s="13"/>
      <c r="AK3979" s="13"/>
      <c r="AL3979" s="8"/>
      <c r="AU3979" s="13"/>
      <c r="AV3979" s="13"/>
      <c r="CU3979" s="13"/>
      <c r="DG3979" s="13"/>
    </row>
    <row r="3980" spans="1:111" x14ac:dyDescent="0.2">
      <c r="A3980" s="13"/>
      <c r="B3980" s="14"/>
      <c r="Z3980" s="23"/>
      <c r="AC3980" s="13"/>
      <c r="AD3980" s="13"/>
      <c r="AE3980" s="13"/>
      <c r="AG3980" s="13"/>
      <c r="AH3980" s="13"/>
      <c r="AI3980" s="13"/>
      <c r="AJ3980" s="13"/>
      <c r="AK3980" s="13"/>
      <c r="AL3980" s="8"/>
      <c r="AU3980" s="13"/>
      <c r="AV3980" s="13"/>
      <c r="CU3980" s="13"/>
      <c r="DG3980" s="13"/>
    </row>
    <row r="3981" spans="1:111" x14ac:dyDescent="0.2">
      <c r="A3981" s="13"/>
      <c r="B3981" s="14"/>
      <c r="Z3981" s="23"/>
      <c r="AC3981" s="13"/>
      <c r="AD3981" s="13"/>
      <c r="AE3981" s="13"/>
      <c r="AG3981" s="13"/>
      <c r="AH3981" s="13"/>
      <c r="AI3981" s="13"/>
      <c r="AJ3981" s="13"/>
      <c r="AK3981" s="13"/>
      <c r="AL3981" s="8"/>
      <c r="AU3981" s="13"/>
      <c r="AV3981" s="13"/>
      <c r="CU3981" s="13"/>
      <c r="DG3981" s="13"/>
    </row>
    <row r="3982" spans="1:111" x14ac:dyDescent="0.2">
      <c r="A3982" s="13"/>
      <c r="B3982" s="14"/>
      <c r="Z3982" s="23"/>
      <c r="AC3982" s="13"/>
      <c r="AD3982" s="13"/>
      <c r="AE3982" s="13"/>
      <c r="AG3982" s="13"/>
      <c r="AH3982" s="13"/>
      <c r="AI3982" s="13"/>
      <c r="AJ3982" s="13"/>
      <c r="AK3982" s="13"/>
      <c r="AL3982" s="8"/>
      <c r="AU3982" s="13"/>
      <c r="AV3982" s="13"/>
      <c r="CU3982" s="13"/>
      <c r="DG3982" s="13"/>
    </row>
    <row r="3983" spans="1:111" x14ac:dyDescent="0.2">
      <c r="A3983" s="13"/>
      <c r="B3983" s="14"/>
      <c r="Z3983" s="23"/>
      <c r="AC3983" s="13"/>
      <c r="AD3983" s="13"/>
      <c r="AE3983" s="13"/>
      <c r="AG3983" s="13"/>
      <c r="AH3983" s="13"/>
      <c r="AI3983" s="13"/>
      <c r="AJ3983" s="13"/>
      <c r="AK3983" s="13"/>
      <c r="AL3983" s="8"/>
      <c r="AU3983" s="13"/>
      <c r="AV3983" s="13"/>
      <c r="CU3983" s="13"/>
      <c r="DG3983" s="13"/>
    </row>
    <row r="3984" spans="1:111" x14ac:dyDescent="0.2">
      <c r="A3984" s="13"/>
      <c r="B3984" s="14"/>
      <c r="Z3984" s="23"/>
      <c r="AC3984" s="13"/>
      <c r="AD3984" s="13"/>
      <c r="AE3984" s="13"/>
      <c r="AG3984" s="13"/>
      <c r="AH3984" s="13"/>
      <c r="AI3984" s="13"/>
      <c r="AJ3984" s="13"/>
      <c r="AK3984" s="13"/>
      <c r="AL3984" s="8"/>
      <c r="AU3984" s="13"/>
      <c r="AV3984" s="13"/>
      <c r="CU3984" s="13"/>
      <c r="DG3984" s="13"/>
    </row>
    <row r="3985" spans="1:111" x14ac:dyDescent="0.2">
      <c r="A3985" s="13"/>
      <c r="B3985" s="14"/>
      <c r="Z3985" s="23"/>
      <c r="AC3985" s="13"/>
      <c r="AD3985" s="13"/>
      <c r="AE3985" s="13"/>
      <c r="AG3985" s="13"/>
      <c r="AH3985" s="13"/>
      <c r="AI3985" s="13"/>
      <c r="AJ3985" s="13"/>
      <c r="AK3985" s="13"/>
      <c r="AL3985" s="8"/>
      <c r="AU3985" s="13"/>
      <c r="AV3985" s="13"/>
      <c r="CU3985" s="13"/>
      <c r="DG3985" s="13"/>
    </row>
    <row r="3986" spans="1:111" x14ac:dyDescent="0.2">
      <c r="A3986" s="13"/>
      <c r="B3986" s="14"/>
      <c r="Z3986" s="23"/>
      <c r="AC3986" s="13"/>
      <c r="AD3986" s="13"/>
      <c r="AE3986" s="13"/>
      <c r="AG3986" s="13"/>
      <c r="AH3986" s="13"/>
      <c r="AI3986" s="13"/>
      <c r="AJ3986" s="13"/>
      <c r="AK3986" s="13"/>
      <c r="AL3986" s="8"/>
      <c r="AU3986" s="13"/>
      <c r="AV3986" s="13"/>
      <c r="CU3986" s="13"/>
      <c r="DG3986" s="13"/>
    </row>
    <row r="3987" spans="1:111" x14ac:dyDescent="0.2">
      <c r="A3987" s="13"/>
      <c r="B3987" s="14"/>
      <c r="Z3987" s="23"/>
      <c r="AC3987" s="13"/>
      <c r="AD3987" s="13"/>
      <c r="AE3987" s="13"/>
      <c r="AG3987" s="13"/>
      <c r="AH3987" s="13"/>
      <c r="AI3987" s="13"/>
      <c r="AJ3987" s="13"/>
      <c r="AK3987" s="13"/>
      <c r="AL3987" s="8"/>
      <c r="AU3987" s="13"/>
      <c r="AV3987" s="13"/>
      <c r="CU3987" s="13"/>
      <c r="DG3987" s="13"/>
    </row>
    <row r="3988" spans="1:111" x14ac:dyDescent="0.2">
      <c r="A3988" s="13"/>
      <c r="B3988" s="14"/>
      <c r="Z3988" s="23"/>
      <c r="AC3988" s="13"/>
      <c r="AD3988" s="13"/>
      <c r="AE3988" s="13"/>
      <c r="AG3988" s="13"/>
      <c r="AH3988" s="13"/>
      <c r="AI3988" s="13"/>
      <c r="AJ3988" s="13"/>
      <c r="AK3988" s="13"/>
      <c r="AL3988" s="8"/>
      <c r="AU3988" s="13"/>
      <c r="AV3988" s="13"/>
      <c r="CU3988" s="13"/>
      <c r="DG3988" s="13"/>
    </row>
    <row r="3989" spans="1:111" x14ac:dyDescent="0.2">
      <c r="A3989" s="13"/>
      <c r="B3989" s="14"/>
      <c r="Z3989" s="23"/>
      <c r="AC3989" s="13"/>
      <c r="AD3989" s="13"/>
      <c r="AE3989" s="13"/>
      <c r="AG3989" s="13"/>
      <c r="AH3989" s="13"/>
      <c r="AI3989" s="13"/>
      <c r="AJ3989" s="13"/>
      <c r="AK3989" s="13"/>
      <c r="AL3989" s="8"/>
      <c r="AU3989" s="13"/>
      <c r="AV3989" s="13"/>
      <c r="CU3989" s="13"/>
      <c r="DG3989" s="13"/>
    </row>
    <row r="3990" spans="1:111" x14ac:dyDescent="0.2">
      <c r="A3990" s="13"/>
      <c r="B3990" s="14"/>
      <c r="Z3990" s="23"/>
      <c r="AC3990" s="13"/>
      <c r="AD3990" s="13"/>
      <c r="AE3990" s="13"/>
      <c r="AG3990" s="13"/>
      <c r="AH3990" s="13"/>
      <c r="AI3990" s="13"/>
      <c r="AJ3990" s="13"/>
      <c r="AK3990" s="13"/>
      <c r="AL3990" s="8"/>
      <c r="AU3990" s="13"/>
      <c r="AV3990" s="13"/>
      <c r="CU3990" s="13"/>
      <c r="DG3990" s="13"/>
    </row>
    <row r="3991" spans="1:111" x14ac:dyDescent="0.2">
      <c r="A3991" s="13"/>
      <c r="B3991" s="14"/>
      <c r="Z3991" s="23"/>
      <c r="AC3991" s="13"/>
      <c r="AD3991" s="13"/>
      <c r="AE3991" s="13"/>
      <c r="AG3991" s="13"/>
      <c r="AH3991" s="13"/>
      <c r="AI3991" s="13"/>
      <c r="AJ3991" s="13"/>
      <c r="AK3991" s="13"/>
      <c r="AL3991" s="8"/>
      <c r="AU3991" s="13"/>
      <c r="AV3991" s="13"/>
      <c r="CU3991" s="13"/>
      <c r="DG3991" s="13"/>
    </row>
    <row r="3992" spans="1:111" x14ac:dyDescent="0.2">
      <c r="A3992" s="13"/>
      <c r="B3992" s="14"/>
      <c r="Z3992" s="23"/>
      <c r="AC3992" s="13"/>
      <c r="AD3992" s="13"/>
      <c r="AE3992" s="13"/>
      <c r="AG3992" s="13"/>
      <c r="AH3992" s="13"/>
      <c r="AI3992" s="13"/>
      <c r="AJ3992" s="13"/>
      <c r="AK3992" s="13"/>
      <c r="AL3992" s="8"/>
      <c r="AU3992" s="13"/>
      <c r="AV3992" s="13"/>
      <c r="CU3992" s="13"/>
      <c r="DG3992" s="13"/>
    </row>
    <row r="3993" spans="1:111" x14ac:dyDescent="0.2">
      <c r="A3993" s="13"/>
      <c r="B3993" s="14"/>
      <c r="Z3993" s="23"/>
      <c r="AC3993" s="13"/>
      <c r="AD3993" s="13"/>
      <c r="AE3993" s="13"/>
      <c r="AG3993" s="13"/>
      <c r="AH3993" s="13"/>
      <c r="AI3993" s="13"/>
      <c r="AJ3993" s="13"/>
      <c r="AK3993" s="13"/>
      <c r="AL3993" s="8"/>
      <c r="AU3993" s="13"/>
      <c r="AV3993" s="13"/>
      <c r="CU3993" s="13"/>
      <c r="DG3993" s="13"/>
    </row>
    <row r="3994" spans="1:111" x14ac:dyDescent="0.2">
      <c r="A3994" s="13"/>
      <c r="B3994" s="14"/>
      <c r="Z3994" s="23"/>
      <c r="AC3994" s="13"/>
      <c r="AD3994" s="13"/>
      <c r="AE3994" s="13"/>
      <c r="AG3994" s="13"/>
      <c r="AH3994" s="13"/>
      <c r="AI3994" s="13"/>
      <c r="AJ3994" s="13"/>
      <c r="AK3994" s="13"/>
      <c r="AL3994" s="8"/>
      <c r="AU3994" s="13"/>
      <c r="AV3994" s="13"/>
      <c r="CU3994" s="13"/>
      <c r="DG3994" s="13"/>
    </row>
    <row r="3995" spans="1:111" x14ac:dyDescent="0.2">
      <c r="A3995" s="13"/>
      <c r="B3995" s="14"/>
      <c r="Z3995" s="23"/>
      <c r="AC3995" s="13"/>
      <c r="AD3995" s="13"/>
      <c r="AE3995" s="13"/>
      <c r="AG3995" s="13"/>
      <c r="AH3995" s="13"/>
      <c r="AI3995" s="13"/>
      <c r="AJ3995" s="13"/>
      <c r="AK3995" s="13"/>
      <c r="AL3995" s="8"/>
      <c r="AU3995" s="13"/>
      <c r="AV3995" s="13"/>
      <c r="CU3995" s="13"/>
      <c r="DG3995" s="13"/>
    </row>
    <row r="3996" spans="1:111" x14ac:dyDescent="0.2">
      <c r="A3996" s="13"/>
      <c r="B3996" s="14"/>
      <c r="Z3996" s="23"/>
      <c r="AC3996" s="13"/>
      <c r="AD3996" s="13"/>
      <c r="AE3996" s="13"/>
      <c r="AG3996" s="13"/>
      <c r="AH3996" s="13"/>
      <c r="AI3996" s="13"/>
      <c r="AJ3996" s="13"/>
      <c r="AK3996" s="13"/>
      <c r="AL3996" s="8"/>
      <c r="AU3996" s="13"/>
      <c r="AV3996" s="13"/>
      <c r="CU3996" s="13"/>
      <c r="DG3996" s="13"/>
    </row>
    <row r="3997" spans="1:111" x14ac:dyDescent="0.2">
      <c r="A3997" s="13"/>
      <c r="B3997" s="14"/>
      <c r="Z3997" s="23"/>
      <c r="AC3997" s="13"/>
      <c r="AD3997" s="13"/>
      <c r="AE3997" s="13"/>
      <c r="AG3997" s="13"/>
      <c r="AH3997" s="13"/>
      <c r="AI3997" s="13"/>
      <c r="AJ3997" s="13"/>
      <c r="AK3997" s="13"/>
      <c r="AL3997" s="8"/>
      <c r="AU3997" s="13"/>
      <c r="AV3997" s="13"/>
      <c r="CU3997" s="13"/>
      <c r="DG3997" s="13"/>
    </row>
    <row r="3998" spans="1:111" x14ac:dyDescent="0.2">
      <c r="A3998" s="13"/>
      <c r="B3998" s="14"/>
      <c r="Z3998" s="23"/>
      <c r="AC3998" s="13"/>
      <c r="AD3998" s="13"/>
      <c r="AE3998" s="13"/>
      <c r="AG3998" s="13"/>
      <c r="AH3998" s="13"/>
      <c r="AI3998" s="13"/>
      <c r="AJ3998" s="13"/>
      <c r="AK3998" s="13"/>
      <c r="AL3998" s="8"/>
      <c r="AU3998" s="13"/>
      <c r="AV3998" s="13"/>
      <c r="CU3998" s="13"/>
      <c r="DG3998" s="13"/>
    </row>
    <row r="3999" spans="1:111" x14ac:dyDescent="0.2">
      <c r="A3999" s="13"/>
      <c r="B3999" s="14"/>
      <c r="Z3999" s="23"/>
      <c r="AC3999" s="13"/>
      <c r="AD3999" s="13"/>
      <c r="AE3999" s="13"/>
      <c r="AG3999" s="13"/>
      <c r="AH3999" s="13"/>
      <c r="AI3999" s="13"/>
      <c r="AJ3999" s="13"/>
      <c r="AK3999" s="13"/>
      <c r="AL3999" s="8"/>
      <c r="AU3999" s="13"/>
      <c r="AV3999" s="13"/>
      <c r="CU3999" s="13"/>
      <c r="DG3999" s="13"/>
    </row>
    <row r="4000" spans="1:111" x14ac:dyDescent="0.2">
      <c r="A4000" s="13"/>
      <c r="B4000" s="14"/>
      <c r="Z4000" s="23"/>
      <c r="AC4000" s="13"/>
      <c r="AD4000" s="13"/>
      <c r="AE4000" s="13"/>
      <c r="AG4000" s="13"/>
      <c r="AH4000" s="13"/>
      <c r="AI4000" s="13"/>
      <c r="AJ4000" s="13"/>
      <c r="AK4000" s="13"/>
      <c r="AL4000" s="8"/>
      <c r="AU4000" s="13"/>
      <c r="AV4000" s="13"/>
      <c r="CU4000" s="13"/>
      <c r="DG4000" s="13"/>
    </row>
    <row r="4001" spans="1:111" x14ac:dyDescent="0.2">
      <c r="A4001" s="13"/>
      <c r="B4001" s="14"/>
      <c r="Z4001" s="23"/>
      <c r="AC4001" s="13"/>
      <c r="AD4001" s="13"/>
      <c r="AE4001" s="13"/>
      <c r="AG4001" s="13"/>
      <c r="AH4001" s="13"/>
      <c r="AI4001" s="13"/>
      <c r="AJ4001" s="13"/>
      <c r="AK4001" s="13"/>
      <c r="AL4001" s="8"/>
      <c r="AU4001" s="13"/>
      <c r="AV4001" s="13"/>
      <c r="CU4001" s="13"/>
      <c r="DG4001" s="13"/>
    </row>
    <row r="4002" spans="1:111" x14ac:dyDescent="0.2">
      <c r="A4002" s="13"/>
      <c r="B4002" s="14"/>
      <c r="Z4002" s="23"/>
      <c r="AC4002" s="13"/>
      <c r="AD4002" s="13"/>
      <c r="AE4002" s="13"/>
      <c r="AG4002" s="13"/>
      <c r="AH4002" s="13"/>
      <c r="AI4002" s="13"/>
      <c r="AJ4002" s="13"/>
      <c r="AK4002" s="13"/>
      <c r="AL4002" s="8"/>
      <c r="AU4002" s="13"/>
      <c r="AV4002" s="13"/>
      <c r="CU4002" s="13"/>
      <c r="DG4002" s="13"/>
    </row>
    <row r="4003" spans="1:111" x14ac:dyDescent="0.2">
      <c r="A4003" s="13"/>
      <c r="B4003" s="14"/>
      <c r="Z4003" s="23"/>
      <c r="AC4003" s="13"/>
      <c r="AD4003" s="13"/>
      <c r="AE4003" s="13"/>
      <c r="AG4003" s="13"/>
      <c r="AH4003" s="13"/>
      <c r="AI4003" s="13"/>
      <c r="AJ4003" s="13"/>
      <c r="AK4003" s="13"/>
      <c r="AL4003" s="8"/>
      <c r="AU4003" s="13"/>
      <c r="AV4003" s="13"/>
      <c r="CU4003" s="13"/>
      <c r="DG4003" s="13"/>
    </row>
    <row r="4004" spans="1:111" x14ac:dyDescent="0.2">
      <c r="A4004" s="13"/>
      <c r="B4004" s="14"/>
      <c r="Z4004" s="23"/>
      <c r="AC4004" s="13"/>
      <c r="AD4004" s="13"/>
      <c r="AE4004" s="13"/>
      <c r="AG4004" s="13"/>
      <c r="AH4004" s="13"/>
      <c r="AI4004" s="13"/>
      <c r="AJ4004" s="13"/>
      <c r="AK4004" s="13"/>
      <c r="AL4004" s="8"/>
      <c r="AU4004" s="13"/>
      <c r="AV4004" s="13"/>
      <c r="CU4004" s="13"/>
      <c r="DG4004" s="13"/>
    </row>
    <row r="4005" spans="1:111" x14ac:dyDescent="0.2">
      <c r="A4005" s="13"/>
      <c r="B4005" s="14"/>
      <c r="Z4005" s="23"/>
      <c r="AC4005" s="13"/>
      <c r="AD4005" s="13"/>
      <c r="AE4005" s="13"/>
      <c r="AG4005" s="13"/>
      <c r="AH4005" s="13"/>
      <c r="AI4005" s="13"/>
      <c r="AJ4005" s="13"/>
      <c r="AK4005" s="13"/>
      <c r="AL4005" s="8"/>
      <c r="AU4005" s="13"/>
      <c r="AV4005" s="13"/>
      <c r="CU4005" s="13"/>
      <c r="DG4005" s="13"/>
    </row>
    <row r="4006" spans="1:111" x14ac:dyDescent="0.2">
      <c r="A4006" s="13"/>
      <c r="B4006" s="14"/>
      <c r="Z4006" s="23"/>
      <c r="AC4006" s="13"/>
      <c r="AD4006" s="13"/>
      <c r="AE4006" s="13"/>
      <c r="AG4006" s="13"/>
      <c r="AH4006" s="13"/>
      <c r="AI4006" s="13"/>
      <c r="AJ4006" s="13"/>
      <c r="AK4006" s="13"/>
      <c r="AL4006" s="8"/>
      <c r="AU4006" s="13"/>
      <c r="AV4006" s="13"/>
      <c r="CU4006" s="13"/>
      <c r="DG4006" s="13"/>
    </row>
    <row r="4007" spans="1:111" x14ac:dyDescent="0.2">
      <c r="A4007" s="13"/>
      <c r="B4007" s="14"/>
      <c r="Z4007" s="23"/>
      <c r="AC4007" s="13"/>
      <c r="AD4007" s="13"/>
      <c r="AE4007" s="13"/>
      <c r="AG4007" s="13"/>
      <c r="AH4007" s="13"/>
      <c r="AI4007" s="13"/>
      <c r="AJ4007" s="13"/>
      <c r="AK4007" s="13"/>
      <c r="AL4007" s="8"/>
      <c r="AU4007" s="13"/>
      <c r="AV4007" s="13"/>
      <c r="CU4007" s="13"/>
      <c r="DG4007" s="13"/>
    </row>
    <row r="4008" spans="1:111" x14ac:dyDescent="0.2">
      <c r="A4008" s="13"/>
      <c r="B4008" s="14"/>
      <c r="Y4008" s="23"/>
      <c r="Z4008" s="23"/>
      <c r="AC4008" s="13"/>
      <c r="AD4008" s="13"/>
      <c r="AE4008" s="13"/>
      <c r="AG4008" s="13"/>
      <c r="AH4008" s="13"/>
      <c r="AI4008" s="13"/>
      <c r="AJ4008" s="13"/>
      <c r="AK4008" s="13"/>
      <c r="AL4008" s="8"/>
      <c r="AU4008" s="13"/>
      <c r="AV4008" s="13"/>
      <c r="CU4008" s="13"/>
      <c r="DG4008" s="13"/>
    </row>
    <row r="4009" spans="1:111" x14ac:dyDescent="0.2">
      <c r="A4009" s="13"/>
      <c r="B4009" s="14"/>
      <c r="Y4009" s="23"/>
      <c r="Z4009" s="23"/>
      <c r="AC4009" s="13"/>
      <c r="AD4009" s="13"/>
      <c r="AE4009" s="13"/>
      <c r="AG4009" s="13"/>
      <c r="AH4009" s="13"/>
      <c r="AI4009" s="13"/>
      <c r="AJ4009" s="13"/>
      <c r="AK4009" s="13"/>
      <c r="AL4009" s="8"/>
      <c r="AU4009" s="13"/>
      <c r="AV4009" s="13"/>
      <c r="CU4009" s="13"/>
      <c r="DG4009" s="13"/>
    </row>
    <row r="4010" spans="1:111" x14ac:dyDescent="0.2">
      <c r="A4010" s="13"/>
      <c r="B4010" s="14"/>
      <c r="Y4010" s="23"/>
      <c r="Z4010" s="23"/>
      <c r="AC4010" s="13"/>
      <c r="AD4010" s="13"/>
      <c r="AE4010" s="13"/>
      <c r="AG4010" s="13"/>
      <c r="AH4010" s="13"/>
      <c r="AI4010" s="13"/>
      <c r="AJ4010" s="13"/>
      <c r="AK4010" s="13"/>
      <c r="AL4010" s="8"/>
      <c r="AU4010" s="13"/>
      <c r="AV4010" s="13"/>
      <c r="CU4010" s="13"/>
      <c r="DG4010" s="13"/>
    </row>
    <row r="4011" spans="1:111" x14ac:dyDescent="0.2">
      <c r="A4011" s="13"/>
      <c r="B4011" s="14"/>
      <c r="Y4011" s="23"/>
      <c r="Z4011" s="23"/>
      <c r="AC4011" s="13"/>
      <c r="AD4011" s="13"/>
      <c r="AE4011" s="13"/>
      <c r="AG4011" s="13"/>
      <c r="AH4011" s="13"/>
      <c r="AI4011" s="13"/>
      <c r="AJ4011" s="13"/>
      <c r="AK4011" s="13"/>
      <c r="AL4011" s="8"/>
      <c r="AU4011" s="13"/>
      <c r="AV4011" s="13"/>
      <c r="CU4011" s="13"/>
      <c r="DG4011" s="13"/>
    </row>
    <row r="4012" spans="1:111" x14ac:dyDescent="0.2">
      <c r="A4012" s="13"/>
      <c r="B4012" s="14"/>
      <c r="Y4012" s="23"/>
      <c r="Z4012" s="23"/>
      <c r="AC4012" s="13"/>
      <c r="AD4012" s="13"/>
      <c r="AE4012" s="13"/>
      <c r="AG4012" s="13"/>
      <c r="AH4012" s="13"/>
      <c r="AI4012" s="13"/>
      <c r="AJ4012" s="13"/>
      <c r="AK4012" s="13"/>
      <c r="AL4012" s="8"/>
      <c r="AU4012" s="13"/>
      <c r="AV4012" s="13"/>
      <c r="CU4012" s="13"/>
      <c r="DG4012" s="13"/>
    </row>
    <row r="4013" spans="1:111" x14ac:dyDescent="0.2">
      <c r="A4013" s="13"/>
      <c r="B4013" s="14"/>
      <c r="Y4013" s="23"/>
      <c r="Z4013" s="23"/>
      <c r="AC4013" s="13"/>
      <c r="AD4013" s="13"/>
      <c r="AE4013" s="13"/>
      <c r="AG4013" s="13"/>
      <c r="AH4013" s="13"/>
      <c r="AI4013" s="13"/>
      <c r="AJ4013" s="13"/>
      <c r="AK4013" s="13"/>
      <c r="AL4013" s="8"/>
      <c r="AU4013" s="13"/>
      <c r="AV4013" s="13"/>
      <c r="CU4013" s="13"/>
      <c r="DG4013" s="13"/>
    </row>
    <row r="4014" spans="1:111" x14ac:dyDescent="0.2">
      <c r="A4014" s="13"/>
      <c r="B4014" s="14"/>
      <c r="Y4014" s="23"/>
      <c r="Z4014" s="23"/>
      <c r="AC4014" s="13"/>
      <c r="AD4014" s="13"/>
      <c r="AE4014" s="13"/>
      <c r="AG4014" s="13"/>
      <c r="AH4014" s="13"/>
      <c r="AI4014" s="13"/>
      <c r="AJ4014" s="13"/>
      <c r="AK4014" s="13"/>
      <c r="AL4014" s="8"/>
      <c r="AU4014" s="13"/>
      <c r="AV4014" s="13"/>
      <c r="CU4014" s="13"/>
      <c r="DG4014" s="13"/>
    </row>
    <row r="4015" spans="1:111" x14ac:dyDescent="0.2">
      <c r="A4015" s="13"/>
      <c r="B4015" s="14"/>
      <c r="Y4015" s="23"/>
      <c r="Z4015" s="23"/>
      <c r="AC4015" s="13"/>
      <c r="AD4015" s="13"/>
      <c r="AE4015" s="13"/>
      <c r="AG4015" s="13"/>
      <c r="AH4015" s="13"/>
      <c r="AI4015" s="13"/>
      <c r="AJ4015" s="13"/>
      <c r="AK4015" s="13"/>
      <c r="AL4015" s="8"/>
      <c r="AU4015" s="13"/>
      <c r="AV4015" s="13"/>
      <c r="CU4015" s="13"/>
      <c r="DG4015" s="13"/>
    </row>
    <row r="4016" spans="1:111" x14ac:dyDescent="0.2">
      <c r="A4016" s="13"/>
      <c r="B4016" s="14"/>
      <c r="Y4016" s="23"/>
      <c r="Z4016" s="23"/>
      <c r="AC4016" s="13"/>
      <c r="AD4016" s="13"/>
      <c r="AE4016" s="13"/>
      <c r="AG4016" s="13"/>
      <c r="AH4016" s="13"/>
      <c r="AI4016" s="13"/>
      <c r="AJ4016" s="13"/>
      <c r="AK4016" s="13"/>
      <c r="AL4016" s="8"/>
      <c r="AU4016" s="13"/>
      <c r="AV4016" s="13"/>
      <c r="CU4016" s="13"/>
      <c r="DG4016" s="13"/>
    </row>
    <row r="4017" spans="1:111" x14ac:dyDescent="0.2">
      <c r="A4017" s="13"/>
      <c r="B4017" s="14"/>
      <c r="Y4017" s="23"/>
      <c r="Z4017" s="23"/>
      <c r="AC4017" s="13"/>
      <c r="AD4017" s="13"/>
      <c r="AE4017" s="13"/>
      <c r="AG4017" s="13"/>
      <c r="AH4017" s="13"/>
      <c r="AI4017" s="13"/>
      <c r="AJ4017" s="13"/>
      <c r="AK4017" s="13"/>
      <c r="AL4017" s="8"/>
      <c r="AU4017" s="13"/>
      <c r="AV4017" s="13"/>
      <c r="CU4017" s="13"/>
      <c r="DG4017" s="13"/>
    </row>
    <row r="4018" spans="1:111" x14ac:dyDescent="0.2">
      <c r="A4018" s="13"/>
      <c r="B4018" s="14"/>
      <c r="Y4018" s="23"/>
      <c r="Z4018" s="23"/>
      <c r="AC4018" s="13"/>
      <c r="AD4018" s="13"/>
      <c r="AE4018" s="13"/>
      <c r="AG4018" s="13"/>
      <c r="AH4018" s="13"/>
      <c r="AI4018" s="13"/>
      <c r="AJ4018" s="13"/>
      <c r="AK4018" s="13"/>
      <c r="AL4018" s="8"/>
      <c r="AU4018" s="13"/>
      <c r="AV4018" s="13"/>
      <c r="CU4018" s="13"/>
      <c r="DG4018" s="13"/>
    </row>
    <row r="4019" spans="1:111" x14ac:dyDescent="0.2">
      <c r="A4019" s="13"/>
      <c r="B4019" s="14"/>
      <c r="Y4019" s="23"/>
      <c r="Z4019" s="23"/>
      <c r="AC4019" s="13"/>
      <c r="AD4019" s="13"/>
      <c r="AE4019" s="13"/>
      <c r="AG4019" s="13"/>
      <c r="AH4019" s="13"/>
      <c r="AI4019" s="13"/>
      <c r="AJ4019" s="13"/>
      <c r="AK4019" s="13"/>
      <c r="AL4019" s="8"/>
      <c r="AU4019" s="13"/>
      <c r="AV4019" s="13"/>
      <c r="CU4019" s="13"/>
      <c r="DG4019" s="13"/>
    </row>
    <row r="4020" spans="1:111" x14ac:dyDescent="0.2">
      <c r="A4020" s="13"/>
      <c r="B4020" s="14"/>
      <c r="Y4020" s="23"/>
      <c r="Z4020" s="23"/>
      <c r="AC4020" s="13"/>
      <c r="AD4020" s="13"/>
      <c r="AE4020" s="13"/>
      <c r="AG4020" s="13"/>
      <c r="AH4020" s="13"/>
      <c r="AI4020" s="13"/>
      <c r="AJ4020" s="13"/>
      <c r="AK4020" s="13"/>
      <c r="AL4020" s="8"/>
      <c r="AU4020" s="13"/>
      <c r="AV4020" s="13"/>
      <c r="CU4020" s="13"/>
      <c r="DG4020" s="13"/>
    </row>
    <row r="4021" spans="1:111" x14ac:dyDescent="0.2">
      <c r="A4021" s="13"/>
      <c r="B4021" s="14"/>
      <c r="Y4021" s="23"/>
      <c r="Z4021" s="23"/>
      <c r="AC4021" s="13"/>
      <c r="AD4021" s="13"/>
      <c r="AE4021" s="13"/>
      <c r="AG4021" s="13"/>
      <c r="AH4021" s="13"/>
      <c r="AI4021" s="13"/>
      <c r="AJ4021" s="13"/>
      <c r="AK4021" s="13"/>
      <c r="AL4021" s="8"/>
      <c r="AU4021" s="13"/>
      <c r="AV4021" s="13"/>
      <c r="CU4021" s="13"/>
      <c r="DG4021" s="13"/>
    </row>
    <row r="4022" spans="1:111" x14ac:dyDescent="0.2">
      <c r="A4022" s="13"/>
      <c r="B4022" s="14"/>
      <c r="Y4022" s="23"/>
      <c r="Z4022" s="23"/>
      <c r="AC4022" s="13"/>
      <c r="AD4022" s="13"/>
      <c r="AE4022" s="13"/>
      <c r="AG4022" s="13"/>
      <c r="AH4022" s="13"/>
      <c r="AI4022" s="13"/>
      <c r="AJ4022" s="13"/>
      <c r="AK4022" s="13"/>
      <c r="AL4022" s="8"/>
      <c r="AU4022" s="13"/>
      <c r="AV4022" s="13"/>
      <c r="CU4022" s="13"/>
      <c r="DG4022" s="13"/>
    </row>
    <row r="4023" spans="1:111" x14ac:dyDescent="0.2">
      <c r="A4023" s="13"/>
      <c r="B4023" s="14"/>
      <c r="Y4023" s="23"/>
      <c r="Z4023" s="23"/>
      <c r="AC4023" s="13"/>
      <c r="AD4023" s="13"/>
      <c r="AE4023" s="13"/>
      <c r="AG4023" s="13"/>
      <c r="AH4023" s="13"/>
      <c r="AI4023" s="13"/>
      <c r="AJ4023" s="13"/>
      <c r="AK4023" s="13"/>
      <c r="AL4023" s="8"/>
      <c r="AU4023" s="13"/>
      <c r="AV4023" s="13"/>
      <c r="CU4023" s="13"/>
      <c r="DG4023" s="13"/>
    </row>
    <row r="4024" spans="1:111" x14ac:dyDescent="0.2">
      <c r="A4024" s="13"/>
      <c r="B4024" s="14"/>
      <c r="Y4024" s="23"/>
      <c r="Z4024" s="23"/>
      <c r="AC4024" s="13"/>
      <c r="AD4024" s="13"/>
      <c r="AE4024" s="13"/>
      <c r="AG4024" s="13"/>
      <c r="AH4024" s="13"/>
      <c r="AI4024" s="13"/>
      <c r="AJ4024" s="13"/>
      <c r="AK4024" s="13"/>
      <c r="AL4024" s="8"/>
      <c r="AU4024" s="13"/>
      <c r="AV4024" s="13"/>
      <c r="CU4024" s="13"/>
      <c r="DG4024" s="13"/>
    </row>
    <row r="4025" spans="1:111" x14ac:dyDescent="0.2">
      <c r="A4025" s="13"/>
      <c r="B4025" s="14"/>
      <c r="Y4025" s="23"/>
      <c r="Z4025" s="23"/>
      <c r="AC4025" s="13"/>
      <c r="AD4025" s="13"/>
      <c r="AE4025" s="13"/>
      <c r="AG4025" s="13"/>
      <c r="AH4025" s="13"/>
      <c r="AI4025" s="13"/>
      <c r="AJ4025" s="13"/>
      <c r="AK4025" s="13"/>
      <c r="AL4025" s="8"/>
      <c r="AU4025" s="13"/>
      <c r="AV4025" s="13"/>
      <c r="CU4025" s="13"/>
      <c r="DG4025" s="13"/>
    </row>
    <row r="4026" spans="1:111" x14ac:dyDescent="0.2">
      <c r="A4026" s="13"/>
      <c r="B4026" s="14"/>
      <c r="Y4026" s="23"/>
      <c r="Z4026" s="23"/>
      <c r="AC4026" s="13"/>
      <c r="AD4026" s="13"/>
      <c r="AE4026" s="13"/>
      <c r="AG4026" s="13"/>
      <c r="AH4026" s="13"/>
      <c r="AI4026" s="13"/>
      <c r="AJ4026" s="13"/>
      <c r="AK4026" s="13"/>
      <c r="AL4026" s="8"/>
      <c r="AU4026" s="13"/>
      <c r="AV4026" s="13"/>
      <c r="CU4026" s="13"/>
      <c r="DG4026" s="13"/>
    </row>
    <row r="4027" spans="1:111" x14ac:dyDescent="0.2">
      <c r="A4027" s="13"/>
      <c r="B4027" s="14"/>
      <c r="Y4027" s="23"/>
      <c r="Z4027" s="23"/>
      <c r="AC4027" s="13"/>
      <c r="AD4027" s="13"/>
      <c r="AE4027" s="13"/>
      <c r="AG4027" s="13"/>
      <c r="AH4027" s="13"/>
      <c r="AI4027" s="13"/>
      <c r="AJ4027" s="13"/>
      <c r="AK4027" s="13"/>
      <c r="AL4027" s="8"/>
      <c r="AU4027" s="13"/>
      <c r="AV4027" s="13"/>
      <c r="CU4027" s="13"/>
      <c r="DG4027" s="13"/>
    </row>
    <row r="4028" spans="1:111" x14ac:dyDescent="0.2">
      <c r="A4028" s="13"/>
      <c r="B4028" s="14"/>
      <c r="Y4028" s="23"/>
      <c r="Z4028" s="23"/>
      <c r="AC4028" s="13"/>
      <c r="AD4028" s="13"/>
      <c r="AE4028" s="13"/>
      <c r="AG4028" s="13"/>
      <c r="AH4028" s="13"/>
      <c r="AI4028" s="13"/>
      <c r="AJ4028" s="13"/>
      <c r="AK4028" s="13"/>
      <c r="AL4028" s="8"/>
      <c r="AU4028" s="13"/>
      <c r="AV4028" s="13"/>
      <c r="CU4028" s="13"/>
      <c r="DG4028" s="13"/>
    </row>
    <row r="4029" spans="1:111" x14ac:dyDescent="0.2">
      <c r="A4029" s="13"/>
      <c r="B4029" s="14"/>
      <c r="Y4029" s="23"/>
      <c r="Z4029" s="23"/>
      <c r="AC4029" s="13"/>
      <c r="AD4029" s="13"/>
      <c r="AE4029" s="13"/>
      <c r="AG4029" s="13"/>
      <c r="AH4029" s="13"/>
      <c r="AI4029" s="13"/>
      <c r="AJ4029" s="13"/>
      <c r="AK4029" s="13"/>
      <c r="AL4029" s="8"/>
      <c r="AU4029" s="13"/>
      <c r="AV4029" s="13"/>
      <c r="CU4029" s="13"/>
      <c r="DG4029" s="13"/>
    </row>
    <row r="4030" spans="1:111" x14ac:dyDescent="0.2">
      <c r="A4030" s="13"/>
      <c r="B4030" s="14"/>
      <c r="Y4030" s="23"/>
      <c r="Z4030" s="23"/>
      <c r="AC4030" s="13"/>
      <c r="AD4030" s="13"/>
      <c r="AE4030" s="13"/>
      <c r="AG4030" s="13"/>
      <c r="AH4030" s="13"/>
      <c r="AI4030" s="13"/>
      <c r="AJ4030" s="13"/>
      <c r="AK4030" s="13"/>
      <c r="AL4030" s="8"/>
      <c r="AU4030" s="13"/>
      <c r="AV4030" s="13"/>
      <c r="CU4030" s="13"/>
      <c r="DG4030" s="13"/>
    </row>
    <row r="4031" spans="1:111" x14ac:dyDescent="0.2">
      <c r="A4031" s="13"/>
      <c r="B4031" s="14"/>
      <c r="Y4031" s="23"/>
      <c r="Z4031" s="23"/>
      <c r="AC4031" s="13"/>
      <c r="AD4031" s="13"/>
      <c r="AE4031" s="13"/>
      <c r="AG4031" s="13"/>
      <c r="AH4031" s="13"/>
      <c r="AI4031" s="13"/>
      <c r="AJ4031" s="13"/>
      <c r="AK4031" s="13"/>
      <c r="AL4031" s="8"/>
      <c r="AU4031" s="13"/>
      <c r="AV4031" s="13"/>
      <c r="CU4031" s="13"/>
      <c r="DG4031" s="13"/>
    </row>
    <row r="4032" spans="1:111" x14ac:dyDescent="0.2">
      <c r="A4032" s="13"/>
      <c r="B4032" s="14"/>
      <c r="Y4032" s="23"/>
      <c r="Z4032" s="23"/>
      <c r="AC4032" s="13"/>
      <c r="AD4032" s="13"/>
      <c r="AE4032" s="13"/>
      <c r="AG4032" s="13"/>
      <c r="AH4032" s="13"/>
      <c r="AI4032" s="13"/>
      <c r="AJ4032" s="13"/>
      <c r="AK4032" s="13"/>
      <c r="AL4032" s="8"/>
      <c r="AU4032" s="13"/>
      <c r="AV4032" s="13"/>
      <c r="CU4032" s="13"/>
      <c r="DG4032" s="13"/>
    </row>
    <row r="4033" spans="1:111" x14ac:dyDescent="0.2">
      <c r="A4033" s="13"/>
      <c r="B4033" s="14"/>
      <c r="Y4033" s="23"/>
      <c r="Z4033" s="23"/>
      <c r="AC4033" s="13"/>
      <c r="AD4033" s="13"/>
      <c r="AE4033" s="13"/>
      <c r="AG4033" s="13"/>
      <c r="AH4033" s="13"/>
      <c r="AI4033" s="13"/>
      <c r="AJ4033" s="13"/>
      <c r="AK4033" s="13"/>
      <c r="AL4033" s="8"/>
      <c r="AU4033" s="13"/>
      <c r="AV4033" s="13"/>
      <c r="CU4033" s="13"/>
      <c r="DG4033" s="13"/>
    </row>
    <row r="4034" spans="1:111" x14ac:dyDescent="0.2">
      <c r="A4034" s="13"/>
      <c r="B4034" s="14"/>
      <c r="Y4034" s="23"/>
      <c r="Z4034" s="23"/>
      <c r="AC4034" s="13"/>
      <c r="AD4034" s="13"/>
      <c r="AE4034" s="13"/>
      <c r="AG4034" s="13"/>
      <c r="AH4034" s="13"/>
      <c r="AI4034" s="13"/>
      <c r="AJ4034" s="13"/>
      <c r="AK4034" s="13"/>
      <c r="AL4034" s="8"/>
      <c r="AU4034" s="13"/>
      <c r="AV4034" s="13"/>
      <c r="CU4034" s="13"/>
      <c r="DG4034" s="13"/>
    </row>
    <row r="4035" spans="1:111" x14ac:dyDescent="0.2">
      <c r="A4035" s="13"/>
      <c r="B4035" s="14"/>
      <c r="Y4035" s="23"/>
      <c r="Z4035" s="23"/>
      <c r="AC4035" s="13"/>
      <c r="AD4035" s="13"/>
      <c r="AE4035" s="13"/>
      <c r="AG4035" s="13"/>
      <c r="AH4035" s="13"/>
      <c r="AI4035" s="13"/>
      <c r="AJ4035" s="13"/>
      <c r="AK4035" s="13"/>
      <c r="AL4035" s="8"/>
      <c r="AU4035" s="13"/>
      <c r="AV4035" s="13"/>
      <c r="CU4035" s="13"/>
      <c r="DG4035" s="13"/>
    </row>
    <row r="4036" spans="1:111" x14ac:dyDescent="0.2">
      <c r="A4036" s="13"/>
      <c r="B4036" s="14"/>
      <c r="Y4036" s="23"/>
      <c r="Z4036" s="23"/>
      <c r="AC4036" s="13"/>
      <c r="AD4036" s="13"/>
      <c r="AE4036" s="13"/>
      <c r="AG4036" s="13"/>
      <c r="AH4036" s="13"/>
      <c r="AI4036" s="13"/>
      <c r="AJ4036" s="13"/>
      <c r="AK4036" s="13"/>
      <c r="AL4036" s="8"/>
      <c r="AU4036" s="13"/>
      <c r="AV4036" s="13"/>
      <c r="CU4036" s="13"/>
      <c r="DG4036" s="13"/>
    </row>
    <row r="4037" spans="1:111" x14ac:dyDescent="0.2">
      <c r="A4037" s="13"/>
      <c r="B4037" s="14"/>
      <c r="Y4037" s="23"/>
      <c r="Z4037" s="23"/>
      <c r="AC4037" s="13"/>
      <c r="AD4037" s="13"/>
      <c r="AE4037" s="13"/>
      <c r="AG4037" s="13"/>
      <c r="AH4037" s="13"/>
      <c r="AI4037" s="13"/>
      <c r="AJ4037" s="13"/>
      <c r="AK4037" s="13"/>
      <c r="AL4037" s="8"/>
      <c r="AU4037" s="13"/>
      <c r="AV4037" s="13"/>
      <c r="CU4037" s="13"/>
      <c r="DG4037" s="13"/>
    </row>
    <row r="4038" spans="1:111" x14ac:dyDescent="0.2">
      <c r="A4038" s="13"/>
      <c r="B4038" s="14"/>
      <c r="Y4038" s="23"/>
      <c r="Z4038" s="23"/>
      <c r="AC4038" s="13"/>
      <c r="AD4038" s="13"/>
      <c r="AE4038" s="13"/>
      <c r="AG4038" s="13"/>
      <c r="AH4038" s="13"/>
      <c r="AI4038" s="13"/>
      <c r="AJ4038" s="13"/>
      <c r="AK4038" s="13"/>
      <c r="AL4038" s="8"/>
      <c r="AU4038" s="13"/>
      <c r="AV4038" s="13"/>
      <c r="CU4038" s="13"/>
      <c r="DG4038" s="13"/>
    </row>
    <row r="4039" spans="1:111" x14ac:dyDescent="0.2">
      <c r="A4039" s="13"/>
      <c r="B4039" s="14"/>
      <c r="Y4039" s="23"/>
      <c r="Z4039" s="23"/>
      <c r="AC4039" s="13"/>
      <c r="AD4039" s="13"/>
      <c r="AE4039" s="13"/>
      <c r="AG4039" s="13"/>
      <c r="AH4039" s="13"/>
      <c r="AI4039" s="13"/>
      <c r="AJ4039" s="13"/>
      <c r="AK4039" s="13"/>
      <c r="AL4039" s="8"/>
      <c r="AU4039" s="13"/>
      <c r="AV4039" s="13"/>
      <c r="CU4039" s="13"/>
      <c r="DG4039" s="13"/>
    </row>
    <row r="4040" spans="1:111" x14ac:dyDescent="0.2">
      <c r="A4040" s="13"/>
      <c r="B4040" s="14"/>
      <c r="Y4040" s="23"/>
      <c r="Z4040" s="23"/>
      <c r="AC4040" s="13"/>
      <c r="AD4040" s="13"/>
      <c r="AE4040" s="13"/>
      <c r="AG4040" s="13"/>
      <c r="AH4040" s="13"/>
      <c r="AI4040" s="13"/>
      <c r="AJ4040" s="13"/>
      <c r="AK4040" s="13"/>
      <c r="AL4040" s="8"/>
      <c r="AU4040" s="13"/>
      <c r="AV4040" s="13"/>
      <c r="CU4040" s="13"/>
      <c r="DG4040" s="13"/>
    </row>
    <row r="4041" spans="1:111" x14ac:dyDescent="0.2">
      <c r="A4041" s="13"/>
      <c r="B4041" s="14"/>
      <c r="Y4041" s="23"/>
      <c r="Z4041" s="23"/>
      <c r="AC4041" s="13"/>
      <c r="AD4041" s="13"/>
      <c r="AE4041" s="13"/>
      <c r="AG4041" s="13"/>
      <c r="AH4041" s="13"/>
      <c r="AI4041" s="13"/>
      <c r="AJ4041" s="13"/>
      <c r="AK4041" s="13"/>
      <c r="AL4041" s="8"/>
      <c r="AU4041" s="13"/>
      <c r="AV4041" s="13"/>
      <c r="CU4041" s="13"/>
      <c r="DG4041" s="13"/>
    </row>
    <row r="4042" spans="1:111" x14ac:dyDescent="0.2">
      <c r="A4042" s="13"/>
      <c r="B4042" s="14"/>
      <c r="Y4042" s="23"/>
      <c r="Z4042" s="23"/>
      <c r="AC4042" s="13"/>
      <c r="AD4042" s="13"/>
      <c r="AE4042" s="13"/>
      <c r="AG4042" s="13"/>
      <c r="AH4042" s="13"/>
      <c r="AI4042" s="13"/>
      <c r="AJ4042" s="13"/>
      <c r="AK4042" s="13"/>
      <c r="AL4042" s="8"/>
      <c r="AU4042" s="13"/>
      <c r="AV4042" s="13"/>
      <c r="CU4042" s="13"/>
      <c r="DG4042" s="13"/>
    </row>
    <row r="4043" spans="1:111" x14ac:dyDescent="0.2">
      <c r="A4043" s="13"/>
      <c r="B4043" s="14"/>
      <c r="Y4043" s="23"/>
      <c r="Z4043" s="23"/>
      <c r="AC4043" s="13"/>
      <c r="AD4043" s="13"/>
      <c r="AE4043" s="13"/>
      <c r="AG4043" s="13"/>
      <c r="AH4043" s="13"/>
      <c r="AI4043" s="13"/>
      <c r="AJ4043" s="13"/>
      <c r="AK4043" s="13"/>
      <c r="AL4043" s="8"/>
      <c r="AU4043" s="13"/>
      <c r="AV4043" s="13"/>
      <c r="CU4043" s="13"/>
      <c r="DG4043" s="13"/>
    </row>
    <row r="4044" spans="1:111" x14ac:dyDescent="0.2">
      <c r="A4044" s="13"/>
      <c r="B4044" s="14"/>
      <c r="Y4044" s="23"/>
      <c r="Z4044" s="23"/>
      <c r="AC4044" s="13"/>
      <c r="AD4044" s="13"/>
      <c r="AE4044" s="13"/>
      <c r="AG4044" s="13"/>
      <c r="AH4044" s="13"/>
      <c r="AI4044" s="13"/>
      <c r="AJ4044" s="13"/>
      <c r="AK4044" s="13"/>
      <c r="AL4044" s="8"/>
      <c r="AU4044" s="13"/>
      <c r="AV4044" s="13"/>
      <c r="CU4044" s="13"/>
      <c r="DG4044" s="13"/>
    </row>
    <row r="4045" spans="1:111" x14ac:dyDescent="0.2">
      <c r="A4045" s="13"/>
      <c r="B4045" s="14"/>
      <c r="Y4045" s="23"/>
      <c r="Z4045" s="23"/>
      <c r="AC4045" s="13"/>
      <c r="AD4045" s="13"/>
      <c r="AE4045" s="13"/>
      <c r="AG4045" s="13"/>
      <c r="AH4045" s="13"/>
      <c r="AI4045" s="13"/>
      <c r="AJ4045" s="13"/>
      <c r="AK4045" s="13"/>
      <c r="AL4045" s="8"/>
      <c r="AU4045" s="13"/>
      <c r="AV4045" s="13"/>
      <c r="CU4045" s="13"/>
      <c r="DG4045" s="13"/>
    </row>
    <row r="4046" spans="1:111" x14ac:dyDescent="0.2">
      <c r="A4046" s="13"/>
      <c r="B4046" s="14"/>
      <c r="Y4046" s="23"/>
      <c r="Z4046" s="23"/>
      <c r="AC4046" s="13"/>
      <c r="AD4046" s="13"/>
      <c r="AE4046" s="13"/>
      <c r="AG4046" s="13"/>
      <c r="AH4046" s="13"/>
      <c r="AI4046" s="13"/>
      <c r="AJ4046" s="13"/>
      <c r="AK4046" s="13"/>
      <c r="AL4046" s="8"/>
      <c r="AU4046" s="13"/>
      <c r="AV4046" s="13"/>
      <c r="CU4046" s="13"/>
      <c r="DG4046" s="13"/>
    </row>
    <row r="4047" spans="1:111" x14ac:dyDescent="0.2">
      <c r="A4047" s="13"/>
      <c r="B4047" s="14"/>
      <c r="Y4047" s="23"/>
      <c r="Z4047" s="23"/>
      <c r="AC4047" s="13"/>
      <c r="AD4047" s="13"/>
      <c r="AE4047" s="13"/>
      <c r="AG4047" s="13"/>
      <c r="AH4047" s="13"/>
      <c r="AI4047" s="13"/>
      <c r="AJ4047" s="13"/>
      <c r="AK4047" s="13"/>
      <c r="AL4047" s="8"/>
      <c r="AU4047" s="13"/>
      <c r="AV4047" s="13"/>
      <c r="CU4047" s="13"/>
      <c r="DG4047" s="13"/>
    </row>
    <row r="4048" spans="1:111" x14ac:dyDescent="0.2">
      <c r="A4048" s="13"/>
      <c r="B4048" s="14"/>
      <c r="Y4048" s="23"/>
      <c r="Z4048" s="23"/>
      <c r="AC4048" s="13"/>
      <c r="AD4048" s="13"/>
      <c r="AE4048" s="13"/>
      <c r="AG4048" s="13"/>
      <c r="AH4048" s="13"/>
      <c r="AI4048" s="13"/>
      <c r="AJ4048" s="13"/>
      <c r="AK4048" s="13"/>
      <c r="AL4048" s="8"/>
      <c r="AU4048" s="13"/>
      <c r="AV4048" s="13"/>
      <c r="CU4048" s="13"/>
      <c r="DG4048" s="13"/>
    </row>
    <row r="4049" spans="1:111" x14ac:dyDescent="0.2">
      <c r="A4049" s="13"/>
      <c r="B4049" s="14"/>
      <c r="Y4049" s="23"/>
      <c r="Z4049" s="23"/>
      <c r="AC4049" s="13"/>
      <c r="AD4049" s="13"/>
      <c r="AE4049" s="13"/>
      <c r="AG4049" s="13"/>
      <c r="AH4049" s="13"/>
      <c r="AI4049" s="13"/>
      <c r="AJ4049" s="13"/>
      <c r="AK4049" s="13"/>
      <c r="AL4049" s="8"/>
      <c r="AU4049" s="13"/>
      <c r="AV4049" s="13"/>
      <c r="CU4049" s="13"/>
      <c r="DG4049" s="13"/>
    </row>
    <row r="4050" spans="1:111" x14ac:dyDescent="0.2">
      <c r="A4050" s="13"/>
      <c r="B4050" s="14"/>
      <c r="Y4050" s="23"/>
      <c r="Z4050" s="23"/>
      <c r="AC4050" s="13"/>
      <c r="AD4050" s="13"/>
      <c r="AE4050" s="13"/>
      <c r="AG4050" s="13"/>
      <c r="AH4050" s="13"/>
      <c r="AI4050" s="13"/>
      <c r="AJ4050" s="13"/>
      <c r="AK4050" s="13"/>
      <c r="AL4050" s="8"/>
      <c r="AU4050" s="13"/>
      <c r="AV4050" s="13"/>
      <c r="CU4050" s="13"/>
      <c r="DG4050" s="13"/>
    </row>
    <row r="4051" spans="1:111" x14ac:dyDescent="0.2">
      <c r="A4051" s="13"/>
      <c r="B4051" s="14"/>
      <c r="Y4051" s="23"/>
      <c r="Z4051" s="23"/>
      <c r="AC4051" s="13"/>
      <c r="AD4051" s="13"/>
      <c r="AE4051" s="13"/>
      <c r="AG4051" s="13"/>
      <c r="AH4051" s="13"/>
      <c r="AI4051" s="13"/>
      <c r="AJ4051" s="13"/>
      <c r="AK4051" s="13"/>
      <c r="AL4051" s="8"/>
      <c r="AU4051" s="13"/>
      <c r="AV4051" s="13"/>
      <c r="CU4051" s="13"/>
      <c r="DG4051" s="13"/>
    </row>
    <row r="4052" spans="1:111" x14ac:dyDescent="0.2">
      <c r="A4052" s="13"/>
      <c r="B4052" s="14"/>
      <c r="Y4052" s="23"/>
      <c r="Z4052" s="23"/>
      <c r="AC4052" s="13"/>
      <c r="AD4052" s="13"/>
      <c r="AE4052" s="13"/>
      <c r="AG4052" s="13"/>
      <c r="AH4052" s="13"/>
      <c r="AI4052" s="13"/>
      <c r="AJ4052" s="13"/>
      <c r="AK4052" s="13"/>
      <c r="AL4052" s="8"/>
      <c r="AU4052" s="13"/>
      <c r="AV4052" s="13"/>
      <c r="CU4052" s="13"/>
      <c r="DG4052" s="13"/>
    </row>
    <row r="4053" spans="1:111" x14ac:dyDescent="0.2">
      <c r="A4053" s="13"/>
      <c r="B4053" s="14"/>
      <c r="Y4053" s="23"/>
      <c r="Z4053" s="23"/>
      <c r="AC4053" s="13"/>
      <c r="AD4053" s="13"/>
      <c r="AE4053" s="13"/>
      <c r="AG4053" s="13"/>
      <c r="AH4053" s="13"/>
      <c r="AI4053" s="13"/>
      <c r="AJ4053" s="13"/>
      <c r="AK4053" s="13"/>
      <c r="AL4053" s="8"/>
      <c r="AU4053" s="13"/>
      <c r="AV4053" s="13"/>
      <c r="CU4053" s="13"/>
      <c r="DG4053" s="13"/>
    </row>
    <row r="4054" spans="1:111" x14ac:dyDescent="0.2">
      <c r="A4054" s="13"/>
      <c r="B4054" s="14"/>
      <c r="Y4054" s="23"/>
      <c r="Z4054" s="23"/>
      <c r="AC4054" s="13"/>
      <c r="AD4054" s="13"/>
      <c r="AE4054" s="13"/>
      <c r="AG4054" s="13"/>
      <c r="AH4054" s="13"/>
      <c r="AI4054" s="13"/>
      <c r="AJ4054" s="13"/>
      <c r="AK4054" s="13"/>
      <c r="AL4054" s="8"/>
      <c r="AU4054" s="13"/>
      <c r="AV4054" s="13"/>
      <c r="CU4054" s="13"/>
      <c r="DG4054" s="13"/>
    </row>
    <row r="4055" spans="1:111" x14ac:dyDescent="0.2">
      <c r="A4055" s="13"/>
      <c r="B4055" s="14"/>
      <c r="Y4055" s="23"/>
      <c r="Z4055" s="23"/>
      <c r="AC4055" s="13"/>
      <c r="AD4055" s="13"/>
      <c r="AE4055" s="13"/>
      <c r="AG4055" s="13"/>
      <c r="AH4055" s="13"/>
      <c r="AI4055" s="13"/>
      <c r="AJ4055" s="13"/>
      <c r="AK4055" s="13"/>
      <c r="AL4055" s="8"/>
      <c r="AU4055" s="13"/>
      <c r="AV4055" s="13"/>
      <c r="CU4055" s="13"/>
      <c r="DG4055" s="13"/>
    </row>
    <row r="4056" spans="1:111" x14ac:dyDescent="0.2">
      <c r="A4056" s="13"/>
      <c r="B4056" s="14"/>
      <c r="Y4056" s="23"/>
      <c r="Z4056" s="23"/>
      <c r="AC4056" s="13"/>
      <c r="AD4056" s="13"/>
      <c r="AE4056" s="13"/>
      <c r="AG4056" s="13"/>
      <c r="AH4056" s="13"/>
      <c r="AI4056" s="13"/>
      <c r="AJ4056" s="13"/>
      <c r="AK4056" s="13"/>
      <c r="AL4056" s="8"/>
      <c r="AU4056" s="13"/>
      <c r="AV4056" s="13"/>
      <c r="CU4056" s="13"/>
      <c r="DG4056" s="13"/>
    </row>
    <row r="4057" spans="1:111" x14ac:dyDescent="0.2">
      <c r="A4057" s="13"/>
      <c r="B4057" s="14"/>
      <c r="Y4057" s="23"/>
      <c r="Z4057" s="23"/>
      <c r="AC4057" s="13"/>
      <c r="AD4057" s="13"/>
      <c r="AE4057" s="13"/>
      <c r="AG4057" s="13"/>
      <c r="AH4057" s="13"/>
      <c r="AI4057" s="13"/>
      <c r="AJ4057" s="13"/>
      <c r="AK4057" s="13"/>
      <c r="AL4057" s="8"/>
      <c r="AU4057" s="13"/>
      <c r="AV4057" s="13"/>
      <c r="CU4057" s="13"/>
      <c r="DG4057" s="13"/>
    </row>
    <row r="4058" spans="1:111" x14ac:dyDescent="0.2">
      <c r="A4058" s="13"/>
      <c r="B4058" s="14"/>
      <c r="Y4058" s="23"/>
      <c r="Z4058" s="23"/>
      <c r="AC4058" s="13"/>
      <c r="AD4058" s="13"/>
      <c r="AE4058" s="13"/>
      <c r="AG4058" s="13"/>
      <c r="AH4058" s="13"/>
      <c r="AI4058" s="13"/>
      <c r="AJ4058" s="13"/>
      <c r="AK4058" s="13"/>
      <c r="AL4058" s="8"/>
      <c r="AU4058" s="13"/>
      <c r="AV4058" s="13"/>
      <c r="CU4058" s="13"/>
      <c r="DG4058" s="13"/>
    </row>
    <row r="4059" spans="1:111" x14ac:dyDescent="0.2">
      <c r="A4059" s="13"/>
      <c r="B4059" s="14"/>
      <c r="Y4059" s="23"/>
      <c r="Z4059" s="23"/>
      <c r="AC4059" s="13"/>
      <c r="AD4059" s="13"/>
      <c r="AE4059" s="13"/>
      <c r="AG4059" s="13"/>
      <c r="AH4059" s="13"/>
      <c r="AI4059" s="13"/>
      <c r="AJ4059" s="13"/>
      <c r="AK4059" s="13"/>
      <c r="AL4059" s="8"/>
      <c r="AU4059" s="13"/>
      <c r="AV4059" s="13"/>
      <c r="CU4059" s="13"/>
      <c r="DG4059" s="13"/>
    </row>
    <row r="4060" spans="1:111" x14ac:dyDescent="0.2">
      <c r="A4060" s="13"/>
      <c r="B4060" s="14"/>
      <c r="Y4060" s="23"/>
      <c r="Z4060" s="23"/>
      <c r="AC4060" s="13"/>
      <c r="AD4060" s="13"/>
      <c r="AE4060" s="13"/>
      <c r="AG4060" s="13"/>
      <c r="AH4060" s="13"/>
      <c r="AI4060" s="13"/>
      <c r="AJ4060" s="13"/>
      <c r="AK4060" s="13"/>
      <c r="AL4060" s="8"/>
      <c r="AU4060" s="13"/>
      <c r="AV4060" s="13"/>
      <c r="CU4060" s="13"/>
      <c r="DG4060" s="13"/>
    </row>
    <row r="4061" spans="1:111" x14ac:dyDescent="0.2">
      <c r="A4061" s="13"/>
      <c r="B4061" s="14"/>
      <c r="Y4061" s="23"/>
      <c r="Z4061" s="23"/>
      <c r="AC4061" s="13"/>
      <c r="AD4061" s="13"/>
      <c r="AE4061" s="13"/>
      <c r="AG4061" s="13"/>
      <c r="AH4061" s="13"/>
      <c r="AI4061" s="13"/>
      <c r="AJ4061" s="13"/>
      <c r="AK4061" s="13"/>
      <c r="AL4061" s="8"/>
      <c r="AU4061" s="13"/>
      <c r="AV4061" s="13"/>
      <c r="CU4061" s="13"/>
      <c r="DG4061" s="13"/>
    </row>
    <row r="4062" spans="1:111" x14ac:dyDescent="0.2">
      <c r="A4062" s="13"/>
      <c r="B4062" s="14"/>
      <c r="Y4062" s="23"/>
      <c r="Z4062" s="23"/>
      <c r="AC4062" s="13"/>
      <c r="AD4062" s="13"/>
      <c r="AE4062" s="13"/>
      <c r="AG4062" s="13"/>
      <c r="AH4062" s="13"/>
      <c r="AI4062" s="13"/>
      <c r="AJ4062" s="13"/>
      <c r="AK4062" s="13"/>
      <c r="AL4062" s="8"/>
      <c r="AU4062" s="13"/>
      <c r="AV4062" s="13"/>
      <c r="CU4062" s="13"/>
      <c r="DG4062" s="13"/>
    </row>
    <row r="4063" spans="1:111" x14ac:dyDescent="0.2">
      <c r="A4063" s="13"/>
      <c r="B4063" s="14"/>
      <c r="Y4063" s="23"/>
      <c r="Z4063" s="23"/>
      <c r="AC4063" s="13"/>
      <c r="AD4063" s="13"/>
      <c r="AE4063" s="13"/>
      <c r="AG4063" s="13"/>
      <c r="AH4063" s="13"/>
      <c r="AI4063" s="13"/>
      <c r="AJ4063" s="13"/>
      <c r="AK4063" s="13"/>
      <c r="AL4063" s="8"/>
      <c r="AU4063" s="13"/>
      <c r="AV4063" s="13"/>
      <c r="CU4063" s="13"/>
      <c r="DG4063" s="13"/>
    </row>
    <row r="4064" spans="1:111" x14ac:dyDescent="0.2">
      <c r="A4064" s="13"/>
      <c r="B4064" s="14"/>
      <c r="Y4064" s="23"/>
      <c r="Z4064" s="23"/>
      <c r="AC4064" s="13"/>
      <c r="AD4064" s="13"/>
      <c r="AE4064" s="13"/>
      <c r="AG4064" s="13"/>
      <c r="AH4064" s="13"/>
      <c r="AI4064" s="13"/>
      <c r="AJ4064" s="13"/>
      <c r="AK4064" s="13"/>
      <c r="AL4064" s="8"/>
      <c r="AU4064" s="13"/>
      <c r="AV4064" s="13"/>
      <c r="CU4064" s="13"/>
      <c r="DG4064" s="13"/>
    </row>
    <row r="4065" spans="1:111" x14ac:dyDescent="0.2">
      <c r="A4065" s="13"/>
      <c r="B4065" s="14"/>
      <c r="Y4065" s="23"/>
      <c r="Z4065" s="23"/>
      <c r="AC4065" s="13"/>
      <c r="AD4065" s="13"/>
      <c r="AE4065" s="13"/>
      <c r="AG4065" s="13"/>
      <c r="AH4065" s="13"/>
      <c r="AI4065" s="13"/>
      <c r="AJ4065" s="13"/>
      <c r="AK4065" s="13"/>
      <c r="AL4065" s="8"/>
      <c r="AU4065" s="13"/>
      <c r="AV4065" s="13"/>
      <c r="CU4065" s="13"/>
      <c r="DG4065" s="13"/>
    </row>
    <row r="4066" spans="1:111" x14ac:dyDescent="0.2">
      <c r="A4066" s="13"/>
      <c r="B4066" s="14"/>
      <c r="Y4066" s="23"/>
      <c r="Z4066" s="23"/>
      <c r="AC4066" s="13"/>
      <c r="AD4066" s="13"/>
      <c r="AE4066" s="13"/>
      <c r="AG4066" s="13"/>
      <c r="AH4066" s="13"/>
      <c r="AI4066" s="13"/>
      <c r="AJ4066" s="13"/>
      <c r="AK4066" s="13"/>
      <c r="AL4066" s="8"/>
      <c r="AU4066" s="13"/>
      <c r="AV4066" s="13"/>
      <c r="CU4066" s="13"/>
      <c r="DG4066" s="13"/>
    </row>
    <row r="4067" spans="1:111" x14ac:dyDescent="0.2">
      <c r="A4067" s="13"/>
      <c r="B4067" s="14"/>
      <c r="Y4067" s="23"/>
      <c r="Z4067" s="23"/>
      <c r="AC4067" s="13"/>
      <c r="AD4067" s="13"/>
      <c r="AE4067" s="13"/>
      <c r="AG4067" s="13"/>
      <c r="AH4067" s="13"/>
      <c r="AI4067" s="13"/>
      <c r="AJ4067" s="13"/>
      <c r="AK4067" s="13"/>
      <c r="AL4067" s="8"/>
      <c r="AU4067" s="13"/>
      <c r="AV4067" s="13"/>
      <c r="CU4067" s="13"/>
      <c r="DG4067" s="13"/>
    </row>
    <row r="4068" spans="1:111" x14ac:dyDescent="0.2">
      <c r="A4068" s="13"/>
      <c r="B4068" s="14"/>
      <c r="Y4068" s="23"/>
      <c r="Z4068" s="23"/>
      <c r="AC4068" s="13"/>
      <c r="AD4068" s="13"/>
      <c r="AE4068" s="13"/>
      <c r="AG4068" s="13"/>
      <c r="AH4068" s="13"/>
      <c r="AI4068" s="13"/>
      <c r="AJ4068" s="13"/>
      <c r="AK4068" s="13"/>
      <c r="AL4068" s="8"/>
      <c r="AU4068" s="13"/>
      <c r="AV4068" s="13"/>
      <c r="CU4068" s="13"/>
      <c r="DG4068" s="13"/>
    </row>
    <row r="4069" spans="1:111" x14ac:dyDescent="0.2">
      <c r="A4069" s="13"/>
      <c r="B4069" s="14"/>
      <c r="Y4069" s="23"/>
      <c r="Z4069" s="23"/>
      <c r="AC4069" s="13"/>
      <c r="AD4069" s="13"/>
      <c r="AE4069" s="13"/>
      <c r="AG4069" s="13"/>
      <c r="AH4069" s="13"/>
      <c r="AI4069" s="13"/>
      <c r="AJ4069" s="13"/>
      <c r="AK4069" s="13"/>
      <c r="AL4069" s="8"/>
      <c r="AU4069" s="13"/>
      <c r="AV4069" s="13"/>
      <c r="CU4069" s="13"/>
      <c r="DG4069" s="13"/>
    </row>
    <row r="4070" spans="1:111" x14ac:dyDescent="0.2">
      <c r="A4070" s="13"/>
      <c r="B4070" s="14"/>
      <c r="Y4070" s="23"/>
      <c r="Z4070" s="23"/>
      <c r="AC4070" s="13"/>
      <c r="AD4070" s="13"/>
      <c r="AE4070" s="13"/>
      <c r="AG4070" s="13"/>
      <c r="AH4070" s="13"/>
      <c r="AI4070" s="13"/>
      <c r="AJ4070" s="13"/>
      <c r="AK4070" s="13"/>
      <c r="AL4070" s="8"/>
      <c r="AU4070" s="13"/>
      <c r="AV4070" s="13"/>
      <c r="CU4070" s="13"/>
      <c r="DG4070" s="13"/>
    </row>
    <row r="4071" spans="1:111" x14ac:dyDescent="0.2">
      <c r="A4071" s="13"/>
      <c r="B4071" s="14"/>
      <c r="Y4071" s="23"/>
      <c r="Z4071" s="23"/>
      <c r="AC4071" s="13"/>
      <c r="AD4071" s="13"/>
      <c r="AE4071" s="13"/>
      <c r="AG4071" s="13"/>
      <c r="AH4071" s="13"/>
      <c r="AI4071" s="13"/>
      <c r="AJ4071" s="13"/>
      <c r="AK4071" s="13"/>
      <c r="AL4071" s="8"/>
      <c r="AU4071" s="13"/>
      <c r="AV4071" s="13"/>
      <c r="CU4071" s="13"/>
      <c r="DG4071" s="13"/>
    </row>
    <row r="4072" spans="1:111" x14ac:dyDescent="0.2">
      <c r="A4072" s="13"/>
      <c r="B4072" s="14"/>
      <c r="Y4072" s="23"/>
      <c r="Z4072" s="23"/>
      <c r="AC4072" s="13"/>
      <c r="AD4072" s="13"/>
      <c r="AE4072" s="13"/>
      <c r="AG4072" s="13"/>
      <c r="AH4072" s="13"/>
      <c r="AI4072" s="13"/>
      <c r="AJ4072" s="13"/>
      <c r="AK4072" s="13"/>
      <c r="AL4072" s="8"/>
      <c r="AU4072" s="13"/>
      <c r="AV4072" s="13"/>
      <c r="CU4072" s="13"/>
      <c r="DG4072" s="13"/>
    </row>
    <row r="4073" spans="1:111" x14ac:dyDescent="0.2">
      <c r="A4073" s="13"/>
      <c r="B4073" s="14"/>
      <c r="Y4073" s="23"/>
      <c r="Z4073" s="23"/>
      <c r="AC4073" s="13"/>
      <c r="AD4073" s="13"/>
      <c r="AE4073" s="13"/>
      <c r="AG4073" s="13"/>
      <c r="AH4073" s="13"/>
      <c r="AI4073" s="13"/>
      <c r="AJ4073" s="13"/>
      <c r="AK4073" s="13"/>
      <c r="AL4073" s="8"/>
      <c r="AU4073" s="13"/>
      <c r="AV4073" s="13"/>
      <c r="CU4073" s="13"/>
      <c r="DG4073" s="13"/>
    </row>
    <row r="4074" spans="1:111" x14ac:dyDescent="0.2">
      <c r="A4074" s="13"/>
      <c r="B4074" s="14"/>
      <c r="Y4074" s="23"/>
      <c r="Z4074" s="23"/>
      <c r="AC4074" s="13"/>
      <c r="AD4074" s="13"/>
      <c r="AE4074" s="13"/>
      <c r="AG4074" s="13"/>
      <c r="AH4074" s="13"/>
      <c r="AI4074" s="13"/>
      <c r="AJ4074" s="13"/>
      <c r="AK4074" s="13"/>
      <c r="AL4074" s="8"/>
      <c r="AU4074" s="13"/>
      <c r="AV4074" s="13"/>
      <c r="CU4074" s="13"/>
      <c r="DG4074" s="13"/>
    </row>
    <row r="4075" spans="1:111" x14ac:dyDescent="0.2">
      <c r="A4075" s="13"/>
      <c r="B4075" s="14"/>
      <c r="Y4075" s="23"/>
      <c r="Z4075" s="23"/>
      <c r="AC4075" s="13"/>
      <c r="AD4075" s="13"/>
      <c r="AE4075" s="13"/>
      <c r="AG4075" s="13"/>
      <c r="AH4075" s="13"/>
      <c r="AI4075" s="13"/>
      <c r="AJ4075" s="13"/>
      <c r="AK4075" s="13"/>
      <c r="AL4075" s="8"/>
      <c r="AU4075" s="13"/>
      <c r="AV4075" s="13"/>
      <c r="CU4075" s="13"/>
      <c r="DG4075" s="13"/>
    </row>
    <row r="4076" spans="1:111" x14ac:dyDescent="0.2">
      <c r="A4076" s="13"/>
      <c r="B4076" s="14"/>
      <c r="Y4076" s="23"/>
      <c r="Z4076" s="23"/>
      <c r="AC4076" s="13"/>
      <c r="AD4076" s="13"/>
      <c r="AE4076" s="13"/>
      <c r="AG4076" s="13"/>
      <c r="AH4076" s="13"/>
      <c r="AI4076" s="13"/>
      <c r="AJ4076" s="13"/>
      <c r="AK4076" s="13"/>
      <c r="AL4076" s="8"/>
      <c r="AU4076" s="13"/>
      <c r="AV4076" s="13"/>
      <c r="CU4076" s="13"/>
      <c r="DG4076" s="13"/>
    </row>
    <row r="4077" spans="1:111" x14ac:dyDescent="0.2">
      <c r="A4077" s="13"/>
      <c r="B4077" s="14"/>
      <c r="Y4077" s="23"/>
      <c r="Z4077" s="23"/>
      <c r="AC4077" s="13"/>
      <c r="AD4077" s="13"/>
      <c r="AE4077" s="13"/>
      <c r="AG4077" s="13"/>
      <c r="AH4077" s="13"/>
      <c r="AI4077" s="13"/>
      <c r="AJ4077" s="13"/>
      <c r="AK4077" s="13"/>
      <c r="AL4077" s="8"/>
      <c r="AU4077" s="13"/>
      <c r="AV4077" s="13"/>
      <c r="CU4077" s="13"/>
      <c r="DG4077" s="13"/>
    </row>
    <row r="4078" spans="1:111" x14ac:dyDescent="0.2">
      <c r="A4078" s="13"/>
      <c r="B4078" s="14"/>
      <c r="Y4078" s="23"/>
      <c r="Z4078" s="23"/>
      <c r="AC4078" s="13"/>
      <c r="AD4078" s="13"/>
      <c r="AE4078" s="13"/>
      <c r="AG4078" s="13"/>
      <c r="AH4078" s="13"/>
      <c r="AI4078" s="13"/>
      <c r="AJ4078" s="13"/>
      <c r="AK4078" s="13"/>
      <c r="AL4078" s="8"/>
      <c r="AU4078" s="13"/>
      <c r="AV4078" s="13"/>
      <c r="CU4078" s="13"/>
      <c r="DG4078" s="13"/>
    </row>
    <row r="4079" spans="1:111" x14ac:dyDescent="0.2">
      <c r="A4079" s="13"/>
      <c r="B4079" s="14"/>
      <c r="Y4079" s="23"/>
      <c r="Z4079" s="23"/>
      <c r="AC4079" s="13"/>
      <c r="AD4079" s="13"/>
      <c r="AE4079" s="13"/>
      <c r="AG4079" s="13"/>
      <c r="AH4079" s="13"/>
      <c r="AI4079" s="13"/>
      <c r="AJ4079" s="13"/>
      <c r="AK4079" s="13"/>
      <c r="AL4079" s="8"/>
      <c r="AU4079" s="13"/>
      <c r="AV4079" s="13"/>
      <c r="CU4079" s="13"/>
      <c r="DG4079" s="13"/>
    </row>
    <row r="4080" spans="1:111" x14ac:dyDescent="0.2">
      <c r="A4080" s="13"/>
      <c r="B4080" s="14"/>
      <c r="Y4080" s="23"/>
      <c r="Z4080" s="23"/>
      <c r="AC4080" s="13"/>
      <c r="AD4080" s="13"/>
      <c r="AE4080" s="13"/>
      <c r="AG4080" s="13"/>
      <c r="AH4080" s="13"/>
      <c r="AI4080" s="13"/>
      <c r="AJ4080" s="13"/>
      <c r="AK4080" s="13"/>
      <c r="AL4080" s="8"/>
      <c r="AU4080" s="13"/>
      <c r="AV4080" s="13"/>
      <c r="CU4080" s="13"/>
      <c r="DG4080" s="13"/>
    </row>
    <row r="4081" spans="1:111" x14ac:dyDescent="0.2">
      <c r="A4081" s="13"/>
      <c r="B4081" s="14"/>
      <c r="Y4081" s="23"/>
      <c r="Z4081" s="23"/>
      <c r="AC4081" s="13"/>
      <c r="AD4081" s="13"/>
      <c r="AE4081" s="13"/>
      <c r="AG4081" s="13"/>
      <c r="AH4081" s="13"/>
      <c r="AI4081" s="13"/>
      <c r="AJ4081" s="13"/>
      <c r="AK4081" s="13"/>
      <c r="AL4081" s="8"/>
      <c r="AU4081" s="13"/>
      <c r="AV4081" s="13"/>
      <c r="CU4081" s="13"/>
      <c r="DG4081" s="13"/>
    </row>
    <row r="4082" spans="1:111" x14ac:dyDescent="0.2">
      <c r="A4082" s="13"/>
      <c r="B4082" s="14"/>
      <c r="Y4082" s="23"/>
      <c r="Z4082" s="23"/>
      <c r="AC4082" s="13"/>
      <c r="AD4082" s="13"/>
      <c r="AE4082" s="13"/>
      <c r="AG4082" s="13"/>
      <c r="AH4082" s="13"/>
      <c r="AI4082" s="13"/>
      <c r="AJ4082" s="13"/>
      <c r="AK4082" s="13"/>
      <c r="AL4082" s="8"/>
      <c r="AU4082" s="13"/>
      <c r="AV4082" s="13"/>
      <c r="CU4082" s="13"/>
      <c r="DG4082" s="13"/>
    </row>
    <row r="4083" spans="1:111" x14ac:dyDescent="0.2">
      <c r="A4083" s="13"/>
      <c r="B4083" s="14"/>
      <c r="Y4083" s="23"/>
      <c r="Z4083" s="23"/>
      <c r="AC4083" s="13"/>
      <c r="AD4083" s="13"/>
      <c r="AE4083" s="13"/>
      <c r="AG4083" s="13"/>
      <c r="AH4083" s="13"/>
      <c r="AI4083" s="13"/>
      <c r="AJ4083" s="13"/>
      <c r="AK4083" s="13"/>
      <c r="AL4083" s="8"/>
      <c r="AU4083" s="13"/>
      <c r="AV4083" s="13"/>
      <c r="CU4083" s="13"/>
      <c r="DG4083" s="13"/>
    </row>
    <row r="4084" spans="1:111" x14ac:dyDescent="0.2">
      <c r="A4084" s="13"/>
      <c r="B4084" s="14"/>
      <c r="Y4084" s="23"/>
      <c r="Z4084" s="23"/>
      <c r="AC4084" s="13"/>
      <c r="AD4084" s="13"/>
      <c r="AE4084" s="13"/>
      <c r="AG4084" s="13"/>
      <c r="AH4084" s="13"/>
      <c r="AI4084" s="13"/>
      <c r="AJ4084" s="13"/>
      <c r="AK4084" s="13"/>
      <c r="AL4084" s="8"/>
      <c r="AU4084" s="13"/>
      <c r="AV4084" s="13"/>
      <c r="CU4084" s="13"/>
      <c r="DG4084" s="13"/>
    </row>
    <row r="4085" spans="1:111" x14ac:dyDescent="0.2">
      <c r="A4085" s="13"/>
      <c r="B4085" s="14"/>
      <c r="Y4085" s="23"/>
      <c r="Z4085" s="23"/>
      <c r="AC4085" s="13"/>
      <c r="AD4085" s="13"/>
      <c r="AE4085" s="13"/>
      <c r="AG4085" s="13"/>
      <c r="AH4085" s="13"/>
      <c r="AI4085" s="13"/>
      <c r="AJ4085" s="13"/>
      <c r="AK4085" s="13"/>
      <c r="AL4085" s="8"/>
      <c r="AU4085" s="13"/>
      <c r="AV4085" s="13"/>
      <c r="CU4085" s="13"/>
      <c r="DG4085" s="13"/>
    </row>
    <row r="4086" spans="1:111" x14ac:dyDescent="0.2">
      <c r="A4086" s="13"/>
      <c r="B4086" s="14"/>
      <c r="Y4086" s="23"/>
      <c r="Z4086" s="23"/>
      <c r="AC4086" s="13"/>
      <c r="AD4086" s="13"/>
      <c r="AE4086" s="13"/>
      <c r="AG4086" s="13"/>
      <c r="AH4086" s="13"/>
      <c r="AI4086" s="13"/>
      <c r="AJ4086" s="13"/>
      <c r="AK4086" s="13"/>
      <c r="AL4086" s="8"/>
      <c r="AU4086" s="13"/>
      <c r="AV4086" s="13"/>
      <c r="CU4086" s="13"/>
      <c r="DG4086" s="13"/>
    </row>
    <row r="4087" spans="1:111" x14ac:dyDescent="0.2">
      <c r="A4087" s="13"/>
      <c r="B4087" s="14"/>
      <c r="Y4087" s="23"/>
      <c r="Z4087" s="23"/>
      <c r="AC4087" s="13"/>
      <c r="AD4087" s="13"/>
      <c r="AE4087" s="13"/>
      <c r="AG4087" s="13"/>
      <c r="AH4087" s="13"/>
      <c r="AI4087" s="13"/>
      <c r="AJ4087" s="13"/>
      <c r="AK4087" s="13"/>
      <c r="AL4087" s="8"/>
      <c r="AU4087" s="13"/>
      <c r="AV4087" s="13"/>
      <c r="CU4087" s="13"/>
      <c r="DG4087" s="13"/>
    </row>
    <row r="4088" spans="1:111" x14ac:dyDescent="0.2">
      <c r="A4088" s="13"/>
      <c r="B4088" s="14"/>
      <c r="Y4088" s="23"/>
      <c r="Z4088" s="23"/>
      <c r="AC4088" s="13"/>
      <c r="AD4088" s="13"/>
      <c r="AE4088" s="13"/>
      <c r="AG4088" s="13"/>
      <c r="AH4088" s="13"/>
      <c r="AI4088" s="13"/>
      <c r="AJ4088" s="13"/>
      <c r="AK4088" s="13"/>
      <c r="AL4088" s="8"/>
      <c r="AU4088" s="13"/>
      <c r="AV4088" s="13"/>
      <c r="CU4088" s="13"/>
      <c r="DG4088" s="13"/>
    </row>
    <row r="4089" spans="1:111" x14ac:dyDescent="0.2">
      <c r="A4089" s="13"/>
      <c r="B4089" s="14"/>
      <c r="Y4089" s="23"/>
      <c r="Z4089" s="23"/>
      <c r="AC4089" s="13"/>
      <c r="AD4089" s="13"/>
      <c r="AE4089" s="13"/>
      <c r="AG4089" s="13"/>
      <c r="AH4089" s="13"/>
      <c r="AI4089" s="13"/>
      <c r="AJ4089" s="13"/>
      <c r="AK4089" s="13"/>
      <c r="AL4089" s="8"/>
      <c r="AU4089" s="13"/>
      <c r="AV4089" s="13"/>
      <c r="CU4089" s="13"/>
      <c r="DG4089" s="13"/>
    </row>
    <row r="4090" spans="1:111" x14ac:dyDescent="0.2">
      <c r="A4090" s="13"/>
      <c r="B4090" s="14"/>
      <c r="Y4090" s="23"/>
      <c r="Z4090" s="23"/>
      <c r="AC4090" s="13"/>
      <c r="AD4090" s="13"/>
      <c r="AE4090" s="13"/>
      <c r="AG4090" s="13"/>
      <c r="AH4090" s="13"/>
      <c r="AI4090" s="13"/>
      <c r="AJ4090" s="13"/>
      <c r="AK4090" s="13"/>
      <c r="AL4090" s="8"/>
      <c r="AU4090" s="13"/>
      <c r="AV4090" s="13"/>
      <c r="CU4090" s="13"/>
      <c r="DG4090" s="13"/>
    </row>
    <row r="4091" spans="1:111" x14ac:dyDescent="0.2">
      <c r="A4091" s="13"/>
      <c r="B4091" s="14"/>
      <c r="Y4091" s="23"/>
      <c r="Z4091" s="23"/>
      <c r="AC4091" s="13"/>
      <c r="AD4091" s="13"/>
      <c r="AE4091" s="13"/>
      <c r="AG4091" s="13"/>
      <c r="AH4091" s="13"/>
      <c r="AI4091" s="13"/>
      <c r="AJ4091" s="13"/>
      <c r="AK4091" s="13"/>
      <c r="AL4091" s="8"/>
      <c r="AU4091" s="13"/>
      <c r="AV4091" s="13"/>
      <c r="CU4091" s="13"/>
      <c r="DG4091" s="13"/>
    </row>
    <row r="4092" spans="1:111" x14ac:dyDescent="0.2">
      <c r="A4092" s="13"/>
      <c r="B4092" s="14"/>
      <c r="Y4092" s="23"/>
      <c r="Z4092" s="23"/>
      <c r="AC4092" s="13"/>
      <c r="AD4092" s="13"/>
      <c r="AE4092" s="13"/>
      <c r="AG4092" s="13"/>
      <c r="AH4092" s="13"/>
      <c r="AI4092" s="13"/>
      <c r="AJ4092" s="13"/>
      <c r="AK4092" s="13"/>
      <c r="AL4092" s="8"/>
      <c r="AU4092" s="13"/>
      <c r="AV4092" s="13"/>
      <c r="CU4092" s="13"/>
      <c r="DG4092" s="13"/>
    </row>
    <row r="4093" spans="1:111" x14ac:dyDescent="0.2">
      <c r="A4093" s="13"/>
      <c r="B4093" s="14"/>
      <c r="Y4093" s="23"/>
      <c r="Z4093" s="23"/>
      <c r="AC4093" s="13"/>
      <c r="AD4093" s="13"/>
      <c r="AE4093" s="13"/>
      <c r="AG4093" s="13"/>
      <c r="AH4093" s="13"/>
      <c r="AI4093" s="13"/>
      <c r="AJ4093" s="13"/>
      <c r="AK4093" s="13"/>
      <c r="AL4093" s="8"/>
      <c r="AU4093" s="13"/>
      <c r="AV4093" s="13"/>
      <c r="CU4093" s="13"/>
      <c r="DG4093" s="13"/>
    </row>
    <row r="4094" spans="1:111" x14ac:dyDescent="0.2">
      <c r="A4094" s="13"/>
      <c r="B4094" s="14"/>
      <c r="Y4094" s="23"/>
      <c r="Z4094" s="23"/>
      <c r="AC4094" s="13"/>
      <c r="AD4094" s="13"/>
      <c r="AE4094" s="13"/>
      <c r="AG4094" s="13"/>
      <c r="AH4094" s="13"/>
      <c r="AI4094" s="13"/>
      <c r="AJ4094" s="13"/>
      <c r="AK4094" s="13"/>
      <c r="AL4094" s="8"/>
      <c r="AU4094" s="13"/>
      <c r="AV4094" s="13"/>
      <c r="CU4094" s="13"/>
      <c r="DG4094" s="13"/>
    </row>
    <row r="4095" spans="1:111" x14ac:dyDescent="0.2">
      <c r="A4095" s="13"/>
      <c r="B4095" s="14"/>
      <c r="Y4095" s="23"/>
      <c r="Z4095" s="23"/>
      <c r="AC4095" s="13"/>
      <c r="AD4095" s="13"/>
      <c r="AE4095" s="13"/>
      <c r="AG4095" s="13"/>
      <c r="AH4095" s="13"/>
      <c r="AI4095" s="13"/>
      <c r="AJ4095" s="13"/>
      <c r="AK4095" s="13"/>
      <c r="AL4095" s="8"/>
      <c r="AU4095" s="13"/>
      <c r="AV4095" s="13"/>
      <c r="CU4095" s="13"/>
      <c r="DG4095" s="13"/>
    </row>
    <row r="4096" spans="1:111" x14ac:dyDescent="0.2">
      <c r="A4096" s="13"/>
      <c r="B4096" s="14"/>
      <c r="Y4096" s="23"/>
      <c r="Z4096" s="23"/>
      <c r="AC4096" s="13"/>
      <c r="AD4096" s="13"/>
      <c r="AE4096" s="13"/>
      <c r="AG4096" s="13"/>
      <c r="AH4096" s="13"/>
      <c r="AI4096" s="13"/>
      <c r="AJ4096" s="13"/>
      <c r="AK4096" s="13"/>
      <c r="AL4096" s="8"/>
      <c r="AU4096" s="13"/>
      <c r="AV4096" s="13"/>
      <c r="CU4096" s="13"/>
      <c r="DG4096" s="13"/>
    </row>
    <row r="4097" spans="1:111" x14ac:dyDescent="0.2">
      <c r="A4097" s="13"/>
      <c r="B4097" s="14"/>
      <c r="Y4097" s="23"/>
      <c r="Z4097" s="23"/>
      <c r="AC4097" s="13"/>
      <c r="AD4097" s="13"/>
      <c r="AE4097" s="13"/>
      <c r="AG4097" s="13"/>
      <c r="AH4097" s="13"/>
      <c r="AI4097" s="13"/>
      <c r="AJ4097" s="13"/>
      <c r="AK4097" s="13"/>
      <c r="AL4097" s="8"/>
      <c r="AU4097" s="13"/>
      <c r="AV4097" s="13"/>
      <c r="CU4097" s="13"/>
      <c r="DG4097" s="13"/>
    </row>
    <row r="4098" spans="1:111" x14ac:dyDescent="0.2">
      <c r="A4098" s="13"/>
      <c r="B4098" s="14"/>
      <c r="Y4098" s="23"/>
      <c r="Z4098" s="23"/>
      <c r="AC4098" s="13"/>
      <c r="AD4098" s="13"/>
      <c r="AE4098" s="13"/>
      <c r="AG4098" s="13"/>
      <c r="AH4098" s="13"/>
      <c r="AI4098" s="13"/>
      <c r="AJ4098" s="13"/>
      <c r="AK4098" s="13"/>
      <c r="AL4098" s="8"/>
      <c r="AU4098" s="13"/>
      <c r="AV4098" s="13"/>
      <c r="CU4098" s="13"/>
      <c r="DG4098" s="13"/>
    </row>
    <row r="4099" spans="1:111" x14ac:dyDescent="0.2">
      <c r="A4099" s="13"/>
      <c r="B4099" s="14"/>
      <c r="Y4099" s="23"/>
      <c r="Z4099" s="23"/>
      <c r="AC4099" s="13"/>
      <c r="AD4099" s="13"/>
      <c r="AE4099" s="13"/>
      <c r="AG4099" s="13"/>
      <c r="AH4099" s="13"/>
      <c r="AI4099" s="13"/>
      <c r="AJ4099" s="13"/>
      <c r="AK4099" s="13"/>
      <c r="AL4099" s="8"/>
      <c r="AU4099" s="13"/>
      <c r="AV4099" s="13"/>
      <c r="CU4099" s="13"/>
      <c r="DG4099" s="13"/>
    </row>
    <row r="4100" spans="1:111" x14ac:dyDescent="0.2">
      <c r="A4100" s="13"/>
      <c r="B4100" s="14"/>
      <c r="Y4100" s="23"/>
      <c r="Z4100" s="23"/>
      <c r="AC4100" s="13"/>
      <c r="AD4100" s="13"/>
      <c r="AE4100" s="13"/>
      <c r="AG4100" s="13"/>
      <c r="AH4100" s="13"/>
      <c r="AI4100" s="13"/>
      <c r="AJ4100" s="13"/>
      <c r="AK4100" s="13"/>
      <c r="AL4100" s="8"/>
      <c r="AU4100" s="13"/>
      <c r="AV4100" s="13"/>
      <c r="CU4100" s="13"/>
      <c r="DG4100" s="13"/>
    </row>
    <row r="4101" spans="1:111" x14ac:dyDescent="0.2">
      <c r="A4101" s="13"/>
      <c r="B4101" s="14"/>
      <c r="Y4101" s="23"/>
      <c r="Z4101" s="23"/>
      <c r="AC4101" s="13"/>
      <c r="AD4101" s="13"/>
      <c r="AE4101" s="13"/>
      <c r="AG4101" s="13"/>
      <c r="AH4101" s="13"/>
      <c r="AI4101" s="13"/>
      <c r="AJ4101" s="13"/>
      <c r="AK4101" s="13"/>
      <c r="AL4101" s="8"/>
      <c r="AU4101" s="13"/>
      <c r="AV4101" s="13"/>
      <c r="CU4101" s="13"/>
      <c r="DG4101" s="13"/>
    </row>
    <row r="4102" spans="1:111" x14ac:dyDescent="0.2">
      <c r="A4102" s="13"/>
      <c r="B4102" s="14"/>
      <c r="Y4102" s="23"/>
      <c r="Z4102" s="23"/>
      <c r="AC4102" s="13"/>
      <c r="AD4102" s="13"/>
      <c r="AE4102" s="13"/>
      <c r="AG4102" s="13"/>
      <c r="AH4102" s="13"/>
      <c r="AI4102" s="13"/>
      <c r="AJ4102" s="13"/>
      <c r="AK4102" s="13"/>
      <c r="AL4102" s="8"/>
      <c r="AU4102" s="13"/>
      <c r="AV4102" s="13"/>
      <c r="CU4102" s="13"/>
      <c r="DG4102" s="13"/>
    </row>
    <row r="4103" spans="1:111" x14ac:dyDescent="0.2">
      <c r="A4103" s="13"/>
      <c r="B4103" s="14"/>
      <c r="Y4103" s="23"/>
      <c r="Z4103" s="23"/>
      <c r="AC4103" s="13"/>
      <c r="AD4103" s="13"/>
      <c r="AE4103" s="13"/>
      <c r="AG4103" s="13"/>
      <c r="AH4103" s="13"/>
      <c r="AI4103" s="13"/>
      <c r="AJ4103" s="13"/>
      <c r="AK4103" s="13"/>
      <c r="AL4103" s="8"/>
      <c r="AU4103" s="13"/>
      <c r="AV4103" s="13"/>
      <c r="CU4103" s="13"/>
      <c r="DG4103" s="13"/>
    </row>
    <row r="4104" spans="1:111" x14ac:dyDescent="0.2">
      <c r="A4104" s="13"/>
      <c r="B4104" s="14"/>
      <c r="Y4104" s="23"/>
      <c r="Z4104" s="23"/>
      <c r="AC4104" s="13"/>
      <c r="AD4104" s="13"/>
      <c r="AE4104" s="13"/>
      <c r="AG4104" s="13"/>
      <c r="AH4104" s="13"/>
      <c r="AI4104" s="13"/>
      <c r="AJ4104" s="13"/>
      <c r="AK4104" s="13"/>
      <c r="AL4104" s="8"/>
      <c r="AU4104" s="13"/>
      <c r="AV4104" s="13"/>
      <c r="CU4104" s="13"/>
      <c r="DG4104" s="13"/>
    </row>
    <row r="4105" spans="1:111" x14ac:dyDescent="0.2">
      <c r="A4105" s="13"/>
      <c r="B4105" s="14"/>
      <c r="Y4105" s="23"/>
      <c r="Z4105" s="23"/>
      <c r="AC4105" s="13"/>
      <c r="AD4105" s="13"/>
      <c r="AE4105" s="13"/>
      <c r="AG4105" s="13"/>
      <c r="AH4105" s="13"/>
      <c r="AI4105" s="13"/>
      <c r="AJ4105" s="13"/>
      <c r="AK4105" s="13"/>
      <c r="AL4105" s="8"/>
      <c r="AU4105" s="13"/>
      <c r="AV4105" s="13"/>
      <c r="CU4105" s="13"/>
      <c r="DG4105" s="13"/>
    </row>
    <row r="4106" spans="1:111" x14ac:dyDescent="0.2">
      <c r="A4106" s="13"/>
      <c r="B4106" s="14"/>
      <c r="Y4106" s="23"/>
      <c r="Z4106" s="23"/>
      <c r="AC4106" s="13"/>
      <c r="AD4106" s="13"/>
      <c r="AE4106" s="13"/>
      <c r="AG4106" s="13"/>
      <c r="AH4106" s="13"/>
      <c r="AI4106" s="13"/>
      <c r="AJ4106" s="13"/>
      <c r="AK4106" s="13"/>
      <c r="AL4106" s="8"/>
      <c r="AU4106" s="13"/>
      <c r="AV4106" s="13"/>
      <c r="CU4106" s="13"/>
      <c r="DG4106" s="13"/>
    </row>
    <row r="4107" spans="1:111" x14ac:dyDescent="0.2">
      <c r="A4107" s="13"/>
      <c r="B4107" s="14"/>
      <c r="Y4107" s="23"/>
      <c r="Z4107" s="23"/>
      <c r="AC4107" s="13"/>
      <c r="AD4107" s="13"/>
      <c r="AE4107" s="13"/>
      <c r="AG4107" s="13"/>
      <c r="AH4107" s="13"/>
      <c r="AI4107" s="13"/>
      <c r="AJ4107" s="13"/>
      <c r="AK4107" s="13"/>
      <c r="AL4107" s="8"/>
      <c r="AU4107" s="13"/>
      <c r="AV4107" s="13"/>
      <c r="CU4107" s="13"/>
      <c r="DG4107" s="13"/>
    </row>
    <row r="4108" spans="1:111" x14ac:dyDescent="0.2">
      <c r="A4108" s="13"/>
      <c r="B4108" s="14"/>
      <c r="Y4108" s="23"/>
      <c r="Z4108" s="23"/>
      <c r="AC4108" s="13"/>
      <c r="AD4108" s="13"/>
      <c r="AE4108" s="13"/>
      <c r="AG4108" s="13"/>
      <c r="AH4108" s="13"/>
      <c r="AI4108" s="13"/>
      <c r="AJ4108" s="13"/>
      <c r="AK4108" s="13"/>
      <c r="AL4108" s="8"/>
      <c r="AU4108" s="13"/>
      <c r="AV4108" s="13"/>
      <c r="CU4108" s="13"/>
      <c r="DG4108" s="13"/>
    </row>
    <row r="4109" spans="1:111" x14ac:dyDescent="0.2">
      <c r="A4109" s="13"/>
      <c r="B4109" s="14"/>
      <c r="Y4109" s="23"/>
      <c r="Z4109" s="23"/>
      <c r="AC4109" s="13"/>
      <c r="AD4109" s="13"/>
      <c r="AE4109" s="13"/>
      <c r="AG4109" s="13"/>
      <c r="AH4109" s="13"/>
      <c r="AI4109" s="13"/>
      <c r="AJ4109" s="13"/>
      <c r="AK4109" s="13"/>
      <c r="AL4109" s="8"/>
      <c r="AU4109" s="13"/>
      <c r="AV4109" s="13"/>
      <c r="CU4109" s="13"/>
      <c r="DG4109" s="13"/>
    </row>
    <row r="4110" spans="1:111" x14ac:dyDescent="0.2">
      <c r="A4110" s="13"/>
      <c r="B4110" s="14"/>
      <c r="Y4110" s="23"/>
      <c r="Z4110" s="23"/>
      <c r="AC4110" s="13"/>
      <c r="AD4110" s="13"/>
      <c r="AE4110" s="13"/>
      <c r="AG4110" s="13"/>
      <c r="AH4110" s="13"/>
      <c r="AI4110" s="13"/>
      <c r="AJ4110" s="13"/>
      <c r="AK4110" s="13"/>
      <c r="AL4110" s="8"/>
      <c r="AU4110" s="13"/>
      <c r="AV4110" s="13"/>
      <c r="CU4110" s="13"/>
      <c r="DG4110" s="13"/>
    </row>
    <row r="4111" spans="1:111" x14ac:dyDescent="0.2">
      <c r="A4111" s="13"/>
      <c r="B4111" s="14"/>
      <c r="Y4111" s="23"/>
      <c r="Z4111" s="23"/>
      <c r="AC4111" s="13"/>
      <c r="AD4111" s="13"/>
      <c r="AE4111" s="13"/>
      <c r="AG4111" s="13"/>
      <c r="AH4111" s="13"/>
      <c r="AI4111" s="13"/>
      <c r="AJ4111" s="13"/>
      <c r="AK4111" s="13"/>
      <c r="AL4111" s="8"/>
      <c r="AU4111" s="13"/>
      <c r="AV4111" s="13"/>
      <c r="CU4111" s="13"/>
      <c r="DG4111" s="13"/>
    </row>
    <row r="4112" spans="1:111" x14ac:dyDescent="0.2">
      <c r="A4112" s="13"/>
      <c r="B4112" s="14"/>
      <c r="Y4112" s="23"/>
      <c r="Z4112" s="23"/>
      <c r="AC4112" s="13"/>
      <c r="AD4112" s="13"/>
      <c r="AE4112" s="13"/>
      <c r="AG4112" s="13"/>
      <c r="AH4112" s="13"/>
      <c r="AI4112" s="13"/>
      <c r="AJ4112" s="13"/>
      <c r="AK4112" s="13"/>
      <c r="AL4112" s="8"/>
      <c r="AU4112" s="13"/>
      <c r="AV4112" s="13"/>
      <c r="CU4112" s="13"/>
      <c r="DG4112" s="13"/>
    </row>
    <row r="4113" spans="1:111" x14ac:dyDescent="0.2">
      <c r="A4113" s="13"/>
      <c r="B4113" s="14"/>
      <c r="Y4113" s="23"/>
      <c r="Z4113" s="23"/>
      <c r="AC4113" s="13"/>
      <c r="AD4113" s="13"/>
      <c r="AE4113" s="13"/>
      <c r="AG4113" s="13"/>
      <c r="AH4113" s="13"/>
      <c r="AI4113" s="13"/>
      <c r="AJ4113" s="13"/>
      <c r="AK4113" s="13"/>
      <c r="AL4113" s="8"/>
      <c r="AU4113" s="13"/>
      <c r="AV4113" s="13"/>
      <c r="CU4113" s="13"/>
      <c r="DG4113" s="13"/>
    </row>
    <row r="4114" spans="1:111" x14ac:dyDescent="0.2">
      <c r="A4114" s="13"/>
      <c r="B4114" s="14"/>
      <c r="Y4114" s="23"/>
      <c r="Z4114" s="23"/>
      <c r="AC4114" s="13"/>
      <c r="AD4114" s="13"/>
      <c r="AE4114" s="13"/>
      <c r="AG4114" s="13"/>
      <c r="AH4114" s="13"/>
      <c r="AI4114" s="13"/>
      <c r="AJ4114" s="13"/>
      <c r="AK4114" s="13"/>
      <c r="AL4114" s="8"/>
      <c r="AU4114" s="13"/>
      <c r="AV4114" s="13"/>
      <c r="CU4114" s="13"/>
      <c r="DG4114" s="13"/>
    </row>
    <row r="4115" spans="1:111" x14ac:dyDescent="0.2">
      <c r="A4115" s="13"/>
      <c r="B4115" s="14"/>
      <c r="Y4115" s="23"/>
      <c r="Z4115" s="23"/>
      <c r="AC4115" s="13"/>
      <c r="AD4115" s="13"/>
      <c r="AE4115" s="13"/>
      <c r="AG4115" s="13"/>
      <c r="AH4115" s="13"/>
      <c r="AI4115" s="13"/>
      <c r="AJ4115" s="13"/>
      <c r="AK4115" s="13"/>
      <c r="AL4115" s="8"/>
      <c r="AU4115" s="13"/>
      <c r="AV4115" s="13"/>
      <c r="CU4115" s="13"/>
      <c r="DG4115" s="13"/>
    </row>
    <row r="4116" spans="1:111" x14ac:dyDescent="0.2">
      <c r="A4116" s="13"/>
      <c r="B4116" s="14"/>
      <c r="Y4116" s="23"/>
      <c r="Z4116" s="23"/>
      <c r="AC4116" s="13"/>
      <c r="AD4116" s="13"/>
      <c r="AE4116" s="13"/>
      <c r="AG4116" s="13"/>
      <c r="AH4116" s="13"/>
      <c r="AI4116" s="13"/>
      <c r="AJ4116" s="13"/>
      <c r="AK4116" s="13"/>
      <c r="AL4116" s="8"/>
      <c r="AU4116" s="13"/>
      <c r="AV4116" s="13"/>
      <c r="CU4116" s="13"/>
      <c r="DG4116" s="13"/>
    </row>
    <row r="4117" spans="1:111" x14ac:dyDescent="0.2">
      <c r="A4117" s="13"/>
      <c r="B4117" s="14"/>
      <c r="Y4117" s="23"/>
      <c r="Z4117" s="23"/>
      <c r="AC4117" s="13"/>
      <c r="AD4117" s="13"/>
      <c r="AE4117" s="13"/>
      <c r="AG4117" s="13"/>
      <c r="AH4117" s="13"/>
      <c r="AI4117" s="13"/>
      <c r="AJ4117" s="13"/>
      <c r="AK4117" s="13"/>
      <c r="AL4117" s="8"/>
      <c r="AU4117" s="13"/>
      <c r="AV4117" s="13"/>
      <c r="CU4117" s="13"/>
      <c r="DG4117" s="13"/>
    </row>
    <row r="4118" spans="1:111" x14ac:dyDescent="0.2">
      <c r="A4118" s="13"/>
      <c r="B4118" s="14"/>
      <c r="Y4118" s="23"/>
      <c r="Z4118" s="23"/>
      <c r="AC4118" s="13"/>
      <c r="AD4118" s="13"/>
      <c r="AE4118" s="13"/>
      <c r="AG4118" s="13"/>
      <c r="AH4118" s="13"/>
      <c r="AI4118" s="13"/>
      <c r="AJ4118" s="13"/>
      <c r="AK4118" s="13"/>
      <c r="AL4118" s="8"/>
      <c r="AU4118" s="13"/>
      <c r="AV4118" s="13"/>
      <c r="CU4118" s="13"/>
      <c r="DG4118" s="13"/>
    </row>
    <row r="4119" spans="1:111" x14ac:dyDescent="0.2">
      <c r="A4119" s="13"/>
      <c r="B4119" s="14"/>
      <c r="Y4119" s="23"/>
      <c r="Z4119" s="23"/>
      <c r="AC4119" s="13"/>
      <c r="AD4119" s="13"/>
      <c r="AE4119" s="13"/>
      <c r="AG4119" s="13"/>
      <c r="AH4119" s="13"/>
      <c r="AI4119" s="13"/>
      <c r="AJ4119" s="13"/>
      <c r="AK4119" s="13"/>
      <c r="AL4119" s="8"/>
      <c r="AU4119" s="13"/>
      <c r="AV4119" s="13"/>
      <c r="CU4119" s="13"/>
      <c r="DG4119" s="13"/>
    </row>
    <row r="4120" spans="1:111" x14ac:dyDescent="0.2">
      <c r="A4120" s="13"/>
      <c r="B4120" s="14"/>
      <c r="Y4120" s="23"/>
      <c r="Z4120" s="23"/>
      <c r="AC4120" s="13"/>
      <c r="AD4120" s="13"/>
      <c r="AE4120" s="13"/>
      <c r="AG4120" s="13"/>
      <c r="AH4120" s="13"/>
      <c r="AI4120" s="13"/>
      <c r="AJ4120" s="13"/>
      <c r="AK4120" s="13"/>
      <c r="AL4120" s="8"/>
      <c r="AU4120" s="13"/>
      <c r="AV4120" s="13"/>
      <c r="CU4120" s="13"/>
      <c r="DG4120" s="13"/>
    </row>
    <row r="4121" spans="1:111" x14ac:dyDescent="0.2">
      <c r="A4121" s="13"/>
      <c r="B4121" s="14"/>
      <c r="Y4121" s="23"/>
      <c r="Z4121" s="23"/>
      <c r="AC4121" s="13"/>
      <c r="AD4121" s="13"/>
      <c r="AE4121" s="13"/>
      <c r="AG4121" s="13"/>
      <c r="AH4121" s="13"/>
      <c r="AI4121" s="13"/>
      <c r="AJ4121" s="13"/>
      <c r="AK4121" s="13"/>
      <c r="AL4121" s="8"/>
      <c r="AU4121" s="13"/>
      <c r="AV4121" s="13"/>
      <c r="CU4121" s="13"/>
      <c r="DG4121" s="13"/>
    </row>
    <row r="4122" spans="1:111" x14ac:dyDescent="0.2">
      <c r="A4122" s="13"/>
      <c r="B4122" s="14"/>
      <c r="Y4122" s="23"/>
      <c r="Z4122" s="23"/>
      <c r="AC4122" s="13"/>
      <c r="AD4122" s="13"/>
      <c r="AE4122" s="13"/>
      <c r="AG4122" s="13"/>
      <c r="AH4122" s="13"/>
      <c r="AI4122" s="13"/>
      <c r="AJ4122" s="13"/>
      <c r="AK4122" s="13"/>
      <c r="AL4122" s="8"/>
      <c r="AU4122" s="13"/>
      <c r="AV4122" s="13"/>
      <c r="CU4122" s="13"/>
      <c r="DG4122" s="13"/>
    </row>
    <row r="4123" spans="1:111" x14ac:dyDescent="0.2">
      <c r="A4123" s="13"/>
      <c r="B4123" s="14"/>
      <c r="Y4123" s="23"/>
      <c r="Z4123" s="23"/>
      <c r="AC4123" s="13"/>
      <c r="AD4123" s="13"/>
      <c r="AE4123" s="13"/>
      <c r="AG4123" s="13"/>
      <c r="AH4123" s="13"/>
      <c r="AI4123" s="13"/>
      <c r="AJ4123" s="13"/>
      <c r="AK4123" s="13"/>
      <c r="AL4123" s="8"/>
      <c r="AU4123" s="13"/>
      <c r="AV4123" s="13"/>
      <c r="CU4123" s="13"/>
      <c r="DG4123" s="13"/>
    </row>
    <row r="4124" spans="1:111" x14ac:dyDescent="0.2">
      <c r="A4124" s="13"/>
      <c r="B4124" s="14"/>
      <c r="Y4124" s="23"/>
      <c r="Z4124" s="23"/>
      <c r="AC4124" s="13"/>
      <c r="AD4124" s="13"/>
      <c r="AE4124" s="13"/>
      <c r="AG4124" s="13"/>
      <c r="AH4124" s="13"/>
      <c r="AI4124" s="13"/>
      <c r="AJ4124" s="13"/>
      <c r="AK4124" s="13"/>
      <c r="AL4124" s="8"/>
      <c r="AU4124" s="13"/>
      <c r="AV4124" s="13"/>
      <c r="CU4124" s="13"/>
      <c r="DG4124" s="13"/>
    </row>
    <row r="4125" spans="1:111" x14ac:dyDescent="0.2">
      <c r="A4125" s="13"/>
      <c r="B4125" s="14"/>
      <c r="Y4125" s="23"/>
      <c r="Z4125" s="23"/>
      <c r="AC4125" s="13"/>
      <c r="AD4125" s="13"/>
      <c r="AE4125" s="13"/>
      <c r="AG4125" s="13"/>
      <c r="AH4125" s="13"/>
      <c r="AI4125" s="13"/>
      <c r="AJ4125" s="13"/>
      <c r="AK4125" s="13"/>
      <c r="AL4125" s="8"/>
      <c r="AU4125" s="13"/>
      <c r="AV4125" s="13"/>
      <c r="CU4125" s="13"/>
      <c r="DG4125" s="13"/>
    </row>
    <row r="4126" spans="1:111" x14ac:dyDescent="0.2">
      <c r="A4126" s="13"/>
      <c r="B4126" s="14"/>
      <c r="Y4126" s="23"/>
      <c r="Z4126" s="23"/>
      <c r="AC4126" s="13"/>
      <c r="AD4126" s="13"/>
      <c r="AE4126" s="13"/>
      <c r="AG4126" s="13"/>
      <c r="AH4126" s="13"/>
      <c r="AI4126" s="13"/>
      <c r="AJ4126" s="13"/>
      <c r="AK4126" s="13"/>
      <c r="AL4126" s="8"/>
      <c r="AU4126" s="13"/>
      <c r="AV4126" s="13"/>
      <c r="CU4126" s="13"/>
      <c r="DG4126" s="13"/>
    </row>
    <row r="4127" spans="1:111" x14ac:dyDescent="0.2">
      <c r="A4127" s="13"/>
      <c r="B4127" s="14"/>
      <c r="Y4127" s="23"/>
      <c r="Z4127" s="23"/>
      <c r="AC4127" s="13"/>
      <c r="AD4127" s="13"/>
      <c r="AE4127" s="13"/>
      <c r="AG4127" s="13"/>
      <c r="AH4127" s="13"/>
      <c r="AI4127" s="13"/>
      <c r="AJ4127" s="13"/>
      <c r="AK4127" s="13"/>
      <c r="AL4127" s="8"/>
      <c r="AU4127" s="13"/>
      <c r="AV4127" s="13"/>
      <c r="CU4127" s="13"/>
      <c r="DG4127" s="13"/>
    </row>
    <row r="4128" spans="1:111" x14ac:dyDescent="0.2">
      <c r="A4128" s="13"/>
      <c r="B4128" s="14"/>
      <c r="Y4128" s="23"/>
      <c r="Z4128" s="23"/>
      <c r="AC4128" s="13"/>
      <c r="AD4128" s="13"/>
      <c r="AE4128" s="13"/>
      <c r="AG4128" s="13"/>
      <c r="AH4128" s="13"/>
      <c r="AI4128" s="13"/>
      <c r="AJ4128" s="13"/>
      <c r="AK4128" s="13"/>
      <c r="AL4128" s="8"/>
      <c r="AU4128" s="13"/>
      <c r="AV4128" s="13"/>
      <c r="CU4128" s="13"/>
      <c r="DG4128" s="13"/>
    </row>
    <row r="4129" spans="1:111" x14ac:dyDescent="0.2">
      <c r="A4129" s="13"/>
      <c r="B4129" s="14"/>
      <c r="Y4129" s="23"/>
      <c r="Z4129" s="23"/>
      <c r="AC4129" s="13"/>
      <c r="AD4129" s="13"/>
      <c r="AE4129" s="13"/>
      <c r="AG4129" s="13"/>
      <c r="AH4129" s="13"/>
      <c r="AI4129" s="13"/>
      <c r="AJ4129" s="13"/>
      <c r="AK4129" s="13"/>
      <c r="AL4129" s="8"/>
      <c r="AU4129" s="13"/>
      <c r="AV4129" s="13"/>
      <c r="CU4129" s="13"/>
      <c r="DG4129" s="13"/>
    </row>
    <row r="4130" spans="1:111" x14ac:dyDescent="0.2">
      <c r="A4130" s="13"/>
      <c r="B4130" s="14"/>
      <c r="Y4130" s="23"/>
      <c r="Z4130" s="23"/>
      <c r="AC4130" s="13"/>
      <c r="AD4130" s="13"/>
      <c r="AE4130" s="13"/>
      <c r="AG4130" s="13"/>
      <c r="AH4130" s="13"/>
      <c r="AI4130" s="13"/>
      <c r="AJ4130" s="13"/>
      <c r="AK4130" s="13"/>
      <c r="AL4130" s="8"/>
      <c r="AU4130" s="13"/>
      <c r="AV4130" s="13"/>
      <c r="CU4130" s="13"/>
      <c r="DG4130" s="13"/>
    </row>
    <row r="4131" spans="1:111" x14ac:dyDescent="0.2">
      <c r="A4131" s="13"/>
      <c r="B4131" s="14"/>
      <c r="Y4131" s="23"/>
      <c r="Z4131" s="23"/>
      <c r="AC4131" s="13"/>
      <c r="AD4131" s="13"/>
      <c r="AE4131" s="13"/>
      <c r="AG4131" s="13"/>
      <c r="AH4131" s="13"/>
      <c r="AI4131" s="13"/>
      <c r="AJ4131" s="13"/>
      <c r="AK4131" s="13"/>
      <c r="AL4131" s="8"/>
      <c r="AU4131" s="13"/>
      <c r="AV4131" s="13"/>
      <c r="CU4131" s="13"/>
      <c r="DG4131" s="13"/>
    </row>
    <row r="4132" spans="1:111" x14ac:dyDescent="0.2">
      <c r="A4132" s="13"/>
      <c r="B4132" s="14"/>
      <c r="Y4132" s="23"/>
      <c r="Z4132" s="23"/>
      <c r="AC4132" s="13"/>
      <c r="AD4132" s="13"/>
      <c r="AE4132" s="13"/>
      <c r="AG4132" s="13"/>
      <c r="AH4132" s="13"/>
      <c r="AI4132" s="13"/>
      <c r="AJ4132" s="13"/>
      <c r="AK4132" s="13"/>
      <c r="AL4132" s="8"/>
      <c r="AU4132" s="13"/>
      <c r="AV4132" s="13"/>
      <c r="CU4132" s="13"/>
      <c r="DG4132" s="13"/>
    </row>
    <row r="4133" spans="1:111" x14ac:dyDescent="0.2">
      <c r="A4133" s="13"/>
      <c r="B4133" s="14"/>
      <c r="Y4133" s="23"/>
      <c r="Z4133" s="23"/>
      <c r="AC4133" s="13"/>
      <c r="AD4133" s="13"/>
      <c r="AE4133" s="13"/>
      <c r="AG4133" s="13"/>
      <c r="AH4133" s="13"/>
      <c r="AI4133" s="13"/>
      <c r="AJ4133" s="13"/>
      <c r="AK4133" s="13"/>
      <c r="AL4133" s="8"/>
      <c r="AU4133" s="13"/>
      <c r="AV4133" s="13"/>
      <c r="CU4133" s="13"/>
      <c r="DG4133" s="13"/>
    </row>
    <row r="4134" spans="1:111" x14ac:dyDescent="0.2">
      <c r="A4134" s="13"/>
      <c r="B4134" s="14"/>
      <c r="Y4134" s="23"/>
      <c r="Z4134" s="23"/>
      <c r="AC4134" s="13"/>
      <c r="AD4134" s="13"/>
      <c r="AE4134" s="13"/>
      <c r="AG4134" s="13"/>
      <c r="AH4134" s="13"/>
      <c r="AI4134" s="13"/>
      <c r="AJ4134" s="13"/>
      <c r="AK4134" s="13"/>
      <c r="AL4134" s="8"/>
      <c r="AU4134" s="13"/>
      <c r="AV4134" s="13"/>
      <c r="CU4134" s="13"/>
      <c r="DG4134" s="13"/>
    </row>
    <row r="4135" spans="1:111" x14ac:dyDescent="0.2">
      <c r="A4135" s="13"/>
      <c r="B4135" s="14"/>
      <c r="Y4135" s="23"/>
      <c r="Z4135" s="23"/>
      <c r="AC4135" s="13"/>
      <c r="AD4135" s="13"/>
      <c r="AE4135" s="13"/>
      <c r="AG4135" s="13"/>
      <c r="AH4135" s="13"/>
      <c r="AI4135" s="13"/>
      <c r="AJ4135" s="13"/>
      <c r="AK4135" s="13"/>
      <c r="AL4135" s="8"/>
      <c r="AU4135" s="13"/>
      <c r="AV4135" s="13"/>
      <c r="CU4135" s="13"/>
      <c r="DG4135" s="13"/>
    </row>
    <row r="4136" spans="1:111" x14ac:dyDescent="0.2">
      <c r="A4136" s="13"/>
      <c r="B4136" s="14"/>
      <c r="Y4136" s="23"/>
      <c r="Z4136" s="23"/>
      <c r="AC4136" s="13"/>
      <c r="AD4136" s="13"/>
      <c r="AE4136" s="13"/>
      <c r="AG4136" s="13"/>
      <c r="AH4136" s="13"/>
      <c r="AI4136" s="13"/>
      <c r="AJ4136" s="13"/>
      <c r="AK4136" s="13"/>
      <c r="AL4136" s="8"/>
      <c r="AU4136" s="13"/>
      <c r="AV4136" s="13"/>
      <c r="CU4136" s="13"/>
      <c r="DG4136" s="13"/>
    </row>
    <row r="4137" spans="1:111" x14ac:dyDescent="0.2">
      <c r="A4137" s="13"/>
      <c r="B4137" s="14"/>
      <c r="Y4137" s="23"/>
      <c r="Z4137" s="23"/>
      <c r="AC4137" s="13"/>
      <c r="AD4137" s="13"/>
      <c r="AE4137" s="13"/>
      <c r="AG4137" s="13"/>
      <c r="AH4137" s="13"/>
      <c r="AI4137" s="13"/>
      <c r="AJ4137" s="13"/>
      <c r="AK4137" s="13"/>
      <c r="AL4137" s="8"/>
      <c r="AU4137" s="13"/>
      <c r="AV4137" s="13"/>
      <c r="CU4137" s="13"/>
      <c r="DG4137" s="13"/>
    </row>
    <row r="4138" spans="1:111" x14ac:dyDescent="0.2">
      <c r="A4138" s="13"/>
      <c r="B4138" s="14"/>
      <c r="Y4138" s="23"/>
      <c r="Z4138" s="23"/>
      <c r="AC4138" s="13"/>
      <c r="AD4138" s="13"/>
      <c r="AE4138" s="13"/>
      <c r="AG4138" s="13"/>
      <c r="AH4138" s="13"/>
      <c r="AI4138" s="13"/>
      <c r="AJ4138" s="13"/>
      <c r="AK4138" s="13"/>
      <c r="AL4138" s="8"/>
      <c r="AU4138" s="13"/>
      <c r="AV4138" s="13"/>
      <c r="CU4138" s="13"/>
      <c r="DG4138" s="13"/>
    </row>
    <row r="4139" spans="1:111" x14ac:dyDescent="0.2">
      <c r="A4139" s="13"/>
      <c r="B4139" s="14"/>
      <c r="Y4139" s="23"/>
      <c r="Z4139" s="23"/>
      <c r="AC4139" s="13"/>
      <c r="AD4139" s="13"/>
      <c r="AE4139" s="13"/>
      <c r="AG4139" s="13"/>
      <c r="AH4139" s="13"/>
      <c r="AI4139" s="13"/>
      <c r="AJ4139" s="13"/>
      <c r="AK4139" s="13"/>
      <c r="AL4139" s="8"/>
      <c r="AU4139" s="13"/>
      <c r="AV4139" s="13"/>
      <c r="CU4139" s="13"/>
      <c r="DG4139" s="13"/>
    </row>
    <row r="4140" spans="1:111" x14ac:dyDescent="0.2">
      <c r="A4140" s="13"/>
      <c r="B4140" s="14"/>
      <c r="Y4140" s="23"/>
      <c r="Z4140" s="23"/>
      <c r="AC4140" s="13"/>
      <c r="AD4140" s="13"/>
      <c r="AE4140" s="13"/>
      <c r="AG4140" s="13"/>
      <c r="AH4140" s="13"/>
      <c r="AI4140" s="13"/>
      <c r="AJ4140" s="13"/>
      <c r="AK4140" s="13"/>
      <c r="AL4140" s="8"/>
      <c r="AU4140" s="13"/>
      <c r="AV4140" s="13"/>
      <c r="CU4140" s="13"/>
      <c r="DG4140" s="13"/>
    </row>
    <row r="4141" spans="1:111" x14ac:dyDescent="0.2">
      <c r="A4141" s="13"/>
      <c r="B4141" s="14"/>
      <c r="Y4141" s="23"/>
      <c r="Z4141" s="23"/>
      <c r="AC4141" s="13"/>
      <c r="AD4141" s="13"/>
      <c r="AE4141" s="13"/>
      <c r="AG4141" s="13"/>
      <c r="AH4141" s="13"/>
      <c r="AI4141" s="13"/>
      <c r="AJ4141" s="13"/>
      <c r="AK4141" s="13"/>
      <c r="AL4141" s="8"/>
      <c r="AU4141" s="13"/>
      <c r="AV4141" s="13"/>
      <c r="CU4141" s="13"/>
      <c r="DG4141" s="13"/>
    </row>
    <row r="4142" spans="1:111" x14ac:dyDescent="0.2">
      <c r="A4142" s="13"/>
      <c r="B4142" s="14"/>
      <c r="Y4142" s="23"/>
      <c r="Z4142" s="23"/>
      <c r="AC4142" s="13"/>
      <c r="AD4142" s="13"/>
      <c r="AE4142" s="13"/>
      <c r="AG4142" s="13"/>
      <c r="AH4142" s="13"/>
      <c r="AI4142" s="13"/>
      <c r="AJ4142" s="13"/>
      <c r="AK4142" s="13"/>
      <c r="AL4142" s="8"/>
      <c r="AU4142" s="13"/>
      <c r="AV4142" s="13"/>
      <c r="CU4142" s="13"/>
      <c r="DG4142" s="13"/>
    </row>
    <row r="4143" spans="1:111" x14ac:dyDescent="0.2">
      <c r="A4143" s="13"/>
      <c r="B4143" s="14"/>
      <c r="Y4143" s="23"/>
      <c r="Z4143" s="23"/>
      <c r="AC4143" s="13"/>
      <c r="AD4143" s="13"/>
      <c r="AE4143" s="13"/>
      <c r="AG4143" s="13"/>
      <c r="AH4143" s="13"/>
      <c r="AI4143" s="13"/>
      <c r="AJ4143" s="13"/>
      <c r="AK4143" s="13"/>
      <c r="AL4143" s="8"/>
      <c r="AU4143" s="13"/>
      <c r="AV4143" s="13"/>
      <c r="CU4143" s="13"/>
      <c r="DG4143" s="13"/>
    </row>
    <row r="4144" spans="1:111" x14ac:dyDescent="0.2">
      <c r="A4144" s="13"/>
      <c r="B4144" s="14"/>
      <c r="Y4144" s="23"/>
      <c r="Z4144" s="23"/>
      <c r="AC4144" s="13"/>
      <c r="AD4144" s="13"/>
      <c r="AE4144" s="13"/>
      <c r="AG4144" s="13"/>
      <c r="AH4144" s="13"/>
      <c r="AI4144" s="13"/>
      <c r="AJ4144" s="13"/>
      <c r="AK4144" s="13"/>
      <c r="AL4144" s="8"/>
      <c r="AU4144" s="13"/>
      <c r="AV4144" s="13"/>
      <c r="CU4144" s="13"/>
      <c r="DG4144" s="13"/>
    </row>
    <row r="4145" spans="1:111" x14ac:dyDescent="0.2">
      <c r="A4145" s="13"/>
      <c r="B4145" s="14"/>
      <c r="Y4145" s="23"/>
      <c r="Z4145" s="23"/>
      <c r="AC4145" s="13"/>
      <c r="AD4145" s="13"/>
      <c r="AE4145" s="13"/>
      <c r="AG4145" s="13"/>
      <c r="AH4145" s="13"/>
      <c r="AI4145" s="13"/>
      <c r="AJ4145" s="13"/>
      <c r="AK4145" s="13"/>
      <c r="AL4145" s="8"/>
      <c r="AU4145" s="13"/>
      <c r="AV4145" s="13"/>
      <c r="CU4145" s="13"/>
      <c r="DG4145" s="13"/>
    </row>
    <row r="4146" spans="1:111" x14ac:dyDescent="0.2">
      <c r="A4146" s="13"/>
      <c r="B4146" s="14"/>
      <c r="Y4146" s="23"/>
      <c r="Z4146" s="23"/>
      <c r="AC4146" s="13"/>
      <c r="AD4146" s="13"/>
      <c r="AE4146" s="13"/>
      <c r="AG4146" s="13"/>
      <c r="AH4146" s="13"/>
      <c r="AI4146" s="13"/>
      <c r="AJ4146" s="13"/>
      <c r="AK4146" s="13"/>
      <c r="AL4146" s="8"/>
      <c r="AU4146" s="13"/>
      <c r="AV4146" s="13"/>
      <c r="CU4146" s="13"/>
      <c r="DG4146" s="13"/>
    </row>
    <row r="4147" spans="1:111" x14ac:dyDescent="0.2">
      <c r="A4147" s="13"/>
      <c r="B4147" s="14"/>
      <c r="Y4147" s="23"/>
      <c r="Z4147" s="23"/>
      <c r="AC4147" s="13"/>
      <c r="AD4147" s="13"/>
      <c r="AE4147" s="13"/>
      <c r="AG4147" s="13"/>
      <c r="AH4147" s="13"/>
      <c r="AI4147" s="13"/>
      <c r="AJ4147" s="13"/>
      <c r="AK4147" s="13"/>
      <c r="AL4147" s="8"/>
      <c r="AU4147" s="13"/>
      <c r="AV4147" s="13"/>
      <c r="CU4147" s="13"/>
      <c r="DG4147" s="13"/>
    </row>
    <row r="4148" spans="1:111" x14ac:dyDescent="0.2">
      <c r="A4148" s="13"/>
      <c r="B4148" s="14"/>
      <c r="Y4148" s="23"/>
      <c r="Z4148" s="23"/>
      <c r="AC4148" s="13"/>
      <c r="AD4148" s="13"/>
      <c r="AE4148" s="13"/>
      <c r="AG4148" s="13"/>
      <c r="AH4148" s="13"/>
      <c r="AI4148" s="13"/>
      <c r="AJ4148" s="13"/>
      <c r="AK4148" s="13"/>
      <c r="AL4148" s="8"/>
      <c r="AU4148" s="13"/>
      <c r="AV4148" s="13"/>
      <c r="CU4148" s="13"/>
      <c r="DG4148" s="13"/>
    </row>
    <row r="4149" spans="1:111" x14ac:dyDescent="0.2">
      <c r="A4149" s="13"/>
      <c r="B4149" s="14"/>
      <c r="Y4149" s="23"/>
      <c r="Z4149" s="23"/>
      <c r="AC4149" s="13"/>
      <c r="AD4149" s="13"/>
      <c r="AE4149" s="13"/>
      <c r="AG4149" s="13"/>
      <c r="AH4149" s="13"/>
      <c r="AI4149" s="13"/>
      <c r="AJ4149" s="13"/>
      <c r="AK4149" s="13"/>
      <c r="AL4149" s="8"/>
      <c r="AU4149" s="13"/>
      <c r="AV4149" s="13"/>
      <c r="CU4149" s="13"/>
      <c r="DG4149" s="13"/>
    </row>
    <row r="4150" spans="1:111" x14ac:dyDescent="0.2">
      <c r="A4150" s="13"/>
      <c r="B4150" s="14"/>
      <c r="Y4150" s="23"/>
      <c r="Z4150" s="23"/>
      <c r="AC4150" s="13"/>
      <c r="AD4150" s="13"/>
      <c r="AE4150" s="13"/>
      <c r="AG4150" s="13"/>
      <c r="AH4150" s="13"/>
      <c r="AI4150" s="13"/>
      <c r="AJ4150" s="13"/>
      <c r="AK4150" s="13"/>
      <c r="AL4150" s="8"/>
      <c r="AU4150" s="13"/>
      <c r="AV4150" s="13"/>
      <c r="CU4150" s="13"/>
      <c r="DG4150" s="13"/>
    </row>
    <row r="4151" spans="1:111" x14ac:dyDescent="0.2">
      <c r="A4151" s="13"/>
      <c r="B4151" s="14"/>
      <c r="Y4151" s="23"/>
      <c r="Z4151" s="23"/>
      <c r="AC4151" s="13"/>
      <c r="AD4151" s="13"/>
      <c r="AE4151" s="13"/>
      <c r="AG4151" s="13"/>
      <c r="AH4151" s="13"/>
      <c r="AI4151" s="13"/>
      <c r="AJ4151" s="13"/>
      <c r="AK4151" s="13"/>
      <c r="AL4151" s="8"/>
      <c r="AU4151" s="13"/>
      <c r="AV4151" s="13"/>
      <c r="CU4151" s="13"/>
      <c r="DG4151" s="13"/>
    </row>
    <row r="4152" spans="1:111" x14ac:dyDescent="0.2">
      <c r="A4152" s="13"/>
      <c r="B4152" s="14"/>
      <c r="Y4152" s="23"/>
      <c r="Z4152" s="23"/>
      <c r="AC4152" s="13"/>
      <c r="AD4152" s="13"/>
      <c r="AE4152" s="13"/>
      <c r="AG4152" s="13"/>
      <c r="AH4152" s="13"/>
      <c r="AI4152" s="13"/>
      <c r="AJ4152" s="13"/>
      <c r="AK4152" s="13"/>
      <c r="AL4152" s="8"/>
      <c r="AU4152" s="13"/>
      <c r="AV4152" s="13"/>
      <c r="CU4152" s="13"/>
      <c r="DG4152" s="13"/>
    </row>
    <row r="4153" spans="1:111" x14ac:dyDescent="0.2">
      <c r="A4153" s="13"/>
      <c r="B4153" s="14"/>
      <c r="Y4153" s="23"/>
      <c r="Z4153" s="23"/>
      <c r="AC4153" s="13"/>
      <c r="AD4153" s="13"/>
      <c r="AE4153" s="13"/>
      <c r="AG4153" s="13"/>
      <c r="AH4153" s="13"/>
      <c r="AI4153" s="13"/>
      <c r="AJ4153" s="13"/>
      <c r="AK4153" s="13"/>
      <c r="AL4153" s="8"/>
      <c r="AU4153" s="13"/>
      <c r="AV4153" s="13"/>
      <c r="CU4153" s="13"/>
      <c r="DG4153" s="13"/>
    </row>
    <row r="4154" spans="1:111" x14ac:dyDescent="0.2">
      <c r="A4154" s="13"/>
      <c r="B4154" s="14"/>
      <c r="Y4154" s="23"/>
      <c r="Z4154" s="23"/>
      <c r="AC4154" s="13"/>
      <c r="AD4154" s="13"/>
      <c r="AE4154" s="13"/>
      <c r="AG4154" s="13"/>
      <c r="AH4154" s="13"/>
      <c r="AI4154" s="13"/>
      <c r="AJ4154" s="13"/>
      <c r="AK4154" s="13"/>
      <c r="AL4154" s="8"/>
      <c r="AU4154" s="13"/>
      <c r="AV4154" s="13"/>
      <c r="CU4154" s="13"/>
      <c r="DG4154" s="13"/>
    </row>
    <row r="4155" spans="1:111" x14ac:dyDescent="0.2">
      <c r="A4155" s="13"/>
      <c r="B4155" s="14"/>
      <c r="Y4155" s="23"/>
      <c r="Z4155" s="23"/>
      <c r="AC4155" s="13"/>
      <c r="AD4155" s="13"/>
      <c r="AE4155" s="13"/>
      <c r="AG4155" s="13"/>
      <c r="AH4155" s="13"/>
      <c r="AI4155" s="13"/>
      <c r="AJ4155" s="13"/>
      <c r="AK4155" s="13"/>
      <c r="AL4155" s="8"/>
      <c r="AU4155" s="13"/>
      <c r="AV4155" s="13"/>
      <c r="CU4155" s="13"/>
      <c r="DG4155" s="13"/>
    </row>
    <row r="4156" spans="1:111" x14ac:dyDescent="0.2">
      <c r="A4156" s="13"/>
      <c r="B4156" s="14"/>
      <c r="Y4156" s="23"/>
      <c r="Z4156" s="23"/>
      <c r="AC4156" s="13"/>
      <c r="AD4156" s="13"/>
      <c r="AE4156" s="13"/>
      <c r="AG4156" s="13"/>
      <c r="AH4156" s="13"/>
      <c r="AI4156" s="13"/>
      <c r="AJ4156" s="13"/>
      <c r="AK4156" s="13"/>
      <c r="AL4156" s="8"/>
      <c r="AU4156" s="13"/>
      <c r="AV4156" s="13"/>
      <c r="CU4156" s="13"/>
      <c r="DG4156" s="13"/>
    </row>
    <row r="4157" spans="1:111" x14ac:dyDescent="0.2">
      <c r="A4157" s="13"/>
      <c r="B4157" s="14"/>
      <c r="Y4157" s="23"/>
      <c r="Z4157" s="23"/>
      <c r="AC4157" s="13"/>
      <c r="AD4157" s="13"/>
      <c r="AE4157" s="13"/>
      <c r="AG4157" s="13"/>
      <c r="AH4157" s="13"/>
      <c r="AI4157" s="13"/>
      <c r="AJ4157" s="13"/>
      <c r="AK4157" s="13"/>
      <c r="AL4157" s="8"/>
      <c r="AU4157" s="13"/>
      <c r="AV4157" s="13"/>
      <c r="CU4157" s="13"/>
      <c r="DG4157" s="13"/>
    </row>
    <row r="4158" spans="1:111" x14ac:dyDescent="0.2">
      <c r="A4158" s="13"/>
      <c r="B4158" s="14"/>
      <c r="Y4158" s="23"/>
      <c r="Z4158" s="23"/>
      <c r="AC4158" s="13"/>
      <c r="AD4158" s="13"/>
      <c r="AE4158" s="13"/>
      <c r="AG4158" s="13"/>
      <c r="AH4158" s="13"/>
      <c r="AI4158" s="13"/>
      <c r="AJ4158" s="13"/>
      <c r="AK4158" s="13"/>
      <c r="AL4158" s="8"/>
      <c r="AU4158" s="13"/>
      <c r="AV4158" s="13"/>
      <c r="CU4158" s="13"/>
      <c r="DG4158" s="13"/>
    </row>
    <row r="4159" spans="1:111" x14ac:dyDescent="0.2">
      <c r="A4159" s="13"/>
      <c r="B4159" s="14"/>
      <c r="Y4159" s="23"/>
      <c r="Z4159" s="23"/>
      <c r="AC4159" s="13"/>
      <c r="AD4159" s="13"/>
      <c r="AE4159" s="13"/>
      <c r="AG4159" s="13"/>
      <c r="AH4159" s="13"/>
      <c r="AI4159" s="13"/>
      <c r="AJ4159" s="13"/>
      <c r="AK4159" s="13"/>
      <c r="AL4159" s="8"/>
      <c r="AU4159" s="13"/>
      <c r="AV4159" s="13"/>
      <c r="CU4159" s="13"/>
      <c r="DG4159" s="13"/>
    </row>
    <row r="4160" spans="1:111" x14ac:dyDescent="0.2">
      <c r="A4160" s="13"/>
      <c r="B4160" s="14"/>
      <c r="Y4160" s="23"/>
      <c r="Z4160" s="23"/>
      <c r="AC4160" s="13"/>
      <c r="AD4160" s="13"/>
      <c r="AE4160" s="13"/>
      <c r="AG4160" s="13"/>
      <c r="AH4160" s="13"/>
      <c r="AI4160" s="13"/>
      <c r="AJ4160" s="13"/>
      <c r="AK4160" s="13"/>
      <c r="AL4160" s="8"/>
      <c r="AU4160" s="13"/>
      <c r="AV4160" s="13"/>
      <c r="CU4160" s="13"/>
      <c r="DG4160" s="13"/>
    </row>
    <row r="4161" spans="1:111" x14ac:dyDescent="0.2">
      <c r="A4161" s="13"/>
      <c r="B4161" s="14"/>
      <c r="Y4161" s="23"/>
      <c r="Z4161" s="23"/>
      <c r="AC4161" s="13"/>
      <c r="AD4161" s="13"/>
      <c r="AE4161" s="13"/>
      <c r="AG4161" s="13"/>
      <c r="AH4161" s="13"/>
      <c r="AI4161" s="13"/>
      <c r="AJ4161" s="13"/>
      <c r="AK4161" s="13"/>
      <c r="AL4161" s="8"/>
      <c r="AU4161" s="13"/>
      <c r="AV4161" s="13"/>
      <c r="CU4161" s="13"/>
      <c r="DG4161" s="13"/>
    </row>
    <row r="4162" spans="1:111" x14ac:dyDescent="0.2">
      <c r="A4162" s="13"/>
      <c r="B4162" s="14"/>
      <c r="Y4162" s="23"/>
      <c r="Z4162" s="23"/>
      <c r="AC4162" s="13"/>
      <c r="AD4162" s="13"/>
      <c r="AE4162" s="13"/>
      <c r="AG4162" s="13"/>
      <c r="AH4162" s="13"/>
      <c r="AI4162" s="13"/>
      <c r="AJ4162" s="13"/>
      <c r="AK4162" s="13"/>
      <c r="AL4162" s="8"/>
      <c r="AU4162" s="13"/>
      <c r="AV4162" s="13"/>
      <c r="CU4162" s="13"/>
      <c r="DG4162" s="13"/>
    </row>
    <row r="4163" spans="1:111" x14ac:dyDescent="0.2">
      <c r="A4163" s="13"/>
      <c r="B4163" s="14"/>
      <c r="Y4163" s="23"/>
      <c r="Z4163" s="23"/>
      <c r="AC4163" s="13"/>
      <c r="AD4163" s="13"/>
      <c r="AE4163" s="13"/>
      <c r="AG4163" s="13"/>
      <c r="AH4163" s="13"/>
      <c r="AI4163" s="13"/>
      <c r="AJ4163" s="13"/>
      <c r="AK4163" s="13"/>
      <c r="AL4163" s="8"/>
      <c r="AU4163" s="13"/>
      <c r="AV4163" s="13"/>
      <c r="CU4163" s="13"/>
      <c r="DG4163" s="13"/>
    </row>
    <row r="4164" spans="1:111" x14ac:dyDescent="0.2">
      <c r="A4164" s="13"/>
      <c r="B4164" s="14"/>
      <c r="Y4164" s="23"/>
      <c r="Z4164" s="23"/>
      <c r="AC4164" s="13"/>
      <c r="AD4164" s="13"/>
      <c r="AE4164" s="13"/>
      <c r="AG4164" s="13"/>
      <c r="AH4164" s="13"/>
      <c r="AI4164" s="13"/>
      <c r="AJ4164" s="13"/>
      <c r="AK4164" s="13"/>
      <c r="AL4164" s="8"/>
      <c r="AU4164" s="13"/>
      <c r="AV4164" s="13"/>
      <c r="CU4164" s="13"/>
      <c r="DG4164" s="13"/>
    </row>
    <row r="4165" spans="1:111" x14ac:dyDescent="0.2">
      <c r="A4165" s="13"/>
      <c r="B4165" s="14"/>
      <c r="Y4165" s="23"/>
      <c r="Z4165" s="23"/>
      <c r="AC4165" s="13"/>
      <c r="AD4165" s="13"/>
      <c r="AE4165" s="13"/>
      <c r="AG4165" s="13"/>
      <c r="AH4165" s="13"/>
      <c r="AI4165" s="13"/>
      <c r="AJ4165" s="13"/>
      <c r="AK4165" s="13"/>
      <c r="AL4165" s="8"/>
      <c r="AU4165" s="13"/>
      <c r="AV4165" s="13"/>
      <c r="CU4165" s="13"/>
      <c r="DG4165" s="13"/>
    </row>
    <row r="4166" spans="1:111" x14ac:dyDescent="0.2">
      <c r="A4166" s="13"/>
      <c r="B4166" s="14"/>
      <c r="Y4166" s="23"/>
      <c r="Z4166" s="23"/>
      <c r="AC4166" s="13"/>
      <c r="AD4166" s="13"/>
      <c r="AE4166" s="13"/>
      <c r="AG4166" s="13"/>
      <c r="AH4166" s="13"/>
      <c r="AI4166" s="13"/>
      <c r="AJ4166" s="13"/>
      <c r="AK4166" s="13"/>
      <c r="AL4166" s="8"/>
      <c r="AU4166" s="13"/>
      <c r="AV4166" s="13"/>
      <c r="CU4166" s="13"/>
      <c r="DG4166" s="13"/>
    </row>
    <row r="4167" spans="1:111" x14ac:dyDescent="0.2">
      <c r="A4167" s="13"/>
      <c r="B4167" s="14"/>
      <c r="Y4167" s="23"/>
      <c r="Z4167" s="23"/>
      <c r="AC4167" s="13"/>
      <c r="AD4167" s="13"/>
      <c r="AE4167" s="13"/>
      <c r="AG4167" s="13"/>
      <c r="AH4167" s="13"/>
      <c r="AI4167" s="13"/>
      <c r="AJ4167" s="13"/>
      <c r="AK4167" s="13"/>
      <c r="AL4167" s="8"/>
      <c r="AU4167" s="13"/>
      <c r="AV4167" s="13"/>
      <c r="CU4167" s="13"/>
      <c r="DG4167" s="13"/>
    </row>
    <row r="4168" spans="1:111" x14ac:dyDescent="0.2">
      <c r="A4168" s="13"/>
      <c r="B4168" s="14"/>
      <c r="Y4168" s="23"/>
      <c r="Z4168" s="23"/>
      <c r="AC4168" s="13"/>
      <c r="AD4168" s="13"/>
      <c r="AE4168" s="13"/>
      <c r="AG4168" s="13"/>
      <c r="AH4168" s="13"/>
      <c r="AI4168" s="13"/>
      <c r="AJ4168" s="13"/>
      <c r="AK4168" s="13"/>
      <c r="AL4168" s="8"/>
      <c r="AU4168" s="13"/>
      <c r="AV4168" s="13"/>
      <c r="CU4168" s="13"/>
      <c r="DG4168" s="13"/>
    </row>
    <row r="4169" spans="1:111" x14ac:dyDescent="0.2">
      <c r="A4169" s="13"/>
      <c r="B4169" s="14"/>
      <c r="Y4169" s="23"/>
      <c r="Z4169" s="23"/>
      <c r="AC4169" s="13"/>
      <c r="AD4169" s="13"/>
      <c r="AE4169" s="13"/>
      <c r="AG4169" s="13"/>
      <c r="AH4169" s="13"/>
      <c r="AI4169" s="13"/>
      <c r="AJ4169" s="13"/>
      <c r="AK4169" s="13"/>
      <c r="AL4169" s="8"/>
      <c r="AU4169" s="13"/>
      <c r="AV4169" s="13"/>
      <c r="CU4169" s="13"/>
      <c r="DG4169" s="13"/>
    </row>
    <row r="4170" spans="1:111" x14ac:dyDescent="0.2">
      <c r="A4170" s="13"/>
      <c r="B4170" s="14"/>
      <c r="Y4170" s="23"/>
      <c r="Z4170" s="23"/>
      <c r="AC4170" s="13"/>
      <c r="AD4170" s="13"/>
      <c r="AE4170" s="13"/>
      <c r="AG4170" s="13"/>
      <c r="AH4170" s="13"/>
      <c r="AI4170" s="13"/>
      <c r="AJ4170" s="13"/>
      <c r="AK4170" s="13"/>
      <c r="AL4170" s="8"/>
      <c r="AU4170" s="13"/>
      <c r="AV4170" s="13"/>
      <c r="CU4170" s="13"/>
      <c r="DG4170" s="13"/>
    </row>
    <row r="4171" spans="1:111" x14ac:dyDescent="0.2">
      <c r="A4171" s="13"/>
      <c r="B4171" s="14"/>
      <c r="Y4171" s="23"/>
      <c r="Z4171" s="23"/>
      <c r="AC4171" s="13"/>
      <c r="AD4171" s="13"/>
      <c r="AE4171" s="13"/>
      <c r="AG4171" s="13"/>
      <c r="AH4171" s="13"/>
      <c r="AI4171" s="13"/>
      <c r="AJ4171" s="13"/>
      <c r="AK4171" s="13"/>
      <c r="AL4171" s="8"/>
      <c r="AU4171" s="13"/>
      <c r="AV4171" s="13"/>
      <c r="CU4171" s="13"/>
      <c r="DG4171" s="13"/>
    </row>
    <row r="4172" spans="1:111" x14ac:dyDescent="0.2">
      <c r="A4172" s="13"/>
      <c r="B4172" s="14"/>
      <c r="Y4172" s="23"/>
      <c r="Z4172" s="23"/>
      <c r="AC4172" s="13"/>
      <c r="AD4172" s="13"/>
      <c r="AE4172" s="13"/>
      <c r="AG4172" s="13"/>
      <c r="AH4172" s="13"/>
      <c r="AI4172" s="13"/>
      <c r="AJ4172" s="13"/>
      <c r="AK4172" s="13"/>
      <c r="AL4172" s="8"/>
      <c r="AU4172" s="13"/>
      <c r="AV4172" s="13"/>
      <c r="CU4172" s="13"/>
      <c r="DG4172" s="13"/>
    </row>
    <row r="4173" spans="1:111" x14ac:dyDescent="0.2">
      <c r="A4173" s="13"/>
      <c r="B4173" s="14"/>
      <c r="Y4173" s="23"/>
      <c r="Z4173" s="23"/>
      <c r="AC4173" s="13"/>
      <c r="AD4173" s="13"/>
      <c r="AE4173" s="13"/>
      <c r="AG4173" s="13"/>
      <c r="AH4173" s="13"/>
      <c r="AI4173" s="13"/>
      <c r="AJ4173" s="13"/>
      <c r="AK4173" s="13"/>
      <c r="AL4173" s="8"/>
      <c r="AU4173" s="13"/>
      <c r="AV4173" s="13"/>
      <c r="CU4173" s="13"/>
      <c r="DG4173" s="13"/>
    </row>
    <row r="4174" spans="1:111" x14ac:dyDescent="0.2">
      <c r="A4174" s="13"/>
      <c r="B4174" s="14"/>
      <c r="Y4174" s="23"/>
      <c r="Z4174" s="23"/>
      <c r="AC4174" s="13"/>
      <c r="AD4174" s="13"/>
      <c r="AE4174" s="13"/>
      <c r="AG4174" s="13"/>
      <c r="AH4174" s="13"/>
      <c r="AI4174" s="13"/>
      <c r="AJ4174" s="13"/>
      <c r="AK4174" s="13"/>
      <c r="AL4174" s="8"/>
      <c r="AU4174" s="13"/>
      <c r="AV4174" s="13"/>
      <c r="CU4174" s="13"/>
      <c r="DG4174" s="13"/>
    </row>
    <row r="4175" spans="1:111" x14ac:dyDescent="0.2">
      <c r="A4175" s="13"/>
      <c r="B4175" s="14"/>
      <c r="Y4175" s="23"/>
      <c r="Z4175" s="23"/>
      <c r="AC4175" s="13"/>
      <c r="AD4175" s="13"/>
      <c r="AE4175" s="13"/>
      <c r="AG4175" s="13"/>
      <c r="AH4175" s="13"/>
      <c r="AI4175" s="13"/>
      <c r="AJ4175" s="13"/>
      <c r="AK4175" s="13"/>
      <c r="AL4175" s="8"/>
      <c r="AU4175" s="13"/>
      <c r="AV4175" s="13"/>
      <c r="CU4175" s="13"/>
      <c r="DG4175" s="13"/>
    </row>
    <row r="4176" spans="1:111" x14ac:dyDescent="0.2">
      <c r="A4176" s="13"/>
      <c r="B4176" s="14"/>
      <c r="Y4176" s="23"/>
      <c r="Z4176" s="23"/>
      <c r="AC4176" s="13"/>
      <c r="AD4176" s="13"/>
      <c r="AE4176" s="13"/>
      <c r="AG4176" s="13"/>
      <c r="AH4176" s="13"/>
      <c r="AI4176" s="13"/>
      <c r="AJ4176" s="13"/>
      <c r="AK4176" s="13"/>
      <c r="AL4176" s="8"/>
      <c r="AU4176" s="13"/>
      <c r="AV4176" s="13"/>
      <c r="CU4176" s="13"/>
      <c r="DG4176" s="13"/>
    </row>
    <row r="4177" spans="1:111" x14ac:dyDescent="0.2">
      <c r="A4177" s="13"/>
      <c r="B4177" s="14"/>
      <c r="Y4177" s="23"/>
      <c r="Z4177" s="23"/>
      <c r="AC4177" s="13"/>
      <c r="AD4177" s="13"/>
      <c r="AE4177" s="13"/>
      <c r="AG4177" s="13"/>
      <c r="AH4177" s="13"/>
      <c r="AI4177" s="13"/>
      <c r="AJ4177" s="13"/>
      <c r="AK4177" s="13"/>
      <c r="AL4177" s="8"/>
      <c r="AU4177" s="13"/>
      <c r="AV4177" s="13"/>
      <c r="CU4177" s="13"/>
      <c r="DG4177" s="13"/>
    </row>
    <row r="4178" spans="1:111" x14ac:dyDescent="0.2">
      <c r="A4178" s="13"/>
      <c r="B4178" s="14"/>
      <c r="Y4178" s="23"/>
      <c r="Z4178" s="23"/>
      <c r="AC4178" s="13"/>
      <c r="AD4178" s="13"/>
      <c r="AE4178" s="13"/>
      <c r="AG4178" s="13"/>
      <c r="AH4178" s="13"/>
      <c r="AI4178" s="13"/>
      <c r="AJ4178" s="13"/>
      <c r="AK4178" s="13"/>
      <c r="AL4178" s="8"/>
      <c r="AU4178" s="13"/>
      <c r="AV4178" s="13"/>
      <c r="CU4178" s="13"/>
      <c r="DG4178" s="13"/>
    </row>
    <row r="4179" spans="1:111" x14ac:dyDescent="0.2">
      <c r="A4179" s="13"/>
      <c r="B4179" s="14"/>
      <c r="Y4179" s="23"/>
      <c r="Z4179" s="23"/>
      <c r="AC4179" s="13"/>
      <c r="AD4179" s="13"/>
      <c r="AE4179" s="13"/>
      <c r="AG4179" s="13"/>
      <c r="AH4179" s="13"/>
      <c r="AI4179" s="13"/>
      <c r="AJ4179" s="13"/>
      <c r="AK4179" s="13"/>
      <c r="AL4179" s="8"/>
      <c r="AU4179" s="13"/>
      <c r="AV4179" s="13"/>
      <c r="CU4179" s="13"/>
      <c r="DG4179" s="13"/>
    </row>
    <row r="4180" spans="1:111" x14ac:dyDescent="0.2">
      <c r="A4180" s="13"/>
      <c r="B4180" s="14"/>
      <c r="Y4180" s="23"/>
      <c r="Z4180" s="23"/>
      <c r="AC4180" s="13"/>
      <c r="AD4180" s="13"/>
      <c r="AE4180" s="13"/>
      <c r="AG4180" s="13"/>
      <c r="AH4180" s="13"/>
      <c r="AI4180" s="13"/>
      <c r="AJ4180" s="13"/>
      <c r="AK4180" s="13"/>
      <c r="AL4180" s="8"/>
      <c r="AU4180" s="13"/>
      <c r="AV4180" s="13"/>
      <c r="CU4180" s="13"/>
      <c r="DG4180" s="13"/>
    </row>
    <row r="4181" spans="1:111" x14ac:dyDescent="0.2">
      <c r="A4181" s="13"/>
      <c r="B4181" s="14"/>
      <c r="Y4181" s="23"/>
      <c r="Z4181" s="23"/>
      <c r="AC4181" s="13"/>
      <c r="AD4181" s="13"/>
      <c r="AE4181" s="13"/>
      <c r="AG4181" s="13"/>
      <c r="AH4181" s="13"/>
      <c r="AI4181" s="13"/>
      <c r="AJ4181" s="13"/>
      <c r="AK4181" s="13"/>
      <c r="AL4181" s="8"/>
      <c r="AU4181" s="13"/>
      <c r="AV4181" s="13"/>
      <c r="CU4181" s="13"/>
      <c r="DG4181" s="13"/>
    </row>
    <row r="4182" spans="1:111" x14ac:dyDescent="0.2">
      <c r="A4182" s="13"/>
      <c r="B4182" s="14"/>
      <c r="AC4182" s="13"/>
      <c r="AD4182" s="13"/>
      <c r="AE4182" s="13"/>
      <c r="AG4182" s="13"/>
      <c r="AH4182" s="13"/>
      <c r="AI4182" s="13"/>
      <c r="AJ4182" s="13"/>
      <c r="AK4182" s="13"/>
      <c r="AL4182" s="8"/>
      <c r="AU4182" s="13"/>
      <c r="AV4182" s="13"/>
      <c r="CU4182" s="13"/>
      <c r="DG4182" s="13"/>
    </row>
    <row r="4183" spans="1:111" x14ac:dyDescent="0.2">
      <c r="A4183" s="13"/>
      <c r="B4183" s="14"/>
      <c r="AC4183" s="13"/>
      <c r="AD4183" s="13"/>
      <c r="AE4183" s="13"/>
      <c r="AG4183" s="13"/>
      <c r="AH4183" s="13"/>
      <c r="AI4183" s="13"/>
      <c r="AJ4183" s="13"/>
      <c r="AK4183" s="13"/>
      <c r="AL4183" s="8"/>
      <c r="AU4183" s="13"/>
      <c r="AV4183" s="13"/>
      <c r="CU4183" s="13"/>
      <c r="DG4183" s="13"/>
    </row>
    <row r="4184" spans="1:111" x14ac:dyDescent="0.2">
      <c r="A4184" s="13"/>
      <c r="B4184" s="14"/>
      <c r="AC4184" s="13"/>
      <c r="AD4184" s="13"/>
      <c r="AE4184" s="13"/>
      <c r="AG4184" s="13"/>
      <c r="AH4184" s="13"/>
      <c r="AI4184" s="13"/>
      <c r="AJ4184" s="13"/>
      <c r="AK4184" s="13"/>
      <c r="AL4184" s="8"/>
      <c r="AU4184" s="13"/>
      <c r="AV4184" s="13"/>
      <c r="CU4184" s="13"/>
      <c r="DG4184" s="13"/>
    </row>
    <row r="4185" spans="1:111" x14ac:dyDescent="0.2">
      <c r="A4185" s="13"/>
      <c r="B4185" s="14"/>
      <c r="AC4185" s="13"/>
      <c r="AD4185" s="13"/>
      <c r="AE4185" s="13"/>
      <c r="AG4185" s="13"/>
      <c r="AH4185" s="13"/>
      <c r="AI4185" s="13"/>
      <c r="AJ4185" s="13"/>
      <c r="AK4185" s="13"/>
      <c r="AL4185" s="8"/>
      <c r="AU4185" s="13"/>
      <c r="AV4185" s="13"/>
      <c r="CU4185" s="13"/>
      <c r="DG4185" s="13"/>
    </row>
    <row r="4186" spans="1:111" x14ac:dyDescent="0.2">
      <c r="A4186" s="13"/>
      <c r="B4186" s="14"/>
      <c r="AC4186" s="13"/>
      <c r="AD4186" s="13"/>
      <c r="AE4186" s="13"/>
      <c r="AG4186" s="13"/>
      <c r="AH4186" s="13"/>
      <c r="AI4186" s="13"/>
      <c r="AJ4186" s="13"/>
      <c r="AK4186" s="13"/>
      <c r="AL4186" s="8"/>
      <c r="AU4186" s="13"/>
      <c r="AV4186" s="13"/>
      <c r="CU4186" s="13"/>
      <c r="DG4186" s="13"/>
    </row>
    <row r="4187" spans="1:111" x14ac:dyDescent="0.2">
      <c r="A4187" s="13"/>
      <c r="B4187" s="14"/>
      <c r="C4187" s="13"/>
      <c r="E4187" s="13"/>
      <c r="N4187" s="13"/>
      <c r="O4187" s="13"/>
      <c r="P4187" s="13"/>
      <c r="Q4187" s="13"/>
      <c r="R4187" s="13"/>
      <c r="S4187" s="13"/>
      <c r="T4187" s="13"/>
      <c r="U4187" s="13"/>
      <c r="V4187" s="13"/>
      <c r="AC4187" s="13"/>
      <c r="AD4187" s="13"/>
      <c r="AE4187" s="13"/>
      <c r="AG4187" s="13"/>
      <c r="AH4187" s="13"/>
      <c r="AI4187" s="13"/>
      <c r="AJ4187" s="13"/>
      <c r="AK4187" s="13"/>
      <c r="AL4187" s="8"/>
      <c r="AU4187" s="13"/>
      <c r="AV4187" s="13"/>
      <c r="CU4187" s="13"/>
      <c r="DG4187" s="13"/>
    </row>
    <row r="4188" spans="1:111" x14ac:dyDescent="0.2">
      <c r="A4188" s="13"/>
      <c r="B4188" s="14"/>
      <c r="C4188" s="13"/>
      <c r="E4188" s="13"/>
      <c r="N4188" s="13"/>
      <c r="O4188" s="13"/>
      <c r="P4188" s="13"/>
      <c r="Q4188" s="13"/>
      <c r="R4188" s="13"/>
      <c r="S4188" s="13"/>
      <c r="T4188" s="13"/>
      <c r="U4188" s="13"/>
      <c r="V4188" s="13"/>
      <c r="AC4188" s="13"/>
      <c r="AD4188" s="13"/>
      <c r="AE4188" s="13"/>
      <c r="AG4188" s="13"/>
      <c r="AH4188" s="13"/>
      <c r="AI4188" s="13"/>
      <c r="AJ4188" s="13"/>
      <c r="AK4188" s="13"/>
      <c r="AL4188" s="8"/>
      <c r="AU4188" s="13"/>
      <c r="AV4188" s="13"/>
      <c r="CU4188" s="13"/>
      <c r="DG4188" s="13"/>
    </row>
    <row r="4189" spans="1:111" x14ac:dyDescent="0.2">
      <c r="A4189" s="13"/>
      <c r="B4189" s="14"/>
      <c r="C4189" s="13"/>
      <c r="E4189" s="13"/>
      <c r="N4189" s="13"/>
      <c r="O4189" s="13"/>
      <c r="P4189" s="13"/>
      <c r="Q4189" s="13"/>
      <c r="R4189" s="13"/>
      <c r="S4189" s="13"/>
      <c r="T4189" s="13"/>
      <c r="U4189" s="13"/>
      <c r="V4189" s="13"/>
      <c r="AC4189" s="13"/>
      <c r="AD4189" s="13"/>
      <c r="AE4189" s="13"/>
      <c r="AG4189" s="13"/>
      <c r="AH4189" s="13"/>
      <c r="AI4189" s="13"/>
      <c r="AJ4189" s="13"/>
      <c r="AK4189" s="13"/>
      <c r="AL4189" s="8"/>
      <c r="AU4189" s="13"/>
      <c r="AV4189" s="13"/>
      <c r="CU4189" s="13"/>
      <c r="DG4189" s="13"/>
    </row>
    <row r="4190" spans="1:111" x14ac:dyDescent="0.2">
      <c r="A4190" s="13"/>
      <c r="B4190" s="14"/>
      <c r="C4190" s="13"/>
      <c r="E4190" s="13"/>
      <c r="N4190" s="13"/>
      <c r="O4190" s="13"/>
      <c r="P4190" s="13"/>
      <c r="Q4190" s="13"/>
      <c r="R4190" s="13"/>
      <c r="S4190" s="13"/>
      <c r="T4190" s="13"/>
      <c r="U4190" s="13"/>
      <c r="V4190" s="13"/>
      <c r="AC4190" s="13"/>
      <c r="AD4190" s="13"/>
      <c r="AE4190" s="13"/>
      <c r="AG4190" s="13"/>
      <c r="AH4190" s="13"/>
      <c r="AI4190" s="13"/>
      <c r="AJ4190" s="13"/>
      <c r="AK4190" s="13"/>
      <c r="AL4190" s="8"/>
      <c r="AU4190" s="13"/>
      <c r="AV4190" s="13"/>
      <c r="CU4190" s="13"/>
      <c r="DG4190" s="13"/>
    </row>
    <row r="4191" spans="1:111" x14ac:dyDescent="0.2">
      <c r="A4191" s="13"/>
      <c r="B4191" s="14"/>
      <c r="C4191" s="13"/>
      <c r="E4191" s="13"/>
      <c r="N4191" s="13"/>
      <c r="O4191" s="13"/>
      <c r="P4191" s="13"/>
      <c r="Q4191" s="13"/>
      <c r="R4191" s="13"/>
      <c r="S4191" s="13"/>
      <c r="T4191" s="13"/>
      <c r="U4191" s="13"/>
      <c r="V4191" s="13"/>
      <c r="AC4191" s="13"/>
      <c r="AD4191" s="13"/>
      <c r="AE4191" s="13"/>
      <c r="AG4191" s="13"/>
      <c r="AH4191" s="13"/>
      <c r="AI4191" s="13"/>
      <c r="AJ4191" s="13"/>
      <c r="AK4191" s="13"/>
      <c r="AL4191" s="8"/>
      <c r="AU4191" s="13"/>
      <c r="AV4191" s="13"/>
      <c r="CU4191" s="13"/>
      <c r="DG4191" s="13"/>
    </row>
    <row r="4192" spans="1:111" x14ac:dyDescent="0.2">
      <c r="A4192" s="13"/>
      <c r="B4192" s="14"/>
      <c r="C4192" s="13"/>
      <c r="E4192" s="13"/>
      <c r="N4192" s="13"/>
      <c r="O4192" s="13"/>
      <c r="P4192" s="13"/>
      <c r="Q4192" s="13"/>
      <c r="R4192" s="13"/>
      <c r="S4192" s="13"/>
      <c r="T4192" s="13"/>
      <c r="U4192" s="13"/>
      <c r="V4192" s="13"/>
      <c r="AC4192" s="13"/>
      <c r="AD4192" s="13"/>
      <c r="AE4192" s="13"/>
      <c r="AG4192" s="13"/>
      <c r="AH4192" s="13"/>
      <c r="AI4192" s="13"/>
      <c r="AJ4192" s="13"/>
      <c r="AK4192" s="13"/>
      <c r="AL4192" s="8"/>
      <c r="AU4192" s="13"/>
      <c r="AV4192" s="13"/>
      <c r="CU4192" s="13"/>
      <c r="DG4192" s="13"/>
    </row>
    <row r="4193" spans="1:111" x14ac:dyDescent="0.2">
      <c r="A4193" s="13"/>
      <c r="B4193" s="14"/>
      <c r="C4193" s="13"/>
      <c r="E4193" s="13"/>
      <c r="N4193" s="13"/>
      <c r="O4193" s="13"/>
      <c r="P4193" s="13"/>
      <c r="Q4193" s="13"/>
      <c r="R4193" s="13"/>
      <c r="S4193" s="13"/>
      <c r="T4193" s="13"/>
      <c r="U4193" s="13"/>
      <c r="V4193" s="13"/>
      <c r="AC4193" s="13"/>
      <c r="AD4193" s="13"/>
      <c r="AE4193" s="13"/>
      <c r="AG4193" s="13"/>
      <c r="AH4193" s="13"/>
      <c r="AI4193" s="13"/>
      <c r="AJ4193" s="13"/>
      <c r="AK4193" s="13"/>
      <c r="AL4193" s="8"/>
      <c r="AU4193" s="13"/>
      <c r="AV4193" s="13"/>
      <c r="CU4193" s="13"/>
      <c r="DG4193" s="13"/>
    </row>
    <row r="4194" spans="1:111" x14ac:dyDescent="0.2">
      <c r="A4194" s="13"/>
      <c r="B4194" s="14"/>
      <c r="C4194" s="13"/>
      <c r="E4194" s="13"/>
      <c r="N4194" s="13"/>
      <c r="O4194" s="13"/>
      <c r="P4194" s="13"/>
      <c r="Q4194" s="13"/>
      <c r="R4194" s="13"/>
      <c r="S4194" s="13"/>
      <c r="T4194" s="13"/>
      <c r="U4194" s="13"/>
      <c r="V4194" s="13"/>
      <c r="AC4194" s="13"/>
      <c r="AD4194" s="13"/>
      <c r="AE4194" s="13"/>
      <c r="AG4194" s="13"/>
      <c r="AH4194" s="13"/>
      <c r="AI4194" s="13"/>
      <c r="AJ4194" s="13"/>
      <c r="AK4194" s="13"/>
      <c r="AL4194" s="8"/>
      <c r="AU4194" s="13"/>
      <c r="AV4194" s="13"/>
      <c r="CU4194" s="13"/>
      <c r="DG4194" s="13"/>
    </row>
    <row r="4195" spans="1:111" x14ac:dyDescent="0.2">
      <c r="A4195" s="13"/>
      <c r="B4195" s="14"/>
      <c r="C4195" s="13"/>
      <c r="E4195" s="13"/>
      <c r="N4195" s="13"/>
      <c r="O4195" s="13"/>
      <c r="P4195" s="13"/>
      <c r="Q4195" s="13"/>
      <c r="R4195" s="13"/>
      <c r="S4195" s="13"/>
      <c r="T4195" s="13"/>
      <c r="U4195" s="13"/>
      <c r="V4195" s="13"/>
      <c r="AC4195" s="13"/>
      <c r="AD4195" s="13"/>
      <c r="AE4195" s="13"/>
      <c r="AG4195" s="13"/>
      <c r="AH4195" s="13"/>
      <c r="AI4195" s="13"/>
      <c r="AJ4195" s="13"/>
      <c r="AK4195" s="13"/>
      <c r="AL4195" s="8"/>
      <c r="AU4195" s="13"/>
      <c r="AV4195" s="13"/>
      <c r="CU4195" s="13"/>
      <c r="DG4195" s="13"/>
    </row>
    <row r="4196" spans="1:111" x14ac:dyDescent="0.2">
      <c r="A4196" s="13"/>
      <c r="B4196" s="14"/>
      <c r="C4196" s="13"/>
      <c r="E4196" s="13"/>
      <c r="N4196" s="13"/>
      <c r="O4196" s="13"/>
      <c r="P4196" s="13"/>
      <c r="Q4196" s="13"/>
      <c r="R4196" s="13"/>
      <c r="S4196" s="13"/>
      <c r="T4196" s="13"/>
      <c r="U4196" s="13"/>
      <c r="V4196" s="13"/>
      <c r="AC4196" s="13"/>
      <c r="AD4196" s="13"/>
      <c r="AE4196" s="13"/>
      <c r="AG4196" s="13"/>
      <c r="AH4196" s="13"/>
      <c r="AI4196" s="13"/>
      <c r="AJ4196" s="13"/>
      <c r="AK4196" s="13"/>
      <c r="AL4196" s="8"/>
      <c r="AU4196" s="13"/>
      <c r="AV4196" s="13"/>
      <c r="CU4196" s="13"/>
      <c r="DG4196" s="13"/>
    </row>
    <row r="4197" spans="1:111" x14ac:dyDescent="0.2">
      <c r="A4197" s="13"/>
      <c r="B4197" s="14"/>
      <c r="C4197" s="13"/>
      <c r="E4197" s="13"/>
      <c r="N4197" s="13"/>
      <c r="O4197" s="13"/>
      <c r="P4197" s="13"/>
      <c r="Q4197" s="13"/>
      <c r="R4197" s="13"/>
      <c r="S4197" s="13"/>
      <c r="T4197" s="13"/>
      <c r="U4197" s="13"/>
      <c r="V4197" s="13"/>
      <c r="AC4197" s="13"/>
      <c r="AD4197" s="13"/>
      <c r="AE4197" s="13"/>
      <c r="AG4197" s="13"/>
      <c r="AH4197" s="13"/>
      <c r="AI4197" s="13"/>
      <c r="AJ4197" s="13"/>
      <c r="AK4197" s="13"/>
      <c r="AL4197" s="8"/>
      <c r="AU4197" s="13"/>
      <c r="AV4197" s="13"/>
      <c r="CU4197" s="13"/>
      <c r="DG4197" s="13"/>
    </row>
    <row r="4198" spans="1:111" x14ac:dyDescent="0.2">
      <c r="A4198" s="13"/>
      <c r="B4198" s="14"/>
      <c r="C4198" s="13"/>
      <c r="E4198" s="13"/>
      <c r="N4198" s="13"/>
      <c r="O4198" s="13"/>
      <c r="P4198" s="13"/>
      <c r="Q4198" s="13"/>
      <c r="R4198" s="13"/>
      <c r="S4198" s="13"/>
      <c r="T4198" s="13"/>
      <c r="U4198" s="13"/>
      <c r="V4198" s="13"/>
      <c r="AC4198" s="13"/>
      <c r="AD4198" s="13"/>
      <c r="AE4198" s="13"/>
      <c r="AG4198" s="13"/>
      <c r="AH4198" s="13"/>
      <c r="AI4198" s="13"/>
      <c r="AJ4198" s="13"/>
      <c r="AK4198" s="13"/>
      <c r="AL4198" s="8"/>
      <c r="AU4198" s="13"/>
      <c r="AV4198" s="13"/>
      <c r="CU4198" s="13"/>
      <c r="DG4198" s="13"/>
    </row>
    <row r="4199" spans="1:111" x14ac:dyDescent="0.2">
      <c r="A4199" s="13"/>
      <c r="B4199" s="14"/>
      <c r="C4199" s="13"/>
      <c r="E4199" s="13"/>
      <c r="N4199" s="13"/>
      <c r="O4199" s="13"/>
      <c r="P4199" s="13"/>
      <c r="Q4199" s="13"/>
      <c r="R4199" s="13"/>
      <c r="S4199" s="13"/>
      <c r="T4199" s="13"/>
      <c r="U4199" s="13"/>
      <c r="V4199" s="13"/>
      <c r="AC4199" s="13"/>
      <c r="AD4199" s="13"/>
      <c r="AE4199" s="13"/>
      <c r="AG4199" s="13"/>
      <c r="AH4199" s="13"/>
      <c r="AI4199" s="13"/>
      <c r="AJ4199" s="13"/>
      <c r="AK4199" s="13"/>
      <c r="AL4199" s="8"/>
      <c r="AU4199" s="13"/>
      <c r="AV4199" s="13"/>
      <c r="CU4199" s="13"/>
      <c r="DG4199" s="13"/>
    </row>
    <row r="4200" spans="1:111" x14ac:dyDescent="0.2">
      <c r="A4200" s="13"/>
      <c r="B4200" s="14"/>
      <c r="C4200" s="13"/>
      <c r="E4200" s="13"/>
      <c r="N4200" s="13"/>
      <c r="O4200" s="13"/>
      <c r="P4200" s="13"/>
      <c r="Q4200" s="13"/>
      <c r="R4200" s="13"/>
      <c r="S4200" s="13"/>
      <c r="T4200" s="13"/>
      <c r="U4200" s="13"/>
      <c r="V4200" s="13"/>
      <c r="AC4200" s="13"/>
      <c r="AD4200" s="13"/>
      <c r="AE4200" s="13"/>
      <c r="AG4200" s="13"/>
      <c r="AH4200" s="13"/>
      <c r="AI4200" s="13"/>
      <c r="AJ4200" s="13"/>
      <c r="AK4200" s="13"/>
      <c r="AL4200" s="8"/>
      <c r="AU4200" s="13"/>
      <c r="AV4200" s="13"/>
      <c r="CU4200" s="13"/>
      <c r="DG4200" s="13"/>
    </row>
    <row r="4201" spans="1:111" x14ac:dyDescent="0.2">
      <c r="A4201" s="13"/>
      <c r="B4201" s="14"/>
      <c r="C4201" s="13"/>
      <c r="E4201" s="13"/>
      <c r="N4201" s="13"/>
      <c r="O4201" s="13"/>
      <c r="P4201" s="13"/>
      <c r="Q4201" s="13"/>
      <c r="R4201" s="13"/>
      <c r="S4201" s="13"/>
      <c r="T4201" s="13"/>
      <c r="U4201" s="13"/>
      <c r="V4201" s="13"/>
      <c r="AC4201" s="13"/>
      <c r="AD4201" s="13"/>
      <c r="AE4201" s="13"/>
      <c r="AG4201" s="13"/>
      <c r="AH4201" s="13"/>
      <c r="AI4201" s="13"/>
      <c r="AJ4201" s="13"/>
      <c r="AK4201" s="13"/>
      <c r="AL4201" s="8"/>
      <c r="AU4201" s="13"/>
      <c r="AV4201" s="13"/>
      <c r="CU4201" s="13"/>
      <c r="DG4201" s="13"/>
    </row>
    <row r="4202" spans="1:111" x14ac:dyDescent="0.2">
      <c r="A4202" s="13"/>
      <c r="B4202" s="14"/>
      <c r="C4202" s="13"/>
      <c r="E4202" s="13"/>
      <c r="N4202" s="13"/>
      <c r="O4202" s="13"/>
      <c r="P4202" s="13"/>
      <c r="Q4202" s="13"/>
      <c r="R4202" s="13"/>
      <c r="S4202" s="13"/>
      <c r="T4202" s="13"/>
      <c r="U4202" s="13"/>
      <c r="V4202" s="13"/>
      <c r="AC4202" s="13"/>
      <c r="AD4202" s="13"/>
      <c r="AE4202" s="13"/>
      <c r="AG4202" s="13"/>
      <c r="AH4202" s="13"/>
      <c r="AI4202" s="13"/>
      <c r="AJ4202" s="13"/>
      <c r="AK4202" s="13"/>
      <c r="AL4202" s="8"/>
      <c r="AU4202" s="13"/>
      <c r="AV4202" s="13"/>
      <c r="CU4202" s="13"/>
      <c r="DG4202" s="13"/>
    </row>
    <row r="4203" spans="1:111" x14ac:dyDescent="0.2">
      <c r="A4203" s="13"/>
      <c r="B4203" s="14"/>
      <c r="C4203" s="13"/>
      <c r="E4203" s="13"/>
      <c r="N4203" s="13"/>
      <c r="O4203" s="13"/>
      <c r="P4203" s="13"/>
      <c r="Q4203" s="13"/>
      <c r="R4203" s="13"/>
      <c r="S4203" s="13"/>
      <c r="T4203" s="13"/>
      <c r="U4203" s="13"/>
      <c r="V4203" s="13"/>
      <c r="AC4203" s="13"/>
      <c r="AD4203" s="13"/>
      <c r="AE4203" s="13"/>
      <c r="AG4203" s="13"/>
      <c r="AH4203" s="13"/>
      <c r="AI4203" s="13"/>
      <c r="AJ4203" s="13"/>
      <c r="AK4203" s="13"/>
      <c r="AL4203" s="8"/>
      <c r="AU4203" s="13"/>
      <c r="AV4203" s="13"/>
      <c r="CU4203" s="13"/>
      <c r="DG4203" s="13"/>
    </row>
    <row r="4204" spans="1:111" x14ac:dyDescent="0.2">
      <c r="A4204" s="13"/>
      <c r="B4204" s="14"/>
      <c r="C4204" s="13"/>
      <c r="E4204" s="13"/>
      <c r="N4204" s="13"/>
      <c r="O4204" s="13"/>
      <c r="P4204" s="13"/>
      <c r="Q4204" s="13"/>
      <c r="R4204" s="13"/>
      <c r="S4204" s="13"/>
      <c r="T4204" s="13"/>
      <c r="U4204" s="13"/>
      <c r="V4204" s="13"/>
      <c r="AC4204" s="13"/>
      <c r="AD4204" s="13"/>
      <c r="AE4204" s="13"/>
      <c r="AG4204" s="13"/>
      <c r="AH4204" s="13"/>
      <c r="AI4204" s="13"/>
      <c r="AJ4204" s="13"/>
      <c r="AK4204" s="13"/>
      <c r="AL4204" s="8"/>
      <c r="AU4204" s="13"/>
      <c r="AV4204" s="13"/>
      <c r="CU4204" s="13"/>
      <c r="DG4204" s="13"/>
    </row>
    <row r="4205" spans="1:111" x14ac:dyDescent="0.2">
      <c r="A4205" s="13"/>
      <c r="B4205" s="14"/>
      <c r="C4205" s="13"/>
      <c r="E4205" s="13"/>
      <c r="N4205" s="13"/>
      <c r="O4205" s="13"/>
      <c r="P4205" s="13"/>
      <c r="Q4205" s="13"/>
      <c r="R4205" s="13"/>
      <c r="S4205" s="13"/>
      <c r="T4205" s="13"/>
      <c r="U4205" s="13"/>
      <c r="V4205" s="13"/>
      <c r="AC4205" s="13"/>
      <c r="AD4205" s="13"/>
      <c r="AE4205" s="13"/>
      <c r="AG4205" s="13"/>
      <c r="AH4205" s="13"/>
      <c r="AI4205" s="13"/>
      <c r="AJ4205" s="13"/>
      <c r="AK4205" s="13"/>
      <c r="AL4205" s="8"/>
      <c r="AU4205" s="13"/>
      <c r="AV4205" s="13"/>
      <c r="CU4205" s="13"/>
      <c r="DG4205" s="13"/>
    </row>
    <row r="4206" spans="1:111" x14ac:dyDescent="0.2">
      <c r="A4206" s="13"/>
      <c r="B4206" s="14"/>
      <c r="C4206" s="13"/>
      <c r="E4206" s="13"/>
      <c r="N4206" s="13"/>
      <c r="O4206" s="13"/>
      <c r="P4206" s="13"/>
      <c r="Q4206" s="13"/>
      <c r="R4206" s="13"/>
      <c r="S4206" s="13"/>
      <c r="T4206" s="13"/>
      <c r="U4206" s="13"/>
      <c r="V4206" s="13"/>
      <c r="AC4206" s="13"/>
      <c r="AD4206" s="13"/>
      <c r="AE4206" s="13"/>
      <c r="AG4206" s="13"/>
      <c r="AH4206" s="13"/>
      <c r="AI4206" s="13"/>
      <c r="AJ4206" s="13"/>
      <c r="AK4206" s="13"/>
      <c r="AL4206" s="8"/>
      <c r="AU4206" s="13"/>
      <c r="AV4206" s="13"/>
      <c r="CU4206" s="13"/>
      <c r="DG4206" s="13"/>
    </row>
    <row r="4207" spans="1:111" x14ac:dyDescent="0.2">
      <c r="A4207" s="13"/>
      <c r="B4207" s="14"/>
      <c r="C4207" s="13"/>
      <c r="E4207" s="13"/>
      <c r="N4207" s="13"/>
      <c r="O4207" s="13"/>
      <c r="P4207" s="13"/>
      <c r="Q4207" s="13"/>
      <c r="R4207" s="13"/>
      <c r="S4207" s="13"/>
      <c r="T4207" s="13"/>
      <c r="U4207" s="13"/>
      <c r="V4207" s="13"/>
      <c r="AC4207" s="13"/>
      <c r="AD4207" s="13"/>
      <c r="AE4207" s="13"/>
      <c r="AG4207" s="13"/>
      <c r="AH4207" s="13"/>
      <c r="AI4207" s="13"/>
      <c r="AJ4207" s="13"/>
      <c r="AK4207" s="13"/>
      <c r="AL4207" s="8"/>
      <c r="AU4207" s="13"/>
      <c r="AV4207" s="13"/>
      <c r="CU4207" s="13"/>
      <c r="DG4207" s="13"/>
    </row>
    <row r="4208" spans="1:111" x14ac:dyDescent="0.2">
      <c r="A4208" s="13"/>
      <c r="B4208" s="14"/>
      <c r="C4208" s="13"/>
      <c r="E4208" s="13"/>
      <c r="N4208" s="13"/>
      <c r="O4208" s="13"/>
      <c r="P4208" s="13"/>
      <c r="Q4208" s="13"/>
      <c r="R4208" s="13"/>
      <c r="S4208" s="13"/>
      <c r="T4208" s="13"/>
      <c r="U4208" s="13"/>
      <c r="V4208" s="13"/>
      <c r="AC4208" s="13"/>
      <c r="AD4208" s="13"/>
      <c r="AE4208" s="13"/>
      <c r="AG4208" s="13"/>
      <c r="AH4208" s="13"/>
      <c r="AI4208" s="13"/>
      <c r="AJ4208" s="13"/>
      <c r="AK4208" s="13"/>
      <c r="AL4208" s="8"/>
      <c r="AU4208" s="13"/>
      <c r="AV4208" s="13"/>
      <c r="CU4208" s="13"/>
      <c r="DG4208" s="13"/>
    </row>
    <row r="4209" spans="1:111" x14ac:dyDescent="0.2">
      <c r="A4209" s="13"/>
      <c r="B4209" s="14"/>
      <c r="C4209" s="13"/>
      <c r="E4209" s="13"/>
      <c r="N4209" s="13"/>
      <c r="O4209" s="13"/>
      <c r="P4209" s="13"/>
      <c r="Q4209" s="13"/>
      <c r="R4209" s="13"/>
      <c r="S4209" s="13"/>
      <c r="T4209" s="13"/>
      <c r="U4209" s="13"/>
      <c r="V4209" s="13"/>
      <c r="AC4209" s="13"/>
      <c r="AD4209" s="13"/>
      <c r="AE4209" s="13"/>
      <c r="AG4209" s="13"/>
      <c r="AH4209" s="13"/>
      <c r="AI4209" s="13"/>
      <c r="AJ4209" s="13"/>
      <c r="AK4209" s="13"/>
      <c r="AL4209" s="8"/>
      <c r="AU4209" s="13"/>
      <c r="AV4209" s="13"/>
      <c r="CU4209" s="13"/>
      <c r="DG4209" s="13"/>
    </row>
    <row r="4210" spans="1:111" x14ac:dyDescent="0.2">
      <c r="A4210" s="13"/>
      <c r="B4210" s="14"/>
      <c r="C4210" s="13"/>
      <c r="E4210" s="13"/>
      <c r="N4210" s="13"/>
      <c r="O4210" s="13"/>
      <c r="P4210" s="13"/>
      <c r="Q4210" s="13"/>
      <c r="R4210" s="13"/>
      <c r="S4210" s="13"/>
      <c r="T4210" s="13"/>
      <c r="U4210" s="13"/>
      <c r="V4210" s="13"/>
      <c r="AC4210" s="13"/>
      <c r="AD4210" s="13"/>
      <c r="AE4210" s="13"/>
      <c r="AG4210" s="13"/>
      <c r="AH4210" s="13"/>
      <c r="AI4210" s="13"/>
      <c r="AJ4210" s="13"/>
      <c r="AK4210" s="13"/>
      <c r="AL4210" s="8"/>
      <c r="AU4210" s="13"/>
      <c r="AV4210" s="13"/>
      <c r="CU4210" s="13"/>
      <c r="DG4210" s="13"/>
    </row>
    <row r="4211" spans="1:111" x14ac:dyDescent="0.2">
      <c r="A4211" s="13"/>
      <c r="B4211" s="14"/>
      <c r="C4211" s="13"/>
      <c r="E4211" s="13"/>
      <c r="N4211" s="13"/>
      <c r="O4211" s="13"/>
      <c r="P4211" s="13"/>
      <c r="Q4211" s="13"/>
      <c r="R4211" s="13"/>
      <c r="S4211" s="13"/>
      <c r="T4211" s="13"/>
      <c r="U4211" s="13"/>
      <c r="V4211" s="13"/>
      <c r="AC4211" s="13"/>
      <c r="AD4211" s="13"/>
      <c r="AE4211" s="13"/>
      <c r="AG4211" s="13"/>
      <c r="AH4211" s="13"/>
      <c r="AI4211" s="13"/>
      <c r="AJ4211" s="13"/>
      <c r="AK4211" s="13"/>
      <c r="AL4211" s="8"/>
      <c r="AU4211" s="13"/>
      <c r="AV4211" s="13"/>
      <c r="CU4211" s="13"/>
      <c r="DG4211" s="13"/>
    </row>
    <row r="4212" spans="1:111" x14ac:dyDescent="0.2">
      <c r="A4212" s="13"/>
      <c r="B4212" s="14"/>
      <c r="C4212" s="13"/>
      <c r="E4212" s="13"/>
      <c r="N4212" s="13"/>
      <c r="O4212" s="13"/>
      <c r="P4212" s="13"/>
      <c r="Q4212" s="13"/>
      <c r="R4212" s="13"/>
      <c r="S4212" s="13"/>
      <c r="T4212" s="13"/>
      <c r="U4212" s="13"/>
      <c r="V4212" s="13"/>
      <c r="AC4212" s="13"/>
      <c r="AD4212" s="13"/>
      <c r="AE4212" s="13"/>
      <c r="AG4212" s="13"/>
      <c r="AH4212" s="13"/>
      <c r="AI4212" s="13"/>
      <c r="AJ4212" s="13"/>
      <c r="AK4212" s="13"/>
      <c r="AL4212" s="8"/>
      <c r="AU4212" s="13"/>
      <c r="AV4212" s="13"/>
      <c r="CU4212" s="13"/>
      <c r="DG4212" s="13"/>
    </row>
    <row r="4213" spans="1:111" x14ac:dyDescent="0.2">
      <c r="A4213" s="13"/>
      <c r="B4213" s="14"/>
      <c r="C4213" s="13"/>
      <c r="E4213" s="13"/>
      <c r="N4213" s="13"/>
      <c r="O4213" s="13"/>
      <c r="P4213" s="13"/>
      <c r="Q4213" s="13"/>
      <c r="R4213" s="13"/>
      <c r="S4213" s="13"/>
      <c r="T4213" s="13"/>
      <c r="U4213" s="13"/>
      <c r="V4213" s="13"/>
      <c r="AC4213" s="13"/>
      <c r="AD4213" s="13"/>
      <c r="AE4213" s="13"/>
      <c r="AG4213" s="13"/>
      <c r="AH4213" s="13"/>
      <c r="AI4213" s="13"/>
      <c r="AJ4213" s="13"/>
      <c r="AK4213" s="13"/>
      <c r="AL4213" s="8"/>
      <c r="AU4213" s="13"/>
      <c r="AV4213" s="13"/>
      <c r="CU4213" s="13"/>
      <c r="DG4213" s="13"/>
    </row>
    <row r="4214" spans="1:111" x14ac:dyDescent="0.2">
      <c r="A4214" s="13"/>
      <c r="B4214" s="14"/>
      <c r="C4214" s="13"/>
      <c r="E4214" s="13"/>
      <c r="N4214" s="13"/>
      <c r="O4214" s="13"/>
      <c r="P4214" s="13"/>
      <c r="Q4214" s="13"/>
      <c r="R4214" s="13"/>
      <c r="S4214" s="13"/>
      <c r="T4214" s="13"/>
      <c r="U4214" s="13"/>
      <c r="V4214" s="13"/>
      <c r="AC4214" s="13"/>
      <c r="AD4214" s="13"/>
      <c r="AE4214" s="13"/>
      <c r="AG4214" s="13"/>
      <c r="AH4214" s="13"/>
      <c r="AI4214" s="13"/>
      <c r="AJ4214" s="13"/>
      <c r="AK4214" s="13"/>
      <c r="AL4214" s="8"/>
      <c r="AU4214" s="13"/>
      <c r="AV4214" s="13"/>
      <c r="CU4214" s="13"/>
      <c r="DG4214" s="13"/>
    </row>
    <row r="4215" spans="1:111" x14ac:dyDescent="0.2">
      <c r="A4215" s="13"/>
      <c r="B4215" s="14"/>
      <c r="C4215" s="13"/>
      <c r="E4215" s="13"/>
      <c r="N4215" s="13"/>
      <c r="O4215" s="13"/>
      <c r="P4215" s="13"/>
      <c r="Q4215" s="13"/>
      <c r="R4215" s="13"/>
      <c r="S4215" s="13"/>
      <c r="T4215" s="13"/>
      <c r="U4215" s="13"/>
      <c r="V4215" s="13"/>
      <c r="AC4215" s="13"/>
      <c r="AD4215" s="13"/>
      <c r="AE4215" s="13"/>
      <c r="AG4215" s="13"/>
      <c r="AH4215" s="13"/>
      <c r="AI4215" s="13"/>
      <c r="AJ4215" s="13"/>
      <c r="AK4215" s="13"/>
      <c r="AL4215" s="8"/>
      <c r="AU4215" s="13"/>
      <c r="AV4215" s="13"/>
      <c r="CU4215" s="13"/>
      <c r="DG4215" s="13"/>
    </row>
    <row r="4216" spans="1:111" x14ac:dyDescent="0.2">
      <c r="A4216" s="13"/>
      <c r="B4216" s="14"/>
      <c r="C4216" s="13"/>
      <c r="E4216" s="13"/>
      <c r="N4216" s="13"/>
      <c r="O4216" s="13"/>
      <c r="P4216" s="13"/>
      <c r="Q4216" s="13"/>
      <c r="R4216" s="13"/>
      <c r="S4216" s="13"/>
      <c r="T4216" s="13"/>
      <c r="U4216" s="13"/>
      <c r="V4216" s="13"/>
      <c r="AC4216" s="13"/>
      <c r="AD4216" s="13"/>
      <c r="AE4216" s="13"/>
      <c r="AG4216" s="13"/>
      <c r="AH4216" s="13"/>
      <c r="AI4216" s="13"/>
      <c r="AJ4216" s="13"/>
      <c r="AK4216" s="13"/>
      <c r="AL4216" s="8"/>
      <c r="AU4216" s="13"/>
      <c r="AV4216" s="13"/>
      <c r="CU4216" s="13"/>
      <c r="DG4216" s="13"/>
    </row>
    <row r="4217" spans="1:111" x14ac:dyDescent="0.2">
      <c r="A4217" s="13"/>
      <c r="B4217" s="14"/>
      <c r="C4217" s="13"/>
      <c r="E4217" s="13"/>
      <c r="N4217" s="13"/>
      <c r="O4217" s="13"/>
      <c r="P4217" s="13"/>
      <c r="Q4217" s="13"/>
      <c r="R4217" s="13"/>
      <c r="S4217" s="13"/>
      <c r="T4217" s="13"/>
      <c r="U4217" s="13"/>
      <c r="V4217" s="13"/>
      <c r="AC4217" s="13"/>
      <c r="AD4217" s="13"/>
      <c r="AE4217" s="13"/>
      <c r="AG4217" s="13"/>
      <c r="AH4217" s="13"/>
      <c r="AI4217" s="13"/>
      <c r="AJ4217" s="13"/>
      <c r="AK4217" s="13"/>
      <c r="AL4217" s="8"/>
      <c r="AU4217" s="13"/>
      <c r="AV4217" s="13"/>
      <c r="CU4217" s="13"/>
      <c r="DG4217" s="13"/>
    </row>
    <row r="4218" spans="1:111" x14ac:dyDescent="0.2">
      <c r="A4218" s="13"/>
      <c r="B4218" s="14"/>
      <c r="C4218" s="13"/>
      <c r="E4218" s="13"/>
      <c r="N4218" s="13"/>
      <c r="O4218" s="13"/>
      <c r="P4218" s="13"/>
      <c r="Q4218" s="13"/>
      <c r="R4218" s="13"/>
      <c r="S4218" s="13"/>
      <c r="T4218" s="13"/>
      <c r="U4218" s="13"/>
      <c r="V4218" s="13"/>
      <c r="AC4218" s="13"/>
      <c r="AD4218" s="13"/>
      <c r="AE4218" s="13"/>
      <c r="AG4218" s="13"/>
      <c r="AH4218" s="13"/>
      <c r="AI4218" s="13"/>
      <c r="AJ4218" s="13"/>
      <c r="AK4218" s="13"/>
      <c r="AL4218" s="8"/>
      <c r="AU4218" s="13"/>
      <c r="AV4218" s="13"/>
      <c r="CU4218" s="13"/>
      <c r="DG4218" s="13"/>
    </row>
    <row r="4219" spans="1:111" x14ac:dyDescent="0.2">
      <c r="A4219" s="13"/>
      <c r="B4219" s="14"/>
      <c r="C4219" s="13"/>
      <c r="E4219" s="13"/>
      <c r="N4219" s="13"/>
      <c r="O4219" s="13"/>
      <c r="P4219" s="13"/>
      <c r="Q4219" s="13"/>
      <c r="R4219" s="13"/>
      <c r="S4219" s="13"/>
      <c r="T4219" s="13"/>
      <c r="U4219" s="13"/>
      <c r="V4219" s="13"/>
      <c r="AC4219" s="13"/>
      <c r="AD4219" s="13"/>
      <c r="AE4219" s="13"/>
      <c r="AG4219" s="13"/>
      <c r="AH4219" s="13"/>
      <c r="AI4219" s="13"/>
      <c r="AJ4219" s="13"/>
      <c r="AK4219" s="13"/>
      <c r="AL4219" s="8"/>
      <c r="AU4219" s="13"/>
      <c r="AV4219" s="13"/>
      <c r="CU4219" s="13"/>
      <c r="DG4219" s="13"/>
    </row>
    <row r="4220" spans="1:111" x14ac:dyDescent="0.2">
      <c r="A4220" s="13"/>
      <c r="B4220" s="14"/>
      <c r="C4220" s="13"/>
      <c r="E4220" s="13"/>
      <c r="N4220" s="13"/>
      <c r="O4220" s="13"/>
      <c r="P4220" s="13"/>
      <c r="Q4220" s="13"/>
      <c r="R4220" s="13"/>
      <c r="S4220" s="13"/>
      <c r="T4220" s="13"/>
      <c r="U4220" s="13"/>
      <c r="V4220" s="13"/>
      <c r="AC4220" s="13"/>
      <c r="AD4220" s="13"/>
      <c r="AE4220" s="13"/>
      <c r="AG4220" s="13"/>
      <c r="AH4220" s="13"/>
      <c r="AI4220" s="13"/>
      <c r="AJ4220" s="13"/>
      <c r="AK4220" s="13"/>
      <c r="AL4220" s="8"/>
      <c r="AU4220" s="13"/>
      <c r="AV4220" s="13"/>
      <c r="CU4220" s="13"/>
      <c r="DG4220" s="13"/>
    </row>
    <row r="4221" spans="1:111" x14ac:dyDescent="0.2">
      <c r="A4221" s="13"/>
      <c r="B4221" s="14"/>
      <c r="C4221" s="13"/>
      <c r="E4221" s="13"/>
      <c r="N4221" s="13"/>
      <c r="O4221" s="13"/>
      <c r="P4221" s="13"/>
      <c r="Q4221" s="13"/>
      <c r="R4221" s="13"/>
      <c r="S4221" s="13"/>
      <c r="T4221" s="13"/>
      <c r="U4221" s="13"/>
      <c r="V4221" s="13"/>
      <c r="AC4221" s="13"/>
      <c r="AD4221" s="13"/>
      <c r="AE4221" s="13"/>
      <c r="AG4221" s="13"/>
      <c r="AH4221" s="13"/>
      <c r="AI4221" s="13"/>
      <c r="AJ4221" s="13"/>
      <c r="AK4221" s="13"/>
      <c r="AL4221" s="8"/>
      <c r="AU4221" s="13"/>
      <c r="AV4221" s="13"/>
      <c r="CU4221" s="13"/>
      <c r="DG4221" s="13"/>
    </row>
    <row r="4222" spans="1:111" x14ac:dyDescent="0.2">
      <c r="A4222" s="13"/>
      <c r="B4222" s="14"/>
      <c r="C4222" s="13"/>
      <c r="E4222" s="13"/>
      <c r="N4222" s="13"/>
      <c r="O4222" s="13"/>
      <c r="P4222" s="13"/>
      <c r="Q4222" s="13"/>
      <c r="R4222" s="13"/>
      <c r="S4222" s="13"/>
      <c r="T4222" s="13"/>
      <c r="U4222" s="13"/>
      <c r="V4222" s="13"/>
      <c r="AC4222" s="13"/>
      <c r="AD4222" s="13"/>
      <c r="AE4222" s="13"/>
      <c r="AG4222" s="13"/>
      <c r="AH4222" s="13"/>
      <c r="AI4222" s="13"/>
      <c r="AJ4222" s="13"/>
      <c r="AK4222" s="13"/>
      <c r="AL4222" s="8"/>
      <c r="AU4222" s="13"/>
      <c r="AV4222" s="13"/>
      <c r="CU4222" s="13"/>
      <c r="DG4222" s="13"/>
    </row>
    <row r="4223" spans="1:111" x14ac:dyDescent="0.2">
      <c r="A4223" s="13"/>
      <c r="B4223" s="14"/>
      <c r="C4223" s="13"/>
      <c r="E4223" s="13"/>
      <c r="N4223" s="13"/>
      <c r="O4223" s="13"/>
      <c r="P4223" s="13"/>
      <c r="Q4223" s="13"/>
      <c r="R4223" s="13"/>
      <c r="S4223" s="13"/>
      <c r="T4223" s="13"/>
      <c r="U4223" s="13"/>
      <c r="V4223" s="13"/>
      <c r="AC4223" s="13"/>
      <c r="AD4223" s="13"/>
      <c r="AE4223" s="13"/>
      <c r="AG4223" s="13"/>
      <c r="AH4223" s="13"/>
      <c r="AI4223" s="13"/>
      <c r="AJ4223" s="13"/>
      <c r="AK4223" s="13"/>
      <c r="AL4223" s="8"/>
      <c r="AU4223" s="13"/>
      <c r="AV4223" s="13"/>
      <c r="CU4223" s="13"/>
      <c r="DG4223" s="13"/>
    </row>
    <row r="4224" spans="1:111" x14ac:dyDescent="0.2">
      <c r="A4224" s="13"/>
      <c r="B4224" s="14"/>
      <c r="C4224" s="13"/>
      <c r="E4224" s="13"/>
      <c r="N4224" s="13"/>
      <c r="O4224" s="13"/>
      <c r="P4224" s="13"/>
      <c r="Q4224" s="13"/>
      <c r="R4224" s="13"/>
      <c r="S4224" s="13"/>
      <c r="T4224" s="13"/>
      <c r="U4224" s="13"/>
      <c r="V4224" s="13"/>
      <c r="AC4224" s="13"/>
      <c r="AD4224" s="13"/>
      <c r="AE4224" s="13"/>
      <c r="AG4224" s="13"/>
      <c r="AH4224" s="13"/>
      <c r="AI4224" s="13"/>
      <c r="AJ4224" s="13"/>
      <c r="AK4224" s="13"/>
      <c r="AL4224" s="8"/>
      <c r="AU4224" s="13"/>
      <c r="AV4224" s="13"/>
      <c r="CU4224" s="13"/>
      <c r="DG4224" s="13"/>
    </row>
    <row r="4225" spans="1:111" x14ac:dyDescent="0.2">
      <c r="A4225" s="13"/>
      <c r="B4225" s="14"/>
      <c r="C4225" s="13"/>
      <c r="E4225" s="13"/>
      <c r="N4225" s="13"/>
      <c r="O4225" s="13"/>
      <c r="P4225" s="13"/>
      <c r="Q4225" s="13"/>
      <c r="R4225" s="13"/>
      <c r="S4225" s="13"/>
      <c r="T4225" s="13"/>
      <c r="U4225" s="13"/>
      <c r="V4225" s="13"/>
      <c r="AC4225" s="13"/>
      <c r="AD4225" s="13"/>
      <c r="AE4225" s="13"/>
      <c r="AG4225" s="13"/>
      <c r="AH4225" s="13"/>
      <c r="AI4225" s="13"/>
      <c r="AJ4225" s="13"/>
      <c r="AK4225" s="13"/>
      <c r="AL4225" s="8"/>
      <c r="AU4225" s="13"/>
      <c r="AV4225" s="13"/>
      <c r="CU4225" s="13"/>
      <c r="DG4225" s="13"/>
    </row>
    <row r="4226" spans="1:111" x14ac:dyDescent="0.2">
      <c r="A4226" s="13"/>
      <c r="B4226" s="14"/>
      <c r="C4226" s="13"/>
      <c r="E4226" s="13"/>
      <c r="N4226" s="13"/>
      <c r="O4226" s="13"/>
      <c r="P4226" s="13"/>
      <c r="Q4226" s="13"/>
      <c r="R4226" s="13"/>
      <c r="S4226" s="13"/>
      <c r="T4226" s="13"/>
      <c r="U4226" s="13"/>
      <c r="V4226" s="13"/>
      <c r="AC4226" s="13"/>
      <c r="AD4226" s="13"/>
      <c r="AE4226" s="13"/>
      <c r="AG4226" s="13"/>
      <c r="AH4226" s="13"/>
      <c r="AI4226" s="13"/>
      <c r="AJ4226" s="13"/>
      <c r="AK4226" s="13"/>
      <c r="AL4226" s="8"/>
      <c r="AU4226" s="13"/>
      <c r="AV4226" s="13"/>
      <c r="CU4226" s="13"/>
      <c r="DG4226" s="13"/>
    </row>
    <row r="4227" spans="1:111" x14ac:dyDescent="0.2">
      <c r="A4227" s="13"/>
      <c r="B4227" s="14"/>
      <c r="C4227" s="13"/>
      <c r="E4227" s="13"/>
      <c r="N4227" s="13"/>
      <c r="O4227" s="13"/>
      <c r="P4227" s="13"/>
      <c r="Q4227" s="13"/>
      <c r="R4227" s="13"/>
      <c r="S4227" s="13"/>
      <c r="T4227" s="13"/>
      <c r="U4227" s="13"/>
      <c r="V4227" s="13"/>
      <c r="AC4227" s="13"/>
      <c r="AD4227" s="13"/>
      <c r="AE4227" s="13"/>
      <c r="AG4227" s="13"/>
      <c r="AH4227" s="13"/>
      <c r="AI4227" s="13"/>
      <c r="AJ4227" s="13"/>
      <c r="AK4227" s="13"/>
      <c r="AL4227" s="8"/>
      <c r="AU4227" s="13"/>
      <c r="AV4227" s="13"/>
      <c r="CU4227" s="13"/>
      <c r="DG4227" s="13"/>
    </row>
    <row r="4228" spans="1:111" x14ac:dyDescent="0.2">
      <c r="A4228" s="13"/>
      <c r="B4228" s="14"/>
      <c r="C4228" s="13"/>
      <c r="E4228" s="13"/>
      <c r="N4228" s="13"/>
      <c r="O4228" s="13"/>
      <c r="P4228" s="13"/>
      <c r="Q4228" s="13"/>
      <c r="R4228" s="13"/>
      <c r="S4228" s="13"/>
      <c r="T4228" s="13"/>
      <c r="U4228" s="13"/>
      <c r="V4228" s="13"/>
      <c r="AC4228" s="13"/>
      <c r="AD4228" s="13"/>
      <c r="AE4228" s="13"/>
      <c r="AG4228" s="13"/>
      <c r="AH4228" s="13"/>
      <c r="AI4228" s="13"/>
      <c r="AJ4228" s="13"/>
      <c r="AK4228" s="13"/>
      <c r="AL4228" s="8"/>
      <c r="AU4228" s="13"/>
      <c r="AV4228" s="13"/>
      <c r="CU4228" s="13"/>
      <c r="DG4228" s="13"/>
    </row>
    <row r="4229" spans="1:111" x14ac:dyDescent="0.2">
      <c r="A4229" s="13"/>
      <c r="B4229" s="14"/>
      <c r="C4229" s="13"/>
      <c r="E4229" s="13"/>
      <c r="N4229" s="13"/>
      <c r="O4229" s="13"/>
      <c r="P4229" s="13"/>
      <c r="Q4229" s="13"/>
      <c r="R4229" s="13"/>
      <c r="S4229" s="13"/>
      <c r="T4229" s="13"/>
      <c r="U4229" s="13"/>
      <c r="V4229" s="13"/>
      <c r="AC4229" s="13"/>
      <c r="AD4229" s="13"/>
      <c r="AE4229" s="13"/>
      <c r="AG4229" s="13"/>
      <c r="AH4229" s="13"/>
      <c r="AI4229" s="13"/>
      <c r="AJ4229" s="13"/>
      <c r="AK4229" s="13"/>
      <c r="AL4229" s="8"/>
      <c r="AU4229" s="13"/>
      <c r="AV4229" s="13"/>
      <c r="CU4229" s="13"/>
      <c r="DG4229" s="13"/>
    </row>
    <row r="4230" spans="1:111" x14ac:dyDescent="0.2">
      <c r="A4230" s="13"/>
      <c r="B4230" s="14"/>
      <c r="C4230" s="13"/>
      <c r="E4230" s="13"/>
      <c r="N4230" s="13"/>
      <c r="O4230" s="13"/>
      <c r="P4230" s="13"/>
      <c r="Q4230" s="13"/>
      <c r="R4230" s="13"/>
      <c r="S4230" s="13"/>
      <c r="T4230" s="13"/>
      <c r="U4230" s="13"/>
      <c r="V4230" s="13"/>
      <c r="AC4230" s="13"/>
      <c r="AD4230" s="13"/>
      <c r="AE4230" s="13"/>
      <c r="AG4230" s="13"/>
      <c r="AH4230" s="13"/>
      <c r="AI4230" s="13"/>
      <c r="AJ4230" s="13"/>
      <c r="AK4230" s="13"/>
      <c r="AL4230" s="8"/>
      <c r="AU4230" s="13"/>
      <c r="AV4230" s="13"/>
      <c r="CU4230" s="13"/>
      <c r="DG4230" s="13"/>
    </row>
    <row r="4231" spans="1:111" x14ac:dyDescent="0.2">
      <c r="A4231" s="13"/>
      <c r="B4231" s="14"/>
      <c r="C4231" s="13"/>
      <c r="E4231" s="13"/>
      <c r="N4231" s="13"/>
      <c r="O4231" s="13"/>
      <c r="P4231" s="13"/>
      <c r="Q4231" s="13"/>
      <c r="R4231" s="13"/>
      <c r="S4231" s="13"/>
      <c r="T4231" s="13"/>
      <c r="U4231" s="13"/>
      <c r="V4231" s="13"/>
      <c r="AC4231" s="13"/>
      <c r="AD4231" s="13"/>
      <c r="AE4231" s="13"/>
      <c r="AG4231" s="13"/>
      <c r="AH4231" s="13"/>
      <c r="AI4231" s="13"/>
      <c r="AJ4231" s="13"/>
      <c r="AK4231" s="13"/>
      <c r="AL4231" s="8"/>
      <c r="AU4231" s="13"/>
      <c r="AV4231" s="13"/>
      <c r="CU4231" s="13"/>
      <c r="DG4231" s="13"/>
    </row>
    <row r="4232" spans="1:111" x14ac:dyDescent="0.2">
      <c r="A4232" s="13"/>
      <c r="B4232" s="14"/>
      <c r="C4232" s="13"/>
      <c r="E4232" s="13"/>
      <c r="N4232" s="13"/>
      <c r="O4232" s="13"/>
      <c r="P4232" s="13"/>
      <c r="Q4232" s="13"/>
      <c r="R4232" s="13"/>
      <c r="S4232" s="13"/>
      <c r="T4232" s="13"/>
      <c r="U4232" s="13"/>
      <c r="V4232" s="13"/>
      <c r="AC4232" s="13"/>
      <c r="AD4232" s="13"/>
      <c r="AE4232" s="13"/>
      <c r="AG4232" s="13"/>
      <c r="AH4232" s="13"/>
      <c r="AI4232" s="13"/>
      <c r="AJ4232" s="13"/>
      <c r="AK4232" s="13"/>
      <c r="AL4232" s="8"/>
      <c r="AU4232" s="13"/>
      <c r="AV4232" s="13"/>
      <c r="CU4232" s="13"/>
      <c r="DG4232" s="13"/>
    </row>
    <row r="4233" spans="1:111" x14ac:dyDescent="0.2">
      <c r="A4233" s="13"/>
      <c r="B4233" s="14"/>
      <c r="C4233" s="13"/>
      <c r="E4233" s="13"/>
      <c r="N4233" s="13"/>
      <c r="O4233" s="13"/>
      <c r="P4233" s="13"/>
      <c r="Q4233" s="13"/>
      <c r="R4233" s="13"/>
      <c r="S4233" s="13"/>
      <c r="T4233" s="13"/>
      <c r="U4233" s="13"/>
      <c r="V4233" s="13"/>
      <c r="AC4233" s="13"/>
      <c r="AD4233" s="13"/>
      <c r="AE4233" s="13"/>
      <c r="AG4233" s="13"/>
      <c r="AH4233" s="13"/>
      <c r="AI4233" s="13"/>
      <c r="AJ4233" s="13"/>
      <c r="AK4233" s="13"/>
      <c r="AL4233" s="8"/>
      <c r="AU4233" s="13"/>
      <c r="AV4233" s="13"/>
      <c r="CU4233" s="13"/>
      <c r="DG4233" s="13"/>
    </row>
    <row r="4234" spans="1:111" x14ac:dyDescent="0.2">
      <c r="A4234" s="13"/>
      <c r="B4234" s="14"/>
      <c r="C4234" s="13"/>
      <c r="E4234" s="13"/>
      <c r="N4234" s="13"/>
      <c r="O4234" s="13"/>
      <c r="P4234" s="13"/>
      <c r="Q4234" s="13"/>
      <c r="R4234" s="13"/>
      <c r="S4234" s="13"/>
      <c r="T4234" s="13"/>
      <c r="U4234" s="13"/>
      <c r="V4234" s="13"/>
      <c r="AC4234" s="13"/>
      <c r="AD4234" s="13"/>
      <c r="AE4234" s="13"/>
      <c r="AG4234" s="13"/>
      <c r="AH4234" s="13"/>
      <c r="AI4234" s="13"/>
      <c r="AJ4234" s="13"/>
      <c r="AK4234" s="13"/>
      <c r="AL4234" s="8"/>
      <c r="AU4234" s="13"/>
      <c r="AV4234" s="13"/>
      <c r="CU4234" s="13"/>
      <c r="DG4234" s="13"/>
    </row>
    <row r="4235" spans="1:111" x14ac:dyDescent="0.2">
      <c r="A4235" s="13"/>
      <c r="B4235" s="14"/>
      <c r="C4235" s="13"/>
      <c r="E4235" s="13"/>
      <c r="N4235" s="13"/>
      <c r="O4235" s="13"/>
      <c r="P4235" s="13"/>
      <c r="Q4235" s="13"/>
      <c r="R4235" s="13"/>
      <c r="S4235" s="13"/>
      <c r="T4235" s="13"/>
      <c r="U4235" s="13"/>
      <c r="V4235" s="13"/>
      <c r="AC4235" s="13"/>
      <c r="AD4235" s="13"/>
      <c r="AE4235" s="13"/>
      <c r="AG4235" s="13"/>
      <c r="AH4235" s="13"/>
      <c r="AI4235" s="13"/>
      <c r="AJ4235" s="13"/>
      <c r="AK4235" s="13"/>
      <c r="AL4235" s="8"/>
      <c r="AU4235" s="13"/>
      <c r="AV4235" s="13"/>
      <c r="CU4235" s="13"/>
      <c r="DG4235" s="13"/>
    </row>
    <row r="4236" spans="1:111" x14ac:dyDescent="0.2">
      <c r="A4236" s="13"/>
      <c r="B4236" s="14"/>
      <c r="C4236" s="13"/>
      <c r="E4236" s="13"/>
      <c r="N4236" s="13"/>
      <c r="O4236" s="13"/>
      <c r="P4236" s="13"/>
      <c r="Q4236" s="13"/>
      <c r="R4236" s="13"/>
      <c r="S4236" s="13"/>
      <c r="T4236" s="13"/>
      <c r="U4236" s="13"/>
      <c r="V4236" s="13"/>
      <c r="AC4236" s="13"/>
      <c r="AD4236" s="13"/>
      <c r="AE4236" s="13"/>
      <c r="AG4236" s="13"/>
      <c r="AH4236" s="13"/>
      <c r="AI4236" s="13"/>
      <c r="AJ4236" s="13"/>
      <c r="AK4236" s="13"/>
      <c r="AL4236" s="8"/>
      <c r="AU4236" s="13"/>
      <c r="AV4236" s="13"/>
      <c r="CU4236" s="13"/>
      <c r="DG4236" s="13"/>
    </row>
    <row r="4237" spans="1:111" x14ac:dyDescent="0.2">
      <c r="A4237" s="13"/>
      <c r="B4237" s="14"/>
      <c r="C4237" s="13"/>
      <c r="E4237" s="13"/>
      <c r="N4237" s="13"/>
      <c r="O4237" s="13"/>
      <c r="P4237" s="13"/>
      <c r="Q4237" s="13"/>
      <c r="R4237" s="13"/>
      <c r="S4237" s="13"/>
      <c r="T4237" s="13"/>
      <c r="U4237" s="13"/>
      <c r="V4237" s="13"/>
      <c r="AC4237" s="13"/>
      <c r="AD4237" s="13"/>
      <c r="AE4237" s="13"/>
      <c r="AG4237" s="13"/>
      <c r="AH4237" s="13"/>
      <c r="AI4237" s="13"/>
      <c r="AJ4237" s="13"/>
      <c r="AK4237" s="13"/>
      <c r="AL4237" s="8"/>
      <c r="AU4237" s="13"/>
      <c r="AV4237" s="13"/>
      <c r="CU4237" s="13"/>
      <c r="DG4237" s="13"/>
    </row>
    <row r="4238" spans="1:111" x14ac:dyDescent="0.2">
      <c r="A4238" s="13"/>
      <c r="B4238" s="14"/>
      <c r="C4238" s="13"/>
      <c r="E4238" s="13"/>
      <c r="N4238" s="13"/>
      <c r="O4238" s="13"/>
      <c r="P4238" s="13"/>
      <c r="Q4238" s="13"/>
      <c r="R4238" s="13"/>
      <c r="S4238" s="13"/>
      <c r="T4238" s="13"/>
      <c r="U4238" s="13"/>
      <c r="V4238" s="13"/>
      <c r="AC4238" s="13"/>
      <c r="AD4238" s="13"/>
      <c r="AE4238" s="13"/>
      <c r="AG4238" s="13"/>
      <c r="AH4238" s="13"/>
      <c r="AI4238" s="13"/>
      <c r="AJ4238" s="13"/>
      <c r="AK4238" s="13"/>
      <c r="AL4238" s="8"/>
      <c r="AU4238" s="13"/>
      <c r="AV4238" s="13"/>
      <c r="CU4238" s="13"/>
      <c r="DG4238" s="13"/>
    </row>
    <row r="4239" spans="1:111" x14ac:dyDescent="0.2">
      <c r="A4239" s="13"/>
      <c r="B4239" s="14"/>
      <c r="C4239" s="13"/>
      <c r="E4239" s="13"/>
      <c r="N4239" s="13"/>
      <c r="O4239" s="13"/>
      <c r="P4239" s="13"/>
      <c r="Q4239" s="13"/>
      <c r="R4239" s="13"/>
      <c r="S4239" s="13"/>
      <c r="T4239" s="13"/>
      <c r="U4239" s="13"/>
      <c r="V4239" s="13"/>
      <c r="AC4239" s="13"/>
      <c r="AD4239" s="13"/>
      <c r="AE4239" s="13"/>
      <c r="AG4239" s="13"/>
      <c r="AH4239" s="13"/>
      <c r="AI4239" s="13"/>
      <c r="AJ4239" s="13"/>
      <c r="AK4239" s="13"/>
      <c r="AL4239" s="8"/>
      <c r="AU4239" s="13"/>
      <c r="AV4239" s="13"/>
      <c r="CU4239" s="13"/>
      <c r="DG4239" s="13"/>
    </row>
    <row r="4240" spans="1:111" x14ac:dyDescent="0.2">
      <c r="A4240" s="13"/>
      <c r="B4240" s="14"/>
      <c r="C4240" s="13"/>
      <c r="E4240" s="13"/>
      <c r="N4240" s="13"/>
      <c r="O4240" s="13"/>
      <c r="P4240" s="13"/>
      <c r="Q4240" s="13"/>
      <c r="R4240" s="13"/>
      <c r="S4240" s="13"/>
      <c r="T4240" s="13"/>
      <c r="U4240" s="13"/>
      <c r="V4240" s="13"/>
      <c r="AC4240" s="13"/>
      <c r="AD4240" s="13"/>
      <c r="AE4240" s="13"/>
      <c r="AG4240" s="13"/>
      <c r="AH4240" s="13"/>
      <c r="AI4240" s="13"/>
      <c r="AJ4240" s="13"/>
      <c r="AK4240" s="13"/>
      <c r="AL4240" s="8"/>
      <c r="AU4240" s="13"/>
      <c r="AV4240" s="13"/>
      <c r="CU4240" s="13"/>
      <c r="DG4240" s="13"/>
    </row>
    <row r="4241" spans="1:111" x14ac:dyDescent="0.2">
      <c r="A4241" s="13"/>
      <c r="B4241" s="14"/>
      <c r="C4241" s="13"/>
      <c r="E4241" s="13"/>
      <c r="N4241" s="13"/>
      <c r="O4241" s="13"/>
      <c r="P4241" s="13"/>
      <c r="Q4241" s="13"/>
      <c r="R4241" s="13"/>
      <c r="S4241" s="13"/>
      <c r="T4241" s="13"/>
      <c r="U4241" s="13"/>
      <c r="V4241" s="13"/>
      <c r="AC4241" s="13"/>
      <c r="AD4241" s="13"/>
      <c r="AE4241" s="13"/>
      <c r="AG4241" s="13"/>
      <c r="AH4241" s="13"/>
      <c r="AI4241" s="13"/>
      <c r="AJ4241" s="13"/>
      <c r="AK4241" s="13"/>
      <c r="AL4241" s="8"/>
      <c r="AU4241" s="13"/>
      <c r="AV4241" s="13"/>
      <c r="CU4241" s="13"/>
      <c r="DG4241" s="13"/>
    </row>
    <row r="4242" spans="1:111" x14ac:dyDescent="0.2">
      <c r="A4242" s="13"/>
      <c r="B4242" s="14"/>
      <c r="C4242" s="13"/>
      <c r="E4242" s="13"/>
      <c r="N4242" s="13"/>
      <c r="O4242" s="13"/>
      <c r="P4242" s="13"/>
      <c r="Q4242" s="13"/>
      <c r="R4242" s="13"/>
      <c r="S4242" s="13"/>
      <c r="T4242" s="13"/>
      <c r="U4242" s="13"/>
      <c r="V4242" s="13"/>
      <c r="AC4242" s="13"/>
      <c r="AD4242" s="13"/>
      <c r="AE4242" s="13"/>
      <c r="AG4242" s="13"/>
      <c r="AH4242" s="13"/>
      <c r="AI4242" s="13"/>
      <c r="AJ4242" s="13"/>
      <c r="AK4242" s="13"/>
      <c r="AL4242" s="8"/>
      <c r="AU4242" s="13"/>
      <c r="AV4242" s="13"/>
      <c r="CU4242" s="13"/>
      <c r="DG4242" s="13"/>
    </row>
    <row r="4243" spans="1:111" x14ac:dyDescent="0.2">
      <c r="A4243" s="13"/>
      <c r="B4243" s="14"/>
      <c r="C4243" s="13"/>
      <c r="E4243" s="13"/>
      <c r="N4243" s="13"/>
      <c r="O4243" s="13"/>
      <c r="P4243" s="13"/>
      <c r="Q4243" s="13"/>
      <c r="R4243" s="13"/>
      <c r="S4243" s="13"/>
      <c r="T4243" s="13"/>
      <c r="U4243" s="13"/>
      <c r="V4243" s="13"/>
      <c r="AC4243" s="13"/>
      <c r="AD4243" s="13"/>
      <c r="AE4243" s="13"/>
      <c r="AG4243" s="13"/>
      <c r="AH4243" s="13"/>
      <c r="AI4243" s="13"/>
      <c r="AJ4243" s="13"/>
      <c r="AK4243" s="13"/>
      <c r="AL4243" s="8"/>
      <c r="AU4243" s="13"/>
      <c r="AV4243" s="13"/>
      <c r="CU4243" s="13"/>
      <c r="DG4243" s="13"/>
    </row>
    <row r="4244" spans="1:111" x14ac:dyDescent="0.2">
      <c r="A4244" s="13"/>
      <c r="B4244" s="14"/>
      <c r="C4244" s="13"/>
      <c r="E4244" s="13"/>
      <c r="N4244" s="13"/>
      <c r="O4244" s="13"/>
      <c r="P4244" s="13"/>
      <c r="Q4244" s="13"/>
      <c r="R4244" s="13"/>
      <c r="S4244" s="13"/>
      <c r="T4244" s="13"/>
      <c r="U4244" s="13"/>
      <c r="V4244" s="13"/>
      <c r="AC4244" s="13"/>
      <c r="AD4244" s="13"/>
      <c r="AE4244" s="13"/>
      <c r="AG4244" s="13"/>
      <c r="AH4244" s="13"/>
      <c r="AI4244" s="13"/>
      <c r="AJ4244" s="13"/>
      <c r="AK4244" s="13"/>
      <c r="AL4244" s="8"/>
      <c r="AU4244" s="13"/>
      <c r="AV4244" s="13"/>
      <c r="CU4244" s="13"/>
      <c r="DG4244" s="13"/>
    </row>
    <row r="4245" spans="1:111" x14ac:dyDescent="0.2">
      <c r="A4245" s="13"/>
      <c r="B4245" s="14"/>
      <c r="C4245" s="13"/>
      <c r="E4245" s="13"/>
      <c r="N4245" s="13"/>
      <c r="O4245" s="13"/>
      <c r="P4245" s="13"/>
      <c r="Q4245" s="13"/>
      <c r="R4245" s="13"/>
      <c r="S4245" s="13"/>
      <c r="T4245" s="13"/>
      <c r="U4245" s="13"/>
      <c r="V4245" s="13"/>
      <c r="AC4245" s="13"/>
      <c r="AD4245" s="13"/>
      <c r="AE4245" s="13"/>
      <c r="AG4245" s="13"/>
      <c r="AH4245" s="13"/>
      <c r="AI4245" s="13"/>
      <c r="AJ4245" s="13"/>
      <c r="AK4245" s="13"/>
      <c r="AL4245" s="8"/>
      <c r="AU4245" s="13"/>
      <c r="AV4245" s="13"/>
      <c r="CU4245" s="13"/>
      <c r="DG4245" s="13"/>
    </row>
    <row r="4246" spans="1:111" x14ac:dyDescent="0.2">
      <c r="A4246" s="13"/>
      <c r="B4246" s="14"/>
      <c r="C4246" s="13"/>
      <c r="E4246" s="13"/>
      <c r="N4246" s="13"/>
      <c r="O4246" s="13"/>
      <c r="P4246" s="13"/>
      <c r="Q4246" s="13"/>
      <c r="R4246" s="13"/>
      <c r="S4246" s="13"/>
      <c r="T4246" s="13"/>
      <c r="U4246" s="13"/>
      <c r="V4246" s="13"/>
      <c r="AC4246" s="13"/>
      <c r="AD4246" s="13"/>
      <c r="AE4246" s="13"/>
      <c r="AG4246" s="13"/>
      <c r="AH4246" s="13"/>
      <c r="AI4246" s="13"/>
      <c r="AJ4246" s="13"/>
      <c r="AK4246" s="13"/>
      <c r="AL4246" s="8"/>
      <c r="AU4246" s="13"/>
      <c r="AV4246" s="13"/>
      <c r="CU4246" s="13"/>
      <c r="DG4246" s="13"/>
    </row>
    <row r="4247" spans="1:111" x14ac:dyDescent="0.2">
      <c r="A4247" s="13"/>
      <c r="B4247" s="14"/>
      <c r="C4247" s="13"/>
      <c r="E4247" s="13"/>
      <c r="N4247" s="13"/>
      <c r="O4247" s="13"/>
      <c r="P4247" s="13"/>
      <c r="Q4247" s="13"/>
      <c r="R4247" s="13"/>
      <c r="S4247" s="13"/>
      <c r="T4247" s="13"/>
      <c r="U4247" s="13"/>
      <c r="V4247" s="13"/>
      <c r="AC4247" s="13"/>
      <c r="AD4247" s="13"/>
      <c r="AE4247" s="13"/>
      <c r="AG4247" s="13"/>
      <c r="AH4247" s="13"/>
      <c r="AI4247" s="13"/>
      <c r="AJ4247" s="13"/>
      <c r="AK4247" s="13"/>
      <c r="AL4247" s="8"/>
      <c r="AU4247" s="13"/>
      <c r="AV4247" s="13"/>
      <c r="CU4247" s="13"/>
      <c r="DG4247" s="13"/>
    </row>
    <row r="4248" spans="1:111" x14ac:dyDescent="0.2">
      <c r="A4248" s="13"/>
      <c r="B4248" s="14"/>
      <c r="C4248" s="13"/>
      <c r="E4248" s="13"/>
      <c r="N4248" s="13"/>
      <c r="O4248" s="13"/>
      <c r="P4248" s="13"/>
      <c r="Q4248" s="13"/>
      <c r="R4248" s="13"/>
      <c r="S4248" s="13"/>
      <c r="T4248" s="13"/>
      <c r="U4248" s="13"/>
      <c r="V4248" s="13"/>
      <c r="AC4248" s="13"/>
      <c r="AD4248" s="13"/>
      <c r="AE4248" s="13"/>
      <c r="AG4248" s="13"/>
      <c r="AH4248" s="13"/>
      <c r="AI4248" s="13"/>
      <c r="AJ4248" s="13"/>
      <c r="AK4248" s="13"/>
      <c r="AL4248" s="8"/>
      <c r="AU4248" s="13"/>
      <c r="AV4248" s="13"/>
      <c r="CU4248" s="13"/>
      <c r="DG4248" s="13"/>
    </row>
    <row r="4249" spans="1:111" x14ac:dyDescent="0.2">
      <c r="A4249" s="13"/>
      <c r="B4249" s="14"/>
      <c r="C4249" s="13"/>
      <c r="E4249" s="13"/>
      <c r="N4249" s="13"/>
      <c r="O4249" s="13"/>
      <c r="P4249" s="13"/>
      <c r="Q4249" s="13"/>
      <c r="R4249" s="13"/>
      <c r="S4249" s="13"/>
      <c r="T4249" s="13"/>
      <c r="U4249" s="13"/>
      <c r="V4249" s="13"/>
      <c r="AC4249" s="13"/>
      <c r="AD4249" s="13"/>
      <c r="AE4249" s="13"/>
      <c r="AG4249" s="13"/>
      <c r="AH4249" s="13"/>
      <c r="AI4249" s="13"/>
      <c r="AJ4249" s="13"/>
      <c r="AK4249" s="13"/>
      <c r="AL4249" s="8"/>
      <c r="AU4249" s="13"/>
      <c r="AV4249" s="13"/>
      <c r="CU4249" s="13"/>
      <c r="DG4249" s="13"/>
    </row>
    <row r="4250" spans="1:111" x14ac:dyDescent="0.2">
      <c r="A4250" s="13"/>
      <c r="B4250" s="14"/>
      <c r="C4250" s="13"/>
      <c r="E4250" s="13"/>
      <c r="N4250" s="13"/>
      <c r="O4250" s="13"/>
      <c r="P4250" s="13"/>
      <c r="Q4250" s="13"/>
      <c r="R4250" s="13"/>
      <c r="S4250" s="13"/>
      <c r="T4250" s="13"/>
      <c r="U4250" s="13"/>
      <c r="V4250" s="13"/>
      <c r="AC4250" s="13"/>
      <c r="AD4250" s="13"/>
      <c r="AE4250" s="13"/>
      <c r="AG4250" s="13"/>
      <c r="AH4250" s="13"/>
      <c r="AI4250" s="13"/>
      <c r="AJ4250" s="13"/>
      <c r="AK4250" s="13"/>
      <c r="AL4250" s="8"/>
      <c r="AU4250" s="13"/>
      <c r="AV4250" s="13"/>
      <c r="CU4250" s="13"/>
      <c r="DG4250" s="13"/>
    </row>
    <row r="4251" spans="1:111" x14ac:dyDescent="0.2">
      <c r="A4251" s="13"/>
      <c r="B4251" s="14"/>
      <c r="C4251" s="13"/>
      <c r="E4251" s="13"/>
      <c r="N4251" s="13"/>
      <c r="O4251" s="13"/>
      <c r="P4251" s="13"/>
      <c r="Q4251" s="13"/>
      <c r="R4251" s="13"/>
      <c r="S4251" s="13"/>
      <c r="T4251" s="13"/>
      <c r="U4251" s="13"/>
      <c r="V4251" s="13"/>
      <c r="AC4251" s="13"/>
      <c r="AD4251" s="13"/>
      <c r="AE4251" s="13"/>
      <c r="AG4251" s="13"/>
      <c r="AH4251" s="13"/>
      <c r="AI4251" s="13"/>
      <c r="AJ4251" s="13"/>
      <c r="AK4251" s="13"/>
      <c r="AL4251" s="8"/>
      <c r="AU4251" s="13"/>
      <c r="AV4251" s="13"/>
      <c r="CU4251" s="13"/>
      <c r="DG4251" s="13"/>
    </row>
    <row r="4252" spans="1:111" x14ac:dyDescent="0.2">
      <c r="A4252" s="13"/>
      <c r="B4252" s="14"/>
      <c r="C4252" s="13"/>
      <c r="E4252" s="13"/>
      <c r="N4252" s="13"/>
      <c r="O4252" s="13"/>
      <c r="P4252" s="13"/>
      <c r="Q4252" s="13"/>
      <c r="R4252" s="13"/>
      <c r="S4252" s="13"/>
      <c r="T4252" s="13"/>
      <c r="U4252" s="13"/>
      <c r="V4252" s="13"/>
      <c r="AC4252" s="13"/>
      <c r="AD4252" s="13"/>
      <c r="AE4252" s="13"/>
      <c r="AG4252" s="13"/>
      <c r="AH4252" s="13"/>
      <c r="AI4252" s="13"/>
      <c r="AJ4252" s="13"/>
      <c r="AK4252" s="13"/>
      <c r="AL4252" s="8"/>
      <c r="AU4252" s="13"/>
      <c r="AV4252" s="13"/>
      <c r="CU4252" s="13"/>
      <c r="DG4252" s="13"/>
    </row>
    <row r="4253" spans="1:111" x14ac:dyDescent="0.2">
      <c r="A4253" s="13"/>
      <c r="B4253" s="14"/>
      <c r="C4253" s="13"/>
      <c r="E4253" s="13"/>
      <c r="N4253" s="13"/>
      <c r="O4253" s="13"/>
      <c r="P4253" s="13"/>
      <c r="Q4253" s="13"/>
      <c r="R4253" s="13"/>
      <c r="S4253" s="13"/>
      <c r="T4253" s="13"/>
      <c r="U4253" s="13"/>
      <c r="V4253" s="13"/>
      <c r="AC4253" s="13"/>
      <c r="AD4253" s="13"/>
      <c r="AE4253" s="13"/>
      <c r="AG4253" s="13"/>
      <c r="AH4253" s="13"/>
      <c r="AI4253" s="13"/>
      <c r="AJ4253" s="13"/>
      <c r="AK4253" s="13"/>
      <c r="AL4253" s="8"/>
      <c r="AU4253" s="13"/>
      <c r="AV4253" s="13"/>
      <c r="CU4253" s="13"/>
      <c r="DG4253" s="13"/>
    </row>
    <row r="4254" spans="1:111" x14ac:dyDescent="0.2">
      <c r="A4254" s="13"/>
      <c r="B4254" s="14"/>
      <c r="C4254" s="13"/>
      <c r="E4254" s="13"/>
      <c r="N4254" s="13"/>
      <c r="O4254" s="13"/>
      <c r="P4254" s="13"/>
      <c r="Q4254" s="13"/>
      <c r="R4254" s="13"/>
      <c r="S4254" s="13"/>
      <c r="T4254" s="13"/>
      <c r="U4254" s="13"/>
      <c r="V4254" s="13"/>
      <c r="AC4254" s="13"/>
      <c r="AD4254" s="13"/>
      <c r="AE4254" s="13"/>
      <c r="AG4254" s="13"/>
      <c r="AH4254" s="13"/>
      <c r="AI4254" s="13"/>
      <c r="AJ4254" s="13"/>
      <c r="AK4254" s="13"/>
      <c r="AL4254" s="8"/>
      <c r="AU4254" s="13"/>
      <c r="AV4254" s="13"/>
      <c r="CU4254" s="13"/>
      <c r="DG4254" s="13"/>
    </row>
    <row r="4255" spans="1:111" x14ac:dyDescent="0.2">
      <c r="A4255" s="13"/>
      <c r="B4255" s="14"/>
      <c r="C4255" s="13"/>
      <c r="E4255" s="13"/>
      <c r="N4255" s="13"/>
      <c r="O4255" s="13"/>
      <c r="P4255" s="13"/>
      <c r="Q4255" s="13"/>
      <c r="R4255" s="13"/>
      <c r="S4255" s="13"/>
      <c r="T4255" s="13"/>
      <c r="U4255" s="13"/>
      <c r="V4255" s="13"/>
      <c r="AC4255" s="13"/>
      <c r="AD4255" s="13"/>
      <c r="AE4255" s="13"/>
      <c r="AG4255" s="13"/>
      <c r="AH4255" s="13"/>
      <c r="AI4255" s="13"/>
      <c r="AJ4255" s="13"/>
      <c r="AK4255" s="13"/>
      <c r="AL4255" s="8"/>
      <c r="AU4255" s="13"/>
      <c r="AV4255" s="13"/>
      <c r="CU4255" s="13"/>
      <c r="DG4255" s="13"/>
    </row>
    <row r="4256" spans="1:111" x14ac:dyDescent="0.2">
      <c r="A4256" s="13"/>
      <c r="B4256" s="14"/>
      <c r="C4256" s="13"/>
      <c r="E4256" s="13"/>
      <c r="N4256" s="13"/>
      <c r="O4256" s="13"/>
      <c r="P4256" s="13"/>
      <c r="Q4256" s="13"/>
      <c r="R4256" s="13"/>
      <c r="S4256" s="13"/>
      <c r="T4256" s="13"/>
      <c r="U4256" s="13"/>
      <c r="V4256" s="13"/>
      <c r="AC4256" s="13"/>
      <c r="AD4256" s="13"/>
      <c r="AE4256" s="13"/>
      <c r="AG4256" s="13"/>
      <c r="AH4256" s="13"/>
      <c r="AI4256" s="13"/>
      <c r="AJ4256" s="13"/>
      <c r="AK4256" s="13"/>
      <c r="AL4256" s="8"/>
      <c r="AU4256" s="13"/>
      <c r="AV4256" s="13"/>
      <c r="CU4256" s="13"/>
      <c r="DG4256" s="13"/>
    </row>
    <row r="4257" spans="1:111" x14ac:dyDescent="0.2">
      <c r="A4257" s="13"/>
      <c r="B4257" s="14"/>
      <c r="C4257" s="13"/>
      <c r="E4257" s="13"/>
      <c r="N4257" s="13"/>
      <c r="O4257" s="13"/>
      <c r="P4257" s="13"/>
      <c r="Q4257" s="13"/>
      <c r="R4257" s="13"/>
      <c r="S4257" s="13"/>
      <c r="T4257" s="13"/>
      <c r="U4257" s="13"/>
      <c r="V4257" s="13"/>
      <c r="AC4257" s="13"/>
      <c r="AD4257" s="13"/>
      <c r="AE4257" s="13"/>
      <c r="AG4257" s="13"/>
      <c r="AH4257" s="13"/>
      <c r="AI4257" s="13"/>
      <c r="AJ4257" s="13"/>
      <c r="AK4257" s="13"/>
      <c r="AL4257" s="8"/>
      <c r="AU4257" s="13"/>
      <c r="AV4257" s="13"/>
      <c r="CU4257" s="13"/>
      <c r="DG4257" s="13"/>
    </row>
    <row r="4258" spans="1:111" x14ac:dyDescent="0.2">
      <c r="A4258" s="13"/>
      <c r="B4258" s="14"/>
      <c r="C4258" s="13"/>
      <c r="E4258" s="13"/>
      <c r="N4258" s="13"/>
      <c r="O4258" s="13"/>
      <c r="P4258" s="13"/>
      <c r="Q4258" s="13"/>
      <c r="R4258" s="13"/>
      <c r="S4258" s="13"/>
      <c r="T4258" s="13"/>
      <c r="U4258" s="13"/>
      <c r="V4258" s="13"/>
      <c r="AC4258" s="13"/>
      <c r="AD4258" s="13"/>
      <c r="AE4258" s="13"/>
      <c r="AG4258" s="13"/>
      <c r="AH4258" s="13"/>
      <c r="AI4258" s="13"/>
      <c r="AJ4258" s="13"/>
      <c r="AK4258" s="13"/>
      <c r="AL4258" s="8"/>
      <c r="AU4258" s="13"/>
      <c r="AV4258" s="13"/>
      <c r="CU4258" s="13"/>
      <c r="DG4258" s="13"/>
    </row>
    <row r="4259" spans="1:111" x14ac:dyDescent="0.2">
      <c r="A4259" s="13"/>
      <c r="B4259" s="14"/>
      <c r="C4259" s="13"/>
      <c r="E4259" s="13"/>
      <c r="N4259" s="13"/>
      <c r="O4259" s="13"/>
      <c r="P4259" s="13"/>
      <c r="Q4259" s="13"/>
      <c r="R4259" s="13"/>
      <c r="S4259" s="13"/>
      <c r="T4259" s="13"/>
      <c r="U4259" s="13"/>
      <c r="V4259" s="13"/>
      <c r="AC4259" s="13"/>
      <c r="AD4259" s="13"/>
      <c r="AE4259" s="13"/>
      <c r="AG4259" s="13"/>
      <c r="AH4259" s="13"/>
      <c r="AI4259" s="13"/>
      <c r="AJ4259" s="13"/>
      <c r="AK4259" s="13"/>
      <c r="AL4259" s="8"/>
      <c r="AU4259" s="13"/>
      <c r="AV4259" s="13"/>
      <c r="CU4259" s="13"/>
      <c r="DG4259" s="13"/>
    </row>
    <row r="4260" spans="1:111" x14ac:dyDescent="0.2">
      <c r="A4260" s="13"/>
      <c r="B4260" s="14"/>
      <c r="C4260" s="13"/>
      <c r="E4260" s="13"/>
      <c r="N4260" s="13"/>
      <c r="O4260" s="13"/>
      <c r="P4260" s="13"/>
      <c r="Q4260" s="13"/>
      <c r="R4260" s="13"/>
      <c r="S4260" s="13"/>
      <c r="T4260" s="13"/>
      <c r="U4260" s="13"/>
      <c r="V4260" s="13"/>
      <c r="AC4260" s="13"/>
      <c r="AD4260" s="13"/>
      <c r="AE4260" s="13"/>
      <c r="AG4260" s="13"/>
      <c r="AH4260" s="13"/>
      <c r="AI4260" s="13"/>
      <c r="AJ4260" s="13"/>
      <c r="AK4260" s="13"/>
      <c r="AL4260" s="8"/>
      <c r="AU4260" s="13"/>
      <c r="AV4260" s="13"/>
      <c r="CU4260" s="13"/>
      <c r="DG4260" s="13"/>
    </row>
    <row r="4261" spans="1:111" x14ac:dyDescent="0.2">
      <c r="A4261" s="13"/>
      <c r="B4261" s="14"/>
      <c r="C4261" s="13"/>
      <c r="E4261" s="13"/>
      <c r="N4261" s="13"/>
      <c r="O4261" s="13"/>
      <c r="P4261" s="13"/>
      <c r="Q4261" s="13"/>
      <c r="R4261" s="13"/>
      <c r="S4261" s="13"/>
      <c r="T4261" s="13"/>
      <c r="U4261" s="13"/>
      <c r="V4261" s="13"/>
      <c r="AC4261" s="13"/>
      <c r="AD4261" s="13"/>
      <c r="AE4261" s="13"/>
      <c r="AG4261" s="13"/>
      <c r="AH4261" s="13"/>
      <c r="AI4261" s="13"/>
      <c r="AJ4261" s="13"/>
      <c r="AK4261" s="13"/>
      <c r="AL4261" s="8"/>
      <c r="AU4261" s="13"/>
      <c r="AV4261" s="13"/>
      <c r="CU4261" s="13"/>
      <c r="DG4261" s="13"/>
    </row>
    <row r="4262" spans="1:111" x14ac:dyDescent="0.2">
      <c r="A4262" s="13"/>
      <c r="B4262" s="14"/>
      <c r="C4262" s="13"/>
      <c r="E4262" s="13"/>
      <c r="N4262" s="13"/>
      <c r="O4262" s="13"/>
      <c r="P4262" s="13"/>
      <c r="Q4262" s="13"/>
      <c r="R4262" s="13"/>
      <c r="S4262" s="13"/>
      <c r="T4262" s="13"/>
      <c r="U4262" s="13"/>
      <c r="V4262" s="13"/>
      <c r="AC4262" s="13"/>
      <c r="AD4262" s="13"/>
      <c r="AE4262" s="13"/>
      <c r="AG4262" s="13"/>
      <c r="AH4262" s="13"/>
      <c r="AI4262" s="13"/>
      <c r="AJ4262" s="13"/>
      <c r="AK4262" s="13"/>
      <c r="AL4262" s="8"/>
      <c r="AU4262" s="13"/>
      <c r="AV4262" s="13"/>
      <c r="CU4262" s="13"/>
      <c r="DG4262" s="13"/>
    </row>
    <row r="4263" spans="1:111" x14ac:dyDescent="0.2">
      <c r="A4263" s="13"/>
      <c r="B4263" s="14"/>
      <c r="C4263" s="13"/>
      <c r="E4263" s="13"/>
      <c r="N4263" s="13"/>
      <c r="O4263" s="13"/>
      <c r="P4263" s="13"/>
      <c r="Q4263" s="13"/>
      <c r="R4263" s="13"/>
      <c r="S4263" s="13"/>
      <c r="T4263" s="13"/>
      <c r="U4263" s="13"/>
      <c r="V4263" s="13"/>
      <c r="AC4263" s="13"/>
      <c r="AD4263" s="13"/>
      <c r="AE4263" s="13"/>
      <c r="AG4263" s="13"/>
      <c r="AH4263" s="13"/>
      <c r="AI4263" s="13"/>
      <c r="AJ4263" s="13"/>
      <c r="AK4263" s="13"/>
      <c r="AL4263" s="8"/>
      <c r="AU4263" s="13"/>
      <c r="AV4263" s="13"/>
      <c r="CU4263" s="13"/>
      <c r="DG4263" s="13"/>
    </row>
    <row r="4264" spans="1:111" x14ac:dyDescent="0.2">
      <c r="A4264" s="13"/>
      <c r="B4264" s="14"/>
      <c r="C4264" s="13"/>
      <c r="E4264" s="13"/>
      <c r="N4264" s="13"/>
      <c r="O4264" s="13"/>
      <c r="P4264" s="13"/>
      <c r="Q4264" s="13"/>
      <c r="R4264" s="13"/>
      <c r="S4264" s="13"/>
      <c r="T4264" s="13"/>
      <c r="U4264" s="13"/>
      <c r="V4264" s="13"/>
      <c r="AC4264" s="13"/>
      <c r="AD4264" s="13"/>
      <c r="AE4264" s="13"/>
      <c r="AG4264" s="13"/>
      <c r="AH4264" s="13"/>
      <c r="AI4264" s="13"/>
      <c r="AJ4264" s="13"/>
      <c r="AK4264" s="13"/>
      <c r="AL4264" s="8"/>
      <c r="AU4264" s="13"/>
      <c r="AV4264" s="13"/>
      <c r="CU4264" s="13"/>
      <c r="DG4264" s="13"/>
    </row>
    <row r="4265" spans="1:111" x14ac:dyDescent="0.2">
      <c r="A4265" s="13"/>
      <c r="B4265" s="14"/>
      <c r="C4265" s="13"/>
      <c r="E4265" s="13"/>
      <c r="N4265" s="13"/>
      <c r="O4265" s="13"/>
      <c r="P4265" s="13"/>
      <c r="Q4265" s="13"/>
      <c r="R4265" s="13"/>
      <c r="S4265" s="13"/>
      <c r="T4265" s="13"/>
      <c r="U4265" s="13"/>
      <c r="V4265" s="13"/>
      <c r="AC4265" s="13"/>
      <c r="AD4265" s="13"/>
      <c r="AE4265" s="13"/>
      <c r="AG4265" s="13"/>
      <c r="AH4265" s="13"/>
      <c r="AI4265" s="13"/>
      <c r="AJ4265" s="13"/>
      <c r="AK4265" s="13"/>
      <c r="AL4265" s="8"/>
      <c r="AU4265" s="13"/>
      <c r="AV4265" s="13"/>
      <c r="CU4265" s="13"/>
      <c r="DG4265" s="13"/>
    </row>
    <row r="4266" spans="1:111" x14ac:dyDescent="0.2">
      <c r="A4266" s="13"/>
      <c r="B4266" s="14"/>
      <c r="C4266" s="13"/>
      <c r="E4266" s="13"/>
      <c r="N4266" s="13"/>
      <c r="O4266" s="13"/>
      <c r="P4266" s="13"/>
      <c r="Q4266" s="13"/>
      <c r="R4266" s="13"/>
      <c r="S4266" s="13"/>
      <c r="T4266" s="13"/>
      <c r="U4266" s="13"/>
      <c r="V4266" s="13"/>
      <c r="AC4266" s="13"/>
      <c r="AD4266" s="13"/>
      <c r="AE4266" s="13"/>
      <c r="AG4266" s="13"/>
      <c r="AH4266" s="13"/>
      <c r="AI4266" s="13"/>
      <c r="AJ4266" s="13"/>
      <c r="AK4266" s="13"/>
      <c r="AL4266" s="8"/>
      <c r="AU4266" s="13"/>
      <c r="AV4266" s="13"/>
      <c r="CU4266" s="13"/>
      <c r="DG4266" s="13"/>
    </row>
    <row r="4267" spans="1:111" x14ac:dyDescent="0.2">
      <c r="A4267" s="13"/>
      <c r="B4267" s="14"/>
      <c r="C4267" s="13"/>
      <c r="E4267" s="13"/>
      <c r="N4267" s="13"/>
      <c r="O4267" s="13"/>
      <c r="P4267" s="13"/>
      <c r="Q4267" s="13"/>
      <c r="R4267" s="13"/>
      <c r="S4267" s="13"/>
      <c r="T4267" s="13"/>
      <c r="U4267" s="13"/>
      <c r="V4267" s="13"/>
      <c r="AC4267" s="13"/>
      <c r="AD4267" s="13"/>
      <c r="AE4267" s="13"/>
      <c r="AG4267" s="13"/>
      <c r="AH4267" s="13"/>
      <c r="AI4267" s="13"/>
      <c r="AJ4267" s="13"/>
      <c r="AK4267" s="13"/>
      <c r="AL4267" s="8"/>
      <c r="AU4267" s="13"/>
      <c r="AV4267" s="13"/>
      <c r="CU4267" s="13"/>
      <c r="DG4267" s="13"/>
    </row>
    <row r="4268" spans="1:111" x14ac:dyDescent="0.2">
      <c r="A4268" s="13"/>
      <c r="B4268" s="14"/>
      <c r="C4268" s="13"/>
      <c r="E4268" s="13"/>
      <c r="N4268" s="13"/>
      <c r="O4268" s="13"/>
      <c r="P4268" s="13"/>
      <c r="Q4268" s="13"/>
      <c r="R4268" s="13"/>
      <c r="S4268" s="13"/>
      <c r="T4268" s="13"/>
      <c r="U4268" s="13"/>
      <c r="V4268" s="13"/>
      <c r="AC4268" s="13"/>
      <c r="AD4268" s="13"/>
      <c r="AE4268" s="13"/>
      <c r="AG4268" s="13"/>
      <c r="AH4268" s="13"/>
      <c r="AI4268" s="13"/>
      <c r="AJ4268" s="13"/>
      <c r="AK4268" s="13"/>
      <c r="AL4268" s="8"/>
      <c r="AU4268" s="13"/>
      <c r="AV4268" s="13"/>
      <c r="CU4268" s="13"/>
      <c r="DG4268" s="13"/>
    </row>
    <row r="4269" spans="1:111" x14ac:dyDescent="0.2">
      <c r="A4269" s="13"/>
      <c r="B4269" s="14"/>
      <c r="C4269" s="13"/>
      <c r="E4269" s="13"/>
      <c r="N4269" s="13"/>
      <c r="O4269" s="13"/>
      <c r="P4269" s="13"/>
      <c r="Q4269" s="13"/>
      <c r="R4269" s="13"/>
      <c r="S4269" s="13"/>
      <c r="T4269" s="13"/>
      <c r="U4269" s="13"/>
      <c r="V4269" s="13"/>
      <c r="AC4269" s="13"/>
      <c r="AD4269" s="13"/>
      <c r="AE4269" s="13"/>
      <c r="AG4269" s="13"/>
      <c r="AH4269" s="13"/>
      <c r="AI4269" s="13"/>
      <c r="AJ4269" s="13"/>
      <c r="AK4269" s="13"/>
      <c r="AL4269" s="8"/>
      <c r="AU4269" s="13"/>
      <c r="AV4269" s="13"/>
      <c r="CU4269" s="13"/>
      <c r="DG4269" s="13"/>
    </row>
    <row r="4270" spans="1:111" x14ac:dyDescent="0.2">
      <c r="A4270" s="13"/>
      <c r="B4270" s="14"/>
      <c r="C4270" s="13"/>
      <c r="E4270" s="13"/>
      <c r="N4270" s="13"/>
      <c r="O4270" s="13"/>
      <c r="P4270" s="13"/>
      <c r="Q4270" s="13"/>
      <c r="R4270" s="13"/>
      <c r="S4270" s="13"/>
      <c r="T4270" s="13"/>
      <c r="U4270" s="13"/>
      <c r="V4270" s="13"/>
      <c r="AC4270" s="13"/>
      <c r="AD4270" s="13"/>
      <c r="AE4270" s="13"/>
      <c r="AG4270" s="13"/>
      <c r="AH4270" s="13"/>
      <c r="AI4270" s="13"/>
      <c r="AJ4270" s="13"/>
      <c r="AK4270" s="13"/>
      <c r="AL4270" s="8"/>
      <c r="AU4270" s="13"/>
      <c r="AV4270" s="13"/>
      <c r="CU4270" s="13"/>
      <c r="DG4270" s="13"/>
    </row>
    <row r="4271" spans="1:111" x14ac:dyDescent="0.2">
      <c r="A4271" s="13"/>
      <c r="B4271" s="14"/>
      <c r="C4271" s="13"/>
      <c r="E4271" s="13"/>
      <c r="N4271" s="13"/>
      <c r="O4271" s="13"/>
      <c r="P4271" s="13"/>
      <c r="Q4271" s="13"/>
      <c r="R4271" s="13"/>
      <c r="S4271" s="13"/>
      <c r="T4271" s="13"/>
      <c r="U4271" s="13"/>
      <c r="V4271" s="13"/>
      <c r="AC4271" s="13"/>
      <c r="AD4271" s="13"/>
      <c r="AE4271" s="13"/>
      <c r="AG4271" s="13"/>
      <c r="AH4271" s="13"/>
      <c r="AI4271" s="13"/>
      <c r="AJ4271" s="13"/>
      <c r="AK4271" s="13"/>
      <c r="AL4271" s="8"/>
      <c r="AU4271" s="13"/>
      <c r="AV4271" s="13"/>
      <c r="CU4271" s="13"/>
      <c r="DG4271" s="13"/>
    </row>
    <row r="4272" spans="1:111" x14ac:dyDescent="0.2">
      <c r="A4272" s="13"/>
      <c r="B4272" s="14"/>
      <c r="C4272" s="13"/>
      <c r="E4272" s="13"/>
      <c r="N4272" s="13"/>
      <c r="O4272" s="13"/>
      <c r="P4272" s="13"/>
      <c r="Q4272" s="13"/>
      <c r="R4272" s="13"/>
      <c r="S4272" s="13"/>
      <c r="T4272" s="13"/>
      <c r="U4272" s="13"/>
      <c r="V4272" s="13"/>
      <c r="AC4272" s="13"/>
      <c r="AD4272" s="13"/>
      <c r="AE4272" s="13"/>
      <c r="AG4272" s="13"/>
      <c r="AH4272" s="13"/>
      <c r="AI4272" s="13"/>
      <c r="AJ4272" s="13"/>
      <c r="AK4272" s="13"/>
      <c r="AL4272" s="8"/>
      <c r="AU4272" s="13"/>
      <c r="AV4272" s="13"/>
      <c r="CU4272" s="13"/>
      <c r="DG4272" s="13"/>
    </row>
    <row r="4273" spans="1:111" x14ac:dyDescent="0.2">
      <c r="A4273" s="13"/>
      <c r="B4273" s="14"/>
      <c r="C4273" s="13"/>
      <c r="E4273" s="13"/>
      <c r="N4273" s="13"/>
      <c r="O4273" s="13"/>
      <c r="P4273" s="13"/>
      <c r="Q4273" s="13"/>
      <c r="R4273" s="13"/>
      <c r="S4273" s="13"/>
      <c r="T4273" s="13"/>
      <c r="U4273" s="13"/>
      <c r="V4273" s="13"/>
      <c r="AC4273" s="13"/>
      <c r="AD4273" s="13"/>
      <c r="AE4273" s="13"/>
      <c r="AG4273" s="13"/>
      <c r="AH4273" s="13"/>
      <c r="AI4273" s="13"/>
      <c r="AJ4273" s="13"/>
      <c r="AK4273" s="13"/>
      <c r="AL4273" s="8"/>
      <c r="AU4273" s="13"/>
      <c r="AV4273" s="13"/>
      <c r="CU4273" s="13"/>
      <c r="DG4273" s="13"/>
    </row>
    <row r="4274" spans="1:111" x14ac:dyDescent="0.2">
      <c r="A4274" s="13"/>
      <c r="B4274" s="14"/>
      <c r="C4274" s="13"/>
      <c r="E4274" s="13"/>
      <c r="N4274" s="13"/>
      <c r="O4274" s="13"/>
      <c r="P4274" s="13"/>
      <c r="Q4274" s="13"/>
      <c r="R4274" s="13"/>
      <c r="S4274" s="13"/>
      <c r="T4274" s="13"/>
      <c r="U4274" s="13"/>
      <c r="V4274" s="13"/>
      <c r="AC4274" s="13"/>
      <c r="AD4274" s="13"/>
      <c r="AE4274" s="13"/>
      <c r="AG4274" s="13"/>
      <c r="AH4274" s="13"/>
      <c r="AI4274" s="13"/>
      <c r="AJ4274" s="13"/>
      <c r="AK4274" s="13"/>
      <c r="AL4274" s="8"/>
      <c r="AU4274" s="13"/>
      <c r="AV4274" s="13"/>
      <c r="CU4274" s="13"/>
      <c r="DG4274" s="13"/>
    </row>
    <row r="4275" spans="1:111" x14ac:dyDescent="0.2">
      <c r="A4275" s="13"/>
      <c r="B4275" s="14"/>
      <c r="C4275" s="13"/>
      <c r="E4275" s="13"/>
      <c r="N4275" s="13"/>
      <c r="O4275" s="13"/>
      <c r="P4275" s="13"/>
      <c r="Q4275" s="13"/>
      <c r="R4275" s="13"/>
      <c r="S4275" s="13"/>
      <c r="T4275" s="13"/>
      <c r="U4275" s="13"/>
      <c r="V4275" s="13"/>
      <c r="AC4275" s="13"/>
      <c r="AD4275" s="13"/>
      <c r="AE4275" s="13"/>
      <c r="AG4275" s="13"/>
      <c r="AH4275" s="13"/>
      <c r="AI4275" s="13"/>
      <c r="AJ4275" s="13"/>
      <c r="AK4275" s="13"/>
      <c r="AL4275" s="8"/>
      <c r="AU4275" s="13"/>
      <c r="AV4275" s="13"/>
      <c r="CU4275" s="13"/>
      <c r="DG4275" s="13"/>
    </row>
    <row r="4276" spans="1:111" x14ac:dyDescent="0.2">
      <c r="A4276" s="13"/>
      <c r="B4276" s="14"/>
      <c r="C4276" s="13"/>
      <c r="E4276" s="13"/>
      <c r="N4276" s="13"/>
      <c r="O4276" s="13"/>
      <c r="P4276" s="13"/>
      <c r="Q4276" s="13"/>
      <c r="R4276" s="13"/>
      <c r="S4276" s="13"/>
      <c r="T4276" s="13"/>
      <c r="U4276" s="13"/>
      <c r="V4276" s="13"/>
      <c r="AC4276" s="13"/>
      <c r="AD4276" s="13"/>
      <c r="AE4276" s="13"/>
      <c r="AG4276" s="13"/>
      <c r="AH4276" s="13"/>
      <c r="AI4276" s="13"/>
      <c r="AJ4276" s="13"/>
      <c r="AK4276" s="13"/>
      <c r="AL4276" s="8"/>
      <c r="AU4276" s="13"/>
      <c r="AV4276" s="13"/>
      <c r="CU4276" s="13"/>
      <c r="DG4276" s="13"/>
    </row>
    <row r="4277" spans="1:111" x14ac:dyDescent="0.2">
      <c r="A4277" s="13"/>
      <c r="B4277" s="14"/>
      <c r="C4277" s="13"/>
      <c r="E4277" s="13"/>
      <c r="N4277" s="13"/>
      <c r="O4277" s="13"/>
      <c r="P4277" s="13"/>
      <c r="Q4277" s="13"/>
      <c r="R4277" s="13"/>
      <c r="S4277" s="13"/>
      <c r="T4277" s="13"/>
      <c r="U4277" s="13"/>
      <c r="V4277" s="13"/>
      <c r="AC4277" s="13"/>
      <c r="AD4277" s="13"/>
      <c r="AE4277" s="13"/>
      <c r="AG4277" s="13"/>
      <c r="AH4277" s="13"/>
      <c r="AI4277" s="13"/>
      <c r="AJ4277" s="13"/>
      <c r="AK4277" s="13"/>
      <c r="AL4277" s="8"/>
      <c r="AU4277" s="13"/>
      <c r="AV4277" s="13"/>
      <c r="CU4277" s="13"/>
      <c r="DG4277" s="13"/>
    </row>
    <row r="4278" spans="1:111" x14ac:dyDescent="0.2">
      <c r="A4278" s="13"/>
      <c r="B4278" s="14"/>
      <c r="C4278" s="13"/>
      <c r="E4278" s="13"/>
      <c r="N4278" s="13"/>
      <c r="O4278" s="13"/>
      <c r="P4278" s="13"/>
      <c r="Q4278" s="13"/>
      <c r="R4278" s="13"/>
      <c r="S4278" s="13"/>
      <c r="T4278" s="13"/>
      <c r="U4278" s="13"/>
      <c r="V4278" s="13"/>
      <c r="AC4278" s="13"/>
      <c r="AD4278" s="13"/>
      <c r="AE4278" s="13"/>
      <c r="AG4278" s="13"/>
      <c r="AH4278" s="13"/>
      <c r="AI4278" s="13"/>
      <c r="AJ4278" s="13"/>
      <c r="AK4278" s="13"/>
      <c r="AL4278" s="8"/>
      <c r="AU4278" s="13"/>
      <c r="AV4278" s="13"/>
      <c r="CU4278" s="13"/>
      <c r="DG4278" s="13"/>
    </row>
    <row r="4279" spans="1:111" x14ac:dyDescent="0.2">
      <c r="A4279" s="13"/>
      <c r="B4279" s="14"/>
      <c r="C4279" s="13"/>
      <c r="E4279" s="13"/>
      <c r="N4279" s="13"/>
      <c r="O4279" s="13"/>
      <c r="P4279" s="13"/>
      <c r="Q4279" s="13"/>
      <c r="R4279" s="13"/>
      <c r="S4279" s="13"/>
      <c r="T4279" s="13"/>
      <c r="U4279" s="13"/>
      <c r="V4279" s="13"/>
      <c r="AC4279" s="13"/>
      <c r="AD4279" s="13"/>
      <c r="AE4279" s="13"/>
      <c r="AG4279" s="13"/>
      <c r="AH4279" s="13"/>
      <c r="AI4279" s="13"/>
      <c r="AJ4279" s="13"/>
      <c r="AK4279" s="13"/>
      <c r="AL4279" s="8"/>
      <c r="AU4279" s="13"/>
      <c r="AV4279" s="13"/>
      <c r="CU4279" s="13"/>
      <c r="DG4279" s="13"/>
    </row>
    <row r="4280" spans="1:111" x14ac:dyDescent="0.2">
      <c r="A4280" s="13"/>
      <c r="B4280" s="14"/>
      <c r="C4280" s="13"/>
      <c r="E4280" s="13"/>
      <c r="N4280" s="13"/>
      <c r="O4280" s="13"/>
      <c r="P4280" s="13"/>
      <c r="Q4280" s="13"/>
      <c r="R4280" s="13"/>
      <c r="S4280" s="13"/>
      <c r="T4280" s="13"/>
      <c r="U4280" s="13"/>
      <c r="V4280" s="13"/>
      <c r="AC4280" s="13"/>
      <c r="AD4280" s="13"/>
      <c r="AE4280" s="13"/>
      <c r="AG4280" s="13"/>
      <c r="AH4280" s="13"/>
      <c r="AI4280" s="13"/>
      <c r="AJ4280" s="13"/>
      <c r="AK4280" s="13"/>
      <c r="AL4280" s="8"/>
      <c r="AU4280" s="13"/>
      <c r="AV4280" s="13"/>
      <c r="CU4280" s="13"/>
      <c r="DG4280" s="13"/>
    </row>
    <row r="4281" spans="1:111" x14ac:dyDescent="0.2">
      <c r="A4281" s="13"/>
      <c r="B4281" s="14"/>
      <c r="C4281" s="13"/>
      <c r="E4281" s="13"/>
      <c r="N4281" s="13"/>
      <c r="O4281" s="13"/>
      <c r="P4281" s="13"/>
      <c r="Q4281" s="13"/>
      <c r="R4281" s="13"/>
      <c r="S4281" s="13"/>
      <c r="T4281" s="13"/>
      <c r="U4281" s="13"/>
      <c r="V4281" s="13"/>
      <c r="AC4281" s="13"/>
      <c r="AD4281" s="13"/>
      <c r="AE4281" s="13"/>
      <c r="AG4281" s="13"/>
      <c r="AH4281" s="13"/>
      <c r="AI4281" s="13"/>
      <c r="AJ4281" s="13"/>
      <c r="AK4281" s="13"/>
      <c r="AL4281" s="8"/>
      <c r="AU4281" s="13"/>
      <c r="AV4281" s="13"/>
      <c r="CU4281" s="13"/>
      <c r="DG4281" s="13"/>
    </row>
    <row r="4282" spans="1:111" x14ac:dyDescent="0.2">
      <c r="A4282" s="13"/>
      <c r="B4282" s="14"/>
      <c r="C4282" s="13"/>
      <c r="E4282" s="13"/>
      <c r="N4282" s="13"/>
      <c r="O4282" s="13"/>
      <c r="P4282" s="13"/>
      <c r="Q4282" s="13"/>
      <c r="R4282" s="13"/>
      <c r="S4282" s="13"/>
      <c r="T4282" s="13"/>
      <c r="U4282" s="13"/>
      <c r="V4282" s="13"/>
      <c r="AC4282" s="13"/>
      <c r="AD4282" s="13"/>
      <c r="AE4282" s="13"/>
      <c r="AG4282" s="13"/>
      <c r="AH4282" s="13"/>
      <c r="AI4282" s="13"/>
      <c r="AJ4282" s="13"/>
      <c r="AK4282" s="13"/>
      <c r="AL4282" s="8"/>
      <c r="AU4282" s="13"/>
      <c r="AV4282" s="13"/>
      <c r="CU4282" s="13"/>
      <c r="DG4282" s="13"/>
    </row>
    <row r="4283" spans="1:111" x14ac:dyDescent="0.2">
      <c r="A4283" s="13"/>
      <c r="B4283" s="14"/>
      <c r="C4283" s="13"/>
      <c r="E4283" s="13"/>
      <c r="N4283" s="13"/>
      <c r="O4283" s="13"/>
      <c r="P4283" s="13"/>
      <c r="Q4283" s="13"/>
      <c r="R4283" s="13"/>
      <c r="S4283" s="13"/>
      <c r="T4283" s="13"/>
      <c r="U4283" s="13"/>
      <c r="V4283" s="13"/>
      <c r="AC4283" s="13"/>
      <c r="AD4283" s="13"/>
      <c r="AE4283" s="13"/>
      <c r="AG4283" s="13"/>
      <c r="AH4283" s="13"/>
      <c r="AI4283" s="13"/>
      <c r="AJ4283" s="13"/>
      <c r="AK4283" s="13"/>
      <c r="AL4283" s="8"/>
      <c r="AU4283" s="13"/>
      <c r="AV4283" s="13"/>
      <c r="CU4283" s="13"/>
      <c r="DG4283" s="13"/>
    </row>
    <row r="4284" spans="1:111" x14ac:dyDescent="0.2">
      <c r="A4284" s="13"/>
      <c r="B4284" s="14"/>
      <c r="C4284" s="13"/>
      <c r="E4284" s="13"/>
      <c r="N4284" s="13"/>
      <c r="O4284" s="13"/>
      <c r="P4284" s="13"/>
      <c r="Q4284" s="13"/>
      <c r="R4284" s="13"/>
      <c r="S4284" s="13"/>
      <c r="T4284" s="13"/>
      <c r="U4284" s="13"/>
      <c r="V4284" s="13"/>
      <c r="AC4284" s="13"/>
      <c r="AD4284" s="13"/>
      <c r="AE4284" s="13"/>
      <c r="AG4284" s="13"/>
      <c r="AH4284" s="13"/>
      <c r="AI4284" s="13"/>
      <c r="AJ4284" s="13"/>
      <c r="AK4284" s="13"/>
      <c r="AL4284" s="8"/>
      <c r="AU4284" s="13"/>
      <c r="AV4284" s="13"/>
      <c r="CU4284" s="13"/>
      <c r="DG4284" s="13"/>
    </row>
    <row r="4285" spans="1:111" x14ac:dyDescent="0.2">
      <c r="A4285" s="13"/>
      <c r="B4285" s="14"/>
      <c r="C4285" s="13"/>
      <c r="E4285" s="13"/>
      <c r="N4285" s="13"/>
      <c r="O4285" s="13"/>
      <c r="P4285" s="13"/>
      <c r="Q4285" s="13"/>
      <c r="R4285" s="13"/>
      <c r="S4285" s="13"/>
      <c r="T4285" s="13"/>
      <c r="U4285" s="13"/>
      <c r="V4285" s="13"/>
      <c r="AC4285" s="13"/>
      <c r="AD4285" s="13"/>
      <c r="AE4285" s="13"/>
      <c r="AG4285" s="13"/>
      <c r="AH4285" s="13"/>
      <c r="AI4285" s="13"/>
      <c r="AJ4285" s="13"/>
      <c r="AK4285" s="13"/>
      <c r="AL4285" s="8"/>
      <c r="AU4285" s="13"/>
      <c r="AV4285" s="13"/>
      <c r="CU4285" s="13"/>
      <c r="DG4285" s="13"/>
    </row>
    <row r="4286" spans="1:111" x14ac:dyDescent="0.2">
      <c r="A4286" s="13"/>
      <c r="B4286" s="14"/>
      <c r="C4286" s="13"/>
      <c r="E4286" s="13"/>
      <c r="N4286" s="13"/>
      <c r="O4286" s="13"/>
      <c r="P4286" s="13"/>
      <c r="Q4286" s="13"/>
      <c r="R4286" s="13"/>
      <c r="S4286" s="13"/>
      <c r="T4286" s="13"/>
      <c r="U4286" s="13"/>
      <c r="V4286" s="13"/>
      <c r="AC4286" s="13"/>
      <c r="AD4286" s="13"/>
      <c r="AE4286" s="13"/>
      <c r="AG4286" s="13"/>
      <c r="AH4286" s="13"/>
      <c r="AI4286" s="13"/>
      <c r="AJ4286" s="13"/>
      <c r="AK4286" s="13"/>
      <c r="AL4286" s="8"/>
      <c r="AU4286" s="13"/>
      <c r="AV4286" s="13"/>
      <c r="CU4286" s="13"/>
      <c r="DG4286" s="13"/>
    </row>
    <row r="4287" spans="1:111" x14ac:dyDescent="0.2">
      <c r="A4287" s="13"/>
      <c r="B4287" s="14"/>
      <c r="C4287" s="13"/>
      <c r="E4287" s="13"/>
      <c r="N4287" s="13"/>
      <c r="O4287" s="13"/>
      <c r="P4287" s="13"/>
      <c r="Q4287" s="13"/>
      <c r="R4287" s="13"/>
      <c r="S4287" s="13"/>
      <c r="T4287" s="13"/>
      <c r="U4287" s="13"/>
      <c r="V4287" s="13"/>
      <c r="AC4287" s="13"/>
      <c r="AD4287" s="13"/>
      <c r="AE4287" s="13"/>
      <c r="AG4287" s="13"/>
      <c r="AH4287" s="13"/>
      <c r="AI4287" s="13"/>
      <c r="AJ4287" s="13"/>
      <c r="AK4287" s="13"/>
      <c r="AL4287" s="8"/>
      <c r="AU4287" s="13"/>
      <c r="AV4287" s="13"/>
      <c r="CU4287" s="13"/>
      <c r="DG4287" s="13"/>
    </row>
    <row r="4288" spans="1:111" x14ac:dyDescent="0.2">
      <c r="A4288" s="13"/>
      <c r="B4288" s="14"/>
      <c r="C4288" s="13"/>
      <c r="E4288" s="13"/>
      <c r="N4288" s="13"/>
      <c r="O4288" s="13"/>
      <c r="P4288" s="13"/>
      <c r="Q4288" s="13"/>
      <c r="R4288" s="13"/>
      <c r="S4288" s="13"/>
      <c r="T4288" s="13"/>
      <c r="U4288" s="13"/>
      <c r="V4288" s="13"/>
      <c r="AC4288" s="13"/>
      <c r="AD4288" s="13"/>
      <c r="AE4288" s="13"/>
      <c r="AG4288" s="13"/>
      <c r="AH4288" s="13"/>
      <c r="AI4288" s="13"/>
      <c r="AJ4288" s="13"/>
      <c r="AK4288" s="13"/>
      <c r="AL4288" s="8"/>
      <c r="AU4288" s="13"/>
      <c r="AV4288" s="13"/>
      <c r="CU4288" s="13"/>
      <c r="DG4288" s="13"/>
    </row>
    <row r="4289" spans="1:111" x14ac:dyDescent="0.2">
      <c r="A4289" s="13"/>
      <c r="B4289" s="14"/>
      <c r="C4289" s="13"/>
      <c r="E4289" s="13"/>
      <c r="N4289" s="13"/>
      <c r="O4289" s="13"/>
      <c r="P4289" s="13"/>
      <c r="Q4289" s="13"/>
      <c r="R4289" s="13"/>
      <c r="S4289" s="13"/>
      <c r="T4289" s="13"/>
      <c r="U4289" s="13"/>
      <c r="V4289" s="13"/>
      <c r="AC4289" s="13"/>
      <c r="AD4289" s="13"/>
      <c r="AE4289" s="13"/>
      <c r="AG4289" s="13"/>
      <c r="AH4289" s="13"/>
      <c r="AI4289" s="13"/>
      <c r="AJ4289" s="13"/>
      <c r="AK4289" s="13"/>
      <c r="AL4289" s="8"/>
      <c r="AU4289" s="13"/>
      <c r="AV4289" s="13"/>
      <c r="CU4289" s="13"/>
      <c r="DG4289" s="13"/>
    </row>
    <row r="4290" spans="1:111" x14ac:dyDescent="0.2">
      <c r="A4290" s="13"/>
      <c r="B4290" s="14"/>
      <c r="C4290" s="13"/>
      <c r="E4290" s="13"/>
      <c r="N4290" s="13"/>
      <c r="O4290" s="13"/>
      <c r="P4290" s="13"/>
      <c r="Q4290" s="13"/>
      <c r="R4290" s="13"/>
      <c r="S4290" s="13"/>
      <c r="T4290" s="13"/>
      <c r="U4290" s="13"/>
      <c r="V4290" s="13"/>
      <c r="AC4290" s="13"/>
      <c r="AD4290" s="13"/>
      <c r="AE4290" s="13"/>
      <c r="AG4290" s="13"/>
      <c r="AH4290" s="13"/>
      <c r="AI4290" s="13"/>
      <c r="AJ4290" s="13"/>
      <c r="AK4290" s="13"/>
      <c r="AL4290" s="8"/>
      <c r="AU4290" s="13"/>
      <c r="AV4290" s="13"/>
      <c r="CU4290" s="13"/>
      <c r="DG4290" s="13"/>
    </row>
    <row r="4291" spans="1:111" x14ac:dyDescent="0.2">
      <c r="A4291" s="13"/>
      <c r="B4291" s="14"/>
      <c r="C4291" s="13"/>
      <c r="E4291" s="13"/>
      <c r="N4291" s="13"/>
      <c r="O4291" s="13"/>
      <c r="P4291" s="13"/>
      <c r="Q4291" s="13"/>
      <c r="R4291" s="13"/>
      <c r="S4291" s="13"/>
      <c r="T4291" s="13"/>
      <c r="U4291" s="13"/>
      <c r="V4291" s="13"/>
      <c r="AC4291" s="13"/>
      <c r="AD4291" s="13"/>
      <c r="AE4291" s="13"/>
      <c r="AG4291" s="13"/>
      <c r="AH4291" s="13"/>
      <c r="AI4291" s="13"/>
      <c r="AJ4291" s="13"/>
      <c r="AK4291" s="13"/>
      <c r="AL4291" s="8"/>
      <c r="AU4291" s="13"/>
      <c r="AV4291" s="13"/>
      <c r="CU4291" s="13"/>
      <c r="DG4291" s="13"/>
    </row>
    <row r="4292" spans="1:111" x14ac:dyDescent="0.2">
      <c r="A4292" s="13"/>
      <c r="B4292" s="14"/>
      <c r="C4292" s="13"/>
      <c r="E4292" s="13"/>
      <c r="N4292" s="13"/>
      <c r="O4292" s="13"/>
      <c r="P4292" s="13"/>
      <c r="Q4292" s="13"/>
      <c r="R4292" s="13"/>
      <c r="S4292" s="13"/>
      <c r="T4292" s="13"/>
      <c r="U4292" s="13"/>
      <c r="V4292" s="13"/>
      <c r="AC4292" s="13"/>
      <c r="AD4292" s="13"/>
      <c r="AE4292" s="13"/>
      <c r="AG4292" s="13"/>
      <c r="AH4292" s="13"/>
      <c r="AI4292" s="13"/>
      <c r="AJ4292" s="13"/>
      <c r="AK4292" s="13"/>
      <c r="AL4292" s="8"/>
      <c r="AU4292" s="13"/>
      <c r="AV4292" s="13"/>
      <c r="CU4292" s="13"/>
      <c r="DG4292" s="13"/>
    </row>
    <row r="4293" spans="1:111" x14ac:dyDescent="0.2">
      <c r="A4293" s="13"/>
      <c r="B4293" s="14"/>
      <c r="C4293" s="13"/>
      <c r="E4293" s="13"/>
      <c r="N4293" s="13"/>
      <c r="O4293" s="13"/>
      <c r="P4293" s="13"/>
      <c r="Q4293" s="13"/>
      <c r="R4293" s="13"/>
      <c r="S4293" s="13"/>
      <c r="T4293" s="13"/>
      <c r="U4293" s="13"/>
      <c r="V4293" s="13"/>
      <c r="AC4293" s="13"/>
      <c r="AD4293" s="13"/>
      <c r="AE4293" s="13"/>
      <c r="AG4293" s="13"/>
      <c r="AH4293" s="13"/>
      <c r="AI4293" s="13"/>
      <c r="AJ4293" s="13"/>
      <c r="AK4293" s="13"/>
      <c r="AL4293" s="8"/>
      <c r="AU4293" s="13"/>
      <c r="AV4293" s="13"/>
      <c r="CU4293" s="13"/>
      <c r="DG4293" s="13"/>
    </row>
    <row r="4294" spans="1:111" x14ac:dyDescent="0.2">
      <c r="A4294" s="13"/>
      <c r="B4294" s="14"/>
      <c r="C4294" s="13"/>
      <c r="E4294" s="13"/>
      <c r="N4294" s="13"/>
      <c r="O4294" s="13"/>
      <c r="P4294" s="13"/>
      <c r="Q4294" s="13"/>
      <c r="R4294" s="13"/>
      <c r="S4294" s="13"/>
      <c r="T4294" s="13"/>
      <c r="U4294" s="13"/>
      <c r="V4294" s="13"/>
      <c r="AC4294" s="13"/>
      <c r="AD4294" s="13"/>
      <c r="AE4294" s="13"/>
      <c r="AG4294" s="13"/>
      <c r="AH4294" s="13"/>
      <c r="AI4294" s="13"/>
      <c r="AJ4294" s="13"/>
      <c r="AK4294" s="13"/>
      <c r="AL4294" s="8"/>
      <c r="AU4294" s="13"/>
      <c r="AV4294" s="13"/>
      <c r="CU4294" s="13"/>
      <c r="DG4294" s="13"/>
    </row>
    <row r="4295" spans="1:111" x14ac:dyDescent="0.2">
      <c r="A4295" s="13"/>
      <c r="B4295" s="14"/>
      <c r="C4295" s="13"/>
      <c r="E4295" s="13"/>
      <c r="N4295" s="13"/>
      <c r="O4295" s="13"/>
      <c r="P4295" s="13"/>
      <c r="Q4295" s="13"/>
      <c r="R4295" s="13"/>
      <c r="S4295" s="13"/>
      <c r="T4295" s="13"/>
      <c r="U4295" s="13"/>
      <c r="V4295" s="13"/>
      <c r="AC4295" s="13"/>
      <c r="AD4295" s="13"/>
      <c r="AE4295" s="13"/>
      <c r="AG4295" s="13"/>
      <c r="AH4295" s="13"/>
      <c r="AI4295" s="13"/>
      <c r="AJ4295" s="13"/>
      <c r="AK4295" s="13"/>
      <c r="AL4295" s="8"/>
      <c r="AU4295" s="13"/>
      <c r="AV4295" s="13"/>
      <c r="CU4295" s="13"/>
      <c r="DG4295" s="13"/>
    </row>
    <row r="4296" spans="1:111" x14ac:dyDescent="0.2">
      <c r="A4296" s="13"/>
      <c r="B4296" s="14"/>
      <c r="C4296" s="13"/>
      <c r="E4296" s="13"/>
      <c r="N4296" s="13"/>
      <c r="O4296" s="13"/>
      <c r="P4296" s="13"/>
      <c r="Q4296" s="13"/>
      <c r="R4296" s="13"/>
      <c r="S4296" s="13"/>
      <c r="T4296" s="13"/>
      <c r="U4296" s="13"/>
      <c r="V4296" s="13"/>
      <c r="AC4296" s="13"/>
      <c r="AD4296" s="13"/>
      <c r="AE4296" s="13"/>
      <c r="AG4296" s="13"/>
      <c r="AH4296" s="13"/>
      <c r="AI4296" s="13"/>
      <c r="AJ4296" s="13"/>
      <c r="AK4296" s="13"/>
      <c r="AL4296" s="8"/>
      <c r="AU4296" s="13"/>
      <c r="AV4296" s="13"/>
      <c r="CU4296" s="13"/>
      <c r="DG4296" s="13"/>
    </row>
    <row r="4297" spans="1:111" x14ac:dyDescent="0.2">
      <c r="A4297" s="13"/>
      <c r="B4297" s="14"/>
      <c r="C4297" s="13"/>
      <c r="E4297" s="13"/>
      <c r="N4297" s="13"/>
      <c r="O4297" s="13"/>
      <c r="P4297" s="13"/>
      <c r="Q4297" s="13"/>
      <c r="R4297" s="13"/>
      <c r="S4297" s="13"/>
      <c r="T4297" s="13"/>
      <c r="U4297" s="13"/>
      <c r="V4297" s="13"/>
      <c r="AC4297" s="13"/>
      <c r="AD4297" s="13"/>
      <c r="AE4297" s="13"/>
      <c r="AG4297" s="13"/>
      <c r="AH4297" s="13"/>
      <c r="AI4297" s="13"/>
      <c r="AJ4297" s="13"/>
      <c r="AK4297" s="13"/>
      <c r="AL4297" s="8"/>
      <c r="AU4297" s="13"/>
      <c r="AV4297" s="13"/>
      <c r="CU4297" s="13"/>
      <c r="DG4297" s="13"/>
    </row>
    <row r="4298" spans="1:111" x14ac:dyDescent="0.2">
      <c r="A4298" s="13"/>
      <c r="B4298" s="14"/>
      <c r="C4298" s="13"/>
      <c r="E4298" s="13"/>
      <c r="N4298" s="13"/>
      <c r="O4298" s="13"/>
      <c r="P4298" s="13"/>
      <c r="Q4298" s="13"/>
      <c r="R4298" s="13"/>
      <c r="S4298" s="13"/>
      <c r="T4298" s="13"/>
      <c r="U4298" s="13"/>
      <c r="V4298" s="13"/>
      <c r="AC4298" s="13"/>
      <c r="AD4298" s="13"/>
      <c r="AE4298" s="13"/>
      <c r="AG4298" s="13"/>
      <c r="AH4298" s="13"/>
      <c r="AI4298" s="13"/>
      <c r="AJ4298" s="13"/>
      <c r="AK4298" s="13"/>
      <c r="AL4298" s="8"/>
      <c r="AU4298" s="13"/>
      <c r="AV4298" s="13"/>
      <c r="CU4298" s="13"/>
      <c r="DG4298" s="13"/>
    </row>
    <row r="4299" spans="1:111" x14ac:dyDescent="0.2">
      <c r="A4299" s="13"/>
      <c r="B4299" s="14"/>
      <c r="C4299" s="13"/>
      <c r="E4299" s="13"/>
      <c r="N4299" s="13"/>
      <c r="O4299" s="13"/>
      <c r="P4299" s="13"/>
      <c r="Q4299" s="13"/>
      <c r="R4299" s="13"/>
      <c r="S4299" s="13"/>
      <c r="T4299" s="13"/>
      <c r="U4299" s="13"/>
      <c r="V4299" s="13"/>
      <c r="AC4299" s="13"/>
      <c r="AD4299" s="13"/>
      <c r="AE4299" s="13"/>
      <c r="AG4299" s="13"/>
      <c r="AH4299" s="13"/>
      <c r="AI4299" s="13"/>
      <c r="AJ4299" s="13"/>
      <c r="AK4299" s="13"/>
      <c r="AL4299" s="8"/>
      <c r="AU4299" s="13"/>
      <c r="AV4299" s="13"/>
      <c r="CU4299" s="13"/>
      <c r="DG4299" s="13"/>
    </row>
    <row r="4300" spans="1:111" x14ac:dyDescent="0.2">
      <c r="A4300" s="13"/>
      <c r="B4300" s="14"/>
      <c r="C4300" s="13"/>
      <c r="E4300" s="13"/>
      <c r="N4300" s="13"/>
      <c r="O4300" s="13"/>
      <c r="P4300" s="13"/>
      <c r="Q4300" s="13"/>
      <c r="R4300" s="13"/>
      <c r="S4300" s="13"/>
      <c r="T4300" s="13"/>
      <c r="U4300" s="13"/>
      <c r="V4300" s="13"/>
      <c r="AC4300" s="13"/>
      <c r="AD4300" s="13"/>
      <c r="AE4300" s="13"/>
      <c r="AG4300" s="13"/>
      <c r="AH4300" s="13"/>
      <c r="AI4300" s="13"/>
      <c r="AJ4300" s="13"/>
      <c r="AK4300" s="13"/>
      <c r="AL4300" s="8"/>
      <c r="AU4300" s="13"/>
      <c r="AV4300" s="13"/>
      <c r="CU4300" s="13"/>
      <c r="DG4300" s="13"/>
    </row>
    <row r="4301" spans="1:111" x14ac:dyDescent="0.2">
      <c r="A4301" s="13"/>
      <c r="B4301" s="14"/>
      <c r="C4301" s="13"/>
      <c r="E4301" s="13"/>
      <c r="N4301" s="13"/>
      <c r="O4301" s="13"/>
      <c r="P4301" s="13"/>
      <c r="Q4301" s="13"/>
      <c r="R4301" s="13"/>
      <c r="S4301" s="13"/>
      <c r="T4301" s="13"/>
      <c r="U4301" s="13"/>
      <c r="V4301" s="13"/>
      <c r="AC4301" s="13"/>
      <c r="AD4301" s="13"/>
      <c r="AE4301" s="13"/>
      <c r="AG4301" s="13"/>
      <c r="AH4301" s="13"/>
      <c r="AI4301" s="13"/>
      <c r="AJ4301" s="13"/>
      <c r="AK4301" s="13"/>
      <c r="AL4301" s="8"/>
      <c r="AU4301" s="13"/>
      <c r="AV4301" s="13"/>
      <c r="CU4301" s="13"/>
      <c r="DG4301" s="13"/>
    </row>
    <row r="4302" spans="1:111" x14ac:dyDescent="0.2">
      <c r="A4302" s="13"/>
      <c r="B4302" s="14"/>
      <c r="C4302" s="13"/>
      <c r="E4302" s="13"/>
      <c r="N4302" s="13"/>
      <c r="O4302" s="13"/>
      <c r="P4302" s="13"/>
      <c r="Q4302" s="13"/>
      <c r="R4302" s="13"/>
      <c r="S4302" s="13"/>
      <c r="T4302" s="13"/>
      <c r="U4302" s="13"/>
      <c r="V4302" s="13"/>
      <c r="AC4302" s="13"/>
      <c r="AD4302" s="13"/>
      <c r="AE4302" s="13"/>
      <c r="AG4302" s="13"/>
      <c r="AH4302" s="13"/>
      <c r="AI4302" s="13"/>
      <c r="AJ4302" s="13"/>
      <c r="AK4302" s="13"/>
      <c r="AL4302" s="8"/>
      <c r="AU4302" s="13"/>
      <c r="AV4302" s="13"/>
      <c r="CU4302" s="13"/>
      <c r="DG4302" s="13"/>
    </row>
    <row r="4303" spans="1:111" x14ac:dyDescent="0.2">
      <c r="A4303" s="13"/>
      <c r="B4303" s="14"/>
      <c r="C4303" s="13"/>
      <c r="E4303" s="13"/>
      <c r="N4303" s="13"/>
      <c r="O4303" s="13"/>
      <c r="P4303" s="13"/>
      <c r="Q4303" s="13"/>
      <c r="R4303" s="13"/>
      <c r="S4303" s="13"/>
      <c r="T4303" s="13"/>
      <c r="U4303" s="13"/>
      <c r="V4303" s="13"/>
      <c r="AC4303" s="13"/>
      <c r="AD4303" s="13"/>
      <c r="AE4303" s="13"/>
      <c r="AG4303" s="13"/>
      <c r="AH4303" s="13"/>
      <c r="AI4303" s="13"/>
      <c r="AJ4303" s="13"/>
      <c r="AK4303" s="13"/>
      <c r="AL4303" s="8"/>
      <c r="AU4303" s="13"/>
      <c r="AV4303" s="13"/>
      <c r="CU4303" s="13"/>
      <c r="DG4303" s="13"/>
    </row>
    <row r="4304" spans="1:111" x14ac:dyDescent="0.2">
      <c r="A4304" s="13"/>
      <c r="B4304" s="14"/>
      <c r="C4304" s="13"/>
      <c r="E4304" s="13"/>
      <c r="N4304" s="13"/>
      <c r="O4304" s="13"/>
      <c r="P4304" s="13"/>
      <c r="Q4304" s="13"/>
      <c r="R4304" s="13"/>
      <c r="S4304" s="13"/>
      <c r="T4304" s="13"/>
      <c r="U4304" s="13"/>
      <c r="V4304" s="13"/>
      <c r="AC4304" s="13"/>
      <c r="AD4304" s="13"/>
      <c r="AE4304" s="13"/>
      <c r="AG4304" s="13"/>
      <c r="AH4304" s="13"/>
      <c r="AI4304" s="13"/>
      <c r="AJ4304" s="13"/>
      <c r="AK4304" s="13"/>
      <c r="AL4304" s="8"/>
      <c r="AU4304" s="13"/>
      <c r="AV4304" s="13"/>
      <c r="CU4304" s="13"/>
      <c r="DG4304" s="13"/>
    </row>
    <row r="4305" spans="1:111" x14ac:dyDescent="0.2">
      <c r="A4305" s="13"/>
      <c r="B4305" s="14"/>
      <c r="C4305" s="13"/>
      <c r="E4305" s="13"/>
      <c r="N4305" s="13"/>
      <c r="O4305" s="13"/>
      <c r="P4305" s="13"/>
      <c r="Q4305" s="13"/>
      <c r="R4305" s="13"/>
      <c r="S4305" s="13"/>
      <c r="T4305" s="13"/>
      <c r="U4305" s="13"/>
      <c r="V4305" s="13"/>
      <c r="AC4305" s="13"/>
      <c r="AD4305" s="13"/>
      <c r="AE4305" s="13"/>
      <c r="AG4305" s="13"/>
      <c r="AH4305" s="13"/>
      <c r="AI4305" s="13"/>
      <c r="AJ4305" s="13"/>
      <c r="AK4305" s="13"/>
      <c r="AL4305" s="8"/>
      <c r="AU4305" s="13"/>
      <c r="AV4305" s="13"/>
      <c r="CU4305" s="13"/>
      <c r="DG4305" s="13"/>
    </row>
    <row r="4306" spans="1:111" x14ac:dyDescent="0.2">
      <c r="A4306" s="13"/>
      <c r="B4306" s="14"/>
      <c r="C4306" s="13"/>
      <c r="E4306" s="13"/>
      <c r="N4306" s="13"/>
      <c r="O4306" s="13"/>
      <c r="P4306" s="13"/>
      <c r="Q4306" s="13"/>
      <c r="R4306" s="13"/>
      <c r="S4306" s="13"/>
      <c r="T4306" s="13"/>
      <c r="U4306" s="13"/>
      <c r="V4306" s="13"/>
      <c r="AC4306" s="13"/>
      <c r="AD4306" s="13"/>
      <c r="AE4306" s="13"/>
      <c r="AG4306" s="13"/>
      <c r="AH4306" s="13"/>
      <c r="AI4306" s="13"/>
      <c r="AJ4306" s="13"/>
      <c r="AK4306" s="13"/>
      <c r="AL4306" s="8"/>
      <c r="AU4306" s="13"/>
      <c r="AV4306" s="13"/>
      <c r="CU4306" s="13"/>
      <c r="DG4306" s="13"/>
    </row>
    <row r="4307" spans="1:111" x14ac:dyDescent="0.2">
      <c r="A4307" s="13"/>
      <c r="B4307" s="14"/>
      <c r="C4307" s="13"/>
      <c r="E4307" s="13"/>
      <c r="N4307" s="13"/>
      <c r="O4307" s="13"/>
      <c r="P4307" s="13"/>
      <c r="Q4307" s="13"/>
      <c r="R4307" s="13"/>
      <c r="S4307" s="13"/>
      <c r="T4307" s="13"/>
      <c r="U4307" s="13"/>
      <c r="V4307" s="13"/>
      <c r="AC4307" s="13"/>
      <c r="AD4307" s="13"/>
      <c r="AE4307" s="13"/>
      <c r="AG4307" s="13"/>
      <c r="AH4307" s="13"/>
      <c r="AI4307" s="13"/>
      <c r="AJ4307" s="13"/>
      <c r="AK4307" s="13"/>
      <c r="AL4307" s="8"/>
      <c r="AU4307" s="13"/>
      <c r="AV4307" s="13"/>
      <c r="CU4307" s="13"/>
      <c r="DG4307" s="13"/>
    </row>
    <row r="4308" spans="1:111" x14ac:dyDescent="0.2">
      <c r="A4308" s="13"/>
      <c r="B4308" s="14"/>
      <c r="C4308" s="13"/>
      <c r="E4308" s="13"/>
      <c r="N4308" s="13"/>
      <c r="O4308" s="13"/>
      <c r="P4308" s="13"/>
      <c r="Q4308" s="13"/>
      <c r="R4308" s="13"/>
      <c r="S4308" s="13"/>
      <c r="T4308" s="13"/>
      <c r="U4308" s="13"/>
      <c r="V4308" s="13"/>
      <c r="AC4308" s="13"/>
      <c r="AD4308" s="13"/>
      <c r="AE4308" s="13"/>
      <c r="AG4308" s="13"/>
      <c r="AH4308" s="13"/>
      <c r="AI4308" s="13"/>
      <c r="AJ4308" s="13"/>
      <c r="AK4308" s="13"/>
      <c r="AL4308" s="8"/>
      <c r="AU4308" s="13"/>
      <c r="AV4308" s="13"/>
      <c r="CU4308" s="13"/>
      <c r="DG4308" s="13"/>
    </row>
    <row r="4309" spans="1:111" x14ac:dyDescent="0.2">
      <c r="A4309" s="13"/>
      <c r="B4309" s="14"/>
      <c r="C4309" s="13"/>
      <c r="E4309" s="13"/>
      <c r="N4309" s="13"/>
      <c r="O4309" s="13"/>
      <c r="P4309" s="13"/>
      <c r="Q4309" s="13"/>
      <c r="R4309" s="13"/>
      <c r="S4309" s="13"/>
      <c r="T4309" s="13"/>
      <c r="U4309" s="13"/>
      <c r="V4309" s="13"/>
      <c r="AC4309" s="13"/>
      <c r="AD4309" s="13"/>
      <c r="AE4309" s="13"/>
      <c r="AG4309" s="13"/>
      <c r="AH4309" s="13"/>
      <c r="AI4309" s="13"/>
      <c r="AJ4309" s="13"/>
      <c r="AK4309" s="13"/>
      <c r="AL4309" s="8"/>
      <c r="AU4309" s="13"/>
      <c r="AV4309" s="13"/>
      <c r="CU4309" s="13"/>
      <c r="DG4309" s="13"/>
    </row>
    <row r="4310" spans="1:111" x14ac:dyDescent="0.2">
      <c r="A4310" s="13"/>
      <c r="B4310" s="14"/>
      <c r="C4310" s="13"/>
      <c r="E4310" s="13"/>
      <c r="N4310" s="13"/>
      <c r="O4310" s="13"/>
      <c r="P4310" s="13"/>
      <c r="Q4310" s="13"/>
      <c r="R4310" s="13"/>
      <c r="S4310" s="13"/>
      <c r="T4310" s="13"/>
      <c r="U4310" s="13"/>
      <c r="V4310" s="13"/>
      <c r="AC4310" s="13"/>
      <c r="AD4310" s="13"/>
      <c r="AE4310" s="13"/>
      <c r="AG4310" s="13"/>
      <c r="AH4310" s="13"/>
      <c r="AI4310" s="13"/>
      <c r="AJ4310" s="13"/>
      <c r="AK4310" s="13"/>
      <c r="AL4310" s="8"/>
      <c r="AU4310" s="13"/>
      <c r="AV4310" s="13"/>
      <c r="CU4310" s="13"/>
      <c r="DG4310" s="13"/>
    </row>
    <row r="4311" spans="1:111" x14ac:dyDescent="0.2">
      <c r="A4311" s="13"/>
      <c r="B4311" s="14"/>
      <c r="C4311" s="13"/>
      <c r="E4311" s="13"/>
      <c r="N4311" s="13"/>
      <c r="O4311" s="13"/>
      <c r="P4311" s="13"/>
      <c r="Q4311" s="13"/>
      <c r="R4311" s="13"/>
      <c r="S4311" s="13"/>
      <c r="T4311" s="13"/>
      <c r="U4311" s="13"/>
      <c r="V4311" s="13"/>
      <c r="AC4311" s="13"/>
      <c r="AD4311" s="13"/>
      <c r="AE4311" s="13"/>
      <c r="AG4311" s="13"/>
      <c r="AH4311" s="13"/>
      <c r="AI4311" s="13"/>
      <c r="AJ4311" s="13"/>
      <c r="AK4311" s="13"/>
      <c r="AL4311" s="8"/>
      <c r="AU4311" s="13"/>
      <c r="AV4311" s="13"/>
      <c r="CU4311" s="13"/>
      <c r="DG4311" s="13"/>
    </row>
    <row r="4312" spans="1:111" x14ac:dyDescent="0.2">
      <c r="A4312" s="13"/>
      <c r="B4312" s="14"/>
      <c r="C4312" s="13"/>
      <c r="E4312" s="13"/>
      <c r="N4312" s="13"/>
      <c r="O4312" s="13"/>
      <c r="P4312" s="13"/>
      <c r="Q4312" s="13"/>
      <c r="R4312" s="13"/>
      <c r="S4312" s="13"/>
      <c r="T4312" s="13"/>
      <c r="U4312" s="13"/>
      <c r="V4312" s="13"/>
      <c r="AC4312" s="13"/>
      <c r="AD4312" s="13"/>
      <c r="AE4312" s="13"/>
      <c r="AG4312" s="13"/>
      <c r="AH4312" s="13"/>
      <c r="AI4312" s="13"/>
      <c r="AJ4312" s="13"/>
      <c r="AK4312" s="13"/>
      <c r="AL4312" s="8"/>
      <c r="AU4312" s="13"/>
      <c r="AV4312" s="13"/>
      <c r="CU4312" s="13"/>
      <c r="DG4312" s="13"/>
    </row>
    <row r="4313" spans="1:111" x14ac:dyDescent="0.2">
      <c r="A4313" s="13"/>
      <c r="B4313" s="14"/>
      <c r="C4313" s="13"/>
      <c r="E4313" s="13"/>
      <c r="N4313" s="13"/>
      <c r="O4313" s="13"/>
      <c r="P4313" s="13"/>
      <c r="Q4313" s="13"/>
      <c r="R4313" s="13"/>
      <c r="S4313" s="13"/>
      <c r="T4313" s="13"/>
      <c r="U4313" s="13"/>
      <c r="V4313" s="13"/>
      <c r="AC4313" s="13"/>
      <c r="AD4313" s="13"/>
      <c r="AE4313" s="13"/>
      <c r="AG4313" s="13"/>
      <c r="AH4313" s="13"/>
      <c r="AI4313" s="13"/>
      <c r="AJ4313" s="13"/>
      <c r="AK4313" s="13"/>
      <c r="AL4313" s="8"/>
      <c r="AU4313" s="13"/>
      <c r="AV4313" s="13"/>
      <c r="CU4313" s="13"/>
      <c r="DG4313" s="13"/>
    </row>
    <row r="4314" spans="1:111" x14ac:dyDescent="0.2">
      <c r="A4314" s="13"/>
      <c r="B4314" s="14"/>
      <c r="C4314" s="13"/>
      <c r="E4314" s="13"/>
      <c r="N4314" s="13"/>
      <c r="O4314" s="13"/>
      <c r="P4314" s="13"/>
      <c r="Q4314" s="13"/>
      <c r="R4314" s="13"/>
      <c r="S4314" s="13"/>
      <c r="T4314" s="13"/>
      <c r="U4314" s="13"/>
      <c r="V4314" s="13"/>
      <c r="AC4314" s="13"/>
      <c r="AD4314" s="13"/>
      <c r="AE4314" s="13"/>
      <c r="AG4314" s="13"/>
      <c r="AH4314" s="13"/>
      <c r="AI4314" s="13"/>
      <c r="AJ4314" s="13"/>
      <c r="AK4314" s="13"/>
      <c r="AL4314" s="8"/>
      <c r="AU4314" s="13"/>
      <c r="AV4314" s="13"/>
      <c r="CU4314" s="13"/>
      <c r="DG4314" s="13"/>
    </row>
    <row r="4315" spans="1:111" x14ac:dyDescent="0.2">
      <c r="A4315" s="13"/>
      <c r="B4315" s="14"/>
      <c r="C4315" s="13"/>
      <c r="E4315" s="13"/>
      <c r="N4315" s="13"/>
      <c r="O4315" s="13"/>
      <c r="P4315" s="13"/>
      <c r="Q4315" s="13"/>
      <c r="R4315" s="13"/>
      <c r="S4315" s="13"/>
      <c r="T4315" s="13"/>
      <c r="U4315" s="13"/>
      <c r="V4315" s="13"/>
      <c r="AC4315" s="13"/>
      <c r="AD4315" s="13"/>
      <c r="AE4315" s="13"/>
      <c r="AG4315" s="13"/>
      <c r="AH4315" s="13"/>
      <c r="AI4315" s="13"/>
      <c r="AJ4315" s="13"/>
      <c r="AK4315" s="13"/>
      <c r="AL4315" s="8"/>
      <c r="AU4315" s="13"/>
      <c r="AV4315" s="13"/>
      <c r="CU4315" s="13"/>
      <c r="DG4315" s="13"/>
    </row>
    <row r="4316" spans="1:111" x14ac:dyDescent="0.2">
      <c r="A4316" s="13"/>
      <c r="B4316" s="14"/>
      <c r="C4316" s="13"/>
      <c r="E4316" s="13"/>
      <c r="N4316" s="13"/>
      <c r="O4316" s="13"/>
      <c r="P4316" s="13"/>
      <c r="Q4316" s="13"/>
      <c r="R4316" s="13"/>
      <c r="S4316" s="13"/>
      <c r="T4316" s="13"/>
      <c r="U4316" s="13"/>
      <c r="V4316" s="13"/>
      <c r="AC4316" s="13"/>
      <c r="AD4316" s="13"/>
      <c r="AE4316" s="13"/>
      <c r="AG4316" s="13"/>
      <c r="AH4316" s="13"/>
      <c r="AI4316" s="13"/>
      <c r="AJ4316" s="13"/>
      <c r="AK4316" s="13"/>
      <c r="AL4316" s="8"/>
      <c r="AU4316" s="13"/>
      <c r="AV4316" s="13"/>
      <c r="CU4316" s="13"/>
      <c r="DG4316" s="13"/>
    </row>
    <row r="4317" spans="1:111" x14ac:dyDescent="0.2">
      <c r="A4317" s="13"/>
      <c r="B4317" s="14"/>
      <c r="C4317" s="13"/>
      <c r="E4317" s="13"/>
      <c r="N4317" s="13"/>
      <c r="O4317" s="13"/>
      <c r="P4317" s="13"/>
      <c r="Q4317" s="13"/>
      <c r="R4317" s="13"/>
      <c r="S4317" s="13"/>
      <c r="T4317" s="13"/>
      <c r="U4317" s="13"/>
      <c r="V4317" s="13"/>
      <c r="AC4317" s="13"/>
      <c r="AD4317" s="13"/>
      <c r="AE4317" s="13"/>
      <c r="AG4317" s="13"/>
      <c r="AH4317" s="13"/>
      <c r="AI4317" s="13"/>
      <c r="AJ4317" s="13"/>
      <c r="AK4317" s="13"/>
      <c r="AL4317" s="8"/>
      <c r="AU4317" s="13"/>
      <c r="AV4317" s="13"/>
      <c r="CU4317" s="13"/>
      <c r="DG4317" s="13"/>
    </row>
    <row r="4318" spans="1:111" x14ac:dyDescent="0.2">
      <c r="A4318" s="13"/>
      <c r="B4318" s="14"/>
      <c r="C4318" s="13"/>
      <c r="E4318" s="13"/>
      <c r="N4318" s="13"/>
      <c r="O4318" s="13"/>
      <c r="P4318" s="13"/>
      <c r="Q4318" s="13"/>
      <c r="R4318" s="13"/>
      <c r="S4318" s="13"/>
      <c r="T4318" s="13"/>
      <c r="U4318" s="13"/>
      <c r="V4318" s="13"/>
      <c r="AC4318" s="13"/>
      <c r="AD4318" s="13"/>
      <c r="AE4318" s="13"/>
      <c r="AG4318" s="13"/>
      <c r="AH4318" s="13"/>
      <c r="AI4318" s="13"/>
      <c r="AJ4318" s="13"/>
      <c r="AK4318" s="13"/>
      <c r="AL4318" s="8"/>
      <c r="AU4318" s="13"/>
      <c r="AV4318" s="13"/>
      <c r="CU4318" s="13"/>
      <c r="DG4318" s="13"/>
    </row>
    <row r="4319" spans="1:111" x14ac:dyDescent="0.2">
      <c r="A4319" s="13"/>
      <c r="B4319" s="14"/>
      <c r="C4319" s="13"/>
      <c r="E4319" s="13"/>
      <c r="N4319" s="13"/>
      <c r="O4319" s="13"/>
      <c r="P4319" s="13"/>
      <c r="Q4319" s="13"/>
      <c r="R4319" s="13"/>
      <c r="S4319" s="13"/>
      <c r="T4319" s="13"/>
      <c r="U4319" s="13"/>
      <c r="V4319" s="13"/>
      <c r="AC4319" s="13"/>
      <c r="AD4319" s="13"/>
      <c r="AE4319" s="13"/>
      <c r="AG4319" s="13"/>
      <c r="AH4319" s="13"/>
      <c r="AI4319" s="13"/>
      <c r="AJ4319" s="13"/>
      <c r="AK4319" s="13"/>
      <c r="AL4319" s="8"/>
      <c r="AU4319" s="13"/>
      <c r="AV4319" s="13"/>
      <c r="CU4319" s="13"/>
      <c r="DG4319" s="13"/>
    </row>
    <row r="4320" spans="1:111" x14ac:dyDescent="0.2">
      <c r="A4320" s="13"/>
      <c r="B4320" s="14"/>
      <c r="C4320" s="13"/>
      <c r="E4320" s="13"/>
      <c r="N4320" s="13"/>
      <c r="O4320" s="13"/>
      <c r="P4320" s="13"/>
      <c r="Q4320" s="13"/>
      <c r="R4320" s="13"/>
      <c r="S4320" s="13"/>
      <c r="T4320" s="13"/>
      <c r="U4320" s="13"/>
      <c r="V4320" s="13"/>
      <c r="AC4320" s="13"/>
      <c r="AD4320" s="13"/>
      <c r="AE4320" s="13"/>
      <c r="AG4320" s="13"/>
      <c r="AH4320" s="13"/>
      <c r="AI4320" s="13"/>
      <c r="AJ4320" s="13"/>
      <c r="AK4320" s="13"/>
      <c r="AL4320" s="8"/>
      <c r="AU4320" s="13"/>
      <c r="AV4320" s="13"/>
      <c r="CU4320" s="13"/>
      <c r="DG4320" s="13"/>
    </row>
    <row r="4321" spans="1:111" x14ac:dyDescent="0.2">
      <c r="A4321" s="13"/>
      <c r="B4321" s="14"/>
      <c r="C4321" s="13"/>
      <c r="E4321" s="13"/>
      <c r="N4321" s="13"/>
      <c r="O4321" s="13"/>
      <c r="P4321" s="13"/>
      <c r="Q4321" s="13"/>
      <c r="R4321" s="13"/>
      <c r="S4321" s="13"/>
      <c r="T4321" s="13"/>
      <c r="U4321" s="13"/>
      <c r="V4321" s="13"/>
      <c r="AC4321" s="13"/>
      <c r="AD4321" s="13"/>
      <c r="AE4321" s="13"/>
      <c r="AG4321" s="13"/>
      <c r="AH4321" s="13"/>
      <c r="AI4321" s="13"/>
      <c r="AJ4321" s="13"/>
      <c r="AK4321" s="13"/>
      <c r="AL4321" s="8"/>
      <c r="AU4321" s="13"/>
      <c r="AV4321" s="13"/>
      <c r="CU4321" s="13"/>
      <c r="DG4321" s="13"/>
    </row>
    <row r="4322" spans="1:111" x14ac:dyDescent="0.2">
      <c r="A4322" s="13"/>
      <c r="B4322" s="14"/>
      <c r="C4322" s="13"/>
      <c r="E4322" s="13"/>
      <c r="N4322" s="13"/>
      <c r="O4322" s="13"/>
      <c r="P4322" s="13"/>
      <c r="Q4322" s="13"/>
      <c r="R4322" s="13"/>
      <c r="S4322" s="13"/>
      <c r="T4322" s="13"/>
      <c r="U4322" s="13"/>
      <c r="V4322" s="13"/>
      <c r="AC4322" s="13"/>
      <c r="AD4322" s="13"/>
      <c r="AE4322" s="13"/>
      <c r="AG4322" s="13"/>
      <c r="AH4322" s="13"/>
      <c r="AI4322" s="13"/>
      <c r="AJ4322" s="13"/>
      <c r="AK4322" s="13"/>
      <c r="AL4322" s="8"/>
      <c r="AU4322" s="13"/>
      <c r="AV4322" s="13"/>
      <c r="CU4322" s="13"/>
      <c r="DG4322" s="13"/>
    </row>
    <row r="4323" spans="1:111" x14ac:dyDescent="0.2">
      <c r="A4323" s="13"/>
      <c r="B4323" s="14"/>
      <c r="C4323" s="13"/>
      <c r="E4323" s="13"/>
      <c r="N4323" s="13"/>
      <c r="O4323" s="13"/>
      <c r="P4323" s="13"/>
      <c r="Q4323" s="13"/>
      <c r="R4323" s="13"/>
      <c r="S4323" s="13"/>
      <c r="T4323" s="13"/>
      <c r="U4323" s="13"/>
      <c r="V4323" s="13"/>
      <c r="AC4323" s="13"/>
      <c r="AD4323" s="13"/>
      <c r="AE4323" s="13"/>
      <c r="AG4323" s="13"/>
      <c r="AH4323" s="13"/>
      <c r="AI4323" s="13"/>
      <c r="AJ4323" s="13"/>
      <c r="AK4323" s="13"/>
      <c r="AL4323" s="8"/>
      <c r="AU4323" s="13"/>
      <c r="AV4323" s="13"/>
      <c r="CU4323" s="13"/>
      <c r="DG4323" s="13"/>
    </row>
    <row r="4324" spans="1:111" x14ac:dyDescent="0.2">
      <c r="A4324" s="13"/>
      <c r="B4324" s="14"/>
      <c r="C4324" s="13"/>
      <c r="E4324" s="13"/>
      <c r="N4324" s="13"/>
      <c r="O4324" s="13"/>
      <c r="P4324" s="13"/>
      <c r="Q4324" s="13"/>
      <c r="R4324" s="13"/>
      <c r="S4324" s="13"/>
      <c r="T4324" s="13"/>
      <c r="U4324" s="13"/>
      <c r="V4324" s="13"/>
      <c r="AC4324" s="13"/>
      <c r="AD4324" s="13"/>
      <c r="AE4324" s="13"/>
      <c r="AG4324" s="13"/>
      <c r="AH4324" s="13"/>
      <c r="AI4324" s="13"/>
      <c r="AJ4324" s="13"/>
      <c r="AK4324" s="13"/>
      <c r="AL4324" s="8"/>
      <c r="AU4324" s="13"/>
      <c r="AV4324" s="13"/>
      <c r="CU4324" s="13"/>
      <c r="DG4324" s="13"/>
    </row>
    <row r="4325" spans="1:111" x14ac:dyDescent="0.2">
      <c r="A4325" s="13"/>
      <c r="B4325" s="14"/>
      <c r="C4325" s="13"/>
      <c r="E4325" s="13"/>
      <c r="N4325" s="13"/>
      <c r="O4325" s="13"/>
      <c r="P4325" s="13"/>
      <c r="Q4325" s="13"/>
      <c r="R4325" s="13"/>
      <c r="S4325" s="13"/>
      <c r="T4325" s="13"/>
      <c r="U4325" s="13"/>
      <c r="V4325" s="13"/>
      <c r="AC4325" s="13"/>
      <c r="AD4325" s="13"/>
      <c r="AE4325" s="13"/>
      <c r="AG4325" s="13"/>
      <c r="AH4325" s="13"/>
      <c r="AI4325" s="13"/>
      <c r="AJ4325" s="13"/>
      <c r="AK4325" s="13"/>
      <c r="AL4325" s="8"/>
      <c r="AU4325" s="13"/>
      <c r="AV4325" s="13"/>
      <c r="CU4325" s="13"/>
      <c r="DG4325" s="13"/>
    </row>
    <row r="4326" spans="1:111" x14ac:dyDescent="0.2">
      <c r="A4326" s="13"/>
      <c r="B4326" s="14"/>
      <c r="C4326" s="13"/>
      <c r="E4326" s="13"/>
      <c r="N4326" s="13"/>
      <c r="O4326" s="13"/>
      <c r="P4326" s="13"/>
      <c r="Q4326" s="13"/>
      <c r="R4326" s="13"/>
      <c r="S4326" s="13"/>
      <c r="T4326" s="13"/>
      <c r="U4326" s="13"/>
      <c r="V4326" s="13"/>
      <c r="AC4326" s="13"/>
      <c r="AD4326" s="13"/>
      <c r="AE4326" s="13"/>
      <c r="AG4326" s="13"/>
      <c r="AH4326" s="13"/>
      <c r="AI4326" s="13"/>
      <c r="AJ4326" s="13"/>
      <c r="AK4326" s="13"/>
      <c r="AL4326" s="8"/>
      <c r="AU4326" s="13"/>
      <c r="AV4326" s="13"/>
      <c r="CU4326" s="13"/>
      <c r="DG4326" s="13"/>
    </row>
    <row r="4327" spans="1:111" x14ac:dyDescent="0.2">
      <c r="A4327" s="13"/>
      <c r="B4327" s="14"/>
      <c r="C4327" s="13"/>
      <c r="E4327" s="13"/>
      <c r="N4327" s="13"/>
      <c r="O4327" s="13"/>
      <c r="P4327" s="13"/>
      <c r="Q4327" s="13"/>
      <c r="R4327" s="13"/>
      <c r="S4327" s="13"/>
      <c r="T4327" s="13"/>
      <c r="U4327" s="13"/>
      <c r="V4327" s="13"/>
      <c r="AC4327" s="13"/>
      <c r="AD4327" s="13"/>
      <c r="AE4327" s="13"/>
      <c r="AG4327" s="13"/>
      <c r="AH4327" s="13"/>
      <c r="AI4327" s="13"/>
      <c r="AJ4327" s="13"/>
      <c r="AK4327" s="13"/>
      <c r="AL4327" s="8"/>
      <c r="AU4327" s="13"/>
      <c r="AV4327" s="13"/>
      <c r="CU4327" s="13"/>
      <c r="DG4327" s="13"/>
    </row>
    <row r="4328" spans="1:111" x14ac:dyDescent="0.2">
      <c r="A4328" s="13"/>
      <c r="B4328" s="14"/>
      <c r="C4328" s="13"/>
      <c r="E4328" s="13"/>
      <c r="N4328" s="13"/>
      <c r="O4328" s="13"/>
      <c r="P4328" s="13"/>
      <c r="Q4328" s="13"/>
      <c r="R4328" s="13"/>
      <c r="S4328" s="13"/>
      <c r="T4328" s="13"/>
      <c r="U4328" s="13"/>
      <c r="V4328" s="13"/>
      <c r="AC4328" s="13"/>
      <c r="AD4328" s="13"/>
      <c r="AE4328" s="13"/>
      <c r="AG4328" s="13"/>
      <c r="AH4328" s="13"/>
      <c r="AI4328" s="13"/>
      <c r="AJ4328" s="13"/>
      <c r="AK4328" s="13"/>
      <c r="AL4328" s="8"/>
      <c r="AU4328" s="13"/>
      <c r="AV4328" s="13"/>
      <c r="CU4328" s="13"/>
      <c r="DG4328" s="13"/>
    </row>
    <row r="4329" spans="1:111" x14ac:dyDescent="0.2">
      <c r="A4329" s="13"/>
      <c r="B4329" s="14"/>
      <c r="C4329" s="13"/>
      <c r="E4329" s="13"/>
      <c r="N4329" s="13"/>
      <c r="O4329" s="13"/>
      <c r="P4329" s="13"/>
      <c r="Q4329" s="13"/>
      <c r="R4329" s="13"/>
      <c r="S4329" s="13"/>
      <c r="T4329" s="13"/>
      <c r="U4329" s="13"/>
      <c r="V4329" s="13"/>
      <c r="AC4329" s="13"/>
      <c r="AD4329" s="13"/>
      <c r="AE4329" s="13"/>
      <c r="AG4329" s="13"/>
      <c r="AH4329" s="13"/>
      <c r="AI4329" s="13"/>
      <c r="AJ4329" s="13"/>
      <c r="AK4329" s="13"/>
      <c r="AL4329" s="8"/>
      <c r="AU4329" s="13"/>
      <c r="AV4329" s="13"/>
      <c r="CU4329" s="13"/>
      <c r="DG4329" s="13"/>
    </row>
    <row r="4330" spans="1:111" x14ac:dyDescent="0.2">
      <c r="A4330" s="13"/>
      <c r="B4330" s="14"/>
      <c r="C4330" s="13"/>
      <c r="E4330" s="13"/>
      <c r="N4330" s="13"/>
      <c r="O4330" s="13"/>
      <c r="P4330" s="13"/>
      <c r="Q4330" s="13"/>
      <c r="R4330" s="13"/>
      <c r="S4330" s="13"/>
      <c r="T4330" s="13"/>
      <c r="U4330" s="13"/>
      <c r="V4330" s="13"/>
      <c r="AC4330" s="13"/>
      <c r="AD4330" s="13"/>
      <c r="AE4330" s="13"/>
      <c r="AG4330" s="13"/>
      <c r="AH4330" s="13"/>
      <c r="AI4330" s="13"/>
      <c r="AJ4330" s="13"/>
      <c r="AK4330" s="13"/>
      <c r="AL4330" s="8"/>
      <c r="AU4330" s="13"/>
      <c r="AV4330" s="13"/>
      <c r="CU4330" s="13"/>
      <c r="DG4330" s="13"/>
    </row>
    <row r="4331" spans="1:111" x14ac:dyDescent="0.2">
      <c r="A4331" s="13"/>
      <c r="B4331" s="14"/>
      <c r="C4331" s="13"/>
      <c r="E4331" s="13"/>
      <c r="N4331" s="13"/>
      <c r="O4331" s="13"/>
      <c r="P4331" s="13"/>
      <c r="Q4331" s="13"/>
      <c r="R4331" s="13"/>
      <c r="S4331" s="13"/>
      <c r="T4331" s="13"/>
      <c r="U4331" s="13"/>
      <c r="V4331" s="13"/>
      <c r="AC4331" s="13"/>
      <c r="AD4331" s="13"/>
      <c r="AE4331" s="13"/>
      <c r="AG4331" s="13"/>
      <c r="AH4331" s="13"/>
      <c r="AI4331" s="13"/>
      <c r="AJ4331" s="13"/>
      <c r="AK4331" s="13"/>
      <c r="AL4331" s="8"/>
      <c r="AU4331" s="13"/>
      <c r="AV4331" s="13"/>
      <c r="CU4331" s="13"/>
      <c r="DG4331" s="13"/>
    </row>
    <row r="4332" spans="1:111" x14ac:dyDescent="0.2">
      <c r="A4332" s="13"/>
      <c r="B4332" s="14"/>
      <c r="C4332" s="13"/>
      <c r="E4332" s="13"/>
      <c r="N4332" s="13"/>
      <c r="O4332" s="13"/>
      <c r="P4332" s="13"/>
      <c r="Q4332" s="13"/>
      <c r="R4332" s="13"/>
      <c r="S4332" s="13"/>
      <c r="T4332" s="13"/>
      <c r="U4332" s="13"/>
      <c r="V4332" s="13"/>
      <c r="AC4332" s="13"/>
      <c r="AD4332" s="13"/>
      <c r="AE4332" s="13"/>
      <c r="AG4332" s="13"/>
      <c r="AH4332" s="13"/>
      <c r="AI4332" s="13"/>
      <c r="AJ4332" s="13"/>
      <c r="AK4332" s="13"/>
      <c r="AL4332" s="8"/>
      <c r="AU4332" s="13"/>
      <c r="AV4332" s="13"/>
      <c r="CU4332" s="13"/>
      <c r="DG4332" s="13"/>
    </row>
    <row r="4333" spans="1:111" x14ac:dyDescent="0.2">
      <c r="A4333" s="13"/>
      <c r="B4333" s="14"/>
      <c r="C4333" s="13"/>
      <c r="E4333" s="13"/>
      <c r="N4333" s="13"/>
      <c r="O4333" s="13"/>
      <c r="P4333" s="13"/>
      <c r="Q4333" s="13"/>
      <c r="R4333" s="13"/>
      <c r="S4333" s="13"/>
      <c r="T4333" s="13"/>
      <c r="U4333" s="13"/>
      <c r="V4333" s="13"/>
      <c r="AC4333" s="13"/>
      <c r="AD4333" s="13"/>
      <c r="AE4333" s="13"/>
      <c r="AG4333" s="13"/>
      <c r="AH4333" s="13"/>
      <c r="AI4333" s="13"/>
      <c r="AJ4333" s="13"/>
      <c r="AK4333" s="13"/>
      <c r="AL4333" s="8"/>
      <c r="AU4333" s="13"/>
      <c r="AV4333" s="13"/>
      <c r="CU4333" s="13"/>
      <c r="DG4333" s="13"/>
    </row>
    <row r="4334" spans="1:111" x14ac:dyDescent="0.2">
      <c r="A4334" s="13"/>
      <c r="B4334" s="14"/>
      <c r="C4334" s="13"/>
      <c r="E4334" s="13"/>
      <c r="N4334" s="13"/>
      <c r="O4334" s="13"/>
      <c r="P4334" s="13"/>
      <c r="Q4334" s="13"/>
      <c r="R4334" s="13"/>
      <c r="S4334" s="13"/>
      <c r="T4334" s="13"/>
      <c r="U4334" s="13"/>
      <c r="V4334" s="13"/>
      <c r="AC4334" s="13"/>
      <c r="AD4334" s="13"/>
      <c r="AE4334" s="13"/>
      <c r="AG4334" s="13"/>
      <c r="AH4334" s="13"/>
      <c r="AI4334" s="13"/>
      <c r="AJ4334" s="13"/>
      <c r="AK4334" s="13"/>
      <c r="AL4334" s="8"/>
      <c r="AU4334" s="13"/>
      <c r="AV4334" s="13"/>
      <c r="CU4334" s="13"/>
      <c r="DG4334" s="13"/>
    </row>
    <row r="4335" spans="1:111" x14ac:dyDescent="0.2">
      <c r="A4335" s="13"/>
      <c r="B4335" s="14"/>
      <c r="C4335" s="13"/>
      <c r="E4335" s="13"/>
      <c r="N4335" s="13"/>
      <c r="O4335" s="13"/>
      <c r="P4335" s="13"/>
      <c r="Q4335" s="13"/>
      <c r="R4335" s="13"/>
      <c r="S4335" s="13"/>
      <c r="T4335" s="13"/>
      <c r="U4335" s="13"/>
      <c r="V4335" s="13"/>
      <c r="AC4335" s="13"/>
      <c r="AD4335" s="13"/>
      <c r="AE4335" s="13"/>
      <c r="AG4335" s="13"/>
      <c r="AH4335" s="13"/>
      <c r="AI4335" s="13"/>
      <c r="AJ4335" s="13"/>
      <c r="AK4335" s="13"/>
      <c r="AL4335" s="8"/>
      <c r="AU4335" s="13"/>
      <c r="AV4335" s="13"/>
      <c r="CU4335" s="13"/>
      <c r="DG4335" s="13"/>
    </row>
    <row r="4336" spans="1:111" x14ac:dyDescent="0.2">
      <c r="A4336" s="13"/>
      <c r="B4336" s="14"/>
      <c r="C4336" s="13"/>
      <c r="E4336" s="13"/>
      <c r="N4336" s="13"/>
      <c r="O4336" s="13"/>
      <c r="P4336" s="13"/>
      <c r="Q4336" s="13"/>
      <c r="R4336" s="13"/>
      <c r="S4336" s="13"/>
      <c r="T4336" s="13"/>
      <c r="U4336" s="13"/>
      <c r="V4336" s="13"/>
      <c r="AC4336" s="13"/>
      <c r="AD4336" s="13"/>
      <c r="AE4336" s="13"/>
      <c r="AG4336" s="13"/>
      <c r="AH4336" s="13"/>
      <c r="AI4336" s="13"/>
      <c r="AJ4336" s="13"/>
      <c r="AK4336" s="13"/>
      <c r="AL4336" s="8"/>
      <c r="AU4336" s="13"/>
      <c r="AV4336" s="13"/>
      <c r="CU4336" s="13"/>
      <c r="DG4336" s="13"/>
    </row>
    <row r="4337" spans="1:111" x14ac:dyDescent="0.2">
      <c r="A4337" s="13"/>
      <c r="B4337" s="14"/>
      <c r="C4337" s="13"/>
      <c r="E4337" s="13"/>
      <c r="N4337" s="13"/>
      <c r="O4337" s="13"/>
      <c r="P4337" s="13"/>
      <c r="Q4337" s="13"/>
      <c r="R4337" s="13"/>
      <c r="S4337" s="13"/>
      <c r="T4337" s="13"/>
      <c r="U4337" s="13"/>
      <c r="V4337" s="13"/>
      <c r="AC4337" s="13"/>
      <c r="AD4337" s="13"/>
      <c r="AE4337" s="13"/>
      <c r="AG4337" s="13"/>
      <c r="AH4337" s="13"/>
      <c r="AI4337" s="13"/>
      <c r="AJ4337" s="13"/>
      <c r="AK4337" s="13"/>
      <c r="AL4337" s="8"/>
      <c r="AU4337" s="13"/>
      <c r="AV4337" s="13"/>
      <c r="CU4337" s="13"/>
      <c r="DG4337" s="13"/>
    </row>
    <row r="4338" spans="1:111" x14ac:dyDescent="0.2">
      <c r="A4338" s="13"/>
      <c r="B4338" s="14"/>
      <c r="C4338" s="13"/>
      <c r="E4338" s="13"/>
      <c r="N4338" s="13"/>
      <c r="O4338" s="13"/>
      <c r="P4338" s="13"/>
      <c r="Q4338" s="13"/>
      <c r="R4338" s="13"/>
      <c r="S4338" s="13"/>
      <c r="T4338" s="13"/>
      <c r="U4338" s="13"/>
      <c r="V4338" s="13"/>
      <c r="AC4338" s="13"/>
      <c r="AD4338" s="13"/>
      <c r="AE4338" s="13"/>
      <c r="AG4338" s="13"/>
      <c r="AH4338" s="13"/>
      <c r="AI4338" s="13"/>
      <c r="AJ4338" s="13"/>
      <c r="AK4338" s="13"/>
      <c r="AL4338" s="8"/>
      <c r="AU4338" s="13"/>
      <c r="AV4338" s="13"/>
      <c r="CU4338" s="13"/>
      <c r="DG4338" s="13"/>
    </row>
    <row r="4339" spans="1:111" x14ac:dyDescent="0.2">
      <c r="A4339" s="13"/>
      <c r="B4339" s="14"/>
      <c r="C4339" s="13"/>
      <c r="E4339" s="13"/>
      <c r="N4339" s="13"/>
      <c r="O4339" s="13"/>
      <c r="P4339" s="13"/>
      <c r="Q4339" s="13"/>
      <c r="R4339" s="13"/>
      <c r="S4339" s="13"/>
      <c r="T4339" s="13"/>
      <c r="U4339" s="13"/>
      <c r="V4339" s="13"/>
      <c r="AC4339" s="13"/>
      <c r="AD4339" s="13"/>
      <c r="AE4339" s="13"/>
      <c r="AG4339" s="13"/>
      <c r="AH4339" s="13"/>
      <c r="AI4339" s="13"/>
      <c r="AJ4339" s="13"/>
      <c r="AK4339" s="13"/>
      <c r="AL4339" s="8"/>
      <c r="AU4339" s="13"/>
      <c r="AV4339" s="13"/>
      <c r="CU4339" s="13"/>
      <c r="DG4339" s="13"/>
    </row>
    <row r="4340" spans="1:111" x14ac:dyDescent="0.2">
      <c r="A4340" s="13"/>
      <c r="B4340" s="14"/>
      <c r="C4340" s="13"/>
      <c r="E4340" s="13"/>
      <c r="N4340" s="13"/>
      <c r="O4340" s="13"/>
      <c r="P4340" s="13"/>
      <c r="Q4340" s="13"/>
      <c r="R4340" s="13"/>
      <c r="S4340" s="13"/>
      <c r="T4340" s="13"/>
      <c r="U4340" s="13"/>
      <c r="V4340" s="13"/>
      <c r="AC4340" s="13"/>
      <c r="AD4340" s="13"/>
      <c r="AE4340" s="13"/>
      <c r="AG4340" s="13"/>
      <c r="AH4340" s="13"/>
      <c r="AI4340" s="13"/>
      <c r="AJ4340" s="13"/>
      <c r="AK4340" s="13"/>
      <c r="AL4340" s="8"/>
      <c r="AU4340" s="13"/>
      <c r="AV4340" s="13"/>
      <c r="CU4340" s="13"/>
      <c r="DG4340" s="13"/>
    </row>
    <row r="4341" spans="1:111" x14ac:dyDescent="0.2">
      <c r="A4341" s="13"/>
      <c r="B4341" s="14"/>
      <c r="C4341" s="13"/>
      <c r="E4341" s="13"/>
      <c r="N4341" s="13"/>
      <c r="O4341" s="13"/>
      <c r="P4341" s="13"/>
      <c r="Q4341" s="13"/>
      <c r="R4341" s="13"/>
      <c r="S4341" s="13"/>
      <c r="T4341" s="13"/>
      <c r="U4341" s="13"/>
      <c r="V4341" s="13"/>
      <c r="AC4341" s="13"/>
      <c r="AD4341" s="13"/>
      <c r="AE4341" s="13"/>
      <c r="AG4341" s="13"/>
      <c r="AH4341" s="13"/>
      <c r="AI4341" s="13"/>
      <c r="AJ4341" s="13"/>
      <c r="AK4341" s="13"/>
      <c r="AL4341" s="8"/>
      <c r="AU4341" s="13"/>
      <c r="AV4341" s="13"/>
      <c r="CU4341" s="13"/>
      <c r="DG4341" s="13"/>
    </row>
    <row r="4342" spans="1:111" x14ac:dyDescent="0.2">
      <c r="A4342" s="13"/>
      <c r="B4342" s="14"/>
      <c r="C4342" s="13"/>
      <c r="E4342" s="13"/>
      <c r="N4342" s="13"/>
      <c r="O4342" s="13"/>
      <c r="P4342" s="13"/>
      <c r="Q4342" s="13"/>
      <c r="R4342" s="13"/>
      <c r="S4342" s="13"/>
      <c r="T4342" s="13"/>
      <c r="U4342" s="13"/>
      <c r="V4342" s="13"/>
      <c r="AC4342" s="13"/>
      <c r="AD4342" s="13"/>
      <c r="AE4342" s="13"/>
      <c r="AG4342" s="13"/>
      <c r="AH4342" s="13"/>
      <c r="AI4342" s="13"/>
      <c r="AJ4342" s="13"/>
      <c r="AK4342" s="13"/>
      <c r="AL4342" s="8"/>
      <c r="AU4342" s="13"/>
      <c r="AV4342" s="13"/>
      <c r="CU4342" s="13"/>
      <c r="DG4342" s="13"/>
    </row>
    <row r="4343" spans="1:111" x14ac:dyDescent="0.2">
      <c r="A4343" s="13"/>
      <c r="B4343" s="14"/>
      <c r="C4343" s="13"/>
      <c r="E4343" s="13"/>
      <c r="N4343" s="13"/>
      <c r="O4343" s="13"/>
      <c r="P4343" s="13"/>
      <c r="Q4343" s="13"/>
      <c r="R4343" s="13"/>
      <c r="S4343" s="13"/>
      <c r="T4343" s="13"/>
      <c r="U4343" s="13"/>
      <c r="V4343" s="13"/>
      <c r="AC4343" s="13"/>
      <c r="AD4343" s="13"/>
      <c r="AE4343" s="13"/>
      <c r="AG4343" s="13"/>
      <c r="AH4343" s="13"/>
      <c r="AI4343" s="13"/>
      <c r="AJ4343" s="13"/>
      <c r="AK4343" s="13"/>
      <c r="AL4343" s="8"/>
      <c r="AU4343" s="13"/>
      <c r="AV4343" s="13"/>
      <c r="CU4343" s="13"/>
      <c r="DG4343" s="13"/>
    </row>
    <row r="4344" spans="1:111" x14ac:dyDescent="0.2">
      <c r="A4344" s="13"/>
      <c r="B4344" s="14"/>
      <c r="C4344" s="13"/>
      <c r="E4344" s="13"/>
      <c r="N4344" s="13"/>
      <c r="O4344" s="13"/>
      <c r="P4344" s="13"/>
      <c r="Q4344" s="13"/>
      <c r="R4344" s="13"/>
      <c r="S4344" s="13"/>
      <c r="T4344" s="13"/>
      <c r="U4344" s="13"/>
      <c r="V4344" s="13"/>
      <c r="AC4344" s="13"/>
      <c r="AD4344" s="13"/>
      <c r="AE4344" s="13"/>
      <c r="AG4344" s="13"/>
      <c r="AH4344" s="13"/>
      <c r="AI4344" s="13"/>
      <c r="AJ4344" s="13"/>
      <c r="AK4344" s="13"/>
      <c r="AL4344" s="8"/>
      <c r="AU4344" s="13"/>
      <c r="AV4344" s="13"/>
      <c r="CU4344" s="13"/>
      <c r="DG4344" s="13"/>
    </row>
    <row r="4345" spans="1:111" x14ac:dyDescent="0.2">
      <c r="A4345" s="13"/>
      <c r="B4345" s="14"/>
      <c r="C4345" s="13"/>
      <c r="E4345" s="13"/>
      <c r="N4345" s="13"/>
      <c r="O4345" s="13"/>
      <c r="P4345" s="13"/>
      <c r="Q4345" s="13"/>
      <c r="R4345" s="13"/>
      <c r="S4345" s="13"/>
      <c r="T4345" s="13"/>
      <c r="U4345" s="13"/>
      <c r="V4345" s="13"/>
      <c r="AC4345" s="13"/>
      <c r="AD4345" s="13"/>
      <c r="AE4345" s="13"/>
      <c r="AG4345" s="13"/>
      <c r="AH4345" s="13"/>
      <c r="AI4345" s="13"/>
      <c r="AJ4345" s="13"/>
      <c r="AK4345" s="13"/>
      <c r="AL4345" s="8"/>
      <c r="AU4345" s="13"/>
      <c r="AV4345" s="13"/>
      <c r="CU4345" s="13"/>
      <c r="DG4345" s="13"/>
    </row>
    <row r="4346" spans="1:111" x14ac:dyDescent="0.2">
      <c r="A4346" s="13"/>
      <c r="B4346" s="14"/>
      <c r="C4346" s="13"/>
      <c r="E4346" s="13"/>
      <c r="N4346" s="13"/>
      <c r="O4346" s="13"/>
      <c r="P4346" s="13"/>
      <c r="Q4346" s="13"/>
      <c r="R4346" s="13"/>
      <c r="S4346" s="13"/>
      <c r="T4346" s="13"/>
      <c r="U4346" s="13"/>
      <c r="V4346" s="13"/>
      <c r="AC4346" s="13"/>
      <c r="AD4346" s="13"/>
      <c r="AE4346" s="13"/>
      <c r="AG4346" s="13"/>
      <c r="AH4346" s="13"/>
      <c r="AI4346" s="13"/>
      <c r="AJ4346" s="13"/>
      <c r="AK4346" s="13"/>
      <c r="AL4346" s="8"/>
      <c r="AU4346" s="13"/>
      <c r="AV4346" s="13"/>
      <c r="CU4346" s="13"/>
      <c r="DG4346" s="13"/>
    </row>
    <row r="4347" spans="1:111" x14ac:dyDescent="0.2">
      <c r="A4347" s="13"/>
      <c r="B4347" s="14"/>
      <c r="C4347" s="13"/>
      <c r="E4347" s="13"/>
      <c r="N4347" s="13"/>
      <c r="O4347" s="13"/>
      <c r="P4347" s="13"/>
      <c r="Q4347" s="13"/>
      <c r="R4347" s="13"/>
      <c r="S4347" s="13"/>
      <c r="T4347" s="13"/>
      <c r="U4347" s="13"/>
      <c r="V4347" s="13"/>
      <c r="AC4347" s="13"/>
      <c r="AD4347" s="13"/>
      <c r="AE4347" s="13"/>
      <c r="AG4347" s="13"/>
      <c r="AH4347" s="13"/>
      <c r="AI4347" s="13"/>
      <c r="AJ4347" s="13"/>
      <c r="AK4347" s="13"/>
      <c r="AL4347" s="8"/>
      <c r="AU4347" s="13"/>
      <c r="AV4347" s="13"/>
      <c r="CU4347" s="13"/>
      <c r="DG4347" s="13"/>
    </row>
    <row r="4348" spans="1:111" x14ac:dyDescent="0.2">
      <c r="A4348" s="13"/>
      <c r="B4348" s="14"/>
      <c r="C4348" s="13"/>
      <c r="E4348" s="13"/>
      <c r="N4348" s="13"/>
      <c r="O4348" s="13"/>
      <c r="P4348" s="13"/>
      <c r="Q4348" s="13"/>
      <c r="R4348" s="13"/>
      <c r="S4348" s="13"/>
      <c r="T4348" s="13"/>
      <c r="U4348" s="13"/>
      <c r="V4348" s="13"/>
      <c r="AC4348" s="13"/>
      <c r="AD4348" s="13"/>
      <c r="AE4348" s="13"/>
      <c r="AG4348" s="13"/>
      <c r="AH4348" s="13"/>
      <c r="AI4348" s="13"/>
      <c r="AJ4348" s="13"/>
      <c r="AK4348" s="13"/>
      <c r="AL4348" s="8"/>
      <c r="AU4348" s="13"/>
      <c r="AV4348" s="13"/>
      <c r="CU4348" s="13"/>
      <c r="DG4348" s="13"/>
    </row>
    <row r="4349" spans="1:111" x14ac:dyDescent="0.2">
      <c r="A4349" s="13"/>
      <c r="B4349" s="14"/>
      <c r="C4349" s="13"/>
      <c r="E4349" s="13"/>
      <c r="N4349" s="13"/>
      <c r="O4349" s="13"/>
      <c r="P4349" s="13"/>
      <c r="Q4349" s="13"/>
      <c r="R4349" s="13"/>
      <c r="S4349" s="13"/>
      <c r="T4349" s="13"/>
      <c r="U4349" s="13"/>
      <c r="V4349" s="13"/>
      <c r="AC4349" s="13"/>
      <c r="AD4349" s="13"/>
      <c r="AE4349" s="13"/>
      <c r="AG4349" s="13"/>
      <c r="AH4349" s="13"/>
      <c r="AI4349" s="13"/>
      <c r="AJ4349" s="13"/>
      <c r="AK4349" s="13"/>
      <c r="AL4349" s="8"/>
      <c r="AU4349" s="13"/>
      <c r="AV4349" s="13"/>
      <c r="CU4349" s="13"/>
      <c r="DG4349" s="13"/>
    </row>
    <row r="4350" spans="1:111" x14ac:dyDescent="0.2">
      <c r="A4350" s="13"/>
      <c r="B4350" s="14"/>
      <c r="C4350" s="13"/>
      <c r="E4350" s="13"/>
      <c r="N4350" s="13"/>
      <c r="O4350" s="13"/>
      <c r="P4350" s="13"/>
      <c r="Q4350" s="13"/>
      <c r="R4350" s="13"/>
      <c r="S4350" s="13"/>
      <c r="T4350" s="13"/>
      <c r="U4350" s="13"/>
      <c r="V4350" s="13"/>
      <c r="AC4350" s="13"/>
      <c r="AD4350" s="13"/>
      <c r="AE4350" s="13"/>
      <c r="AG4350" s="13"/>
      <c r="AH4350" s="13"/>
      <c r="AI4350" s="13"/>
      <c r="AJ4350" s="13"/>
      <c r="AK4350" s="13"/>
      <c r="AL4350" s="8"/>
      <c r="AU4350" s="13"/>
      <c r="AV4350" s="13"/>
      <c r="CU4350" s="13"/>
      <c r="DG4350" s="13"/>
    </row>
    <row r="4351" spans="1:111" x14ac:dyDescent="0.2">
      <c r="A4351" s="13"/>
      <c r="B4351" s="14"/>
      <c r="C4351" s="13"/>
      <c r="E4351" s="13"/>
      <c r="N4351" s="13"/>
      <c r="O4351" s="13"/>
      <c r="P4351" s="13"/>
      <c r="Q4351" s="13"/>
      <c r="R4351" s="13"/>
      <c r="S4351" s="13"/>
      <c r="T4351" s="13"/>
      <c r="U4351" s="13"/>
      <c r="V4351" s="13"/>
      <c r="AC4351" s="13"/>
      <c r="AD4351" s="13"/>
      <c r="AE4351" s="13"/>
      <c r="AG4351" s="13"/>
      <c r="AH4351" s="13"/>
      <c r="AI4351" s="13"/>
      <c r="AJ4351" s="13"/>
      <c r="AK4351" s="13"/>
      <c r="AL4351" s="8"/>
      <c r="AU4351" s="13"/>
      <c r="AV4351" s="13"/>
      <c r="CU4351" s="13"/>
      <c r="DG4351" s="13"/>
    </row>
    <row r="4352" spans="1:111" x14ac:dyDescent="0.2">
      <c r="A4352" s="13"/>
      <c r="B4352" s="14"/>
      <c r="C4352" s="13"/>
      <c r="E4352" s="13"/>
      <c r="N4352" s="13"/>
      <c r="O4352" s="13"/>
      <c r="P4352" s="13"/>
      <c r="Q4352" s="13"/>
      <c r="R4352" s="13"/>
      <c r="S4352" s="13"/>
      <c r="T4352" s="13"/>
      <c r="U4352" s="13"/>
      <c r="V4352" s="13"/>
      <c r="AC4352" s="13"/>
      <c r="AD4352" s="13"/>
      <c r="AE4352" s="13"/>
      <c r="AG4352" s="13"/>
      <c r="AH4352" s="13"/>
      <c r="AI4352" s="13"/>
      <c r="AJ4352" s="13"/>
      <c r="AK4352" s="13"/>
      <c r="AL4352" s="8"/>
      <c r="AU4352" s="13"/>
      <c r="AV4352" s="13"/>
      <c r="CU4352" s="13"/>
      <c r="DG4352" s="13"/>
    </row>
    <row r="4353" spans="1:111" x14ac:dyDescent="0.2">
      <c r="A4353" s="13"/>
      <c r="B4353" s="14"/>
      <c r="C4353" s="13"/>
      <c r="E4353" s="13"/>
      <c r="N4353" s="13"/>
      <c r="O4353" s="13"/>
      <c r="P4353" s="13"/>
      <c r="Q4353" s="13"/>
      <c r="R4353" s="13"/>
      <c r="S4353" s="13"/>
      <c r="T4353" s="13"/>
      <c r="U4353" s="13"/>
      <c r="V4353" s="13"/>
      <c r="AC4353" s="13"/>
      <c r="AD4353" s="13"/>
      <c r="AE4353" s="13"/>
      <c r="AG4353" s="13"/>
      <c r="AH4353" s="13"/>
      <c r="AI4353" s="13"/>
      <c r="AJ4353" s="13"/>
      <c r="AK4353" s="13"/>
      <c r="AL4353" s="8"/>
      <c r="AU4353" s="13"/>
      <c r="AV4353" s="13"/>
      <c r="CU4353" s="13"/>
      <c r="DG4353" s="13"/>
    </row>
    <row r="4354" spans="1:111" x14ac:dyDescent="0.2">
      <c r="A4354" s="13"/>
      <c r="B4354" s="14"/>
      <c r="C4354" s="13"/>
      <c r="E4354" s="13"/>
      <c r="N4354" s="13"/>
      <c r="O4354" s="13"/>
      <c r="P4354" s="13"/>
      <c r="Q4354" s="13"/>
      <c r="R4354" s="13"/>
      <c r="S4354" s="13"/>
      <c r="T4354" s="13"/>
      <c r="U4354" s="13"/>
      <c r="V4354" s="13"/>
      <c r="AC4354" s="13"/>
      <c r="AD4354" s="13"/>
      <c r="AE4354" s="13"/>
      <c r="AG4354" s="13"/>
      <c r="AH4354" s="13"/>
      <c r="AI4354" s="13"/>
      <c r="AJ4354" s="13"/>
      <c r="AK4354" s="13"/>
      <c r="AL4354" s="8"/>
      <c r="AU4354" s="13"/>
      <c r="AV4354" s="13"/>
      <c r="CU4354" s="13"/>
      <c r="DG4354" s="13"/>
    </row>
    <row r="4355" spans="1:111" x14ac:dyDescent="0.2">
      <c r="A4355" s="13"/>
      <c r="B4355" s="14"/>
      <c r="C4355" s="13"/>
      <c r="E4355" s="13"/>
      <c r="N4355" s="13"/>
      <c r="O4355" s="13"/>
      <c r="P4355" s="13"/>
      <c r="Q4355" s="13"/>
      <c r="R4355" s="13"/>
      <c r="S4355" s="13"/>
      <c r="T4355" s="13"/>
      <c r="U4355" s="13"/>
      <c r="V4355" s="13"/>
      <c r="AC4355" s="13"/>
      <c r="AD4355" s="13"/>
      <c r="AE4355" s="13"/>
      <c r="AG4355" s="13"/>
      <c r="AH4355" s="13"/>
      <c r="AI4355" s="13"/>
      <c r="AJ4355" s="13"/>
      <c r="AK4355" s="13"/>
      <c r="AL4355" s="8"/>
      <c r="AU4355" s="13"/>
      <c r="AV4355" s="13"/>
      <c r="CU4355" s="13"/>
      <c r="DG4355" s="13"/>
    </row>
    <row r="4356" spans="1:111" x14ac:dyDescent="0.2">
      <c r="A4356" s="13"/>
      <c r="B4356" s="14"/>
      <c r="C4356" s="13"/>
      <c r="E4356" s="13"/>
      <c r="N4356" s="13"/>
      <c r="O4356" s="13"/>
      <c r="P4356" s="13"/>
      <c r="Q4356" s="13"/>
      <c r="R4356" s="13"/>
      <c r="S4356" s="13"/>
      <c r="T4356" s="13"/>
      <c r="U4356" s="13"/>
      <c r="V4356" s="13"/>
      <c r="AC4356" s="13"/>
      <c r="AD4356" s="13"/>
      <c r="AE4356" s="13"/>
      <c r="AG4356" s="13"/>
      <c r="AH4356" s="13"/>
      <c r="AI4356" s="13"/>
      <c r="AJ4356" s="13"/>
      <c r="AK4356" s="13"/>
      <c r="AL4356" s="8"/>
      <c r="AU4356" s="13"/>
      <c r="AV4356" s="13"/>
      <c r="CU4356" s="13"/>
      <c r="DG4356" s="13"/>
    </row>
    <row r="4357" spans="1:111" x14ac:dyDescent="0.2">
      <c r="A4357" s="13"/>
      <c r="B4357" s="14"/>
      <c r="C4357" s="13"/>
      <c r="E4357" s="13"/>
      <c r="N4357" s="13"/>
      <c r="O4357" s="13"/>
      <c r="P4357" s="13"/>
      <c r="Q4357" s="13"/>
      <c r="R4357" s="13"/>
      <c r="S4357" s="13"/>
      <c r="T4357" s="13"/>
      <c r="U4357" s="13"/>
      <c r="V4357" s="13"/>
      <c r="AC4357" s="13"/>
      <c r="AD4357" s="13"/>
      <c r="AE4357" s="13"/>
      <c r="AG4357" s="13"/>
      <c r="AH4357" s="13"/>
      <c r="AI4357" s="13"/>
      <c r="AJ4357" s="13"/>
      <c r="AK4357" s="13"/>
      <c r="AL4357" s="8"/>
      <c r="AU4357" s="13"/>
      <c r="AV4357" s="13"/>
      <c r="CU4357" s="13"/>
      <c r="DG4357" s="13"/>
    </row>
    <row r="4358" spans="1:111" x14ac:dyDescent="0.2">
      <c r="A4358" s="13"/>
      <c r="B4358" s="14"/>
      <c r="C4358" s="13"/>
      <c r="E4358" s="13"/>
      <c r="N4358" s="13"/>
      <c r="O4358" s="13"/>
      <c r="P4358" s="13"/>
      <c r="Q4358" s="13"/>
      <c r="R4358" s="13"/>
      <c r="S4358" s="13"/>
      <c r="T4358" s="13"/>
      <c r="U4358" s="13"/>
      <c r="V4358" s="13"/>
      <c r="AC4358" s="13"/>
      <c r="AD4358" s="13"/>
      <c r="AE4358" s="13"/>
      <c r="AG4358" s="13"/>
      <c r="AH4358" s="13"/>
      <c r="AI4358" s="13"/>
      <c r="AJ4358" s="13"/>
      <c r="AK4358" s="13"/>
      <c r="AL4358" s="8"/>
      <c r="AU4358" s="13"/>
      <c r="AV4358" s="13"/>
      <c r="CU4358" s="13"/>
      <c r="DG4358" s="13"/>
    </row>
    <row r="4359" spans="1:111" x14ac:dyDescent="0.2">
      <c r="A4359" s="13"/>
      <c r="B4359" s="14"/>
      <c r="C4359" s="13"/>
      <c r="E4359" s="13"/>
      <c r="N4359" s="13"/>
      <c r="O4359" s="13"/>
      <c r="P4359" s="13"/>
      <c r="Q4359" s="13"/>
      <c r="R4359" s="13"/>
      <c r="S4359" s="13"/>
      <c r="T4359" s="13"/>
      <c r="U4359" s="13"/>
      <c r="V4359" s="13"/>
      <c r="AC4359" s="13"/>
      <c r="AD4359" s="13"/>
      <c r="AE4359" s="13"/>
      <c r="AG4359" s="13"/>
      <c r="AH4359" s="13"/>
      <c r="AI4359" s="13"/>
      <c r="AJ4359" s="13"/>
      <c r="AK4359" s="13"/>
      <c r="AL4359" s="8"/>
      <c r="AU4359" s="13"/>
      <c r="AV4359" s="13"/>
      <c r="CU4359" s="13"/>
      <c r="DG4359" s="13"/>
    </row>
    <row r="4360" spans="1:111" x14ac:dyDescent="0.2">
      <c r="A4360" s="13"/>
      <c r="B4360" s="14"/>
      <c r="C4360" s="13"/>
      <c r="E4360" s="13"/>
      <c r="N4360" s="13"/>
      <c r="O4360" s="13"/>
      <c r="P4360" s="13"/>
      <c r="Q4360" s="13"/>
      <c r="R4360" s="13"/>
      <c r="S4360" s="13"/>
      <c r="T4360" s="13"/>
      <c r="U4360" s="13"/>
      <c r="V4360" s="13"/>
      <c r="AC4360" s="13"/>
      <c r="AD4360" s="13"/>
      <c r="AE4360" s="13"/>
      <c r="AG4360" s="13"/>
      <c r="AH4360" s="13"/>
      <c r="AI4360" s="13"/>
      <c r="AJ4360" s="13"/>
      <c r="AK4360" s="13"/>
      <c r="AL4360" s="8"/>
      <c r="AU4360" s="13"/>
      <c r="AV4360" s="13"/>
      <c r="CU4360" s="13"/>
      <c r="DG4360" s="13"/>
    </row>
    <row r="4361" spans="1:111" x14ac:dyDescent="0.2">
      <c r="A4361" s="13"/>
      <c r="B4361" s="14"/>
      <c r="C4361" s="13"/>
      <c r="E4361" s="13"/>
      <c r="N4361" s="13"/>
      <c r="O4361" s="13"/>
      <c r="P4361" s="13"/>
      <c r="Q4361" s="13"/>
      <c r="R4361" s="13"/>
      <c r="S4361" s="13"/>
      <c r="T4361" s="13"/>
      <c r="U4361" s="13"/>
      <c r="V4361" s="13"/>
      <c r="AC4361" s="13"/>
      <c r="AD4361" s="13"/>
      <c r="AE4361" s="13"/>
      <c r="AG4361" s="13"/>
      <c r="AH4361" s="13"/>
      <c r="AI4361" s="13"/>
      <c r="AJ4361" s="13"/>
      <c r="AK4361" s="13"/>
      <c r="AL4361" s="8"/>
      <c r="AU4361" s="13"/>
      <c r="AV4361" s="13"/>
      <c r="CU4361" s="13"/>
      <c r="DG4361" s="13"/>
    </row>
    <row r="4362" spans="1:111" x14ac:dyDescent="0.2">
      <c r="A4362" s="13"/>
      <c r="B4362" s="14"/>
      <c r="C4362" s="13"/>
      <c r="E4362" s="13"/>
      <c r="N4362" s="13"/>
      <c r="O4362" s="13"/>
      <c r="P4362" s="13"/>
      <c r="Q4362" s="13"/>
      <c r="R4362" s="13"/>
      <c r="S4362" s="13"/>
      <c r="T4362" s="13"/>
      <c r="U4362" s="13"/>
      <c r="V4362" s="13"/>
      <c r="AC4362" s="13"/>
      <c r="AD4362" s="13"/>
      <c r="AE4362" s="13"/>
      <c r="AG4362" s="13"/>
      <c r="AH4362" s="13"/>
      <c r="AI4362" s="13"/>
      <c r="AJ4362" s="13"/>
      <c r="AK4362" s="13"/>
      <c r="AL4362" s="8"/>
      <c r="AU4362" s="13"/>
      <c r="AV4362" s="13"/>
      <c r="CU4362" s="13"/>
      <c r="DG4362" s="13"/>
    </row>
    <row r="4363" spans="1:111" x14ac:dyDescent="0.2">
      <c r="A4363" s="13"/>
      <c r="B4363" s="14"/>
      <c r="C4363" s="13"/>
      <c r="E4363" s="13"/>
      <c r="N4363" s="13"/>
      <c r="O4363" s="13"/>
      <c r="P4363" s="13"/>
      <c r="Q4363" s="13"/>
      <c r="R4363" s="13"/>
      <c r="S4363" s="13"/>
      <c r="T4363" s="13"/>
      <c r="U4363" s="13"/>
      <c r="V4363" s="13"/>
      <c r="AC4363" s="13"/>
      <c r="AD4363" s="13"/>
      <c r="AE4363" s="13"/>
      <c r="AG4363" s="13"/>
      <c r="AH4363" s="13"/>
      <c r="AI4363" s="13"/>
      <c r="AJ4363" s="13"/>
      <c r="AK4363" s="13"/>
      <c r="AL4363" s="8"/>
      <c r="AU4363" s="13"/>
      <c r="AV4363" s="13"/>
      <c r="CU4363" s="13"/>
      <c r="DG4363" s="13"/>
    </row>
    <row r="4364" spans="1:111" x14ac:dyDescent="0.2">
      <c r="A4364" s="13"/>
      <c r="B4364" s="14"/>
      <c r="C4364" s="13"/>
      <c r="E4364" s="13"/>
      <c r="N4364" s="13"/>
      <c r="O4364" s="13"/>
      <c r="P4364" s="13"/>
      <c r="Q4364" s="13"/>
      <c r="R4364" s="13"/>
      <c r="S4364" s="13"/>
      <c r="T4364" s="13"/>
      <c r="U4364" s="13"/>
      <c r="V4364" s="13"/>
      <c r="AC4364" s="13"/>
      <c r="AD4364" s="13"/>
      <c r="AE4364" s="13"/>
      <c r="AG4364" s="13"/>
      <c r="AH4364" s="13"/>
      <c r="AI4364" s="13"/>
      <c r="AJ4364" s="13"/>
      <c r="AK4364" s="13"/>
      <c r="AL4364" s="8"/>
      <c r="AU4364" s="13"/>
      <c r="AV4364" s="13"/>
      <c r="CU4364" s="13"/>
      <c r="DG4364" s="13"/>
    </row>
    <row r="4365" spans="1:111" x14ac:dyDescent="0.2">
      <c r="A4365" s="13"/>
      <c r="B4365" s="14"/>
      <c r="C4365" s="13"/>
      <c r="E4365" s="13"/>
      <c r="N4365" s="13"/>
      <c r="O4365" s="13"/>
      <c r="P4365" s="13"/>
      <c r="Q4365" s="13"/>
      <c r="R4365" s="13"/>
      <c r="S4365" s="13"/>
      <c r="T4365" s="13"/>
      <c r="U4365" s="13"/>
      <c r="V4365" s="13"/>
      <c r="AC4365" s="13"/>
      <c r="AD4365" s="13"/>
      <c r="AE4365" s="13"/>
      <c r="AG4365" s="13"/>
      <c r="AH4365" s="13"/>
      <c r="AI4365" s="13"/>
      <c r="AJ4365" s="13"/>
      <c r="AK4365" s="13"/>
      <c r="AL4365" s="8"/>
      <c r="AU4365" s="13"/>
      <c r="AV4365" s="13"/>
      <c r="CU4365" s="13"/>
      <c r="DG4365" s="13"/>
    </row>
    <row r="4366" spans="1:111" x14ac:dyDescent="0.2">
      <c r="A4366" s="13"/>
      <c r="B4366" s="14"/>
      <c r="C4366" s="13"/>
      <c r="E4366" s="13"/>
      <c r="N4366" s="13"/>
      <c r="O4366" s="13"/>
      <c r="P4366" s="13"/>
      <c r="Q4366" s="13"/>
      <c r="R4366" s="13"/>
      <c r="S4366" s="13"/>
      <c r="T4366" s="13"/>
      <c r="U4366" s="13"/>
      <c r="V4366" s="13"/>
      <c r="AC4366" s="13"/>
      <c r="AD4366" s="13"/>
      <c r="AE4366" s="13"/>
      <c r="AG4366" s="13"/>
      <c r="AH4366" s="13"/>
      <c r="AI4366" s="13"/>
      <c r="AJ4366" s="13"/>
      <c r="AK4366" s="13"/>
      <c r="AL4366" s="8"/>
      <c r="AU4366" s="13"/>
      <c r="AV4366" s="13"/>
      <c r="CU4366" s="13"/>
      <c r="DG4366" s="13"/>
    </row>
    <row r="4367" spans="1:111" x14ac:dyDescent="0.2">
      <c r="A4367" s="13"/>
      <c r="B4367" s="14"/>
      <c r="C4367" s="13"/>
      <c r="E4367" s="13"/>
      <c r="N4367" s="13"/>
      <c r="O4367" s="13"/>
      <c r="P4367" s="13"/>
      <c r="Q4367" s="13"/>
      <c r="R4367" s="13"/>
      <c r="S4367" s="13"/>
      <c r="T4367" s="13"/>
      <c r="U4367" s="13"/>
      <c r="V4367" s="13"/>
      <c r="AC4367" s="13"/>
      <c r="AD4367" s="13"/>
      <c r="AE4367" s="13"/>
      <c r="AG4367" s="13"/>
      <c r="AH4367" s="13"/>
      <c r="AI4367" s="13"/>
      <c r="AJ4367" s="13"/>
      <c r="AK4367" s="13"/>
      <c r="AL4367" s="8"/>
      <c r="AU4367" s="13"/>
      <c r="AV4367" s="13"/>
      <c r="CU4367" s="13"/>
      <c r="DG4367" s="13"/>
    </row>
    <row r="4368" spans="1:111" x14ac:dyDescent="0.2">
      <c r="A4368" s="13"/>
      <c r="B4368" s="14"/>
      <c r="C4368" s="13"/>
      <c r="E4368" s="13"/>
      <c r="N4368" s="13"/>
      <c r="O4368" s="13"/>
      <c r="P4368" s="13"/>
      <c r="Q4368" s="13"/>
      <c r="R4368" s="13"/>
      <c r="S4368" s="13"/>
      <c r="T4368" s="13"/>
      <c r="U4368" s="13"/>
      <c r="V4368" s="13"/>
      <c r="AC4368" s="13"/>
      <c r="AD4368" s="13"/>
      <c r="AE4368" s="13"/>
      <c r="AG4368" s="13"/>
      <c r="AH4368" s="13"/>
      <c r="AI4368" s="13"/>
      <c r="AJ4368" s="13"/>
      <c r="AK4368" s="13"/>
      <c r="AL4368" s="8"/>
      <c r="AU4368" s="13"/>
      <c r="AV4368" s="13"/>
      <c r="CU4368" s="13"/>
      <c r="DG4368" s="13"/>
    </row>
    <row r="4369" spans="1:111" x14ac:dyDescent="0.2">
      <c r="A4369" s="13"/>
      <c r="B4369" s="14"/>
      <c r="C4369" s="13"/>
      <c r="E4369" s="13"/>
      <c r="N4369" s="13"/>
      <c r="O4369" s="13"/>
      <c r="P4369" s="13"/>
      <c r="Q4369" s="13"/>
      <c r="R4369" s="13"/>
      <c r="S4369" s="13"/>
      <c r="T4369" s="13"/>
      <c r="U4369" s="13"/>
      <c r="V4369" s="13"/>
      <c r="AC4369" s="13"/>
      <c r="AD4369" s="13"/>
      <c r="AE4369" s="13"/>
      <c r="AG4369" s="13"/>
      <c r="AH4369" s="13"/>
      <c r="AI4369" s="13"/>
      <c r="AJ4369" s="13"/>
      <c r="AK4369" s="13"/>
      <c r="AL4369" s="8"/>
      <c r="AU4369" s="13"/>
      <c r="AV4369" s="13"/>
      <c r="CU4369" s="13"/>
      <c r="DG4369" s="13"/>
    </row>
    <row r="4370" spans="1:111" x14ac:dyDescent="0.2">
      <c r="A4370" s="13"/>
      <c r="B4370" s="14"/>
      <c r="C4370" s="13"/>
      <c r="E4370" s="13"/>
      <c r="N4370" s="13"/>
      <c r="O4370" s="13"/>
      <c r="P4370" s="13"/>
      <c r="Q4370" s="13"/>
      <c r="R4370" s="13"/>
      <c r="S4370" s="13"/>
      <c r="T4370" s="13"/>
      <c r="U4370" s="13"/>
      <c r="V4370" s="13"/>
      <c r="AC4370" s="13"/>
      <c r="AD4370" s="13"/>
      <c r="AE4370" s="13"/>
      <c r="AG4370" s="13"/>
      <c r="AH4370" s="13"/>
      <c r="AI4370" s="13"/>
      <c r="AJ4370" s="13"/>
      <c r="AK4370" s="13"/>
      <c r="AL4370" s="8"/>
      <c r="AU4370" s="13"/>
      <c r="AV4370" s="13"/>
      <c r="CU4370" s="13"/>
      <c r="DG4370" s="13"/>
    </row>
    <row r="4371" spans="1:111" x14ac:dyDescent="0.2">
      <c r="A4371" s="13"/>
      <c r="B4371" s="14"/>
      <c r="C4371" s="13"/>
      <c r="E4371" s="13"/>
      <c r="N4371" s="13"/>
      <c r="O4371" s="13"/>
      <c r="P4371" s="13"/>
      <c r="Q4371" s="13"/>
      <c r="R4371" s="13"/>
      <c r="S4371" s="13"/>
      <c r="T4371" s="13"/>
      <c r="U4371" s="13"/>
      <c r="V4371" s="13"/>
      <c r="AC4371" s="13"/>
      <c r="AD4371" s="13"/>
      <c r="AE4371" s="13"/>
      <c r="AG4371" s="13"/>
      <c r="AH4371" s="13"/>
      <c r="AI4371" s="13"/>
      <c r="AJ4371" s="13"/>
      <c r="AK4371" s="13"/>
      <c r="AL4371" s="8"/>
      <c r="AU4371" s="13"/>
      <c r="AV4371" s="13"/>
      <c r="CU4371" s="13"/>
      <c r="DG4371" s="13"/>
    </row>
    <row r="4372" spans="1:111" x14ac:dyDescent="0.2">
      <c r="A4372" s="13"/>
      <c r="B4372" s="14"/>
      <c r="C4372" s="13"/>
      <c r="E4372" s="13"/>
      <c r="N4372" s="13"/>
      <c r="O4372" s="13"/>
      <c r="P4372" s="13"/>
      <c r="Q4372" s="13"/>
      <c r="R4372" s="13"/>
      <c r="S4372" s="13"/>
      <c r="T4372" s="13"/>
      <c r="U4372" s="13"/>
      <c r="V4372" s="13"/>
      <c r="AC4372" s="13"/>
      <c r="AD4372" s="13"/>
      <c r="AE4372" s="13"/>
      <c r="AG4372" s="13"/>
      <c r="AH4372" s="13"/>
      <c r="AI4372" s="13"/>
      <c r="AJ4372" s="13"/>
      <c r="AK4372" s="13"/>
      <c r="AL4372" s="8"/>
      <c r="AU4372" s="13"/>
      <c r="AV4372" s="13"/>
      <c r="CU4372" s="13"/>
      <c r="DG4372" s="13"/>
    </row>
    <row r="4373" spans="1:111" x14ac:dyDescent="0.2">
      <c r="A4373" s="13"/>
      <c r="B4373" s="14"/>
      <c r="C4373" s="13"/>
      <c r="E4373" s="13"/>
      <c r="N4373" s="13"/>
      <c r="O4373" s="13"/>
      <c r="P4373" s="13"/>
      <c r="Q4373" s="13"/>
      <c r="R4373" s="13"/>
      <c r="S4373" s="13"/>
      <c r="T4373" s="13"/>
      <c r="U4373" s="13"/>
      <c r="V4373" s="13"/>
      <c r="AC4373" s="13"/>
      <c r="AD4373" s="13"/>
      <c r="AE4373" s="13"/>
      <c r="AG4373" s="13"/>
      <c r="AH4373" s="13"/>
      <c r="AI4373" s="13"/>
      <c r="AJ4373" s="13"/>
      <c r="AK4373" s="13"/>
      <c r="AL4373" s="8"/>
      <c r="AU4373" s="13"/>
      <c r="AV4373" s="13"/>
      <c r="CU4373" s="13"/>
      <c r="DG4373" s="13"/>
    </row>
    <row r="4374" spans="1:111" x14ac:dyDescent="0.2">
      <c r="A4374" s="13"/>
      <c r="B4374" s="14"/>
      <c r="C4374" s="13"/>
      <c r="E4374" s="13"/>
      <c r="N4374" s="13"/>
      <c r="O4374" s="13"/>
      <c r="P4374" s="13"/>
      <c r="Q4374" s="13"/>
      <c r="R4374" s="13"/>
      <c r="S4374" s="13"/>
      <c r="T4374" s="13"/>
      <c r="U4374" s="13"/>
      <c r="V4374" s="13"/>
      <c r="AC4374" s="13"/>
      <c r="AD4374" s="13"/>
      <c r="AE4374" s="13"/>
      <c r="AG4374" s="13"/>
      <c r="AH4374" s="13"/>
      <c r="AI4374" s="13"/>
      <c r="AJ4374" s="13"/>
      <c r="AK4374" s="13"/>
      <c r="AL4374" s="8"/>
      <c r="AU4374" s="13"/>
      <c r="AV4374" s="13"/>
      <c r="CU4374" s="13"/>
      <c r="DG4374" s="13"/>
    </row>
    <row r="4375" spans="1:111" x14ac:dyDescent="0.2">
      <c r="A4375" s="13"/>
      <c r="B4375" s="14"/>
      <c r="C4375" s="13"/>
      <c r="E4375" s="13"/>
      <c r="N4375" s="13"/>
      <c r="O4375" s="13"/>
      <c r="P4375" s="13"/>
      <c r="Q4375" s="13"/>
      <c r="R4375" s="13"/>
      <c r="S4375" s="13"/>
      <c r="T4375" s="13"/>
      <c r="U4375" s="13"/>
      <c r="V4375" s="13"/>
      <c r="AC4375" s="13"/>
      <c r="AD4375" s="13"/>
      <c r="AE4375" s="13"/>
      <c r="AG4375" s="13"/>
      <c r="AH4375" s="13"/>
      <c r="AI4375" s="13"/>
      <c r="AJ4375" s="13"/>
      <c r="AK4375" s="13"/>
      <c r="AL4375" s="8"/>
      <c r="AU4375" s="13"/>
      <c r="AV4375" s="13"/>
      <c r="CU4375" s="13"/>
      <c r="DG4375" s="13"/>
    </row>
    <row r="4376" spans="1:111" x14ac:dyDescent="0.2">
      <c r="A4376" s="13"/>
      <c r="B4376" s="14"/>
      <c r="C4376" s="13"/>
      <c r="E4376" s="13"/>
      <c r="N4376" s="13"/>
      <c r="O4376" s="13"/>
      <c r="P4376" s="13"/>
      <c r="Q4376" s="13"/>
      <c r="R4376" s="13"/>
      <c r="S4376" s="13"/>
      <c r="T4376" s="13"/>
      <c r="U4376" s="13"/>
      <c r="V4376" s="13"/>
      <c r="AC4376" s="13"/>
      <c r="AD4376" s="13"/>
      <c r="AE4376" s="13"/>
      <c r="AG4376" s="13"/>
      <c r="AH4376" s="13"/>
      <c r="AI4376" s="13"/>
      <c r="AJ4376" s="13"/>
      <c r="AK4376" s="13"/>
      <c r="AL4376" s="8"/>
      <c r="AU4376" s="13"/>
      <c r="AV4376" s="13"/>
      <c r="CU4376" s="13"/>
      <c r="DG4376" s="13"/>
    </row>
    <row r="4377" spans="1:111" x14ac:dyDescent="0.2">
      <c r="A4377" s="13"/>
      <c r="B4377" s="14"/>
      <c r="C4377" s="13"/>
      <c r="E4377" s="13"/>
      <c r="N4377" s="13"/>
      <c r="O4377" s="13"/>
      <c r="P4377" s="13"/>
      <c r="Q4377" s="13"/>
      <c r="R4377" s="13"/>
      <c r="S4377" s="13"/>
      <c r="T4377" s="13"/>
      <c r="U4377" s="13"/>
      <c r="V4377" s="13"/>
      <c r="AC4377" s="13"/>
      <c r="AD4377" s="13"/>
      <c r="AE4377" s="13"/>
      <c r="AG4377" s="13"/>
      <c r="AH4377" s="13"/>
      <c r="AI4377" s="13"/>
      <c r="AJ4377" s="13"/>
      <c r="AK4377" s="13"/>
      <c r="AL4377" s="8"/>
      <c r="AU4377" s="13"/>
      <c r="AV4377" s="13"/>
      <c r="CU4377" s="13"/>
      <c r="DG4377" s="13"/>
    </row>
    <row r="4378" spans="1:111" x14ac:dyDescent="0.2">
      <c r="A4378" s="13"/>
      <c r="B4378" s="14"/>
      <c r="C4378" s="13"/>
      <c r="E4378" s="13"/>
      <c r="N4378" s="13"/>
      <c r="O4378" s="13"/>
      <c r="P4378" s="13"/>
      <c r="Q4378" s="13"/>
      <c r="R4378" s="13"/>
      <c r="S4378" s="13"/>
      <c r="T4378" s="13"/>
      <c r="U4378" s="13"/>
      <c r="V4378" s="13"/>
      <c r="AC4378" s="13"/>
      <c r="AD4378" s="13"/>
      <c r="AE4378" s="13"/>
      <c r="AG4378" s="13"/>
      <c r="AH4378" s="13"/>
      <c r="AI4378" s="13"/>
      <c r="AJ4378" s="13"/>
      <c r="AK4378" s="13"/>
      <c r="AL4378" s="8"/>
      <c r="AU4378" s="13"/>
      <c r="AV4378" s="13"/>
      <c r="CU4378" s="13"/>
      <c r="DG4378" s="13"/>
    </row>
    <row r="4379" spans="1:111" x14ac:dyDescent="0.2">
      <c r="A4379" s="13"/>
      <c r="B4379" s="14"/>
      <c r="AU4379" s="13"/>
      <c r="AV4379" s="13"/>
      <c r="CU4379" s="13"/>
      <c r="DG4379" s="13"/>
    </row>
    <row r="4380" spans="1:111" x14ac:dyDescent="0.2">
      <c r="A4380" s="13"/>
      <c r="B4380" s="14"/>
      <c r="AU4380" s="13"/>
      <c r="AV4380" s="13"/>
      <c r="CU4380" s="13"/>
      <c r="DG4380" s="13"/>
    </row>
    <row r="4381" spans="1:111" x14ac:dyDescent="0.2">
      <c r="A4381" s="13"/>
      <c r="B4381" s="14"/>
      <c r="AU4381" s="13"/>
      <c r="AV4381" s="13"/>
      <c r="CU4381" s="13"/>
      <c r="DG4381" s="13"/>
    </row>
    <row r="4382" spans="1:111" x14ac:dyDescent="0.2">
      <c r="A4382" s="13"/>
      <c r="B4382" s="14"/>
      <c r="AU4382" s="13"/>
      <c r="AV4382" s="13"/>
      <c r="CU4382" s="13"/>
      <c r="DG4382" s="13"/>
    </row>
    <row r="4383" spans="1:111" x14ac:dyDescent="0.2">
      <c r="A4383" s="13"/>
      <c r="B4383" s="14"/>
      <c r="AU4383" s="13"/>
      <c r="AV4383" s="13"/>
      <c r="CU4383" s="13"/>
      <c r="DG4383" s="13"/>
    </row>
    <row r="4384" spans="1:111" x14ac:dyDescent="0.2">
      <c r="A4384" s="13"/>
      <c r="B4384" s="14"/>
      <c r="AU4384" s="13"/>
      <c r="AV4384" s="13"/>
      <c r="CU4384" s="13"/>
      <c r="DG4384" s="13"/>
    </row>
    <row r="4385" spans="1:111" x14ac:dyDescent="0.2">
      <c r="A4385" s="13"/>
      <c r="B4385" s="14"/>
      <c r="AU4385" s="13"/>
      <c r="AV4385" s="13"/>
      <c r="CU4385" s="13"/>
      <c r="DG4385" s="13"/>
    </row>
    <row r="4386" spans="1:111" x14ac:dyDescent="0.2">
      <c r="A4386" s="13"/>
      <c r="B4386" s="14"/>
      <c r="AU4386" s="13"/>
      <c r="AV4386" s="13"/>
      <c r="CU4386" s="13"/>
      <c r="DG4386" s="13"/>
    </row>
    <row r="4387" spans="1:111" x14ac:dyDescent="0.2">
      <c r="A4387" s="13"/>
      <c r="B4387" s="14"/>
      <c r="AU4387" s="13"/>
      <c r="AV4387" s="13"/>
      <c r="CU4387" s="13"/>
      <c r="DG4387" s="13"/>
    </row>
    <row r="4388" spans="1:111" x14ac:dyDescent="0.2">
      <c r="A4388" s="13"/>
      <c r="B4388" s="14"/>
      <c r="AU4388" s="13"/>
      <c r="AV4388" s="13"/>
      <c r="CU4388" s="13"/>
      <c r="DG4388" s="13"/>
    </row>
    <row r="4389" spans="1:111" x14ac:dyDescent="0.2">
      <c r="A4389" s="13"/>
      <c r="B4389" s="14"/>
      <c r="AU4389" s="13"/>
      <c r="AV4389" s="13"/>
      <c r="CU4389" s="13"/>
      <c r="DG4389" s="13"/>
    </row>
    <row r="4390" spans="1:111" x14ac:dyDescent="0.2">
      <c r="A4390" s="13"/>
      <c r="B4390" s="14"/>
      <c r="AU4390" s="13"/>
      <c r="AV4390" s="13"/>
      <c r="CU4390" s="13"/>
      <c r="DG4390" s="13"/>
    </row>
    <row r="4391" spans="1:111" x14ac:dyDescent="0.2">
      <c r="A4391" s="13"/>
      <c r="B4391" s="14"/>
      <c r="AU4391" s="13"/>
      <c r="AV4391" s="13"/>
      <c r="CU4391" s="13"/>
      <c r="DG4391" s="13"/>
    </row>
    <row r="4392" spans="1:111" x14ac:dyDescent="0.2">
      <c r="A4392" s="13"/>
      <c r="B4392" s="14"/>
      <c r="AU4392" s="13"/>
      <c r="AV4392" s="13"/>
      <c r="CU4392" s="13"/>
      <c r="DG4392" s="13"/>
    </row>
    <row r="4393" spans="1:111" x14ac:dyDescent="0.2">
      <c r="A4393" s="13"/>
      <c r="B4393" s="14"/>
      <c r="AU4393" s="13"/>
      <c r="AV4393" s="13"/>
      <c r="CU4393" s="13"/>
      <c r="DG4393" s="13"/>
    </row>
    <row r="4394" spans="1:111" x14ac:dyDescent="0.2">
      <c r="A4394" s="13"/>
      <c r="B4394" s="14"/>
      <c r="AU4394" s="13"/>
      <c r="AV4394" s="13"/>
      <c r="CU4394" s="13"/>
      <c r="DG4394" s="13"/>
    </row>
    <row r="4395" spans="1:111" x14ac:dyDescent="0.2">
      <c r="A4395" s="13"/>
      <c r="B4395" s="14"/>
      <c r="C4395" s="13"/>
      <c r="E4395" s="13"/>
      <c r="N4395" s="13"/>
      <c r="O4395" s="13"/>
      <c r="P4395" s="13"/>
      <c r="Q4395" s="13"/>
      <c r="R4395" s="13"/>
      <c r="S4395" s="13"/>
      <c r="T4395" s="13"/>
      <c r="U4395" s="13"/>
      <c r="V4395" s="13"/>
      <c r="AC4395" s="13"/>
      <c r="AD4395" s="13"/>
      <c r="AE4395" s="13"/>
      <c r="AG4395" s="13"/>
      <c r="AH4395" s="13"/>
      <c r="AI4395" s="13"/>
      <c r="AJ4395" s="13"/>
      <c r="AK4395" s="13"/>
      <c r="AL4395" s="8"/>
      <c r="AU4395" s="13"/>
      <c r="AV4395" s="13"/>
      <c r="CU4395" s="13"/>
      <c r="DG4395" s="13"/>
    </row>
    <row r="4396" spans="1:111" x14ac:dyDescent="0.2">
      <c r="A4396" s="13"/>
      <c r="B4396" s="14"/>
      <c r="C4396" s="13"/>
      <c r="E4396" s="13"/>
      <c r="N4396" s="13"/>
      <c r="O4396" s="13"/>
      <c r="P4396" s="13"/>
      <c r="Q4396" s="13"/>
      <c r="R4396" s="13"/>
      <c r="S4396" s="13"/>
      <c r="T4396" s="13"/>
      <c r="U4396" s="13"/>
      <c r="V4396" s="13"/>
      <c r="AC4396" s="13"/>
      <c r="AD4396" s="13"/>
      <c r="AE4396" s="13"/>
      <c r="AG4396" s="13"/>
      <c r="AH4396" s="13"/>
      <c r="AI4396" s="13"/>
      <c r="AJ4396" s="13"/>
      <c r="AK4396" s="13"/>
      <c r="AL4396" s="8"/>
      <c r="AU4396" s="13"/>
      <c r="AV4396" s="13"/>
      <c r="CU4396" s="13"/>
      <c r="DG4396" s="13"/>
    </row>
    <row r="4397" spans="1:111" x14ac:dyDescent="0.2">
      <c r="A4397" s="13"/>
      <c r="B4397" s="14"/>
      <c r="C4397" s="13"/>
      <c r="E4397" s="13"/>
      <c r="N4397" s="13"/>
      <c r="O4397" s="13"/>
      <c r="P4397" s="13"/>
      <c r="Q4397" s="13"/>
      <c r="R4397" s="13"/>
      <c r="S4397" s="13"/>
      <c r="T4397" s="13"/>
      <c r="U4397" s="13"/>
      <c r="V4397" s="13"/>
      <c r="AC4397" s="13"/>
      <c r="AD4397" s="13"/>
      <c r="AE4397" s="13"/>
      <c r="AG4397" s="13"/>
      <c r="AH4397" s="13"/>
      <c r="AI4397" s="13"/>
      <c r="AJ4397" s="13"/>
      <c r="AK4397" s="13"/>
      <c r="AL4397" s="8"/>
      <c r="AU4397" s="13"/>
      <c r="AV4397" s="13"/>
      <c r="CU4397" s="13"/>
      <c r="DG4397" s="13"/>
    </row>
    <row r="4398" spans="1:111" x14ac:dyDescent="0.2">
      <c r="A4398" s="13"/>
      <c r="B4398" s="14"/>
      <c r="C4398" s="13"/>
      <c r="E4398" s="13"/>
      <c r="N4398" s="13"/>
      <c r="O4398" s="13"/>
      <c r="P4398" s="13"/>
      <c r="Q4398" s="13"/>
      <c r="R4398" s="13"/>
      <c r="S4398" s="13"/>
      <c r="T4398" s="13"/>
      <c r="U4398" s="13"/>
      <c r="V4398" s="13"/>
      <c r="AC4398" s="13"/>
      <c r="AD4398" s="13"/>
      <c r="AE4398" s="13"/>
      <c r="AG4398" s="13"/>
      <c r="AH4398" s="13"/>
      <c r="AI4398" s="13"/>
      <c r="AJ4398" s="13"/>
      <c r="AK4398" s="13"/>
      <c r="AL4398" s="8"/>
      <c r="AU4398" s="13"/>
      <c r="AV4398" s="13"/>
      <c r="CU4398" s="13"/>
      <c r="DG4398" s="13"/>
    </row>
    <row r="4399" spans="1:111" x14ac:dyDescent="0.2">
      <c r="A4399" s="13"/>
      <c r="B4399" s="14"/>
      <c r="C4399" s="13"/>
      <c r="E4399" s="13"/>
      <c r="N4399" s="13"/>
      <c r="O4399" s="13"/>
      <c r="P4399" s="13"/>
      <c r="Q4399" s="13"/>
      <c r="R4399" s="13"/>
      <c r="S4399" s="13"/>
      <c r="T4399" s="13"/>
      <c r="U4399" s="13"/>
      <c r="V4399" s="13"/>
      <c r="AC4399" s="13"/>
      <c r="AD4399" s="13"/>
      <c r="AE4399" s="13"/>
      <c r="AG4399" s="13"/>
      <c r="AH4399" s="13"/>
      <c r="AI4399" s="13"/>
      <c r="AJ4399" s="13"/>
      <c r="AK4399" s="13"/>
      <c r="AL4399" s="8"/>
      <c r="AU4399" s="13"/>
      <c r="AV4399" s="13"/>
      <c r="CU4399" s="13"/>
      <c r="DG4399" s="13"/>
    </row>
    <row r="4400" spans="1:111" x14ac:dyDescent="0.2">
      <c r="A4400" s="13"/>
      <c r="B4400" s="14"/>
      <c r="C4400" s="13"/>
      <c r="E4400" s="13"/>
      <c r="N4400" s="13"/>
      <c r="O4400" s="13"/>
      <c r="P4400" s="13"/>
      <c r="Q4400" s="13"/>
      <c r="R4400" s="13"/>
      <c r="S4400" s="13"/>
      <c r="T4400" s="13"/>
      <c r="U4400" s="13"/>
      <c r="V4400" s="13"/>
      <c r="AC4400" s="13"/>
      <c r="AD4400" s="13"/>
      <c r="AE4400" s="13"/>
      <c r="AG4400" s="13"/>
      <c r="AH4400" s="13"/>
      <c r="AI4400" s="13"/>
      <c r="AJ4400" s="13"/>
      <c r="AK4400" s="13"/>
      <c r="AL4400" s="8"/>
      <c r="AU4400" s="13"/>
      <c r="AV4400" s="13"/>
      <c r="CU4400" s="13"/>
      <c r="DG4400" s="13"/>
    </row>
    <row r="4401" spans="1:111" x14ac:dyDescent="0.2">
      <c r="A4401" s="13"/>
      <c r="B4401" s="14"/>
      <c r="C4401" s="13"/>
      <c r="E4401" s="13"/>
      <c r="N4401" s="13"/>
      <c r="O4401" s="13"/>
      <c r="P4401" s="13"/>
      <c r="Q4401" s="13"/>
      <c r="R4401" s="13"/>
      <c r="S4401" s="13"/>
      <c r="T4401" s="13"/>
      <c r="U4401" s="13"/>
      <c r="V4401" s="13"/>
      <c r="AC4401" s="13"/>
      <c r="AD4401" s="13"/>
      <c r="AE4401" s="13"/>
      <c r="AG4401" s="13"/>
      <c r="AH4401" s="13"/>
      <c r="AI4401" s="13"/>
      <c r="AJ4401" s="13"/>
      <c r="AK4401" s="13"/>
      <c r="AL4401" s="8"/>
      <c r="AU4401" s="13"/>
      <c r="AV4401" s="13"/>
      <c r="CU4401" s="13"/>
      <c r="DG4401" s="13"/>
    </row>
    <row r="4402" spans="1:111" x14ac:dyDescent="0.2">
      <c r="A4402" s="13"/>
      <c r="B4402" s="14"/>
      <c r="C4402" s="13"/>
      <c r="E4402" s="13"/>
      <c r="N4402" s="13"/>
      <c r="O4402" s="13"/>
      <c r="P4402" s="13"/>
      <c r="Q4402" s="13"/>
      <c r="R4402" s="13"/>
      <c r="S4402" s="13"/>
      <c r="T4402" s="13"/>
      <c r="U4402" s="13"/>
      <c r="V4402" s="13"/>
      <c r="AC4402" s="13"/>
      <c r="AD4402" s="13"/>
      <c r="AE4402" s="13"/>
      <c r="AG4402" s="13"/>
      <c r="AH4402" s="13"/>
      <c r="AI4402" s="13"/>
      <c r="AJ4402" s="13"/>
      <c r="AK4402" s="13"/>
      <c r="AL4402" s="8"/>
      <c r="AU4402" s="13"/>
      <c r="AV4402" s="13"/>
      <c r="CU4402" s="13"/>
      <c r="DG4402" s="13"/>
    </row>
    <row r="4403" spans="1:111" x14ac:dyDescent="0.2">
      <c r="A4403" s="13"/>
      <c r="B4403" s="14"/>
      <c r="C4403" s="13"/>
      <c r="E4403" s="13"/>
      <c r="N4403" s="13"/>
      <c r="O4403" s="13"/>
      <c r="P4403" s="13"/>
      <c r="Q4403" s="13"/>
      <c r="R4403" s="13"/>
      <c r="S4403" s="13"/>
      <c r="T4403" s="13"/>
      <c r="U4403" s="13"/>
      <c r="V4403" s="13"/>
      <c r="AC4403" s="13"/>
      <c r="AD4403" s="13"/>
      <c r="AE4403" s="13"/>
      <c r="AG4403" s="13"/>
      <c r="AH4403" s="13"/>
      <c r="AI4403" s="13"/>
      <c r="AJ4403" s="13"/>
      <c r="AK4403" s="13"/>
      <c r="AL4403" s="8"/>
      <c r="AU4403" s="13"/>
      <c r="AV4403" s="13"/>
      <c r="CU4403" s="13"/>
      <c r="DG4403" s="13"/>
    </row>
    <row r="4404" spans="1:111" x14ac:dyDescent="0.2">
      <c r="A4404" s="13"/>
      <c r="B4404" s="14"/>
      <c r="C4404" s="13"/>
      <c r="E4404" s="13"/>
      <c r="N4404" s="13"/>
      <c r="O4404" s="13"/>
      <c r="P4404" s="13"/>
      <c r="Q4404" s="13"/>
      <c r="R4404" s="13"/>
      <c r="S4404" s="13"/>
      <c r="T4404" s="13"/>
      <c r="U4404" s="13"/>
      <c r="V4404" s="13"/>
      <c r="AC4404" s="13"/>
      <c r="AD4404" s="13"/>
      <c r="AE4404" s="13"/>
      <c r="AG4404" s="13"/>
      <c r="AH4404" s="13"/>
      <c r="AI4404" s="13"/>
      <c r="AJ4404" s="13"/>
      <c r="AK4404" s="13"/>
      <c r="AL4404" s="8"/>
      <c r="AU4404" s="13"/>
      <c r="AV4404" s="13"/>
      <c r="CU4404" s="13"/>
      <c r="DG4404" s="13"/>
    </row>
    <row r="4405" spans="1:111" x14ac:dyDescent="0.2">
      <c r="A4405" s="13"/>
      <c r="B4405" s="14"/>
      <c r="C4405" s="13"/>
      <c r="E4405" s="13"/>
      <c r="N4405" s="13"/>
      <c r="O4405" s="13"/>
      <c r="P4405" s="13"/>
      <c r="Q4405" s="13"/>
      <c r="R4405" s="13"/>
      <c r="S4405" s="13"/>
      <c r="T4405" s="13"/>
      <c r="U4405" s="13"/>
      <c r="V4405" s="13"/>
      <c r="AC4405" s="13"/>
      <c r="AD4405" s="13"/>
      <c r="AE4405" s="13"/>
      <c r="AG4405" s="13"/>
      <c r="AH4405" s="13"/>
      <c r="AI4405" s="13"/>
      <c r="AJ4405" s="13"/>
      <c r="AK4405" s="13"/>
      <c r="AL4405" s="8"/>
      <c r="AU4405" s="13"/>
      <c r="AV4405" s="13"/>
      <c r="CU4405" s="13"/>
      <c r="DG4405" s="13"/>
    </row>
    <row r="4406" spans="1:111" x14ac:dyDescent="0.2">
      <c r="A4406" s="13"/>
      <c r="B4406" s="14"/>
      <c r="C4406" s="13"/>
      <c r="E4406" s="13"/>
      <c r="N4406" s="13"/>
      <c r="O4406" s="13"/>
      <c r="P4406" s="13"/>
      <c r="Q4406" s="13"/>
      <c r="R4406" s="13"/>
      <c r="S4406" s="13"/>
      <c r="T4406" s="13"/>
      <c r="U4406" s="13"/>
      <c r="V4406" s="13"/>
      <c r="AC4406" s="13"/>
      <c r="AD4406" s="13"/>
      <c r="AE4406" s="13"/>
      <c r="AG4406" s="13"/>
      <c r="AH4406" s="13"/>
      <c r="AI4406" s="13"/>
      <c r="AJ4406" s="13"/>
      <c r="AK4406" s="13"/>
      <c r="AL4406" s="8"/>
      <c r="AU4406" s="13"/>
      <c r="AV4406" s="13"/>
      <c r="CU4406" s="13"/>
      <c r="DG4406" s="13"/>
    </row>
    <row r="4407" spans="1:111" x14ac:dyDescent="0.2">
      <c r="A4407" s="13"/>
      <c r="B4407" s="14"/>
      <c r="C4407" s="13"/>
      <c r="E4407" s="13"/>
      <c r="N4407" s="13"/>
      <c r="O4407" s="13"/>
      <c r="P4407" s="13"/>
      <c r="Q4407" s="13"/>
      <c r="R4407" s="13"/>
      <c r="S4407" s="13"/>
      <c r="T4407" s="13"/>
      <c r="U4407" s="13"/>
      <c r="V4407" s="13"/>
      <c r="AC4407" s="13"/>
      <c r="AD4407" s="13"/>
      <c r="AE4407" s="13"/>
      <c r="AG4407" s="13"/>
      <c r="AH4407" s="13"/>
      <c r="AI4407" s="13"/>
      <c r="AJ4407" s="13"/>
      <c r="AK4407" s="13"/>
      <c r="AL4407" s="8"/>
      <c r="AU4407" s="13"/>
      <c r="AV4407" s="13"/>
      <c r="CU4407" s="13"/>
      <c r="DG4407" s="13"/>
    </row>
    <row r="4408" spans="1:111" x14ac:dyDescent="0.2">
      <c r="A4408" s="13"/>
      <c r="B4408" s="14"/>
      <c r="C4408" s="13"/>
      <c r="E4408" s="13"/>
      <c r="N4408" s="13"/>
      <c r="O4408" s="13"/>
      <c r="P4408" s="13"/>
      <c r="Q4408" s="13"/>
      <c r="R4408" s="13"/>
      <c r="S4408" s="13"/>
      <c r="T4408" s="13"/>
      <c r="U4408" s="13"/>
      <c r="V4408" s="13"/>
      <c r="AC4408" s="13"/>
      <c r="AD4408" s="13"/>
      <c r="AE4408" s="13"/>
      <c r="AG4408" s="13"/>
      <c r="AH4408" s="13"/>
      <c r="AI4408" s="13"/>
      <c r="AJ4408" s="13"/>
      <c r="AK4408" s="13"/>
      <c r="AL4408" s="8"/>
      <c r="AU4408" s="13"/>
      <c r="AV4408" s="13"/>
      <c r="CU4408" s="13"/>
      <c r="DG4408" s="13"/>
    </row>
    <row r="4409" spans="1:111" x14ac:dyDescent="0.2">
      <c r="A4409" s="13"/>
      <c r="B4409" s="14"/>
      <c r="C4409" s="13"/>
      <c r="E4409" s="13"/>
      <c r="N4409" s="13"/>
      <c r="O4409" s="13"/>
      <c r="P4409" s="13"/>
      <c r="Q4409" s="13"/>
      <c r="R4409" s="13"/>
      <c r="S4409" s="13"/>
      <c r="T4409" s="13"/>
      <c r="U4409" s="13"/>
      <c r="V4409" s="13"/>
      <c r="AC4409" s="13"/>
      <c r="AD4409" s="13"/>
      <c r="AE4409" s="13"/>
      <c r="AG4409" s="13"/>
      <c r="AH4409" s="13"/>
      <c r="AI4409" s="13"/>
      <c r="AJ4409" s="13"/>
      <c r="AK4409" s="13"/>
      <c r="AL4409" s="8"/>
      <c r="AU4409" s="13"/>
      <c r="AV4409" s="13"/>
      <c r="CU4409" s="13"/>
      <c r="DG4409" s="13"/>
    </row>
    <row r="4410" spans="1:111" x14ac:dyDescent="0.2">
      <c r="A4410" s="13"/>
      <c r="B4410" s="14"/>
      <c r="C4410" s="13"/>
      <c r="E4410" s="13"/>
      <c r="N4410" s="13"/>
      <c r="O4410" s="13"/>
      <c r="P4410" s="13"/>
      <c r="Q4410" s="13"/>
      <c r="R4410" s="13"/>
      <c r="S4410" s="13"/>
      <c r="T4410" s="13"/>
      <c r="U4410" s="13"/>
      <c r="V4410" s="13"/>
      <c r="AC4410" s="13"/>
      <c r="AD4410" s="13"/>
      <c r="AE4410" s="13"/>
      <c r="AG4410" s="13"/>
      <c r="AH4410" s="13"/>
      <c r="AI4410" s="13"/>
      <c r="AJ4410" s="13"/>
      <c r="AK4410" s="13"/>
      <c r="AL4410" s="8"/>
      <c r="AU4410" s="13"/>
      <c r="AV4410" s="13"/>
      <c r="CU4410" s="13"/>
      <c r="DG4410" s="13"/>
    </row>
    <row r="4411" spans="1:111" x14ac:dyDescent="0.2">
      <c r="A4411" s="13"/>
      <c r="B4411" s="14"/>
      <c r="C4411" s="13"/>
      <c r="E4411" s="13"/>
      <c r="N4411" s="13"/>
      <c r="O4411" s="13"/>
      <c r="P4411" s="13"/>
      <c r="Q4411" s="13"/>
      <c r="R4411" s="13"/>
      <c r="S4411" s="13"/>
      <c r="T4411" s="13"/>
      <c r="U4411" s="13"/>
      <c r="V4411" s="13"/>
      <c r="AC4411" s="13"/>
      <c r="AD4411" s="13"/>
      <c r="AE4411" s="13"/>
      <c r="AG4411" s="13"/>
      <c r="AH4411" s="13"/>
      <c r="AI4411" s="13"/>
      <c r="AJ4411" s="13"/>
      <c r="AK4411" s="13"/>
      <c r="AL4411" s="8"/>
      <c r="AU4411" s="13"/>
      <c r="AV4411" s="13"/>
      <c r="CU4411" s="13"/>
      <c r="DG4411" s="13"/>
    </row>
    <row r="4412" spans="1:111" x14ac:dyDescent="0.2">
      <c r="A4412" s="13"/>
      <c r="B4412" s="14"/>
      <c r="C4412" s="13"/>
      <c r="E4412" s="13"/>
      <c r="N4412" s="13"/>
      <c r="O4412" s="13"/>
      <c r="P4412" s="13"/>
      <c r="Q4412" s="13"/>
      <c r="R4412" s="13"/>
      <c r="S4412" s="13"/>
      <c r="T4412" s="13"/>
      <c r="U4412" s="13"/>
      <c r="V4412" s="13"/>
      <c r="AC4412" s="13"/>
      <c r="AD4412" s="13"/>
      <c r="AE4412" s="13"/>
      <c r="AG4412" s="13"/>
      <c r="AH4412" s="13"/>
      <c r="AI4412" s="13"/>
      <c r="AJ4412" s="13"/>
      <c r="AK4412" s="13"/>
      <c r="AL4412" s="8"/>
      <c r="AU4412" s="13"/>
      <c r="AV4412" s="13"/>
      <c r="CU4412" s="13"/>
      <c r="DG4412" s="13"/>
    </row>
    <row r="4413" spans="1:111" x14ac:dyDescent="0.2">
      <c r="A4413" s="13"/>
      <c r="B4413" s="14"/>
      <c r="C4413" s="13"/>
      <c r="E4413" s="13"/>
      <c r="N4413" s="13"/>
      <c r="O4413" s="13"/>
      <c r="P4413" s="13"/>
      <c r="Q4413" s="13"/>
      <c r="R4413" s="13"/>
      <c r="S4413" s="13"/>
      <c r="T4413" s="13"/>
      <c r="U4413" s="13"/>
      <c r="V4413" s="13"/>
      <c r="AC4413" s="13"/>
      <c r="AD4413" s="13"/>
      <c r="AE4413" s="13"/>
      <c r="AG4413" s="13"/>
      <c r="AH4413" s="13"/>
      <c r="AI4413" s="13"/>
      <c r="AJ4413" s="13"/>
      <c r="AK4413" s="13"/>
      <c r="AL4413" s="8"/>
      <c r="AU4413" s="13"/>
      <c r="AV4413" s="13"/>
      <c r="CU4413" s="13"/>
      <c r="DG4413" s="13"/>
    </row>
    <row r="4414" spans="1:111" x14ac:dyDescent="0.2">
      <c r="A4414" s="13"/>
      <c r="B4414" s="14"/>
      <c r="C4414" s="13"/>
      <c r="E4414" s="13"/>
      <c r="N4414" s="13"/>
      <c r="O4414" s="13"/>
      <c r="P4414" s="13"/>
      <c r="Q4414" s="13"/>
      <c r="R4414" s="13"/>
      <c r="S4414" s="13"/>
      <c r="T4414" s="13"/>
      <c r="U4414" s="13"/>
      <c r="V4414" s="13"/>
      <c r="AC4414" s="13"/>
      <c r="AD4414" s="13"/>
      <c r="AE4414" s="13"/>
      <c r="AG4414" s="13"/>
      <c r="AH4414" s="13"/>
      <c r="AI4414" s="13"/>
      <c r="AJ4414" s="13"/>
      <c r="AK4414" s="13"/>
      <c r="AL4414" s="8"/>
      <c r="AU4414" s="13"/>
      <c r="AV4414" s="13"/>
      <c r="CU4414" s="13"/>
      <c r="DG4414" s="13"/>
    </row>
    <row r="4415" spans="1:111" x14ac:dyDescent="0.2">
      <c r="A4415" s="13"/>
      <c r="B4415" s="14"/>
      <c r="C4415" s="13"/>
      <c r="E4415" s="13"/>
      <c r="N4415" s="13"/>
      <c r="O4415" s="13"/>
      <c r="P4415" s="13"/>
      <c r="Q4415" s="13"/>
      <c r="R4415" s="13"/>
      <c r="S4415" s="13"/>
      <c r="T4415" s="13"/>
      <c r="U4415" s="13"/>
      <c r="V4415" s="13"/>
      <c r="AC4415" s="13"/>
      <c r="AD4415" s="13"/>
      <c r="AE4415" s="13"/>
      <c r="AG4415" s="13"/>
      <c r="AH4415" s="13"/>
      <c r="AI4415" s="13"/>
      <c r="AJ4415" s="13"/>
      <c r="AK4415" s="13"/>
      <c r="AL4415" s="8"/>
      <c r="AU4415" s="13"/>
      <c r="AV4415" s="13"/>
      <c r="CU4415" s="13"/>
      <c r="DG4415" s="13"/>
    </row>
    <row r="4416" spans="1:111" x14ac:dyDescent="0.2">
      <c r="A4416" s="13"/>
      <c r="B4416" s="14"/>
      <c r="C4416" s="13"/>
      <c r="E4416" s="13"/>
      <c r="N4416" s="13"/>
      <c r="O4416" s="13"/>
      <c r="P4416" s="13"/>
      <c r="Q4416" s="13"/>
      <c r="R4416" s="13"/>
      <c r="S4416" s="13"/>
      <c r="T4416" s="13"/>
      <c r="U4416" s="13"/>
      <c r="V4416" s="13"/>
      <c r="AC4416" s="13"/>
      <c r="AD4416" s="13"/>
      <c r="AE4416" s="13"/>
      <c r="AG4416" s="13"/>
      <c r="AH4416" s="13"/>
      <c r="AI4416" s="13"/>
      <c r="AJ4416" s="13"/>
      <c r="AK4416" s="13"/>
      <c r="AL4416" s="8"/>
      <c r="AU4416" s="13"/>
      <c r="AV4416" s="13"/>
      <c r="CU4416" s="13"/>
      <c r="DG4416" s="13"/>
    </row>
    <row r="4417" spans="1:111" x14ac:dyDescent="0.2">
      <c r="A4417" s="13"/>
      <c r="B4417" s="14"/>
      <c r="C4417" s="13"/>
      <c r="E4417" s="13"/>
      <c r="N4417" s="13"/>
      <c r="O4417" s="13"/>
      <c r="P4417" s="13"/>
      <c r="Q4417" s="13"/>
      <c r="R4417" s="13"/>
      <c r="S4417" s="13"/>
      <c r="T4417" s="13"/>
      <c r="U4417" s="13"/>
      <c r="V4417" s="13"/>
      <c r="AC4417" s="13"/>
      <c r="AD4417" s="13"/>
      <c r="AE4417" s="13"/>
      <c r="AG4417" s="13"/>
      <c r="AH4417" s="13"/>
      <c r="AI4417" s="13"/>
      <c r="AJ4417" s="13"/>
      <c r="AK4417" s="13"/>
      <c r="AL4417" s="8"/>
      <c r="AU4417" s="13"/>
      <c r="AV4417" s="13"/>
      <c r="CU4417" s="13"/>
      <c r="DG4417" s="13"/>
    </row>
    <row r="4418" spans="1:111" x14ac:dyDescent="0.2">
      <c r="A4418" s="13"/>
      <c r="B4418" s="14"/>
      <c r="C4418" s="13"/>
      <c r="E4418" s="13"/>
      <c r="N4418" s="13"/>
      <c r="O4418" s="13"/>
      <c r="P4418" s="13"/>
      <c r="Q4418" s="13"/>
      <c r="R4418" s="13"/>
      <c r="S4418" s="13"/>
      <c r="T4418" s="13"/>
      <c r="U4418" s="13"/>
      <c r="V4418" s="13"/>
      <c r="AC4418" s="13"/>
      <c r="AD4418" s="13"/>
      <c r="AE4418" s="13"/>
      <c r="AG4418" s="13"/>
      <c r="AH4418" s="13"/>
      <c r="AI4418" s="13"/>
      <c r="AJ4418" s="13"/>
      <c r="AK4418" s="13"/>
      <c r="AL4418" s="8"/>
      <c r="AU4418" s="13"/>
      <c r="AV4418" s="13"/>
      <c r="CU4418" s="13"/>
      <c r="DG4418" s="13"/>
    </row>
    <row r="4419" spans="1:111" x14ac:dyDescent="0.2">
      <c r="A4419" s="13"/>
      <c r="B4419" s="14"/>
      <c r="C4419" s="13"/>
      <c r="E4419" s="13"/>
      <c r="N4419" s="13"/>
      <c r="O4419" s="13"/>
      <c r="P4419" s="13"/>
      <c r="Q4419" s="13"/>
      <c r="R4419" s="13"/>
      <c r="S4419" s="13"/>
      <c r="T4419" s="13"/>
      <c r="U4419" s="13"/>
      <c r="V4419" s="13"/>
      <c r="AC4419" s="13"/>
      <c r="AD4419" s="13"/>
      <c r="AE4419" s="13"/>
      <c r="AG4419" s="13"/>
      <c r="AH4419" s="13"/>
      <c r="AI4419" s="13"/>
      <c r="AJ4419" s="13"/>
      <c r="AK4419" s="13"/>
      <c r="AL4419" s="8"/>
      <c r="AU4419" s="13"/>
      <c r="AV4419" s="13"/>
      <c r="CU4419" s="13"/>
      <c r="DG4419" s="13"/>
    </row>
    <row r="4420" spans="1:111" x14ac:dyDescent="0.2">
      <c r="A4420" s="13"/>
      <c r="B4420" s="14"/>
      <c r="C4420" s="13"/>
      <c r="E4420" s="13"/>
      <c r="N4420" s="13"/>
      <c r="O4420" s="13"/>
      <c r="P4420" s="13"/>
      <c r="Q4420" s="13"/>
      <c r="R4420" s="13"/>
      <c r="S4420" s="13"/>
      <c r="T4420" s="13"/>
      <c r="U4420" s="13"/>
      <c r="V4420" s="13"/>
      <c r="AC4420" s="13"/>
      <c r="AD4420" s="13"/>
      <c r="AE4420" s="13"/>
      <c r="AG4420" s="13"/>
      <c r="AH4420" s="13"/>
      <c r="AI4420" s="13"/>
      <c r="AJ4420" s="13"/>
      <c r="AK4420" s="13"/>
      <c r="AL4420" s="8"/>
      <c r="AU4420" s="13"/>
      <c r="AV4420" s="13"/>
      <c r="CU4420" s="13"/>
      <c r="DG4420" s="13"/>
    </row>
    <row r="4421" spans="1:111" x14ac:dyDescent="0.2">
      <c r="A4421" s="13"/>
      <c r="B4421" s="14"/>
      <c r="C4421" s="13"/>
      <c r="E4421" s="13"/>
      <c r="N4421" s="13"/>
      <c r="O4421" s="13"/>
      <c r="P4421" s="13"/>
      <c r="Q4421" s="13"/>
      <c r="R4421" s="13"/>
      <c r="S4421" s="13"/>
      <c r="T4421" s="13"/>
      <c r="U4421" s="13"/>
      <c r="V4421" s="13"/>
      <c r="AC4421" s="13"/>
      <c r="AD4421" s="13"/>
      <c r="AE4421" s="13"/>
      <c r="AG4421" s="13"/>
      <c r="AH4421" s="13"/>
      <c r="AI4421" s="13"/>
      <c r="AJ4421" s="13"/>
      <c r="AK4421" s="13"/>
      <c r="AL4421" s="8"/>
      <c r="AU4421" s="13"/>
      <c r="AV4421" s="13"/>
      <c r="CU4421" s="13"/>
      <c r="DG4421" s="13"/>
    </row>
    <row r="4422" spans="1:111" x14ac:dyDescent="0.2">
      <c r="A4422" s="13"/>
      <c r="B4422" s="14"/>
      <c r="C4422" s="13"/>
      <c r="E4422" s="13"/>
      <c r="N4422" s="13"/>
      <c r="O4422" s="13"/>
      <c r="P4422" s="13"/>
      <c r="Q4422" s="13"/>
      <c r="R4422" s="13"/>
      <c r="S4422" s="13"/>
      <c r="T4422" s="13"/>
      <c r="U4422" s="13"/>
      <c r="V4422" s="13"/>
      <c r="AC4422" s="13"/>
      <c r="AD4422" s="13"/>
      <c r="AE4422" s="13"/>
      <c r="AG4422" s="13"/>
      <c r="AH4422" s="13"/>
      <c r="AI4422" s="13"/>
      <c r="AJ4422" s="13"/>
      <c r="AK4422" s="13"/>
      <c r="AL4422" s="8"/>
      <c r="AU4422" s="13"/>
      <c r="AV4422" s="13"/>
      <c r="CU4422" s="13"/>
      <c r="DG4422" s="13"/>
    </row>
    <row r="4423" spans="1:111" x14ac:dyDescent="0.2">
      <c r="A4423" s="13"/>
      <c r="B4423" s="14"/>
      <c r="C4423" s="13"/>
      <c r="E4423" s="13"/>
      <c r="N4423" s="13"/>
      <c r="O4423" s="13"/>
      <c r="P4423" s="13"/>
      <c r="Q4423" s="13"/>
      <c r="R4423" s="13"/>
      <c r="S4423" s="13"/>
      <c r="T4423" s="13"/>
      <c r="U4423" s="13"/>
      <c r="V4423" s="13"/>
      <c r="AC4423" s="13"/>
      <c r="AD4423" s="13"/>
      <c r="AE4423" s="13"/>
      <c r="AG4423" s="13"/>
      <c r="AH4423" s="13"/>
      <c r="AI4423" s="13"/>
      <c r="AJ4423" s="13"/>
      <c r="AK4423" s="13"/>
      <c r="AL4423" s="8"/>
      <c r="AU4423" s="13"/>
      <c r="AV4423" s="13"/>
      <c r="CU4423" s="13"/>
      <c r="DG4423" s="13"/>
    </row>
    <row r="4424" spans="1:111" x14ac:dyDescent="0.2">
      <c r="A4424" s="13"/>
      <c r="B4424" s="14"/>
      <c r="C4424" s="13"/>
      <c r="E4424" s="13"/>
      <c r="N4424" s="13"/>
      <c r="O4424" s="13"/>
      <c r="P4424" s="13"/>
      <c r="Q4424" s="13"/>
      <c r="R4424" s="13"/>
      <c r="S4424" s="13"/>
      <c r="T4424" s="13"/>
      <c r="U4424" s="13"/>
      <c r="V4424" s="13"/>
      <c r="AC4424" s="13"/>
      <c r="AD4424" s="13"/>
      <c r="AE4424" s="13"/>
      <c r="AG4424" s="13"/>
      <c r="AH4424" s="13"/>
      <c r="AI4424" s="13"/>
      <c r="AJ4424" s="13"/>
      <c r="AK4424" s="13"/>
      <c r="AL4424" s="8"/>
      <c r="AU4424" s="13"/>
      <c r="AV4424" s="13"/>
      <c r="CU4424" s="13"/>
      <c r="DG4424" s="13"/>
    </row>
    <row r="4425" spans="1:111" x14ac:dyDescent="0.2">
      <c r="A4425" s="13"/>
      <c r="B4425" s="14"/>
      <c r="C4425" s="13"/>
      <c r="E4425" s="13"/>
      <c r="N4425" s="13"/>
      <c r="O4425" s="13"/>
      <c r="P4425" s="13"/>
      <c r="Q4425" s="13"/>
      <c r="R4425" s="13"/>
      <c r="S4425" s="13"/>
      <c r="T4425" s="13"/>
      <c r="U4425" s="13"/>
      <c r="V4425" s="13"/>
      <c r="AC4425" s="13"/>
      <c r="AD4425" s="13"/>
      <c r="AE4425" s="13"/>
      <c r="AG4425" s="13"/>
      <c r="AH4425" s="13"/>
      <c r="AI4425" s="13"/>
      <c r="AJ4425" s="13"/>
      <c r="AK4425" s="13"/>
      <c r="AL4425" s="8"/>
      <c r="AU4425" s="13"/>
      <c r="AV4425" s="13"/>
      <c r="CU4425" s="13"/>
      <c r="DG4425" s="13"/>
    </row>
    <row r="4426" spans="1:111" x14ac:dyDescent="0.2">
      <c r="A4426" s="13"/>
      <c r="B4426" s="14"/>
      <c r="C4426" s="13"/>
      <c r="E4426" s="13"/>
      <c r="N4426" s="13"/>
      <c r="O4426" s="13"/>
      <c r="P4426" s="13"/>
      <c r="Q4426" s="13"/>
      <c r="R4426" s="13"/>
      <c r="S4426" s="13"/>
      <c r="T4426" s="13"/>
      <c r="U4426" s="13"/>
      <c r="V4426" s="13"/>
      <c r="AC4426" s="13"/>
      <c r="AD4426" s="13"/>
      <c r="AE4426" s="13"/>
      <c r="AG4426" s="13"/>
      <c r="AH4426" s="13"/>
      <c r="AI4426" s="13"/>
      <c r="AJ4426" s="13"/>
      <c r="AK4426" s="13"/>
      <c r="AL4426" s="8"/>
      <c r="AU4426" s="13"/>
      <c r="AV4426" s="13"/>
      <c r="CU4426" s="13"/>
      <c r="DG4426" s="13"/>
    </row>
    <row r="4427" spans="1:111" x14ac:dyDescent="0.2">
      <c r="A4427" s="13"/>
      <c r="B4427" s="14"/>
      <c r="C4427" s="13"/>
      <c r="E4427" s="13"/>
      <c r="N4427" s="13"/>
      <c r="O4427" s="13"/>
      <c r="P4427" s="13"/>
      <c r="Q4427" s="13"/>
      <c r="R4427" s="13"/>
      <c r="S4427" s="13"/>
      <c r="T4427" s="13"/>
      <c r="U4427" s="13"/>
      <c r="V4427" s="13"/>
      <c r="AC4427" s="13"/>
      <c r="AD4427" s="13"/>
      <c r="AE4427" s="13"/>
      <c r="AG4427" s="13"/>
      <c r="AH4427" s="13"/>
      <c r="AI4427" s="13"/>
      <c r="AJ4427" s="13"/>
      <c r="AK4427" s="13"/>
      <c r="AL4427" s="8"/>
      <c r="AU4427" s="13"/>
      <c r="AV4427" s="13"/>
      <c r="CU4427" s="13"/>
      <c r="DG4427" s="13"/>
    </row>
    <row r="4428" spans="1:111" x14ac:dyDescent="0.2">
      <c r="A4428" s="13"/>
      <c r="B4428" s="14"/>
      <c r="C4428" s="13"/>
      <c r="E4428" s="13"/>
      <c r="N4428" s="13"/>
      <c r="O4428" s="13"/>
      <c r="P4428" s="13"/>
      <c r="Q4428" s="13"/>
      <c r="R4428" s="13"/>
      <c r="S4428" s="13"/>
      <c r="T4428" s="13"/>
      <c r="U4428" s="13"/>
      <c r="V4428" s="13"/>
      <c r="AC4428" s="13"/>
      <c r="AD4428" s="13"/>
      <c r="AE4428" s="13"/>
      <c r="AG4428" s="13"/>
      <c r="AH4428" s="13"/>
      <c r="AI4428" s="13"/>
      <c r="AJ4428" s="13"/>
      <c r="AK4428" s="13"/>
      <c r="AL4428" s="8"/>
      <c r="AU4428" s="13"/>
      <c r="AV4428" s="13"/>
      <c r="CU4428" s="13"/>
      <c r="DG4428" s="13"/>
    </row>
    <row r="4429" spans="1:111" x14ac:dyDescent="0.2">
      <c r="A4429" s="13"/>
      <c r="B4429" s="14"/>
      <c r="C4429" s="13"/>
      <c r="E4429" s="13"/>
      <c r="N4429" s="13"/>
      <c r="O4429" s="13"/>
      <c r="P4429" s="13"/>
      <c r="Q4429" s="13"/>
      <c r="R4429" s="13"/>
      <c r="S4429" s="13"/>
      <c r="T4429" s="13"/>
      <c r="U4429" s="13"/>
      <c r="V4429" s="13"/>
      <c r="AC4429" s="13"/>
      <c r="AD4429" s="13"/>
      <c r="AE4429" s="13"/>
      <c r="AG4429" s="13"/>
      <c r="AH4429" s="13"/>
      <c r="AI4429" s="13"/>
      <c r="AJ4429" s="13"/>
      <c r="AK4429" s="13"/>
      <c r="AL4429" s="8"/>
      <c r="AU4429" s="13"/>
      <c r="AV4429" s="13"/>
      <c r="CU4429" s="13"/>
      <c r="DG4429" s="13"/>
    </row>
    <row r="4430" spans="1:111" x14ac:dyDescent="0.2">
      <c r="A4430" s="13"/>
      <c r="B4430" s="14"/>
      <c r="C4430" s="13"/>
      <c r="E4430" s="13"/>
      <c r="N4430" s="13"/>
      <c r="O4430" s="13"/>
      <c r="P4430" s="13"/>
      <c r="Q4430" s="13"/>
      <c r="R4430" s="13"/>
      <c r="S4430" s="13"/>
      <c r="T4430" s="13"/>
      <c r="U4430" s="13"/>
      <c r="V4430" s="13"/>
      <c r="AC4430" s="13"/>
      <c r="AD4430" s="13"/>
      <c r="AE4430" s="13"/>
      <c r="AG4430" s="13"/>
      <c r="AH4430" s="13"/>
      <c r="AI4430" s="13"/>
      <c r="AJ4430" s="13"/>
      <c r="AK4430" s="13"/>
      <c r="AL4430" s="8"/>
      <c r="AU4430" s="13"/>
      <c r="AV4430" s="13"/>
      <c r="CU4430" s="13"/>
      <c r="DG4430" s="13"/>
    </row>
    <row r="4431" spans="1:111" x14ac:dyDescent="0.2">
      <c r="A4431" s="13"/>
      <c r="B4431" s="14"/>
      <c r="C4431" s="13"/>
      <c r="E4431" s="13"/>
      <c r="N4431" s="13"/>
      <c r="O4431" s="13"/>
      <c r="P4431" s="13"/>
      <c r="Q4431" s="13"/>
      <c r="R4431" s="13"/>
      <c r="S4431" s="13"/>
      <c r="T4431" s="13"/>
      <c r="U4431" s="13"/>
      <c r="V4431" s="13"/>
      <c r="AC4431" s="13"/>
      <c r="AD4431" s="13"/>
      <c r="AE4431" s="13"/>
      <c r="AG4431" s="13"/>
      <c r="AH4431" s="13"/>
      <c r="AI4431" s="13"/>
      <c r="AJ4431" s="13"/>
      <c r="AK4431" s="13"/>
      <c r="AL4431" s="8"/>
      <c r="AU4431" s="13"/>
      <c r="AV4431" s="13"/>
      <c r="CU4431" s="13"/>
      <c r="DG4431" s="13"/>
    </row>
    <row r="4432" spans="1:111" x14ac:dyDescent="0.2">
      <c r="A4432" s="13"/>
      <c r="B4432" s="14"/>
      <c r="C4432" s="13"/>
      <c r="E4432" s="13"/>
      <c r="N4432" s="13"/>
      <c r="O4432" s="13"/>
      <c r="P4432" s="13"/>
      <c r="Q4432" s="13"/>
      <c r="R4432" s="13"/>
      <c r="S4432" s="13"/>
      <c r="T4432" s="13"/>
      <c r="U4432" s="13"/>
      <c r="V4432" s="13"/>
      <c r="AC4432" s="13"/>
      <c r="AD4432" s="13"/>
      <c r="AE4432" s="13"/>
      <c r="AG4432" s="13"/>
      <c r="AH4432" s="13"/>
      <c r="AI4432" s="13"/>
      <c r="AJ4432" s="13"/>
      <c r="AK4432" s="13"/>
      <c r="AL4432" s="8"/>
      <c r="AU4432" s="13"/>
      <c r="AV4432" s="13"/>
      <c r="CU4432" s="13"/>
      <c r="DG4432" s="13"/>
    </row>
    <row r="4433" spans="1:111" x14ac:dyDescent="0.2">
      <c r="A4433" s="13"/>
      <c r="B4433" s="14"/>
      <c r="C4433" s="13"/>
      <c r="E4433" s="13"/>
      <c r="N4433" s="13"/>
      <c r="O4433" s="13"/>
      <c r="P4433" s="13"/>
      <c r="Q4433" s="13"/>
      <c r="R4433" s="13"/>
      <c r="S4433" s="13"/>
      <c r="T4433" s="13"/>
      <c r="U4433" s="13"/>
      <c r="V4433" s="13"/>
      <c r="AC4433" s="13"/>
      <c r="AD4433" s="13"/>
      <c r="AE4433" s="13"/>
      <c r="AG4433" s="13"/>
      <c r="AH4433" s="13"/>
      <c r="AI4433" s="13"/>
      <c r="AJ4433" s="13"/>
      <c r="AK4433" s="13"/>
      <c r="AL4433" s="8"/>
      <c r="AU4433" s="13"/>
      <c r="AV4433" s="13"/>
      <c r="CU4433" s="13"/>
      <c r="DG4433" s="13"/>
    </row>
    <row r="4434" spans="1:111" x14ac:dyDescent="0.2">
      <c r="A4434" s="13"/>
      <c r="B4434" s="14"/>
      <c r="C4434" s="13"/>
      <c r="E4434" s="13"/>
      <c r="N4434" s="13"/>
      <c r="O4434" s="13"/>
      <c r="P4434" s="13"/>
      <c r="Q4434" s="13"/>
      <c r="R4434" s="13"/>
      <c r="S4434" s="13"/>
      <c r="T4434" s="13"/>
      <c r="U4434" s="13"/>
      <c r="V4434" s="13"/>
      <c r="AC4434" s="13"/>
      <c r="AD4434" s="13"/>
      <c r="AE4434" s="13"/>
      <c r="AG4434" s="13"/>
      <c r="AH4434" s="13"/>
      <c r="AI4434" s="13"/>
      <c r="AJ4434" s="13"/>
      <c r="AK4434" s="13"/>
      <c r="AL4434" s="8"/>
      <c r="AU4434" s="13"/>
      <c r="AV4434" s="13"/>
      <c r="CU4434" s="13"/>
      <c r="DG4434" s="13"/>
    </row>
    <row r="4435" spans="1:111" x14ac:dyDescent="0.2">
      <c r="A4435" s="13"/>
      <c r="B4435" s="14"/>
      <c r="C4435" s="13"/>
      <c r="E4435" s="13"/>
      <c r="N4435" s="13"/>
      <c r="O4435" s="13"/>
      <c r="P4435" s="13"/>
      <c r="Q4435" s="13"/>
      <c r="R4435" s="13"/>
      <c r="S4435" s="13"/>
      <c r="T4435" s="13"/>
      <c r="U4435" s="13"/>
      <c r="V4435" s="13"/>
      <c r="AC4435" s="13"/>
      <c r="AD4435" s="13"/>
      <c r="AE4435" s="13"/>
      <c r="AG4435" s="13"/>
      <c r="AH4435" s="13"/>
      <c r="AI4435" s="13"/>
      <c r="AJ4435" s="13"/>
      <c r="AK4435" s="13"/>
      <c r="AL4435" s="8"/>
      <c r="AU4435" s="13"/>
      <c r="AV4435" s="13"/>
      <c r="CU4435" s="13"/>
      <c r="DG4435" s="13"/>
    </row>
    <row r="4436" spans="1:111" x14ac:dyDescent="0.2">
      <c r="A4436" s="13"/>
      <c r="B4436" s="14"/>
      <c r="C4436" s="13"/>
      <c r="E4436" s="13"/>
      <c r="N4436" s="13"/>
      <c r="O4436" s="13"/>
      <c r="P4436" s="13"/>
      <c r="Q4436" s="13"/>
      <c r="R4436" s="13"/>
      <c r="S4436" s="13"/>
      <c r="T4436" s="13"/>
      <c r="U4436" s="13"/>
      <c r="V4436" s="13"/>
      <c r="AC4436" s="13"/>
      <c r="AD4436" s="13"/>
      <c r="AE4436" s="13"/>
      <c r="AG4436" s="13"/>
      <c r="AH4436" s="13"/>
      <c r="AI4436" s="13"/>
      <c r="AJ4436" s="13"/>
      <c r="AK4436" s="13"/>
      <c r="AL4436" s="8"/>
      <c r="AU4436" s="13"/>
      <c r="AV4436" s="13"/>
      <c r="CU4436" s="13"/>
      <c r="DG4436" s="13"/>
    </row>
    <row r="4437" spans="1:111" x14ac:dyDescent="0.2">
      <c r="A4437" s="13"/>
      <c r="B4437" s="14"/>
      <c r="C4437" s="13"/>
      <c r="E4437" s="13"/>
      <c r="N4437" s="13"/>
      <c r="O4437" s="13"/>
      <c r="P4437" s="13"/>
      <c r="Q4437" s="13"/>
      <c r="R4437" s="13"/>
      <c r="S4437" s="13"/>
      <c r="T4437" s="13"/>
      <c r="U4437" s="13"/>
      <c r="V4437" s="13"/>
      <c r="AC4437" s="13"/>
      <c r="AD4437" s="13"/>
      <c r="AE4437" s="13"/>
      <c r="AG4437" s="13"/>
      <c r="AH4437" s="13"/>
      <c r="AI4437" s="13"/>
      <c r="AJ4437" s="13"/>
      <c r="AK4437" s="13"/>
      <c r="AL4437" s="8"/>
      <c r="AU4437" s="13"/>
      <c r="AV4437" s="13"/>
      <c r="CU4437" s="13"/>
      <c r="DG4437" s="13"/>
    </row>
    <row r="4438" spans="1:111" x14ac:dyDescent="0.2">
      <c r="A4438" s="13"/>
      <c r="B4438" s="14"/>
      <c r="C4438" s="13"/>
      <c r="E4438" s="13"/>
      <c r="N4438" s="13"/>
      <c r="O4438" s="13"/>
      <c r="P4438" s="13"/>
      <c r="Q4438" s="13"/>
      <c r="R4438" s="13"/>
      <c r="S4438" s="13"/>
      <c r="T4438" s="13"/>
      <c r="U4438" s="13"/>
      <c r="V4438" s="13"/>
      <c r="AC4438" s="13"/>
      <c r="AD4438" s="13"/>
      <c r="AE4438" s="13"/>
      <c r="AG4438" s="13"/>
      <c r="AH4438" s="13"/>
      <c r="AI4438" s="13"/>
      <c r="AJ4438" s="13"/>
      <c r="AK4438" s="13"/>
      <c r="AL4438" s="8"/>
      <c r="AU4438" s="13"/>
      <c r="AV4438" s="13"/>
      <c r="CU4438" s="13"/>
      <c r="DG4438" s="13"/>
    </row>
    <row r="4439" spans="1:111" x14ac:dyDescent="0.2">
      <c r="A4439" s="13"/>
      <c r="B4439" s="14"/>
      <c r="C4439" s="13"/>
      <c r="E4439" s="13"/>
      <c r="N4439" s="13"/>
      <c r="O4439" s="13"/>
      <c r="P4439" s="13"/>
      <c r="Q4439" s="13"/>
      <c r="R4439" s="13"/>
      <c r="S4439" s="13"/>
      <c r="T4439" s="13"/>
      <c r="U4439" s="13"/>
      <c r="V4439" s="13"/>
      <c r="AC4439" s="13"/>
      <c r="AD4439" s="13"/>
      <c r="AE4439" s="13"/>
      <c r="AG4439" s="13"/>
      <c r="AH4439" s="13"/>
      <c r="AI4439" s="13"/>
      <c r="AJ4439" s="13"/>
      <c r="AK4439" s="13"/>
      <c r="AL4439" s="8"/>
      <c r="AU4439" s="13"/>
      <c r="AV4439" s="13"/>
      <c r="CU4439" s="13"/>
      <c r="DG4439" s="13"/>
    </row>
    <row r="4440" spans="1:111" x14ac:dyDescent="0.2">
      <c r="A4440" s="13"/>
      <c r="B4440" s="14"/>
      <c r="C4440" s="13"/>
      <c r="E4440" s="13"/>
      <c r="N4440" s="13"/>
      <c r="O4440" s="13"/>
      <c r="P4440" s="13"/>
      <c r="Q4440" s="13"/>
      <c r="R4440" s="13"/>
      <c r="S4440" s="13"/>
      <c r="T4440" s="13"/>
      <c r="U4440" s="13"/>
      <c r="V4440" s="13"/>
      <c r="AC4440" s="13"/>
      <c r="AD4440" s="13"/>
      <c r="AE4440" s="13"/>
      <c r="AG4440" s="13"/>
      <c r="AH4440" s="13"/>
      <c r="AI4440" s="13"/>
      <c r="AJ4440" s="13"/>
      <c r="AK4440" s="13"/>
      <c r="AL4440" s="8"/>
      <c r="AU4440" s="13"/>
      <c r="AV4440" s="13"/>
      <c r="CU4440" s="13"/>
      <c r="DG4440" s="13"/>
    </row>
    <row r="4441" spans="1:111" x14ac:dyDescent="0.2">
      <c r="A4441" s="13"/>
      <c r="B4441" s="14"/>
      <c r="C4441" s="13"/>
      <c r="E4441" s="13"/>
      <c r="N4441" s="13"/>
      <c r="O4441" s="13"/>
      <c r="P4441" s="13"/>
      <c r="Q4441" s="13"/>
      <c r="R4441" s="13"/>
      <c r="S4441" s="13"/>
      <c r="T4441" s="13"/>
      <c r="U4441" s="13"/>
      <c r="V4441" s="13"/>
      <c r="AC4441" s="13"/>
      <c r="AD4441" s="13"/>
      <c r="AE4441" s="13"/>
      <c r="AG4441" s="13"/>
      <c r="AH4441" s="13"/>
      <c r="AI4441" s="13"/>
      <c r="AJ4441" s="13"/>
      <c r="AK4441" s="13"/>
      <c r="AL4441" s="8"/>
      <c r="AU4441" s="13"/>
      <c r="AV4441" s="13"/>
      <c r="CU4441" s="13"/>
      <c r="DG4441" s="13"/>
    </row>
    <row r="4442" spans="1:111" x14ac:dyDescent="0.2">
      <c r="A4442" s="13"/>
      <c r="B4442" s="14"/>
      <c r="C4442" s="13"/>
      <c r="E4442" s="13"/>
      <c r="N4442" s="13"/>
      <c r="O4442" s="13"/>
      <c r="P4442" s="13"/>
      <c r="Q4442" s="13"/>
      <c r="R4442" s="13"/>
      <c r="S4442" s="13"/>
      <c r="T4442" s="13"/>
      <c r="U4442" s="13"/>
      <c r="V4442" s="13"/>
      <c r="AC4442" s="13"/>
      <c r="AD4442" s="13"/>
      <c r="AE4442" s="13"/>
      <c r="AG4442" s="13"/>
      <c r="AH4442" s="13"/>
      <c r="AI4442" s="13"/>
      <c r="AJ4442" s="13"/>
      <c r="AK4442" s="13"/>
      <c r="AL4442" s="8"/>
      <c r="AU4442" s="13"/>
      <c r="AV4442" s="13"/>
      <c r="CU4442" s="13"/>
      <c r="DG4442" s="13"/>
    </row>
    <row r="4443" spans="1:111" x14ac:dyDescent="0.2">
      <c r="A4443" s="13"/>
      <c r="B4443" s="14"/>
      <c r="C4443" s="13"/>
      <c r="E4443" s="13"/>
      <c r="N4443" s="13"/>
      <c r="O4443" s="13"/>
      <c r="P4443" s="13"/>
      <c r="Q4443" s="13"/>
      <c r="R4443" s="13"/>
      <c r="S4443" s="13"/>
      <c r="T4443" s="13"/>
      <c r="U4443" s="13"/>
      <c r="V4443" s="13"/>
      <c r="AC4443" s="13"/>
      <c r="AD4443" s="13"/>
      <c r="AE4443" s="13"/>
      <c r="AG4443" s="13"/>
      <c r="AH4443" s="13"/>
      <c r="AI4443" s="13"/>
      <c r="AJ4443" s="13"/>
      <c r="AK4443" s="13"/>
      <c r="AL4443" s="8"/>
      <c r="AU4443" s="13"/>
      <c r="AV4443" s="13"/>
      <c r="CU4443" s="13"/>
      <c r="DG4443" s="13"/>
    </row>
    <row r="4444" spans="1:111" x14ac:dyDescent="0.2">
      <c r="A4444" s="13"/>
      <c r="B4444" s="14"/>
      <c r="C4444" s="13"/>
      <c r="E4444" s="13"/>
      <c r="N4444" s="13"/>
      <c r="O4444" s="13"/>
      <c r="P4444" s="13"/>
      <c r="Q4444" s="13"/>
      <c r="R4444" s="13"/>
      <c r="S4444" s="13"/>
      <c r="T4444" s="13"/>
      <c r="U4444" s="13"/>
      <c r="V4444" s="13"/>
      <c r="AC4444" s="13"/>
      <c r="AD4444" s="13"/>
      <c r="AE4444" s="13"/>
      <c r="AG4444" s="13"/>
      <c r="AH4444" s="13"/>
      <c r="AI4444" s="13"/>
      <c r="AJ4444" s="13"/>
      <c r="AK4444" s="13"/>
      <c r="AL4444" s="8"/>
      <c r="AU4444" s="13"/>
      <c r="AV4444" s="13"/>
      <c r="CU4444" s="13"/>
      <c r="DG4444" s="13"/>
    </row>
    <row r="4445" spans="1:111" x14ac:dyDescent="0.2">
      <c r="A4445" s="13"/>
      <c r="B4445" s="14"/>
      <c r="C4445" s="13"/>
      <c r="E4445" s="13"/>
      <c r="N4445" s="13"/>
      <c r="O4445" s="13"/>
      <c r="P4445" s="13"/>
      <c r="Q4445" s="13"/>
      <c r="R4445" s="13"/>
      <c r="S4445" s="13"/>
      <c r="T4445" s="13"/>
      <c r="U4445" s="13"/>
      <c r="V4445" s="13"/>
      <c r="AC4445" s="13"/>
      <c r="AD4445" s="13"/>
      <c r="AE4445" s="13"/>
      <c r="AG4445" s="13"/>
      <c r="AH4445" s="13"/>
      <c r="AI4445" s="13"/>
      <c r="AJ4445" s="13"/>
      <c r="AK4445" s="13"/>
      <c r="AL4445" s="8"/>
      <c r="AU4445" s="13"/>
      <c r="AV4445" s="13"/>
      <c r="CU4445" s="13"/>
      <c r="DG4445" s="13"/>
    </row>
    <row r="4446" spans="1:111" x14ac:dyDescent="0.2">
      <c r="A4446" s="13"/>
      <c r="B4446" s="14"/>
      <c r="C4446" s="13"/>
      <c r="E4446" s="13"/>
      <c r="N4446" s="13"/>
      <c r="O4446" s="13"/>
      <c r="P4446" s="13"/>
      <c r="Q4446" s="13"/>
      <c r="R4446" s="13"/>
      <c r="S4446" s="13"/>
      <c r="T4446" s="13"/>
      <c r="U4446" s="13"/>
      <c r="V4446" s="13"/>
      <c r="AC4446" s="13"/>
      <c r="AD4446" s="13"/>
      <c r="AE4446" s="13"/>
      <c r="AG4446" s="13"/>
      <c r="AH4446" s="13"/>
      <c r="AI4446" s="13"/>
      <c r="AJ4446" s="13"/>
      <c r="AK4446" s="13"/>
      <c r="AL4446" s="8"/>
      <c r="AU4446" s="13"/>
      <c r="AV4446" s="13"/>
      <c r="CU4446" s="13"/>
      <c r="DG4446" s="13"/>
    </row>
    <row r="4447" spans="1:111" x14ac:dyDescent="0.2">
      <c r="A4447" s="13"/>
      <c r="B4447" s="14"/>
      <c r="C4447" s="13"/>
      <c r="E4447" s="13"/>
      <c r="N4447" s="13"/>
      <c r="O4447" s="13"/>
      <c r="P4447" s="13"/>
      <c r="Q4447" s="13"/>
      <c r="R4447" s="13"/>
      <c r="S4447" s="13"/>
      <c r="T4447" s="13"/>
      <c r="U4447" s="13"/>
      <c r="V4447" s="13"/>
      <c r="AC4447" s="13"/>
      <c r="AD4447" s="13"/>
      <c r="AE4447" s="13"/>
      <c r="AG4447" s="13"/>
      <c r="AH4447" s="13"/>
      <c r="AI4447" s="13"/>
      <c r="AJ4447" s="13"/>
      <c r="AK4447" s="13"/>
      <c r="AL4447" s="8"/>
      <c r="AU4447" s="13"/>
      <c r="AV4447" s="13"/>
      <c r="CU4447" s="13"/>
      <c r="DG4447" s="13"/>
    </row>
    <row r="4448" spans="1:111" x14ac:dyDescent="0.2">
      <c r="A4448" s="13"/>
      <c r="B4448" s="14"/>
      <c r="C4448" s="13"/>
      <c r="E4448" s="13"/>
      <c r="N4448" s="13"/>
      <c r="O4448" s="13"/>
      <c r="P4448" s="13"/>
      <c r="Q4448" s="13"/>
      <c r="R4448" s="13"/>
      <c r="S4448" s="13"/>
      <c r="T4448" s="13"/>
      <c r="U4448" s="13"/>
      <c r="V4448" s="13"/>
      <c r="AC4448" s="13"/>
      <c r="AD4448" s="13"/>
      <c r="AE4448" s="13"/>
      <c r="AG4448" s="13"/>
      <c r="AH4448" s="13"/>
      <c r="AI4448" s="13"/>
      <c r="AJ4448" s="13"/>
      <c r="AK4448" s="13"/>
      <c r="AL4448" s="8"/>
      <c r="AU4448" s="13"/>
      <c r="AV4448" s="13"/>
      <c r="CU4448" s="13"/>
      <c r="DG4448" s="13"/>
    </row>
    <row r="4449" spans="1:111" x14ac:dyDescent="0.2">
      <c r="A4449" s="13"/>
      <c r="B4449" s="14"/>
      <c r="C4449" s="13"/>
      <c r="E4449" s="13"/>
      <c r="N4449" s="13"/>
      <c r="O4449" s="13"/>
      <c r="P4449" s="13"/>
      <c r="Q4449" s="13"/>
      <c r="R4449" s="13"/>
      <c r="S4449" s="13"/>
      <c r="T4449" s="13"/>
      <c r="U4449" s="13"/>
      <c r="V4449" s="13"/>
      <c r="AC4449" s="13"/>
      <c r="AD4449" s="13"/>
      <c r="AE4449" s="13"/>
      <c r="AG4449" s="13"/>
      <c r="AH4449" s="13"/>
      <c r="AI4449" s="13"/>
      <c r="AJ4449" s="13"/>
      <c r="AK4449" s="13"/>
      <c r="AL4449" s="8"/>
      <c r="AU4449" s="13"/>
      <c r="AV4449" s="13"/>
      <c r="CU4449" s="13"/>
      <c r="DG4449" s="13"/>
    </row>
    <row r="4450" spans="1:111" x14ac:dyDescent="0.2">
      <c r="A4450" s="13"/>
      <c r="B4450" s="14"/>
      <c r="C4450" s="13"/>
      <c r="E4450" s="13"/>
      <c r="N4450" s="13"/>
      <c r="O4450" s="13"/>
      <c r="P4450" s="13"/>
      <c r="Q4450" s="13"/>
      <c r="R4450" s="13"/>
      <c r="S4450" s="13"/>
      <c r="T4450" s="13"/>
      <c r="U4450" s="13"/>
      <c r="V4450" s="13"/>
      <c r="AC4450" s="13"/>
      <c r="AD4450" s="13"/>
      <c r="AE4450" s="13"/>
      <c r="AG4450" s="13"/>
      <c r="AH4450" s="13"/>
      <c r="AI4450" s="13"/>
      <c r="AJ4450" s="13"/>
      <c r="AK4450" s="13"/>
      <c r="AL4450" s="8"/>
      <c r="AU4450" s="13"/>
      <c r="AV4450" s="13"/>
      <c r="CU4450" s="13"/>
      <c r="DG4450" s="13"/>
    </row>
    <row r="4451" spans="1:111" x14ac:dyDescent="0.2">
      <c r="A4451" s="13"/>
      <c r="B4451" s="14"/>
      <c r="C4451" s="13"/>
      <c r="E4451" s="13"/>
      <c r="N4451" s="13"/>
      <c r="O4451" s="13"/>
      <c r="P4451" s="13"/>
      <c r="Q4451" s="13"/>
      <c r="R4451" s="13"/>
      <c r="S4451" s="13"/>
      <c r="T4451" s="13"/>
      <c r="U4451" s="13"/>
      <c r="V4451" s="13"/>
      <c r="AC4451" s="13"/>
      <c r="AD4451" s="13"/>
      <c r="AE4451" s="13"/>
      <c r="AG4451" s="13"/>
      <c r="AH4451" s="13"/>
      <c r="AI4451" s="13"/>
      <c r="AJ4451" s="13"/>
      <c r="AK4451" s="13"/>
      <c r="AL4451" s="8"/>
      <c r="AU4451" s="13"/>
      <c r="AV4451" s="13"/>
      <c r="CU4451" s="13"/>
      <c r="DG4451" s="13"/>
    </row>
    <row r="4452" spans="1:111" x14ac:dyDescent="0.2">
      <c r="A4452" s="13"/>
      <c r="B4452" s="14"/>
      <c r="C4452" s="13"/>
      <c r="E4452" s="13"/>
      <c r="N4452" s="13"/>
      <c r="O4452" s="13"/>
      <c r="P4452" s="13"/>
      <c r="Q4452" s="13"/>
      <c r="R4452" s="13"/>
      <c r="S4452" s="13"/>
      <c r="T4452" s="13"/>
      <c r="U4452" s="13"/>
      <c r="V4452" s="13"/>
      <c r="AC4452" s="13"/>
      <c r="AD4452" s="13"/>
      <c r="AE4452" s="13"/>
      <c r="AG4452" s="13"/>
      <c r="AH4452" s="13"/>
      <c r="AI4452" s="13"/>
      <c r="AJ4452" s="13"/>
      <c r="AK4452" s="13"/>
      <c r="AL4452" s="8"/>
      <c r="AU4452" s="13"/>
      <c r="AV4452" s="13"/>
      <c r="CU4452" s="13"/>
      <c r="DG4452" s="13"/>
    </row>
    <row r="4453" spans="1:111" x14ac:dyDescent="0.2">
      <c r="A4453" s="13"/>
      <c r="B4453" s="14"/>
      <c r="C4453" s="13"/>
      <c r="E4453" s="13"/>
      <c r="N4453" s="13"/>
      <c r="O4453" s="13"/>
      <c r="P4453" s="13"/>
      <c r="Q4453" s="13"/>
      <c r="R4453" s="13"/>
      <c r="S4453" s="13"/>
      <c r="T4453" s="13"/>
      <c r="U4453" s="13"/>
      <c r="V4453" s="13"/>
      <c r="AC4453" s="13"/>
      <c r="AD4453" s="13"/>
      <c r="AE4453" s="13"/>
      <c r="AG4453" s="13"/>
      <c r="AH4453" s="13"/>
      <c r="AI4453" s="13"/>
      <c r="AJ4453" s="13"/>
      <c r="AK4453" s="13"/>
      <c r="AL4453" s="8"/>
      <c r="AU4453" s="13"/>
      <c r="AV4453" s="13"/>
      <c r="CU4453" s="13"/>
      <c r="DG4453" s="13"/>
    </row>
    <row r="4454" spans="1:111" x14ac:dyDescent="0.2">
      <c r="A4454" s="13"/>
      <c r="B4454" s="14"/>
      <c r="C4454" s="13"/>
      <c r="E4454" s="13"/>
      <c r="N4454" s="13"/>
      <c r="O4454" s="13"/>
      <c r="P4454" s="13"/>
      <c r="Q4454" s="13"/>
      <c r="R4454" s="13"/>
      <c r="S4454" s="13"/>
      <c r="T4454" s="13"/>
      <c r="U4454" s="13"/>
      <c r="V4454" s="13"/>
      <c r="AC4454" s="13"/>
      <c r="AD4454" s="13"/>
      <c r="AE4454" s="13"/>
      <c r="AG4454" s="13"/>
      <c r="AH4454" s="13"/>
      <c r="AI4454" s="13"/>
      <c r="AJ4454" s="13"/>
      <c r="AK4454" s="13"/>
      <c r="AL4454" s="8"/>
      <c r="AU4454" s="13"/>
      <c r="AV4454" s="13"/>
      <c r="CU4454" s="13"/>
      <c r="DG4454" s="13"/>
    </row>
    <row r="4455" spans="1:111" x14ac:dyDescent="0.2">
      <c r="A4455" s="13"/>
      <c r="B4455" s="14"/>
      <c r="C4455" s="13"/>
      <c r="E4455" s="13"/>
      <c r="N4455" s="13"/>
      <c r="O4455" s="13"/>
      <c r="P4455" s="13"/>
      <c r="Q4455" s="13"/>
      <c r="R4455" s="13"/>
      <c r="S4455" s="13"/>
      <c r="T4455" s="13"/>
      <c r="U4455" s="13"/>
      <c r="V4455" s="13"/>
      <c r="AC4455" s="13"/>
      <c r="AD4455" s="13"/>
      <c r="AE4455" s="13"/>
      <c r="AG4455" s="13"/>
      <c r="AH4455" s="13"/>
      <c r="AI4455" s="13"/>
      <c r="AJ4455" s="13"/>
      <c r="AK4455" s="13"/>
      <c r="AL4455" s="8"/>
      <c r="AU4455" s="13"/>
      <c r="AV4455" s="13"/>
      <c r="CU4455" s="13"/>
      <c r="DG4455" s="13"/>
    </row>
    <row r="4456" spans="1:111" x14ac:dyDescent="0.2">
      <c r="A4456" s="13"/>
      <c r="B4456" s="14"/>
      <c r="C4456" s="13"/>
      <c r="E4456" s="13"/>
      <c r="N4456" s="13"/>
      <c r="O4456" s="13"/>
      <c r="P4456" s="13"/>
      <c r="Q4456" s="13"/>
      <c r="R4456" s="13"/>
      <c r="S4456" s="13"/>
      <c r="T4456" s="13"/>
      <c r="U4456" s="13"/>
      <c r="V4456" s="13"/>
      <c r="AC4456" s="13"/>
      <c r="AD4456" s="13"/>
      <c r="AE4456" s="13"/>
      <c r="AG4456" s="13"/>
      <c r="AH4456" s="13"/>
      <c r="AI4456" s="13"/>
      <c r="AJ4456" s="13"/>
      <c r="AK4456" s="13"/>
      <c r="AL4456" s="8"/>
      <c r="AU4456" s="13"/>
      <c r="AV4456" s="13"/>
      <c r="CU4456" s="13"/>
      <c r="DG4456" s="13"/>
    </row>
    <row r="4457" spans="1:111" x14ac:dyDescent="0.2">
      <c r="A4457" s="13"/>
      <c r="B4457" s="14"/>
      <c r="C4457" s="13"/>
      <c r="E4457" s="13"/>
      <c r="N4457" s="13"/>
      <c r="O4457" s="13"/>
      <c r="P4457" s="13"/>
      <c r="Q4457" s="13"/>
      <c r="R4457" s="13"/>
      <c r="S4457" s="13"/>
      <c r="T4457" s="13"/>
      <c r="U4457" s="13"/>
      <c r="V4457" s="13"/>
      <c r="AC4457" s="13"/>
      <c r="AD4457" s="13"/>
      <c r="AE4457" s="13"/>
      <c r="AG4457" s="13"/>
      <c r="AH4457" s="13"/>
      <c r="AI4457" s="13"/>
      <c r="AJ4457" s="13"/>
      <c r="AK4457" s="13"/>
      <c r="AL4457" s="8"/>
      <c r="AU4457" s="13"/>
      <c r="AV4457" s="13"/>
      <c r="CU4457" s="13"/>
      <c r="DG4457" s="13"/>
    </row>
    <row r="4458" spans="1:111" x14ac:dyDescent="0.2">
      <c r="A4458" s="13"/>
      <c r="B4458" s="14"/>
      <c r="C4458" s="13"/>
      <c r="E4458" s="13"/>
      <c r="N4458" s="13"/>
      <c r="O4458" s="13"/>
      <c r="P4458" s="13"/>
      <c r="Q4458" s="13"/>
      <c r="R4458" s="13"/>
      <c r="S4458" s="13"/>
      <c r="T4458" s="13"/>
      <c r="U4458" s="13"/>
      <c r="V4458" s="13"/>
      <c r="AC4458" s="13"/>
      <c r="AD4458" s="13"/>
      <c r="AE4458" s="13"/>
      <c r="AG4458" s="13"/>
      <c r="AH4458" s="13"/>
      <c r="AI4458" s="13"/>
      <c r="AJ4458" s="13"/>
      <c r="AK4458" s="13"/>
      <c r="AL4458" s="8"/>
      <c r="AU4458" s="13"/>
      <c r="AV4458" s="13"/>
      <c r="CU4458" s="13"/>
      <c r="DG4458" s="13"/>
    </row>
    <row r="4459" spans="1:111" x14ac:dyDescent="0.2">
      <c r="A4459" s="13"/>
      <c r="B4459" s="14"/>
      <c r="C4459" s="13"/>
      <c r="E4459" s="13"/>
      <c r="N4459" s="13"/>
      <c r="O4459" s="13"/>
      <c r="P4459" s="13"/>
      <c r="Q4459" s="13"/>
      <c r="R4459" s="13"/>
      <c r="S4459" s="13"/>
      <c r="T4459" s="13"/>
      <c r="U4459" s="13"/>
      <c r="V4459" s="13"/>
      <c r="AC4459" s="13"/>
      <c r="AD4459" s="13"/>
      <c r="AE4459" s="13"/>
      <c r="AG4459" s="13"/>
      <c r="AH4459" s="13"/>
      <c r="AI4459" s="13"/>
      <c r="AJ4459" s="13"/>
      <c r="AK4459" s="13"/>
      <c r="AL4459" s="8"/>
      <c r="AU4459" s="13"/>
      <c r="AV4459" s="13"/>
      <c r="CU4459" s="13"/>
      <c r="DG4459" s="13"/>
    </row>
    <row r="4460" spans="1:111" x14ac:dyDescent="0.2">
      <c r="A4460" s="13"/>
      <c r="B4460" s="14"/>
      <c r="C4460" s="13"/>
      <c r="E4460" s="13"/>
      <c r="N4460" s="13"/>
      <c r="O4460" s="13"/>
      <c r="P4460" s="13"/>
      <c r="Q4460" s="13"/>
      <c r="R4460" s="13"/>
      <c r="S4460" s="13"/>
      <c r="T4460" s="13"/>
      <c r="U4460" s="13"/>
      <c r="V4460" s="13"/>
      <c r="AC4460" s="13"/>
      <c r="AD4460" s="13"/>
      <c r="AE4460" s="13"/>
      <c r="AG4460" s="13"/>
      <c r="AH4460" s="13"/>
      <c r="AI4460" s="13"/>
      <c r="AJ4460" s="13"/>
      <c r="AK4460" s="13"/>
      <c r="AL4460" s="8"/>
      <c r="AU4460" s="13"/>
      <c r="AV4460" s="13"/>
      <c r="CU4460" s="13"/>
      <c r="DG4460" s="13"/>
    </row>
    <row r="4461" spans="1:111" x14ac:dyDescent="0.2">
      <c r="A4461" s="13"/>
      <c r="B4461" s="14"/>
      <c r="C4461" s="13"/>
      <c r="E4461" s="13"/>
      <c r="N4461" s="13"/>
      <c r="O4461" s="13"/>
      <c r="P4461" s="13"/>
      <c r="Q4461" s="13"/>
      <c r="R4461" s="13"/>
      <c r="S4461" s="13"/>
      <c r="T4461" s="13"/>
      <c r="U4461" s="13"/>
      <c r="V4461" s="13"/>
      <c r="AC4461" s="13"/>
      <c r="AD4461" s="13"/>
      <c r="AE4461" s="13"/>
      <c r="AG4461" s="13"/>
      <c r="AH4461" s="13"/>
      <c r="AI4461" s="13"/>
      <c r="AJ4461" s="13"/>
      <c r="AK4461" s="13"/>
      <c r="AL4461" s="8"/>
      <c r="AU4461" s="13"/>
      <c r="AV4461" s="13"/>
      <c r="CU4461" s="13"/>
      <c r="DG4461" s="13"/>
    </row>
    <row r="4462" spans="1:111" x14ac:dyDescent="0.2">
      <c r="A4462" s="13"/>
      <c r="B4462" s="14"/>
      <c r="C4462" s="13"/>
      <c r="E4462" s="13"/>
      <c r="N4462" s="13"/>
      <c r="O4462" s="13"/>
      <c r="P4462" s="13"/>
      <c r="Q4462" s="13"/>
      <c r="R4462" s="13"/>
      <c r="S4462" s="13"/>
      <c r="T4462" s="13"/>
      <c r="U4462" s="13"/>
      <c r="V4462" s="13"/>
      <c r="AC4462" s="13"/>
      <c r="AD4462" s="13"/>
      <c r="AE4462" s="13"/>
      <c r="AG4462" s="13"/>
      <c r="AH4462" s="13"/>
      <c r="AI4462" s="13"/>
      <c r="AJ4462" s="13"/>
      <c r="AK4462" s="13"/>
      <c r="AL4462" s="8"/>
      <c r="AU4462" s="13"/>
      <c r="AV4462" s="13"/>
      <c r="CU4462" s="13"/>
      <c r="DG4462" s="13"/>
    </row>
    <row r="4463" spans="1:111" x14ac:dyDescent="0.2">
      <c r="A4463" s="13"/>
      <c r="B4463" s="14"/>
      <c r="C4463" s="13"/>
      <c r="E4463" s="13"/>
      <c r="N4463" s="13"/>
      <c r="O4463" s="13"/>
      <c r="P4463" s="13"/>
      <c r="Q4463" s="13"/>
      <c r="R4463" s="13"/>
      <c r="S4463" s="13"/>
      <c r="T4463" s="13"/>
      <c r="U4463" s="13"/>
      <c r="V4463" s="13"/>
      <c r="AC4463" s="13"/>
      <c r="AD4463" s="13"/>
      <c r="AE4463" s="13"/>
      <c r="AG4463" s="13"/>
      <c r="AH4463" s="13"/>
      <c r="AI4463" s="13"/>
      <c r="AJ4463" s="13"/>
      <c r="AK4463" s="13"/>
      <c r="AL4463" s="8"/>
      <c r="AU4463" s="13"/>
      <c r="AV4463" s="13"/>
      <c r="CU4463" s="13"/>
      <c r="DG4463" s="13"/>
    </row>
    <row r="4464" spans="1:111" x14ac:dyDescent="0.2">
      <c r="A4464" s="13"/>
      <c r="B4464" s="14"/>
      <c r="C4464" s="13"/>
      <c r="E4464" s="13"/>
      <c r="N4464" s="13"/>
      <c r="O4464" s="13"/>
      <c r="P4464" s="13"/>
      <c r="Q4464" s="13"/>
      <c r="R4464" s="13"/>
      <c r="S4464" s="13"/>
      <c r="T4464" s="13"/>
      <c r="U4464" s="13"/>
      <c r="V4464" s="13"/>
      <c r="AC4464" s="13"/>
      <c r="AD4464" s="13"/>
      <c r="AE4464" s="13"/>
      <c r="AG4464" s="13"/>
      <c r="AH4464" s="13"/>
      <c r="AI4464" s="13"/>
      <c r="AJ4464" s="13"/>
      <c r="AK4464" s="13"/>
      <c r="AL4464" s="8"/>
      <c r="AU4464" s="13"/>
      <c r="AV4464" s="13"/>
      <c r="CU4464" s="13"/>
      <c r="DG4464" s="13"/>
    </row>
    <row r="4465" spans="1:111" x14ac:dyDescent="0.2">
      <c r="A4465" s="13"/>
      <c r="B4465" s="14"/>
      <c r="C4465" s="13"/>
      <c r="E4465" s="13"/>
      <c r="N4465" s="13"/>
      <c r="O4465" s="13"/>
      <c r="P4465" s="13"/>
      <c r="Q4465" s="13"/>
      <c r="R4465" s="13"/>
      <c r="S4465" s="13"/>
      <c r="T4465" s="13"/>
      <c r="U4465" s="13"/>
      <c r="V4465" s="13"/>
      <c r="AC4465" s="13"/>
      <c r="AD4465" s="13"/>
      <c r="AE4465" s="13"/>
      <c r="AG4465" s="13"/>
      <c r="AH4465" s="13"/>
      <c r="AI4465" s="13"/>
      <c r="AJ4465" s="13"/>
      <c r="AK4465" s="13"/>
      <c r="AL4465" s="8"/>
      <c r="AU4465" s="13"/>
      <c r="AV4465" s="13"/>
      <c r="CU4465" s="13"/>
      <c r="DG4465" s="13"/>
    </row>
    <row r="4466" spans="1:111" x14ac:dyDescent="0.2">
      <c r="A4466" s="13"/>
      <c r="B4466" s="14"/>
      <c r="C4466" s="13"/>
      <c r="E4466" s="13"/>
      <c r="N4466" s="13"/>
      <c r="O4466" s="13"/>
      <c r="P4466" s="13"/>
      <c r="Q4466" s="13"/>
      <c r="R4466" s="13"/>
      <c r="S4466" s="13"/>
      <c r="T4466" s="13"/>
      <c r="U4466" s="13"/>
      <c r="V4466" s="13"/>
      <c r="AC4466" s="13"/>
      <c r="AD4466" s="13"/>
      <c r="AE4466" s="13"/>
      <c r="AG4466" s="13"/>
      <c r="AH4466" s="13"/>
      <c r="AI4466" s="13"/>
      <c r="AJ4466" s="13"/>
      <c r="AK4466" s="13"/>
      <c r="AL4466" s="8"/>
      <c r="AU4466" s="13"/>
      <c r="AV4466" s="13"/>
      <c r="CU4466" s="13"/>
      <c r="DG4466" s="13"/>
    </row>
    <row r="4467" spans="1:111" x14ac:dyDescent="0.2">
      <c r="A4467" s="13"/>
      <c r="B4467" s="14"/>
      <c r="C4467" s="13"/>
      <c r="E4467" s="13"/>
      <c r="N4467" s="13"/>
      <c r="O4467" s="13"/>
      <c r="P4467" s="13"/>
      <c r="Q4467" s="13"/>
      <c r="R4467" s="13"/>
      <c r="S4467" s="13"/>
      <c r="T4467" s="13"/>
      <c r="U4467" s="13"/>
      <c r="V4467" s="13"/>
      <c r="AC4467" s="13"/>
      <c r="AD4467" s="13"/>
      <c r="AE4467" s="13"/>
      <c r="AG4467" s="13"/>
      <c r="AH4467" s="13"/>
      <c r="AI4467" s="13"/>
      <c r="AJ4467" s="13"/>
      <c r="AK4467" s="13"/>
      <c r="AL4467" s="8"/>
      <c r="AU4467" s="13"/>
      <c r="AV4467" s="13"/>
      <c r="CU4467" s="13"/>
      <c r="DG4467" s="13"/>
    </row>
    <row r="4468" spans="1:111" x14ac:dyDescent="0.2">
      <c r="A4468" s="13"/>
      <c r="B4468" s="14"/>
      <c r="C4468" s="13"/>
      <c r="E4468" s="13"/>
      <c r="N4468" s="13"/>
      <c r="O4468" s="13"/>
      <c r="P4468" s="13"/>
      <c r="Q4468" s="13"/>
      <c r="R4468" s="13"/>
      <c r="S4468" s="13"/>
      <c r="T4468" s="13"/>
      <c r="U4468" s="13"/>
      <c r="V4468" s="13"/>
      <c r="AC4468" s="13"/>
      <c r="AD4468" s="13"/>
      <c r="AE4468" s="13"/>
      <c r="AG4468" s="13"/>
      <c r="AH4468" s="13"/>
      <c r="AI4468" s="13"/>
      <c r="AJ4468" s="13"/>
      <c r="AK4468" s="13"/>
      <c r="AL4468" s="8"/>
      <c r="AU4468" s="13"/>
      <c r="AV4468" s="13"/>
      <c r="CU4468" s="13"/>
      <c r="DG4468" s="13"/>
    </row>
    <row r="4469" spans="1:111" x14ac:dyDescent="0.2">
      <c r="A4469" s="13"/>
      <c r="B4469" s="14"/>
      <c r="C4469" s="13"/>
      <c r="E4469" s="13"/>
      <c r="N4469" s="13"/>
      <c r="O4469" s="13"/>
      <c r="P4469" s="13"/>
      <c r="Q4469" s="13"/>
      <c r="R4469" s="13"/>
      <c r="S4469" s="13"/>
      <c r="T4469" s="13"/>
      <c r="U4469" s="13"/>
      <c r="V4469" s="13"/>
      <c r="AC4469" s="13"/>
      <c r="AD4469" s="13"/>
      <c r="AE4469" s="13"/>
      <c r="AG4469" s="13"/>
      <c r="AH4469" s="13"/>
      <c r="AI4469" s="13"/>
      <c r="AJ4469" s="13"/>
      <c r="AK4469" s="13"/>
      <c r="AL4469" s="8"/>
      <c r="AU4469" s="13"/>
      <c r="AV4469" s="13"/>
      <c r="CU4469" s="13"/>
      <c r="DG4469" s="13"/>
    </row>
    <row r="4470" spans="1:111" x14ac:dyDescent="0.2">
      <c r="A4470" s="13"/>
      <c r="B4470" s="14"/>
      <c r="C4470" s="13"/>
      <c r="E4470" s="13"/>
      <c r="N4470" s="13"/>
      <c r="O4470" s="13"/>
      <c r="P4470" s="13"/>
      <c r="Q4470" s="13"/>
      <c r="R4470" s="13"/>
      <c r="S4470" s="13"/>
      <c r="T4470" s="13"/>
      <c r="U4470" s="13"/>
      <c r="V4470" s="13"/>
      <c r="AC4470" s="13"/>
      <c r="AD4470" s="13"/>
      <c r="AE4470" s="13"/>
      <c r="AG4470" s="13"/>
      <c r="AH4470" s="13"/>
      <c r="AI4470" s="13"/>
      <c r="AJ4470" s="13"/>
      <c r="AK4470" s="13"/>
      <c r="AL4470" s="8"/>
      <c r="AU4470" s="13"/>
      <c r="AV4470" s="13"/>
      <c r="CU4470" s="13"/>
      <c r="DG4470" s="13"/>
    </row>
    <row r="4471" spans="1:111" x14ac:dyDescent="0.2">
      <c r="A4471" s="13"/>
      <c r="B4471" s="14"/>
      <c r="C4471" s="13"/>
      <c r="E4471" s="13"/>
      <c r="N4471" s="13"/>
      <c r="O4471" s="13"/>
      <c r="P4471" s="13"/>
      <c r="Q4471" s="13"/>
      <c r="R4471" s="13"/>
      <c r="S4471" s="13"/>
      <c r="T4471" s="13"/>
      <c r="U4471" s="13"/>
      <c r="V4471" s="13"/>
      <c r="AC4471" s="13"/>
      <c r="AD4471" s="13"/>
      <c r="AE4471" s="13"/>
      <c r="AG4471" s="13"/>
      <c r="AH4471" s="13"/>
      <c r="AI4471" s="13"/>
      <c r="AJ4471" s="13"/>
      <c r="AK4471" s="13"/>
      <c r="AL4471" s="8"/>
      <c r="AU4471" s="13"/>
      <c r="AV4471" s="13"/>
      <c r="CU4471" s="13"/>
      <c r="DG4471" s="13"/>
    </row>
    <row r="4472" spans="1:111" x14ac:dyDescent="0.2">
      <c r="A4472" s="13"/>
      <c r="B4472" s="14"/>
      <c r="C4472" s="13"/>
      <c r="E4472" s="13"/>
      <c r="N4472" s="13"/>
      <c r="O4472" s="13"/>
      <c r="P4472" s="13"/>
      <c r="Q4472" s="13"/>
      <c r="R4472" s="13"/>
      <c r="S4472" s="13"/>
      <c r="T4472" s="13"/>
      <c r="U4472" s="13"/>
      <c r="V4472" s="13"/>
      <c r="AC4472" s="13"/>
      <c r="AD4472" s="13"/>
      <c r="AE4472" s="13"/>
      <c r="AG4472" s="13"/>
      <c r="AH4472" s="13"/>
      <c r="AI4472" s="13"/>
      <c r="AJ4472" s="13"/>
      <c r="AK4472" s="13"/>
      <c r="AL4472" s="8"/>
      <c r="AU4472" s="13"/>
      <c r="AV4472" s="13"/>
      <c r="CU4472" s="13"/>
      <c r="DG4472" s="13"/>
    </row>
    <row r="4473" spans="1:111" x14ac:dyDescent="0.2">
      <c r="A4473" s="13"/>
      <c r="B4473" s="14"/>
      <c r="C4473" s="13"/>
      <c r="E4473" s="13"/>
      <c r="N4473" s="13"/>
      <c r="O4473" s="13"/>
      <c r="P4473" s="13"/>
      <c r="Q4473" s="13"/>
      <c r="R4473" s="13"/>
      <c r="S4473" s="13"/>
      <c r="T4473" s="13"/>
      <c r="U4473" s="13"/>
      <c r="V4473" s="13"/>
      <c r="AC4473" s="13"/>
      <c r="AD4473" s="13"/>
      <c r="AE4473" s="13"/>
      <c r="AG4473" s="13"/>
      <c r="AH4473" s="13"/>
      <c r="AI4473" s="13"/>
      <c r="AJ4473" s="13"/>
      <c r="AK4473" s="13"/>
      <c r="AL4473" s="8"/>
      <c r="AU4473" s="13"/>
      <c r="AV4473" s="13"/>
      <c r="CU4473" s="13"/>
      <c r="DG4473" s="13"/>
    </row>
    <row r="4474" spans="1:111" x14ac:dyDescent="0.2">
      <c r="A4474" s="13"/>
      <c r="B4474" s="14"/>
      <c r="C4474" s="13"/>
      <c r="E4474" s="13"/>
      <c r="N4474" s="13"/>
      <c r="O4474" s="13"/>
      <c r="P4474" s="13"/>
      <c r="Q4474" s="13"/>
      <c r="R4474" s="13"/>
      <c r="S4474" s="13"/>
      <c r="T4474" s="13"/>
      <c r="U4474" s="13"/>
      <c r="V4474" s="13"/>
      <c r="AC4474" s="13"/>
      <c r="AD4474" s="13"/>
      <c r="AE4474" s="13"/>
      <c r="AG4474" s="13"/>
      <c r="AH4474" s="13"/>
      <c r="AI4474" s="13"/>
      <c r="AJ4474" s="13"/>
      <c r="AK4474" s="13"/>
      <c r="AL4474" s="8"/>
      <c r="AU4474" s="13"/>
      <c r="AV4474" s="13"/>
      <c r="CU4474" s="13"/>
      <c r="DG4474" s="13"/>
    </row>
    <row r="4475" spans="1:111" x14ac:dyDescent="0.2">
      <c r="A4475" s="13"/>
      <c r="B4475" s="14"/>
      <c r="X4475" s="13" t="s">
        <v>2183</v>
      </c>
      <c r="AC4475" s="13"/>
      <c r="AD4475" s="13"/>
      <c r="AE4475" s="13"/>
      <c r="AG4475" s="13"/>
      <c r="AH4475" s="13"/>
      <c r="AI4475" s="13"/>
      <c r="AJ4475" s="13"/>
      <c r="AK4475" s="13"/>
      <c r="AL4475" s="8"/>
      <c r="AU4475" s="13"/>
      <c r="AV4475" s="13"/>
      <c r="CU4475" s="13"/>
      <c r="DG4475" s="13"/>
    </row>
    <row r="4476" spans="1:111" x14ac:dyDescent="0.2">
      <c r="A4476" s="13"/>
      <c r="B4476" s="14"/>
      <c r="X4476" s="13" t="s">
        <v>2183</v>
      </c>
      <c r="AC4476" s="13"/>
      <c r="AD4476" s="13"/>
      <c r="AE4476" s="13"/>
      <c r="AG4476" s="13"/>
      <c r="AH4476" s="13"/>
      <c r="AI4476" s="13"/>
      <c r="AJ4476" s="13"/>
      <c r="AK4476" s="13"/>
      <c r="AL4476" s="8"/>
      <c r="AU4476" s="13"/>
      <c r="AV4476" s="13"/>
      <c r="CU4476" s="13"/>
      <c r="DG4476" s="13"/>
    </row>
    <row r="4477" spans="1:111" x14ac:dyDescent="0.2">
      <c r="A4477" s="13"/>
      <c r="B4477" s="14"/>
      <c r="AC4477" s="13"/>
      <c r="AD4477" s="13"/>
      <c r="AE4477" s="13"/>
      <c r="AG4477" s="13"/>
      <c r="AH4477" s="13"/>
      <c r="AI4477" s="13"/>
      <c r="AJ4477" s="13"/>
      <c r="AK4477" s="13"/>
      <c r="AL4477" s="8"/>
      <c r="AU4477" s="13"/>
      <c r="AV4477" s="13"/>
      <c r="CU4477" s="13"/>
      <c r="DG4477" s="13"/>
    </row>
    <row r="4478" spans="1:111" x14ac:dyDescent="0.2">
      <c r="A4478" s="13"/>
      <c r="B4478" s="14"/>
      <c r="AC4478" s="13"/>
      <c r="AD4478" s="13"/>
      <c r="AE4478" s="13"/>
      <c r="AG4478" s="13"/>
      <c r="AH4478" s="13"/>
      <c r="AI4478" s="13"/>
      <c r="AJ4478" s="13"/>
      <c r="AK4478" s="13"/>
      <c r="AL4478" s="8"/>
      <c r="AU4478" s="13"/>
      <c r="AV4478" s="13"/>
      <c r="CU4478" s="13"/>
      <c r="DG4478" s="13"/>
    </row>
    <row r="4479" spans="1:111" x14ac:dyDescent="0.2">
      <c r="A4479" s="13"/>
      <c r="B4479" s="14"/>
      <c r="AC4479" s="13"/>
      <c r="AD4479" s="13"/>
      <c r="AE4479" s="13"/>
      <c r="AG4479" s="13"/>
      <c r="AH4479" s="13"/>
      <c r="AI4479" s="13"/>
      <c r="AJ4479" s="13"/>
      <c r="AK4479" s="13"/>
      <c r="AL4479" s="8"/>
      <c r="AU4479" s="13"/>
      <c r="AV4479" s="13"/>
      <c r="CU4479" s="13"/>
      <c r="DG4479" s="13"/>
    </row>
    <row r="4480" spans="1:111" x14ac:dyDescent="0.2">
      <c r="A4480" s="13"/>
      <c r="B4480" s="14"/>
      <c r="AC4480" s="13"/>
      <c r="AD4480" s="13"/>
      <c r="AE4480" s="13"/>
      <c r="AG4480" s="13"/>
      <c r="AH4480" s="13"/>
      <c r="AI4480" s="13"/>
      <c r="AJ4480" s="13"/>
      <c r="AK4480" s="13"/>
      <c r="AL4480" s="8"/>
      <c r="AU4480" s="13"/>
      <c r="AV4480" s="13"/>
      <c r="CU4480" s="13"/>
      <c r="DG4480" s="13"/>
    </row>
    <row r="4481" spans="1:111" x14ac:dyDescent="0.2">
      <c r="A4481" s="13"/>
      <c r="B4481" s="14"/>
      <c r="AC4481" s="13"/>
      <c r="AD4481" s="13"/>
      <c r="AE4481" s="13"/>
      <c r="AG4481" s="13"/>
      <c r="AH4481" s="13"/>
      <c r="AI4481" s="13"/>
      <c r="AJ4481" s="13"/>
      <c r="AK4481" s="13"/>
      <c r="AL4481" s="8"/>
      <c r="AU4481" s="13"/>
      <c r="AV4481" s="13"/>
      <c r="CU4481" s="13"/>
      <c r="DG4481" s="13"/>
    </row>
    <row r="4482" spans="1:111" x14ac:dyDescent="0.2">
      <c r="A4482" s="13"/>
      <c r="B4482" s="14"/>
      <c r="AC4482" s="13"/>
      <c r="AD4482" s="13"/>
      <c r="AE4482" s="13"/>
      <c r="AG4482" s="13"/>
      <c r="AH4482" s="13"/>
      <c r="AI4482" s="13"/>
      <c r="AJ4482" s="13"/>
      <c r="AK4482" s="13"/>
      <c r="AL4482" s="8"/>
      <c r="AU4482" s="13"/>
      <c r="AV4482" s="13"/>
      <c r="CU4482" s="13"/>
      <c r="DG4482" s="13"/>
    </row>
    <row r="4483" spans="1:111" x14ac:dyDescent="0.2">
      <c r="A4483" s="13"/>
      <c r="B4483" s="14"/>
      <c r="AC4483" s="13"/>
      <c r="AD4483" s="13"/>
      <c r="AE4483" s="13"/>
      <c r="AG4483" s="13"/>
      <c r="AH4483" s="13"/>
      <c r="AI4483" s="13"/>
      <c r="AJ4483" s="13"/>
      <c r="AK4483" s="13"/>
      <c r="AL4483" s="8"/>
      <c r="AU4483" s="13"/>
      <c r="AV4483" s="13"/>
      <c r="CU4483" s="13"/>
      <c r="DG4483" s="13"/>
    </row>
    <row r="4484" spans="1:111" x14ac:dyDescent="0.2">
      <c r="A4484" s="13"/>
      <c r="B4484" s="14"/>
      <c r="AC4484" s="13"/>
      <c r="AD4484" s="13"/>
      <c r="AE4484" s="13"/>
      <c r="AG4484" s="13"/>
      <c r="AH4484" s="13"/>
      <c r="AI4484" s="13"/>
      <c r="AJ4484" s="13"/>
      <c r="AK4484" s="13"/>
      <c r="AL4484" s="8"/>
      <c r="AU4484" s="13"/>
      <c r="AV4484" s="13"/>
      <c r="CU4484" s="13"/>
      <c r="DG4484" s="13"/>
    </row>
    <row r="4485" spans="1:111" x14ac:dyDescent="0.2">
      <c r="A4485" s="13"/>
      <c r="B4485" s="14"/>
      <c r="AC4485" s="13"/>
      <c r="AD4485" s="13"/>
      <c r="AE4485" s="13"/>
      <c r="AG4485" s="13"/>
      <c r="AH4485" s="13"/>
      <c r="AI4485" s="13"/>
      <c r="AJ4485" s="13"/>
      <c r="AK4485" s="13"/>
      <c r="AL4485" s="8"/>
      <c r="AU4485" s="13"/>
      <c r="AV4485" s="13"/>
      <c r="CU4485" s="13"/>
      <c r="DG4485" s="13"/>
    </row>
    <row r="4486" spans="1:111" x14ac:dyDescent="0.2">
      <c r="A4486" s="13"/>
      <c r="B4486" s="14"/>
      <c r="AC4486" s="13"/>
      <c r="AD4486" s="13"/>
      <c r="AE4486" s="13"/>
      <c r="AG4486" s="13"/>
      <c r="AH4486" s="13"/>
      <c r="AI4486" s="13"/>
      <c r="AJ4486" s="13"/>
      <c r="AK4486" s="13"/>
      <c r="AL4486" s="8"/>
      <c r="AU4486" s="13"/>
      <c r="AV4486" s="13"/>
      <c r="CU4486" s="13"/>
      <c r="DG4486" s="13"/>
    </row>
    <row r="4487" spans="1:111" x14ac:dyDescent="0.2">
      <c r="A4487" s="13"/>
      <c r="B4487" s="14"/>
      <c r="AC4487" s="13"/>
      <c r="AD4487" s="13"/>
      <c r="AE4487" s="13"/>
      <c r="AG4487" s="13"/>
      <c r="AH4487" s="13"/>
      <c r="AI4487" s="13"/>
      <c r="AJ4487" s="13"/>
      <c r="AK4487" s="13"/>
      <c r="AL4487" s="8"/>
      <c r="AU4487" s="13"/>
      <c r="AV4487" s="13"/>
      <c r="CU4487" s="13"/>
      <c r="DG4487" s="13"/>
    </row>
    <row r="4488" spans="1:111" x14ac:dyDescent="0.2">
      <c r="A4488" s="13"/>
      <c r="B4488" s="14"/>
      <c r="AC4488" s="13"/>
      <c r="AD4488" s="13"/>
      <c r="AE4488" s="13"/>
      <c r="AG4488" s="13"/>
      <c r="AH4488" s="13"/>
      <c r="AI4488" s="13"/>
      <c r="AJ4488" s="13"/>
      <c r="AK4488" s="13"/>
      <c r="AL4488" s="8"/>
      <c r="AU4488" s="13"/>
      <c r="AV4488" s="13"/>
      <c r="CU4488" s="13"/>
      <c r="DG4488" s="13"/>
    </row>
    <row r="4489" spans="1:111" x14ac:dyDescent="0.2">
      <c r="A4489" s="13"/>
      <c r="B4489" s="14"/>
      <c r="AC4489" s="13"/>
      <c r="AD4489" s="13"/>
      <c r="AE4489" s="13"/>
      <c r="AG4489" s="13"/>
      <c r="AH4489" s="13"/>
      <c r="AI4489" s="13"/>
      <c r="AJ4489" s="13"/>
      <c r="AK4489" s="13"/>
      <c r="AL4489" s="8"/>
      <c r="AU4489" s="13"/>
      <c r="AV4489" s="13"/>
      <c r="CU4489" s="13"/>
      <c r="DG4489" s="13"/>
    </row>
    <row r="4490" spans="1:111" x14ac:dyDescent="0.2">
      <c r="A4490" s="13"/>
      <c r="B4490" s="14"/>
      <c r="AC4490" s="13"/>
      <c r="AD4490" s="13"/>
      <c r="AE4490" s="13"/>
      <c r="AG4490" s="13"/>
      <c r="AH4490" s="13"/>
      <c r="AI4490" s="13"/>
      <c r="AJ4490" s="13"/>
      <c r="AK4490" s="13"/>
      <c r="AL4490" s="8"/>
      <c r="AU4490" s="13"/>
      <c r="AV4490" s="13"/>
      <c r="CU4490" s="13"/>
      <c r="DG4490" s="13"/>
    </row>
    <row r="4491" spans="1:111" x14ac:dyDescent="0.2">
      <c r="A4491" s="13"/>
      <c r="B4491" s="14"/>
      <c r="AC4491" s="13"/>
      <c r="AD4491" s="13"/>
      <c r="AE4491" s="13"/>
      <c r="AG4491" s="13"/>
      <c r="AH4491" s="13"/>
      <c r="AI4491" s="13"/>
      <c r="AJ4491" s="13"/>
      <c r="AK4491" s="13"/>
      <c r="AL4491" s="8"/>
      <c r="AU4491" s="13"/>
      <c r="AV4491" s="13"/>
      <c r="CU4491" s="13"/>
      <c r="DG4491" s="13"/>
    </row>
    <row r="4492" spans="1:111" x14ac:dyDescent="0.2">
      <c r="A4492" s="13"/>
      <c r="B4492" s="14"/>
      <c r="AC4492" s="13"/>
      <c r="AD4492" s="13"/>
      <c r="AE4492" s="13"/>
      <c r="AG4492" s="13"/>
      <c r="AH4492" s="13"/>
      <c r="AI4492" s="13"/>
      <c r="AJ4492" s="13"/>
      <c r="AK4492" s="13"/>
      <c r="AL4492" s="8"/>
      <c r="AU4492" s="13"/>
      <c r="AV4492" s="13"/>
      <c r="CU4492" s="13"/>
      <c r="DG4492" s="13"/>
    </row>
    <row r="4493" spans="1:111" x14ac:dyDescent="0.2">
      <c r="A4493" s="13"/>
      <c r="B4493" s="14"/>
      <c r="AC4493" s="13"/>
      <c r="AD4493" s="13"/>
      <c r="AE4493" s="13"/>
      <c r="AG4493" s="13"/>
      <c r="AH4493" s="13"/>
      <c r="AI4493" s="13"/>
      <c r="AJ4493" s="13"/>
      <c r="AK4493" s="13"/>
      <c r="AL4493" s="8"/>
      <c r="AU4493" s="13"/>
      <c r="AV4493" s="13"/>
      <c r="CU4493" s="13"/>
      <c r="DG4493" s="13"/>
    </row>
    <row r="4494" spans="1:111" x14ac:dyDescent="0.2">
      <c r="A4494" s="13"/>
      <c r="B4494" s="14"/>
      <c r="AC4494" s="13"/>
      <c r="AD4494" s="13"/>
      <c r="AE4494" s="13"/>
      <c r="AG4494" s="13"/>
      <c r="AH4494" s="13"/>
      <c r="AI4494" s="13"/>
      <c r="AJ4494" s="13"/>
      <c r="AK4494" s="13"/>
      <c r="AL4494" s="8"/>
      <c r="AU4494" s="13"/>
      <c r="AV4494" s="13"/>
      <c r="CU4494" s="13"/>
      <c r="DG4494" s="13"/>
    </row>
    <row r="4495" spans="1:111" x14ac:dyDescent="0.2">
      <c r="A4495" s="13"/>
      <c r="B4495" s="14"/>
      <c r="AC4495" s="13"/>
      <c r="AD4495" s="13"/>
      <c r="AE4495" s="13"/>
      <c r="AG4495" s="13"/>
      <c r="AH4495" s="13"/>
      <c r="AI4495" s="13"/>
      <c r="AJ4495" s="13"/>
      <c r="AK4495" s="13"/>
      <c r="AL4495" s="8"/>
      <c r="AU4495" s="13"/>
      <c r="AV4495" s="13"/>
      <c r="CU4495" s="13"/>
      <c r="DG4495" s="13"/>
    </row>
    <row r="4496" spans="1:111" x14ac:dyDescent="0.2">
      <c r="A4496" s="13"/>
      <c r="B4496" s="14"/>
      <c r="AC4496" s="13"/>
      <c r="AD4496" s="13"/>
      <c r="AE4496" s="13"/>
      <c r="AG4496" s="13"/>
      <c r="AH4496" s="13"/>
      <c r="AI4496" s="13"/>
      <c r="AJ4496" s="13"/>
      <c r="AK4496" s="13"/>
      <c r="AL4496" s="8"/>
      <c r="AU4496" s="13"/>
      <c r="AV4496" s="13"/>
      <c r="CU4496" s="13"/>
      <c r="DG4496" s="13"/>
    </row>
    <row r="4497" spans="1:111" x14ac:dyDescent="0.2">
      <c r="A4497" s="13"/>
      <c r="B4497" s="14"/>
      <c r="V4497" s="17" t="s">
        <v>2183</v>
      </c>
      <c r="AC4497" s="13"/>
      <c r="AD4497" s="13"/>
      <c r="AE4497" s="13"/>
      <c r="AG4497" s="13"/>
      <c r="AH4497" s="13"/>
      <c r="AI4497" s="13"/>
      <c r="AJ4497" s="13"/>
      <c r="AK4497" s="13"/>
      <c r="AL4497" s="8"/>
      <c r="AU4497" s="13"/>
      <c r="AV4497" s="13"/>
      <c r="CU4497" s="13"/>
      <c r="DG4497" s="13"/>
    </row>
    <row r="4498" spans="1:111" x14ac:dyDescent="0.2">
      <c r="A4498" s="13"/>
      <c r="B4498" s="14"/>
      <c r="AC4498" s="13"/>
      <c r="AD4498" s="13"/>
      <c r="AE4498" s="13"/>
      <c r="AG4498" s="13"/>
      <c r="AH4498" s="13"/>
      <c r="AI4498" s="13"/>
      <c r="AJ4498" s="13"/>
      <c r="AK4498" s="13"/>
      <c r="AL4498" s="8"/>
      <c r="AU4498" s="13"/>
      <c r="AV4498" s="13"/>
      <c r="CU4498" s="13"/>
      <c r="DG4498" s="13"/>
    </row>
    <row r="4499" spans="1:111" x14ac:dyDescent="0.2">
      <c r="A4499" s="13"/>
      <c r="B4499" s="14"/>
      <c r="AC4499" s="13"/>
      <c r="AD4499" s="13"/>
      <c r="AE4499" s="13"/>
      <c r="AG4499" s="13"/>
      <c r="AH4499" s="13"/>
      <c r="AI4499" s="13"/>
      <c r="AJ4499" s="13"/>
      <c r="AK4499" s="13"/>
      <c r="AL4499" s="8"/>
      <c r="AU4499" s="13"/>
      <c r="AV4499" s="13"/>
      <c r="CU4499" s="13"/>
      <c r="DG4499" s="13"/>
    </row>
    <row r="4500" spans="1:111" x14ac:dyDescent="0.2">
      <c r="A4500" s="13"/>
      <c r="B4500" s="14"/>
      <c r="AC4500" s="13"/>
      <c r="AD4500" s="13"/>
      <c r="AE4500" s="13"/>
      <c r="AG4500" s="13"/>
      <c r="AH4500" s="13"/>
      <c r="AI4500" s="13"/>
      <c r="AJ4500" s="13"/>
      <c r="AK4500" s="13"/>
      <c r="AL4500" s="8"/>
      <c r="AU4500" s="13"/>
      <c r="AV4500" s="13"/>
      <c r="CU4500" s="13"/>
      <c r="DG4500" s="13"/>
    </row>
    <row r="4501" spans="1:111" x14ac:dyDescent="0.2">
      <c r="A4501" s="13"/>
      <c r="B4501" s="14"/>
      <c r="AC4501" s="13"/>
      <c r="AD4501" s="13"/>
      <c r="AE4501" s="13"/>
      <c r="AG4501" s="13"/>
      <c r="AH4501" s="13"/>
      <c r="AI4501" s="13"/>
      <c r="AJ4501" s="13"/>
      <c r="AK4501" s="13"/>
      <c r="AL4501" s="8"/>
      <c r="AU4501" s="13"/>
      <c r="AV4501" s="13"/>
      <c r="CU4501" s="13"/>
      <c r="DG4501" s="13"/>
    </row>
    <row r="4502" spans="1:111" x14ac:dyDescent="0.2">
      <c r="A4502" s="13"/>
      <c r="B4502" s="14"/>
      <c r="AC4502" s="13"/>
      <c r="AD4502" s="13"/>
      <c r="AE4502" s="13"/>
      <c r="AG4502" s="13"/>
      <c r="AH4502" s="13"/>
      <c r="AI4502" s="13"/>
      <c r="AJ4502" s="13"/>
      <c r="AK4502" s="13"/>
      <c r="AL4502" s="8"/>
      <c r="AU4502" s="13"/>
      <c r="AV4502" s="13"/>
      <c r="CU4502" s="13"/>
      <c r="DG4502" s="13"/>
    </row>
    <row r="4503" spans="1:111" x14ac:dyDescent="0.2">
      <c r="A4503" s="13"/>
      <c r="B4503" s="14"/>
      <c r="AC4503" s="13"/>
      <c r="AD4503" s="13"/>
      <c r="AE4503" s="13"/>
      <c r="AG4503" s="13"/>
      <c r="AH4503" s="13"/>
      <c r="AI4503" s="13"/>
      <c r="AJ4503" s="13"/>
      <c r="AK4503" s="13"/>
      <c r="AL4503" s="8"/>
      <c r="AU4503" s="13"/>
      <c r="AV4503" s="13"/>
      <c r="CU4503" s="13"/>
      <c r="DG4503" s="13"/>
    </row>
    <row r="4504" spans="1:111" x14ac:dyDescent="0.2">
      <c r="A4504" s="13"/>
      <c r="B4504" s="14"/>
      <c r="AC4504" s="13"/>
      <c r="AD4504" s="13"/>
      <c r="AE4504" s="13"/>
      <c r="AG4504" s="13"/>
      <c r="AH4504" s="13"/>
      <c r="AI4504" s="13"/>
      <c r="AJ4504" s="13"/>
      <c r="AK4504" s="13"/>
      <c r="AL4504" s="8"/>
      <c r="AU4504" s="13"/>
      <c r="AV4504" s="13"/>
      <c r="CU4504" s="13"/>
      <c r="DG4504" s="13"/>
    </row>
    <row r="4505" spans="1:111" x14ac:dyDescent="0.2">
      <c r="A4505" s="13"/>
      <c r="B4505" s="14"/>
      <c r="AC4505" s="13"/>
      <c r="AD4505" s="13"/>
      <c r="AE4505" s="13"/>
      <c r="AG4505" s="13"/>
      <c r="AH4505" s="13"/>
      <c r="AI4505" s="13"/>
      <c r="AJ4505" s="13"/>
      <c r="AK4505" s="13"/>
      <c r="AL4505" s="8"/>
      <c r="AU4505" s="13"/>
      <c r="AV4505" s="13"/>
      <c r="CU4505" s="13"/>
      <c r="DG4505" s="13"/>
    </row>
    <row r="4506" spans="1:111" x14ac:dyDescent="0.2">
      <c r="A4506" s="13"/>
      <c r="B4506" s="14"/>
      <c r="AC4506" s="13"/>
      <c r="AD4506" s="13"/>
      <c r="AE4506" s="13"/>
      <c r="AG4506" s="13"/>
      <c r="AH4506" s="13"/>
      <c r="AI4506" s="13"/>
      <c r="AJ4506" s="13"/>
      <c r="AK4506" s="13"/>
      <c r="AL4506" s="8"/>
      <c r="AU4506" s="13"/>
      <c r="AV4506" s="13"/>
      <c r="CU4506" s="13"/>
      <c r="DG4506" s="13"/>
    </row>
    <row r="4507" spans="1:111" x14ac:dyDescent="0.2">
      <c r="A4507" s="13"/>
      <c r="B4507" s="14"/>
      <c r="C4507" s="13"/>
      <c r="E4507" s="13"/>
      <c r="N4507" s="13"/>
      <c r="O4507" s="13"/>
      <c r="P4507" s="13"/>
      <c r="Q4507" s="13"/>
      <c r="R4507" s="13"/>
      <c r="S4507" s="13"/>
      <c r="T4507" s="13"/>
      <c r="U4507" s="13"/>
      <c r="V4507" s="13"/>
      <c r="AC4507" s="13"/>
      <c r="AD4507" s="13"/>
      <c r="AE4507" s="13"/>
      <c r="AG4507" s="13"/>
      <c r="AH4507" s="13"/>
      <c r="AI4507" s="13"/>
      <c r="AJ4507" s="13"/>
      <c r="AK4507" s="13"/>
      <c r="AL4507" s="8"/>
      <c r="AU4507" s="13"/>
      <c r="AV4507" s="13"/>
      <c r="CU4507" s="13"/>
      <c r="DG4507" s="13"/>
    </row>
    <row r="4508" spans="1:111" x14ac:dyDescent="0.2">
      <c r="A4508" s="13"/>
      <c r="B4508" s="14"/>
      <c r="C4508" s="13"/>
      <c r="E4508" s="13"/>
      <c r="N4508" s="13"/>
      <c r="O4508" s="13"/>
      <c r="P4508" s="13"/>
      <c r="Q4508" s="13"/>
      <c r="R4508" s="13"/>
      <c r="S4508" s="13"/>
      <c r="T4508" s="13"/>
      <c r="U4508" s="13"/>
      <c r="V4508" s="13"/>
      <c r="AC4508" s="13"/>
      <c r="AD4508" s="13"/>
      <c r="AE4508" s="13"/>
      <c r="AG4508" s="13"/>
      <c r="AH4508" s="13"/>
      <c r="AI4508" s="13"/>
      <c r="AJ4508" s="13"/>
      <c r="AK4508" s="13"/>
      <c r="AL4508" s="8"/>
      <c r="AU4508" s="13"/>
      <c r="AV4508" s="13"/>
      <c r="CU4508" s="13"/>
      <c r="DG4508" s="13"/>
    </row>
    <row r="4509" spans="1:111" x14ac:dyDescent="0.2">
      <c r="A4509" s="13"/>
      <c r="B4509" s="14"/>
      <c r="C4509" s="13"/>
      <c r="E4509" s="13"/>
      <c r="N4509" s="13"/>
      <c r="O4509" s="13"/>
      <c r="P4509" s="13"/>
      <c r="Q4509" s="13"/>
      <c r="R4509" s="13"/>
      <c r="S4509" s="13"/>
      <c r="T4509" s="13"/>
      <c r="U4509" s="13"/>
      <c r="V4509" s="13"/>
      <c r="AC4509" s="13"/>
      <c r="AD4509" s="13"/>
      <c r="AE4509" s="13"/>
      <c r="AG4509" s="13"/>
      <c r="AH4509" s="13"/>
      <c r="AI4509" s="13"/>
      <c r="AJ4509" s="13"/>
      <c r="AK4509" s="13"/>
      <c r="AL4509" s="8"/>
      <c r="AU4509" s="13"/>
      <c r="AV4509" s="13"/>
      <c r="CU4509" s="13"/>
      <c r="DG4509" s="13"/>
    </row>
    <row r="4510" spans="1:111" x14ac:dyDescent="0.2">
      <c r="A4510" s="13"/>
      <c r="B4510" s="14"/>
      <c r="C4510" s="13"/>
      <c r="E4510" s="13"/>
      <c r="N4510" s="13"/>
      <c r="O4510" s="13"/>
      <c r="P4510" s="13"/>
      <c r="Q4510" s="13"/>
      <c r="R4510" s="13"/>
      <c r="S4510" s="13"/>
      <c r="T4510" s="13"/>
      <c r="U4510" s="13"/>
      <c r="V4510" s="13"/>
      <c r="AC4510" s="13"/>
      <c r="AD4510" s="13"/>
      <c r="AE4510" s="13"/>
      <c r="AG4510" s="13"/>
      <c r="AH4510" s="13"/>
      <c r="AI4510" s="13"/>
      <c r="AJ4510" s="13"/>
      <c r="AK4510" s="13"/>
      <c r="AL4510" s="8"/>
      <c r="AU4510" s="13"/>
      <c r="AV4510" s="13"/>
      <c r="CU4510" s="13"/>
      <c r="DG4510" s="13"/>
    </row>
    <row r="4511" spans="1:111" x14ac:dyDescent="0.2">
      <c r="A4511" s="13"/>
      <c r="B4511" s="14"/>
      <c r="C4511" s="13"/>
      <c r="E4511" s="13"/>
      <c r="N4511" s="13"/>
      <c r="O4511" s="13"/>
      <c r="P4511" s="13"/>
      <c r="Q4511" s="13"/>
      <c r="R4511" s="13"/>
      <c r="S4511" s="13"/>
      <c r="T4511" s="13"/>
      <c r="U4511" s="13"/>
      <c r="V4511" s="13"/>
      <c r="AC4511" s="13"/>
      <c r="AD4511" s="13"/>
      <c r="AE4511" s="13"/>
      <c r="AG4511" s="13"/>
      <c r="AH4511" s="13"/>
      <c r="AI4511" s="13"/>
      <c r="AJ4511" s="13"/>
      <c r="AK4511" s="13"/>
      <c r="AL4511" s="8"/>
      <c r="AU4511" s="13"/>
      <c r="AV4511" s="13"/>
      <c r="CU4511" s="13"/>
      <c r="DG4511" s="13"/>
    </row>
    <row r="4512" spans="1:111" x14ac:dyDescent="0.2">
      <c r="A4512" s="13"/>
      <c r="B4512" s="14"/>
      <c r="C4512" s="13"/>
      <c r="E4512" s="13"/>
      <c r="N4512" s="13"/>
      <c r="O4512" s="13"/>
      <c r="P4512" s="13"/>
      <c r="Q4512" s="13"/>
      <c r="R4512" s="13"/>
      <c r="S4512" s="13"/>
      <c r="T4512" s="13"/>
      <c r="U4512" s="13"/>
      <c r="V4512" s="13"/>
      <c r="AC4512" s="13"/>
      <c r="AD4512" s="13"/>
      <c r="AE4512" s="13"/>
      <c r="AG4512" s="13"/>
      <c r="AH4512" s="13"/>
      <c r="AI4512" s="13"/>
      <c r="AJ4512" s="13"/>
      <c r="AK4512" s="13"/>
      <c r="AL4512" s="8"/>
      <c r="AU4512" s="13"/>
      <c r="AV4512" s="13"/>
      <c r="CU4512" s="13"/>
      <c r="DG4512" s="13"/>
    </row>
    <row r="4513" spans="1:111" x14ac:dyDescent="0.2">
      <c r="A4513" s="13"/>
      <c r="B4513" s="14"/>
      <c r="C4513" s="13"/>
      <c r="E4513" s="13"/>
      <c r="N4513" s="13"/>
      <c r="O4513" s="13"/>
      <c r="P4513" s="13"/>
      <c r="Q4513" s="13"/>
      <c r="R4513" s="13"/>
      <c r="S4513" s="13"/>
      <c r="T4513" s="13"/>
      <c r="U4513" s="13"/>
      <c r="V4513" s="13"/>
      <c r="AC4513" s="13"/>
      <c r="AD4513" s="13"/>
      <c r="AE4513" s="13"/>
      <c r="AG4513" s="13"/>
      <c r="AH4513" s="13"/>
      <c r="AI4513" s="13"/>
      <c r="AJ4513" s="13"/>
      <c r="AK4513" s="13"/>
      <c r="AL4513" s="8"/>
      <c r="AU4513" s="13"/>
      <c r="AV4513" s="13"/>
      <c r="CU4513" s="13"/>
      <c r="DG4513" s="13"/>
    </row>
    <row r="4514" spans="1:111" x14ac:dyDescent="0.2">
      <c r="A4514" s="13"/>
      <c r="B4514" s="14"/>
      <c r="C4514" s="13"/>
      <c r="E4514" s="13"/>
      <c r="N4514" s="13"/>
      <c r="O4514" s="13"/>
      <c r="P4514" s="13"/>
      <c r="Q4514" s="13"/>
      <c r="R4514" s="13"/>
      <c r="S4514" s="13"/>
      <c r="T4514" s="13"/>
      <c r="U4514" s="13"/>
      <c r="V4514" s="13"/>
      <c r="AC4514" s="13"/>
      <c r="AD4514" s="13"/>
      <c r="AE4514" s="13"/>
      <c r="AG4514" s="13"/>
      <c r="AH4514" s="13"/>
      <c r="AI4514" s="13"/>
      <c r="AJ4514" s="13"/>
      <c r="AK4514" s="13"/>
      <c r="AL4514" s="8"/>
      <c r="AU4514" s="13"/>
      <c r="AV4514" s="13"/>
      <c r="CU4514" s="13"/>
      <c r="DG4514" s="13"/>
    </row>
    <row r="4515" spans="1:111" x14ac:dyDescent="0.2">
      <c r="A4515" s="13"/>
      <c r="B4515" s="14"/>
      <c r="C4515" s="13"/>
      <c r="E4515" s="13"/>
      <c r="N4515" s="13"/>
      <c r="O4515" s="13"/>
      <c r="P4515" s="13"/>
      <c r="Q4515" s="13"/>
      <c r="R4515" s="13"/>
      <c r="S4515" s="13"/>
      <c r="T4515" s="13"/>
      <c r="U4515" s="13"/>
      <c r="V4515" s="13"/>
      <c r="AC4515" s="13"/>
      <c r="AD4515" s="13"/>
      <c r="AE4515" s="13"/>
      <c r="AG4515" s="13"/>
      <c r="AH4515" s="13"/>
      <c r="AI4515" s="13"/>
      <c r="AJ4515" s="13"/>
      <c r="AK4515" s="13"/>
      <c r="AL4515" s="8"/>
      <c r="AU4515" s="13"/>
      <c r="AV4515" s="13"/>
      <c r="CU4515" s="13"/>
      <c r="DG4515" s="13"/>
    </row>
    <row r="4516" spans="1:111" x14ac:dyDescent="0.2">
      <c r="A4516" s="13"/>
      <c r="B4516" s="14"/>
      <c r="C4516" s="13"/>
      <c r="E4516" s="13"/>
      <c r="N4516" s="13"/>
      <c r="O4516" s="13"/>
      <c r="P4516" s="13"/>
      <c r="Q4516" s="13"/>
      <c r="R4516" s="13"/>
      <c r="S4516" s="13"/>
      <c r="T4516" s="13"/>
      <c r="U4516" s="13"/>
      <c r="V4516" s="13"/>
      <c r="AC4516" s="13"/>
      <c r="AD4516" s="13"/>
      <c r="AE4516" s="13"/>
      <c r="AG4516" s="13"/>
      <c r="AH4516" s="13"/>
      <c r="AI4516" s="13"/>
      <c r="AJ4516" s="13"/>
      <c r="AK4516" s="13"/>
      <c r="AL4516" s="8"/>
      <c r="AU4516" s="13"/>
      <c r="AV4516" s="13"/>
      <c r="CU4516" s="13"/>
      <c r="DG4516" s="13"/>
    </row>
    <row r="4517" spans="1:111" x14ac:dyDescent="0.2">
      <c r="A4517" s="13"/>
      <c r="B4517" s="14"/>
      <c r="C4517" s="13"/>
      <c r="E4517" s="13"/>
      <c r="N4517" s="13"/>
      <c r="O4517" s="13"/>
      <c r="P4517" s="13"/>
      <c r="Q4517" s="13"/>
      <c r="R4517" s="13"/>
      <c r="S4517" s="13"/>
      <c r="T4517" s="13"/>
      <c r="U4517" s="13"/>
      <c r="V4517" s="13"/>
      <c r="AC4517" s="13"/>
      <c r="AD4517" s="13"/>
      <c r="AE4517" s="13"/>
      <c r="AG4517" s="13"/>
      <c r="AH4517" s="13"/>
      <c r="AI4517" s="13"/>
      <c r="AJ4517" s="13"/>
      <c r="AK4517" s="13"/>
      <c r="AL4517" s="8"/>
      <c r="AU4517" s="13"/>
      <c r="AV4517" s="13"/>
      <c r="CU4517" s="13"/>
      <c r="DG4517" s="13"/>
    </row>
    <row r="4518" spans="1:111" x14ac:dyDescent="0.2">
      <c r="A4518" s="13"/>
      <c r="B4518" s="14"/>
      <c r="C4518" s="13"/>
      <c r="E4518" s="13"/>
      <c r="N4518" s="13"/>
      <c r="O4518" s="13"/>
      <c r="P4518" s="13"/>
      <c r="Q4518" s="13"/>
      <c r="R4518" s="13"/>
      <c r="S4518" s="13"/>
      <c r="T4518" s="13"/>
      <c r="U4518" s="13"/>
      <c r="V4518" s="13"/>
      <c r="AC4518" s="13"/>
      <c r="AD4518" s="13"/>
      <c r="AE4518" s="13"/>
      <c r="AG4518" s="13"/>
      <c r="AH4518" s="13"/>
      <c r="AI4518" s="13"/>
      <c r="AJ4518" s="13"/>
      <c r="AK4518" s="13"/>
      <c r="AL4518" s="8"/>
      <c r="AU4518" s="13"/>
      <c r="AV4518" s="13"/>
      <c r="CU4518" s="13"/>
      <c r="DG4518" s="13"/>
    </row>
    <row r="4519" spans="1:111" x14ac:dyDescent="0.2">
      <c r="A4519" s="13"/>
      <c r="B4519" s="14"/>
      <c r="C4519" s="13"/>
      <c r="E4519" s="13"/>
      <c r="N4519" s="13"/>
      <c r="O4519" s="13"/>
      <c r="P4519" s="13"/>
      <c r="Q4519" s="13"/>
      <c r="R4519" s="13"/>
      <c r="S4519" s="13"/>
      <c r="T4519" s="13"/>
      <c r="U4519" s="13"/>
      <c r="V4519" s="13"/>
      <c r="AC4519" s="13"/>
      <c r="AD4519" s="13"/>
      <c r="AE4519" s="13"/>
      <c r="AG4519" s="13"/>
      <c r="AH4519" s="13"/>
      <c r="AI4519" s="13"/>
      <c r="AJ4519" s="13"/>
      <c r="AK4519" s="13"/>
      <c r="AL4519" s="8"/>
      <c r="AU4519" s="13"/>
      <c r="AV4519" s="13"/>
      <c r="CU4519" s="13"/>
      <c r="DG4519" s="13"/>
    </row>
    <row r="4520" spans="1:111" x14ac:dyDescent="0.2">
      <c r="A4520" s="13"/>
      <c r="B4520" s="14"/>
      <c r="C4520" s="13"/>
      <c r="E4520" s="13"/>
      <c r="N4520" s="13"/>
      <c r="O4520" s="13"/>
      <c r="P4520" s="13"/>
      <c r="Q4520" s="13"/>
      <c r="R4520" s="13"/>
      <c r="S4520" s="13"/>
      <c r="T4520" s="13"/>
      <c r="U4520" s="13"/>
      <c r="V4520" s="13"/>
      <c r="AC4520" s="13"/>
      <c r="AD4520" s="13"/>
      <c r="AE4520" s="13"/>
      <c r="AG4520" s="13"/>
      <c r="AH4520" s="13"/>
      <c r="AI4520" s="13"/>
      <c r="AJ4520" s="13"/>
      <c r="AK4520" s="13"/>
      <c r="AL4520" s="8"/>
      <c r="AU4520" s="13"/>
      <c r="AV4520" s="13"/>
      <c r="CU4520" s="13"/>
      <c r="DG4520" s="13"/>
    </row>
    <row r="4521" spans="1:111" x14ac:dyDescent="0.2">
      <c r="A4521" s="13"/>
      <c r="B4521" s="14"/>
      <c r="C4521" s="13"/>
      <c r="E4521" s="13"/>
      <c r="N4521" s="13"/>
      <c r="O4521" s="13"/>
      <c r="P4521" s="13"/>
      <c r="Q4521" s="13"/>
      <c r="R4521" s="13"/>
      <c r="S4521" s="13"/>
      <c r="T4521" s="13"/>
      <c r="U4521" s="13"/>
      <c r="V4521" s="13"/>
      <c r="AC4521" s="13"/>
      <c r="AD4521" s="13"/>
      <c r="AE4521" s="13"/>
      <c r="AG4521" s="13"/>
      <c r="AH4521" s="13"/>
      <c r="AI4521" s="13"/>
      <c r="AJ4521" s="13"/>
      <c r="AK4521" s="13"/>
      <c r="AL4521" s="8"/>
      <c r="AU4521" s="13"/>
      <c r="AV4521" s="13"/>
      <c r="CU4521" s="13"/>
      <c r="DG4521" s="13"/>
    </row>
    <row r="4522" spans="1:111" x14ac:dyDescent="0.2">
      <c r="A4522" s="13"/>
      <c r="B4522" s="14"/>
      <c r="C4522" s="13"/>
      <c r="E4522" s="13"/>
      <c r="N4522" s="13"/>
      <c r="O4522" s="13"/>
      <c r="P4522" s="13"/>
      <c r="Q4522" s="13"/>
      <c r="R4522" s="13"/>
      <c r="S4522" s="13"/>
      <c r="T4522" s="13"/>
      <c r="U4522" s="13"/>
      <c r="V4522" s="13"/>
      <c r="AC4522" s="13"/>
      <c r="AD4522" s="13"/>
      <c r="AE4522" s="13"/>
      <c r="AG4522" s="13"/>
      <c r="AH4522" s="13"/>
      <c r="AI4522" s="13"/>
      <c r="AJ4522" s="13"/>
      <c r="AK4522" s="13"/>
      <c r="AL4522" s="8"/>
      <c r="AU4522" s="13"/>
      <c r="AV4522" s="13"/>
      <c r="CU4522" s="13"/>
      <c r="DG4522" s="13"/>
    </row>
    <row r="4523" spans="1:111" x14ac:dyDescent="0.2">
      <c r="A4523" s="13"/>
      <c r="B4523" s="14"/>
      <c r="C4523" s="13"/>
      <c r="E4523" s="13"/>
      <c r="N4523" s="13"/>
      <c r="O4523" s="13"/>
      <c r="P4523" s="13"/>
      <c r="Q4523" s="13"/>
      <c r="R4523" s="13"/>
      <c r="S4523" s="13"/>
      <c r="T4523" s="13"/>
      <c r="U4523" s="13"/>
      <c r="V4523" s="13"/>
      <c r="AC4523" s="13"/>
      <c r="AD4523" s="13"/>
      <c r="AE4523" s="13"/>
      <c r="AG4523" s="13"/>
      <c r="AH4523" s="13"/>
      <c r="AI4523" s="13"/>
      <c r="AJ4523" s="13"/>
      <c r="AK4523" s="13"/>
      <c r="AL4523" s="8"/>
      <c r="AU4523" s="13"/>
      <c r="AV4523" s="13"/>
      <c r="CU4523" s="13"/>
      <c r="DG4523" s="13"/>
    </row>
    <row r="4524" spans="1:111" x14ac:dyDescent="0.2">
      <c r="A4524" s="13"/>
      <c r="B4524" s="14"/>
      <c r="C4524" s="13"/>
      <c r="E4524" s="13"/>
      <c r="N4524" s="13"/>
      <c r="O4524" s="13"/>
      <c r="P4524" s="13"/>
      <c r="Q4524" s="13"/>
      <c r="R4524" s="13"/>
      <c r="S4524" s="13"/>
      <c r="T4524" s="13"/>
      <c r="U4524" s="13"/>
      <c r="V4524" s="13"/>
      <c r="AC4524" s="13"/>
      <c r="AD4524" s="13"/>
      <c r="AE4524" s="13"/>
      <c r="AG4524" s="13"/>
      <c r="AH4524" s="13"/>
      <c r="AI4524" s="13"/>
      <c r="AJ4524" s="13"/>
      <c r="AK4524" s="13"/>
      <c r="AL4524" s="8"/>
      <c r="AU4524" s="13"/>
      <c r="AV4524" s="13"/>
      <c r="CU4524" s="13"/>
      <c r="DG4524" s="13"/>
    </row>
    <row r="4525" spans="1:111" x14ac:dyDescent="0.2">
      <c r="A4525" s="13"/>
      <c r="B4525" s="14"/>
      <c r="C4525" s="13"/>
      <c r="E4525" s="13"/>
      <c r="N4525" s="13"/>
      <c r="O4525" s="13"/>
      <c r="P4525" s="13"/>
      <c r="Q4525" s="13"/>
      <c r="R4525" s="13"/>
      <c r="S4525" s="13"/>
      <c r="T4525" s="13"/>
      <c r="U4525" s="13"/>
      <c r="V4525" s="13"/>
      <c r="AC4525" s="13"/>
      <c r="AD4525" s="13"/>
      <c r="AE4525" s="13"/>
      <c r="AG4525" s="13"/>
      <c r="AH4525" s="13"/>
      <c r="AI4525" s="13"/>
      <c r="AJ4525" s="13"/>
      <c r="AK4525" s="13"/>
      <c r="AL4525" s="8"/>
      <c r="AU4525" s="13"/>
      <c r="AV4525" s="13"/>
      <c r="CU4525" s="13"/>
      <c r="DG4525" s="13"/>
    </row>
    <row r="4526" spans="1:111" x14ac:dyDescent="0.2">
      <c r="A4526" s="13"/>
      <c r="B4526" s="14"/>
      <c r="C4526" s="13"/>
      <c r="E4526" s="13"/>
      <c r="N4526" s="13"/>
      <c r="O4526" s="13"/>
      <c r="P4526" s="13"/>
      <c r="Q4526" s="13"/>
      <c r="R4526" s="13"/>
      <c r="S4526" s="13"/>
      <c r="T4526" s="13"/>
      <c r="U4526" s="13"/>
      <c r="V4526" s="13"/>
      <c r="AC4526" s="13"/>
      <c r="AD4526" s="13"/>
      <c r="AE4526" s="13"/>
      <c r="AG4526" s="13"/>
      <c r="AH4526" s="13"/>
      <c r="AI4526" s="13"/>
      <c r="AJ4526" s="13"/>
      <c r="AK4526" s="13"/>
      <c r="AL4526" s="8"/>
      <c r="AU4526" s="13"/>
      <c r="AV4526" s="13"/>
      <c r="CU4526" s="13"/>
      <c r="DG4526" s="13"/>
    </row>
    <row r="4527" spans="1:111" x14ac:dyDescent="0.2">
      <c r="A4527" s="13"/>
      <c r="B4527" s="14"/>
      <c r="C4527" s="13"/>
      <c r="E4527" s="13"/>
      <c r="N4527" s="13"/>
      <c r="O4527" s="13"/>
      <c r="P4527" s="13"/>
      <c r="Q4527" s="13"/>
      <c r="R4527" s="13"/>
      <c r="S4527" s="13"/>
      <c r="T4527" s="13"/>
      <c r="U4527" s="13"/>
      <c r="V4527" s="13"/>
      <c r="AC4527" s="13"/>
      <c r="AD4527" s="13"/>
      <c r="AE4527" s="13"/>
      <c r="AG4527" s="13"/>
      <c r="AH4527" s="13"/>
      <c r="AI4527" s="13"/>
      <c r="AJ4527" s="13"/>
      <c r="AK4527" s="13"/>
      <c r="AL4527" s="8"/>
      <c r="AU4527" s="13"/>
      <c r="AV4527" s="13"/>
      <c r="CU4527" s="13"/>
      <c r="DG4527" s="13"/>
    </row>
    <row r="4528" spans="1:111" x14ac:dyDescent="0.2">
      <c r="A4528" s="13"/>
      <c r="B4528" s="14"/>
      <c r="C4528" s="13"/>
      <c r="E4528" s="13"/>
      <c r="N4528" s="13"/>
      <c r="O4528" s="13"/>
      <c r="P4528" s="13"/>
      <c r="Q4528" s="13"/>
      <c r="R4528" s="13"/>
      <c r="S4528" s="13"/>
      <c r="T4528" s="13"/>
      <c r="U4528" s="13"/>
      <c r="V4528" s="13"/>
      <c r="AC4528" s="13"/>
      <c r="AD4528" s="13"/>
      <c r="AE4528" s="13"/>
      <c r="AG4528" s="13"/>
      <c r="AH4528" s="13"/>
      <c r="AI4528" s="13"/>
      <c r="AJ4528" s="13"/>
      <c r="AK4528" s="13"/>
      <c r="AL4528" s="8"/>
      <c r="AU4528" s="13"/>
      <c r="AV4528" s="13"/>
      <c r="CU4528" s="13"/>
      <c r="DG4528" s="13"/>
    </row>
    <row r="4529" spans="1:111" x14ac:dyDescent="0.2">
      <c r="A4529" s="13"/>
      <c r="B4529" s="14"/>
      <c r="C4529" s="13"/>
      <c r="E4529" s="13"/>
      <c r="N4529" s="13"/>
      <c r="O4529" s="13"/>
      <c r="P4529" s="13"/>
      <c r="Q4529" s="13"/>
      <c r="R4529" s="13"/>
      <c r="S4529" s="13"/>
      <c r="T4529" s="13"/>
      <c r="U4529" s="13"/>
      <c r="V4529" s="13"/>
      <c r="AC4529" s="13"/>
      <c r="AD4529" s="13"/>
      <c r="AE4529" s="13"/>
      <c r="AG4529" s="13"/>
      <c r="AH4529" s="13"/>
      <c r="AI4529" s="13"/>
      <c r="AJ4529" s="13"/>
      <c r="AK4529" s="13"/>
      <c r="AL4529" s="8"/>
      <c r="AU4529" s="13"/>
      <c r="AV4529" s="13"/>
      <c r="CU4529" s="13"/>
      <c r="DG4529" s="13"/>
    </row>
    <row r="4530" spans="1:111" x14ac:dyDescent="0.2">
      <c r="A4530" s="13"/>
      <c r="B4530" s="14"/>
      <c r="C4530" s="13"/>
      <c r="E4530" s="13"/>
      <c r="N4530" s="13"/>
      <c r="O4530" s="13"/>
      <c r="P4530" s="13"/>
      <c r="Q4530" s="13"/>
      <c r="R4530" s="13"/>
      <c r="S4530" s="13"/>
      <c r="T4530" s="13"/>
      <c r="U4530" s="13"/>
      <c r="V4530" s="13"/>
      <c r="AC4530" s="13"/>
      <c r="AD4530" s="13"/>
      <c r="AE4530" s="13"/>
      <c r="AG4530" s="13"/>
      <c r="AH4530" s="13"/>
      <c r="AI4530" s="13"/>
      <c r="AJ4530" s="13"/>
      <c r="AK4530" s="13"/>
      <c r="AL4530" s="8"/>
      <c r="AU4530" s="13"/>
      <c r="AV4530" s="13"/>
      <c r="CU4530" s="13"/>
      <c r="DG4530" s="13"/>
    </row>
    <row r="4531" spans="1:111" x14ac:dyDescent="0.2">
      <c r="A4531" s="13"/>
      <c r="B4531" s="14"/>
      <c r="C4531" s="13"/>
      <c r="E4531" s="13"/>
      <c r="N4531" s="13"/>
      <c r="O4531" s="13"/>
      <c r="P4531" s="13"/>
      <c r="Q4531" s="13"/>
      <c r="R4531" s="13"/>
      <c r="S4531" s="13"/>
      <c r="T4531" s="13"/>
      <c r="U4531" s="13"/>
      <c r="V4531" s="13"/>
      <c r="AC4531" s="13"/>
      <c r="AD4531" s="13"/>
      <c r="AE4531" s="13"/>
      <c r="AG4531" s="13"/>
      <c r="AH4531" s="13"/>
      <c r="AI4531" s="13"/>
      <c r="AJ4531" s="13"/>
      <c r="AK4531" s="13"/>
      <c r="AL4531" s="8"/>
      <c r="AU4531" s="13"/>
      <c r="AV4531" s="13"/>
      <c r="CU4531" s="13"/>
      <c r="DG4531" s="13"/>
    </row>
    <row r="4532" spans="1:111" x14ac:dyDescent="0.2">
      <c r="A4532" s="13"/>
      <c r="B4532" s="14"/>
      <c r="C4532" s="13"/>
      <c r="E4532" s="13"/>
      <c r="N4532" s="13"/>
      <c r="O4532" s="13"/>
      <c r="P4532" s="13"/>
      <c r="Q4532" s="13"/>
      <c r="R4532" s="13"/>
      <c r="S4532" s="13"/>
      <c r="T4532" s="13"/>
      <c r="U4532" s="13"/>
      <c r="V4532" s="13"/>
      <c r="AC4532" s="13"/>
      <c r="AD4532" s="13"/>
      <c r="AE4532" s="13"/>
      <c r="AG4532" s="13"/>
      <c r="AH4532" s="13"/>
      <c r="AI4532" s="13"/>
      <c r="AJ4532" s="13"/>
      <c r="AK4532" s="13"/>
      <c r="AL4532" s="8"/>
      <c r="AU4532" s="13"/>
      <c r="AV4532" s="13"/>
      <c r="CU4532" s="13"/>
      <c r="DG4532" s="13"/>
    </row>
    <row r="4533" spans="1:111" x14ac:dyDescent="0.2">
      <c r="A4533" s="13"/>
      <c r="B4533" s="14"/>
      <c r="C4533" s="13"/>
      <c r="E4533" s="13"/>
      <c r="N4533" s="13"/>
      <c r="O4533" s="13"/>
      <c r="P4533" s="13"/>
      <c r="Q4533" s="13"/>
      <c r="R4533" s="13"/>
      <c r="S4533" s="13"/>
      <c r="T4533" s="13"/>
      <c r="U4533" s="13"/>
      <c r="V4533" s="13"/>
      <c r="AC4533" s="13"/>
      <c r="AD4533" s="13"/>
      <c r="AE4533" s="13"/>
      <c r="AG4533" s="13"/>
      <c r="AH4533" s="13"/>
      <c r="AI4533" s="13"/>
      <c r="AJ4533" s="13"/>
      <c r="AK4533" s="13"/>
      <c r="AL4533" s="8"/>
      <c r="AU4533" s="13"/>
      <c r="AV4533" s="13"/>
      <c r="CU4533" s="13"/>
      <c r="DG4533" s="13"/>
    </row>
    <row r="4534" spans="1:111" x14ac:dyDescent="0.2">
      <c r="A4534" s="13"/>
      <c r="B4534" s="14"/>
      <c r="C4534" s="13"/>
      <c r="E4534" s="13"/>
      <c r="N4534" s="13"/>
      <c r="O4534" s="13"/>
      <c r="P4534" s="13"/>
      <c r="Q4534" s="13"/>
      <c r="R4534" s="13"/>
      <c r="S4534" s="13"/>
      <c r="T4534" s="13"/>
      <c r="U4534" s="13"/>
      <c r="V4534" s="13"/>
      <c r="AC4534" s="13"/>
      <c r="AD4534" s="13"/>
      <c r="AE4534" s="13"/>
      <c r="AG4534" s="13"/>
      <c r="AH4534" s="13"/>
      <c r="AI4534" s="13"/>
      <c r="AJ4534" s="13"/>
      <c r="AK4534" s="13"/>
      <c r="AL4534" s="8"/>
      <c r="AU4534" s="13"/>
      <c r="AV4534" s="13"/>
      <c r="CU4534" s="13"/>
      <c r="DG4534" s="13"/>
    </row>
    <row r="4535" spans="1:111" x14ac:dyDescent="0.2">
      <c r="A4535" s="13"/>
      <c r="B4535" s="14"/>
      <c r="C4535" s="13"/>
      <c r="E4535" s="13"/>
      <c r="N4535" s="13"/>
      <c r="O4535" s="13"/>
      <c r="P4535" s="13"/>
      <c r="Q4535" s="13"/>
      <c r="R4535" s="13"/>
      <c r="S4535" s="13"/>
      <c r="T4535" s="13"/>
      <c r="U4535" s="13"/>
      <c r="V4535" s="13"/>
      <c r="AC4535" s="13"/>
      <c r="AD4535" s="13"/>
      <c r="AE4535" s="13"/>
      <c r="AG4535" s="13"/>
      <c r="AH4535" s="13"/>
      <c r="AI4535" s="13"/>
      <c r="AJ4535" s="13"/>
      <c r="AK4535" s="13"/>
      <c r="AL4535" s="8"/>
      <c r="AU4535" s="13"/>
      <c r="AV4535" s="13"/>
      <c r="CU4535" s="13"/>
      <c r="DG4535" s="13"/>
    </row>
    <row r="4536" spans="1:111" x14ac:dyDescent="0.2">
      <c r="A4536" s="13"/>
      <c r="B4536" s="14"/>
      <c r="C4536" s="13"/>
      <c r="E4536" s="13"/>
      <c r="N4536" s="13"/>
      <c r="O4536" s="13"/>
      <c r="P4536" s="13"/>
      <c r="Q4536" s="13"/>
      <c r="R4536" s="13"/>
      <c r="S4536" s="13"/>
      <c r="T4536" s="13"/>
      <c r="U4536" s="13"/>
      <c r="V4536" s="13"/>
      <c r="AC4536" s="13"/>
      <c r="AD4536" s="13"/>
      <c r="AE4536" s="13"/>
      <c r="AG4536" s="13"/>
      <c r="AH4536" s="13"/>
      <c r="AI4536" s="13"/>
      <c r="AJ4536" s="13"/>
      <c r="AK4536" s="13"/>
      <c r="AL4536" s="8"/>
      <c r="AU4536" s="13"/>
      <c r="AV4536" s="13"/>
      <c r="CU4536" s="13"/>
      <c r="DG4536" s="13"/>
    </row>
    <row r="4537" spans="1:111" x14ac:dyDescent="0.2">
      <c r="A4537" s="13"/>
      <c r="B4537" s="14"/>
      <c r="C4537" s="13"/>
      <c r="E4537" s="13"/>
      <c r="N4537" s="13"/>
      <c r="O4537" s="13"/>
      <c r="P4537" s="13"/>
      <c r="Q4537" s="13"/>
      <c r="R4537" s="13"/>
      <c r="S4537" s="13"/>
      <c r="T4537" s="13"/>
      <c r="U4537" s="13"/>
      <c r="V4537" s="13"/>
      <c r="AC4537" s="13"/>
      <c r="AD4537" s="13"/>
      <c r="AE4537" s="13"/>
      <c r="AG4537" s="13"/>
      <c r="AH4537" s="13"/>
      <c r="AI4537" s="13"/>
      <c r="AJ4537" s="13"/>
      <c r="AK4537" s="13"/>
      <c r="AL4537" s="8"/>
      <c r="AU4537" s="13"/>
      <c r="AV4537" s="13"/>
      <c r="CU4537" s="13"/>
      <c r="DG4537" s="13"/>
    </row>
    <row r="4538" spans="1:111" x14ac:dyDescent="0.2">
      <c r="A4538" s="13"/>
      <c r="B4538" s="14"/>
      <c r="C4538" s="13"/>
      <c r="E4538" s="13"/>
      <c r="N4538" s="13"/>
      <c r="O4538" s="13"/>
      <c r="P4538" s="13"/>
      <c r="Q4538" s="13"/>
      <c r="R4538" s="13"/>
      <c r="S4538" s="13"/>
      <c r="T4538" s="13"/>
      <c r="U4538" s="13"/>
      <c r="V4538" s="13"/>
      <c r="AC4538" s="13"/>
      <c r="AD4538" s="13"/>
      <c r="AE4538" s="13"/>
      <c r="AG4538" s="13"/>
      <c r="AH4538" s="13"/>
      <c r="AI4538" s="13"/>
      <c r="AJ4538" s="13"/>
      <c r="AK4538" s="13"/>
      <c r="AL4538" s="8"/>
      <c r="AU4538" s="13"/>
      <c r="AV4538" s="13"/>
      <c r="CU4538" s="13"/>
      <c r="DG4538" s="13"/>
    </row>
    <row r="4539" spans="1:111" x14ac:dyDescent="0.2">
      <c r="A4539" s="13"/>
      <c r="B4539" s="14"/>
      <c r="C4539" s="13"/>
      <c r="E4539" s="13"/>
      <c r="N4539" s="13"/>
      <c r="O4539" s="13"/>
      <c r="P4539" s="13"/>
      <c r="Q4539" s="13"/>
      <c r="R4539" s="13"/>
      <c r="S4539" s="13"/>
      <c r="T4539" s="13"/>
      <c r="U4539" s="13"/>
      <c r="V4539" s="13"/>
      <c r="AC4539" s="13"/>
      <c r="AD4539" s="13"/>
      <c r="AE4539" s="13"/>
      <c r="AG4539" s="13"/>
      <c r="AH4539" s="13"/>
      <c r="AI4539" s="13"/>
      <c r="AJ4539" s="13"/>
      <c r="AK4539" s="13"/>
      <c r="AL4539" s="8"/>
      <c r="AU4539" s="13"/>
      <c r="AV4539" s="13"/>
      <c r="CU4539" s="13"/>
      <c r="DG4539" s="13"/>
    </row>
    <row r="4540" spans="1:111" x14ac:dyDescent="0.2">
      <c r="A4540" s="13"/>
      <c r="B4540" s="14"/>
      <c r="C4540" s="13"/>
      <c r="E4540" s="13"/>
      <c r="N4540" s="13"/>
      <c r="O4540" s="13"/>
      <c r="P4540" s="13"/>
      <c r="Q4540" s="13"/>
      <c r="R4540" s="13"/>
      <c r="S4540" s="13"/>
      <c r="T4540" s="13"/>
      <c r="U4540" s="13"/>
      <c r="V4540" s="13"/>
      <c r="AC4540" s="13"/>
      <c r="AD4540" s="13"/>
      <c r="AE4540" s="13"/>
      <c r="AG4540" s="13"/>
      <c r="AH4540" s="13"/>
      <c r="AI4540" s="13"/>
      <c r="AJ4540" s="13"/>
      <c r="AK4540" s="13"/>
      <c r="AL4540" s="8"/>
      <c r="AU4540" s="13"/>
      <c r="AV4540" s="13"/>
      <c r="CU4540" s="13"/>
      <c r="DG4540" s="13"/>
    </row>
    <row r="4541" spans="1:111" x14ac:dyDescent="0.2">
      <c r="A4541" s="13"/>
      <c r="B4541" s="14"/>
      <c r="C4541" s="13"/>
      <c r="E4541" s="13"/>
      <c r="N4541" s="13"/>
      <c r="O4541" s="13"/>
      <c r="P4541" s="13"/>
      <c r="Q4541" s="13"/>
      <c r="R4541" s="13"/>
      <c r="S4541" s="13"/>
      <c r="T4541" s="13"/>
      <c r="U4541" s="13"/>
      <c r="V4541" s="13"/>
      <c r="AC4541" s="13"/>
      <c r="AD4541" s="13"/>
      <c r="AE4541" s="13"/>
      <c r="AG4541" s="13"/>
      <c r="AH4541" s="13"/>
      <c r="AI4541" s="13"/>
      <c r="AJ4541" s="13"/>
      <c r="AK4541" s="13"/>
      <c r="AL4541" s="8"/>
      <c r="AU4541" s="13"/>
      <c r="AV4541" s="13"/>
      <c r="CU4541" s="13"/>
      <c r="DG4541" s="13"/>
    </row>
    <row r="4542" spans="1:111" x14ac:dyDescent="0.2">
      <c r="A4542" s="13"/>
      <c r="B4542" s="14"/>
      <c r="C4542" s="13"/>
      <c r="E4542" s="13"/>
      <c r="N4542" s="13"/>
      <c r="O4542" s="13"/>
      <c r="P4542" s="13"/>
      <c r="Q4542" s="13"/>
      <c r="R4542" s="13"/>
      <c r="S4542" s="13"/>
      <c r="T4542" s="13"/>
      <c r="U4542" s="13"/>
      <c r="V4542" s="13"/>
      <c r="AC4542" s="13"/>
      <c r="AD4542" s="13"/>
      <c r="AE4542" s="13"/>
      <c r="AG4542" s="13"/>
      <c r="AH4542" s="13"/>
      <c r="AI4542" s="13"/>
      <c r="AJ4542" s="13"/>
      <c r="AK4542" s="13"/>
      <c r="AL4542" s="8"/>
      <c r="AU4542" s="13"/>
      <c r="AV4542" s="13"/>
      <c r="CU4542" s="13"/>
      <c r="DG4542" s="13"/>
    </row>
    <row r="4543" spans="1:111" x14ac:dyDescent="0.2">
      <c r="A4543" s="13"/>
      <c r="B4543" s="14"/>
      <c r="C4543" s="13"/>
      <c r="E4543" s="13"/>
      <c r="N4543" s="13"/>
      <c r="O4543" s="13"/>
      <c r="P4543" s="13"/>
      <c r="Q4543" s="13"/>
      <c r="R4543" s="13"/>
      <c r="S4543" s="13"/>
      <c r="T4543" s="13"/>
      <c r="U4543" s="13"/>
      <c r="V4543" s="13"/>
      <c r="AC4543" s="13"/>
      <c r="AD4543" s="13"/>
      <c r="AE4543" s="13"/>
      <c r="AG4543" s="13"/>
      <c r="AH4543" s="13"/>
      <c r="AI4543" s="13"/>
      <c r="AJ4543" s="13"/>
      <c r="AK4543" s="13"/>
      <c r="AL4543" s="8"/>
      <c r="AU4543" s="13"/>
      <c r="AV4543" s="13"/>
      <c r="CU4543" s="13"/>
      <c r="DG4543" s="13"/>
    </row>
    <row r="4544" spans="1:111" x14ac:dyDescent="0.2">
      <c r="A4544" s="13"/>
      <c r="B4544" s="14"/>
      <c r="C4544" s="13"/>
      <c r="E4544" s="13"/>
      <c r="N4544" s="13"/>
      <c r="O4544" s="13"/>
      <c r="P4544" s="13"/>
      <c r="Q4544" s="13"/>
      <c r="R4544" s="13"/>
      <c r="S4544" s="13"/>
      <c r="T4544" s="13"/>
      <c r="U4544" s="13"/>
      <c r="V4544" s="13"/>
      <c r="AC4544" s="13"/>
      <c r="AD4544" s="13"/>
      <c r="AE4544" s="13"/>
      <c r="AG4544" s="13"/>
      <c r="AH4544" s="13"/>
      <c r="AI4544" s="13"/>
      <c r="AJ4544" s="13"/>
      <c r="AK4544" s="13"/>
      <c r="AL4544" s="8"/>
      <c r="AU4544" s="13"/>
      <c r="AV4544" s="13"/>
      <c r="CU4544" s="13"/>
      <c r="DG4544" s="13"/>
    </row>
    <row r="4545" spans="1:111" x14ac:dyDescent="0.2">
      <c r="A4545" s="13"/>
      <c r="B4545" s="14"/>
      <c r="C4545" s="13"/>
      <c r="E4545" s="13"/>
      <c r="N4545" s="13"/>
      <c r="O4545" s="13"/>
      <c r="P4545" s="13"/>
      <c r="Q4545" s="13"/>
      <c r="R4545" s="13"/>
      <c r="S4545" s="13"/>
      <c r="T4545" s="13"/>
      <c r="U4545" s="13"/>
      <c r="V4545" s="13"/>
      <c r="AC4545" s="13"/>
      <c r="AD4545" s="13"/>
      <c r="AE4545" s="13"/>
      <c r="AG4545" s="13"/>
      <c r="AH4545" s="13"/>
      <c r="AI4545" s="13"/>
      <c r="AJ4545" s="13"/>
      <c r="AK4545" s="13"/>
      <c r="AL4545" s="8"/>
      <c r="AU4545" s="13"/>
      <c r="AV4545" s="13"/>
      <c r="CU4545" s="13"/>
      <c r="DG4545" s="13"/>
    </row>
    <row r="4546" spans="1:111" x14ac:dyDescent="0.2">
      <c r="A4546" s="13"/>
      <c r="B4546" s="14"/>
      <c r="C4546" s="13"/>
      <c r="E4546" s="13"/>
      <c r="N4546" s="13"/>
      <c r="O4546" s="13"/>
      <c r="P4546" s="13"/>
      <c r="Q4546" s="13"/>
      <c r="R4546" s="13"/>
      <c r="S4546" s="13"/>
      <c r="T4546" s="13"/>
      <c r="U4546" s="13"/>
      <c r="V4546" s="13"/>
      <c r="AC4546" s="13"/>
      <c r="AD4546" s="13"/>
      <c r="AE4546" s="13"/>
      <c r="AG4546" s="13"/>
      <c r="AH4546" s="13"/>
      <c r="AI4546" s="13"/>
      <c r="AJ4546" s="13"/>
      <c r="AK4546" s="13"/>
      <c r="AL4546" s="8"/>
      <c r="AU4546" s="13"/>
      <c r="AV4546" s="13"/>
      <c r="CU4546" s="13"/>
      <c r="DG4546" s="13"/>
    </row>
    <row r="4547" spans="1:111" x14ac:dyDescent="0.2">
      <c r="A4547" s="13"/>
      <c r="B4547" s="14"/>
      <c r="C4547" s="13"/>
      <c r="E4547" s="13"/>
      <c r="N4547" s="13"/>
      <c r="O4547" s="13"/>
      <c r="P4547" s="13"/>
      <c r="Q4547" s="13"/>
      <c r="R4547" s="13"/>
      <c r="S4547" s="13"/>
      <c r="T4547" s="13"/>
      <c r="U4547" s="13"/>
      <c r="V4547" s="13"/>
      <c r="AC4547" s="13"/>
      <c r="AD4547" s="13"/>
      <c r="AE4547" s="13"/>
      <c r="AG4547" s="13"/>
      <c r="AH4547" s="13"/>
      <c r="AI4547" s="13"/>
      <c r="AJ4547" s="13"/>
      <c r="AK4547" s="13"/>
      <c r="AL4547" s="8"/>
      <c r="AU4547" s="13"/>
      <c r="AV4547" s="13"/>
      <c r="CU4547" s="13"/>
      <c r="DG4547" s="13"/>
    </row>
    <row r="4548" spans="1:111" x14ac:dyDescent="0.2">
      <c r="A4548" s="13"/>
      <c r="B4548" s="14"/>
      <c r="C4548" s="13"/>
      <c r="E4548" s="13"/>
      <c r="N4548" s="13"/>
      <c r="O4548" s="13"/>
      <c r="P4548" s="13"/>
      <c r="Q4548" s="13"/>
      <c r="R4548" s="13"/>
      <c r="S4548" s="13"/>
      <c r="T4548" s="13"/>
      <c r="U4548" s="13"/>
      <c r="V4548" s="13"/>
      <c r="AC4548" s="13"/>
      <c r="AD4548" s="13"/>
      <c r="AE4548" s="13"/>
      <c r="AG4548" s="13"/>
      <c r="AH4548" s="13"/>
      <c r="AI4548" s="13"/>
      <c r="AJ4548" s="13"/>
      <c r="AK4548" s="13"/>
      <c r="AL4548" s="8"/>
      <c r="AU4548" s="13"/>
      <c r="AV4548" s="13"/>
      <c r="CU4548" s="13"/>
      <c r="DG4548" s="13"/>
    </row>
    <row r="4549" spans="1:111" x14ac:dyDescent="0.2">
      <c r="A4549" s="13"/>
      <c r="B4549" s="14"/>
      <c r="C4549" s="13"/>
      <c r="E4549" s="13"/>
      <c r="N4549" s="13"/>
      <c r="O4549" s="13"/>
      <c r="P4549" s="13"/>
      <c r="Q4549" s="13"/>
      <c r="R4549" s="13"/>
      <c r="S4549" s="13"/>
      <c r="T4549" s="13"/>
      <c r="U4549" s="13"/>
      <c r="V4549" s="13"/>
      <c r="AC4549" s="13"/>
      <c r="AD4549" s="13"/>
      <c r="AE4549" s="13"/>
      <c r="AG4549" s="13"/>
      <c r="AH4549" s="13"/>
      <c r="AI4549" s="13"/>
      <c r="AJ4549" s="13"/>
      <c r="AK4549" s="13"/>
      <c r="AL4549" s="8"/>
      <c r="AU4549" s="13"/>
      <c r="AV4549" s="13"/>
      <c r="CU4549" s="13"/>
      <c r="DG4549" s="13"/>
    </row>
    <row r="4550" spans="1:111" x14ac:dyDescent="0.2">
      <c r="A4550" s="13"/>
      <c r="B4550" s="14"/>
      <c r="C4550" s="13"/>
      <c r="E4550" s="13"/>
      <c r="N4550" s="13"/>
      <c r="O4550" s="13"/>
      <c r="P4550" s="13"/>
      <c r="Q4550" s="13"/>
      <c r="R4550" s="13"/>
      <c r="S4550" s="13"/>
      <c r="T4550" s="13"/>
      <c r="U4550" s="13"/>
      <c r="V4550" s="13"/>
      <c r="AC4550" s="13"/>
      <c r="AD4550" s="13"/>
      <c r="AE4550" s="13"/>
      <c r="AG4550" s="13"/>
      <c r="AH4550" s="13"/>
      <c r="AI4550" s="13"/>
      <c r="AJ4550" s="13"/>
      <c r="AK4550" s="13"/>
      <c r="AL4550" s="8"/>
      <c r="AU4550" s="13"/>
      <c r="AV4550" s="13"/>
      <c r="CU4550" s="13"/>
      <c r="DG4550" s="13"/>
    </row>
    <row r="4551" spans="1:111" x14ac:dyDescent="0.2">
      <c r="A4551" s="13"/>
      <c r="B4551" s="14"/>
      <c r="C4551" s="13"/>
      <c r="E4551" s="13"/>
      <c r="N4551" s="13"/>
      <c r="O4551" s="13"/>
      <c r="P4551" s="13"/>
      <c r="Q4551" s="13"/>
      <c r="R4551" s="13"/>
      <c r="S4551" s="13"/>
      <c r="T4551" s="13"/>
      <c r="U4551" s="13"/>
      <c r="V4551" s="13"/>
      <c r="AC4551" s="13"/>
      <c r="AD4551" s="13"/>
      <c r="AE4551" s="13"/>
      <c r="AG4551" s="13"/>
      <c r="AH4551" s="13"/>
      <c r="AI4551" s="13"/>
      <c r="AJ4551" s="13"/>
      <c r="AK4551" s="13"/>
      <c r="AL4551" s="8"/>
      <c r="AU4551" s="13"/>
      <c r="AV4551" s="13"/>
      <c r="CU4551" s="13"/>
      <c r="DG4551" s="13"/>
    </row>
    <row r="4552" spans="1:111" x14ac:dyDescent="0.2">
      <c r="A4552" s="13"/>
      <c r="B4552" s="14"/>
      <c r="C4552" s="13"/>
      <c r="E4552" s="13"/>
      <c r="N4552" s="13"/>
      <c r="O4552" s="13"/>
      <c r="P4552" s="13"/>
      <c r="Q4552" s="13"/>
      <c r="R4552" s="13"/>
      <c r="S4552" s="13"/>
      <c r="T4552" s="13"/>
      <c r="U4552" s="13"/>
      <c r="V4552" s="13"/>
      <c r="AC4552" s="13"/>
      <c r="AD4552" s="13"/>
      <c r="AE4552" s="13"/>
      <c r="AG4552" s="13"/>
      <c r="AH4552" s="13"/>
      <c r="AI4552" s="13"/>
      <c r="AJ4552" s="13"/>
      <c r="AK4552" s="13"/>
      <c r="AL4552" s="8"/>
      <c r="AU4552" s="13"/>
      <c r="AV4552" s="13"/>
      <c r="CU4552" s="13"/>
      <c r="DG4552" s="13"/>
    </row>
    <row r="4553" spans="1:111" x14ac:dyDescent="0.2">
      <c r="A4553" s="13"/>
      <c r="B4553" s="14"/>
      <c r="C4553" s="13"/>
      <c r="E4553" s="13"/>
      <c r="N4553" s="13"/>
      <c r="O4553" s="13"/>
      <c r="P4553" s="13"/>
      <c r="Q4553" s="13"/>
      <c r="R4553" s="13"/>
      <c r="S4553" s="13"/>
      <c r="T4553" s="13"/>
      <c r="U4553" s="13"/>
      <c r="V4553" s="13"/>
      <c r="AC4553" s="13"/>
      <c r="AD4553" s="13"/>
      <c r="AE4553" s="13"/>
      <c r="AG4553" s="13"/>
      <c r="AH4553" s="13"/>
      <c r="AI4553" s="13"/>
      <c r="AJ4553" s="13"/>
      <c r="AK4553" s="13"/>
      <c r="AL4553" s="8"/>
      <c r="AU4553" s="13"/>
      <c r="AV4553" s="13"/>
      <c r="CU4553" s="13"/>
      <c r="DG4553" s="13"/>
    </row>
    <row r="4554" spans="1:111" x14ac:dyDescent="0.2">
      <c r="A4554" s="13"/>
      <c r="B4554" s="14"/>
      <c r="C4554" s="13"/>
      <c r="E4554" s="13"/>
      <c r="N4554" s="13"/>
      <c r="O4554" s="13"/>
      <c r="P4554" s="13"/>
      <c r="Q4554" s="13"/>
      <c r="R4554" s="13"/>
      <c r="S4554" s="13"/>
      <c r="T4554" s="13"/>
      <c r="U4554" s="13"/>
      <c r="V4554" s="13"/>
      <c r="AC4554" s="13"/>
      <c r="AD4554" s="13"/>
      <c r="AE4554" s="13"/>
      <c r="AG4554" s="13"/>
      <c r="AH4554" s="13"/>
      <c r="AI4554" s="13"/>
      <c r="AJ4554" s="13"/>
      <c r="AK4554" s="13"/>
      <c r="AL4554" s="8"/>
      <c r="AU4554" s="13"/>
      <c r="AV4554" s="13"/>
      <c r="CU4554" s="13"/>
      <c r="DG4554" s="13"/>
    </row>
    <row r="4555" spans="1:111" x14ac:dyDescent="0.2">
      <c r="A4555" s="13"/>
      <c r="B4555" s="14"/>
      <c r="C4555" s="13"/>
      <c r="E4555" s="13"/>
      <c r="N4555" s="13"/>
      <c r="O4555" s="13"/>
      <c r="P4555" s="13"/>
      <c r="Q4555" s="13"/>
      <c r="R4555" s="13"/>
      <c r="S4555" s="13"/>
      <c r="T4555" s="13"/>
      <c r="U4555" s="13"/>
      <c r="V4555" s="13"/>
      <c r="AC4555" s="13"/>
      <c r="AD4555" s="13"/>
      <c r="AE4555" s="13"/>
      <c r="AG4555" s="13"/>
      <c r="AH4555" s="13"/>
      <c r="AI4555" s="13"/>
      <c r="AJ4555" s="13"/>
      <c r="AK4555" s="13"/>
      <c r="AL4555" s="8"/>
      <c r="AU4555" s="13"/>
      <c r="AV4555" s="13"/>
      <c r="CU4555" s="13"/>
      <c r="DG4555" s="13"/>
    </row>
    <row r="4556" spans="1:111" x14ac:dyDescent="0.2">
      <c r="A4556" s="13"/>
      <c r="B4556" s="14"/>
      <c r="C4556" s="13"/>
      <c r="E4556" s="13"/>
      <c r="N4556" s="13"/>
      <c r="O4556" s="13"/>
      <c r="P4556" s="13"/>
      <c r="Q4556" s="13"/>
      <c r="R4556" s="13"/>
      <c r="S4556" s="13"/>
      <c r="T4556" s="13"/>
      <c r="U4556" s="13"/>
      <c r="V4556" s="13"/>
      <c r="AC4556" s="13"/>
      <c r="AD4556" s="13"/>
      <c r="AE4556" s="13"/>
      <c r="AG4556" s="13"/>
      <c r="AH4556" s="13"/>
      <c r="AI4556" s="13"/>
      <c r="AJ4556" s="13"/>
      <c r="AK4556" s="13"/>
      <c r="AL4556" s="8"/>
      <c r="AU4556" s="13"/>
      <c r="AV4556" s="13"/>
      <c r="CU4556" s="13"/>
      <c r="DG4556" s="13"/>
    </row>
    <row r="4557" spans="1:111" x14ac:dyDescent="0.2">
      <c r="A4557" s="13"/>
      <c r="B4557" s="14"/>
      <c r="C4557" s="13"/>
      <c r="E4557" s="13"/>
      <c r="N4557" s="13"/>
      <c r="O4557" s="13"/>
      <c r="P4557" s="13"/>
      <c r="Q4557" s="13"/>
      <c r="R4557" s="13"/>
      <c r="S4557" s="13"/>
      <c r="T4557" s="13"/>
      <c r="U4557" s="13"/>
      <c r="V4557" s="13"/>
      <c r="AC4557" s="13"/>
      <c r="AD4557" s="13"/>
      <c r="AE4557" s="13"/>
      <c r="AG4557" s="13"/>
      <c r="AH4557" s="13"/>
      <c r="AI4557" s="13"/>
      <c r="AJ4557" s="13"/>
      <c r="AK4557" s="13"/>
      <c r="AL4557" s="8"/>
      <c r="AU4557" s="13"/>
      <c r="AV4557" s="13"/>
      <c r="CU4557" s="13"/>
      <c r="DG4557" s="13"/>
    </row>
    <row r="4558" spans="1:111" x14ac:dyDescent="0.2">
      <c r="A4558" s="13"/>
      <c r="B4558" s="14"/>
      <c r="C4558" s="13"/>
      <c r="E4558" s="13"/>
      <c r="N4558" s="13"/>
      <c r="O4558" s="13"/>
      <c r="P4558" s="13"/>
      <c r="Q4558" s="13"/>
      <c r="R4558" s="13"/>
      <c r="S4558" s="13"/>
      <c r="T4558" s="13"/>
      <c r="U4558" s="13"/>
      <c r="V4558" s="13"/>
      <c r="AC4558" s="13"/>
      <c r="AD4558" s="13"/>
      <c r="AE4558" s="13"/>
      <c r="AG4558" s="13"/>
      <c r="AH4558" s="13"/>
      <c r="AI4558" s="13"/>
      <c r="AJ4558" s="13"/>
      <c r="AK4558" s="13"/>
      <c r="AL4558" s="8"/>
      <c r="AU4558" s="13"/>
      <c r="AV4558" s="13"/>
      <c r="CU4558" s="13"/>
      <c r="DG4558" s="13"/>
    </row>
    <row r="4559" spans="1:111" x14ac:dyDescent="0.2">
      <c r="A4559" s="13"/>
      <c r="B4559" s="14"/>
      <c r="C4559" s="13"/>
      <c r="E4559" s="13"/>
      <c r="N4559" s="13"/>
      <c r="O4559" s="13"/>
      <c r="P4559" s="13"/>
      <c r="Q4559" s="13"/>
      <c r="R4559" s="13"/>
      <c r="S4559" s="13"/>
      <c r="T4559" s="13"/>
      <c r="U4559" s="13"/>
      <c r="V4559" s="13"/>
      <c r="AC4559" s="13"/>
      <c r="AD4559" s="13"/>
      <c r="AE4559" s="13"/>
      <c r="AG4559" s="13"/>
      <c r="AH4559" s="13"/>
      <c r="AI4559" s="13"/>
      <c r="AJ4559" s="13"/>
      <c r="AK4559" s="13"/>
      <c r="AL4559" s="8"/>
      <c r="AU4559" s="13"/>
      <c r="AV4559" s="13"/>
      <c r="CU4559" s="13"/>
      <c r="DG4559" s="13"/>
    </row>
    <row r="4560" spans="1:111" x14ac:dyDescent="0.2">
      <c r="A4560" s="13"/>
      <c r="B4560" s="14"/>
      <c r="C4560" s="13"/>
      <c r="E4560" s="13"/>
      <c r="N4560" s="13"/>
      <c r="O4560" s="13"/>
      <c r="P4560" s="13"/>
      <c r="Q4560" s="13"/>
      <c r="R4560" s="13"/>
      <c r="S4560" s="13"/>
      <c r="T4560" s="13"/>
      <c r="U4560" s="13"/>
      <c r="V4560" s="13"/>
      <c r="AC4560" s="13"/>
      <c r="AD4560" s="13"/>
      <c r="AE4560" s="13"/>
      <c r="AG4560" s="13"/>
      <c r="AH4560" s="13"/>
      <c r="AI4560" s="13"/>
      <c r="AJ4560" s="13"/>
      <c r="AK4560" s="13"/>
      <c r="AL4560" s="8"/>
      <c r="AU4560" s="13"/>
      <c r="AV4560" s="13"/>
      <c r="CU4560" s="13"/>
      <c r="DG4560" s="13"/>
    </row>
    <row r="4561" spans="1:111" x14ac:dyDescent="0.2">
      <c r="A4561" s="13"/>
      <c r="B4561" s="14"/>
      <c r="C4561" s="13"/>
      <c r="E4561" s="13"/>
      <c r="N4561" s="13"/>
      <c r="O4561" s="13"/>
      <c r="P4561" s="13"/>
      <c r="Q4561" s="13"/>
      <c r="R4561" s="13"/>
      <c r="S4561" s="13"/>
      <c r="T4561" s="13"/>
      <c r="U4561" s="13"/>
      <c r="V4561" s="13"/>
      <c r="AC4561" s="13"/>
      <c r="AD4561" s="13"/>
      <c r="AE4561" s="13"/>
      <c r="AG4561" s="13"/>
      <c r="AH4561" s="13"/>
      <c r="AI4561" s="13"/>
      <c r="AJ4561" s="13"/>
      <c r="AK4561" s="13"/>
      <c r="AL4561" s="8"/>
      <c r="AU4561" s="13"/>
      <c r="AV4561" s="13"/>
      <c r="CU4561" s="13"/>
      <c r="DG4561" s="13"/>
    </row>
    <row r="4562" spans="1:111" x14ac:dyDescent="0.2">
      <c r="A4562" s="13"/>
      <c r="B4562" s="14"/>
      <c r="C4562" s="13"/>
      <c r="E4562" s="13"/>
      <c r="N4562" s="13"/>
      <c r="O4562" s="13"/>
      <c r="P4562" s="13"/>
      <c r="Q4562" s="13"/>
      <c r="R4562" s="13"/>
      <c r="S4562" s="13"/>
      <c r="T4562" s="13"/>
      <c r="U4562" s="13"/>
      <c r="V4562" s="13"/>
      <c r="AC4562" s="13"/>
      <c r="AD4562" s="13"/>
      <c r="AE4562" s="13"/>
      <c r="AG4562" s="13"/>
      <c r="AH4562" s="13"/>
      <c r="AI4562" s="13"/>
      <c r="AJ4562" s="13"/>
      <c r="AK4562" s="13"/>
      <c r="AL4562" s="8"/>
      <c r="AU4562" s="13"/>
      <c r="AV4562" s="13"/>
      <c r="CU4562" s="13"/>
      <c r="DG4562" s="13"/>
    </row>
    <row r="4563" spans="1:111" x14ac:dyDescent="0.2">
      <c r="A4563" s="13"/>
      <c r="B4563" s="14"/>
      <c r="C4563" s="13"/>
      <c r="E4563" s="13"/>
      <c r="N4563" s="13"/>
      <c r="O4563" s="13"/>
      <c r="P4563" s="13"/>
      <c r="Q4563" s="13"/>
      <c r="R4563" s="13"/>
      <c r="S4563" s="13"/>
      <c r="T4563" s="13"/>
      <c r="U4563" s="13"/>
      <c r="V4563" s="13"/>
      <c r="AC4563" s="13"/>
      <c r="AD4563" s="13"/>
      <c r="AE4563" s="13"/>
      <c r="AG4563" s="13"/>
      <c r="AH4563" s="13"/>
      <c r="AI4563" s="13"/>
      <c r="AJ4563" s="13"/>
      <c r="AK4563" s="13"/>
      <c r="AL4563" s="8"/>
      <c r="AU4563" s="13"/>
      <c r="AV4563" s="13"/>
      <c r="CU4563" s="13"/>
      <c r="DG4563" s="13"/>
    </row>
    <row r="4564" spans="1:111" x14ac:dyDescent="0.2">
      <c r="A4564" s="13"/>
      <c r="B4564" s="14"/>
      <c r="C4564" s="13"/>
      <c r="E4564" s="13"/>
      <c r="N4564" s="13"/>
      <c r="O4564" s="13"/>
      <c r="P4564" s="13"/>
      <c r="Q4564" s="13"/>
      <c r="R4564" s="13"/>
      <c r="S4564" s="13"/>
      <c r="T4564" s="13"/>
      <c r="U4564" s="13"/>
      <c r="V4564" s="13"/>
      <c r="AC4564" s="13"/>
      <c r="AD4564" s="13"/>
      <c r="AE4564" s="13"/>
      <c r="AG4564" s="13"/>
      <c r="AH4564" s="13"/>
      <c r="AI4564" s="13"/>
      <c r="AJ4564" s="13"/>
      <c r="AK4564" s="13"/>
      <c r="AL4564" s="8"/>
      <c r="AU4564" s="13"/>
      <c r="AV4564" s="13"/>
      <c r="CU4564" s="13"/>
      <c r="DG4564" s="13"/>
    </row>
    <row r="4565" spans="1:111" x14ac:dyDescent="0.2">
      <c r="A4565" s="13"/>
      <c r="B4565" s="14"/>
      <c r="C4565" s="13"/>
      <c r="E4565" s="13"/>
      <c r="N4565" s="13"/>
      <c r="O4565" s="13"/>
      <c r="P4565" s="13"/>
      <c r="Q4565" s="13"/>
      <c r="R4565" s="13"/>
      <c r="S4565" s="13"/>
      <c r="T4565" s="13"/>
      <c r="U4565" s="13"/>
      <c r="V4565" s="13"/>
      <c r="AC4565" s="13"/>
      <c r="AD4565" s="13"/>
      <c r="AE4565" s="13"/>
      <c r="AG4565" s="13"/>
      <c r="AH4565" s="13"/>
      <c r="AI4565" s="13"/>
      <c r="AJ4565" s="13"/>
      <c r="AK4565" s="13"/>
      <c r="AL4565" s="8"/>
      <c r="AU4565" s="13"/>
      <c r="AV4565" s="13"/>
      <c r="CU4565" s="13"/>
      <c r="DG4565" s="13"/>
    </row>
    <row r="4566" spans="1:111" x14ac:dyDescent="0.2">
      <c r="A4566" s="13"/>
      <c r="B4566" s="14"/>
      <c r="C4566" s="13"/>
      <c r="E4566" s="13"/>
      <c r="N4566" s="13"/>
      <c r="O4566" s="13"/>
      <c r="P4566" s="13"/>
      <c r="Q4566" s="13"/>
      <c r="R4566" s="13"/>
      <c r="S4566" s="13"/>
      <c r="T4566" s="13"/>
      <c r="U4566" s="13"/>
      <c r="V4566" s="13"/>
      <c r="AC4566" s="13"/>
      <c r="AD4566" s="13"/>
      <c r="AE4566" s="13"/>
      <c r="AG4566" s="13"/>
      <c r="AH4566" s="13"/>
      <c r="AI4566" s="13"/>
      <c r="AJ4566" s="13"/>
      <c r="AK4566" s="13"/>
      <c r="AL4566" s="8"/>
      <c r="AU4566" s="13"/>
      <c r="AV4566" s="13"/>
      <c r="CU4566" s="13"/>
      <c r="DG4566" s="13"/>
    </row>
    <row r="4567" spans="1:111" x14ac:dyDescent="0.2">
      <c r="A4567" s="13"/>
      <c r="B4567" s="14"/>
      <c r="C4567" s="13"/>
      <c r="E4567" s="13"/>
      <c r="N4567" s="13"/>
      <c r="O4567" s="13"/>
      <c r="P4567" s="13"/>
      <c r="Q4567" s="13"/>
      <c r="R4567" s="13"/>
      <c r="S4567" s="13"/>
      <c r="T4567" s="13"/>
      <c r="U4567" s="13"/>
      <c r="V4567" s="13"/>
      <c r="AC4567" s="13"/>
      <c r="AD4567" s="13"/>
      <c r="AE4567" s="13"/>
      <c r="AG4567" s="13"/>
      <c r="AH4567" s="13"/>
      <c r="AI4567" s="13"/>
      <c r="AJ4567" s="13"/>
      <c r="AK4567" s="13"/>
      <c r="AL4567" s="8"/>
      <c r="AU4567" s="13"/>
      <c r="AV4567" s="13"/>
      <c r="CU4567" s="13"/>
      <c r="DG4567" s="13"/>
    </row>
    <row r="4568" spans="1:111" x14ac:dyDescent="0.2">
      <c r="A4568" s="13"/>
      <c r="B4568" s="14"/>
      <c r="C4568" s="13"/>
      <c r="E4568" s="13"/>
      <c r="N4568" s="13"/>
      <c r="O4568" s="13"/>
      <c r="P4568" s="13"/>
      <c r="Q4568" s="13"/>
      <c r="R4568" s="13"/>
      <c r="S4568" s="13"/>
      <c r="T4568" s="13"/>
      <c r="U4568" s="13"/>
      <c r="V4568" s="13"/>
      <c r="AC4568" s="13"/>
      <c r="AD4568" s="13"/>
      <c r="AE4568" s="13"/>
      <c r="AG4568" s="13"/>
      <c r="AH4568" s="13"/>
      <c r="AI4568" s="13"/>
      <c r="AJ4568" s="13"/>
      <c r="AK4568" s="13"/>
      <c r="AL4568" s="8"/>
      <c r="AU4568" s="13"/>
      <c r="AV4568" s="13"/>
      <c r="CU4568" s="13"/>
      <c r="DG4568" s="13"/>
    </row>
    <row r="4569" spans="1:111" x14ac:dyDescent="0.2">
      <c r="A4569" s="13"/>
      <c r="B4569" s="14"/>
      <c r="C4569" s="13"/>
      <c r="E4569" s="13"/>
      <c r="N4569" s="13"/>
      <c r="O4569" s="13"/>
      <c r="P4569" s="13"/>
      <c r="Q4569" s="13"/>
      <c r="R4569" s="13"/>
      <c r="S4569" s="13"/>
      <c r="T4569" s="13"/>
      <c r="U4569" s="13"/>
      <c r="V4569" s="13"/>
      <c r="AC4569" s="13"/>
      <c r="AD4569" s="13"/>
      <c r="AE4569" s="13"/>
      <c r="AG4569" s="13"/>
      <c r="AH4569" s="13"/>
      <c r="AI4569" s="13"/>
      <c r="AJ4569" s="13"/>
      <c r="AK4569" s="13"/>
      <c r="AL4569" s="8"/>
      <c r="AU4569" s="13"/>
      <c r="AV4569" s="13"/>
      <c r="CU4569" s="13"/>
      <c r="DG4569" s="13"/>
    </row>
    <row r="4570" spans="1:111" x14ac:dyDescent="0.2">
      <c r="A4570" s="13"/>
      <c r="B4570" s="14"/>
      <c r="C4570" s="13"/>
      <c r="E4570" s="13"/>
      <c r="N4570" s="13"/>
      <c r="O4570" s="13"/>
      <c r="P4570" s="13"/>
      <c r="Q4570" s="13"/>
      <c r="R4570" s="13"/>
      <c r="S4570" s="13"/>
      <c r="T4570" s="13"/>
      <c r="U4570" s="13"/>
      <c r="V4570" s="13"/>
      <c r="AC4570" s="13"/>
      <c r="AD4570" s="13"/>
      <c r="AE4570" s="13"/>
      <c r="AG4570" s="13"/>
      <c r="AH4570" s="13"/>
      <c r="AI4570" s="13"/>
      <c r="AJ4570" s="13"/>
      <c r="AK4570" s="13"/>
      <c r="AL4570" s="8"/>
      <c r="AU4570" s="13"/>
      <c r="AV4570" s="13"/>
      <c r="CU4570" s="13"/>
      <c r="DG4570" s="13"/>
    </row>
    <row r="4571" spans="1:111" x14ac:dyDescent="0.2">
      <c r="A4571" s="13"/>
      <c r="B4571" s="14"/>
      <c r="C4571" s="13"/>
      <c r="E4571" s="13"/>
      <c r="N4571" s="13"/>
      <c r="O4571" s="13"/>
      <c r="P4571" s="13"/>
      <c r="Q4571" s="13"/>
      <c r="R4571" s="13"/>
      <c r="S4571" s="13"/>
      <c r="T4571" s="13"/>
      <c r="U4571" s="13"/>
      <c r="V4571" s="13"/>
      <c r="AC4571" s="13"/>
      <c r="AD4571" s="13"/>
      <c r="AE4571" s="13"/>
      <c r="AG4571" s="13"/>
      <c r="AH4571" s="13"/>
      <c r="AI4571" s="13"/>
      <c r="AJ4571" s="13"/>
      <c r="AK4571" s="13"/>
      <c r="AL4571" s="8"/>
      <c r="AU4571" s="13"/>
      <c r="AV4571" s="13"/>
      <c r="CU4571" s="13"/>
      <c r="DG4571" s="13"/>
    </row>
    <row r="4572" spans="1:111" x14ac:dyDescent="0.2">
      <c r="A4572" s="13"/>
      <c r="B4572" s="14"/>
      <c r="C4572" s="13"/>
      <c r="E4572" s="13"/>
      <c r="N4572" s="13"/>
      <c r="O4572" s="13"/>
      <c r="P4572" s="13"/>
      <c r="Q4572" s="13"/>
      <c r="R4572" s="13"/>
      <c r="S4572" s="13"/>
      <c r="T4572" s="13"/>
      <c r="U4572" s="13"/>
      <c r="V4572" s="13"/>
      <c r="AC4572" s="13"/>
      <c r="AD4572" s="13"/>
      <c r="AE4572" s="13"/>
      <c r="AG4572" s="13"/>
      <c r="AH4572" s="13"/>
      <c r="AI4572" s="13"/>
      <c r="AJ4572" s="13"/>
      <c r="AK4572" s="13"/>
      <c r="AL4572" s="8"/>
      <c r="AU4572" s="13"/>
      <c r="AV4572" s="13"/>
      <c r="CU4572" s="13"/>
      <c r="DG4572" s="13"/>
    </row>
    <row r="4573" spans="1:111" x14ac:dyDescent="0.2">
      <c r="A4573" s="13"/>
      <c r="B4573" s="14"/>
      <c r="C4573" s="13"/>
      <c r="E4573" s="13"/>
      <c r="N4573" s="13"/>
      <c r="O4573" s="13"/>
      <c r="P4573" s="13"/>
      <c r="Q4573" s="13"/>
      <c r="R4573" s="13"/>
      <c r="S4573" s="13"/>
      <c r="T4573" s="13"/>
      <c r="U4573" s="13"/>
      <c r="V4573" s="13"/>
      <c r="AC4573" s="13"/>
      <c r="AD4573" s="13"/>
      <c r="AE4573" s="13"/>
      <c r="AG4573" s="13"/>
      <c r="AH4573" s="13"/>
      <c r="AI4573" s="13"/>
      <c r="AJ4573" s="13"/>
      <c r="AK4573" s="13"/>
      <c r="AL4573" s="8"/>
      <c r="AU4573" s="13"/>
      <c r="AV4573" s="13"/>
      <c r="CU4573" s="13"/>
      <c r="DG4573" s="13"/>
    </row>
    <row r="4574" spans="1:111" x14ac:dyDescent="0.2">
      <c r="A4574" s="13"/>
      <c r="B4574" s="14"/>
      <c r="C4574" s="13"/>
      <c r="E4574" s="13"/>
      <c r="N4574" s="13"/>
      <c r="O4574" s="13"/>
      <c r="P4574" s="13"/>
      <c r="Q4574" s="13"/>
      <c r="R4574" s="13"/>
      <c r="S4574" s="13"/>
      <c r="T4574" s="13"/>
      <c r="U4574" s="13"/>
      <c r="V4574" s="13"/>
      <c r="AC4574" s="13"/>
      <c r="AD4574" s="13"/>
      <c r="AE4574" s="13"/>
      <c r="AG4574" s="13"/>
      <c r="AH4574" s="13"/>
      <c r="AI4574" s="13"/>
      <c r="AJ4574" s="13"/>
      <c r="AK4574" s="13"/>
      <c r="AL4574" s="8"/>
      <c r="AU4574" s="13"/>
      <c r="AV4574" s="13"/>
      <c r="CU4574" s="13"/>
      <c r="DG4574" s="13"/>
    </row>
    <row r="4575" spans="1:111" x14ac:dyDescent="0.2">
      <c r="A4575" s="13"/>
      <c r="B4575" s="14"/>
      <c r="C4575" s="13"/>
      <c r="E4575" s="13"/>
      <c r="N4575" s="13"/>
      <c r="O4575" s="13"/>
      <c r="P4575" s="13"/>
      <c r="Q4575" s="13"/>
      <c r="R4575" s="13"/>
      <c r="S4575" s="13"/>
      <c r="T4575" s="13"/>
      <c r="U4575" s="13"/>
      <c r="V4575" s="13"/>
      <c r="AC4575" s="13"/>
      <c r="AD4575" s="13"/>
      <c r="AE4575" s="13"/>
      <c r="AG4575" s="13"/>
      <c r="AH4575" s="13"/>
      <c r="AI4575" s="13"/>
      <c r="AJ4575" s="13"/>
      <c r="AK4575" s="13"/>
      <c r="AL4575" s="8"/>
      <c r="AU4575" s="13"/>
      <c r="AV4575" s="13"/>
      <c r="CU4575" s="13"/>
      <c r="DG4575" s="13"/>
    </row>
    <row r="4576" spans="1:111" x14ac:dyDescent="0.2">
      <c r="A4576" s="13"/>
      <c r="B4576" s="14"/>
      <c r="C4576" s="13"/>
      <c r="E4576" s="13"/>
      <c r="N4576" s="13"/>
      <c r="O4576" s="13"/>
      <c r="P4576" s="13"/>
      <c r="Q4576" s="13"/>
      <c r="R4576" s="13"/>
      <c r="S4576" s="13"/>
      <c r="T4576" s="13"/>
      <c r="U4576" s="13"/>
      <c r="V4576" s="13"/>
      <c r="AC4576" s="13"/>
      <c r="AD4576" s="13"/>
      <c r="AE4576" s="13"/>
      <c r="AG4576" s="13"/>
      <c r="AH4576" s="13"/>
      <c r="AI4576" s="13"/>
      <c r="AJ4576" s="13"/>
      <c r="AK4576" s="13"/>
      <c r="AL4576" s="8"/>
      <c r="AU4576" s="13"/>
      <c r="AV4576" s="13"/>
      <c r="CU4576" s="13"/>
      <c r="DG4576" s="13"/>
    </row>
    <row r="4577" spans="1:111" x14ac:dyDescent="0.2">
      <c r="A4577" s="13"/>
      <c r="B4577" s="14"/>
      <c r="C4577" s="13"/>
      <c r="E4577" s="13"/>
      <c r="N4577" s="13"/>
      <c r="O4577" s="13"/>
      <c r="P4577" s="13"/>
      <c r="Q4577" s="13"/>
      <c r="R4577" s="13"/>
      <c r="S4577" s="13"/>
      <c r="T4577" s="13"/>
      <c r="U4577" s="13"/>
      <c r="V4577" s="13"/>
      <c r="AC4577" s="13"/>
      <c r="AD4577" s="13"/>
      <c r="AE4577" s="13"/>
      <c r="AG4577" s="13"/>
      <c r="AH4577" s="13"/>
      <c r="AI4577" s="13"/>
      <c r="AJ4577" s="13"/>
      <c r="AK4577" s="13"/>
      <c r="AL4577" s="8"/>
      <c r="AU4577" s="13"/>
      <c r="AV4577" s="13"/>
      <c r="CU4577" s="13"/>
      <c r="DG4577" s="13"/>
    </row>
    <row r="4578" spans="1:111" x14ac:dyDescent="0.2">
      <c r="A4578" s="13"/>
      <c r="B4578" s="14"/>
      <c r="C4578" s="13"/>
      <c r="E4578" s="13"/>
      <c r="N4578" s="13"/>
      <c r="O4578" s="13"/>
      <c r="P4578" s="13"/>
      <c r="Q4578" s="13"/>
      <c r="R4578" s="13"/>
      <c r="S4578" s="13"/>
      <c r="T4578" s="13"/>
      <c r="U4578" s="13"/>
      <c r="V4578" s="13"/>
      <c r="AC4578" s="13"/>
      <c r="AD4578" s="13"/>
      <c r="AE4578" s="13"/>
      <c r="AG4578" s="13"/>
      <c r="AH4578" s="13"/>
      <c r="AI4578" s="13"/>
      <c r="AJ4578" s="13"/>
      <c r="AK4578" s="13"/>
      <c r="AL4578" s="8"/>
      <c r="AU4578" s="13"/>
      <c r="AV4578" s="13"/>
      <c r="CU4578" s="13"/>
      <c r="DG4578" s="13"/>
    </row>
    <row r="4579" spans="1:111" x14ac:dyDescent="0.2">
      <c r="A4579" s="13"/>
      <c r="B4579" s="14"/>
      <c r="C4579" s="13"/>
      <c r="E4579" s="13"/>
      <c r="N4579" s="13"/>
      <c r="O4579" s="13"/>
      <c r="P4579" s="13"/>
      <c r="Q4579" s="13"/>
      <c r="R4579" s="13"/>
      <c r="S4579" s="13"/>
      <c r="T4579" s="13"/>
      <c r="U4579" s="13"/>
      <c r="V4579" s="13"/>
      <c r="AC4579" s="13"/>
      <c r="AD4579" s="13"/>
      <c r="AE4579" s="13"/>
      <c r="AG4579" s="13"/>
      <c r="AH4579" s="13"/>
      <c r="AI4579" s="13"/>
      <c r="AJ4579" s="13"/>
      <c r="AK4579" s="13"/>
      <c r="AL4579" s="8"/>
      <c r="AU4579" s="13"/>
      <c r="AV4579" s="13"/>
      <c r="CU4579" s="13"/>
      <c r="DG4579" s="13"/>
    </row>
    <row r="4580" spans="1:111" x14ac:dyDescent="0.2">
      <c r="A4580" s="13"/>
      <c r="B4580" s="14"/>
      <c r="C4580" s="13"/>
      <c r="E4580" s="13"/>
      <c r="N4580" s="13"/>
      <c r="O4580" s="13"/>
      <c r="P4580" s="13"/>
      <c r="Q4580" s="13"/>
      <c r="R4580" s="13"/>
      <c r="S4580" s="13"/>
      <c r="T4580" s="13"/>
      <c r="U4580" s="13"/>
      <c r="V4580" s="13"/>
      <c r="AC4580" s="13"/>
      <c r="AD4580" s="13"/>
      <c r="AE4580" s="13"/>
      <c r="AG4580" s="13"/>
      <c r="AH4580" s="13"/>
      <c r="AI4580" s="13"/>
      <c r="AJ4580" s="13"/>
      <c r="AK4580" s="13"/>
      <c r="AL4580" s="8"/>
      <c r="AU4580" s="13"/>
      <c r="AV4580" s="13"/>
      <c r="CU4580" s="13"/>
      <c r="DG4580" s="13"/>
    </row>
    <row r="4581" spans="1:111" x14ac:dyDescent="0.2">
      <c r="A4581" s="13"/>
      <c r="B4581" s="14"/>
      <c r="C4581" s="13"/>
      <c r="E4581" s="13"/>
      <c r="N4581" s="13"/>
      <c r="O4581" s="13"/>
      <c r="P4581" s="13"/>
      <c r="Q4581" s="13"/>
      <c r="R4581" s="13"/>
      <c r="S4581" s="13"/>
      <c r="T4581" s="13"/>
      <c r="U4581" s="13"/>
      <c r="V4581" s="13"/>
      <c r="AC4581" s="13"/>
      <c r="AD4581" s="13"/>
      <c r="AE4581" s="13"/>
      <c r="AG4581" s="13"/>
      <c r="AH4581" s="13"/>
      <c r="AI4581" s="13"/>
      <c r="AJ4581" s="13"/>
      <c r="AK4581" s="13"/>
      <c r="AL4581" s="8"/>
      <c r="AU4581" s="13"/>
      <c r="AV4581" s="13"/>
      <c r="CU4581" s="13"/>
      <c r="DG4581" s="13"/>
    </row>
    <row r="4582" spans="1:111" x14ac:dyDescent="0.2">
      <c r="A4582" s="13"/>
      <c r="B4582" s="14"/>
      <c r="C4582" s="13"/>
      <c r="E4582" s="13"/>
      <c r="N4582" s="13"/>
      <c r="O4582" s="13"/>
      <c r="P4582" s="13"/>
      <c r="Q4582" s="13"/>
      <c r="R4582" s="13"/>
      <c r="S4582" s="13"/>
      <c r="T4582" s="13"/>
      <c r="U4582" s="13"/>
      <c r="V4582" s="13"/>
      <c r="AC4582" s="13"/>
      <c r="AD4582" s="13"/>
      <c r="AE4582" s="13"/>
      <c r="AG4582" s="13"/>
      <c r="AH4582" s="13"/>
      <c r="AI4582" s="13"/>
      <c r="AJ4582" s="13"/>
      <c r="AK4582" s="13"/>
      <c r="AL4582" s="8"/>
      <c r="AU4582" s="13"/>
      <c r="AV4582" s="13"/>
      <c r="CU4582" s="13"/>
      <c r="DG4582" s="13"/>
    </row>
    <row r="4583" spans="1:111" x14ac:dyDescent="0.2">
      <c r="A4583" s="13"/>
      <c r="B4583" s="14"/>
      <c r="C4583" s="13"/>
      <c r="E4583" s="13"/>
      <c r="N4583" s="13"/>
      <c r="O4583" s="13"/>
      <c r="P4583" s="13"/>
      <c r="Q4583" s="13"/>
      <c r="R4583" s="13"/>
      <c r="S4583" s="13"/>
      <c r="T4583" s="13"/>
      <c r="U4583" s="13"/>
      <c r="V4583" s="13"/>
      <c r="AC4583" s="13"/>
      <c r="AD4583" s="13"/>
      <c r="AE4583" s="13"/>
      <c r="AG4583" s="13"/>
      <c r="AH4583" s="13"/>
      <c r="AI4583" s="13"/>
      <c r="AJ4583" s="13"/>
      <c r="AK4583" s="13"/>
      <c r="AL4583" s="8"/>
      <c r="AU4583" s="13"/>
      <c r="AV4583" s="13"/>
      <c r="CU4583" s="13"/>
      <c r="DG4583" s="13"/>
    </row>
    <row r="4584" spans="1:111" x14ac:dyDescent="0.2">
      <c r="A4584" s="13"/>
      <c r="B4584" s="14"/>
      <c r="C4584" s="13"/>
      <c r="E4584" s="13"/>
      <c r="N4584" s="13"/>
      <c r="O4584" s="13"/>
      <c r="P4584" s="13"/>
      <c r="Q4584" s="13"/>
      <c r="R4584" s="13"/>
      <c r="S4584" s="13"/>
      <c r="T4584" s="13"/>
      <c r="U4584" s="13"/>
      <c r="V4584" s="13"/>
      <c r="AC4584" s="13"/>
      <c r="AD4584" s="13"/>
      <c r="AE4584" s="13"/>
      <c r="AG4584" s="13"/>
      <c r="AH4584" s="13"/>
      <c r="AI4584" s="13"/>
      <c r="AJ4584" s="13"/>
      <c r="AK4584" s="13"/>
      <c r="AL4584" s="8"/>
      <c r="AU4584" s="13"/>
      <c r="AV4584" s="13"/>
      <c r="CU4584" s="13"/>
      <c r="DG4584" s="13"/>
    </row>
    <row r="4585" spans="1:111" x14ac:dyDescent="0.2">
      <c r="A4585" s="13"/>
      <c r="B4585" s="14"/>
      <c r="C4585" s="13"/>
      <c r="E4585" s="13"/>
      <c r="N4585" s="13"/>
      <c r="O4585" s="13"/>
      <c r="P4585" s="13"/>
      <c r="Q4585" s="13"/>
      <c r="R4585" s="13"/>
      <c r="S4585" s="13"/>
      <c r="T4585" s="13"/>
      <c r="U4585" s="13"/>
      <c r="V4585" s="13"/>
      <c r="AC4585" s="13"/>
      <c r="AD4585" s="13"/>
      <c r="AE4585" s="13"/>
      <c r="AG4585" s="13"/>
      <c r="AH4585" s="13"/>
      <c r="AI4585" s="13"/>
      <c r="AJ4585" s="13"/>
      <c r="AK4585" s="13"/>
      <c r="AL4585" s="8"/>
      <c r="AU4585" s="13"/>
      <c r="AV4585" s="13"/>
      <c r="CU4585" s="13"/>
      <c r="DG4585" s="13"/>
    </row>
    <row r="4586" spans="1:111" x14ac:dyDescent="0.2">
      <c r="A4586" s="13"/>
      <c r="B4586" s="14"/>
      <c r="C4586" s="13"/>
      <c r="E4586" s="13"/>
      <c r="N4586" s="13"/>
      <c r="O4586" s="13"/>
      <c r="P4586" s="13"/>
      <c r="Q4586" s="13"/>
      <c r="R4586" s="13"/>
      <c r="S4586" s="13"/>
      <c r="T4586" s="13"/>
      <c r="U4586" s="13"/>
      <c r="V4586" s="13"/>
      <c r="AC4586" s="13"/>
      <c r="AD4586" s="13"/>
      <c r="AE4586" s="13"/>
      <c r="AG4586" s="13"/>
      <c r="AH4586" s="13"/>
      <c r="AI4586" s="13"/>
      <c r="AJ4586" s="13"/>
      <c r="AK4586" s="13"/>
      <c r="AL4586" s="8"/>
      <c r="AU4586" s="13"/>
      <c r="AV4586" s="13"/>
      <c r="CU4586" s="13"/>
      <c r="DG4586" s="13"/>
    </row>
    <row r="4587" spans="1:111" x14ac:dyDescent="0.2">
      <c r="A4587" s="13"/>
      <c r="B4587" s="14"/>
      <c r="C4587" s="13"/>
      <c r="E4587" s="13"/>
      <c r="N4587" s="13"/>
      <c r="O4587" s="13"/>
      <c r="P4587" s="13"/>
      <c r="Q4587" s="13"/>
      <c r="R4587" s="13"/>
      <c r="S4587" s="13"/>
      <c r="T4587" s="13"/>
      <c r="U4587" s="13"/>
      <c r="V4587" s="13"/>
      <c r="AC4587" s="13"/>
      <c r="AD4587" s="13"/>
      <c r="AE4587" s="13"/>
      <c r="AG4587" s="13"/>
      <c r="AH4587" s="13"/>
      <c r="AI4587" s="13"/>
      <c r="AJ4587" s="13"/>
      <c r="AK4587" s="13"/>
      <c r="AL4587" s="8"/>
      <c r="AU4587" s="13"/>
      <c r="AV4587" s="13"/>
      <c r="CU4587" s="13"/>
      <c r="DG4587" s="13"/>
    </row>
    <row r="4588" spans="1:111" x14ac:dyDescent="0.2">
      <c r="A4588" s="13"/>
      <c r="B4588" s="14"/>
      <c r="C4588" s="13"/>
      <c r="E4588" s="13"/>
      <c r="N4588" s="13"/>
      <c r="O4588" s="13"/>
      <c r="P4588" s="13"/>
      <c r="Q4588" s="13"/>
      <c r="R4588" s="13"/>
      <c r="S4588" s="13"/>
      <c r="T4588" s="13"/>
      <c r="U4588" s="13"/>
      <c r="V4588" s="13"/>
      <c r="AC4588" s="13"/>
      <c r="AD4588" s="13"/>
      <c r="AE4588" s="13"/>
      <c r="AG4588" s="13"/>
      <c r="AH4588" s="13"/>
      <c r="AI4588" s="13"/>
      <c r="AJ4588" s="13"/>
      <c r="AK4588" s="13"/>
      <c r="AL4588" s="8"/>
      <c r="AU4588" s="13"/>
      <c r="AV4588" s="13"/>
      <c r="CU4588" s="13"/>
      <c r="DG4588" s="13"/>
    </row>
    <row r="4589" spans="1:111" x14ac:dyDescent="0.2">
      <c r="A4589" s="13"/>
      <c r="B4589" s="14"/>
      <c r="C4589" s="13"/>
      <c r="E4589" s="13"/>
      <c r="N4589" s="13"/>
      <c r="O4589" s="13"/>
      <c r="P4589" s="13"/>
      <c r="Q4589" s="13"/>
      <c r="R4589" s="13"/>
      <c r="S4589" s="13"/>
      <c r="T4589" s="13"/>
      <c r="U4589" s="13"/>
      <c r="V4589" s="13"/>
      <c r="AC4589" s="13"/>
      <c r="AD4589" s="13"/>
      <c r="AE4589" s="13"/>
      <c r="AG4589" s="13"/>
      <c r="AH4589" s="13"/>
      <c r="AI4589" s="13"/>
      <c r="AJ4589" s="13"/>
      <c r="AK4589" s="13"/>
      <c r="AL4589" s="8"/>
      <c r="AU4589" s="13"/>
      <c r="AV4589" s="13"/>
      <c r="CU4589" s="13"/>
      <c r="DG4589" s="13"/>
    </row>
    <row r="4590" spans="1:111" x14ac:dyDescent="0.2">
      <c r="A4590" s="13"/>
      <c r="B4590" s="14"/>
      <c r="C4590" s="13"/>
      <c r="E4590" s="13"/>
      <c r="N4590" s="13"/>
      <c r="O4590" s="13"/>
      <c r="P4590" s="13"/>
      <c r="Q4590" s="13"/>
      <c r="R4590" s="13"/>
      <c r="S4590" s="13"/>
      <c r="T4590" s="13"/>
      <c r="U4590" s="13"/>
      <c r="V4590" s="13"/>
      <c r="AC4590" s="13"/>
      <c r="AD4590" s="13"/>
      <c r="AE4590" s="13"/>
      <c r="AG4590" s="13"/>
      <c r="AH4590" s="13"/>
      <c r="AI4590" s="13"/>
      <c r="AJ4590" s="13"/>
      <c r="AK4590" s="13"/>
      <c r="AL4590" s="8"/>
      <c r="AU4590" s="13"/>
      <c r="AV4590" s="13"/>
      <c r="CU4590" s="13"/>
      <c r="DG4590" s="13"/>
    </row>
    <row r="4591" spans="1:111" x14ac:dyDescent="0.2">
      <c r="A4591" s="13"/>
      <c r="B4591" s="14"/>
      <c r="C4591" s="13"/>
      <c r="E4591" s="13"/>
      <c r="N4591" s="13"/>
      <c r="O4591" s="13"/>
      <c r="P4591" s="13"/>
      <c r="Q4591" s="13"/>
      <c r="R4591" s="13"/>
      <c r="S4591" s="13"/>
      <c r="T4591" s="13"/>
      <c r="U4591" s="13"/>
      <c r="V4591" s="13"/>
      <c r="AC4591" s="13"/>
      <c r="AD4591" s="13"/>
      <c r="AE4591" s="13"/>
      <c r="AG4591" s="13"/>
      <c r="AH4591" s="13"/>
      <c r="AI4591" s="13"/>
      <c r="AJ4591" s="13"/>
      <c r="AK4591" s="13"/>
      <c r="AL4591" s="8"/>
      <c r="AU4591" s="13"/>
      <c r="AV4591" s="13"/>
      <c r="CU4591" s="13"/>
      <c r="DG4591" s="13"/>
    </row>
    <row r="4592" spans="1:111" x14ac:dyDescent="0.2">
      <c r="A4592" s="13"/>
      <c r="B4592" s="14"/>
      <c r="C4592" s="13"/>
      <c r="E4592" s="13"/>
      <c r="N4592" s="13"/>
      <c r="O4592" s="13"/>
      <c r="P4592" s="13"/>
      <c r="Q4592" s="13"/>
      <c r="R4592" s="13"/>
      <c r="S4592" s="13"/>
      <c r="T4592" s="13"/>
      <c r="U4592" s="13"/>
      <c r="V4592" s="13"/>
      <c r="AC4592" s="13"/>
      <c r="AD4592" s="13"/>
      <c r="AE4592" s="13"/>
      <c r="AG4592" s="13"/>
      <c r="AH4592" s="13"/>
      <c r="AI4592" s="13"/>
      <c r="AJ4592" s="13"/>
      <c r="AK4592" s="13"/>
      <c r="AL4592" s="8"/>
      <c r="AU4592" s="13"/>
      <c r="AV4592" s="13"/>
      <c r="CU4592" s="13"/>
      <c r="DG4592" s="13"/>
    </row>
    <row r="4593" spans="1:111" x14ac:dyDescent="0.2">
      <c r="A4593" s="13"/>
      <c r="B4593" s="14"/>
      <c r="C4593" s="13"/>
      <c r="E4593" s="13"/>
      <c r="N4593" s="13"/>
      <c r="O4593" s="13"/>
      <c r="P4593" s="13"/>
      <c r="Q4593" s="13"/>
      <c r="R4593" s="13"/>
      <c r="S4593" s="13"/>
      <c r="T4593" s="13"/>
      <c r="U4593" s="13"/>
      <c r="V4593" s="13"/>
      <c r="AC4593" s="13"/>
      <c r="AD4593" s="13"/>
      <c r="AE4593" s="13"/>
      <c r="AG4593" s="13"/>
      <c r="AH4593" s="13"/>
      <c r="AI4593" s="13"/>
      <c r="AJ4593" s="13"/>
      <c r="AK4593" s="13"/>
      <c r="AL4593" s="8"/>
      <c r="AU4593" s="13"/>
      <c r="AV4593" s="13"/>
      <c r="CU4593" s="13"/>
      <c r="DG4593" s="13"/>
    </row>
    <row r="4594" spans="1:111" x14ac:dyDescent="0.2">
      <c r="A4594" s="13"/>
      <c r="B4594" s="14"/>
      <c r="C4594" s="13"/>
      <c r="E4594" s="13"/>
      <c r="N4594" s="13"/>
      <c r="O4594" s="13"/>
      <c r="P4594" s="13"/>
      <c r="Q4594" s="13"/>
      <c r="R4594" s="13"/>
      <c r="S4594" s="13"/>
      <c r="T4594" s="13"/>
      <c r="U4594" s="13"/>
      <c r="V4594" s="13"/>
      <c r="AC4594" s="13"/>
      <c r="AD4594" s="13"/>
      <c r="AE4594" s="13"/>
      <c r="AG4594" s="13"/>
      <c r="AH4594" s="13"/>
      <c r="AI4594" s="13"/>
      <c r="AJ4594" s="13"/>
      <c r="AK4594" s="13"/>
      <c r="AL4594" s="8"/>
      <c r="AU4594" s="13"/>
      <c r="AV4594" s="13"/>
      <c r="CU4594" s="13"/>
      <c r="DG4594" s="13"/>
    </row>
    <row r="4595" spans="1:111" x14ac:dyDescent="0.2">
      <c r="A4595" s="13"/>
      <c r="B4595" s="14"/>
      <c r="C4595" s="13"/>
      <c r="E4595" s="13"/>
      <c r="N4595" s="13"/>
      <c r="O4595" s="13"/>
      <c r="P4595" s="13"/>
      <c r="Q4595" s="13"/>
      <c r="R4595" s="13"/>
      <c r="S4595" s="13"/>
      <c r="T4595" s="13"/>
      <c r="U4595" s="13"/>
      <c r="V4595" s="13"/>
      <c r="AC4595" s="13"/>
      <c r="AD4595" s="13"/>
      <c r="AE4595" s="13"/>
      <c r="AG4595" s="13"/>
      <c r="AH4595" s="13"/>
      <c r="AI4595" s="13"/>
      <c r="AJ4595" s="13"/>
      <c r="AK4595" s="13"/>
      <c r="AL4595" s="8"/>
      <c r="AU4595" s="13"/>
      <c r="AV4595" s="13"/>
      <c r="CU4595" s="13"/>
      <c r="DG4595" s="13"/>
    </row>
    <row r="4596" spans="1:111" x14ac:dyDescent="0.2">
      <c r="A4596" s="13"/>
      <c r="B4596" s="14"/>
      <c r="C4596" s="13"/>
      <c r="E4596" s="13"/>
      <c r="N4596" s="13"/>
      <c r="O4596" s="13"/>
      <c r="P4596" s="13"/>
      <c r="Q4596" s="13"/>
      <c r="R4596" s="13"/>
      <c r="S4596" s="13"/>
      <c r="T4596" s="13"/>
      <c r="U4596" s="13"/>
      <c r="V4596" s="13"/>
      <c r="AC4596" s="13"/>
      <c r="AD4596" s="13"/>
      <c r="AE4596" s="13"/>
      <c r="AG4596" s="13"/>
      <c r="AH4596" s="13"/>
      <c r="AI4596" s="13"/>
      <c r="AJ4596" s="13"/>
      <c r="AK4596" s="13"/>
      <c r="AL4596" s="8"/>
      <c r="AU4596" s="13"/>
      <c r="AV4596" s="13"/>
      <c r="CU4596" s="13"/>
      <c r="DG4596" s="13"/>
    </row>
    <row r="4597" spans="1:111" x14ac:dyDescent="0.2">
      <c r="A4597" s="13"/>
      <c r="B4597" s="14"/>
      <c r="C4597" s="13"/>
      <c r="E4597" s="13"/>
      <c r="N4597" s="13"/>
      <c r="O4597" s="13"/>
      <c r="P4597" s="13"/>
      <c r="Q4597" s="13"/>
      <c r="R4597" s="13"/>
      <c r="S4597" s="13"/>
      <c r="T4597" s="13"/>
      <c r="U4597" s="13"/>
      <c r="V4597" s="13"/>
      <c r="AC4597" s="13"/>
      <c r="AD4597" s="13"/>
      <c r="AE4597" s="13"/>
      <c r="AG4597" s="13"/>
      <c r="AH4597" s="13"/>
      <c r="AI4597" s="13"/>
      <c r="AJ4597" s="13"/>
      <c r="AK4597" s="13"/>
      <c r="AL4597" s="8"/>
      <c r="AU4597" s="13"/>
      <c r="AV4597" s="13"/>
      <c r="CU4597" s="13"/>
      <c r="DG4597" s="13"/>
    </row>
    <row r="4598" spans="1:111" x14ac:dyDescent="0.2">
      <c r="A4598" s="13"/>
      <c r="B4598" s="14"/>
      <c r="C4598" s="13"/>
      <c r="E4598" s="13"/>
      <c r="N4598" s="13"/>
      <c r="O4598" s="13"/>
      <c r="P4598" s="13"/>
      <c r="Q4598" s="13"/>
      <c r="R4598" s="13"/>
      <c r="S4598" s="13"/>
      <c r="T4598" s="13"/>
      <c r="U4598" s="13"/>
      <c r="V4598" s="13"/>
      <c r="AC4598" s="13"/>
      <c r="AD4598" s="13"/>
      <c r="AE4598" s="13"/>
      <c r="AG4598" s="13"/>
      <c r="AH4598" s="13"/>
      <c r="AI4598" s="13"/>
      <c r="AJ4598" s="13"/>
      <c r="AK4598" s="13"/>
      <c r="AL4598" s="8"/>
      <c r="AU4598" s="13"/>
      <c r="AV4598" s="13"/>
      <c r="CU4598" s="13"/>
      <c r="DG4598" s="13"/>
    </row>
    <row r="4599" spans="1:111" x14ac:dyDescent="0.2">
      <c r="A4599" s="13"/>
      <c r="B4599" s="14"/>
      <c r="C4599" s="13"/>
      <c r="E4599" s="13"/>
      <c r="N4599" s="13"/>
      <c r="O4599" s="13"/>
      <c r="P4599" s="13"/>
      <c r="Q4599" s="13"/>
      <c r="R4599" s="13"/>
      <c r="S4599" s="13"/>
      <c r="T4599" s="13"/>
      <c r="U4599" s="13"/>
      <c r="V4599" s="13"/>
      <c r="AC4599" s="13"/>
      <c r="AD4599" s="13"/>
      <c r="AE4599" s="13"/>
      <c r="AG4599" s="13"/>
      <c r="AH4599" s="13"/>
      <c r="AI4599" s="13"/>
      <c r="AJ4599" s="13"/>
      <c r="AK4599" s="13"/>
      <c r="AL4599" s="8"/>
      <c r="AU4599" s="13"/>
      <c r="AV4599" s="13"/>
      <c r="CU4599" s="13"/>
      <c r="DG4599" s="13"/>
    </row>
    <row r="4600" spans="1:111" x14ac:dyDescent="0.2">
      <c r="A4600" s="13"/>
      <c r="B4600" s="14"/>
      <c r="C4600" s="13"/>
      <c r="E4600" s="13"/>
      <c r="N4600" s="13"/>
      <c r="O4600" s="13"/>
      <c r="P4600" s="13"/>
      <c r="Q4600" s="13"/>
      <c r="R4600" s="13"/>
      <c r="S4600" s="13"/>
      <c r="T4600" s="13"/>
      <c r="U4600" s="13"/>
      <c r="V4600" s="13"/>
      <c r="AC4600" s="13"/>
      <c r="AD4600" s="13"/>
      <c r="AE4600" s="13"/>
      <c r="AG4600" s="13"/>
      <c r="AH4600" s="13"/>
      <c r="AI4600" s="13"/>
      <c r="AJ4600" s="13"/>
      <c r="AK4600" s="13"/>
      <c r="AL4600" s="8"/>
      <c r="AU4600" s="13"/>
      <c r="AV4600" s="13"/>
      <c r="CU4600" s="13"/>
      <c r="DG4600" s="13"/>
    </row>
    <row r="4601" spans="1:111" x14ac:dyDescent="0.2">
      <c r="A4601" s="13"/>
      <c r="B4601" s="14"/>
      <c r="C4601" s="13"/>
      <c r="E4601" s="13"/>
      <c r="N4601" s="13"/>
      <c r="O4601" s="13"/>
      <c r="P4601" s="13"/>
      <c r="Q4601" s="13"/>
      <c r="R4601" s="13"/>
      <c r="S4601" s="13"/>
      <c r="T4601" s="13"/>
      <c r="U4601" s="13"/>
      <c r="V4601" s="13"/>
      <c r="AC4601" s="13"/>
      <c r="AD4601" s="13"/>
      <c r="AE4601" s="13"/>
      <c r="AG4601" s="13"/>
      <c r="AH4601" s="13"/>
      <c r="AI4601" s="13"/>
      <c r="AJ4601" s="13"/>
      <c r="AK4601" s="13"/>
      <c r="AL4601" s="8"/>
      <c r="AU4601" s="13"/>
      <c r="AV4601" s="13"/>
      <c r="CU4601" s="13"/>
      <c r="DG4601" s="13"/>
    </row>
    <row r="4602" spans="1:111" x14ac:dyDescent="0.2">
      <c r="A4602" s="13"/>
      <c r="B4602" s="14"/>
      <c r="C4602" s="13"/>
      <c r="E4602" s="13"/>
      <c r="N4602" s="13"/>
      <c r="O4602" s="13"/>
      <c r="P4602" s="13"/>
      <c r="Q4602" s="13"/>
      <c r="R4602" s="13"/>
      <c r="S4602" s="13"/>
      <c r="T4602" s="13"/>
      <c r="U4602" s="13"/>
      <c r="V4602" s="13"/>
      <c r="AC4602" s="13"/>
      <c r="AD4602" s="13"/>
      <c r="AE4602" s="13"/>
      <c r="AG4602" s="13"/>
      <c r="AH4602" s="13"/>
      <c r="AI4602" s="13"/>
      <c r="AJ4602" s="13"/>
      <c r="AK4602" s="13"/>
      <c r="AL4602" s="8"/>
      <c r="AU4602" s="13"/>
      <c r="AV4602" s="13"/>
      <c r="CU4602" s="13"/>
      <c r="DG4602" s="13"/>
    </row>
    <row r="4603" spans="1:111" x14ac:dyDescent="0.2">
      <c r="A4603" s="13"/>
      <c r="B4603" s="14"/>
      <c r="C4603" s="13"/>
      <c r="E4603" s="13"/>
      <c r="N4603" s="13"/>
      <c r="O4603" s="13"/>
      <c r="P4603" s="13"/>
      <c r="Q4603" s="13"/>
      <c r="R4603" s="13"/>
      <c r="S4603" s="13"/>
      <c r="T4603" s="13"/>
      <c r="U4603" s="13"/>
      <c r="V4603" s="13"/>
      <c r="AC4603" s="13"/>
      <c r="AD4603" s="13"/>
      <c r="AE4603" s="13"/>
      <c r="AG4603" s="13"/>
      <c r="AH4603" s="13"/>
      <c r="AI4603" s="13"/>
      <c r="AJ4603" s="13"/>
      <c r="AK4603" s="13"/>
      <c r="AL4603" s="8"/>
      <c r="AU4603" s="13"/>
      <c r="AV4603" s="13"/>
      <c r="CU4603" s="13"/>
      <c r="DG4603" s="13"/>
    </row>
    <row r="4604" spans="1:111" x14ac:dyDescent="0.2">
      <c r="A4604" s="13"/>
      <c r="B4604" s="14"/>
      <c r="C4604" s="13"/>
      <c r="E4604" s="13"/>
      <c r="N4604" s="13"/>
      <c r="O4604" s="13"/>
      <c r="P4604" s="13"/>
      <c r="Q4604" s="13"/>
      <c r="R4604" s="13"/>
      <c r="S4604" s="13"/>
      <c r="T4604" s="13"/>
      <c r="U4604" s="13"/>
      <c r="V4604" s="13"/>
      <c r="AC4604" s="13"/>
      <c r="AD4604" s="13"/>
      <c r="AE4604" s="13"/>
      <c r="AG4604" s="13"/>
      <c r="AH4604" s="13"/>
      <c r="AI4604" s="13"/>
      <c r="AJ4604" s="13"/>
      <c r="AK4604" s="13"/>
      <c r="AL4604" s="8"/>
      <c r="AU4604" s="13"/>
      <c r="AV4604" s="13"/>
      <c r="CU4604" s="13"/>
      <c r="DG4604" s="13"/>
    </row>
    <row r="4605" spans="1:111" x14ac:dyDescent="0.2">
      <c r="A4605" s="13"/>
      <c r="B4605" s="14"/>
      <c r="C4605" s="13"/>
      <c r="E4605" s="13"/>
      <c r="N4605" s="13"/>
      <c r="O4605" s="13"/>
      <c r="P4605" s="13"/>
      <c r="Q4605" s="13"/>
      <c r="R4605" s="13"/>
      <c r="S4605" s="13"/>
      <c r="T4605" s="13"/>
      <c r="U4605" s="13"/>
      <c r="V4605" s="13"/>
      <c r="AC4605" s="13"/>
      <c r="AD4605" s="13"/>
      <c r="AE4605" s="13"/>
      <c r="AG4605" s="13"/>
      <c r="AH4605" s="13"/>
      <c r="AI4605" s="13"/>
      <c r="AJ4605" s="13"/>
      <c r="AK4605" s="13"/>
      <c r="AL4605" s="8"/>
      <c r="AU4605" s="13"/>
      <c r="AV4605" s="13"/>
      <c r="CU4605" s="13"/>
      <c r="DG4605" s="13"/>
    </row>
    <row r="4606" spans="1:111" x14ac:dyDescent="0.2">
      <c r="A4606" s="13"/>
      <c r="B4606" s="14"/>
      <c r="C4606" s="13"/>
      <c r="E4606" s="13"/>
      <c r="N4606" s="13"/>
      <c r="O4606" s="13"/>
      <c r="P4606" s="13"/>
      <c r="Q4606" s="13"/>
      <c r="R4606" s="13"/>
      <c r="S4606" s="13"/>
      <c r="T4606" s="13"/>
      <c r="U4606" s="13"/>
      <c r="V4606" s="13"/>
      <c r="AC4606" s="13"/>
      <c r="AD4606" s="13"/>
      <c r="AE4606" s="13"/>
      <c r="AG4606" s="13"/>
      <c r="AH4606" s="13"/>
      <c r="AI4606" s="13"/>
      <c r="AJ4606" s="13"/>
      <c r="AK4606" s="13"/>
      <c r="AL4606" s="8"/>
      <c r="AU4606" s="13"/>
      <c r="AV4606" s="13"/>
      <c r="CU4606" s="13"/>
      <c r="DG4606" s="13"/>
    </row>
    <row r="4607" spans="1:111" x14ac:dyDescent="0.2">
      <c r="A4607" s="13"/>
      <c r="B4607" s="14"/>
      <c r="C4607" s="13"/>
      <c r="E4607" s="13"/>
      <c r="N4607" s="13"/>
      <c r="O4607" s="13"/>
      <c r="P4607" s="13"/>
      <c r="Q4607" s="13"/>
      <c r="R4607" s="13"/>
      <c r="S4607" s="13"/>
      <c r="T4607" s="13"/>
      <c r="U4607" s="13"/>
      <c r="V4607" s="13"/>
      <c r="AC4607" s="13"/>
      <c r="AD4607" s="13"/>
      <c r="AE4607" s="13"/>
      <c r="AG4607" s="13"/>
      <c r="AH4607" s="13"/>
      <c r="AI4607" s="13"/>
      <c r="AJ4607" s="13"/>
      <c r="AK4607" s="13"/>
      <c r="AL4607" s="8"/>
      <c r="AU4607" s="13"/>
      <c r="AV4607" s="13"/>
      <c r="CU4607" s="13"/>
      <c r="DG4607" s="13"/>
    </row>
    <row r="4608" spans="1:111" x14ac:dyDescent="0.2">
      <c r="A4608" s="13"/>
      <c r="B4608" s="14"/>
      <c r="C4608" s="13"/>
      <c r="E4608" s="13"/>
      <c r="N4608" s="13"/>
      <c r="O4608" s="13"/>
      <c r="P4608" s="13"/>
      <c r="Q4608" s="13"/>
      <c r="R4608" s="13"/>
      <c r="S4608" s="13"/>
      <c r="T4608" s="13"/>
      <c r="U4608" s="13"/>
      <c r="V4608" s="13"/>
      <c r="AC4608" s="13"/>
      <c r="AD4608" s="13"/>
      <c r="AE4608" s="13"/>
      <c r="AG4608" s="13"/>
      <c r="AH4608" s="13"/>
      <c r="AI4608" s="13"/>
      <c r="AJ4608" s="13"/>
      <c r="AK4608" s="13"/>
      <c r="AL4608" s="8"/>
      <c r="AU4608" s="13"/>
      <c r="AV4608" s="13"/>
      <c r="CU4608" s="13"/>
      <c r="DG4608" s="13"/>
    </row>
    <row r="4609" spans="1:111" x14ac:dyDescent="0.2">
      <c r="A4609" s="13"/>
      <c r="B4609" s="14"/>
      <c r="C4609" s="13"/>
      <c r="E4609" s="13"/>
      <c r="N4609" s="13"/>
      <c r="O4609" s="13"/>
      <c r="P4609" s="13"/>
      <c r="Q4609" s="13"/>
      <c r="R4609" s="13"/>
      <c r="S4609" s="13"/>
      <c r="T4609" s="13"/>
      <c r="U4609" s="13"/>
      <c r="V4609" s="13"/>
      <c r="AC4609" s="13"/>
      <c r="AD4609" s="13"/>
      <c r="AE4609" s="13"/>
      <c r="AG4609" s="13"/>
      <c r="AH4609" s="13"/>
      <c r="AI4609" s="13"/>
      <c r="AJ4609" s="13"/>
      <c r="AK4609" s="13"/>
      <c r="AL4609" s="8"/>
      <c r="AU4609" s="13"/>
      <c r="AV4609" s="13"/>
      <c r="CU4609" s="13"/>
      <c r="DG4609" s="13"/>
    </row>
    <row r="4610" spans="1:111" x14ac:dyDescent="0.2">
      <c r="A4610" s="13"/>
      <c r="B4610" s="14"/>
      <c r="C4610" s="13"/>
      <c r="E4610" s="13"/>
      <c r="N4610" s="13"/>
      <c r="O4610" s="13"/>
      <c r="P4610" s="13"/>
      <c r="Q4610" s="13"/>
      <c r="R4610" s="13"/>
      <c r="S4610" s="13"/>
      <c r="T4610" s="13"/>
      <c r="U4610" s="13"/>
      <c r="V4610" s="13"/>
      <c r="AC4610" s="13"/>
      <c r="AD4610" s="13"/>
      <c r="AE4610" s="13"/>
      <c r="AG4610" s="13"/>
      <c r="AH4610" s="13"/>
      <c r="AI4610" s="13"/>
      <c r="AJ4610" s="13"/>
      <c r="AK4610" s="13"/>
      <c r="AL4610" s="8"/>
      <c r="AU4610" s="13"/>
      <c r="AV4610" s="13"/>
      <c r="CU4610" s="13"/>
      <c r="DG4610" s="13"/>
    </row>
    <row r="4611" spans="1:111" x14ac:dyDescent="0.2">
      <c r="A4611" s="13"/>
      <c r="B4611" s="14"/>
      <c r="C4611" s="13"/>
      <c r="E4611" s="13"/>
      <c r="N4611" s="13"/>
      <c r="O4611" s="13"/>
      <c r="P4611" s="13"/>
      <c r="Q4611" s="13"/>
      <c r="R4611" s="13"/>
      <c r="S4611" s="13"/>
      <c r="T4611" s="13"/>
      <c r="U4611" s="13"/>
      <c r="V4611" s="13"/>
      <c r="AC4611" s="13"/>
      <c r="AD4611" s="13"/>
      <c r="AE4611" s="13"/>
      <c r="AG4611" s="13"/>
      <c r="AH4611" s="13"/>
      <c r="AI4611" s="13"/>
      <c r="AJ4611" s="13"/>
      <c r="AK4611" s="13"/>
      <c r="AL4611" s="8"/>
      <c r="AU4611" s="13"/>
      <c r="AV4611" s="13"/>
      <c r="CU4611" s="13"/>
      <c r="DG4611" s="13"/>
    </row>
    <row r="4612" spans="1:111" x14ac:dyDescent="0.2">
      <c r="A4612" s="13"/>
      <c r="B4612" s="14"/>
      <c r="C4612" s="13"/>
      <c r="E4612" s="13"/>
      <c r="N4612" s="13"/>
      <c r="O4612" s="13"/>
      <c r="P4612" s="13"/>
      <c r="Q4612" s="13"/>
      <c r="R4612" s="13"/>
      <c r="S4612" s="13"/>
      <c r="T4612" s="13"/>
      <c r="U4612" s="13"/>
      <c r="V4612" s="13"/>
      <c r="AC4612" s="13"/>
      <c r="AD4612" s="13"/>
      <c r="AE4612" s="13"/>
      <c r="AG4612" s="13"/>
      <c r="AH4612" s="13"/>
      <c r="AI4612" s="13"/>
      <c r="AJ4612" s="13"/>
      <c r="AK4612" s="13"/>
      <c r="AL4612" s="8"/>
      <c r="AU4612" s="13"/>
      <c r="AV4612" s="13"/>
      <c r="CU4612" s="13"/>
      <c r="DG4612" s="13"/>
    </row>
    <row r="4613" spans="1:111" x14ac:dyDescent="0.2">
      <c r="A4613" s="13"/>
      <c r="B4613" s="14"/>
      <c r="C4613" s="13"/>
      <c r="E4613" s="13"/>
      <c r="N4613" s="13"/>
      <c r="O4613" s="13"/>
      <c r="P4613" s="13"/>
      <c r="Q4613" s="13"/>
      <c r="R4613" s="13"/>
      <c r="S4613" s="13"/>
      <c r="T4613" s="13"/>
      <c r="U4613" s="13"/>
      <c r="V4613" s="13"/>
      <c r="AC4613" s="13"/>
      <c r="AD4613" s="13"/>
      <c r="AE4613" s="13"/>
      <c r="AG4613" s="13"/>
      <c r="AH4613" s="13"/>
      <c r="AI4613" s="13"/>
      <c r="AJ4613" s="13"/>
      <c r="AK4613" s="13"/>
      <c r="AL4613" s="8"/>
      <c r="AU4613" s="13"/>
      <c r="AV4613" s="13"/>
      <c r="CU4613" s="13"/>
      <c r="DG4613" s="13"/>
    </row>
    <row r="4614" spans="1:111" x14ac:dyDescent="0.2">
      <c r="A4614" s="13"/>
      <c r="B4614" s="14"/>
      <c r="C4614" s="13"/>
      <c r="E4614" s="13"/>
      <c r="N4614" s="13"/>
      <c r="O4614" s="13"/>
      <c r="P4614" s="13"/>
      <c r="Q4614" s="13"/>
      <c r="R4614" s="13"/>
      <c r="S4614" s="13"/>
      <c r="T4614" s="13"/>
      <c r="U4614" s="13"/>
      <c r="V4614" s="13"/>
      <c r="AC4614" s="13"/>
      <c r="AD4614" s="13"/>
      <c r="AE4614" s="13"/>
      <c r="AG4614" s="13"/>
      <c r="AH4614" s="13"/>
      <c r="AI4614" s="13"/>
      <c r="AJ4614" s="13"/>
      <c r="AK4614" s="13"/>
      <c r="AL4614" s="8"/>
      <c r="AU4614" s="13"/>
      <c r="AV4614" s="13"/>
      <c r="CU4614" s="13"/>
      <c r="DG4614" s="13"/>
    </row>
    <row r="4615" spans="1:111" x14ac:dyDescent="0.2">
      <c r="A4615" s="13"/>
      <c r="B4615" s="14"/>
      <c r="C4615" s="13"/>
      <c r="E4615" s="13"/>
      <c r="N4615" s="13"/>
      <c r="O4615" s="13"/>
      <c r="P4615" s="13"/>
      <c r="Q4615" s="13"/>
      <c r="R4615" s="13"/>
      <c r="S4615" s="13"/>
      <c r="T4615" s="13"/>
      <c r="U4615" s="13"/>
      <c r="V4615" s="13"/>
      <c r="AC4615" s="13"/>
      <c r="AD4615" s="13"/>
      <c r="AE4615" s="13"/>
      <c r="AG4615" s="13"/>
      <c r="AH4615" s="13"/>
      <c r="AI4615" s="13"/>
      <c r="AJ4615" s="13"/>
      <c r="AK4615" s="13"/>
      <c r="AL4615" s="8"/>
      <c r="AU4615" s="13"/>
      <c r="AV4615" s="13"/>
      <c r="CU4615" s="13"/>
      <c r="DG4615" s="13"/>
    </row>
    <row r="4616" spans="1:111" x14ac:dyDescent="0.2">
      <c r="A4616" s="13"/>
      <c r="B4616" s="14"/>
      <c r="C4616" s="13"/>
      <c r="E4616" s="13"/>
      <c r="N4616" s="13"/>
      <c r="O4616" s="13"/>
      <c r="P4616" s="13"/>
      <c r="Q4616" s="13"/>
      <c r="R4616" s="13"/>
      <c r="S4616" s="13"/>
      <c r="T4616" s="13"/>
      <c r="U4616" s="13"/>
      <c r="V4616" s="13"/>
      <c r="AC4616" s="13"/>
      <c r="AD4616" s="13"/>
      <c r="AE4616" s="13"/>
      <c r="AG4616" s="13"/>
      <c r="AH4616" s="13"/>
      <c r="AI4616" s="13"/>
      <c r="AJ4616" s="13"/>
      <c r="AK4616" s="13"/>
      <c r="AL4616" s="8"/>
      <c r="AU4616" s="13"/>
      <c r="AV4616" s="13"/>
      <c r="CU4616" s="13"/>
      <c r="DG4616" s="13"/>
    </row>
    <row r="4617" spans="1:111" x14ac:dyDescent="0.2">
      <c r="A4617" s="13"/>
      <c r="B4617" s="14"/>
      <c r="C4617" s="13"/>
      <c r="E4617" s="13"/>
      <c r="N4617" s="13"/>
      <c r="O4617" s="13"/>
      <c r="P4617" s="13"/>
      <c r="Q4617" s="13"/>
      <c r="R4617" s="13"/>
      <c r="S4617" s="13"/>
      <c r="T4617" s="13"/>
      <c r="U4617" s="13"/>
      <c r="V4617" s="13"/>
      <c r="AC4617" s="13"/>
      <c r="AD4617" s="13"/>
      <c r="AE4617" s="13"/>
      <c r="AG4617" s="13"/>
      <c r="AH4617" s="13"/>
      <c r="AI4617" s="13"/>
      <c r="AJ4617" s="13"/>
      <c r="AK4617" s="13"/>
      <c r="AL4617" s="8"/>
      <c r="AU4617" s="13"/>
      <c r="AV4617" s="13"/>
      <c r="CU4617" s="13"/>
      <c r="DG4617" s="13"/>
    </row>
    <row r="4618" spans="1:111" x14ac:dyDescent="0.2">
      <c r="A4618" s="13"/>
      <c r="B4618" s="14"/>
      <c r="C4618" s="13"/>
      <c r="E4618" s="13"/>
      <c r="N4618" s="13"/>
      <c r="O4618" s="13"/>
      <c r="P4618" s="13"/>
      <c r="Q4618" s="13"/>
      <c r="R4618" s="13"/>
      <c r="S4618" s="13"/>
      <c r="T4618" s="13"/>
      <c r="U4618" s="13"/>
      <c r="V4618" s="13"/>
      <c r="AC4618" s="13"/>
      <c r="AD4618" s="13"/>
      <c r="AE4618" s="13"/>
      <c r="AG4618" s="13"/>
      <c r="AH4618" s="13"/>
      <c r="AI4618" s="13"/>
      <c r="AJ4618" s="13"/>
      <c r="AK4618" s="13"/>
      <c r="AL4618" s="8"/>
      <c r="AU4618" s="13"/>
      <c r="AV4618" s="13"/>
      <c r="CU4618" s="13"/>
      <c r="DG4618" s="13"/>
    </row>
    <row r="4619" spans="1:111" x14ac:dyDescent="0.2">
      <c r="A4619" s="13"/>
      <c r="B4619" s="14"/>
      <c r="C4619" s="13"/>
      <c r="E4619" s="13"/>
      <c r="N4619" s="13"/>
      <c r="O4619" s="13"/>
      <c r="P4619" s="13"/>
      <c r="Q4619" s="13"/>
      <c r="R4619" s="13"/>
      <c r="S4619" s="13"/>
      <c r="T4619" s="13"/>
      <c r="U4619" s="13"/>
      <c r="V4619" s="13"/>
      <c r="AC4619" s="13"/>
      <c r="AD4619" s="13"/>
      <c r="AE4619" s="13"/>
      <c r="AG4619" s="13"/>
      <c r="AH4619" s="13"/>
      <c r="AI4619" s="13"/>
      <c r="AJ4619" s="13"/>
      <c r="AK4619" s="13"/>
      <c r="AL4619" s="8"/>
      <c r="AU4619" s="13"/>
      <c r="AV4619" s="13"/>
      <c r="CU4619" s="13"/>
      <c r="DG4619" s="13"/>
    </row>
    <row r="4620" spans="1:111" x14ac:dyDescent="0.2">
      <c r="A4620" s="13"/>
      <c r="B4620" s="14"/>
      <c r="C4620" s="13"/>
      <c r="E4620" s="13"/>
      <c r="N4620" s="13"/>
      <c r="O4620" s="13"/>
      <c r="P4620" s="13"/>
      <c r="Q4620" s="13"/>
      <c r="R4620" s="13"/>
      <c r="S4620" s="13"/>
      <c r="T4620" s="13"/>
      <c r="U4620" s="13"/>
      <c r="V4620" s="13"/>
      <c r="AC4620" s="13"/>
      <c r="AD4620" s="13"/>
      <c r="AE4620" s="13"/>
      <c r="AG4620" s="13"/>
      <c r="AH4620" s="13"/>
      <c r="AI4620" s="13"/>
      <c r="AJ4620" s="13"/>
      <c r="AK4620" s="13"/>
      <c r="AL4620" s="8"/>
      <c r="AU4620" s="13"/>
      <c r="AV4620" s="13"/>
      <c r="CU4620" s="13"/>
      <c r="DG4620" s="13"/>
    </row>
    <row r="4621" spans="1:111" x14ac:dyDescent="0.2">
      <c r="A4621" s="13"/>
      <c r="B4621" s="14"/>
      <c r="C4621" s="13"/>
      <c r="E4621" s="13"/>
      <c r="N4621" s="13"/>
      <c r="O4621" s="13"/>
      <c r="P4621" s="13"/>
      <c r="Q4621" s="13"/>
      <c r="R4621" s="13"/>
      <c r="S4621" s="13"/>
      <c r="T4621" s="13"/>
      <c r="U4621" s="13"/>
      <c r="V4621" s="13"/>
      <c r="AC4621" s="13"/>
      <c r="AD4621" s="13"/>
      <c r="AE4621" s="13"/>
      <c r="AG4621" s="13"/>
      <c r="AH4621" s="13"/>
      <c r="AI4621" s="13"/>
      <c r="AJ4621" s="13"/>
      <c r="AK4621" s="13"/>
      <c r="AL4621" s="8"/>
      <c r="AU4621" s="13"/>
      <c r="AV4621" s="13"/>
      <c r="CU4621" s="13"/>
      <c r="DG4621" s="13"/>
    </row>
    <row r="4622" spans="1:111" x14ac:dyDescent="0.2">
      <c r="A4622" s="13"/>
      <c r="B4622" s="14"/>
      <c r="C4622" s="13"/>
      <c r="E4622" s="13"/>
      <c r="N4622" s="13"/>
      <c r="O4622" s="13"/>
      <c r="P4622" s="13"/>
      <c r="Q4622" s="13"/>
      <c r="R4622" s="13"/>
      <c r="S4622" s="13"/>
      <c r="T4622" s="13"/>
      <c r="U4622" s="13"/>
      <c r="V4622" s="13"/>
      <c r="AC4622" s="13"/>
      <c r="AD4622" s="13"/>
      <c r="AE4622" s="13"/>
      <c r="AG4622" s="13"/>
      <c r="AH4622" s="13"/>
      <c r="AI4622" s="13"/>
      <c r="AJ4622" s="13"/>
      <c r="AK4622" s="13"/>
      <c r="AL4622" s="8"/>
      <c r="AU4622" s="13"/>
      <c r="AV4622" s="13"/>
      <c r="CU4622" s="13"/>
      <c r="DG4622" s="13"/>
    </row>
    <row r="4623" spans="1:111" x14ac:dyDescent="0.2">
      <c r="A4623" s="13"/>
      <c r="B4623" s="14"/>
      <c r="C4623" s="13"/>
      <c r="E4623" s="13"/>
      <c r="N4623" s="13"/>
      <c r="O4623" s="13"/>
      <c r="P4623" s="13"/>
      <c r="Q4623" s="13"/>
      <c r="R4623" s="13"/>
      <c r="S4623" s="13"/>
      <c r="T4623" s="13"/>
      <c r="U4623" s="13"/>
      <c r="V4623" s="13"/>
      <c r="AC4623" s="13"/>
      <c r="AD4623" s="13"/>
      <c r="AE4623" s="13"/>
      <c r="AG4623" s="13"/>
      <c r="AH4623" s="13"/>
      <c r="AI4623" s="13"/>
      <c r="AJ4623" s="13"/>
      <c r="AK4623" s="13"/>
      <c r="AL4623" s="8"/>
      <c r="AU4623" s="13"/>
      <c r="AV4623" s="13"/>
      <c r="CU4623" s="13"/>
      <c r="DG4623" s="13"/>
    </row>
    <row r="4624" spans="1:111" x14ac:dyDescent="0.2">
      <c r="A4624" s="13"/>
      <c r="B4624" s="14"/>
      <c r="C4624" s="13"/>
      <c r="E4624" s="13"/>
      <c r="N4624" s="13"/>
      <c r="O4624" s="13"/>
      <c r="P4624" s="13"/>
      <c r="Q4624" s="13"/>
      <c r="R4624" s="13"/>
      <c r="S4624" s="13"/>
      <c r="T4624" s="13"/>
      <c r="U4624" s="13"/>
      <c r="V4624" s="13"/>
      <c r="AC4624" s="13"/>
      <c r="AD4624" s="13"/>
      <c r="AE4624" s="13"/>
      <c r="AG4624" s="13"/>
      <c r="AH4624" s="13"/>
      <c r="AI4624" s="13"/>
      <c r="AJ4624" s="13"/>
      <c r="AK4624" s="13"/>
      <c r="AL4624" s="8"/>
      <c r="AU4624" s="13"/>
      <c r="AV4624" s="13"/>
      <c r="CU4624" s="13"/>
      <c r="DG4624" s="13"/>
    </row>
    <row r="4625" spans="1:111" x14ac:dyDescent="0.2">
      <c r="A4625" s="13"/>
      <c r="B4625" s="14"/>
      <c r="C4625" s="13"/>
      <c r="E4625" s="13"/>
      <c r="N4625" s="13"/>
      <c r="O4625" s="13"/>
      <c r="P4625" s="13"/>
      <c r="Q4625" s="13"/>
      <c r="R4625" s="13"/>
      <c r="S4625" s="13"/>
      <c r="T4625" s="13"/>
      <c r="U4625" s="13"/>
      <c r="V4625" s="13"/>
      <c r="AC4625" s="13"/>
      <c r="AD4625" s="13"/>
      <c r="AE4625" s="13"/>
      <c r="AG4625" s="13"/>
      <c r="AH4625" s="13"/>
      <c r="AI4625" s="13"/>
      <c r="AJ4625" s="13"/>
      <c r="AK4625" s="13"/>
      <c r="AL4625" s="8"/>
      <c r="AU4625" s="13"/>
      <c r="AV4625" s="13"/>
      <c r="CU4625" s="13"/>
      <c r="DG4625" s="13"/>
    </row>
    <row r="4626" spans="1:111" x14ac:dyDescent="0.2">
      <c r="A4626" s="13"/>
      <c r="B4626" s="14"/>
      <c r="C4626" s="13"/>
      <c r="E4626" s="13"/>
      <c r="N4626" s="13"/>
      <c r="O4626" s="13"/>
      <c r="P4626" s="13"/>
      <c r="Q4626" s="13"/>
      <c r="R4626" s="13"/>
      <c r="S4626" s="13"/>
      <c r="T4626" s="13"/>
      <c r="U4626" s="13"/>
      <c r="V4626" s="13"/>
      <c r="AC4626" s="13"/>
      <c r="AD4626" s="13"/>
      <c r="AE4626" s="13"/>
      <c r="AG4626" s="13"/>
      <c r="AH4626" s="13"/>
      <c r="AI4626" s="13"/>
      <c r="AJ4626" s="13"/>
      <c r="AK4626" s="13"/>
      <c r="AL4626" s="8"/>
      <c r="AU4626" s="13"/>
      <c r="AV4626" s="13"/>
      <c r="CU4626" s="13"/>
      <c r="DG4626" s="13"/>
    </row>
    <row r="4627" spans="1:111" x14ac:dyDescent="0.2">
      <c r="A4627" s="13"/>
      <c r="B4627" s="14"/>
      <c r="C4627" s="13"/>
      <c r="E4627" s="13"/>
      <c r="N4627" s="13"/>
      <c r="O4627" s="13"/>
      <c r="P4627" s="13"/>
      <c r="Q4627" s="13"/>
      <c r="R4627" s="13"/>
      <c r="S4627" s="13"/>
      <c r="T4627" s="13"/>
      <c r="U4627" s="13"/>
      <c r="V4627" s="13"/>
      <c r="AC4627" s="13"/>
      <c r="AD4627" s="13"/>
      <c r="AE4627" s="13"/>
      <c r="AG4627" s="13"/>
      <c r="AH4627" s="13"/>
      <c r="AI4627" s="13"/>
      <c r="AJ4627" s="13"/>
      <c r="AK4627" s="13"/>
      <c r="AL4627" s="8"/>
      <c r="AU4627" s="13"/>
      <c r="AV4627" s="13"/>
      <c r="CU4627" s="13"/>
      <c r="DG4627" s="13"/>
    </row>
    <row r="4628" spans="1:111" x14ac:dyDescent="0.2">
      <c r="A4628" s="13"/>
      <c r="B4628" s="14"/>
      <c r="C4628" s="13"/>
      <c r="E4628" s="13"/>
      <c r="N4628" s="13"/>
      <c r="O4628" s="13"/>
      <c r="P4628" s="13"/>
      <c r="Q4628" s="13"/>
      <c r="R4628" s="13"/>
      <c r="S4628" s="13"/>
      <c r="T4628" s="13"/>
      <c r="U4628" s="13"/>
      <c r="V4628" s="13"/>
      <c r="AC4628" s="13"/>
      <c r="AD4628" s="13"/>
      <c r="AE4628" s="13"/>
      <c r="AG4628" s="13"/>
      <c r="AH4628" s="13"/>
      <c r="AI4628" s="13"/>
      <c r="AJ4628" s="13"/>
      <c r="AK4628" s="13"/>
      <c r="AL4628" s="8"/>
      <c r="AU4628" s="13"/>
      <c r="AV4628" s="13"/>
      <c r="CU4628" s="13"/>
      <c r="DG4628" s="13"/>
    </row>
    <row r="4629" spans="1:111" x14ac:dyDescent="0.2">
      <c r="A4629" s="13"/>
      <c r="B4629" s="14"/>
      <c r="C4629" s="13"/>
      <c r="E4629" s="13"/>
      <c r="N4629" s="13"/>
      <c r="O4629" s="13"/>
      <c r="P4629" s="13"/>
      <c r="Q4629" s="13"/>
      <c r="R4629" s="13"/>
      <c r="S4629" s="13"/>
      <c r="T4629" s="13"/>
      <c r="U4629" s="13"/>
      <c r="V4629" s="13"/>
      <c r="AC4629" s="13"/>
      <c r="AD4629" s="13"/>
      <c r="AE4629" s="13"/>
      <c r="AG4629" s="13"/>
      <c r="AH4629" s="13"/>
      <c r="AI4629" s="13"/>
      <c r="AJ4629" s="13"/>
      <c r="AK4629" s="13"/>
      <c r="AL4629" s="8"/>
      <c r="AU4629" s="13"/>
      <c r="AV4629" s="13"/>
      <c r="CU4629" s="13"/>
      <c r="DG4629" s="13"/>
    </row>
    <row r="4630" spans="1:111" x14ac:dyDescent="0.2">
      <c r="A4630" s="13"/>
      <c r="B4630" s="14"/>
      <c r="C4630" s="13"/>
      <c r="E4630" s="13"/>
      <c r="N4630" s="13"/>
      <c r="O4630" s="13"/>
      <c r="P4630" s="13"/>
      <c r="Q4630" s="13"/>
      <c r="R4630" s="13"/>
      <c r="S4630" s="13"/>
      <c r="T4630" s="13"/>
      <c r="U4630" s="13"/>
      <c r="V4630" s="13"/>
      <c r="AC4630" s="13"/>
      <c r="AD4630" s="13"/>
      <c r="AE4630" s="13"/>
      <c r="AG4630" s="13"/>
      <c r="AH4630" s="13"/>
      <c r="AI4630" s="13"/>
      <c r="AJ4630" s="13"/>
      <c r="AK4630" s="13"/>
      <c r="AL4630" s="8"/>
      <c r="AU4630" s="13"/>
      <c r="AV4630" s="13"/>
      <c r="CU4630" s="13"/>
      <c r="DG4630" s="13"/>
    </row>
    <row r="4631" spans="1:111" x14ac:dyDescent="0.2">
      <c r="A4631" s="13"/>
      <c r="B4631" s="14"/>
      <c r="C4631" s="13"/>
      <c r="E4631" s="13"/>
      <c r="N4631" s="13"/>
      <c r="O4631" s="13"/>
      <c r="P4631" s="13"/>
      <c r="Q4631" s="13"/>
      <c r="R4631" s="13"/>
      <c r="S4631" s="13"/>
      <c r="T4631" s="13"/>
      <c r="U4631" s="13"/>
      <c r="V4631" s="13"/>
      <c r="AC4631" s="13"/>
      <c r="AD4631" s="13"/>
      <c r="AE4631" s="13"/>
      <c r="AG4631" s="13"/>
      <c r="AH4631" s="13"/>
      <c r="AI4631" s="13"/>
      <c r="AJ4631" s="13"/>
      <c r="AK4631" s="13"/>
      <c r="AL4631" s="8"/>
      <c r="AU4631" s="13"/>
      <c r="AV4631" s="13"/>
      <c r="CU4631" s="13"/>
      <c r="DG4631" s="13"/>
    </row>
    <row r="4632" spans="1:111" x14ac:dyDescent="0.2">
      <c r="A4632" s="13"/>
      <c r="B4632" s="14"/>
      <c r="C4632" s="13"/>
      <c r="E4632" s="13"/>
      <c r="N4632" s="13"/>
      <c r="O4632" s="13"/>
      <c r="P4632" s="13"/>
      <c r="Q4632" s="13"/>
      <c r="R4632" s="13"/>
      <c r="S4632" s="13"/>
      <c r="T4632" s="13"/>
      <c r="U4632" s="13"/>
      <c r="V4632" s="13"/>
      <c r="AC4632" s="13"/>
      <c r="AD4632" s="13"/>
      <c r="AE4632" s="13"/>
      <c r="AG4632" s="13"/>
      <c r="AH4632" s="13"/>
      <c r="AI4632" s="13"/>
      <c r="AJ4632" s="13"/>
      <c r="AK4632" s="13"/>
      <c r="AL4632" s="8"/>
      <c r="AU4632" s="13"/>
      <c r="AV4632" s="13"/>
      <c r="CU4632" s="13"/>
      <c r="DG4632" s="13"/>
    </row>
    <row r="4633" spans="1:111" x14ac:dyDescent="0.2">
      <c r="A4633" s="13"/>
      <c r="B4633" s="14"/>
      <c r="C4633" s="13"/>
      <c r="E4633" s="13"/>
      <c r="N4633" s="13"/>
      <c r="O4633" s="13"/>
      <c r="P4633" s="13"/>
      <c r="Q4633" s="13"/>
      <c r="R4633" s="13"/>
      <c r="S4633" s="13"/>
      <c r="T4633" s="13"/>
      <c r="U4633" s="13"/>
      <c r="V4633" s="13"/>
      <c r="AC4633" s="13"/>
      <c r="AD4633" s="13"/>
      <c r="AE4633" s="13"/>
      <c r="AG4633" s="13"/>
      <c r="AH4633" s="13"/>
      <c r="AI4633" s="13"/>
      <c r="AJ4633" s="13"/>
      <c r="AK4633" s="13"/>
      <c r="AL4633" s="8"/>
      <c r="AU4633" s="13"/>
      <c r="AV4633" s="13"/>
      <c r="CU4633" s="13"/>
      <c r="DG4633" s="13"/>
    </row>
    <row r="4634" spans="1:111" x14ac:dyDescent="0.2">
      <c r="A4634" s="13"/>
      <c r="B4634" s="14"/>
      <c r="C4634" s="13"/>
      <c r="E4634" s="13"/>
      <c r="N4634" s="13"/>
      <c r="O4634" s="13"/>
      <c r="P4634" s="13"/>
      <c r="Q4634" s="13"/>
      <c r="R4634" s="13"/>
      <c r="S4634" s="13"/>
      <c r="T4634" s="13"/>
      <c r="U4634" s="13"/>
      <c r="V4634" s="13"/>
      <c r="AC4634" s="13"/>
      <c r="AD4634" s="13"/>
      <c r="AE4634" s="13"/>
      <c r="AG4634" s="13"/>
      <c r="AH4634" s="13"/>
      <c r="AI4634" s="13"/>
      <c r="AJ4634" s="13"/>
      <c r="AK4634" s="13"/>
      <c r="AL4634" s="8"/>
      <c r="AU4634" s="13"/>
      <c r="AV4634" s="13"/>
      <c r="CU4634" s="13"/>
      <c r="DG4634" s="13"/>
    </row>
    <row r="4635" spans="1:111" x14ac:dyDescent="0.2">
      <c r="A4635" s="13"/>
      <c r="B4635" s="14"/>
      <c r="C4635" s="13"/>
      <c r="E4635" s="13"/>
      <c r="N4635" s="13"/>
      <c r="O4635" s="13"/>
      <c r="P4635" s="13"/>
      <c r="Q4635" s="13"/>
      <c r="R4635" s="13"/>
      <c r="S4635" s="13"/>
      <c r="T4635" s="13"/>
      <c r="U4635" s="13"/>
      <c r="V4635" s="13"/>
      <c r="AC4635" s="13"/>
      <c r="AD4635" s="13"/>
      <c r="AE4635" s="13"/>
      <c r="AG4635" s="13"/>
      <c r="AH4635" s="13"/>
      <c r="AI4635" s="13"/>
      <c r="AJ4635" s="13"/>
      <c r="AK4635" s="13"/>
      <c r="AL4635" s="8"/>
      <c r="AU4635" s="13"/>
      <c r="AV4635" s="13"/>
      <c r="CU4635" s="13"/>
      <c r="DG4635" s="13"/>
    </row>
    <row r="4636" spans="1:111" x14ac:dyDescent="0.2">
      <c r="A4636" s="13"/>
      <c r="B4636" s="14"/>
      <c r="C4636" s="13"/>
      <c r="E4636" s="13"/>
      <c r="N4636" s="13"/>
      <c r="O4636" s="13"/>
      <c r="P4636" s="13"/>
      <c r="Q4636" s="13"/>
      <c r="R4636" s="13"/>
      <c r="S4636" s="13"/>
      <c r="T4636" s="13"/>
      <c r="U4636" s="13"/>
      <c r="V4636" s="13"/>
      <c r="AC4636" s="13"/>
      <c r="AD4636" s="13"/>
      <c r="AE4636" s="13"/>
      <c r="AG4636" s="13"/>
      <c r="AH4636" s="13"/>
      <c r="AI4636" s="13"/>
      <c r="AJ4636" s="13"/>
      <c r="AK4636" s="13"/>
      <c r="AL4636" s="8"/>
      <c r="AU4636" s="13"/>
      <c r="AV4636" s="13"/>
      <c r="CU4636" s="13"/>
      <c r="DG4636" s="13"/>
    </row>
    <row r="4637" spans="1:111" x14ac:dyDescent="0.2">
      <c r="A4637" s="13"/>
      <c r="B4637" s="14"/>
      <c r="C4637" s="13"/>
      <c r="E4637" s="13"/>
      <c r="N4637" s="13"/>
      <c r="O4637" s="13"/>
      <c r="P4637" s="13"/>
      <c r="Q4637" s="13"/>
      <c r="R4637" s="13"/>
      <c r="S4637" s="13"/>
      <c r="T4637" s="13"/>
      <c r="U4637" s="13"/>
      <c r="V4637" s="13"/>
      <c r="AC4637" s="13"/>
      <c r="AD4637" s="13"/>
      <c r="AE4637" s="13"/>
      <c r="AG4637" s="13"/>
      <c r="AH4637" s="13"/>
      <c r="AI4637" s="13"/>
      <c r="AJ4637" s="13"/>
      <c r="AK4637" s="13"/>
      <c r="AL4637" s="8"/>
      <c r="AU4637" s="13"/>
      <c r="AV4637" s="13"/>
      <c r="CU4637" s="13"/>
      <c r="DG4637" s="13"/>
    </row>
    <row r="4638" spans="1:111" x14ac:dyDescent="0.2">
      <c r="A4638" s="13"/>
      <c r="B4638" s="14"/>
      <c r="C4638" s="13"/>
      <c r="E4638" s="13"/>
      <c r="N4638" s="13"/>
      <c r="O4638" s="13"/>
      <c r="P4638" s="13"/>
      <c r="Q4638" s="13"/>
      <c r="R4638" s="13"/>
      <c r="S4638" s="13"/>
      <c r="T4638" s="13"/>
      <c r="U4638" s="13"/>
      <c r="V4638" s="13"/>
      <c r="AC4638" s="13"/>
      <c r="AD4638" s="13"/>
      <c r="AE4638" s="13"/>
      <c r="AG4638" s="13"/>
      <c r="AH4638" s="13"/>
      <c r="AI4638" s="13"/>
      <c r="AJ4638" s="13"/>
      <c r="AK4638" s="13"/>
      <c r="AL4638" s="8"/>
      <c r="AU4638" s="13"/>
      <c r="AV4638" s="13"/>
      <c r="CU4638" s="13"/>
      <c r="DG4638" s="13"/>
    </row>
    <row r="4639" spans="1:111" x14ac:dyDescent="0.2">
      <c r="A4639" s="13"/>
      <c r="B4639" s="14"/>
      <c r="C4639" s="13"/>
      <c r="E4639" s="13"/>
      <c r="N4639" s="13"/>
      <c r="O4639" s="13"/>
      <c r="P4639" s="13"/>
      <c r="Q4639" s="13"/>
      <c r="R4639" s="13"/>
      <c r="S4639" s="13"/>
      <c r="T4639" s="13"/>
      <c r="U4639" s="13"/>
      <c r="V4639" s="13"/>
      <c r="AC4639" s="13"/>
      <c r="AD4639" s="13"/>
      <c r="AE4639" s="13"/>
      <c r="AG4639" s="13"/>
      <c r="AH4639" s="13"/>
      <c r="AI4639" s="13"/>
      <c r="AJ4639" s="13"/>
      <c r="AK4639" s="13"/>
      <c r="AL4639" s="8"/>
      <c r="AU4639" s="13"/>
      <c r="AV4639" s="13"/>
      <c r="CU4639" s="13"/>
      <c r="DG4639" s="13"/>
    </row>
    <row r="4640" spans="1:111" x14ac:dyDescent="0.2">
      <c r="A4640" s="13"/>
      <c r="B4640" s="14"/>
      <c r="C4640" s="13"/>
      <c r="E4640" s="13"/>
      <c r="N4640" s="13"/>
      <c r="O4640" s="13"/>
      <c r="P4640" s="13"/>
      <c r="Q4640" s="13"/>
      <c r="R4640" s="13"/>
      <c r="S4640" s="13"/>
      <c r="T4640" s="13"/>
      <c r="U4640" s="13"/>
      <c r="V4640" s="13"/>
      <c r="AC4640" s="13"/>
      <c r="AD4640" s="13"/>
      <c r="AE4640" s="13"/>
      <c r="AG4640" s="13"/>
      <c r="AH4640" s="13"/>
      <c r="AI4640" s="13"/>
      <c r="AJ4640" s="13"/>
      <c r="AK4640" s="13"/>
      <c r="AL4640" s="8"/>
      <c r="AU4640" s="13"/>
      <c r="AV4640" s="13"/>
      <c r="CU4640" s="13"/>
      <c r="DG4640" s="13"/>
    </row>
    <row r="4641" spans="1:111" x14ac:dyDescent="0.2">
      <c r="A4641" s="13"/>
      <c r="B4641" s="14"/>
      <c r="C4641" s="13"/>
      <c r="E4641" s="13"/>
      <c r="N4641" s="13"/>
      <c r="O4641" s="13"/>
      <c r="P4641" s="13"/>
      <c r="Q4641" s="13"/>
      <c r="R4641" s="13"/>
      <c r="S4641" s="13"/>
      <c r="T4641" s="13"/>
      <c r="U4641" s="13"/>
      <c r="V4641" s="13"/>
      <c r="AC4641" s="13"/>
      <c r="AD4641" s="13"/>
      <c r="AE4641" s="13"/>
      <c r="AG4641" s="13"/>
      <c r="AH4641" s="13"/>
      <c r="AI4641" s="13"/>
      <c r="AJ4641" s="13"/>
      <c r="AK4641" s="13"/>
      <c r="AL4641" s="8"/>
      <c r="AU4641" s="13"/>
      <c r="AV4641" s="13"/>
      <c r="CU4641" s="13"/>
      <c r="DG4641" s="13"/>
    </row>
    <row r="4642" spans="1:111" x14ac:dyDescent="0.2">
      <c r="A4642" s="13"/>
      <c r="B4642" s="14"/>
      <c r="C4642" s="13"/>
      <c r="E4642" s="13"/>
      <c r="N4642" s="13"/>
      <c r="O4642" s="13"/>
      <c r="P4642" s="13"/>
      <c r="Q4642" s="13"/>
      <c r="R4642" s="13"/>
      <c r="S4642" s="13"/>
      <c r="T4642" s="13"/>
      <c r="U4642" s="13"/>
      <c r="V4642" s="13"/>
      <c r="AC4642" s="13"/>
      <c r="AD4642" s="13"/>
      <c r="AE4642" s="13"/>
      <c r="AG4642" s="13"/>
      <c r="AH4642" s="13"/>
      <c r="AI4642" s="13"/>
      <c r="AJ4642" s="13"/>
      <c r="AK4642" s="13"/>
      <c r="AL4642" s="8"/>
      <c r="AU4642" s="13"/>
      <c r="AV4642" s="13"/>
      <c r="CU4642" s="13"/>
      <c r="DG4642" s="13"/>
    </row>
    <row r="4643" spans="1:111" x14ac:dyDescent="0.2">
      <c r="A4643" s="13"/>
      <c r="B4643" s="14"/>
      <c r="C4643" s="13"/>
      <c r="E4643" s="13"/>
      <c r="N4643" s="13"/>
      <c r="O4643" s="13"/>
      <c r="P4643" s="13"/>
      <c r="Q4643" s="13"/>
      <c r="R4643" s="13"/>
      <c r="S4643" s="13"/>
      <c r="T4643" s="13"/>
      <c r="U4643" s="13"/>
      <c r="V4643" s="13"/>
      <c r="AC4643" s="13"/>
      <c r="AD4643" s="13"/>
      <c r="AE4643" s="13"/>
      <c r="AG4643" s="13"/>
      <c r="AH4643" s="13"/>
      <c r="AI4643" s="13"/>
      <c r="AJ4643" s="13"/>
      <c r="AK4643" s="13"/>
      <c r="AL4643" s="8"/>
      <c r="AU4643" s="13"/>
      <c r="AV4643" s="13"/>
      <c r="CU4643" s="13"/>
      <c r="DG4643" s="13"/>
    </row>
    <row r="4644" spans="1:111" x14ac:dyDescent="0.2">
      <c r="A4644" s="13"/>
      <c r="B4644" s="14"/>
      <c r="C4644" s="13"/>
      <c r="E4644" s="13"/>
      <c r="N4644" s="13"/>
      <c r="O4644" s="13"/>
      <c r="P4644" s="13"/>
      <c r="Q4644" s="13"/>
      <c r="R4644" s="13"/>
      <c r="S4644" s="13"/>
      <c r="T4644" s="13"/>
      <c r="U4644" s="13"/>
      <c r="V4644" s="13"/>
      <c r="AC4644" s="13"/>
      <c r="AD4644" s="13"/>
      <c r="AE4644" s="13"/>
      <c r="AG4644" s="13"/>
      <c r="AH4644" s="13"/>
      <c r="AI4644" s="13"/>
      <c r="AJ4644" s="13"/>
      <c r="AK4644" s="13"/>
      <c r="AL4644" s="8"/>
      <c r="AU4644" s="13"/>
      <c r="AV4644" s="13"/>
      <c r="CU4644" s="13"/>
      <c r="DG4644" s="13"/>
    </row>
    <row r="4645" spans="1:111" x14ac:dyDescent="0.2">
      <c r="A4645" s="13"/>
      <c r="B4645" s="14"/>
      <c r="C4645" s="13"/>
      <c r="E4645" s="13"/>
      <c r="N4645" s="13"/>
      <c r="O4645" s="13"/>
      <c r="P4645" s="13"/>
      <c r="Q4645" s="13"/>
      <c r="R4645" s="13"/>
      <c r="S4645" s="13"/>
      <c r="T4645" s="13"/>
      <c r="U4645" s="13"/>
      <c r="V4645" s="13"/>
      <c r="AC4645" s="13"/>
      <c r="AD4645" s="13"/>
      <c r="AE4645" s="13"/>
      <c r="AG4645" s="13"/>
      <c r="AH4645" s="13"/>
      <c r="AI4645" s="13"/>
      <c r="AJ4645" s="13"/>
      <c r="AK4645" s="13"/>
      <c r="AL4645" s="8"/>
      <c r="AU4645" s="13"/>
      <c r="AV4645" s="13"/>
      <c r="CU4645" s="13"/>
      <c r="DG4645" s="13"/>
    </row>
    <row r="4646" spans="1:111" x14ac:dyDescent="0.2">
      <c r="A4646" s="13"/>
      <c r="B4646" s="14"/>
      <c r="C4646" s="13"/>
      <c r="E4646" s="13"/>
      <c r="N4646" s="13"/>
      <c r="O4646" s="13"/>
      <c r="P4646" s="13"/>
      <c r="Q4646" s="13"/>
      <c r="R4646" s="13"/>
      <c r="S4646" s="13"/>
      <c r="T4646" s="13"/>
      <c r="U4646" s="13"/>
      <c r="V4646" s="13"/>
      <c r="AC4646" s="13"/>
      <c r="AD4646" s="13"/>
      <c r="AE4646" s="13"/>
      <c r="AG4646" s="13"/>
      <c r="AH4646" s="13"/>
      <c r="AI4646" s="13"/>
      <c r="AJ4646" s="13"/>
      <c r="AK4646" s="13"/>
      <c r="AL4646" s="8"/>
      <c r="AU4646" s="13"/>
      <c r="AV4646" s="13"/>
      <c r="CU4646" s="13"/>
      <c r="DG4646" s="13"/>
    </row>
    <row r="4647" spans="1:111" x14ac:dyDescent="0.2">
      <c r="A4647" s="13"/>
      <c r="B4647" s="14"/>
      <c r="C4647" s="13"/>
      <c r="E4647" s="13"/>
      <c r="N4647" s="13"/>
      <c r="O4647" s="13"/>
      <c r="P4647" s="13"/>
      <c r="Q4647" s="13"/>
      <c r="R4647" s="13"/>
      <c r="S4647" s="13"/>
      <c r="T4647" s="13"/>
      <c r="U4647" s="13"/>
      <c r="V4647" s="13"/>
      <c r="AC4647" s="13"/>
      <c r="AD4647" s="13"/>
      <c r="AE4647" s="13"/>
      <c r="AG4647" s="13"/>
      <c r="AH4647" s="13"/>
      <c r="AI4647" s="13"/>
      <c r="AJ4647" s="13"/>
      <c r="AK4647" s="13"/>
      <c r="AL4647" s="8"/>
      <c r="AU4647" s="13"/>
      <c r="AV4647" s="13"/>
      <c r="CU4647" s="13"/>
      <c r="DG4647" s="13"/>
    </row>
    <row r="4648" spans="1:111" x14ac:dyDescent="0.2">
      <c r="A4648" s="13"/>
      <c r="B4648" s="14"/>
      <c r="C4648" s="13"/>
      <c r="E4648" s="13"/>
      <c r="N4648" s="13"/>
      <c r="O4648" s="13"/>
      <c r="P4648" s="13"/>
      <c r="Q4648" s="13"/>
      <c r="R4648" s="13"/>
      <c r="S4648" s="13"/>
      <c r="T4648" s="13"/>
      <c r="U4648" s="13"/>
      <c r="V4648" s="13"/>
      <c r="AC4648" s="13"/>
      <c r="AD4648" s="13"/>
      <c r="AE4648" s="13"/>
      <c r="AG4648" s="13"/>
      <c r="AH4648" s="13"/>
      <c r="AI4648" s="13"/>
      <c r="AJ4648" s="13"/>
      <c r="AK4648" s="13"/>
      <c r="AL4648" s="8"/>
      <c r="AU4648" s="13"/>
      <c r="AV4648" s="13"/>
      <c r="CU4648" s="13"/>
      <c r="DG4648" s="13"/>
    </row>
    <row r="4649" spans="1:111" x14ac:dyDescent="0.2">
      <c r="A4649" s="13"/>
      <c r="B4649" s="14"/>
      <c r="C4649" s="13"/>
      <c r="E4649" s="13"/>
      <c r="N4649" s="13"/>
      <c r="O4649" s="13"/>
      <c r="P4649" s="13"/>
      <c r="Q4649" s="13"/>
      <c r="R4649" s="13"/>
      <c r="S4649" s="13"/>
      <c r="T4649" s="13"/>
      <c r="U4649" s="13"/>
      <c r="V4649" s="13"/>
      <c r="AC4649" s="13"/>
      <c r="AD4649" s="13"/>
      <c r="AE4649" s="13"/>
      <c r="AG4649" s="13"/>
      <c r="AH4649" s="13"/>
      <c r="AI4649" s="13"/>
      <c r="AJ4649" s="13"/>
      <c r="AK4649" s="13"/>
      <c r="AL4649" s="8"/>
      <c r="AU4649" s="13"/>
      <c r="AV4649" s="13"/>
      <c r="CU4649" s="13"/>
      <c r="DG4649" s="13"/>
    </row>
    <row r="4650" spans="1:111" x14ac:dyDescent="0.2">
      <c r="A4650" s="13"/>
      <c r="B4650" s="14"/>
      <c r="C4650" s="13"/>
      <c r="E4650" s="13"/>
      <c r="N4650" s="13"/>
      <c r="O4650" s="13"/>
      <c r="P4650" s="13"/>
      <c r="Q4650" s="13"/>
      <c r="R4650" s="13"/>
      <c r="S4650" s="13"/>
      <c r="T4650" s="13"/>
      <c r="U4650" s="13"/>
      <c r="V4650" s="13"/>
      <c r="AC4650" s="13"/>
      <c r="AD4650" s="13"/>
      <c r="AE4650" s="13"/>
      <c r="AG4650" s="13"/>
      <c r="AH4650" s="13"/>
      <c r="AI4650" s="13"/>
      <c r="AJ4650" s="13"/>
      <c r="AK4650" s="13"/>
      <c r="AL4650" s="8"/>
      <c r="AU4650" s="13"/>
      <c r="AV4650" s="13"/>
      <c r="CU4650" s="13"/>
      <c r="DG4650" s="13"/>
    </row>
    <row r="4651" spans="1:111" x14ac:dyDescent="0.2">
      <c r="A4651" s="13"/>
      <c r="B4651" s="14"/>
      <c r="C4651" s="13"/>
      <c r="E4651" s="13"/>
      <c r="N4651" s="13"/>
      <c r="O4651" s="13"/>
      <c r="P4651" s="13"/>
      <c r="Q4651" s="13"/>
      <c r="R4651" s="13"/>
      <c r="S4651" s="13"/>
      <c r="T4651" s="13"/>
      <c r="U4651" s="13"/>
      <c r="V4651" s="13"/>
      <c r="AC4651" s="13"/>
      <c r="AD4651" s="13"/>
      <c r="AE4651" s="13"/>
      <c r="AG4651" s="13"/>
      <c r="AH4651" s="13"/>
      <c r="AI4651" s="13"/>
      <c r="AJ4651" s="13"/>
      <c r="AK4651" s="13"/>
      <c r="AL4651" s="8"/>
      <c r="AU4651" s="13"/>
      <c r="AV4651" s="13"/>
      <c r="CU4651" s="13"/>
      <c r="DG4651" s="13"/>
    </row>
    <row r="4652" spans="1:111" x14ac:dyDescent="0.2">
      <c r="A4652" s="13"/>
      <c r="B4652" s="14"/>
      <c r="C4652" s="13"/>
      <c r="E4652" s="13"/>
      <c r="N4652" s="13"/>
      <c r="O4652" s="13"/>
      <c r="P4652" s="13"/>
      <c r="Q4652" s="13"/>
      <c r="R4652" s="13"/>
      <c r="S4652" s="13"/>
      <c r="T4652" s="13"/>
      <c r="U4652" s="13"/>
      <c r="V4652" s="13"/>
      <c r="AC4652" s="13"/>
      <c r="AD4652" s="13"/>
      <c r="AE4652" s="13"/>
      <c r="AG4652" s="13"/>
      <c r="AH4652" s="13"/>
      <c r="AI4652" s="13"/>
      <c r="AJ4652" s="13"/>
      <c r="AK4652" s="13"/>
      <c r="AL4652" s="8"/>
      <c r="AU4652" s="13"/>
      <c r="AV4652" s="13"/>
      <c r="CU4652" s="13"/>
      <c r="DG4652" s="13"/>
    </row>
    <row r="4653" spans="1:111" x14ac:dyDescent="0.2">
      <c r="A4653" s="13"/>
      <c r="B4653" s="14"/>
      <c r="C4653" s="13"/>
      <c r="E4653" s="13"/>
      <c r="N4653" s="13"/>
      <c r="O4653" s="13"/>
      <c r="P4653" s="13"/>
      <c r="Q4653" s="13"/>
      <c r="R4653" s="13"/>
      <c r="S4653" s="13"/>
      <c r="T4653" s="13"/>
      <c r="U4653" s="13"/>
      <c r="V4653" s="13"/>
      <c r="AC4653" s="13"/>
      <c r="AD4653" s="13"/>
      <c r="AE4653" s="13"/>
      <c r="AG4653" s="13"/>
      <c r="AH4653" s="13"/>
      <c r="AI4653" s="13"/>
      <c r="AJ4653" s="13"/>
      <c r="AK4653" s="13"/>
      <c r="AL4653" s="8"/>
      <c r="AU4653" s="13"/>
      <c r="AV4653" s="13"/>
      <c r="CU4653" s="13"/>
      <c r="DG4653" s="13"/>
    </row>
    <row r="4654" spans="1:111" x14ac:dyDescent="0.2">
      <c r="A4654" s="13"/>
      <c r="B4654" s="14"/>
      <c r="C4654" s="13"/>
      <c r="E4654" s="13"/>
      <c r="N4654" s="13"/>
      <c r="O4654" s="13"/>
      <c r="P4654" s="13"/>
      <c r="Q4654" s="13"/>
      <c r="R4654" s="13"/>
      <c r="S4654" s="13"/>
      <c r="T4654" s="13"/>
      <c r="U4654" s="13"/>
      <c r="V4654" s="13"/>
      <c r="AC4654" s="13"/>
      <c r="AD4654" s="13"/>
      <c r="AE4654" s="13"/>
      <c r="AG4654" s="13"/>
      <c r="AH4654" s="13"/>
      <c r="AI4654" s="13"/>
      <c r="AJ4654" s="13"/>
      <c r="AK4654" s="13"/>
      <c r="AL4654" s="8"/>
      <c r="AU4654" s="13"/>
      <c r="AV4654" s="13"/>
      <c r="CU4654" s="13"/>
      <c r="DG4654" s="13"/>
    </row>
    <row r="4655" spans="1:111" x14ac:dyDescent="0.2">
      <c r="A4655" s="13"/>
      <c r="B4655" s="14"/>
      <c r="C4655" s="13"/>
      <c r="E4655" s="13"/>
      <c r="N4655" s="13"/>
      <c r="O4655" s="13"/>
      <c r="P4655" s="13"/>
      <c r="Q4655" s="13"/>
      <c r="R4655" s="13"/>
      <c r="S4655" s="13"/>
      <c r="T4655" s="13"/>
      <c r="U4655" s="13"/>
      <c r="V4655" s="13"/>
      <c r="AC4655" s="13"/>
      <c r="AD4655" s="13"/>
      <c r="AE4655" s="13"/>
      <c r="AG4655" s="13"/>
      <c r="AH4655" s="13"/>
      <c r="AI4655" s="13"/>
      <c r="AJ4655" s="13"/>
      <c r="AK4655" s="13"/>
      <c r="AL4655" s="8"/>
      <c r="AU4655" s="13"/>
      <c r="AV4655" s="13"/>
      <c r="CU4655" s="13"/>
      <c r="DG4655" s="13"/>
    </row>
    <row r="4656" spans="1:111" x14ac:dyDescent="0.2">
      <c r="A4656" s="13"/>
      <c r="B4656" s="14"/>
      <c r="C4656" s="13"/>
      <c r="E4656" s="13"/>
      <c r="N4656" s="13"/>
      <c r="O4656" s="13"/>
      <c r="P4656" s="13"/>
      <c r="Q4656" s="13"/>
      <c r="R4656" s="13"/>
      <c r="S4656" s="13"/>
      <c r="T4656" s="13"/>
      <c r="U4656" s="13"/>
      <c r="V4656" s="13"/>
      <c r="AC4656" s="13"/>
      <c r="AD4656" s="13"/>
      <c r="AE4656" s="13"/>
      <c r="AG4656" s="13"/>
      <c r="AH4656" s="13"/>
      <c r="AI4656" s="13"/>
      <c r="AJ4656" s="13"/>
      <c r="AK4656" s="13"/>
      <c r="AL4656" s="8"/>
      <c r="AU4656" s="13"/>
      <c r="AV4656" s="13"/>
      <c r="CU4656" s="13"/>
      <c r="DG4656" s="13"/>
    </row>
    <row r="4657" spans="1:111" x14ac:dyDescent="0.2">
      <c r="A4657" s="13"/>
      <c r="B4657" s="14"/>
      <c r="C4657" s="13"/>
      <c r="E4657" s="13"/>
      <c r="N4657" s="13"/>
      <c r="O4657" s="13"/>
      <c r="P4657" s="13"/>
      <c r="Q4657" s="13"/>
      <c r="R4657" s="13"/>
      <c r="S4657" s="13"/>
      <c r="T4657" s="13"/>
      <c r="U4657" s="13"/>
      <c r="V4657" s="13"/>
      <c r="AC4657" s="13"/>
      <c r="AD4657" s="13"/>
      <c r="AE4657" s="13"/>
      <c r="AG4657" s="13"/>
      <c r="AH4657" s="13"/>
      <c r="AI4657" s="13"/>
      <c r="AJ4657" s="13"/>
      <c r="AK4657" s="13"/>
      <c r="AL4657" s="8"/>
      <c r="AU4657" s="13"/>
      <c r="AV4657" s="13"/>
      <c r="CU4657" s="13"/>
      <c r="DG4657" s="13"/>
    </row>
    <row r="4658" spans="1:111" x14ac:dyDescent="0.2">
      <c r="A4658" s="13"/>
      <c r="B4658" s="14"/>
      <c r="C4658" s="13"/>
      <c r="E4658" s="13"/>
      <c r="N4658" s="13"/>
      <c r="O4658" s="13"/>
      <c r="P4658" s="13"/>
      <c r="Q4658" s="13"/>
      <c r="R4658" s="13"/>
      <c r="S4658" s="13"/>
      <c r="T4658" s="13"/>
      <c r="U4658" s="13"/>
      <c r="V4658" s="13"/>
      <c r="AC4658" s="13"/>
      <c r="AD4658" s="13"/>
      <c r="AE4658" s="13"/>
      <c r="AG4658" s="13"/>
      <c r="AH4658" s="13"/>
      <c r="AI4658" s="13"/>
      <c r="AJ4658" s="13"/>
      <c r="AK4658" s="13"/>
      <c r="AL4658" s="8"/>
      <c r="AU4658" s="13"/>
      <c r="AV4658" s="13"/>
      <c r="CU4658" s="13"/>
      <c r="DG4658" s="13"/>
    </row>
    <row r="4659" spans="1:111" x14ac:dyDescent="0.2">
      <c r="A4659" s="13"/>
      <c r="B4659" s="14"/>
      <c r="C4659" s="13"/>
      <c r="E4659" s="13"/>
      <c r="N4659" s="13"/>
      <c r="O4659" s="13"/>
      <c r="P4659" s="13"/>
      <c r="Q4659" s="13"/>
      <c r="R4659" s="13"/>
      <c r="S4659" s="13"/>
      <c r="T4659" s="13"/>
      <c r="U4659" s="13"/>
      <c r="V4659" s="13"/>
      <c r="AC4659" s="13"/>
      <c r="AD4659" s="13"/>
      <c r="AE4659" s="13"/>
      <c r="AG4659" s="13"/>
      <c r="AH4659" s="13"/>
      <c r="AI4659" s="13"/>
      <c r="AJ4659" s="13"/>
      <c r="AK4659" s="13"/>
      <c r="AL4659" s="8"/>
      <c r="AU4659" s="13"/>
      <c r="AV4659" s="13"/>
      <c r="CU4659" s="13"/>
      <c r="DG4659" s="13"/>
    </row>
    <row r="4660" spans="1:111" x14ac:dyDescent="0.2">
      <c r="A4660" s="13"/>
      <c r="B4660" s="14"/>
      <c r="C4660" s="13"/>
      <c r="E4660" s="13"/>
      <c r="N4660" s="13"/>
      <c r="O4660" s="13"/>
      <c r="P4660" s="13"/>
      <c r="Q4660" s="13"/>
      <c r="R4660" s="13"/>
      <c r="S4660" s="13"/>
      <c r="T4660" s="13"/>
      <c r="U4660" s="13"/>
      <c r="V4660" s="13"/>
      <c r="AC4660" s="13"/>
      <c r="AD4660" s="13"/>
      <c r="AE4660" s="13"/>
      <c r="AG4660" s="13"/>
      <c r="AH4660" s="13"/>
      <c r="AI4660" s="13"/>
      <c r="AJ4660" s="13"/>
      <c r="AK4660" s="13"/>
      <c r="AL4660" s="8"/>
      <c r="AU4660" s="13"/>
      <c r="AV4660" s="13"/>
      <c r="CU4660" s="13"/>
      <c r="DG4660" s="13"/>
    </row>
    <row r="4661" spans="1:111" x14ac:dyDescent="0.2">
      <c r="A4661" s="13"/>
      <c r="B4661" s="14"/>
      <c r="C4661" s="13"/>
      <c r="E4661" s="13"/>
      <c r="N4661" s="13"/>
      <c r="O4661" s="13"/>
      <c r="P4661" s="13"/>
      <c r="Q4661" s="13"/>
      <c r="R4661" s="13"/>
      <c r="S4661" s="13"/>
      <c r="T4661" s="13"/>
      <c r="U4661" s="13"/>
      <c r="V4661" s="13"/>
      <c r="AC4661" s="13"/>
      <c r="AD4661" s="13"/>
      <c r="AE4661" s="13"/>
      <c r="AG4661" s="13"/>
      <c r="AH4661" s="13"/>
      <c r="AI4661" s="13"/>
      <c r="AJ4661" s="13"/>
      <c r="AK4661" s="13"/>
      <c r="AL4661" s="8"/>
      <c r="AU4661" s="13"/>
      <c r="AV4661" s="13"/>
      <c r="CU4661" s="13"/>
      <c r="DG4661" s="13"/>
    </row>
    <row r="4662" spans="1:111" x14ac:dyDescent="0.2">
      <c r="A4662" s="13"/>
      <c r="B4662" s="14"/>
      <c r="C4662" s="13"/>
      <c r="E4662" s="13"/>
      <c r="N4662" s="13"/>
      <c r="O4662" s="13"/>
      <c r="P4662" s="13"/>
      <c r="Q4662" s="13"/>
      <c r="R4662" s="13"/>
      <c r="S4662" s="13"/>
      <c r="T4662" s="13"/>
      <c r="U4662" s="13"/>
      <c r="V4662" s="13"/>
      <c r="AC4662" s="13"/>
      <c r="AD4662" s="13"/>
      <c r="AE4662" s="13"/>
      <c r="AG4662" s="13"/>
      <c r="AH4662" s="13"/>
      <c r="AI4662" s="13"/>
      <c r="AJ4662" s="13"/>
      <c r="AK4662" s="13"/>
      <c r="AL4662" s="8"/>
      <c r="AU4662" s="13"/>
      <c r="AV4662" s="13"/>
      <c r="CU4662" s="13"/>
      <c r="DG4662" s="13"/>
    </row>
    <row r="4663" spans="1:111" x14ac:dyDescent="0.2">
      <c r="A4663" s="13"/>
      <c r="B4663" s="14"/>
      <c r="C4663" s="13"/>
      <c r="E4663" s="13"/>
      <c r="N4663" s="13"/>
      <c r="O4663" s="13"/>
      <c r="P4663" s="13"/>
      <c r="Q4663" s="13"/>
      <c r="R4663" s="13"/>
      <c r="S4663" s="13"/>
      <c r="T4663" s="13"/>
      <c r="U4663" s="13"/>
      <c r="V4663" s="13"/>
      <c r="AC4663" s="13"/>
      <c r="AD4663" s="13"/>
      <c r="AE4663" s="13"/>
      <c r="AG4663" s="13"/>
      <c r="AH4663" s="13"/>
      <c r="AI4663" s="13"/>
      <c r="AJ4663" s="13"/>
      <c r="AK4663" s="13"/>
      <c r="AL4663" s="8"/>
      <c r="AU4663" s="13"/>
      <c r="AV4663" s="13"/>
      <c r="CU4663" s="13"/>
      <c r="DG4663" s="13"/>
    </row>
    <row r="4664" spans="1:111" x14ac:dyDescent="0.2">
      <c r="A4664" s="13"/>
      <c r="B4664" s="14"/>
      <c r="C4664" s="13"/>
      <c r="E4664" s="13"/>
      <c r="N4664" s="13"/>
      <c r="O4664" s="13"/>
      <c r="P4664" s="13"/>
      <c r="Q4664" s="13"/>
      <c r="R4664" s="13"/>
      <c r="S4664" s="13"/>
      <c r="T4664" s="13"/>
      <c r="U4664" s="13"/>
      <c r="V4664" s="13"/>
      <c r="AC4664" s="13"/>
      <c r="AD4664" s="13"/>
      <c r="AE4664" s="13"/>
      <c r="AG4664" s="13"/>
      <c r="AH4664" s="13"/>
      <c r="AI4664" s="13"/>
      <c r="AJ4664" s="13"/>
      <c r="AK4664" s="13"/>
      <c r="AL4664" s="8"/>
      <c r="AU4664" s="13"/>
      <c r="AV4664" s="13"/>
      <c r="CU4664" s="13"/>
      <c r="DG4664" s="13"/>
    </row>
    <row r="4665" spans="1:111" x14ac:dyDescent="0.2">
      <c r="A4665" s="13"/>
      <c r="B4665" s="14"/>
      <c r="C4665" s="13"/>
      <c r="E4665" s="13"/>
      <c r="N4665" s="13"/>
      <c r="O4665" s="13"/>
      <c r="P4665" s="13"/>
      <c r="Q4665" s="13"/>
      <c r="R4665" s="13"/>
      <c r="S4665" s="13"/>
      <c r="T4665" s="13"/>
      <c r="U4665" s="13"/>
      <c r="V4665" s="13"/>
      <c r="AC4665" s="13"/>
      <c r="AD4665" s="13"/>
      <c r="AE4665" s="13"/>
      <c r="AG4665" s="13"/>
      <c r="AH4665" s="13"/>
      <c r="AI4665" s="13"/>
      <c r="AJ4665" s="13"/>
      <c r="AK4665" s="13"/>
      <c r="AL4665" s="8"/>
      <c r="AU4665" s="13"/>
      <c r="AV4665" s="13"/>
      <c r="CU4665" s="13"/>
      <c r="DG4665" s="13"/>
    </row>
    <row r="4666" spans="1:111" x14ac:dyDescent="0.2">
      <c r="A4666" s="13"/>
      <c r="B4666" s="14"/>
      <c r="C4666" s="13"/>
      <c r="E4666" s="13"/>
      <c r="N4666" s="13"/>
      <c r="O4666" s="13"/>
      <c r="P4666" s="13"/>
      <c r="Q4666" s="13"/>
      <c r="R4666" s="13"/>
      <c r="S4666" s="13"/>
      <c r="T4666" s="13"/>
      <c r="U4666" s="13"/>
      <c r="V4666" s="13"/>
      <c r="AC4666" s="13"/>
      <c r="AD4666" s="13"/>
      <c r="AE4666" s="13"/>
      <c r="AG4666" s="13"/>
      <c r="AH4666" s="13"/>
      <c r="AI4666" s="13"/>
      <c r="AJ4666" s="13"/>
      <c r="AK4666" s="13"/>
      <c r="AL4666" s="8"/>
      <c r="AU4666" s="13"/>
      <c r="AV4666" s="13"/>
      <c r="CU4666" s="13"/>
      <c r="DG4666" s="13"/>
    </row>
    <row r="4667" spans="1:111" x14ac:dyDescent="0.2">
      <c r="A4667" s="13"/>
      <c r="B4667" s="14"/>
      <c r="C4667" s="13"/>
      <c r="E4667" s="13"/>
      <c r="N4667" s="13"/>
      <c r="O4667" s="13"/>
      <c r="P4667" s="13"/>
      <c r="Q4667" s="13"/>
      <c r="R4667" s="13"/>
      <c r="S4667" s="13"/>
      <c r="T4667" s="13"/>
      <c r="U4667" s="13"/>
      <c r="V4667" s="13"/>
      <c r="AC4667" s="13"/>
      <c r="AD4667" s="13"/>
      <c r="AE4667" s="13"/>
      <c r="AG4667" s="13"/>
      <c r="AH4667" s="13"/>
      <c r="AI4667" s="13"/>
      <c r="AJ4667" s="13"/>
      <c r="AK4667" s="13"/>
      <c r="AL4667" s="8"/>
      <c r="AU4667" s="13"/>
      <c r="AV4667" s="13"/>
      <c r="CU4667" s="13"/>
      <c r="DG4667" s="13"/>
    </row>
    <row r="4668" spans="1:111" x14ac:dyDescent="0.2">
      <c r="A4668" s="13"/>
      <c r="B4668" s="14"/>
      <c r="C4668" s="13"/>
      <c r="E4668" s="13"/>
      <c r="N4668" s="13"/>
      <c r="O4668" s="13"/>
      <c r="P4668" s="13"/>
      <c r="Q4668" s="13"/>
      <c r="R4668" s="13"/>
      <c r="S4668" s="13"/>
      <c r="T4668" s="13"/>
      <c r="U4668" s="13"/>
      <c r="V4668" s="13"/>
      <c r="AC4668" s="13"/>
      <c r="AD4668" s="13"/>
      <c r="AE4668" s="13"/>
      <c r="AG4668" s="13"/>
      <c r="AH4668" s="13"/>
      <c r="AI4668" s="13"/>
      <c r="AJ4668" s="13"/>
      <c r="AK4668" s="13"/>
      <c r="AL4668" s="8"/>
      <c r="AU4668" s="13"/>
      <c r="AV4668" s="13"/>
      <c r="CU4668" s="13"/>
      <c r="DG4668" s="13"/>
    </row>
    <row r="4669" spans="1:111" x14ac:dyDescent="0.2">
      <c r="A4669" s="13"/>
      <c r="B4669" s="14"/>
      <c r="C4669" s="13"/>
      <c r="E4669" s="13"/>
      <c r="N4669" s="13"/>
      <c r="O4669" s="13"/>
      <c r="P4669" s="13"/>
      <c r="Q4669" s="13"/>
      <c r="R4669" s="13"/>
      <c r="S4669" s="13"/>
      <c r="T4669" s="13"/>
      <c r="U4669" s="13"/>
      <c r="V4669" s="13"/>
      <c r="AC4669" s="13"/>
      <c r="AD4669" s="13"/>
      <c r="AE4669" s="13"/>
      <c r="AG4669" s="13"/>
      <c r="AH4669" s="13"/>
      <c r="AI4669" s="13"/>
      <c r="AJ4669" s="13"/>
      <c r="AK4669" s="13"/>
      <c r="AL4669" s="8"/>
      <c r="AU4669" s="13"/>
      <c r="AV4669" s="13"/>
      <c r="CU4669" s="13"/>
      <c r="DG4669" s="13"/>
    </row>
    <row r="4670" spans="1:111" x14ac:dyDescent="0.2">
      <c r="A4670" s="13"/>
      <c r="B4670" s="14"/>
      <c r="C4670" s="13"/>
      <c r="E4670" s="13"/>
      <c r="N4670" s="13"/>
      <c r="O4670" s="13"/>
      <c r="P4670" s="13"/>
      <c r="Q4670" s="13"/>
      <c r="R4670" s="13"/>
      <c r="S4670" s="13"/>
      <c r="T4670" s="13"/>
      <c r="U4670" s="13"/>
      <c r="V4670" s="13"/>
      <c r="AC4670" s="13"/>
      <c r="AD4670" s="13"/>
      <c r="AE4670" s="13"/>
      <c r="AG4670" s="13"/>
      <c r="AH4670" s="13"/>
      <c r="AI4670" s="13"/>
      <c r="AJ4670" s="13"/>
      <c r="AK4670" s="13"/>
      <c r="AL4670" s="8"/>
      <c r="AU4670" s="13"/>
      <c r="AV4670" s="13"/>
      <c r="CU4670" s="13"/>
      <c r="DG4670" s="13"/>
    </row>
    <row r="4671" spans="1:111" x14ac:dyDescent="0.2">
      <c r="A4671" s="13"/>
      <c r="B4671" s="14"/>
      <c r="C4671" s="13"/>
      <c r="E4671" s="13"/>
      <c r="N4671" s="13"/>
      <c r="O4671" s="13"/>
      <c r="P4671" s="13"/>
      <c r="Q4671" s="13"/>
      <c r="R4671" s="13"/>
      <c r="S4671" s="13"/>
      <c r="T4671" s="13"/>
      <c r="U4671" s="13"/>
      <c r="V4671" s="13"/>
      <c r="AC4671" s="13"/>
      <c r="AD4671" s="13"/>
      <c r="AE4671" s="13"/>
      <c r="AG4671" s="13"/>
      <c r="AH4671" s="13"/>
      <c r="AI4671" s="13"/>
      <c r="AJ4671" s="13"/>
      <c r="AK4671" s="13"/>
      <c r="AL4671" s="8"/>
      <c r="AU4671" s="13"/>
      <c r="AV4671" s="13"/>
      <c r="CU4671" s="13"/>
      <c r="DG4671" s="13"/>
    </row>
    <row r="4672" spans="1:111" x14ac:dyDescent="0.2">
      <c r="A4672" s="13"/>
      <c r="B4672" s="14"/>
      <c r="C4672" s="13"/>
      <c r="E4672" s="13"/>
      <c r="N4672" s="13"/>
      <c r="O4672" s="13"/>
      <c r="P4672" s="13"/>
      <c r="Q4672" s="13"/>
      <c r="R4672" s="13"/>
      <c r="S4672" s="13"/>
      <c r="T4672" s="13"/>
      <c r="U4672" s="13"/>
      <c r="V4672" s="13"/>
      <c r="AC4672" s="13"/>
      <c r="AD4672" s="13"/>
      <c r="AE4672" s="13"/>
      <c r="AG4672" s="13"/>
      <c r="AH4672" s="13"/>
      <c r="AI4672" s="13"/>
      <c r="AJ4672" s="13"/>
      <c r="AK4672" s="13"/>
      <c r="AL4672" s="8"/>
      <c r="AU4672" s="13"/>
      <c r="AV4672" s="13"/>
      <c r="CU4672" s="13"/>
      <c r="DG4672" s="13"/>
    </row>
    <row r="4673" spans="1:111" x14ac:dyDescent="0.2">
      <c r="A4673" s="13"/>
      <c r="B4673" s="14"/>
      <c r="C4673" s="13"/>
      <c r="E4673" s="13"/>
      <c r="N4673" s="13"/>
      <c r="O4673" s="13"/>
      <c r="P4673" s="13"/>
      <c r="Q4673" s="13"/>
      <c r="R4673" s="13"/>
      <c r="S4673" s="13"/>
      <c r="T4673" s="13"/>
      <c r="U4673" s="13"/>
      <c r="V4673" s="13"/>
      <c r="AC4673" s="13"/>
      <c r="AD4673" s="13"/>
      <c r="AE4673" s="13"/>
      <c r="AG4673" s="13"/>
      <c r="AH4673" s="13"/>
      <c r="AI4673" s="13"/>
      <c r="AJ4673" s="13"/>
      <c r="AK4673" s="13"/>
      <c r="AL4673" s="8"/>
      <c r="AU4673" s="13"/>
      <c r="AV4673" s="13"/>
      <c r="CU4673" s="13"/>
      <c r="DG4673" s="13"/>
    </row>
    <row r="4674" spans="1:111" x14ac:dyDescent="0.2">
      <c r="A4674" s="13"/>
      <c r="B4674" s="14"/>
      <c r="C4674" s="13"/>
      <c r="E4674" s="13"/>
      <c r="N4674" s="13"/>
      <c r="O4674" s="13"/>
      <c r="P4674" s="13"/>
      <c r="Q4674" s="13"/>
      <c r="R4674" s="13"/>
      <c r="S4674" s="13"/>
      <c r="T4674" s="13"/>
      <c r="U4674" s="13"/>
      <c r="V4674" s="13"/>
      <c r="AC4674" s="13"/>
      <c r="AD4674" s="13"/>
      <c r="AE4674" s="13"/>
      <c r="AG4674" s="13"/>
      <c r="AH4674" s="13"/>
      <c r="AI4674" s="13"/>
      <c r="AJ4674" s="13"/>
      <c r="AK4674" s="13"/>
      <c r="AL4674" s="8"/>
      <c r="AU4674" s="13"/>
      <c r="AV4674" s="13"/>
      <c r="CU4674" s="13"/>
      <c r="DG4674" s="13"/>
    </row>
    <row r="4675" spans="1:111" x14ac:dyDescent="0.2">
      <c r="A4675" s="13"/>
      <c r="B4675" s="14"/>
      <c r="C4675" s="13"/>
      <c r="E4675" s="13"/>
      <c r="N4675" s="13"/>
      <c r="O4675" s="13"/>
      <c r="P4675" s="13"/>
      <c r="Q4675" s="13"/>
      <c r="R4675" s="13"/>
      <c r="S4675" s="13"/>
      <c r="T4675" s="13"/>
      <c r="U4675" s="13"/>
      <c r="V4675" s="13"/>
      <c r="AC4675" s="13"/>
      <c r="AD4675" s="13"/>
      <c r="AE4675" s="13"/>
      <c r="AG4675" s="13"/>
      <c r="AH4675" s="13"/>
      <c r="AI4675" s="13"/>
      <c r="AJ4675" s="13"/>
      <c r="AK4675" s="13"/>
      <c r="AL4675" s="8"/>
      <c r="AU4675" s="13"/>
      <c r="AV4675" s="13"/>
      <c r="CU4675" s="13"/>
      <c r="DG4675" s="13"/>
    </row>
    <row r="4676" spans="1:111" x14ac:dyDescent="0.2">
      <c r="A4676" s="13"/>
      <c r="B4676" s="14"/>
      <c r="C4676" s="13"/>
      <c r="E4676" s="13"/>
      <c r="N4676" s="13"/>
      <c r="O4676" s="13"/>
      <c r="P4676" s="13"/>
      <c r="Q4676" s="13"/>
      <c r="R4676" s="13"/>
      <c r="S4676" s="13"/>
      <c r="T4676" s="13"/>
      <c r="U4676" s="13"/>
      <c r="V4676" s="13"/>
      <c r="AC4676" s="13"/>
      <c r="AD4676" s="13"/>
      <c r="AE4676" s="13"/>
      <c r="AG4676" s="13"/>
      <c r="AH4676" s="13"/>
      <c r="AI4676" s="13"/>
      <c r="AJ4676" s="13"/>
      <c r="AK4676" s="13"/>
      <c r="AL4676" s="8"/>
      <c r="AU4676" s="13"/>
      <c r="AV4676" s="13"/>
      <c r="CU4676" s="13"/>
      <c r="DG4676" s="13"/>
    </row>
    <row r="4677" spans="1:111" x14ac:dyDescent="0.2">
      <c r="A4677" s="13"/>
      <c r="B4677" s="14"/>
      <c r="C4677" s="13"/>
      <c r="E4677" s="13"/>
      <c r="N4677" s="13"/>
      <c r="O4677" s="13"/>
      <c r="P4677" s="13"/>
      <c r="Q4677" s="13"/>
      <c r="R4677" s="13"/>
      <c r="S4677" s="13"/>
      <c r="T4677" s="13"/>
      <c r="U4677" s="13"/>
      <c r="V4677" s="13"/>
      <c r="AC4677" s="13"/>
      <c r="AD4677" s="13"/>
      <c r="AE4677" s="13"/>
      <c r="AG4677" s="13"/>
      <c r="AH4677" s="13"/>
      <c r="AI4677" s="13"/>
      <c r="AJ4677" s="13"/>
      <c r="AK4677" s="13"/>
      <c r="AL4677" s="8"/>
      <c r="AU4677" s="13"/>
      <c r="AV4677" s="13"/>
      <c r="CU4677" s="13"/>
      <c r="DG4677" s="13"/>
    </row>
    <row r="4678" spans="1:111" x14ac:dyDescent="0.2">
      <c r="A4678" s="13"/>
      <c r="B4678" s="14"/>
      <c r="C4678" s="13"/>
      <c r="E4678" s="13"/>
      <c r="N4678" s="13"/>
      <c r="O4678" s="13"/>
      <c r="P4678" s="13"/>
      <c r="Q4678" s="13"/>
      <c r="R4678" s="13"/>
      <c r="S4678" s="13"/>
      <c r="T4678" s="13"/>
      <c r="U4678" s="13"/>
      <c r="V4678" s="13"/>
      <c r="AC4678" s="13"/>
      <c r="AD4678" s="13"/>
      <c r="AE4678" s="13"/>
      <c r="AG4678" s="13"/>
      <c r="AH4678" s="13"/>
      <c r="AI4678" s="13"/>
      <c r="AJ4678" s="13"/>
      <c r="AK4678" s="13"/>
      <c r="AL4678" s="8"/>
      <c r="AU4678" s="13"/>
      <c r="AV4678" s="13"/>
      <c r="CU4678" s="13"/>
      <c r="DG4678" s="13"/>
    </row>
    <row r="4679" spans="1:111" x14ac:dyDescent="0.2">
      <c r="A4679" s="13"/>
      <c r="B4679" s="14"/>
      <c r="C4679" s="13"/>
      <c r="E4679" s="13"/>
      <c r="N4679" s="13"/>
      <c r="O4679" s="13"/>
      <c r="P4679" s="13"/>
      <c r="Q4679" s="13"/>
      <c r="R4679" s="13"/>
      <c r="S4679" s="13"/>
      <c r="T4679" s="13"/>
      <c r="U4679" s="13"/>
      <c r="V4679" s="13"/>
      <c r="AC4679" s="13"/>
      <c r="AD4679" s="13"/>
      <c r="AE4679" s="13"/>
      <c r="AG4679" s="13"/>
      <c r="AH4679" s="13"/>
      <c r="AI4679" s="13"/>
      <c r="AJ4679" s="13"/>
      <c r="AK4679" s="13"/>
      <c r="AL4679" s="8"/>
      <c r="AU4679" s="13"/>
      <c r="AV4679" s="13"/>
      <c r="CU4679" s="13"/>
      <c r="DG4679" s="13"/>
    </row>
    <row r="4680" spans="1:111" x14ac:dyDescent="0.2">
      <c r="A4680" s="13"/>
      <c r="B4680" s="14"/>
      <c r="C4680" s="13"/>
      <c r="E4680" s="13"/>
      <c r="N4680" s="13"/>
      <c r="O4680" s="13"/>
      <c r="P4680" s="13"/>
      <c r="Q4680" s="13"/>
      <c r="R4680" s="13"/>
      <c r="S4680" s="13"/>
      <c r="T4680" s="13"/>
      <c r="U4680" s="13"/>
      <c r="V4680" s="13"/>
      <c r="AC4680" s="13"/>
      <c r="AD4680" s="13"/>
      <c r="AE4680" s="13"/>
      <c r="AG4680" s="13"/>
      <c r="AH4680" s="13"/>
      <c r="AI4680" s="13"/>
      <c r="AJ4680" s="13"/>
      <c r="AK4680" s="13"/>
      <c r="AL4680" s="8"/>
      <c r="AU4680" s="13"/>
      <c r="AV4680" s="13"/>
      <c r="CU4680" s="13"/>
      <c r="DG4680" s="13"/>
    </row>
    <row r="4681" spans="1:111" x14ac:dyDescent="0.2">
      <c r="A4681" s="13"/>
      <c r="B4681" s="14"/>
      <c r="C4681" s="13"/>
      <c r="E4681" s="13"/>
      <c r="N4681" s="13"/>
      <c r="O4681" s="13"/>
      <c r="P4681" s="13"/>
      <c r="Q4681" s="13"/>
      <c r="R4681" s="13"/>
      <c r="S4681" s="13"/>
      <c r="T4681" s="13"/>
      <c r="U4681" s="13"/>
      <c r="V4681" s="13"/>
      <c r="AC4681" s="13"/>
      <c r="AD4681" s="13"/>
      <c r="AE4681" s="13"/>
      <c r="AG4681" s="13"/>
      <c r="AH4681" s="13"/>
      <c r="AI4681" s="13"/>
      <c r="AJ4681" s="13"/>
      <c r="AK4681" s="13"/>
      <c r="AL4681" s="8"/>
      <c r="AU4681" s="13"/>
      <c r="AV4681" s="13"/>
      <c r="CU4681" s="13"/>
      <c r="DG4681" s="13"/>
    </row>
    <row r="4682" spans="1:111" x14ac:dyDescent="0.2">
      <c r="A4682" s="13"/>
      <c r="B4682" s="14"/>
      <c r="C4682" s="13"/>
      <c r="E4682" s="13"/>
      <c r="N4682" s="13"/>
      <c r="O4682" s="13"/>
      <c r="P4682" s="13"/>
      <c r="Q4682" s="13"/>
      <c r="R4682" s="13"/>
      <c r="S4682" s="13"/>
      <c r="T4682" s="13"/>
      <c r="U4682" s="13"/>
      <c r="V4682" s="13"/>
      <c r="AC4682" s="13"/>
      <c r="AD4682" s="13"/>
      <c r="AE4682" s="13"/>
      <c r="AG4682" s="13"/>
      <c r="AH4682" s="13"/>
      <c r="AI4682" s="13"/>
      <c r="AJ4682" s="13"/>
      <c r="AK4682" s="13"/>
      <c r="AL4682" s="8"/>
      <c r="AU4682" s="13"/>
      <c r="AV4682" s="13"/>
      <c r="CU4682" s="13"/>
      <c r="DG4682" s="13"/>
    </row>
    <row r="4683" spans="1:111" x14ac:dyDescent="0.2">
      <c r="A4683" s="13"/>
      <c r="B4683" s="14"/>
      <c r="C4683" s="13"/>
      <c r="E4683" s="13"/>
      <c r="N4683" s="13"/>
      <c r="O4683" s="13"/>
      <c r="P4683" s="13"/>
      <c r="Q4683" s="13"/>
      <c r="R4683" s="13"/>
      <c r="S4683" s="13"/>
      <c r="T4683" s="13"/>
      <c r="U4683" s="13"/>
      <c r="V4683" s="13"/>
      <c r="AC4683" s="13"/>
      <c r="AD4683" s="13"/>
      <c r="AE4683" s="13"/>
      <c r="AG4683" s="13"/>
      <c r="AH4683" s="13"/>
      <c r="AI4683" s="13"/>
      <c r="AJ4683" s="13"/>
      <c r="AK4683" s="13"/>
      <c r="AL4683" s="8"/>
      <c r="AU4683" s="13"/>
      <c r="AV4683" s="13"/>
      <c r="CU4683" s="13"/>
      <c r="DG4683" s="13"/>
    </row>
    <row r="4684" spans="1:111" x14ac:dyDescent="0.2">
      <c r="A4684" s="13"/>
      <c r="B4684" s="14"/>
      <c r="C4684" s="13"/>
      <c r="E4684" s="13"/>
      <c r="N4684" s="13"/>
      <c r="O4684" s="13"/>
      <c r="P4684" s="13"/>
      <c r="Q4684" s="13"/>
      <c r="R4684" s="13"/>
      <c r="S4684" s="13"/>
      <c r="T4684" s="13"/>
      <c r="U4684" s="13"/>
      <c r="V4684" s="13"/>
      <c r="AC4684" s="13"/>
      <c r="AD4684" s="13"/>
      <c r="AE4684" s="13"/>
      <c r="AG4684" s="13"/>
      <c r="AH4684" s="13"/>
      <c r="AI4684" s="13"/>
      <c r="AJ4684" s="13"/>
      <c r="AK4684" s="13"/>
      <c r="AL4684" s="8"/>
      <c r="AU4684" s="13"/>
      <c r="AV4684" s="13"/>
      <c r="CU4684" s="13"/>
      <c r="DG4684" s="13"/>
    </row>
    <row r="4685" spans="1:111" x14ac:dyDescent="0.2">
      <c r="A4685" s="13"/>
      <c r="B4685" s="14"/>
      <c r="C4685" s="13"/>
      <c r="E4685" s="13"/>
      <c r="N4685" s="13"/>
      <c r="O4685" s="13"/>
      <c r="P4685" s="13"/>
      <c r="Q4685" s="13"/>
      <c r="R4685" s="13"/>
      <c r="S4685" s="13"/>
      <c r="T4685" s="13"/>
      <c r="U4685" s="13"/>
      <c r="V4685" s="13"/>
      <c r="AC4685" s="13"/>
      <c r="AD4685" s="13"/>
      <c r="AE4685" s="13"/>
      <c r="AG4685" s="13"/>
      <c r="AH4685" s="13"/>
      <c r="AI4685" s="13"/>
      <c r="AJ4685" s="13"/>
      <c r="AK4685" s="13"/>
      <c r="AL4685" s="8"/>
      <c r="AU4685" s="13"/>
      <c r="AV4685" s="13"/>
      <c r="CU4685" s="13"/>
      <c r="DG4685" s="13"/>
    </row>
    <row r="4686" spans="1:111" x14ac:dyDescent="0.2">
      <c r="A4686" s="13"/>
      <c r="B4686" s="14"/>
      <c r="C4686" s="13"/>
      <c r="E4686" s="13"/>
      <c r="N4686" s="13"/>
      <c r="O4686" s="13"/>
      <c r="P4686" s="13"/>
      <c r="Q4686" s="13"/>
      <c r="R4686" s="13"/>
      <c r="S4686" s="13"/>
      <c r="T4686" s="13"/>
      <c r="U4686" s="13"/>
      <c r="V4686" s="13"/>
      <c r="AC4686" s="13"/>
      <c r="AD4686" s="13"/>
      <c r="AE4686" s="13"/>
      <c r="AG4686" s="13"/>
      <c r="AH4686" s="13"/>
      <c r="AI4686" s="13"/>
      <c r="AJ4686" s="13"/>
      <c r="AK4686" s="13"/>
      <c r="AL4686" s="8"/>
      <c r="AU4686" s="13"/>
      <c r="AV4686" s="13"/>
      <c r="CU4686" s="13"/>
      <c r="DG4686" s="13"/>
    </row>
    <row r="4687" spans="1:111" x14ac:dyDescent="0.2">
      <c r="A4687" s="13"/>
      <c r="B4687" s="14"/>
      <c r="C4687" s="13"/>
      <c r="E4687" s="13"/>
      <c r="N4687" s="13"/>
      <c r="O4687" s="13"/>
      <c r="P4687" s="13"/>
      <c r="Q4687" s="13"/>
      <c r="R4687" s="13"/>
      <c r="S4687" s="13"/>
      <c r="T4687" s="13"/>
      <c r="U4687" s="13"/>
      <c r="V4687" s="13"/>
      <c r="AC4687" s="13"/>
      <c r="AD4687" s="13"/>
      <c r="AE4687" s="13"/>
      <c r="AG4687" s="13"/>
      <c r="AH4687" s="13"/>
      <c r="AI4687" s="13"/>
      <c r="AJ4687" s="13"/>
      <c r="AK4687" s="13"/>
      <c r="AL4687" s="8"/>
      <c r="AU4687" s="13"/>
      <c r="AV4687" s="13"/>
      <c r="CU4687" s="13"/>
      <c r="DG4687" s="13"/>
    </row>
    <row r="4688" spans="1:111" x14ac:dyDescent="0.2">
      <c r="A4688" s="13"/>
      <c r="B4688" s="14"/>
      <c r="C4688" s="13"/>
      <c r="E4688" s="13"/>
      <c r="N4688" s="13"/>
      <c r="O4688" s="13"/>
      <c r="P4688" s="13"/>
      <c r="Q4688" s="13"/>
      <c r="R4688" s="13"/>
      <c r="S4688" s="13"/>
      <c r="T4688" s="13"/>
      <c r="U4688" s="13"/>
      <c r="V4688" s="13"/>
      <c r="AC4688" s="13"/>
      <c r="AD4688" s="13"/>
      <c r="AE4688" s="13"/>
      <c r="AG4688" s="13"/>
      <c r="AH4688" s="13"/>
      <c r="AI4688" s="13"/>
      <c r="AJ4688" s="13"/>
      <c r="AK4688" s="13"/>
      <c r="AL4688" s="8"/>
      <c r="AU4688" s="13"/>
      <c r="AV4688" s="13"/>
      <c r="CU4688" s="13"/>
      <c r="DG4688" s="13"/>
    </row>
    <row r="4689" spans="1:111" x14ac:dyDescent="0.2">
      <c r="A4689" s="13"/>
      <c r="B4689" s="14"/>
      <c r="C4689" s="13"/>
      <c r="E4689" s="13"/>
      <c r="N4689" s="13"/>
      <c r="O4689" s="13"/>
      <c r="P4689" s="13"/>
      <c r="Q4689" s="13"/>
      <c r="R4689" s="13"/>
      <c r="S4689" s="13"/>
      <c r="T4689" s="13"/>
      <c r="U4689" s="13"/>
      <c r="V4689" s="13"/>
      <c r="AC4689" s="13"/>
      <c r="AD4689" s="13"/>
      <c r="AE4689" s="13"/>
      <c r="AG4689" s="13"/>
      <c r="AH4689" s="13"/>
      <c r="AI4689" s="13"/>
      <c r="AJ4689" s="13"/>
      <c r="AK4689" s="13"/>
      <c r="AL4689" s="8"/>
      <c r="AU4689" s="13"/>
      <c r="AV4689" s="13"/>
      <c r="CU4689" s="13"/>
      <c r="DG4689" s="13"/>
    </row>
    <row r="4690" spans="1:111" x14ac:dyDescent="0.2">
      <c r="A4690" s="13"/>
      <c r="B4690" s="14"/>
      <c r="C4690" s="13"/>
      <c r="E4690" s="13"/>
      <c r="N4690" s="13"/>
      <c r="O4690" s="13"/>
      <c r="P4690" s="13"/>
      <c r="Q4690" s="13"/>
      <c r="R4690" s="13"/>
      <c r="S4690" s="13"/>
      <c r="T4690" s="13"/>
      <c r="U4690" s="13"/>
      <c r="V4690" s="13"/>
      <c r="AC4690" s="13"/>
      <c r="AD4690" s="13"/>
      <c r="AE4690" s="13"/>
      <c r="AG4690" s="13"/>
      <c r="AH4690" s="13"/>
      <c r="AI4690" s="13"/>
      <c r="AJ4690" s="13"/>
      <c r="AK4690" s="13"/>
      <c r="AL4690" s="8"/>
      <c r="AU4690" s="13"/>
      <c r="AV4690" s="13"/>
      <c r="CU4690" s="13"/>
      <c r="DG4690" s="13"/>
    </row>
    <row r="4691" spans="1:111" x14ac:dyDescent="0.2">
      <c r="A4691" s="13"/>
      <c r="B4691" s="14"/>
      <c r="C4691" s="13"/>
      <c r="E4691" s="13"/>
      <c r="N4691" s="13"/>
      <c r="O4691" s="13"/>
      <c r="P4691" s="13"/>
      <c r="Q4691" s="13"/>
      <c r="R4691" s="13"/>
      <c r="S4691" s="13"/>
      <c r="T4691" s="13"/>
      <c r="U4691" s="13"/>
      <c r="V4691" s="13"/>
      <c r="AC4691" s="13"/>
      <c r="AD4691" s="13"/>
      <c r="AE4691" s="13"/>
      <c r="AG4691" s="13"/>
      <c r="AH4691" s="13"/>
      <c r="AI4691" s="13"/>
      <c r="AJ4691" s="13"/>
      <c r="AK4691" s="13"/>
      <c r="AL4691" s="8"/>
      <c r="AU4691" s="13"/>
      <c r="AV4691" s="13"/>
      <c r="CU4691" s="13"/>
      <c r="DG4691" s="13"/>
    </row>
    <row r="4692" spans="1:111" x14ac:dyDescent="0.2">
      <c r="A4692" s="13"/>
      <c r="B4692" s="14"/>
      <c r="C4692" s="13"/>
      <c r="E4692" s="13"/>
      <c r="N4692" s="13"/>
      <c r="O4692" s="13"/>
      <c r="P4692" s="13"/>
      <c r="Q4692" s="13"/>
      <c r="R4692" s="13"/>
      <c r="S4692" s="13"/>
      <c r="T4692" s="13"/>
      <c r="U4692" s="13"/>
      <c r="V4692" s="13"/>
      <c r="AC4692" s="13"/>
      <c r="AD4692" s="13"/>
      <c r="AE4692" s="13"/>
      <c r="AG4692" s="13"/>
      <c r="AH4692" s="13"/>
      <c r="AI4692" s="13"/>
      <c r="AJ4692" s="13"/>
      <c r="AK4692" s="13"/>
      <c r="AL4692" s="8"/>
      <c r="AU4692" s="13"/>
      <c r="AV4692" s="13"/>
      <c r="CU4692" s="13"/>
      <c r="DG4692" s="13"/>
    </row>
    <row r="4693" spans="1:111" x14ac:dyDescent="0.2">
      <c r="A4693" s="13"/>
      <c r="B4693" s="14"/>
      <c r="C4693" s="13"/>
      <c r="E4693" s="13"/>
      <c r="N4693" s="13"/>
      <c r="O4693" s="13"/>
      <c r="P4693" s="13"/>
      <c r="Q4693" s="13"/>
      <c r="R4693" s="13"/>
      <c r="S4693" s="13"/>
      <c r="T4693" s="13"/>
      <c r="U4693" s="13"/>
      <c r="V4693" s="13"/>
      <c r="AC4693" s="13"/>
      <c r="AD4693" s="13"/>
      <c r="AE4693" s="13"/>
      <c r="AG4693" s="13"/>
      <c r="AH4693" s="13"/>
      <c r="AI4693" s="13"/>
      <c r="AJ4693" s="13"/>
      <c r="AK4693" s="13"/>
      <c r="AL4693" s="8"/>
      <c r="AU4693" s="13"/>
      <c r="AV4693" s="13"/>
      <c r="CU4693" s="13"/>
      <c r="DG4693" s="13"/>
    </row>
    <row r="4694" spans="1:111" x14ac:dyDescent="0.2">
      <c r="A4694" s="13"/>
      <c r="B4694" s="14"/>
      <c r="C4694" s="13"/>
      <c r="E4694" s="13"/>
      <c r="N4694" s="13"/>
      <c r="O4694" s="13"/>
      <c r="P4694" s="13"/>
      <c r="Q4694" s="13"/>
      <c r="R4694" s="13"/>
      <c r="S4694" s="13"/>
      <c r="T4694" s="13"/>
      <c r="U4694" s="13"/>
      <c r="V4694" s="13"/>
      <c r="AC4694" s="13"/>
      <c r="AD4694" s="13"/>
      <c r="AE4694" s="13"/>
      <c r="AG4694" s="13"/>
      <c r="AH4694" s="13"/>
      <c r="AI4694" s="13"/>
      <c r="AJ4694" s="13"/>
      <c r="AK4694" s="13"/>
      <c r="AL4694" s="8"/>
      <c r="AU4694" s="13"/>
      <c r="AV4694" s="13"/>
      <c r="CU4694" s="13"/>
      <c r="DG4694" s="13"/>
    </row>
    <row r="4695" spans="1:111" x14ac:dyDescent="0.2">
      <c r="A4695" s="13"/>
      <c r="B4695" s="14"/>
      <c r="C4695" s="13"/>
      <c r="E4695" s="13"/>
      <c r="N4695" s="13"/>
      <c r="O4695" s="13"/>
      <c r="P4695" s="13"/>
      <c r="Q4695" s="13"/>
      <c r="R4695" s="13"/>
      <c r="S4695" s="13"/>
      <c r="T4695" s="13"/>
      <c r="U4695" s="13"/>
      <c r="V4695" s="13"/>
      <c r="AC4695" s="13"/>
      <c r="AD4695" s="13"/>
      <c r="AE4695" s="13"/>
      <c r="AG4695" s="13"/>
      <c r="AH4695" s="13"/>
      <c r="AI4695" s="13"/>
      <c r="AJ4695" s="13"/>
      <c r="AK4695" s="13"/>
      <c r="AL4695" s="8"/>
      <c r="AU4695" s="13"/>
      <c r="AV4695" s="13"/>
      <c r="CU4695" s="13"/>
      <c r="DG4695" s="13"/>
    </row>
    <row r="4696" spans="1:111" x14ac:dyDescent="0.2">
      <c r="A4696" s="13"/>
      <c r="B4696" s="14"/>
      <c r="C4696" s="13"/>
      <c r="E4696" s="13"/>
      <c r="N4696" s="13"/>
      <c r="O4696" s="13"/>
      <c r="P4696" s="13"/>
      <c r="Q4696" s="13"/>
      <c r="R4696" s="13"/>
      <c r="S4696" s="13"/>
      <c r="T4696" s="13"/>
      <c r="U4696" s="13"/>
      <c r="V4696" s="13"/>
      <c r="AC4696" s="13"/>
      <c r="AD4696" s="13"/>
      <c r="AE4696" s="13"/>
      <c r="AG4696" s="13"/>
      <c r="AH4696" s="13"/>
      <c r="AI4696" s="13"/>
      <c r="AJ4696" s="13"/>
      <c r="AK4696" s="13"/>
      <c r="AL4696" s="8"/>
      <c r="AU4696" s="13"/>
      <c r="AV4696" s="13"/>
      <c r="CU4696" s="13"/>
      <c r="DG4696" s="13"/>
    </row>
    <row r="4697" spans="1:111" x14ac:dyDescent="0.2">
      <c r="A4697" s="13"/>
      <c r="B4697" s="14"/>
      <c r="C4697" s="13"/>
      <c r="E4697" s="13"/>
      <c r="N4697" s="13"/>
      <c r="O4697" s="13"/>
      <c r="P4697" s="13"/>
      <c r="Q4697" s="13"/>
      <c r="R4697" s="13"/>
      <c r="S4697" s="13"/>
      <c r="T4697" s="13"/>
      <c r="U4697" s="13"/>
      <c r="V4697" s="13"/>
      <c r="AC4697" s="13"/>
      <c r="AD4697" s="13"/>
      <c r="AE4697" s="13"/>
      <c r="AG4697" s="13"/>
      <c r="AH4697" s="13"/>
      <c r="AI4697" s="13"/>
      <c r="AJ4697" s="13"/>
      <c r="AK4697" s="13"/>
      <c r="AL4697" s="8"/>
      <c r="AU4697" s="13"/>
      <c r="AV4697" s="13"/>
      <c r="CU4697" s="13"/>
      <c r="DG4697" s="13"/>
    </row>
    <row r="4698" spans="1:111" x14ac:dyDescent="0.2">
      <c r="A4698" s="13"/>
      <c r="B4698" s="14"/>
      <c r="C4698" s="13"/>
      <c r="E4698" s="13"/>
      <c r="N4698" s="13"/>
      <c r="O4698" s="13"/>
      <c r="P4698" s="13"/>
      <c r="Q4698" s="13"/>
      <c r="R4698" s="13"/>
      <c r="S4698" s="13"/>
      <c r="T4698" s="13"/>
      <c r="U4698" s="13"/>
      <c r="V4698" s="13"/>
      <c r="AC4698" s="13"/>
      <c r="AD4698" s="13"/>
      <c r="AE4698" s="13"/>
      <c r="AG4698" s="13"/>
      <c r="AH4698" s="13"/>
      <c r="AI4698" s="13"/>
      <c r="AJ4698" s="13"/>
      <c r="AK4698" s="13"/>
      <c r="AL4698" s="8"/>
      <c r="AU4698" s="13"/>
      <c r="AV4698" s="13"/>
      <c r="CU4698" s="13"/>
      <c r="DG4698" s="13"/>
    </row>
    <row r="4699" spans="1:111" x14ac:dyDescent="0.2">
      <c r="A4699" s="13"/>
      <c r="B4699" s="14"/>
      <c r="C4699" s="13"/>
      <c r="E4699" s="13"/>
      <c r="N4699" s="13"/>
      <c r="O4699" s="13"/>
      <c r="P4699" s="13"/>
      <c r="Q4699" s="13"/>
      <c r="R4699" s="13"/>
      <c r="S4699" s="13"/>
      <c r="T4699" s="13"/>
      <c r="U4699" s="13"/>
      <c r="V4699" s="13"/>
      <c r="AC4699" s="13"/>
      <c r="AD4699" s="13"/>
      <c r="AE4699" s="13"/>
      <c r="AG4699" s="13"/>
      <c r="AH4699" s="13"/>
      <c r="AI4699" s="13"/>
      <c r="AJ4699" s="13"/>
      <c r="AK4699" s="13"/>
      <c r="AL4699" s="8"/>
      <c r="AU4699" s="13"/>
      <c r="AV4699" s="13"/>
      <c r="CU4699" s="13"/>
      <c r="DG4699" s="13"/>
    </row>
    <row r="4700" spans="1:111" x14ac:dyDescent="0.2">
      <c r="A4700" s="13"/>
      <c r="B4700" s="14"/>
      <c r="C4700" s="13"/>
      <c r="E4700" s="13"/>
      <c r="N4700" s="13"/>
      <c r="O4700" s="13"/>
      <c r="P4700" s="13"/>
      <c r="Q4700" s="13"/>
      <c r="R4700" s="13"/>
      <c r="S4700" s="13"/>
      <c r="T4700" s="13"/>
      <c r="U4700" s="13"/>
      <c r="V4700" s="13"/>
      <c r="AC4700" s="13"/>
      <c r="AD4700" s="13"/>
      <c r="AE4700" s="13"/>
      <c r="AG4700" s="13"/>
      <c r="AH4700" s="13"/>
      <c r="AI4700" s="13"/>
      <c r="AJ4700" s="13"/>
      <c r="AK4700" s="13"/>
      <c r="AL4700" s="8"/>
      <c r="AU4700" s="13"/>
      <c r="AV4700" s="13"/>
      <c r="CU4700" s="13"/>
      <c r="DG4700" s="13"/>
    </row>
    <row r="4701" spans="1:111" x14ac:dyDescent="0.2">
      <c r="A4701" s="13"/>
      <c r="B4701" s="14"/>
      <c r="C4701" s="13"/>
      <c r="E4701" s="13"/>
      <c r="N4701" s="13"/>
      <c r="O4701" s="13"/>
      <c r="P4701" s="13"/>
      <c r="Q4701" s="13"/>
      <c r="R4701" s="13"/>
      <c r="S4701" s="13"/>
      <c r="T4701" s="13"/>
      <c r="U4701" s="13"/>
      <c r="V4701" s="13"/>
      <c r="AC4701" s="13"/>
      <c r="AD4701" s="13"/>
      <c r="AE4701" s="13"/>
      <c r="AG4701" s="13"/>
      <c r="AH4701" s="13"/>
      <c r="AI4701" s="13"/>
      <c r="AJ4701" s="13"/>
      <c r="AK4701" s="13"/>
      <c r="AL4701" s="8"/>
      <c r="AU4701" s="13"/>
      <c r="AV4701" s="13"/>
      <c r="CU4701" s="13"/>
      <c r="DG4701" s="13"/>
    </row>
    <row r="4702" spans="1:111" x14ac:dyDescent="0.2">
      <c r="A4702" s="13"/>
      <c r="B4702" s="14"/>
      <c r="C4702" s="13"/>
      <c r="E4702" s="13"/>
      <c r="N4702" s="13"/>
      <c r="O4702" s="13"/>
      <c r="P4702" s="13"/>
      <c r="Q4702" s="13"/>
      <c r="R4702" s="13"/>
      <c r="S4702" s="13"/>
      <c r="T4702" s="13"/>
      <c r="U4702" s="13"/>
      <c r="V4702" s="13"/>
      <c r="AC4702" s="13"/>
      <c r="AD4702" s="13"/>
      <c r="AE4702" s="13"/>
      <c r="AG4702" s="13"/>
      <c r="AH4702" s="13"/>
      <c r="AI4702" s="13"/>
      <c r="AJ4702" s="13"/>
      <c r="AK4702" s="13"/>
      <c r="AL4702" s="8"/>
      <c r="AU4702" s="13"/>
      <c r="AV4702" s="13"/>
      <c r="CU4702" s="13"/>
      <c r="DG4702" s="13"/>
    </row>
    <row r="4703" spans="1:111" x14ac:dyDescent="0.2">
      <c r="A4703" s="13"/>
      <c r="B4703" s="14"/>
      <c r="C4703" s="13"/>
      <c r="E4703" s="13"/>
      <c r="N4703" s="13"/>
      <c r="O4703" s="13"/>
      <c r="P4703" s="13"/>
      <c r="Q4703" s="13"/>
      <c r="R4703" s="13"/>
      <c r="S4703" s="13"/>
      <c r="T4703" s="13"/>
      <c r="U4703" s="13"/>
      <c r="V4703" s="13"/>
      <c r="AC4703" s="13"/>
      <c r="AD4703" s="13"/>
      <c r="AE4703" s="13"/>
      <c r="AG4703" s="13"/>
      <c r="AH4703" s="13"/>
      <c r="AI4703" s="13"/>
      <c r="AJ4703" s="13"/>
      <c r="AK4703" s="13"/>
      <c r="AL4703" s="8"/>
      <c r="AU4703" s="13"/>
      <c r="AV4703" s="13"/>
      <c r="CU4703" s="13"/>
      <c r="DG4703" s="13"/>
    </row>
    <row r="4704" spans="1:111" x14ac:dyDescent="0.2">
      <c r="A4704" s="13"/>
      <c r="B4704" s="14"/>
      <c r="C4704" s="13"/>
      <c r="E4704" s="13"/>
      <c r="N4704" s="13"/>
      <c r="O4704" s="13"/>
      <c r="P4704" s="13"/>
      <c r="Q4704" s="13"/>
      <c r="R4704" s="13"/>
      <c r="S4704" s="13"/>
      <c r="T4704" s="13"/>
      <c r="U4704" s="13"/>
      <c r="V4704" s="13"/>
      <c r="AC4704" s="13"/>
      <c r="AD4704" s="13"/>
      <c r="AE4704" s="13"/>
      <c r="AG4704" s="13"/>
      <c r="AH4704" s="13"/>
      <c r="AI4704" s="13"/>
      <c r="AJ4704" s="13"/>
      <c r="AK4704" s="13"/>
      <c r="AL4704" s="8"/>
      <c r="AU4704" s="13"/>
      <c r="AV4704" s="13"/>
      <c r="CU4704" s="13"/>
      <c r="DG4704" s="13"/>
    </row>
    <row r="4705" spans="1:111" x14ac:dyDescent="0.2">
      <c r="A4705" s="13"/>
      <c r="B4705" s="14"/>
      <c r="C4705" s="13"/>
      <c r="E4705" s="13"/>
      <c r="N4705" s="13"/>
      <c r="O4705" s="13"/>
      <c r="P4705" s="13"/>
      <c r="Q4705" s="13"/>
      <c r="R4705" s="13"/>
      <c r="S4705" s="13"/>
      <c r="T4705" s="13"/>
      <c r="U4705" s="13"/>
      <c r="V4705" s="13"/>
      <c r="AC4705" s="13"/>
      <c r="AD4705" s="13"/>
      <c r="AE4705" s="13"/>
      <c r="AG4705" s="13"/>
      <c r="AH4705" s="13"/>
      <c r="AI4705" s="13"/>
      <c r="AJ4705" s="13"/>
      <c r="AK4705" s="13"/>
      <c r="AL4705" s="8"/>
      <c r="AU4705" s="13"/>
      <c r="AV4705" s="13"/>
      <c r="CU4705" s="13"/>
      <c r="DG4705" s="13"/>
    </row>
    <row r="4706" spans="1:111" x14ac:dyDescent="0.2">
      <c r="A4706" s="13"/>
      <c r="B4706" s="14"/>
      <c r="C4706" s="13"/>
      <c r="E4706" s="13"/>
      <c r="N4706" s="13"/>
      <c r="O4706" s="13"/>
      <c r="P4706" s="13"/>
      <c r="Q4706" s="13"/>
      <c r="R4706" s="13"/>
      <c r="S4706" s="13"/>
      <c r="T4706" s="13"/>
      <c r="U4706" s="13"/>
      <c r="V4706" s="13"/>
      <c r="AC4706" s="13"/>
      <c r="AD4706" s="13"/>
      <c r="AE4706" s="13"/>
      <c r="AG4706" s="13"/>
      <c r="AH4706" s="13"/>
      <c r="AI4706" s="13"/>
      <c r="AJ4706" s="13"/>
      <c r="AK4706" s="13"/>
      <c r="AL4706" s="8"/>
      <c r="AU4706" s="13"/>
      <c r="AV4706" s="13"/>
      <c r="CU4706" s="13"/>
      <c r="DG4706" s="13"/>
    </row>
    <row r="4707" spans="1:111" x14ac:dyDescent="0.2">
      <c r="A4707" s="13"/>
      <c r="B4707" s="14"/>
      <c r="C4707" s="13"/>
      <c r="E4707" s="13"/>
      <c r="N4707" s="13"/>
      <c r="O4707" s="13"/>
      <c r="P4707" s="13"/>
      <c r="Q4707" s="13"/>
      <c r="R4707" s="13"/>
      <c r="S4707" s="13"/>
      <c r="T4707" s="13"/>
      <c r="U4707" s="13"/>
      <c r="V4707" s="13"/>
      <c r="AC4707" s="13"/>
      <c r="AD4707" s="13"/>
      <c r="AE4707" s="13"/>
      <c r="AG4707" s="13"/>
      <c r="AH4707" s="13"/>
      <c r="AI4707" s="13"/>
      <c r="AJ4707" s="13"/>
      <c r="AK4707" s="13"/>
      <c r="AL4707" s="8"/>
      <c r="AU4707" s="13"/>
      <c r="AV4707" s="13"/>
      <c r="CU4707" s="13"/>
      <c r="DG4707" s="13"/>
    </row>
    <row r="4708" spans="1:111" x14ac:dyDescent="0.2">
      <c r="A4708" s="13"/>
      <c r="B4708" s="14"/>
      <c r="C4708" s="13"/>
      <c r="E4708" s="13"/>
      <c r="N4708" s="13"/>
      <c r="O4708" s="13"/>
      <c r="P4708" s="13"/>
      <c r="Q4708" s="13"/>
      <c r="R4708" s="13"/>
      <c r="S4708" s="13"/>
      <c r="T4708" s="13"/>
      <c r="U4708" s="13"/>
      <c r="V4708" s="13"/>
      <c r="AC4708" s="13"/>
      <c r="AD4708" s="13"/>
      <c r="AE4708" s="13"/>
      <c r="AG4708" s="13"/>
      <c r="AH4708" s="13"/>
      <c r="AI4708" s="13"/>
      <c r="AJ4708" s="13"/>
      <c r="AK4708" s="13"/>
      <c r="AL4708" s="8"/>
      <c r="AU4708" s="13"/>
      <c r="AV4708" s="13"/>
      <c r="CU4708" s="13"/>
      <c r="DG4708" s="13"/>
    </row>
    <row r="4709" spans="1:111" x14ac:dyDescent="0.2">
      <c r="A4709" s="13"/>
      <c r="B4709" s="14"/>
      <c r="C4709" s="13"/>
      <c r="E4709" s="13"/>
      <c r="N4709" s="13"/>
      <c r="O4709" s="13"/>
      <c r="P4709" s="13"/>
      <c r="Q4709" s="13"/>
      <c r="R4709" s="13"/>
      <c r="S4709" s="13"/>
      <c r="T4709" s="13"/>
      <c r="U4709" s="13"/>
      <c r="V4709" s="13"/>
      <c r="AC4709" s="13"/>
      <c r="AD4709" s="13"/>
      <c r="AE4709" s="13"/>
      <c r="AG4709" s="13"/>
      <c r="AH4709" s="13"/>
      <c r="AI4709" s="13"/>
      <c r="AJ4709" s="13"/>
      <c r="AK4709" s="13"/>
      <c r="AL4709" s="8"/>
      <c r="AU4709" s="13"/>
      <c r="AV4709" s="13"/>
      <c r="CU4709" s="13"/>
      <c r="DG4709" s="13"/>
    </row>
    <row r="4710" spans="1:111" x14ac:dyDescent="0.2">
      <c r="A4710" s="13"/>
      <c r="B4710" s="14"/>
      <c r="C4710" s="13"/>
      <c r="E4710" s="13"/>
      <c r="N4710" s="13"/>
      <c r="O4710" s="13"/>
      <c r="P4710" s="13"/>
      <c r="Q4710" s="13"/>
      <c r="R4710" s="13"/>
      <c r="S4710" s="13"/>
      <c r="T4710" s="13"/>
      <c r="U4710" s="13"/>
      <c r="V4710" s="13"/>
      <c r="AC4710" s="13"/>
      <c r="AD4710" s="13"/>
      <c r="AE4710" s="13"/>
      <c r="AG4710" s="13"/>
      <c r="AH4710" s="13"/>
      <c r="AI4710" s="13"/>
      <c r="AJ4710" s="13"/>
      <c r="AK4710" s="13"/>
      <c r="AL4710" s="8"/>
      <c r="AU4710" s="13"/>
      <c r="AV4710" s="13"/>
      <c r="CU4710" s="13"/>
      <c r="DG4710" s="13"/>
    </row>
    <row r="4711" spans="1:111" x14ac:dyDescent="0.2">
      <c r="A4711" s="13"/>
      <c r="B4711" s="14"/>
      <c r="C4711" s="13"/>
      <c r="E4711" s="13"/>
      <c r="N4711" s="13"/>
      <c r="O4711" s="13"/>
      <c r="P4711" s="13"/>
      <c r="Q4711" s="13"/>
      <c r="R4711" s="13"/>
      <c r="S4711" s="13"/>
      <c r="T4711" s="13"/>
      <c r="U4711" s="13"/>
      <c r="V4711" s="13"/>
      <c r="AC4711" s="13"/>
      <c r="AD4711" s="13"/>
      <c r="AE4711" s="13"/>
      <c r="AG4711" s="13"/>
      <c r="AH4711" s="13"/>
      <c r="AI4711" s="13"/>
      <c r="AJ4711" s="13"/>
      <c r="AK4711" s="13"/>
      <c r="AL4711" s="8"/>
      <c r="AU4711" s="13"/>
      <c r="AV4711" s="13"/>
      <c r="CU4711" s="13"/>
      <c r="DG4711" s="13"/>
    </row>
    <row r="4712" spans="1:111" x14ac:dyDescent="0.2">
      <c r="A4712" s="13"/>
      <c r="B4712" s="14"/>
      <c r="C4712" s="13"/>
      <c r="E4712" s="13"/>
      <c r="N4712" s="13"/>
      <c r="O4712" s="13"/>
      <c r="P4712" s="13"/>
      <c r="Q4712" s="13"/>
      <c r="R4712" s="13"/>
      <c r="S4712" s="13"/>
      <c r="T4712" s="13"/>
      <c r="U4712" s="13"/>
      <c r="V4712" s="13"/>
      <c r="AC4712" s="13"/>
      <c r="AD4712" s="13"/>
      <c r="AE4712" s="13"/>
      <c r="AG4712" s="13"/>
      <c r="AH4712" s="13"/>
      <c r="AI4712" s="13"/>
      <c r="AJ4712" s="13"/>
      <c r="AK4712" s="13"/>
      <c r="AL4712" s="8"/>
      <c r="AU4712" s="13"/>
      <c r="AV4712" s="13"/>
      <c r="CU4712" s="13"/>
      <c r="DG4712" s="13"/>
    </row>
    <row r="4713" spans="1:111" x14ac:dyDescent="0.2">
      <c r="A4713" s="13"/>
      <c r="B4713" s="14"/>
      <c r="C4713" s="13"/>
      <c r="E4713" s="13"/>
      <c r="N4713" s="13"/>
      <c r="O4713" s="13"/>
      <c r="P4713" s="13"/>
      <c r="Q4713" s="13"/>
      <c r="R4713" s="13"/>
      <c r="S4713" s="13"/>
      <c r="T4713" s="13"/>
      <c r="U4713" s="13"/>
      <c r="V4713" s="13"/>
      <c r="AC4713" s="13"/>
      <c r="AD4713" s="13"/>
      <c r="AE4713" s="13"/>
      <c r="AG4713" s="13"/>
      <c r="AH4713" s="13"/>
      <c r="AI4713" s="13"/>
      <c r="AJ4713" s="13"/>
      <c r="AK4713" s="13"/>
      <c r="AL4713" s="8"/>
      <c r="AU4713" s="13"/>
      <c r="AV4713" s="13"/>
      <c r="CU4713" s="13"/>
      <c r="DG4713" s="13"/>
    </row>
    <row r="4714" spans="1:111" x14ac:dyDescent="0.2">
      <c r="A4714" s="13"/>
      <c r="B4714" s="14"/>
      <c r="C4714" s="13"/>
      <c r="E4714" s="13"/>
      <c r="N4714" s="13"/>
      <c r="O4714" s="13"/>
      <c r="P4714" s="13"/>
      <c r="Q4714" s="13"/>
      <c r="R4714" s="13"/>
      <c r="S4714" s="13"/>
      <c r="T4714" s="13"/>
      <c r="U4714" s="13"/>
      <c r="V4714" s="13"/>
      <c r="AC4714" s="13"/>
      <c r="AD4714" s="13"/>
      <c r="AE4714" s="13"/>
      <c r="AG4714" s="13"/>
      <c r="AH4714" s="13"/>
      <c r="AI4714" s="13"/>
      <c r="AJ4714" s="13"/>
      <c r="AK4714" s="13"/>
      <c r="AL4714" s="8"/>
      <c r="AU4714" s="13"/>
      <c r="AV4714" s="13"/>
      <c r="CU4714" s="13"/>
      <c r="DG4714" s="13"/>
    </row>
    <row r="4715" spans="1:111" x14ac:dyDescent="0.2">
      <c r="A4715" s="13"/>
      <c r="B4715" s="14"/>
      <c r="C4715" s="13"/>
      <c r="E4715" s="13"/>
      <c r="N4715" s="13"/>
      <c r="O4715" s="13"/>
      <c r="P4715" s="13"/>
      <c r="Q4715" s="13"/>
      <c r="R4715" s="13"/>
      <c r="S4715" s="13"/>
      <c r="T4715" s="13"/>
      <c r="U4715" s="13"/>
      <c r="V4715" s="13"/>
      <c r="AC4715" s="13"/>
      <c r="AD4715" s="13"/>
      <c r="AE4715" s="13"/>
      <c r="AG4715" s="13"/>
      <c r="AH4715" s="13"/>
      <c r="AI4715" s="13"/>
      <c r="AJ4715" s="13"/>
      <c r="AK4715" s="13"/>
      <c r="AL4715" s="8"/>
      <c r="AU4715" s="13"/>
      <c r="AV4715" s="13"/>
      <c r="CU4715" s="13"/>
      <c r="DG4715" s="13"/>
    </row>
    <row r="4716" spans="1:111" x14ac:dyDescent="0.2">
      <c r="A4716" s="13"/>
      <c r="B4716" s="14"/>
      <c r="C4716" s="13"/>
      <c r="E4716" s="13"/>
      <c r="N4716" s="13"/>
      <c r="O4716" s="13"/>
      <c r="P4716" s="13"/>
      <c r="Q4716" s="13"/>
      <c r="R4716" s="13"/>
      <c r="S4716" s="13"/>
      <c r="T4716" s="13"/>
      <c r="U4716" s="13"/>
      <c r="V4716" s="13"/>
      <c r="AC4716" s="13"/>
      <c r="AD4716" s="13"/>
      <c r="AE4716" s="13"/>
      <c r="AG4716" s="13"/>
      <c r="AH4716" s="13"/>
      <c r="AI4716" s="13"/>
      <c r="AJ4716" s="13"/>
      <c r="AK4716" s="13"/>
      <c r="AL4716" s="8"/>
      <c r="AU4716" s="13"/>
      <c r="AV4716" s="13"/>
      <c r="CU4716" s="13"/>
      <c r="DG4716" s="13"/>
    </row>
    <row r="4717" spans="1:111" x14ac:dyDescent="0.2">
      <c r="A4717" s="13"/>
      <c r="B4717" s="14"/>
      <c r="C4717" s="13"/>
      <c r="E4717" s="13"/>
      <c r="N4717" s="13"/>
      <c r="O4717" s="13"/>
      <c r="P4717" s="13"/>
      <c r="Q4717" s="13"/>
      <c r="R4717" s="13"/>
      <c r="S4717" s="13"/>
      <c r="T4717" s="13"/>
      <c r="U4717" s="13"/>
      <c r="V4717" s="13"/>
      <c r="AC4717" s="13"/>
      <c r="AD4717" s="13"/>
      <c r="AE4717" s="13"/>
      <c r="AG4717" s="13"/>
      <c r="AH4717" s="13"/>
      <c r="AI4717" s="13"/>
      <c r="AJ4717" s="13"/>
      <c r="AK4717" s="13"/>
      <c r="AL4717" s="8"/>
      <c r="AU4717" s="13"/>
      <c r="AV4717" s="13"/>
      <c r="CU4717" s="13"/>
      <c r="DG4717" s="13"/>
    </row>
    <row r="4718" spans="1:111" x14ac:dyDescent="0.2">
      <c r="A4718" s="13"/>
      <c r="B4718" s="14"/>
      <c r="C4718" s="13"/>
      <c r="E4718" s="13"/>
      <c r="N4718" s="13"/>
      <c r="O4718" s="13"/>
      <c r="P4718" s="13"/>
      <c r="Q4718" s="13"/>
      <c r="R4718" s="13"/>
      <c r="S4718" s="13"/>
      <c r="T4718" s="13"/>
      <c r="U4718" s="13"/>
      <c r="V4718" s="13"/>
      <c r="AC4718" s="13"/>
      <c r="AD4718" s="13"/>
      <c r="AE4718" s="13"/>
      <c r="AG4718" s="13"/>
      <c r="AH4718" s="13"/>
      <c r="AI4718" s="13"/>
      <c r="AJ4718" s="13"/>
      <c r="AK4718" s="13"/>
      <c r="AL4718" s="8"/>
      <c r="AU4718" s="13"/>
      <c r="AV4718" s="13"/>
      <c r="CU4718" s="13"/>
      <c r="DG4718" s="13"/>
    </row>
    <row r="4719" spans="1:111" x14ac:dyDescent="0.2">
      <c r="A4719" s="13"/>
      <c r="B4719" s="14"/>
      <c r="C4719" s="13"/>
      <c r="E4719" s="13"/>
      <c r="N4719" s="13"/>
      <c r="O4719" s="13"/>
      <c r="P4719" s="13"/>
      <c r="Q4719" s="13"/>
      <c r="R4719" s="13"/>
      <c r="S4719" s="13"/>
      <c r="T4719" s="13"/>
      <c r="U4719" s="13"/>
      <c r="V4719" s="13"/>
      <c r="AC4719" s="13"/>
      <c r="AD4719" s="13"/>
      <c r="AE4719" s="13"/>
      <c r="AG4719" s="13"/>
      <c r="AH4719" s="13"/>
      <c r="AI4719" s="13"/>
      <c r="AJ4719" s="13"/>
      <c r="AK4719" s="13"/>
      <c r="AL4719" s="8"/>
      <c r="AU4719" s="13"/>
      <c r="AV4719" s="13"/>
      <c r="CU4719" s="13"/>
      <c r="DG4719" s="13"/>
    </row>
    <row r="4720" spans="1:111" x14ac:dyDescent="0.2">
      <c r="A4720" s="13"/>
      <c r="B4720" s="14"/>
      <c r="C4720" s="13"/>
      <c r="E4720" s="13"/>
      <c r="N4720" s="13"/>
      <c r="O4720" s="13"/>
      <c r="P4720" s="13"/>
      <c r="Q4720" s="13"/>
      <c r="R4720" s="13"/>
      <c r="S4720" s="13"/>
      <c r="T4720" s="13"/>
      <c r="U4720" s="13"/>
      <c r="V4720" s="13"/>
      <c r="AC4720" s="13"/>
      <c r="AD4720" s="13"/>
      <c r="AE4720" s="13"/>
      <c r="AG4720" s="13"/>
      <c r="AH4720" s="13"/>
      <c r="AI4720" s="13"/>
      <c r="AJ4720" s="13"/>
      <c r="AK4720" s="13"/>
      <c r="AL4720" s="8"/>
      <c r="AU4720" s="13"/>
      <c r="AV4720" s="13"/>
      <c r="CU4720" s="13"/>
      <c r="DG4720" s="13"/>
    </row>
    <row r="4721" spans="1:111" x14ac:dyDescent="0.2">
      <c r="A4721" s="13"/>
      <c r="B4721" s="14"/>
      <c r="C4721" s="13"/>
      <c r="E4721" s="13"/>
      <c r="N4721" s="13"/>
      <c r="O4721" s="13"/>
      <c r="P4721" s="13"/>
      <c r="Q4721" s="13"/>
      <c r="R4721" s="13"/>
      <c r="S4721" s="13"/>
      <c r="T4721" s="13"/>
      <c r="U4721" s="13"/>
      <c r="V4721" s="13"/>
      <c r="AC4721" s="13"/>
      <c r="AD4721" s="13"/>
      <c r="AE4721" s="13"/>
      <c r="AG4721" s="13"/>
      <c r="AH4721" s="13"/>
      <c r="AI4721" s="13"/>
      <c r="AJ4721" s="13"/>
      <c r="AK4721" s="13"/>
      <c r="AL4721" s="8"/>
      <c r="AU4721" s="13"/>
      <c r="AV4721" s="13"/>
      <c r="CU4721" s="13"/>
      <c r="DG4721" s="13"/>
    </row>
    <row r="4722" spans="1:111" x14ac:dyDescent="0.2">
      <c r="A4722" s="13"/>
      <c r="B4722" s="14"/>
      <c r="C4722" s="13"/>
      <c r="E4722" s="13"/>
      <c r="N4722" s="13"/>
      <c r="O4722" s="13"/>
      <c r="P4722" s="13"/>
      <c r="Q4722" s="13"/>
      <c r="R4722" s="13"/>
      <c r="S4722" s="13"/>
      <c r="T4722" s="13"/>
      <c r="U4722" s="13"/>
      <c r="V4722" s="13"/>
      <c r="AC4722" s="13"/>
      <c r="AD4722" s="13"/>
      <c r="AE4722" s="13"/>
      <c r="AG4722" s="13"/>
      <c r="AH4722" s="13"/>
      <c r="AI4722" s="13"/>
      <c r="AJ4722" s="13"/>
      <c r="AK4722" s="13"/>
      <c r="AL4722" s="8"/>
      <c r="AU4722" s="13"/>
      <c r="AV4722" s="13"/>
      <c r="CU4722" s="13"/>
      <c r="DG4722" s="13"/>
    </row>
    <row r="4723" spans="1:111" x14ac:dyDescent="0.2">
      <c r="A4723" s="13"/>
      <c r="B4723" s="14"/>
      <c r="C4723" s="13"/>
      <c r="E4723" s="13"/>
      <c r="N4723" s="13"/>
      <c r="O4723" s="13"/>
      <c r="P4723" s="13"/>
      <c r="Q4723" s="13"/>
      <c r="R4723" s="13"/>
      <c r="S4723" s="13"/>
      <c r="T4723" s="13"/>
      <c r="U4723" s="13"/>
      <c r="V4723" s="13"/>
      <c r="AC4723" s="13"/>
      <c r="AD4723" s="13"/>
      <c r="AE4723" s="13"/>
      <c r="AG4723" s="13"/>
      <c r="AH4723" s="13"/>
      <c r="AI4723" s="13"/>
      <c r="AJ4723" s="13"/>
      <c r="AK4723" s="13"/>
      <c r="AL4723" s="8"/>
      <c r="AU4723" s="13"/>
      <c r="AV4723" s="13"/>
      <c r="CU4723" s="13"/>
      <c r="DG4723" s="13"/>
    </row>
    <row r="4724" spans="1:111" x14ac:dyDescent="0.2">
      <c r="A4724" s="13"/>
      <c r="B4724" s="14"/>
      <c r="C4724" s="13"/>
      <c r="E4724" s="13"/>
      <c r="N4724" s="13"/>
      <c r="O4724" s="13"/>
      <c r="P4724" s="13"/>
      <c r="Q4724" s="13"/>
      <c r="R4724" s="13"/>
      <c r="S4724" s="13"/>
      <c r="T4724" s="13"/>
      <c r="U4724" s="13"/>
      <c r="V4724" s="13"/>
      <c r="AC4724" s="13"/>
      <c r="AD4724" s="13"/>
      <c r="AE4724" s="13"/>
      <c r="AG4724" s="13"/>
      <c r="AH4724" s="13"/>
      <c r="AI4724" s="13"/>
      <c r="AJ4724" s="13"/>
      <c r="AK4724" s="13"/>
      <c r="AL4724" s="8"/>
      <c r="AU4724" s="13"/>
      <c r="AV4724" s="13"/>
      <c r="CU4724" s="13"/>
      <c r="DG4724" s="13"/>
    </row>
    <row r="4725" spans="1:111" x14ac:dyDescent="0.2">
      <c r="A4725" s="13"/>
      <c r="B4725" s="14"/>
      <c r="C4725" s="13"/>
      <c r="E4725" s="13"/>
      <c r="N4725" s="13"/>
      <c r="O4725" s="13"/>
      <c r="P4725" s="13"/>
      <c r="Q4725" s="13"/>
      <c r="R4725" s="13"/>
      <c r="S4725" s="13"/>
      <c r="T4725" s="13"/>
      <c r="U4725" s="13"/>
      <c r="V4725" s="13"/>
      <c r="AC4725" s="13"/>
      <c r="AD4725" s="13"/>
      <c r="AE4725" s="13"/>
      <c r="AG4725" s="13"/>
      <c r="AH4725" s="13"/>
      <c r="AI4725" s="13"/>
      <c r="AJ4725" s="13"/>
      <c r="AK4725" s="13"/>
      <c r="AL4725" s="8"/>
      <c r="AU4725" s="13"/>
      <c r="AV4725" s="13"/>
      <c r="CU4725" s="13"/>
      <c r="DG4725" s="13"/>
    </row>
    <row r="4726" spans="1:111" x14ac:dyDescent="0.2">
      <c r="A4726" s="13"/>
      <c r="B4726" s="14"/>
      <c r="C4726" s="13"/>
      <c r="E4726" s="13"/>
      <c r="N4726" s="13"/>
      <c r="O4726" s="13"/>
      <c r="P4726" s="13"/>
      <c r="Q4726" s="13"/>
      <c r="R4726" s="13"/>
      <c r="S4726" s="13"/>
      <c r="T4726" s="13"/>
      <c r="U4726" s="13"/>
      <c r="V4726" s="13"/>
      <c r="AC4726" s="13"/>
      <c r="AD4726" s="13"/>
      <c r="AE4726" s="13"/>
      <c r="AG4726" s="13"/>
      <c r="AH4726" s="13"/>
      <c r="AI4726" s="13"/>
      <c r="AJ4726" s="13"/>
      <c r="AK4726" s="13"/>
      <c r="AL4726" s="8"/>
      <c r="AU4726" s="13"/>
      <c r="AV4726" s="13"/>
      <c r="CU4726" s="13"/>
      <c r="DG4726" s="13"/>
    </row>
    <row r="4727" spans="1:111" x14ac:dyDescent="0.2">
      <c r="A4727" s="13"/>
      <c r="B4727" s="14"/>
      <c r="C4727" s="13"/>
      <c r="E4727" s="13"/>
      <c r="N4727" s="13"/>
      <c r="O4727" s="13"/>
      <c r="P4727" s="13"/>
      <c r="Q4727" s="13"/>
      <c r="R4727" s="13"/>
      <c r="S4727" s="13"/>
      <c r="T4727" s="13"/>
      <c r="U4727" s="13"/>
      <c r="V4727" s="13"/>
      <c r="AC4727" s="13"/>
      <c r="AD4727" s="13"/>
      <c r="AE4727" s="13"/>
      <c r="AG4727" s="13"/>
      <c r="AH4727" s="13"/>
      <c r="AI4727" s="13"/>
      <c r="AJ4727" s="13"/>
      <c r="AK4727" s="13"/>
      <c r="AL4727" s="8"/>
      <c r="AU4727" s="13"/>
      <c r="AV4727" s="13"/>
      <c r="CU4727" s="13"/>
      <c r="DG4727" s="13"/>
    </row>
    <row r="4728" spans="1:111" x14ac:dyDescent="0.2">
      <c r="A4728" s="13"/>
      <c r="B4728" s="14"/>
      <c r="C4728" s="13"/>
      <c r="E4728" s="13"/>
      <c r="N4728" s="13"/>
      <c r="O4728" s="13"/>
      <c r="P4728" s="13"/>
      <c r="Q4728" s="13"/>
      <c r="R4728" s="13"/>
      <c r="S4728" s="13"/>
      <c r="T4728" s="13"/>
      <c r="U4728" s="13"/>
      <c r="V4728" s="13"/>
      <c r="AC4728" s="13"/>
      <c r="AD4728" s="13"/>
      <c r="AE4728" s="13"/>
      <c r="AG4728" s="13"/>
      <c r="AH4728" s="13"/>
      <c r="AI4728" s="13"/>
      <c r="AJ4728" s="13"/>
      <c r="AK4728" s="13"/>
      <c r="AL4728" s="8"/>
      <c r="AU4728" s="13"/>
      <c r="AV4728" s="13"/>
      <c r="CU4728" s="13"/>
      <c r="DG4728" s="13"/>
    </row>
    <row r="4729" spans="1:111" x14ac:dyDescent="0.2">
      <c r="A4729" s="13"/>
      <c r="B4729" s="14"/>
      <c r="C4729" s="13"/>
      <c r="E4729" s="13"/>
      <c r="N4729" s="13"/>
      <c r="O4729" s="13"/>
      <c r="P4729" s="13"/>
      <c r="Q4729" s="13"/>
      <c r="R4729" s="13"/>
      <c r="S4729" s="13"/>
      <c r="T4729" s="13"/>
      <c r="U4729" s="13"/>
      <c r="V4729" s="13"/>
      <c r="AC4729" s="13"/>
      <c r="AD4729" s="13"/>
      <c r="AE4729" s="13"/>
      <c r="AG4729" s="13"/>
      <c r="AH4729" s="13"/>
      <c r="AI4729" s="13"/>
      <c r="AJ4729" s="13"/>
      <c r="AK4729" s="13"/>
      <c r="AL4729" s="8"/>
      <c r="AU4729" s="13"/>
      <c r="AV4729" s="13"/>
      <c r="CU4729" s="13"/>
      <c r="DG4729" s="13"/>
    </row>
    <row r="4730" spans="1:111" x14ac:dyDescent="0.2">
      <c r="A4730" s="13"/>
      <c r="B4730" s="14"/>
      <c r="C4730" s="13"/>
      <c r="E4730" s="13"/>
      <c r="N4730" s="13"/>
      <c r="O4730" s="13"/>
      <c r="P4730" s="13"/>
      <c r="Q4730" s="13"/>
      <c r="R4730" s="13"/>
      <c r="S4730" s="13"/>
      <c r="T4730" s="13"/>
      <c r="U4730" s="13"/>
      <c r="V4730" s="13"/>
      <c r="AC4730" s="13"/>
      <c r="AD4730" s="13"/>
      <c r="AE4730" s="13"/>
      <c r="AG4730" s="13"/>
      <c r="AH4730" s="13"/>
      <c r="AI4730" s="13"/>
      <c r="AJ4730" s="13"/>
      <c r="AK4730" s="13"/>
      <c r="AL4730" s="8"/>
      <c r="AU4730" s="13"/>
      <c r="AV4730" s="13"/>
      <c r="CU4730" s="13"/>
      <c r="DG4730" s="13"/>
    </row>
    <row r="4731" spans="1:111" x14ac:dyDescent="0.2">
      <c r="A4731" s="13"/>
      <c r="B4731" s="14"/>
      <c r="C4731" s="13"/>
      <c r="E4731" s="13"/>
      <c r="N4731" s="13"/>
      <c r="O4731" s="13"/>
      <c r="P4731" s="13"/>
      <c r="Q4731" s="13"/>
      <c r="R4731" s="13"/>
      <c r="S4731" s="13"/>
      <c r="T4731" s="13"/>
      <c r="U4731" s="13"/>
      <c r="V4731" s="13"/>
      <c r="AC4731" s="13"/>
      <c r="AD4731" s="13"/>
      <c r="AE4731" s="13"/>
      <c r="AG4731" s="13"/>
      <c r="AH4731" s="13"/>
      <c r="AI4731" s="13"/>
      <c r="AJ4731" s="13"/>
      <c r="AK4731" s="13"/>
      <c r="AL4731" s="8"/>
      <c r="AU4731" s="13"/>
      <c r="AV4731" s="13"/>
      <c r="CU4731" s="13"/>
      <c r="DG4731" s="13"/>
    </row>
    <row r="4732" spans="1:111" x14ac:dyDescent="0.2">
      <c r="A4732" s="13"/>
      <c r="B4732" s="14"/>
      <c r="C4732" s="13"/>
      <c r="E4732" s="13"/>
      <c r="N4732" s="13"/>
      <c r="O4732" s="13"/>
      <c r="P4732" s="13"/>
      <c r="Q4732" s="13"/>
      <c r="R4732" s="13"/>
      <c r="S4732" s="13"/>
      <c r="T4732" s="13"/>
      <c r="U4732" s="13"/>
      <c r="V4732" s="13"/>
      <c r="AC4732" s="13"/>
      <c r="AD4732" s="13"/>
      <c r="AE4732" s="13"/>
      <c r="AG4732" s="13"/>
      <c r="AH4732" s="13"/>
      <c r="AI4732" s="13"/>
      <c r="AJ4732" s="13"/>
      <c r="AK4732" s="13"/>
      <c r="AL4732" s="8"/>
      <c r="AU4732" s="13"/>
      <c r="AV4732" s="13"/>
      <c r="CU4732" s="13"/>
      <c r="DG4732" s="13"/>
    </row>
    <row r="4733" spans="1:111" x14ac:dyDescent="0.2">
      <c r="A4733" s="13"/>
      <c r="B4733" s="14"/>
      <c r="C4733" s="13"/>
      <c r="E4733" s="13"/>
      <c r="N4733" s="13"/>
      <c r="O4733" s="13"/>
      <c r="P4733" s="13"/>
      <c r="Q4733" s="13"/>
      <c r="R4733" s="13"/>
      <c r="S4733" s="13"/>
      <c r="T4733" s="13"/>
      <c r="U4733" s="13"/>
      <c r="V4733" s="13"/>
      <c r="AC4733" s="13"/>
      <c r="AD4733" s="13"/>
      <c r="AE4733" s="13"/>
      <c r="AG4733" s="13"/>
      <c r="AH4733" s="13"/>
      <c r="AI4733" s="13"/>
      <c r="AJ4733" s="13"/>
      <c r="AK4733" s="13"/>
      <c r="AL4733" s="8"/>
      <c r="AU4733" s="13"/>
      <c r="AV4733" s="13"/>
      <c r="CU4733" s="13"/>
      <c r="DG4733" s="13"/>
    </row>
    <row r="4734" spans="1:111" x14ac:dyDescent="0.2">
      <c r="A4734" s="13"/>
      <c r="B4734" s="14"/>
      <c r="C4734" s="13"/>
      <c r="E4734" s="13"/>
      <c r="N4734" s="13"/>
      <c r="O4734" s="13"/>
      <c r="P4734" s="13"/>
      <c r="Q4734" s="13"/>
      <c r="R4734" s="13"/>
      <c r="S4734" s="13"/>
      <c r="T4734" s="13"/>
      <c r="U4734" s="13"/>
      <c r="V4734" s="13"/>
      <c r="AC4734" s="13"/>
      <c r="AD4734" s="13"/>
      <c r="AE4734" s="13"/>
      <c r="AG4734" s="13"/>
      <c r="AH4734" s="13"/>
      <c r="AI4734" s="13"/>
      <c r="AJ4734" s="13"/>
      <c r="AK4734" s="13"/>
      <c r="AL4734" s="8"/>
      <c r="AU4734" s="13"/>
      <c r="AV4734" s="13"/>
      <c r="CU4734" s="13"/>
      <c r="DG4734" s="13"/>
    </row>
    <row r="4735" spans="1:111" x14ac:dyDescent="0.2">
      <c r="A4735" s="13"/>
      <c r="B4735" s="14"/>
      <c r="C4735" s="13"/>
      <c r="E4735" s="13"/>
      <c r="N4735" s="13"/>
      <c r="O4735" s="13"/>
      <c r="P4735" s="13"/>
      <c r="Q4735" s="13"/>
      <c r="R4735" s="13"/>
      <c r="S4735" s="13"/>
      <c r="T4735" s="13"/>
      <c r="U4735" s="13"/>
      <c r="V4735" s="13"/>
      <c r="AC4735" s="13"/>
      <c r="AD4735" s="13"/>
      <c r="AE4735" s="13"/>
      <c r="AG4735" s="13"/>
      <c r="AH4735" s="13"/>
      <c r="AI4735" s="13"/>
      <c r="AJ4735" s="13"/>
      <c r="AK4735" s="13"/>
      <c r="AL4735" s="8"/>
      <c r="AU4735" s="13"/>
      <c r="AV4735" s="13"/>
      <c r="CU4735" s="13"/>
      <c r="DG4735" s="13"/>
    </row>
    <row r="4736" spans="1:111" x14ac:dyDescent="0.2">
      <c r="A4736" s="13"/>
      <c r="B4736" s="14"/>
      <c r="C4736" s="13"/>
      <c r="E4736" s="13"/>
      <c r="N4736" s="13"/>
      <c r="O4736" s="13"/>
      <c r="P4736" s="13"/>
      <c r="Q4736" s="13"/>
      <c r="R4736" s="13"/>
      <c r="S4736" s="13"/>
      <c r="T4736" s="13"/>
      <c r="U4736" s="13"/>
      <c r="V4736" s="13"/>
      <c r="AC4736" s="13"/>
      <c r="AD4736" s="13"/>
      <c r="AE4736" s="13"/>
      <c r="AG4736" s="13"/>
      <c r="AH4736" s="13"/>
      <c r="AI4736" s="13"/>
      <c r="AJ4736" s="13"/>
      <c r="AK4736" s="13"/>
      <c r="AL4736" s="8"/>
      <c r="AU4736" s="13"/>
      <c r="AV4736" s="13"/>
      <c r="CU4736" s="13"/>
      <c r="DG4736" s="13"/>
    </row>
    <row r="4737" spans="1:111" x14ac:dyDescent="0.2">
      <c r="A4737" s="13"/>
      <c r="B4737" s="14"/>
      <c r="C4737" s="13"/>
      <c r="E4737" s="13"/>
      <c r="N4737" s="13"/>
      <c r="O4737" s="13"/>
      <c r="P4737" s="13"/>
      <c r="Q4737" s="13"/>
      <c r="R4737" s="13"/>
      <c r="S4737" s="13"/>
      <c r="T4737" s="13"/>
      <c r="U4737" s="13"/>
      <c r="V4737" s="13"/>
      <c r="AC4737" s="13"/>
      <c r="AD4737" s="13"/>
      <c r="AE4737" s="13"/>
      <c r="AG4737" s="13"/>
      <c r="AH4737" s="13"/>
      <c r="AI4737" s="13"/>
      <c r="AJ4737" s="13"/>
      <c r="AK4737" s="13"/>
      <c r="AL4737" s="8"/>
      <c r="AU4737" s="13"/>
      <c r="AV4737" s="13"/>
      <c r="CU4737" s="13"/>
      <c r="DG4737" s="13"/>
    </row>
    <row r="4738" spans="1:111" x14ac:dyDescent="0.2">
      <c r="A4738" s="13"/>
      <c r="B4738" s="14"/>
      <c r="C4738" s="13"/>
      <c r="E4738" s="13"/>
      <c r="N4738" s="13"/>
      <c r="O4738" s="13"/>
      <c r="P4738" s="13"/>
      <c r="Q4738" s="13"/>
      <c r="R4738" s="13"/>
      <c r="S4738" s="13"/>
      <c r="T4738" s="13"/>
      <c r="U4738" s="13"/>
      <c r="V4738" s="13"/>
      <c r="AC4738" s="13"/>
      <c r="AD4738" s="13"/>
      <c r="AE4738" s="13"/>
      <c r="AG4738" s="13"/>
      <c r="AH4738" s="13"/>
      <c r="AI4738" s="13"/>
      <c r="AJ4738" s="13"/>
      <c r="AK4738" s="13"/>
      <c r="AL4738" s="8"/>
      <c r="AU4738" s="13"/>
      <c r="AV4738" s="13"/>
      <c r="CU4738" s="13"/>
      <c r="DG4738" s="13"/>
    </row>
    <row r="4739" spans="1:111" x14ac:dyDescent="0.2">
      <c r="A4739" s="13"/>
      <c r="B4739" s="14"/>
      <c r="C4739" s="13"/>
      <c r="E4739" s="13"/>
      <c r="N4739" s="13"/>
      <c r="O4739" s="13"/>
      <c r="P4739" s="13"/>
      <c r="Q4739" s="13"/>
      <c r="R4739" s="13"/>
      <c r="S4739" s="13"/>
      <c r="T4739" s="13"/>
      <c r="U4739" s="13"/>
      <c r="V4739" s="13"/>
      <c r="AC4739" s="13"/>
      <c r="AD4739" s="13"/>
      <c r="AE4739" s="13"/>
      <c r="AG4739" s="13"/>
      <c r="AH4739" s="13"/>
      <c r="AI4739" s="13"/>
      <c r="AJ4739" s="13"/>
      <c r="AK4739" s="13"/>
      <c r="AL4739" s="8"/>
      <c r="AU4739" s="13"/>
      <c r="AV4739" s="13"/>
      <c r="CU4739" s="13"/>
      <c r="DG4739" s="13"/>
    </row>
    <row r="4740" spans="1:111" x14ac:dyDescent="0.2">
      <c r="A4740" s="13"/>
      <c r="B4740" s="14"/>
      <c r="C4740" s="13"/>
      <c r="E4740" s="13"/>
      <c r="N4740" s="13"/>
      <c r="O4740" s="13"/>
      <c r="P4740" s="13"/>
      <c r="Q4740" s="13"/>
      <c r="R4740" s="13"/>
      <c r="S4740" s="13"/>
      <c r="T4740" s="13"/>
      <c r="U4740" s="13"/>
      <c r="V4740" s="13"/>
      <c r="AC4740" s="13"/>
      <c r="AD4740" s="13"/>
      <c r="AE4740" s="13"/>
      <c r="AG4740" s="13"/>
      <c r="AH4740" s="13"/>
      <c r="AI4740" s="13"/>
      <c r="AJ4740" s="13"/>
      <c r="AK4740" s="13"/>
      <c r="AL4740" s="8"/>
      <c r="AU4740" s="13"/>
      <c r="AV4740" s="13"/>
      <c r="CU4740" s="13"/>
      <c r="DG4740" s="13"/>
    </row>
    <row r="4741" spans="1:111" x14ac:dyDescent="0.2">
      <c r="A4741" s="13"/>
      <c r="B4741" s="14"/>
      <c r="C4741" s="13"/>
      <c r="E4741" s="13"/>
      <c r="N4741" s="13"/>
      <c r="O4741" s="13"/>
      <c r="P4741" s="13"/>
      <c r="Q4741" s="13"/>
      <c r="R4741" s="13"/>
      <c r="S4741" s="13"/>
      <c r="T4741" s="13"/>
      <c r="U4741" s="13"/>
      <c r="V4741" s="13"/>
      <c r="AC4741" s="13"/>
      <c r="AD4741" s="13"/>
      <c r="AE4741" s="13"/>
      <c r="AG4741" s="13"/>
      <c r="AH4741" s="13"/>
      <c r="AI4741" s="13"/>
      <c r="AJ4741" s="13"/>
      <c r="AK4741" s="13"/>
      <c r="AL4741" s="8"/>
      <c r="AU4741" s="13"/>
      <c r="AV4741" s="13"/>
      <c r="CU4741" s="13"/>
      <c r="DG4741" s="13"/>
    </row>
    <row r="4742" spans="1:111" x14ac:dyDescent="0.2">
      <c r="A4742" s="13"/>
      <c r="B4742" s="14"/>
      <c r="C4742" s="13"/>
      <c r="E4742" s="13"/>
      <c r="N4742" s="13"/>
      <c r="O4742" s="13"/>
      <c r="P4742" s="13"/>
      <c r="Q4742" s="13"/>
      <c r="R4742" s="13"/>
      <c r="S4742" s="13"/>
      <c r="T4742" s="13"/>
      <c r="U4742" s="13"/>
      <c r="V4742" s="13"/>
      <c r="AC4742" s="13"/>
      <c r="AD4742" s="13"/>
      <c r="AE4742" s="13"/>
      <c r="AG4742" s="13"/>
      <c r="AH4742" s="13"/>
      <c r="AI4742" s="13"/>
      <c r="AJ4742" s="13"/>
      <c r="AK4742" s="13"/>
      <c r="AL4742" s="8"/>
      <c r="AU4742" s="13"/>
      <c r="AV4742" s="13"/>
      <c r="CU4742" s="13"/>
      <c r="DG4742" s="13"/>
    </row>
    <row r="4743" spans="1:111" x14ac:dyDescent="0.2">
      <c r="A4743" s="13"/>
      <c r="B4743" s="14"/>
      <c r="C4743" s="13"/>
      <c r="E4743" s="13"/>
      <c r="N4743" s="13"/>
      <c r="O4743" s="13"/>
      <c r="P4743" s="13"/>
      <c r="Q4743" s="13"/>
      <c r="R4743" s="13"/>
      <c r="S4743" s="13"/>
      <c r="T4743" s="13"/>
      <c r="U4743" s="13"/>
      <c r="V4743" s="13"/>
      <c r="AC4743" s="13"/>
      <c r="AD4743" s="13"/>
      <c r="AE4743" s="13"/>
      <c r="AG4743" s="13"/>
      <c r="AH4743" s="13"/>
      <c r="AI4743" s="13"/>
      <c r="AJ4743" s="13"/>
      <c r="AK4743" s="13"/>
      <c r="AL4743" s="8"/>
      <c r="AU4743" s="13"/>
      <c r="AV4743" s="13"/>
      <c r="CU4743" s="13"/>
      <c r="DG4743" s="13"/>
    </row>
    <row r="4744" spans="1:111" x14ac:dyDescent="0.2">
      <c r="A4744" s="13"/>
      <c r="B4744" s="14"/>
      <c r="C4744" s="13"/>
      <c r="E4744" s="13"/>
      <c r="N4744" s="13"/>
      <c r="O4744" s="13"/>
      <c r="P4744" s="13"/>
      <c r="Q4744" s="13"/>
      <c r="R4744" s="13"/>
      <c r="S4744" s="13"/>
      <c r="T4744" s="13"/>
      <c r="U4744" s="13"/>
      <c r="V4744" s="13"/>
      <c r="AC4744" s="13"/>
      <c r="AD4744" s="13"/>
      <c r="AE4744" s="13"/>
      <c r="AG4744" s="13"/>
      <c r="AH4744" s="13"/>
      <c r="AI4744" s="13"/>
      <c r="AJ4744" s="13"/>
      <c r="AK4744" s="13"/>
      <c r="AL4744" s="8"/>
      <c r="AU4744" s="13"/>
      <c r="AV4744" s="13"/>
      <c r="CU4744" s="13"/>
      <c r="DG4744" s="13"/>
    </row>
    <row r="4745" spans="1:111" x14ac:dyDescent="0.2">
      <c r="A4745" s="13"/>
      <c r="B4745" s="14"/>
      <c r="C4745" s="13"/>
      <c r="E4745" s="13"/>
      <c r="N4745" s="13"/>
      <c r="O4745" s="13"/>
      <c r="P4745" s="13"/>
      <c r="Q4745" s="13"/>
      <c r="R4745" s="13"/>
      <c r="S4745" s="13"/>
      <c r="T4745" s="13"/>
      <c r="U4745" s="13"/>
      <c r="V4745" s="13"/>
      <c r="AC4745" s="13"/>
      <c r="AD4745" s="13"/>
      <c r="AE4745" s="13"/>
      <c r="AG4745" s="13"/>
      <c r="AH4745" s="13"/>
      <c r="AI4745" s="13"/>
      <c r="AJ4745" s="13"/>
      <c r="AK4745" s="13"/>
      <c r="AL4745" s="8"/>
      <c r="AU4745" s="13"/>
      <c r="AV4745" s="13"/>
      <c r="CU4745" s="13"/>
      <c r="DG4745" s="13"/>
    </row>
    <row r="4746" spans="1:111" x14ac:dyDescent="0.2">
      <c r="A4746" s="13"/>
      <c r="B4746" s="14"/>
      <c r="C4746" s="13"/>
      <c r="E4746" s="13"/>
      <c r="N4746" s="13"/>
      <c r="O4746" s="13"/>
      <c r="P4746" s="13"/>
      <c r="Q4746" s="13"/>
      <c r="R4746" s="13"/>
      <c r="S4746" s="13"/>
      <c r="T4746" s="13"/>
      <c r="U4746" s="13"/>
      <c r="V4746" s="13"/>
      <c r="AC4746" s="13"/>
      <c r="AD4746" s="13"/>
      <c r="AE4746" s="13"/>
      <c r="AG4746" s="13"/>
      <c r="AH4746" s="13"/>
      <c r="AI4746" s="13"/>
      <c r="AJ4746" s="13"/>
      <c r="AK4746" s="13"/>
      <c r="AL4746" s="8"/>
      <c r="AU4746" s="13"/>
      <c r="AV4746" s="13"/>
      <c r="CU4746" s="13"/>
      <c r="DG4746" s="13"/>
    </row>
    <row r="4747" spans="1:111" x14ac:dyDescent="0.2">
      <c r="A4747" s="13"/>
      <c r="B4747" s="14"/>
      <c r="C4747" s="13"/>
      <c r="E4747" s="13"/>
      <c r="N4747" s="13"/>
      <c r="O4747" s="13"/>
      <c r="P4747" s="13"/>
      <c r="Q4747" s="13"/>
      <c r="R4747" s="13"/>
      <c r="S4747" s="13"/>
      <c r="T4747" s="13"/>
      <c r="U4747" s="13"/>
      <c r="V4747" s="13"/>
      <c r="AC4747" s="13"/>
      <c r="AD4747" s="13"/>
      <c r="AE4747" s="13"/>
      <c r="AG4747" s="13"/>
      <c r="AH4747" s="13"/>
      <c r="AI4747" s="13"/>
      <c r="AJ4747" s="13"/>
      <c r="AK4747" s="13"/>
      <c r="AL4747" s="8"/>
      <c r="AU4747" s="13"/>
      <c r="AV4747" s="13"/>
      <c r="CU4747" s="13"/>
      <c r="DG4747" s="13"/>
    </row>
    <row r="4748" spans="1:111" x14ac:dyDescent="0.2">
      <c r="A4748" s="13"/>
      <c r="B4748" s="14"/>
      <c r="C4748" s="13"/>
      <c r="E4748" s="13"/>
      <c r="N4748" s="13"/>
      <c r="O4748" s="13"/>
      <c r="P4748" s="13"/>
      <c r="Q4748" s="13"/>
      <c r="R4748" s="13"/>
      <c r="S4748" s="13"/>
      <c r="T4748" s="13"/>
      <c r="U4748" s="13"/>
      <c r="V4748" s="13"/>
      <c r="AC4748" s="13"/>
      <c r="AD4748" s="13"/>
      <c r="AE4748" s="13"/>
      <c r="AG4748" s="13"/>
      <c r="AH4748" s="13"/>
      <c r="AI4748" s="13"/>
      <c r="AJ4748" s="13"/>
      <c r="AK4748" s="13"/>
      <c r="AL4748" s="8"/>
      <c r="AU4748" s="13"/>
      <c r="AV4748" s="13"/>
      <c r="CU4748" s="13"/>
      <c r="DG4748" s="13"/>
    </row>
    <row r="4749" spans="1:111" x14ac:dyDescent="0.2">
      <c r="A4749" s="13"/>
      <c r="B4749" s="14"/>
      <c r="C4749" s="13"/>
      <c r="E4749" s="13"/>
      <c r="N4749" s="13"/>
      <c r="O4749" s="13"/>
      <c r="P4749" s="13"/>
      <c r="Q4749" s="13"/>
      <c r="R4749" s="13"/>
      <c r="S4749" s="13"/>
      <c r="T4749" s="13"/>
      <c r="U4749" s="13"/>
      <c r="V4749" s="13"/>
      <c r="AC4749" s="13"/>
      <c r="AD4749" s="13"/>
      <c r="AE4749" s="13"/>
      <c r="AG4749" s="13"/>
      <c r="AH4749" s="13"/>
      <c r="AI4749" s="13"/>
      <c r="AJ4749" s="13"/>
      <c r="AK4749" s="13"/>
      <c r="AL4749" s="8"/>
      <c r="AU4749" s="13"/>
      <c r="AV4749" s="13"/>
      <c r="CU4749" s="13"/>
      <c r="DG4749" s="13"/>
    </row>
    <row r="4750" spans="1:111" x14ac:dyDescent="0.2">
      <c r="A4750" s="13"/>
      <c r="B4750" s="14"/>
      <c r="C4750" s="13"/>
      <c r="E4750" s="13"/>
      <c r="N4750" s="13"/>
      <c r="O4750" s="13"/>
      <c r="P4750" s="13"/>
      <c r="Q4750" s="13"/>
      <c r="R4750" s="13"/>
      <c r="S4750" s="13"/>
      <c r="T4750" s="13"/>
      <c r="U4750" s="13"/>
      <c r="V4750" s="13"/>
      <c r="AC4750" s="13"/>
      <c r="AD4750" s="13"/>
      <c r="AE4750" s="13"/>
      <c r="AG4750" s="13"/>
      <c r="AH4750" s="13"/>
      <c r="AI4750" s="13"/>
      <c r="AJ4750" s="13"/>
      <c r="AK4750" s="13"/>
      <c r="AL4750" s="8"/>
      <c r="AU4750" s="13"/>
      <c r="AV4750" s="13"/>
      <c r="CU4750" s="13"/>
      <c r="DG4750" s="13"/>
    </row>
    <row r="4751" spans="1:111" x14ac:dyDescent="0.2">
      <c r="A4751" s="13"/>
      <c r="B4751" s="14"/>
      <c r="C4751" s="13"/>
      <c r="E4751" s="13"/>
      <c r="N4751" s="13"/>
      <c r="O4751" s="13"/>
      <c r="P4751" s="13"/>
      <c r="Q4751" s="13"/>
      <c r="R4751" s="13"/>
      <c r="S4751" s="13"/>
      <c r="T4751" s="13"/>
      <c r="U4751" s="13"/>
      <c r="V4751" s="13"/>
      <c r="AC4751" s="13"/>
      <c r="AD4751" s="13"/>
      <c r="AE4751" s="13"/>
      <c r="AG4751" s="13"/>
      <c r="AH4751" s="13"/>
      <c r="AI4751" s="13"/>
      <c r="AJ4751" s="13"/>
      <c r="AK4751" s="13"/>
      <c r="AL4751" s="8"/>
      <c r="AU4751" s="13"/>
      <c r="AV4751" s="13"/>
      <c r="CU4751" s="13"/>
      <c r="DG4751" s="13"/>
    </row>
    <row r="4752" spans="1:111" x14ac:dyDescent="0.2">
      <c r="A4752" s="13"/>
      <c r="B4752" s="14"/>
      <c r="C4752" s="13"/>
      <c r="E4752" s="13"/>
      <c r="N4752" s="13"/>
      <c r="O4752" s="13"/>
      <c r="P4752" s="13"/>
      <c r="Q4752" s="13"/>
      <c r="R4752" s="13"/>
      <c r="S4752" s="13"/>
      <c r="T4752" s="13"/>
      <c r="U4752" s="13"/>
      <c r="V4752" s="13"/>
      <c r="AC4752" s="13"/>
      <c r="AD4752" s="13"/>
      <c r="AE4752" s="13"/>
      <c r="AG4752" s="13"/>
      <c r="AH4752" s="13"/>
      <c r="AI4752" s="13"/>
      <c r="AJ4752" s="13"/>
      <c r="AK4752" s="13"/>
      <c r="AL4752" s="8"/>
      <c r="AU4752" s="13"/>
      <c r="AV4752" s="13"/>
      <c r="CU4752" s="13"/>
      <c r="DG4752" s="13"/>
    </row>
    <row r="4753" spans="1:111" x14ac:dyDescent="0.2">
      <c r="A4753" s="13"/>
      <c r="B4753" s="14"/>
      <c r="C4753" s="13"/>
      <c r="E4753" s="13"/>
      <c r="N4753" s="13"/>
      <c r="O4753" s="13"/>
      <c r="P4753" s="13"/>
      <c r="Q4753" s="13"/>
      <c r="R4753" s="13"/>
      <c r="S4753" s="13"/>
      <c r="T4753" s="13"/>
      <c r="U4753" s="13"/>
      <c r="V4753" s="13"/>
      <c r="AC4753" s="13"/>
      <c r="AD4753" s="13"/>
      <c r="AE4753" s="13"/>
      <c r="AG4753" s="13"/>
      <c r="AH4753" s="13"/>
      <c r="AI4753" s="13"/>
      <c r="AJ4753" s="13"/>
      <c r="AK4753" s="13"/>
      <c r="AL4753" s="8"/>
      <c r="AU4753" s="13"/>
      <c r="AV4753" s="13"/>
      <c r="CU4753" s="13"/>
      <c r="DG4753" s="13"/>
    </row>
    <row r="4754" spans="1:111" x14ac:dyDescent="0.2">
      <c r="A4754" s="13"/>
      <c r="B4754" s="14"/>
      <c r="C4754" s="13"/>
      <c r="E4754" s="13"/>
      <c r="N4754" s="13"/>
      <c r="O4754" s="13"/>
      <c r="P4754" s="13"/>
      <c r="Q4754" s="13"/>
      <c r="R4754" s="13"/>
      <c r="S4754" s="13"/>
      <c r="T4754" s="13"/>
      <c r="U4754" s="13"/>
      <c r="V4754" s="13"/>
      <c r="AC4754" s="13"/>
      <c r="AD4754" s="13"/>
      <c r="AE4754" s="13"/>
      <c r="AG4754" s="13"/>
      <c r="AH4754" s="13"/>
      <c r="AI4754" s="13"/>
      <c r="AJ4754" s="13"/>
      <c r="AK4754" s="13"/>
      <c r="AL4754" s="8"/>
      <c r="AU4754" s="13"/>
      <c r="AV4754" s="13"/>
      <c r="CU4754" s="13"/>
      <c r="DG4754" s="13"/>
    </row>
    <row r="4755" spans="1:111" x14ac:dyDescent="0.2">
      <c r="A4755" s="13"/>
      <c r="B4755" s="14"/>
      <c r="C4755" s="13"/>
      <c r="E4755" s="13"/>
      <c r="N4755" s="13"/>
      <c r="O4755" s="13"/>
      <c r="P4755" s="13"/>
      <c r="Q4755" s="13"/>
      <c r="R4755" s="13"/>
      <c r="S4755" s="13"/>
      <c r="T4755" s="13"/>
      <c r="U4755" s="13"/>
      <c r="V4755" s="13"/>
      <c r="AC4755" s="13"/>
      <c r="AD4755" s="13"/>
      <c r="AE4755" s="13"/>
      <c r="AG4755" s="13"/>
      <c r="AH4755" s="13"/>
      <c r="AI4755" s="13"/>
      <c r="AJ4755" s="13"/>
      <c r="AK4755" s="13"/>
      <c r="AL4755" s="8"/>
      <c r="AU4755" s="13"/>
      <c r="AV4755" s="13"/>
      <c r="CU4755" s="13"/>
      <c r="DG4755" s="13"/>
    </row>
    <row r="4756" spans="1:111" x14ac:dyDescent="0.2">
      <c r="A4756" s="13"/>
      <c r="B4756" s="14"/>
      <c r="C4756" s="13"/>
      <c r="E4756" s="13"/>
      <c r="N4756" s="13"/>
      <c r="O4756" s="13"/>
      <c r="P4756" s="13"/>
      <c r="Q4756" s="13"/>
      <c r="R4756" s="13"/>
      <c r="S4756" s="13"/>
      <c r="T4756" s="13"/>
      <c r="U4756" s="13"/>
      <c r="V4756" s="13"/>
      <c r="AC4756" s="13"/>
      <c r="AD4756" s="13"/>
      <c r="AE4756" s="13"/>
      <c r="AG4756" s="13"/>
      <c r="AH4756" s="13"/>
      <c r="AI4756" s="13"/>
      <c r="AJ4756" s="13"/>
      <c r="AK4756" s="13"/>
      <c r="AL4756" s="8"/>
      <c r="AU4756" s="13"/>
      <c r="AV4756" s="13"/>
      <c r="CU4756" s="13"/>
      <c r="DG4756" s="13"/>
    </row>
    <row r="4757" spans="1:111" x14ac:dyDescent="0.2">
      <c r="A4757" s="13"/>
      <c r="B4757" s="14"/>
      <c r="C4757" s="13"/>
      <c r="E4757" s="13"/>
      <c r="N4757" s="13"/>
      <c r="O4757" s="13"/>
      <c r="P4757" s="13"/>
      <c r="Q4757" s="13"/>
      <c r="R4757" s="13"/>
      <c r="S4757" s="13"/>
      <c r="T4757" s="13"/>
      <c r="U4757" s="13"/>
      <c r="V4757" s="13"/>
      <c r="AC4757" s="13"/>
      <c r="AD4757" s="13"/>
      <c r="AE4757" s="13"/>
      <c r="AG4757" s="13"/>
      <c r="AH4757" s="13"/>
      <c r="AI4757" s="13"/>
      <c r="AJ4757" s="13"/>
      <c r="AK4757" s="13"/>
      <c r="AL4757" s="8"/>
      <c r="AU4757" s="13"/>
      <c r="AV4757" s="13"/>
      <c r="CU4757" s="13"/>
      <c r="DG4757" s="13"/>
    </row>
    <row r="4758" spans="1:111" x14ac:dyDescent="0.2">
      <c r="A4758" s="13"/>
      <c r="B4758" s="14"/>
      <c r="C4758" s="13"/>
      <c r="E4758" s="13"/>
      <c r="N4758" s="13"/>
      <c r="O4758" s="13"/>
      <c r="P4758" s="13"/>
      <c r="Q4758" s="13"/>
      <c r="R4758" s="13"/>
      <c r="S4758" s="13"/>
      <c r="T4758" s="13"/>
      <c r="U4758" s="13"/>
      <c r="V4758" s="13"/>
      <c r="AC4758" s="13"/>
      <c r="AD4758" s="13"/>
      <c r="AE4758" s="13"/>
      <c r="AG4758" s="13"/>
      <c r="AH4758" s="13"/>
      <c r="AI4758" s="13"/>
      <c r="AJ4758" s="13"/>
      <c r="AK4758" s="13"/>
      <c r="AL4758" s="8"/>
      <c r="AU4758" s="13"/>
      <c r="AV4758" s="13"/>
      <c r="CU4758" s="13"/>
      <c r="DG4758" s="13"/>
    </row>
    <row r="4759" spans="1:111" x14ac:dyDescent="0.2">
      <c r="A4759" s="13"/>
      <c r="B4759" s="14"/>
      <c r="C4759" s="13"/>
      <c r="E4759" s="13"/>
      <c r="N4759" s="13"/>
      <c r="O4759" s="13"/>
      <c r="P4759" s="13"/>
      <c r="Q4759" s="13"/>
      <c r="R4759" s="13"/>
      <c r="S4759" s="13"/>
      <c r="T4759" s="13"/>
      <c r="U4759" s="13"/>
      <c r="V4759" s="13"/>
      <c r="AC4759" s="13"/>
      <c r="AD4759" s="13"/>
      <c r="AE4759" s="13"/>
      <c r="AG4759" s="13"/>
      <c r="AH4759" s="13"/>
      <c r="AI4759" s="13"/>
      <c r="AJ4759" s="13"/>
      <c r="AK4759" s="13"/>
      <c r="AL4759" s="8"/>
      <c r="AU4759" s="13"/>
      <c r="AV4759" s="13"/>
      <c r="CU4759" s="13"/>
      <c r="DG4759" s="13"/>
    </row>
    <row r="4760" spans="1:111" x14ac:dyDescent="0.2">
      <c r="A4760" s="13"/>
      <c r="B4760" s="14"/>
      <c r="C4760" s="13"/>
      <c r="E4760" s="13"/>
      <c r="N4760" s="13"/>
      <c r="O4760" s="13"/>
      <c r="P4760" s="13"/>
      <c r="Q4760" s="13"/>
      <c r="R4760" s="13"/>
      <c r="S4760" s="13"/>
      <c r="T4760" s="13"/>
      <c r="U4760" s="13"/>
      <c r="V4760" s="13"/>
      <c r="AC4760" s="13"/>
      <c r="AD4760" s="13"/>
      <c r="AE4760" s="13"/>
      <c r="AG4760" s="13"/>
      <c r="AH4760" s="13"/>
      <c r="AI4760" s="13"/>
      <c r="AJ4760" s="13"/>
      <c r="AK4760" s="13"/>
      <c r="AL4760" s="8"/>
      <c r="AU4760" s="13"/>
      <c r="AV4760" s="13"/>
      <c r="CU4760" s="13"/>
      <c r="DG4760" s="13"/>
    </row>
    <row r="4761" spans="1:111" x14ac:dyDescent="0.2">
      <c r="A4761" s="13"/>
      <c r="B4761" s="14"/>
      <c r="C4761" s="13"/>
      <c r="E4761" s="13"/>
      <c r="N4761" s="13"/>
      <c r="O4761" s="13"/>
      <c r="P4761" s="13"/>
      <c r="Q4761" s="13"/>
      <c r="R4761" s="13"/>
      <c r="S4761" s="13"/>
      <c r="T4761" s="13"/>
      <c r="U4761" s="13"/>
      <c r="V4761" s="13"/>
      <c r="AC4761" s="13"/>
      <c r="AD4761" s="13"/>
      <c r="AE4761" s="13"/>
      <c r="AG4761" s="13"/>
      <c r="AH4761" s="13"/>
      <c r="AI4761" s="13"/>
      <c r="AJ4761" s="13"/>
      <c r="AK4761" s="13"/>
      <c r="AL4761" s="8"/>
      <c r="AU4761" s="13"/>
      <c r="AV4761" s="13"/>
      <c r="CU4761" s="13"/>
      <c r="DG4761" s="13"/>
    </row>
    <row r="4762" spans="1:111" x14ac:dyDescent="0.2">
      <c r="A4762" s="13"/>
      <c r="B4762" s="14"/>
      <c r="C4762" s="13"/>
      <c r="E4762" s="13"/>
      <c r="N4762" s="13"/>
      <c r="O4762" s="13"/>
      <c r="P4762" s="13"/>
      <c r="Q4762" s="13"/>
      <c r="R4762" s="13"/>
      <c r="S4762" s="13"/>
      <c r="T4762" s="13"/>
      <c r="U4762" s="13"/>
      <c r="V4762" s="13"/>
      <c r="AC4762" s="13"/>
      <c r="AD4762" s="13"/>
      <c r="AE4762" s="13"/>
      <c r="AG4762" s="13"/>
      <c r="AH4762" s="13"/>
      <c r="AI4762" s="13"/>
      <c r="AJ4762" s="13"/>
      <c r="AK4762" s="13"/>
      <c r="AL4762" s="8"/>
      <c r="AU4762" s="13"/>
      <c r="AV4762" s="13"/>
      <c r="CU4762" s="13"/>
      <c r="DG4762" s="13"/>
    </row>
    <row r="4763" spans="1:111" x14ac:dyDescent="0.2">
      <c r="A4763" s="13"/>
      <c r="B4763" s="14"/>
      <c r="C4763" s="13"/>
      <c r="E4763" s="13"/>
      <c r="N4763" s="13"/>
      <c r="O4763" s="13"/>
      <c r="P4763" s="13"/>
      <c r="Q4763" s="13"/>
      <c r="R4763" s="13"/>
      <c r="S4763" s="13"/>
      <c r="T4763" s="13"/>
      <c r="U4763" s="13"/>
      <c r="V4763" s="13"/>
      <c r="AC4763" s="13"/>
      <c r="AD4763" s="13"/>
      <c r="AE4763" s="13"/>
      <c r="AG4763" s="13"/>
      <c r="AH4763" s="13"/>
      <c r="AI4763" s="13"/>
      <c r="AJ4763" s="13"/>
      <c r="AK4763" s="13"/>
      <c r="AL4763" s="8"/>
      <c r="AU4763" s="13"/>
      <c r="AV4763" s="13"/>
      <c r="CU4763" s="13"/>
      <c r="DG4763" s="13"/>
    </row>
    <row r="4764" spans="1:111" x14ac:dyDescent="0.2">
      <c r="A4764" s="13"/>
      <c r="B4764" s="14"/>
      <c r="C4764" s="13"/>
      <c r="E4764" s="13"/>
      <c r="N4764" s="13"/>
      <c r="O4764" s="13"/>
      <c r="P4764" s="13"/>
      <c r="Q4764" s="13"/>
      <c r="R4764" s="13"/>
      <c r="S4764" s="13"/>
      <c r="T4764" s="13"/>
      <c r="U4764" s="13"/>
      <c r="V4764" s="13"/>
      <c r="AC4764" s="13"/>
      <c r="AD4764" s="13"/>
      <c r="AE4764" s="13"/>
      <c r="AG4764" s="13"/>
      <c r="AH4764" s="13"/>
      <c r="AI4764" s="13"/>
      <c r="AJ4764" s="13"/>
      <c r="AK4764" s="13"/>
      <c r="AL4764" s="8"/>
      <c r="AU4764" s="13"/>
      <c r="AV4764" s="13"/>
      <c r="CU4764" s="13"/>
      <c r="DG4764" s="13"/>
    </row>
    <row r="4765" spans="1:111" x14ac:dyDescent="0.2">
      <c r="A4765" s="13"/>
      <c r="B4765" s="14"/>
      <c r="C4765" s="13"/>
      <c r="E4765" s="13"/>
      <c r="N4765" s="13"/>
      <c r="O4765" s="13"/>
      <c r="P4765" s="13"/>
      <c r="Q4765" s="13"/>
      <c r="R4765" s="13"/>
      <c r="S4765" s="13"/>
      <c r="T4765" s="13"/>
      <c r="U4765" s="13"/>
      <c r="V4765" s="13"/>
      <c r="AC4765" s="13"/>
      <c r="AD4765" s="13"/>
      <c r="AE4765" s="13"/>
      <c r="AG4765" s="13"/>
      <c r="AH4765" s="13"/>
      <c r="AI4765" s="13"/>
      <c r="AJ4765" s="13"/>
      <c r="AK4765" s="13"/>
      <c r="AL4765" s="8"/>
      <c r="AU4765" s="13"/>
      <c r="AV4765" s="13"/>
      <c r="CU4765" s="13"/>
      <c r="DG4765" s="13"/>
    </row>
    <row r="4766" spans="1:111" x14ac:dyDescent="0.2">
      <c r="A4766" s="13"/>
      <c r="B4766" s="14"/>
      <c r="C4766" s="13"/>
      <c r="E4766" s="13"/>
      <c r="N4766" s="13"/>
      <c r="O4766" s="13"/>
      <c r="P4766" s="13"/>
      <c r="Q4766" s="13"/>
      <c r="R4766" s="13"/>
      <c r="S4766" s="13"/>
      <c r="T4766" s="13"/>
      <c r="U4766" s="13"/>
      <c r="V4766" s="13"/>
      <c r="AC4766" s="13"/>
      <c r="AD4766" s="13"/>
      <c r="AE4766" s="13"/>
      <c r="AG4766" s="13"/>
      <c r="AH4766" s="13"/>
      <c r="AI4766" s="13"/>
      <c r="AJ4766" s="13"/>
      <c r="AK4766" s="13"/>
      <c r="AL4766" s="8"/>
      <c r="AU4766" s="13"/>
      <c r="AV4766" s="13"/>
      <c r="CU4766" s="13"/>
      <c r="DG4766" s="13"/>
    </row>
    <row r="4767" spans="1:111" x14ac:dyDescent="0.2">
      <c r="A4767" s="13"/>
      <c r="B4767" s="14"/>
      <c r="C4767" s="13"/>
      <c r="E4767" s="13"/>
      <c r="N4767" s="13"/>
      <c r="O4767" s="13"/>
      <c r="P4767" s="13"/>
      <c r="Q4767" s="13"/>
      <c r="R4767" s="13"/>
      <c r="S4767" s="13"/>
      <c r="T4767" s="13"/>
      <c r="U4767" s="13"/>
      <c r="V4767" s="13"/>
      <c r="AC4767" s="13"/>
      <c r="AD4767" s="13"/>
      <c r="AE4767" s="13"/>
      <c r="AG4767" s="13"/>
      <c r="AH4767" s="13"/>
      <c r="AI4767" s="13"/>
      <c r="AJ4767" s="13"/>
      <c r="AK4767" s="13"/>
      <c r="AL4767" s="8"/>
      <c r="AU4767" s="13"/>
      <c r="AV4767" s="13"/>
      <c r="CU4767" s="13"/>
      <c r="DG4767" s="13"/>
    </row>
    <row r="4768" spans="1:111" x14ac:dyDescent="0.2">
      <c r="A4768" s="13"/>
      <c r="B4768" s="14"/>
      <c r="C4768" s="13"/>
      <c r="E4768" s="13"/>
      <c r="N4768" s="13"/>
      <c r="O4768" s="13"/>
      <c r="P4768" s="13"/>
      <c r="Q4768" s="13"/>
      <c r="R4768" s="13"/>
      <c r="S4768" s="13"/>
      <c r="T4768" s="13"/>
      <c r="U4768" s="13"/>
      <c r="V4768" s="13"/>
      <c r="AC4768" s="13"/>
      <c r="AD4768" s="13"/>
      <c r="AE4768" s="13"/>
      <c r="AG4768" s="13"/>
      <c r="AH4768" s="13"/>
      <c r="AI4768" s="13"/>
      <c r="AJ4768" s="13"/>
      <c r="AK4768" s="13"/>
      <c r="AL4768" s="8"/>
      <c r="AU4768" s="13"/>
      <c r="AV4768" s="13"/>
      <c r="CU4768" s="13"/>
      <c r="DG4768" s="13"/>
    </row>
    <row r="4769" spans="1:111" x14ac:dyDescent="0.2">
      <c r="A4769" s="13"/>
      <c r="B4769" s="14"/>
      <c r="C4769" s="13"/>
      <c r="E4769" s="13"/>
      <c r="N4769" s="13"/>
      <c r="O4769" s="13"/>
      <c r="P4769" s="13"/>
      <c r="Q4769" s="13"/>
      <c r="R4769" s="13"/>
      <c r="S4769" s="13"/>
      <c r="T4769" s="13"/>
      <c r="U4769" s="13"/>
      <c r="V4769" s="13"/>
      <c r="AC4769" s="13"/>
      <c r="AD4769" s="13"/>
      <c r="AE4769" s="13"/>
      <c r="AG4769" s="13"/>
      <c r="AH4769" s="13"/>
      <c r="AI4769" s="13"/>
      <c r="AJ4769" s="13"/>
      <c r="AK4769" s="13"/>
      <c r="AL4769" s="8"/>
      <c r="AU4769" s="13"/>
      <c r="AV4769" s="13"/>
      <c r="CU4769" s="13"/>
      <c r="DG4769" s="13"/>
    </row>
    <row r="4770" spans="1:111" x14ac:dyDescent="0.2">
      <c r="A4770" s="13"/>
      <c r="B4770" s="14"/>
      <c r="C4770" s="13"/>
      <c r="E4770" s="13"/>
      <c r="N4770" s="13"/>
      <c r="O4770" s="13"/>
      <c r="P4770" s="13"/>
      <c r="Q4770" s="13"/>
      <c r="R4770" s="13"/>
      <c r="S4770" s="13"/>
      <c r="T4770" s="13"/>
      <c r="U4770" s="13"/>
      <c r="V4770" s="13"/>
      <c r="AC4770" s="13"/>
      <c r="AD4770" s="13"/>
      <c r="AE4770" s="13"/>
      <c r="AG4770" s="13"/>
      <c r="AH4770" s="13"/>
      <c r="AI4770" s="13"/>
      <c r="AJ4770" s="13"/>
      <c r="AK4770" s="13"/>
      <c r="AL4770" s="8"/>
      <c r="AU4770" s="13"/>
      <c r="AV4770" s="13"/>
      <c r="CU4770" s="13"/>
      <c r="DG4770" s="13"/>
    </row>
    <row r="4771" spans="1:111" x14ac:dyDescent="0.2">
      <c r="A4771" s="13"/>
      <c r="B4771" s="14"/>
      <c r="C4771" s="13"/>
      <c r="E4771" s="13"/>
      <c r="N4771" s="13"/>
      <c r="O4771" s="13"/>
      <c r="P4771" s="13"/>
      <c r="Q4771" s="13"/>
      <c r="R4771" s="13"/>
      <c r="S4771" s="13"/>
      <c r="T4771" s="13"/>
      <c r="U4771" s="13"/>
      <c r="V4771" s="13"/>
      <c r="AC4771" s="13"/>
      <c r="AD4771" s="13"/>
      <c r="AE4771" s="13"/>
      <c r="AG4771" s="13"/>
      <c r="AH4771" s="13"/>
      <c r="AI4771" s="13"/>
      <c r="AJ4771" s="13"/>
      <c r="AK4771" s="13"/>
      <c r="AL4771" s="8"/>
      <c r="AU4771" s="13"/>
      <c r="AV4771" s="13"/>
      <c r="CU4771" s="13"/>
      <c r="DG4771" s="13"/>
    </row>
    <row r="4772" spans="1:111" x14ac:dyDescent="0.2">
      <c r="A4772" s="13"/>
      <c r="B4772" s="14"/>
      <c r="C4772" s="13"/>
      <c r="E4772" s="13"/>
      <c r="N4772" s="13"/>
      <c r="O4772" s="13"/>
      <c r="P4772" s="13"/>
      <c r="Q4772" s="13"/>
      <c r="R4772" s="13"/>
      <c r="S4772" s="13"/>
      <c r="T4772" s="13"/>
      <c r="U4772" s="13"/>
      <c r="V4772" s="13"/>
      <c r="AC4772" s="13"/>
      <c r="AD4772" s="13"/>
      <c r="AE4772" s="13"/>
      <c r="AG4772" s="13"/>
      <c r="AH4772" s="13"/>
      <c r="AI4772" s="13"/>
      <c r="AJ4772" s="13"/>
      <c r="AK4772" s="13"/>
      <c r="AL4772" s="8"/>
      <c r="AU4772" s="13"/>
      <c r="AV4772" s="13"/>
      <c r="CU4772" s="13"/>
      <c r="DG4772" s="13"/>
    </row>
    <row r="4773" spans="1:111" x14ac:dyDescent="0.2">
      <c r="A4773" s="13"/>
      <c r="B4773" s="14"/>
      <c r="C4773" s="13"/>
      <c r="E4773" s="13"/>
      <c r="N4773" s="13"/>
      <c r="O4773" s="13"/>
      <c r="P4773" s="13"/>
      <c r="Q4773" s="13"/>
      <c r="R4773" s="13"/>
      <c r="S4773" s="13"/>
      <c r="T4773" s="13"/>
      <c r="U4773" s="13"/>
      <c r="V4773" s="13"/>
      <c r="AC4773" s="13"/>
      <c r="AD4773" s="13"/>
      <c r="AE4773" s="13"/>
      <c r="AG4773" s="13"/>
      <c r="AH4773" s="13"/>
      <c r="AI4773" s="13"/>
      <c r="AJ4773" s="13"/>
      <c r="AK4773" s="13"/>
      <c r="AL4773" s="8"/>
      <c r="AU4773" s="13"/>
      <c r="AV4773" s="13"/>
      <c r="CU4773" s="13"/>
      <c r="DG4773" s="13"/>
    </row>
    <row r="4774" spans="1:111" x14ac:dyDescent="0.2">
      <c r="A4774" s="13"/>
      <c r="B4774" s="14"/>
      <c r="C4774" s="13"/>
      <c r="E4774" s="13"/>
      <c r="N4774" s="13"/>
      <c r="O4774" s="13"/>
      <c r="P4774" s="13"/>
      <c r="Q4774" s="13"/>
      <c r="R4774" s="13"/>
      <c r="S4774" s="13"/>
      <c r="T4774" s="13"/>
      <c r="U4774" s="13"/>
      <c r="V4774" s="13"/>
      <c r="AC4774" s="13"/>
      <c r="AD4774" s="13"/>
      <c r="AE4774" s="13"/>
      <c r="AG4774" s="13"/>
      <c r="AH4774" s="13"/>
      <c r="AI4774" s="13"/>
      <c r="AJ4774" s="13"/>
      <c r="AK4774" s="13"/>
      <c r="AL4774" s="8"/>
      <c r="AU4774" s="13"/>
      <c r="AV4774" s="13"/>
      <c r="CU4774" s="13"/>
      <c r="DG4774" s="13"/>
    </row>
    <row r="4775" spans="1:111" x14ac:dyDescent="0.2">
      <c r="A4775" s="13"/>
      <c r="B4775" s="14"/>
      <c r="C4775" s="13"/>
      <c r="E4775" s="13"/>
      <c r="N4775" s="13"/>
      <c r="O4775" s="13"/>
      <c r="P4775" s="13"/>
      <c r="Q4775" s="13"/>
      <c r="R4775" s="13"/>
      <c r="S4775" s="13"/>
      <c r="T4775" s="13"/>
      <c r="U4775" s="13"/>
      <c r="V4775" s="13"/>
      <c r="AC4775" s="13"/>
      <c r="AD4775" s="13"/>
      <c r="AE4775" s="13"/>
      <c r="AG4775" s="13"/>
      <c r="AH4775" s="13"/>
      <c r="AI4775" s="13"/>
      <c r="AJ4775" s="13"/>
      <c r="AK4775" s="13"/>
      <c r="AL4775" s="8"/>
      <c r="AU4775" s="13"/>
      <c r="AV4775" s="13"/>
      <c r="CU4775" s="13"/>
      <c r="DG4775" s="13"/>
    </row>
    <row r="4776" spans="1:111" x14ac:dyDescent="0.2">
      <c r="A4776" s="13"/>
      <c r="B4776" s="14"/>
      <c r="C4776" s="13"/>
      <c r="E4776" s="13"/>
      <c r="N4776" s="13"/>
      <c r="O4776" s="13"/>
      <c r="P4776" s="13"/>
      <c r="Q4776" s="13"/>
      <c r="R4776" s="13"/>
      <c r="S4776" s="13"/>
      <c r="T4776" s="13"/>
      <c r="U4776" s="13"/>
      <c r="V4776" s="13"/>
      <c r="AC4776" s="13"/>
      <c r="AD4776" s="13"/>
      <c r="AE4776" s="13"/>
      <c r="AG4776" s="13"/>
      <c r="AH4776" s="13"/>
      <c r="AI4776" s="13"/>
      <c r="AJ4776" s="13"/>
      <c r="AK4776" s="13"/>
      <c r="AL4776" s="8"/>
      <c r="AU4776" s="13"/>
      <c r="AV4776" s="13"/>
      <c r="CU4776" s="13"/>
      <c r="DG4776" s="13"/>
    </row>
    <row r="4777" spans="1:111" x14ac:dyDescent="0.2">
      <c r="A4777" s="13"/>
      <c r="B4777" s="14"/>
      <c r="C4777" s="13"/>
      <c r="E4777" s="13"/>
      <c r="N4777" s="13"/>
      <c r="O4777" s="13"/>
      <c r="P4777" s="13"/>
      <c r="Q4777" s="13"/>
      <c r="R4777" s="13"/>
      <c r="S4777" s="13"/>
      <c r="T4777" s="13"/>
      <c r="U4777" s="13"/>
      <c r="V4777" s="13"/>
      <c r="AC4777" s="13"/>
      <c r="AD4777" s="13"/>
      <c r="AE4777" s="13"/>
      <c r="AG4777" s="13"/>
      <c r="AH4777" s="13"/>
      <c r="AI4777" s="13"/>
      <c r="AJ4777" s="13"/>
      <c r="AK4777" s="13"/>
      <c r="AL4777" s="8"/>
      <c r="AU4777" s="13"/>
      <c r="AV4777" s="13"/>
      <c r="CU4777" s="13"/>
      <c r="DG4777" s="13"/>
    </row>
    <row r="4778" spans="1:111" x14ac:dyDescent="0.2">
      <c r="A4778" s="13"/>
      <c r="B4778" s="14"/>
      <c r="C4778" s="13"/>
      <c r="E4778" s="13"/>
      <c r="N4778" s="13"/>
      <c r="O4778" s="13"/>
      <c r="P4778" s="13"/>
      <c r="Q4778" s="13"/>
      <c r="R4778" s="13"/>
      <c r="S4778" s="13"/>
      <c r="T4778" s="13"/>
      <c r="U4778" s="13"/>
      <c r="V4778" s="13"/>
      <c r="AC4778" s="13"/>
      <c r="AD4778" s="13"/>
      <c r="AE4778" s="13"/>
      <c r="AG4778" s="13"/>
      <c r="AH4778" s="13"/>
      <c r="AI4778" s="13"/>
      <c r="AJ4778" s="13"/>
      <c r="AK4778" s="13"/>
      <c r="AL4778" s="8"/>
      <c r="AU4778" s="13"/>
      <c r="AV4778" s="13"/>
      <c r="CU4778" s="13"/>
      <c r="DG4778" s="13"/>
    </row>
    <row r="4779" spans="1:111" x14ac:dyDescent="0.2">
      <c r="A4779" s="13"/>
      <c r="B4779" s="14"/>
      <c r="AL4779" s="8"/>
      <c r="AU4779" s="13"/>
      <c r="AV4779" s="13"/>
      <c r="CU4779" s="13"/>
      <c r="DG4779" s="13"/>
    </row>
    <row r="4780" spans="1:111" x14ac:dyDescent="0.2">
      <c r="A4780" s="13"/>
      <c r="B4780" s="14"/>
      <c r="AL4780" s="8"/>
      <c r="AU4780" s="13"/>
      <c r="AV4780" s="13"/>
      <c r="CU4780" s="13"/>
      <c r="DG4780" s="13"/>
    </row>
    <row r="4781" spans="1:111" x14ac:dyDescent="0.2">
      <c r="A4781" s="13"/>
      <c r="B4781" s="14"/>
      <c r="AL4781" s="8"/>
      <c r="AU4781" s="13"/>
      <c r="AV4781" s="13"/>
      <c r="CU4781" s="13"/>
      <c r="DG4781" s="13"/>
    </row>
    <row r="4782" spans="1:111" x14ac:dyDescent="0.2">
      <c r="A4782" s="13"/>
      <c r="B4782" s="14"/>
      <c r="AL4782" s="8"/>
      <c r="AU4782" s="13"/>
      <c r="AV4782" s="13"/>
      <c r="CU4782" s="13"/>
      <c r="DG4782" s="13"/>
    </row>
    <row r="4783" spans="1:111" x14ac:dyDescent="0.2">
      <c r="A4783" s="13"/>
      <c r="B4783" s="14"/>
      <c r="AK4783" s="24"/>
      <c r="AL4783" s="8"/>
      <c r="AU4783" s="13"/>
      <c r="AV4783" s="13"/>
      <c r="CU4783" s="13"/>
      <c r="DG4783" s="13"/>
    </row>
    <row r="4784" spans="1:111" x14ac:dyDescent="0.2">
      <c r="A4784" s="13"/>
      <c r="B4784" s="14"/>
      <c r="AL4784" s="8"/>
      <c r="AU4784" s="13"/>
      <c r="AV4784" s="13"/>
      <c r="CU4784" s="13"/>
      <c r="DG4784" s="13"/>
    </row>
    <row r="4785" spans="1:111" x14ac:dyDescent="0.2">
      <c r="A4785" s="13"/>
      <c r="B4785" s="14"/>
      <c r="AL4785" s="8"/>
      <c r="AU4785" s="13"/>
      <c r="AV4785" s="13"/>
      <c r="CU4785" s="13"/>
      <c r="DG4785" s="13"/>
    </row>
    <row r="4786" spans="1:111" x14ac:dyDescent="0.2">
      <c r="A4786" s="13"/>
      <c r="B4786" s="14"/>
      <c r="AL4786" s="8"/>
      <c r="AU4786" s="13"/>
      <c r="AV4786" s="13"/>
      <c r="CU4786" s="13"/>
      <c r="DG4786" s="13"/>
    </row>
    <row r="4787" spans="1:111" x14ac:dyDescent="0.2">
      <c r="A4787" s="13"/>
      <c r="B4787" s="14"/>
      <c r="AL4787" s="8"/>
      <c r="AU4787" s="13"/>
      <c r="AV4787" s="13"/>
      <c r="CU4787" s="13"/>
      <c r="DG4787" s="13"/>
    </row>
    <row r="4788" spans="1:111" x14ac:dyDescent="0.2">
      <c r="A4788" s="13"/>
      <c r="B4788" s="14"/>
      <c r="AL4788" s="8"/>
      <c r="AU4788" s="13"/>
      <c r="AV4788" s="13"/>
      <c r="CU4788" s="13"/>
      <c r="DG4788" s="13"/>
    </row>
    <row r="4789" spans="1:111" x14ac:dyDescent="0.2">
      <c r="A4789" s="13"/>
      <c r="B4789" s="14"/>
      <c r="AL4789" s="8"/>
      <c r="AU4789" s="13"/>
      <c r="AV4789" s="13"/>
      <c r="CU4789" s="13"/>
      <c r="DG4789" s="13"/>
    </row>
    <row r="4790" spans="1:111" x14ac:dyDescent="0.2">
      <c r="A4790" s="13"/>
      <c r="B4790" s="14"/>
      <c r="AL4790" s="8"/>
      <c r="AU4790" s="13"/>
      <c r="AV4790" s="13"/>
      <c r="CU4790" s="13"/>
      <c r="DG4790" s="13"/>
    </row>
    <row r="4791" spans="1:111" x14ac:dyDescent="0.2">
      <c r="A4791" s="13"/>
      <c r="B4791" s="14"/>
      <c r="AL4791" s="8"/>
      <c r="AU4791" s="13"/>
      <c r="AV4791" s="13"/>
      <c r="CU4791" s="13"/>
      <c r="DG4791" s="13"/>
    </row>
    <row r="4792" spans="1:111" x14ac:dyDescent="0.2">
      <c r="A4792" s="13"/>
      <c r="B4792" s="14"/>
      <c r="AL4792" s="8"/>
      <c r="AU4792" s="13"/>
      <c r="AV4792" s="13"/>
      <c r="CU4792" s="13"/>
      <c r="DG4792" s="13"/>
    </row>
    <row r="4793" spans="1:111" x14ac:dyDescent="0.2">
      <c r="A4793" s="13"/>
      <c r="B4793" s="14"/>
      <c r="AL4793" s="8"/>
      <c r="AU4793" s="13"/>
      <c r="AV4793" s="13"/>
      <c r="CU4793" s="13"/>
      <c r="DG4793" s="13"/>
    </row>
    <row r="4794" spans="1:111" x14ac:dyDescent="0.2">
      <c r="A4794" s="13"/>
      <c r="B4794" s="14"/>
      <c r="AL4794" s="8"/>
      <c r="AU4794" s="13"/>
      <c r="AV4794" s="13"/>
      <c r="CU4794" s="13"/>
      <c r="DG4794" s="13"/>
    </row>
    <row r="4795" spans="1:111" x14ac:dyDescent="0.2">
      <c r="A4795" s="13"/>
      <c r="B4795" s="14"/>
      <c r="C4795" s="13"/>
      <c r="E4795" s="13"/>
      <c r="N4795" s="13"/>
      <c r="O4795" s="13"/>
      <c r="P4795" s="13"/>
      <c r="Q4795" s="13"/>
      <c r="R4795" s="13"/>
      <c r="S4795" s="13"/>
      <c r="T4795" s="13"/>
      <c r="U4795" s="13"/>
      <c r="V4795" s="13"/>
      <c r="AC4795" s="13"/>
      <c r="AD4795" s="13"/>
      <c r="AE4795" s="13"/>
      <c r="AG4795" s="13"/>
      <c r="AH4795" s="13"/>
      <c r="AI4795" s="13"/>
      <c r="AJ4795" s="13"/>
      <c r="AK4795" s="13"/>
      <c r="AL4795" s="8"/>
      <c r="AU4795" s="13"/>
      <c r="AV4795" s="13"/>
      <c r="CU4795" s="13"/>
      <c r="DG4795" s="13"/>
    </row>
    <row r="4796" spans="1:111" x14ac:dyDescent="0.2">
      <c r="A4796" s="13"/>
      <c r="B4796" s="14"/>
      <c r="C4796" s="13"/>
      <c r="E4796" s="13"/>
      <c r="N4796" s="13"/>
      <c r="O4796" s="13"/>
      <c r="P4796" s="13"/>
      <c r="Q4796" s="13"/>
      <c r="R4796" s="13"/>
      <c r="S4796" s="13"/>
      <c r="T4796" s="13"/>
      <c r="U4796" s="13"/>
      <c r="V4796" s="13"/>
      <c r="AC4796" s="13"/>
      <c r="AD4796" s="13"/>
      <c r="AE4796" s="13"/>
      <c r="AG4796" s="13"/>
      <c r="AH4796" s="13"/>
      <c r="AI4796" s="13"/>
      <c r="AJ4796" s="13"/>
      <c r="AK4796" s="13"/>
      <c r="AL4796" s="8"/>
      <c r="AU4796" s="13"/>
      <c r="AV4796" s="13"/>
      <c r="CU4796" s="13"/>
      <c r="DG4796" s="13"/>
    </row>
    <row r="4797" spans="1:111" x14ac:dyDescent="0.2">
      <c r="A4797" s="13"/>
      <c r="B4797" s="14"/>
      <c r="C4797" s="13"/>
      <c r="E4797" s="13"/>
      <c r="N4797" s="13"/>
      <c r="O4797" s="13"/>
      <c r="P4797" s="13"/>
      <c r="Q4797" s="13"/>
      <c r="R4797" s="13"/>
      <c r="S4797" s="13"/>
      <c r="T4797" s="13"/>
      <c r="U4797" s="13"/>
      <c r="V4797" s="13"/>
      <c r="AC4797" s="13"/>
      <c r="AD4797" s="13"/>
      <c r="AE4797" s="13"/>
      <c r="AG4797" s="13"/>
      <c r="AH4797" s="13"/>
      <c r="AI4797" s="13"/>
      <c r="AJ4797" s="13"/>
      <c r="AK4797" s="13"/>
      <c r="AL4797" s="8"/>
      <c r="AU4797" s="13"/>
      <c r="AV4797" s="13"/>
      <c r="CU4797" s="13"/>
      <c r="DG4797" s="13"/>
    </row>
    <row r="4798" spans="1:111" x14ac:dyDescent="0.2">
      <c r="A4798" s="13"/>
      <c r="B4798" s="14"/>
      <c r="C4798" s="13"/>
      <c r="E4798" s="13"/>
      <c r="N4798" s="13"/>
      <c r="O4798" s="13"/>
      <c r="P4798" s="13"/>
      <c r="Q4798" s="13"/>
      <c r="R4798" s="13"/>
      <c r="S4798" s="13"/>
      <c r="T4798" s="13"/>
      <c r="U4798" s="13"/>
      <c r="V4798" s="13"/>
      <c r="AC4798" s="13"/>
      <c r="AD4798" s="13"/>
      <c r="AE4798" s="13"/>
      <c r="AG4798" s="13"/>
      <c r="AH4798" s="13"/>
      <c r="AI4798" s="13"/>
      <c r="AJ4798" s="13"/>
      <c r="AK4798" s="13"/>
      <c r="AL4798" s="8"/>
      <c r="AU4798" s="13"/>
      <c r="AV4798" s="13"/>
      <c r="CU4798" s="13"/>
      <c r="DG4798" s="13"/>
    </row>
    <row r="4799" spans="1:111" x14ac:dyDescent="0.2">
      <c r="A4799" s="13"/>
      <c r="B4799" s="14"/>
      <c r="C4799" s="13"/>
      <c r="E4799" s="13"/>
      <c r="N4799" s="13"/>
      <c r="O4799" s="13"/>
      <c r="P4799" s="13"/>
      <c r="Q4799" s="13"/>
      <c r="R4799" s="13"/>
      <c r="S4799" s="13"/>
      <c r="T4799" s="13"/>
      <c r="U4799" s="13"/>
      <c r="V4799" s="13"/>
      <c r="AC4799" s="13"/>
      <c r="AD4799" s="13"/>
      <c r="AE4799" s="13"/>
      <c r="AG4799" s="13"/>
      <c r="AH4799" s="13"/>
      <c r="AI4799" s="13"/>
      <c r="AJ4799" s="13"/>
      <c r="AK4799" s="13"/>
      <c r="AL4799" s="8"/>
      <c r="AU4799" s="13"/>
      <c r="AV4799" s="13"/>
      <c r="CU4799" s="13"/>
      <c r="DG4799" s="13"/>
    </row>
    <row r="4800" spans="1:111" x14ac:dyDescent="0.2">
      <c r="A4800" s="13"/>
      <c r="B4800" s="14"/>
      <c r="C4800" s="13"/>
      <c r="E4800" s="13"/>
      <c r="N4800" s="13"/>
      <c r="O4800" s="13"/>
      <c r="P4800" s="13"/>
      <c r="Q4800" s="13"/>
      <c r="R4800" s="13"/>
      <c r="S4800" s="13"/>
      <c r="T4800" s="13"/>
      <c r="U4800" s="13"/>
      <c r="V4800" s="13"/>
      <c r="AC4800" s="13"/>
      <c r="AD4800" s="13"/>
      <c r="AE4800" s="13"/>
      <c r="AG4800" s="13"/>
      <c r="AH4800" s="13"/>
      <c r="AI4800" s="13"/>
      <c r="AJ4800" s="13"/>
      <c r="AK4800" s="13"/>
      <c r="AL4800" s="8"/>
      <c r="AU4800" s="13"/>
      <c r="AV4800" s="13"/>
      <c r="CU4800" s="13"/>
      <c r="DG4800" s="13"/>
    </row>
    <row r="4801" spans="1:111" x14ac:dyDescent="0.2">
      <c r="A4801" s="13"/>
      <c r="B4801" s="14"/>
      <c r="C4801" s="13"/>
      <c r="E4801" s="13"/>
      <c r="N4801" s="13"/>
      <c r="O4801" s="13"/>
      <c r="P4801" s="13"/>
      <c r="Q4801" s="13"/>
      <c r="R4801" s="13"/>
      <c r="S4801" s="13"/>
      <c r="T4801" s="13"/>
      <c r="U4801" s="13"/>
      <c r="V4801" s="13"/>
      <c r="AC4801" s="13"/>
      <c r="AD4801" s="13"/>
      <c r="AE4801" s="13"/>
      <c r="AG4801" s="13"/>
      <c r="AH4801" s="13"/>
      <c r="AI4801" s="13"/>
      <c r="AJ4801" s="13"/>
      <c r="AK4801" s="13"/>
      <c r="AL4801" s="8"/>
      <c r="AU4801" s="13"/>
      <c r="AV4801" s="13"/>
      <c r="CU4801" s="13"/>
      <c r="DG4801" s="13"/>
    </row>
    <row r="4802" spans="1:111" x14ac:dyDescent="0.2">
      <c r="A4802" s="13"/>
      <c r="B4802" s="14"/>
      <c r="C4802" s="13"/>
      <c r="E4802" s="13"/>
      <c r="N4802" s="13"/>
      <c r="O4802" s="13"/>
      <c r="P4802" s="13"/>
      <c r="Q4802" s="13"/>
      <c r="R4802" s="13"/>
      <c r="S4802" s="13"/>
      <c r="T4802" s="13"/>
      <c r="U4802" s="13"/>
      <c r="V4802" s="13"/>
      <c r="AC4802" s="13"/>
      <c r="AD4802" s="13"/>
      <c r="AE4802" s="13"/>
      <c r="AG4802" s="13"/>
      <c r="AH4802" s="13"/>
      <c r="AI4802" s="13"/>
      <c r="AJ4802" s="13"/>
      <c r="AK4802" s="13"/>
      <c r="AL4802" s="8"/>
      <c r="AU4802" s="13"/>
      <c r="AV4802" s="13"/>
      <c r="CU4802" s="13"/>
      <c r="DG4802" s="13"/>
    </row>
    <row r="4803" spans="1:111" x14ac:dyDescent="0.2">
      <c r="A4803" s="13"/>
      <c r="B4803" s="14"/>
      <c r="C4803" s="13"/>
      <c r="E4803" s="13"/>
      <c r="N4803" s="13"/>
      <c r="O4803" s="13"/>
      <c r="P4803" s="13"/>
      <c r="Q4803" s="13"/>
      <c r="R4803" s="13"/>
      <c r="S4803" s="13"/>
      <c r="T4803" s="13"/>
      <c r="U4803" s="13"/>
      <c r="V4803" s="13"/>
      <c r="AC4803" s="13"/>
      <c r="AD4803" s="13"/>
      <c r="AE4803" s="13"/>
      <c r="AG4803" s="13"/>
      <c r="AH4803" s="13"/>
      <c r="AI4803" s="13"/>
      <c r="AJ4803" s="13"/>
      <c r="AK4803" s="13"/>
      <c r="AL4803" s="8"/>
      <c r="AU4803" s="13"/>
      <c r="AV4803" s="13"/>
      <c r="CU4803" s="13"/>
      <c r="DG4803" s="13"/>
    </row>
    <row r="4804" spans="1:111" x14ac:dyDescent="0.2">
      <c r="A4804" s="13"/>
      <c r="B4804" s="14"/>
      <c r="C4804" s="13"/>
      <c r="E4804" s="13"/>
      <c r="N4804" s="13"/>
      <c r="O4804" s="13"/>
      <c r="P4804" s="13"/>
      <c r="Q4804" s="13"/>
      <c r="R4804" s="13"/>
      <c r="S4804" s="13"/>
      <c r="T4804" s="13"/>
      <c r="U4804" s="13"/>
      <c r="V4804" s="13"/>
      <c r="AC4804" s="13"/>
      <c r="AD4804" s="13"/>
      <c r="AE4804" s="13"/>
      <c r="AG4804" s="13"/>
      <c r="AH4804" s="13"/>
      <c r="AI4804" s="13"/>
      <c r="AJ4804" s="13"/>
      <c r="AK4804" s="13"/>
      <c r="AL4804" s="8"/>
      <c r="AU4804" s="13"/>
      <c r="AV4804" s="13"/>
      <c r="CU4804" s="13"/>
      <c r="DG4804" s="13"/>
    </row>
    <row r="4805" spans="1:111" x14ac:dyDescent="0.2">
      <c r="A4805" s="13"/>
      <c r="B4805" s="14"/>
      <c r="C4805" s="13"/>
      <c r="E4805" s="13"/>
      <c r="N4805" s="13"/>
      <c r="O4805" s="13"/>
      <c r="P4805" s="13"/>
      <c r="Q4805" s="13"/>
      <c r="R4805" s="13"/>
      <c r="S4805" s="13"/>
      <c r="T4805" s="13"/>
      <c r="U4805" s="13"/>
      <c r="V4805" s="13"/>
      <c r="AC4805" s="13"/>
      <c r="AD4805" s="13"/>
      <c r="AE4805" s="13"/>
      <c r="AG4805" s="13"/>
      <c r="AH4805" s="13"/>
      <c r="AI4805" s="13"/>
      <c r="AJ4805" s="13"/>
      <c r="AK4805" s="13"/>
      <c r="AL4805" s="8"/>
      <c r="AU4805" s="13"/>
      <c r="AV4805" s="13"/>
      <c r="CU4805" s="13"/>
      <c r="DG4805" s="13"/>
    </row>
    <row r="4806" spans="1:111" x14ac:dyDescent="0.2">
      <c r="A4806" s="13"/>
      <c r="B4806" s="14"/>
      <c r="C4806" s="13"/>
      <c r="E4806" s="13"/>
      <c r="N4806" s="13"/>
      <c r="O4806" s="13"/>
      <c r="P4806" s="13"/>
      <c r="Q4806" s="13"/>
      <c r="R4806" s="13"/>
      <c r="S4806" s="13"/>
      <c r="T4806" s="13"/>
      <c r="U4806" s="13"/>
      <c r="V4806" s="13"/>
      <c r="AC4806" s="13"/>
      <c r="AD4806" s="13"/>
      <c r="AE4806" s="13"/>
      <c r="AG4806" s="13"/>
      <c r="AH4806" s="13"/>
      <c r="AI4806" s="13"/>
      <c r="AJ4806" s="13"/>
      <c r="AK4806" s="13"/>
      <c r="AL4806" s="8"/>
      <c r="AU4806" s="13"/>
      <c r="AV4806" s="13"/>
      <c r="CU4806" s="13"/>
      <c r="DG4806" s="13"/>
    </row>
    <row r="4807" spans="1:111" x14ac:dyDescent="0.2">
      <c r="A4807" s="13"/>
      <c r="B4807" s="14"/>
      <c r="C4807" s="13"/>
      <c r="E4807" s="13"/>
      <c r="N4807" s="13"/>
      <c r="O4807" s="13"/>
      <c r="P4807" s="13"/>
      <c r="Q4807" s="13"/>
      <c r="R4807" s="13"/>
      <c r="S4807" s="13"/>
      <c r="T4807" s="13"/>
      <c r="U4807" s="13"/>
      <c r="V4807" s="13"/>
      <c r="AC4807" s="13"/>
      <c r="AD4807" s="13"/>
      <c r="AE4807" s="13"/>
      <c r="AG4807" s="13"/>
      <c r="AH4807" s="13"/>
      <c r="AI4807" s="13"/>
      <c r="AJ4807" s="13"/>
      <c r="AK4807" s="13"/>
      <c r="AL4807" s="8"/>
      <c r="AU4807" s="13"/>
      <c r="AV4807" s="13"/>
      <c r="CU4807" s="13"/>
      <c r="DG4807" s="13"/>
    </row>
    <row r="4808" spans="1:111" x14ac:dyDescent="0.2">
      <c r="A4808" s="13"/>
      <c r="B4808" s="14"/>
      <c r="C4808" s="13"/>
      <c r="E4808" s="13"/>
      <c r="N4808" s="13"/>
      <c r="O4808" s="13"/>
      <c r="P4808" s="13"/>
      <c r="Q4808" s="13"/>
      <c r="R4808" s="13"/>
      <c r="S4808" s="13"/>
      <c r="T4808" s="13"/>
      <c r="U4808" s="13"/>
      <c r="V4808" s="13"/>
      <c r="AC4808" s="13"/>
      <c r="AD4808" s="13"/>
      <c r="AE4808" s="13"/>
      <c r="AG4808" s="13"/>
      <c r="AH4808" s="13"/>
      <c r="AI4808" s="13"/>
      <c r="AJ4808" s="13"/>
      <c r="AK4808" s="13"/>
      <c r="AL4808" s="8"/>
      <c r="AU4808" s="13"/>
      <c r="AV4808" s="13"/>
      <c r="CU4808" s="13"/>
      <c r="DG4808" s="13"/>
    </row>
    <row r="4809" spans="1:111" x14ac:dyDescent="0.2">
      <c r="A4809" s="13"/>
      <c r="B4809" s="14"/>
      <c r="C4809" s="13"/>
      <c r="E4809" s="13"/>
      <c r="N4809" s="13"/>
      <c r="O4809" s="13"/>
      <c r="P4809" s="13"/>
      <c r="Q4809" s="13"/>
      <c r="R4809" s="13"/>
      <c r="S4809" s="13"/>
      <c r="T4809" s="13"/>
      <c r="U4809" s="13"/>
      <c r="V4809" s="13"/>
      <c r="AC4809" s="13"/>
      <c r="AD4809" s="13"/>
      <c r="AE4809" s="13"/>
      <c r="AG4809" s="13"/>
      <c r="AH4809" s="13"/>
      <c r="AI4809" s="13"/>
      <c r="AJ4809" s="13"/>
      <c r="AK4809" s="13"/>
      <c r="AL4809" s="8"/>
      <c r="AU4809" s="13"/>
      <c r="AV4809" s="13"/>
      <c r="CU4809" s="13"/>
      <c r="DG4809" s="13"/>
    </row>
    <row r="4810" spans="1:111" x14ac:dyDescent="0.2">
      <c r="A4810" s="13"/>
      <c r="B4810" s="14"/>
      <c r="C4810" s="13"/>
      <c r="E4810" s="13"/>
      <c r="N4810" s="13"/>
      <c r="O4810" s="13"/>
      <c r="P4810" s="13"/>
      <c r="Q4810" s="13"/>
      <c r="R4810" s="13"/>
      <c r="S4810" s="13"/>
      <c r="T4810" s="13"/>
      <c r="U4810" s="13"/>
      <c r="V4810" s="13"/>
      <c r="AC4810" s="13"/>
      <c r="AD4810" s="13"/>
      <c r="AE4810" s="13"/>
      <c r="AG4810" s="13"/>
      <c r="AH4810" s="13"/>
      <c r="AI4810" s="13"/>
      <c r="AJ4810" s="13"/>
      <c r="AK4810" s="13"/>
      <c r="AL4810" s="8"/>
      <c r="AU4810" s="13"/>
      <c r="AV4810" s="13"/>
      <c r="CU4810" s="13"/>
      <c r="DG4810" s="13"/>
    </row>
    <row r="4811" spans="1:111" x14ac:dyDescent="0.2">
      <c r="A4811" s="13"/>
      <c r="B4811" s="14"/>
      <c r="C4811" s="13"/>
      <c r="E4811" s="13"/>
      <c r="N4811" s="13"/>
      <c r="O4811" s="13"/>
      <c r="P4811" s="13"/>
      <c r="Q4811" s="13"/>
      <c r="R4811" s="13"/>
      <c r="S4811" s="13"/>
      <c r="T4811" s="13"/>
      <c r="U4811" s="13"/>
      <c r="V4811" s="13"/>
      <c r="AC4811" s="13"/>
      <c r="AD4811" s="13"/>
      <c r="AE4811" s="13"/>
      <c r="AG4811" s="13"/>
      <c r="AH4811" s="13"/>
      <c r="AI4811" s="13"/>
      <c r="AJ4811" s="13"/>
      <c r="AK4811" s="13"/>
      <c r="AL4811" s="8"/>
      <c r="AU4811" s="13"/>
      <c r="AV4811" s="13"/>
      <c r="CU4811" s="13"/>
      <c r="DG4811" s="13"/>
    </row>
    <row r="4812" spans="1:111" x14ac:dyDescent="0.2">
      <c r="A4812" s="13"/>
      <c r="B4812" s="14"/>
      <c r="C4812" s="13"/>
      <c r="E4812" s="13"/>
      <c r="N4812" s="13"/>
      <c r="O4812" s="13"/>
      <c r="P4812" s="13"/>
      <c r="Q4812" s="13"/>
      <c r="R4812" s="13"/>
      <c r="S4812" s="13"/>
      <c r="T4812" s="13"/>
      <c r="U4812" s="13"/>
      <c r="V4812" s="13"/>
      <c r="AC4812" s="13"/>
      <c r="AD4812" s="13"/>
      <c r="AE4812" s="13"/>
      <c r="AG4812" s="13"/>
      <c r="AH4812" s="13"/>
      <c r="AI4812" s="13"/>
      <c r="AJ4812" s="13"/>
      <c r="AK4812" s="13"/>
      <c r="AL4812" s="8"/>
      <c r="AU4812" s="13"/>
      <c r="AV4812" s="13"/>
      <c r="CU4812" s="13"/>
      <c r="DG4812" s="13"/>
    </row>
    <row r="4813" spans="1:111" x14ac:dyDescent="0.2">
      <c r="A4813" s="13"/>
      <c r="B4813" s="14"/>
      <c r="C4813" s="13"/>
      <c r="E4813" s="13"/>
      <c r="N4813" s="13"/>
      <c r="O4813" s="13"/>
      <c r="P4813" s="13"/>
      <c r="Q4813" s="13"/>
      <c r="R4813" s="13"/>
      <c r="S4813" s="13"/>
      <c r="T4813" s="13"/>
      <c r="U4813" s="13"/>
      <c r="V4813" s="13"/>
      <c r="AC4813" s="13"/>
      <c r="AD4813" s="13"/>
      <c r="AE4813" s="13"/>
      <c r="AG4813" s="13"/>
      <c r="AH4813" s="13"/>
      <c r="AI4813" s="13"/>
      <c r="AJ4813" s="13"/>
      <c r="AK4813" s="13"/>
      <c r="AL4813" s="8"/>
      <c r="AU4813" s="13"/>
      <c r="AV4813" s="13"/>
      <c r="CU4813" s="13"/>
      <c r="DG4813" s="13"/>
    </row>
    <row r="4814" spans="1:111" x14ac:dyDescent="0.2">
      <c r="A4814" s="13"/>
      <c r="B4814" s="14"/>
      <c r="C4814" s="13"/>
      <c r="E4814" s="13"/>
      <c r="N4814" s="13"/>
      <c r="O4814" s="13"/>
      <c r="P4814" s="13"/>
      <c r="Q4814" s="13"/>
      <c r="R4814" s="13"/>
      <c r="S4814" s="13"/>
      <c r="T4814" s="13"/>
      <c r="U4814" s="13"/>
      <c r="V4814" s="13"/>
      <c r="AC4814" s="13"/>
      <c r="AD4814" s="13"/>
      <c r="AE4814" s="13"/>
      <c r="AG4814" s="13"/>
      <c r="AH4814" s="13"/>
      <c r="AI4814" s="13"/>
      <c r="AJ4814" s="13"/>
      <c r="AK4814" s="13"/>
      <c r="AL4814" s="8"/>
      <c r="AU4814" s="13"/>
      <c r="AV4814" s="13"/>
      <c r="CU4814" s="13"/>
      <c r="DG4814" s="13"/>
    </row>
    <row r="4815" spans="1:111" x14ac:dyDescent="0.2">
      <c r="A4815" s="13"/>
      <c r="B4815" s="14"/>
      <c r="C4815" s="13"/>
      <c r="E4815" s="13"/>
      <c r="N4815" s="13"/>
      <c r="O4815" s="13"/>
      <c r="P4815" s="13"/>
      <c r="Q4815" s="13"/>
      <c r="R4815" s="13"/>
      <c r="S4815" s="13"/>
      <c r="T4815" s="13"/>
      <c r="U4815" s="13"/>
      <c r="V4815" s="13"/>
      <c r="AC4815" s="13"/>
      <c r="AD4815" s="13"/>
      <c r="AE4815" s="13"/>
      <c r="AG4815" s="13"/>
      <c r="AH4815" s="13"/>
      <c r="AI4815" s="13"/>
      <c r="AJ4815" s="13"/>
      <c r="AK4815" s="13"/>
      <c r="AL4815" s="8"/>
      <c r="AU4815" s="13"/>
      <c r="AV4815" s="13"/>
      <c r="CU4815" s="13"/>
      <c r="DG4815" s="13"/>
    </row>
    <row r="4816" spans="1:111" x14ac:dyDescent="0.2">
      <c r="A4816" s="13"/>
      <c r="B4816" s="14"/>
      <c r="C4816" s="13"/>
      <c r="E4816" s="13"/>
      <c r="N4816" s="13"/>
      <c r="O4816" s="13"/>
      <c r="P4816" s="13"/>
      <c r="Q4816" s="13"/>
      <c r="R4816" s="13"/>
      <c r="S4816" s="13"/>
      <c r="T4816" s="13"/>
      <c r="U4816" s="13"/>
      <c r="V4816" s="13"/>
      <c r="AC4816" s="13"/>
      <c r="AD4816" s="13"/>
      <c r="AE4816" s="13"/>
      <c r="AG4816" s="13"/>
      <c r="AH4816" s="13"/>
      <c r="AI4816" s="13"/>
      <c r="AJ4816" s="13"/>
      <c r="AK4816" s="13"/>
      <c r="AL4816" s="8"/>
      <c r="AU4816" s="13"/>
      <c r="AV4816" s="13"/>
      <c r="CU4816" s="13"/>
      <c r="DG4816" s="13"/>
    </row>
    <row r="4817" spans="1:111" x14ac:dyDescent="0.2">
      <c r="A4817" s="13"/>
      <c r="B4817" s="14"/>
      <c r="C4817" s="13"/>
      <c r="E4817" s="13"/>
      <c r="N4817" s="13"/>
      <c r="O4817" s="13"/>
      <c r="P4817" s="13"/>
      <c r="Q4817" s="13"/>
      <c r="R4817" s="13"/>
      <c r="S4817" s="13"/>
      <c r="T4817" s="13"/>
      <c r="U4817" s="13"/>
      <c r="V4817" s="13"/>
      <c r="AC4817" s="13"/>
      <c r="AD4817" s="13"/>
      <c r="AE4817" s="13"/>
      <c r="AG4817" s="13"/>
      <c r="AH4817" s="13"/>
      <c r="AI4817" s="13"/>
      <c r="AJ4817" s="13"/>
      <c r="AK4817" s="13"/>
      <c r="AL4817" s="8"/>
      <c r="AU4817" s="13"/>
      <c r="AV4817" s="13"/>
      <c r="CU4817" s="13"/>
      <c r="DG4817" s="13"/>
    </row>
    <row r="4818" spans="1:111" x14ac:dyDescent="0.2">
      <c r="A4818" s="13"/>
      <c r="B4818" s="14"/>
      <c r="C4818" s="13"/>
      <c r="E4818" s="13"/>
      <c r="N4818" s="13"/>
      <c r="O4818" s="13"/>
      <c r="P4818" s="13"/>
      <c r="Q4818" s="13"/>
      <c r="R4818" s="13"/>
      <c r="S4818" s="13"/>
      <c r="T4818" s="13"/>
      <c r="U4818" s="13"/>
      <c r="V4818" s="13"/>
      <c r="AC4818" s="13"/>
      <c r="AD4818" s="13"/>
      <c r="AE4818" s="13"/>
      <c r="AG4818" s="13"/>
      <c r="AH4818" s="13"/>
      <c r="AI4818" s="13"/>
      <c r="AJ4818" s="13"/>
      <c r="AK4818" s="13"/>
      <c r="AL4818" s="8"/>
      <c r="AU4818" s="13"/>
      <c r="AV4818" s="13"/>
      <c r="CU4818" s="13"/>
      <c r="DG4818" s="13"/>
    </row>
    <row r="4819" spans="1:111" x14ac:dyDescent="0.2">
      <c r="A4819" s="13"/>
      <c r="B4819" s="14"/>
      <c r="C4819" s="13"/>
      <c r="E4819" s="13"/>
      <c r="N4819" s="13"/>
      <c r="O4819" s="13"/>
      <c r="P4819" s="13"/>
      <c r="Q4819" s="13"/>
      <c r="R4819" s="13"/>
      <c r="S4819" s="13"/>
      <c r="T4819" s="13"/>
      <c r="U4819" s="13"/>
      <c r="V4819" s="13"/>
      <c r="AC4819" s="13"/>
      <c r="AD4819" s="13"/>
      <c r="AE4819" s="13"/>
      <c r="AG4819" s="13"/>
      <c r="AH4819" s="13"/>
      <c r="AI4819" s="13"/>
      <c r="AJ4819" s="13"/>
      <c r="AK4819" s="13"/>
      <c r="AL4819" s="8"/>
      <c r="AU4819" s="13"/>
      <c r="AV4819" s="13"/>
      <c r="CU4819" s="13"/>
      <c r="DG4819" s="13"/>
    </row>
    <row r="4820" spans="1:111" x14ac:dyDescent="0.2">
      <c r="A4820" s="13"/>
      <c r="B4820" s="14"/>
      <c r="C4820" s="13"/>
      <c r="E4820" s="13"/>
      <c r="N4820" s="13"/>
      <c r="O4820" s="13"/>
      <c r="P4820" s="13"/>
      <c r="Q4820" s="13"/>
      <c r="R4820" s="13"/>
      <c r="S4820" s="13"/>
      <c r="T4820" s="13"/>
      <c r="U4820" s="13"/>
      <c r="V4820" s="13"/>
      <c r="AC4820" s="13"/>
      <c r="AD4820" s="13"/>
      <c r="AE4820" s="13"/>
      <c r="AG4820" s="13"/>
      <c r="AH4820" s="13"/>
      <c r="AI4820" s="13"/>
      <c r="AJ4820" s="13"/>
      <c r="AK4820" s="13"/>
      <c r="AL4820" s="8"/>
      <c r="AU4820" s="13"/>
      <c r="AV4820" s="13"/>
      <c r="CU4820" s="13"/>
      <c r="DG4820" s="13"/>
    </row>
    <row r="4821" spans="1:111" x14ac:dyDescent="0.2">
      <c r="A4821" s="13"/>
      <c r="B4821" s="14"/>
      <c r="C4821" s="13"/>
      <c r="E4821" s="13"/>
      <c r="N4821" s="13"/>
      <c r="O4821" s="13"/>
      <c r="P4821" s="13"/>
      <c r="Q4821" s="13"/>
      <c r="R4821" s="13"/>
      <c r="S4821" s="13"/>
      <c r="T4821" s="13"/>
      <c r="U4821" s="13"/>
      <c r="V4821" s="13"/>
      <c r="AC4821" s="13"/>
      <c r="AD4821" s="13"/>
      <c r="AE4821" s="13"/>
      <c r="AG4821" s="13"/>
      <c r="AH4821" s="13"/>
      <c r="AI4821" s="13"/>
      <c r="AJ4821" s="13"/>
      <c r="AK4821" s="13"/>
      <c r="AL4821" s="8"/>
      <c r="AU4821" s="13"/>
      <c r="AV4821" s="13"/>
      <c r="CU4821" s="13"/>
      <c r="DG4821" s="13"/>
    </row>
    <row r="4822" spans="1:111" x14ac:dyDescent="0.2">
      <c r="A4822" s="13"/>
      <c r="B4822" s="14"/>
      <c r="C4822" s="13"/>
      <c r="E4822" s="13"/>
      <c r="N4822" s="13"/>
      <c r="O4822" s="13"/>
      <c r="P4822" s="13"/>
      <c r="Q4822" s="13"/>
      <c r="R4822" s="13"/>
      <c r="S4822" s="13"/>
      <c r="T4822" s="13"/>
      <c r="U4822" s="13"/>
      <c r="V4822" s="13"/>
      <c r="AC4822" s="13"/>
      <c r="AD4822" s="13"/>
      <c r="AE4822" s="13"/>
      <c r="AG4822" s="13"/>
      <c r="AH4822" s="13"/>
      <c r="AI4822" s="13"/>
      <c r="AJ4822" s="13"/>
      <c r="AK4822" s="13"/>
      <c r="AL4822" s="8"/>
      <c r="AU4822" s="13"/>
      <c r="AV4822" s="13"/>
      <c r="CU4822" s="13"/>
      <c r="DG4822" s="13"/>
    </row>
    <row r="5320" spans="1:111" x14ac:dyDescent="0.2">
      <c r="A5320" s="13"/>
      <c r="B5320" s="13"/>
      <c r="C5320" s="13"/>
      <c r="E5320" s="13"/>
      <c r="N5320" s="13"/>
      <c r="O5320" s="13"/>
      <c r="P5320" s="13"/>
      <c r="Q5320" s="13"/>
      <c r="R5320" s="13"/>
      <c r="S5320" s="13"/>
      <c r="T5320" s="13"/>
      <c r="U5320" s="13"/>
      <c r="V5320" s="13"/>
      <c r="AC5320" s="13"/>
      <c r="AD5320" s="13"/>
      <c r="AE5320" s="13"/>
      <c r="AG5320" s="13"/>
      <c r="AH5320" s="13"/>
      <c r="AI5320" s="13"/>
      <c r="AJ5320" s="13"/>
      <c r="AK5320" s="13"/>
      <c r="AL5320" s="8"/>
      <c r="AU5320" s="13"/>
      <c r="AV5320" s="13"/>
      <c r="AX5320" s="13">
        <v>0</v>
      </c>
      <c r="CU5320" s="13"/>
      <c r="DG5320" s="13"/>
    </row>
    <row r="5321" spans="1:111" x14ac:dyDescent="0.2">
      <c r="A5321" s="13"/>
      <c r="B5321" s="13"/>
      <c r="C5321" s="13"/>
      <c r="E5321" s="13"/>
      <c r="N5321" s="13"/>
      <c r="O5321" s="13"/>
      <c r="P5321" s="13"/>
      <c r="Q5321" s="13"/>
      <c r="R5321" s="13"/>
      <c r="S5321" s="13"/>
      <c r="T5321" s="13"/>
      <c r="U5321" s="13"/>
      <c r="V5321" s="13"/>
      <c r="AC5321" s="13"/>
      <c r="AD5321" s="13"/>
      <c r="AE5321" s="13"/>
      <c r="AG5321" s="13"/>
      <c r="AH5321" s="13"/>
      <c r="AI5321" s="13"/>
      <c r="AJ5321" s="13"/>
      <c r="AK5321" s="13"/>
      <c r="AL5321" s="8"/>
      <c r="AU5321" s="13"/>
      <c r="AV5321" s="13"/>
      <c r="AX5321" s="13">
        <v>0</v>
      </c>
      <c r="CU5321" s="13"/>
      <c r="DG5321" s="13"/>
    </row>
    <row r="6122" spans="1:111" x14ac:dyDescent="0.2">
      <c r="A6122" s="13"/>
      <c r="B6122" s="13"/>
      <c r="C6122" s="13"/>
      <c r="E6122" s="13"/>
      <c r="N6122" s="13"/>
      <c r="O6122" s="13"/>
      <c r="P6122" s="13"/>
      <c r="Q6122" s="13"/>
      <c r="R6122" s="13"/>
      <c r="S6122" s="13"/>
      <c r="T6122" s="13"/>
      <c r="U6122" s="13"/>
      <c r="V6122" s="13"/>
      <c r="AC6122" s="15" t="s">
        <v>2176</v>
      </c>
      <c r="AD6122" s="13"/>
      <c r="AE6122" s="13"/>
      <c r="AG6122" s="13"/>
      <c r="AH6122" s="13"/>
      <c r="AI6122" s="13"/>
      <c r="AJ6122" s="13"/>
      <c r="AK6122" s="13"/>
      <c r="AL6122" s="8"/>
      <c r="AU6122" s="13"/>
      <c r="AV6122" s="13"/>
      <c r="CU6122" s="13"/>
      <c r="DG6122" s="13"/>
    </row>
    <row r="11142" spans="1:111" x14ac:dyDescent="0.2">
      <c r="A11142" s="13"/>
      <c r="B11142" s="13"/>
      <c r="C11142" s="13"/>
      <c r="E11142" s="13"/>
      <c r="N11142" s="13"/>
      <c r="O11142" s="13"/>
      <c r="P11142" s="13"/>
      <c r="Q11142" s="13"/>
      <c r="R11142" s="13"/>
      <c r="S11142" s="13"/>
      <c r="T11142" s="13"/>
      <c r="U11142" s="13"/>
      <c r="V11142" s="13"/>
      <c r="AC11142" s="13"/>
      <c r="AD11142" s="13"/>
      <c r="AE11142" s="13"/>
      <c r="AG11142" s="13"/>
      <c r="AH11142" s="13"/>
      <c r="AI11142" s="13"/>
      <c r="AJ11142" s="13"/>
      <c r="AK11142" s="13"/>
      <c r="AU11142" s="13"/>
      <c r="AV11142" s="13"/>
      <c r="CU11142" s="13"/>
      <c r="DG11142" s="13"/>
    </row>
    <row r="11162" spans="1:111" x14ac:dyDescent="0.2">
      <c r="A11162" s="13"/>
      <c r="B11162" s="13"/>
      <c r="C11162" s="13"/>
      <c r="E11162" s="13"/>
      <c r="N11162" s="13"/>
      <c r="O11162" s="13"/>
      <c r="P11162" s="13"/>
      <c r="Q11162" s="13"/>
      <c r="R11162" s="13"/>
      <c r="S11162" s="13"/>
      <c r="T11162" s="13"/>
      <c r="U11162" s="13"/>
      <c r="V11162" s="13"/>
      <c r="AC11162" s="13"/>
      <c r="AD11162" s="13"/>
      <c r="AE11162" s="13"/>
      <c r="AG11162" s="13"/>
      <c r="AH11162" s="13"/>
      <c r="AI11162" s="13"/>
      <c r="AJ11162" s="13"/>
      <c r="AK11162" s="13"/>
      <c r="AU11162" s="13"/>
      <c r="AV11162" s="13"/>
      <c r="CU11162" s="13"/>
      <c r="DG11162" s="13"/>
    </row>
  </sheetData>
  <protectedRanges>
    <protectedRange password="E640" sqref="AL2175" name="Rango1_2"/>
    <protectedRange password="E640" sqref="AL2411" name="Rango1_2_1"/>
    <protectedRange password="E640" sqref="AL2413" name="Rango1_4"/>
    <protectedRange password="E640" sqref="AL2487" name="Rango1_1"/>
    <protectedRange password="E640" sqref="AL2501" name="Rango1_3_1"/>
    <protectedRange password="E640" sqref="AL2502" name="Rango1_1_1"/>
    <protectedRange password="E640" sqref="AL2504" name="Rango1_4_1"/>
    <protectedRange password="E640" sqref="AL2598" name="Rango1"/>
    <protectedRange password="E640" sqref="AL2637" name="Rango1_3"/>
    <protectedRange password="E640" sqref="AL2638" name="Rango1_1_2"/>
    <protectedRange password="E640" sqref="AL3394" name="Rango1_1_3"/>
  </protectedRanges>
  <autoFilter ref="A2:DX3917"/>
  <sortState ref="A3:DH3904">
    <sortCondition ref="A3:A3904"/>
  </sortState>
  <dataConsolidate/>
  <mergeCells count="40">
    <mergeCell ref="CO1:CP1"/>
    <mergeCell ref="BO1:BP1"/>
    <mergeCell ref="BW1:BX1"/>
    <mergeCell ref="BQ1:BR1"/>
    <mergeCell ref="BS1:BT1"/>
    <mergeCell ref="CG1:CH1"/>
    <mergeCell ref="CI1:CJ1"/>
    <mergeCell ref="CK1:CL1"/>
    <mergeCell ref="CC1:CD1"/>
    <mergeCell ref="CM1:CN1"/>
    <mergeCell ref="CE1:CF1"/>
    <mergeCell ref="CA1:CB1"/>
    <mergeCell ref="BY1:BZ1"/>
    <mergeCell ref="BU1:BV1"/>
    <mergeCell ref="CQ1:CR1"/>
    <mergeCell ref="CS1:CT1"/>
    <mergeCell ref="CV1:CW1"/>
    <mergeCell ref="CX1:CY1"/>
    <mergeCell ref="CZ1:DA1"/>
    <mergeCell ref="A1:E1"/>
    <mergeCell ref="W1:AE1"/>
    <mergeCell ref="AM1:AN1"/>
    <mergeCell ref="AF1:AL1"/>
    <mergeCell ref="AO1:AP1"/>
    <mergeCell ref="DD1:DE1"/>
    <mergeCell ref="DG1:DH1"/>
    <mergeCell ref="F1:V1"/>
    <mergeCell ref="AW1:AX1"/>
    <mergeCell ref="AQ1:AR1"/>
    <mergeCell ref="AS1:AT1"/>
    <mergeCell ref="AU1:AV1"/>
    <mergeCell ref="AY1:AZ1"/>
    <mergeCell ref="BM1:BN1"/>
    <mergeCell ref="BK1:BL1"/>
    <mergeCell ref="BE1:BF1"/>
    <mergeCell ref="BA1:BB1"/>
    <mergeCell ref="BC1:BD1"/>
    <mergeCell ref="BI1:BJ1"/>
    <mergeCell ref="BG1:BH1"/>
    <mergeCell ref="DB1:DC1"/>
  </mergeCells>
  <phoneticPr fontId="0" type="noConversion"/>
  <pageMargins left="1.0629921259842521" right="0.19685039370078741" top="1.1417322834645669" bottom="0.43307086614173229" header="0.35433070866141736" footer="0.15748031496062992"/>
  <pageSetup scale="62" orientation="landscape" horizontalDpi="4294967292" verticalDpi="300" r:id="rId1"/>
  <headerFooter alignWithMargins="0">
    <oddHeader xml:space="preserve">&amp;C&amp;"Arial,Negrita"&amp;14PRESIDENCIA DE LA REPUBLICA
UNIDAD NACIONAL PARA LA GESTION DEL RIESGO DE DESASTRE&amp;"Arial,Negrita Cursiva"&amp;12
REPORTE DE EMERGENCIAS Y APOYO DEL F.N.G.R.D.  AÑO 2013
</oddHeader>
    <oddFooter>&amp;R&amp;P,/ &amp;N, &amp;D, &amp;T</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F1138"/>
  <sheetViews>
    <sheetView workbookViewId="0">
      <selection activeCell="E2" sqref="E2"/>
    </sheetView>
  </sheetViews>
  <sheetFormatPr baseColWidth="10" defaultRowHeight="12.75" x14ac:dyDescent="0.2"/>
  <cols>
    <col min="3" max="3" width="22.28515625" customWidth="1"/>
    <col min="5" max="5" width="28.7109375" customWidth="1"/>
  </cols>
  <sheetData>
    <row r="1" spans="1:6" x14ac:dyDescent="0.2">
      <c r="A1" t="s">
        <v>79</v>
      </c>
      <c r="D1" s="57" t="s">
        <v>1398</v>
      </c>
      <c r="E1" t="s">
        <v>1691</v>
      </c>
      <c r="F1" t="s">
        <v>80</v>
      </c>
    </row>
    <row r="2" spans="1:6" hidden="1" x14ac:dyDescent="0.2">
      <c r="A2" t="s">
        <v>2320</v>
      </c>
      <c r="B2" t="s">
        <v>2321</v>
      </c>
      <c r="C2" t="str">
        <f>D2&amp;E2</f>
        <v>AntioquiaMEDELLIN</v>
      </c>
      <c r="D2" t="s">
        <v>2322</v>
      </c>
      <c r="E2" t="s">
        <v>2032</v>
      </c>
      <c r="F2" t="s">
        <v>2014</v>
      </c>
    </row>
    <row r="3" spans="1:6" hidden="1" x14ac:dyDescent="0.2">
      <c r="A3" t="s">
        <v>2320</v>
      </c>
      <c r="B3" t="s">
        <v>2323</v>
      </c>
      <c r="C3" t="str">
        <f t="shared" ref="C3:C66" si="0">D3&amp;E3</f>
        <v>AntioquiaABEJORRAL</v>
      </c>
      <c r="D3" t="s">
        <v>2322</v>
      </c>
      <c r="E3" t="s">
        <v>2325</v>
      </c>
      <c r="F3" t="s">
        <v>2324</v>
      </c>
    </row>
    <row r="4" spans="1:6" hidden="1" x14ac:dyDescent="0.2">
      <c r="A4" t="s">
        <v>2320</v>
      </c>
      <c r="B4" t="s">
        <v>2326</v>
      </c>
      <c r="C4" t="str">
        <f t="shared" si="0"/>
        <v>AntioquiaABRIAQUI</v>
      </c>
      <c r="D4" t="s">
        <v>2322</v>
      </c>
      <c r="E4" t="s">
        <v>2328</v>
      </c>
      <c r="F4" t="s">
        <v>2327</v>
      </c>
    </row>
    <row r="5" spans="1:6" hidden="1" x14ac:dyDescent="0.2">
      <c r="A5" t="s">
        <v>2320</v>
      </c>
      <c r="B5" t="s">
        <v>2329</v>
      </c>
      <c r="C5" t="str">
        <f t="shared" si="0"/>
        <v>AntioquiaALEJANDRIA</v>
      </c>
      <c r="D5" t="s">
        <v>2322</v>
      </c>
      <c r="E5" t="s">
        <v>2331</v>
      </c>
      <c r="F5" t="s">
        <v>2330</v>
      </c>
    </row>
    <row r="6" spans="1:6" hidden="1" x14ac:dyDescent="0.2">
      <c r="A6" t="s">
        <v>2320</v>
      </c>
      <c r="B6" t="s">
        <v>2332</v>
      </c>
      <c r="C6" t="str">
        <f t="shared" si="0"/>
        <v>AntioquiaAMAGA</v>
      </c>
      <c r="D6" t="s">
        <v>2322</v>
      </c>
      <c r="E6" t="s">
        <v>2192</v>
      </c>
      <c r="F6" t="s">
        <v>2333</v>
      </c>
    </row>
    <row r="7" spans="1:6" hidden="1" x14ac:dyDescent="0.2">
      <c r="A7" t="s">
        <v>2320</v>
      </c>
      <c r="B7" t="s">
        <v>2334</v>
      </c>
      <c r="C7" t="str">
        <f t="shared" si="0"/>
        <v>AntioquiaAMALFI</v>
      </c>
      <c r="D7" t="s">
        <v>2322</v>
      </c>
      <c r="E7" t="s">
        <v>2780</v>
      </c>
      <c r="F7" t="s">
        <v>2335</v>
      </c>
    </row>
    <row r="8" spans="1:6" hidden="1" x14ac:dyDescent="0.2">
      <c r="A8" t="s">
        <v>2320</v>
      </c>
      <c r="B8" t="s">
        <v>2336</v>
      </c>
      <c r="C8" t="str">
        <f t="shared" si="0"/>
        <v>AntioquiaANDES</v>
      </c>
      <c r="D8" t="s">
        <v>2322</v>
      </c>
      <c r="E8" t="s">
        <v>2115</v>
      </c>
      <c r="F8" t="s">
        <v>2337</v>
      </c>
    </row>
    <row r="9" spans="1:6" hidden="1" x14ac:dyDescent="0.2">
      <c r="A9" t="s">
        <v>2320</v>
      </c>
      <c r="B9" t="s">
        <v>2338</v>
      </c>
      <c r="C9" t="str">
        <f t="shared" si="0"/>
        <v>AntioquiaANGELOPOLIS</v>
      </c>
      <c r="D9" t="s">
        <v>2322</v>
      </c>
      <c r="E9" t="s">
        <v>2340</v>
      </c>
      <c r="F9" t="s">
        <v>2339</v>
      </c>
    </row>
    <row r="10" spans="1:6" hidden="1" x14ac:dyDescent="0.2">
      <c r="A10" t="s">
        <v>2320</v>
      </c>
      <c r="B10" t="s">
        <v>2341</v>
      </c>
      <c r="C10" t="str">
        <f t="shared" si="0"/>
        <v>AntioquiaANGOSTURA</v>
      </c>
      <c r="D10" t="s">
        <v>2322</v>
      </c>
      <c r="E10" t="s">
        <v>2343</v>
      </c>
      <c r="F10" t="s">
        <v>2342</v>
      </c>
    </row>
    <row r="11" spans="1:6" hidden="1" x14ac:dyDescent="0.2">
      <c r="A11" t="s">
        <v>2320</v>
      </c>
      <c r="B11" t="s">
        <v>2344</v>
      </c>
      <c r="C11" t="str">
        <f t="shared" si="0"/>
        <v>AntioquiaANORI</v>
      </c>
      <c r="D11" t="s">
        <v>2322</v>
      </c>
      <c r="E11" t="s">
        <v>2346</v>
      </c>
      <c r="F11" t="s">
        <v>2345</v>
      </c>
    </row>
    <row r="12" spans="1:6" hidden="1" x14ac:dyDescent="0.2">
      <c r="A12" t="s">
        <v>2320</v>
      </c>
      <c r="B12" t="s">
        <v>2347</v>
      </c>
      <c r="C12" t="str">
        <f t="shared" si="0"/>
        <v>AntioquiaSANTAFE DE ANTIOQUIA</v>
      </c>
      <c r="D12" t="s">
        <v>2322</v>
      </c>
      <c r="E12" t="s">
        <v>2349</v>
      </c>
      <c r="F12" t="s">
        <v>2348</v>
      </c>
    </row>
    <row r="13" spans="1:6" hidden="1" x14ac:dyDescent="0.2">
      <c r="A13" t="s">
        <v>2320</v>
      </c>
      <c r="B13" t="s">
        <v>2350</v>
      </c>
      <c r="C13" t="str">
        <f t="shared" si="0"/>
        <v>AntioquiaANZA</v>
      </c>
      <c r="D13" t="s">
        <v>2322</v>
      </c>
      <c r="E13" t="s">
        <v>2352</v>
      </c>
      <c r="F13" t="s">
        <v>2351</v>
      </c>
    </row>
    <row r="14" spans="1:6" hidden="1" x14ac:dyDescent="0.2">
      <c r="A14" t="s">
        <v>2320</v>
      </c>
      <c r="B14" t="s">
        <v>2353</v>
      </c>
      <c r="C14" t="str">
        <f t="shared" si="0"/>
        <v>AntioquiaAPARTADO</v>
      </c>
      <c r="D14" t="s">
        <v>2322</v>
      </c>
      <c r="E14" t="s">
        <v>2355</v>
      </c>
      <c r="F14" t="s">
        <v>2354</v>
      </c>
    </row>
    <row r="15" spans="1:6" hidden="1" x14ac:dyDescent="0.2">
      <c r="A15" t="s">
        <v>2320</v>
      </c>
      <c r="B15" t="s">
        <v>2356</v>
      </c>
      <c r="C15" t="str">
        <f t="shared" si="0"/>
        <v>AntioquiaARBOLETES</v>
      </c>
      <c r="D15" t="s">
        <v>2322</v>
      </c>
      <c r="E15" t="s">
        <v>2358</v>
      </c>
      <c r="F15" t="s">
        <v>2357</v>
      </c>
    </row>
    <row r="16" spans="1:6" hidden="1" x14ac:dyDescent="0.2">
      <c r="A16" t="s">
        <v>2320</v>
      </c>
      <c r="B16" t="s">
        <v>2359</v>
      </c>
      <c r="C16" t="str">
        <f t="shared" si="0"/>
        <v>AntioquiaARGELIA</v>
      </c>
      <c r="D16" t="s">
        <v>2322</v>
      </c>
      <c r="E16" t="s">
        <v>1346</v>
      </c>
      <c r="F16" t="s">
        <v>2360</v>
      </c>
    </row>
    <row r="17" spans="1:6" hidden="1" x14ac:dyDescent="0.2">
      <c r="A17" t="s">
        <v>2320</v>
      </c>
      <c r="B17" t="s">
        <v>2361</v>
      </c>
      <c r="C17" t="str">
        <f t="shared" si="0"/>
        <v>AntioquiaARMENIA</v>
      </c>
      <c r="D17" t="s">
        <v>2322</v>
      </c>
      <c r="E17" t="s">
        <v>2776</v>
      </c>
      <c r="F17" t="s">
        <v>2362</v>
      </c>
    </row>
    <row r="18" spans="1:6" hidden="1" x14ac:dyDescent="0.2">
      <c r="A18" t="s">
        <v>2320</v>
      </c>
      <c r="B18" t="s">
        <v>2363</v>
      </c>
      <c r="C18" t="str">
        <f t="shared" si="0"/>
        <v>AntioquiaBARBOSA</v>
      </c>
      <c r="D18" t="s">
        <v>2322</v>
      </c>
      <c r="E18" t="s">
        <v>1378</v>
      </c>
      <c r="F18" t="s">
        <v>2364</v>
      </c>
    </row>
    <row r="19" spans="1:6" hidden="1" x14ac:dyDescent="0.2">
      <c r="A19" t="s">
        <v>2320</v>
      </c>
      <c r="B19" t="s">
        <v>2365</v>
      </c>
      <c r="C19" t="str">
        <f t="shared" si="0"/>
        <v>AntioquiaBELMIRA</v>
      </c>
      <c r="D19" t="s">
        <v>2322</v>
      </c>
      <c r="E19" t="s">
        <v>2367</v>
      </c>
      <c r="F19" t="s">
        <v>2366</v>
      </c>
    </row>
    <row r="20" spans="1:6" hidden="1" x14ac:dyDescent="0.2">
      <c r="A20" t="s">
        <v>2320</v>
      </c>
      <c r="B20" t="s">
        <v>2368</v>
      </c>
      <c r="C20" t="str">
        <f t="shared" si="0"/>
        <v>AntioquiaBELLO</v>
      </c>
      <c r="D20" t="s">
        <v>2322</v>
      </c>
      <c r="E20" t="s">
        <v>2702</v>
      </c>
      <c r="F20" t="s">
        <v>2015</v>
      </c>
    </row>
    <row r="21" spans="1:6" hidden="1" x14ac:dyDescent="0.2">
      <c r="A21" t="s">
        <v>2320</v>
      </c>
      <c r="B21" t="s">
        <v>2369</v>
      </c>
      <c r="C21" t="str">
        <f t="shared" si="0"/>
        <v>AntioquiaBETANIA</v>
      </c>
      <c r="D21" t="s">
        <v>2322</v>
      </c>
      <c r="E21" t="s">
        <v>2371</v>
      </c>
      <c r="F21" t="s">
        <v>2370</v>
      </c>
    </row>
    <row r="22" spans="1:6" hidden="1" x14ac:dyDescent="0.2">
      <c r="A22" t="s">
        <v>2320</v>
      </c>
      <c r="B22" t="s">
        <v>2372</v>
      </c>
      <c r="C22" t="str">
        <f t="shared" si="0"/>
        <v>AntioquiaBETULIA</v>
      </c>
      <c r="D22" t="s">
        <v>2322</v>
      </c>
      <c r="E22" t="s">
        <v>2695</v>
      </c>
      <c r="F22" t="s">
        <v>2373</v>
      </c>
    </row>
    <row r="23" spans="1:6" hidden="1" x14ac:dyDescent="0.2">
      <c r="A23" t="s">
        <v>2320</v>
      </c>
      <c r="B23" t="s">
        <v>2374</v>
      </c>
      <c r="C23" t="str">
        <f t="shared" si="0"/>
        <v>AntioquiaCIUDAD BOLIVAR</v>
      </c>
      <c r="D23" t="s">
        <v>2322</v>
      </c>
      <c r="E23" t="s">
        <v>2376</v>
      </c>
      <c r="F23" t="s">
        <v>2375</v>
      </c>
    </row>
    <row r="24" spans="1:6" hidden="1" x14ac:dyDescent="0.2">
      <c r="A24" t="s">
        <v>2320</v>
      </c>
      <c r="B24" t="s">
        <v>2377</v>
      </c>
      <c r="C24" t="str">
        <f t="shared" si="0"/>
        <v>AntioquiaBRICEÑO</v>
      </c>
      <c r="D24" t="s">
        <v>2322</v>
      </c>
      <c r="E24" t="s">
        <v>2163</v>
      </c>
      <c r="F24" t="s">
        <v>2378</v>
      </c>
    </row>
    <row r="25" spans="1:6" hidden="1" x14ac:dyDescent="0.2">
      <c r="A25" t="s">
        <v>2320</v>
      </c>
      <c r="B25" t="s">
        <v>2379</v>
      </c>
      <c r="C25" t="str">
        <f t="shared" si="0"/>
        <v>AntioquiaBURITICA</v>
      </c>
      <c r="D25" t="s">
        <v>2322</v>
      </c>
      <c r="E25" t="s">
        <v>2381</v>
      </c>
      <c r="F25" t="s">
        <v>2380</v>
      </c>
    </row>
    <row r="26" spans="1:6" hidden="1" x14ac:dyDescent="0.2">
      <c r="A26" t="s">
        <v>2320</v>
      </c>
      <c r="B26" t="s">
        <v>2382</v>
      </c>
      <c r="C26" t="str">
        <f t="shared" si="0"/>
        <v>AntioquiaCACERES</v>
      </c>
      <c r="D26" t="s">
        <v>2322</v>
      </c>
      <c r="E26" t="s">
        <v>2820</v>
      </c>
      <c r="F26" t="s">
        <v>2383</v>
      </c>
    </row>
    <row r="27" spans="1:6" hidden="1" x14ac:dyDescent="0.2">
      <c r="A27" t="s">
        <v>2320</v>
      </c>
      <c r="B27" t="s">
        <v>2384</v>
      </c>
      <c r="C27" t="str">
        <f t="shared" si="0"/>
        <v>AntioquiaCAICEDO</v>
      </c>
      <c r="D27" t="s">
        <v>2322</v>
      </c>
      <c r="E27" t="s">
        <v>2386</v>
      </c>
      <c r="F27" t="s">
        <v>2385</v>
      </c>
    </row>
    <row r="28" spans="1:6" hidden="1" x14ac:dyDescent="0.2">
      <c r="A28" t="s">
        <v>2320</v>
      </c>
      <c r="B28" t="s">
        <v>2387</v>
      </c>
      <c r="C28" t="str">
        <f t="shared" si="0"/>
        <v>AntioquiaCALDAS</v>
      </c>
      <c r="D28" t="s">
        <v>2322</v>
      </c>
      <c r="E28" t="s">
        <v>2196</v>
      </c>
      <c r="F28" t="s">
        <v>2388</v>
      </c>
    </row>
    <row r="29" spans="1:6" hidden="1" x14ac:dyDescent="0.2">
      <c r="A29" t="s">
        <v>2320</v>
      </c>
      <c r="B29" t="s">
        <v>2389</v>
      </c>
      <c r="C29" t="str">
        <f t="shared" si="0"/>
        <v>AntioquiaCAMPAMENTO</v>
      </c>
      <c r="D29" t="s">
        <v>2322</v>
      </c>
      <c r="E29" t="s">
        <v>2391</v>
      </c>
      <c r="F29" t="s">
        <v>2390</v>
      </c>
    </row>
    <row r="30" spans="1:6" hidden="1" x14ac:dyDescent="0.2">
      <c r="A30" t="s">
        <v>2320</v>
      </c>
      <c r="B30" t="s">
        <v>2392</v>
      </c>
      <c r="C30" t="str">
        <f t="shared" si="0"/>
        <v>AntioquiaCAÑASGORDAS</v>
      </c>
      <c r="D30" t="s">
        <v>2322</v>
      </c>
      <c r="E30" t="s">
        <v>2394</v>
      </c>
      <c r="F30" t="s">
        <v>2393</v>
      </c>
    </row>
    <row r="31" spans="1:6" hidden="1" x14ac:dyDescent="0.2">
      <c r="A31" t="s">
        <v>2320</v>
      </c>
      <c r="B31" t="s">
        <v>2395</v>
      </c>
      <c r="C31" t="str">
        <f t="shared" si="0"/>
        <v>AntioquiaCARACOLI</v>
      </c>
      <c r="D31" t="s">
        <v>2322</v>
      </c>
      <c r="E31" t="s">
        <v>2397</v>
      </c>
      <c r="F31" t="s">
        <v>2396</v>
      </c>
    </row>
    <row r="32" spans="1:6" hidden="1" x14ac:dyDescent="0.2">
      <c r="A32" t="s">
        <v>2320</v>
      </c>
      <c r="B32" t="s">
        <v>2398</v>
      </c>
      <c r="C32" t="str">
        <f t="shared" si="0"/>
        <v>AntioquiaCARAMANTA</v>
      </c>
      <c r="D32" t="s">
        <v>2322</v>
      </c>
      <c r="E32" t="s">
        <v>2400</v>
      </c>
      <c r="F32" t="s">
        <v>2399</v>
      </c>
    </row>
    <row r="33" spans="1:6" hidden="1" x14ac:dyDescent="0.2">
      <c r="A33" t="s">
        <v>2320</v>
      </c>
      <c r="B33" t="s">
        <v>2401</v>
      </c>
      <c r="C33" t="str">
        <f t="shared" si="0"/>
        <v>AntioquiaCAREPA</v>
      </c>
      <c r="D33" t="s">
        <v>2322</v>
      </c>
      <c r="E33" t="s">
        <v>2403</v>
      </c>
      <c r="F33" t="s">
        <v>2402</v>
      </c>
    </row>
    <row r="34" spans="1:6" hidden="1" x14ac:dyDescent="0.2">
      <c r="A34" t="s">
        <v>2320</v>
      </c>
      <c r="B34" t="s">
        <v>2404</v>
      </c>
      <c r="C34" t="str">
        <f t="shared" si="0"/>
        <v>AntioquiaEL CARMEN DE VIBORAL</v>
      </c>
      <c r="D34" t="s">
        <v>2322</v>
      </c>
      <c r="E34" t="s">
        <v>2406</v>
      </c>
      <c r="F34" t="s">
        <v>2405</v>
      </c>
    </row>
    <row r="35" spans="1:6" hidden="1" x14ac:dyDescent="0.2">
      <c r="A35" t="s">
        <v>2320</v>
      </c>
      <c r="B35" t="s">
        <v>2407</v>
      </c>
      <c r="C35" t="str">
        <f t="shared" si="0"/>
        <v>AntioquiaCAROLINA</v>
      </c>
      <c r="D35" t="s">
        <v>2322</v>
      </c>
      <c r="E35" t="s">
        <v>2409</v>
      </c>
      <c r="F35" t="s">
        <v>2408</v>
      </c>
    </row>
    <row r="36" spans="1:6" hidden="1" x14ac:dyDescent="0.2">
      <c r="A36" t="s">
        <v>2320</v>
      </c>
      <c r="B36" t="s">
        <v>2410</v>
      </c>
      <c r="C36" t="str">
        <f t="shared" si="0"/>
        <v>AntioquiaCAUCASIA</v>
      </c>
      <c r="D36" t="s">
        <v>2322</v>
      </c>
      <c r="E36" t="s">
        <v>2412</v>
      </c>
      <c r="F36" t="s">
        <v>2411</v>
      </c>
    </row>
    <row r="37" spans="1:6" hidden="1" x14ac:dyDescent="0.2">
      <c r="A37" t="s">
        <v>2320</v>
      </c>
      <c r="B37" t="s">
        <v>2413</v>
      </c>
      <c r="C37" t="str">
        <f t="shared" si="0"/>
        <v>AntioquiaCHIGORODO</v>
      </c>
      <c r="D37" t="s">
        <v>2322</v>
      </c>
      <c r="E37" t="s">
        <v>2415</v>
      </c>
      <c r="F37" t="s">
        <v>2414</v>
      </c>
    </row>
    <row r="38" spans="1:6" hidden="1" x14ac:dyDescent="0.2">
      <c r="A38" t="s">
        <v>2320</v>
      </c>
      <c r="B38" t="s">
        <v>2416</v>
      </c>
      <c r="C38" t="str">
        <f t="shared" si="0"/>
        <v>AntioquiaCISNEROS</v>
      </c>
      <c r="D38" t="s">
        <v>2322</v>
      </c>
      <c r="E38" t="s">
        <v>2418</v>
      </c>
      <c r="F38" t="s">
        <v>2417</v>
      </c>
    </row>
    <row r="39" spans="1:6" hidden="1" x14ac:dyDescent="0.2">
      <c r="A39" t="s">
        <v>2320</v>
      </c>
      <c r="B39" t="s">
        <v>2419</v>
      </c>
      <c r="C39" t="str">
        <f t="shared" si="0"/>
        <v>AntioquiaCOCORNA</v>
      </c>
      <c r="D39" t="s">
        <v>2322</v>
      </c>
      <c r="E39" t="s">
        <v>2421</v>
      </c>
      <c r="F39" t="s">
        <v>2420</v>
      </c>
    </row>
    <row r="40" spans="1:6" hidden="1" x14ac:dyDescent="0.2">
      <c r="A40" t="s">
        <v>2320</v>
      </c>
      <c r="B40" t="s">
        <v>2422</v>
      </c>
      <c r="C40" t="str">
        <f t="shared" si="0"/>
        <v>AntioquiaCONCEPCION</v>
      </c>
      <c r="D40" t="s">
        <v>2322</v>
      </c>
      <c r="E40" t="s">
        <v>2424</v>
      </c>
      <c r="F40" t="s">
        <v>2423</v>
      </c>
    </row>
    <row r="41" spans="1:6" hidden="1" x14ac:dyDescent="0.2">
      <c r="A41" t="s">
        <v>2320</v>
      </c>
      <c r="B41" t="s">
        <v>2425</v>
      </c>
      <c r="C41" t="str">
        <f t="shared" si="0"/>
        <v>AntioquiaCONCORDIA</v>
      </c>
      <c r="D41" t="s">
        <v>2322</v>
      </c>
      <c r="E41" t="s">
        <v>2427</v>
      </c>
      <c r="F41" t="s">
        <v>2426</v>
      </c>
    </row>
    <row r="42" spans="1:6" hidden="1" x14ac:dyDescent="0.2">
      <c r="A42" t="s">
        <v>2320</v>
      </c>
      <c r="B42" t="s">
        <v>2428</v>
      </c>
      <c r="C42" t="str">
        <f t="shared" si="0"/>
        <v>AntioquiaCOPACABANA</v>
      </c>
      <c r="D42" t="s">
        <v>2322</v>
      </c>
      <c r="E42" t="s">
        <v>2681</v>
      </c>
      <c r="F42" t="s">
        <v>2429</v>
      </c>
    </row>
    <row r="43" spans="1:6" hidden="1" x14ac:dyDescent="0.2">
      <c r="A43" t="s">
        <v>2320</v>
      </c>
      <c r="B43" t="s">
        <v>2430</v>
      </c>
      <c r="C43" t="str">
        <f t="shared" si="0"/>
        <v>AntioquiaDABEIBA</v>
      </c>
      <c r="D43" t="s">
        <v>2322</v>
      </c>
      <c r="E43" t="s">
        <v>2432</v>
      </c>
      <c r="F43" t="s">
        <v>2431</v>
      </c>
    </row>
    <row r="44" spans="1:6" hidden="1" x14ac:dyDescent="0.2">
      <c r="A44" t="s">
        <v>2320</v>
      </c>
      <c r="B44" t="s">
        <v>2433</v>
      </c>
      <c r="C44" t="str">
        <f t="shared" si="0"/>
        <v>AntioquiaDON MATIAS</v>
      </c>
      <c r="D44" t="s">
        <v>2322</v>
      </c>
      <c r="E44" t="s">
        <v>2435</v>
      </c>
      <c r="F44" t="s">
        <v>2434</v>
      </c>
    </row>
    <row r="45" spans="1:6" hidden="1" x14ac:dyDescent="0.2">
      <c r="A45" t="s">
        <v>2320</v>
      </c>
      <c r="B45" t="s">
        <v>2436</v>
      </c>
      <c r="C45" t="str">
        <f t="shared" si="0"/>
        <v>AntioquiaEBEJICO</v>
      </c>
      <c r="D45" t="s">
        <v>2322</v>
      </c>
      <c r="E45" t="s">
        <v>2438</v>
      </c>
      <c r="F45" t="s">
        <v>2437</v>
      </c>
    </row>
    <row r="46" spans="1:6" hidden="1" x14ac:dyDescent="0.2">
      <c r="A46" t="s">
        <v>2320</v>
      </c>
      <c r="B46" t="s">
        <v>2439</v>
      </c>
      <c r="C46" t="str">
        <f t="shared" si="0"/>
        <v>AntioquiaEL BAGRE</v>
      </c>
      <c r="D46" t="s">
        <v>2322</v>
      </c>
      <c r="E46" t="s">
        <v>2441</v>
      </c>
      <c r="F46" t="s">
        <v>2440</v>
      </c>
    </row>
    <row r="47" spans="1:6" hidden="1" x14ac:dyDescent="0.2">
      <c r="A47" t="s">
        <v>2320</v>
      </c>
      <c r="B47" t="s">
        <v>2442</v>
      </c>
      <c r="C47" t="str">
        <f t="shared" si="0"/>
        <v>AntioquiaENTRERRIOS</v>
      </c>
      <c r="D47" t="s">
        <v>2322</v>
      </c>
      <c r="E47" t="s">
        <v>2444</v>
      </c>
      <c r="F47" t="s">
        <v>2443</v>
      </c>
    </row>
    <row r="48" spans="1:6" hidden="1" x14ac:dyDescent="0.2">
      <c r="A48" t="s">
        <v>2320</v>
      </c>
      <c r="B48" t="s">
        <v>2445</v>
      </c>
      <c r="C48" t="str">
        <f t="shared" si="0"/>
        <v>AntioquiaENVIGADO</v>
      </c>
      <c r="D48" t="s">
        <v>2322</v>
      </c>
      <c r="E48" t="s">
        <v>2447</v>
      </c>
      <c r="F48" t="s">
        <v>2446</v>
      </c>
    </row>
    <row r="49" spans="1:6" hidden="1" x14ac:dyDescent="0.2">
      <c r="A49" t="s">
        <v>2320</v>
      </c>
      <c r="B49" t="s">
        <v>2448</v>
      </c>
      <c r="C49" t="str">
        <f t="shared" si="0"/>
        <v>AntioquiaFREDONIA</v>
      </c>
      <c r="D49" t="s">
        <v>2322</v>
      </c>
      <c r="E49" t="s">
        <v>2810</v>
      </c>
      <c r="F49" t="s">
        <v>2449</v>
      </c>
    </row>
    <row r="50" spans="1:6" hidden="1" x14ac:dyDescent="0.2">
      <c r="A50" t="s">
        <v>2320</v>
      </c>
      <c r="B50" t="s">
        <v>2450</v>
      </c>
      <c r="C50" t="str">
        <f t="shared" si="0"/>
        <v>AntioquiaFRONTINO</v>
      </c>
      <c r="D50" t="s">
        <v>2322</v>
      </c>
      <c r="E50" t="s">
        <v>2092</v>
      </c>
      <c r="F50" t="s">
        <v>2451</v>
      </c>
    </row>
    <row r="51" spans="1:6" hidden="1" x14ac:dyDescent="0.2">
      <c r="A51" t="s">
        <v>2320</v>
      </c>
      <c r="B51" t="s">
        <v>2452</v>
      </c>
      <c r="C51" t="str">
        <f t="shared" si="0"/>
        <v>AntioquiaGIRALDO</v>
      </c>
      <c r="D51" t="s">
        <v>2322</v>
      </c>
      <c r="E51" t="s">
        <v>2454</v>
      </c>
      <c r="F51" t="s">
        <v>2453</v>
      </c>
    </row>
    <row r="52" spans="1:6" hidden="1" x14ac:dyDescent="0.2">
      <c r="A52" t="s">
        <v>2320</v>
      </c>
      <c r="B52" t="s">
        <v>2455</v>
      </c>
      <c r="C52" t="str">
        <f t="shared" si="0"/>
        <v>AntioquiaGIRARDOTA</v>
      </c>
      <c r="D52" t="s">
        <v>2322</v>
      </c>
      <c r="E52" t="s">
        <v>2821</v>
      </c>
      <c r="F52" t="s">
        <v>2456</v>
      </c>
    </row>
    <row r="53" spans="1:6" hidden="1" x14ac:dyDescent="0.2">
      <c r="A53" t="s">
        <v>2320</v>
      </c>
      <c r="B53" t="s">
        <v>2457</v>
      </c>
      <c r="C53" t="str">
        <f t="shared" si="0"/>
        <v>AntioquiaGOMEZ PLATA</v>
      </c>
      <c r="D53" t="s">
        <v>2322</v>
      </c>
      <c r="E53" t="s">
        <v>2459</v>
      </c>
      <c r="F53" t="s">
        <v>2458</v>
      </c>
    </row>
    <row r="54" spans="1:6" hidden="1" x14ac:dyDescent="0.2">
      <c r="A54" t="s">
        <v>2320</v>
      </c>
      <c r="B54" t="s">
        <v>2460</v>
      </c>
      <c r="C54" t="str">
        <f t="shared" si="0"/>
        <v>AntioquiaGRANADA</v>
      </c>
      <c r="D54" t="s">
        <v>2322</v>
      </c>
      <c r="E54" t="s">
        <v>1333</v>
      </c>
      <c r="F54" t="s">
        <v>2461</v>
      </c>
    </row>
    <row r="55" spans="1:6" hidden="1" x14ac:dyDescent="0.2">
      <c r="A55" t="s">
        <v>2320</v>
      </c>
      <c r="B55" t="s">
        <v>2462</v>
      </c>
      <c r="C55" t="str">
        <f t="shared" si="0"/>
        <v>AntioquiaGUADALUPE</v>
      </c>
      <c r="D55" t="s">
        <v>2322</v>
      </c>
      <c r="E55" t="s">
        <v>2054</v>
      </c>
      <c r="F55" t="s">
        <v>2463</v>
      </c>
    </row>
    <row r="56" spans="1:6" hidden="1" x14ac:dyDescent="0.2">
      <c r="A56" t="s">
        <v>2320</v>
      </c>
      <c r="B56" t="s">
        <v>2464</v>
      </c>
      <c r="C56" t="str">
        <f t="shared" si="0"/>
        <v>AntioquiaGUARNE</v>
      </c>
      <c r="D56" t="s">
        <v>2322</v>
      </c>
      <c r="E56" t="s">
        <v>2074</v>
      </c>
      <c r="F56" t="s">
        <v>2465</v>
      </c>
    </row>
    <row r="57" spans="1:6" hidden="1" x14ac:dyDescent="0.2">
      <c r="A57" t="s">
        <v>2320</v>
      </c>
      <c r="B57" t="s">
        <v>2466</v>
      </c>
      <c r="C57" t="str">
        <f t="shared" si="0"/>
        <v>AntioquiaGUATAPE</v>
      </c>
      <c r="D57" t="s">
        <v>2322</v>
      </c>
      <c r="E57" t="s">
        <v>2468</v>
      </c>
      <c r="F57" t="s">
        <v>2467</v>
      </c>
    </row>
    <row r="58" spans="1:6" hidden="1" x14ac:dyDescent="0.2">
      <c r="A58" t="s">
        <v>2320</v>
      </c>
      <c r="B58" t="s">
        <v>2469</v>
      </c>
      <c r="C58" t="str">
        <f t="shared" si="0"/>
        <v>AntioquiaHELICONIA</v>
      </c>
      <c r="D58" t="s">
        <v>2322</v>
      </c>
      <c r="E58" t="s">
        <v>2471</v>
      </c>
      <c r="F58" t="s">
        <v>2470</v>
      </c>
    </row>
    <row r="59" spans="1:6" hidden="1" x14ac:dyDescent="0.2">
      <c r="A59" t="s">
        <v>2320</v>
      </c>
      <c r="B59" t="s">
        <v>2472</v>
      </c>
      <c r="C59" t="str">
        <f t="shared" si="0"/>
        <v>AntioquiaHISPANIA</v>
      </c>
      <c r="D59" t="s">
        <v>2322</v>
      </c>
      <c r="E59" t="s">
        <v>2474</v>
      </c>
      <c r="F59" t="s">
        <v>2473</v>
      </c>
    </row>
    <row r="60" spans="1:6" hidden="1" x14ac:dyDescent="0.2">
      <c r="A60" t="s">
        <v>2320</v>
      </c>
      <c r="B60" t="s">
        <v>2475</v>
      </c>
      <c r="C60" t="str">
        <f t="shared" si="0"/>
        <v>AntioquiaITAGUI</v>
      </c>
      <c r="D60" t="s">
        <v>2322</v>
      </c>
      <c r="E60" t="s">
        <v>2006</v>
      </c>
      <c r="F60" t="s">
        <v>2476</v>
      </c>
    </row>
    <row r="61" spans="1:6" hidden="1" x14ac:dyDescent="0.2">
      <c r="A61" t="s">
        <v>2320</v>
      </c>
      <c r="B61" t="s">
        <v>2477</v>
      </c>
      <c r="C61" t="str">
        <f t="shared" si="0"/>
        <v>AntioquiaITUANGO</v>
      </c>
      <c r="D61" t="s">
        <v>2322</v>
      </c>
      <c r="E61" t="s">
        <v>2479</v>
      </c>
      <c r="F61" t="s">
        <v>2478</v>
      </c>
    </row>
    <row r="62" spans="1:6" hidden="1" x14ac:dyDescent="0.2">
      <c r="A62" t="s">
        <v>2320</v>
      </c>
      <c r="B62" t="s">
        <v>2480</v>
      </c>
      <c r="C62" t="str">
        <f t="shared" si="0"/>
        <v>AntioquiaJARDIN</v>
      </c>
      <c r="D62" t="s">
        <v>2322</v>
      </c>
      <c r="E62" t="s">
        <v>2482</v>
      </c>
      <c r="F62" t="s">
        <v>2481</v>
      </c>
    </row>
    <row r="63" spans="1:6" hidden="1" x14ac:dyDescent="0.2">
      <c r="A63" t="s">
        <v>2320</v>
      </c>
      <c r="B63" t="s">
        <v>2483</v>
      </c>
      <c r="C63" t="str">
        <f t="shared" si="0"/>
        <v>AntioquiaJERICO</v>
      </c>
      <c r="D63" t="s">
        <v>2322</v>
      </c>
      <c r="E63" t="s">
        <v>1702</v>
      </c>
      <c r="F63" t="s">
        <v>2484</v>
      </c>
    </row>
    <row r="64" spans="1:6" hidden="1" x14ac:dyDescent="0.2">
      <c r="A64" t="s">
        <v>2320</v>
      </c>
      <c r="B64" t="s">
        <v>2485</v>
      </c>
      <c r="C64" t="str">
        <f t="shared" si="0"/>
        <v>AntioquiaLA CEJA</v>
      </c>
      <c r="D64" t="s">
        <v>2322</v>
      </c>
      <c r="E64" t="s">
        <v>2487</v>
      </c>
      <c r="F64" t="s">
        <v>2486</v>
      </c>
    </row>
    <row r="65" spans="1:6" hidden="1" x14ac:dyDescent="0.2">
      <c r="A65" t="s">
        <v>2320</v>
      </c>
      <c r="B65" t="s">
        <v>2488</v>
      </c>
      <c r="C65" t="str">
        <f t="shared" si="0"/>
        <v>AntioquiaLA ESTRELLA</v>
      </c>
      <c r="D65" t="s">
        <v>2322</v>
      </c>
      <c r="E65" t="s">
        <v>2119</v>
      </c>
      <c r="F65" t="s">
        <v>2016</v>
      </c>
    </row>
    <row r="66" spans="1:6" hidden="1" x14ac:dyDescent="0.2">
      <c r="A66" t="s">
        <v>2320</v>
      </c>
      <c r="B66" t="s">
        <v>2489</v>
      </c>
      <c r="C66" t="str">
        <f t="shared" si="0"/>
        <v>AntioquiaLA PINTADA</v>
      </c>
      <c r="D66" t="s">
        <v>2322</v>
      </c>
      <c r="E66" t="s">
        <v>2491</v>
      </c>
      <c r="F66" t="s">
        <v>2490</v>
      </c>
    </row>
    <row r="67" spans="1:6" hidden="1" x14ac:dyDescent="0.2">
      <c r="A67" t="s">
        <v>2320</v>
      </c>
      <c r="B67" t="s">
        <v>2492</v>
      </c>
      <c r="C67" t="str">
        <f t="shared" ref="C67:C130" si="1">D67&amp;E67</f>
        <v>AntioquiaLA UNION</v>
      </c>
      <c r="D67" t="s">
        <v>2322</v>
      </c>
      <c r="E67" t="s">
        <v>2160</v>
      </c>
      <c r="F67" t="s">
        <v>2493</v>
      </c>
    </row>
    <row r="68" spans="1:6" hidden="1" x14ac:dyDescent="0.2">
      <c r="A68" t="s">
        <v>2320</v>
      </c>
      <c r="B68" t="s">
        <v>2494</v>
      </c>
      <c r="C68" t="str">
        <f t="shared" si="1"/>
        <v>AntioquiaLIBORINA</v>
      </c>
      <c r="D68" t="s">
        <v>2322</v>
      </c>
      <c r="E68" t="s">
        <v>2496</v>
      </c>
      <c r="F68" t="s">
        <v>2495</v>
      </c>
    </row>
    <row r="69" spans="1:6" hidden="1" x14ac:dyDescent="0.2">
      <c r="A69" t="s">
        <v>2320</v>
      </c>
      <c r="B69" t="s">
        <v>2497</v>
      </c>
      <c r="C69" t="str">
        <f t="shared" si="1"/>
        <v>AntioquiaMACEO</v>
      </c>
      <c r="D69" t="s">
        <v>2322</v>
      </c>
      <c r="E69" t="s">
        <v>2499</v>
      </c>
      <c r="F69" t="s">
        <v>2498</v>
      </c>
    </row>
    <row r="70" spans="1:6" hidden="1" x14ac:dyDescent="0.2">
      <c r="A70" t="s">
        <v>2320</v>
      </c>
      <c r="B70" t="s">
        <v>2500</v>
      </c>
      <c r="C70" t="str">
        <f t="shared" si="1"/>
        <v>AntioquiaMARINILLA</v>
      </c>
      <c r="D70" t="s">
        <v>2322</v>
      </c>
      <c r="E70" t="s">
        <v>2502</v>
      </c>
      <c r="F70" t="s">
        <v>2501</v>
      </c>
    </row>
    <row r="71" spans="1:6" hidden="1" x14ac:dyDescent="0.2">
      <c r="A71" t="s">
        <v>2320</v>
      </c>
      <c r="B71" t="s">
        <v>2503</v>
      </c>
      <c r="C71" t="str">
        <f t="shared" si="1"/>
        <v>AntioquiaMONTEBELLO</v>
      </c>
      <c r="D71" t="s">
        <v>2322</v>
      </c>
      <c r="E71" t="s">
        <v>2505</v>
      </c>
      <c r="F71" t="s">
        <v>2504</v>
      </c>
    </row>
    <row r="72" spans="1:6" hidden="1" x14ac:dyDescent="0.2">
      <c r="A72" t="s">
        <v>2320</v>
      </c>
      <c r="B72" t="s">
        <v>2506</v>
      </c>
      <c r="C72" t="str">
        <f t="shared" si="1"/>
        <v>AntioquiaMURINDO</v>
      </c>
      <c r="D72" t="s">
        <v>2322</v>
      </c>
      <c r="E72" t="s">
        <v>2508</v>
      </c>
      <c r="F72" t="s">
        <v>2507</v>
      </c>
    </row>
    <row r="73" spans="1:6" hidden="1" x14ac:dyDescent="0.2">
      <c r="A73" t="s">
        <v>2320</v>
      </c>
      <c r="B73" t="s">
        <v>2509</v>
      </c>
      <c r="C73" t="str">
        <f t="shared" si="1"/>
        <v>AntioquiaMUTATA</v>
      </c>
      <c r="D73" t="s">
        <v>2322</v>
      </c>
      <c r="E73" t="s">
        <v>2511</v>
      </c>
      <c r="F73" t="s">
        <v>2510</v>
      </c>
    </row>
    <row r="74" spans="1:6" hidden="1" x14ac:dyDescent="0.2">
      <c r="A74" t="s">
        <v>2320</v>
      </c>
      <c r="B74" t="s">
        <v>2512</v>
      </c>
      <c r="C74" t="str">
        <f t="shared" si="1"/>
        <v>AntioquiaNARIÑO</v>
      </c>
      <c r="D74" t="s">
        <v>2322</v>
      </c>
      <c r="E74" t="s">
        <v>2811</v>
      </c>
      <c r="F74" t="s">
        <v>2513</v>
      </c>
    </row>
    <row r="75" spans="1:6" hidden="1" x14ac:dyDescent="0.2">
      <c r="A75" t="s">
        <v>2320</v>
      </c>
      <c r="B75" t="s">
        <v>2514</v>
      </c>
      <c r="C75" t="str">
        <f t="shared" si="1"/>
        <v>AntioquiaNECOCLI</v>
      </c>
      <c r="D75" t="s">
        <v>2322</v>
      </c>
      <c r="E75" t="s">
        <v>2516</v>
      </c>
      <c r="F75" t="s">
        <v>2515</v>
      </c>
    </row>
    <row r="76" spans="1:6" hidden="1" x14ac:dyDescent="0.2">
      <c r="A76" t="s">
        <v>2320</v>
      </c>
      <c r="B76" t="s">
        <v>2517</v>
      </c>
      <c r="C76" t="str">
        <f t="shared" si="1"/>
        <v>AntioquiaNECHI</v>
      </c>
      <c r="D76" t="s">
        <v>2322</v>
      </c>
      <c r="E76" t="s">
        <v>2519</v>
      </c>
      <c r="F76" t="s">
        <v>2518</v>
      </c>
    </row>
    <row r="77" spans="1:6" hidden="1" x14ac:dyDescent="0.2">
      <c r="A77" t="s">
        <v>2320</v>
      </c>
      <c r="B77" t="s">
        <v>2520</v>
      </c>
      <c r="C77" t="str">
        <f t="shared" si="1"/>
        <v>AntioquiaOLAYA</v>
      </c>
      <c r="D77" t="s">
        <v>2322</v>
      </c>
      <c r="E77" t="s">
        <v>2522</v>
      </c>
      <c r="F77" t="s">
        <v>2521</v>
      </c>
    </row>
    <row r="78" spans="1:6" hidden="1" x14ac:dyDescent="0.2">
      <c r="A78" t="s">
        <v>2320</v>
      </c>
      <c r="B78" t="s">
        <v>2523</v>
      </c>
      <c r="C78" t="str">
        <f t="shared" si="1"/>
        <v>AntioquiaPEÑOL</v>
      </c>
      <c r="D78" t="s">
        <v>2322</v>
      </c>
      <c r="E78" t="s">
        <v>2007</v>
      </c>
      <c r="F78" t="s">
        <v>2524</v>
      </c>
    </row>
    <row r="79" spans="1:6" hidden="1" x14ac:dyDescent="0.2">
      <c r="A79" t="s">
        <v>2320</v>
      </c>
      <c r="B79" t="s">
        <v>2525</v>
      </c>
      <c r="C79" t="str">
        <f t="shared" si="1"/>
        <v>AntioquiaPEQUE</v>
      </c>
      <c r="D79" t="s">
        <v>2322</v>
      </c>
      <c r="E79" t="s">
        <v>2527</v>
      </c>
      <c r="F79" t="s">
        <v>2526</v>
      </c>
    </row>
    <row r="80" spans="1:6" hidden="1" x14ac:dyDescent="0.2">
      <c r="A80" t="s">
        <v>2320</v>
      </c>
      <c r="B80" t="s">
        <v>2528</v>
      </c>
      <c r="C80" t="str">
        <f t="shared" si="1"/>
        <v>AntioquiaPUEBLORRICO</v>
      </c>
      <c r="D80" t="s">
        <v>2322</v>
      </c>
      <c r="E80" t="s">
        <v>2530</v>
      </c>
      <c r="F80" t="s">
        <v>2529</v>
      </c>
    </row>
    <row r="81" spans="1:6" hidden="1" x14ac:dyDescent="0.2">
      <c r="A81" t="s">
        <v>2320</v>
      </c>
      <c r="B81" t="s">
        <v>2531</v>
      </c>
      <c r="C81" t="str">
        <f t="shared" si="1"/>
        <v>AntioquiaPUERTO BERRIO</v>
      </c>
      <c r="D81" t="s">
        <v>2322</v>
      </c>
      <c r="E81" t="s">
        <v>2210</v>
      </c>
      <c r="F81" t="s">
        <v>2532</v>
      </c>
    </row>
    <row r="82" spans="1:6" hidden="1" x14ac:dyDescent="0.2">
      <c r="A82" t="s">
        <v>2320</v>
      </c>
      <c r="B82" t="s">
        <v>2533</v>
      </c>
      <c r="C82" t="str">
        <f t="shared" si="1"/>
        <v>AntioquiaPUERTO NARE</v>
      </c>
      <c r="D82" t="s">
        <v>2322</v>
      </c>
      <c r="E82" t="s">
        <v>2714</v>
      </c>
      <c r="F82" t="s">
        <v>2534</v>
      </c>
    </row>
    <row r="83" spans="1:6" hidden="1" x14ac:dyDescent="0.2">
      <c r="A83" t="s">
        <v>2320</v>
      </c>
      <c r="B83" t="s">
        <v>2535</v>
      </c>
      <c r="C83" t="str">
        <f t="shared" si="1"/>
        <v>AntioquiaPUERTO TRIUNFO</v>
      </c>
      <c r="D83" t="s">
        <v>2322</v>
      </c>
      <c r="E83" t="s">
        <v>2199</v>
      </c>
      <c r="F83" t="s">
        <v>2536</v>
      </c>
    </row>
    <row r="84" spans="1:6" hidden="1" x14ac:dyDescent="0.2">
      <c r="A84" t="s">
        <v>2320</v>
      </c>
      <c r="B84" t="s">
        <v>2537</v>
      </c>
      <c r="C84" t="str">
        <f t="shared" si="1"/>
        <v>AntioquiaREMEDIOS</v>
      </c>
      <c r="D84" t="s">
        <v>2322</v>
      </c>
      <c r="E84" t="s">
        <v>2539</v>
      </c>
      <c r="F84" t="s">
        <v>2538</v>
      </c>
    </row>
    <row r="85" spans="1:6" hidden="1" x14ac:dyDescent="0.2">
      <c r="A85" t="s">
        <v>2320</v>
      </c>
      <c r="B85" t="s">
        <v>2540</v>
      </c>
      <c r="C85" t="str">
        <f t="shared" si="1"/>
        <v>AntioquiaRETIRO</v>
      </c>
      <c r="D85" t="s">
        <v>2322</v>
      </c>
      <c r="E85" t="s">
        <v>2542</v>
      </c>
      <c r="F85" t="s">
        <v>2541</v>
      </c>
    </row>
    <row r="86" spans="1:6" hidden="1" x14ac:dyDescent="0.2">
      <c r="A86" t="s">
        <v>2320</v>
      </c>
      <c r="B86" t="s">
        <v>2543</v>
      </c>
      <c r="C86" t="str">
        <f t="shared" si="1"/>
        <v>AntioquiaRIONEGRO</v>
      </c>
      <c r="D86" t="s">
        <v>2322</v>
      </c>
      <c r="E86" t="s">
        <v>1380</v>
      </c>
      <c r="F86" t="s">
        <v>2544</v>
      </c>
    </row>
    <row r="87" spans="1:6" hidden="1" x14ac:dyDescent="0.2">
      <c r="A87" t="s">
        <v>2320</v>
      </c>
      <c r="B87" t="s">
        <v>2545</v>
      </c>
      <c r="C87" t="str">
        <f t="shared" si="1"/>
        <v>AntioquiaSABANALARGA</v>
      </c>
      <c r="D87" t="s">
        <v>2322</v>
      </c>
      <c r="E87" t="s">
        <v>2547</v>
      </c>
      <c r="F87" t="s">
        <v>2546</v>
      </c>
    </row>
    <row r="88" spans="1:6" hidden="1" x14ac:dyDescent="0.2">
      <c r="A88" t="s">
        <v>2320</v>
      </c>
      <c r="B88" t="s">
        <v>2548</v>
      </c>
      <c r="C88" t="str">
        <f t="shared" si="1"/>
        <v>AntioquiaSABANETA</v>
      </c>
      <c r="D88" t="s">
        <v>2322</v>
      </c>
      <c r="E88" t="s">
        <v>2822</v>
      </c>
      <c r="F88" t="s">
        <v>2549</v>
      </c>
    </row>
    <row r="89" spans="1:6" hidden="1" x14ac:dyDescent="0.2">
      <c r="A89" t="s">
        <v>2320</v>
      </c>
      <c r="B89" t="s">
        <v>2550</v>
      </c>
      <c r="C89" t="str">
        <f t="shared" si="1"/>
        <v>AntioquiaSALGAR</v>
      </c>
      <c r="D89" t="s">
        <v>2322</v>
      </c>
      <c r="E89" t="s">
        <v>2552</v>
      </c>
      <c r="F89" t="s">
        <v>2551</v>
      </c>
    </row>
    <row r="90" spans="1:6" hidden="1" x14ac:dyDescent="0.2">
      <c r="A90" t="s">
        <v>2320</v>
      </c>
      <c r="B90" t="s">
        <v>2553</v>
      </c>
      <c r="C90" t="str">
        <f t="shared" si="1"/>
        <v>AntioquiaSAN ANDRES DE CUERQUIA</v>
      </c>
      <c r="D90" t="s">
        <v>2322</v>
      </c>
      <c r="E90" t="s">
        <v>2804</v>
      </c>
      <c r="F90" t="s">
        <v>2554</v>
      </c>
    </row>
    <row r="91" spans="1:6" hidden="1" x14ac:dyDescent="0.2">
      <c r="A91" t="s">
        <v>2320</v>
      </c>
      <c r="B91" t="s">
        <v>2555</v>
      </c>
      <c r="C91" t="str">
        <f t="shared" si="1"/>
        <v>AntioquiaSAN CARLOS</v>
      </c>
      <c r="D91" t="s">
        <v>2322</v>
      </c>
      <c r="E91" t="s">
        <v>2794</v>
      </c>
      <c r="F91" t="s">
        <v>2556</v>
      </c>
    </row>
    <row r="92" spans="1:6" hidden="1" x14ac:dyDescent="0.2">
      <c r="A92" t="s">
        <v>2320</v>
      </c>
      <c r="B92" t="s">
        <v>2557</v>
      </c>
      <c r="C92" t="str">
        <f t="shared" si="1"/>
        <v>AntioquiaSAN FRANCISCO</v>
      </c>
      <c r="D92" t="s">
        <v>2322</v>
      </c>
      <c r="E92" t="s">
        <v>1385</v>
      </c>
      <c r="F92" t="s">
        <v>2558</v>
      </c>
    </row>
    <row r="93" spans="1:6" hidden="1" x14ac:dyDescent="0.2">
      <c r="A93" t="s">
        <v>2320</v>
      </c>
      <c r="B93" t="s">
        <v>2559</v>
      </c>
      <c r="C93" t="str">
        <f t="shared" si="1"/>
        <v>AntioquiaSAN JERONIMO</v>
      </c>
      <c r="D93" t="s">
        <v>2322</v>
      </c>
      <c r="E93" t="s">
        <v>2561</v>
      </c>
      <c r="F93" t="s">
        <v>2560</v>
      </c>
    </row>
    <row r="94" spans="1:6" hidden="1" x14ac:dyDescent="0.2">
      <c r="A94" t="s">
        <v>2320</v>
      </c>
      <c r="B94" t="s">
        <v>2562</v>
      </c>
      <c r="C94" t="str">
        <f t="shared" si="1"/>
        <v>AntioquiaSAN JOSE DE LA MONTAÑA</v>
      </c>
      <c r="D94" t="s">
        <v>2322</v>
      </c>
      <c r="E94" t="s">
        <v>2564</v>
      </c>
      <c r="F94" t="s">
        <v>2563</v>
      </c>
    </row>
    <row r="95" spans="1:6" hidden="1" x14ac:dyDescent="0.2">
      <c r="A95" t="s">
        <v>2320</v>
      </c>
      <c r="B95" t="s">
        <v>2565</v>
      </c>
      <c r="C95" t="str">
        <f t="shared" si="1"/>
        <v>AntioquiaSAN JUAN DE URABA</v>
      </c>
      <c r="D95" t="s">
        <v>2322</v>
      </c>
      <c r="E95" t="s">
        <v>2567</v>
      </c>
      <c r="F95" t="s">
        <v>2566</v>
      </c>
    </row>
    <row r="96" spans="1:6" hidden="1" x14ac:dyDescent="0.2">
      <c r="A96" t="s">
        <v>2320</v>
      </c>
      <c r="B96" t="s">
        <v>2568</v>
      </c>
      <c r="C96" t="str">
        <f t="shared" si="1"/>
        <v>AntioquiaSAN LUIS</v>
      </c>
      <c r="D96" t="s">
        <v>2322</v>
      </c>
      <c r="E96" t="s">
        <v>1384</v>
      </c>
      <c r="F96" t="s">
        <v>2569</v>
      </c>
    </row>
    <row r="97" spans="1:6" hidden="1" x14ac:dyDescent="0.2">
      <c r="A97" t="s">
        <v>2320</v>
      </c>
      <c r="B97" t="s">
        <v>2570</v>
      </c>
      <c r="C97" t="str">
        <f t="shared" si="1"/>
        <v>AntioquiaSAN PEDRO</v>
      </c>
      <c r="D97" t="s">
        <v>2322</v>
      </c>
      <c r="E97" t="s">
        <v>2159</v>
      </c>
      <c r="F97" t="s">
        <v>2571</v>
      </c>
    </row>
    <row r="98" spans="1:6" hidden="1" x14ac:dyDescent="0.2">
      <c r="A98" t="s">
        <v>2320</v>
      </c>
      <c r="B98" t="s">
        <v>2572</v>
      </c>
      <c r="C98" t="str">
        <f t="shared" si="1"/>
        <v>AntioquiaSAN PEDRO DE URABA</v>
      </c>
      <c r="D98" t="s">
        <v>2322</v>
      </c>
      <c r="E98" t="s">
        <v>2574</v>
      </c>
      <c r="F98" t="s">
        <v>2573</v>
      </c>
    </row>
    <row r="99" spans="1:6" hidden="1" x14ac:dyDescent="0.2">
      <c r="A99" t="s">
        <v>2320</v>
      </c>
      <c r="B99" t="s">
        <v>2575</v>
      </c>
      <c r="C99" t="str">
        <f t="shared" si="1"/>
        <v>AntioquiaSAN RAFAEL</v>
      </c>
      <c r="D99" t="s">
        <v>2322</v>
      </c>
      <c r="E99" t="s">
        <v>2577</v>
      </c>
      <c r="F99" t="s">
        <v>2576</v>
      </c>
    </row>
    <row r="100" spans="1:6" hidden="1" x14ac:dyDescent="0.2">
      <c r="A100" t="s">
        <v>2320</v>
      </c>
      <c r="B100" t="s">
        <v>2578</v>
      </c>
      <c r="C100" t="str">
        <f t="shared" si="1"/>
        <v>AntioquiaSAN ROQUE</v>
      </c>
      <c r="D100" t="s">
        <v>2322</v>
      </c>
      <c r="E100" t="s">
        <v>2823</v>
      </c>
      <c r="F100" t="s">
        <v>2579</v>
      </c>
    </row>
    <row r="101" spans="1:6" hidden="1" x14ac:dyDescent="0.2">
      <c r="A101" t="s">
        <v>2320</v>
      </c>
      <c r="B101" t="s">
        <v>2580</v>
      </c>
      <c r="C101" t="str">
        <f t="shared" si="1"/>
        <v>AntioquiaSAN VICENTE</v>
      </c>
      <c r="D101" t="s">
        <v>2322</v>
      </c>
      <c r="E101" t="s">
        <v>2582</v>
      </c>
      <c r="F101" t="s">
        <v>2581</v>
      </c>
    </row>
    <row r="102" spans="1:6" hidden="1" x14ac:dyDescent="0.2">
      <c r="A102" t="s">
        <v>2320</v>
      </c>
      <c r="B102" t="s">
        <v>2583</v>
      </c>
      <c r="C102" t="str">
        <f t="shared" si="1"/>
        <v>AntioquiaSANTA BARBARA</v>
      </c>
      <c r="D102" t="s">
        <v>2322</v>
      </c>
      <c r="E102" t="s">
        <v>2693</v>
      </c>
      <c r="F102" t="s">
        <v>2584</v>
      </c>
    </row>
    <row r="103" spans="1:6" hidden="1" x14ac:dyDescent="0.2">
      <c r="A103" t="s">
        <v>2320</v>
      </c>
      <c r="B103" t="s">
        <v>2585</v>
      </c>
      <c r="C103" t="str">
        <f t="shared" si="1"/>
        <v>AntioquiaSANTA ROSA DE OSOS</v>
      </c>
      <c r="D103" t="s">
        <v>2322</v>
      </c>
      <c r="E103" t="s">
        <v>2587</v>
      </c>
      <c r="F103" t="s">
        <v>2586</v>
      </c>
    </row>
    <row r="104" spans="1:6" hidden="1" x14ac:dyDescent="0.2">
      <c r="A104" t="s">
        <v>2320</v>
      </c>
      <c r="B104" t="s">
        <v>2588</v>
      </c>
      <c r="C104" t="str">
        <f t="shared" si="1"/>
        <v>AntioquiaSANTO DOMINGO</v>
      </c>
      <c r="D104" t="s">
        <v>2322</v>
      </c>
      <c r="E104" t="s">
        <v>2590</v>
      </c>
      <c r="F104" t="s">
        <v>2589</v>
      </c>
    </row>
    <row r="105" spans="1:6" hidden="1" x14ac:dyDescent="0.2">
      <c r="A105" t="s">
        <v>2320</v>
      </c>
      <c r="B105" t="s">
        <v>2591</v>
      </c>
      <c r="C105" t="str">
        <f t="shared" si="1"/>
        <v>AntioquiaEL SANTUARIO</v>
      </c>
      <c r="D105" t="s">
        <v>2322</v>
      </c>
      <c r="E105" t="s">
        <v>2593</v>
      </c>
      <c r="F105" t="s">
        <v>2592</v>
      </c>
    </row>
    <row r="106" spans="1:6" hidden="1" x14ac:dyDescent="0.2">
      <c r="A106" t="s">
        <v>2320</v>
      </c>
      <c r="B106" t="s">
        <v>2594</v>
      </c>
      <c r="C106" t="str">
        <f t="shared" si="1"/>
        <v>AntioquiaSEGOVIA</v>
      </c>
      <c r="D106" t="s">
        <v>2322</v>
      </c>
      <c r="E106" t="s">
        <v>2815</v>
      </c>
      <c r="F106" t="s">
        <v>1655</v>
      </c>
    </row>
    <row r="107" spans="1:6" hidden="1" x14ac:dyDescent="0.2">
      <c r="A107" t="s">
        <v>2320</v>
      </c>
      <c r="B107" t="s">
        <v>2595</v>
      </c>
      <c r="C107" t="str">
        <f t="shared" si="1"/>
        <v>AntioquiaSONSON</v>
      </c>
      <c r="D107" t="s">
        <v>2322</v>
      </c>
      <c r="E107" t="s">
        <v>2166</v>
      </c>
      <c r="F107" t="s">
        <v>2596</v>
      </c>
    </row>
    <row r="108" spans="1:6" hidden="1" x14ac:dyDescent="0.2">
      <c r="A108" t="s">
        <v>2320</v>
      </c>
      <c r="B108" t="s">
        <v>2597</v>
      </c>
      <c r="C108" t="str">
        <f t="shared" si="1"/>
        <v>AntioquiaSOPETRAN</v>
      </c>
      <c r="D108" t="s">
        <v>2322</v>
      </c>
      <c r="E108" t="s">
        <v>2599</v>
      </c>
      <c r="F108" t="s">
        <v>2598</v>
      </c>
    </row>
    <row r="109" spans="1:6" hidden="1" x14ac:dyDescent="0.2">
      <c r="A109" t="s">
        <v>2320</v>
      </c>
      <c r="B109" t="s">
        <v>2600</v>
      </c>
      <c r="C109" t="str">
        <f t="shared" si="1"/>
        <v>AntioquiaTAMESIS</v>
      </c>
      <c r="D109" t="s">
        <v>2322</v>
      </c>
      <c r="E109" t="s">
        <v>2740</v>
      </c>
      <c r="F109" t="s">
        <v>2601</v>
      </c>
    </row>
    <row r="110" spans="1:6" hidden="1" x14ac:dyDescent="0.2">
      <c r="A110" t="s">
        <v>2320</v>
      </c>
      <c r="B110" t="s">
        <v>2602</v>
      </c>
      <c r="C110" t="str">
        <f t="shared" si="1"/>
        <v>AntioquiaTARAZA</v>
      </c>
      <c r="D110" t="s">
        <v>2322</v>
      </c>
      <c r="E110" t="s">
        <v>2604</v>
      </c>
      <c r="F110" t="s">
        <v>2603</v>
      </c>
    </row>
    <row r="111" spans="1:6" hidden="1" x14ac:dyDescent="0.2">
      <c r="A111" t="s">
        <v>2320</v>
      </c>
      <c r="B111" t="s">
        <v>2605</v>
      </c>
      <c r="C111" t="str">
        <f t="shared" si="1"/>
        <v>AntioquiaTARSO</v>
      </c>
      <c r="D111" t="s">
        <v>2322</v>
      </c>
      <c r="E111" t="s">
        <v>2607</v>
      </c>
      <c r="F111" t="s">
        <v>2606</v>
      </c>
    </row>
    <row r="112" spans="1:6" hidden="1" x14ac:dyDescent="0.2">
      <c r="A112" t="s">
        <v>2320</v>
      </c>
      <c r="B112" t="s">
        <v>2608</v>
      </c>
      <c r="C112" t="str">
        <f t="shared" si="1"/>
        <v>AntioquiaTITIRIBI</v>
      </c>
      <c r="D112" t="s">
        <v>2322</v>
      </c>
      <c r="E112" t="s">
        <v>2610</v>
      </c>
      <c r="F112" t="s">
        <v>2609</v>
      </c>
    </row>
    <row r="113" spans="1:6" hidden="1" x14ac:dyDescent="0.2">
      <c r="A113" t="s">
        <v>2320</v>
      </c>
      <c r="B113" t="s">
        <v>2611</v>
      </c>
      <c r="C113" t="str">
        <f t="shared" si="1"/>
        <v>AntioquiaTOLEDO</v>
      </c>
      <c r="D113" t="s">
        <v>2322</v>
      </c>
      <c r="E113" t="s">
        <v>2091</v>
      </c>
      <c r="F113" t="s">
        <v>2612</v>
      </c>
    </row>
    <row r="114" spans="1:6" hidden="1" x14ac:dyDescent="0.2">
      <c r="A114" t="s">
        <v>2320</v>
      </c>
      <c r="B114" t="s">
        <v>2613</v>
      </c>
      <c r="C114" t="str">
        <f t="shared" si="1"/>
        <v>AntioquiaTURBO</v>
      </c>
      <c r="D114" t="s">
        <v>2322</v>
      </c>
      <c r="E114" t="s">
        <v>2615</v>
      </c>
      <c r="F114" t="s">
        <v>2614</v>
      </c>
    </row>
    <row r="115" spans="1:6" hidden="1" x14ac:dyDescent="0.2">
      <c r="A115" t="s">
        <v>2320</v>
      </c>
      <c r="B115" t="s">
        <v>2616</v>
      </c>
      <c r="C115" t="str">
        <f t="shared" si="1"/>
        <v>AntioquiaURAMITA</v>
      </c>
      <c r="D115" t="s">
        <v>2322</v>
      </c>
      <c r="E115" t="s">
        <v>2618</v>
      </c>
      <c r="F115" t="s">
        <v>2617</v>
      </c>
    </row>
    <row r="116" spans="1:6" hidden="1" x14ac:dyDescent="0.2">
      <c r="A116" t="s">
        <v>2320</v>
      </c>
      <c r="B116" t="s">
        <v>2619</v>
      </c>
      <c r="C116" t="str">
        <f t="shared" si="1"/>
        <v>AntioquiaURRAO</v>
      </c>
      <c r="D116" t="s">
        <v>2322</v>
      </c>
      <c r="E116" t="s">
        <v>2621</v>
      </c>
      <c r="F116" t="s">
        <v>2620</v>
      </c>
    </row>
    <row r="117" spans="1:6" hidden="1" x14ac:dyDescent="0.2">
      <c r="A117" t="s">
        <v>2320</v>
      </c>
      <c r="B117" t="s">
        <v>2622</v>
      </c>
      <c r="C117" t="str">
        <f t="shared" si="1"/>
        <v>AntioquiaVALDIVIA</v>
      </c>
      <c r="D117" t="s">
        <v>2322</v>
      </c>
      <c r="E117" t="s">
        <v>2696</v>
      </c>
      <c r="F117" t="s">
        <v>2623</v>
      </c>
    </row>
    <row r="118" spans="1:6" hidden="1" x14ac:dyDescent="0.2">
      <c r="A118" t="s">
        <v>2320</v>
      </c>
      <c r="B118" t="s">
        <v>2624</v>
      </c>
      <c r="C118" t="str">
        <f t="shared" si="1"/>
        <v>AntioquiaVALPARAISO</v>
      </c>
      <c r="D118" t="s">
        <v>2322</v>
      </c>
      <c r="E118" t="s">
        <v>2626</v>
      </c>
      <c r="F118" t="s">
        <v>2625</v>
      </c>
    </row>
    <row r="119" spans="1:6" hidden="1" x14ac:dyDescent="0.2">
      <c r="A119" t="s">
        <v>2320</v>
      </c>
      <c r="B119" t="s">
        <v>2627</v>
      </c>
      <c r="C119" t="str">
        <f t="shared" si="1"/>
        <v>AntioquiaVEGACHI</v>
      </c>
      <c r="D119" t="s">
        <v>2322</v>
      </c>
      <c r="E119" t="s">
        <v>2629</v>
      </c>
      <c r="F119" t="s">
        <v>2628</v>
      </c>
    </row>
    <row r="120" spans="1:6" hidden="1" x14ac:dyDescent="0.2">
      <c r="A120" t="s">
        <v>2320</v>
      </c>
      <c r="B120" t="s">
        <v>2630</v>
      </c>
      <c r="C120" t="str">
        <f t="shared" si="1"/>
        <v>AntioquiaVENECIA</v>
      </c>
      <c r="D120" t="s">
        <v>2322</v>
      </c>
      <c r="E120" t="s">
        <v>2126</v>
      </c>
      <c r="F120" t="s">
        <v>2631</v>
      </c>
    </row>
    <row r="121" spans="1:6" hidden="1" x14ac:dyDescent="0.2">
      <c r="A121" t="s">
        <v>2320</v>
      </c>
      <c r="B121" t="s">
        <v>2632</v>
      </c>
      <c r="C121" t="str">
        <f t="shared" si="1"/>
        <v>AntioquiaVIGIA DEL FUERTE</v>
      </c>
      <c r="D121" t="s">
        <v>2322</v>
      </c>
      <c r="E121" t="s">
        <v>2067</v>
      </c>
      <c r="F121" t="s">
        <v>2633</v>
      </c>
    </row>
    <row r="122" spans="1:6" hidden="1" x14ac:dyDescent="0.2">
      <c r="A122" t="s">
        <v>2320</v>
      </c>
      <c r="B122" t="s">
        <v>2634</v>
      </c>
      <c r="C122" t="str">
        <f t="shared" si="1"/>
        <v>AntioquiaYALI</v>
      </c>
      <c r="D122" t="s">
        <v>2322</v>
      </c>
      <c r="E122" t="s">
        <v>2636</v>
      </c>
      <c r="F122" t="s">
        <v>2635</v>
      </c>
    </row>
    <row r="123" spans="1:6" hidden="1" x14ac:dyDescent="0.2">
      <c r="A123" t="s">
        <v>2320</v>
      </c>
      <c r="B123" t="s">
        <v>2637</v>
      </c>
      <c r="C123" t="str">
        <f t="shared" si="1"/>
        <v>AntioquiaYARUMAL</v>
      </c>
      <c r="D123" t="s">
        <v>2322</v>
      </c>
      <c r="E123" t="s">
        <v>2639</v>
      </c>
      <c r="F123" t="s">
        <v>2638</v>
      </c>
    </row>
    <row r="124" spans="1:6" hidden="1" x14ac:dyDescent="0.2">
      <c r="A124" t="s">
        <v>2320</v>
      </c>
      <c r="B124" t="s">
        <v>2640</v>
      </c>
      <c r="C124" t="str">
        <f t="shared" si="1"/>
        <v>AntioquiaYOLOMBO</v>
      </c>
      <c r="D124" t="s">
        <v>2322</v>
      </c>
      <c r="E124" t="s">
        <v>2642</v>
      </c>
      <c r="F124" t="s">
        <v>2641</v>
      </c>
    </row>
    <row r="125" spans="1:6" hidden="1" x14ac:dyDescent="0.2">
      <c r="A125" t="s">
        <v>2320</v>
      </c>
      <c r="B125" t="s">
        <v>2643</v>
      </c>
      <c r="C125" t="str">
        <f t="shared" si="1"/>
        <v>AntioquiaYONDO</v>
      </c>
      <c r="D125" t="s">
        <v>2322</v>
      </c>
      <c r="E125" t="s">
        <v>2645</v>
      </c>
      <c r="F125" t="s">
        <v>2644</v>
      </c>
    </row>
    <row r="126" spans="1:6" hidden="1" x14ac:dyDescent="0.2">
      <c r="A126" t="s">
        <v>2320</v>
      </c>
      <c r="B126" t="s">
        <v>2646</v>
      </c>
      <c r="C126" t="str">
        <f t="shared" si="1"/>
        <v>AntioquiaZARAGOZA</v>
      </c>
      <c r="D126" t="s">
        <v>2322</v>
      </c>
      <c r="E126" t="s">
        <v>2648</v>
      </c>
      <c r="F126" t="s">
        <v>2647</v>
      </c>
    </row>
    <row r="127" spans="1:6" hidden="1" x14ac:dyDescent="0.2">
      <c r="A127" t="s">
        <v>2649</v>
      </c>
      <c r="B127" t="s">
        <v>2321</v>
      </c>
      <c r="C127" t="str">
        <f t="shared" si="1"/>
        <v>AtlanticoBARRANQUILLA</v>
      </c>
      <c r="D127" t="s">
        <v>2650</v>
      </c>
      <c r="E127" t="s">
        <v>2767</v>
      </c>
      <c r="F127" t="s">
        <v>1656</v>
      </c>
    </row>
    <row r="128" spans="1:6" hidden="1" x14ac:dyDescent="0.2">
      <c r="A128" t="s">
        <v>2649</v>
      </c>
      <c r="B128" t="s">
        <v>2651</v>
      </c>
      <c r="C128" t="str">
        <f t="shared" si="1"/>
        <v>AtlanticoBARANOA</v>
      </c>
      <c r="D128" t="s">
        <v>2650</v>
      </c>
      <c r="E128" t="s">
        <v>2653</v>
      </c>
      <c r="F128" t="s">
        <v>2652</v>
      </c>
    </row>
    <row r="129" spans="1:6" hidden="1" x14ac:dyDescent="0.2">
      <c r="A129" t="s">
        <v>2649</v>
      </c>
      <c r="B129" t="s">
        <v>2654</v>
      </c>
      <c r="C129" t="str">
        <f t="shared" si="1"/>
        <v>AtlanticoCAMPO DE LA CRUZ</v>
      </c>
      <c r="D129" t="s">
        <v>2650</v>
      </c>
      <c r="E129" t="s">
        <v>2756</v>
      </c>
      <c r="F129" t="s">
        <v>1399</v>
      </c>
    </row>
    <row r="130" spans="1:6" hidden="1" x14ac:dyDescent="0.2">
      <c r="A130" t="s">
        <v>2649</v>
      </c>
      <c r="B130" t="s">
        <v>1400</v>
      </c>
      <c r="C130" t="str">
        <f t="shared" si="1"/>
        <v>AtlanticoCANDELARIA</v>
      </c>
      <c r="D130" t="s">
        <v>2650</v>
      </c>
      <c r="E130" t="s">
        <v>2757</v>
      </c>
      <c r="F130" t="s">
        <v>1401</v>
      </c>
    </row>
    <row r="131" spans="1:6" hidden="1" x14ac:dyDescent="0.2">
      <c r="A131" t="s">
        <v>2649</v>
      </c>
      <c r="B131" t="s">
        <v>1402</v>
      </c>
      <c r="C131" t="str">
        <f t="shared" ref="C131:C194" si="2">D131&amp;E131</f>
        <v>AtlanticoGALAPA</v>
      </c>
      <c r="D131" t="s">
        <v>2650</v>
      </c>
      <c r="E131" t="s">
        <v>1404</v>
      </c>
      <c r="F131" t="s">
        <v>1403</v>
      </c>
    </row>
    <row r="132" spans="1:6" hidden="1" x14ac:dyDescent="0.2">
      <c r="A132" t="s">
        <v>2649</v>
      </c>
      <c r="B132" t="s">
        <v>1405</v>
      </c>
      <c r="C132" t="str">
        <f t="shared" si="2"/>
        <v>AtlanticoJUAN DE ACOSTA</v>
      </c>
      <c r="D132" t="s">
        <v>2650</v>
      </c>
      <c r="E132" t="s">
        <v>1407</v>
      </c>
      <c r="F132" t="s">
        <v>1406</v>
      </c>
    </row>
    <row r="133" spans="1:6" hidden="1" x14ac:dyDescent="0.2">
      <c r="A133" t="s">
        <v>2649</v>
      </c>
      <c r="B133" t="s">
        <v>1408</v>
      </c>
      <c r="C133" t="str">
        <f t="shared" si="2"/>
        <v>AtlanticoLURUACO</v>
      </c>
      <c r="D133" t="s">
        <v>2650</v>
      </c>
      <c r="E133" t="s">
        <v>1410</v>
      </c>
      <c r="F133" t="s">
        <v>1409</v>
      </c>
    </row>
    <row r="134" spans="1:6" hidden="1" x14ac:dyDescent="0.2">
      <c r="A134" t="s">
        <v>2649</v>
      </c>
      <c r="B134" t="s">
        <v>1411</v>
      </c>
      <c r="C134" t="str">
        <f t="shared" si="2"/>
        <v>AtlanticoMALAMBO</v>
      </c>
      <c r="D134" t="s">
        <v>2650</v>
      </c>
      <c r="E134" t="s">
        <v>1413</v>
      </c>
      <c r="F134" t="s">
        <v>1412</v>
      </c>
    </row>
    <row r="135" spans="1:6" hidden="1" x14ac:dyDescent="0.2">
      <c r="A135" t="s">
        <v>2649</v>
      </c>
      <c r="B135" t="s">
        <v>1414</v>
      </c>
      <c r="C135" t="str">
        <f t="shared" si="2"/>
        <v>AtlanticoMANATI</v>
      </c>
      <c r="D135" t="s">
        <v>2650</v>
      </c>
      <c r="E135" t="s">
        <v>1416</v>
      </c>
      <c r="F135" t="s">
        <v>1415</v>
      </c>
    </row>
    <row r="136" spans="1:6" hidden="1" x14ac:dyDescent="0.2">
      <c r="A136" t="s">
        <v>2649</v>
      </c>
      <c r="B136" t="s">
        <v>1417</v>
      </c>
      <c r="C136" t="str">
        <f t="shared" si="2"/>
        <v>AtlanticoPALMAR DE VARELA</v>
      </c>
      <c r="D136" t="s">
        <v>2650</v>
      </c>
      <c r="E136" t="s">
        <v>1419</v>
      </c>
      <c r="F136" t="s">
        <v>1418</v>
      </c>
    </row>
    <row r="137" spans="1:6" hidden="1" x14ac:dyDescent="0.2">
      <c r="A137" t="s">
        <v>2649</v>
      </c>
      <c r="B137" t="s">
        <v>1420</v>
      </c>
      <c r="C137" t="str">
        <f t="shared" si="2"/>
        <v>AtlanticoPIOJO</v>
      </c>
      <c r="D137" t="s">
        <v>2650</v>
      </c>
      <c r="E137" t="s">
        <v>1348</v>
      </c>
      <c r="F137" t="s">
        <v>1421</v>
      </c>
    </row>
    <row r="138" spans="1:6" hidden="1" x14ac:dyDescent="0.2">
      <c r="A138" t="s">
        <v>2649</v>
      </c>
      <c r="B138" t="s">
        <v>1422</v>
      </c>
      <c r="C138" t="str">
        <f t="shared" si="2"/>
        <v>AtlanticoPOLONUEVO</v>
      </c>
      <c r="D138" t="s">
        <v>2650</v>
      </c>
      <c r="E138" t="s">
        <v>1424</v>
      </c>
      <c r="F138" t="s">
        <v>1423</v>
      </c>
    </row>
    <row r="139" spans="1:6" hidden="1" x14ac:dyDescent="0.2">
      <c r="A139" t="s">
        <v>2649</v>
      </c>
      <c r="B139" t="s">
        <v>1425</v>
      </c>
      <c r="C139" t="str">
        <f t="shared" si="2"/>
        <v>AtlanticoPONEDERA</v>
      </c>
      <c r="D139" t="s">
        <v>2650</v>
      </c>
      <c r="E139" t="s">
        <v>1427</v>
      </c>
      <c r="F139" t="s">
        <v>1426</v>
      </c>
    </row>
    <row r="140" spans="1:6" hidden="1" x14ac:dyDescent="0.2">
      <c r="A140" t="s">
        <v>2649</v>
      </c>
      <c r="B140" t="s">
        <v>1428</v>
      </c>
      <c r="C140" t="str">
        <f t="shared" si="2"/>
        <v>AtlanticoPUERTO COLOMBIA</v>
      </c>
      <c r="D140" t="s">
        <v>2650</v>
      </c>
      <c r="E140" t="s">
        <v>1430</v>
      </c>
      <c r="F140" t="s">
        <v>1429</v>
      </c>
    </row>
    <row r="141" spans="1:6" hidden="1" x14ac:dyDescent="0.2">
      <c r="A141" t="s">
        <v>2649</v>
      </c>
      <c r="B141" t="s">
        <v>1431</v>
      </c>
      <c r="C141" t="str">
        <f t="shared" si="2"/>
        <v>AtlanticoREPELON</v>
      </c>
      <c r="D141" t="s">
        <v>2650</v>
      </c>
      <c r="E141" t="s">
        <v>490</v>
      </c>
      <c r="F141" t="s">
        <v>1657</v>
      </c>
    </row>
    <row r="142" spans="1:6" hidden="1" x14ac:dyDescent="0.2">
      <c r="A142" t="s">
        <v>2649</v>
      </c>
      <c r="B142" t="s">
        <v>1432</v>
      </c>
      <c r="C142" t="str">
        <f t="shared" si="2"/>
        <v>AtlanticoSABANAGRANDE</v>
      </c>
      <c r="D142" t="s">
        <v>2650</v>
      </c>
      <c r="E142" t="s">
        <v>1434</v>
      </c>
      <c r="F142" t="s">
        <v>1433</v>
      </c>
    </row>
    <row r="143" spans="1:6" hidden="1" x14ac:dyDescent="0.2">
      <c r="A143" t="s">
        <v>2649</v>
      </c>
      <c r="B143" t="s">
        <v>1435</v>
      </c>
      <c r="C143" t="str">
        <f t="shared" si="2"/>
        <v>AtlanticoSABANALARGA</v>
      </c>
      <c r="D143" t="s">
        <v>2650</v>
      </c>
      <c r="E143" t="s">
        <v>2547</v>
      </c>
      <c r="F143" t="s">
        <v>1436</v>
      </c>
    </row>
    <row r="144" spans="1:6" hidden="1" x14ac:dyDescent="0.2">
      <c r="A144" t="s">
        <v>2649</v>
      </c>
      <c r="B144" t="s">
        <v>1437</v>
      </c>
      <c r="C144" t="str">
        <f t="shared" si="2"/>
        <v>AtlanticoSANTA LUCIA</v>
      </c>
      <c r="D144" t="s">
        <v>2650</v>
      </c>
      <c r="E144" t="s">
        <v>1439</v>
      </c>
      <c r="F144" t="s">
        <v>1438</v>
      </c>
    </row>
    <row r="145" spans="1:6" hidden="1" x14ac:dyDescent="0.2">
      <c r="A145" t="s">
        <v>2649</v>
      </c>
      <c r="B145" t="s">
        <v>1440</v>
      </c>
      <c r="C145" t="str">
        <f t="shared" si="2"/>
        <v>AtlanticoSANTO TOMAS</v>
      </c>
      <c r="D145" t="s">
        <v>2650</v>
      </c>
      <c r="E145" t="s">
        <v>1442</v>
      </c>
      <c r="F145" t="s">
        <v>1441</v>
      </c>
    </row>
    <row r="146" spans="1:6" hidden="1" x14ac:dyDescent="0.2">
      <c r="A146" t="s">
        <v>2649</v>
      </c>
      <c r="B146" t="s">
        <v>1443</v>
      </c>
      <c r="C146" t="str">
        <f t="shared" si="2"/>
        <v>AtlanticoSOLEDAD</v>
      </c>
      <c r="D146" t="s">
        <v>2650</v>
      </c>
      <c r="E146" t="s">
        <v>2680</v>
      </c>
      <c r="F146" t="s">
        <v>1444</v>
      </c>
    </row>
    <row r="147" spans="1:6" hidden="1" x14ac:dyDescent="0.2">
      <c r="A147" t="s">
        <v>2649</v>
      </c>
      <c r="B147" t="s">
        <v>1445</v>
      </c>
      <c r="C147" t="str">
        <f t="shared" si="2"/>
        <v>AtlanticoSUAN</v>
      </c>
      <c r="D147" t="s">
        <v>2650</v>
      </c>
      <c r="E147" t="s">
        <v>1447</v>
      </c>
      <c r="F147" t="s">
        <v>1446</v>
      </c>
    </row>
    <row r="148" spans="1:6" hidden="1" x14ac:dyDescent="0.2">
      <c r="A148" t="s">
        <v>2649</v>
      </c>
      <c r="B148" t="s">
        <v>1448</v>
      </c>
      <c r="C148" t="str">
        <f t="shared" si="2"/>
        <v>AtlanticoTUBARA</v>
      </c>
      <c r="D148" t="s">
        <v>2650</v>
      </c>
      <c r="E148" t="s">
        <v>1450</v>
      </c>
      <c r="F148" t="s">
        <v>1449</v>
      </c>
    </row>
    <row r="149" spans="1:6" hidden="1" x14ac:dyDescent="0.2">
      <c r="A149" t="s">
        <v>2649</v>
      </c>
      <c r="B149" t="s">
        <v>1451</v>
      </c>
      <c r="C149" t="str">
        <f t="shared" si="2"/>
        <v>AtlanticoUSIACURI</v>
      </c>
      <c r="D149" t="s">
        <v>2650</v>
      </c>
      <c r="E149" t="s">
        <v>1453</v>
      </c>
      <c r="F149" t="s">
        <v>1452</v>
      </c>
    </row>
    <row r="150" spans="1:6" hidden="1" x14ac:dyDescent="0.2">
      <c r="A150" t="s">
        <v>1454</v>
      </c>
      <c r="B150" t="s">
        <v>2321</v>
      </c>
      <c r="C150" t="str">
        <f t="shared" si="2"/>
        <v>BOGOTA, D.C.BOGOTA, D.C.</v>
      </c>
      <c r="D150" s="109" t="s">
        <v>529</v>
      </c>
      <c r="E150" s="109" t="s">
        <v>529</v>
      </c>
      <c r="F150" t="s">
        <v>1658</v>
      </c>
    </row>
    <row r="151" spans="1:6" x14ac:dyDescent="0.2">
      <c r="A151" t="s">
        <v>1455</v>
      </c>
      <c r="B151" t="s">
        <v>2321</v>
      </c>
      <c r="C151" t="str">
        <f t="shared" si="2"/>
        <v>BolivarCARTAGENA</v>
      </c>
      <c r="D151" t="s">
        <v>1457</v>
      </c>
      <c r="E151" t="s">
        <v>2783</v>
      </c>
      <c r="F151" t="s">
        <v>1456</v>
      </c>
    </row>
    <row r="152" spans="1:6" x14ac:dyDescent="0.2">
      <c r="A152" t="s">
        <v>1455</v>
      </c>
      <c r="B152" t="s">
        <v>1458</v>
      </c>
      <c r="C152" t="str">
        <f t="shared" si="2"/>
        <v>BolivarACHI</v>
      </c>
      <c r="D152" t="s">
        <v>1457</v>
      </c>
      <c r="E152" t="s">
        <v>1460</v>
      </c>
      <c r="F152" t="s">
        <v>1459</v>
      </c>
    </row>
    <row r="153" spans="1:6" x14ac:dyDescent="0.2">
      <c r="A153" t="s">
        <v>1455</v>
      </c>
      <c r="B153" t="s">
        <v>2332</v>
      </c>
      <c r="C153" t="str">
        <f t="shared" si="2"/>
        <v>BolivarALTOS DEL ROSARIO</v>
      </c>
      <c r="D153" t="s">
        <v>1457</v>
      </c>
      <c r="E153" t="s">
        <v>2049</v>
      </c>
      <c r="F153" t="s">
        <v>1461</v>
      </c>
    </row>
    <row r="154" spans="1:6" x14ac:dyDescent="0.2">
      <c r="A154" t="s">
        <v>1455</v>
      </c>
      <c r="B154" t="s">
        <v>2347</v>
      </c>
      <c r="C154" t="str">
        <f t="shared" si="2"/>
        <v>BolivarARENAL</v>
      </c>
      <c r="D154" t="s">
        <v>1457</v>
      </c>
      <c r="E154" t="s">
        <v>1463</v>
      </c>
      <c r="F154" t="s">
        <v>1462</v>
      </c>
    </row>
    <row r="155" spans="1:6" x14ac:dyDescent="0.2">
      <c r="A155" t="s">
        <v>1455</v>
      </c>
      <c r="B155" t="s">
        <v>1464</v>
      </c>
      <c r="C155" t="str">
        <f t="shared" si="2"/>
        <v>BolivarARJONA</v>
      </c>
      <c r="D155" t="s">
        <v>1457</v>
      </c>
      <c r="E155" t="s">
        <v>2170</v>
      </c>
      <c r="F155" t="s">
        <v>1465</v>
      </c>
    </row>
    <row r="156" spans="1:6" x14ac:dyDescent="0.2">
      <c r="A156" t="s">
        <v>1455</v>
      </c>
      <c r="B156" t="s">
        <v>1466</v>
      </c>
      <c r="C156" t="str">
        <f t="shared" si="2"/>
        <v>BolivarARROYOHONDO</v>
      </c>
      <c r="D156" t="s">
        <v>1457</v>
      </c>
      <c r="E156" t="s">
        <v>1468</v>
      </c>
      <c r="F156" t="s">
        <v>1467</v>
      </c>
    </row>
    <row r="157" spans="1:6" x14ac:dyDescent="0.2">
      <c r="A157" t="s">
        <v>1455</v>
      </c>
      <c r="B157" t="s">
        <v>1469</v>
      </c>
      <c r="C157" t="str">
        <f t="shared" si="2"/>
        <v>BolivarBARRANCO DE LOBA</v>
      </c>
      <c r="D157" t="s">
        <v>1457</v>
      </c>
      <c r="E157" t="s">
        <v>2762</v>
      </c>
      <c r="F157" t="s">
        <v>1470</v>
      </c>
    </row>
    <row r="158" spans="1:6" x14ac:dyDescent="0.2">
      <c r="A158" t="s">
        <v>1455</v>
      </c>
      <c r="B158" t="s">
        <v>1471</v>
      </c>
      <c r="C158" t="str">
        <f t="shared" si="2"/>
        <v>BolivarCALAMAR</v>
      </c>
      <c r="D158" t="s">
        <v>1457</v>
      </c>
      <c r="E158" t="s">
        <v>1473</v>
      </c>
      <c r="F158" t="s">
        <v>1472</v>
      </c>
    </row>
    <row r="159" spans="1:6" x14ac:dyDescent="0.2">
      <c r="A159" t="s">
        <v>1455</v>
      </c>
      <c r="B159" t="s">
        <v>1474</v>
      </c>
      <c r="C159" t="str">
        <f t="shared" si="2"/>
        <v>BolivarCANTAGALLO</v>
      </c>
      <c r="D159" t="s">
        <v>1457</v>
      </c>
      <c r="E159" t="s">
        <v>2781</v>
      </c>
      <c r="F159" t="s">
        <v>1475</v>
      </c>
    </row>
    <row r="160" spans="1:6" x14ac:dyDescent="0.2">
      <c r="A160" t="s">
        <v>1455</v>
      </c>
      <c r="B160" t="s">
        <v>1476</v>
      </c>
      <c r="C160" t="str">
        <f t="shared" si="2"/>
        <v>BolivarCICUCO</v>
      </c>
      <c r="D160" t="s">
        <v>1457</v>
      </c>
      <c r="E160" t="s">
        <v>2761</v>
      </c>
      <c r="F160" t="s">
        <v>1477</v>
      </c>
    </row>
    <row r="161" spans="1:6" x14ac:dyDescent="0.2">
      <c r="A161" t="s">
        <v>1455</v>
      </c>
      <c r="B161" t="s">
        <v>2428</v>
      </c>
      <c r="C161" t="str">
        <f t="shared" si="2"/>
        <v>BolivarCORDOBA</v>
      </c>
      <c r="D161" t="s">
        <v>1457</v>
      </c>
      <c r="E161" t="s">
        <v>2718</v>
      </c>
      <c r="F161" t="s">
        <v>1478</v>
      </c>
    </row>
    <row r="162" spans="1:6" x14ac:dyDescent="0.2">
      <c r="A162" t="s">
        <v>1455</v>
      </c>
      <c r="B162" t="s">
        <v>1479</v>
      </c>
      <c r="C162" t="str">
        <f t="shared" si="2"/>
        <v>BolivarCLEMENCIA</v>
      </c>
      <c r="D162" t="s">
        <v>1457</v>
      </c>
      <c r="E162" t="s">
        <v>1481</v>
      </c>
      <c r="F162" t="s">
        <v>1480</v>
      </c>
    </row>
    <row r="163" spans="1:6" x14ac:dyDescent="0.2">
      <c r="A163" t="s">
        <v>1455</v>
      </c>
      <c r="B163" t="s">
        <v>1482</v>
      </c>
      <c r="C163" t="str">
        <f t="shared" si="2"/>
        <v>BolivarEL CARMEN DE BOLIVAR</v>
      </c>
      <c r="D163" t="s">
        <v>1457</v>
      </c>
      <c r="E163" t="s">
        <v>1484</v>
      </c>
      <c r="F163" t="s">
        <v>1483</v>
      </c>
    </row>
    <row r="164" spans="1:6" x14ac:dyDescent="0.2">
      <c r="A164" t="s">
        <v>1455</v>
      </c>
      <c r="B164" t="s">
        <v>1485</v>
      </c>
      <c r="C164" t="str">
        <f t="shared" si="2"/>
        <v>BolivarEL GUAMO</v>
      </c>
      <c r="D164" t="s">
        <v>1457</v>
      </c>
      <c r="E164" t="s">
        <v>1487</v>
      </c>
      <c r="F164" t="s">
        <v>1486</v>
      </c>
    </row>
    <row r="165" spans="1:6" x14ac:dyDescent="0.2">
      <c r="A165" t="s">
        <v>1455</v>
      </c>
      <c r="B165" t="s">
        <v>1488</v>
      </c>
      <c r="C165" t="str">
        <f t="shared" si="2"/>
        <v>BolivarEL PEÑON</v>
      </c>
      <c r="D165" t="s">
        <v>1457</v>
      </c>
      <c r="E165" t="s">
        <v>2742</v>
      </c>
      <c r="F165" t="s">
        <v>1489</v>
      </c>
    </row>
    <row r="166" spans="1:6" x14ac:dyDescent="0.2">
      <c r="A166" t="s">
        <v>1455</v>
      </c>
      <c r="B166" t="s">
        <v>1490</v>
      </c>
      <c r="C166" t="str">
        <f t="shared" si="2"/>
        <v>BolivarHATILLO DE LOBA</v>
      </c>
      <c r="D166" t="s">
        <v>1457</v>
      </c>
      <c r="E166" t="s">
        <v>2687</v>
      </c>
      <c r="F166" t="s">
        <v>1491</v>
      </c>
    </row>
    <row r="167" spans="1:6" x14ac:dyDescent="0.2">
      <c r="A167" t="s">
        <v>1455</v>
      </c>
      <c r="B167" t="s">
        <v>1492</v>
      </c>
      <c r="C167" t="str">
        <f t="shared" si="2"/>
        <v>BolivarMAGANGUE</v>
      </c>
      <c r="D167" t="s">
        <v>1457</v>
      </c>
      <c r="E167" t="s">
        <v>2760</v>
      </c>
      <c r="F167" t="s">
        <v>1659</v>
      </c>
    </row>
    <row r="168" spans="1:6" x14ac:dyDescent="0.2">
      <c r="A168" t="s">
        <v>1455</v>
      </c>
      <c r="B168" t="s">
        <v>1411</v>
      </c>
      <c r="C168" t="str">
        <f t="shared" si="2"/>
        <v>BolivarMAHATES</v>
      </c>
      <c r="D168" t="s">
        <v>1457</v>
      </c>
      <c r="E168" t="s">
        <v>1494</v>
      </c>
      <c r="F168" t="s">
        <v>1493</v>
      </c>
    </row>
    <row r="169" spans="1:6" x14ac:dyDescent="0.2">
      <c r="A169" t="s">
        <v>1455</v>
      </c>
      <c r="B169" t="s">
        <v>2500</v>
      </c>
      <c r="C169" t="str">
        <f t="shared" si="2"/>
        <v>BolivarMARGARITA</v>
      </c>
      <c r="D169" t="s">
        <v>1457</v>
      </c>
      <c r="E169" t="s">
        <v>2748</v>
      </c>
      <c r="F169" t="s">
        <v>1495</v>
      </c>
    </row>
    <row r="170" spans="1:6" x14ac:dyDescent="0.2">
      <c r="A170" t="s">
        <v>1455</v>
      </c>
      <c r="B170" t="s">
        <v>1496</v>
      </c>
      <c r="C170" t="str">
        <f t="shared" si="2"/>
        <v>BolivarMARIA LA BAJA</v>
      </c>
      <c r="D170" t="s">
        <v>1457</v>
      </c>
      <c r="E170" t="s">
        <v>2759</v>
      </c>
      <c r="F170" t="s">
        <v>1497</v>
      </c>
    </row>
    <row r="171" spans="1:6" x14ac:dyDescent="0.2">
      <c r="A171" t="s">
        <v>1455</v>
      </c>
      <c r="B171" t="s">
        <v>1498</v>
      </c>
      <c r="C171" t="str">
        <f t="shared" si="2"/>
        <v>BolivarMONTECRISTO</v>
      </c>
      <c r="D171" t="s">
        <v>1457</v>
      </c>
      <c r="E171" t="s">
        <v>1500</v>
      </c>
      <c r="F171" t="s">
        <v>1499</v>
      </c>
    </row>
    <row r="172" spans="1:6" x14ac:dyDescent="0.2">
      <c r="A172" t="s">
        <v>1455</v>
      </c>
      <c r="B172" t="s">
        <v>1501</v>
      </c>
      <c r="C172" t="str">
        <f t="shared" si="2"/>
        <v>BolivarMOMPOS</v>
      </c>
      <c r="D172" t="s">
        <v>1457</v>
      </c>
      <c r="E172" t="s">
        <v>2008</v>
      </c>
      <c r="F172" t="s">
        <v>1502</v>
      </c>
    </row>
    <row r="173" spans="1:6" x14ac:dyDescent="0.2">
      <c r="A173" t="s">
        <v>1455</v>
      </c>
      <c r="B173" t="s">
        <v>1503</v>
      </c>
      <c r="C173" t="str">
        <f t="shared" si="2"/>
        <v>BolivarMORALES</v>
      </c>
      <c r="D173" t="s">
        <v>1457</v>
      </c>
      <c r="E173" t="s">
        <v>2738</v>
      </c>
      <c r="F173" t="s">
        <v>1504</v>
      </c>
    </row>
    <row r="174" spans="1:6" x14ac:dyDescent="0.2">
      <c r="A174" t="s">
        <v>1455</v>
      </c>
      <c r="B174" t="s">
        <v>2514</v>
      </c>
      <c r="C174" t="str">
        <f t="shared" si="2"/>
        <v>BolivarNOROSI</v>
      </c>
      <c r="D174" t="s">
        <v>1457</v>
      </c>
      <c r="E174" t="s">
        <v>1506</v>
      </c>
      <c r="F174" t="s">
        <v>1505</v>
      </c>
    </row>
    <row r="175" spans="1:6" x14ac:dyDescent="0.2">
      <c r="A175" t="s">
        <v>1455</v>
      </c>
      <c r="B175" t="s">
        <v>1420</v>
      </c>
      <c r="C175" t="str">
        <f t="shared" si="2"/>
        <v>BolivarPINILLOS</v>
      </c>
      <c r="D175" t="s">
        <v>1457</v>
      </c>
      <c r="E175" t="s">
        <v>2750</v>
      </c>
      <c r="F175" t="s">
        <v>1660</v>
      </c>
    </row>
    <row r="176" spans="1:6" x14ac:dyDescent="0.2">
      <c r="A176" t="s">
        <v>1455</v>
      </c>
      <c r="B176" t="s">
        <v>1507</v>
      </c>
      <c r="C176" t="str">
        <f t="shared" si="2"/>
        <v>BolivarREGIDOR</v>
      </c>
      <c r="D176" t="s">
        <v>1457</v>
      </c>
      <c r="E176" t="s">
        <v>2205</v>
      </c>
      <c r="F176" t="s">
        <v>1508</v>
      </c>
    </row>
    <row r="177" spans="1:6" x14ac:dyDescent="0.2">
      <c r="A177" t="s">
        <v>1455</v>
      </c>
      <c r="B177" t="s">
        <v>1509</v>
      </c>
      <c r="C177" t="str">
        <f t="shared" si="2"/>
        <v>BolivarRIO VIEJO</v>
      </c>
      <c r="D177" t="s">
        <v>1457</v>
      </c>
      <c r="E177" t="s">
        <v>2009</v>
      </c>
      <c r="F177" t="s">
        <v>1510</v>
      </c>
    </row>
    <row r="178" spans="1:6" x14ac:dyDescent="0.2">
      <c r="A178" t="s">
        <v>1455</v>
      </c>
      <c r="B178" t="s">
        <v>1511</v>
      </c>
      <c r="C178" t="str">
        <f t="shared" si="2"/>
        <v>BolivarSAN CRISTOBAL</v>
      </c>
      <c r="D178" t="s">
        <v>1457</v>
      </c>
      <c r="E178" t="s">
        <v>1513</v>
      </c>
      <c r="F178" t="s">
        <v>1512</v>
      </c>
    </row>
    <row r="179" spans="1:6" x14ac:dyDescent="0.2">
      <c r="A179" t="s">
        <v>1455</v>
      </c>
      <c r="B179" t="s">
        <v>2553</v>
      </c>
      <c r="C179" t="str">
        <f t="shared" si="2"/>
        <v>BolivarSAN ESTANISLAO</v>
      </c>
      <c r="D179" t="s">
        <v>1457</v>
      </c>
      <c r="E179" t="s">
        <v>1515</v>
      </c>
      <c r="F179" t="s">
        <v>1514</v>
      </c>
    </row>
    <row r="180" spans="1:6" x14ac:dyDescent="0.2">
      <c r="A180" t="s">
        <v>1455</v>
      </c>
      <c r="B180" t="s">
        <v>1516</v>
      </c>
      <c r="C180" t="str">
        <f t="shared" si="2"/>
        <v>BolivarSAN FERNANDO</v>
      </c>
      <c r="D180" t="s">
        <v>1457</v>
      </c>
      <c r="E180" t="s">
        <v>2743</v>
      </c>
      <c r="F180" t="s">
        <v>1517</v>
      </c>
    </row>
    <row r="181" spans="1:6" x14ac:dyDescent="0.2">
      <c r="A181" t="s">
        <v>1455</v>
      </c>
      <c r="B181" t="s">
        <v>1518</v>
      </c>
      <c r="C181" t="str">
        <f t="shared" si="2"/>
        <v>BolivarSAN JACINTO</v>
      </c>
      <c r="D181" t="s">
        <v>1457</v>
      </c>
      <c r="E181" t="s">
        <v>1520</v>
      </c>
      <c r="F181" t="s">
        <v>1519</v>
      </c>
    </row>
    <row r="182" spans="1:6" x14ac:dyDescent="0.2">
      <c r="A182" t="s">
        <v>1455</v>
      </c>
      <c r="B182" t="s">
        <v>1521</v>
      </c>
      <c r="C182" t="str">
        <f t="shared" si="2"/>
        <v>BolivarSAN JACINTO DEL CAUCA</v>
      </c>
      <c r="D182" t="s">
        <v>1457</v>
      </c>
      <c r="E182" t="s">
        <v>1523</v>
      </c>
      <c r="F182" t="s">
        <v>1522</v>
      </c>
    </row>
    <row r="183" spans="1:6" x14ac:dyDescent="0.2">
      <c r="A183" t="s">
        <v>1455</v>
      </c>
      <c r="B183" t="s">
        <v>1524</v>
      </c>
      <c r="C183" t="str">
        <f t="shared" si="2"/>
        <v>BolivarSAN JUAN NEPOMUCENO</v>
      </c>
      <c r="D183" t="s">
        <v>1457</v>
      </c>
      <c r="E183" t="s">
        <v>1355</v>
      </c>
      <c r="F183" t="s">
        <v>1661</v>
      </c>
    </row>
    <row r="184" spans="1:6" x14ac:dyDescent="0.2">
      <c r="A184" t="s">
        <v>1455</v>
      </c>
      <c r="B184" t="s">
        <v>2575</v>
      </c>
      <c r="C184" t="str">
        <f t="shared" si="2"/>
        <v>BolivarSAN MARTIN DE LOBA</v>
      </c>
      <c r="D184" t="s">
        <v>1457</v>
      </c>
      <c r="E184" t="s">
        <v>1526</v>
      </c>
      <c r="F184" t="s">
        <v>1525</v>
      </c>
    </row>
    <row r="185" spans="1:6" x14ac:dyDescent="0.2">
      <c r="A185" t="s">
        <v>1455</v>
      </c>
      <c r="B185" t="s">
        <v>2578</v>
      </c>
      <c r="C185" t="str">
        <f t="shared" si="2"/>
        <v>BolivarSAN PABLO</v>
      </c>
      <c r="D185" t="s">
        <v>1457</v>
      </c>
      <c r="E185" t="s">
        <v>2787</v>
      </c>
      <c r="F185" t="s">
        <v>1527</v>
      </c>
    </row>
    <row r="186" spans="1:6" x14ac:dyDescent="0.2">
      <c r="A186" t="s">
        <v>1455</v>
      </c>
      <c r="B186" t="s">
        <v>1528</v>
      </c>
      <c r="C186" t="str">
        <f t="shared" si="2"/>
        <v>BolivarSANTA CATALINA</v>
      </c>
      <c r="D186" t="s">
        <v>1457</v>
      </c>
      <c r="E186" t="s">
        <v>1530</v>
      </c>
      <c r="F186" t="s">
        <v>1529</v>
      </c>
    </row>
    <row r="187" spans="1:6" x14ac:dyDescent="0.2">
      <c r="A187" t="s">
        <v>1455</v>
      </c>
      <c r="B187" t="s">
        <v>1531</v>
      </c>
      <c r="C187" t="str">
        <f t="shared" si="2"/>
        <v>BolivarSANTA ROSA</v>
      </c>
      <c r="D187" t="s">
        <v>1457</v>
      </c>
      <c r="E187" t="s">
        <v>2678</v>
      </c>
      <c r="F187" t="s">
        <v>1532</v>
      </c>
    </row>
    <row r="188" spans="1:6" x14ac:dyDescent="0.2">
      <c r="A188" t="s">
        <v>1455</v>
      </c>
      <c r="B188" t="s">
        <v>1533</v>
      </c>
      <c r="C188" t="str">
        <f t="shared" si="2"/>
        <v>BolivarSANTA ROSA DEL SUR</v>
      </c>
      <c r="D188" t="s">
        <v>1457</v>
      </c>
      <c r="E188" t="s">
        <v>1535</v>
      </c>
      <c r="F188" t="s">
        <v>1534</v>
      </c>
    </row>
    <row r="189" spans="1:6" x14ac:dyDescent="0.2">
      <c r="A189" t="s">
        <v>1455</v>
      </c>
      <c r="B189" t="s">
        <v>1536</v>
      </c>
      <c r="C189" t="str">
        <f t="shared" si="2"/>
        <v>BolivarSIMITI</v>
      </c>
      <c r="D189" t="s">
        <v>1457</v>
      </c>
      <c r="E189" t="s">
        <v>2206</v>
      </c>
      <c r="F189" t="s">
        <v>1537</v>
      </c>
    </row>
    <row r="190" spans="1:6" x14ac:dyDescent="0.2">
      <c r="A190" t="s">
        <v>1455</v>
      </c>
      <c r="B190" t="s">
        <v>1538</v>
      </c>
      <c r="C190" t="str">
        <f t="shared" si="2"/>
        <v>BolivarSOPLAVIENTO</v>
      </c>
      <c r="D190" t="s">
        <v>1457</v>
      </c>
      <c r="E190" t="s">
        <v>1540</v>
      </c>
      <c r="F190" t="s">
        <v>1539</v>
      </c>
    </row>
    <row r="191" spans="1:6" x14ac:dyDescent="0.2">
      <c r="A191" t="s">
        <v>1455</v>
      </c>
      <c r="B191" t="s">
        <v>1541</v>
      </c>
      <c r="C191" t="str">
        <f t="shared" si="2"/>
        <v>BolivarTALAIGUA NUEVO</v>
      </c>
      <c r="D191" t="s">
        <v>1457</v>
      </c>
      <c r="E191" t="s">
        <v>1543</v>
      </c>
      <c r="F191" t="s">
        <v>1542</v>
      </c>
    </row>
    <row r="192" spans="1:6" x14ac:dyDescent="0.2">
      <c r="A192" t="s">
        <v>1455</v>
      </c>
      <c r="B192" t="s">
        <v>1544</v>
      </c>
      <c r="C192" t="str">
        <f t="shared" si="2"/>
        <v>BolivarTIQUISIO</v>
      </c>
      <c r="D192" t="s">
        <v>1457</v>
      </c>
      <c r="E192" t="s">
        <v>1546</v>
      </c>
      <c r="F192" t="s">
        <v>1545</v>
      </c>
    </row>
    <row r="193" spans="1:6" x14ac:dyDescent="0.2">
      <c r="A193" t="s">
        <v>1455</v>
      </c>
      <c r="B193" t="s">
        <v>1547</v>
      </c>
      <c r="C193" t="str">
        <f t="shared" si="2"/>
        <v>BolivarTURBACO</v>
      </c>
      <c r="D193" t="s">
        <v>1457</v>
      </c>
      <c r="E193" t="s">
        <v>1549</v>
      </c>
      <c r="F193" t="s">
        <v>1548</v>
      </c>
    </row>
    <row r="194" spans="1:6" x14ac:dyDescent="0.2">
      <c r="A194" t="s">
        <v>1455</v>
      </c>
      <c r="B194" t="s">
        <v>1550</v>
      </c>
      <c r="C194" t="str">
        <f t="shared" si="2"/>
        <v>BolivarTURBANA</v>
      </c>
      <c r="D194" t="s">
        <v>1457</v>
      </c>
      <c r="E194" t="s">
        <v>1552</v>
      </c>
      <c r="F194" t="s">
        <v>1551</v>
      </c>
    </row>
    <row r="195" spans="1:6" x14ac:dyDescent="0.2">
      <c r="A195" t="s">
        <v>1455</v>
      </c>
      <c r="B195" t="s">
        <v>2632</v>
      </c>
      <c r="C195" t="str">
        <f t="shared" ref="C195:C258" si="3">D195&amp;E195</f>
        <v>BolivarVILLANUEVA</v>
      </c>
      <c r="D195" t="s">
        <v>1457</v>
      </c>
      <c r="E195" t="s">
        <v>2758</v>
      </c>
      <c r="F195" t="s">
        <v>1553</v>
      </c>
    </row>
    <row r="196" spans="1:6" x14ac:dyDescent="0.2">
      <c r="A196" t="s">
        <v>1455</v>
      </c>
      <c r="B196" t="s">
        <v>1554</v>
      </c>
      <c r="C196" t="str">
        <f t="shared" si="3"/>
        <v>BolivarZAMBRANO</v>
      </c>
      <c r="D196" t="s">
        <v>1457</v>
      </c>
      <c r="E196" t="s">
        <v>1556</v>
      </c>
      <c r="F196" t="s">
        <v>1555</v>
      </c>
    </row>
    <row r="197" spans="1:6" hidden="1" x14ac:dyDescent="0.2">
      <c r="A197" t="s">
        <v>1557</v>
      </c>
      <c r="B197" t="s">
        <v>2321</v>
      </c>
      <c r="C197" t="str">
        <f t="shared" si="3"/>
        <v>BOYACATUNJA</v>
      </c>
      <c r="D197" t="s">
        <v>2700</v>
      </c>
      <c r="E197" t="s">
        <v>2671</v>
      </c>
      <c r="F197" t="s">
        <v>1558</v>
      </c>
    </row>
    <row r="198" spans="1:6" hidden="1" x14ac:dyDescent="0.2">
      <c r="A198" t="s">
        <v>1557</v>
      </c>
      <c r="B198" t="s">
        <v>1559</v>
      </c>
      <c r="C198" t="str">
        <f t="shared" si="3"/>
        <v>BOYACAALMEIDA</v>
      </c>
      <c r="D198" t="s">
        <v>2700</v>
      </c>
      <c r="E198" t="s">
        <v>1561</v>
      </c>
      <c r="F198" t="s">
        <v>1560</v>
      </c>
    </row>
    <row r="199" spans="1:6" hidden="1" x14ac:dyDescent="0.2">
      <c r="A199" t="s">
        <v>1557</v>
      </c>
      <c r="B199" t="s">
        <v>1562</v>
      </c>
      <c r="C199" t="str">
        <f t="shared" si="3"/>
        <v>BOYACAAQUITANIA</v>
      </c>
      <c r="D199" t="s">
        <v>2700</v>
      </c>
      <c r="E199" t="s">
        <v>1564</v>
      </c>
      <c r="F199" t="s">
        <v>1563</v>
      </c>
    </row>
    <row r="200" spans="1:6" hidden="1" x14ac:dyDescent="0.2">
      <c r="A200" t="s">
        <v>1557</v>
      </c>
      <c r="B200" t="s">
        <v>2356</v>
      </c>
      <c r="C200" t="str">
        <f t="shared" si="3"/>
        <v>BOYACAARCABUCO</v>
      </c>
      <c r="D200" t="s">
        <v>2700</v>
      </c>
      <c r="E200" t="s">
        <v>1566</v>
      </c>
      <c r="F200" t="s">
        <v>1565</v>
      </c>
    </row>
    <row r="201" spans="1:6" hidden="1" x14ac:dyDescent="0.2">
      <c r="A201" t="s">
        <v>1557</v>
      </c>
      <c r="B201" t="s">
        <v>1567</v>
      </c>
      <c r="C201" t="str">
        <f t="shared" si="3"/>
        <v>BOYACABELEN</v>
      </c>
      <c r="D201" t="s">
        <v>2700</v>
      </c>
      <c r="E201" t="s">
        <v>1362</v>
      </c>
      <c r="F201" t="s">
        <v>1568</v>
      </c>
    </row>
    <row r="202" spans="1:6" hidden="1" x14ac:dyDescent="0.2">
      <c r="A202" t="s">
        <v>1557</v>
      </c>
      <c r="B202" t="s">
        <v>1569</v>
      </c>
      <c r="C202" t="str">
        <f t="shared" si="3"/>
        <v>BOYACABERBEO</v>
      </c>
      <c r="D202" t="s">
        <v>2700</v>
      </c>
      <c r="E202" t="s">
        <v>1571</v>
      </c>
      <c r="F202" t="s">
        <v>1570</v>
      </c>
    </row>
    <row r="203" spans="1:6" hidden="1" x14ac:dyDescent="0.2">
      <c r="A203" t="s">
        <v>1557</v>
      </c>
      <c r="B203" t="s">
        <v>1572</v>
      </c>
      <c r="C203" t="str">
        <f t="shared" si="3"/>
        <v>BOYACABETEITIVA</v>
      </c>
      <c r="D203" t="s">
        <v>2700</v>
      </c>
      <c r="E203" t="s">
        <v>1574</v>
      </c>
      <c r="F203" t="s">
        <v>1573</v>
      </c>
    </row>
    <row r="204" spans="1:6" hidden="1" x14ac:dyDescent="0.2">
      <c r="A204" t="s">
        <v>1557</v>
      </c>
      <c r="B204" t="s">
        <v>1575</v>
      </c>
      <c r="C204" t="str">
        <f t="shared" si="3"/>
        <v>BOYACABOAVITA</v>
      </c>
      <c r="D204" t="s">
        <v>2700</v>
      </c>
      <c r="E204" t="s">
        <v>9</v>
      </c>
      <c r="F204" t="s">
        <v>1576</v>
      </c>
    </row>
    <row r="205" spans="1:6" hidden="1" x14ac:dyDescent="0.2">
      <c r="A205" t="s">
        <v>1557</v>
      </c>
      <c r="B205" t="s">
        <v>1577</v>
      </c>
      <c r="C205" t="str">
        <f t="shared" si="3"/>
        <v>BOYACABOYACA</v>
      </c>
      <c r="D205" t="s">
        <v>2700</v>
      </c>
      <c r="E205" t="s">
        <v>2700</v>
      </c>
      <c r="F205" t="s">
        <v>1578</v>
      </c>
    </row>
    <row r="206" spans="1:6" hidden="1" x14ac:dyDescent="0.2">
      <c r="A206" t="s">
        <v>1557</v>
      </c>
      <c r="B206" t="s">
        <v>1579</v>
      </c>
      <c r="C206" t="str">
        <f t="shared" si="3"/>
        <v>BOYACABRICEÑO</v>
      </c>
      <c r="D206" t="s">
        <v>2700</v>
      </c>
      <c r="E206" t="s">
        <v>2163</v>
      </c>
      <c r="F206" t="s">
        <v>1580</v>
      </c>
    </row>
    <row r="207" spans="1:6" hidden="1" x14ac:dyDescent="0.2">
      <c r="A207" t="s">
        <v>1557</v>
      </c>
      <c r="B207" t="s">
        <v>1581</v>
      </c>
      <c r="C207" t="str">
        <f t="shared" si="3"/>
        <v>BOYACABUENAVISTA</v>
      </c>
      <c r="D207" t="s">
        <v>2700</v>
      </c>
      <c r="E207" t="s">
        <v>1325</v>
      </c>
      <c r="F207" t="s">
        <v>1582</v>
      </c>
    </row>
    <row r="208" spans="1:6" hidden="1" x14ac:dyDescent="0.2">
      <c r="A208" t="s">
        <v>1557</v>
      </c>
      <c r="B208" t="s">
        <v>1583</v>
      </c>
      <c r="C208" t="str">
        <f t="shared" si="3"/>
        <v>BOYACABUSBANZA</v>
      </c>
      <c r="D208" t="s">
        <v>2700</v>
      </c>
      <c r="E208" t="s">
        <v>1585</v>
      </c>
      <c r="F208" t="s">
        <v>1584</v>
      </c>
    </row>
    <row r="209" spans="1:6" hidden="1" x14ac:dyDescent="0.2">
      <c r="A209" t="s">
        <v>1557</v>
      </c>
      <c r="B209" t="s">
        <v>1586</v>
      </c>
      <c r="C209" t="str">
        <f t="shared" si="3"/>
        <v>BOYACACALDAS</v>
      </c>
      <c r="D209" t="s">
        <v>2700</v>
      </c>
      <c r="E209" t="s">
        <v>2196</v>
      </c>
      <c r="F209" t="s">
        <v>1587</v>
      </c>
    </row>
    <row r="210" spans="1:6" hidden="1" x14ac:dyDescent="0.2">
      <c r="A210" t="s">
        <v>1557</v>
      </c>
      <c r="B210" t="s">
        <v>1588</v>
      </c>
      <c r="C210" t="str">
        <f t="shared" si="3"/>
        <v>BOYACACAMPOHERMOSO</v>
      </c>
      <c r="D210" t="s">
        <v>2700</v>
      </c>
      <c r="E210" t="s">
        <v>1590</v>
      </c>
      <c r="F210" t="s">
        <v>1589</v>
      </c>
    </row>
    <row r="211" spans="1:6" hidden="1" x14ac:dyDescent="0.2">
      <c r="A211" t="s">
        <v>1557</v>
      </c>
      <c r="B211" t="s">
        <v>1591</v>
      </c>
      <c r="C211" t="str">
        <f t="shared" si="3"/>
        <v>BOYACACERINZA</v>
      </c>
      <c r="D211" t="s">
        <v>2700</v>
      </c>
      <c r="E211" t="s">
        <v>1593</v>
      </c>
      <c r="F211" t="s">
        <v>1592</v>
      </c>
    </row>
    <row r="212" spans="1:6" hidden="1" x14ac:dyDescent="0.2">
      <c r="A212" t="s">
        <v>1557</v>
      </c>
      <c r="B212" t="s">
        <v>2413</v>
      </c>
      <c r="C212" t="str">
        <f t="shared" si="3"/>
        <v>BOYACACHINAVITA</v>
      </c>
      <c r="D212" t="s">
        <v>2700</v>
      </c>
      <c r="E212" t="s">
        <v>1595</v>
      </c>
      <c r="F212" t="s">
        <v>1594</v>
      </c>
    </row>
    <row r="213" spans="1:6" hidden="1" x14ac:dyDescent="0.2">
      <c r="A213" t="s">
        <v>1557</v>
      </c>
      <c r="B213" t="s">
        <v>1596</v>
      </c>
      <c r="C213" t="str">
        <f t="shared" si="3"/>
        <v>BOYACACHIQUINQUIRA</v>
      </c>
      <c r="D213" t="s">
        <v>2700</v>
      </c>
      <c r="E213" t="s">
        <v>1698</v>
      </c>
      <c r="F213" t="s">
        <v>1597</v>
      </c>
    </row>
    <row r="214" spans="1:6" hidden="1" x14ac:dyDescent="0.2">
      <c r="A214" t="s">
        <v>1557</v>
      </c>
      <c r="B214" t="s">
        <v>1598</v>
      </c>
      <c r="C214" t="str">
        <f t="shared" si="3"/>
        <v>BOYACACHISCAS</v>
      </c>
      <c r="D214" t="s">
        <v>2700</v>
      </c>
      <c r="E214" t="s">
        <v>1600</v>
      </c>
      <c r="F214" t="s">
        <v>1599</v>
      </c>
    </row>
    <row r="215" spans="1:6" hidden="1" x14ac:dyDescent="0.2">
      <c r="A215" t="s">
        <v>1557</v>
      </c>
      <c r="B215" t="s">
        <v>1601</v>
      </c>
      <c r="C215" t="str">
        <f t="shared" si="3"/>
        <v>BOYACACHITA</v>
      </c>
      <c r="D215" t="s">
        <v>2700</v>
      </c>
      <c r="E215" t="s">
        <v>1603</v>
      </c>
      <c r="F215" t="s">
        <v>1602</v>
      </c>
    </row>
    <row r="216" spans="1:6" hidden="1" x14ac:dyDescent="0.2">
      <c r="A216" t="s">
        <v>1557</v>
      </c>
      <c r="B216" t="s">
        <v>1604</v>
      </c>
      <c r="C216" t="str">
        <f t="shared" si="3"/>
        <v>BOYACACHITARAQUE</v>
      </c>
      <c r="D216" t="s">
        <v>2700</v>
      </c>
      <c r="E216" t="s">
        <v>1606</v>
      </c>
      <c r="F216" t="s">
        <v>1605</v>
      </c>
    </row>
    <row r="217" spans="1:6" hidden="1" x14ac:dyDescent="0.2">
      <c r="A217" t="s">
        <v>1557</v>
      </c>
      <c r="B217" t="s">
        <v>1607</v>
      </c>
      <c r="C217" t="str">
        <f t="shared" si="3"/>
        <v>BOYACACHIVATA</v>
      </c>
      <c r="D217" t="s">
        <v>2700</v>
      </c>
      <c r="E217" t="s">
        <v>1609</v>
      </c>
      <c r="F217" t="s">
        <v>1608</v>
      </c>
    </row>
    <row r="218" spans="1:6" hidden="1" x14ac:dyDescent="0.2">
      <c r="A218" t="s">
        <v>1557</v>
      </c>
      <c r="B218" t="s">
        <v>1610</v>
      </c>
      <c r="C218" t="str">
        <f t="shared" si="3"/>
        <v>BOYACACIENEGA</v>
      </c>
      <c r="D218" t="s">
        <v>2700</v>
      </c>
      <c r="E218" t="s">
        <v>1612</v>
      </c>
      <c r="F218" t="s">
        <v>1611</v>
      </c>
    </row>
    <row r="219" spans="1:6" hidden="1" x14ac:dyDescent="0.2">
      <c r="A219" t="s">
        <v>1557</v>
      </c>
      <c r="B219" t="s">
        <v>1613</v>
      </c>
      <c r="C219" t="str">
        <f t="shared" si="3"/>
        <v>BOYACACOMBITA</v>
      </c>
      <c r="D219" t="s">
        <v>2700</v>
      </c>
      <c r="E219" t="s">
        <v>1615</v>
      </c>
      <c r="F219" t="s">
        <v>1614</v>
      </c>
    </row>
    <row r="220" spans="1:6" hidden="1" x14ac:dyDescent="0.2">
      <c r="A220" t="s">
        <v>1557</v>
      </c>
      <c r="B220" t="s">
        <v>2428</v>
      </c>
      <c r="C220" t="str">
        <f t="shared" si="3"/>
        <v>BOYACACOPER</v>
      </c>
      <c r="D220" t="s">
        <v>2700</v>
      </c>
      <c r="E220" t="s">
        <v>10</v>
      </c>
      <c r="F220" t="s">
        <v>1616</v>
      </c>
    </row>
    <row r="221" spans="1:6" hidden="1" x14ac:dyDescent="0.2">
      <c r="A221" t="s">
        <v>1557</v>
      </c>
      <c r="B221" t="s">
        <v>1617</v>
      </c>
      <c r="C221" t="str">
        <f t="shared" si="3"/>
        <v>BOYACACORRALES</v>
      </c>
      <c r="D221" t="s">
        <v>2700</v>
      </c>
      <c r="E221" t="s">
        <v>1619</v>
      </c>
      <c r="F221" t="s">
        <v>1618</v>
      </c>
    </row>
    <row r="222" spans="1:6" hidden="1" x14ac:dyDescent="0.2">
      <c r="A222" t="s">
        <v>1557</v>
      </c>
      <c r="B222" t="s">
        <v>1620</v>
      </c>
      <c r="C222" t="str">
        <f t="shared" si="3"/>
        <v>BOYACACOVARACHIA</v>
      </c>
      <c r="D222" t="s">
        <v>2700</v>
      </c>
      <c r="E222" t="s">
        <v>1622</v>
      </c>
      <c r="F222" t="s">
        <v>1621</v>
      </c>
    </row>
    <row r="223" spans="1:6" hidden="1" x14ac:dyDescent="0.2">
      <c r="A223" t="s">
        <v>1557</v>
      </c>
      <c r="B223" t="s">
        <v>1623</v>
      </c>
      <c r="C223" t="str">
        <f t="shared" si="3"/>
        <v>BOYACACUBARA</v>
      </c>
      <c r="D223" t="s">
        <v>2700</v>
      </c>
      <c r="E223" t="s">
        <v>1625</v>
      </c>
      <c r="F223" t="s">
        <v>1624</v>
      </c>
    </row>
    <row r="224" spans="1:6" hidden="1" x14ac:dyDescent="0.2">
      <c r="A224" t="s">
        <v>1557</v>
      </c>
      <c r="B224" t="s">
        <v>1626</v>
      </c>
      <c r="C224" t="str">
        <f t="shared" si="3"/>
        <v>BOYACACUCAITA</v>
      </c>
      <c r="D224" t="s">
        <v>2700</v>
      </c>
      <c r="E224" t="s">
        <v>1699</v>
      </c>
      <c r="F224" t="s">
        <v>1627</v>
      </c>
    </row>
    <row r="225" spans="1:6" hidden="1" x14ac:dyDescent="0.2">
      <c r="A225" t="s">
        <v>1557</v>
      </c>
      <c r="B225" t="s">
        <v>1628</v>
      </c>
      <c r="C225" t="str">
        <f t="shared" si="3"/>
        <v>BOYACACUITIVA</v>
      </c>
      <c r="D225" t="s">
        <v>2700</v>
      </c>
      <c r="E225" t="s">
        <v>1630</v>
      </c>
      <c r="F225" t="s">
        <v>1629</v>
      </c>
    </row>
    <row r="226" spans="1:6" hidden="1" x14ac:dyDescent="0.2">
      <c r="A226" t="s">
        <v>1557</v>
      </c>
      <c r="B226" t="s">
        <v>1631</v>
      </c>
      <c r="C226" t="str">
        <f t="shared" si="3"/>
        <v>BOYACACHIQUIZA</v>
      </c>
      <c r="D226" t="s">
        <v>2700</v>
      </c>
      <c r="E226" t="s">
        <v>1633</v>
      </c>
      <c r="F226" t="s">
        <v>1632</v>
      </c>
    </row>
    <row r="227" spans="1:6" hidden="1" x14ac:dyDescent="0.2">
      <c r="A227" t="s">
        <v>1557</v>
      </c>
      <c r="B227" t="s">
        <v>1634</v>
      </c>
      <c r="C227" t="str">
        <f t="shared" si="3"/>
        <v>BOYACACHIVOR</v>
      </c>
      <c r="D227" t="s">
        <v>2700</v>
      </c>
      <c r="E227" t="s">
        <v>1636</v>
      </c>
      <c r="F227" t="s">
        <v>1635</v>
      </c>
    </row>
    <row r="228" spans="1:6" hidden="1" x14ac:dyDescent="0.2">
      <c r="A228" t="s">
        <v>1557</v>
      </c>
      <c r="B228" t="s">
        <v>1637</v>
      </c>
      <c r="C228" t="str">
        <f t="shared" si="3"/>
        <v>BOYACADUITAMA</v>
      </c>
      <c r="D228" t="s">
        <v>2700</v>
      </c>
      <c r="E228" t="s">
        <v>1700</v>
      </c>
      <c r="F228" t="s">
        <v>1638</v>
      </c>
    </row>
    <row r="229" spans="1:6" hidden="1" x14ac:dyDescent="0.2">
      <c r="A229" t="s">
        <v>1557</v>
      </c>
      <c r="B229" t="s">
        <v>1482</v>
      </c>
      <c r="C229" t="str">
        <f t="shared" si="3"/>
        <v>BOYACAEL COCUY</v>
      </c>
      <c r="D229" t="s">
        <v>2700</v>
      </c>
      <c r="E229" t="s">
        <v>1640</v>
      </c>
      <c r="F229" t="s">
        <v>1639</v>
      </c>
    </row>
    <row r="230" spans="1:6" hidden="1" x14ac:dyDescent="0.2">
      <c r="A230" t="s">
        <v>1557</v>
      </c>
      <c r="B230" t="s">
        <v>1485</v>
      </c>
      <c r="C230" t="str">
        <f t="shared" si="3"/>
        <v>BOYACAEL ESPINO</v>
      </c>
      <c r="D230" t="s">
        <v>2700</v>
      </c>
      <c r="E230" t="s">
        <v>1642</v>
      </c>
      <c r="F230" t="s">
        <v>1641</v>
      </c>
    </row>
    <row r="231" spans="1:6" hidden="1" x14ac:dyDescent="0.2">
      <c r="A231" t="s">
        <v>1557</v>
      </c>
      <c r="B231" t="s">
        <v>1643</v>
      </c>
      <c r="C231" t="str">
        <f t="shared" si="3"/>
        <v>BOYACAFIRAVITOBA</v>
      </c>
      <c r="D231" t="s">
        <v>2700</v>
      </c>
      <c r="E231" t="s">
        <v>1645</v>
      </c>
      <c r="F231" t="s">
        <v>1644</v>
      </c>
    </row>
    <row r="232" spans="1:6" hidden="1" x14ac:dyDescent="0.2">
      <c r="A232" t="s">
        <v>1557</v>
      </c>
      <c r="B232" t="s">
        <v>1646</v>
      </c>
      <c r="C232" t="str">
        <f t="shared" si="3"/>
        <v>BOYACAFLORESTA</v>
      </c>
      <c r="D232" t="s">
        <v>2700</v>
      </c>
      <c r="E232" t="s">
        <v>1648</v>
      </c>
      <c r="F232" t="s">
        <v>1647</v>
      </c>
    </row>
    <row r="233" spans="1:6" hidden="1" x14ac:dyDescent="0.2">
      <c r="A233" t="s">
        <v>1557</v>
      </c>
      <c r="B233" t="s">
        <v>1649</v>
      </c>
      <c r="C233" t="str">
        <f t="shared" si="3"/>
        <v>BOYACAGACHANTIVA</v>
      </c>
      <c r="D233" t="s">
        <v>2700</v>
      </c>
      <c r="E233" t="s">
        <v>1651</v>
      </c>
      <c r="F233" t="s">
        <v>1650</v>
      </c>
    </row>
    <row r="234" spans="1:6" hidden="1" x14ac:dyDescent="0.2">
      <c r="A234" t="s">
        <v>1557</v>
      </c>
      <c r="B234" t="s">
        <v>1402</v>
      </c>
      <c r="C234" t="str">
        <f t="shared" si="3"/>
        <v>BOYACAGAMEZA</v>
      </c>
      <c r="D234" t="s">
        <v>2700</v>
      </c>
      <c r="E234" t="s">
        <v>1653</v>
      </c>
      <c r="F234" t="s">
        <v>1652</v>
      </c>
    </row>
    <row r="235" spans="1:6" hidden="1" x14ac:dyDescent="0.2">
      <c r="A235" t="s">
        <v>1557</v>
      </c>
      <c r="B235" t="s">
        <v>1654</v>
      </c>
      <c r="C235" t="str">
        <f t="shared" si="3"/>
        <v>BOYACAGARAGOA</v>
      </c>
      <c r="D235" t="s">
        <v>2700</v>
      </c>
      <c r="E235" t="s">
        <v>1701</v>
      </c>
      <c r="F235" t="s">
        <v>530</v>
      </c>
    </row>
    <row r="236" spans="1:6" hidden="1" x14ac:dyDescent="0.2">
      <c r="A236" t="s">
        <v>1557</v>
      </c>
      <c r="B236" t="s">
        <v>531</v>
      </c>
      <c r="C236" t="str">
        <f t="shared" si="3"/>
        <v>BOYACAGUACAMAYAS</v>
      </c>
      <c r="D236" t="s">
        <v>2700</v>
      </c>
      <c r="E236" t="s">
        <v>533</v>
      </c>
      <c r="F236" t="s">
        <v>532</v>
      </c>
    </row>
    <row r="237" spans="1:6" hidden="1" x14ac:dyDescent="0.2">
      <c r="A237" t="s">
        <v>1557</v>
      </c>
      <c r="B237" t="s">
        <v>534</v>
      </c>
      <c r="C237" t="str">
        <f t="shared" si="3"/>
        <v>BOYACAGUATEQUE</v>
      </c>
      <c r="D237" t="s">
        <v>2700</v>
      </c>
      <c r="E237" t="s">
        <v>536</v>
      </c>
      <c r="F237" t="s">
        <v>535</v>
      </c>
    </row>
    <row r="238" spans="1:6" hidden="1" x14ac:dyDescent="0.2">
      <c r="A238" t="s">
        <v>1557</v>
      </c>
      <c r="B238" t="s">
        <v>537</v>
      </c>
      <c r="C238" t="str">
        <f t="shared" si="3"/>
        <v>BOYACAGUAYATA</v>
      </c>
      <c r="D238" t="s">
        <v>2700</v>
      </c>
      <c r="E238" t="s">
        <v>539</v>
      </c>
      <c r="F238" t="s">
        <v>538</v>
      </c>
    </row>
    <row r="239" spans="1:6" hidden="1" x14ac:dyDescent="0.2">
      <c r="A239" t="s">
        <v>1557</v>
      </c>
      <c r="B239" t="s">
        <v>540</v>
      </c>
      <c r="C239" t="str">
        <f t="shared" si="3"/>
        <v>BOYACAGUICAN</v>
      </c>
      <c r="D239" t="s">
        <v>2700</v>
      </c>
      <c r="E239" t="s">
        <v>1364</v>
      </c>
      <c r="F239" t="s">
        <v>1662</v>
      </c>
    </row>
    <row r="240" spans="1:6" hidden="1" x14ac:dyDescent="0.2">
      <c r="A240" t="s">
        <v>1557</v>
      </c>
      <c r="B240" t="s">
        <v>541</v>
      </c>
      <c r="C240" t="str">
        <f t="shared" si="3"/>
        <v>BOYACAIZA</v>
      </c>
      <c r="D240" t="s">
        <v>2700</v>
      </c>
      <c r="E240" t="s">
        <v>543</v>
      </c>
      <c r="F240" t="s">
        <v>542</v>
      </c>
    </row>
    <row r="241" spans="1:6" hidden="1" x14ac:dyDescent="0.2">
      <c r="A241" t="s">
        <v>1557</v>
      </c>
      <c r="B241" t="s">
        <v>544</v>
      </c>
      <c r="C241" t="str">
        <f t="shared" si="3"/>
        <v>BOYACAJENESANO</v>
      </c>
      <c r="D241" t="s">
        <v>2700</v>
      </c>
      <c r="E241" t="s">
        <v>546</v>
      </c>
      <c r="F241" t="s">
        <v>545</v>
      </c>
    </row>
    <row r="242" spans="1:6" hidden="1" x14ac:dyDescent="0.2">
      <c r="A242" t="s">
        <v>1557</v>
      </c>
      <c r="B242" t="s">
        <v>2483</v>
      </c>
      <c r="C242" t="str">
        <f t="shared" si="3"/>
        <v>BOYACAJERICO</v>
      </c>
      <c r="D242" t="s">
        <v>2700</v>
      </c>
      <c r="E242" t="s">
        <v>1702</v>
      </c>
      <c r="F242" t="s">
        <v>547</v>
      </c>
    </row>
    <row r="243" spans="1:6" hidden="1" x14ac:dyDescent="0.2">
      <c r="A243" t="s">
        <v>1557</v>
      </c>
      <c r="B243" t="s">
        <v>548</v>
      </c>
      <c r="C243" t="str">
        <f t="shared" si="3"/>
        <v>BOYACALABRANZAGRANDE</v>
      </c>
      <c r="D243" t="s">
        <v>2700</v>
      </c>
      <c r="E243" t="s">
        <v>550</v>
      </c>
      <c r="F243" t="s">
        <v>549</v>
      </c>
    </row>
    <row r="244" spans="1:6" hidden="1" x14ac:dyDescent="0.2">
      <c r="A244" t="s">
        <v>1557</v>
      </c>
      <c r="B244" t="s">
        <v>2488</v>
      </c>
      <c r="C244" t="str">
        <f t="shared" si="3"/>
        <v>BOYACALA CAPILLA</v>
      </c>
      <c r="D244" t="s">
        <v>2700</v>
      </c>
      <c r="E244" t="s">
        <v>552</v>
      </c>
      <c r="F244" t="s">
        <v>551</v>
      </c>
    </row>
    <row r="245" spans="1:6" hidden="1" x14ac:dyDescent="0.2">
      <c r="A245" t="s">
        <v>1557</v>
      </c>
      <c r="B245" t="s">
        <v>553</v>
      </c>
      <c r="C245" t="str">
        <f t="shared" si="3"/>
        <v>BOYACALA VICTORIA</v>
      </c>
      <c r="D245" t="s">
        <v>2700</v>
      </c>
      <c r="E245" t="s">
        <v>1703</v>
      </c>
      <c r="F245" t="s">
        <v>554</v>
      </c>
    </row>
    <row r="246" spans="1:6" hidden="1" x14ac:dyDescent="0.2">
      <c r="A246" t="s">
        <v>1557</v>
      </c>
      <c r="B246" t="s">
        <v>555</v>
      </c>
      <c r="C246" t="str">
        <f t="shared" si="3"/>
        <v>BOYACALA UVITA</v>
      </c>
      <c r="D246" t="s">
        <v>2700</v>
      </c>
      <c r="E246" t="s">
        <v>557</v>
      </c>
      <c r="F246" t="s">
        <v>556</v>
      </c>
    </row>
    <row r="247" spans="1:6" hidden="1" x14ac:dyDescent="0.2">
      <c r="A247" t="s">
        <v>1557</v>
      </c>
      <c r="B247" t="s">
        <v>558</v>
      </c>
      <c r="C247" t="str">
        <f t="shared" si="3"/>
        <v>BOYACAVILLA DE LEYVA</v>
      </c>
      <c r="D247" t="s">
        <v>2700</v>
      </c>
      <c r="E247" t="s">
        <v>560</v>
      </c>
      <c r="F247" t="s">
        <v>559</v>
      </c>
    </row>
    <row r="248" spans="1:6" hidden="1" x14ac:dyDescent="0.2">
      <c r="A248" t="s">
        <v>1557</v>
      </c>
      <c r="B248" t="s">
        <v>2497</v>
      </c>
      <c r="C248" t="str">
        <f t="shared" si="3"/>
        <v>BOYACAMACANAL</v>
      </c>
      <c r="D248" t="s">
        <v>2700</v>
      </c>
      <c r="E248" t="s">
        <v>562</v>
      </c>
      <c r="F248" t="s">
        <v>561</v>
      </c>
    </row>
    <row r="249" spans="1:6" hidden="1" x14ac:dyDescent="0.2">
      <c r="A249" t="s">
        <v>1557</v>
      </c>
      <c r="B249" t="s">
        <v>1496</v>
      </c>
      <c r="C249" t="str">
        <f t="shared" si="3"/>
        <v>BOYACAMARIPI</v>
      </c>
      <c r="D249" t="s">
        <v>2700</v>
      </c>
      <c r="E249" t="s">
        <v>1357</v>
      </c>
      <c r="F249" t="s">
        <v>563</v>
      </c>
    </row>
    <row r="250" spans="1:6" hidden="1" x14ac:dyDescent="0.2">
      <c r="A250" t="s">
        <v>1557</v>
      </c>
      <c r="B250" t="s">
        <v>564</v>
      </c>
      <c r="C250" t="str">
        <f t="shared" si="3"/>
        <v>BOYACAMIRAFLORES</v>
      </c>
      <c r="D250" t="s">
        <v>2700</v>
      </c>
      <c r="E250" t="s">
        <v>566</v>
      </c>
      <c r="F250" t="s">
        <v>565</v>
      </c>
    </row>
    <row r="251" spans="1:6" hidden="1" x14ac:dyDescent="0.2">
      <c r="A251" t="s">
        <v>1557</v>
      </c>
      <c r="B251" t="s">
        <v>567</v>
      </c>
      <c r="C251" t="str">
        <f t="shared" si="3"/>
        <v>BOYACAMONGUA</v>
      </c>
      <c r="D251" t="s">
        <v>2700</v>
      </c>
      <c r="E251" t="s">
        <v>569</v>
      </c>
      <c r="F251" t="s">
        <v>568</v>
      </c>
    </row>
    <row r="252" spans="1:6" hidden="1" x14ac:dyDescent="0.2">
      <c r="A252" t="s">
        <v>1557</v>
      </c>
      <c r="B252" t="s">
        <v>570</v>
      </c>
      <c r="C252" t="str">
        <f t="shared" si="3"/>
        <v>BOYACAMONGUI</v>
      </c>
      <c r="D252" t="s">
        <v>2700</v>
      </c>
      <c r="E252" t="s">
        <v>572</v>
      </c>
      <c r="F252" t="s">
        <v>571</v>
      </c>
    </row>
    <row r="253" spans="1:6" hidden="1" x14ac:dyDescent="0.2">
      <c r="A253" t="s">
        <v>1557</v>
      </c>
      <c r="B253" t="s">
        <v>573</v>
      </c>
      <c r="C253" t="str">
        <f t="shared" si="3"/>
        <v>BOYACAMONIQUIRA</v>
      </c>
      <c r="D253" t="s">
        <v>2700</v>
      </c>
      <c r="E253" t="s">
        <v>2217</v>
      </c>
      <c r="F253" t="s">
        <v>574</v>
      </c>
    </row>
    <row r="254" spans="1:6" hidden="1" x14ac:dyDescent="0.2">
      <c r="A254" t="s">
        <v>1557</v>
      </c>
      <c r="B254" t="s">
        <v>575</v>
      </c>
      <c r="C254" t="str">
        <f t="shared" si="3"/>
        <v>BOYACAMOTAVITA</v>
      </c>
      <c r="D254" t="s">
        <v>2700</v>
      </c>
      <c r="E254" t="s">
        <v>577</v>
      </c>
      <c r="F254" t="s">
        <v>576</v>
      </c>
    </row>
    <row r="255" spans="1:6" hidden="1" x14ac:dyDescent="0.2">
      <c r="A255" t="s">
        <v>1557</v>
      </c>
      <c r="B255" t="s">
        <v>2509</v>
      </c>
      <c r="C255" t="str">
        <f t="shared" si="3"/>
        <v>BOYACAMUZO</v>
      </c>
      <c r="D255" t="s">
        <v>2700</v>
      </c>
      <c r="E255" t="s">
        <v>2736</v>
      </c>
      <c r="F255" t="s">
        <v>578</v>
      </c>
    </row>
    <row r="256" spans="1:6" hidden="1" x14ac:dyDescent="0.2">
      <c r="A256" t="s">
        <v>1557</v>
      </c>
      <c r="B256" t="s">
        <v>579</v>
      </c>
      <c r="C256" t="str">
        <f t="shared" si="3"/>
        <v>BOYACANOBSA</v>
      </c>
      <c r="D256" t="s">
        <v>2700</v>
      </c>
      <c r="E256" t="s">
        <v>581</v>
      </c>
      <c r="F256" t="s">
        <v>580</v>
      </c>
    </row>
    <row r="257" spans="1:6" hidden="1" x14ac:dyDescent="0.2">
      <c r="A257" t="s">
        <v>1557</v>
      </c>
      <c r="B257" t="s">
        <v>582</v>
      </c>
      <c r="C257" t="str">
        <f t="shared" si="3"/>
        <v>BOYACANUEVO COLON</v>
      </c>
      <c r="D257" t="s">
        <v>2700</v>
      </c>
      <c r="E257" t="s">
        <v>584</v>
      </c>
      <c r="F257" t="s">
        <v>583</v>
      </c>
    </row>
    <row r="258" spans="1:6" hidden="1" x14ac:dyDescent="0.2">
      <c r="A258" t="s">
        <v>1557</v>
      </c>
      <c r="B258" t="s">
        <v>585</v>
      </c>
      <c r="C258" t="str">
        <f t="shared" si="3"/>
        <v>BOYACAOICATA</v>
      </c>
      <c r="D258" t="s">
        <v>2700</v>
      </c>
      <c r="E258" t="s">
        <v>587</v>
      </c>
      <c r="F258" t="s">
        <v>586</v>
      </c>
    </row>
    <row r="259" spans="1:6" hidden="1" x14ac:dyDescent="0.2">
      <c r="A259" t="s">
        <v>1557</v>
      </c>
      <c r="B259" t="s">
        <v>588</v>
      </c>
      <c r="C259" t="str">
        <f t="shared" ref="C259:C322" si="4">D259&amp;E259</f>
        <v>BOYACAOTANCHE</v>
      </c>
      <c r="D259" t="s">
        <v>2700</v>
      </c>
      <c r="E259" t="s">
        <v>590</v>
      </c>
      <c r="F259" t="s">
        <v>589</v>
      </c>
    </row>
    <row r="260" spans="1:6" hidden="1" x14ac:dyDescent="0.2">
      <c r="A260" t="s">
        <v>1557</v>
      </c>
      <c r="B260" t="s">
        <v>591</v>
      </c>
      <c r="C260" t="str">
        <f t="shared" si="4"/>
        <v>BOYACAPACHAVITA</v>
      </c>
      <c r="D260" t="s">
        <v>2700</v>
      </c>
      <c r="E260" t="s">
        <v>593</v>
      </c>
      <c r="F260" t="s">
        <v>592</v>
      </c>
    </row>
    <row r="261" spans="1:6" hidden="1" x14ac:dyDescent="0.2">
      <c r="A261" t="s">
        <v>1557</v>
      </c>
      <c r="B261" t="s">
        <v>594</v>
      </c>
      <c r="C261" t="str">
        <f t="shared" si="4"/>
        <v>BOYACAPAEZ</v>
      </c>
      <c r="D261" t="s">
        <v>2700</v>
      </c>
      <c r="E261" t="s">
        <v>2770</v>
      </c>
      <c r="F261" t="s">
        <v>595</v>
      </c>
    </row>
    <row r="262" spans="1:6" hidden="1" x14ac:dyDescent="0.2">
      <c r="A262" t="s">
        <v>1557</v>
      </c>
      <c r="B262" t="s">
        <v>596</v>
      </c>
      <c r="C262" t="str">
        <f t="shared" si="4"/>
        <v>BOYACAPAIPA</v>
      </c>
      <c r="D262" t="s">
        <v>2700</v>
      </c>
      <c r="E262" t="s">
        <v>1704</v>
      </c>
      <c r="F262" t="s">
        <v>597</v>
      </c>
    </row>
    <row r="263" spans="1:6" hidden="1" x14ac:dyDescent="0.2">
      <c r="A263" t="s">
        <v>1557</v>
      </c>
      <c r="B263" t="s">
        <v>598</v>
      </c>
      <c r="C263" t="str">
        <f t="shared" si="4"/>
        <v>BOYACAPAJARITO</v>
      </c>
      <c r="D263" t="s">
        <v>2700</v>
      </c>
      <c r="E263" t="s">
        <v>600</v>
      </c>
      <c r="F263" t="s">
        <v>599</v>
      </c>
    </row>
    <row r="264" spans="1:6" hidden="1" x14ac:dyDescent="0.2">
      <c r="A264" t="s">
        <v>1557</v>
      </c>
      <c r="B264" t="s">
        <v>601</v>
      </c>
      <c r="C264" t="str">
        <f t="shared" si="4"/>
        <v>BOYACAPANQUEBA</v>
      </c>
      <c r="D264" t="s">
        <v>2700</v>
      </c>
      <c r="E264" t="s">
        <v>603</v>
      </c>
      <c r="F264" t="s">
        <v>602</v>
      </c>
    </row>
    <row r="265" spans="1:6" hidden="1" x14ac:dyDescent="0.2">
      <c r="A265" t="s">
        <v>1557</v>
      </c>
      <c r="B265" t="s">
        <v>604</v>
      </c>
      <c r="C265" t="str">
        <f t="shared" si="4"/>
        <v>BOYACAPAUNA</v>
      </c>
      <c r="D265" t="s">
        <v>2700</v>
      </c>
      <c r="E265" t="s">
        <v>526</v>
      </c>
      <c r="F265" t="s">
        <v>605</v>
      </c>
    </row>
    <row r="266" spans="1:6" hidden="1" x14ac:dyDescent="0.2">
      <c r="A266" t="s">
        <v>1557</v>
      </c>
      <c r="B266" t="s">
        <v>606</v>
      </c>
      <c r="C266" t="str">
        <f t="shared" si="4"/>
        <v>BOYACAPAYA</v>
      </c>
      <c r="D266" t="s">
        <v>2700</v>
      </c>
      <c r="E266" t="s">
        <v>608</v>
      </c>
      <c r="F266" t="s">
        <v>607</v>
      </c>
    </row>
    <row r="267" spans="1:6" hidden="1" x14ac:dyDescent="0.2">
      <c r="A267" t="s">
        <v>1557</v>
      </c>
      <c r="B267" t="s">
        <v>609</v>
      </c>
      <c r="C267" t="str">
        <f t="shared" si="4"/>
        <v>BOYACAPAZ DE RIO</v>
      </c>
      <c r="D267" t="s">
        <v>2700</v>
      </c>
      <c r="E267" t="s">
        <v>611</v>
      </c>
      <c r="F267" t="s">
        <v>610</v>
      </c>
    </row>
    <row r="268" spans="1:6" hidden="1" x14ac:dyDescent="0.2">
      <c r="A268" t="s">
        <v>1557</v>
      </c>
      <c r="B268" t="s">
        <v>612</v>
      </c>
      <c r="C268" t="str">
        <f t="shared" si="4"/>
        <v>BOYACAPESCA</v>
      </c>
      <c r="D268" t="s">
        <v>2700</v>
      </c>
      <c r="E268" t="s">
        <v>614</v>
      </c>
      <c r="F268" t="s">
        <v>613</v>
      </c>
    </row>
    <row r="269" spans="1:6" hidden="1" x14ac:dyDescent="0.2">
      <c r="A269" t="s">
        <v>1557</v>
      </c>
      <c r="B269" t="s">
        <v>615</v>
      </c>
      <c r="C269" t="str">
        <f t="shared" si="4"/>
        <v>BOYACAPISBA</v>
      </c>
      <c r="D269" t="s">
        <v>2700</v>
      </c>
      <c r="E269" t="s">
        <v>617</v>
      </c>
      <c r="F269" t="s">
        <v>616</v>
      </c>
    </row>
    <row r="270" spans="1:6" hidden="1" x14ac:dyDescent="0.2">
      <c r="A270" t="s">
        <v>1557</v>
      </c>
      <c r="B270" t="s">
        <v>618</v>
      </c>
      <c r="C270" t="str">
        <f t="shared" si="4"/>
        <v>BOYACAPUERTO BOYACA</v>
      </c>
      <c r="D270" t="s">
        <v>2700</v>
      </c>
      <c r="E270" t="s">
        <v>1705</v>
      </c>
      <c r="F270" t="s">
        <v>619</v>
      </c>
    </row>
    <row r="271" spans="1:6" hidden="1" x14ac:dyDescent="0.2">
      <c r="A271" t="s">
        <v>1557</v>
      </c>
      <c r="B271" t="s">
        <v>1507</v>
      </c>
      <c r="C271" t="str">
        <f t="shared" si="4"/>
        <v>BOYACAQUIPAMA</v>
      </c>
      <c r="D271" t="s">
        <v>2700</v>
      </c>
      <c r="E271" t="s">
        <v>1706</v>
      </c>
      <c r="F271" t="s">
        <v>620</v>
      </c>
    </row>
    <row r="272" spans="1:6" hidden="1" x14ac:dyDescent="0.2">
      <c r="A272" t="s">
        <v>1557</v>
      </c>
      <c r="B272" t="s">
        <v>621</v>
      </c>
      <c r="C272" t="str">
        <f t="shared" si="4"/>
        <v>BOYACARAMIRIQUI</v>
      </c>
      <c r="D272" t="s">
        <v>2700</v>
      </c>
      <c r="E272" t="s">
        <v>623</v>
      </c>
      <c r="F272" t="s">
        <v>622</v>
      </c>
    </row>
    <row r="273" spans="1:6" hidden="1" x14ac:dyDescent="0.2">
      <c r="A273" t="s">
        <v>1557</v>
      </c>
      <c r="B273" t="s">
        <v>1509</v>
      </c>
      <c r="C273" t="str">
        <f t="shared" si="4"/>
        <v>BOYACARAQUIRA</v>
      </c>
      <c r="D273" t="s">
        <v>2700</v>
      </c>
      <c r="E273" t="s">
        <v>2813</v>
      </c>
      <c r="F273" t="s">
        <v>624</v>
      </c>
    </row>
    <row r="274" spans="1:6" hidden="1" x14ac:dyDescent="0.2">
      <c r="A274" t="s">
        <v>1557</v>
      </c>
      <c r="B274" t="s">
        <v>625</v>
      </c>
      <c r="C274" t="str">
        <f t="shared" si="4"/>
        <v>BOYACARONDON</v>
      </c>
      <c r="D274" t="s">
        <v>2700</v>
      </c>
      <c r="E274" t="s">
        <v>627</v>
      </c>
      <c r="F274" t="s">
        <v>626</v>
      </c>
    </row>
    <row r="275" spans="1:6" hidden="1" x14ac:dyDescent="0.2">
      <c r="A275" t="s">
        <v>1557</v>
      </c>
      <c r="B275" t="s">
        <v>628</v>
      </c>
      <c r="C275" t="str">
        <f t="shared" si="4"/>
        <v>BOYACASABOYA</v>
      </c>
      <c r="D275" t="s">
        <v>2700</v>
      </c>
      <c r="E275" t="s">
        <v>1707</v>
      </c>
      <c r="F275" t="s">
        <v>629</v>
      </c>
    </row>
    <row r="276" spans="1:6" hidden="1" x14ac:dyDescent="0.2">
      <c r="A276" t="s">
        <v>1557</v>
      </c>
      <c r="B276" t="s">
        <v>1435</v>
      </c>
      <c r="C276" t="str">
        <f t="shared" si="4"/>
        <v>BOYACASACHICA</v>
      </c>
      <c r="D276" t="s">
        <v>2700</v>
      </c>
      <c r="E276" t="s">
        <v>631</v>
      </c>
      <c r="F276" t="s">
        <v>630</v>
      </c>
    </row>
    <row r="277" spans="1:6" hidden="1" x14ac:dyDescent="0.2">
      <c r="A277" t="s">
        <v>1557</v>
      </c>
      <c r="B277" t="s">
        <v>632</v>
      </c>
      <c r="C277" t="str">
        <f t="shared" si="4"/>
        <v>BOYACASAMACA</v>
      </c>
      <c r="D277" t="s">
        <v>2700</v>
      </c>
      <c r="E277" t="s">
        <v>2010</v>
      </c>
      <c r="F277" t="s">
        <v>633</v>
      </c>
    </row>
    <row r="278" spans="1:6" hidden="1" x14ac:dyDescent="0.2">
      <c r="A278" t="s">
        <v>1557</v>
      </c>
      <c r="B278" t="s">
        <v>2568</v>
      </c>
      <c r="C278" t="str">
        <f t="shared" si="4"/>
        <v>BOYACASAN EDUARDO</v>
      </c>
      <c r="D278" t="s">
        <v>2700</v>
      </c>
      <c r="E278" t="s">
        <v>635</v>
      </c>
      <c r="F278" t="s">
        <v>634</v>
      </c>
    </row>
    <row r="279" spans="1:6" hidden="1" x14ac:dyDescent="0.2">
      <c r="A279" t="s">
        <v>1557</v>
      </c>
      <c r="B279" t="s">
        <v>2570</v>
      </c>
      <c r="C279" t="str">
        <f t="shared" si="4"/>
        <v>BOYACASAN JOSE DE PARE</v>
      </c>
      <c r="D279" t="s">
        <v>2700</v>
      </c>
      <c r="E279" t="s">
        <v>637</v>
      </c>
      <c r="F279" t="s">
        <v>636</v>
      </c>
    </row>
    <row r="280" spans="1:6" hidden="1" x14ac:dyDescent="0.2">
      <c r="A280" t="s">
        <v>1557</v>
      </c>
      <c r="B280" t="s">
        <v>2575</v>
      </c>
      <c r="C280" t="str">
        <f t="shared" si="4"/>
        <v>BOYACASAN LUIS DE GACENO</v>
      </c>
      <c r="D280" t="s">
        <v>2700</v>
      </c>
      <c r="E280" t="s">
        <v>639</v>
      </c>
      <c r="F280" t="s">
        <v>638</v>
      </c>
    </row>
    <row r="281" spans="1:6" hidden="1" x14ac:dyDescent="0.2">
      <c r="A281" t="s">
        <v>1557</v>
      </c>
      <c r="B281" t="s">
        <v>1528</v>
      </c>
      <c r="C281" t="str">
        <f t="shared" si="4"/>
        <v>BOYACASAN MATEO</v>
      </c>
      <c r="D281" t="s">
        <v>2700</v>
      </c>
      <c r="E281" t="s">
        <v>2699</v>
      </c>
      <c r="F281" t="s">
        <v>1663</v>
      </c>
    </row>
    <row r="282" spans="1:6" hidden="1" x14ac:dyDescent="0.2">
      <c r="A282" t="s">
        <v>1557</v>
      </c>
      <c r="B282" t="s">
        <v>640</v>
      </c>
      <c r="C282" t="str">
        <f t="shared" si="4"/>
        <v>BOYACASAN MIGUEL DE SEMA</v>
      </c>
      <c r="D282" t="s">
        <v>2700</v>
      </c>
      <c r="E282" t="s">
        <v>1708</v>
      </c>
      <c r="F282" t="s">
        <v>641</v>
      </c>
    </row>
    <row r="283" spans="1:6" hidden="1" x14ac:dyDescent="0.2">
      <c r="A283" t="s">
        <v>1557</v>
      </c>
      <c r="B283" t="s">
        <v>642</v>
      </c>
      <c r="C283" t="str">
        <f t="shared" si="4"/>
        <v>BOYACASAN PABLO DE BORBUR</v>
      </c>
      <c r="D283" t="s">
        <v>2700</v>
      </c>
      <c r="E283" t="s">
        <v>2133</v>
      </c>
      <c r="F283" t="s">
        <v>1664</v>
      </c>
    </row>
    <row r="284" spans="1:6" hidden="1" x14ac:dyDescent="0.2">
      <c r="A284" t="s">
        <v>1557</v>
      </c>
      <c r="B284" t="s">
        <v>2585</v>
      </c>
      <c r="C284" t="str">
        <f t="shared" si="4"/>
        <v>BOYACASANTANA</v>
      </c>
      <c r="D284" t="s">
        <v>2700</v>
      </c>
      <c r="E284" t="s">
        <v>644</v>
      </c>
      <c r="F284" t="s">
        <v>643</v>
      </c>
    </row>
    <row r="285" spans="1:6" hidden="1" x14ac:dyDescent="0.2">
      <c r="A285" t="s">
        <v>1557</v>
      </c>
      <c r="B285" t="s">
        <v>2588</v>
      </c>
      <c r="C285" t="str">
        <f t="shared" si="4"/>
        <v>BOYACASANTA MARIA</v>
      </c>
      <c r="D285" t="s">
        <v>2700</v>
      </c>
      <c r="E285" t="s">
        <v>2085</v>
      </c>
      <c r="F285" t="s">
        <v>645</v>
      </c>
    </row>
    <row r="286" spans="1:6" hidden="1" x14ac:dyDescent="0.2">
      <c r="A286" t="s">
        <v>1557</v>
      </c>
      <c r="B286" t="s">
        <v>646</v>
      </c>
      <c r="C286" t="str">
        <f t="shared" si="4"/>
        <v>BOYACASANTA ROSA DE VITERBO</v>
      </c>
      <c r="D286" t="s">
        <v>2700</v>
      </c>
      <c r="E286" t="s">
        <v>648</v>
      </c>
      <c r="F286" t="s">
        <v>647</v>
      </c>
    </row>
    <row r="287" spans="1:6" hidden="1" x14ac:dyDescent="0.2">
      <c r="A287" t="s">
        <v>1557</v>
      </c>
      <c r="B287" t="s">
        <v>649</v>
      </c>
      <c r="C287" t="str">
        <f t="shared" si="4"/>
        <v>BOYACASANTA SOFIA</v>
      </c>
      <c r="D287" t="s">
        <v>2700</v>
      </c>
      <c r="E287" t="s">
        <v>651</v>
      </c>
      <c r="F287" t="s">
        <v>650</v>
      </c>
    </row>
    <row r="288" spans="1:6" hidden="1" x14ac:dyDescent="0.2">
      <c r="A288" t="s">
        <v>1557</v>
      </c>
      <c r="B288" t="s">
        <v>652</v>
      </c>
      <c r="C288" t="str">
        <f t="shared" si="4"/>
        <v>BOYACASATIVANORTE</v>
      </c>
      <c r="D288" t="s">
        <v>2700</v>
      </c>
      <c r="E288" t="s">
        <v>654</v>
      </c>
      <c r="F288" t="s">
        <v>653</v>
      </c>
    </row>
    <row r="289" spans="1:6" hidden="1" x14ac:dyDescent="0.2">
      <c r="A289" t="s">
        <v>1557</v>
      </c>
      <c r="B289" t="s">
        <v>655</v>
      </c>
      <c r="C289" t="str">
        <f t="shared" si="4"/>
        <v>BOYACASATIVASUR</v>
      </c>
      <c r="D289" t="s">
        <v>2700</v>
      </c>
      <c r="E289" t="s">
        <v>657</v>
      </c>
      <c r="F289" t="s">
        <v>656</v>
      </c>
    </row>
    <row r="290" spans="1:6" hidden="1" x14ac:dyDescent="0.2">
      <c r="A290" t="s">
        <v>1557</v>
      </c>
      <c r="B290" t="s">
        <v>658</v>
      </c>
      <c r="C290" t="str">
        <f t="shared" si="4"/>
        <v>BOYACASIACHOQUE</v>
      </c>
      <c r="D290" t="s">
        <v>2700</v>
      </c>
      <c r="E290" t="s">
        <v>660</v>
      </c>
      <c r="F290" t="s">
        <v>659</v>
      </c>
    </row>
    <row r="291" spans="1:6" hidden="1" x14ac:dyDescent="0.2">
      <c r="A291" t="s">
        <v>1557</v>
      </c>
      <c r="B291" t="s">
        <v>661</v>
      </c>
      <c r="C291" t="str">
        <f t="shared" si="4"/>
        <v>BOYACASOATA</v>
      </c>
      <c r="D291" t="s">
        <v>2700</v>
      </c>
      <c r="E291" t="s">
        <v>663</v>
      </c>
      <c r="F291" t="s">
        <v>662</v>
      </c>
    </row>
    <row r="292" spans="1:6" hidden="1" x14ac:dyDescent="0.2">
      <c r="A292" t="s">
        <v>1557</v>
      </c>
      <c r="B292" t="s">
        <v>664</v>
      </c>
      <c r="C292" t="str">
        <f t="shared" si="4"/>
        <v>BOYACASOCOTA</v>
      </c>
      <c r="D292" t="s">
        <v>2700</v>
      </c>
      <c r="E292" t="s">
        <v>666</v>
      </c>
      <c r="F292" t="s">
        <v>665</v>
      </c>
    </row>
    <row r="293" spans="1:6" hidden="1" x14ac:dyDescent="0.2">
      <c r="A293" t="s">
        <v>1557</v>
      </c>
      <c r="B293" t="s">
        <v>667</v>
      </c>
      <c r="C293" t="str">
        <f t="shared" si="4"/>
        <v>BOYACASOCHA</v>
      </c>
      <c r="D293" t="s">
        <v>2700</v>
      </c>
      <c r="E293" t="s">
        <v>669</v>
      </c>
      <c r="F293" t="s">
        <v>668</v>
      </c>
    </row>
    <row r="294" spans="1:6" hidden="1" x14ac:dyDescent="0.2">
      <c r="A294" t="s">
        <v>1557</v>
      </c>
      <c r="B294" t="s">
        <v>670</v>
      </c>
      <c r="C294" t="str">
        <f t="shared" si="4"/>
        <v>BOYACASOGAMOSO</v>
      </c>
      <c r="D294" t="s">
        <v>2700</v>
      </c>
      <c r="E294" t="s">
        <v>1375</v>
      </c>
      <c r="F294" t="s">
        <v>671</v>
      </c>
    </row>
    <row r="295" spans="1:6" hidden="1" x14ac:dyDescent="0.2">
      <c r="A295" t="s">
        <v>1557</v>
      </c>
      <c r="B295" t="s">
        <v>2597</v>
      </c>
      <c r="C295" t="str">
        <f t="shared" si="4"/>
        <v>BOYACASOMONDOCO</v>
      </c>
      <c r="D295" t="s">
        <v>2700</v>
      </c>
      <c r="E295" t="s">
        <v>673</v>
      </c>
      <c r="F295" t="s">
        <v>672</v>
      </c>
    </row>
    <row r="296" spans="1:6" hidden="1" x14ac:dyDescent="0.2">
      <c r="A296" t="s">
        <v>1557</v>
      </c>
      <c r="B296" t="s">
        <v>674</v>
      </c>
      <c r="C296" t="str">
        <f t="shared" si="4"/>
        <v>BOYACASORA</v>
      </c>
      <c r="D296" t="s">
        <v>2700</v>
      </c>
      <c r="E296" t="s">
        <v>676</v>
      </c>
      <c r="F296" t="s">
        <v>675</v>
      </c>
    </row>
    <row r="297" spans="1:6" hidden="1" x14ac:dyDescent="0.2">
      <c r="A297" t="s">
        <v>1557</v>
      </c>
      <c r="B297" t="s">
        <v>677</v>
      </c>
      <c r="C297" t="str">
        <f t="shared" si="4"/>
        <v>BOYACASOTAQUIRA</v>
      </c>
      <c r="D297" t="s">
        <v>2700</v>
      </c>
      <c r="E297" t="s">
        <v>679</v>
      </c>
      <c r="F297" t="s">
        <v>678</v>
      </c>
    </row>
    <row r="298" spans="1:6" hidden="1" x14ac:dyDescent="0.2">
      <c r="A298" t="s">
        <v>1557</v>
      </c>
      <c r="B298" t="s">
        <v>680</v>
      </c>
      <c r="C298" t="str">
        <f t="shared" si="4"/>
        <v>BOYACASORACA</v>
      </c>
      <c r="D298" t="s">
        <v>2700</v>
      </c>
      <c r="E298" t="s">
        <v>682</v>
      </c>
      <c r="F298" t="s">
        <v>681</v>
      </c>
    </row>
    <row r="299" spans="1:6" hidden="1" x14ac:dyDescent="0.2">
      <c r="A299" t="s">
        <v>1557</v>
      </c>
      <c r="B299" t="s">
        <v>683</v>
      </c>
      <c r="C299" t="str">
        <f t="shared" si="4"/>
        <v>BOYACASUSACON</v>
      </c>
      <c r="D299" t="s">
        <v>2700</v>
      </c>
      <c r="E299" t="s">
        <v>685</v>
      </c>
      <c r="F299" t="s">
        <v>684</v>
      </c>
    </row>
    <row r="300" spans="1:6" hidden="1" x14ac:dyDescent="0.2">
      <c r="A300" t="s">
        <v>1557</v>
      </c>
      <c r="B300" t="s">
        <v>686</v>
      </c>
      <c r="C300" t="str">
        <f t="shared" si="4"/>
        <v>BOYACASUTAMARCHAN</v>
      </c>
      <c r="D300" t="s">
        <v>2700</v>
      </c>
      <c r="E300" t="s">
        <v>688</v>
      </c>
      <c r="F300" t="s">
        <v>687</v>
      </c>
    </row>
    <row r="301" spans="1:6" hidden="1" x14ac:dyDescent="0.2">
      <c r="A301" t="s">
        <v>1557</v>
      </c>
      <c r="B301" t="s">
        <v>689</v>
      </c>
      <c r="C301" t="str">
        <f t="shared" si="4"/>
        <v>BOYACASUTATENZA</v>
      </c>
      <c r="D301" t="s">
        <v>2700</v>
      </c>
      <c r="E301" t="s">
        <v>691</v>
      </c>
      <c r="F301" t="s">
        <v>690</v>
      </c>
    </row>
    <row r="302" spans="1:6" hidden="1" x14ac:dyDescent="0.2">
      <c r="A302" t="s">
        <v>1557</v>
      </c>
      <c r="B302" t="s">
        <v>2602</v>
      </c>
      <c r="C302" t="str">
        <f t="shared" si="4"/>
        <v>BOYACATASCO</v>
      </c>
      <c r="D302" t="s">
        <v>2700</v>
      </c>
      <c r="E302" t="s">
        <v>1379</v>
      </c>
      <c r="F302" t="s">
        <v>1665</v>
      </c>
    </row>
    <row r="303" spans="1:6" hidden="1" x14ac:dyDescent="0.2">
      <c r="A303" t="s">
        <v>1557</v>
      </c>
      <c r="B303" t="s">
        <v>692</v>
      </c>
      <c r="C303" t="str">
        <f t="shared" si="4"/>
        <v>BOYACATENZA</v>
      </c>
      <c r="D303" t="s">
        <v>2700</v>
      </c>
      <c r="E303" t="s">
        <v>694</v>
      </c>
      <c r="F303" t="s">
        <v>693</v>
      </c>
    </row>
    <row r="304" spans="1:6" hidden="1" x14ac:dyDescent="0.2">
      <c r="A304" t="s">
        <v>1557</v>
      </c>
      <c r="B304" t="s">
        <v>695</v>
      </c>
      <c r="C304" t="str">
        <f t="shared" si="4"/>
        <v>BOYACATIBANA</v>
      </c>
      <c r="D304" t="s">
        <v>2700</v>
      </c>
      <c r="E304" t="s">
        <v>2108</v>
      </c>
      <c r="F304" t="s">
        <v>696</v>
      </c>
    </row>
    <row r="305" spans="1:6" hidden="1" x14ac:dyDescent="0.2">
      <c r="A305" t="s">
        <v>1557</v>
      </c>
      <c r="B305" t="s">
        <v>697</v>
      </c>
      <c r="C305" t="str">
        <f t="shared" si="4"/>
        <v>BOYACATIBASOSA</v>
      </c>
      <c r="D305" t="s">
        <v>2700</v>
      </c>
      <c r="E305" t="s">
        <v>699</v>
      </c>
      <c r="F305" t="s">
        <v>698</v>
      </c>
    </row>
    <row r="306" spans="1:6" hidden="1" x14ac:dyDescent="0.2">
      <c r="A306" t="s">
        <v>1557</v>
      </c>
      <c r="B306" t="s">
        <v>700</v>
      </c>
      <c r="C306" t="str">
        <f t="shared" si="4"/>
        <v>BOYACATINJACA</v>
      </c>
      <c r="D306" t="s">
        <v>2700</v>
      </c>
      <c r="E306" t="s">
        <v>702</v>
      </c>
      <c r="F306" t="s">
        <v>701</v>
      </c>
    </row>
    <row r="307" spans="1:6" hidden="1" x14ac:dyDescent="0.2">
      <c r="A307" t="s">
        <v>1557</v>
      </c>
      <c r="B307" t="s">
        <v>1544</v>
      </c>
      <c r="C307" t="str">
        <f t="shared" si="4"/>
        <v>BOYACATIPACOQUE</v>
      </c>
      <c r="D307" t="s">
        <v>2700</v>
      </c>
      <c r="E307" t="s">
        <v>704</v>
      </c>
      <c r="F307" t="s">
        <v>703</v>
      </c>
    </row>
    <row r="308" spans="1:6" hidden="1" x14ac:dyDescent="0.2">
      <c r="A308" t="s">
        <v>1557</v>
      </c>
      <c r="B308" t="s">
        <v>705</v>
      </c>
      <c r="C308" t="str">
        <f t="shared" si="4"/>
        <v>BOYACATOCA</v>
      </c>
      <c r="D308" t="s">
        <v>2700</v>
      </c>
      <c r="E308" t="s">
        <v>707</v>
      </c>
      <c r="F308" t="s">
        <v>706</v>
      </c>
    </row>
    <row r="309" spans="1:6" hidden="1" x14ac:dyDescent="0.2">
      <c r="A309" t="s">
        <v>1557</v>
      </c>
      <c r="B309" t="s">
        <v>708</v>
      </c>
      <c r="C309" t="str">
        <f t="shared" si="4"/>
        <v>BOYACATOGUI</v>
      </c>
      <c r="D309" t="s">
        <v>2700</v>
      </c>
      <c r="E309" t="s">
        <v>710</v>
      </c>
      <c r="F309" t="s">
        <v>709</v>
      </c>
    </row>
    <row r="310" spans="1:6" hidden="1" x14ac:dyDescent="0.2">
      <c r="A310" t="s">
        <v>1557</v>
      </c>
      <c r="B310" t="s">
        <v>711</v>
      </c>
      <c r="C310" t="str">
        <f t="shared" si="4"/>
        <v>BOYACATOPAGA</v>
      </c>
      <c r="D310" t="s">
        <v>2700</v>
      </c>
      <c r="E310" t="s">
        <v>713</v>
      </c>
      <c r="F310" t="s">
        <v>712</v>
      </c>
    </row>
    <row r="311" spans="1:6" hidden="1" x14ac:dyDescent="0.2">
      <c r="A311" t="s">
        <v>1557</v>
      </c>
      <c r="B311" t="s">
        <v>714</v>
      </c>
      <c r="C311" t="str">
        <f t="shared" si="4"/>
        <v>BOYACATOTA</v>
      </c>
      <c r="D311" t="s">
        <v>2700</v>
      </c>
      <c r="E311" t="s">
        <v>716</v>
      </c>
      <c r="F311" t="s">
        <v>715</v>
      </c>
    </row>
    <row r="312" spans="1:6" hidden="1" x14ac:dyDescent="0.2">
      <c r="A312" t="s">
        <v>1557</v>
      </c>
      <c r="B312" t="s">
        <v>1448</v>
      </c>
      <c r="C312" t="str">
        <f t="shared" si="4"/>
        <v>BOYACATUNUNGUA</v>
      </c>
      <c r="D312" t="s">
        <v>2700</v>
      </c>
      <c r="E312" t="s">
        <v>2011</v>
      </c>
      <c r="F312" t="s">
        <v>717</v>
      </c>
    </row>
    <row r="313" spans="1:6" hidden="1" x14ac:dyDescent="0.2">
      <c r="A313" t="s">
        <v>1557</v>
      </c>
      <c r="B313" t="s">
        <v>718</v>
      </c>
      <c r="C313" t="str">
        <f t="shared" si="4"/>
        <v>BOYACATURMEQUE</v>
      </c>
      <c r="D313" t="s">
        <v>2700</v>
      </c>
      <c r="E313" t="s">
        <v>720</v>
      </c>
      <c r="F313" t="s">
        <v>719</v>
      </c>
    </row>
    <row r="314" spans="1:6" hidden="1" x14ac:dyDescent="0.2">
      <c r="A314" t="s">
        <v>1557</v>
      </c>
      <c r="B314" t="s">
        <v>2613</v>
      </c>
      <c r="C314" t="str">
        <f t="shared" si="4"/>
        <v>BOYACATUTA</v>
      </c>
      <c r="D314" t="s">
        <v>2700</v>
      </c>
      <c r="E314" t="s">
        <v>2806</v>
      </c>
      <c r="F314" t="s">
        <v>721</v>
      </c>
    </row>
    <row r="315" spans="1:6" hidden="1" x14ac:dyDescent="0.2">
      <c r="A315" t="s">
        <v>1557</v>
      </c>
      <c r="B315" t="s">
        <v>722</v>
      </c>
      <c r="C315" t="str">
        <f t="shared" si="4"/>
        <v>BOYACATUTAZA</v>
      </c>
      <c r="D315" t="s">
        <v>2700</v>
      </c>
      <c r="E315" t="s">
        <v>724</v>
      </c>
      <c r="F315" t="s">
        <v>723</v>
      </c>
    </row>
    <row r="316" spans="1:6" hidden="1" x14ac:dyDescent="0.2">
      <c r="A316" t="s">
        <v>1557</v>
      </c>
      <c r="B316" t="s">
        <v>2616</v>
      </c>
      <c r="C316" t="str">
        <f t="shared" si="4"/>
        <v>BOYACAUMBITA</v>
      </c>
      <c r="D316" t="s">
        <v>2700</v>
      </c>
      <c r="E316" t="s">
        <v>726</v>
      </c>
      <c r="F316" t="s">
        <v>725</v>
      </c>
    </row>
    <row r="317" spans="1:6" hidden="1" x14ac:dyDescent="0.2">
      <c r="A317" t="s">
        <v>1557</v>
      </c>
      <c r="B317" t="s">
        <v>2630</v>
      </c>
      <c r="C317" t="str">
        <f t="shared" si="4"/>
        <v>BOYACAVENTAQUEMADA</v>
      </c>
      <c r="D317" t="s">
        <v>2700</v>
      </c>
      <c r="E317" t="s">
        <v>728</v>
      </c>
      <c r="F317" t="s">
        <v>727</v>
      </c>
    </row>
    <row r="318" spans="1:6" hidden="1" x14ac:dyDescent="0.2">
      <c r="A318" t="s">
        <v>1557</v>
      </c>
      <c r="B318" t="s">
        <v>729</v>
      </c>
      <c r="C318" t="str">
        <f t="shared" si="4"/>
        <v>BOYACAVIRACACHA</v>
      </c>
      <c r="D318" t="s">
        <v>2700</v>
      </c>
      <c r="E318" t="s">
        <v>731</v>
      </c>
      <c r="F318" t="s">
        <v>730</v>
      </c>
    </row>
    <row r="319" spans="1:6" hidden="1" x14ac:dyDescent="0.2">
      <c r="A319" t="s">
        <v>1557</v>
      </c>
      <c r="B319" t="s">
        <v>732</v>
      </c>
      <c r="C319" t="str">
        <f t="shared" si="4"/>
        <v>BOYACAZETAQUIRA</v>
      </c>
      <c r="D319" t="s">
        <v>2700</v>
      </c>
      <c r="E319" t="s">
        <v>734</v>
      </c>
      <c r="F319" t="s">
        <v>733</v>
      </c>
    </row>
    <row r="320" spans="1:6" hidden="1" x14ac:dyDescent="0.2">
      <c r="A320" t="s">
        <v>735</v>
      </c>
      <c r="B320" t="s">
        <v>2321</v>
      </c>
      <c r="C320" t="str">
        <f t="shared" si="4"/>
        <v>CaldasMANIZALES</v>
      </c>
      <c r="D320" t="s">
        <v>736</v>
      </c>
      <c r="E320" t="s">
        <v>508</v>
      </c>
      <c r="F320" t="s">
        <v>1666</v>
      </c>
    </row>
    <row r="321" spans="1:6" hidden="1" x14ac:dyDescent="0.2">
      <c r="A321" t="s">
        <v>735</v>
      </c>
      <c r="B321" t="s">
        <v>737</v>
      </c>
      <c r="C321" t="str">
        <f t="shared" si="4"/>
        <v>CaldasAGUADAS</v>
      </c>
      <c r="D321" t="s">
        <v>736</v>
      </c>
      <c r="E321" t="s">
        <v>739</v>
      </c>
      <c r="F321" t="s">
        <v>738</v>
      </c>
    </row>
    <row r="322" spans="1:6" hidden="1" x14ac:dyDescent="0.2">
      <c r="A322" t="s">
        <v>735</v>
      </c>
      <c r="B322" t="s">
        <v>2347</v>
      </c>
      <c r="C322" t="str">
        <f t="shared" si="4"/>
        <v>CaldasANSERMA</v>
      </c>
      <c r="D322" t="s">
        <v>736</v>
      </c>
      <c r="E322" t="s">
        <v>1363</v>
      </c>
      <c r="F322" t="s">
        <v>1667</v>
      </c>
    </row>
    <row r="323" spans="1:6" hidden="1" x14ac:dyDescent="0.2">
      <c r="A323" t="s">
        <v>735</v>
      </c>
      <c r="B323" t="s">
        <v>740</v>
      </c>
      <c r="C323" t="str">
        <f t="shared" ref="C323:C386" si="5">D323&amp;E323</f>
        <v>CaldasARANZAZU</v>
      </c>
      <c r="D323" t="s">
        <v>736</v>
      </c>
      <c r="E323" t="s">
        <v>2063</v>
      </c>
      <c r="F323" t="s">
        <v>741</v>
      </c>
    </row>
    <row r="324" spans="1:6" hidden="1" x14ac:dyDescent="0.2">
      <c r="A324" t="s">
        <v>735</v>
      </c>
      <c r="B324" t="s">
        <v>2368</v>
      </c>
      <c r="C324" t="str">
        <f t="shared" si="5"/>
        <v>CaldasBELALCAZAR</v>
      </c>
      <c r="D324" t="s">
        <v>736</v>
      </c>
      <c r="E324" t="s">
        <v>2659</v>
      </c>
      <c r="F324" t="s">
        <v>742</v>
      </c>
    </row>
    <row r="325" spans="1:6" hidden="1" x14ac:dyDescent="0.2">
      <c r="A325" t="s">
        <v>735</v>
      </c>
      <c r="B325" t="s">
        <v>743</v>
      </c>
      <c r="C325" t="str">
        <f t="shared" si="5"/>
        <v>CaldasCHINCHINA</v>
      </c>
      <c r="D325" t="s">
        <v>736</v>
      </c>
      <c r="E325" t="s">
        <v>523</v>
      </c>
      <c r="F325" t="s">
        <v>744</v>
      </c>
    </row>
    <row r="326" spans="1:6" hidden="1" x14ac:dyDescent="0.2">
      <c r="A326" t="s">
        <v>735</v>
      </c>
      <c r="B326" t="s">
        <v>1643</v>
      </c>
      <c r="C326" t="str">
        <f t="shared" si="5"/>
        <v>CaldasFILADELFIA</v>
      </c>
      <c r="D326" t="s">
        <v>736</v>
      </c>
      <c r="E326" t="s">
        <v>2660</v>
      </c>
      <c r="F326" t="s">
        <v>1668</v>
      </c>
    </row>
    <row r="327" spans="1:6" hidden="1" x14ac:dyDescent="0.2">
      <c r="A327" t="s">
        <v>735</v>
      </c>
      <c r="B327" t="s">
        <v>2488</v>
      </c>
      <c r="C327" t="str">
        <f t="shared" si="5"/>
        <v>CaldasLA DORADA</v>
      </c>
      <c r="D327" t="s">
        <v>736</v>
      </c>
      <c r="E327" t="s">
        <v>2676</v>
      </c>
      <c r="F327" t="s">
        <v>745</v>
      </c>
    </row>
    <row r="328" spans="1:6" hidden="1" x14ac:dyDescent="0.2">
      <c r="A328" t="s">
        <v>735</v>
      </c>
      <c r="B328" t="s">
        <v>746</v>
      </c>
      <c r="C328" t="str">
        <f t="shared" si="5"/>
        <v>CaldasLA MERCED</v>
      </c>
      <c r="D328" t="s">
        <v>736</v>
      </c>
      <c r="E328" t="s">
        <v>2099</v>
      </c>
      <c r="F328" t="s">
        <v>1669</v>
      </c>
    </row>
    <row r="329" spans="1:6" hidden="1" x14ac:dyDescent="0.2">
      <c r="A329" t="s">
        <v>735</v>
      </c>
      <c r="B329" t="s">
        <v>1411</v>
      </c>
      <c r="C329" t="str">
        <f t="shared" si="5"/>
        <v>CaldasMANZANARES</v>
      </c>
      <c r="D329" t="s">
        <v>736</v>
      </c>
      <c r="E329" t="s">
        <v>1340</v>
      </c>
      <c r="F329" t="s">
        <v>747</v>
      </c>
    </row>
    <row r="330" spans="1:6" hidden="1" x14ac:dyDescent="0.2">
      <c r="A330" t="s">
        <v>735</v>
      </c>
      <c r="B330" t="s">
        <v>1496</v>
      </c>
      <c r="C330" t="str">
        <f t="shared" si="5"/>
        <v>CaldasMARMATO</v>
      </c>
      <c r="D330" t="s">
        <v>736</v>
      </c>
      <c r="E330" t="s">
        <v>749</v>
      </c>
      <c r="F330" t="s">
        <v>748</v>
      </c>
    </row>
    <row r="331" spans="1:6" hidden="1" x14ac:dyDescent="0.2">
      <c r="A331" t="s">
        <v>735</v>
      </c>
      <c r="B331" t="s">
        <v>750</v>
      </c>
      <c r="C331" t="str">
        <f t="shared" si="5"/>
        <v>CaldasMARQUETALIA</v>
      </c>
      <c r="D331" t="s">
        <v>736</v>
      </c>
      <c r="E331" t="s">
        <v>752</v>
      </c>
      <c r="F331" t="s">
        <v>751</v>
      </c>
    </row>
    <row r="332" spans="1:6" hidden="1" x14ac:dyDescent="0.2">
      <c r="A332" t="s">
        <v>735</v>
      </c>
      <c r="B332" t="s">
        <v>753</v>
      </c>
      <c r="C332" t="str">
        <f t="shared" si="5"/>
        <v>CaldasMARULANDA</v>
      </c>
      <c r="D332" t="s">
        <v>736</v>
      </c>
      <c r="E332" t="s">
        <v>755</v>
      </c>
      <c r="F332" t="s">
        <v>754</v>
      </c>
    </row>
    <row r="333" spans="1:6" hidden="1" x14ac:dyDescent="0.2">
      <c r="A333" t="s">
        <v>735</v>
      </c>
      <c r="B333" t="s">
        <v>756</v>
      </c>
      <c r="C333" t="str">
        <f t="shared" si="5"/>
        <v>CaldasNEIRA</v>
      </c>
      <c r="D333" t="s">
        <v>736</v>
      </c>
      <c r="E333" t="s">
        <v>758</v>
      </c>
      <c r="F333" t="s">
        <v>757</v>
      </c>
    </row>
    <row r="334" spans="1:6" hidden="1" x14ac:dyDescent="0.2">
      <c r="A334" t="s">
        <v>735</v>
      </c>
      <c r="B334" t="s">
        <v>2517</v>
      </c>
      <c r="C334" t="str">
        <f t="shared" si="5"/>
        <v>CaldasNORCASIA</v>
      </c>
      <c r="D334" t="s">
        <v>736</v>
      </c>
      <c r="E334" t="s">
        <v>524</v>
      </c>
      <c r="F334" t="s">
        <v>1670</v>
      </c>
    </row>
    <row r="335" spans="1:6" hidden="1" x14ac:dyDescent="0.2">
      <c r="A335" t="s">
        <v>735</v>
      </c>
      <c r="B335" t="s">
        <v>759</v>
      </c>
      <c r="C335" t="str">
        <f t="shared" si="5"/>
        <v>CaldasPACORA</v>
      </c>
      <c r="D335" t="s">
        <v>736</v>
      </c>
      <c r="E335" t="s">
        <v>2221</v>
      </c>
      <c r="F335" t="s">
        <v>760</v>
      </c>
    </row>
    <row r="336" spans="1:6" hidden="1" x14ac:dyDescent="0.2">
      <c r="A336" t="s">
        <v>735</v>
      </c>
      <c r="B336" t="s">
        <v>761</v>
      </c>
      <c r="C336" t="str">
        <f t="shared" si="5"/>
        <v>CaldasPALESTINA</v>
      </c>
      <c r="D336" t="s">
        <v>736</v>
      </c>
      <c r="E336" t="s">
        <v>2112</v>
      </c>
      <c r="F336" t="s">
        <v>762</v>
      </c>
    </row>
    <row r="337" spans="1:6" hidden="1" x14ac:dyDescent="0.2">
      <c r="A337" t="s">
        <v>735</v>
      </c>
      <c r="B337" t="s">
        <v>2523</v>
      </c>
      <c r="C337" t="str">
        <f t="shared" si="5"/>
        <v>CaldasPENSILVANIA</v>
      </c>
      <c r="D337" t="s">
        <v>736</v>
      </c>
      <c r="E337" t="s">
        <v>764</v>
      </c>
      <c r="F337" t="s">
        <v>763</v>
      </c>
    </row>
    <row r="338" spans="1:6" hidden="1" x14ac:dyDescent="0.2">
      <c r="A338" t="s">
        <v>735</v>
      </c>
      <c r="B338" t="s">
        <v>765</v>
      </c>
      <c r="C338" t="str">
        <f t="shared" si="5"/>
        <v>CaldasRIOSUCIO</v>
      </c>
      <c r="D338" t="s">
        <v>736</v>
      </c>
      <c r="E338" t="s">
        <v>2110</v>
      </c>
      <c r="F338" t="s">
        <v>766</v>
      </c>
    </row>
    <row r="339" spans="1:6" hidden="1" x14ac:dyDescent="0.2">
      <c r="A339" t="s">
        <v>735</v>
      </c>
      <c r="B339" t="s">
        <v>767</v>
      </c>
      <c r="C339" t="str">
        <f t="shared" si="5"/>
        <v>CaldasRISARALDA</v>
      </c>
      <c r="D339" t="s">
        <v>736</v>
      </c>
      <c r="E339" t="s">
        <v>2774</v>
      </c>
      <c r="F339" t="s">
        <v>768</v>
      </c>
    </row>
    <row r="340" spans="1:6" hidden="1" x14ac:dyDescent="0.2">
      <c r="A340" t="s">
        <v>735</v>
      </c>
      <c r="B340" t="s">
        <v>769</v>
      </c>
      <c r="C340" t="str">
        <f t="shared" si="5"/>
        <v>CaldasSALAMINA</v>
      </c>
      <c r="D340" t="s">
        <v>736</v>
      </c>
      <c r="E340" t="s">
        <v>1367</v>
      </c>
      <c r="F340" t="s">
        <v>770</v>
      </c>
    </row>
    <row r="341" spans="1:6" hidden="1" x14ac:dyDescent="0.2">
      <c r="A341" t="s">
        <v>735</v>
      </c>
      <c r="B341" t="s">
        <v>771</v>
      </c>
      <c r="C341" t="str">
        <f t="shared" si="5"/>
        <v>CaldasSAMANA</v>
      </c>
      <c r="D341" t="s">
        <v>736</v>
      </c>
      <c r="E341" t="s">
        <v>2123</v>
      </c>
      <c r="F341" t="s">
        <v>772</v>
      </c>
    </row>
    <row r="342" spans="1:6" hidden="1" x14ac:dyDescent="0.2">
      <c r="A342" t="s">
        <v>735</v>
      </c>
      <c r="B342" t="s">
        <v>2572</v>
      </c>
      <c r="C342" t="str">
        <f t="shared" si="5"/>
        <v>CaldasSAN JOSE</v>
      </c>
      <c r="D342" t="s">
        <v>736</v>
      </c>
      <c r="E342" t="s">
        <v>774</v>
      </c>
      <c r="F342" t="s">
        <v>773</v>
      </c>
    </row>
    <row r="343" spans="1:6" hidden="1" x14ac:dyDescent="0.2">
      <c r="A343" t="s">
        <v>735</v>
      </c>
      <c r="B343" t="s">
        <v>775</v>
      </c>
      <c r="C343" t="str">
        <f t="shared" si="5"/>
        <v>CaldasSUPIA</v>
      </c>
      <c r="D343" t="s">
        <v>736</v>
      </c>
      <c r="E343" t="s">
        <v>777</v>
      </c>
      <c r="F343" t="s">
        <v>776</v>
      </c>
    </row>
    <row r="344" spans="1:6" hidden="1" x14ac:dyDescent="0.2">
      <c r="A344" t="s">
        <v>735</v>
      </c>
      <c r="B344" t="s">
        <v>778</v>
      </c>
      <c r="C344" t="str">
        <f t="shared" si="5"/>
        <v>CaldasVICTORIA</v>
      </c>
      <c r="D344" t="s">
        <v>736</v>
      </c>
      <c r="E344" t="s">
        <v>780</v>
      </c>
      <c r="F344" t="s">
        <v>779</v>
      </c>
    </row>
    <row r="345" spans="1:6" hidden="1" x14ac:dyDescent="0.2">
      <c r="A345" t="s">
        <v>735</v>
      </c>
      <c r="B345" t="s">
        <v>2632</v>
      </c>
      <c r="C345" t="str">
        <f t="shared" si="5"/>
        <v>CaldasVILLAMARIA</v>
      </c>
      <c r="D345" t="s">
        <v>736</v>
      </c>
      <c r="E345" t="s">
        <v>2683</v>
      </c>
      <c r="F345" t="s">
        <v>1671</v>
      </c>
    </row>
    <row r="346" spans="1:6" hidden="1" x14ac:dyDescent="0.2">
      <c r="A346" t="s">
        <v>735</v>
      </c>
      <c r="B346" t="s">
        <v>781</v>
      </c>
      <c r="C346" t="str">
        <f t="shared" si="5"/>
        <v>CaldasVITERBO</v>
      </c>
      <c r="D346" t="s">
        <v>736</v>
      </c>
      <c r="E346" t="s">
        <v>783</v>
      </c>
      <c r="F346" t="s">
        <v>782</v>
      </c>
    </row>
    <row r="347" spans="1:6" hidden="1" x14ac:dyDescent="0.2">
      <c r="A347" t="s">
        <v>784</v>
      </c>
      <c r="B347" t="s">
        <v>2321</v>
      </c>
      <c r="C347" t="str">
        <f t="shared" si="5"/>
        <v>CAQUETAFLORENCIA</v>
      </c>
      <c r="D347" t="s">
        <v>2087</v>
      </c>
      <c r="E347" t="s">
        <v>2692</v>
      </c>
      <c r="F347" t="s">
        <v>1672</v>
      </c>
    </row>
    <row r="348" spans="1:6" hidden="1" x14ac:dyDescent="0.2">
      <c r="A348" t="s">
        <v>784</v>
      </c>
      <c r="B348" t="s">
        <v>785</v>
      </c>
      <c r="C348" t="str">
        <f t="shared" si="5"/>
        <v>CAQUETAALBANIA</v>
      </c>
      <c r="D348" t="s">
        <v>2087</v>
      </c>
      <c r="E348" t="s">
        <v>787</v>
      </c>
      <c r="F348" t="s">
        <v>786</v>
      </c>
    </row>
    <row r="349" spans="1:6" hidden="1" x14ac:dyDescent="0.2">
      <c r="A349" t="s">
        <v>784</v>
      </c>
      <c r="B349" t="s">
        <v>788</v>
      </c>
      <c r="C349" t="str">
        <f t="shared" si="5"/>
        <v>CAQUETABELEN DE LOS ANDAQUIES</v>
      </c>
      <c r="D349" t="s">
        <v>2087</v>
      </c>
      <c r="E349" t="s">
        <v>2072</v>
      </c>
      <c r="F349" t="s">
        <v>1673</v>
      </c>
    </row>
    <row r="350" spans="1:6" hidden="1" x14ac:dyDescent="0.2">
      <c r="A350" t="s">
        <v>784</v>
      </c>
      <c r="B350" t="s">
        <v>2407</v>
      </c>
      <c r="C350" t="str">
        <f t="shared" si="5"/>
        <v>CAQUETACARTAGENA DEL CHAIRA</v>
      </c>
      <c r="D350" t="s">
        <v>2087</v>
      </c>
      <c r="E350" t="s">
        <v>790</v>
      </c>
      <c r="F350" t="s">
        <v>789</v>
      </c>
    </row>
    <row r="351" spans="1:6" hidden="1" x14ac:dyDescent="0.2">
      <c r="A351" t="s">
        <v>784</v>
      </c>
      <c r="B351" t="s">
        <v>791</v>
      </c>
      <c r="C351" t="str">
        <f t="shared" si="5"/>
        <v>CAQUETACURILLO</v>
      </c>
      <c r="D351" t="s">
        <v>2087</v>
      </c>
      <c r="E351" t="s">
        <v>2088</v>
      </c>
      <c r="F351" t="s">
        <v>792</v>
      </c>
    </row>
    <row r="352" spans="1:6" hidden="1" x14ac:dyDescent="0.2">
      <c r="A352" t="s">
        <v>784</v>
      </c>
      <c r="B352" t="s">
        <v>793</v>
      </c>
      <c r="C352" t="str">
        <f t="shared" si="5"/>
        <v>CAQUETAEL DONCELLO</v>
      </c>
      <c r="D352" t="s">
        <v>2087</v>
      </c>
      <c r="E352" t="s">
        <v>795</v>
      </c>
      <c r="F352" t="s">
        <v>794</v>
      </c>
    </row>
    <row r="353" spans="1:6" hidden="1" x14ac:dyDescent="0.2">
      <c r="A353" t="s">
        <v>784</v>
      </c>
      <c r="B353" t="s">
        <v>796</v>
      </c>
      <c r="C353" t="str">
        <f t="shared" si="5"/>
        <v>CAQUETAEL PAUJIL</v>
      </c>
      <c r="D353" t="s">
        <v>2087</v>
      </c>
      <c r="E353" t="s">
        <v>798</v>
      </c>
      <c r="F353" t="s">
        <v>797</v>
      </c>
    </row>
    <row r="354" spans="1:6" hidden="1" x14ac:dyDescent="0.2">
      <c r="A354" t="s">
        <v>784</v>
      </c>
      <c r="B354" t="s">
        <v>799</v>
      </c>
      <c r="C354" t="str">
        <f t="shared" si="5"/>
        <v>CAQUETALA MONTAÑITA</v>
      </c>
      <c r="D354" t="s">
        <v>2087</v>
      </c>
      <c r="E354" t="s">
        <v>801</v>
      </c>
      <c r="F354" t="s">
        <v>800</v>
      </c>
    </row>
    <row r="355" spans="1:6" hidden="1" x14ac:dyDescent="0.2">
      <c r="A355" t="s">
        <v>784</v>
      </c>
      <c r="B355" t="s">
        <v>802</v>
      </c>
      <c r="C355" t="str">
        <f t="shared" si="5"/>
        <v>CAQUETAMILAN</v>
      </c>
      <c r="D355" t="s">
        <v>2087</v>
      </c>
      <c r="E355" t="s">
        <v>1341</v>
      </c>
      <c r="F355" t="s">
        <v>803</v>
      </c>
    </row>
    <row r="356" spans="1:6" hidden="1" x14ac:dyDescent="0.2">
      <c r="A356" t="s">
        <v>784</v>
      </c>
      <c r="B356" t="s">
        <v>804</v>
      </c>
      <c r="C356" t="str">
        <f t="shared" si="5"/>
        <v>CAQUETAMORELIA</v>
      </c>
      <c r="D356" t="s">
        <v>2087</v>
      </c>
      <c r="E356" t="s">
        <v>806</v>
      </c>
      <c r="F356" t="s">
        <v>805</v>
      </c>
    </row>
    <row r="357" spans="1:6" hidden="1" x14ac:dyDescent="0.2">
      <c r="A357" t="s">
        <v>784</v>
      </c>
      <c r="B357" t="s">
        <v>807</v>
      </c>
      <c r="C357" t="str">
        <f t="shared" si="5"/>
        <v>CAQUETAPUERTO RICO</v>
      </c>
      <c r="D357" t="s">
        <v>2087</v>
      </c>
      <c r="E357" t="s">
        <v>2052</v>
      </c>
      <c r="F357" t="s">
        <v>808</v>
      </c>
    </row>
    <row r="358" spans="1:6" hidden="1" x14ac:dyDescent="0.2">
      <c r="A358" t="s">
        <v>784</v>
      </c>
      <c r="B358" t="s">
        <v>809</v>
      </c>
      <c r="C358" t="str">
        <f t="shared" si="5"/>
        <v>CAQUETASAN JOSE DEL FRAGUA</v>
      </c>
      <c r="D358" t="s">
        <v>2087</v>
      </c>
      <c r="E358" t="s">
        <v>811</v>
      </c>
      <c r="F358" t="s">
        <v>810</v>
      </c>
    </row>
    <row r="359" spans="1:6" hidden="1" x14ac:dyDescent="0.2">
      <c r="A359" t="s">
        <v>784</v>
      </c>
      <c r="B359" t="s">
        <v>661</v>
      </c>
      <c r="C359" t="str">
        <f t="shared" si="5"/>
        <v>CAQUETASAN VICENTE DEL CAGUAN</v>
      </c>
      <c r="D359" t="s">
        <v>2087</v>
      </c>
      <c r="E359" t="s">
        <v>813</v>
      </c>
      <c r="F359" t="s">
        <v>812</v>
      </c>
    </row>
    <row r="360" spans="1:6" hidden="1" x14ac:dyDescent="0.2">
      <c r="A360" t="s">
        <v>784</v>
      </c>
      <c r="B360" t="s">
        <v>2595</v>
      </c>
      <c r="C360" t="str">
        <f t="shared" si="5"/>
        <v>CAQUETASOLANO</v>
      </c>
      <c r="D360" t="s">
        <v>2087</v>
      </c>
      <c r="E360" t="s">
        <v>815</v>
      </c>
      <c r="F360" t="s">
        <v>814</v>
      </c>
    </row>
    <row r="361" spans="1:6" hidden="1" x14ac:dyDescent="0.2">
      <c r="A361" t="s">
        <v>784</v>
      </c>
      <c r="B361" t="s">
        <v>816</v>
      </c>
      <c r="C361" t="str">
        <f t="shared" si="5"/>
        <v>CAQUETASOLITA</v>
      </c>
      <c r="D361" t="s">
        <v>2087</v>
      </c>
      <c r="E361" t="s">
        <v>1352</v>
      </c>
      <c r="F361" t="s">
        <v>1674</v>
      </c>
    </row>
    <row r="362" spans="1:6" hidden="1" x14ac:dyDescent="0.2">
      <c r="A362" t="s">
        <v>784</v>
      </c>
      <c r="B362" t="s">
        <v>817</v>
      </c>
      <c r="C362" t="str">
        <f t="shared" si="5"/>
        <v>CAQUETAVALPARAISO</v>
      </c>
      <c r="D362" t="s">
        <v>2087</v>
      </c>
      <c r="E362" t="s">
        <v>2626</v>
      </c>
      <c r="F362" t="s">
        <v>818</v>
      </c>
    </row>
    <row r="363" spans="1:6" hidden="1" x14ac:dyDescent="0.2">
      <c r="A363" t="s">
        <v>819</v>
      </c>
      <c r="B363" t="s">
        <v>2321</v>
      </c>
      <c r="C363" t="str">
        <f t="shared" si="5"/>
        <v>CaucaPOPAYAN</v>
      </c>
      <c r="D363" t="s">
        <v>820</v>
      </c>
      <c r="E363" t="s">
        <v>2731</v>
      </c>
      <c r="F363" t="s">
        <v>1675</v>
      </c>
    </row>
    <row r="364" spans="1:6" hidden="1" x14ac:dyDescent="0.2">
      <c r="A364" t="s">
        <v>819</v>
      </c>
      <c r="B364" t="s">
        <v>1559</v>
      </c>
      <c r="C364" t="str">
        <f t="shared" si="5"/>
        <v>CaucaALMAGUER</v>
      </c>
      <c r="D364" t="s">
        <v>820</v>
      </c>
      <c r="E364" t="s">
        <v>822</v>
      </c>
      <c r="F364" t="s">
        <v>821</v>
      </c>
    </row>
    <row r="365" spans="1:6" hidden="1" x14ac:dyDescent="0.2">
      <c r="A365" t="s">
        <v>819</v>
      </c>
      <c r="B365" t="s">
        <v>740</v>
      </c>
      <c r="C365" t="str">
        <f t="shared" si="5"/>
        <v>CaucaARGELIA</v>
      </c>
      <c r="D365" t="s">
        <v>820</v>
      </c>
      <c r="E365" t="s">
        <v>1346</v>
      </c>
      <c r="F365" t="s">
        <v>823</v>
      </c>
    </row>
    <row r="366" spans="1:6" hidden="1" x14ac:dyDescent="0.2">
      <c r="A366" t="s">
        <v>819</v>
      </c>
      <c r="B366" t="s">
        <v>824</v>
      </c>
      <c r="C366" t="str">
        <f t="shared" si="5"/>
        <v>CaucaBALBOA</v>
      </c>
      <c r="D366" t="s">
        <v>820</v>
      </c>
      <c r="E366" t="s">
        <v>2216</v>
      </c>
      <c r="F366" t="s">
        <v>825</v>
      </c>
    </row>
    <row r="367" spans="1:6" hidden="1" x14ac:dyDescent="0.2">
      <c r="A367" t="s">
        <v>819</v>
      </c>
      <c r="B367" t="s">
        <v>826</v>
      </c>
      <c r="C367" t="str">
        <f t="shared" si="5"/>
        <v>CaucaBOLIVAR</v>
      </c>
      <c r="D367" t="s">
        <v>820</v>
      </c>
      <c r="E367" t="s">
        <v>2777</v>
      </c>
      <c r="F367" t="s">
        <v>827</v>
      </c>
    </row>
    <row r="368" spans="1:6" hidden="1" x14ac:dyDescent="0.2">
      <c r="A368" t="s">
        <v>819</v>
      </c>
      <c r="B368" t="s">
        <v>828</v>
      </c>
      <c r="C368" t="str">
        <f t="shared" si="5"/>
        <v>CaucaBUENOS AIRES</v>
      </c>
      <c r="D368" t="s">
        <v>820</v>
      </c>
      <c r="E368" t="s">
        <v>483</v>
      </c>
      <c r="F368" t="s">
        <v>1676</v>
      </c>
    </row>
    <row r="369" spans="1:6" hidden="1" x14ac:dyDescent="0.2">
      <c r="A369" t="s">
        <v>819</v>
      </c>
      <c r="B369" t="s">
        <v>829</v>
      </c>
      <c r="C369" t="str">
        <f t="shared" si="5"/>
        <v>CaucaCAJIBIO</v>
      </c>
      <c r="D369" t="s">
        <v>820</v>
      </c>
      <c r="E369" t="s">
        <v>2066</v>
      </c>
      <c r="F369" t="s">
        <v>1677</v>
      </c>
    </row>
    <row r="370" spans="1:6" hidden="1" x14ac:dyDescent="0.2">
      <c r="A370" t="s">
        <v>819</v>
      </c>
      <c r="B370" t="s">
        <v>2654</v>
      </c>
      <c r="C370" t="str">
        <f t="shared" si="5"/>
        <v>CaucaCALDONO</v>
      </c>
      <c r="D370" t="s">
        <v>820</v>
      </c>
      <c r="E370" t="s">
        <v>831</v>
      </c>
      <c r="F370" t="s">
        <v>830</v>
      </c>
    </row>
    <row r="371" spans="1:6" hidden="1" x14ac:dyDescent="0.2">
      <c r="A371" t="s">
        <v>819</v>
      </c>
      <c r="B371" t="s">
        <v>2395</v>
      </c>
      <c r="C371" t="str">
        <f t="shared" si="5"/>
        <v>CaucaCALOTO</v>
      </c>
      <c r="D371" t="s">
        <v>820</v>
      </c>
      <c r="E371" t="s">
        <v>510</v>
      </c>
      <c r="F371" t="s">
        <v>832</v>
      </c>
    </row>
    <row r="372" spans="1:6" hidden="1" x14ac:dyDescent="0.2">
      <c r="A372" t="s">
        <v>819</v>
      </c>
      <c r="B372" t="s">
        <v>2428</v>
      </c>
      <c r="C372" t="str">
        <f t="shared" si="5"/>
        <v>CaucaCORINTO</v>
      </c>
      <c r="D372" t="s">
        <v>820</v>
      </c>
      <c r="E372" t="s">
        <v>2686</v>
      </c>
      <c r="F372" t="s">
        <v>833</v>
      </c>
    </row>
    <row r="373" spans="1:6" hidden="1" x14ac:dyDescent="0.2">
      <c r="A373" t="s">
        <v>819</v>
      </c>
      <c r="B373" t="s">
        <v>796</v>
      </c>
      <c r="C373" t="str">
        <f t="shared" si="5"/>
        <v>CaucaEL TAMBO</v>
      </c>
      <c r="D373" t="s">
        <v>820</v>
      </c>
      <c r="E373" t="s">
        <v>501</v>
      </c>
      <c r="F373" t="s">
        <v>834</v>
      </c>
    </row>
    <row r="374" spans="1:6" hidden="1" x14ac:dyDescent="0.2">
      <c r="A374" t="s">
        <v>819</v>
      </c>
      <c r="B374" t="s">
        <v>835</v>
      </c>
      <c r="C374" t="str">
        <f t="shared" si="5"/>
        <v>CaucaFLORENCIA</v>
      </c>
      <c r="D374" t="s">
        <v>820</v>
      </c>
      <c r="E374" t="s">
        <v>2692</v>
      </c>
      <c r="F374" t="s">
        <v>836</v>
      </c>
    </row>
    <row r="375" spans="1:6" hidden="1" x14ac:dyDescent="0.2">
      <c r="A375" t="s">
        <v>819</v>
      </c>
      <c r="B375" t="s">
        <v>1490</v>
      </c>
      <c r="C375" t="str">
        <f t="shared" si="5"/>
        <v>CaucaGUACHENE</v>
      </c>
      <c r="D375" t="s">
        <v>820</v>
      </c>
      <c r="E375" t="s">
        <v>512</v>
      </c>
      <c r="F375" t="s">
        <v>837</v>
      </c>
    </row>
    <row r="376" spans="1:6" hidden="1" x14ac:dyDescent="0.2">
      <c r="A376" t="s">
        <v>819</v>
      </c>
      <c r="B376" t="s">
        <v>2464</v>
      </c>
      <c r="C376" t="str">
        <f t="shared" si="5"/>
        <v>CaucaGUAPI</v>
      </c>
      <c r="D376" t="s">
        <v>820</v>
      </c>
      <c r="E376" t="s">
        <v>1377</v>
      </c>
      <c r="F376" t="s">
        <v>838</v>
      </c>
    </row>
    <row r="377" spans="1:6" hidden="1" x14ac:dyDescent="0.2">
      <c r="A377" t="s">
        <v>819</v>
      </c>
      <c r="B377" t="s">
        <v>839</v>
      </c>
      <c r="C377" t="str">
        <f t="shared" si="5"/>
        <v>CaucaINZA</v>
      </c>
      <c r="D377" t="s">
        <v>820</v>
      </c>
      <c r="E377" t="s">
        <v>2809</v>
      </c>
      <c r="F377" t="s">
        <v>840</v>
      </c>
    </row>
    <row r="378" spans="1:6" hidden="1" x14ac:dyDescent="0.2">
      <c r="A378" t="s">
        <v>819</v>
      </c>
      <c r="B378" t="s">
        <v>2480</v>
      </c>
      <c r="C378" t="str">
        <f t="shared" si="5"/>
        <v>CaucaJAMBALO</v>
      </c>
      <c r="D378" t="s">
        <v>820</v>
      </c>
      <c r="E378" t="s">
        <v>1359</v>
      </c>
      <c r="F378" t="s">
        <v>841</v>
      </c>
    </row>
    <row r="379" spans="1:6" hidden="1" x14ac:dyDescent="0.2">
      <c r="A379" t="s">
        <v>819</v>
      </c>
      <c r="B379" t="s">
        <v>842</v>
      </c>
      <c r="C379" t="str">
        <f t="shared" si="5"/>
        <v>CaucaLA SIERRA</v>
      </c>
      <c r="D379" t="s">
        <v>820</v>
      </c>
      <c r="E379" t="s">
        <v>844</v>
      </c>
      <c r="F379" t="s">
        <v>843</v>
      </c>
    </row>
    <row r="380" spans="1:6" hidden="1" x14ac:dyDescent="0.2">
      <c r="A380" t="s">
        <v>819</v>
      </c>
      <c r="B380" t="s">
        <v>845</v>
      </c>
      <c r="C380" t="str">
        <f t="shared" si="5"/>
        <v>CaucaLA VEGA</v>
      </c>
      <c r="D380" t="s">
        <v>820</v>
      </c>
      <c r="E380" t="s">
        <v>2100</v>
      </c>
      <c r="F380" t="s">
        <v>1678</v>
      </c>
    </row>
    <row r="381" spans="1:6" hidden="1" x14ac:dyDescent="0.2">
      <c r="A381" t="s">
        <v>819</v>
      </c>
      <c r="B381" t="s">
        <v>846</v>
      </c>
      <c r="C381" t="str">
        <f t="shared" si="5"/>
        <v>CaucaLOPEZ DE MICAY</v>
      </c>
      <c r="D381" t="s">
        <v>820</v>
      </c>
      <c r="E381" s="57" t="s">
        <v>516</v>
      </c>
      <c r="F381" t="s">
        <v>1679</v>
      </c>
    </row>
    <row r="382" spans="1:6" hidden="1" x14ac:dyDescent="0.2">
      <c r="A382" t="s">
        <v>819</v>
      </c>
      <c r="B382" t="s">
        <v>847</v>
      </c>
      <c r="C382" t="str">
        <f t="shared" si="5"/>
        <v>CaucaMERCADERES</v>
      </c>
      <c r="D382" t="s">
        <v>820</v>
      </c>
      <c r="E382" t="s">
        <v>849</v>
      </c>
      <c r="F382" t="s">
        <v>848</v>
      </c>
    </row>
    <row r="383" spans="1:6" hidden="1" x14ac:dyDescent="0.2">
      <c r="A383" t="s">
        <v>819</v>
      </c>
      <c r="B383" t="s">
        <v>564</v>
      </c>
      <c r="C383" t="str">
        <f t="shared" si="5"/>
        <v>CaucaMIRANDA</v>
      </c>
      <c r="D383" t="s">
        <v>820</v>
      </c>
      <c r="E383" t="s">
        <v>2093</v>
      </c>
      <c r="F383" t="s">
        <v>850</v>
      </c>
    </row>
    <row r="384" spans="1:6" hidden="1" x14ac:dyDescent="0.2">
      <c r="A384" t="s">
        <v>819</v>
      </c>
      <c r="B384" t="s">
        <v>1503</v>
      </c>
      <c r="C384" t="str">
        <f t="shared" si="5"/>
        <v>CaucaMORALES</v>
      </c>
      <c r="D384" t="s">
        <v>820</v>
      </c>
      <c r="E384" t="s">
        <v>2738</v>
      </c>
      <c r="F384" t="s">
        <v>851</v>
      </c>
    </row>
    <row r="385" spans="1:6" hidden="1" x14ac:dyDescent="0.2">
      <c r="A385" t="s">
        <v>819</v>
      </c>
      <c r="B385" t="s">
        <v>759</v>
      </c>
      <c r="C385" t="str">
        <f t="shared" si="5"/>
        <v>CaucaPADILLA</v>
      </c>
      <c r="D385" t="s">
        <v>820</v>
      </c>
      <c r="E385" t="s">
        <v>1371</v>
      </c>
      <c r="F385" t="s">
        <v>852</v>
      </c>
    </row>
    <row r="386" spans="1:6" hidden="1" x14ac:dyDescent="0.2">
      <c r="A386" t="s">
        <v>819</v>
      </c>
      <c r="B386" t="s">
        <v>853</v>
      </c>
      <c r="C386" t="str">
        <f t="shared" si="5"/>
        <v>CaucaPAEZ</v>
      </c>
      <c r="D386" t="s">
        <v>820</v>
      </c>
      <c r="E386" t="s">
        <v>2770</v>
      </c>
      <c r="F386" t="s">
        <v>854</v>
      </c>
    </row>
    <row r="387" spans="1:6" hidden="1" x14ac:dyDescent="0.2">
      <c r="A387" t="s">
        <v>819</v>
      </c>
      <c r="B387" t="s">
        <v>855</v>
      </c>
      <c r="C387" t="str">
        <f t="shared" ref="C387:C450" si="6">D387&amp;E387</f>
        <v>CaucaPATIA</v>
      </c>
      <c r="D387" t="s">
        <v>820</v>
      </c>
      <c r="E387" t="s">
        <v>2081</v>
      </c>
      <c r="F387" t="s">
        <v>856</v>
      </c>
    </row>
    <row r="388" spans="1:6" hidden="1" x14ac:dyDescent="0.2">
      <c r="A388" t="s">
        <v>819</v>
      </c>
      <c r="B388" t="s">
        <v>606</v>
      </c>
      <c r="C388" t="str">
        <f t="shared" si="6"/>
        <v>CaucaPIAMONTE</v>
      </c>
      <c r="D388" t="s">
        <v>820</v>
      </c>
      <c r="E388" t="s">
        <v>2803</v>
      </c>
      <c r="F388" t="s">
        <v>857</v>
      </c>
    </row>
    <row r="389" spans="1:6" hidden="1" x14ac:dyDescent="0.2">
      <c r="A389" t="s">
        <v>819</v>
      </c>
      <c r="B389" t="s">
        <v>858</v>
      </c>
      <c r="C389" t="str">
        <f t="shared" si="6"/>
        <v>CaucaPIENDAMO</v>
      </c>
      <c r="D389" t="s">
        <v>820</v>
      </c>
      <c r="E389" t="s">
        <v>2124</v>
      </c>
      <c r="F389" t="s">
        <v>1680</v>
      </c>
    </row>
    <row r="390" spans="1:6" hidden="1" x14ac:dyDescent="0.2">
      <c r="A390" t="s">
        <v>819</v>
      </c>
      <c r="B390" t="s">
        <v>1428</v>
      </c>
      <c r="C390" t="str">
        <f t="shared" si="6"/>
        <v>CaucaPUERTO TEJADA</v>
      </c>
      <c r="D390" t="s">
        <v>820</v>
      </c>
      <c r="E390" t="s">
        <v>860</v>
      </c>
      <c r="F390" t="s">
        <v>859</v>
      </c>
    </row>
    <row r="391" spans="1:6" hidden="1" x14ac:dyDescent="0.2">
      <c r="A391" t="s">
        <v>819</v>
      </c>
      <c r="B391" t="s">
        <v>2533</v>
      </c>
      <c r="C391" t="str">
        <f t="shared" si="6"/>
        <v>CaucaPURACE</v>
      </c>
      <c r="D391" t="s">
        <v>820</v>
      </c>
      <c r="E391" t="s">
        <v>862</v>
      </c>
      <c r="F391" t="s">
        <v>861</v>
      </c>
    </row>
    <row r="392" spans="1:6" hidden="1" x14ac:dyDescent="0.2">
      <c r="A392" t="s">
        <v>819</v>
      </c>
      <c r="B392" t="s">
        <v>863</v>
      </c>
      <c r="C392" t="str">
        <f t="shared" si="6"/>
        <v>CaucaROSAS</v>
      </c>
      <c r="D392" t="s">
        <v>820</v>
      </c>
      <c r="E392" t="s">
        <v>865</v>
      </c>
      <c r="F392" t="s">
        <v>864</v>
      </c>
    </row>
    <row r="393" spans="1:6" hidden="1" x14ac:dyDescent="0.2">
      <c r="A393" t="s">
        <v>819</v>
      </c>
      <c r="B393" t="s">
        <v>646</v>
      </c>
      <c r="C393" t="str">
        <f t="shared" si="6"/>
        <v>CaucaSAN SEBASTIAN</v>
      </c>
      <c r="D393" t="s">
        <v>820</v>
      </c>
      <c r="E393" t="s">
        <v>867</v>
      </c>
      <c r="F393" t="s">
        <v>866</v>
      </c>
    </row>
    <row r="394" spans="1:6" hidden="1" x14ac:dyDescent="0.2">
      <c r="A394" t="s">
        <v>819</v>
      </c>
      <c r="B394" t="s">
        <v>868</v>
      </c>
      <c r="C394" t="str">
        <f t="shared" si="6"/>
        <v>CaucaSANTANDER DE QUILICHAO</v>
      </c>
      <c r="D394" t="s">
        <v>820</v>
      </c>
      <c r="E394" t="s">
        <v>513</v>
      </c>
      <c r="F394" t="s">
        <v>869</v>
      </c>
    </row>
    <row r="395" spans="1:6" hidden="1" x14ac:dyDescent="0.2">
      <c r="A395" t="s">
        <v>819</v>
      </c>
      <c r="B395" t="s">
        <v>870</v>
      </c>
      <c r="C395" t="str">
        <f t="shared" si="6"/>
        <v>CaucaSANTA ROSA</v>
      </c>
      <c r="D395" t="s">
        <v>820</v>
      </c>
      <c r="E395" t="s">
        <v>2678</v>
      </c>
      <c r="F395" t="s">
        <v>871</v>
      </c>
    </row>
    <row r="396" spans="1:6" hidden="1" x14ac:dyDescent="0.2">
      <c r="A396" t="s">
        <v>819</v>
      </c>
      <c r="B396" t="s">
        <v>872</v>
      </c>
      <c r="C396" t="str">
        <f t="shared" si="6"/>
        <v>CaucaSILVIA</v>
      </c>
      <c r="D396" t="s">
        <v>820</v>
      </c>
      <c r="E396" t="s">
        <v>2703</v>
      </c>
      <c r="F396" t="s">
        <v>873</v>
      </c>
    </row>
    <row r="397" spans="1:6" hidden="1" x14ac:dyDescent="0.2">
      <c r="A397" t="s">
        <v>819</v>
      </c>
      <c r="B397" t="s">
        <v>1538</v>
      </c>
      <c r="C397" t="str">
        <f t="shared" si="6"/>
        <v>CaucaSOTARA</v>
      </c>
      <c r="D397" t="s">
        <v>820</v>
      </c>
      <c r="E397" t="s">
        <v>875</v>
      </c>
      <c r="F397" t="s">
        <v>874</v>
      </c>
    </row>
    <row r="398" spans="1:6" hidden="1" x14ac:dyDescent="0.2">
      <c r="A398" t="s">
        <v>819</v>
      </c>
      <c r="B398" t="s">
        <v>1541</v>
      </c>
      <c r="C398" t="str">
        <f t="shared" si="6"/>
        <v>CaucaSUAREZ</v>
      </c>
      <c r="D398" t="s">
        <v>820</v>
      </c>
      <c r="E398" t="s">
        <v>2698</v>
      </c>
      <c r="F398" t="s">
        <v>876</v>
      </c>
    </row>
    <row r="399" spans="1:6" hidden="1" x14ac:dyDescent="0.2">
      <c r="A399" t="s">
        <v>819</v>
      </c>
      <c r="B399" t="s">
        <v>816</v>
      </c>
      <c r="C399" t="str">
        <f t="shared" si="6"/>
        <v>CaucaSUCRE</v>
      </c>
      <c r="D399" t="s">
        <v>820</v>
      </c>
      <c r="E399" t="s">
        <v>1326</v>
      </c>
      <c r="F399" t="s">
        <v>877</v>
      </c>
    </row>
    <row r="400" spans="1:6" hidden="1" x14ac:dyDescent="0.2">
      <c r="A400" t="s">
        <v>819</v>
      </c>
      <c r="B400" t="s">
        <v>878</v>
      </c>
      <c r="C400" t="str">
        <f t="shared" si="6"/>
        <v>CaucaTIMBIO</v>
      </c>
      <c r="D400" t="s">
        <v>820</v>
      </c>
      <c r="E400" t="s">
        <v>491</v>
      </c>
      <c r="F400" t="s">
        <v>879</v>
      </c>
    </row>
    <row r="401" spans="1:6" hidden="1" x14ac:dyDescent="0.2">
      <c r="A401" t="s">
        <v>819</v>
      </c>
      <c r="B401" t="s">
        <v>2608</v>
      </c>
      <c r="C401" t="str">
        <f t="shared" si="6"/>
        <v>CaucaTIMBIQUI</v>
      </c>
      <c r="D401" t="s">
        <v>820</v>
      </c>
      <c r="E401" t="s">
        <v>881</v>
      </c>
      <c r="F401" t="s">
        <v>880</v>
      </c>
    </row>
    <row r="402" spans="1:6" hidden="1" x14ac:dyDescent="0.2">
      <c r="A402" t="s">
        <v>819</v>
      </c>
      <c r="B402" t="s">
        <v>882</v>
      </c>
      <c r="C402" t="str">
        <f t="shared" si="6"/>
        <v>CaucaTORIBIO</v>
      </c>
      <c r="D402" t="s">
        <v>820</v>
      </c>
      <c r="E402" t="s">
        <v>514</v>
      </c>
      <c r="F402" t="s">
        <v>883</v>
      </c>
    </row>
    <row r="403" spans="1:6" hidden="1" x14ac:dyDescent="0.2">
      <c r="A403" t="s">
        <v>819</v>
      </c>
      <c r="B403" t="s">
        <v>884</v>
      </c>
      <c r="C403" t="str">
        <f t="shared" si="6"/>
        <v>CaucaTOTORO</v>
      </c>
      <c r="D403" t="s">
        <v>820</v>
      </c>
      <c r="E403" t="s">
        <v>2769</v>
      </c>
      <c r="F403" t="s">
        <v>1681</v>
      </c>
    </row>
    <row r="404" spans="1:6" hidden="1" x14ac:dyDescent="0.2">
      <c r="A404" t="s">
        <v>819</v>
      </c>
      <c r="B404" t="s">
        <v>885</v>
      </c>
      <c r="C404" t="str">
        <f t="shared" si="6"/>
        <v>CaucaVILLA RICA</v>
      </c>
      <c r="D404" t="s">
        <v>820</v>
      </c>
      <c r="E404" t="s">
        <v>2103</v>
      </c>
      <c r="F404" t="s">
        <v>886</v>
      </c>
    </row>
    <row r="405" spans="1:6" hidden="1" x14ac:dyDescent="0.2">
      <c r="A405" t="s">
        <v>887</v>
      </c>
      <c r="B405" t="s">
        <v>2321</v>
      </c>
      <c r="C405" t="str">
        <f t="shared" si="6"/>
        <v>CesarVALLEDUPAR</v>
      </c>
      <c r="D405" t="s">
        <v>889</v>
      </c>
      <c r="E405" t="s">
        <v>2168</v>
      </c>
      <c r="F405" t="s">
        <v>888</v>
      </c>
    </row>
    <row r="406" spans="1:6" hidden="1" x14ac:dyDescent="0.2">
      <c r="A406" t="s">
        <v>887</v>
      </c>
      <c r="B406" t="s">
        <v>890</v>
      </c>
      <c r="C406" t="str">
        <f t="shared" si="6"/>
        <v>CesarAGUACHICA</v>
      </c>
      <c r="D406" t="s">
        <v>889</v>
      </c>
      <c r="E406" t="s">
        <v>2749</v>
      </c>
      <c r="F406" t="s">
        <v>1682</v>
      </c>
    </row>
    <row r="407" spans="1:6" hidden="1" x14ac:dyDescent="0.2">
      <c r="A407" t="s">
        <v>887</v>
      </c>
      <c r="B407" t="s">
        <v>737</v>
      </c>
      <c r="C407" t="str">
        <f t="shared" si="6"/>
        <v>CesarAGUSTIN CODAZZI</v>
      </c>
      <c r="D407" t="s">
        <v>889</v>
      </c>
      <c r="E407" t="s">
        <v>892</v>
      </c>
      <c r="F407" t="s">
        <v>891</v>
      </c>
    </row>
    <row r="408" spans="1:6" hidden="1" x14ac:dyDescent="0.2">
      <c r="A408" t="s">
        <v>887</v>
      </c>
      <c r="B408" t="s">
        <v>893</v>
      </c>
      <c r="C408" t="str">
        <f t="shared" si="6"/>
        <v>CesarASTREA</v>
      </c>
      <c r="D408" t="s">
        <v>889</v>
      </c>
      <c r="E408" t="s">
        <v>895</v>
      </c>
      <c r="F408" t="s">
        <v>894</v>
      </c>
    </row>
    <row r="409" spans="1:6" hidden="1" x14ac:dyDescent="0.2">
      <c r="A409" t="s">
        <v>887</v>
      </c>
      <c r="B409" t="s">
        <v>2353</v>
      </c>
      <c r="C409" t="str">
        <f t="shared" si="6"/>
        <v>CesarBECERRIL</v>
      </c>
      <c r="D409" t="s">
        <v>889</v>
      </c>
      <c r="E409" t="s">
        <v>897</v>
      </c>
      <c r="F409" t="s">
        <v>896</v>
      </c>
    </row>
    <row r="410" spans="1:6" hidden="1" x14ac:dyDescent="0.2">
      <c r="A410" t="s">
        <v>887</v>
      </c>
      <c r="B410" t="s">
        <v>898</v>
      </c>
      <c r="C410" t="str">
        <f t="shared" si="6"/>
        <v>CesarBOSCONIA</v>
      </c>
      <c r="D410" t="s">
        <v>889</v>
      </c>
      <c r="E410" t="s">
        <v>900</v>
      </c>
      <c r="F410" t="s">
        <v>899</v>
      </c>
    </row>
    <row r="411" spans="1:6" hidden="1" x14ac:dyDescent="0.2">
      <c r="A411" t="s">
        <v>887</v>
      </c>
      <c r="B411" t="s">
        <v>901</v>
      </c>
      <c r="C411" t="str">
        <f t="shared" si="6"/>
        <v>CesarCHIMICHAGUA</v>
      </c>
      <c r="D411" t="s">
        <v>889</v>
      </c>
      <c r="E411" t="s">
        <v>503</v>
      </c>
      <c r="F411" t="s">
        <v>1683</v>
      </c>
    </row>
    <row r="412" spans="1:6" hidden="1" x14ac:dyDescent="0.2">
      <c r="A412" t="s">
        <v>887</v>
      </c>
      <c r="B412" t="s">
        <v>902</v>
      </c>
      <c r="C412" t="str">
        <f t="shared" si="6"/>
        <v>CesarCHIRIGUANA</v>
      </c>
      <c r="D412" t="s">
        <v>889</v>
      </c>
      <c r="E412" t="s">
        <v>904</v>
      </c>
      <c r="F412" t="s">
        <v>903</v>
      </c>
    </row>
    <row r="413" spans="1:6" hidden="1" x14ac:dyDescent="0.2">
      <c r="A413" t="s">
        <v>887</v>
      </c>
      <c r="B413" t="s">
        <v>905</v>
      </c>
      <c r="C413" t="str">
        <f t="shared" si="6"/>
        <v>CesarCURUMANI</v>
      </c>
      <c r="D413" t="s">
        <v>889</v>
      </c>
      <c r="E413" t="s">
        <v>907</v>
      </c>
      <c r="F413" t="s">
        <v>906</v>
      </c>
    </row>
    <row r="414" spans="1:6" hidden="1" x14ac:dyDescent="0.2">
      <c r="A414" t="s">
        <v>887</v>
      </c>
      <c r="B414" t="s">
        <v>1637</v>
      </c>
      <c r="C414" t="str">
        <f t="shared" si="6"/>
        <v>CesarEL COPEY</v>
      </c>
      <c r="D414" t="s">
        <v>889</v>
      </c>
      <c r="E414" t="s">
        <v>909</v>
      </c>
      <c r="F414" t="s">
        <v>908</v>
      </c>
    </row>
    <row r="415" spans="1:6" hidden="1" x14ac:dyDescent="0.2">
      <c r="A415" t="s">
        <v>887</v>
      </c>
      <c r="B415" t="s">
        <v>2439</v>
      </c>
      <c r="C415" t="str">
        <f t="shared" si="6"/>
        <v>CesarEL PASO</v>
      </c>
      <c r="D415" t="s">
        <v>889</v>
      </c>
      <c r="E415" t="s">
        <v>911</v>
      </c>
      <c r="F415" t="s">
        <v>910</v>
      </c>
    </row>
    <row r="416" spans="1:6" hidden="1" x14ac:dyDescent="0.2">
      <c r="A416" t="s">
        <v>887</v>
      </c>
      <c r="B416" t="s">
        <v>912</v>
      </c>
      <c r="C416" t="str">
        <f t="shared" si="6"/>
        <v>CesarGAMARRA</v>
      </c>
      <c r="D416" t="s">
        <v>889</v>
      </c>
      <c r="E416" t="s">
        <v>2802</v>
      </c>
      <c r="F416" t="s">
        <v>913</v>
      </c>
    </row>
    <row r="417" spans="1:6" hidden="1" x14ac:dyDescent="0.2">
      <c r="A417" t="s">
        <v>887</v>
      </c>
      <c r="B417" t="s">
        <v>2457</v>
      </c>
      <c r="C417" t="str">
        <f t="shared" si="6"/>
        <v>CesarGONZALEZ</v>
      </c>
      <c r="D417" t="s">
        <v>889</v>
      </c>
      <c r="E417" t="s">
        <v>915</v>
      </c>
      <c r="F417" t="s">
        <v>914</v>
      </c>
    </row>
    <row r="418" spans="1:6" hidden="1" x14ac:dyDescent="0.2">
      <c r="A418" t="s">
        <v>887</v>
      </c>
      <c r="B418" t="s">
        <v>916</v>
      </c>
      <c r="C418" t="str">
        <f t="shared" si="6"/>
        <v>CesarLA GLORIA</v>
      </c>
      <c r="D418" t="s">
        <v>889</v>
      </c>
      <c r="E418" t="s">
        <v>2801</v>
      </c>
      <c r="F418" t="s">
        <v>917</v>
      </c>
    </row>
    <row r="419" spans="1:6" hidden="1" x14ac:dyDescent="0.2">
      <c r="A419" t="s">
        <v>887</v>
      </c>
      <c r="B419" t="s">
        <v>2492</v>
      </c>
      <c r="C419" t="str">
        <f t="shared" si="6"/>
        <v>CesarLA JAGUA DE IBIRICO</v>
      </c>
      <c r="D419" t="s">
        <v>889</v>
      </c>
      <c r="E419" t="s">
        <v>919</v>
      </c>
      <c r="F419" t="s">
        <v>918</v>
      </c>
    </row>
    <row r="420" spans="1:6" hidden="1" x14ac:dyDescent="0.2">
      <c r="A420" t="s">
        <v>887</v>
      </c>
      <c r="B420" t="s">
        <v>920</v>
      </c>
      <c r="C420" t="str">
        <f t="shared" si="6"/>
        <v>CesarMANAURE</v>
      </c>
      <c r="D420" t="s">
        <v>889</v>
      </c>
      <c r="E420" t="s">
        <v>922</v>
      </c>
      <c r="F420" t="s">
        <v>921</v>
      </c>
    </row>
    <row r="421" spans="1:6" hidden="1" x14ac:dyDescent="0.2">
      <c r="A421" t="s">
        <v>887</v>
      </c>
      <c r="B421" t="s">
        <v>853</v>
      </c>
      <c r="C421" t="str">
        <f t="shared" si="6"/>
        <v>CesarPAILITAS</v>
      </c>
      <c r="D421" t="s">
        <v>889</v>
      </c>
      <c r="E421" t="s">
        <v>924</v>
      </c>
      <c r="F421" t="s">
        <v>923</v>
      </c>
    </row>
    <row r="422" spans="1:6" hidden="1" x14ac:dyDescent="0.2">
      <c r="A422" t="s">
        <v>887</v>
      </c>
      <c r="B422" t="s">
        <v>615</v>
      </c>
      <c r="C422" t="str">
        <f t="shared" si="6"/>
        <v>CesarPELAYA</v>
      </c>
      <c r="D422" t="s">
        <v>889</v>
      </c>
      <c r="E422" t="s">
        <v>926</v>
      </c>
      <c r="F422" t="s">
        <v>925</v>
      </c>
    </row>
    <row r="423" spans="1:6" hidden="1" x14ac:dyDescent="0.2">
      <c r="A423" t="s">
        <v>887</v>
      </c>
      <c r="B423" t="s">
        <v>927</v>
      </c>
      <c r="C423" t="str">
        <f t="shared" si="6"/>
        <v>CesarPUEBLO BELLO</v>
      </c>
      <c r="D423" t="s">
        <v>889</v>
      </c>
      <c r="E423" t="s">
        <v>929</v>
      </c>
      <c r="F423" t="s">
        <v>928</v>
      </c>
    </row>
    <row r="424" spans="1:6" hidden="1" x14ac:dyDescent="0.2">
      <c r="A424" t="s">
        <v>887</v>
      </c>
      <c r="B424" t="s">
        <v>765</v>
      </c>
      <c r="C424" t="str">
        <f t="shared" si="6"/>
        <v>CesarRIO DE ORO</v>
      </c>
      <c r="D424" t="s">
        <v>889</v>
      </c>
      <c r="E424" t="s">
        <v>931</v>
      </c>
      <c r="F424" t="s">
        <v>930</v>
      </c>
    </row>
    <row r="425" spans="1:6" hidden="1" x14ac:dyDescent="0.2">
      <c r="A425" t="s">
        <v>887</v>
      </c>
      <c r="B425" t="s">
        <v>625</v>
      </c>
      <c r="C425" t="str">
        <f t="shared" si="6"/>
        <v>CesarLA PAZ</v>
      </c>
      <c r="D425" t="s">
        <v>889</v>
      </c>
      <c r="E425" t="s">
        <v>933</v>
      </c>
      <c r="F425" t="s">
        <v>932</v>
      </c>
    </row>
    <row r="426" spans="1:6" hidden="1" x14ac:dyDescent="0.2">
      <c r="A426" t="s">
        <v>887</v>
      </c>
      <c r="B426" t="s">
        <v>934</v>
      </c>
      <c r="C426" t="str">
        <f t="shared" si="6"/>
        <v>CesarSAN ALBERTO</v>
      </c>
      <c r="D426" t="s">
        <v>889</v>
      </c>
      <c r="E426" t="s">
        <v>936</v>
      </c>
      <c r="F426" t="s">
        <v>935</v>
      </c>
    </row>
    <row r="427" spans="1:6" hidden="1" x14ac:dyDescent="0.2">
      <c r="A427" t="s">
        <v>887</v>
      </c>
      <c r="B427" t="s">
        <v>937</v>
      </c>
      <c r="C427" t="str">
        <f t="shared" si="6"/>
        <v>CesarSAN DIEGO</v>
      </c>
      <c r="D427" t="s">
        <v>889</v>
      </c>
      <c r="E427" t="s">
        <v>2717</v>
      </c>
      <c r="F427" t="s">
        <v>938</v>
      </c>
    </row>
    <row r="428" spans="1:6" hidden="1" x14ac:dyDescent="0.2">
      <c r="A428" t="s">
        <v>887</v>
      </c>
      <c r="B428" t="s">
        <v>1445</v>
      </c>
      <c r="C428" t="str">
        <f t="shared" si="6"/>
        <v>CesarSAN MARTIN</v>
      </c>
      <c r="D428" t="s">
        <v>889</v>
      </c>
      <c r="E428" t="s">
        <v>2070</v>
      </c>
      <c r="F428" t="s">
        <v>939</v>
      </c>
    </row>
    <row r="429" spans="1:6" hidden="1" x14ac:dyDescent="0.2">
      <c r="A429" t="s">
        <v>887</v>
      </c>
      <c r="B429" t="s">
        <v>940</v>
      </c>
      <c r="C429" t="str">
        <f t="shared" si="6"/>
        <v>CesarTAMALAMEQUE</v>
      </c>
      <c r="D429" t="s">
        <v>889</v>
      </c>
      <c r="E429" t="s">
        <v>2782</v>
      </c>
      <c r="F429" t="s">
        <v>941</v>
      </c>
    </row>
    <row r="430" spans="1:6" hidden="1" x14ac:dyDescent="0.2">
      <c r="A430" t="s">
        <v>942</v>
      </c>
      <c r="B430" t="s">
        <v>2321</v>
      </c>
      <c r="C430" t="str">
        <f t="shared" si="6"/>
        <v>CordobaMONTERIA</v>
      </c>
      <c r="D430" t="s">
        <v>944</v>
      </c>
      <c r="E430" t="s">
        <v>2793</v>
      </c>
      <c r="F430" t="s">
        <v>943</v>
      </c>
    </row>
    <row r="431" spans="1:6" hidden="1" x14ac:dyDescent="0.2">
      <c r="A431" t="s">
        <v>942</v>
      </c>
      <c r="B431" t="s">
        <v>945</v>
      </c>
      <c r="C431" t="str">
        <f t="shared" si="6"/>
        <v>CordobaAYAPEL</v>
      </c>
      <c r="D431" t="s">
        <v>944</v>
      </c>
      <c r="E431" t="s">
        <v>500</v>
      </c>
      <c r="F431" t="s">
        <v>946</v>
      </c>
    </row>
    <row r="432" spans="1:6" hidden="1" x14ac:dyDescent="0.2">
      <c r="A432" t="s">
        <v>942</v>
      </c>
      <c r="B432" t="s">
        <v>2363</v>
      </c>
      <c r="C432" t="str">
        <f t="shared" si="6"/>
        <v>CordobaBUENAVISTA</v>
      </c>
      <c r="D432" t="s">
        <v>944</v>
      </c>
      <c r="E432" t="s">
        <v>1325</v>
      </c>
      <c r="F432" t="s">
        <v>947</v>
      </c>
    </row>
    <row r="433" spans="1:6" hidden="1" x14ac:dyDescent="0.2">
      <c r="A433" t="s">
        <v>942</v>
      </c>
      <c r="B433" t="s">
        <v>1569</v>
      </c>
      <c r="C433" t="str">
        <f t="shared" si="6"/>
        <v>CordobaCANALETE</v>
      </c>
      <c r="D433" t="s">
        <v>944</v>
      </c>
      <c r="E433" t="s">
        <v>949</v>
      </c>
      <c r="F433" t="s">
        <v>948</v>
      </c>
    </row>
    <row r="434" spans="1:6" hidden="1" x14ac:dyDescent="0.2">
      <c r="A434" t="s">
        <v>942</v>
      </c>
      <c r="B434" t="s">
        <v>1591</v>
      </c>
      <c r="C434" t="str">
        <f t="shared" si="6"/>
        <v>CordobaCERETE</v>
      </c>
      <c r="D434" t="s">
        <v>944</v>
      </c>
      <c r="E434" t="s">
        <v>2200</v>
      </c>
      <c r="F434" t="s">
        <v>950</v>
      </c>
    </row>
    <row r="435" spans="1:6" hidden="1" x14ac:dyDescent="0.2">
      <c r="A435" t="s">
        <v>942</v>
      </c>
      <c r="B435" t="s">
        <v>951</v>
      </c>
      <c r="C435" t="str">
        <f t="shared" si="6"/>
        <v>CordobaCHIMA</v>
      </c>
      <c r="D435" t="s">
        <v>944</v>
      </c>
      <c r="E435" t="s">
        <v>953</v>
      </c>
      <c r="F435" t="s">
        <v>952</v>
      </c>
    </row>
    <row r="436" spans="1:6" hidden="1" x14ac:dyDescent="0.2">
      <c r="A436" t="s">
        <v>942</v>
      </c>
      <c r="B436" t="s">
        <v>954</v>
      </c>
      <c r="C436" t="str">
        <f t="shared" si="6"/>
        <v>CordobaCHINU</v>
      </c>
      <c r="D436" t="s">
        <v>944</v>
      </c>
      <c r="E436" t="s">
        <v>956</v>
      </c>
      <c r="F436" t="s">
        <v>955</v>
      </c>
    </row>
    <row r="437" spans="1:6" hidden="1" x14ac:dyDescent="0.2">
      <c r="A437" t="s">
        <v>942</v>
      </c>
      <c r="B437" t="s">
        <v>1610</v>
      </c>
      <c r="C437" t="str">
        <f t="shared" si="6"/>
        <v>CordobaCIENAGA DE ORO</v>
      </c>
      <c r="D437" t="s">
        <v>944</v>
      </c>
      <c r="E437" t="s">
        <v>958</v>
      </c>
      <c r="F437" t="s">
        <v>957</v>
      </c>
    </row>
    <row r="438" spans="1:6" hidden="1" x14ac:dyDescent="0.2">
      <c r="A438" t="s">
        <v>942</v>
      </c>
      <c r="B438" t="s">
        <v>1490</v>
      </c>
      <c r="C438" t="str">
        <f t="shared" si="6"/>
        <v>CordobaCOTORRA</v>
      </c>
      <c r="D438" t="s">
        <v>944</v>
      </c>
      <c r="E438" t="s">
        <v>960</v>
      </c>
      <c r="F438" t="s">
        <v>959</v>
      </c>
    </row>
    <row r="439" spans="1:6" hidden="1" x14ac:dyDescent="0.2">
      <c r="A439" t="s">
        <v>942</v>
      </c>
      <c r="B439" t="s">
        <v>961</v>
      </c>
      <c r="C439" t="str">
        <f t="shared" si="6"/>
        <v>CordobaLA APARTADA</v>
      </c>
      <c r="D439" t="s">
        <v>944</v>
      </c>
      <c r="E439" t="s">
        <v>2193</v>
      </c>
      <c r="F439" t="s">
        <v>962</v>
      </c>
    </row>
    <row r="440" spans="1:6" hidden="1" x14ac:dyDescent="0.2">
      <c r="A440" t="s">
        <v>942</v>
      </c>
      <c r="B440" t="s">
        <v>963</v>
      </c>
      <c r="C440" t="str">
        <f t="shared" si="6"/>
        <v>CordobaLORICA</v>
      </c>
      <c r="D440" t="s">
        <v>944</v>
      </c>
      <c r="E440" t="s">
        <v>965</v>
      </c>
      <c r="F440" t="s">
        <v>964</v>
      </c>
    </row>
    <row r="441" spans="1:6" hidden="1" x14ac:dyDescent="0.2">
      <c r="A441" t="s">
        <v>942</v>
      </c>
      <c r="B441" t="s">
        <v>966</v>
      </c>
      <c r="C441" t="str">
        <f t="shared" si="6"/>
        <v>CordobaLOS CORDOBAS</v>
      </c>
      <c r="D441" t="s">
        <v>944</v>
      </c>
      <c r="E441" t="s">
        <v>492</v>
      </c>
      <c r="F441" t="s">
        <v>42</v>
      </c>
    </row>
    <row r="442" spans="1:6" hidden="1" x14ac:dyDescent="0.2">
      <c r="A442" t="s">
        <v>942</v>
      </c>
      <c r="B442" t="s">
        <v>567</v>
      </c>
      <c r="C442" t="str">
        <f t="shared" si="6"/>
        <v>CordobaMOMIL</v>
      </c>
      <c r="D442" t="s">
        <v>944</v>
      </c>
      <c r="E442" t="s">
        <v>968</v>
      </c>
      <c r="F442" t="s">
        <v>967</v>
      </c>
    </row>
    <row r="443" spans="1:6" hidden="1" x14ac:dyDescent="0.2">
      <c r="A443" t="s">
        <v>942</v>
      </c>
      <c r="B443" t="s">
        <v>570</v>
      </c>
      <c r="C443" t="str">
        <f t="shared" si="6"/>
        <v>CordobaMONTELIBANO</v>
      </c>
      <c r="D443" t="s">
        <v>944</v>
      </c>
      <c r="E443" t="s">
        <v>970</v>
      </c>
      <c r="F443" t="s">
        <v>969</v>
      </c>
    </row>
    <row r="444" spans="1:6" hidden="1" x14ac:dyDescent="0.2">
      <c r="A444" t="s">
        <v>942</v>
      </c>
      <c r="B444" t="s">
        <v>585</v>
      </c>
      <c r="C444" t="str">
        <f t="shared" si="6"/>
        <v>CordobaMOÑITOS</v>
      </c>
      <c r="D444" t="s">
        <v>944</v>
      </c>
      <c r="E444" t="s">
        <v>972</v>
      </c>
      <c r="F444" t="s">
        <v>971</v>
      </c>
    </row>
    <row r="445" spans="1:6" hidden="1" x14ac:dyDescent="0.2">
      <c r="A445" t="s">
        <v>942</v>
      </c>
      <c r="B445" t="s">
        <v>973</v>
      </c>
      <c r="C445" t="str">
        <f t="shared" si="6"/>
        <v>CordobaPLANETA RICA</v>
      </c>
      <c r="D445" t="s">
        <v>944</v>
      </c>
      <c r="E445" t="s">
        <v>975</v>
      </c>
      <c r="F445" t="s">
        <v>974</v>
      </c>
    </row>
    <row r="446" spans="1:6" hidden="1" x14ac:dyDescent="0.2">
      <c r="A446" t="s">
        <v>942</v>
      </c>
      <c r="B446" t="s">
        <v>927</v>
      </c>
      <c r="C446" t="str">
        <f t="shared" si="6"/>
        <v>CordobaPUEBLO NUEVO</v>
      </c>
      <c r="D446" t="s">
        <v>944</v>
      </c>
      <c r="E446" t="s">
        <v>977</v>
      </c>
      <c r="F446" t="s">
        <v>976</v>
      </c>
    </row>
    <row r="447" spans="1:6" hidden="1" x14ac:dyDescent="0.2">
      <c r="A447" t="s">
        <v>942</v>
      </c>
      <c r="B447" t="s">
        <v>978</v>
      </c>
      <c r="C447" t="str">
        <f t="shared" si="6"/>
        <v>CordobaPUERTO ESCONDIDO</v>
      </c>
      <c r="D447" t="s">
        <v>944</v>
      </c>
      <c r="E447" t="s">
        <v>980</v>
      </c>
      <c r="F447" t="s">
        <v>979</v>
      </c>
    </row>
    <row r="448" spans="1:6" hidden="1" x14ac:dyDescent="0.2">
      <c r="A448" t="s">
        <v>942</v>
      </c>
      <c r="B448" t="s">
        <v>1507</v>
      </c>
      <c r="C448" t="str">
        <f t="shared" si="6"/>
        <v>CordobaPUERTO LIBERTADOR</v>
      </c>
      <c r="D448" t="s">
        <v>944</v>
      </c>
      <c r="E448" t="s">
        <v>2701</v>
      </c>
      <c r="F448" t="s">
        <v>981</v>
      </c>
    </row>
    <row r="449" spans="1:6" hidden="1" x14ac:dyDescent="0.2">
      <c r="A449" t="s">
        <v>942</v>
      </c>
      <c r="B449" t="s">
        <v>982</v>
      </c>
      <c r="C449" t="str">
        <f t="shared" si="6"/>
        <v>CordobaPURISIMA</v>
      </c>
      <c r="D449" t="s">
        <v>944</v>
      </c>
      <c r="E449" t="s">
        <v>984</v>
      </c>
      <c r="F449" t="s">
        <v>983</v>
      </c>
    </row>
    <row r="450" spans="1:6" hidden="1" x14ac:dyDescent="0.2">
      <c r="A450" t="s">
        <v>942</v>
      </c>
      <c r="B450" t="s">
        <v>2568</v>
      </c>
      <c r="C450" t="str">
        <f t="shared" si="6"/>
        <v>CordobaSAHAGUN</v>
      </c>
      <c r="D450" t="s">
        <v>944</v>
      </c>
      <c r="E450" t="s">
        <v>986</v>
      </c>
      <c r="F450" t="s">
        <v>985</v>
      </c>
    </row>
    <row r="451" spans="1:6" hidden="1" x14ac:dyDescent="0.2">
      <c r="A451" t="s">
        <v>942</v>
      </c>
      <c r="B451" t="s">
        <v>2578</v>
      </c>
      <c r="C451" t="str">
        <f t="shared" ref="C451:C514" si="7">D451&amp;E451</f>
        <v>CordobaSAN ANDRES SOTAVENTO</v>
      </c>
      <c r="D451" t="s">
        <v>944</v>
      </c>
      <c r="E451" t="s">
        <v>988</v>
      </c>
      <c r="F451" t="s">
        <v>987</v>
      </c>
    </row>
    <row r="452" spans="1:6" hidden="1" x14ac:dyDescent="0.2">
      <c r="A452" t="s">
        <v>942</v>
      </c>
      <c r="B452" t="s">
        <v>989</v>
      </c>
      <c r="C452" t="str">
        <f t="shared" si="7"/>
        <v>CordobaSAN ANTERO</v>
      </c>
      <c r="D452" t="s">
        <v>944</v>
      </c>
      <c r="E452" t="s">
        <v>991</v>
      </c>
      <c r="F452" t="s">
        <v>990</v>
      </c>
    </row>
    <row r="453" spans="1:6" hidden="1" x14ac:dyDescent="0.2">
      <c r="A453" t="s">
        <v>942</v>
      </c>
      <c r="B453" t="s">
        <v>1437</v>
      </c>
      <c r="C453" t="str">
        <f t="shared" si="7"/>
        <v>CordobaSAN BERNARDO DEL VIENTO</v>
      </c>
      <c r="D453" t="s">
        <v>944</v>
      </c>
      <c r="E453" t="s">
        <v>993</v>
      </c>
      <c r="F453" t="s">
        <v>992</v>
      </c>
    </row>
    <row r="454" spans="1:6" hidden="1" x14ac:dyDescent="0.2">
      <c r="A454" t="s">
        <v>942</v>
      </c>
      <c r="B454" t="s">
        <v>994</v>
      </c>
      <c r="C454" t="str">
        <f t="shared" si="7"/>
        <v>CordobaSAN CARLOS</v>
      </c>
      <c r="D454" t="s">
        <v>944</v>
      </c>
      <c r="E454" t="s">
        <v>2794</v>
      </c>
      <c r="F454" t="s">
        <v>995</v>
      </c>
    </row>
    <row r="455" spans="1:6" hidden="1" x14ac:dyDescent="0.2">
      <c r="A455" s="58" t="s">
        <v>942</v>
      </c>
      <c r="B455" s="58" t="s">
        <v>996</v>
      </c>
      <c r="C455" t="str">
        <f t="shared" si="7"/>
        <v>CordobaSAN JOSE DE URE</v>
      </c>
      <c r="D455" t="s">
        <v>944</v>
      </c>
      <c r="E455" t="s">
        <v>1350</v>
      </c>
      <c r="F455" s="58" t="s">
        <v>997</v>
      </c>
    </row>
    <row r="456" spans="1:6" hidden="1" x14ac:dyDescent="0.2">
      <c r="A456" t="s">
        <v>942</v>
      </c>
      <c r="B456" t="s">
        <v>2585</v>
      </c>
      <c r="C456" t="str">
        <f t="shared" si="7"/>
        <v>CordobaSAN PELAYO</v>
      </c>
      <c r="D456" t="s">
        <v>944</v>
      </c>
      <c r="E456" t="s">
        <v>999</v>
      </c>
      <c r="F456" t="s">
        <v>998</v>
      </c>
    </row>
    <row r="457" spans="1:6" hidden="1" x14ac:dyDescent="0.2">
      <c r="A457" t="s">
        <v>942</v>
      </c>
      <c r="B457" t="s">
        <v>878</v>
      </c>
      <c r="C457" t="str">
        <f t="shared" si="7"/>
        <v>CordobaTIERRALTA</v>
      </c>
      <c r="D457" t="s">
        <v>944</v>
      </c>
      <c r="E457" t="s">
        <v>1001</v>
      </c>
      <c r="F457" t="s">
        <v>1000</v>
      </c>
    </row>
    <row r="458" spans="1:6" hidden="1" x14ac:dyDescent="0.2">
      <c r="A458" t="s">
        <v>942</v>
      </c>
      <c r="B458" t="s">
        <v>1002</v>
      </c>
      <c r="C458" t="str">
        <f t="shared" si="7"/>
        <v>CordobaTUCHIN</v>
      </c>
      <c r="D458" t="s">
        <v>944</v>
      </c>
      <c r="E458" t="s">
        <v>1004</v>
      </c>
      <c r="F458" t="s">
        <v>1003</v>
      </c>
    </row>
    <row r="459" spans="1:6" hidden="1" x14ac:dyDescent="0.2">
      <c r="A459" t="s">
        <v>942</v>
      </c>
      <c r="B459" t="s">
        <v>1005</v>
      </c>
      <c r="C459" t="str">
        <f t="shared" si="7"/>
        <v>CordobaVALENCIA</v>
      </c>
      <c r="D459" t="s">
        <v>944</v>
      </c>
      <c r="E459" t="s">
        <v>1007</v>
      </c>
      <c r="F459" t="s">
        <v>1006</v>
      </c>
    </row>
    <row r="460" spans="1:6" hidden="1" x14ac:dyDescent="0.2">
      <c r="A460" t="s">
        <v>1008</v>
      </c>
      <c r="B460" t="s">
        <v>2321</v>
      </c>
      <c r="C460" t="str">
        <f t="shared" si="7"/>
        <v>CUNDINAMARCAAGUA DE DIOS</v>
      </c>
      <c r="D460" t="s">
        <v>2772</v>
      </c>
      <c r="E460" t="s">
        <v>1010</v>
      </c>
      <c r="F460" t="s">
        <v>1009</v>
      </c>
    </row>
    <row r="461" spans="1:6" hidden="1" x14ac:dyDescent="0.2">
      <c r="A461" t="s">
        <v>1008</v>
      </c>
      <c r="B461" t="s">
        <v>1011</v>
      </c>
      <c r="C461" t="str">
        <f t="shared" si="7"/>
        <v>CUNDINAMARCAALBAN</v>
      </c>
      <c r="D461" t="s">
        <v>2772</v>
      </c>
      <c r="E461" t="s">
        <v>494</v>
      </c>
      <c r="F461" t="s">
        <v>43</v>
      </c>
    </row>
    <row r="462" spans="1:6" hidden="1" x14ac:dyDescent="0.2">
      <c r="A462" t="s">
        <v>1008</v>
      </c>
      <c r="B462" t="s">
        <v>1012</v>
      </c>
      <c r="C462" t="str">
        <f t="shared" si="7"/>
        <v>CUNDINAMARCAANAPOIMA</v>
      </c>
      <c r="D462" t="s">
        <v>2772</v>
      </c>
      <c r="E462" t="s">
        <v>1328</v>
      </c>
      <c r="F462" t="s">
        <v>1013</v>
      </c>
    </row>
    <row r="463" spans="1:6" hidden="1" x14ac:dyDescent="0.2">
      <c r="A463" t="s">
        <v>1008</v>
      </c>
      <c r="B463" t="s">
        <v>2344</v>
      </c>
      <c r="C463" t="str">
        <f t="shared" si="7"/>
        <v>CUNDINAMARCAANOLAIMA</v>
      </c>
      <c r="D463" t="s">
        <v>2772</v>
      </c>
      <c r="E463" t="s">
        <v>485</v>
      </c>
      <c r="F463" t="s">
        <v>44</v>
      </c>
    </row>
    <row r="464" spans="1:6" hidden="1" x14ac:dyDescent="0.2">
      <c r="A464" t="s">
        <v>1008</v>
      </c>
      <c r="B464" t="s">
        <v>1014</v>
      </c>
      <c r="C464" t="str">
        <f t="shared" si="7"/>
        <v>CUNDINAMARCAARBELAEZ</v>
      </c>
      <c r="D464" t="s">
        <v>2772</v>
      </c>
      <c r="E464" t="s">
        <v>2825</v>
      </c>
      <c r="F464" t="s">
        <v>45</v>
      </c>
    </row>
    <row r="465" spans="1:6" hidden="1" x14ac:dyDescent="0.2">
      <c r="A465" t="s">
        <v>1008</v>
      </c>
      <c r="B465" t="s">
        <v>2365</v>
      </c>
      <c r="C465" t="str">
        <f t="shared" si="7"/>
        <v>CUNDINAMARCABELTRAN</v>
      </c>
      <c r="D465" t="s">
        <v>2772</v>
      </c>
      <c r="E465" t="s">
        <v>2826</v>
      </c>
      <c r="F465" t="s">
        <v>1015</v>
      </c>
    </row>
    <row r="466" spans="1:6" hidden="1" x14ac:dyDescent="0.2">
      <c r="A466" t="s">
        <v>1008</v>
      </c>
      <c r="B466" t="s">
        <v>1016</v>
      </c>
      <c r="C466" t="str">
        <f t="shared" si="7"/>
        <v>CUNDINAMARCABITUIMA</v>
      </c>
      <c r="D466" t="s">
        <v>2772</v>
      </c>
      <c r="E466" t="s">
        <v>1329</v>
      </c>
      <c r="F466" t="s">
        <v>1017</v>
      </c>
    </row>
    <row r="467" spans="1:6" hidden="1" x14ac:dyDescent="0.2">
      <c r="A467" t="s">
        <v>1008</v>
      </c>
      <c r="B467" t="s">
        <v>1018</v>
      </c>
      <c r="C467" t="str">
        <f t="shared" si="7"/>
        <v>CUNDINAMARCABOJACA</v>
      </c>
      <c r="D467" t="s">
        <v>2772</v>
      </c>
      <c r="E467" t="s">
        <v>2827</v>
      </c>
      <c r="F467" t="s">
        <v>1019</v>
      </c>
    </row>
    <row r="468" spans="1:6" hidden="1" x14ac:dyDescent="0.2">
      <c r="A468" t="s">
        <v>1008</v>
      </c>
      <c r="B468" t="s">
        <v>2382</v>
      </c>
      <c r="C468" t="str">
        <f t="shared" si="7"/>
        <v>CUNDINAMARCACABRERA</v>
      </c>
      <c r="D468" t="s">
        <v>2772</v>
      </c>
      <c r="E468" t="s">
        <v>2799</v>
      </c>
      <c r="F468" t="s">
        <v>47</v>
      </c>
    </row>
    <row r="469" spans="1:6" hidden="1" x14ac:dyDescent="0.2">
      <c r="A469" t="s">
        <v>1008</v>
      </c>
      <c r="B469" t="s">
        <v>1020</v>
      </c>
      <c r="C469" t="str">
        <f t="shared" si="7"/>
        <v>CUNDINAMARCACACHIPAY</v>
      </c>
      <c r="D469" t="s">
        <v>2772</v>
      </c>
      <c r="E469" t="s">
        <v>1022</v>
      </c>
      <c r="F469" t="s">
        <v>1021</v>
      </c>
    </row>
    <row r="470" spans="1:6" hidden="1" x14ac:dyDescent="0.2">
      <c r="A470" t="s">
        <v>1008</v>
      </c>
      <c r="B470" t="s">
        <v>1023</v>
      </c>
      <c r="C470" t="str">
        <f t="shared" si="7"/>
        <v>CUNDINAMARCACAJICA</v>
      </c>
      <c r="D470" t="s">
        <v>2772</v>
      </c>
      <c r="E470" t="s">
        <v>1376</v>
      </c>
      <c r="F470" t="s">
        <v>1024</v>
      </c>
    </row>
    <row r="471" spans="1:6" hidden="1" x14ac:dyDescent="0.2">
      <c r="A471" t="s">
        <v>1008</v>
      </c>
      <c r="B471" t="s">
        <v>2404</v>
      </c>
      <c r="C471" t="str">
        <f t="shared" si="7"/>
        <v>CUNDINAMARCACAPARRAPI</v>
      </c>
      <c r="D471" t="s">
        <v>2772</v>
      </c>
      <c r="E471" t="s">
        <v>2190</v>
      </c>
      <c r="F471" t="s">
        <v>1025</v>
      </c>
    </row>
    <row r="472" spans="1:6" hidden="1" x14ac:dyDescent="0.2">
      <c r="A472" t="s">
        <v>1008</v>
      </c>
      <c r="B472" t="s">
        <v>1026</v>
      </c>
      <c r="C472" t="str">
        <f t="shared" si="7"/>
        <v>CUNDINAMARCACAQUEZA</v>
      </c>
      <c r="D472" t="s">
        <v>2772</v>
      </c>
      <c r="E472" t="s">
        <v>1028</v>
      </c>
      <c r="F472" t="s">
        <v>1027</v>
      </c>
    </row>
    <row r="473" spans="1:6" hidden="1" x14ac:dyDescent="0.2">
      <c r="A473" t="s">
        <v>1008</v>
      </c>
      <c r="B473" t="s">
        <v>2410</v>
      </c>
      <c r="C473" t="str">
        <f t="shared" si="7"/>
        <v>CUNDINAMARCACARMEN DE CARUPA</v>
      </c>
      <c r="D473" t="s">
        <v>2772</v>
      </c>
      <c r="E473" t="s">
        <v>2792</v>
      </c>
      <c r="F473" t="s">
        <v>1029</v>
      </c>
    </row>
    <row r="474" spans="1:6" hidden="1" x14ac:dyDescent="0.2">
      <c r="A474" t="s">
        <v>1008</v>
      </c>
      <c r="B474" t="s">
        <v>951</v>
      </c>
      <c r="C474" t="str">
        <f t="shared" si="7"/>
        <v>CUNDINAMARCACHAGUANI</v>
      </c>
      <c r="D474" t="s">
        <v>2772</v>
      </c>
      <c r="E474" t="s">
        <v>1031</v>
      </c>
      <c r="F474" t="s">
        <v>1030</v>
      </c>
    </row>
    <row r="475" spans="1:6" hidden="1" x14ac:dyDescent="0.2">
      <c r="A475" t="s">
        <v>1008</v>
      </c>
      <c r="B475" t="s">
        <v>901</v>
      </c>
      <c r="C475" t="str">
        <f t="shared" si="7"/>
        <v>CUNDINAMARCACHIA</v>
      </c>
      <c r="D475" t="s">
        <v>2772</v>
      </c>
      <c r="E475" t="s">
        <v>2134</v>
      </c>
      <c r="F475" t="s">
        <v>1032</v>
      </c>
    </row>
    <row r="476" spans="1:6" hidden="1" x14ac:dyDescent="0.2">
      <c r="A476" t="s">
        <v>1008</v>
      </c>
      <c r="B476" t="s">
        <v>902</v>
      </c>
      <c r="C476" t="str">
        <f t="shared" si="7"/>
        <v>CUNDINAMARCACHIPAQUE</v>
      </c>
      <c r="D476" t="s">
        <v>2772</v>
      </c>
      <c r="E476" t="s">
        <v>1034</v>
      </c>
      <c r="F476" t="s">
        <v>1033</v>
      </c>
    </row>
    <row r="477" spans="1:6" hidden="1" x14ac:dyDescent="0.2">
      <c r="A477" t="s">
        <v>1008</v>
      </c>
      <c r="B477" t="s">
        <v>1035</v>
      </c>
      <c r="C477" t="str">
        <f t="shared" si="7"/>
        <v>CUNDINAMARCACHOACHI</v>
      </c>
      <c r="D477" t="s">
        <v>2772</v>
      </c>
      <c r="E477" t="s">
        <v>2209</v>
      </c>
      <c r="F477" t="s">
        <v>1036</v>
      </c>
    </row>
    <row r="478" spans="1:6" hidden="1" x14ac:dyDescent="0.2">
      <c r="A478" t="s">
        <v>1008</v>
      </c>
      <c r="B478" t="s">
        <v>1601</v>
      </c>
      <c r="C478" t="str">
        <f t="shared" si="7"/>
        <v>CUNDINAMARCACHOCONTA</v>
      </c>
      <c r="D478" t="s">
        <v>2772</v>
      </c>
      <c r="E478" t="s">
        <v>2828</v>
      </c>
      <c r="F478" t="s">
        <v>1037</v>
      </c>
    </row>
    <row r="479" spans="1:6" hidden="1" x14ac:dyDescent="0.2">
      <c r="A479" t="s">
        <v>1008</v>
      </c>
      <c r="B479" t="s">
        <v>1038</v>
      </c>
      <c r="C479" t="str">
        <f t="shared" si="7"/>
        <v>CUNDINAMARCACOGUA</v>
      </c>
      <c r="D479" t="s">
        <v>2772</v>
      </c>
      <c r="E479" t="s">
        <v>1330</v>
      </c>
      <c r="F479" t="s">
        <v>48</v>
      </c>
    </row>
    <row r="480" spans="1:6" hidden="1" x14ac:dyDescent="0.2">
      <c r="A480" t="s">
        <v>1008</v>
      </c>
      <c r="B480" t="s">
        <v>1039</v>
      </c>
      <c r="C480" t="str">
        <f t="shared" si="7"/>
        <v>CUNDINAMARCACOTA</v>
      </c>
      <c r="D480" t="s">
        <v>2772</v>
      </c>
      <c r="E480" t="s">
        <v>1331</v>
      </c>
      <c r="F480" t="s">
        <v>49</v>
      </c>
    </row>
    <row r="481" spans="1:6" hidden="1" x14ac:dyDescent="0.2">
      <c r="A481" t="s">
        <v>1008</v>
      </c>
      <c r="B481" t="s">
        <v>1626</v>
      </c>
      <c r="C481" t="str">
        <f t="shared" si="7"/>
        <v>CUNDINAMARCACUCUNUBA</v>
      </c>
      <c r="D481" t="s">
        <v>2772</v>
      </c>
      <c r="E481" t="s">
        <v>528</v>
      </c>
      <c r="F481" t="s">
        <v>50</v>
      </c>
    </row>
    <row r="482" spans="1:6" hidden="1" x14ac:dyDescent="0.2">
      <c r="A482" t="s">
        <v>1008</v>
      </c>
      <c r="B482" t="s">
        <v>1040</v>
      </c>
      <c r="C482" t="str">
        <f t="shared" si="7"/>
        <v>CUNDINAMARCAEL COLEGIO</v>
      </c>
      <c r="D482" t="s">
        <v>2772</v>
      </c>
      <c r="E482" t="s">
        <v>1042</v>
      </c>
      <c r="F482" t="s">
        <v>1041</v>
      </c>
    </row>
    <row r="483" spans="1:6" hidden="1" x14ac:dyDescent="0.2">
      <c r="A483" t="s">
        <v>1008</v>
      </c>
      <c r="B483" t="s">
        <v>1043</v>
      </c>
      <c r="C483" t="str">
        <f t="shared" si="7"/>
        <v>CUNDINAMARCAEL PEÑON</v>
      </c>
      <c r="D483" t="s">
        <v>2772</v>
      </c>
      <c r="E483" t="s">
        <v>2742</v>
      </c>
      <c r="F483" t="s">
        <v>1044</v>
      </c>
    </row>
    <row r="484" spans="1:6" hidden="1" x14ac:dyDescent="0.2">
      <c r="A484" t="s">
        <v>1008</v>
      </c>
      <c r="B484" t="s">
        <v>1045</v>
      </c>
      <c r="C484" t="str">
        <f t="shared" si="7"/>
        <v>CUNDINAMARCAEL ROSAL</v>
      </c>
      <c r="D484" t="s">
        <v>2772</v>
      </c>
      <c r="E484" t="s">
        <v>1047</v>
      </c>
      <c r="F484" t="s">
        <v>1046</v>
      </c>
    </row>
    <row r="485" spans="1:6" hidden="1" x14ac:dyDescent="0.2">
      <c r="A485" t="s">
        <v>1008</v>
      </c>
      <c r="B485" t="s">
        <v>1048</v>
      </c>
      <c r="C485" t="str">
        <f t="shared" si="7"/>
        <v>CUNDINAMARCAFACATATIVA</v>
      </c>
      <c r="D485" t="s">
        <v>2772</v>
      </c>
      <c r="E485" t="s">
        <v>2084</v>
      </c>
      <c r="F485" t="s">
        <v>1049</v>
      </c>
    </row>
    <row r="486" spans="1:6" hidden="1" x14ac:dyDescent="0.2">
      <c r="A486" t="s">
        <v>1008</v>
      </c>
      <c r="B486" t="s">
        <v>1050</v>
      </c>
      <c r="C486" t="str">
        <f t="shared" si="7"/>
        <v>CUNDINAMARCAFOMEQUE</v>
      </c>
      <c r="D486" t="s">
        <v>2772</v>
      </c>
      <c r="E486" t="s">
        <v>1052</v>
      </c>
      <c r="F486" t="s">
        <v>1051</v>
      </c>
    </row>
    <row r="487" spans="1:6" hidden="1" x14ac:dyDescent="0.2">
      <c r="A487" t="s">
        <v>1008</v>
      </c>
      <c r="B487" t="s">
        <v>1053</v>
      </c>
      <c r="C487" t="str">
        <f t="shared" si="7"/>
        <v>CUNDINAMARCAFOSCA</v>
      </c>
      <c r="D487" t="s">
        <v>2772</v>
      </c>
      <c r="E487" t="s">
        <v>1055</v>
      </c>
      <c r="F487" t="s">
        <v>1054</v>
      </c>
    </row>
    <row r="488" spans="1:6" hidden="1" x14ac:dyDescent="0.2">
      <c r="A488" t="s">
        <v>1008</v>
      </c>
      <c r="B488" t="s">
        <v>1056</v>
      </c>
      <c r="C488" t="str">
        <f t="shared" si="7"/>
        <v>CUNDINAMARCAFUNZA</v>
      </c>
      <c r="D488" t="s">
        <v>2772</v>
      </c>
      <c r="E488" t="s">
        <v>1058</v>
      </c>
      <c r="F488" t="s">
        <v>1057</v>
      </c>
    </row>
    <row r="489" spans="1:6" hidden="1" x14ac:dyDescent="0.2">
      <c r="A489" t="s">
        <v>1008</v>
      </c>
      <c r="B489" t="s">
        <v>1059</v>
      </c>
      <c r="C489" t="str">
        <f t="shared" si="7"/>
        <v>CUNDINAMARCAFUQUENE</v>
      </c>
      <c r="D489" t="s">
        <v>2772</v>
      </c>
      <c r="E489" t="s">
        <v>1332</v>
      </c>
      <c r="F489" t="s">
        <v>1060</v>
      </c>
    </row>
    <row r="490" spans="1:6" hidden="1" x14ac:dyDescent="0.2">
      <c r="A490" t="s">
        <v>1008</v>
      </c>
      <c r="B490" t="s">
        <v>835</v>
      </c>
      <c r="C490" t="str">
        <f t="shared" si="7"/>
        <v>CUNDINAMARCAFUSAGASUGA</v>
      </c>
      <c r="D490" t="s">
        <v>2772</v>
      </c>
      <c r="E490" t="s">
        <v>2672</v>
      </c>
      <c r="F490" t="s">
        <v>51</v>
      </c>
    </row>
    <row r="491" spans="1:6" hidden="1" x14ac:dyDescent="0.2">
      <c r="A491" t="s">
        <v>1008</v>
      </c>
      <c r="B491" t="s">
        <v>1649</v>
      </c>
      <c r="C491" t="str">
        <f t="shared" si="7"/>
        <v>CUNDINAMARCAGACHALA</v>
      </c>
      <c r="D491" t="s">
        <v>2772</v>
      </c>
      <c r="E491" t="s">
        <v>1062</v>
      </c>
      <c r="F491" t="s">
        <v>1061</v>
      </c>
    </row>
    <row r="492" spans="1:6" hidden="1" x14ac:dyDescent="0.2">
      <c r="A492" t="s">
        <v>1008</v>
      </c>
      <c r="B492" t="s">
        <v>912</v>
      </c>
      <c r="C492" t="str">
        <f t="shared" si="7"/>
        <v>CUNDINAMARCAGACHANCIPA</v>
      </c>
      <c r="D492" t="s">
        <v>2772</v>
      </c>
      <c r="E492" t="s">
        <v>1064</v>
      </c>
      <c r="F492" t="s">
        <v>1063</v>
      </c>
    </row>
    <row r="493" spans="1:6" hidden="1" x14ac:dyDescent="0.2">
      <c r="A493" t="s">
        <v>1008</v>
      </c>
      <c r="B493" t="s">
        <v>1065</v>
      </c>
      <c r="C493" t="str">
        <f t="shared" si="7"/>
        <v>CUNDINAMARCAGACHETA</v>
      </c>
      <c r="D493" t="s">
        <v>2772</v>
      </c>
      <c r="E493" t="s">
        <v>1394</v>
      </c>
      <c r="F493" t="s">
        <v>1066</v>
      </c>
    </row>
    <row r="494" spans="1:6" hidden="1" x14ac:dyDescent="0.2">
      <c r="A494" t="s">
        <v>1008</v>
      </c>
      <c r="B494" t="s">
        <v>1654</v>
      </c>
      <c r="C494" t="str">
        <f t="shared" si="7"/>
        <v>CUNDINAMARCAGAMA</v>
      </c>
      <c r="D494" t="s">
        <v>2772</v>
      </c>
      <c r="E494" t="s">
        <v>1068</v>
      </c>
      <c r="F494" t="s">
        <v>1067</v>
      </c>
    </row>
    <row r="495" spans="1:6" hidden="1" x14ac:dyDescent="0.2">
      <c r="A495" t="s">
        <v>1008</v>
      </c>
      <c r="B495" t="s">
        <v>1069</v>
      </c>
      <c r="C495" t="str">
        <f t="shared" si="7"/>
        <v>CUNDINAMARCAGIRARDOT</v>
      </c>
      <c r="D495" t="s">
        <v>2772</v>
      </c>
      <c r="E495" t="s">
        <v>2812</v>
      </c>
      <c r="F495" t="s">
        <v>1070</v>
      </c>
    </row>
    <row r="496" spans="1:6" hidden="1" x14ac:dyDescent="0.2">
      <c r="A496" t="s">
        <v>1008</v>
      </c>
      <c r="B496" t="s">
        <v>1071</v>
      </c>
      <c r="C496" t="str">
        <f t="shared" si="7"/>
        <v>CUNDINAMARCAGRANADA</v>
      </c>
      <c r="D496" t="s">
        <v>2772</v>
      </c>
      <c r="E496" t="s">
        <v>1333</v>
      </c>
      <c r="F496" t="s">
        <v>1072</v>
      </c>
    </row>
    <row r="497" spans="1:6" hidden="1" x14ac:dyDescent="0.2">
      <c r="A497" t="s">
        <v>1008</v>
      </c>
      <c r="B497" t="s">
        <v>531</v>
      </c>
      <c r="C497" t="str">
        <f t="shared" si="7"/>
        <v>CUNDINAMARCAGUACHETA</v>
      </c>
      <c r="D497" t="s">
        <v>2772</v>
      </c>
      <c r="E497" t="s">
        <v>1334</v>
      </c>
      <c r="F497" t="s">
        <v>1073</v>
      </c>
    </row>
    <row r="498" spans="1:6" hidden="1" x14ac:dyDescent="0.2">
      <c r="A498" t="s">
        <v>1008</v>
      </c>
      <c r="B498" t="s">
        <v>1074</v>
      </c>
      <c r="C498" t="str">
        <f t="shared" si="7"/>
        <v>CUNDINAMARCAGUADUAS</v>
      </c>
      <c r="D498" t="s">
        <v>2772</v>
      </c>
      <c r="E498" t="s">
        <v>2215</v>
      </c>
      <c r="F498" t="s">
        <v>1075</v>
      </c>
    </row>
    <row r="499" spans="1:6" hidden="1" x14ac:dyDescent="0.2">
      <c r="A499" t="s">
        <v>1008</v>
      </c>
      <c r="B499" t="s">
        <v>534</v>
      </c>
      <c r="C499" t="str">
        <f t="shared" si="7"/>
        <v>CUNDINAMARCAGUASCA</v>
      </c>
      <c r="D499" t="s">
        <v>2772</v>
      </c>
      <c r="E499" t="s">
        <v>1335</v>
      </c>
      <c r="F499" t="s">
        <v>1076</v>
      </c>
    </row>
    <row r="500" spans="1:6" hidden="1" x14ac:dyDescent="0.2">
      <c r="A500" t="s">
        <v>1008</v>
      </c>
      <c r="B500" t="s">
        <v>1077</v>
      </c>
      <c r="C500" t="str">
        <f t="shared" si="7"/>
        <v>CUNDINAMARCAGUATAQUI</v>
      </c>
      <c r="D500" t="s">
        <v>2772</v>
      </c>
      <c r="E500" t="s">
        <v>1079</v>
      </c>
      <c r="F500" t="s">
        <v>1078</v>
      </c>
    </row>
    <row r="501" spans="1:6" hidden="1" x14ac:dyDescent="0.2">
      <c r="A501" t="s">
        <v>1008</v>
      </c>
      <c r="B501" t="s">
        <v>1080</v>
      </c>
      <c r="C501" t="str">
        <f t="shared" si="7"/>
        <v>CUNDINAMARCAGUATAVITA</v>
      </c>
      <c r="D501" t="s">
        <v>2772</v>
      </c>
      <c r="E501" t="s">
        <v>1082</v>
      </c>
      <c r="F501" t="s">
        <v>1081</v>
      </c>
    </row>
    <row r="502" spans="1:6" hidden="1" x14ac:dyDescent="0.2">
      <c r="A502" t="s">
        <v>1008</v>
      </c>
      <c r="B502" t="s">
        <v>1083</v>
      </c>
      <c r="C502" t="str">
        <f t="shared" si="7"/>
        <v>CUNDINAMARCAGUAYABAL DE SIQUIMA</v>
      </c>
      <c r="D502" t="s">
        <v>2772</v>
      </c>
      <c r="E502" s="57" t="s">
        <v>1324</v>
      </c>
      <c r="F502" t="s">
        <v>52</v>
      </c>
    </row>
    <row r="503" spans="1:6" hidden="1" x14ac:dyDescent="0.2">
      <c r="A503" t="s">
        <v>1008</v>
      </c>
      <c r="B503" t="s">
        <v>1084</v>
      </c>
      <c r="C503" t="str">
        <f t="shared" si="7"/>
        <v>CUNDINAMARCAGUAYABETAL</v>
      </c>
      <c r="D503" t="s">
        <v>2772</v>
      </c>
      <c r="E503" t="s">
        <v>1389</v>
      </c>
      <c r="F503" t="s">
        <v>1085</v>
      </c>
    </row>
    <row r="504" spans="1:6" hidden="1" x14ac:dyDescent="0.2">
      <c r="A504" t="s">
        <v>1008</v>
      </c>
      <c r="B504" t="s">
        <v>1086</v>
      </c>
      <c r="C504" t="str">
        <f t="shared" si="7"/>
        <v>CUNDINAMARCAGUTIERREZ</v>
      </c>
      <c r="D504" t="s">
        <v>2772</v>
      </c>
      <c r="E504" t="s">
        <v>1088</v>
      </c>
      <c r="F504" t="s">
        <v>1087</v>
      </c>
    </row>
    <row r="505" spans="1:6" hidden="1" x14ac:dyDescent="0.2">
      <c r="A505" t="s">
        <v>1008</v>
      </c>
      <c r="B505" t="s">
        <v>2483</v>
      </c>
      <c r="C505" t="str">
        <f t="shared" si="7"/>
        <v>CUNDINAMARCAJERUSALEN</v>
      </c>
      <c r="D505" t="s">
        <v>2772</v>
      </c>
      <c r="E505" t="s">
        <v>1090</v>
      </c>
      <c r="F505" t="s">
        <v>1089</v>
      </c>
    </row>
    <row r="506" spans="1:6" hidden="1" x14ac:dyDescent="0.2">
      <c r="A506" t="s">
        <v>1008</v>
      </c>
      <c r="B506" t="s">
        <v>1405</v>
      </c>
      <c r="C506" t="str">
        <f t="shared" si="7"/>
        <v>CUNDINAMARCAJUNIN</v>
      </c>
      <c r="D506" t="s">
        <v>2772</v>
      </c>
      <c r="E506" t="s">
        <v>2829</v>
      </c>
      <c r="F506" t="s">
        <v>1091</v>
      </c>
    </row>
    <row r="507" spans="1:6" hidden="1" x14ac:dyDescent="0.2">
      <c r="A507" t="s">
        <v>1008</v>
      </c>
      <c r="B507" t="s">
        <v>548</v>
      </c>
      <c r="C507" t="str">
        <f t="shared" si="7"/>
        <v>CUNDINAMARCALA CALERA</v>
      </c>
      <c r="D507" t="s">
        <v>2772</v>
      </c>
      <c r="E507" t="s">
        <v>2167</v>
      </c>
      <c r="F507" t="s">
        <v>1092</v>
      </c>
    </row>
    <row r="508" spans="1:6" hidden="1" x14ac:dyDescent="0.2">
      <c r="A508" t="s">
        <v>1008</v>
      </c>
      <c r="B508" t="s">
        <v>1093</v>
      </c>
      <c r="C508" t="str">
        <f t="shared" si="7"/>
        <v>CUNDINAMARCALA MESA</v>
      </c>
      <c r="D508" t="s">
        <v>2772</v>
      </c>
      <c r="E508" t="s">
        <v>1095</v>
      </c>
      <c r="F508" t="s">
        <v>1094</v>
      </c>
    </row>
    <row r="509" spans="1:6" hidden="1" x14ac:dyDescent="0.2">
      <c r="A509" t="s">
        <v>1008</v>
      </c>
      <c r="B509" t="s">
        <v>1096</v>
      </c>
      <c r="C509" t="str">
        <f t="shared" si="7"/>
        <v>CUNDINAMARCALA PALMA</v>
      </c>
      <c r="D509" t="s">
        <v>2772</v>
      </c>
      <c r="E509" t="s">
        <v>1336</v>
      </c>
      <c r="F509" t="s">
        <v>1097</v>
      </c>
    </row>
    <row r="510" spans="1:6" hidden="1" x14ac:dyDescent="0.2">
      <c r="A510" t="s">
        <v>1008</v>
      </c>
      <c r="B510" t="s">
        <v>1098</v>
      </c>
      <c r="C510" t="str">
        <f t="shared" si="7"/>
        <v>CUNDINAMARCALA PEÑA</v>
      </c>
      <c r="D510" t="s">
        <v>2772</v>
      </c>
      <c r="E510" t="s">
        <v>1100</v>
      </c>
      <c r="F510" t="s">
        <v>1099</v>
      </c>
    </row>
    <row r="511" spans="1:6" hidden="1" x14ac:dyDescent="0.2">
      <c r="A511" t="s">
        <v>1008</v>
      </c>
      <c r="B511" t="s">
        <v>1101</v>
      </c>
      <c r="C511" t="str">
        <f t="shared" si="7"/>
        <v>CUNDINAMARCALA VEGA</v>
      </c>
      <c r="D511" t="s">
        <v>2772</v>
      </c>
      <c r="E511" t="s">
        <v>2100</v>
      </c>
      <c r="F511" t="s">
        <v>1102</v>
      </c>
    </row>
    <row r="512" spans="1:6" hidden="1" x14ac:dyDescent="0.2">
      <c r="A512" t="s">
        <v>1008</v>
      </c>
      <c r="B512" t="s">
        <v>558</v>
      </c>
      <c r="C512" t="str">
        <f t="shared" si="7"/>
        <v>CUNDINAMARCALENGUAZAQUE</v>
      </c>
      <c r="D512" t="s">
        <v>2772</v>
      </c>
      <c r="E512" t="s">
        <v>1337</v>
      </c>
      <c r="F512" t="s">
        <v>1103</v>
      </c>
    </row>
    <row r="513" spans="1:6" hidden="1" x14ac:dyDescent="0.2">
      <c r="A513" t="s">
        <v>1008</v>
      </c>
      <c r="B513" t="s">
        <v>1104</v>
      </c>
      <c r="C513" t="str">
        <f t="shared" si="7"/>
        <v>CUNDINAMARCAMACHETA</v>
      </c>
      <c r="D513" t="s">
        <v>2772</v>
      </c>
      <c r="E513" t="s">
        <v>1106</v>
      </c>
      <c r="F513" t="s">
        <v>1105</v>
      </c>
    </row>
    <row r="514" spans="1:6" hidden="1" x14ac:dyDescent="0.2">
      <c r="A514" t="s">
        <v>1008</v>
      </c>
      <c r="B514" t="s">
        <v>1492</v>
      </c>
      <c r="C514" t="str">
        <f t="shared" si="7"/>
        <v>CUNDINAMARCAMADRID</v>
      </c>
      <c r="D514" t="s">
        <v>2772</v>
      </c>
      <c r="E514" t="s">
        <v>1108</v>
      </c>
      <c r="F514" t="s">
        <v>1107</v>
      </c>
    </row>
    <row r="515" spans="1:6" hidden="1" x14ac:dyDescent="0.2">
      <c r="A515" t="s">
        <v>1008</v>
      </c>
      <c r="B515" t="s">
        <v>1414</v>
      </c>
      <c r="C515" t="str">
        <f t="shared" ref="C515:C578" si="8">D515&amp;E515</f>
        <v>CUNDINAMARCAMANTA</v>
      </c>
      <c r="D515" t="s">
        <v>2772</v>
      </c>
      <c r="E515" t="s">
        <v>1110</v>
      </c>
      <c r="F515" t="s">
        <v>1109</v>
      </c>
    </row>
    <row r="516" spans="1:6" hidden="1" x14ac:dyDescent="0.2">
      <c r="A516" t="s">
        <v>1008</v>
      </c>
      <c r="B516" t="s">
        <v>1111</v>
      </c>
      <c r="C516" t="str">
        <f t="shared" si="8"/>
        <v>CUNDINAMARCAMEDINA</v>
      </c>
      <c r="D516" t="s">
        <v>2772</v>
      </c>
      <c r="E516" t="s">
        <v>1113</v>
      </c>
      <c r="F516" t="s">
        <v>1112</v>
      </c>
    </row>
    <row r="517" spans="1:6" hidden="1" x14ac:dyDescent="0.2">
      <c r="A517" t="s">
        <v>1008</v>
      </c>
      <c r="B517" t="s">
        <v>1503</v>
      </c>
      <c r="C517" t="str">
        <f t="shared" si="8"/>
        <v>CUNDINAMARCAMOSQUERA</v>
      </c>
      <c r="D517" t="s">
        <v>2772</v>
      </c>
      <c r="E517" t="s">
        <v>1115</v>
      </c>
      <c r="F517" t="s">
        <v>1114</v>
      </c>
    </row>
    <row r="518" spans="1:6" hidden="1" x14ac:dyDescent="0.2">
      <c r="A518" t="s">
        <v>1008</v>
      </c>
      <c r="B518" t="s">
        <v>2512</v>
      </c>
      <c r="C518" t="str">
        <f t="shared" si="8"/>
        <v>CUNDINAMARCANARIÑO</v>
      </c>
      <c r="D518" t="s">
        <v>2772</v>
      </c>
      <c r="E518" t="s">
        <v>2811</v>
      </c>
      <c r="F518" t="s">
        <v>1116</v>
      </c>
    </row>
    <row r="519" spans="1:6" hidden="1" x14ac:dyDescent="0.2">
      <c r="A519" t="s">
        <v>1008</v>
      </c>
      <c r="B519" t="s">
        <v>756</v>
      </c>
      <c r="C519" t="str">
        <f t="shared" si="8"/>
        <v>CUNDINAMARCANEMOCON</v>
      </c>
      <c r="D519" t="s">
        <v>2772</v>
      </c>
      <c r="E519" t="s">
        <v>2830</v>
      </c>
      <c r="F519" t="s">
        <v>1117</v>
      </c>
    </row>
    <row r="520" spans="1:6" hidden="1" x14ac:dyDescent="0.2">
      <c r="A520" t="s">
        <v>1008</v>
      </c>
      <c r="B520" t="s">
        <v>1118</v>
      </c>
      <c r="C520" t="str">
        <f t="shared" si="8"/>
        <v>CUNDINAMARCANILO</v>
      </c>
      <c r="D520" t="s">
        <v>2772</v>
      </c>
      <c r="E520" t="s">
        <v>1120</v>
      </c>
      <c r="F520" t="s">
        <v>1119</v>
      </c>
    </row>
    <row r="521" spans="1:6" hidden="1" x14ac:dyDescent="0.2">
      <c r="A521" t="s">
        <v>1008</v>
      </c>
      <c r="B521" t="s">
        <v>1121</v>
      </c>
      <c r="C521" t="str">
        <f t="shared" si="8"/>
        <v>CUNDINAMARCANIMAIMA</v>
      </c>
      <c r="D521" t="s">
        <v>2772</v>
      </c>
      <c r="E521" t="s">
        <v>2079</v>
      </c>
      <c r="F521" t="s">
        <v>1122</v>
      </c>
    </row>
    <row r="522" spans="1:6" hidden="1" x14ac:dyDescent="0.2">
      <c r="A522" t="s">
        <v>1008</v>
      </c>
      <c r="B522" t="s">
        <v>579</v>
      </c>
      <c r="C522" t="str">
        <f t="shared" si="8"/>
        <v>CUNDINAMARCANOCAIMA</v>
      </c>
      <c r="D522" t="s">
        <v>2772</v>
      </c>
      <c r="E522" t="s">
        <v>486</v>
      </c>
      <c r="F522" t="s">
        <v>1123</v>
      </c>
    </row>
    <row r="523" spans="1:6" hidden="1" x14ac:dyDescent="0.2">
      <c r="A523" t="s">
        <v>1008</v>
      </c>
      <c r="B523" t="s">
        <v>1124</v>
      </c>
      <c r="C523" t="str">
        <f t="shared" si="8"/>
        <v>CUNDINAMARCAVENECIA</v>
      </c>
      <c r="D523" t="s">
        <v>2772</v>
      </c>
      <c r="E523" s="57" t="s">
        <v>2126</v>
      </c>
      <c r="F523" t="s">
        <v>1125</v>
      </c>
    </row>
    <row r="524" spans="1:6" hidden="1" x14ac:dyDescent="0.2">
      <c r="A524" t="s">
        <v>1008</v>
      </c>
      <c r="B524" t="s">
        <v>759</v>
      </c>
      <c r="C524" t="str">
        <f t="shared" si="8"/>
        <v>CUNDINAMARCAPACHO</v>
      </c>
      <c r="D524" t="s">
        <v>2772</v>
      </c>
      <c r="E524" t="s">
        <v>2690</v>
      </c>
      <c r="F524" t="s">
        <v>1126</v>
      </c>
    </row>
    <row r="525" spans="1:6" hidden="1" x14ac:dyDescent="0.2">
      <c r="A525" t="s">
        <v>1008</v>
      </c>
      <c r="B525" t="s">
        <v>598</v>
      </c>
      <c r="C525" t="str">
        <f t="shared" si="8"/>
        <v>CUNDINAMARCAPAIME</v>
      </c>
      <c r="D525" t="s">
        <v>2772</v>
      </c>
      <c r="E525" t="s">
        <v>497</v>
      </c>
      <c r="F525" t="s">
        <v>1127</v>
      </c>
    </row>
    <row r="526" spans="1:6" hidden="1" x14ac:dyDescent="0.2">
      <c r="A526" t="s">
        <v>1008</v>
      </c>
      <c r="B526" t="s">
        <v>761</v>
      </c>
      <c r="C526" t="str">
        <f t="shared" si="8"/>
        <v>CUNDINAMARCAPANDI</v>
      </c>
      <c r="D526" t="s">
        <v>2772</v>
      </c>
      <c r="E526" t="s">
        <v>2151</v>
      </c>
      <c r="F526" t="s">
        <v>53</v>
      </c>
    </row>
    <row r="527" spans="1:6" hidden="1" x14ac:dyDescent="0.2">
      <c r="A527" t="s">
        <v>1008</v>
      </c>
      <c r="B527" t="s">
        <v>1128</v>
      </c>
      <c r="C527" t="str">
        <f t="shared" si="8"/>
        <v>CUNDINAMARCAPARATEBUENO</v>
      </c>
      <c r="D527" t="s">
        <v>2772</v>
      </c>
      <c r="E527" t="s">
        <v>1130</v>
      </c>
      <c r="F527" t="s">
        <v>1129</v>
      </c>
    </row>
    <row r="528" spans="1:6" hidden="1" x14ac:dyDescent="0.2">
      <c r="A528" t="s">
        <v>1008</v>
      </c>
      <c r="B528" t="s">
        <v>1131</v>
      </c>
      <c r="C528" t="str">
        <f t="shared" si="8"/>
        <v>CUNDINAMARCAPASCA</v>
      </c>
      <c r="D528" t="s">
        <v>2772</v>
      </c>
      <c r="E528" t="s">
        <v>1133</v>
      </c>
      <c r="F528" t="s">
        <v>1132</v>
      </c>
    </row>
    <row r="529" spans="1:6" hidden="1" x14ac:dyDescent="0.2">
      <c r="A529" t="s">
        <v>1008</v>
      </c>
      <c r="B529" t="s">
        <v>618</v>
      </c>
      <c r="C529" t="str">
        <f t="shared" si="8"/>
        <v>CUNDINAMARCAPUERTO SALGAR</v>
      </c>
      <c r="D529" t="s">
        <v>2772</v>
      </c>
      <c r="E529" t="s">
        <v>1135</v>
      </c>
      <c r="F529" t="s">
        <v>1134</v>
      </c>
    </row>
    <row r="530" spans="1:6" hidden="1" x14ac:dyDescent="0.2">
      <c r="A530" t="s">
        <v>1008</v>
      </c>
      <c r="B530" t="s">
        <v>1507</v>
      </c>
      <c r="C530" t="str">
        <f t="shared" si="8"/>
        <v>CUNDINAMARCAPULI</v>
      </c>
      <c r="D530" t="s">
        <v>2772</v>
      </c>
      <c r="E530" t="s">
        <v>1137</v>
      </c>
      <c r="F530" t="s">
        <v>1136</v>
      </c>
    </row>
    <row r="531" spans="1:6" hidden="1" x14ac:dyDescent="0.2">
      <c r="A531" t="s">
        <v>1008</v>
      </c>
      <c r="B531" t="s">
        <v>807</v>
      </c>
      <c r="C531" t="str">
        <f t="shared" si="8"/>
        <v>CUNDINAMARCAQUEBRADANEGRA</v>
      </c>
      <c r="D531" t="s">
        <v>2772</v>
      </c>
      <c r="E531" t="s">
        <v>2831</v>
      </c>
      <c r="F531" t="s">
        <v>1138</v>
      </c>
    </row>
    <row r="532" spans="1:6" hidden="1" x14ac:dyDescent="0.2">
      <c r="A532" t="s">
        <v>1008</v>
      </c>
      <c r="B532" t="s">
        <v>1139</v>
      </c>
      <c r="C532" t="str">
        <f t="shared" si="8"/>
        <v>CUNDINAMARCAQUETAME</v>
      </c>
      <c r="D532" t="s">
        <v>2772</v>
      </c>
      <c r="E532" t="s">
        <v>2152</v>
      </c>
      <c r="F532" t="s">
        <v>1140</v>
      </c>
    </row>
    <row r="533" spans="1:6" hidden="1" x14ac:dyDescent="0.2">
      <c r="A533" t="s">
        <v>1008</v>
      </c>
      <c r="B533" t="s">
        <v>1141</v>
      </c>
      <c r="C533" t="str">
        <f t="shared" si="8"/>
        <v>CUNDINAMARCAQUIPILE</v>
      </c>
      <c r="D533" t="s">
        <v>2772</v>
      </c>
      <c r="E533" t="s">
        <v>1143</v>
      </c>
      <c r="F533" t="s">
        <v>1142</v>
      </c>
    </row>
    <row r="534" spans="1:6" hidden="1" x14ac:dyDescent="0.2">
      <c r="A534" t="s">
        <v>1008</v>
      </c>
      <c r="B534" t="s">
        <v>621</v>
      </c>
      <c r="C534" t="str">
        <f t="shared" si="8"/>
        <v>CUNDINAMARCAAPULO</v>
      </c>
      <c r="D534" t="s">
        <v>2772</v>
      </c>
      <c r="E534" t="s">
        <v>2665</v>
      </c>
      <c r="F534" t="s">
        <v>1144</v>
      </c>
    </row>
    <row r="535" spans="1:6" hidden="1" x14ac:dyDescent="0.2">
      <c r="A535" t="s">
        <v>1008</v>
      </c>
      <c r="B535" t="s">
        <v>1145</v>
      </c>
      <c r="C535" t="str">
        <f t="shared" si="8"/>
        <v>CUNDINAMARCARICAURTE</v>
      </c>
      <c r="D535" t="s">
        <v>2772</v>
      </c>
      <c r="E535" t="s">
        <v>2130</v>
      </c>
      <c r="F535" t="s">
        <v>1146</v>
      </c>
    </row>
    <row r="536" spans="1:6" hidden="1" x14ac:dyDescent="0.2">
      <c r="A536" t="s">
        <v>1008</v>
      </c>
      <c r="B536" t="s">
        <v>1147</v>
      </c>
      <c r="C536" t="str">
        <f t="shared" si="8"/>
        <v>CUNDINAMARCASAN ANTONIO DEL TEQUENDAMA</v>
      </c>
      <c r="D536" t="s">
        <v>2772</v>
      </c>
      <c r="E536" s="57" t="s">
        <v>1323</v>
      </c>
      <c r="F536" t="s">
        <v>54</v>
      </c>
    </row>
    <row r="537" spans="1:6" hidden="1" x14ac:dyDescent="0.2">
      <c r="A537" t="s">
        <v>1008</v>
      </c>
      <c r="B537" t="s">
        <v>2555</v>
      </c>
      <c r="C537" t="str">
        <f t="shared" si="8"/>
        <v>CUNDINAMARCASAN BERNARDO</v>
      </c>
      <c r="D537" t="s">
        <v>2772</v>
      </c>
      <c r="E537" t="s">
        <v>2153</v>
      </c>
      <c r="F537" t="s">
        <v>55</v>
      </c>
    </row>
    <row r="538" spans="1:6" hidden="1" x14ac:dyDescent="0.2">
      <c r="A538" t="s">
        <v>1008</v>
      </c>
      <c r="B538" t="s">
        <v>769</v>
      </c>
      <c r="C538" t="str">
        <f t="shared" si="8"/>
        <v>CUNDINAMARCASAN CAYETANO</v>
      </c>
      <c r="D538" t="s">
        <v>2772</v>
      </c>
      <c r="E538" t="s">
        <v>2031</v>
      </c>
      <c r="F538" t="s">
        <v>1148</v>
      </c>
    </row>
    <row r="539" spans="1:6" hidden="1" x14ac:dyDescent="0.2">
      <c r="A539" t="s">
        <v>1008</v>
      </c>
      <c r="B539" t="s">
        <v>2562</v>
      </c>
      <c r="C539" t="str">
        <f t="shared" si="8"/>
        <v>CUNDINAMARCASAN FRANCISCO</v>
      </c>
      <c r="D539" t="s">
        <v>2772</v>
      </c>
      <c r="E539" t="s">
        <v>1385</v>
      </c>
      <c r="F539" t="s">
        <v>1149</v>
      </c>
    </row>
    <row r="540" spans="1:6" hidden="1" x14ac:dyDescent="0.2">
      <c r="A540" t="s">
        <v>1008</v>
      </c>
      <c r="B540" t="s">
        <v>771</v>
      </c>
      <c r="C540" t="str">
        <f t="shared" si="8"/>
        <v>CUNDINAMARCASAN JUAN DE RIO SECO</v>
      </c>
      <c r="D540" t="s">
        <v>2772</v>
      </c>
      <c r="E540" t="s">
        <v>1151</v>
      </c>
      <c r="F540" t="s">
        <v>1150</v>
      </c>
    </row>
    <row r="541" spans="1:6" hidden="1" x14ac:dyDescent="0.2">
      <c r="A541" t="s">
        <v>1008</v>
      </c>
      <c r="B541" t="s">
        <v>1152</v>
      </c>
      <c r="C541" t="str">
        <f t="shared" si="8"/>
        <v>CUNDINAMARCASASAIMA</v>
      </c>
      <c r="D541" t="s">
        <v>2772</v>
      </c>
      <c r="E541" t="s">
        <v>2068</v>
      </c>
      <c r="F541" t="s">
        <v>1153</v>
      </c>
    </row>
    <row r="542" spans="1:6" hidden="1" x14ac:dyDescent="0.2">
      <c r="A542" t="s">
        <v>1008</v>
      </c>
      <c r="B542" t="s">
        <v>2594</v>
      </c>
      <c r="C542" t="str">
        <f t="shared" si="8"/>
        <v>CUNDINAMARCASESQUILE</v>
      </c>
      <c r="D542" t="s">
        <v>2772</v>
      </c>
      <c r="E542" t="s">
        <v>2832</v>
      </c>
      <c r="F542" t="s">
        <v>1154</v>
      </c>
    </row>
    <row r="543" spans="1:6" hidden="1" x14ac:dyDescent="0.2">
      <c r="A543" t="s">
        <v>1008</v>
      </c>
      <c r="B543" t="s">
        <v>658</v>
      </c>
      <c r="C543" t="str">
        <f t="shared" si="8"/>
        <v>CUNDINAMARCASIBATE</v>
      </c>
      <c r="D543" t="s">
        <v>2772</v>
      </c>
      <c r="E543" t="s">
        <v>2132</v>
      </c>
      <c r="F543" t="s">
        <v>56</v>
      </c>
    </row>
    <row r="544" spans="1:6" hidden="1" x14ac:dyDescent="0.2">
      <c r="A544" t="s">
        <v>1008</v>
      </c>
      <c r="B544" t="s">
        <v>872</v>
      </c>
      <c r="C544" t="str">
        <f t="shared" si="8"/>
        <v>CUNDINAMARCASILVANIA</v>
      </c>
      <c r="D544" t="s">
        <v>2772</v>
      </c>
      <c r="E544" t="s">
        <v>1156</v>
      </c>
      <c r="F544" t="s">
        <v>1155</v>
      </c>
    </row>
    <row r="545" spans="1:6" hidden="1" x14ac:dyDescent="0.2">
      <c r="A545" t="s">
        <v>1008</v>
      </c>
      <c r="B545" t="s">
        <v>1157</v>
      </c>
      <c r="C545" t="str">
        <f t="shared" si="8"/>
        <v>CUNDINAMARCASIMIJACA</v>
      </c>
      <c r="D545" t="s">
        <v>2772</v>
      </c>
      <c r="E545" t="s">
        <v>2709</v>
      </c>
      <c r="F545" t="s">
        <v>1158</v>
      </c>
    </row>
    <row r="546" spans="1:6" hidden="1" x14ac:dyDescent="0.2">
      <c r="A546" t="s">
        <v>1008</v>
      </c>
      <c r="B546" t="s">
        <v>1159</v>
      </c>
      <c r="C546" t="str">
        <f t="shared" si="8"/>
        <v>CUNDINAMARCASOACHA</v>
      </c>
      <c r="D546" t="s">
        <v>2772</v>
      </c>
      <c r="E546" t="s">
        <v>2030</v>
      </c>
      <c r="F546" t="s">
        <v>57</v>
      </c>
    </row>
    <row r="547" spans="1:6" hidden="1" x14ac:dyDescent="0.2">
      <c r="A547" t="s">
        <v>1008</v>
      </c>
      <c r="B547" t="s">
        <v>1443</v>
      </c>
      <c r="C547" t="str">
        <f t="shared" si="8"/>
        <v>CUNDINAMARCASOPO</v>
      </c>
      <c r="D547" t="s">
        <v>2772</v>
      </c>
      <c r="E547" t="s">
        <v>2059</v>
      </c>
      <c r="F547" t="s">
        <v>1160</v>
      </c>
    </row>
    <row r="548" spans="1:6" hidden="1" x14ac:dyDescent="0.2">
      <c r="A548" t="s">
        <v>1008</v>
      </c>
      <c r="B548" t="s">
        <v>1161</v>
      </c>
      <c r="C548" t="str">
        <f t="shared" si="8"/>
        <v>CUNDINAMARCASUBACHOQUE</v>
      </c>
      <c r="D548" t="s">
        <v>2772</v>
      </c>
      <c r="E548" t="s">
        <v>1163</v>
      </c>
      <c r="F548" t="s">
        <v>1162</v>
      </c>
    </row>
    <row r="549" spans="1:6" hidden="1" x14ac:dyDescent="0.2">
      <c r="A549" t="s">
        <v>1008</v>
      </c>
      <c r="B549" t="s">
        <v>1164</v>
      </c>
      <c r="C549" t="str">
        <f t="shared" si="8"/>
        <v>CUNDINAMARCASUESCA</v>
      </c>
      <c r="D549" t="s">
        <v>2772</v>
      </c>
      <c r="E549" t="s">
        <v>2833</v>
      </c>
      <c r="F549" t="s">
        <v>1165</v>
      </c>
    </row>
    <row r="550" spans="1:6" hidden="1" x14ac:dyDescent="0.2">
      <c r="A550" t="s">
        <v>1008</v>
      </c>
      <c r="B550" t="s">
        <v>775</v>
      </c>
      <c r="C550" t="str">
        <f t="shared" si="8"/>
        <v>CUNDINAMARCASUPATA</v>
      </c>
      <c r="D550" t="s">
        <v>2772</v>
      </c>
      <c r="E550" t="s">
        <v>487</v>
      </c>
      <c r="F550" t="s">
        <v>58</v>
      </c>
    </row>
    <row r="551" spans="1:6" hidden="1" x14ac:dyDescent="0.2">
      <c r="A551" t="s">
        <v>1008</v>
      </c>
      <c r="B551" t="s">
        <v>1166</v>
      </c>
      <c r="C551" t="str">
        <f t="shared" si="8"/>
        <v>CUNDINAMARCASUSA</v>
      </c>
      <c r="D551" t="s">
        <v>2772</v>
      </c>
      <c r="E551" t="s">
        <v>1168</v>
      </c>
      <c r="F551" t="s">
        <v>1167</v>
      </c>
    </row>
    <row r="552" spans="1:6" hidden="1" x14ac:dyDescent="0.2">
      <c r="A552" t="s">
        <v>1008</v>
      </c>
      <c r="B552" t="s">
        <v>1169</v>
      </c>
      <c r="C552" t="str">
        <f t="shared" si="8"/>
        <v>CUNDINAMARCASUTATAUSA</v>
      </c>
      <c r="D552" t="s">
        <v>2772</v>
      </c>
      <c r="E552" t="s">
        <v>527</v>
      </c>
      <c r="F552" t="s">
        <v>59</v>
      </c>
    </row>
    <row r="553" spans="1:6" hidden="1" x14ac:dyDescent="0.2">
      <c r="A553" t="s">
        <v>1008</v>
      </c>
      <c r="B553" t="s">
        <v>816</v>
      </c>
      <c r="C553" t="str">
        <f t="shared" si="8"/>
        <v>CUNDINAMARCATABIO</v>
      </c>
      <c r="D553" t="s">
        <v>2772</v>
      </c>
      <c r="E553" t="s">
        <v>2120</v>
      </c>
      <c r="F553" t="s">
        <v>1170</v>
      </c>
    </row>
    <row r="554" spans="1:6" hidden="1" x14ac:dyDescent="0.2">
      <c r="A554" t="s">
        <v>1008</v>
      </c>
      <c r="B554" t="s">
        <v>1171</v>
      </c>
      <c r="C554" t="str">
        <f t="shared" si="8"/>
        <v>CUNDINAMARCATAUSA</v>
      </c>
      <c r="D554" t="s">
        <v>2772</v>
      </c>
      <c r="E554" t="s">
        <v>1173</v>
      </c>
      <c r="F554" t="s">
        <v>1172</v>
      </c>
    </row>
    <row r="555" spans="1:6" hidden="1" x14ac:dyDescent="0.2">
      <c r="A555" t="s">
        <v>1008</v>
      </c>
      <c r="B555" t="s">
        <v>1174</v>
      </c>
      <c r="C555" t="str">
        <f t="shared" si="8"/>
        <v>CUNDINAMARCATENA</v>
      </c>
      <c r="D555" t="s">
        <v>2772</v>
      </c>
      <c r="E555" t="s">
        <v>1176</v>
      </c>
      <c r="F555" t="s">
        <v>1175</v>
      </c>
    </row>
    <row r="556" spans="1:6" hidden="1" x14ac:dyDescent="0.2">
      <c r="A556" t="s">
        <v>1008</v>
      </c>
      <c r="B556" t="s">
        <v>1177</v>
      </c>
      <c r="C556" t="str">
        <f t="shared" si="8"/>
        <v>CUNDINAMARCATENJO</v>
      </c>
      <c r="D556" t="s">
        <v>2772</v>
      </c>
      <c r="E556" t="s">
        <v>2051</v>
      </c>
      <c r="F556" t="s">
        <v>1178</v>
      </c>
    </row>
    <row r="557" spans="1:6" hidden="1" x14ac:dyDescent="0.2">
      <c r="A557" t="s">
        <v>1008</v>
      </c>
      <c r="B557" t="s">
        <v>1179</v>
      </c>
      <c r="C557" t="str">
        <f t="shared" si="8"/>
        <v>CUNDINAMARCATIBACUY</v>
      </c>
      <c r="D557" t="s">
        <v>2772</v>
      </c>
      <c r="E557" t="s">
        <v>1181</v>
      </c>
      <c r="F557" t="s">
        <v>1180</v>
      </c>
    </row>
    <row r="558" spans="1:6" hidden="1" x14ac:dyDescent="0.2">
      <c r="A558" t="s">
        <v>1008</v>
      </c>
      <c r="B558" t="s">
        <v>878</v>
      </c>
      <c r="C558" t="str">
        <f t="shared" si="8"/>
        <v>CUNDINAMARCATIBIRITA</v>
      </c>
      <c r="D558" t="s">
        <v>2772</v>
      </c>
      <c r="E558" t="s">
        <v>1183</v>
      </c>
      <c r="F558" t="s">
        <v>1182</v>
      </c>
    </row>
    <row r="559" spans="1:6" hidden="1" x14ac:dyDescent="0.2">
      <c r="A559" t="s">
        <v>1008</v>
      </c>
      <c r="B559" t="s">
        <v>1002</v>
      </c>
      <c r="C559" t="str">
        <f t="shared" si="8"/>
        <v>CUNDINAMARCATOCAIMA</v>
      </c>
      <c r="D559" t="s">
        <v>2772</v>
      </c>
      <c r="E559" t="s">
        <v>2664</v>
      </c>
      <c r="F559" t="s">
        <v>60</v>
      </c>
    </row>
    <row r="560" spans="1:6" hidden="1" x14ac:dyDescent="0.2">
      <c r="A560" t="s">
        <v>1008</v>
      </c>
      <c r="B560" t="s">
        <v>1184</v>
      </c>
      <c r="C560" t="str">
        <f t="shared" si="8"/>
        <v>CUNDINAMARCATOCANCIPA</v>
      </c>
      <c r="D560" t="s">
        <v>2772</v>
      </c>
      <c r="E560" t="s">
        <v>1372</v>
      </c>
      <c r="F560" t="s">
        <v>1185</v>
      </c>
    </row>
    <row r="561" spans="1:6" hidden="1" x14ac:dyDescent="0.2">
      <c r="A561" t="s">
        <v>1008</v>
      </c>
      <c r="B561" t="s">
        <v>1186</v>
      </c>
      <c r="C561" t="str">
        <f t="shared" si="8"/>
        <v>CUNDINAMARCATOPAIPI</v>
      </c>
      <c r="D561" t="s">
        <v>2772</v>
      </c>
      <c r="E561" t="s">
        <v>488</v>
      </c>
      <c r="F561" t="s">
        <v>61</v>
      </c>
    </row>
    <row r="562" spans="1:6" hidden="1" x14ac:dyDescent="0.2">
      <c r="A562" t="s">
        <v>1008</v>
      </c>
      <c r="B562" t="s">
        <v>722</v>
      </c>
      <c r="C562" t="str">
        <f t="shared" si="8"/>
        <v>CUNDINAMARCAUBALA</v>
      </c>
      <c r="D562" t="s">
        <v>2772</v>
      </c>
      <c r="E562" t="s">
        <v>1188</v>
      </c>
      <c r="F562" t="s">
        <v>1187</v>
      </c>
    </row>
    <row r="563" spans="1:6" hidden="1" x14ac:dyDescent="0.2">
      <c r="A563" t="s">
        <v>1008</v>
      </c>
      <c r="B563" t="s">
        <v>1189</v>
      </c>
      <c r="C563" t="str">
        <f t="shared" si="8"/>
        <v>CUNDINAMARCAUBAQUE</v>
      </c>
      <c r="D563" t="s">
        <v>2772</v>
      </c>
      <c r="E563" t="s">
        <v>2716</v>
      </c>
      <c r="F563" t="s">
        <v>1190</v>
      </c>
    </row>
    <row r="564" spans="1:6" hidden="1" x14ac:dyDescent="0.2">
      <c r="A564" t="s">
        <v>1008</v>
      </c>
      <c r="B564" t="s">
        <v>1191</v>
      </c>
      <c r="C564" t="str">
        <f t="shared" si="8"/>
        <v>CUNDINAMARCAUBATE</v>
      </c>
      <c r="D564" t="s">
        <v>2772</v>
      </c>
      <c r="E564" t="s">
        <v>2056</v>
      </c>
      <c r="F564" t="s">
        <v>1192</v>
      </c>
    </row>
    <row r="565" spans="1:6" hidden="1" x14ac:dyDescent="0.2">
      <c r="A565" t="s">
        <v>1008</v>
      </c>
      <c r="B565" t="s">
        <v>885</v>
      </c>
      <c r="C565" t="str">
        <f t="shared" si="8"/>
        <v>CUNDINAMARCAUNE</v>
      </c>
      <c r="D565" t="s">
        <v>2772</v>
      </c>
      <c r="E565" t="s">
        <v>2058</v>
      </c>
      <c r="F565" t="s">
        <v>62</v>
      </c>
    </row>
    <row r="566" spans="1:6" hidden="1" x14ac:dyDescent="0.2">
      <c r="A566" t="s">
        <v>1008</v>
      </c>
      <c r="B566" t="s">
        <v>1193</v>
      </c>
      <c r="C566" t="str">
        <f t="shared" si="8"/>
        <v>CUNDINAMARCAUTICA</v>
      </c>
      <c r="D566" t="s">
        <v>2772</v>
      </c>
      <c r="E566" t="s">
        <v>2834</v>
      </c>
      <c r="F566" t="s">
        <v>1194</v>
      </c>
    </row>
    <row r="567" spans="1:6" hidden="1" x14ac:dyDescent="0.2">
      <c r="A567" t="s">
        <v>1008</v>
      </c>
      <c r="B567" t="s">
        <v>1195</v>
      </c>
      <c r="C567" t="str">
        <f t="shared" si="8"/>
        <v>CUNDINAMARCAVERGARA</v>
      </c>
      <c r="D567" t="s">
        <v>2772</v>
      </c>
      <c r="E567" t="s">
        <v>2154</v>
      </c>
      <c r="F567" t="s">
        <v>63</v>
      </c>
    </row>
    <row r="568" spans="1:6" hidden="1" x14ac:dyDescent="0.2">
      <c r="A568" t="s">
        <v>1008</v>
      </c>
      <c r="B568" t="s">
        <v>778</v>
      </c>
      <c r="C568" t="str">
        <f t="shared" si="8"/>
        <v>CUNDINAMARCAVIANI</v>
      </c>
      <c r="D568" t="s">
        <v>2772</v>
      </c>
      <c r="E568" t="s">
        <v>489</v>
      </c>
      <c r="F568" t="s">
        <v>1196</v>
      </c>
    </row>
    <row r="569" spans="1:6" hidden="1" x14ac:dyDescent="0.2">
      <c r="A569" t="s">
        <v>1008</v>
      </c>
      <c r="B569" t="s">
        <v>1197</v>
      </c>
      <c r="C569" t="str">
        <f t="shared" si="8"/>
        <v>CUNDINAMARCAVILLAGOMEZ</v>
      </c>
      <c r="D569" t="s">
        <v>2772</v>
      </c>
      <c r="E569" t="s">
        <v>1199</v>
      </c>
      <c r="F569" t="s">
        <v>1198</v>
      </c>
    </row>
    <row r="570" spans="1:6" hidden="1" x14ac:dyDescent="0.2">
      <c r="A570" t="s">
        <v>1008</v>
      </c>
      <c r="B570" t="s">
        <v>2632</v>
      </c>
      <c r="C570" t="str">
        <f t="shared" si="8"/>
        <v>CUNDINAMARCAVILLAPINZON</v>
      </c>
      <c r="D570" t="s">
        <v>2772</v>
      </c>
      <c r="E570" t="s">
        <v>2835</v>
      </c>
      <c r="F570" t="s">
        <v>1200</v>
      </c>
    </row>
    <row r="571" spans="1:6" hidden="1" x14ac:dyDescent="0.2">
      <c r="A571" t="s">
        <v>1008</v>
      </c>
      <c r="B571" t="s">
        <v>1201</v>
      </c>
      <c r="C571" t="str">
        <f t="shared" si="8"/>
        <v>CUNDINAMARCAVILLETA</v>
      </c>
      <c r="D571" t="s">
        <v>2772</v>
      </c>
      <c r="E571" t="s">
        <v>2155</v>
      </c>
      <c r="F571" t="s">
        <v>64</v>
      </c>
    </row>
    <row r="572" spans="1:6" hidden="1" x14ac:dyDescent="0.2">
      <c r="A572" t="s">
        <v>1008</v>
      </c>
      <c r="B572" t="s">
        <v>1202</v>
      </c>
      <c r="C572" t="str">
        <f t="shared" si="8"/>
        <v>CUNDINAMARCAVIOTA</v>
      </c>
      <c r="D572" t="s">
        <v>2772</v>
      </c>
      <c r="E572" t="s">
        <v>2156</v>
      </c>
      <c r="F572" t="s">
        <v>65</v>
      </c>
    </row>
    <row r="573" spans="1:6" hidden="1" x14ac:dyDescent="0.2">
      <c r="A573" t="s">
        <v>1008</v>
      </c>
      <c r="B573" t="s">
        <v>2634</v>
      </c>
      <c r="C573" t="str">
        <f t="shared" si="8"/>
        <v>CUNDINAMARCAYACOPI</v>
      </c>
      <c r="D573" t="s">
        <v>2772</v>
      </c>
      <c r="E573" t="s">
        <v>2157</v>
      </c>
      <c r="F573" t="s">
        <v>1203</v>
      </c>
    </row>
    <row r="574" spans="1:6" hidden="1" x14ac:dyDescent="0.2">
      <c r="A574" t="s">
        <v>1008</v>
      </c>
      <c r="B574" t="s">
        <v>1204</v>
      </c>
      <c r="C574" t="str">
        <f t="shared" si="8"/>
        <v>CUNDINAMARCAZIPACON</v>
      </c>
      <c r="D574" t="s">
        <v>2772</v>
      </c>
      <c r="E574" t="s">
        <v>1206</v>
      </c>
      <c r="F574" t="s">
        <v>1205</v>
      </c>
    </row>
    <row r="575" spans="1:6" hidden="1" x14ac:dyDescent="0.2">
      <c r="A575" t="s">
        <v>1008</v>
      </c>
      <c r="B575" t="s">
        <v>1207</v>
      </c>
      <c r="C575" t="str">
        <f t="shared" si="8"/>
        <v>CUNDINAMARCAZIPAQUIRA</v>
      </c>
      <c r="D575" t="s">
        <v>2772</v>
      </c>
      <c r="E575" t="s">
        <v>2158</v>
      </c>
      <c r="F575" t="s">
        <v>1208</v>
      </c>
    </row>
    <row r="576" spans="1:6" hidden="1" x14ac:dyDescent="0.2">
      <c r="A576" t="s">
        <v>1209</v>
      </c>
      <c r="B576" t="s">
        <v>2321</v>
      </c>
      <c r="C576" t="str">
        <f>D576&amp;E576</f>
        <v>ChocoQUIBDO</v>
      </c>
      <c r="D576" t="s">
        <v>1210</v>
      </c>
      <c r="E576" t="s">
        <v>1327</v>
      </c>
      <c r="F576" t="s">
        <v>66</v>
      </c>
    </row>
    <row r="577" spans="1:6" hidden="1" x14ac:dyDescent="0.2">
      <c r="A577" t="s">
        <v>1209</v>
      </c>
      <c r="B577" t="s">
        <v>1458</v>
      </c>
      <c r="C577" t="str">
        <f t="shared" si="8"/>
        <v>ChocoACANDI</v>
      </c>
      <c r="D577" t="s">
        <v>1210</v>
      </c>
      <c r="E577" t="s">
        <v>502</v>
      </c>
      <c r="F577" t="s">
        <v>1211</v>
      </c>
    </row>
    <row r="578" spans="1:6" hidden="1" x14ac:dyDescent="0.2">
      <c r="A578" t="s">
        <v>1209</v>
      </c>
      <c r="B578" t="s">
        <v>1212</v>
      </c>
      <c r="C578" t="str">
        <f t="shared" si="8"/>
        <v>ChocoALTO BAUDO</v>
      </c>
      <c r="D578" t="s">
        <v>1210</v>
      </c>
      <c r="E578" t="s">
        <v>2784</v>
      </c>
      <c r="F578" t="s">
        <v>1213</v>
      </c>
    </row>
    <row r="579" spans="1:6" hidden="1" x14ac:dyDescent="0.2">
      <c r="A579" t="s">
        <v>1209</v>
      </c>
      <c r="B579" t="s">
        <v>740</v>
      </c>
      <c r="C579" t="str">
        <f t="shared" ref="C579:C642" si="9">D579&amp;E579</f>
        <v>ChocoATRATO</v>
      </c>
      <c r="D579" t="s">
        <v>1210</v>
      </c>
      <c r="E579" t="s">
        <v>2149</v>
      </c>
      <c r="F579" t="s">
        <v>1214</v>
      </c>
    </row>
    <row r="580" spans="1:6" hidden="1" x14ac:dyDescent="0.2">
      <c r="A580" t="s">
        <v>1209</v>
      </c>
      <c r="B580" t="s">
        <v>1215</v>
      </c>
      <c r="C580" t="str">
        <f t="shared" si="9"/>
        <v>ChocoBAGADO</v>
      </c>
      <c r="D580" t="s">
        <v>1210</v>
      </c>
      <c r="E580" t="s">
        <v>2050</v>
      </c>
      <c r="F580" t="s">
        <v>1216</v>
      </c>
    </row>
    <row r="581" spans="1:6" hidden="1" x14ac:dyDescent="0.2">
      <c r="A581" t="s">
        <v>1209</v>
      </c>
      <c r="B581" t="s">
        <v>824</v>
      </c>
      <c r="C581" t="str">
        <f t="shared" si="9"/>
        <v>ChocoBAHIA SOLANO</v>
      </c>
      <c r="D581" t="s">
        <v>1210</v>
      </c>
      <c r="E581" t="s">
        <v>1218</v>
      </c>
      <c r="F581" t="s">
        <v>1217</v>
      </c>
    </row>
    <row r="582" spans="1:6" hidden="1" x14ac:dyDescent="0.2">
      <c r="A582" t="s">
        <v>1209</v>
      </c>
      <c r="B582" t="s">
        <v>1219</v>
      </c>
      <c r="C582" t="str">
        <f t="shared" si="9"/>
        <v>ChocoBAJO BAUDO</v>
      </c>
      <c r="D582" t="s">
        <v>1210</v>
      </c>
      <c r="E582" t="s">
        <v>1221</v>
      </c>
      <c r="F582" t="s">
        <v>1220</v>
      </c>
    </row>
    <row r="583" spans="1:6" hidden="1" x14ac:dyDescent="0.2">
      <c r="A583" t="s">
        <v>1209</v>
      </c>
      <c r="B583" t="s">
        <v>2365</v>
      </c>
      <c r="C583" t="str">
        <f t="shared" si="9"/>
        <v>ChocoBELEN DE BAJIRA</v>
      </c>
      <c r="D583" t="s">
        <v>1210</v>
      </c>
      <c r="E583" t="s">
        <v>1223</v>
      </c>
      <c r="F583" t="s">
        <v>1222</v>
      </c>
    </row>
    <row r="584" spans="1:6" hidden="1" x14ac:dyDescent="0.2">
      <c r="A584" t="s">
        <v>1209</v>
      </c>
      <c r="B584" t="s">
        <v>1018</v>
      </c>
      <c r="C584" t="str">
        <f t="shared" si="9"/>
        <v>ChocoBOJAYA</v>
      </c>
      <c r="D584" t="s">
        <v>1210</v>
      </c>
      <c r="E584" t="s">
        <v>1225</v>
      </c>
      <c r="F584" t="s">
        <v>1224</v>
      </c>
    </row>
    <row r="585" spans="1:6" hidden="1" x14ac:dyDescent="0.2">
      <c r="A585" t="s">
        <v>1209</v>
      </c>
      <c r="B585" t="s">
        <v>1588</v>
      </c>
      <c r="C585" t="str">
        <f t="shared" si="9"/>
        <v>ChocoCANTON DE SAN PABLO</v>
      </c>
      <c r="D585" t="s">
        <v>1210</v>
      </c>
      <c r="E585" s="57" t="s">
        <v>1278</v>
      </c>
      <c r="F585" t="s">
        <v>1226</v>
      </c>
    </row>
    <row r="586" spans="1:6" hidden="1" x14ac:dyDescent="0.2">
      <c r="A586" t="s">
        <v>1209</v>
      </c>
      <c r="B586" t="s">
        <v>2407</v>
      </c>
      <c r="C586" t="str">
        <f t="shared" si="9"/>
        <v>ChocoCARMEN DEL DARIEN</v>
      </c>
      <c r="D586" t="s">
        <v>1210</v>
      </c>
      <c r="E586" t="s">
        <v>1228</v>
      </c>
      <c r="F586" t="s">
        <v>1227</v>
      </c>
    </row>
    <row r="587" spans="1:6" hidden="1" x14ac:dyDescent="0.2">
      <c r="A587" t="s">
        <v>1209</v>
      </c>
      <c r="B587" t="s">
        <v>1474</v>
      </c>
      <c r="C587" t="str">
        <f t="shared" si="9"/>
        <v>ChocoCERTEGUI</v>
      </c>
      <c r="D587" t="s">
        <v>1210</v>
      </c>
      <c r="E587" t="s">
        <v>1230</v>
      </c>
      <c r="F587" t="s">
        <v>1229</v>
      </c>
    </row>
    <row r="588" spans="1:6" hidden="1" x14ac:dyDescent="0.2">
      <c r="A588" t="s">
        <v>1209</v>
      </c>
      <c r="B588" t="s">
        <v>791</v>
      </c>
      <c r="C588" t="str">
        <f t="shared" si="9"/>
        <v>ChocoCONDOTO</v>
      </c>
      <c r="D588" t="s">
        <v>1210</v>
      </c>
      <c r="E588" t="s">
        <v>2836</v>
      </c>
      <c r="F588" t="s">
        <v>1231</v>
      </c>
    </row>
    <row r="589" spans="1:6" hidden="1" x14ac:dyDescent="0.2">
      <c r="A589" t="s">
        <v>1209</v>
      </c>
      <c r="B589" t="s">
        <v>1040</v>
      </c>
      <c r="C589" t="str">
        <f t="shared" si="9"/>
        <v>ChocoEL CARMEN DE ATRATO</v>
      </c>
      <c r="D589" t="s">
        <v>1210</v>
      </c>
      <c r="E589" t="s">
        <v>1233</v>
      </c>
      <c r="F589" t="s">
        <v>1232</v>
      </c>
    </row>
    <row r="590" spans="1:6" hidden="1" x14ac:dyDescent="0.2">
      <c r="A590" t="s">
        <v>1209</v>
      </c>
      <c r="B590" t="s">
        <v>2439</v>
      </c>
      <c r="C590" t="str">
        <f t="shared" si="9"/>
        <v>ChocoEL LITORAL DEL SAN JUAN</v>
      </c>
      <c r="D590" t="s">
        <v>1210</v>
      </c>
      <c r="E590" t="s">
        <v>1235</v>
      </c>
      <c r="F590" t="s">
        <v>1234</v>
      </c>
    </row>
    <row r="591" spans="1:6" hidden="1" x14ac:dyDescent="0.2">
      <c r="A591" t="s">
        <v>1209</v>
      </c>
      <c r="B591" t="s">
        <v>2477</v>
      </c>
      <c r="C591" t="str">
        <f t="shared" si="9"/>
        <v>ChocoISTMINA</v>
      </c>
      <c r="D591" t="s">
        <v>1210</v>
      </c>
      <c r="E591" t="s">
        <v>2837</v>
      </c>
      <c r="F591" t="s">
        <v>1236</v>
      </c>
    </row>
    <row r="592" spans="1:6" hidden="1" x14ac:dyDescent="0.2">
      <c r="A592" t="s">
        <v>1209</v>
      </c>
      <c r="B592" t="s">
        <v>1405</v>
      </c>
      <c r="C592" t="str">
        <f t="shared" si="9"/>
        <v>ChocoJURADO</v>
      </c>
      <c r="D592" t="s">
        <v>1210</v>
      </c>
      <c r="E592" t="s">
        <v>1238</v>
      </c>
      <c r="F592" t="s">
        <v>1237</v>
      </c>
    </row>
    <row r="593" spans="1:6" hidden="1" x14ac:dyDescent="0.2">
      <c r="A593" t="s">
        <v>1209</v>
      </c>
      <c r="B593" t="s">
        <v>1239</v>
      </c>
      <c r="C593" t="str">
        <f t="shared" si="9"/>
        <v>ChocoLLORO</v>
      </c>
      <c r="D593" t="s">
        <v>1210</v>
      </c>
      <c r="E593" t="s">
        <v>2094</v>
      </c>
      <c r="F593" t="s">
        <v>67</v>
      </c>
    </row>
    <row r="594" spans="1:6" hidden="1" x14ac:dyDescent="0.2">
      <c r="A594" t="s">
        <v>1209</v>
      </c>
      <c r="B594" t="s">
        <v>2497</v>
      </c>
      <c r="C594" t="str">
        <f t="shared" si="9"/>
        <v>ChocoMEDIO ATRATO</v>
      </c>
      <c r="D594" t="s">
        <v>1210</v>
      </c>
      <c r="E594" t="s">
        <v>1241</v>
      </c>
      <c r="F594" t="s">
        <v>1240</v>
      </c>
    </row>
    <row r="595" spans="1:6" hidden="1" x14ac:dyDescent="0.2">
      <c r="A595" t="s">
        <v>1209</v>
      </c>
      <c r="B595" t="s">
        <v>1492</v>
      </c>
      <c r="C595" t="str">
        <f t="shared" si="9"/>
        <v>ChocoMEDIO BAUDO</v>
      </c>
      <c r="D595" t="s">
        <v>1210</v>
      </c>
      <c r="E595" t="s">
        <v>1243</v>
      </c>
      <c r="F595" t="s">
        <v>1242</v>
      </c>
    </row>
    <row r="596" spans="1:6" hidden="1" x14ac:dyDescent="0.2">
      <c r="A596" t="s">
        <v>1209</v>
      </c>
      <c r="B596" t="s">
        <v>847</v>
      </c>
      <c r="C596" t="str">
        <f t="shared" si="9"/>
        <v>ChocoMEDIO SAN JUAN</v>
      </c>
      <c r="D596" t="s">
        <v>1210</v>
      </c>
      <c r="E596" t="s">
        <v>1245</v>
      </c>
      <c r="F596" t="s">
        <v>1244</v>
      </c>
    </row>
    <row r="597" spans="1:6" hidden="1" x14ac:dyDescent="0.2">
      <c r="A597" t="s">
        <v>1209</v>
      </c>
      <c r="B597" t="s">
        <v>579</v>
      </c>
      <c r="C597" t="str">
        <f t="shared" si="9"/>
        <v>ChocoNOVITA</v>
      </c>
      <c r="D597" t="s">
        <v>1210</v>
      </c>
      <c r="E597" t="s">
        <v>2148</v>
      </c>
      <c r="F597" t="s">
        <v>1246</v>
      </c>
    </row>
    <row r="598" spans="1:6" hidden="1" x14ac:dyDescent="0.2">
      <c r="A598" t="s">
        <v>1209</v>
      </c>
      <c r="B598" t="s">
        <v>2517</v>
      </c>
      <c r="C598" t="str">
        <f t="shared" si="9"/>
        <v>ChocoNUQUI</v>
      </c>
      <c r="D598" t="s">
        <v>1210</v>
      </c>
      <c r="E598" t="s">
        <v>1248</v>
      </c>
      <c r="F598" t="s">
        <v>1247</v>
      </c>
    </row>
    <row r="599" spans="1:6" hidden="1" x14ac:dyDescent="0.2">
      <c r="A599" t="s">
        <v>1209</v>
      </c>
      <c r="B599" t="s">
        <v>1507</v>
      </c>
      <c r="C599" t="str">
        <f t="shared" si="9"/>
        <v>ChocoRIO IRO</v>
      </c>
      <c r="D599" t="s">
        <v>1210</v>
      </c>
      <c r="E599" t="s">
        <v>1250</v>
      </c>
      <c r="F599" t="s">
        <v>1249</v>
      </c>
    </row>
    <row r="600" spans="1:6" hidden="1" x14ac:dyDescent="0.2">
      <c r="A600" t="s">
        <v>1209</v>
      </c>
      <c r="B600" t="s">
        <v>1509</v>
      </c>
      <c r="C600" t="str">
        <f t="shared" si="9"/>
        <v>ChocoRIO QUITO</v>
      </c>
      <c r="D600" t="s">
        <v>1210</v>
      </c>
      <c r="E600" t="s">
        <v>1252</v>
      </c>
      <c r="F600" t="s">
        <v>1251</v>
      </c>
    </row>
    <row r="601" spans="1:6" hidden="1" x14ac:dyDescent="0.2">
      <c r="A601" t="s">
        <v>1209</v>
      </c>
      <c r="B601" t="s">
        <v>2543</v>
      </c>
      <c r="C601" t="str">
        <f t="shared" si="9"/>
        <v>ChocoRIOSUCIO</v>
      </c>
      <c r="D601" t="s">
        <v>1210</v>
      </c>
      <c r="E601" t="s">
        <v>2110</v>
      </c>
      <c r="F601" t="s">
        <v>1253</v>
      </c>
    </row>
    <row r="602" spans="1:6" hidden="1" x14ac:dyDescent="0.2">
      <c r="A602" t="s">
        <v>1209</v>
      </c>
      <c r="B602" t="s">
        <v>2568</v>
      </c>
      <c r="C602" t="str">
        <f t="shared" si="9"/>
        <v>ChocoSAN JOSE DEL PALMAR</v>
      </c>
      <c r="D602" t="s">
        <v>1210</v>
      </c>
      <c r="E602" t="s">
        <v>2682</v>
      </c>
      <c r="F602" t="s">
        <v>1254</v>
      </c>
    </row>
    <row r="603" spans="1:6" hidden="1" x14ac:dyDescent="0.2">
      <c r="A603" t="s">
        <v>1209</v>
      </c>
      <c r="B603" t="s">
        <v>1157</v>
      </c>
      <c r="C603" t="str">
        <f t="shared" si="9"/>
        <v>ChocoSIPI</v>
      </c>
      <c r="D603" t="s">
        <v>1210</v>
      </c>
      <c r="E603" t="s">
        <v>12</v>
      </c>
      <c r="F603" t="s">
        <v>1255</v>
      </c>
    </row>
    <row r="604" spans="1:6" hidden="1" x14ac:dyDescent="0.2">
      <c r="A604" t="s">
        <v>1209</v>
      </c>
      <c r="B604" t="s">
        <v>940</v>
      </c>
      <c r="C604" t="str">
        <f t="shared" si="9"/>
        <v>ChocoTADO</v>
      </c>
      <c r="D604" t="s">
        <v>1210</v>
      </c>
      <c r="E604" t="s">
        <v>2697</v>
      </c>
      <c r="F604" t="s">
        <v>13</v>
      </c>
    </row>
    <row r="605" spans="1:6" hidden="1" x14ac:dyDescent="0.2">
      <c r="A605" t="s">
        <v>1209</v>
      </c>
      <c r="B605" t="s">
        <v>14</v>
      </c>
      <c r="C605" t="str">
        <f t="shared" si="9"/>
        <v>ChocoUNGUIA</v>
      </c>
      <c r="D605" t="s">
        <v>1210</v>
      </c>
      <c r="E605" t="s">
        <v>16</v>
      </c>
      <c r="F605" t="s">
        <v>15</v>
      </c>
    </row>
    <row r="606" spans="1:6" hidden="1" x14ac:dyDescent="0.2">
      <c r="A606" t="s">
        <v>1209</v>
      </c>
      <c r="B606" t="s">
        <v>1544</v>
      </c>
      <c r="C606" t="str">
        <f t="shared" si="9"/>
        <v>ChocoUNION PANAMERICANA</v>
      </c>
      <c r="D606" t="s">
        <v>1210</v>
      </c>
      <c r="E606" t="s">
        <v>18</v>
      </c>
      <c r="F606" t="s">
        <v>17</v>
      </c>
    </row>
    <row r="607" spans="1:6" hidden="1" x14ac:dyDescent="0.2">
      <c r="A607" t="s">
        <v>19</v>
      </c>
      <c r="B607" t="s">
        <v>2321</v>
      </c>
      <c r="C607" t="str">
        <f t="shared" si="9"/>
        <v>HUILANEIVA</v>
      </c>
      <c r="D607" t="s">
        <v>2661</v>
      </c>
      <c r="E607" t="s">
        <v>2169</v>
      </c>
      <c r="F607" t="s">
        <v>68</v>
      </c>
    </row>
    <row r="608" spans="1:6" hidden="1" x14ac:dyDescent="0.2">
      <c r="A608" t="s">
        <v>19</v>
      </c>
      <c r="B608" t="s">
        <v>1458</v>
      </c>
      <c r="C608" t="str">
        <f t="shared" si="9"/>
        <v>HUILAACEVEDO</v>
      </c>
      <c r="D608" t="s">
        <v>2661</v>
      </c>
      <c r="E608" t="s">
        <v>475</v>
      </c>
      <c r="F608" t="s">
        <v>20</v>
      </c>
    </row>
    <row r="609" spans="1:6" hidden="1" x14ac:dyDescent="0.2">
      <c r="A609" t="s">
        <v>19</v>
      </c>
      <c r="B609" t="s">
        <v>737</v>
      </c>
      <c r="C609" t="str">
        <f t="shared" si="9"/>
        <v>HUILAAGRADO</v>
      </c>
      <c r="D609" t="s">
        <v>2661</v>
      </c>
      <c r="E609" t="s">
        <v>3</v>
      </c>
      <c r="F609" t="s">
        <v>21</v>
      </c>
    </row>
    <row r="610" spans="1:6" hidden="1" x14ac:dyDescent="0.2">
      <c r="A610" t="s">
        <v>19</v>
      </c>
      <c r="B610" t="s">
        <v>22</v>
      </c>
      <c r="C610" t="str">
        <f t="shared" si="9"/>
        <v>HUILAAIPE</v>
      </c>
      <c r="D610" t="s">
        <v>2661</v>
      </c>
      <c r="E610" t="s">
        <v>2150</v>
      </c>
      <c r="F610" t="s">
        <v>69</v>
      </c>
    </row>
    <row r="611" spans="1:6" hidden="1" x14ac:dyDescent="0.2">
      <c r="A611" t="s">
        <v>19</v>
      </c>
      <c r="B611" t="s">
        <v>23</v>
      </c>
      <c r="C611" t="str">
        <f t="shared" si="9"/>
        <v>HUILAALGECIRAS</v>
      </c>
      <c r="D611" t="s">
        <v>2661</v>
      </c>
      <c r="E611" t="s">
        <v>2125</v>
      </c>
      <c r="F611" t="s">
        <v>70</v>
      </c>
    </row>
    <row r="612" spans="1:6" hidden="1" x14ac:dyDescent="0.2">
      <c r="A612" t="s">
        <v>19</v>
      </c>
      <c r="B612" t="s">
        <v>24</v>
      </c>
      <c r="C612" t="str">
        <f t="shared" si="9"/>
        <v>HUILAALTAMIRA</v>
      </c>
      <c r="D612" t="s">
        <v>2661</v>
      </c>
      <c r="E612" t="s">
        <v>4</v>
      </c>
      <c r="F612" t="s">
        <v>71</v>
      </c>
    </row>
    <row r="613" spans="1:6" hidden="1" x14ac:dyDescent="0.2">
      <c r="A613" t="s">
        <v>19</v>
      </c>
      <c r="B613" t="s">
        <v>2651</v>
      </c>
      <c r="C613" t="str">
        <f t="shared" si="9"/>
        <v>HUILABARAYA</v>
      </c>
      <c r="D613" t="s">
        <v>2661</v>
      </c>
      <c r="E613" t="s">
        <v>2161</v>
      </c>
      <c r="F613" t="s">
        <v>72</v>
      </c>
    </row>
    <row r="614" spans="1:6" hidden="1" x14ac:dyDescent="0.2">
      <c r="A614" t="s">
        <v>19</v>
      </c>
      <c r="B614" t="s">
        <v>25</v>
      </c>
      <c r="C614" t="str">
        <f t="shared" si="9"/>
        <v>HUILACAMPOALEGRE</v>
      </c>
      <c r="D614" t="s">
        <v>2661</v>
      </c>
      <c r="E614" t="s">
        <v>2838</v>
      </c>
      <c r="F614" t="s">
        <v>73</v>
      </c>
    </row>
    <row r="615" spans="1:6" hidden="1" x14ac:dyDescent="0.2">
      <c r="A615" t="s">
        <v>19</v>
      </c>
      <c r="B615" t="s">
        <v>2422</v>
      </c>
      <c r="C615" t="str">
        <f t="shared" si="9"/>
        <v>HUILACOLOMBIA</v>
      </c>
      <c r="D615" t="s">
        <v>2661</v>
      </c>
      <c r="E615" t="s">
        <v>27</v>
      </c>
      <c r="F615" t="s">
        <v>26</v>
      </c>
    </row>
    <row r="616" spans="1:6" hidden="1" x14ac:dyDescent="0.2">
      <c r="A616" t="s">
        <v>19</v>
      </c>
      <c r="B616" t="s">
        <v>1482</v>
      </c>
      <c r="C616" t="str">
        <f t="shared" si="9"/>
        <v>HUILAELIAS</v>
      </c>
      <c r="D616" t="s">
        <v>2661</v>
      </c>
      <c r="E616" t="s">
        <v>29</v>
      </c>
      <c r="F616" t="s">
        <v>28</v>
      </c>
    </row>
    <row r="617" spans="1:6" hidden="1" x14ac:dyDescent="0.2">
      <c r="A617" t="s">
        <v>19</v>
      </c>
      <c r="B617" t="s">
        <v>30</v>
      </c>
      <c r="C617" t="str">
        <f t="shared" si="9"/>
        <v>HUILAGARZON</v>
      </c>
      <c r="D617" t="s">
        <v>2661</v>
      </c>
      <c r="E617" t="s">
        <v>517</v>
      </c>
      <c r="F617" t="s">
        <v>74</v>
      </c>
    </row>
    <row r="618" spans="1:6" hidden="1" x14ac:dyDescent="0.2">
      <c r="A618" t="s">
        <v>19</v>
      </c>
      <c r="B618" t="s">
        <v>2452</v>
      </c>
      <c r="C618" t="str">
        <f t="shared" si="9"/>
        <v>HUILAGIGANTE</v>
      </c>
      <c r="D618" t="s">
        <v>2661</v>
      </c>
      <c r="E618" t="s">
        <v>1386</v>
      </c>
      <c r="F618" t="s">
        <v>75</v>
      </c>
    </row>
    <row r="619" spans="1:6" hidden="1" x14ac:dyDescent="0.2">
      <c r="A619" t="s">
        <v>19</v>
      </c>
      <c r="B619" t="s">
        <v>31</v>
      </c>
      <c r="C619" t="str">
        <f t="shared" si="9"/>
        <v>HUILAGUADALUPE</v>
      </c>
      <c r="D619" t="s">
        <v>2661</v>
      </c>
      <c r="E619" t="s">
        <v>2054</v>
      </c>
      <c r="F619" t="s">
        <v>76</v>
      </c>
    </row>
    <row r="620" spans="1:6" hidden="1" x14ac:dyDescent="0.2">
      <c r="A620" t="s">
        <v>19</v>
      </c>
      <c r="B620" t="s">
        <v>32</v>
      </c>
      <c r="C620" t="str">
        <f t="shared" si="9"/>
        <v>HUILAHOBO</v>
      </c>
      <c r="D620" t="s">
        <v>2661</v>
      </c>
      <c r="E620" t="s">
        <v>2080</v>
      </c>
      <c r="F620" t="s">
        <v>33</v>
      </c>
    </row>
    <row r="621" spans="1:6" hidden="1" x14ac:dyDescent="0.2">
      <c r="A621" t="s">
        <v>19</v>
      </c>
      <c r="B621" t="s">
        <v>34</v>
      </c>
      <c r="C621" t="str">
        <f t="shared" si="9"/>
        <v>HUILAIQUIRA</v>
      </c>
      <c r="D621" t="s">
        <v>2661</v>
      </c>
      <c r="E621" t="s">
        <v>2082</v>
      </c>
      <c r="F621" t="s">
        <v>77</v>
      </c>
    </row>
    <row r="622" spans="1:6" hidden="1" x14ac:dyDescent="0.2">
      <c r="A622" t="s">
        <v>19</v>
      </c>
      <c r="B622" t="s">
        <v>35</v>
      </c>
      <c r="C622" t="str">
        <f t="shared" si="9"/>
        <v>HUILAISNOS</v>
      </c>
      <c r="D622" t="s">
        <v>2661</v>
      </c>
      <c r="E622" t="s">
        <v>2808</v>
      </c>
      <c r="F622" t="s">
        <v>36</v>
      </c>
    </row>
    <row r="623" spans="1:6" hidden="1" x14ac:dyDescent="0.2">
      <c r="A623" t="s">
        <v>19</v>
      </c>
      <c r="B623" t="s">
        <v>37</v>
      </c>
      <c r="C623" t="str">
        <f t="shared" si="9"/>
        <v>HUILALA ARGENTINA</v>
      </c>
      <c r="D623" t="s">
        <v>2661</v>
      </c>
      <c r="E623" t="s">
        <v>1365</v>
      </c>
      <c r="F623" t="s">
        <v>78</v>
      </c>
    </row>
    <row r="624" spans="1:6" hidden="1" x14ac:dyDescent="0.2">
      <c r="A624" t="s">
        <v>19</v>
      </c>
      <c r="B624" t="s">
        <v>38</v>
      </c>
      <c r="C624" t="str">
        <f t="shared" si="9"/>
        <v>HUILALA PLATA</v>
      </c>
      <c r="D624" t="s">
        <v>2661</v>
      </c>
      <c r="E624" t="s">
        <v>2694</v>
      </c>
      <c r="F624" t="s">
        <v>39</v>
      </c>
    </row>
    <row r="625" spans="1:6" hidden="1" x14ac:dyDescent="0.2">
      <c r="A625" t="s">
        <v>19</v>
      </c>
      <c r="B625" t="s">
        <v>2512</v>
      </c>
      <c r="C625" t="str">
        <f t="shared" si="9"/>
        <v>HUILANATAGA</v>
      </c>
      <c r="D625" t="s">
        <v>2661</v>
      </c>
      <c r="E625" t="s">
        <v>2662</v>
      </c>
      <c r="F625" t="s">
        <v>40</v>
      </c>
    </row>
    <row r="626" spans="1:6" hidden="1" x14ac:dyDescent="0.2">
      <c r="A626" t="s">
        <v>19</v>
      </c>
      <c r="B626" t="s">
        <v>41</v>
      </c>
      <c r="C626" t="str">
        <f t="shared" si="9"/>
        <v>HUILAOPORAPA</v>
      </c>
      <c r="D626" t="s">
        <v>2661</v>
      </c>
      <c r="E626" t="s">
        <v>5</v>
      </c>
      <c r="F626" t="s">
        <v>2222</v>
      </c>
    </row>
    <row r="627" spans="1:6" hidden="1" x14ac:dyDescent="0.2">
      <c r="A627" t="s">
        <v>19</v>
      </c>
      <c r="B627" t="s">
        <v>598</v>
      </c>
      <c r="C627" t="str">
        <f t="shared" si="9"/>
        <v>HUILAPAICOL</v>
      </c>
      <c r="D627" t="s">
        <v>2661</v>
      </c>
      <c r="E627" t="s">
        <v>2162</v>
      </c>
      <c r="F627" t="s">
        <v>2223</v>
      </c>
    </row>
    <row r="628" spans="1:6" hidden="1" x14ac:dyDescent="0.2">
      <c r="A628" t="s">
        <v>19</v>
      </c>
      <c r="B628" t="s">
        <v>761</v>
      </c>
      <c r="C628" t="str">
        <f t="shared" si="9"/>
        <v>HUILAPALERMO</v>
      </c>
      <c r="D628" t="s">
        <v>2661</v>
      </c>
      <c r="E628" t="s">
        <v>2</v>
      </c>
      <c r="F628" t="s">
        <v>364</v>
      </c>
    </row>
    <row r="629" spans="1:6" hidden="1" x14ac:dyDescent="0.2">
      <c r="A629" t="s">
        <v>19</v>
      </c>
      <c r="B629" t="s">
        <v>1128</v>
      </c>
      <c r="C629" t="str">
        <f t="shared" si="9"/>
        <v>HUILAPALESTINA</v>
      </c>
      <c r="D629" t="s">
        <v>2661</v>
      </c>
      <c r="E629" t="s">
        <v>2112</v>
      </c>
      <c r="F629" t="s">
        <v>2224</v>
      </c>
    </row>
    <row r="630" spans="1:6" hidden="1" x14ac:dyDescent="0.2">
      <c r="A630" t="s">
        <v>19</v>
      </c>
      <c r="B630" t="s">
        <v>858</v>
      </c>
      <c r="C630" t="str">
        <f t="shared" si="9"/>
        <v>HUILAPITAL</v>
      </c>
      <c r="D630" t="s">
        <v>2661</v>
      </c>
      <c r="E630" t="s">
        <v>366</v>
      </c>
      <c r="F630" t="s">
        <v>365</v>
      </c>
    </row>
    <row r="631" spans="1:6" hidden="1" x14ac:dyDescent="0.2">
      <c r="A631" t="s">
        <v>19</v>
      </c>
      <c r="B631" t="s">
        <v>367</v>
      </c>
      <c r="C631" t="str">
        <f t="shared" si="9"/>
        <v>HUILAPITALITO</v>
      </c>
      <c r="D631" t="s">
        <v>2661</v>
      </c>
      <c r="E631" t="s">
        <v>1351</v>
      </c>
      <c r="F631" t="s">
        <v>2225</v>
      </c>
    </row>
    <row r="632" spans="1:6" hidden="1" x14ac:dyDescent="0.2">
      <c r="A632" t="s">
        <v>19</v>
      </c>
      <c r="B632" t="s">
        <v>2543</v>
      </c>
      <c r="C632" t="str">
        <f t="shared" si="9"/>
        <v>HUILARIVERA</v>
      </c>
      <c r="D632" t="s">
        <v>2661</v>
      </c>
      <c r="E632" t="s">
        <v>2105</v>
      </c>
      <c r="F632" t="s">
        <v>2226</v>
      </c>
    </row>
    <row r="633" spans="1:6" hidden="1" x14ac:dyDescent="0.2">
      <c r="A633" t="s">
        <v>19</v>
      </c>
      <c r="B633" t="s">
        <v>2568</v>
      </c>
      <c r="C633" t="str">
        <f t="shared" si="9"/>
        <v>HUILASALADOBLANCO</v>
      </c>
      <c r="D633" t="s">
        <v>2661</v>
      </c>
      <c r="E633" t="s">
        <v>474</v>
      </c>
      <c r="F633" t="s">
        <v>368</v>
      </c>
    </row>
    <row r="634" spans="1:6" hidden="1" x14ac:dyDescent="0.2">
      <c r="A634" t="s">
        <v>19</v>
      </c>
      <c r="B634" t="s">
        <v>369</v>
      </c>
      <c r="C634" t="str">
        <f t="shared" si="9"/>
        <v>HUILASAN AGUSTIN</v>
      </c>
      <c r="D634" t="s">
        <v>2661</v>
      </c>
      <c r="E634" t="s">
        <v>371</v>
      </c>
      <c r="F634" t="s">
        <v>370</v>
      </c>
    </row>
    <row r="635" spans="1:6" hidden="1" x14ac:dyDescent="0.2">
      <c r="A635" t="s">
        <v>19</v>
      </c>
      <c r="B635" t="s">
        <v>640</v>
      </c>
      <c r="C635" t="str">
        <f t="shared" si="9"/>
        <v>HUILASANTA MARIA</v>
      </c>
      <c r="D635" t="s">
        <v>2661</v>
      </c>
      <c r="E635" t="s">
        <v>2085</v>
      </c>
      <c r="F635" t="s">
        <v>372</v>
      </c>
    </row>
    <row r="636" spans="1:6" hidden="1" x14ac:dyDescent="0.2">
      <c r="A636" t="s">
        <v>19</v>
      </c>
      <c r="B636" t="s">
        <v>1445</v>
      </c>
      <c r="C636" t="str">
        <f t="shared" si="9"/>
        <v>HUILASUAZA</v>
      </c>
      <c r="D636" t="s">
        <v>2661</v>
      </c>
      <c r="E636" t="s">
        <v>1368</v>
      </c>
      <c r="F636" t="s">
        <v>373</v>
      </c>
    </row>
    <row r="637" spans="1:6" hidden="1" x14ac:dyDescent="0.2">
      <c r="A637" t="s">
        <v>19</v>
      </c>
      <c r="B637" t="s">
        <v>374</v>
      </c>
      <c r="C637" t="str">
        <f t="shared" si="9"/>
        <v>HUILATARQUI</v>
      </c>
      <c r="D637" t="s">
        <v>2661</v>
      </c>
      <c r="E637" t="s">
        <v>376</v>
      </c>
      <c r="F637" t="s">
        <v>375</v>
      </c>
    </row>
    <row r="638" spans="1:6" hidden="1" x14ac:dyDescent="0.2">
      <c r="A638" t="s">
        <v>19</v>
      </c>
      <c r="B638" t="s">
        <v>1174</v>
      </c>
      <c r="C638" t="str">
        <f t="shared" si="9"/>
        <v>HUILATESALIA</v>
      </c>
      <c r="D638" t="s">
        <v>2661</v>
      </c>
      <c r="E638" t="s">
        <v>1369</v>
      </c>
      <c r="F638" t="s">
        <v>2227</v>
      </c>
    </row>
    <row r="639" spans="1:6" hidden="1" x14ac:dyDescent="0.2">
      <c r="A639" t="s">
        <v>19</v>
      </c>
      <c r="B639" t="s">
        <v>1177</v>
      </c>
      <c r="C639" t="str">
        <f t="shared" si="9"/>
        <v>HUILATELLO</v>
      </c>
      <c r="D639" t="s">
        <v>2661</v>
      </c>
      <c r="E639" t="s">
        <v>2164</v>
      </c>
      <c r="F639" t="s">
        <v>2228</v>
      </c>
    </row>
    <row r="640" spans="1:6" hidden="1" x14ac:dyDescent="0.2">
      <c r="A640" t="s">
        <v>19</v>
      </c>
      <c r="B640" t="s">
        <v>377</v>
      </c>
      <c r="C640" t="str">
        <f t="shared" si="9"/>
        <v>HUILATERUEL</v>
      </c>
      <c r="D640" t="s">
        <v>2661</v>
      </c>
      <c r="E640" t="s">
        <v>2005</v>
      </c>
      <c r="F640" t="s">
        <v>378</v>
      </c>
    </row>
    <row r="641" spans="1:6" hidden="1" x14ac:dyDescent="0.2">
      <c r="A641" t="s">
        <v>19</v>
      </c>
      <c r="B641" t="s">
        <v>878</v>
      </c>
      <c r="C641" t="str">
        <f t="shared" si="9"/>
        <v>HUILATIMANA</v>
      </c>
      <c r="D641" t="s">
        <v>2661</v>
      </c>
      <c r="E641" t="s">
        <v>2807</v>
      </c>
      <c r="F641" t="s">
        <v>379</v>
      </c>
    </row>
    <row r="642" spans="1:6" hidden="1" x14ac:dyDescent="0.2">
      <c r="A642" t="s">
        <v>19</v>
      </c>
      <c r="B642" t="s">
        <v>380</v>
      </c>
      <c r="C642" t="str">
        <f t="shared" si="9"/>
        <v>HUILAVILLAVIEJA</v>
      </c>
      <c r="D642" t="s">
        <v>2661</v>
      </c>
      <c r="E642" t="s">
        <v>2033</v>
      </c>
      <c r="F642" t="s">
        <v>381</v>
      </c>
    </row>
    <row r="643" spans="1:6" hidden="1" x14ac:dyDescent="0.2">
      <c r="A643" t="s">
        <v>19</v>
      </c>
      <c r="B643" t="s">
        <v>2634</v>
      </c>
      <c r="C643" t="str">
        <f t="shared" ref="C643:C706" si="10">D643&amp;E643</f>
        <v>HUILAYAGUARA</v>
      </c>
      <c r="D643" t="s">
        <v>2661</v>
      </c>
      <c r="E643" t="s">
        <v>2669</v>
      </c>
      <c r="F643" t="s">
        <v>2229</v>
      </c>
    </row>
    <row r="644" spans="1:6" hidden="1" x14ac:dyDescent="0.2">
      <c r="A644" t="s">
        <v>382</v>
      </c>
      <c r="B644" t="s">
        <v>2321</v>
      </c>
      <c r="C644" t="str">
        <f t="shared" si="10"/>
        <v>La GuajiraRIOHACHA</v>
      </c>
      <c r="D644" t="s">
        <v>384</v>
      </c>
      <c r="E644" t="s">
        <v>2204</v>
      </c>
      <c r="F644" t="s">
        <v>383</v>
      </c>
    </row>
    <row r="645" spans="1:6" hidden="1" x14ac:dyDescent="0.2">
      <c r="A645" t="s">
        <v>382</v>
      </c>
      <c r="B645" t="s">
        <v>1012</v>
      </c>
      <c r="C645" t="str">
        <f t="shared" si="10"/>
        <v>La GuajiraALBANIA</v>
      </c>
      <c r="D645" t="s">
        <v>384</v>
      </c>
      <c r="E645" t="s">
        <v>787</v>
      </c>
      <c r="F645" t="s">
        <v>385</v>
      </c>
    </row>
    <row r="646" spans="1:6" hidden="1" x14ac:dyDescent="0.2">
      <c r="A646" t="s">
        <v>382</v>
      </c>
      <c r="B646" t="s">
        <v>2651</v>
      </c>
      <c r="C646" t="str">
        <f t="shared" si="10"/>
        <v>La GuajiraBARRANCAS</v>
      </c>
      <c r="D646" t="s">
        <v>384</v>
      </c>
      <c r="E646" t="s">
        <v>387</v>
      </c>
      <c r="F646" t="s">
        <v>386</v>
      </c>
    </row>
    <row r="647" spans="1:6" hidden="1" x14ac:dyDescent="0.2">
      <c r="A647" t="s">
        <v>382</v>
      </c>
      <c r="B647" t="s">
        <v>1569</v>
      </c>
      <c r="C647" t="str">
        <f t="shared" si="10"/>
        <v>La GuajiraDIBULLA</v>
      </c>
      <c r="D647" t="s">
        <v>384</v>
      </c>
      <c r="E647" t="s">
        <v>389</v>
      </c>
      <c r="F647" t="s">
        <v>388</v>
      </c>
    </row>
    <row r="648" spans="1:6" hidden="1" x14ac:dyDescent="0.2">
      <c r="A648" t="s">
        <v>382</v>
      </c>
      <c r="B648" t="s">
        <v>390</v>
      </c>
      <c r="C648" t="str">
        <f t="shared" si="10"/>
        <v>La GuajiraDISTRACCION</v>
      </c>
      <c r="D648" t="s">
        <v>384</v>
      </c>
      <c r="E648" t="s">
        <v>392</v>
      </c>
      <c r="F648" t="s">
        <v>391</v>
      </c>
    </row>
    <row r="649" spans="1:6" hidden="1" x14ac:dyDescent="0.2">
      <c r="A649" t="s">
        <v>382</v>
      </c>
      <c r="B649" t="s">
        <v>828</v>
      </c>
      <c r="C649" t="str">
        <f t="shared" si="10"/>
        <v>La GuajiraEL MOLINO</v>
      </c>
      <c r="D649" t="s">
        <v>384</v>
      </c>
      <c r="E649" t="s">
        <v>394</v>
      </c>
      <c r="F649" t="s">
        <v>393</v>
      </c>
    </row>
    <row r="650" spans="1:6" hidden="1" x14ac:dyDescent="0.2">
      <c r="A650" t="s">
        <v>382</v>
      </c>
      <c r="B650" t="s">
        <v>1050</v>
      </c>
      <c r="C650" t="str">
        <f t="shared" si="10"/>
        <v>La GuajiraFONSECA</v>
      </c>
      <c r="D650" t="s">
        <v>384</v>
      </c>
      <c r="E650" t="s">
        <v>396</v>
      </c>
      <c r="F650" t="s">
        <v>395</v>
      </c>
    </row>
    <row r="651" spans="1:6" hidden="1" x14ac:dyDescent="0.2">
      <c r="A651" t="s">
        <v>382</v>
      </c>
      <c r="B651" t="s">
        <v>37</v>
      </c>
      <c r="C651" t="str">
        <f t="shared" si="10"/>
        <v>La GuajiraHATONUEVO</v>
      </c>
      <c r="D651" t="s">
        <v>384</v>
      </c>
      <c r="E651" t="s">
        <v>398</v>
      </c>
      <c r="F651" t="s">
        <v>397</v>
      </c>
    </row>
    <row r="652" spans="1:6" hidden="1" x14ac:dyDescent="0.2">
      <c r="A652" t="s">
        <v>382</v>
      </c>
      <c r="B652" t="s">
        <v>399</v>
      </c>
      <c r="C652" t="str">
        <f t="shared" si="10"/>
        <v>La GuajiraLA JAGUA DEL PILAR</v>
      </c>
      <c r="D652" t="s">
        <v>384</v>
      </c>
      <c r="E652" t="s">
        <v>401</v>
      </c>
      <c r="F652" t="s">
        <v>400</v>
      </c>
    </row>
    <row r="653" spans="1:6" hidden="1" x14ac:dyDescent="0.2">
      <c r="A653" t="s">
        <v>382</v>
      </c>
      <c r="B653" t="s">
        <v>1492</v>
      </c>
      <c r="C653" t="str">
        <f t="shared" si="10"/>
        <v>La GuajiraMAICAO</v>
      </c>
      <c r="D653" t="s">
        <v>384</v>
      </c>
      <c r="E653" t="s">
        <v>403</v>
      </c>
      <c r="F653" t="s">
        <v>402</v>
      </c>
    </row>
    <row r="654" spans="1:6" hidden="1" x14ac:dyDescent="0.2">
      <c r="A654" t="s">
        <v>382</v>
      </c>
      <c r="B654" t="s">
        <v>1425</v>
      </c>
      <c r="C654" t="str">
        <f t="shared" si="10"/>
        <v>La GuajiraMANAURE</v>
      </c>
      <c r="D654" t="s">
        <v>384</v>
      </c>
      <c r="E654" t="s">
        <v>922</v>
      </c>
      <c r="F654" t="s">
        <v>404</v>
      </c>
    </row>
    <row r="655" spans="1:6" hidden="1" x14ac:dyDescent="0.2">
      <c r="A655" t="s">
        <v>382</v>
      </c>
      <c r="B655" t="s">
        <v>1516</v>
      </c>
      <c r="C655" t="str">
        <f t="shared" si="10"/>
        <v>La GuajiraSAN JUAN DEL CESAR</v>
      </c>
      <c r="D655" t="s">
        <v>384</v>
      </c>
      <c r="E655" t="s">
        <v>406</v>
      </c>
      <c r="F655" t="s">
        <v>405</v>
      </c>
    </row>
    <row r="656" spans="1:6" hidden="1" x14ac:dyDescent="0.2">
      <c r="A656" t="s">
        <v>382</v>
      </c>
      <c r="B656" t="s">
        <v>2619</v>
      </c>
      <c r="C656" t="str">
        <f t="shared" si="10"/>
        <v>La GuajiraURIBIA</v>
      </c>
      <c r="D656" t="s">
        <v>384</v>
      </c>
      <c r="E656" t="s">
        <v>408</v>
      </c>
      <c r="F656" t="s">
        <v>407</v>
      </c>
    </row>
    <row r="657" spans="1:6" hidden="1" x14ac:dyDescent="0.2">
      <c r="A657" t="s">
        <v>382</v>
      </c>
      <c r="B657" t="s">
        <v>1005</v>
      </c>
      <c r="C657" t="str">
        <f t="shared" si="10"/>
        <v>La GuajiraURUMITA</v>
      </c>
      <c r="D657" t="s">
        <v>384</v>
      </c>
      <c r="E657" t="s">
        <v>410</v>
      </c>
      <c r="F657" t="s">
        <v>409</v>
      </c>
    </row>
    <row r="658" spans="1:6" hidden="1" x14ac:dyDescent="0.2">
      <c r="A658" t="s">
        <v>382</v>
      </c>
      <c r="B658" t="s">
        <v>411</v>
      </c>
      <c r="C658" t="str">
        <f t="shared" si="10"/>
        <v>La GuajiraVILLANUEVA</v>
      </c>
      <c r="D658" t="s">
        <v>384</v>
      </c>
      <c r="E658" t="s">
        <v>2758</v>
      </c>
      <c r="F658" t="s">
        <v>412</v>
      </c>
    </row>
    <row r="659" spans="1:6" hidden="1" x14ac:dyDescent="0.2">
      <c r="A659" t="s">
        <v>413</v>
      </c>
      <c r="B659" t="s">
        <v>2321</v>
      </c>
      <c r="C659" t="str">
        <f t="shared" si="10"/>
        <v>MagdalenaSANTA MARTA</v>
      </c>
      <c r="D659" t="s">
        <v>414</v>
      </c>
      <c r="E659" t="s">
        <v>2739</v>
      </c>
      <c r="F659" t="s">
        <v>2230</v>
      </c>
    </row>
    <row r="660" spans="1:6" hidden="1" x14ac:dyDescent="0.2">
      <c r="A660" t="s">
        <v>413</v>
      </c>
      <c r="B660" t="s">
        <v>2332</v>
      </c>
      <c r="C660" t="str">
        <f t="shared" si="10"/>
        <v>MagdalenaALGARROBO</v>
      </c>
      <c r="D660" t="s">
        <v>414</v>
      </c>
      <c r="E660" t="s">
        <v>416</v>
      </c>
      <c r="F660" t="s">
        <v>415</v>
      </c>
    </row>
    <row r="661" spans="1:6" hidden="1" x14ac:dyDescent="0.2">
      <c r="A661" t="s">
        <v>413</v>
      </c>
      <c r="B661" t="s">
        <v>1014</v>
      </c>
      <c r="C661" t="str">
        <f t="shared" si="10"/>
        <v>MagdalenaARACATACA</v>
      </c>
      <c r="D661" t="s">
        <v>414</v>
      </c>
      <c r="E661" t="s">
        <v>418</v>
      </c>
      <c r="F661" t="s">
        <v>417</v>
      </c>
    </row>
    <row r="662" spans="1:6" hidden="1" x14ac:dyDescent="0.2">
      <c r="A662" t="s">
        <v>413</v>
      </c>
      <c r="B662" t="s">
        <v>419</v>
      </c>
      <c r="C662" t="str">
        <f t="shared" si="10"/>
        <v>MagdalenaARIGUANI</v>
      </c>
      <c r="D662" t="s">
        <v>414</v>
      </c>
      <c r="E662" t="s">
        <v>421</v>
      </c>
      <c r="F662" t="s">
        <v>420</v>
      </c>
    </row>
    <row r="663" spans="1:6" hidden="1" x14ac:dyDescent="0.2">
      <c r="A663" t="s">
        <v>413</v>
      </c>
      <c r="B663" t="s">
        <v>422</v>
      </c>
      <c r="C663" t="str">
        <f t="shared" si="10"/>
        <v>MagdalenaCERRO SAN ANTONIO</v>
      </c>
      <c r="D663" t="s">
        <v>414</v>
      </c>
      <c r="E663" t="s">
        <v>424</v>
      </c>
      <c r="F663" t="s">
        <v>423</v>
      </c>
    </row>
    <row r="664" spans="1:6" hidden="1" x14ac:dyDescent="0.2">
      <c r="A664" t="s">
        <v>413</v>
      </c>
      <c r="B664" t="s">
        <v>425</v>
      </c>
      <c r="C664" t="str">
        <f t="shared" si="10"/>
        <v>MagdalenaCHIBOLO</v>
      </c>
      <c r="D664" t="s">
        <v>414</v>
      </c>
      <c r="E664" t="s">
        <v>427</v>
      </c>
      <c r="F664" t="s">
        <v>426</v>
      </c>
    </row>
    <row r="665" spans="1:6" hidden="1" x14ac:dyDescent="0.2">
      <c r="A665" t="s">
        <v>413</v>
      </c>
      <c r="B665" t="s">
        <v>1610</v>
      </c>
      <c r="C665" t="str">
        <f t="shared" si="10"/>
        <v>MagdalenaCIENAGA</v>
      </c>
      <c r="D665" t="s">
        <v>414</v>
      </c>
      <c r="E665" t="s">
        <v>429</v>
      </c>
      <c r="F665" t="s">
        <v>428</v>
      </c>
    </row>
    <row r="666" spans="1:6" hidden="1" x14ac:dyDescent="0.2">
      <c r="A666" t="s">
        <v>413</v>
      </c>
      <c r="B666" t="s">
        <v>791</v>
      </c>
      <c r="C666" t="str">
        <f t="shared" si="10"/>
        <v>MagdalenaCONCORDIA</v>
      </c>
      <c r="D666" t="s">
        <v>414</v>
      </c>
      <c r="E666" t="s">
        <v>2427</v>
      </c>
      <c r="F666" t="s">
        <v>430</v>
      </c>
    </row>
    <row r="667" spans="1:6" hidden="1" x14ac:dyDescent="0.2">
      <c r="A667" t="s">
        <v>413</v>
      </c>
      <c r="B667" t="s">
        <v>1040</v>
      </c>
      <c r="C667" t="str">
        <f t="shared" si="10"/>
        <v>MagdalenaEL BANCO</v>
      </c>
      <c r="D667" t="s">
        <v>414</v>
      </c>
      <c r="E667" t="s">
        <v>2741</v>
      </c>
      <c r="F667" t="s">
        <v>431</v>
      </c>
    </row>
    <row r="668" spans="1:6" hidden="1" x14ac:dyDescent="0.2">
      <c r="A668" t="s">
        <v>413</v>
      </c>
      <c r="B668" t="s">
        <v>1043</v>
      </c>
      <c r="C668" t="str">
        <f t="shared" si="10"/>
        <v>MagdalenaEL PIÑON</v>
      </c>
      <c r="D668" t="s">
        <v>414</v>
      </c>
      <c r="E668" t="s">
        <v>433</v>
      </c>
      <c r="F668" t="s">
        <v>432</v>
      </c>
    </row>
    <row r="669" spans="1:6" hidden="1" x14ac:dyDescent="0.2">
      <c r="A669" t="s">
        <v>413</v>
      </c>
      <c r="B669" t="s">
        <v>1488</v>
      </c>
      <c r="C669" t="str">
        <f t="shared" si="10"/>
        <v>MagdalenaEL RETEN</v>
      </c>
      <c r="D669" t="s">
        <v>414</v>
      </c>
      <c r="E669" t="s">
        <v>435</v>
      </c>
      <c r="F669" t="s">
        <v>434</v>
      </c>
    </row>
    <row r="670" spans="1:6" hidden="1" x14ac:dyDescent="0.2">
      <c r="A670" t="s">
        <v>413</v>
      </c>
      <c r="B670" t="s">
        <v>1059</v>
      </c>
      <c r="C670" t="str">
        <f t="shared" si="10"/>
        <v>MagdalenaFUNDACION</v>
      </c>
      <c r="D670" t="s">
        <v>414</v>
      </c>
      <c r="E670" t="s">
        <v>437</v>
      </c>
      <c r="F670" t="s">
        <v>436</v>
      </c>
    </row>
    <row r="671" spans="1:6" hidden="1" x14ac:dyDescent="0.2">
      <c r="A671" t="s">
        <v>413</v>
      </c>
      <c r="B671" t="s">
        <v>2464</v>
      </c>
      <c r="C671" t="str">
        <f t="shared" si="10"/>
        <v>MagdalenaGUAMAL</v>
      </c>
      <c r="D671" t="s">
        <v>414</v>
      </c>
      <c r="E671" t="s">
        <v>439</v>
      </c>
      <c r="F671" t="s">
        <v>438</v>
      </c>
    </row>
    <row r="672" spans="1:6" hidden="1" x14ac:dyDescent="0.2">
      <c r="A672" t="s">
        <v>413</v>
      </c>
      <c r="B672" t="s">
        <v>802</v>
      </c>
      <c r="C672" t="str">
        <f t="shared" si="10"/>
        <v>MagdalenaNUEVA GRANADA</v>
      </c>
      <c r="D672" t="s">
        <v>414</v>
      </c>
      <c r="E672" t="s">
        <v>441</v>
      </c>
      <c r="F672" t="s">
        <v>440</v>
      </c>
    </row>
    <row r="673" spans="1:6" hidden="1" x14ac:dyDescent="0.2">
      <c r="A673" t="s">
        <v>413</v>
      </c>
      <c r="B673" t="s">
        <v>2523</v>
      </c>
      <c r="C673" t="str">
        <f t="shared" si="10"/>
        <v>MagdalenaPEDRAZA</v>
      </c>
      <c r="D673" t="s">
        <v>414</v>
      </c>
      <c r="E673" t="s">
        <v>443</v>
      </c>
      <c r="F673" t="s">
        <v>442</v>
      </c>
    </row>
    <row r="674" spans="1:6" hidden="1" x14ac:dyDescent="0.2">
      <c r="A674" t="s">
        <v>413</v>
      </c>
      <c r="B674" t="s">
        <v>444</v>
      </c>
      <c r="C674" t="str">
        <f t="shared" si="10"/>
        <v>MagdalenaPIJIÑO DEL CARMEN</v>
      </c>
      <c r="D674" t="s">
        <v>414</v>
      </c>
      <c r="E674" t="s">
        <v>446</v>
      </c>
      <c r="F674" t="s">
        <v>445</v>
      </c>
    </row>
    <row r="675" spans="1:6" hidden="1" x14ac:dyDescent="0.2">
      <c r="A675" t="s">
        <v>413</v>
      </c>
      <c r="B675" t="s">
        <v>367</v>
      </c>
      <c r="C675" t="str">
        <f t="shared" si="10"/>
        <v>MagdalenaPIVIJAY</v>
      </c>
      <c r="D675" t="s">
        <v>414</v>
      </c>
      <c r="E675" t="s">
        <v>448</v>
      </c>
      <c r="F675" t="s">
        <v>447</v>
      </c>
    </row>
    <row r="676" spans="1:6" hidden="1" x14ac:dyDescent="0.2">
      <c r="A676" t="s">
        <v>413</v>
      </c>
      <c r="B676" t="s">
        <v>973</v>
      </c>
      <c r="C676" t="str">
        <f t="shared" si="10"/>
        <v>MagdalenaPLATO</v>
      </c>
      <c r="D676" t="s">
        <v>414</v>
      </c>
      <c r="E676" t="s">
        <v>450</v>
      </c>
      <c r="F676" t="s">
        <v>449</v>
      </c>
    </row>
    <row r="677" spans="1:6" hidden="1" x14ac:dyDescent="0.2">
      <c r="A677" t="s">
        <v>413</v>
      </c>
      <c r="B677" t="s">
        <v>927</v>
      </c>
      <c r="C677" t="str">
        <f t="shared" si="10"/>
        <v>MagdalenaPUEBLOVIEJO</v>
      </c>
      <c r="D677" t="s">
        <v>414</v>
      </c>
      <c r="E677" t="s">
        <v>452</v>
      </c>
      <c r="F677" t="s">
        <v>451</v>
      </c>
    </row>
    <row r="678" spans="1:6" hidden="1" x14ac:dyDescent="0.2">
      <c r="A678" t="s">
        <v>413</v>
      </c>
      <c r="B678" t="s">
        <v>453</v>
      </c>
      <c r="C678" t="str">
        <f t="shared" si="10"/>
        <v>MagdalenaREMOLINO</v>
      </c>
      <c r="D678" t="s">
        <v>414</v>
      </c>
      <c r="E678" t="s">
        <v>455</v>
      </c>
      <c r="F678" t="s">
        <v>454</v>
      </c>
    </row>
    <row r="679" spans="1:6" hidden="1" x14ac:dyDescent="0.2">
      <c r="A679" t="s">
        <v>413</v>
      </c>
      <c r="B679" t="s">
        <v>2568</v>
      </c>
      <c r="C679" t="str">
        <f t="shared" si="10"/>
        <v>MagdalenaSABANAS DE SAN ANGEL</v>
      </c>
      <c r="D679" t="s">
        <v>414</v>
      </c>
      <c r="E679" t="s">
        <v>457</v>
      </c>
      <c r="F679" t="s">
        <v>456</v>
      </c>
    </row>
    <row r="680" spans="1:6" hidden="1" x14ac:dyDescent="0.2">
      <c r="A680" t="s">
        <v>413</v>
      </c>
      <c r="B680" t="s">
        <v>1437</v>
      </c>
      <c r="C680" t="str">
        <f t="shared" si="10"/>
        <v>MagdalenaSALAMINA</v>
      </c>
      <c r="D680" t="s">
        <v>414</v>
      </c>
      <c r="E680" t="s">
        <v>1367</v>
      </c>
      <c r="F680" t="s">
        <v>458</v>
      </c>
    </row>
    <row r="681" spans="1:6" hidden="1" x14ac:dyDescent="0.2">
      <c r="A681" t="s">
        <v>413</v>
      </c>
      <c r="B681" t="s">
        <v>459</v>
      </c>
      <c r="C681" t="str">
        <f t="shared" si="10"/>
        <v>MagdalenaSAN SEBASTIAN DE BUENAVISTA</v>
      </c>
      <c r="D681" t="s">
        <v>414</v>
      </c>
      <c r="E681" t="s">
        <v>461</v>
      </c>
      <c r="F681" t="s">
        <v>460</v>
      </c>
    </row>
    <row r="682" spans="1:6" hidden="1" x14ac:dyDescent="0.2">
      <c r="A682" t="s">
        <v>413</v>
      </c>
      <c r="B682" t="s">
        <v>462</v>
      </c>
      <c r="C682" t="str">
        <f t="shared" si="10"/>
        <v>MagdalenaSAN ZENON</v>
      </c>
      <c r="D682" t="s">
        <v>414</v>
      </c>
      <c r="E682" t="s">
        <v>2746</v>
      </c>
      <c r="F682" t="s">
        <v>463</v>
      </c>
    </row>
    <row r="683" spans="1:6" hidden="1" x14ac:dyDescent="0.2">
      <c r="A683" t="s">
        <v>413</v>
      </c>
      <c r="B683" t="s">
        <v>464</v>
      </c>
      <c r="C683" t="str">
        <f t="shared" si="10"/>
        <v>MagdalenaSANTA ANA</v>
      </c>
      <c r="D683" t="s">
        <v>414</v>
      </c>
      <c r="E683" t="s">
        <v>466</v>
      </c>
      <c r="F683" t="s">
        <v>465</v>
      </c>
    </row>
    <row r="684" spans="1:6" hidden="1" x14ac:dyDescent="0.2">
      <c r="A684" t="s">
        <v>413</v>
      </c>
      <c r="B684" t="s">
        <v>652</v>
      </c>
      <c r="C684" t="str">
        <f t="shared" si="10"/>
        <v>MagdalenaSANTA BARBARA DE PINTO</v>
      </c>
      <c r="D684" t="s">
        <v>414</v>
      </c>
      <c r="E684" t="s">
        <v>468</v>
      </c>
      <c r="F684" t="s">
        <v>467</v>
      </c>
    </row>
    <row r="685" spans="1:6" hidden="1" x14ac:dyDescent="0.2">
      <c r="A685" t="s">
        <v>413</v>
      </c>
      <c r="B685" t="s">
        <v>1157</v>
      </c>
      <c r="C685" t="str">
        <f t="shared" si="10"/>
        <v>MagdalenaSITIONUEVO</v>
      </c>
      <c r="D685" t="s">
        <v>414</v>
      </c>
      <c r="E685" t="s">
        <v>470</v>
      </c>
      <c r="F685" t="s">
        <v>469</v>
      </c>
    </row>
    <row r="686" spans="1:6" hidden="1" x14ac:dyDescent="0.2">
      <c r="A686" t="s">
        <v>413</v>
      </c>
      <c r="B686" t="s">
        <v>692</v>
      </c>
      <c r="C686" t="str">
        <f t="shared" si="10"/>
        <v>MagdalenaTENERIFE</v>
      </c>
      <c r="D686" t="s">
        <v>414</v>
      </c>
      <c r="E686" t="s">
        <v>472</v>
      </c>
      <c r="F686" t="s">
        <v>471</v>
      </c>
    </row>
    <row r="687" spans="1:6" hidden="1" x14ac:dyDescent="0.2">
      <c r="A687" t="s">
        <v>413</v>
      </c>
      <c r="B687" t="s">
        <v>473</v>
      </c>
      <c r="C687" t="str">
        <f t="shared" si="10"/>
        <v>MagdalenaZAPAYAN</v>
      </c>
      <c r="D687" t="s">
        <v>414</v>
      </c>
      <c r="E687" t="s">
        <v>1280</v>
      </c>
      <c r="F687" t="s">
        <v>1279</v>
      </c>
    </row>
    <row r="688" spans="1:6" hidden="1" x14ac:dyDescent="0.2">
      <c r="A688" t="s">
        <v>413</v>
      </c>
      <c r="B688" t="s">
        <v>1281</v>
      </c>
      <c r="C688" t="str">
        <f t="shared" si="10"/>
        <v>MagdalenaZONA BANANERA</v>
      </c>
      <c r="D688" t="s">
        <v>414</v>
      </c>
      <c r="E688" t="s">
        <v>1283</v>
      </c>
      <c r="F688" t="s">
        <v>1282</v>
      </c>
    </row>
    <row r="689" spans="1:6" hidden="1" x14ac:dyDescent="0.2">
      <c r="A689" t="s">
        <v>1284</v>
      </c>
      <c r="B689" t="s">
        <v>2321</v>
      </c>
      <c r="C689" t="str">
        <f t="shared" si="10"/>
        <v>METAVILLAVICENCIO</v>
      </c>
      <c r="D689" t="s">
        <v>506</v>
      </c>
      <c r="E689" t="s">
        <v>1697</v>
      </c>
      <c r="F689" t="s">
        <v>2231</v>
      </c>
    </row>
    <row r="690" spans="1:6" hidden="1" x14ac:dyDescent="0.2">
      <c r="A690" t="s">
        <v>1284</v>
      </c>
      <c r="B690" t="s">
        <v>1458</v>
      </c>
      <c r="C690" t="str">
        <f t="shared" si="10"/>
        <v>METAACACIAS</v>
      </c>
      <c r="D690" t="s">
        <v>506</v>
      </c>
      <c r="E690" t="s">
        <v>2786</v>
      </c>
      <c r="F690" t="s">
        <v>1285</v>
      </c>
    </row>
    <row r="691" spans="1:6" hidden="1" x14ac:dyDescent="0.2">
      <c r="A691" t="s">
        <v>1284</v>
      </c>
      <c r="B691" t="s">
        <v>828</v>
      </c>
      <c r="C691" t="str">
        <f t="shared" si="10"/>
        <v>METABARRANCA DE UPIA</v>
      </c>
      <c r="D691" t="s">
        <v>506</v>
      </c>
      <c r="E691" t="s">
        <v>1287</v>
      </c>
      <c r="F691" t="s">
        <v>1286</v>
      </c>
    </row>
    <row r="692" spans="1:6" hidden="1" x14ac:dyDescent="0.2">
      <c r="A692" t="s">
        <v>1284</v>
      </c>
      <c r="B692" t="s">
        <v>1288</v>
      </c>
      <c r="C692" t="str">
        <f t="shared" si="10"/>
        <v>METACABUYARO</v>
      </c>
      <c r="D692" t="s">
        <v>506</v>
      </c>
      <c r="E692" t="s">
        <v>1290</v>
      </c>
      <c r="F692" t="s">
        <v>1289</v>
      </c>
    </row>
    <row r="693" spans="1:6" hidden="1" x14ac:dyDescent="0.2">
      <c r="A693" t="s">
        <v>1284</v>
      </c>
      <c r="B693" t="s">
        <v>2407</v>
      </c>
      <c r="C693" t="str">
        <f t="shared" si="10"/>
        <v>METACASTILLA LA NUEVA</v>
      </c>
      <c r="D693" t="s">
        <v>506</v>
      </c>
      <c r="E693" t="s">
        <v>1292</v>
      </c>
      <c r="F693" t="s">
        <v>1291</v>
      </c>
    </row>
    <row r="694" spans="1:6" hidden="1" x14ac:dyDescent="0.2">
      <c r="A694" t="s">
        <v>1284</v>
      </c>
      <c r="B694" t="s">
        <v>1623</v>
      </c>
      <c r="C694" t="str">
        <f t="shared" si="10"/>
        <v>METACUBARRAL</v>
      </c>
      <c r="D694" t="s">
        <v>506</v>
      </c>
      <c r="E694" t="s">
        <v>1294</v>
      </c>
      <c r="F694" t="s">
        <v>1293</v>
      </c>
    </row>
    <row r="695" spans="1:6" hidden="1" x14ac:dyDescent="0.2">
      <c r="A695" t="s">
        <v>1284</v>
      </c>
      <c r="B695" t="s">
        <v>1628</v>
      </c>
      <c r="C695" t="str">
        <f t="shared" si="10"/>
        <v>METACUMARAL</v>
      </c>
      <c r="D695" t="s">
        <v>506</v>
      </c>
      <c r="E695" t="s">
        <v>1296</v>
      </c>
      <c r="F695" t="s">
        <v>1295</v>
      </c>
    </row>
    <row r="696" spans="1:6" hidden="1" x14ac:dyDescent="0.2">
      <c r="A696" t="s">
        <v>1284</v>
      </c>
      <c r="B696" t="s">
        <v>1040</v>
      </c>
      <c r="C696" t="str">
        <f t="shared" si="10"/>
        <v>METAEL CALVARIO</v>
      </c>
      <c r="D696" t="s">
        <v>506</v>
      </c>
      <c r="E696" t="s">
        <v>1298</v>
      </c>
      <c r="F696" t="s">
        <v>1297</v>
      </c>
    </row>
    <row r="697" spans="1:6" hidden="1" x14ac:dyDescent="0.2">
      <c r="A697" t="s">
        <v>1284</v>
      </c>
      <c r="B697" t="s">
        <v>1299</v>
      </c>
      <c r="C697" t="str">
        <f t="shared" si="10"/>
        <v>METAEL CASTILLO</v>
      </c>
      <c r="D697" t="s">
        <v>506</v>
      </c>
      <c r="E697" t="s">
        <v>507</v>
      </c>
      <c r="F697" t="s">
        <v>1300</v>
      </c>
    </row>
    <row r="698" spans="1:6" hidden="1" x14ac:dyDescent="0.2">
      <c r="A698" t="s">
        <v>1284</v>
      </c>
      <c r="B698" t="s">
        <v>1301</v>
      </c>
      <c r="C698" t="str">
        <f t="shared" si="10"/>
        <v>METAEL DORADO</v>
      </c>
      <c r="D698" t="s">
        <v>506</v>
      </c>
      <c r="E698" t="s">
        <v>1303</v>
      </c>
      <c r="F698" t="s">
        <v>1302</v>
      </c>
    </row>
    <row r="699" spans="1:6" hidden="1" x14ac:dyDescent="0.2">
      <c r="A699" t="s">
        <v>1284</v>
      </c>
      <c r="B699" t="s">
        <v>1304</v>
      </c>
      <c r="C699" t="str">
        <f t="shared" si="10"/>
        <v>METAFUENTE DE ORO</v>
      </c>
      <c r="D699" t="s">
        <v>506</v>
      </c>
      <c r="E699" t="s">
        <v>81</v>
      </c>
      <c r="F699" t="s">
        <v>1305</v>
      </c>
    </row>
    <row r="700" spans="1:6" hidden="1" x14ac:dyDescent="0.2">
      <c r="A700" t="s">
        <v>1284</v>
      </c>
      <c r="B700" t="s">
        <v>2460</v>
      </c>
      <c r="C700" t="str">
        <f t="shared" si="10"/>
        <v>METAGRANADA</v>
      </c>
      <c r="D700" t="s">
        <v>506</v>
      </c>
      <c r="E700" t="s">
        <v>1333</v>
      </c>
      <c r="F700" t="s">
        <v>82</v>
      </c>
    </row>
    <row r="701" spans="1:6" hidden="1" x14ac:dyDescent="0.2">
      <c r="A701" t="s">
        <v>1284</v>
      </c>
      <c r="B701" t="s">
        <v>2464</v>
      </c>
      <c r="C701" t="str">
        <f t="shared" si="10"/>
        <v>METAGUAMAL</v>
      </c>
      <c r="D701" t="s">
        <v>506</v>
      </c>
      <c r="E701" t="s">
        <v>439</v>
      </c>
      <c r="F701" t="s">
        <v>83</v>
      </c>
    </row>
    <row r="702" spans="1:6" hidden="1" x14ac:dyDescent="0.2">
      <c r="A702" t="s">
        <v>1284</v>
      </c>
      <c r="B702" t="s">
        <v>537</v>
      </c>
      <c r="C702" t="str">
        <f t="shared" si="10"/>
        <v>METAMAPIRIPAN</v>
      </c>
      <c r="D702" t="s">
        <v>506</v>
      </c>
      <c r="E702" t="s">
        <v>85</v>
      </c>
      <c r="F702" t="s">
        <v>84</v>
      </c>
    </row>
    <row r="703" spans="1:6" hidden="1" x14ac:dyDescent="0.2">
      <c r="A703" t="s">
        <v>1284</v>
      </c>
      <c r="B703" t="s">
        <v>86</v>
      </c>
      <c r="C703" t="str">
        <f t="shared" si="10"/>
        <v>METAMESETAS</v>
      </c>
      <c r="D703" t="s">
        <v>506</v>
      </c>
      <c r="E703" t="s">
        <v>88</v>
      </c>
      <c r="F703" t="s">
        <v>87</v>
      </c>
    </row>
    <row r="704" spans="1:6" hidden="1" x14ac:dyDescent="0.2">
      <c r="A704" t="s">
        <v>1284</v>
      </c>
      <c r="B704" t="s">
        <v>961</v>
      </c>
      <c r="C704" t="str">
        <f t="shared" si="10"/>
        <v>METALA MACARENA</v>
      </c>
      <c r="D704" t="s">
        <v>506</v>
      </c>
      <c r="E704" t="s">
        <v>90</v>
      </c>
      <c r="F704" t="s">
        <v>89</v>
      </c>
    </row>
    <row r="705" spans="1:6" hidden="1" x14ac:dyDescent="0.2">
      <c r="A705" t="s">
        <v>1284</v>
      </c>
      <c r="B705" t="s">
        <v>91</v>
      </c>
      <c r="C705" t="str">
        <f t="shared" si="10"/>
        <v>METALA URIBE</v>
      </c>
      <c r="D705" t="s">
        <v>506</v>
      </c>
      <c r="E705" t="s">
        <v>93</v>
      </c>
      <c r="F705" t="s">
        <v>92</v>
      </c>
    </row>
    <row r="706" spans="1:6" hidden="1" x14ac:dyDescent="0.2">
      <c r="A706" t="s">
        <v>1284</v>
      </c>
      <c r="B706" t="s">
        <v>2492</v>
      </c>
      <c r="C706" t="str">
        <f t="shared" si="10"/>
        <v>METALEJANIAS</v>
      </c>
      <c r="D706" t="s">
        <v>506</v>
      </c>
      <c r="E706" t="s">
        <v>2735</v>
      </c>
      <c r="F706" t="s">
        <v>94</v>
      </c>
    </row>
    <row r="707" spans="1:6" hidden="1" x14ac:dyDescent="0.2">
      <c r="A707" t="s">
        <v>1284</v>
      </c>
      <c r="B707" t="s">
        <v>847</v>
      </c>
      <c r="C707" t="str">
        <f t="shared" ref="C707:C770" si="11">D707&amp;E707</f>
        <v>METAPUERTO CONCORDIA</v>
      </c>
      <c r="D707" t="s">
        <v>506</v>
      </c>
      <c r="E707" t="s">
        <v>2824</v>
      </c>
      <c r="F707" t="s">
        <v>95</v>
      </c>
    </row>
    <row r="708" spans="1:6" hidden="1" x14ac:dyDescent="0.2">
      <c r="A708" t="s">
        <v>1284</v>
      </c>
      <c r="B708" t="s">
        <v>96</v>
      </c>
      <c r="C708" t="str">
        <f t="shared" si="11"/>
        <v>METAPUERTO GAITAN</v>
      </c>
      <c r="D708" t="s">
        <v>506</v>
      </c>
      <c r="E708" t="s">
        <v>98</v>
      </c>
      <c r="F708" t="s">
        <v>97</v>
      </c>
    </row>
    <row r="709" spans="1:6" hidden="1" x14ac:dyDescent="0.2">
      <c r="A709" t="s">
        <v>1284</v>
      </c>
      <c r="B709" t="s">
        <v>1428</v>
      </c>
      <c r="C709" t="str">
        <f t="shared" si="11"/>
        <v>METAPUERTO LOPEZ</v>
      </c>
      <c r="D709" t="s">
        <v>506</v>
      </c>
      <c r="E709" t="s">
        <v>100</v>
      </c>
      <c r="F709" t="s">
        <v>99</v>
      </c>
    </row>
    <row r="710" spans="1:6" hidden="1" x14ac:dyDescent="0.2">
      <c r="A710" t="s">
        <v>1284</v>
      </c>
      <c r="B710" t="s">
        <v>101</v>
      </c>
      <c r="C710" t="str">
        <f t="shared" si="11"/>
        <v>METAPUERTO LLERAS</v>
      </c>
      <c r="D710" t="s">
        <v>506</v>
      </c>
      <c r="E710" t="s">
        <v>103</v>
      </c>
      <c r="F710" t="s">
        <v>102</v>
      </c>
    </row>
    <row r="711" spans="1:6" hidden="1" x14ac:dyDescent="0.2">
      <c r="A711" t="s">
        <v>1284</v>
      </c>
      <c r="B711" t="s">
        <v>104</v>
      </c>
      <c r="C711" t="str">
        <f t="shared" si="11"/>
        <v>METAPUERTO RICO</v>
      </c>
      <c r="D711" t="s">
        <v>506</v>
      </c>
      <c r="E711" t="s">
        <v>2052</v>
      </c>
      <c r="F711" t="s">
        <v>105</v>
      </c>
    </row>
    <row r="712" spans="1:6" hidden="1" x14ac:dyDescent="0.2">
      <c r="A712" t="s">
        <v>1284</v>
      </c>
      <c r="B712" t="s">
        <v>1431</v>
      </c>
      <c r="C712" t="str">
        <f t="shared" si="11"/>
        <v>METARESTREPO</v>
      </c>
      <c r="D712" t="s">
        <v>506</v>
      </c>
      <c r="E712" t="s">
        <v>107</v>
      </c>
      <c r="F712" t="s">
        <v>106</v>
      </c>
    </row>
    <row r="713" spans="1:6" hidden="1" x14ac:dyDescent="0.2">
      <c r="A713" t="s">
        <v>1284</v>
      </c>
      <c r="B713" t="s">
        <v>108</v>
      </c>
      <c r="C713" t="str">
        <f t="shared" si="11"/>
        <v>METASAN CARLOS DE GUAROA</v>
      </c>
      <c r="D713" t="s">
        <v>506</v>
      </c>
      <c r="E713" t="s">
        <v>110</v>
      </c>
      <c r="F713" t="s">
        <v>109</v>
      </c>
    </row>
    <row r="714" spans="1:6" hidden="1" x14ac:dyDescent="0.2">
      <c r="A714" t="s">
        <v>1284</v>
      </c>
      <c r="B714" t="s">
        <v>1531</v>
      </c>
      <c r="C714" t="str">
        <f t="shared" si="11"/>
        <v>METASAN JUAN DE ARAMA</v>
      </c>
      <c r="D714" t="s">
        <v>506</v>
      </c>
      <c r="E714" t="s">
        <v>2789</v>
      </c>
      <c r="F714" t="s">
        <v>111</v>
      </c>
    </row>
    <row r="715" spans="1:6" hidden="1" x14ac:dyDescent="0.2">
      <c r="A715" t="s">
        <v>1284</v>
      </c>
      <c r="B715" t="s">
        <v>2585</v>
      </c>
      <c r="C715" t="str">
        <f t="shared" si="11"/>
        <v>METASAN JUANITO</v>
      </c>
      <c r="D715" t="s">
        <v>506</v>
      </c>
      <c r="E715" t="s">
        <v>113</v>
      </c>
      <c r="F715" t="s">
        <v>112</v>
      </c>
    </row>
    <row r="716" spans="1:6" hidden="1" x14ac:dyDescent="0.2">
      <c r="A716" t="s">
        <v>1284</v>
      </c>
      <c r="B716" t="s">
        <v>114</v>
      </c>
      <c r="C716" t="str">
        <f t="shared" si="11"/>
        <v>METASAN MARTIN</v>
      </c>
      <c r="D716" t="s">
        <v>506</v>
      </c>
      <c r="E716" t="s">
        <v>2070</v>
      </c>
      <c r="F716" t="s">
        <v>115</v>
      </c>
    </row>
    <row r="717" spans="1:6" hidden="1" x14ac:dyDescent="0.2">
      <c r="A717" t="s">
        <v>1284</v>
      </c>
      <c r="B717" t="s">
        <v>116</v>
      </c>
      <c r="C717" t="str">
        <f t="shared" si="11"/>
        <v>METAVISTAHERMOSA</v>
      </c>
      <c r="D717" t="s">
        <v>506</v>
      </c>
      <c r="E717" t="s">
        <v>2118</v>
      </c>
      <c r="F717" t="s">
        <v>117</v>
      </c>
    </row>
    <row r="718" spans="1:6" hidden="1" x14ac:dyDescent="0.2">
      <c r="A718" t="s">
        <v>118</v>
      </c>
      <c r="B718" t="s">
        <v>2321</v>
      </c>
      <c r="C718" t="str">
        <f t="shared" si="11"/>
        <v>NariñoPASTO</v>
      </c>
      <c r="D718" t="s">
        <v>119</v>
      </c>
      <c r="E718" t="s">
        <v>2131</v>
      </c>
      <c r="F718" t="s">
        <v>2232</v>
      </c>
    </row>
    <row r="719" spans="1:6" hidden="1" x14ac:dyDescent="0.2">
      <c r="A719" t="s">
        <v>118</v>
      </c>
      <c r="B719" t="s">
        <v>1011</v>
      </c>
      <c r="C719" t="str">
        <f t="shared" si="11"/>
        <v>NariñoALBAN</v>
      </c>
      <c r="D719" t="s">
        <v>119</v>
      </c>
      <c r="E719" t="s">
        <v>494</v>
      </c>
      <c r="F719" t="s">
        <v>120</v>
      </c>
    </row>
    <row r="720" spans="1:6" hidden="1" x14ac:dyDescent="0.2">
      <c r="A720" t="s">
        <v>118</v>
      </c>
      <c r="B720" t="s">
        <v>1559</v>
      </c>
      <c r="C720" t="str">
        <f t="shared" si="11"/>
        <v>NariñoALDANA</v>
      </c>
      <c r="D720" t="s">
        <v>119</v>
      </c>
      <c r="E720" t="s">
        <v>122</v>
      </c>
      <c r="F720" t="s">
        <v>121</v>
      </c>
    </row>
    <row r="721" spans="1:6" hidden="1" x14ac:dyDescent="0.2">
      <c r="A721" t="s">
        <v>118</v>
      </c>
      <c r="B721" t="s">
        <v>2338</v>
      </c>
      <c r="C721" t="str">
        <f t="shared" si="11"/>
        <v>NariñoANCUYA</v>
      </c>
      <c r="D721" t="s">
        <v>119</v>
      </c>
      <c r="E721" t="s">
        <v>124</v>
      </c>
      <c r="F721" t="s">
        <v>123</v>
      </c>
    </row>
    <row r="722" spans="1:6" hidden="1" x14ac:dyDescent="0.2">
      <c r="A722" t="s">
        <v>118</v>
      </c>
      <c r="B722" t="s">
        <v>2356</v>
      </c>
      <c r="C722" t="str">
        <f t="shared" si="11"/>
        <v>NariñoARBOLEDA</v>
      </c>
      <c r="D722" t="s">
        <v>119</v>
      </c>
      <c r="E722" t="s">
        <v>2060</v>
      </c>
      <c r="F722" t="s">
        <v>125</v>
      </c>
    </row>
    <row r="723" spans="1:6" hidden="1" x14ac:dyDescent="0.2">
      <c r="A723" t="s">
        <v>118</v>
      </c>
      <c r="B723" t="s">
        <v>2363</v>
      </c>
      <c r="C723" t="str">
        <f t="shared" si="11"/>
        <v>NariñoBARBACOAS</v>
      </c>
      <c r="D723" t="s">
        <v>119</v>
      </c>
      <c r="E723" t="s">
        <v>2715</v>
      </c>
      <c r="F723" t="s">
        <v>2233</v>
      </c>
    </row>
    <row r="724" spans="1:6" hidden="1" x14ac:dyDescent="0.2">
      <c r="A724" t="s">
        <v>118</v>
      </c>
      <c r="B724" t="s">
        <v>126</v>
      </c>
      <c r="C724" t="str">
        <f t="shared" si="11"/>
        <v>NariñoBELEN</v>
      </c>
      <c r="D724" t="s">
        <v>119</v>
      </c>
      <c r="E724" s="57" t="s">
        <v>1362</v>
      </c>
      <c r="F724" t="s">
        <v>2234</v>
      </c>
    </row>
    <row r="725" spans="1:6" hidden="1" x14ac:dyDescent="0.2">
      <c r="A725" t="s">
        <v>118</v>
      </c>
      <c r="B725" t="s">
        <v>828</v>
      </c>
      <c r="C725" t="str">
        <f t="shared" si="11"/>
        <v>NariñoBUESACO</v>
      </c>
      <c r="D725" t="s">
        <v>119</v>
      </c>
      <c r="E725" t="s">
        <v>493</v>
      </c>
      <c r="F725" t="s">
        <v>2235</v>
      </c>
    </row>
    <row r="726" spans="1:6" hidden="1" x14ac:dyDescent="0.2">
      <c r="A726" t="s">
        <v>118</v>
      </c>
      <c r="B726" t="s">
        <v>127</v>
      </c>
      <c r="C726" t="str">
        <f t="shared" si="11"/>
        <v>NariñoCOLON</v>
      </c>
      <c r="D726" t="s">
        <v>119</v>
      </c>
      <c r="E726" t="s">
        <v>129</v>
      </c>
      <c r="F726" t="s">
        <v>128</v>
      </c>
    </row>
    <row r="727" spans="1:6" hidden="1" x14ac:dyDescent="0.2">
      <c r="A727" t="s">
        <v>118</v>
      </c>
      <c r="B727" t="s">
        <v>130</v>
      </c>
      <c r="C727" t="str">
        <f t="shared" si="11"/>
        <v>NariñoCONSACA</v>
      </c>
      <c r="D727" t="s">
        <v>119</v>
      </c>
      <c r="E727" t="s">
        <v>8</v>
      </c>
      <c r="F727" t="s">
        <v>131</v>
      </c>
    </row>
    <row r="728" spans="1:6" hidden="1" x14ac:dyDescent="0.2">
      <c r="A728" t="s">
        <v>118</v>
      </c>
      <c r="B728" t="s">
        <v>132</v>
      </c>
      <c r="C728" t="str">
        <f t="shared" si="11"/>
        <v>NariñoEL CONTADERO</v>
      </c>
      <c r="D728" t="s">
        <v>119</v>
      </c>
      <c r="E728" s="57" t="s">
        <v>1709</v>
      </c>
      <c r="F728" t="s">
        <v>133</v>
      </c>
    </row>
    <row r="729" spans="1:6" hidden="1" x14ac:dyDescent="0.2">
      <c r="A729" t="s">
        <v>118</v>
      </c>
      <c r="B729" t="s">
        <v>1617</v>
      </c>
      <c r="C729" t="str">
        <f t="shared" si="11"/>
        <v>NariñoCORDOBA</v>
      </c>
      <c r="D729" t="s">
        <v>119</v>
      </c>
      <c r="E729" t="s">
        <v>2718</v>
      </c>
      <c r="F729" t="s">
        <v>134</v>
      </c>
    </row>
    <row r="730" spans="1:6" hidden="1" x14ac:dyDescent="0.2">
      <c r="A730" t="s">
        <v>118</v>
      </c>
      <c r="B730" t="s">
        <v>1626</v>
      </c>
      <c r="C730" t="str">
        <f t="shared" si="11"/>
        <v>NariñoCUASPUD</v>
      </c>
      <c r="D730" t="s">
        <v>119</v>
      </c>
      <c r="E730" t="s">
        <v>136</v>
      </c>
      <c r="F730" t="s">
        <v>135</v>
      </c>
    </row>
    <row r="731" spans="1:6" hidden="1" x14ac:dyDescent="0.2">
      <c r="A731" t="s">
        <v>118</v>
      </c>
      <c r="B731" t="s">
        <v>137</v>
      </c>
      <c r="C731" t="str">
        <f t="shared" si="11"/>
        <v>NariñoCUMBAL</v>
      </c>
      <c r="D731" t="s">
        <v>119</v>
      </c>
      <c r="E731" t="s">
        <v>139</v>
      </c>
      <c r="F731" t="s">
        <v>138</v>
      </c>
    </row>
    <row r="732" spans="1:6" hidden="1" x14ac:dyDescent="0.2">
      <c r="A732" t="s">
        <v>118</v>
      </c>
      <c r="B732" t="s">
        <v>140</v>
      </c>
      <c r="C732" t="str">
        <f t="shared" si="11"/>
        <v>NariñoCUMBITARA</v>
      </c>
      <c r="D732" t="s">
        <v>119</v>
      </c>
      <c r="E732" t="s">
        <v>498</v>
      </c>
      <c r="F732" t="s">
        <v>2236</v>
      </c>
    </row>
    <row r="733" spans="1:6" hidden="1" x14ac:dyDescent="0.2">
      <c r="A733" t="s">
        <v>118</v>
      </c>
      <c r="B733" t="s">
        <v>2436</v>
      </c>
      <c r="C733" t="str">
        <f t="shared" si="11"/>
        <v>NariñoCHACHAGUI</v>
      </c>
      <c r="D733" t="s">
        <v>119</v>
      </c>
      <c r="E733" t="s">
        <v>142</v>
      </c>
      <c r="F733" t="s">
        <v>141</v>
      </c>
    </row>
    <row r="734" spans="1:6" hidden="1" x14ac:dyDescent="0.2">
      <c r="A734" t="s">
        <v>118</v>
      </c>
      <c r="B734" t="s">
        <v>2439</v>
      </c>
      <c r="C734" t="str">
        <f t="shared" si="11"/>
        <v>NariñoEL CHARCO</v>
      </c>
      <c r="D734" t="s">
        <v>119</v>
      </c>
      <c r="E734" t="s">
        <v>144</v>
      </c>
      <c r="F734" t="s">
        <v>143</v>
      </c>
    </row>
    <row r="735" spans="1:6" hidden="1" x14ac:dyDescent="0.2">
      <c r="A735" t="s">
        <v>118</v>
      </c>
      <c r="B735" t="s">
        <v>145</v>
      </c>
      <c r="C735" t="str">
        <f t="shared" si="11"/>
        <v>NariñoEL PEÑOL</v>
      </c>
      <c r="D735" t="s">
        <v>119</v>
      </c>
      <c r="E735" t="s">
        <v>147</v>
      </c>
      <c r="F735" t="s">
        <v>146</v>
      </c>
    </row>
    <row r="736" spans="1:6" hidden="1" x14ac:dyDescent="0.2">
      <c r="A736" t="s">
        <v>118</v>
      </c>
      <c r="B736" t="s">
        <v>796</v>
      </c>
      <c r="C736" t="str">
        <f t="shared" si="11"/>
        <v>NariñoEL ROSARIO</v>
      </c>
      <c r="D736" t="s">
        <v>119</v>
      </c>
      <c r="E736" t="s">
        <v>149</v>
      </c>
      <c r="F736" t="s">
        <v>148</v>
      </c>
    </row>
    <row r="737" spans="1:6" hidden="1" x14ac:dyDescent="0.2">
      <c r="A737" t="s">
        <v>118</v>
      </c>
      <c r="B737" t="s">
        <v>1043</v>
      </c>
      <c r="C737" t="str">
        <f t="shared" si="11"/>
        <v>NariñoEL TABLON DE GOMEZ</v>
      </c>
      <c r="D737" t="s">
        <v>119</v>
      </c>
      <c r="E737" t="s">
        <v>151</v>
      </c>
      <c r="F737" t="s">
        <v>150</v>
      </c>
    </row>
    <row r="738" spans="1:6" hidden="1" x14ac:dyDescent="0.2">
      <c r="A738" t="s">
        <v>118</v>
      </c>
      <c r="B738" t="s">
        <v>1045</v>
      </c>
      <c r="C738" t="str">
        <f t="shared" si="11"/>
        <v>NariñoEL TAMBO</v>
      </c>
      <c r="D738" t="s">
        <v>119</v>
      </c>
      <c r="E738" t="s">
        <v>501</v>
      </c>
      <c r="F738" t="s">
        <v>152</v>
      </c>
    </row>
    <row r="739" spans="1:6" hidden="1" x14ac:dyDescent="0.2">
      <c r="A739" t="s">
        <v>118</v>
      </c>
      <c r="B739" t="s">
        <v>1304</v>
      </c>
      <c r="C739" t="str">
        <f t="shared" si="11"/>
        <v>NariñoFUNES</v>
      </c>
      <c r="D739" t="s">
        <v>119</v>
      </c>
      <c r="E739" t="s">
        <v>478</v>
      </c>
      <c r="F739" t="s">
        <v>153</v>
      </c>
    </row>
    <row r="740" spans="1:6" hidden="1" x14ac:dyDescent="0.2">
      <c r="A740" t="s">
        <v>118</v>
      </c>
      <c r="B740" t="s">
        <v>531</v>
      </c>
      <c r="C740" t="str">
        <f t="shared" si="11"/>
        <v>NariñoGUACHUCAL</v>
      </c>
      <c r="D740" t="s">
        <v>119</v>
      </c>
      <c r="E740" t="s">
        <v>155</v>
      </c>
      <c r="F740" t="s">
        <v>154</v>
      </c>
    </row>
    <row r="741" spans="1:6" hidden="1" x14ac:dyDescent="0.2">
      <c r="A741" t="s">
        <v>118</v>
      </c>
      <c r="B741" t="s">
        <v>1074</v>
      </c>
      <c r="C741" t="str">
        <f t="shared" si="11"/>
        <v>NariñoGUAITARILLA</v>
      </c>
      <c r="D741" t="s">
        <v>119</v>
      </c>
      <c r="E741" t="s">
        <v>2116</v>
      </c>
      <c r="F741" t="s">
        <v>156</v>
      </c>
    </row>
    <row r="742" spans="1:6" hidden="1" x14ac:dyDescent="0.2">
      <c r="A742" t="s">
        <v>118</v>
      </c>
      <c r="B742" t="s">
        <v>157</v>
      </c>
      <c r="C742" t="str">
        <f t="shared" si="11"/>
        <v>NariñoGUALMATAN</v>
      </c>
      <c r="D742" t="s">
        <v>119</v>
      </c>
      <c r="E742" t="s">
        <v>159</v>
      </c>
      <c r="F742" t="s">
        <v>158</v>
      </c>
    </row>
    <row r="743" spans="1:6" hidden="1" x14ac:dyDescent="0.2">
      <c r="A743" t="s">
        <v>118</v>
      </c>
      <c r="B743" t="s">
        <v>160</v>
      </c>
      <c r="C743" t="str">
        <f t="shared" si="11"/>
        <v>NariñoILES</v>
      </c>
      <c r="D743" t="s">
        <v>119</v>
      </c>
      <c r="E743" t="s">
        <v>162</v>
      </c>
      <c r="F743" t="s">
        <v>161</v>
      </c>
    </row>
    <row r="744" spans="1:6" hidden="1" x14ac:dyDescent="0.2">
      <c r="A744" t="s">
        <v>118</v>
      </c>
      <c r="B744" t="s">
        <v>163</v>
      </c>
      <c r="C744" t="str">
        <f t="shared" si="11"/>
        <v>NariñoIMUES</v>
      </c>
      <c r="D744" t="s">
        <v>119</v>
      </c>
      <c r="E744" t="s">
        <v>165</v>
      </c>
      <c r="F744" t="s">
        <v>164</v>
      </c>
    </row>
    <row r="745" spans="1:6" hidden="1" x14ac:dyDescent="0.2">
      <c r="A745" t="s">
        <v>118</v>
      </c>
      <c r="B745" t="s">
        <v>166</v>
      </c>
      <c r="C745" t="str">
        <f t="shared" si="11"/>
        <v>NariñoIPIALES</v>
      </c>
      <c r="D745" t="s">
        <v>119</v>
      </c>
      <c r="E745" t="s">
        <v>168</v>
      </c>
      <c r="F745" t="s">
        <v>167</v>
      </c>
    </row>
    <row r="746" spans="1:6" hidden="1" x14ac:dyDescent="0.2">
      <c r="A746" t="s">
        <v>118</v>
      </c>
      <c r="B746" t="s">
        <v>37</v>
      </c>
      <c r="C746" t="str">
        <f t="shared" si="11"/>
        <v>NariñoLA CRUZ</v>
      </c>
      <c r="D746" t="s">
        <v>119</v>
      </c>
      <c r="E746" t="s">
        <v>170</v>
      </c>
      <c r="F746" t="s">
        <v>169</v>
      </c>
    </row>
    <row r="747" spans="1:6" hidden="1" x14ac:dyDescent="0.2">
      <c r="A747" t="s">
        <v>118</v>
      </c>
      <c r="B747" t="s">
        <v>171</v>
      </c>
      <c r="C747" t="str">
        <f t="shared" si="11"/>
        <v>NariñoLA FLORIDA</v>
      </c>
      <c r="D747" t="s">
        <v>119</v>
      </c>
      <c r="E747" t="s">
        <v>2657</v>
      </c>
      <c r="F747" t="s">
        <v>172</v>
      </c>
    </row>
    <row r="748" spans="1:6" hidden="1" x14ac:dyDescent="0.2">
      <c r="A748" t="s">
        <v>118</v>
      </c>
      <c r="B748" t="s">
        <v>173</v>
      </c>
      <c r="C748" t="str">
        <f t="shared" si="11"/>
        <v>NariñoLA LLANADA</v>
      </c>
      <c r="D748" t="s">
        <v>119</v>
      </c>
      <c r="E748" t="s">
        <v>175</v>
      </c>
      <c r="F748" t="s">
        <v>174</v>
      </c>
    </row>
    <row r="749" spans="1:6" hidden="1" x14ac:dyDescent="0.2">
      <c r="A749" t="s">
        <v>118</v>
      </c>
      <c r="B749" t="s">
        <v>2489</v>
      </c>
      <c r="C749" t="str">
        <f t="shared" si="11"/>
        <v>NariñoLA TOLA</v>
      </c>
      <c r="D749" t="s">
        <v>119</v>
      </c>
      <c r="E749" t="s">
        <v>177</v>
      </c>
      <c r="F749" t="s">
        <v>176</v>
      </c>
    </row>
    <row r="750" spans="1:6" hidden="1" x14ac:dyDescent="0.2">
      <c r="A750" t="s">
        <v>118</v>
      </c>
      <c r="B750" t="s">
        <v>178</v>
      </c>
      <c r="C750" t="str">
        <f t="shared" si="11"/>
        <v>NariñoLA UNION</v>
      </c>
      <c r="D750" t="s">
        <v>119</v>
      </c>
      <c r="E750" t="s">
        <v>2160</v>
      </c>
      <c r="F750" t="s">
        <v>179</v>
      </c>
    </row>
    <row r="751" spans="1:6" hidden="1" x14ac:dyDescent="0.2">
      <c r="A751" t="s">
        <v>118</v>
      </c>
      <c r="B751" t="s">
        <v>180</v>
      </c>
      <c r="C751" t="str">
        <f t="shared" si="11"/>
        <v>NariñoLEIVA</v>
      </c>
      <c r="D751" t="s">
        <v>119</v>
      </c>
      <c r="E751" s="57" t="s">
        <v>182</v>
      </c>
      <c r="F751" t="s">
        <v>181</v>
      </c>
    </row>
    <row r="752" spans="1:6" hidden="1" x14ac:dyDescent="0.2">
      <c r="A752" t="s">
        <v>118</v>
      </c>
      <c r="B752" t="s">
        <v>2494</v>
      </c>
      <c r="C752" t="str">
        <f t="shared" si="11"/>
        <v>NariñoLINARES</v>
      </c>
      <c r="D752" t="s">
        <v>119</v>
      </c>
      <c r="E752" t="s">
        <v>184</v>
      </c>
      <c r="F752" t="s">
        <v>183</v>
      </c>
    </row>
    <row r="753" spans="1:6" hidden="1" x14ac:dyDescent="0.2">
      <c r="A753" t="s">
        <v>118</v>
      </c>
      <c r="B753" t="s">
        <v>846</v>
      </c>
      <c r="C753" t="str">
        <f t="shared" si="11"/>
        <v>NariñoLOS ANDES</v>
      </c>
      <c r="D753" t="s">
        <v>119</v>
      </c>
      <c r="E753" t="s">
        <v>520</v>
      </c>
      <c r="F753" t="s">
        <v>2237</v>
      </c>
    </row>
    <row r="754" spans="1:6" hidden="1" x14ac:dyDescent="0.2">
      <c r="A754" t="s">
        <v>118</v>
      </c>
      <c r="B754" t="s">
        <v>185</v>
      </c>
      <c r="C754" t="str">
        <f t="shared" si="11"/>
        <v>NariñoMAGUI PAYAN</v>
      </c>
      <c r="D754" t="s">
        <v>119</v>
      </c>
      <c r="E754" s="57" t="s">
        <v>1710</v>
      </c>
      <c r="F754" t="s">
        <v>186</v>
      </c>
    </row>
    <row r="755" spans="1:6" hidden="1" x14ac:dyDescent="0.2">
      <c r="A755" t="s">
        <v>118</v>
      </c>
      <c r="B755" t="s">
        <v>187</v>
      </c>
      <c r="C755" t="str">
        <f t="shared" si="11"/>
        <v>NariñoMALLAMA</v>
      </c>
      <c r="D755" t="s">
        <v>119</v>
      </c>
      <c r="E755" t="s">
        <v>189</v>
      </c>
      <c r="F755" t="s">
        <v>188</v>
      </c>
    </row>
    <row r="756" spans="1:6" hidden="1" x14ac:dyDescent="0.2">
      <c r="A756" t="s">
        <v>118</v>
      </c>
      <c r="B756" t="s">
        <v>1503</v>
      </c>
      <c r="C756" t="str">
        <f t="shared" si="11"/>
        <v>NariñoMOSQUERA</v>
      </c>
      <c r="D756" t="s">
        <v>119</v>
      </c>
      <c r="E756" t="s">
        <v>1115</v>
      </c>
      <c r="F756" t="s">
        <v>190</v>
      </c>
    </row>
    <row r="757" spans="1:6" hidden="1" x14ac:dyDescent="0.2">
      <c r="A757" t="s">
        <v>118</v>
      </c>
      <c r="B757" t="s">
        <v>2509</v>
      </c>
      <c r="C757" t="str">
        <f t="shared" si="11"/>
        <v>NariñoNARIÑO</v>
      </c>
      <c r="D757" t="s">
        <v>119</v>
      </c>
      <c r="E757" t="s">
        <v>2811</v>
      </c>
      <c r="F757" t="s">
        <v>191</v>
      </c>
    </row>
    <row r="758" spans="1:6" hidden="1" x14ac:dyDescent="0.2">
      <c r="A758" t="s">
        <v>118</v>
      </c>
      <c r="B758" t="s">
        <v>2514</v>
      </c>
      <c r="C758" t="str">
        <f t="shared" si="11"/>
        <v>NariñoOLAYA HERRERA</v>
      </c>
      <c r="D758" t="s">
        <v>119</v>
      </c>
      <c r="E758" t="s">
        <v>2111</v>
      </c>
      <c r="F758" t="s">
        <v>2238</v>
      </c>
    </row>
    <row r="759" spans="1:6" hidden="1" x14ac:dyDescent="0.2">
      <c r="A759" t="s">
        <v>118</v>
      </c>
      <c r="B759" t="s">
        <v>1124</v>
      </c>
      <c r="C759" t="str">
        <f t="shared" si="11"/>
        <v>NariñoOSPINA</v>
      </c>
      <c r="D759" t="s">
        <v>119</v>
      </c>
      <c r="E759" t="s">
        <v>495</v>
      </c>
      <c r="F759" t="s">
        <v>192</v>
      </c>
    </row>
    <row r="760" spans="1:6" hidden="1" x14ac:dyDescent="0.2">
      <c r="A760" t="s">
        <v>118</v>
      </c>
      <c r="B760" t="s">
        <v>1417</v>
      </c>
      <c r="C760" t="str">
        <f t="shared" si="11"/>
        <v>NariñoFRANCISCO PIZARRO</v>
      </c>
      <c r="D760" t="s">
        <v>119</v>
      </c>
      <c r="E760" t="s">
        <v>521</v>
      </c>
      <c r="F760" t="s">
        <v>2239</v>
      </c>
    </row>
    <row r="761" spans="1:6" hidden="1" x14ac:dyDescent="0.2">
      <c r="A761" t="s">
        <v>118</v>
      </c>
      <c r="B761" t="s">
        <v>193</v>
      </c>
      <c r="C761" t="str">
        <f t="shared" si="11"/>
        <v>NariñoPOLICARPA</v>
      </c>
      <c r="D761" t="s">
        <v>119</v>
      </c>
      <c r="E761" t="s">
        <v>195</v>
      </c>
      <c r="F761" t="s">
        <v>194</v>
      </c>
    </row>
    <row r="762" spans="1:6" hidden="1" x14ac:dyDescent="0.2">
      <c r="A762" t="s">
        <v>118</v>
      </c>
      <c r="B762" t="s">
        <v>1425</v>
      </c>
      <c r="C762" t="str">
        <f t="shared" si="11"/>
        <v>NariñoPOTOSI</v>
      </c>
      <c r="D762" t="s">
        <v>119</v>
      </c>
      <c r="E762" t="s">
        <v>197</v>
      </c>
      <c r="F762" t="s">
        <v>196</v>
      </c>
    </row>
    <row r="763" spans="1:6" hidden="1" x14ac:dyDescent="0.2">
      <c r="A763" t="s">
        <v>118</v>
      </c>
      <c r="B763" t="s">
        <v>198</v>
      </c>
      <c r="C763" t="str">
        <f t="shared" si="11"/>
        <v>NariñoPROVIDENCIA</v>
      </c>
      <c r="D763" t="s">
        <v>119</v>
      </c>
      <c r="E763" t="s">
        <v>1345</v>
      </c>
      <c r="F763" t="s">
        <v>199</v>
      </c>
    </row>
    <row r="764" spans="1:6" hidden="1" x14ac:dyDescent="0.2">
      <c r="A764" t="s">
        <v>118</v>
      </c>
      <c r="B764" t="s">
        <v>1428</v>
      </c>
      <c r="C764" t="str">
        <f t="shared" si="11"/>
        <v>NariñoPUERRES</v>
      </c>
      <c r="D764" t="s">
        <v>119</v>
      </c>
      <c r="E764" t="s">
        <v>519</v>
      </c>
      <c r="F764" t="s">
        <v>2240</v>
      </c>
    </row>
    <row r="765" spans="1:6" hidden="1" x14ac:dyDescent="0.2">
      <c r="A765" t="s">
        <v>118</v>
      </c>
      <c r="B765" t="s">
        <v>2533</v>
      </c>
      <c r="C765" t="str">
        <f t="shared" si="11"/>
        <v>NariñoPUPIALES</v>
      </c>
      <c r="D765" t="s">
        <v>119</v>
      </c>
      <c r="E765" t="s">
        <v>201</v>
      </c>
      <c r="F765" t="s">
        <v>200</v>
      </c>
    </row>
    <row r="766" spans="1:6" hidden="1" x14ac:dyDescent="0.2">
      <c r="A766" t="s">
        <v>118</v>
      </c>
      <c r="B766" t="s">
        <v>1145</v>
      </c>
      <c r="C766" t="str">
        <f t="shared" si="11"/>
        <v>NariñoRICAURTE</v>
      </c>
      <c r="D766" t="s">
        <v>119</v>
      </c>
      <c r="E766" t="s">
        <v>2130</v>
      </c>
      <c r="F766" t="s">
        <v>202</v>
      </c>
    </row>
    <row r="767" spans="1:6" hidden="1" x14ac:dyDescent="0.2">
      <c r="A767" t="s">
        <v>118</v>
      </c>
      <c r="B767" t="s">
        <v>625</v>
      </c>
      <c r="C767" t="str">
        <f t="shared" si="11"/>
        <v>NariñoROBERTO PAYAN</v>
      </c>
      <c r="D767" t="s">
        <v>119</v>
      </c>
      <c r="E767" t="s">
        <v>477</v>
      </c>
      <c r="F767" t="s">
        <v>203</v>
      </c>
    </row>
    <row r="768" spans="1:6" hidden="1" x14ac:dyDescent="0.2">
      <c r="A768" t="s">
        <v>118</v>
      </c>
      <c r="B768" t="s">
        <v>994</v>
      </c>
      <c r="C768" t="str">
        <f t="shared" si="11"/>
        <v>NariñoSAMANIEGO</v>
      </c>
      <c r="D768" t="s">
        <v>119</v>
      </c>
      <c r="E768" t="s">
        <v>2062</v>
      </c>
      <c r="F768" t="s">
        <v>2241</v>
      </c>
    </row>
    <row r="769" spans="1:6" hidden="1" x14ac:dyDescent="0.2">
      <c r="A769" t="s">
        <v>118</v>
      </c>
      <c r="B769" t="s">
        <v>1531</v>
      </c>
      <c r="C769" t="str">
        <f t="shared" si="11"/>
        <v>NariñoSANDONA</v>
      </c>
      <c r="D769" t="s">
        <v>119</v>
      </c>
      <c r="E769" t="s">
        <v>2065</v>
      </c>
      <c r="F769" t="s">
        <v>204</v>
      </c>
    </row>
    <row r="770" spans="1:6" hidden="1" x14ac:dyDescent="0.2">
      <c r="A770" t="s">
        <v>118</v>
      </c>
      <c r="B770" t="s">
        <v>1440</v>
      </c>
      <c r="C770" t="str">
        <f t="shared" si="11"/>
        <v>NariñoSAN BERNARDO</v>
      </c>
      <c r="D770" t="s">
        <v>119</v>
      </c>
      <c r="E770" t="s">
        <v>2153</v>
      </c>
      <c r="F770" t="s">
        <v>205</v>
      </c>
    </row>
    <row r="771" spans="1:6" hidden="1" x14ac:dyDescent="0.2">
      <c r="A771" t="s">
        <v>118</v>
      </c>
      <c r="B771" t="s">
        <v>206</v>
      </c>
      <c r="C771" t="str">
        <f t="shared" ref="C771:C834" si="12">D771&amp;E771</f>
        <v>NariñoSAN LORENZO</v>
      </c>
      <c r="D771" t="s">
        <v>119</v>
      </c>
      <c r="E771" t="s">
        <v>505</v>
      </c>
      <c r="F771" t="s">
        <v>207</v>
      </c>
    </row>
    <row r="772" spans="1:6" hidden="1" x14ac:dyDescent="0.2">
      <c r="A772" t="s">
        <v>118</v>
      </c>
      <c r="B772" t="s">
        <v>646</v>
      </c>
      <c r="C772" t="str">
        <f t="shared" si="12"/>
        <v>NariñoSAN PABLO</v>
      </c>
      <c r="D772" t="s">
        <v>119</v>
      </c>
      <c r="E772" t="s">
        <v>2787</v>
      </c>
      <c r="F772" t="s">
        <v>208</v>
      </c>
    </row>
    <row r="773" spans="1:6" hidden="1" x14ac:dyDescent="0.2">
      <c r="A773" t="s">
        <v>118</v>
      </c>
      <c r="B773" t="s">
        <v>209</v>
      </c>
      <c r="C773" t="str">
        <f t="shared" si="12"/>
        <v>NariñoSAN PEDRO DE CARTAGO</v>
      </c>
      <c r="D773" t="s">
        <v>119</v>
      </c>
      <c r="E773" t="s">
        <v>211</v>
      </c>
      <c r="F773" t="s">
        <v>210</v>
      </c>
    </row>
    <row r="774" spans="1:6" hidden="1" x14ac:dyDescent="0.2">
      <c r="A774" t="s">
        <v>118</v>
      </c>
      <c r="B774" t="s">
        <v>649</v>
      </c>
      <c r="C774" t="str">
        <f t="shared" si="12"/>
        <v>NariñoSANTA BARBARA</v>
      </c>
      <c r="D774" t="s">
        <v>119</v>
      </c>
      <c r="E774" t="s">
        <v>2693</v>
      </c>
      <c r="F774" t="s">
        <v>212</v>
      </c>
    </row>
    <row r="775" spans="1:6" hidden="1" x14ac:dyDescent="0.2">
      <c r="A775" t="s">
        <v>118</v>
      </c>
      <c r="B775" t="s">
        <v>213</v>
      </c>
      <c r="C775" t="str">
        <f t="shared" si="12"/>
        <v>NariñoSANTACRUZ</v>
      </c>
      <c r="D775" t="s">
        <v>119</v>
      </c>
      <c r="E775" t="s">
        <v>518</v>
      </c>
      <c r="F775" t="s">
        <v>2242</v>
      </c>
    </row>
    <row r="776" spans="1:6" hidden="1" x14ac:dyDescent="0.2">
      <c r="A776" t="s">
        <v>118</v>
      </c>
      <c r="B776" t="s">
        <v>652</v>
      </c>
      <c r="C776" t="str">
        <f t="shared" si="12"/>
        <v>NariñoSAPUYES</v>
      </c>
      <c r="D776" t="s">
        <v>119</v>
      </c>
      <c r="E776" t="s">
        <v>2114</v>
      </c>
      <c r="F776" t="s">
        <v>214</v>
      </c>
    </row>
    <row r="777" spans="1:6" hidden="1" x14ac:dyDescent="0.2">
      <c r="A777" t="s">
        <v>118</v>
      </c>
      <c r="B777" t="s">
        <v>215</v>
      </c>
      <c r="C777" t="str">
        <f t="shared" si="12"/>
        <v>NariñoTAMINANGO</v>
      </c>
      <c r="D777" t="s">
        <v>119</v>
      </c>
      <c r="E777" t="s">
        <v>217</v>
      </c>
      <c r="F777" t="s">
        <v>216</v>
      </c>
    </row>
    <row r="778" spans="1:6" hidden="1" x14ac:dyDescent="0.2">
      <c r="A778" t="s">
        <v>118</v>
      </c>
      <c r="B778" t="s">
        <v>218</v>
      </c>
      <c r="C778" t="str">
        <f t="shared" si="12"/>
        <v>NariñoTANGUA</v>
      </c>
      <c r="D778" t="s">
        <v>119</v>
      </c>
      <c r="E778" t="s">
        <v>2061</v>
      </c>
      <c r="F778" t="s">
        <v>219</v>
      </c>
    </row>
    <row r="779" spans="1:6" hidden="1" x14ac:dyDescent="0.2">
      <c r="A779" t="s">
        <v>118</v>
      </c>
      <c r="B779" t="s">
        <v>718</v>
      </c>
      <c r="C779" t="str">
        <f t="shared" si="12"/>
        <v>NariñoSAN ANDRES DE TUMACO</v>
      </c>
      <c r="D779" t="s">
        <v>119</v>
      </c>
      <c r="E779" t="s">
        <v>2839</v>
      </c>
      <c r="F779" t="s">
        <v>2243</v>
      </c>
    </row>
    <row r="780" spans="1:6" hidden="1" x14ac:dyDescent="0.2">
      <c r="A780" t="s">
        <v>118</v>
      </c>
      <c r="B780" t="s">
        <v>1550</v>
      </c>
      <c r="C780" t="str">
        <f t="shared" si="12"/>
        <v>NariñoTUQUERRES</v>
      </c>
      <c r="D780" t="s">
        <v>119</v>
      </c>
      <c r="E780" t="s">
        <v>2004</v>
      </c>
      <c r="F780" t="s">
        <v>2244</v>
      </c>
    </row>
    <row r="781" spans="1:6" hidden="1" x14ac:dyDescent="0.2">
      <c r="A781" t="s">
        <v>118</v>
      </c>
      <c r="B781" t="s">
        <v>2634</v>
      </c>
      <c r="C781" t="str">
        <f t="shared" si="12"/>
        <v>NariñoYACUANQUER</v>
      </c>
      <c r="D781" t="s">
        <v>119</v>
      </c>
      <c r="E781" t="s">
        <v>2658</v>
      </c>
      <c r="F781" t="s">
        <v>220</v>
      </c>
    </row>
    <row r="782" spans="1:6" hidden="1" x14ac:dyDescent="0.2">
      <c r="A782" t="s">
        <v>221</v>
      </c>
      <c r="B782" t="s">
        <v>2321</v>
      </c>
      <c r="C782" t="str">
        <f t="shared" si="12"/>
        <v>Norte de SantanderCUCUTA</v>
      </c>
      <c r="D782" t="s">
        <v>222</v>
      </c>
      <c r="E782" t="s">
        <v>2732</v>
      </c>
      <c r="F782" t="s">
        <v>2245</v>
      </c>
    </row>
    <row r="783" spans="1:6" hidden="1" x14ac:dyDescent="0.2">
      <c r="A783" t="s">
        <v>221</v>
      </c>
      <c r="B783" t="s">
        <v>223</v>
      </c>
      <c r="C783" t="str">
        <f t="shared" si="12"/>
        <v>Norte de SantanderABREGO</v>
      </c>
      <c r="D783" t="s">
        <v>222</v>
      </c>
      <c r="E783" t="s">
        <v>499</v>
      </c>
      <c r="F783" t="s">
        <v>224</v>
      </c>
    </row>
    <row r="784" spans="1:6" hidden="1" x14ac:dyDescent="0.2">
      <c r="A784" t="s">
        <v>221</v>
      </c>
      <c r="B784" t="s">
        <v>2356</v>
      </c>
      <c r="C784" t="str">
        <f t="shared" si="12"/>
        <v>Norte de SantanderARBOLEDAS</v>
      </c>
      <c r="D784" t="s">
        <v>222</v>
      </c>
      <c r="E784" t="s">
        <v>482</v>
      </c>
      <c r="F784" t="s">
        <v>225</v>
      </c>
    </row>
    <row r="785" spans="1:6" hidden="1" x14ac:dyDescent="0.2">
      <c r="A785" t="s">
        <v>221</v>
      </c>
      <c r="B785" t="s">
        <v>1018</v>
      </c>
      <c r="C785" t="str">
        <f t="shared" si="12"/>
        <v>Norte de SantanderBOCHALEMA</v>
      </c>
      <c r="D785" t="s">
        <v>222</v>
      </c>
      <c r="E785" t="s">
        <v>2666</v>
      </c>
      <c r="F785" t="s">
        <v>226</v>
      </c>
    </row>
    <row r="786" spans="1:6" hidden="1" x14ac:dyDescent="0.2">
      <c r="A786" t="s">
        <v>221</v>
      </c>
      <c r="B786" t="s">
        <v>1581</v>
      </c>
      <c r="C786" t="str">
        <f t="shared" si="12"/>
        <v>Norte de SantanderBUCARASICA</v>
      </c>
      <c r="D786" t="s">
        <v>222</v>
      </c>
      <c r="E786" t="s">
        <v>2677</v>
      </c>
      <c r="F786" t="s">
        <v>227</v>
      </c>
    </row>
    <row r="787" spans="1:6" hidden="1" x14ac:dyDescent="0.2">
      <c r="A787" t="s">
        <v>221</v>
      </c>
      <c r="B787" t="s">
        <v>2384</v>
      </c>
      <c r="C787" t="str">
        <f t="shared" si="12"/>
        <v>Norte de SantanderCACOTA</v>
      </c>
      <c r="D787" t="s">
        <v>222</v>
      </c>
      <c r="E787" t="s">
        <v>6</v>
      </c>
      <c r="F787" t="s">
        <v>228</v>
      </c>
    </row>
    <row r="788" spans="1:6" hidden="1" x14ac:dyDescent="0.2">
      <c r="A788" t="s">
        <v>221</v>
      </c>
      <c r="B788" t="s">
        <v>229</v>
      </c>
      <c r="C788" t="str">
        <f t="shared" si="12"/>
        <v>Norte de SantanderCACHIRA</v>
      </c>
      <c r="D788" t="s">
        <v>222</v>
      </c>
      <c r="E788" t="s">
        <v>496</v>
      </c>
      <c r="F788" t="s">
        <v>230</v>
      </c>
    </row>
    <row r="789" spans="1:6" hidden="1" x14ac:dyDescent="0.2">
      <c r="A789" t="s">
        <v>221</v>
      </c>
      <c r="B789" t="s">
        <v>2413</v>
      </c>
      <c r="C789" t="str">
        <f t="shared" si="12"/>
        <v>Norte de SantanderCHINACOTA</v>
      </c>
      <c r="D789" t="s">
        <v>222</v>
      </c>
      <c r="E789" t="s">
        <v>2121</v>
      </c>
      <c r="F789" t="s">
        <v>2246</v>
      </c>
    </row>
    <row r="790" spans="1:6" hidden="1" x14ac:dyDescent="0.2">
      <c r="A790" t="s">
        <v>221</v>
      </c>
      <c r="B790" t="s">
        <v>743</v>
      </c>
      <c r="C790" t="str">
        <f t="shared" si="12"/>
        <v>Norte de SantanderCHITAGA</v>
      </c>
      <c r="D790" t="s">
        <v>222</v>
      </c>
      <c r="E790" t="s">
        <v>2798</v>
      </c>
      <c r="F790" t="s">
        <v>231</v>
      </c>
    </row>
    <row r="791" spans="1:6" hidden="1" x14ac:dyDescent="0.2">
      <c r="A791" t="s">
        <v>221</v>
      </c>
      <c r="B791" t="s">
        <v>2422</v>
      </c>
      <c r="C791" t="str">
        <f t="shared" si="12"/>
        <v>Norte de SantanderCONVENCION</v>
      </c>
      <c r="D791" t="s">
        <v>222</v>
      </c>
      <c r="E791" t="s">
        <v>2744</v>
      </c>
      <c r="F791" t="s">
        <v>232</v>
      </c>
    </row>
    <row r="792" spans="1:6" hidden="1" x14ac:dyDescent="0.2">
      <c r="A792" t="s">
        <v>221</v>
      </c>
      <c r="B792" t="s">
        <v>1623</v>
      </c>
      <c r="C792" t="str">
        <f t="shared" si="12"/>
        <v>Norte de SantanderCUCUTILLA</v>
      </c>
      <c r="D792" t="s">
        <v>222</v>
      </c>
      <c r="E792" t="s">
        <v>2663</v>
      </c>
      <c r="F792" t="s">
        <v>233</v>
      </c>
    </row>
    <row r="793" spans="1:6" hidden="1" x14ac:dyDescent="0.2">
      <c r="A793" t="s">
        <v>221</v>
      </c>
      <c r="B793" t="s">
        <v>234</v>
      </c>
      <c r="C793" t="str">
        <f t="shared" si="12"/>
        <v>Norte de SantanderDURANIA</v>
      </c>
      <c r="D793" t="s">
        <v>222</v>
      </c>
      <c r="E793" t="s">
        <v>2083</v>
      </c>
      <c r="F793" t="s">
        <v>235</v>
      </c>
    </row>
    <row r="794" spans="1:6" hidden="1" x14ac:dyDescent="0.2">
      <c r="A794" t="s">
        <v>221</v>
      </c>
      <c r="B794" t="s">
        <v>1040</v>
      </c>
      <c r="C794" t="str">
        <f t="shared" si="12"/>
        <v>Norte de SantanderEL CARMEN</v>
      </c>
      <c r="D794" t="s">
        <v>222</v>
      </c>
      <c r="E794" t="s">
        <v>2679</v>
      </c>
      <c r="F794" t="s">
        <v>236</v>
      </c>
    </row>
    <row r="795" spans="1:6" hidden="1" x14ac:dyDescent="0.2">
      <c r="A795" t="s">
        <v>221</v>
      </c>
      <c r="B795" t="s">
        <v>2439</v>
      </c>
      <c r="C795" t="str">
        <f t="shared" si="12"/>
        <v>Norte de SantanderEL TARRA</v>
      </c>
      <c r="D795" t="s">
        <v>222</v>
      </c>
      <c r="E795" t="s">
        <v>238</v>
      </c>
      <c r="F795" t="s">
        <v>237</v>
      </c>
    </row>
    <row r="796" spans="1:6" hidden="1" x14ac:dyDescent="0.2">
      <c r="A796" t="s">
        <v>221</v>
      </c>
      <c r="B796" t="s">
        <v>239</v>
      </c>
      <c r="C796" t="str">
        <f t="shared" si="12"/>
        <v>Norte de SantanderEL ZULIA</v>
      </c>
      <c r="D796" t="s">
        <v>222</v>
      </c>
      <c r="E796" t="s">
        <v>1356</v>
      </c>
      <c r="F796" t="s">
        <v>2247</v>
      </c>
    </row>
    <row r="797" spans="1:6" hidden="1" x14ac:dyDescent="0.2">
      <c r="A797" t="s">
        <v>221</v>
      </c>
      <c r="B797" t="s">
        <v>2460</v>
      </c>
      <c r="C797" t="str">
        <f t="shared" si="12"/>
        <v>Norte de SantanderGRAMALOTE</v>
      </c>
      <c r="D797" t="s">
        <v>222</v>
      </c>
      <c r="E797" t="s">
        <v>241</v>
      </c>
      <c r="F797" t="s">
        <v>240</v>
      </c>
    </row>
    <row r="798" spans="1:6" hidden="1" x14ac:dyDescent="0.2">
      <c r="A798" t="s">
        <v>221</v>
      </c>
      <c r="B798" t="s">
        <v>242</v>
      </c>
      <c r="C798" t="str">
        <f t="shared" si="12"/>
        <v>Norte de SantanderHACARI</v>
      </c>
      <c r="D798" t="s">
        <v>222</v>
      </c>
      <c r="E798" t="s">
        <v>2203</v>
      </c>
      <c r="F798" t="s">
        <v>243</v>
      </c>
    </row>
    <row r="799" spans="1:6" hidden="1" x14ac:dyDescent="0.2">
      <c r="A799" t="s">
        <v>221</v>
      </c>
      <c r="B799" t="s">
        <v>2469</v>
      </c>
      <c r="C799" t="str">
        <f t="shared" si="12"/>
        <v>Norte de SantanderHERRAN</v>
      </c>
      <c r="D799" t="s">
        <v>222</v>
      </c>
      <c r="E799" t="s">
        <v>2805</v>
      </c>
      <c r="F799" t="s">
        <v>244</v>
      </c>
    </row>
    <row r="800" spans="1:6" hidden="1" x14ac:dyDescent="0.2">
      <c r="A800" t="s">
        <v>221</v>
      </c>
      <c r="B800" t="s">
        <v>548</v>
      </c>
      <c r="C800" t="str">
        <f t="shared" si="12"/>
        <v>Norte de SantanderLABATECA</v>
      </c>
      <c r="D800" t="s">
        <v>222</v>
      </c>
      <c r="E800" t="s">
        <v>246</v>
      </c>
      <c r="F800" t="s">
        <v>245</v>
      </c>
    </row>
    <row r="801" spans="1:6" hidden="1" x14ac:dyDescent="0.2">
      <c r="A801" t="s">
        <v>221</v>
      </c>
      <c r="B801" t="s">
        <v>173</v>
      </c>
      <c r="C801" t="str">
        <f t="shared" si="12"/>
        <v>Norte de SantanderLA ESPERANZA</v>
      </c>
      <c r="D801" t="s">
        <v>222</v>
      </c>
      <c r="E801" t="s">
        <v>7</v>
      </c>
      <c r="F801" t="s">
        <v>247</v>
      </c>
    </row>
    <row r="802" spans="1:6" hidden="1" x14ac:dyDescent="0.2">
      <c r="A802" t="s">
        <v>221</v>
      </c>
      <c r="B802" t="s">
        <v>1098</v>
      </c>
      <c r="C802" t="str">
        <f t="shared" si="12"/>
        <v>Norte de SantanderLA PLAYA</v>
      </c>
      <c r="D802" t="s">
        <v>222</v>
      </c>
      <c r="E802" t="s">
        <v>2207</v>
      </c>
      <c r="F802" t="s">
        <v>248</v>
      </c>
    </row>
    <row r="803" spans="1:6" hidden="1" x14ac:dyDescent="0.2">
      <c r="A803" t="s">
        <v>221</v>
      </c>
      <c r="B803" t="s">
        <v>180</v>
      </c>
      <c r="C803" t="str">
        <f t="shared" si="12"/>
        <v>Norte de SantanderLOS PATIOS</v>
      </c>
      <c r="D803" t="s">
        <v>222</v>
      </c>
      <c r="E803" t="s">
        <v>2734</v>
      </c>
      <c r="F803" t="s">
        <v>249</v>
      </c>
    </row>
    <row r="804" spans="1:6" hidden="1" x14ac:dyDescent="0.2">
      <c r="A804" t="s">
        <v>221</v>
      </c>
      <c r="B804" t="s">
        <v>846</v>
      </c>
      <c r="C804" t="str">
        <f t="shared" si="12"/>
        <v>Norte de SantanderLOURDES</v>
      </c>
      <c r="D804" t="s">
        <v>222</v>
      </c>
      <c r="E804" t="s">
        <v>2208</v>
      </c>
      <c r="F804" t="s">
        <v>250</v>
      </c>
    </row>
    <row r="805" spans="1:6" hidden="1" x14ac:dyDescent="0.2">
      <c r="A805" t="s">
        <v>221</v>
      </c>
      <c r="B805" t="s">
        <v>2509</v>
      </c>
      <c r="C805" t="str">
        <f t="shared" si="12"/>
        <v>Norte de SantanderMUTISCUA</v>
      </c>
      <c r="D805" t="s">
        <v>222</v>
      </c>
      <c r="E805" t="s">
        <v>252</v>
      </c>
      <c r="F805" t="s">
        <v>251</v>
      </c>
    </row>
    <row r="806" spans="1:6" hidden="1" x14ac:dyDescent="0.2">
      <c r="A806" t="s">
        <v>221</v>
      </c>
      <c r="B806" t="s">
        <v>253</v>
      </c>
      <c r="C806" t="str">
        <f t="shared" si="12"/>
        <v>Norte de SantanderOCAÑA</v>
      </c>
      <c r="D806" t="s">
        <v>222</v>
      </c>
      <c r="E806" t="s">
        <v>2797</v>
      </c>
      <c r="F806" t="s">
        <v>2248</v>
      </c>
    </row>
    <row r="807" spans="1:6" hidden="1" x14ac:dyDescent="0.2">
      <c r="A807" t="s">
        <v>221</v>
      </c>
      <c r="B807" t="s">
        <v>598</v>
      </c>
      <c r="C807" t="str">
        <f t="shared" si="12"/>
        <v>Norte de SantanderPAMPLONA</v>
      </c>
      <c r="D807" t="s">
        <v>222</v>
      </c>
      <c r="E807" t="s">
        <v>2086</v>
      </c>
      <c r="F807" t="s">
        <v>2249</v>
      </c>
    </row>
    <row r="808" spans="1:6" hidden="1" x14ac:dyDescent="0.2">
      <c r="A808" t="s">
        <v>221</v>
      </c>
      <c r="B808" t="s">
        <v>1417</v>
      </c>
      <c r="C808" t="str">
        <f t="shared" si="12"/>
        <v>Norte de SantanderPAMPLONITA</v>
      </c>
      <c r="D808" t="s">
        <v>222</v>
      </c>
      <c r="E808" t="s">
        <v>2219</v>
      </c>
      <c r="F808" t="s">
        <v>254</v>
      </c>
    </row>
    <row r="809" spans="1:6" hidden="1" x14ac:dyDescent="0.2">
      <c r="A809" t="s">
        <v>221</v>
      </c>
      <c r="B809" t="s">
        <v>255</v>
      </c>
      <c r="C809" t="str">
        <f t="shared" si="12"/>
        <v>Norte de SantanderPUERTO SANTANDER</v>
      </c>
      <c r="D809" t="s">
        <v>222</v>
      </c>
      <c r="E809" t="s">
        <v>2127</v>
      </c>
      <c r="F809" t="s">
        <v>256</v>
      </c>
    </row>
    <row r="810" spans="1:6" hidden="1" x14ac:dyDescent="0.2">
      <c r="A810" t="s">
        <v>221</v>
      </c>
      <c r="B810" t="s">
        <v>621</v>
      </c>
      <c r="C810" t="str">
        <f t="shared" si="12"/>
        <v>Norte de SantanderRAGONVALIA</v>
      </c>
      <c r="D810" t="s">
        <v>222</v>
      </c>
      <c r="E810" t="s">
        <v>2117</v>
      </c>
      <c r="F810" t="s">
        <v>257</v>
      </c>
    </row>
    <row r="811" spans="1:6" hidden="1" x14ac:dyDescent="0.2">
      <c r="A811" t="s">
        <v>221</v>
      </c>
      <c r="B811" t="s">
        <v>2568</v>
      </c>
      <c r="C811" t="str">
        <f t="shared" si="12"/>
        <v>Norte de SantanderSALAZAR</v>
      </c>
      <c r="D811" t="s">
        <v>222</v>
      </c>
      <c r="E811" t="s">
        <v>1349</v>
      </c>
      <c r="F811" t="s">
        <v>2250</v>
      </c>
    </row>
    <row r="812" spans="1:6" hidden="1" x14ac:dyDescent="0.2">
      <c r="A812" t="s">
        <v>221</v>
      </c>
      <c r="B812" t="s">
        <v>2578</v>
      </c>
      <c r="C812" t="str">
        <f t="shared" si="12"/>
        <v>Norte de SantanderSAN CALIXTO</v>
      </c>
      <c r="D812" t="s">
        <v>222</v>
      </c>
      <c r="E812" t="s">
        <v>259</v>
      </c>
      <c r="F812" t="s">
        <v>258</v>
      </c>
    </row>
    <row r="813" spans="1:6" hidden="1" x14ac:dyDescent="0.2">
      <c r="A813" t="s">
        <v>221</v>
      </c>
      <c r="B813" t="s">
        <v>1528</v>
      </c>
      <c r="C813" t="str">
        <f t="shared" si="12"/>
        <v>Norte de SantanderSAN CAYETANO</v>
      </c>
      <c r="D813" t="s">
        <v>222</v>
      </c>
      <c r="E813" t="s">
        <v>2031</v>
      </c>
      <c r="F813" t="s">
        <v>260</v>
      </c>
    </row>
    <row r="814" spans="1:6" hidden="1" x14ac:dyDescent="0.2">
      <c r="A814" t="s">
        <v>221</v>
      </c>
      <c r="B814" t="s">
        <v>108</v>
      </c>
      <c r="C814" t="str">
        <f t="shared" si="12"/>
        <v>Norte de SantanderSANTIAGO</v>
      </c>
      <c r="D814" t="s">
        <v>222</v>
      </c>
      <c r="E814" t="s">
        <v>2220</v>
      </c>
      <c r="F814" t="s">
        <v>261</v>
      </c>
    </row>
    <row r="815" spans="1:6" hidden="1" x14ac:dyDescent="0.2">
      <c r="A815" t="s">
        <v>221</v>
      </c>
      <c r="B815" t="s">
        <v>652</v>
      </c>
      <c r="C815" t="str">
        <f t="shared" si="12"/>
        <v>Norte de SantanderSARDINATA</v>
      </c>
      <c r="D815" t="s">
        <v>222</v>
      </c>
      <c r="E815" t="s">
        <v>481</v>
      </c>
      <c r="F815" t="s">
        <v>2251</v>
      </c>
    </row>
    <row r="816" spans="1:6" hidden="1" x14ac:dyDescent="0.2">
      <c r="A816" t="s">
        <v>221</v>
      </c>
      <c r="B816" t="s">
        <v>872</v>
      </c>
      <c r="C816" t="str">
        <f t="shared" si="12"/>
        <v>Norte de SantanderSILOS</v>
      </c>
      <c r="D816" t="s">
        <v>222</v>
      </c>
      <c r="E816" t="s">
        <v>263</v>
      </c>
      <c r="F816" t="s">
        <v>262</v>
      </c>
    </row>
    <row r="817" spans="1:6" hidden="1" x14ac:dyDescent="0.2">
      <c r="A817" t="s">
        <v>221</v>
      </c>
      <c r="B817" t="s">
        <v>14</v>
      </c>
      <c r="C817" t="str">
        <f t="shared" si="12"/>
        <v>Norte de SantanderTEORAMA</v>
      </c>
      <c r="D817" t="s">
        <v>222</v>
      </c>
      <c r="E817" t="s">
        <v>2202</v>
      </c>
      <c r="F817" t="s">
        <v>264</v>
      </c>
    </row>
    <row r="818" spans="1:6" hidden="1" x14ac:dyDescent="0.2">
      <c r="A818" t="s">
        <v>221</v>
      </c>
      <c r="B818" t="s">
        <v>1544</v>
      </c>
      <c r="C818" t="str">
        <f t="shared" si="12"/>
        <v>Norte de SantanderTIBU</v>
      </c>
      <c r="D818" t="s">
        <v>222</v>
      </c>
      <c r="E818" t="s">
        <v>1354</v>
      </c>
      <c r="F818" t="s">
        <v>265</v>
      </c>
    </row>
    <row r="819" spans="1:6" hidden="1" x14ac:dyDescent="0.2">
      <c r="A819" t="s">
        <v>221</v>
      </c>
      <c r="B819" t="s">
        <v>711</v>
      </c>
      <c r="C819" t="str">
        <f t="shared" si="12"/>
        <v>Norte de SantanderTOLEDO</v>
      </c>
      <c r="D819" t="s">
        <v>222</v>
      </c>
      <c r="E819" t="s">
        <v>2091</v>
      </c>
      <c r="F819" t="s">
        <v>266</v>
      </c>
    </row>
    <row r="820" spans="1:6" hidden="1" x14ac:dyDescent="0.2">
      <c r="A820" t="s">
        <v>221</v>
      </c>
      <c r="B820" t="s">
        <v>1197</v>
      </c>
      <c r="C820" t="str">
        <f t="shared" si="12"/>
        <v>Norte de SantanderVILLA CARO</v>
      </c>
      <c r="D820" t="s">
        <v>222</v>
      </c>
      <c r="E820" t="s">
        <v>2840</v>
      </c>
      <c r="F820" t="s">
        <v>267</v>
      </c>
    </row>
    <row r="821" spans="1:6" hidden="1" x14ac:dyDescent="0.2">
      <c r="A821" t="s">
        <v>221</v>
      </c>
      <c r="B821" t="s">
        <v>411</v>
      </c>
      <c r="C821" t="str">
        <f t="shared" si="12"/>
        <v>Norte de SantanderVILLA DEL ROSARIO</v>
      </c>
      <c r="D821" t="s">
        <v>222</v>
      </c>
      <c r="E821" t="s">
        <v>2733</v>
      </c>
      <c r="F821" t="s">
        <v>2252</v>
      </c>
    </row>
    <row r="822" spans="1:6" hidden="1" x14ac:dyDescent="0.2">
      <c r="A822" t="s">
        <v>268</v>
      </c>
      <c r="B822" t="s">
        <v>2321</v>
      </c>
      <c r="C822" t="str">
        <f t="shared" si="12"/>
        <v>QuindioARMENIA</v>
      </c>
      <c r="D822" t="s">
        <v>269</v>
      </c>
      <c r="E822" t="s">
        <v>2776</v>
      </c>
      <c r="F822" t="s">
        <v>2253</v>
      </c>
    </row>
    <row r="823" spans="1:6" hidden="1" x14ac:dyDescent="0.2">
      <c r="A823" t="s">
        <v>268</v>
      </c>
      <c r="B823" t="s">
        <v>270</v>
      </c>
      <c r="C823" t="str">
        <f t="shared" si="12"/>
        <v>QuindioBUENAVISTA</v>
      </c>
      <c r="D823" t="s">
        <v>269</v>
      </c>
      <c r="E823" t="s">
        <v>1325</v>
      </c>
      <c r="F823" t="s">
        <v>271</v>
      </c>
    </row>
    <row r="824" spans="1:6" hidden="1" x14ac:dyDescent="0.2">
      <c r="A824" t="s">
        <v>268</v>
      </c>
      <c r="B824" t="s">
        <v>829</v>
      </c>
      <c r="C824" t="str">
        <f t="shared" si="12"/>
        <v>QuindioCALARCA</v>
      </c>
      <c r="D824" t="s">
        <v>269</v>
      </c>
      <c r="E824" t="s">
        <v>2198</v>
      </c>
      <c r="F824" t="s">
        <v>2254</v>
      </c>
    </row>
    <row r="825" spans="1:6" hidden="1" x14ac:dyDescent="0.2">
      <c r="A825" t="s">
        <v>268</v>
      </c>
      <c r="B825" t="s">
        <v>2416</v>
      </c>
      <c r="C825" t="str">
        <f t="shared" si="12"/>
        <v>QuindioCIRCASIA</v>
      </c>
      <c r="D825" t="s">
        <v>269</v>
      </c>
      <c r="E825" t="s">
        <v>2078</v>
      </c>
      <c r="F825" t="s">
        <v>272</v>
      </c>
    </row>
    <row r="826" spans="1:6" hidden="1" x14ac:dyDescent="0.2">
      <c r="A826" t="s">
        <v>268</v>
      </c>
      <c r="B826" t="s">
        <v>2428</v>
      </c>
      <c r="C826" t="str">
        <f t="shared" si="12"/>
        <v>QuindioCORDOBA</v>
      </c>
      <c r="D826" t="s">
        <v>269</v>
      </c>
      <c r="E826" t="s">
        <v>2718</v>
      </c>
      <c r="F826" t="s">
        <v>2255</v>
      </c>
    </row>
    <row r="827" spans="1:6" hidden="1" x14ac:dyDescent="0.2">
      <c r="A827" t="s">
        <v>268</v>
      </c>
      <c r="B827" t="s">
        <v>1643</v>
      </c>
      <c r="C827" t="str">
        <f t="shared" si="12"/>
        <v>QuindioFILANDIA</v>
      </c>
      <c r="D827" t="s">
        <v>269</v>
      </c>
      <c r="E827" t="s">
        <v>476</v>
      </c>
      <c r="F827" t="s">
        <v>273</v>
      </c>
    </row>
    <row r="828" spans="1:6" hidden="1" x14ac:dyDescent="0.2">
      <c r="A828" t="s">
        <v>268</v>
      </c>
      <c r="B828" t="s">
        <v>274</v>
      </c>
      <c r="C828" t="str">
        <f t="shared" si="12"/>
        <v>QuindioGENOVA</v>
      </c>
      <c r="D828" t="s">
        <v>269</v>
      </c>
      <c r="E828" t="s">
        <v>504</v>
      </c>
      <c r="F828" t="s">
        <v>2256</v>
      </c>
    </row>
    <row r="829" spans="1:6" hidden="1" x14ac:dyDescent="0.2">
      <c r="A829" t="s">
        <v>268</v>
      </c>
      <c r="B829" t="s">
        <v>553</v>
      </c>
      <c r="C829" t="str">
        <f t="shared" si="12"/>
        <v>QuindioLA TEBAIDA</v>
      </c>
      <c r="D829" t="s">
        <v>269</v>
      </c>
      <c r="E829" t="s">
        <v>2768</v>
      </c>
      <c r="F829" t="s">
        <v>2257</v>
      </c>
    </row>
    <row r="830" spans="1:6" hidden="1" x14ac:dyDescent="0.2">
      <c r="A830" t="s">
        <v>268</v>
      </c>
      <c r="B830" t="s">
        <v>275</v>
      </c>
      <c r="C830" t="str">
        <f t="shared" si="12"/>
        <v>QuindioMONTENEGRO</v>
      </c>
      <c r="D830" t="s">
        <v>269</v>
      </c>
      <c r="E830" t="s">
        <v>2173</v>
      </c>
      <c r="F830" t="s">
        <v>276</v>
      </c>
    </row>
    <row r="831" spans="1:6" hidden="1" x14ac:dyDescent="0.2">
      <c r="A831" t="s">
        <v>268</v>
      </c>
      <c r="B831" t="s">
        <v>858</v>
      </c>
      <c r="C831" t="str">
        <f t="shared" si="12"/>
        <v>QuindioPIJAO</v>
      </c>
      <c r="D831" t="s">
        <v>269</v>
      </c>
      <c r="E831" t="s">
        <v>2090</v>
      </c>
      <c r="F831" t="s">
        <v>2258</v>
      </c>
    </row>
    <row r="832" spans="1:6" hidden="1" x14ac:dyDescent="0.2">
      <c r="A832" t="s">
        <v>268</v>
      </c>
      <c r="B832" t="s">
        <v>1139</v>
      </c>
      <c r="C832" t="str">
        <f t="shared" si="12"/>
        <v>QuindioQUIMBAYA</v>
      </c>
      <c r="D832" t="s">
        <v>269</v>
      </c>
      <c r="E832" t="s">
        <v>2764</v>
      </c>
      <c r="F832" t="s">
        <v>2259</v>
      </c>
    </row>
    <row r="833" spans="1:6" hidden="1" x14ac:dyDescent="0.2">
      <c r="A833" t="s">
        <v>268</v>
      </c>
      <c r="B833" t="s">
        <v>2588</v>
      </c>
      <c r="C833" t="str">
        <f t="shared" si="12"/>
        <v>QuindioSALENTO</v>
      </c>
      <c r="D833" t="s">
        <v>269</v>
      </c>
      <c r="E833" t="s">
        <v>2691</v>
      </c>
      <c r="F833" t="s">
        <v>277</v>
      </c>
    </row>
    <row r="834" spans="1:6" hidden="1" x14ac:dyDescent="0.2">
      <c r="A834" t="s">
        <v>278</v>
      </c>
      <c r="B834" t="s">
        <v>2321</v>
      </c>
      <c r="C834" t="str">
        <f t="shared" si="12"/>
        <v>RisaraldaPEREIRA</v>
      </c>
      <c r="D834" t="s">
        <v>279</v>
      </c>
      <c r="E834" t="s">
        <v>1347</v>
      </c>
      <c r="F834" t="s">
        <v>2260</v>
      </c>
    </row>
    <row r="835" spans="1:6" hidden="1" x14ac:dyDescent="0.2">
      <c r="A835" t="s">
        <v>278</v>
      </c>
      <c r="B835" t="s">
        <v>2353</v>
      </c>
      <c r="C835" t="str">
        <f t="shared" ref="C835:C898" si="13">D835&amp;E835</f>
        <v>RisaraldaAPIA</v>
      </c>
      <c r="D835" t="s">
        <v>279</v>
      </c>
      <c r="E835" t="s">
        <v>2037</v>
      </c>
      <c r="F835" t="s">
        <v>280</v>
      </c>
    </row>
    <row r="836" spans="1:6" hidden="1" x14ac:dyDescent="0.2">
      <c r="A836" t="s">
        <v>278</v>
      </c>
      <c r="B836" t="s">
        <v>824</v>
      </c>
      <c r="C836" t="str">
        <f t="shared" si="13"/>
        <v>RisaraldaBALBOA</v>
      </c>
      <c r="D836" t="s">
        <v>279</v>
      </c>
      <c r="E836" t="s">
        <v>2216</v>
      </c>
      <c r="F836" t="s">
        <v>281</v>
      </c>
    </row>
    <row r="837" spans="1:6" hidden="1" x14ac:dyDescent="0.2">
      <c r="A837" t="s">
        <v>278</v>
      </c>
      <c r="B837" t="s">
        <v>2368</v>
      </c>
      <c r="C837" t="str">
        <f t="shared" si="13"/>
        <v>RisaraldaBELEN DE UMBRIA</v>
      </c>
      <c r="D837" t="s">
        <v>279</v>
      </c>
      <c r="E837" t="s">
        <v>2069</v>
      </c>
      <c r="F837" t="s">
        <v>282</v>
      </c>
    </row>
    <row r="838" spans="1:6" hidden="1" x14ac:dyDescent="0.2">
      <c r="A838" t="s">
        <v>278</v>
      </c>
      <c r="B838" t="s">
        <v>425</v>
      </c>
      <c r="C838" t="str">
        <f t="shared" si="13"/>
        <v>RisaraldaDOSQUEBRADAS</v>
      </c>
      <c r="D838" t="s">
        <v>279</v>
      </c>
      <c r="E838" t="s">
        <v>284</v>
      </c>
      <c r="F838" t="s">
        <v>283</v>
      </c>
    </row>
    <row r="839" spans="1:6" hidden="1" x14ac:dyDescent="0.2">
      <c r="A839" t="s">
        <v>278</v>
      </c>
      <c r="B839" t="s">
        <v>2464</v>
      </c>
      <c r="C839" t="str">
        <f t="shared" si="13"/>
        <v>RisaraldaGUATICA</v>
      </c>
      <c r="D839" t="s">
        <v>279</v>
      </c>
      <c r="E839" t="s">
        <v>2745</v>
      </c>
      <c r="F839" t="s">
        <v>285</v>
      </c>
    </row>
    <row r="840" spans="1:6" hidden="1" x14ac:dyDescent="0.2">
      <c r="A840" t="s">
        <v>278</v>
      </c>
      <c r="B840" t="s">
        <v>916</v>
      </c>
      <c r="C840" t="str">
        <f t="shared" si="13"/>
        <v>RisaraldaLA CELIA</v>
      </c>
      <c r="D840" t="s">
        <v>279</v>
      </c>
      <c r="E840" t="s">
        <v>2073</v>
      </c>
      <c r="F840" t="s">
        <v>2017</v>
      </c>
    </row>
    <row r="841" spans="1:6" hidden="1" x14ac:dyDescent="0.2">
      <c r="A841" t="s">
        <v>278</v>
      </c>
      <c r="B841" t="s">
        <v>2492</v>
      </c>
      <c r="C841" t="str">
        <f t="shared" si="13"/>
        <v>RisaraldaLA VIRGINIA</v>
      </c>
      <c r="D841" t="s">
        <v>279</v>
      </c>
      <c r="E841" t="s">
        <v>2106</v>
      </c>
      <c r="F841" t="s">
        <v>286</v>
      </c>
    </row>
    <row r="842" spans="1:6" hidden="1" x14ac:dyDescent="0.2">
      <c r="A842" t="s">
        <v>278</v>
      </c>
      <c r="B842" t="s">
        <v>2500</v>
      </c>
      <c r="C842" t="str">
        <f t="shared" si="13"/>
        <v>RisaraldaMARSELLA</v>
      </c>
      <c r="D842" t="s">
        <v>279</v>
      </c>
      <c r="E842" t="s">
        <v>2039</v>
      </c>
      <c r="F842" t="s">
        <v>2018</v>
      </c>
    </row>
    <row r="843" spans="1:6" hidden="1" x14ac:dyDescent="0.2">
      <c r="A843" t="s">
        <v>278</v>
      </c>
      <c r="B843" t="s">
        <v>287</v>
      </c>
      <c r="C843" t="str">
        <f t="shared" si="13"/>
        <v>RisaraldaMISTRATO</v>
      </c>
      <c r="D843" t="s">
        <v>279</v>
      </c>
      <c r="E843" t="s">
        <v>2038</v>
      </c>
      <c r="F843" t="s">
        <v>288</v>
      </c>
    </row>
    <row r="844" spans="1:6" hidden="1" x14ac:dyDescent="0.2">
      <c r="A844" t="s">
        <v>278</v>
      </c>
      <c r="B844" t="s">
        <v>618</v>
      </c>
      <c r="C844" t="str">
        <f t="shared" si="13"/>
        <v>RisaraldaPUEBLO RICO</v>
      </c>
      <c r="D844" t="s">
        <v>279</v>
      </c>
      <c r="E844" t="s">
        <v>1256</v>
      </c>
      <c r="F844" t="s">
        <v>289</v>
      </c>
    </row>
    <row r="845" spans="1:6" hidden="1" x14ac:dyDescent="0.2">
      <c r="A845" t="s">
        <v>278</v>
      </c>
      <c r="B845" t="s">
        <v>1139</v>
      </c>
      <c r="C845" t="str">
        <f t="shared" si="13"/>
        <v>RisaraldaQUINCHIA</v>
      </c>
      <c r="D845" t="s">
        <v>279</v>
      </c>
      <c r="E845" t="s">
        <v>1370</v>
      </c>
      <c r="F845" t="s">
        <v>290</v>
      </c>
    </row>
    <row r="846" spans="1:6" hidden="1" x14ac:dyDescent="0.2">
      <c r="A846" t="s">
        <v>278</v>
      </c>
      <c r="B846" t="s">
        <v>996</v>
      </c>
      <c r="C846" t="str">
        <f t="shared" si="13"/>
        <v>RisaraldaSANTA ROSA DE CABAL</v>
      </c>
      <c r="D846" t="s">
        <v>279</v>
      </c>
      <c r="E846" t="s">
        <v>2790</v>
      </c>
      <c r="F846" t="s">
        <v>2019</v>
      </c>
    </row>
    <row r="847" spans="1:6" hidden="1" x14ac:dyDescent="0.2">
      <c r="A847" t="s">
        <v>278</v>
      </c>
      <c r="B847" t="s">
        <v>206</v>
      </c>
      <c r="C847" t="str">
        <f t="shared" si="13"/>
        <v>RisaraldaSANTUARIO</v>
      </c>
      <c r="D847" t="s">
        <v>279</v>
      </c>
      <c r="E847" t="s">
        <v>2752</v>
      </c>
      <c r="F847" t="s">
        <v>291</v>
      </c>
    </row>
    <row r="848" spans="1:6" hidden="1" x14ac:dyDescent="0.2">
      <c r="A848" t="s">
        <v>292</v>
      </c>
      <c r="B848" t="s">
        <v>2321</v>
      </c>
      <c r="C848" t="str">
        <f t="shared" si="13"/>
        <v>SantanderBUCARAMANGA</v>
      </c>
      <c r="D848" t="s">
        <v>293</v>
      </c>
      <c r="E848" t="s">
        <v>2673</v>
      </c>
      <c r="F848" t="s">
        <v>2020</v>
      </c>
    </row>
    <row r="849" spans="1:6" hidden="1" x14ac:dyDescent="0.2">
      <c r="A849" t="s">
        <v>292</v>
      </c>
      <c r="B849" t="s">
        <v>737</v>
      </c>
      <c r="C849" t="str">
        <f t="shared" si="13"/>
        <v>SantanderAGUADA</v>
      </c>
      <c r="D849" t="s">
        <v>293</v>
      </c>
      <c r="E849" t="s">
        <v>295</v>
      </c>
      <c r="F849" t="s">
        <v>294</v>
      </c>
    </row>
    <row r="850" spans="1:6" hidden="1" x14ac:dyDescent="0.2">
      <c r="A850" t="s">
        <v>292</v>
      </c>
      <c r="B850" t="s">
        <v>23</v>
      </c>
      <c r="C850" t="str">
        <f t="shared" si="13"/>
        <v>SantanderALBANIA</v>
      </c>
      <c r="D850" t="s">
        <v>293</v>
      </c>
      <c r="E850" t="s">
        <v>787</v>
      </c>
      <c r="F850" t="s">
        <v>296</v>
      </c>
    </row>
    <row r="851" spans="1:6" hidden="1" x14ac:dyDescent="0.2">
      <c r="A851" t="s">
        <v>292</v>
      </c>
      <c r="B851" t="s">
        <v>2356</v>
      </c>
      <c r="C851" t="str">
        <f t="shared" si="13"/>
        <v>SantanderARATOCA</v>
      </c>
      <c r="D851" t="s">
        <v>293</v>
      </c>
      <c r="E851" t="s">
        <v>298</v>
      </c>
      <c r="F851" t="s">
        <v>297</v>
      </c>
    </row>
    <row r="852" spans="1:6" hidden="1" x14ac:dyDescent="0.2">
      <c r="A852" t="s">
        <v>292</v>
      </c>
      <c r="B852" t="s">
        <v>1219</v>
      </c>
      <c r="C852" t="str">
        <f t="shared" si="13"/>
        <v>SantanderBARBOSA</v>
      </c>
      <c r="D852" t="s">
        <v>293</v>
      </c>
      <c r="E852" t="s">
        <v>1378</v>
      </c>
      <c r="F852" t="s">
        <v>299</v>
      </c>
    </row>
    <row r="853" spans="1:6" hidden="1" x14ac:dyDescent="0.2">
      <c r="A853" t="s">
        <v>292</v>
      </c>
      <c r="B853" t="s">
        <v>2363</v>
      </c>
      <c r="C853" t="str">
        <f t="shared" si="13"/>
        <v>SantanderBARICHARA</v>
      </c>
      <c r="D853" t="s">
        <v>293</v>
      </c>
      <c r="E853" t="s">
        <v>301</v>
      </c>
      <c r="F853" t="s">
        <v>300</v>
      </c>
    </row>
    <row r="854" spans="1:6" hidden="1" x14ac:dyDescent="0.2">
      <c r="A854" t="s">
        <v>292</v>
      </c>
      <c r="B854" t="s">
        <v>302</v>
      </c>
      <c r="C854" t="str">
        <f t="shared" si="13"/>
        <v>SantanderBARRANCABERMEJA</v>
      </c>
      <c r="D854" t="s">
        <v>293</v>
      </c>
      <c r="E854" t="s">
        <v>2684</v>
      </c>
      <c r="F854" t="s">
        <v>303</v>
      </c>
    </row>
    <row r="855" spans="1:6" hidden="1" x14ac:dyDescent="0.2">
      <c r="A855" t="s">
        <v>292</v>
      </c>
      <c r="B855" t="s">
        <v>1572</v>
      </c>
      <c r="C855" t="str">
        <f t="shared" si="13"/>
        <v>SantanderBETULIA</v>
      </c>
      <c r="D855" t="s">
        <v>293</v>
      </c>
      <c r="E855" t="s">
        <v>2695</v>
      </c>
      <c r="F855" t="s">
        <v>304</v>
      </c>
    </row>
    <row r="856" spans="1:6" hidden="1" x14ac:dyDescent="0.2">
      <c r="A856" t="s">
        <v>292</v>
      </c>
      <c r="B856" t="s">
        <v>2374</v>
      </c>
      <c r="C856" t="str">
        <f t="shared" si="13"/>
        <v>SantanderBOLIVAR</v>
      </c>
      <c r="D856" t="s">
        <v>293</v>
      </c>
      <c r="E856" t="s">
        <v>2777</v>
      </c>
      <c r="F856" t="s">
        <v>305</v>
      </c>
    </row>
    <row r="857" spans="1:6" hidden="1" x14ac:dyDescent="0.2">
      <c r="A857" t="s">
        <v>292</v>
      </c>
      <c r="B857" t="s">
        <v>306</v>
      </c>
      <c r="C857" t="str">
        <f t="shared" si="13"/>
        <v>SantanderCABRERA</v>
      </c>
      <c r="D857" t="s">
        <v>293</v>
      </c>
      <c r="E857" t="s">
        <v>2799</v>
      </c>
      <c r="F857" t="s">
        <v>307</v>
      </c>
    </row>
    <row r="858" spans="1:6" hidden="1" x14ac:dyDescent="0.2">
      <c r="A858" t="s">
        <v>292</v>
      </c>
      <c r="B858" t="s">
        <v>25</v>
      </c>
      <c r="C858" t="str">
        <f t="shared" si="13"/>
        <v>SantanderCALIFORNIA</v>
      </c>
      <c r="D858" t="s">
        <v>293</v>
      </c>
      <c r="E858" t="s">
        <v>522</v>
      </c>
      <c r="F858" t="s">
        <v>2021</v>
      </c>
    </row>
    <row r="859" spans="1:6" hidden="1" x14ac:dyDescent="0.2">
      <c r="A859" t="s">
        <v>292</v>
      </c>
      <c r="B859" t="s">
        <v>2401</v>
      </c>
      <c r="C859" t="str">
        <f t="shared" si="13"/>
        <v>SantanderCAPITANEJO</v>
      </c>
      <c r="D859" t="s">
        <v>293</v>
      </c>
      <c r="E859" t="s">
        <v>309</v>
      </c>
      <c r="F859" t="s">
        <v>308</v>
      </c>
    </row>
    <row r="860" spans="1:6" hidden="1" x14ac:dyDescent="0.2">
      <c r="A860" t="s">
        <v>292</v>
      </c>
      <c r="B860" t="s">
        <v>310</v>
      </c>
      <c r="C860" t="str">
        <f t="shared" si="13"/>
        <v>SantanderCARCASI</v>
      </c>
      <c r="D860" t="s">
        <v>293</v>
      </c>
      <c r="E860" t="s">
        <v>312</v>
      </c>
      <c r="F860" t="s">
        <v>311</v>
      </c>
    </row>
    <row r="861" spans="1:6" hidden="1" x14ac:dyDescent="0.2">
      <c r="A861" t="s">
        <v>292</v>
      </c>
      <c r="B861" t="s">
        <v>1474</v>
      </c>
      <c r="C861" t="str">
        <f t="shared" si="13"/>
        <v>SantanderCEPITA</v>
      </c>
      <c r="D861" t="s">
        <v>293</v>
      </c>
      <c r="E861" t="s">
        <v>314</v>
      </c>
      <c r="F861" t="s">
        <v>313</v>
      </c>
    </row>
    <row r="862" spans="1:6" hidden="1" x14ac:dyDescent="0.2">
      <c r="A862" t="s">
        <v>292</v>
      </c>
      <c r="B862" t="s">
        <v>1591</v>
      </c>
      <c r="C862" t="str">
        <f t="shared" si="13"/>
        <v>SantanderCERRITO</v>
      </c>
      <c r="D862" t="s">
        <v>293</v>
      </c>
      <c r="E862" t="s">
        <v>2841</v>
      </c>
      <c r="F862" t="s">
        <v>315</v>
      </c>
    </row>
    <row r="863" spans="1:6" hidden="1" x14ac:dyDescent="0.2">
      <c r="A863" t="s">
        <v>292</v>
      </c>
      <c r="B863" t="s">
        <v>316</v>
      </c>
      <c r="C863" t="str">
        <f t="shared" si="13"/>
        <v>SantanderCHARALA</v>
      </c>
      <c r="D863" t="s">
        <v>293</v>
      </c>
      <c r="E863" t="s">
        <v>318</v>
      </c>
      <c r="F863" t="s">
        <v>317</v>
      </c>
    </row>
    <row r="864" spans="1:6" hidden="1" x14ac:dyDescent="0.2">
      <c r="A864" t="s">
        <v>292</v>
      </c>
      <c r="B864" t="s">
        <v>319</v>
      </c>
      <c r="C864" t="str">
        <f t="shared" si="13"/>
        <v>SantanderCHARTA</v>
      </c>
      <c r="D864" t="s">
        <v>293</v>
      </c>
      <c r="E864" t="s">
        <v>2795</v>
      </c>
      <c r="F864" t="s">
        <v>320</v>
      </c>
    </row>
    <row r="865" spans="1:6" hidden="1" x14ac:dyDescent="0.2">
      <c r="A865" t="s">
        <v>292</v>
      </c>
      <c r="B865" t="s">
        <v>1596</v>
      </c>
      <c r="C865" t="str">
        <f t="shared" si="13"/>
        <v>SantanderCHIMA</v>
      </c>
      <c r="D865" t="s">
        <v>293</v>
      </c>
      <c r="E865" t="s">
        <v>953</v>
      </c>
      <c r="F865" t="s">
        <v>321</v>
      </c>
    </row>
    <row r="866" spans="1:6" hidden="1" x14ac:dyDescent="0.2">
      <c r="A866" t="s">
        <v>292</v>
      </c>
      <c r="B866" t="s">
        <v>322</v>
      </c>
      <c r="C866" t="str">
        <f t="shared" si="13"/>
        <v>SantanderCHIPATA</v>
      </c>
      <c r="D866" t="s">
        <v>293</v>
      </c>
      <c r="E866" t="s">
        <v>324</v>
      </c>
      <c r="F866" t="s">
        <v>323</v>
      </c>
    </row>
    <row r="867" spans="1:6" hidden="1" x14ac:dyDescent="0.2">
      <c r="A867" t="s">
        <v>292</v>
      </c>
      <c r="B867" t="s">
        <v>2416</v>
      </c>
      <c r="C867" t="str">
        <f t="shared" si="13"/>
        <v>SantanderCIMITARRA</v>
      </c>
      <c r="D867" t="s">
        <v>293</v>
      </c>
      <c r="E867" t="s">
        <v>2040</v>
      </c>
      <c r="F867" t="s">
        <v>325</v>
      </c>
    </row>
    <row r="868" spans="1:6" hidden="1" x14ac:dyDescent="0.2">
      <c r="A868" t="s">
        <v>292</v>
      </c>
      <c r="B868" t="s">
        <v>130</v>
      </c>
      <c r="C868" t="str">
        <f t="shared" si="13"/>
        <v>SantanderCONCEPCION</v>
      </c>
      <c r="D868" t="s">
        <v>293</v>
      </c>
      <c r="E868" t="s">
        <v>2424</v>
      </c>
      <c r="F868" t="s">
        <v>326</v>
      </c>
    </row>
    <row r="869" spans="1:6" hidden="1" x14ac:dyDescent="0.2">
      <c r="A869" t="s">
        <v>292</v>
      </c>
      <c r="B869" t="s">
        <v>2425</v>
      </c>
      <c r="C869" t="str">
        <f t="shared" si="13"/>
        <v>SantanderCONFINES</v>
      </c>
      <c r="D869" t="s">
        <v>293</v>
      </c>
      <c r="E869" t="s">
        <v>328</v>
      </c>
      <c r="F869" t="s">
        <v>327</v>
      </c>
    </row>
    <row r="870" spans="1:6" hidden="1" x14ac:dyDescent="0.2">
      <c r="A870" t="s">
        <v>292</v>
      </c>
      <c r="B870" t="s">
        <v>329</v>
      </c>
      <c r="C870" t="str">
        <f t="shared" si="13"/>
        <v>SantanderCONTRATACION</v>
      </c>
      <c r="D870" t="s">
        <v>293</v>
      </c>
      <c r="E870" t="s">
        <v>331</v>
      </c>
      <c r="F870" t="s">
        <v>330</v>
      </c>
    </row>
    <row r="871" spans="1:6" hidden="1" x14ac:dyDescent="0.2">
      <c r="A871" t="s">
        <v>292</v>
      </c>
      <c r="B871" t="s">
        <v>332</v>
      </c>
      <c r="C871" t="str">
        <f t="shared" si="13"/>
        <v>SantanderCOROMORO</v>
      </c>
      <c r="D871" t="s">
        <v>293</v>
      </c>
      <c r="E871" t="s">
        <v>334</v>
      </c>
      <c r="F871" t="s">
        <v>333</v>
      </c>
    </row>
    <row r="872" spans="1:6" hidden="1" x14ac:dyDescent="0.2">
      <c r="A872" t="s">
        <v>292</v>
      </c>
      <c r="B872" t="s">
        <v>335</v>
      </c>
      <c r="C872" t="str">
        <f t="shared" si="13"/>
        <v>SantanderCURITI</v>
      </c>
      <c r="D872" t="s">
        <v>293</v>
      </c>
      <c r="E872" t="s">
        <v>337</v>
      </c>
      <c r="F872" t="s">
        <v>336</v>
      </c>
    </row>
    <row r="873" spans="1:6" hidden="1" x14ac:dyDescent="0.2">
      <c r="A873" t="s">
        <v>292</v>
      </c>
      <c r="B873" t="s">
        <v>338</v>
      </c>
      <c r="C873" t="str">
        <f t="shared" si="13"/>
        <v>SantanderEL CARMEN DE CHUCURI</v>
      </c>
      <c r="D873" t="s">
        <v>293</v>
      </c>
      <c r="E873" t="s">
        <v>340</v>
      </c>
      <c r="F873" t="s">
        <v>339</v>
      </c>
    </row>
    <row r="874" spans="1:6" hidden="1" x14ac:dyDescent="0.2">
      <c r="A874" t="s">
        <v>292</v>
      </c>
      <c r="B874" t="s">
        <v>1040</v>
      </c>
      <c r="C874" t="str">
        <f t="shared" si="13"/>
        <v>SantanderEL GUACAMAYO</v>
      </c>
      <c r="D874" t="s">
        <v>293</v>
      </c>
      <c r="E874" t="s">
        <v>342</v>
      </c>
      <c r="F874" t="s">
        <v>341</v>
      </c>
    </row>
    <row r="875" spans="1:6" hidden="1" x14ac:dyDescent="0.2">
      <c r="A875" t="s">
        <v>292</v>
      </c>
      <c r="B875" t="s">
        <v>2439</v>
      </c>
      <c r="C875" t="str">
        <f t="shared" si="13"/>
        <v>SantanderEL PEÑON</v>
      </c>
      <c r="D875" t="s">
        <v>293</v>
      </c>
      <c r="E875" t="s">
        <v>2742</v>
      </c>
      <c r="F875" t="s">
        <v>343</v>
      </c>
    </row>
    <row r="876" spans="1:6" hidden="1" x14ac:dyDescent="0.2">
      <c r="A876" t="s">
        <v>292</v>
      </c>
      <c r="B876" t="s">
        <v>344</v>
      </c>
      <c r="C876" t="str">
        <f t="shared" si="13"/>
        <v>SantanderEL PLAYON</v>
      </c>
      <c r="D876" t="s">
        <v>293</v>
      </c>
      <c r="E876" t="s">
        <v>346</v>
      </c>
      <c r="F876" t="s">
        <v>345</v>
      </c>
    </row>
    <row r="877" spans="1:6" hidden="1" x14ac:dyDescent="0.2">
      <c r="A877" t="s">
        <v>292</v>
      </c>
      <c r="B877" t="s">
        <v>2442</v>
      </c>
      <c r="C877" t="str">
        <f t="shared" si="13"/>
        <v>SantanderENCINO</v>
      </c>
      <c r="D877" t="s">
        <v>293</v>
      </c>
      <c r="E877" t="s">
        <v>348</v>
      </c>
      <c r="F877" t="s">
        <v>347</v>
      </c>
    </row>
    <row r="878" spans="1:6" hidden="1" x14ac:dyDescent="0.2">
      <c r="A878" t="s">
        <v>292</v>
      </c>
      <c r="B878" t="s">
        <v>2445</v>
      </c>
      <c r="C878" t="str">
        <f t="shared" si="13"/>
        <v>SantanderENCISO</v>
      </c>
      <c r="D878" t="s">
        <v>293</v>
      </c>
      <c r="E878" t="s">
        <v>350</v>
      </c>
      <c r="F878" t="s">
        <v>349</v>
      </c>
    </row>
    <row r="879" spans="1:6" hidden="1" x14ac:dyDescent="0.2">
      <c r="A879" t="s">
        <v>292</v>
      </c>
      <c r="B879" t="s">
        <v>351</v>
      </c>
      <c r="C879" t="str">
        <f t="shared" si="13"/>
        <v>SantanderFLORIAN</v>
      </c>
      <c r="D879" t="s">
        <v>293</v>
      </c>
      <c r="E879" t="s">
        <v>2842</v>
      </c>
      <c r="F879" t="s">
        <v>352</v>
      </c>
    </row>
    <row r="880" spans="1:6" hidden="1" x14ac:dyDescent="0.2">
      <c r="A880" t="s">
        <v>292</v>
      </c>
      <c r="B880" t="s">
        <v>1646</v>
      </c>
      <c r="C880" t="str">
        <f t="shared" si="13"/>
        <v>SantanderFLORIDABLANCA</v>
      </c>
      <c r="D880" t="s">
        <v>293</v>
      </c>
      <c r="E880" t="s">
        <v>2197</v>
      </c>
      <c r="F880" t="s">
        <v>353</v>
      </c>
    </row>
    <row r="881" spans="1:6" hidden="1" x14ac:dyDescent="0.2">
      <c r="A881" t="s">
        <v>292</v>
      </c>
      <c r="B881" t="s">
        <v>1402</v>
      </c>
      <c r="C881" t="str">
        <f t="shared" si="13"/>
        <v>SantanderGALAN</v>
      </c>
      <c r="D881" t="s">
        <v>293</v>
      </c>
      <c r="E881" t="s">
        <v>355</v>
      </c>
      <c r="F881" t="s">
        <v>354</v>
      </c>
    </row>
    <row r="882" spans="1:6" hidden="1" x14ac:dyDescent="0.2">
      <c r="A882" t="s">
        <v>292</v>
      </c>
      <c r="B882" t="s">
        <v>30</v>
      </c>
      <c r="C882" t="str">
        <f t="shared" si="13"/>
        <v>SantanderGAMBITA</v>
      </c>
      <c r="D882" t="s">
        <v>293</v>
      </c>
      <c r="E882" t="s">
        <v>2147</v>
      </c>
      <c r="F882" t="s">
        <v>356</v>
      </c>
    </row>
    <row r="883" spans="1:6" hidden="1" x14ac:dyDescent="0.2">
      <c r="A883" t="s">
        <v>292</v>
      </c>
      <c r="B883" t="s">
        <v>1069</v>
      </c>
      <c r="C883" t="str">
        <f t="shared" si="13"/>
        <v>SantanderGIRON</v>
      </c>
      <c r="D883" t="s">
        <v>293</v>
      </c>
      <c r="E883" t="s">
        <v>2814</v>
      </c>
      <c r="F883" t="s">
        <v>357</v>
      </c>
    </row>
    <row r="884" spans="1:6" hidden="1" x14ac:dyDescent="0.2">
      <c r="A884" t="s">
        <v>292</v>
      </c>
      <c r="B884" t="s">
        <v>2464</v>
      </c>
      <c r="C884" t="str">
        <f t="shared" si="13"/>
        <v>SantanderGUACA</v>
      </c>
      <c r="D884" t="s">
        <v>293</v>
      </c>
      <c r="E884" t="s">
        <v>359</v>
      </c>
      <c r="F884" t="s">
        <v>358</v>
      </c>
    </row>
    <row r="885" spans="1:6" hidden="1" x14ac:dyDescent="0.2">
      <c r="A885" t="s">
        <v>292</v>
      </c>
      <c r="B885" t="s">
        <v>1074</v>
      </c>
      <c r="C885" t="str">
        <f t="shared" si="13"/>
        <v>SantanderGUADALUPE</v>
      </c>
      <c r="D885" t="s">
        <v>293</v>
      </c>
      <c r="E885" t="s">
        <v>2054</v>
      </c>
      <c r="F885" t="s">
        <v>360</v>
      </c>
    </row>
    <row r="886" spans="1:6" hidden="1" x14ac:dyDescent="0.2">
      <c r="A886" t="s">
        <v>292</v>
      </c>
      <c r="B886" t="s">
        <v>534</v>
      </c>
      <c r="C886" t="str">
        <f t="shared" si="13"/>
        <v>SantanderGUAPOTA</v>
      </c>
      <c r="D886" t="s">
        <v>293</v>
      </c>
      <c r="E886" t="s">
        <v>362</v>
      </c>
      <c r="F886" t="s">
        <v>361</v>
      </c>
    </row>
    <row r="887" spans="1:6" hidden="1" x14ac:dyDescent="0.2">
      <c r="A887" t="s">
        <v>292</v>
      </c>
      <c r="B887" t="s">
        <v>1077</v>
      </c>
      <c r="C887" t="str">
        <f t="shared" si="13"/>
        <v>SantanderGUAVATA</v>
      </c>
      <c r="D887" t="s">
        <v>293</v>
      </c>
      <c r="E887" t="s">
        <v>1711</v>
      </c>
      <c r="F887" t="s">
        <v>363</v>
      </c>
    </row>
    <row r="888" spans="1:6" hidden="1" x14ac:dyDescent="0.2">
      <c r="A888" t="s">
        <v>292</v>
      </c>
      <c r="B888" t="s">
        <v>1712</v>
      </c>
      <c r="C888" t="str">
        <f t="shared" si="13"/>
        <v>SantanderGUEPSA</v>
      </c>
      <c r="D888" t="s">
        <v>293</v>
      </c>
      <c r="E888" t="s">
        <v>1714</v>
      </c>
      <c r="F888" t="s">
        <v>1713</v>
      </c>
    </row>
    <row r="889" spans="1:6" hidden="1" x14ac:dyDescent="0.2">
      <c r="A889" t="s">
        <v>292</v>
      </c>
      <c r="B889" t="s">
        <v>242</v>
      </c>
      <c r="C889" t="str">
        <f t="shared" si="13"/>
        <v>SantanderHATO</v>
      </c>
      <c r="D889" t="s">
        <v>293</v>
      </c>
      <c r="E889" t="s">
        <v>1716</v>
      </c>
      <c r="F889" t="s">
        <v>1715</v>
      </c>
    </row>
    <row r="890" spans="1:6" hidden="1" x14ac:dyDescent="0.2">
      <c r="A890" t="s">
        <v>292</v>
      </c>
      <c r="B890" t="s">
        <v>2483</v>
      </c>
      <c r="C890" t="str">
        <f t="shared" si="13"/>
        <v>SantanderJESUS MARIA</v>
      </c>
      <c r="D890" t="s">
        <v>293</v>
      </c>
      <c r="E890" t="s">
        <v>1718</v>
      </c>
      <c r="F890" t="s">
        <v>1717</v>
      </c>
    </row>
    <row r="891" spans="1:6" hidden="1" x14ac:dyDescent="0.2">
      <c r="A891" t="s">
        <v>292</v>
      </c>
      <c r="B891" t="s">
        <v>91</v>
      </c>
      <c r="C891" t="str">
        <f t="shared" si="13"/>
        <v>SantanderJORDAN</v>
      </c>
      <c r="D891" t="s">
        <v>293</v>
      </c>
      <c r="E891" t="s">
        <v>1720</v>
      </c>
      <c r="F891" t="s">
        <v>1719</v>
      </c>
    </row>
    <row r="892" spans="1:6" hidden="1" x14ac:dyDescent="0.2">
      <c r="A892" t="s">
        <v>292</v>
      </c>
      <c r="B892" t="s">
        <v>548</v>
      </c>
      <c r="C892" t="str">
        <f t="shared" si="13"/>
        <v>SantanderLA BELLEZA</v>
      </c>
      <c r="D892" t="s">
        <v>293</v>
      </c>
      <c r="E892" t="s">
        <v>1722</v>
      </c>
      <c r="F892" t="s">
        <v>1721</v>
      </c>
    </row>
    <row r="893" spans="1:6" hidden="1" x14ac:dyDescent="0.2">
      <c r="A893" t="s">
        <v>292</v>
      </c>
      <c r="B893" t="s">
        <v>173</v>
      </c>
      <c r="C893" t="str">
        <f t="shared" si="13"/>
        <v>SantanderLANDAZURI</v>
      </c>
      <c r="D893" t="s">
        <v>293</v>
      </c>
      <c r="E893" t="s">
        <v>2843</v>
      </c>
      <c r="F893" t="s">
        <v>1723</v>
      </c>
    </row>
    <row r="894" spans="1:6" hidden="1" x14ac:dyDescent="0.2">
      <c r="A894" t="s">
        <v>292</v>
      </c>
      <c r="B894" t="s">
        <v>845</v>
      </c>
      <c r="C894" t="str">
        <f t="shared" si="13"/>
        <v>SantanderLA PAZ</v>
      </c>
      <c r="D894" t="s">
        <v>293</v>
      </c>
      <c r="E894" t="s">
        <v>933</v>
      </c>
      <c r="F894" t="s">
        <v>1724</v>
      </c>
    </row>
    <row r="895" spans="1:6" hidden="1" x14ac:dyDescent="0.2">
      <c r="A895" t="s">
        <v>292</v>
      </c>
      <c r="B895" t="s">
        <v>1725</v>
      </c>
      <c r="C895" t="str">
        <f t="shared" si="13"/>
        <v>SantanderLEBRIJA</v>
      </c>
      <c r="D895" t="s">
        <v>293</v>
      </c>
      <c r="E895" t="s">
        <v>1727</v>
      </c>
      <c r="F895" t="s">
        <v>1726</v>
      </c>
    </row>
    <row r="896" spans="1:6" hidden="1" x14ac:dyDescent="0.2">
      <c r="A896" t="s">
        <v>292</v>
      </c>
      <c r="B896" t="s">
        <v>846</v>
      </c>
      <c r="C896" t="str">
        <f t="shared" si="13"/>
        <v>SantanderLOS SANTOS</v>
      </c>
      <c r="D896" t="s">
        <v>293</v>
      </c>
      <c r="E896" t="s">
        <v>1729</v>
      </c>
      <c r="F896" t="s">
        <v>1728</v>
      </c>
    </row>
    <row r="897" spans="1:6" hidden="1" x14ac:dyDescent="0.2">
      <c r="A897" t="s">
        <v>292</v>
      </c>
      <c r="B897" t="s">
        <v>2497</v>
      </c>
      <c r="C897" t="str">
        <f t="shared" si="13"/>
        <v>SantanderMACARAVITA</v>
      </c>
      <c r="D897" t="s">
        <v>293</v>
      </c>
      <c r="E897" t="s">
        <v>1731</v>
      </c>
      <c r="F897" t="s">
        <v>1730</v>
      </c>
    </row>
    <row r="898" spans="1:6" hidden="1" x14ac:dyDescent="0.2">
      <c r="A898" t="s">
        <v>292</v>
      </c>
      <c r="B898" t="s">
        <v>1732</v>
      </c>
      <c r="C898" t="str">
        <f t="shared" si="13"/>
        <v>SantanderMALAGA</v>
      </c>
      <c r="D898" t="s">
        <v>293</v>
      </c>
      <c r="E898" t="s">
        <v>1734</v>
      </c>
      <c r="F898" t="s">
        <v>1733</v>
      </c>
    </row>
    <row r="899" spans="1:6" hidden="1" x14ac:dyDescent="0.2">
      <c r="A899" t="s">
        <v>292</v>
      </c>
      <c r="B899" t="s">
        <v>750</v>
      </c>
      <c r="C899" t="str">
        <f t="shared" ref="C899:C962" si="14">D899&amp;E899</f>
        <v>SantanderMATANZA</v>
      </c>
      <c r="D899" t="s">
        <v>293</v>
      </c>
      <c r="E899" t="s">
        <v>2796</v>
      </c>
      <c r="F899" t="s">
        <v>1735</v>
      </c>
    </row>
    <row r="900" spans="1:6" hidden="1" x14ac:dyDescent="0.2">
      <c r="A900" t="s">
        <v>292</v>
      </c>
      <c r="B900" t="s">
        <v>567</v>
      </c>
      <c r="C900" t="str">
        <f t="shared" si="14"/>
        <v>SantanderMOGOTES</v>
      </c>
      <c r="D900" t="s">
        <v>293</v>
      </c>
      <c r="E900" t="s">
        <v>1737</v>
      </c>
      <c r="F900" t="s">
        <v>1736</v>
      </c>
    </row>
    <row r="901" spans="1:6" hidden="1" x14ac:dyDescent="0.2">
      <c r="A901" t="s">
        <v>292</v>
      </c>
      <c r="B901" t="s">
        <v>1501</v>
      </c>
      <c r="C901" t="str">
        <f t="shared" si="14"/>
        <v>SantanderMOLAGAVITA</v>
      </c>
      <c r="D901" t="s">
        <v>293</v>
      </c>
      <c r="E901" t="s">
        <v>1739</v>
      </c>
      <c r="F901" t="s">
        <v>1738</v>
      </c>
    </row>
    <row r="902" spans="1:6" hidden="1" x14ac:dyDescent="0.2">
      <c r="A902" t="s">
        <v>292</v>
      </c>
      <c r="B902" t="s">
        <v>253</v>
      </c>
      <c r="C902" t="str">
        <f t="shared" si="14"/>
        <v>SantanderOCAMONTE</v>
      </c>
      <c r="D902" t="s">
        <v>293</v>
      </c>
      <c r="E902" t="s">
        <v>2071</v>
      </c>
      <c r="F902" t="s">
        <v>1740</v>
      </c>
    </row>
    <row r="903" spans="1:6" hidden="1" x14ac:dyDescent="0.2">
      <c r="A903" t="s">
        <v>292</v>
      </c>
      <c r="B903" t="s">
        <v>585</v>
      </c>
      <c r="C903" t="str">
        <f t="shared" si="14"/>
        <v>SantanderOIBA</v>
      </c>
      <c r="D903" t="s">
        <v>293</v>
      </c>
      <c r="E903" t="s">
        <v>1742</v>
      </c>
      <c r="F903" t="s">
        <v>1741</v>
      </c>
    </row>
    <row r="904" spans="1:6" hidden="1" x14ac:dyDescent="0.2">
      <c r="A904" t="s">
        <v>292</v>
      </c>
      <c r="B904" t="s">
        <v>1743</v>
      </c>
      <c r="C904" t="str">
        <f t="shared" si="14"/>
        <v>SantanderONZAGA</v>
      </c>
      <c r="D904" t="s">
        <v>293</v>
      </c>
      <c r="E904" t="s">
        <v>1745</v>
      </c>
      <c r="F904" t="s">
        <v>1744</v>
      </c>
    </row>
    <row r="905" spans="1:6" hidden="1" x14ac:dyDescent="0.2">
      <c r="A905" t="s">
        <v>292</v>
      </c>
      <c r="B905" t="s">
        <v>601</v>
      </c>
      <c r="C905" t="str">
        <f t="shared" si="14"/>
        <v>SantanderPALMAR</v>
      </c>
      <c r="D905" t="s">
        <v>293</v>
      </c>
      <c r="E905" t="s">
        <v>1747</v>
      </c>
      <c r="F905" t="s">
        <v>1746</v>
      </c>
    </row>
    <row r="906" spans="1:6" hidden="1" x14ac:dyDescent="0.2">
      <c r="A906" t="s">
        <v>292</v>
      </c>
      <c r="B906" t="s">
        <v>761</v>
      </c>
      <c r="C906" t="str">
        <f t="shared" si="14"/>
        <v>SantanderPALMAS DEL SOCORRO</v>
      </c>
      <c r="D906" t="s">
        <v>293</v>
      </c>
      <c r="E906" t="s">
        <v>1749</v>
      </c>
      <c r="F906" t="s">
        <v>1748</v>
      </c>
    </row>
    <row r="907" spans="1:6" hidden="1" x14ac:dyDescent="0.2">
      <c r="A907" t="s">
        <v>292</v>
      </c>
      <c r="B907" t="s">
        <v>606</v>
      </c>
      <c r="C907" t="str">
        <f t="shared" si="14"/>
        <v>SantanderPARAMO</v>
      </c>
      <c r="D907" t="s">
        <v>293</v>
      </c>
      <c r="E907" t="s">
        <v>1751</v>
      </c>
      <c r="F907" t="s">
        <v>1750</v>
      </c>
    </row>
    <row r="908" spans="1:6" hidden="1" x14ac:dyDescent="0.2">
      <c r="A908" t="s">
        <v>292</v>
      </c>
      <c r="B908" t="s">
        <v>1752</v>
      </c>
      <c r="C908" t="str">
        <f t="shared" si="14"/>
        <v>SantanderPIEDECUESTA</v>
      </c>
      <c r="D908" t="s">
        <v>293</v>
      </c>
      <c r="E908" t="s">
        <v>479</v>
      </c>
      <c r="F908" t="s">
        <v>1753</v>
      </c>
    </row>
    <row r="909" spans="1:6" hidden="1" x14ac:dyDescent="0.2">
      <c r="A909" t="s">
        <v>292</v>
      </c>
      <c r="B909" t="s">
        <v>1420</v>
      </c>
      <c r="C909" t="str">
        <f t="shared" si="14"/>
        <v>SantanderPINCHOTE</v>
      </c>
      <c r="D909" t="s">
        <v>293</v>
      </c>
      <c r="E909" t="s">
        <v>1755</v>
      </c>
      <c r="F909" t="s">
        <v>1754</v>
      </c>
    </row>
    <row r="910" spans="1:6" hidden="1" x14ac:dyDescent="0.2">
      <c r="A910" t="s">
        <v>292</v>
      </c>
      <c r="B910" t="s">
        <v>618</v>
      </c>
      <c r="C910" t="str">
        <f t="shared" si="14"/>
        <v>SantanderPUENTE NACIONAL</v>
      </c>
      <c r="D910" t="s">
        <v>293</v>
      </c>
      <c r="E910" t="s">
        <v>46</v>
      </c>
      <c r="F910" t="s">
        <v>1756</v>
      </c>
    </row>
    <row r="911" spans="1:6" hidden="1" x14ac:dyDescent="0.2">
      <c r="A911" t="s">
        <v>292</v>
      </c>
      <c r="B911" t="s">
        <v>1428</v>
      </c>
      <c r="C911" t="str">
        <f t="shared" si="14"/>
        <v>SantanderPUERTO PARRA</v>
      </c>
      <c r="D911" t="s">
        <v>293</v>
      </c>
      <c r="E911" t="s">
        <v>1758</v>
      </c>
      <c r="F911" t="s">
        <v>1757</v>
      </c>
    </row>
    <row r="912" spans="1:6" hidden="1" x14ac:dyDescent="0.2">
      <c r="A912" t="s">
        <v>292</v>
      </c>
      <c r="B912" t="s">
        <v>1759</v>
      </c>
      <c r="C912" t="str">
        <f t="shared" si="14"/>
        <v>SantanderPUERTO WILCHES</v>
      </c>
      <c r="D912" t="s">
        <v>293</v>
      </c>
      <c r="E912" t="s">
        <v>2109</v>
      </c>
      <c r="F912" t="s">
        <v>1760</v>
      </c>
    </row>
    <row r="913" spans="1:6" hidden="1" x14ac:dyDescent="0.2">
      <c r="A913" t="s">
        <v>292</v>
      </c>
      <c r="B913" t="s">
        <v>2543</v>
      </c>
      <c r="C913" t="str">
        <f t="shared" si="14"/>
        <v>SantanderRIONEGRO</v>
      </c>
      <c r="D913" t="s">
        <v>293</v>
      </c>
      <c r="E913" t="s">
        <v>1380</v>
      </c>
      <c r="F913" t="s">
        <v>2022</v>
      </c>
    </row>
    <row r="914" spans="1:6" hidden="1" x14ac:dyDescent="0.2">
      <c r="A914" t="s">
        <v>292</v>
      </c>
      <c r="B914" t="s">
        <v>1521</v>
      </c>
      <c r="C914" t="str">
        <f t="shared" si="14"/>
        <v>SantanderSABANA DE TORRES</v>
      </c>
      <c r="D914" t="s">
        <v>293</v>
      </c>
      <c r="E914" t="s">
        <v>2165</v>
      </c>
      <c r="F914" t="s">
        <v>1761</v>
      </c>
    </row>
    <row r="915" spans="1:6" hidden="1" x14ac:dyDescent="0.2">
      <c r="A915" t="s">
        <v>292</v>
      </c>
      <c r="B915" t="s">
        <v>1762</v>
      </c>
      <c r="C915" t="str">
        <f t="shared" si="14"/>
        <v>SantanderSAN ANDRES</v>
      </c>
      <c r="D915" t="s">
        <v>293</v>
      </c>
      <c r="E915" t="s">
        <v>1764</v>
      </c>
      <c r="F915" t="s">
        <v>1763</v>
      </c>
    </row>
    <row r="916" spans="1:6" hidden="1" x14ac:dyDescent="0.2">
      <c r="A916" t="s">
        <v>292</v>
      </c>
      <c r="B916" t="s">
        <v>1528</v>
      </c>
      <c r="C916" t="str">
        <f t="shared" si="14"/>
        <v>SantanderSAN BENITO</v>
      </c>
      <c r="D916" t="s">
        <v>293</v>
      </c>
      <c r="E916" t="s">
        <v>1766</v>
      </c>
      <c r="F916" t="s">
        <v>1765</v>
      </c>
    </row>
    <row r="917" spans="1:6" hidden="1" x14ac:dyDescent="0.2">
      <c r="A917" t="s">
        <v>292</v>
      </c>
      <c r="B917" t="s">
        <v>2583</v>
      </c>
      <c r="C917" t="str">
        <f t="shared" si="14"/>
        <v>SantanderSAN GIL</v>
      </c>
      <c r="D917" t="s">
        <v>293</v>
      </c>
      <c r="E917" t="s">
        <v>1768</v>
      </c>
      <c r="F917" t="s">
        <v>1767</v>
      </c>
    </row>
    <row r="918" spans="1:6" hidden="1" x14ac:dyDescent="0.2">
      <c r="A918" t="s">
        <v>292</v>
      </c>
      <c r="B918" t="s">
        <v>996</v>
      </c>
      <c r="C918" t="str">
        <f t="shared" si="14"/>
        <v>SantanderSAN JOAQUIN</v>
      </c>
      <c r="D918" t="s">
        <v>293</v>
      </c>
      <c r="E918" t="s">
        <v>1770</v>
      </c>
      <c r="F918" t="s">
        <v>1769</v>
      </c>
    </row>
    <row r="919" spans="1:6" hidden="1" x14ac:dyDescent="0.2">
      <c r="A919" t="s">
        <v>292</v>
      </c>
      <c r="B919" t="s">
        <v>1771</v>
      </c>
      <c r="C919" t="str">
        <f t="shared" si="14"/>
        <v>SantanderSAN JOSE DE MIRANDA</v>
      </c>
      <c r="D919" t="s">
        <v>293</v>
      </c>
      <c r="E919" t="s">
        <v>1773</v>
      </c>
      <c r="F919" t="s">
        <v>1772</v>
      </c>
    </row>
    <row r="920" spans="1:6" hidden="1" x14ac:dyDescent="0.2">
      <c r="A920" t="s">
        <v>292</v>
      </c>
      <c r="B920" t="s">
        <v>2585</v>
      </c>
      <c r="C920" t="str">
        <f t="shared" si="14"/>
        <v>SantanderSAN MIGUEL</v>
      </c>
      <c r="D920" t="s">
        <v>293</v>
      </c>
      <c r="E920" t="s">
        <v>525</v>
      </c>
      <c r="F920" t="s">
        <v>1774</v>
      </c>
    </row>
    <row r="921" spans="1:6" hidden="1" x14ac:dyDescent="0.2">
      <c r="A921" t="s">
        <v>292</v>
      </c>
      <c r="B921" t="s">
        <v>114</v>
      </c>
      <c r="C921" t="str">
        <f t="shared" si="14"/>
        <v>SantanderSAN VICENTE DE CHUCURI</v>
      </c>
      <c r="D921" t="s">
        <v>293</v>
      </c>
      <c r="E921" t="s">
        <v>2136</v>
      </c>
      <c r="F921" t="s">
        <v>2023</v>
      </c>
    </row>
    <row r="922" spans="1:6" hidden="1" x14ac:dyDescent="0.2">
      <c r="A922" t="s">
        <v>292</v>
      </c>
      <c r="B922" t="s">
        <v>1775</v>
      </c>
      <c r="C922" t="str">
        <f t="shared" si="14"/>
        <v>SantanderSANTA BARBARA</v>
      </c>
      <c r="D922" t="s">
        <v>293</v>
      </c>
      <c r="E922" t="s">
        <v>2693</v>
      </c>
      <c r="F922" t="s">
        <v>1776</v>
      </c>
    </row>
    <row r="923" spans="1:6" hidden="1" x14ac:dyDescent="0.2">
      <c r="A923" t="s">
        <v>292</v>
      </c>
      <c r="B923" t="s">
        <v>652</v>
      </c>
      <c r="C923" t="str">
        <f t="shared" si="14"/>
        <v>SantanderSANTA HELENA DEL OPON</v>
      </c>
      <c r="D923" t="s">
        <v>293</v>
      </c>
      <c r="E923" t="s">
        <v>1381</v>
      </c>
      <c r="F923" t="s">
        <v>1777</v>
      </c>
    </row>
    <row r="924" spans="1:6" hidden="1" x14ac:dyDescent="0.2">
      <c r="A924" t="s">
        <v>292</v>
      </c>
      <c r="B924" t="s">
        <v>1157</v>
      </c>
      <c r="C924" t="str">
        <f t="shared" si="14"/>
        <v>SantanderSIMACOTA</v>
      </c>
      <c r="D924" t="s">
        <v>293</v>
      </c>
      <c r="E924" t="s">
        <v>2137</v>
      </c>
      <c r="F924" t="s">
        <v>1778</v>
      </c>
    </row>
    <row r="925" spans="1:6" hidden="1" x14ac:dyDescent="0.2">
      <c r="A925" t="s">
        <v>292</v>
      </c>
      <c r="B925" t="s">
        <v>664</v>
      </c>
      <c r="C925" t="str">
        <f t="shared" si="14"/>
        <v>SantanderSOCORRO</v>
      </c>
      <c r="D925" t="s">
        <v>293</v>
      </c>
      <c r="E925" t="s">
        <v>1780</v>
      </c>
      <c r="F925" t="s">
        <v>1779</v>
      </c>
    </row>
    <row r="926" spans="1:6" hidden="1" x14ac:dyDescent="0.2">
      <c r="A926" t="s">
        <v>292</v>
      </c>
      <c r="B926" t="s">
        <v>1445</v>
      </c>
      <c r="C926" t="str">
        <f t="shared" si="14"/>
        <v>SantanderSUAITA</v>
      </c>
      <c r="D926" t="s">
        <v>293</v>
      </c>
      <c r="E926" t="s">
        <v>1782</v>
      </c>
      <c r="F926" t="s">
        <v>1781</v>
      </c>
    </row>
    <row r="927" spans="1:6" hidden="1" x14ac:dyDescent="0.2">
      <c r="A927" t="s">
        <v>292</v>
      </c>
      <c r="B927" t="s">
        <v>1783</v>
      </c>
      <c r="C927" t="str">
        <f t="shared" si="14"/>
        <v>SantanderSUCRE</v>
      </c>
      <c r="D927" t="s">
        <v>293</v>
      </c>
      <c r="E927" t="s">
        <v>1326</v>
      </c>
      <c r="F927" t="s">
        <v>1784</v>
      </c>
    </row>
    <row r="928" spans="1:6" hidden="1" x14ac:dyDescent="0.2">
      <c r="A928" t="s">
        <v>292</v>
      </c>
      <c r="B928" t="s">
        <v>1541</v>
      </c>
      <c r="C928" t="str">
        <f t="shared" si="14"/>
        <v>SantanderSURATA</v>
      </c>
      <c r="D928" t="s">
        <v>293</v>
      </c>
      <c r="E928" t="s">
        <v>1382</v>
      </c>
      <c r="F928" t="s">
        <v>2024</v>
      </c>
    </row>
    <row r="929" spans="1:6" hidden="1" x14ac:dyDescent="0.2">
      <c r="A929" t="s">
        <v>292</v>
      </c>
      <c r="B929" t="s">
        <v>711</v>
      </c>
      <c r="C929" t="str">
        <f t="shared" si="14"/>
        <v>SantanderTONA</v>
      </c>
      <c r="D929" t="s">
        <v>293</v>
      </c>
      <c r="E929" t="s">
        <v>480</v>
      </c>
      <c r="F929" t="s">
        <v>1785</v>
      </c>
    </row>
    <row r="930" spans="1:6" hidden="1" x14ac:dyDescent="0.2">
      <c r="A930" t="s">
        <v>292</v>
      </c>
      <c r="B930" t="s">
        <v>1005</v>
      </c>
      <c r="C930" t="str">
        <f t="shared" si="14"/>
        <v>SantanderVALLE DE SAN JOSE</v>
      </c>
      <c r="D930" t="s">
        <v>293</v>
      </c>
      <c r="E930" t="s">
        <v>1787</v>
      </c>
      <c r="F930" t="s">
        <v>1786</v>
      </c>
    </row>
    <row r="931" spans="1:6" hidden="1" x14ac:dyDescent="0.2">
      <c r="A931" t="s">
        <v>292</v>
      </c>
      <c r="B931" t="s">
        <v>2630</v>
      </c>
      <c r="C931" t="str">
        <f t="shared" si="14"/>
        <v>SantanderVELEZ</v>
      </c>
      <c r="D931" t="s">
        <v>293</v>
      </c>
      <c r="E931" t="s">
        <v>1789</v>
      </c>
      <c r="F931" t="s">
        <v>1788</v>
      </c>
    </row>
    <row r="932" spans="1:6" hidden="1" x14ac:dyDescent="0.2">
      <c r="A932" t="s">
        <v>292</v>
      </c>
      <c r="B932" t="s">
        <v>778</v>
      </c>
      <c r="C932" t="str">
        <f t="shared" si="14"/>
        <v>SantanderVETAS</v>
      </c>
      <c r="D932" t="s">
        <v>293</v>
      </c>
      <c r="E932" t="s">
        <v>1791</v>
      </c>
      <c r="F932" t="s">
        <v>1790</v>
      </c>
    </row>
    <row r="933" spans="1:6" hidden="1" x14ac:dyDescent="0.2">
      <c r="A933" t="s">
        <v>292</v>
      </c>
      <c r="B933" t="s">
        <v>380</v>
      </c>
      <c r="C933" t="str">
        <f t="shared" si="14"/>
        <v>SantanderVILLANUEVA</v>
      </c>
      <c r="D933" t="s">
        <v>293</v>
      </c>
      <c r="E933" t="s">
        <v>2758</v>
      </c>
      <c r="F933" t="s">
        <v>1792</v>
      </c>
    </row>
    <row r="934" spans="1:6" hidden="1" x14ac:dyDescent="0.2">
      <c r="A934" t="s">
        <v>292</v>
      </c>
      <c r="B934" t="s">
        <v>2646</v>
      </c>
      <c r="C934" t="str">
        <f t="shared" si="14"/>
        <v>SantanderZAPATOCA</v>
      </c>
      <c r="D934" t="s">
        <v>293</v>
      </c>
      <c r="E934" t="s">
        <v>1794</v>
      </c>
      <c r="F934" t="s">
        <v>1793</v>
      </c>
    </row>
    <row r="935" spans="1:6" hidden="1" x14ac:dyDescent="0.2">
      <c r="A935" t="s">
        <v>1795</v>
      </c>
      <c r="B935" t="s">
        <v>2321</v>
      </c>
      <c r="C935" t="str">
        <f t="shared" si="14"/>
        <v>SucreSINCELEJO</v>
      </c>
      <c r="D935" t="s">
        <v>1797</v>
      </c>
      <c r="E935" t="s">
        <v>1798</v>
      </c>
      <c r="F935" t="s">
        <v>1796</v>
      </c>
    </row>
    <row r="936" spans="1:6" hidden="1" x14ac:dyDescent="0.2">
      <c r="A936" t="s">
        <v>1795</v>
      </c>
      <c r="B936" t="s">
        <v>828</v>
      </c>
      <c r="C936" t="str">
        <f t="shared" si="14"/>
        <v>SucreBUENAVISTA</v>
      </c>
      <c r="D936" t="s">
        <v>1797</v>
      </c>
      <c r="E936" t="s">
        <v>1325</v>
      </c>
      <c r="F936" t="s">
        <v>1799</v>
      </c>
    </row>
    <row r="937" spans="1:6" hidden="1" x14ac:dyDescent="0.2">
      <c r="A937" t="s">
        <v>1795</v>
      </c>
      <c r="B937" t="s">
        <v>1288</v>
      </c>
      <c r="C937" t="str">
        <f t="shared" si="14"/>
        <v>SucreCAIMITO</v>
      </c>
      <c r="D937" t="s">
        <v>1797</v>
      </c>
      <c r="E937" t="s">
        <v>2710</v>
      </c>
      <c r="F937" t="s">
        <v>1800</v>
      </c>
    </row>
    <row r="938" spans="1:6" hidden="1" x14ac:dyDescent="0.2">
      <c r="A938" t="s">
        <v>1795</v>
      </c>
      <c r="B938" t="s">
        <v>1613</v>
      </c>
      <c r="C938" t="str">
        <f t="shared" si="14"/>
        <v>SucreCOLOSO</v>
      </c>
      <c r="D938" t="s">
        <v>1797</v>
      </c>
      <c r="E938" t="s">
        <v>1802</v>
      </c>
      <c r="F938" t="s">
        <v>1801</v>
      </c>
    </row>
    <row r="939" spans="1:6" hidden="1" x14ac:dyDescent="0.2">
      <c r="A939" t="s">
        <v>1795</v>
      </c>
      <c r="B939" t="s">
        <v>1617</v>
      </c>
      <c r="C939" t="str">
        <f t="shared" si="14"/>
        <v>SucreCOROZAL</v>
      </c>
      <c r="D939" t="s">
        <v>1797</v>
      </c>
      <c r="E939" t="s">
        <v>1804</v>
      </c>
      <c r="F939" t="s">
        <v>1803</v>
      </c>
    </row>
    <row r="940" spans="1:6" hidden="1" x14ac:dyDescent="0.2">
      <c r="A940" t="s">
        <v>1795</v>
      </c>
      <c r="B940" t="s">
        <v>1805</v>
      </c>
      <c r="C940" t="str">
        <f t="shared" si="14"/>
        <v>SucreCOVEÑAS</v>
      </c>
      <c r="D940" t="s">
        <v>1797</v>
      </c>
      <c r="E940" t="s">
        <v>1807</v>
      </c>
      <c r="F940" t="s">
        <v>1806</v>
      </c>
    </row>
    <row r="941" spans="1:6" hidden="1" x14ac:dyDescent="0.2">
      <c r="A941" t="s">
        <v>1795</v>
      </c>
      <c r="B941" t="s">
        <v>1808</v>
      </c>
      <c r="C941" t="str">
        <f t="shared" si="14"/>
        <v>SucreCHALAN</v>
      </c>
      <c r="D941" t="s">
        <v>1797</v>
      </c>
      <c r="E941" t="s">
        <v>1810</v>
      </c>
      <c r="F941" t="s">
        <v>1809</v>
      </c>
    </row>
    <row r="942" spans="1:6" hidden="1" x14ac:dyDescent="0.2">
      <c r="A942" t="s">
        <v>1795</v>
      </c>
      <c r="B942" t="s">
        <v>140</v>
      </c>
      <c r="C942" t="str">
        <f t="shared" si="14"/>
        <v>SucreEL ROBLE</v>
      </c>
      <c r="D942" t="s">
        <v>1797</v>
      </c>
      <c r="E942" t="s">
        <v>1812</v>
      </c>
      <c r="F942" t="s">
        <v>1811</v>
      </c>
    </row>
    <row r="943" spans="1:6" hidden="1" x14ac:dyDescent="0.2">
      <c r="A943" t="s">
        <v>1795</v>
      </c>
      <c r="B943" t="s">
        <v>338</v>
      </c>
      <c r="C943" t="str">
        <f t="shared" si="14"/>
        <v>SucreGALERAS</v>
      </c>
      <c r="D943" t="s">
        <v>1797</v>
      </c>
      <c r="E943" t="s">
        <v>1814</v>
      </c>
      <c r="F943" t="s">
        <v>1813</v>
      </c>
    </row>
    <row r="944" spans="1:6" hidden="1" x14ac:dyDescent="0.2">
      <c r="A944" t="s">
        <v>1795</v>
      </c>
      <c r="B944" t="s">
        <v>1815</v>
      </c>
      <c r="C944" t="str">
        <f t="shared" si="14"/>
        <v>SucreGUARANDA</v>
      </c>
      <c r="D944" t="s">
        <v>1797</v>
      </c>
      <c r="E944" t="s">
        <v>1817</v>
      </c>
      <c r="F944" t="s">
        <v>1816</v>
      </c>
    </row>
    <row r="945" spans="1:6" hidden="1" x14ac:dyDescent="0.2">
      <c r="A945" t="s">
        <v>1795</v>
      </c>
      <c r="B945" t="s">
        <v>2492</v>
      </c>
      <c r="C945" t="str">
        <f t="shared" si="14"/>
        <v>SucreLA UNION</v>
      </c>
      <c r="D945" t="s">
        <v>1797</v>
      </c>
      <c r="E945" t="s">
        <v>2160</v>
      </c>
      <c r="F945" t="s">
        <v>1818</v>
      </c>
    </row>
    <row r="946" spans="1:6" hidden="1" x14ac:dyDescent="0.2">
      <c r="A946" t="s">
        <v>1795</v>
      </c>
      <c r="B946" t="s">
        <v>846</v>
      </c>
      <c r="C946" t="str">
        <f t="shared" si="14"/>
        <v>SucreLOS PALMITOS</v>
      </c>
      <c r="D946" t="s">
        <v>1797</v>
      </c>
      <c r="E946" t="s">
        <v>1820</v>
      </c>
      <c r="F946" t="s">
        <v>1819</v>
      </c>
    </row>
    <row r="947" spans="1:6" hidden="1" x14ac:dyDescent="0.2">
      <c r="A947" t="s">
        <v>1795</v>
      </c>
      <c r="B947" t="s">
        <v>1821</v>
      </c>
      <c r="C947" t="str">
        <f t="shared" si="14"/>
        <v>SucreMAJAGUAL</v>
      </c>
      <c r="D947" t="s">
        <v>1797</v>
      </c>
      <c r="E947" t="s">
        <v>1823</v>
      </c>
      <c r="F947" t="s">
        <v>1822</v>
      </c>
    </row>
    <row r="948" spans="1:6" hidden="1" x14ac:dyDescent="0.2">
      <c r="A948" t="s">
        <v>1795</v>
      </c>
      <c r="B948" t="s">
        <v>1503</v>
      </c>
      <c r="C948" t="str">
        <f t="shared" si="14"/>
        <v>SucreMORROA</v>
      </c>
      <c r="D948" t="s">
        <v>1797</v>
      </c>
      <c r="E948" t="s">
        <v>1825</v>
      </c>
      <c r="F948" t="s">
        <v>1824</v>
      </c>
    </row>
    <row r="949" spans="1:6" hidden="1" x14ac:dyDescent="0.2">
      <c r="A949" t="s">
        <v>1795</v>
      </c>
      <c r="B949" t="s">
        <v>1826</v>
      </c>
      <c r="C949" t="str">
        <f t="shared" si="14"/>
        <v>SucreOVEJAS</v>
      </c>
      <c r="D949" t="s">
        <v>1797</v>
      </c>
      <c r="E949" t="s">
        <v>1828</v>
      </c>
      <c r="F949" t="s">
        <v>1827</v>
      </c>
    </row>
    <row r="950" spans="1:6" hidden="1" x14ac:dyDescent="0.2">
      <c r="A950" t="s">
        <v>1795</v>
      </c>
      <c r="B950" t="s">
        <v>1829</v>
      </c>
      <c r="C950" t="str">
        <f t="shared" si="14"/>
        <v>SucrePALMITO</v>
      </c>
      <c r="D950" t="s">
        <v>1797</v>
      </c>
      <c r="E950" t="s">
        <v>1831</v>
      </c>
      <c r="F950" t="s">
        <v>1830</v>
      </c>
    </row>
    <row r="951" spans="1:6" hidden="1" x14ac:dyDescent="0.2">
      <c r="A951" t="s">
        <v>1795</v>
      </c>
      <c r="B951" t="s">
        <v>2578</v>
      </c>
      <c r="C951" t="str">
        <f t="shared" si="14"/>
        <v>SucreSAMPUES</v>
      </c>
      <c r="D951" t="s">
        <v>1797</v>
      </c>
      <c r="E951" t="s">
        <v>1833</v>
      </c>
      <c r="F951" t="s">
        <v>1832</v>
      </c>
    </row>
    <row r="952" spans="1:6" hidden="1" x14ac:dyDescent="0.2">
      <c r="A952" t="s">
        <v>1795</v>
      </c>
      <c r="B952" t="s">
        <v>994</v>
      </c>
      <c r="C952" t="str">
        <f t="shared" si="14"/>
        <v>SucreSAN BENITO ABAD</v>
      </c>
      <c r="D952" t="s">
        <v>1797</v>
      </c>
      <c r="E952" t="s">
        <v>2711</v>
      </c>
      <c r="F952" t="s">
        <v>1834</v>
      </c>
    </row>
    <row r="953" spans="1:6" hidden="1" x14ac:dyDescent="0.2">
      <c r="A953" t="s">
        <v>1795</v>
      </c>
      <c r="B953" t="s">
        <v>1835</v>
      </c>
      <c r="C953" t="str">
        <f t="shared" si="14"/>
        <v>SucreSAN JUAN DE BETULIA</v>
      </c>
      <c r="D953" t="s">
        <v>1797</v>
      </c>
      <c r="E953" t="s">
        <v>1837</v>
      </c>
      <c r="F953" t="s">
        <v>1836</v>
      </c>
    </row>
    <row r="954" spans="1:6" hidden="1" x14ac:dyDescent="0.2">
      <c r="A954" t="s">
        <v>1795</v>
      </c>
      <c r="B954" t="s">
        <v>1838</v>
      </c>
      <c r="C954" t="str">
        <f t="shared" si="14"/>
        <v>SucreSAN MARCOS</v>
      </c>
      <c r="D954" t="s">
        <v>1797</v>
      </c>
      <c r="E954" t="s">
        <v>1840</v>
      </c>
      <c r="F954" t="s">
        <v>1839</v>
      </c>
    </row>
    <row r="955" spans="1:6" hidden="1" x14ac:dyDescent="0.2">
      <c r="A955" t="s">
        <v>1795</v>
      </c>
      <c r="B955" t="s">
        <v>1841</v>
      </c>
      <c r="C955" t="str">
        <f t="shared" si="14"/>
        <v>SucreSAN ONOFRE</v>
      </c>
      <c r="D955" t="s">
        <v>1797</v>
      </c>
      <c r="E955" t="s">
        <v>1339</v>
      </c>
      <c r="F955" t="s">
        <v>2025</v>
      </c>
    </row>
    <row r="956" spans="1:6" hidden="1" x14ac:dyDescent="0.2">
      <c r="A956" t="s">
        <v>1795</v>
      </c>
      <c r="B956" t="s">
        <v>1842</v>
      </c>
      <c r="C956" t="str">
        <f t="shared" si="14"/>
        <v>SucreSAN PEDRO</v>
      </c>
      <c r="D956" t="s">
        <v>1797</v>
      </c>
      <c r="E956" t="s">
        <v>2159</v>
      </c>
      <c r="F956" t="s">
        <v>1843</v>
      </c>
    </row>
    <row r="957" spans="1:6" hidden="1" x14ac:dyDescent="0.2">
      <c r="A957" t="s">
        <v>1795</v>
      </c>
      <c r="B957" t="s">
        <v>1844</v>
      </c>
      <c r="C957" t="str">
        <f t="shared" si="14"/>
        <v>SucreSAN LUIS DE SINCE</v>
      </c>
      <c r="D957" t="s">
        <v>1797</v>
      </c>
      <c r="E957" t="s">
        <v>1846</v>
      </c>
      <c r="F957" t="s">
        <v>1845</v>
      </c>
    </row>
    <row r="958" spans="1:6" hidden="1" x14ac:dyDescent="0.2">
      <c r="A958" t="s">
        <v>1795</v>
      </c>
      <c r="B958" t="s">
        <v>1847</v>
      </c>
      <c r="C958" t="str">
        <f t="shared" si="14"/>
        <v>SucreSUCRE</v>
      </c>
      <c r="D958" t="s">
        <v>1797</v>
      </c>
      <c r="E958" t="s">
        <v>1326</v>
      </c>
      <c r="F958" t="s">
        <v>1848</v>
      </c>
    </row>
    <row r="959" spans="1:6" hidden="1" x14ac:dyDescent="0.2">
      <c r="A959" t="s">
        <v>1795</v>
      </c>
      <c r="B959" t="s">
        <v>711</v>
      </c>
      <c r="C959" t="str">
        <f t="shared" si="14"/>
        <v>SucreSANTIAGO DE TOLU</v>
      </c>
      <c r="D959" t="s">
        <v>1797</v>
      </c>
      <c r="E959" t="s">
        <v>1850</v>
      </c>
      <c r="F959" t="s">
        <v>1849</v>
      </c>
    </row>
    <row r="960" spans="1:6" hidden="1" x14ac:dyDescent="0.2">
      <c r="A960" t="s">
        <v>1795</v>
      </c>
      <c r="B960" t="s">
        <v>1186</v>
      </c>
      <c r="C960" t="str">
        <f t="shared" si="14"/>
        <v>SucreTOLU VIEJO</v>
      </c>
      <c r="D960" t="s">
        <v>1797</v>
      </c>
      <c r="E960" t="s">
        <v>1852</v>
      </c>
      <c r="F960" t="s">
        <v>1851</v>
      </c>
    </row>
    <row r="961" spans="1:6" hidden="1" x14ac:dyDescent="0.2">
      <c r="A961" t="s">
        <v>1853</v>
      </c>
      <c r="B961" t="s">
        <v>2321</v>
      </c>
      <c r="C961" t="str">
        <f t="shared" si="14"/>
        <v>TolimaIBAGUE</v>
      </c>
      <c r="D961" t="s">
        <v>1854</v>
      </c>
      <c r="E961" t="s">
        <v>2755</v>
      </c>
      <c r="F961" t="s">
        <v>2026</v>
      </c>
    </row>
    <row r="962" spans="1:6" hidden="1" x14ac:dyDescent="0.2">
      <c r="A962" t="s">
        <v>1853</v>
      </c>
      <c r="B962" t="s">
        <v>1855</v>
      </c>
      <c r="C962" t="str">
        <f t="shared" si="14"/>
        <v>TolimaALPUJARRA</v>
      </c>
      <c r="D962" t="s">
        <v>1854</v>
      </c>
      <c r="E962" t="s">
        <v>0</v>
      </c>
      <c r="F962" t="s">
        <v>2027</v>
      </c>
    </row>
    <row r="963" spans="1:6" hidden="1" x14ac:dyDescent="0.2">
      <c r="A963" t="s">
        <v>1853</v>
      </c>
      <c r="B963" t="s">
        <v>24</v>
      </c>
      <c r="C963" t="str">
        <f t="shared" ref="C963:C1026" si="15">D963&amp;E963</f>
        <v>TolimaALVARADO</v>
      </c>
      <c r="D963" t="s">
        <v>1854</v>
      </c>
      <c r="E963" t="s">
        <v>2053</v>
      </c>
      <c r="F963" t="s">
        <v>2028</v>
      </c>
    </row>
    <row r="964" spans="1:6" hidden="1" x14ac:dyDescent="0.2">
      <c r="A964" t="s">
        <v>1853</v>
      </c>
      <c r="B964" t="s">
        <v>2332</v>
      </c>
      <c r="C964" t="str">
        <f t="shared" si="15"/>
        <v>TolimaAMBALEMA</v>
      </c>
      <c r="D964" t="s">
        <v>1854</v>
      </c>
      <c r="E964" t="s">
        <v>515</v>
      </c>
      <c r="F964" t="s">
        <v>1856</v>
      </c>
    </row>
    <row r="965" spans="1:6" hidden="1" x14ac:dyDescent="0.2">
      <c r="A965" t="s">
        <v>1853</v>
      </c>
      <c r="B965" t="s">
        <v>1857</v>
      </c>
      <c r="C965" t="str">
        <f t="shared" si="15"/>
        <v>TolimaANZOATEGUI</v>
      </c>
      <c r="D965" t="s">
        <v>1854</v>
      </c>
      <c r="E965" t="s">
        <v>1859</v>
      </c>
      <c r="F965" t="s">
        <v>1858</v>
      </c>
    </row>
    <row r="966" spans="1:6" hidden="1" x14ac:dyDescent="0.2">
      <c r="A966" t="s">
        <v>1853</v>
      </c>
      <c r="B966" t="s">
        <v>2359</v>
      </c>
      <c r="C966" t="str">
        <f t="shared" si="15"/>
        <v>TolimaARMERO</v>
      </c>
      <c r="D966" t="s">
        <v>1854</v>
      </c>
      <c r="E966" t="s">
        <v>1684</v>
      </c>
      <c r="F966" t="s">
        <v>2029</v>
      </c>
    </row>
    <row r="967" spans="1:6" hidden="1" x14ac:dyDescent="0.2">
      <c r="A967" t="s">
        <v>1853</v>
      </c>
      <c r="B967" t="s">
        <v>1860</v>
      </c>
      <c r="C967" t="str">
        <f t="shared" si="15"/>
        <v>TolimaATACO</v>
      </c>
      <c r="D967" t="s">
        <v>1854</v>
      </c>
      <c r="E967" t="s">
        <v>1862</v>
      </c>
      <c r="F967" t="s">
        <v>1861</v>
      </c>
    </row>
    <row r="968" spans="1:6" hidden="1" x14ac:dyDescent="0.2">
      <c r="A968" t="s">
        <v>1853</v>
      </c>
      <c r="B968" t="s">
        <v>1288</v>
      </c>
      <c r="C968" t="str">
        <f t="shared" si="15"/>
        <v>TolimaCAJAMARCA</v>
      </c>
      <c r="D968" t="s">
        <v>1854</v>
      </c>
      <c r="E968" t="s">
        <v>2128</v>
      </c>
      <c r="F968" t="s">
        <v>1863</v>
      </c>
    </row>
    <row r="969" spans="1:6" hidden="1" x14ac:dyDescent="0.2">
      <c r="A969" t="s">
        <v>1853</v>
      </c>
      <c r="B969" t="s">
        <v>2404</v>
      </c>
      <c r="C969" t="str">
        <f t="shared" si="15"/>
        <v>TolimaCARMEN DE APICALA</v>
      </c>
      <c r="D969" t="s">
        <v>1854</v>
      </c>
      <c r="E969" t="s">
        <v>2035</v>
      </c>
      <c r="F969" t="s">
        <v>1864</v>
      </c>
    </row>
    <row r="970" spans="1:6" hidden="1" x14ac:dyDescent="0.2">
      <c r="A970" t="s">
        <v>1853</v>
      </c>
      <c r="B970" t="s">
        <v>310</v>
      </c>
      <c r="C970" t="str">
        <f t="shared" si="15"/>
        <v>TolimaCASABIANCA</v>
      </c>
      <c r="D970" t="s">
        <v>1854</v>
      </c>
      <c r="E970" t="s">
        <v>2213</v>
      </c>
      <c r="F970" t="s">
        <v>1865</v>
      </c>
    </row>
    <row r="971" spans="1:6" hidden="1" x14ac:dyDescent="0.2">
      <c r="A971" t="s">
        <v>1853</v>
      </c>
      <c r="B971" t="s">
        <v>951</v>
      </c>
      <c r="C971" t="str">
        <f t="shared" si="15"/>
        <v>TolimaCHAPARRAL</v>
      </c>
      <c r="D971" t="s">
        <v>1854</v>
      </c>
      <c r="E971" t="s">
        <v>1393</v>
      </c>
      <c r="F971" t="s">
        <v>1866</v>
      </c>
    </row>
    <row r="972" spans="1:6" hidden="1" x14ac:dyDescent="0.2">
      <c r="A972" t="s">
        <v>1853</v>
      </c>
      <c r="B972" t="s">
        <v>1038</v>
      </c>
      <c r="C972" t="str">
        <f t="shared" si="15"/>
        <v>TolimaCOELLO</v>
      </c>
      <c r="D972" t="s">
        <v>1854</v>
      </c>
      <c r="E972" t="s">
        <v>2788</v>
      </c>
      <c r="F972" t="s">
        <v>1867</v>
      </c>
    </row>
    <row r="973" spans="1:6" hidden="1" x14ac:dyDescent="0.2">
      <c r="A973" t="s">
        <v>1853</v>
      </c>
      <c r="B973" t="s">
        <v>332</v>
      </c>
      <c r="C973" t="str">
        <f t="shared" si="15"/>
        <v>TolimaCOYAIMA</v>
      </c>
      <c r="D973" t="s">
        <v>1854</v>
      </c>
      <c r="E973" t="s">
        <v>2713</v>
      </c>
      <c r="F973" t="s">
        <v>1868</v>
      </c>
    </row>
    <row r="974" spans="1:6" hidden="1" x14ac:dyDescent="0.2">
      <c r="A974" t="s">
        <v>1853</v>
      </c>
      <c r="B974" t="s">
        <v>1628</v>
      </c>
      <c r="C974" t="str">
        <f t="shared" si="15"/>
        <v>TolimaCUNDAY</v>
      </c>
      <c r="D974" t="s">
        <v>1854</v>
      </c>
      <c r="E974" t="s">
        <v>1388</v>
      </c>
      <c r="F974" t="s">
        <v>1869</v>
      </c>
    </row>
    <row r="975" spans="1:6" hidden="1" x14ac:dyDescent="0.2">
      <c r="A975" t="s">
        <v>1853</v>
      </c>
      <c r="B975" t="s">
        <v>1634</v>
      </c>
      <c r="C975" t="str">
        <f t="shared" si="15"/>
        <v>TolimaDOLORES</v>
      </c>
      <c r="D975" t="s">
        <v>1854</v>
      </c>
      <c r="E975" t="s">
        <v>1</v>
      </c>
      <c r="F975" t="s">
        <v>1870</v>
      </c>
    </row>
    <row r="976" spans="1:6" hidden="1" x14ac:dyDescent="0.2">
      <c r="A976" t="s">
        <v>1853</v>
      </c>
      <c r="B976" t="s">
        <v>1488</v>
      </c>
      <c r="C976" t="str">
        <f t="shared" si="15"/>
        <v>TolimaESPINAL</v>
      </c>
      <c r="D976" t="s">
        <v>1854</v>
      </c>
      <c r="E976" t="s">
        <v>1872</v>
      </c>
      <c r="F976" t="s">
        <v>1871</v>
      </c>
    </row>
    <row r="977" spans="1:6" hidden="1" x14ac:dyDescent="0.2">
      <c r="A977" t="s">
        <v>1853</v>
      </c>
      <c r="B977" t="s">
        <v>1301</v>
      </c>
      <c r="C977" t="str">
        <f t="shared" si="15"/>
        <v>TolimaFALAN</v>
      </c>
      <c r="D977" t="s">
        <v>1854</v>
      </c>
      <c r="E977" t="s">
        <v>1391</v>
      </c>
      <c r="F977" t="s">
        <v>1873</v>
      </c>
    </row>
    <row r="978" spans="1:6" hidden="1" x14ac:dyDescent="0.2">
      <c r="A978" t="s">
        <v>1853</v>
      </c>
      <c r="B978" t="s">
        <v>1874</v>
      </c>
      <c r="C978" t="str">
        <f t="shared" si="15"/>
        <v>TolimaFLANDES</v>
      </c>
      <c r="D978" t="s">
        <v>1854</v>
      </c>
      <c r="E978" t="s">
        <v>2055</v>
      </c>
      <c r="F978" t="s">
        <v>1875</v>
      </c>
    </row>
    <row r="979" spans="1:6" hidden="1" x14ac:dyDescent="0.2">
      <c r="A979" t="s">
        <v>1853</v>
      </c>
      <c r="B979" t="s">
        <v>1876</v>
      </c>
      <c r="C979" t="str">
        <f t="shared" si="15"/>
        <v>TolimaFRESNO</v>
      </c>
      <c r="D979" t="s">
        <v>1854</v>
      </c>
      <c r="E979" t="s">
        <v>2214</v>
      </c>
      <c r="F979" t="s">
        <v>1877</v>
      </c>
    </row>
    <row r="980" spans="1:6" hidden="1" x14ac:dyDescent="0.2">
      <c r="A980" t="s">
        <v>1853</v>
      </c>
      <c r="B980" t="s">
        <v>31</v>
      </c>
      <c r="C980" t="str">
        <f t="shared" si="15"/>
        <v>TolimaGUAMO</v>
      </c>
      <c r="D980" t="s">
        <v>1854</v>
      </c>
      <c r="E980" t="s">
        <v>2191</v>
      </c>
      <c r="F980" t="s">
        <v>1878</v>
      </c>
    </row>
    <row r="981" spans="1:6" hidden="1" x14ac:dyDescent="0.2">
      <c r="A981" t="s">
        <v>1853</v>
      </c>
      <c r="B981" t="s">
        <v>2469</v>
      </c>
      <c r="C981" t="str">
        <f t="shared" si="15"/>
        <v>TolimaHERVEO</v>
      </c>
      <c r="D981" t="s">
        <v>1854</v>
      </c>
      <c r="E981" t="s">
        <v>484</v>
      </c>
      <c r="F981" t="s">
        <v>1879</v>
      </c>
    </row>
    <row r="982" spans="1:6" hidden="1" x14ac:dyDescent="0.2">
      <c r="A982" t="s">
        <v>1853</v>
      </c>
      <c r="B982" t="s">
        <v>32</v>
      </c>
      <c r="C982" t="str">
        <f t="shared" si="15"/>
        <v>TolimaHONDA</v>
      </c>
      <c r="D982" t="s">
        <v>1854</v>
      </c>
      <c r="E982" t="s">
        <v>2675</v>
      </c>
      <c r="F982" t="s">
        <v>1880</v>
      </c>
    </row>
    <row r="983" spans="1:6" hidden="1" x14ac:dyDescent="0.2">
      <c r="A983" t="s">
        <v>1853</v>
      </c>
      <c r="B983" t="s">
        <v>160</v>
      </c>
      <c r="C983" t="str">
        <f t="shared" si="15"/>
        <v>TolimaICONONZO</v>
      </c>
      <c r="D983" t="s">
        <v>1854</v>
      </c>
      <c r="E983" t="s">
        <v>2674</v>
      </c>
      <c r="F983" t="s">
        <v>1881</v>
      </c>
    </row>
    <row r="984" spans="1:6" hidden="1" x14ac:dyDescent="0.2">
      <c r="A984" t="s">
        <v>1853</v>
      </c>
      <c r="B984" t="s">
        <v>1882</v>
      </c>
      <c r="C984" t="str">
        <f t="shared" si="15"/>
        <v>TolimaLERIDA</v>
      </c>
      <c r="D984" t="s">
        <v>1854</v>
      </c>
      <c r="E984" t="s">
        <v>1884</v>
      </c>
      <c r="F984" t="s">
        <v>1883</v>
      </c>
    </row>
    <row r="985" spans="1:6" hidden="1" x14ac:dyDescent="0.2">
      <c r="A985" t="s">
        <v>1853</v>
      </c>
      <c r="B985" t="s">
        <v>2494</v>
      </c>
      <c r="C985" t="str">
        <f t="shared" si="15"/>
        <v>TolimaLIBANO</v>
      </c>
      <c r="D985" t="s">
        <v>1854</v>
      </c>
      <c r="E985" t="s">
        <v>2077</v>
      </c>
      <c r="F985" t="s">
        <v>1885</v>
      </c>
    </row>
    <row r="986" spans="1:6" hidden="1" x14ac:dyDescent="0.2">
      <c r="A986" t="s">
        <v>1853</v>
      </c>
      <c r="B986" t="s">
        <v>920</v>
      </c>
      <c r="C986" t="str">
        <f t="shared" si="15"/>
        <v>TolimaMARIQUITA</v>
      </c>
      <c r="D986" t="s">
        <v>1854</v>
      </c>
      <c r="E986" t="s">
        <v>1887</v>
      </c>
      <c r="F986" t="s">
        <v>1886</v>
      </c>
    </row>
    <row r="987" spans="1:6" hidden="1" x14ac:dyDescent="0.2">
      <c r="A987" t="s">
        <v>1853</v>
      </c>
      <c r="B987" t="s">
        <v>1888</v>
      </c>
      <c r="C987" t="str">
        <f t="shared" si="15"/>
        <v>TolimaMELGAR</v>
      </c>
      <c r="D987" t="s">
        <v>1854</v>
      </c>
      <c r="E987" t="s">
        <v>2034</v>
      </c>
      <c r="F987" t="s">
        <v>1306</v>
      </c>
    </row>
    <row r="988" spans="1:6" hidden="1" x14ac:dyDescent="0.2">
      <c r="A988" t="s">
        <v>1853</v>
      </c>
      <c r="B988" t="s">
        <v>1889</v>
      </c>
      <c r="C988" t="str">
        <f t="shared" si="15"/>
        <v>TolimaMURILLO</v>
      </c>
      <c r="D988" t="s">
        <v>1854</v>
      </c>
      <c r="E988" t="s">
        <v>1891</v>
      </c>
      <c r="F988" t="s">
        <v>1890</v>
      </c>
    </row>
    <row r="989" spans="1:6" hidden="1" x14ac:dyDescent="0.2">
      <c r="A989" t="s">
        <v>1853</v>
      </c>
      <c r="B989" t="s">
        <v>2512</v>
      </c>
      <c r="C989" t="str">
        <f t="shared" si="15"/>
        <v>TolimaNATAGAIMA</v>
      </c>
      <c r="D989" t="s">
        <v>1854</v>
      </c>
      <c r="E989" t="s">
        <v>1383</v>
      </c>
      <c r="F989" t="s">
        <v>1892</v>
      </c>
    </row>
    <row r="990" spans="1:6" hidden="1" x14ac:dyDescent="0.2">
      <c r="A990" t="s">
        <v>1853</v>
      </c>
      <c r="B990" t="s">
        <v>1893</v>
      </c>
      <c r="C990" t="str">
        <f t="shared" si="15"/>
        <v>TolimaORTEGA</v>
      </c>
      <c r="D990" t="s">
        <v>1854</v>
      </c>
      <c r="E990" t="s">
        <v>1338</v>
      </c>
      <c r="F990" t="s">
        <v>1894</v>
      </c>
    </row>
    <row r="991" spans="1:6" hidden="1" x14ac:dyDescent="0.2">
      <c r="A991" t="s">
        <v>1853</v>
      </c>
      <c r="B991" t="s">
        <v>1417</v>
      </c>
      <c r="C991" t="str">
        <f t="shared" si="15"/>
        <v>TolimaPALOCABILDO</v>
      </c>
      <c r="D991" t="s">
        <v>1854</v>
      </c>
      <c r="E991" t="s">
        <v>1392</v>
      </c>
      <c r="F991" t="s">
        <v>1895</v>
      </c>
    </row>
    <row r="992" spans="1:6" hidden="1" x14ac:dyDescent="0.2">
      <c r="A992" t="s">
        <v>1853</v>
      </c>
      <c r="B992" t="s">
        <v>1752</v>
      </c>
      <c r="C992" t="str">
        <f t="shared" si="15"/>
        <v>TolimaPIEDRAS</v>
      </c>
      <c r="D992" t="s">
        <v>1854</v>
      </c>
      <c r="E992" t="s">
        <v>1257</v>
      </c>
      <c r="F992" t="s">
        <v>1896</v>
      </c>
    </row>
    <row r="993" spans="1:6" hidden="1" x14ac:dyDescent="0.2">
      <c r="A993" t="s">
        <v>1853</v>
      </c>
      <c r="B993" t="s">
        <v>973</v>
      </c>
      <c r="C993" t="str">
        <f t="shared" si="15"/>
        <v>TolimaPLANADAS</v>
      </c>
      <c r="D993" t="s">
        <v>1854</v>
      </c>
      <c r="E993" t="s">
        <v>2737</v>
      </c>
      <c r="F993" t="s">
        <v>1897</v>
      </c>
    </row>
    <row r="994" spans="1:6" hidden="1" x14ac:dyDescent="0.2">
      <c r="A994" t="s">
        <v>1853</v>
      </c>
      <c r="B994" t="s">
        <v>1898</v>
      </c>
      <c r="C994" t="str">
        <f t="shared" si="15"/>
        <v>TolimaPRADO</v>
      </c>
      <c r="D994" t="s">
        <v>1854</v>
      </c>
      <c r="E994" t="s">
        <v>2104</v>
      </c>
      <c r="F994" t="s">
        <v>1899</v>
      </c>
    </row>
    <row r="995" spans="1:6" hidden="1" x14ac:dyDescent="0.2">
      <c r="A995" t="s">
        <v>1853</v>
      </c>
      <c r="B995" t="s">
        <v>2533</v>
      </c>
      <c r="C995" t="str">
        <f t="shared" si="15"/>
        <v>TolimaPURIFICACION</v>
      </c>
      <c r="D995" t="s">
        <v>1854</v>
      </c>
      <c r="E995" t="s">
        <v>2791</v>
      </c>
      <c r="F995" t="s">
        <v>1900</v>
      </c>
    </row>
    <row r="996" spans="1:6" hidden="1" x14ac:dyDescent="0.2">
      <c r="A996" t="s">
        <v>1853</v>
      </c>
      <c r="B996" t="s">
        <v>767</v>
      </c>
      <c r="C996" t="str">
        <f t="shared" si="15"/>
        <v>TolimaRIOBLANCO</v>
      </c>
      <c r="D996" t="s">
        <v>1854</v>
      </c>
      <c r="E996" t="s">
        <v>1902</v>
      </c>
      <c r="F996" t="s">
        <v>1901</v>
      </c>
    </row>
    <row r="997" spans="1:6" hidden="1" x14ac:dyDescent="0.2">
      <c r="A997" t="s">
        <v>1853</v>
      </c>
      <c r="B997" t="s">
        <v>863</v>
      </c>
      <c r="C997" t="str">
        <f t="shared" si="15"/>
        <v>TolimaRONCESVALLES</v>
      </c>
      <c r="D997" t="s">
        <v>1854</v>
      </c>
      <c r="E997" t="s">
        <v>1904</v>
      </c>
      <c r="F997" t="s">
        <v>1903</v>
      </c>
    </row>
    <row r="998" spans="1:6" hidden="1" x14ac:dyDescent="0.2">
      <c r="A998" t="s">
        <v>1853</v>
      </c>
      <c r="B998" t="s">
        <v>1905</v>
      </c>
      <c r="C998" t="str">
        <f t="shared" si="15"/>
        <v>TolimaROVIRA</v>
      </c>
      <c r="D998" t="s">
        <v>1854</v>
      </c>
      <c r="E998" t="s">
        <v>1907</v>
      </c>
      <c r="F998" t="s">
        <v>1906</v>
      </c>
    </row>
    <row r="999" spans="1:6" hidden="1" x14ac:dyDescent="0.2">
      <c r="A999" t="s">
        <v>1853</v>
      </c>
      <c r="B999" t="s">
        <v>1908</v>
      </c>
      <c r="C999" t="str">
        <f t="shared" si="15"/>
        <v>TolimaSALDAÑA</v>
      </c>
      <c r="D999" t="s">
        <v>1854</v>
      </c>
      <c r="E999" t="s">
        <v>1910</v>
      </c>
      <c r="F999" t="s">
        <v>1909</v>
      </c>
    </row>
    <row r="1000" spans="1:6" hidden="1" x14ac:dyDescent="0.2">
      <c r="A1000" t="s">
        <v>1853</v>
      </c>
      <c r="B1000" t="s">
        <v>1437</v>
      </c>
      <c r="C1000" t="str">
        <f t="shared" si="15"/>
        <v>TolimaSAN ANTONIO</v>
      </c>
      <c r="D1000" t="s">
        <v>1854</v>
      </c>
      <c r="E1000" t="s">
        <v>1912</v>
      </c>
      <c r="F1000" t="s">
        <v>1911</v>
      </c>
    </row>
    <row r="1001" spans="1:6" hidden="1" x14ac:dyDescent="0.2">
      <c r="A1001" t="s">
        <v>1853</v>
      </c>
      <c r="B1001" t="s">
        <v>994</v>
      </c>
      <c r="C1001" t="str">
        <f t="shared" si="15"/>
        <v>TolimaSAN LUIS</v>
      </c>
      <c r="D1001" t="s">
        <v>1854</v>
      </c>
      <c r="E1001" t="s">
        <v>1384</v>
      </c>
      <c r="F1001" t="s">
        <v>1913</v>
      </c>
    </row>
    <row r="1002" spans="1:6" hidden="1" x14ac:dyDescent="0.2">
      <c r="A1002" t="s">
        <v>1853</v>
      </c>
      <c r="B1002" t="s">
        <v>2585</v>
      </c>
      <c r="C1002" t="str">
        <f t="shared" si="15"/>
        <v>TolimaSANTA ISABEL</v>
      </c>
      <c r="D1002" t="s">
        <v>1854</v>
      </c>
      <c r="E1002" t="s">
        <v>1915</v>
      </c>
      <c r="F1002" t="s">
        <v>1914</v>
      </c>
    </row>
    <row r="1003" spans="1:6" hidden="1" x14ac:dyDescent="0.2">
      <c r="A1003" t="s">
        <v>1853</v>
      </c>
      <c r="B1003" t="s">
        <v>1445</v>
      </c>
      <c r="C1003" t="str">
        <f t="shared" si="15"/>
        <v>TolimaSUAREZ</v>
      </c>
      <c r="D1003" t="s">
        <v>1854</v>
      </c>
      <c r="E1003" t="s">
        <v>2698</v>
      </c>
      <c r="F1003" t="s">
        <v>1916</v>
      </c>
    </row>
    <row r="1004" spans="1:6" hidden="1" x14ac:dyDescent="0.2">
      <c r="A1004" t="s">
        <v>1853</v>
      </c>
      <c r="B1004" t="s">
        <v>2622</v>
      </c>
      <c r="C1004" t="str">
        <f t="shared" si="15"/>
        <v>TolimaVALLE DE SAN JUAN</v>
      </c>
      <c r="D1004" t="s">
        <v>1854</v>
      </c>
      <c r="E1004" t="s">
        <v>2708</v>
      </c>
      <c r="F1004" t="s">
        <v>1917</v>
      </c>
    </row>
    <row r="1005" spans="1:6" hidden="1" x14ac:dyDescent="0.2">
      <c r="A1005" t="s">
        <v>1853</v>
      </c>
      <c r="B1005" t="s">
        <v>2630</v>
      </c>
      <c r="C1005" t="str">
        <f t="shared" si="15"/>
        <v>TolimaVENADILLO</v>
      </c>
      <c r="D1005" t="s">
        <v>1854</v>
      </c>
      <c r="E1005" t="s">
        <v>2211</v>
      </c>
      <c r="F1005" t="s">
        <v>1918</v>
      </c>
    </row>
    <row r="1006" spans="1:6" hidden="1" x14ac:dyDescent="0.2">
      <c r="A1006" t="s">
        <v>1853</v>
      </c>
      <c r="B1006" t="s">
        <v>1919</v>
      </c>
      <c r="C1006" t="str">
        <f t="shared" si="15"/>
        <v>TolimaVILLAHERMOSA</v>
      </c>
      <c r="D1006" t="s">
        <v>1854</v>
      </c>
      <c r="E1006" t="s">
        <v>1258</v>
      </c>
      <c r="F1006" t="s">
        <v>1920</v>
      </c>
    </row>
    <row r="1007" spans="1:6" hidden="1" x14ac:dyDescent="0.2">
      <c r="A1007" t="s">
        <v>1853</v>
      </c>
      <c r="B1007" t="s">
        <v>2632</v>
      </c>
      <c r="C1007" t="str">
        <f t="shared" si="15"/>
        <v>TolimaVILLARRICA</v>
      </c>
      <c r="D1007" t="s">
        <v>1854</v>
      </c>
      <c r="E1007" t="s">
        <v>1685</v>
      </c>
      <c r="F1007" t="s">
        <v>1921</v>
      </c>
    </row>
    <row r="1008" spans="1:6" hidden="1" x14ac:dyDescent="0.2">
      <c r="A1008" t="s">
        <v>1922</v>
      </c>
      <c r="B1008" t="s">
        <v>2321</v>
      </c>
      <c r="C1008" t="str">
        <f t="shared" si="15"/>
        <v>Valle del CaucaCALI</v>
      </c>
      <c r="D1008" t="s">
        <v>1923</v>
      </c>
      <c r="E1008" t="s">
        <v>1686</v>
      </c>
      <c r="F1008" t="s">
        <v>1307</v>
      </c>
    </row>
    <row r="1009" spans="1:6" hidden="1" x14ac:dyDescent="0.2">
      <c r="A1009" t="s">
        <v>1922</v>
      </c>
      <c r="B1009" t="s">
        <v>23</v>
      </c>
      <c r="C1009" t="str">
        <f t="shared" si="15"/>
        <v>Valle del CaucaALCALA</v>
      </c>
      <c r="D1009" t="s">
        <v>1923</v>
      </c>
      <c r="E1009" t="s">
        <v>1925</v>
      </c>
      <c r="F1009" t="s">
        <v>1924</v>
      </c>
    </row>
    <row r="1010" spans="1:6" hidden="1" x14ac:dyDescent="0.2">
      <c r="A1010" t="s">
        <v>1922</v>
      </c>
      <c r="B1010" t="s">
        <v>2338</v>
      </c>
      <c r="C1010" t="str">
        <f t="shared" si="15"/>
        <v>Valle del CaucaANDALUCIA</v>
      </c>
      <c r="D1010" t="s">
        <v>1923</v>
      </c>
      <c r="E1010" t="s">
        <v>2101</v>
      </c>
      <c r="F1010" t="s">
        <v>1926</v>
      </c>
    </row>
    <row r="1011" spans="1:6" hidden="1" x14ac:dyDescent="0.2">
      <c r="A1011" t="s">
        <v>1922</v>
      </c>
      <c r="B1011" t="s">
        <v>1927</v>
      </c>
      <c r="C1011" t="str">
        <f t="shared" si="15"/>
        <v>Valle del CaucaANSERMANUEVO</v>
      </c>
      <c r="D1011" t="s">
        <v>1923</v>
      </c>
      <c r="E1011" t="s">
        <v>2107</v>
      </c>
      <c r="F1011" t="s">
        <v>1928</v>
      </c>
    </row>
    <row r="1012" spans="1:6" hidden="1" x14ac:dyDescent="0.2">
      <c r="A1012" t="s">
        <v>1922</v>
      </c>
      <c r="B1012" t="s">
        <v>1929</v>
      </c>
      <c r="C1012" t="str">
        <f t="shared" si="15"/>
        <v>Valle del CaucaARGELIA</v>
      </c>
      <c r="D1012" t="s">
        <v>1923</v>
      </c>
      <c r="E1012" t="s">
        <v>1346</v>
      </c>
      <c r="F1012" t="s">
        <v>1930</v>
      </c>
    </row>
    <row r="1013" spans="1:6" hidden="1" x14ac:dyDescent="0.2">
      <c r="A1013" t="s">
        <v>1922</v>
      </c>
      <c r="B1013" t="s">
        <v>826</v>
      </c>
      <c r="C1013" t="str">
        <f t="shared" si="15"/>
        <v>Valle del CaucaBOLIVAR</v>
      </c>
      <c r="D1013" t="s">
        <v>1923</v>
      </c>
      <c r="E1013" t="s">
        <v>2777</v>
      </c>
      <c r="F1013" t="s">
        <v>1931</v>
      </c>
    </row>
    <row r="1014" spans="1:6" hidden="1" x14ac:dyDescent="0.2">
      <c r="A1014" t="s">
        <v>1922</v>
      </c>
      <c r="B1014" t="s">
        <v>1581</v>
      </c>
      <c r="C1014" t="str">
        <f t="shared" si="15"/>
        <v>Valle del CaucaBUENAVENTURA</v>
      </c>
      <c r="D1014" t="s">
        <v>1923</v>
      </c>
      <c r="E1014" t="s">
        <v>2754</v>
      </c>
      <c r="F1014" t="s">
        <v>1932</v>
      </c>
    </row>
    <row r="1015" spans="1:6" hidden="1" x14ac:dyDescent="0.2">
      <c r="A1015" t="s">
        <v>1922</v>
      </c>
      <c r="B1015" t="s">
        <v>270</v>
      </c>
      <c r="C1015" t="str">
        <f t="shared" si="15"/>
        <v>Valle del CaucaGUADALAJARA DE BUGA</v>
      </c>
      <c r="D1015" t="s">
        <v>1923</v>
      </c>
      <c r="E1015" t="s">
        <v>1390</v>
      </c>
      <c r="F1015" t="s">
        <v>1933</v>
      </c>
    </row>
    <row r="1016" spans="1:6" hidden="1" x14ac:dyDescent="0.2">
      <c r="A1016" t="s">
        <v>1922</v>
      </c>
      <c r="B1016" t="s">
        <v>2379</v>
      </c>
      <c r="C1016" t="str">
        <f t="shared" si="15"/>
        <v>Valle del CaucaBUGALAGRANDE</v>
      </c>
      <c r="D1016" t="s">
        <v>1923</v>
      </c>
      <c r="E1016" t="s">
        <v>2712</v>
      </c>
      <c r="F1016" t="s">
        <v>1934</v>
      </c>
    </row>
    <row r="1017" spans="1:6" hidden="1" x14ac:dyDescent="0.2">
      <c r="A1017" t="s">
        <v>1922</v>
      </c>
      <c r="B1017" t="s">
        <v>1935</v>
      </c>
      <c r="C1017" t="str">
        <f t="shared" si="15"/>
        <v>Valle del CaucaCAICEDONIA</v>
      </c>
      <c r="D1017" t="s">
        <v>1923</v>
      </c>
      <c r="E1017" t="s">
        <v>1937</v>
      </c>
      <c r="F1017" t="s">
        <v>1936</v>
      </c>
    </row>
    <row r="1018" spans="1:6" hidden="1" x14ac:dyDescent="0.2">
      <c r="A1018" t="s">
        <v>1922</v>
      </c>
      <c r="B1018" t="s">
        <v>1023</v>
      </c>
      <c r="C1018" t="str">
        <f t="shared" si="15"/>
        <v>Valle del CaucaCALIMA</v>
      </c>
      <c r="D1018" t="s">
        <v>1923</v>
      </c>
      <c r="E1018" t="s">
        <v>1939</v>
      </c>
      <c r="F1018" t="s">
        <v>1938</v>
      </c>
    </row>
    <row r="1019" spans="1:6" hidden="1" x14ac:dyDescent="0.2">
      <c r="A1019" t="s">
        <v>1922</v>
      </c>
      <c r="B1019" t="s">
        <v>829</v>
      </c>
      <c r="C1019" t="str">
        <f t="shared" si="15"/>
        <v>Valle del CaucaCANDELARIA</v>
      </c>
      <c r="D1019" t="s">
        <v>1923</v>
      </c>
      <c r="E1019" t="s">
        <v>2757</v>
      </c>
      <c r="F1019" t="s">
        <v>1308</v>
      </c>
    </row>
    <row r="1020" spans="1:6" hidden="1" x14ac:dyDescent="0.2">
      <c r="A1020" t="s">
        <v>1922</v>
      </c>
      <c r="B1020" t="s">
        <v>2401</v>
      </c>
      <c r="C1020" t="str">
        <f t="shared" si="15"/>
        <v>Valle del CaucaCARTAGO</v>
      </c>
      <c r="D1020" t="s">
        <v>1923</v>
      </c>
      <c r="E1020" t="s">
        <v>2122</v>
      </c>
      <c r="F1020" t="s">
        <v>1940</v>
      </c>
    </row>
    <row r="1021" spans="1:6" hidden="1" x14ac:dyDescent="0.2">
      <c r="A1021" t="s">
        <v>1922</v>
      </c>
      <c r="B1021" t="s">
        <v>140</v>
      </c>
      <c r="C1021" t="str">
        <f t="shared" si="15"/>
        <v>Valle del CaucaDAGUA</v>
      </c>
      <c r="D1021" t="s">
        <v>1923</v>
      </c>
      <c r="E1021" t="s">
        <v>2064</v>
      </c>
      <c r="F1021" t="s">
        <v>1309</v>
      </c>
    </row>
    <row r="1022" spans="1:6" hidden="1" x14ac:dyDescent="0.2">
      <c r="A1022" t="s">
        <v>1922</v>
      </c>
      <c r="B1022" t="s">
        <v>1941</v>
      </c>
      <c r="C1022" t="str">
        <f t="shared" si="15"/>
        <v>Valle del CaucaEL AGUILA</v>
      </c>
      <c r="D1022" t="s">
        <v>1923</v>
      </c>
      <c r="E1022" t="s">
        <v>2704</v>
      </c>
      <c r="F1022" t="s">
        <v>1942</v>
      </c>
    </row>
    <row r="1023" spans="1:6" hidden="1" x14ac:dyDescent="0.2">
      <c r="A1023" t="s">
        <v>1922</v>
      </c>
      <c r="B1023" t="s">
        <v>1943</v>
      </c>
      <c r="C1023" t="str">
        <f t="shared" si="15"/>
        <v>Valle del CaucaEL CAIRO</v>
      </c>
      <c r="D1023" t="s">
        <v>1923</v>
      </c>
      <c r="E1023" s="109" t="s">
        <v>2218</v>
      </c>
      <c r="F1023" t="s">
        <v>1944</v>
      </c>
    </row>
    <row r="1024" spans="1:6" hidden="1" x14ac:dyDescent="0.2">
      <c r="A1024" t="s">
        <v>1922</v>
      </c>
      <c r="B1024" t="s">
        <v>1485</v>
      </c>
      <c r="C1024" t="str">
        <f t="shared" si="15"/>
        <v>Valle del CaucaEL CERRITO</v>
      </c>
      <c r="D1024" t="s">
        <v>1923</v>
      </c>
      <c r="E1024" t="s">
        <v>2102</v>
      </c>
      <c r="F1024" t="s">
        <v>1310</v>
      </c>
    </row>
    <row r="1025" spans="1:6" hidden="1" x14ac:dyDescent="0.2">
      <c r="A1025" t="s">
        <v>1922</v>
      </c>
      <c r="B1025" t="s">
        <v>2439</v>
      </c>
      <c r="C1025" t="str">
        <f t="shared" si="15"/>
        <v>Valle del CaucaEL DOVIO</v>
      </c>
      <c r="D1025" t="s">
        <v>1923</v>
      </c>
      <c r="E1025" t="s">
        <v>2057</v>
      </c>
      <c r="F1025" t="s">
        <v>1945</v>
      </c>
    </row>
    <row r="1026" spans="1:6" hidden="1" x14ac:dyDescent="0.2">
      <c r="A1026" t="s">
        <v>1922</v>
      </c>
      <c r="B1026" t="s">
        <v>1874</v>
      </c>
      <c r="C1026" t="str">
        <f t="shared" si="15"/>
        <v>Valle del CaucaFLORIDA</v>
      </c>
      <c r="D1026" t="s">
        <v>1923</v>
      </c>
      <c r="E1026" t="s">
        <v>1947</v>
      </c>
      <c r="F1026" t="s">
        <v>1946</v>
      </c>
    </row>
    <row r="1027" spans="1:6" hidden="1" x14ac:dyDescent="0.2">
      <c r="A1027" t="s">
        <v>1922</v>
      </c>
      <c r="B1027" t="s">
        <v>2452</v>
      </c>
      <c r="C1027" t="str">
        <f t="shared" ref="C1027:C1090" si="16">D1027&amp;E1027</f>
        <v>Valle del CaucaGINEBRA</v>
      </c>
      <c r="D1027" t="s">
        <v>1923</v>
      </c>
      <c r="E1027" t="s">
        <v>2763</v>
      </c>
      <c r="F1027" t="s">
        <v>1311</v>
      </c>
    </row>
    <row r="1028" spans="1:6" hidden="1" x14ac:dyDescent="0.2">
      <c r="A1028" t="s">
        <v>1922</v>
      </c>
      <c r="B1028" t="s">
        <v>2464</v>
      </c>
      <c r="C1028" t="str">
        <f t="shared" si="16"/>
        <v>Valle del CaucaGUACARI</v>
      </c>
      <c r="D1028" t="s">
        <v>1923</v>
      </c>
      <c r="E1028" t="s">
        <v>1949</v>
      </c>
      <c r="F1028" t="s">
        <v>1948</v>
      </c>
    </row>
    <row r="1029" spans="1:6" hidden="1" x14ac:dyDescent="0.2">
      <c r="A1029" t="s">
        <v>1922</v>
      </c>
      <c r="B1029" t="s">
        <v>2480</v>
      </c>
      <c r="C1029" t="str">
        <f t="shared" si="16"/>
        <v>Valle del CaucaJAMUNDI</v>
      </c>
      <c r="D1029" t="s">
        <v>1923</v>
      </c>
      <c r="E1029" t="s">
        <v>2667</v>
      </c>
      <c r="F1029" t="s">
        <v>1950</v>
      </c>
    </row>
    <row r="1030" spans="1:6" hidden="1" x14ac:dyDescent="0.2">
      <c r="A1030" t="s">
        <v>1922</v>
      </c>
      <c r="B1030" t="s">
        <v>548</v>
      </c>
      <c r="C1030" t="str">
        <f t="shared" si="16"/>
        <v>Valle del CaucaLA CUMBRE</v>
      </c>
      <c r="D1030" t="s">
        <v>1923</v>
      </c>
      <c r="E1030" t="s">
        <v>1361</v>
      </c>
      <c r="F1030" t="s">
        <v>1951</v>
      </c>
    </row>
    <row r="1031" spans="1:6" hidden="1" x14ac:dyDescent="0.2">
      <c r="A1031" t="s">
        <v>1922</v>
      </c>
      <c r="B1031" t="s">
        <v>2492</v>
      </c>
      <c r="C1031" t="str">
        <f t="shared" si="16"/>
        <v>Valle del CaucaLA UNION</v>
      </c>
      <c r="D1031" t="s">
        <v>1923</v>
      </c>
      <c r="E1031" t="s">
        <v>2160</v>
      </c>
      <c r="F1031" t="s">
        <v>1952</v>
      </c>
    </row>
    <row r="1032" spans="1:6" hidden="1" x14ac:dyDescent="0.2">
      <c r="A1032" t="s">
        <v>1922</v>
      </c>
      <c r="B1032" t="s">
        <v>555</v>
      </c>
      <c r="C1032" t="str">
        <f t="shared" si="16"/>
        <v>Valle del CaucaLA VICTORIA</v>
      </c>
      <c r="D1032" t="s">
        <v>1923</v>
      </c>
      <c r="E1032" t="s">
        <v>1703</v>
      </c>
      <c r="F1032" t="s">
        <v>1312</v>
      </c>
    </row>
    <row r="1033" spans="1:6" hidden="1" x14ac:dyDescent="0.2">
      <c r="A1033" t="s">
        <v>1922</v>
      </c>
      <c r="B1033" t="s">
        <v>1953</v>
      </c>
      <c r="C1033" t="str">
        <f t="shared" si="16"/>
        <v>Valle del CaucaOBANDO</v>
      </c>
      <c r="D1033" t="s">
        <v>1923</v>
      </c>
      <c r="E1033" t="s">
        <v>2685</v>
      </c>
      <c r="F1033" t="s">
        <v>1954</v>
      </c>
    </row>
    <row r="1034" spans="1:6" hidden="1" x14ac:dyDescent="0.2">
      <c r="A1034" t="s">
        <v>1922</v>
      </c>
      <c r="B1034" t="s">
        <v>1417</v>
      </c>
      <c r="C1034" t="str">
        <f t="shared" si="16"/>
        <v>Valle del CaucaPALMIRA</v>
      </c>
      <c r="D1034" t="s">
        <v>1923</v>
      </c>
      <c r="E1034" t="s">
        <v>2668</v>
      </c>
      <c r="F1034" t="s">
        <v>1313</v>
      </c>
    </row>
    <row r="1035" spans="1:6" hidden="1" x14ac:dyDescent="0.2">
      <c r="A1035" t="s">
        <v>1922</v>
      </c>
      <c r="B1035" t="s">
        <v>1898</v>
      </c>
      <c r="C1035" t="str">
        <f t="shared" si="16"/>
        <v>Valle del CaucaPRADERA</v>
      </c>
      <c r="D1035" t="s">
        <v>1923</v>
      </c>
      <c r="E1035" t="s">
        <v>1956</v>
      </c>
      <c r="F1035" t="s">
        <v>1955</v>
      </c>
    </row>
    <row r="1036" spans="1:6" hidden="1" x14ac:dyDescent="0.2">
      <c r="A1036" t="s">
        <v>1922</v>
      </c>
      <c r="B1036" t="s">
        <v>1431</v>
      </c>
      <c r="C1036" t="str">
        <f t="shared" si="16"/>
        <v>Valle del CaucaRESTREPO</v>
      </c>
      <c r="D1036" t="s">
        <v>1923</v>
      </c>
      <c r="E1036" t="s">
        <v>107</v>
      </c>
      <c r="F1036" t="s">
        <v>1957</v>
      </c>
    </row>
    <row r="1037" spans="1:6" hidden="1" x14ac:dyDescent="0.2">
      <c r="A1037" t="s">
        <v>1922</v>
      </c>
      <c r="B1037" t="s">
        <v>767</v>
      </c>
      <c r="C1037" t="str">
        <f t="shared" si="16"/>
        <v>Valle del CaucaRIOFRIO</v>
      </c>
      <c r="D1037" t="s">
        <v>1923</v>
      </c>
      <c r="E1037" t="s">
        <v>1959</v>
      </c>
      <c r="F1037" t="s">
        <v>1958</v>
      </c>
    </row>
    <row r="1038" spans="1:6" hidden="1" x14ac:dyDescent="0.2">
      <c r="A1038" t="s">
        <v>1922</v>
      </c>
      <c r="B1038" t="s">
        <v>863</v>
      </c>
      <c r="C1038" t="str">
        <f t="shared" si="16"/>
        <v>Valle del CaucaROLDANILLO</v>
      </c>
      <c r="D1038" t="s">
        <v>1923</v>
      </c>
      <c r="E1038" t="s">
        <v>1366</v>
      </c>
      <c r="F1038" t="s">
        <v>1960</v>
      </c>
    </row>
    <row r="1039" spans="1:6" hidden="1" x14ac:dyDescent="0.2">
      <c r="A1039" t="s">
        <v>1922</v>
      </c>
      <c r="B1039" t="s">
        <v>2578</v>
      </c>
      <c r="C1039" t="str">
        <f t="shared" si="16"/>
        <v>Valle del CaucaSAN PEDRO</v>
      </c>
      <c r="D1039" t="s">
        <v>1923</v>
      </c>
      <c r="E1039" t="s">
        <v>2159</v>
      </c>
      <c r="F1039" t="s">
        <v>1961</v>
      </c>
    </row>
    <row r="1040" spans="1:6" hidden="1" x14ac:dyDescent="0.2">
      <c r="A1040" t="s">
        <v>1922</v>
      </c>
      <c r="B1040" t="s">
        <v>2594</v>
      </c>
      <c r="C1040" t="str">
        <f t="shared" si="16"/>
        <v>Valle del CaucaSEVILLA</v>
      </c>
      <c r="D1040" t="s">
        <v>1923</v>
      </c>
      <c r="E1040" t="s">
        <v>2688</v>
      </c>
      <c r="F1040" t="s">
        <v>1962</v>
      </c>
    </row>
    <row r="1041" spans="1:6" hidden="1" x14ac:dyDescent="0.2">
      <c r="A1041" t="s">
        <v>1922</v>
      </c>
      <c r="B1041" t="s">
        <v>1186</v>
      </c>
      <c r="C1041" t="str">
        <f t="shared" si="16"/>
        <v>Valle del CaucaTORO</v>
      </c>
      <c r="D1041" t="s">
        <v>1923</v>
      </c>
      <c r="E1041" t="s">
        <v>2089</v>
      </c>
      <c r="F1041" t="s">
        <v>1963</v>
      </c>
    </row>
    <row r="1042" spans="1:6" hidden="1" x14ac:dyDescent="0.2">
      <c r="A1042" t="s">
        <v>1922</v>
      </c>
      <c r="B1042" t="s">
        <v>1964</v>
      </c>
      <c r="C1042" t="str">
        <f t="shared" si="16"/>
        <v>Valle del CaucaTRUJILLO</v>
      </c>
      <c r="D1042" t="s">
        <v>1923</v>
      </c>
      <c r="E1042" t="s">
        <v>2751</v>
      </c>
      <c r="F1042" t="s">
        <v>1965</v>
      </c>
    </row>
    <row r="1043" spans="1:6" hidden="1" x14ac:dyDescent="0.2">
      <c r="A1043" t="s">
        <v>1922</v>
      </c>
      <c r="B1043" t="s">
        <v>1966</v>
      </c>
      <c r="C1043" t="str">
        <f t="shared" si="16"/>
        <v>Valle del CaucaTULUA</v>
      </c>
      <c r="D1043" t="s">
        <v>1923</v>
      </c>
      <c r="E1043" t="s">
        <v>2135</v>
      </c>
      <c r="F1043" t="s">
        <v>1967</v>
      </c>
    </row>
    <row r="1044" spans="1:6" hidden="1" x14ac:dyDescent="0.2">
      <c r="A1044" t="s">
        <v>1922</v>
      </c>
      <c r="B1044" t="s">
        <v>885</v>
      </c>
      <c r="C1044" t="str">
        <f t="shared" si="16"/>
        <v>Valle del CaucaULLOA</v>
      </c>
      <c r="D1044" t="s">
        <v>1923</v>
      </c>
      <c r="E1044" t="s">
        <v>1969</v>
      </c>
      <c r="F1044" t="s">
        <v>1968</v>
      </c>
    </row>
    <row r="1045" spans="1:6" hidden="1" x14ac:dyDescent="0.2">
      <c r="A1045" t="s">
        <v>1922</v>
      </c>
      <c r="B1045" t="s">
        <v>1970</v>
      </c>
      <c r="C1045" t="str">
        <f t="shared" si="16"/>
        <v>Valle del CaucaVERSALLES</v>
      </c>
      <c r="D1045" t="s">
        <v>1923</v>
      </c>
      <c r="E1045" t="s">
        <v>2201</v>
      </c>
      <c r="F1045" t="s">
        <v>1971</v>
      </c>
    </row>
    <row r="1046" spans="1:6" hidden="1" x14ac:dyDescent="0.2">
      <c r="A1046" t="s">
        <v>1922</v>
      </c>
      <c r="B1046" t="s">
        <v>1972</v>
      </c>
      <c r="C1046" t="str">
        <f t="shared" si="16"/>
        <v>Valle del CaucaVIJES</v>
      </c>
      <c r="D1046" t="s">
        <v>1923</v>
      </c>
      <c r="E1046" t="s">
        <v>1974</v>
      </c>
      <c r="F1046" t="s">
        <v>1973</v>
      </c>
    </row>
    <row r="1047" spans="1:6" hidden="1" x14ac:dyDescent="0.2">
      <c r="A1047" t="s">
        <v>1922</v>
      </c>
      <c r="B1047" t="s">
        <v>2640</v>
      </c>
      <c r="C1047" t="str">
        <f t="shared" si="16"/>
        <v>Valle del CaucaYOTOCO</v>
      </c>
      <c r="D1047" t="s">
        <v>1923</v>
      </c>
      <c r="E1047" t="s">
        <v>1358</v>
      </c>
      <c r="F1047" t="s">
        <v>1314</v>
      </c>
    </row>
    <row r="1048" spans="1:6" hidden="1" x14ac:dyDescent="0.2">
      <c r="A1048" t="s">
        <v>1922</v>
      </c>
      <c r="B1048" t="s">
        <v>1975</v>
      </c>
      <c r="C1048" t="str">
        <f t="shared" si="16"/>
        <v>Valle del CaucaYUMBO</v>
      </c>
      <c r="D1048" t="s">
        <v>1923</v>
      </c>
      <c r="E1048" t="s">
        <v>2113</v>
      </c>
      <c r="F1048" t="s">
        <v>1315</v>
      </c>
    </row>
    <row r="1049" spans="1:6" hidden="1" x14ac:dyDescent="0.2">
      <c r="A1049" t="s">
        <v>1922</v>
      </c>
      <c r="B1049" t="s">
        <v>2646</v>
      </c>
      <c r="C1049" t="str">
        <f t="shared" si="16"/>
        <v>Valle del CaucaZARZAL</v>
      </c>
      <c r="D1049" t="s">
        <v>1923</v>
      </c>
      <c r="E1049" t="s">
        <v>2800</v>
      </c>
      <c r="F1049" t="s">
        <v>1976</v>
      </c>
    </row>
    <row r="1050" spans="1:6" hidden="1" x14ac:dyDescent="0.2">
      <c r="A1050" t="s">
        <v>1977</v>
      </c>
      <c r="B1050" t="s">
        <v>2321</v>
      </c>
      <c r="C1050" t="str">
        <f t="shared" si="16"/>
        <v>AraucaARAUCA</v>
      </c>
      <c r="D1050" t="s">
        <v>1979</v>
      </c>
      <c r="E1050" t="s">
        <v>2036</v>
      </c>
      <c r="F1050" t="s">
        <v>1978</v>
      </c>
    </row>
    <row r="1051" spans="1:6" hidden="1" x14ac:dyDescent="0.2">
      <c r="A1051" t="s">
        <v>1977</v>
      </c>
      <c r="B1051" t="s">
        <v>1980</v>
      </c>
      <c r="C1051" t="str">
        <f t="shared" si="16"/>
        <v>AraucaARAUQUITA</v>
      </c>
      <c r="D1051" t="s">
        <v>1979</v>
      </c>
      <c r="E1051" t="s">
        <v>1374</v>
      </c>
      <c r="F1051" t="s">
        <v>1981</v>
      </c>
    </row>
    <row r="1052" spans="1:6" hidden="1" x14ac:dyDescent="0.2">
      <c r="A1052" t="s">
        <v>1977</v>
      </c>
      <c r="B1052" t="s">
        <v>1982</v>
      </c>
      <c r="C1052" t="str">
        <f t="shared" si="16"/>
        <v>AraucaCRAVO NORTE</v>
      </c>
      <c r="D1052" t="s">
        <v>1979</v>
      </c>
      <c r="E1052" t="s">
        <v>1984</v>
      </c>
      <c r="F1052" t="s">
        <v>1983</v>
      </c>
    </row>
    <row r="1053" spans="1:6" hidden="1" x14ac:dyDescent="0.2">
      <c r="A1053" t="s">
        <v>1977</v>
      </c>
      <c r="B1053" t="s">
        <v>1490</v>
      </c>
      <c r="C1053" t="str">
        <f t="shared" si="16"/>
        <v>AraucaFORTUL</v>
      </c>
      <c r="D1053" t="s">
        <v>1979</v>
      </c>
      <c r="E1053" t="s">
        <v>1687</v>
      </c>
      <c r="F1053" t="s">
        <v>1985</v>
      </c>
    </row>
    <row r="1054" spans="1:6" hidden="1" x14ac:dyDescent="0.2">
      <c r="A1054" t="s">
        <v>1977</v>
      </c>
      <c r="B1054" t="s">
        <v>2535</v>
      </c>
      <c r="C1054" t="str">
        <f t="shared" si="16"/>
        <v>AraucaPUERTO RONDON</v>
      </c>
      <c r="D1054" t="s">
        <v>1979</v>
      </c>
      <c r="E1054" t="s">
        <v>1373</v>
      </c>
      <c r="F1054" t="s">
        <v>1986</v>
      </c>
    </row>
    <row r="1055" spans="1:6" hidden="1" x14ac:dyDescent="0.2">
      <c r="A1055" t="s">
        <v>1977</v>
      </c>
      <c r="B1055" t="s">
        <v>2594</v>
      </c>
      <c r="C1055" t="str">
        <f t="shared" si="16"/>
        <v>AraucaSARAVENA</v>
      </c>
      <c r="D1055" t="s">
        <v>1979</v>
      </c>
      <c r="E1055" t="s">
        <v>2753</v>
      </c>
      <c r="F1055" t="s">
        <v>1316</v>
      </c>
    </row>
    <row r="1056" spans="1:6" hidden="1" x14ac:dyDescent="0.2">
      <c r="A1056" t="s">
        <v>1977</v>
      </c>
      <c r="B1056" t="s">
        <v>1987</v>
      </c>
      <c r="C1056" t="str">
        <f t="shared" si="16"/>
        <v>AraucaTAME</v>
      </c>
      <c r="D1056" t="s">
        <v>1979</v>
      </c>
      <c r="E1056" t="s">
        <v>2670</v>
      </c>
      <c r="F1056" t="s">
        <v>1988</v>
      </c>
    </row>
    <row r="1057" spans="1:6" hidden="1" x14ac:dyDescent="0.2">
      <c r="A1057" t="s">
        <v>1989</v>
      </c>
      <c r="B1057" t="s">
        <v>2321</v>
      </c>
      <c r="C1057" t="str">
        <f t="shared" si="16"/>
        <v>CASANAREYOPAL</v>
      </c>
      <c r="D1057" t="s">
        <v>2778</v>
      </c>
      <c r="E1057" t="s">
        <v>1344</v>
      </c>
      <c r="F1057" t="s">
        <v>1990</v>
      </c>
    </row>
    <row r="1058" spans="1:6" hidden="1" x14ac:dyDescent="0.2">
      <c r="A1058" t="s">
        <v>1989</v>
      </c>
      <c r="B1058" t="s">
        <v>1991</v>
      </c>
      <c r="C1058" t="str">
        <f t="shared" si="16"/>
        <v>CASANAREAGUAZUL</v>
      </c>
      <c r="D1058" t="s">
        <v>2778</v>
      </c>
      <c r="E1058" t="s">
        <v>2194</v>
      </c>
      <c r="F1058" t="s">
        <v>1317</v>
      </c>
    </row>
    <row r="1059" spans="1:6" hidden="1" x14ac:dyDescent="0.2">
      <c r="A1059" t="s">
        <v>1989</v>
      </c>
      <c r="B1059" t="s">
        <v>1992</v>
      </c>
      <c r="C1059" t="str">
        <f t="shared" si="16"/>
        <v>CASANARECHAMEZA</v>
      </c>
      <c r="D1059" t="s">
        <v>2778</v>
      </c>
      <c r="E1059" t="s">
        <v>1994</v>
      </c>
      <c r="F1059" t="s">
        <v>1993</v>
      </c>
    </row>
    <row r="1060" spans="1:6" hidden="1" x14ac:dyDescent="0.2">
      <c r="A1060" t="s">
        <v>1989</v>
      </c>
      <c r="B1060" t="s">
        <v>2384</v>
      </c>
      <c r="C1060" t="str">
        <f t="shared" si="16"/>
        <v>CASANAREHATO COROZAL</v>
      </c>
      <c r="D1060" t="s">
        <v>2778</v>
      </c>
      <c r="E1060" t="s">
        <v>509</v>
      </c>
      <c r="F1060" t="s">
        <v>1995</v>
      </c>
    </row>
    <row r="1061" spans="1:6" hidden="1" x14ac:dyDescent="0.2">
      <c r="A1061" t="s">
        <v>1989</v>
      </c>
      <c r="B1061" t="s">
        <v>1996</v>
      </c>
      <c r="C1061" t="str">
        <f t="shared" si="16"/>
        <v>CASANARELA SALINA</v>
      </c>
      <c r="D1061" t="s">
        <v>2778</v>
      </c>
      <c r="E1061" t="s">
        <v>1998</v>
      </c>
      <c r="F1061" t="s">
        <v>1997</v>
      </c>
    </row>
    <row r="1062" spans="1:6" hidden="1" x14ac:dyDescent="0.2">
      <c r="A1062" t="s">
        <v>1989</v>
      </c>
      <c r="B1062" t="s">
        <v>1999</v>
      </c>
      <c r="C1062" t="str">
        <f t="shared" si="16"/>
        <v>CASANAREMANI</v>
      </c>
      <c r="D1062" t="s">
        <v>2778</v>
      </c>
      <c r="E1062" t="s">
        <v>1343</v>
      </c>
      <c r="F1062" t="s">
        <v>1318</v>
      </c>
    </row>
    <row r="1063" spans="1:6" hidden="1" x14ac:dyDescent="0.2">
      <c r="A1063" t="s">
        <v>1989</v>
      </c>
      <c r="B1063" t="s">
        <v>1591</v>
      </c>
      <c r="C1063" t="str">
        <f t="shared" si="16"/>
        <v>CASANAREMONTERREY</v>
      </c>
      <c r="D1063" t="s">
        <v>2778</v>
      </c>
      <c r="E1063" t="s">
        <v>2001</v>
      </c>
      <c r="F1063" t="s">
        <v>2000</v>
      </c>
    </row>
    <row r="1064" spans="1:6" hidden="1" x14ac:dyDescent="0.2">
      <c r="A1064" t="s">
        <v>1989</v>
      </c>
      <c r="B1064" t="s">
        <v>2002</v>
      </c>
      <c r="C1064" t="str">
        <f t="shared" si="16"/>
        <v>CASANARENUNCHIA</v>
      </c>
      <c r="D1064" t="s">
        <v>2778</v>
      </c>
      <c r="E1064" t="s">
        <v>2129</v>
      </c>
      <c r="F1064" t="s">
        <v>2003</v>
      </c>
    </row>
    <row r="1065" spans="1:6" hidden="1" x14ac:dyDescent="0.2">
      <c r="A1065" t="s">
        <v>1989</v>
      </c>
      <c r="B1065" t="s">
        <v>1808</v>
      </c>
      <c r="C1065" t="str">
        <f t="shared" si="16"/>
        <v>CASANAREOROCUE</v>
      </c>
      <c r="D1065" t="s">
        <v>2778</v>
      </c>
      <c r="E1065" t="s">
        <v>2779</v>
      </c>
      <c r="F1065" t="s">
        <v>1259</v>
      </c>
    </row>
    <row r="1066" spans="1:6" hidden="1" x14ac:dyDescent="0.2">
      <c r="A1066" t="s">
        <v>1989</v>
      </c>
      <c r="B1066" t="s">
        <v>2439</v>
      </c>
      <c r="C1066" t="str">
        <f t="shared" si="16"/>
        <v>CASANAREPAZ DE ARIPORO</v>
      </c>
      <c r="D1066" t="s">
        <v>2778</v>
      </c>
      <c r="E1066" t="s">
        <v>2212</v>
      </c>
      <c r="F1066" t="s">
        <v>1260</v>
      </c>
    </row>
    <row r="1067" spans="1:6" hidden="1" x14ac:dyDescent="0.2">
      <c r="A1067" t="s">
        <v>1989</v>
      </c>
      <c r="B1067" t="s">
        <v>1261</v>
      </c>
      <c r="C1067" t="str">
        <f t="shared" si="16"/>
        <v>CASANAREPORE</v>
      </c>
      <c r="D1067" t="s">
        <v>2778</v>
      </c>
      <c r="E1067" t="s">
        <v>1342</v>
      </c>
      <c r="F1067" t="s">
        <v>1262</v>
      </c>
    </row>
    <row r="1068" spans="1:6" hidden="1" x14ac:dyDescent="0.2">
      <c r="A1068" t="s">
        <v>1989</v>
      </c>
      <c r="B1068" t="s">
        <v>1050</v>
      </c>
      <c r="C1068" t="str">
        <f t="shared" si="16"/>
        <v>CASANARERECETOR</v>
      </c>
      <c r="D1068" t="s">
        <v>2778</v>
      </c>
      <c r="E1068" t="s">
        <v>1264</v>
      </c>
      <c r="F1068" t="s">
        <v>1263</v>
      </c>
    </row>
    <row r="1069" spans="1:6" hidden="1" x14ac:dyDescent="0.2">
      <c r="A1069" t="s">
        <v>1989</v>
      </c>
      <c r="B1069" t="s">
        <v>1490</v>
      </c>
      <c r="C1069" t="str">
        <f t="shared" si="16"/>
        <v>CASANARESABANALARGA</v>
      </c>
      <c r="D1069" t="s">
        <v>2778</v>
      </c>
      <c r="E1069" t="s">
        <v>2547</v>
      </c>
      <c r="F1069" t="s">
        <v>1265</v>
      </c>
    </row>
    <row r="1070" spans="1:6" hidden="1" x14ac:dyDescent="0.2">
      <c r="A1070" t="s">
        <v>1989</v>
      </c>
      <c r="B1070" t="s">
        <v>2462</v>
      </c>
      <c r="C1070" t="str">
        <f t="shared" si="16"/>
        <v>CASANARESACAMA</v>
      </c>
      <c r="D1070" t="s">
        <v>2778</v>
      </c>
      <c r="E1070" t="s">
        <v>1267</v>
      </c>
      <c r="F1070" t="s">
        <v>1266</v>
      </c>
    </row>
    <row r="1071" spans="1:6" hidden="1" x14ac:dyDescent="0.2">
      <c r="A1071" t="s">
        <v>1989</v>
      </c>
      <c r="B1071" t="s">
        <v>537</v>
      </c>
      <c r="C1071" t="str">
        <f t="shared" si="16"/>
        <v>CASANARESAN LUIS DE PALENQUE</v>
      </c>
      <c r="D1071" t="s">
        <v>2778</v>
      </c>
      <c r="E1071" t="s">
        <v>2012</v>
      </c>
      <c r="F1071" t="s">
        <v>1268</v>
      </c>
    </row>
    <row r="1072" spans="1:6" hidden="1" x14ac:dyDescent="0.2">
      <c r="A1072" t="s">
        <v>1989</v>
      </c>
      <c r="B1072" t="s">
        <v>2492</v>
      </c>
      <c r="C1072" t="str">
        <f t="shared" si="16"/>
        <v>CASANARETAMARA</v>
      </c>
      <c r="D1072" t="s">
        <v>2778</v>
      </c>
      <c r="E1072" t="s">
        <v>2013</v>
      </c>
      <c r="F1072" t="s">
        <v>1269</v>
      </c>
    </row>
    <row r="1073" spans="1:6" hidden="1" x14ac:dyDescent="0.2">
      <c r="A1073" t="s">
        <v>1989</v>
      </c>
      <c r="B1073" t="s">
        <v>799</v>
      </c>
      <c r="C1073" t="str">
        <f t="shared" si="16"/>
        <v>CASANARETAURAMENA</v>
      </c>
      <c r="D1073" t="s">
        <v>2778</v>
      </c>
      <c r="E1073" t="s">
        <v>1271</v>
      </c>
      <c r="F1073" t="s">
        <v>1270</v>
      </c>
    </row>
    <row r="1074" spans="1:6" hidden="1" x14ac:dyDescent="0.2">
      <c r="A1074" t="s">
        <v>1989</v>
      </c>
      <c r="B1074" t="s">
        <v>1492</v>
      </c>
      <c r="C1074" t="str">
        <f t="shared" si="16"/>
        <v>CASANARETRINIDAD</v>
      </c>
      <c r="D1074" t="s">
        <v>2778</v>
      </c>
      <c r="E1074" t="s">
        <v>2195</v>
      </c>
      <c r="F1074" t="s">
        <v>1272</v>
      </c>
    </row>
    <row r="1075" spans="1:6" hidden="1" x14ac:dyDescent="0.2">
      <c r="A1075" t="s">
        <v>1989</v>
      </c>
      <c r="B1075" t="s">
        <v>2500</v>
      </c>
      <c r="C1075" t="str">
        <f t="shared" si="16"/>
        <v>CASANAREVILLANUEVA</v>
      </c>
      <c r="D1075" t="s">
        <v>2778</v>
      </c>
      <c r="E1075" t="s">
        <v>2758</v>
      </c>
      <c r="F1075" t="s">
        <v>1273</v>
      </c>
    </row>
    <row r="1076" spans="1:6" hidden="1" x14ac:dyDescent="0.2">
      <c r="A1076" t="s">
        <v>1274</v>
      </c>
      <c r="B1076" t="s">
        <v>2321</v>
      </c>
      <c r="C1076" t="str">
        <f t="shared" si="16"/>
        <v>PutumayoMOCOA</v>
      </c>
      <c r="D1076" t="s">
        <v>1276</v>
      </c>
      <c r="E1076" t="s">
        <v>2747</v>
      </c>
      <c r="F1076" t="s">
        <v>1275</v>
      </c>
    </row>
    <row r="1077" spans="1:6" hidden="1" x14ac:dyDescent="0.2">
      <c r="A1077" t="s">
        <v>1274</v>
      </c>
      <c r="B1077" t="s">
        <v>1277</v>
      </c>
      <c r="C1077" t="str">
        <f t="shared" si="16"/>
        <v>PutumayoCOLON</v>
      </c>
      <c r="D1077" t="s">
        <v>1276</v>
      </c>
      <c r="E1077" t="s">
        <v>129</v>
      </c>
      <c r="F1077" t="s">
        <v>2261</v>
      </c>
    </row>
    <row r="1078" spans="1:6" hidden="1" x14ac:dyDescent="0.2">
      <c r="A1078" t="s">
        <v>1274</v>
      </c>
      <c r="B1078" t="s">
        <v>1074</v>
      </c>
      <c r="C1078" t="str">
        <f t="shared" si="16"/>
        <v>PutumayoORITO</v>
      </c>
      <c r="D1078" t="s">
        <v>1276</v>
      </c>
      <c r="E1078" t="s">
        <v>2689</v>
      </c>
      <c r="F1078" t="s">
        <v>2262</v>
      </c>
    </row>
    <row r="1079" spans="1:6" hidden="1" x14ac:dyDescent="0.2">
      <c r="A1079" t="s">
        <v>1274</v>
      </c>
      <c r="B1079" t="s">
        <v>96</v>
      </c>
      <c r="C1079" t="str">
        <f t="shared" si="16"/>
        <v>PutumayoPUERTO ASIS</v>
      </c>
      <c r="D1079" t="s">
        <v>1276</v>
      </c>
      <c r="E1079" t="s">
        <v>2264</v>
      </c>
      <c r="F1079" t="s">
        <v>2263</v>
      </c>
    </row>
    <row r="1080" spans="1:6" hidden="1" x14ac:dyDescent="0.2">
      <c r="A1080" t="s">
        <v>1274</v>
      </c>
      <c r="B1080" t="s">
        <v>2265</v>
      </c>
      <c r="C1080" t="str">
        <f t="shared" si="16"/>
        <v>PutumayoPUERTO CAICEDO</v>
      </c>
      <c r="D1080" t="s">
        <v>1276</v>
      </c>
      <c r="E1080" t="s">
        <v>2267</v>
      </c>
      <c r="F1080" t="s">
        <v>2266</v>
      </c>
    </row>
    <row r="1081" spans="1:6" hidden="1" x14ac:dyDescent="0.2">
      <c r="A1081" t="s">
        <v>1274</v>
      </c>
      <c r="B1081" t="s">
        <v>2268</v>
      </c>
      <c r="C1081" t="str">
        <f t="shared" si="16"/>
        <v>PutumayoPUERTO GUZMAN</v>
      </c>
      <c r="D1081" t="s">
        <v>1276</v>
      </c>
      <c r="E1081" t="s">
        <v>2270</v>
      </c>
      <c r="F1081" t="s">
        <v>2269</v>
      </c>
    </row>
    <row r="1082" spans="1:6" hidden="1" x14ac:dyDescent="0.2">
      <c r="A1082" t="s">
        <v>1274</v>
      </c>
      <c r="B1082" t="s">
        <v>1428</v>
      </c>
      <c r="C1082" t="str">
        <f t="shared" si="16"/>
        <v>PutumayoPUERTO LEGUIZAMO</v>
      </c>
      <c r="D1082" t="s">
        <v>1276</v>
      </c>
      <c r="E1082" s="57" t="s">
        <v>11</v>
      </c>
      <c r="F1082" t="s">
        <v>1319</v>
      </c>
    </row>
    <row r="1083" spans="1:6" hidden="1" x14ac:dyDescent="0.2">
      <c r="A1083" t="s">
        <v>1274</v>
      </c>
      <c r="B1083" t="s">
        <v>2271</v>
      </c>
      <c r="C1083" t="str">
        <f t="shared" si="16"/>
        <v>PutumayoSIBUNDOY</v>
      </c>
      <c r="D1083" t="s">
        <v>1276</v>
      </c>
      <c r="E1083" t="s">
        <v>2273</v>
      </c>
      <c r="F1083" t="s">
        <v>2272</v>
      </c>
    </row>
    <row r="1084" spans="1:6" hidden="1" x14ac:dyDescent="0.2">
      <c r="A1084" t="s">
        <v>1274</v>
      </c>
      <c r="B1084" t="s">
        <v>664</v>
      </c>
      <c r="C1084" t="str">
        <f t="shared" si="16"/>
        <v>PutumayoSAN FRANCISCO</v>
      </c>
      <c r="D1084" t="s">
        <v>1276</v>
      </c>
      <c r="E1084" t="s">
        <v>1385</v>
      </c>
      <c r="F1084" t="s">
        <v>2274</v>
      </c>
    </row>
    <row r="1085" spans="1:6" hidden="1" x14ac:dyDescent="0.2">
      <c r="A1085" t="s">
        <v>1274</v>
      </c>
      <c r="B1085" t="s">
        <v>667</v>
      </c>
      <c r="C1085" t="str">
        <f t="shared" si="16"/>
        <v>PutumayoSAN MIGUEL</v>
      </c>
      <c r="D1085" t="s">
        <v>1276</v>
      </c>
      <c r="E1085" t="s">
        <v>525</v>
      </c>
      <c r="F1085" t="s">
        <v>2275</v>
      </c>
    </row>
    <row r="1086" spans="1:6" hidden="1" x14ac:dyDescent="0.2">
      <c r="A1086" t="s">
        <v>1274</v>
      </c>
      <c r="B1086" t="s">
        <v>1538</v>
      </c>
      <c r="C1086" t="str">
        <f t="shared" si="16"/>
        <v>PutumayoSANTIAGO</v>
      </c>
      <c r="D1086" t="s">
        <v>1276</v>
      </c>
      <c r="E1086" t="s">
        <v>2220</v>
      </c>
      <c r="F1086" t="s">
        <v>2276</v>
      </c>
    </row>
    <row r="1087" spans="1:6" hidden="1" x14ac:dyDescent="0.2">
      <c r="A1087" t="s">
        <v>1274</v>
      </c>
      <c r="B1087" t="s">
        <v>2277</v>
      </c>
      <c r="C1087" t="str">
        <f t="shared" si="16"/>
        <v>PutumayoVALLE DEL GUAMUEZ</v>
      </c>
      <c r="D1087" t="s">
        <v>1276</v>
      </c>
      <c r="E1087" t="s">
        <v>2279</v>
      </c>
      <c r="F1087" t="s">
        <v>2278</v>
      </c>
    </row>
    <row r="1088" spans="1:6" hidden="1" x14ac:dyDescent="0.2">
      <c r="A1088" t="s">
        <v>1274</v>
      </c>
      <c r="B1088" t="s">
        <v>2634</v>
      </c>
      <c r="C1088" t="str">
        <f t="shared" si="16"/>
        <v>PutumayoVILLAGARZON</v>
      </c>
      <c r="D1088" t="s">
        <v>1276</v>
      </c>
      <c r="E1088" t="s">
        <v>2281</v>
      </c>
      <c r="F1088" t="s">
        <v>2280</v>
      </c>
    </row>
    <row r="1089" spans="1:6" hidden="1" x14ac:dyDescent="0.2">
      <c r="A1089" t="s">
        <v>2282</v>
      </c>
      <c r="B1089" t="s">
        <v>2321</v>
      </c>
      <c r="C1089" t="str">
        <f t="shared" si="16"/>
        <v>SAN ANDRESSAN ANDRES</v>
      </c>
      <c r="D1089" t="s">
        <v>1764</v>
      </c>
      <c r="E1089" t="s">
        <v>1764</v>
      </c>
      <c r="F1089" t="s">
        <v>2283</v>
      </c>
    </row>
    <row r="1090" spans="1:6" hidden="1" x14ac:dyDescent="0.2">
      <c r="A1090" t="s">
        <v>2282</v>
      </c>
      <c r="B1090" t="s">
        <v>2284</v>
      </c>
      <c r="C1090" t="str">
        <f t="shared" si="16"/>
        <v>SAN ANDRESPROVIDENCIA</v>
      </c>
      <c r="D1090" t="s">
        <v>1764</v>
      </c>
      <c r="E1090" t="s">
        <v>1345</v>
      </c>
      <c r="F1090" t="s">
        <v>2285</v>
      </c>
    </row>
    <row r="1091" spans="1:6" hidden="1" x14ac:dyDescent="0.2">
      <c r="A1091" t="s">
        <v>2286</v>
      </c>
      <c r="B1091" t="s">
        <v>2321</v>
      </c>
      <c r="C1091" t="str">
        <f t="shared" ref="C1091:C1138" si="17">D1091&amp;E1091</f>
        <v>AMAZONASLETICIA</v>
      </c>
      <c r="D1091" t="s">
        <v>2171</v>
      </c>
      <c r="E1091" t="s">
        <v>2172</v>
      </c>
      <c r="F1091" t="s">
        <v>1320</v>
      </c>
    </row>
    <row r="1092" spans="1:6" hidden="1" x14ac:dyDescent="0.2">
      <c r="A1092" t="s">
        <v>2286</v>
      </c>
      <c r="B1092" t="s">
        <v>193</v>
      </c>
      <c r="C1092" t="str">
        <f t="shared" si="17"/>
        <v>AMAZONASPUERTO NARIÑO</v>
      </c>
      <c r="D1092" t="s">
        <v>2171</v>
      </c>
      <c r="E1092" t="s">
        <v>2288</v>
      </c>
      <c r="F1092" t="s">
        <v>2287</v>
      </c>
    </row>
    <row r="1093" spans="1:6" hidden="1" x14ac:dyDescent="0.2">
      <c r="A1093" t="s">
        <v>2289</v>
      </c>
      <c r="B1093" t="s">
        <v>2321</v>
      </c>
      <c r="C1093" t="str">
        <f t="shared" si="17"/>
        <v>GUAINIAINIRIDA</v>
      </c>
      <c r="D1093" t="s">
        <v>2291</v>
      </c>
      <c r="E1093" t="s">
        <v>2292</v>
      </c>
      <c r="F1093" t="s">
        <v>2290</v>
      </c>
    </row>
    <row r="1094" spans="1:6" hidden="1" x14ac:dyDescent="0.2">
      <c r="A1094" t="s">
        <v>2293</v>
      </c>
      <c r="B1094" t="s">
        <v>2321</v>
      </c>
      <c r="C1094" t="str">
        <f t="shared" si="17"/>
        <v>GUAVIARESAN JOSE DEL GUAVIARE</v>
      </c>
      <c r="D1094" t="s">
        <v>1695</v>
      </c>
      <c r="E1094" t="s">
        <v>1696</v>
      </c>
      <c r="F1094" t="s">
        <v>1321</v>
      </c>
    </row>
    <row r="1095" spans="1:6" hidden="1" x14ac:dyDescent="0.2">
      <c r="A1095" t="s">
        <v>2293</v>
      </c>
      <c r="B1095" t="s">
        <v>1992</v>
      </c>
      <c r="C1095" t="str">
        <f t="shared" si="17"/>
        <v>GUAVIARECALAMAR</v>
      </c>
      <c r="D1095" t="s">
        <v>1695</v>
      </c>
      <c r="E1095" t="s">
        <v>1473</v>
      </c>
      <c r="F1095" t="s">
        <v>2294</v>
      </c>
    </row>
    <row r="1096" spans="1:6" hidden="1" x14ac:dyDescent="0.2">
      <c r="A1096" t="s">
        <v>2293</v>
      </c>
      <c r="B1096" t="s">
        <v>1212</v>
      </c>
      <c r="C1096" t="str">
        <f t="shared" si="17"/>
        <v>GUAVIAREEL RETORNO</v>
      </c>
      <c r="D1096" t="s">
        <v>1695</v>
      </c>
      <c r="E1096" t="s">
        <v>2296</v>
      </c>
      <c r="F1096" t="s">
        <v>2295</v>
      </c>
    </row>
    <row r="1097" spans="1:6" hidden="1" x14ac:dyDescent="0.2">
      <c r="A1097" t="s">
        <v>2293</v>
      </c>
      <c r="B1097" t="s">
        <v>1038</v>
      </c>
      <c r="C1097" t="str">
        <f t="shared" si="17"/>
        <v>GUAVIAREMIRAFLORES</v>
      </c>
      <c r="D1097" t="s">
        <v>1695</v>
      </c>
      <c r="E1097" t="s">
        <v>566</v>
      </c>
      <c r="F1097" t="s">
        <v>2297</v>
      </c>
    </row>
    <row r="1098" spans="1:6" hidden="1" x14ac:dyDescent="0.2">
      <c r="A1098" t="s">
        <v>2298</v>
      </c>
      <c r="B1098" t="s">
        <v>2321</v>
      </c>
      <c r="C1098" t="str">
        <f t="shared" si="17"/>
        <v>VAUPESMITU</v>
      </c>
      <c r="D1098" t="s">
        <v>2300</v>
      </c>
      <c r="E1098" t="s">
        <v>2301</v>
      </c>
      <c r="F1098" t="s">
        <v>2299</v>
      </c>
    </row>
    <row r="1099" spans="1:6" hidden="1" x14ac:dyDescent="0.2">
      <c r="A1099" t="s">
        <v>2298</v>
      </c>
      <c r="B1099" t="s">
        <v>422</v>
      </c>
      <c r="C1099" t="str">
        <f t="shared" si="17"/>
        <v>VAUPESCARURU</v>
      </c>
      <c r="D1099" t="s">
        <v>2300</v>
      </c>
      <c r="E1099" t="s">
        <v>2303</v>
      </c>
      <c r="F1099" t="s">
        <v>2302</v>
      </c>
    </row>
    <row r="1100" spans="1:6" hidden="1" x14ac:dyDescent="0.2">
      <c r="A1100" t="s">
        <v>2298</v>
      </c>
      <c r="B1100" t="s">
        <v>2304</v>
      </c>
      <c r="C1100" t="str">
        <f t="shared" si="17"/>
        <v>VAUPESTARAIRA</v>
      </c>
      <c r="D1100" t="s">
        <v>2300</v>
      </c>
      <c r="E1100" t="s">
        <v>2306</v>
      </c>
      <c r="F1100" t="s">
        <v>2305</v>
      </c>
    </row>
    <row r="1101" spans="1:6" hidden="1" x14ac:dyDescent="0.2">
      <c r="A1101" t="s">
        <v>2307</v>
      </c>
      <c r="B1101" t="s">
        <v>2321</v>
      </c>
      <c r="C1101" t="str">
        <f t="shared" si="17"/>
        <v>VICHADAPUERTO CARREÑO</v>
      </c>
      <c r="D1101" t="s">
        <v>2309</v>
      </c>
      <c r="E1101" t="s">
        <v>2310</v>
      </c>
      <c r="F1101" t="s">
        <v>2308</v>
      </c>
    </row>
    <row r="1102" spans="1:6" hidden="1" x14ac:dyDescent="0.2">
      <c r="A1102" t="s">
        <v>2307</v>
      </c>
      <c r="B1102" t="s">
        <v>761</v>
      </c>
      <c r="C1102" t="str">
        <f t="shared" si="17"/>
        <v>VICHADALA PRIMAVERA</v>
      </c>
      <c r="D1102" t="s">
        <v>2309</v>
      </c>
      <c r="E1102" t="s">
        <v>2312</v>
      </c>
      <c r="F1102" t="s">
        <v>2311</v>
      </c>
    </row>
    <row r="1103" spans="1:6" hidden="1" x14ac:dyDescent="0.2">
      <c r="A1103" t="s">
        <v>2307</v>
      </c>
      <c r="B1103" t="s">
        <v>1905</v>
      </c>
      <c r="C1103" t="str">
        <f t="shared" si="17"/>
        <v>VICHADASANTA ROSALIA</v>
      </c>
      <c r="D1103" t="s">
        <v>2309</v>
      </c>
      <c r="E1103" t="s">
        <v>2314</v>
      </c>
      <c r="F1103" t="s">
        <v>2313</v>
      </c>
    </row>
    <row r="1104" spans="1:6" hidden="1" x14ac:dyDescent="0.2">
      <c r="A1104" t="s">
        <v>2307</v>
      </c>
      <c r="B1104" t="s">
        <v>1783</v>
      </c>
      <c r="C1104" t="str">
        <f t="shared" si="17"/>
        <v>VICHADACUMARIBO</v>
      </c>
      <c r="D1104" t="s">
        <v>2309</v>
      </c>
      <c r="E1104" t="s">
        <v>2316</v>
      </c>
      <c r="F1104" t="s">
        <v>2315</v>
      </c>
    </row>
    <row r="1105" spans="1:6" hidden="1" x14ac:dyDescent="0.2">
      <c r="A1105" s="58" t="s">
        <v>2317</v>
      </c>
      <c r="B1105" s="58" t="s">
        <v>2318</v>
      </c>
      <c r="C1105" t="str">
        <f t="shared" si="17"/>
        <v>NACIONNACION</v>
      </c>
      <c r="D1105" t="s">
        <v>2775</v>
      </c>
      <c r="E1105" t="s">
        <v>2775</v>
      </c>
      <c r="F1105" s="58" t="s">
        <v>2319</v>
      </c>
    </row>
    <row r="1106" spans="1:6" hidden="1" x14ac:dyDescent="0.2">
      <c r="A1106" s="59" t="s">
        <v>2320</v>
      </c>
      <c r="B1106" s="59" t="s">
        <v>2321</v>
      </c>
      <c r="C1106" t="str">
        <f t="shared" si="17"/>
        <v>AntioquiaDEPARTAMENTO</v>
      </c>
      <c r="D1106" s="59" t="s">
        <v>2322</v>
      </c>
      <c r="E1106" s="59" t="s">
        <v>2773</v>
      </c>
      <c r="F1106" s="59">
        <v>5</v>
      </c>
    </row>
    <row r="1107" spans="1:6" hidden="1" x14ac:dyDescent="0.2">
      <c r="A1107" s="59" t="s">
        <v>2649</v>
      </c>
      <c r="B1107" s="59" t="s">
        <v>2321</v>
      </c>
      <c r="C1107" t="str">
        <f t="shared" si="17"/>
        <v>AtlanticoDEPARTAMENTO</v>
      </c>
      <c r="D1107" s="59" t="s">
        <v>2650</v>
      </c>
      <c r="E1107" s="59" t="s">
        <v>2773</v>
      </c>
      <c r="F1107" s="59">
        <v>8</v>
      </c>
    </row>
    <row r="1108" spans="1:6" hidden="1" x14ac:dyDescent="0.2">
      <c r="A1108" s="59" t="s">
        <v>1454</v>
      </c>
      <c r="B1108" s="59" t="s">
        <v>2321</v>
      </c>
      <c r="C1108" t="str">
        <f t="shared" si="17"/>
        <v>BOGOTA D.C.DEPARTAMENTO</v>
      </c>
      <c r="D1108" s="59" t="s">
        <v>1387</v>
      </c>
      <c r="E1108" s="59" t="s">
        <v>2773</v>
      </c>
      <c r="F1108" s="59">
        <v>11</v>
      </c>
    </row>
    <row r="1109" spans="1:6" x14ac:dyDescent="0.2">
      <c r="A1109" s="59" t="s">
        <v>1455</v>
      </c>
      <c r="B1109" s="59" t="s">
        <v>2321</v>
      </c>
      <c r="C1109" t="str">
        <f t="shared" si="17"/>
        <v>BolivarDEPARTAMENTO</v>
      </c>
      <c r="D1109" s="59" t="s">
        <v>1457</v>
      </c>
      <c r="E1109" s="59" t="s">
        <v>2773</v>
      </c>
      <c r="F1109" s="59">
        <v>13</v>
      </c>
    </row>
    <row r="1110" spans="1:6" hidden="1" x14ac:dyDescent="0.2">
      <c r="A1110" s="59" t="s">
        <v>1557</v>
      </c>
      <c r="B1110" s="59" t="s">
        <v>2321</v>
      </c>
      <c r="C1110" t="str">
        <f t="shared" si="17"/>
        <v>BOYACADEPARTAMENTO</v>
      </c>
      <c r="D1110" s="59" t="s">
        <v>2700</v>
      </c>
      <c r="E1110" s="59" t="s">
        <v>2773</v>
      </c>
      <c r="F1110" s="59">
        <v>15</v>
      </c>
    </row>
    <row r="1111" spans="1:6" hidden="1" x14ac:dyDescent="0.2">
      <c r="A1111" s="59" t="s">
        <v>735</v>
      </c>
      <c r="B1111" s="59" t="s">
        <v>2321</v>
      </c>
      <c r="C1111" t="str">
        <f t="shared" si="17"/>
        <v>CaldasDEPARTAMENTO</v>
      </c>
      <c r="D1111" s="59" t="s">
        <v>736</v>
      </c>
      <c r="E1111" s="59" t="s">
        <v>2773</v>
      </c>
      <c r="F1111" s="59">
        <v>17</v>
      </c>
    </row>
    <row r="1112" spans="1:6" hidden="1" x14ac:dyDescent="0.2">
      <c r="A1112" s="59" t="s">
        <v>784</v>
      </c>
      <c r="B1112" s="59" t="s">
        <v>2321</v>
      </c>
      <c r="C1112" t="str">
        <f t="shared" si="17"/>
        <v>CAQUETADEPARTAMENTO</v>
      </c>
      <c r="D1112" s="59" t="s">
        <v>2087</v>
      </c>
      <c r="E1112" s="59" t="s">
        <v>2773</v>
      </c>
      <c r="F1112" s="59">
        <v>18</v>
      </c>
    </row>
    <row r="1113" spans="1:6" hidden="1" x14ac:dyDescent="0.2">
      <c r="A1113" s="59" t="s">
        <v>819</v>
      </c>
      <c r="B1113" s="59" t="s">
        <v>2321</v>
      </c>
      <c r="C1113" t="str">
        <f t="shared" si="17"/>
        <v>CaucaDEPARTAMENTO</v>
      </c>
      <c r="D1113" s="59" t="s">
        <v>820</v>
      </c>
      <c r="E1113" s="59" t="s">
        <v>2773</v>
      </c>
      <c r="F1113" s="59">
        <v>19</v>
      </c>
    </row>
    <row r="1114" spans="1:6" hidden="1" x14ac:dyDescent="0.2">
      <c r="A1114" s="59" t="s">
        <v>887</v>
      </c>
      <c r="B1114" s="59" t="s">
        <v>2321</v>
      </c>
      <c r="C1114" t="str">
        <f t="shared" si="17"/>
        <v>CesarDEPARTAMENTO</v>
      </c>
      <c r="D1114" s="59" t="s">
        <v>889</v>
      </c>
      <c r="E1114" s="59" t="s">
        <v>2773</v>
      </c>
      <c r="F1114" s="59">
        <v>20</v>
      </c>
    </row>
    <row r="1115" spans="1:6" hidden="1" x14ac:dyDescent="0.2">
      <c r="A1115" s="59" t="s">
        <v>942</v>
      </c>
      <c r="B1115" s="59" t="s">
        <v>2321</v>
      </c>
      <c r="C1115" t="str">
        <f t="shared" si="17"/>
        <v>CordobaDEPARTAMENTO</v>
      </c>
      <c r="D1115" s="59" t="s">
        <v>944</v>
      </c>
      <c r="E1115" s="59" t="s">
        <v>2773</v>
      </c>
      <c r="F1115" s="59">
        <v>23</v>
      </c>
    </row>
    <row r="1116" spans="1:6" hidden="1" x14ac:dyDescent="0.2">
      <c r="A1116" s="59" t="s">
        <v>1008</v>
      </c>
      <c r="B1116" s="59" t="s">
        <v>2321</v>
      </c>
      <c r="C1116" t="str">
        <f t="shared" si="17"/>
        <v>CUNDINAMARCADEPARTAMENTO</v>
      </c>
      <c r="D1116" s="59" t="s">
        <v>2772</v>
      </c>
      <c r="E1116" s="59" t="s">
        <v>2773</v>
      </c>
      <c r="F1116" s="59">
        <v>25</v>
      </c>
    </row>
    <row r="1117" spans="1:6" hidden="1" x14ac:dyDescent="0.2">
      <c r="A1117" s="59" t="s">
        <v>1209</v>
      </c>
      <c r="B1117" s="59" t="s">
        <v>2321</v>
      </c>
      <c r="C1117" t="str">
        <f t="shared" si="17"/>
        <v>ChocoDEPARTAMENTO</v>
      </c>
      <c r="D1117" s="59" t="s">
        <v>1210</v>
      </c>
      <c r="E1117" s="59" t="s">
        <v>2773</v>
      </c>
      <c r="F1117" s="59">
        <v>27</v>
      </c>
    </row>
    <row r="1118" spans="1:6" hidden="1" x14ac:dyDescent="0.2">
      <c r="A1118" s="59" t="s">
        <v>19</v>
      </c>
      <c r="B1118" s="59" t="s">
        <v>2321</v>
      </c>
      <c r="C1118" t="str">
        <f t="shared" si="17"/>
        <v>HUILADEPARTAMENTO</v>
      </c>
      <c r="D1118" s="59" t="s">
        <v>2661</v>
      </c>
      <c r="E1118" s="59" t="s">
        <v>2773</v>
      </c>
      <c r="F1118" s="59">
        <v>41</v>
      </c>
    </row>
    <row r="1119" spans="1:6" hidden="1" x14ac:dyDescent="0.2">
      <c r="A1119" s="59" t="s">
        <v>382</v>
      </c>
      <c r="B1119" s="59" t="s">
        <v>2321</v>
      </c>
      <c r="C1119" t="str">
        <f t="shared" si="17"/>
        <v>La GuajiraDEPARTAMENTO</v>
      </c>
      <c r="D1119" s="59" t="s">
        <v>384</v>
      </c>
      <c r="E1119" s="59" t="s">
        <v>2773</v>
      </c>
      <c r="F1119" s="59">
        <v>44</v>
      </c>
    </row>
    <row r="1120" spans="1:6" hidden="1" x14ac:dyDescent="0.2">
      <c r="A1120" s="59" t="s">
        <v>413</v>
      </c>
      <c r="B1120" s="59" t="s">
        <v>2321</v>
      </c>
      <c r="C1120" t="str">
        <f t="shared" si="17"/>
        <v>MagdalenaDEPARTAMENTO</v>
      </c>
      <c r="D1120" s="59" t="s">
        <v>414</v>
      </c>
      <c r="E1120" s="59" t="s">
        <v>2773</v>
      </c>
      <c r="F1120" s="59">
        <v>47</v>
      </c>
    </row>
    <row r="1121" spans="1:6" hidden="1" x14ac:dyDescent="0.2">
      <c r="A1121" s="59" t="s">
        <v>1284</v>
      </c>
      <c r="B1121" s="59" t="s">
        <v>2321</v>
      </c>
      <c r="C1121" t="str">
        <f t="shared" si="17"/>
        <v>METADEPARTAMENTO</v>
      </c>
      <c r="D1121" s="59" t="s">
        <v>506</v>
      </c>
      <c r="E1121" s="59" t="s">
        <v>2773</v>
      </c>
      <c r="F1121" s="59">
        <v>50</v>
      </c>
    </row>
    <row r="1122" spans="1:6" hidden="1" x14ac:dyDescent="0.2">
      <c r="A1122" s="59" t="s">
        <v>118</v>
      </c>
      <c r="B1122" s="59" t="s">
        <v>2321</v>
      </c>
      <c r="C1122" t="str">
        <f t="shared" si="17"/>
        <v>NariñoDEPARTAMENTO</v>
      </c>
      <c r="D1122" s="59" t="s">
        <v>119</v>
      </c>
      <c r="E1122" s="59" t="s">
        <v>2773</v>
      </c>
      <c r="F1122" s="59">
        <v>52</v>
      </c>
    </row>
    <row r="1123" spans="1:6" hidden="1" x14ac:dyDescent="0.2">
      <c r="A1123" s="59" t="s">
        <v>221</v>
      </c>
      <c r="B1123" s="59" t="s">
        <v>2321</v>
      </c>
      <c r="C1123" t="str">
        <f t="shared" si="17"/>
        <v>Norte de SantanderDEPARTAMENTO</v>
      </c>
      <c r="D1123" s="59" t="s">
        <v>222</v>
      </c>
      <c r="E1123" s="59" t="s">
        <v>2773</v>
      </c>
      <c r="F1123" s="59">
        <v>54</v>
      </c>
    </row>
    <row r="1124" spans="1:6" hidden="1" x14ac:dyDescent="0.2">
      <c r="A1124" s="59" t="s">
        <v>268</v>
      </c>
      <c r="B1124" s="59" t="s">
        <v>2321</v>
      </c>
      <c r="C1124" t="str">
        <f t="shared" si="17"/>
        <v>QuindioDEPARTAMENTO</v>
      </c>
      <c r="D1124" s="59" t="s">
        <v>269</v>
      </c>
      <c r="E1124" s="59" t="s">
        <v>2773</v>
      </c>
      <c r="F1124" s="59">
        <v>63</v>
      </c>
    </row>
    <row r="1125" spans="1:6" hidden="1" x14ac:dyDescent="0.2">
      <c r="A1125" s="59" t="s">
        <v>278</v>
      </c>
      <c r="B1125" s="59" t="s">
        <v>2321</v>
      </c>
      <c r="C1125" t="str">
        <f t="shared" si="17"/>
        <v>RisaraldaDEPARTAMENTO</v>
      </c>
      <c r="D1125" s="59" t="s">
        <v>279</v>
      </c>
      <c r="E1125" s="59" t="s">
        <v>2773</v>
      </c>
      <c r="F1125" s="59">
        <v>66</v>
      </c>
    </row>
    <row r="1126" spans="1:6" hidden="1" x14ac:dyDescent="0.2">
      <c r="A1126" s="59" t="s">
        <v>292</v>
      </c>
      <c r="B1126" s="59" t="s">
        <v>2321</v>
      </c>
      <c r="C1126" t="str">
        <f t="shared" si="17"/>
        <v>SantanderDEPARTAMENTO</v>
      </c>
      <c r="D1126" s="59" t="s">
        <v>293</v>
      </c>
      <c r="E1126" s="59" t="s">
        <v>2773</v>
      </c>
      <c r="F1126" s="59">
        <v>68</v>
      </c>
    </row>
    <row r="1127" spans="1:6" hidden="1" x14ac:dyDescent="0.2">
      <c r="A1127" s="59" t="s">
        <v>1795</v>
      </c>
      <c r="B1127" s="59" t="s">
        <v>2321</v>
      </c>
      <c r="C1127" t="str">
        <f t="shared" si="17"/>
        <v>SucreDEPARTAMENTO</v>
      </c>
      <c r="D1127" s="59" t="s">
        <v>1797</v>
      </c>
      <c r="E1127" s="59" t="s">
        <v>2773</v>
      </c>
      <c r="F1127" s="59">
        <v>70</v>
      </c>
    </row>
    <row r="1128" spans="1:6" hidden="1" x14ac:dyDescent="0.2">
      <c r="A1128" s="59" t="s">
        <v>1853</v>
      </c>
      <c r="B1128" s="59" t="s">
        <v>2321</v>
      </c>
      <c r="C1128" t="str">
        <f t="shared" si="17"/>
        <v>TolimaDEPARTAMENTO</v>
      </c>
      <c r="D1128" s="59" t="s">
        <v>1854</v>
      </c>
      <c r="E1128" s="59" t="s">
        <v>2773</v>
      </c>
      <c r="F1128" s="59">
        <v>73</v>
      </c>
    </row>
    <row r="1129" spans="1:6" hidden="1" x14ac:dyDescent="0.2">
      <c r="A1129" s="59" t="s">
        <v>1922</v>
      </c>
      <c r="B1129" s="59" t="s">
        <v>2321</v>
      </c>
      <c r="C1129" t="str">
        <f t="shared" si="17"/>
        <v>Valle del CaucaDEPARTAMENTO</v>
      </c>
      <c r="D1129" s="59" t="s">
        <v>1923</v>
      </c>
      <c r="E1129" s="59" t="s">
        <v>2773</v>
      </c>
      <c r="F1129" s="59">
        <v>76</v>
      </c>
    </row>
    <row r="1130" spans="1:6" hidden="1" x14ac:dyDescent="0.2">
      <c r="A1130" s="59" t="s">
        <v>1977</v>
      </c>
      <c r="B1130" s="59" t="s">
        <v>2321</v>
      </c>
      <c r="C1130" t="str">
        <f t="shared" si="17"/>
        <v>AraucaDEPARTAMENTO</v>
      </c>
      <c r="D1130" s="59" t="s">
        <v>1979</v>
      </c>
      <c r="E1130" s="59" t="s">
        <v>2773</v>
      </c>
      <c r="F1130" s="59">
        <v>81</v>
      </c>
    </row>
    <row r="1131" spans="1:6" hidden="1" x14ac:dyDescent="0.2">
      <c r="A1131" s="59" t="s">
        <v>1989</v>
      </c>
      <c r="B1131" s="59" t="s">
        <v>2321</v>
      </c>
      <c r="C1131" t="str">
        <f t="shared" si="17"/>
        <v>CASANAREDEPARTAMENTO</v>
      </c>
      <c r="D1131" s="59" t="s">
        <v>2778</v>
      </c>
      <c r="E1131" s="59" t="s">
        <v>2773</v>
      </c>
      <c r="F1131" s="59">
        <v>85</v>
      </c>
    </row>
    <row r="1132" spans="1:6" hidden="1" x14ac:dyDescent="0.2">
      <c r="A1132" s="59" t="s">
        <v>1274</v>
      </c>
      <c r="B1132" s="59" t="s">
        <v>2321</v>
      </c>
      <c r="C1132" t="str">
        <f t="shared" si="17"/>
        <v>PutumayoDEPARTAMENTO</v>
      </c>
      <c r="D1132" s="59" t="s">
        <v>1276</v>
      </c>
      <c r="E1132" s="59" t="s">
        <v>2773</v>
      </c>
      <c r="F1132" s="59">
        <v>86</v>
      </c>
    </row>
    <row r="1133" spans="1:6" hidden="1" x14ac:dyDescent="0.2">
      <c r="A1133" s="59" t="s">
        <v>2282</v>
      </c>
      <c r="B1133" s="59" t="s">
        <v>2321</v>
      </c>
      <c r="C1133" t="str">
        <f t="shared" si="17"/>
        <v>SAN ANDRESDEPARTAMENTO</v>
      </c>
      <c r="D1133" s="59" t="s">
        <v>1764</v>
      </c>
      <c r="E1133" s="59" t="s">
        <v>2773</v>
      </c>
      <c r="F1133" s="59">
        <v>88</v>
      </c>
    </row>
    <row r="1134" spans="1:6" hidden="1" x14ac:dyDescent="0.2">
      <c r="A1134" s="59" t="s">
        <v>2286</v>
      </c>
      <c r="B1134" s="59" t="s">
        <v>2321</v>
      </c>
      <c r="C1134" t="str">
        <f t="shared" si="17"/>
        <v>AMAZONASDEPARTAMENTO</v>
      </c>
      <c r="D1134" s="59" t="s">
        <v>2171</v>
      </c>
      <c r="E1134" s="59" t="s">
        <v>2773</v>
      </c>
      <c r="F1134" s="59">
        <v>91</v>
      </c>
    </row>
    <row r="1135" spans="1:6" hidden="1" x14ac:dyDescent="0.2">
      <c r="A1135" s="59" t="s">
        <v>2289</v>
      </c>
      <c r="B1135" s="59" t="s">
        <v>2321</v>
      </c>
      <c r="C1135" t="str">
        <f t="shared" si="17"/>
        <v>GUAINIADEPARTAMENTO</v>
      </c>
      <c r="D1135" s="59" t="s">
        <v>2291</v>
      </c>
      <c r="E1135" s="59" t="s">
        <v>2773</v>
      </c>
      <c r="F1135" s="59">
        <v>94</v>
      </c>
    </row>
    <row r="1136" spans="1:6" hidden="1" x14ac:dyDescent="0.2">
      <c r="A1136" s="59" t="s">
        <v>2293</v>
      </c>
      <c r="B1136" s="59" t="s">
        <v>2321</v>
      </c>
      <c r="C1136" t="str">
        <f t="shared" si="17"/>
        <v>GUAVIAREDEPARTAMENTO</v>
      </c>
      <c r="D1136" s="59" t="s">
        <v>1695</v>
      </c>
      <c r="E1136" s="59" t="s">
        <v>2773</v>
      </c>
      <c r="F1136" s="59">
        <v>95</v>
      </c>
    </row>
    <row r="1137" spans="1:6" hidden="1" x14ac:dyDescent="0.2">
      <c r="A1137" s="59" t="s">
        <v>2298</v>
      </c>
      <c r="B1137" s="59" t="s">
        <v>2321</v>
      </c>
      <c r="C1137" t="str">
        <f t="shared" si="17"/>
        <v>VAUPESDEPARTAMENTO</v>
      </c>
      <c r="D1137" s="59" t="s">
        <v>2300</v>
      </c>
      <c r="E1137" s="59" t="s">
        <v>2773</v>
      </c>
      <c r="F1137" s="59">
        <v>97</v>
      </c>
    </row>
    <row r="1138" spans="1:6" hidden="1" x14ac:dyDescent="0.2">
      <c r="A1138" s="59" t="s">
        <v>2307</v>
      </c>
      <c r="B1138" s="59" t="s">
        <v>2321</v>
      </c>
      <c r="C1138" t="str">
        <f t="shared" si="17"/>
        <v>VICHADADEPARTAMENTO</v>
      </c>
      <c r="D1138" s="59" t="s">
        <v>2309</v>
      </c>
      <c r="E1138" s="59" t="s">
        <v>2773</v>
      </c>
      <c r="F1138" s="59">
        <v>99</v>
      </c>
    </row>
  </sheetData>
  <autoFilter ref="A1:F1138">
    <filterColumn colId="3">
      <filters>
        <filter val="Bolivar"/>
      </filters>
    </filterColumn>
  </autoFilter>
  <phoneticPr fontId="2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Hojas de cálculo</vt:lpstr>
      </vt:variant>
      <vt:variant>
        <vt:i4>2</vt:i4>
      </vt:variant>
      <vt:variant>
        <vt:lpstr>Gráficos</vt:lpstr>
      </vt:variant>
      <vt:variant>
        <vt:i4>1</vt:i4>
      </vt:variant>
      <vt:variant>
        <vt:lpstr>Rangos con nombre</vt:lpstr>
      </vt:variant>
      <vt:variant>
        <vt:i4>2</vt:i4>
      </vt:variant>
    </vt:vector>
  </HeadingPairs>
  <TitlesOfParts>
    <vt:vector size="5" baseType="lpstr">
      <vt:lpstr>REPORTE DE EMERGENCIAS</vt:lpstr>
      <vt:lpstr>Divipola</vt:lpstr>
      <vt:lpstr>Gráfico1</vt:lpstr>
      <vt:lpstr>'REPORTE DE EMERGENCIAS'!Área_de_impresión</vt:lpstr>
      <vt:lpstr>'REPORTE DE EMERGENCIAS'!Títulos_a_imprimir</vt:lpstr>
    </vt:vector>
  </TitlesOfParts>
  <Company>FNC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ADRIANA CUEVAS MARÍN - D.A.E.</dc:creator>
  <cp:lastModifiedBy>Jorge Neira</cp:lastModifiedBy>
  <cp:lastPrinted>2013-11-18T14:22:04Z</cp:lastPrinted>
  <dcterms:created xsi:type="dcterms:W3CDTF">1998-07-31T14:15:34Z</dcterms:created>
  <dcterms:modified xsi:type="dcterms:W3CDTF">2013-12-17T16:05:53Z</dcterms:modified>
</cp:coreProperties>
</file>